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XEL PALACIOS\Documents\codigos\ABRAHAM\"/>
    </mc:Choice>
  </mc:AlternateContent>
  <xr:revisionPtr revIDLastSave="0" documentId="13_ncr:1_{3B99995C-5AE3-4C46-8A66-EBD321E93EBB}" xr6:coauthVersionLast="47" xr6:coauthVersionMax="47" xr10:uidLastSave="{00000000-0000-0000-0000-000000000000}"/>
  <bookViews>
    <workbookView xWindow="-108" yWindow="-108" windowWidth="23256" windowHeight="12456" tabRatio="906" activeTab="2" xr2:uid="{D69C3929-00A8-9A42-9811-7000590F78F9}"/>
  </bookViews>
  <sheets>
    <sheet name="Summary" sheetId="4" r:id="rId1"/>
    <sheet name="Comprometidos" sheetId="15" r:id="rId2"/>
    <sheet name="Cost Report" sheetId="2" r:id="rId3"/>
    <sheet name="Balance Sheet" sheetId="5" r:id="rId4"/>
    <sheet name="Budget" sheetId="1" r:id="rId5"/>
    <sheet name="Data Commitments" sheetId="6" r:id="rId6"/>
    <sheet name="Data" sheetId="3" r:id="rId7"/>
    <sheet name="Commitments" sheetId="11" r:id="rId8"/>
    <sheet name="Tablas" sheetId="12" r:id="rId9"/>
    <sheet name="Conciliación Bancaria" sheetId="8" state="hidden" r:id="rId10"/>
  </sheets>
  <definedNames>
    <definedName name="_xlnm._FilterDatabase" localSheetId="4" hidden="1">Budget!$A$2:$I$2474</definedName>
    <definedName name="_xlnm._FilterDatabase" localSheetId="9" hidden="1">'Conciliación Bancaria'!$A$2:$T$2002</definedName>
    <definedName name="_xlnm._FilterDatabase" localSheetId="2" hidden="1">'Cost Report'!$C$9:$V$2487</definedName>
    <definedName name="_xlnm._FilterDatabase" localSheetId="6" hidden="1">Data!$A$3849:$T$3849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2" l="1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29" i="3"/>
  <c r="AK3430" i="3"/>
  <c r="AK3431" i="3"/>
  <c r="AK3432" i="3"/>
  <c r="AK3433" i="3"/>
  <c r="AK3434" i="3"/>
  <c r="AK3435" i="3"/>
  <c r="AK3436" i="3"/>
  <c r="AK3437" i="3"/>
  <c r="AK3438" i="3"/>
  <c r="AK3439" i="3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AK3511" i="3"/>
  <c r="AK3512" i="3"/>
  <c r="AK3513" i="3"/>
  <c r="AK3514" i="3"/>
  <c r="AK3515" i="3"/>
  <c r="AK3516" i="3"/>
  <c r="AK3517" i="3"/>
  <c r="AK3518" i="3"/>
  <c r="AK3519" i="3"/>
  <c r="AK3520" i="3"/>
  <c r="AK3521" i="3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AK3570" i="3"/>
  <c r="AK3571" i="3"/>
  <c r="AK3572" i="3"/>
  <c r="AK3573" i="3"/>
  <c r="AK3574" i="3"/>
  <c r="AK3575" i="3"/>
  <c r="AK3576" i="3"/>
  <c r="AK3577" i="3"/>
  <c r="AK3578" i="3"/>
  <c r="AK3579" i="3"/>
  <c r="AK3580" i="3"/>
  <c r="AK3581" i="3"/>
  <c r="AK3582" i="3"/>
  <c r="AK3583" i="3"/>
  <c r="AK3584" i="3"/>
  <c r="AK3585" i="3"/>
  <c r="AK3586" i="3"/>
  <c r="AK3587" i="3"/>
  <c r="AK3588" i="3"/>
  <c r="AK3589" i="3"/>
  <c r="AK3590" i="3"/>
  <c r="AK3591" i="3"/>
  <c r="AK3592" i="3"/>
  <c r="AK3593" i="3"/>
  <c r="AK3594" i="3"/>
  <c r="AK3595" i="3"/>
  <c r="AK3596" i="3"/>
  <c r="AK3597" i="3"/>
  <c r="AK3598" i="3"/>
  <c r="AK3599" i="3"/>
  <c r="AK3600" i="3"/>
  <c r="AK3601" i="3"/>
  <c r="AK3602" i="3"/>
  <c r="AK3603" i="3"/>
  <c r="AK3604" i="3"/>
  <c r="AK3605" i="3"/>
  <c r="AK3606" i="3"/>
  <c r="AK3607" i="3"/>
  <c r="AK3608" i="3"/>
  <c r="AK3609" i="3"/>
  <c r="AK3610" i="3"/>
  <c r="AK3611" i="3"/>
  <c r="AK3612" i="3"/>
  <c r="AK3613" i="3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AK3627" i="3"/>
  <c r="AK3628" i="3"/>
  <c r="AK3629" i="3"/>
  <c r="AK3630" i="3"/>
  <c r="AK3631" i="3"/>
  <c r="AK3632" i="3"/>
  <c r="AK3633" i="3"/>
  <c r="AK3634" i="3"/>
  <c r="AK3635" i="3"/>
  <c r="AK3636" i="3"/>
  <c r="AK3637" i="3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AK3651" i="3"/>
  <c r="AK3652" i="3"/>
  <c r="AK3653" i="3"/>
  <c r="AK3654" i="3"/>
  <c r="AK3655" i="3"/>
  <c r="AK3656" i="3"/>
  <c r="AK3657" i="3"/>
  <c r="AK3658" i="3"/>
  <c r="AK3659" i="3"/>
  <c r="AK3660" i="3"/>
  <c r="AK3661" i="3"/>
  <c r="AK3662" i="3"/>
  <c r="AK3663" i="3"/>
  <c r="AK3664" i="3"/>
  <c r="AK3665" i="3"/>
  <c r="AK3666" i="3"/>
  <c r="AK3667" i="3"/>
  <c r="AK3668" i="3"/>
  <c r="AK3669" i="3"/>
  <c r="AK3670" i="3"/>
  <c r="AK3671" i="3"/>
  <c r="AK3672" i="3"/>
  <c r="AK3673" i="3"/>
  <c r="AK3674" i="3"/>
  <c r="AK3675" i="3"/>
  <c r="AK3676" i="3"/>
  <c r="AK3677" i="3"/>
  <c r="AK3678" i="3"/>
  <c r="AK3679" i="3"/>
  <c r="AK3680" i="3"/>
  <c r="AK3681" i="3"/>
  <c r="AK3682" i="3"/>
  <c r="AK3683" i="3"/>
  <c r="AK3684" i="3"/>
  <c r="AK3685" i="3"/>
  <c r="AK3686" i="3"/>
  <c r="AK3687" i="3"/>
  <c r="AK3688" i="3"/>
  <c r="AK3689" i="3"/>
  <c r="AK3690" i="3"/>
  <c r="AK3691" i="3"/>
  <c r="AK3692" i="3"/>
  <c r="AK3693" i="3"/>
  <c r="AK3694" i="3"/>
  <c r="AK3695" i="3"/>
  <c r="AK3696" i="3"/>
  <c r="AK3697" i="3"/>
  <c r="AK3698" i="3"/>
  <c r="AK3699" i="3"/>
  <c r="AK3700" i="3"/>
  <c r="AK3701" i="3"/>
  <c r="AK3702" i="3"/>
  <c r="AK3703" i="3"/>
  <c r="AK3704" i="3"/>
  <c r="AK3705" i="3"/>
  <c r="AK3706" i="3"/>
  <c r="AK3707" i="3"/>
  <c r="AK3708" i="3"/>
  <c r="AK3709" i="3"/>
  <c r="AK3710" i="3"/>
  <c r="AK3711" i="3"/>
  <c r="AK3712" i="3"/>
  <c r="AK3713" i="3"/>
  <c r="AK3714" i="3"/>
  <c r="AK3715" i="3"/>
  <c r="AK3716" i="3"/>
  <c r="AK3717" i="3"/>
  <c r="AK3718" i="3"/>
  <c r="AK3719" i="3"/>
  <c r="AK3720" i="3"/>
  <c r="AK3721" i="3"/>
  <c r="AK3722" i="3"/>
  <c r="AK3723" i="3"/>
  <c r="AK3724" i="3"/>
  <c r="AK3725" i="3"/>
  <c r="AK3726" i="3"/>
  <c r="AK3727" i="3"/>
  <c r="AK3728" i="3"/>
  <c r="AK3729" i="3"/>
  <c r="AK3730" i="3"/>
  <c r="AK3731" i="3"/>
  <c r="AK3732" i="3"/>
  <c r="AK3733" i="3"/>
  <c r="AK3734" i="3"/>
  <c r="AK3735" i="3"/>
  <c r="AK3736" i="3"/>
  <c r="AK3737" i="3"/>
  <c r="AK3738" i="3"/>
  <c r="AK3739" i="3"/>
  <c r="AK3740" i="3"/>
  <c r="AK3741" i="3"/>
  <c r="AK3742" i="3"/>
  <c r="AK3743" i="3"/>
  <c r="AK3744" i="3"/>
  <c r="AK3745" i="3"/>
  <c r="AK3746" i="3"/>
  <c r="AK3747" i="3"/>
  <c r="AK3748" i="3"/>
  <c r="AK3749" i="3"/>
  <c r="AK3750" i="3"/>
  <c r="AK3751" i="3"/>
  <c r="AK3752" i="3"/>
  <c r="AK3753" i="3"/>
  <c r="AK3754" i="3"/>
  <c r="AK3755" i="3"/>
  <c r="AK3756" i="3"/>
  <c r="AK3757" i="3"/>
  <c r="AK3758" i="3"/>
  <c r="AK3759" i="3"/>
  <c r="AK3760" i="3"/>
  <c r="AK3761" i="3"/>
  <c r="AK3762" i="3"/>
  <c r="AK3763" i="3"/>
  <c r="AK3764" i="3"/>
  <c r="AK3765" i="3"/>
  <c r="AK3766" i="3"/>
  <c r="AK3767" i="3"/>
  <c r="AK3768" i="3"/>
  <c r="AK3769" i="3"/>
  <c r="AK3770" i="3"/>
  <c r="AK3771" i="3"/>
  <c r="AK3772" i="3"/>
  <c r="AK3773" i="3"/>
  <c r="AK3774" i="3"/>
  <c r="AK3775" i="3"/>
  <c r="AK3776" i="3"/>
  <c r="AK3777" i="3"/>
  <c r="AK3778" i="3"/>
  <c r="AK3779" i="3"/>
  <c r="AK3780" i="3"/>
  <c r="AK3781" i="3"/>
  <c r="AK3782" i="3"/>
  <c r="AK3783" i="3"/>
  <c r="AK3784" i="3"/>
  <c r="AK3785" i="3"/>
  <c r="AK3786" i="3"/>
  <c r="AK3787" i="3"/>
  <c r="AK3788" i="3"/>
  <c r="AK3789" i="3"/>
  <c r="AK3790" i="3"/>
  <c r="AK3791" i="3"/>
  <c r="AK3792" i="3"/>
  <c r="AK3793" i="3"/>
  <c r="AK3794" i="3"/>
  <c r="AK3795" i="3"/>
  <c r="AK3796" i="3"/>
  <c r="AK3797" i="3"/>
  <c r="AK3798" i="3"/>
  <c r="AK3799" i="3"/>
  <c r="AK3800" i="3"/>
  <c r="AK3801" i="3"/>
  <c r="AK3802" i="3"/>
  <c r="AK3803" i="3"/>
  <c r="AK3804" i="3"/>
  <c r="AK3805" i="3"/>
  <c r="AK3806" i="3"/>
  <c r="AK3807" i="3"/>
  <c r="AK3808" i="3"/>
  <c r="AK3809" i="3"/>
  <c r="AK3810" i="3"/>
  <c r="AK3811" i="3"/>
  <c r="AK3812" i="3"/>
  <c r="AK3813" i="3"/>
  <c r="AK3814" i="3"/>
  <c r="AK3815" i="3"/>
  <c r="AK3816" i="3"/>
  <c r="AK3817" i="3"/>
  <c r="AK3818" i="3"/>
  <c r="AK3819" i="3"/>
  <c r="AK3820" i="3"/>
  <c r="AK3821" i="3"/>
  <c r="AK3822" i="3"/>
  <c r="AK3823" i="3"/>
  <c r="AK3824" i="3"/>
  <c r="AK3825" i="3"/>
  <c r="AK3826" i="3"/>
  <c r="AK3827" i="3"/>
  <c r="AK3828" i="3"/>
  <c r="AK3829" i="3"/>
  <c r="AK3830" i="3"/>
  <c r="AK3831" i="3"/>
  <c r="AK3832" i="3"/>
  <c r="AK3833" i="3"/>
  <c r="AK3834" i="3"/>
  <c r="AK3835" i="3"/>
  <c r="AK3836" i="3"/>
  <c r="AK3837" i="3"/>
  <c r="AK3838" i="3"/>
  <c r="AK3839" i="3"/>
  <c r="AK3840" i="3"/>
  <c r="AK3841" i="3"/>
  <c r="AK3842" i="3"/>
  <c r="AK3843" i="3"/>
  <c r="AK3844" i="3"/>
  <c r="AK3845" i="3"/>
  <c r="AK3846" i="3"/>
  <c r="AK3847" i="3"/>
  <c r="AK3848" i="3"/>
  <c r="AK3849" i="3"/>
  <c r="AK3850" i="3"/>
  <c r="AK3851" i="3"/>
  <c r="AK3852" i="3"/>
  <c r="AK3853" i="3"/>
  <c r="AK3854" i="3"/>
  <c r="AK3855" i="3"/>
  <c r="AK3856" i="3"/>
  <c r="AK3857" i="3"/>
  <c r="AK3858" i="3"/>
  <c r="AK3859" i="3"/>
  <c r="AK3860" i="3"/>
  <c r="AK3861" i="3"/>
  <c r="AK3862" i="3"/>
  <c r="AK3863" i="3"/>
  <c r="AK3864" i="3"/>
  <c r="AK3865" i="3"/>
  <c r="AK3866" i="3"/>
  <c r="AK3867" i="3"/>
  <c r="AK3868" i="3"/>
  <c r="AK3869" i="3"/>
  <c r="AK3870" i="3"/>
  <c r="AK3871" i="3"/>
  <c r="AK3872" i="3"/>
  <c r="AK3873" i="3"/>
  <c r="AK3874" i="3"/>
  <c r="AK3875" i="3"/>
  <c r="AK3876" i="3"/>
  <c r="AK3877" i="3"/>
  <c r="AK3878" i="3"/>
  <c r="AK3879" i="3"/>
  <c r="AK3880" i="3"/>
  <c r="AK3881" i="3"/>
  <c r="AK3882" i="3"/>
  <c r="AK3883" i="3"/>
  <c r="AK3884" i="3"/>
  <c r="AK3885" i="3"/>
  <c r="AK3886" i="3"/>
  <c r="AK3887" i="3"/>
  <c r="AK3888" i="3"/>
  <c r="AK3889" i="3"/>
  <c r="AK3890" i="3"/>
  <c r="AK3891" i="3"/>
  <c r="AK3892" i="3"/>
  <c r="AK3893" i="3"/>
  <c r="AK3894" i="3"/>
  <c r="AK3895" i="3"/>
  <c r="AK3896" i="3"/>
  <c r="AK3897" i="3"/>
  <c r="AK3898" i="3"/>
  <c r="AK3899" i="3"/>
  <c r="AK3900" i="3"/>
  <c r="AK3901" i="3"/>
  <c r="AK3902" i="3"/>
  <c r="AK3903" i="3"/>
  <c r="AK3904" i="3"/>
  <c r="AK3905" i="3"/>
  <c r="AK3906" i="3"/>
  <c r="AK3907" i="3"/>
  <c r="AK3908" i="3"/>
  <c r="AK3909" i="3"/>
  <c r="AK3910" i="3"/>
  <c r="AK3911" i="3"/>
  <c r="AK3912" i="3"/>
  <c r="AK3913" i="3"/>
  <c r="AK3914" i="3"/>
  <c r="AK3915" i="3"/>
  <c r="AK3916" i="3"/>
  <c r="AK3917" i="3"/>
  <c r="AK3918" i="3"/>
  <c r="AK3919" i="3"/>
  <c r="AK3920" i="3"/>
  <c r="AK3921" i="3"/>
  <c r="AK3922" i="3"/>
  <c r="AK3923" i="3"/>
  <c r="AK3924" i="3"/>
  <c r="AK3925" i="3"/>
  <c r="AK3926" i="3"/>
  <c r="AK3927" i="3"/>
  <c r="AK3928" i="3"/>
  <c r="AK3929" i="3"/>
  <c r="AK3930" i="3"/>
  <c r="AK3931" i="3"/>
  <c r="AK3932" i="3"/>
  <c r="AK3933" i="3"/>
  <c r="AK3934" i="3"/>
  <c r="AK3935" i="3"/>
  <c r="AK3936" i="3"/>
  <c r="AK3937" i="3"/>
  <c r="AK3938" i="3"/>
  <c r="AK3939" i="3"/>
  <c r="AK3940" i="3"/>
  <c r="AK3941" i="3"/>
  <c r="AK3942" i="3"/>
  <c r="AK3943" i="3"/>
  <c r="AK3944" i="3"/>
  <c r="AK3945" i="3"/>
  <c r="AK3946" i="3"/>
  <c r="AK3947" i="3"/>
  <c r="AK3948" i="3"/>
  <c r="AK3949" i="3"/>
  <c r="AK3950" i="3"/>
  <c r="AK3951" i="3"/>
  <c r="AK3952" i="3"/>
  <c r="AK3953" i="3"/>
  <c r="AK3954" i="3"/>
  <c r="AK3955" i="3"/>
  <c r="AK3956" i="3"/>
  <c r="AK3957" i="3"/>
  <c r="AK3958" i="3"/>
  <c r="AK3959" i="3"/>
  <c r="AK3960" i="3"/>
  <c r="AK3961" i="3"/>
  <c r="AK3962" i="3"/>
  <c r="AK3963" i="3"/>
  <c r="AK3964" i="3"/>
  <c r="AK3965" i="3"/>
  <c r="AK3966" i="3"/>
  <c r="AK3967" i="3"/>
  <c r="AK3968" i="3"/>
  <c r="AK3969" i="3"/>
  <c r="AK3970" i="3"/>
  <c r="AK3971" i="3"/>
  <c r="AK3972" i="3"/>
  <c r="AK3973" i="3"/>
  <c r="AK3974" i="3"/>
  <c r="AK3975" i="3"/>
  <c r="AK3976" i="3"/>
  <c r="AK3977" i="3"/>
  <c r="AK3978" i="3"/>
  <c r="AK3979" i="3"/>
  <c r="AK3980" i="3"/>
  <c r="AK3981" i="3"/>
  <c r="AK3982" i="3"/>
  <c r="AK3983" i="3"/>
  <c r="AK3984" i="3"/>
  <c r="AK3985" i="3"/>
  <c r="AK3986" i="3"/>
  <c r="AK3987" i="3"/>
  <c r="AK3988" i="3"/>
  <c r="AK3989" i="3"/>
  <c r="AK3990" i="3"/>
  <c r="AK3991" i="3"/>
  <c r="AK3992" i="3"/>
  <c r="AK3993" i="3"/>
  <c r="AK3994" i="3"/>
  <c r="AK3995" i="3"/>
  <c r="AK3996" i="3"/>
  <c r="AK3997" i="3"/>
  <c r="AK3998" i="3"/>
  <c r="AK3999" i="3"/>
  <c r="AK4000" i="3"/>
  <c r="AK4001" i="3"/>
  <c r="AK4002" i="3"/>
  <c r="AK4003" i="3"/>
  <c r="AK4004" i="3"/>
  <c r="AK4005" i="3"/>
  <c r="AK4006" i="3"/>
  <c r="AK4007" i="3"/>
  <c r="AK4008" i="3"/>
  <c r="AK4009" i="3"/>
  <c r="AK4010" i="3"/>
  <c r="AK4011" i="3"/>
  <c r="AK4012" i="3"/>
  <c r="AK4013" i="3"/>
  <c r="AK4014" i="3"/>
  <c r="AK4015" i="3"/>
  <c r="AK4016" i="3"/>
  <c r="AK4017" i="3"/>
  <c r="AK4018" i="3"/>
  <c r="AK4019" i="3"/>
  <c r="AK4020" i="3"/>
  <c r="AK4021" i="3"/>
  <c r="AK4022" i="3"/>
  <c r="AK4023" i="3"/>
  <c r="AK4024" i="3"/>
  <c r="AK4025" i="3"/>
  <c r="AK4026" i="3"/>
  <c r="AK4027" i="3"/>
  <c r="AK4028" i="3"/>
  <c r="AK4029" i="3"/>
  <c r="AK4030" i="3"/>
  <c r="AK4031" i="3"/>
  <c r="AK4032" i="3"/>
  <c r="AK4033" i="3"/>
  <c r="AK4034" i="3"/>
  <c r="AK4035" i="3"/>
  <c r="AK4036" i="3"/>
  <c r="AK4037" i="3"/>
  <c r="AK4038" i="3"/>
  <c r="AK4039" i="3"/>
  <c r="AK4040" i="3"/>
  <c r="AK4041" i="3"/>
  <c r="AK4042" i="3"/>
  <c r="AK4043" i="3"/>
  <c r="AK4044" i="3"/>
  <c r="AK4045" i="3"/>
  <c r="AK4046" i="3"/>
  <c r="AK4047" i="3"/>
  <c r="AK4048" i="3"/>
  <c r="AK4049" i="3"/>
  <c r="AK4050" i="3"/>
  <c r="AK4051" i="3"/>
  <c r="AK4052" i="3"/>
  <c r="AK4053" i="3"/>
  <c r="AK4054" i="3"/>
  <c r="AK4055" i="3"/>
  <c r="AK4056" i="3"/>
  <c r="AK4057" i="3"/>
  <c r="AK4058" i="3"/>
  <c r="AK4059" i="3"/>
  <c r="AK4060" i="3"/>
  <c r="AK4061" i="3"/>
  <c r="AK4062" i="3"/>
  <c r="AK4063" i="3"/>
  <c r="AK4064" i="3"/>
  <c r="AK4065" i="3"/>
  <c r="AK4066" i="3"/>
  <c r="AK4067" i="3"/>
  <c r="AK4068" i="3"/>
  <c r="AK4069" i="3"/>
  <c r="AK4070" i="3"/>
  <c r="AK4071" i="3"/>
  <c r="AK4072" i="3"/>
  <c r="AK4073" i="3"/>
  <c r="AK4074" i="3"/>
  <c r="AK4075" i="3"/>
  <c r="AK4076" i="3"/>
  <c r="AK4077" i="3"/>
  <c r="AK4078" i="3"/>
  <c r="AK4079" i="3"/>
  <c r="AK4080" i="3"/>
  <c r="AK4081" i="3"/>
  <c r="AK4082" i="3"/>
  <c r="AK4083" i="3"/>
  <c r="AK4084" i="3"/>
  <c r="AK4085" i="3"/>
  <c r="AK4086" i="3"/>
  <c r="AK4087" i="3"/>
  <c r="AK4088" i="3"/>
  <c r="AK4089" i="3"/>
  <c r="AK4090" i="3"/>
  <c r="AK4091" i="3"/>
  <c r="AK4092" i="3"/>
  <c r="AK4093" i="3"/>
  <c r="AK4094" i="3"/>
  <c r="AK4095" i="3"/>
  <c r="AK4096" i="3"/>
  <c r="AK4097" i="3"/>
  <c r="AK4098" i="3"/>
  <c r="AK4099" i="3"/>
  <c r="AK4100" i="3"/>
  <c r="AK4101" i="3"/>
  <c r="AK4102" i="3"/>
  <c r="AK4103" i="3"/>
  <c r="AK4104" i="3"/>
  <c r="AK4105" i="3"/>
  <c r="AK4106" i="3"/>
  <c r="AK4107" i="3"/>
  <c r="AK4108" i="3"/>
  <c r="AK4109" i="3"/>
  <c r="AK4110" i="3"/>
  <c r="AK4111" i="3"/>
  <c r="AK4112" i="3"/>
  <c r="AK4113" i="3"/>
  <c r="AK4114" i="3"/>
  <c r="AK4115" i="3"/>
  <c r="AK4116" i="3"/>
  <c r="AK4117" i="3"/>
  <c r="AK4118" i="3"/>
  <c r="AK4119" i="3"/>
  <c r="AK4120" i="3"/>
  <c r="AK4121" i="3"/>
  <c r="AK4122" i="3"/>
  <c r="AK4123" i="3"/>
  <c r="AK4124" i="3"/>
  <c r="AK4125" i="3"/>
  <c r="AK4126" i="3"/>
  <c r="AK4127" i="3"/>
  <c r="AK4128" i="3"/>
  <c r="AK4129" i="3"/>
  <c r="AK4130" i="3"/>
  <c r="AK4131" i="3"/>
  <c r="AK4132" i="3"/>
  <c r="AK4133" i="3"/>
  <c r="AK4134" i="3"/>
  <c r="AK4135" i="3"/>
  <c r="AK4136" i="3"/>
  <c r="AK4137" i="3"/>
  <c r="AK4138" i="3"/>
  <c r="AK4139" i="3"/>
  <c r="AK4140" i="3"/>
  <c r="AK4141" i="3"/>
  <c r="AK4142" i="3"/>
  <c r="AK4143" i="3"/>
  <c r="AK4144" i="3"/>
  <c r="AK4145" i="3"/>
  <c r="AK4146" i="3"/>
  <c r="AK4147" i="3"/>
  <c r="AK4148" i="3"/>
  <c r="AK4149" i="3"/>
  <c r="AK4150" i="3"/>
  <c r="AK4151" i="3"/>
  <c r="AK4152" i="3"/>
  <c r="AK4153" i="3"/>
  <c r="AK4154" i="3"/>
  <c r="AK4155" i="3"/>
  <c r="AK4156" i="3"/>
  <c r="AK4157" i="3"/>
  <c r="AK4158" i="3"/>
  <c r="AK4159" i="3"/>
  <c r="AK4160" i="3"/>
  <c r="AK4161" i="3"/>
  <c r="AK4162" i="3"/>
  <c r="AK4163" i="3"/>
  <c r="AK4164" i="3"/>
  <c r="AK4165" i="3"/>
  <c r="AK4166" i="3"/>
  <c r="AK4167" i="3"/>
  <c r="AK4168" i="3"/>
  <c r="AK4169" i="3"/>
  <c r="AK4170" i="3"/>
  <c r="AK4171" i="3"/>
  <c r="AK4172" i="3"/>
  <c r="AK4173" i="3"/>
  <c r="AK4174" i="3"/>
  <c r="AK4175" i="3"/>
  <c r="AK4176" i="3"/>
  <c r="AK4177" i="3"/>
  <c r="AK4178" i="3"/>
  <c r="AK4179" i="3"/>
  <c r="AK4180" i="3"/>
  <c r="AK4181" i="3"/>
  <c r="AK4182" i="3"/>
  <c r="AK4183" i="3"/>
  <c r="AK4184" i="3"/>
  <c r="AK4185" i="3"/>
  <c r="AK4186" i="3"/>
  <c r="AK4187" i="3"/>
  <c r="AK4188" i="3"/>
  <c r="AK4189" i="3"/>
  <c r="AK4190" i="3"/>
  <c r="AK4191" i="3"/>
  <c r="AK4192" i="3"/>
  <c r="AK4193" i="3"/>
  <c r="AK4194" i="3"/>
  <c r="AK4195" i="3"/>
  <c r="AK4196" i="3"/>
  <c r="AK4197" i="3"/>
  <c r="AK4198" i="3"/>
  <c r="AK4199" i="3"/>
  <c r="AK4200" i="3"/>
  <c r="AK4201" i="3"/>
  <c r="AK4202" i="3"/>
  <c r="AK4203" i="3"/>
  <c r="AK4204" i="3"/>
  <c r="AK4205" i="3"/>
  <c r="AK4206" i="3"/>
  <c r="AK4207" i="3"/>
  <c r="AK4208" i="3"/>
  <c r="AK4209" i="3"/>
  <c r="AK4210" i="3"/>
  <c r="AK4211" i="3"/>
  <c r="AK4212" i="3"/>
  <c r="AK4213" i="3"/>
  <c r="AK4214" i="3"/>
  <c r="AK4215" i="3"/>
  <c r="AK4216" i="3"/>
  <c r="AK4217" i="3"/>
  <c r="AK4218" i="3"/>
  <c r="AK4219" i="3"/>
  <c r="AK4220" i="3"/>
  <c r="AK4221" i="3"/>
  <c r="AK4222" i="3"/>
  <c r="AK4223" i="3"/>
  <c r="AK4224" i="3"/>
  <c r="AK4225" i="3"/>
  <c r="AK4226" i="3"/>
  <c r="AK4227" i="3"/>
  <c r="AK4228" i="3"/>
  <c r="AK4229" i="3"/>
  <c r="AK4230" i="3"/>
  <c r="AK4231" i="3"/>
  <c r="AK4232" i="3"/>
  <c r="AK4233" i="3"/>
  <c r="AK4234" i="3"/>
  <c r="AK4235" i="3"/>
  <c r="AK4236" i="3"/>
  <c r="AK4237" i="3"/>
  <c r="AK4238" i="3"/>
  <c r="AK4239" i="3"/>
  <c r="AK4240" i="3"/>
  <c r="AK4241" i="3"/>
  <c r="AK4242" i="3"/>
  <c r="AK4243" i="3"/>
  <c r="AK4244" i="3"/>
  <c r="AK4245" i="3"/>
  <c r="AK4246" i="3"/>
  <c r="AK4247" i="3"/>
  <c r="AK4248" i="3"/>
  <c r="AK4249" i="3"/>
  <c r="AK4250" i="3"/>
  <c r="AK4251" i="3"/>
  <c r="AK4252" i="3"/>
  <c r="AK4253" i="3"/>
  <c r="AK4254" i="3"/>
  <c r="AK4255" i="3"/>
  <c r="AK4256" i="3"/>
  <c r="AK4257" i="3"/>
  <c r="AK4258" i="3"/>
  <c r="AK4259" i="3"/>
  <c r="AK4260" i="3"/>
  <c r="AK4261" i="3"/>
  <c r="AK4262" i="3"/>
  <c r="AK4263" i="3"/>
  <c r="AK4264" i="3"/>
  <c r="AK4265" i="3"/>
  <c r="AK4266" i="3"/>
  <c r="AK4267" i="3"/>
  <c r="AK4268" i="3"/>
  <c r="AK4269" i="3"/>
  <c r="AK4270" i="3"/>
  <c r="AK4271" i="3"/>
  <c r="AK4272" i="3"/>
  <c r="AK4273" i="3"/>
  <c r="AK4274" i="3"/>
  <c r="AK4275" i="3"/>
  <c r="AK4276" i="3"/>
  <c r="AK4277" i="3"/>
  <c r="AK4278" i="3"/>
  <c r="AK4279" i="3"/>
  <c r="AK4280" i="3"/>
  <c r="AK4281" i="3"/>
  <c r="AK4282" i="3"/>
  <c r="AK4283" i="3"/>
  <c r="AK4284" i="3"/>
  <c r="AK4285" i="3"/>
  <c r="AK4286" i="3"/>
  <c r="AK4287" i="3"/>
  <c r="AK4288" i="3"/>
  <c r="AK4289" i="3"/>
  <c r="AK4290" i="3"/>
  <c r="AK4291" i="3"/>
  <c r="AK4292" i="3"/>
  <c r="AK4293" i="3"/>
  <c r="AK4294" i="3"/>
  <c r="AK4295" i="3"/>
  <c r="AK4296" i="3"/>
  <c r="AK4297" i="3"/>
  <c r="AK4298" i="3"/>
  <c r="AK4299" i="3"/>
  <c r="AK4300" i="3"/>
  <c r="AK4301" i="3"/>
  <c r="AK4302" i="3"/>
  <c r="AK4303" i="3"/>
  <c r="AK4304" i="3"/>
  <c r="AK4305" i="3"/>
  <c r="AK4306" i="3"/>
  <c r="AK4307" i="3"/>
  <c r="AK4308" i="3"/>
  <c r="AK4309" i="3"/>
  <c r="AK4310" i="3"/>
  <c r="AK4311" i="3"/>
  <c r="AK4312" i="3"/>
  <c r="AK4313" i="3"/>
  <c r="AK4314" i="3"/>
  <c r="AK4315" i="3"/>
  <c r="AK4316" i="3"/>
  <c r="AK4317" i="3"/>
  <c r="AK4318" i="3"/>
  <c r="AK4319" i="3"/>
  <c r="AK4320" i="3"/>
  <c r="AK4321" i="3"/>
  <c r="AK4322" i="3"/>
  <c r="AK4323" i="3"/>
  <c r="AK4324" i="3"/>
  <c r="AK4325" i="3"/>
  <c r="AK4326" i="3"/>
  <c r="AK4327" i="3"/>
  <c r="AK4328" i="3"/>
  <c r="AK4329" i="3"/>
  <c r="AK4330" i="3"/>
  <c r="AK4331" i="3"/>
  <c r="AK4332" i="3"/>
  <c r="AK4333" i="3"/>
  <c r="AK4334" i="3"/>
  <c r="AK4335" i="3"/>
  <c r="AK4336" i="3"/>
  <c r="AK4337" i="3"/>
  <c r="AK4338" i="3"/>
  <c r="AK4339" i="3"/>
  <c r="AK4340" i="3"/>
  <c r="AK4341" i="3"/>
  <c r="AK4342" i="3"/>
  <c r="AK4343" i="3"/>
  <c r="AK4344" i="3"/>
  <c r="AK4345" i="3"/>
  <c r="AK4346" i="3"/>
  <c r="AK4347" i="3"/>
  <c r="AK4348" i="3"/>
  <c r="AK4349" i="3"/>
  <c r="AK4350" i="3"/>
  <c r="AK4351" i="3"/>
  <c r="AK4352" i="3"/>
  <c r="AK4353" i="3"/>
  <c r="AK4354" i="3"/>
  <c r="AK4355" i="3"/>
  <c r="AK4356" i="3"/>
  <c r="AK4357" i="3"/>
  <c r="AK4358" i="3"/>
  <c r="AK4359" i="3"/>
  <c r="AK4360" i="3"/>
  <c r="AK4361" i="3"/>
  <c r="AK4362" i="3"/>
  <c r="AK4363" i="3"/>
  <c r="AK4364" i="3"/>
  <c r="AK4365" i="3"/>
  <c r="AK4366" i="3"/>
  <c r="AK4367" i="3"/>
  <c r="AK4368" i="3"/>
  <c r="AK4369" i="3"/>
  <c r="AK4370" i="3"/>
  <c r="AK4371" i="3"/>
  <c r="AK4372" i="3"/>
  <c r="AK4373" i="3"/>
  <c r="AK4374" i="3"/>
  <c r="AK4375" i="3"/>
  <c r="AK4376" i="3"/>
  <c r="AK4377" i="3"/>
  <c r="AK4378" i="3"/>
  <c r="AK4379" i="3"/>
  <c r="AK4380" i="3"/>
  <c r="AK4381" i="3"/>
  <c r="AK4382" i="3"/>
  <c r="AK4383" i="3"/>
  <c r="AK4384" i="3"/>
  <c r="AK4385" i="3"/>
  <c r="AK4386" i="3"/>
  <c r="AK4387" i="3"/>
  <c r="AK4388" i="3"/>
  <c r="AK4389" i="3"/>
  <c r="AK4390" i="3"/>
  <c r="AK4391" i="3"/>
  <c r="AK4392" i="3"/>
  <c r="AK4393" i="3"/>
  <c r="AK4394" i="3"/>
  <c r="AK4395" i="3"/>
  <c r="AK4396" i="3"/>
  <c r="AK4397" i="3"/>
  <c r="AK4398" i="3"/>
  <c r="AK4399" i="3"/>
  <c r="AK4400" i="3"/>
  <c r="AK4401" i="3"/>
  <c r="AK4402" i="3"/>
  <c r="AK4403" i="3"/>
  <c r="AK4404" i="3"/>
  <c r="AK4405" i="3"/>
  <c r="AK4406" i="3"/>
  <c r="AK4407" i="3"/>
  <c r="AK4408" i="3"/>
  <c r="AK4409" i="3"/>
  <c r="AK4410" i="3"/>
  <c r="AK4411" i="3"/>
  <c r="AK4412" i="3"/>
  <c r="AK4413" i="3"/>
  <c r="AK4414" i="3"/>
  <c r="AK4415" i="3"/>
  <c r="AK4416" i="3"/>
  <c r="AK4417" i="3"/>
  <c r="AK4418" i="3"/>
  <c r="AK4419" i="3"/>
  <c r="AK4420" i="3"/>
  <c r="AK4421" i="3"/>
  <c r="AK4422" i="3"/>
  <c r="AK4423" i="3"/>
  <c r="AK4424" i="3"/>
  <c r="AK4425" i="3"/>
  <c r="AK4426" i="3"/>
  <c r="AK4427" i="3"/>
  <c r="AK4428" i="3"/>
  <c r="AK4429" i="3"/>
  <c r="AK4430" i="3"/>
  <c r="AK4431" i="3"/>
  <c r="AK4432" i="3"/>
  <c r="AK4433" i="3"/>
  <c r="AK4434" i="3"/>
  <c r="AK4435" i="3"/>
  <c r="AK4436" i="3"/>
  <c r="AK4437" i="3"/>
  <c r="AK4438" i="3"/>
  <c r="AK4439" i="3"/>
  <c r="AK4440" i="3"/>
  <c r="AK4441" i="3"/>
  <c r="AK4442" i="3"/>
  <c r="AK4443" i="3"/>
  <c r="AK4444" i="3"/>
  <c r="AK4445" i="3"/>
  <c r="AK4446" i="3"/>
  <c r="AK4447" i="3"/>
  <c r="AK4448" i="3"/>
  <c r="AK4449" i="3"/>
  <c r="AK4450" i="3"/>
  <c r="AK4451" i="3"/>
  <c r="AK4452" i="3"/>
  <c r="AK4453" i="3"/>
  <c r="AK4454" i="3"/>
  <c r="AK4455" i="3"/>
  <c r="AK4456" i="3"/>
  <c r="AK4457" i="3"/>
  <c r="AK4458" i="3"/>
  <c r="AK4459" i="3"/>
  <c r="AK4460" i="3"/>
  <c r="AK4461" i="3"/>
  <c r="AK4462" i="3"/>
  <c r="AK4463" i="3"/>
  <c r="AK4464" i="3"/>
  <c r="AK4465" i="3"/>
  <c r="AK4466" i="3"/>
  <c r="AK4467" i="3"/>
  <c r="AK4468" i="3"/>
  <c r="AK4469" i="3"/>
  <c r="AK4470" i="3"/>
  <c r="AK4471" i="3"/>
  <c r="AK4472" i="3"/>
  <c r="AK4473" i="3"/>
  <c r="AK4474" i="3"/>
  <c r="AK4475" i="3"/>
  <c r="AK4476" i="3"/>
  <c r="AK4477" i="3"/>
  <c r="AK4478" i="3"/>
  <c r="AK4479" i="3"/>
  <c r="AK4480" i="3"/>
  <c r="AK4481" i="3"/>
  <c r="AK4482" i="3"/>
  <c r="AK4483" i="3"/>
  <c r="AK4484" i="3"/>
  <c r="AK4485" i="3"/>
  <c r="AK4486" i="3"/>
  <c r="AK4487" i="3"/>
  <c r="AK4488" i="3"/>
  <c r="AK4489" i="3"/>
  <c r="AK4490" i="3"/>
  <c r="AK4491" i="3"/>
  <c r="AK4492" i="3"/>
  <c r="AK4493" i="3"/>
  <c r="AK4494" i="3"/>
  <c r="AK4495" i="3"/>
  <c r="AK4496" i="3"/>
  <c r="AK4497" i="3"/>
  <c r="AK4498" i="3"/>
  <c r="AK4499" i="3"/>
  <c r="AK4500" i="3"/>
  <c r="AK4501" i="3"/>
  <c r="AK4502" i="3"/>
  <c r="AK4503" i="3"/>
  <c r="AK4504" i="3"/>
  <c r="AK4505" i="3"/>
  <c r="AK4506" i="3"/>
  <c r="AK4507" i="3"/>
  <c r="AK4508" i="3"/>
  <c r="AK4509" i="3"/>
  <c r="AK4510" i="3"/>
  <c r="AK4511" i="3"/>
  <c r="AK4512" i="3"/>
  <c r="AK4513" i="3"/>
  <c r="AK4514" i="3"/>
  <c r="AK4515" i="3"/>
  <c r="AK4516" i="3"/>
  <c r="AK4517" i="3"/>
  <c r="AK4518" i="3"/>
  <c r="AK4519" i="3"/>
  <c r="AK4520" i="3"/>
  <c r="AK4521" i="3"/>
  <c r="AK4522" i="3"/>
  <c r="AK4523" i="3"/>
  <c r="AK4524" i="3"/>
  <c r="AK4525" i="3"/>
  <c r="AK4526" i="3"/>
  <c r="AK4527" i="3"/>
  <c r="AK4528" i="3"/>
  <c r="AK4529" i="3"/>
  <c r="AK4530" i="3"/>
  <c r="AK4531" i="3"/>
  <c r="AK4532" i="3"/>
  <c r="AK4533" i="3"/>
  <c r="AK4534" i="3"/>
  <c r="AK4535" i="3"/>
  <c r="AK4536" i="3"/>
  <c r="AK4537" i="3"/>
  <c r="AK4538" i="3"/>
  <c r="AK4539" i="3"/>
  <c r="AK4540" i="3"/>
  <c r="AK4541" i="3"/>
  <c r="AK4542" i="3"/>
  <c r="AK4543" i="3"/>
  <c r="AK4544" i="3"/>
  <c r="AK4545" i="3"/>
  <c r="AK4546" i="3"/>
  <c r="AK4547" i="3"/>
  <c r="AK4548" i="3"/>
  <c r="AK4549" i="3"/>
  <c r="AK4550" i="3"/>
  <c r="AK4551" i="3"/>
  <c r="AK4552" i="3"/>
  <c r="AK4553" i="3"/>
  <c r="AK4554" i="3"/>
  <c r="AK4555" i="3"/>
  <c r="AK4556" i="3"/>
  <c r="AK4557" i="3"/>
  <c r="AK4558" i="3"/>
  <c r="AK4559" i="3"/>
  <c r="AK4560" i="3"/>
  <c r="AK4561" i="3"/>
  <c r="AK4562" i="3"/>
  <c r="AK4563" i="3"/>
  <c r="AK4564" i="3"/>
  <c r="AK4565" i="3"/>
  <c r="AK4566" i="3"/>
  <c r="AK4567" i="3"/>
  <c r="AK4568" i="3"/>
  <c r="AK4569" i="3"/>
  <c r="AK4570" i="3"/>
  <c r="AK4571" i="3"/>
  <c r="AK4572" i="3"/>
  <c r="AK4573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AK4606" i="3"/>
  <c r="AK4607" i="3"/>
  <c r="AK4608" i="3"/>
  <c r="AK4609" i="3"/>
  <c r="AK4610" i="3"/>
  <c r="AK4611" i="3"/>
  <c r="AK4612" i="3"/>
  <c r="AK4613" i="3"/>
  <c r="AK4614" i="3"/>
  <c r="AK4615" i="3"/>
  <c r="AK4616" i="3"/>
  <c r="AK4617" i="3"/>
  <c r="AK4618" i="3"/>
  <c r="AK4619" i="3"/>
  <c r="AK4620" i="3"/>
  <c r="AK4621" i="3"/>
  <c r="AK4622" i="3"/>
  <c r="AK4623" i="3"/>
  <c r="AK4624" i="3"/>
  <c r="AK4625" i="3"/>
  <c r="AK4626" i="3"/>
  <c r="AK4627" i="3"/>
  <c r="AK4628" i="3"/>
  <c r="AK4629" i="3"/>
  <c r="AK4630" i="3"/>
  <c r="AK4631" i="3"/>
  <c r="AK4632" i="3"/>
  <c r="AK4633" i="3"/>
  <c r="AK4634" i="3"/>
  <c r="AK4635" i="3"/>
  <c r="AK4636" i="3"/>
  <c r="AK4637" i="3"/>
  <c r="AK4638" i="3"/>
  <c r="AK4639" i="3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K4960" i="3"/>
  <c r="AK4961" i="3"/>
  <c r="AK4962" i="3"/>
  <c r="AK4963" i="3"/>
  <c r="AK4964" i="3"/>
  <c r="AK4965" i="3"/>
  <c r="AK4966" i="3"/>
  <c r="AK4967" i="3"/>
  <c r="AK4968" i="3"/>
  <c r="AK4969" i="3"/>
  <c r="AK4970" i="3"/>
  <c r="AK4971" i="3"/>
  <c r="AK4972" i="3"/>
  <c r="AK4973" i="3"/>
  <c r="AK4974" i="3"/>
  <c r="AK4975" i="3"/>
  <c r="AK4976" i="3"/>
  <c r="AK4977" i="3"/>
  <c r="AK4978" i="3"/>
  <c r="AK4979" i="3"/>
  <c r="AK4980" i="3"/>
  <c r="AK4981" i="3"/>
  <c r="AK4982" i="3"/>
  <c r="AK4983" i="3"/>
  <c r="AK4984" i="3"/>
  <c r="AK4985" i="3"/>
  <c r="AK4986" i="3"/>
  <c r="AK4987" i="3"/>
  <c r="AK4988" i="3"/>
  <c r="AK4989" i="3"/>
  <c r="AK4990" i="3"/>
  <c r="AK4991" i="3"/>
  <c r="AK4992" i="3"/>
  <c r="AK4993" i="3"/>
  <c r="AK4994" i="3"/>
  <c r="AK4995" i="3"/>
  <c r="AK4996" i="3"/>
  <c r="AK4997" i="3"/>
  <c r="AK4998" i="3"/>
  <c r="AK4999" i="3"/>
  <c r="AK5000" i="3"/>
  <c r="AK5001" i="3"/>
  <c r="AK5002" i="3"/>
  <c r="AK5003" i="3"/>
  <c r="AK5004" i="3"/>
  <c r="AK5005" i="3"/>
  <c r="AK5006" i="3"/>
  <c r="AK5007" i="3"/>
  <c r="AK5008" i="3"/>
  <c r="AK5009" i="3"/>
  <c r="AK5010" i="3"/>
  <c r="AK5011" i="3"/>
  <c r="AK5012" i="3"/>
  <c r="AK5013" i="3"/>
  <c r="AK5014" i="3"/>
  <c r="AK5015" i="3"/>
  <c r="AK5016" i="3"/>
  <c r="AK5017" i="3"/>
  <c r="AK5018" i="3"/>
  <c r="AK5019" i="3"/>
  <c r="AK5020" i="3"/>
  <c r="AK5021" i="3"/>
  <c r="AK5022" i="3"/>
  <c r="AK5023" i="3"/>
  <c r="AK5024" i="3"/>
  <c r="AK5025" i="3"/>
  <c r="AK5026" i="3"/>
  <c r="AK5027" i="3"/>
  <c r="AK5028" i="3"/>
  <c r="AK5029" i="3"/>
  <c r="AK5030" i="3"/>
  <c r="AK5031" i="3"/>
  <c r="AK5032" i="3"/>
  <c r="AK5033" i="3"/>
  <c r="AK5034" i="3"/>
  <c r="AK5035" i="3"/>
  <c r="AK5036" i="3"/>
  <c r="AK5037" i="3"/>
  <c r="AK5038" i="3"/>
  <c r="AK5039" i="3"/>
  <c r="AK5040" i="3"/>
  <c r="AK5041" i="3"/>
  <c r="AK5042" i="3"/>
  <c r="AK5043" i="3"/>
  <c r="AK5044" i="3"/>
  <c r="AK5045" i="3"/>
  <c r="AK5046" i="3"/>
  <c r="AK5047" i="3"/>
  <c r="AK5048" i="3"/>
  <c r="AK5049" i="3"/>
  <c r="AK5050" i="3"/>
  <c r="AK5051" i="3"/>
  <c r="AK5052" i="3"/>
  <c r="AK5053" i="3"/>
  <c r="AK5054" i="3"/>
  <c r="AK5055" i="3"/>
  <c r="AK5056" i="3"/>
  <c r="AK5057" i="3"/>
  <c r="AK5058" i="3"/>
  <c r="AK5059" i="3"/>
  <c r="AK5060" i="3"/>
  <c r="AK5061" i="3"/>
  <c r="AK5062" i="3"/>
  <c r="AK5063" i="3"/>
  <c r="AK5064" i="3"/>
  <c r="AK5065" i="3"/>
  <c r="AK5066" i="3"/>
  <c r="AK5067" i="3"/>
  <c r="AK5068" i="3"/>
  <c r="AK5069" i="3"/>
  <c r="AK5070" i="3"/>
  <c r="AK5071" i="3"/>
  <c r="AK5072" i="3"/>
  <c r="AK5073" i="3"/>
  <c r="AK5074" i="3"/>
  <c r="AK5075" i="3"/>
  <c r="AK5076" i="3"/>
  <c r="AK5077" i="3"/>
  <c r="AK5078" i="3"/>
  <c r="AK5079" i="3"/>
  <c r="AK5080" i="3"/>
  <c r="AK5081" i="3"/>
  <c r="AK5082" i="3"/>
  <c r="AK5083" i="3"/>
  <c r="AK5084" i="3"/>
  <c r="AK5085" i="3"/>
  <c r="AK5086" i="3"/>
  <c r="AK5087" i="3"/>
  <c r="AK5088" i="3"/>
  <c r="AK5089" i="3"/>
  <c r="AK5090" i="3"/>
  <c r="AK5091" i="3"/>
  <c r="AK5092" i="3"/>
  <c r="AK5093" i="3"/>
  <c r="AK5094" i="3"/>
  <c r="AK5095" i="3"/>
  <c r="AK5096" i="3"/>
  <c r="AK5097" i="3"/>
  <c r="AK5098" i="3"/>
  <c r="AK5099" i="3"/>
  <c r="AK5100" i="3"/>
  <c r="AK5101" i="3"/>
  <c r="AK5102" i="3"/>
  <c r="AK5103" i="3"/>
  <c r="AK5104" i="3"/>
  <c r="AK5105" i="3"/>
  <c r="AK5106" i="3"/>
  <c r="AK5107" i="3"/>
  <c r="AK5108" i="3"/>
  <c r="AK5109" i="3"/>
  <c r="AK5110" i="3"/>
  <c r="AK5111" i="3"/>
  <c r="AK5112" i="3"/>
  <c r="AK5113" i="3"/>
  <c r="AK5114" i="3"/>
  <c r="AK5115" i="3"/>
  <c r="AK5116" i="3"/>
  <c r="AK5117" i="3"/>
  <c r="AK5118" i="3"/>
  <c r="AK5119" i="3"/>
  <c r="AK5120" i="3"/>
  <c r="AK5121" i="3"/>
  <c r="AK5122" i="3"/>
  <c r="AK5123" i="3"/>
  <c r="AK5124" i="3"/>
  <c r="AK5125" i="3"/>
  <c r="AK5126" i="3"/>
  <c r="AK5127" i="3"/>
  <c r="AK5128" i="3"/>
  <c r="AK5129" i="3"/>
  <c r="AK5130" i="3"/>
  <c r="AK5131" i="3"/>
  <c r="AK5132" i="3"/>
  <c r="AK5133" i="3"/>
  <c r="AK5134" i="3"/>
  <c r="AK5135" i="3"/>
  <c r="AK5136" i="3"/>
  <c r="AK5137" i="3"/>
  <c r="AK5138" i="3"/>
  <c r="AK5139" i="3"/>
  <c r="AK5140" i="3"/>
  <c r="AK5141" i="3"/>
  <c r="AK5142" i="3"/>
  <c r="AK5143" i="3"/>
  <c r="AK5144" i="3"/>
  <c r="AK5145" i="3"/>
  <c r="AK5146" i="3"/>
  <c r="AK5147" i="3"/>
  <c r="AK5148" i="3"/>
  <c r="AK5149" i="3"/>
  <c r="AK5150" i="3"/>
  <c r="AK5151" i="3"/>
  <c r="AK5152" i="3"/>
  <c r="AK5153" i="3"/>
  <c r="AK5154" i="3"/>
  <c r="AK5155" i="3"/>
  <c r="AK5156" i="3"/>
  <c r="AK5157" i="3"/>
  <c r="AK5158" i="3"/>
  <c r="AK5159" i="3"/>
  <c r="AK5160" i="3"/>
  <c r="AK5161" i="3"/>
  <c r="AK5162" i="3"/>
  <c r="AK5163" i="3"/>
  <c r="AK5164" i="3"/>
  <c r="AK5165" i="3"/>
  <c r="AK5166" i="3"/>
  <c r="AK5167" i="3"/>
  <c r="AK5168" i="3"/>
  <c r="AK5169" i="3"/>
  <c r="AK5170" i="3"/>
  <c r="AK5171" i="3"/>
  <c r="AK5172" i="3"/>
  <c r="AK5173" i="3"/>
  <c r="AK5174" i="3"/>
  <c r="AK5175" i="3"/>
  <c r="AK5176" i="3"/>
  <c r="AK5177" i="3"/>
  <c r="AK5178" i="3"/>
  <c r="AK5179" i="3"/>
  <c r="AK5180" i="3"/>
  <c r="AK5181" i="3"/>
  <c r="AK5182" i="3"/>
  <c r="AK5183" i="3"/>
  <c r="AK5184" i="3"/>
  <c r="AK5185" i="3"/>
  <c r="AK5186" i="3"/>
  <c r="AK5187" i="3"/>
  <c r="AK5188" i="3"/>
  <c r="AK5189" i="3"/>
  <c r="AK5190" i="3"/>
  <c r="AK5191" i="3"/>
  <c r="AK5192" i="3"/>
  <c r="AK5193" i="3"/>
  <c r="AK5194" i="3"/>
  <c r="AK5195" i="3"/>
  <c r="AK5196" i="3"/>
  <c r="AK5197" i="3"/>
  <c r="AK5198" i="3"/>
  <c r="AK5199" i="3"/>
  <c r="AK5200" i="3"/>
  <c r="AK5201" i="3"/>
  <c r="AK5202" i="3"/>
  <c r="AK5203" i="3"/>
  <c r="AK5204" i="3"/>
  <c r="AK5205" i="3"/>
  <c r="AK5206" i="3"/>
  <c r="AK5207" i="3"/>
  <c r="AK5208" i="3"/>
  <c r="AK5209" i="3"/>
  <c r="AK5210" i="3"/>
  <c r="AK5211" i="3"/>
  <c r="AK5212" i="3"/>
  <c r="AK5213" i="3"/>
  <c r="AK5214" i="3"/>
  <c r="AK5215" i="3"/>
  <c r="AK5216" i="3"/>
  <c r="AK5217" i="3"/>
  <c r="AK5218" i="3"/>
  <c r="AK5219" i="3"/>
  <c r="AK5220" i="3"/>
  <c r="AK5221" i="3"/>
  <c r="AK5222" i="3"/>
  <c r="AK5223" i="3"/>
  <c r="AK5224" i="3"/>
  <c r="AK5225" i="3"/>
  <c r="AK5226" i="3"/>
  <c r="AK5227" i="3"/>
  <c r="AK5228" i="3"/>
  <c r="AK5229" i="3"/>
  <c r="AK5230" i="3"/>
  <c r="AK5231" i="3"/>
  <c r="AK5232" i="3"/>
  <c r="AK5233" i="3"/>
  <c r="AK5234" i="3"/>
  <c r="AK5235" i="3"/>
  <c r="AK5236" i="3"/>
  <c r="AK5237" i="3"/>
  <c r="AK5238" i="3"/>
  <c r="AK5239" i="3"/>
  <c r="AK5240" i="3"/>
  <c r="AK5241" i="3"/>
  <c r="AK5242" i="3"/>
  <c r="AK5243" i="3"/>
  <c r="AK5244" i="3"/>
  <c r="AK5245" i="3"/>
  <c r="AK5246" i="3"/>
  <c r="AK5247" i="3"/>
  <c r="AK5248" i="3"/>
  <c r="AK5249" i="3"/>
  <c r="AK5250" i="3"/>
  <c r="AK5251" i="3"/>
  <c r="AK5252" i="3"/>
  <c r="AK5253" i="3"/>
  <c r="AK5254" i="3"/>
  <c r="AK5255" i="3"/>
  <c r="AK5256" i="3"/>
  <c r="AK5257" i="3"/>
  <c r="AK5258" i="3"/>
  <c r="AK5259" i="3"/>
  <c r="AK5260" i="3"/>
  <c r="AK5261" i="3"/>
  <c r="AK5262" i="3"/>
  <c r="AK5263" i="3"/>
  <c r="AK5264" i="3"/>
  <c r="AK5265" i="3"/>
  <c r="AK5266" i="3"/>
  <c r="AK5267" i="3"/>
  <c r="AK5268" i="3"/>
  <c r="AK5269" i="3"/>
  <c r="AK5270" i="3"/>
  <c r="AK5271" i="3"/>
  <c r="AK5272" i="3"/>
  <c r="AK5273" i="3"/>
  <c r="AK5274" i="3"/>
  <c r="AK5275" i="3"/>
  <c r="AK5276" i="3"/>
  <c r="AK5277" i="3"/>
  <c r="AK5278" i="3"/>
  <c r="AK5279" i="3"/>
  <c r="AK5280" i="3"/>
  <c r="AK5281" i="3"/>
  <c r="AK5282" i="3"/>
  <c r="AK5283" i="3"/>
  <c r="AK5284" i="3"/>
  <c r="AK5285" i="3"/>
  <c r="AK5286" i="3"/>
  <c r="AK5287" i="3"/>
  <c r="AK5288" i="3"/>
  <c r="AK5289" i="3"/>
  <c r="AK5290" i="3"/>
  <c r="AK5291" i="3"/>
  <c r="AK5292" i="3"/>
  <c r="AK5293" i="3"/>
  <c r="AK5294" i="3"/>
  <c r="AK5295" i="3"/>
  <c r="AK5296" i="3"/>
  <c r="AK5297" i="3"/>
  <c r="AK5298" i="3"/>
  <c r="AK5299" i="3"/>
  <c r="AK5300" i="3"/>
  <c r="AK5301" i="3"/>
  <c r="AK5302" i="3"/>
  <c r="AK5303" i="3"/>
  <c r="AK5304" i="3"/>
  <c r="AK5305" i="3"/>
  <c r="AK5306" i="3"/>
  <c r="AK5307" i="3"/>
  <c r="AK5308" i="3"/>
  <c r="AK5309" i="3"/>
  <c r="AK5310" i="3"/>
  <c r="AK5311" i="3"/>
  <c r="AK5312" i="3"/>
  <c r="AK5313" i="3"/>
  <c r="AK5314" i="3"/>
  <c r="AK5315" i="3"/>
  <c r="AK5316" i="3"/>
  <c r="AK5317" i="3"/>
  <c r="AK5318" i="3"/>
  <c r="AK5319" i="3"/>
  <c r="AK5320" i="3"/>
  <c r="AK5321" i="3"/>
  <c r="AK5322" i="3"/>
  <c r="AK5323" i="3"/>
  <c r="AK5324" i="3"/>
  <c r="AK5325" i="3"/>
  <c r="AK5326" i="3"/>
  <c r="AK5327" i="3"/>
  <c r="AK5328" i="3"/>
  <c r="AK5329" i="3"/>
  <c r="AK5330" i="3"/>
  <c r="AK5331" i="3"/>
  <c r="AK5332" i="3"/>
  <c r="AK5333" i="3"/>
  <c r="AK5334" i="3"/>
  <c r="AK5335" i="3"/>
  <c r="AK5336" i="3"/>
  <c r="AK5337" i="3"/>
  <c r="AK5338" i="3"/>
  <c r="AK5339" i="3"/>
  <c r="AK5340" i="3"/>
  <c r="AK5341" i="3"/>
  <c r="AK5342" i="3"/>
  <c r="AK5343" i="3"/>
  <c r="AK5344" i="3"/>
  <c r="AK5345" i="3"/>
  <c r="AK5346" i="3"/>
  <c r="AK5347" i="3"/>
  <c r="AK5348" i="3"/>
  <c r="AK5349" i="3"/>
  <c r="AK5350" i="3"/>
  <c r="AK5351" i="3"/>
  <c r="AK5352" i="3"/>
  <c r="AK5353" i="3"/>
  <c r="AK5354" i="3"/>
  <c r="AK5355" i="3"/>
  <c r="AK5356" i="3"/>
  <c r="AK5357" i="3"/>
  <c r="AK5358" i="3"/>
  <c r="AK5359" i="3"/>
  <c r="AK5360" i="3"/>
  <c r="AK5361" i="3"/>
  <c r="AK5362" i="3"/>
  <c r="AK5363" i="3"/>
  <c r="AK5364" i="3"/>
  <c r="AK5365" i="3"/>
  <c r="AK5366" i="3"/>
  <c r="AK5367" i="3"/>
  <c r="AK5368" i="3"/>
  <c r="AK5369" i="3"/>
  <c r="AK5370" i="3"/>
  <c r="AK5371" i="3"/>
  <c r="AK5372" i="3"/>
  <c r="AK5373" i="3"/>
  <c r="AK5374" i="3"/>
  <c r="AK5375" i="3"/>
  <c r="AK5376" i="3"/>
  <c r="AK5377" i="3"/>
  <c r="AK5378" i="3"/>
  <c r="AK5379" i="3"/>
  <c r="AK5380" i="3"/>
  <c r="AK5381" i="3"/>
  <c r="AK5382" i="3"/>
  <c r="AK5383" i="3"/>
  <c r="AK5384" i="3"/>
  <c r="AK5385" i="3"/>
  <c r="AK5386" i="3"/>
  <c r="AK5387" i="3"/>
  <c r="AK5388" i="3"/>
  <c r="AK5389" i="3"/>
  <c r="AK5390" i="3"/>
  <c r="AK5391" i="3"/>
  <c r="AK5392" i="3"/>
  <c r="AK5393" i="3"/>
  <c r="AK5394" i="3"/>
  <c r="AK5395" i="3"/>
  <c r="AK5396" i="3"/>
  <c r="AK5397" i="3"/>
  <c r="AK5398" i="3"/>
  <c r="AK5399" i="3"/>
  <c r="AK5400" i="3"/>
  <c r="AK5401" i="3"/>
  <c r="AK5402" i="3"/>
  <c r="AK5403" i="3"/>
  <c r="AK5404" i="3"/>
  <c r="AK5405" i="3"/>
  <c r="AK5406" i="3"/>
  <c r="AK5407" i="3"/>
  <c r="AK5408" i="3"/>
  <c r="AK5409" i="3"/>
  <c r="AK5410" i="3"/>
  <c r="AK5411" i="3"/>
  <c r="AK5412" i="3"/>
  <c r="AK5413" i="3"/>
  <c r="AK5414" i="3"/>
  <c r="AK5415" i="3"/>
  <c r="AK5416" i="3"/>
  <c r="AK5417" i="3"/>
  <c r="AK5418" i="3"/>
  <c r="AK5419" i="3"/>
  <c r="AK5420" i="3"/>
  <c r="AK5421" i="3"/>
  <c r="AK5422" i="3"/>
  <c r="AK5423" i="3"/>
  <c r="AK5424" i="3"/>
  <c r="AK5425" i="3"/>
  <c r="AK5426" i="3"/>
  <c r="AK5427" i="3"/>
  <c r="AK5428" i="3"/>
  <c r="AK5429" i="3"/>
  <c r="AK5430" i="3"/>
  <c r="AK5431" i="3"/>
  <c r="AK5432" i="3"/>
  <c r="AK5433" i="3"/>
  <c r="AK5434" i="3"/>
  <c r="AK5435" i="3"/>
  <c r="AK5436" i="3"/>
  <c r="AK5437" i="3"/>
  <c r="AK5438" i="3"/>
  <c r="AK5439" i="3"/>
  <c r="AK5440" i="3"/>
  <c r="AK5441" i="3"/>
  <c r="AK5442" i="3"/>
  <c r="AK5443" i="3"/>
  <c r="AK5444" i="3"/>
  <c r="AK5445" i="3"/>
  <c r="AK5446" i="3"/>
  <c r="AK5447" i="3"/>
  <c r="AK5448" i="3"/>
  <c r="AK5449" i="3"/>
  <c r="AK5450" i="3"/>
  <c r="AK5451" i="3"/>
  <c r="AK5452" i="3"/>
  <c r="AK5453" i="3"/>
  <c r="AK5454" i="3"/>
  <c r="AK5455" i="3"/>
  <c r="AK5456" i="3"/>
  <c r="AK5457" i="3"/>
  <c r="AK5458" i="3"/>
  <c r="AK5459" i="3"/>
  <c r="AK5460" i="3"/>
  <c r="AK5461" i="3"/>
  <c r="AK5462" i="3"/>
  <c r="AK5463" i="3"/>
  <c r="AK5464" i="3"/>
  <c r="AK5465" i="3"/>
  <c r="AK5466" i="3"/>
  <c r="AK5467" i="3"/>
  <c r="AK5468" i="3"/>
  <c r="AK5469" i="3"/>
  <c r="AK5470" i="3"/>
  <c r="AK5471" i="3"/>
  <c r="AK5472" i="3"/>
  <c r="AK5473" i="3"/>
  <c r="AK5474" i="3"/>
  <c r="AK5475" i="3"/>
  <c r="AK5476" i="3"/>
  <c r="AK5477" i="3"/>
  <c r="AK5478" i="3"/>
  <c r="AK5479" i="3"/>
  <c r="AK5480" i="3"/>
  <c r="AK5481" i="3"/>
  <c r="AK5482" i="3"/>
  <c r="AK5483" i="3"/>
  <c r="AK5484" i="3"/>
  <c r="AK5485" i="3"/>
  <c r="AK5486" i="3"/>
  <c r="AK5487" i="3"/>
  <c r="AK5488" i="3"/>
  <c r="AK5489" i="3"/>
  <c r="AK5490" i="3"/>
  <c r="AK5491" i="3"/>
  <c r="AK5492" i="3"/>
  <c r="AK5493" i="3"/>
  <c r="AK5494" i="3"/>
  <c r="AK5495" i="3"/>
  <c r="AK5496" i="3"/>
  <c r="AK5497" i="3"/>
  <c r="AK5498" i="3"/>
  <c r="AK5499" i="3"/>
  <c r="AK5500" i="3"/>
  <c r="AK5501" i="3"/>
  <c r="AK5502" i="3"/>
  <c r="AK5503" i="3"/>
  <c r="AK5504" i="3"/>
  <c r="AK5505" i="3"/>
  <c r="AK5506" i="3"/>
  <c r="AK5507" i="3"/>
  <c r="AK5508" i="3"/>
  <c r="AK5509" i="3"/>
  <c r="AK5510" i="3"/>
  <c r="AK5511" i="3"/>
  <c r="AK5512" i="3"/>
  <c r="AK5513" i="3"/>
  <c r="AK5514" i="3"/>
  <c r="AK5515" i="3"/>
  <c r="AK5516" i="3"/>
  <c r="AK5517" i="3"/>
  <c r="AK5518" i="3"/>
  <c r="AK5519" i="3"/>
  <c r="AK5520" i="3"/>
  <c r="AK5521" i="3"/>
  <c r="AK5522" i="3"/>
  <c r="AK5523" i="3"/>
  <c r="AK5524" i="3"/>
  <c r="AK5525" i="3"/>
  <c r="AK5526" i="3"/>
  <c r="AK5527" i="3"/>
  <c r="AK5528" i="3"/>
  <c r="AK5529" i="3"/>
  <c r="AK5530" i="3"/>
  <c r="AK5531" i="3"/>
  <c r="AK5532" i="3"/>
  <c r="AK5533" i="3"/>
  <c r="AK5534" i="3"/>
  <c r="AK5535" i="3"/>
  <c r="AK5536" i="3"/>
  <c r="AK5537" i="3"/>
  <c r="AK5538" i="3"/>
  <c r="AK5539" i="3"/>
  <c r="AK5540" i="3"/>
  <c r="AK5541" i="3"/>
  <c r="AK5542" i="3"/>
  <c r="AK5543" i="3"/>
  <c r="AK5544" i="3"/>
  <c r="AK5545" i="3"/>
  <c r="AK5546" i="3"/>
  <c r="AK5547" i="3"/>
  <c r="AK5548" i="3"/>
  <c r="AK5549" i="3"/>
  <c r="AK5550" i="3"/>
  <c r="AK5551" i="3"/>
  <c r="AK5552" i="3"/>
  <c r="AK5553" i="3"/>
  <c r="AK5554" i="3"/>
  <c r="AK5555" i="3"/>
  <c r="AK5556" i="3"/>
  <c r="AK5557" i="3"/>
  <c r="AK5558" i="3"/>
  <c r="AK5559" i="3"/>
  <c r="AK5560" i="3"/>
  <c r="AK5561" i="3"/>
  <c r="AK5562" i="3"/>
  <c r="AK5563" i="3"/>
  <c r="AK5564" i="3"/>
  <c r="AK5565" i="3"/>
  <c r="AK5566" i="3"/>
  <c r="AK5567" i="3"/>
  <c r="AK5568" i="3"/>
  <c r="AK5569" i="3"/>
  <c r="AK5570" i="3"/>
  <c r="AK5571" i="3"/>
  <c r="AK5572" i="3"/>
  <c r="AK5573" i="3"/>
  <c r="AK5574" i="3"/>
  <c r="AK5575" i="3"/>
  <c r="AK5576" i="3"/>
  <c r="AK5577" i="3"/>
  <c r="AK5578" i="3"/>
  <c r="AK5579" i="3"/>
  <c r="AK5580" i="3"/>
  <c r="AK5581" i="3"/>
  <c r="AK5582" i="3"/>
  <c r="AK5583" i="3"/>
  <c r="AK5584" i="3"/>
  <c r="AK5585" i="3"/>
  <c r="AK5586" i="3"/>
  <c r="AK5587" i="3"/>
  <c r="AK5588" i="3"/>
  <c r="AK5589" i="3"/>
  <c r="AK5590" i="3"/>
  <c r="AK5591" i="3"/>
  <c r="AK5592" i="3"/>
  <c r="AK5593" i="3"/>
  <c r="AK5594" i="3"/>
  <c r="AK5595" i="3"/>
  <c r="AK5596" i="3"/>
  <c r="AK5597" i="3"/>
  <c r="AK5598" i="3"/>
  <c r="AK5599" i="3"/>
  <c r="AK5600" i="3"/>
  <c r="AK5601" i="3"/>
  <c r="AK5602" i="3"/>
  <c r="AK5603" i="3"/>
  <c r="AK5604" i="3"/>
  <c r="AK5605" i="3"/>
  <c r="AK5606" i="3"/>
  <c r="AK5607" i="3"/>
  <c r="AK5608" i="3"/>
  <c r="AK5609" i="3"/>
  <c r="AK5610" i="3"/>
  <c r="AK5611" i="3"/>
  <c r="AK5612" i="3"/>
  <c r="AK5613" i="3"/>
  <c r="AK5614" i="3"/>
  <c r="AK5615" i="3"/>
  <c r="AK5616" i="3"/>
  <c r="AK5617" i="3"/>
  <c r="AK5618" i="3"/>
  <c r="AK5619" i="3"/>
  <c r="AK5620" i="3"/>
  <c r="AK5621" i="3"/>
  <c r="AK5622" i="3"/>
  <c r="AK5623" i="3"/>
  <c r="AK5624" i="3"/>
  <c r="AK5625" i="3"/>
  <c r="AK5626" i="3"/>
  <c r="AK5627" i="3"/>
  <c r="AK5628" i="3"/>
  <c r="AK5629" i="3"/>
  <c r="AK5630" i="3"/>
  <c r="AK5631" i="3"/>
  <c r="AK5632" i="3"/>
  <c r="AK5633" i="3"/>
  <c r="AK5634" i="3"/>
  <c r="AK5635" i="3"/>
  <c r="AK5636" i="3"/>
  <c r="AK5637" i="3"/>
  <c r="AK5638" i="3"/>
  <c r="AK5639" i="3"/>
  <c r="AK5640" i="3"/>
  <c r="AK5641" i="3"/>
  <c r="AK5642" i="3"/>
  <c r="AK5643" i="3"/>
  <c r="AK5644" i="3"/>
  <c r="AK5645" i="3"/>
  <c r="AK5646" i="3"/>
  <c r="AK5647" i="3"/>
  <c r="AK5648" i="3"/>
  <c r="AK5649" i="3"/>
  <c r="AK5650" i="3"/>
  <c r="AK5651" i="3"/>
  <c r="AK5652" i="3"/>
  <c r="AK5653" i="3"/>
  <c r="AK5654" i="3"/>
  <c r="AK5655" i="3"/>
  <c r="AK5656" i="3"/>
  <c r="AK5657" i="3"/>
  <c r="AK5658" i="3"/>
  <c r="AK5659" i="3"/>
  <c r="AK5660" i="3"/>
  <c r="AK5661" i="3"/>
  <c r="AK5662" i="3"/>
  <c r="AK5663" i="3"/>
  <c r="AK5664" i="3"/>
  <c r="AK5665" i="3"/>
  <c r="AK5666" i="3"/>
  <c r="AK5667" i="3"/>
  <c r="AK5668" i="3"/>
  <c r="AK5669" i="3"/>
  <c r="AK5670" i="3"/>
  <c r="AK5671" i="3"/>
  <c r="AK5672" i="3"/>
  <c r="AK5673" i="3"/>
  <c r="AK5674" i="3"/>
  <c r="AK5675" i="3"/>
  <c r="AK5676" i="3"/>
  <c r="AK5677" i="3"/>
  <c r="AK5678" i="3"/>
  <c r="AK5679" i="3"/>
  <c r="AK5680" i="3"/>
  <c r="AK5681" i="3"/>
  <c r="AK5682" i="3"/>
  <c r="AK5683" i="3"/>
  <c r="AK5684" i="3"/>
  <c r="AK5685" i="3"/>
  <c r="AK5686" i="3"/>
  <c r="AK5687" i="3"/>
  <c r="AK5688" i="3"/>
  <c r="AK5689" i="3"/>
  <c r="AK5690" i="3"/>
  <c r="AK5691" i="3"/>
  <c r="AK5692" i="3"/>
  <c r="AK5693" i="3"/>
  <c r="AK5694" i="3"/>
  <c r="AK5695" i="3"/>
  <c r="AK5696" i="3"/>
  <c r="AK5697" i="3"/>
  <c r="AK5698" i="3"/>
  <c r="AK5699" i="3"/>
  <c r="AK5700" i="3"/>
  <c r="AK5701" i="3"/>
  <c r="AK5702" i="3"/>
  <c r="AK5703" i="3"/>
  <c r="AK5704" i="3"/>
  <c r="AK5705" i="3"/>
  <c r="AK5706" i="3"/>
  <c r="AK5707" i="3"/>
  <c r="AK5708" i="3"/>
  <c r="AK5709" i="3"/>
  <c r="AK5710" i="3"/>
  <c r="AK5711" i="3"/>
  <c r="AK5712" i="3"/>
  <c r="AK5713" i="3"/>
  <c r="AK5714" i="3"/>
  <c r="AK5715" i="3"/>
  <c r="AK5716" i="3"/>
  <c r="AK5717" i="3"/>
  <c r="AK5718" i="3"/>
  <c r="AK5719" i="3"/>
  <c r="AK5720" i="3"/>
  <c r="AK5721" i="3"/>
  <c r="AK5722" i="3"/>
  <c r="AK5723" i="3"/>
  <c r="AK5724" i="3"/>
  <c r="AK5725" i="3"/>
  <c r="AK5726" i="3"/>
  <c r="AK5727" i="3"/>
  <c r="AK5728" i="3"/>
  <c r="AK5729" i="3"/>
  <c r="AK5730" i="3"/>
  <c r="AK5731" i="3"/>
  <c r="AK5732" i="3"/>
  <c r="AK5733" i="3"/>
  <c r="AK5734" i="3"/>
  <c r="AK5735" i="3"/>
  <c r="AK5736" i="3"/>
  <c r="AK5737" i="3"/>
  <c r="AK5738" i="3"/>
  <c r="AK5739" i="3"/>
  <c r="AK5740" i="3"/>
  <c r="AK5741" i="3"/>
  <c r="AK5742" i="3"/>
  <c r="AK5743" i="3"/>
  <c r="AK5744" i="3"/>
  <c r="AK5745" i="3"/>
  <c r="AK5746" i="3"/>
  <c r="AK5747" i="3"/>
  <c r="AK5748" i="3"/>
  <c r="AK5749" i="3"/>
  <c r="AK5750" i="3"/>
  <c r="AK5751" i="3"/>
  <c r="AK5752" i="3"/>
  <c r="AK5753" i="3"/>
  <c r="AK5754" i="3"/>
  <c r="AK5755" i="3"/>
  <c r="AK5756" i="3"/>
  <c r="AK5757" i="3"/>
  <c r="AK5758" i="3"/>
  <c r="AK5759" i="3"/>
  <c r="AK5760" i="3"/>
  <c r="AK5761" i="3"/>
  <c r="AK5762" i="3"/>
  <c r="AK5763" i="3"/>
  <c r="AK5764" i="3"/>
  <c r="AK5765" i="3"/>
  <c r="AK5766" i="3"/>
  <c r="AK5767" i="3"/>
  <c r="AK5768" i="3"/>
  <c r="AK5769" i="3"/>
  <c r="AK5770" i="3"/>
  <c r="AK5771" i="3"/>
  <c r="AK5772" i="3"/>
  <c r="AK5773" i="3"/>
  <c r="AK5774" i="3"/>
  <c r="AK5775" i="3"/>
  <c r="AK5776" i="3"/>
  <c r="AK5777" i="3"/>
  <c r="AK5778" i="3"/>
  <c r="AK5779" i="3"/>
  <c r="AK5780" i="3"/>
  <c r="AK5781" i="3"/>
  <c r="AK5782" i="3"/>
  <c r="AK5783" i="3"/>
  <c r="AK5784" i="3"/>
  <c r="AK5785" i="3"/>
  <c r="AK5786" i="3"/>
  <c r="AK5787" i="3"/>
  <c r="AK5788" i="3"/>
  <c r="AK5789" i="3"/>
  <c r="AK5790" i="3"/>
  <c r="AK5791" i="3"/>
  <c r="AK5792" i="3"/>
  <c r="AK5793" i="3"/>
  <c r="AK5794" i="3"/>
  <c r="AK5795" i="3"/>
  <c r="AK5796" i="3"/>
  <c r="AK5797" i="3"/>
  <c r="AK5798" i="3"/>
  <c r="AK5799" i="3"/>
  <c r="AK5800" i="3"/>
  <c r="AK5801" i="3"/>
  <c r="AK5802" i="3"/>
  <c r="AK5803" i="3"/>
  <c r="AK5804" i="3"/>
  <c r="AK5805" i="3"/>
  <c r="AK5806" i="3"/>
  <c r="AK5807" i="3"/>
  <c r="AK5808" i="3"/>
  <c r="AK5809" i="3"/>
  <c r="AK5810" i="3"/>
  <c r="AK5811" i="3"/>
  <c r="AK5812" i="3"/>
  <c r="AK5813" i="3"/>
  <c r="AK5814" i="3"/>
  <c r="AK5815" i="3"/>
  <c r="AK5816" i="3"/>
  <c r="AK5817" i="3"/>
  <c r="AK5818" i="3"/>
  <c r="AK5819" i="3"/>
  <c r="AK5820" i="3"/>
  <c r="AK5821" i="3"/>
  <c r="AK5822" i="3"/>
  <c r="AK5823" i="3"/>
  <c r="AK5824" i="3"/>
  <c r="AK5825" i="3"/>
  <c r="AK5826" i="3"/>
  <c r="AK5827" i="3"/>
  <c r="AK5828" i="3"/>
  <c r="AK5829" i="3"/>
  <c r="AK5830" i="3"/>
  <c r="AK5831" i="3"/>
  <c r="AK5832" i="3"/>
  <c r="AK5833" i="3"/>
  <c r="AK5834" i="3"/>
  <c r="AK5835" i="3"/>
  <c r="AK5836" i="3"/>
  <c r="AK5837" i="3"/>
  <c r="AK5838" i="3"/>
  <c r="AK5839" i="3"/>
  <c r="AK5840" i="3"/>
  <c r="AK5841" i="3"/>
  <c r="AK5842" i="3"/>
  <c r="AK5843" i="3"/>
  <c r="AK5844" i="3"/>
  <c r="AK5845" i="3"/>
  <c r="AK5846" i="3"/>
  <c r="AK5847" i="3"/>
  <c r="AK5848" i="3"/>
  <c r="AK5849" i="3"/>
  <c r="AK5850" i="3"/>
  <c r="AK5851" i="3"/>
  <c r="AK5852" i="3"/>
  <c r="AK5853" i="3"/>
  <c r="AK5854" i="3"/>
  <c r="AK5855" i="3"/>
  <c r="AK5856" i="3"/>
  <c r="AK5857" i="3"/>
  <c r="AK5858" i="3"/>
  <c r="AK5859" i="3"/>
  <c r="AK5860" i="3"/>
  <c r="AK5861" i="3"/>
  <c r="AK5862" i="3"/>
  <c r="AK5863" i="3"/>
  <c r="AK5864" i="3"/>
  <c r="AK5865" i="3"/>
  <c r="AK5866" i="3"/>
  <c r="AK5867" i="3"/>
  <c r="AK5868" i="3"/>
  <c r="AK5869" i="3"/>
  <c r="AK5870" i="3"/>
  <c r="AK5871" i="3"/>
  <c r="AK5872" i="3"/>
  <c r="AK5873" i="3"/>
  <c r="AK5874" i="3"/>
  <c r="AK5875" i="3"/>
  <c r="AK5876" i="3"/>
  <c r="AK5877" i="3"/>
  <c r="AK5878" i="3"/>
  <c r="AK5879" i="3"/>
  <c r="AK5880" i="3"/>
  <c r="AK5881" i="3"/>
  <c r="AK5882" i="3"/>
  <c r="AK5883" i="3"/>
  <c r="AK5884" i="3"/>
  <c r="AK5885" i="3"/>
  <c r="AK5886" i="3"/>
  <c r="AK5887" i="3"/>
  <c r="AK5888" i="3"/>
  <c r="AK5889" i="3"/>
  <c r="AK5890" i="3"/>
  <c r="AK5891" i="3"/>
  <c r="AK5892" i="3"/>
  <c r="AK5893" i="3"/>
  <c r="AK5894" i="3"/>
  <c r="AK5895" i="3"/>
  <c r="AK5896" i="3"/>
  <c r="AK5897" i="3"/>
  <c r="AK5898" i="3"/>
  <c r="AK5899" i="3"/>
  <c r="AK5900" i="3"/>
  <c r="AK5901" i="3"/>
  <c r="AK5902" i="3"/>
  <c r="AK5903" i="3"/>
  <c r="AK5904" i="3"/>
  <c r="AK5905" i="3"/>
  <c r="AK5906" i="3"/>
  <c r="AK5907" i="3"/>
  <c r="AK5908" i="3"/>
  <c r="AK5909" i="3"/>
  <c r="AK5910" i="3"/>
  <c r="AK5911" i="3"/>
  <c r="AK5912" i="3"/>
  <c r="AK5913" i="3"/>
  <c r="AK5914" i="3"/>
  <c r="AK5915" i="3"/>
  <c r="AK5916" i="3"/>
  <c r="AK5917" i="3"/>
  <c r="AK5918" i="3"/>
  <c r="AK5919" i="3"/>
  <c r="AK5920" i="3"/>
  <c r="AK5921" i="3"/>
  <c r="AK5922" i="3"/>
  <c r="AK5923" i="3"/>
  <c r="AK5924" i="3"/>
  <c r="AK5925" i="3"/>
  <c r="AK5926" i="3"/>
  <c r="AK5927" i="3"/>
  <c r="AK5928" i="3"/>
  <c r="AK5929" i="3"/>
  <c r="AK5930" i="3"/>
  <c r="AK5931" i="3"/>
  <c r="AK5932" i="3"/>
  <c r="AK5933" i="3"/>
  <c r="AK5934" i="3"/>
  <c r="AK5935" i="3"/>
  <c r="AK5936" i="3"/>
  <c r="AK5937" i="3"/>
  <c r="AK5938" i="3"/>
  <c r="AK5939" i="3"/>
  <c r="AK5940" i="3"/>
  <c r="AK5941" i="3"/>
  <c r="AK5942" i="3"/>
  <c r="AK5943" i="3"/>
  <c r="AK5944" i="3"/>
  <c r="AK5945" i="3"/>
  <c r="AK5946" i="3"/>
  <c r="AK5947" i="3"/>
  <c r="AK5948" i="3"/>
  <c r="AK5949" i="3"/>
  <c r="AK5950" i="3"/>
  <c r="AK5951" i="3"/>
  <c r="AK5952" i="3"/>
  <c r="AK5953" i="3"/>
  <c r="AK5954" i="3"/>
  <c r="AK5955" i="3"/>
  <c r="AK5956" i="3"/>
  <c r="AK5957" i="3"/>
  <c r="AK5958" i="3"/>
  <c r="AK5959" i="3"/>
  <c r="AK5960" i="3"/>
  <c r="AK5961" i="3"/>
  <c r="AK5962" i="3"/>
  <c r="AK5963" i="3"/>
  <c r="AK5964" i="3"/>
  <c r="AK5965" i="3"/>
  <c r="AK5966" i="3"/>
  <c r="AK5967" i="3"/>
  <c r="AK5968" i="3"/>
  <c r="AK5969" i="3"/>
  <c r="AK5970" i="3"/>
  <c r="AK5971" i="3"/>
  <c r="AK5972" i="3"/>
  <c r="AK5973" i="3"/>
  <c r="AK5974" i="3"/>
  <c r="AK5975" i="3"/>
  <c r="AK5976" i="3"/>
  <c r="AK5977" i="3"/>
  <c r="AK5978" i="3"/>
  <c r="AK5979" i="3"/>
  <c r="AK5980" i="3"/>
  <c r="AK5981" i="3"/>
  <c r="AK5982" i="3"/>
  <c r="AK5983" i="3"/>
  <c r="AK5984" i="3"/>
  <c r="AK5985" i="3"/>
  <c r="AK5986" i="3"/>
  <c r="AK5987" i="3"/>
  <c r="AK5988" i="3"/>
  <c r="AK5989" i="3"/>
  <c r="AK5990" i="3"/>
  <c r="AK5991" i="3"/>
  <c r="AK5992" i="3"/>
  <c r="AK5993" i="3"/>
  <c r="AK5994" i="3"/>
  <c r="AK5995" i="3"/>
  <c r="AK5996" i="3"/>
  <c r="AK5997" i="3"/>
  <c r="AK5998" i="3"/>
  <c r="AK5999" i="3"/>
  <c r="AK6000" i="3"/>
  <c r="AK6001" i="3"/>
  <c r="AK6002" i="3"/>
  <c r="AK6003" i="3"/>
  <c r="AK6004" i="3"/>
  <c r="AK6005" i="3"/>
  <c r="AK6006" i="3"/>
  <c r="AK6007" i="3"/>
  <c r="AK6008" i="3"/>
  <c r="AK6009" i="3"/>
  <c r="AK6010" i="3"/>
  <c r="AK6011" i="3"/>
  <c r="AK6012" i="3"/>
  <c r="AK6013" i="3"/>
  <c r="AK6014" i="3"/>
  <c r="AK6015" i="3"/>
  <c r="AK6016" i="3"/>
  <c r="AK6017" i="3"/>
  <c r="AK6018" i="3"/>
  <c r="AK6019" i="3"/>
  <c r="AK6020" i="3"/>
  <c r="AK6021" i="3"/>
  <c r="AK6022" i="3"/>
  <c r="AK6023" i="3"/>
  <c r="AK6024" i="3"/>
  <c r="AK6025" i="3"/>
  <c r="AK6026" i="3"/>
  <c r="AK6027" i="3"/>
  <c r="AK6028" i="3"/>
  <c r="AK6029" i="3"/>
  <c r="AK6030" i="3"/>
  <c r="AK6031" i="3"/>
  <c r="AK6032" i="3"/>
  <c r="AK6033" i="3"/>
  <c r="AK6034" i="3"/>
  <c r="AK6035" i="3"/>
  <c r="AK6036" i="3"/>
  <c r="AK6037" i="3"/>
  <c r="AK6038" i="3"/>
  <c r="AK6039" i="3"/>
  <c r="AK6040" i="3"/>
  <c r="AK6041" i="3"/>
  <c r="AK6042" i="3"/>
  <c r="AK6043" i="3"/>
  <c r="AK6044" i="3"/>
  <c r="AK6045" i="3"/>
  <c r="AK6046" i="3"/>
  <c r="AK6047" i="3"/>
  <c r="AK6048" i="3"/>
  <c r="AK6049" i="3"/>
  <c r="AK6050" i="3"/>
  <c r="AK6051" i="3"/>
  <c r="AK6052" i="3"/>
  <c r="AK6053" i="3"/>
  <c r="AK6054" i="3"/>
  <c r="AK6055" i="3"/>
  <c r="AK6056" i="3"/>
  <c r="AK6057" i="3"/>
  <c r="AK6058" i="3"/>
  <c r="AK6059" i="3"/>
  <c r="AK6060" i="3"/>
  <c r="AK6061" i="3"/>
  <c r="AK6062" i="3"/>
  <c r="AK6063" i="3"/>
  <c r="AK6064" i="3"/>
  <c r="AK6065" i="3"/>
  <c r="AK6066" i="3"/>
  <c r="AK6067" i="3"/>
  <c r="AK6068" i="3"/>
  <c r="AK6069" i="3"/>
  <c r="AK6070" i="3"/>
  <c r="AK6071" i="3"/>
  <c r="AK6072" i="3"/>
  <c r="AK6073" i="3"/>
  <c r="AK6074" i="3"/>
  <c r="AK6075" i="3"/>
  <c r="AK6076" i="3"/>
  <c r="AK6077" i="3"/>
  <c r="AK6078" i="3"/>
  <c r="AK6079" i="3"/>
  <c r="AK6080" i="3"/>
  <c r="AK6081" i="3"/>
  <c r="AK6082" i="3"/>
  <c r="AK6083" i="3"/>
  <c r="AK6084" i="3"/>
  <c r="AK6085" i="3"/>
  <c r="AK6086" i="3"/>
  <c r="AK6087" i="3"/>
  <c r="AK6088" i="3"/>
  <c r="AK6089" i="3"/>
  <c r="AK6090" i="3"/>
  <c r="AK6091" i="3"/>
  <c r="AK6092" i="3"/>
  <c r="AK6093" i="3"/>
  <c r="AK6094" i="3"/>
  <c r="AK6095" i="3"/>
  <c r="AK6096" i="3"/>
  <c r="AK6097" i="3"/>
  <c r="AK6098" i="3"/>
  <c r="AK6099" i="3"/>
  <c r="AK6100" i="3"/>
  <c r="AK6101" i="3"/>
  <c r="AK6102" i="3"/>
  <c r="AK6103" i="3"/>
  <c r="AK6104" i="3"/>
  <c r="AK6105" i="3"/>
  <c r="AK6106" i="3"/>
  <c r="AK6107" i="3"/>
  <c r="AK6108" i="3"/>
  <c r="AK6109" i="3"/>
  <c r="AK6110" i="3"/>
  <c r="AK6111" i="3"/>
  <c r="AK6112" i="3"/>
  <c r="AK6113" i="3"/>
  <c r="AK6114" i="3"/>
  <c r="AK6115" i="3"/>
  <c r="AK6116" i="3"/>
  <c r="AK6117" i="3"/>
  <c r="AK6118" i="3"/>
  <c r="AK6119" i="3"/>
  <c r="AK6120" i="3"/>
  <c r="AK6121" i="3"/>
  <c r="AK6122" i="3"/>
  <c r="AK6123" i="3"/>
  <c r="AK6124" i="3"/>
  <c r="AK6125" i="3"/>
  <c r="AK6126" i="3"/>
  <c r="AK6127" i="3"/>
  <c r="AK6128" i="3"/>
  <c r="AK6129" i="3"/>
  <c r="AK6130" i="3"/>
  <c r="AK6131" i="3"/>
  <c r="AK6132" i="3"/>
  <c r="AK6133" i="3"/>
  <c r="AK6134" i="3"/>
  <c r="AK6135" i="3"/>
  <c r="AK6136" i="3"/>
  <c r="AK6137" i="3"/>
  <c r="AK6138" i="3"/>
  <c r="AK6139" i="3"/>
  <c r="AK6140" i="3"/>
  <c r="AK6141" i="3"/>
  <c r="AK6142" i="3"/>
  <c r="AK6143" i="3"/>
  <c r="AK6144" i="3"/>
  <c r="AK6145" i="3"/>
  <c r="AK6146" i="3"/>
  <c r="AK6147" i="3"/>
  <c r="AK6148" i="3"/>
  <c r="AK6149" i="3"/>
  <c r="AK6150" i="3"/>
  <c r="AK6151" i="3"/>
  <c r="AK6152" i="3"/>
  <c r="AK6153" i="3"/>
  <c r="AK6154" i="3"/>
  <c r="AK6155" i="3"/>
  <c r="AK6156" i="3"/>
  <c r="AK6157" i="3"/>
  <c r="AK6158" i="3"/>
  <c r="AK6159" i="3"/>
  <c r="AK6160" i="3"/>
  <c r="AK6161" i="3"/>
  <c r="AK6162" i="3"/>
  <c r="AK6163" i="3"/>
  <c r="AK6164" i="3"/>
  <c r="AK6165" i="3"/>
  <c r="AK6166" i="3"/>
  <c r="AK6167" i="3"/>
  <c r="AK6168" i="3"/>
  <c r="AK6169" i="3"/>
  <c r="AK6170" i="3"/>
  <c r="AK6171" i="3"/>
  <c r="AK6172" i="3"/>
  <c r="AK6173" i="3"/>
  <c r="AK6174" i="3"/>
  <c r="AK6175" i="3"/>
  <c r="AK6176" i="3"/>
  <c r="AK6177" i="3"/>
  <c r="AK6178" i="3"/>
  <c r="AK6179" i="3"/>
  <c r="AK6180" i="3"/>
  <c r="AK6181" i="3"/>
  <c r="AK6182" i="3"/>
  <c r="AK6183" i="3"/>
  <c r="AK6184" i="3"/>
  <c r="AK6185" i="3"/>
  <c r="AK6186" i="3"/>
  <c r="AK6187" i="3"/>
  <c r="AK6188" i="3"/>
  <c r="AK6189" i="3"/>
  <c r="AK6190" i="3"/>
  <c r="AK6191" i="3"/>
  <c r="AK6192" i="3"/>
  <c r="AK6193" i="3"/>
  <c r="AK6194" i="3"/>
  <c r="AK6195" i="3"/>
  <c r="AK6196" i="3"/>
  <c r="AK6197" i="3"/>
  <c r="AK6198" i="3"/>
  <c r="AK6199" i="3"/>
  <c r="AK6200" i="3"/>
  <c r="AK6201" i="3"/>
  <c r="AK6202" i="3"/>
  <c r="AK6203" i="3"/>
  <c r="AK6204" i="3"/>
  <c r="AK6205" i="3"/>
  <c r="AK6206" i="3"/>
  <c r="AK6207" i="3"/>
  <c r="AK6208" i="3"/>
  <c r="AK6209" i="3"/>
  <c r="AK6210" i="3"/>
  <c r="AK6211" i="3"/>
  <c r="AK6212" i="3"/>
  <c r="AK6213" i="3"/>
  <c r="AK6214" i="3"/>
  <c r="AK6215" i="3"/>
  <c r="AK6216" i="3"/>
  <c r="AK6217" i="3"/>
  <c r="AK6218" i="3"/>
  <c r="AK6219" i="3"/>
  <c r="AK6220" i="3"/>
  <c r="AK6221" i="3"/>
  <c r="AK6222" i="3"/>
  <c r="AK6223" i="3"/>
  <c r="AK6224" i="3"/>
  <c r="AK6225" i="3"/>
  <c r="AK6226" i="3"/>
  <c r="AK6227" i="3"/>
  <c r="AK6228" i="3"/>
  <c r="AK6229" i="3"/>
  <c r="AK6230" i="3"/>
  <c r="AK6231" i="3"/>
  <c r="AK6232" i="3"/>
  <c r="AK6233" i="3"/>
  <c r="AK6234" i="3"/>
  <c r="AK6235" i="3"/>
  <c r="AK6236" i="3"/>
  <c r="AK6237" i="3"/>
  <c r="AK6238" i="3"/>
  <c r="AK6239" i="3"/>
  <c r="AK6240" i="3"/>
  <c r="AK6241" i="3"/>
  <c r="AK6242" i="3"/>
  <c r="AK6243" i="3"/>
  <c r="AK6244" i="3"/>
  <c r="AK6245" i="3"/>
  <c r="AK6246" i="3"/>
  <c r="AK6247" i="3"/>
  <c r="AK6248" i="3"/>
  <c r="AK6249" i="3"/>
  <c r="AK6250" i="3"/>
  <c r="AK6251" i="3"/>
  <c r="AK6252" i="3"/>
  <c r="AK6253" i="3"/>
  <c r="AK6254" i="3"/>
  <c r="AK6255" i="3"/>
  <c r="AK6256" i="3"/>
  <c r="AK6257" i="3"/>
  <c r="AK6258" i="3"/>
  <c r="AK6259" i="3"/>
  <c r="AK6260" i="3"/>
  <c r="AK6261" i="3"/>
  <c r="AK6262" i="3"/>
  <c r="AK6263" i="3"/>
  <c r="AK6264" i="3"/>
  <c r="AK6265" i="3"/>
  <c r="AK6266" i="3"/>
  <c r="AK6267" i="3"/>
  <c r="AK6268" i="3"/>
  <c r="AK6269" i="3"/>
  <c r="AK6270" i="3"/>
  <c r="AK6271" i="3"/>
  <c r="AK6272" i="3"/>
  <c r="AK6273" i="3"/>
  <c r="AK6274" i="3"/>
  <c r="AK6275" i="3"/>
  <c r="AK6276" i="3"/>
  <c r="AK6277" i="3"/>
  <c r="AK6278" i="3"/>
  <c r="AK6279" i="3"/>
  <c r="AK6280" i="3"/>
  <c r="AK6281" i="3"/>
  <c r="AK6282" i="3"/>
  <c r="AK6283" i="3"/>
  <c r="AK6284" i="3"/>
  <c r="AK6285" i="3"/>
  <c r="AK6286" i="3"/>
  <c r="AK6287" i="3"/>
  <c r="AK6288" i="3"/>
  <c r="AK6289" i="3"/>
  <c r="AK6290" i="3"/>
  <c r="AK6291" i="3"/>
  <c r="AK6292" i="3"/>
  <c r="AK6293" i="3"/>
  <c r="AK6294" i="3"/>
  <c r="AK6295" i="3"/>
  <c r="AK6296" i="3"/>
  <c r="AK6297" i="3"/>
  <c r="AK6298" i="3"/>
  <c r="AK6299" i="3"/>
  <c r="AK6300" i="3"/>
  <c r="AK6301" i="3"/>
  <c r="AK6302" i="3"/>
  <c r="AK6303" i="3"/>
  <c r="AK6304" i="3"/>
  <c r="AK6305" i="3"/>
  <c r="AK6306" i="3"/>
  <c r="AK6307" i="3"/>
  <c r="AK6308" i="3"/>
  <c r="AK6309" i="3"/>
  <c r="AK6310" i="3"/>
  <c r="AK6311" i="3"/>
  <c r="AK6312" i="3"/>
  <c r="AK6313" i="3"/>
  <c r="AK6314" i="3"/>
  <c r="AK6315" i="3"/>
  <c r="AK6316" i="3"/>
  <c r="AK6317" i="3"/>
  <c r="AK6318" i="3"/>
  <c r="AK6319" i="3"/>
  <c r="AK6320" i="3"/>
  <c r="AK6321" i="3"/>
  <c r="AK6322" i="3"/>
  <c r="AK6323" i="3"/>
  <c r="AK6324" i="3"/>
  <c r="AK6325" i="3"/>
  <c r="AK6326" i="3"/>
  <c r="AK6327" i="3"/>
  <c r="AK6328" i="3"/>
  <c r="AK6329" i="3"/>
  <c r="AK6330" i="3"/>
  <c r="AK6331" i="3"/>
  <c r="AK6332" i="3"/>
  <c r="AK6333" i="3"/>
  <c r="AK6334" i="3"/>
  <c r="AK6335" i="3"/>
  <c r="AK6336" i="3"/>
  <c r="AK6337" i="3"/>
  <c r="AK6338" i="3"/>
  <c r="AK6339" i="3"/>
  <c r="AK6340" i="3"/>
  <c r="AK6341" i="3"/>
  <c r="AK6342" i="3"/>
  <c r="AK6343" i="3"/>
  <c r="AK6344" i="3"/>
  <c r="AK6345" i="3"/>
  <c r="AK6346" i="3"/>
  <c r="AK6347" i="3"/>
  <c r="AK6348" i="3"/>
  <c r="AK6349" i="3"/>
  <c r="AK6350" i="3"/>
  <c r="AK6351" i="3"/>
  <c r="AK6352" i="3"/>
  <c r="AK6353" i="3"/>
  <c r="AK6354" i="3"/>
  <c r="AK6355" i="3"/>
  <c r="AK6356" i="3"/>
  <c r="AK6357" i="3"/>
  <c r="AK6358" i="3"/>
  <c r="AK6359" i="3"/>
  <c r="AK6360" i="3"/>
  <c r="AK6361" i="3"/>
  <c r="AK6362" i="3"/>
  <c r="AK6363" i="3"/>
  <c r="AK6364" i="3"/>
  <c r="AK6365" i="3"/>
  <c r="AK6366" i="3"/>
  <c r="AK6367" i="3"/>
  <c r="AK6368" i="3"/>
  <c r="AK6369" i="3"/>
  <c r="AK6370" i="3"/>
  <c r="AK6371" i="3"/>
  <c r="AK6372" i="3"/>
  <c r="AK6373" i="3"/>
  <c r="AK6374" i="3"/>
  <c r="AK6375" i="3"/>
  <c r="AK6376" i="3"/>
  <c r="AK6377" i="3"/>
  <c r="AK6378" i="3"/>
  <c r="AK6379" i="3"/>
  <c r="AK6380" i="3"/>
  <c r="AK6381" i="3"/>
  <c r="AK6382" i="3"/>
  <c r="AK6383" i="3"/>
  <c r="AK6384" i="3"/>
  <c r="AK6385" i="3"/>
  <c r="AK6386" i="3"/>
  <c r="AK6387" i="3"/>
  <c r="AK6388" i="3"/>
  <c r="AK6389" i="3"/>
  <c r="AK6390" i="3"/>
  <c r="AK6391" i="3"/>
  <c r="AK6392" i="3"/>
  <c r="AK6393" i="3"/>
  <c r="AK6394" i="3"/>
  <c r="AK6395" i="3"/>
  <c r="AK6396" i="3"/>
  <c r="AK6397" i="3"/>
  <c r="AK6398" i="3"/>
  <c r="AK6399" i="3"/>
  <c r="AK6400" i="3"/>
  <c r="AK6401" i="3"/>
  <c r="AK6402" i="3"/>
  <c r="AK6403" i="3"/>
  <c r="AK6404" i="3"/>
  <c r="AK6405" i="3"/>
  <c r="AK6406" i="3"/>
  <c r="AK6407" i="3"/>
  <c r="AK6408" i="3"/>
  <c r="AK6409" i="3"/>
  <c r="AK6410" i="3"/>
  <c r="AK6411" i="3"/>
  <c r="AK6412" i="3"/>
  <c r="AK6413" i="3"/>
  <c r="AK6414" i="3"/>
  <c r="AK6415" i="3"/>
  <c r="AK6416" i="3"/>
  <c r="AK6417" i="3"/>
  <c r="AK6418" i="3"/>
  <c r="AK6419" i="3"/>
  <c r="AK6420" i="3"/>
  <c r="AK6421" i="3"/>
  <c r="AK6422" i="3"/>
  <c r="AK6423" i="3"/>
  <c r="AK6424" i="3"/>
  <c r="AK6425" i="3"/>
  <c r="AK6426" i="3"/>
  <c r="AK6427" i="3"/>
  <c r="AK6428" i="3"/>
  <c r="AK6429" i="3"/>
  <c r="AK6430" i="3"/>
  <c r="AK6431" i="3"/>
  <c r="AK6432" i="3"/>
  <c r="AK6433" i="3"/>
  <c r="AK6434" i="3"/>
  <c r="AK6435" i="3"/>
  <c r="AK6436" i="3"/>
  <c r="AK6437" i="3"/>
  <c r="AK6438" i="3"/>
  <c r="AK6439" i="3"/>
  <c r="AK6440" i="3"/>
  <c r="AK6441" i="3"/>
  <c r="AK6442" i="3"/>
  <c r="AK6443" i="3"/>
  <c r="AK6444" i="3"/>
  <c r="AK6445" i="3"/>
  <c r="AK6446" i="3"/>
  <c r="AK6447" i="3"/>
  <c r="AK6448" i="3"/>
  <c r="AK6449" i="3"/>
  <c r="AK6450" i="3"/>
  <c r="AK6451" i="3"/>
  <c r="AK6452" i="3"/>
  <c r="AK6453" i="3"/>
  <c r="AK6454" i="3"/>
  <c r="AK6455" i="3"/>
  <c r="AK6456" i="3"/>
  <c r="AK6457" i="3"/>
  <c r="AK6458" i="3"/>
  <c r="AK6459" i="3"/>
  <c r="AK6460" i="3"/>
  <c r="AK6461" i="3"/>
  <c r="AK6462" i="3"/>
  <c r="AK6463" i="3"/>
  <c r="AK6464" i="3"/>
  <c r="AK6465" i="3"/>
  <c r="AK6466" i="3"/>
  <c r="AK6467" i="3"/>
  <c r="AK6468" i="3"/>
  <c r="AK6469" i="3"/>
  <c r="AK6470" i="3"/>
  <c r="AK6471" i="3"/>
  <c r="AK6472" i="3"/>
  <c r="AK6473" i="3"/>
  <c r="AK6474" i="3"/>
  <c r="AK6475" i="3"/>
  <c r="AK6476" i="3"/>
  <c r="AK6477" i="3"/>
  <c r="AK6478" i="3"/>
  <c r="AK6479" i="3"/>
  <c r="AK6480" i="3"/>
  <c r="AK6481" i="3"/>
  <c r="AK6482" i="3"/>
  <c r="AK6483" i="3"/>
  <c r="AK6484" i="3"/>
  <c r="AK6485" i="3"/>
  <c r="AK6486" i="3"/>
  <c r="AK6487" i="3"/>
  <c r="AK6488" i="3"/>
  <c r="AK6489" i="3"/>
  <c r="AK6490" i="3"/>
  <c r="AK6491" i="3"/>
  <c r="AK6492" i="3"/>
  <c r="AK6493" i="3"/>
  <c r="AK6494" i="3"/>
  <c r="AK6495" i="3"/>
  <c r="AK6496" i="3"/>
  <c r="AK6497" i="3"/>
  <c r="AK6498" i="3"/>
  <c r="AK6499" i="3"/>
  <c r="AK6500" i="3"/>
  <c r="AK6501" i="3"/>
  <c r="AK6502" i="3"/>
  <c r="AK6503" i="3"/>
  <c r="AK6504" i="3"/>
  <c r="AK6505" i="3"/>
  <c r="AK6506" i="3"/>
  <c r="AK6507" i="3"/>
  <c r="AK6508" i="3"/>
  <c r="AK6509" i="3"/>
  <c r="AK6510" i="3"/>
  <c r="AK6511" i="3"/>
  <c r="AK6512" i="3"/>
  <c r="AK6513" i="3"/>
  <c r="AK6514" i="3"/>
  <c r="AK6515" i="3"/>
  <c r="AK6516" i="3"/>
  <c r="AK6517" i="3"/>
  <c r="AK6518" i="3"/>
  <c r="AK6519" i="3"/>
  <c r="AK6520" i="3"/>
  <c r="AK6521" i="3"/>
  <c r="AK6522" i="3"/>
  <c r="AK6523" i="3"/>
  <c r="AK6524" i="3"/>
  <c r="AK6525" i="3"/>
  <c r="AK6526" i="3"/>
  <c r="AK6527" i="3"/>
  <c r="AK6528" i="3"/>
  <c r="AK6529" i="3"/>
  <c r="AK6530" i="3"/>
  <c r="AK6531" i="3"/>
  <c r="AK6532" i="3"/>
  <c r="AK6533" i="3"/>
  <c r="AK6534" i="3"/>
  <c r="AK6535" i="3"/>
  <c r="AK6536" i="3"/>
  <c r="AK6537" i="3"/>
  <c r="AK6538" i="3"/>
  <c r="AK6539" i="3"/>
  <c r="AK6540" i="3"/>
  <c r="AK6541" i="3"/>
  <c r="AK6542" i="3"/>
  <c r="AK6543" i="3"/>
  <c r="AK6544" i="3"/>
  <c r="AK6545" i="3"/>
  <c r="AK6546" i="3"/>
  <c r="AK6547" i="3"/>
  <c r="AK6548" i="3"/>
  <c r="AK6549" i="3"/>
  <c r="AK6550" i="3"/>
  <c r="AK6551" i="3"/>
  <c r="AK6552" i="3"/>
  <c r="AK6553" i="3"/>
  <c r="AK6554" i="3"/>
  <c r="AK6555" i="3"/>
  <c r="AK6556" i="3"/>
  <c r="AK6557" i="3"/>
  <c r="AK6558" i="3"/>
  <c r="AK6559" i="3"/>
  <c r="AK6560" i="3"/>
  <c r="AK6561" i="3"/>
  <c r="AK6562" i="3"/>
  <c r="AK6563" i="3"/>
  <c r="AK6564" i="3"/>
  <c r="AK6565" i="3"/>
  <c r="AK6566" i="3"/>
  <c r="AK6567" i="3"/>
  <c r="AK6568" i="3"/>
  <c r="AK6569" i="3"/>
  <c r="AK6570" i="3"/>
  <c r="AK6571" i="3"/>
  <c r="AK6572" i="3"/>
  <c r="AK6573" i="3"/>
  <c r="AK6574" i="3"/>
  <c r="AK6575" i="3"/>
  <c r="AK6576" i="3"/>
  <c r="AK6577" i="3"/>
  <c r="AK6578" i="3"/>
  <c r="AK6579" i="3"/>
  <c r="AK6580" i="3"/>
  <c r="AK6581" i="3"/>
  <c r="AK6582" i="3"/>
  <c r="AK6583" i="3"/>
  <c r="AK6584" i="3"/>
  <c r="AK6585" i="3"/>
  <c r="AK6586" i="3"/>
  <c r="AK6587" i="3"/>
  <c r="AK6588" i="3"/>
  <c r="AK6589" i="3"/>
  <c r="AK6590" i="3"/>
  <c r="AK6591" i="3"/>
  <c r="AK6592" i="3"/>
  <c r="AK6593" i="3"/>
  <c r="AK6594" i="3"/>
  <c r="AK6595" i="3"/>
  <c r="AK6596" i="3"/>
  <c r="AK6597" i="3"/>
  <c r="AK6598" i="3"/>
  <c r="AK6599" i="3"/>
  <c r="AK6600" i="3"/>
  <c r="AK6601" i="3"/>
  <c r="AK6602" i="3"/>
  <c r="AK6603" i="3"/>
  <c r="AK6604" i="3"/>
  <c r="AK6605" i="3"/>
  <c r="AK6606" i="3"/>
  <c r="AK6607" i="3"/>
  <c r="AK6608" i="3"/>
  <c r="AK6609" i="3"/>
  <c r="AK6610" i="3"/>
  <c r="AK6611" i="3"/>
  <c r="AK6612" i="3"/>
  <c r="AK6613" i="3"/>
  <c r="AK6614" i="3"/>
  <c r="AK6615" i="3"/>
  <c r="AK6616" i="3"/>
  <c r="AK6617" i="3"/>
  <c r="AK6618" i="3"/>
  <c r="AK6619" i="3"/>
  <c r="AK6620" i="3"/>
  <c r="AK6621" i="3"/>
  <c r="AK6622" i="3"/>
  <c r="AK6623" i="3"/>
  <c r="AK6624" i="3"/>
  <c r="AK6625" i="3"/>
  <c r="AK6626" i="3"/>
  <c r="AK6627" i="3"/>
  <c r="AK6628" i="3"/>
  <c r="AK6629" i="3"/>
  <c r="AK6630" i="3"/>
  <c r="AK6631" i="3"/>
  <c r="AK6632" i="3"/>
  <c r="AK6633" i="3"/>
  <c r="AK6634" i="3"/>
  <c r="AK6635" i="3"/>
  <c r="AK6636" i="3"/>
  <c r="AK6637" i="3"/>
  <c r="AK6638" i="3"/>
  <c r="AK6639" i="3"/>
  <c r="AK6640" i="3"/>
  <c r="AK6641" i="3"/>
  <c r="AK6642" i="3"/>
  <c r="AK6643" i="3"/>
  <c r="AK6644" i="3"/>
  <c r="AK6645" i="3"/>
  <c r="AK6646" i="3"/>
  <c r="AK6647" i="3"/>
  <c r="AK6648" i="3"/>
  <c r="AK6649" i="3"/>
  <c r="AK6650" i="3"/>
  <c r="AK6651" i="3"/>
  <c r="AK6652" i="3"/>
  <c r="AK6653" i="3"/>
  <c r="AK6654" i="3"/>
  <c r="AK6655" i="3"/>
  <c r="AK6656" i="3"/>
  <c r="AK6657" i="3"/>
  <c r="AK6658" i="3"/>
  <c r="AK6659" i="3"/>
  <c r="AK6660" i="3"/>
  <c r="AK6661" i="3"/>
  <c r="AK6662" i="3"/>
  <c r="AK6663" i="3"/>
  <c r="AK6664" i="3"/>
  <c r="AK6665" i="3"/>
  <c r="AK6666" i="3"/>
  <c r="AK6667" i="3"/>
  <c r="AK6668" i="3"/>
  <c r="AK6669" i="3"/>
  <c r="AK6670" i="3"/>
  <c r="AK6671" i="3"/>
  <c r="AK6672" i="3"/>
  <c r="AK6673" i="3"/>
  <c r="AK6674" i="3"/>
  <c r="AK6675" i="3"/>
  <c r="AK6676" i="3"/>
  <c r="AK6677" i="3"/>
  <c r="AK6678" i="3"/>
  <c r="AK6679" i="3"/>
  <c r="AK6680" i="3"/>
  <c r="AK6681" i="3"/>
  <c r="AK6682" i="3"/>
  <c r="AK6683" i="3"/>
  <c r="AK6684" i="3"/>
  <c r="AK6685" i="3"/>
  <c r="AK6686" i="3"/>
  <c r="AK6687" i="3"/>
  <c r="AK6688" i="3"/>
  <c r="AK6689" i="3"/>
  <c r="AK6690" i="3"/>
  <c r="AK6691" i="3"/>
  <c r="AK6692" i="3"/>
  <c r="AK6693" i="3"/>
  <c r="AK6694" i="3"/>
  <c r="AK6695" i="3"/>
  <c r="AK6696" i="3"/>
  <c r="AK6697" i="3"/>
  <c r="AK6698" i="3"/>
  <c r="AK6699" i="3"/>
  <c r="AK6700" i="3"/>
  <c r="AK6701" i="3"/>
  <c r="AK6702" i="3"/>
  <c r="AK6703" i="3"/>
  <c r="AK6704" i="3"/>
  <c r="AK6705" i="3"/>
  <c r="AK6706" i="3"/>
  <c r="AK6707" i="3"/>
  <c r="AK6708" i="3"/>
  <c r="AK6709" i="3"/>
  <c r="AK6710" i="3"/>
  <c r="AK6711" i="3"/>
  <c r="AK6712" i="3"/>
  <c r="AK6713" i="3"/>
  <c r="AK6714" i="3"/>
  <c r="AK6715" i="3"/>
  <c r="AK6716" i="3"/>
  <c r="AK6717" i="3"/>
  <c r="AK6718" i="3"/>
  <c r="AK6719" i="3"/>
  <c r="AK6720" i="3"/>
  <c r="AK6721" i="3"/>
  <c r="AK6722" i="3"/>
  <c r="AK6723" i="3"/>
  <c r="AK6724" i="3"/>
  <c r="AK6725" i="3"/>
  <c r="AK6726" i="3"/>
  <c r="AK6727" i="3"/>
  <c r="AK6728" i="3"/>
  <c r="AK6729" i="3"/>
  <c r="AK6730" i="3"/>
  <c r="AK6731" i="3"/>
  <c r="AK6732" i="3"/>
  <c r="AK6733" i="3"/>
  <c r="AK6734" i="3"/>
  <c r="AK6735" i="3"/>
  <c r="AK6736" i="3"/>
  <c r="AK6737" i="3"/>
  <c r="AK6738" i="3"/>
  <c r="AK6739" i="3"/>
  <c r="AK6740" i="3"/>
  <c r="AK6741" i="3"/>
  <c r="AK6742" i="3"/>
  <c r="AK6743" i="3"/>
  <c r="AK6744" i="3"/>
  <c r="AK6745" i="3"/>
  <c r="AK6746" i="3"/>
  <c r="AK6747" i="3"/>
  <c r="AK6748" i="3"/>
  <c r="AK6749" i="3"/>
  <c r="AK6750" i="3"/>
  <c r="AK6751" i="3"/>
  <c r="AK6752" i="3"/>
  <c r="AK6753" i="3"/>
  <c r="AK6754" i="3"/>
  <c r="AK6755" i="3"/>
  <c r="AK6756" i="3"/>
  <c r="AK6757" i="3"/>
  <c r="AK6758" i="3"/>
  <c r="AK6759" i="3"/>
  <c r="AK6760" i="3"/>
  <c r="AK6761" i="3"/>
  <c r="AK6762" i="3"/>
  <c r="AK6763" i="3"/>
  <c r="AK6764" i="3"/>
  <c r="AK6765" i="3"/>
  <c r="AK6766" i="3"/>
  <c r="AK6767" i="3"/>
  <c r="AK6768" i="3"/>
  <c r="AK6769" i="3"/>
  <c r="AK6770" i="3"/>
  <c r="AK6771" i="3"/>
  <c r="AK6772" i="3"/>
  <c r="AK6773" i="3"/>
  <c r="AK6774" i="3"/>
  <c r="AK6775" i="3"/>
  <c r="AK6776" i="3"/>
  <c r="AK6777" i="3"/>
  <c r="AK6778" i="3"/>
  <c r="AK6779" i="3"/>
  <c r="AK6780" i="3"/>
  <c r="AK6781" i="3"/>
  <c r="AK6782" i="3"/>
  <c r="AK6783" i="3"/>
  <c r="AK6784" i="3"/>
  <c r="AK6785" i="3"/>
  <c r="AK6786" i="3"/>
  <c r="AK6787" i="3"/>
  <c r="AK6788" i="3"/>
  <c r="AK6789" i="3"/>
  <c r="AK6790" i="3"/>
  <c r="AK6791" i="3"/>
  <c r="AK6792" i="3"/>
  <c r="AK6793" i="3"/>
  <c r="AK6794" i="3"/>
  <c r="AK6795" i="3"/>
  <c r="AK6796" i="3"/>
  <c r="AK6797" i="3"/>
  <c r="AK6798" i="3"/>
  <c r="AK6799" i="3"/>
  <c r="AK6800" i="3"/>
  <c r="AK6801" i="3"/>
  <c r="AK6802" i="3"/>
  <c r="AK6803" i="3"/>
  <c r="AK6804" i="3"/>
  <c r="AK6805" i="3"/>
  <c r="AK6806" i="3"/>
  <c r="AK6807" i="3"/>
  <c r="AK6808" i="3"/>
  <c r="AK6809" i="3"/>
  <c r="AK6810" i="3"/>
  <c r="AK6811" i="3"/>
  <c r="AK6812" i="3"/>
  <c r="AK6813" i="3"/>
  <c r="AK6814" i="3"/>
  <c r="AK6815" i="3"/>
  <c r="AK6816" i="3"/>
  <c r="AK6817" i="3"/>
  <c r="AK6818" i="3"/>
  <c r="AK6819" i="3"/>
  <c r="AK6820" i="3"/>
  <c r="AK6821" i="3"/>
  <c r="AK6822" i="3"/>
  <c r="AK6823" i="3"/>
  <c r="AK6824" i="3"/>
  <c r="AK6825" i="3"/>
  <c r="AK6826" i="3"/>
  <c r="AK6827" i="3"/>
  <c r="AK6828" i="3"/>
  <c r="AK6829" i="3"/>
  <c r="AK6830" i="3"/>
  <c r="AK6831" i="3"/>
  <c r="AK6832" i="3"/>
  <c r="AK6833" i="3"/>
  <c r="AK6834" i="3"/>
  <c r="AK6835" i="3"/>
  <c r="AK6836" i="3"/>
  <c r="AK6837" i="3"/>
  <c r="AK6838" i="3"/>
  <c r="AK6839" i="3"/>
  <c r="AK6840" i="3"/>
  <c r="AK6841" i="3"/>
  <c r="AK6842" i="3"/>
  <c r="AK6843" i="3"/>
  <c r="AK6844" i="3"/>
  <c r="AK6845" i="3"/>
  <c r="AK6846" i="3"/>
  <c r="AK6847" i="3"/>
  <c r="AK6848" i="3"/>
  <c r="AK6849" i="3"/>
  <c r="AK6850" i="3"/>
  <c r="AK6851" i="3"/>
  <c r="AK6852" i="3"/>
  <c r="AK6853" i="3"/>
  <c r="AK6854" i="3"/>
  <c r="AK6855" i="3"/>
  <c r="AK6856" i="3"/>
  <c r="AK6857" i="3"/>
  <c r="AK6858" i="3"/>
  <c r="AK6859" i="3"/>
  <c r="AK6860" i="3"/>
  <c r="AK6861" i="3"/>
  <c r="AK6862" i="3"/>
  <c r="AK6863" i="3"/>
  <c r="AK6864" i="3"/>
  <c r="AK6865" i="3"/>
  <c r="AK6866" i="3"/>
  <c r="AK6867" i="3"/>
  <c r="AK6868" i="3"/>
  <c r="AK6869" i="3"/>
  <c r="AK6870" i="3"/>
  <c r="AK6871" i="3"/>
  <c r="AK6872" i="3"/>
  <c r="AK6873" i="3"/>
  <c r="AK6874" i="3"/>
  <c r="AK6875" i="3"/>
  <c r="AK6876" i="3"/>
  <c r="AK6877" i="3"/>
  <c r="AK6878" i="3"/>
  <c r="AK6879" i="3"/>
  <c r="AK6880" i="3"/>
  <c r="AK6881" i="3"/>
  <c r="AK6882" i="3"/>
  <c r="AK6883" i="3"/>
  <c r="AK6884" i="3"/>
  <c r="AK6885" i="3"/>
  <c r="AK6886" i="3"/>
  <c r="AK6887" i="3"/>
  <c r="AK6888" i="3"/>
  <c r="AK6889" i="3"/>
  <c r="AK6890" i="3"/>
  <c r="AK6891" i="3"/>
  <c r="AK6892" i="3"/>
  <c r="AK6893" i="3"/>
  <c r="AK6894" i="3"/>
  <c r="AK6895" i="3"/>
  <c r="AK6896" i="3"/>
  <c r="AK6897" i="3"/>
  <c r="AK6898" i="3"/>
  <c r="AK6899" i="3"/>
  <c r="AK6900" i="3"/>
  <c r="AK6901" i="3"/>
  <c r="AK6902" i="3"/>
  <c r="AK6903" i="3"/>
  <c r="AK6904" i="3"/>
  <c r="AK6905" i="3"/>
  <c r="AK6906" i="3"/>
  <c r="AK6907" i="3"/>
  <c r="AK6908" i="3"/>
  <c r="AK6909" i="3"/>
  <c r="AK6910" i="3"/>
  <c r="AK6911" i="3"/>
  <c r="AK6912" i="3"/>
  <c r="AK6913" i="3"/>
  <c r="AK6914" i="3"/>
  <c r="AK6915" i="3"/>
  <c r="AK6916" i="3"/>
  <c r="AK6917" i="3"/>
  <c r="AK6918" i="3"/>
  <c r="AK6919" i="3"/>
  <c r="AK6920" i="3"/>
  <c r="AK6921" i="3"/>
  <c r="AK6922" i="3"/>
  <c r="AK6923" i="3"/>
  <c r="AK6924" i="3"/>
  <c r="AK6925" i="3"/>
  <c r="AK6926" i="3"/>
  <c r="AK6927" i="3"/>
  <c r="AK6928" i="3"/>
  <c r="AK6929" i="3"/>
  <c r="AK6930" i="3"/>
  <c r="AK6931" i="3"/>
  <c r="AK6932" i="3"/>
  <c r="AK6933" i="3"/>
  <c r="AK6934" i="3"/>
  <c r="AK6935" i="3"/>
  <c r="AK6936" i="3"/>
  <c r="AK6937" i="3"/>
  <c r="AK6938" i="3"/>
  <c r="AK6939" i="3"/>
  <c r="AK6940" i="3"/>
  <c r="AK6941" i="3"/>
  <c r="AK6942" i="3"/>
  <c r="AK6943" i="3"/>
  <c r="AK6944" i="3"/>
  <c r="AK6945" i="3"/>
  <c r="AK6946" i="3"/>
  <c r="AK6947" i="3"/>
  <c r="AK6948" i="3"/>
  <c r="AK6949" i="3"/>
  <c r="AK6950" i="3"/>
  <c r="AK6951" i="3"/>
  <c r="AK6952" i="3"/>
  <c r="AK6953" i="3"/>
  <c r="AK6954" i="3"/>
  <c r="AK6955" i="3"/>
  <c r="AK6956" i="3"/>
  <c r="AK6957" i="3"/>
  <c r="AK6958" i="3"/>
  <c r="AK6959" i="3"/>
  <c r="AK6960" i="3"/>
  <c r="AK6961" i="3"/>
  <c r="AK6962" i="3"/>
  <c r="AK6963" i="3"/>
  <c r="AK6964" i="3"/>
  <c r="AK6965" i="3"/>
  <c r="AK6966" i="3"/>
  <c r="AK6967" i="3"/>
  <c r="AK6968" i="3"/>
  <c r="AK6969" i="3"/>
  <c r="AK6970" i="3"/>
  <c r="AK6971" i="3"/>
  <c r="AK6972" i="3"/>
  <c r="AK6973" i="3"/>
  <c r="AK6974" i="3"/>
  <c r="AK6975" i="3"/>
  <c r="AK6976" i="3"/>
  <c r="AK6977" i="3"/>
  <c r="AK6978" i="3"/>
  <c r="AK6979" i="3"/>
  <c r="AK6980" i="3"/>
  <c r="AK6981" i="3"/>
  <c r="AK6982" i="3"/>
  <c r="AK6983" i="3"/>
  <c r="AK6984" i="3"/>
  <c r="AK6985" i="3"/>
  <c r="AK6986" i="3"/>
  <c r="AK6987" i="3"/>
  <c r="AK6988" i="3"/>
  <c r="AK6989" i="3"/>
  <c r="AK6990" i="3"/>
  <c r="AK6991" i="3"/>
  <c r="AK6992" i="3"/>
  <c r="AK6993" i="3"/>
  <c r="AK6994" i="3"/>
  <c r="AK6995" i="3"/>
  <c r="AK6996" i="3"/>
  <c r="AK6997" i="3"/>
  <c r="AK6998" i="3"/>
  <c r="AK6999" i="3"/>
  <c r="AK7000" i="3"/>
  <c r="AK7001" i="3"/>
  <c r="AK7002" i="3"/>
  <c r="AK7003" i="3"/>
  <c r="AK7004" i="3"/>
  <c r="AK7005" i="3"/>
  <c r="AK7006" i="3"/>
  <c r="AK7007" i="3"/>
  <c r="AK7008" i="3"/>
  <c r="AK7009" i="3"/>
  <c r="AK7010" i="3"/>
  <c r="AK7011" i="3"/>
  <c r="AK7012" i="3"/>
  <c r="AK7013" i="3"/>
  <c r="AK7014" i="3"/>
  <c r="AK7015" i="3"/>
  <c r="AK7016" i="3"/>
  <c r="AK7017" i="3"/>
  <c r="AK7018" i="3"/>
  <c r="AK7019" i="3"/>
  <c r="AK7020" i="3"/>
  <c r="AK7021" i="3"/>
  <c r="AK7022" i="3"/>
  <c r="AK7023" i="3"/>
  <c r="AK7024" i="3"/>
  <c r="AK7025" i="3"/>
  <c r="AK7026" i="3"/>
  <c r="AK7027" i="3"/>
  <c r="AK7028" i="3"/>
  <c r="AK7029" i="3"/>
  <c r="AK7030" i="3"/>
  <c r="AK7031" i="3"/>
  <c r="AK7032" i="3"/>
  <c r="AK7033" i="3"/>
  <c r="AK7034" i="3"/>
  <c r="AK7035" i="3"/>
  <c r="AK7036" i="3"/>
  <c r="AK7037" i="3"/>
  <c r="AK7038" i="3"/>
  <c r="AK7039" i="3"/>
  <c r="AK7040" i="3"/>
  <c r="AK7041" i="3"/>
  <c r="AK7042" i="3"/>
  <c r="AK7043" i="3"/>
  <c r="AK7044" i="3"/>
  <c r="AK7045" i="3"/>
  <c r="AK7046" i="3"/>
  <c r="AK7047" i="3"/>
  <c r="AK7048" i="3"/>
  <c r="AK7049" i="3"/>
  <c r="AK7050" i="3"/>
  <c r="AK7051" i="3"/>
  <c r="AK7052" i="3"/>
  <c r="AK7053" i="3"/>
  <c r="AK7054" i="3"/>
  <c r="AK7055" i="3"/>
  <c r="AK7056" i="3"/>
  <c r="AK7057" i="3"/>
  <c r="AK7058" i="3"/>
  <c r="AK7059" i="3"/>
  <c r="AK7060" i="3"/>
  <c r="AK7061" i="3"/>
  <c r="AK7062" i="3"/>
  <c r="AK7063" i="3"/>
  <c r="AK7064" i="3"/>
  <c r="AK7065" i="3"/>
  <c r="AK7066" i="3"/>
  <c r="AK7067" i="3"/>
  <c r="AK7068" i="3"/>
  <c r="AK7069" i="3"/>
  <c r="AK7070" i="3"/>
  <c r="AK7071" i="3"/>
  <c r="AK7072" i="3"/>
  <c r="AK7073" i="3"/>
  <c r="AK7074" i="3"/>
  <c r="AK7075" i="3"/>
  <c r="AK7076" i="3"/>
  <c r="AK7077" i="3"/>
  <c r="AK7078" i="3"/>
  <c r="AK7079" i="3"/>
  <c r="AK7080" i="3"/>
  <c r="AK7081" i="3"/>
  <c r="AK7082" i="3"/>
  <c r="AK7083" i="3"/>
  <c r="AK7084" i="3"/>
  <c r="AK7085" i="3"/>
  <c r="AK7086" i="3"/>
  <c r="AK7087" i="3"/>
  <c r="AK7088" i="3"/>
  <c r="AK7089" i="3"/>
  <c r="AK7090" i="3"/>
  <c r="AK7091" i="3"/>
  <c r="AK7092" i="3"/>
  <c r="AK7093" i="3"/>
  <c r="AK7094" i="3"/>
  <c r="AK7095" i="3"/>
  <c r="AK7096" i="3"/>
  <c r="AK7097" i="3"/>
  <c r="AK7098" i="3"/>
  <c r="AK7099" i="3"/>
  <c r="AK7100" i="3"/>
  <c r="AK7101" i="3"/>
  <c r="AK7102" i="3"/>
  <c r="AK7103" i="3"/>
  <c r="AK7104" i="3"/>
  <c r="AK7105" i="3"/>
  <c r="AK7106" i="3"/>
  <c r="AK7107" i="3"/>
  <c r="AK7108" i="3"/>
  <c r="AK7109" i="3"/>
  <c r="AK7110" i="3"/>
  <c r="AK7111" i="3"/>
  <c r="AK7112" i="3"/>
  <c r="AK7113" i="3"/>
  <c r="AK7114" i="3"/>
  <c r="AK7115" i="3"/>
  <c r="AK7116" i="3"/>
  <c r="AK7117" i="3"/>
  <c r="AK7118" i="3"/>
  <c r="AK7119" i="3"/>
  <c r="AK7120" i="3"/>
  <c r="AK7121" i="3"/>
  <c r="AK7122" i="3"/>
  <c r="AK7123" i="3"/>
  <c r="AK7124" i="3"/>
  <c r="AK7125" i="3"/>
  <c r="AK7126" i="3"/>
  <c r="AK7127" i="3"/>
  <c r="AK7128" i="3"/>
  <c r="AK7129" i="3"/>
  <c r="AK7130" i="3"/>
  <c r="AK7131" i="3"/>
  <c r="AK7132" i="3"/>
  <c r="AK7133" i="3"/>
  <c r="AK7134" i="3"/>
  <c r="AK7135" i="3"/>
  <c r="AK7136" i="3"/>
  <c r="AK7137" i="3"/>
  <c r="AK7138" i="3"/>
  <c r="AK7139" i="3"/>
  <c r="AK7140" i="3"/>
  <c r="AK7141" i="3"/>
  <c r="AK7142" i="3"/>
  <c r="AK7143" i="3"/>
  <c r="AK7144" i="3"/>
  <c r="AK7145" i="3"/>
  <c r="AK7146" i="3"/>
  <c r="AK7147" i="3"/>
  <c r="AK7148" i="3"/>
  <c r="AK7149" i="3"/>
  <c r="AK7150" i="3"/>
  <c r="AK7151" i="3"/>
  <c r="AK7152" i="3"/>
  <c r="AK7153" i="3"/>
  <c r="AK7154" i="3"/>
  <c r="AK7155" i="3"/>
  <c r="AK7156" i="3"/>
  <c r="AK7157" i="3"/>
  <c r="AK7158" i="3"/>
  <c r="AK7159" i="3"/>
  <c r="AK7160" i="3"/>
  <c r="AK7161" i="3"/>
  <c r="AK7162" i="3"/>
  <c r="AK7163" i="3"/>
  <c r="AK7164" i="3"/>
  <c r="AK7165" i="3"/>
  <c r="AK7166" i="3"/>
  <c r="AK7167" i="3"/>
  <c r="AK7168" i="3"/>
  <c r="AK7169" i="3"/>
  <c r="AK7170" i="3"/>
  <c r="AK7171" i="3"/>
  <c r="AK7172" i="3"/>
  <c r="AK7173" i="3"/>
  <c r="AK7174" i="3"/>
  <c r="AK7175" i="3"/>
  <c r="AK7176" i="3"/>
  <c r="AK7177" i="3"/>
  <c r="AK7178" i="3"/>
  <c r="AK7179" i="3"/>
  <c r="AK7180" i="3"/>
  <c r="AK7181" i="3"/>
  <c r="AK7182" i="3"/>
  <c r="AK7183" i="3"/>
  <c r="AK7184" i="3"/>
  <c r="AK7185" i="3"/>
  <c r="AK7186" i="3"/>
  <c r="AK7187" i="3"/>
  <c r="AK7188" i="3"/>
  <c r="AK7189" i="3"/>
  <c r="AK7190" i="3"/>
  <c r="AK7191" i="3"/>
  <c r="AK7192" i="3"/>
  <c r="AK7193" i="3"/>
  <c r="AK7194" i="3"/>
  <c r="AK7195" i="3"/>
  <c r="AK7196" i="3"/>
  <c r="AK7197" i="3"/>
  <c r="AK7198" i="3"/>
  <c r="AK7199" i="3"/>
  <c r="AK7200" i="3"/>
  <c r="AK7201" i="3"/>
  <c r="AK7202" i="3"/>
  <c r="AK7203" i="3"/>
  <c r="AK7204" i="3"/>
  <c r="AK7205" i="3"/>
  <c r="AK7206" i="3"/>
  <c r="AK7207" i="3"/>
  <c r="AK7208" i="3"/>
  <c r="AK7209" i="3"/>
  <c r="AK7210" i="3"/>
  <c r="AK7211" i="3"/>
  <c r="AK7212" i="3"/>
  <c r="AK7213" i="3"/>
  <c r="AK7214" i="3"/>
  <c r="AK7215" i="3"/>
  <c r="AK7216" i="3"/>
  <c r="AK7217" i="3"/>
  <c r="AK7218" i="3"/>
  <c r="AK7219" i="3"/>
  <c r="AK7220" i="3"/>
  <c r="AK7221" i="3"/>
  <c r="AK7222" i="3"/>
  <c r="AK7223" i="3"/>
  <c r="AK7224" i="3"/>
  <c r="AK7225" i="3"/>
  <c r="AK7226" i="3"/>
  <c r="AK7227" i="3"/>
  <c r="AK7228" i="3"/>
  <c r="AK7229" i="3"/>
  <c r="AK7230" i="3"/>
  <c r="AK7231" i="3"/>
  <c r="AK7232" i="3"/>
  <c r="AK7233" i="3"/>
  <c r="AK7234" i="3"/>
  <c r="AK7235" i="3"/>
  <c r="AK7236" i="3"/>
  <c r="AK7237" i="3"/>
  <c r="AK7238" i="3"/>
  <c r="AK7239" i="3"/>
  <c r="AK7240" i="3"/>
  <c r="AK7241" i="3"/>
  <c r="AK7242" i="3"/>
  <c r="AK7243" i="3"/>
  <c r="AK7244" i="3"/>
  <c r="AK7245" i="3"/>
  <c r="AK7246" i="3"/>
  <c r="AK7247" i="3"/>
  <c r="AK7248" i="3"/>
  <c r="AK7249" i="3"/>
  <c r="AK7250" i="3"/>
  <c r="AK7251" i="3"/>
  <c r="AK7252" i="3"/>
  <c r="AK7253" i="3"/>
  <c r="AK7254" i="3"/>
  <c r="AK7255" i="3"/>
  <c r="AK7256" i="3"/>
  <c r="AK7257" i="3"/>
  <c r="AK7258" i="3"/>
  <c r="AK7259" i="3"/>
  <c r="AK7260" i="3"/>
  <c r="AK7261" i="3"/>
  <c r="AK7262" i="3"/>
  <c r="AK7263" i="3"/>
  <c r="AK7264" i="3"/>
  <c r="AK7265" i="3"/>
  <c r="AK7266" i="3"/>
  <c r="AK7267" i="3"/>
  <c r="AK7268" i="3"/>
  <c r="AK7269" i="3"/>
  <c r="AK7270" i="3"/>
  <c r="AK7271" i="3"/>
  <c r="AK7272" i="3"/>
  <c r="AK7273" i="3"/>
  <c r="AK7274" i="3"/>
  <c r="AK7275" i="3"/>
  <c r="AK7276" i="3"/>
  <c r="AK7277" i="3"/>
  <c r="AK7278" i="3"/>
  <c r="AK7279" i="3"/>
  <c r="AK7280" i="3"/>
  <c r="AK7281" i="3"/>
  <c r="AK7282" i="3"/>
  <c r="AK7283" i="3"/>
  <c r="AK7284" i="3"/>
  <c r="AK7285" i="3"/>
  <c r="AK7286" i="3"/>
  <c r="AK7287" i="3"/>
  <c r="AK7288" i="3"/>
  <c r="AK7289" i="3"/>
  <c r="AK7290" i="3"/>
  <c r="AK7291" i="3"/>
  <c r="AK7292" i="3"/>
  <c r="AK7293" i="3"/>
  <c r="AK7294" i="3"/>
  <c r="AK7295" i="3"/>
  <c r="AK7296" i="3"/>
  <c r="AK7297" i="3"/>
  <c r="AK7298" i="3"/>
  <c r="AK7299" i="3"/>
  <c r="AK7300" i="3"/>
  <c r="AK7301" i="3"/>
  <c r="AK7302" i="3"/>
  <c r="AK7303" i="3"/>
  <c r="AK7304" i="3"/>
  <c r="AK7305" i="3"/>
  <c r="AK7306" i="3"/>
  <c r="AK7307" i="3"/>
  <c r="AK7308" i="3"/>
  <c r="AK7309" i="3"/>
  <c r="AK7310" i="3"/>
  <c r="AK7311" i="3"/>
  <c r="AK7312" i="3"/>
  <c r="AK7313" i="3"/>
  <c r="AK7314" i="3"/>
  <c r="AK7315" i="3"/>
  <c r="AK7316" i="3"/>
  <c r="AK7317" i="3"/>
  <c r="AK7318" i="3"/>
  <c r="AK7319" i="3"/>
  <c r="AK7320" i="3"/>
  <c r="AK7321" i="3"/>
  <c r="AK7322" i="3"/>
  <c r="AK7323" i="3"/>
  <c r="AK7324" i="3"/>
  <c r="AK7325" i="3"/>
  <c r="AK7326" i="3"/>
  <c r="AK7327" i="3"/>
  <c r="AK7328" i="3"/>
  <c r="AK7329" i="3"/>
  <c r="AK7330" i="3"/>
  <c r="AK7331" i="3"/>
  <c r="AK7332" i="3"/>
  <c r="AK7333" i="3"/>
  <c r="AK7334" i="3"/>
  <c r="AK7335" i="3"/>
  <c r="AK7336" i="3"/>
  <c r="AK7337" i="3"/>
  <c r="AK7338" i="3"/>
  <c r="AK7339" i="3"/>
  <c r="AK7340" i="3"/>
  <c r="AK7341" i="3"/>
  <c r="AK7342" i="3"/>
  <c r="AK7343" i="3"/>
  <c r="AK7344" i="3"/>
  <c r="AK7345" i="3"/>
  <c r="AK7346" i="3"/>
  <c r="AK7347" i="3"/>
  <c r="AK7348" i="3"/>
  <c r="AK7349" i="3"/>
  <c r="AK7350" i="3"/>
  <c r="AK7351" i="3"/>
  <c r="AK2" i="3"/>
  <c r="E9" i="15" l="1"/>
  <c r="AD7345" i="3" l="1"/>
  <c r="V6775" i="3"/>
  <c r="AD6775" i="3" s="1"/>
  <c r="V6779" i="3"/>
  <c r="AD6779" i="3" s="1"/>
  <c r="V6780" i="3"/>
  <c r="AD6780" i="3" s="1"/>
  <c r="V6783" i="3"/>
  <c r="V6788" i="3"/>
  <c r="AD6788" i="3" s="1"/>
  <c r="V6791" i="3"/>
  <c r="AD6791" i="3" s="1"/>
  <c r="V6794" i="3"/>
  <c r="V6795" i="3"/>
  <c r="AD6795" i="3" s="1"/>
  <c r="V6798" i="3"/>
  <c r="AD6798" i="3" s="1"/>
  <c r="V6800" i="3"/>
  <c r="AD6800" i="3" s="1"/>
  <c r="V6803" i="3"/>
  <c r="V6804" i="3"/>
  <c r="V6808" i="3"/>
  <c r="V6809" i="3"/>
  <c r="AD6809" i="3" s="1"/>
  <c r="V6810" i="3"/>
  <c r="AD6810" i="3" s="1"/>
  <c r="V6816" i="3"/>
  <c r="AD6816" i="3" s="1"/>
  <c r="V6820" i="3"/>
  <c r="V6821" i="3"/>
  <c r="AD6821" i="3" s="1"/>
  <c r="V6822" i="3"/>
  <c r="V6828" i="3"/>
  <c r="AD6828" i="3" s="1"/>
  <c r="V6829" i="3"/>
  <c r="AD6829" i="3" s="1"/>
  <c r="V6830" i="3"/>
  <c r="AD6830" i="3" s="1"/>
  <c r="V6832" i="3"/>
  <c r="AD6832" i="3" s="1"/>
  <c r="V6838" i="3"/>
  <c r="AD6838" i="3" s="1"/>
  <c r="V6839" i="3"/>
  <c r="V6840" i="3"/>
  <c r="V6843" i="3"/>
  <c r="V6844" i="3"/>
  <c r="V6845" i="3"/>
  <c r="AD6845" i="3" s="1"/>
  <c r="V6846" i="3"/>
  <c r="AD6846" i="3" s="1"/>
  <c r="V6848" i="3"/>
  <c r="V6849" i="3"/>
  <c r="AD6849" i="3" s="1"/>
  <c r="V6850" i="3"/>
  <c r="V6851" i="3"/>
  <c r="V6856" i="3"/>
  <c r="AD6856" i="3" s="1"/>
  <c r="V6858" i="3"/>
  <c r="AD6858" i="3" s="1"/>
  <c r="V6859" i="3"/>
  <c r="AD6859" i="3" s="1"/>
  <c r="V6860" i="3"/>
  <c r="V6861" i="3"/>
  <c r="AD6861" i="3" s="1"/>
  <c r="V6862" i="3"/>
  <c r="AD6862" i="3" s="1"/>
  <c r="V6864" i="3"/>
  <c r="V6869" i="3"/>
  <c r="AD6869" i="3" s="1"/>
  <c r="V6870" i="3"/>
  <c r="V6875" i="3"/>
  <c r="AD6875" i="3" s="1"/>
  <c r="V6879" i="3"/>
  <c r="V6881" i="3"/>
  <c r="AD6881" i="3" s="1"/>
  <c r="V6883" i="3"/>
  <c r="V6884" i="3"/>
  <c r="V6885" i="3"/>
  <c r="AD6885" i="3" s="1"/>
  <c r="V6886" i="3"/>
  <c r="AD6886" i="3" s="1"/>
  <c r="V6888" i="3"/>
  <c r="AD6888" i="3" s="1"/>
  <c r="V6890" i="3"/>
  <c r="AD6890" i="3" s="1"/>
  <c r="V6895" i="3"/>
  <c r="AD6895" i="3" s="1"/>
  <c r="V6898" i="3"/>
  <c r="AD6898" i="3" s="1"/>
  <c r="V6903" i="3"/>
  <c r="V6904" i="3"/>
  <c r="V6905" i="3"/>
  <c r="AD6905" i="3" s="1"/>
  <c r="V6907" i="3"/>
  <c r="AD6907" i="3" s="1"/>
  <c r="V6908" i="3"/>
  <c r="V6910" i="3"/>
  <c r="V6915" i="3"/>
  <c r="AD6915" i="3" s="1"/>
  <c r="V6922" i="3"/>
  <c r="V6923" i="3"/>
  <c r="V6924" i="3"/>
  <c r="V6925" i="3"/>
  <c r="AD6925" i="3" s="1"/>
  <c r="V6935" i="3"/>
  <c r="AD6935" i="3" s="1"/>
  <c r="V6936" i="3"/>
  <c r="AD6936" i="3" s="1"/>
  <c r="V6937" i="3"/>
  <c r="AD6937" i="3" s="1"/>
  <c r="V6939" i="3"/>
  <c r="AD6939" i="3" s="1"/>
  <c r="V6940" i="3"/>
  <c r="V6941" i="3"/>
  <c r="AD6941" i="3" s="1"/>
  <c r="V6942" i="3"/>
  <c r="V6943" i="3"/>
  <c r="V6944" i="3"/>
  <c r="V6946" i="3"/>
  <c r="AD6946" i="3" s="1"/>
  <c r="V6948" i="3"/>
  <c r="V6953" i="3"/>
  <c r="V6954" i="3"/>
  <c r="V6955" i="3"/>
  <c r="AD6955" i="3" s="1"/>
  <c r="V6957" i="3"/>
  <c r="AD6957" i="3" s="1"/>
  <c r="V6958" i="3"/>
  <c r="AD6958" i="3" s="1"/>
  <c r="V6960" i="3"/>
  <c r="AD6960" i="3" s="1"/>
  <c r="V6965" i="3"/>
  <c r="AD6965" i="3" s="1"/>
  <c r="V6966" i="3"/>
  <c r="AD6966" i="3" s="1"/>
  <c r="V6968" i="3"/>
  <c r="V6969" i="3"/>
  <c r="AD6969" i="3" s="1"/>
  <c r="V6973" i="3"/>
  <c r="V6974" i="3"/>
  <c r="V6975" i="3"/>
  <c r="AD6975" i="3" s="1"/>
  <c r="V6978" i="3"/>
  <c r="V6979" i="3"/>
  <c r="AD6979" i="3" s="1"/>
  <c r="V6986" i="3"/>
  <c r="AD6986" i="3" s="1"/>
  <c r="V6987" i="3"/>
  <c r="AD6987" i="3" s="1"/>
  <c r="V6988" i="3"/>
  <c r="V6989" i="3"/>
  <c r="AD6989" i="3" s="1"/>
  <c r="V6990" i="3"/>
  <c r="AD6990" i="3" s="1"/>
  <c r="V6991" i="3"/>
  <c r="V6992" i="3"/>
  <c r="V6993" i="3"/>
  <c r="V6994" i="3"/>
  <c r="V6995" i="3"/>
  <c r="AD6995" i="3" s="1"/>
  <c r="V6996" i="3"/>
  <c r="AD6996" i="3" s="1"/>
  <c r="V6997" i="3"/>
  <c r="AD6997" i="3" s="1"/>
  <c r="V6998" i="3"/>
  <c r="AD6998" i="3" s="1"/>
  <c r="V7005" i="3"/>
  <c r="AD7005" i="3" s="1"/>
  <c r="V7008" i="3"/>
  <c r="V7009" i="3"/>
  <c r="AD7009" i="3" s="1"/>
  <c r="V7013" i="3"/>
  <c r="V7014" i="3"/>
  <c r="V7015" i="3"/>
  <c r="AD7015" i="3" s="1"/>
  <c r="V7016" i="3"/>
  <c r="AD7016" i="3" s="1"/>
  <c r="V7017" i="3"/>
  <c r="AD7017" i="3" s="1"/>
  <c r="V7018" i="3"/>
  <c r="V7019" i="3"/>
  <c r="AD7019" i="3" s="1"/>
  <c r="V7024" i="3"/>
  <c r="V7026" i="3"/>
  <c r="AD7026" i="3" s="1"/>
  <c r="V7028" i="3"/>
  <c r="V7029" i="3"/>
  <c r="AD7029" i="3" s="1"/>
  <c r="V7030" i="3"/>
  <c r="V7035" i="3"/>
  <c r="AD7035" i="3" s="1"/>
  <c r="V7038" i="3"/>
  <c r="V7039" i="3"/>
  <c r="AD7039" i="3" s="1"/>
  <c r="V7040" i="3"/>
  <c r="V7041" i="3"/>
  <c r="AD7041" i="3" s="1"/>
  <c r="V7042" i="3"/>
  <c r="V7043" i="3"/>
  <c r="V7044" i="3"/>
  <c r="V7048" i="3"/>
  <c r="V7049" i="3"/>
  <c r="AD7049" i="3" s="1"/>
  <c r="V7055" i="3"/>
  <c r="AD7055" i="3" s="1"/>
  <c r="V7057" i="3"/>
  <c r="AD7057" i="3" s="1"/>
  <c r="V7058" i="3"/>
  <c r="V7062" i="3"/>
  <c r="V7063" i="3"/>
  <c r="V7064" i="3"/>
  <c r="V7065" i="3"/>
  <c r="AD7065" i="3" s="1"/>
  <c r="V7066" i="3"/>
  <c r="AD7066" i="3" s="1"/>
  <c r="V7067" i="3"/>
  <c r="AD7067" i="3" s="1"/>
  <c r="V7068" i="3"/>
  <c r="V7069" i="3"/>
  <c r="AD7069" i="3" s="1"/>
  <c r="V7070" i="3"/>
  <c r="V7073" i="3"/>
  <c r="V7075" i="3"/>
  <c r="AD7075" i="3" s="1"/>
  <c r="V7078" i="3"/>
  <c r="V7079" i="3"/>
  <c r="AD7079" i="3" s="1"/>
  <c r="V7080" i="3"/>
  <c r="V7081" i="3"/>
  <c r="V7087" i="3"/>
  <c r="AD7087" i="3" s="1"/>
  <c r="V7088" i="3"/>
  <c r="V7089" i="3"/>
  <c r="AD7089" i="3" s="1"/>
  <c r="V7093" i="3"/>
  <c r="V7096" i="3"/>
  <c r="AD7096" i="3" s="1"/>
  <c r="V7097" i="3"/>
  <c r="AD7097" i="3" s="1"/>
  <c r="V7098" i="3"/>
  <c r="V7100" i="3"/>
  <c r="AD7100" i="3" s="1"/>
  <c r="V7105" i="3"/>
  <c r="AD7105" i="3" s="1"/>
  <c r="V7108" i="3"/>
  <c r="V7110" i="3"/>
  <c r="AD7110" i="3" s="1"/>
  <c r="V7113" i="3"/>
  <c r="V7114" i="3"/>
  <c r="V7116" i="3"/>
  <c r="AD7116" i="3" s="1"/>
  <c r="V7118" i="3"/>
  <c r="V7126" i="3"/>
  <c r="AD7126" i="3" s="1"/>
  <c r="V7128" i="3"/>
  <c r="V7130" i="3"/>
  <c r="AD7130" i="3" s="1"/>
  <c r="V7131" i="3"/>
  <c r="AD7131" i="3" s="1"/>
  <c r="V7134" i="3"/>
  <c r="V7136" i="3"/>
  <c r="AD7136" i="3" s="1"/>
  <c r="V7140" i="3"/>
  <c r="V7143" i="3"/>
  <c r="V7145" i="3"/>
  <c r="AD7145" i="3" s="1"/>
  <c r="V7146" i="3"/>
  <c r="AD7146" i="3" s="1"/>
  <c r="V7147" i="3"/>
  <c r="AD7147" i="3" s="1"/>
  <c r="V7148" i="3"/>
  <c r="V7150" i="3"/>
  <c r="V7151" i="3"/>
  <c r="V7155" i="3"/>
  <c r="AD7155" i="3" s="1"/>
  <c r="V7156" i="3"/>
  <c r="AD7156" i="3" s="1"/>
  <c r="V7160" i="3"/>
  <c r="V7165" i="3"/>
  <c r="AD7165" i="3" s="1"/>
  <c r="V7170" i="3"/>
  <c r="V7171" i="3"/>
  <c r="V7172" i="3"/>
  <c r="V7176" i="3"/>
  <c r="AD7176" i="3" s="1"/>
  <c r="V7177" i="3"/>
  <c r="AD7177" i="3" s="1"/>
  <c r="V7181" i="3"/>
  <c r="AD7181" i="3" s="1"/>
  <c r="V7182" i="3"/>
  <c r="V7186" i="3"/>
  <c r="AD7186" i="3" s="1"/>
  <c r="V7195" i="3"/>
  <c r="AD7195" i="3" s="1"/>
  <c r="V7198" i="3"/>
  <c r="AD7198" i="3" s="1"/>
  <c r="V7202" i="3"/>
  <c r="V7205" i="3"/>
  <c r="AD7205" i="3" s="1"/>
  <c r="V7206" i="3"/>
  <c r="AD7206" i="3" s="1"/>
  <c r="V7207" i="3"/>
  <c r="AD7207" i="3" s="1"/>
  <c r="V7210" i="3"/>
  <c r="V7214" i="3"/>
  <c r="V7215" i="3"/>
  <c r="AD7215" i="3" s="1"/>
  <c r="V7216" i="3"/>
  <c r="AD7216" i="3" s="1"/>
  <c r="V7218" i="3"/>
  <c r="V7220" i="3"/>
  <c r="V7222" i="3"/>
  <c r="V7224" i="3"/>
  <c r="V7226" i="3"/>
  <c r="AD7226" i="3" s="1"/>
  <c r="V7231" i="3"/>
  <c r="AD7231" i="3" s="1"/>
  <c r="V7235" i="3"/>
  <c r="AD7235" i="3" s="1"/>
  <c r="V7236" i="3"/>
  <c r="AD7236" i="3" s="1"/>
  <c r="V7238" i="3"/>
  <c r="V7245" i="3"/>
  <c r="AD7245" i="3" s="1"/>
  <c r="V7248" i="3"/>
  <c r="V7250" i="3"/>
  <c r="V7255" i="3"/>
  <c r="AD7255" i="3" s="1"/>
  <c r="V7256" i="3"/>
  <c r="AD7256" i="3" s="1"/>
  <c r="V7260" i="3"/>
  <c r="AD7260" i="3" s="1"/>
  <c r="V7261" i="3"/>
  <c r="AD7261" i="3" s="1"/>
  <c r="V7268" i="3"/>
  <c r="V7271" i="3"/>
  <c r="V7272" i="3"/>
  <c r="V7276" i="3"/>
  <c r="AD7276" i="3" s="1"/>
  <c r="V7277" i="3"/>
  <c r="AD7277" i="3" s="1"/>
  <c r="V7278" i="3"/>
  <c r="V7280" i="3"/>
  <c r="V7287" i="3"/>
  <c r="AD7287" i="3" s="1"/>
  <c r="V7288" i="3"/>
  <c r="AD7288" i="3" s="1"/>
  <c r="V7290" i="3"/>
  <c r="V7295" i="3"/>
  <c r="AD7295" i="3" s="1"/>
  <c r="V7298" i="3"/>
  <c r="V7300" i="3"/>
  <c r="V7301" i="3"/>
  <c r="AD7301" i="3" s="1"/>
  <c r="V7305" i="3"/>
  <c r="AD7305" i="3" s="1"/>
  <c r="V7306" i="3"/>
  <c r="AD7306" i="3" s="1"/>
  <c r="V7307" i="3"/>
  <c r="AD7307" i="3" s="1"/>
  <c r="V7312" i="3"/>
  <c r="V7313" i="3"/>
  <c r="V7314" i="3"/>
  <c r="V7315" i="3"/>
  <c r="AD7315" i="3" s="1"/>
  <c r="V7318" i="3"/>
  <c r="AD7318" i="3" s="1"/>
  <c r="V7320" i="3"/>
  <c r="V7327" i="3"/>
  <c r="AD7327" i="3" s="1"/>
  <c r="V7328" i="3"/>
  <c r="V7330" i="3"/>
  <c r="AD7330" i="3" s="1"/>
  <c r="V7332" i="3"/>
  <c r="V7335" i="3"/>
  <c r="AD7335" i="3" s="1"/>
  <c r="V7336" i="3"/>
  <c r="AD7336" i="3" s="1"/>
  <c r="AD7337" i="3"/>
  <c r="V7338" i="3"/>
  <c r="AD7338" i="3" s="1"/>
  <c r="V7340" i="3"/>
  <c r="V7346" i="3"/>
  <c r="AD7346" i="3" s="1"/>
  <c r="V7347" i="3"/>
  <c r="AD7347" i="3" s="1"/>
  <c r="V7350" i="3"/>
  <c r="V7351" i="3"/>
  <c r="V7352" i="3"/>
  <c r="Z7353" i="3"/>
  <c r="V7355" i="3"/>
  <c r="AD7355" i="3" s="1"/>
  <c r="Z7356" i="3"/>
  <c r="Z7357" i="3"/>
  <c r="Z7360" i="3"/>
  <c r="V7364" i="3"/>
  <c r="Z7365" i="3"/>
  <c r="V7366" i="3"/>
  <c r="AD7366" i="3" s="1"/>
  <c r="Z7367" i="3"/>
  <c r="Z7369" i="3"/>
  <c r="Z7371" i="3"/>
  <c r="Z7375" i="3"/>
  <c r="V7376" i="3"/>
  <c r="AD7376" i="3" s="1"/>
  <c r="Z7377" i="3"/>
  <c r="V7378" i="3"/>
  <c r="AD7378" i="3" s="1"/>
  <c r="Z7380" i="3"/>
  <c r="Z7381" i="3"/>
  <c r="V7382" i="3"/>
  <c r="V7384" i="3"/>
  <c r="V7385" i="3"/>
  <c r="AD7385" i="3" s="1"/>
  <c r="Z7386" i="3"/>
  <c r="Z7387" i="3"/>
  <c r="Z7388" i="3"/>
  <c r="Z7389" i="3"/>
  <c r="V7390" i="3"/>
  <c r="Z7395" i="3"/>
  <c r="Z7396" i="3"/>
  <c r="V7397" i="3"/>
  <c r="AD7397" i="3" s="1"/>
  <c r="Z7398" i="3"/>
  <c r="V7401" i="3"/>
  <c r="V7402" i="3"/>
  <c r="V7403" i="3"/>
  <c r="V7405" i="3"/>
  <c r="AD7405" i="3" s="1"/>
  <c r="V7406" i="3"/>
  <c r="AD7406" i="3" s="1"/>
  <c r="V7407" i="3"/>
  <c r="AD7407" i="3" s="1"/>
  <c r="V7408" i="3"/>
  <c r="Z7409" i="3"/>
  <c r="V7410" i="3"/>
  <c r="V7414" i="3"/>
  <c r="Z7415" i="3"/>
  <c r="V7416" i="3"/>
  <c r="AD7416" i="3" s="1"/>
  <c r="V7417" i="3"/>
  <c r="AD7417" i="3" s="1"/>
  <c r="V7422" i="3"/>
  <c r="Z7425" i="3"/>
  <c r="Z7426" i="3"/>
  <c r="Z7427" i="3"/>
  <c r="V7430" i="3"/>
  <c r="AD7430" i="3" s="1"/>
  <c r="V7434" i="3"/>
  <c r="V7435" i="3"/>
  <c r="AD7435" i="3" s="1"/>
  <c r="V7436" i="3"/>
  <c r="AD7436" i="3" s="1"/>
  <c r="V7437" i="3"/>
  <c r="AD7437" i="3" s="1"/>
  <c r="V7438" i="3"/>
  <c r="Z7439" i="3"/>
  <c r="Z7440" i="3"/>
  <c r="V7442" i="3"/>
  <c r="V7445" i="3"/>
  <c r="AD7445" i="3" s="1"/>
  <c r="Z7447" i="3"/>
  <c r="V7448" i="3"/>
  <c r="V7450" i="3"/>
  <c r="V7451" i="3"/>
  <c r="AD7451" i="3" s="1"/>
  <c r="Z7455" i="3"/>
  <c r="V7456" i="3"/>
  <c r="AD7456" i="3" s="1"/>
  <c r="Z7457" i="3"/>
  <c r="Z7458" i="3"/>
  <c r="Z7459" i="3"/>
  <c r="V7460" i="3"/>
  <c r="AD7460" i="3" s="1"/>
  <c r="V7461" i="3"/>
  <c r="AD7461" i="3" s="1"/>
  <c r="V7462" i="3"/>
  <c r="Z7465" i="3"/>
  <c r="V7466" i="3"/>
  <c r="AD7466" i="3" s="1"/>
  <c r="V7467" i="3"/>
  <c r="AD7467" i="3" s="1"/>
  <c r="V7470" i="3"/>
  <c r="V7472" i="3"/>
  <c r="V7475" i="3"/>
  <c r="AD7475" i="3" s="1"/>
  <c r="V7476" i="3"/>
  <c r="AD7476" i="3" s="1"/>
  <c r="V7477" i="3"/>
  <c r="AD7477" i="3" s="1"/>
  <c r="V7480" i="3"/>
  <c r="Z7481" i="3"/>
  <c r="V7482" i="3"/>
  <c r="AD7482" i="3" s="1"/>
  <c r="V7483" i="3"/>
  <c r="V7484" i="3"/>
  <c r="Z7485" i="3"/>
  <c r="Z7486" i="3"/>
  <c r="Z7487" i="3"/>
  <c r="V7488" i="3"/>
  <c r="Z7492" i="3"/>
  <c r="V7495" i="3"/>
  <c r="AD7495" i="3" s="1"/>
  <c r="Z7496" i="3"/>
  <c r="V7497" i="3"/>
  <c r="AD7497" i="3" s="1"/>
  <c r="V7498" i="3"/>
  <c r="Z7499" i="3"/>
  <c r="V7500" i="3"/>
  <c r="Z7501" i="3"/>
  <c r="V7502" i="3"/>
  <c r="V7504" i="3"/>
  <c r="V7505" i="3"/>
  <c r="AD7505" i="3" s="1"/>
  <c r="V7506" i="3"/>
  <c r="AD7506" i="3" s="1"/>
  <c r="Z7507" i="3"/>
  <c r="V7510" i="3"/>
  <c r="Z7511" i="3"/>
  <c r="Z7512" i="3"/>
  <c r="Z7515" i="3"/>
  <c r="V7516" i="3"/>
  <c r="AD7516" i="3" s="1"/>
  <c r="Z7517" i="3"/>
  <c r="V7518" i="3"/>
  <c r="Z7519" i="3"/>
  <c r="V7520" i="3"/>
  <c r="AD7520" i="3" s="1"/>
  <c r="Z7521" i="3"/>
  <c r="V7525" i="3"/>
  <c r="AD7525" i="3" s="1"/>
  <c r="V7526" i="3"/>
  <c r="AD7526" i="3" s="1"/>
  <c r="V7527" i="3"/>
  <c r="AD7527" i="3" s="1"/>
  <c r="V7528" i="3"/>
  <c r="V7532" i="3"/>
  <c r="AD7532" i="3" s="1"/>
  <c r="V7533" i="3"/>
  <c r="V7534" i="3"/>
  <c r="Z7535" i="3"/>
  <c r="V7536" i="3"/>
  <c r="AD7536" i="3" s="1"/>
  <c r="Z7537" i="3"/>
  <c r="V7538" i="3"/>
  <c r="AD7538" i="3" s="1"/>
  <c r="V7539" i="3"/>
  <c r="AD7539" i="3" s="1"/>
  <c r="V7540" i="3"/>
  <c r="V7545" i="3"/>
  <c r="AD7545" i="3" s="1"/>
  <c r="Z7546" i="3"/>
  <c r="Z7547" i="3"/>
  <c r="V7549" i="3"/>
  <c r="Z7551" i="3"/>
  <c r="V7552" i="3"/>
  <c r="V7555" i="3"/>
  <c r="AD7555" i="3" s="1"/>
  <c r="Z7556" i="3"/>
  <c r="V7557" i="3"/>
  <c r="AD7557" i="3" s="1"/>
  <c r="Z7560" i="3"/>
  <c r="V7561" i="3"/>
  <c r="V7562" i="3"/>
  <c r="AD7562" i="3" s="1"/>
  <c r="V7563" i="3"/>
  <c r="V7564" i="3"/>
  <c r="V7565" i="3"/>
  <c r="AD7565" i="3" s="1"/>
  <c r="V7566" i="3"/>
  <c r="AD7566" i="3" s="1"/>
  <c r="V7567" i="3"/>
  <c r="AD7567" i="3" s="1"/>
  <c r="Z7568" i="3"/>
  <c r="V7572" i="3"/>
  <c r="AD7572" i="3" s="1"/>
  <c r="Z7575" i="3"/>
  <c r="Z7576" i="3"/>
  <c r="Z7577" i="3"/>
  <c r="V7578" i="3"/>
  <c r="Z7583" i="3"/>
  <c r="V7584" i="3"/>
  <c r="Z7585" i="3"/>
  <c r="V7586" i="3"/>
  <c r="AD7586" i="3" s="1"/>
  <c r="V7587" i="3"/>
  <c r="AD7587" i="3" s="1"/>
  <c r="V7589" i="3"/>
  <c r="Z7591" i="3"/>
  <c r="V7594" i="3"/>
  <c r="V7595" i="3"/>
  <c r="AD7595" i="3" s="1"/>
  <c r="Z7596" i="3"/>
  <c r="V7597" i="3"/>
  <c r="AD7597" i="3" s="1"/>
  <c r="V7599" i="3"/>
  <c r="AD7599" i="3" s="1"/>
  <c r="V7602" i="3"/>
  <c r="V7605" i="3"/>
  <c r="AD7605" i="3" s="1"/>
  <c r="Z7606" i="3"/>
  <c r="Z7607" i="3"/>
  <c r="V7608" i="3"/>
  <c r="AD7608" i="3" s="1"/>
  <c r="Z7610" i="3"/>
  <c r="V7614" i="3"/>
  <c r="V7615" i="3"/>
  <c r="AD7615" i="3" s="1"/>
  <c r="Z7616" i="3"/>
  <c r="Z7617" i="3"/>
  <c r="V7619" i="3"/>
  <c r="V7621" i="3"/>
  <c r="V7622" i="3"/>
  <c r="V7624" i="3"/>
  <c r="V7625" i="3"/>
  <c r="AD7625" i="3" s="1"/>
  <c r="Z7626" i="3"/>
  <c r="Z7627" i="3"/>
  <c r="V7628" i="3"/>
  <c r="V7629" i="3"/>
  <c r="V7632" i="3"/>
  <c r="AD7632" i="3" s="1"/>
  <c r="V7633" i="3"/>
  <c r="V7635" i="3"/>
  <c r="AD7635" i="3" s="1"/>
  <c r="V7636" i="3"/>
  <c r="AD7636" i="3" s="1"/>
  <c r="Z7637" i="3"/>
  <c r="Z7638" i="3"/>
  <c r="V7639" i="3"/>
  <c r="AD7639" i="3" s="1"/>
  <c r="V7640" i="3"/>
  <c r="V7642" i="3"/>
  <c r="AD7642" i="3" s="1"/>
  <c r="V7644" i="3"/>
  <c r="V7645" i="3"/>
  <c r="AD7645" i="3" s="1"/>
  <c r="V7646" i="3"/>
  <c r="AD7646" i="3" s="1"/>
  <c r="Z7647" i="3"/>
  <c r="V7649" i="3"/>
  <c r="AD7649" i="3" s="1"/>
  <c r="V7651" i="3"/>
  <c r="AD7651" i="3" s="1"/>
  <c r="V7652" i="3"/>
  <c r="V7654" i="3"/>
  <c r="V7655" i="3"/>
  <c r="AD7655" i="3" s="1"/>
  <c r="V7656" i="3"/>
  <c r="AD7656" i="3" s="1"/>
  <c r="V7657" i="3"/>
  <c r="AD7657" i="3" s="1"/>
  <c r="V7665" i="3"/>
  <c r="AD7665" i="3" s="1"/>
  <c r="V7666" i="3"/>
  <c r="AD7666" i="3" s="1"/>
  <c r="Z7667" i="3"/>
  <c r="V7671" i="3"/>
  <c r="V7672" i="3"/>
  <c r="AD7672" i="3" s="1"/>
  <c r="V7674" i="3"/>
  <c r="Z7675" i="3"/>
  <c r="Z7676" i="3"/>
  <c r="Z7677" i="3"/>
  <c r="V7678" i="3"/>
  <c r="V7682" i="3"/>
  <c r="AD7682" i="3" s="1"/>
  <c r="V7684" i="3"/>
  <c r="Z7685" i="3"/>
  <c r="V7686" i="3"/>
  <c r="AD7686" i="3" s="1"/>
  <c r="V7687" i="3"/>
  <c r="AD7687" i="3" s="1"/>
  <c r="V7689" i="3"/>
  <c r="V7692" i="3"/>
  <c r="AD7692" i="3" s="1"/>
  <c r="V7693" i="3"/>
  <c r="AD7693" i="3" s="1"/>
  <c r="V7694" i="3"/>
  <c r="V7695" i="3"/>
  <c r="AD7695" i="3" s="1"/>
  <c r="V7696" i="3"/>
  <c r="AD7696" i="3" s="1"/>
  <c r="Z7697" i="3"/>
  <c r="V7699" i="3"/>
  <c r="V7705" i="3"/>
  <c r="AD7705" i="3" s="1"/>
  <c r="Z7706" i="3"/>
  <c r="Z7707" i="3"/>
  <c r="V7708" i="3"/>
  <c r="Z7711" i="3"/>
  <c r="V7712" i="3"/>
  <c r="AD7712" i="3" s="1"/>
  <c r="V7714" i="3"/>
  <c r="V7715" i="3"/>
  <c r="AD7715" i="3" s="1"/>
  <c r="V7716" i="3"/>
  <c r="AD7716" i="3" s="1"/>
  <c r="Z7717" i="3"/>
  <c r="V7719" i="3"/>
  <c r="V7721" i="3"/>
  <c r="V7722" i="3"/>
  <c r="AD7722" i="3" s="1"/>
  <c r="Z7725" i="3"/>
  <c r="Z7726" i="3"/>
  <c r="V7727" i="3"/>
  <c r="AD7727" i="3" s="1"/>
  <c r="V7728" i="3"/>
  <c r="V7729" i="3"/>
  <c r="V7733" i="3"/>
  <c r="AD7733" i="3" s="1"/>
  <c r="V7734" i="3"/>
  <c r="Z7735" i="3"/>
  <c r="Z7736" i="3"/>
  <c r="V7737" i="3"/>
  <c r="AD7737" i="3" s="1"/>
  <c r="V7739" i="3"/>
  <c r="Z7740" i="3"/>
  <c r="V7742" i="3"/>
  <c r="AD7742" i="3" s="1"/>
  <c r="V7744" i="3"/>
  <c r="Z7745" i="3"/>
  <c r="V7746" i="3"/>
  <c r="Z7747" i="3"/>
  <c r="Z7749" i="3"/>
  <c r="V7751" i="3"/>
  <c r="Z7752" i="3"/>
  <c r="Z7753" i="3"/>
  <c r="V7755" i="3"/>
  <c r="AD7755" i="3" s="1"/>
  <c r="V7756" i="3"/>
  <c r="AD7756" i="3" s="1"/>
  <c r="Z7757" i="3"/>
  <c r="V7760" i="3"/>
  <c r="V7764" i="3"/>
  <c r="V7765" i="3"/>
  <c r="AD7765" i="3" s="1"/>
  <c r="V7766" i="3"/>
  <c r="AD7766" i="3" s="1"/>
  <c r="V7767" i="3"/>
  <c r="AD7767" i="3" s="1"/>
  <c r="Z7772" i="3"/>
  <c r="V7774" i="3"/>
  <c r="Z7775" i="3"/>
  <c r="V7777" i="3"/>
  <c r="AD7777" i="3" s="1"/>
  <c r="V7778" i="3"/>
  <c r="Z7781" i="3"/>
  <c r="V7782" i="3"/>
  <c r="AD7782" i="3" s="1"/>
  <c r="Z7785" i="3"/>
  <c r="Z7786" i="3"/>
  <c r="V7787" i="3"/>
  <c r="AD7787" i="3" s="1"/>
  <c r="V7789" i="3"/>
  <c r="V7792" i="3"/>
  <c r="AD7792" i="3" s="1"/>
  <c r="V7793" i="3"/>
  <c r="AD7793" i="3" s="1"/>
  <c r="V7794" i="3"/>
  <c r="V7795" i="3"/>
  <c r="AD7795" i="3" s="1"/>
  <c r="V7796" i="3"/>
  <c r="AD7796" i="3" s="1"/>
  <c r="V7797" i="3"/>
  <c r="AD7797" i="3" s="1"/>
  <c r="V7799" i="3"/>
  <c r="V7802" i="3"/>
  <c r="AD7802" i="3" s="1"/>
  <c r="V7804" i="3"/>
  <c r="V7805" i="3"/>
  <c r="AD7805" i="3" s="1"/>
  <c r="V7806" i="3"/>
  <c r="AD7806" i="3" s="1"/>
  <c r="Z7807" i="3"/>
  <c r="V7808" i="3"/>
  <c r="V7810" i="3"/>
  <c r="Z7811" i="3"/>
  <c r="Z7812" i="3"/>
  <c r="Z7815" i="3"/>
  <c r="V7816" i="3"/>
  <c r="AD7816" i="3" s="1"/>
  <c r="Z7817" i="3"/>
  <c r="V7819" i="3"/>
  <c r="V7822" i="3"/>
  <c r="AD7822" i="3" s="1"/>
  <c r="V7824" i="3"/>
  <c r="V7825" i="3"/>
  <c r="AD7825" i="3" s="1"/>
  <c r="Z7826" i="3"/>
  <c r="V7827" i="3"/>
  <c r="AD7827" i="3" s="1"/>
  <c r="V7828" i="3"/>
  <c r="Z7831" i="3"/>
  <c r="V7832" i="3"/>
  <c r="AD7832" i="3" s="1"/>
  <c r="V7833" i="3"/>
  <c r="AD7833" i="3" s="1"/>
  <c r="V7834" i="3"/>
  <c r="V7835" i="3"/>
  <c r="AD7835" i="3" s="1"/>
  <c r="V7836" i="3"/>
  <c r="AD7836" i="3" s="1"/>
  <c r="V7837" i="3"/>
  <c r="AD7837" i="3" s="1"/>
  <c r="Z7839" i="3"/>
  <c r="V7840" i="3"/>
  <c r="V7843" i="3"/>
  <c r="AD7843" i="3" s="1"/>
  <c r="Z7845" i="3"/>
  <c r="V7846" i="3"/>
  <c r="AD7846" i="3" s="1"/>
  <c r="V7847" i="3"/>
  <c r="AD7847" i="3" s="1"/>
  <c r="V7850" i="3"/>
  <c r="V7851" i="3"/>
  <c r="V7852" i="3"/>
  <c r="AD7852" i="3" s="1"/>
  <c r="V7853" i="3"/>
  <c r="AD7853" i="3" s="1"/>
  <c r="V7855" i="3"/>
  <c r="AD7855" i="3" s="1"/>
  <c r="V7856" i="3"/>
  <c r="AD7856" i="3" s="1"/>
  <c r="Z7857" i="3"/>
  <c r="V7863" i="3"/>
  <c r="AD7863" i="3" s="1"/>
  <c r="V7864" i="3"/>
  <c r="V7865" i="3"/>
  <c r="AD7865" i="3" s="1"/>
  <c r="V7866" i="3"/>
  <c r="AD7866" i="3" s="1"/>
  <c r="Z7867" i="3"/>
  <c r="V7869" i="3"/>
  <c r="Z7871" i="3"/>
  <c r="Z7872" i="3"/>
  <c r="V7873" i="3"/>
  <c r="AD7873" i="3" s="1"/>
  <c r="V7875" i="3"/>
  <c r="AD7875" i="3" s="1"/>
  <c r="V7876" i="3"/>
  <c r="AD7876" i="3" s="1"/>
  <c r="Z7877" i="3"/>
  <c r="Z7879" i="3"/>
  <c r="Z7881" i="3"/>
  <c r="V7882" i="3"/>
  <c r="AD7882" i="3" s="1"/>
  <c r="V7883" i="3"/>
  <c r="AD7883" i="3" s="1"/>
  <c r="V7885" i="3"/>
  <c r="AD7885" i="3" s="1"/>
  <c r="Z7886" i="3"/>
  <c r="V7887" i="3"/>
  <c r="AD7887" i="3" s="1"/>
  <c r="V6776" i="3"/>
  <c r="AD6776" i="3" s="1"/>
  <c r="V6777" i="3"/>
  <c r="AD6777" i="3" s="1"/>
  <c r="V6778" i="3"/>
  <c r="AD6778" i="3" s="1"/>
  <c r="V6782" i="3"/>
  <c r="AD6782" i="3" s="1"/>
  <c r="V6785" i="3"/>
  <c r="AD6785" i="3" s="1"/>
  <c r="V6786" i="3"/>
  <c r="AD6786" i="3" s="1"/>
  <c r="V6787" i="3"/>
  <c r="AD6787" i="3" s="1"/>
  <c r="V6796" i="3"/>
  <c r="AD6796" i="3" s="1"/>
  <c r="V6797" i="3"/>
  <c r="AD6797" i="3" s="1"/>
  <c r="V6805" i="3"/>
  <c r="AD6805" i="3" s="1"/>
  <c r="V6806" i="3"/>
  <c r="AD6806" i="3" s="1"/>
  <c r="V6807" i="3"/>
  <c r="AD6807" i="3" s="1"/>
  <c r="V6815" i="3"/>
  <c r="AD6815" i="3" s="1"/>
  <c r="V6817" i="3"/>
  <c r="AD6817" i="3" s="1"/>
  <c r="V6825" i="3"/>
  <c r="AD6825" i="3" s="1"/>
  <c r="V6826" i="3"/>
  <c r="AD6826" i="3" s="1"/>
  <c r="V6827" i="3"/>
  <c r="AD6827" i="3" s="1"/>
  <c r="V6835" i="3"/>
  <c r="AD6835" i="3" s="1"/>
  <c r="V6836" i="3"/>
  <c r="AD6836" i="3" s="1"/>
  <c r="V6837" i="3"/>
  <c r="AD6837" i="3" s="1"/>
  <c r="V6847" i="3"/>
  <c r="AD6847" i="3" s="1"/>
  <c r="V6855" i="3"/>
  <c r="AD6855" i="3" s="1"/>
  <c r="V6865" i="3"/>
  <c r="AD6865" i="3" s="1"/>
  <c r="V6866" i="3"/>
  <c r="AD6866" i="3" s="1"/>
  <c r="V6867" i="3"/>
  <c r="AD6867" i="3" s="1"/>
  <c r="V6876" i="3"/>
  <c r="AD6876" i="3" s="1"/>
  <c r="V6887" i="3"/>
  <c r="AD6887" i="3" s="1"/>
  <c r="V6896" i="3"/>
  <c r="AD6896" i="3" s="1"/>
  <c r="V6897" i="3"/>
  <c r="AD6897" i="3" s="1"/>
  <c r="V6906" i="3"/>
  <c r="AD6906" i="3" s="1"/>
  <c r="V6916" i="3"/>
  <c r="AD6916" i="3" s="1"/>
  <c r="V6917" i="3"/>
  <c r="AD6917" i="3" s="1"/>
  <c r="V6926" i="3"/>
  <c r="AD6926" i="3" s="1"/>
  <c r="V6927" i="3"/>
  <c r="AD6927" i="3" s="1"/>
  <c r="V6928" i="3"/>
  <c r="AD6928" i="3" s="1"/>
  <c r="V6947" i="3"/>
  <c r="AD6947" i="3" s="1"/>
  <c r="V6956" i="3"/>
  <c r="AD6956" i="3" s="1"/>
  <c r="V6967" i="3"/>
  <c r="AD6967" i="3" s="1"/>
  <c r="V6976" i="3"/>
  <c r="AD6976" i="3" s="1"/>
  <c r="V7006" i="3"/>
  <c r="AD7006" i="3" s="1"/>
  <c r="V7076" i="3"/>
  <c r="AD7076" i="3" s="1"/>
  <c r="V7106" i="3"/>
  <c r="AD7106" i="3" s="1"/>
  <c r="V7158" i="3"/>
  <c r="AD7158" i="3" s="1"/>
  <c r="V7166" i="3"/>
  <c r="AD7166" i="3" s="1"/>
  <c r="V7196" i="3"/>
  <c r="AD7196" i="3" s="1"/>
  <c r="V7266" i="3"/>
  <c r="AD7266" i="3" s="1"/>
  <c r="V7296" i="3"/>
  <c r="AD7296" i="3" s="1"/>
  <c r="V7326" i="3"/>
  <c r="AD7326" i="3" s="1"/>
  <c r="V7426" i="3"/>
  <c r="AD7426" i="3" s="1"/>
  <c r="V7446" i="3"/>
  <c r="AD7446" i="3" s="1"/>
  <c r="V7546" i="3"/>
  <c r="AD7546" i="3" s="1"/>
  <c r="V7576" i="3"/>
  <c r="AD7576" i="3" s="1"/>
  <c r="V7616" i="3"/>
  <c r="AD7616" i="3" s="1"/>
  <c r="V7706" i="3"/>
  <c r="AD7706" i="3" s="1"/>
  <c r="V7776" i="3"/>
  <c r="AD7776" i="3" s="1"/>
  <c r="V7826" i="3"/>
  <c r="AD7826" i="3" s="1"/>
  <c r="Z7446" i="3"/>
  <c r="Z7456" i="3"/>
  <c r="Z7476" i="3"/>
  <c r="Z7506" i="3"/>
  <c r="Z7516" i="3"/>
  <c r="Z7586" i="3"/>
  <c r="Z7646" i="3"/>
  <c r="Z7656" i="3"/>
  <c r="Z7686" i="3"/>
  <c r="Z7766" i="3"/>
  <c r="Z7776" i="3"/>
  <c r="Z7846" i="3"/>
  <c r="Z7876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7377" i="3"/>
  <c r="AB7378" i="3"/>
  <c r="AB7379" i="3"/>
  <c r="AB7380" i="3"/>
  <c r="AB7381" i="3"/>
  <c r="AB7382" i="3"/>
  <c r="AB7383" i="3"/>
  <c r="AB7384" i="3"/>
  <c r="AB7385" i="3"/>
  <c r="AB7386" i="3"/>
  <c r="AB7387" i="3"/>
  <c r="AB7388" i="3"/>
  <c r="AB7389" i="3"/>
  <c r="AB7390" i="3"/>
  <c r="AB7391" i="3"/>
  <c r="AB7392" i="3"/>
  <c r="AB7393" i="3"/>
  <c r="AB7394" i="3"/>
  <c r="AB7395" i="3"/>
  <c r="AB7396" i="3"/>
  <c r="AB7397" i="3"/>
  <c r="AB7398" i="3"/>
  <c r="AB7399" i="3"/>
  <c r="AB7400" i="3"/>
  <c r="AB7401" i="3"/>
  <c r="AB7402" i="3"/>
  <c r="AB7403" i="3"/>
  <c r="AB7404" i="3"/>
  <c r="AB7405" i="3"/>
  <c r="AB7406" i="3"/>
  <c r="AB7407" i="3"/>
  <c r="AB7408" i="3"/>
  <c r="AB7409" i="3"/>
  <c r="AB7410" i="3"/>
  <c r="AB7411" i="3"/>
  <c r="AB7412" i="3"/>
  <c r="AB7413" i="3"/>
  <c r="AB7414" i="3"/>
  <c r="AB7415" i="3"/>
  <c r="AB7416" i="3"/>
  <c r="AB7417" i="3"/>
  <c r="AB7418" i="3"/>
  <c r="AB7419" i="3"/>
  <c r="AB7420" i="3"/>
  <c r="AB7421" i="3"/>
  <c r="AB7422" i="3"/>
  <c r="AB7423" i="3"/>
  <c r="AB7424" i="3"/>
  <c r="AB7425" i="3"/>
  <c r="AB7426" i="3"/>
  <c r="AB7427" i="3"/>
  <c r="AB7428" i="3"/>
  <c r="AB7429" i="3"/>
  <c r="AB7430" i="3"/>
  <c r="AB7431" i="3"/>
  <c r="AB7432" i="3"/>
  <c r="AB7433" i="3"/>
  <c r="AB7434" i="3"/>
  <c r="AB7435" i="3"/>
  <c r="AB7436" i="3"/>
  <c r="AB7437" i="3"/>
  <c r="AB7438" i="3"/>
  <c r="AB7439" i="3"/>
  <c r="AB7440" i="3"/>
  <c r="AB7441" i="3"/>
  <c r="AB7442" i="3"/>
  <c r="AB7443" i="3"/>
  <c r="AB7444" i="3"/>
  <c r="AB7445" i="3"/>
  <c r="AB7446" i="3"/>
  <c r="AB7447" i="3"/>
  <c r="AB7448" i="3"/>
  <c r="AB7449" i="3"/>
  <c r="AB7450" i="3"/>
  <c r="AB7451" i="3"/>
  <c r="AB7452" i="3"/>
  <c r="AB745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7465" i="3"/>
  <c r="AB7466" i="3"/>
  <c r="AB7467" i="3"/>
  <c r="AB7468" i="3"/>
  <c r="AB7469" i="3"/>
  <c r="AB7470" i="3"/>
  <c r="AB7471" i="3"/>
  <c r="AB7472" i="3"/>
  <c r="AB7473" i="3"/>
  <c r="AB7474" i="3"/>
  <c r="AB7475" i="3"/>
  <c r="AB7476" i="3"/>
  <c r="AB7477" i="3"/>
  <c r="AB7478" i="3"/>
  <c r="AB7479" i="3"/>
  <c r="AB7480" i="3"/>
  <c r="AB7481" i="3"/>
  <c r="AB7482" i="3"/>
  <c r="AB7483" i="3"/>
  <c r="AB7484" i="3"/>
  <c r="AB7485" i="3"/>
  <c r="AB7486" i="3"/>
  <c r="AB7487" i="3"/>
  <c r="AB7488" i="3"/>
  <c r="AB7489" i="3"/>
  <c r="AB7490" i="3"/>
  <c r="AB7491" i="3"/>
  <c r="AB7492" i="3"/>
  <c r="AB7493" i="3"/>
  <c r="AB7494" i="3"/>
  <c r="AB7495" i="3"/>
  <c r="AB7496" i="3"/>
  <c r="AB7497" i="3"/>
  <c r="AB7498" i="3"/>
  <c r="AB7499" i="3"/>
  <c r="AB7500" i="3"/>
  <c r="AB7501" i="3"/>
  <c r="AB7502" i="3"/>
  <c r="AB7503" i="3"/>
  <c r="AB7504" i="3"/>
  <c r="AB7505" i="3"/>
  <c r="AB7506" i="3"/>
  <c r="AB7507" i="3"/>
  <c r="AB7508" i="3"/>
  <c r="AB7509" i="3"/>
  <c r="AB7510" i="3"/>
  <c r="AB7511" i="3"/>
  <c r="AB7512" i="3"/>
  <c r="AB7513" i="3"/>
  <c r="AB7514" i="3"/>
  <c r="AB7515" i="3"/>
  <c r="AB7516" i="3"/>
  <c r="AB7517" i="3"/>
  <c r="AB7518" i="3"/>
  <c r="AB7519" i="3"/>
  <c r="AB7520" i="3"/>
  <c r="AB7521" i="3"/>
  <c r="AB7522" i="3"/>
  <c r="AB7523" i="3"/>
  <c r="AB7524" i="3"/>
  <c r="AB7525" i="3"/>
  <c r="AB7526" i="3"/>
  <c r="AB7527" i="3"/>
  <c r="AB7528" i="3"/>
  <c r="AB7529" i="3"/>
  <c r="AB7530" i="3"/>
  <c r="AB7531" i="3"/>
  <c r="AB7532" i="3"/>
  <c r="AB7533" i="3"/>
  <c r="AB7534" i="3"/>
  <c r="AB7535" i="3"/>
  <c r="AB7536" i="3"/>
  <c r="AB7537" i="3"/>
  <c r="AB7538" i="3"/>
  <c r="AB7539" i="3"/>
  <c r="AB7540" i="3"/>
  <c r="AB7541" i="3"/>
  <c r="AB7542" i="3"/>
  <c r="AB7543" i="3"/>
  <c r="AB7544" i="3"/>
  <c r="AB7545" i="3"/>
  <c r="AB7546" i="3"/>
  <c r="AB7547" i="3"/>
  <c r="AB7548" i="3"/>
  <c r="AB7549" i="3"/>
  <c r="AB7550" i="3"/>
  <c r="AB7551" i="3"/>
  <c r="AB7552" i="3"/>
  <c r="AB7553" i="3"/>
  <c r="AB7554" i="3"/>
  <c r="AB7555" i="3"/>
  <c r="AB7556" i="3"/>
  <c r="AB7557" i="3"/>
  <c r="AB7558" i="3"/>
  <c r="AB7559" i="3"/>
  <c r="AB7560" i="3"/>
  <c r="AB7561" i="3"/>
  <c r="AB7562" i="3"/>
  <c r="AB7563" i="3"/>
  <c r="AB7564" i="3"/>
  <c r="AB7565" i="3"/>
  <c r="AB7566" i="3"/>
  <c r="AB7567" i="3"/>
  <c r="AB7568" i="3"/>
  <c r="AB7569" i="3"/>
  <c r="AB7570" i="3"/>
  <c r="AB7571" i="3"/>
  <c r="AB7572" i="3"/>
  <c r="AB7573" i="3"/>
  <c r="AB7574" i="3"/>
  <c r="AB7575" i="3"/>
  <c r="AB7576" i="3"/>
  <c r="AB7577" i="3"/>
  <c r="AB7578" i="3"/>
  <c r="AB7579" i="3"/>
  <c r="AB7580" i="3"/>
  <c r="AB7581" i="3"/>
  <c r="AB7582" i="3"/>
  <c r="AB7583" i="3"/>
  <c r="AB7584" i="3"/>
  <c r="AB7585" i="3"/>
  <c r="AB7586" i="3"/>
  <c r="AB7587" i="3"/>
  <c r="AB7588" i="3"/>
  <c r="AB7589" i="3"/>
  <c r="AB7590" i="3"/>
  <c r="AB7591" i="3"/>
  <c r="AB7592" i="3"/>
  <c r="AB7593" i="3"/>
  <c r="AB7594" i="3"/>
  <c r="AB7595" i="3"/>
  <c r="AB7596" i="3"/>
  <c r="AB7597" i="3"/>
  <c r="AB7598" i="3"/>
  <c r="AB7599" i="3"/>
  <c r="AB7600" i="3"/>
  <c r="AB7601" i="3"/>
  <c r="AB7602" i="3"/>
  <c r="AB7603" i="3"/>
  <c r="AB7604" i="3"/>
  <c r="AB7605" i="3"/>
  <c r="AB7606" i="3"/>
  <c r="AB7607" i="3"/>
  <c r="AB7608" i="3"/>
  <c r="AB7609" i="3"/>
  <c r="AB7610" i="3"/>
  <c r="AB7611" i="3"/>
  <c r="AB7612" i="3"/>
  <c r="AB7613" i="3"/>
  <c r="AB7614" i="3"/>
  <c r="AB7615" i="3"/>
  <c r="AB7616" i="3"/>
  <c r="AB7617" i="3"/>
  <c r="AB7618" i="3"/>
  <c r="AB7619" i="3"/>
  <c r="AB7620" i="3"/>
  <c r="AB7621" i="3"/>
  <c r="AB7622" i="3"/>
  <c r="AB7623" i="3"/>
  <c r="AB7624" i="3"/>
  <c r="AB7625" i="3"/>
  <c r="AB7626" i="3"/>
  <c r="AB7627" i="3"/>
  <c r="AB7628" i="3"/>
  <c r="AB7629" i="3"/>
  <c r="AB7630" i="3"/>
  <c r="AB7631" i="3"/>
  <c r="AB7632" i="3"/>
  <c r="AB7633" i="3"/>
  <c r="AB7634" i="3"/>
  <c r="AB7635" i="3"/>
  <c r="AB7636" i="3"/>
  <c r="AB7637" i="3"/>
  <c r="AB7638" i="3"/>
  <c r="AB7639" i="3"/>
  <c r="AB7640" i="3"/>
  <c r="AB7641" i="3"/>
  <c r="AB7642" i="3"/>
  <c r="AB7643" i="3"/>
  <c r="AB7644" i="3"/>
  <c r="AB7645" i="3"/>
  <c r="AB7646" i="3"/>
  <c r="AB7647" i="3"/>
  <c r="AB7648" i="3"/>
  <c r="AB7649" i="3"/>
  <c r="AB7650" i="3"/>
  <c r="AB7651" i="3"/>
  <c r="AB7652" i="3"/>
  <c r="AB7653" i="3"/>
  <c r="AB7654" i="3"/>
  <c r="AB7655" i="3"/>
  <c r="AB7656" i="3"/>
  <c r="AB7657" i="3"/>
  <c r="AB7658" i="3"/>
  <c r="AB7659" i="3"/>
  <c r="AB7660" i="3"/>
  <c r="AB7661" i="3"/>
  <c r="AB7662" i="3"/>
  <c r="AB7663" i="3"/>
  <c r="AB7664" i="3"/>
  <c r="AB7665" i="3"/>
  <c r="AB7666" i="3"/>
  <c r="AB7667" i="3"/>
  <c r="AB7668" i="3"/>
  <c r="AB7669" i="3"/>
  <c r="AB7670" i="3"/>
  <c r="AB7671" i="3"/>
  <c r="AB7672" i="3"/>
  <c r="AB7673" i="3"/>
  <c r="AB7674" i="3"/>
  <c r="AB7675" i="3"/>
  <c r="AB7676" i="3"/>
  <c r="AB7677" i="3"/>
  <c r="AB7678" i="3"/>
  <c r="AB7679" i="3"/>
  <c r="AB7680" i="3"/>
  <c r="AB7681" i="3"/>
  <c r="AB7682" i="3"/>
  <c r="AB7683" i="3"/>
  <c r="AB7684" i="3"/>
  <c r="AB7685" i="3"/>
  <c r="AB7686" i="3"/>
  <c r="AB7687" i="3"/>
  <c r="AB7688" i="3"/>
  <c r="AB7689" i="3"/>
  <c r="AB7690" i="3"/>
  <c r="AB7691" i="3"/>
  <c r="AB7692" i="3"/>
  <c r="AB7693" i="3"/>
  <c r="AB7694" i="3"/>
  <c r="AB7695" i="3"/>
  <c r="AB7696" i="3"/>
  <c r="AB7697" i="3"/>
  <c r="AB7698" i="3"/>
  <c r="AB7699" i="3"/>
  <c r="AB7700" i="3"/>
  <c r="AB7701" i="3"/>
  <c r="AB7702" i="3"/>
  <c r="AB7703" i="3"/>
  <c r="AB7704" i="3"/>
  <c r="AB7705" i="3"/>
  <c r="AB7706" i="3"/>
  <c r="AB7707" i="3"/>
  <c r="AB7708" i="3"/>
  <c r="AB7709" i="3"/>
  <c r="AB7710" i="3"/>
  <c r="AB7711" i="3"/>
  <c r="AB7712" i="3"/>
  <c r="AB7713" i="3"/>
  <c r="AB7714" i="3"/>
  <c r="AB7715" i="3"/>
  <c r="AB7716" i="3"/>
  <c r="AB7717" i="3"/>
  <c r="AB7718" i="3"/>
  <c r="AB7719" i="3"/>
  <c r="AB7720" i="3"/>
  <c r="AB7721" i="3"/>
  <c r="AB7722" i="3"/>
  <c r="AB7723" i="3"/>
  <c r="AB7724" i="3"/>
  <c r="AB7725" i="3"/>
  <c r="AB7726" i="3"/>
  <c r="AB7727" i="3"/>
  <c r="AB7728" i="3"/>
  <c r="AB7729" i="3"/>
  <c r="AB7730" i="3"/>
  <c r="AB7731" i="3"/>
  <c r="AB7732" i="3"/>
  <c r="AB7733" i="3"/>
  <c r="AB7734" i="3"/>
  <c r="AB7735" i="3"/>
  <c r="AB7736" i="3"/>
  <c r="AB7737" i="3"/>
  <c r="AB7738" i="3"/>
  <c r="AB7739" i="3"/>
  <c r="AB7740" i="3"/>
  <c r="AB7741" i="3"/>
  <c r="AB7742" i="3"/>
  <c r="AB7743" i="3"/>
  <c r="AB7744" i="3"/>
  <c r="AB7745" i="3"/>
  <c r="AB7746" i="3"/>
  <c r="AB7747" i="3"/>
  <c r="AB7748" i="3"/>
  <c r="AB7749" i="3"/>
  <c r="AB7750" i="3"/>
  <c r="AB7751" i="3"/>
  <c r="AB7752" i="3"/>
  <c r="AB7753" i="3"/>
  <c r="AB7754" i="3"/>
  <c r="AB7755" i="3"/>
  <c r="AB7756" i="3"/>
  <c r="AB7757" i="3"/>
  <c r="AB7758" i="3"/>
  <c r="AB7759" i="3"/>
  <c r="AB7760" i="3"/>
  <c r="AB7761" i="3"/>
  <c r="AB7762" i="3"/>
  <c r="AB7763" i="3"/>
  <c r="AB7764" i="3"/>
  <c r="AB7765" i="3"/>
  <c r="AB7766" i="3"/>
  <c r="AB7767" i="3"/>
  <c r="AB7768" i="3"/>
  <c r="AB7769" i="3"/>
  <c r="AB7770" i="3"/>
  <c r="AB7771" i="3"/>
  <c r="AB7772" i="3"/>
  <c r="AB7773" i="3"/>
  <c r="AB7774" i="3"/>
  <c r="AB7775" i="3"/>
  <c r="AB7776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7794" i="3"/>
  <c r="AB7795" i="3"/>
  <c r="AB7796" i="3"/>
  <c r="AB7797" i="3"/>
  <c r="AB7798" i="3"/>
  <c r="AB7799" i="3"/>
  <c r="AB7800" i="3"/>
  <c r="AB7801" i="3"/>
  <c r="AB7802" i="3"/>
  <c r="AB7803" i="3"/>
  <c r="AB7804" i="3"/>
  <c r="AB7805" i="3"/>
  <c r="AB7806" i="3"/>
  <c r="AB7807" i="3"/>
  <c r="AB7808" i="3"/>
  <c r="AB7809" i="3"/>
  <c r="AB7810" i="3"/>
  <c r="AB7811" i="3"/>
  <c r="AB7812" i="3"/>
  <c r="AB7813" i="3"/>
  <c r="AB7814" i="3"/>
  <c r="AB7815" i="3"/>
  <c r="AB7816" i="3"/>
  <c r="AB7817" i="3"/>
  <c r="AB7818" i="3"/>
  <c r="AB7819" i="3"/>
  <c r="AB7820" i="3"/>
  <c r="AB7821" i="3"/>
  <c r="AB7822" i="3"/>
  <c r="AB7823" i="3"/>
  <c r="AB7824" i="3"/>
  <c r="AB7825" i="3"/>
  <c r="AB7826" i="3"/>
  <c r="AB7827" i="3"/>
  <c r="AB7828" i="3"/>
  <c r="AB7829" i="3"/>
  <c r="AB7830" i="3"/>
  <c r="AB7831" i="3"/>
  <c r="AB7832" i="3"/>
  <c r="AB7833" i="3"/>
  <c r="AB7834" i="3"/>
  <c r="AB7835" i="3"/>
  <c r="AB7836" i="3"/>
  <c r="AB7837" i="3"/>
  <c r="AB7838" i="3"/>
  <c r="AB7839" i="3"/>
  <c r="AB7840" i="3"/>
  <c r="AB7841" i="3"/>
  <c r="AB7842" i="3"/>
  <c r="AB7843" i="3"/>
  <c r="AB7844" i="3"/>
  <c r="AB7845" i="3"/>
  <c r="AB7846" i="3"/>
  <c r="AB7847" i="3"/>
  <c r="AB7848" i="3"/>
  <c r="AB7849" i="3"/>
  <c r="AB7850" i="3"/>
  <c r="AB7851" i="3"/>
  <c r="AB7852" i="3"/>
  <c r="AB7853" i="3"/>
  <c r="AB7854" i="3"/>
  <c r="AB7855" i="3"/>
  <c r="AB7856" i="3"/>
  <c r="AB7857" i="3"/>
  <c r="AB7858" i="3"/>
  <c r="AB7859" i="3"/>
  <c r="AB7860" i="3"/>
  <c r="AB7861" i="3"/>
  <c r="AB7862" i="3"/>
  <c r="AB7863" i="3"/>
  <c r="AB7864" i="3"/>
  <c r="AB7865" i="3"/>
  <c r="AB7866" i="3"/>
  <c r="AB7867" i="3"/>
  <c r="AB7868" i="3"/>
  <c r="AB7869" i="3"/>
  <c r="AB7870" i="3"/>
  <c r="AB7871" i="3"/>
  <c r="AB7872" i="3"/>
  <c r="AB7873" i="3"/>
  <c r="AB7874" i="3"/>
  <c r="AB7875" i="3"/>
  <c r="AB7876" i="3"/>
  <c r="AB7877" i="3"/>
  <c r="AB7878" i="3"/>
  <c r="AB7879" i="3"/>
  <c r="AB7880" i="3"/>
  <c r="AB7881" i="3"/>
  <c r="AB7882" i="3"/>
  <c r="AB7883" i="3"/>
  <c r="AB7884" i="3"/>
  <c r="AB7885" i="3"/>
  <c r="AB7886" i="3"/>
  <c r="AB7887" i="3"/>
  <c r="AD6820" i="3"/>
  <c r="AD6870" i="3"/>
  <c r="AD6908" i="3"/>
  <c r="AD6968" i="3"/>
  <c r="AD7008" i="3"/>
  <c r="AD7068" i="3"/>
  <c r="AD7248" i="3"/>
  <c r="V6773" i="3"/>
  <c r="AD6773" i="3" s="1"/>
  <c r="V6774" i="3"/>
  <c r="AD6774" i="3" s="1"/>
  <c r="AB6772" i="3"/>
  <c r="AB6773" i="3"/>
  <c r="AB6774" i="3"/>
  <c r="V6769" i="3"/>
  <c r="AD6769" i="3" s="1"/>
  <c r="AB6769" i="3"/>
  <c r="R6770" i="3"/>
  <c r="V6770" i="3" s="1"/>
  <c r="AD6770" i="3" s="1"/>
  <c r="V6771" i="3"/>
  <c r="AD6771" i="3" s="1"/>
  <c r="V6766" i="3"/>
  <c r="AD6766" i="3" s="1"/>
  <c r="AB6770" i="3"/>
  <c r="V6767" i="3"/>
  <c r="AB6766" i="3"/>
  <c r="AB6767" i="3"/>
  <c r="V6768" i="3"/>
  <c r="AD6768" i="3" s="1"/>
  <c r="AB6768" i="3"/>
  <c r="AB6771" i="3"/>
  <c r="Z7816" i="3" l="1"/>
  <c r="Z7466" i="3"/>
  <c r="V7486" i="3"/>
  <c r="AD7486" i="3" s="1"/>
  <c r="V7047" i="3"/>
  <c r="AD7047" i="3" s="1"/>
  <c r="V7396" i="3"/>
  <c r="AD7396" i="3" s="1"/>
  <c r="V7046" i="3"/>
  <c r="AD7046" i="3" s="1"/>
  <c r="Z7397" i="3"/>
  <c r="Z7587" i="3"/>
  <c r="V7507" i="3"/>
  <c r="AD7507" i="3" s="1"/>
  <c r="Z7477" i="3"/>
  <c r="AD7078" i="3"/>
  <c r="Z7806" i="3"/>
  <c r="Z7557" i="3"/>
  <c r="V7596" i="3"/>
  <c r="AD7596" i="3" s="1"/>
  <c r="V7286" i="3"/>
  <c r="AD7286" i="3" s="1"/>
  <c r="V7037" i="3"/>
  <c r="AD7037" i="3" s="1"/>
  <c r="V7247" i="3"/>
  <c r="AD7247" i="3" s="1"/>
  <c r="V7667" i="3"/>
  <c r="AD7667" i="3" s="1"/>
  <c r="AD6839" i="3"/>
  <c r="Z7767" i="3"/>
  <c r="V7807" i="3"/>
  <c r="AD7807" i="3" s="1"/>
  <c r="V7496" i="3"/>
  <c r="AD7496" i="3" s="1"/>
  <c r="V7197" i="3"/>
  <c r="AD7197" i="3" s="1"/>
  <c r="V7717" i="3"/>
  <c r="AD7717" i="3" s="1"/>
  <c r="V7125" i="3"/>
  <c r="AD7125" i="3" s="1"/>
  <c r="AD7108" i="3"/>
  <c r="AD6850" i="3"/>
  <c r="Z7797" i="3"/>
  <c r="Z7407" i="3"/>
  <c r="Z7467" i="3"/>
  <c r="Z7746" i="3"/>
  <c r="Z7536" i="3"/>
  <c r="Z7406" i="3"/>
  <c r="V7867" i="3"/>
  <c r="AD7867" i="3" s="1"/>
  <c r="V7606" i="3"/>
  <c r="AD7606" i="3" s="1"/>
  <c r="V7356" i="3"/>
  <c r="AD7356" i="3" s="1"/>
  <c r="V7167" i="3"/>
  <c r="AD7167" i="3" s="1"/>
  <c r="V7007" i="3"/>
  <c r="AD7007" i="3" s="1"/>
  <c r="V7817" i="3"/>
  <c r="AD7817" i="3" s="1"/>
  <c r="V7317" i="3"/>
  <c r="AD7317" i="3" s="1"/>
  <c r="V7577" i="3"/>
  <c r="AD7577" i="3" s="1"/>
  <c r="V7367" i="3"/>
  <c r="AD7367" i="3" s="1"/>
  <c r="V6945" i="3"/>
  <c r="AD6945" i="3" s="1"/>
  <c r="V7637" i="3"/>
  <c r="AD7637" i="3" s="1"/>
  <c r="V7117" i="3"/>
  <c r="AD7117" i="3" s="1"/>
  <c r="AD6783" i="3"/>
  <c r="AD6988" i="3"/>
  <c r="Z7417" i="3"/>
  <c r="V7227" i="3"/>
  <c r="AD7227" i="3" s="1"/>
  <c r="V7077" i="3"/>
  <c r="AD7077" i="3" s="1"/>
  <c r="AD7312" i="3"/>
  <c r="Z7847" i="3"/>
  <c r="Z7527" i="3"/>
  <c r="Z7416" i="3"/>
  <c r="V7747" i="3"/>
  <c r="AD7747" i="3" s="1"/>
  <c r="V7547" i="3"/>
  <c r="AD7547" i="3" s="1"/>
  <c r="V7387" i="3"/>
  <c r="AD7387" i="3" s="1"/>
  <c r="V7086" i="3"/>
  <c r="AD7086" i="3" s="1"/>
  <c r="Z7687" i="3"/>
  <c r="V7627" i="3"/>
  <c r="AD7627" i="3" s="1"/>
  <c r="V7517" i="3"/>
  <c r="AD7517" i="3" s="1"/>
  <c r="V7377" i="3"/>
  <c r="AD7377" i="3" s="1"/>
  <c r="Z7787" i="3"/>
  <c r="V7607" i="3"/>
  <c r="AD7607" i="3" s="1"/>
  <c r="Z7657" i="3"/>
  <c r="V7757" i="3"/>
  <c r="AD7757" i="3" s="1"/>
  <c r="AD7073" i="3"/>
  <c r="Z7482" i="3"/>
  <c r="V7647" i="3"/>
  <c r="AD7647" i="3" s="1"/>
  <c r="V7257" i="3"/>
  <c r="AD7257" i="3" s="1"/>
  <c r="V7137" i="3"/>
  <c r="AD7137" i="3" s="1"/>
  <c r="AD7070" i="3"/>
  <c r="V7675" i="3"/>
  <c r="AD7675" i="3" s="1"/>
  <c r="V7425" i="3"/>
  <c r="AD7425" i="3" s="1"/>
  <c r="V7025" i="3"/>
  <c r="AD7025" i="3" s="1"/>
  <c r="Z7855" i="3"/>
  <c r="Z7765" i="3"/>
  <c r="V7735" i="3"/>
  <c r="AD7735" i="3" s="1"/>
  <c r="V7115" i="3"/>
  <c r="AD7115" i="3" s="1"/>
  <c r="Z7475" i="3"/>
  <c r="AD7058" i="3"/>
  <c r="V6878" i="3"/>
  <c r="AD6878" i="3" s="1"/>
  <c r="Z7565" i="3"/>
  <c r="V7275" i="3"/>
  <c r="AD7275" i="3" s="1"/>
  <c r="V7085" i="3"/>
  <c r="AD7085" i="3" s="1"/>
  <c r="Z7355" i="3"/>
  <c r="AD7030" i="3"/>
  <c r="Z7435" i="3"/>
  <c r="V7857" i="3"/>
  <c r="AD7857" i="3" s="1"/>
  <c r="V7707" i="3"/>
  <c r="AD7707" i="3" s="1"/>
  <c r="V7357" i="3"/>
  <c r="AD7357" i="3" s="1"/>
  <c r="V7237" i="3"/>
  <c r="AD7237" i="3" s="1"/>
  <c r="V7127" i="3"/>
  <c r="AD7127" i="3" s="1"/>
  <c r="V6985" i="3"/>
  <c r="AD6985" i="3" s="1"/>
  <c r="Z7705" i="3"/>
  <c r="V7585" i="3"/>
  <c r="AD7585" i="3" s="1"/>
  <c r="V7135" i="3"/>
  <c r="AD7135" i="3" s="1"/>
  <c r="Z7625" i="3"/>
  <c r="V7745" i="3"/>
  <c r="AD7745" i="3" s="1"/>
  <c r="V7415" i="3"/>
  <c r="AD7415" i="3" s="1"/>
  <c r="V7265" i="3"/>
  <c r="AD7265" i="3" s="1"/>
  <c r="V7185" i="3"/>
  <c r="AD7185" i="3" s="1"/>
  <c r="Z7755" i="3"/>
  <c r="Z7615" i="3"/>
  <c r="V7725" i="3"/>
  <c r="AD7725" i="3" s="1"/>
  <c r="V7575" i="3"/>
  <c r="AD7575" i="3" s="1"/>
  <c r="V7485" i="3"/>
  <c r="AD7485" i="3" s="1"/>
  <c r="V7325" i="3"/>
  <c r="AD7325" i="3" s="1"/>
  <c r="V7175" i="3"/>
  <c r="AD7175" i="3" s="1"/>
  <c r="V7815" i="3"/>
  <c r="AD7815" i="3" s="1"/>
  <c r="Z7805" i="3"/>
  <c r="Z7405" i="3"/>
  <c r="Z7525" i="3"/>
  <c r="Z7795" i="3"/>
  <c r="Z7737" i="3"/>
  <c r="Z7665" i="3"/>
  <c r="V7877" i="3"/>
  <c r="AD7877" i="3" s="1"/>
  <c r="V7535" i="3"/>
  <c r="AD7535" i="3" s="1"/>
  <c r="V7447" i="3"/>
  <c r="AD7447" i="3" s="1"/>
  <c r="V7375" i="3"/>
  <c r="AD7375" i="3" s="1"/>
  <c r="V7045" i="3"/>
  <c r="AD7045" i="3" s="1"/>
  <c r="V6977" i="3"/>
  <c r="AD6977" i="3" s="1"/>
  <c r="Z7715" i="3"/>
  <c r="Z7445" i="3"/>
  <c r="V7685" i="3"/>
  <c r="AD7685" i="3" s="1"/>
  <c r="V7225" i="3"/>
  <c r="AD7225" i="3" s="1"/>
  <c r="V7095" i="3"/>
  <c r="AD7095" i="3" s="1"/>
  <c r="Z7865" i="3"/>
  <c r="Z7777" i="3"/>
  <c r="Z7567" i="3"/>
  <c r="Z7437" i="3"/>
  <c r="V7677" i="3"/>
  <c r="AD7677" i="3" s="1"/>
  <c r="V7365" i="3"/>
  <c r="AD7365" i="3" s="1"/>
  <c r="V7285" i="3"/>
  <c r="AD7285" i="3" s="1"/>
  <c r="V7217" i="3"/>
  <c r="AD7217" i="3" s="1"/>
  <c r="Z7605" i="3"/>
  <c r="V7845" i="3"/>
  <c r="AD7845" i="3" s="1"/>
  <c r="V7785" i="3"/>
  <c r="AD7785" i="3" s="1"/>
  <c r="V7515" i="3"/>
  <c r="AD7515" i="3" s="1"/>
  <c r="V7465" i="3"/>
  <c r="AD7465" i="3" s="1"/>
  <c r="Z7555" i="3"/>
  <c r="Z7385" i="3"/>
  <c r="Z7835" i="3"/>
  <c r="Z7695" i="3"/>
  <c r="Z7655" i="3"/>
  <c r="Z7595" i="3"/>
  <c r="Z7885" i="3"/>
  <c r="Z7825" i="3"/>
  <c r="Z7505" i="3"/>
  <c r="V7775" i="3"/>
  <c r="AD7775" i="3" s="1"/>
  <c r="AD7182" i="3"/>
  <c r="Z7727" i="3"/>
  <c r="Z7645" i="3"/>
  <c r="Z7545" i="3"/>
  <c r="Z7497" i="3"/>
  <c r="V7395" i="3"/>
  <c r="AD7395" i="3" s="1"/>
  <c r="V7157" i="3"/>
  <c r="AD7157" i="3" s="1"/>
  <c r="V7107" i="3"/>
  <c r="AD7107" i="3" s="1"/>
  <c r="V7455" i="3"/>
  <c r="AD7455" i="3" s="1"/>
  <c r="AD7151" i="3"/>
  <c r="Z7495" i="3"/>
  <c r="AD7140" i="3"/>
  <c r="Z7875" i="3"/>
  <c r="Z7635" i="3"/>
  <c r="V7537" i="3"/>
  <c r="AD7537" i="3" s="1"/>
  <c r="V7487" i="3"/>
  <c r="AD7487" i="3" s="1"/>
  <c r="V7187" i="3"/>
  <c r="AD7187" i="3" s="1"/>
  <c r="AD7480" i="3"/>
  <c r="AD7708" i="3"/>
  <c r="V7440" i="3"/>
  <c r="AD7440" i="3" s="1"/>
  <c r="Z7608" i="3"/>
  <c r="Z7887" i="3"/>
  <c r="Z7837" i="3"/>
  <c r="V7726" i="3"/>
  <c r="AD7726" i="3" s="1"/>
  <c r="V7617" i="3"/>
  <c r="AD7617" i="3" s="1"/>
  <c r="AD7448" i="3"/>
  <c r="AD7238" i="3"/>
  <c r="AD7098" i="3"/>
  <c r="AD7028" i="3"/>
  <c r="AD6879" i="3"/>
  <c r="Z7448" i="3"/>
  <c r="Z7408" i="3"/>
  <c r="AD7678" i="3"/>
  <c r="V6868" i="3"/>
  <c r="AD6868" i="3" s="1"/>
  <c r="AD7298" i="3"/>
  <c r="AD7048" i="3"/>
  <c r="AD7118" i="3"/>
  <c r="V6789" i="3"/>
  <c r="AD6789" i="3" s="1"/>
  <c r="AD6940" i="3"/>
  <c r="AD7528" i="3"/>
  <c r="AD6910" i="3"/>
  <c r="AD7764" i="3"/>
  <c r="AD7510" i="3"/>
  <c r="V7398" i="3"/>
  <c r="AD7398" i="3" s="1"/>
  <c r="AD7589" i="3"/>
  <c r="Z7652" i="3"/>
  <c r="V6999" i="3"/>
  <c r="AD6999" i="3" s="1"/>
  <c r="AD7540" i="3"/>
  <c r="AD7300" i="3"/>
  <c r="AD7148" i="3"/>
  <c r="Z7856" i="3"/>
  <c r="V7736" i="3"/>
  <c r="AD7736" i="3" s="1"/>
  <c r="V7638" i="3"/>
  <c r="AD7638" i="3" s="1"/>
  <c r="AD7760" i="3"/>
  <c r="Z7651" i="3"/>
  <c r="AD7278" i="3"/>
  <c r="AD7018" i="3"/>
  <c r="AD6948" i="3"/>
  <c r="AD6848" i="3"/>
  <c r="Z7518" i="3"/>
  <c r="V6781" i="3"/>
  <c r="AD6781" i="3" s="1"/>
  <c r="AD7220" i="3"/>
  <c r="AD6808" i="3"/>
  <c r="V7189" i="3"/>
  <c r="AD7189" i="3" s="1"/>
  <c r="V6889" i="3"/>
  <c r="AD6889" i="3" s="1"/>
  <c r="V6818" i="3"/>
  <c r="AD6818" i="3" s="1"/>
  <c r="AD7218" i="3"/>
  <c r="AD7088" i="3"/>
  <c r="AD6978" i="3"/>
  <c r="Z7578" i="3"/>
  <c r="Z7378" i="3"/>
  <c r="V7188" i="3"/>
  <c r="AD7188" i="3" s="1"/>
  <c r="AD7313" i="3"/>
  <c r="AD7038" i="3"/>
  <c r="AD7483" i="3"/>
  <c r="AD7128" i="3"/>
  <c r="AD7080" i="3"/>
  <c r="V7786" i="3"/>
  <c r="AD7786" i="3" s="1"/>
  <c r="V6959" i="3"/>
  <c r="AD6959" i="3" s="1"/>
  <c r="Z7756" i="3"/>
  <c r="Z7716" i="3"/>
  <c r="Z7504" i="3"/>
  <c r="Z7436" i="3"/>
  <c r="V7556" i="3"/>
  <c r="AD7556" i="3" s="1"/>
  <c r="V7316" i="3"/>
  <c r="AD7316" i="3" s="1"/>
  <c r="V7036" i="3"/>
  <c r="AD7036" i="3" s="1"/>
  <c r="V6950" i="3"/>
  <c r="AD6950" i="3" s="1"/>
  <c r="V6852" i="3"/>
  <c r="AD6852" i="3" s="1"/>
  <c r="V6790" i="3"/>
  <c r="AD6790" i="3" s="1"/>
  <c r="AD7150" i="3"/>
  <c r="AD6860" i="3"/>
  <c r="AD7314" i="3"/>
  <c r="AD6953" i="3"/>
  <c r="V7886" i="3"/>
  <c r="AD7886" i="3" s="1"/>
  <c r="V7676" i="3"/>
  <c r="AD7676" i="3" s="1"/>
  <c r="Z7836" i="3"/>
  <c r="Z7636" i="3"/>
  <c r="Z7526" i="3"/>
  <c r="V7386" i="3"/>
  <c r="AD7386" i="3" s="1"/>
  <c r="Z7866" i="3"/>
  <c r="V7056" i="3"/>
  <c r="AD7056" i="3" s="1"/>
  <c r="AD7789" i="3"/>
  <c r="AD7629" i="3"/>
  <c r="AD7498" i="3"/>
  <c r="AD7621" i="3"/>
  <c r="AD7408" i="3"/>
  <c r="Z7689" i="3"/>
  <c r="Z7628" i="3"/>
  <c r="AD7810" i="3"/>
  <c r="AD7808" i="3"/>
  <c r="AD7640" i="3"/>
  <c r="AD7500" i="3"/>
  <c r="AD7438" i="3"/>
  <c r="AD7352" i="3"/>
  <c r="Z7739" i="3"/>
  <c r="V7138" i="3"/>
  <c r="AD7138" i="3" s="1"/>
  <c r="AD7739" i="3"/>
  <c r="AD7729" i="3"/>
  <c r="AD7350" i="3"/>
  <c r="AD7290" i="3"/>
  <c r="Z7633" i="3"/>
  <c r="Z7500" i="3"/>
  <c r="AD7746" i="3"/>
  <c r="AD7869" i="3"/>
  <c r="AD7719" i="3"/>
  <c r="AD7628" i="3"/>
  <c r="AD7280" i="3"/>
  <c r="Z7882" i="3"/>
  <c r="Z7632" i="3"/>
  <c r="Z7498" i="3"/>
  <c r="AD7619" i="3"/>
  <c r="AD7549" i="3"/>
  <c r="Z7696" i="3"/>
  <c r="Z7666" i="3"/>
  <c r="Z7566" i="3"/>
  <c r="Z7366" i="3"/>
  <c r="V7626" i="3"/>
  <c r="AD7626" i="3" s="1"/>
  <c r="V7457" i="3"/>
  <c r="AD7457" i="3" s="1"/>
  <c r="V7427" i="3"/>
  <c r="AD7427" i="3" s="1"/>
  <c r="V7297" i="3"/>
  <c r="AD7297" i="3" s="1"/>
  <c r="V7267" i="3"/>
  <c r="AD7267" i="3" s="1"/>
  <c r="V6877" i="3"/>
  <c r="AD6877" i="3" s="1"/>
  <c r="Z7827" i="3"/>
  <c r="Z7796" i="3"/>
  <c r="Z7649" i="3"/>
  <c r="Z7488" i="3"/>
  <c r="Z7376" i="3"/>
  <c r="V7697" i="3"/>
  <c r="AD7697" i="3" s="1"/>
  <c r="V7246" i="3"/>
  <c r="AD7246" i="3" s="1"/>
  <c r="V7060" i="3"/>
  <c r="AD7060" i="3" s="1"/>
  <c r="V7027" i="3"/>
  <c r="AD7027" i="3" s="1"/>
  <c r="V6938" i="3"/>
  <c r="AD6938" i="3" s="1"/>
  <c r="V6857" i="3"/>
  <c r="AD6857" i="3" s="1"/>
  <c r="AD7828" i="3"/>
  <c r="AD7578" i="3"/>
  <c r="AD7518" i="3"/>
  <c r="AD7410" i="3"/>
  <c r="AD7351" i="3"/>
  <c r="AD7268" i="3"/>
  <c r="AD7210" i="3"/>
  <c r="AD7170" i="3"/>
  <c r="Z7699" i="3"/>
  <c r="Z7597" i="3"/>
  <c r="V7604" i="3"/>
  <c r="AD7604" i="3" s="1"/>
  <c r="V7574" i="3"/>
  <c r="AD7574" i="3" s="1"/>
  <c r="V7524" i="3"/>
  <c r="AD7524" i="3" s="1"/>
  <c r="V7514" i="3"/>
  <c r="AD7514" i="3" s="1"/>
  <c r="V7124" i="3"/>
  <c r="AD7124" i="3" s="1"/>
  <c r="V6854" i="3"/>
  <c r="AD6854" i="3" s="1"/>
  <c r="V6834" i="3"/>
  <c r="AD6834" i="3" s="1"/>
  <c r="V6784" i="3"/>
  <c r="AD6784" i="3" s="1"/>
  <c r="V7303" i="3"/>
  <c r="AD7303" i="3" s="1"/>
  <c r="V7153" i="3"/>
  <c r="AD7153" i="3" s="1"/>
  <c r="V7103" i="3"/>
  <c r="AD7103" i="3" s="1"/>
  <c r="V7033" i="3"/>
  <c r="AD7033" i="3" s="1"/>
  <c r="V6983" i="3"/>
  <c r="AD6983" i="3" s="1"/>
  <c r="V6793" i="3"/>
  <c r="AD6793" i="3" s="1"/>
  <c r="AD7384" i="3"/>
  <c r="V7592" i="3"/>
  <c r="AD7592" i="3" s="1"/>
  <c r="Z7592" i="3"/>
  <c r="V7452" i="3"/>
  <c r="AD7452" i="3" s="1"/>
  <c r="Z7452" i="3"/>
  <c r="V7232" i="3"/>
  <c r="AD7232" i="3" s="1"/>
  <c r="V7112" i="3"/>
  <c r="AD7112" i="3" s="1"/>
  <c r="V7072" i="3"/>
  <c r="AD7072" i="3" s="1"/>
  <c r="V7022" i="3"/>
  <c r="AD7022" i="3" s="1"/>
  <c r="V6962" i="3"/>
  <c r="AD6962" i="3" s="1"/>
  <c r="V6902" i="3"/>
  <c r="AD6902" i="3" s="1"/>
  <c r="V6842" i="3"/>
  <c r="AD6842" i="3" s="1"/>
  <c r="AD6974" i="3"/>
  <c r="Z7441" i="3"/>
  <c r="V7441" i="3"/>
  <c r="AD7441" i="3" s="1"/>
  <c r="V7391" i="3"/>
  <c r="AD7391" i="3" s="1"/>
  <c r="Z7391" i="3"/>
  <c r="V7001" i="3"/>
  <c r="AD7001" i="3" s="1"/>
  <c r="V6871" i="3"/>
  <c r="AD6871" i="3" s="1"/>
  <c r="V6811" i="3"/>
  <c r="AD6811" i="3" s="1"/>
  <c r="AD7093" i="3"/>
  <c r="AD6942" i="3"/>
  <c r="V7811" i="3"/>
  <c r="AD7811" i="3" s="1"/>
  <c r="V7781" i="3"/>
  <c r="AD7781" i="3" s="1"/>
  <c r="V7753" i="3"/>
  <c r="AD7753" i="3" s="1"/>
  <c r="V7061" i="3"/>
  <c r="AD7061" i="3" s="1"/>
  <c r="V6971" i="3"/>
  <c r="AD6971" i="3" s="1"/>
  <c r="V7763" i="3"/>
  <c r="AD7763" i="3" s="1"/>
  <c r="Z7763" i="3"/>
  <c r="V7663" i="3"/>
  <c r="AD7663" i="3" s="1"/>
  <c r="Z7663" i="3"/>
  <c r="V7443" i="3"/>
  <c r="AD7443" i="3" s="1"/>
  <c r="V7363" i="3"/>
  <c r="AD7363" i="3" s="1"/>
  <c r="V7213" i="3"/>
  <c r="AD7213" i="3" s="1"/>
  <c r="V7053" i="3"/>
  <c r="AD7053" i="3" s="1"/>
  <c r="V7003" i="3"/>
  <c r="AD7003" i="3" s="1"/>
  <c r="V6963" i="3"/>
  <c r="AD6963" i="3" s="1"/>
  <c r="V6913" i="3"/>
  <c r="AD6913" i="3" s="1"/>
  <c r="V6863" i="3"/>
  <c r="AD6863" i="3" s="1"/>
  <c r="V6833" i="3"/>
  <c r="AD6833" i="3" s="1"/>
  <c r="AD7414" i="3"/>
  <c r="V7522" i="3"/>
  <c r="AD7522" i="3" s="1"/>
  <c r="Z7522" i="3"/>
  <c r="V7162" i="3"/>
  <c r="AD7162" i="3" s="1"/>
  <c r="V7122" i="3"/>
  <c r="AD7122" i="3" s="1"/>
  <c r="V7082" i="3"/>
  <c r="AD7082" i="3" s="1"/>
  <c r="V7032" i="3"/>
  <c r="AD7032" i="3" s="1"/>
  <c r="V6982" i="3"/>
  <c r="AD6982" i="3" s="1"/>
  <c r="V6882" i="3"/>
  <c r="AD6882" i="3" s="1"/>
  <c r="AD7794" i="3"/>
  <c r="V6792" i="3"/>
  <c r="AD6792" i="3" s="1"/>
  <c r="V7821" i="3"/>
  <c r="AD7821" i="3" s="1"/>
  <c r="Z7821" i="3"/>
  <c r="V7431" i="3"/>
  <c r="AD7431" i="3" s="1"/>
  <c r="Z7431" i="3"/>
  <c r="V7311" i="3"/>
  <c r="AD7311" i="3" s="1"/>
  <c r="V7211" i="3"/>
  <c r="AD7211" i="3" s="1"/>
  <c r="V7031" i="3"/>
  <c r="AD7031" i="3" s="1"/>
  <c r="V6901" i="3"/>
  <c r="AD6901" i="3" s="1"/>
  <c r="V6801" i="3"/>
  <c r="AD6801" i="3" s="1"/>
  <c r="AD7502" i="3"/>
  <c r="Z7672" i="3"/>
  <c r="Z7364" i="3"/>
  <c r="V7872" i="3"/>
  <c r="AD7872" i="3" s="1"/>
  <c r="V7752" i="3"/>
  <c r="AD7752" i="3" s="1"/>
  <c r="V7121" i="3"/>
  <c r="AD7121" i="3" s="1"/>
  <c r="V7784" i="3"/>
  <c r="AD7784" i="3" s="1"/>
  <c r="V7704" i="3"/>
  <c r="AD7704" i="3" s="1"/>
  <c r="V7544" i="3"/>
  <c r="AD7544" i="3" s="1"/>
  <c r="V7454" i="3"/>
  <c r="AD7454" i="3" s="1"/>
  <c r="Z7454" i="3"/>
  <c r="V7294" i="3"/>
  <c r="AD7294" i="3" s="1"/>
  <c r="V7184" i="3"/>
  <c r="AD7184" i="3" s="1"/>
  <c r="V7054" i="3"/>
  <c r="AD7054" i="3" s="1"/>
  <c r="V6984" i="3"/>
  <c r="AD6984" i="3" s="1"/>
  <c r="V6914" i="3"/>
  <c r="AD6914" i="3" s="1"/>
  <c r="V6874" i="3"/>
  <c r="AD6874" i="3" s="1"/>
  <c r="V6824" i="3"/>
  <c r="AD6824" i="3" s="1"/>
  <c r="AD6884" i="3"/>
  <c r="V7783" i="3"/>
  <c r="AD7783" i="3" s="1"/>
  <c r="Z7783" i="3"/>
  <c r="V7183" i="3"/>
  <c r="AD7183" i="3" s="1"/>
  <c r="V6933" i="3"/>
  <c r="AD6933" i="3" s="1"/>
  <c r="V6823" i="3"/>
  <c r="AD6823" i="3" s="1"/>
  <c r="AD6883" i="3"/>
  <c r="V7862" i="3"/>
  <c r="AD7862" i="3" s="1"/>
  <c r="Z7862" i="3"/>
  <c r="V7842" i="3"/>
  <c r="AD7842" i="3" s="1"/>
  <c r="Z7842" i="3"/>
  <c r="V7762" i="3"/>
  <c r="AD7762" i="3" s="1"/>
  <c r="Z7762" i="3"/>
  <c r="Z7732" i="3"/>
  <c r="V7732" i="3"/>
  <c r="AD7732" i="3" s="1"/>
  <c r="V7392" i="3"/>
  <c r="AD7392" i="3" s="1"/>
  <c r="Z7392" i="3"/>
  <c r="V7362" i="3"/>
  <c r="AD7362" i="3" s="1"/>
  <c r="AD7342" i="3"/>
  <c r="V7292" i="3"/>
  <c r="AD7292" i="3" s="1"/>
  <c r="V7252" i="3"/>
  <c r="AD7252" i="3" s="1"/>
  <c r="V7212" i="3"/>
  <c r="AD7212" i="3" s="1"/>
  <c r="V7192" i="3"/>
  <c r="AD7192" i="3" s="1"/>
  <c r="V7142" i="3"/>
  <c r="AD7142" i="3" s="1"/>
  <c r="V7012" i="3"/>
  <c r="AD7012" i="3" s="1"/>
  <c r="V6972" i="3"/>
  <c r="AD6972" i="3" s="1"/>
  <c r="V6932" i="3"/>
  <c r="AD6932" i="3" s="1"/>
  <c r="V6872" i="3"/>
  <c r="AD6872" i="3" s="1"/>
  <c r="V6812" i="3"/>
  <c r="AD6812" i="3" s="1"/>
  <c r="AD7442" i="3"/>
  <c r="AD6943" i="3"/>
  <c r="Z7852" i="3"/>
  <c r="V7471" i="3"/>
  <c r="AD7471" i="3" s="1"/>
  <c r="Z7421" i="3"/>
  <c r="V7421" i="3"/>
  <c r="AD7421" i="3" s="1"/>
  <c r="V7161" i="3"/>
  <c r="AD7161" i="3" s="1"/>
  <c r="V7111" i="3"/>
  <c r="AD7111" i="3" s="1"/>
  <c r="V7091" i="3"/>
  <c r="AD7091" i="3" s="1"/>
  <c r="AD7644" i="3"/>
  <c r="AD6973" i="3"/>
  <c r="AD7694" i="3"/>
  <c r="AD7403" i="3"/>
  <c r="AD7202" i="3"/>
  <c r="AD7064" i="3"/>
  <c r="AD7043" i="3"/>
  <c r="AD6992" i="3"/>
  <c r="AD6903" i="3"/>
  <c r="AD6864" i="3"/>
  <c r="AD6822" i="3"/>
  <c r="Z7722" i="3"/>
  <c r="Z7384" i="3"/>
  <c r="Z7363" i="3"/>
  <c r="V7874" i="3"/>
  <c r="AD7874" i="3" s="1"/>
  <c r="V7474" i="3"/>
  <c r="AD7474" i="3" s="1"/>
  <c r="Z7474" i="3"/>
  <c r="V7324" i="3"/>
  <c r="AD7324" i="3" s="1"/>
  <c r="V7074" i="3"/>
  <c r="AD7074" i="3" s="1"/>
  <c r="V6934" i="3"/>
  <c r="AD6934" i="3" s="1"/>
  <c r="AD7674" i="3"/>
  <c r="V7423" i="3"/>
  <c r="AD7423" i="3" s="1"/>
  <c r="V7123" i="3"/>
  <c r="AD7123" i="3" s="1"/>
  <c r="V7083" i="3"/>
  <c r="AD7083" i="3" s="1"/>
  <c r="V7023" i="3"/>
  <c r="AD7023" i="3" s="1"/>
  <c r="V6893" i="3"/>
  <c r="AD6893" i="3" s="1"/>
  <c r="AD6944" i="3"/>
  <c r="V7662" i="3"/>
  <c r="AD7662" i="3" s="1"/>
  <c r="Z7662" i="3"/>
  <c r="V7432" i="3"/>
  <c r="AD7432" i="3" s="1"/>
  <c r="Z7432" i="3"/>
  <c r="V7302" i="3"/>
  <c r="AD7302" i="3" s="1"/>
  <c r="V7262" i="3"/>
  <c r="AD7262" i="3" s="1"/>
  <c r="V7242" i="3"/>
  <c r="AD7242" i="3" s="1"/>
  <c r="V7132" i="3"/>
  <c r="AD7132" i="3" s="1"/>
  <c r="V7092" i="3"/>
  <c r="AD7092" i="3" s="1"/>
  <c r="V7002" i="3"/>
  <c r="AD7002" i="3" s="1"/>
  <c r="V6952" i="3"/>
  <c r="AD6952" i="3" s="1"/>
  <c r="V6912" i="3"/>
  <c r="AD6912" i="3" s="1"/>
  <c r="V6892" i="3"/>
  <c r="AD6892" i="3" s="1"/>
  <c r="AD7382" i="3"/>
  <c r="V7361" i="3"/>
  <c r="AD7361" i="3" s="1"/>
  <c r="Z7361" i="3"/>
  <c r="V7341" i="3"/>
  <c r="AD7341" i="3" s="1"/>
  <c r="V7291" i="3"/>
  <c r="AD7291" i="3" s="1"/>
  <c r="V6841" i="3"/>
  <c r="AD6841" i="3" s="1"/>
  <c r="V6831" i="3"/>
  <c r="AD6831" i="3" s="1"/>
  <c r="AD7824" i="3"/>
  <c r="AD7172" i="3"/>
  <c r="AD6803" i="3"/>
  <c r="AD6993" i="3"/>
  <c r="AD7564" i="3"/>
  <c r="AD7864" i="3"/>
  <c r="AD7734" i="3"/>
  <c r="AD7633" i="3"/>
  <c r="AD7561" i="3"/>
  <c r="AD7402" i="3"/>
  <c r="AD7272" i="3"/>
  <c r="AD7114" i="3"/>
  <c r="AD7081" i="3"/>
  <c r="AD7063" i="3"/>
  <c r="AD7042" i="3"/>
  <c r="AD6924" i="3"/>
  <c r="AD6794" i="3"/>
  <c r="Z7742" i="3"/>
  <c r="Z7721" i="3"/>
  <c r="Z7462" i="3"/>
  <c r="Z7382" i="3"/>
  <c r="Z7362" i="3"/>
  <c r="V7141" i="3"/>
  <c r="AD7141" i="3" s="1"/>
  <c r="V7234" i="3"/>
  <c r="AD7234" i="3" s="1"/>
  <c r="V7034" i="3"/>
  <c r="AD7034" i="3" s="1"/>
  <c r="V7004" i="3"/>
  <c r="AD7004" i="3" s="1"/>
  <c r="V6964" i="3"/>
  <c r="AD6964" i="3" s="1"/>
  <c r="V6894" i="3"/>
  <c r="AD6894" i="3" s="1"/>
  <c r="AD6844" i="3"/>
  <c r="V7293" i="3"/>
  <c r="AD7293" i="3" s="1"/>
  <c r="Z7702" i="3"/>
  <c r="V7702" i="3"/>
  <c r="AD7702" i="3" s="1"/>
  <c r="V7612" i="3"/>
  <c r="AD7612" i="3" s="1"/>
  <c r="Z7612" i="3"/>
  <c r="V7542" i="3"/>
  <c r="AD7542" i="3" s="1"/>
  <c r="Z7542" i="3"/>
  <c r="V7372" i="3"/>
  <c r="AD7372" i="3" s="1"/>
  <c r="Z7372" i="3"/>
  <c r="V7322" i="3"/>
  <c r="AD7322" i="3" s="1"/>
  <c r="V7282" i="3"/>
  <c r="AD7282" i="3" s="1"/>
  <c r="V7152" i="3"/>
  <c r="AD7152" i="3" s="1"/>
  <c r="V7102" i="3"/>
  <c r="AD7102" i="3" s="1"/>
  <c r="V7052" i="3"/>
  <c r="AD7052" i="3" s="1"/>
  <c r="V6802" i="3"/>
  <c r="AD6802" i="3" s="1"/>
  <c r="AD7472" i="3"/>
  <c r="AD6804" i="3"/>
  <c r="V7661" i="3"/>
  <c r="AD7661" i="3" s="1"/>
  <c r="V7491" i="3"/>
  <c r="AD7491" i="3" s="1"/>
  <c r="V7021" i="3"/>
  <c r="AD7021" i="3" s="1"/>
  <c r="V6951" i="3"/>
  <c r="AD6951" i="3" s="1"/>
  <c r="V6911" i="3"/>
  <c r="AD6911" i="3" s="1"/>
  <c r="AD6994" i="3"/>
  <c r="AD7614" i="3"/>
  <c r="AD7332" i="3"/>
  <c r="AD7171" i="3"/>
  <c r="AD7044" i="3"/>
  <c r="AD7401" i="3"/>
  <c r="AD7271" i="3"/>
  <c r="AD7224" i="3"/>
  <c r="AD7062" i="3"/>
  <c r="AD7014" i="3"/>
  <c r="AD6923" i="3"/>
  <c r="Z7461" i="3"/>
  <c r="V6814" i="3"/>
  <c r="AD6814" i="3" s="1"/>
  <c r="V7683" i="3"/>
  <c r="AD7683" i="3" s="1"/>
  <c r="Z7683" i="3"/>
  <c r="V7593" i="3"/>
  <c r="AD7593" i="3" s="1"/>
  <c r="Z7593" i="3"/>
  <c r="V6873" i="3"/>
  <c r="AD6873" i="3" s="1"/>
  <c r="V6813" i="3"/>
  <c r="AD6813" i="3" s="1"/>
  <c r="AD7584" i="3"/>
  <c r="AD7214" i="3"/>
  <c r="AD6843" i="3"/>
  <c r="V7412" i="3"/>
  <c r="AD7412" i="3" s="1"/>
  <c r="Z7412" i="3"/>
  <c r="V7411" i="3"/>
  <c r="AD7411" i="3" s="1"/>
  <c r="Z7411" i="3"/>
  <c r="AD7462" i="3"/>
  <c r="AD7024" i="3"/>
  <c r="AD6904" i="3"/>
  <c r="AD7533" i="3"/>
  <c r="AD7552" i="3"/>
  <c r="AD7434" i="3"/>
  <c r="AD7721" i="3"/>
  <c r="AD7422" i="3"/>
  <c r="AD7222" i="3"/>
  <c r="AD7134" i="3"/>
  <c r="AD7013" i="3"/>
  <c r="AD6954" i="3"/>
  <c r="AD6922" i="3"/>
  <c r="Z7563" i="3"/>
  <c r="Z7532" i="3"/>
  <c r="V6853" i="3"/>
  <c r="AD6853" i="3" s="1"/>
  <c r="AD7840" i="3"/>
  <c r="AD7470" i="3"/>
  <c r="AD7390" i="3"/>
  <c r="AD7320" i="3"/>
  <c r="AD7160" i="3"/>
  <c r="V7360" i="3"/>
  <c r="AD7360" i="3" s="1"/>
  <c r="V7010" i="3"/>
  <c r="AD7010" i="3" s="1"/>
  <c r="AD7340" i="3"/>
  <c r="Z7410" i="3"/>
  <c r="Z7450" i="3"/>
  <c r="Z7430" i="3"/>
  <c r="V6799" i="3"/>
  <c r="AD6799" i="3" s="1"/>
  <c r="Z7840" i="3"/>
  <c r="Z7819" i="3"/>
  <c r="Z7682" i="3"/>
  <c r="V7812" i="3"/>
  <c r="AD7812" i="3" s="1"/>
  <c r="Z7782" i="3"/>
  <c r="Z7712" i="3"/>
  <c r="Z7562" i="3"/>
  <c r="Z7540" i="3"/>
  <c r="V7492" i="3"/>
  <c r="AD7492" i="3" s="1"/>
  <c r="V7321" i="3"/>
  <c r="AD7321" i="3" s="1"/>
  <c r="Z7802" i="3"/>
  <c r="Z7599" i="3"/>
  <c r="Z7582" i="3"/>
  <c r="Z7561" i="3"/>
  <c r="Z7539" i="3"/>
  <c r="V7241" i="3"/>
  <c r="AD7241" i="3" s="1"/>
  <c r="Z7822" i="3"/>
  <c r="Z7799" i="3"/>
  <c r="Z7471" i="3"/>
  <c r="V7582" i="3"/>
  <c r="AD7582" i="3" s="1"/>
  <c r="AD7699" i="3"/>
  <c r="Z7789" i="3"/>
  <c r="Z7733" i="3"/>
  <c r="Z7692" i="3"/>
  <c r="Z7619" i="3"/>
  <c r="Z7602" i="3"/>
  <c r="Z7549" i="3"/>
  <c r="Z7533" i="3"/>
  <c r="Z7510" i="3"/>
  <c r="Z7491" i="3"/>
  <c r="Z7472" i="3"/>
  <c r="Z7401" i="3"/>
  <c r="V7221" i="3"/>
  <c r="AD7221" i="3" s="1"/>
  <c r="AD7799" i="3"/>
  <c r="AD7728" i="3"/>
  <c r="AD7652" i="3"/>
  <c r="Z7851" i="3"/>
  <c r="Z7832" i="3"/>
  <c r="Z7719" i="3"/>
  <c r="Z7678" i="3"/>
  <c r="Z7661" i="3"/>
  <c r="Z7642" i="3"/>
  <c r="Z7589" i="3"/>
  <c r="Z7572" i="3"/>
  <c r="Z7460" i="3"/>
  <c r="V7772" i="3"/>
  <c r="AD7772" i="3" s="1"/>
  <c r="V7568" i="3"/>
  <c r="AD7568" i="3" s="1"/>
  <c r="V7512" i="3"/>
  <c r="AD7512" i="3" s="1"/>
  <c r="V7459" i="3"/>
  <c r="AD7459" i="3" s="1"/>
  <c r="V7439" i="3"/>
  <c r="AD7439" i="3" s="1"/>
  <c r="V7331" i="3"/>
  <c r="AD7331" i="3" s="1"/>
  <c r="V7310" i="3"/>
  <c r="AD7310" i="3" s="1"/>
  <c r="V7201" i="3"/>
  <c r="AD7201" i="3" s="1"/>
  <c r="V6970" i="3"/>
  <c r="AD6970" i="3" s="1"/>
  <c r="AD7778" i="3"/>
  <c r="AD7751" i="3"/>
  <c r="Z7869" i="3"/>
  <c r="Z7810" i="3"/>
  <c r="Z7793" i="3"/>
  <c r="Z7639" i="3"/>
  <c r="Z7622" i="3"/>
  <c r="Z7552" i="3"/>
  <c r="Z7443" i="3"/>
  <c r="Z7352" i="3"/>
  <c r="V7881" i="3"/>
  <c r="AD7881" i="3" s="1"/>
  <c r="V7511" i="3"/>
  <c r="AD7511" i="3" s="1"/>
  <c r="V7458" i="3"/>
  <c r="AD7458" i="3" s="1"/>
  <c r="V7200" i="3"/>
  <c r="AD7200" i="3" s="1"/>
  <c r="V6919" i="3"/>
  <c r="AD6919" i="3" s="1"/>
  <c r="AD7819" i="3"/>
  <c r="AD7622" i="3"/>
  <c r="AD7602" i="3"/>
  <c r="Z7808" i="3"/>
  <c r="Z7792" i="3"/>
  <c r="Z7751" i="3"/>
  <c r="Z7621" i="3"/>
  <c r="Z7442" i="3"/>
  <c r="Z7422" i="3"/>
  <c r="V7481" i="3"/>
  <c r="AD7481" i="3" s="1"/>
  <c r="V7380" i="3"/>
  <c r="AD7380" i="3" s="1"/>
  <c r="V7011" i="3"/>
  <c r="AD7011" i="3" s="1"/>
  <c r="V6891" i="3"/>
  <c r="AD6891" i="3" s="1"/>
  <c r="V6819" i="3"/>
  <c r="AD6819" i="3" s="1"/>
  <c r="V7884" i="3"/>
  <c r="AD7884" i="3" s="1"/>
  <c r="V7854" i="3"/>
  <c r="AD7854" i="3" s="1"/>
  <c r="V7844" i="3"/>
  <c r="AD7844" i="3" s="1"/>
  <c r="V7814" i="3"/>
  <c r="AD7814" i="3" s="1"/>
  <c r="V7754" i="3"/>
  <c r="AD7754" i="3" s="1"/>
  <c r="V7724" i="3"/>
  <c r="AD7724" i="3" s="1"/>
  <c r="V7664" i="3"/>
  <c r="AD7664" i="3" s="1"/>
  <c r="V7634" i="3"/>
  <c r="AD7634" i="3" s="1"/>
  <c r="V7554" i="3"/>
  <c r="AD7554" i="3" s="1"/>
  <c r="V7494" i="3"/>
  <c r="AD7494" i="3" s="1"/>
  <c r="Z7494" i="3"/>
  <c r="V7464" i="3"/>
  <c r="AD7464" i="3" s="1"/>
  <c r="Z7464" i="3"/>
  <c r="V7444" i="3"/>
  <c r="AD7444" i="3" s="1"/>
  <c r="Z7444" i="3"/>
  <c r="V7424" i="3"/>
  <c r="AD7424" i="3" s="1"/>
  <c r="V7404" i="3"/>
  <c r="AD7404" i="3" s="1"/>
  <c r="Z7404" i="3"/>
  <c r="V7394" i="3"/>
  <c r="AD7394" i="3" s="1"/>
  <c r="Z7394" i="3"/>
  <c r="V7374" i="3"/>
  <c r="AD7374" i="3" s="1"/>
  <c r="Z7374" i="3"/>
  <c r="V7354" i="3"/>
  <c r="AD7354" i="3" s="1"/>
  <c r="Z7354" i="3"/>
  <c r="AD7344" i="3"/>
  <c r="V7334" i="3"/>
  <c r="AD7334" i="3" s="1"/>
  <c r="V7304" i="3"/>
  <c r="AD7304" i="3" s="1"/>
  <c r="V7284" i="3"/>
  <c r="AD7284" i="3" s="1"/>
  <c r="V7274" i="3"/>
  <c r="AD7274" i="3" s="1"/>
  <c r="V7264" i="3"/>
  <c r="AD7264" i="3" s="1"/>
  <c r="V7254" i="3"/>
  <c r="AD7254" i="3" s="1"/>
  <c r="V7244" i="3"/>
  <c r="AD7244" i="3" s="1"/>
  <c r="V7204" i="3"/>
  <c r="AD7204" i="3" s="1"/>
  <c r="V7194" i="3"/>
  <c r="AD7194" i="3" s="1"/>
  <c r="V7174" i="3"/>
  <c r="AD7174" i="3" s="1"/>
  <c r="V7164" i="3"/>
  <c r="AD7164" i="3" s="1"/>
  <c r="V7154" i="3"/>
  <c r="AD7154" i="3" s="1"/>
  <c r="V7144" i="3"/>
  <c r="AD7144" i="3" s="1"/>
  <c r="V7104" i="3"/>
  <c r="AD7104" i="3" s="1"/>
  <c r="V7094" i="3"/>
  <c r="AD7094" i="3" s="1"/>
  <c r="V7084" i="3"/>
  <c r="AD7084" i="3" s="1"/>
  <c r="V7823" i="3"/>
  <c r="AD7823" i="3" s="1"/>
  <c r="Z7823" i="3"/>
  <c r="V7813" i="3"/>
  <c r="AD7813" i="3" s="1"/>
  <c r="Z7813" i="3"/>
  <c r="V7803" i="3"/>
  <c r="AD7803" i="3" s="1"/>
  <c r="Z7803" i="3"/>
  <c r="V7773" i="3"/>
  <c r="AD7773" i="3" s="1"/>
  <c r="Z7773" i="3"/>
  <c r="V7743" i="3"/>
  <c r="AD7743" i="3" s="1"/>
  <c r="Z7743" i="3"/>
  <c r="V7723" i="3"/>
  <c r="AD7723" i="3" s="1"/>
  <c r="Z7723" i="3"/>
  <c r="V7713" i="3"/>
  <c r="AD7713" i="3" s="1"/>
  <c r="Z7713" i="3"/>
  <c r="V7703" i="3"/>
  <c r="AD7703" i="3" s="1"/>
  <c r="Z7703" i="3"/>
  <c r="V7673" i="3"/>
  <c r="AD7673" i="3" s="1"/>
  <c r="Z7673" i="3"/>
  <c r="V7653" i="3"/>
  <c r="AD7653" i="3" s="1"/>
  <c r="Z7653" i="3"/>
  <c r="V7643" i="3"/>
  <c r="AD7643" i="3" s="1"/>
  <c r="Z7643" i="3"/>
  <c r="V7623" i="3"/>
  <c r="AD7623" i="3" s="1"/>
  <c r="Z7623" i="3"/>
  <c r="V7613" i="3"/>
  <c r="AD7613" i="3" s="1"/>
  <c r="Z7613" i="3"/>
  <c r="V7603" i="3"/>
  <c r="AD7603" i="3" s="1"/>
  <c r="Z7603" i="3"/>
  <c r="V7583" i="3"/>
  <c r="AD7583" i="3" s="1"/>
  <c r="V7573" i="3"/>
  <c r="AD7573" i="3" s="1"/>
  <c r="Z7573" i="3"/>
  <c r="V7553" i="3"/>
  <c r="AD7553" i="3" s="1"/>
  <c r="Z7553" i="3"/>
  <c r="V7543" i="3"/>
  <c r="AD7543" i="3" s="1"/>
  <c r="Z7543" i="3"/>
  <c r="V7523" i="3"/>
  <c r="AD7523" i="3" s="1"/>
  <c r="V7513" i="3"/>
  <c r="AD7513" i="3" s="1"/>
  <c r="V7503" i="3"/>
  <c r="AD7503" i="3" s="1"/>
  <c r="V7493" i="3"/>
  <c r="AD7493" i="3" s="1"/>
  <c r="Z7493" i="3"/>
  <c r="V7473" i="3"/>
  <c r="AD7473" i="3" s="1"/>
  <c r="Z7473" i="3"/>
  <c r="V7463" i="3"/>
  <c r="AD7463" i="3" s="1"/>
  <c r="Z7463" i="3"/>
  <c r="V7453" i="3"/>
  <c r="AD7453" i="3" s="1"/>
  <c r="Z7453" i="3"/>
  <c r="V7433" i="3"/>
  <c r="AD7433" i="3" s="1"/>
  <c r="Z7433" i="3"/>
  <c r="V7413" i="3"/>
  <c r="AD7413" i="3" s="1"/>
  <c r="V7393" i="3"/>
  <c r="AD7393" i="3" s="1"/>
  <c r="Z7393" i="3"/>
  <c r="V7383" i="3"/>
  <c r="AD7383" i="3" s="1"/>
  <c r="Z7383" i="3"/>
  <c r="V7373" i="3"/>
  <c r="AD7373" i="3" s="1"/>
  <c r="Z7373" i="3"/>
  <c r="V7353" i="3"/>
  <c r="AD7353" i="3" s="1"/>
  <c r="AD7343" i="3"/>
  <c r="V7323" i="3"/>
  <c r="AD7323" i="3" s="1"/>
  <c r="V7283" i="3"/>
  <c r="AD7283" i="3" s="1"/>
  <c r="V7273" i="3"/>
  <c r="AD7273" i="3" s="1"/>
  <c r="V7263" i="3"/>
  <c r="AD7263" i="3" s="1"/>
  <c r="V7253" i="3"/>
  <c r="AD7253" i="3" s="1"/>
  <c r="V7243" i="3"/>
  <c r="AD7243" i="3" s="1"/>
  <c r="V7233" i="3"/>
  <c r="AD7233" i="3" s="1"/>
  <c r="V7223" i="3"/>
  <c r="AD7223" i="3" s="1"/>
  <c r="V7203" i="3"/>
  <c r="AD7203" i="3" s="1"/>
  <c r="V7193" i="3"/>
  <c r="AD7193" i="3" s="1"/>
  <c r="V7173" i="3"/>
  <c r="AD7173" i="3" s="1"/>
  <c r="V7133" i="3"/>
  <c r="AD7133" i="3" s="1"/>
  <c r="V7831" i="3"/>
  <c r="AD7831" i="3" s="1"/>
  <c r="V7861" i="3"/>
  <c r="AD7861" i="3" s="1"/>
  <c r="Z7861" i="3"/>
  <c r="V7841" i="3"/>
  <c r="AD7841" i="3" s="1"/>
  <c r="Z7841" i="3"/>
  <c r="Z7801" i="3"/>
  <c r="V7801" i="3"/>
  <c r="AD7801" i="3" s="1"/>
  <c r="V7791" i="3"/>
  <c r="AD7791" i="3" s="1"/>
  <c r="Z7791" i="3"/>
  <c r="V7771" i="3"/>
  <c r="AD7771" i="3" s="1"/>
  <c r="Z7771" i="3"/>
  <c r="V7761" i="3"/>
  <c r="AD7761" i="3" s="1"/>
  <c r="V7741" i="3"/>
  <c r="AD7741" i="3" s="1"/>
  <c r="Z7741" i="3"/>
  <c r="V7731" i="3"/>
  <c r="AD7731" i="3" s="1"/>
  <c r="Z7731" i="3"/>
  <c r="Z7701" i="3"/>
  <c r="V7701" i="3"/>
  <c r="AD7701" i="3" s="1"/>
  <c r="Z7691" i="3"/>
  <c r="V7691" i="3"/>
  <c r="AD7691" i="3" s="1"/>
  <c r="Z7681" i="3"/>
  <c r="V7681" i="3"/>
  <c r="AD7681" i="3" s="1"/>
  <c r="Z7671" i="3"/>
  <c r="AD7671" i="3"/>
  <c r="V7641" i="3"/>
  <c r="AD7641" i="3" s="1"/>
  <c r="Z7641" i="3"/>
  <c r="Z7631" i="3"/>
  <c r="V7631" i="3"/>
  <c r="AD7631" i="3" s="1"/>
  <c r="V7611" i="3"/>
  <c r="AD7611" i="3" s="1"/>
  <c r="Z7611" i="3"/>
  <c r="Z7601" i="3"/>
  <c r="V7601" i="3"/>
  <c r="AD7601" i="3" s="1"/>
  <c r="V7581" i="3"/>
  <c r="AD7581" i="3" s="1"/>
  <c r="Z7581" i="3"/>
  <c r="V7571" i="3"/>
  <c r="AD7571" i="3" s="1"/>
  <c r="Z7571" i="3"/>
  <c r="V7551" i="3"/>
  <c r="AD7551" i="3" s="1"/>
  <c r="V7541" i="3"/>
  <c r="AD7541" i="3" s="1"/>
  <c r="Z7541" i="3"/>
  <c r="V7531" i="3"/>
  <c r="AD7531" i="3" s="1"/>
  <c r="Z7531" i="3"/>
  <c r="V7880" i="3"/>
  <c r="AD7880" i="3" s="1"/>
  <c r="Z7880" i="3"/>
  <c r="V7870" i="3"/>
  <c r="AD7870" i="3" s="1"/>
  <c r="Z7870" i="3"/>
  <c r="V7860" i="3"/>
  <c r="AD7860" i="3" s="1"/>
  <c r="Z7860" i="3"/>
  <c r="V7830" i="3"/>
  <c r="AD7830" i="3" s="1"/>
  <c r="Z7830" i="3"/>
  <c r="V7820" i="3"/>
  <c r="AD7820" i="3" s="1"/>
  <c r="Z7820" i="3"/>
  <c r="V7800" i="3"/>
  <c r="AD7800" i="3" s="1"/>
  <c r="Z7800" i="3"/>
  <c r="V7790" i="3"/>
  <c r="AD7790" i="3" s="1"/>
  <c r="Z7790" i="3"/>
  <c r="V7780" i="3"/>
  <c r="AD7780" i="3" s="1"/>
  <c r="Z7780" i="3"/>
  <c r="V7770" i="3"/>
  <c r="AD7770" i="3" s="1"/>
  <c r="Z7770" i="3"/>
  <c r="V7750" i="3"/>
  <c r="AD7750" i="3" s="1"/>
  <c r="Z7750" i="3"/>
  <c r="V7740" i="3"/>
  <c r="AD7740" i="3" s="1"/>
  <c r="V7730" i="3"/>
  <c r="AD7730" i="3" s="1"/>
  <c r="Z7730" i="3"/>
  <c r="V7720" i="3"/>
  <c r="AD7720" i="3" s="1"/>
  <c r="Z7720" i="3"/>
  <c r="V7710" i="3"/>
  <c r="AD7710" i="3" s="1"/>
  <c r="V7700" i="3"/>
  <c r="AD7700" i="3" s="1"/>
  <c r="Z7700" i="3"/>
  <c r="V7690" i="3"/>
  <c r="AD7690" i="3" s="1"/>
  <c r="Z7690" i="3"/>
  <c r="V7680" i="3"/>
  <c r="AD7680" i="3" s="1"/>
  <c r="Z7680" i="3"/>
  <c r="V7670" i="3"/>
  <c r="AD7670" i="3" s="1"/>
  <c r="Z7670" i="3"/>
  <c r="V7660" i="3"/>
  <c r="AD7660" i="3" s="1"/>
  <c r="V7650" i="3"/>
  <c r="AD7650" i="3" s="1"/>
  <c r="Z7650" i="3"/>
  <c r="V7630" i="3"/>
  <c r="AD7630" i="3" s="1"/>
  <c r="Z7630" i="3"/>
  <c r="V7620" i="3"/>
  <c r="AD7620" i="3" s="1"/>
  <c r="Z7620" i="3"/>
  <c r="V7610" i="3"/>
  <c r="AD7610" i="3" s="1"/>
  <c r="V7600" i="3"/>
  <c r="AD7600" i="3" s="1"/>
  <c r="Z7600" i="3"/>
  <c r="V7590" i="3"/>
  <c r="AD7590" i="3" s="1"/>
  <c r="Z7590" i="3"/>
  <c r="V7580" i="3"/>
  <c r="AD7580" i="3" s="1"/>
  <c r="Z7580" i="3"/>
  <c r="V7570" i="3"/>
  <c r="AD7570" i="3" s="1"/>
  <c r="Z7570" i="3"/>
  <c r="V7560" i="3"/>
  <c r="AD7560" i="3" s="1"/>
  <c r="V7550" i="3"/>
  <c r="AD7550" i="3" s="1"/>
  <c r="Z7550" i="3"/>
  <c r="V7530" i="3"/>
  <c r="AD7530" i="3" s="1"/>
  <c r="Z7530" i="3"/>
  <c r="V7490" i="3"/>
  <c r="AD7490" i="3" s="1"/>
  <c r="V7879" i="3"/>
  <c r="AD7879" i="3" s="1"/>
  <c r="V7859" i="3"/>
  <c r="AD7859" i="3" s="1"/>
  <c r="Z7859" i="3"/>
  <c r="V7849" i="3"/>
  <c r="AD7849" i="3" s="1"/>
  <c r="Z7849" i="3"/>
  <c r="V7839" i="3"/>
  <c r="AD7839" i="3" s="1"/>
  <c r="V7829" i="3"/>
  <c r="AD7829" i="3" s="1"/>
  <c r="Z7829" i="3"/>
  <c r="V7809" i="3"/>
  <c r="AD7809" i="3" s="1"/>
  <c r="Z7809" i="3"/>
  <c r="V7779" i="3"/>
  <c r="AD7779" i="3" s="1"/>
  <c r="Z7779" i="3"/>
  <c r="V7769" i="3"/>
  <c r="AD7769" i="3" s="1"/>
  <c r="Z7769" i="3"/>
  <c r="V7759" i="3"/>
  <c r="AD7759" i="3" s="1"/>
  <c r="Z7759" i="3"/>
  <c r="V7749" i="3"/>
  <c r="AD7749" i="3" s="1"/>
  <c r="V7878" i="3"/>
  <c r="AD7878" i="3" s="1"/>
  <c r="Z7878" i="3"/>
  <c r="V7868" i="3"/>
  <c r="AD7868" i="3" s="1"/>
  <c r="Z7868" i="3"/>
  <c r="V7858" i="3"/>
  <c r="AD7858" i="3" s="1"/>
  <c r="Z7858" i="3"/>
  <c r="V7848" i="3"/>
  <c r="AD7848" i="3" s="1"/>
  <c r="Z7848" i="3"/>
  <c r="V7838" i="3"/>
  <c r="AD7838" i="3" s="1"/>
  <c r="Z7838" i="3"/>
  <c r="V7818" i="3"/>
  <c r="AD7818" i="3" s="1"/>
  <c r="Z7818" i="3"/>
  <c r="V7798" i="3"/>
  <c r="AD7798" i="3" s="1"/>
  <c r="Z7798" i="3"/>
  <c r="V7788" i="3"/>
  <c r="AD7788" i="3" s="1"/>
  <c r="Z7788" i="3"/>
  <c r="V7768" i="3"/>
  <c r="AD7768" i="3" s="1"/>
  <c r="Z7768" i="3"/>
  <c r="V7758" i="3"/>
  <c r="AD7758" i="3" s="1"/>
  <c r="Z7758" i="3"/>
  <c r="V7748" i="3"/>
  <c r="AD7748" i="3" s="1"/>
  <c r="Z7748" i="3"/>
  <c r="V7738" i="3"/>
  <c r="AD7738" i="3" s="1"/>
  <c r="Z7738" i="3"/>
  <c r="V7718" i="3"/>
  <c r="AD7718" i="3" s="1"/>
  <c r="Z7718" i="3"/>
  <c r="V7698" i="3"/>
  <c r="AD7698" i="3" s="1"/>
  <c r="Z7698" i="3"/>
  <c r="V7688" i="3"/>
  <c r="AD7688" i="3" s="1"/>
  <c r="Z7688" i="3"/>
  <c r="V7668" i="3"/>
  <c r="AD7668" i="3" s="1"/>
  <c r="Z7668" i="3"/>
  <c r="V7658" i="3"/>
  <c r="AD7658" i="3" s="1"/>
  <c r="Z7658" i="3"/>
  <c r="V7648" i="3"/>
  <c r="AD7648" i="3" s="1"/>
  <c r="Z7648" i="3"/>
  <c r="V7618" i="3"/>
  <c r="AD7618" i="3" s="1"/>
  <c r="Z7618" i="3"/>
  <c r="V7598" i="3"/>
  <c r="AD7598" i="3" s="1"/>
  <c r="Z7598" i="3"/>
  <c r="V7588" i="3"/>
  <c r="AD7588" i="3" s="1"/>
  <c r="Z7588" i="3"/>
  <c r="AD7851" i="3"/>
  <c r="AD7744" i="3"/>
  <c r="AD7714" i="3"/>
  <c r="AD7624" i="3"/>
  <c r="AD7504" i="3"/>
  <c r="AD7364" i="3"/>
  <c r="Z7850" i="3"/>
  <c r="Z7833" i="3"/>
  <c r="Z7728" i="3"/>
  <c r="Z7660" i="3"/>
  <c r="Z7520" i="3"/>
  <c r="Z7484" i="3"/>
  <c r="AD7684" i="3"/>
  <c r="AD7850" i="3"/>
  <c r="AD7834" i="3"/>
  <c r="AD7804" i="3"/>
  <c r="AD7774" i="3"/>
  <c r="AD7654" i="3"/>
  <c r="AD7594" i="3"/>
  <c r="AD7534" i="3"/>
  <c r="Z7778" i="3"/>
  <c r="Z7761" i="3"/>
  <c r="Z7710" i="3"/>
  <c r="Z7693" i="3"/>
  <c r="Z7640" i="3"/>
  <c r="Z7483" i="3"/>
  <c r="V7711" i="3"/>
  <c r="AD7711" i="3" s="1"/>
  <c r="AD7484" i="3"/>
  <c r="Z7828" i="3"/>
  <c r="Z7760" i="3"/>
  <c r="Z7708" i="3"/>
  <c r="V7871" i="3"/>
  <c r="AD7871" i="3" s="1"/>
  <c r="V7591" i="3"/>
  <c r="AD7591" i="3" s="1"/>
  <c r="V7163" i="3"/>
  <c r="AD7163" i="3" s="1"/>
  <c r="AD7328" i="3"/>
  <c r="AD7250" i="3"/>
  <c r="AD7113" i="3"/>
  <c r="Z7538" i="3"/>
  <c r="V7381" i="3"/>
  <c r="AD7381" i="3" s="1"/>
  <c r="V7339" i="3"/>
  <c r="AD7339" i="3" s="1"/>
  <c r="V7251" i="3"/>
  <c r="AD7251" i="3" s="1"/>
  <c r="V7139" i="3"/>
  <c r="AD7139" i="3" s="1"/>
  <c r="V7191" i="3"/>
  <c r="AD7191" i="3" s="1"/>
  <c r="AD6991" i="3"/>
  <c r="V6981" i="3"/>
  <c r="AD6981" i="3" s="1"/>
  <c r="V6961" i="3"/>
  <c r="AD6961" i="3" s="1"/>
  <c r="V6931" i="3"/>
  <c r="AD6931" i="3" s="1"/>
  <c r="AD6851" i="3"/>
  <c r="V7420" i="3"/>
  <c r="AD7420" i="3" s="1"/>
  <c r="Z7420" i="3"/>
  <c r="V7400" i="3"/>
  <c r="AD7400" i="3" s="1"/>
  <c r="Z7400" i="3"/>
  <c r="V7370" i="3"/>
  <c r="AD7370" i="3" s="1"/>
  <c r="Z7370" i="3"/>
  <c r="V7270" i="3"/>
  <c r="AD7270" i="3" s="1"/>
  <c r="V7230" i="3"/>
  <c r="AD7230" i="3" s="1"/>
  <c r="V7190" i="3"/>
  <c r="AD7190" i="3" s="1"/>
  <c r="V7180" i="3"/>
  <c r="AD7180" i="3" s="1"/>
  <c r="V7120" i="3"/>
  <c r="AD7120" i="3" s="1"/>
  <c r="V7090" i="3"/>
  <c r="AD7090" i="3" s="1"/>
  <c r="AD7040" i="3"/>
  <c r="V7020" i="3"/>
  <c r="AD7020" i="3" s="1"/>
  <c r="V7000" i="3"/>
  <c r="AD7000" i="3" s="1"/>
  <c r="V6930" i="3"/>
  <c r="AD6930" i="3" s="1"/>
  <c r="V6900" i="3"/>
  <c r="AD6900" i="3" s="1"/>
  <c r="V6880" i="3"/>
  <c r="AD6880" i="3" s="1"/>
  <c r="AD6840" i="3"/>
  <c r="V7709" i="3"/>
  <c r="AD7709" i="3" s="1"/>
  <c r="Z7709" i="3"/>
  <c r="V7679" i="3"/>
  <c r="AD7679" i="3" s="1"/>
  <c r="Z7679" i="3"/>
  <c r="V7669" i="3"/>
  <c r="AD7669" i="3" s="1"/>
  <c r="Z7669" i="3"/>
  <c r="V7659" i="3"/>
  <c r="AD7659" i="3" s="1"/>
  <c r="Z7659" i="3"/>
  <c r="V7609" i="3"/>
  <c r="AD7609" i="3" s="1"/>
  <c r="Z7609" i="3"/>
  <c r="V7579" i="3"/>
  <c r="AD7579" i="3" s="1"/>
  <c r="Z7579" i="3"/>
  <c r="Z7569" i="3"/>
  <c r="V7569" i="3"/>
  <c r="AD7569" i="3" s="1"/>
  <c r="V7559" i="3"/>
  <c r="AD7559" i="3" s="1"/>
  <c r="Z7559" i="3"/>
  <c r="V7558" i="3"/>
  <c r="AD7558" i="3" s="1"/>
  <c r="Z7558" i="3"/>
  <c r="V7548" i="3"/>
  <c r="AD7548" i="3" s="1"/>
  <c r="Z7548" i="3"/>
  <c r="Z7508" i="3"/>
  <c r="V7508" i="3"/>
  <c r="AD7508" i="3" s="1"/>
  <c r="V7478" i="3"/>
  <c r="AD7478" i="3" s="1"/>
  <c r="Z7478" i="3"/>
  <c r="V7468" i="3"/>
  <c r="AD7468" i="3" s="1"/>
  <c r="Z7468" i="3"/>
  <c r="V7428" i="3"/>
  <c r="AD7428" i="3" s="1"/>
  <c r="Z7428" i="3"/>
  <c r="V7418" i="3"/>
  <c r="AD7418" i="3" s="1"/>
  <c r="Z7418" i="3"/>
  <c r="V7368" i="3"/>
  <c r="AD7368" i="3" s="1"/>
  <c r="Z7368" i="3"/>
  <c r="Z7358" i="3"/>
  <c r="V7358" i="3"/>
  <c r="AD7358" i="3" s="1"/>
  <c r="V7348" i="3"/>
  <c r="AD7348" i="3" s="1"/>
  <c r="V7308" i="3"/>
  <c r="AD7308" i="3" s="1"/>
  <c r="V7228" i="3"/>
  <c r="AD7228" i="3" s="1"/>
  <c r="V7208" i="3"/>
  <c r="AD7208" i="3" s="1"/>
  <c r="V7178" i="3"/>
  <c r="AD7178" i="3" s="1"/>
  <c r="V7168" i="3"/>
  <c r="AD7168" i="3" s="1"/>
  <c r="Z7390" i="3"/>
  <c r="V7501" i="3"/>
  <c r="AD7501" i="3" s="1"/>
  <c r="V7389" i="3"/>
  <c r="AD7389" i="3" s="1"/>
  <c r="V7371" i="3"/>
  <c r="AD7371" i="3" s="1"/>
  <c r="V7259" i="3"/>
  <c r="AD7259" i="3" s="1"/>
  <c r="V7240" i="3"/>
  <c r="AD7240" i="3" s="1"/>
  <c r="V6921" i="3"/>
  <c r="AD6921" i="3" s="1"/>
  <c r="AD7143" i="3"/>
  <c r="Z7438" i="3"/>
  <c r="V7521" i="3"/>
  <c r="AD7521" i="3" s="1"/>
  <c r="V7409" i="3"/>
  <c r="AD7409" i="3" s="1"/>
  <c r="V7388" i="3"/>
  <c r="AD7388" i="3" s="1"/>
  <c r="V7369" i="3"/>
  <c r="AD7369" i="3" s="1"/>
  <c r="V7281" i="3"/>
  <c r="AD7281" i="3" s="1"/>
  <c r="V7258" i="3"/>
  <c r="AD7258" i="3" s="1"/>
  <c r="V7239" i="3"/>
  <c r="AD7239" i="3" s="1"/>
  <c r="V7101" i="3"/>
  <c r="AD7101" i="3" s="1"/>
  <c r="V7051" i="3"/>
  <c r="AD7051" i="3" s="1"/>
  <c r="V6920" i="3"/>
  <c r="AD6920" i="3" s="1"/>
  <c r="AD7689" i="3"/>
  <c r="AD7488" i="3"/>
  <c r="AD7450" i="3"/>
  <c r="Z7729" i="3"/>
  <c r="Z7629" i="3"/>
  <c r="Z7528" i="3"/>
  <c r="Z7451" i="3"/>
  <c r="V7169" i="3"/>
  <c r="AD7169" i="3" s="1"/>
  <c r="V7071" i="3"/>
  <c r="AD7071" i="3" s="1"/>
  <c r="V7050" i="3"/>
  <c r="AD7050" i="3" s="1"/>
  <c r="V6980" i="3"/>
  <c r="AD6980" i="3" s="1"/>
  <c r="V6949" i="3"/>
  <c r="AD6949" i="3" s="1"/>
  <c r="V6918" i="3"/>
  <c r="AD6918" i="3" s="1"/>
  <c r="V6899" i="3"/>
  <c r="AD6899" i="3" s="1"/>
  <c r="V6929" i="3"/>
  <c r="AD6929" i="3" s="1"/>
  <c r="Z7883" i="3"/>
  <c r="Z7873" i="3"/>
  <c r="Z7863" i="3"/>
  <c r="Z7853" i="3"/>
  <c r="Z7843" i="3"/>
  <c r="V7529" i="3"/>
  <c r="AD7529" i="3" s="1"/>
  <c r="Z7529" i="3"/>
  <c r="V7509" i="3"/>
  <c r="AD7509" i="3" s="1"/>
  <c r="Z7509" i="3"/>
  <c r="V7489" i="3"/>
  <c r="AD7489" i="3" s="1"/>
  <c r="Z7489" i="3"/>
  <c r="V7479" i="3"/>
  <c r="AD7479" i="3" s="1"/>
  <c r="Z7479" i="3"/>
  <c r="Z7469" i="3"/>
  <c r="V7469" i="3"/>
  <c r="AD7469" i="3" s="1"/>
  <c r="V7449" i="3"/>
  <c r="AD7449" i="3" s="1"/>
  <c r="Z7449" i="3"/>
  <c r="Z7429" i="3"/>
  <c r="V7429" i="3"/>
  <c r="AD7429" i="3" s="1"/>
  <c r="V7419" i="3"/>
  <c r="AD7419" i="3" s="1"/>
  <c r="Z7419" i="3"/>
  <c r="V7399" i="3"/>
  <c r="AD7399" i="3" s="1"/>
  <c r="Z7399" i="3"/>
  <c r="V7379" i="3"/>
  <c r="AD7379" i="3" s="1"/>
  <c r="Z7379" i="3"/>
  <c r="Z7359" i="3"/>
  <c r="V7359" i="3"/>
  <c r="AD7359" i="3" s="1"/>
  <c r="V7349" i="3"/>
  <c r="AD7349" i="3" s="1"/>
  <c r="V7319" i="3"/>
  <c r="AD7319" i="3" s="1"/>
  <c r="V7299" i="3"/>
  <c r="AD7299" i="3" s="1"/>
  <c r="V7289" i="3"/>
  <c r="AD7289" i="3" s="1"/>
  <c r="V7279" i="3"/>
  <c r="AD7279" i="3" s="1"/>
  <c r="V7249" i="3"/>
  <c r="AD7249" i="3" s="1"/>
  <c r="V7229" i="3"/>
  <c r="AD7229" i="3" s="1"/>
  <c r="V7219" i="3"/>
  <c r="AD7219" i="3" s="1"/>
  <c r="V7199" i="3"/>
  <c r="AD7199" i="3" s="1"/>
  <c r="V7179" i="3"/>
  <c r="AD7179" i="3" s="1"/>
  <c r="V7159" i="3"/>
  <c r="AD7159" i="3" s="1"/>
  <c r="V7149" i="3"/>
  <c r="AD7149" i="3" s="1"/>
  <c r="V7129" i="3"/>
  <c r="AD7129" i="3" s="1"/>
  <c r="V7119" i="3"/>
  <c r="AD7119" i="3" s="1"/>
  <c r="V7109" i="3"/>
  <c r="AD7109" i="3" s="1"/>
  <c r="V7099" i="3"/>
  <c r="AD7099" i="3" s="1"/>
  <c r="Z7514" i="3"/>
  <c r="Z7503" i="3"/>
  <c r="Z7470" i="3"/>
  <c r="Z7414" i="3"/>
  <c r="Z7403" i="3"/>
  <c r="V7269" i="3"/>
  <c r="AD7269" i="3" s="1"/>
  <c r="Z7524" i="3"/>
  <c r="Z7513" i="3"/>
  <c r="Z7502" i="3"/>
  <c r="Z7480" i="3"/>
  <c r="Z7424" i="3"/>
  <c r="Z7413" i="3"/>
  <c r="Z7402" i="3"/>
  <c r="V7519" i="3"/>
  <c r="AD7519" i="3" s="1"/>
  <c r="V7329" i="3"/>
  <c r="AD7329" i="3" s="1"/>
  <c r="AD7563" i="3"/>
  <c r="Z7884" i="3"/>
  <c r="Z7874" i="3"/>
  <c r="Z7864" i="3"/>
  <c r="Z7854" i="3"/>
  <c r="Z7844" i="3"/>
  <c r="Z7834" i="3"/>
  <c r="Z7824" i="3"/>
  <c r="Z7814" i="3"/>
  <c r="Z7804" i="3"/>
  <c r="Z7794" i="3"/>
  <c r="Z7784" i="3"/>
  <c r="Z7774" i="3"/>
  <c r="Z7764" i="3"/>
  <c r="Z7754" i="3"/>
  <c r="Z7744" i="3"/>
  <c r="Z7734" i="3"/>
  <c r="Z7724" i="3"/>
  <c r="Z7714" i="3"/>
  <c r="Z7704" i="3"/>
  <c r="Z7694" i="3"/>
  <c r="Z7684" i="3"/>
  <c r="Z7674" i="3"/>
  <c r="Z7664" i="3"/>
  <c r="Z7654" i="3"/>
  <c r="Z7644" i="3"/>
  <c r="Z7634" i="3"/>
  <c r="Z7624" i="3"/>
  <c r="Z7614" i="3"/>
  <c r="Z7604" i="3"/>
  <c r="Z7594" i="3"/>
  <c r="Z7584" i="3"/>
  <c r="Z7574" i="3"/>
  <c r="Z7564" i="3"/>
  <c r="Z7554" i="3"/>
  <c r="Z7544" i="3"/>
  <c r="Z7534" i="3"/>
  <c r="Z7523" i="3"/>
  <c r="Z7490" i="3"/>
  <c r="Z7434" i="3"/>
  <c r="Z7423" i="3"/>
  <c r="V7499" i="3"/>
  <c r="AD7499" i="3" s="1"/>
  <c r="V7309" i="3"/>
  <c r="AD7309" i="3" s="1"/>
  <c r="V7209" i="3"/>
  <c r="AD7209" i="3" s="1"/>
  <c r="V7059" i="3"/>
  <c r="AD7059" i="3" s="1"/>
  <c r="V6909" i="3"/>
  <c r="AD6909" i="3" s="1"/>
  <c r="V6772" i="3"/>
  <c r="AD6772" i="3" s="1"/>
  <c r="AD6767" i="3"/>
  <c r="AD6755" i="3" l="1"/>
  <c r="AD6760" i="3"/>
  <c r="AD6761" i="3"/>
  <c r="AD6763" i="3"/>
  <c r="AD6752" i="3"/>
  <c r="AD6753" i="3"/>
  <c r="AD6762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H48" i="4"/>
  <c r="I48" i="4" s="1"/>
  <c r="AD6754" i="3" l="1"/>
  <c r="AD6758" i="3"/>
  <c r="AD6765" i="3"/>
  <c r="AD6757" i="3"/>
  <c r="AD6764" i="3"/>
  <c r="AD6756" i="3"/>
  <c r="AD6759" i="3"/>
  <c r="E10" i="15"/>
  <c r="E8" i="15"/>
  <c r="E7" i="15"/>
  <c r="E6" i="15"/>
  <c r="E5" i="15"/>
  <c r="E4" i="15"/>
  <c r="V6748" i="3"/>
  <c r="AD6748" i="3" s="1"/>
  <c r="V6747" i="3"/>
  <c r="AB6749" i="3"/>
  <c r="AB6750" i="3"/>
  <c r="AB6751" i="3"/>
  <c r="V6740" i="3"/>
  <c r="R6739" i="3"/>
  <c r="V6739" i="3" s="1"/>
  <c r="AD6739" i="3" s="1"/>
  <c r="R6738" i="3"/>
  <c r="V6738" i="3" s="1"/>
  <c r="AD6738" i="3" s="1"/>
  <c r="R6737" i="3"/>
  <c r="R6736" i="3"/>
  <c r="AD6736" i="3" s="1"/>
  <c r="AB6736" i="3"/>
  <c r="V6734" i="3"/>
  <c r="AD6734" i="3" s="1"/>
  <c r="R6733" i="3"/>
  <c r="V6733" i="3" s="1"/>
  <c r="AD6733" i="3" s="1"/>
  <c r="V6732" i="3"/>
  <c r="V6731" i="3"/>
  <c r="AD6731" i="3" s="1"/>
  <c r="V6730" i="3"/>
  <c r="AD6730" i="3" s="1"/>
  <c r="V6729" i="3"/>
  <c r="R6728" i="3"/>
  <c r="V6728" i="3" s="1"/>
  <c r="AD6728" i="3" s="1"/>
  <c r="U6727" i="3"/>
  <c r="T6727" i="3"/>
  <c r="R6727" i="3"/>
  <c r="AD6742" i="3"/>
  <c r="AD6744" i="3"/>
  <c r="V6735" i="3"/>
  <c r="AD6735" i="3" s="1"/>
  <c r="AD6746" i="3"/>
  <c r="AB6727" i="3"/>
  <c r="AB6728" i="3"/>
  <c r="AB6729" i="3"/>
  <c r="AB6730" i="3"/>
  <c r="AB6731" i="3"/>
  <c r="AB6732" i="3"/>
  <c r="AB6733" i="3"/>
  <c r="AB6734" i="3"/>
  <c r="AB6735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V6726" i="3"/>
  <c r="AB6726" i="3"/>
  <c r="V6725" i="3"/>
  <c r="AD6725" i="3" s="1"/>
  <c r="AB6725" i="3"/>
  <c r="Q6723" i="3"/>
  <c r="Q6724" i="3" s="1"/>
  <c r="AB6724" i="3"/>
  <c r="AB6723" i="3"/>
  <c r="AB6721" i="3"/>
  <c r="AB6722" i="3"/>
  <c r="AD6721" i="3"/>
  <c r="AD6722" i="3"/>
  <c r="AB6720" i="3"/>
  <c r="AD6720" i="3"/>
  <c r="V6718" i="3"/>
  <c r="AD6718" i="3" s="1"/>
  <c r="V6719" i="3"/>
  <c r="AD6719" i="3" s="1"/>
  <c r="AB6718" i="3"/>
  <c r="AB6719" i="3"/>
  <c r="V6750" i="3" l="1"/>
  <c r="AD6750" i="3" s="1"/>
  <c r="V6749" i="3"/>
  <c r="AD6749" i="3" s="1"/>
  <c r="AD6751" i="3"/>
  <c r="AD6743" i="3"/>
  <c r="AD6741" i="3"/>
  <c r="AD6740" i="3"/>
  <c r="V6727" i="3"/>
  <c r="AD6747" i="3"/>
  <c r="AD6729" i="3"/>
  <c r="AD6732" i="3"/>
  <c r="AD6745" i="3"/>
  <c r="V6737" i="3"/>
  <c r="AD6737" i="3" s="1"/>
  <c r="V6723" i="3"/>
  <c r="AD6723" i="3" s="1"/>
  <c r="AD6726" i="3"/>
  <c r="V6724" i="3"/>
  <c r="AD6724" i="3" s="1"/>
  <c r="V6707" i="3"/>
  <c r="AD6707" i="3" s="1"/>
  <c r="V6706" i="3"/>
  <c r="AD6706" i="3" s="1"/>
  <c r="V6705" i="3"/>
  <c r="AD6705" i="3" s="1"/>
  <c r="V6704" i="3"/>
  <c r="AD6704" i="3" s="1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D6709" i="3"/>
  <c r="AD6710" i="3"/>
  <c r="AD6711" i="3"/>
  <c r="AD6712" i="3"/>
  <c r="AD6713" i="3"/>
  <c r="AD6714" i="3"/>
  <c r="AD6715" i="3"/>
  <c r="AD6716" i="3"/>
  <c r="AD6717" i="3"/>
  <c r="V6703" i="3"/>
  <c r="AD6703" i="3" s="1"/>
  <c r="AB6703" i="3"/>
  <c r="AD6697" i="3"/>
  <c r="AD6698" i="3"/>
  <c r="AB6697" i="3"/>
  <c r="AB6698" i="3"/>
  <c r="AB6699" i="3"/>
  <c r="AB6700" i="3"/>
  <c r="AB6701" i="3"/>
  <c r="AB6702" i="3"/>
  <c r="AD6699" i="3"/>
  <c r="AD6700" i="3"/>
  <c r="AD6701" i="3"/>
  <c r="AD6702" i="3"/>
  <c r="Q6695" i="3"/>
  <c r="AD6695" i="3" s="1"/>
  <c r="AB6696" i="3"/>
  <c r="V6696" i="3"/>
  <c r="AD6696" i="3" s="1"/>
  <c r="AB6693" i="3"/>
  <c r="AB6694" i="3"/>
  <c r="AB6695" i="3"/>
  <c r="AD6693" i="3"/>
  <c r="AD6694" i="3"/>
  <c r="V6641" i="3"/>
  <c r="AB6692" i="3"/>
  <c r="AD6692" i="3"/>
  <c r="V6691" i="3"/>
  <c r="AD6691" i="3" s="1"/>
  <c r="AB6691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4" i="3"/>
  <c r="AD6663" i="3"/>
  <c r="AD6662" i="3"/>
  <c r="AD6661" i="3"/>
  <c r="AD6660" i="3"/>
  <c r="AD6658" i="3"/>
  <c r="AD6657" i="3"/>
  <c r="AD6656" i="3"/>
  <c r="AD6655" i="3"/>
  <c r="AD6654" i="3"/>
  <c r="AD6653" i="3"/>
  <c r="AD6727" i="3" l="1"/>
  <c r="V6708" i="3"/>
  <c r="AD6708" i="3" s="1"/>
  <c r="V6687" i="3"/>
  <c r="AD6687" i="3" s="1"/>
  <c r="AB6687" i="3"/>
  <c r="V6659" i="3"/>
  <c r="AD6659" i="3" s="1"/>
  <c r="R6689" i="3"/>
  <c r="AB6689" i="3"/>
  <c r="AB6688" i="3"/>
  <c r="V6688" i="3"/>
  <c r="AD6688" i="3" s="1"/>
  <c r="Q6665" i="3"/>
  <c r="AD6665" i="3" s="1"/>
  <c r="Q6686" i="3"/>
  <c r="AD6686" i="3" s="1"/>
  <c r="V6689" i="3" l="1"/>
  <c r="AD6689" i="3" s="1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50" i="3" l="1"/>
  <c r="AB6651" i="3"/>
  <c r="AB6652" i="3"/>
  <c r="AB6653" i="3"/>
  <c r="AB6654" i="3"/>
  <c r="AB6655" i="3"/>
  <c r="AB6656" i="3"/>
  <c r="AD6650" i="3"/>
  <c r="AD6651" i="3"/>
  <c r="AD6652" i="3"/>
  <c r="Y2267" i="2"/>
  <c r="O2267" i="2"/>
  <c r="K2267" i="2"/>
  <c r="J2267" i="2"/>
  <c r="B2267" i="2"/>
  <c r="Z2266" i="2"/>
  <c r="AA2266" i="2" s="1"/>
  <c r="B2266" i="2"/>
  <c r="AB6649" i="3"/>
  <c r="V6649" i="3"/>
  <c r="AD6649" i="3" s="1"/>
  <c r="AB6648" i="3"/>
  <c r="AD6647" i="3"/>
  <c r="AB6647" i="3"/>
  <c r="AD6646" i="3"/>
  <c r="AB6646" i="3"/>
  <c r="AD6645" i="3"/>
  <c r="AB6645" i="3"/>
  <c r="AD6644" i="3"/>
  <c r="AB6644" i="3"/>
  <c r="AD6643" i="3"/>
  <c r="AB6643" i="3"/>
  <c r="AD6642" i="3"/>
  <c r="AB6642" i="3"/>
  <c r="AD6641" i="3"/>
  <c r="AB6641" i="3"/>
  <c r="Q6640" i="3"/>
  <c r="R6640" i="3" s="1"/>
  <c r="V6640" i="3" s="1"/>
  <c r="AD6640" i="3" s="1"/>
  <c r="AB6640" i="3"/>
  <c r="V6639" i="3"/>
  <c r="AD6639" i="3" s="1"/>
  <c r="AB6639" i="3"/>
  <c r="AB6631" i="3"/>
  <c r="AB6632" i="3"/>
  <c r="AB6633" i="3"/>
  <c r="AB6634" i="3"/>
  <c r="AB6635" i="3"/>
  <c r="AB6636" i="3"/>
  <c r="AB6637" i="3"/>
  <c r="AB6638" i="3"/>
  <c r="AD6631" i="3"/>
  <c r="AD6632" i="3"/>
  <c r="AD6633" i="3"/>
  <c r="AD6634" i="3"/>
  <c r="AD6635" i="3"/>
  <c r="AD6636" i="3"/>
  <c r="AD6637" i="3"/>
  <c r="AD6638" i="3"/>
  <c r="AB6621" i="3"/>
  <c r="AB6622" i="3"/>
  <c r="AB6623" i="3"/>
  <c r="AB6624" i="3"/>
  <c r="AB6625" i="3"/>
  <c r="AB6626" i="3"/>
  <c r="AB6627" i="3"/>
  <c r="AB6628" i="3"/>
  <c r="AB6629" i="3"/>
  <c r="AB6630" i="3"/>
  <c r="AD6621" i="3"/>
  <c r="AD6622" i="3"/>
  <c r="AD6623" i="3"/>
  <c r="AD6624" i="3"/>
  <c r="AD6625" i="3"/>
  <c r="AD6626" i="3"/>
  <c r="AD6627" i="3"/>
  <c r="AD6628" i="3"/>
  <c r="AD6629" i="3"/>
  <c r="AD6630" i="3"/>
  <c r="L2267" i="2" l="1"/>
  <c r="N2267" i="2" s="1"/>
  <c r="V6648" i="3"/>
  <c r="AD6648" i="3" s="1"/>
  <c r="S7" i="2"/>
  <c r="Q7" i="2"/>
  <c r="O2487" i="2"/>
  <c r="O2486" i="2"/>
  <c r="O2485" i="2"/>
  <c r="O2484" i="2"/>
  <c r="O2483" i="2"/>
  <c r="Y2487" i="2"/>
  <c r="K2487" i="2"/>
  <c r="J2487" i="2"/>
  <c r="Y2486" i="2"/>
  <c r="K2486" i="2"/>
  <c r="J2486" i="2"/>
  <c r="Y2485" i="2"/>
  <c r="K2485" i="2"/>
  <c r="J2485" i="2"/>
  <c r="Y2484" i="2"/>
  <c r="K2484" i="2"/>
  <c r="J2484" i="2"/>
  <c r="Y2483" i="2"/>
  <c r="Z2482" i="2"/>
  <c r="AA2482" i="2" s="1"/>
  <c r="B2487" i="2"/>
  <c r="B2486" i="2"/>
  <c r="B2485" i="2"/>
  <c r="B2484" i="2"/>
  <c r="K2483" i="2"/>
  <c r="J2483" i="2"/>
  <c r="B2483" i="2"/>
  <c r="B2482" i="2"/>
  <c r="Q6620" i="3"/>
  <c r="V6620" i="3" s="1"/>
  <c r="AB6620" i="3"/>
  <c r="AD6619" i="3"/>
  <c r="AB6619" i="3"/>
  <c r="Q6618" i="3"/>
  <c r="V6618" i="3" s="1"/>
  <c r="AB6618" i="3"/>
  <c r="AB6614" i="3"/>
  <c r="AB6615" i="3"/>
  <c r="AB6616" i="3"/>
  <c r="AB6617" i="3"/>
  <c r="AD6614" i="3"/>
  <c r="AD6615" i="3"/>
  <c r="AD6616" i="3"/>
  <c r="AD6617" i="3"/>
  <c r="Y1032" i="2"/>
  <c r="K1032" i="2"/>
  <c r="O1032" i="2"/>
  <c r="J1032" i="2"/>
  <c r="B1032" i="2"/>
  <c r="V6613" i="3"/>
  <c r="AD6613" i="3" s="1"/>
  <c r="V6612" i="3"/>
  <c r="AD6612" i="3" s="1"/>
  <c r="Q6611" i="3"/>
  <c r="AD6611" i="3" s="1"/>
  <c r="AB6613" i="3"/>
  <c r="AB6612" i="3"/>
  <c r="Q6596" i="3"/>
  <c r="AD6609" i="3"/>
  <c r="AB6609" i="3"/>
  <c r="AB6610" i="3"/>
  <c r="AB6611" i="3"/>
  <c r="AD6610" i="3"/>
  <c r="AB6607" i="3"/>
  <c r="AB6608" i="3"/>
  <c r="AD6620" i="3" l="1"/>
  <c r="T2267" i="2"/>
  <c r="P2267" i="2"/>
  <c r="L2483" i="2"/>
  <c r="L2484" i="2"/>
  <c r="N2484" i="2" s="1"/>
  <c r="L2487" i="2"/>
  <c r="N2487" i="2" s="1"/>
  <c r="L2486" i="2"/>
  <c r="N2486" i="2" s="1"/>
  <c r="L2485" i="2"/>
  <c r="N2485" i="2" s="1"/>
  <c r="AD6618" i="3"/>
  <c r="L1032" i="2"/>
  <c r="N1032" i="2" s="1"/>
  <c r="T1032" i="2" s="1"/>
  <c r="AD6607" i="3"/>
  <c r="AD6608" i="3"/>
  <c r="N2483" i="2" l="1"/>
  <c r="T2487" i="2"/>
  <c r="P2487" i="2"/>
  <c r="T2486" i="2"/>
  <c r="P2486" i="2"/>
  <c r="P2484" i="2"/>
  <c r="T2484" i="2"/>
  <c r="T2485" i="2"/>
  <c r="P2485" i="2"/>
  <c r="P1032" i="2"/>
  <c r="V6606" i="3"/>
  <c r="AD6606" i="3" s="1"/>
  <c r="AB6606" i="3"/>
  <c r="V6596" i="3"/>
  <c r="AD6596" i="3" s="1"/>
  <c r="AB6596" i="3"/>
  <c r="V6605" i="3"/>
  <c r="AB6605" i="3"/>
  <c r="V6597" i="3"/>
  <c r="AD6597" i="3" s="1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7" i="3"/>
  <c r="AB6598" i="3"/>
  <c r="AB6599" i="3"/>
  <c r="AB6600" i="3"/>
  <c r="AB6601" i="3"/>
  <c r="AB6602" i="3"/>
  <c r="AB6603" i="3"/>
  <c r="AB6604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8" i="3"/>
  <c r="AD6599" i="3"/>
  <c r="AD6600" i="3"/>
  <c r="AD6601" i="3"/>
  <c r="AD6602" i="3"/>
  <c r="AD6603" i="3"/>
  <c r="AD6604" i="3"/>
  <c r="K2481" i="2"/>
  <c r="K2480" i="2"/>
  <c r="K2479" i="2"/>
  <c r="K2478" i="2"/>
  <c r="K2476" i="2"/>
  <c r="K2475" i="2"/>
  <c r="K2473" i="2"/>
  <c r="K2472" i="2"/>
  <c r="K2471" i="2"/>
  <c r="K2470" i="2"/>
  <c r="K2469" i="2"/>
  <c r="K2466" i="2"/>
  <c r="K2465" i="2"/>
  <c r="K2463" i="2"/>
  <c r="K2462" i="2"/>
  <c r="K2460" i="2"/>
  <c r="K2459" i="2"/>
  <c r="K2458" i="2"/>
  <c r="K2457" i="2"/>
  <c r="K2455" i="2"/>
  <c r="K2454" i="2"/>
  <c r="K2453" i="2"/>
  <c r="K2452" i="2"/>
  <c r="K2451" i="2"/>
  <c r="K2450" i="2"/>
  <c r="K2448" i="2"/>
  <c r="K2447" i="2"/>
  <c r="K2445" i="2"/>
  <c r="K2444" i="2"/>
  <c r="K2443" i="2"/>
  <c r="K2442" i="2"/>
  <c r="K2441" i="2"/>
  <c r="K2440" i="2"/>
  <c r="K2438" i="2"/>
  <c r="K2437" i="2"/>
  <c r="K2436" i="2"/>
  <c r="K2434" i="2"/>
  <c r="K2433" i="2"/>
  <c r="K2432" i="2"/>
  <c r="K2431" i="2"/>
  <c r="K2430" i="2"/>
  <c r="K2428" i="2"/>
  <c r="K2427" i="2"/>
  <c r="K2426" i="2"/>
  <c r="K2425" i="2"/>
  <c r="K2424" i="2"/>
  <c r="K2423" i="2"/>
  <c r="K2420" i="2"/>
  <c r="K2419" i="2"/>
  <c r="K2417" i="2"/>
  <c r="K2416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8" i="2"/>
  <c r="K2317" i="2"/>
  <c r="K2315" i="2"/>
  <c r="K2314" i="2"/>
  <c r="K2312" i="2"/>
  <c r="K2311" i="2"/>
  <c r="K2310" i="2"/>
  <c r="K2309" i="2"/>
  <c r="K2308" i="2"/>
  <c r="K2307" i="2"/>
  <c r="K2306" i="2"/>
  <c r="K2305" i="2"/>
  <c r="K2302" i="2"/>
  <c r="K2301" i="2"/>
  <c r="K2300" i="2"/>
  <c r="K2299" i="2"/>
  <c r="K2297" i="2"/>
  <c r="K2296" i="2"/>
  <c r="K2295" i="2"/>
  <c r="K2293" i="2"/>
  <c r="K2292" i="2"/>
  <c r="K2291" i="2"/>
  <c r="K2290" i="2"/>
  <c r="K2287" i="2"/>
  <c r="K2286" i="2"/>
  <c r="K2283" i="2"/>
  <c r="K2282" i="2"/>
  <c r="K2279" i="2"/>
  <c r="K2278" i="2"/>
  <c r="K2277" i="2"/>
  <c r="K2276" i="2"/>
  <c r="K2275" i="2"/>
  <c r="K2274" i="2"/>
  <c r="K2273" i="2"/>
  <c r="K2272" i="2"/>
  <c r="K2271" i="2"/>
  <c r="K2270" i="2"/>
  <c r="K2269" i="2"/>
  <c r="K2265" i="2"/>
  <c r="K2264" i="2"/>
  <c r="K2262" i="2"/>
  <c r="K2261" i="2"/>
  <c r="K2260" i="2"/>
  <c r="K2259" i="2"/>
  <c r="K2258" i="2"/>
  <c r="K2256" i="2"/>
  <c r="K2255" i="2"/>
  <c r="K2253" i="2"/>
  <c r="K2252" i="2"/>
  <c r="K2251" i="2"/>
  <c r="K2250" i="2"/>
  <c r="K2249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28" i="2"/>
  <c r="K2227" i="2"/>
  <c r="K2225" i="2"/>
  <c r="K2224" i="2"/>
  <c r="K2222" i="2"/>
  <c r="K2221" i="2"/>
  <c r="K2219" i="2"/>
  <c r="K2218" i="2"/>
  <c r="K2217" i="2"/>
  <c r="K2215" i="2"/>
  <c r="K2214" i="2"/>
  <c r="K2212" i="2"/>
  <c r="K2211" i="2"/>
  <c r="K2210" i="2"/>
  <c r="K2209" i="2"/>
  <c r="K2208" i="2"/>
  <c r="K2207" i="2"/>
  <c r="K2206" i="2"/>
  <c r="K2204" i="2"/>
  <c r="K2203" i="2"/>
  <c r="K2202" i="2"/>
  <c r="K2201" i="2"/>
  <c r="K2200" i="2"/>
  <c r="K2199" i="2"/>
  <c r="K2196" i="2"/>
  <c r="K2195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4" i="2"/>
  <c r="K2163" i="2"/>
  <c r="K2162" i="2"/>
  <c r="K2161" i="2"/>
  <c r="K2160" i="2"/>
  <c r="K2158" i="2"/>
  <c r="K2157" i="2"/>
  <c r="K2156" i="2"/>
  <c r="K2155" i="2"/>
  <c r="K2154" i="2"/>
  <c r="K2153" i="2"/>
  <c r="K2151" i="2"/>
  <c r="K2150" i="2"/>
  <c r="K2149" i="2"/>
  <c r="K2148" i="2"/>
  <c r="K2146" i="2"/>
  <c r="K2145" i="2"/>
  <c r="K2144" i="2"/>
  <c r="K2143" i="2"/>
  <c r="K2141" i="2"/>
  <c r="K2140" i="2"/>
  <c r="K2139" i="2"/>
  <c r="K2138" i="2"/>
  <c r="K2137" i="2"/>
  <c r="K2136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19" i="2"/>
  <c r="K2118" i="2"/>
  <c r="K2115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0" i="2"/>
  <c r="K2099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7" i="2"/>
  <c r="K1986" i="2"/>
  <c r="K1985" i="2"/>
  <c r="K1984" i="2"/>
  <c r="K1982" i="2"/>
  <c r="K1981" i="2"/>
  <c r="K1979" i="2"/>
  <c r="K1978" i="2"/>
  <c r="K1977" i="2"/>
  <c r="K1976" i="2"/>
  <c r="K1975" i="2"/>
  <c r="K1974" i="2"/>
  <c r="K1973" i="2"/>
  <c r="K1970" i="2"/>
  <c r="K1969" i="2"/>
  <c r="K1967" i="2"/>
  <c r="K1966" i="2"/>
  <c r="K1963" i="2"/>
  <c r="K1962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1" i="2"/>
  <c r="K1830" i="2"/>
  <c r="K1829" i="2"/>
  <c r="K1828" i="2"/>
  <c r="K1826" i="2"/>
  <c r="K1825" i="2"/>
  <c r="K1824" i="2"/>
  <c r="K1823" i="2"/>
  <c r="K1822" i="2"/>
  <c r="K1821" i="2"/>
  <c r="K1820" i="2"/>
  <c r="K1818" i="2"/>
  <c r="K1817" i="2"/>
  <c r="K1816" i="2"/>
  <c r="K1815" i="2"/>
  <c r="K1814" i="2"/>
  <c r="K1811" i="2"/>
  <c r="K1810" i="2"/>
  <c r="K1809" i="2"/>
  <c r="K1807" i="2"/>
  <c r="K1806" i="2"/>
  <c r="K1805" i="2"/>
  <c r="K1804" i="2"/>
  <c r="K1803" i="2"/>
  <c r="K1802" i="2"/>
  <c r="K1801" i="2"/>
  <c r="K1800" i="2"/>
  <c r="K1797" i="2"/>
  <c r="K1796" i="2"/>
  <c r="K1795" i="2"/>
  <c r="K1792" i="2"/>
  <c r="K1791" i="2"/>
  <c r="K1788" i="2"/>
  <c r="K1786" i="2"/>
  <c r="K1785" i="2"/>
  <c r="K1784" i="2"/>
  <c r="K1783" i="2"/>
  <c r="K1782" i="2"/>
  <c r="K1781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5" i="2"/>
  <c r="K1754" i="2"/>
  <c r="K1753" i="2"/>
  <c r="K1752" i="2"/>
  <c r="K1751" i="2"/>
  <c r="K1750" i="2"/>
  <c r="K1749" i="2"/>
  <c r="K1748" i="2"/>
  <c r="K1747" i="2"/>
  <c r="K1746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3" i="2"/>
  <c r="K1652" i="2"/>
  <c r="K1648" i="2"/>
  <c r="K1647" i="2"/>
  <c r="K1645" i="2"/>
  <c r="K1644" i="2"/>
  <c r="K1643" i="2"/>
  <c r="K1642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19" i="2"/>
  <c r="K1618" i="2"/>
  <c r="K1616" i="2"/>
  <c r="K1615" i="2"/>
  <c r="K1614" i="2"/>
  <c r="K1613" i="2"/>
  <c r="K1612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5" i="2"/>
  <c r="K1574" i="2"/>
  <c r="K1573" i="2"/>
  <c r="K1572" i="2"/>
  <c r="K1571" i="2"/>
  <c r="K1570" i="2"/>
  <c r="K1569" i="2"/>
  <c r="K1568" i="2"/>
  <c r="K1565" i="2"/>
  <c r="K1564" i="2"/>
  <c r="K1562" i="2"/>
  <c r="K1561" i="2"/>
  <c r="K1559" i="2"/>
  <c r="K1558" i="2"/>
  <c r="K1557" i="2"/>
  <c r="K1556" i="2"/>
  <c r="K1554" i="2"/>
  <c r="K1553" i="2"/>
  <c r="K1552" i="2"/>
  <c r="K1551" i="2"/>
  <c r="K1550" i="2"/>
  <c r="K1549" i="2"/>
  <c r="K1548" i="2"/>
  <c r="K1547" i="2"/>
  <c r="K1546" i="2"/>
  <c r="K1545" i="2"/>
  <c r="K1544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28" i="2"/>
  <c r="K1527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7" i="2"/>
  <c r="K1406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1" i="2"/>
  <c r="K1360" i="2"/>
  <c r="K1359" i="2"/>
  <c r="K1358" i="2"/>
  <c r="K1356" i="2"/>
  <c r="K1355" i="2"/>
  <c r="K1353" i="2"/>
  <c r="K1352" i="2"/>
  <c r="K1351" i="2"/>
  <c r="K1350" i="2"/>
  <c r="K1349" i="2"/>
  <c r="K1348" i="2"/>
  <c r="K1346" i="2"/>
  <c r="K1345" i="2"/>
  <c r="K1344" i="2"/>
  <c r="K1343" i="2"/>
  <c r="K1342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2" i="2"/>
  <c r="K1301" i="2"/>
  <c r="K1300" i="2"/>
  <c r="K1299" i="2"/>
  <c r="K1298" i="2"/>
  <c r="K1297" i="2"/>
  <c r="K1296" i="2"/>
  <c r="K1295" i="2"/>
  <c r="K1294" i="2"/>
  <c r="K1291" i="2"/>
  <c r="K1290" i="2"/>
  <c r="K1288" i="2"/>
  <c r="K1287" i="2"/>
  <c r="K1286" i="2"/>
  <c r="K1285" i="2"/>
  <c r="K1283" i="2"/>
  <c r="K1282" i="2"/>
  <c r="K1281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8" i="2"/>
  <c r="K1207" i="2"/>
  <c r="K1206" i="2"/>
  <c r="K1205" i="2"/>
  <c r="K1204" i="2"/>
  <c r="K1203" i="2"/>
  <c r="K1202" i="2"/>
  <c r="K1201" i="2"/>
  <c r="K1198" i="2"/>
  <c r="K1197" i="2"/>
  <c r="K1196" i="2"/>
  <c r="K1194" i="2"/>
  <c r="K1193" i="2"/>
  <c r="K1191" i="2"/>
  <c r="K1190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6" i="2"/>
  <c r="K1165" i="2"/>
  <c r="K1163" i="2"/>
  <c r="K1162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7" i="2"/>
  <c r="K1146" i="2"/>
  <c r="K1145" i="2"/>
  <c r="K1144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6" i="2"/>
  <c r="K1125" i="2"/>
  <c r="K1124" i="2"/>
  <c r="K1123" i="2"/>
  <c r="K1122" i="2"/>
  <c r="K1121" i="2"/>
  <c r="K1120" i="2"/>
  <c r="K1119" i="2"/>
  <c r="K1116" i="2"/>
  <c r="K1115" i="2"/>
  <c r="K1113" i="2"/>
  <c r="K1112" i="2"/>
  <c r="K1111" i="2"/>
  <c r="K1110" i="2"/>
  <c r="K1109" i="2"/>
  <c r="K1108" i="2"/>
  <c r="K1107" i="2"/>
  <c r="K1106" i="2"/>
  <c r="K1104" i="2"/>
  <c r="K1103" i="2"/>
  <c r="K1101" i="2"/>
  <c r="K1100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1" i="2"/>
  <c r="K1080" i="2"/>
  <c r="K1079" i="2"/>
  <c r="K1078" i="2"/>
  <c r="K1077" i="2"/>
  <c r="K1076" i="2"/>
  <c r="K1075" i="2"/>
  <c r="K1074" i="2"/>
  <c r="K1072" i="2"/>
  <c r="K1071" i="2"/>
  <c r="K1070" i="2"/>
  <c r="K1069" i="2"/>
  <c r="K1067" i="2"/>
  <c r="K1066" i="2"/>
  <c r="K1065" i="2"/>
  <c r="K1064" i="2"/>
  <c r="K1062" i="2"/>
  <c r="K1061" i="2"/>
  <c r="K1060" i="2"/>
  <c r="K1059" i="2"/>
  <c r="K1056" i="2"/>
  <c r="K1055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6" i="2"/>
  <c r="K1035" i="2"/>
  <c r="K1034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09" i="2"/>
  <c r="K1008" i="2"/>
  <c r="K1007" i="2"/>
  <c r="K1006" i="2"/>
  <c r="K1003" i="2"/>
  <c r="K1002" i="2"/>
  <c r="K1000" i="2"/>
  <c r="K999" i="2"/>
  <c r="K997" i="2"/>
  <c r="K996" i="2"/>
  <c r="K994" i="2"/>
  <c r="K993" i="2"/>
  <c r="K992" i="2"/>
  <c r="K991" i="2"/>
  <c r="K989" i="2"/>
  <c r="K988" i="2"/>
  <c r="K987" i="2"/>
  <c r="K986" i="2"/>
  <c r="K985" i="2"/>
  <c r="K984" i="2"/>
  <c r="K983" i="2"/>
  <c r="K981" i="2"/>
  <c r="K980" i="2"/>
  <c r="K979" i="2"/>
  <c r="K978" i="2"/>
  <c r="K977" i="2"/>
  <c r="K976" i="2"/>
  <c r="K975" i="2"/>
  <c r="K974" i="2"/>
  <c r="K971" i="2"/>
  <c r="K970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6" i="2"/>
  <c r="K915" i="2"/>
  <c r="K914" i="2"/>
  <c r="K913" i="2"/>
  <c r="K910" i="2"/>
  <c r="K909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6" i="2"/>
  <c r="K865" i="2"/>
  <c r="K864" i="2"/>
  <c r="K863" i="2"/>
  <c r="K861" i="2"/>
  <c r="K860" i="2"/>
  <c r="K859" i="2"/>
  <c r="K858" i="2"/>
  <c r="K857" i="2"/>
  <c r="K856" i="2"/>
  <c r="K855" i="2"/>
  <c r="K854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29" i="2"/>
  <c r="K828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8" i="2"/>
  <c r="K787" i="2"/>
  <c r="K786" i="2"/>
  <c r="K785" i="2"/>
  <c r="K783" i="2"/>
  <c r="K782" i="2"/>
  <c r="K780" i="2"/>
  <c r="K779" i="2"/>
  <c r="K778" i="2"/>
  <c r="K777" i="2"/>
  <c r="K775" i="2"/>
  <c r="K774" i="2"/>
  <c r="K773" i="2"/>
  <c r="K772" i="2"/>
  <c r="K771" i="2"/>
  <c r="K770" i="2"/>
  <c r="K769" i="2"/>
  <c r="K768" i="2"/>
  <c r="K765" i="2"/>
  <c r="K764" i="2"/>
  <c r="K762" i="2"/>
  <c r="K761" i="2"/>
  <c r="K760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5" i="2"/>
  <c r="K744" i="2"/>
  <c r="K743" i="2"/>
  <c r="K742" i="2"/>
  <c r="K740" i="2"/>
  <c r="K739" i="2"/>
  <c r="K738" i="2"/>
  <c r="K737" i="2"/>
  <c r="K735" i="2"/>
  <c r="K734" i="2"/>
  <c r="K733" i="2"/>
  <c r="K732" i="2"/>
  <c r="K731" i="2"/>
  <c r="K728" i="2"/>
  <c r="K727" i="2"/>
  <c r="K726" i="2"/>
  <c r="K725" i="2"/>
  <c r="K724" i="2"/>
  <c r="K723" i="2"/>
  <c r="K722" i="2"/>
  <c r="K720" i="2"/>
  <c r="K719" i="2"/>
  <c r="K718" i="2"/>
  <c r="K717" i="2"/>
  <c r="K713" i="2"/>
  <c r="K711" i="2"/>
  <c r="K710" i="2"/>
  <c r="K709" i="2"/>
  <c r="K708" i="2"/>
  <c r="K707" i="2"/>
  <c r="K706" i="2"/>
  <c r="K705" i="2"/>
  <c r="K703" i="2"/>
  <c r="K702" i="2"/>
  <c r="K700" i="2"/>
  <c r="K699" i="2"/>
  <c r="K698" i="2"/>
  <c r="K697" i="2"/>
  <c r="K696" i="2"/>
  <c r="K695" i="2"/>
  <c r="K694" i="2"/>
  <c r="K693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59" i="2"/>
  <c r="K658" i="2"/>
  <c r="K657" i="2"/>
  <c r="K656" i="2"/>
  <c r="K655" i="2"/>
  <c r="K654" i="2"/>
  <c r="K653" i="2"/>
  <c r="K652" i="2"/>
  <c r="K650" i="2"/>
  <c r="K649" i="2"/>
  <c r="K648" i="2"/>
  <c r="K647" i="2"/>
  <c r="K646" i="2"/>
  <c r="K645" i="2"/>
  <c r="K644" i="2"/>
  <c r="K643" i="2"/>
  <c r="K641" i="2"/>
  <c r="K640" i="2"/>
  <c r="K639" i="2"/>
  <c r="K638" i="2"/>
  <c r="K637" i="2"/>
  <c r="K636" i="2"/>
  <c r="K635" i="2"/>
  <c r="K634" i="2"/>
  <c r="K633" i="2"/>
  <c r="K632" i="2"/>
  <c r="K631" i="2"/>
  <c r="K629" i="2"/>
  <c r="K628" i="2"/>
  <c r="K627" i="2"/>
  <c r="K626" i="2"/>
  <c r="K625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4" i="2"/>
  <c r="K603" i="2"/>
  <c r="K602" i="2"/>
  <c r="K601" i="2"/>
  <c r="K600" i="2"/>
  <c r="K599" i="2"/>
  <c r="K598" i="2"/>
  <c r="K597" i="2"/>
  <c r="K596" i="2"/>
  <c r="K595" i="2"/>
  <c r="K593" i="2"/>
  <c r="K592" i="2"/>
  <c r="K591" i="2"/>
  <c r="K590" i="2"/>
  <c r="K589" i="2"/>
  <c r="K588" i="2"/>
  <c r="K587" i="2"/>
  <c r="K586" i="2"/>
  <c r="K585" i="2"/>
  <c r="K584" i="2"/>
  <c r="K582" i="2"/>
  <c r="K581" i="2"/>
  <c r="K580" i="2"/>
  <c r="K579" i="2"/>
  <c r="K578" i="2"/>
  <c r="K577" i="2"/>
  <c r="K576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0" i="2"/>
  <c r="K559" i="2"/>
  <c r="K558" i="2"/>
  <c r="K557" i="2"/>
  <c r="K555" i="2"/>
  <c r="K554" i="2"/>
  <c r="K553" i="2"/>
  <c r="K552" i="2"/>
  <c r="K551" i="2"/>
  <c r="K550" i="2"/>
  <c r="K549" i="2"/>
  <c r="K548" i="2"/>
  <c r="K547" i="2"/>
  <c r="K546" i="2"/>
  <c r="K544" i="2"/>
  <c r="K543" i="2"/>
  <c r="K542" i="2"/>
  <c r="K541" i="2"/>
  <c r="K540" i="2"/>
  <c r="K539" i="2"/>
  <c r="K538" i="2"/>
  <c r="K537" i="2"/>
  <c r="K536" i="2"/>
  <c r="K533" i="2"/>
  <c r="K531" i="2"/>
  <c r="K530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0" i="2"/>
  <c r="K509" i="2"/>
  <c r="K508" i="2"/>
  <c r="K507" i="2"/>
  <c r="K506" i="2"/>
  <c r="K505" i="2"/>
  <c r="K504" i="2"/>
  <c r="K503" i="2"/>
  <c r="K502" i="2"/>
  <c r="K501" i="2"/>
  <c r="K500" i="2"/>
  <c r="K498" i="2"/>
  <c r="K497" i="2"/>
  <c r="K496" i="2"/>
  <c r="K495" i="2"/>
  <c r="K494" i="2"/>
  <c r="K493" i="2"/>
  <c r="K491" i="2"/>
  <c r="K490" i="2"/>
  <c r="K489" i="2"/>
  <c r="K488" i="2"/>
  <c r="K487" i="2"/>
  <c r="K486" i="2"/>
  <c r="K485" i="2"/>
  <c r="K484" i="2"/>
  <c r="K483" i="2"/>
  <c r="K482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3" i="2"/>
  <c r="K462" i="2"/>
  <c r="K461" i="2"/>
  <c r="K460" i="2"/>
  <c r="K459" i="2"/>
  <c r="K458" i="2"/>
  <c r="K457" i="2"/>
  <c r="K456" i="2"/>
  <c r="K454" i="2"/>
  <c r="K453" i="2"/>
  <c r="K452" i="2"/>
  <c r="K449" i="2"/>
  <c r="K447" i="2"/>
  <c r="K446" i="2"/>
  <c r="K444" i="2"/>
  <c r="K443" i="2"/>
  <c r="K442" i="2"/>
  <c r="K441" i="2"/>
  <c r="K440" i="2"/>
  <c r="K439" i="2"/>
  <c r="K437" i="2"/>
  <c r="K436" i="2"/>
  <c r="K435" i="2"/>
  <c r="K434" i="2"/>
  <c r="K433" i="2"/>
  <c r="K432" i="2"/>
  <c r="K431" i="2"/>
  <c r="K430" i="2"/>
  <c r="K429" i="2"/>
  <c r="K427" i="2"/>
  <c r="K426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7" i="2"/>
  <c r="K326" i="2"/>
  <c r="K325" i="2"/>
  <c r="K324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299" i="2"/>
  <c r="K298" i="2"/>
  <c r="K297" i="2"/>
  <c r="K296" i="2"/>
  <c r="K295" i="2"/>
  <c r="K294" i="2"/>
  <c r="K293" i="2"/>
  <c r="K292" i="2"/>
  <c r="K291" i="2"/>
  <c r="K290" i="2"/>
  <c r="K288" i="2"/>
  <c r="K287" i="2"/>
  <c r="K286" i="2"/>
  <c r="K285" i="2"/>
  <c r="K284" i="2"/>
  <c r="K283" i="2"/>
  <c r="K282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4" i="2"/>
  <c r="K152" i="2"/>
  <c r="K151" i="2"/>
  <c r="K150" i="2"/>
  <c r="K149" i="2"/>
  <c r="K148" i="2"/>
  <c r="K147" i="2"/>
  <c r="K146" i="2"/>
  <c r="K144" i="2"/>
  <c r="K143" i="2"/>
  <c r="K141" i="2"/>
  <c r="K140" i="2"/>
  <c r="K139" i="2"/>
  <c r="K138" i="2"/>
  <c r="K137" i="2"/>
  <c r="K136" i="2"/>
  <c r="K135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1" i="2"/>
  <c r="K100" i="2"/>
  <c r="K99" i="2"/>
  <c r="K98" i="2"/>
  <c r="K96" i="2"/>
  <c r="K95" i="2"/>
  <c r="K94" i="2"/>
  <c r="K93" i="2"/>
  <c r="K90" i="2"/>
  <c r="K89" i="2"/>
  <c r="K86" i="2"/>
  <c r="K84" i="2"/>
  <c r="K83" i="2"/>
  <c r="K82" i="2"/>
  <c r="K81" i="2"/>
  <c r="K80" i="2"/>
  <c r="K77" i="2"/>
  <c r="K76" i="2"/>
  <c r="K75" i="2"/>
  <c r="K74" i="2"/>
  <c r="K72" i="2"/>
  <c r="K71" i="2"/>
  <c r="K70" i="2"/>
  <c r="K69" i="2"/>
  <c r="K68" i="2"/>
  <c r="K67" i="2"/>
  <c r="K64" i="2"/>
  <c r="K63" i="2"/>
  <c r="K62" i="2"/>
  <c r="K61" i="2"/>
  <c r="K59" i="2"/>
  <c r="K58" i="2"/>
  <c r="K57" i="2"/>
  <c r="K56" i="2"/>
  <c r="K55" i="2"/>
  <c r="K54" i="2"/>
  <c r="K52" i="2"/>
  <c r="K51" i="2"/>
  <c r="K50" i="2"/>
  <c r="K49" i="2"/>
  <c r="K48" i="2"/>
  <c r="K47" i="2"/>
  <c r="K46" i="2"/>
  <c r="K45" i="2"/>
  <c r="K44" i="2"/>
  <c r="K43" i="2"/>
  <c r="K41" i="2"/>
  <c r="K40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915" i="2"/>
  <c r="E3" i="15"/>
  <c r="K1812" i="2"/>
  <c r="K1789" i="2"/>
  <c r="K1650" i="2"/>
  <c r="K1649" i="2"/>
  <c r="K1646" i="2"/>
  <c r="K1621" i="2"/>
  <c r="K1620" i="2"/>
  <c r="K911" i="2"/>
  <c r="K853" i="2"/>
  <c r="K714" i="2"/>
  <c r="K328" i="2"/>
  <c r="K91" i="2"/>
  <c r="K88" i="2"/>
  <c r="K87" i="2"/>
  <c r="E2" i="15"/>
  <c r="R6569" i="3"/>
  <c r="V6569" i="3" s="1"/>
  <c r="AD6569" i="3" s="1"/>
  <c r="AB6569" i="3"/>
  <c r="V6580" i="3"/>
  <c r="AB6583" i="3"/>
  <c r="AB6582" i="3"/>
  <c r="V6582" i="3"/>
  <c r="AD6582" i="3" s="1"/>
  <c r="AB6581" i="3"/>
  <c r="V6581" i="3"/>
  <c r="AD6581" i="3" s="1"/>
  <c r="AB6564" i="3"/>
  <c r="AB6565" i="3"/>
  <c r="AB6566" i="3"/>
  <c r="AB6567" i="3"/>
  <c r="AB6568" i="3"/>
  <c r="AB6570" i="3"/>
  <c r="AB6571" i="3"/>
  <c r="AB6572" i="3"/>
  <c r="AB6573" i="3"/>
  <c r="AB6574" i="3"/>
  <c r="AB6575" i="3"/>
  <c r="AB6576" i="3"/>
  <c r="AB6577" i="3"/>
  <c r="AB6578" i="3"/>
  <c r="AB6579" i="3"/>
  <c r="AD6564" i="3"/>
  <c r="AD6565" i="3"/>
  <c r="AD6566" i="3"/>
  <c r="AD6567" i="3"/>
  <c r="AD6568" i="3"/>
  <c r="AD6570" i="3"/>
  <c r="AD6571" i="3"/>
  <c r="AD6572" i="3"/>
  <c r="AD6573" i="3"/>
  <c r="AD6574" i="3"/>
  <c r="AD6575" i="3"/>
  <c r="AD6576" i="3"/>
  <c r="AD6577" i="3"/>
  <c r="AD6578" i="3"/>
  <c r="AD6579" i="3"/>
  <c r="K78" i="2" l="1"/>
  <c r="K97" i="2"/>
  <c r="P2483" i="2"/>
  <c r="T2483" i="2"/>
  <c r="K1819" i="2"/>
  <c r="AD6605" i="3"/>
  <c r="AD6583" i="3"/>
  <c r="Q6561" i="3"/>
  <c r="V6563" i="3"/>
  <c r="V6562" i="3"/>
  <c r="AB6521" i="3"/>
  <c r="AD6521" i="3"/>
  <c r="AB6522" i="3"/>
  <c r="AD6522" i="3"/>
  <c r="AB6523" i="3"/>
  <c r="AD6523" i="3"/>
  <c r="AB6524" i="3"/>
  <c r="AD6524" i="3"/>
  <c r="AB6525" i="3"/>
  <c r="AD6525" i="3"/>
  <c r="AB6526" i="3"/>
  <c r="AD6526" i="3"/>
  <c r="AB6527" i="3"/>
  <c r="AD6527" i="3"/>
  <c r="AB6528" i="3"/>
  <c r="AD6528" i="3"/>
  <c r="AB6529" i="3"/>
  <c r="AD6529" i="3"/>
  <c r="AB6530" i="3"/>
  <c r="AD6530" i="3"/>
  <c r="AB6531" i="3"/>
  <c r="AD6531" i="3"/>
  <c r="AB6532" i="3"/>
  <c r="AD6532" i="3"/>
  <c r="AB6533" i="3"/>
  <c r="AD6533" i="3"/>
  <c r="AB6534" i="3"/>
  <c r="AD6534" i="3"/>
  <c r="AB6535" i="3"/>
  <c r="AD6535" i="3"/>
  <c r="AB6536" i="3"/>
  <c r="AD6536" i="3"/>
  <c r="AB6537" i="3"/>
  <c r="AD6537" i="3"/>
  <c r="AB6538" i="3"/>
  <c r="AD6538" i="3"/>
  <c r="AB6539" i="3"/>
  <c r="AD6539" i="3"/>
  <c r="AD6540" i="3"/>
  <c r="AB6540" i="3"/>
  <c r="AD6541" i="3"/>
  <c r="AB6541" i="3"/>
  <c r="AD6542" i="3"/>
  <c r="AB6542" i="3"/>
  <c r="AB6543" i="3"/>
  <c r="AD6543" i="3"/>
  <c r="AB6544" i="3"/>
  <c r="AD6544" i="3"/>
  <c r="AB6545" i="3"/>
  <c r="AD6545" i="3"/>
  <c r="AB6546" i="3"/>
  <c r="AD6546" i="3"/>
  <c r="AB6547" i="3"/>
  <c r="AD6547" i="3"/>
  <c r="AB6548" i="3"/>
  <c r="AD6548" i="3"/>
  <c r="AD6549" i="3"/>
  <c r="AB6549" i="3"/>
  <c r="AD6550" i="3"/>
  <c r="AB6550" i="3"/>
  <c r="AB6551" i="3"/>
  <c r="AD6551" i="3"/>
  <c r="AD6552" i="3"/>
  <c r="AB6552" i="3"/>
  <c r="AB6553" i="3"/>
  <c r="AD6553" i="3"/>
  <c r="AB6554" i="3"/>
  <c r="AD6554" i="3"/>
  <c r="AB6555" i="3"/>
  <c r="AD6555" i="3"/>
  <c r="AD6556" i="3"/>
  <c r="AB6556" i="3"/>
  <c r="AD6557" i="3"/>
  <c r="AB6557" i="3"/>
  <c r="AB6558" i="3"/>
  <c r="AD6558" i="3"/>
  <c r="AD6559" i="3"/>
  <c r="AB6559" i="3"/>
  <c r="AD6560" i="3"/>
  <c r="AB6560" i="3"/>
  <c r="AB6561" i="3"/>
  <c r="AD6561" i="3" l="1"/>
  <c r="Q6520" i="3"/>
  <c r="R6520" i="3" s="1"/>
  <c r="V6519" i="3"/>
  <c r="AD6519" i="3" s="1"/>
  <c r="AB6519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V6518" i="3"/>
  <c r="AD6518" i="3" s="1"/>
  <c r="V6517" i="3"/>
  <c r="AD6517" i="3" s="1"/>
  <c r="V6516" i="3"/>
  <c r="AD6516" i="3" s="1"/>
  <c r="V6515" i="3"/>
  <c r="AD6515" i="3" s="1"/>
  <c r="V6514" i="3"/>
  <c r="AD6514" i="3" s="1"/>
  <c r="V6513" i="3"/>
  <c r="AD6513" i="3" s="1"/>
  <c r="V6512" i="3"/>
  <c r="AD6512" i="3" s="1"/>
  <c r="V6511" i="3"/>
  <c r="AD6511" i="3" s="1"/>
  <c r="V6510" i="3"/>
  <c r="AD6510" i="3" s="1"/>
  <c r="V6509" i="3"/>
  <c r="AD6509" i="3" s="1"/>
  <c r="V6508" i="3"/>
  <c r="AD6508" i="3" s="1"/>
  <c r="V6507" i="3"/>
  <c r="AD6507" i="3" s="1"/>
  <c r="V6506" i="3"/>
  <c r="AD6506" i="3" s="1"/>
  <c r="V6505" i="3"/>
  <c r="AD6505" i="3" s="1"/>
  <c r="V6504" i="3"/>
  <c r="AD6504" i="3" s="1"/>
  <c r="V6503" i="3"/>
  <c r="AD6503" i="3" s="1"/>
  <c r="V6502" i="3"/>
  <c r="AD6502" i="3" s="1"/>
  <c r="V6501" i="3"/>
  <c r="AD6501" i="3" s="1"/>
  <c r="V6500" i="3"/>
  <c r="AD6500" i="3" s="1"/>
  <c r="V6499" i="3"/>
  <c r="AD6499" i="3" s="1"/>
  <c r="V6498" i="3"/>
  <c r="AD6498" i="3" s="1"/>
  <c r="R6497" i="3"/>
  <c r="U6496" i="3"/>
  <c r="T6496" i="3"/>
  <c r="R6496" i="3"/>
  <c r="U6495" i="3"/>
  <c r="T6495" i="3"/>
  <c r="R6495" i="3"/>
  <c r="R6494" i="3"/>
  <c r="V6494" i="3" s="1"/>
  <c r="V6493" i="3"/>
  <c r="AD6493" i="3" s="1"/>
  <c r="V6492" i="3"/>
  <c r="AD6492" i="3" s="1"/>
  <c r="V6491" i="3"/>
  <c r="AD6491" i="3" s="1"/>
  <c r="V6490" i="3"/>
  <c r="AD6490" i="3" s="1"/>
  <c r="V6489" i="3"/>
  <c r="AD6489" i="3" s="1"/>
  <c r="V6450" i="3"/>
  <c r="AD6450" i="3" s="1"/>
  <c r="V6449" i="3"/>
  <c r="AD6449" i="3" s="1"/>
  <c r="V6436" i="3"/>
  <c r="V6433" i="3"/>
  <c r="V6432" i="3"/>
  <c r="V6429" i="3"/>
  <c r="V6428" i="3"/>
  <c r="V6425" i="3"/>
  <c r="V6424" i="3"/>
  <c r="V6420" i="3"/>
  <c r="V6419" i="3"/>
  <c r="V6417" i="3"/>
  <c r="V6520" i="3" l="1"/>
  <c r="V6467" i="3"/>
  <c r="AD6467" i="3" s="1"/>
  <c r="V6479" i="3"/>
  <c r="AD6479" i="3" s="1"/>
  <c r="V6480" i="3"/>
  <c r="AD6480" i="3" s="1"/>
  <c r="V6445" i="3"/>
  <c r="AD6445" i="3" s="1"/>
  <c r="V6438" i="3"/>
  <c r="AD6438" i="3" s="1"/>
  <c r="V6454" i="3"/>
  <c r="AD6454" i="3" s="1"/>
  <c r="V6478" i="3"/>
  <c r="AD6478" i="3" s="1"/>
  <c r="V6470" i="3"/>
  <c r="AD6470" i="3" s="1"/>
  <c r="V6495" i="3"/>
  <c r="AD6495" i="3" s="1"/>
  <c r="V6453" i="3"/>
  <c r="AD6453" i="3" s="1"/>
  <c r="V6444" i="3"/>
  <c r="AD6444" i="3" s="1"/>
  <c r="V6451" i="3"/>
  <c r="AD6451" i="3" s="1"/>
  <c r="V6461" i="3"/>
  <c r="AD6461" i="3" s="1"/>
  <c r="V6477" i="3"/>
  <c r="AD6477" i="3" s="1"/>
  <c r="V6485" i="3"/>
  <c r="AD6485" i="3" s="1"/>
  <c r="V6439" i="3"/>
  <c r="AD6439" i="3" s="1"/>
  <c r="V6415" i="3"/>
  <c r="AD6415" i="3" s="1"/>
  <c r="V6446" i="3"/>
  <c r="AD6446" i="3" s="1"/>
  <c r="V6448" i="3"/>
  <c r="AD6448" i="3" s="1"/>
  <c r="V6474" i="3"/>
  <c r="AD6474" i="3" s="1"/>
  <c r="V6465" i="3"/>
  <c r="AD6465" i="3" s="1"/>
  <c r="V6496" i="3"/>
  <c r="AD6496" i="3" s="1"/>
  <c r="V6416" i="3"/>
  <c r="AD6416" i="3" s="1"/>
  <c r="V6452" i="3"/>
  <c r="AD6452" i="3" s="1"/>
  <c r="V6463" i="3"/>
  <c r="AD6463" i="3" s="1"/>
  <c r="V6469" i="3"/>
  <c r="AD6469" i="3" s="1"/>
  <c r="V6473" i="3"/>
  <c r="AD6473" i="3" s="1"/>
  <c r="V6488" i="3"/>
  <c r="AD6488" i="3" s="1"/>
  <c r="V6471" i="3"/>
  <c r="AD6471" i="3" s="1"/>
  <c r="V6475" i="3"/>
  <c r="AD6475" i="3" s="1"/>
  <c r="V6486" i="3"/>
  <c r="AD6486" i="3" s="1"/>
  <c r="V6464" i="3"/>
  <c r="AD6464" i="3" s="1"/>
  <c r="V6466" i="3"/>
  <c r="AD6466" i="3" s="1"/>
  <c r="V6482" i="3"/>
  <c r="AD6482" i="3" s="1"/>
  <c r="V6462" i="3"/>
  <c r="AD6462" i="3" s="1"/>
  <c r="V6472" i="3"/>
  <c r="AD6472" i="3" s="1"/>
  <c r="V6481" i="3"/>
  <c r="AD6481" i="3" s="1"/>
  <c r="V6487" i="3"/>
  <c r="AD6487" i="3" s="1"/>
  <c r="AD6417" i="3"/>
  <c r="AD6425" i="3"/>
  <c r="AD6433" i="3"/>
  <c r="V6434" i="3"/>
  <c r="AD6434" i="3" s="1"/>
  <c r="V6441" i="3"/>
  <c r="AD6441" i="3" s="1"/>
  <c r="V6418" i="3"/>
  <c r="AD6418" i="3" s="1"/>
  <c r="V6426" i="3"/>
  <c r="AD6426" i="3" s="1"/>
  <c r="V6427" i="3"/>
  <c r="AD6427" i="3" s="1"/>
  <c r="V6435" i="3"/>
  <c r="AD6435" i="3" s="1"/>
  <c r="V6456" i="3"/>
  <c r="AD6456" i="3" s="1"/>
  <c r="V6412" i="3"/>
  <c r="AD6412" i="3" s="1"/>
  <c r="AD6419" i="3"/>
  <c r="AD6420" i="3"/>
  <c r="AD6428" i="3"/>
  <c r="AD6436" i="3"/>
  <c r="V6455" i="3"/>
  <c r="AD6455" i="3" s="1"/>
  <c r="V6430" i="3"/>
  <c r="AD6430" i="3" s="1"/>
  <c r="V6437" i="3"/>
  <c r="AD6437" i="3" s="1"/>
  <c r="V6447" i="3"/>
  <c r="AD6447" i="3" s="1"/>
  <c r="V6422" i="3"/>
  <c r="AD6422" i="3" s="1"/>
  <c r="V6411" i="3"/>
  <c r="AD6411" i="3" s="1"/>
  <c r="V6423" i="3"/>
  <c r="AD6423" i="3" s="1"/>
  <c r="V6431" i="3"/>
  <c r="AD6431" i="3" s="1"/>
  <c r="V6440" i="3"/>
  <c r="AD6440" i="3" s="1"/>
  <c r="V6457" i="3"/>
  <c r="AD6457" i="3" s="1"/>
  <c r="AD6429" i="3"/>
  <c r="V6421" i="3"/>
  <c r="AD6421" i="3" s="1"/>
  <c r="V6413" i="3"/>
  <c r="AD6413" i="3" s="1"/>
  <c r="V6414" i="3"/>
  <c r="AD6414" i="3" s="1"/>
  <c r="AD6424" i="3"/>
  <c r="AD6432" i="3"/>
  <c r="V6442" i="3"/>
  <c r="AD6442" i="3" s="1"/>
  <c r="V6443" i="3"/>
  <c r="AD6443" i="3" s="1"/>
  <c r="V6460" i="3"/>
  <c r="AD6460" i="3" s="1"/>
  <c r="V6468" i="3"/>
  <c r="AD6468" i="3" s="1"/>
  <c r="V6476" i="3"/>
  <c r="AD6476" i="3" s="1"/>
  <c r="V6484" i="3"/>
  <c r="AD6484" i="3" s="1"/>
  <c r="V6459" i="3"/>
  <c r="AD6459" i="3" s="1"/>
  <c r="V6483" i="3"/>
  <c r="AD6483" i="3" s="1"/>
  <c r="V6458" i="3"/>
  <c r="AD6458" i="3" s="1"/>
  <c r="V6497" i="3"/>
  <c r="AD6497" i="3" s="1"/>
  <c r="AD6494" i="3"/>
  <c r="AB6406" i="3" l="1"/>
  <c r="AB6407" i="3"/>
  <c r="AB6408" i="3"/>
  <c r="AB6409" i="3"/>
  <c r="AB6410" i="3"/>
  <c r="AD6406" i="3"/>
  <c r="AD6407" i="3"/>
  <c r="AD6408" i="3"/>
  <c r="AD6409" i="3"/>
  <c r="AD6410" i="3"/>
  <c r="AB6405" i="3"/>
  <c r="AD6404" i="3"/>
  <c r="AB6404" i="3"/>
  <c r="AD6403" i="3"/>
  <c r="AB6403" i="3"/>
  <c r="AD6402" i="3"/>
  <c r="AB6402" i="3"/>
  <c r="AD6401" i="3"/>
  <c r="AB6401" i="3"/>
  <c r="AD6400" i="3"/>
  <c r="AB6400" i="3"/>
  <c r="AD6399" i="3"/>
  <c r="AB6399" i="3"/>
  <c r="AD6398" i="3"/>
  <c r="AB6398" i="3"/>
  <c r="AD6397" i="3"/>
  <c r="AB6397" i="3"/>
  <c r="AD6396" i="3"/>
  <c r="AB6396" i="3"/>
  <c r="AD6395" i="3"/>
  <c r="AB6395" i="3"/>
  <c r="AD6394" i="3"/>
  <c r="AB6394" i="3"/>
  <c r="AD6393" i="3"/>
  <c r="AB6393" i="3"/>
  <c r="AD6392" i="3"/>
  <c r="AB6392" i="3"/>
  <c r="AD6391" i="3"/>
  <c r="AB6391" i="3"/>
  <c r="AD6390" i="3"/>
  <c r="AB6390" i="3"/>
  <c r="AD6389" i="3"/>
  <c r="AB6389" i="3"/>
  <c r="AD6388" i="3"/>
  <c r="AB6388" i="3"/>
  <c r="AD6387" i="3"/>
  <c r="AB6387" i="3"/>
  <c r="AD6386" i="3"/>
  <c r="AB6386" i="3"/>
  <c r="AD6385" i="3"/>
  <c r="AB6385" i="3"/>
  <c r="AD6384" i="3"/>
  <c r="AB6384" i="3"/>
  <c r="AD6383" i="3"/>
  <c r="AB6383" i="3"/>
  <c r="AD6382" i="3"/>
  <c r="AB6382" i="3"/>
  <c r="AD6381" i="3"/>
  <c r="AB6381" i="3"/>
  <c r="AD6380" i="3"/>
  <c r="AB6380" i="3"/>
  <c r="AD6379" i="3"/>
  <c r="AB6379" i="3"/>
  <c r="AD6378" i="3"/>
  <c r="AB6378" i="3"/>
  <c r="AD6377" i="3"/>
  <c r="AB6377" i="3"/>
  <c r="AD6376" i="3"/>
  <c r="AB6376" i="3"/>
  <c r="AD6375" i="3"/>
  <c r="AB6375" i="3"/>
  <c r="AD6374" i="3"/>
  <c r="AB6374" i="3"/>
  <c r="AD6373" i="3"/>
  <c r="AB6373" i="3"/>
  <c r="AD6372" i="3"/>
  <c r="AB6372" i="3"/>
  <c r="AD6371" i="3"/>
  <c r="AB6371" i="3"/>
  <c r="AD6370" i="3"/>
  <c r="AB6370" i="3"/>
  <c r="AD6369" i="3"/>
  <c r="AB6369" i="3"/>
  <c r="AD6368" i="3"/>
  <c r="AB6368" i="3"/>
  <c r="AD6367" i="3"/>
  <c r="AB6367" i="3"/>
  <c r="AD6366" i="3"/>
  <c r="AB6366" i="3"/>
  <c r="AD6365" i="3"/>
  <c r="AB6365" i="3"/>
  <c r="AD6364" i="3"/>
  <c r="AB6364" i="3"/>
  <c r="AD6363" i="3"/>
  <c r="AB6363" i="3"/>
  <c r="AD6362" i="3"/>
  <c r="AB6362" i="3"/>
  <c r="AD6361" i="3"/>
  <c r="AB6361" i="3"/>
  <c r="AD6360" i="3"/>
  <c r="AB6360" i="3"/>
  <c r="AD6359" i="3"/>
  <c r="AB6359" i="3"/>
  <c r="AD6358" i="3"/>
  <c r="AB6358" i="3"/>
  <c r="AD6357" i="3"/>
  <c r="AB6357" i="3"/>
  <c r="AD6356" i="3"/>
  <c r="AB6356" i="3"/>
  <c r="AD6355" i="3"/>
  <c r="AB6355" i="3"/>
  <c r="AD6354" i="3"/>
  <c r="AB6354" i="3"/>
  <c r="AD6353" i="3"/>
  <c r="AB6353" i="3"/>
  <c r="AD6352" i="3"/>
  <c r="AB6352" i="3"/>
  <c r="AD6351" i="3"/>
  <c r="AB6351" i="3"/>
  <c r="AD6350" i="3"/>
  <c r="AB6350" i="3"/>
  <c r="AD6349" i="3"/>
  <c r="AB6349" i="3"/>
  <c r="AD6348" i="3"/>
  <c r="AB6348" i="3"/>
  <c r="AD6347" i="3"/>
  <c r="AB6347" i="3"/>
  <c r="AD6346" i="3"/>
  <c r="AB6346" i="3"/>
  <c r="AD6345" i="3"/>
  <c r="AB6345" i="3"/>
  <c r="AD6344" i="3"/>
  <c r="AB6344" i="3"/>
  <c r="AD6343" i="3"/>
  <c r="AB6343" i="3"/>
  <c r="AD6342" i="3"/>
  <c r="AB6342" i="3"/>
  <c r="AD6341" i="3"/>
  <c r="AB6341" i="3"/>
  <c r="AD6340" i="3"/>
  <c r="AB6340" i="3"/>
  <c r="AD6339" i="3"/>
  <c r="AB6339" i="3"/>
  <c r="AD6338" i="3"/>
  <c r="AB6338" i="3"/>
  <c r="AD6337" i="3"/>
  <c r="AB6337" i="3"/>
  <c r="AD6336" i="3"/>
  <c r="AB6336" i="3"/>
  <c r="AD6335" i="3"/>
  <c r="AB6335" i="3"/>
  <c r="AD6334" i="3"/>
  <c r="AB6334" i="3"/>
  <c r="AD6333" i="3"/>
  <c r="AB6333" i="3"/>
  <c r="AD6332" i="3"/>
  <c r="AB6332" i="3"/>
  <c r="AD6331" i="3"/>
  <c r="AB6331" i="3"/>
  <c r="AD6330" i="3"/>
  <c r="AB6330" i="3"/>
  <c r="AD6329" i="3"/>
  <c r="AB6329" i="3"/>
  <c r="AD6328" i="3"/>
  <c r="AB6328" i="3"/>
  <c r="AD6327" i="3"/>
  <c r="AB6327" i="3"/>
  <c r="AD6326" i="3"/>
  <c r="AB6326" i="3"/>
  <c r="AD6325" i="3"/>
  <c r="AB6325" i="3"/>
  <c r="AD6324" i="3"/>
  <c r="AB6324" i="3"/>
  <c r="AD6323" i="3"/>
  <c r="AB6323" i="3"/>
  <c r="AD6322" i="3"/>
  <c r="AB6322" i="3"/>
  <c r="AD6321" i="3"/>
  <c r="AB6321" i="3"/>
  <c r="AD6320" i="3"/>
  <c r="AB6320" i="3"/>
  <c r="AD6319" i="3"/>
  <c r="AB6319" i="3"/>
  <c r="AD6318" i="3"/>
  <c r="AB6318" i="3"/>
  <c r="AD6317" i="3"/>
  <c r="AB6317" i="3"/>
  <c r="AD6316" i="3"/>
  <c r="AB6316" i="3"/>
  <c r="AD6315" i="3"/>
  <c r="AB6315" i="3"/>
  <c r="AD6314" i="3"/>
  <c r="AB6314" i="3"/>
  <c r="AD6313" i="3"/>
  <c r="AB6313" i="3"/>
  <c r="AD6312" i="3"/>
  <c r="AB6312" i="3"/>
  <c r="AD6311" i="3"/>
  <c r="AB6311" i="3"/>
  <c r="AD6310" i="3"/>
  <c r="AB6310" i="3"/>
  <c r="AD6309" i="3"/>
  <c r="AB6309" i="3"/>
  <c r="AD6308" i="3"/>
  <c r="AB6308" i="3"/>
  <c r="AD6307" i="3"/>
  <c r="AB6307" i="3"/>
  <c r="AD6306" i="3"/>
  <c r="AB6306" i="3"/>
  <c r="AD6305" i="3"/>
  <c r="AB6305" i="3"/>
  <c r="AD6304" i="3"/>
  <c r="AB6304" i="3"/>
  <c r="AD6303" i="3"/>
  <c r="AB6303" i="3"/>
  <c r="AD6302" i="3"/>
  <c r="AB6302" i="3"/>
  <c r="AD6301" i="3"/>
  <c r="AB6301" i="3"/>
  <c r="AD6300" i="3"/>
  <c r="AB6300" i="3"/>
  <c r="AD6299" i="3"/>
  <c r="AB6299" i="3"/>
  <c r="AD6298" i="3"/>
  <c r="AB6298" i="3"/>
  <c r="AD6297" i="3"/>
  <c r="AB6297" i="3"/>
  <c r="AD6296" i="3"/>
  <c r="AB6296" i="3"/>
  <c r="AD6295" i="3"/>
  <c r="AB6295" i="3"/>
  <c r="AD6294" i="3"/>
  <c r="AB6294" i="3"/>
  <c r="AD6293" i="3"/>
  <c r="AB6293" i="3"/>
  <c r="AD6292" i="3"/>
  <c r="AB6292" i="3"/>
  <c r="AD6291" i="3"/>
  <c r="AB6291" i="3"/>
  <c r="AD6290" i="3"/>
  <c r="AB6290" i="3"/>
  <c r="AD6289" i="3"/>
  <c r="AB6289" i="3"/>
  <c r="AD6288" i="3"/>
  <c r="AB6288" i="3"/>
  <c r="AD6287" i="3"/>
  <c r="AB6287" i="3"/>
  <c r="AD6286" i="3"/>
  <c r="AB6286" i="3"/>
  <c r="AD6285" i="3"/>
  <c r="AB6285" i="3"/>
  <c r="AD6284" i="3"/>
  <c r="AB6284" i="3"/>
  <c r="AD6283" i="3"/>
  <c r="AB6283" i="3"/>
  <c r="AD6282" i="3"/>
  <c r="AB6282" i="3"/>
  <c r="AD6281" i="3"/>
  <c r="AB6281" i="3"/>
  <c r="AD6280" i="3"/>
  <c r="AB6280" i="3"/>
  <c r="AD6279" i="3"/>
  <c r="AB6279" i="3"/>
  <c r="AD6278" i="3"/>
  <c r="AB6278" i="3"/>
  <c r="AD6277" i="3"/>
  <c r="AB6277" i="3"/>
  <c r="AD6276" i="3"/>
  <c r="AB6276" i="3"/>
  <c r="AD6275" i="3"/>
  <c r="AB6275" i="3"/>
  <c r="AD6274" i="3"/>
  <c r="AB6274" i="3"/>
  <c r="AD6273" i="3"/>
  <c r="AB6273" i="3"/>
  <c r="AD6272" i="3"/>
  <c r="AB6272" i="3"/>
  <c r="AD6271" i="3"/>
  <c r="AB6271" i="3"/>
  <c r="AD6270" i="3"/>
  <c r="AB6270" i="3"/>
  <c r="AD6269" i="3"/>
  <c r="AB6269" i="3"/>
  <c r="AD6268" i="3"/>
  <c r="AB6268" i="3"/>
  <c r="AD6267" i="3"/>
  <c r="AB6267" i="3"/>
  <c r="AD6266" i="3"/>
  <c r="AB6266" i="3"/>
  <c r="AD6265" i="3"/>
  <c r="AB6265" i="3"/>
  <c r="AD6264" i="3"/>
  <c r="AB6264" i="3"/>
  <c r="AD6263" i="3"/>
  <c r="AB6263" i="3"/>
  <c r="AD6262" i="3"/>
  <c r="AB6262" i="3"/>
  <c r="AD6261" i="3"/>
  <c r="AB6261" i="3"/>
  <c r="AD6260" i="3"/>
  <c r="AB6260" i="3"/>
  <c r="AD6259" i="3"/>
  <c r="AB6259" i="3"/>
  <c r="AD6258" i="3"/>
  <c r="AB6258" i="3"/>
  <c r="AD6257" i="3"/>
  <c r="AB6257" i="3"/>
  <c r="AD6256" i="3"/>
  <c r="AB6256" i="3"/>
  <c r="AD6255" i="3"/>
  <c r="AB6255" i="3"/>
  <c r="AD6254" i="3"/>
  <c r="AB6254" i="3"/>
  <c r="AD6253" i="3"/>
  <c r="AB6253" i="3"/>
  <c r="AD6252" i="3"/>
  <c r="AB6252" i="3"/>
  <c r="AD6251" i="3"/>
  <c r="AB6251" i="3"/>
  <c r="AD6250" i="3"/>
  <c r="AB6250" i="3"/>
  <c r="AD6249" i="3"/>
  <c r="AB6249" i="3"/>
  <c r="AD6248" i="3"/>
  <c r="AB6248" i="3"/>
  <c r="AD6247" i="3"/>
  <c r="AB6247" i="3"/>
  <c r="AD6246" i="3"/>
  <c r="AB6246" i="3"/>
  <c r="AD6245" i="3"/>
  <c r="AB6245" i="3"/>
  <c r="AD6244" i="3"/>
  <c r="AB6244" i="3"/>
  <c r="AD6243" i="3"/>
  <c r="AB6243" i="3"/>
  <c r="AD6242" i="3"/>
  <c r="AB6242" i="3"/>
  <c r="AD6241" i="3"/>
  <c r="AB6241" i="3"/>
  <c r="AD6240" i="3"/>
  <c r="AB6240" i="3"/>
  <c r="AD6239" i="3"/>
  <c r="AB6239" i="3"/>
  <c r="AD6238" i="3"/>
  <c r="AB6238" i="3"/>
  <c r="AD6237" i="3"/>
  <c r="AB6237" i="3"/>
  <c r="AD6236" i="3"/>
  <c r="AB6236" i="3"/>
  <c r="AD6235" i="3"/>
  <c r="AB6235" i="3"/>
  <c r="AD6234" i="3"/>
  <c r="AB6234" i="3"/>
  <c r="AD6233" i="3"/>
  <c r="AB6233" i="3"/>
  <c r="AD6232" i="3"/>
  <c r="AB6232" i="3"/>
  <c r="AD6231" i="3"/>
  <c r="AB6231" i="3"/>
  <c r="AD6230" i="3"/>
  <c r="AB6230" i="3"/>
  <c r="AD6229" i="3"/>
  <c r="AB6229" i="3"/>
  <c r="AD6228" i="3"/>
  <c r="AB6228" i="3"/>
  <c r="AD6227" i="3"/>
  <c r="AB6227" i="3"/>
  <c r="AD6226" i="3"/>
  <c r="AB6226" i="3"/>
  <c r="AD6225" i="3"/>
  <c r="AB6225" i="3"/>
  <c r="AD6224" i="3"/>
  <c r="AB6224" i="3"/>
  <c r="AD6223" i="3"/>
  <c r="AB6223" i="3"/>
  <c r="AD6222" i="3"/>
  <c r="AB6222" i="3"/>
  <c r="AD6221" i="3"/>
  <c r="AB6221" i="3"/>
  <c r="AD6220" i="3"/>
  <c r="AB6220" i="3"/>
  <c r="AD6219" i="3"/>
  <c r="AB6219" i="3"/>
  <c r="AD6218" i="3"/>
  <c r="AB6218" i="3"/>
  <c r="AD6217" i="3"/>
  <c r="AB6217" i="3"/>
  <c r="AD6216" i="3"/>
  <c r="AB6216" i="3"/>
  <c r="AD6215" i="3"/>
  <c r="AB6215" i="3"/>
  <c r="AD6214" i="3"/>
  <c r="AB6214" i="3"/>
  <c r="AD6213" i="3"/>
  <c r="AB6213" i="3"/>
  <c r="AD6212" i="3"/>
  <c r="AB6212" i="3"/>
  <c r="AD6211" i="3"/>
  <c r="AB6211" i="3"/>
  <c r="AD6210" i="3"/>
  <c r="AB6210" i="3"/>
  <c r="AD6209" i="3"/>
  <c r="AB6209" i="3"/>
  <c r="AD6208" i="3"/>
  <c r="AB6208" i="3"/>
  <c r="AD6207" i="3"/>
  <c r="AB6207" i="3"/>
  <c r="AD6206" i="3"/>
  <c r="AB6206" i="3"/>
  <c r="AD6205" i="3"/>
  <c r="AB6205" i="3"/>
  <c r="AD6204" i="3"/>
  <c r="AB6204" i="3"/>
  <c r="AD6203" i="3"/>
  <c r="AB6203" i="3"/>
  <c r="AD6202" i="3"/>
  <c r="AB6202" i="3"/>
  <c r="AD6201" i="3"/>
  <c r="AB6201" i="3"/>
  <c r="AD6200" i="3"/>
  <c r="AB6200" i="3"/>
  <c r="AD6199" i="3"/>
  <c r="AB6199" i="3"/>
  <c r="AD6198" i="3"/>
  <c r="AB6198" i="3"/>
  <c r="AD6197" i="3"/>
  <c r="AB6197" i="3"/>
  <c r="AD6196" i="3"/>
  <c r="AB6196" i="3"/>
  <c r="AD6195" i="3"/>
  <c r="AB6195" i="3"/>
  <c r="AD6194" i="3"/>
  <c r="AB6194" i="3"/>
  <c r="AD6193" i="3"/>
  <c r="AB6193" i="3"/>
  <c r="AD6192" i="3"/>
  <c r="AB6192" i="3"/>
  <c r="AD6191" i="3"/>
  <c r="AB6191" i="3"/>
  <c r="AD6190" i="3"/>
  <c r="AB6190" i="3"/>
  <c r="AD6189" i="3"/>
  <c r="AB6189" i="3"/>
  <c r="AD6188" i="3"/>
  <c r="AB6188" i="3"/>
  <c r="AD6187" i="3"/>
  <c r="AB6187" i="3"/>
  <c r="AD6186" i="3"/>
  <c r="AB6186" i="3"/>
  <c r="AD6185" i="3"/>
  <c r="AB6185" i="3"/>
  <c r="AD6184" i="3"/>
  <c r="AB6184" i="3"/>
  <c r="AD6183" i="3"/>
  <c r="AB6183" i="3"/>
  <c r="AD6182" i="3"/>
  <c r="AB6182" i="3"/>
  <c r="AD6181" i="3"/>
  <c r="AB6181" i="3"/>
  <c r="AD6180" i="3"/>
  <c r="AB6180" i="3"/>
  <c r="AD6179" i="3"/>
  <c r="AB6179" i="3"/>
  <c r="AD6178" i="3"/>
  <c r="AB6178" i="3"/>
  <c r="AD6177" i="3"/>
  <c r="AB6177" i="3"/>
  <c r="AD6176" i="3"/>
  <c r="AB6176" i="3"/>
  <c r="AD6175" i="3"/>
  <c r="AB6175" i="3"/>
  <c r="AD6174" i="3"/>
  <c r="AB6174" i="3"/>
  <c r="AD6173" i="3"/>
  <c r="AB6173" i="3"/>
  <c r="AD6172" i="3"/>
  <c r="AB6172" i="3"/>
  <c r="AD6171" i="3"/>
  <c r="AB6171" i="3"/>
  <c r="AD6170" i="3"/>
  <c r="AB6170" i="3"/>
  <c r="AD6169" i="3"/>
  <c r="AB6169" i="3"/>
  <c r="AD6168" i="3"/>
  <c r="AB6168" i="3"/>
  <c r="AD6167" i="3"/>
  <c r="AB6167" i="3"/>
  <c r="AD6166" i="3"/>
  <c r="AB6166" i="3"/>
  <c r="AD6165" i="3"/>
  <c r="AB6165" i="3"/>
  <c r="AD6164" i="3"/>
  <c r="AB6164" i="3"/>
  <c r="AD6163" i="3"/>
  <c r="AB6163" i="3"/>
  <c r="AD6162" i="3"/>
  <c r="AB6162" i="3"/>
  <c r="AD6161" i="3"/>
  <c r="AB6161" i="3"/>
  <c r="AD6160" i="3"/>
  <c r="AB6160" i="3"/>
  <c r="AD6159" i="3"/>
  <c r="AB6159" i="3"/>
  <c r="AD6158" i="3"/>
  <c r="AB6158" i="3"/>
  <c r="AD6157" i="3"/>
  <c r="AB6157" i="3"/>
  <c r="AD6156" i="3"/>
  <c r="AB6156" i="3"/>
  <c r="AD6155" i="3"/>
  <c r="AB6155" i="3"/>
  <c r="AD6154" i="3"/>
  <c r="AB6154" i="3"/>
  <c r="AD6153" i="3"/>
  <c r="AB6153" i="3"/>
  <c r="AD6152" i="3"/>
  <c r="AB6152" i="3"/>
  <c r="AD6151" i="3"/>
  <c r="AB6151" i="3"/>
  <c r="AD6150" i="3"/>
  <c r="AB6150" i="3"/>
  <c r="AD6149" i="3"/>
  <c r="AB6149" i="3"/>
  <c r="AD6148" i="3"/>
  <c r="AB6148" i="3"/>
  <c r="AD6147" i="3"/>
  <c r="AB6147" i="3"/>
  <c r="AD6146" i="3"/>
  <c r="AB6146" i="3"/>
  <c r="AD6145" i="3"/>
  <c r="AB6145" i="3"/>
  <c r="AD6144" i="3"/>
  <c r="AB6144" i="3"/>
  <c r="AD6143" i="3"/>
  <c r="AB6143" i="3"/>
  <c r="AD6142" i="3"/>
  <c r="AB6142" i="3"/>
  <c r="AD6141" i="3"/>
  <c r="AB6141" i="3"/>
  <c r="AD6140" i="3"/>
  <c r="AB6140" i="3"/>
  <c r="AD6139" i="3"/>
  <c r="AB6139" i="3"/>
  <c r="AD6138" i="3"/>
  <c r="AB6138" i="3"/>
  <c r="AD6137" i="3"/>
  <c r="AB6137" i="3"/>
  <c r="AD6136" i="3"/>
  <c r="AB6136" i="3"/>
  <c r="AD6135" i="3"/>
  <c r="AB6135" i="3"/>
  <c r="AD6134" i="3"/>
  <c r="AB6134" i="3"/>
  <c r="AD6133" i="3"/>
  <c r="AB6133" i="3"/>
  <c r="AD6132" i="3"/>
  <c r="AB6132" i="3"/>
  <c r="AD6131" i="3"/>
  <c r="AB6131" i="3"/>
  <c r="AD6130" i="3"/>
  <c r="AB6130" i="3"/>
  <c r="AD6129" i="3"/>
  <c r="AB6129" i="3"/>
  <c r="AD6128" i="3"/>
  <c r="AB6128" i="3"/>
  <c r="AD6127" i="3"/>
  <c r="AB6127" i="3"/>
  <c r="AD6126" i="3"/>
  <c r="AB6126" i="3"/>
  <c r="AD6125" i="3"/>
  <c r="AB6125" i="3"/>
  <c r="AD6124" i="3"/>
  <c r="AB6124" i="3"/>
  <c r="AD6123" i="3"/>
  <c r="AB6123" i="3"/>
  <c r="AD6122" i="3"/>
  <c r="AB6122" i="3"/>
  <c r="AD6121" i="3"/>
  <c r="AB6121" i="3"/>
  <c r="AD6120" i="3"/>
  <c r="AB6120" i="3"/>
  <c r="AD6119" i="3"/>
  <c r="AB6119" i="3"/>
  <c r="AD6118" i="3"/>
  <c r="AB6118" i="3"/>
  <c r="AD6117" i="3"/>
  <c r="AB6117" i="3"/>
  <c r="AD6116" i="3"/>
  <c r="AB6116" i="3"/>
  <c r="AD6115" i="3"/>
  <c r="AB6115" i="3"/>
  <c r="AD6114" i="3"/>
  <c r="AB6114" i="3"/>
  <c r="AD6113" i="3"/>
  <c r="AB6113" i="3"/>
  <c r="AD6112" i="3"/>
  <c r="AB6112" i="3"/>
  <c r="AD6111" i="3"/>
  <c r="AB6111" i="3"/>
  <c r="AD6110" i="3"/>
  <c r="AB6110" i="3"/>
  <c r="AD6109" i="3"/>
  <c r="AB6109" i="3"/>
  <c r="AD6108" i="3"/>
  <c r="AB6108" i="3"/>
  <c r="AD6107" i="3"/>
  <c r="AB6107" i="3"/>
  <c r="AD6106" i="3"/>
  <c r="AB6106" i="3"/>
  <c r="AD6105" i="3"/>
  <c r="AB6105" i="3"/>
  <c r="AD6104" i="3"/>
  <c r="AB6104" i="3"/>
  <c r="AD6103" i="3"/>
  <c r="AB6103" i="3"/>
  <c r="AD6102" i="3"/>
  <c r="AB6102" i="3"/>
  <c r="AD6101" i="3"/>
  <c r="AB6101" i="3"/>
  <c r="AD6100" i="3"/>
  <c r="AB6100" i="3"/>
  <c r="AD6099" i="3"/>
  <c r="AB6099" i="3"/>
  <c r="AD6098" i="3"/>
  <c r="AB6098" i="3"/>
  <c r="V6405" i="3"/>
  <c r="AD6405" i="3" s="1"/>
  <c r="AB6097" i="3"/>
  <c r="AD6097" i="3"/>
  <c r="V5880" i="3" l="1"/>
  <c r="V2476" i="3"/>
  <c r="V6096" i="3"/>
  <c r="AD6096" i="3" s="1"/>
  <c r="AB6096" i="3"/>
  <c r="V5884" i="3"/>
  <c r="V6095" i="3"/>
  <c r="AD5888" i="3"/>
  <c r="AD5894" i="3"/>
  <c r="AD5928" i="3"/>
  <c r="AD5932" i="3"/>
  <c r="AD5940" i="3"/>
  <c r="AD5948" i="3"/>
  <c r="AD5952" i="3"/>
  <c r="AD5956" i="3"/>
  <c r="AD5964" i="3"/>
  <c r="AD5972" i="3"/>
  <c r="AD5980" i="3"/>
  <c r="AD5988" i="3"/>
  <c r="AD5992" i="3"/>
  <c r="AD5996" i="3"/>
  <c r="AD6004" i="3"/>
  <c r="AD6012" i="3"/>
  <c r="AD6016" i="3"/>
  <c r="AD6020" i="3"/>
  <c r="AD6028" i="3"/>
  <c r="AD6036" i="3"/>
  <c r="AD6044" i="3"/>
  <c r="AD6047" i="3"/>
  <c r="AD6048" i="3"/>
  <c r="AD6052" i="3"/>
  <c r="AD6056" i="3"/>
  <c r="AD6060" i="3"/>
  <c r="AD6064" i="3"/>
  <c r="AD6068" i="3"/>
  <c r="AD6072" i="3"/>
  <c r="AD6076" i="3"/>
  <c r="AD6080" i="3"/>
  <c r="AD6084" i="3"/>
  <c r="AD6088" i="3"/>
  <c r="AD6092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D5886" i="3"/>
  <c r="AD5887" i="3"/>
  <c r="AD5889" i="3"/>
  <c r="AD5890" i="3"/>
  <c r="AD5891" i="3"/>
  <c r="AD5892" i="3"/>
  <c r="AD5893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9" i="3"/>
  <c r="AD5930" i="3"/>
  <c r="AD5931" i="3"/>
  <c r="AD5933" i="3"/>
  <c r="AD5934" i="3"/>
  <c r="AD5935" i="3"/>
  <c r="AD5936" i="3"/>
  <c r="AD5937" i="3"/>
  <c r="AD5938" i="3"/>
  <c r="AD5939" i="3"/>
  <c r="AD5941" i="3"/>
  <c r="AD5942" i="3"/>
  <c r="AD5943" i="3"/>
  <c r="AD5944" i="3"/>
  <c r="AD5945" i="3"/>
  <c r="AD5946" i="3"/>
  <c r="AD5947" i="3"/>
  <c r="AD5949" i="3"/>
  <c r="AD5950" i="3"/>
  <c r="AD5951" i="3"/>
  <c r="AD5953" i="3"/>
  <c r="AD5954" i="3"/>
  <c r="AD5955" i="3"/>
  <c r="AD5957" i="3"/>
  <c r="AD5958" i="3"/>
  <c r="AD5959" i="3"/>
  <c r="AD5960" i="3"/>
  <c r="AD5961" i="3"/>
  <c r="AD5962" i="3"/>
  <c r="AD5963" i="3"/>
  <c r="AD5965" i="3"/>
  <c r="AD5966" i="3"/>
  <c r="AD5967" i="3"/>
  <c r="AD5968" i="3"/>
  <c r="AD5969" i="3"/>
  <c r="AD5970" i="3"/>
  <c r="AD5971" i="3"/>
  <c r="AD5973" i="3"/>
  <c r="AD5974" i="3"/>
  <c r="AD5975" i="3"/>
  <c r="AD5976" i="3"/>
  <c r="AD5977" i="3"/>
  <c r="AD5978" i="3"/>
  <c r="AD5979" i="3"/>
  <c r="AD5981" i="3"/>
  <c r="AD5982" i="3"/>
  <c r="AD5983" i="3"/>
  <c r="AD5984" i="3"/>
  <c r="AD5985" i="3"/>
  <c r="AD5986" i="3"/>
  <c r="AD5987" i="3"/>
  <c r="AD5989" i="3"/>
  <c r="AD5990" i="3"/>
  <c r="AD5991" i="3"/>
  <c r="AD5993" i="3"/>
  <c r="AD5994" i="3"/>
  <c r="AD5995" i="3"/>
  <c r="AD5997" i="3"/>
  <c r="AD5998" i="3"/>
  <c r="AD5999" i="3"/>
  <c r="AD6000" i="3"/>
  <c r="AD6001" i="3"/>
  <c r="AD6002" i="3"/>
  <c r="AD6003" i="3"/>
  <c r="AD6005" i="3"/>
  <c r="AD6006" i="3"/>
  <c r="AD6007" i="3"/>
  <c r="AD6008" i="3"/>
  <c r="AD6009" i="3"/>
  <c r="AD6010" i="3"/>
  <c r="AD6011" i="3"/>
  <c r="AD6013" i="3"/>
  <c r="AD6014" i="3"/>
  <c r="AD6015" i="3"/>
  <c r="AD6017" i="3"/>
  <c r="AD6018" i="3"/>
  <c r="AD6019" i="3"/>
  <c r="AD6021" i="3"/>
  <c r="AD6022" i="3"/>
  <c r="AD6023" i="3"/>
  <c r="AD6024" i="3"/>
  <c r="AD6025" i="3"/>
  <c r="AD6026" i="3"/>
  <c r="AD6027" i="3"/>
  <c r="AD6029" i="3"/>
  <c r="AD6030" i="3"/>
  <c r="AD6031" i="3"/>
  <c r="AD6032" i="3"/>
  <c r="AD6033" i="3"/>
  <c r="AD6034" i="3"/>
  <c r="AD6035" i="3"/>
  <c r="AD6037" i="3"/>
  <c r="AD6038" i="3"/>
  <c r="AD6039" i="3"/>
  <c r="AD6040" i="3"/>
  <c r="AD6041" i="3"/>
  <c r="AD6042" i="3"/>
  <c r="AD6043" i="3"/>
  <c r="AD6045" i="3"/>
  <c r="AD6046" i="3"/>
  <c r="AD6049" i="3"/>
  <c r="AD6050" i="3"/>
  <c r="AD6051" i="3"/>
  <c r="AD6053" i="3"/>
  <c r="AD6054" i="3"/>
  <c r="AD6055" i="3"/>
  <c r="AD6057" i="3"/>
  <c r="AD6058" i="3"/>
  <c r="AD6059" i="3"/>
  <c r="AD6061" i="3"/>
  <c r="AD6062" i="3"/>
  <c r="AD6063" i="3"/>
  <c r="AD6065" i="3"/>
  <c r="AD6066" i="3"/>
  <c r="AD6067" i="3"/>
  <c r="AD6069" i="3"/>
  <c r="AD6070" i="3"/>
  <c r="AD6071" i="3"/>
  <c r="AD6073" i="3"/>
  <c r="AD6074" i="3"/>
  <c r="AD6075" i="3"/>
  <c r="AD6077" i="3"/>
  <c r="AD6078" i="3"/>
  <c r="AD6079" i="3"/>
  <c r="AD6081" i="3"/>
  <c r="AD6082" i="3"/>
  <c r="AD6083" i="3"/>
  <c r="AD6085" i="3"/>
  <c r="AD6086" i="3"/>
  <c r="AD6087" i="3"/>
  <c r="AD6089" i="3"/>
  <c r="AD6090" i="3"/>
  <c r="AD6091" i="3"/>
  <c r="AD6093" i="3"/>
  <c r="AD6094" i="3"/>
  <c r="AB4922" i="3" l="1"/>
  <c r="AD4922" i="3"/>
  <c r="V5885" i="3" l="1"/>
  <c r="AB5885" i="3"/>
  <c r="R5883" i="3"/>
  <c r="V5883" i="3" s="1"/>
  <c r="AD5883" i="3" s="1"/>
  <c r="R5882" i="3"/>
  <c r="AB5882" i="3"/>
  <c r="AB5883" i="3"/>
  <c r="V5881" i="3"/>
  <c r="AB5881" i="3"/>
  <c r="AB5878" i="3"/>
  <c r="AB5879" i="3"/>
  <c r="AD5878" i="3"/>
  <c r="AD5879" i="3"/>
  <c r="AD5881" i="3" l="1"/>
  <c r="AD5885" i="3"/>
  <c r="V5882" i="3"/>
  <c r="AD5882" i="3" s="1"/>
  <c r="Q5790" i="3" l="1"/>
  <c r="AD5790" i="3" s="1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B2477" i="2" l="1"/>
  <c r="B2474" i="2"/>
  <c r="B2468" i="2"/>
  <c r="B2464" i="2"/>
  <c r="B2461" i="2"/>
  <c r="B2456" i="2"/>
  <c r="B2449" i="2"/>
  <c r="B2446" i="2"/>
  <c r="B2439" i="2"/>
  <c r="B2435" i="2"/>
  <c r="B2429" i="2"/>
  <c r="B2422" i="2"/>
  <c r="B2418" i="2"/>
  <c r="B2415" i="2"/>
  <c r="B2319" i="2"/>
  <c r="B2316" i="2"/>
  <c r="B2313" i="2"/>
  <c r="B2304" i="2"/>
  <c r="B2298" i="2"/>
  <c r="B2294" i="2"/>
  <c r="B2289" i="2"/>
  <c r="B2285" i="2"/>
  <c r="B2281" i="2"/>
  <c r="B2268" i="2"/>
  <c r="B2263" i="2"/>
  <c r="B2257" i="2"/>
  <c r="B2254" i="2"/>
  <c r="B2248" i="2"/>
  <c r="B2230" i="2"/>
  <c r="B2226" i="2"/>
  <c r="B2223" i="2"/>
  <c r="B2220" i="2"/>
  <c r="B2216" i="2"/>
  <c r="B2213" i="2"/>
  <c r="B2205" i="2"/>
  <c r="B2198" i="2"/>
  <c r="B2194" i="2"/>
  <c r="B2165" i="2"/>
  <c r="B2159" i="2"/>
  <c r="B2152" i="2"/>
  <c r="B2147" i="2"/>
  <c r="B2142" i="2"/>
  <c r="B2135" i="2"/>
  <c r="B2121" i="2"/>
  <c r="B2117" i="2"/>
  <c r="B2114" i="2"/>
  <c r="B2101" i="2"/>
  <c r="B2098" i="2"/>
  <c r="B2062" i="2"/>
  <c r="B2021" i="2"/>
  <c r="B1989" i="2"/>
  <c r="B1983" i="2"/>
  <c r="B1980" i="2"/>
  <c r="B1972" i="2"/>
  <c r="B1968" i="2"/>
  <c r="B1965" i="2"/>
  <c r="B1961" i="2"/>
  <c r="B1832" i="2"/>
  <c r="B1827" i="2"/>
  <c r="B1813" i="2"/>
  <c r="B1808" i="2"/>
  <c r="B1799" i="2"/>
  <c r="B1794" i="2"/>
  <c r="B1790" i="2"/>
  <c r="B1787" i="2"/>
  <c r="B1780" i="2"/>
  <c r="B1756" i="2"/>
  <c r="B1745" i="2"/>
  <c r="B1672" i="2"/>
  <c r="B1654" i="2"/>
  <c r="B1651" i="2"/>
  <c r="B1641" i="2"/>
  <c r="B1617" i="2"/>
  <c r="B1611" i="2"/>
  <c r="B1577" i="2"/>
  <c r="B1567" i="2"/>
  <c r="B1563" i="2"/>
  <c r="B1560" i="2"/>
  <c r="B1555" i="2"/>
  <c r="B1543" i="2"/>
  <c r="B1530" i="2"/>
  <c r="B1526" i="2"/>
  <c r="B1426" i="2"/>
  <c r="B1408" i="2"/>
  <c r="B1405" i="2"/>
  <c r="B1362" i="2"/>
  <c r="B1357" i="2"/>
  <c r="B1354" i="2"/>
  <c r="B1347" i="2"/>
  <c r="B1341" i="2"/>
  <c r="B1323" i="2"/>
  <c r="B1303" i="2"/>
  <c r="B1293" i="2"/>
  <c r="B1289" i="2"/>
  <c r="B1284" i="2"/>
  <c r="B1280" i="2"/>
  <c r="B1267" i="2"/>
  <c r="B1234" i="2"/>
  <c r="B1209" i="2"/>
  <c r="B1200" i="2"/>
  <c r="B1195" i="2"/>
  <c r="B1192" i="2"/>
  <c r="B1189" i="2"/>
  <c r="B1168" i="2"/>
  <c r="B1164" i="2"/>
  <c r="B1161" i="2"/>
  <c r="B1148" i="2"/>
  <c r="B1143" i="2"/>
  <c r="B1127" i="2"/>
  <c r="B1118" i="2"/>
  <c r="B1114" i="2"/>
  <c r="B1105" i="2"/>
  <c r="B1102" i="2"/>
  <c r="B1099" i="2"/>
  <c r="B1082" i="2"/>
  <c r="B1073" i="2"/>
  <c r="B1068" i="2"/>
  <c r="B1063" i="2"/>
  <c r="B1058" i="2"/>
  <c r="B1054" i="2"/>
  <c r="B1037" i="2"/>
  <c r="B1033" i="2"/>
  <c r="B1010" i="2"/>
  <c r="B1005" i="2"/>
  <c r="B1001" i="2"/>
  <c r="B998" i="2"/>
  <c r="B995" i="2"/>
  <c r="B990" i="2"/>
  <c r="B982" i="2"/>
  <c r="B973" i="2"/>
  <c r="B969" i="2"/>
  <c r="B956" i="2"/>
  <c r="B917" i="2"/>
  <c r="B912" i="2"/>
  <c r="B908" i="2"/>
  <c r="B891" i="2"/>
  <c r="B867" i="2"/>
  <c r="B862" i="2"/>
  <c r="B831" i="2"/>
  <c r="B827" i="2"/>
  <c r="B789" i="2"/>
  <c r="B784" i="2"/>
  <c r="B781" i="2"/>
  <c r="B776" i="2"/>
  <c r="B767" i="2"/>
  <c r="B763" i="2"/>
  <c r="B759" i="2"/>
  <c r="B746" i="2"/>
  <c r="B741" i="2"/>
  <c r="B736" i="2"/>
  <c r="B730" i="2"/>
  <c r="B721" i="2"/>
  <c r="B716" i="2"/>
  <c r="B712" i="2"/>
  <c r="B704" i="2"/>
  <c r="B701" i="2"/>
  <c r="B692" i="2"/>
  <c r="B660" i="2"/>
  <c r="B651" i="2"/>
  <c r="B642" i="2"/>
  <c r="B630" i="2"/>
  <c r="B624" i="2"/>
  <c r="B605" i="2"/>
  <c r="B594" i="2"/>
  <c r="B583" i="2"/>
  <c r="B575" i="2"/>
  <c r="B561" i="2"/>
  <c r="B556" i="2"/>
  <c r="B545" i="2"/>
  <c r="B535" i="2"/>
  <c r="B532" i="2"/>
  <c r="B529" i="2"/>
  <c r="B511" i="2"/>
  <c r="B499" i="2"/>
  <c r="B492" i="2"/>
  <c r="B481" i="2"/>
  <c r="B464" i="2"/>
  <c r="B455" i="2"/>
  <c r="B451" i="2"/>
  <c r="B448" i="2"/>
  <c r="B445" i="2"/>
  <c r="B438" i="2"/>
  <c r="B428" i="2"/>
  <c r="B425" i="2"/>
  <c r="B407" i="2"/>
  <c r="B389" i="2"/>
  <c r="B323" i="2"/>
  <c r="B300" i="2"/>
  <c r="B289" i="2"/>
  <c r="B281" i="2"/>
  <c r="B215" i="2"/>
  <c r="B156" i="2"/>
  <c r="B153" i="2"/>
  <c r="B145" i="2"/>
  <c r="B142" i="2"/>
  <c r="B134" i="2"/>
  <c r="B103" i="2"/>
  <c r="B92" i="2"/>
  <c r="B85" i="2"/>
  <c r="B79" i="2"/>
  <c r="B73" i="2"/>
  <c r="B66" i="2"/>
  <c r="B60" i="2"/>
  <c r="B53" i="2"/>
  <c r="B42" i="2"/>
  <c r="B39" i="2"/>
  <c r="R5418" i="3"/>
  <c r="V5418" i="3" s="1"/>
  <c r="Q5199" i="3"/>
  <c r="AD5199" i="3" s="1"/>
  <c r="Q5368" i="3"/>
  <c r="AD5368" i="3" s="1"/>
  <c r="AD5351" i="3"/>
  <c r="AD5359" i="3"/>
  <c r="AD5367" i="3"/>
  <c r="AD5375" i="3"/>
  <c r="AD5382" i="3"/>
  <c r="AD5383" i="3"/>
  <c r="AD5392" i="3"/>
  <c r="AD5399" i="3"/>
  <c r="AD5400" i="3"/>
  <c r="AD5407" i="3"/>
  <c r="AD5408" i="3"/>
  <c r="AD5415" i="3"/>
  <c r="AD5416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2" i="3"/>
  <c r="AD5353" i="3"/>
  <c r="AD5354" i="3"/>
  <c r="AD5355" i="3"/>
  <c r="AD5356" i="3"/>
  <c r="AD5357" i="3"/>
  <c r="AD5358" i="3"/>
  <c r="AD5360" i="3"/>
  <c r="AD5361" i="3"/>
  <c r="AD5362" i="3"/>
  <c r="AD5363" i="3"/>
  <c r="AD5364" i="3"/>
  <c r="AD5365" i="3"/>
  <c r="AD5366" i="3"/>
  <c r="AD5369" i="3"/>
  <c r="AD5370" i="3"/>
  <c r="AD5371" i="3"/>
  <c r="AD5372" i="3"/>
  <c r="AD5373" i="3"/>
  <c r="AD5374" i="3"/>
  <c r="AD5376" i="3"/>
  <c r="AD5377" i="3"/>
  <c r="AD5378" i="3"/>
  <c r="AD5379" i="3"/>
  <c r="AD5380" i="3"/>
  <c r="AD5381" i="3"/>
  <c r="AD5384" i="3"/>
  <c r="AD5385" i="3"/>
  <c r="AD5386" i="3"/>
  <c r="AD5387" i="3"/>
  <c r="AD5388" i="3"/>
  <c r="AD5389" i="3"/>
  <c r="AD5390" i="3"/>
  <c r="AD5391" i="3"/>
  <c r="AD5393" i="3"/>
  <c r="AD5394" i="3"/>
  <c r="AD5395" i="3"/>
  <c r="AD5396" i="3"/>
  <c r="AD5397" i="3"/>
  <c r="AD5398" i="3"/>
  <c r="AD5401" i="3"/>
  <c r="AD5402" i="3"/>
  <c r="AD5403" i="3"/>
  <c r="AD5404" i="3"/>
  <c r="AD5405" i="3"/>
  <c r="AD5406" i="3"/>
  <c r="AD5409" i="3"/>
  <c r="AD5410" i="3"/>
  <c r="AD5411" i="3"/>
  <c r="AD5412" i="3"/>
  <c r="AD5413" i="3"/>
  <c r="AD5414" i="3"/>
  <c r="AD4402" i="3"/>
  <c r="AB4402" i="3"/>
  <c r="V4899" i="3" l="1"/>
  <c r="AB4897" i="3"/>
  <c r="AB4898" i="3"/>
  <c r="AD4897" i="3"/>
  <c r="AD4898" i="3"/>
  <c r="AD4896" i="3"/>
  <c r="AB4896" i="3"/>
  <c r="V4895" i="3" l="1"/>
  <c r="Q4687" i="3"/>
  <c r="Q4686" i="3"/>
  <c r="AD4686" i="3" s="1"/>
  <c r="Q4568" i="3"/>
  <c r="AD4568" i="3" s="1"/>
  <c r="V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538" i="3"/>
  <c r="AD4539" i="3"/>
  <c r="AD4545" i="3"/>
  <c r="AD4546" i="3"/>
  <c r="AD4547" i="3"/>
  <c r="AD4553" i="3"/>
  <c r="AD4554" i="3"/>
  <c r="AD4559" i="3"/>
  <c r="AD4562" i="3"/>
  <c r="AD4563" i="3"/>
  <c r="AD4567" i="3"/>
  <c r="AD4569" i="3"/>
  <c r="AD4570" i="3"/>
  <c r="AD4571" i="3"/>
  <c r="AD4575" i="3"/>
  <c r="AD4578" i="3"/>
  <c r="AD4579" i="3"/>
  <c r="AD4583" i="3"/>
  <c r="AD4585" i="3"/>
  <c r="AD4586" i="3"/>
  <c r="AD4587" i="3"/>
  <c r="AD4591" i="3"/>
  <c r="AD4593" i="3"/>
  <c r="AD4594" i="3"/>
  <c r="AD4595" i="3"/>
  <c r="AD4601" i="3"/>
  <c r="AD4602" i="3"/>
  <c r="AD4603" i="3"/>
  <c r="AD4609" i="3"/>
  <c r="AD4610" i="3"/>
  <c r="AD4611" i="3"/>
  <c r="AD4618" i="3"/>
  <c r="AD4619" i="3"/>
  <c r="AD4626" i="3"/>
  <c r="AD4627" i="3"/>
  <c r="AD4631" i="3"/>
  <c r="AD4633" i="3"/>
  <c r="AD4634" i="3"/>
  <c r="AD4635" i="3"/>
  <c r="AD4639" i="3"/>
  <c r="AD4642" i="3"/>
  <c r="AD4643" i="3"/>
  <c r="AD4645" i="3"/>
  <c r="AD4647" i="3"/>
  <c r="AD4650" i="3"/>
  <c r="AD4651" i="3"/>
  <c r="AD4653" i="3"/>
  <c r="AD4656" i="3"/>
  <c r="AD4657" i="3"/>
  <c r="AD4658" i="3"/>
  <c r="AD4659" i="3"/>
  <c r="AD4660" i="3"/>
  <c r="AD4661" i="3"/>
  <c r="AD4663" i="3"/>
  <c r="AD4666" i="3"/>
  <c r="AD4669" i="3"/>
  <c r="AD4671" i="3"/>
  <c r="AD4673" i="3"/>
  <c r="AD4674" i="3"/>
  <c r="AD4675" i="3"/>
  <c r="AD4676" i="3"/>
  <c r="AD4677" i="3"/>
  <c r="AD4680" i="3"/>
  <c r="AD4681" i="3"/>
  <c r="AD4682" i="3"/>
  <c r="AD4684" i="3"/>
  <c r="AD4685" i="3"/>
  <c r="AD4689" i="3"/>
  <c r="AD4690" i="3"/>
  <c r="AD4691" i="3"/>
  <c r="AD4692" i="3"/>
  <c r="AD4693" i="3"/>
  <c r="AD4695" i="3"/>
  <c r="AD4697" i="3"/>
  <c r="AD4698" i="3"/>
  <c r="AD4700" i="3"/>
  <c r="AD4701" i="3"/>
  <c r="AD4705" i="3"/>
  <c r="AD4706" i="3"/>
  <c r="AD4707" i="3"/>
  <c r="AD4708" i="3"/>
  <c r="AD4709" i="3"/>
  <c r="AD4711" i="3"/>
  <c r="AD4714" i="3"/>
  <c r="AD4715" i="3"/>
  <c r="AD4716" i="3"/>
  <c r="AD4717" i="3"/>
  <c r="AD4719" i="3"/>
  <c r="AD4720" i="3"/>
  <c r="AD4721" i="3"/>
  <c r="AD4722" i="3"/>
  <c r="AD4723" i="3"/>
  <c r="AD4724" i="3"/>
  <c r="AD4725" i="3"/>
  <c r="AD4729" i="3"/>
  <c r="AD4730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3" i="3"/>
  <c r="AD4754" i="3"/>
  <c r="AD4755" i="3"/>
  <c r="AD4756" i="3"/>
  <c r="AD4757" i="3"/>
  <c r="AD4758" i="3"/>
  <c r="AD4759" i="3"/>
  <c r="AD4761" i="3"/>
  <c r="AD4762" i="3"/>
  <c r="AD4764" i="3"/>
  <c r="AD4765" i="3"/>
  <c r="AD4766" i="3"/>
  <c r="AD4768" i="3"/>
  <c r="AD4769" i="3"/>
  <c r="AD4770" i="3"/>
  <c r="AD4771" i="3"/>
  <c r="AD4772" i="3"/>
  <c r="AD4773" i="3"/>
  <c r="AD4774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40" i="3"/>
  <c r="AD4541" i="3"/>
  <c r="AD4542" i="3"/>
  <c r="AD4543" i="3"/>
  <c r="AD4544" i="3"/>
  <c r="AD4548" i="3"/>
  <c r="AD4549" i="3"/>
  <c r="AD4550" i="3"/>
  <c r="AD4551" i="3"/>
  <c r="AD4552" i="3"/>
  <c r="AD4555" i="3"/>
  <c r="AD4556" i="3"/>
  <c r="AD4557" i="3"/>
  <c r="AD4558" i="3"/>
  <c r="AD4560" i="3"/>
  <c r="AD4561" i="3"/>
  <c r="AD4564" i="3"/>
  <c r="AD4565" i="3"/>
  <c r="AD4566" i="3"/>
  <c r="AD4572" i="3"/>
  <c r="AD4573" i="3"/>
  <c r="AD4574" i="3"/>
  <c r="AD4576" i="3"/>
  <c r="AD4577" i="3"/>
  <c r="AD4580" i="3"/>
  <c r="AD4581" i="3"/>
  <c r="AD4582" i="3"/>
  <c r="AD4584" i="3"/>
  <c r="AD4588" i="3"/>
  <c r="AD4589" i="3"/>
  <c r="AD4590" i="3"/>
  <c r="AD4592" i="3"/>
  <c r="AD4596" i="3"/>
  <c r="AD4597" i="3"/>
  <c r="AD4598" i="3"/>
  <c r="AD4599" i="3"/>
  <c r="AD4600" i="3"/>
  <c r="AD4604" i="3"/>
  <c r="AD4605" i="3"/>
  <c r="AD4606" i="3"/>
  <c r="AD4607" i="3"/>
  <c r="AD4608" i="3"/>
  <c r="AD4612" i="3"/>
  <c r="AD4613" i="3"/>
  <c r="AD4614" i="3"/>
  <c r="AD4615" i="3"/>
  <c r="AD4616" i="3"/>
  <c r="AD4617" i="3"/>
  <c r="AD4620" i="3"/>
  <c r="AD4621" i="3"/>
  <c r="AD4622" i="3"/>
  <c r="AD4623" i="3"/>
  <c r="AD4624" i="3"/>
  <c r="AD4625" i="3"/>
  <c r="AD4628" i="3"/>
  <c r="AD4629" i="3"/>
  <c r="AD4630" i="3"/>
  <c r="AD4632" i="3"/>
  <c r="AD4636" i="3"/>
  <c r="AD4637" i="3"/>
  <c r="AD4638" i="3"/>
  <c r="AD4640" i="3"/>
  <c r="AD4641" i="3"/>
  <c r="AD4644" i="3"/>
  <c r="AD4646" i="3"/>
  <c r="AD4648" i="3"/>
  <c r="AD4649" i="3"/>
  <c r="AD4652" i="3"/>
  <c r="AD4654" i="3"/>
  <c r="AD4655" i="3"/>
  <c r="AD4662" i="3"/>
  <c r="AD4664" i="3"/>
  <c r="AD4665" i="3"/>
  <c r="AD4667" i="3"/>
  <c r="AD4668" i="3"/>
  <c r="AD4670" i="3"/>
  <c r="AD4672" i="3"/>
  <c r="AD4678" i="3"/>
  <c r="AD4679" i="3"/>
  <c r="AD4683" i="3"/>
  <c r="AD4687" i="3"/>
  <c r="AD4688" i="3"/>
  <c r="AD4694" i="3"/>
  <c r="AD4696" i="3"/>
  <c r="AD4699" i="3"/>
  <c r="AD4702" i="3"/>
  <c r="AD4703" i="3"/>
  <c r="AD4704" i="3"/>
  <c r="AD4710" i="3"/>
  <c r="AD4712" i="3"/>
  <c r="AD4713" i="3"/>
  <c r="AD4718" i="3"/>
  <c r="AD4726" i="3"/>
  <c r="AD4727" i="3"/>
  <c r="AD4728" i="3"/>
  <c r="AD4731" i="3"/>
  <c r="AD4751" i="3"/>
  <c r="AD4752" i="3"/>
  <c r="AD4760" i="3"/>
  <c r="AD4763" i="3"/>
  <c r="AD4767" i="3"/>
  <c r="R4112" i="3" l="1"/>
  <c r="AB4112" i="3"/>
  <c r="V3499" i="3"/>
  <c r="V3498" i="3"/>
  <c r="V3497" i="3"/>
  <c r="V4111" i="3"/>
  <c r="Q3968" i="3"/>
  <c r="AD3968" i="3" s="1"/>
  <c r="Q4109" i="3"/>
  <c r="AD4109" i="3" s="1"/>
  <c r="Q4108" i="3"/>
  <c r="AD4108" i="3" s="1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10" i="3"/>
  <c r="V4112" i="3" l="1"/>
  <c r="AD4112" i="3" s="1"/>
  <c r="Y2020" i="2"/>
  <c r="O2020" i="2"/>
  <c r="J2020" i="2"/>
  <c r="L2020" i="2" s="1"/>
  <c r="B2020" i="2"/>
  <c r="N2020" i="2" l="1"/>
  <c r="V3470" i="3"/>
  <c r="AB3474" i="3"/>
  <c r="AD3473" i="3"/>
  <c r="AB3473" i="3"/>
  <c r="AD3472" i="3"/>
  <c r="AB3472" i="3"/>
  <c r="V3471" i="3"/>
  <c r="AD3471" i="3" s="1"/>
  <c r="AB3471" i="3"/>
  <c r="Q3419" i="3"/>
  <c r="AD3419" i="3" s="1"/>
  <c r="Q3291" i="3"/>
  <c r="Q3279" i="3"/>
  <c r="AD3279" i="3" s="1"/>
  <c r="Q3251" i="3"/>
  <c r="AD3251" i="3" s="1"/>
  <c r="Q3170" i="3"/>
  <c r="AD3170" i="3" s="1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R3118" i="3"/>
  <c r="R3117" i="3"/>
  <c r="U3116" i="3"/>
  <c r="T3116" i="3"/>
  <c r="R3116" i="3"/>
  <c r="AD3115" i="3"/>
  <c r="AD3114" i="3"/>
  <c r="V3113" i="3"/>
  <c r="AD3113" i="3" s="1"/>
  <c r="V3112" i="3"/>
  <c r="AD3112" i="3" s="1"/>
  <c r="V3111" i="3"/>
  <c r="AD3111" i="3" s="1"/>
  <c r="V3110" i="3"/>
  <c r="AD3110" i="3" s="1"/>
  <c r="V3109" i="3"/>
  <c r="AD3109" i="3" s="1"/>
  <c r="V3108" i="3"/>
  <c r="AD3108" i="3" s="1"/>
  <c r="V3107" i="3"/>
  <c r="AD3107" i="3" s="1"/>
  <c r="V3106" i="3"/>
  <c r="AD3106" i="3" s="1"/>
  <c r="V3105" i="3"/>
  <c r="AD3105" i="3" s="1"/>
  <c r="V3104" i="3"/>
  <c r="AD3104" i="3" s="1"/>
  <c r="V3103" i="3"/>
  <c r="AD3103" i="3" s="1"/>
  <c r="V3102" i="3"/>
  <c r="AD3102" i="3" s="1"/>
  <c r="V3101" i="3"/>
  <c r="AD3101" i="3" s="1"/>
  <c r="V3100" i="3"/>
  <c r="AD3100" i="3" s="1"/>
  <c r="V3099" i="3"/>
  <c r="AD3099" i="3" s="1"/>
  <c r="V3098" i="3"/>
  <c r="AD3098" i="3" s="1"/>
  <c r="V3097" i="3"/>
  <c r="AD3097" i="3" s="1"/>
  <c r="V3096" i="3"/>
  <c r="AD3096" i="3" s="1"/>
  <c r="V3095" i="3"/>
  <c r="AD3095" i="3" s="1"/>
  <c r="V3094" i="3"/>
  <c r="AD3094" i="3" s="1"/>
  <c r="V3093" i="3"/>
  <c r="AD3093" i="3" s="1"/>
  <c r="V3092" i="3"/>
  <c r="AD3092" i="3" s="1"/>
  <c r="V3091" i="3"/>
  <c r="AD3091" i="3" s="1"/>
  <c r="V3090" i="3"/>
  <c r="AD3090" i="3" s="1"/>
  <c r="V3089" i="3"/>
  <c r="AD3089" i="3" s="1"/>
  <c r="V3088" i="3"/>
  <c r="AD3088" i="3" s="1"/>
  <c r="V3087" i="3"/>
  <c r="AD3087" i="3" s="1"/>
  <c r="V3086" i="3"/>
  <c r="AD3086" i="3" s="1"/>
  <c r="V3085" i="3"/>
  <c r="AD3085" i="3" s="1"/>
  <c r="V3084" i="3"/>
  <c r="AD3084" i="3" s="1"/>
  <c r="V3083" i="3"/>
  <c r="AD3083" i="3" s="1"/>
  <c r="V3082" i="3"/>
  <c r="AD3082" i="3" s="1"/>
  <c r="V3081" i="3"/>
  <c r="AD3081" i="3" s="1"/>
  <c r="V3080" i="3"/>
  <c r="AD3080" i="3" s="1"/>
  <c r="V3079" i="3"/>
  <c r="AD3079" i="3" s="1"/>
  <c r="V3078" i="3"/>
  <c r="AD3078" i="3" s="1"/>
  <c r="V3077" i="3"/>
  <c r="AD3077" i="3" s="1"/>
  <c r="V3076" i="3"/>
  <c r="AD3076" i="3" s="1"/>
  <c r="V3075" i="3"/>
  <c r="AD3075" i="3" s="1"/>
  <c r="V3074" i="3"/>
  <c r="AD3074" i="3" s="1"/>
  <c r="V3073" i="3"/>
  <c r="AD3073" i="3" s="1"/>
  <c r="U3072" i="3"/>
  <c r="T3072" i="3"/>
  <c r="R3072" i="3"/>
  <c r="U3071" i="3"/>
  <c r="T3071" i="3"/>
  <c r="R3071" i="3"/>
  <c r="U3070" i="3"/>
  <c r="T3070" i="3"/>
  <c r="R3070" i="3"/>
  <c r="U3069" i="3"/>
  <c r="T3069" i="3"/>
  <c r="R3069" i="3"/>
  <c r="U3068" i="3"/>
  <c r="T3068" i="3"/>
  <c r="R3068" i="3"/>
  <c r="AD3067" i="3"/>
  <c r="R3066" i="3"/>
  <c r="R3065" i="3"/>
  <c r="V3064" i="3"/>
  <c r="AD3064" i="3" s="1"/>
  <c r="V3063" i="3"/>
  <c r="AD3063" i="3" s="1"/>
  <c r="V3062" i="3"/>
  <c r="AD3062" i="3" s="1"/>
  <c r="V3061" i="3"/>
  <c r="AD3061" i="3" s="1"/>
  <c r="V3060" i="3"/>
  <c r="AD3060" i="3" s="1"/>
  <c r="V3059" i="3"/>
  <c r="AD3059" i="3" s="1"/>
  <c r="V3058" i="3"/>
  <c r="AD3058" i="3" s="1"/>
  <c r="V3057" i="3"/>
  <c r="AD3057" i="3" s="1"/>
  <c r="V3056" i="3"/>
  <c r="AD3056" i="3" s="1"/>
  <c r="V3055" i="3"/>
  <c r="AD3055" i="3" s="1"/>
  <c r="U3036" i="3"/>
  <c r="T3036" i="3"/>
  <c r="R3036" i="3"/>
  <c r="U3034" i="3"/>
  <c r="T3034" i="3"/>
  <c r="R3034" i="3"/>
  <c r="U3030" i="3"/>
  <c r="T3030" i="3"/>
  <c r="R3030" i="3"/>
  <c r="U3029" i="3"/>
  <c r="T3029" i="3"/>
  <c r="R3029" i="3"/>
  <c r="U3028" i="3"/>
  <c r="T3028" i="3"/>
  <c r="R3028" i="3"/>
  <c r="U3027" i="3"/>
  <c r="T3027" i="3"/>
  <c r="R3027" i="3"/>
  <c r="U2968" i="3"/>
  <c r="T2968" i="3"/>
  <c r="R2968" i="3"/>
  <c r="U2967" i="3"/>
  <c r="T2967" i="3"/>
  <c r="R2967" i="3"/>
  <c r="U2961" i="3"/>
  <c r="T2961" i="3"/>
  <c r="R2961" i="3"/>
  <c r="U2960" i="3"/>
  <c r="T2960" i="3"/>
  <c r="R2960" i="3"/>
  <c r="V2790" i="3"/>
  <c r="AD2790" i="3" s="1"/>
  <c r="V2789" i="3"/>
  <c r="AD2789" i="3" s="1"/>
  <c r="V2788" i="3"/>
  <c r="AD2788" i="3" s="1"/>
  <c r="V2787" i="3"/>
  <c r="AD2787" i="3" s="1"/>
  <c r="V2786" i="3"/>
  <c r="AD2786" i="3" s="1"/>
  <c r="V2785" i="3"/>
  <c r="AD2785" i="3" s="1"/>
  <c r="V2784" i="3"/>
  <c r="AD2784" i="3" s="1"/>
  <c r="V2783" i="3"/>
  <c r="AD2783" i="3" s="1"/>
  <c r="V2782" i="3"/>
  <c r="AD2782" i="3" s="1"/>
  <c r="V2781" i="3"/>
  <c r="AD2781" i="3" s="1"/>
  <c r="V2780" i="3"/>
  <c r="AD2780" i="3" s="1"/>
  <c r="V2779" i="3"/>
  <c r="AD2779" i="3" s="1"/>
  <c r="V2778" i="3"/>
  <c r="AD2778" i="3" s="1"/>
  <c r="V2777" i="3"/>
  <c r="AD2777" i="3" s="1"/>
  <c r="V2776" i="3"/>
  <c r="AD2776" i="3" s="1"/>
  <c r="V2775" i="3"/>
  <c r="AD2775" i="3" s="1"/>
  <c r="V2774" i="3"/>
  <c r="AD2774" i="3" s="1"/>
  <c r="V2773" i="3"/>
  <c r="AD2773" i="3" s="1"/>
  <c r="V2772" i="3"/>
  <c r="AD2772" i="3" s="1"/>
  <c r="V2771" i="3"/>
  <c r="AD2771" i="3" s="1"/>
  <c r="V2770" i="3"/>
  <c r="AD2770" i="3" s="1"/>
  <c r="V2769" i="3"/>
  <c r="AD2769" i="3" s="1"/>
  <c r="V2768" i="3"/>
  <c r="AD2768" i="3" s="1"/>
  <c r="V2767" i="3"/>
  <c r="AD2767" i="3" s="1"/>
  <c r="V2766" i="3"/>
  <c r="AD2766" i="3" s="1"/>
  <c r="V2765" i="3"/>
  <c r="AD2765" i="3" s="1"/>
  <c r="V2764" i="3"/>
  <c r="AD2764" i="3" s="1"/>
  <c r="V2763" i="3"/>
  <c r="AD2763" i="3" s="1"/>
  <c r="V2762" i="3"/>
  <c r="AD2762" i="3" s="1"/>
  <c r="V2761" i="3"/>
  <c r="AD2761" i="3" s="1"/>
  <c r="V2760" i="3"/>
  <c r="AD2760" i="3" s="1"/>
  <c r="V2759" i="3"/>
  <c r="AD2759" i="3" s="1"/>
  <c r="V2758" i="3"/>
  <c r="AD2758" i="3" s="1"/>
  <c r="V2757" i="3"/>
  <c r="AD2757" i="3" s="1"/>
  <c r="V2756" i="3"/>
  <c r="AD2756" i="3" s="1"/>
  <c r="V2755" i="3"/>
  <c r="AD2755" i="3" s="1"/>
  <c r="V2754" i="3"/>
  <c r="AD2754" i="3" s="1"/>
  <c r="V2753" i="3"/>
  <c r="AD2753" i="3" s="1"/>
  <c r="V2752" i="3"/>
  <c r="AD2752" i="3" s="1"/>
  <c r="V2751" i="3"/>
  <c r="AD2751" i="3" s="1"/>
  <c r="V2750" i="3"/>
  <c r="AD2750" i="3" s="1"/>
  <c r="V2749" i="3"/>
  <c r="AD2749" i="3" s="1"/>
  <c r="V2748" i="3"/>
  <c r="AD2748" i="3" s="1"/>
  <c r="V2257" i="3"/>
  <c r="AD2257" i="3" s="1"/>
  <c r="V2256" i="3"/>
  <c r="AD2256" i="3" s="1"/>
  <c r="V2255" i="3"/>
  <c r="AD2255" i="3" s="1"/>
  <c r="V2254" i="3"/>
  <c r="AD2254" i="3" s="1"/>
  <c r="V2253" i="3"/>
  <c r="AD2253" i="3" s="1"/>
  <c r="V2252" i="3"/>
  <c r="AD2252" i="3" s="1"/>
  <c r="V2251" i="3"/>
  <c r="AD2251" i="3" s="1"/>
  <c r="V2250" i="3"/>
  <c r="AD2250" i="3" s="1"/>
  <c r="V2249" i="3"/>
  <c r="AD2249" i="3" s="1"/>
  <c r="V2248" i="3"/>
  <c r="AD2248" i="3" s="1"/>
  <c r="V2247" i="3"/>
  <c r="AD2247" i="3" s="1"/>
  <c r="V2246" i="3"/>
  <c r="AD2246" i="3" s="1"/>
  <c r="V2245" i="3"/>
  <c r="AD2245" i="3" s="1"/>
  <c r="V2244" i="3"/>
  <c r="AD2244" i="3" s="1"/>
  <c r="V2243" i="3"/>
  <c r="AD2243" i="3" s="1"/>
  <c r="V2242" i="3"/>
  <c r="AD2242" i="3" s="1"/>
  <c r="V2241" i="3"/>
  <c r="AD2241" i="3" s="1"/>
  <c r="V2240" i="3"/>
  <c r="AD2240" i="3" s="1"/>
  <c r="V2239" i="3"/>
  <c r="AD2239" i="3" s="1"/>
  <c r="V2238" i="3"/>
  <c r="AD2238" i="3" s="1"/>
  <c r="V2237" i="3"/>
  <c r="AD2237" i="3" s="1"/>
  <c r="V2236" i="3"/>
  <c r="AD2236" i="3" s="1"/>
  <c r="V2235" i="3"/>
  <c r="AD2235" i="3" s="1"/>
  <c r="V2234" i="3"/>
  <c r="AD2234" i="3" s="1"/>
  <c r="V2233" i="3"/>
  <c r="AD2233" i="3" s="1"/>
  <c r="V2232" i="3"/>
  <c r="AD2232" i="3" s="1"/>
  <c r="V2231" i="3"/>
  <c r="AD2231" i="3" s="1"/>
  <c r="V2230" i="3"/>
  <c r="AD2230" i="3" s="1"/>
  <c r="V2229" i="3"/>
  <c r="AD2229" i="3" s="1"/>
  <c r="V2228" i="3"/>
  <c r="AD2228" i="3" s="1"/>
  <c r="V2227" i="3"/>
  <c r="AD2227" i="3" s="1"/>
  <c r="V2226" i="3"/>
  <c r="AD2226" i="3" s="1"/>
  <c r="V2225" i="3"/>
  <c r="AD2225" i="3" s="1"/>
  <c r="V2224" i="3"/>
  <c r="AD2224" i="3" s="1"/>
  <c r="V2223" i="3"/>
  <c r="AD2223" i="3" s="1"/>
  <c r="V2222" i="3"/>
  <c r="AD2222" i="3" s="1"/>
  <c r="V2221" i="3"/>
  <c r="AD2221" i="3" s="1"/>
  <c r="T2020" i="2" l="1"/>
  <c r="P2020" i="2"/>
  <c r="AD3470" i="3"/>
  <c r="V3032" i="3"/>
  <c r="V3026" i="3"/>
  <c r="AD3026" i="3" s="1"/>
  <c r="V3047" i="3"/>
  <c r="AD3047" i="3" s="1"/>
  <c r="V3117" i="3"/>
  <c r="V3050" i="3"/>
  <c r="AD3050" i="3" s="1"/>
  <c r="V3065" i="3"/>
  <c r="V3071" i="3"/>
  <c r="AD3071" i="3" s="1"/>
  <c r="V3118" i="3"/>
  <c r="V3066" i="3"/>
  <c r="V3072" i="3"/>
  <c r="AD3072" i="3" s="1"/>
  <c r="V2981" i="3"/>
  <c r="AD2981" i="3" s="1"/>
  <c r="V2982" i="3"/>
  <c r="AD2982" i="3" s="1"/>
  <c r="V2983" i="3"/>
  <c r="AD2983" i="3" s="1"/>
  <c r="V2984" i="3"/>
  <c r="AD2984" i="3" s="1"/>
  <c r="V2985" i="3"/>
  <c r="AD2985" i="3" s="1"/>
  <c r="V2986" i="3"/>
  <c r="AD2986" i="3" s="1"/>
  <c r="V2988" i="3"/>
  <c r="V3003" i="3"/>
  <c r="AD3003" i="3" s="1"/>
  <c r="V3017" i="3"/>
  <c r="AD3017" i="3" s="1"/>
  <c r="V3019" i="3"/>
  <c r="AD3019" i="3" s="1"/>
  <c r="V3009" i="3"/>
  <c r="AD3009" i="3" s="1"/>
  <c r="V2978" i="3"/>
  <c r="V2993" i="3"/>
  <c r="AD2993" i="3" s="1"/>
  <c r="V2998" i="3"/>
  <c r="AD2998" i="3" s="1"/>
  <c r="V3011" i="3"/>
  <c r="AD3011" i="3" s="1"/>
  <c r="V3012" i="3"/>
  <c r="AD3012" i="3" s="1"/>
  <c r="V3014" i="3"/>
  <c r="AD3014" i="3" s="1"/>
  <c r="V3020" i="3"/>
  <c r="AD3020" i="3" s="1"/>
  <c r="V2975" i="3"/>
  <c r="V3038" i="3"/>
  <c r="V3043" i="3"/>
  <c r="V3070" i="3"/>
  <c r="AD3070" i="3" s="1"/>
  <c r="V2995" i="3"/>
  <c r="AD2995" i="3" s="1"/>
  <c r="V2963" i="3"/>
  <c r="V2977" i="3"/>
  <c r="V3021" i="3"/>
  <c r="AD3021" i="3" s="1"/>
  <c r="V3023" i="3"/>
  <c r="AD3023" i="3" s="1"/>
  <c r="V3024" i="3"/>
  <c r="AD3024" i="3" s="1"/>
  <c r="V2992" i="3"/>
  <c r="AD2992" i="3" s="1"/>
  <c r="V3001" i="3"/>
  <c r="AD3001" i="3" s="1"/>
  <c r="V3002" i="3"/>
  <c r="AD3002" i="3" s="1"/>
  <c r="V2967" i="3"/>
  <c r="V3004" i="3"/>
  <c r="AD3004" i="3" s="1"/>
  <c r="V3005" i="3"/>
  <c r="AD3005" i="3" s="1"/>
  <c r="V3006" i="3"/>
  <c r="AD3006" i="3" s="1"/>
  <c r="V3007" i="3"/>
  <c r="AD3007" i="3" s="1"/>
  <c r="V3008" i="3"/>
  <c r="AD3008" i="3" s="1"/>
  <c r="V2980" i="3"/>
  <c r="AD2980" i="3" s="1"/>
  <c r="V2991" i="3"/>
  <c r="AD2991" i="3" s="1"/>
  <c r="V2969" i="3"/>
  <c r="V2962" i="3"/>
  <c r="V3116" i="3"/>
  <c r="V2964" i="3"/>
  <c r="V2996" i="3"/>
  <c r="AD2996" i="3" s="1"/>
  <c r="V2989" i="3"/>
  <c r="AD2989" i="3" s="1"/>
  <c r="V2990" i="3"/>
  <c r="AD2990" i="3" s="1"/>
  <c r="V3018" i="3"/>
  <c r="AD3018" i="3" s="1"/>
  <c r="V3033" i="3"/>
  <c r="V3036" i="3"/>
  <c r="V3046" i="3"/>
  <c r="AD3046" i="3" s="1"/>
  <c r="V3022" i="3"/>
  <c r="AD3022" i="3" s="1"/>
  <c r="V3030" i="3"/>
  <c r="AD3030" i="3" s="1"/>
  <c r="V2968" i="3"/>
  <c r="AD2968" i="3" s="1"/>
  <c r="V2976" i="3"/>
  <c r="V2987" i="3"/>
  <c r="AD2987" i="3" s="1"/>
  <c r="V2973" i="3"/>
  <c r="V2974" i="3"/>
  <c r="V2960" i="3"/>
  <c r="V2961" i="3"/>
  <c r="AD2961" i="3" s="1"/>
  <c r="V2965" i="3"/>
  <c r="V2966" i="3"/>
  <c r="V2970" i="3"/>
  <c r="AD2970" i="3" s="1"/>
  <c r="V2971" i="3"/>
  <c r="AD2971" i="3" s="1"/>
  <c r="V2972" i="3"/>
  <c r="V2979" i="3"/>
  <c r="AD2979" i="3" s="1"/>
  <c r="V2994" i="3"/>
  <c r="AD2994" i="3" s="1"/>
  <c r="V3010" i="3"/>
  <c r="AD3010" i="3" s="1"/>
  <c r="V3025" i="3"/>
  <c r="AD3025" i="3" s="1"/>
  <c r="V3034" i="3"/>
  <c r="V3041" i="3"/>
  <c r="V3051" i="3"/>
  <c r="AD3051" i="3" s="1"/>
  <c r="V3027" i="3"/>
  <c r="V3035" i="3"/>
  <c r="V3044" i="3"/>
  <c r="V3048" i="3"/>
  <c r="AD3048" i="3" s="1"/>
  <c r="V2997" i="3"/>
  <c r="AD2997" i="3" s="1"/>
  <c r="V3013" i="3"/>
  <c r="AD3013" i="3" s="1"/>
  <c r="V3039" i="3"/>
  <c r="V3042" i="3"/>
  <c r="V3045" i="3"/>
  <c r="AD3045" i="3" s="1"/>
  <c r="V3052" i="3"/>
  <c r="AD3052" i="3" s="1"/>
  <c r="V2999" i="3"/>
  <c r="AD2999" i="3" s="1"/>
  <c r="V3000" i="3"/>
  <c r="AD3000" i="3" s="1"/>
  <c r="V3015" i="3"/>
  <c r="AD3015" i="3" s="1"/>
  <c r="V3016" i="3"/>
  <c r="AD3016" i="3" s="1"/>
  <c r="V3049" i="3"/>
  <c r="AD3049" i="3" s="1"/>
  <c r="V3029" i="3"/>
  <c r="AD3029" i="3" s="1"/>
  <c r="V3040" i="3"/>
  <c r="V3053" i="3"/>
  <c r="V3069" i="3"/>
  <c r="V3031" i="3"/>
  <c r="V3037" i="3"/>
  <c r="V3028" i="3"/>
  <c r="AD3028" i="3" s="1"/>
  <c r="V3054" i="3"/>
  <c r="V3068" i="3"/>
  <c r="R2528" i="3"/>
  <c r="R2529" i="3"/>
  <c r="AB2528" i="3"/>
  <c r="AD2977" i="3" l="1"/>
  <c r="AD3065" i="3"/>
  <c r="AD2964" i="3"/>
  <c r="AD3042" i="3"/>
  <c r="AD3044" i="3"/>
  <c r="AD2972" i="3"/>
  <c r="AD2974" i="3"/>
  <c r="AD3036" i="3"/>
  <c r="AD3116" i="3"/>
  <c r="AD2963" i="3"/>
  <c r="AD3043" i="3"/>
  <c r="AD3117" i="3"/>
  <c r="AD3040" i="3"/>
  <c r="AD3039" i="3"/>
  <c r="AD3035" i="3"/>
  <c r="AD3041" i="3"/>
  <c r="AD3033" i="3"/>
  <c r="AD2962" i="3"/>
  <c r="AD2969" i="3"/>
  <c r="AD2988" i="3"/>
  <c r="AD3066" i="3"/>
  <c r="AD3031" i="3"/>
  <c r="AD2966" i="3"/>
  <c r="AD2973" i="3"/>
  <c r="AD2967" i="3"/>
  <c r="AD3032" i="3"/>
  <c r="AD3053" i="3"/>
  <c r="AD2965" i="3"/>
  <c r="AD3038" i="3"/>
  <c r="AD2978" i="3"/>
  <c r="AD3118" i="3"/>
  <c r="AD3068" i="3"/>
  <c r="AD3054" i="3"/>
  <c r="AD3037" i="3"/>
  <c r="AD3069" i="3"/>
  <c r="AD3027" i="3"/>
  <c r="AD3034" i="3"/>
  <c r="AD2976" i="3"/>
  <c r="AD2975" i="3"/>
  <c r="AD2960" i="3"/>
  <c r="V2528" i="3"/>
  <c r="AD2528" i="3" s="1"/>
  <c r="V2529" i="3"/>
  <c r="AD2529" i="3" s="1"/>
  <c r="AB2740" i="3"/>
  <c r="V2811" i="3"/>
  <c r="AD2811" i="3" s="1"/>
  <c r="V2812" i="3"/>
  <c r="AD2812" i="3" s="1"/>
  <c r="V2813" i="3"/>
  <c r="AD2813" i="3" s="1"/>
  <c r="V2814" i="3"/>
  <c r="AD2814" i="3" s="1"/>
  <c r="V2815" i="3"/>
  <c r="AD2815" i="3" s="1"/>
  <c r="V2816" i="3"/>
  <c r="AD2816" i="3" s="1"/>
  <c r="V2817" i="3"/>
  <c r="AD2817" i="3" s="1"/>
  <c r="V2818" i="3"/>
  <c r="AD2818" i="3" s="1"/>
  <c r="V2819" i="3"/>
  <c r="AD2819" i="3" s="1"/>
  <c r="V2820" i="3"/>
  <c r="AD2820" i="3" s="1"/>
  <c r="V2821" i="3"/>
  <c r="AD2821" i="3" s="1"/>
  <c r="V2822" i="3"/>
  <c r="AD2822" i="3" s="1"/>
  <c r="V2823" i="3"/>
  <c r="AD2823" i="3" s="1"/>
  <c r="V2824" i="3"/>
  <c r="AD2824" i="3" s="1"/>
  <c r="V2825" i="3"/>
  <c r="AD2825" i="3" s="1"/>
  <c r="V2826" i="3"/>
  <c r="AD2826" i="3" s="1"/>
  <c r="V2827" i="3"/>
  <c r="AD2827" i="3" s="1"/>
  <c r="V2828" i="3"/>
  <c r="AD2828" i="3" s="1"/>
  <c r="V2829" i="3"/>
  <c r="AD2829" i="3" s="1"/>
  <c r="V2830" i="3"/>
  <c r="AD2830" i="3" s="1"/>
  <c r="V2831" i="3"/>
  <c r="AD2831" i="3" s="1"/>
  <c r="V2832" i="3"/>
  <c r="AD2832" i="3" s="1"/>
  <c r="V2833" i="3"/>
  <c r="AD2833" i="3" s="1"/>
  <c r="V2834" i="3"/>
  <c r="AD2834" i="3" s="1"/>
  <c r="V2835" i="3"/>
  <c r="AD2835" i="3" s="1"/>
  <c r="V2836" i="3"/>
  <c r="AD2836" i="3" s="1"/>
  <c r="V2837" i="3"/>
  <c r="AD2837" i="3" s="1"/>
  <c r="V2838" i="3"/>
  <c r="AD2838" i="3" s="1"/>
  <c r="V2839" i="3"/>
  <c r="AD2839" i="3" s="1"/>
  <c r="V2840" i="3"/>
  <c r="AD2840" i="3" s="1"/>
  <c r="V2841" i="3"/>
  <c r="AD2841" i="3" s="1"/>
  <c r="V2842" i="3"/>
  <c r="AD2842" i="3" s="1"/>
  <c r="V2843" i="3"/>
  <c r="AD2843" i="3" s="1"/>
  <c r="V2844" i="3"/>
  <c r="AD2844" i="3" s="1"/>
  <c r="V2845" i="3"/>
  <c r="AD2845" i="3" s="1"/>
  <c r="V2846" i="3"/>
  <c r="AD2846" i="3" s="1"/>
  <c r="V2847" i="3"/>
  <c r="AD2847" i="3" s="1"/>
  <c r="V2848" i="3"/>
  <c r="AD2848" i="3" s="1"/>
  <c r="V2849" i="3"/>
  <c r="AD2849" i="3" s="1"/>
  <c r="V2850" i="3"/>
  <c r="AD2850" i="3" s="1"/>
  <c r="V2851" i="3"/>
  <c r="AD2851" i="3" s="1"/>
  <c r="V2852" i="3"/>
  <c r="AD2852" i="3" s="1"/>
  <c r="V2853" i="3"/>
  <c r="AD2853" i="3" s="1"/>
  <c r="V2854" i="3"/>
  <c r="AD2854" i="3" s="1"/>
  <c r="V2855" i="3"/>
  <c r="AD2855" i="3" s="1"/>
  <c r="V2856" i="3"/>
  <c r="AD2856" i="3" s="1"/>
  <c r="V2857" i="3"/>
  <c r="AD2857" i="3" s="1"/>
  <c r="V2858" i="3"/>
  <c r="AD2858" i="3" s="1"/>
  <c r="V2859" i="3"/>
  <c r="AD2859" i="3" s="1"/>
  <c r="V2860" i="3"/>
  <c r="AD2860" i="3" s="1"/>
  <c r="V2861" i="3"/>
  <c r="AD2861" i="3" s="1"/>
  <c r="V2862" i="3"/>
  <c r="AD2862" i="3" s="1"/>
  <c r="V2863" i="3"/>
  <c r="AD2863" i="3" s="1"/>
  <c r="V2864" i="3"/>
  <c r="AD2864" i="3" s="1"/>
  <c r="V2865" i="3"/>
  <c r="AD2865" i="3" s="1"/>
  <c r="V2866" i="3"/>
  <c r="AD2866" i="3" s="1"/>
  <c r="V2867" i="3"/>
  <c r="AD2867" i="3" s="1"/>
  <c r="V2868" i="3"/>
  <c r="AD2868" i="3" s="1"/>
  <c r="V2869" i="3"/>
  <c r="AD2869" i="3" s="1"/>
  <c r="V2870" i="3"/>
  <c r="AD2870" i="3" s="1"/>
  <c r="V2871" i="3"/>
  <c r="AD2871" i="3" s="1"/>
  <c r="V2872" i="3"/>
  <c r="AD2872" i="3" s="1"/>
  <c r="V2873" i="3"/>
  <c r="AD2873" i="3" s="1"/>
  <c r="V2874" i="3"/>
  <c r="AD2874" i="3" s="1"/>
  <c r="V2875" i="3"/>
  <c r="AD2875" i="3" s="1"/>
  <c r="V2876" i="3"/>
  <c r="AD2876" i="3" s="1"/>
  <c r="V2877" i="3"/>
  <c r="AD2877" i="3" s="1"/>
  <c r="V2878" i="3"/>
  <c r="AD2878" i="3" s="1"/>
  <c r="V2879" i="3"/>
  <c r="AD2879" i="3" s="1"/>
  <c r="V2880" i="3"/>
  <c r="AD2880" i="3" s="1"/>
  <c r="V2881" i="3"/>
  <c r="AD2881" i="3" s="1"/>
  <c r="V2882" i="3"/>
  <c r="AD2882" i="3" s="1"/>
  <c r="V2883" i="3"/>
  <c r="AD2883" i="3" s="1"/>
  <c r="V2884" i="3"/>
  <c r="AD2884" i="3" s="1"/>
  <c r="V2885" i="3"/>
  <c r="AD2885" i="3" s="1"/>
  <c r="V2886" i="3"/>
  <c r="AD2886" i="3" s="1"/>
  <c r="V2887" i="3"/>
  <c r="AD2887" i="3" s="1"/>
  <c r="V2888" i="3"/>
  <c r="AD2888" i="3" s="1"/>
  <c r="V2889" i="3"/>
  <c r="AD2889" i="3" s="1"/>
  <c r="V2890" i="3"/>
  <c r="AD2890" i="3" s="1"/>
  <c r="V2891" i="3"/>
  <c r="AD2891" i="3" s="1"/>
  <c r="V2892" i="3"/>
  <c r="AD2892" i="3" s="1"/>
  <c r="V2893" i="3"/>
  <c r="AD2893" i="3" s="1"/>
  <c r="V2894" i="3"/>
  <c r="AD2894" i="3" s="1"/>
  <c r="V2895" i="3"/>
  <c r="AD2895" i="3" s="1"/>
  <c r="V2896" i="3"/>
  <c r="AD2896" i="3" s="1"/>
  <c r="V2897" i="3"/>
  <c r="AD2897" i="3" s="1"/>
  <c r="V2898" i="3"/>
  <c r="AD2898" i="3" s="1"/>
  <c r="V2899" i="3"/>
  <c r="AD2899" i="3" s="1"/>
  <c r="V2900" i="3"/>
  <c r="AD2900" i="3" s="1"/>
  <c r="V2901" i="3"/>
  <c r="AD2901" i="3" s="1"/>
  <c r="V2902" i="3"/>
  <c r="AD2902" i="3" s="1"/>
  <c r="V2903" i="3"/>
  <c r="AD2903" i="3" s="1"/>
  <c r="V2904" i="3"/>
  <c r="AD2904" i="3" s="1"/>
  <c r="V2905" i="3"/>
  <c r="AD2905" i="3" s="1"/>
  <c r="V2906" i="3"/>
  <c r="AD2906" i="3" s="1"/>
  <c r="V2907" i="3"/>
  <c r="AD2907" i="3" s="1"/>
  <c r="V2908" i="3"/>
  <c r="AD2908" i="3" s="1"/>
  <c r="V2909" i="3"/>
  <c r="AD2909" i="3" s="1"/>
  <c r="V2910" i="3"/>
  <c r="AD2910" i="3" s="1"/>
  <c r="V2911" i="3"/>
  <c r="AD2911" i="3" s="1"/>
  <c r="V2912" i="3"/>
  <c r="AD2912" i="3" s="1"/>
  <c r="V2913" i="3"/>
  <c r="AD2913" i="3" s="1"/>
  <c r="V2914" i="3"/>
  <c r="AD2914" i="3" s="1"/>
  <c r="V2915" i="3"/>
  <c r="AD2915" i="3" s="1"/>
  <c r="V2916" i="3"/>
  <c r="AD2916" i="3" s="1"/>
  <c r="V2917" i="3"/>
  <c r="AD2917" i="3" s="1"/>
  <c r="V2918" i="3"/>
  <c r="AD2918" i="3" s="1"/>
  <c r="V2919" i="3"/>
  <c r="AD2919" i="3" s="1"/>
  <c r="V2920" i="3"/>
  <c r="AD2920" i="3" s="1"/>
  <c r="V2921" i="3"/>
  <c r="AD2921" i="3" s="1"/>
  <c r="V2922" i="3"/>
  <c r="AD2922" i="3" s="1"/>
  <c r="V2923" i="3"/>
  <c r="AD2923" i="3" s="1"/>
  <c r="V2924" i="3"/>
  <c r="AD2924" i="3" s="1"/>
  <c r="V2925" i="3"/>
  <c r="AD2925" i="3" s="1"/>
  <c r="V2926" i="3"/>
  <c r="AD2926" i="3" s="1"/>
  <c r="V2927" i="3"/>
  <c r="AD2927" i="3" s="1"/>
  <c r="V2928" i="3"/>
  <c r="AD2928" i="3" s="1"/>
  <c r="V2929" i="3"/>
  <c r="AD2929" i="3" s="1"/>
  <c r="V2930" i="3"/>
  <c r="AD2930" i="3" s="1"/>
  <c r="V2931" i="3"/>
  <c r="AD2931" i="3" s="1"/>
  <c r="V2932" i="3"/>
  <c r="AD2932" i="3" s="1"/>
  <c r="V2933" i="3"/>
  <c r="AD2933" i="3" s="1"/>
  <c r="V2934" i="3"/>
  <c r="AD2934" i="3" s="1"/>
  <c r="V2935" i="3"/>
  <c r="AD2935" i="3" s="1"/>
  <c r="V2936" i="3"/>
  <c r="AD2936" i="3" s="1"/>
  <c r="V2937" i="3"/>
  <c r="AD2937" i="3" s="1"/>
  <c r="V2938" i="3"/>
  <c r="AD2938" i="3" s="1"/>
  <c r="V2939" i="3"/>
  <c r="AD2939" i="3" s="1"/>
  <c r="V2940" i="3"/>
  <c r="AD2940" i="3" s="1"/>
  <c r="V2941" i="3"/>
  <c r="AD2941" i="3" s="1"/>
  <c r="V2942" i="3"/>
  <c r="AD2942" i="3" s="1"/>
  <c r="V2943" i="3"/>
  <c r="AD2943" i="3" s="1"/>
  <c r="V2944" i="3"/>
  <c r="AD2944" i="3" s="1"/>
  <c r="V2945" i="3"/>
  <c r="AD2945" i="3" s="1"/>
  <c r="V2946" i="3"/>
  <c r="AD2946" i="3" s="1"/>
  <c r="V2947" i="3"/>
  <c r="AD2947" i="3" s="1"/>
  <c r="V2948" i="3"/>
  <c r="AD2948" i="3" s="1"/>
  <c r="V2949" i="3"/>
  <c r="AD2949" i="3" s="1"/>
  <c r="V2950" i="3"/>
  <c r="AD2950" i="3" s="1"/>
  <c r="V2951" i="3"/>
  <c r="AD2951" i="3" s="1"/>
  <c r="V2952" i="3"/>
  <c r="AD2952" i="3" s="1"/>
  <c r="V2953" i="3"/>
  <c r="AD2953" i="3" s="1"/>
  <c r="V2954" i="3"/>
  <c r="AD2954" i="3" s="1"/>
  <c r="V2955" i="3"/>
  <c r="AD2955" i="3" s="1"/>
  <c r="V2956" i="3"/>
  <c r="AD2956" i="3" s="1"/>
  <c r="V2957" i="3"/>
  <c r="AD2957" i="3" s="1"/>
  <c r="V2958" i="3"/>
  <c r="AD2958" i="3" s="1"/>
  <c r="V2959" i="3"/>
  <c r="AD2959" i="3" s="1"/>
  <c r="R2810" i="3"/>
  <c r="R2809" i="3"/>
  <c r="R2808" i="3"/>
  <c r="AB2808" i="3"/>
  <c r="AB2809" i="3"/>
  <c r="V2809" i="3" l="1"/>
  <c r="AD2809" i="3" s="1"/>
  <c r="V2810" i="3"/>
  <c r="AD2810" i="3" s="1"/>
  <c r="V2808" i="3"/>
  <c r="AD2808" i="3" s="1"/>
  <c r="AD1090" i="3"/>
  <c r="AD1091" i="3"/>
  <c r="AD1095" i="3"/>
  <c r="AD1098" i="3"/>
  <c r="AD1099" i="3"/>
  <c r="AD1106" i="3"/>
  <c r="AD1107" i="3"/>
  <c r="AD1114" i="3"/>
  <c r="AD1115" i="3"/>
  <c r="AD1119" i="3"/>
  <c r="AD1122" i="3"/>
  <c r="AD1123" i="3"/>
  <c r="AD1127" i="3"/>
  <c r="AD1129" i="3"/>
  <c r="AD1130" i="3"/>
  <c r="AD1131" i="3"/>
  <c r="AD1138" i="3"/>
  <c r="AD1139" i="3"/>
  <c r="AD1143" i="3"/>
  <c r="AD1146" i="3"/>
  <c r="AD1147" i="3"/>
  <c r="AD1154" i="3"/>
  <c r="AD1155" i="3"/>
  <c r="AD1159" i="3"/>
  <c r="AD1161" i="3"/>
  <c r="AD1162" i="3"/>
  <c r="AD1163" i="3"/>
  <c r="AD1170" i="3"/>
  <c r="AD1171" i="3"/>
  <c r="AD1088" i="3"/>
  <c r="AD1089" i="3"/>
  <c r="AD1096" i="3"/>
  <c r="AD1097" i="3"/>
  <c r="AD1103" i="3"/>
  <c r="AD1104" i="3"/>
  <c r="AD1105" i="3"/>
  <c r="AD1111" i="3"/>
  <c r="AD1112" i="3"/>
  <c r="AD1113" i="3"/>
  <c r="AD1117" i="3"/>
  <c r="AD1120" i="3"/>
  <c r="AD1128" i="3"/>
  <c r="AD1136" i="3"/>
  <c r="AD1142" i="3"/>
  <c r="AD1144" i="3"/>
  <c r="AD1145" i="3"/>
  <c r="AD1152" i="3"/>
  <c r="AD1153" i="3"/>
  <c r="AD1160" i="3"/>
  <c r="AD1168" i="3"/>
  <c r="AD1169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D1101" i="3"/>
  <c r="AD1102" i="3"/>
  <c r="AD1125" i="3"/>
  <c r="AD1134" i="3"/>
  <c r="AD1174" i="3"/>
  <c r="AD1176" i="3"/>
  <c r="AD1177" i="3"/>
  <c r="AD1183" i="3"/>
  <c r="AD1184" i="3"/>
  <c r="AD1185" i="3"/>
  <c r="AD1189" i="3"/>
  <c r="AD1190" i="3"/>
  <c r="AD1191" i="3"/>
  <c r="AD1192" i="3"/>
  <c r="AD1193" i="3"/>
  <c r="AD1200" i="3"/>
  <c r="AD1201" i="3"/>
  <c r="AD1205" i="3"/>
  <c r="AD1206" i="3"/>
  <c r="AD1207" i="3"/>
  <c r="AD1208" i="3"/>
  <c r="AD1209" i="3"/>
  <c r="AD1213" i="3"/>
  <c r="AD1216" i="3"/>
  <c r="AD1217" i="3"/>
  <c r="AD1224" i="3"/>
  <c r="AD1225" i="3"/>
  <c r="AD1229" i="3"/>
  <c r="AD1232" i="3"/>
  <c r="AD1233" i="3"/>
  <c r="AD1238" i="3"/>
  <c r="AD1240" i="3"/>
  <c r="AD1241" i="3"/>
  <c r="AD1247" i="3"/>
  <c r="AD1248" i="3"/>
  <c r="AD1249" i="3"/>
  <c r="AD1253" i="3"/>
  <c r="AD1254" i="3"/>
  <c r="AD1256" i="3"/>
  <c r="AD1257" i="3"/>
  <c r="AD1181" i="3"/>
  <c r="AD1215" i="3"/>
  <c r="AD1221" i="3"/>
  <c r="AD1222" i="3"/>
  <c r="AD1223" i="3"/>
  <c r="AD1237" i="3"/>
  <c r="AD1245" i="3"/>
  <c r="AD1255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D1239" i="3"/>
  <c r="AD1083" i="3"/>
  <c r="AD1084" i="3"/>
  <c r="AD1085" i="3"/>
  <c r="AD1086" i="3"/>
  <c r="AD1264" i="3"/>
  <c r="AD1265" i="3"/>
  <c r="AD1266" i="3"/>
  <c r="AD1270" i="3"/>
  <c r="AD1271" i="3"/>
  <c r="AD1273" i="3"/>
  <c r="AD1274" i="3"/>
  <c r="AB1083" i="3"/>
  <c r="AB1084" i="3"/>
  <c r="AB1085" i="3"/>
  <c r="AB1086" i="3"/>
  <c r="AB1087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D1277" i="3"/>
  <c r="AD1278" i="3"/>
  <c r="AD1279" i="3"/>
  <c r="AD1280" i="3"/>
  <c r="AD1286" i="3"/>
  <c r="AD1287" i="3"/>
  <c r="AD1288" i="3"/>
  <c r="AD1292" i="3"/>
  <c r="AD1293" i="3"/>
  <c r="AD1295" i="3"/>
  <c r="AD129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D1300" i="3"/>
  <c r="AD1301" i="3"/>
  <c r="AD1302" i="3"/>
  <c r="AD1306" i="3"/>
  <c r="AD1307" i="3"/>
  <c r="AD1308" i="3"/>
  <c r="AD1309" i="3"/>
  <c r="AD1310" i="3"/>
  <c r="AD1316" i="3"/>
  <c r="AD1317" i="3"/>
  <c r="AD131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D329" i="3"/>
  <c r="AD345" i="3"/>
  <c r="AD351" i="3"/>
  <c r="AD320" i="3"/>
  <c r="AD321" i="3"/>
  <c r="AD322" i="3"/>
  <c r="AD327" i="3"/>
  <c r="AD328" i="3"/>
  <c r="AD335" i="3"/>
  <c r="AD336" i="3"/>
  <c r="AD337" i="3"/>
  <c r="AD343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D344" i="3"/>
  <c r="AD352" i="3"/>
  <c r="AD359" i="3"/>
  <c r="AD363" i="3"/>
  <c r="AD364" i="3"/>
  <c r="AD369" i="3"/>
  <c r="AD370" i="3"/>
  <c r="AD372" i="3"/>
  <c r="AD377" i="3"/>
  <c r="AD378" i="3"/>
  <c r="AD379" i="3"/>
  <c r="AD385" i="3"/>
  <c r="AD386" i="3"/>
  <c r="AD388" i="3"/>
  <c r="AD393" i="3"/>
  <c r="AD394" i="3"/>
  <c r="AD396" i="3"/>
  <c r="AD401" i="3"/>
  <c r="AD402" i="3"/>
  <c r="AD365" i="3"/>
  <c r="AD381" i="3"/>
  <c r="AD389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253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B2376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7" i="3"/>
  <c r="AB2266" i="3"/>
  <c r="AB2265" i="3"/>
  <c r="AB2262" i="3"/>
  <c r="AB2261" i="3"/>
  <c r="AB2260" i="3"/>
  <c r="AB2259" i="3"/>
  <c r="AB2258" i="3"/>
  <c r="AB2257" i="3"/>
  <c r="AB2256" i="3"/>
  <c r="AB2255" i="3"/>
  <c r="AB2254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2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14" i="3"/>
  <c r="AB2113" i="3"/>
  <c r="AB2112" i="3"/>
  <c r="AB2111" i="3"/>
  <c r="AB2110" i="3"/>
  <c r="AB2109" i="3"/>
  <c r="AB2108" i="3"/>
  <c r="AB2107" i="3"/>
  <c r="AB2106" i="3"/>
  <c r="AB2105" i="3"/>
  <c r="AB2104" i="3"/>
  <c r="AB2103" i="3"/>
  <c r="AB2102" i="3"/>
  <c r="AB2101" i="3"/>
  <c r="AB2100" i="3"/>
  <c r="U2155" i="3"/>
  <c r="T2155" i="3"/>
  <c r="R2155" i="3"/>
  <c r="U2154" i="3"/>
  <c r="T2154" i="3"/>
  <c r="R2154" i="3"/>
  <c r="B1960" i="2"/>
  <c r="Y1960" i="2"/>
  <c r="O1960" i="2"/>
  <c r="J1960" i="2"/>
  <c r="B406" i="2"/>
  <c r="Y406" i="2"/>
  <c r="O406" i="2"/>
  <c r="J406" i="2"/>
  <c r="Y2473" i="2"/>
  <c r="O2473" i="2"/>
  <c r="J2473" i="2"/>
  <c r="B2473" i="2"/>
  <c r="C62" i="4"/>
  <c r="F62" i="4" s="1"/>
  <c r="C61" i="4"/>
  <c r="D61" i="4" s="1"/>
  <c r="C60" i="4"/>
  <c r="D60" i="4" s="1"/>
  <c r="C59" i="4"/>
  <c r="D59" i="4" s="1"/>
  <c r="C58" i="4"/>
  <c r="F58" i="4" s="1"/>
  <c r="C57" i="4"/>
  <c r="D57" i="4" s="1"/>
  <c r="C56" i="4"/>
  <c r="D56" i="4" s="1"/>
  <c r="C55" i="4"/>
  <c r="D55" i="4" s="1"/>
  <c r="C54" i="4"/>
  <c r="F54" i="4" s="1"/>
  <c r="C53" i="4"/>
  <c r="D53" i="4" s="1"/>
  <c r="C52" i="4"/>
  <c r="D52" i="4" s="1"/>
  <c r="C51" i="4"/>
  <c r="F51" i="4" s="1"/>
  <c r="C50" i="4"/>
  <c r="F50" i="4" s="1"/>
  <c r="C49" i="4"/>
  <c r="D49" i="4" s="1"/>
  <c r="C48" i="4"/>
  <c r="D48" i="4" s="1"/>
  <c r="H62" i="4"/>
  <c r="K62" i="4" s="1"/>
  <c r="H61" i="4"/>
  <c r="I61" i="4" s="1"/>
  <c r="H60" i="4"/>
  <c r="I60" i="4" s="1"/>
  <c r="H59" i="4"/>
  <c r="I59" i="4" s="1"/>
  <c r="H58" i="4"/>
  <c r="I58" i="4" s="1"/>
  <c r="H57" i="4"/>
  <c r="K57" i="4" s="1"/>
  <c r="H56" i="4"/>
  <c r="I56" i="4" s="1"/>
  <c r="H55" i="4"/>
  <c r="K55" i="4" s="1"/>
  <c r="H54" i="4"/>
  <c r="K54" i="4" s="1"/>
  <c r="H53" i="4"/>
  <c r="I53" i="4" s="1"/>
  <c r="H52" i="4"/>
  <c r="I52" i="4" s="1"/>
  <c r="H51" i="4"/>
  <c r="I51" i="4" s="1"/>
  <c r="H50" i="4"/>
  <c r="I50" i="4" s="1"/>
  <c r="H49" i="4"/>
  <c r="K49" i="4" s="1"/>
  <c r="K48" i="4" l="1"/>
  <c r="AD2154" i="3"/>
  <c r="AD2155" i="3"/>
  <c r="AD1165" i="3"/>
  <c r="AD1150" i="3"/>
  <c r="AD1167" i="3"/>
  <c r="AD1175" i="3"/>
  <c r="AD1166" i="3"/>
  <c r="AD1197" i="3"/>
  <c r="AD1126" i="3"/>
  <c r="AD1121" i="3"/>
  <c r="AD1137" i="3"/>
  <c r="AD1151" i="3"/>
  <c r="AD1149" i="3"/>
  <c r="AD1135" i="3"/>
  <c r="AD1110" i="3"/>
  <c r="AD1199" i="3"/>
  <c r="AD1158" i="3"/>
  <c r="AD1133" i="3"/>
  <c r="AD1094" i="3"/>
  <c r="AD1231" i="3"/>
  <c r="AD1173" i="3"/>
  <c r="AD1141" i="3"/>
  <c r="AD1109" i="3"/>
  <c r="AD1157" i="3"/>
  <c r="AD1118" i="3"/>
  <c r="AD1093" i="3"/>
  <c r="AD1246" i="3"/>
  <c r="AD1182" i="3"/>
  <c r="AD1198" i="3"/>
  <c r="AD1214" i="3"/>
  <c r="AD1172" i="3"/>
  <c r="AD1164" i="3"/>
  <c r="AD1156" i="3"/>
  <c r="AD1148" i="3"/>
  <c r="AD1140" i="3"/>
  <c r="AD1132" i="3"/>
  <c r="AD1124" i="3"/>
  <c r="AD1116" i="3"/>
  <c r="AD1108" i="3"/>
  <c r="AD1100" i="3"/>
  <c r="AD1092" i="3"/>
  <c r="AD1230" i="3"/>
  <c r="AD1252" i="3"/>
  <c r="AD1244" i="3"/>
  <c r="AD1236" i="3"/>
  <c r="AD1228" i="3"/>
  <c r="AD1220" i="3"/>
  <c r="AD1212" i="3"/>
  <c r="AD1204" i="3"/>
  <c r="AD1196" i="3"/>
  <c r="AD1188" i="3"/>
  <c r="AD1180" i="3"/>
  <c r="AD1259" i="3"/>
  <c r="AD1251" i="3"/>
  <c r="AD1243" i="3"/>
  <c r="AD1235" i="3"/>
  <c r="AD1227" i="3"/>
  <c r="AD1219" i="3"/>
  <c r="AD1211" i="3"/>
  <c r="AD1203" i="3"/>
  <c r="AD1195" i="3"/>
  <c r="AD1187" i="3"/>
  <c r="AD1179" i="3"/>
  <c r="AD1258" i="3"/>
  <c r="AD1250" i="3"/>
  <c r="AD1242" i="3"/>
  <c r="AD1234" i="3"/>
  <c r="AD1226" i="3"/>
  <c r="AD1218" i="3"/>
  <c r="AD1210" i="3"/>
  <c r="AD1202" i="3"/>
  <c r="AD1194" i="3"/>
  <c r="AD1186" i="3"/>
  <c r="AD1178" i="3"/>
  <c r="AD1262" i="3"/>
  <c r="AD1272" i="3"/>
  <c r="AD1284" i="3"/>
  <c r="AD1304" i="3"/>
  <c r="AD1263" i="3"/>
  <c r="AD1294" i="3"/>
  <c r="AD1312" i="3"/>
  <c r="AD1313" i="3"/>
  <c r="AD1285" i="3"/>
  <c r="AD1269" i="3"/>
  <c r="AD1261" i="3"/>
  <c r="AD1276" i="3"/>
  <c r="AD1268" i="3"/>
  <c r="AD1260" i="3"/>
  <c r="AD1275" i="3"/>
  <c r="AD1267" i="3"/>
  <c r="AD1087" i="3"/>
  <c r="AD1315" i="3"/>
  <c r="AD1314" i="3"/>
  <c r="AD1305" i="3"/>
  <c r="AD1299" i="3"/>
  <c r="AD1291" i="3"/>
  <c r="AD1283" i="3"/>
  <c r="AD1298" i="3"/>
  <c r="AD1290" i="3"/>
  <c r="AD1282" i="3"/>
  <c r="AD1297" i="3"/>
  <c r="AD1289" i="3"/>
  <c r="AD1281" i="3"/>
  <c r="AD1320" i="3"/>
  <c r="AD1319" i="3"/>
  <c r="AD1311" i="3"/>
  <c r="AD1303" i="3"/>
  <c r="AD405" i="3"/>
  <c r="AD404" i="3"/>
  <c r="AD403" i="3"/>
  <c r="AD380" i="3"/>
  <c r="AD371" i="3"/>
  <c r="AD361" i="3"/>
  <c r="AD360" i="3"/>
  <c r="AD395" i="3"/>
  <c r="AD362" i="3"/>
  <c r="AD353" i="3"/>
  <c r="AD346" i="3"/>
  <c r="AD330" i="3"/>
  <c r="AD387" i="3"/>
  <c r="AD338" i="3"/>
  <c r="AD323" i="3"/>
  <c r="AD347" i="3"/>
  <c r="AD355" i="3"/>
  <c r="AD354" i="3"/>
  <c r="AD397" i="3"/>
  <c r="AD373" i="3"/>
  <c r="AD339" i="3"/>
  <c r="AD331" i="3"/>
  <c r="AD356" i="3"/>
  <c r="AD348" i="3"/>
  <c r="AD340" i="3"/>
  <c r="AD332" i="3"/>
  <c r="AD324" i="3"/>
  <c r="AD367" i="3"/>
  <c r="AD358" i="3"/>
  <c r="AD350" i="3"/>
  <c r="AD342" i="3"/>
  <c r="AD334" i="3"/>
  <c r="AD326" i="3"/>
  <c r="AD357" i="3"/>
  <c r="AD349" i="3"/>
  <c r="AD341" i="3"/>
  <c r="AD333" i="3"/>
  <c r="AD325" i="3"/>
  <c r="AD399" i="3"/>
  <c r="AD391" i="3"/>
  <c r="AD383" i="3"/>
  <c r="AD375" i="3"/>
  <c r="AD398" i="3"/>
  <c r="AD390" i="3"/>
  <c r="AD382" i="3"/>
  <c r="AD374" i="3"/>
  <c r="AD366" i="3"/>
  <c r="AD400" i="3"/>
  <c r="AD392" i="3"/>
  <c r="AD384" i="3"/>
  <c r="AD376" i="3"/>
  <c r="AD368" i="3"/>
  <c r="L406" i="2"/>
  <c r="N406" i="2" s="1"/>
  <c r="L1960" i="2"/>
  <c r="N1960" i="2" s="1"/>
  <c r="T1960" i="2" s="1"/>
  <c r="L2473" i="2"/>
  <c r="N2473" i="2" s="1"/>
  <c r="F52" i="4"/>
  <c r="F59" i="4"/>
  <c r="F60" i="4"/>
  <c r="K58" i="4"/>
  <c r="D51" i="4"/>
  <c r="D54" i="4"/>
  <c r="D50" i="4"/>
  <c r="D58" i="4"/>
  <c r="D62" i="4"/>
  <c r="I57" i="4"/>
  <c r="F55" i="4"/>
  <c r="K50" i="4"/>
  <c r="F48" i="4"/>
  <c r="F56" i="4"/>
  <c r="F49" i="4"/>
  <c r="F57" i="4"/>
  <c r="I49" i="4"/>
  <c r="F53" i="4"/>
  <c r="F61" i="4"/>
  <c r="I55" i="4"/>
  <c r="I54" i="4"/>
  <c r="I62" i="4"/>
  <c r="K56" i="4"/>
  <c r="K51" i="4"/>
  <c r="K59" i="4"/>
  <c r="K52" i="4"/>
  <c r="K60" i="4"/>
  <c r="K53" i="4"/>
  <c r="K61" i="4"/>
  <c r="V2095" i="3"/>
  <c r="AD2095" i="3" s="1"/>
  <c r="V2094" i="3"/>
  <c r="AD2094" i="3" s="1"/>
  <c r="V2093" i="3"/>
  <c r="AD2093" i="3" s="1"/>
  <c r="V2092" i="3"/>
  <c r="AD2092" i="3" s="1"/>
  <c r="V2091" i="3"/>
  <c r="AD2091" i="3" s="1"/>
  <c r="V2090" i="3"/>
  <c r="AD2090" i="3" s="1"/>
  <c r="V2089" i="3"/>
  <c r="AD2089" i="3" s="1"/>
  <c r="V2088" i="3"/>
  <c r="AD2088" i="3" s="1"/>
  <c r="V2087" i="3"/>
  <c r="AD2087" i="3" s="1"/>
  <c r="V2086" i="3"/>
  <c r="AD2086" i="3" s="1"/>
  <c r="V2085" i="3"/>
  <c r="AD2085" i="3" s="1"/>
  <c r="V2084" i="3"/>
  <c r="AD2084" i="3" s="1"/>
  <c r="V2083" i="3"/>
  <c r="AD2083" i="3" s="1"/>
  <c r="V2082" i="3"/>
  <c r="AD2082" i="3" s="1"/>
  <c r="V2081" i="3"/>
  <c r="AD2081" i="3" s="1"/>
  <c r="V2080" i="3"/>
  <c r="AD2080" i="3" s="1"/>
  <c r="V2079" i="3"/>
  <c r="AD2079" i="3" s="1"/>
  <c r="V2078" i="3"/>
  <c r="AD2078" i="3" s="1"/>
  <c r="V2077" i="3"/>
  <c r="AD2077" i="3" s="1"/>
  <c r="V2076" i="3"/>
  <c r="AD2076" i="3" s="1"/>
  <c r="V2075" i="3"/>
  <c r="AD2075" i="3" s="1"/>
  <c r="V2074" i="3"/>
  <c r="AD2074" i="3" s="1"/>
  <c r="V2073" i="3"/>
  <c r="AD2073" i="3" s="1"/>
  <c r="V2072" i="3"/>
  <c r="AD2072" i="3" s="1"/>
  <c r="V2071" i="3"/>
  <c r="AD2071" i="3" s="1"/>
  <c r="V2070" i="3"/>
  <c r="AD2070" i="3" s="1"/>
  <c r="V2069" i="3"/>
  <c r="AD2069" i="3" s="1"/>
  <c r="V2068" i="3"/>
  <c r="AD2068" i="3" s="1"/>
  <c r="V2067" i="3"/>
  <c r="AD2067" i="3" s="1"/>
  <c r="V2066" i="3"/>
  <c r="AD2066" i="3" s="1"/>
  <c r="V2065" i="3"/>
  <c r="AD2065" i="3" s="1"/>
  <c r="V2064" i="3"/>
  <c r="AD2064" i="3" s="1"/>
  <c r="V2063" i="3"/>
  <c r="AD2063" i="3" s="1"/>
  <c r="V2062" i="3"/>
  <c r="AD2062" i="3" s="1"/>
  <c r="V2061" i="3"/>
  <c r="AD2061" i="3" s="1"/>
  <c r="V2060" i="3"/>
  <c r="AD2060" i="3" s="1"/>
  <c r="V2059" i="3"/>
  <c r="AD2059" i="3" s="1"/>
  <c r="V2058" i="3"/>
  <c r="AD2058" i="3" s="1"/>
  <c r="V2057" i="3"/>
  <c r="AD2057" i="3" s="1"/>
  <c r="V2056" i="3"/>
  <c r="AD2056" i="3" s="1"/>
  <c r="V2055" i="3"/>
  <c r="AD2055" i="3" s="1"/>
  <c r="V2054" i="3"/>
  <c r="AD2054" i="3" s="1"/>
  <c r="V2053" i="3"/>
  <c r="AD2053" i="3" s="1"/>
  <c r="V2052" i="3"/>
  <c r="AD2052" i="3" s="1"/>
  <c r="V2051" i="3"/>
  <c r="AD2051" i="3" s="1"/>
  <c r="V2050" i="3"/>
  <c r="AD2050" i="3" s="1"/>
  <c r="V2049" i="3"/>
  <c r="AD2049" i="3" s="1"/>
  <c r="V2048" i="3"/>
  <c r="AD2048" i="3" s="1"/>
  <c r="V2047" i="3"/>
  <c r="AD2047" i="3" s="1"/>
  <c r="V2046" i="3"/>
  <c r="AD2046" i="3" s="1"/>
  <c r="V2045" i="3"/>
  <c r="AD2045" i="3" s="1"/>
  <c r="V2044" i="3"/>
  <c r="AD2044" i="3" s="1"/>
  <c r="V2043" i="3"/>
  <c r="AD2043" i="3" s="1"/>
  <c r="V2042" i="3"/>
  <c r="AD2042" i="3" s="1"/>
  <c r="V2041" i="3"/>
  <c r="AD2041" i="3" s="1"/>
  <c r="V2040" i="3"/>
  <c r="AD2040" i="3" s="1"/>
  <c r="V2039" i="3"/>
  <c r="AD2039" i="3" s="1"/>
  <c r="V2038" i="3"/>
  <c r="AD2038" i="3" s="1"/>
  <c r="V2037" i="3"/>
  <c r="AD2037" i="3" s="1"/>
  <c r="V2036" i="3"/>
  <c r="AD2036" i="3" s="1"/>
  <c r="V2035" i="3"/>
  <c r="AD2035" i="3" s="1"/>
  <c r="V2034" i="3"/>
  <c r="AD2034" i="3" s="1"/>
  <c r="V2033" i="3"/>
  <c r="AD2033" i="3" s="1"/>
  <c r="V2032" i="3"/>
  <c r="AD2032" i="3" s="1"/>
  <c r="V2031" i="3"/>
  <c r="AD2031" i="3" s="1"/>
  <c r="V2030" i="3"/>
  <c r="AD2030" i="3" s="1"/>
  <c r="V2029" i="3"/>
  <c r="AD2029" i="3" s="1"/>
  <c r="V2028" i="3"/>
  <c r="AD2028" i="3" s="1"/>
  <c r="V2027" i="3"/>
  <c r="AD2027" i="3" s="1"/>
  <c r="V2026" i="3"/>
  <c r="AD2026" i="3" s="1"/>
  <c r="V2025" i="3"/>
  <c r="AD2025" i="3" s="1"/>
  <c r="V2024" i="3"/>
  <c r="AD2024" i="3" s="1"/>
  <c r="V2023" i="3"/>
  <c r="AD2023" i="3" s="1"/>
  <c r="V2022" i="3"/>
  <c r="AD2022" i="3" s="1"/>
  <c r="V2021" i="3"/>
  <c r="AD2021" i="3" s="1"/>
  <c r="V2020" i="3"/>
  <c r="AD2020" i="3" s="1"/>
  <c r="V2019" i="3"/>
  <c r="AD2019" i="3" s="1"/>
  <c r="V2018" i="3"/>
  <c r="AD2018" i="3" s="1"/>
  <c r="V2017" i="3"/>
  <c r="AD2017" i="3" s="1"/>
  <c r="V2016" i="3"/>
  <c r="AD2016" i="3" s="1"/>
  <c r="V2015" i="3"/>
  <c r="AD2015" i="3" s="1"/>
  <c r="V2014" i="3"/>
  <c r="AD2014" i="3" s="1"/>
  <c r="V2013" i="3"/>
  <c r="AD2013" i="3" s="1"/>
  <c r="V2012" i="3"/>
  <c r="AD2012" i="3" s="1"/>
  <c r="V2011" i="3"/>
  <c r="AD2011" i="3" s="1"/>
  <c r="V2010" i="3"/>
  <c r="AD2010" i="3" s="1"/>
  <c r="V2009" i="3"/>
  <c r="AD2009" i="3" s="1"/>
  <c r="V2008" i="3"/>
  <c r="AD2008" i="3" s="1"/>
  <c r="V2007" i="3"/>
  <c r="AD2007" i="3" s="1"/>
  <c r="V2006" i="3"/>
  <c r="AD2006" i="3" s="1"/>
  <c r="V2005" i="3"/>
  <c r="AD2005" i="3" s="1"/>
  <c r="V2004" i="3"/>
  <c r="AD2004" i="3" s="1"/>
  <c r="V2003" i="3"/>
  <c r="AD2003" i="3" s="1"/>
  <c r="V2002" i="3"/>
  <c r="AD2002" i="3" s="1"/>
  <c r="V2001" i="3"/>
  <c r="AD2001" i="3" s="1"/>
  <c r="V2000" i="3"/>
  <c r="AD2000" i="3" s="1"/>
  <c r="V1999" i="3"/>
  <c r="AD1999" i="3" s="1"/>
  <c r="V1998" i="3"/>
  <c r="AD1998" i="3" s="1"/>
  <c r="V1997" i="3"/>
  <c r="AD1997" i="3" s="1"/>
  <c r="V1996" i="3"/>
  <c r="AD1996" i="3" s="1"/>
  <c r="V1995" i="3"/>
  <c r="AD1995" i="3" s="1"/>
  <c r="V1994" i="3"/>
  <c r="AD1994" i="3" s="1"/>
  <c r="V1993" i="3"/>
  <c r="AD1993" i="3" s="1"/>
  <c r="V1992" i="3"/>
  <c r="AD1992" i="3" s="1"/>
  <c r="V1991" i="3"/>
  <c r="AD1991" i="3" s="1"/>
  <c r="V1990" i="3"/>
  <c r="AD1990" i="3" s="1"/>
  <c r="V1989" i="3"/>
  <c r="AD1989" i="3" s="1"/>
  <c r="V1988" i="3"/>
  <c r="AD1988" i="3" s="1"/>
  <c r="V1987" i="3"/>
  <c r="AD1987" i="3" s="1"/>
  <c r="V1986" i="3"/>
  <c r="AD1986" i="3" s="1"/>
  <c r="V1985" i="3"/>
  <c r="AD1985" i="3" s="1"/>
  <c r="V1984" i="3"/>
  <c r="AD1984" i="3" s="1"/>
  <c r="V1983" i="3"/>
  <c r="AD1983" i="3" s="1"/>
  <c r="V1982" i="3"/>
  <c r="AD1982" i="3" s="1"/>
  <c r="V1981" i="3"/>
  <c r="AD1981" i="3" s="1"/>
  <c r="V1980" i="3"/>
  <c r="AD1980" i="3" s="1"/>
  <c r="V1979" i="3"/>
  <c r="AD1979" i="3" s="1"/>
  <c r="V1978" i="3"/>
  <c r="AD1978" i="3" s="1"/>
  <c r="V1977" i="3"/>
  <c r="AD1977" i="3" s="1"/>
  <c r="V1976" i="3"/>
  <c r="AD1976" i="3" s="1"/>
  <c r="V1975" i="3"/>
  <c r="AD1975" i="3" s="1"/>
  <c r="V1974" i="3"/>
  <c r="AD1974" i="3" s="1"/>
  <c r="V1973" i="3"/>
  <c r="AD1973" i="3" s="1"/>
  <c r="V1972" i="3"/>
  <c r="AD1972" i="3" s="1"/>
  <c r="V1971" i="3"/>
  <c r="AD1971" i="3" s="1"/>
  <c r="V1970" i="3"/>
  <c r="AD1970" i="3" s="1"/>
  <c r="V1969" i="3"/>
  <c r="AD1969" i="3" s="1"/>
  <c r="V1968" i="3"/>
  <c r="AD1968" i="3" s="1"/>
  <c r="V1967" i="3"/>
  <c r="AD1967" i="3" s="1"/>
  <c r="V1966" i="3"/>
  <c r="AD1966" i="3" s="1"/>
  <c r="V1965" i="3"/>
  <c r="AD1965" i="3" s="1"/>
  <c r="V1964" i="3"/>
  <c r="AD1964" i="3" s="1"/>
  <c r="V1963" i="3"/>
  <c r="AD1963" i="3" s="1"/>
  <c r="V1962" i="3"/>
  <c r="AD1962" i="3" s="1"/>
  <c r="V1961" i="3"/>
  <c r="AD1961" i="3" s="1"/>
  <c r="V1960" i="3"/>
  <c r="AD1960" i="3" s="1"/>
  <c r="V1959" i="3"/>
  <c r="AD1959" i="3" s="1"/>
  <c r="V1958" i="3"/>
  <c r="AD1958" i="3" s="1"/>
  <c r="V1957" i="3"/>
  <c r="AD1957" i="3" s="1"/>
  <c r="V1956" i="3"/>
  <c r="AD1956" i="3" s="1"/>
  <c r="V1955" i="3"/>
  <c r="AD1955" i="3" s="1"/>
  <c r="V1954" i="3"/>
  <c r="AD1954" i="3" s="1"/>
  <c r="V1953" i="3"/>
  <c r="AD1953" i="3" s="1"/>
  <c r="V1952" i="3"/>
  <c r="AD1952" i="3" s="1"/>
  <c r="V1951" i="3"/>
  <c r="AD1951" i="3" s="1"/>
  <c r="V1950" i="3"/>
  <c r="AD1950" i="3" s="1"/>
  <c r="V1949" i="3"/>
  <c r="AD1949" i="3" s="1"/>
  <c r="V1948" i="3"/>
  <c r="AD1948" i="3" s="1"/>
  <c r="V1947" i="3"/>
  <c r="AD1947" i="3" s="1"/>
  <c r="V1946" i="3"/>
  <c r="AD1946" i="3" s="1"/>
  <c r="V1945" i="3"/>
  <c r="AD1945" i="3" s="1"/>
  <c r="V1944" i="3"/>
  <c r="AD1944" i="3" s="1"/>
  <c r="V1943" i="3"/>
  <c r="AD1943" i="3" s="1"/>
  <c r="V1942" i="3"/>
  <c r="AD1942" i="3" s="1"/>
  <c r="V1941" i="3"/>
  <c r="AD1941" i="3" s="1"/>
  <c r="V1940" i="3"/>
  <c r="AD1940" i="3" s="1"/>
  <c r="V1939" i="3"/>
  <c r="AD1939" i="3" s="1"/>
  <c r="V1938" i="3"/>
  <c r="AD1938" i="3" s="1"/>
  <c r="V1937" i="3"/>
  <c r="AD1937" i="3" s="1"/>
  <c r="V1936" i="3"/>
  <c r="AD1936" i="3" s="1"/>
  <c r="V1935" i="3"/>
  <c r="AD1935" i="3" s="1"/>
  <c r="V1934" i="3"/>
  <c r="AD1934" i="3" s="1"/>
  <c r="V1933" i="3"/>
  <c r="AD1933" i="3" s="1"/>
  <c r="V1932" i="3"/>
  <c r="AD1932" i="3" s="1"/>
  <c r="V1931" i="3"/>
  <c r="AD1931" i="3" s="1"/>
  <c r="V1930" i="3"/>
  <c r="AD1930" i="3" s="1"/>
  <c r="V1929" i="3"/>
  <c r="AD1929" i="3" s="1"/>
  <c r="V1928" i="3"/>
  <c r="AD1928" i="3" s="1"/>
  <c r="V1927" i="3"/>
  <c r="AD1927" i="3" s="1"/>
  <c r="V1926" i="3"/>
  <c r="AD1926" i="3" s="1"/>
  <c r="V1925" i="3"/>
  <c r="AD1925" i="3" s="1"/>
  <c r="V1924" i="3"/>
  <c r="AD1924" i="3" s="1"/>
  <c r="V1923" i="3"/>
  <c r="AD1923" i="3" s="1"/>
  <c r="V1922" i="3"/>
  <c r="AD1922" i="3" s="1"/>
  <c r="V1921" i="3"/>
  <c r="AD1921" i="3" s="1"/>
  <c r="V1920" i="3"/>
  <c r="AD1920" i="3" s="1"/>
  <c r="V1919" i="3"/>
  <c r="AD1919" i="3" s="1"/>
  <c r="V1918" i="3"/>
  <c r="AD1918" i="3" s="1"/>
  <c r="V1917" i="3"/>
  <c r="AD1917" i="3" s="1"/>
  <c r="V1916" i="3"/>
  <c r="AD1916" i="3" s="1"/>
  <c r="V1915" i="3"/>
  <c r="AD1915" i="3" s="1"/>
  <c r="V1914" i="3"/>
  <c r="AD1914" i="3" s="1"/>
  <c r="V1913" i="3"/>
  <c r="AD1913" i="3" s="1"/>
  <c r="V1912" i="3"/>
  <c r="AD1912" i="3" s="1"/>
  <c r="V1911" i="3"/>
  <c r="AD1911" i="3" s="1"/>
  <c r="V1910" i="3"/>
  <c r="AD1910" i="3" s="1"/>
  <c r="V1909" i="3"/>
  <c r="AD1909" i="3" s="1"/>
  <c r="V1908" i="3"/>
  <c r="AD1908" i="3" s="1"/>
  <c r="V1907" i="3"/>
  <c r="AD1907" i="3" s="1"/>
  <c r="V1906" i="3"/>
  <c r="AD1906" i="3" s="1"/>
  <c r="V1905" i="3"/>
  <c r="AD1905" i="3" s="1"/>
  <c r="V1904" i="3"/>
  <c r="AD1904" i="3" s="1"/>
  <c r="V1903" i="3"/>
  <c r="AD1903" i="3" s="1"/>
  <c r="V1902" i="3"/>
  <c r="AD1902" i="3" s="1"/>
  <c r="V1901" i="3"/>
  <c r="AD1901" i="3" s="1"/>
  <c r="V1900" i="3"/>
  <c r="AD1900" i="3" s="1"/>
  <c r="V1899" i="3"/>
  <c r="AD1899" i="3" s="1"/>
  <c r="V1898" i="3"/>
  <c r="AD1898" i="3" s="1"/>
  <c r="V1897" i="3"/>
  <c r="AD1897" i="3" s="1"/>
  <c r="V1896" i="3"/>
  <c r="AD1896" i="3" s="1"/>
  <c r="V1895" i="3"/>
  <c r="AD1895" i="3" s="1"/>
  <c r="V1894" i="3"/>
  <c r="AD1894" i="3" s="1"/>
  <c r="V1893" i="3"/>
  <c r="AD1893" i="3" s="1"/>
  <c r="V1892" i="3"/>
  <c r="AD1892" i="3" s="1"/>
  <c r="V1891" i="3"/>
  <c r="AD1891" i="3" s="1"/>
  <c r="V1890" i="3"/>
  <c r="AD1890" i="3" s="1"/>
  <c r="V1889" i="3"/>
  <c r="AD1889" i="3" s="1"/>
  <c r="V1888" i="3"/>
  <c r="AD1888" i="3" s="1"/>
  <c r="V1887" i="3"/>
  <c r="AD1887" i="3" s="1"/>
  <c r="V1886" i="3"/>
  <c r="AD1886" i="3" s="1"/>
  <c r="V1885" i="3"/>
  <c r="AD1885" i="3" s="1"/>
  <c r="V1884" i="3"/>
  <c r="AD1884" i="3" s="1"/>
  <c r="V1883" i="3"/>
  <c r="AD1883" i="3" s="1"/>
  <c r="V1882" i="3"/>
  <c r="AD1882" i="3" s="1"/>
  <c r="V1881" i="3"/>
  <c r="AD1881" i="3" s="1"/>
  <c r="V1880" i="3"/>
  <c r="AD1880" i="3" s="1"/>
  <c r="V1879" i="3"/>
  <c r="AD1879" i="3" s="1"/>
  <c r="V1878" i="3"/>
  <c r="AD1878" i="3" s="1"/>
  <c r="V1877" i="3"/>
  <c r="AD1877" i="3" s="1"/>
  <c r="V1876" i="3"/>
  <c r="AD1876" i="3" s="1"/>
  <c r="V1875" i="3"/>
  <c r="AD1875" i="3" s="1"/>
  <c r="V1874" i="3"/>
  <c r="AD1874" i="3" s="1"/>
  <c r="V1873" i="3"/>
  <c r="AD1873" i="3" s="1"/>
  <c r="V1872" i="3"/>
  <c r="AD1872" i="3" s="1"/>
  <c r="V1871" i="3"/>
  <c r="AD1871" i="3" s="1"/>
  <c r="V1870" i="3"/>
  <c r="AD1870" i="3" s="1"/>
  <c r="V1869" i="3"/>
  <c r="AD1869" i="3" s="1"/>
  <c r="V1868" i="3"/>
  <c r="AD1868" i="3" s="1"/>
  <c r="V1867" i="3"/>
  <c r="AD1867" i="3" s="1"/>
  <c r="V1866" i="3"/>
  <c r="AD1866" i="3" s="1"/>
  <c r="V1865" i="3"/>
  <c r="AD1865" i="3" s="1"/>
  <c r="V1863" i="3"/>
  <c r="AD1863" i="3" s="1"/>
  <c r="V1862" i="3"/>
  <c r="AD1862" i="3" s="1"/>
  <c r="V1861" i="3"/>
  <c r="AD1861" i="3" s="1"/>
  <c r="V1860" i="3"/>
  <c r="AD1860" i="3" s="1"/>
  <c r="V1859" i="3"/>
  <c r="AD1859" i="3" s="1"/>
  <c r="V1858" i="3"/>
  <c r="AD1858" i="3" s="1"/>
  <c r="V1857" i="3"/>
  <c r="AD1857" i="3" s="1"/>
  <c r="V1856" i="3"/>
  <c r="AD1856" i="3" s="1"/>
  <c r="V1855" i="3"/>
  <c r="AD1855" i="3" s="1"/>
  <c r="V1854" i="3"/>
  <c r="AD1854" i="3" s="1"/>
  <c r="V1853" i="3"/>
  <c r="AD1853" i="3" s="1"/>
  <c r="V1852" i="3"/>
  <c r="AD1852" i="3" s="1"/>
  <c r="V1851" i="3"/>
  <c r="AD1851" i="3" s="1"/>
  <c r="V1850" i="3"/>
  <c r="AD1850" i="3" s="1"/>
  <c r="V1849" i="3"/>
  <c r="AD1849" i="3" s="1"/>
  <c r="V1848" i="3"/>
  <c r="AD1848" i="3" s="1"/>
  <c r="V1847" i="3"/>
  <c r="AD1847" i="3" s="1"/>
  <c r="V1846" i="3"/>
  <c r="AD1846" i="3" s="1"/>
  <c r="V1845" i="3"/>
  <c r="AD1845" i="3" s="1"/>
  <c r="V1844" i="3"/>
  <c r="AD1844" i="3" s="1"/>
  <c r="V1843" i="3"/>
  <c r="AD1843" i="3" s="1"/>
  <c r="V1842" i="3"/>
  <c r="AD1842" i="3" s="1"/>
  <c r="V1841" i="3"/>
  <c r="AD1841" i="3" s="1"/>
  <c r="V1840" i="3"/>
  <c r="AD1840" i="3" s="1"/>
  <c r="V1839" i="3"/>
  <c r="AD1839" i="3" s="1"/>
  <c r="V1837" i="3"/>
  <c r="AD1837" i="3" s="1"/>
  <c r="V1836" i="3"/>
  <c r="AD1836" i="3" s="1"/>
  <c r="V1835" i="3"/>
  <c r="AD1835" i="3" s="1"/>
  <c r="V1834" i="3"/>
  <c r="AD1834" i="3" s="1"/>
  <c r="V1833" i="3"/>
  <c r="AD1833" i="3" s="1"/>
  <c r="V1832" i="3"/>
  <c r="AD1832" i="3" s="1"/>
  <c r="V1831" i="3"/>
  <c r="AD1831" i="3" s="1"/>
  <c r="V1830" i="3"/>
  <c r="AD1830" i="3" s="1"/>
  <c r="V1829" i="3"/>
  <c r="AD1829" i="3" s="1"/>
  <c r="V1828" i="3"/>
  <c r="AD1828" i="3" s="1"/>
  <c r="V1827" i="3"/>
  <c r="AD1827" i="3" s="1"/>
  <c r="V1826" i="3"/>
  <c r="AD1826" i="3" s="1"/>
  <c r="V1825" i="3"/>
  <c r="AD1825" i="3" s="1"/>
  <c r="V1824" i="3"/>
  <c r="AD1824" i="3" s="1"/>
  <c r="V1822" i="3"/>
  <c r="AD1822" i="3" s="1"/>
  <c r="V1821" i="3"/>
  <c r="AD1821" i="3" s="1"/>
  <c r="V1820" i="3"/>
  <c r="AD1820" i="3" s="1"/>
  <c r="V1819" i="3"/>
  <c r="AD1819" i="3" s="1"/>
  <c r="V1818" i="3"/>
  <c r="AD1818" i="3" s="1"/>
  <c r="V1817" i="3"/>
  <c r="AD1817" i="3" s="1"/>
  <c r="V1816" i="3"/>
  <c r="AD1816" i="3" s="1"/>
  <c r="V1815" i="3"/>
  <c r="AD1815" i="3" s="1"/>
  <c r="V1814" i="3"/>
  <c r="AD1814" i="3" s="1"/>
  <c r="V1813" i="3"/>
  <c r="AD1813" i="3" s="1"/>
  <c r="V1812" i="3"/>
  <c r="AD1812" i="3" s="1"/>
  <c r="V1811" i="3"/>
  <c r="AD1811" i="3" s="1"/>
  <c r="V1810" i="3"/>
  <c r="AD1810" i="3" s="1"/>
  <c r="V1809" i="3"/>
  <c r="AD1809" i="3" s="1"/>
  <c r="V1806" i="3"/>
  <c r="AD1806" i="3" s="1"/>
  <c r="V1802" i="3"/>
  <c r="AD1802" i="3" s="1"/>
  <c r="V1801" i="3"/>
  <c r="AD1801" i="3" s="1"/>
  <c r="V1800" i="3"/>
  <c r="AD1800" i="3" s="1"/>
  <c r="V1799" i="3"/>
  <c r="AD1799" i="3" s="1"/>
  <c r="V1795" i="3"/>
  <c r="AD1795" i="3" s="1"/>
  <c r="V1794" i="3"/>
  <c r="AD1794" i="3" s="1"/>
  <c r="V1793" i="3"/>
  <c r="AD1793" i="3" s="1"/>
  <c r="V1792" i="3"/>
  <c r="AD1792" i="3" s="1"/>
  <c r="V1791" i="3"/>
  <c r="AD1791" i="3" s="1"/>
  <c r="V1790" i="3"/>
  <c r="AD1790" i="3" s="1"/>
  <c r="V1789" i="3"/>
  <c r="AD1789" i="3" s="1"/>
  <c r="V1788" i="3"/>
  <c r="AD1788" i="3" s="1"/>
  <c r="V1787" i="3"/>
  <c r="AD1787" i="3" s="1"/>
  <c r="V1786" i="3"/>
  <c r="AD1786" i="3" s="1"/>
  <c r="V1785" i="3"/>
  <c r="AD1785" i="3" s="1"/>
  <c r="V1784" i="3"/>
  <c r="AD1784" i="3" s="1"/>
  <c r="V1783" i="3"/>
  <c r="AD1783" i="3" s="1"/>
  <c r="V1782" i="3"/>
  <c r="AD1782" i="3" s="1"/>
  <c r="V1781" i="3"/>
  <c r="AD1781" i="3" s="1"/>
  <c r="V1780" i="3"/>
  <c r="AD1780" i="3" s="1"/>
  <c r="V1779" i="3"/>
  <c r="AD1779" i="3" s="1"/>
  <c r="V1778" i="3"/>
  <c r="AD1778" i="3" s="1"/>
  <c r="V1777" i="3"/>
  <c r="AD1777" i="3" s="1"/>
  <c r="V1776" i="3"/>
  <c r="AD1776" i="3" s="1"/>
  <c r="V1775" i="3"/>
  <c r="AD1775" i="3" s="1"/>
  <c r="V1774" i="3"/>
  <c r="AD1774" i="3" s="1"/>
  <c r="V1773" i="3"/>
  <c r="AD1773" i="3" s="1"/>
  <c r="V1772" i="3"/>
  <c r="AD1772" i="3" s="1"/>
  <c r="V1771" i="3"/>
  <c r="AD1771" i="3" s="1"/>
  <c r="V1770" i="3"/>
  <c r="AD1770" i="3" s="1"/>
  <c r="V1769" i="3"/>
  <c r="AD1769" i="3" s="1"/>
  <c r="V1768" i="3"/>
  <c r="AD1768" i="3" s="1"/>
  <c r="V1767" i="3"/>
  <c r="AD1767" i="3" s="1"/>
  <c r="V1766" i="3"/>
  <c r="AD1766" i="3" s="1"/>
  <c r="V1765" i="3"/>
  <c r="AD1765" i="3" s="1"/>
  <c r="V1764" i="3"/>
  <c r="AD1764" i="3" s="1"/>
  <c r="V1761" i="3"/>
  <c r="AD1761" i="3" s="1"/>
  <c r="V1760" i="3"/>
  <c r="AD1760" i="3" s="1"/>
  <c r="V1759" i="3"/>
  <c r="AD1759" i="3" s="1"/>
  <c r="V1758" i="3"/>
  <c r="AD1758" i="3" s="1"/>
  <c r="V1757" i="3"/>
  <c r="AD1757" i="3" s="1"/>
  <c r="V1756" i="3"/>
  <c r="AD1756" i="3" s="1"/>
  <c r="V1755" i="3"/>
  <c r="AD1755" i="3" s="1"/>
  <c r="V1754" i="3"/>
  <c r="AD1754" i="3" s="1"/>
  <c r="V1753" i="3"/>
  <c r="AD1753" i="3" s="1"/>
  <c r="V1752" i="3"/>
  <c r="AD1752" i="3" s="1"/>
  <c r="V1751" i="3"/>
  <c r="AD1751" i="3" s="1"/>
  <c r="V1750" i="3"/>
  <c r="AD1750" i="3" s="1"/>
  <c r="V1749" i="3"/>
  <c r="AD1749" i="3" s="1"/>
  <c r="V1748" i="3"/>
  <c r="AD1748" i="3" s="1"/>
  <c r="V1747" i="3"/>
  <c r="AD1747" i="3" s="1"/>
  <c r="V1746" i="3"/>
  <c r="AD1746" i="3" s="1"/>
  <c r="V1745" i="3"/>
  <c r="AD1745" i="3" s="1"/>
  <c r="V1744" i="3"/>
  <c r="AD1744" i="3" s="1"/>
  <c r="V1743" i="3"/>
  <c r="AD1743" i="3" s="1"/>
  <c r="V1742" i="3"/>
  <c r="AD1742" i="3" s="1"/>
  <c r="V1741" i="3"/>
  <c r="AD1741" i="3" s="1"/>
  <c r="V1740" i="3"/>
  <c r="AD1740" i="3" s="1"/>
  <c r="V1739" i="3"/>
  <c r="AD1739" i="3" s="1"/>
  <c r="V1738" i="3"/>
  <c r="AD1738" i="3" s="1"/>
  <c r="V1737" i="3"/>
  <c r="AD1737" i="3" s="1"/>
  <c r="V1736" i="3"/>
  <c r="AD1736" i="3" s="1"/>
  <c r="V1735" i="3"/>
  <c r="AD1735" i="3" s="1"/>
  <c r="V1734" i="3"/>
  <c r="AD1734" i="3" s="1"/>
  <c r="V1733" i="3"/>
  <c r="AD1733" i="3" s="1"/>
  <c r="V1732" i="3"/>
  <c r="AD1732" i="3" s="1"/>
  <c r="V1731" i="3"/>
  <c r="AD1731" i="3" s="1"/>
  <c r="V1730" i="3"/>
  <c r="AD1730" i="3" s="1"/>
  <c r="V1729" i="3"/>
  <c r="AD1729" i="3" s="1"/>
  <c r="V1728" i="3"/>
  <c r="AD1728" i="3" s="1"/>
  <c r="V1727" i="3"/>
  <c r="AD1727" i="3" s="1"/>
  <c r="V1726" i="3"/>
  <c r="AD1726" i="3" s="1"/>
  <c r="V1725" i="3"/>
  <c r="AD1725" i="3" s="1"/>
  <c r="V1724" i="3"/>
  <c r="AD1724" i="3" s="1"/>
  <c r="V1723" i="3"/>
  <c r="AD1723" i="3" s="1"/>
  <c r="V1722" i="3"/>
  <c r="AD1722" i="3" s="1"/>
  <c r="V1721" i="3"/>
  <c r="AD1721" i="3" s="1"/>
  <c r="V1720" i="3"/>
  <c r="AD1720" i="3" s="1"/>
  <c r="V1719" i="3"/>
  <c r="AD1719" i="3" s="1"/>
  <c r="V1718" i="3"/>
  <c r="AD1718" i="3" s="1"/>
  <c r="V1717" i="3"/>
  <c r="AD1717" i="3" s="1"/>
  <c r="V1716" i="3"/>
  <c r="AD1716" i="3" s="1"/>
  <c r="V1715" i="3"/>
  <c r="AD1715" i="3" s="1"/>
  <c r="V1714" i="3"/>
  <c r="AD1714" i="3" s="1"/>
  <c r="V1713" i="3"/>
  <c r="AD1713" i="3" s="1"/>
  <c r="V1712" i="3"/>
  <c r="AD1712" i="3" s="1"/>
  <c r="V1711" i="3"/>
  <c r="AD1711" i="3" s="1"/>
  <c r="V1710" i="3"/>
  <c r="AD1710" i="3" s="1"/>
  <c r="V1709" i="3"/>
  <c r="AD1709" i="3" s="1"/>
  <c r="V1708" i="3"/>
  <c r="AD1708" i="3" s="1"/>
  <c r="V1707" i="3"/>
  <c r="AD1707" i="3" s="1"/>
  <c r="V1706" i="3"/>
  <c r="AD1706" i="3" s="1"/>
  <c r="V1705" i="3"/>
  <c r="AD1705" i="3" s="1"/>
  <c r="V1704" i="3"/>
  <c r="AD1704" i="3" s="1"/>
  <c r="V1703" i="3"/>
  <c r="AD1703" i="3" s="1"/>
  <c r="V1702" i="3"/>
  <c r="AD1702" i="3" s="1"/>
  <c r="V1701" i="3"/>
  <c r="AD1701" i="3" s="1"/>
  <c r="V1700" i="3"/>
  <c r="AD1700" i="3" s="1"/>
  <c r="V1699" i="3"/>
  <c r="AD1699" i="3" s="1"/>
  <c r="V1698" i="3"/>
  <c r="AD1698" i="3" s="1"/>
  <c r="V1697" i="3"/>
  <c r="AD1697" i="3" s="1"/>
  <c r="V1696" i="3"/>
  <c r="AD1696" i="3" s="1"/>
  <c r="V1695" i="3"/>
  <c r="AD1695" i="3" s="1"/>
  <c r="V1694" i="3"/>
  <c r="AD1694" i="3" s="1"/>
  <c r="V1693" i="3"/>
  <c r="AD1693" i="3" s="1"/>
  <c r="V1692" i="3"/>
  <c r="AD1692" i="3" s="1"/>
  <c r="V1691" i="3"/>
  <c r="AD1691" i="3" s="1"/>
  <c r="V1690" i="3"/>
  <c r="AD1690" i="3" s="1"/>
  <c r="V1689" i="3"/>
  <c r="AD1689" i="3" s="1"/>
  <c r="V1688" i="3"/>
  <c r="AD1688" i="3" s="1"/>
  <c r="V1687" i="3"/>
  <c r="AD1687" i="3" s="1"/>
  <c r="V1686" i="3"/>
  <c r="AD1686" i="3" s="1"/>
  <c r="V1685" i="3"/>
  <c r="AD1685" i="3" s="1"/>
  <c r="V1684" i="3"/>
  <c r="AD1684" i="3" s="1"/>
  <c r="V1683" i="3"/>
  <c r="AD1683" i="3" s="1"/>
  <c r="V1682" i="3"/>
  <c r="AD1682" i="3" s="1"/>
  <c r="V1681" i="3"/>
  <c r="AD1681" i="3" s="1"/>
  <c r="V1680" i="3"/>
  <c r="AD1680" i="3" s="1"/>
  <c r="V1679" i="3"/>
  <c r="AD1679" i="3" s="1"/>
  <c r="V1678" i="3"/>
  <c r="AD1678" i="3" s="1"/>
  <c r="V1677" i="3"/>
  <c r="AD1677" i="3" s="1"/>
  <c r="V1676" i="3"/>
  <c r="AD1676" i="3" s="1"/>
  <c r="V1675" i="3"/>
  <c r="AD1675" i="3" s="1"/>
  <c r="V1674" i="3"/>
  <c r="AD1674" i="3" s="1"/>
  <c r="V1673" i="3"/>
  <c r="AD1673" i="3" s="1"/>
  <c r="V1672" i="3"/>
  <c r="AD1672" i="3" s="1"/>
  <c r="V1671" i="3"/>
  <c r="AD1671" i="3" s="1"/>
  <c r="V1670" i="3"/>
  <c r="AD1670" i="3" s="1"/>
  <c r="V1669" i="3"/>
  <c r="AD1669" i="3" s="1"/>
  <c r="V1668" i="3"/>
  <c r="AD1668" i="3" s="1"/>
  <c r="V1667" i="3"/>
  <c r="AD1667" i="3" s="1"/>
  <c r="V1666" i="3"/>
  <c r="AD1666" i="3" s="1"/>
  <c r="V1665" i="3"/>
  <c r="AD1665" i="3" s="1"/>
  <c r="V1664" i="3"/>
  <c r="AD1664" i="3" s="1"/>
  <c r="V1663" i="3"/>
  <c r="AD1663" i="3" s="1"/>
  <c r="V1662" i="3"/>
  <c r="AD1662" i="3" s="1"/>
  <c r="V1661" i="3"/>
  <c r="AD1661" i="3" s="1"/>
  <c r="V1660" i="3"/>
  <c r="AD1660" i="3" s="1"/>
  <c r="V1659" i="3"/>
  <c r="AD1659" i="3" s="1"/>
  <c r="V1658" i="3"/>
  <c r="AD1658" i="3" s="1"/>
  <c r="V1657" i="3"/>
  <c r="AD1657" i="3" s="1"/>
  <c r="V1656" i="3"/>
  <c r="AD1656" i="3" s="1"/>
  <c r="V1655" i="3"/>
  <c r="AD1655" i="3" s="1"/>
  <c r="V1654" i="3"/>
  <c r="AD1654" i="3" s="1"/>
  <c r="V1653" i="3"/>
  <c r="AD1653" i="3" s="1"/>
  <c r="V1652" i="3"/>
  <c r="AD1652" i="3" s="1"/>
  <c r="V1651" i="3"/>
  <c r="AD1651" i="3" s="1"/>
  <c r="V1650" i="3"/>
  <c r="AD1650" i="3" s="1"/>
  <c r="V1649" i="3"/>
  <c r="AD1649" i="3" s="1"/>
  <c r="V1648" i="3"/>
  <c r="AD1648" i="3" s="1"/>
  <c r="V1647" i="3"/>
  <c r="AD1647" i="3" s="1"/>
  <c r="V1646" i="3"/>
  <c r="AD1646" i="3" s="1"/>
  <c r="V1645" i="3"/>
  <c r="AD1645" i="3" s="1"/>
  <c r="V1644" i="3"/>
  <c r="AD1644" i="3" s="1"/>
  <c r="V1643" i="3"/>
  <c r="AD1643" i="3" s="1"/>
  <c r="V1642" i="3"/>
  <c r="AD1642" i="3" s="1"/>
  <c r="V1641" i="3"/>
  <c r="AD1641" i="3" s="1"/>
  <c r="V1640" i="3"/>
  <c r="AD1640" i="3" s="1"/>
  <c r="V1639" i="3"/>
  <c r="AD1639" i="3" s="1"/>
  <c r="V1638" i="3"/>
  <c r="AD1638" i="3" s="1"/>
  <c r="V1637" i="3"/>
  <c r="AD1637" i="3" s="1"/>
  <c r="V1636" i="3"/>
  <c r="AD1636" i="3" s="1"/>
  <c r="V1635" i="3"/>
  <c r="AD1635" i="3" s="1"/>
  <c r="V1634" i="3"/>
  <c r="AD1634" i="3" s="1"/>
  <c r="V1633" i="3"/>
  <c r="AD1633" i="3" s="1"/>
  <c r="V1632" i="3"/>
  <c r="AD1632" i="3" s="1"/>
  <c r="V1631" i="3"/>
  <c r="AD1631" i="3" s="1"/>
  <c r="V1630" i="3"/>
  <c r="AD1630" i="3" s="1"/>
  <c r="V1629" i="3"/>
  <c r="AD1629" i="3" s="1"/>
  <c r="V1628" i="3"/>
  <c r="AD1628" i="3" s="1"/>
  <c r="V1627" i="3"/>
  <c r="AD1627" i="3" s="1"/>
  <c r="V1626" i="3"/>
  <c r="AD1626" i="3" s="1"/>
  <c r="V1625" i="3"/>
  <c r="AD1625" i="3" s="1"/>
  <c r="V1624" i="3"/>
  <c r="AD1624" i="3" s="1"/>
  <c r="V1623" i="3"/>
  <c r="AD1623" i="3" s="1"/>
  <c r="V1622" i="3"/>
  <c r="AD1622" i="3" s="1"/>
  <c r="V1621" i="3"/>
  <c r="AD1621" i="3" s="1"/>
  <c r="V1620" i="3"/>
  <c r="AD1620" i="3" s="1"/>
  <c r="V1619" i="3"/>
  <c r="AD1619" i="3" s="1"/>
  <c r="V1618" i="3"/>
  <c r="AD1618" i="3" s="1"/>
  <c r="V1617" i="3"/>
  <c r="AD1617" i="3" s="1"/>
  <c r="V1616" i="3"/>
  <c r="AD1616" i="3" s="1"/>
  <c r="V1615" i="3"/>
  <c r="AD1615" i="3" s="1"/>
  <c r="V1614" i="3"/>
  <c r="AD1614" i="3" s="1"/>
  <c r="V1613" i="3"/>
  <c r="AD1613" i="3" s="1"/>
  <c r="V1612" i="3"/>
  <c r="AD1612" i="3" s="1"/>
  <c r="V1611" i="3"/>
  <c r="AD1611" i="3" s="1"/>
  <c r="V1610" i="3"/>
  <c r="AD1610" i="3" s="1"/>
  <c r="V1609" i="3"/>
  <c r="AD1609" i="3" s="1"/>
  <c r="V1608" i="3"/>
  <c r="AD1608" i="3" s="1"/>
  <c r="V1607" i="3"/>
  <c r="AD1607" i="3" s="1"/>
  <c r="V1606" i="3"/>
  <c r="AD1606" i="3" s="1"/>
  <c r="V1605" i="3"/>
  <c r="AD1605" i="3" s="1"/>
  <c r="V1604" i="3"/>
  <c r="AD1604" i="3" s="1"/>
  <c r="V1603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AB1615" i="3"/>
  <c r="AB1616" i="3"/>
  <c r="AB1617" i="3"/>
  <c r="AB1618" i="3"/>
  <c r="AB1619" i="3"/>
  <c r="AB1620" i="3"/>
  <c r="AB1621" i="3"/>
  <c r="AB1622" i="3"/>
  <c r="AB1613" i="3"/>
  <c r="AB1614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2096" i="3"/>
  <c r="AB2092" i="3"/>
  <c r="AB2091" i="3"/>
  <c r="AB2090" i="3"/>
  <c r="AB2089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3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1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8" i="3"/>
  <c r="AB1587" i="3"/>
  <c r="AB1586" i="3"/>
  <c r="AB1585" i="3"/>
  <c r="AB1584" i="3"/>
  <c r="AB1583" i="3"/>
  <c r="AB1582" i="3"/>
  <c r="AB1581" i="3"/>
  <c r="AB1603" i="3"/>
  <c r="AB1604" i="3"/>
  <c r="AB1605" i="3"/>
  <c r="AB1606" i="3"/>
  <c r="AB1607" i="3"/>
  <c r="AB1608" i="3"/>
  <c r="AB1609" i="3"/>
  <c r="AB1610" i="3"/>
  <c r="AB1611" i="3"/>
  <c r="AB1612" i="3"/>
  <c r="P1960" i="2" l="1"/>
  <c r="T406" i="2"/>
  <c r="P406" i="2"/>
  <c r="T2473" i="2"/>
  <c r="P2473" i="2"/>
  <c r="V1823" i="3"/>
  <c r="AD1823" i="3" s="1"/>
  <c r="R2096" i="3"/>
  <c r="V2096" i="3" l="1"/>
  <c r="AD2096" i="3" s="1"/>
  <c r="Q1838" i="3"/>
  <c r="V1838" i="3" s="1"/>
  <c r="AD1838" i="3" s="1"/>
  <c r="Q1864" i="3"/>
  <c r="V1864" i="3" s="1"/>
  <c r="AD1864" i="3" s="1"/>
  <c r="AB2093" i="3"/>
  <c r="R1808" i="3"/>
  <c r="R1807" i="3"/>
  <c r="R1805" i="3"/>
  <c r="R1804" i="3"/>
  <c r="R1803" i="3"/>
  <c r="R1798" i="3"/>
  <c r="R1797" i="3"/>
  <c r="R1796" i="3"/>
  <c r="U1763" i="3"/>
  <c r="T1763" i="3"/>
  <c r="R1763" i="3"/>
  <c r="U1762" i="3"/>
  <c r="T1762" i="3"/>
  <c r="R1762" i="3"/>
  <c r="U1602" i="3"/>
  <c r="T1602" i="3"/>
  <c r="R1602" i="3"/>
  <c r="V1579" i="3"/>
  <c r="V1805" i="3" l="1"/>
  <c r="AD1805" i="3" s="1"/>
  <c r="V1797" i="3"/>
  <c r="AD1797" i="3" s="1"/>
  <c r="V1807" i="3"/>
  <c r="AD1807" i="3" s="1"/>
  <c r="V1808" i="3"/>
  <c r="AD1808" i="3" s="1"/>
  <c r="V1796" i="3"/>
  <c r="AD1796" i="3" s="1"/>
  <c r="V1798" i="3"/>
  <c r="AD1798" i="3" s="1"/>
  <c r="V1803" i="3"/>
  <c r="AD1803" i="3" s="1"/>
  <c r="V1804" i="3"/>
  <c r="AD1804" i="3" s="1"/>
  <c r="V1602" i="3"/>
  <c r="V1762" i="3"/>
  <c r="AD1762" i="3" s="1"/>
  <c r="V1763" i="3"/>
  <c r="AD1763" i="3" s="1"/>
  <c r="L13" i="4"/>
  <c r="M19" i="4"/>
  <c r="AB3857" i="3"/>
  <c r="AB3856" i="3"/>
  <c r="AB3855" i="3"/>
  <c r="AB3854" i="3"/>
  <c r="AB3853" i="3"/>
  <c r="AB3852" i="3"/>
  <c r="AB3851" i="3"/>
  <c r="AB3850" i="3"/>
  <c r="AB3849" i="3"/>
  <c r="AB3848" i="3"/>
  <c r="AB3847" i="3"/>
  <c r="AB3846" i="3"/>
  <c r="AB3845" i="3"/>
  <c r="AB3844" i="3"/>
  <c r="AB3843" i="3"/>
  <c r="AB3842" i="3"/>
  <c r="AB3841" i="3"/>
  <c r="AB3840" i="3"/>
  <c r="AB3839" i="3"/>
  <c r="AB3838" i="3"/>
  <c r="AB3837" i="3"/>
  <c r="AB3836" i="3"/>
  <c r="AB3835" i="3"/>
  <c r="AB3834" i="3"/>
  <c r="AB3833" i="3"/>
  <c r="AB3832" i="3"/>
  <c r="AB3831" i="3"/>
  <c r="AB3830" i="3"/>
  <c r="AB3829" i="3"/>
  <c r="AB3828" i="3"/>
  <c r="AB3827" i="3"/>
  <c r="AB3826" i="3"/>
  <c r="AB3825" i="3"/>
  <c r="AB3824" i="3"/>
  <c r="AB3823" i="3"/>
  <c r="AB3822" i="3"/>
  <c r="AB3821" i="3"/>
  <c r="AB3820" i="3"/>
  <c r="AB3819" i="3"/>
  <c r="AB3818" i="3"/>
  <c r="AB3817" i="3"/>
  <c r="AB3816" i="3"/>
  <c r="AB3815" i="3"/>
  <c r="AB3814" i="3"/>
  <c r="AB3813" i="3"/>
  <c r="AB3812" i="3"/>
  <c r="AB3811" i="3"/>
  <c r="AB3810" i="3"/>
  <c r="AB3809" i="3"/>
  <c r="AB3808" i="3"/>
  <c r="AB3807" i="3"/>
  <c r="AB3806" i="3"/>
  <c r="AB3805" i="3"/>
  <c r="AB3804" i="3"/>
  <c r="AB3803" i="3"/>
  <c r="AB3802" i="3"/>
  <c r="AB3801" i="3"/>
  <c r="AB3800" i="3"/>
  <c r="AB3799" i="3"/>
  <c r="AB3798" i="3"/>
  <c r="AB3797" i="3"/>
  <c r="AB3796" i="3"/>
  <c r="AB3795" i="3"/>
  <c r="AB3794" i="3"/>
  <c r="AB3793" i="3"/>
  <c r="AB3792" i="3"/>
  <c r="AB3791" i="3"/>
  <c r="AB3790" i="3"/>
  <c r="AB3789" i="3"/>
  <c r="AB3788" i="3"/>
  <c r="AB3787" i="3"/>
  <c r="AB3786" i="3"/>
  <c r="AB3785" i="3"/>
  <c r="AB3784" i="3"/>
  <c r="AB3783" i="3"/>
  <c r="AB3782" i="3"/>
  <c r="AB3781" i="3"/>
  <c r="AB3780" i="3"/>
  <c r="AB3779" i="3"/>
  <c r="AB3778" i="3"/>
  <c r="AB3777" i="3"/>
  <c r="AB3776" i="3"/>
  <c r="AB3775" i="3"/>
  <c r="AB3774" i="3"/>
  <c r="AB3773" i="3"/>
  <c r="AB3772" i="3"/>
  <c r="AB3771" i="3"/>
  <c r="AB3770" i="3"/>
  <c r="AB3769" i="3"/>
  <c r="AB3768" i="3"/>
  <c r="AB3767" i="3"/>
  <c r="AB3766" i="3"/>
  <c r="AB3765" i="3"/>
  <c r="AB3764" i="3"/>
  <c r="AB3763" i="3"/>
  <c r="AB3762" i="3"/>
  <c r="AB3761" i="3"/>
  <c r="AB3760" i="3"/>
  <c r="AB3759" i="3"/>
  <c r="AB3758" i="3"/>
  <c r="AB3757" i="3"/>
  <c r="AB3756" i="3"/>
  <c r="AB3755" i="3"/>
  <c r="AB3754" i="3"/>
  <c r="AB3753" i="3"/>
  <c r="AB3752" i="3"/>
  <c r="AB3751" i="3"/>
  <c r="AB3750" i="3"/>
  <c r="AB3749" i="3"/>
  <c r="AB3748" i="3"/>
  <c r="AB3747" i="3"/>
  <c r="AB3746" i="3"/>
  <c r="AB3745" i="3"/>
  <c r="AB3744" i="3"/>
  <c r="AB3743" i="3"/>
  <c r="AB3742" i="3"/>
  <c r="AB3741" i="3"/>
  <c r="AB3740" i="3"/>
  <c r="AB3739" i="3"/>
  <c r="AB3738" i="3"/>
  <c r="AB3737" i="3"/>
  <c r="AB3736" i="3"/>
  <c r="AB3735" i="3"/>
  <c r="AB3734" i="3"/>
  <c r="AB3733" i="3"/>
  <c r="AB3732" i="3"/>
  <c r="AB3731" i="3"/>
  <c r="AB3730" i="3"/>
  <c r="AB3729" i="3"/>
  <c r="AB3728" i="3"/>
  <c r="AB3727" i="3"/>
  <c r="AB3726" i="3"/>
  <c r="AB3725" i="3"/>
  <c r="AB3724" i="3"/>
  <c r="AB3723" i="3"/>
  <c r="AB3722" i="3"/>
  <c r="AB3721" i="3"/>
  <c r="AB3720" i="3"/>
  <c r="AB3719" i="3"/>
  <c r="AB3718" i="3"/>
  <c r="AB3717" i="3"/>
  <c r="AB3716" i="3"/>
  <c r="AB3715" i="3"/>
  <c r="AB3714" i="3"/>
  <c r="AB3713" i="3"/>
  <c r="AB3712" i="3"/>
  <c r="AB3711" i="3"/>
  <c r="AB3710" i="3"/>
  <c r="AB3709" i="3"/>
  <c r="AB3708" i="3"/>
  <c r="AB3707" i="3"/>
  <c r="AB3706" i="3"/>
  <c r="AB3705" i="3"/>
  <c r="AB3704" i="3"/>
  <c r="AB3703" i="3"/>
  <c r="AB3702" i="3"/>
  <c r="AB3701" i="3"/>
  <c r="AB3700" i="3"/>
  <c r="AB3699" i="3"/>
  <c r="AB3698" i="3"/>
  <c r="AB3697" i="3"/>
  <c r="AB3696" i="3"/>
  <c r="AB3695" i="3"/>
  <c r="AB3694" i="3"/>
  <c r="AB3693" i="3"/>
  <c r="AB3692" i="3"/>
  <c r="AB3691" i="3"/>
  <c r="AB3690" i="3"/>
  <c r="AB3689" i="3"/>
  <c r="AB3688" i="3"/>
  <c r="AB3687" i="3"/>
  <c r="AB3686" i="3"/>
  <c r="AB3685" i="3"/>
  <c r="AB3684" i="3"/>
  <c r="AB3683" i="3"/>
  <c r="AB3682" i="3"/>
  <c r="AB3681" i="3"/>
  <c r="AB3680" i="3"/>
  <c r="AB3679" i="3"/>
  <c r="AB3678" i="3"/>
  <c r="AB3677" i="3"/>
  <c r="AB3676" i="3"/>
  <c r="AB3675" i="3"/>
  <c r="AB3674" i="3"/>
  <c r="AB3673" i="3"/>
  <c r="AB3672" i="3"/>
  <c r="AB3671" i="3"/>
  <c r="AB3670" i="3"/>
  <c r="AB3669" i="3"/>
  <c r="AB3668" i="3"/>
  <c r="AB3667" i="3"/>
  <c r="AB3666" i="3"/>
  <c r="AB3665" i="3"/>
  <c r="AB3664" i="3"/>
  <c r="AB3663" i="3"/>
  <c r="AB3662" i="3"/>
  <c r="AB3661" i="3"/>
  <c r="AB3660" i="3"/>
  <c r="AB3659" i="3"/>
  <c r="AB3658" i="3"/>
  <c r="AB3657" i="3"/>
  <c r="AB3656" i="3"/>
  <c r="AB3655" i="3"/>
  <c r="AB3654" i="3"/>
  <c r="AB3653" i="3"/>
  <c r="AB3652" i="3"/>
  <c r="AB3651" i="3"/>
  <c r="AB3650" i="3"/>
  <c r="AB3649" i="3"/>
  <c r="AB3648" i="3"/>
  <c r="AB3647" i="3"/>
  <c r="AB3646" i="3"/>
  <c r="AB3645" i="3"/>
  <c r="AB3644" i="3"/>
  <c r="AB3643" i="3"/>
  <c r="AB3642" i="3"/>
  <c r="AB3641" i="3"/>
  <c r="AB3640" i="3"/>
  <c r="AB3639" i="3"/>
  <c r="AB3638" i="3"/>
  <c r="AB3637" i="3"/>
  <c r="AB3636" i="3"/>
  <c r="AB3635" i="3"/>
  <c r="AB3634" i="3"/>
  <c r="AB3633" i="3"/>
  <c r="AB3632" i="3"/>
  <c r="AB3631" i="3"/>
  <c r="AB3630" i="3"/>
  <c r="AB3629" i="3"/>
  <c r="AB3628" i="3"/>
  <c r="AB3627" i="3"/>
  <c r="AB3626" i="3"/>
  <c r="AB3625" i="3"/>
  <c r="AB3624" i="3"/>
  <c r="AB3623" i="3"/>
  <c r="AB3622" i="3"/>
  <c r="AB3621" i="3"/>
  <c r="AB3620" i="3"/>
  <c r="AB3619" i="3"/>
  <c r="AB3618" i="3"/>
  <c r="AB3617" i="3"/>
  <c r="AB3616" i="3"/>
  <c r="AB3615" i="3"/>
  <c r="AB3614" i="3"/>
  <c r="AB3613" i="3"/>
  <c r="AB3612" i="3"/>
  <c r="AB3611" i="3"/>
  <c r="AB3610" i="3"/>
  <c r="AB3609" i="3"/>
  <c r="AB3608" i="3"/>
  <c r="AB3607" i="3"/>
  <c r="AB3606" i="3"/>
  <c r="AB3605" i="3"/>
  <c r="AB3604" i="3"/>
  <c r="AB3603" i="3"/>
  <c r="AB3602" i="3"/>
  <c r="AB3601" i="3"/>
  <c r="AB3600" i="3"/>
  <c r="AB3599" i="3"/>
  <c r="AB3598" i="3"/>
  <c r="AB3597" i="3"/>
  <c r="AB3596" i="3"/>
  <c r="AB3595" i="3"/>
  <c r="AB3594" i="3"/>
  <c r="AB3593" i="3"/>
  <c r="AB3592" i="3"/>
  <c r="AB3591" i="3"/>
  <c r="AB3590" i="3"/>
  <c r="AB3589" i="3"/>
  <c r="AB3588" i="3"/>
  <c r="AB3587" i="3"/>
  <c r="AB3586" i="3"/>
  <c r="AB3585" i="3"/>
  <c r="AB3584" i="3"/>
  <c r="AB3583" i="3"/>
  <c r="AB3582" i="3"/>
  <c r="AB3581" i="3"/>
  <c r="AB3580" i="3"/>
  <c r="AB3579" i="3"/>
  <c r="AB3578" i="3"/>
  <c r="AB3577" i="3"/>
  <c r="AB3576" i="3"/>
  <c r="AB3575" i="3"/>
  <c r="AB3574" i="3"/>
  <c r="AB3573" i="3"/>
  <c r="AB3572" i="3"/>
  <c r="AB3571" i="3"/>
  <c r="AB3570" i="3"/>
  <c r="AB3569" i="3"/>
  <c r="AB3568" i="3"/>
  <c r="AB3567" i="3"/>
  <c r="AB3566" i="3"/>
  <c r="AB3565" i="3"/>
  <c r="AB3564" i="3"/>
  <c r="AB3563" i="3"/>
  <c r="AB3562" i="3"/>
  <c r="AB3561" i="3"/>
  <c r="AB3560" i="3"/>
  <c r="AB3559" i="3"/>
  <c r="AB3558" i="3"/>
  <c r="AB3557" i="3"/>
  <c r="AB3556" i="3"/>
  <c r="AB3555" i="3"/>
  <c r="AB3554" i="3"/>
  <c r="AB3553" i="3"/>
  <c r="AB3552" i="3"/>
  <c r="AB3551" i="3"/>
  <c r="AB3550" i="3"/>
  <c r="AB3549" i="3"/>
  <c r="AB3548" i="3"/>
  <c r="AB3547" i="3"/>
  <c r="AB3546" i="3"/>
  <c r="AB3545" i="3"/>
  <c r="AB3544" i="3"/>
  <c r="AB3543" i="3"/>
  <c r="AB3542" i="3"/>
  <c r="AB3541" i="3"/>
  <c r="AB3540" i="3"/>
  <c r="AB3539" i="3"/>
  <c r="AB3538" i="3"/>
  <c r="AB3537" i="3"/>
  <c r="AB3536" i="3"/>
  <c r="AB3535" i="3"/>
  <c r="AB3534" i="3"/>
  <c r="AB3533" i="3"/>
  <c r="AB3532" i="3"/>
  <c r="AB3531" i="3"/>
  <c r="AB3530" i="3"/>
  <c r="AB3529" i="3"/>
  <c r="AB3528" i="3"/>
  <c r="AB3527" i="3"/>
  <c r="AB3526" i="3"/>
  <c r="AB3525" i="3"/>
  <c r="AB3524" i="3"/>
  <c r="AB3523" i="3"/>
  <c r="AB3522" i="3"/>
  <c r="AB3521" i="3"/>
  <c r="AB3520" i="3"/>
  <c r="AB3519" i="3"/>
  <c r="AB3518" i="3"/>
  <c r="AB3517" i="3"/>
  <c r="AB3516" i="3"/>
  <c r="AB3515" i="3"/>
  <c r="AB3514" i="3"/>
  <c r="AB3513" i="3"/>
  <c r="AB3512" i="3"/>
  <c r="AB3511" i="3"/>
  <c r="AB3510" i="3"/>
  <c r="AB3509" i="3"/>
  <c r="AB3508" i="3"/>
  <c r="AB3507" i="3"/>
  <c r="AB3506" i="3"/>
  <c r="AB3505" i="3"/>
  <c r="AB3504" i="3"/>
  <c r="AB3503" i="3"/>
  <c r="AB3502" i="3"/>
  <c r="AB3501" i="3"/>
  <c r="AB3500" i="3"/>
  <c r="AB3499" i="3"/>
  <c r="AB3498" i="3"/>
  <c r="AB3497" i="3"/>
  <c r="AB3496" i="3"/>
  <c r="AB3495" i="3"/>
  <c r="AB3494" i="3"/>
  <c r="AB3493" i="3"/>
  <c r="AB3492" i="3"/>
  <c r="AB3491" i="3"/>
  <c r="AB3490" i="3"/>
  <c r="AB3489" i="3"/>
  <c r="AB3488" i="3"/>
  <c r="AB3487" i="3"/>
  <c r="AB3486" i="3"/>
  <c r="AB3485" i="3"/>
  <c r="AB3484" i="3"/>
  <c r="AB3483" i="3"/>
  <c r="AB3482" i="3"/>
  <c r="AB3481" i="3"/>
  <c r="AB3480" i="3"/>
  <c r="AB3479" i="3"/>
  <c r="AB3478" i="3"/>
  <c r="AB3477" i="3"/>
  <c r="AB3476" i="3"/>
  <c r="AB3475" i="3"/>
  <c r="AB3469" i="3"/>
  <c r="AB3468" i="3"/>
  <c r="AB3467" i="3"/>
  <c r="AB3466" i="3"/>
  <c r="AB3465" i="3"/>
  <c r="AB3464" i="3"/>
  <c r="AB3463" i="3"/>
  <c r="AB3462" i="3"/>
  <c r="AB3461" i="3"/>
  <c r="AB3460" i="3"/>
  <c r="AB3459" i="3"/>
  <c r="AB3458" i="3"/>
  <c r="AB3457" i="3"/>
  <c r="AB3456" i="3"/>
  <c r="AB3455" i="3"/>
  <c r="AB3454" i="3"/>
  <c r="AB3453" i="3"/>
  <c r="AB3452" i="3"/>
  <c r="AB3451" i="3"/>
  <c r="AB3450" i="3"/>
  <c r="AB3449" i="3"/>
  <c r="AB3448" i="3"/>
  <c r="AB3447" i="3"/>
  <c r="AB3446" i="3"/>
  <c r="AB3445" i="3"/>
  <c r="AB3444" i="3"/>
  <c r="AB3443" i="3"/>
  <c r="AB3442" i="3"/>
  <c r="AB3441" i="3"/>
  <c r="AB3440" i="3"/>
  <c r="AB3439" i="3"/>
  <c r="AB3438" i="3"/>
  <c r="AB3437" i="3"/>
  <c r="AB3436" i="3"/>
  <c r="AB3435" i="3"/>
  <c r="AB3434" i="3"/>
  <c r="AB3433" i="3"/>
  <c r="AB3432" i="3"/>
  <c r="AB3431" i="3"/>
  <c r="AB3430" i="3"/>
  <c r="AB3429" i="3"/>
  <c r="AB3428" i="3"/>
  <c r="AB3427" i="3"/>
  <c r="AB3426" i="3"/>
  <c r="AB3425" i="3"/>
  <c r="AB3424" i="3"/>
  <c r="AB3423" i="3"/>
  <c r="AB3422" i="3"/>
  <c r="AB3421" i="3"/>
  <c r="AB3420" i="3"/>
  <c r="AB3419" i="3"/>
  <c r="AB3418" i="3"/>
  <c r="AB3417" i="3"/>
  <c r="AB3416" i="3"/>
  <c r="AB3415" i="3"/>
  <c r="AB3414" i="3"/>
  <c r="AB3413" i="3"/>
  <c r="AB3412" i="3"/>
  <c r="AB3411" i="3"/>
  <c r="AB3410" i="3"/>
  <c r="AB3409" i="3"/>
  <c r="AB3408" i="3"/>
  <c r="AB3407" i="3"/>
  <c r="AB3406" i="3"/>
  <c r="AB3405" i="3"/>
  <c r="AB3404" i="3"/>
  <c r="AB3403" i="3"/>
  <c r="AB3402" i="3"/>
  <c r="AB3401" i="3"/>
  <c r="AB3400" i="3"/>
  <c r="AB3399" i="3"/>
  <c r="AB3398" i="3"/>
  <c r="AB3397" i="3"/>
  <c r="AB3396" i="3"/>
  <c r="AB3395" i="3"/>
  <c r="AB3394" i="3"/>
  <c r="AB3393" i="3"/>
  <c r="AB3392" i="3"/>
  <c r="AB3391" i="3"/>
  <c r="AB3390" i="3"/>
  <c r="AB3389" i="3"/>
  <c r="AB3388" i="3"/>
  <c r="AB3387" i="3"/>
  <c r="AB3386" i="3"/>
  <c r="AB3385" i="3"/>
  <c r="AB3384" i="3"/>
  <c r="AB3383" i="3"/>
  <c r="AB3382" i="3"/>
  <c r="AB3381" i="3"/>
  <c r="AB3380" i="3"/>
  <c r="AB3379" i="3"/>
  <c r="AB3378" i="3"/>
  <c r="AB3377" i="3"/>
  <c r="AB3376" i="3"/>
  <c r="AB3375" i="3"/>
  <c r="AB3374" i="3"/>
  <c r="AB3373" i="3"/>
  <c r="AB3372" i="3"/>
  <c r="AB3371" i="3"/>
  <c r="AB3370" i="3"/>
  <c r="AB3369" i="3"/>
  <c r="AB3368" i="3"/>
  <c r="AB3367" i="3"/>
  <c r="AB3366" i="3"/>
  <c r="AB3365" i="3"/>
  <c r="AB3364" i="3"/>
  <c r="AB3363" i="3"/>
  <c r="AB3362" i="3"/>
  <c r="AB3361" i="3"/>
  <c r="AB3360" i="3"/>
  <c r="AB3359" i="3"/>
  <c r="AB3358" i="3"/>
  <c r="AB3357" i="3"/>
  <c r="AB3356" i="3"/>
  <c r="AB3355" i="3"/>
  <c r="AB3354" i="3"/>
  <c r="AB3353" i="3"/>
  <c r="AB3352" i="3"/>
  <c r="AB3351" i="3"/>
  <c r="AB3350" i="3"/>
  <c r="AB3349" i="3"/>
  <c r="AB3348" i="3"/>
  <c r="AB3347" i="3"/>
  <c r="AB3346" i="3"/>
  <c r="AB3345" i="3"/>
  <c r="AB3344" i="3"/>
  <c r="AB3343" i="3"/>
  <c r="AB3342" i="3"/>
  <c r="AB3341" i="3"/>
  <c r="AB3340" i="3"/>
  <c r="AB3339" i="3"/>
  <c r="AB3338" i="3"/>
  <c r="AB3337" i="3"/>
  <c r="AB3336" i="3"/>
  <c r="AB3335" i="3"/>
  <c r="AB3334" i="3"/>
  <c r="AB3333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9" i="3"/>
  <c r="AB3298" i="3"/>
  <c r="AB3297" i="3"/>
  <c r="AB3296" i="3"/>
  <c r="AB3295" i="3"/>
  <c r="AB3294" i="3"/>
  <c r="AB3293" i="3"/>
  <c r="AB3292" i="3"/>
  <c r="AB3291" i="3"/>
  <c r="AB3290" i="3"/>
  <c r="AB3289" i="3"/>
  <c r="AB3288" i="3"/>
  <c r="AB3287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71" i="3"/>
  <c r="AB3270" i="3"/>
  <c r="AB3269" i="3"/>
  <c r="AB3268" i="3"/>
  <c r="AB3267" i="3"/>
  <c r="AB3266" i="3"/>
  <c r="AB3265" i="3"/>
  <c r="AB3264" i="3"/>
  <c r="AB3263" i="3"/>
  <c r="AB3262" i="3"/>
  <c r="AB3261" i="3"/>
  <c r="AB3260" i="3"/>
  <c r="AB3259" i="3"/>
  <c r="AB3258" i="3"/>
  <c r="AB3257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3" i="3"/>
  <c r="AB3232" i="3"/>
  <c r="AB3231" i="3"/>
  <c r="AB3230" i="3"/>
  <c r="AB3229" i="3"/>
  <c r="AB3228" i="3"/>
  <c r="AB3227" i="3"/>
  <c r="AB3226" i="3"/>
  <c r="AB3225" i="3"/>
  <c r="AB3224" i="3"/>
  <c r="AB3223" i="3"/>
  <c r="AB3222" i="3"/>
  <c r="AB3221" i="3"/>
  <c r="AB3220" i="3"/>
  <c r="AB3219" i="3"/>
  <c r="AB3218" i="3"/>
  <c r="AB3217" i="3"/>
  <c r="AB3216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4" i="3"/>
  <c r="AB3193" i="3"/>
  <c r="AB3192" i="3"/>
  <c r="AB3191" i="3"/>
  <c r="AB3190" i="3"/>
  <c r="AB3189" i="3"/>
  <c r="AB3188" i="3"/>
  <c r="AB3187" i="3"/>
  <c r="AB3186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70" i="3"/>
  <c r="AB3169" i="3"/>
  <c r="AB3168" i="3"/>
  <c r="AB3167" i="3"/>
  <c r="AB3166" i="3"/>
  <c r="AB3165" i="3"/>
  <c r="AB3164" i="3"/>
  <c r="AB3163" i="3"/>
  <c r="AB3162" i="3"/>
  <c r="AB3161" i="3"/>
  <c r="AB3160" i="3"/>
  <c r="AB3159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6" i="3"/>
  <c r="AB3145" i="3"/>
  <c r="AB3144" i="3"/>
  <c r="AB3143" i="3"/>
  <c r="AB3142" i="3"/>
  <c r="AB3141" i="3"/>
  <c r="AB3140" i="3"/>
  <c r="AB3139" i="3"/>
  <c r="AB3138" i="3"/>
  <c r="AB3137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8" i="3"/>
  <c r="AB3117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8" i="3"/>
  <c r="AB3097" i="3"/>
  <c r="AB3096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3" i="3"/>
  <c r="AB3082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7" i="3"/>
  <c r="AB2956" i="3"/>
  <c r="AB2955" i="3"/>
  <c r="AB2954" i="3"/>
  <c r="AB2953" i="3"/>
  <c r="AB2952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40" i="3"/>
  <c r="AB2939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7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264" i="3"/>
  <c r="AB2263" i="3"/>
  <c r="AB2215" i="3"/>
  <c r="AB2099" i="3"/>
  <c r="AB2098" i="3"/>
  <c r="AB2097" i="3"/>
  <c r="AB2095" i="3"/>
  <c r="AB2094" i="3"/>
  <c r="AB1788" i="3"/>
  <c r="AB1589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30" i="3"/>
  <c r="AB1529" i="3"/>
  <c r="AB1528" i="3"/>
  <c r="AB1527" i="3"/>
  <c r="AB1526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O1404" i="2"/>
  <c r="Y1404" i="2"/>
  <c r="J1404" i="2"/>
  <c r="B1404" i="2"/>
  <c r="L1404" i="2" l="1"/>
  <c r="N1404" i="2" s="1"/>
  <c r="T1404" i="2" s="1"/>
  <c r="Y2134" i="2"/>
  <c r="O2134" i="2"/>
  <c r="J2134" i="2"/>
  <c r="B2134" i="2"/>
  <c r="Y1959" i="2"/>
  <c r="O1959" i="2"/>
  <c r="J1959" i="2"/>
  <c r="B1959" i="2"/>
  <c r="Y1826" i="2"/>
  <c r="O1826" i="2"/>
  <c r="J1826" i="2"/>
  <c r="B1826" i="2"/>
  <c r="Y1812" i="2"/>
  <c r="O1812" i="2"/>
  <c r="J1812" i="2"/>
  <c r="B1812" i="2"/>
  <c r="Y1779" i="2"/>
  <c r="O1779" i="2"/>
  <c r="J1779" i="2"/>
  <c r="B1779" i="2"/>
  <c r="Y1525" i="2"/>
  <c r="O1525" i="2"/>
  <c r="J1525" i="2"/>
  <c r="Y1524" i="2"/>
  <c r="O1524" i="2"/>
  <c r="J1524" i="2"/>
  <c r="B1525" i="2"/>
  <c r="B1524" i="2"/>
  <c r="Y1425" i="2"/>
  <c r="O1425" i="2"/>
  <c r="J1425" i="2"/>
  <c r="B1425" i="2"/>
  <c r="Y1403" i="2"/>
  <c r="O1403" i="2"/>
  <c r="J1403" i="2"/>
  <c r="Y1402" i="2"/>
  <c r="O1402" i="2"/>
  <c r="J1402" i="2"/>
  <c r="B1403" i="2"/>
  <c r="B1402" i="2"/>
  <c r="Y1353" i="2"/>
  <c r="O1353" i="2"/>
  <c r="J1353" i="2"/>
  <c r="B1353" i="2"/>
  <c r="Y1340" i="2"/>
  <c r="O1340" i="2"/>
  <c r="J1340" i="2"/>
  <c r="B1340" i="2"/>
  <c r="Y1322" i="2"/>
  <c r="O1322" i="2"/>
  <c r="J1322" i="2"/>
  <c r="B1322" i="2"/>
  <c r="Y1302" i="2"/>
  <c r="O1302" i="2"/>
  <c r="J1302" i="2"/>
  <c r="B1302" i="2"/>
  <c r="Y691" i="2"/>
  <c r="O691" i="2"/>
  <c r="J691" i="2"/>
  <c r="B691" i="2"/>
  <c r="Y582" i="2"/>
  <c r="O582" i="2"/>
  <c r="J582" i="2"/>
  <c r="B582" i="2"/>
  <c r="Y555" i="2"/>
  <c r="O555" i="2"/>
  <c r="J555" i="2"/>
  <c r="B555" i="2"/>
  <c r="H1805" i="1"/>
  <c r="H1819" i="1"/>
  <c r="H1952" i="1"/>
  <c r="L1826" i="2" l="1"/>
  <c r="N1826" i="2" s="1"/>
  <c r="L2134" i="2"/>
  <c r="N2134" i="2" s="1"/>
  <c r="P1404" i="2"/>
  <c r="L1779" i="2"/>
  <c r="N1779" i="2" s="1"/>
  <c r="L1340" i="2"/>
  <c r="N1340" i="2" s="1"/>
  <c r="L1812" i="2"/>
  <c r="N1812" i="2" s="1"/>
  <c r="L1959" i="2"/>
  <c r="N1959" i="2" s="1"/>
  <c r="L1322" i="2"/>
  <c r="N1322" i="2" s="1"/>
  <c r="L1302" i="2"/>
  <c r="N1302" i="2" s="1"/>
  <c r="L1525" i="2"/>
  <c r="N1525" i="2" s="1"/>
  <c r="L1425" i="2"/>
  <c r="N1425" i="2" s="1"/>
  <c r="L1403" i="2"/>
  <c r="N1403" i="2" s="1"/>
  <c r="L1524" i="2"/>
  <c r="N1524" i="2" s="1"/>
  <c r="L1402" i="2"/>
  <c r="N1402" i="2" s="1"/>
  <c r="L1353" i="2"/>
  <c r="N1353" i="2" s="1"/>
  <c r="L582" i="2"/>
  <c r="N582" i="2" s="1"/>
  <c r="L691" i="2"/>
  <c r="N691" i="2" s="1"/>
  <c r="L555" i="2"/>
  <c r="N555" i="2" s="1"/>
  <c r="T555" i="2" s="1"/>
  <c r="AD1341" i="3"/>
  <c r="AD1342" i="3"/>
  <c r="AD1343" i="3"/>
  <c r="AD628" i="3"/>
  <c r="R629" i="3"/>
  <c r="V629" i="3" s="1"/>
  <c r="T2134" i="2" l="1"/>
  <c r="P2134" i="2"/>
  <c r="T1959" i="2"/>
  <c r="P1959" i="2"/>
  <c r="T1826" i="2"/>
  <c r="P1826" i="2"/>
  <c r="T1812" i="2"/>
  <c r="P1812" i="2"/>
  <c r="T1779" i="2"/>
  <c r="P1779" i="2"/>
  <c r="T1524" i="2"/>
  <c r="P1524" i="2"/>
  <c r="T1525" i="2"/>
  <c r="P1525" i="2"/>
  <c r="T1425" i="2"/>
  <c r="P1425" i="2"/>
  <c r="T1403" i="2"/>
  <c r="P1403" i="2"/>
  <c r="T1402" i="2"/>
  <c r="P1402" i="2"/>
  <c r="T1353" i="2"/>
  <c r="P1353" i="2"/>
  <c r="T1340" i="2"/>
  <c r="P1340" i="2"/>
  <c r="T1322" i="2"/>
  <c r="P1322" i="2"/>
  <c r="T1302" i="2"/>
  <c r="P1302" i="2"/>
  <c r="T691" i="2"/>
  <c r="P691" i="2"/>
  <c r="P582" i="2"/>
  <c r="T582" i="2"/>
  <c r="P555" i="2"/>
  <c r="AD307" i="3"/>
  <c r="AD315" i="3"/>
  <c r="AD409" i="3"/>
  <c r="AD415" i="3"/>
  <c r="AD416" i="3"/>
  <c r="AD417" i="3"/>
  <c r="AD306" i="3"/>
  <c r="AD314" i="3"/>
  <c r="AD407" i="3"/>
  <c r="AD408" i="3"/>
  <c r="AD312" i="3"/>
  <c r="AD313" i="3"/>
  <c r="AD406" i="3"/>
  <c r="AD414" i="3"/>
  <c r="AD420" i="3"/>
  <c r="AD427" i="3"/>
  <c r="AD419" i="3"/>
  <c r="AD422" i="3"/>
  <c r="AD428" i="3" l="1"/>
  <c r="AD429" i="3"/>
  <c r="AD412" i="3"/>
  <c r="AD318" i="3"/>
  <c r="AD310" i="3"/>
  <c r="AD430" i="3"/>
  <c r="AD418" i="3"/>
  <c r="AD410" i="3"/>
  <c r="AD316" i="3"/>
  <c r="AD308" i="3"/>
  <c r="AD411" i="3"/>
  <c r="AD317" i="3"/>
  <c r="AD309" i="3"/>
  <c r="AD421" i="3"/>
  <c r="AD431" i="3"/>
  <c r="AD423" i="3"/>
  <c r="AD413" i="3"/>
  <c r="AD319" i="3"/>
  <c r="AD311" i="3"/>
  <c r="AD433" i="3"/>
  <c r="AD434" i="3"/>
  <c r="AD426" i="3"/>
  <c r="AD432" i="3"/>
  <c r="AD424" i="3"/>
  <c r="AD425" i="3"/>
  <c r="Q1044" i="3"/>
  <c r="V1345" i="3" l="1"/>
  <c r="AD1345" i="3" s="1"/>
  <c r="V1578" i="3"/>
  <c r="AD1348" i="3"/>
  <c r="V1344" i="3"/>
  <c r="U1338" i="3"/>
  <c r="R1338" i="3"/>
  <c r="R1337" i="3"/>
  <c r="V1337" i="3" s="1"/>
  <c r="R1336" i="3"/>
  <c r="V1336" i="3" s="1"/>
  <c r="R1335" i="3"/>
  <c r="V1335" i="3" s="1"/>
  <c r="R1334" i="3"/>
  <c r="V1334" i="3" s="1"/>
  <c r="V1333" i="3"/>
  <c r="R1332" i="3"/>
  <c r="V1332" i="3" s="1"/>
  <c r="R1331" i="3"/>
  <c r="V1331" i="3" s="1"/>
  <c r="T1330" i="3"/>
  <c r="R1330" i="3"/>
  <c r="R1329" i="3"/>
  <c r="V1329" i="3" s="1"/>
  <c r="Q1328" i="3"/>
  <c r="R1328" i="3" s="1"/>
  <c r="V1328" i="3" s="1"/>
  <c r="R1327" i="3"/>
  <c r="V1327" i="3" s="1"/>
  <c r="R1326" i="3"/>
  <c r="V1326" i="3" s="1"/>
  <c r="R1325" i="3"/>
  <c r="V1325" i="3" s="1"/>
  <c r="R1324" i="3"/>
  <c r="V1324" i="3" s="1"/>
  <c r="R1323" i="3"/>
  <c r="V1323" i="3" s="1"/>
  <c r="U1322" i="3"/>
  <c r="T1322" i="3"/>
  <c r="R1322" i="3"/>
  <c r="R1321" i="3"/>
  <c r="V1321" i="3" s="1"/>
  <c r="U1081" i="3"/>
  <c r="T1081" i="3"/>
  <c r="R1081" i="3"/>
  <c r="R1080" i="3"/>
  <c r="V1080" i="3" s="1"/>
  <c r="R1079" i="3"/>
  <c r="V1079" i="3" s="1"/>
  <c r="U1078" i="3"/>
  <c r="T1078" i="3"/>
  <c r="R1078" i="3"/>
  <c r="V1077" i="3"/>
  <c r="R1076" i="3"/>
  <c r="V1076" i="3" s="1"/>
  <c r="R1075" i="3"/>
  <c r="V1075" i="3" s="1"/>
  <c r="R1074" i="3"/>
  <c r="V1074" i="3" s="1"/>
  <c r="V1058" i="3"/>
  <c r="V1057" i="3"/>
  <c r="R1053" i="3"/>
  <c r="V1053" i="3" s="1"/>
  <c r="R1052" i="3"/>
  <c r="V1052" i="3" s="1"/>
  <c r="R1051" i="3"/>
  <c r="V1051" i="3" s="1"/>
  <c r="V1050" i="3"/>
  <c r="V923" i="3"/>
  <c r="AD923" i="3" s="1"/>
  <c r="V922" i="3"/>
  <c r="H39" i="4"/>
  <c r="K39" i="4" s="1"/>
  <c r="H38" i="4"/>
  <c r="I38" i="4" s="1"/>
  <c r="H37" i="4"/>
  <c r="K37" i="4" s="1"/>
  <c r="H36" i="4"/>
  <c r="K36" i="4" s="1"/>
  <c r="H35" i="4"/>
  <c r="I35" i="4" s="1"/>
  <c r="H34" i="4"/>
  <c r="I34" i="4" s="1"/>
  <c r="H33" i="4"/>
  <c r="I33" i="4" s="1"/>
  <c r="H32" i="4"/>
  <c r="K32" i="4" s="1"/>
  <c r="H31" i="4"/>
  <c r="K31" i="4" s="1"/>
  <c r="H30" i="4"/>
  <c r="I30" i="4" s="1"/>
  <c r="H29" i="4"/>
  <c r="K29" i="4" s="1"/>
  <c r="H28" i="4"/>
  <c r="K28" i="4" s="1"/>
  <c r="H27" i="4"/>
  <c r="I27" i="4" s="1"/>
  <c r="H26" i="4"/>
  <c r="I26" i="4" s="1"/>
  <c r="H25" i="4"/>
  <c r="I25" i="4" s="1"/>
  <c r="C39" i="4"/>
  <c r="F39" i="4" s="1"/>
  <c r="C38" i="4"/>
  <c r="D38" i="4" s="1"/>
  <c r="C37" i="4"/>
  <c r="D37" i="4" s="1"/>
  <c r="C36" i="4"/>
  <c r="F36" i="4" s="1"/>
  <c r="C35" i="4"/>
  <c r="D35" i="4" s="1"/>
  <c r="C34" i="4"/>
  <c r="F34" i="4" s="1"/>
  <c r="C33" i="4"/>
  <c r="F33" i="4" s="1"/>
  <c r="C32" i="4"/>
  <c r="D32" i="4" s="1"/>
  <c r="C31" i="4"/>
  <c r="F31" i="4" s="1"/>
  <c r="C30" i="4"/>
  <c r="D30" i="4" s="1"/>
  <c r="C29" i="4"/>
  <c r="D29" i="4" s="1"/>
  <c r="C28" i="4"/>
  <c r="F28" i="4" s="1"/>
  <c r="C27" i="4"/>
  <c r="D27" i="4" s="1"/>
  <c r="C26" i="4"/>
  <c r="F26" i="4" s="1"/>
  <c r="C25" i="4"/>
  <c r="F25" i="4" s="1"/>
  <c r="D26" i="4" l="1"/>
  <c r="D34" i="4"/>
  <c r="F38" i="4"/>
  <c r="I29" i="4"/>
  <c r="I32" i="4"/>
  <c r="F37" i="4"/>
  <c r="I31" i="4"/>
  <c r="I37" i="4"/>
  <c r="D28" i="4"/>
  <c r="F29" i="4"/>
  <c r="I39" i="4"/>
  <c r="D36" i="4"/>
  <c r="D39" i="4"/>
  <c r="F30" i="4"/>
  <c r="D31" i="4"/>
  <c r="V1081" i="3"/>
  <c r="V1056" i="3"/>
  <c r="V1060" i="3"/>
  <c r="V1061" i="3"/>
  <c r="V1062" i="3"/>
  <c r="V1064" i="3"/>
  <c r="V1071" i="3"/>
  <c r="V1067" i="3"/>
  <c r="V1066" i="3"/>
  <c r="V1073" i="3"/>
  <c r="V1078" i="3"/>
  <c r="V1054" i="3"/>
  <c r="V1072" i="3"/>
  <c r="V1063" i="3"/>
  <c r="V1346" i="3"/>
  <c r="V1068" i="3"/>
  <c r="V1069" i="3"/>
  <c r="V1070" i="3"/>
  <c r="V1347" i="3"/>
  <c r="V1339" i="3"/>
  <c r="V1330" i="3"/>
  <c r="V1338" i="3"/>
  <c r="V1059" i="3"/>
  <c r="V1055" i="3"/>
  <c r="V1065" i="3"/>
  <c r="V1322" i="3"/>
  <c r="D25" i="4"/>
  <c r="D33" i="4"/>
  <c r="I28" i="4"/>
  <c r="I36" i="4"/>
  <c r="F27" i="4"/>
  <c r="F35" i="4"/>
  <c r="K38" i="4"/>
  <c r="K30" i="4"/>
  <c r="K33" i="4"/>
  <c r="K25" i="4"/>
  <c r="K26" i="4"/>
  <c r="K34" i="4"/>
  <c r="F32" i="4"/>
  <c r="K27" i="4"/>
  <c r="K35" i="4"/>
  <c r="AD3856" i="3"/>
  <c r="AD3854" i="3"/>
  <c r="AD3857" i="3" l="1"/>
  <c r="AD3853" i="3"/>
  <c r="AD3855" i="3"/>
  <c r="AD3852" i="3"/>
  <c r="AD3850" i="3"/>
  <c r="AD3851" i="3"/>
  <c r="B2481" i="2" l="1"/>
  <c r="B2480" i="2"/>
  <c r="B2479" i="2"/>
  <c r="B2478" i="2"/>
  <c r="B2476" i="2"/>
  <c r="B2475" i="2"/>
  <c r="B2472" i="2"/>
  <c r="B2471" i="2"/>
  <c r="B2470" i="2"/>
  <c r="B2469" i="2"/>
  <c r="B2466" i="2"/>
  <c r="B2465" i="2"/>
  <c r="B2463" i="2"/>
  <c r="B2462" i="2"/>
  <c r="B2460" i="2"/>
  <c r="B2459" i="2"/>
  <c r="B2458" i="2"/>
  <c r="B2457" i="2"/>
  <c r="B2455" i="2"/>
  <c r="B2454" i="2"/>
  <c r="B2453" i="2"/>
  <c r="B2452" i="2"/>
  <c r="B2451" i="2"/>
  <c r="B2450" i="2"/>
  <c r="B2448" i="2"/>
  <c r="B2447" i="2"/>
  <c r="B2445" i="2"/>
  <c r="B2444" i="2"/>
  <c r="B2443" i="2"/>
  <c r="B2442" i="2"/>
  <c r="B2441" i="2"/>
  <c r="B2440" i="2"/>
  <c r="B2438" i="2"/>
  <c r="B2437" i="2"/>
  <c r="B2436" i="2"/>
  <c r="B2434" i="2"/>
  <c r="B2433" i="2"/>
  <c r="B2432" i="2"/>
  <c r="B2431" i="2"/>
  <c r="B2430" i="2"/>
  <c r="B2428" i="2"/>
  <c r="B2427" i="2"/>
  <c r="B2426" i="2"/>
  <c r="B2425" i="2"/>
  <c r="B2424" i="2"/>
  <c r="B2423" i="2"/>
  <c r="B2420" i="2"/>
  <c r="B2419" i="2"/>
  <c r="B2417" i="2"/>
  <c r="B2416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8" i="2"/>
  <c r="B2317" i="2"/>
  <c r="B2315" i="2"/>
  <c r="B2314" i="2"/>
  <c r="B2312" i="2"/>
  <c r="B2311" i="2"/>
  <c r="B2310" i="2"/>
  <c r="B2309" i="2"/>
  <c r="B2308" i="2"/>
  <c r="B2307" i="2"/>
  <c r="B2306" i="2"/>
  <c r="B2305" i="2"/>
  <c r="B2302" i="2"/>
  <c r="B2301" i="2"/>
  <c r="B2300" i="2"/>
  <c r="B2299" i="2"/>
  <c r="B2297" i="2"/>
  <c r="B2296" i="2"/>
  <c r="B2295" i="2"/>
  <c r="B2293" i="2"/>
  <c r="B2292" i="2"/>
  <c r="B2291" i="2"/>
  <c r="B2290" i="2"/>
  <c r="B2287" i="2"/>
  <c r="B2286" i="2"/>
  <c r="B2283" i="2"/>
  <c r="B2282" i="2"/>
  <c r="B2279" i="2"/>
  <c r="B2278" i="2"/>
  <c r="B2277" i="2"/>
  <c r="B2276" i="2"/>
  <c r="B2275" i="2"/>
  <c r="B2274" i="2"/>
  <c r="B2273" i="2"/>
  <c r="B2272" i="2"/>
  <c r="B2271" i="2"/>
  <c r="B2270" i="2"/>
  <c r="B2269" i="2"/>
  <c r="B2265" i="2"/>
  <c r="B2264" i="2"/>
  <c r="B2262" i="2"/>
  <c r="B2261" i="2"/>
  <c r="B2260" i="2"/>
  <c r="B2259" i="2"/>
  <c r="B2258" i="2"/>
  <c r="B2256" i="2"/>
  <c r="B2255" i="2"/>
  <c r="B2253" i="2"/>
  <c r="B2252" i="2"/>
  <c r="B2251" i="2"/>
  <c r="B2250" i="2"/>
  <c r="B2249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28" i="2"/>
  <c r="B2227" i="2"/>
  <c r="B2225" i="2"/>
  <c r="B2224" i="2"/>
  <c r="B2222" i="2"/>
  <c r="B2221" i="2"/>
  <c r="B2219" i="2"/>
  <c r="B2218" i="2"/>
  <c r="B2217" i="2"/>
  <c r="B2215" i="2"/>
  <c r="B2214" i="2"/>
  <c r="B2212" i="2"/>
  <c r="B2211" i="2"/>
  <c r="B2210" i="2"/>
  <c r="B2209" i="2"/>
  <c r="B2208" i="2"/>
  <c r="B2207" i="2"/>
  <c r="B2206" i="2"/>
  <c r="B2204" i="2"/>
  <c r="B2203" i="2"/>
  <c r="B2202" i="2"/>
  <c r="B2201" i="2"/>
  <c r="B2200" i="2"/>
  <c r="B2199" i="2"/>
  <c r="B2196" i="2"/>
  <c r="B2195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4" i="2"/>
  <c r="B2163" i="2"/>
  <c r="B2162" i="2"/>
  <c r="B2161" i="2"/>
  <c r="B2160" i="2"/>
  <c r="B2158" i="2"/>
  <c r="B2157" i="2"/>
  <c r="B2156" i="2"/>
  <c r="B2155" i="2"/>
  <c r="B2154" i="2"/>
  <c r="B2153" i="2"/>
  <c r="B2151" i="2"/>
  <c r="B2150" i="2"/>
  <c r="B2149" i="2"/>
  <c r="B2148" i="2"/>
  <c r="B2146" i="2"/>
  <c r="B2145" i="2"/>
  <c r="B2144" i="2"/>
  <c r="B2143" i="2"/>
  <c r="B2141" i="2"/>
  <c r="B2140" i="2"/>
  <c r="B2139" i="2"/>
  <c r="B2138" i="2"/>
  <c r="B2137" i="2"/>
  <c r="B2136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19" i="2"/>
  <c r="B2118" i="2"/>
  <c r="B2115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0" i="2"/>
  <c r="B2099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7" i="2"/>
  <c r="B1986" i="2"/>
  <c r="B1985" i="2"/>
  <c r="B1984" i="2"/>
  <c r="B1982" i="2"/>
  <c r="B1981" i="2"/>
  <c r="B1979" i="2"/>
  <c r="B1978" i="2"/>
  <c r="B1977" i="2"/>
  <c r="B1976" i="2"/>
  <c r="B1975" i="2"/>
  <c r="B1974" i="2"/>
  <c r="B1973" i="2"/>
  <c r="B1970" i="2"/>
  <c r="B1969" i="2"/>
  <c r="B1967" i="2"/>
  <c r="B1966" i="2"/>
  <c r="B1963" i="2"/>
  <c r="B1962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1" i="2"/>
  <c r="B1830" i="2"/>
  <c r="B1829" i="2"/>
  <c r="B1828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1" i="2"/>
  <c r="B1810" i="2"/>
  <c r="B1809" i="2"/>
  <c r="B1807" i="2"/>
  <c r="B1806" i="2"/>
  <c r="B1805" i="2"/>
  <c r="B1804" i="2"/>
  <c r="B1803" i="2"/>
  <c r="B1802" i="2"/>
  <c r="B1801" i="2"/>
  <c r="B1800" i="2"/>
  <c r="B1797" i="2"/>
  <c r="B1796" i="2"/>
  <c r="B1795" i="2"/>
  <c r="B1792" i="2"/>
  <c r="B1791" i="2"/>
  <c r="B1789" i="2"/>
  <c r="B1788" i="2"/>
  <c r="B1786" i="2"/>
  <c r="B1785" i="2"/>
  <c r="B1784" i="2"/>
  <c r="B1783" i="2"/>
  <c r="B1782" i="2"/>
  <c r="B1781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5" i="2"/>
  <c r="B1754" i="2"/>
  <c r="B1753" i="2"/>
  <c r="B1752" i="2"/>
  <c r="B1751" i="2"/>
  <c r="B1750" i="2"/>
  <c r="B1749" i="2"/>
  <c r="B1748" i="2"/>
  <c r="B1747" i="2"/>
  <c r="B1746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3" i="2"/>
  <c r="B1652" i="2"/>
  <c r="B1650" i="2"/>
  <c r="B1649" i="2"/>
  <c r="B1648" i="2"/>
  <c r="B1647" i="2"/>
  <c r="B1646" i="2"/>
  <c r="B1645" i="2"/>
  <c r="B1644" i="2"/>
  <c r="B1643" i="2"/>
  <c r="B1642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6" i="2"/>
  <c r="B1615" i="2"/>
  <c r="B1614" i="2"/>
  <c r="B1613" i="2"/>
  <c r="B1612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5" i="2"/>
  <c r="B1574" i="2"/>
  <c r="B1573" i="2"/>
  <c r="B1572" i="2"/>
  <c r="B1571" i="2"/>
  <c r="B1570" i="2"/>
  <c r="B1569" i="2"/>
  <c r="B1568" i="2"/>
  <c r="B1565" i="2"/>
  <c r="B1564" i="2"/>
  <c r="B1562" i="2"/>
  <c r="B1561" i="2"/>
  <c r="B1559" i="2"/>
  <c r="B1558" i="2"/>
  <c r="B1557" i="2"/>
  <c r="B1556" i="2"/>
  <c r="B1554" i="2"/>
  <c r="B1553" i="2"/>
  <c r="B1552" i="2"/>
  <c r="B1551" i="2"/>
  <c r="B1550" i="2"/>
  <c r="B1549" i="2"/>
  <c r="B1548" i="2"/>
  <c r="B1547" i="2"/>
  <c r="B1546" i="2"/>
  <c r="B1545" i="2"/>
  <c r="B1544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28" i="2"/>
  <c r="B1527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7" i="2"/>
  <c r="B1406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1" i="2"/>
  <c r="B1360" i="2"/>
  <c r="B1359" i="2"/>
  <c r="B1358" i="2"/>
  <c r="B1356" i="2"/>
  <c r="B1355" i="2"/>
  <c r="B1352" i="2"/>
  <c r="B1351" i="2"/>
  <c r="B1350" i="2"/>
  <c r="B1349" i="2"/>
  <c r="B1348" i="2"/>
  <c r="B1346" i="2"/>
  <c r="B1345" i="2"/>
  <c r="B1344" i="2"/>
  <c r="B1343" i="2"/>
  <c r="B1342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1" i="2"/>
  <c r="B1300" i="2"/>
  <c r="B1299" i="2"/>
  <c r="B1298" i="2"/>
  <c r="B1297" i="2"/>
  <c r="B1296" i="2"/>
  <c r="B1295" i="2"/>
  <c r="B1294" i="2"/>
  <c r="B1291" i="2"/>
  <c r="B1290" i="2"/>
  <c r="B1288" i="2"/>
  <c r="B1287" i="2"/>
  <c r="B1286" i="2"/>
  <c r="B1285" i="2"/>
  <c r="B1283" i="2"/>
  <c r="B1282" i="2"/>
  <c r="B1281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8" i="2"/>
  <c r="B1207" i="2"/>
  <c r="B1206" i="2"/>
  <c r="B1205" i="2"/>
  <c r="B1204" i="2"/>
  <c r="B1203" i="2"/>
  <c r="B1202" i="2"/>
  <c r="B1201" i="2"/>
  <c r="B1198" i="2"/>
  <c r="B1197" i="2"/>
  <c r="B1196" i="2"/>
  <c r="B1194" i="2"/>
  <c r="B1193" i="2"/>
  <c r="B1191" i="2"/>
  <c r="B1190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6" i="2"/>
  <c r="B1165" i="2"/>
  <c r="B1163" i="2"/>
  <c r="B1162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7" i="2"/>
  <c r="B1146" i="2"/>
  <c r="B1145" i="2"/>
  <c r="B1144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6" i="2"/>
  <c r="B1125" i="2"/>
  <c r="B1124" i="2"/>
  <c r="B1123" i="2"/>
  <c r="B1122" i="2"/>
  <c r="B1121" i="2"/>
  <c r="B1120" i="2"/>
  <c r="B1119" i="2"/>
  <c r="B1116" i="2"/>
  <c r="B1115" i="2"/>
  <c r="B1113" i="2"/>
  <c r="B1112" i="2"/>
  <c r="B1111" i="2"/>
  <c r="B1110" i="2"/>
  <c r="B1109" i="2"/>
  <c r="B1108" i="2"/>
  <c r="B1107" i="2"/>
  <c r="B1106" i="2"/>
  <c r="B1104" i="2"/>
  <c r="B1103" i="2"/>
  <c r="B1101" i="2"/>
  <c r="B1100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1" i="2"/>
  <c r="B1080" i="2"/>
  <c r="B1079" i="2"/>
  <c r="B1078" i="2"/>
  <c r="B1077" i="2"/>
  <c r="B1076" i="2"/>
  <c r="B1075" i="2"/>
  <c r="B1074" i="2"/>
  <c r="B1072" i="2"/>
  <c r="B1071" i="2"/>
  <c r="B1070" i="2"/>
  <c r="B1069" i="2"/>
  <c r="B1067" i="2"/>
  <c r="B1066" i="2"/>
  <c r="B1065" i="2"/>
  <c r="B1064" i="2"/>
  <c r="B1062" i="2"/>
  <c r="B1061" i="2"/>
  <c r="B1060" i="2"/>
  <c r="B1059" i="2"/>
  <c r="B1056" i="2"/>
  <c r="B1055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6" i="2"/>
  <c r="B1035" i="2"/>
  <c r="B1034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09" i="2"/>
  <c r="B1008" i="2"/>
  <c r="B1007" i="2"/>
  <c r="B1006" i="2"/>
  <c r="B1003" i="2"/>
  <c r="B1002" i="2"/>
  <c r="B1000" i="2"/>
  <c r="B999" i="2"/>
  <c r="B997" i="2"/>
  <c r="B996" i="2"/>
  <c r="B994" i="2"/>
  <c r="B993" i="2"/>
  <c r="B992" i="2"/>
  <c r="B991" i="2"/>
  <c r="B989" i="2"/>
  <c r="B988" i="2"/>
  <c r="B987" i="2"/>
  <c r="B986" i="2"/>
  <c r="B985" i="2"/>
  <c r="B984" i="2"/>
  <c r="B983" i="2"/>
  <c r="B981" i="2"/>
  <c r="B980" i="2"/>
  <c r="B979" i="2"/>
  <c r="B978" i="2"/>
  <c r="B977" i="2"/>
  <c r="B976" i="2"/>
  <c r="B975" i="2"/>
  <c r="B974" i="2"/>
  <c r="B971" i="2"/>
  <c r="B970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6" i="2"/>
  <c r="B915" i="2"/>
  <c r="B914" i="2"/>
  <c r="B913" i="2"/>
  <c r="B911" i="2"/>
  <c r="B910" i="2"/>
  <c r="B909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6" i="2"/>
  <c r="B865" i="2"/>
  <c r="B864" i="2"/>
  <c r="B863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29" i="2"/>
  <c r="B828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8" i="2"/>
  <c r="B787" i="2"/>
  <c r="B786" i="2"/>
  <c r="B785" i="2"/>
  <c r="B783" i="2"/>
  <c r="B782" i="2"/>
  <c r="B780" i="2"/>
  <c r="B779" i="2"/>
  <c r="B778" i="2"/>
  <c r="B777" i="2"/>
  <c r="B775" i="2"/>
  <c r="B774" i="2"/>
  <c r="B773" i="2"/>
  <c r="B772" i="2"/>
  <c r="B771" i="2"/>
  <c r="B770" i="2"/>
  <c r="B769" i="2"/>
  <c r="B768" i="2"/>
  <c r="B765" i="2"/>
  <c r="B764" i="2"/>
  <c r="B762" i="2"/>
  <c r="B761" i="2"/>
  <c r="B760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5" i="2"/>
  <c r="B744" i="2"/>
  <c r="B743" i="2"/>
  <c r="B742" i="2"/>
  <c r="B740" i="2"/>
  <c r="B739" i="2"/>
  <c r="B738" i="2"/>
  <c r="B737" i="2"/>
  <c r="B735" i="2"/>
  <c r="B734" i="2"/>
  <c r="B733" i="2"/>
  <c r="B732" i="2"/>
  <c r="B731" i="2"/>
  <c r="B728" i="2"/>
  <c r="B727" i="2"/>
  <c r="B726" i="2"/>
  <c r="B725" i="2"/>
  <c r="B724" i="2"/>
  <c r="B723" i="2"/>
  <c r="B722" i="2"/>
  <c r="B720" i="2"/>
  <c r="B719" i="2"/>
  <c r="B718" i="2"/>
  <c r="B717" i="2"/>
  <c r="B714" i="2"/>
  <c r="B713" i="2"/>
  <c r="B711" i="2"/>
  <c r="B710" i="2"/>
  <c r="B709" i="2"/>
  <c r="B708" i="2"/>
  <c r="B707" i="2"/>
  <c r="B706" i="2"/>
  <c r="B705" i="2"/>
  <c r="B703" i="2"/>
  <c r="B702" i="2"/>
  <c r="B700" i="2"/>
  <c r="B699" i="2"/>
  <c r="B698" i="2"/>
  <c r="B697" i="2"/>
  <c r="B696" i="2"/>
  <c r="B695" i="2"/>
  <c r="B694" i="2"/>
  <c r="B693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59" i="2"/>
  <c r="B658" i="2"/>
  <c r="B657" i="2"/>
  <c r="B656" i="2"/>
  <c r="B655" i="2"/>
  <c r="B654" i="2"/>
  <c r="B653" i="2"/>
  <c r="B652" i="2"/>
  <c r="B650" i="2"/>
  <c r="B649" i="2"/>
  <c r="B648" i="2"/>
  <c r="B647" i="2"/>
  <c r="B646" i="2"/>
  <c r="B645" i="2"/>
  <c r="B644" i="2"/>
  <c r="B643" i="2"/>
  <c r="B641" i="2"/>
  <c r="B640" i="2"/>
  <c r="B639" i="2"/>
  <c r="B638" i="2"/>
  <c r="B637" i="2"/>
  <c r="B636" i="2"/>
  <c r="B635" i="2"/>
  <c r="B634" i="2"/>
  <c r="B633" i="2"/>
  <c r="B632" i="2"/>
  <c r="B631" i="2"/>
  <c r="B629" i="2"/>
  <c r="B628" i="2"/>
  <c r="B627" i="2"/>
  <c r="B626" i="2"/>
  <c r="B625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4" i="2"/>
  <c r="B603" i="2"/>
  <c r="B602" i="2"/>
  <c r="B601" i="2"/>
  <c r="B600" i="2"/>
  <c r="B599" i="2"/>
  <c r="B598" i="2"/>
  <c r="B597" i="2"/>
  <c r="B596" i="2"/>
  <c r="B595" i="2"/>
  <c r="B593" i="2"/>
  <c r="B592" i="2"/>
  <c r="B591" i="2"/>
  <c r="B590" i="2"/>
  <c r="B589" i="2"/>
  <c r="B588" i="2"/>
  <c r="B587" i="2"/>
  <c r="B586" i="2"/>
  <c r="B585" i="2"/>
  <c r="B584" i="2"/>
  <c r="B581" i="2"/>
  <c r="B580" i="2"/>
  <c r="B579" i="2"/>
  <c r="B578" i="2"/>
  <c r="B577" i="2"/>
  <c r="B576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0" i="2"/>
  <c r="B559" i="2"/>
  <c r="B558" i="2"/>
  <c r="B557" i="2"/>
  <c r="B554" i="2"/>
  <c r="B553" i="2"/>
  <c r="B552" i="2"/>
  <c r="B551" i="2"/>
  <c r="B550" i="2"/>
  <c r="B549" i="2"/>
  <c r="B548" i="2"/>
  <c r="B547" i="2"/>
  <c r="B546" i="2"/>
  <c r="B544" i="2"/>
  <c r="B543" i="2"/>
  <c r="B542" i="2"/>
  <c r="B541" i="2"/>
  <c r="B540" i="2"/>
  <c r="B539" i="2"/>
  <c r="B538" i="2"/>
  <c r="B537" i="2"/>
  <c r="B536" i="2"/>
  <c r="B533" i="2"/>
  <c r="B531" i="2"/>
  <c r="B530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0" i="2"/>
  <c r="B509" i="2"/>
  <c r="B508" i="2"/>
  <c r="B507" i="2"/>
  <c r="B506" i="2"/>
  <c r="B505" i="2"/>
  <c r="B504" i="2"/>
  <c r="B503" i="2"/>
  <c r="B502" i="2"/>
  <c r="B501" i="2"/>
  <c r="B500" i="2"/>
  <c r="B498" i="2"/>
  <c r="B497" i="2"/>
  <c r="B496" i="2"/>
  <c r="B495" i="2"/>
  <c r="B494" i="2"/>
  <c r="B493" i="2"/>
  <c r="B491" i="2"/>
  <c r="B490" i="2"/>
  <c r="B489" i="2"/>
  <c r="B488" i="2"/>
  <c r="B487" i="2"/>
  <c r="B486" i="2"/>
  <c r="B485" i="2"/>
  <c r="B484" i="2"/>
  <c r="B483" i="2"/>
  <c r="B482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3" i="2"/>
  <c r="B462" i="2"/>
  <c r="B461" i="2"/>
  <c r="B460" i="2"/>
  <c r="B459" i="2"/>
  <c r="B458" i="2"/>
  <c r="B457" i="2"/>
  <c r="B456" i="2"/>
  <c r="B454" i="2"/>
  <c r="B453" i="2"/>
  <c r="B452" i="2"/>
  <c r="B449" i="2"/>
  <c r="B447" i="2"/>
  <c r="B446" i="2"/>
  <c r="B444" i="2"/>
  <c r="B443" i="2"/>
  <c r="B442" i="2"/>
  <c r="B441" i="2"/>
  <c r="B440" i="2"/>
  <c r="B439" i="2"/>
  <c r="B437" i="2"/>
  <c r="B436" i="2"/>
  <c r="B435" i="2"/>
  <c r="B434" i="2"/>
  <c r="B433" i="2"/>
  <c r="B432" i="2"/>
  <c r="B431" i="2"/>
  <c r="B430" i="2"/>
  <c r="B429" i="2"/>
  <c r="B427" i="2"/>
  <c r="B426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299" i="2"/>
  <c r="B298" i="2"/>
  <c r="B297" i="2"/>
  <c r="B296" i="2"/>
  <c r="B295" i="2"/>
  <c r="B294" i="2"/>
  <c r="B293" i="2"/>
  <c r="B292" i="2"/>
  <c r="B291" i="2"/>
  <c r="B290" i="2"/>
  <c r="B288" i="2"/>
  <c r="B287" i="2"/>
  <c r="B286" i="2"/>
  <c r="B285" i="2"/>
  <c r="B284" i="2"/>
  <c r="B283" i="2"/>
  <c r="B282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4" i="2"/>
  <c r="B152" i="2"/>
  <c r="B151" i="2"/>
  <c r="B150" i="2"/>
  <c r="B149" i="2"/>
  <c r="B148" i="2"/>
  <c r="B147" i="2"/>
  <c r="B146" i="2"/>
  <c r="B144" i="2"/>
  <c r="B143" i="2"/>
  <c r="B141" i="2"/>
  <c r="B140" i="2"/>
  <c r="B139" i="2"/>
  <c r="B138" i="2"/>
  <c r="B137" i="2"/>
  <c r="B136" i="2"/>
  <c r="B135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1" i="2"/>
  <c r="B100" i="2"/>
  <c r="B99" i="2"/>
  <c r="B98" i="2"/>
  <c r="B97" i="2"/>
  <c r="B96" i="2"/>
  <c r="B95" i="2"/>
  <c r="B94" i="2"/>
  <c r="B93" i="2"/>
  <c r="B91" i="2"/>
  <c r="B90" i="2"/>
  <c r="B89" i="2"/>
  <c r="B88" i="2"/>
  <c r="B87" i="2"/>
  <c r="B86" i="2"/>
  <c r="B84" i="2"/>
  <c r="B83" i="2"/>
  <c r="B82" i="2"/>
  <c r="B81" i="2"/>
  <c r="B80" i="2"/>
  <c r="B78" i="2"/>
  <c r="B77" i="2"/>
  <c r="B76" i="2"/>
  <c r="B75" i="2"/>
  <c r="B74" i="2"/>
  <c r="B72" i="2"/>
  <c r="B71" i="2"/>
  <c r="B70" i="2"/>
  <c r="B69" i="2"/>
  <c r="B68" i="2"/>
  <c r="B67" i="2"/>
  <c r="B64" i="2"/>
  <c r="B63" i="2"/>
  <c r="B62" i="2"/>
  <c r="B61" i="2"/>
  <c r="B59" i="2"/>
  <c r="B58" i="2"/>
  <c r="B57" i="2"/>
  <c r="B56" i="2"/>
  <c r="B55" i="2"/>
  <c r="B54" i="2"/>
  <c r="B52" i="2"/>
  <c r="B51" i="2"/>
  <c r="B50" i="2"/>
  <c r="B49" i="2"/>
  <c r="B48" i="2"/>
  <c r="B47" i="2"/>
  <c r="B46" i="2"/>
  <c r="B45" i="2"/>
  <c r="B44" i="2"/>
  <c r="B43" i="2"/>
  <c r="B41" i="2"/>
  <c r="B40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O2481" i="2"/>
  <c r="O2480" i="2"/>
  <c r="O2479" i="2"/>
  <c r="O2478" i="2"/>
  <c r="O2476" i="2"/>
  <c r="O2475" i="2"/>
  <c r="O2472" i="2"/>
  <c r="O2471" i="2"/>
  <c r="O2470" i="2"/>
  <c r="O2469" i="2"/>
  <c r="O2466" i="2"/>
  <c r="O2465" i="2"/>
  <c r="O2463" i="2"/>
  <c r="O2462" i="2"/>
  <c r="O2460" i="2"/>
  <c r="O2459" i="2"/>
  <c r="O2458" i="2"/>
  <c r="O2457" i="2"/>
  <c r="O2455" i="2"/>
  <c r="O2454" i="2"/>
  <c r="O2453" i="2"/>
  <c r="O2452" i="2"/>
  <c r="O2451" i="2"/>
  <c r="O2450" i="2"/>
  <c r="O2448" i="2"/>
  <c r="O2447" i="2"/>
  <c r="O2445" i="2"/>
  <c r="O2444" i="2"/>
  <c r="O2443" i="2"/>
  <c r="O2442" i="2"/>
  <c r="O2441" i="2"/>
  <c r="O2440" i="2"/>
  <c r="O2438" i="2"/>
  <c r="O2437" i="2"/>
  <c r="O2436" i="2"/>
  <c r="O2434" i="2"/>
  <c r="O2433" i="2"/>
  <c r="O2432" i="2"/>
  <c r="O2431" i="2"/>
  <c r="O2430" i="2"/>
  <c r="O2428" i="2"/>
  <c r="O2427" i="2"/>
  <c r="O2426" i="2"/>
  <c r="O2425" i="2"/>
  <c r="O2424" i="2"/>
  <c r="O2423" i="2"/>
  <c r="O2420" i="2"/>
  <c r="O2419" i="2"/>
  <c r="O2417" i="2"/>
  <c r="O2416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8" i="2"/>
  <c r="O2317" i="2"/>
  <c r="O2315" i="2"/>
  <c r="O2314" i="2"/>
  <c r="O2312" i="2"/>
  <c r="O2311" i="2"/>
  <c r="O2310" i="2"/>
  <c r="O2309" i="2"/>
  <c r="O2308" i="2"/>
  <c r="O2307" i="2"/>
  <c r="O2306" i="2"/>
  <c r="O2305" i="2"/>
  <c r="O2302" i="2"/>
  <c r="O2301" i="2"/>
  <c r="O2300" i="2"/>
  <c r="O2299" i="2"/>
  <c r="O2297" i="2"/>
  <c r="O2296" i="2"/>
  <c r="O2295" i="2"/>
  <c r="O2293" i="2"/>
  <c r="O2292" i="2"/>
  <c r="O2291" i="2"/>
  <c r="O2290" i="2"/>
  <c r="O2287" i="2"/>
  <c r="O2286" i="2"/>
  <c r="O2283" i="2"/>
  <c r="O2282" i="2"/>
  <c r="O2279" i="2"/>
  <c r="O2278" i="2"/>
  <c r="O2277" i="2"/>
  <c r="O2276" i="2"/>
  <c r="O2275" i="2"/>
  <c r="O2274" i="2"/>
  <c r="O2273" i="2"/>
  <c r="O2272" i="2"/>
  <c r="O2271" i="2"/>
  <c r="O2270" i="2"/>
  <c r="O2269" i="2"/>
  <c r="O2265" i="2"/>
  <c r="O2264" i="2"/>
  <c r="O2262" i="2"/>
  <c r="O2261" i="2"/>
  <c r="O2260" i="2"/>
  <c r="O2259" i="2"/>
  <c r="O2258" i="2"/>
  <c r="O2256" i="2"/>
  <c r="O2255" i="2"/>
  <c r="O2253" i="2"/>
  <c r="O2252" i="2"/>
  <c r="O2251" i="2"/>
  <c r="O2250" i="2"/>
  <c r="O2249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28" i="2"/>
  <c r="O2227" i="2"/>
  <c r="O2225" i="2"/>
  <c r="O2224" i="2"/>
  <c r="O2222" i="2"/>
  <c r="O2221" i="2"/>
  <c r="O2219" i="2"/>
  <c r="O2218" i="2"/>
  <c r="O2217" i="2"/>
  <c r="O2215" i="2"/>
  <c r="O2214" i="2"/>
  <c r="O2212" i="2"/>
  <c r="O2211" i="2"/>
  <c r="O2210" i="2"/>
  <c r="O2209" i="2"/>
  <c r="O2208" i="2"/>
  <c r="O2207" i="2"/>
  <c r="O2206" i="2"/>
  <c r="O2204" i="2"/>
  <c r="O2203" i="2"/>
  <c r="O2202" i="2"/>
  <c r="O2201" i="2"/>
  <c r="O2200" i="2"/>
  <c r="O2199" i="2"/>
  <c r="O2196" i="2"/>
  <c r="O2195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4" i="2"/>
  <c r="O2163" i="2"/>
  <c r="O2162" i="2"/>
  <c r="O2161" i="2"/>
  <c r="O2160" i="2"/>
  <c r="O2158" i="2"/>
  <c r="O2157" i="2"/>
  <c r="O2156" i="2"/>
  <c r="O2155" i="2"/>
  <c r="O2154" i="2"/>
  <c r="O2153" i="2"/>
  <c r="O2151" i="2"/>
  <c r="O2150" i="2"/>
  <c r="O2149" i="2"/>
  <c r="O2148" i="2"/>
  <c r="O2146" i="2"/>
  <c r="O2145" i="2"/>
  <c r="O2144" i="2"/>
  <c r="O2143" i="2"/>
  <c r="O2141" i="2"/>
  <c r="O2140" i="2"/>
  <c r="O2139" i="2"/>
  <c r="O2138" i="2"/>
  <c r="O2137" i="2"/>
  <c r="O2136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19" i="2"/>
  <c r="O2118" i="2"/>
  <c r="O2115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0" i="2"/>
  <c r="O2099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7" i="2"/>
  <c r="O1986" i="2"/>
  <c r="O1985" i="2"/>
  <c r="O1984" i="2"/>
  <c r="O1982" i="2"/>
  <c r="O1981" i="2"/>
  <c r="O1979" i="2"/>
  <c r="O1978" i="2"/>
  <c r="O1977" i="2"/>
  <c r="O1976" i="2"/>
  <c r="O1975" i="2"/>
  <c r="O1974" i="2"/>
  <c r="O1973" i="2"/>
  <c r="O1970" i="2"/>
  <c r="O1969" i="2"/>
  <c r="O1967" i="2"/>
  <c r="O1966" i="2"/>
  <c r="O1963" i="2"/>
  <c r="O1962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1" i="2"/>
  <c r="O1830" i="2"/>
  <c r="O1829" i="2"/>
  <c r="O1828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1" i="2"/>
  <c r="O1810" i="2"/>
  <c r="O1809" i="2"/>
  <c r="O1807" i="2"/>
  <c r="O1806" i="2"/>
  <c r="O1805" i="2"/>
  <c r="O1804" i="2"/>
  <c r="O1803" i="2"/>
  <c r="O1802" i="2"/>
  <c r="O1801" i="2"/>
  <c r="O1800" i="2"/>
  <c r="O1797" i="2"/>
  <c r="O1796" i="2"/>
  <c r="O1795" i="2"/>
  <c r="O1792" i="2"/>
  <c r="O1791" i="2"/>
  <c r="O1789" i="2"/>
  <c r="O1788" i="2"/>
  <c r="O1786" i="2"/>
  <c r="O1785" i="2"/>
  <c r="O1784" i="2"/>
  <c r="O1783" i="2"/>
  <c r="O1782" i="2"/>
  <c r="O1781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5" i="2"/>
  <c r="O1754" i="2"/>
  <c r="O1753" i="2"/>
  <c r="O1752" i="2"/>
  <c r="O1751" i="2"/>
  <c r="O1750" i="2"/>
  <c r="O1749" i="2"/>
  <c r="O1748" i="2"/>
  <c r="O1747" i="2"/>
  <c r="O1746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3" i="2"/>
  <c r="O1652" i="2"/>
  <c r="O1650" i="2"/>
  <c r="O1649" i="2"/>
  <c r="O1648" i="2"/>
  <c r="O1647" i="2"/>
  <c r="O1646" i="2"/>
  <c r="O1645" i="2"/>
  <c r="O1644" i="2"/>
  <c r="O1643" i="2"/>
  <c r="O1642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6" i="2"/>
  <c r="O1615" i="2"/>
  <c r="O1614" i="2"/>
  <c r="O1613" i="2"/>
  <c r="O1612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5" i="2"/>
  <c r="O1574" i="2"/>
  <c r="O1573" i="2"/>
  <c r="O1572" i="2"/>
  <c r="O1571" i="2"/>
  <c r="O1570" i="2"/>
  <c r="O1569" i="2"/>
  <c r="O1568" i="2"/>
  <c r="O1565" i="2"/>
  <c r="O1564" i="2"/>
  <c r="O1562" i="2"/>
  <c r="O1561" i="2"/>
  <c r="O1559" i="2"/>
  <c r="O1558" i="2"/>
  <c r="O1557" i="2"/>
  <c r="O1556" i="2"/>
  <c r="O1554" i="2"/>
  <c r="O1553" i="2"/>
  <c r="O1552" i="2"/>
  <c r="O1551" i="2"/>
  <c r="O1550" i="2"/>
  <c r="O1549" i="2"/>
  <c r="O1548" i="2"/>
  <c r="O1547" i="2"/>
  <c r="O1546" i="2"/>
  <c r="O1545" i="2"/>
  <c r="O1544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28" i="2"/>
  <c r="O1527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7" i="2"/>
  <c r="O1406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1" i="2"/>
  <c r="O1360" i="2"/>
  <c r="O1359" i="2"/>
  <c r="O1358" i="2"/>
  <c r="O1356" i="2"/>
  <c r="O1355" i="2"/>
  <c r="O1352" i="2"/>
  <c r="O1351" i="2"/>
  <c r="O1350" i="2"/>
  <c r="O1349" i="2"/>
  <c r="O1348" i="2"/>
  <c r="O1346" i="2"/>
  <c r="O1345" i="2"/>
  <c r="O1344" i="2"/>
  <c r="O1343" i="2"/>
  <c r="O1342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1" i="2"/>
  <c r="O1300" i="2"/>
  <c r="O1299" i="2"/>
  <c r="O1298" i="2"/>
  <c r="O1297" i="2"/>
  <c r="O1296" i="2"/>
  <c r="O1295" i="2"/>
  <c r="O1294" i="2"/>
  <c r="O1291" i="2"/>
  <c r="O1290" i="2"/>
  <c r="O1288" i="2"/>
  <c r="O1287" i="2"/>
  <c r="O1286" i="2"/>
  <c r="O1285" i="2"/>
  <c r="O1283" i="2"/>
  <c r="O1282" i="2"/>
  <c r="O1281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8" i="2"/>
  <c r="O1207" i="2"/>
  <c r="O1206" i="2"/>
  <c r="O1205" i="2"/>
  <c r="O1204" i="2"/>
  <c r="O1203" i="2"/>
  <c r="O1202" i="2"/>
  <c r="O1201" i="2"/>
  <c r="O1198" i="2"/>
  <c r="O1197" i="2"/>
  <c r="O1196" i="2"/>
  <c r="O1194" i="2"/>
  <c r="O1193" i="2"/>
  <c r="O1191" i="2"/>
  <c r="O1190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6" i="2"/>
  <c r="O1165" i="2"/>
  <c r="O1163" i="2"/>
  <c r="O1162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7" i="2"/>
  <c r="O1146" i="2"/>
  <c r="O1145" i="2"/>
  <c r="O1144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6" i="2"/>
  <c r="O1125" i="2"/>
  <c r="O1124" i="2"/>
  <c r="O1123" i="2"/>
  <c r="O1122" i="2"/>
  <c r="O1121" i="2"/>
  <c r="O1120" i="2"/>
  <c r="O1119" i="2"/>
  <c r="O1116" i="2"/>
  <c r="O1115" i="2"/>
  <c r="O1113" i="2"/>
  <c r="O1112" i="2"/>
  <c r="O1111" i="2"/>
  <c r="O1110" i="2"/>
  <c r="O1109" i="2"/>
  <c r="O1108" i="2"/>
  <c r="O1107" i="2"/>
  <c r="O1106" i="2"/>
  <c r="O1104" i="2"/>
  <c r="O1103" i="2"/>
  <c r="O1101" i="2"/>
  <c r="O1100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1" i="2"/>
  <c r="O1080" i="2"/>
  <c r="O1079" i="2"/>
  <c r="O1078" i="2"/>
  <c r="O1077" i="2"/>
  <c r="O1076" i="2"/>
  <c r="O1075" i="2"/>
  <c r="O1074" i="2"/>
  <c r="O1072" i="2"/>
  <c r="O1071" i="2"/>
  <c r="O1070" i="2"/>
  <c r="O1069" i="2"/>
  <c r="O1067" i="2"/>
  <c r="O1066" i="2"/>
  <c r="O1065" i="2"/>
  <c r="O1064" i="2"/>
  <c r="O1062" i="2"/>
  <c r="O1061" i="2"/>
  <c r="O1060" i="2"/>
  <c r="O1059" i="2"/>
  <c r="O1056" i="2"/>
  <c r="O1055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6" i="2"/>
  <c r="O1035" i="2"/>
  <c r="O1034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09" i="2"/>
  <c r="O1008" i="2"/>
  <c r="O1007" i="2"/>
  <c r="O1006" i="2"/>
  <c r="O1003" i="2"/>
  <c r="O1002" i="2"/>
  <c r="O1000" i="2"/>
  <c r="O999" i="2"/>
  <c r="O997" i="2"/>
  <c r="O996" i="2"/>
  <c r="O994" i="2"/>
  <c r="O993" i="2"/>
  <c r="O992" i="2"/>
  <c r="O991" i="2"/>
  <c r="O989" i="2"/>
  <c r="O988" i="2"/>
  <c r="O987" i="2"/>
  <c r="O986" i="2"/>
  <c r="O985" i="2"/>
  <c r="O984" i="2"/>
  <c r="O983" i="2"/>
  <c r="O981" i="2"/>
  <c r="O980" i="2"/>
  <c r="O979" i="2"/>
  <c r="O978" i="2"/>
  <c r="O977" i="2"/>
  <c r="O976" i="2"/>
  <c r="O975" i="2"/>
  <c r="O974" i="2"/>
  <c r="O971" i="2"/>
  <c r="O970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6" i="2"/>
  <c r="O915" i="2"/>
  <c r="O914" i="2"/>
  <c r="O913" i="2"/>
  <c r="O911" i="2"/>
  <c r="O910" i="2"/>
  <c r="O909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6" i="2"/>
  <c r="O865" i="2"/>
  <c r="O864" i="2"/>
  <c r="O863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29" i="2"/>
  <c r="O828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8" i="2"/>
  <c r="O787" i="2"/>
  <c r="O786" i="2"/>
  <c r="O785" i="2"/>
  <c r="O783" i="2"/>
  <c r="O782" i="2"/>
  <c r="O780" i="2"/>
  <c r="O779" i="2"/>
  <c r="O778" i="2"/>
  <c r="O777" i="2"/>
  <c r="O775" i="2"/>
  <c r="O774" i="2"/>
  <c r="O773" i="2"/>
  <c r="O772" i="2"/>
  <c r="O771" i="2"/>
  <c r="O770" i="2"/>
  <c r="O769" i="2"/>
  <c r="O768" i="2"/>
  <c r="O765" i="2"/>
  <c r="O764" i="2"/>
  <c r="O762" i="2"/>
  <c r="O761" i="2"/>
  <c r="O760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5" i="2"/>
  <c r="O744" i="2"/>
  <c r="O743" i="2"/>
  <c r="O742" i="2"/>
  <c r="O740" i="2"/>
  <c r="O739" i="2"/>
  <c r="O738" i="2"/>
  <c r="O737" i="2"/>
  <c r="O735" i="2"/>
  <c r="O734" i="2"/>
  <c r="O733" i="2"/>
  <c r="O732" i="2"/>
  <c r="O731" i="2"/>
  <c r="O728" i="2"/>
  <c r="O727" i="2"/>
  <c r="O726" i="2"/>
  <c r="O725" i="2"/>
  <c r="O724" i="2"/>
  <c r="O723" i="2"/>
  <c r="O722" i="2"/>
  <c r="O720" i="2"/>
  <c r="O719" i="2"/>
  <c r="O718" i="2"/>
  <c r="O717" i="2"/>
  <c r="O714" i="2"/>
  <c r="O713" i="2"/>
  <c r="O711" i="2"/>
  <c r="O710" i="2"/>
  <c r="O709" i="2"/>
  <c r="O708" i="2"/>
  <c r="O707" i="2"/>
  <c r="O706" i="2"/>
  <c r="O705" i="2"/>
  <c r="O703" i="2"/>
  <c r="O702" i="2"/>
  <c r="O700" i="2"/>
  <c r="O699" i="2"/>
  <c r="O698" i="2"/>
  <c r="O697" i="2"/>
  <c r="O696" i="2"/>
  <c r="O695" i="2"/>
  <c r="O694" i="2"/>
  <c r="O693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59" i="2"/>
  <c r="O658" i="2"/>
  <c r="O657" i="2"/>
  <c r="O656" i="2"/>
  <c r="O655" i="2"/>
  <c r="O654" i="2"/>
  <c r="O653" i="2"/>
  <c r="O652" i="2"/>
  <c r="O650" i="2"/>
  <c r="O649" i="2"/>
  <c r="O648" i="2"/>
  <c r="O647" i="2"/>
  <c r="O646" i="2"/>
  <c r="O645" i="2"/>
  <c r="O644" i="2"/>
  <c r="O643" i="2"/>
  <c r="O641" i="2"/>
  <c r="O640" i="2"/>
  <c r="O639" i="2"/>
  <c r="O638" i="2"/>
  <c r="O637" i="2"/>
  <c r="O636" i="2"/>
  <c r="O635" i="2"/>
  <c r="O634" i="2"/>
  <c r="O633" i="2"/>
  <c r="O632" i="2"/>
  <c r="O631" i="2"/>
  <c r="O629" i="2"/>
  <c r="O628" i="2"/>
  <c r="O627" i="2"/>
  <c r="O626" i="2"/>
  <c r="O625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4" i="2"/>
  <c r="O603" i="2"/>
  <c r="O602" i="2"/>
  <c r="O601" i="2"/>
  <c r="O600" i="2"/>
  <c r="O599" i="2"/>
  <c r="O598" i="2"/>
  <c r="O597" i="2"/>
  <c r="O596" i="2"/>
  <c r="O595" i="2"/>
  <c r="O593" i="2"/>
  <c r="O592" i="2"/>
  <c r="O591" i="2"/>
  <c r="O590" i="2"/>
  <c r="O589" i="2"/>
  <c r="O588" i="2"/>
  <c r="O587" i="2"/>
  <c r="O586" i="2"/>
  <c r="O585" i="2"/>
  <c r="O584" i="2"/>
  <c r="O581" i="2"/>
  <c r="O580" i="2"/>
  <c r="O579" i="2"/>
  <c r="O578" i="2"/>
  <c r="O577" i="2"/>
  <c r="O576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0" i="2"/>
  <c r="O559" i="2"/>
  <c r="O558" i="2"/>
  <c r="O557" i="2"/>
  <c r="O554" i="2"/>
  <c r="O553" i="2"/>
  <c r="O552" i="2"/>
  <c r="O551" i="2"/>
  <c r="O550" i="2"/>
  <c r="O549" i="2"/>
  <c r="O548" i="2"/>
  <c r="O547" i="2"/>
  <c r="O546" i="2"/>
  <c r="O544" i="2"/>
  <c r="O543" i="2"/>
  <c r="O542" i="2"/>
  <c r="O541" i="2"/>
  <c r="O540" i="2"/>
  <c r="O539" i="2"/>
  <c r="O538" i="2"/>
  <c r="O537" i="2"/>
  <c r="O536" i="2"/>
  <c r="O533" i="2"/>
  <c r="O531" i="2"/>
  <c r="O530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9" i="2"/>
  <c r="O508" i="2"/>
  <c r="O507" i="2"/>
  <c r="O506" i="2"/>
  <c r="O505" i="2"/>
  <c r="O504" i="2"/>
  <c r="O503" i="2"/>
  <c r="O502" i="2"/>
  <c r="O501" i="2"/>
  <c r="O500" i="2"/>
  <c r="O498" i="2"/>
  <c r="O497" i="2"/>
  <c r="O496" i="2"/>
  <c r="O495" i="2"/>
  <c r="O494" i="2"/>
  <c r="O493" i="2"/>
  <c r="O491" i="2"/>
  <c r="O490" i="2"/>
  <c r="O489" i="2"/>
  <c r="O488" i="2"/>
  <c r="O487" i="2"/>
  <c r="O486" i="2"/>
  <c r="O485" i="2"/>
  <c r="O484" i="2"/>
  <c r="O483" i="2"/>
  <c r="O482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3" i="2"/>
  <c r="O462" i="2"/>
  <c r="O461" i="2"/>
  <c r="O460" i="2"/>
  <c r="O459" i="2"/>
  <c r="O458" i="2"/>
  <c r="O457" i="2"/>
  <c r="O456" i="2"/>
  <c r="O454" i="2"/>
  <c r="O453" i="2"/>
  <c r="O452" i="2"/>
  <c r="O449" i="2"/>
  <c r="O447" i="2"/>
  <c r="O446" i="2"/>
  <c r="O444" i="2"/>
  <c r="O443" i="2"/>
  <c r="O442" i="2"/>
  <c r="O441" i="2"/>
  <c r="O440" i="2"/>
  <c r="O439" i="2"/>
  <c r="O437" i="2"/>
  <c r="O436" i="2"/>
  <c r="O435" i="2"/>
  <c r="O434" i="2"/>
  <c r="O433" i="2"/>
  <c r="O432" i="2"/>
  <c r="O431" i="2"/>
  <c r="O430" i="2"/>
  <c r="O429" i="2"/>
  <c r="O427" i="2"/>
  <c r="O426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299" i="2"/>
  <c r="O298" i="2"/>
  <c r="O297" i="2"/>
  <c r="O296" i="2"/>
  <c r="O295" i="2"/>
  <c r="O294" i="2"/>
  <c r="O293" i="2"/>
  <c r="O292" i="2"/>
  <c r="O291" i="2"/>
  <c r="O290" i="2"/>
  <c r="O288" i="2"/>
  <c r="O287" i="2"/>
  <c r="O286" i="2"/>
  <c r="O285" i="2"/>
  <c r="O284" i="2"/>
  <c r="O283" i="2"/>
  <c r="O282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4" i="2"/>
  <c r="O152" i="2"/>
  <c r="O151" i="2"/>
  <c r="O150" i="2"/>
  <c r="O149" i="2"/>
  <c r="O148" i="2"/>
  <c r="O147" i="2"/>
  <c r="O146" i="2"/>
  <c r="O144" i="2"/>
  <c r="O143" i="2"/>
  <c r="O141" i="2"/>
  <c r="O140" i="2"/>
  <c r="O139" i="2"/>
  <c r="O138" i="2"/>
  <c r="O137" i="2"/>
  <c r="O136" i="2"/>
  <c r="O135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1" i="2"/>
  <c r="O100" i="2"/>
  <c r="O99" i="2"/>
  <c r="O98" i="2"/>
  <c r="O97" i="2"/>
  <c r="O96" i="2"/>
  <c r="O95" i="2"/>
  <c r="O94" i="2"/>
  <c r="O93" i="2"/>
  <c r="O91" i="2"/>
  <c r="O90" i="2"/>
  <c r="O89" i="2"/>
  <c r="O88" i="2"/>
  <c r="O87" i="2"/>
  <c r="O86" i="2"/>
  <c r="O84" i="2"/>
  <c r="O83" i="2"/>
  <c r="O82" i="2"/>
  <c r="O81" i="2"/>
  <c r="O80" i="2"/>
  <c r="O78" i="2"/>
  <c r="O77" i="2"/>
  <c r="O76" i="2"/>
  <c r="O75" i="2"/>
  <c r="O74" i="2"/>
  <c r="O72" i="2"/>
  <c r="O71" i="2"/>
  <c r="O70" i="2"/>
  <c r="O69" i="2"/>
  <c r="O68" i="2"/>
  <c r="O67" i="2"/>
  <c r="O64" i="2"/>
  <c r="O63" i="2"/>
  <c r="O62" i="2"/>
  <c r="O61" i="2"/>
  <c r="O59" i="2"/>
  <c r="O58" i="2"/>
  <c r="O57" i="2"/>
  <c r="O56" i="2"/>
  <c r="O55" i="2"/>
  <c r="O54" i="2"/>
  <c r="O52" i="2"/>
  <c r="O51" i="2"/>
  <c r="O50" i="2"/>
  <c r="O49" i="2"/>
  <c r="O48" i="2"/>
  <c r="O47" i="2"/>
  <c r="O46" i="2"/>
  <c r="O45" i="2"/>
  <c r="O44" i="2"/>
  <c r="O43" i="2"/>
  <c r="O41" i="2"/>
  <c r="O40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J2481" i="2"/>
  <c r="J2480" i="2"/>
  <c r="J2479" i="2"/>
  <c r="J2478" i="2"/>
  <c r="J2476" i="2"/>
  <c r="J2475" i="2"/>
  <c r="J2472" i="2"/>
  <c r="J2471" i="2"/>
  <c r="J2469" i="2"/>
  <c r="J2466" i="2"/>
  <c r="J2465" i="2"/>
  <c r="J2463" i="2"/>
  <c r="J2462" i="2"/>
  <c r="J2460" i="2"/>
  <c r="J2459" i="2"/>
  <c r="J2458" i="2"/>
  <c r="J2457" i="2"/>
  <c r="J2455" i="2"/>
  <c r="J2454" i="2"/>
  <c r="J2453" i="2"/>
  <c r="J2452" i="2"/>
  <c r="J2451" i="2"/>
  <c r="J2450" i="2"/>
  <c r="J2448" i="2"/>
  <c r="J2447" i="2"/>
  <c r="J2445" i="2"/>
  <c r="J2444" i="2"/>
  <c r="J2443" i="2"/>
  <c r="J2442" i="2"/>
  <c r="J2441" i="2"/>
  <c r="J2440" i="2"/>
  <c r="J2438" i="2"/>
  <c r="J2437" i="2"/>
  <c r="J2436" i="2"/>
  <c r="J2434" i="2"/>
  <c r="J2433" i="2"/>
  <c r="J2432" i="2"/>
  <c r="J2431" i="2"/>
  <c r="J2430" i="2"/>
  <c r="J2428" i="2"/>
  <c r="J2427" i="2"/>
  <c r="J2426" i="2"/>
  <c r="J2424" i="2"/>
  <c r="J2423" i="2"/>
  <c r="J2420" i="2"/>
  <c r="J2419" i="2"/>
  <c r="J2417" i="2"/>
  <c r="J2416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8" i="2"/>
  <c r="J2317" i="2"/>
  <c r="J2315" i="2"/>
  <c r="J2314" i="2"/>
  <c r="J2312" i="2"/>
  <c r="J2311" i="2"/>
  <c r="J2310" i="2"/>
  <c r="J2309" i="2"/>
  <c r="J2308" i="2"/>
  <c r="J2307" i="2"/>
  <c r="J2306" i="2"/>
  <c r="J2305" i="2"/>
  <c r="J2302" i="2"/>
  <c r="J2301" i="2"/>
  <c r="J2300" i="2"/>
  <c r="J2299" i="2"/>
  <c r="J2297" i="2"/>
  <c r="J2296" i="2"/>
  <c r="J2295" i="2"/>
  <c r="J2293" i="2"/>
  <c r="J2292" i="2"/>
  <c r="J2291" i="2"/>
  <c r="J2290" i="2"/>
  <c r="J2287" i="2"/>
  <c r="J2286" i="2"/>
  <c r="J2283" i="2"/>
  <c r="J2282" i="2"/>
  <c r="J2279" i="2"/>
  <c r="J2278" i="2"/>
  <c r="J2277" i="2"/>
  <c r="J2276" i="2"/>
  <c r="J2275" i="2"/>
  <c r="J2274" i="2"/>
  <c r="J2273" i="2"/>
  <c r="J2272" i="2"/>
  <c r="J2271" i="2"/>
  <c r="J2270" i="2"/>
  <c r="J2269" i="2"/>
  <c r="J2265" i="2"/>
  <c r="J2264" i="2"/>
  <c r="J2262" i="2"/>
  <c r="J2261" i="2"/>
  <c r="J2260" i="2"/>
  <c r="J2259" i="2"/>
  <c r="J2258" i="2"/>
  <c r="J2256" i="2"/>
  <c r="J2255" i="2"/>
  <c r="J2253" i="2"/>
  <c r="J2252" i="2"/>
  <c r="J2251" i="2"/>
  <c r="J2250" i="2"/>
  <c r="J2249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28" i="2"/>
  <c r="J2227" i="2"/>
  <c r="J2225" i="2"/>
  <c r="J2224" i="2"/>
  <c r="J2222" i="2"/>
  <c r="J2221" i="2"/>
  <c r="J2219" i="2"/>
  <c r="J2218" i="2"/>
  <c r="J2217" i="2"/>
  <c r="J2215" i="2"/>
  <c r="J2214" i="2"/>
  <c r="J2212" i="2"/>
  <c r="J2211" i="2"/>
  <c r="J2210" i="2"/>
  <c r="J2209" i="2"/>
  <c r="J2208" i="2"/>
  <c r="J2207" i="2"/>
  <c r="J2206" i="2"/>
  <c r="J2204" i="2"/>
  <c r="J2203" i="2"/>
  <c r="J2202" i="2"/>
  <c r="J2201" i="2"/>
  <c r="J2200" i="2"/>
  <c r="J2199" i="2"/>
  <c r="J2196" i="2"/>
  <c r="J2195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4" i="2"/>
  <c r="J2163" i="2"/>
  <c r="J2162" i="2"/>
  <c r="J2161" i="2"/>
  <c r="J2160" i="2"/>
  <c r="J2158" i="2"/>
  <c r="J2157" i="2"/>
  <c r="J2156" i="2"/>
  <c r="J2155" i="2"/>
  <c r="J2154" i="2"/>
  <c r="J2153" i="2"/>
  <c r="J2151" i="2"/>
  <c r="J2150" i="2"/>
  <c r="J2149" i="2"/>
  <c r="J2148" i="2"/>
  <c r="J2146" i="2"/>
  <c r="J2145" i="2"/>
  <c r="J2144" i="2"/>
  <c r="J2143" i="2"/>
  <c r="J2141" i="2"/>
  <c r="J2140" i="2"/>
  <c r="J2139" i="2"/>
  <c r="J2138" i="2"/>
  <c r="J2137" i="2"/>
  <c r="J2136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19" i="2"/>
  <c r="J2118" i="2"/>
  <c r="J2115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099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8" i="2"/>
  <c r="J2027" i="2"/>
  <c r="J2026" i="2"/>
  <c r="J2025" i="2"/>
  <c r="J2024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7" i="2"/>
  <c r="J1986" i="2"/>
  <c r="J1985" i="2"/>
  <c r="J1984" i="2"/>
  <c r="J1982" i="2"/>
  <c r="J1981" i="2"/>
  <c r="J1979" i="2"/>
  <c r="J1978" i="2"/>
  <c r="J1977" i="2"/>
  <c r="J1976" i="2"/>
  <c r="J1975" i="2"/>
  <c r="J1974" i="2"/>
  <c r="J1973" i="2"/>
  <c r="J1970" i="2"/>
  <c r="J1969" i="2"/>
  <c r="J1967" i="2"/>
  <c r="J1966" i="2"/>
  <c r="J1963" i="2"/>
  <c r="J1962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3" i="2"/>
  <c r="J1831" i="2"/>
  <c r="J1830" i="2"/>
  <c r="J1829" i="2"/>
  <c r="J1828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1" i="2"/>
  <c r="J1809" i="2"/>
  <c r="J1807" i="2"/>
  <c r="J1806" i="2"/>
  <c r="J1805" i="2"/>
  <c r="J1804" i="2"/>
  <c r="J1803" i="2"/>
  <c r="J1802" i="2"/>
  <c r="J1801" i="2"/>
  <c r="J1800" i="2"/>
  <c r="J1797" i="2"/>
  <c r="J1796" i="2"/>
  <c r="J1795" i="2"/>
  <c r="J1792" i="2"/>
  <c r="J1791" i="2"/>
  <c r="J1789" i="2"/>
  <c r="J1788" i="2"/>
  <c r="J1786" i="2"/>
  <c r="J1785" i="2"/>
  <c r="J1784" i="2"/>
  <c r="J1783" i="2"/>
  <c r="J1782" i="2"/>
  <c r="J1781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4" i="2"/>
  <c r="J1763" i="2"/>
  <c r="J1762" i="2"/>
  <c r="J1761" i="2"/>
  <c r="J1760" i="2"/>
  <c r="J1758" i="2"/>
  <c r="J1757" i="2"/>
  <c r="J1755" i="2"/>
  <c r="J1754" i="2"/>
  <c r="J1753" i="2"/>
  <c r="J1752" i="2"/>
  <c r="J1751" i="2"/>
  <c r="J1750" i="2"/>
  <c r="J1749" i="2"/>
  <c r="J1748" i="2"/>
  <c r="J1747" i="2"/>
  <c r="J1746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3" i="2"/>
  <c r="J1652" i="2"/>
  <c r="J1650" i="2"/>
  <c r="J1649" i="2"/>
  <c r="J1648" i="2"/>
  <c r="J1647" i="2"/>
  <c r="J1646" i="2"/>
  <c r="J1645" i="2"/>
  <c r="J1644" i="2"/>
  <c r="J1643" i="2"/>
  <c r="J1642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6" i="2"/>
  <c r="J1615" i="2"/>
  <c r="J1614" i="2"/>
  <c r="J1613" i="2"/>
  <c r="J1612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5" i="2"/>
  <c r="J1574" i="2"/>
  <c r="J1573" i="2"/>
  <c r="J1572" i="2"/>
  <c r="J1571" i="2"/>
  <c r="J1570" i="2"/>
  <c r="J1569" i="2"/>
  <c r="J1568" i="2"/>
  <c r="J1565" i="2"/>
  <c r="J1564" i="2"/>
  <c r="J1562" i="2"/>
  <c r="J1561" i="2"/>
  <c r="J1559" i="2"/>
  <c r="J1558" i="2"/>
  <c r="J1557" i="2"/>
  <c r="J1556" i="2"/>
  <c r="J1554" i="2"/>
  <c r="J1553" i="2"/>
  <c r="J1552" i="2"/>
  <c r="J1551" i="2"/>
  <c r="J1550" i="2"/>
  <c r="J1549" i="2"/>
  <c r="J1548" i="2"/>
  <c r="J1547" i="2"/>
  <c r="J1546" i="2"/>
  <c r="J1545" i="2"/>
  <c r="J1544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28" i="2"/>
  <c r="J1527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7" i="2"/>
  <c r="J1406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1" i="2"/>
  <c r="J1360" i="2"/>
  <c r="J1359" i="2"/>
  <c r="J1358" i="2"/>
  <c r="J1356" i="2"/>
  <c r="J1355" i="2"/>
  <c r="J1352" i="2"/>
  <c r="J1351" i="2"/>
  <c r="J1350" i="2"/>
  <c r="J1349" i="2"/>
  <c r="J1348" i="2"/>
  <c r="J1346" i="2"/>
  <c r="J1345" i="2"/>
  <c r="J1344" i="2"/>
  <c r="J1343" i="2"/>
  <c r="J1342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1" i="2"/>
  <c r="J1300" i="2"/>
  <c r="J1299" i="2"/>
  <c r="J1298" i="2"/>
  <c r="J1297" i="2"/>
  <c r="J1296" i="2"/>
  <c r="J1295" i="2"/>
  <c r="J1294" i="2"/>
  <c r="J1291" i="2"/>
  <c r="J1290" i="2"/>
  <c r="J1288" i="2"/>
  <c r="J1287" i="2"/>
  <c r="J1286" i="2"/>
  <c r="J1285" i="2"/>
  <c r="J1283" i="2"/>
  <c r="J1282" i="2"/>
  <c r="J1281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8" i="2"/>
  <c r="J1207" i="2"/>
  <c r="J1206" i="2"/>
  <c r="J1205" i="2"/>
  <c r="J1204" i="2"/>
  <c r="J1203" i="2"/>
  <c r="J1202" i="2"/>
  <c r="J1201" i="2"/>
  <c r="J1198" i="2"/>
  <c r="J1197" i="2"/>
  <c r="J1196" i="2"/>
  <c r="J1194" i="2"/>
  <c r="J1193" i="2"/>
  <c r="J1191" i="2"/>
  <c r="J1190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6" i="2"/>
  <c r="J1165" i="2"/>
  <c r="J1163" i="2"/>
  <c r="J1162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7" i="2"/>
  <c r="J1146" i="2"/>
  <c r="J1145" i="2"/>
  <c r="J1144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6" i="2"/>
  <c r="J1125" i="2"/>
  <c r="J1124" i="2"/>
  <c r="J1123" i="2"/>
  <c r="J1122" i="2"/>
  <c r="J1121" i="2"/>
  <c r="J1120" i="2"/>
  <c r="J1119" i="2"/>
  <c r="J1116" i="2"/>
  <c r="J1115" i="2"/>
  <c r="J1113" i="2"/>
  <c r="J1112" i="2"/>
  <c r="J1111" i="2"/>
  <c r="J1110" i="2"/>
  <c r="J1109" i="2"/>
  <c r="J1108" i="2"/>
  <c r="J1107" i="2"/>
  <c r="J1106" i="2"/>
  <c r="J1104" i="2"/>
  <c r="J1103" i="2"/>
  <c r="J1101" i="2"/>
  <c r="J1100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1" i="2"/>
  <c r="J1080" i="2"/>
  <c r="J1079" i="2"/>
  <c r="J1078" i="2"/>
  <c r="J1077" i="2"/>
  <c r="J1076" i="2"/>
  <c r="J1075" i="2"/>
  <c r="J1074" i="2"/>
  <c r="J1072" i="2"/>
  <c r="J1071" i="2"/>
  <c r="J1070" i="2"/>
  <c r="J1069" i="2"/>
  <c r="J1067" i="2"/>
  <c r="J1066" i="2"/>
  <c r="J1065" i="2"/>
  <c r="J1064" i="2"/>
  <c r="J1062" i="2"/>
  <c r="J1061" i="2"/>
  <c r="J1060" i="2"/>
  <c r="J1059" i="2"/>
  <c r="J1056" i="2"/>
  <c r="J1055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6" i="2"/>
  <c r="J1035" i="2"/>
  <c r="J1034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09" i="2"/>
  <c r="J1008" i="2"/>
  <c r="J1007" i="2"/>
  <c r="J1006" i="2"/>
  <c r="J1003" i="2"/>
  <c r="J1002" i="2"/>
  <c r="J1000" i="2"/>
  <c r="J999" i="2"/>
  <c r="J997" i="2"/>
  <c r="J996" i="2"/>
  <c r="J994" i="2"/>
  <c r="J993" i="2"/>
  <c r="J989" i="2"/>
  <c r="J988" i="2"/>
  <c r="J987" i="2"/>
  <c r="J986" i="2"/>
  <c r="J985" i="2"/>
  <c r="J984" i="2"/>
  <c r="J983" i="2"/>
  <c r="J981" i="2"/>
  <c r="J980" i="2"/>
  <c r="J979" i="2"/>
  <c r="J978" i="2"/>
  <c r="J977" i="2"/>
  <c r="J976" i="2"/>
  <c r="J975" i="2"/>
  <c r="J974" i="2"/>
  <c r="J971" i="2"/>
  <c r="J970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6" i="2"/>
  <c r="J915" i="2"/>
  <c r="J914" i="2"/>
  <c r="J913" i="2"/>
  <c r="J911" i="2"/>
  <c r="J910" i="2"/>
  <c r="L910" i="2" s="1"/>
  <c r="J909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6" i="2"/>
  <c r="J865" i="2"/>
  <c r="J864" i="2"/>
  <c r="J863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29" i="2"/>
  <c r="J828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8" i="2"/>
  <c r="J787" i="2"/>
  <c r="J786" i="2"/>
  <c r="J785" i="2"/>
  <c r="J783" i="2"/>
  <c r="J782" i="2"/>
  <c r="J780" i="2"/>
  <c r="J779" i="2"/>
  <c r="J777" i="2"/>
  <c r="J774" i="2"/>
  <c r="J773" i="2"/>
  <c r="J772" i="2"/>
  <c r="J771" i="2"/>
  <c r="J770" i="2"/>
  <c r="J769" i="2"/>
  <c r="J768" i="2"/>
  <c r="J765" i="2"/>
  <c r="J764" i="2"/>
  <c r="J762" i="2"/>
  <c r="J761" i="2"/>
  <c r="J760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5" i="2"/>
  <c r="J744" i="2"/>
  <c r="J743" i="2"/>
  <c r="J742" i="2"/>
  <c r="J740" i="2"/>
  <c r="J739" i="2"/>
  <c r="J738" i="2"/>
  <c r="J737" i="2"/>
  <c r="J735" i="2"/>
  <c r="J734" i="2"/>
  <c r="J733" i="2"/>
  <c r="J732" i="2"/>
  <c r="J731" i="2"/>
  <c r="J728" i="2"/>
  <c r="J727" i="2"/>
  <c r="J726" i="2"/>
  <c r="J725" i="2"/>
  <c r="J724" i="2"/>
  <c r="J723" i="2"/>
  <c r="J722" i="2"/>
  <c r="J720" i="2"/>
  <c r="J719" i="2"/>
  <c r="J718" i="2"/>
  <c r="J717" i="2"/>
  <c r="J714" i="2"/>
  <c r="J713" i="2"/>
  <c r="J711" i="2"/>
  <c r="J710" i="2"/>
  <c r="J709" i="2"/>
  <c r="J708" i="2"/>
  <c r="J707" i="2"/>
  <c r="J706" i="2"/>
  <c r="J705" i="2"/>
  <c r="J703" i="2"/>
  <c r="J702" i="2"/>
  <c r="J700" i="2"/>
  <c r="J699" i="2"/>
  <c r="J698" i="2"/>
  <c r="J697" i="2"/>
  <c r="J696" i="2"/>
  <c r="J695" i="2"/>
  <c r="J694" i="2"/>
  <c r="J693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59" i="2"/>
  <c r="J658" i="2"/>
  <c r="J657" i="2"/>
  <c r="J656" i="2"/>
  <c r="J655" i="2"/>
  <c r="J654" i="2"/>
  <c r="J653" i="2"/>
  <c r="J652" i="2"/>
  <c r="J650" i="2"/>
  <c r="J649" i="2"/>
  <c r="J648" i="2"/>
  <c r="J647" i="2"/>
  <c r="J646" i="2"/>
  <c r="J645" i="2"/>
  <c r="J644" i="2"/>
  <c r="J643" i="2"/>
  <c r="J641" i="2"/>
  <c r="J640" i="2"/>
  <c r="J639" i="2"/>
  <c r="J638" i="2"/>
  <c r="J637" i="2"/>
  <c r="J636" i="2"/>
  <c r="J635" i="2"/>
  <c r="J634" i="2"/>
  <c r="J633" i="2"/>
  <c r="J632" i="2"/>
  <c r="J631" i="2"/>
  <c r="J629" i="2"/>
  <c r="J628" i="2"/>
  <c r="J627" i="2"/>
  <c r="J626" i="2"/>
  <c r="J625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4" i="2"/>
  <c r="J603" i="2"/>
  <c r="J602" i="2"/>
  <c r="J601" i="2"/>
  <c r="J600" i="2"/>
  <c r="J599" i="2"/>
  <c r="J598" i="2"/>
  <c r="J597" i="2"/>
  <c r="J596" i="2"/>
  <c r="J593" i="2"/>
  <c r="J592" i="2"/>
  <c r="J591" i="2"/>
  <c r="J590" i="2"/>
  <c r="J589" i="2"/>
  <c r="J588" i="2"/>
  <c r="J587" i="2"/>
  <c r="J586" i="2"/>
  <c r="J585" i="2"/>
  <c r="J584" i="2"/>
  <c r="J581" i="2"/>
  <c r="J580" i="2"/>
  <c r="J579" i="2"/>
  <c r="J578" i="2"/>
  <c r="J577" i="2"/>
  <c r="J576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0" i="2"/>
  <c r="J559" i="2"/>
  <c r="J558" i="2"/>
  <c r="J557" i="2"/>
  <c r="J554" i="2"/>
  <c r="J553" i="2"/>
  <c r="J552" i="2"/>
  <c r="J551" i="2"/>
  <c r="J550" i="2"/>
  <c r="J549" i="2"/>
  <c r="J548" i="2"/>
  <c r="J547" i="2"/>
  <c r="J546" i="2"/>
  <c r="J544" i="2"/>
  <c r="J543" i="2"/>
  <c r="J542" i="2"/>
  <c r="J541" i="2"/>
  <c r="J540" i="2"/>
  <c r="J539" i="2"/>
  <c r="J538" i="2"/>
  <c r="J537" i="2"/>
  <c r="J536" i="2"/>
  <c r="J533" i="2"/>
  <c r="J531" i="2"/>
  <c r="J530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0" i="2"/>
  <c r="J509" i="2"/>
  <c r="J508" i="2"/>
  <c r="J507" i="2"/>
  <c r="J506" i="2"/>
  <c r="J505" i="2"/>
  <c r="J504" i="2"/>
  <c r="J503" i="2"/>
  <c r="J502" i="2"/>
  <c r="J501" i="2"/>
  <c r="J500" i="2"/>
  <c r="J498" i="2"/>
  <c r="J497" i="2"/>
  <c r="J496" i="2"/>
  <c r="J495" i="2"/>
  <c r="J494" i="2"/>
  <c r="J493" i="2"/>
  <c r="J491" i="2"/>
  <c r="J490" i="2"/>
  <c r="J489" i="2"/>
  <c r="J488" i="2"/>
  <c r="J487" i="2"/>
  <c r="J486" i="2"/>
  <c r="J485" i="2"/>
  <c r="J484" i="2"/>
  <c r="J483" i="2"/>
  <c r="J482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3" i="2"/>
  <c r="J462" i="2"/>
  <c r="J461" i="2"/>
  <c r="J460" i="2"/>
  <c r="J459" i="2"/>
  <c r="J458" i="2"/>
  <c r="J457" i="2"/>
  <c r="J456" i="2"/>
  <c r="J454" i="2"/>
  <c r="J453" i="2"/>
  <c r="J452" i="2"/>
  <c r="J449" i="2"/>
  <c r="J447" i="2"/>
  <c r="J446" i="2"/>
  <c r="J444" i="2"/>
  <c r="J443" i="2"/>
  <c r="J442" i="2"/>
  <c r="J441" i="2"/>
  <c r="J440" i="2"/>
  <c r="J439" i="2"/>
  <c r="J437" i="2"/>
  <c r="J436" i="2"/>
  <c r="J435" i="2"/>
  <c r="J434" i="2"/>
  <c r="J433" i="2"/>
  <c r="J432" i="2"/>
  <c r="J431" i="2"/>
  <c r="J430" i="2"/>
  <c r="J429" i="2"/>
  <c r="J427" i="2"/>
  <c r="J426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299" i="2"/>
  <c r="J298" i="2"/>
  <c r="J297" i="2"/>
  <c r="J296" i="2"/>
  <c r="J295" i="2"/>
  <c r="J294" i="2"/>
  <c r="J293" i="2"/>
  <c r="J292" i="2"/>
  <c r="J291" i="2"/>
  <c r="J290" i="2"/>
  <c r="J288" i="2"/>
  <c r="J287" i="2"/>
  <c r="J286" i="2"/>
  <c r="J285" i="2"/>
  <c r="J284" i="2"/>
  <c r="J283" i="2"/>
  <c r="J282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4" i="2"/>
  <c r="J152" i="2"/>
  <c r="J151" i="2"/>
  <c r="J150" i="2"/>
  <c r="J149" i="2"/>
  <c r="J148" i="2"/>
  <c r="J147" i="2"/>
  <c r="J146" i="2"/>
  <c r="J144" i="2"/>
  <c r="J143" i="2"/>
  <c r="J141" i="2"/>
  <c r="J140" i="2"/>
  <c r="J139" i="2"/>
  <c r="J138" i="2"/>
  <c r="J137" i="2"/>
  <c r="J136" i="2"/>
  <c r="J135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1" i="2"/>
  <c r="J100" i="2"/>
  <c r="J99" i="2"/>
  <c r="J98" i="2"/>
  <c r="J97" i="2"/>
  <c r="J96" i="2"/>
  <c r="J95" i="2"/>
  <c r="J94" i="2"/>
  <c r="J93" i="2"/>
  <c r="J91" i="2"/>
  <c r="J90" i="2"/>
  <c r="J89" i="2"/>
  <c r="J88" i="2"/>
  <c r="J87" i="2"/>
  <c r="J86" i="2"/>
  <c r="J84" i="2"/>
  <c r="J83" i="2"/>
  <c r="J82" i="2"/>
  <c r="J81" i="2"/>
  <c r="J80" i="2"/>
  <c r="J78" i="2"/>
  <c r="J77" i="2"/>
  <c r="J76" i="2"/>
  <c r="J75" i="2"/>
  <c r="J74" i="2"/>
  <c r="J71" i="2"/>
  <c r="J69" i="2"/>
  <c r="J68" i="2"/>
  <c r="J67" i="2"/>
  <c r="J64" i="2"/>
  <c r="J63" i="2"/>
  <c r="J62" i="2"/>
  <c r="J61" i="2"/>
  <c r="J59" i="2"/>
  <c r="J58" i="2"/>
  <c r="J57" i="2"/>
  <c r="J56" i="2"/>
  <c r="J55" i="2"/>
  <c r="J54" i="2"/>
  <c r="J52" i="2"/>
  <c r="J51" i="2"/>
  <c r="J50" i="2"/>
  <c r="J49" i="2"/>
  <c r="J48" i="2"/>
  <c r="J47" i="2"/>
  <c r="J46" i="2"/>
  <c r="J45" i="2"/>
  <c r="J44" i="2"/>
  <c r="J43" i="2"/>
  <c r="J41" i="2"/>
  <c r="J40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3" i="2"/>
  <c r="Y2481" i="2"/>
  <c r="Y2480" i="2"/>
  <c r="Y2479" i="2"/>
  <c r="Y2478" i="2"/>
  <c r="Y2476" i="2"/>
  <c r="Y2475" i="2"/>
  <c r="Y2472" i="2"/>
  <c r="Y2471" i="2"/>
  <c r="Y2470" i="2"/>
  <c r="Y2469" i="2"/>
  <c r="Y2466" i="2"/>
  <c r="Y2465" i="2"/>
  <c r="Y2463" i="2"/>
  <c r="Y2462" i="2"/>
  <c r="Y2460" i="2"/>
  <c r="Y2459" i="2"/>
  <c r="Y2458" i="2"/>
  <c r="Y2457" i="2"/>
  <c r="Y2455" i="2"/>
  <c r="Y2454" i="2"/>
  <c r="Y2453" i="2"/>
  <c r="Y2452" i="2"/>
  <c r="Y2451" i="2"/>
  <c r="Y2450" i="2"/>
  <c r="Y2448" i="2"/>
  <c r="Y2447" i="2"/>
  <c r="Y2445" i="2"/>
  <c r="Y2444" i="2"/>
  <c r="Y2443" i="2"/>
  <c r="Y2442" i="2"/>
  <c r="Y2441" i="2"/>
  <c r="Y2440" i="2"/>
  <c r="Y2438" i="2"/>
  <c r="Y2437" i="2"/>
  <c r="Y2436" i="2"/>
  <c r="Y2434" i="2"/>
  <c r="Y2433" i="2"/>
  <c r="Y2432" i="2"/>
  <c r="Y2431" i="2"/>
  <c r="Y2430" i="2"/>
  <c r="Y2428" i="2"/>
  <c r="Y2427" i="2"/>
  <c r="Y2426" i="2"/>
  <c r="Y2425" i="2"/>
  <c r="Y2424" i="2"/>
  <c r="Y2423" i="2"/>
  <c r="Y2420" i="2"/>
  <c r="Y2419" i="2"/>
  <c r="Y2417" i="2"/>
  <c r="Y2416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8" i="2"/>
  <c r="Y2317" i="2"/>
  <c r="Y2315" i="2"/>
  <c r="Y2314" i="2"/>
  <c r="Y2312" i="2"/>
  <c r="Y2311" i="2"/>
  <c r="Y2310" i="2"/>
  <c r="Y2309" i="2"/>
  <c r="Y2308" i="2"/>
  <c r="Y2307" i="2"/>
  <c r="Y2306" i="2"/>
  <c r="Y2305" i="2"/>
  <c r="Y2302" i="2"/>
  <c r="Y2301" i="2"/>
  <c r="Y2300" i="2"/>
  <c r="Y2299" i="2"/>
  <c r="Y2297" i="2"/>
  <c r="Y2296" i="2"/>
  <c r="Y2295" i="2"/>
  <c r="Y2293" i="2"/>
  <c r="Y2292" i="2"/>
  <c r="Y2291" i="2"/>
  <c r="Y2290" i="2"/>
  <c r="Y2287" i="2"/>
  <c r="Y2286" i="2"/>
  <c r="Y2283" i="2"/>
  <c r="Y2282" i="2"/>
  <c r="Y2279" i="2"/>
  <c r="Y2278" i="2"/>
  <c r="Y2277" i="2"/>
  <c r="Y2276" i="2"/>
  <c r="Y2275" i="2"/>
  <c r="Y2274" i="2"/>
  <c r="Y2273" i="2"/>
  <c r="Y2272" i="2"/>
  <c r="Y2271" i="2"/>
  <c r="Y2270" i="2"/>
  <c r="Y2269" i="2"/>
  <c r="Y2265" i="2"/>
  <c r="Y2264" i="2"/>
  <c r="Y2262" i="2"/>
  <c r="Y2261" i="2"/>
  <c r="Y2260" i="2"/>
  <c r="Y2259" i="2"/>
  <c r="Y2258" i="2"/>
  <c r="Y2256" i="2"/>
  <c r="Y2255" i="2"/>
  <c r="Y2253" i="2"/>
  <c r="Y2252" i="2"/>
  <c r="Y2251" i="2"/>
  <c r="Y2250" i="2"/>
  <c r="Y2249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28" i="2"/>
  <c r="Y2227" i="2"/>
  <c r="Y2225" i="2"/>
  <c r="Y2224" i="2"/>
  <c r="Y2222" i="2"/>
  <c r="Y2221" i="2"/>
  <c r="Y2219" i="2"/>
  <c r="Y2218" i="2"/>
  <c r="Y2217" i="2"/>
  <c r="Y2215" i="2"/>
  <c r="Y2214" i="2"/>
  <c r="Y2212" i="2"/>
  <c r="Y2211" i="2"/>
  <c r="Y2210" i="2"/>
  <c r="Y2209" i="2"/>
  <c r="Y2208" i="2"/>
  <c r="Y2207" i="2"/>
  <c r="Y2206" i="2"/>
  <c r="Y2204" i="2"/>
  <c r="Y2203" i="2"/>
  <c r="Y2202" i="2"/>
  <c r="Y2201" i="2"/>
  <c r="Y2200" i="2"/>
  <c r="Y2199" i="2"/>
  <c r="Y2196" i="2"/>
  <c r="Y2195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4" i="2"/>
  <c r="Y2163" i="2"/>
  <c r="Y2162" i="2"/>
  <c r="Y2161" i="2"/>
  <c r="Y2160" i="2"/>
  <c r="Y2158" i="2"/>
  <c r="Y2157" i="2"/>
  <c r="Y2156" i="2"/>
  <c r="Y2155" i="2"/>
  <c r="Y2154" i="2"/>
  <c r="Y2153" i="2"/>
  <c r="Y2151" i="2"/>
  <c r="Y2150" i="2"/>
  <c r="Y2149" i="2"/>
  <c r="Y2148" i="2"/>
  <c r="Y2146" i="2"/>
  <c r="Y2145" i="2"/>
  <c r="Y2144" i="2"/>
  <c r="Y2143" i="2"/>
  <c r="Y2141" i="2"/>
  <c r="Y2140" i="2"/>
  <c r="Y2139" i="2"/>
  <c r="Y2138" i="2"/>
  <c r="Y2137" i="2"/>
  <c r="Y2136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19" i="2"/>
  <c r="Y2118" i="2"/>
  <c r="Y2115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0" i="2"/>
  <c r="Y2099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7" i="2"/>
  <c r="Y1986" i="2"/>
  <c r="Y1985" i="2"/>
  <c r="Y1984" i="2"/>
  <c r="Y1982" i="2"/>
  <c r="Y1981" i="2"/>
  <c r="Y1979" i="2"/>
  <c r="Y1978" i="2"/>
  <c r="Y1977" i="2"/>
  <c r="Y1976" i="2"/>
  <c r="Y1975" i="2"/>
  <c r="Y1974" i="2"/>
  <c r="Y1973" i="2"/>
  <c r="Y1970" i="2"/>
  <c r="Y1969" i="2"/>
  <c r="Y1967" i="2"/>
  <c r="Y1966" i="2"/>
  <c r="Y1963" i="2"/>
  <c r="Y1962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1" i="2"/>
  <c r="Y1830" i="2"/>
  <c r="Y1829" i="2"/>
  <c r="Y1828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1" i="2"/>
  <c r="Y1810" i="2"/>
  <c r="Y1809" i="2"/>
  <c r="Y1807" i="2"/>
  <c r="Y1806" i="2"/>
  <c r="Y1805" i="2"/>
  <c r="Y1804" i="2"/>
  <c r="Y1803" i="2"/>
  <c r="Y1802" i="2"/>
  <c r="Y1801" i="2"/>
  <c r="Y1800" i="2"/>
  <c r="Y1797" i="2"/>
  <c r="Y1796" i="2"/>
  <c r="Y1795" i="2"/>
  <c r="Y1792" i="2"/>
  <c r="Y1791" i="2"/>
  <c r="Y1789" i="2"/>
  <c r="Y1788" i="2"/>
  <c r="Y1786" i="2"/>
  <c r="Y1785" i="2"/>
  <c r="Y1784" i="2"/>
  <c r="Y1783" i="2"/>
  <c r="Y1782" i="2"/>
  <c r="Y1781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5" i="2"/>
  <c r="Y1754" i="2"/>
  <c r="Y1753" i="2"/>
  <c r="Y1752" i="2"/>
  <c r="Y1751" i="2"/>
  <c r="Y1750" i="2"/>
  <c r="Y1749" i="2"/>
  <c r="Y1748" i="2"/>
  <c r="Y1747" i="2"/>
  <c r="Y1746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3" i="2"/>
  <c r="Y1652" i="2"/>
  <c r="Y1650" i="2"/>
  <c r="Y1649" i="2"/>
  <c r="Y1648" i="2"/>
  <c r="Y1647" i="2"/>
  <c r="Y1646" i="2"/>
  <c r="Y1645" i="2"/>
  <c r="Y1644" i="2"/>
  <c r="Y1643" i="2"/>
  <c r="Y1642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6" i="2"/>
  <c r="Y1615" i="2"/>
  <c r="Y1614" i="2"/>
  <c r="Y1613" i="2"/>
  <c r="Y1612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5" i="2"/>
  <c r="Y1574" i="2"/>
  <c r="Y1573" i="2"/>
  <c r="Y1572" i="2"/>
  <c r="Y1571" i="2"/>
  <c r="Y1570" i="2"/>
  <c r="Y1569" i="2"/>
  <c r="Y1568" i="2"/>
  <c r="Y1565" i="2"/>
  <c r="Y1564" i="2"/>
  <c r="Y1562" i="2"/>
  <c r="Y1561" i="2"/>
  <c r="Y1559" i="2"/>
  <c r="Y1558" i="2"/>
  <c r="Y1557" i="2"/>
  <c r="Y1556" i="2"/>
  <c r="Y1554" i="2"/>
  <c r="Y1553" i="2"/>
  <c r="Y1552" i="2"/>
  <c r="Y1551" i="2"/>
  <c r="Y1550" i="2"/>
  <c r="Y1549" i="2"/>
  <c r="Y1548" i="2"/>
  <c r="Y1547" i="2"/>
  <c r="Y1546" i="2"/>
  <c r="Y1545" i="2"/>
  <c r="Y1544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28" i="2"/>
  <c r="Y1527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7" i="2"/>
  <c r="Y1406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1" i="2"/>
  <c r="Y1360" i="2"/>
  <c r="Y1359" i="2"/>
  <c r="Y1358" i="2"/>
  <c r="Y1356" i="2"/>
  <c r="Y1355" i="2"/>
  <c r="Y1352" i="2"/>
  <c r="Y1351" i="2"/>
  <c r="Y1350" i="2"/>
  <c r="Y1349" i="2"/>
  <c r="Y1348" i="2"/>
  <c r="Y1346" i="2"/>
  <c r="Y1345" i="2"/>
  <c r="Y1344" i="2"/>
  <c r="Y1343" i="2"/>
  <c r="Y1342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1" i="2"/>
  <c r="Y1300" i="2"/>
  <c r="Y1299" i="2"/>
  <c r="Y1298" i="2"/>
  <c r="Y1297" i="2"/>
  <c r="Y1296" i="2"/>
  <c r="Y1295" i="2"/>
  <c r="Y1294" i="2"/>
  <c r="Y1291" i="2"/>
  <c r="Y1290" i="2"/>
  <c r="Y1288" i="2"/>
  <c r="Y1287" i="2"/>
  <c r="Y1286" i="2"/>
  <c r="Y1285" i="2"/>
  <c r="Y1283" i="2"/>
  <c r="Y1282" i="2"/>
  <c r="Y1281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8" i="2"/>
  <c r="Y1207" i="2"/>
  <c r="Y1206" i="2"/>
  <c r="Y1205" i="2"/>
  <c r="Y1204" i="2"/>
  <c r="Y1203" i="2"/>
  <c r="Y1202" i="2"/>
  <c r="Y1201" i="2"/>
  <c r="Y1198" i="2"/>
  <c r="Y1197" i="2"/>
  <c r="Y1196" i="2"/>
  <c r="Y1194" i="2"/>
  <c r="Y1193" i="2"/>
  <c r="Y1191" i="2"/>
  <c r="Y1190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6" i="2"/>
  <c r="Y1165" i="2"/>
  <c r="Y1163" i="2"/>
  <c r="Y1162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7" i="2"/>
  <c r="Y1146" i="2"/>
  <c r="Y1145" i="2"/>
  <c r="Y1144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6" i="2"/>
  <c r="Y1125" i="2"/>
  <c r="Y1124" i="2"/>
  <c r="Y1123" i="2"/>
  <c r="Y1122" i="2"/>
  <c r="Y1121" i="2"/>
  <c r="Y1120" i="2"/>
  <c r="Y1119" i="2"/>
  <c r="Y1116" i="2"/>
  <c r="Y1115" i="2"/>
  <c r="Y1113" i="2"/>
  <c r="Y1112" i="2"/>
  <c r="Y1111" i="2"/>
  <c r="Y1110" i="2"/>
  <c r="Y1109" i="2"/>
  <c r="Y1108" i="2"/>
  <c r="Y1107" i="2"/>
  <c r="Y1106" i="2"/>
  <c r="Y1104" i="2"/>
  <c r="Y1103" i="2"/>
  <c r="Y1101" i="2"/>
  <c r="Y1100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1" i="2"/>
  <c r="Y1080" i="2"/>
  <c r="Y1079" i="2"/>
  <c r="Y1078" i="2"/>
  <c r="Y1077" i="2"/>
  <c r="Y1076" i="2"/>
  <c r="Y1075" i="2"/>
  <c r="Y1074" i="2"/>
  <c r="Y1072" i="2"/>
  <c r="Y1071" i="2"/>
  <c r="Y1070" i="2"/>
  <c r="Y1069" i="2"/>
  <c r="Y1067" i="2"/>
  <c r="Y1066" i="2"/>
  <c r="Y1065" i="2"/>
  <c r="Y1064" i="2"/>
  <c r="Y1062" i="2"/>
  <c r="Y1061" i="2"/>
  <c r="Y1060" i="2"/>
  <c r="Y1059" i="2"/>
  <c r="Y1056" i="2"/>
  <c r="Y1055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6" i="2"/>
  <c r="Y1035" i="2"/>
  <c r="Y1034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09" i="2"/>
  <c r="Y1008" i="2"/>
  <c r="Y1007" i="2"/>
  <c r="Y1006" i="2"/>
  <c r="Y1003" i="2"/>
  <c r="Y1002" i="2"/>
  <c r="Y1000" i="2"/>
  <c r="Y999" i="2"/>
  <c r="Y997" i="2"/>
  <c r="Y996" i="2"/>
  <c r="Y994" i="2"/>
  <c r="Y993" i="2"/>
  <c r="Y992" i="2"/>
  <c r="Y991" i="2"/>
  <c r="Y989" i="2"/>
  <c r="Y988" i="2"/>
  <c r="Y987" i="2"/>
  <c r="Y986" i="2"/>
  <c r="Y985" i="2"/>
  <c r="Y984" i="2"/>
  <c r="Y983" i="2"/>
  <c r="Y981" i="2"/>
  <c r="Y980" i="2"/>
  <c r="Y979" i="2"/>
  <c r="Y978" i="2"/>
  <c r="Y977" i="2"/>
  <c r="Y976" i="2"/>
  <c r="Y975" i="2"/>
  <c r="Y974" i="2"/>
  <c r="Y971" i="2"/>
  <c r="Y970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6" i="2"/>
  <c r="Y915" i="2"/>
  <c r="Y914" i="2"/>
  <c r="Y913" i="2"/>
  <c r="Y911" i="2"/>
  <c r="Y910" i="2"/>
  <c r="Y909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6" i="2"/>
  <c r="Y865" i="2"/>
  <c r="Y864" i="2"/>
  <c r="Y863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29" i="2"/>
  <c r="Y828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8" i="2"/>
  <c r="Y787" i="2"/>
  <c r="Y786" i="2"/>
  <c r="Y785" i="2"/>
  <c r="Y783" i="2"/>
  <c r="Y782" i="2"/>
  <c r="Y780" i="2"/>
  <c r="Y779" i="2"/>
  <c r="Y778" i="2"/>
  <c r="Y777" i="2"/>
  <c r="Y775" i="2"/>
  <c r="Y774" i="2"/>
  <c r="Y773" i="2"/>
  <c r="Y772" i="2"/>
  <c r="Y771" i="2"/>
  <c r="Y770" i="2"/>
  <c r="Y769" i="2"/>
  <c r="Y768" i="2"/>
  <c r="Y765" i="2"/>
  <c r="Y764" i="2"/>
  <c r="Y762" i="2"/>
  <c r="Y761" i="2"/>
  <c r="Y760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5" i="2"/>
  <c r="Y744" i="2"/>
  <c r="Y743" i="2"/>
  <c r="Y742" i="2"/>
  <c r="Y740" i="2"/>
  <c r="Y739" i="2"/>
  <c r="Y738" i="2"/>
  <c r="Y737" i="2"/>
  <c r="Y735" i="2"/>
  <c r="Y734" i="2"/>
  <c r="Y733" i="2"/>
  <c r="Y732" i="2"/>
  <c r="Y731" i="2"/>
  <c r="Y728" i="2"/>
  <c r="Y727" i="2"/>
  <c r="Y726" i="2"/>
  <c r="Y725" i="2"/>
  <c r="Y724" i="2"/>
  <c r="Y723" i="2"/>
  <c r="Y722" i="2"/>
  <c r="Y720" i="2"/>
  <c r="Y719" i="2"/>
  <c r="Y718" i="2"/>
  <c r="Y717" i="2"/>
  <c r="Y714" i="2"/>
  <c r="Y713" i="2"/>
  <c r="Y711" i="2"/>
  <c r="Y710" i="2"/>
  <c r="Y709" i="2"/>
  <c r="Y708" i="2"/>
  <c r="Y707" i="2"/>
  <c r="Y706" i="2"/>
  <c r="Y705" i="2"/>
  <c r="Y703" i="2"/>
  <c r="Y702" i="2"/>
  <c r="Y700" i="2"/>
  <c r="Y699" i="2"/>
  <c r="Y698" i="2"/>
  <c r="Y697" i="2"/>
  <c r="Y696" i="2"/>
  <c r="Y695" i="2"/>
  <c r="Y694" i="2"/>
  <c r="Y693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59" i="2"/>
  <c r="Y658" i="2"/>
  <c r="Y657" i="2"/>
  <c r="Y656" i="2"/>
  <c r="Y655" i="2"/>
  <c r="Y654" i="2"/>
  <c r="Y653" i="2"/>
  <c r="Y652" i="2"/>
  <c r="Y650" i="2"/>
  <c r="Y649" i="2"/>
  <c r="Y648" i="2"/>
  <c r="Y647" i="2"/>
  <c r="Y646" i="2"/>
  <c r="Y645" i="2"/>
  <c r="Y644" i="2"/>
  <c r="Y643" i="2"/>
  <c r="Y641" i="2"/>
  <c r="Y640" i="2"/>
  <c r="Y639" i="2"/>
  <c r="Y638" i="2"/>
  <c r="Y637" i="2"/>
  <c r="Y636" i="2"/>
  <c r="Y635" i="2"/>
  <c r="Y634" i="2"/>
  <c r="Y633" i="2"/>
  <c r="Y632" i="2"/>
  <c r="Y631" i="2"/>
  <c r="Y629" i="2"/>
  <c r="Y628" i="2"/>
  <c r="Y627" i="2"/>
  <c r="Y626" i="2"/>
  <c r="Y625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4" i="2"/>
  <c r="Y603" i="2"/>
  <c r="Y602" i="2"/>
  <c r="Y601" i="2"/>
  <c r="Y600" i="2"/>
  <c r="Y599" i="2"/>
  <c r="Y598" i="2"/>
  <c r="Y597" i="2"/>
  <c r="Y596" i="2"/>
  <c r="Y595" i="2"/>
  <c r="Y593" i="2"/>
  <c r="Y592" i="2"/>
  <c r="Y591" i="2"/>
  <c r="Y590" i="2"/>
  <c r="Y589" i="2"/>
  <c r="Y588" i="2"/>
  <c r="Y587" i="2"/>
  <c r="Y586" i="2"/>
  <c r="Y585" i="2"/>
  <c r="Y584" i="2"/>
  <c r="Y581" i="2"/>
  <c r="Y580" i="2"/>
  <c r="Y579" i="2"/>
  <c r="Y578" i="2"/>
  <c r="Y577" i="2"/>
  <c r="Y576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0" i="2"/>
  <c r="Y559" i="2"/>
  <c r="Y558" i="2"/>
  <c r="Y557" i="2"/>
  <c r="Y554" i="2"/>
  <c r="Y553" i="2"/>
  <c r="Y552" i="2"/>
  <c r="Y551" i="2"/>
  <c r="Y550" i="2"/>
  <c r="Y549" i="2"/>
  <c r="Y548" i="2"/>
  <c r="Y547" i="2"/>
  <c r="Y546" i="2"/>
  <c r="Y544" i="2"/>
  <c r="Y543" i="2"/>
  <c r="Y542" i="2"/>
  <c r="Y541" i="2"/>
  <c r="Y540" i="2"/>
  <c r="Y539" i="2"/>
  <c r="Y538" i="2"/>
  <c r="Y537" i="2"/>
  <c r="Y536" i="2"/>
  <c r="Y533" i="2"/>
  <c r="Y531" i="2"/>
  <c r="Y530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0" i="2"/>
  <c r="Y509" i="2"/>
  <c r="Y508" i="2"/>
  <c r="Y507" i="2"/>
  <c r="Y506" i="2"/>
  <c r="Y505" i="2"/>
  <c r="Y504" i="2"/>
  <c r="Y503" i="2"/>
  <c r="Y502" i="2"/>
  <c r="Y501" i="2"/>
  <c r="Y500" i="2"/>
  <c r="Y498" i="2"/>
  <c r="Y497" i="2"/>
  <c r="Y496" i="2"/>
  <c r="Y495" i="2"/>
  <c r="Y494" i="2"/>
  <c r="Y493" i="2"/>
  <c r="Y491" i="2"/>
  <c r="Y490" i="2"/>
  <c r="Y489" i="2"/>
  <c r="Y488" i="2"/>
  <c r="Y487" i="2"/>
  <c r="Y486" i="2"/>
  <c r="Y485" i="2"/>
  <c r="Y484" i="2"/>
  <c r="Y483" i="2"/>
  <c r="Y482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3" i="2"/>
  <c r="Y462" i="2"/>
  <c r="Y461" i="2"/>
  <c r="Y460" i="2"/>
  <c r="Y459" i="2"/>
  <c r="Y458" i="2"/>
  <c r="Y457" i="2"/>
  <c r="Y456" i="2"/>
  <c r="Y454" i="2"/>
  <c r="Y453" i="2"/>
  <c r="Y452" i="2"/>
  <c r="Y449" i="2"/>
  <c r="Y447" i="2"/>
  <c r="Y446" i="2"/>
  <c r="Y444" i="2"/>
  <c r="Y443" i="2"/>
  <c r="Y442" i="2"/>
  <c r="Y441" i="2"/>
  <c r="Y440" i="2"/>
  <c r="Y439" i="2"/>
  <c r="Y437" i="2"/>
  <c r="Y436" i="2"/>
  <c r="Y435" i="2"/>
  <c r="Y434" i="2"/>
  <c r="Y433" i="2"/>
  <c r="Y432" i="2"/>
  <c r="Y431" i="2"/>
  <c r="Y430" i="2"/>
  <c r="Y429" i="2"/>
  <c r="Y427" i="2"/>
  <c r="Y426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299" i="2"/>
  <c r="Y298" i="2"/>
  <c r="Y297" i="2"/>
  <c r="Y296" i="2"/>
  <c r="Y295" i="2"/>
  <c r="Y294" i="2"/>
  <c r="Y293" i="2"/>
  <c r="Y292" i="2"/>
  <c r="Y291" i="2"/>
  <c r="Y290" i="2"/>
  <c r="Y288" i="2"/>
  <c r="Y287" i="2"/>
  <c r="Y286" i="2"/>
  <c r="Y285" i="2"/>
  <c r="Y284" i="2"/>
  <c r="Y283" i="2"/>
  <c r="Y282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4" i="2"/>
  <c r="Y152" i="2"/>
  <c r="Y151" i="2"/>
  <c r="Y150" i="2"/>
  <c r="Y149" i="2"/>
  <c r="Y148" i="2"/>
  <c r="Y147" i="2"/>
  <c r="Y146" i="2"/>
  <c r="Y144" i="2"/>
  <c r="Y143" i="2"/>
  <c r="Y141" i="2"/>
  <c r="Y140" i="2"/>
  <c r="Y139" i="2"/>
  <c r="Y138" i="2"/>
  <c r="Y137" i="2"/>
  <c r="Y136" i="2"/>
  <c r="Y135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1" i="2"/>
  <c r="Y100" i="2"/>
  <c r="Y99" i="2"/>
  <c r="Y98" i="2"/>
  <c r="Y97" i="2"/>
  <c r="Y96" i="2"/>
  <c r="Y95" i="2"/>
  <c r="Y94" i="2"/>
  <c r="Y93" i="2"/>
  <c r="Y91" i="2"/>
  <c r="Y90" i="2"/>
  <c r="Y89" i="2"/>
  <c r="Y88" i="2"/>
  <c r="Y87" i="2"/>
  <c r="Y86" i="2"/>
  <c r="Y84" i="2"/>
  <c r="Y83" i="2"/>
  <c r="Y82" i="2"/>
  <c r="Y81" i="2"/>
  <c r="Y80" i="2"/>
  <c r="Y78" i="2"/>
  <c r="Y77" i="2"/>
  <c r="Y76" i="2"/>
  <c r="Y75" i="2"/>
  <c r="Y74" i="2"/>
  <c r="Y72" i="2"/>
  <c r="Y71" i="2"/>
  <c r="Y70" i="2"/>
  <c r="Y69" i="2"/>
  <c r="Y68" i="2"/>
  <c r="Y67" i="2"/>
  <c r="Y64" i="2"/>
  <c r="Y63" i="2"/>
  <c r="Y62" i="2"/>
  <c r="Y61" i="2"/>
  <c r="Y59" i="2"/>
  <c r="Y58" i="2"/>
  <c r="Y57" i="2"/>
  <c r="Y56" i="2"/>
  <c r="Y55" i="2"/>
  <c r="Y54" i="2"/>
  <c r="Y52" i="2"/>
  <c r="Y51" i="2"/>
  <c r="Y50" i="2"/>
  <c r="Y49" i="2"/>
  <c r="Y48" i="2"/>
  <c r="Y47" i="2"/>
  <c r="Y46" i="2"/>
  <c r="Y45" i="2"/>
  <c r="Y44" i="2"/>
  <c r="Y43" i="2"/>
  <c r="Y41" i="2"/>
  <c r="Y40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Z2477" i="2"/>
  <c r="AA2477" i="2" s="1"/>
  <c r="Z2474" i="2"/>
  <c r="AA2474" i="2" s="1"/>
  <c r="Z2468" i="2"/>
  <c r="AA2468" i="2" s="1"/>
  <c r="Z2464" i="2"/>
  <c r="AA2464" i="2" s="1"/>
  <c r="Z2461" i="2"/>
  <c r="AA2461" i="2" s="1"/>
  <c r="Z2456" i="2"/>
  <c r="AA2456" i="2" s="1"/>
  <c r="Z2449" i="2"/>
  <c r="AA2449" i="2" s="1"/>
  <c r="Z2446" i="2"/>
  <c r="AA2446" i="2" s="1"/>
  <c r="Z2439" i="2"/>
  <c r="AA2439" i="2" s="1"/>
  <c r="Z2435" i="2"/>
  <c r="AA2435" i="2" s="1"/>
  <c r="Z2429" i="2"/>
  <c r="AA2429" i="2" s="1"/>
  <c r="Z2422" i="2"/>
  <c r="AA2422" i="2" s="1"/>
  <c r="Z2418" i="2"/>
  <c r="AA2418" i="2" s="1"/>
  <c r="Z2415" i="2"/>
  <c r="AA2415" i="2" s="1"/>
  <c r="Z2319" i="2"/>
  <c r="AA2319" i="2" s="1"/>
  <c r="Z2316" i="2"/>
  <c r="AA2316" i="2" s="1"/>
  <c r="Z2313" i="2"/>
  <c r="AA2313" i="2" s="1"/>
  <c r="Z2304" i="2"/>
  <c r="AA2304" i="2" s="1"/>
  <c r="Z2298" i="2"/>
  <c r="AA2298" i="2" s="1"/>
  <c r="Z2294" i="2"/>
  <c r="AA2294" i="2" s="1"/>
  <c r="Z2289" i="2"/>
  <c r="AA2289" i="2" s="1"/>
  <c r="Z2285" i="2"/>
  <c r="AA2285" i="2" s="1"/>
  <c r="Z2281" i="2"/>
  <c r="AA2281" i="2" s="1"/>
  <c r="Z2268" i="2"/>
  <c r="AA2268" i="2" s="1"/>
  <c r="Z2263" i="2"/>
  <c r="AA2263" i="2" s="1"/>
  <c r="Z2257" i="2"/>
  <c r="AA2257" i="2" s="1"/>
  <c r="Z2254" i="2"/>
  <c r="AA2254" i="2" s="1"/>
  <c r="Z2248" i="2"/>
  <c r="AA2248" i="2" s="1"/>
  <c r="Z2230" i="2"/>
  <c r="AA2230" i="2" s="1"/>
  <c r="Z2226" i="2"/>
  <c r="AA2226" i="2" s="1"/>
  <c r="Z2223" i="2"/>
  <c r="AA2223" i="2" s="1"/>
  <c r="Z2220" i="2"/>
  <c r="AA2220" i="2" s="1"/>
  <c r="Z2216" i="2"/>
  <c r="AA2216" i="2" s="1"/>
  <c r="Z2213" i="2"/>
  <c r="AA2213" i="2" s="1"/>
  <c r="Z2205" i="2"/>
  <c r="AA2205" i="2" s="1"/>
  <c r="Z2198" i="2"/>
  <c r="AA2198" i="2" s="1"/>
  <c r="Z2194" i="2"/>
  <c r="AA2194" i="2" s="1"/>
  <c r="Z2165" i="2"/>
  <c r="AA2165" i="2" s="1"/>
  <c r="Z2159" i="2"/>
  <c r="AA2159" i="2" s="1"/>
  <c r="Z2152" i="2"/>
  <c r="AA2152" i="2" s="1"/>
  <c r="Z2147" i="2"/>
  <c r="AA2147" i="2" s="1"/>
  <c r="Z2142" i="2"/>
  <c r="AA2142" i="2" s="1"/>
  <c r="Z2135" i="2"/>
  <c r="AA2135" i="2" s="1"/>
  <c r="Z2121" i="2"/>
  <c r="AA2121" i="2" s="1"/>
  <c r="Z2117" i="2"/>
  <c r="AA2117" i="2" s="1"/>
  <c r="Z2114" i="2"/>
  <c r="AA2114" i="2" s="1"/>
  <c r="Z2101" i="2"/>
  <c r="AA2101" i="2" s="1"/>
  <c r="Z2098" i="2"/>
  <c r="AA2098" i="2" s="1"/>
  <c r="Z2062" i="2"/>
  <c r="AA2062" i="2" s="1"/>
  <c r="Z2021" i="2"/>
  <c r="AA2021" i="2" s="1"/>
  <c r="Z1989" i="2"/>
  <c r="AA1989" i="2" s="1"/>
  <c r="Z1983" i="2"/>
  <c r="AA1983" i="2" s="1"/>
  <c r="Z1980" i="2"/>
  <c r="AA1980" i="2" s="1"/>
  <c r="Z1972" i="2"/>
  <c r="AA1972" i="2" s="1"/>
  <c r="Z1968" i="2"/>
  <c r="AA1968" i="2" s="1"/>
  <c r="Z1965" i="2"/>
  <c r="AA1965" i="2" s="1"/>
  <c r="Z1961" i="2"/>
  <c r="AA1961" i="2" s="1"/>
  <c r="Z1832" i="2"/>
  <c r="AA1832" i="2" s="1"/>
  <c r="Z1827" i="2"/>
  <c r="AA1827" i="2" s="1"/>
  <c r="Z1813" i="2"/>
  <c r="AA1813" i="2" s="1"/>
  <c r="Z1808" i="2"/>
  <c r="AA1808" i="2" s="1"/>
  <c r="Z1799" i="2"/>
  <c r="AA1799" i="2" s="1"/>
  <c r="Z1794" i="2"/>
  <c r="AA1794" i="2" s="1"/>
  <c r="Z1790" i="2"/>
  <c r="AA1790" i="2" s="1"/>
  <c r="Z1787" i="2"/>
  <c r="AA1787" i="2" s="1"/>
  <c r="Z1780" i="2"/>
  <c r="AA1780" i="2" s="1"/>
  <c r="Z1756" i="2"/>
  <c r="AA1756" i="2" s="1"/>
  <c r="Z1745" i="2"/>
  <c r="AA1745" i="2" s="1"/>
  <c r="Z1672" i="2"/>
  <c r="AA1672" i="2" s="1"/>
  <c r="Z1654" i="2"/>
  <c r="AA1654" i="2" s="1"/>
  <c r="Z1651" i="2"/>
  <c r="AA1651" i="2" s="1"/>
  <c r="Z1641" i="2"/>
  <c r="AA1641" i="2" s="1"/>
  <c r="Z1617" i="2"/>
  <c r="AA1617" i="2" s="1"/>
  <c r="Z1611" i="2"/>
  <c r="AA1611" i="2" s="1"/>
  <c r="Z1577" i="2"/>
  <c r="AA1577" i="2" s="1"/>
  <c r="Z1567" i="2"/>
  <c r="AA1567" i="2" s="1"/>
  <c r="Z1563" i="2"/>
  <c r="AA1563" i="2" s="1"/>
  <c r="Z1560" i="2"/>
  <c r="AA1560" i="2" s="1"/>
  <c r="Z1555" i="2"/>
  <c r="AA1555" i="2" s="1"/>
  <c r="Z1543" i="2"/>
  <c r="AA1543" i="2" s="1"/>
  <c r="Z1530" i="2"/>
  <c r="AA1530" i="2" s="1"/>
  <c r="Z1526" i="2"/>
  <c r="AA1526" i="2" s="1"/>
  <c r="Z1426" i="2"/>
  <c r="AA1426" i="2" s="1"/>
  <c r="Z1408" i="2"/>
  <c r="AA1408" i="2" s="1"/>
  <c r="Z1405" i="2"/>
  <c r="AA1405" i="2" s="1"/>
  <c r="Z1362" i="2"/>
  <c r="AA1362" i="2" s="1"/>
  <c r="Z1357" i="2"/>
  <c r="AA1357" i="2" s="1"/>
  <c r="Z1354" i="2"/>
  <c r="AA1354" i="2" s="1"/>
  <c r="Z1347" i="2"/>
  <c r="AA1347" i="2" s="1"/>
  <c r="Z1341" i="2"/>
  <c r="AA1341" i="2" s="1"/>
  <c r="Z1323" i="2"/>
  <c r="AA1323" i="2" s="1"/>
  <c r="Z1303" i="2"/>
  <c r="AA1303" i="2" s="1"/>
  <c r="Z1293" i="2"/>
  <c r="AA1293" i="2" s="1"/>
  <c r="Z1289" i="2"/>
  <c r="AA1289" i="2" s="1"/>
  <c r="Z1284" i="2"/>
  <c r="AA1284" i="2" s="1"/>
  <c r="Z1280" i="2"/>
  <c r="AA1280" i="2" s="1"/>
  <c r="Z1267" i="2"/>
  <c r="AA1267" i="2" s="1"/>
  <c r="Z1234" i="2"/>
  <c r="AA1234" i="2" s="1"/>
  <c r="Z1209" i="2"/>
  <c r="AA1209" i="2" s="1"/>
  <c r="Z1200" i="2"/>
  <c r="AA1200" i="2" s="1"/>
  <c r="Z1195" i="2"/>
  <c r="AA1195" i="2" s="1"/>
  <c r="Z1192" i="2"/>
  <c r="AA1192" i="2" s="1"/>
  <c r="Z1189" i="2"/>
  <c r="AA1189" i="2" s="1"/>
  <c r="Z1168" i="2"/>
  <c r="AA1168" i="2" s="1"/>
  <c r="Z1164" i="2"/>
  <c r="AA1164" i="2" s="1"/>
  <c r="Z1161" i="2"/>
  <c r="AA1161" i="2" s="1"/>
  <c r="Z1148" i="2"/>
  <c r="AA1148" i="2" s="1"/>
  <c r="Z1143" i="2"/>
  <c r="AA1143" i="2" s="1"/>
  <c r="Z1127" i="2"/>
  <c r="AA1127" i="2" s="1"/>
  <c r="Z1118" i="2"/>
  <c r="AA1118" i="2" s="1"/>
  <c r="Z1114" i="2"/>
  <c r="AA1114" i="2" s="1"/>
  <c r="Z1105" i="2"/>
  <c r="AA1105" i="2" s="1"/>
  <c r="Z1102" i="2"/>
  <c r="AA1102" i="2" s="1"/>
  <c r="Z1099" i="2"/>
  <c r="AA1099" i="2" s="1"/>
  <c r="Z1082" i="2"/>
  <c r="AA1082" i="2" s="1"/>
  <c r="Z1073" i="2"/>
  <c r="AA1073" i="2" s="1"/>
  <c r="Z1068" i="2"/>
  <c r="AA1068" i="2" s="1"/>
  <c r="Z1063" i="2"/>
  <c r="AA1063" i="2" s="1"/>
  <c r="Z1058" i="2"/>
  <c r="AA1058" i="2" s="1"/>
  <c r="Z1054" i="2"/>
  <c r="AA1054" i="2" s="1"/>
  <c r="Z1037" i="2"/>
  <c r="AA1037" i="2" s="1"/>
  <c r="Z1033" i="2"/>
  <c r="AA1033" i="2" s="1"/>
  <c r="Z1010" i="2"/>
  <c r="AA1010" i="2" s="1"/>
  <c r="Z1005" i="2"/>
  <c r="AA1005" i="2" s="1"/>
  <c r="Z1001" i="2"/>
  <c r="AA1001" i="2" s="1"/>
  <c r="Z998" i="2"/>
  <c r="AA998" i="2" s="1"/>
  <c r="Z995" i="2"/>
  <c r="AA995" i="2" s="1"/>
  <c r="Z990" i="2"/>
  <c r="AA990" i="2" s="1"/>
  <c r="Z982" i="2"/>
  <c r="AA982" i="2" s="1"/>
  <c r="Z973" i="2"/>
  <c r="AA973" i="2" s="1"/>
  <c r="Z969" i="2"/>
  <c r="AA969" i="2" s="1"/>
  <c r="Z956" i="2"/>
  <c r="AA956" i="2" s="1"/>
  <c r="Z917" i="2"/>
  <c r="AA917" i="2" s="1"/>
  <c r="Z912" i="2"/>
  <c r="AA912" i="2" s="1"/>
  <c r="Z908" i="2"/>
  <c r="AA908" i="2" s="1"/>
  <c r="Z891" i="2"/>
  <c r="AA891" i="2" s="1"/>
  <c r="Z867" i="2"/>
  <c r="AA867" i="2" s="1"/>
  <c r="Z862" i="2"/>
  <c r="AA862" i="2" s="1"/>
  <c r="Z831" i="2"/>
  <c r="AA831" i="2" s="1"/>
  <c r="Z827" i="2"/>
  <c r="AA827" i="2" s="1"/>
  <c r="Z789" i="2"/>
  <c r="AA789" i="2" s="1"/>
  <c r="Z784" i="2"/>
  <c r="AA784" i="2" s="1"/>
  <c r="Z781" i="2"/>
  <c r="AA781" i="2" s="1"/>
  <c r="Z776" i="2"/>
  <c r="AA776" i="2" s="1"/>
  <c r="Z767" i="2"/>
  <c r="AA767" i="2" s="1"/>
  <c r="Z763" i="2"/>
  <c r="AA763" i="2" s="1"/>
  <c r="Z759" i="2"/>
  <c r="AA759" i="2" s="1"/>
  <c r="Z746" i="2"/>
  <c r="AA746" i="2" s="1"/>
  <c r="Z741" i="2"/>
  <c r="AA741" i="2" s="1"/>
  <c r="Z736" i="2"/>
  <c r="AA736" i="2" s="1"/>
  <c r="Z730" i="2"/>
  <c r="AA730" i="2" s="1"/>
  <c r="Z721" i="2"/>
  <c r="AA721" i="2" s="1"/>
  <c r="Z716" i="2"/>
  <c r="AA716" i="2" s="1"/>
  <c r="Z712" i="2"/>
  <c r="AA712" i="2" s="1"/>
  <c r="Z704" i="2"/>
  <c r="AA704" i="2" s="1"/>
  <c r="Z701" i="2"/>
  <c r="AA701" i="2" s="1"/>
  <c r="Z692" i="2"/>
  <c r="AA692" i="2" s="1"/>
  <c r="Z660" i="2"/>
  <c r="AA660" i="2" s="1"/>
  <c r="Z651" i="2"/>
  <c r="AA651" i="2" s="1"/>
  <c r="Z642" i="2"/>
  <c r="AA642" i="2" s="1"/>
  <c r="Z630" i="2"/>
  <c r="AA630" i="2" s="1"/>
  <c r="Z624" i="2"/>
  <c r="AA624" i="2" s="1"/>
  <c r="Z605" i="2"/>
  <c r="AA605" i="2" s="1"/>
  <c r="Z594" i="2"/>
  <c r="AA594" i="2" s="1"/>
  <c r="Z583" i="2"/>
  <c r="AA583" i="2" s="1"/>
  <c r="Z575" i="2"/>
  <c r="AA575" i="2" s="1"/>
  <c r="Z561" i="2"/>
  <c r="AA561" i="2" s="1"/>
  <c r="Z556" i="2"/>
  <c r="AA556" i="2" s="1"/>
  <c r="Z545" i="2"/>
  <c r="AA545" i="2" s="1"/>
  <c r="Z535" i="2"/>
  <c r="AA535" i="2" s="1"/>
  <c r="Z532" i="2"/>
  <c r="AA532" i="2" s="1"/>
  <c r="Z529" i="2"/>
  <c r="AA529" i="2" s="1"/>
  <c r="Z511" i="2"/>
  <c r="AA511" i="2" s="1"/>
  <c r="Z499" i="2"/>
  <c r="AA499" i="2" s="1"/>
  <c r="Z492" i="2"/>
  <c r="AA492" i="2" s="1"/>
  <c r="Z481" i="2"/>
  <c r="AA481" i="2" s="1"/>
  <c r="Z464" i="2"/>
  <c r="AA464" i="2" s="1"/>
  <c r="Z455" i="2"/>
  <c r="AA455" i="2" s="1"/>
  <c r="Z451" i="2"/>
  <c r="AA451" i="2" s="1"/>
  <c r="Z448" i="2"/>
  <c r="AA448" i="2" s="1"/>
  <c r="Z445" i="2"/>
  <c r="AA445" i="2" s="1"/>
  <c r="Z438" i="2"/>
  <c r="AA438" i="2" s="1"/>
  <c r="Z428" i="2"/>
  <c r="AA428" i="2" s="1"/>
  <c r="Z425" i="2"/>
  <c r="AA425" i="2" s="1"/>
  <c r="Z407" i="2"/>
  <c r="AA407" i="2" s="1"/>
  <c r="Z389" i="2"/>
  <c r="AA389" i="2" s="1"/>
  <c r="Z323" i="2"/>
  <c r="AA323" i="2" s="1"/>
  <c r="Z300" i="2"/>
  <c r="AA300" i="2" s="1"/>
  <c r="Z289" i="2"/>
  <c r="AA289" i="2" s="1"/>
  <c r="Z281" i="2"/>
  <c r="AA281" i="2" s="1"/>
  <c r="Z215" i="2"/>
  <c r="AA215" i="2" s="1"/>
  <c r="Z156" i="2"/>
  <c r="AA156" i="2" s="1"/>
  <c r="Z153" i="2"/>
  <c r="AA153" i="2" s="1"/>
  <c r="Z145" i="2"/>
  <c r="AA145" i="2" s="1"/>
  <c r="Z142" i="2"/>
  <c r="AA142" i="2" s="1"/>
  <c r="Z134" i="2"/>
  <c r="AA134" i="2" s="1"/>
  <c r="Z103" i="2"/>
  <c r="AA103" i="2" s="1"/>
  <c r="Z92" i="2"/>
  <c r="AA92" i="2" s="1"/>
  <c r="Z85" i="2"/>
  <c r="AA85" i="2" s="1"/>
  <c r="Z79" i="2"/>
  <c r="AA79" i="2" s="1"/>
  <c r="Z73" i="2"/>
  <c r="AA73" i="2" s="1"/>
  <c r="Z66" i="2"/>
  <c r="AA66" i="2" s="1"/>
  <c r="Z60" i="2"/>
  <c r="AA60" i="2" s="1"/>
  <c r="Z53" i="2"/>
  <c r="AA53" i="2" s="1"/>
  <c r="Z42" i="2"/>
  <c r="AA42" i="2" s="1"/>
  <c r="Z39" i="2"/>
  <c r="AA39" i="2" s="1"/>
  <c r="Z11" i="2"/>
  <c r="L88" i="2" l="1"/>
  <c r="L107" i="2"/>
  <c r="N107" i="2" s="1"/>
  <c r="L115" i="2"/>
  <c r="N115" i="2" s="1"/>
  <c r="L127" i="2"/>
  <c r="N127" i="2" s="1"/>
  <c r="L131" i="2"/>
  <c r="N131" i="2" s="1"/>
  <c r="L165" i="2"/>
  <c r="N165" i="2" s="1"/>
  <c r="L169" i="2"/>
  <c r="L177" i="2"/>
  <c r="N177" i="2" s="1"/>
  <c r="L189" i="2"/>
  <c r="N189" i="2" s="1"/>
  <c r="L193" i="2"/>
  <c r="M193" i="2" s="1"/>
  <c r="N193" i="2" s="1"/>
  <c r="L292" i="2"/>
  <c r="N292" i="2" s="1"/>
  <c r="L313" i="2"/>
  <c r="M313" i="2" s="1"/>
  <c r="N313" i="2" s="1"/>
  <c r="L342" i="2"/>
  <c r="L350" i="2"/>
  <c r="N350" i="2" s="1"/>
  <c r="L354" i="2"/>
  <c r="N354" i="2" s="1"/>
  <c r="L386" i="2"/>
  <c r="N386" i="2" s="1"/>
  <c r="L417" i="2"/>
  <c r="M417" i="2" s="1"/>
  <c r="N417" i="2" s="1"/>
  <c r="L421" i="2"/>
  <c r="M421" i="2" s="1"/>
  <c r="N421" i="2" s="1"/>
  <c r="L426" i="2"/>
  <c r="M426" i="2" s="1"/>
  <c r="N426" i="2" s="1"/>
  <c r="L646" i="2"/>
  <c r="L922" i="2"/>
  <c r="M922" i="2" s="1"/>
  <c r="N922" i="2" s="1"/>
  <c r="L2276" i="2"/>
  <c r="M2276" i="2" s="1"/>
  <c r="N2276" i="2" s="1"/>
  <c r="L1920" i="2"/>
  <c r="L2352" i="2"/>
  <c r="N2352" i="2" s="1"/>
  <c r="L2384" i="2"/>
  <c r="N2384" i="2" s="1"/>
  <c r="L2428" i="2"/>
  <c r="M2428" i="2" s="1"/>
  <c r="N2428" i="2" s="1"/>
  <c r="L2301" i="2"/>
  <c r="L1588" i="2"/>
  <c r="N1588" i="2" s="1"/>
  <c r="L437" i="2"/>
  <c r="N437" i="2" s="1"/>
  <c r="L459" i="2"/>
  <c r="M459" i="2" s="1"/>
  <c r="N459" i="2" s="1"/>
  <c r="L463" i="2"/>
  <c r="N463" i="2" s="1"/>
  <c r="L468" i="2"/>
  <c r="N468" i="2" s="1"/>
  <c r="L503" i="2"/>
  <c r="L1124" i="2"/>
  <c r="M1124" i="2" s="1"/>
  <c r="N1124" i="2" s="1"/>
  <c r="L1175" i="2"/>
  <c r="N1175" i="2" s="1"/>
  <c r="L1179" i="2"/>
  <c r="N1179" i="2" s="1"/>
  <c r="L1198" i="2"/>
  <c r="N1198" i="2" s="1"/>
  <c r="L1208" i="2"/>
  <c r="N1208" i="2" s="1"/>
  <c r="L1217" i="2"/>
  <c r="N1217" i="2" s="1"/>
  <c r="L1221" i="2"/>
  <c r="N1221" i="2" s="1"/>
  <c r="L1225" i="2"/>
  <c r="M1225" i="2" s="1"/>
  <c r="N1225" i="2" s="1"/>
  <c r="L1242" i="2"/>
  <c r="N1242" i="2" s="1"/>
  <c r="L1246" i="2"/>
  <c r="N1246" i="2" s="1"/>
  <c r="L1849" i="2"/>
  <c r="L1853" i="2"/>
  <c r="L1873" i="2"/>
  <c r="L1877" i="2"/>
  <c r="L1881" i="2"/>
  <c r="L2295" i="2"/>
  <c r="M2295" i="2" s="1"/>
  <c r="N2295" i="2" s="1"/>
  <c r="L2426" i="2"/>
  <c r="M2426" i="2" s="1"/>
  <c r="N2426" i="2" s="1"/>
  <c r="L2122" i="2"/>
  <c r="M2122" i="2" s="1"/>
  <c r="N2122" i="2" s="1"/>
  <c r="L1929" i="2"/>
  <c r="L1987" i="2"/>
  <c r="N1987" i="2" s="1"/>
  <c r="L1993" i="2"/>
  <c r="M1993" i="2" s="1"/>
  <c r="N1993" i="2" s="1"/>
  <c r="L1997" i="2"/>
  <c r="N1997" i="2" s="1"/>
  <c r="L2027" i="2"/>
  <c r="L2059" i="2"/>
  <c r="N2059" i="2" s="1"/>
  <c r="L1926" i="2"/>
  <c r="N1926" i="2" s="1"/>
  <c r="L2060" i="2"/>
  <c r="M2060" i="2" s="1"/>
  <c r="N2060" i="2" s="1"/>
  <c r="L2191" i="2"/>
  <c r="M2191" i="2" s="1"/>
  <c r="N2191" i="2" s="1"/>
  <c r="L2217" i="2"/>
  <c r="M2217" i="2" s="1"/>
  <c r="N2217" i="2" s="1"/>
  <c r="L2246" i="2"/>
  <c r="M2246" i="2" s="1"/>
  <c r="N2246" i="2" s="1"/>
  <c r="L1139" i="2"/>
  <c r="M1139" i="2" s="1"/>
  <c r="N1139" i="2" s="1"/>
  <c r="L1169" i="2"/>
  <c r="M1169" i="2" s="1"/>
  <c r="N1169" i="2" s="1"/>
  <c r="L1177" i="2"/>
  <c r="M1177" i="2" s="1"/>
  <c r="N1177" i="2" s="1"/>
  <c r="L1273" i="2"/>
  <c r="M1273" i="2" s="1"/>
  <c r="N1273" i="2" s="1"/>
  <c r="L1294" i="2"/>
  <c r="M1294" i="2" s="1"/>
  <c r="N1294" i="2" s="1"/>
  <c r="L1298" i="2"/>
  <c r="M1298" i="2" s="1"/>
  <c r="N1298" i="2" s="1"/>
  <c r="L1304" i="2"/>
  <c r="M1304" i="2" s="1"/>
  <c r="N1304" i="2" s="1"/>
  <c r="L1308" i="2"/>
  <c r="M1308" i="2" s="1"/>
  <c r="N1308" i="2" s="1"/>
  <c r="L1440" i="2"/>
  <c r="M1440" i="2" s="1"/>
  <c r="N1440" i="2" s="1"/>
  <c r="L1448" i="2"/>
  <c r="M1448" i="2" s="1"/>
  <c r="N1448" i="2" s="1"/>
  <c r="L1452" i="2"/>
  <c r="M1452" i="2" s="1"/>
  <c r="N1452" i="2" s="1"/>
  <c r="L1456" i="2"/>
  <c r="M1456" i="2" s="1"/>
  <c r="N1456" i="2" s="1"/>
  <c r="L1488" i="2"/>
  <c r="M1488" i="2" s="1"/>
  <c r="N1488" i="2" s="1"/>
  <c r="L2414" i="2"/>
  <c r="N2414" i="2" s="1"/>
  <c r="L2308" i="2"/>
  <c r="N2308" i="2" s="1"/>
  <c r="L2391" i="2"/>
  <c r="N2391" i="2" s="1"/>
  <c r="L2395" i="2"/>
  <c r="N2395" i="2" s="1"/>
  <c r="L2193" i="2"/>
  <c r="M2193" i="2" s="1"/>
  <c r="N2193" i="2" s="1"/>
  <c r="L2240" i="2"/>
  <c r="M2240" i="2" s="1"/>
  <c r="N2240" i="2" s="1"/>
  <c r="L2249" i="2"/>
  <c r="M2249" i="2" s="1"/>
  <c r="N2249" i="2" s="1"/>
  <c r="L2259" i="2"/>
  <c r="M2259" i="2" s="1"/>
  <c r="N2259" i="2" s="1"/>
  <c r="L1378" i="2"/>
  <c r="L2141" i="2"/>
  <c r="M2141" i="2" s="1"/>
  <c r="N2141" i="2" s="1"/>
  <c r="L2146" i="2"/>
  <c r="M2146" i="2" s="1"/>
  <c r="L2151" i="2"/>
  <c r="M2151" i="2" s="1"/>
  <c r="L2161" i="2"/>
  <c r="M2161" i="2" s="1"/>
  <c r="N2161" i="2" s="1"/>
  <c r="L2170" i="2"/>
  <c r="M2170" i="2" s="1"/>
  <c r="N2170" i="2" s="1"/>
  <c r="L2178" i="2"/>
  <c r="M2178" i="2" s="1"/>
  <c r="N2178" i="2" s="1"/>
  <c r="L2333" i="2"/>
  <c r="N2333" i="2" s="1"/>
  <c r="L2393" i="2"/>
  <c r="N2393" i="2" s="1"/>
  <c r="L2401" i="2"/>
  <c r="N2401" i="2" s="1"/>
  <c r="L2409" i="2"/>
  <c r="N2409" i="2" s="1"/>
  <c r="L422" i="2"/>
  <c r="M422" i="2" s="1"/>
  <c r="N422" i="2" s="1"/>
  <c r="L647" i="2"/>
  <c r="M647" i="2" s="1"/>
  <c r="N647" i="2" s="1"/>
  <c r="L1830" i="2"/>
  <c r="M1830" i="2" s="1"/>
  <c r="N1830" i="2" s="1"/>
  <c r="L2394" i="2"/>
  <c r="L2402" i="2"/>
  <c r="N2402" i="2" s="1"/>
  <c r="L2436" i="2"/>
  <c r="M2436" i="2" s="1"/>
  <c r="N2436" i="2" s="1"/>
  <c r="L2479" i="2"/>
  <c r="L1275" i="2"/>
  <c r="N1275" i="2" s="1"/>
  <c r="L1324" i="2"/>
  <c r="M1324" i="2" s="1"/>
  <c r="N1324" i="2" s="1"/>
  <c r="L1342" i="2"/>
  <c r="M1342" i="2" s="1"/>
  <c r="N1342" i="2" s="1"/>
  <c r="L1346" i="2"/>
  <c r="N1346" i="2" s="1"/>
  <c r="L1351" i="2"/>
  <c r="M1351" i="2" s="1"/>
  <c r="N1351" i="2" s="1"/>
  <c r="L1358" i="2"/>
  <c r="M1358" i="2" s="1"/>
  <c r="N1358" i="2" s="1"/>
  <c r="L1363" i="2"/>
  <c r="M1363" i="2" s="1"/>
  <c r="N1363" i="2" s="1"/>
  <c r="L1383" i="2"/>
  <c r="M1383" i="2" s="1"/>
  <c r="N1383" i="2" s="1"/>
  <c r="L1430" i="2"/>
  <c r="M1430" i="2" s="1"/>
  <c r="N1430" i="2" s="1"/>
  <c r="L1446" i="2"/>
  <c r="M1446" i="2" s="1"/>
  <c r="N1446" i="2" s="1"/>
  <c r="L1470" i="2"/>
  <c r="M1470" i="2" s="1"/>
  <c r="N1470" i="2" s="1"/>
  <c r="L1478" i="2"/>
  <c r="M1478" i="2" s="1"/>
  <c r="N1478" i="2" s="1"/>
  <c r="L1494" i="2"/>
  <c r="M1494" i="2" s="1"/>
  <c r="N1494" i="2" s="1"/>
  <c r="L1677" i="2"/>
  <c r="M1677" i="2" s="1"/>
  <c r="L1681" i="2"/>
  <c r="M1681" i="2" s="1"/>
  <c r="N1681" i="2" s="1"/>
  <c r="L1685" i="2"/>
  <c r="M1685" i="2" s="1"/>
  <c r="N1685" i="2" s="1"/>
  <c r="L1689" i="2"/>
  <c r="M1689" i="2" s="1"/>
  <c r="N1689" i="2" s="1"/>
  <c r="L1693" i="2"/>
  <c r="M1693" i="2" s="1"/>
  <c r="N1693" i="2" s="1"/>
  <c r="L1697" i="2"/>
  <c r="M1697" i="2" s="1"/>
  <c r="N1697" i="2" s="1"/>
  <c r="L1701" i="2"/>
  <c r="M1701" i="2" s="1"/>
  <c r="N1701" i="2" s="1"/>
  <c r="L1705" i="2"/>
  <c r="M1705" i="2" s="1"/>
  <c r="N1705" i="2" s="1"/>
  <c r="L1750" i="2"/>
  <c r="M1750" i="2" s="1"/>
  <c r="N1750" i="2" s="1"/>
  <c r="L1754" i="2"/>
  <c r="M1754" i="2" s="1"/>
  <c r="N1754" i="2" s="1"/>
  <c r="L380" i="2"/>
  <c r="N380" i="2" s="1"/>
  <c r="L613" i="2"/>
  <c r="M613" i="2" s="1"/>
  <c r="N613" i="2" s="1"/>
  <c r="L486" i="2"/>
  <c r="N486" i="2" s="1"/>
  <c r="L500" i="2"/>
  <c r="M500" i="2" s="1"/>
  <c r="N500" i="2" s="1"/>
  <c r="L517" i="2"/>
  <c r="M517" i="2" s="1"/>
  <c r="N517" i="2" s="1"/>
  <c r="L618" i="2"/>
  <c r="M618" i="2" s="1"/>
  <c r="N618" i="2" s="1"/>
  <c r="L622" i="2"/>
  <c r="M622" i="2" s="1"/>
  <c r="N622" i="2" s="1"/>
  <c r="L627" i="2"/>
  <c r="M627" i="2" s="1"/>
  <c r="N627" i="2" s="1"/>
  <c r="L925" i="2"/>
  <c r="L1013" i="2"/>
  <c r="N1013" i="2" s="1"/>
  <c r="L1017" i="2"/>
  <c r="M1017" i="2" s="1"/>
  <c r="N1017" i="2" s="1"/>
  <c r="L1021" i="2"/>
  <c r="N1021" i="2" s="1"/>
  <c r="L1029" i="2"/>
  <c r="N1029" i="2" s="1"/>
  <c r="L1100" i="2"/>
  <c r="M1100" i="2" s="1"/>
  <c r="N1100" i="2" s="1"/>
  <c r="L1106" i="2"/>
  <c r="M1106" i="2" s="1"/>
  <c r="N1106" i="2" s="1"/>
  <c r="L1110" i="2"/>
  <c r="M1110" i="2" s="1"/>
  <c r="N1110" i="2" s="1"/>
  <c r="L1205" i="2"/>
  <c r="M1205" i="2" s="1"/>
  <c r="N1205" i="2" s="1"/>
  <c r="L1235" i="2"/>
  <c r="M1235" i="2" s="1"/>
  <c r="N1235" i="2" s="1"/>
  <c r="L1239" i="2"/>
  <c r="M1239" i="2" s="1"/>
  <c r="N1239" i="2" s="1"/>
  <c r="L1247" i="2"/>
  <c r="M1247" i="2" s="1"/>
  <c r="N1247" i="2" s="1"/>
  <c r="L1255" i="2"/>
  <c r="M1255" i="2" s="1"/>
  <c r="N1255" i="2" s="1"/>
  <c r="L1325" i="2"/>
  <c r="N1325" i="2" s="1"/>
  <c r="L1329" i="2"/>
  <c r="M1329" i="2" s="1"/>
  <c r="N1329" i="2" s="1"/>
  <c r="L1333" i="2"/>
  <c r="M1333" i="2" s="1"/>
  <c r="N1333" i="2" s="1"/>
  <c r="L1467" i="2"/>
  <c r="M1467" i="2" s="1"/>
  <c r="L25" i="2"/>
  <c r="M25" i="2" s="1"/>
  <c r="N25" i="2" s="1"/>
  <c r="L29" i="2"/>
  <c r="M29" i="2" s="1"/>
  <c r="N29" i="2" s="1"/>
  <c r="L43" i="2"/>
  <c r="M43" i="2" s="1"/>
  <c r="N43" i="2" s="1"/>
  <c r="L47" i="2"/>
  <c r="M47" i="2" s="1"/>
  <c r="N47" i="2" s="1"/>
  <c r="L56" i="2"/>
  <c r="L90" i="2"/>
  <c r="M90" i="2" s="1"/>
  <c r="N90" i="2" s="1"/>
  <c r="L95" i="2"/>
  <c r="L105" i="2"/>
  <c r="N105" i="2" s="1"/>
  <c r="L143" i="2"/>
  <c r="M143" i="2" s="1"/>
  <c r="N143" i="2" s="1"/>
  <c r="L148" i="2"/>
  <c r="N148" i="2" s="1"/>
  <c r="L159" i="2"/>
  <c r="M159" i="2" s="1"/>
  <c r="N159" i="2" s="1"/>
  <c r="L264" i="2"/>
  <c r="N264" i="2" s="1"/>
  <c r="L268" i="2"/>
  <c r="N268" i="2" s="1"/>
  <c r="L276" i="2"/>
  <c r="M276" i="2" s="1"/>
  <c r="N276" i="2" s="1"/>
  <c r="L280" i="2"/>
  <c r="N280" i="2" s="1"/>
  <c r="L315" i="2"/>
  <c r="L319" i="2"/>
  <c r="N319" i="2" s="1"/>
  <c r="L324" i="2"/>
  <c r="M324" i="2" s="1"/>
  <c r="N324" i="2" s="1"/>
  <c r="L360" i="2"/>
  <c r="N360" i="2" s="1"/>
  <c r="L368" i="2"/>
  <c r="M368" i="2" s="1"/>
  <c r="N368" i="2" s="1"/>
  <c r="L681" i="2"/>
  <c r="M681" i="2" s="1"/>
  <c r="N681" i="2" s="1"/>
  <c r="L818" i="2"/>
  <c r="N818" i="2" s="1"/>
  <c r="L1559" i="2"/>
  <c r="L1565" i="2"/>
  <c r="M1565" i="2" s="1"/>
  <c r="L1571" i="2"/>
  <c r="M1571" i="2" s="1"/>
  <c r="N1571" i="2" s="1"/>
  <c r="L1581" i="2"/>
  <c r="N1581" i="2" s="1"/>
  <c r="L1585" i="2"/>
  <c r="N1585" i="2" s="1"/>
  <c r="L1715" i="2"/>
  <c r="M1715" i="2" s="1"/>
  <c r="N1715" i="2" s="1"/>
  <c r="L1723" i="2"/>
  <c r="M1723" i="2" s="1"/>
  <c r="N1723" i="2" s="1"/>
  <c r="L1727" i="2"/>
  <c r="M1727" i="2" s="1"/>
  <c r="N1727" i="2" s="1"/>
  <c r="L1731" i="2"/>
  <c r="M1731" i="2" s="1"/>
  <c r="N1731" i="2" s="1"/>
  <c r="L1743" i="2"/>
  <c r="L1752" i="2"/>
  <c r="N1752" i="2" s="1"/>
  <c r="L1757" i="2"/>
  <c r="M1757" i="2" s="1"/>
  <c r="N1757" i="2" s="1"/>
  <c r="L2065" i="2"/>
  <c r="N2065" i="2" s="1"/>
  <c r="L2073" i="2"/>
  <c r="M2073" i="2" s="1"/>
  <c r="N2073" i="2" s="1"/>
  <c r="L631" i="2"/>
  <c r="M631" i="2" s="1"/>
  <c r="N631" i="2" s="1"/>
  <c r="L635" i="2"/>
  <c r="M635" i="2" s="1"/>
  <c r="N635" i="2" s="1"/>
  <c r="L648" i="2"/>
  <c r="M648" i="2" s="1"/>
  <c r="N648" i="2" s="1"/>
  <c r="L662" i="2"/>
  <c r="N662" i="2" s="1"/>
  <c r="L751" i="2"/>
  <c r="M751" i="2" s="1"/>
  <c r="N751" i="2" s="1"/>
  <c r="L760" i="2"/>
  <c r="M760" i="2" s="1"/>
  <c r="L771" i="2"/>
  <c r="L786" i="2"/>
  <c r="L803" i="2"/>
  <c r="M803" i="2" s="1"/>
  <c r="N803" i="2" s="1"/>
  <c r="L811" i="2"/>
  <c r="M811" i="2" s="1"/>
  <c r="N811" i="2" s="1"/>
  <c r="L815" i="2"/>
  <c r="M815" i="2" s="1"/>
  <c r="L854" i="2"/>
  <c r="M854" i="2" s="1"/>
  <c r="N854" i="2" s="1"/>
  <c r="L858" i="2"/>
  <c r="M858" i="2" s="1"/>
  <c r="N858" i="2" s="1"/>
  <c r="L863" i="2"/>
  <c r="M863" i="2" s="1"/>
  <c r="N863" i="2" s="1"/>
  <c r="L868" i="2"/>
  <c r="M868" i="2" s="1"/>
  <c r="N868" i="2" s="1"/>
  <c r="L872" i="2"/>
  <c r="M872" i="2" s="1"/>
  <c r="N872" i="2" s="1"/>
  <c r="L880" i="2"/>
  <c r="M880" i="2" s="1"/>
  <c r="N880" i="2" s="1"/>
  <c r="L888" i="2"/>
  <c r="N888" i="2" s="1"/>
  <c r="L920" i="2"/>
  <c r="M920" i="2" s="1"/>
  <c r="N920" i="2" s="1"/>
  <c r="L1212" i="2"/>
  <c r="N1212" i="2" s="1"/>
  <c r="L1220" i="2"/>
  <c r="M1220" i="2" s="1"/>
  <c r="L1270" i="2"/>
  <c r="M1270" i="2" s="1"/>
  <c r="N1270" i="2" s="1"/>
  <c r="L1299" i="2"/>
  <c r="M1299" i="2" s="1"/>
  <c r="N1299" i="2" s="1"/>
  <c r="L1321" i="2"/>
  <c r="L1339" i="2"/>
  <c r="L1386" i="2"/>
  <c r="N1386" i="2" s="1"/>
  <c r="L1394" i="2"/>
  <c r="M1394" i="2" s="1"/>
  <c r="N1394" i="2" s="1"/>
  <c r="L1433" i="2"/>
  <c r="M1433" i="2" s="1"/>
  <c r="N1433" i="2" s="1"/>
  <c r="L1441" i="2"/>
  <c r="M1441" i="2" s="1"/>
  <c r="N1441" i="2" s="1"/>
  <c r="L1449" i="2"/>
  <c r="M1449" i="2" s="1"/>
  <c r="N1449" i="2" s="1"/>
  <c r="L1855" i="2"/>
  <c r="L1871" i="2"/>
  <c r="N1871" i="2" s="1"/>
  <c r="L1883" i="2"/>
  <c r="N1883" i="2" s="1"/>
  <c r="L1903" i="2"/>
  <c r="L1939" i="2"/>
  <c r="L1943" i="2"/>
  <c r="L1995" i="2"/>
  <c r="N1995" i="2" s="1"/>
  <c r="L2019" i="2"/>
  <c r="N2019" i="2" s="1"/>
  <c r="L62" i="2"/>
  <c r="M62" i="2" s="1"/>
  <c r="N62" i="2" s="1"/>
  <c r="L164" i="2"/>
  <c r="M164" i="2" s="1"/>
  <c r="N164" i="2" s="1"/>
  <c r="L168" i="2"/>
  <c r="N168" i="2" s="1"/>
  <c r="L184" i="2"/>
  <c r="N184" i="2" s="1"/>
  <c r="L237" i="2"/>
  <c r="N237" i="2" s="1"/>
  <c r="L241" i="2"/>
  <c r="L269" i="2"/>
  <c r="N269" i="2" s="1"/>
  <c r="L273" i="2"/>
  <c r="M273" i="2" s="1"/>
  <c r="N273" i="2" s="1"/>
  <c r="L277" i="2"/>
  <c r="N277" i="2" s="1"/>
  <c r="L516" i="2"/>
  <c r="N516" i="2" s="1"/>
  <c r="L520" i="2"/>
  <c r="M520" i="2" s="1"/>
  <c r="N520" i="2" s="1"/>
  <c r="L604" i="2"/>
  <c r="M604" i="2" s="1"/>
  <c r="N604" i="2" s="1"/>
  <c r="L952" i="2"/>
  <c r="M952" i="2" s="1"/>
  <c r="N952" i="2" s="1"/>
  <c r="L961" i="2"/>
  <c r="M961" i="2" s="1"/>
  <c r="N961" i="2" s="1"/>
  <c r="L1000" i="2"/>
  <c r="L1007" i="2"/>
  <c r="L1012" i="2"/>
  <c r="M1012" i="2" s="1"/>
  <c r="N1012" i="2" s="1"/>
  <c r="L1016" i="2"/>
  <c r="L1034" i="2"/>
  <c r="M1034" i="2" s="1"/>
  <c r="N1034" i="2" s="1"/>
  <c r="L1039" i="2"/>
  <c r="L1047" i="2"/>
  <c r="N1047" i="2" s="1"/>
  <c r="L1056" i="2"/>
  <c r="N1056" i="2" s="1"/>
  <c r="L1062" i="2"/>
  <c r="M1062" i="2" s="1"/>
  <c r="L1067" i="2"/>
  <c r="M1067" i="2" s="1"/>
  <c r="N1067" i="2" s="1"/>
  <c r="L1086" i="2"/>
  <c r="N1086" i="2" s="1"/>
  <c r="L1094" i="2"/>
  <c r="M1094" i="2" s="1"/>
  <c r="N1094" i="2" s="1"/>
  <c r="L1615" i="2"/>
  <c r="M1615" i="2" s="1"/>
  <c r="N1615" i="2" s="1"/>
  <c r="L1620" i="2"/>
  <c r="L1789" i="2"/>
  <c r="N1789" i="2" s="1"/>
  <c r="L1806" i="2"/>
  <c r="N1806" i="2" s="1"/>
  <c r="L412" i="2"/>
  <c r="N412" i="2" s="1"/>
  <c r="L792" i="2"/>
  <c r="L796" i="2"/>
  <c r="L800" i="2"/>
  <c r="L804" i="2"/>
  <c r="L898" i="2"/>
  <c r="M898" i="2" s="1"/>
  <c r="N898" i="2" s="1"/>
  <c r="L1836" i="2"/>
  <c r="L16" i="2"/>
  <c r="L24" i="2"/>
  <c r="M24" i="2" s="1"/>
  <c r="L28" i="2"/>
  <c r="M28" i="2" s="1"/>
  <c r="N28" i="2" s="1"/>
  <c r="L32" i="2"/>
  <c r="M32" i="2" s="1"/>
  <c r="N32" i="2" s="1"/>
  <c r="L41" i="2"/>
  <c r="M41" i="2" s="1"/>
  <c r="L59" i="2"/>
  <c r="M59" i="2" s="1"/>
  <c r="N59" i="2" s="1"/>
  <c r="L80" i="2"/>
  <c r="M80" i="2" s="1"/>
  <c r="N80" i="2" s="1"/>
  <c r="L89" i="2"/>
  <c r="L98" i="2"/>
  <c r="M98" i="2" s="1"/>
  <c r="L170" i="2"/>
  <c r="L194" i="2"/>
  <c r="N194" i="2" s="1"/>
  <c r="L198" i="2"/>
  <c r="L210" i="2"/>
  <c r="M210" i="2" s="1"/>
  <c r="N210" i="2" s="1"/>
  <c r="L214" i="2"/>
  <c r="N214" i="2" s="1"/>
  <c r="L223" i="2"/>
  <c r="N223" i="2" s="1"/>
  <c r="L231" i="2"/>
  <c r="L235" i="2"/>
  <c r="M235" i="2" s="1"/>
  <c r="N235" i="2" s="1"/>
  <c r="L243" i="2"/>
  <c r="M243" i="2" s="1"/>
  <c r="L247" i="2"/>
  <c r="N247" i="2" s="1"/>
  <c r="L251" i="2"/>
  <c r="M251" i="2" s="1"/>
  <c r="L255" i="2"/>
  <c r="M255" i="2" s="1"/>
  <c r="N255" i="2" s="1"/>
  <c r="L259" i="2"/>
  <c r="N259" i="2" s="1"/>
  <c r="L1003" i="2"/>
  <c r="N1003" i="2" s="1"/>
  <c r="L1009" i="2"/>
  <c r="N1009" i="2" s="1"/>
  <c r="L1014" i="2"/>
  <c r="N1014" i="2" s="1"/>
  <c r="L1018" i="2"/>
  <c r="N1018" i="2" s="1"/>
  <c r="L1092" i="2"/>
  <c r="M1092" i="2" s="1"/>
  <c r="N1092" i="2" s="1"/>
  <c r="L1138" i="2"/>
  <c r="M1138" i="2" s="1"/>
  <c r="N1138" i="2" s="1"/>
  <c r="L1156" i="2"/>
  <c r="M1156" i="2" s="1"/>
  <c r="N1156" i="2" s="1"/>
  <c r="L388" i="2"/>
  <c r="N388" i="2" s="1"/>
  <c r="L405" i="2"/>
  <c r="L458" i="2"/>
  <c r="L506" i="2"/>
  <c r="L558" i="2"/>
  <c r="M558" i="2" s="1"/>
  <c r="N558" i="2" s="1"/>
  <c r="L567" i="2"/>
  <c r="M567" i="2" s="1"/>
  <c r="N567" i="2" s="1"/>
  <c r="L603" i="2"/>
  <c r="M603" i="2" s="1"/>
  <c r="L616" i="2"/>
  <c r="M616" i="2" s="1"/>
  <c r="N616" i="2" s="1"/>
  <c r="L625" i="2"/>
  <c r="M625" i="2" s="1"/>
  <c r="N625" i="2" s="1"/>
  <c r="L655" i="2"/>
  <c r="L668" i="2"/>
  <c r="N668" i="2" s="1"/>
  <c r="L703" i="2"/>
  <c r="N703" i="2" s="1"/>
  <c r="L708" i="2"/>
  <c r="L719" i="2"/>
  <c r="L728" i="2"/>
  <c r="L739" i="2"/>
  <c r="M739" i="2" s="1"/>
  <c r="N739" i="2" s="1"/>
  <c r="L762" i="2"/>
  <c r="N762" i="2" s="1"/>
  <c r="L769" i="2"/>
  <c r="L773" i="2"/>
  <c r="M773" i="2" s="1"/>
  <c r="N773" i="2" s="1"/>
  <c r="L801" i="2"/>
  <c r="M801" i="2" s="1"/>
  <c r="N801" i="2" s="1"/>
  <c r="L805" i="2"/>
  <c r="M805" i="2" s="1"/>
  <c r="L825" i="2"/>
  <c r="M825" i="2" s="1"/>
  <c r="N825" i="2" s="1"/>
  <c r="L832" i="2"/>
  <c r="M832" i="2" s="1"/>
  <c r="N832" i="2" s="1"/>
  <c r="L836" i="2"/>
  <c r="M836" i="2" s="1"/>
  <c r="N836" i="2" s="1"/>
  <c r="L844" i="2"/>
  <c r="M844" i="2" s="1"/>
  <c r="N844" i="2" s="1"/>
  <c r="L852" i="2"/>
  <c r="L870" i="2"/>
  <c r="M870" i="2" s="1"/>
  <c r="N870" i="2" s="1"/>
  <c r="L886" i="2"/>
  <c r="M886" i="2" s="1"/>
  <c r="N886" i="2" s="1"/>
  <c r="L903" i="2"/>
  <c r="M903" i="2" s="1"/>
  <c r="N903" i="2" s="1"/>
  <c r="L1141" i="2"/>
  <c r="N1141" i="2" s="1"/>
  <c r="L1330" i="2"/>
  <c r="M1330" i="2" s="1"/>
  <c r="N1330" i="2" s="1"/>
  <c r="L1338" i="2"/>
  <c r="M1338" i="2" s="1"/>
  <c r="N1338" i="2" s="1"/>
  <c r="L1344" i="2"/>
  <c r="L1349" i="2"/>
  <c r="N1349" i="2" s="1"/>
  <c r="L1355" i="2"/>
  <c r="M1355" i="2" s="1"/>
  <c r="N1355" i="2" s="1"/>
  <c r="L1360" i="2"/>
  <c r="M1360" i="2" s="1"/>
  <c r="N1360" i="2" s="1"/>
  <c r="L1377" i="2"/>
  <c r="M1377" i="2" s="1"/>
  <c r="N1377" i="2" s="1"/>
  <c r="L1427" i="2"/>
  <c r="M1427" i="2" s="1"/>
  <c r="N1427" i="2" s="1"/>
  <c r="L1438" i="2"/>
  <c r="M1438" i="2" s="1"/>
  <c r="N1438" i="2" s="1"/>
  <c r="L1552" i="2"/>
  <c r="M1552" i="2" s="1"/>
  <c r="N1552" i="2" s="1"/>
  <c r="L1557" i="2"/>
  <c r="M1557" i="2" s="1"/>
  <c r="L1595" i="2"/>
  <c r="N1595" i="2" s="1"/>
  <c r="L1599" i="2"/>
  <c r="N1599" i="2" s="1"/>
  <c r="L1607" i="2"/>
  <c r="N1607" i="2" s="1"/>
  <c r="L1720" i="2"/>
  <c r="M1720" i="2" s="1"/>
  <c r="N1720" i="2" s="1"/>
  <c r="L2195" i="2"/>
  <c r="M2195" i="2" s="1"/>
  <c r="N2195" i="2" s="1"/>
  <c r="L2215" i="2"/>
  <c r="M2215" i="2" s="1"/>
  <c r="N2215" i="2" s="1"/>
  <c r="L2241" i="2"/>
  <c r="M2241" i="2" s="1"/>
  <c r="N2241" i="2" s="1"/>
  <c r="L2309" i="2"/>
  <c r="M2309" i="2" s="1"/>
  <c r="N2309" i="2" s="1"/>
  <c r="L2476" i="2"/>
  <c r="N2476" i="2" s="1"/>
  <c r="L2481" i="2"/>
  <c r="N2481" i="2" s="1"/>
  <c r="L390" i="2"/>
  <c r="M390" i="2" s="1"/>
  <c r="N390" i="2" s="1"/>
  <c r="L398" i="2"/>
  <c r="M398" i="2" s="1"/>
  <c r="N398" i="2" s="1"/>
  <c r="L419" i="2"/>
  <c r="M419" i="2" s="1"/>
  <c r="L528" i="2"/>
  <c r="N528" i="2" s="1"/>
  <c r="L540" i="2"/>
  <c r="M540" i="2" s="1"/>
  <c r="N540" i="2" s="1"/>
  <c r="L577" i="2"/>
  <c r="M577" i="2" s="1"/>
  <c r="N577" i="2" s="1"/>
  <c r="L581" i="2"/>
  <c r="N581" i="2" s="1"/>
  <c r="L587" i="2"/>
  <c r="M587" i="2" s="1"/>
  <c r="N587" i="2" s="1"/>
  <c r="L626" i="2"/>
  <c r="M626" i="2" s="1"/>
  <c r="N626" i="2" s="1"/>
  <c r="L652" i="2"/>
  <c r="M652" i="2" s="1"/>
  <c r="N652" i="2" s="1"/>
  <c r="L689" i="2"/>
  <c r="M689" i="2" s="1"/>
  <c r="N689" i="2" s="1"/>
  <c r="L695" i="2"/>
  <c r="N695" i="2" s="1"/>
  <c r="L714" i="2"/>
  <c r="N714" i="2" s="1"/>
  <c r="L725" i="2"/>
  <c r="M725" i="2" s="1"/>
  <c r="N725" i="2" s="1"/>
  <c r="L735" i="2"/>
  <c r="M735" i="2" s="1"/>
  <c r="N735" i="2" s="1"/>
  <c r="L740" i="2"/>
  <c r="M740" i="2" s="1"/>
  <c r="N740" i="2" s="1"/>
  <c r="L914" i="2"/>
  <c r="L1134" i="2"/>
  <c r="N1134" i="2" s="1"/>
  <c r="L1385" i="2"/>
  <c r="M1385" i="2" s="1"/>
  <c r="N1385" i="2" s="1"/>
  <c r="L1401" i="2"/>
  <c r="N1401" i="2" s="1"/>
  <c r="L1410" i="2"/>
  <c r="M1410" i="2" s="1"/>
  <c r="N1410" i="2" s="1"/>
  <c r="L1414" i="2"/>
  <c r="M1414" i="2" s="1"/>
  <c r="N1414" i="2" s="1"/>
  <c r="L1422" i="2"/>
  <c r="L1511" i="2"/>
  <c r="N1511" i="2" s="1"/>
  <c r="L1515" i="2"/>
  <c r="M1515" i="2" s="1"/>
  <c r="N1515" i="2" s="1"/>
  <c r="L1519" i="2"/>
  <c r="N1519" i="2" s="1"/>
  <c r="L1532" i="2"/>
  <c r="M1532" i="2" s="1"/>
  <c r="N1532" i="2" s="1"/>
  <c r="L1558" i="2"/>
  <c r="M1558" i="2" s="1"/>
  <c r="N1558" i="2" s="1"/>
  <c r="L1880" i="2"/>
  <c r="N1880" i="2" s="1"/>
  <c r="L1928" i="2"/>
  <c r="L1970" i="2"/>
  <c r="L1992" i="2"/>
  <c r="L2016" i="2"/>
  <c r="N2016" i="2" s="1"/>
  <c r="L2026" i="2"/>
  <c r="L2042" i="2"/>
  <c r="N2042" i="2" s="1"/>
  <c r="L2046" i="2"/>
  <c r="L2054" i="2"/>
  <c r="N2054" i="2" s="1"/>
  <c r="L2058" i="2"/>
  <c r="M2058" i="2" s="1"/>
  <c r="N2058" i="2" s="1"/>
  <c r="L2074" i="2"/>
  <c r="M2074" i="2" s="1"/>
  <c r="N2074" i="2" s="1"/>
  <c r="L2128" i="2"/>
  <c r="M2128" i="2" s="1"/>
  <c r="N2128" i="2" s="1"/>
  <c r="L2013" i="2"/>
  <c r="L2063" i="2"/>
  <c r="M2063" i="2" s="1"/>
  <c r="N2063" i="2" s="1"/>
  <c r="L2144" i="2"/>
  <c r="M2144" i="2" s="1"/>
  <c r="N2144" i="2" s="1"/>
  <c r="L2338" i="2"/>
  <c r="N2338" i="2" s="1"/>
  <c r="L2350" i="2"/>
  <c r="N2350" i="2" s="1"/>
  <c r="L2374" i="2"/>
  <c r="N2374" i="2" s="1"/>
  <c r="L31" i="2"/>
  <c r="M31" i="2" s="1"/>
  <c r="N31" i="2" s="1"/>
  <c r="L370" i="2"/>
  <c r="N370" i="2" s="1"/>
  <c r="L430" i="2"/>
  <c r="L439" i="2"/>
  <c r="M439" i="2" s="1"/>
  <c r="N439" i="2" s="1"/>
  <c r="L449" i="2"/>
  <c r="L477" i="2"/>
  <c r="N477" i="2" s="1"/>
  <c r="L1026" i="2"/>
  <c r="N1026" i="2" s="1"/>
  <c r="L1194" i="2"/>
  <c r="N1194" i="2" s="1"/>
  <c r="L1764" i="2"/>
  <c r="M1764" i="2" s="1"/>
  <c r="N1764" i="2" s="1"/>
  <c r="L1772" i="2"/>
  <c r="M1772" i="2" s="1"/>
  <c r="N1772" i="2" s="1"/>
  <c r="L1901" i="2"/>
  <c r="N1901" i="2" s="1"/>
  <c r="L1909" i="2"/>
  <c r="L1925" i="2"/>
  <c r="L250" i="2"/>
  <c r="M250" i="2" s="1"/>
  <c r="N250" i="2" s="1"/>
  <c r="L262" i="2"/>
  <c r="N262" i="2" s="1"/>
  <c r="L569" i="2"/>
  <c r="M569" i="2" s="1"/>
  <c r="N569" i="2" s="1"/>
  <c r="L678" i="2"/>
  <c r="L915" i="2"/>
  <c r="L1398" i="2"/>
  <c r="M1398" i="2" s="1"/>
  <c r="L1500" i="2"/>
  <c r="M1500" i="2" s="1"/>
  <c r="N1500" i="2" s="1"/>
  <c r="L1550" i="2"/>
  <c r="M1550" i="2" s="1"/>
  <c r="N1550" i="2" s="1"/>
  <c r="L2083" i="2"/>
  <c r="N2083" i="2" s="1"/>
  <c r="L2091" i="2"/>
  <c r="L2411" i="2"/>
  <c r="N2411" i="2" s="1"/>
  <c r="L2423" i="2"/>
  <c r="M2423" i="2" s="1"/>
  <c r="N2423" i="2" s="1"/>
  <c r="L2427" i="2"/>
  <c r="M2427" i="2" s="1"/>
  <c r="N2427" i="2" s="1"/>
  <c r="L2431" i="2"/>
  <c r="N2431" i="2" s="1"/>
  <c r="L162" i="2"/>
  <c r="N162" i="2" s="1"/>
  <c r="L271" i="2"/>
  <c r="L297" i="2"/>
  <c r="N297" i="2" s="1"/>
  <c r="L306" i="2"/>
  <c r="N306" i="2" s="1"/>
  <c r="L522" i="2"/>
  <c r="N522" i="2" s="1"/>
  <c r="L542" i="2"/>
  <c r="M542" i="2" s="1"/>
  <c r="N542" i="2" s="1"/>
  <c r="L566" i="2"/>
  <c r="M566" i="2" s="1"/>
  <c r="N566" i="2" s="1"/>
  <c r="L570" i="2"/>
  <c r="M570" i="2" s="1"/>
  <c r="N570" i="2" s="1"/>
  <c r="L589" i="2"/>
  <c r="L640" i="2"/>
  <c r="N640" i="2" s="1"/>
  <c r="L645" i="2"/>
  <c r="M645" i="2" s="1"/>
  <c r="N645" i="2" s="1"/>
  <c r="L654" i="2"/>
  <c r="L663" i="2"/>
  <c r="L667" i="2"/>
  <c r="M667" i="2" s="1"/>
  <c r="N667" i="2" s="1"/>
  <c r="L671" i="2"/>
  <c r="M671" i="2" s="1"/>
  <c r="N671" i="2" s="1"/>
  <c r="L743" i="2"/>
  <c r="M743" i="2" s="1"/>
  <c r="N743" i="2" s="1"/>
  <c r="L768" i="2"/>
  <c r="M768" i="2" s="1"/>
  <c r="N768" i="2" s="1"/>
  <c r="L928" i="2"/>
  <c r="M928" i="2" s="1"/>
  <c r="N928" i="2" s="1"/>
  <c r="L932" i="2"/>
  <c r="M932" i="2" s="1"/>
  <c r="N932" i="2" s="1"/>
  <c r="L1128" i="2"/>
  <c r="M1128" i="2" s="1"/>
  <c r="N1128" i="2" s="1"/>
  <c r="L1154" i="2"/>
  <c r="M1154" i="2" s="1"/>
  <c r="N1154" i="2" s="1"/>
  <c r="L1248" i="2"/>
  <c r="N1248" i="2" s="1"/>
  <c r="L1416" i="2"/>
  <c r="M1416" i="2" s="1"/>
  <c r="N1416" i="2" s="1"/>
  <c r="L1420" i="2"/>
  <c r="M1420" i="2" s="1"/>
  <c r="N1420" i="2" s="1"/>
  <c r="L1481" i="2"/>
  <c r="M1481" i="2" s="1"/>
  <c r="N1481" i="2" s="1"/>
  <c r="L1505" i="2"/>
  <c r="M1505" i="2" s="1"/>
  <c r="N1505" i="2" s="1"/>
  <c r="L1509" i="2"/>
  <c r="M1509" i="2" s="1"/>
  <c r="N1509" i="2" s="1"/>
  <c r="L1513" i="2"/>
  <c r="M1513" i="2" s="1"/>
  <c r="N1513" i="2" s="1"/>
  <c r="L1517" i="2"/>
  <c r="N1517" i="2" s="1"/>
  <c r="L1534" i="2"/>
  <c r="N1534" i="2" s="1"/>
  <c r="L1538" i="2"/>
  <c r="M1538" i="2" s="1"/>
  <c r="N1538" i="2" s="1"/>
  <c r="L1551" i="2"/>
  <c r="L1556" i="2"/>
  <c r="M1556" i="2" s="1"/>
  <c r="N1556" i="2" s="1"/>
  <c r="L1627" i="2"/>
  <c r="N1627" i="2" s="1"/>
  <c r="L1644" i="2"/>
  <c r="N1644" i="2" s="1"/>
  <c r="L1653" i="2"/>
  <c r="N1653" i="2" s="1"/>
  <c r="L1658" i="2"/>
  <c r="L1870" i="2"/>
  <c r="L1994" i="2"/>
  <c r="N1994" i="2" s="1"/>
  <c r="L2002" i="2"/>
  <c r="L2044" i="2"/>
  <c r="M2044" i="2" s="1"/>
  <c r="N2044" i="2" s="1"/>
  <c r="L2048" i="2"/>
  <c r="M2048" i="2" s="1"/>
  <c r="N2048" i="2" s="1"/>
  <c r="L2056" i="2"/>
  <c r="N2056" i="2" s="1"/>
  <c r="L2076" i="2"/>
  <c r="M2076" i="2" s="1"/>
  <c r="N2076" i="2" s="1"/>
  <c r="L2080" i="2"/>
  <c r="M2080" i="2" s="1"/>
  <c r="N2080" i="2" s="1"/>
  <c r="L2096" i="2"/>
  <c r="L2130" i="2"/>
  <c r="M2130" i="2" s="1"/>
  <c r="N2130" i="2" s="1"/>
  <c r="L2136" i="2"/>
  <c r="M2136" i="2" s="1"/>
  <c r="N2136" i="2" s="1"/>
  <c r="L2140" i="2"/>
  <c r="M2140" i="2" s="1"/>
  <c r="N2140" i="2" s="1"/>
  <c r="L2367" i="2"/>
  <c r="N2367" i="2" s="1"/>
  <c r="L1272" i="2"/>
  <c r="M1272" i="2" s="1"/>
  <c r="N1272" i="2" s="1"/>
  <c r="L1276" i="2"/>
  <c r="M1276" i="2" s="1"/>
  <c r="L1281" i="2"/>
  <c r="M1281" i="2" s="1"/>
  <c r="N1281" i="2" s="1"/>
  <c r="L1286" i="2"/>
  <c r="L1291" i="2"/>
  <c r="N1291" i="2" s="1"/>
  <c r="L1297" i="2"/>
  <c r="M1297" i="2" s="1"/>
  <c r="L1311" i="2"/>
  <c r="M1311" i="2" s="1"/>
  <c r="N1311" i="2" s="1"/>
  <c r="L1315" i="2"/>
  <c r="L186" i="2"/>
  <c r="N186" i="2" s="1"/>
  <c r="L278" i="2"/>
  <c r="N278" i="2" s="1"/>
  <c r="L40" i="2"/>
  <c r="M40" i="2" s="1"/>
  <c r="N40" i="2" s="1"/>
  <c r="L171" i="2"/>
  <c r="L175" i="2"/>
  <c r="N175" i="2" s="1"/>
  <c r="L203" i="2"/>
  <c r="M203" i="2" s="1"/>
  <c r="N203" i="2" s="1"/>
  <c r="L207" i="2"/>
  <c r="N207" i="2" s="1"/>
  <c r="L211" i="2"/>
  <c r="N211" i="2" s="1"/>
  <c r="L216" i="2"/>
  <c r="M216" i="2" s="1"/>
  <c r="N216" i="2" s="1"/>
  <c r="L220" i="2"/>
  <c r="M220" i="2" s="1"/>
  <c r="N220" i="2" s="1"/>
  <c r="L224" i="2"/>
  <c r="N224" i="2" s="1"/>
  <c r="L228" i="2"/>
  <c r="M228" i="2" s="1"/>
  <c r="N228" i="2" s="1"/>
  <c r="L321" i="2"/>
  <c r="N321" i="2" s="1"/>
  <c r="L338" i="2"/>
  <c r="L550" i="2"/>
  <c r="M550" i="2" s="1"/>
  <c r="N550" i="2" s="1"/>
  <c r="L560" i="2"/>
  <c r="M560" i="2" s="1"/>
  <c r="L578" i="2"/>
  <c r="L592" i="2"/>
  <c r="L669" i="2"/>
  <c r="M669" i="2" s="1"/>
  <c r="N669" i="2" s="1"/>
  <c r="L685" i="2"/>
  <c r="N685" i="2" s="1"/>
  <c r="L929" i="2"/>
  <c r="L1036" i="2"/>
  <c r="L1065" i="2"/>
  <c r="M1065" i="2" s="1"/>
  <c r="N1065" i="2" s="1"/>
  <c r="L1147" i="2"/>
  <c r="M1147" i="2" s="1"/>
  <c r="N1147" i="2" s="1"/>
  <c r="L1152" i="2"/>
  <c r="M1152" i="2" s="1"/>
  <c r="L1171" i="2"/>
  <c r="N1171" i="2" s="1"/>
  <c r="L1183" i="2"/>
  <c r="L1326" i="2"/>
  <c r="N1326" i="2" s="1"/>
  <c r="L1380" i="2"/>
  <c r="M1380" i="2" s="1"/>
  <c r="N1380" i="2" s="1"/>
  <c r="L1391" i="2"/>
  <c r="M1391" i="2" s="1"/>
  <c r="N1391" i="2" s="1"/>
  <c r="L1912" i="2"/>
  <c r="L69" i="2"/>
  <c r="M69" i="2" s="1"/>
  <c r="N69" i="2" s="1"/>
  <c r="L236" i="2"/>
  <c r="L244" i="2"/>
  <c r="M244" i="2" s="1"/>
  <c r="N244" i="2" s="1"/>
  <c r="L505" i="2"/>
  <c r="L514" i="2"/>
  <c r="M514" i="2" s="1"/>
  <c r="N514" i="2" s="1"/>
  <c r="L653" i="2"/>
  <c r="N653" i="2" s="1"/>
  <c r="L1131" i="2"/>
  <c r="M1131" i="2" s="1"/>
  <c r="N1131" i="2" s="1"/>
  <c r="L1160" i="2"/>
  <c r="N1160" i="2" s="1"/>
  <c r="L363" i="2"/>
  <c r="M363" i="2" s="1"/>
  <c r="N363" i="2" s="1"/>
  <c r="L371" i="2"/>
  <c r="N371" i="2" s="1"/>
  <c r="L416" i="2"/>
  <c r="M416" i="2" s="1"/>
  <c r="N416" i="2" s="1"/>
  <c r="L690" i="2"/>
  <c r="M690" i="2" s="1"/>
  <c r="N690" i="2" s="1"/>
  <c r="L696" i="2"/>
  <c r="N696" i="2" s="1"/>
  <c r="L706" i="2"/>
  <c r="M706" i="2" s="1"/>
  <c r="N706" i="2" s="1"/>
  <c r="L710" i="2"/>
  <c r="M710" i="2" s="1"/>
  <c r="N710" i="2" s="1"/>
  <c r="L726" i="2"/>
  <c r="L737" i="2"/>
  <c r="M737" i="2" s="1"/>
  <c r="N737" i="2" s="1"/>
  <c r="L742" i="2"/>
  <c r="M742" i="2" s="1"/>
  <c r="N742" i="2" s="1"/>
  <c r="L765" i="2"/>
  <c r="L1112" i="2"/>
  <c r="M1112" i="2" s="1"/>
  <c r="N1112" i="2" s="1"/>
  <c r="L1123" i="2"/>
  <c r="M1123" i="2" s="1"/>
  <c r="L1274" i="2"/>
  <c r="N1274" i="2" s="1"/>
  <c r="L1554" i="2"/>
  <c r="L298" i="2"/>
  <c r="N298" i="2" s="1"/>
  <c r="L332" i="2"/>
  <c r="L340" i="2"/>
  <c r="M340" i="2" s="1"/>
  <c r="N340" i="2" s="1"/>
  <c r="L633" i="2"/>
  <c r="L902" i="2"/>
  <c r="M902" i="2" s="1"/>
  <c r="L906" i="2"/>
  <c r="M906" i="2" s="1"/>
  <c r="L931" i="2"/>
  <c r="L959" i="2"/>
  <c r="M959" i="2" s="1"/>
  <c r="L14" i="2"/>
  <c r="M14" i="2" s="1"/>
  <c r="N14" i="2" s="1"/>
  <c r="L116" i="2"/>
  <c r="M116" i="2" s="1"/>
  <c r="L124" i="2"/>
  <c r="N124" i="2" s="1"/>
  <c r="L128" i="2"/>
  <c r="M128" i="2" s="1"/>
  <c r="N128" i="2" s="1"/>
  <c r="L141" i="2"/>
  <c r="L151" i="2"/>
  <c r="N151" i="2" s="1"/>
  <c r="L158" i="2"/>
  <c r="N158" i="2" s="1"/>
  <c r="L209" i="2"/>
  <c r="N209" i="2" s="1"/>
  <c r="L226" i="2"/>
  <c r="L242" i="2"/>
  <c r="N242" i="2" s="1"/>
  <c r="L295" i="2"/>
  <c r="M295" i="2" s="1"/>
  <c r="N295" i="2" s="1"/>
  <c r="L304" i="2"/>
  <c r="N304" i="2" s="1"/>
  <c r="L316" i="2"/>
  <c r="N316" i="2" s="1"/>
  <c r="L329" i="2"/>
  <c r="N329" i="2" s="1"/>
  <c r="L333" i="2"/>
  <c r="N333" i="2" s="1"/>
  <c r="L337" i="2"/>
  <c r="N337" i="2" s="1"/>
  <c r="L460" i="2"/>
  <c r="L465" i="2"/>
  <c r="M465" i="2" s="1"/>
  <c r="N465" i="2" s="1"/>
  <c r="L469" i="2"/>
  <c r="M469" i="2" s="1"/>
  <c r="N469" i="2" s="1"/>
  <c r="L473" i="2"/>
  <c r="N473" i="2" s="1"/>
  <c r="L586" i="2"/>
  <c r="M586" i="2" s="1"/>
  <c r="N586" i="2" s="1"/>
  <c r="L943" i="2"/>
  <c r="N943" i="2" s="1"/>
  <c r="L947" i="2"/>
  <c r="L963" i="2"/>
  <c r="M963" i="2" s="1"/>
  <c r="N963" i="2" s="1"/>
  <c r="L967" i="2"/>
  <c r="M967" i="2" s="1"/>
  <c r="N967" i="2" s="1"/>
  <c r="L997" i="2"/>
  <c r="L1077" i="2"/>
  <c r="M1077" i="2" s="1"/>
  <c r="N1077" i="2" s="1"/>
  <c r="L1133" i="2"/>
  <c r="N1133" i="2" s="1"/>
  <c r="L1150" i="2"/>
  <c r="M1150" i="2" s="1"/>
  <c r="N1150" i="2" s="1"/>
  <c r="L1382" i="2"/>
  <c r="N1382" i="2" s="1"/>
  <c r="L1586" i="2"/>
  <c r="N1586" i="2" s="1"/>
  <c r="L1590" i="2"/>
  <c r="M1590" i="2" s="1"/>
  <c r="N1590" i="2" s="1"/>
  <c r="L1602" i="2"/>
  <c r="M1602" i="2" s="1"/>
  <c r="L1631" i="2"/>
  <c r="M1631" i="2" s="1"/>
  <c r="N1631" i="2" s="1"/>
  <c r="L1666" i="2"/>
  <c r="N1666" i="2" s="1"/>
  <c r="L1718" i="2"/>
  <c r="L1726" i="2"/>
  <c r="L1734" i="2"/>
  <c r="L1738" i="2"/>
  <c r="L1751" i="2"/>
  <c r="N1751" i="2" s="1"/>
  <c r="L1786" i="2"/>
  <c r="N1786" i="2" s="1"/>
  <c r="L1833" i="2"/>
  <c r="M1833" i="2" s="1"/>
  <c r="N1833" i="2" s="1"/>
  <c r="L1856" i="2"/>
  <c r="N1856" i="2" s="1"/>
  <c r="L1868" i="2"/>
  <c r="N1868" i="2" s="1"/>
  <c r="L1876" i="2"/>
  <c r="N1876" i="2" s="1"/>
  <c r="L1888" i="2"/>
  <c r="N1888" i="2" s="1"/>
  <c r="L1892" i="2"/>
  <c r="N1892" i="2" s="1"/>
  <c r="L1896" i="2"/>
  <c r="N1896" i="2" s="1"/>
  <c r="L1900" i="2"/>
  <c r="M1900" i="2" s="1"/>
  <c r="L1908" i="2"/>
  <c r="N1908" i="2" s="1"/>
  <c r="L2018" i="2"/>
  <c r="N2018" i="2" s="1"/>
  <c r="L2164" i="2"/>
  <c r="M2164" i="2" s="1"/>
  <c r="N2164" i="2" s="1"/>
  <c r="L2173" i="2"/>
  <c r="L2177" i="2"/>
  <c r="M2177" i="2" s="1"/>
  <c r="N2177" i="2" s="1"/>
  <c r="L2278" i="2"/>
  <c r="M2278" i="2" s="1"/>
  <c r="N2278" i="2" s="1"/>
  <c r="L2286" i="2"/>
  <c r="M2286" i="2" s="1"/>
  <c r="L2433" i="2"/>
  <c r="N2433" i="2" s="1"/>
  <c r="L484" i="2"/>
  <c r="N484" i="2" s="1"/>
  <c r="L493" i="2"/>
  <c r="M493" i="2" s="1"/>
  <c r="N493" i="2" s="1"/>
  <c r="L644" i="2"/>
  <c r="N644" i="2" s="1"/>
  <c r="L795" i="2"/>
  <c r="M795" i="2" s="1"/>
  <c r="N795" i="2" s="1"/>
  <c r="L799" i="2"/>
  <c r="M799" i="2" s="1"/>
  <c r="L834" i="2"/>
  <c r="M834" i="2" s="1"/>
  <c r="N834" i="2" s="1"/>
  <c r="L970" i="2"/>
  <c r="M970" i="2" s="1"/>
  <c r="N970" i="2" s="1"/>
  <c r="L1075" i="2"/>
  <c r="M1075" i="2" s="1"/>
  <c r="N1075" i="2" s="1"/>
  <c r="L1121" i="2"/>
  <c r="M1121" i="2" s="1"/>
  <c r="N1121" i="2" s="1"/>
  <c r="L1540" i="2"/>
  <c r="M1540" i="2" s="1"/>
  <c r="N1540" i="2" s="1"/>
  <c r="L1670" i="2"/>
  <c r="N1670" i="2" s="1"/>
  <c r="L1675" i="2"/>
  <c r="M1675" i="2" s="1"/>
  <c r="N1675" i="2" s="1"/>
  <c r="L1695" i="2"/>
  <c r="M1695" i="2" s="1"/>
  <c r="N1695" i="2" s="1"/>
  <c r="L1699" i="2"/>
  <c r="M1699" i="2" s="1"/>
  <c r="N1699" i="2" s="1"/>
  <c r="L1707" i="2"/>
  <c r="M1707" i="2" s="1"/>
  <c r="N1707" i="2" s="1"/>
  <c r="L2032" i="2"/>
  <c r="L2084" i="2"/>
  <c r="M2084" i="2" s="1"/>
  <c r="L2102" i="2"/>
  <c r="M2102" i="2" s="1"/>
  <c r="N2102" i="2" s="1"/>
  <c r="L2204" i="2"/>
  <c r="M2204" i="2" s="1"/>
  <c r="N2204" i="2" s="1"/>
  <c r="L2219" i="2"/>
  <c r="M2219" i="2" s="1"/>
  <c r="N2219" i="2" s="1"/>
  <c r="L2302" i="2"/>
  <c r="L376" i="2"/>
  <c r="N376" i="2" s="1"/>
  <c r="L387" i="2"/>
  <c r="N387" i="2" s="1"/>
  <c r="L396" i="2"/>
  <c r="M396" i="2" s="1"/>
  <c r="N396" i="2" s="1"/>
  <c r="L447" i="2"/>
  <c r="N447" i="2" s="1"/>
  <c r="L480" i="2"/>
  <c r="N480" i="2" s="1"/>
  <c r="L593" i="2"/>
  <c r="N593" i="2" s="1"/>
  <c r="L602" i="2"/>
  <c r="M602" i="2" s="1"/>
  <c r="L656" i="2"/>
  <c r="M656" i="2" s="1"/>
  <c r="N656" i="2" s="1"/>
  <c r="L661" i="2"/>
  <c r="M661" i="2" s="1"/>
  <c r="L672" i="2"/>
  <c r="L676" i="2"/>
  <c r="M676" i="2" s="1"/>
  <c r="L697" i="2"/>
  <c r="M697" i="2" s="1"/>
  <c r="N697" i="2" s="1"/>
  <c r="L711" i="2"/>
  <c r="L808" i="2"/>
  <c r="L812" i="2"/>
  <c r="L816" i="2"/>
  <c r="N816" i="2" s="1"/>
  <c r="L820" i="2"/>
  <c r="L829" i="2"/>
  <c r="N829" i="2" s="1"/>
  <c r="L835" i="2"/>
  <c r="N835" i="2" s="1"/>
  <c r="L839" i="2"/>
  <c r="M839" i="2" s="1"/>
  <c r="N839" i="2" s="1"/>
  <c r="L855" i="2"/>
  <c r="L864" i="2"/>
  <c r="L869" i="2"/>
  <c r="N869" i="2" s="1"/>
  <c r="L897" i="2"/>
  <c r="M897" i="2" s="1"/>
  <c r="N897" i="2" s="1"/>
  <c r="L905" i="2"/>
  <c r="M905" i="2" s="1"/>
  <c r="N905" i="2" s="1"/>
  <c r="L1020" i="2"/>
  <c r="N1020" i="2" s="1"/>
  <c r="L1027" i="2"/>
  <c r="N1027" i="2" s="1"/>
  <c r="L1055" i="2"/>
  <c r="M1055" i="2" s="1"/>
  <c r="N1055" i="2" s="1"/>
  <c r="L1080" i="2"/>
  <c r="N1080" i="2" s="1"/>
  <c r="L1101" i="2"/>
  <c r="L1159" i="2"/>
  <c r="M1159" i="2" s="1"/>
  <c r="N1159" i="2" s="1"/>
  <c r="L1251" i="2"/>
  <c r="L1306" i="2"/>
  <c r="N1306" i="2" s="1"/>
  <c r="L1318" i="2"/>
  <c r="M1318" i="2" s="1"/>
  <c r="N1318" i="2" s="1"/>
  <c r="L1350" i="2"/>
  <c r="N1350" i="2" s="1"/>
  <c r="L1366" i="2"/>
  <c r="L1370" i="2"/>
  <c r="N1370" i="2" s="1"/>
  <c r="L1396" i="2"/>
  <c r="M1396" i="2" s="1"/>
  <c r="N1396" i="2" s="1"/>
  <c r="L1409" i="2"/>
  <c r="M1409" i="2" s="1"/>
  <c r="N1409" i="2" s="1"/>
  <c r="L1434" i="2"/>
  <c r="M1434" i="2" s="1"/>
  <c r="N1434" i="2" s="1"/>
  <c r="L1465" i="2"/>
  <c r="M1465" i="2" s="1"/>
  <c r="N1465" i="2" s="1"/>
  <c r="L1473" i="2"/>
  <c r="M1473" i="2" s="1"/>
  <c r="N1473" i="2" s="1"/>
  <c r="L1504" i="2"/>
  <c r="N1504" i="2" s="1"/>
  <c r="L1512" i="2"/>
  <c r="M1512" i="2" s="1"/>
  <c r="N1512" i="2" s="1"/>
  <c r="L1520" i="2"/>
  <c r="M1520" i="2" s="1"/>
  <c r="N1520" i="2" s="1"/>
  <c r="L1533" i="2"/>
  <c r="N1533" i="2" s="1"/>
  <c r="L1629" i="2"/>
  <c r="M1629" i="2" s="1"/>
  <c r="N1629" i="2" s="1"/>
  <c r="L1795" i="2"/>
  <c r="M1795" i="2" s="1"/>
  <c r="N1795" i="2" s="1"/>
  <c r="L1801" i="2"/>
  <c r="M1801" i="2" s="1"/>
  <c r="N1801" i="2" s="1"/>
  <c r="L1805" i="2"/>
  <c r="N1805" i="2" s="1"/>
  <c r="L1869" i="2"/>
  <c r="L1913" i="2"/>
  <c r="N1913" i="2" s="1"/>
  <c r="L1936" i="2"/>
  <c r="L1940" i="2"/>
  <c r="L1944" i="2"/>
  <c r="N1944" i="2" s="1"/>
  <c r="L2008" i="2"/>
  <c r="M2008" i="2" s="1"/>
  <c r="N2008" i="2" s="1"/>
  <c r="L2012" i="2"/>
  <c r="L2037" i="2"/>
  <c r="L2049" i="2"/>
  <c r="L2053" i="2"/>
  <c r="M2053" i="2" s="1"/>
  <c r="N2053" i="2" s="1"/>
  <c r="L2077" i="2"/>
  <c r="M2077" i="2" s="1"/>
  <c r="N2077" i="2" s="1"/>
  <c r="L2131" i="2"/>
  <c r="M2131" i="2" s="1"/>
  <c r="N2131" i="2" s="1"/>
  <c r="L2237" i="2"/>
  <c r="M2237" i="2" s="1"/>
  <c r="N2237" i="2" s="1"/>
  <c r="L2255" i="2"/>
  <c r="M2255" i="2" s="1"/>
  <c r="N2255" i="2" s="1"/>
  <c r="L2260" i="2"/>
  <c r="M2260" i="2" s="1"/>
  <c r="N2260" i="2" s="1"/>
  <c r="L2265" i="2"/>
  <c r="M2265" i="2" s="1"/>
  <c r="N2265" i="2" s="1"/>
  <c r="L2339" i="2"/>
  <c r="N2339" i="2" s="1"/>
  <c r="L2343" i="2"/>
  <c r="N2343" i="2" s="1"/>
  <c r="L2351" i="2"/>
  <c r="N2351" i="2" s="1"/>
  <c r="L2375" i="2"/>
  <c r="N2375" i="2" s="1"/>
  <c r="L2383" i="2"/>
  <c r="N2383" i="2" s="1"/>
  <c r="L2386" i="2"/>
  <c r="N2386" i="2" s="1"/>
  <c r="L2434" i="2"/>
  <c r="L2471" i="2"/>
  <c r="M2471" i="2" s="1"/>
  <c r="N2471" i="2" s="1"/>
  <c r="L2478" i="2"/>
  <c r="M2478" i="2" s="1"/>
  <c r="N2478" i="2" s="1"/>
  <c r="L1762" i="2"/>
  <c r="M1762" i="2" s="1"/>
  <c r="N1762" i="2" s="1"/>
  <c r="L1770" i="2"/>
  <c r="L1774" i="2"/>
  <c r="M1774" i="2" s="1"/>
  <c r="N1774" i="2" s="1"/>
  <c r="L1784" i="2"/>
  <c r="M1784" i="2" s="1"/>
  <c r="N1784" i="2" s="1"/>
  <c r="L1910" i="2"/>
  <c r="L2162" i="2"/>
  <c r="L2336" i="2"/>
  <c r="N2336" i="2" s="1"/>
  <c r="L1319" i="2"/>
  <c r="L1375" i="2"/>
  <c r="M1375" i="2" s="1"/>
  <c r="N1375" i="2" s="1"/>
  <c r="L1575" i="2"/>
  <c r="M1575" i="2" s="1"/>
  <c r="N1575" i="2" s="1"/>
  <c r="L1613" i="2"/>
  <c r="N1613" i="2" s="1"/>
  <c r="L1622" i="2"/>
  <c r="M1622" i="2" s="1"/>
  <c r="N1622" i="2" s="1"/>
  <c r="L1796" i="2"/>
  <c r="N1796" i="2" s="1"/>
  <c r="L1847" i="2"/>
  <c r="L1949" i="2"/>
  <c r="L2070" i="2"/>
  <c r="L2086" i="2"/>
  <c r="M2086" i="2" s="1"/>
  <c r="N2086" i="2" s="1"/>
  <c r="L2119" i="2"/>
  <c r="L2202" i="2"/>
  <c r="M2202" i="2" s="1"/>
  <c r="N2202" i="2" s="1"/>
  <c r="L2222" i="2"/>
  <c r="M2222" i="2" s="1"/>
  <c r="L2273" i="2"/>
  <c r="M2273" i="2" s="1"/>
  <c r="N2273" i="2" s="1"/>
  <c r="L2321" i="2"/>
  <c r="M2321" i="2" s="1"/>
  <c r="L2360" i="2"/>
  <c r="N2360" i="2" s="1"/>
  <c r="L2376" i="2"/>
  <c r="N2376" i="2" s="1"/>
  <c r="L474" i="2"/>
  <c r="N474" i="2" s="1"/>
  <c r="L487" i="2"/>
  <c r="N487" i="2" s="1"/>
  <c r="L491" i="2"/>
  <c r="L504" i="2"/>
  <c r="L513" i="2"/>
  <c r="N513" i="2" s="1"/>
  <c r="L521" i="2"/>
  <c r="N521" i="2" s="1"/>
  <c r="L530" i="2"/>
  <c r="M530" i="2" s="1"/>
  <c r="N530" i="2" s="1"/>
  <c r="L537" i="2"/>
  <c r="M537" i="2" s="1"/>
  <c r="N537" i="2" s="1"/>
  <c r="L617" i="2"/>
  <c r="M617" i="2" s="1"/>
  <c r="N617" i="2" s="1"/>
  <c r="L629" i="2"/>
  <c r="L634" i="2"/>
  <c r="M634" i="2" s="1"/>
  <c r="L670" i="2"/>
  <c r="M670" i="2" s="1"/>
  <c r="N670" i="2" s="1"/>
  <c r="L758" i="2"/>
  <c r="L764" i="2"/>
  <c r="M764" i="2" s="1"/>
  <c r="N764" i="2" s="1"/>
  <c r="L770" i="2"/>
  <c r="N770" i="2" s="1"/>
  <c r="L790" i="2"/>
  <c r="M790" i="2" s="1"/>
  <c r="N790" i="2" s="1"/>
  <c r="L794" i="2"/>
  <c r="L802" i="2"/>
  <c r="N802" i="2" s="1"/>
  <c r="L845" i="2"/>
  <c r="M845" i="2" s="1"/>
  <c r="N845" i="2" s="1"/>
  <c r="L879" i="2"/>
  <c r="M879" i="2" s="1"/>
  <c r="N879" i="2" s="1"/>
  <c r="L913" i="2"/>
  <c r="M913" i="2" s="1"/>
  <c r="N913" i="2" s="1"/>
  <c r="L921" i="2"/>
  <c r="L1098" i="2"/>
  <c r="L1120" i="2"/>
  <c r="M1120" i="2" s="1"/>
  <c r="N1120" i="2" s="1"/>
  <c r="L1176" i="2"/>
  <c r="N1176" i="2" s="1"/>
  <c r="L1180" i="2"/>
  <c r="L1316" i="2"/>
  <c r="N1316" i="2" s="1"/>
  <c r="L1432" i="2"/>
  <c r="M1432" i="2" s="1"/>
  <c r="N1432" i="2" s="1"/>
  <c r="L1471" i="2"/>
  <c r="M1471" i="2" s="1"/>
  <c r="N1471" i="2" s="1"/>
  <c r="L1522" i="2"/>
  <c r="M1522" i="2" s="1"/>
  <c r="N1522" i="2" s="1"/>
  <c r="L1531" i="2"/>
  <c r="M1531" i="2" s="1"/>
  <c r="N1531" i="2" s="1"/>
  <c r="L1582" i="2"/>
  <c r="M1582" i="2" s="1"/>
  <c r="N1582" i="2" s="1"/>
  <c r="L1597" i="2"/>
  <c r="M1597" i="2" s="1"/>
  <c r="N1597" i="2" s="1"/>
  <c r="L1614" i="2"/>
  <c r="N1614" i="2" s="1"/>
  <c r="L1638" i="2"/>
  <c r="M1638" i="2" s="1"/>
  <c r="N1638" i="2" s="1"/>
  <c r="L1647" i="2"/>
  <c r="M1647" i="2" s="1"/>
  <c r="N1647" i="2" s="1"/>
  <c r="L1657" i="2"/>
  <c r="L1771" i="2"/>
  <c r="L1797" i="2"/>
  <c r="L1803" i="2"/>
  <c r="M1803" i="2" s="1"/>
  <c r="N1803" i="2" s="1"/>
  <c r="L1811" i="2"/>
  <c r="L1817" i="2"/>
  <c r="M1817" i="2" s="1"/>
  <c r="N1817" i="2" s="1"/>
  <c r="L1821" i="2"/>
  <c r="L1867" i="2"/>
  <c r="N1867" i="2" s="1"/>
  <c r="L1891" i="2"/>
  <c r="N1891" i="2" s="1"/>
  <c r="L1919" i="2"/>
  <c r="L1934" i="2"/>
  <c r="L2035" i="2"/>
  <c r="L2039" i="2"/>
  <c r="N2039" i="2" s="1"/>
  <c r="L2047" i="2"/>
  <c r="N2047" i="2" s="1"/>
  <c r="L2051" i="2"/>
  <c r="N2051" i="2" s="1"/>
  <c r="L2055" i="2"/>
  <c r="M2055" i="2" s="1"/>
  <c r="N2055" i="2" s="1"/>
  <c r="L2095" i="2"/>
  <c r="N2095" i="2" s="1"/>
  <c r="L2158" i="2"/>
  <c r="M2158" i="2" s="1"/>
  <c r="N2158" i="2" s="1"/>
  <c r="L2176" i="2"/>
  <c r="M2176" i="2" s="1"/>
  <c r="N2176" i="2" s="1"/>
  <c r="L2239" i="2"/>
  <c r="M2239" i="2" s="1"/>
  <c r="N2239" i="2" s="1"/>
  <c r="L2369" i="2"/>
  <c r="N2369" i="2" s="1"/>
  <c r="L2373" i="2"/>
  <c r="N2373" i="2" s="1"/>
  <c r="L2381" i="2"/>
  <c r="N2381" i="2" s="1"/>
  <c r="L2392" i="2"/>
  <c r="N2392" i="2" s="1"/>
  <c r="L2400" i="2"/>
  <c r="N2400" i="2" s="1"/>
  <c r="L2408" i="2"/>
  <c r="N2408" i="2" s="1"/>
  <c r="L2412" i="2"/>
  <c r="N2412" i="2" s="1"/>
  <c r="L2417" i="2"/>
  <c r="N2417" i="2" s="1"/>
  <c r="L2437" i="2"/>
  <c r="M2437" i="2" s="1"/>
  <c r="N2437" i="2" s="1"/>
  <c r="L2442" i="2"/>
  <c r="N2442" i="2" s="1"/>
  <c r="L23" i="2"/>
  <c r="M23" i="2" s="1"/>
  <c r="N23" i="2" s="1"/>
  <c r="L93" i="2"/>
  <c r="M93" i="2" s="1"/>
  <c r="L97" i="2"/>
  <c r="L122" i="2"/>
  <c r="M122" i="2" s="1"/>
  <c r="N122" i="2" s="1"/>
  <c r="L135" i="2"/>
  <c r="M135" i="2" s="1"/>
  <c r="N135" i="2" s="1"/>
  <c r="L139" i="2"/>
  <c r="N139" i="2" s="1"/>
  <c r="L185" i="2"/>
  <c r="N185" i="2" s="1"/>
  <c r="L197" i="2"/>
  <c r="N197" i="2" s="1"/>
  <c r="L201" i="2"/>
  <c r="N201" i="2" s="1"/>
  <c r="L213" i="2"/>
  <c r="L218" i="2"/>
  <c r="M218" i="2" s="1"/>
  <c r="N218" i="2" s="1"/>
  <c r="L230" i="2"/>
  <c r="M230" i="2" s="1"/>
  <c r="L234" i="2"/>
  <c r="N234" i="2" s="1"/>
  <c r="L287" i="2"/>
  <c r="N287" i="2" s="1"/>
  <c r="L296" i="2"/>
  <c r="N296" i="2" s="1"/>
  <c r="L305" i="2"/>
  <c r="N305" i="2" s="1"/>
  <c r="L353" i="2"/>
  <c r="N353" i="2" s="1"/>
  <c r="L356" i="2"/>
  <c r="N356" i="2" s="1"/>
  <c r="L364" i="2"/>
  <c r="N364" i="2" s="1"/>
  <c r="L372" i="2"/>
  <c r="N372" i="2" s="1"/>
  <c r="L420" i="2"/>
  <c r="N420" i="2" s="1"/>
  <c r="L424" i="2"/>
  <c r="N424" i="2" s="1"/>
  <c r="L485" i="2"/>
  <c r="M485" i="2" s="1"/>
  <c r="N485" i="2" s="1"/>
  <c r="L494" i="2"/>
  <c r="L510" i="2"/>
  <c r="L568" i="2"/>
  <c r="N568" i="2" s="1"/>
  <c r="L702" i="2"/>
  <c r="M702" i="2" s="1"/>
  <c r="N702" i="2" s="1"/>
  <c r="L707" i="2"/>
  <c r="M707" i="2" s="1"/>
  <c r="N707" i="2" s="1"/>
  <c r="L718" i="2"/>
  <c r="M718" i="2" s="1"/>
  <c r="N718" i="2" s="1"/>
  <c r="L723" i="2"/>
  <c r="L738" i="2"/>
  <c r="L747" i="2"/>
  <c r="M747" i="2" s="1"/>
  <c r="N747" i="2" s="1"/>
  <c r="L755" i="2"/>
  <c r="M755" i="2" s="1"/>
  <c r="N755" i="2" s="1"/>
  <c r="L953" i="2"/>
  <c r="L958" i="2"/>
  <c r="L976" i="2"/>
  <c r="M976" i="2" s="1"/>
  <c r="N976" i="2" s="1"/>
  <c r="L980" i="2"/>
  <c r="M980" i="2" s="1"/>
  <c r="N980" i="2" s="1"/>
  <c r="L1119" i="2"/>
  <c r="M1119" i="2" s="1"/>
  <c r="N1119" i="2" s="1"/>
  <c r="L20" i="2"/>
  <c r="M20" i="2" s="1"/>
  <c r="N20" i="2" s="1"/>
  <c r="L35" i="2"/>
  <c r="M35" i="2" s="1"/>
  <c r="N35" i="2" s="1"/>
  <c r="L111" i="2"/>
  <c r="M111" i="2" s="1"/>
  <c r="N111" i="2" s="1"/>
  <c r="L144" i="2"/>
  <c r="L149" i="2"/>
  <c r="M149" i="2" s="1"/>
  <c r="N149" i="2" s="1"/>
  <c r="L178" i="2"/>
  <c r="N178" i="2" s="1"/>
  <c r="L190" i="2"/>
  <c r="N190" i="2" s="1"/>
  <c r="L253" i="2"/>
  <c r="M253" i="2" s="1"/>
  <c r="L256" i="2"/>
  <c r="L293" i="2"/>
  <c r="N293" i="2" s="1"/>
  <c r="L330" i="2"/>
  <c r="M330" i="2" s="1"/>
  <c r="N330" i="2" s="1"/>
  <c r="L357" i="2"/>
  <c r="M357" i="2" s="1"/>
  <c r="N357" i="2" s="1"/>
  <c r="L365" i="2"/>
  <c r="N365" i="2" s="1"/>
  <c r="L373" i="2"/>
  <c r="M373" i="2" s="1"/>
  <c r="N373" i="2" s="1"/>
  <c r="L512" i="2"/>
  <c r="M512" i="2" s="1"/>
  <c r="N512" i="2" s="1"/>
  <c r="L632" i="2"/>
  <c r="N632" i="2" s="1"/>
  <c r="L636" i="2"/>
  <c r="N636" i="2" s="1"/>
  <c r="L946" i="2"/>
  <c r="M946" i="2" s="1"/>
  <c r="N946" i="2" s="1"/>
  <c r="L950" i="2"/>
  <c r="M950" i="2" s="1"/>
  <c r="N950" i="2" s="1"/>
  <c r="L1078" i="2"/>
  <c r="M1078" i="2" s="1"/>
  <c r="N1078" i="2" s="1"/>
  <c r="L1087" i="2"/>
  <c r="M1087" i="2" s="1"/>
  <c r="N1087" i="2" s="1"/>
  <c r="L1104" i="2"/>
  <c r="L1109" i="2"/>
  <c r="N1109" i="2" s="1"/>
  <c r="L17" i="2"/>
  <c r="M17" i="2" s="1"/>
  <c r="N17" i="2" s="1"/>
  <c r="L21" i="2"/>
  <c r="M21" i="2" s="1"/>
  <c r="L49" i="2"/>
  <c r="M49" i="2" s="1"/>
  <c r="L54" i="2"/>
  <c r="M54" i="2" s="1"/>
  <c r="N54" i="2" s="1"/>
  <c r="L58" i="2"/>
  <c r="M58" i="2" s="1"/>
  <c r="L81" i="2"/>
  <c r="M81" i="2" s="1"/>
  <c r="N81" i="2" s="1"/>
  <c r="L86" i="2"/>
  <c r="M86" i="2" s="1"/>
  <c r="N86" i="2" s="1"/>
  <c r="L108" i="2"/>
  <c r="N108" i="2" s="1"/>
  <c r="L112" i="2"/>
  <c r="N112" i="2" s="1"/>
  <c r="L123" i="2"/>
  <c r="M123" i="2" s="1"/>
  <c r="N123" i="2" s="1"/>
  <c r="L150" i="2"/>
  <c r="M150" i="2" s="1"/>
  <c r="N150" i="2" s="1"/>
  <c r="L157" i="2"/>
  <c r="M157" i="2" s="1"/>
  <c r="N157" i="2" s="1"/>
  <c r="L161" i="2"/>
  <c r="N161" i="2" s="1"/>
  <c r="L179" i="2"/>
  <c r="N179" i="2" s="1"/>
  <c r="L183" i="2"/>
  <c r="M183" i="2" s="1"/>
  <c r="N183" i="2" s="1"/>
  <c r="L191" i="2"/>
  <c r="N191" i="2" s="1"/>
  <c r="L202" i="2"/>
  <c r="L219" i="2"/>
  <c r="L257" i="2"/>
  <c r="N257" i="2" s="1"/>
  <c r="L272" i="2"/>
  <c r="N272" i="2" s="1"/>
  <c r="L290" i="2"/>
  <c r="M290" i="2" s="1"/>
  <c r="N290" i="2" s="1"/>
  <c r="L294" i="2"/>
  <c r="N294" i="2" s="1"/>
  <c r="L303" i="2"/>
  <c r="N303" i="2" s="1"/>
  <c r="L307" i="2"/>
  <c r="N307" i="2" s="1"/>
  <c r="L346" i="2"/>
  <c r="M346" i="2" s="1"/>
  <c r="N346" i="2" s="1"/>
  <c r="L362" i="2"/>
  <c r="M362" i="2" s="1"/>
  <c r="N362" i="2" s="1"/>
  <c r="L374" i="2"/>
  <c r="M374" i="2" s="1"/>
  <c r="N374" i="2" s="1"/>
  <c r="L381" i="2"/>
  <c r="N381" i="2" s="1"/>
  <c r="L385" i="2"/>
  <c r="M385" i="2" s="1"/>
  <c r="N385" i="2" s="1"/>
  <c r="L393" i="2"/>
  <c r="N393" i="2" s="1"/>
  <c r="L397" i="2"/>
  <c r="N397" i="2" s="1"/>
  <c r="L454" i="2"/>
  <c r="L495" i="2"/>
  <c r="N495" i="2" s="1"/>
  <c r="L524" i="2"/>
  <c r="N524" i="2" s="1"/>
  <c r="L547" i="2"/>
  <c r="M547" i="2" s="1"/>
  <c r="N547" i="2" s="1"/>
  <c r="L557" i="2"/>
  <c r="M557" i="2" s="1"/>
  <c r="N557" i="2" s="1"/>
  <c r="L584" i="2"/>
  <c r="M584" i="2" s="1"/>
  <c r="N584" i="2" s="1"/>
  <c r="L588" i="2"/>
  <c r="M588" i="2" s="1"/>
  <c r="N588" i="2" s="1"/>
  <c r="L614" i="2"/>
  <c r="M614" i="2" s="1"/>
  <c r="N614" i="2" s="1"/>
  <c r="L682" i="2"/>
  <c r="N682" i="2" s="1"/>
  <c r="L686" i="2"/>
  <c r="M686" i="2" s="1"/>
  <c r="N686" i="2" s="1"/>
  <c r="L890" i="2"/>
  <c r="M890" i="2" s="1"/>
  <c r="N890" i="2" s="1"/>
  <c r="L911" i="2"/>
  <c r="L916" i="2"/>
  <c r="L1042" i="2"/>
  <c r="L1050" i="2"/>
  <c r="M1050" i="2" s="1"/>
  <c r="N1050" i="2" s="1"/>
  <c r="L1070" i="2"/>
  <c r="M1070" i="2" s="1"/>
  <c r="N1070" i="2" s="1"/>
  <c r="L1084" i="2"/>
  <c r="M1084" i="2" s="1"/>
  <c r="L1231" i="2"/>
  <c r="M1231" i="2" s="1"/>
  <c r="N1231" i="2" s="1"/>
  <c r="L18" i="2"/>
  <c r="M18" i="2" s="1"/>
  <c r="L22" i="2"/>
  <c r="M22" i="2" s="1"/>
  <c r="N22" i="2" s="1"/>
  <c r="L50" i="2"/>
  <c r="M50" i="2" s="1"/>
  <c r="N50" i="2" s="1"/>
  <c r="L82" i="2"/>
  <c r="L87" i="2"/>
  <c r="M87" i="2" s="1"/>
  <c r="N87" i="2" s="1"/>
  <c r="L109" i="2"/>
  <c r="N109" i="2" s="1"/>
  <c r="L192" i="2"/>
  <c r="N192" i="2" s="1"/>
  <c r="L328" i="2"/>
  <c r="N328" i="2" s="1"/>
  <c r="L336" i="2"/>
  <c r="M336" i="2" s="1"/>
  <c r="N336" i="2" s="1"/>
  <c r="L339" i="2"/>
  <c r="N339" i="2" s="1"/>
  <c r="L359" i="2"/>
  <c r="N359" i="2" s="1"/>
  <c r="L382" i="2"/>
  <c r="N382" i="2" s="1"/>
  <c r="L435" i="2"/>
  <c r="N435" i="2" s="1"/>
  <c r="L475" i="2"/>
  <c r="M475" i="2" s="1"/>
  <c r="N475" i="2" s="1"/>
  <c r="L483" i="2"/>
  <c r="N483" i="2" s="1"/>
  <c r="L501" i="2"/>
  <c r="L548" i="2"/>
  <c r="N548" i="2" s="1"/>
  <c r="L585" i="2"/>
  <c r="M585" i="2" s="1"/>
  <c r="N585" i="2" s="1"/>
  <c r="L641" i="2"/>
  <c r="L837" i="2"/>
  <c r="M837" i="2" s="1"/>
  <c r="L857" i="2"/>
  <c r="N857" i="2" s="1"/>
  <c r="L34" i="2"/>
  <c r="M34" i="2" s="1"/>
  <c r="L64" i="2"/>
  <c r="M64" i="2" s="1"/>
  <c r="N64" i="2" s="1"/>
  <c r="L106" i="2"/>
  <c r="N106" i="2" s="1"/>
  <c r="L117" i="2"/>
  <c r="M117" i="2" s="1"/>
  <c r="N117" i="2" s="1"/>
  <c r="L129" i="2"/>
  <c r="M129" i="2" s="1"/>
  <c r="N129" i="2" s="1"/>
  <c r="L173" i="2"/>
  <c r="M173" i="2" s="1"/>
  <c r="N173" i="2" s="1"/>
  <c r="L196" i="2"/>
  <c r="L200" i="2"/>
  <c r="N200" i="2" s="1"/>
  <c r="L217" i="2"/>
  <c r="N217" i="2" s="1"/>
  <c r="L225" i="2"/>
  <c r="N225" i="2" s="1"/>
  <c r="L229" i="2"/>
  <c r="N229" i="2" s="1"/>
  <c r="L233" i="2"/>
  <c r="M233" i="2" s="1"/>
  <c r="N233" i="2" s="1"/>
  <c r="L266" i="2"/>
  <c r="L270" i="2"/>
  <c r="M270" i="2" s="1"/>
  <c r="N270" i="2" s="1"/>
  <c r="L274" i="2"/>
  <c r="M274" i="2" s="1"/>
  <c r="N274" i="2" s="1"/>
  <c r="L344" i="2"/>
  <c r="N344" i="2" s="1"/>
  <c r="L348" i="2"/>
  <c r="L352" i="2"/>
  <c r="M352" i="2" s="1"/>
  <c r="N352" i="2" s="1"/>
  <c r="L391" i="2"/>
  <c r="N391" i="2" s="1"/>
  <c r="L399" i="2"/>
  <c r="N399" i="2" s="1"/>
  <c r="L403" i="2"/>
  <c r="N403" i="2" s="1"/>
  <c r="L457" i="2"/>
  <c r="N457" i="2" s="1"/>
  <c r="L461" i="2"/>
  <c r="N461" i="2" s="1"/>
  <c r="L466" i="2"/>
  <c r="M466" i="2" s="1"/>
  <c r="N466" i="2" s="1"/>
  <c r="L497" i="2"/>
  <c r="M497" i="2" s="1"/>
  <c r="N497" i="2" s="1"/>
  <c r="L509" i="2"/>
  <c r="L518" i="2"/>
  <c r="M518" i="2" s="1"/>
  <c r="N518" i="2" s="1"/>
  <c r="L549" i="2"/>
  <c r="M549" i="2" s="1"/>
  <c r="N549" i="2" s="1"/>
  <c r="L559" i="2"/>
  <c r="M559" i="2" s="1"/>
  <c r="N559" i="2" s="1"/>
  <c r="L580" i="2"/>
  <c r="M580" i="2" s="1"/>
  <c r="N580" i="2" s="1"/>
  <c r="L611" i="2"/>
  <c r="M611" i="2" s="1"/>
  <c r="N611" i="2" s="1"/>
  <c r="L615" i="2"/>
  <c r="M615" i="2" s="1"/>
  <c r="N615" i="2" s="1"/>
  <c r="L638" i="2"/>
  <c r="L717" i="2"/>
  <c r="M717" i="2" s="1"/>
  <c r="N717" i="2" s="1"/>
  <c r="L722" i="2"/>
  <c r="M722" i="2" s="1"/>
  <c r="L732" i="2"/>
  <c r="M732" i="2" s="1"/>
  <c r="N732" i="2" s="1"/>
  <c r="L797" i="2"/>
  <c r="M797" i="2" s="1"/>
  <c r="N797" i="2" s="1"/>
  <c r="L807" i="2"/>
  <c r="M807" i="2" s="1"/>
  <c r="L819" i="2"/>
  <c r="M819" i="2" s="1"/>
  <c r="L823" i="2"/>
  <c r="M823" i="2" s="1"/>
  <c r="L838" i="2"/>
  <c r="N838" i="2" s="1"/>
  <c r="L846" i="2"/>
  <c r="L850" i="2"/>
  <c r="M850" i="2" s="1"/>
  <c r="N850" i="2" s="1"/>
  <c r="L993" i="2"/>
  <c r="M993" i="2" s="1"/>
  <c r="L1025" i="2"/>
  <c r="M1025" i="2" s="1"/>
  <c r="N1025" i="2" s="1"/>
  <c r="L1028" i="2"/>
  <c r="L1122" i="2"/>
  <c r="N1122" i="2" s="1"/>
  <c r="L1146" i="2"/>
  <c r="M1146" i="2" s="1"/>
  <c r="N1146" i="2" s="1"/>
  <c r="L1151" i="2"/>
  <c r="M1151" i="2" s="1"/>
  <c r="N1151" i="2" s="1"/>
  <c r="L1155" i="2"/>
  <c r="M1155" i="2" s="1"/>
  <c r="N1155" i="2" s="1"/>
  <c r="L674" i="2"/>
  <c r="L688" i="2"/>
  <c r="M688" i="2" s="1"/>
  <c r="L693" i="2"/>
  <c r="M693" i="2" s="1"/>
  <c r="N693" i="2" s="1"/>
  <c r="L700" i="2"/>
  <c r="M700" i="2" s="1"/>
  <c r="L705" i="2"/>
  <c r="M705" i="2" s="1"/>
  <c r="N705" i="2" s="1"/>
  <c r="L720" i="2"/>
  <c r="L731" i="2"/>
  <c r="M731" i="2" s="1"/>
  <c r="N731" i="2" s="1"/>
  <c r="L745" i="2"/>
  <c r="M745" i="2" s="1"/>
  <c r="N745" i="2" s="1"/>
  <c r="L754" i="2"/>
  <c r="L772" i="2"/>
  <c r="M772" i="2" s="1"/>
  <c r="N772" i="2" s="1"/>
  <c r="L777" i="2"/>
  <c r="M777" i="2" s="1"/>
  <c r="L782" i="2"/>
  <c r="M782" i="2" s="1"/>
  <c r="N782" i="2" s="1"/>
  <c r="L787" i="2"/>
  <c r="L806" i="2"/>
  <c r="L810" i="2"/>
  <c r="M810" i="2" s="1"/>
  <c r="L881" i="2"/>
  <c r="L889" i="2"/>
  <c r="N889" i="2" s="1"/>
  <c r="L901" i="2"/>
  <c r="M901" i="2" s="1"/>
  <c r="N901" i="2" s="1"/>
  <c r="L909" i="2"/>
  <c r="M909" i="2" s="1"/>
  <c r="N909" i="2" s="1"/>
  <c r="L933" i="2"/>
  <c r="L937" i="2"/>
  <c r="M937" i="2" s="1"/>
  <c r="L957" i="2"/>
  <c r="M957" i="2" s="1"/>
  <c r="L960" i="2"/>
  <c r="N960" i="2" s="1"/>
  <c r="L983" i="2"/>
  <c r="M983" i="2" s="1"/>
  <c r="N983" i="2" s="1"/>
  <c r="L987" i="2"/>
  <c r="M987" i="2" s="1"/>
  <c r="N987" i="2" s="1"/>
  <c r="L1002" i="2"/>
  <c r="L1045" i="2"/>
  <c r="M1045" i="2" s="1"/>
  <c r="N1045" i="2" s="1"/>
  <c r="L1049" i="2"/>
  <c r="N1049" i="2" s="1"/>
  <c r="L1053" i="2"/>
  <c r="L1060" i="2"/>
  <c r="M1060" i="2" s="1"/>
  <c r="N1060" i="2" s="1"/>
  <c r="L1074" i="2"/>
  <c r="M1074" i="2" s="1"/>
  <c r="N1074" i="2" s="1"/>
  <c r="L1090" i="2"/>
  <c r="M1090" i="2" s="1"/>
  <c r="N1090" i="2" s="1"/>
  <c r="L1111" i="2"/>
  <c r="M1111" i="2" s="1"/>
  <c r="L1125" i="2"/>
  <c r="M1125" i="2" s="1"/>
  <c r="L1130" i="2"/>
  <c r="M1130" i="2" s="1"/>
  <c r="N1130" i="2" s="1"/>
  <c r="L1137" i="2"/>
  <c r="N1137" i="2" s="1"/>
  <c r="L1140" i="2"/>
  <c r="L1166" i="2"/>
  <c r="N1166" i="2" s="1"/>
  <c r="L1172" i="2"/>
  <c r="L1196" i="2"/>
  <c r="M1196" i="2" s="1"/>
  <c r="N1196" i="2" s="1"/>
  <c r="L1201" i="2"/>
  <c r="M1201" i="2" s="1"/>
  <c r="L1233" i="2"/>
  <c r="M1233" i="2" s="1"/>
  <c r="N1233" i="2" s="1"/>
  <c r="L1250" i="2"/>
  <c r="N1250" i="2" s="1"/>
  <c r="L1257" i="2"/>
  <c r="N1257" i="2" s="1"/>
  <c r="L1265" i="2"/>
  <c r="L1327" i="2"/>
  <c r="M1327" i="2" s="1"/>
  <c r="N1327" i="2" s="1"/>
  <c r="L1435" i="2"/>
  <c r="M1435" i="2" s="1"/>
  <c r="N1435" i="2" s="1"/>
  <c r="L1462" i="2"/>
  <c r="M1462" i="2" s="1"/>
  <c r="N1462" i="2" s="1"/>
  <c r="L1466" i="2"/>
  <c r="M1466" i="2" s="1"/>
  <c r="N1466" i="2" s="1"/>
  <c r="L1495" i="2"/>
  <c r="M1495" i="2" s="1"/>
  <c r="N1495" i="2" s="1"/>
  <c r="L1499" i="2"/>
  <c r="M1499" i="2" s="1"/>
  <c r="N1499" i="2" s="1"/>
  <c r="L1503" i="2"/>
  <c r="M1503" i="2" s="1"/>
  <c r="N1503" i="2" s="1"/>
  <c r="L1676" i="2"/>
  <c r="N1676" i="2" s="1"/>
  <c r="L1680" i="2"/>
  <c r="M1680" i="2" s="1"/>
  <c r="N1680" i="2" s="1"/>
  <c r="L1684" i="2"/>
  <c r="M1684" i="2" s="1"/>
  <c r="L1688" i="2"/>
  <c r="L1696" i="2"/>
  <c r="L1700" i="2"/>
  <c r="N1700" i="2" s="1"/>
  <c r="L1704" i="2"/>
  <c r="N1704" i="2" s="1"/>
  <c r="L1722" i="2"/>
  <c r="L1741" i="2"/>
  <c r="L1778" i="2"/>
  <c r="M1778" i="2" s="1"/>
  <c r="N1778" i="2" s="1"/>
  <c r="L1917" i="2"/>
  <c r="L2014" i="2"/>
  <c r="M2014" i="2" s="1"/>
  <c r="N2014" i="2" s="1"/>
  <c r="L2075" i="2"/>
  <c r="L2079" i="2"/>
  <c r="M2079" i="2" s="1"/>
  <c r="L1210" i="2"/>
  <c r="L1214" i="2"/>
  <c r="M1214" i="2" s="1"/>
  <c r="N1214" i="2" s="1"/>
  <c r="L1222" i="2"/>
  <c r="M1222" i="2" s="1"/>
  <c r="N1222" i="2" s="1"/>
  <c r="L1230" i="2"/>
  <c r="M1230" i="2" s="1"/>
  <c r="N1230" i="2" s="1"/>
  <c r="L1428" i="2"/>
  <c r="N1428" i="2" s="1"/>
  <c r="L1451" i="2"/>
  <c r="M1451" i="2" s="1"/>
  <c r="N1451" i="2" s="1"/>
  <c r="L1463" i="2"/>
  <c r="M1463" i="2" s="1"/>
  <c r="N1463" i="2" s="1"/>
  <c r="L1474" i="2"/>
  <c r="M1474" i="2" s="1"/>
  <c r="N1474" i="2" s="1"/>
  <c r="L1485" i="2"/>
  <c r="M1485" i="2" s="1"/>
  <c r="N1485" i="2" s="1"/>
  <c r="L1589" i="2"/>
  <c r="N1589" i="2" s="1"/>
  <c r="L1601" i="2"/>
  <c r="M1601" i="2" s="1"/>
  <c r="N1601" i="2" s="1"/>
  <c r="L1605" i="2"/>
  <c r="N1605" i="2" s="1"/>
  <c r="L1626" i="2"/>
  <c r="M1626" i="2" s="1"/>
  <c r="N1626" i="2" s="1"/>
  <c r="L1633" i="2"/>
  <c r="M1633" i="2" s="1"/>
  <c r="N1633" i="2" s="1"/>
  <c r="L1660" i="2"/>
  <c r="L1664" i="2"/>
  <c r="L1708" i="2"/>
  <c r="N1708" i="2" s="1"/>
  <c r="L1973" i="2"/>
  <c r="M1973" i="2" s="1"/>
  <c r="N1973" i="2" s="1"/>
  <c r="L1977" i="2"/>
  <c r="M1977" i="2" s="1"/>
  <c r="N1977" i="2" s="1"/>
  <c r="L1982" i="2"/>
  <c r="N1982" i="2" s="1"/>
  <c r="L2000" i="2"/>
  <c r="L2168" i="2"/>
  <c r="M2168" i="2" s="1"/>
  <c r="L2172" i="2"/>
  <c r="M2172" i="2" s="1"/>
  <c r="N2172" i="2" s="1"/>
  <c r="L2180" i="2"/>
  <c r="M2180" i="2" s="1"/>
  <c r="N2180" i="2" s="1"/>
  <c r="L2184" i="2"/>
  <c r="M2184" i="2" s="1"/>
  <c r="N2184" i="2" s="1"/>
  <c r="L2196" i="2"/>
  <c r="L2221" i="2"/>
  <c r="M2221" i="2" s="1"/>
  <c r="N2221" i="2" s="1"/>
  <c r="L2227" i="2"/>
  <c r="M2227" i="2" s="1"/>
  <c r="N2227" i="2" s="1"/>
  <c r="L2233" i="2"/>
  <c r="M2233" i="2" s="1"/>
  <c r="N2233" i="2" s="1"/>
  <c r="L2390" i="2"/>
  <c r="N2390" i="2" s="1"/>
  <c r="L1259" i="2"/>
  <c r="M1259" i="2" s="1"/>
  <c r="L1263" i="2"/>
  <c r="M1263" i="2" s="1"/>
  <c r="N1263" i="2" s="1"/>
  <c r="L1268" i="2"/>
  <c r="M1268" i="2" s="1"/>
  <c r="L1278" i="2"/>
  <c r="N1278" i="2" s="1"/>
  <c r="L1320" i="2"/>
  <c r="M1320" i="2" s="1"/>
  <c r="N1320" i="2" s="1"/>
  <c r="L1369" i="2"/>
  <c r="M1369" i="2" s="1"/>
  <c r="N1369" i="2" s="1"/>
  <c r="L1415" i="2"/>
  <c r="M1415" i="2" s="1"/>
  <c r="N1415" i="2" s="1"/>
  <c r="L1606" i="2"/>
  <c r="N1606" i="2" s="1"/>
  <c r="L1609" i="2"/>
  <c r="M1609" i="2" s="1"/>
  <c r="N1609" i="2" s="1"/>
  <c r="L1619" i="2"/>
  <c r="N1619" i="2" s="1"/>
  <c r="L1848" i="2"/>
  <c r="N1848" i="2" s="1"/>
  <c r="L1942" i="2"/>
  <c r="L1950" i="2"/>
  <c r="L1958" i="2"/>
  <c r="L2123" i="2"/>
  <c r="M2123" i="2" s="1"/>
  <c r="N2123" i="2" s="1"/>
  <c r="L2127" i="2"/>
  <c r="M2127" i="2" s="1"/>
  <c r="N2127" i="2" s="1"/>
  <c r="L2137" i="2"/>
  <c r="M2137" i="2" s="1"/>
  <c r="L2155" i="2"/>
  <c r="M2155" i="2" s="1"/>
  <c r="N2155" i="2" s="1"/>
  <c r="L2160" i="2"/>
  <c r="M2160" i="2" s="1"/>
  <c r="N2160" i="2" s="1"/>
  <c r="L1412" i="2"/>
  <c r="M1412" i="2" s="1"/>
  <c r="N1412" i="2" s="1"/>
  <c r="L619" i="2"/>
  <c r="M619" i="2" s="1"/>
  <c r="N619" i="2" s="1"/>
  <c r="L649" i="2"/>
  <c r="M649" i="2" s="1"/>
  <c r="N649" i="2" s="1"/>
  <c r="L748" i="2"/>
  <c r="L752" i="2"/>
  <c r="N752" i="2" s="1"/>
  <c r="L756" i="2"/>
  <c r="L935" i="2"/>
  <c r="N935" i="2" s="1"/>
  <c r="L971" i="2"/>
  <c r="L989" i="2"/>
  <c r="N989" i="2" s="1"/>
  <c r="L994" i="2"/>
  <c r="L1015" i="2"/>
  <c r="M1015" i="2" s="1"/>
  <c r="L1022" i="2"/>
  <c r="M1022" i="2" s="1"/>
  <c r="N1022" i="2" s="1"/>
  <c r="L1113" i="2"/>
  <c r="M1113" i="2" s="1"/>
  <c r="N1113" i="2" s="1"/>
  <c r="L1132" i="2"/>
  <c r="M1132" i="2" s="1"/>
  <c r="N1132" i="2" s="1"/>
  <c r="L1170" i="2"/>
  <c r="N1170" i="2" s="1"/>
  <c r="L1228" i="2"/>
  <c r="N1228" i="2" s="1"/>
  <c r="L1256" i="2"/>
  <c r="N1256" i="2" s="1"/>
  <c r="L1285" i="2"/>
  <c r="M1285" i="2" s="1"/>
  <c r="N1285" i="2" s="1"/>
  <c r="L1295" i="2"/>
  <c r="M1295" i="2" s="1"/>
  <c r="N1295" i="2" s="1"/>
  <c r="L1313" i="2"/>
  <c r="N1313" i="2" s="1"/>
  <c r="L1343" i="2"/>
  <c r="M1343" i="2" s="1"/>
  <c r="N1343" i="2" s="1"/>
  <c r="L1374" i="2"/>
  <c r="M1374" i="2" s="1"/>
  <c r="L1541" i="2"/>
  <c r="N1541" i="2" s="1"/>
  <c r="L1570" i="2"/>
  <c r="M1570" i="2" s="1"/>
  <c r="N1570" i="2" s="1"/>
  <c r="L1721" i="2"/>
  <c r="M1721" i="2" s="1"/>
  <c r="N1721" i="2" s="1"/>
  <c r="L1732" i="2"/>
  <c r="N1732" i="2" s="1"/>
  <c r="L1837" i="2"/>
  <c r="L2097" i="2"/>
  <c r="N2097" i="2" s="1"/>
  <c r="L2107" i="2"/>
  <c r="N2107" i="2" s="1"/>
  <c r="L2296" i="2"/>
  <c r="M2296" i="2" s="1"/>
  <c r="N2296" i="2" s="1"/>
  <c r="L527" i="2"/>
  <c r="N527" i="2" s="1"/>
  <c r="L531" i="2"/>
  <c r="N531" i="2" s="1"/>
  <c r="L538" i="2"/>
  <c r="M538" i="2" s="1"/>
  <c r="N538" i="2" s="1"/>
  <c r="L541" i="2"/>
  <c r="M541" i="2" s="1"/>
  <c r="N541" i="2" s="1"/>
  <c r="L546" i="2"/>
  <c r="M546" i="2" s="1"/>
  <c r="N546" i="2" s="1"/>
  <c r="L554" i="2"/>
  <c r="L591" i="2"/>
  <c r="M591" i="2" s="1"/>
  <c r="N591" i="2" s="1"/>
  <c r="L596" i="2"/>
  <c r="M596" i="2" s="1"/>
  <c r="N596" i="2" s="1"/>
  <c r="L600" i="2"/>
  <c r="M600" i="2" s="1"/>
  <c r="N600" i="2" s="1"/>
  <c r="L620" i="2"/>
  <c r="M620" i="2" s="1"/>
  <c r="N620" i="2" s="1"/>
  <c r="L639" i="2"/>
  <c r="M639" i="2" s="1"/>
  <c r="N639" i="2" s="1"/>
  <c r="L666" i="2"/>
  <c r="L680" i="2"/>
  <c r="N680" i="2" s="1"/>
  <c r="L687" i="2"/>
  <c r="M687" i="2" s="1"/>
  <c r="N687" i="2" s="1"/>
  <c r="L744" i="2"/>
  <c r="M744" i="2" s="1"/>
  <c r="N744" i="2" s="1"/>
  <c r="L749" i="2"/>
  <c r="M749" i="2" s="1"/>
  <c r="L761" i="2"/>
  <c r="M761" i="2" s="1"/>
  <c r="N761" i="2" s="1"/>
  <c r="L780" i="2"/>
  <c r="N780" i="2" s="1"/>
  <c r="L791" i="2"/>
  <c r="M791" i="2" s="1"/>
  <c r="L809" i="2"/>
  <c r="M809" i="2" s="1"/>
  <c r="N809" i="2" s="1"/>
  <c r="L813" i="2"/>
  <c r="M813" i="2" s="1"/>
  <c r="N813" i="2" s="1"/>
  <c r="L847" i="2"/>
  <c r="M847" i="2" s="1"/>
  <c r="N847" i="2" s="1"/>
  <c r="L851" i="2"/>
  <c r="M851" i="2" s="1"/>
  <c r="L884" i="2"/>
  <c r="M884" i="2" s="1"/>
  <c r="N884" i="2" s="1"/>
  <c r="L936" i="2"/>
  <c r="M936" i="2" s="1"/>
  <c r="N936" i="2" s="1"/>
  <c r="L944" i="2"/>
  <c r="L981" i="2"/>
  <c r="M981" i="2" s="1"/>
  <c r="N981" i="2" s="1"/>
  <c r="L986" i="2"/>
  <c r="M986" i="2" s="1"/>
  <c r="N986" i="2" s="1"/>
  <c r="L1044" i="2"/>
  <c r="L1059" i="2"/>
  <c r="M1059" i="2" s="1"/>
  <c r="N1059" i="2" s="1"/>
  <c r="L1089" i="2"/>
  <c r="M1089" i="2" s="1"/>
  <c r="N1089" i="2" s="1"/>
  <c r="L1115" i="2"/>
  <c r="M1115" i="2" s="1"/>
  <c r="L1136" i="2"/>
  <c r="N1136" i="2" s="1"/>
  <c r="L1149" i="2"/>
  <c r="M1149" i="2" s="1"/>
  <c r="N1149" i="2" s="1"/>
  <c r="L1165" i="2"/>
  <c r="M1165" i="2" s="1"/>
  <c r="N1165" i="2" s="1"/>
  <c r="L1207" i="2"/>
  <c r="N1207" i="2" s="1"/>
  <c r="L1216" i="2"/>
  <c r="N1216" i="2" s="1"/>
  <c r="L1296" i="2"/>
  <c r="M1296" i="2" s="1"/>
  <c r="N1296" i="2" s="1"/>
  <c r="L1310" i="2"/>
  <c r="M1310" i="2" s="1"/>
  <c r="N1310" i="2" s="1"/>
  <c r="L1314" i="2"/>
  <c r="N1314" i="2" s="1"/>
  <c r="L1348" i="2"/>
  <c r="M1348" i="2" s="1"/>
  <c r="N1348" i="2" s="1"/>
  <c r="L1352" i="2"/>
  <c r="L1367" i="2"/>
  <c r="M1367" i="2" s="1"/>
  <c r="N1367" i="2" s="1"/>
  <c r="L1393" i="2"/>
  <c r="M1393" i="2" s="1"/>
  <c r="N1393" i="2" s="1"/>
  <c r="L1480" i="2"/>
  <c r="M1480" i="2" s="1"/>
  <c r="N1480" i="2" s="1"/>
  <c r="L1491" i="2"/>
  <c r="M1491" i="2" s="1"/>
  <c r="N1491" i="2" s="1"/>
  <c r="L1502" i="2"/>
  <c r="M1502" i="2" s="1"/>
  <c r="L1514" i="2"/>
  <c r="M1514" i="2" s="1"/>
  <c r="N1514" i="2" s="1"/>
  <c r="L1518" i="2"/>
  <c r="M1518" i="2" s="1"/>
  <c r="L1537" i="2"/>
  <c r="N1537" i="2" s="1"/>
  <c r="L1580" i="2"/>
  <c r="N1580" i="2" s="1"/>
  <c r="L1744" i="2"/>
  <c r="L1829" i="2"/>
  <c r="N1829" i="2" s="1"/>
  <c r="L1893" i="2"/>
  <c r="L2017" i="2"/>
  <c r="M2017" i="2" s="1"/>
  <c r="N2017" i="2" s="1"/>
  <c r="L2094" i="2"/>
  <c r="M2094" i="2" s="1"/>
  <c r="L2247" i="2"/>
  <c r="M2247" i="2" s="1"/>
  <c r="N2247" i="2" s="1"/>
  <c r="L2252" i="2"/>
  <c r="M2252" i="2" s="1"/>
  <c r="N2252" i="2" s="1"/>
  <c r="L2258" i="2"/>
  <c r="M2258" i="2" s="1"/>
  <c r="N2258" i="2" s="1"/>
  <c r="L2262" i="2"/>
  <c r="M2262" i="2" s="1"/>
  <c r="N2262" i="2" s="1"/>
  <c r="L2283" i="2"/>
  <c r="L2307" i="2"/>
  <c r="M2307" i="2" s="1"/>
  <c r="N2307" i="2" s="1"/>
  <c r="L1761" i="2"/>
  <c r="L1769" i="2"/>
  <c r="M1769" i="2" s="1"/>
  <c r="N1769" i="2" s="1"/>
  <c r="L1777" i="2"/>
  <c r="M1777" i="2" s="1"/>
  <c r="N1777" i="2" s="1"/>
  <c r="L1783" i="2"/>
  <c r="M1783" i="2" s="1"/>
  <c r="L1814" i="2"/>
  <c r="M1814" i="2" s="1"/>
  <c r="N1814" i="2" s="1"/>
  <c r="L1818" i="2"/>
  <c r="N1818" i="2" s="1"/>
  <c r="L1822" i="2"/>
  <c r="N1822" i="2" s="1"/>
  <c r="L1851" i="2"/>
  <c r="L1878" i="2"/>
  <c r="L1904" i="2"/>
  <c r="L1923" i="2"/>
  <c r="L1941" i="2"/>
  <c r="L1945" i="2"/>
  <c r="L1953" i="2"/>
  <c r="L1957" i="2"/>
  <c r="L2010" i="2"/>
  <c r="N2010" i="2" s="1"/>
  <c r="L2036" i="2"/>
  <c r="M2036" i="2" s="1"/>
  <c r="N2036" i="2" s="1"/>
  <c r="L2043" i="2"/>
  <c r="L2067" i="2"/>
  <c r="L2071" i="2"/>
  <c r="M2071" i="2" s="1"/>
  <c r="N2071" i="2" s="1"/>
  <c r="L2078" i="2"/>
  <c r="M2078" i="2" s="1"/>
  <c r="L2082" i="2"/>
  <c r="L2085" i="2"/>
  <c r="M2085" i="2" s="1"/>
  <c r="N2085" i="2" s="1"/>
  <c r="L2089" i="2"/>
  <c r="M2089" i="2" s="1"/>
  <c r="N2089" i="2" s="1"/>
  <c r="L2106" i="2"/>
  <c r="N2106" i="2" s="1"/>
  <c r="L2110" i="2"/>
  <c r="N2110" i="2" s="1"/>
  <c r="L2183" i="2"/>
  <c r="M2183" i="2" s="1"/>
  <c r="N2183" i="2" s="1"/>
  <c r="L2187" i="2"/>
  <c r="M2187" i="2" s="1"/>
  <c r="N2187" i="2" s="1"/>
  <c r="L2201" i="2"/>
  <c r="M2201" i="2" s="1"/>
  <c r="L2210" i="2"/>
  <c r="M2210" i="2" s="1"/>
  <c r="N2210" i="2" s="1"/>
  <c r="L2232" i="2"/>
  <c r="M2232" i="2" s="1"/>
  <c r="N2232" i="2" s="1"/>
  <c r="L2251" i="2"/>
  <c r="M2251" i="2" s="1"/>
  <c r="N2251" i="2" s="1"/>
  <c r="L2320" i="2"/>
  <c r="M2320" i="2" s="1"/>
  <c r="N2320" i="2" s="1"/>
  <c r="L2324" i="2"/>
  <c r="N2324" i="2" s="1"/>
  <c r="L2357" i="2"/>
  <c r="N2357" i="2" s="1"/>
  <c r="L2365" i="2"/>
  <c r="N2365" i="2" s="1"/>
  <c r="L2448" i="2"/>
  <c r="L2453" i="2"/>
  <c r="M2453" i="2" s="1"/>
  <c r="N2453" i="2" s="1"/>
  <c r="L2458" i="2"/>
  <c r="L2463" i="2"/>
  <c r="L2315" i="2"/>
  <c r="N2315" i="2" s="1"/>
  <c r="L2325" i="2"/>
  <c r="N2325" i="2" s="1"/>
  <c r="L2346" i="2"/>
  <c r="N2346" i="2" s="1"/>
  <c r="L2358" i="2"/>
  <c r="L2366" i="2"/>
  <c r="N2366" i="2" s="1"/>
  <c r="L2385" i="2"/>
  <c r="N2385" i="2" s="1"/>
  <c r="L2399" i="2"/>
  <c r="N2399" i="2" s="1"/>
  <c r="L2407" i="2"/>
  <c r="N2407" i="2" s="1"/>
  <c r="L2454" i="2"/>
  <c r="L1417" i="2"/>
  <c r="M1417" i="2" s="1"/>
  <c r="N1417" i="2" s="1"/>
  <c r="L1437" i="2"/>
  <c r="M1437" i="2" s="1"/>
  <c r="N1437" i="2" s="1"/>
  <c r="L1464" i="2"/>
  <c r="M1464" i="2" s="1"/>
  <c r="N1464" i="2" s="1"/>
  <c r="L1475" i="2"/>
  <c r="M1475" i="2" s="1"/>
  <c r="N1475" i="2" s="1"/>
  <c r="L1482" i="2"/>
  <c r="M1482" i="2" s="1"/>
  <c r="N1482" i="2" s="1"/>
  <c r="L1489" i="2"/>
  <c r="M1489" i="2" s="1"/>
  <c r="N1489" i="2" s="1"/>
  <c r="L1496" i="2"/>
  <c r="M1496" i="2" s="1"/>
  <c r="N1496" i="2" s="1"/>
  <c r="L1612" i="2"/>
  <c r="M1612" i="2" s="1"/>
  <c r="N1612" i="2" s="1"/>
  <c r="L1635" i="2"/>
  <c r="N1635" i="2" s="1"/>
  <c r="L1713" i="2"/>
  <c r="M1713" i="2" s="1"/>
  <c r="N1713" i="2" s="1"/>
  <c r="L1716" i="2"/>
  <c r="M1716" i="2" s="1"/>
  <c r="N1716" i="2" s="1"/>
  <c r="L1763" i="2"/>
  <c r="N1763" i="2" s="1"/>
  <c r="L1767" i="2"/>
  <c r="M1767" i="2" s="1"/>
  <c r="N1767" i="2" s="1"/>
  <c r="L1775" i="2"/>
  <c r="M1775" i="2" s="1"/>
  <c r="L1781" i="2"/>
  <c r="M1781" i="2" s="1"/>
  <c r="N1781" i="2" s="1"/>
  <c r="L1820" i="2"/>
  <c r="M1820" i="2" s="1"/>
  <c r="N1820" i="2" s="1"/>
  <c r="L1824" i="2"/>
  <c r="L1842" i="2"/>
  <c r="L1846" i="2"/>
  <c r="L1861" i="2"/>
  <c r="L1872" i="2"/>
  <c r="N1872" i="2" s="1"/>
  <c r="L1902" i="2"/>
  <c r="L1918" i="2"/>
  <c r="L1921" i="2"/>
  <c r="L1969" i="2"/>
  <c r="M1969" i="2" s="1"/>
  <c r="N1969" i="2" s="1"/>
  <c r="L2001" i="2"/>
  <c r="L2011" i="2"/>
  <c r="M2011" i="2" s="1"/>
  <c r="N2011" i="2" s="1"/>
  <c r="L2015" i="2"/>
  <c r="N2015" i="2" s="1"/>
  <c r="L2031" i="2"/>
  <c r="N2031" i="2" s="1"/>
  <c r="L2034" i="2"/>
  <c r="N2034" i="2" s="1"/>
  <c r="L2038" i="2"/>
  <c r="L2045" i="2"/>
  <c r="L2057" i="2"/>
  <c r="N2057" i="2" s="1"/>
  <c r="L2087" i="2"/>
  <c r="M2087" i="2" s="1"/>
  <c r="N2087" i="2" s="1"/>
  <c r="L2099" i="2"/>
  <c r="M2099" i="2" s="1"/>
  <c r="N2099" i="2" s="1"/>
  <c r="L2104" i="2"/>
  <c r="N2104" i="2" s="1"/>
  <c r="L2112" i="2"/>
  <c r="N2112" i="2" s="1"/>
  <c r="L2132" i="2"/>
  <c r="M2132" i="2" s="1"/>
  <c r="N2132" i="2" s="1"/>
  <c r="L2138" i="2"/>
  <c r="M2138" i="2" s="1"/>
  <c r="N2138" i="2" s="1"/>
  <c r="L2156" i="2"/>
  <c r="M2156" i="2" s="1"/>
  <c r="N2156" i="2" s="1"/>
  <c r="L2169" i="2"/>
  <c r="M2169" i="2" s="1"/>
  <c r="N2169" i="2" s="1"/>
  <c r="L2185" i="2"/>
  <c r="M2185" i="2" s="1"/>
  <c r="L2189" i="2"/>
  <c r="M2189" i="2" s="1"/>
  <c r="N2189" i="2" s="1"/>
  <c r="L2192" i="2"/>
  <c r="M2192" i="2" s="1"/>
  <c r="N2192" i="2" s="1"/>
  <c r="L2203" i="2"/>
  <c r="M2203" i="2" s="1"/>
  <c r="N2203" i="2" s="1"/>
  <c r="L2208" i="2"/>
  <c r="M2208" i="2" s="1"/>
  <c r="N2208" i="2" s="1"/>
  <c r="L2253" i="2"/>
  <c r="M2253" i="2" s="1"/>
  <c r="N2253" i="2" s="1"/>
  <c r="L2317" i="2"/>
  <c r="M2317" i="2" s="1"/>
  <c r="N2317" i="2" s="1"/>
  <c r="L2347" i="2"/>
  <c r="L2355" i="2"/>
  <c r="N2355" i="2" s="1"/>
  <c r="L2370" i="2"/>
  <c r="N2370" i="2" s="1"/>
  <c r="L2445" i="2"/>
  <c r="M2445" i="2" s="1"/>
  <c r="N2445" i="2" s="1"/>
  <c r="L2455" i="2"/>
  <c r="L2466" i="2"/>
  <c r="N2466" i="2" s="1"/>
  <c r="L1187" i="2"/>
  <c r="N1187" i="2" s="1"/>
  <c r="L1193" i="2"/>
  <c r="M1193" i="2" s="1"/>
  <c r="N1193" i="2" s="1"/>
  <c r="L1197" i="2"/>
  <c r="M1197" i="2" s="1"/>
  <c r="N1197" i="2" s="1"/>
  <c r="L1206" i="2"/>
  <c r="N1206" i="2" s="1"/>
  <c r="L1258" i="2"/>
  <c r="N1258" i="2" s="1"/>
  <c r="L1262" i="2"/>
  <c r="N1262" i="2" s="1"/>
  <c r="L1266" i="2"/>
  <c r="N1266" i="2" s="1"/>
  <c r="L1301" i="2"/>
  <c r="M1301" i="2" s="1"/>
  <c r="L1328" i="2"/>
  <c r="N1328" i="2" s="1"/>
  <c r="L1331" i="2"/>
  <c r="M1331" i="2" s="1"/>
  <c r="N1331" i="2" s="1"/>
  <c r="L1365" i="2"/>
  <c r="M1365" i="2" s="1"/>
  <c r="N1365" i="2" s="1"/>
  <c r="L1418" i="2"/>
  <c r="M1418" i="2" s="1"/>
  <c r="N1418" i="2" s="1"/>
  <c r="L1472" i="2"/>
  <c r="M1472" i="2" s="1"/>
  <c r="L1476" i="2"/>
  <c r="M1476" i="2" s="1"/>
  <c r="N1476" i="2" s="1"/>
  <c r="L1483" i="2"/>
  <c r="M1483" i="2" s="1"/>
  <c r="N1483" i="2" s="1"/>
  <c r="L1497" i="2"/>
  <c r="M1497" i="2" s="1"/>
  <c r="N1497" i="2" s="1"/>
  <c r="L1501" i="2"/>
  <c r="M1501" i="2" s="1"/>
  <c r="N1501" i="2" s="1"/>
  <c r="L1549" i="2"/>
  <c r="L1608" i="2"/>
  <c r="N1608" i="2" s="1"/>
  <c r="L1636" i="2"/>
  <c r="M1636" i="2" s="1"/>
  <c r="N1636" i="2" s="1"/>
  <c r="L1640" i="2"/>
  <c r="L1649" i="2"/>
  <c r="L1655" i="2"/>
  <c r="M1655" i="2" s="1"/>
  <c r="N1655" i="2" s="1"/>
  <c r="L1683" i="2"/>
  <c r="M1683" i="2" s="1"/>
  <c r="N1683" i="2" s="1"/>
  <c r="L1691" i="2"/>
  <c r="M1691" i="2" s="1"/>
  <c r="N1691" i="2" s="1"/>
  <c r="L1706" i="2"/>
  <c r="L1717" i="2"/>
  <c r="L1724" i="2"/>
  <c r="M1724" i="2" s="1"/>
  <c r="L1747" i="2"/>
  <c r="L1760" i="2"/>
  <c r="L1768" i="2"/>
  <c r="N1768" i="2" s="1"/>
  <c r="L1776" i="2"/>
  <c r="L1802" i="2"/>
  <c r="M1802" i="2" s="1"/>
  <c r="N1802" i="2" s="1"/>
  <c r="L1825" i="2"/>
  <c r="N1825" i="2" s="1"/>
  <c r="L1839" i="2"/>
  <c r="L1843" i="2"/>
  <c r="L1866" i="2"/>
  <c r="L1952" i="2"/>
  <c r="N1952" i="2" s="1"/>
  <c r="L1991" i="2"/>
  <c r="L2005" i="2"/>
  <c r="M2005" i="2" s="1"/>
  <c r="N2005" i="2" s="1"/>
  <c r="L2009" i="2"/>
  <c r="N2009" i="2" s="1"/>
  <c r="L2061" i="2"/>
  <c r="N2061" i="2" s="1"/>
  <c r="L2066" i="2"/>
  <c r="N2066" i="2" s="1"/>
  <c r="L2081" i="2"/>
  <c r="N2081" i="2" s="1"/>
  <c r="L2092" i="2"/>
  <c r="M2092" i="2" s="1"/>
  <c r="N2092" i="2" s="1"/>
  <c r="L2105" i="2"/>
  <c r="M2105" i="2" s="1"/>
  <c r="N2105" i="2" s="1"/>
  <c r="L2113" i="2"/>
  <c r="N2113" i="2" s="1"/>
  <c r="L2133" i="2"/>
  <c r="M2133" i="2" s="1"/>
  <c r="N2133" i="2" s="1"/>
  <c r="L2186" i="2"/>
  <c r="M2186" i="2" s="1"/>
  <c r="N2186" i="2" s="1"/>
  <c r="L2209" i="2"/>
  <c r="M2209" i="2" s="1"/>
  <c r="N2209" i="2" s="1"/>
  <c r="L2218" i="2"/>
  <c r="M2218" i="2" s="1"/>
  <c r="N2218" i="2" s="1"/>
  <c r="L2231" i="2"/>
  <c r="M2231" i="2" s="1"/>
  <c r="N2231" i="2" s="1"/>
  <c r="L2299" i="2"/>
  <c r="M2299" i="2" s="1"/>
  <c r="N2299" i="2" s="1"/>
  <c r="L2312" i="2"/>
  <c r="L2318" i="2"/>
  <c r="N2318" i="2" s="1"/>
  <c r="L2327" i="2"/>
  <c r="L2334" i="2"/>
  <c r="N2334" i="2" s="1"/>
  <c r="L2337" i="2"/>
  <c r="N2337" i="2" s="1"/>
  <c r="L2344" i="2"/>
  <c r="N2344" i="2" s="1"/>
  <c r="L2371" i="2"/>
  <c r="N2371" i="2" s="1"/>
  <c r="L2387" i="2"/>
  <c r="N2387" i="2" s="1"/>
  <c r="L2430" i="2"/>
  <c r="M2430" i="2" s="1"/>
  <c r="N2430" i="2" s="1"/>
  <c r="L2447" i="2"/>
  <c r="M2447" i="2" s="1"/>
  <c r="L2472" i="2"/>
  <c r="L2256" i="2"/>
  <c r="M2256" i="2" s="1"/>
  <c r="N2256" i="2" s="1"/>
  <c r="L2331" i="2"/>
  <c r="N2331" i="2" s="1"/>
  <c r="L2341" i="2"/>
  <c r="N2341" i="2" s="1"/>
  <c r="L2345" i="2"/>
  <c r="N2345" i="2" s="1"/>
  <c r="L2349" i="2"/>
  <c r="N2349" i="2" s="1"/>
  <c r="L2368" i="2"/>
  <c r="N2368" i="2" s="1"/>
  <c r="L2398" i="2"/>
  <c r="N2398" i="2" s="1"/>
  <c r="L2406" i="2"/>
  <c r="N2406" i="2" s="1"/>
  <c r="L2438" i="2"/>
  <c r="M2438" i="2" s="1"/>
  <c r="N2438" i="2" s="1"/>
  <c r="L37" i="2"/>
  <c r="M37" i="2" s="1"/>
  <c r="N37" i="2" s="1"/>
  <c r="L45" i="2"/>
  <c r="N45" i="2" s="1"/>
  <c r="L57" i="2"/>
  <c r="M57" i="2" s="1"/>
  <c r="N57" i="2" s="1"/>
  <c r="L61" i="2"/>
  <c r="M61" i="2" s="1"/>
  <c r="N61" i="2" s="1"/>
  <c r="L67" i="2"/>
  <c r="M67" i="2" s="1"/>
  <c r="N67" i="2" s="1"/>
  <c r="L99" i="2"/>
  <c r="M99" i="2" s="1"/>
  <c r="N99" i="2" s="1"/>
  <c r="L118" i="2"/>
  <c r="L125" i="2"/>
  <c r="N125" i="2" s="1"/>
  <c r="L160" i="2"/>
  <c r="M160" i="2" s="1"/>
  <c r="N160" i="2" s="1"/>
  <c r="L174" i="2"/>
  <c r="M174" i="2" s="1"/>
  <c r="N174" i="2" s="1"/>
  <c r="L355" i="2"/>
  <c r="M355" i="2" s="1"/>
  <c r="N355" i="2" s="1"/>
  <c r="L429" i="2"/>
  <c r="M429" i="2" s="1"/>
  <c r="N429" i="2" s="1"/>
  <c r="L13" i="2"/>
  <c r="M13" i="2" s="1"/>
  <c r="N13" i="2" s="1"/>
  <c r="L27" i="2"/>
  <c r="N27" i="2" s="1"/>
  <c r="L38" i="2"/>
  <c r="M38" i="2" s="1"/>
  <c r="N38" i="2" s="1"/>
  <c r="L46" i="2"/>
  <c r="M46" i="2" s="1"/>
  <c r="N46" i="2" s="1"/>
  <c r="L84" i="2"/>
  <c r="L100" i="2"/>
  <c r="M100" i="2" s="1"/>
  <c r="L147" i="2"/>
  <c r="N147" i="2" s="1"/>
  <c r="L222" i="2"/>
  <c r="N222" i="2" s="1"/>
  <c r="L240" i="2"/>
  <c r="N240" i="2" s="1"/>
  <c r="L246" i="2"/>
  <c r="M246" i="2" s="1"/>
  <c r="N246" i="2" s="1"/>
  <c r="L260" i="2"/>
  <c r="M260" i="2" s="1"/>
  <c r="N260" i="2" s="1"/>
  <c r="L263" i="2"/>
  <c r="M263" i="2" s="1"/>
  <c r="N263" i="2" s="1"/>
  <c r="L322" i="2"/>
  <c r="N322" i="2" s="1"/>
  <c r="L334" i="2"/>
  <c r="N334" i="2" s="1"/>
  <c r="L341" i="2"/>
  <c r="M341" i="2" s="1"/>
  <c r="N341" i="2" s="1"/>
  <c r="L345" i="2"/>
  <c r="N345" i="2" s="1"/>
  <c r="L378" i="2"/>
  <c r="M378" i="2" s="1"/>
  <c r="N378" i="2" s="1"/>
  <c r="L553" i="2"/>
  <c r="M553" i="2" s="1"/>
  <c r="L564" i="2"/>
  <c r="M564" i="2" s="1"/>
  <c r="N564" i="2" s="1"/>
  <c r="L327" i="2"/>
  <c r="N327" i="2" s="1"/>
  <c r="L414" i="2"/>
  <c r="N414" i="2" s="1"/>
  <c r="L612" i="2"/>
  <c r="M612" i="2" s="1"/>
  <c r="N612" i="2" s="1"/>
  <c r="L77" i="2"/>
  <c r="M77" i="2" s="1"/>
  <c r="N77" i="2" s="1"/>
  <c r="L94" i="2"/>
  <c r="M94" i="2" s="1"/>
  <c r="N94" i="2" s="1"/>
  <c r="L136" i="2"/>
  <c r="L140" i="2"/>
  <c r="N140" i="2" s="1"/>
  <c r="L166" i="2"/>
  <c r="M166" i="2" s="1"/>
  <c r="N166" i="2" s="1"/>
  <c r="L180" i="2"/>
  <c r="L187" i="2"/>
  <c r="N187" i="2" s="1"/>
  <c r="L212" i="2"/>
  <c r="L227" i="2"/>
  <c r="L279" i="2"/>
  <c r="M279" i="2" s="1"/>
  <c r="N279" i="2" s="1"/>
  <c r="L299" i="2"/>
  <c r="N299" i="2" s="1"/>
  <c r="L310" i="2"/>
  <c r="N310" i="2" s="1"/>
  <c r="L320" i="2"/>
  <c r="N320" i="2" s="1"/>
  <c r="L331" i="2"/>
  <c r="M331" i="2" s="1"/>
  <c r="N331" i="2" s="1"/>
  <c r="L361" i="2"/>
  <c r="N361" i="2" s="1"/>
  <c r="L408" i="2"/>
  <c r="M408" i="2" s="1"/>
  <c r="N408" i="2" s="1"/>
  <c r="L411" i="2"/>
  <c r="M411" i="2" s="1"/>
  <c r="N411" i="2" s="1"/>
  <c r="L358" i="2"/>
  <c r="L33" i="2"/>
  <c r="M33" i="2" s="1"/>
  <c r="N33" i="2" s="1"/>
  <c r="L52" i="2"/>
  <c r="L74" i="2"/>
  <c r="M74" i="2" s="1"/>
  <c r="N74" i="2" s="1"/>
  <c r="L78" i="2"/>
  <c r="M78" i="2" s="1"/>
  <c r="L121" i="2"/>
  <c r="N121" i="2" s="1"/>
  <c r="L132" i="2"/>
  <c r="L154" i="2"/>
  <c r="L163" i="2"/>
  <c r="L167" i="2"/>
  <c r="M167" i="2" s="1"/>
  <c r="N167" i="2" s="1"/>
  <c r="L199" i="2"/>
  <c r="N199" i="2" s="1"/>
  <c r="L206" i="2"/>
  <c r="N206" i="2" s="1"/>
  <c r="L252" i="2"/>
  <c r="L285" i="2"/>
  <c r="N285" i="2" s="1"/>
  <c r="L288" i="2"/>
  <c r="N288" i="2" s="1"/>
  <c r="L384" i="2"/>
  <c r="M384" i="2" s="1"/>
  <c r="N384" i="2" s="1"/>
  <c r="L392" i="2"/>
  <c r="M392" i="2" s="1"/>
  <c r="N392" i="2" s="1"/>
  <c r="L423" i="2"/>
  <c r="M423" i="2" s="1"/>
  <c r="N423" i="2" s="1"/>
  <c r="L443" i="2"/>
  <c r="M443" i="2" s="1"/>
  <c r="N443" i="2" s="1"/>
  <c r="L476" i="2"/>
  <c r="N476" i="2" s="1"/>
  <c r="L543" i="2"/>
  <c r="M543" i="2" s="1"/>
  <c r="N543" i="2" s="1"/>
  <c r="L597" i="2"/>
  <c r="M597" i="2" s="1"/>
  <c r="N597" i="2" s="1"/>
  <c r="L606" i="2"/>
  <c r="M606" i="2" s="1"/>
  <c r="N606" i="2" s="1"/>
  <c r="L621" i="2"/>
  <c r="M621" i="2" s="1"/>
  <c r="N621" i="2" s="1"/>
  <c r="L30" i="2"/>
  <c r="M30" i="2" s="1"/>
  <c r="N30" i="2" s="1"/>
  <c r="L36" i="2"/>
  <c r="M36" i="2" s="1"/>
  <c r="N36" i="2" s="1"/>
  <c r="L48" i="2"/>
  <c r="M48" i="2" s="1"/>
  <c r="N48" i="2" s="1"/>
  <c r="L51" i="2"/>
  <c r="M51" i="2" s="1"/>
  <c r="N51" i="2" s="1"/>
  <c r="L63" i="2"/>
  <c r="M63" i="2" s="1"/>
  <c r="N63" i="2" s="1"/>
  <c r="L76" i="2"/>
  <c r="L91" i="2"/>
  <c r="M91" i="2" s="1"/>
  <c r="N91" i="2" s="1"/>
  <c r="L96" i="2"/>
  <c r="L104" i="2"/>
  <c r="M104" i="2" s="1"/>
  <c r="N104" i="2" s="1"/>
  <c r="L114" i="2"/>
  <c r="N114" i="2" s="1"/>
  <c r="L120" i="2"/>
  <c r="N120" i="2" s="1"/>
  <c r="L133" i="2"/>
  <c r="N133" i="2" s="1"/>
  <c r="L138" i="2"/>
  <c r="N138" i="2" s="1"/>
  <c r="L146" i="2"/>
  <c r="M146" i="2" s="1"/>
  <c r="N146" i="2" s="1"/>
  <c r="L152" i="2"/>
  <c r="N152" i="2" s="1"/>
  <c r="L176" i="2"/>
  <c r="L182" i="2"/>
  <c r="N182" i="2" s="1"/>
  <c r="L195" i="2"/>
  <c r="N195" i="2" s="1"/>
  <c r="L205" i="2"/>
  <c r="N205" i="2" s="1"/>
  <c r="L239" i="2"/>
  <c r="N239" i="2" s="1"/>
  <c r="L249" i="2"/>
  <c r="M249" i="2" s="1"/>
  <c r="N249" i="2" s="1"/>
  <c r="L265" i="2"/>
  <c r="M265" i="2" s="1"/>
  <c r="N265" i="2" s="1"/>
  <c r="L275" i="2"/>
  <c r="M275" i="2" s="1"/>
  <c r="N275" i="2" s="1"/>
  <c r="L283" i="2"/>
  <c r="M283" i="2" s="1"/>
  <c r="N283" i="2" s="1"/>
  <c r="L291" i="2"/>
  <c r="L309" i="2"/>
  <c r="L312" i="2"/>
  <c r="M312" i="2" s="1"/>
  <c r="N312" i="2" s="1"/>
  <c r="L326" i="2"/>
  <c r="M326" i="2" s="1"/>
  <c r="N326" i="2" s="1"/>
  <c r="L343" i="2"/>
  <c r="N343" i="2" s="1"/>
  <c r="L366" i="2"/>
  <c r="N366" i="2" s="1"/>
  <c r="L379" i="2"/>
  <c r="M379" i="2" s="1"/>
  <c r="N379" i="2" s="1"/>
  <c r="L394" i="2"/>
  <c r="M394" i="2" s="1"/>
  <c r="N394" i="2" s="1"/>
  <c r="L401" i="2"/>
  <c r="L404" i="2"/>
  <c r="M404" i="2" s="1"/>
  <c r="N404" i="2" s="1"/>
  <c r="L434" i="2"/>
  <c r="M434" i="2" s="1"/>
  <c r="N434" i="2" s="1"/>
  <c r="L441" i="2"/>
  <c r="M441" i="2" s="1"/>
  <c r="N441" i="2" s="1"/>
  <c r="L471" i="2"/>
  <c r="N471" i="2" s="1"/>
  <c r="L490" i="2"/>
  <c r="M490" i="2" s="1"/>
  <c r="N490" i="2" s="1"/>
  <c r="L498" i="2"/>
  <c r="N498" i="2" s="1"/>
  <c r="L519" i="2"/>
  <c r="L525" i="2"/>
  <c r="M525" i="2" s="1"/>
  <c r="N525" i="2" s="1"/>
  <c r="L551" i="2"/>
  <c r="N551" i="2" s="1"/>
  <c r="L562" i="2"/>
  <c r="M562" i="2" s="1"/>
  <c r="N562" i="2" s="1"/>
  <c r="L565" i="2"/>
  <c r="M565" i="2" s="1"/>
  <c r="N565" i="2" s="1"/>
  <c r="L576" i="2"/>
  <c r="M576" i="2" s="1"/>
  <c r="N576" i="2" s="1"/>
  <c r="L579" i="2"/>
  <c r="M579" i="2" s="1"/>
  <c r="N579" i="2" s="1"/>
  <c r="L598" i="2"/>
  <c r="L607" i="2"/>
  <c r="M607" i="2" s="1"/>
  <c r="N607" i="2" s="1"/>
  <c r="L733" i="2"/>
  <c r="M733" i="2" s="1"/>
  <c r="N733" i="2" s="1"/>
  <c r="L785" i="2"/>
  <c r="M785" i="2" s="1"/>
  <c r="N785" i="2" s="1"/>
  <c r="L788" i="2"/>
  <c r="L814" i="2"/>
  <c r="N814" i="2" s="1"/>
  <c r="L817" i="2"/>
  <c r="M817" i="2" s="1"/>
  <c r="N817" i="2" s="1"/>
  <c r="L861" i="2"/>
  <c r="M861" i="2" s="1"/>
  <c r="N861" i="2" s="1"/>
  <c r="L873" i="2"/>
  <c r="M873" i="2" s="1"/>
  <c r="L887" i="2"/>
  <c r="M887" i="2" s="1"/>
  <c r="N887" i="2" s="1"/>
  <c r="L895" i="2"/>
  <c r="M895" i="2" s="1"/>
  <c r="N895" i="2" s="1"/>
  <c r="L924" i="2"/>
  <c r="L927" i="2"/>
  <c r="L1011" i="2"/>
  <c r="M1011" i="2" s="1"/>
  <c r="N1011" i="2" s="1"/>
  <c r="L1031" i="2"/>
  <c r="L1040" i="2"/>
  <c r="L1043" i="2"/>
  <c r="L1046" i="2"/>
  <c r="L1085" i="2"/>
  <c r="M1085" i="2" s="1"/>
  <c r="N1085" i="2" s="1"/>
  <c r="L1095" i="2"/>
  <c r="L1186" i="2"/>
  <c r="N1186" i="2" s="1"/>
  <c r="L1254" i="2"/>
  <c r="N1254" i="2" s="1"/>
  <c r="L1261" i="2"/>
  <c r="M1261" i="2" s="1"/>
  <c r="N1261" i="2" s="1"/>
  <c r="L1290" i="2"/>
  <c r="M1290" i="2" s="1"/>
  <c r="N1290" i="2" s="1"/>
  <c r="L1356" i="2"/>
  <c r="L1361" i="2"/>
  <c r="L347" i="2"/>
  <c r="M347" i="2" s="1"/>
  <c r="N347" i="2" s="1"/>
  <c r="L377" i="2"/>
  <c r="N377" i="2" s="1"/>
  <c r="L395" i="2"/>
  <c r="N395" i="2" s="1"/>
  <c r="L402" i="2"/>
  <c r="M402" i="2" s="1"/>
  <c r="N402" i="2" s="1"/>
  <c r="L410" i="2"/>
  <c r="M410" i="2" s="1"/>
  <c r="N410" i="2" s="1"/>
  <c r="L413" i="2"/>
  <c r="M413" i="2" s="1"/>
  <c r="N413" i="2" s="1"/>
  <c r="L427" i="2"/>
  <c r="N427" i="2" s="1"/>
  <c r="L431" i="2"/>
  <c r="N431" i="2" s="1"/>
  <c r="L442" i="2"/>
  <c r="L446" i="2"/>
  <c r="M446" i="2" s="1"/>
  <c r="N446" i="2" s="1"/>
  <c r="L452" i="2"/>
  <c r="L472" i="2"/>
  <c r="M472" i="2" s="1"/>
  <c r="N472" i="2" s="1"/>
  <c r="L482" i="2"/>
  <c r="M482" i="2" s="1"/>
  <c r="N482" i="2" s="1"/>
  <c r="L526" i="2"/>
  <c r="L539" i="2"/>
  <c r="L572" i="2"/>
  <c r="M572" i="2" s="1"/>
  <c r="N572" i="2" s="1"/>
  <c r="L657" i="2"/>
  <c r="L665" i="2"/>
  <c r="M665" i="2" s="1"/>
  <c r="N665" i="2" s="1"/>
  <c r="L679" i="2"/>
  <c r="M679" i="2" s="1"/>
  <c r="L798" i="2"/>
  <c r="N798" i="2" s="1"/>
  <c r="L878" i="2"/>
  <c r="M878" i="2" s="1"/>
  <c r="N878" i="2" s="1"/>
  <c r="L892" i="2"/>
  <c r="M892" i="2" s="1"/>
  <c r="N892" i="2" s="1"/>
  <c r="L896" i="2"/>
  <c r="N896" i="2" s="1"/>
  <c r="L988" i="2"/>
  <c r="M988" i="2" s="1"/>
  <c r="N988" i="2" s="1"/>
  <c r="L1069" i="2"/>
  <c r="L1103" i="2"/>
  <c r="M1103" i="2" s="1"/>
  <c r="N1103" i="2" s="1"/>
  <c r="L1241" i="2"/>
  <c r="M1241" i="2" s="1"/>
  <c r="N1241" i="2" s="1"/>
  <c r="L1604" i="2"/>
  <c r="N1604" i="2" s="1"/>
  <c r="L1648" i="2"/>
  <c r="N1648" i="2" s="1"/>
  <c r="L478" i="2"/>
  <c r="M478" i="2" s="1"/>
  <c r="N478" i="2" s="1"/>
  <c r="L496" i="2"/>
  <c r="N496" i="2" s="1"/>
  <c r="L507" i="2"/>
  <c r="L523" i="2"/>
  <c r="L573" i="2"/>
  <c r="N573" i="2" s="1"/>
  <c r="L599" i="2"/>
  <c r="M599" i="2" s="1"/>
  <c r="N599" i="2" s="1"/>
  <c r="L623" i="2"/>
  <c r="M623" i="2" s="1"/>
  <c r="N623" i="2" s="1"/>
  <c r="L658" i="2"/>
  <c r="L683" i="2"/>
  <c r="M683" i="2" s="1"/>
  <c r="N683" i="2" s="1"/>
  <c r="L727" i="2"/>
  <c r="M727" i="2" s="1"/>
  <c r="L753" i="2"/>
  <c r="L774" i="2"/>
  <c r="M774" i="2" s="1"/>
  <c r="N774" i="2" s="1"/>
  <c r="L793" i="2"/>
  <c r="M793" i="2" s="1"/>
  <c r="N793" i="2" s="1"/>
  <c r="L848" i="2"/>
  <c r="M848" i="2" s="1"/>
  <c r="N848" i="2" s="1"/>
  <c r="L885" i="2"/>
  <c r="M885" i="2" s="1"/>
  <c r="L893" i="2"/>
  <c r="M893" i="2" s="1"/>
  <c r="N893" i="2" s="1"/>
  <c r="L942" i="2"/>
  <c r="M942" i="2" s="1"/>
  <c r="N942" i="2" s="1"/>
  <c r="L945" i="2"/>
  <c r="L949" i="2"/>
  <c r="L962" i="2"/>
  <c r="M962" i="2" s="1"/>
  <c r="N962" i="2" s="1"/>
  <c r="L985" i="2"/>
  <c r="M985" i="2" s="1"/>
  <c r="N985" i="2" s="1"/>
  <c r="L1008" i="2"/>
  <c r="M1008" i="2" s="1"/>
  <c r="N1008" i="2" s="1"/>
  <c r="L1048" i="2"/>
  <c r="L1051" i="2"/>
  <c r="M1051" i="2" s="1"/>
  <c r="L1061" i="2"/>
  <c r="M1061" i="2" s="1"/>
  <c r="L1072" i="2"/>
  <c r="M1072" i="2" s="1"/>
  <c r="L1083" i="2"/>
  <c r="M1083" i="2" s="1"/>
  <c r="N1083" i="2" s="1"/>
  <c r="L1142" i="2"/>
  <c r="M1142" i="2" s="1"/>
  <c r="L1157" i="2"/>
  <c r="M1157" i="2" s="1"/>
  <c r="N1157" i="2" s="1"/>
  <c r="L1174" i="2"/>
  <c r="M1174" i="2" s="1"/>
  <c r="N1174" i="2" s="1"/>
  <c r="L1184" i="2"/>
  <c r="L1223" i="2"/>
  <c r="M1223" i="2" s="1"/>
  <c r="N1223" i="2" s="1"/>
  <c r="L1238" i="2"/>
  <c r="N1238" i="2" s="1"/>
  <c r="L1245" i="2"/>
  <c r="M1245" i="2" s="1"/>
  <c r="N1245" i="2" s="1"/>
  <c r="L1282" i="2"/>
  <c r="N1282" i="2" s="1"/>
  <c r="L1984" i="2"/>
  <c r="M1984" i="2" s="1"/>
  <c r="N1984" i="2" s="1"/>
  <c r="L841" i="2"/>
  <c r="M841" i="2" s="1"/>
  <c r="N841" i="2" s="1"/>
  <c r="L875" i="2"/>
  <c r="M875" i="2" s="1"/>
  <c r="N875" i="2" s="1"/>
  <c r="L999" i="2"/>
  <c r="M999" i="2" s="1"/>
  <c r="N999" i="2" s="1"/>
  <c r="L1076" i="2"/>
  <c r="L1178" i="2"/>
  <c r="M1178" i="2" s="1"/>
  <c r="L15" i="2"/>
  <c r="N15" i="2" s="1"/>
  <c r="L68" i="2"/>
  <c r="N68" i="2" s="1"/>
  <c r="L75" i="2"/>
  <c r="M75" i="2" s="1"/>
  <c r="N75" i="2" s="1"/>
  <c r="L101" i="2"/>
  <c r="M101" i="2" s="1"/>
  <c r="N101" i="2" s="1"/>
  <c r="L113" i="2"/>
  <c r="N113" i="2" s="1"/>
  <c r="L119" i="2"/>
  <c r="L126" i="2"/>
  <c r="L137" i="2"/>
  <c r="L181" i="2"/>
  <c r="N181" i="2" s="1"/>
  <c r="L188" i="2"/>
  <c r="L204" i="2"/>
  <c r="N204" i="2" s="1"/>
  <c r="L208" i="2"/>
  <c r="N208" i="2" s="1"/>
  <c r="L221" i="2"/>
  <c r="L238" i="2"/>
  <c r="N238" i="2" s="1"/>
  <c r="L248" i="2"/>
  <c r="M248" i="2" s="1"/>
  <c r="N248" i="2" s="1"/>
  <c r="L254" i="2"/>
  <c r="L261" i="2"/>
  <c r="L282" i="2"/>
  <c r="M282" i="2" s="1"/>
  <c r="N282" i="2" s="1"/>
  <c r="L286" i="2"/>
  <c r="M286" i="2" s="1"/>
  <c r="N286" i="2" s="1"/>
  <c r="L301" i="2"/>
  <c r="M301" i="2" s="1"/>
  <c r="N301" i="2" s="1"/>
  <c r="L308" i="2"/>
  <c r="N308" i="2" s="1"/>
  <c r="L311" i="2"/>
  <c r="N311" i="2" s="1"/>
  <c r="L314" i="2"/>
  <c r="N314" i="2" s="1"/>
  <c r="L317" i="2"/>
  <c r="N317" i="2" s="1"/>
  <c r="L325" i="2"/>
  <c r="M325" i="2" s="1"/>
  <c r="N325" i="2" s="1"/>
  <c r="L349" i="2"/>
  <c r="N349" i="2" s="1"/>
  <c r="L369" i="2"/>
  <c r="N369" i="2" s="1"/>
  <c r="L375" i="2"/>
  <c r="N375" i="2" s="1"/>
  <c r="L409" i="2"/>
  <c r="L415" i="2"/>
  <c r="M415" i="2" s="1"/>
  <c r="N415" i="2" s="1"/>
  <c r="L418" i="2"/>
  <c r="M418" i="2" s="1"/>
  <c r="N418" i="2" s="1"/>
  <c r="L436" i="2"/>
  <c r="M436" i="2" s="1"/>
  <c r="N436" i="2" s="1"/>
  <c r="L440" i="2"/>
  <c r="N440" i="2" s="1"/>
  <c r="L467" i="2"/>
  <c r="N467" i="2" s="1"/>
  <c r="L470" i="2"/>
  <c r="N470" i="2" s="1"/>
  <c r="L489" i="2"/>
  <c r="N489" i="2" s="1"/>
  <c r="L502" i="2"/>
  <c r="M502" i="2" s="1"/>
  <c r="L508" i="2"/>
  <c r="L515" i="2"/>
  <c r="M515" i="2" s="1"/>
  <c r="N515" i="2" s="1"/>
  <c r="L544" i="2"/>
  <c r="M544" i="2" s="1"/>
  <c r="N544" i="2" s="1"/>
  <c r="L574" i="2"/>
  <c r="N574" i="2" s="1"/>
  <c r="L590" i="2"/>
  <c r="M590" i="2" s="1"/>
  <c r="N590" i="2" s="1"/>
  <c r="L610" i="2"/>
  <c r="M610" i="2" s="1"/>
  <c r="N610" i="2" s="1"/>
  <c r="L643" i="2"/>
  <c r="M643" i="2" s="1"/>
  <c r="N643" i="2" s="1"/>
  <c r="L659" i="2"/>
  <c r="L709" i="2"/>
  <c r="M709" i="2" s="1"/>
  <c r="N709" i="2" s="1"/>
  <c r="L757" i="2"/>
  <c r="L779" i="2"/>
  <c r="N779" i="2" s="1"/>
  <c r="L783" i="2"/>
  <c r="L822" i="2"/>
  <c r="N822" i="2" s="1"/>
  <c r="L826" i="2"/>
  <c r="L842" i="2"/>
  <c r="N842" i="2" s="1"/>
  <c r="L860" i="2"/>
  <c r="M860" i="2" s="1"/>
  <c r="N860" i="2" s="1"/>
  <c r="L876" i="2"/>
  <c r="M876" i="2" s="1"/>
  <c r="N876" i="2" s="1"/>
  <c r="L904" i="2"/>
  <c r="N904" i="2" s="1"/>
  <c r="L907" i="2"/>
  <c r="L923" i="2"/>
  <c r="L930" i="2"/>
  <c r="M930" i="2" s="1"/>
  <c r="N930" i="2" s="1"/>
  <c r="L940" i="2"/>
  <c r="M940" i="2" s="1"/>
  <c r="L978" i="2"/>
  <c r="M978" i="2" s="1"/>
  <c r="N978" i="2" s="1"/>
  <c r="L1024" i="2"/>
  <c r="M1024" i="2" s="1"/>
  <c r="L1030" i="2"/>
  <c r="L1035" i="2"/>
  <c r="M1035" i="2" s="1"/>
  <c r="N1035" i="2" s="1"/>
  <c r="L1052" i="2"/>
  <c r="N1052" i="2" s="1"/>
  <c r="L1158" i="2"/>
  <c r="M1158" i="2" s="1"/>
  <c r="L1204" i="2"/>
  <c r="L1224" i="2"/>
  <c r="N1224" i="2" s="1"/>
  <c r="L1307" i="2"/>
  <c r="M1307" i="2" s="1"/>
  <c r="L1739" i="2"/>
  <c r="L19" i="2"/>
  <c r="M19" i="2" s="1"/>
  <c r="N19" i="2" s="1"/>
  <c r="L26" i="2"/>
  <c r="M26" i="2" s="1"/>
  <c r="L44" i="2"/>
  <c r="M44" i="2" s="1"/>
  <c r="L55" i="2"/>
  <c r="M55" i="2" s="1"/>
  <c r="N55" i="2" s="1"/>
  <c r="L71" i="2"/>
  <c r="M71" i="2" s="1"/>
  <c r="N71" i="2" s="1"/>
  <c r="L83" i="2"/>
  <c r="M83" i="2" s="1"/>
  <c r="N83" i="2" s="1"/>
  <c r="L110" i="2"/>
  <c r="M110" i="2" s="1"/>
  <c r="L130" i="2"/>
  <c r="N130" i="2" s="1"/>
  <c r="L172" i="2"/>
  <c r="L232" i="2"/>
  <c r="N232" i="2" s="1"/>
  <c r="L245" i="2"/>
  <c r="M245" i="2" s="1"/>
  <c r="L258" i="2"/>
  <c r="M258" i="2" s="1"/>
  <c r="N258" i="2" s="1"/>
  <c r="L1064" i="2"/>
  <c r="M1064" i="2" s="1"/>
  <c r="N1064" i="2" s="1"/>
  <c r="L1071" i="2"/>
  <c r="L1081" i="2"/>
  <c r="M1081" i="2" s="1"/>
  <c r="L1097" i="2"/>
  <c r="M1097" i="2" s="1"/>
  <c r="N1097" i="2" s="1"/>
  <c r="L1129" i="2"/>
  <c r="M1129" i="2" s="1"/>
  <c r="N1129" i="2" s="1"/>
  <c r="L1182" i="2"/>
  <c r="L1215" i="2"/>
  <c r="N1215" i="2" s="1"/>
  <c r="L1218" i="2"/>
  <c r="M1218" i="2" s="1"/>
  <c r="L1279" i="2"/>
  <c r="M1279" i="2" s="1"/>
  <c r="N1279" i="2" s="1"/>
  <c r="L1336" i="2"/>
  <c r="M1336" i="2" s="1"/>
  <c r="N1336" i="2" s="1"/>
  <c r="L1345" i="2"/>
  <c r="M1345" i="2" s="1"/>
  <c r="L1372" i="2"/>
  <c r="M1372" i="2" s="1"/>
  <c r="N1372" i="2" s="1"/>
  <c r="L1379" i="2"/>
  <c r="M1379" i="2" s="1"/>
  <c r="N1379" i="2" s="1"/>
  <c r="L1389" i="2"/>
  <c r="M1389" i="2" s="1"/>
  <c r="N1389" i="2" s="1"/>
  <c r="L1444" i="2"/>
  <c r="M1444" i="2" s="1"/>
  <c r="N1444" i="2" s="1"/>
  <c r="L1535" i="2"/>
  <c r="M1535" i="2" s="1"/>
  <c r="N1535" i="2" s="1"/>
  <c r="L1539" i="2"/>
  <c r="L1542" i="2"/>
  <c r="M1542" i="2" s="1"/>
  <c r="N1542" i="2" s="1"/>
  <c r="L1547" i="2"/>
  <c r="N1547" i="2" s="1"/>
  <c r="L1573" i="2"/>
  <c r="L1579" i="2"/>
  <c r="N1579" i="2" s="1"/>
  <c r="L1621" i="2"/>
  <c r="L1625" i="2"/>
  <c r="L1646" i="2"/>
  <c r="M1646" i="2" s="1"/>
  <c r="L1753" i="2"/>
  <c r="M1753" i="2" s="1"/>
  <c r="N1753" i="2" s="1"/>
  <c r="L1845" i="2"/>
  <c r="L2004" i="2"/>
  <c r="N2004" i="2" s="1"/>
  <c r="L1364" i="2"/>
  <c r="L1373" i="2"/>
  <c r="N1373" i="2" s="1"/>
  <c r="L1459" i="2"/>
  <c r="M1459" i="2" s="1"/>
  <c r="N1459" i="2" s="1"/>
  <c r="L1469" i="2"/>
  <c r="M1469" i="2" s="1"/>
  <c r="N1469" i="2" s="1"/>
  <c r="L1479" i="2"/>
  <c r="M1479" i="2" s="1"/>
  <c r="N1479" i="2" s="1"/>
  <c r="L1486" i="2"/>
  <c r="M1486" i="2" s="1"/>
  <c r="N1486" i="2" s="1"/>
  <c r="L1506" i="2"/>
  <c r="L1510" i="2"/>
  <c r="M1510" i="2" s="1"/>
  <c r="N1510" i="2" s="1"/>
  <c r="L1527" i="2"/>
  <c r="M1527" i="2" s="1"/>
  <c r="N1527" i="2" s="1"/>
  <c r="L1536" i="2"/>
  <c r="M1536" i="2" s="1"/>
  <c r="N1536" i="2" s="1"/>
  <c r="L1544" i="2"/>
  <c r="M1544" i="2" s="1"/>
  <c r="N1544" i="2" s="1"/>
  <c r="L1548" i="2"/>
  <c r="M1548" i="2" s="1"/>
  <c r="N1548" i="2" s="1"/>
  <c r="L1603" i="2"/>
  <c r="N1603" i="2" s="1"/>
  <c r="L1610" i="2"/>
  <c r="N1610" i="2" s="1"/>
  <c r="L1632" i="2"/>
  <c r="M1632" i="2" s="1"/>
  <c r="N1632" i="2" s="1"/>
  <c r="L1639" i="2"/>
  <c r="N1639" i="2" s="1"/>
  <c r="L1667" i="2"/>
  <c r="L1671" i="2"/>
  <c r="N1671" i="2" s="1"/>
  <c r="L1682" i="2"/>
  <c r="M1682" i="2" s="1"/>
  <c r="N1682" i="2" s="1"/>
  <c r="L1703" i="2"/>
  <c r="M1703" i="2" s="1"/>
  <c r="L1730" i="2"/>
  <c r="N1730" i="2" s="1"/>
  <c r="L1758" i="2"/>
  <c r="M1758" i="2" s="1"/>
  <c r="N1758" i="2" s="1"/>
  <c r="L1916" i="2"/>
  <c r="M1916" i="2" s="1"/>
  <c r="L1937" i="2"/>
  <c r="L1948" i="2"/>
  <c r="L1955" i="2"/>
  <c r="L1974" i="2"/>
  <c r="M1974" i="2" s="1"/>
  <c r="N1974" i="2" s="1"/>
  <c r="L2050" i="2"/>
  <c r="N2050" i="2" s="1"/>
  <c r="L1419" i="2"/>
  <c r="M1419" i="2" s="1"/>
  <c r="N1419" i="2" s="1"/>
  <c r="L1423" i="2"/>
  <c r="M1423" i="2" s="1"/>
  <c r="N1423" i="2" s="1"/>
  <c r="L1460" i="2"/>
  <c r="M1460" i="2" s="1"/>
  <c r="N1460" i="2" s="1"/>
  <c r="L1521" i="2"/>
  <c r="N1521" i="2" s="1"/>
  <c r="L1528" i="2"/>
  <c r="M1528" i="2" s="1"/>
  <c r="L1587" i="2"/>
  <c r="N1587" i="2" s="1"/>
  <c r="L1623" i="2"/>
  <c r="N1623" i="2" s="1"/>
  <c r="L1668" i="2"/>
  <c r="L1673" i="2"/>
  <c r="M1673" i="2" s="1"/>
  <c r="N1673" i="2" s="1"/>
  <c r="L1679" i="2"/>
  <c r="M1679" i="2" s="1"/>
  <c r="N1679" i="2" s="1"/>
  <c r="L1690" i="2"/>
  <c r="M1690" i="2" s="1"/>
  <c r="L1714" i="2"/>
  <c r="L1742" i="2"/>
  <c r="M1742" i="2" s="1"/>
  <c r="N1742" i="2" s="1"/>
  <c r="L1766" i="2"/>
  <c r="N1766" i="2" s="1"/>
  <c r="L1773" i="2"/>
  <c r="L1791" i="2"/>
  <c r="M1791" i="2" s="1"/>
  <c r="N1791" i="2" s="1"/>
  <c r="L1857" i="2"/>
  <c r="L1864" i="2"/>
  <c r="N1864" i="2" s="1"/>
  <c r="L1885" i="2"/>
  <c r="L1924" i="2"/>
  <c r="L1975" i="2"/>
  <c r="M1975" i="2" s="1"/>
  <c r="N1975" i="2" s="1"/>
  <c r="L1979" i="2"/>
  <c r="M1979" i="2" s="1"/>
  <c r="N1979" i="2" s="1"/>
  <c r="L2040" i="2"/>
  <c r="M2040" i="2" s="1"/>
  <c r="L833" i="2"/>
  <c r="L849" i="2"/>
  <c r="M849" i="2" s="1"/>
  <c r="N849" i="2" s="1"/>
  <c r="L968" i="2"/>
  <c r="N968" i="2" s="1"/>
  <c r="L1019" i="2"/>
  <c r="M1019" i="2" s="1"/>
  <c r="N1019" i="2" s="1"/>
  <c r="L1066" i="2"/>
  <c r="M1066" i="2" s="1"/>
  <c r="N1066" i="2" s="1"/>
  <c r="L1093" i="2"/>
  <c r="M1093" i="2" s="1"/>
  <c r="N1093" i="2" s="1"/>
  <c r="L1249" i="2"/>
  <c r="M1249" i="2" s="1"/>
  <c r="N1249" i="2" s="1"/>
  <c r="L1388" i="2"/>
  <c r="L1395" i="2"/>
  <c r="L1406" i="2"/>
  <c r="M1406" i="2" s="1"/>
  <c r="N1406" i="2" s="1"/>
  <c r="L1443" i="2"/>
  <c r="M1443" i="2" s="1"/>
  <c r="N1443" i="2" s="1"/>
  <c r="L1450" i="2"/>
  <c r="M1450" i="2" s="1"/>
  <c r="N1450" i="2" s="1"/>
  <c r="L1453" i="2"/>
  <c r="M1453" i="2" s="1"/>
  <c r="N1453" i="2" s="1"/>
  <c r="L1457" i="2"/>
  <c r="M1457" i="2" s="1"/>
  <c r="N1457" i="2" s="1"/>
  <c r="L1498" i="2"/>
  <c r="M1498" i="2" s="1"/>
  <c r="N1498" i="2" s="1"/>
  <c r="L1508" i="2"/>
  <c r="M1508" i="2" s="1"/>
  <c r="L1562" i="2"/>
  <c r="N1562" i="2" s="1"/>
  <c r="L1569" i="2"/>
  <c r="M1569" i="2" s="1"/>
  <c r="N1569" i="2" s="1"/>
  <c r="L1572" i="2"/>
  <c r="M1572" i="2" s="1"/>
  <c r="N1572" i="2" s="1"/>
  <c r="L1624" i="2"/>
  <c r="L1665" i="2"/>
  <c r="M1665" i="2" s="1"/>
  <c r="N1665" i="2" s="1"/>
  <c r="L1687" i="2"/>
  <c r="M1687" i="2" s="1"/>
  <c r="N1687" i="2" s="1"/>
  <c r="L1755" i="2"/>
  <c r="L1996" i="2"/>
  <c r="M1996" i="2" s="1"/>
  <c r="N1996" i="2" s="1"/>
  <c r="L2024" i="2"/>
  <c r="M2024" i="2" s="1"/>
  <c r="N2024" i="2" s="1"/>
  <c r="L824" i="2"/>
  <c r="N824" i="2" s="1"/>
  <c r="L828" i="2"/>
  <c r="M828" i="2" s="1"/>
  <c r="N828" i="2" s="1"/>
  <c r="L843" i="2"/>
  <c r="M843" i="2" s="1"/>
  <c r="N843" i="2" s="1"/>
  <c r="L853" i="2"/>
  <c r="L859" i="2"/>
  <c r="M859" i="2" s="1"/>
  <c r="N859" i="2" s="1"/>
  <c r="L866" i="2"/>
  <c r="L871" i="2"/>
  <c r="L877" i="2"/>
  <c r="M877" i="2" s="1"/>
  <c r="N877" i="2" s="1"/>
  <c r="L883" i="2"/>
  <c r="M883" i="2" s="1"/>
  <c r="N883" i="2" s="1"/>
  <c r="L894" i="2"/>
  <c r="L900" i="2"/>
  <c r="N900" i="2" s="1"/>
  <c r="L948" i="2"/>
  <c r="L951" i="2"/>
  <c r="L955" i="2"/>
  <c r="M955" i="2" s="1"/>
  <c r="L965" i="2"/>
  <c r="M965" i="2" s="1"/>
  <c r="L979" i="2"/>
  <c r="M979" i="2" s="1"/>
  <c r="N979" i="2" s="1"/>
  <c r="L984" i="2"/>
  <c r="M984" i="2" s="1"/>
  <c r="N984" i="2" s="1"/>
  <c r="L996" i="2"/>
  <c r="M996" i="2" s="1"/>
  <c r="N996" i="2" s="1"/>
  <c r="L1006" i="2"/>
  <c r="L1023" i="2"/>
  <c r="M1023" i="2" s="1"/>
  <c r="L1038" i="2"/>
  <c r="M1038" i="2" s="1"/>
  <c r="N1038" i="2" s="1"/>
  <c r="L1041" i="2"/>
  <c r="L1091" i="2"/>
  <c r="M1091" i="2" s="1"/>
  <c r="N1091" i="2" s="1"/>
  <c r="L1108" i="2"/>
  <c r="M1108" i="2" s="1"/>
  <c r="N1108" i="2" s="1"/>
  <c r="L1145" i="2"/>
  <c r="M1145" i="2" s="1"/>
  <c r="N1145" i="2" s="1"/>
  <c r="L1163" i="2"/>
  <c r="N1163" i="2" s="1"/>
  <c r="L1185" i="2"/>
  <c r="M1185" i="2" s="1"/>
  <c r="N1185" i="2" s="1"/>
  <c r="L1188" i="2"/>
  <c r="L1203" i="2"/>
  <c r="N1203" i="2" s="1"/>
  <c r="L1264" i="2"/>
  <c r="N1264" i="2" s="1"/>
  <c r="L1283" i="2"/>
  <c r="L1332" i="2"/>
  <c r="N1332" i="2" s="1"/>
  <c r="L1335" i="2"/>
  <c r="N1335" i="2" s="1"/>
  <c r="L1399" i="2"/>
  <c r="N1399" i="2" s="1"/>
  <c r="L1454" i="2"/>
  <c r="M1454" i="2" s="1"/>
  <c r="N1454" i="2" s="1"/>
  <c r="L1492" i="2"/>
  <c r="M1492" i="2" s="1"/>
  <c r="N1492" i="2" s="1"/>
  <c r="L1598" i="2"/>
  <c r="N1598" i="2" s="1"/>
  <c r="L1642" i="2"/>
  <c r="M1642" i="2" s="1"/>
  <c r="N1642" i="2" s="1"/>
  <c r="L1692" i="2"/>
  <c r="N1692" i="2" s="1"/>
  <c r="L1709" i="2"/>
  <c r="L1712" i="2"/>
  <c r="M1712" i="2" s="1"/>
  <c r="L1725" i="2"/>
  <c r="M1725" i="2" s="1"/>
  <c r="L1729" i="2"/>
  <c r="M1729" i="2" s="1"/>
  <c r="N1729" i="2" s="1"/>
  <c r="L1733" i="2"/>
  <c r="M1733" i="2" s="1"/>
  <c r="L1737" i="2"/>
  <c r="M1737" i="2" s="1"/>
  <c r="N1737" i="2" s="1"/>
  <c r="L1740" i="2"/>
  <c r="N1740" i="2" s="1"/>
  <c r="L1748" i="2"/>
  <c r="N1748" i="2" s="1"/>
  <c r="L1788" i="2"/>
  <c r="L1809" i="2"/>
  <c r="M1809" i="2" s="1"/>
  <c r="N1809" i="2" s="1"/>
  <c r="L1840" i="2"/>
  <c r="N1840" i="2" s="1"/>
  <c r="L1862" i="2"/>
  <c r="L1932" i="2"/>
  <c r="L1966" i="2"/>
  <c r="M1966" i="2" s="1"/>
  <c r="N1966" i="2" s="1"/>
  <c r="L2007" i="2"/>
  <c r="N2007" i="2" s="1"/>
  <c r="L2028" i="2"/>
  <c r="M2028" i="2" s="1"/>
  <c r="N2028" i="2" s="1"/>
  <c r="L2064" i="2"/>
  <c r="N2064" i="2" s="1"/>
  <c r="L2297" i="2"/>
  <c r="M2297" i="2" s="1"/>
  <c r="L2118" i="2"/>
  <c r="L2126" i="2"/>
  <c r="M2126" i="2" s="1"/>
  <c r="L2129" i="2"/>
  <c r="M2129" i="2" s="1"/>
  <c r="N2129" i="2" s="1"/>
  <c r="L2149" i="2"/>
  <c r="M2149" i="2" s="1"/>
  <c r="L2153" i="2"/>
  <c r="M2153" i="2" s="1"/>
  <c r="N2153" i="2" s="1"/>
  <c r="L2175" i="2"/>
  <c r="M2175" i="2" s="1"/>
  <c r="N2175" i="2" s="1"/>
  <c r="L2182" i="2"/>
  <c r="M2182" i="2" s="1"/>
  <c r="N2182" i="2" s="1"/>
  <c r="L2206" i="2"/>
  <c r="M2206" i="2" s="1"/>
  <c r="N2206" i="2" s="1"/>
  <c r="L2291" i="2"/>
  <c r="M2291" i="2" s="1"/>
  <c r="N2291" i="2" s="1"/>
  <c r="L2322" i="2"/>
  <c r="N2322" i="2" s="1"/>
  <c r="L2326" i="2"/>
  <c r="N2326" i="2" s="1"/>
  <c r="L2413" i="2"/>
  <c r="L1819" i="2"/>
  <c r="N1819" i="2" s="1"/>
  <c r="L1828" i="2"/>
  <c r="M1828" i="2" s="1"/>
  <c r="N1828" i="2" s="1"/>
  <c r="L1831" i="2"/>
  <c r="L1852" i="2"/>
  <c r="L1865" i="2"/>
  <c r="L1879" i="2"/>
  <c r="N1879" i="2" s="1"/>
  <c r="L1882" i="2"/>
  <c r="M1882" i="2" s="1"/>
  <c r="L1886" i="2"/>
  <c r="L1889" i="2"/>
  <c r="L1905" i="2"/>
  <c r="L1956" i="2"/>
  <c r="L1976" i="2"/>
  <c r="M1976" i="2" s="1"/>
  <c r="N1976" i="2" s="1"/>
  <c r="L1981" i="2"/>
  <c r="M1981" i="2" s="1"/>
  <c r="N1981" i="2" s="1"/>
  <c r="L1999" i="2"/>
  <c r="L2025" i="2"/>
  <c r="L2041" i="2"/>
  <c r="L2068" i="2"/>
  <c r="M2068" i="2" s="1"/>
  <c r="L2103" i="2"/>
  <c r="L2109" i="2"/>
  <c r="L2145" i="2"/>
  <c r="M2145" i="2" s="1"/>
  <c r="L2154" i="2"/>
  <c r="M2154" i="2" s="1"/>
  <c r="N2154" i="2" s="1"/>
  <c r="L2157" i="2"/>
  <c r="M2157" i="2" s="1"/>
  <c r="N2157" i="2" s="1"/>
  <c r="L2179" i="2"/>
  <c r="M2179" i="2" s="1"/>
  <c r="N2179" i="2" s="1"/>
  <c r="L2234" i="2"/>
  <c r="M2234" i="2" s="1"/>
  <c r="N2234" i="2" s="1"/>
  <c r="L2244" i="2"/>
  <c r="M2244" i="2" s="1"/>
  <c r="N2244" i="2" s="1"/>
  <c r="L2264" i="2"/>
  <c r="M2264" i="2" s="1"/>
  <c r="N2264" i="2" s="1"/>
  <c r="L2323" i="2"/>
  <c r="M2323" i="2" s="1"/>
  <c r="N2323" i="2" s="1"/>
  <c r="L2359" i="2"/>
  <c r="L2378" i="2"/>
  <c r="N2378" i="2" s="1"/>
  <c r="L2460" i="2"/>
  <c r="N2460" i="2" s="1"/>
  <c r="L2052" i="2"/>
  <c r="N2052" i="2" s="1"/>
  <c r="L2093" i="2"/>
  <c r="M2093" i="2" s="1"/>
  <c r="N2093" i="2" s="1"/>
  <c r="L2166" i="2"/>
  <c r="M2166" i="2" s="1"/>
  <c r="N2166" i="2" s="1"/>
  <c r="L2190" i="2"/>
  <c r="M2190" i="2" s="1"/>
  <c r="N2190" i="2" s="1"/>
  <c r="L2250" i="2"/>
  <c r="L2306" i="2"/>
  <c r="M2306" i="2" s="1"/>
  <c r="N2306" i="2" s="1"/>
  <c r="L2340" i="2"/>
  <c r="L2379" i="2"/>
  <c r="N2379" i="2" s="1"/>
  <c r="L2396" i="2"/>
  <c r="N2396" i="2" s="1"/>
  <c r="L2403" i="2"/>
  <c r="N2403" i="2" s="1"/>
  <c r="L2419" i="2"/>
  <c r="M2419" i="2" s="1"/>
  <c r="N2419" i="2" s="1"/>
  <c r="L2452" i="2"/>
  <c r="N2452" i="2" s="1"/>
  <c r="L1191" i="2"/>
  <c r="L1229" i="2"/>
  <c r="M1229" i="2" s="1"/>
  <c r="N1229" i="2" s="1"/>
  <c r="L1232" i="2"/>
  <c r="N1232" i="2" s="1"/>
  <c r="L1240" i="2"/>
  <c r="N1240" i="2" s="1"/>
  <c r="L1243" i="2"/>
  <c r="L1253" i="2"/>
  <c r="N1253" i="2" s="1"/>
  <c r="L1288" i="2"/>
  <c r="N1288" i="2" s="1"/>
  <c r="L1300" i="2"/>
  <c r="L1305" i="2"/>
  <c r="N1305" i="2" s="1"/>
  <c r="L1368" i="2"/>
  <c r="N1368" i="2" s="1"/>
  <c r="L1371" i="2"/>
  <c r="M1371" i="2" s="1"/>
  <c r="N1371" i="2" s="1"/>
  <c r="L1461" i="2"/>
  <c r="M1461" i="2" s="1"/>
  <c r="N1461" i="2" s="1"/>
  <c r="L1477" i="2"/>
  <c r="M1477" i="2" s="1"/>
  <c r="L1493" i="2"/>
  <c r="L1596" i="2"/>
  <c r="N1596" i="2" s="1"/>
  <c r="L1662" i="2"/>
  <c r="M1662" i="2" s="1"/>
  <c r="N1662" i="2" s="1"/>
  <c r="L1674" i="2"/>
  <c r="N1674" i="2" s="1"/>
  <c r="L1859" i="2"/>
  <c r="L2072" i="2"/>
  <c r="M2072" i="2" s="1"/>
  <c r="N2072" i="2" s="1"/>
  <c r="L2211" i="2"/>
  <c r="M2211" i="2" s="1"/>
  <c r="N2211" i="2" s="1"/>
  <c r="L2287" i="2"/>
  <c r="M2287" i="2" s="1"/>
  <c r="L2469" i="2"/>
  <c r="L1213" i="2"/>
  <c r="L1226" i="2"/>
  <c r="M1226" i="2" s="1"/>
  <c r="L1237" i="2"/>
  <c r="N1237" i="2" s="1"/>
  <c r="L1271" i="2"/>
  <c r="N1271" i="2" s="1"/>
  <c r="L1309" i="2"/>
  <c r="M1309" i="2" s="1"/>
  <c r="N1309" i="2" s="1"/>
  <c r="L1312" i="2"/>
  <c r="L1334" i="2"/>
  <c r="N1334" i="2" s="1"/>
  <c r="L1381" i="2"/>
  <c r="M1381" i="2" s="1"/>
  <c r="N1381" i="2" s="1"/>
  <c r="L1384" i="2"/>
  <c r="N1384" i="2" s="1"/>
  <c r="L1387" i="2"/>
  <c r="N1387" i="2" s="1"/>
  <c r="L1390" i="2"/>
  <c r="N1390" i="2" s="1"/>
  <c r="L1397" i="2"/>
  <c r="M1397" i="2" s="1"/>
  <c r="N1397" i="2" s="1"/>
  <c r="L1400" i="2"/>
  <c r="M1400" i="2" s="1"/>
  <c r="N1400" i="2" s="1"/>
  <c r="L1407" i="2"/>
  <c r="N1407" i="2" s="1"/>
  <c r="L1411" i="2"/>
  <c r="L1421" i="2"/>
  <c r="M1421" i="2" s="1"/>
  <c r="N1421" i="2" s="1"/>
  <c r="L1424" i="2"/>
  <c r="N1424" i="2" s="1"/>
  <c r="L1429" i="2"/>
  <c r="M1429" i="2" s="1"/>
  <c r="N1429" i="2" s="1"/>
  <c r="L1436" i="2"/>
  <c r="M1436" i="2" s="1"/>
  <c r="N1436" i="2" s="1"/>
  <c r="L1439" i="2"/>
  <c r="M1439" i="2" s="1"/>
  <c r="N1439" i="2" s="1"/>
  <c r="L1442" i="2"/>
  <c r="M1442" i="2" s="1"/>
  <c r="N1442" i="2" s="1"/>
  <c r="L1445" i="2"/>
  <c r="M1445" i="2" s="1"/>
  <c r="N1445" i="2" s="1"/>
  <c r="L1455" i="2"/>
  <c r="M1455" i="2" s="1"/>
  <c r="N1455" i="2" s="1"/>
  <c r="L1458" i="2"/>
  <c r="M1458" i="2" s="1"/>
  <c r="N1458" i="2" s="1"/>
  <c r="L1468" i="2"/>
  <c r="M1468" i="2" s="1"/>
  <c r="N1468" i="2" s="1"/>
  <c r="L1484" i="2"/>
  <c r="M1484" i="2" s="1"/>
  <c r="N1484" i="2" s="1"/>
  <c r="L1487" i="2"/>
  <c r="M1487" i="2" s="1"/>
  <c r="N1487" i="2" s="1"/>
  <c r="L1490" i="2"/>
  <c r="M1490" i="2" s="1"/>
  <c r="N1490" i="2" s="1"/>
  <c r="L1516" i="2"/>
  <c r="M1516" i="2" s="1"/>
  <c r="N1516" i="2" s="1"/>
  <c r="L1546" i="2"/>
  <c r="M1546" i="2" s="1"/>
  <c r="N1546" i="2" s="1"/>
  <c r="L1553" i="2"/>
  <c r="L1561" i="2"/>
  <c r="M1561" i="2" s="1"/>
  <c r="N1561" i="2" s="1"/>
  <c r="L1568" i="2"/>
  <c r="M1568" i="2" s="1"/>
  <c r="N1568" i="2" s="1"/>
  <c r="L1583" i="2"/>
  <c r="N1583" i="2" s="1"/>
  <c r="L1593" i="2"/>
  <c r="N1593" i="2" s="1"/>
  <c r="L1616" i="2"/>
  <c r="L1630" i="2"/>
  <c r="L1637" i="2"/>
  <c r="L1650" i="2"/>
  <c r="M1650" i="2" s="1"/>
  <c r="N1650" i="2" s="1"/>
  <c r="L1656" i="2"/>
  <c r="L1659" i="2"/>
  <c r="L1663" i="2"/>
  <c r="L1698" i="2"/>
  <c r="L1711" i="2"/>
  <c r="M1711" i="2" s="1"/>
  <c r="N1711" i="2" s="1"/>
  <c r="L1728" i="2"/>
  <c r="L1735" i="2"/>
  <c r="M1735" i="2" s="1"/>
  <c r="N1735" i="2" s="1"/>
  <c r="L1746" i="2"/>
  <c r="M1746" i="2" s="1"/>
  <c r="N1746" i="2" s="1"/>
  <c r="L1749" i="2"/>
  <c r="N1749" i="2" s="1"/>
  <c r="L1838" i="2"/>
  <c r="L1841" i="2"/>
  <c r="L1844" i="2"/>
  <c r="N1844" i="2" s="1"/>
  <c r="L1850" i="2"/>
  <c r="L1860" i="2"/>
  <c r="L1863" i="2"/>
  <c r="N1863" i="2" s="1"/>
  <c r="L1884" i="2"/>
  <c r="L1894" i="2"/>
  <c r="M1894" i="2" s="1"/>
  <c r="L1897" i="2"/>
  <c r="L1907" i="2"/>
  <c r="N1907" i="2" s="1"/>
  <c r="L1933" i="2"/>
  <c r="L1963" i="2"/>
  <c r="L1986" i="2"/>
  <c r="M1986" i="2" s="1"/>
  <c r="N1986" i="2" s="1"/>
  <c r="L2115" i="2"/>
  <c r="L2148" i="2"/>
  <c r="M2148" i="2" s="1"/>
  <c r="L2163" i="2"/>
  <c r="M2163" i="2" s="1"/>
  <c r="N2163" i="2" s="1"/>
  <c r="L2167" i="2"/>
  <c r="M2167" i="2" s="1"/>
  <c r="N2167" i="2" s="1"/>
  <c r="L2261" i="2"/>
  <c r="M2261" i="2" s="1"/>
  <c r="N2261" i="2" s="1"/>
  <c r="L2269" i="2"/>
  <c r="M2269" i="2" s="1"/>
  <c r="N2269" i="2" s="1"/>
  <c r="L2282" i="2"/>
  <c r="M2282" i="2" s="1"/>
  <c r="N2282" i="2" s="1"/>
  <c r="L2328" i="2"/>
  <c r="N2328" i="2" s="1"/>
  <c r="L2335" i="2"/>
  <c r="N2335" i="2" s="1"/>
  <c r="L2363" i="2"/>
  <c r="N2363" i="2" s="1"/>
  <c r="L2441" i="2"/>
  <c r="M2441" i="2" s="1"/>
  <c r="L2444" i="2"/>
  <c r="M2444" i="2" s="1"/>
  <c r="N2444" i="2" s="1"/>
  <c r="L2188" i="2"/>
  <c r="M2188" i="2" s="1"/>
  <c r="N2188" i="2" s="1"/>
  <c r="L2212" i="2"/>
  <c r="M2212" i="2" s="1"/>
  <c r="N2212" i="2" s="1"/>
  <c r="L2225" i="2"/>
  <c r="M2225" i="2" s="1"/>
  <c r="N2225" i="2" s="1"/>
  <c r="L2235" i="2"/>
  <c r="M2235" i="2" s="1"/>
  <c r="L2238" i="2"/>
  <c r="M2238" i="2" s="1"/>
  <c r="N2238" i="2" s="1"/>
  <c r="L2245" i="2"/>
  <c r="M2245" i="2" s="1"/>
  <c r="N2245" i="2" s="1"/>
  <c r="L2270" i="2"/>
  <c r="M2270" i="2" s="1"/>
  <c r="N2270" i="2" s="1"/>
  <c r="L2274" i="2"/>
  <c r="L2277" i="2"/>
  <c r="M2277" i="2" s="1"/>
  <c r="N2277" i="2" s="1"/>
  <c r="L2329" i="2"/>
  <c r="N2329" i="2" s="1"/>
  <c r="L2332" i="2"/>
  <c r="N2332" i="2" s="1"/>
  <c r="L2353" i="2"/>
  <c r="N2353" i="2" s="1"/>
  <c r="L2361" i="2"/>
  <c r="L2382" i="2"/>
  <c r="N2382" i="2" s="1"/>
  <c r="L2388" i="2"/>
  <c r="N2388" i="2" s="1"/>
  <c r="L2397" i="2"/>
  <c r="L2404" i="2"/>
  <c r="N2404" i="2" s="1"/>
  <c r="L2410" i="2"/>
  <c r="N2410" i="2" s="1"/>
  <c r="L2424" i="2"/>
  <c r="M2424" i="2" s="1"/>
  <c r="N2424" i="2" s="1"/>
  <c r="L2450" i="2"/>
  <c r="M2450" i="2" s="1"/>
  <c r="N2450" i="2" s="1"/>
  <c r="L2457" i="2"/>
  <c r="M2457" i="2" s="1"/>
  <c r="N2457" i="2" s="1"/>
  <c r="L2462" i="2"/>
  <c r="M2462" i="2" s="1"/>
  <c r="N2462" i="2" s="1"/>
  <c r="L2214" i="2"/>
  <c r="M2214" i="2" s="1"/>
  <c r="N2214" i="2" s="1"/>
  <c r="L2242" i="2"/>
  <c r="M2242" i="2" s="1"/>
  <c r="N2242" i="2" s="1"/>
  <c r="L2271" i="2"/>
  <c r="M2271" i="2" s="1"/>
  <c r="N2271" i="2" s="1"/>
  <c r="L2300" i="2"/>
  <c r="L2311" i="2"/>
  <c r="M2311" i="2" s="1"/>
  <c r="L2330" i="2"/>
  <c r="L2389" i="2"/>
  <c r="N2389" i="2" s="1"/>
  <c r="L2405" i="2"/>
  <c r="L2451" i="2"/>
  <c r="L2475" i="2"/>
  <c r="M2475" i="2" s="1"/>
  <c r="N2475" i="2" s="1"/>
  <c r="L2108" i="2"/>
  <c r="M2108" i="2" s="1"/>
  <c r="L2111" i="2"/>
  <c r="M2111" i="2" s="1"/>
  <c r="N2111" i="2" s="1"/>
  <c r="L2124" i="2"/>
  <c r="M2124" i="2" s="1"/>
  <c r="N2124" i="2" s="1"/>
  <c r="L2139" i="2"/>
  <c r="M2139" i="2" s="1"/>
  <c r="L2143" i="2"/>
  <c r="M2143" i="2" s="1"/>
  <c r="L2150" i="2"/>
  <c r="M2150" i="2" s="1"/>
  <c r="N2150" i="2" s="1"/>
  <c r="L2207" i="2"/>
  <c r="M2207" i="2" s="1"/>
  <c r="L2224" i="2"/>
  <c r="M2224" i="2" s="1"/>
  <c r="L2228" i="2"/>
  <c r="L2236" i="2"/>
  <c r="M2236" i="2" s="1"/>
  <c r="N2236" i="2" s="1"/>
  <c r="L2243" i="2"/>
  <c r="M2243" i="2" s="1"/>
  <c r="N2243" i="2" s="1"/>
  <c r="L2272" i="2"/>
  <c r="M2272" i="2" s="1"/>
  <c r="N2272" i="2" s="1"/>
  <c r="L2275" i="2"/>
  <c r="M2275" i="2" s="1"/>
  <c r="N2275" i="2" s="1"/>
  <c r="L2279" i="2"/>
  <c r="M2279" i="2" s="1"/>
  <c r="N2279" i="2" s="1"/>
  <c r="L2292" i="2"/>
  <c r="M2292" i="2" s="1"/>
  <c r="N2292" i="2" s="1"/>
  <c r="L2305" i="2"/>
  <c r="M2305" i="2" s="1"/>
  <c r="N2305" i="2" s="1"/>
  <c r="L2342" i="2"/>
  <c r="N2342" i="2" s="1"/>
  <c r="L2354" i="2"/>
  <c r="L2362" i="2"/>
  <c r="N2362" i="2" s="1"/>
  <c r="L2377" i="2"/>
  <c r="L2416" i="2"/>
  <c r="M2416" i="2" s="1"/>
  <c r="L2420" i="2"/>
  <c r="L2432" i="2"/>
  <c r="M2432" i="2" s="1"/>
  <c r="N2432" i="2" s="1"/>
  <c r="L2440" i="2"/>
  <c r="M2440" i="2" s="1"/>
  <c r="N2440" i="2" s="1"/>
  <c r="L2443" i="2"/>
  <c r="L2459" i="2"/>
  <c r="N2459" i="2" s="1"/>
  <c r="L2465" i="2"/>
  <c r="M2465" i="2" s="1"/>
  <c r="L2480" i="2"/>
  <c r="N2480" i="2" s="1"/>
  <c r="L267" i="2"/>
  <c r="L284" i="2"/>
  <c r="M284" i="2" s="1"/>
  <c r="L302" i="2"/>
  <c r="M302" i="2" s="1"/>
  <c r="L318" i="2"/>
  <c r="L335" i="2"/>
  <c r="L351" i="2"/>
  <c r="M351" i="2" s="1"/>
  <c r="L367" i="2"/>
  <c r="M367" i="2" s="1"/>
  <c r="L383" i="2"/>
  <c r="L400" i="2"/>
  <c r="L433" i="2"/>
  <c r="L536" i="2"/>
  <c r="L601" i="2"/>
  <c r="L609" i="2"/>
  <c r="M609" i="2" s="1"/>
  <c r="L479" i="2"/>
  <c r="L444" i="2"/>
  <c r="L453" i="2"/>
  <c r="L456" i="2"/>
  <c r="L462" i="2"/>
  <c r="L533" i="2"/>
  <c r="L608" i="2"/>
  <c r="M608" i="2" s="1"/>
  <c r="L552" i="2"/>
  <c r="M552" i="2" s="1"/>
  <c r="L571" i="2"/>
  <c r="M571" i="2" s="1"/>
  <c r="L650" i="2"/>
  <c r="M650" i="2" s="1"/>
  <c r="L699" i="2"/>
  <c r="M699" i="2" s="1"/>
  <c r="L750" i="2"/>
  <c r="L432" i="2"/>
  <c r="L488" i="2"/>
  <c r="M488" i="2" s="1"/>
  <c r="L563" i="2"/>
  <c r="M563" i="2" s="1"/>
  <c r="L637" i="2"/>
  <c r="M637" i="2" s="1"/>
  <c r="L673" i="2"/>
  <c r="M673" i="2" s="1"/>
  <c r="L675" i="2"/>
  <c r="L677" i="2"/>
  <c r="L628" i="2"/>
  <c r="M628" i="2" s="1"/>
  <c r="L694" i="2"/>
  <c r="L734" i="2"/>
  <c r="L865" i="2"/>
  <c r="L934" i="2"/>
  <c r="L954" i="2"/>
  <c r="M954" i="2" s="1"/>
  <c r="L874" i="2"/>
  <c r="L684" i="2"/>
  <c r="L724" i="2"/>
  <c r="L882" i="2"/>
  <c r="L664" i="2"/>
  <c r="M664" i="2" s="1"/>
  <c r="L713" i="2"/>
  <c r="L899" i="2"/>
  <c r="L698" i="2"/>
  <c r="L856" i="2"/>
  <c r="L926" i="2"/>
  <c r="L964" i="2"/>
  <c r="L966" i="2"/>
  <c r="L821" i="2"/>
  <c r="L840" i="2"/>
  <c r="L939" i="2"/>
  <c r="L941" i="2"/>
  <c r="L975" i="2"/>
  <c r="M975" i="2" s="1"/>
  <c r="L977" i="2"/>
  <c r="L938" i="2"/>
  <c r="M938" i="2" s="1"/>
  <c r="L974" i="2"/>
  <c r="M974" i="2" s="1"/>
  <c r="L1079" i="2"/>
  <c r="L1088" i="2"/>
  <c r="M1088" i="2" s="1"/>
  <c r="L1096" i="2"/>
  <c r="M1096" i="2" s="1"/>
  <c r="L1107" i="2"/>
  <c r="L1126" i="2"/>
  <c r="L1144" i="2"/>
  <c r="M1144" i="2" s="1"/>
  <c r="L1162" i="2"/>
  <c r="M1162" i="2" s="1"/>
  <c r="L1181" i="2"/>
  <c r="L1202" i="2"/>
  <c r="L1219" i="2"/>
  <c r="L1236" i="2"/>
  <c r="L1252" i="2"/>
  <c r="L1269" i="2"/>
  <c r="L1287" i="2"/>
  <c r="M1287" i="2" s="1"/>
  <c r="L1116" i="2"/>
  <c r="L1135" i="2"/>
  <c r="L1153" i="2"/>
  <c r="M1153" i="2" s="1"/>
  <c r="L1173" i="2"/>
  <c r="M1173" i="2" s="1"/>
  <c r="L1190" i="2"/>
  <c r="L1211" i="2"/>
  <c r="L1227" i="2"/>
  <c r="L1244" i="2"/>
  <c r="L1260" i="2"/>
  <c r="L1277" i="2"/>
  <c r="L1317" i="2"/>
  <c r="M1317" i="2" s="1"/>
  <c r="L1337" i="2"/>
  <c r="L1359" i="2"/>
  <c r="L1376" i="2"/>
  <c r="L1392" i="2"/>
  <c r="L1413" i="2"/>
  <c r="L1431" i="2"/>
  <c r="M1431" i="2" s="1"/>
  <c r="L1447" i="2"/>
  <c r="L1574" i="2"/>
  <c r="L1578" i="2"/>
  <c r="L1592" i="2"/>
  <c r="M1592" i="2" s="1"/>
  <c r="L1594" i="2"/>
  <c r="L1645" i="2"/>
  <c r="L1628" i="2"/>
  <c r="L1719" i="2"/>
  <c r="L1736" i="2"/>
  <c r="L1643" i="2"/>
  <c r="L1661" i="2"/>
  <c r="L1678" i="2"/>
  <c r="L1694" i="2"/>
  <c r="L1710" i="2"/>
  <c r="L1507" i="2"/>
  <c r="M1507" i="2" s="1"/>
  <c r="L1523" i="2"/>
  <c r="L1545" i="2"/>
  <c r="L1564" i="2"/>
  <c r="M1564" i="2" s="1"/>
  <c r="L1584" i="2"/>
  <c r="L1600" i="2"/>
  <c r="M1600" i="2" s="1"/>
  <c r="L1618" i="2"/>
  <c r="M1618" i="2" s="1"/>
  <c r="L1634" i="2"/>
  <c r="M1634" i="2" s="1"/>
  <c r="L1652" i="2"/>
  <c r="L1669" i="2"/>
  <c r="L1686" i="2"/>
  <c r="M1686" i="2" s="1"/>
  <c r="L1702" i="2"/>
  <c r="M1702" i="2" s="1"/>
  <c r="L1807" i="2"/>
  <c r="L1816" i="2"/>
  <c r="L1785" i="2"/>
  <c r="L1800" i="2"/>
  <c r="L1854" i="2"/>
  <c r="M1854" i="2" s="1"/>
  <c r="L1875" i="2"/>
  <c r="L1792" i="2"/>
  <c r="L1815" i="2"/>
  <c r="L1899" i="2"/>
  <c r="L1911" i="2"/>
  <c r="L1931" i="2"/>
  <c r="L1935" i="2"/>
  <c r="M1935" i="2" s="1"/>
  <c r="L1874" i="2"/>
  <c r="M1874" i="2" s="1"/>
  <c r="L1858" i="2"/>
  <c r="M1858" i="2" s="1"/>
  <c r="L1887" i="2"/>
  <c r="L1890" i="2"/>
  <c r="M1890" i="2" s="1"/>
  <c r="L1782" i="2"/>
  <c r="M1782" i="2" s="1"/>
  <c r="L1804" i="2"/>
  <c r="L1823" i="2"/>
  <c r="L1895" i="2"/>
  <c r="L1915" i="2"/>
  <c r="L1927" i="2"/>
  <c r="L1947" i="2"/>
  <c r="M1947" i="2" s="1"/>
  <c r="L1951" i="2"/>
  <c r="M1951" i="2" s="1"/>
  <c r="L2030" i="2"/>
  <c r="L1898" i="2"/>
  <c r="M1898" i="2" s="1"/>
  <c r="L1906" i="2"/>
  <c r="M1906" i="2" s="1"/>
  <c r="L1914" i="2"/>
  <c r="L1922" i="2"/>
  <c r="L1930" i="2"/>
  <c r="L1938" i="2"/>
  <c r="L1946" i="2"/>
  <c r="L2069" i="2"/>
  <c r="L1962" i="2"/>
  <c r="L2033" i="2"/>
  <c r="L2181" i="2"/>
  <c r="L1985" i="2"/>
  <c r="L2003" i="2"/>
  <c r="L2200" i="2"/>
  <c r="L1954" i="2"/>
  <c r="L1967" i="2"/>
  <c r="L1978" i="2"/>
  <c r="L1990" i="2"/>
  <c r="L1998" i="2"/>
  <c r="L2006" i="2"/>
  <c r="L2088" i="2"/>
  <c r="L2090" i="2"/>
  <c r="L2125" i="2"/>
  <c r="M2125" i="2" s="1"/>
  <c r="L2199" i="2"/>
  <c r="M2199" i="2" s="1"/>
  <c r="L2171" i="2"/>
  <c r="L2174" i="2"/>
  <c r="L2290" i="2"/>
  <c r="L2293" i="2"/>
  <c r="L2310" i="2"/>
  <c r="L2314" i="2"/>
  <c r="L2348" i="2"/>
  <c r="L2364" i="2"/>
  <c r="L2380" i="2"/>
  <c r="L2356" i="2"/>
  <c r="L2372" i="2"/>
  <c r="N2302" i="2" l="1"/>
  <c r="N2146" i="2"/>
  <c r="T2146" i="2" s="1"/>
  <c r="N2151" i="2"/>
  <c r="P2151" i="2" s="1"/>
  <c r="N2443" i="2"/>
  <c r="N2301" i="2"/>
  <c r="N2463" i="2"/>
  <c r="N2300" i="2"/>
  <c r="M88" i="2"/>
  <c r="N88" i="2" s="1"/>
  <c r="M460" i="2"/>
  <c r="N460" i="2" s="1"/>
  <c r="M708" i="2"/>
  <c r="N708" i="2" s="1"/>
  <c r="N1963" i="2"/>
  <c r="N2196" i="2"/>
  <c r="N2115" i="2"/>
  <c r="N1620" i="2"/>
  <c r="M1378" i="2"/>
  <c r="N1378" i="2" s="1"/>
  <c r="M84" i="2"/>
  <c r="N84" i="2" s="1"/>
  <c r="M1776" i="2"/>
  <c r="N1776" i="2" s="1"/>
  <c r="M1649" i="2"/>
  <c r="N1649" i="2" s="1"/>
  <c r="M2448" i="2"/>
  <c r="N2448" i="2" s="1"/>
  <c r="N1811" i="2"/>
  <c r="N1744" i="2"/>
  <c r="N958" i="2"/>
  <c r="P958" i="2" s="1"/>
  <c r="N1761" i="2"/>
  <c r="T1761" i="2" s="1"/>
  <c r="M1616" i="2"/>
  <c r="N1616" i="2" s="1"/>
  <c r="N1204" i="2"/>
  <c r="N1646" i="2"/>
  <c r="M1300" i="2"/>
  <c r="N1300" i="2" s="1"/>
  <c r="N914" i="2"/>
  <c r="N997" i="2"/>
  <c r="N804" i="2"/>
  <c r="P804" i="2" s="1"/>
  <c r="N266" i="2"/>
  <c r="N1743" i="2"/>
  <c r="N342" i="2"/>
  <c r="N1395" i="2"/>
  <c r="N2455" i="2"/>
  <c r="N2046" i="2"/>
  <c r="N2045" i="2"/>
  <c r="P2045" i="2" s="1"/>
  <c r="N1663" i="2"/>
  <c r="N1565" i="2"/>
  <c r="N1182" i="2"/>
  <c r="N1184" i="2"/>
  <c r="N1183" i="2"/>
  <c r="N163" i="2"/>
  <c r="N170" i="2"/>
  <c r="N711" i="2"/>
  <c r="P711" i="2" s="1"/>
  <c r="N678" i="2"/>
  <c r="M1970" i="2"/>
  <c r="N1970" i="2" s="1"/>
  <c r="N560" i="2"/>
  <c r="P560" i="2" s="1"/>
  <c r="N676" i="2"/>
  <c r="M629" i="2"/>
  <c r="N629" i="2" s="1"/>
  <c r="N641" i="2"/>
  <c r="N852" i="2"/>
  <c r="M2043" i="2"/>
  <c r="N2043" i="2" s="1"/>
  <c r="N1664" i="2"/>
  <c r="N2067" i="2"/>
  <c r="N2082" i="2"/>
  <c r="N578" i="2"/>
  <c r="N1191" i="2"/>
  <c r="N646" i="2"/>
  <c r="N1821" i="2"/>
  <c r="N2012" i="2"/>
  <c r="N2458" i="2"/>
  <c r="N1528" i="2"/>
  <c r="N907" i="2"/>
  <c r="N1660" i="2"/>
  <c r="N1656" i="2"/>
  <c r="N1657" i="2"/>
  <c r="N1658" i="2"/>
  <c r="N1659" i="2"/>
  <c r="N1508" i="2"/>
  <c r="N1000" i="2"/>
  <c r="N915" i="2"/>
  <c r="P915" i="2" s="1"/>
  <c r="N1728" i="2"/>
  <c r="P1728" i="2" s="1"/>
  <c r="N911" i="2"/>
  <c r="P911" i="2" s="1"/>
  <c r="N765" i="2"/>
  <c r="N786" i="2"/>
  <c r="P786" i="2" s="1"/>
  <c r="N971" i="2"/>
  <c r="N1668" i="2"/>
  <c r="N949" i="2"/>
  <c r="N910" i="2"/>
  <c r="N931" i="2"/>
  <c r="N783" i="2"/>
  <c r="N925" i="2"/>
  <c r="N2013" i="2"/>
  <c r="N1554" i="2"/>
  <c r="N1551" i="2"/>
  <c r="N1549" i="2"/>
  <c r="N826" i="2"/>
  <c r="N458" i="2"/>
  <c r="N454" i="2"/>
  <c r="N1624" i="2"/>
  <c r="N1630" i="2"/>
  <c r="N723" i="2"/>
  <c r="N449" i="2"/>
  <c r="N1046" i="2"/>
  <c r="N2027" i="2"/>
  <c r="M2091" i="2"/>
  <c r="N2091" i="2" s="1"/>
  <c r="N1640" i="2"/>
  <c r="N1361" i="2"/>
  <c r="N726" i="2"/>
  <c r="M1722" i="2"/>
  <c r="N1722" i="2" s="1"/>
  <c r="N953" i="2"/>
  <c r="M1726" i="2"/>
  <c r="N1726" i="2" s="1"/>
  <c r="N1739" i="2"/>
  <c r="N720" i="2"/>
  <c r="M1943" i="2"/>
  <c r="N1943" i="2" s="1"/>
  <c r="N1853" i="2"/>
  <c r="M1842" i="2"/>
  <c r="N1842" i="2" s="1"/>
  <c r="M1850" i="2"/>
  <c r="N1850" i="2" s="1"/>
  <c r="M1933" i="2"/>
  <c r="N1933" i="2" s="1"/>
  <c r="N1909" i="2"/>
  <c r="N1873" i="2"/>
  <c r="M1917" i="2"/>
  <c r="N1917" i="2" s="1"/>
  <c r="N1897" i="2"/>
  <c r="M1838" i="2"/>
  <c r="N1838" i="2" s="1"/>
  <c r="N1889" i="2"/>
  <c r="M1955" i="2"/>
  <c r="N1955" i="2" s="1"/>
  <c r="M1902" i="2"/>
  <c r="N1902" i="2" s="1"/>
  <c r="N1957" i="2"/>
  <c r="N1837" i="2"/>
  <c r="N1958" i="2"/>
  <c r="N1939" i="2"/>
  <c r="M1929" i="2"/>
  <c r="N1929" i="2" s="1"/>
  <c r="N1849" i="2"/>
  <c r="N1770" i="2"/>
  <c r="N1936" i="2"/>
  <c r="N1881" i="2"/>
  <c r="N1877" i="2"/>
  <c r="N1869" i="2"/>
  <c r="M1912" i="2"/>
  <c r="N1912" i="2" s="1"/>
  <c r="M1918" i="2"/>
  <c r="N1918" i="2" s="1"/>
  <c r="N1893" i="2"/>
  <c r="N1949" i="2"/>
  <c r="M1886" i="2"/>
  <c r="N1886" i="2" s="1"/>
  <c r="N1953" i="2"/>
  <c r="N1950" i="2"/>
  <c r="M1910" i="2"/>
  <c r="N1910" i="2" s="1"/>
  <c r="M1870" i="2"/>
  <c r="N1870" i="2" s="1"/>
  <c r="M1904" i="2"/>
  <c r="N1904" i="2" s="1"/>
  <c r="M1878" i="2"/>
  <c r="N1878" i="2" s="1"/>
  <c r="N1934" i="2"/>
  <c r="M1937" i="2"/>
  <c r="N1937" i="2" s="1"/>
  <c r="N1861" i="2"/>
  <c r="N1945" i="2"/>
  <c r="N1942" i="2"/>
  <c r="N1928" i="2"/>
  <c r="N1865" i="2"/>
  <c r="M1925" i="2"/>
  <c r="N1925" i="2" s="1"/>
  <c r="M1921" i="2"/>
  <c r="N1921" i="2" s="1"/>
  <c r="N1841" i="2"/>
  <c r="M1862" i="2"/>
  <c r="N1862" i="2" s="1"/>
  <c r="N1885" i="2"/>
  <c r="N1845" i="2"/>
  <c r="M1866" i="2"/>
  <c r="N1866" i="2" s="1"/>
  <c r="M1846" i="2"/>
  <c r="N1846" i="2" s="1"/>
  <c r="M1941" i="2"/>
  <c r="N1941" i="2" s="1"/>
  <c r="N1940" i="2"/>
  <c r="N169" i="2"/>
  <c r="N589" i="2"/>
  <c r="N1220" i="2"/>
  <c r="M2096" i="2"/>
  <c r="N2096" i="2" s="1"/>
  <c r="N1755" i="2"/>
  <c r="N1797" i="2"/>
  <c r="N1924" i="2"/>
  <c r="M1688" i="2"/>
  <c r="N1688" i="2" s="1"/>
  <c r="N1684" i="2"/>
  <c r="M1718" i="2"/>
  <c r="N1718" i="2" s="1"/>
  <c r="N796" i="2"/>
  <c r="N810" i="2"/>
  <c r="N812" i="2"/>
  <c r="N808" i="2"/>
  <c r="N927" i="2"/>
  <c r="N937" i="2"/>
  <c r="N519" i="2"/>
  <c r="M554" i="2"/>
  <c r="N554" i="2" s="1"/>
  <c r="M539" i="2"/>
  <c r="N539" i="2" s="1"/>
  <c r="M56" i="2"/>
  <c r="N56" i="2" s="1"/>
  <c r="N2472" i="2"/>
  <c r="N1956" i="2"/>
  <c r="N1919" i="2"/>
  <c r="N1860" i="2"/>
  <c r="T1860" i="2" s="1"/>
  <c r="N2119" i="2"/>
  <c r="T2119" i="2" s="1"/>
  <c r="N1923" i="2"/>
  <c r="N1852" i="2"/>
  <c r="P1852" i="2" s="1"/>
  <c r="N1920" i="2"/>
  <c r="N719" i="2"/>
  <c r="N405" i="2"/>
  <c r="N1030" i="2"/>
  <c r="N945" i="2"/>
  <c r="N794" i="2"/>
  <c r="N792" i="2"/>
  <c r="N806" i="2"/>
  <c r="N921" i="2"/>
  <c r="N820" i="2"/>
  <c r="N947" i="2"/>
  <c r="N929" i="2"/>
  <c r="N800" i="2"/>
  <c r="N1905" i="2"/>
  <c r="M2469" i="2"/>
  <c r="N2469" i="2" s="1"/>
  <c r="N2283" i="2"/>
  <c r="N1836" i="2"/>
  <c r="N1903" i="2"/>
  <c r="M1696" i="2"/>
  <c r="N1696" i="2" s="1"/>
  <c r="N1712" i="2"/>
  <c r="N1771" i="2"/>
  <c r="M1698" i="2"/>
  <c r="N1698" i="2" s="1"/>
  <c r="N1706" i="2"/>
  <c r="N1714" i="2"/>
  <c r="N236" i="2"/>
  <c r="M198" i="2"/>
  <c r="N198" i="2" s="1"/>
  <c r="M256" i="2"/>
  <c r="N256" i="2" s="1"/>
  <c r="T256" i="2" s="1"/>
  <c r="M271" i="2"/>
  <c r="N271" i="2" s="1"/>
  <c r="N1319" i="2"/>
  <c r="N226" i="2"/>
  <c r="N252" i="2"/>
  <c r="M241" i="2"/>
  <c r="N241" i="2" s="1"/>
  <c r="N1467" i="2"/>
  <c r="N1044" i="2"/>
  <c r="N231" i="2"/>
  <c r="P231" i="2" s="1"/>
  <c r="N171" i="2"/>
  <c r="N1422" i="2"/>
  <c r="N1039" i="2"/>
  <c r="N1573" i="2"/>
  <c r="T1573" i="2" s="1"/>
  <c r="M1053" i="2"/>
  <c r="N1053" i="2" s="1"/>
  <c r="N1028" i="2"/>
  <c r="N1344" i="2"/>
  <c r="N1339" i="2"/>
  <c r="P1339" i="2" s="1"/>
  <c r="M261" i="2"/>
  <c r="N261" i="2" s="1"/>
  <c r="N1041" i="2"/>
  <c r="N1301" i="2"/>
  <c r="N1506" i="2"/>
  <c r="N1352" i="2"/>
  <c r="N592" i="2"/>
  <c r="N1321" i="2"/>
  <c r="M2070" i="2"/>
  <c r="N2070" i="2" s="1"/>
  <c r="N2026" i="2"/>
  <c r="N1843" i="2"/>
  <c r="N1855" i="2"/>
  <c r="N1859" i="2"/>
  <c r="N1839" i="2"/>
  <c r="N1851" i="2"/>
  <c r="N1847" i="2"/>
  <c r="N2025" i="2"/>
  <c r="N2037" i="2"/>
  <c r="N2041" i="2"/>
  <c r="P2373" i="2"/>
  <c r="T2373" i="2"/>
  <c r="P2047" i="2"/>
  <c r="T2047" i="2"/>
  <c r="P1817" i="2"/>
  <c r="T1817" i="2"/>
  <c r="P1614" i="2"/>
  <c r="T1614" i="2"/>
  <c r="P802" i="2"/>
  <c r="T802" i="2"/>
  <c r="P487" i="2"/>
  <c r="T487" i="2"/>
  <c r="P1575" i="2"/>
  <c r="T1575" i="2"/>
  <c r="P2351" i="2"/>
  <c r="T2351" i="2"/>
  <c r="P2077" i="2"/>
  <c r="T2077" i="2"/>
  <c r="P1520" i="2"/>
  <c r="T1520" i="2"/>
  <c r="P1370" i="2"/>
  <c r="T1370" i="2"/>
  <c r="P1080" i="2"/>
  <c r="T1080" i="2"/>
  <c r="P480" i="2"/>
  <c r="T480" i="2"/>
  <c r="P2102" i="2"/>
  <c r="T2102" i="2"/>
  <c r="P1540" i="2"/>
  <c r="T1540" i="2"/>
  <c r="P493" i="2"/>
  <c r="T493" i="2"/>
  <c r="P2018" i="2"/>
  <c r="T2018" i="2"/>
  <c r="P1856" i="2"/>
  <c r="T1856" i="2"/>
  <c r="P1666" i="2"/>
  <c r="T1666" i="2"/>
  <c r="P1077" i="2"/>
  <c r="T1077" i="2"/>
  <c r="P469" i="2"/>
  <c r="T469" i="2"/>
  <c r="P295" i="2"/>
  <c r="T295" i="2"/>
  <c r="P124" i="2"/>
  <c r="T124" i="2"/>
  <c r="P340" i="2"/>
  <c r="T340" i="2"/>
  <c r="P742" i="2"/>
  <c r="T742" i="2"/>
  <c r="P371" i="2"/>
  <c r="T371" i="2"/>
  <c r="P216" i="2"/>
  <c r="T216" i="2"/>
  <c r="P186" i="2"/>
  <c r="T186" i="2"/>
  <c r="P1272" i="2"/>
  <c r="T1272" i="2"/>
  <c r="P2056" i="2"/>
  <c r="T2056" i="2"/>
  <c r="P1644" i="2"/>
  <c r="T1644" i="2"/>
  <c r="P1509" i="2"/>
  <c r="T1509" i="2"/>
  <c r="P932" i="2"/>
  <c r="T932" i="2"/>
  <c r="P645" i="2"/>
  <c r="T645" i="2"/>
  <c r="P297" i="2"/>
  <c r="T297" i="2"/>
  <c r="P2083" i="2"/>
  <c r="T2083" i="2"/>
  <c r="P250" i="2"/>
  <c r="T250" i="2"/>
  <c r="P477" i="2"/>
  <c r="T477" i="2"/>
  <c r="P2338" i="2"/>
  <c r="T2338" i="2"/>
  <c r="P1558" i="2"/>
  <c r="T1558" i="2"/>
  <c r="P1401" i="2"/>
  <c r="T1401" i="2"/>
  <c r="P695" i="2"/>
  <c r="T695" i="2"/>
  <c r="P528" i="2"/>
  <c r="T528" i="2"/>
  <c r="P2215" i="2"/>
  <c r="T2215" i="2"/>
  <c r="P1438" i="2"/>
  <c r="T1438" i="2"/>
  <c r="P1330" i="2"/>
  <c r="T1330" i="2"/>
  <c r="P832" i="2"/>
  <c r="T832" i="2"/>
  <c r="P1138" i="2"/>
  <c r="T1138" i="2"/>
  <c r="P32" i="2"/>
  <c r="T32" i="2"/>
  <c r="P1086" i="2"/>
  <c r="T1086" i="2"/>
  <c r="P1012" i="2"/>
  <c r="T1012" i="2"/>
  <c r="P277" i="2"/>
  <c r="T277" i="2"/>
  <c r="P62" i="2"/>
  <c r="T62" i="2"/>
  <c r="P1299" i="2"/>
  <c r="T1299" i="2"/>
  <c r="P868" i="2"/>
  <c r="T868" i="2"/>
  <c r="P2065" i="2"/>
  <c r="T2065" i="2"/>
  <c r="P1585" i="2"/>
  <c r="T1585" i="2"/>
  <c r="P360" i="2"/>
  <c r="T360" i="2"/>
  <c r="P159" i="2"/>
  <c r="T159" i="2"/>
  <c r="P43" i="2"/>
  <c r="T43" i="2"/>
  <c r="P1247" i="2"/>
  <c r="T1247" i="2"/>
  <c r="P1021" i="2"/>
  <c r="T1021" i="2"/>
  <c r="P500" i="2"/>
  <c r="T500" i="2"/>
  <c r="P1697" i="2"/>
  <c r="T1697" i="2"/>
  <c r="P1470" i="2"/>
  <c r="T1470" i="2"/>
  <c r="P1342" i="2"/>
  <c r="T1342" i="2"/>
  <c r="P647" i="2"/>
  <c r="T647" i="2"/>
  <c r="P2161" i="2"/>
  <c r="T2161" i="2"/>
  <c r="P2193" i="2"/>
  <c r="T2193" i="2"/>
  <c r="P1448" i="2"/>
  <c r="T1448" i="2"/>
  <c r="P1169" i="2"/>
  <c r="T1169" i="2"/>
  <c r="P1221" i="2"/>
  <c r="T1221" i="2"/>
  <c r="P468" i="2"/>
  <c r="T468" i="2"/>
  <c r="P2352" i="2"/>
  <c r="T2352" i="2"/>
  <c r="P386" i="2"/>
  <c r="T386" i="2"/>
  <c r="P177" i="2"/>
  <c r="T177" i="2"/>
  <c r="P2039" i="2"/>
  <c r="T2039" i="2"/>
  <c r="P1597" i="2"/>
  <c r="T1597" i="2"/>
  <c r="P1176" i="2"/>
  <c r="T1176" i="2"/>
  <c r="P617" i="2"/>
  <c r="T617" i="2"/>
  <c r="P474" i="2"/>
  <c r="T474" i="2"/>
  <c r="P2086" i="2"/>
  <c r="T2086" i="2"/>
  <c r="P1375" i="2"/>
  <c r="T1375" i="2"/>
  <c r="P1762" i="2"/>
  <c r="T1762" i="2"/>
  <c r="P2343" i="2"/>
  <c r="T2343" i="2"/>
  <c r="P2053" i="2"/>
  <c r="T2053" i="2"/>
  <c r="P1913" i="2"/>
  <c r="T1913" i="2"/>
  <c r="P1512" i="2"/>
  <c r="T1512" i="2"/>
  <c r="P1055" i="2"/>
  <c r="T1055" i="2"/>
  <c r="P839" i="2"/>
  <c r="T839" i="2"/>
  <c r="P697" i="2"/>
  <c r="T697" i="2"/>
  <c r="P447" i="2"/>
  <c r="T447" i="2"/>
  <c r="P1121" i="2"/>
  <c r="T1121" i="2"/>
  <c r="P484" i="2"/>
  <c r="T484" i="2"/>
  <c r="P1908" i="2"/>
  <c r="T1908" i="2"/>
  <c r="P1833" i="2"/>
  <c r="T1833" i="2"/>
  <c r="P1631" i="2"/>
  <c r="T1631" i="2"/>
  <c r="P465" i="2"/>
  <c r="T465" i="2"/>
  <c r="P242" i="2"/>
  <c r="T242" i="2"/>
  <c r="P737" i="2"/>
  <c r="T737" i="2"/>
  <c r="P363" i="2"/>
  <c r="T363" i="2"/>
  <c r="P69" i="2"/>
  <c r="T69" i="2"/>
  <c r="P1147" i="2"/>
  <c r="T1147" i="2"/>
  <c r="P211" i="2"/>
  <c r="T211" i="2"/>
  <c r="P2367" i="2"/>
  <c r="T2367" i="2"/>
  <c r="P2048" i="2"/>
  <c r="T2048" i="2"/>
  <c r="P1627" i="2"/>
  <c r="T1627" i="2"/>
  <c r="P1505" i="2"/>
  <c r="T1505" i="2"/>
  <c r="P928" i="2"/>
  <c r="T928" i="2"/>
  <c r="P640" i="2"/>
  <c r="T640" i="2"/>
  <c r="P1550" i="2"/>
  <c r="T1550" i="2"/>
  <c r="P2144" i="2"/>
  <c r="T2144" i="2"/>
  <c r="P2042" i="2"/>
  <c r="T2042" i="2"/>
  <c r="P1532" i="2"/>
  <c r="T1532" i="2"/>
  <c r="P1385" i="2"/>
  <c r="T1385" i="2"/>
  <c r="P689" i="2"/>
  <c r="T689" i="2"/>
  <c r="P2195" i="2"/>
  <c r="T2195" i="2"/>
  <c r="P1427" i="2"/>
  <c r="T1427" i="2"/>
  <c r="P1141" i="2"/>
  <c r="T1141" i="2"/>
  <c r="P825" i="2"/>
  <c r="T825" i="2"/>
  <c r="P567" i="2"/>
  <c r="T567" i="2"/>
  <c r="P1092" i="2"/>
  <c r="T1092" i="2"/>
  <c r="P247" i="2"/>
  <c r="T247" i="2"/>
  <c r="P194" i="2"/>
  <c r="T194" i="2"/>
  <c r="P28" i="2"/>
  <c r="T28" i="2"/>
  <c r="P1067" i="2"/>
  <c r="T1067" i="2"/>
  <c r="P273" i="2"/>
  <c r="T273" i="2"/>
  <c r="P2019" i="2"/>
  <c r="T2019" i="2"/>
  <c r="P1449" i="2"/>
  <c r="T1449" i="2"/>
  <c r="P1270" i="2"/>
  <c r="T1270" i="2"/>
  <c r="P863" i="2"/>
  <c r="T863" i="2"/>
  <c r="P1757" i="2"/>
  <c r="T1757" i="2"/>
  <c r="P1581" i="2"/>
  <c r="T1581" i="2"/>
  <c r="P324" i="2"/>
  <c r="T324" i="2"/>
  <c r="P148" i="2"/>
  <c r="T148" i="2"/>
  <c r="P29" i="2"/>
  <c r="T29" i="2"/>
  <c r="P1239" i="2"/>
  <c r="T1239" i="2"/>
  <c r="P1017" i="2"/>
  <c r="T1017" i="2"/>
  <c r="P486" i="2"/>
  <c r="T486" i="2"/>
  <c r="P1693" i="2"/>
  <c r="T1693" i="2"/>
  <c r="P1446" i="2"/>
  <c r="T1446" i="2"/>
  <c r="P1324" i="2"/>
  <c r="T1324" i="2"/>
  <c r="P422" i="2"/>
  <c r="T422" i="2"/>
  <c r="P2395" i="2"/>
  <c r="T2395" i="2"/>
  <c r="P1440" i="2"/>
  <c r="T1440" i="2"/>
  <c r="P1139" i="2"/>
  <c r="T1139" i="2"/>
  <c r="P1997" i="2"/>
  <c r="T1997" i="2"/>
  <c r="P1217" i="2"/>
  <c r="T1217" i="2"/>
  <c r="P463" i="2"/>
  <c r="T463" i="2"/>
  <c r="P354" i="2"/>
  <c r="T354" i="2"/>
  <c r="P1309" i="2"/>
  <c r="T1309" i="2"/>
  <c r="P2291" i="2"/>
  <c r="T2291" i="2"/>
  <c r="P1163" i="2"/>
  <c r="T1163" i="2"/>
  <c r="P1572" i="2"/>
  <c r="T1572" i="2"/>
  <c r="P1423" i="2"/>
  <c r="T1423" i="2"/>
  <c r="P1753" i="2"/>
  <c r="T1753" i="2"/>
  <c r="P71" i="2"/>
  <c r="T71" i="2"/>
  <c r="P590" i="2"/>
  <c r="T590" i="2"/>
  <c r="P572" i="2"/>
  <c r="T572" i="2"/>
  <c r="P887" i="2"/>
  <c r="T887" i="2"/>
  <c r="P283" i="2"/>
  <c r="T283" i="2"/>
  <c r="P384" i="2"/>
  <c r="T384" i="2"/>
  <c r="P355" i="2"/>
  <c r="T355" i="2"/>
  <c r="P2355" i="2"/>
  <c r="T2355" i="2"/>
  <c r="P1713" i="2"/>
  <c r="T1713" i="2"/>
  <c r="P2183" i="2"/>
  <c r="T2183" i="2"/>
  <c r="P2247" i="2"/>
  <c r="T2247" i="2"/>
  <c r="P936" i="2"/>
  <c r="T936" i="2"/>
  <c r="P1541" i="2"/>
  <c r="T1541" i="2"/>
  <c r="P1619" i="2"/>
  <c r="T1619" i="2"/>
  <c r="P1474" i="2"/>
  <c r="T1474" i="2"/>
  <c r="P1495" i="2"/>
  <c r="T1495" i="2"/>
  <c r="P732" i="2"/>
  <c r="T732" i="2"/>
  <c r="P117" i="2"/>
  <c r="T117" i="2"/>
  <c r="P197" i="2"/>
  <c r="T197" i="2"/>
  <c r="P2243" i="2"/>
  <c r="T2243" i="2"/>
  <c r="P2332" i="2"/>
  <c r="T2332" i="2"/>
  <c r="P1439" i="2"/>
  <c r="T1439" i="2"/>
  <c r="P1368" i="2"/>
  <c r="T1368" i="2"/>
  <c r="P1335" i="2"/>
  <c r="T1335" i="2"/>
  <c r="P824" i="2"/>
  <c r="T824" i="2"/>
  <c r="P1479" i="2"/>
  <c r="T1479" i="2"/>
  <c r="P258" i="2"/>
  <c r="T258" i="2"/>
  <c r="P574" i="2"/>
  <c r="T574" i="2"/>
  <c r="P181" i="2"/>
  <c r="T181" i="2"/>
  <c r="P91" i="2"/>
  <c r="T91" i="2"/>
  <c r="P408" i="2"/>
  <c r="T408" i="2"/>
  <c r="P174" i="2"/>
  <c r="T174" i="2"/>
  <c r="P2218" i="2"/>
  <c r="T2218" i="2"/>
  <c r="P2169" i="2"/>
  <c r="T2169" i="2"/>
  <c r="P1417" i="2"/>
  <c r="T1417" i="2"/>
  <c r="P1514" i="2"/>
  <c r="T1514" i="2"/>
  <c r="P596" i="2"/>
  <c r="T596" i="2"/>
  <c r="P1466" i="2"/>
  <c r="T1466" i="2"/>
  <c r="P229" i="2"/>
  <c r="T229" i="2"/>
  <c r="P495" i="2"/>
  <c r="T495" i="2"/>
  <c r="P346" i="2"/>
  <c r="T346" i="2"/>
  <c r="P112" i="2"/>
  <c r="T112" i="2"/>
  <c r="P17" i="2"/>
  <c r="T17" i="2"/>
  <c r="P636" i="2"/>
  <c r="T636" i="2"/>
  <c r="P20" i="2"/>
  <c r="T20" i="2"/>
  <c r="P485" i="2"/>
  <c r="T485" i="2"/>
  <c r="P296" i="2"/>
  <c r="T296" i="2"/>
  <c r="P2410" i="2"/>
  <c r="T2410" i="2"/>
  <c r="P1305" i="2"/>
  <c r="T1305" i="2"/>
  <c r="P2064" i="2"/>
  <c r="T2064" i="2"/>
  <c r="P2024" i="2"/>
  <c r="T2024" i="2"/>
  <c r="P2050" i="2"/>
  <c r="T2050" i="2"/>
  <c r="P436" i="2"/>
  <c r="T436" i="2"/>
  <c r="P490" i="2"/>
  <c r="T490" i="2"/>
  <c r="P322" i="2"/>
  <c r="T322" i="2"/>
  <c r="P2209" i="2"/>
  <c r="T2209" i="2"/>
  <c r="P1193" i="2"/>
  <c r="T1193" i="2"/>
  <c r="P2317" i="2"/>
  <c r="T2317" i="2"/>
  <c r="P2156" i="2"/>
  <c r="T2156" i="2"/>
  <c r="P1820" i="2"/>
  <c r="T1820" i="2"/>
  <c r="P1612" i="2"/>
  <c r="T1612" i="2"/>
  <c r="P2036" i="2"/>
  <c r="T2036" i="2"/>
  <c r="P2017" i="2"/>
  <c r="T2017" i="2"/>
  <c r="P1310" i="2"/>
  <c r="T1310" i="2"/>
  <c r="P1089" i="2"/>
  <c r="T1089" i="2"/>
  <c r="P744" i="2"/>
  <c r="T744" i="2"/>
  <c r="P591" i="2"/>
  <c r="T591" i="2"/>
  <c r="P2107" i="2"/>
  <c r="T2107" i="2"/>
  <c r="P1343" i="2"/>
  <c r="T1343" i="2"/>
  <c r="P1113" i="2"/>
  <c r="T1113" i="2"/>
  <c r="P752" i="2"/>
  <c r="T752" i="2"/>
  <c r="P2127" i="2"/>
  <c r="T2127" i="2"/>
  <c r="P1606" i="2"/>
  <c r="T1606" i="2"/>
  <c r="P2390" i="2"/>
  <c r="T2390" i="2"/>
  <c r="P1633" i="2"/>
  <c r="T1633" i="2"/>
  <c r="P1451" i="2"/>
  <c r="T1451" i="2"/>
  <c r="P2014" i="2"/>
  <c r="T2014" i="2"/>
  <c r="P1462" i="2"/>
  <c r="T1462" i="2"/>
  <c r="P1196" i="2"/>
  <c r="T1196" i="2"/>
  <c r="P1090" i="2"/>
  <c r="T1090" i="2"/>
  <c r="P983" i="2"/>
  <c r="T983" i="2"/>
  <c r="P745" i="2"/>
  <c r="T745" i="2"/>
  <c r="P1155" i="2"/>
  <c r="T1155" i="2"/>
  <c r="P717" i="2"/>
  <c r="T717" i="2"/>
  <c r="P352" i="2"/>
  <c r="T352" i="2"/>
  <c r="P225" i="2"/>
  <c r="T225" i="2"/>
  <c r="P64" i="2"/>
  <c r="T64" i="2"/>
  <c r="P483" i="2"/>
  <c r="T483" i="2"/>
  <c r="P192" i="2"/>
  <c r="T192" i="2"/>
  <c r="P682" i="2"/>
  <c r="T682" i="2"/>
  <c r="P307" i="2"/>
  <c r="T307" i="2"/>
  <c r="P191" i="2"/>
  <c r="T191" i="2"/>
  <c r="P108" i="2"/>
  <c r="T108" i="2"/>
  <c r="P1109" i="2"/>
  <c r="T1109" i="2"/>
  <c r="P632" i="2"/>
  <c r="T632" i="2"/>
  <c r="P1119" i="2"/>
  <c r="T1119" i="2"/>
  <c r="P424" i="2"/>
  <c r="T424" i="2"/>
  <c r="P287" i="2"/>
  <c r="T287" i="2"/>
  <c r="P139" i="2"/>
  <c r="T139" i="2"/>
  <c r="P2417" i="2"/>
  <c r="T2417" i="2"/>
  <c r="P2239" i="2"/>
  <c r="T2239" i="2"/>
  <c r="P1803" i="2"/>
  <c r="T1803" i="2"/>
  <c r="P1582" i="2"/>
  <c r="T1582" i="2"/>
  <c r="P1120" i="2"/>
  <c r="T1120" i="2"/>
  <c r="P790" i="2"/>
  <c r="T790" i="2"/>
  <c r="P537" i="2"/>
  <c r="T537" i="2"/>
  <c r="P2376" i="2"/>
  <c r="T2376" i="2"/>
  <c r="P2478" i="2"/>
  <c r="T2478" i="2"/>
  <c r="P2339" i="2"/>
  <c r="T2339" i="2"/>
  <c r="P1504" i="2"/>
  <c r="T1504" i="2"/>
  <c r="P1350" i="2"/>
  <c r="T1350" i="2"/>
  <c r="P1027" i="2"/>
  <c r="T1027" i="2"/>
  <c r="P835" i="2"/>
  <c r="T835" i="2"/>
  <c r="P396" i="2"/>
  <c r="T396" i="2"/>
  <c r="P1075" i="2"/>
  <c r="T1075" i="2"/>
  <c r="P2433" i="2"/>
  <c r="T2433" i="2"/>
  <c r="P1786" i="2"/>
  <c r="T1786" i="2"/>
  <c r="P967" i="2"/>
  <c r="T967" i="2"/>
  <c r="P14" i="2"/>
  <c r="T14" i="2"/>
  <c r="P298" i="2"/>
  <c r="T298" i="2"/>
  <c r="P1160" i="2"/>
  <c r="T1160" i="2"/>
  <c r="P1065" i="2"/>
  <c r="T1065" i="2"/>
  <c r="P550" i="2"/>
  <c r="T550" i="2"/>
  <c r="P207" i="2"/>
  <c r="T207" i="2"/>
  <c r="P1311" i="2"/>
  <c r="T1311" i="2"/>
  <c r="P2140" i="2"/>
  <c r="T2140" i="2"/>
  <c r="P2044" i="2"/>
  <c r="T2044" i="2"/>
  <c r="P1556" i="2"/>
  <c r="T1556" i="2"/>
  <c r="P1481" i="2"/>
  <c r="T1481" i="2"/>
  <c r="P768" i="2"/>
  <c r="T768" i="2"/>
  <c r="P162" i="2"/>
  <c r="T162" i="2"/>
  <c r="P1500" i="2"/>
  <c r="T1500" i="2"/>
  <c r="P439" i="2"/>
  <c r="T439" i="2"/>
  <c r="P2063" i="2"/>
  <c r="T2063" i="2"/>
  <c r="P1519" i="2"/>
  <c r="T1519" i="2"/>
  <c r="P1134" i="2"/>
  <c r="T1134" i="2"/>
  <c r="P652" i="2"/>
  <c r="T652" i="2"/>
  <c r="P398" i="2"/>
  <c r="T398" i="2"/>
  <c r="P1720" i="2"/>
  <c r="T1720" i="2"/>
  <c r="P1377" i="2"/>
  <c r="T1377" i="2"/>
  <c r="P903" i="2"/>
  <c r="T903" i="2"/>
  <c r="P558" i="2"/>
  <c r="T558" i="2"/>
  <c r="P1018" i="2"/>
  <c r="T1018" i="2"/>
  <c r="P412" i="2"/>
  <c r="T412" i="2"/>
  <c r="P269" i="2"/>
  <c r="T269" i="2"/>
  <c r="P1995" i="2"/>
  <c r="T1995" i="2"/>
  <c r="P1441" i="2"/>
  <c r="T1441" i="2"/>
  <c r="P858" i="2"/>
  <c r="T858" i="2"/>
  <c r="P751" i="2"/>
  <c r="T751" i="2"/>
  <c r="P1752" i="2"/>
  <c r="T1752" i="2"/>
  <c r="P1571" i="2"/>
  <c r="T1571" i="2"/>
  <c r="P319" i="2"/>
  <c r="T319" i="2"/>
  <c r="P143" i="2"/>
  <c r="T143" i="2"/>
  <c r="P25" i="2"/>
  <c r="T25" i="2"/>
  <c r="P1235" i="2"/>
  <c r="T1235" i="2"/>
  <c r="P1013" i="2"/>
  <c r="T1013" i="2"/>
  <c r="P613" i="2"/>
  <c r="T613" i="2"/>
  <c r="P1689" i="2"/>
  <c r="T1689" i="2"/>
  <c r="P1430" i="2"/>
  <c r="T1430" i="2"/>
  <c r="P1275" i="2"/>
  <c r="T1275" i="2"/>
  <c r="P2409" i="2"/>
  <c r="T2409" i="2"/>
  <c r="P2146" i="2"/>
  <c r="P2391" i="2"/>
  <c r="T2391" i="2"/>
  <c r="P1308" i="2"/>
  <c r="T1308" i="2"/>
  <c r="P2246" i="2"/>
  <c r="T2246" i="2"/>
  <c r="P1993" i="2"/>
  <c r="T1993" i="2"/>
  <c r="P1208" i="2"/>
  <c r="T1208" i="2"/>
  <c r="P459" i="2"/>
  <c r="T459" i="2"/>
  <c r="P2276" i="2"/>
  <c r="T2276" i="2"/>
  <c r="P350" i="2"/>
  <c r="T350" i="2"/>
  <c r="P165" i="2"/>
  <c r="T165" i="2"/>
  <c r="P2176" i="2"/>
  <c r="T2176" i="2"/>
  <c r="P1531" i="2"/>
  <c r="T1531" i="2"/>
  <c r="P2360" i="2"/>
  <c r="T2360" i="2"/>
  <c r="P2336" i="2"/>
  <c r="T2336" i="2"/>
  <c r="P2471" i="2"/>
  <c r="T2471" i="2"/>
  <c r="P2265" i="2"/>
  <c r="T2265" i="2"/>
  <c r="P1805" i="2"/>
  <c r="T1805" i="2"/>
  <c r="P1473" i="2"/>
  <c r="T1473" i="2"/>
  <c r="P1318" i="2"/>
  <c r="T1318" i="2"/>
  <c r="P1020" i="2"/>
  <c r="T1020" i="2"/>
  <c r="P829" i="2"/>
  <c r="T829" i="2"/>
  <c r="P387" i="2"/>
  <c r="T387" i="2"/>
  <c r="P1707" i="2"/>
  <c r="T1707" i="2"/>
  <c r="P970" i="2"/>
  <c r="T970" i="2"/>
  <c r="P1896" i="2"/>
  <c r="T1896" i="2"/>
  <c r="P1751" i="2"/>
  <c r="T1751" i="2"/>
  <c r="P1590" i="2"/>
  <c r="T1590" i="2"/>
  <c r="P963" i="2"/>
  <c r="T963" i="2"/>
  <c r="P337" i="2"/>
  <c r="T337" i="2"/>
  <c r="P209" i="2"/>
  <c r="T209" i="2"/>
  <c r="P710" i="2"/>
  <c r="T710" i="2"/>
  <c r="P1131" i="2"/>
  <c r="T1131" i="2"/>
  <c r="P1391" i="2"/>
  <c r="T1391" i="2"/>
  <c r="P203" i="2"/>
  <c r="T203" i="2"/>
  <c r="P2136" i="2"/>
  <c r="T2136" i="2"/>
  <c r="P1420" i="2"/>
  <c r="T1420" i="2"/>
  <c r="P743" i="2"/>
  <c r="T743" i="2"/>
  <c r="P570" i="2"/>
  <c r="T570" i="2"/>
  <c r="P2431" i="2"/>
  <c r="T2431" i="2"/>
  <c r="P1901" i="2"/>
  <c r="T1901" i="2"/>
  <c r="P2016" i="2"/>
  <c r="T2016" i="2"/>
  <c r="P1515" i="2"/>
  <c r="T1515" i="2"/>
  <c r="P626" i="2"/>
  <c r="T626" i="2"/>
  <c r="P390" i="2"/>
  <c r="T390" i="2"/>
  <c r="P1607" i="2"/>
  <c r="T1607" i="2"/>
  <c r="P1360" i="2"/>
  <c r="T1360" i="2"/>
  <c r="P886" i="2"/>
  <c r="T886" i="2"/>
  <c r="P801" i="2"/>
  <c r="T801" i="2"/>
  <c r="P703" i="2"/>
  <c r="T703" i="2"/>
  <c r="P1014" i="2"/>
  <c r="T1014" i="2"/>
  <c r="P235" i="2"/>
  <c r="T235" i="2"/>
  <c r="P1806" i="2"/>
  <c r="T1806" i="2"/>
  <c r="P1056" i="2"/>
  <c r="T1056" i="2"/>
  <c r="P961" i="2"/>
  <c r="T961" i="2"/>
  <c r="P1433" i="2"/>
  <c r="T1433" i="2"/>
  <c r="P1212" i="2"/>
  <c r="T1212" i="2"/>
  <c r="P854" i="2"/>
  <c r="T854" i="2"/>
  <c r="P662" i="2"/>
  <c r="T662" i="2"/>
  <c r="P105" i="2"/>
  <c r="T105" i="2"/>
  <c r="P1205" i="2"/>
  <c r="T1205" i="2"/>
  <c r="P380" i="2"/>
  <c r="T380" i="2"/>
  <c r="P1685" i="2"/>
  <c r="T1685" i="2"/>
  <c r="P1383" i="2"/>
  <c r="T1383" i="2"/>
  <c r="P2401" i="2"/>
  <c r="T2401" i="2"/>
  <c r="P2141" i="2"/>
  <c r="T2141" i="2"/>
  <c r="P2308" i="2"/>
  <c r="T2308" i="2"/>
  <c r="P1304" i="2"/>
  <c r="T1304" i="2"/>
  <c r="P2217" i="2"/>
  <c r="T2217" i="2"/>
  <c r="P1987" i="2"/>
  <c r="T1987" i="2"/>
  <c r="P1198" i="2"/>
  <c r="T1198" i="2"/>
  <c r="P437" i="2"/>
  <c r="T437" i="2"/>
  <c r="P922" i="2"/>
  <c r="T922" i="2"/>
  <c r="P131" i="2"/>
  <c r="T131" i="2"/>
  <c r="P1766" i="2"/>
  <c r="T1766" i="2"/>
  <c r="P1587" i="2"/>
  <c r="T1587" i="2"/>
  <c r="P1671" i="2"/>
  <c r="T1671" i="2"/>
  <c r="P1536" i="2"/>
  <c r="T1536" i="2"/>
  <c r="P1373" i="2"/>
  <c r="T1373" i="2"/>
  <c r="P1579" i="2"/>
  <c r="T1579" i="2"/>
  <c r="P1379" i="2"/>
  <c r="T1379" i="2"/>
  <c r="P1129" i="2"/>
  <c r="T1129" i="2"/>
  <c r="P19" i="2"/>
  <c r="T19" i="2"/>
  <c r="P876" i="2"/>
  <c r="T876" i="2"/>
  <c r="P709" i="2"/>
  <c r="T709" i="2"/>
  <c r="P415" i="2"/>
  <c r="T415" i="2"/>
  <c r="P311" i="2"/>
  <c r="T311" i="2"/>
  <c r="P238" i="2"/>
  <c r="T238" i="2"/>
  <c r="P999" i="2"/>
  <c r="T999" i="2"/>
  <c r="P623" i="2"/>
  <c r="T623" i="2"/>
  <c r="P1604" i="2"/>
  <c r="T1604" i="2"/>
  <c r="P798" i="2"/>
  <c r="T798" i="2"/>
  <c r="P472" i="2"/>
  <c r="T472" i="2"/>
  <c r="P402" i="2"/>
  <c r="T402" i="2"/>
  <c r="P1254" i="2"/>
  <c r="T1254" i="2"/>
  <c r="P1011" i="2"/>
  <c r="T1011" i="2"/>
  <c r="P814" i="2"/>
  <c r="T814" i="2"/>
  <c r="P565" i="2"/>
  <c r="T565" i="2"/>
  <c r="P441" i="2"/>
  <c r="T441" i="2"/>
  <c r="P326" i="2"/>
  <c r="T326" i="2"/>
  <c r="P239" i="2"/>
  <c r="T239" i="2"/>
  <c r="P133" i="2"/>
  <c r="T133" i="2"/>
  <c r="P51" i="2"/>
  <c r="T51" i="2"/>
  <c r="P476" i="2"/>
  <c r="T476" i="2"/>
  <c r="P206" i="2"/>
  <c r="T206" i="2"/>
  <c r="P74" i="2"/>
  <c r="T74" i="2"/>
  <c r="P320" i="2"/>
  <c r="T320" i="2"/>
  <c r="P166" i="2"/>
  <c r="T166" i="2"/>
  <c r="P564" i="2"/>
  <c r="T564" i="2"/>
  <c r="P260" i="2"/>
  <c r="T260" i="2"/>
  <c r="P38" i="2"/>
  <c r="T38" i="2"/>
  <c r="P2406" i="2"/>
  <c r="T2406" i="2"/>
  <c r="P2133" i="2"/>
  <c r="T2133" i="2"/>
  <c r="P2005" i="2"/>
  <c r="T2005" i="2"/>
  <c r="P1683" i="2"/>
  <c r="T1683" i="2"/>
  <c r="P1497" i="2"/>
  <c r="T1497" i="2"/>
  <c r="P2466" i="2"/>
  <c r="T2466" i="2"/>
  <c r="P2208" i="2"/>
  <c r="T2208" i="2"/>
  <c r="P2132" i="2"/>
  <c r="T2132" i="2"/>
  <c r="P2034" i="2"/>
  <c r="T2034" i="2"/>
  <c r="P1489" i="2"/>
  <c r="T1489" i="2"/>
  <c r="P2399" i="2"/>
  <c r="T2399" i="2"/>
  <c r="P2232" i="2"/>
  <c r="T2232" i="2"/>
  <c r="P2085" i="2"/>
  <c r="T2085" i="2"/>
  <c r="P1822" i="2"/>
  <c r="T1822" i="2"/>
  <c r="P1829" i="2"/>
  <c r="T1829" i="2"/>
  <c r="P1480" i="2"/>
  <c r="T1480" i="2"/>
  <c r="P1216" i="2"/>
  <c r="T1216" i="2"/>
  <c r="P813" i="2"/>
  <c r="T813" i="2"/>
  <c r="P680" i="2"/>
  <c r="T680" i="2"/>
  <c r="P546" i="2"/>
  <c r="T546" i="2"/>
  <c r="P1295" i="2"/>
  <c r="T1295" i="2"/>
  <c r="P649" i="2"/>
  <c r="T649" i="2"/>
  <c r="P1369" i="2"/>
  <c r="T1369" i="2"/>
  <c r="P2227" i="2"/>
  <c r="T2227" i="2"/>
  <c r="P1982" i="2"/>
  <c r="T1982" i="2"/>
  <c r="P1605" i="2"/>
  <c r="T1605" i="2"/>
  <c r="P1230" i="2"/>
  <c r="T1230" i="2"/>
  <c r="P1778" i="2"/>
  <c r="T1778" i="2"/>
  <c r="P1680" i="2"/>
  <c r="T1680" i="2"/>
  <c r="P1327" i="2"/>
  <c r="T1327" i="2"/>
  <c r="P1166" i="2"/>
  <c r="T1166" i="2"/>
  <c r="P1060" i="2"/>
  <c r="T1060" i="2"/>
  <c r="P1146" i="2"/>
  <c r="T1146" i="2"/>
  <c r="P615" i="2"/>
  <c r="T615" i="2"/>
  <c r="P466" i="2"/>
  <c r="T466" i="2"/>
  <c r="P344" i="2"/>
  <c r="T344" i="2"/>
  <c r="P200" i="2"/>
  <c r="T200" i="2"/>
  <c r="P857" i="2"/>
  <c r="T857" i="2"/>
  <c r="P435" i="2"/>
  <c r="T435" i="2"/>
  <c r="P87" i="2"/>
  <c r="T87" i="2"/>
  <c r="P1050" i="2"/>
  <c r="T1050" i="2"/>
  <c r="P588" i="2"/>
  <c r="T588" i="2"/>
  <c r="P393" i="2"/>
  <c r="T393" i="2"/>
  <c r="P294" i="2"/>
  <c r="T294" i="2"/>
  <c r="P179" i="2"/>
  <c r="T179" i="2"/>
  <c r="P81" i="2"/>
  <c r="T81" i="2"/>
  <c r="P1087" i="2"/>
  <c r="T1087" i="2"/>
  <c r="P373" i="2"/>
  <c r="T373" i="2"/>
  <c r="P178" i="2"/>
  <c r="T178" i="2"/>
  <c r="P976" i="2"/>
  <c r="T976" i="2"/>
  <c r="P707" i="2"/>
  <c r="T707" i="2"/>
  <c r="P372" i="2"/>
  <c r="T372" i="2"/>
  <c r="P122" i="2"/>
  <c r="T122" i="2"/>
  <c r="P2408" i="2"/>
  <c r="T2408" i="2"/>
  <c r="P2158" i="2"/>
  <c r="T2158" i="2"/>
  <c r="P1522" i="2"/>
  <c r="T1522" i="2"/>
  <c r="P764" i="2"/>
  <c r="T764" i="2"/>
  <c r="P521" i="2"/>
  <c r="T521" i="2"/>
  <c r="P2260" i="2"/>
  <c r="T2260" i="2"/>
  <c r="P1801" i="2"/>
  <c r="T1801" i="2"/>
  <c r="P1465" i="2"/>
  <c r="T1465" i="2"/>
  <c r="P1306" i="2"/>
  <c r="T1306" i="2"/>
  <c r="P905" i="2"/>
  <c r="T905" i="2"/>
  <c r="P376" i="2"/>
  <c r="T376" i="2"/>
  <c r="P1699" i="2"/>
  <c r="T1699" i="2"/>
  <c r="P834" i="2"/>
  <c r="T834" i="2"/>
  <c r="P2278" i="2"/>
  <c r="T2278" i="2"/>
  <c r="P1892" i="2"/>
  <c r="T1892" i="2"/>
  <c r="P1586" i="2"/>
  <c r="T1586" i="2"/>
  <c r="P333" i="2"/>
  <c r="T333" i="2"/>
  <c r="P158" i="2"/>
  <c r="T158" i="2"/>
  <c r="P1274" i="2"/>
  <c r="T1274" i="2"/>
  <c r="P706" i="2"/>
  <c r="T706" i="2"/>
  <c r="P653" i="2"/>
  <c r="T653" i="2"/>
  <c r="P1380" i="2"/>
  <c r="T1380" i="2"/>
  <c r="P321" i="2"/>
  <c r="T321" i="2"/>
  <c r="P175" i="2"/>
  <c r="T175" i="2"/>
  <c r="P1291" i="2"/>
  <c r="T1291" i="2"/>
  <c r="P2130" i="2"/>
  <c r="T2130" i="2"/>
  <c r="P1994" i="2"/>
  <c r="T1994" i="2"/>
  <c r="P1538" i="2"/>
  <c r="T1538" i="2"/>
  <c r="P1416" i="2"/>
  <c r="T1416" i="2"/>
  <c r="P671" i="2"/>
  <c r="T671" i="2"/>
  <c r="P566" i="2"/>
  <c r="T566" i="2"/>
  <c r="P2427" i="2"/>
  <c r="T2427" i="2"/>
  <c r="P1772" i="2"/>
  <c r="T1772" i="2"/>
  <c r="P370" i="2"/>
  <c r="T370" i="2"/>
  <c r="P2128" i="2"/>
  <c r="T2128" i="2"/>
  <c r="P1511" i="2"/>
  <c r="T1511" i="2"/>
  <c r="P740" i="2"/>
  <c r="T740" i="2"/>
  <c r="P587" i="2"/>
  <c r="T587" i="2"/>
  <c r="P2481" i="2"/>
  <c r="T2481" i="2"/>
  <c r="P1599" i="2"/>
  <c r="T1599" i="2"/>
  <c r="P1355" i="2"/>
  <c r="T1355" i="2"/>
  <c r="P870" i="2"/>
  <c r="T870" i="2"/>
  <c r="P773" i="2"/>
  <c r="T773" i="2"/>
  <c r="P668" i="2"/>
  <c r="T668" i="2"/>
  <c r="P1009" i="2"/>
  <c r="T1009" i="2"/>
  <c r="P1789" i="2"/>
  <c r="T1789" i="2"/>
  <c r="P1047" i="2"/>
  <c r="T1047" i="2"/>
  <c r="P952" i="2"/>
  <c r="T952" i="2"/>
  <c r="P237" i="2"/>
  <c r="T237" i="2"/>
  <c r="P1394" i="2"/>
  <c r="T1394" i="2"/>
  <c r="P920" i="2"/>
  <c r="T920" i="2"/>
  <c r="P648" i="2"/>
  <c r="T648" i="2"/>
  <c r="P1731" i="2"/>
  <c r="T1731" i="2"/>
  <c r="P280" i="2"/>
  <c r="T280" i="2"/>
  <c r="P1333" i="2"/>
  <c r="T1333" i="2"/>
  <c r="P1110" i="2"/>
  <c r="T1110" i="2"/>
  <c r="P627" i="2"/>
  <c r="T627" i="2"/>
  <c r="P1754" i="2"/>
  <c r="T1754" i="2"/>
  <c r="P1681" i="2"/>
  <c r="T1681" i="2"/>
  <c r="P1363" i="2"/>
  <c r="T1363" i="2"/>
  <c r="P2436" i="2"/>
  <c r="T2436" i="2"/>
  <c r="P2393" i="2"/>
  <c r="T2393" i="2"/>
  <c r="P2414" i="2"/>
  <c r="T2414" i="2"/>
  <c r="P1298" i="2"/>
  <c r="T1298" i="2"/>
  <c r="P2191" i="2"/>
  <c r="T2191" i="2"/>
  <c r="P1179" i="2"/>
  <c r="T1179" i="2"/>
  <c r="P1588" i="2"/>
  <c r="T1588" i="2"/>
  <c r="P313" i="2"/>
  <c r="T313" i="2"/>
  <c r="P127" i="2"/>
  <c r="T127" i="2"/>
  <c r="P2480" i="2"/>
  <c r="T2480" i="2"/>
  <c r="P2450" i="2"/>
  <c r="T2450" i="2"/>
  <c r="P1986" i="2"/>
  <c r="T1986" i="2"/>
  <c r="P1516" i="2"/>
  <c r="T1516" i="2"/>
  <c r="P2072" i="2"/>
  <c r="T2072" i="2"/>
  <c r="P2378" i="2"/>
  <c r="T2378" i="2"/>
  <c r="P968" i="2"/>
  <c r="T968" i="2"/>
  <c r="P1758" i="2"/>
  <c r="T1758" i="2"/>
  <c r="P1279" i="2"/>
  <c r="T1279" i="2"/>
  <c r="P822" i="2"/>
  <c r="T822" i="2"/>
  <c r="P282" i="2"/>
  <c r="T282" i="2"/>
  <c r="P1083" i="2"/>
  <c r="T1083" i="2"/>
  <c r="P988" i="2"/>
  <c r="T988" i="2"/>
  <c r="P394" i="2"/>
  <c r="T394" i="2"/>
  <c r="P411" i="2"/>
  <c r="T411" i="2"/>
  <c r="P147" i="2"/>
  <c r="T147" i="2"/>
  <c r="P2371" i="2"/>
  <c r="T2371" i="2"/>
  <c r="P1418" i="2"/>
  <c r="T1418" i="2"/>
  <c r="P2346" i="2"/>
  <c r="T2346" i="2"/>
  <c r="P1777" i="2"/>
  <c r="T1777" i="2"/>
  <c r="P1136" i="2"/>
  <c r="T1136" i="2"/>
  <c r="P527" i="2"/>
  <c r="T527" i="2"/>
  <c r="P2155" i="2"/>
  <c r="T2155" i="2"/>
  <c r="P1233" i="2"/>
  <c r="T1233" i="2"/>
  <c r="P772" i="2"/>
  <c r="T772" i="2"/>
  <c r="P549" i="2"/>
  <c r="T549" i="2"/>
  <c r="P548" i="2"/>
  <c r="T548" i="2"/>
  <c r="P524" i="2"/>
  <c r="T524" i="2"/>
  <c r="P293" i="2"/>
  <c r="T293" i="2"/>
  <c r="P35" i="2"/>
  <c r="T35" i="2"/>
  <c r="P747" i="2"/>
  <c r="T747" i="2"/>
  <c r="P2442" i="2"/>
  <c r="T2442" i="2"/>
  <c r="P2362" i="2"/>
  <c r="T2362" i="2"/>
  <c r="P2424" i="2"/>
  <c r="T2424" i="2"/>
  <c r="P1490" i="2"/>
  <c r="T1490" i="2"/>
  <c r="P1976" i="2"/>
  <c r="T1976" i="2"/>
  <c r="P1809" i="2"/>
  <c r="T1809" i="2"/>
  <c r="P984" i="2"/>
  <c r="T984" i="2"/>
  <c r="P1406" i="2"/>
  <c r="T1406" i="2"/>
  <c r="P1419" i="2"/>
  <c r="T1419" i="2"/>
  <c r="P1603" i="2"/>
  <c r="T1603" i="2"/>
  <c r="P896" i="2"/>
  <c r="T896" i="2"/>
  <c r="P275" i="2"/>
  <c r="T275" i="2"/>
  <c r="P288" i="2"/>
  <c r="T288" i="2"/>
  <c r="P334" i="2"/>
  <c r="T334" i="2"/>
  <c r="P2341" i="2"/>
  <c r="T2341" i="2"/>
  <c r="P1197" i="2"/>
  <c r="T1197" i="2"/>
  <c r="P1969" i="2"/>
  <c r="T1969" i="2"/>
  <c r="P2325" i="2"/>
  <c r="T2325" i="2"/>
  <c r="P1314" i="2"/>
  <c r="T1314" i="2"/>
  <c r="P2296" i="2"/>
  <c r="T2296" i="2"/>
  <c r="P2172" i="2"/>
  <c r="T2172" i="2"/>
  <c r="P889" i="2"/>
  <c r="T889" i="2"/>
  <c r="P518" i="2"/>
  <c r="T518" i="2"/>
  <c r="P328" i="2"/>
  <c r="T328" i="2"/>
  <c r="P2369" i="2"/>
  <c r="T2369" i="2"/>
  <c r="P2269" i="2"/>
  <c r="T2269" i="2"/>
  <c r="P1593" i="2"/>
  <c r="T1593" i="2"/>
  <c r="P1390" i="2"/>
  <c r="T1390" i="2"/>
  <c r="P877" i="2"/>
  <c r="T877" i="2"/>
  <c r="P1791" i="2"/>
  <c r="T1791" i="2"/>
  <c r="P1469" i="2"/>
  <c r="T1469" i="2"/>
  <c r="P1215" i="2"/>
  <c r="T1215" i="2"/>
  <c r="P317" i="2"/>
  <c r="T317" i="2"/>
  <c r="P683" i="2"/>
  <c r="T683" i="2"/>
  <c r="P413" i="2"/>
  <c r="T413" i="2"/>
  <c r="P861" i="2"/>
  <c r="T861" i="2"/>
  <c r="P146" i="2"/>
  <c r="T146" i="2"/>
  <c r="P121" i="2"/>
  <c r="T121" i="2"/>
  <c r="P361" i="2"/>
  <c r="T361" i="2"/>
  <c r="P2331" i="2"/>
  <c r="T2331" i="2"/>
  <c r="P1825" i="2"/>
  <c r="T1825" i="2"/>
  <c r="P2106" i="2"/>
  <c r="T2106" i="2"/>
  <c r="P2404" i="2"/>
  <c r="T2404" i="2"/>
  <c r="P2261" i="2"/>
  <c r="T2261" i="2"/>
  <c r="P1583" i="2"/>
  <c r="T1583" i="2"/>
  <c r="P1387" i="2"/>
  <c r="T1387" i="2"/>
  <c r="P2264" i="2"/>
  <c r="T2264" i="2"/>
  <c r="P2028" i="2"/>
  <c r="T2028" i="2"/>
  <c r="P1996" i="2"/>
  <c r="T1996" i="2"/>
  <c r="P1623" i="2"/>
  <c r="T1623" i="2"/>
  <c r="P1544" i="2"/>
  <c r="T1544" i="2"/>
  <c r="P1389" i="2"/>
  <c r="T1389" i="2"/>
  <c r="P515" i="2"/>
  <c r="T515" i="2"/>
  <c r="P248" i="2"/>
  <c r="T248" i="2"/>
  <c r="P1223" i="2"/>
  <c r="T1223" i="2"/>
  <c r="P1648" i="2"/>
  <c r="T1648" i="2"/>
  <c r="P410" i="2"/>
  <c r="T410" i="2"/>
  <c r="P471" i="2"/>
  <c r="T471" i="2"/>
  <c r="P63" i="2"/>
  <c r="T63" i="2"/>
  <c r="P327" i="2"/>
  <c r="T327" i="2"/>
  <c r="P125" i="2"/>
  <c r="T125" i="2"/>
  <c r="P2256" i="2"/>
  <c r="T2256" i="2"/>
  <c r="P2009" i="2"/>
  <c r="T2009" i="2"/>
  <c r="P1501" i="2"/>
  <c r="T1501" i="2"/>
  <c r="P2253" i="2"/>
  <c r="T2253" i="2"/>
  <c r="P2407" i="2"/>
  <c r="T2407" i="2"/>
  <c r="P2089" i="2"/>
  <c r="T2089" i="2"/>
  <c r="P2307" i="2"/>
  <c r="T2307" i="2"/>
  <c r="P1296" i="2"/>
  <c r="T1296" i="2"/>
  <c r="P687" i="2"/>
  <c r="T687" i="2"/>
  <c r="P1313" i="2"/>
  <c r="T1313" i="2"/>
  <c r="P2123" i="2"/>
  <c r="T2123" i="2"/>
  <c r="P1074" i="2"/>
  <c r="T1074" i="2"/>
  <c r="P838" i="2"/>
  <c r="T838" i="2"/>
  <c r="P475" i="2"/>
  <c r="T475" i="2"/>
  <c r="P1070" i="2"/>
  <c r="T1070" i="2"/>
  <c r="P183" i="2"/>
  <c r="T183" i="2"/>
  <c r="P2440" i="2"/>
  <c r="T2440" i="2"/>
  <c r="P2167" i="2"/>
  <c r="T2167" i="2"/>
  <c r="P1424" i="2"/>
  <c r="T1424" i="2"/>
  <c r="P1596" i="2"/>
  <c r="T1596" i="2"/>
  <c r="P2166" i="2"/>
  <c r="T2166" i="2"/>
  <c r="P2153" i="2"/>
  <c r="T2153" i="2"/>
  <c r="P1642" i="2"/>
  <c r="T1642" i="2"/>
  <c r="P1498" i="2"/>
  <c r="T1498" i="2"/>
  <c r="P2432" i="2"/>
  <c r="T2432" i="2"/>
  <c r="P2292" i="2"/>
  <c r="T2292" i="2"/>
  <c r="P2214" i="2"/>
  <c r="T2214" i="2"/>
  <c r="P2388" i="2"/>
  <c r="T2388" i="2"/>
  <c r="P2270" i="2"/>
  <c r="T2270" i="2"/>
  <c r="P2163" i="2"/>
  <c r="T2163" i="2"/>
  <c r="P1749" i="2"/>
  <c r="T1749" i="2"/>
  <c r="P1561" i="2"/>
  <c r="T1561" i="2"/>
  <c r="P1458" i="2"/>
  <c r="T1458" i="2"/>
  <c r="P1421" i="2"/>
  <c r="T1421" i="2"/>
  <c r="P1381" i="2"/>
  <c r="T1381" i="2"/>
  <c r="P1253" i="2"/>
  <c r="T1253" i="2"/>
  <c r="P2403" i="2"/>
  <c r="T2403" i="2"/>
  <c r="P2093" i="2"/>
  <c r="T2093" i="2"/>
  <c r="P2234" i="2"/>
  <c r="T2234" i="2"/>
  <c r="P1966" i="2"/>
  <c r="T1966" i="2"/>
  <c r="P1737" i="2"/>
  <c r="T1737" i="2"/>
  <c r="P1598" i="2"/>
  <c r="T1598" i="2"/>
  <c r="P1203" i="2"/>
  <c r="T1203" i="2"/>
  <c r="P1038" i="2"/>
  <c r="T1038" i="2"/>
  <c r="P859" i="2"/>
  <c r="T859" i="2"/>
  <c r="P1687" i="2"/>
  <c r="T1687" i="2"/>
  <c r="P1457" i="2"/>
  <c r="T1457" i="2"/>
  <c r="P1093" i="2"/>
  <c r="T1093" i="2"/>
  <c r="P1975" i="2"/>
  <c r="T1975" i="2"/>
  <c r="P1742" i="2"/>
  <c r="T1742" i="2"/>
  <c r="P1527" i="2"/>
  <c r="T1527" i="2"/>
  <c r="P1372" i="2"/>
  <c r="T1372" i="2"/>
  <c r="P1097" i="2"/>
  <c r="T1097" i="2"/>
  <c r="P130" i="2"/>
  <c r="T130" i="2"/>
  <c r="P860" i="2"/>
  <c r="T860" i="2"/>
  <c r="P308" i="2"/>
  <c r="T308" i="2"/>
  <c r="P113" i="2"/>
  <c r="T113" i="2"/>
  <c r="P875" i="2"/>
  <c r="T875" i="2"/>
  <c r="P1174" i="2"/>
  <c r="T1174" i="2"/>
  <c r="P1008" i="2"/>
  <c r="T1008" i="2"/>
  <c r="P848" i="2"/>
  <c r="T848" i="2"/>
  <c r="P599" i="2"/>
  <c r="T599" i="2"/>
  <c r="P1241" i="2"/>
  <c r="T1241" i="2"/>
  <c r="P395" i="2"/>
  <c r="T395" i="2"/>
  <c r="P1186" i="2"/>
  <c r="T1186" i="2"/>
  <c r="P562" i="2"/>
  <c r="T562" i="2"/>
  <c r="P434" i="2"/>
  <c r="T434" i="2"/>
  <c r="P312" i="2"/>
  <c r="T312" i="2"/>
  <c r="P205" i="2"/>
  <c r="T205" i="2"/>
  <c r="P120" i="2"/>
  <c r="T120" i="2"/>
  <c r="P48" i="2"/>
  <c r="T48" i="2"/>
  <c r="P443" i="2"/>
  <c r="T443" i="2"/>
  <c r="P199" i="2"/>
  <c r="T199" i="2"/>
  <c r="P310" i="2"/>
  <c r="T310" i="2"/>
  <c r="P140" i="2"/>
  <c r="T140" i="2"/>
  <c r="P246" i="2"/>
  <c r="T246" i="2"/>
  <c r="P27" i="2"/>
  <c r="T27" i="2"/>
  <c r="P99" i="2"/>
  <c r="T99" i="2"/>
  <c r="P2398" i="2"/>
  <c r="T2398" i="2"/>
  <c r="P2318" i="2"/>
  <c r="T2318" i="2"/>
  <c r="P2113" i="2"/>
  <c r="T2113" i="2"/>
  <c r="P1768" i="2"/>
  <c r="T1768" i="2"/>
  <c r="P1655" i="2"/>
  <c r="T1655" i="2"/>
  <c r="P1483" i="2"/>
  <c r="T1483" i="2"/>
  <c r="P1266" i="2"/>
  <c r="T1266" i="2"/>
  <c r="P2203" i="2"/>
  <c r="T2203" i="2"/>
  <c r="P2112" i="2"/>
  <c r="T2112" i="2"/>
  <c r="P2031" i="2"/>
  <c r="T2031" i="2"/>
  <c r="P1872" i="2"/>
  <c r="T1872" i="2"/>
  <c r="P1767" i="2"/>
  <c r="T1767" i="2"/>
  <c r="P1482" i="2"/>
  <c r="T1482" i="2"/>
  <c r="P2385" i="2"/>
  <c r="T2385" i="2"/>
  <c r="P2453" i="2"/>
  <c r="T2453" i="2"/>
  <c r="P2210" i="2"/>
  <c r="T2210" i="2"/>
  <c r="P1818" i="2"/>
  <c r="T1818" i="2"/>
  <c r="P2262" i="2"/>
  <c r="T2262" i="2"/>
  <c r="P1393" i="2"/>
  <c r="T1393" i="2"/>
  <c r="P1207" i="2"/>
  <c r="T1207" i="2"/>
  <c r="P986" i="2"/>
  <c r="T986" i="2"/>
  <c r="P809" i="2"/>
  <c r="T809" i="2"/>
  <c r="P541" i="2"/>
  <c r="T541" i="2"/>
  <c r="P1732" i="2"/>
  <c r="T1732" i="2"/>
  <c r="P1285" i="2"/>
  <c r="T1285" i="2"/>
  <c r="P619" i="2"/>
  <c r="T619" i="2"/>
  <c r="P1320" i="2"/>
  <c r="T1320" i="2"/>
  <c r="P2221" i="2"/>
  <c r="T2221" i="2"/>
  <c r="P1977" i="2"/>
  <c r="T1977" i="2"/>
  <c r="P1601" i="2"/>
  <c r="T1601" i="2"/>
  <c r="P1222" i="2"/>
  <c r="T1222" i="2"/>
  <c r="P1676" i="2"/>
  <c r="T1676" i="2"/>
  <c r="P705" i="2"/>
  <c r="T705" i="2"/>
  <c r="P1122" i="2"/>
  <c r="T1122" i="2"/>
  <c r="P611" i="2"/>
  <c r="T611" i="2"/>
  <c r="P461" i="2"/>
  <c r="T461" i="2"/>
  <c r="P274" i="2"/>
  <c r="T274" i="2"/>
  <c r="P382" i="2"/>
  <c r="T382" i="2"/>
  <c r="P584" i="2"/>
  <c r="T584" i="2"/>
  <c r="P385" i="2"/>
  <c r="T385" i="2"/>
  <c r="P290" i="2"/>
  <c r="T290" i="2"/>
  <c r="P161" i="2"/>
  <c r="T161" i="2"/>
  <c r="P1078" i="2"/>
  <c r="T1078" i="2"/>
  <c r="P365" i="2"/>
  <c r="T365" i="2"/>
  <c r="P149" i="2"/>
  <c r="T149" i="2"/>
  <c r="P702" i="2"/>
  <c r="T702" i="2"/>
  <c r="P364" i="2"/>
  <c r="T364" i="2"/>
  <c r="P218" i="2"/>
  <c r="T218" i="2"/>
  <c r="P2400" i="2"/>
  <c r="T2400" i="2"/>
  <c r="P2095" i="2"/>
  <c r="T2095" i="2"/>
  <c r="P1891" i="2"/>
  <c r="T1891" i="2"/>
  <c r="P1471" i="2"/>
  <c r="T1471" i="2"/>
  <c r="P913" i="2"/>
  <c r="T913" i="2"/>
  <c r="P513" i="2"/>
  <c r="T513" i="2"/>
  <c r="P2273" i="2"/>
  <c r="T2273" i="2"/>
  <c r="P1796" i="2"/>
  <c r="T1796" i="2"/>
  <c r="P2386" i="2"/>
  <c r="T2386" i="2"/>
  <c r="P2255" i="2"/>
  <c r="T2255" i="2"/>
  <c r="P2008" i="2"/>
  <c r="T2008" i="2"/>
  <c r="P1795" i="2"/>
  <c r="T1795" i="2"/>
  <c r="P1434" i="2"/>
  <c r="T1434" i="2"/>
  <c r="P897" i="2"/>
  <c r="T897" i="2"/>
  <c r="P816" i="2"/>
  <c r="T816" i="2"/>
  <c r="P656" i="2"/>
  <c r="T656" i="2"/>
  <c r="P1695" i="2"/>
  <c r="T1695" i="2"/>
  <c r="P2177" i="2"/>
  <c r="T2177" i="2"/>
  <c r="P1888" i="2"/>
  <c r="T1888" i="2"/>
  <c r="P1382" i="2"/>
  <c r="T1382" i="2"/>
  <c r="P943" i="2"/>
  <c r="T943" i="2"/>
  <c r="P329" i="2"/>
  <c r="T329" i="2"/>
  <c r="P151" i="2"/>
  <c r="T151" i="2"/>
  <c r="P696" i="2"/>
  <c r="T696" i="2"/>
  <c r="P514" i="2"/>
  <c r="T514" i="2"/>
  <c r="P1326" i="2"/>
  <c r="T1326" i="2"/>
  <c r="P685" i="2"/>
  <c r="T685" i="2"/>
  <c r="P228" i="2"/>
  <c r="T228" i="2"/>
  <c r="P1534" i="2"/>
  <c r="T1534" i="2"/>
  <c r="P1248" i="2"/>
  <c r="T1248" i="2"/>
  <c r="P667" i="2"/>
  <c r="T667" i="2"/>
  <c r="P542" i="2"/>
  <c r="T542" i="2"/>
  <c r="P2423" i="2"/>
  <c r="T2423" i="2"/>
  <c r="P1764" i="2"/>
  <c r="T1764" i="2"/>
  <c r="P31" i="2"/>
  <c r="T31" i="2"/>
  <c r="P2074" i="2"/>
  <c r="T2074" i="2"/>
  <c r="P735" i="2"/>
  <c r="T735" i="2"/>
  <c r="P581" i="2"/>
  <c r="T581" i="2"/>
  <c r="P2476" i="2"/>
  <c r="T2476" i="2"/>
  <c r="P1595" i="2"/>
  <c r="T1595" i="2"/>
  <c r="P1349" i="2"/>
  <c r="T1349" i="2"/>
  <c r="P1003" i="2"/>
  <c r="T1003" i="2"/>
  <c r="P223" i="2"/>
  <c r="T223" i="2"/>
  <c r="P80" i="2"/>
  <c r="T80" i="2"/>
  <c r="P898" i="2"/>
  <c r="T898" i="2"/>
  <c r="P604" i="2"/>
  <c r="T604" i="2"/>
  <c r="P184" i="2"/>
  <c r="T184" i="2"/>
  <c r="P1386" i="2"/>
  <c r="T1386" i="2"/>
  <c r="P888" i="2"/>
  <c r="T888" i="2"/>
  <c r="P811" i="2"/>
  <c r="T811" i="2"/>
  <c r="P635" i="2"/>
  <c r="T635" i="2"/>
  <c r="P1727" i="2"/>
  <c r="T1727" i="2"/>
  <c r="P818" i="2"/>
  <c r="T818" i="2"/>
  <c r="P276" i="2"/>
  <c r="T276" i="2"/>
  <c r="P90" i="2"/>
  <c r="T90" i="2"/>
  <c r="P1329" i="2"/>
  <c r="T1329" i="2"/>
  <c r="P1106" i="2"/>
  <c r="T1106" i="2"/>
  <c r="P622" i="2"/>
  <c r="T622" i="2"/>
  <c r="P1750" i="2"/>
  <c r="T1750" i="2"/>
  <c r="P1677" i="2"/>
  <c r="T1677" i="2"/>
  <c r="P1358" i="2"/>
  <c r="T1358" i="2"/>
  <c r="P2402" i="2"/>
  <c r="T2402" i="2"/>
  <c r="P2333" i="2"/>
  <c r="T2333" i="2"/>
  <c r="P2259" i="2"/>
  <c r="T2259" i="2"/>
  <c r="P1488" i="2"/>
  <c r="T1488" i="2"/>
  <c r="P1294" i="2"/>
  <c r="T1294" i="2"/>
  <c r="P2060" i="2"/>
  <c r="T2060" i="2"/>
  <c r="P2122" i="2"/>
  <c r="T2122" i="2"/>
  <c r="P1246" i="2"/>
  <c r="T1246" i="2"/>
  <c r="P1175" i="2"/>
  <c r="T1175" i="2"/>
  <c r="P426" i="2"/>
  <c r="T426" i="2"/>
  <c r="P292" i="2"/>
  <c r="T292" i="2"/>
  <c r="P115" i="2"/>
  <c r="T115" i="2"/>
  <c r="P2272" i="2"/>
  <c r="T2272" i="2"/>
  <c r="P2353" i="2"/>
  <c r="T2353" i="2"/>
  <c r="P1442" i="2"/>
  <c r="T1442" i="2"/>
  <c r="P1371" i="2"/>
  <c r="T1371" i="2"/>
  <c r="P2154" i="2"/>
  <c r="T2154" i="2"/>
  <c r="P1840" i="2"/>
  <c r="T1840" i="2"/>
  <c r="P996" i="2"/>
  <c r="T996" i="2"/>
  <c r="P1443" i="2"/>
  <c r="T1443" i="2"/>
  <c r="P1679" i="2"/>
  <c r="T1679" i="2"/>
  <c r="P1610" i="2"/>
  <c r="T1610" i="2"/>
  <c r="P349" i="2"/>
  <c r="T349" i="2"/>
  <c r="P1282" i="2"/>
  <c r="T1282" i="2"/>
  <c r="P607" i="2"/>
  <c r="T607" i="2"/>
  <c r="P77" i="2"/>
  <c r="T77" i="2"/>
  <c r="P57" i="2"/>
  <c r="T57" i="2"/>
  <c r="P2081" i="2"/>
  <c r="T2081" i="2"/>
  <c r="P1206" i="2"/>
  <c r="T1206" i="2"/>
  <c r="P2357" i="2"/>
  <c r="T2357" i="2"/>
  <c r="P1348" i="2"/>
  <c r="T1348" i="2"/>
  <c r="P600" i="2"/>
  <c r="T600" i="2"/>
  <c r="P935" i="2"/>
  <c r="T935" i="2"/>
  <c r="P2180" i="2"/>
  <c r="T2180" i="2"/>
  <c r="P1700" i="2"/>
  <c r="T1700" i="2"/>
  <c r="P399" i="2"/>
  <c r="T399" i="2"/>
  <c r="P336" i="2"/>
  <c r="T336" i="2"/>
  <c r="P362" i="2"/>
  <c r="T362" i="2"/>
  <c r="P2282" i="2"/>
  <c r="T2282" i="2"/>
  <c r="P1271" i="2"/>
  <c r="T1271" i="2"/>
  <c r="P2306" i="2"/>
  <c r="T2306" i="2"/>
  <c r="P1145" i="2"/>
  <c r="T1145" i="2"/>
  <c r="P1569" i="2"/>
  <c r="T1569" i="2"/>
  <c r="P1673" i="2"/>
  <c r="T1673" i="2"/>
  <c r="P55" i="2"/>
  <c r="T55" i="2"/>
  <c r="P325" i="2"/>
  <c r="T325" i="2"/>
  <c r="P1245" i="2"/>
  <c r="T1245" i="2"/>
  <c r="P496" i="2"/>
  <c r="T496" i="2"/>
  <c r="P379" i="2"/>
  <c r="T379" i="2"/>
  <c r="P606" i="2"/>
  <c r="T606" i="2"/>
  <c r="P612" i="2"/>
  <c r="T612" i="2"/>
  <c r="P45" i="2"/>
  <c r="T45" i="2"/>
  <c r="P2066" i="2"/>
  <c r="T2066" i="2"/>
  <c r="P1365" i="2"/>
  <c r="T1365" i="2"/>
  <c r="P2057" i="2"/>
  <c r="T2057" i="2"/>
  <c r="P2324" i="2"/>
  <c r="T2324" i="2"/>
  <c r="P1769" i="2"/>
  <c r="T1769" i="2"/>
  <c r="P1609" i="2"/>
  <c r="T1609" i="2"/>
  <c r="P1463" i="2"/>
  <c r="T1463" i="2"/>
  <c r="P391" i="2"/>
  <c r="T391" i="2"/>
  <c r="P1231" i="2"/>
  <c r="T1231" i="2"/>
  <c r="P2437" i="2"/>
  <c r="T2437" i="2"/>
  <c r="P2459" i="2"/>
  <c r="T2459" i="2"/>
  <c r="P2111" i="2"/>
  <c r="T2111" i="2"/>
  <c r="P2212" i="2"/>
  <c r="T2212" i="2"/>
  <c r="P1844" i="2"/>
  <c r="T1844" i="2"/>
  <c r="P1436" i="2"/>
  <c r="T1436" i="2"/>
  <c r="P1674" i="2"/>
  <c r="T1674" i="2"/>
  <c r="P979" i="2"/>
  <c r="T979" i="2"/>
  <c r="P779" i="2"/>
  <c r="T779" i="2"/>
  <c r="P942" i="2"/>
  <c r="T942" i="2"/>
  <c r="P892" i="2"/>
  <c r="T892" i="2"/>
  <c r="P366" i="2"/>
  <c r="T366" i="2"/>
  <c r="P597" i="2"/>
  <c r="T597" i="2"/>
  <c r="P187" i="2"/>
  <c r="T187" i="2"/>
  <c r="P160" i="2"/>
  <c r="T160" i="2"/>
  <c r="P2337" i="2"/>
  <c r="T2337" i="2"/>
  <c r="P2320" i="2"/>
  <c r="T2320" i="2"/>
  <c r="P2240" i="2"/>
  <c r="T2240" i="2"/>
  <c r="P2342" i="2"/>
  <c r="T2342" i="2"/>
  <c r="P2271" i="2"/>
  <c r="T2271" i="2"/>
  <c r="P2188" i="2"/>
  <c r="T2188" i="2"/>
  <c r="P1429" i="2"/>
  <c r="T1429" i="2"/>
  <c r="P1662" i="2"/>
  <c r="T1662" i="2"/>
  <c r="P2190" i="2"/>
  <c r="T2190" i="2"/>
  <c r="P1828" i="2"/>
  <c r="T1828" i="2"/>
  <c r="P1748" i="2"/>
  <c r="T1748" i="2"/>
  <c r="P1091" i="2"/>
  <c r="T1091" i="2"/>
  <c r="P1974" i="2"/>
  <c r="T1974" i="2"/>
  <c r="P1459" i="2"/>
  <c r="T1459" i="2"/>
  <c r="P1035" i="2"/>
  <c r="T1035" i="2"/>
  <c r="P418" i="2"/>
  <c r="T418" i="2"/>
  <c r="P878" i="2"/>
  <c r="T878" i="2"/>
  <c r="P1261" i="2"/>
  <c r="T1261" i="2"/>
  <c r="P576" i="2"/>
  <c r="T576" i="2"/>
  <c r="P249" i="2"/>
  <c r="T249" i="2"/>
  <c r="P543" i="2"/>
  <c r="T543" i="2"/>
  <c r="P331" i="2"/>
  <c r="T331" i="2"/>
  <c r="P263" i="2"/>
  <c r="T263" i="2"/>
  <c r="P2438" i="2"/>
  <c r="T2438" i="2"/>
  <c r="P2186" i="2"/>
  <c r="T2186" i="2"/>
  <c r="P1691" i="2"/>
  <c r="T1691" i="2"/>
  <c r="P1187" i="2"/>
  <c r="T1187" i="2"/>
  <c r="P1496" i="2"/>
  <c r="T1496" i="2"/>
  <c r="P2251" i="2"/>
  <c r="T2251" i="2"/>
  <c r="P1491" i="2"/>
  <c r="T1491" i="2"/>
  <c r="P847" i="2"/>
  <c r="T847" i="2"/>
  <c r="P2097" i="2"/>
  <c r="T2097" i="2"/>
  <c r="P1415" i="2"/>
  <c r="T1415" i="2"/>
  <c r="P1626" i="2"/>
  <c r="T1626" i="2"/>
  <c r="P731" i="2"/>
  <c r="T731" i="2"/>
  <c r="P497" i="2"/>
  <c r="T497" i="2"/>
  <c r="P217" i="2"/>
  <c r="T217" i="2"/>
  <c r="P109" i="2"/>
  <c r="T109" i="2"/>
  <c r="P614" i="2"/>
  <c r="T614" i="2"/>
  <c r="P303" i="2"/>
  <c r="T303" i="2"/>
  <c r="P86" i="2"/>
  <c r="T86" i="2"/>
  <c r="P512" i="2"/>
  <c r="T512" i="2"/>
  <c r="P190" i="2"/>
  <c r="T190" i="2"/>
  <c r="P980" i="2"/>
  <c r="T980" i="2"/>
  <c r="P718" i="2"/>
  <c r="T718" i="2"/>
  <c r="P420" i="2"/>
  <c r="T420" i="2"/>
  <c r="P234" i="2"/>
  <c r="T234" i="2"/>
  <c r="P135" i="2"/>
  <c r="T135" i="2"/>
  <c r="P2412" i="2"/>
  <c r="T2412" i="2"/>
  <c r="P770" i="2"/>
  <c r="T770" i="2"/>
  <c r="P2305" i="2"/>
  <c r="T2305" i="2"/>
  <c r="P2242" i="2"/>
  <c r="T2242" i="2"/>
  <c r="P1568" i="2"/>
  <c r="T1568" i="2"/>
  <c r="P1384" i="2"/>
  <c r="T1384" i="2"/>
  <c r="P1288" i="2"/>
  <c r="T1288" i="2"/>
  <c r="P2244" i="2"/>
  <c r="T2244" i="2"/>
  <c r="P1819" i="2"/>
  <c r="T1819" i="2"/>
  <c r="P1740" i="2"/>
  <c r="T1740" i="2"/>
  <c r="P1264" i="2"/>
  <c r="T1264" i="2"/>
  <c r="P1249" i="2"/>
  <c r="T1249" i="2"/>
  <c r="P2150" i="2"/>
  <c r="T2150" i="2"/>
  <c r="P2382" i="2"/>
  <c r="T2382" i="2"/>
  <c r="P1650" i="2"/>
  <c r="T1650" i="2"/>
  <c r="P2052" i="2"/>
  <c r="T2052" i="2"/>
  <c r="P2129" i="2"/>
  <c r="T2129" i="2"/>
  <c r="P1492" i="2"/>
  <c r="T1492" i="2"/>
  <c r="P1665" i="2"/>
  <c r="T1665" i="2"/>
  <c r="P1453" i="2"/>
  <c r="T1453" i="2"/>
  <c r="P1066" i="2"/>
  <c r="T1066" i="2"/>
  <c r="P1521" i="2"/>
  <c r="T1521" i="2"/>
  <c r="P1639" i="2"/>
  <c r="T1639" i="2"/>
  <c r="P1510" i="2"/>
  <c r="T1510" i="2"/>
  <c r="P2004" i="2"/>
  <c r="T2004" i="2"/>
  <c r="P1547" i="2"/>
  <c r="T1547" i="2"/>
  <c r="P978" i="2"/>
  <c r="T978" i="2"/>
  <c r="P842" i="2"/>
  <c r="T842" i="2"/>
  <c r="P643" i="2"/>
  <c r="T643" i="2"/>
  <c r="P489" i="2"/>
  <c r="T489" i="2"/>
  <c r="P375" i="2"/>
  <c r="T375" i="2"/>
  <c r="P301" i="2"/>
  <c r="T301" i="2"/>
  <c r="P208" i="2"/>
  <c r="T208" i="2"/>
  <c r="P101" i="2"/>
  <c r="T101" i="2"/>
  <c r="P841" i="2"/>
  <c r="T841" i="2"/>
  <c r="P1157" i="2"/>
  <c r="T1157" i="2"/>
  <c r="P985" i="2"/>
  <c r="T985" i="2"/>
  <c r="P793" i="2"/>
  <c r="T793" i="2"/>
  <c r="P573" i="2"/>
  <c r="T573" i="2"/>
  <c r="P1103" i="2"/>
  <c r="T1103" i="2"/>
  <c r="P665" i="2"/>
  <c r="T665" i="2"/>
  <c r="P446" i="2"/>
  <c r="T446" i="2"/>
  <c r="P377" i="2"/>
  <c r="T377" i="2"/>
  <c r="P785" i="2"/>
  <c r="T785" i="2"/>
  <c r="P551" i="2"/>
  <c r="T551" i="2"/>
  <c r="P404" i="2"/>
  <c r="T404" i="2"/>
  <c r="P195" i="2"/>
  <c r="T195" i="2"/>
  <c r="P114" i="2"/>
  <c r="T114" i="2"/>
  <c r="P36" i="2"/>
  <c r="T36" i="2"/>
  <c r="P423" i="2"/>
  <c r="T423" i="2"/>
  <c r="P167" i="2"/>
  <c r="T167" i="2"/>
  <c r="P33" i="2"/>
  <c r="T33" i="2"/>
  <c r="P299" i="2"/>
  <c r="T299" i="2"/>
  <c r="P378" i="2"/>
  <c r="T378" i="2"/>
  <c r="P240" i="2"/>
  <c r="T240" i="2"/>
  <c r="P13" i="2"/>
  <c r="T13" i="2"/>
  <c r="P67" i="2"/>
  <c r="T67" i="2"/>
  <c r="P2368" i="2"/>
  <c r="T2368" i="2"/>
  <c r="P2430" i="2"/>
  <c r="T2430" i="2"/>
  <c r="P2105" i="2"/>
  <c r="T2105" i="2"/>
  <c r="P1952" i="2"/>
  <c r="T1952" i="2"/>
  <c r="P1476" i="2"/>
  <c r="T1476" i="2"/>
  <c r="P1262" i="2"/>
  <c r="T1262" i="2"/>
  <c r="P2445" i="2"/>
  <c r="T2445" i="2"/>
  <c r="P2192" i="2"/>
  <c r="T2192" i="2"/>
  <c r="P2104" i="2"/>
  <c r="T2104" i="2"/>
  <c r="P2015" i="2"/>
  <c r="T2015" i="2"/>
  <c r="P1763" i="2"/>
  <c r="T1763" i="2"/>
  <c r="P1475" i="2"/>
  <c r="T1475" i="2"/>
  <c r="P2366" i="2"/>
  <c r="T2366" i="2"/>
  <c r="P1814" i="2"/>
  <c r="T1814" i="2"/>
  <c r="P2258" i="2"/>
  <c r="T2258" i="2"/>
  <c r="P1580" i="2"/>
  <c r="T1580" i="2"/>
  <c r="P1367" i="2"/>
  <c r="T1367" i="2"/>
  <c r="P1165" i="2"/>
  <c r="T1165" i="2"/>
  <c r="P981" i="2"/>
  <c r="T981" i="2"/>
  <c r="P639" i="2"/>
  <c r="T639" i="2"/>
  <c r="P538" i="2"/>
  <c r="T538" i="2"/>
  <c r="P1721" i="2"/>
  <c r="T1721" i="2"/>
  <c r="P1256" i="2"/>
  <c r="T1256" i="2"/>
  <c r="P989" i="2"/>
  <c r="T989" i="2"/>
  <c r="P1412" i="2"/>
  <c r="T1412" i="2"/>
  <c r="P1278" i="2"/>
  <c r="T1278" i="2"/>
  <c r="P1973" i="2"/>
  <c r="T1973" i="2"/>
  <c r="P1589" i="2"/>
  <c r="T1589" i="2"/>
  <c r="P1214" i="2"/>
  <c r="T1214" i="2"/>
  <c r="P1503" i="2"/>
  <c r="T1503" i="2"/>
  <c r="P1257" i="2"/>
  <c r="T1257" i="2"/>
  <c r="P1137" i="2"/>
  <c r="T1137" i="2"/>
  <c r="P1049" i="2"/>
  <c r="T1049" i="2"/>
  <c r="P782" i="2"/>
  <c r="T782" i="2"/>
  <c r="P580" i="2"/>
  <c r="T580" i="2"/>
  <c r="P457" i="2"/>
  <c r="T457" i="2"/>
  <c r="P270" i="2"/>
  <c r="T270" i="2"/>
  <c r="P173" i="2"/>
  <c r="T173" i="2"/>
  <c r="P359" i="2"/>
  <c r="T359" i="2"/>
  <c r="P50" i="2"/>
  <c r="T50" i="2"/>
  <c r="P557" i="2"/>
  <c r="T557" i="2"/>
  <c r="P381" i="2"/>
  <c r="T381" i="2"/>
  <c r="P272" i="2"/>
  <c r="T272" i="2"/>
  <c r="P157" i="2"/>
  <c r="T157" i="2"/>
  <c r="P54" i="2"/>
  <c r="T54" i="2"/>
  <c r="P950" i="2"/>
  <c r="T950" i="2"/>
  <c r="P357" i="2"/>
  <c r="T357" i="2"/>
  <c r="P568" i="2"/>
  <c r="T568" i="2"/>
  <c r="P356" i="2"/>
  <c r="T356" i="2"/>
  <c r="P2392" i="2"/>
  <c r="T2392" i="2"/>
  <c r="P2055" i="2"/>
  <c r="T2055" i="2"/>
  <c r="P1867" i="2"/>
  <c r="T1867" i="2"/>
  <c r="P1647" i="2"/>
  <c r="T1647" i="2"/>
  <c r="P1432" i="2"/>
  <c r="T1432" i="2"/>
  <c r="P879" i="2"/>
  <c r="T879" i="2"/>
  <c r="P670" i="2"/>
  <c r="T670" i="2"/>
  <c r="P1622" i="2"/>
  <c r="T1622" i="2"/>
  <c r="P1784" i="2"/>
  <c r="T1784" i="2"/>
  <c r="P2383" i="2"/>
  <c r="T2383" i="2"/>
  <c r="P2237" i="2"/>
  <c r="T2237" i="2"/>
  <c r="P1944" i="2"/>
  <c r="T1944" i="2"/>
  <c r="P1629" i="2"/>
  <c r="T1629" i="2"/>
  <c r="P1409" i="2"/>
  <c r="T1409" i="2"/>
  <c r="P1159" i="2"/>
  <c r="T1159" i="2"/>
  <c r="P869" i="2"/>
  <c r="T869" i="2"/>
  <c r="P2219" i="2"/>
  <c r="T2219" i="2"/>
  <c r="P1675" i="2"/>
  <c r="T1675" i="2"/>
  <c r="P795" i="2"/>
  <c r="T795" i="2"/>
  <c r="P1876" i="2"/>
  <c r="T1876" i="2"/>
  <c r="P1150" i="2"/>
  <c r="T1150" i="2"/>
  <c r="P586" i="2"/>
  <c r="T586" i="2"/>
  <c r="P316" i="2"/>
  <c r="T316" i="2"/>
  <c r="P1112" i="2"/>
  <c r="T1112" i="2"/>
  <c r="P690" i="2"/>
  <c r="T690" i="2"/>
  <c r="P669" i="2"/>
  <c r="T669" i="2"/>
  <c r="P224" i="2"/>
  <c r="T224" i="2"/>
  <c r="P40" i="2"/>
  <c r="T40" i="2"/>
  <c r="P1281" i="2"/>
  <c r="T1281" i="2"/>
  <c r="P2080" i="2"/>
  <c r="T2080" i="2"/>
  <c r="P1517" i="2"/>
  <c r="T1517" i="2"/>
  <c r="P1154" i="2"/>
  <c r="T1154" i="2"/>
  <c r="P522" i="2"/>
  <c r="T522" i="2"/>
  <c r="P2411" i="2"/>
  <c r="T2411" i="2"/>
  <c r="P569" i="2"/>
  <c r="T569" i="2"/>
  <c r="P1194" i="2"/>
  <c r="T1194" i="2"/>
  <c r="P2374" i="2"/>
  <c r="T2374" i="2"/>
  <c r="P2058" i="2"/>
  <c r="T2058" i="2"/>
  <c r="P1414" i="2"/>
  <c r="T1414" i="2"/>
  <c r="P725" i="2"/>
  <c r="T725" i="2"/>
  <c r="P577" i="2"/>
  <c r="T577" i="2"/>
  <c r="P2309" i="2"/>
  <c r="T2309" i="2"/>
  <c r="P844" i="2"/>
  <c r="T844" i="2"/>
  <c r="P762" i="2"/>
  <c r="T762" i="2"/>
  <c r="P625" i="2"/>
  <c r="T625" i="2"/>
  <c r="P388" i="2"/>
  <c r="T388" i="2"/>
  <c r="P259" i="2"/>
  <c r="T259" i="2"/>
  <c r="P214" i="2"/>
  <c r="T214" i="2"/>
  <c r="P59" i="2"/>
  <c r="T59" i="2"/>
  <c r="P1615" i="2"/>
  <c r="T1615" i="2"/>
  <c r="P1034" i="2"/>
  <c r="T1034" i="2"/>
  <c r="P520" i="2"/>
  <c r="T520" i="2"/>
  <c r="P168" i="2"/>
  <c r="T168" i="2"/>
  <c r="P1883" i="2"/>
  <c r="T1883" i="2"/>
  <c r="P880" i="2"/>
  <c r="T880" i="2"/>
  <c r="P803" i="2"/>
  <c r="T803" i="2"/>
  <c r="P631" i="2"/>
  <c r="T631" i="2"/>
  <c r="P1723" i="2"/>
  <c r="T1723" i="2"/>
  <c r="P681" i="2"/>
  <c r="T681" i="2"/>
  <c r="P268" i="2"/>
  <c r="T268" i="2"/>
  <c r="P1325" i="2"/>
  <c r="T1325" i="2"/>
  <c r="P1100" i="2"/>
  <c r="T1100" i="2"/>
  <c r="P618" i="2"/>
  <c r="T618" i="2"/>
  <c r="P1705" i="2"/>
  <c r="T1705" i="2"/>
  <c r="P1494" i="2"/>
  <c r="T1494" i="2"/>
  <c r="P1351" i="2"/>
  <c r="T1351" i="2"/>
  <c r="P2178" i="2"/>
  <c r="T2178" i="2"/>
  <c r="P2249" i="2"/>
  <c r="T2249" i="2"/>
  <c r="P1456" i="2"/>
  <c r="T1456" i="2"/>
  <c r="P1273" i="2"/>
  <c r="T1273" i="2"/>
  <c r="P1926" i="2"/>
  <c r="T1926" i="2"/>
  <c r="P2426" i="2"/>
  <c r="T2426" i="2"/>
  <c r="P1242" i="2"/>
  <c r="T1242" i="2"/>
  <c r="P1124" i="2"/>
  <c r="T1124" i="2"/>
  <c r="P2428" i="2"/>
  <c r="T2428" i="2"/>
  <c r="P421" i="2"/>
  <c r="T421" i="2"/>
  <c r="P193" i="2"/>
  <c r="T193" i="2"/>
  <c r="P107" i="2"/>
  <c r="T107" i="2"/>
  <c r="P2328" i="2"/>
  <c r="T2328" i="2"/>
  <c r="P1400" i="2"/>
  <c r="T1400" i="2"/>
  <c r="P1232" i="2"/>
  <c r="T1232" i="2"/>
  <c r="P1981" i="2"/>
  <c r="T1981" i="2"/>
  <c r="P1399" i="2"/>
  <c r="T1399" i="2"/>
  <c r="P828" i="2"/>
  <c r="T828" i="2"/>
  <c r="P1864" i="2"/>
  <c r="T1864" i="2"/>
  <c r="P1486" i="2"/>
  <c r="T1486" i="2"/>
  <c r="P1064" i="2"/>
  <c r="T1064" i="2"/>
  <c r="P930" i="2"/>
  <c r="T930" i="2"/>
  <c r="P467" i="2"/>
  <c r="T467" i="2"/>
  <c r="P68" i="2"/>
  <c r="T68" i="2"/>
  <c r="P431" i="2"/>
  <c r="T431" i="2"/>
  <c r="P621" i="2"/>
  <c r="T621" i="2"/>
  <c r="P341" i="2"/>
  <c r="T341" i="2"/>
  <c r="P2345" i="2"/>
  <c r="T2345" i="2"/>
  <c r="P2231" i="2"/>
  <c r="T2231" i="2"/>
  <c r="P1636" i="2"/>
  <c r="T1636" i="2"/>
  <c r="P2087" i="2"/>
  <c r="T2087" i="2"/>
  <c r="P1437" i="2"/>
  <c r="T1437" i="2"/>
  <c r="P761" i="2"/>
  <c r="T761" i="2"/>
  <c r="P1170" i="2"/>
  <c r="T1170" i="2"/>
  <c r="P1263" i="2"/>
  <c r="T1263" i="2"/>
  <c r="P901" i="2"/>
  <c r="T901" i="2"/>
  <c r="P233" i="2"/>
  <c r="T233" i="2"/>
  <c r="P890" i="2"/>
  <c r="T890" i="2"/>
  <c r="P123" i="2"/>
  <c r="T123" i="2"/>
  <c r="P305" i="2"/>
  <c r="T305" i="2"/>
  <c r="P2124" i="2"/>
  <c r="T2124" i="2"/>
  <c r="P2225" i="2"/>
  <c r="T2225" i="2"/>
  <c r="P1711" i="2"/>
  <c r="T1711" i="2"/>
  <c r="P1397" i="2"/>
  <c r="T1397" i="2"/>
  <c r="P1229" i="2"/>
  <c r="T1229" i="2"/>
  <c r="P2206" i="2"/>
  <c r="T2206" i="2"/>
  <c r="P883" i="2"/>
  <c r="T883" i="2"/>
  <c r="P849" i="2"/>
  <c r="T849" i="2"/>
  <c r="P1730" i="2"/>
  <c r="T1730" i="2"/>
  <c r="P1535" i="2"/>
  <c r="T1535" i="2"/>
  <c r="P440" i="2"/>
  <c r="T440" i="2"/>
  <c r="P15" i="2"/>
  <c r="T15" i="2"/>
  <c r="P427" i="2"/>
  <c r="T427" i="2"/>
  <c r="P498" i="2"/>
  <c r="T498" i="2"/>
  <c r="P152" i="2"/>
  <c r="T152" i="2"/>
  <c r="P2344" i="2"/>
  <c r="T2344" i="2"/>
  <c r="P1608" i="2"/>
  <c r="T1608" i="2"/>
  <c r="P1635" i="2"/>
  <c r="T1635" i="2"/>
  <c r="P2110" i="2"/>
  <c r="T2110" i="2"/>
  <c r="P884" i="2"/>
  <c r="T884" i="2"/>
  <c r="P1132" i="2"/>
  <c r="T1132" i="2"/>
  <c r="P987" i="2"/>
  <c r="T987" i="2"/>
  <c r="P850" i="2"/>
  <c r="T850" i="2"/>
  <c r="P106" i="2"/>
  <c r="T106" i="2"/>
  <c r="P686" i="2"/>
  <c r="T686" i="2"/>
  <c r="P185" i="2"/>
  <c r="T185" i="2"/>
  <c r="P2236" i="2"/>
  <c r="T2236" i="2"/>
  <c r="P2329" i="2"/>
  <c r="T2329" i="2"/>
  <c r="P1487" i="2"/>
  <c r="T1487" i="2"/>
  <c r="P1237" i="2"/>
  <c r="T1237" i="2"/>
  <c r="P2323" i="2"/>
  <c r="T2323" i="2"/>
  <c r="P2182" i="2"/>
  <c r="T2182" i="2"/>
  <c r="P1332" i="2"/>
  <c r="T1332" i="2"/>
  <c r="P1108" i="2"/>
  <c r="T1108" i="2"/>
  <c r="P1562" i="2"/>
  <c r="T1562" i="2"/>
  <c r="P1548" i="2"/>
  <c r="T1548" i="2"/>
  <c r="P1444" i="2"/>
  <c r="T1444" i="2"/>
  <c r="P1052" i="2"/>
  <c r="T1052" i="2"/>
  <c r="P544" i="2"/>
  <c r="T544" i="2"/>
  <c r="P1238" i="2"/>
  <c r="T1238" i="2"/>
  <c r="P478" i="2"/>
  <c r="T478" i="2"/>
  <c r="P1290" i="2"/>
  <c r="T1290" i="2"/>
  <c r="P579" i="2"/>
  <c r="T579" i="2"/>
  <c r="P265" i="2"/>
  <c r="T265" i="2"/>
  <c r="P285" i="2"/>
  <c r="T285" i="2"/>
  <c r="P414" i="2"/>
  <c r="T414" i="2"/>
  <c r="P37" i="2"/>
  <c r="T37" i="2"/>
  <c r="P2061" i="2"/>
  <c r="T2061" i="2"/>
  <c r="P1331" i="2"/>
  <c r="T1331" i="2"/>
  <c r="P2315" i="2"/>
  <c r="T2315" i="2"/>
  <c r="P2277" i="2"/>
  <c r="T2277" i="2"/>
  <c r="P1907" i="2"/>
  <c r="T1907" i="2"/>
  <c r="P1484" i="2"/>
  <c r="T1484" i="2"/>
  <c r="P2452" i="2"/>
  <c r="T2452" i="2"/>
  <c r="P2175" i="2"/>
  <c r="T2175" i="2"/>
  <c r="P1692" i="2"/>
  <c r="T1692" i="2"/>
  <c r="P1682" i="2"/>
  <c r="T1682" i="2"/>
  <c r="P232" i="2"/>
  <c r="T232" i="2"/>
  <c r="P904" i="2"/>
  <c r="T904" i="2"/>
  <c r="P314" i="2"/>
  <c r="T314" i="2"/>
  <c r="P893" i="2"/>
  <c r="T893" i="2"/>
  <c r="P482" i="2"/>
  <c r="T482" i="2"/>
  <c r="P817" i="2"/>
  <c r="T817" i="2"/>
  <c r="P343" i="2"/>
  <c r="T343" i="2"/>
  <c r="P138" i="2"/>
  <c r="T138" i="2"/>
  <c r="P46" i="2"/>
  <c r="T46" i="2"/>
  <c r="P2334" i="2"/>
  <c r="T2334" i="2"/>
  <c r="P1802" i="2"/>
  <c r="T1802" i="2"/>
  <c r="P1328" i="2"/>
  <c r="T1328" i="2"/>
  <c r="P2138" i="2"/>
  <c r="T2138" i="2"/>
  <c r="P1781" i="2"/>
  <c r="T1781" i="2"/>
  <c r="P2010" i="2"/>
  <c r="T2010" i="2"/>
  <c r="P1059" i="2"/>
  <c r="T1059" i="2"/>
  <c r="P1022" i="2"/>
  <c r="T1022" i="2"/>
  <c r="P2233" i="2"/>
  <c r="T2233" i="2"/>
  <c r="P1428" i="2"/>
  <c r="T1428" i="2"/>
  <c r="P1435" i="2"/>
  <c r="T1435" i="2"/>
  <c r="P960" i="2"/>
  <c r="T960" i="2"/>
  <c r="P1151" i="2"/>
  <c r="T1151" i="2"/>
  <c r="P397" i="2"/>
  <c r="T397" i="2"/>
  <c r="P530" i="2"/>
  <c r="T530" i="2"/>
  <c r="P2475" i="2"/>
  <c r="T2475" i="2"/>
  <c r="P2444" i="2"/>
  <c r="T2444" i="2"/>
  <c r="P1468" i="2"/>
  <c r="T1468" i="2"/>
  <c r="P2419" i="2"/>
  <c r="T2419" i="2"/>
  <c r="P2007" i="2"/>
  <c r="T2007" i="2"/>
  <c r="P1979" i="2"/>
  <c r="T1979" i="2"/>
  <c r="P2279" i="2"/>
  <c r="T2279" i="2"/>
  <c r="P2462" i="2"/>
  <c r="T2462" i="2"/>
  <c r="P2245" i="2"/>
  <c r="T2245" i="2"/>
  <c r="P2363" i="2"/>
  <c r="T2363" i="2"/>
  <c r="P1746" i="2"/>
  <c r="T1746" i="2"/>
  <c r="P1455" i="2"/>
  <c r="T1455" i="2"/>
  <c r="P1334" i="2"/>
  <c r="T1334" i="2"/>
  <c r="P2396" i="2"/>
  <c r="T2396" i="2"/>
  <c r="P2179" i="2"/>
  <c r="T2179" i="2"/>
  <c r="P2326" i="2"/>
  <c r="T2326" i="2"/>
  <c r="P2275" i="2"/>
  <c r="T2275" i="2"/>
  <c r="P2389" i="2"/>
  <c r="T2389" i="2"/>
  <c r="P2457" i="2"/>
  <c r="T2457" i="2"/>
  <c r="P2238" i="2"/>
  <c r="T2238" i="2"/>
  <c r="P2335" i="2"/>
  <c r="T2335" i="2"/>
  <c r="P1863" i="2"/>
  <c r="T1863" i="2"/>
  <c r="P1735" i="2"/>
  <c r="T1735" i="2"/>
  <c r="P1546" i="2"/>
  <c r="T1546" i="2"/>
  <c r="P1445" i="2"/>
  <c r="T1445" i="2"/>
  <c r="P1407" i="2"/>
  <c r="T1407" i="2"/>
  <c r="P2211" i="2"/>
  <c r="T2211" i="2"/>
  <c r="P1461" i="2"/>
  <c r="T1461" i="2"/>
  <c r="P1240" i="2"/>
  <c r="T1240" i="2"/>
  <c r="P2379" i="2"/>
  <c r="T2379" i="2"/>
  <c r="P2460" i="2"/>
  <c r="T2460" i="2"/>
  <c r="P2157" i="2"/>
  <c r="T2157" i="2"/>
  <c r="P1879" i="2"/>
  <c r="T1879" i="2"/>
  <c r="P2322" i="2"/>
  <c r="T2322" i="2"/>
  <c r="P1729" i="2"/>
  <c r="T1729" i="2"/>
  <c r="P1454" i="2"/>
  <c r="T1454" i="2"/>
  <c r="P1185" i="2"/>
  <c r="T1185" i="2"/>
  <c r="P900" i="2"/>
  <c r="T900" i="2"/>
  <c r="P843" i="2"/>
  <c r="T843" i="2"/>
  <c r="P1450" i="2"/>
  <c r="T1450" i="2"/>
  <c r="P1019" i="2"/>
  <c r="T1019" i="2"/>
  <c r="P1460" i="2"/>
  <c r="T1460" i="2"/>
  <c r="P1632" i="2"/>
  <c r="T1632" i="2"/>
  <c r="P1542" i="2"/>
  <c r="T1542" i="2"/>
  <c r="P1336" i="2"/>
  <c r="T1336" i="2"/>
  <c r="P83" i="2"/>
  <c r="T83" i="2"/>
  <c r="P1224" i="2"/>
  <c r="T1224" i="2"/>
  <c r="P610" i="2"/>
  <c r="T610" i="2"/>
  <c r="P470" i="2"/>
  <c r="T470" i="2"/>
  <c r="P369" i="2"/>
  <c r="T369" i="2"/>
  <c r="P286" i="2"/>
  <c r="T286" i="2"/>
  <c r="P204" i="2"/>
  <c r="T204" i="2"/>
  <c r="P75" i="2"/>
  <c r="T75" i="2"/>
  <c r="P1984" i="2"/>
  <c r="T1984" i="2"/>
  <c r="P962" i="2"/>
  <c r="T962" i="2"/>
  <c r="P774" i="2"/>
  <c r="T774" i="2"/>
  <c r="P347" i="2"/>
  <c r="T347" i="2"/>
  <c r="P1085" i="2"/>
  <c r="T1085" i="2"/>
  <c r="P895" i="2"/>
  <c r="T895" i="2"/>
  <c r="P733" i="2"/>
  <c r="T733" i="2"/>
  <c r="P525" i="2"/>
  <c r="T525" i="2"/>
  <c r="P182" i="2"/>
  <c r="T182" i="2"/>
  <c r="P104" i="2"/>
  <c r="T104" i="2"/>
  <c r="P30" i="2"/>
  <c r="T30" i="2"/>
  <c r="P392" i="2"/>
  <c r="T392" i="2"/>
  <c r="P279" i="2"/>
  <c r="T279" i="2"/>
  <c r="P94" i="2"/>
  <c r="T94" i="2"/>
  <c r="P345" i="2"/>
  <c r="T345" i="2"/>
  <c r="P222" i="2"/>
  <c r="T222" i="2"/>
  <c r="P429" i="2"/>
  <c r="T429" i="2"/>
  <c r="P61" i="2"/>
  <c r="T61" i="2"/>
  <c r="P2349" i="2"/>
  <c r="T2349" i="2"/>
  <c r="P2387" i="2"/>
  <c r="T2387" i="2"/>
  <c r="P2299" i="2"/>
  <c r="T2299" i="2"/>
  <c r="P2092" i="2"/>
  <c r="T2092" i="2"/>
  <c r="P1258" i="2"/>
  <c r="T1258" i="2"/>
  <c r="P2370" i="2"/>
  <c r="T2370" i="2"/>
  <c r="P2189" i="2"/>
  <c r="T2189" i="2"/>
  <c r="P2099" i="2"/>
  <c r="T2099" i="2"/>
  <c r="P2011" i="2"/>
  <c r="T2011" i="2"/>
  <c r="P1716" i="2"/>
  <c r="T1716" i="2"/>
  <c r="P1464" i="2"/>
  <c r="T1464" i="2"/>
  <c r="P2365" i="2"/>
  <c r="T2365" i="2"/>
  <c r="P2187" i="2"/>
  <c r="T2187" i="2"/>
  <c r="P2071" i="2"/>
  <c r="T2071" i="2"/>
  <c r="P2252" i="2"/>
  <c r="T2252" i="2"/>
  <c r="P1537" i="2"/>
  <c r="T1537" i="2"/>
  <c r="P1149" i="2"/>
  <c r="T1149" i="2"/>
  <c r="P780" i="2"/>
  <c r="T780" i="2"/>
  <c r="P620" i="2"/>
  <c r="T620" i="2"/>
  <c r="P531" i="2"/>
  <c r="T531" i="2"/>
  <c r="P1570" i="2"/>
  <c r="T1570" i="2"/>
  <c r="P1228" i="2"/>
  <c r="T1228" i="2"/>
  <c r="P2160" i="2"/>
  <c r="T2160" i="2"/>
  <c r="P1848" i="2"/>
  <c r="T1848" i="2"/>
  <c r="P2184" i="2"/>
  <c r="T2184" i="2"/>
  <c r="P1708" i="2"/>
  <c r="T1708" i="2"/>
  <c r="P1485" i="2"/>
  <c r="T1485" i="2"/>
  <c r="P1704" i="2"/>
  <c r="T1704" i="2"/>
  <c r="P1499" i="2"/>
  <c r="T1499" i="2"/>
  <c r="P1250" i="2"/>
  <c r="T1250" i="2"/>
  <c r="P1130" i="2"/>
  <c r="T1130" i="2"/>
  <c r="P1045" i="2"/>
  <c r="T1045" i="2"/>
  <c r="P909" i="2"/>
  <c r="T909" i="2"/>
  <c r="P693" i="2"/>
  <c r="T693" i="2"/>
  <c r="P1025" i="2"/>
  <c r="T1025" i="2"/>
  <c r="P797" i="2"/>
  <c r="T797" i="2"/>
  <c r="P559" i="2"/>
  <c r="T559" i="2"/>
  <c r="P403" i="2"/>
  <c r="T403" i="2"/>
  <c r="P129" i="2"/>
  <c r="T129" i="2"/>
  <c r="P585" i="2"/>
  <c r="T585" i="2"/>
  <c r="P339" i="2"/>
  <c r="T339" i="2"/>
  <c r="P22" i="2"/>
  <c r="T22" i="2"/>
  <c r="P547" i="2"/>
  <c r="T547" i="2"/>
  <c r="P374" i="2"/>
  <c r="T374" i="2"/>
  <c r="P257" i="2"/>
  <c r="T257" i="2"/>
  <c r="P150" i="2"/>
  <c r="T150" i="2"/>
  <c r="P946" i="2"/>
  <c r="T946" i="2"/>
  <c r="P330" i="2"/>
  <c r="T330" i="2"/>
  <c r="P111" i="2"/>
  <c r="T111" i="2"/>
  <c r="P755" i="2"/>
  <c r="T755" i="2"/>
  <c r="P353" i="2"/>
  <c r="T353" i="2"/>
  <c r="P201" i="2"/>
  <c r="T201" i="2"/>
  <c r="P23" i="2"/>
  <c r="T23" i="2"/>
  <c r="P2381" i="2"/>
  <c r="T2381" i="2"/>
  <c r="P2051" i="2"/>
  <c r="T2051" i="2"/>
  <c r="P1638" i="2"/>
  <c r="T1638" i="2"/>
  <c r="P1316" i="2"/>
  <c r="T1316" i="2"/>
  <c r="P845" i="2"/>
  <c r="T845" i="2"/>
  <c r="P2202" i="2"/>
  <c r="T2202" i="2"/>
  <c r="P1613" i="2"/>
  <c r="T1613" i="2"/>
  <c r="P1774" i="2"/>
  <c r="T1774" i="2"/>
  <c r="P2375" i="2"/>
  <c r="T2375" i="2"/>
  <c r="P2131" i="2"/>
  <c r="T2131" i="2"/>
  <c r="P1533" i="2"/>
  <c r="T1533" i="2"/>
  <c r="P1396" i="2"/>
  <c r="T1396" i="2"/>
  <c r="P593" i="2"/>
  <c r="T593" i="2"/>
  <c r="P2204" i="2"/>
  <c r="T2204" i="2"/>
  <c r="P1670" i="2"/>
  <c r="T1670" i="2"/>
  <c r="P644" i="2"/>
  <c r="T644" i="2"/>
  <c r="P2164" i="2"/>
  <c r="T2164" i="2"/>
  <c r="P1868" i="2"/>
  <c r="T1868" i="2"/>
  <c r="P1133" i="2"/>
  <c r="T1133" i="2"/>
  <c r="P473" i="2"/>
  <c r="T473" i="2"/>
  <c r="P304" i="2"/>
  <c r="T304" i="2"/>
  <c r="P128" i="2"/>
  <c r="T128" i="2"/>
  <c r="P416" i="2"/>
  <c r="T416" i="2"/>
  <c r="P244" i="2"/>
  <c r="T244" i="2"/>
  <c r="P1171" i="2"/>
  <c r="T1171" i="2"/>
  <c r="P220" i="2"/>
  <c r="T220" i="2"/>
  <c r="P278" i="2"/>
  <c r="T278" i="2"/>
  <c r="P2076" i="2"/>
  <c r="T2076" i="2"/>
  <c r="P1653" i="2"/>
  <c r="T1653" i="2"/>
  <c r="P1513" i="2"/>
  <c r="T1513" i="2"/>
  <c r="P1128" i="2"/>
  <c r="T1128" i="2"/>
  <c r="P306" i="2"/>
  <c r="T306" i="2"/>
  <c r="P262" i="2"/>
  <c r="T262" i="2"/>
  <c r="P1026" i="2"/>
  <c r="T1026" i="2"/>
  <c r="P2350" i="2"/>
  <c r="T2350" i="2"/>
  <c r="P2054" i="2"/>
  <c r="T2054" i="2"/>
  <c r="P1880" i="2"/>
  <c r="T1880" i="2"/>
  <c r="P1410" i="2"/>
  <c r="T1410" i="2"/>
  <c r="P714" i="2"/>
  <c r="T714" i="2"/>
  <c r="P540" i="2"/>
  <c r="T540" i="2"/>
  <c r="P2241" i="2"/>
  <c r="T2241" i="2"/>
  <c r="P1552" i="2"/>
  <c r="T1552" i="2"/>
  <c r="P1338" i="2"/>
  <c r="T1338" i="2"/>
  <c r="P836" i="2"/>
  <c r="T836" i="2"/>
  <c r="P739" i="2"/>
  <c r="T739" i="2"/>
  <c r="P616" i="2"/>
  <c r="T616" i="2"/>
  <c r="P1156" i="2"/>
  <c r="T1156" i="2"/>
  <c r="P255" i="2"/>
  <c r="T255" i="2"/>
  <c r="P210" i="2"/>
  <c r="T210" i="2"/>
  <c r="P1094" i="2"/>
  <c r="T1094" i="2"/>
  <c r="P516" i="2"/>
  <c r="T516" i="2"/>
  <c r="P164" i="2"/>
  <c r="T164" i="2"/>
  <c r="P1871" i="2"/>
  <c r="T1871" i="2"/>
  <c r="P872" i="2"/>
  <c r="T872" i="2"/>
  <c r="P2073" i="2"/>
  <c r="T2073" i="2"/>
  <c r="P1715" i="2"/>
  <c r="T1715" i="2"/>
  <c r="P368" i="2"/>
  <c r="T368" i="2"/>
  <c r="P264" i="2"/>
  <c r="T264" i="2"/>
  <c r="P47" i="2"/>
  <c r="T47" i="2"/>
  <c r="P1255" i="2"/>
  <c r="T1255" i="2"/>
  <c r="P1029" i="2"/>
  <c r="T1029" i="2"/>
  <c r="P517" i="2"/>
  <c r="T517" i="2"/>
  <c r="P1701" i="2"/>
  <c r="T1701" i="2"/>
  <c r="P1478" i="2"/>
  <c r="T1478" i="2"/>
  <c r="P1346" i="2"/>
  <c r="T1346" i="2"/>
  <c r="P1830" i="2"/>
  <c r="T1830" i="2"/>
  <c r="P2170" i="2"/>
  <c r="T2170" i="2"/>
  <c r="P1452" i="2"/>
  <c r="T1452" i="2"/>
  <c r="P1177" i="2"/>
  <c r="T1177" i="2"/>
  <c r="P2059" i="2"/>
  <c r="T2059" i="2"/>
  <c r="P2295" i="2"/>
  <c r="T2295" i="2"/>
  <c r="P1225" i="2"/>
  <c r="T1225" i="2"/>
  <c r="P2384" i="2"/>
  <c r="T2384" i="2"/>
  <c r="P417" i="2"/>
  <c r="T417" i="2"/>
  <c r="P189" i="2"/>
  <c r="T189" i="2"/>
  <c r="N2287" i="2"/>
  <c r="M2002" i="2"/>
  <c r="N2002" i="2" s="1"/>
  <c r="N2001" i="2"/>
  <c r="M1999" i="2"/>
  <c r="N1999" i="2" s="1"/>
  <c r="N1992" i="2"/>
  <c r="N1991" i="2"/>
  <c r="N871" i="2"/>
  <c r="N758" i="2"/>
  <c r="M757" i="2"/>
  <c r="N757" i="2" s="1"/>
  <c r="M753" i="2"/>
  <c r="N753" i="2" s="1"/>
  <c r="M756" i="2"/>
  <c r="N756" i="2" s="1"/>
  <c r="M754" i="2"/>
  <c r="N754" i="2" s="1"/>
  <c r="M663" i="2"/>
  <c r="N663" i="2" s="1"/>
  <c r="N659" i="2"/>
  <c r="N655" i="2"/>
  <c r="N638" i="2"/>
  <c r="M633" i="2"/>
  <c r="N633" i="2" s="1"/>
  <c r="M654" i="2"/>
  <c r="N654" i="2" s="1"/>
  <c r="M658" i="2"/>
  <c r="N658" i="2" s="1"/>
  <c r="N634" i="2"/>
  <c r="N657" i="2"/>
  <c r="M509" i="2"/>
  <c r="N509" i="2" s="1"/>
  <c r="N506" i="2"/>
  <c r="N504" i="2"/>
  <c r="M505" i="2"/>
  <c r="N505" i="2" s="1"/>
  <c r="N510" i="2"/>
  <c r="M507" i="2"/>
  <c r="N507" i="2" s="1"/>
  <c r="M503" i="2"/>
  <c r="N503" i="2" s="1"/>
  <c r="N24" i="2"/>
  <c r="N501" i="2"/>
  <c r="N494" i="2"/>
  <c r="N1062" i="2"/>
  <c r="N430" i="2"/>
  <c r="N98" i="2"/>
  <c r="N722" i="2"/>
  <c r="N602" i="2"/>
  <c r="N728" i="2"/>
  <c r="N603" i="2"/>
  <c r="N2075" i="2"/>
  <c r="N760" i="2"/>
  <c r="N771" i="2"/>
  <c r="N491" i="2"/>
  <c r="N2479" i="2"/>
  <c r="N688" i="2"/>
  <c r="N1123" i="2"/>
  <c r="N1502" i="2"/>
  <c r="N41" i="2"/>
  <c r="N251" i="2"/>
  <c r="N1016" i="2"/>
  <c r="N1900" i="2"/>
  <c r="N116" i="2"/>
  <c r="N1297" i="2"/>
  <c r="N2049" i="2"/>
  <c r="N2394" i="2"/>
  <c r="N1276" i="2"/>
  <c r="N2447" i="2"/>
  <c r="N815" i="2"/>
  <c r="N902" i="2"/>
  <c r="N2286" i="2"/>
  <c r="N864" i="2"/>
  <c r="N749" i="2"/>
  <c r="N141" i="2"/>
  <c r="N1104" i="2"/>
  <c r="N97" i="2"/>
  <c r="N1152" i="2"/>
  <c r="N1366" i="2"/>
  <c r="N1518" i="2"/>
  <c r="N805" i="2"/>
  <c r="N2222" i="2"/>
  <c r="N243" i="2"/>
  <c r="N1398" i="2"/>
  <c r="N1042" i="2"/>
  <c r="N2137" i="2"/>
  <c r="N1259" i="2"/>
  <c r="N1559" i="2"/>
  <c r="N2035" i="2"/>
  <c r="N1101" i="2"/>
  <c r="N58" i="2"/>
  <c r="N2358" i="2"/>
  <c r="N1602" i="2"/>
  <c r="N1557" i="2"/>
  <c r="N993" i="2"/>
  <c r="N315" i="2"/>
  <c r="N1286" i="2"/>
  <c r="N2078" i="2"/>
  <c r="N906" i="2"/>
  <c r="N837" i="2"/>
  <c r="N2079" i="2"/>
  <c r="N777" i="2"/>
  <c r="N253" i="2"/>
  <c r="N2434" i="2"/>
  <c r="N2038" i="2"/>
  <c r="N100" i="2"/>
  <c r="N49" i="2"/>
  <c r="N2413" i="2"/>
  <c r="N1268" i="2"/>
  <c r="N1477" i="2"/>
  <c r="N196" i="2"/>
  <c r="N2397" i="2"/>
  <c r="N2201" i="2"/>
  <c r="N957" i="2"/>
  <c r="N933" i="2"/>
  <c r="N700" i="2"/>
  <c r="N791" i="2"/>
  <c r="N799" i="2"/>
  <c r="N176" i="2"/>
  <c r="N172" i="2"/>
  <c r="N955" i="2"/>
  <c r="N1015" i="2"/>
  <c r="N807" i="2"/>
  <c r="N2094" i="2"/>
  <c r="N1218" i="2"/>
  <c r="N1098" i="2"/>
  <c r="N855" i="2"/>
  <c r="N1775" i="2"/>
  <c r="N2311" i="2"/>
  <c r="N916" i="2"/>
  <c r="N1024" i="2"/>
  <c r="M2173" i="2"/>
  <c r="N2173" i="2" s="1"/>
  <c r="N1345" i="2"/>
  <c r="N1007" i="2"/>
  <c r="N885" i="2"/>
  <c r="N26" i="2"/>
  <c r="N1158" i="2"/>
  <c r="N2168" i="2"/>
  <c r="N1747" i="2"/>
  <c r="N851" i="2"/>
  <c r="N508" i="2"/>
  <c r="N2185" i="2"/>
  <c r="N2139" i="2"/>
  <c r="N1043" i="2"/>
  <c r="N523" i="2"/>
  <c r="N1783" i="2"/>
  <c r="N2312" i="2"/>
  <c r="N2465" i="2"/>
  <c r="N1894" i="2"/>
  <c r="N1738" i="2"/>
  <c r="N1226" i="2"/>
  <c r="N881" i="2"/>
  <c r="N93" i="2"/>
  <c r="N219" i="2"/>
  <c r="N2108" i="2"/>
  <c r="M769" i="2"/>
  <c r="N769" i="2" s="1"/>
  <c r="M89" i="2"/>
  <c r="N89" i="2" s="1"/>
  <c r="M16" i="2"/>
  <c r="N16" i="2" s="1"/>
  <c r="N202" i="2"/>
  <c r="M2162" i="2"/>
  <c r="N2162" i="2" s="1"/>
  <c r="N672" i="2"/>
  <c r="M2032" i="2"/>
  <c r="N2032" i="2" s="1"/>
  <c r="N1734" i="2"/>
  <c r="M748" i="2"/>
  <c r="N748" i="2" s="1"/>
  <c r="N2000" i="2"/>
  <c r="N1172" i="2"/>
  <c r="M833" i="2"/>
  <c r="N833" i="2" s="1"/>
  <c r="N2235" i="2"/>
  <c r="N1884" i="2"/>
  <c r="N1201" i="2"/>
  <c r="N1115" i="2"/>
  <c r="N674" i="2"/>
  <c r="N1760" i="2"/>
  <c r="N1125" i="2"/>
  <c r="N1374" i="2"/>
  <c r="N1111" i="2"/>
  <c r="N2451" i="2"/>
  <c r="N2126" i="2"/>
  <c r="N1637" i="2"/>
  <c r="N1142" i="2"/>
  <c r="N1031" i="2"/>
  <c r="N1051" i="2"/>
  <c r="M1076" i="2"/>
  <c r="N1076" i="2" s="1"/>
  <c r="N1140" i="2"/>
  <c r="N1265" i="2"/>
  <c r="N661" i="2"/>
  <c r="N21" i="2"/>
  <c r="N2454" i="2"/>
  <c r="N1741" i="2"/>
  <c r="N666" i="2"/>
  <c r="N1036" i="2"/>
  <c r="N2420" i="2"/>
  <c r="N2149" i="2"/>
  <c r="N2207" i="2"/>
  <c r="N2224" i="2"/>
  <c r="N1072" i="2"/>
  <c r="N994" i="2"/>
  <c r="N959" i="2"/>
  <c r="N419" i="2"/>
  <c r="N110" i="2"/>
  <c r="N1084" i="2"/>
  <c r="N787" i="2"/>
  <c r="N2297" i="2"/>
  <c r="N2143" i="2"/>
  <c r="N1356" i="2"/>
  <c r="N965" i="2"/>
  <c r="N819" i="2"/>
  <c r="M76" i="2"/>
  <c r="N76" i="2" s="1"/>
  <c r="M452" i="2"/>
  <c r="N452" i="2" s="1"/>
  <c r="M52" i="2"/>
  <c r="N52" i="2" s="1"/>
  <c r="M1315" i="2"/>
  <c r="N1315" i="2" s="1"/>
  <c r="M2274" i="2"/>
  <c r="N2274" i="2" s="1"/>
  <c r="N1539" i="2"/>
  <c r="M738" i="2"/>
  <c r="N738" i="2" s="1"/>
  <c r="N1180" i="2"/>
  <c r="M1251" i="2"/>
  <c r="N1251" i="2" s="1"/>
  <c r="N338" i="2"/>
  <c r="N1621" i="2"/>
  <c r="N2327" i="2"/>
  <c r="M944" i="2"/>
  <c r="N944" i="2" s="1"/>
  <c r="M1210" i="2"/>
  <c r="N1210" i="2" s="1"/>
  <c r="M82" i="2"/>
  <c r="N82" i="2" s="1"/>
  <c r="N1831" i="2"/>
  <c r="N923" i="2"/>
  <c r="N188" i="2"/>
  <c r="M1411" i="2"/>
  <c r="N1411" i="2" s="1"/>
  <c r="M1493" i="2"/>
  <c r="N1493" i="2" s="1"/>
  <c r="N1388" i="2"/>
  <c r="N1472" i="2"/>
  <c r="N2103" i="2"/>
  <c r="N2228" i="2"/>
  <c r="N894" i="2"/>
  <c r="N1882" i="2"/>
  <c r="N1916" i="2"/>
  <c r="N2347" i="2"/>
  <c r="N1824" i="2"/>
  <c r="N348" i="2"/>
  <c r="N332" i="2"/>
  <c r="N2405" i="2"/>
  <c r="N2416" i="2"/>
  <c r="N2084" i="2"/>
  <c r="N2148" i="2"/>
  <c r="N1307" i="2"/>
  <c r="N866" i="2"/>
  <c r="N679" i="2"/>
  <c r="N34" i="2"/>
  <c r="N230" i="2"/>
  <c r="N1690" i="2"/>
  <c r="N1948" i="2"/>
  <c r="N823" i="2"/>
  <c r="N78" i="2"/>
  <c r="N144" i="2"/>
  <c r="N126" i="2"/>
  <c r="N2109" i="2"/>
  <c r="M136" i="2"/>
  <c r="N136" i="2" s="1"/>
  <c r="N401" i="2"/>
  <c r="N2321" i="2"/>
  <c r="N2145" i="2"/>
  <c r="N788" i="2"/>
  <c r="N213" i="2"/>
  <c r="N119" i="2"/>
  <c r="N1733" i="2"/>
  <c r="N940" i="2"/>
  <c r="N1213" i="2"/>
  <c r="N291" i="2"/>
  <c r="N1061" i="2"/>
  <c r="N1023" i="2"/>
  <c r="N1081" i="2"/>
  <c r="N951" i="2"/>
  <c r="N118" i="2"/>
  <c r="M1717" i="2"/>
  <c r="N1717" i="2" s="1"/>
  <c r="M1002" i="2"/>
  <c r="N1002" i="2" s="1"/>
  <c r="N1932" i="2"/>
  <c r="N1703" i="2"/>
  <c r="N1188" i="2"/>
  <c r="N873" i="2"/>
  <c r="N553" i="2"/>
  <c r="N18" i="2"/>
  <c r="N180" i="2"/>
  <c r="N2441" i="2"/>
  <c r="M924" i="2"/>
  <c r="N924" i="2" s="1"/>
  <c r="M846" i="2"/>
  <c r="N846" i="2" s="1"/>
  <c r="N727" i="2"/>
  <c r="N526" i="2"/>
  <c r="N154" i="2"/>
  <c r="N1724" i="2"/>
  <c r="N2377" i="2"/>
  <c r="N2040" i="2"/>
  <c r="N1857" i="2"/>
  <c r="N212" i="2"/>
  <c r="N442" i="2"/>
  <c r="N1625" i="2"/>
  <c r="N1243" i="2"/>
  <c r="N245" i="2"/>
  <c r="N2359" i="2"/>
  <c r="N254" i="2"/>
  <c r="M137" i="2"/>
  <c r="N137" i="2" s="1"/>
  <c r="N1553" i="2"/>
  <c r="N2250" i="2"/>
  <c r="M1071" i="2"/>
  <c r="N1071" i="2" s="1"/>
  <c r="N44" i="2"/>
  <c r="M1312" i="2"/>
  <c r="N1312" i="2" s="1"/>
  <c r="N2068" i="2"/>
  <c r="M2118" i="2"/>
  <c r="N2118" i="2" s="1"/>
  <c r="M409" i="2"/>
  <c r="N409" i="2" s="1"/>
  <c r="M221" i="2"/>
  <c r="N221" i="2" s="1"/>
  <c r="M1006" i="2"/>
  <c r="N1006" i="2" s="1"/>
  <c r="M948" i="2"/>
  <c r="N948" i="2" s="1"/>
  <c r="N227" i="2"/>
  <c r="N853" i="2"/>
  <c r="N502" i="2"/>
  <c r="N1667" i="2"/>
  <c r="M598" i="2"/>
  <c r="N598" i="2" s="1"/>
  <c r="N96" i="2"/>
  <c r="N1283" i="2"/>
  <c r="N2330" i="2"/>
  <c r="N1725" i="2"/>
  <c r="N1773" i="2"/>
  <c r="N2361" i="2"/>
  <c r="M1069" i="2"/>
  <c r="N1069" i="2" s="1"/>
  <c r="N1040" i="2"/>
  <c r="N2340" i="2"/>
  <c r="M1788" i="2"/>
  <c r="N1788" i="2" s="1"/>
  <c r="M1709" i="2"/>
  <c r="N1709" i="2" s="1"/>
  <c r="N132" i="2"/>
  <c r="N1048" i="2"/>
  <c r="M358" i="2"/>
  <c r="N358" i="2" s="1"/>
  <c r="M1095" i="2"/>
  <c r="N1095" i="2" s="1"/>
  <c r="N2354" i="2"/>
  <c r="N1178" i="2"/>
  <c r="N309" i="2"/>
  <c r="N1252" i="2"/>
  <c r="N2030" i="2"/>
  <c r="M1227" i="2"/>
  <c r="N1227" i="2" s="1"/>
  <c r="N2069" i="2"/>
  <c r="M1578" i="2"/>
  <c r="N1578" i="2" s="1"/>
  <c r="M1574" i="2"/>
  <c r="N1574" i="2" s="1"/>
  <c r="N1946" i="2"/>
  <c r="N1914" i="2"/>
  <c r="N2356" i="2"/>
  <c r="N1661" i="2"/>
  <c r="M1643" i="2"/>
  <c r="N1643" i="2" s="1"/>
  <c r="M1079" i="2"/>
  <c r="N1079" i="2" s="1"/>
  <c r="M2314" i="2"/>
  <c r="N2314" i="2" s="1"/>
  <c r="N2293" i="2"/>
  <c r="N1854" i="2"/>
  <c r="N456" i="2"/>
  <c r="M1190" i="2"/>
  <c r="N1190" i="2" s="1"/>
  <c r="N1116" i="2"/>
  <c r="M2310" i="2"/>
  <c r="N2310" i="2" s="1"/>
  <c r="M2290" i="2"/>
  <c r="N2290" i="2" s="1"/>
  <c r="M2088" i="2"/>
  <c r="N2088" i="2" s="1"/>
  <c r="N1927" i="2"/>
  <c r="N1392" i="2"/>
  <c r="N1287" i="2"/>
  <c r="N1107" i="2"/>
  <c r="M840" i="2"/>
  <c r="N840" i="2" s="1"/>
  <c r="N1815" i="2"/>
  <c r="M1277" i="2"/>
  <c r="N1277" i="2" s="1"/>
  <c r="N1584" i="2"/>
  <c r="N637" i="2"/>
  <c r="N432" i="2"/>
  <c r="N284" i="2"/>
  <c r="M874" i="2"/>
  <c r="N874" i="2" s="1"/>
  <c r="N699" i="2"/>
  <c r="M2174" i="2"/>
  <c r="N2174" i="2" s="1"/>
  <c r="M1978" i="2"/>
  <c r="N1978" i="2" s="1"/>
  <c r="N1564" i="2"/>
  <c r="M1719" i="2"/>
  <c r="N1719" i="2" s="1"/>
  <c r="N1173" i="2"/>
  <c r="N1144" i="2"/>
  <c r="M1447" i="2"/>
  <c r="N1447" i="2" s="1"/>
  <c r="N1967" i="2"/>
  <c r="M1962" i="2"/>
  <c r="N1962" i="2" s="1"/>
  <c r="N1874" i="2"/>
  <c r="N1951" i="2"/>
  <c r="M1785" i="2"/>
  <c r="N1785" i="2" s="1"/>
  <c r="N1816" i="2"/>
  <c r="T1816" i="2" s="1"/>
  <c r="N1669" i="2"/>
  <c r="N1523" i="2"/>
  <c r="N1694" i="2"/>
  <c r="M1181" i="2"/>
  <c r="N1181" i="2" s="1"/>
  <c r="N938" i="2"/>
  <c r="M977" i="2"/>
  <c r="N977" i="2" s="1"/>
  <c r="M856" i="2"/>
  <c r="N856" i="2" s="1"/>
  <c r="N1792" i="2"/>
  <c r="N1702" i="2"/>
  <c r="M821" i="2"/>
  <c r="N821" i="2" s="1"/>
  <c r="M2171" i="2"/>
  <c r="N2171" i="2" s="1"/>
  <c r="M2200" i="2"/>
  <c r="N2200" i="2" s="1"/>
  <c r="N1915" i="2"/>
  <c r="N1686" i="2"/>
  <c r="N1317" i="2"/>
  <c r="M1135" i="2"/>
  <c r="N1135" i="2" s="1"/>
  <c r="N1376" i="2"/>
  <c r="N966" i="2"/>
  <c r="M734" i="2"/>
  <c r="N734" i="2" s="1"/>
  <c r="N2380" i="2"/>
  <c r="N2199" i="2"/>
  <c r="N2006" i="2"/>
  <c r="N2364" i="2"/>
  <c r="N1922" i="2"/>
  <c r="N1947" i="2"/>
  <c r="N1911" i="2"/>
  <c r="N1807" i="2"/>
  <c r="M1652" i="2"/>
  <c r="N1652" i="2" s="1"/>
  <c r="N1507" i="2"/>
  <c r="N1678" i="2"/>
  <c r="N1260" i="2"/>
  <c r="N1545" i="2"/>
  <c r="N1219" i="2"/>
  <c r="N975" i="2"/>
  <c r="N2372" i="2"/>
  <c r="M1990" i="2"/>
  <c r="N1990" i="2" s="1"/>
  <c r="N1985" i="2"/>
  <c r="N1930" i="2"/>
  <c r="N1898" i="2"/>
  <c r="N1782" i="2"/>
  <c r="N1887" i="2"/>
  <c r="N1600" i="2"/>
  <c r="N1592" i="2"/>
  <c r="N1337" i="2"/>
  <c r="N1236" i="2"/>
  <c r="N1162" i="2"/>
  <c r="N1088" i="2"/>
  <c r="M713" i="2"/>
  <c r="N713" i="2" s="1"/>
  <c r="M865" i="2"/>
  <c r="N865" i="2" s="1"/>
  <c r="N750" i="2"/>
  <c r="N571" i="2"/>
  <c r="N608" i="2"/>
  <c r="M462" i="2"/>
  <c r="N462" i="2" s="1"/>
  <c r="N351" i="2"/>
  <c r="M698" i="2"/>
  <c r="N698" i="2" s="1"/>
  <c r="N318" i="2"/>
  <c r="N664" i="2"/>
  <c r="T664" i="2" s="1"/>
  <c r="M684" i="2"/>
  <c r="N684" i="2" s="1"/>
  <c r="N954" i="2"/>
  <c r="N628" i="2"/>
  <c r="N563" i="2"/>
  <c r="N488" i="2"/>
  <c r="N479" i="2"/>
  <c r="N433" i="2"/>
  <c r="N302" i="2"/>
  <c r="N899" i="2"/>
  <c r="M934" i="2"/>
  <c r="N934" i="2" s="1"/>
  <c r="N694" i="2"/>
  <c r="M677" i="2"/>
  <c r="N677" i="2" s="1"/>
  <c r="N552" i="2"/>
  <c r="N609" i="2"/>
  <c r="N964" i="2"/>
  <c r="N2348" i="2"/>
  <c r="N1998" i="2"/>
  <c r="N1954" i="2"/>
  <c r="N1938" i="2"/>
  <c r="N1906" i="2"/>
  <c r="M1823" i="2"/>
  <c r="N1823" i="2" s="1"/>
  <c r="N1858" i="2"/>
  <c r="N1899" i="2"/>
  <c r="N1875" i="2"/>
  <c r="N1634" i="2"/>
  <c r="N1431" i="2"/>
  <c r="N1359" i="2"/>
  <c r="N1244" i="2"/>
  <c r="M1269" i="2"/>
  <c r="N1269" i="2" s="1"/>
  <c r="N1202" i="2"/>
  <c r="M1126" i="2"/>
  <c r="N1126" i="2" s="1"/>
  <c r="N1096" i="2"/>
  <c r="N1211" i="2"/>
  <c r="N974" i="2"/>
  <c r="N939" i="2"/>
  <c r="M675" i="2"/>
  <c r="N675" i="2" s="1"/>
  <c r="M536" i="2"/>
  <c r="N536" i="2" s="1"/>
  <c r="N650" i="2"/>
  <c r="N453" i="2"/>
  <c r="N383" i="2"/>
  <c r="N941" i="2"/>
  <c r="M2090" i="2"/>
  <c r="N2090" i="2" s="1"/>
  <c r="N2125" i="2"/>
  <c r="N2003" i="2"/>
  <c r="M2181" i="2"/>
  <c r="N2181" i="2" s="1"/>
  <c r="M1804" i="2"/>
  <c r="N1804" i="2" s="1"/>
  <c r="N1931" i="2"/>
  <c r="N1890" i="2"/>
  <c r="N2033" i="2"/>
  <c r="N1935" i="2"/>
  <c r="N1895" i="2"/>
  <c r="M1800" i="2"/>
  <c r="N1800" i="2" s="1"/>
  <c r="N1618" i="2"/>
  <c r="M1710" i="2"/>
  <c r="N1710" i="2" s="1"/>
  <c r="N1736" i="2"/>
  <c r="N1628" i="2"/>
  <c r="N1645" i="2"/>
  <c r="N1594" i="2"/>
  <c r="N1153" i="2"/>
  <c r="M1413" i="2"/>
  <c r="N1413" i="2" s="1"/>
  <c r="M926" i="2"/>
  <c r="N926" i="2" s="1"/>
  <c r="N882" i="2"/>
  <c r="N724" i="2"/>
  <c r="N673" i="2"/>
  <c r="N533" i="2"/>
  <c r="N444" i="2"/>
  <c r="M400" i="2"/>
  <c r="N400" i="2" s="1"/>
  <c r="M335" i="2"/>
  <c r="N335" i="2" s="1"/>
  <c r="N267" i="2"/>
  <c r="M601" i="2"/>
  <c r="N601" i="2" s="1"/>
  <c r="N367" i="2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Q678" i="3"/>
  <c r="J1591" i="2" s="1"/>
  <c r="L1591" i="2" s="1"/>
  <c r="N1591" i="2" s="1"/>
  <c r="V643" i="3"/>
  <c r="V642" i="3"/>
  <c r="V641" i="3"/>
  <c r="V640" i="3"/>
  <c r="V639" i="3"/>
  <c r="V638" i="3"/>
  <c r="J2029" i="2"/>
  <c r="L2029" i="2" s="1"/>
  <c r="N2029" i="2" s="1"/>
  <c r="R634" i="3"/>
  <c r="V634" i="3" s="1"/>
  <c r="R633" i="3"/>
  <c r="V633" i="3" s="1"/>
  <c r="R632" i="3"/>
  <c r="V632" i="3" s="1"/>
  <c r="R631" i="3"/>
  <c r="V631" i="3" s="1"/>
  <c r="R630" i="3"/>
  <c r="V630" i="3" s="1"/>
  <c r="V617" i="3"/>
  <c r="V616" i="3"/>
  <c r="R615" i="3"/>
  <c r="V615" i="3" s="1"/>
  <c r="V614" i="3"/>
  <c r="V613" i="3"/>
  <c r="R610" i="3"/>
  <c r="V610" i="3" s="1"/>
  <c r="Q609" i="3"/>
  <c r="R609" i="3" s="1"/>
  <c r="V609" i="3" s="1"/>
  <c r="R608" i="3"/>
  <c r="V608" i="3" s="1"/>
  <c r="Q607" i="3"/>
  <c r="J1810" i="2"/>
  <c r="L1810" i="2" s="1"/>
  <c r="J595" i="2"/>
  <c r="L595" i="2" s="1"/>
  <c r="M595" i="2" s="1"/>
  <c r="N595" i="2" s="1"/>
  <c r="J2425" i="2"/>
  <c r="L2425" i="2" s="1"/>
  <c r="M2425" i="2" s="1"/>
  <c r="N2425" i="2" s="1"/>
  <c r="R604" i="3"/>
  <c r="R603" i="3"/>
  <c r="R602" i="3"/>
  <c r="Q213" i="3"/>
  <c r="V207" i="3"/>
  <c r="V453" i="3"/>
  <c r="AD453" i="3" s="1"/>
  <c r="V452" i="3"/>
  <c r="AD452" i="3" s="1"/>
  <c r="V451" i="3"/>
  <c r="AD451" i="3" s="1"/>
  <c r="P2302" i="2" l="1"/>
  <c r="T2302" i="2"/>
  <c r="T2151" i="2"/>
  <c r="P2301" i="2"/>
  <c r="T2301" i="2"/>
  <c r="P2443" i="2"/>
  <c r="T2443" i="2"/>
  <c r="T2463" i="2"/>
  <c r="P2463" i="2"/>
  <c r="P2300" i="2"/>
  <c r="T2300" i="2"/>
  <c r="P460" i="2"/>
  <c r="T460" i="2"/>
  <c r="T88" i="2"/>
  <c r="P88" i="2"/>
  <c r="T1963" i="2"/>
  <c r="P1963" i="2"/>
  <c r="P708" i="2"/>
  <c r="T708" i="2"/>
  <c r="T2196" i="2"/>
  <c r="P2196" i="2"/>
  <c r="P2115" i="2"/>
  <c r="T2115" i="2"/>
  <c r="P1620" i="2"/>
  <c r="T1620" i="2"/>
  <c r="T1378" i="2"/>
  <c r="P1378" i="2"/>
  <c r="T84" i="2"/>
  <c r="P84" i="2"/>
  <c r="P997" i="2"/>
  <c r="T765" i="2"/>
  <c r="P1776" i="2"/>
  <c r="T1776" i="2"/>
  <c r="T1649" i="2"/>
  <c r="P1649" i="2"/>
  <c r="P2448" i="2"/>
  <c r="T2448" i="2"/>
  <c r="N95" i="2"/>
  <c r="P95" i="2" s="1"/>
  <c r="T1811" i="2"/>
  <c r="P1811" i="2"/>
  <c r="N1810" i="2"/>
  <c r="P1761" i="2"/>
  <c r="P1744" i="2"/>
  <c r="T1744" i="2"/>
  <c r="T958" i="2"/>
  <c r="P1616" i="2"/>
  <c r="T1616" i="2"/>
  <c r="T1204" i="2"/>
  <c r="P1204" i="2"/>
  <c r="P1646" i="2"/>
  <c r="T1646" i="2"/>
  <c r="P1300" i="2"/>
  <c r="T1300" i="2"/>
  <c r="T804" i="2"/>
  <c r="T997" i="2"/>
  <c r="T914" i="2"/>
  <c r="P914" i="2"/>
  <c r="P266" i="2"/>
  <c r="T266" i="2"/>
  <c r="P1743" i="2"/>
  <c r="T1743" i="2"/>
  <c r="P342" i="2"/>
  <c r="T342" i="2"/>
  <c r="T1395" i="2"/>
  <c r="P1395" i="2"/>
  <c r="P2455" i="2"/>
  <c r="T2455" i="2"/>
  <c r="P2046" i="2"/>
  <c r="T2046" i="2"/>
  <c r="T2045" i="2"/>
  <c r="T1663" i="2"/>
  <c r="P1663" i="2"/>
  <c r="P1565" i="2"/>
  <c r="T1565" i="2"/>
  <c r="P1183" i="2"/>
  <c r="T1183" i="2"/>
  <c r="P1184" i="2"/>
  <c r="T1184" i="2"/>
  <c r="P1182" i="2"/>
  <c r="T1182" i="2"/>
  <c r="T711" i="2"/>
  <c r="P170" i="2"/>
  <c r="T170" i="2"/>
  <c r="P163" i="2"/>
  <c r="T163" i="2"/>
  <c r="P629" i="2"/>
  <c r="T629" i="2"/>
  <c r="P641" i="2"/>
  <c r="T641" i="2"/>
  <c r="P676" i="2"/>
  <c r="T676" i="2"/>
  <c r="P1970" i="2"/>
  <c r="T1970" i="2"/>
  <c r="P678" i="2"/>
  <c r="T678" i="2"/>
  <c r="T560" i="2"/>
  <c r="P852" i="2"/>
  <c r="T852" i="2"/>
  <c r="N1364" i="2"/>
  <c r="T2043" i="2"/>
  <c r="P2043" i="2"/>
  <c r="P1664" i="2"/>
  <c r="T1664" i="2"/>
  <c r="P2082" i="2"/>
  <c r="T2082" i="2"/>
  <c r="P2067" i="2"/>
  <c r="T2067" i="2"/>
  <c r="P1821" i="2"/>
  <c r="T1821" i="2"/>
  <c r="P646" i="2"/>
  <c r="T646" i="2"/>
  <c r="T1191" i="2"/>
  <c r="P1191" i="2"/>
  <c r="P578" i="2"/>
  <c r="T578" i="2"/>
  <c r="T2458" i="2"/>
  <c r="P2458" i="2"/>
  <c r="P2012" i="2"/>
  <c r="T2012" i="2"/>
  <c r="T911" i="2"/>
  <c r="T786" i="2"/>
  <c r="P765" i="2"/>
  <c r="P1528" i="2"/>
  <c r="T1528" i="2"/>
  <c r="P907" i="2"/>
  <c r="T907" i="2"/>
  <c r="T915" i="2"/>
  <c r="P1656" i="2"/>
  <c r="T1656" i="2"/>
  <c r="P1659" i="2"/>
  <c r="T1659" i="2"/>
  <c r="P1658" i="2"/>
  <c r="T1658" i="2"/>
  <c r="P1657" i="2"/>
  <c r="T1657" i="2"/>
  <c r="T1660" i="2"/>
  <c r="P1660" i="2"/>
  <c r="T1728" i="2"/>
  <c r="P1508" i="2"/>
  <c r="T1508" i="2"/>
  <c r="T971" i="2"/>
  <c r="P971" i="2"/>
  <c r="P1000" i="2"/>
  <c r="T1000" i="2"/>
  <c r="P1668" i="2"/>
  <c r="T1668" i="2"/>
  <c r="P910" i="2"/>
  <c r="T910" i="2"/>
  <c r="P783" i="2"/>
  <c r="T783" i="2"/>
  <c r="P931" i="2"/>
  <c r="T931" i="2"/>
  <c r="P949" i="2"/>
  <c r="T949" i="2"/>
  <c r="P921" i="2"/>
  <c r="P925" i="2"/>
  <c r="T925" i="2"/>
  <c r="P2013" i="2"/>
  <c r="T2013" i="2"/>
  <c r="P1551" i="2"/>
  <c r="T1551" i="2"/>
  <c r="P1554" i="2"/>
  <c r="T1554" i="2"/>
  <c r="P1549" i="2"/>
  <c r="T1549" i="2"/>
  <c r="T826" i="2"/>
  <c r="P826" i="2"/>
  <c r="P458" i="2"/>
  <c r="T458" i="2"/>
  <c r="P454" i="2"/>
  <c r="T454" i="2"/>
  <c r="P1630" i="2"/>
  <c r="T1630" i="2"/>
  <c r="P1624" i="2"/>
  <c r="T1624" i="2"/>
  <c r="P723" i="2"/>
  <c r="T723" i="2"/>
  <c r="P1046" i="2"/>
  <c r="T1046" i="2"/>
  <c r="T1640" i="2"/>
  <c r="P1640" i="2"/>
  <c r="P2091" i="2"/>
  <c r="T2091" i="2"/>
  <c r="P2027" i="2"/>
  <c r="T2027" i="2"/>
  <c r="P1361" i="2"/>
  <c r="T1361" i="2"/>
  <c r="P726" i="2"/>
  <c r="T726" i="2"/>
  <c r="P449" i="2"/>
  <c r="T953" i="2"/>
  <c r="P953" i="2"/>
  <c r="T1722" i="2"/>
  <c r="P1722" i="2"/>
  <c r="P1726" i="2"/>
  <c r="T1726" i="2"/>
  <c r="P1739" i="2"/>
  <c r="T1739" i="2"/>
  <c r="P720" i="2"/>
  <c r="T720" i="2"/>
  <c r="P1853" i="2"/>
  <c r="T1853" i="2"/>
  <c r="T1862" i="2"/>
  <c r="P1862" i="2"/>
  <c r="P1841" i="2"/>
  <c r="T1841" i="2"/>
  <c r="T1937" i="2"/>
  <c r="P1937" i="2"/>
  <c r="P1886" i="2"/>
  <c r="T1886" i="2"/>
  <c r="P1936" i="2"/>
  <c r="T1936" i="2"/>
  <c r="P1902" i="2"/>
  <c r="T1902" i="2"/>
  <c r="P1933" i="2"/>
  <c r="T1933" i="2"/>
  <c r="P1861" i="2"/>
  <c r="T1861" i="2"/>
  <c r="P1940" i="2"/>
  <c r="T1940" i="2"/>
  <c r="P1921" i="2"/>
  <c r="T1921" i="2"/>
  <c r="P1934" i="2"/>
  <c r="T1934" i="2"/>
  <c r="P1949" i="2"/>
  <c r="T1949" i="2"/>
  <c r="P1770" i="2"/>
  <c r="T1770" i="2"/>
  <c r="P1955" i="2"/>
  <c r="T1955" i="2"/>
  <c r="P1850" i="2"/>
  <c r="T1850" i="2"/>
  <c r="P1837" i="2"/>
  <c r="T1837" i="2"/>
  <c r="P1881" i="2"/>
  <c r="T1881" i="2"/>
  <c r="P1941" i="2"/>
  <c r="T1941" i="2"/>
  <c r="P1925" i="2"/>
  <c r="T1925" i="2"/>
  <c r="P1878" i="2"/>
  <c r="T1878" i="2"/>
  <c r="P1893" i="2"/>
  <c r="T1893" i="2"/>
  <c r="P1849" i="2"/>
  <c r="T1849" i="2"/>
  <c r="T1889" i="2"/>
  <c r="P1889" i="2"/>
  <c r="P1842" i="2"/>
  <c r="T1842" i="2"/>
  <c r="P1950" i="2"/>
  <c r="T1950" i="2"/>
  <c r="P1957" i="2"/>
  <c r="T1957" i="2"/>
  <c r="T1846" i="2"/>
  <c r="P1846" i="2"/>
  <c r="P1865" i="2"/>
  <c r="T1865" i="2"/>
  <c r="P1904" i="2"/>
  <c r="T1904" i="2"/>
  <c r="T1918" i="2"/>
  <c r="P1918" i="2"/>
  <c r="T1929" i="2"/>
  <c r="P1929" i="2"/>
  <c r="P1838" i="2"/>
  <c r="T1838" i="2"/>
  <c r="P1877" i="2"/>
  <c r="T1877" i="2"/>
  <c r="P1953" i="2"/>
  <c r="T1953" i="2"/>
  <c r="P1866" i="2"/>
  <c r="T1866" i="2"/>
  <c r="P1928" i="2"/>
  <c r="T1928" i="2"/>
  <c r="P1870" i="2"/>
  <c r="T1870" i="2"/>
  <c r="P1912" i="2"/>
  <c r="T1912" i="2"/>
  <c r="P1939" i="2"/>
  <c r="T1939" i="2"/>
  <c r="P1897" i="2"/>
  <c r="T1897" i="2"/>
  <c r="P1885" i="2"/>
  <c r="T1885" i="2"/>
  <c r="P1945" i="2"/>
  <c r="T1945" i="2"/>
  <c r="P1873" i="2"/>
  <c r="T1873" i="2"/>
  <c r="P1909" i="2"/>
  <c r="T1909" i="2"/>
  <c r="P1845" i="2"/>
  <c r="T1845" i="2"/>
  <c r="P1942" i="2"/>
  <c r="T1942" i="2"/>
  <c r="P1910" i="2"/>
  <c r="T1910" i="2"/>
  <c r="P1869" i="2"/>
  <c r="T1869" i="2"/>
  <c r="T1958" i="2"/>
  <c r="P1958" i="2"/>
  <c r="P1917" i="2"/>
  <c r="T1917" i="2"/>
  <c r="P1943" i="2"/>
  <c r="T1943" i="2"/>
  <c r="P169" i="2"/>
  <c r="T169" i="2"/>
  <c r="T1755" i="2"/>
  <c r="P1755" i="2"/>
  <c r="T2096" i="2"/>
  <c r="P2096" i="2"/>
  <c r="P1220" i="2"/>
  <c r="T1220" i="2"/>
  <c r="P589" i="2"/>
  <c r="T589" i="2"/>
  <c r="P1718" i="2"/>
  <c r="T1718" i="2"/>
  <c r="P1688" i="2"/>
  <c r="T1688" i="2"/>
  <c r="P1924" i="2"/>
  <c r="T1924" i="2"/>
  <c r="P1797" i="2"/>
  <c r="T1797" i="2"/>
  <c r="P1684" i="2"/>
  <c r="T1684" i="2"/>
  <c r="P2119" i="2"/>
  <c r="P812" i="2"/>
  <c r="T812" i="2"/>
  <c r="T808" i="2"/>
  <c r="P808" i="2"/>
  <c r="P810" i="2"/>
  <c r="T810" i="2"/>
  <c r="P796" i="2"/>
  <c r="T796" i="2"/>
  <c r="P820" i="2"/>
  <c r="P937" i="2"/>
  <c r="T937" i="2"/>
  <c r="P927" i="2"/>
  <c r="T927" i="2"/>
  <c r="P554" i="2"/>
  <c r="T554" i="2"/>
  <c r="P539" i="2"/>
  <c r="T539" i="2"/>
  <c r="P519" i="2"/>
  <c r="T519" i="2"/>
  <c r="P56" i="2"/>
  <c r="T56" i="2"/>
  <c r="P1860" i="2"/>
  <c r="P2472" i="2"/>
  <c r="T2472" i="2"/>
  <c r="P1919" i="2"/>
  <c r="T1919" i="2"/>
  <c r="P1956" i="2"/>
  <c r="T1956" i="2"/>
  <c r="T1852" i="2"/>
  <c r="P1923" i="2"/>
  <c r="T1923" i="2"/>
  <c r="T449" i="2"/>
  <c r="P1920" i="2"/>
  <c r="T1920" i="2"/>
  <c r="P1030" i="2"/>
  <c r="T1030" i="2"/>
  <c r="P405" i="2"/>
  <c r="T405" i="2"/>
  <c r="P719" i="2"/>
  <c r="T719" i="2"/>
  <c r="P800" i="2"/>
  <c r="T800" i="2"/>
  <c r="P945" i="2"/>
  <c r="T945" i="2"/>
  <c r="T921" i="2"/>
  <c r="P806" i="2"/>
  <c r="T806" i="2"/>
  <c r="P792" i="2"/>
  <c r="T792" i="2"/>
  <c r="P929" i="2"/>
  <c r="T929" i="2"/>
  <c r="P794" i="2"/>
  <c r="T794" i="2"/>
  <c r="P947" i="2"/>
  <c r="T947" i="2"/>
  <c r="T820" i="2"/>
  <c r="P1905" i="2"/>
  <c r="T1905" i="2"/>
  <c r="P2469" i="2"/>
  <c r="T2469" i="2"/>
  <c r="P2283" i="2"/>
  <c r="T2283" i="2"/>
  <c r="P1903" i="2"/>
  <c r="T1903" i="2"/>
  <c r="P1836" i="2"/>
  <c r="T1836" i="2"/>
  <c r="P1319" i="2"/>
  <c r="T1319" i="2"/>
  <c r="P1053" i="2"/>
  <c r="T1053" i="2"/>
  <c r="P241" i="2"/>
  <c r="T241" i="2"/>
  <c r="T1506" i="2"/>
  <c r="P1506" i="2"/>
  <c r="T252" i="2"/>
  <c r="P252" i="2"/>
  <c r="T1714" i="2"/>
  <c r="P1714" i="2"/>
  <c r="P1706" i="2"/>
  <c r="T1706" i="2"/>
  <c r="P1698" i="2"/>
  <c r="T1698" i="2"/>
  <c r="T171" i="2"/>
  <c r="P171" i="2"/>
  <c r="P1771" i="2"/>
  <c r="T1771" i="2"/>
  <c r="P1712" i="2"/>
  <c r="T1712" i="2"/>
  <c r="P1696" i="2"/>
  <c r="T1696" i="2"/>
  <c r="T226" i="2"/>
  <c r="P226" i="2"/>
  <c r="T1301" i="2"/>
  <c r="P1301" i="2"/>
  <c r="P1041" i="2"/>
  <c r="T1041" i="2"/>
  <c r="P1044" i="2"/>
  <c r="T1044" i="2"/>
  <c r="P261" i="2"/>
  <c r="T261" i="2"/>
  <c r="P1467" i="2"/>
  <c r="T1467" i="2"/>
  <c r="P271" i="2"/>
  <c r="T271" i="2"/>
  <c r="P1321" i="2"/>
  <c r="T1321" i="2"/>
  <c r="P1039" i="2"/>
  <c r="T1039" i="2"/>
  <c r="P592" i="2"/>
  <c r="T592" i="2"/>
  <c r="P1422" i="2"/>
  <c r="T1422" i="2"/>
  <c r="T1352" i="2"/>
  <c r="P1352" i="2"/>
  <c r="P1344" i="2"/>
  <c r="T1344" i="2"/>
  <c r="T198" i="2"/>
  <c r="P198" i="2"/>
  <c r="P1028" i="2"/>
  <c r="T1028" i="2"/>
  <c r="P236" i="2"/>
  <c r="T236" i="2"/>
  <c r="P1573" i="2"/>
  <c r="P256" i="2"/>
  <c r="T1339" i="2"/>
  <c r="T231" i="2"/>
  <c r="P2070" i="2"/>
  <c r="T2070" i="2"/>
  <c r="T2026" i="2"/>
  <c r="P2026" i="2"/>
  <c r="P1847" i="2"/>
  <c r="T1847" i="2"/>
  <c r="P1859" i="2"/>
  <c r="T1859" i="2"/>
  <c r="P1855" i="2"/>
  <c r="T1855" i="2"/>
  <c r="P1851" i="2"/>
  <c r="T1851" i="2"/>
  <c r="P1839" i="2"/>
  <c r="T1839" i="2"/>
  <c r="P1843" i="2"/>
  <c r="T1843" i="2"/>
  <c r="P2041" i="2"/>
  <c r="T2041" i="2"/>
  <c r="P2037" i="2"/>
  <c r="T2037" i="2"/>
  <c r="P2025" i="2"/>
  <c r="T2025" i="2"/>
  <c r="P601" i="2"/>
  <c r="T601" i="2"/>
  <c r="P882" i="2"/>
  <c r="T882" i="2"/>
  <c r="P1710" i="2"/>
  <c r="T1710" i="2"/>
  <c r="P1804" i="2"/>
  <c r="T1804" i="2"/>
  <c r="P650" i="2"/>
  <c r="T650" i="2"/>
  <c r="P1202" i="2"/>
  <c r="T1202" i="2"/>
  <c r="P1858" i="2"/>
  <c r="T1858" i="2"/>
  <c r="P609" i="2"/>
  <c r="T609" i="2"/>
  <c r="P479" i="2"/>
  <c r="T479" i="2"/>
  <c r="P698" i="2"/>
  <c r="T698" i="2"/>
  <c r="P1088" i="2"/>
  <c r="T1088" i="2"/>
  <c r="P1898" i="2"/>
  <c r="T1898" i="2"/>
  <c r="P1260" i="2"/>
  <c r="T1260" i="2"/>
  <c r="P2364" i="2"/>
  <c r="T2364" i="2"/>
  <c r="P1317" i="2"/>
  <c r="T1317" i="2"/>
  <c r="P856" i="2"/>
  <c r="T856" i="2"/>
  <c r="P1785" i="2"/>
  <c r="T1785" i="2"/>
  <c r="P1719" i="2"/>
  <c r="T1719" i="2"/>
  <c r="P637" i="2"/>
  <c r="T637" i="2"/>
  <c r="P1927" i="2"/>
  <c r="T1927" i="2"/>
  <c r="P2293" i="2"/>
  <c r="T2293" i="2"/>
  <c r="P1574" i="2"/>
  <c r="T1574" i="2"/>
  <c r="P2354" i="2"/>
  <c r="T2354" i="2"/>
  <c r="P1040" i="2"/>
  <c r="T1040" i="2"/>
  <c r="P598" i="2"/>
  <c r="T598" i="2"/>
  <c r="P409" i="2"/>
  <c r="T409" i="2"/>
  <c r="P137" i="2"/>
  <c r="T137" i="2"/>
  <c r="P1857" i="2"/>
  <c r="T1857" i="2"/>
  <c r="P924" i="2"/>
  <c r="T924" i="2"/>
  <c r="P1932" i="2"/>
  <c r="T1932" i="2"/>
  <c r="P291" i="2"/>
  <c r="T291" i="2"/>
  <c r="P2321" i="2"/>
  <c r="T2321" i="2"/>
  <c r="P1948" i="2"/>
  <c r="T1948" i="2"/>
  <c r="P2084" i="2"/>
  <c r="T2084" i="2"/>
  <c r="P1882" i="2"/>
  <c r="T1882" i="2"/>
  <c r="P188" i="2"/>
  <c r="T188" i="2"/>
  <c r="P338" i="2"/>
  <c r="T338" i="2"/>
  <c r="P452" i="2"/>
  <c r="T452" i="2"/>
  <c r="P1084" i="2"/>
  <c r="T1084" i="2"/>
  <c r="P2149" i="2"/>
  <c r="T2149" i="2"/>
  <c r="P1265" i="2"/>
  <c r="T1265" i="2"/>
  <c r="P2451" i="2"/>
  <c r="T2451" i="2"/>
  <c r="P1884" i="2"/>
  <c r="T1884" i="2"/>
  <c r="P672" i="2"/>
  <c r="T672" i="2"/>
  <c r="P93" i="2"/>
  <c r="T93" i="2"/>
  <c r="P523" i="2"/>
  <c r="T523" i="2"/>
  <c r="P1158" i="2"/>
  <c r="T1158" i="2"/>
  <c r="P2311" i="2"/>
  <c r="T2311" i="2"/>
  <c r="P955" i="2"/>
  <c r="T955" i="2"/>
  <c r="P2201" i="2"/>
  <c r="T2201" i="2"/>
  <c r="P2038" i="2"/>
  <c r="T2038" i="2"/>
  <c r="P1286" i="2"/>
  <c r="T1286" i="2"/>
  <c r="P2035" i="2"/>
  <c r="T2035" i="2"/>
  <c r="P805" i="2"/>
  <c r="T805" i="2"/>
  <c r="P864" i="2"/>
  <c r="T864" i="2"/>
  <c r="P1297" i="2"/>
  <c r="T1297" i="2"/>
  <c r="P688" i="2"/>
  <c r="T688" i="2"/>
  <c r="P602" i="2"/>
  <c r="T602" i="2"/>
  <c r="P503" i="2"/>
  <c r="T503" i="2"/>
  <c r="P634" i="2"/>
  <c r="T634" i="2"/>
  <c r="P754" i="2"/>
  <c r="T754" i="2"/>
  <c r="P1999" i="2"/>
  <c r="T1999" i="2"/>
  <c r="P267" i="2"/>
  <c r="T267" i="2"/>
  <c r="P926" i="2"/>
  <c r="T926" i="2"/>
  <c r="P1618" i="2"/>
  <c r="T1618" i="2"/>
  <c r="P2181" i="2"/>
  <c r="T2181" i="2"/>
  <c r="P536" i="2"/>
  <c r="T536" i="2"/>
  <c r="P1269" i="2"/>
  <c r="T1269" i="2"/>
  <c r="P1823" i="2"/>
  <c r="T1823" i="2"/>
  <c r="P552" i="2"/>
  <c r="T552" i="2"/>
  <c r="P488" i="2"/>
  <c r="T488" i="2"/>
  <c r="P351" i="2"/>
  <c r="T351" i="2"/>
  <c r="P1162" i="2"/>
  <c r="T1162" i="2"/>
  <c r="P1930" i="2"/>
  <c r="T1930" i="2"/>
  <c r="P1678" i="2"/>
  <c r="T1678" i="2"/>
  <c r="P2006" i="2"/>
  <c r="T2006" i="2"/>
  <c r="P1686" i="2"/>
  <c r="T1686" i="2"/>
  <c r="P977" i="2"/>
  <c r="T977" i="2"/>
  <c r="P1951" i="2"/>
  <c r="T1951" i="2"/>
  <c r="P1564" i="2"/>
  <c r="T1564" i="2"/>
  <c r="P1584" i="2"/>
  <c r="T1584" i="2"/>
  <c r="P2088" i="2"/>
  <c r="T2088" i="2"/>
  <c r="P2314" i="2"/>
  <c r="T2314" i="2"/>
  <c r="P1578" i="2"/>
  <c r="T1578" i="2"/>
  <c r="P1095" i="2"/>
  <c r="T1095" i="2"/>
  <c r="P1069" i="2"/>
  <c r="T1069" i="2"/>
  <c r="P1667" i="2"/>
  <c r="T1667" i="2"/>
  <c r="P2118" i="2"/>
  <c r="T2118" i="2"/>
  <c r="P254" i="2"/>
  <c r="T254" i="2"/>
  <c r="P2040" i="2"/>
  <c r="T2040" i="2"/>
  <c r="P2441" i="2"/>
  <c r="T2441" i="2"/>
  <c r="P1002" i="2"/>
  <c r="T1002" i="2"/>
  <c r="P1213" i="2"/>
  <c r="T1213" i="2"/>
  <c r="P401" i="2"/>
  <c r="T401" i="2"/>
  <c r="P1690" i="2"/>
  <c r="T1690" i="2"/>
  <c r="P2416" i="2"/>
  <c r="T2416" i="2"/>
  <c r="P894" i="2"/>
  <c r="T894" i="2"/>
  <c r="P923" i="2"/>
  <c r="T923" i="2"/>
  <c r="P1251" i="2"/>
  <c r="T1251" i="2"/>
  <c r="P76" i="2"/>
  <c r="T76" i="2"/>
  <c r="P110" i="2"/>
  <c r="T110" i="2"/>
  <c r="P2420" i="2"/>
  <c r="T2420" i="2"/>
  <c r="P1140" i="2"/>
  <c r="T1140" i="2"/>
  <c r="P1111" i="2"/>
  <c r="T1111" i="2"/>
  <c r="P2235" i="2"/>
  <c r="T2235" i="2"/>
  <c r="P2162" i="2"/>
  <c r="T2162" i="2"/>
  <c r="P881" i="2"/>
  <c r="T881" i="2"/>
  <c r="P1043" i="2"/>
  <c r="T1043" i="2"/>
  <c r="P26" i="2"/>
  <c r="T26" i="2"/>
  <c r="P1775" i="2"/>
  <c r="T1775" i="2"/>
  <c r="P172" i="2"/>
  <c r="T172" i="2"/>
  <c r="P2397" i="2"/>
  <c r="T2397" i="2"/>
  <c r="P2434" i="2"/>
  <c r="T2434" i="2"/>
  <c r="P315" i="2"/>
  <c r="T315" i="2"/>
  <c r="P1559" i="2"/>
  <c r="T1559" i="2"/>
  <c r="P1518" i="2"/>
  <c r="T1518" i="2"/>
  <c r="P2286" i="2"/>
  <c r="T2286" i="2"/>
  <c r="P116" i="2"/>
  <c r="T116" i="2"/>
  <c r="P2479" i="2"/>
  <c r="T2479" i="2"/>
  <c r="P722" i="2"/>
  <c r="T722" i="2"/>
  <c r="P507" i="2"/>
  <c r="T507" i="2"/>
  <c r="P658" i="2"/>
  <c r="T658" i="2"/>
  <c r="P756" i="2"/>
  <c r="T756" i="2"/>
  <c r="P2001" i="2"/>
  <c r="T2001" i="2"/>
  <c r="P335" i="2"/>
  <c r="T335" i="2"/>
  <c r="P1413" i="2"/>
  <c r="T1413" i="2"/>
  <c r="P1800" i="2"/>
  <c r="T1800" i="2"/>
  <c r="P2003" i="2"/>
  <c r="T2003" i="2"/>
  <c r="P675" i="2"/>
  <c r="T675" i="2"/>
  <c r="P1244" i="2"/>
  <c r="T1244" i="2"/>
  <c r="P1906" i="2"/>
  <c r="T1906" i="2"/>
  <c r="P677" i="2"/>
  <c r="T677" i="2"/>
  <c r="P563" i="2"/>
  <c r="T563" i="2"/>
  <c r="P462" i="2"/>
  <c r="T462" i="2"/>
  <c r="P1236" i="2"/>
  <c r="T1236" i="2"/>
  <c r="P1985" i="2"/>
  <c r="T1985" i="2"/>
  <c r="P1507" i="2"/>
  <c r="T1507" i="2"/>
  <c r="P2199" i="2"/>
  <c r="T2199" i="2"/>
  <c r="P1915" i="2"/>
  <c r="T1915" i="2"/>
  <c r="P938" i="2"/>
  <c r="T938" i="2"/>
  <c r="P1874" i="2"/>
  <c r="T1874" i="2"/>
  <c r="P1978" i="2"/>
  <c r="T1978" i="2"/>
  <c r="P1277" i="2"/>
  <c r="T1277" i="2"/>
  <c r="P2290" i="2"/>
  <c r="T2290" i="2"/>
  <c r="P1079" i="2"/>
  <c r="T1079" i="2"/>
  <c r="P2069" i="2"/>
  <c r="T2069" i="2"/>
  <c r="P358" i="2"/>
  <c r="T358" i="2"/>
  <c r="P2361" i="2"/>
  <c r="T2361" i="2"/>
  <c r="P502" i="2"/>
  <c r="T502" i="2"/>
  <c r="P2068" i="2"/>
  <c r="T2068" i="2"/>
  <c r="P2359" i="2"/>
  <c r="T2359" i="2"/>
  <c r="P2377" i="2"/>
  <c r="T2377" i="2"/>
  <c r="P180" i="2"/>
  <c r="T180" i="2"/>
  <c r="P1717" i="2"/>
  <c r="T1717" i="2"/>
  <c r="P940" i="2"/>
  <c r="T940" i="2"/>
  <c r="P136" i="2"/>
  <c r="T136" i="2"/>
  <c r="P230" i="2"/>
  <c r="T230" i="2"/>
  <c r="P2405" i="2"/>
  <c r="T2405" i="2"/>
  <c r="P2228" i="2"/>
  <c r="T2228" i="2"/>
  <c r="P1831" i="2"/>
  <c r="T1831" i="2"/>
  <c r="P1180" i="2"/>
  <c r="T1180" i="2"/>
  <c r="P819" i="2"/>
  <c r="T819" i="2"/>
  <c r="P419" i="2"/>
  <c r="T419" i="2"/>
  <c r="P1036" i="2"/>
  <c r="T1036" i="2"/>
  <c r="P1076" i="2"/>
  <c r="T1076" i="2"/>
  <c r="P1374" i="2"/>
  <c r="T1374" i="2"/>
  <c r="P833" i="2"/>
  <c r="T833" i="2"/>
  <c r="P202" i="2"/>
  <c r="T202" i="2"/>
  <c r="P1226" i="2"/>
  <c r="T1226" i="2"/>
  <c r="P2139" i="2"/>
  <c r="T2139" i="2"/>
  <c r="P885" i="2"/>
  <c r="T885" i="2"/>
  <c r="P855" i="2"/>
  <c r="T855" i="2"/>
  <c r="P176" i="2"/>
  <c r="T176" i="2"/>
  <c r="P196" i="2"/>
  <c r="T196" i="2"/>
  <c r="P253" i="2"/>
  <c r="T253" i="2"/>
  <c r="P993" i="2"/>
  <c r="T993" i="2"/>
  <c r="P1259" i="2"/>
  <c r="T1259" i="2"/>
  <c r="P1366" i="2"/>
  <c r="T1366" i="2"/>
  <c r="P902" i="2"/>
  <c r="T902" i="2"/>
  <c r="P1900" i="2"/>
  <c r="T1900" i="2"/>
  <c r="P491" i="2"/>
  <c r="T491" i="2"/>
  <c r="P98" i="2"/>
  <c r="T98" i="2"/>
  <c r="P510" i="2"/>
  <c r="T510" i="2"/>
  <c r="P654" i="2"/>
  <c r="T654" i="2"/>
  <c r="P753" i="2"/>
  <c r="T753" i="2"/>
  <c r="P2002" i="2"/>
  <c r="T2002" i="2"/>
  <c r="P400" i="2"/>
  <c r="T400" i="2"/>
  <c r="P1153" i="2"/>
  <c r="T1153" i="2"/>
  <c r="P1895" i="2"/>
  <c r="T1895" i="2"/>
  <c r="P2125" i="2"/>
  <c r="T2125" i="2"/>
  <c r="P939" i="2"/>
  <c r="T939" i="2"/>
  <c r="P1359" i="2"/>
  <c r="T1359" i="2"/>
  <c r="P1938" i="2"/>
  <c r="T1938" i="2"/>
  <c r="P694" i="2"/>
  <c r="T694" i="2"/>
  <c r="P628" i="2"/>
  <c r="T628" i="2"/>
  <c r="P608" i="2"/>
  <c r="T608" i="2"/>
  <c r="P1337" i="2"/>
  <c r="T1337" i="2"/>
  <c r="P1990" i="2"/>
  <c r="T1990" i="2"/>
  <c r="P1652" i="2"/>
  <c r="T1652" i="2"/>
  <c r="P2380" i="2"/>
  <c r="T2380" i="2"/>
  <c r="P2200" i="2"/>
  <c r="T2200" i="2"/>
  <c r="P1181" i="2"/>
  <c r="T1181" i="2"/>
  <c r="P1962" i="2"/>
  <c r="T1962" i="2"/>
  <c r="P2174" i="2"/>
  <c r="T2174" i="2"/>
  <c r="P1815" i="2"/>
  <c r="T1815" i="2"/>
  <c r="P2310" i="2"/>
  <c r="T2310" i="2"/>
  <c r="P1643" i="2"/>
  <c r="T1643" i="2"/>
  <c r="P1227" i="2"/>
  <c r="T1227" i="2"/>
  <c r="P1048" i="2"/>
  <c r="T1048" i="2"/>
  <c r="P1773" i="2"/>
  <c r="T1773" i="2"/>
  <c r="P853" i="2"/>
  <c r="T853" i="2"/>
  <c r="P1312" i="2"/>
  <c r="T1312" i="2"/>
  <c r="P245" i="2"/>
  <c r="T245" i="2"/>
  <c r="P1724" i="2"/>
  <c r="T1724" i="2"/>
  <c r="P18" i="2"/>
  <c r="T18" i="2"/>
  <c r="P118" i="2"/>
  <c r="T118" i="2"/>
  <c r="P1733" i="2"/>
  <c r="T1733" i="2"/>
  <c r="P2109" i="2"/>
  <c r="T2109" i="2"/>
  <c r="P34" i="2"/>
  <c r="T34" i="2"/>
  <c r="P332" i="2"/>
  <c r="T332" i="2"/>
  <c r="P2103" i="2"/>
  <c r="T2103" i="2"/>
  <c r="P82" i="2"/>
  <c r="T82" i="2"/>
  <c r="P738" i="2"/>
  <c r="T738" i="2"/>
  <c r="P965" i="2"/>
  <c r="T965" i="2"/>
  <c r="P959" i="2"/>
  <c r="T959" i="2"/>
  <c r="P666" i="2"/>
  <c r="T666" i="2"/>
  <c r="P1051" i="2"/>
  <c r="T1051" i="2"/>
  <c r="P1125" i="2"/>
  <c r="T1125" i="2"/>
  <c r="P1172" i="2"/>
  <c r="T1172" i="2"/>
  <c r="P16" i="2"/>
  <c r="T16" i="2"/>
  <c r="P1738" i="2"/>
  <c r="T1738" i="2"/>
  <c r="P2185" i="2"/>
  <c r="T2185" i="2"/>
  <c r="P1007" i="2"/>
  <c r="T1007" i="2"/>
  <c r="P1098" i="2"/>
  <c r="T1098" i="2"/>
  <c r="P799" i="2"/>
  <c r="T799" i="2"/>
  <c r="P1477" i="2"/>
  <c r="T1477" i="2"/>
  <c r="P777" i="2"/>
  <c r="T777" i="2"/>
  <c r="P1557" i="2"/>
  <c r="T1557" i="2"/>
  <c r="P2137" i="2"/>
  <c r="T2137" i="2"/>
  <c r="P1152" i="2"/>
  <c r="T1152" i="2"/>
  <c r="P815" i="2"/>
  <c r="T815" i="2"/>
  <c r="P1016" i="2"/>
  <c r="T1016" i="2"/>
  <c r="P771" i="2"/>
  <c r="T771" i="2"/>
  <c r="P430" i="2"/>
  <c r="T430" i="2"/>
  <c r="P505" i="2"/>
  <c r="T505" i="2"/>
  <c r="P633" i="2"/>
  <c r="T633" i="2"/>
  <c r="P757" i="2"/>
  <c r="T757" i="2"/>
  <c r="P2287" i="2"/>
  <c r="T2287" i="2"/>
  <c r="P444" i="2"/>
  <c r="T444" i="2"/>
  <c r="P1594" i="2"/>
  <c r="T1594" i="2"/>
  <c r="P1935" i="2"/>
  <c r="T1935" i="2"/>
  <c r="P2090" i="2"/>
  <c r="T2090" i="2"/>
  <c r="P974" i="2"/>
  <c r="T974" i="2"/>
  <c r="P1431" i="2"/>
  <c r="T1431" i="2"/>
  <c r="P1954" i="2"/>
  <c r="T1954" i="2"/>
  <c r="P934" i="2"/>
  <c r="T934" i="2"/>
  <c r="P954" i="2"/>
  <c r="T954" i="2"/>
  <c r="P571" i="2"/>
  <c r="T571" i="2"/>
  <c r="P1592" i="2"/>
  <c r="T1592" i="2"/>
  <c r="P2372" i="2"/>
  <c r="T2372" i="2"/>
  <c r="P1807" i="2"/>
  <c r="T1807" i="2"/>
  <c r="P734" i="2"/>
  <c r="T734" i="2"/>
  <c r="P2171" i="2"/>
  <c r="T2171" i="2"/>
  <c r="P1694" i="2"/>
  <c r="T1694" i="2"/>
  <c r="P1967" i="2"/>
  <c r="T1967" i="2"/>
  <c r="P699" i="2"/>
  <c r="T699" i="2"/>
  <c r="P840" i="2"/>
  <c r="T840" i="2"/>
  <c r="P1116" i="2"/>
  <c r="T1116" i="2"/>
  <c r="P1661" i="2"/>
  <c r="T1661" i="2"/>
  <c r="P2030" i="2"/>
  <c r="T2030" i="2"/>
  <c r="P132" i="2"/>
  <c r="T132" i="2"/>
  <c r="P1725" i="2"/>
  <c r="T1725" i="2"/>
  <c r="P227" i="2"/>
  <c r="T227" i="2"/>
  <c r="P44" i="2"/>
  <c r="T44" i="2"/>
  <c r="P1243" i="2"/>
  <c r="T1243" i="2"/>
  <c r="P154" i="2"/>
  <c r="T154" i="2"/>
  <c r="P553" i="2"/>
  <c r="T553" i="2"/>
  <c r="P951" i="2"/>
  <c r="T951" i="2"/>
  <c r="P119" i="2"/>
  <c r="T119" i="2"/>
  <c r="P126" i="2"/>
  <c r="T126" i="2"/>
  <c r="P679" i="2"/>
  <c r="T679" i="2"/>
  <c r="P348" i="2"/>
  <c r="T348" i="2"/>
  <c r="P1472" i="2"/>
  <c r="T1472" i="2"/>
  <c r="P1210" i="2"/>
  <c r="T1210" i="2"/>
  <c r="P1539" i="2"/>
  <c r="T1539" i="2"/>
  <c r="P1356" i="2"/>
  <c r="T1356" i="2"/>
  <c r="P994" i="2"/>
  <c r="T994" i="2"/>
  <c r="P1741" i="2"/>
  <c r="T1741" i="2"/>
  <c r="P1031" i="2"/>
  <c r="T1031" i="2"/>
  <c r="P1760" i="2"/>
  <c r="T1760" i="2"/>
  <c r="P2000" i="2"/>
  <c r="T2000" i="2"/>
  <c r="P89" i="2"/>
  <c r="T89" i="2"/>
  <c r="P1894" i="2"/>
  <c r="T1894" i="2"/>
  <c r="P508" i="2"/>
  <c r="T508" i="2"/>
  <c r="P1345" i="2"/>
  <c r="T1345" i="2"/>
  <c r="P1218" i="2"/>
  <c r="T1218" i="2"/>
  <c r="P791" i="2"/>
  <c r="T791" i="2"/>
  <c r="P1268" i="2"/>
  <c r="T1268" i="2"/>
  <c r="P2079" i="2"/>
  <c r="T2079" i="2"/>
  <c r="P1602" i="2"/>
  <c r="T1602" i="2"/>
  <c r="P1042" i="2"/>
  <c r="T1042" i="2"/>
  <c r="P97" i="2"/>
  <c r="T97" i="2"/>
  <c r="P2447" i="2"/>
  <c r="T2447" i="2"/>
  <c r="P251" i="2"/>
  <c r="T251" i="2"/>
  <c r="P760" i="2"/>
  <c r="T760" i="2"/>
  <c r="P1062" i="2"/>
  <c r="T1062" i="2"/>
  <c r="P504" i="2"/>
  <c r="T504" i="2"/>
  <c r="P638" i="2"/>
  <c r="T638" i="2"/>
  <c r="P758" i="2"/>
  <c r="T758" i="2"/>
  <c r="P533" i="2"/>
  <c r="T533" i="2"/>
  <c r="P1645" i="2"/>
  <c r="T1645" i="2"/>
  <c r="P2033" i="2"/>
  <c r="T2033" i="2"/>
  <c r="P941" i="2"/>
  <c r="T941" i="2"/>
  <c r="P1211" i="2"/>
  <c r="T1211" i="2"/>
  <c r="P1634" i="2"/>
  <c r="T1634" i="2"/>
  <c r="P1998" i="2"/>
  <c r="T1998" i="2"/>
  <c r="P899" i="2"/>
  <c r="T899" i="2"/>
  <c r="P684" i="2"/>
  <c r="T684" i="2"/>
  <c r="P750" i="2"/>
  <c r="T750" i="2"/>
  <c r="P1600" i="2"/>
  <c r="T1600" i="2"/>
  <c r="P975" i="2"/>
  <c r="T975" i="2"/>
  <c r="P1911" i="2"/>
  <c r="T1911" i="2"/>
  <c r="P966" i="2"/>
  <c r="T966" i="2"/>
  <c r="P821" i="2"/>
  <c r="T821" i="2"/>
  <c r="P1523" i="2"/>
  <c r="T1523" i="2"/>
  <c r="P1447" i="2"/>
  <c r="T1447" i="2"/>
  <c r="P874" i="2"/>
  <c r="T874" i="2"/>
  <c r="P1107" i="2"/>
  <c r="T1107" i="2"/>
  <c r="P1190" i="2"/>
  <c r="T1190" i="2"/>
  <c r="P2356" i="2"/>
  <c r="T2356" i="2"/>
  <c r="P1252" i="2"/>
  <c r="T1252" i="2"/>
  <c r="P1709" i="2"/>
  <c r="T1709" i="2"/>
  <c r="P2330" i="2"/>
  <c r="T2330" i="2"/>
  <c r="P948" i="2"/>
  <c r="T948" i="2"/>
  <c r="P1071" i="2"/>
  <c r="T1071" i="2"/>
  <c r="P1625" i="2"/>
  <c r="T1625" i="2"/>
  <c r="P526" i="2"/>
  <c r="T526" i="2"/>
  <c r="P873" i="2"/>
  <c r="T873" i="2"/>
  <c r="P1081" i="2"/>
  <c r="T1081" i="2"/>
  <c r="P213" i="2"/>
  <c r="T213" i="2"/>
  <c r="P144" i="2"/>
  <c r="T144" i="2"/>
  <c r="P866" i="2"/>
  <c r="T866" i="2"/>
  <c r="P1824" i="2"/>
  <c r="T1824" i="2"/>
  <c r="P1388" i="2"/>
  <c r="T1388" i="2"/>
  <c r="P944" i="2"/>
  <c r="T944" i="2"/>
  <c r="P2274" i="2"/>
  <c r="T2274" i="2"/>
  <c r="P2143" i="2"/>
  <c r="T2143" i="2"/>
  <c r="P1072" i="2"/>
  <c r="T1072" i="2"/>
  <c r="P2454" i="2"/>
  <c r="T2454" i="2"/>
  <c r="P1142" i="2"/>
  <c r="T1142" i="2"/>
  <c r="P674" i="2"/>
  <c r="T674" i="2"/>
  <c r="P748" i="2"/>
  <c r="T748" i="2"/>
  <c r="P769" i="2"/>
  <c r="T769" i="2"/>
  <c r="P2465" i="2"/>
  <c r="T2465" i="2"/>
  <c r="P851" i="2"/>
  <c r="T851" i="2"/>
  <c r="P2173" i="2"/>
  <c r="T2173" i="2"/>
  <c r="P2094" i="2"/>
  <c r="T2094" i="2"/>
  <c r="P700" i="2"/>
  <c r="T700" i="2"/>
  <c r="P2413" i="2"/>
  <c r="T2413" i="2"/>
  <c r="P837" i="2"/>
  <c r="T837" i="2"/>
  <c r="P2358" i="2"/>
  <c r="T2358" i="2"/>
  <c r="P1398" i="2"/>
  <c r="T1398" i="2"/>
  <c r="P1104" i="2"/>
  <c r="T1104" i="2"/>
  <c r="P1276" i="2"/>
  <c r="T1276" i="2"/>
  <c r="P41" i="2"/>
  <c r="T41" i="2"/>
  <c r="P2075" i="2"/>
  <c r="T2075" i="2"/>
  <c r="P494" i="2"/>
  <c r="T494" i="2"/>
  <c r="P506" i="2"/>
  <c r="T506" i="2"/>
  <c r="P655" i="2"/>
  <c r="T655" i="2"/>
  <c r="P871" i="2"/>
  <c r="T871" i="2"/>
  <c r="P2425" i="2"/>
  <c r="T2425" i="2"/>
  <c r="P2029" i="2"/>
  <c r="T2029" i="2"/>
  <c r="P673" i="2"/>
  <c r="T673" i="2"/>
  <c r="P1628" i="2"/>
  <c r="T1628" i="2"/>
  <c r="P1890" i="2"/>
  <c r="T1890" i="2"/>
  <c r="P383" i="2"/>
  <c r="T383" i="2"/>
  <c r="P1096" i="2"/>
  <c r="T1096" i="2"/>
  <c r="P1875" i="2"/>
  <c r="T1875" i="2"/>
  <c r="P2348" i="2"/>
  <c r="T2348" i="2"/>
  <c r="P302" i="2"/>
  <c r="T302" i="2"/>
  <c r="P865" i="2"/>
  <c r="T865" i="2"/>
  <c r="P1887" i="2"/>
  <c r="T1887" i="2"/>
  <c r="P1219" i="2"/>
  <c r="T1219" i="2"/>
  <c r="P1947" i="2"/>
  <c r="T1947" i="2"/>
  <c r="P1376" i="2"/>
  <c r="T1376" i="2"/>
  <c r="P1702" i="2"/>
  <c r="T1702" i="2"/>
  <c r="P1669" i="2"/>
  <c r="T1669" i="2"/>
  <c r="P1144" i="2"/>
  <c r="T1144" i="2"/>
  <c r="P284" i="2"/>
  <c r="T284" i="2"/>
  <c r="P1287" i="2"/>
  <c r="T1287" i="2"/>
  <c r="P456" i="2"/>
  <c r="T456" i="2"/>
  <c r="P1914" i="2"/>
  <c r="T1914" i="2"/>
  <c r="P309" i="2"/>
  <c r="T309" i="2"/>
  <c r="P1788" i="2"/>
  <c r="T1788" i="2"/>
  <c r="P1283" i="2"/>
  <c r="T1283" i="2"/>
  <c r="P1006" i="2"/>
  <c r="T1006" i="2"/>
  <c r="P2250" i="2"/>
  <c r="T2250" i="2"/>
  <c r="P442" i="2"/>
  <c r="T442" i="2"/>
  <c r="P727" i="2"/>
  <c r="T727" i="2"/>
  <c r="P1188" i="2"/>
  <c r="T1188" i="2"/>
  <c r="P1023" i="2"/>
  <c r="T1023" i="2"/>
  <c r="P788" i="2"/>
  <c r="T788" i="2"/>
  <c r="P78" i="2"/>
  <c r="T78" i="2"/>
  <c r="P1307" i="2"/>
  <c r="T1307" i="2"/>
  <c r="P2347" i="2"/>
  <c r="T2347" i="2"/>
  <c r="P1493" i="2"/>
  <c r="T1493" i="2"/>
  <c r="P2327" i="2"/>
  <c r="T2327" i="2"/>
  <c r="P1315" i="2"/>
  <c r="T1315" i="2"/>
  <c r="P2297" i="2"/>
  <c r="T2297" i="2"/>
  <c r="P2224" i="2"/>
  <c r="T2224" i="2"/>
  <c r="P21" i="2"/>
  <c r="T21" i="2"/>
  <c r="P1637" i="2"/>
  <c r="T1637" i="2"/>
  <c r="P1115" i="2"/>
  <c r="T1115" i="2"/>
  <c r="P1734" i="2"/>
  <c r="T1734" i="2"/>
  <c r="P2108" i="2"/>
  <c r="T2108" i="2"/>
  <c r="P2312" i="2"/>
  <c r="T2312" i="2"/>
  <c r="P1747" i="2"/>
  <c r="T1747" i="2"/>
  <c r="P1024" i="2"/>
  <c r="T1024" i="2"/>
  <c r="P807" i="2"/>
  <c r="T807" i="2"/>
  <c r="P933" i="2"/>
  <c r="T933" i="2"/>
  <c r="P49" i="2"/>
  <c r="T49" i="2"/>
  <c r="P906" i="2"/>
  <c r="T906" i="2"/>
  <c r="P58" i="2"/>
  <c r="T58" i="2"/>
  <c r="P243" i="2"/>
  <c r="T243" i="2"/>
  <c r="P141" i="2"/>
  <c r="T141" i="2"/>
  <c r="P2394" i="2"/>
  <c r="T2394" i="2"/>
  <c r="P1502" i="2"/>
  <c r="T1502" i="2"/>
  <c r="P603" i="2"/>
  <c r="T603" i="2"/>
  <c r="P501" i="2"/>
  <c r="T501" i="2"/>
  <c r="P509" i="2"/>
  <c r="T509" i="2"/>
  <c r="P659" i="2"/>
  <c r="T659" i="2"/>
  <c r="P1991" i="2"/>
  <c r="T1991" i="2"/>
  <c r="P595" i="2"/>
  <c r="T595" i="2"/>
  <c r="P1591" i="2"/>
  <c r="T1591" i="2"/>
  <c r="P367" i="2"/>
  <c r="T367" i="2"/>
  <c r="P724" i="2"/>
  <c r="T724" i="2"/>
  <c r="P1736" i="2"/>
  <c r="T1736" i="2"/>
  <c r="P1931" i="2"/>
  <c r="T1931" i="2"/>
  <c r="P453" i="2"/>
  <c r="T453" i="2"/>
  <c r="P1126" i="2"/>
  <c r="T1126" i="2"/>
  <c r="P1899" i="2"/>
  <c r="T1899" i="2"/>
  <c r="P964" i="2"/>
  <c r="T964" i="2"/>
  <c r="P433" i="2"/>
  <c r="T433" i="2"/>
  <c r="P318" i="2"/>
  <c r="T318" i="2"/>
  <c r="P713" i="2"/>
  <c r="T713" i="2"/>
  <c r="P1782" i="2"/>
  <c r="T1782" i="2"/>
  <c r="P1545" i="2"/>
  <c r="T1545" i="2"/>
  <c r="P1922" i="2"/>
  <c r="T1922" i="2"/>
  <c r="P1135" i="2"/>
  <c r="T1135" i="2"/>
  <c r="P1792" i="2"/>
  <c r="T1792" i="2"/>
  <c r="P1816" i="2"/>
  <c r="P1173" i="2"/>
  <c r="T1173" i="2"/>
  <c r="P432" i="2"/>
  <c r="T432" i="2"/>
  <c r="P1392" i="2"/>
  <c r="T1392" i="2"/>
  <c r="P1854" i="2"/>
  <c r="T1854" i="2"/>
  <c r="P1946" i="2"/>
  <c r="T1946" i="2"/>
  <c r="P1178" i="2"/>
  <c r="T1178" i="2"/>
  <c r="P2340" i="2"/>
  <c r="T2340" i="2"/>
  <c r="P96" i="2"/>
  <c r="T96" i="2"/>
  <c r="P221" i="2"/>
  <c r="T221" i="2"/>
  <c r="P1553" i="2"/>
  <c r="T1553" i="2"/>
  <c r="P212" i="2"/>
  <c r="T212" i="2"/>
  <c r="P846" i="2"/>
  <c r="T846" i="2"/>
  <c r="P1703" i="2"/>
  <c r="T1703" i="2"/>
  <c r="P1061" i="2"/>
  <c r="T1061" i="2"/>
  <c r="P2145" i="2"/>
  <c r="T2145" i="2"/>
  <c r="P823" i="2"/>
  <c r="T823" i="2"/>
  <c r="P2148" i="2"/>
  <c r="T2148" i="2"/>
  <c r="P1916" i="2"/>
  <c r="T1916" i="2"/>
  <c r="P1411" i="2"/>
  <c r="T1411" i="2"/>
  <c r="P1621" i="2"/>
  <c r="T1621" i="2"/>
  <c r="P52" i="2"/>
  <c r="T52" i="2"/>
  <c r="P787" i="2"/>
  <c r="T787" i="2"/>
  <c r="P2207" i="2"/>
  <c r="T2207" i="2"/>
  <c r="P661" i="2"/>
  <c r="T661" i="2"/>
  <c r="P2126" i="2"/>
  <c r="T2126" i="2"/>
  <c r="P1201" i="2"/>
  <c r="T1201" i="2"/>
  <c r="P2032" i="2"/>
  <c r="T2032" i="2"/>
  <c r="P219" i="2"/>
  <c r="T219" i="2"/>
  <c r="P1783" i="2"/>
  <c r="T1783" i="2"/>
  <c r="P2168" i="2"/>
  <c r="T2168" i="2"/>
  <c r="P916" i="2"/>
  <c r="T916" i="2"/>
  <c r="P1015" i="2"/>
  <c r="T1015" i="2"/>
  <c r="P957" i="2"/>
  <c r="T957" i="2"/>
  <c r="P100" i="2"/>
  <c r="T100" i="2"/>
  <c r="P2078" i="2"/>
  <c r="T2078" i="2"/>
  <c r="P1101" i="2"/>
  <c r="T1101" i="2"/>
  <c r="P2222" i="2"/>
  <c r="T2222" i="2"/>
  <c r="P749" i="2"/>
  <c r="T749" i="2"/>
  <c r="P2049" i="2"/>
  <c r="T2049" i="2"/>
  <c r="P1123" i="2"/>
  <c r="T1123" i="2"/>
  <c r="P728" i="2"/>
  <c r="T728" i="2"/>
  <c r="P24" i="2"/>
  <c r="T24" i="2"/>
  <c r="P657" i="2"/>
  <c r="T657" i="2"/>
  <c r="P663" i="2"/>
  <c r="T663" i="2"/>
  <c r="P1992" i="2"/>
  <c r="T1992" i="2"/>
  <c r="J2470" i="2"/>
  <c r="L2470" i="2" s="1"/>
  <c r="N2470" i="2" s="1"/>
  <c r="P664" i="2"/>
  <c r="J1765" i="2"/>
  <c r="L1765" i="2" s="1"/>
  <c r="N1765" i="2" s="1"/>
  <c r="J1835" i="2"/>
  <c r="L1835" i="2" s="1"/>
  <c r="J2100" i="2"/>
  <c r="L2100" i="2" s="1"/>
  <c r="N2100" i="2" s="1"/>
  <c r="J1759" i="2"/>
  <c r="L1759" i="2" s="1"/>
  <c r="N1759" i="2" s="1"/>
  <c r="J775" i="2"/>
  <c r="L775" i="2" s="1"/>
  <c r="N775" i="2" s="1"/>
  <c r="J778" i="2"/>
  <c r="L778" i="2" s="1"/>
  <c r="J2022" i="2"/>
  <c r="L2022" i="2" s="1"/>
  <c r="M2022" i="2" s="1"/>
  <c r="J2023" i="2"/>
  <c r="L2023" i="2" s="1"/>
  <c r="N2023" i="2" s="1"/>
  <c r="J918" i="2"/>
  <c r="L918" i="2" s="1"/>
  <c r="M918" i="2" s="1"/>
  <c r="J919" i="2"/>
  <c r="L919" i="2" s="1"/>
  <c r="J70" i="2"/>
  <c r="L70" i="2" s="1"/>
  <c r="J72" i="2"/>
  <c r="L72" i="2" s="1"/>
  <c r="M72" i="2" s="1"/>
  <c r="N72" i="2" s="1"/>
  <c r="J991" i="2"/>
  <c r="L991" i="2" s="1"/>
  <c r="M991" i="2" s="1"/>
  <c r="N991" i="2" s="1"/>
  <c r="J992" i="2"/>
  <c r="L992" i="2" s="1"/>
  <c r="N992" i="2" s="1"/>
  <c r="J1834" i="2"/>
  <c r="L1834" i="2" s="1"/>
  <c r="V596" i="3"/>
  <c r="V637" i="3"/>
  <c r="V612" i="3"/>
  <c r="V604" i="3"/>
  <c r="V595" i="3"/>
  <c r="V611" i="3"/>
  <c r="V597" i="3"/>
  <c r="V602" i="3"/>
  <c r="V594" i="3"/>
  <c r="V605" i="3"/>
  <c r="V600" i="3"/>
  <c r="V598" i="3"/>
  <c r="V603" i="3"/>
  <c r="V606" i="3"/>
  <c r="V599" i="3"/>
  <c r="R607" i="3"/>
  <c r="V607" i="3" s="1"/>
  <c r="V484" i="3"/>
  <c r="AD32" i="3"/>
  <c r="AD33" i="3"/>
  <c r="AD34" i="3"/>
  <c r="AD35" i="3"/>
  <c r="AD100" i="3"/>
  <c r="AD101" i="3"/>
  <c r="AD102" i="3"/>
  <c r="AD103" i="3"/>
  <c r="AD122" i="3"/>
  <c r="AD124" i="3"/>
  <c r="AD146" i="3"/>
  <c r="AD147" i="3"/>
  <c r="AD148" i="3"/>
  <c r="AD176" i="3"/>
  <c r="AD177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8" i="3"/>
  <c r="AD209" i="3"/>
  <c r="AD210" i="3"/>
  <c r="AD211" i="3"/>
  <c r="AD212" i="3"/>
  <c r="AD214" i="3"/>
  <c r="AD215" i="3"/>
  <c r="AD216" i="3"/>
  <c r="AD217" i="3"/>
  <c r="V593" i="3"/>
  <c r="AD593" i="3" s="1"/>
  <c r="V592" i="3"/>
  <c r="AD592" i="3" s="1"/>
  <c r="V481" i="3"/>
  <c r="AD481" i="3" s="1"/>
  <c r="V482" i="3"/>
  <c r="AD482" i="3" s="1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V565" i="3"/>
  <c r="AD565" i="3" s="1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V537" i="3"/>
  <c r="AD537" i="3" s="1"/>
  <c r="V536" i="3"/>
  <c r="AD536" i="3" s="1"/>
  <c r="V535" i="3"/>
  <c r="AD535" i="3" s="1"/>
  <c r="V534" i="3"/>
  <c r="AD534" i="3" s="1"/>
  <c r="R486" i="3"/>
  <c r="V485" i="3"/>
  <c r="AD485" i="3" s="1"/>
  <c r="R483" i="3"/>
  <c r="V480" i="3"/>
  <c r="AD480" i="3" s="1"/>
  <c r="V479" i="3"/>
  <c r="AD479" i="3" s="1"/>
  <c r="V478" i="3"/>
  <c r="AD478" i="3" s="1"/>
  <c r="V477" i="3"/>
  <c r="AD477" i="3" s="1"/>
  <c r="V476" i="3"/>
  <c r="AD476" i="3" s="1"/>
  <c r="V475" i="3"/>
  <c r="AD475" i="3" s="1"/>
  <c r="V474" i="3"/>
  <c r="AD474" i="3" s="1"/>
  <c r="V473" i="3"/>
  <c r="AD473" i="3" s="1"/>
  <c r="V472" i="3"/>
  <c r="AD472" i="3" s="1"/>
  <c r="V471" i="3"/>
  <c r="AD471" i="3" s="1"/>
  <c r="V470" i="3"/>
  <c r="AD470" i="3" s="1"/>
  <c r="V469" i="3"/>
  <c r="AD469" i="3" s="1"/>
  <c r="V468" i="3"/>
  <c r="AD468" i="3" s="1"/>
  <c r="V467" i="3"/>
  <c r="AD467" i="3" s="1"/>
  <c r="V466" i="3"/>
  <c r="AD466" i="3" s="1"/>
  <c r="V465" i="3"/>
  <c r="AD465" i="3" s="1"/>
  <c r="V464" i="3"/>
  <c r="AD464" i="3" s="1"/>
  <c r="V463" i="3"/>
  <c r="AD463" i="3" s="1"/>
  <c r="V462" i="3"/>
  <c r="AD462" i="3" s="1"/>
  <c r="V461" i="3"/>
  <c r="AD461" i="3" s="1"/>
  <c r="V460" i="3"/>
  <c r="AD460" i="3" s="1"/>
  <c r="V459" i="3"/>
  <c r="AD459" i="3" s="1"/>
  <c r="V458" i="3"/>
  <c r="AD458" i="3" s="1"/>
  <c r="V457" i="3"/>
  <c r="AD457" i="3" s="1"/>
  <c r="V456" i="3"/>
  <c r="AD456" i="3" s="1"/>
  <c r="V455" i="3"/>
  <c r="AD455" i="3" s="1"/>
  <c r="V454" i="3"/>
  <c r="AD454" i="3" s="1"/>
  <c r="V450" i="3"/>
  <c r="AD450" i="3" s="1"/>
  <c r="V449" i="3"/>
  <c r="AD449" i="3" s="1"/>
  <c r="V448" i="3"/>
  <c r="AD448" i="3" s="1"/>
  <c r="V447" i="3"/>
  <c r="AD447" i="3" s="1"/>
  <c r="V446" i="3"/>
  <c r="AD446" i="3" s="1"/>
  <c r="V445" i="3"/>
  <c r="AD445" i="3" s="1"/>
  <c r="V444" i="3"/>
  <c r="AD444" i="3" s="1"/>
  <c r="V443" i="3"/>
  <c r="AD443" i="3" s="1"/>
  <c r="V442" i="3"/>
  <c r="AD442" i="3" s="1"/>
  <c r="V441" i="3"/>
  <c r="AD441" i="3" s="1"/>
  <c r="R440" i="3"/>
  <c r="R439" i="3"/>
  <c r="R438" i="3"/>
  <c r="R437" i="3"/>
  <c r="R436" i="3"/>
  <c r="R435" i="3"/>
  <c r="V305" i="3"/>
  <c r="AD305" i="3" s="1"/>
  <c r="V304" i="3"/>
  <c r="AD304" i="3" s="1"/>
  <c r="V303" i="3"/>
  <c r="AD303" i="3" s="1"/>
  <c r="V302" i="3"/>
  <c r="AD302" i="3" s="1"/>
  <c r="V301" i="3"/>
  <c r="AD301" i="3" s="1"/>
  <c r="V300" i="3"/>
  <c r="AD300" i="3" s="1"/>
  <c r="V299" i="3"/>
  <c r="AD299" i="3" s="1"/>
  <c r="V298" i="3"/>
  <c r="AD298" i="3" s="1"/>
  <c r="V297" i="3"/>
  <c r="AD297" i="3" s="1"/>
  <c r="AD296" i="3"/>
  <c r="AD295" i="3"/>
  <c r="V294" i="3"/>
  <c r="AD294" i="3" s="1"/>
  <c r="V292" i="3"/>
  <c r="AD292" i="3" s="1"/>
  <c r="V291" i="3"/>
  <c r="AD291" i="3" s="1"/>
  <c r="V290" i="3"/>
  <c r="AD290" i="3" s="1"/>
  <c r="V289" i="3"/>
  <c r="AD289" i="3" s="1"/>
  <c r="V288" i="3"/>
  <c r="AD288" i="3" s="1"/>
  <c r="V287" i="3"/>
  <c r="AD287" i="3" s="1"/>
  <c r="V286" i="3"/>
  <c r="AD286" i="3" s="1"/>
  <c r="V285" i="3"/>
  <c r="AD285" i="3" s="1"/>
  <c r="V284" i="3"/>
  <c r="AD284" i="3" s="1"/>
  <c r="V283" i="3"/>
  <c r="AD283" i="3" s="1"/>
  <c r="V282" i="3"/>
  <c r="AD282" i="3" s="1"/>
  <c r="V281" i="3"/>
  <c r="AD281" i="3" s="1"/>
  <c r="V280" i="3"/>
  <c r="AD280" i="3" s="1"/>
  <c r="V279" i="3"/>
  <c r="AD279" i="3" s="1"/>
  <c r="V278" i="3"/>
  <c r="AD278" i="3" s="1"/>
  <c r="V277" i="3"/>
  <c r="AD277" i="3" s="1"/>
  <c r="V276" i="3"/>
  <c r="AD276" i="3" s="1"/>
  <c r="V275" i="3"/>
  <c r="AD275" i="3" s="1"/>
  <c r="V274" i="3"/>
  <c r="AD274" i="3" s="1"/>
  <c r="V273" i="3"/>
  <c r="AD273" i="3" s="1"/>
  <c r="V272" i="3"/>
  <c r="AD272" i="3" s="1"/>
  <c r="V271" i="3"/>
  <c r="AD271" i="3" s="1"/>
  <c r="V270" i="3"/>
  <c r="AD270" i="3" s="1"/>
  <c r="V269" i="3"/>
  <c r="AD269" i="3" s="1"/>
  <c r="V268" i="3"/>
  <c r="AD268" i="3" s="1"/>
  <c r="V267" i="3"/>
  <c r="AD267" i="3" s="1"/>
  <c r="V266" i="3"/>
  <c r="AD266" i="3" s="1"/>
  <c r="V265" i="3"/>
  <c r="AD265" i="3" s="1"/>
  <c r="V264" i="3"/>
  <c r="AD264" i="3" s="1"/>
  <c r="V263" i="3"/>
  <c r="AD263" i="3" s="1"/>
  <c r="V262" i="3"/>
  <c r="AD262" i="3" s="1"/>
  <c r="V261" i="3"/>
  <c r="AD261" i="3" s="1"/>
  <c r="V260" i="3"/>
  <c r="AD260" i="3" s="1"/>
  <c r="V259" i="3"/>
  <c r="AD259" i="3" s="1"/>
  <c r="V258" i="3"/>
  <c r="AD258" i="3" s="1"/>
  <c r="AB2" i="3"/>
  <c r="V257" i="3"/>
  <c r="AD257" i="3" s="1"/>
  <c r="V256" i="3"/>
  <c r="AD256" i="3" s="1"/>
  <c r="V255" i="3"/>
  <c r="AD255" i="3" s="1"/>
  <c r="V254" i="3"/>
  <c r="AD254" i="3" s="1"/>
  <c r="V253" i="3"/>
  <c r="AD253" i="3" s="1"/>
  <c r="V252" i="3"/>
  <c r="AD252" i="3" s="1"/>
  <c r="V251" i="3"/>
  <c r="AD251" i="3" s="1"/>
  <c r="V250" i="3"/>
  <c r="AD250" i="3" s="1"/>
  <c r="V219" i="3"/>
  <c r="AD219" i="3" s="1"/>
  <c r="V218" i="3"/>
  <c r="AD218" i="3" s="1"/>
  <c r="V181" i="3"/>
  <c r="AD181" i="3" s="1"/>
  <c r="AD180" i="3"/>
  <c r="AD179" i="3"/>
  <c r="V178" i="3"/>
  <c r="AD178" i="3" s="1"/>
  <c r="V99" i="3"/>
  <c r="AD99" i="3" s="1"/>
  <c r="V98" i="3"/>
  <c r="AD98" i="3" s="1"/>
  <c r="V97" i="3"/>
  <c r="AD97" i="3" s="1"/>
  <c r="V96" i="3"/>
  <c r="AD96" i="3" s="1"/>
  <c r="V123" i="3"/>
  <c r="AD123" i="3" s="1"/>
  <c r="V175" i="3"/>
  <c r="AD175" i="3" s="1"/>
  <c r="T95" i="2" l="1"/>
  <c r="P1810" i="2"/>
  <c r="T1810" i="2"/>
  <c r="P1364" i="2"/>
  <c r="T1364" i="2"/>
  <c r="M1834" i="2"/>
  <c r="N1834" i="2" s="1"/>
  <c r="N919" i="2"/>
  <c r="N1835" i="2"/>
  <c r="P72" i="2"/>
  <c r="T72" i="2"/>
  <c r="P1759" i="2"/>
  <c r="T1759" i="2"/>
  <c r="P2100" i="2"/>
  <c r="T2100" i="2"/>
  <c r="P1765" i="2"/>
  <c r="T1765" i="2"/>
  <c r="P2023" i="2"/>
  <c r="T2023" i="2"/>
  <c r="P2470" i="2"/>
  <c r="T2470" i="2"/>
  <c r="P992" i="2"/>
  <c r="T992" i="2"/>
  <c r="P991" i="2"/>
  <c r="T991" i="2"/>
  <c r="P775" i="2"/>
  <c r="T775" i="2"/>
  <c r="N778" i="2"/>
  <c r="N2022" i="2"/>
  <c r="N70" i="2"/>
  <c r="N918" i="2"/>
  <c r="V435" i="3"/>
  <c r="AD435" i="3" s="1"/>
  <c r="V590" i="3"/>
  <c r="AD590" i="3" s="1"/>
  <c r="V436" i="3"/>
  <c r="AD436" i="3" s="1"/>
  <c r="V591" i="3"/>
  <c r="AD591" i="3" s="1"/>
  <c r="V437" i="3"/>
  <c r="AD437" i="3" s="1"/>
  <c r="V438" i="3"/>
  <c r="AD438" i="3" s="1"/>
  <c r="V483" i="3"/>
  <c r="AD483" i="3" s="1"/>
  <c r="V440" i="3"/>
  <c r="AD440" i="3" s="1"/>
  <c r="V486" i="3"/>
  <c r="AD486" i="3" s="1"/>
  <c r="V589" i="3"/>
  <c r="AD589" i="3" s="1"/>
  <c r="V439" i="3"/>
  <c r="AD439" i="3" s="1"/>
  <c r="V588" i="3"/>
  <c r="AD588" i="3" s="1"/>
  <c r="AD484" i="3"/>
  <c r="V491" i="3"/>
  <c r="AD491" i="3" s="1"/>
  <c r="V532" i="3"/>
  <c r="AD532" i="3" s="1"/>
  <c r="V539" i="3"/>
  <c r="AD539" i="3" s="1"/>
  <c r="V515" i="3"/>
  <c r="AD515" i="3" s="1"/>
  <c r="V518" i="3"/>
  <c r="AD518" i="3" s="1"/>
  <c r="V526" i="3"/>
  <c r="AD526" i="3" s="1"/>
  <c r="V558" i="3"/>
  <c r="AD558" i="3" s="1"/>
  <c r="V520" i="3"/>
  <c r="AD520" i="3" s="1"/>
  <c r="V524" i="3"/>
  <c r="AD524" i="3" s="1"/>
  <c r="V566" i="3"/>
  <c r="AD566" i="3" s="1"/>
  <c r="V572" i="3"/>
  <c r="AD572" i="3" s="1"/>
  <c r="V531" i="3"/>
  <c r="AD531" i="3" s="1"/>
  <c r="V550" i="3"/>
  <c r="AD550" i="3" s="1"/>
  <c r="V568" i="3"/>
  <c r="AD568" i="3" s="1"/>
  <c r="V523" i="3"/>
  <c r="AD523" i="3" s="1"/>
  <c r="V528" i="3"/>
  <c r="AD528" i="3" s="1"/>
  <c r="V554" i="3"/>
  <c r="AD554" i="3" s="1"/>
  <c r="V555" i="3"/>
  <c r="AD555" i="3" s="1"/>
  <c r="V573" i="3"/>
  <c r="AD573" i="3" s="1"/>
  <c r="V574" i="3"/>
  <c r="AD574" i="3" s="1"/>
  <c r="V575" i="3"/>
  <c r="AD575" i="3" s="1"/>
  <c r="V576" i="3"/>
  <c r="AD576" i="3" s="1"/>
  <c r="V580" i="3"/>
  <c r="AD580" i="3" s="1"/>
  <c r="V581" i="3"/>
  <c r="AD581" i="3" s="1"/>
  <c r="V582" i="3"/>
  <c r="AD582" i="3" s="1"/>
  <c r="V583" i="3"/>
  <c r="AD583" i="3" s="1"/>
  <c r="V584" i="3"/>
  <c r="AD584" i="3" s="1"/>
  <c r="V502" i="3"/>
  <c r="AD502" i="3" s="1"/>
  <c r="V510" i="3"/>
  <c r="AD510" i="3" s="1"/>
  <c r="V516" i="3"/>
  <c r="AD516" i="3" s="1"/>
  <c r="V545" i="3"/>
  <c r="AD545" i="3" s="1"/>
  <c r="V546" i="3"/>
  <c r="AD546" i="3" s="1"/>
  <c r="V547" i="3"/>
  <c r="AD547" i="3" s="1"/>
  <c r="V562" i="3"/>
  <c r="AD562" i="3" s="1"/>
  <c r="V563" i="3"/>
  <c r="AD563" i="3" s="1"/>
  <c r="V543" i="3"/>
  <c r="AD543" i="3" s="1"/>
  <c r="V489" i="3"/>
  <c r="AD489" i="3" s="1"/>
  <c r="V499" i="3"/>
  <c r="AD499" i="3" s="1"/>
  <c r="V501" i="3"/>
  <c r="AD501" i="3" s="1"/>
  <c r="V507" i="3"/>
  <c r="AD507" i="3" s="1"/>
  <c r="V509" i="3"/>
  <c r="AD509" i="3" s="1"/>
  <c r="V517" i="3"/>
  <c r="AD517" i="3" s="1"/>
  <c r="V525" i="3"/>
  <c r="AD525" i="3" s="1"/>
  <c r="V533" i="3"/>
  <c r="AD533" i="3" s="1"/>
  <c r="V498" i="3"/>
  <c r="AD498" i="3" s="1"/>
  <c r="V505" i="3"/>
  <c r="AD505" i="3" s="1"/>
  <c r="V506" i="3"/>
  <c r="AD506" i="3" s="1"/>
  <c r="V513" i="3"/>
  <c r="AD513" i="3" s="1"/>
  <c r="V514" i="3"/>
  <c r="AD514" i="3" s="1"/>
  <c r="V521" i="3"/>
  <c r="AD521" i="3" s="1"/>
  <c r="V522" i="3"/>
  <c r="AD522" i="3" s="1"/>
  <c r="V529" i="3"/>
  <c r="AD529" i="3" s="1"/>
  <c r="V530" i="3"/>
  <c r="AD530" i="3" s="1"/>
  <c r="V540" i="3"/>
  <c r="AD540" i="3" s="1"/>
  <c r="V541" i="3"/>
  <c r="AD541" i="3" s="1"/>
  <c r="V542" i="3"/>
  <c r="AD542" i="3" s="1"/>
  <c r="V551" i="3"/>
  <c r="AD551" i="3" s="1"/>
  <c r="V559" i="3"/>
  <c r="AD559" i="3" s="1"/>
  <c r="V567" i="3"/>
  <c r="AD567" i="3" s="1"/>
  <c r="V490" i="3"/>
  <c r="AD490" i="3" s="1"/>
  <c r="V492" i="3"/>
  <c r="AD492" i="3" s="1"/>
  <c r="V496" i="3"/>
  <c r="AD496" i="3" s="1"/>
  <c r="V552" i="3"/>
  <c r="AD552" i="3" s="1"/>
  <c r="V560" i="3"/>
  <c r="AD560" i="3" s="1"/>
  <c r="V569" i="3"/>
  <c r="AD569" i="3" s="1"/>
  <c r="V570" i="3"/>
  <c r="AD570" i="3" s="1"/>
  <c r="V571" i="3"/>
  <c r="AD571" i="3" s="1"/>
  <c r="V585" i="3"/>
  <c r="AD585" i="3" s="1"/>
  <c r="V586" i="3"/>
  <c r="AD586" i="3" s="1"/>
  <c r="V587" i="3"/>
  <c r="AD587" i="3" s="1"/>
  <c r="V488" i="3"/>
  <c r="AD488" i="3" s="1"/>
  <c r="V494" i="3"/>
  <c r="AD494" i="3" s="1"/>
  <c r="V500" i="3"/>
  <c r="AD500" i="3" s="1"/>
  <c r="V504" i="3"/>
  <c r="AD504" i="3" s="1"/>
  <c r="V508" i="3"/>
  <c r="AD508" i="3" s="1"/>
  <c r="V512" i="3"/>
  <c r="AD512" i="3" s="1"/>
  <c r="V544" i="3"/>
  <c r="AD544" i="3" s="1"/>
  <c r="V553" i="3"/>
  <c r="AD553" i="3" s="1"/>
  <c r="V561" i="3"/>
  <c r="AD561" i="3" s="1"/>
  <c r="V495" i="3"/>
  <c r="AD495" i="3" s="1"/>
  <c r="V487" i="3"/>
  <c r="AD487" i="3" s="1"/>
  <c r="V503" i="3"/>
  <c r="AD503" i="3" s="1"/>
  <c r="V511" i="3"/>
  <c r="AD511" i="3" s="1"/>
  <c r="V519" i="3"/>
  <c r="AD519" i="3" s="1"/>
  <c r="V527" i="3"/>
  <c r="AD527" i="3" s="1"/>
  <c r="V538" i="3"/>
  <c r="AD538" i="3" s="1"/>
  <c r="V548" i="3"/>
  <c r="AD548" i="3" s="1"/>
  <c r="V556" i="3"/>
  <c r="AD556" i="3" s="1"/>
  <c r="V564" i="3"/>
  <c r="AD564" i="3" s="1"/>
  <c r="V577" i="3"/>
  <c r="AD577" i="3" s="1"/>
  <c r="V578" i="3"/>
  <c r="AD578" i="3" s="1"/>
  <c r="V579" i="3"/>
  <c r="AD579" i="3" s="1"/>
  <c r="V493" i="3"/>
  <c r="AD493" i="3" s="1"/>
  <c r="V497" i="3"/>
  <c r="AD497" i="3" s="1"/>
  <c r="V549" i="3"/>
  <c r="AD549" i="3" s="1"/>
  <c r="V557" i="3"/>
  <c r="AD557" i="3" s="1"/>
  <c r="V293" i="3"/>
  <c r="AD293" i="3" s="1"/>
  <c r="V243" i="3"/>
  <c r="AD243" i="3" s="1"/>
  <c r="V233" i="3"/>
  <c r="AD233" i="3" s="1"/>
  <c r="V231" i="3"/>
  <c r="AD231" i="3" s="1"/>
  <c r="V242" i="3"/>
  <c r="AD242" i="3" s="1"/>
  <c r="V221" i="3"/>
  <c r="AD221" i="3" s="1"/>
  <c r="V239" i="3"/>
  <c r="AD239" i="3" s="1"/>
  <c r="V248" i="3"/>
  <c r="AD248" i="3" s="1"/>
  <c r="V240" i="3"/>
  <c r="AD240" i="3" s="1"/>
  <c r="V223" i="3"/>
  <c r="AD223" i="3" s="1"/>
  <c r="V227" i="3"/>
  <c r="AD227" i="3" s="1"/>
  <c r="V249" i="3"/>
  <c r="AD249" i="3" s="1"/>
  <c r="V235" i="3"/>
  <c r="AD235" i="3" s="1"/>
  <c r="V241" i="3"/>
  <c r="AD241" i="3" s="1"/>
  <c r="V225" i="3"/>
  <c r="AD225" i="3" s="1"/>
  <c r="V229" i="3"/>
  <c r="AD229" i="3" s="1"/>
  <c r="V234" i="3"/>
  <c r="AD234" i="3" s="1"/>
  <c r="V247" i="3"/>
  <c r="AD247" i="3" s="1"/>
  <c r="V226" i="3"/>
  <c r="AD226" i="3" s="1"/>
  <c r="V236" i="3"/>
  <c r="AD236" i="3" s="1"/>
  <c r="V238" i="3"/>
  <c r="AD238" i="3" s="1"/>
  <c r="V245" i="3"/>
  <c r="AD245" i="3" s="1"/>
  <c r="V237" i="3"/>
  <c r="AD237" i="3" s="1"/>
  <c r="V220" i="3"/>
  <c r="AD220" i="3" s="1"/>
  <c r="V222" i="3"/>
  <c r="AD222" i="3" s="1"/>
  <c r="V224" i="3"/>
  <c r="AD224" i="3" s="1"/>
  <c r="V228" i="3"/>
  <c r="AD228" i="3" s="1"/>
  <c r="V230" i="3"/>
  <c r="AD230" i="3" s="1"/>
  <c r="V232" i="3"/>
  <c r="AD232" i="3" s="1"/>
  <c r="V244" i="3"/>
  <c r="AD244" i="3" s="1"/>
  <c r="V246" i="3"/>
  <c r="AD246" i="3" s="1"/>
  <c r="V173" i="3"/>
  <c r="AD173" i="3" s="1"/>
  <c r="V168" i="3"/>
  <c r="AD168" i="3" s="1"/>
  <c r="V166" i="3"/>
  <c r="AD166" i="3" s="1"/>
  <c r="V158" i="3"/>
  <c r="AD158" i="3" s="1"/>
  <c r="V159" i="3"/>
  <c r="AD159" i="3" s="1"/>
  <c r="V160" i="3"/>
  <c r="AD160" i="3" s="1"/>
  <c r="V164" i="3"/>
  <c r="AD164" i="3" s="1"/>
  <c r="V163" i="3"/>
  <c r="AD163" i="3" s="1"/>
  <c r="V161" i="3"/>
  <c r="AD161" i="3" s="1"/>
  <c r="V157" i="3"/>
  <c r="AD157" i="3" s="1"/>
  <c r="V155" i="3"/>
  <c r="AD155" i="3" s="1"/>
  <c r="V131" i="3"/>
  <c r="AD131" i="3" s="1"/>
  <c r="V129" i="3"/>
  <c r="AD129" i="3" s="1"/>
  <c r="V128" i="3"/>
  <c r="AD128" i="3" s="1"/>
  <c r="J12" i="2"/>
  <c r="V2" i="3"/>
  <c r="AD2" i="3" s="1"/>
  <c r="V3" i="3"/>
  <c r="AD3" i="3" s="1"/>
  <c r="V4" i="3"/>
  <c r="AD4" i="3" s="1"/>
  <c r="V5" i="3"/>
  <c r="AD5" i="3" s="1"/>
  <c r="V6" i="3"/>
  <c r="AD6" i="3" s="1"/>
  <c r="V7" i="3"/>
  <c r="AD7" i="3" s="1"/>
  <c r="V8" i="3"/>
  <c r="AD8" i="3" s="1"/>
  <c r="V9" i="3"/>
  <c r="AD9" i="3" s="1"/>
  <c r="V10" i="3"/>
  <c r="AD10" i="3" s="1"/>
  <c r="V11" i="3"/>
  <c r="AD11" i="3" s="1"/>
  <c r="V12" i="3"/>
  <c r="AD12" i="3" s="1"/>
  <c r="V13" i="3"/>
  <c r="AD13" i="3" s="1"/>
  <c r="V14" i="3"/>
  <c r="AD14" i="3" s="1"/>
  <c r="V15" i="3"/>
  <c r="AD15" i="3" s="1"/>
  <c r="V16" i="3"/>
  <c r="AD16" i="3" s="1"/>
  <c r="V17" i="3"/>
  <c r="AD17" i="3" s="1"/>
  <c r="V18" i="3"/>
  <c r="AD18" i="3" s="1"/>
  <c r="V19" i="3"/>
  <c r="AD19" i="3" s="1"/>
  <c r="V20" i="3"/>
  <c r="AD20" i="3" s="1"/>
  <c r="V21" i="3"/>
  <c r="AD21" i="3" s="1"/>
  <c r="V22" i="3"/>
  <c r="AD22" i="3" s="1"/>
  <c r="V23" i="3"/>
  <c r="AD23" i="3" s="1"/>
  <c r="V24" i="3"/>
  <c r="AD24" i="3" s="1"/>
  <c r="V25" i="3"/>
  <c r="AD25" i="3" s="1"/>
  <c r="V26" i="3"/>
  <c r="AD26" i="3" s="1"/>
  <c r="V27" i="3"/>
  <c r="AD27" i="3" s="1"/>
  <c r="V28" i="3"/>
  <c r="AD28" i="3" s="1"/>
  <c r="V29" i="3"/>
  <c r="AD29" i="3" s="1"/>
  <c r="V30" i="3"/>
  <c r="AD30" i="3" s="1"/>
  <c r="V31" i="3"/>
  <c r="AD31" i="3" s="1"/>
  <c r="V36" i="3"/>
  <c r="AD36" i="3" s="1"/>
  <c r="V37" i="3"/>
  <c r="AD37" i="3" s="1"/>
  <c r="V38" i="3"/>
  <c r="AD38" i="3" s="1"/>
  <c r="V39" i="3"/>
  <c r="AD39" i="3" s="1"/>
  <c r="V40" i="3"/>
  <c r="AD40" i="3" s="1"/>
  <c r="V41" i="3"/>
  <c r="AD41" i="3" s="1"/>
  <c r="V42" i="3"/>
  <c r="AD42" i="3" s="1"/>
  <c r="V43" i="3"/>
  <c r="AD43" i="3" s="1"/>
  <c r="V44" i="3"/>
  <c r="AD44" i="3" s="1"/>
  <c r="V45" i="3"/>
  <c r="AD45" i="3" s="1"/>
  <c r="V46" i="3"/>
  <c r="AD46" i="3" s="1"/>
  <c r="V47" i="3"/>
  <c r="AD47" i="3" s="1"/>
  <c r="V48" i="3"/>
  <c r="AD48" i="3" s="1"/>
  <c r="V49" i="3"/>
  <c r="AD49" i="3" s="1"/>
  <c r="V50" i="3"/>
  <c r="AD50" i="3" s="1"/>
  <c r="V51" i="3"/>
  <c r="AD51" i="3" s="1"/>
  <c r="V52" i="3"/>
  <c r="AD52" i="3" s="1"/>
  <c r="V53" i="3"/>
  <c r="AD53" i="3" s="1"/>
  <c r="V54" i="3"/>
  <c r="AD54" i="3" s="1"/>
  <c r="V55" i="3"/>
  <c r="AD55" i="3" s="1"/>
  <c r="V56" i="3"/>
  <c r="AD56" i="3" s="1"/>
  <c r="V57" i="3"/>
  <c r="AD57" i="3" s="1"/>
  <c r="V58" i="3"/>
  <c r="AD58" i="3" s="1"/>
  <c r="V59" i="3"/>
  <c r="AD59" i="3" s="1"/>
  <c r="V60" i="3"/>
  <c r="AD60" i="3" s="1"/>
  <c r="V61" i="3"/>
  <c r="AD61" i="3" s="1"/>
  <c r="V62" i="3"/>
  <c r="AD62" i="3" s="1"/>
  <c r="V63" i="3"/>
  <c r="AD63" i="3" s="1"/>
  <c r="V64" i="3"/>
  <c r="AD64" i="3" s="1"/>
  <c r="V65" i="3"/>
  <c r="AD65" i="3" s="1"/>
  <c r="V66" i="3"/>
  <c r="AD66" i="3" s="1"/>
  <c r="V67" i="3"/>
  <c r="AD67" i="3" s="1"/>
  <c r="V68" i="3"/>
  <c r="AD68" i="3" s="1"/>
  <c r="V69" i="3"/>
  <c r="AD69" i="3" s="1"/>
  <c r="V70" i="3"/>
  <c r="AD70" i="3" s="1"/>
  <c r="V71" i="3"/>
  <c r="AD71" i="3" s="1"/>
  <c r="V72" i="3"/>
  <c r="AD72" i="3" s="1"/>
  <c r="V73" i="3"/>
  <c r="AD73" i="3" s="1"/>
  <c r="V74" i="3"/>
  <c r="AD74" i="3" s="1"/>
  <c r="V75" i="3"/>
  <c r="AD75" i="3" s="1"/>
  <c r="V76" i="3"/>
  <c r="AD76" i="3" s="1"/>
  <c r="V77" i="3"/>
  <c r="AD77" i="3" s="1"/>
  <c r="V78" i="3"/>
  <c r="AD78" i="3" s="1"/>
  <c r="V79" i="3"/>
  <c r="AD79" i="3" s="1"/>
  <c r="V80" i="3"/>
  <c r="AD80" i="3" s="1"/>
  <c r="V81" i="3"/>
  <c r="AD81" i="3" s="1"/>
  <c r="V82" i="3"/>
  <c r="AD82" i="3" s="1"/>
  <c r="V83" i="3"/>
  <c r="AD83" i="3" s="1"/>
  <c r="V84" i="3"/>
  <c r="AD84" i="3" s="1"/>
  <c r="V85" i="3"/>
  <c r="AD85" i="3" s="1"/>
  <c r="V86" i="3"/>
  <c r="AD86" i="3" s="1"/>
  <c r="V87" i="3"/>
  <c r="AD87" i="3" s="1"/>
  <c r="V88" i="3"/>
  <c r="AD88" i="3" s="1"/>
  <c r="V89" i="3"/>
  <c r="AD89" i="3" s="1"/>
  <c r="V90" i="3"/>
  <c r="AD90" i="3" s="1"/>
  <c r="V91" i="3"/>
  <c r="AD91" i="3" s="1"/>
  <c r="V92" i="3"/>
  <c r="AD92" i="3" s="1"/>
  <c r="V93" i="3"/>
  <c r="AD93" i="3" s="1"/>
  <c r="V94" i="3"/>
  <c r="AD94" i="3" s="1"/>
  <c r="V95" i="3"/>
  <c r="AD95" i="3" s="1"/>
  <c r="V104" i="3"/>
  <c r="AD104" i="3" s="1"/>
  <c r="V105" i="3"/>
  <c r="AD105" i="3" s="1"/>
  <c r="V106" i="3"/>
  <c r="AD106" i="3" s="1"/>
  <c r="V107" i="3"/>
  <c r="AD107" i="3" s="1"/>
  <c r="V108" i="3"/>
  <c r="AD108" i="3" s="1"/>
  <c r="V109" i="3"/>
  <c r="AD109" i="3" s="1"/>
  <c r="V110" i="3"/>
  <c r="AD110" i="3" s="1"/>
  <c r="V111" i="3"/>
  <c r="AD111" i="3" s="1"/>
  <c r="V112" i="3"/>
  <c r="AD112" i="3" s="1"/>
  <c r="V113" i="3"/>
  <c r="AD113" i="3" s="1"/>
  <c r="V114" i="3"/>
  <c r="AD114" i="3" s="1"/>
  <c r="V115" i="3"/>
  <c r="AD115" i="3" s="1"/>
  <c r="V120" i="3"/>
  <c r="AD120" i="3" s="1"/>
  <c r="V121" i="3"/>
  <c r="AD121" i="3" s="1"/>
  <c r="V182" i="3"/>
  <c r="AD182" i="3" s="1"/>
  <c r="V213" i="3"/>
  <c r="AD213" i="3" s="1"/>
  <c r="P1834" i="2" l="1"/>
  <c r="T1834" i="2"/>
  <c r="P919" i="2"/>
  <c r="T919" i="2"/>
  <c r="P1835" i="2"/>
  <c r="T1835" i="2"/>
  <c r="P918" i="2"/>
  <c r="T918" i="2"/>
  <c r="P70" i="2"/>
  <c r="T70" i="2"/>
  <c r="P2022" i="2"/>
  <c r="T2022" i="2"/>
  <c r="P778" i="2"/>
  <c r="T778" i="2"/>
  <c r="V165" i="3"/>
  <c r="AD165" i="3" s="1"/>
  <c r="V169" i="3"/>
  <c r="AD169" i="3" s="1"/>
  <c r="V170" i="3"/>
  <c r="AD170" i="3" s="1"/>
  <c r="V127" i="3"/>
  <c r="AD127" i="3" s="1"/>
  <c r="V171" i="3"/>
  <c r="AD171" i="3" s="1"/>
  <c r="V172" i="3"/>
  <c r="AD172" i="3" s="1"/>
  <c r="V174" i="3"/>
  <c r="AD174" i="3" s="1"/>
  <c r="V144" i="3"/>
  <c r="AD144" i="3" s="1"/>
  <c r="V139" i="3"/>
  <c r="AD139" i="3" s="1"/>
  <c r="V167" i="3"/>
  <c r="AD167" i="3" s="1"/>
  <c r="V132" i="3"/>
  <c r="AD132" i="3" s="1"/>
  <c r="V136" i="3"/>
  <c r="AD136" i="3" s="1"/>
  <c r="V140" i="3"/>
  <c r="AD140" i="3" s="1"/>
  <c r="V142" i="3"/>
  <c r="AD142" i="3" s="1"/>
  <c r="V149" i="3"/>
  <c r="AD149" i="3" s="1"/>
  <c r="V156" i="3"/>
  <c r="AD156" i="3" s="1"/>
  <c r="V153" i="3"/>
  <c r="AD153" i="3" s="1"/>
  <c r="V138" i="3"/>
  <c r="AD138" i="3" s="1"/>
  <c r="V143" i="3"/>
  <c r="AD143" i="3" s="1"/>
  <c r="V145" i="3"/>
  <c r="AD145" i="3" s="1"/>
  <c r="V150" i="3"/>
  <c r="AD150" i="3" s="1"/>
  <c r="V141" i="3"/>
  <c r="AD141" i="3" s="1"/>
  <c r="V154" i="3"/>
  <c r="AD154" i="3" s="1"/>
  <c r="V134" i="3"/>
  <c r="AD134" i="3" s="1"/>
  <c r="V126" i="3"/>
  <c r="AD126" i="3" s="1"/>
  <c r="V130" i="3"/>
  <c r="AD130" i="3" s="1"/>
  <c r="V135" i="3"/>
  <c r="AD135" i="3" s="1"/>
  <c r="V137" i="3"/>
  <c r="AD137" i="3" s="1"/>
  <c r="V151" i="3"/>
  <c r="AD151" i="3" s="1"/>
  <c r="V133" i="3"/>
  <c r="AD133" i="3" s="1"/>
  <c r="V152" i="3"/>
  <c r="AD152" i="3" s="1"/>
  <c r="V125" i="3"/>
  <c r="AD125" i="3" s="1"/>
  <c r="B11" i="2"/>
  <c r="U7" i="2"/>
  <c r="Y12" i="2"/>
  <c r="L2266" i="2" l="1"/>
  <c r="K2266" i="2"/>
  <c r="J2266" i="2"/>
  <c r="P2266" i="2"/>
  <c r="O2266" i="2"/>
  <c r="N2266" i="2"/>
  <c r="T2266" i="2" s="1"/>
  <c r="M2266" i="2"/>
  <c r="O2482" i="2"/>
  <c r="K2482" i="2"/>
  <c r="L2482" i="2"/>
  <c r="J2482" i="2"/>
  <c r="M2482" i="2"/>
  <c r="N2482" i="2"/>
  <c r="T2482" i="2" s="1"/>
  <c r="P2482" i="2"/>
  <c r="P2477" i="2"/>
  <c r="O2474" i="2"/>
  <c r="N2468" i="2"/>
  <c r="M2464" i="2"/>
  <c r="L2461" i="2"/>
  <c r="K2456" i="2"/>
  <c r="J2449" i="2"/>
  <c r="P2439" i="2"/>
  <c r="O2435" i="2"/>
  <c r="N2429" i="2"/>
  <c r="M2422" i="2"/>
  <c r="L2418" i="2"/>
  <c r="K2415" i="2"/>
  <c r="J2319" i="2"/>
  <c r="P2313" i="2"/>
  <c r="O2304" i="2"/>
  <c r="N2298" i="2"/>
  <c r="M2294" i="2"/>
  <c r="L2289" i="2"/>
  <c r="K2285" i="2"/>
  <c r="J2281" i="2"/>
  <c r="P2263" i="2"/>
  <c r="O2257" i="2"/>
  <c r="N2254" i="2"/>
  <c r="M2248" i="2"/>
  <c r="L2230" i="2"/>
  <c r="K2226" i="2"/>
  <c r="J2223" i="2"/>
  <c r="P2216" i="2"/>
  <c r="O2213" i="2"/>
  <c r="N2205" i="2"/>
  <c r="M2198" i="2"/>
  <c r="L2194" i="2"/>
  <c r="O2477" i="2"/>
  <c r="N2474" i="2"/>
  <c r="M2468" i="2"/>
  <c r="L2464" i="2"/>
  <c r="K2461" i="2"/>
  <c r="J2456" i="2"/>
  <c r="P2446" i="2"/>
  <c r="O2439" i="2"/>
  <c r="N2435" i="2"/>
  <c r="M2429" i="2"/>
  <c r="L2422" i="2"/>
  <c r="K2418" i="2"/>
  <c r="J2415" i="2"/>
  <c r="P2316" i="2"/>
  <c r="O2313" i="2"/>
  <c r="N2304" i="2"/>
  <c r="M2298" i="2"/>
  <c r="L2294" i="2"/>
  <c r="K2289" i="2"/>
  <c r="J2285" i="2"/>
  <c r="P2268" i="2"/>
  <c r="O2263" i="2"/>
  <c r="N2257" i="2"/>
  <c r="M2254" i="2"/>
  <c r="L2248" i="2"/>
  <c r="K2230" i="2"/>
  <c r="J2226" i="2"/>
  <c r="P2220" i="2"/>
  <c r="O2216" i="2"/>
  <c r="N2213" i="2"/>
  <c r="M2205" i="2"/>
  <c r="L2198" i="2"/>
  <c r="K2194" i="2"/>
  <c r="J2165" i="2"/>
  <c r="P2152" i="2"/>
  <c r="O2147" i="2"/>
  <c r="N2142" i="2"/>
  <c r="M2135" i="2"/>
  <c r="L2121" i="2"/>
  <c r="K2117" i="2"/>
  <c r="J2114" i="2"/>
  <c r="P2098" i="2"/>
  <c r="O2062" i="2"/>
  <c r="N2021" i="2"/>
  <c r="M1989" i="2"/>
  <c r="L1983" i="2"/>
  <c r="K1980" i="2"/>
  <c r="J1972" i="2"/>
  <c r="P1965" i="2"/>
  <c r="O1961" i="2"/>
  <c r="N1832" i="2"/>
  <c r="M1827" i="2"/>
  <c r="L1813" i="2"/>
  <c r="K1808" i="2"/>
  <c r="J1799" i="2"/>
  <c r="P1790" i="2"/>
  <c r="O1787" i="2"/>
  <c r="N1780" i="2"/>
  <c r="M1756" i="2"/>
  <c r="L1745" i="2"/>
  <c r="K1672" i="2"/>
  <c r="J1654" i="2"/>
  <c r="P1641" i="2"/>
  <c r="O1617" i="2"/>
  <c r="N1611" i="2"/>
  <c r="M1577" i="2"/>
  <c r="L1567" i="2"/>
  <c r="K1563" i="2"/>
  <c r="J1560" i="2"/>
  <c r="P1543" i="2"/>
  <c r="O1530" i="2"/>
  <c r="N1526" i="2"/>
  <c r="M1426" i="2"/>
  <c r="L1408" i="2"/>
  <c r="K1405" i="2"/>
  <c r="J1362" i="2"/>
  <c r="P1354" i="2"/>
  <c r="O1347" i="2"/>
  <c r="N1341" i="2"/>
  <c r="M1323" i="2"/>
  <c r="L1303" i="2"/>
  <c r="K1293" i="2"/>
  <c r="J1289" i="2"/>
  <c r="P1280" i="2"/>
  <c r="O1267" i="2"/>
  <c r="N2477" i="2"/>
  <c r="M2474" i="2"/>
  <c r="L2468" i="2"/>
  <c r="K2464" i="2"/>
  <c r="J2461" i="2"/>
  <c r="P2449" i="2"/>
  <c r="O2446" i="2"/>
  <c r="N2439" i="2"/>
  <c r="M2435" i="2"/>
  <c r="L2429" i="2"/>
  <c r="K2422" i="2"/>
  <c r="M2477" i="2"/>
  <c r="L2474" i="2"/>
  <c r="K2468" i="2"/>
  <c r="J2464" i="2"/>
  <c r="P2456" i="2"/>
  <c r="O2449" i="2"/>
  <c r="N2446" i="2"/>
  <c r="M2439" i="2"/>
  <c r="L2435" i="2"/>
  <c r="K2429" i="2"/>
  <c r="J2422" i="2"/>
  <c r="P2415" i="2"/>
  <c r="O2319" i="2"/>
  <c r="N2316" i="2"/>
  <c r="M2313" i="2"/>
  <c r="L2304" i="2"/>
  <c r="K2298" i="2"/>
  <c r="J2294" i="2"/>
  <c r="P2285" i="2"/>
  <c r="O2281" i="2"/>
  <c r="N2268" i="2"/>
  <c r="M2263" i="2"/>
  <c r="L2257" i="2"/>
  <c r="K2254" i="2"/>
  <c r="J2248" i="2"/>
  <c r="P2226" i="2"/>
  <c r="O2223" i="2"/>
  <c r="L2477" i="2"/>
  <c r="K2474" i="2"/>
  <c r="J2468" i="2"/>
  <c r="P2461" i="2"/>
  <c r="O2456" i="2"/>
  <c r="N2449" i="2"/>
  <c r="M2446" i="2"/>
  <c r="L2439" i="2"/>
  <c r="K2435" i="2"/>
  <c r="J2429" i="2"/>
  <c r="P2418" i="2"/>
  <c r="O2415" i="2"/>
  <c r="N2319" i="2"/>
  <c r="M2316" i="2"/>
  <c r="L2313" i="2"/>
  <c r="K2304" i="2"/>
  <c r="J2298" i="2"/>
  <c r="P2289" i="2"/>
  <c r="O2285" i="2"/>
  <c r="N2281" i="2"/>
  <c r="M2268" i="2"/>
  <c r="L2263" i="2"/>
  <c r="K2257" i="2"/>
  <c r="J2254" i="2"/>
  <c r="P2230" i="2"/>
  <c r="O2226" i="2"/>
  <c r="N2223" i="2"/>
  <c r="M2220" i="2"/>
  <c r="L2216" i="2"/>
  <c r="K2213" i="2"/>
  <c r="J2205" i="2"/>
  <c r="P2194" i="2"/>
  <c r="O2165" i="2"/>
  <c r="N2159" i="2"/>
  <c r="M2152" i="2"/>
  <c r="K2477" i="2"/>
  <c r="J2474" i="2"/>
  <c r="P2464" i="2"/>
  <c r="O2461" i="2"/>
  <c r="N2456" i="2"/>
  <c r="M2449" i="2"/>
  <c r="L2446" i="2"/>
  <c r="K2439" i="2"/>
  <c r="J2435" i="2"/>
  <c r="P2422" i="2"/>
  <c r="O2418" i="2"/>
  <c r="N2415" i="2"/>
  <c r="M2319" i="2"/>
  <c r="L2316" i="2"/>
  <c r="K2313" i="2"/>
  <c r="J2304" i="2"/>
  <c r="P2294" i="2"/>
  <c r="O2289" i="2"/>
  <c r="N2285" i="2"/>
  <c r="M2281" i="2"/>
  <c r="J2477" i="2"/>
  <c r="P2468" i="2"/>
  <c r="O2464" i="2"/>
  <c r="N2461" i="2"/>
  <c r="M2456" i="2"/>
  <c r="L2449" i="2"/>
  <c r="K2446" i="2"/>
  <c r="J2439" i="2"/>
  <c r="P2429" i="2"/>
  <c r="O2422" i="2"/>
  <c r="N2418" i="2"/>
  <c r="M2415" i="2"/>
  <c r="L2319" i="2"/>
  <c r="K2316" i="2"/>
  <c r="J2313" i="2"/>
  <c r="P2298" i="2"/>
  <c r="O2294" i="2"/>
  <c r="N2289" i="2"/>
  <c r="M2285" i="2"/>
  <c r="L2281" i="2"/>
  <c r="K2268" i="2"/>
  <c r="J2263" i="2"/>
  <c r="P2254" i="2"/>
  <c r="O2248" i="2"/>
  <c r="N2230" i="2"/>
  <c r="M2226" i="2"/>
  <c r="L2223" i="2"/>
  <c r="K2220" i="2"/>
  <c r="J2216" i="2"/>
  <c r="P2205" i="2"/>
  <c r="O2198" i="2"/>
  <c r="N2194" i="2"/>
  <c r="M2165" i="2"/>
  <c r="L2159" i="2"/>
  <c r="K2152" i="2"/>
  <c r="J2147" i="2"/>
  <c r="P2135" i="2"/>
  <c r="O2121" i="2"/>
  <c r="N2117" i="2"/>
  <c r="M2114" i="2"/>
  <c r="L2101" i="2"/>
  <c r="P2474" i="2"/>
  <c r="O2468" i="2"/>
  <c r="N2464" i="2"/>
  <c r="M2461" i="2"/>
  <c r="L2456" i="2"/>
  <c r="K2449" i="2"/>
  <c r="J2446" i="2"/>
  <c r="P2435" i="2"/>
  <c r="O2429" i="2"/>
  <c r="N2422" i="2"/>
  <c r="M2418" i="2"/>
  <c r="L2415" i="2"/>
  <c r="K2319" i="2"/>
  <c r="J2316" i="2"/>
  <c r="P2304" i="2"/>
  <c r="O2298" i="2"/>
  <c r="N2294" i="2"/>
  <c r="M2289" i="2"/>
  <c r="L2285" i="2"/>
  <c r="K2281" i="2"/>
  <c r="J2268" i="2"/>
  <c r="P2257" i="2"/>
  <c r="O2254" i="2"/>
  <c r="N2248" i="2"/>
  <c r="M2230" i="2"/>
  <c r="L2226" i="2"/>
  <c r="K2223" i="2"/>
  <c r="J2220" i="2"/>
  <c r="P2213" i="2"/>
  <c r="O2205" i="2"/>
  <c r="N2198" i="2"/>
  <c r="M2194" i="2"/>
  <c r="L2165" i="2"/>
  <c r="K2159" i="2"/>
  <c r="J2152" i="2"/>
  <c r="P2142" i="2"/>
  <c r="O2135" i="2"/>
  <c r="N2121" i="2"/>
  <c r="M2117" i="2"/>
  <c r="L2114" i="2"/>
  <c r="K2101" i="2"/>
  <c r="J2098" i="2"/>
  <c r="J2418" i="2"/>
  <c r="P2281" i="2"/>
  <c r="P2248" i="2"/>
  <c r="N2220" i="2"/>
  <c r="L2205" i="2"/>
  <c r="N2165" i="2"/>
  <c r="L2152" i="2"/>
  <c r="L2142" i="2"/>
  <c r="M2121" i="2"/>
  <c r="O2114" i="2"/>
  <c r="O2098" i="2"/>
  <c r="L2062" i="2"/>
  <c r="J2021" i="2"/>
  <c r="O1983" i="2"/>
  <c r="M1980" i="2"/>
  <c r="K1972" i="2"/>
  <c r="O1965" i="2"/>
  <c r="M1961" i="2"/>
  <c r="K1832" i="2"/>
  <c r="P1813" i="2"/>
  <c r="N1808" i="2"/>
  <c r="L1799" i="2"/>
  <c r="J1794" i="2"/>
  <c r="N1787" i="2"/>
  <c r="L1780" i="2"/>
  <c r="J1756" i="2"/>
  <c r="O1672" i="2"/>
  <c r="M1654" i="2"/>
  <c r="K1651" i="2"/>
  <c r="P1617" i="2"/>
  <c r="M1611" i="2"/>
  <c r="K1577" i="2"/>
  <c r="P1563" i="2"/>
  <c r="N1560" i="2"/>
  <c r="L1555" i="2"/>
  <c r="J1543" i="2"/>
  <c r="O1526" i="2"/>
  <c r="L1426" i="2"/>
  <c r="J1408" i="2"/>
  <c r="O1362" i="2"/>
  <c r="M1357" i="2"/>
  <c r="K1354" i="2"/>
  <c r="P1341" i="2"/>
  <c r="N1323" i="2"/>
  <c r="K1303" i="2"/>
  <c r="P1289" i="2"/>
  <c r="N1284" i="2"/>
  <c r="L1280" i="2"/>
  <c r="J1267" i="2"/>
  <c r="P1209" i="2"/>
  <c r="O1200" i="2"/>
  <c r="N1195" i="2"/>
  <c r="M1192" i="2"/>
  <c r="L1189" i="2"/>
  <c r="K1168" i="2"/>
  <c r="J1164" i="2"/>
  <c r="P1148" i="2"/>
  <c r="O1143" i="2"/>
  <c r="N1127" i="2"/>
  <c r="M1118" i="2"/>
  <c r="L1114" i="2"/>
  <c r="K1105" i="2"/>
  <c r="J1102" i="2"/>
  <c r="P1082" i="2"/>
  <c r="O1073" i="2"/>
  <c r="N1068" i="2"/>
  <c r="M1063" i="2"/>
  <c r="L1058" i="2"/>
  <c r="K1054" i="2"/>
  <c r="J1037" i="2"/>
  <c r="P1010" i="2"/>
  <c r="O1005" i="2"/>
  <c r="N1001" i="2"/>
  <c r="M998" i="2"/>
  <c r="L995" i="2"/>
  <c r="K990" i="2"/>
  <c r="J982" i="2"/>
  <c r="P969" i="2"/>
  <c r="O956" i="2"/>
  <c r="N917" i="2"/>
  <c r="M912" i="2"/>
  <c r="L908" i="2"/>
  <c r="K891" i="2"/>
  <c r="J867" i="2"/>
  <c r="P831" i="2"/>
  <c r="P2319" i="2"/>
  <c r="O2268" i="2"/>
  <c r="K2248" i="2"/>
  <c r="L2220" i="2"/>
  <c r="K2205" i="2"/>
  <c r="K2165" i="2"/>
  <c r="P2147" i="2"/>
  <c r="K2142" i="2"/>
  <c r="K2121" i="2"/>
  <c r="N2114" i="2"/>
  <c r="N2098" i="2"/>
  <c r="K2062" i="2"/>
  <c r="P1989" i="2"/>
  <c r="N1983" i="2"/>
  <c r="L1980" i="2"/>
  <c r="P1968" i="2"/>
  <c r="N1965" i="2"/>
  <c r="L1961" i="2"/>
  <c r="J1832" i="2"/>
  <c r="O1813" i="2"/>
  <c r="M1808" i="2"/>
  <c r="K1799" i="2"/>
  <c r="O1790" i="2"/>
  <c r="M1787" i="2"/>
  <c r="K1780" i="2"/>
  <c r="P1745" i="2"/>
  <c r="N1672" i="2"/>
  <c r="L1654" i="2"/>
  <c r="J1651" i="2"/>
  <c r="N1617" i="2"/>
  <c r="L1611" i="2"/>
  <c r="J1577" i="2"/>
  <c r="O1563" i="2"/>
  <c r="M1560" i="2"/>
  <c r="K1555" i="2"/>
  <c r="P1530" i="2"/>
  <c r="M1526" i="2"/>
  <c r="K1426" i="2"/>
  <c r="P1405" i="2"/>
  <c r="N1362" i="2"/>
  <c r="L1357" i="2"/>
  <c r="J1354" i="2"/>
  <c r="O1341" i="2"/>
  <c r="L1323" i="2"/>
  <c r="J1303" i="2"/>
  <c r="O1289" i="2"/>
  <c r="M1284" i="2"/>
  <c r="K1280" i="2"/>
  <c r="P1234" i="2"/>
  <c r="O1209" i="2"/>
  <c r="N1200" i="2"/>
  <c r="M1195" i="2"/>
  <c r="L1192" i="2"/>
  <c r="K1189" i="2"/>
  <c r="J1168" i="2"/>
  <c r="P1161" i="2"/>
  <c r="O1148" i="2"/>
  <c r="N1143" i="2"/>
  <c r="M1127" i="2"/>
  <c r="L1118" i="2"/>
  <c r="K1114" i="2"/>
  <c r="J1105" i="2"/>
  <c r="P1099" i="2"/>
  <c r="O1082" i="2"/>
  <c r="N1073" i="2"/>
  <c r="M1068" i="2"/>
  <c r="L1063" i="2"/>
  <c r="K1058" i="2"/>
  <c r="J1054" i="2"/>
  <c r="P1033" i="2"/>
  <c r="O1010" i="2"/>
  <c r="N1005" i="2"/>
  <c r="M1001" i="2"/>
  <c r="L998" i="2"/>
  <c r="K995" i="2"/>
  <c r="J990" i="2"/>
  <c r="P973" i="2"/>
  <c r="O969" i="2"/>
  <c r="N956" i="2"/>
  <c r="M917" i="2"/>
  <c r="L912" i="2"/>
  <c r="K908" i="2"/>
  <c r="J891" i="2"/>
  <c r="P862" i="2"/>
  <c r="O831" i="2"/>
  <c r="N827" i="2"/>
  <c r="M789" i="2"/>
  <c r="L784" i="2"/>
  <c r="K781" i="2"/>
  <c r="J776" i="2"/>
  <c r="P763" i="2"/>
  <c r="O759" i="2"/>
  <c r="O2316" i="2"/>
  <c r="L2268" i="2"/>
  <c r="O2230" i="2"/>
  <c r="N2216" i="2"/>
  <c r="P2198" i="2"/>
  <c r="P2159" i="2"/>
  <c r="N2147" i="2"/>
  <c r="J2142" i="2"/>
  <c r="J2121" i="2"/>
  <c r="K2114" i="2"/>
  <c r="M2098" i="2"/>
  <c r="J2062" i="2"/>
  <c r="O1989" i="2"/>
  <c r="M1983" i="2"/>
  <c r="J1980" i="2"/>
  <c r="O1968" i="2"/>
  <c r="M1965" i="2"/>
  <c r="K1961" i="2"/>
  <c r="P1827" i="2"/>
  <c r="N1813" i="2"/>
  <c r="L1808" i="2"/>
  <c r="P1794" i="2"/>
  <c r="N1790" i="2"/>
  <c r="L1787" i="2"/>
  <c r="J1780" i="2"/>
  <c r="O1745" i="2"/>
  <c r="M1672" i="2"/>
  <c r="K1654" i="2"/>
  <c r="O1641" i="2"/>
  <c r="M1617" i="2"/>
  <c r="K1611" i="2"/>
  <c r="P1567" i="2"/>
  <c r="N1563" i="2"/>
  <c r="L1560" i="2"/>
  <c r="J1555" i="2"/>
  <c r="N1530" i="2"/>
  <c r="L1526" i="2"/>
  <c r="J1426" i="2"/>
  <c r="O1405" i="2"/>
  <c r="M1362" i="2"/>
  <c r="K1357" i="2"/>
  <c r="P1347" i="2"/>
  <c r="M1341" i="2"/>
  <c r="K1323" i="2"/>
  <c r="P1293" i="2"/>
  <c r="N1289" i="2"/>
  <c r="L1284" i="2"/>
  <c r="J1280" i="2"/>
  <c r="O1234" i="2"/>
  <c r="N1209" i="2"/>
  <c r="M1200" i="2"/>
  <c r="L1195" i="2"/>
  <c r="K1192" i="2"/>
  <c r="J1189" i="2"/>
  <c r="P1164" i="2"/>
  <c r="O1161" i="2"/>
  <c r="N2313" i="2"/>
  <c r="N2263" i="2"/>
  <c r="J2230" i="2"/>
  <c r="M2216" i="2"/>
  <c r="K2198" i="2"/>
  <c r="O2159" i="2"/>
  <c r="M2147" i="2"/>
  <c r="N2135" i="2"/>
  <c r="P2117" i="2"/>
  <c r="P2101" i="2"/>
  <c r="L2098" i="2"/>
  <c r="P2021" i="2"/>
  <c r="N1989" i="2"/>
  <c r="K1983" i="2"/>
  <c r="P1972" i="2"/>
  <c r="N1968" i="2"/>
  <c r="L1965" i="2"/>
  <c r="J1961" i="2"/>
  <c r="O1827" i="2"/>
  <c r="M1813" i="2"/>
  <c r="J1808" i="2"/>
  <c r="O1794" i="2"/>
  <c r="M1790" i="2"/>
  <c r="K1787" i="2"/>
  <c r="P1756" i="2"/>
  <c r="N1745" i="2"/>
  <c r="L1672" i="2"/>
  <c r="P1651" i="2"/>
  <c r="N1641" i="2"/>
  <c r="L1617" i="2"/>
  <c r="J1611" i="2"/>
  <c r="O1567" i="2"/>
  <c r="M1563" i="2"/>
  <c r="K1560" i="2"/>
  <c r="O1543" i="2"/>
  <c r="M1530" i="2"/>
  <c r="K1526" i="2"/>
  <c r="P1408" i="2"/>
  <c r="N1405" i="2"/>
  <c r="L1362" i="2"/>
  <c r="J1357" i="2"/>
  <c r="N1347" i="2"/>
  <c r="L1341" i="2"/>
  <c r="J1323" i="2"/>
  <c r="O1293" i="2"/>
  <c r="M1289" i="2"/>
  <c r="K1284" i="2"/>
  <c r="P1267" i="2"/>
  <c r="N1234" i="2"/>
  <c r="M2304" i="2"/>
  <c r="K2263" i="2"/>
  <c r="N2226" i="2"/>
  <c r="K2216" i="2"/>
  <c r="J2198" i="2"/>
  <c r="M2159" i="2"/>
  <c r="L2147" i="2"/>
  <c r="L2135" i="2"/>
  <c r="O2117" i="2"/>
  <c r="O2101" i="2"/>
  <c r="K2098" i="2"/>
  <c r="O2021" i="2"/>
  <c r="L1989" i="2"/>
  <c r="J1983" i="2"/>
  <c r="O1972" i="2"/>
  <c r="M1968" i="2"/>
  <c r="K1965" i="2"/>
  <c r="P1832" i="2"/>
  <c r="N1827" i="2"/>
  <c r="K1813" i="2"/>
  <c r="P1799" i="2"/>
  <c r="N1794" i="2"/>
  <c r="L1790" i="2"/>
  <c r="J1787" i="2"/>
  <c r="O1756" i="2"/>
  <c r="M1745" i="2"/>
  <c r="J1672" i="2"/>
  <c r="O1651" i="2"/>
  <c r="M1641" i="2"/>
  <c r="K1617" i="2"/>
  <c r="P1577" i="2"/>
  <c r="N1567" i="2"/>
  <c r="L1563" i="2"/>
  <c r="P1555" i="2"/>
  <c r="N1543" i="2"/>
  <c r="L1530" i="2"/>
  <c r="J1526" i="2"/>
  <c r="O1408" i="2"/>
  <c r="M1405" i="2"/>
  <c r="K1362" i="2"/>
  <c r="L2298" i="2"/>
  <c r="M2257" i="2"/>
  <c r="P2223" i="2"/>
  <c r="M2213" i="2"/>
  <c r="O2194" i="2"/>
  <c r="J2159" i="2"/>
  <c r="K2147" i="2"/>
  <c r="K2135" i="2"/>
  <c r="L2117" i="2"/>
  <c r="N2101" i="2"/>
  <c r="P2062" i="2"/>
  <c r="M2021" i="2"/>
  <c r="K1989" i="2"/>
  <c r="P1980" i="2"/>
  <c r="N1972" i="2"/>
  <c r="L1968" i="2"/>
  <c r="J1965" i="2"/>
  <c r="O1832" i="2"/>
  <c r="L1827" i="2"/>
  <c r="J1813" i="2"/>
  <c r="O1799" i="2"/>
  <c r="M1794" i="2"/>
  <c r="K1790" i="2"/>
  <c r="P1780" i="2"/>
  <c r="N1756" i="2"/>
  <c r="K1745" i="2"/>
  <c r="P1654" i="2"/>
  <c r="N1651" i="2"/>
  <c r="L1641" i="2"/>
  <c r="J1617" i="2"/>
  <c r="O1577" i="2"/>
  <c r="M1567" i="2"/>
  <c r="J1563" i="2"/>
  <c r="O1555" i="2"/>
  <c r="M1543" i="2"/>
  <c r="K1530" i="2"/>
  <c r="P1426" i="2"/>
  <c r="N1408" i="2"/>
  <c r="L1405" i="2"/>
  <c r="P1357" i="2"/>
  <c r="N1354" i="2"/>
  <c r="L1347" i="2"/>
  <c r="J1341" i="2"/>
  <c r="O1303" i="2"/>
  <c r="M1293" i="2"/>
  <c r="K1289" i="2"/>
  <c r="O1280" i="2"/>
  <c r="M1267" i="2"/>
  <c r="K2294" i="2"/>
  <c r="J2257" i="2"/>
  <c r="M2223" i="2"/>
  <c r="L2213" i="2"/>
  <c r="J2194" i="2"/>
  <c r="O2152" i="2"/>
  <c r="O2142" i="2"/>
  <c r="J2135" i="2"/>
  <c r="J2117" i="2"/>
  <c r="M2101" i="2"/>
  <c r="N2062" i="2"/>
  <c r="L2021" i="2"/>
  <c r="J1989" i="2"/>
  <c r="O1980" i="2"/>
  <c r="M1972" i="2"/>
  <c r="K1968" i="2"/>
  <c r="P1961" i="2"/>
  <c r="M1832" i="2"/>
  <c r="K1827" i="2"/>
  <c r="P1808" i="2"/>
  <c r="N1799" i="2"/>
  <c r="L1794" i="2"/>
  <c r="J1790" i="2"/>
  <c r="O1780" i="2"/>
  <c r="L1756" i="2"/>
  <c r="J1745" i="2"/>
  <c r="O1654" i="2"/>
  <c r="M1651" i="2"/>
  <c r="K1641" i="2"/>
  <c r="P1611" i="2"/>
  <c r="N1577" i="2"/>
  <c r="K1567" i="2"/>
  <c r="P1560" i="2"/>
  <c r="N1555" i="2"/>
  <c r="L1543" i="2"/>
  <c r="J1530" i="2"/>
  <c r="O1426" i="2"/>
  <c r="M1408" i="2"/>
  <c r="J1405" i="2"/>
  <c r="O1357" i="2"/>
  <c r="M1354" i="2"/>
  <c r="K1347" i="2"/>
  <c r="P1323" i="2"/>
  <c r="N1303" i="2"/>
  <c r="L1293" i="2"/>
  <c r="P1284" i="2"/>
  <c r="N1280" i="2"/>
  <c r="L1267" i="2"/>
  <c r="K1234" i="2"/>
  <c r="J1209" i="2"/>
  <c r="P1195" i="2"/>
  <c r="O1192" i="2"/>
  <c r="N1189" i="2"/>
  <c r="M1168" i="2"/>
  <c r="L1164" i="2"/>
  <c r="K1161" i="2"/>
  <c r="J1148" i="2"/>
  <c r="J2289" i="2"/>
  <c r="L2254" i="2"/>
  <c r="O2220" i="2"/>
  <c r="J2213" i="2"/>
  <c r="P2165" i="2"/>
  <c r="N2152" i="2"/>
  <c r="M2142" i="2"/>
  <c r="P2121" i="2"/>
  <c r="P2114" i="2"/>
  <c r="J2101" i="2"/>
  <c r="M2062" i="2"/>
  <c r="K2021" i="2"/>
  <c r="P1983" i="2"/>
  <c r="N1980" i="2"/>
  <c r="L1972" i="2"/>
  <c r="J1968" i="2"/>
  <c r="N1961" i="2"/>
  <c r="L1832" i="2"/>
  <c r="J1827" i="2"/>
  <c r="O1808" i="2"/>
  <c r="M1799" i="2"/>
  <c r="K1794" i="2"/>
  <c r="P1787" i="2"/>
  <c r="M1780" i="2"/>
  <c r="K1756" i="2"/>
  <c r="P1672" i="2"/>
  <c r="N1654" i="2"/>
  <c r="L1651" i="2"/>
  <c r="J1641" i="2"/>
  <c r="O1611" i="2"/>
  <c r="L1577" i="2"/>
  <c r="J1567" i="2"/>
  <c r="O1560" i="2"/>
  <c r="M1555" i="2"/>
  <c r="K1543" i="2"/>
  <c r="P1526" i="2"/>
  <c r="N1426" i="2"/>
  <c r="K1408" i="2"/>
  <c r="P1362" i="2"/>
  <c r="N1357" i="2"/>
  <c r="L1354" i="2"/>
  <c r="J1347" i="2"/>
  <c r="O1323" i="2"/>
  <c r="M1303" i="2"/>
  <c r="J1293" i="2"/>
  <c r="O1284" i="2"/>
  <c r="M1280" i="2"/>
  <c r="K1267" i="2"/>
  <c r="J1234" i="2"/>
  <c r="P1200" i="2"/>
  <c r="O1195" i="2"/>
  <c r="N1192" i="2"/>
  <c r="M1189" i="2"/>
  <c r="L1168" i="2"/>
  <c r="K1164" i="2"/>
  <c r="O1354" i="2"/>
  <c r="M1234" i="2"/>
  <c r="K1195" i="2"/>
  <c r="N1168" i="2"/>
  <c r="N1148" i="2"/>
  <c r="J1143" i="2"/>
  <c r="N1118" i="2"/>
  <c r="P1105" i="2"/>
  <c r="M1102" i="2"/>
  <c r="J1099" i="2"/>
  <c r="L1073" i="2"/>
  <c r="P1063" i="2"/>
  <c r="M1058" i="2"/>
  <c r="O1037" i="2"/>
  <c r="L1033" i="2"/>
  <c r="P1005" i="2"/>
  <c r="K1001" i="2"/>
  <c r="O995" i="2"/>
  <c r="L990" i="2"/>
  <c r="N973" i="2"/>
  <c r="K969" i="2"/>
  <c r="O917" i="2"/>
  <c r="J912" i="2"/>
  <c r="N891" i="2"/>
  <c r="K867" i="2"/>
  <c r="M831" i="2"/>
  <c r="K827" i="2"/>
  <c r="P784" i="2"/>
  <c r="N781" i="2"/>
  <c r="L776" i="2"/>
  <c r="J767" i="2"/>
  <c r="N759" i="2"/>
  <c r="M746" i="2"/>
  <c r="L741" i="2"/>
  <c r="K736" i="2"/>
  <c r="J730" i="2"/>
  <c r="P716" i="2"/>
  <c r="O712" i="2"/>
  <c r="N704" i="2"/>
  <c r="M701" i="2"/>
  <c r="L692" i="2"/>
  <c r="K660" i="2"/>
  <c r="J651" i="2"/>
  <c r="P630" i="2"/>
  <c r="O624" i="2"/>
  <c r="N605" i="2"/>
  <c r="M594" i="2"/>
  <c r="L583" i="2"/>
  <c r="K575" i="2"/>
  <c r="J561" i="2"/>
  <c r="P545" i="2"/>
  <c r="O535" i="2"/>
  <c r="N532" i="2"/>
  <c r="M529" i="2"/>
  <c r="L511" i="2"/>
  <c r="K499" i="2"/>
  <c r="J492" i="2"/>
  <c r="P464" i="2"/>
  <c r="O455" i="2"/>
  <c r="N451" i="2"/>
  <c r="M448" i="2"/>
  <c r="L445" i="2"/>
  <c r="K438" i="2"/>
  <c r="J428" i="2"/>
  <c r="P407" i="2"/>
  <c r="O389" i="2"/>
  <c r="N323" i="2"/>
  <c r="M300" i="2"/>
  <c r="L289" i="2"/>
  <c r="K281" i="2"/>
  <c r="J215" i="2"/>
  <c r="P153" i="2"/>
  <c r="O145" i="2"/>
  <c r="N142" i="2"/>
  <c r="M134" i="2"/>
  <c r="L103" i="2"/>
  <c r="K92" i="2"/>
  <c r="J85" i="2"/>
  <c r="P73" i="2"/>
  <c r="O66" i="2"/>
  <c r="N60" i="2"/>
  <c r="M53" i="2"/>
  <c r="L42" i="2"/>
  <c r="K39" i="2"/>
  <c r="J11" i="2"/>
  <c r="M1347" i="2"/>
  <c r="L1234" i="2"/>
  <c r="J1195" i="2"/>
  <c r="O1164" i="2"/>
  <c r="M1148" i="2"/>
  <c r="P1127" i="2"/>
  <c r="K1118" i="2"/>
  <c r="O1105" i="2"/>
  <c r="L1102" i="2"/>
  <c r="N1082" i="2"/>
  <c r="K1073" i="2"/>
  <c r="O1063" i="2"/>
  <c r="J1058" i="2"/>
  <c r="N1037" i="2"/>
  <c r="K1033" i="2"/>
  <c r="M1005" i="2"/>
  <c r="J1001" i="2"/>
  <c r="N995" i="2"/>
  <c r="P982" i="2"/>
  <c r="M973" i="2"/>
  <c r="J969" i="2"/>
  <c r="L917" i="2"/>
  <c r="P908" i="2"/>
  <c r="M891" i="2"/>
  <c r="O862" i="2"/>
  <c r="L831" i="2"/>
  <c r="J827" i="2"/>
  <c r="O784" i="2"/>
  <c r="M781" i="2"/>
  <c r="K776" i="2"/>
  <c r="O763" i="2"/>
  <c r="M759" i="2"/>
  <c r="L746" i="2"/>
  <c r="K741" i="2"/>
  <c r="J736" i="2"/>
  <c r="P721" i="2"/>
  <c r="O716" i="2"/>
  <c r="N712" i="2"/>
  <c r="M704" i="2"/>
  <c r="L701" i="2"/>
  <c r="K692" i="2"/>
  <c r="J660" i="2"/>
  <c r="P642" i="2"/>
  <c r="O630" i="2"/>
  <c r="N624" i="2"/>
  <c r="M605" i="2"/>
  <c r="L594" i="2"/>
  <c r="K583" i="2"/>
  <c r="J575" i="2"/>
  <c r="P556" i="2"/>
  <c r="O545" i="2"/>
  <c r="N535" i="2"/>
  <c r="M532" i="2"/>
  <c r="L529" i="2"/>
  <c r="K511" i="2"/>
  <c r="J499" i="2"/>
  <c r="P481" i="2"/>
  <c r="O464" i="2"/>
  <c r="N455" i="2"/>
  <c r="M451" i="2"/>
  <c r="L448" i="2"/>
  <c r="K445" i="2"/>
  <c r="J438" i="2"/>
  <c r="P425" i="2"/>
  <c r="O407" i="2"/>
  <c r="N389" i="2"/>
  <c r="M323" i="2"/>
  <c r="L300" i="2"/>
  <c r="K289" i="2"/>
  <c r="J281" i="2"/>
  <c r="P156" i="2"/>
  <c r="O153" i="2"/>
  <c r="N145" i="2"/>
  <c r="M142" i="2"/>
  <c r="L134" i="2"/>
  <c r="K103" i="2"/>
  <c r="J92" i="2"/>
  <c r="P79" i="2"/>
  <c r="O73" i="2"/>
  <c r="N66" i="2"/>
  <c r="M60" i="2"/>
  <c r="L53" i="2"/>
  <c r="K42" i="2"/>
  <c r="J39" i="2"/>
  <c r="K1341" i="2"/>
  <c r="M1209" i="2"/>
  <c r="P1192" i="2"/>
  <c r="N1164" i="2"/>
  <c r="L1148" i="2"/>
  <c r="O1127" i="2"/>
  <c r="J1118" i="2"/>
  <c r="N1105" i="2"/>
  <c r="K1102" i="2"/>
  <c r="M1082" i="2"/>
  <c r="J1073" i="2"/>
  <c r="N1063" i="2"/>
  <c r="P1054" i="2"/>
  <c r="M1037" i="2"/>
  <c r="J1033" i="2"/>
  <c r="L1005" i="2"/>
  <c r="P998" i="2"/>
  <c r="M995" i="2"/>
  <c r="O982" i="2"/>
  <c r="L973" i="2"/>
  <c r="P956" i="2"/>
  <c r="K917" i="2"/>
  <c r="O908" i="2"/>
  <c r="L891" i="2"/>
  <c r="N862" i="2"/>
  <c r="K831" i="2"/>
  <c r="P789" i="2"/>
  <c r="N784" i="2"/>
  <c r="L781" i="2"/>
  <c r="P767" i="2"/>
  <c r="N763" i="2"/>
  <c r="L759" i="2"/>
  <c r="K746" i="2"/>
  <c r="J741" i="2"/>
  <c r="P730" i="2"/>
  <c r="O721" i="2"/>
  <c r="N716" i="2"/>
  <c r="M712" i="2"/>
  <c r="L704" i="2"/>
  <c r="K701" i="2"/>
  <c r="J692" i="2"/>
  <c r="P651" i="2"/>
  <c r="O642" i="2"/>
  <c r="N630" i="2"/>
  <c r="M624" i="2"/>
  <c r="L605" i="2"/>
  <c r="K594" i="2"/>
  <c r="J583" i="2"/>
  <c r="P561" i="2"/>
  <c r="O556" i="2"/>
  <c r="N545" i="2"/>
  <c r="M535" i="2"/>
  <c r="L532" i="2"/>
  <c r="K529" i="2"/>
  <c r="J511" i="2"/>
  <c r="P492" i="2"/>
  <c r="O481" i="2"/>
  <c r="N464" i="2"/>
  <c r="M455" i="2"/>
  <c r="L451" i="2"/>
  <c r="K448" i="2"/>
  <c r="J445" i="2"/>
  <c r="P428" i="2"/>
  <c r="O425" i="2"/>
  <c r="N407" i="2"/>
  <c r="M389" i="2"/>
  <c r="L323" i="2"/>
  <c r="K300" i="2"/>
  <c r="J289" i="2"/>
  <c r="P215" i="2"/>
  <c r="O156" i="2"/>
  <c r="N153" i="2"/>
  <c r="M145" i="2"/>
  <c r="L142" i="2"/>
  <c r="K134" i="2"/>
  <c r="J103" i="2"/>
  <c r="P85" i="2"/>
  <c r="O79" i="2"/>
  <c r="N73" i="2"/>
  <c r="M66" i="2"/>
  <c r="L60" i="2"/>
  <c r="K53" i="2"/>
  <c r="J42" i="2"/>
  <c r="P1303" i="2"/>
  <c r="L1209" i="2"/>
  <c r="J1192" i="2"/>
  <c r="M1164" i="2"/>
  <c r="K1148" i="2"/>
  <c r="L1127" i="2"/>
  <c r="P1114" i="2"/>
  <c r="M1105" i="2"/>
  <c r="O1099" i="2"/>
  <c r="L1082" i="2"/>
  <c r="P1068" i="2"/>
  <c r="K1063" i="2"/>
  <c r="O1054" i="2"/>
  <c r="L1037" i="2"/>
  <c r="N1010" i="2"/>
  <c r="K1005" i="2"/>
  <c r="O998" i="2"/>
  <c r="J995" i="2"/>
  <c r="N982" i="2"/>
  <c r="K973" i="2"/>
  <c r="M956" i="2"/>
  <c r="J917" i="2"/>
  <c r="N908" i="2"/>
  <c r="P867" i="2"/>
  <c r="M862" i="2"/>
  <c r="J831" i="2"/>
  <c r="O789" i="2"/>
  <c r="M784" i="2"/>
  <c r="J781" i="2"/>
  <c r="O767" i="2"/>
  <c r="M763" i="2"/>
  <c r="K759" i="2"/>
  <c r="J746" i="2"/>
  <c r="P736" i="2"/>
  <c r="O730" i="2"/>
  <c r="N721" i="2"/>
  <c r="M716" i="2"/>
  <c r="L712" i="2"/>
  <c r="K704" i="2"/>
  <c r="J701" i="2"/>
  <c r="P660" i="2"/>
  <c r="O651" i="2"/>
  <c r="N642" i="2"/>
  <c r="M630" i="2"/>
  <c r="L624" i="2"/>
  <c r="K605" i="2"/>
  <c r="J594" i="2"/>
  <c r="P575" i="2"/>
  <c r="O561" i="2"/>
  <c r="N556" i="2"/>
  <c r="M545" i="2"/>
  <c r="L535" i="2"/>
  <c r="K532" i="2"/>
  <c r="J529" i="2"/>
  <c r="P499" i="2"/>
  <c r="O492" i="2"/>
  <c r="N481" i="2"/>
  <c r="M464" i="2"/>
  <c r="L455" i="2"/>
  <c r="K451" i="2"/>
  <c r="J448" i="2"/>
  <c r="P438" i="2"/>
  <c r="O428" i="2"/>
  <c r="N425" i="2"/>
  <c r="M407" i="2"/>
  <c r="L389" i="2"/>
  <c r="K323" i="2"/>
  <c r="J300" i="2"/>
  <c r="P281" i="2"/>
  <c r="O215" i="2"/>
  <c r="N156" i="2"/>
  <c r="M153" i="2"/>
  <c r="L145" i="2"/>
  <c r="K142" i="2"/>
  <c r="J134" i="2"/>
  <c r="P92" i="2"/>
  <c r="O85" i="2"/>
  <c r="N79" i="2"/>
  <c r="M73" i="2"/>
  <c r="L66" i="2"/>
  <c r="K60" i="2"/>
  <c r="J53" i="2"/>
  <c r="P39" i="2"/>
  <c r="O11" i="2"/>
  <c r="N1293" i="2"/>
  <c r="K1209" i="2"/>
  <c r="P1189" i="2"/>
  <c r="N1161" i="2"/>
  <c r="P1143" i="2"/>
  <c r="K1127" i="2"/>
  <c r="O1114" i="2"/>
  <c r="L1105" i="2"/>
  <c r="N1099" i="2"/>
  <c r="K1082" i="2"/>
  <c r="O1068" i="2"/>
  <c r="J1063" i="2"/>
  <c r="N1054" i="2"/>
  <c r="K1037" i="2"/>
  <c r="M1010" i="2"/>
  <c r="J1005" i="2"/>
  <c r="N998" i="2"/>
  <c r="P990" i="2"/>
  <c r="M982" i="2"/>
  <c r="J973" i="2"/>
  <c r="L956" i="2"/>
  <c r="P912" i="2"/>
  <c r="M908" i="2"/>
  <c r="O867" i="2"/>
  <c r="L862" i="2"/>
  <c r="P827" i="2"/>
  <c r="N789" i="2"/>
  <c r="K784" i="2"/>
  <c r="P776" i="2"/>
  <c r="N767" i="2"/>
  <c r="L763" i="2"/>
  <c r="J759" i="2"/>
  <c r="P741" i="2"/>
  <c r="O736" i="2"/>
  <c r="N730" i="2"/>
  <c r="M721" i="2"/>
  <c r="L716" i="2"/>
  <c r="K712" i="2"/>
  <c r="J704" i="2"/>
  <c r="P692" i="2"/>
  <c r="O660" i="2"/>
  <c r="N651" i="2"/>
  <c r="M642" i="2"/>
  <c r="L630" i="2"/>
  <c r="K624" i="2"/>
  <c r="J605" i="2"/>
  <c r="P583" i="2"/>
  <c r="O575" i="2"/>
  <c r="N561" i="2"/>
  <c r="M556" i="2"/>
  <c r="L545" i="2"/>
  <c r="K535" i="2"/>
  <c r="J532" i="2"/>
  <c r="P511" i="2"/>
  <c r="O499" i="2"/>
  <c r="N492" i="2"/>
  <c r="M481" i="2"/>
  <c r="L464" i="2"/>
  <c r="K455" i="2"/>
  <c r="J451" i="2"/>
  <c r="P445" i="2"/>
  <c r="O438" i="2"/>
  <c r="N428" i="2"/>
  <c r="M425" i="2"/>
  <c r="L407" i="2"/>
  <c r="K389" i="2"/>
  <c r="J323" i="2"/>
  <c r="P289" i="2"/>
  <c r="O281" i="2"/>
  <c r="N215" i="2"/>
  <c r="M156" i="2"/>
  <c r="L153" i="2"/>
  <c r="K145" i="2"/>
  <c r="J142" i="2"/>
  <c r="P103" i="2"/>
  <c r="O92" i="2"/>
  <c r="N85" i="2"/>
  <c r="M79" i="2"/>
  <c r="L73" i="2"/>
  <c r="K66" i="2"/>
  <c r="J60" i="2"/>
  <c r="P42" i="2"/>
  <c r="O39" i="2"/>
  <c r="L1289" i="2"/>
  <c r="L1200" i="2"/>
  <c r="O1189" i="2"/>
  <c r="M1161" i="2"/>
  <c r="M1143" i="2"/>
  <c r="J1127" i="2"/>
  <c r="N1114" i="2"/>
  <c r="P1102" i="2"/>
  <c r="M1099" i="2"/>
  <c r="J1082" i="2"/>
  <c r="L1068" i="2"/>
  <c r="P1058" i="2"/>
  <c r="M1054" i="2"/>
  <c r="O1033" i="2"/>
  <c r="L1010" i="2"/>
  <c r="P1001" i="2"/>
  <c r="K998" i="2"/>
  <c r="O990" i="2"/>
  <c r="L982" i="2"/>
  <c r="N969" i="2"/>
  <c r="K956" i="2"/>
  <c r="O912" i="2"/>
  <c r="J908" i="2"/>
  <c r="N867" i="2"/>
  <c r="K862" i="2"/>
  <c r="O827" i="2"/>
  <c r="L789" i="2"/>
  <c r="J784" i="2"/>
  <c r="O776" i="2"/>
  <c r="M767" i="2"/>
  <c r="K763" i="2"/>
  <c r="P746" i="2"/>
  <c r="O741" i="2"/>
  <c r="N736" i="2"/>
  <c r="M730" i="2"/>
  <c r="L721" i="2"/>
  <c r="K716" i="2"/>
  <c r="J712" i="2"/>
  <c r="P701" i="2"/>
  <c r="O692" i="2"/>
  <c r="N660" i="2"/>
  <c r="M651" i="2"/>
  <c r="L642" i="2"/>
  <c r="K630" i="2"/>
  <c r="J624" i="2"/>
  <c r="P594" i="2"/>
  <c r="O583" i="2"/>
  <c r="N575" i="2"/>
  <c r="M561" i="2"/>
  <c r="L556" i="2"/>
  <c r="K545" i="2"/>
  <c r="J535" i="2"/>
  <c r="P529" i="2"/>
  <c r="O511" i="2"/>
  <c r="N499" i="2"/>
  <c r="M492" i="2"/>
  <c r="L481" i="2"/>
  <c r="K464" i="2"/>
  <c r="J455" i="2"/>
  <c r="P448" i="2"/>
  <c r="O445" i="2"/>
  <c r="N438" i="2"/>
  <c r="M428" i="2"/>
  <c r="L425" i="2"/>
  <c r="K407" i="2"/>
  <c r="J389" i="2"/>
  <c r="P300" i="2"/>
  <c r="O289" i="2"/>
  <c r="N281" i="2"/>
  <c r="M215" i="2"/>
  <c r="L156" i="2"/>
  <c r="K153" i="2"/>
  <c r="J145" i="2"/>
  <c r="P134" i="2"/>
  <c r="O103" i="2"/>
  <c r="N92" i="2"/>
  <c r="M85" i="2"/>
  <c r="L79" i="2"/>
  <c r="K73" i="2"/>
  <c r="J66" i="2"/>
  <c r="P53" i="2"/>
  <c r="O42" i="2"/>
  <c r="N39" i="2"/>
  <c r="J1284" i="2"/>
  <c r="K1200" i="2"/>
  <c r="P1168" i="2"/>
  <c r="L1161" i="2"/>
  <c r="L1143" i="2"/>
  <c r="P1118" i="2"/>
  <c r="M1114" i="2"/>
  <c r="O1102" i="2"/>
  <c r="L1099" i="2"/>
  <c r="P1073" i="2"/>
  <c r="K1068" i="2"/>
  <c r="O1058" i="2"/>
  <c r="L1054" i="2"/>
  <c r="N1033" i="2"/>
  <c r="K1010" i="2"/>
  <c r="O1001" i="2"/>
  <c r="J998" i="2"/>
  <c r="N990" i="2"/>
  <c r="K982" i="2"/>
  <c r="M969" i="2"/>
  <c r="J956" i="2"/>
  <c r="N912" i="2"/>
  <c r="P891" i="2"/>
  <c r="M867" i="2"/>
  <c r="J862" i="2"/>
  <c r="M827" i="2"/>
  <c r="K789" i="2"/>
  <c r="P781" i="2"/>
  <c r="N776" i="2"/>
  <c r="L767" i="2"/>
  <c r="J763" i="2"/>
  <c r="O746" i="2"/>
  <c r="N741" i="2"/>
  <c r="M736" i="2"/>
  <c r="L730" i="2"/>
  <c r="K721" i="2"/>
  <c r="J716" i="2"/>
  <c r="P704" i="2"/>
  <c r="O701" i="2"/>
  <c r="N692" i="2"/>
  <c r="M660" i="2"/>
  <c r="L651" i="2"/>
  <c r="K642" i="2"/>
  <c r="J630" i="2"/>
  <c r="P605" i="2"/>
  <c r="O594" i="2"/>
  <c r="N583" i="2"/>
  <c r="M575" i="2"/>
  <c r="L561" i="2"/>
  <c r="K556" i="2"/>
  <c r="J545" i="2"/>
  <c r="P532" i="2"/>
  <c r="O529" i="2"/>
  <c r="N511" i="2"/>
  <c r="M499" i="2"/>
  <c r="L492" i="2"/>
  <c r="K481" i="2"/>
  <c r="J464" i="2"/>
  <c r="P451" i="2"/>
  <c r="O448" i="2"/>
  <c r="N445" i="2"/>
  <c r="M438" i="2"/>
  <c r="L428" i="2"/>
  <c r="K425" i="2"/>
  <c r="J407" i="2"/>
  <c r="P323" i="2"/>
  <c r="O300" i="2"/>
  <c r="N289" i="2"/>
  <c r="M281" i="2"/>
  <c r="L215" i="2"/>
  <c r="K156" i="2"/>
  <c r="J153" i="2"/>
  <c r="P142" i="2"/>
  <c r="O134" i="2"/>
  <c r="N103" i="2"/>
  <c r="M92" i="2"/>
  <c r="L85" i="2"/>
  <c r="K79" i="2"/>
  <c r="J73" i="2"/>
  <c r="P60" i="2"/>
  <c r="O53" i="2"/>
  <c r="N42" i="2"/>
  <c r="M39" i="2"/>
  <c r="N1267" i="2"/>
  <c r="J1200" i="2"/>
  <c r="O1168" i="2"/>
  <c r="J1161" i="2"/>
  <c r="K1143" i="2"/>
  <c r="O1118" i="2"/>
  <c r="J1114" i="2"/>
  <c r="N1102" i="2"/>
  <c r="K1099" i="2"/>
  <c r="M1073" i="2"/>
  <c r="J1068" i="2"/>
  <c r="N1058" i="2"/>
  <c r="P1037" i="2"/>
  <c r="M1033" i="2"/>
  <c r="J1010" i="2"/>
  <c r="L1001" i="2"/>
  <c r="P995" i="2"/>
  <c r="M990" i="2"/>
  <c r="O973" i="2"/>
  <c r="L969" i="2"/>
  <c r="P917" i="2"/>
  <c r="K912" i="2"/>
  <c r="O891" i="2"/>
  <c r="L867" i="2"/>
  <c r="N831" i="2"/>
  <c r="L827" i="2"/>
  <c r="J789" i="2"/>
  <c r="O781" i="2"/>
  <c r="M776" i="2"/>
  <c r="K767" i="2"/>
  <c r="P759" i="2"/>
  <c r="N746" i="2"/>
  <c r="M741" i="2"/>
  <c r="L736" i="2"/>
  <c r="K730" i="2"/>
  <c r="J721" i="2"/>
  <c r="P712" i="2"/>
  <c r="O704" i="2"/>
  <c r="N701" i="2"/>
  <c r="M692" i="2"/>
  <c r="L660" i="2"/>
  <c r="K651" i="2"/>
  <c r="J642" i="2"/>
  <c r="P624" i="2"/>
  <c r="O605" i="2"/>
  <c r="N594" i="2"/>
  <c r="M583" i="2"/>
  <c r="L575" i="2"/>
  <c r="K561" i="2"/>
  <c r="J556" i="2"/>
  <c r="P535" i="2"/>
  <c r="O532" i="2"/>
  <c r="N529" i="2"/>
  <c r="M511" i="2"/>
  <c r="L499" i="2"/>
  <c r="K492" i="2"/>
  <c r="J481" i="2"/>
  <c r="P455" i="2"/>
  <c r="O451" i="2"/>
  <c r="N448" i="2"/>
  <c r="M445" i="2"/>
  <c r="L438" i="2"/>
  <c r="K428" i="2"/>
  <c r="J425" i="2"/>
  <c r="P389" i="2"/>
  <c r="O323" i="2"/>
  <c r="N300" i="2"/>
  <c r="M289" i="2"/>
  <c r="L281" i="2"/>
  <c r="K215" i="2"/>
  <c r="J156" i="2"/>
  <c r="P145" i="2"/>
  <c r="O142" i="2"/>
  <c r="N134" i="2"/>
  <c r="M103" i="2"/>
  <c r="L92" i="2"/>
  <c r="K85" i="2"/>
  <c r="J79" i="2"/>
  <c r="P66" i="2"/>
  <c r="O60" i="2"/>
  <c r="N53" i="2"/>
  <c r="M42" i="2"/>
  <c r="L39" i="2"/>
  <c r="K11" i="2"/>
  <c r="D16" i="4" l="1"/>
  <c r="D15" i="4"/>
  <c r="D17" i="4"/>
  <c r="D14" i="4"/>
  <c r="T736" i="2"/>
  <c r="T912" i="2"/>
  <c r="T1161" i="2"/>
  <c r="T1293" i="2"/>
  <c r="T535" i="2"/>
  <c r="T281" i="2"/>
  <c r="T721" i="2"/>
  <c r="T1567" i="2"/>
  <c r="T1234" i="2"/>
  <c r="T2313" i="2"/>
  <c r="T1563" i="2"/>
  <c r="T1068" i="2"/>
  <c r="T1560" i="2"/>
  <c r="T2281" i="2"/>
  <c r="T2446" i="2"/>
  <c r="T1341" i="2"/>
  <c r="T2257" i="2"/>
  <c r="T2254" i="2"/>
  <c r="T776" i="2"/>
  <c r="T730" i="2"/>
  <c r="T746" i="2"/>
  <c r="T103" i="2"/>
  <c r="T561" i="2"/>
  <c r="T998" i="2"/>
  <c r="T1354" i="2"/>
  <c r="T1347" i="2"/>
  <c r="T1209" i="2"/>
  <c r="T492" i="2"/>
  <c r="T455" i="2"/>
  <c r="T891" i="2"/>
  <c r="T594" i="2"/>
  <c r="T741" i="2"/>
  <c r="T92" i="2"/>
  <c r="T969" i="2"/>
  <c r="T428" i="2"/>
  <c r="T642" i="2"/>
  <c r="T982" i="2"/>
  <c r="T389" i="2"/>
  <c r="T995" i="2"/>
  <c r="T1082" i="2"/>
  <c r="T704" i="2"/>
  <c r="T1118" i="2"/>
  <c r="T1980" i="2"/>
  <c r="T2152" i="2"/>
  <c r="T1280" i="2"/>
  <c r="T1577" i="2"/>
  <c r="T1972" i="2"/>
  <c r="T1968" i="2"/>
  <c r="T2135" i="2"/>
  <c r="T1001" i="2"/>
  <c r="T2464" i="2"/>
  <c r="T2461" i="2"/>
  <c r="T2223" i="2"/>
  <c r="T2316" i="2"/>
  <c r="T2477" i="2"/>
  <c r="T2213" i="2"/>
  <c r="T2205" i="2"/>
  <c r="T789" i="2"/>
  <c r="T1102" i="2"/>
  <c r="T438" i="2"/>
  <c r="T1099" i="2"/>
  <c r="T153" i="2"/>
  <c r="T1105" i="2"/>
  <c r="T60" i="2"/>
  <c r="T1357" i="2"/>
  <c r="T1756" i="2"/>
  <c r="T1745" i="2"/>
  <c r="T2263" i="2"/>
  <c r="T827" i="2"/>
  <c r="T701" i="2"/>
  <c r="T42" i="2"/>
  <c r="T990" i="2"/>
  <c r="T73" i="2"/>
  <c r="T763" i="2"/>
  <c r="T759" i="2"/>
  <c r="T529" i="2"/>
  <c r="T692" i="2"/>
  <c r="T39" i="2"/>
  <c r="T215" i="2"/>
  <c r="T767" i="2"/>
  <c r="T556" i="2"/>
  <c r="T716" i="2"/>
  <c r="T145" i="2"/>
  <c r="T605" i="2"/>
  <c r="T1426" i="2"/>
  <c r="T1408" i="2"/>
  <c r="T1794" i="2"/>
  <c r="T1405" i="2"/>
  <c r="T1790" i="2"/>
  <c r="T2147" i="2"/>
  <c r="T1200" i="2"/>
  <c r="T1672" i="2"/>
  <c r="T2098" i="2"/>
  <c r="T917" i="2"/>
  <c r="T1787" i="2"/>
  <c r="T2422" i="2"/>
  <c r="T2418" i="2"/>
  <c r="T2159" i="2"/>
  <c r="T2268" i="2"/>
  <c r="T2439" i="2"/>
  <c r="T2142" i="2"/>
  <c r="T583" i="2"/>
  <c r="T481" i="2"/>
  <c r="T630" i="2"/>
  <c r="T784" i="2"/>
  <c r="T1063" i="2"/>
  <c r="T1164" i="2"/>
  <c r="T66" i="2"/>
  <c r="T532" i="2"/>
  <c r="T781" i="2"/>
  <c r="T1148" i="2"/>
  <c r="T1192" i="2"/>
  <c r="T1189" i="2"/>
  <c r="T1799" i="2"/>
  <c r="T1289" i="2"/>
  <c r="T1143" i="2"/>
  <c r="T2114" i="2"/>
  <c r="T1284" i="2"/>
  <c r="T2294" i="2"/>
  <c r="T2289" i="2"/>
  <c r="T2021" i="2"/>
  <c r="T660" i="2"/>
  <c r="T545" i="2"/>
  <c r="T451" i="2"/>
  <c r="T973" i="2"/>
  <c r="T1168" i="2"/>
  <c r="T1654" i="2"/>
  <c r="T1303" i="2"/>
  <c r="T1651" i="2"/>
  <c r="T1641" i="2"/>
  <c r="T1989" i="2"/>
  <c r="T1073" i="2"/>
  <c r="T1965" i="2"/>
  <c r="T2165" i="2"/>
  <c r="T2248" i="2"/>
  <c r="T2230" i="2"/>
  <c r="T2456" i="2"/>
  <c r="T1832" i="2"/>
  <c r="T448" i="2"/>
  <c r="T300" i="2"/>
  <c r="T1813" i="2"/>
  <c r="T2216" i="2"/>
  <c r="T1005" i="2"/>
  <c r="T1362" i="2"/>
  <c r="T1808" i="2"/>
  <c r="T2198" i="2"/>
  <c r="T2194" i="2"/>
  <c r="T2415" i="2"/>
  <c r="T1780" i="2"/>
  <c r="T2474" i="2"/>
  <c r="T2468" i="2"/>
  <c r="T575" i="2"/>
  <c r="T867" i="2"/>
  <c r="T156" i="2"/>
  <c r="T908" i="2"/>
  <c r="T1010" i="2"/>
  <c r="T464" i="2"/>
  <c r="T712" i="2"/>
  <c r="T1037" i="2"/>
  <c r="T323" i="2"/>
  <c r="T2062" i="2"/>
  <c r="T1543" i="2"/>
  <c r="T1827" i="2"/>
  <c r="T2226" i="2"/>
  <c r="T1530" i="2"/>
  <c r="T53" i="2"/>
  <c r="T831" i="2"/>
  <c r="T1267" i="2"/>
  <c r="T289" i="2"/>
  <c r="T499" i="2"/>
  <c r="T1114" i="2"/>
  <c r="T651" i="2"/>
  <c r="T79" i="2"/>
  <c r="T407" i="2"/>
  <c r="T862" i="2"/>
  <c r="T624" i="2"/>
  <c r="T142" i="2"/>
  <c r="T1961" i="2"/>
  <c r="T1555" i="2"/>
  <c r="T2101" i="2"/>
  <c r="T956" i="2"/>
  <c r="T1195" i="2"/>
  <c r="T1323" i="2"/>
  <c r="T2220" i="2"/>
  <c r="T2121" i="2"/>
  <c r="T2117" i="2"/>
  <c r="T2285" i="2"/>
  <c r="T2449" i="2"/>
  <c r="T1611" i="2"/>
  <c r="T2435" i="2"/>
  <c r="T2429" i="2"/>
  <c r="T1058" i="2"/>
  <c r="T85" i="2"/>
  <c r="T1054" i="2"/>
  <c r="T511" i="2"/>
  <c r="T1033" i="2"/>
  <c r="T425" i="2"/>
  <c r="T445" i="2"/>
  <c r="T1617" i="2"/>
  <c r="T1983" i="2"/>
  <c r="T1127" i="2"/>
  <c r="T2319" i="2"/>
  <c r="T1526" i="2"/>
  <c r="T2304" i="2"/>
  <c r="T2298" i="2"/>
  <c r="T134" i="2"/>
  <c r="C17" i="4"/>
  <c r="AD3832" i="3"/>
  <c r="AD3712" i="3"/>
  <c r="AD3600" i="3"/>
  <c r="AD3488" i="3"/>
  <c r="AD3760" i="3"/>
  <c r="AD3648" i="3"/>
  <c r="AD3536" i="3"/>
  <c r="AD3663" i="3"/>
  <c r="AD3752" i="3"/>
  <c r="AD3640" i="3"/>
  <c r="AD3528" i="3"/>
  <c r="AD3607" i="3"/>
  <c r="AD3840" i="3"/>
  <c r="AD3800" i="3"/>
  <c r="AD3768" i="3"/>
  <c r="AD3704" i="3"/>
  <c r="AD3664" i="3"/>
  <c r="AD3608" i="3"/>
  <c r="AD3576" i="3"/>
  <c r="AD3512" i="3"/>
  <c r="AD3815" i="3"/>
  <c r="AD3783" i="3"/>
  <c r="AD3751" i="3"/>
  <c r="AD3711" i="3"/>
  <c r="AD3687" i="3"/>
  <c r="AD3647" i="3"/>
  <c r="AD3599" i="3"/>
  <c r="AD3567" i="3"/>
  <c r="AD3535" i="3"/>
  <c r="AD3495" i="3"/>
  <c r="AD3744" i="3"/>
  <c r="AD3656" i="3"/>
  <c r="AD3544" i="3"/>
  <c r="AD3847" i="3"/>
  <c r="AD3743" i="3"/>
  <c r="AD3623" i="3"/>
  <c r="AD3527" i="3"/>
  <c r="AD3848" i="3"/>
  <c r="AD3808" i="3"/>
  <c r="AD3776" i="3"/>
  <c r="AD3720" i="3"/>
  <c r="AD3680" i="3"/>
  <c r="AD3616" i="3"/>
  <c r="AD3568" i="3"/>
  <c r="AD3496" i="3"/>
  <c r="AD3480" i="3"/>
  <c r="AD3831" i="3"/>
  <c r="AD3799" i="3"/>
  <c r="AD3767" i="3"/>
  <c r="AD3727" i="3"/>
  <c r="AD3679" i="3"/>
  <c r="AD3639" i="3"/>
  <c r="AD3591" i="3"/>
  <c r="AD3551" i="3"/>
  <c r="AD3503" i="3"/>
  <c r="AD3824" i="3"/>
  <c r="AD3784" i="3"/>
  <c r="AD3736" i="3"/>
  <c r="AD3696" i="3"/>
  <c r="AD3672" i="3"/>
  <c r="AD3624" i="3"/>
  <c r="AD3584" i="3"/>
  <c r="AD3560" i="3"/>
  <c r="AD3520" i="3"/>
  <c r="AD3839" i="3"/>
  <c r="AD3807" i="3"/>
  <c r="AD3775" i="3"/>
  <c r="AD3735" i="3"/>
  <c r="AD3703" i="3"/>
  <c r="AD3671" i="3"/>
  <c r="AD3631" i="3"/>
  <c r="AD3583" i="3"/>
  <c r="AD3559" i="3"/>
  <c r="AD3519" i="3"/>
  <c r="AD3487" i="3"/>
  <c r="AD3816" i="3"/>
  <c r="AD3792" i="3"/>
  <c r="AD3728" i="3"/>
  <c r="AD3688" i="3"/>
  <c r="AD3632" i="3"/>
  <c r="AD3592" i="3"/>
  <c r="AD3552" i="3"/>
  <c r="AD3504" i="3"/>
  <c r="AD3823" i="3"/>
  <c r="AD3791" i="3"/>
  <c r="AD3759" i="3"/>
  <c r="AD3719" i="3"/>
  <c r="AD3695" i="3"/>
  <c r="AD3655" i="3"/>
  <c r="AD3615" i="3"/>
  <c r="AD3575" i="3"/>
  <c r="AD3543" i="3"/>
  <c r="AD3511" i="3"/>
  <c r="AD3479" i="3"/>
  <c r="AD1596" i="3"/>
  <c r="AD1588" i="3"/>
  <c r="AD1580" i="3"/>
  <c r="AD1572" i="3"/>
  <c r="AD1564" i="3"/>
  <c r="AD1556" i="3"/>
  <c r="AD1549" i="3"/>
  <c r="AD1541" i="3"/>
  <c r="AD1533" i="3"/>
  <c r="AD1525" i="3"/>
  <c r="AD1517" i="3"/>
  <c r="AD1509" i="3"/>
  <c r="AD1501" i="3"/>
  <c r="AD1493" i="3"/>
  <c r="AD1485" i="3"/>
  <c r="AD1477" i="3"/>
  <c r="AD1469" i="3"/>
  <c r="AD1461" i="3"/>
  <c r="AD1453" i="3"/>
  <c r="AD1445" i="3"/>
  <c r="AD1437" i="3"/>
  <c r="AD1429" i="3"/>
  <c r="AD1421" i="3"/>
  <c r="AD1413" i="3"/>
  <c r="AD1405" i="3"/>
  <c r="AD1397" i="3"/>
  <c r="AD1389" i="3"/>
  <c r="AD1381" i="3"/>
  <c r="AD1373" i="3"/>
  <c r="AD1365" i="3"/>
  <c r="AD1357" i="3"/>
  <c r="AD1349" i="3"/>
  <c r="AD1337" i="3"/>
  <c r="AD1329" i="3"/>
  <c r="AD1321" i="3"/>
  <c r="AD1080" i="3"/>
  <c r="AD1072" i="3"/>
  <c r="AD1064" i="3"/>
  <c r="AD1056" i="3"/>
  <c r="AD1048" i="3"/>
  <c r="AD1040" i="3"/>
  <c r="AD1032" i="3"/>
  <c r="AD1024" i="3"/>
  <c r="AD1016" i="3"/>
  <c r="AD1008" i="3"/>
  <c r="AD1000" i="3"/>
  <c r="AD992" i="3"/>
  <c r="AD984" i="3"/>
  <c r="AD976" i="3"/>
  <c r="AD968" i="3"/>
  <c r="AD960" i="3"/>
  <c r="AD952" i="3"/>
  <c r="AD944" i="3"/>
  <c r="AD936" i="3"/>
  <c r="AD928" i="3"/>
  <c r="AD919" i="3"/>
  <c r="AD911" i="3"/>
  <c r="AD903" i="3"/>
  <c r="AD895" i="3"/>
  <c r="AD887" i="3"/>
  <c r="AD879" i="3"/>
  <c r="AD871" i="3"/>
  <c r="AD863" i="3"/>
  <c r="AD855" i="3"/>
  <c r="AD847" i="3"/>
  <c r="AD839" i="3"/>
  <c r="AD827" i="3"/>
  <c r="AD819" i="3"/>
  <c r="AD811" i="3"/>
  <c r="AD803" i="3"/>
  <c r="AD795" i="3"/>
  <c r="AD787" i="3"/>
  <c r="AD779" i="3"/>
  <c r="AD771" i="3"/>
  <c r="AD763" i="3"/>
  <c r="AD755" i="3"/>
  <c r="AD747" i="3"/>
  <c r="AD739" i="3"/>
  <c r="AD732" i="3"/>
  <c r="AD724" i="3"/>
  <c r="AD716" i="3"/>
  <c r="AD709" i="3"/>
  <c r="AD701" i="3"/>
  <c r="AD693" i="3"/>
  <c r="AD685" i="3"/>
  <c r="AD677" i="3"/>
  <c r="AD669" i="3"/>
  <c r="AD661" i="3"/>
  <c r="AD653" i="3"/>
  <c r="AD646" i="3"/>
  <c r="AD638" i="3"/>
  <c r="AD634" i="3"/>
  <c r="AD625" i="3"/>
  <c r="AD617" i="3"/>
  <c r="AD610" i="3"/>
  <c r="AD600" i="3"/>
  <c r="AD1595" i="3"/>
  <c r="AD1587" i="3"/>
  <c r="AD1579" i="3"/>
  <c r="AD1571" i="3"/>
  <c r="AD1563" i="3"/>
  <c r="AD1555" i="3"/>
  <c r="AD1548" i="3"/>
  <c r="AD1540" i="3"/>
  <c r="AD1532" i="3"/>
  <c r="AD1524" i="3"/>
  <c r="AD1516" i="3"/>
  <c r="AD1508" i="3"/>
  <c r="AD1500" i="3"/>
  <c r="AD1492" i="3"/>
  <c r="AD1484" i="3"/>
  <c r="AD1476" i="3"/>
  <c r="AD1468" i="3"/>
  <c r="AD1460" i="3"/>
  <c r="AD1452" i="3"/>
  <c r="AD1444" i="3"/>
  <c r="AD1436" i="3"/>
  <c r="AD1428" i="3"/>
  <c r="AD1420" i="3"/>
  <c r="AD1412" i="3"/>
  <c r="AD1404" i="3"/>
  <c r="AD1396" i="3"/>
  <c r="AD1388" i="3"/>
  <c r="AD1380" i="3"/>
  <c r="AD1372" i="3"/>
  <c r="AD1364" i="3"/>
  <c r="AD1356" i="3"/>
  <c r="AD1336" i="3"/>
  <c r="AD1328" i="3"/>
  <c r="AD1079" i="3"/>
  <c r="AD1071" i="3"/>
  <c r="AD1063" i="3"/>
  <c r="AD1055" i="3"/>
  <c r="AD1047" i="3"/>
  <c r="AD1039" i="3"/>
  <c r="AD1031" i="3"/>
  <c r="AD1023" i="3"/>
  <c r="AD1015" i="3"/>
  <c r="AD1007" i="3"/>
  <c r="AD999" i="3"/>
  <c r="AD991" i="3"/>
  <c r="AD983" i="3"/>
  <c r="AD975" i="3"/>
  <c r="AD967" i="3"/>
  <c r="AD959" i="3"/>
  <c r="AD951" i="3"/>
  <c r="AD943" i="3"/>
  <c r="AD935" i="3"/>
  <c r="AD927" i="3"/>
  <c r="AD918" i="3"/>
  <c r="AD910" i="3"/>
  <c r="AD902" i="3"/>
  <c r="AD894" i="3"/>
  <c r="AD886" i="3"/>
  <c r="AD878" i="3"/>
  <c r="AD870" i="3"/>
  <c r="AD862" i="3"/>
  <c r="AD854" i="3"/>
  <c r="AD846" i="3"/>
  <c r="AD838" i="3"/>
  <c r="AD834" i="3"/>
  <c r="AD826" i="3"/>
  <c r="AD818" i="3"/>
  <c r="AD810" i="3"/>
  <c r="AD802" i="3"/>
  <c r="AD794" i="3"/>
  <c r="AD786" i="3"/>
  <c r="AD778" i="3"/>
  <c r="AD770" i="3"/>
  <c r="AD762" i="3"/>
  <c r="AD754" i="3"/>
  <c r="AD746" i="3"/>
  <c r="AD738" i="3"/>
  <c r="AD731" i="3"/>
  <c r="AD723" i="3"/>
  <c r="AD708" i="3"/>
  <c r="AD700" i="3"/>
  <c r="AD692" i="3"/>
  <c r="AD684" i="3"/>
  <c r="AD676" i="3"/>
  <c r="AD668" i="3"/>
  <c r="AD660" i="3"/>
  <c r="AD645" i="3"/>
  <c r="AD633" i="3"/>
  <c r="AD624" i="3"/>
  <c r="AD616" i="3"/>
  <c r="AD609" i="3"/>
  <c r="AD599" i="3"/>
  <c r="AD1602" i="3"/>
  <c r="AD1594" i="3"/>
  <c r="AD1586" i="3"/>
  <c r="AD1578" i="3"/>
  <c r="AD1570" i="3"/>
  <c r="AD1562" i="3"/>
  <c r="AD1554" i="3"/>
  <c r="AD1547" i="3"/>
  <c r="AD1539" i="3"/>
  <c r="AD1531" i="3"/>
  <c r="AD1523" i="3"/>
  <c r="AD1515" i="3"/>
  <c r="AD1507" i="3"/>
  <c r="AD1499" i="3"/>
  <c r="AD1491" i="3"/>
  <c r="AD1483" i="3"/>
  <c r="AD1475" i="3"/>
  <c r="AD1467" i="3"/>
  <c r="AD1459" i="3"/>
  <c r="AD1451" i="3"/>
  <c r="AD1443" i="3"/>
  <c r="AD1435" i="3"/>
  <c r="AD1427" i="3"/>
  <c r="AD1419" i="3"/>
  <c r="AD1411" i="3"/>
  <c r="AD1403" i="3"/>
  <c r="AD1395" i="3"/>
  <c r="AD1387" i="3"/>
  <c r="AD1379" i="3"/>
  <c r="AD1371" i="3"/>
  <c r="AD1363" i="3"/>
  <c r="AD1355" i="3"/>
  <c r="AD1347" i="3"/>
  <c r="AD1335" i="3"/>
  <c r="AD1327" i="3"/>
  <c r="AD1078" i="3"/>
  <c r="AD1070" i="3"/>
  <c r="AD1062" i="3"/>
  <c r="AD1054" i="3"/>
  <c r="AD1046" i="3"/>
  <c r="AD1038" i="3"/>
  <c r="AD1030" i="3"/>
  <c r="AD1022" i="3"/>
  <c r="AD1014" i="3"/>
  <c r="AD1006" i="3"/>
  <c r="AD998" i="3"/>
  <c r="AD990" i="3"/>
  <c r="AD982" i="3"/>
  <c r="AD974" i="3"/>
  <c r="AD966" i="3"/>
  <c r="AD958" i="3"/>
  <c r="AD950" i="3"/>
  <c r="AD942" i="3"/>
  <c r="AD934" i="3"/>
  <c r="AD926" i="3"/>
  <c r="AD917" i="3"/>
  <c r="AD909" i="3"/>
  <c r="AD901" i="3"/>
  <c r="AD893" i="3"/>
  <c r="AD885" i="3"/>
  <c r="AD877" i="3"/>
  <c r="AD869" i="3"/>
  <c r="AD861" i="3"/>
  <c r="AD853" i="3"/>
  <c r="AD845" i="3"/>
  <c r="AD837" i="3"/>
  <c r="V833" i="3"/>
  <c r="AD833" i="3" s="1"/>
  <c r="AD825" i="3"/>
  <c r="AD817" i="3"/>
  <c r="AD809" i="3"/>
  <c r="AD801" i="3"/>
  <c r="AD793" i="3"/>
  <c r="AD785" i="3"/>
  <c r="AD777" i="3"/>
  <c r="AD769" i="3"/>
  <c r="AD761" i="3"/>
  <c r="AD753" i="3"/>
  <c r="AD745" i="3"/>
  <c r="AD737" i="3"/>
  <c r="AD730" i="3"/>
  <c r="AD722" i="3"/>
  <c r="AD715" i="3"/>
  <c r="AD707" i="3"/>
  <c r="AD699" i="3"/>
  <c r="AD691" i="3"/>
  <c r="AD683" i="3"/>
  <c r="AD675" i="3"/>
  <c r="AD667" i="3"/>
  <c r="AD659" i="3"/>
  <c r="AD652" i="3"/>
  <c r="AD644" i="3"/>
  <c r="AD632" i="3"/>
  <c r="AD623" i="3"/>
  <c r="AD608" i="3"/>
  <c r="AD606" i="3"/>
  <c r="AD598" i="3"/>
  <c r="AD3822" i="3"/>
  <c r="AD3790" i="3"/>
  <c r="AD3758" i="3"/>
  <c r="AD3718" i="3"/>
  <c r="AD3686" i="3"/>
  <c r="AD3654" i="3"/>
  <c r="AD3622" i="3"/>
  <c r="AD3590" i="3"/>
  <c r="AD3550" i="3"/>
  <c r="AD3765" i="3"/>
  <c r="AD3661" i="3"/>
  <c r="AD3541" i="3"/>
  <c r="AD1601" i="3"/>
  <c r="AD1593" i="3"/>
  <c r="AD1585" i="3"/>
  <c r="AD1577" i="3"/>
  <c r="AD1569" i="3"/>
  <c r="AD1561" i="3"/>
  <c r="AD1553" i="3"/>
  <c r="AD1546" i="3"/>
  <c r="AD1538" i="3"/>
  <c r="AD1530" i="3"/>
  <c r="AD1522" i="3"/>
  <c r="AD1514" i="3"/>
  <c r="AD1506" i="3"/>
  <c r="AD1498" i="3"/>
  <c r="AD1490" i="3"/>
  <c r="AD1482" i="3"/>
  <c r="AD1474" i="3"/>
  <c r="AD1466" i="3"/>
  <c r="AD1458" i="3"/>
  <c r="AD1450" i="3"/>
  <c r="AD1442" i="3"/>
  <c r="AD1434" i="3"/>
  <c r="AD1426" i="3"/>
  <c r="AD1418" i="3"/>
  <c r="AD1410" i="3"/>
  <c r="AD1402" i="3"/>
  <c r="AD1394" i="3"/>
  <c r="AD1386" i="3"/>
  <c r="AD1378" i="3"/>
  <c r="AD1370" i="3"/>
  <c r="AD1362" i="3"/>
  <c r="AD1354" i="3"/>
  <c r="AD1346" i="3"/>
  <c r="AD1334" i="3"/>
  <c r="AD1326" i="3"/>
  <c r="AD1077" i="3"/>
  <c r="AD1069" i="3"/>
  <c r="AD1061" i="3"/>
  <c r="AD1053" i="3"/>
  <c r="AD1045" i="3"/>
  <c r="AD1037" i="3"/>
  <c r="AD1029" i="3"/>
  <c r="AD1021" i="3"/>
  <c r="AD1013" i="3"/>
  <c r="AD1005" i="3"/>
  <c r="AD997" i="3"/>
  <c r="AD989" i="3"/>
  <c r="AD981" i="3"/>
  <c r="AD973" i="3"/>
  <c r="AD965" i="3"/>
  <c r="AD957" i="3"/>
  <c r="AD949" i="3"/>
  <c r="AD941" i="3"/>
  <c r="AD933" i="3"/>
  <c r="AD925" i="3"/>
  <c r="AD916" i="3"/>
  <c r="AD908" i="3"/>
  <c r="AD900" i="3"/>
  <c r="AD892" i="3"/>
  <c r="AD884" i="3"/>
  <c r="AD876" i="3"/>
  <c r="AD868" i="3"/>
  <c r="AD860" i="3"/>
  <c r="AD852" i="3"/>
  <c r="AD844" i="3"/>
  <c r="AD836" i="3"/>
  <c r="AD832" i="3"/>
  <c r="AD824" i="3"/>
  <c r="AD816" i="3"/>
  <c r="AD808" i="3"/>
  <c r="AD800" i="3"/>
  <c r="AD792" i="3"/>
  <c r="AD784" i="3"/>
  <c r="AD776" i="3"/>
  <c r="AD768" i="3"/>
  <c r="AD760" i="3"/>
  <c r="AD752" i="3"/>
  <c r="AD744" i="3"/>
  <c r="AD736" i="3"/>
  <c r="AD729" i="3"/>
  <c r="AD721" i="3"/>
  <c r="AD714" i="3"/>
  <c r="AD706" i="3"/>
  <c r="AD698" i="3"/>
  <c r="AD690" i="3"/>
  <c r="AD682" i="3"/>
  <c r="AD674" i="3"/>
  <c r="AD666" i="3"/>
  <c r="AD658" i="3"/>
  <c r="AD651" i="3"/>
  <c r="AD643" i="3"/>
  <c r="AD631" i="3"/>
  <c r="AD622" i="3"/>
  <c r="AD615" i="3"/>
  <c r="AD607" i="3"/>
  <c r="AD605" i="3"/>
  <c r="AD597" i="3"/>
  <c r="AD3726" i="3"/>
  <c r="AD3837" i="3"/>
  <c r="AD3805" i="3"/>
  <c r="AD3781" i="3"/>
  <c r="AD3733" i="3"/>
  <c r="AD3701" i="3"/>
  <c r="AD3669" i="3"/>
  <c r="AD3629" i="3"/>
  <c r="AD3597" i="3"/>
  <c r="AD3565" i="3"/>
  <c r="AD3525" i="3"/>
  <c r="AD3477" i="3"/>
  <c r="AD3844" i="3"/>
  <c r="AD3836" i="3"/>
  <c r="AD3828" i="3"/>
  <c r="AD3820" i="3"/>
  <c r="AD3812" i="3"/>
  <c r="AD3804" i="3"/>
  <c r="AD3796" i="3"/>
  <c r="AD3788" i="3"/>
  <c r="AD3780" i="3"/>
  <c r="AD3772" i="3"/>
  <c r="AD3764" i="3"/>
  <c r="AD3756" i="3"/>
  <c r="AD3748" i="3"/>
  <c r="AD3740" i="3"/>
  <c r="AD3732" i="3"/>
  <c r="AD3724" i="3"/>
  <c r="AD3716" i="3"/>
  <c r="AD3708" i="3"/>
  <c r="AD3700" i="3"/>
  <c r="AD3692" i="3"/>
  <c r="AD3684" i="3"/>
  <c r="AD3676" i="3"/>
  <c r="AD3668" i="3"/>
  <c r="AD3660" i="3"/>
  <c r="AD3652" i="3"/>
  <c r="AD3644" i="3"/>
  <c r="AD3636" i="3"/>
  <c r="AD3628" i="3"/>
  <c r="AD3620" i="3"/>
  <c r="AD3612" i="3"/>
  <c r="AD3604" i="3"/>
  <c r="AD3596" i="3"/>
  <c r="AD3588" i="3"/>
  <c r="AD3580" i="3"/>
  <c r="AD3572" i="3"/>
  <c r="AD3564" i="3"/>
  <c r="AD3556" i="3"/>
  <c r="AD3548" i="3"/>
  <c r="AD3540" i="3"/>
  <c r="AD3532" i="3"/>
  <c r="AD3524" i="3"/>
  <c r="AD3516" i="3"/>
  <c r="AD3508" i="3"/>
  <c r="AD3500" i="3"/>
  <c r="AD3492" i="3"/>
  <c r="AD3484" i="3"/>
  <c r="AD3476" i="3"/>
  <c r="AD1600" i="3"/>
  <c r="AD1592" i="3"/>
  <c r="AD1584" i="3"/>
  <c r="AD1576" i="3"/>
  <c r="AD1568" i="3"/>
  <c r="AD1560" i="3"/>
  <c r="AD1552" i="3"/>
  <c r="AD1545" i="3"/>
  <c r="AD1537" i="3"/>
  <c r="AD1529" i="3"/>
  <c r="AD1521" i="3"/>
  <c r="AD1513" i="3"/>
  <c r="AD1505" i="3"/>
  <c r="AD1497" i="3"/>
  <c r="AD1489" i="3"/>
  <c r="AD1481" i="3"/>
  <c r="AD1473" i="3"/>
  <c r="AD1465" i="3"/>
  <c r="AD1457" i="3"/>
  <c r="AD1449" i="3"/>
  <c r="AD1441" i="3"/>
  <c r="AD1433" i="3"/>
  <c r="AD1425" i="3"/>
  <c r="AD1417" i="3"/>
  <c r="AD1409" i="3"/>
  <c r="AD1401" i="3"/>
  <c r="AD1393" i="3"/>
  <c r="AD1385" i="3"/>
  <c r="AD1377" i="3"/>
  <c r="AD1369" i="3"/>
  <c r="AD1361" i="3"/>
  <c r="AD1353" i="3"/>
  <c r="AD1344" i="3"/>
  <c r="AD1333" i="3"/>
  <c r="AD1325" i="3"/>
  <c r="AD1076" i="3"/>
  <c r="AD1068" i="3"/>
  <c r="AD1060" i="3"/>
  <c r="AD1052" i="3"/>
  <c r="V1044" i="3"/>
  <c r="AD1044" i="3" s="1"/>
  <c r="AD1036" i="3"/>
  <c r="AD1028" i="3"/>
  <c r="AD1020" i="3"/>
  <c r="AD1012" i="3"/>
  <c r="AD1004" i="3"/>
  <c r="AD996" i="3"/>
  <c r="AD988" i="3"/>
  <c r="AD980" i="3"/>
  <c r="AD972" i="3"/>
  <c r="AD964" i="3"/>
  <c r="AD956" i="3"/>
  <c r="AD948" i="3"/>
  <c r="AD940" i="3"/>
  <c r="AD932" i="3"/>
  <c r="AD924" i="3"/>
  <c r="AD915" i="3"/>
  <c r="AD907" i="3"/>
  <c r="AD899" i="3"/>
  <c r="AD891" i="3"/>
  <c r="AD883" i="3"/>
  <c r="AD875" i="3"/>
  <c r="AD867" i="3"/>
  <c r="AD859" i="3"/>
  <c r="AD851" i="3"/>
  <c r="AD843" i="3"/>
  <c r="AD835" i="3"/>
  <c r="AD831" i="3"/>
  <c r="AD823" i="3"/>
  <c r="AD815" i="3"/>
  <c r="AD807" i="3"/>
  <c r="AD799" i="3"/>
  <c r="AD791" i="3"/>
  <c r="AD783" i="3"/>
  <c r="AD775" i="3"/>
  <c r="AD767" i="3"/>
  <c r="AD759" i="3"/>
  <c r="AD751" i="3"/>
  <c r="AD743" i="3"/>
  <c r="AD735" i="3"/>
  <c r="AD728" i="3"/>
  <c r="AD720" i="3"/>
  <c r="AD713" i="3"/>
  <c r="AD705" i="3"/>
  <c r="AD697" i="3"/>
  <c r="AD689" i="3"/>
  <c r="AD681" i="3"/>
  <c r="AD673" i="3"/>
  <c r="AD665" i="3"/>
  <c r="AD657" i="3"/>
  <c r="AD650" i="3"/>
  <c r="AD642" i="3"/>
  <c r="AD630" i="3"/>
  <c r="AD621" i="3"/>
  <c r="AD614" i="3"/>
  <c r="AD604" i="3"/>
  <c r="AD596" i="3"/>
  <c r="AD3830" i="3"/>
  <c r="AD3798" i="3"/>
  <c r="AD3766" i="3"/>
  <c r="AD3734" i="3"/>
  <c r="AD3694" i="3"/>
  <c r="AD3662" i="3"/>
  <c r="AD3630" i="3"/>
  <c r="AD3598" i="3"/>
  <c r="AD3566" i="3"/>
  <c r="AD3534" i="3"/>
  <c r="AD3821" i="3"/>
  <c r="AD3797" i="3"/>
  <c r="AD3757" i="3"/>
  <c r="AD3725" i="3"/>
  <c r="AD3693" i="3"/>
  <c r="AD3653" i="3"/>
  <c r="AD3621" i="3"/>
  <c r="AD3589" i="3"/>
  <c r="AD3557" i="3"/>
  <c r="AD3517" i="3"/>
  <c r="AD3493" i="3"/>
  <c r="AD3843" i="3"/>
  <c r="AD3835" i="3"/>
  <c r="AD3827" i="3"/>
  <c r="AD3819" i="3"/>
  <c r="AD3811" i="3"/>
  <c r="AD3803" i="3"/>
  <c r="AD3795" i="3"/>
  <c r="AD3787" i="3"/>
  <c r="AD3779" i="3"/>
  <c r="AD3771" i="3"/>
  <c r="AD3763" i="3"/>
  <c r="AD3755" i="3"/>
  <c r="AD3747" i="3"/>
  <c r="AD3739" i="3"/>
  <c r="AD3731" i="3"/>
  <c r="AD3723" i="3"/>
  <c r="AD3715" i="3"/>
  <c r="AD3707" i="3"/>
  <c r="AD3699" i="3"/>
  <c r="AD3691" i="3"/>
  <c r="AD3683" i="3"/>
  <c r="AD3675" i="3"/>
  <c r="AD3667" i="3"/>
  <c r="AD3659" i="3"/>
  <c r="AD3651" i="3"/>
  <c r="AD3643" i="3"/>
  <c r="AD3635" i="3"/>
  <c r="AD3627" i="3"/>
  <c r="AD3619" i="3"/>
  <c r="AD3611" i="3"/>
  <c r="AD3603" i="3"/>
  <c r="AD3595" i="3"/>
  <c r="AD3587" i="3"/>
  <c r="AD3579" i="3"/>
  <c r="AD3571" i="3"/>
  <c r="AD3563" i="3"/>
  <c r="AD3555" i="3"/>
  <c r="AD3547" i="3"/>
  <c r="AD3539" i="3"/>
  <c r="AD3531" i="3"/>
  <c r="AD3523" i="3"/>
  <c r="AD3515" i="3"/>
  <c r="AD3507" i="3"/>
  <c r="AD3499" i="3"/>
  <c r="AD3491" i="3"/>
  <c r="AD3483" i="3"/>
  <c r="AD3475" i="3"/>
  <c r="AD1599" i="3"/>
  <c r="AD1591" i="3"/>
  <c r="AD1583" i="3"/>
  <c r="AD1575" i="3"/>
  <c r="AD1567" i="3"/>
  <c r="AD1559" i="3"/>
  <c r="AD1544" i="3"/>
  <c r="AD1536" i="3"/>
  <c r="AD1528" i="3"/>
  <c r="AD1520" i="3"/>
  <c r="AD1512" i="3"/>
  <c r="AD1504" i="3"/>
  <c r="AD1496" i="3"/>
  <c r="AD1488" i="3"/>
  <c r="AD1480" i="3"/>
  <c r="AD1472" i="3"/>
  <c r="AD1464" i="3"/>
  <c r="AD1456" i="3"/>
  <c r="AD1448" i="3"/>
  <c r="AD1440" i="3"/>
  <c r="AD1432" i="3"/>
  <c r="AD1424" i="3"/>
  <c r="AD1416" i="3"/>
  <c r="AD1408" i="3"/>
  <c r="AD1400" i="3"/>
  <c r="AD1392" i="3"/>
  <c r="AD1384" i="3"/>
  <c r="AD1376" i="3"/>
  <c r="AD1368" i="3"/>
  <c r="AD1360" i="3"/>
  <c r="AD1352" i="3"/>
  <c r="AD1340" i="3"/>
  <c r="AD1332" i="3"/>
  <c r="AD1324" i="3"/>
  <c r="AD1075" i="3"/>
  <c r="AD1067" i="3"/>
  <c r="AD1059" i="3"/>
  <c r="AD1051" i="3"/>
  <c r="AD1043" i="3"/>
  <c r="AD1035" i="3"/>
  <c r="AD1027" i="3"/>
  <c r="AD1019" i="3"/>
  <c r="AD1011" i="3"/>
  <c r="AD1003" i="3"/>
  <c r="AD995" i="3"/>
  <c r="AD987" i="3"/>
  <c r="AD979" i="3"/>
  <c r="AD971" i="3"/>
  <c r="AD963" i="3"/>
  <c r="AD955" i="3"/>
  <c r="AD947" i="3"/>
  <c r="AD939" i="3"/>
  <c r="AD931" i="3"/>
  <c r="AD922" i="3"/>
  <c r="AD914" i="3"/>
  <c r="AD906" i="3"/>
  <c r="AD898" i="3"/>
  <c r="AD890" i="3"/>
  <c r="AD882" i="3"/>
  <c r="AD874" i="3"/>
  <c r="AD866" i="3"/>
  <c r="AD858" i="3"/>
  <c r="AD850" i="3"/>
  <c r="AD842" i="3"/>
  <c r="AD830" i="3"/>
  <c r="AD822" i="3"/>
  <c r="AD814" i="3"/>
  <c r="AD806" i="3"/>
  <c r="AD798" i="3"/>
  <c r="AD790" i="3"/>
  <c r="AD782" i="3"/>
  <c r="AD774" i="3"/>
  <c r="AD766" i="3"/>
  <c r="AD758" i="3"/>
  <c r="AD750" i="3"/>
  <c r="AD742" i="3"/>
  <c r="AD727" i="3"/>
  <c r="AD719" i="3"/>
  <c r="AD712" i="3"/>
  <c r="AD704" i="3"/>
  <c r="AD696" i="3"/>
  <c r="AD688" i="3"/>
  <c r="AD680" i="3"/>
  <c r="AD672" i="3"/>
  <c r="AD664" i="3"/>
  <c r="AD656" i="3"/>
  <c r="AD649" i="3"/>
  <c r="AD641" i="3"/>
  <c r="AD629" i="3"/>
  <c r="AD620" i="3"/>
  <c r="AD613" i="3"/>
  <c r="AD603" i="3"/>
  <c r="AD595" i="3"/>
  <c r="AD3846" i="3"/>
  <c r="AD3814" i="3"/>
  <c r="AD3782" i="3"/>
  <c r="AD3750" i="3"/>
  <c r="AD3710" i="3"/>
  <c r="AD3678" i="3"/>
  <c r="AD3638" i="3"/>
  <c r="AD3606" i="3"/>
  <c r="AD3574" i="3"/>
  <c r="AD3542" i="3"/>
  <c r="AD3518" i="3"/>
  <c r="AD3478" i="3"/>
  <c r="AD3845" i="3"/>
  <c r="AD3813" i="3"/>
  <c r="AD3789" i="3"/>
  <c r="AD3749" i="3"/>
  <c r="AD3717" i="3"/>
  <c r="AD3685" i="3"/>
  <c r="AD3645" i="3"/>
  <c r="AD3613" i="3"/>
  <c r="AD3581" i="3"/>
  <c r="AD3549" i="3"/>
  <c r="AD3509" i="3"/>
  <c r="AD3485" i="3"/>
  <c r="AD3842" i="3"/>
  <c r="AD3834" i="3"/>
  <c r="AD3826" i="3"/>
  <c r="AD3818" i="3"/>
  <c r="AD3810" i="3"/>
  <c r="AD3802" i="3"/>
  <c r="AD3794" i="3"/>
  <c r="AD3786" i="3"/>
  <c r="AD3778" i="3"/>
  <c r="AD3770" i="3"/>
  <c r="AD3762" i="3"/>
  <c r="AD3754" i="3"/>
  <c r="AD3746" i="3"/>
  <c r="AD3738" i="3"/>
  <c r="AD3730" i="3"/>
  <c r="AD3722" i="3"/>
  <c r="AD3714" i="3"/>
  <c r="AD3706" i="3"/>
  <c r="AD3698" i="3"/>
  <c r="AD3690" i="3"/>
  <c r="AD3682" i="3"/>
  <c r="AD3674" i="3"/>
  <c r="AD3666" i="3"/>
  <c r="AD3658" i="3"/>
  <c r="AD3650" i="3"/>
  <c r="AD3642" i="3"/>
  <c r="AD3634" i="3"/>
  <c r="AD3626" i="3"/>
  <c r="AD3618" i="3"/>
  <c r="AD3610" i="3"/>
  <c r="AD3602" i="3"/>
  <c r="AD3594" i="3"/>
  <c r="AD3586" i="3"/>
  <c r="AD3578" i="3"/>
  <c r="AD3570" i="3"/>
  <c r="AD3562" i="3"/>
  <c r="AD3554" i="3"/>
  <c r="AD3546" i="3"/>
  <c r="AD3538" i="3"/>
  <c r="AD3530" i="3"/>
  <c r="AD3522" i="3"/>
  <c r="AD3514" i="3"/>
  <c r="AD3506" i="3"/>
  <c r="AD3498" i="3"/>
  <c r="AD3490" i="3"/>
  <c r="AD3482" i="3"/>
  <c r="AD1598" i="3"/>
  <c r="AD1590" i="3"/>
  <c r="AD1582" i="3"/>
  <c r="AD1574" i="3"/>
  <c r="AD1566" i="3"/>
  <c r="AD1558" i="3"/>
  <c r="AD1551" i="3"/>
  <c r="AD1543" i="3"/>
  <c r="AD1535" i="3"/>
  <c r="AD1527" i="3"/>
  <c r="AD1519" i="3"/>
  <c r="AD1511" i="3"/>
  <c r="AD1503" i="3"/>
  <c r="AD1495" i="3"/>
  <c r="AD1487" i="3"/>
  <c r="AD1479" i="3"/>
  <c r="AD1471" i="3"/>
  <c r="AD1463" i="3"/>
  <c r="AD1455" i="3"/>
  <c r="AD1447" i="3"/>
  <c r="AD1439" i="3"/>
  <c r="AD1431" i="3"/>
  <c r="AD1423" i="3"/>
  <c r="AD1415" i="3"/>
  <c r="AD1407" i="3"/>
  <c r="AD1399" i="3"/>
  <c r="AD1391" i="3"/>
  <c r="AD1383" i="3"/>
  <c r="AD1375" i="3"/>
  <c r="AD1367" i="3"/>
  <c r="AD1359" i="3"/>
  <c r="AD1351" i="3"/>
  <c r="AD1339" i="3"/>
  <c r="AD1331" i="3"/>
  <c r="AD1323" i="3"/>
  <c r="AD1074" i="3"/>
  <c r="AD1066" i="3"/>
  <c r="AD1058" i="3"/>
  <c r="AD1050" i="3"/>
  <c r="AD1042" i="3"/>
  <c r="AD1034" i="3"/>
  <c r="AD1026" i="3"/>
  <c r="AD1018" i="3"/>
  <c r="AD1010" i="3"/>
  <c r="AD1002" i="3"/>
  <c r="AD994" i="3"/>
  <c r="AD986" i="3"/>
  <c r="AD978" i="3"/>
  <c r="AD970" i="3"/>
  <c r="AD962" i="3"/>
  <c r="AD954" i="3"/>
  <c r="AD946" i="3"/>
  <c r="AD938" i="3"/>
  <c r="AD930" i="3"/>
  <c r="AD921" i="3"/>
  <c r="AD913" i="3"/>
  <c r="AD905" i="3"/>
  <c r="AD897" i="3"/>
  <c r="AD889" i="3"/>
  <c r="AD881" i="3"/>
  <c r="AD873" i="3"/>
  <c r="AD865" i="3"/>
  <c r="AD857" i="3"/>
  <c r="AD849" i="3"/>
  <c r="AD841" i="3"/>
  <c r="AD829" i="3"/>
  <c r="AD821" i="3"/>
  <c r="AD813" i="3"/>
  <c r="AD805" i="3"/>
  <c r="AD797" i="3"/>
  <c r="AD789" i="3"/>
  <c r="AD781" i="3"/>
  <c r="AD773" i="3"/>
  <c r="AD765" i="3"/>
  <c r="AD757" i="3"/>
  <c r="AD749" i="3"/>
  <c r="AD741" i="3"/>
  <c r="AD734" i="3"/>
  <c r="AD726" i="3"/>
  <c r="AD718" i="3"/>
  <c r="AD711" i="3"/>
  <c r="AD703" i="3"/>
  <c r="AD695" i="3"/>
  <c r="AD687" i="3"/>
  <c r="AD679" i="3"/>
  <c r="AD671" i="3"/>
  <c r="AD663" i="3"/>
  <c r="AD655" i="3"/>
  <c r="AD648" i="3"/>
  <c r="AD640" i="3"/>
  <c r="AD636" i="3"/>
  <c r="AD627" i="3"/>
  <c r="AD619" i="3"/>
  <c r="AD612" i="3"/>
  <c r="AD602" i="3"/>
  <c r="AD594" i="3"/>
  <c r="AD3838" i="3"/>
  <c r="AD3806" i="3"/>
  <c r="AD3774" i="3"/>
  <c r="AD3742" i="3"/>
  <c r="AD3702" i="3"/>
  <c r="AD3670" i="3"/>
  <c r="AD3646" i="3"/>
  <c r="AD3614" i="3"/>
  <c r="AD3582" i="3"/>
  <c r="AD3558" i="3"/>
  <c r="AD3526" i="3"/>
  <c r="AD3510" i="3"/>
  <c r="AD3502" i="3"/>
  <c r="AD3494" i="3"/>
  <c r="AD3486" i="3"/>
  <c r="AD3829" i="3"/>
  <c r="AD3773" i="3"/>
  <c r="AD3741" i="3"/>
  <c r="AD3709" i="3"/>
  <c r="AD3677" i="3"/>
  <c r="AD3637" i="3"/>
  <c r="AD3605" i="3"/>
  <c r="AD3573" i="3"/>
  <c r="AD3533" i="3"/>
  <c r="AD3501" i="3"/>
  <c r="AD3849" i="3"/>
  <c r="AD3841" i="3"/>
  <c r="AD3833" i="3"/>
  <c r="AD3825" i="3"/>
  <c r="AD3817" i="3"/>
  <c r="AD3809" i="3"/>
  <c r="AD3801" i="3"/>
  <c r="AD3793" i="3"/>
  <c r="AD3785" i="3"/>
  <c r="AD3777" i="3"/>
  <c r="AD3769" i="3"/>
  <c r="AD3761" i="3"/>
  <c r="AD3753" i="3"/>
  <c r="AD3745" i="3"/>
  <c r="AD3737" i="3"/>
  <c r="AD3729" i="3"/>
  <c r="AD3721" i="3"/>
  <c r="AD3713" i="3"/>
  <c r="AD3705" i="3"/>
  <c r="AD3697" i="3"/>
  <c r="AD3689" i="3"/>
  <c r="AD3681" i="3"/>
  <c r="AD3673" i="3"/>
  <c r="AD3665" i="3"/>
  <c r="AD3657" i="3"/>
  <c r="AD3649" i="3"/>
  <c r="AD3641" i="3"/>
  <c r="AD3633" i="3"/>
  <c r="AD3625" i="3"/>
  <c r="AD3617" i="3"/>
  <c r="AD3609" i="3"/>
  <c r="AD3601" i="3"/>
  <c r="AD3593" i="3"/>
  <c r="AD3585" i="3"/>
  <c r="AD3577" i="3"/>
  <c r="AD3569" i="3"/>
  <c r="AD3561" i="3"/>
  <c r="AD3553" i="3"/>
  <c r="AD3545" i="3"/>
  <c r="AD3537" i="3"/>
  <c r="AD3529" i="3"/>
  <c r="AD3521" i="3"/>
  <c r="AD3513" i="3"/>
  <c r="AD3505" i="3"/>
  <c r="AD3497" i="3"/>
  <c r="AD3489" i="3"/>
  <c r="AD3481" i="3"/>
  <c r="AD1597" i="3"/>
  <c r="AD1589" i="3"/>
  <c r="AD1581" i="3"/>
  <c r="AD1573" i="3"/>
  <c r="AD1565" i="3"/>
  <c r="AD1557" i="3"/>
  <c r="AD1550" i="3"/>
  <c r="AD1542" i="3"/>
  <c r="AD1534" i="3"/>
  <c r="AD1526" i="3"/>
  <c r="AD1518" i="3"/>
  <c r="AD1510" i="3"/>
  <c r="AD1502" i="3"/>
  <c r="AD1494" i="3"/>
  <c r="AD1486" i="3"/>
  <c r="AD1478" i="3"/>
  <c r="AD1470" i="3"/>
  <c r="AD1462" i="3"/>
  <c r="AD1454" i="3"/>
  <c r="AD1446" i="3"/>
  <c r="AD1438" i="3"/>
  <c r="AD1430" i="3"/>
  <c r="AD1422" i="3"/>
  <c r="AD1414" i="3"/>
  <c r="AD1406" i="3"/>
  <c r="AD1398" i="3"/>
  <c r="AD1390" i="3"/>
  <c r="AD1382" i="3"/>
  <c r="AD1374" i="3"/>
  <c r="AD1366" i="3"/>
  <c r="AD1358" i="3"/>
  <c r="AD1350" i="3"/>
  <c r="AD1338" i="3"/>
  <c r="AD1330" i="3"/>
  <c r="AD1322" i="3"/>
  <c r="AD1081" i="3"/>
  <c r="AD1073" i="3"/>
  <c r="AD1065" i="3"/>
  <c r="AD1057" i="3"/>
  <c r="AD1049" i="3"/>
  <c r="AD1041" i="3"/>
  <c r="AD1033" i="3"/>
  <c r="AD1025" i="3"/>
  <c r="AD1017" i="3"/>
  <c r="AD1009" i="3"/>
  <c r="AD1001" i="3"/>
  <c r="AD993" i="3"/>
  <c r="AD985" i="3"/>
  <c r="AD977" i="3"/>
  <c r="AD969" i="3"/>
  <c r="AD961" i="3"/>
  <c r="AD953" i="3"/>
  <c r="AD945" i="3"/>
  <c r="AD937" i="3"/>
  <c r="AD929" i="3"/>
  <c r="AD920" i="3"/>
  <c r="AD912" i="3"/>
  <c r="AD904" i="3"/>
  <c r="AD896" i="3"/>
  <c r="AD888" i="3"/>
  <c r="AD880" i="3"/>
  <c r="AD872" i="3"/>
  <c r="AD864" i="3"/>
  <c r="AD856" i="3"/>
  <c r="AD848" i="3"/>
  <c r="AD840" i="3"/>
  <c r="AD828" i="3"/>
  <c r="AD820" i="3"/>
  <c r="AD812" i="3"/>
  <c r="AD804" i="3"/>
  <c r="AD796" i="3"/>
  <c r="AD788" i="3"/>
  <c r="AD780" i="3"/>
  <c r="AD772" i="3"/>
  <c r="AD764" i="3"/>
  <c r="AD756" i="3"/>
  <c r="AD748" i="3"/>
  <c r="AD740" i="3"/>
  <c r="AD733" i="3"/>
  <c r="AD725" i="3"/>
  <c r="AD717" i="3"/>
  <c r="AD710" i="3"/>
  <c r="AD702" i="3"/>
  <c r="AD694" i="3"/>
  <c r="AD686" i="3"/>
  <c r="AD678" i="3"/>
  <c r="AD670" i="3"/>
  <c r="AD662" i="3"/>
  <c r="AD654" i="3"/>
  <c r="AD647" i="3"/>
  <c r="AD639" i="3"/>
  <c r="AD635" i="3"/>
  <c r="AD626" i="3"/>
  <c r="AD618" i="3"/>
  <c r="AD611" i="3"/>
  <c r="AD601" i="3"/>
  <c r="S2150" i="8"/>
  <c r="S2149" i="8"/>
  <c r="S2148" i="8"/>
  <c r="S3301" i="8"/>
  <c r="R3301" i="8"/>
  <c r="S3300" i="8"/>
  <c r="R3300" i="8"/>
  <c r="S3299" i="8"/>
  <c r="R3299" i="8"/>
  <c r="S3298" i="8"/>
  <c r="R3298" i="8"/>
  <c r="S3297" i="8"/>
  <c r="R3297" i="8"/>
  <c r="S3296" i="8"/>
  <c r="R3296" i="8"/>
  <c r="S3295" i="8"/>
  <c r="R3295" i="8"/>
  <c r="S3294" i="8"/>
  <c r="R3294" i="8"/>
  <c r="S3293" i="8"/>
  <c r="R3293" i="8"/>
  <c r="S3292" i="8"/>
  <c r="R3292" i="8"/>
  <c r="S3291" i="8"/>
  <c r="R3291" i="8"/>
  <c r="S3290" i="8"/>
  <c r="R3290" i="8"/>
  <c r="S3289" i="8"/>
  <c r="R3289" i="8"/>
  <c r="S3288" i="8"/>
  <c r="R3288" i="8"/>
  <c r="S3287" i="8"/>
  <c r="R3287" i="8"/>
  <c r="S3286" i="8"/>
  <c r="R3286" i="8"/>
  <c r="S3285" i="8"/>
  <c r="R3285" i="8"/>
  <c r="S3284" i="8"/>
  <c r="R3284" i="8"/>
  <c r="S3283" i="8"/>
  <c r="R3283" i="8"/>
  <c r="S3282" i="8"/>
  <c r="R3282" i="8"/>
  <c r="S3281" i="8"/>
  <c r="R3281" i="8"/>
  <c r="S3280" i="8"/>
  <c r="R3280" i="8"/>
  <c r="S3279" i="8"/>
  <c r="R3279" i="8"/>
  <c r="S3278" i="8"/>
  <c r="R3278" i="8"/>
  <c r="S3277" i="8"/>
  <c r="R3277" i="8"/>
  <c r="S3276" i="8"/>
  <c r="R3276" i="8"/>
  <c r="S3275" i="8"/>
  <c r="R3275" i="8"/>
  <c r="S3274" i="8"/>
  <c r="R3274" i="8"/>
  <c r="S3273" i="8"/>
  <c r="R3273" i="8"/>
  <c r="S3272" i="8"/>
  <c r="R3272" i="8"/>
  <c r="S3271" i="8"/>
  <c r="R3271" i="8"/>
  <c r="S3270" i="8"/>
  <c r="R3270" i="8"/>
  <c r="S3269" i="8"/>
  <c r="R3269" i="8"/>
  <c r="S3268" i="8"/>
  <c r="R3268" i="8"/>
  <c r="S3267" i="8"/>
  <c r="R3267" i="8"/>
  <c r="S3266" i="8"/>
  <c r="R3266" i="8"/>
  <c r="S3265" i="8"/>
  <c r="R3265" i="8"/>
  <c r="S3264" i="8"/>
  <c r="R3264" i="8"/>
  <c r="S3263" i="8"/>
  <c r="R3263" i="8"/>
  <c r="S3262" i="8"/>
  <c r="R3262" i="8"/>
  <c r="S3261" i="8"/>
  <c r="R3261" i="8"/>
  <c r="S3260" i="8"/>
  <c r="R3260" i="8"/>
  <c r="S3259" i="8"/>
  <c r="R3259" i="8"/>
  <c r="S3258" i="8"/>
  <c r="R3258" i="8"/>
  <c r="S3257" i="8"/>
  <c r="R3257" i="8"/>
  <c r="S3256" i="8"/>
  <c r="R3256" i="8"/>
  <c r="S3255" i="8"/>
  <c r="R3255" i="8"/>
  <c r="S3254" i="8"/>
  <c r="R3254" i="8"/>
  <c r="S3253" i="8"/>
  <c r="R3253" i="8"/>
  <c r="S3252" i="8"/>
  <c r="R3252" i="8"/>
  <c r="S3251" i="8"/>
  <c r="R3251" i="8"/>
  <c r="S3250" i="8"/>
  <c r="R3250" i="8"/>
  <c r="S3249" i="8"/>
  <c r="R3249" i="8"/>
  <c r="S3248" i="8"/>
  <c r="R3248" i="8"/>
  <c r="S3247" i="8"/>
  <c r="R3247" i="8"/>
  <c r="S3246" i="8"/>
  <c r="R3246" i="8"/>
  <c r="S3245" i="8"/>
  <c r="R3245" i="8"/>
  <c r="S3244" i="8"/>
  <c r="R3244" i="8"/>
  <c r="S3243" i="8"/>
  <c r="R3243" i="8"/>
  <c r="S3242" i="8"/>
  <c r="R3242" i="8"/>
  <c r="S3241" i="8"/>
  <c r="R3241" i="8"/>
  <c r="S3240" i="8"/>
  <c r="R3240" i="8"/>
  <c r="S3239" i="8"/>
  <c r="R3239" i="8"/>
  <c r="S3238" i="8"/>
  <c r="R3238" i="8"/>
  <c r="S3237" i="8"/>
  <c r="R3237" i="8"/>
  <c r="S3236" i="8"/>
  <c r="R3236" i="8"/>
  <c r="S3235" i="8"/>
  <c r="R3235" i="8"/>
  <c r="S3234" i="8"/>
  <c r="R3234" i="8"/>
  <c r="S3233" i="8"/>
  <c r="R3233" i="8"/>
  <c r="S3232" i="8"/>
  <c r="R3232" i="8"/>
  <c r="S3231" i="8"/>
  <c r="R3231" i="8"/>
  <c r="S3230" i="8"/>
  <c r="R3230" i="8"/>
  <c r="S3229" i="8"/>
  <c r="R3229" i="8"/>
  <c r="S3228" i="8"/>
  <c r="R3228" i="8"/>
  <c r="S3227" i="8"/>
  <c r="R3227" i="8"/>
  <c r="S3226" i="8"/>
  <c r="R3226" i="8"/>
  <c r="S3225" i="8"/>
  <c r="R3225" i="8"/>
  <c r="S3224" i="8"/>
  <c r="R3224" i="8"/>
  <c r="S3223" i="8"/>
  <c r="R3223" i="8"/>
  <c r="S3222" i="8"/>
  <c r="R3222" i="8"/>
  <c r="S3221" i="8"/>
  <c r="R3221" i="8"/>
  <c r="S3220" i="8"/>
  <c r="R3220" i="8"/>
  <c r="S3219" i="8"/>
  <c r="R3219" i="8"/>
  <c r="S3218" i="8"/>
  <c r="R3218" i="8"/>
  <c r="S3217" i="8"/>
  <c r="R3217" i="8"/>
  <c r="S3216" i="8"/>
  <c r="R3216" i="8"/>
  <c r="S3215" i="8"/>
  <c r="R3215" i="8"/>
  <c r="S3214" i="8"/>
  <c r="R3214" i="8"/>
  <c r="S3213" i="8"/>
  <c r="R3213" i="8"/>
  <c r="S3212" i="8"/>
  <c r="R3212" i="8"/>
  <c r="S3211" i="8"/>
  <c r="R3211" i="8"/>
  <c r="S3210" i="8"/>
  <c r="R3210" i="8"/>
  <c r="S3209" i="8"/>
  <c r="R3209" i="8"/>
  <c r="S3208" i="8"/>
  <c r="R3208" i="8"/>
  <c r="S3207" i="8"/>
  <c r="R3207" i="8"/>
  <c r="S3206" i="8"/>
  <c r="R3206" i="8"/>
  <c r="S3205" i="8"/>
  <c r="R3205" i="8"/>
  <c r="S3204" i="8"/>
  <c r="R3204" i="8"/>
  <c r="S3203" i="8"/>
  <c r="R3203" i="8"/>
  <c r="S3202" i="8"/>
  <c r="R3202" i="8"/>
  <c r="S3201" i="8"/>
  <c r="R3201" i="8"/>
  <c r="S3200" i="8"/>
  <c r="R3200" i="8"/>
  <c r="S3199" i="8"/>
  <c r="R3199" i="8"/>
  <c r="S3198" i="8"/>
  <c r="R3198" i="8"/>
  <c r="S3197" i="8"/>
  <c r="R3197" i="8"/>
  <c r="S3196" i="8"/>
  <c r="R3196" i="8"/>
  <c r="S3195" i="8"/>
  <c r="R3195" i="8"/>
  <c r="S3194" i="8"/>
  <c r="R3194" i="8"/>
  <c r="S3193" i="8"/>
  <c r="R3193" i="8"/>
  <c r="S3192" i="8"/>
  <c r="R3192" i="8"/>
  <c r="S3191" i="8"/>
  <c r="R3191" i="8"/>
  <c r="S3190" i="8"/>
  <c r="R3190" i="8"/>
  <c r="S3189" i="8"/>
  <c r="R3189" i="8"/>
  <c r="S3188" i="8"/>
  <c r="R3188" i="8"/>
  <c r="S3187" i="8"/>
  <c r="R3187" i="8"/>
  <c r="S3186" i="8"/>
  <c r="R3186" i="8"/>
  <c r="S3185" i="8"/>
  <c r="R3185" i="8"/>
  <c r="S3184" i="8"/>
  <c r="R3184" i="8"/>
  <c r="S3183" i="8"/>
  <c r="R3183" i="8"/>
  <c r="S3182" i="8"/>
  <c r="R3182" i="8"/>
  <c r="S3181" i="8"/>
  <c r="R3181" i="8"/>
  <c r="S3180" i="8"/>
  <c r="R3180" i="8"/>
  <c r="S3179" i="8"/>
  <c r="R3179" i="8"/>
  <c r="S3178" i="8"/>
  <c r="R3178" i="8"/>
  <c r="S3177" i="8"/>
  <c r="R3177" i="8"/>
  <c r="S3176" i="8"/>
  <c r="R3176" i="8"/>
  <c r="S3175" i="8"/>
  <c r="R3175" i="8"/>
  <c r="S3174" i="8"/>
  <c r="R3174" i="8"/>
  <c r="S3173" i="8"/>
  <c r="R3173" i="8"/>
  <c r="S3172" i="8"/>
  <c r="R3172" i="8"/>
  <c r="S3171" i="8"/>
  <c r="R3171" i="8"/>
  <c r="S3170" i="8"/>
  <c r="R3170" i="8"/>
  <c r="S3169" i="8"/>
  <c r="R3169" i="8"/>
  <c r="S3168" i="8"/>
  <c r="R3168" i="8"/>
  <c r="S3167" i="8"/>
  <c r="R3167" i="8"/>
  <c r="S3166" i="8"/>
  <c r="R3166" i="8"/>
  <c r="S3165" i="8"/>
  <c r="R3165" i="8"/>
  <c r="S3164" i="8"/>
  <c r="R3164" i="8"/>
  <c r="S3163" i="8"/>
  <c r="R3163" i="8"/>
  <c r="S3162" i="8"/>
  <c r="R3162" i="8"/>
  <c r="S3161" i="8"/>
  <c r="R3161" i="8"/>
  <c r="S3160" i="8"/>
  <c r="R3160" i="8"/>
  <c r="S3159" i="8"/>
  <c r="R3159" i="8"/>
  <c r="S3158" i="8"/>
  <c r="R3158" i="8"/>
  <c r="S3157" i="8"/>
  <c r="R3157" i="8"/>
  <c r="S3156" i="8"/>
  <c r="R3156" i="8"/>
  <c r="S3155" i="8"/>
  <c r="R3155" i="8"/>
  <c r="S3154" i="8"/>
  <c r="R3154" i="8"/>
  <c r="S3153" i="8"/>
  <c r="R3153" i="8"/>
  <c r="S3152" i="8"/>
  <c r="R3152" i="8"/>
  <c r="S3151" i="8"/>
  <c r="R3151" i="8"/>
  <c r="S3150" i="8"/>
  <c r="R3150" i="8"/>
  <c r="S3149" i="8"/>
  <c r="R3149" i="8"/>
  <c r="S3148" i="8"/>
  <c r="R3148" i="8"/>
  <c r="S3147" i="8"/>
  <c r="R3147" i="8"/>
  <c r="S3146" i="8"/>
  <c r="R3146" i="8"/>
  <c r="S3145" i="8"/>
  <c r="R3145" i="8"/>
  <c r="S3144" i="8"/>
  <c r="R3144" i="8"/>
  <c r="S3143" i="8"/>
  <c r="R3143" i="8"/>
  <c r="S3142" i="8"/>
  <c r="R3142" i="8"/>
  <c r="S3141" i="8"/>
  <c r="R3141" i="8"/>
  <c r="S3140" i="8"/>
  <c r="R3140" i="8"/>
  <c r="S3139" i="8"/>
  <c r="R3139" i="8"/>
  <c r="S3138" i="8"/>
  <c r="R3138" i="8"/>
  <c r="S3137" i="8"/>
  <c r="R3137" i="8"/>
  <c r="S3136" i="8"/>
  <c r="R3136" i="8"/>
  <c r="S3135" i="8"/>
  <c r="R3135" i="8"/>
  <c r="S3134" i="8"/>
  <c r="R3134" i="8"/>
  <c r="S3133" i="8"/>
  <c r="R3133" i="8"/>
  <c r="S3132" i="8"/>
  <c r="R3132" i="8"/>
  <c r="S3131" i="8"/>
  <c r="R3131" i="8"/>
  <c r="S3130" i="8"/>
  <c r="R3130" i="8"/>
  <c r="S3129" i="8"/>
  <c r="R3129" i="8"/>
  <c r="S3128" i="8"/>
  <c r="R3128" i="8"/>
  <c r="S3127" i="8"/>
  <c r="R3127" i="8"/>
  <c r="S3126" i="8"/>
  <c r="R3126" i="8"/>
  <c r="S3125" i="8"/>
  <c r="R3125" i="8"/>
  <c r="S3124" i="8"/>
  <c r="R3124" i="8"/>
  <c r="S3123" i="8"/>
  <c r="R3123" i="8"/>
  <c r="S3122" i="8"/>
  <c r="R3122" i="8"/>
  <c r="S3121" i="8"/>
  <c r="R3121" i="8"/>
  <c r="S3120" i="8"/>
  <c r="R3120" i="8"/>
  <c r="S3119" i="8"/>
  <c r="R3119" i="8"/>
  <c r="S3118" i="8"/>
  <c r="R3118" i="8"/>
  <c r="S3117" i="8"/>
  <c r="R3117" i="8"/>
  <c r="S3116" i="8"/>
  <c r="R3116" i="8"/>
  <c r="S3115" i="8"/>
  <c r="R3115" i="8"/>
  <c r="S3114" i="8"/>
  <c r="R3114" i="8"/>
  <c r="S3113" i="8"/>
  <c r="R3113" i="8"/>
  <c r="S3112" i="8"/>
  <c r="R3112" i="8"/>
  <c r="S3111" i="8"/>
  <c r="R3111" i="8"/>
  <c r="S3110" i="8"/>
  <c r="R3110" i="8"/>
  <c r="S3109" i="8"/>
  <c r="R3109" i="8"/>
  <c r="S3108" i="8"/>
  <c r="R3108" i="8"/>
  <c r="S3107" i="8"/>
  <c r="R3107" i="8"/>
  <c r="S3106" i="8"/>
  <c r="R3106" i="8"/>
  <c r="S3105" i="8"/>
  <c r="R3105" i="8"/>
  <c r="S3104" i="8"/>
  <c r="R3104" i="8"/>
  <c r="S3103" i="8"/>
  <c r="R3103" i="8"/>
  <c r="S3102" i="8"/>
  <c r="R3102" i="8"/>
  <c r="S3101" i="8"/>
  <c r="R3101" i="8"/>
  <c r="S3100" i="8"/>
  <c r="R3100" i="8"/>
  <c r="S3099" i="8"/>
  <c r="R3099" i="8"/>
  <c r="S3098" i="8"/>
  <c r="R3098" i="8"/>
  <c r="S3097" i="8"/>
  <c r="R3097" i="8"/>
  <c r="S3096" i="8"/>
  <c r="R3096" i="8"/>
  <c r="S3095" i="8"/>
  <c r="R3095" i="8"/>
  <c r="S3094" i="8"/>
  <c r="R3094" i="8"/>
  <c r="S3093" i="8"/>
  <c r="R3093" i="8"/>
  <c r="S3092" i="8"/>
  <c r="R3092" i="8"/>
  <c r="S3091" i="8"/>
  <c r="R3091" i="8"/>
  <c r="S3090" i="8"/>
  <c r="R3090" i="8"/>
  <c r="S3089" i="8"/>
  <c r="R3089" i="8"/>
  <c r="S3088" i="8"/>
  <c r="R3088" i="8"/>
  <c r="S3087" i="8"/>
  <c r="R3087" i="8"/>
  <c r="S3086" i="8"/>
  <c r="R3086" i="8"/>
  <c r="S3085" i="8"/>
  <c r="R3085" i="8"/>
  <c r="S3084" i="8"/>
  <c r="R3084" i="8"/>
  <c r="S3083" i="8"/>
  <c r="R3083" i="8"/>
  <c r="S3082" i="8"/>
  <c r="R3082" i="8"/>
  <c r="S3081" i="8"/>
  <c r="R3081" i="8"/>
  <c r="S3080" i="8"/>
  <c r="R3080" i="8"/>
  <c r="S3079" i="8"/>
  <c r="R3079" i="8"/>
  <c r="S3078" i="8"/>
  <c r="R3078" i="8"/>
  <c r="S3077" i="8"/>
  <c r="R3077" i="8"/>
  <c r="S3076" i="8"/>
  <c r="R3076" i="8"/>
  <c r="S3075" i="8"/>
  <c r="R3075" i="8"/>
  <c r="S3074" i="8"/>
  <c r="R3074" i="8"/>
  <c r="S3073" i="8"/>
  <c r="R3073" i="8"/>
  <c r="S3072" i="8"/>
  <c r="R3072" i="8"/>
  <c r="S3071" i="8"/>
  <c r="R3071" i="8"/>
  <c r="S3070" i="8"/>
  <c r="R3070" i="8"/>
  <c r="S3069" i="8"/>
  <c r="R3069" i="8"/>
  <c r="S3068" i="8"/>
  <c r="R3068" i="8"/>
  <c r="S3067" i="8"/>
  <c r="R3067" i="8"/>
  <c r="S3066" i="8"/>
  <c r="R3066" i="8"/>
  <c r="S3065" i="8"/>
  <c r="R3065" i="8"/>
  <c r="S3064" i="8"/>
  <c r="R3064" i="8"/>
  <c r="S3063" i="8"/>
  <c r="R3063" i="8"/>
  <c r="S3062" i="8"/>
  <c r="R3062" i="8"/>
  <c r="S3061" i="8"/>
  <c r="R3061" i="8"/>
  <c r="S3060" i="8"/>
  <c r="R3060" i="8"/>
  <c r="S3059" i="8"/>
  <c r="R3059" i="8"/>
  <c r="S3058" i="8"/>
  <c r="R3058" i="8"/>
  <c r="S3057" i="8"/>
  <c r="R3057" i="8"/>
  <c r="S3056" i="8"/>
  <c r="R3056" i="8"/>
  <c r="S3055" i="8"/>
  <c r="R3055" i="8"/>
  <c r="S3054" i="8"/>
  <c r="R3054" i="8"/>
  <c r="S3053" i="8"/>
  <c r="R3053" i="8"/>
  <c r="S3052" i="8"/>
  <c r="R3052" i="8"/>
  <c r="S3051" i="8"/>
  <c r="R3051" i="8"/>
  <c r="S3050" i="8"/>
  <c r="R3050" i="8"/>
  <c r="S3049" i="8"/>
  <c r="R3049" i="8"/>
  <c r="S3048" i="8"/>
  <c r="R3048" i="8"/>
  <c r="S3047" i="8"/>
  <c r="R3047" i="8"/>
  <c r="S3046" i="8"/>
  <c r="R3046" i="8"/>
  <c r="S3045" i="8"/>
  <c r="R3045" i="8"/>
  <c r="S3044" i="8"/>
  <c r="R3044" i="8"/>
  <c r="S3043" i="8"/>
  <c r="R3043" i="8"/>
  <c r="S3042" i="8"/>
  <c r="R3042" i="8"/>
  <c r="S3041" i="8"/>
  <c r="R3041" i="8"/>
  <c r="S3040" i="8"/>
  <c r="R3040" i="8"/>
  <c r="S3039" i="8"/>
  <c r="R3039" i="8"/>
  <c r="S3038" i="8"/>
  <c r="R3038" i="8"/>
  <c r="S3037" i="8"/>
  <c r="R3037" i="8"/>
  <c r="S3036" i="8"/>
  <c r="R3036" i="8"/>
  <c r="S3035" i="8"/>
  <c r="R3035" i="8"/>
  <c r="S3034" i="8"/>
  <c r="R3034" i="8"/>
  <c r="S3033" i="8"/>
  <c r="R3033" i="8"/>
  <c r="S3032" i="8"/>
  <c r="R3032" i="8"/>
  <c r="S3031" i="8"/>
  <c r="R3031" i="8"/>
  <c r="S3030" i="8"/>
  <c r="R3030" i="8"/>
  <c r="S3029" i="8"/>
  <c r="R3029" i="8"/>
  <c r="S3028" i="8"/>
  <c r="R3028" i="8"/>
  <c r="S3027" i="8"/>
  <c r="R3027" i="8"/>
  <c r="S3026" i="8"/>
  <c r="R3026" i="8"/>
  <c r="S3025" i="8"/>
  <c r="R3025" i="8"/>
  <c r="S3024" i="8"/>
  <c r="R3024" i="8"/>
  <c r="S3023" i="8"/>
  <c r="R3023" i="8"/>
  <c r="S3022" i="8"/>
  <c r="R3022" i="8"/>
  <c r="S3021" i="8"/>
  <c r="R3021" i="8"/>
  <c r="S3020" i="8"/>
  <c r="R3020" i="8"/>
  <c r="S3019" i="8"/>
  <c r="R3019" i="8"/>
  <c r="S3018" i="8"/>
  <c r="R3018" i="8"/>
  <c r="S3017" i="8"/>
  <c r="R3017" i="8"/>
  <c r="S3016" i="8"/>
  <c r="R3016" i="8"/>
  <c r="S3015" i="8"/>
  <c r="R3015" i="8"/>
  <c r="S3014" i="8"/>
  <c r="R3014" i="8"/>
  <c r="S3013" i="8"/>
  <c r="R3013" i="8"/>
  <c r="S3012" i="8"/>
  <c r="R3012" i="8"/>
  <c r="S3011" i="8"/>
  <c r="R3011" i="8"/>
  <c r="S3010" i="8"/>
  <c r="R3010" i="8"/>
  <c r="S3009" i="8"/>
  <c r="R3009" i="8"/>
  <c r="S3008" i="8"/>
  <c r="R3008" i="8"/>
  <c r="S3007" i="8"/>
  <c r="R3007" i="8"/>
  <c r="S3006" i="8"/>
  <c r="R3006" i="8"/>
  <c r="S3005" i="8"/>
  <c r="R3005" i="8"/>
  <c r="S3004" i="8"/>
  <c r="R3004" i="8"/>
  <c r="S3003" i="8"/>
  <c r="R3003" i="8"/>
  <c r="S3002" i="8"/>
  <c r="R3002" i="8"/>
  <c r="S3001" i="8"/>
  <c r="R3001" i="8"/>
  <c r="S3000" i="8"/>
  <c r="R3000" i="8"/>
  <c r="S2999" i="8"/>
  <c r="R2999" i="8"/>
  <c r="S2998" i="8"/>
  <c r="R2998" i="8"/>
  <c r="S2997" i="8"/>
  <c r="R2997" i="8"/>
  <c r="S2996" i="8"/>
  <c r="R2996" i="8"/>
  <c r="S2995" i="8"/>
  <c r="R2995" i="8"/>
  <c r="S2994" i="8"/>
  <c r="R2994" i="8"/>
  <c r="S2993" i="8"/>
  <c r="R2993" i="8"/>
  <c r="S2992" i="8"/>
  <c r="R2992" i="8"/>
  <c r="S2991" i="8"/>
  <c r="R2991" i="8"/>
  <c r="S2990" i="8"/>
  <c r="R2990" i="8"/>
  <c r="S2989" i="8"/>
  <c r="R2989" i="8"/>
  <c r="S2988" i="8"/>
  <c r="R2988" i="8"/>
  <c r="S2987" i="8"/>
  <c r="R2987" i="8"/>
  <c r="S2986" i="8"/>
  <c r="R2986" i="8"/>
  <c r="S2985" i="8"/>
  <c r="R2985" i="8"/>
  <c r="S2984" i="8"/>
  <c r="R2984" i="8"/>
  <c r="S2983" i="8"/>
  <c r="R2983" i="8"/>
  <c r="R2981" i="8"/>
  <c r="R2980" i="8"/>
  <c r="R2979" i="8"/>
  <c r="R2978" i="8"/>
  <c r="R2977" i="8"/>
  <c r="R2976" i="8"/>
  <c r="R2975" i="8"/>
  <c r="R2974" i="8"/>
  <c r="R2973" i="8"/>
  <c r="R2972" i="8"/>
  <c r="R2971" i="8"/>
  <c r="R2970" i="8"/>
  <c r="R2969" i="8"/>
  <c r="R2968" i="8"/>
  <c r="R2967" i="8"/>
  <c r="R2966" i="8"/>
  <c r="R2965" i="8"/>
  <c r="R2964" i="8"/>
  <c r="R2963" i="8"/>
  <c r="R2962" i="8"/>
  <c r="R2961" i="8"/>
  <c r="R2960" i="8"/>
  <c r="R2959" i="8"/>
  <c r="R2958" i="8"/>
  <c r="R2957" i="8"/>
  <c r="R2956" i="8"/>
  <c r="R2955" i="8"/>
  <c r="R2954" i="8"/>
  <c r="R2953" i="8"/>
  <c r="R2952" i="8"/>
  <c r="R2951" i="8"/>
  <c r="R2950" i="8"/>
  <c r="R2949" i="8"/>
  <c r="R2948" i="8"/>
  <c r="R2947" i="8"/>
  <c r="R2946" i="8"/>
  <c r="R2945" i="8"/>
  <c r="R2944" i="8"/>
  <c r="R2943" i="8"/>
  <c r="R2942" i="8"/>
  <c r="R2941" i="8"/>
  <c r="R2940" i="8"/>
  <c r="R2939" i="8"/>
  <c r="R2938" i="8"/>
  <c r="R2937" i="8"/>
  <c r="R2936" i="8"/>
  <c r="R2935" i="8"/>
  <c r="R2934" i="8"/>
  <c r="R2933" i="8"/>
  <c r="R2932" i="8"/>
  <c r="R2931" i="8"/>
  <c r="R2930" i="8"/>
  <c r="R2929" i="8"/>
  <c r="R2928" i="8"/>
  <c r="R2927" i="8"/>
  <c r="R2926" i="8"/>
  <c r="R2925" i="8"/>
  <c r="R2924" i="8"/>
  <c r="R2923" i="8"/>
  <c r="R2922" i="8"/>
  <c r="R2921" i="8"/>
  <c r="R2920" i="8"/>
  <c r="R2919" i="8"/>
  <c r="R2918" i="8"/>
  <c r="R2917" i="8"/>
  <c r="R2916" i="8"/>
  <c r="R2915" i="8"/>
  <c r="R2914" i="8"/>
  <c r="R2913" i="8"/>
  <c r="R2912" i="8"/>
  <c r="R2911" i="8"/>
  <c r="R2910" i="8"/>
  <c r="R2909" i="8"/>
  <c r="R2908" i="8"/>
  <c r="R2907" i="8"/>
  <c r="R2906" i="8"/>
  <c r="R2905" i="8"/>
  <c r="R2904" i="8"/>
  <c r="R2903" i="8"/>
  <c r="R2902" i="8"/>
  <c r="R2901" i="8"/>
  <c r="R2900" i="8"/>
  <c r="R2899" i="8"/>
  <c r="R2898" i="8"/>
  <c r="R2897" i="8"/>
  <c r="R2896" i="8"/>
  <c r="R2895" i="8"/>
  <c r="R2894" i="8"/>
  <c r="R2893" i="8"/>
  <c r="R2892" i="8"/>
  <c r="R2891" i="8"/>
  <c r="R2890" i="8"/>
  <c r="R2889" i="8"/>
  <c r="R2888" i="8"/>
  <c r="R2887" i="8"/>
  <c r="R2886" i="8"/>
  <c r="R2885" i="8"/>
  <c r="R2884" i="8"/>
  <c r="R2883" i="8"/>
  <c r="R2882" i="8"/>
  <c r="R2881" i="8"/>
  <c r="R2880" i="8"/>
  <c r="R2879" i="8"/>
  <c r="R2878" i="8"/>
  <c r="R2877" i="8"/>
  <c r="R2876" i="8"/>
  <c r="R2875" i="8"/>
  <c r="R2874" i="8"/>
  <c r="R2873" i="8"/>
  <c r="R2872" i="8"/>
  <c r="R2871" i="8"/>
  <c r="R2870" i="8"/>
  <c r="R2869" i="8"/>
  <c r="R2868" i="8"/>
  <c r="R2867" i="8"/>
  <c r="R2866" i="8"/>
  <c r="R2865" i="8"/>
  <c r="R2864" i="8"/>
  <c r="R2863" i="8"/>
  <c r="R2862" i="8"/>
  <c r="R2861" i="8"/>
  <c r="R2860" i="8"/>
  <c r="R2859" i="8"/>
  <c r="R2858" i="8"/>
  <c r="R2857" i="8"/>
  <c r="R2856" i="8"/>
  <c r="R2855" i="8"/>
  <c r="R2854" i="8"/>
  <c r="R2853" i="8"/>
  <c r="R2852" i="8"/>
  <c r="R2851" i="8"/>
  <c r="R2850" i="8"/>
  <c r="R2849" i="8"/>
  <c r="R2848" i="8"/>
  <c r="R2847" i="8"/>
  <c r="R2846" i="8"/>
  <c r="R2845" i="8"/>
  <c r="R2844" i="8"/>
  <c r="R2843" i="8"/>
  <c r="R2842" i="8"/>
  <c r="R2841" i="8"/>
  <c r="R2840" i="8"/>
  <c r="R2839" i="8"/>
  <c r="R2838" i="8"/>
  <c r="R2837" i="8"/>
  <c r="R2836" i="8"/>
  <c r="R2835" i="8"/>
  <c r="R2834" i="8"/>
  <c r="R2833" i="8"/>
  <c r="R2832" i="8"/>
  <c r="R2831" i="8"/>
  <c r="R2830" i="8"/>
  <c r="R2829" i="8"/>
  <c r="R2828" i="8"/>
  <c r="R2827" i="8"/>
  <c r="R2826" i="8"/>
  <c r="R2825" i="8"/>
  <c r="R2824" i="8"/>
  <c r="R2823" i="8"/>
  <c r="R2822" i="8"/>
  <c r="R2821" i="8"/>
  <c r="R2820" i="8"/>
  <c r="R2819" i="8"/>
  <c r="R2818" i="8"/>
  <c r="R2817" i="8"/>
  <c r="R2816" i="8"/>
  <c r="R2815" i="8"/>
  <c r="R2814" i="8"/>
  <c r="R2813" i="8"/>
  <c r="R2812" i="8"/>
  <c r="R2811" i="8"/>
  <c r="R2810" i="8"/>
  <c r="R2809" i="8"/>
  <c r="R2808" i="8"/>
  <c r="R2807" i="8"/>
  <c r="R2806" i="8"/>
  <c r="R2805" i="8"/>
  <c r="R2804" i="8"/>
  <c r="R2803" i="8"/>
  <c r="R2802" i="8"/>
  <c r="R2801" i="8"/>
  <c r="R2800" i="8"/>
  <c r="R2799" i="8"/>
  <c r="R2798" i="8"/>
  <c r="R2797" i="8"/>
  <c r="R2796" i="8"/>
  <c r="R2795" i="8"/>
  <c r="R2794" i="8"/>
  <c r="R2793" i="8"/>
  <c r="R2792" i="8"/>
  <c r="R2791" i="8"/>
  <c r="R2790" i="8"/>
  <c r="R2789" i="8"/>
  <c r="R2788" i="8"/>
  <c r="R2787" i="8"/>
  <c r="R2786" i="8"/>
  <c r="R2785" i="8"/>
  <c r="R2784" i="8"/>
  <c r="R2783" i="8"/>
  <c r="R2782" i="8"/>
  <c r="R2781" i="8"/>
  <c r="R2780" i="8"/>
  <c r="R2779" i="8"/>
  <c r="R2778" i="8"/>
  <c r="R2777" i="8"/>
  <c r="R2776" i="8"/>
  <c r="R2775" i="8"/>
  <c r="R2774" i="8"/>
  <c r="R2773" i="8"/>
  <c r="R2772" i="8"/>
  <c r="R2771" i="8"/>
  <c r="R2770" i="8"/>
  <c r="R2769" i="8"/>
  <c r="R2768" i="8"/>
  <c r="R2767" i="8"/>
  <c r="R2766" i="8"/>
  <c r="R2765" i="8"/>
  <c r="R2764" i="8"/>
  <c r="R2763" i="8"/>
  <c r="R2762" i="8"/>
  <c r="R2761" i="8"/>
  <c r="R2760" i="8"/>
  <c r="R2759" i="8"/>
  <c r="R2758" i="8"/>
  <c r="R2757" i="8"/>
  <c r="R2756" i="8"/>
  <c r="R2755" i="8"/>
  <c r="R2754" i="8"/>
  <c r="R2753" i="8"/>
  <c r="R2752" i="8"/>
  <c r="R2751" i="8"/>
  <c r="R2750" i="8"/>
  <c r="R2749" i="8"/>
  <c r="R2748" i="8"/>
  <c r="R2747" i="8"/>
  <c r="R2746" i="8"/>
  <c r="R2745" i="8"/>
  <c r="R2744" i="8"/>
  <c r="R2743" i="8"/>
  <c r="R2742" i="8"/>
  <c r="R2741" i="8"/>
  <c r="R2740" i="8"/>
  <c r="R2739" i="8"/>
  <c r="R2738" i="8"/>
  <c r="R2737" i="8"/>
  <c r="R2736" i="8"/>
  <c r="R2735" i="8"/>
  <c r="R2734" i="8"/>
  <c r="R2733" i="8"/>
  <c r="R2732" i="8"/>
  <c r="R2731" i="8"/>
  <c r="R2730" i="8"/>
  <c r="R2729" i="8"/>
  <c r="R2728" i="8"/>
  <c r="R2727" i="8"/>
  <c r="R2726" i="8"/>
  <c r="R2725" i="8"/>
  <c r="R2724" i="8"/>
  <c r="R2723" i="8"/>
  <c r="R2722" i="8"/>
  <c r="R2721" i="8"/>
  <c r="R2720" i="8"/>
  <c r="R2719" i="8"/>
  <c r="R2718" i="8"/>
  <c r="R2717" i="8"/>
  <c r="R2716" i="8"/>
  <c r="R2715" i="8"/>
  <c r="R2714" i="8"/>
  <c r="R2713" i="8"/>
  <c r="R2712" i="8"/>
  <c r="R2711" i="8"/>
  <c r="R2710" i="8"/>
  <c r="R2709" i="8"/>
  <c r="R2708" i="8"/>
  <c r="R2707" i="8"/>
  <c r="R2706" i="8"/>
  <c r="R2705" i="8"/>
  <c r="R2704" i="8"/>
  <c r="R2703" i="8"/>
  <c r="R2702" i="8"/>
  <c r="R2701" i="8"/>
  <c r="R2700" i="8"/>
  <c r="R2699" i="8"/>
  <c r="R2698" i="8"/>
  <c r="R2697" i="8"/>
  <c r="R2696" i="8"/>
  <c r="R2695" i="8"/>
  <c r="R2694" i="8"/>
  <c r="R2693" i="8"/>
  <c r="R2692" i="8"/>
  <c r="R2691" i="8"/>
  <c r="R2690" i="8"/>
  <c r="R2689" i="8"/>
  <c r="R2688" i="8"/>
  <c r="R2687" i="8"/>
  <c r="R2686" i="8"/>
  <c r="R2685" i="8"/>
  <c r="R2684" i="8"/>
  <c r="R2683" i="8"/>
  <c r="R2682" i="8"/>
  <c r="R2681" i="8"/>
  <c r="R2680" i="8"/>
  <c r="R2679" i="8"/>
  <c r="R2678" i="8"/>
  <c r="R2677" i="8"/>
  <c r="R2676" i="8"/>
  <c r="R2675" i="8"/>
  <c r="R2674" i="8"/>
  <c r="R2673" i="8"/>
  <c r="R2672" i="8"/>
  <c r="R2671" i="8"/>
  <c r="R2670" i="8"/>
  <c r="R2669" i="8"/>
  <c r="R2668" i="8"/>
  <c r="R2667" i="8"/>
  <c r="R2666" i="8"/>
  <c r="R2665" i="8"/>
  <c r="R2664" i="8"/>
  <c r="R2663" i="8"/>
  <c r="R2662" i="8"/>
  <c r="R2661" i="8"/>
  <c r="R2660" i="8"/>
  <c r="R2659" i="8"/>
  <c r="R2658" i="8"/>
  <c r="R2657" i="8"/>
  <c r="R2656" i="8"/>
  <c r="R2655" i="8"/>
  <c r="R2654" i="8"/>
  <c r="R2653" i="8"/>
  <c r="R2652" i="8"/>
  <c r="R2651" i="8"/>
  <c r="R2650" i="8"/>
  <c r="R2649" i="8"/>
  <c r="R2648" i="8"/>
  <c r="R2647" i="8"/>
  <c r="R2646" i="8"/>
  <c r="R2645" i="8"/>
  <c r="R2644" i="8"/>
  <c r="R2643" i="8"/>
  <c r="R2642" i="8"/>
  <c r="R2641" i="8"/>
  <c r="R2640" i="8"/>
  <c r="R2639" i="8"/>
  <c r="R2638" i="8"/>
  <c r="R2637" i="8"/>
  <c r="R2636" i="8"/>
  <c r="R2635" i="8"/>
  <c r="R2634" i="8"/>
  <c r="R2633" i="8"/>
  <c r="R2632" i="8"/>
  <c r="R2631" i="8"/>
  <c r="R2630" i="8"/>
  <c r="R2629" i="8"/>
  <c r="R2628" i="8"/>
  <c r="R2627" i="8"/>
  <c r="R2626" i="8"/>
  <c r="R2625" i="8"/>
  <c r="R2624" i="8"/>
  <c r="R2623" i="8"/>
  <c r="R2622" i="8"/>
  <c r="R2621" i="8"/>
  <c r="R2620" i="8"/>
  <c r="R2619" i="8"/>
  <c r="R2618" i="8"/>
  <c r="R2617" i="8"/>
  <c r="R2616" i="8"/>
  <c r="R2615" i="8"/>
  <c r="R2614" i="8"/>
  <c r="R2613" i="8"/>
  <c r="R2612" i="8"/>
  <c r="R2611" i="8"/>
  <c r="R2610" i="8"/>
  <c r="R2609" i="8"/>
  <c r="R2608" i="8"/>
  <c r="R2607" i="8"/>
  <c r="R2606" i="8"/>
  <c r="R2605" i="8"/>
  <c r="R2604" i="8"/>
  <c r="R2603" i="8"/>
  <c r="R2602" i="8"/>
  <c r="R2601" i="8"/>
  <c r="R2600" i="8"/>
  <c r="R2599" i="8"/>
  <c r="R2598" i="8"/>
  <c r="R2597" i="8"/>
  <c r="R2596" i="8"/>
  <c r="R2595" i="8"/>
  <c r="R2594" i="8"/>
  <c r="R2593" i="8"/>
  <c r="R2592" i="8"/>
  <c r="R2591" i="8"/>
  <c r="R2590" i="8"/>
  <c r="R2589" i="8"/>
  <c r="R2588" i="8"/>
  <c r="R2587" i="8"/>
  <c r="R2586" i="8"/>
  <c r="R2585" i="8"/>
  <c r="R2584" i="8"/>
  <c r="R2583" i="8"/>
  <c r="R2582" i="8"/>
  <c r="R2581" i="8"/>
  <c r="R2580" i="8"/>
  <c r="R2579" i="8"/>
  <c r="R2578" i="8"/>
  <c r="R2577" i="8"/>
  <c r="R2576" i="8"/>
  <c r="R2575" i="8"/>
  <c r="R2574" i="8"/>
  <c r="R2573" i="8"/>
  <c r="R2572" i="8"/>
  <c r="R2571" i="8"/>
  <c r="R2570" i="8"/>
  <c r="R2569" i="8"/>
  <c r="R2568" i="8"/>
  <c r="R2567" i="8"/>
  <c r="R2566" i="8"/>
  <c r="R2565" i="8"/>
  <c r="R2564" i="8"/>
  <c r="R2563" i="8"/>
  <c r="R2562" i="8"/>
  <c r="R2561" i="8"/>
  <c r="R2560" i="8"/>
  <c r="R2559" i="8"/>
  <c r="R2558" i="8"/>
  <c r="R2557" i="8"/>
  <c r="R2556" i="8"/>
  <c r="R2555" i="8"/>
  <c r="R2554" i="8"/>
  <c r="R2553" i="8"/>
  <c r="R2552" i="8"/>
  <c r="R2551" i="8"/>
  <c r="R2550" i="8"/>
  <c r="R2549" i="8"/>
  <c r="R2548" i="8"/>
  <c r="R2547" i="8"/>
  <c r="R2546" i="8"/>
  <c r="R2545" i="8"/>
  <c r="R2544" i="8"/>
  <c r="R2543" i="8"/>
  <c r="R2542" i="8"/>
  <c r="R2541" i="8"/>
  <c r="R2540" i="8"/>
  <c r="R2539" i="8"/>
  <c r="R2538" i="8"/>
  <c r="R2537" i="8"/>
  <c r="R2536" i="8"/>
  <c r="R2535" i="8"/>
  <c r="R2534" i="8"/>
  <c r="R2533" i="8"/>
  <c r="R2532" i="8"/>
  <c r="R2531" i="8"/>
  <c r="R2530" i="8"/>
  <c r="R2529" i="8"/>
  <c r="R2528" i="8"/>
  <c r="R2527" i="8"/>
  <c r="R2526" i="8"/>
  <c r="R2525" i="8"/>
  <c r="R2524" i="8"/>
  <c r="R2523" i="8"/>
  <c r="R2522" i="8"/>
  <c r="R2521" i="8"/>
  <c r="R2520" i="8"/>
  <c r="R2519" i="8"/>
  <c r="R2518" i="8"/>
  <c r="R2517" i="8"/>
  <c r="R2516" i="8"/>
  <c r="R2515" i="8"/>
  <c r="R2514" i="8"/>
  <c r="R2513" i="8"/>
  <c r="R2512" i="8"/>
  <c r="R2511" i="8"/>
  <c r="R2510" i="8"/>
  <c r="R2509" i="8"/>
  <c r="R2508" i="8"/>
  <c r="R2507" i="8"/>
  <c r="R2506" i="8"/>
  <c r="R2505" i="8"/>
  <c r="R2504" i="8"/>
  <c r="R2503" i="8"/>
  <c r="R2502" i="8"/>
  <c r="R2501" i="8"/>
  <c r="R2500" i="8"/>
  <c r="R2499" i="8"/>
  <c r="R2498" i="8"/>
  <c r="R2497" i="8"/>
  <c r="R2496" i="8"/>
  <c r="R2495" i="8"/>
  <c r="R2494" i="8"/>
  <c r="R2493" i="8"/>
  <c r="R2492" i="8"/>
  <c r="R2491" i="8"/>
  <c r="R2490" i="8"/>
  <c r="R2489" i="8"/>
  <c r="R2488" i="8"/>
  <c r="R2487" i="8"/>
  <c r="R2486" i="8"/>
  <c r="R2485" i="8"/>
  <c r="R2484" i="8"/>
  <c r="R2483" i="8"/>
  <c r="R2482" i="8"/>
  <c r="R2481" i="8"/>
  <c r="R2480" i="8"/>
  <c r="R2479" i="8"/>
  <c r="R2478" i="8"/>
  <c r="R2477" i="8"/>
  <c r="R2476" i="8"/>
  <c r="R2475" i="8"/>
  <c r="R2474" i="8"/>
  <c r="R2473" i="8"/>
  <c r="R2472" i="8"/>
  <c r="R2471" i="8"/>
  <c r="R2470" i="8"/>
  <c r="R2469" i="8"/>
  <c r="R2468" i="8"/>
  <c r="R2467" i="8"/>
  <c r="R2466" i="8"/>
  <c r="R2465" i="8"/>
  <c r="R2464" i="8"/>
  <c r="R2463" i="8"/>
  <c r="R2462" i="8"/>
  <c r="R2461" i="8"/>
  <c r="R2460" i="8"/>
  <c r="R2459" i="8"/>
  <c r="R2458" i="8"/>
  <c r="R2457" i="8"/>
  <c r="R2456" i="8"/>
  <c r="R2455" i="8"/>
  <c r="R2454" i="8"/>
  <c r="R2453" i="8"/>
  <c r="R2452" i="8"/>
  <c r="R2451" i="8"/>
  <c r="R2450" i="8"/>
  <c r="R2449" i="8"/>
  <c r="R2448" i="8"/>
  <c r="R2447" i="8"/>
  <c r="R2446" i="8"/>
  <c r="R2445" i="8"/>
  <c r="R2444" i="8"/>
  <c r="R2443" i="8"/>
  <c r="R2442" i="8"/>
  <c r="R2441" i="8"/>
  <c r="R2440" i="8"/>
  <c r="R2439" i="8"/>
  <c r="R2438" i="8"/>
  <c r="R2437" i="8"/>
  <c r="R2436" i="8"/>
  <c r="R2435" i="8"/>
  <c r="R2434" i="8"/>
  <c r="R2433" i="8"/>
  <c r="R2432" i="8"/>
  <c r="R2431" i="8"/>
  <c r="R2430" i="8"/>
  <c r="R2429" i="8"/>
  <c r="R2428" i="8"/>
  <c r="R2427" i="8"/>
  <c r="R2426" i="8"/>
  <c r="R2425" i="8"/>
  <c r="R2424" i="8"/>
  <c r="R2423" i="8"/>
  <c r="R2422" i="8"/>
  <c r="R2421" i="8"/>
  <c r="R2420" i="8"/>
  <c r="R2419" i="8"/>
  <c r="R2418" i="8"/>
  <c r="R2417" i="8"/>
  <c r="R2416" i="8"/>
  <c r="R2415" i="8"/>
  <c r="R2414" i="8"/>
  <c r="R2413" i="8"/>
  <c r="R2412" i="8"/>
  <c r="R2411" i="8"/>
  <c r="R2410" i="8"/>
  <c r="R2409" i="8"/>
  <c r="R2408" i="8"/>
  <c r="R2407" i="8"/>
  <c r="R2406" i="8"/>
  <c r="R2405" i="8"/>
  <c r="R2404" i="8"/>
  <c r="R2403" i="8"/>
  <c r="R2402" i="8"/>
  <c r="R2401" i="8"/>
  <c r="R2400" i="8"/>
  <c r="R2399" i="8"/>
  <c r="R2398" i="8"/>
  <c r="R2397" i="8"/>
  <c r="R2396" i="8"/>
  <c r="R2395" i="8"/>
  <c r="R2394" i="8"/>
  <c r="R2393" i="8"/>
  <c r="R2392" i="8"/>
  <c r="R2391" i="8"/>
  <c r="R2390" i="8"/>
  <c r="R2389" i="8"/>
  <c r="R2388" i="8"/>
  <c r="R2387" i="8"/>
  <c r="R2386" i="8"/>
  <c r="R2385" i="8"/>
  <c r="R2384" i="8"/>
  <c r="R2383" i="8"/>
  <c r="R2382" i="8"/>
  <c r="R2381" i="8"/>
  <c r="R2380" i="8"/>
  <c r="R2379" i="8"/>
  <c r="R2378" i="8"/>
  <c r="R2377" i="8"/>
  <c r="R2376" i="8"/>
  <c r="R2375" i="8"/>
  <c r="R2374" i="8"/>
  <c r="R2373" i="8"/>
  <c r="R2372" i="8"/>
  <c r="R2371" i="8"/>
  <c r="R2370" i="8"/>
  <c r="R2369" i="8"/>
  <c r="R2368" i="8"/>
  <c r="R2367" i="8"/>
  <c r="R2366" i="8"/>
  <c r="R2365" i="8"/>
  <c r="R2364" i="8"/>
  <c r="R2363" i="8"/>
  <c r="R2362" i="8"/>
  <c r="R2361" i="8"/>
  <c r="R2360" i="8"/>
  <c r="R2359" i="8"/>
  <c r="R2358" i="8"/>
  <c r="R2357" i="8"/>
  <c r="R2356" i="8"/>
  <c r="R2355" i="8"/>
  <c r="R2354" i="8"/>
  <c r="R2353" i="8"/>
  <c r="R2352" i="8"/>
  <c r="R2351" i="8"/>
  <c r="R2350" i="8"/>
  <c r="R2349" i="8"/>
  <c r="R2348" i="8"/>
  <c r="R2347" i="8"/>
  <c r="R2346" i="8"/>
  <c r="R2345" i="8"/>
  <c r="R2344" i="8"/>
  <c r="R2343" i="8"/>
  <c r="R2342" i="8"/>
  <c r="R2341" i="8"/>
  <c r="R2340" i="8"/>
  <c r="R2339" i="8"/>
  <c r="R2338" i="8"/>
  <c r="R2337" i="8"/>
  <c r="R2336" i="8"/>
  <c r="R2335" i="8"/>
  <c r="R2334" i="8"/>
  <c r="R2333" i="8"/>
  <c r="R2332" i="8"/>
  <c r="R2331" i="8"/>
  <c r="R2330" i="8"/>
  <c r="R2329" i="8"/>
  <c r="R2328" i="8"/>
  <c r="R2327" i="8"/>
  <c r="R2326" i="8"/>
  <c r="R2325" i="8"/>
  <c r="R2324" i="8"/>
  <c r="R2323" i="8"/>
  <c r="R2322" i="8"/>
  <c r="R2321" i="8"/>
  <c r="R2320" i="8"/>
  <c r="R2319" i="8"/>
  <c r="R2318" i="8"/>
  <c r="R2317" i="8"/>
  <c r="R2316" i="8"/>
  <c r="R2315" i="8"/>
  <c r="R2314" i="8"/>
  <c r="R2313" i="8"/>
  <c r="R2312" i="8"/>
  <c r="R2311" i="8"/>
  <c r="R2310" i="8"/>
  <c r="R2309" i="8"/>
  <c r="R2308" i="8"/>
  <c r="R2307" i="8"/>
  <c r="R2306" i="8"/>
  <c r="R2305" i="8"/>
  <c r="R2304" i="8"/>
  <c r="R2303" i="8"/>
  <c r="R2302" i="8"/>
  <c r="R2301" i="8"/>
  <c r="R2300" i="8"/>
  <c r="R2299" i="8"/>
  <c r="R2298" i="8"/>
  <c r="R2297" i="8"/>
  <c r="R2296" i="8"/>
  <c r="R2295" i="8"/>
  <c r="R2294" i="8"/>
  <c r="R2293" i="8"/>
  <c r="R2292" i="8"/>
  <c r="R2291" i="8"/>
  <c r="R2290" i="8"/>
  <c r="R2289" i="8"/>
  <c r="R2288" i="8"/>
  <c r="R2287" i="8"/>
  <c r="R2286" i="8"/>
  <c r="R2285" i="8"/>
  <c r="R2284" i="8"/>
  <c r="R2283" i="8"/>
  <c r="R2282" i="8"/>
  <c r="R2281" i="8"/>
  <c r="R2280" i="8"/>
  <c r="R2279" i="8"/>
  <c r="R2278" i="8"/>
  <c r="R2277" i="8"/>
  <c r="R2276" i="8"/>
  <c r="R2275" i="8"/>
  <c r="R2274" i="8"/>
  <c r="R2273" i="8"/>
  <c r="R2272" i="8"/>
  <c r="R2271" i="8"/>
  <c r="R2270" i="8"/>
  <c r="R2269" i="8"/>
  <c r="R2268" i="8"/>
  <c r="R2267" i="8"/>
  <c r="R2266" i="8"/>
  <c r="R2265" i="8"/>
  <c r="R2264" i="8"/>
  <c r="R2263" i="8"/>
  <c r="R2262" i="8"/>
  <c r="R2261" i="8"/>
  <c r="R2260" i="8"/>
  <c r="R2259" i="8"/>
  <c r="R2258" i="8"/>
  <c r="R2257" i="8"/>
  <c r="R2256" i="8"/>
  <c r="R2255" i="8"/>
  <c r="R2254" i="8"/>
  <c r="R2253" i="8"/>
  <c r="R2252" i="8"/>
  <c r="R2251" i="8"/>
  <c r="R2250" i="8"/>
  <c r="R2249" i="8"/>
  <c r="R2248" i="8"/>
  <c r="R2247" i="8"/>
  <c r="R2246" i="8"/>
  <c r="R2245" i="8"/>
  <c r="R2244" i="8"/>
  <c r="R2243" i="8"/>
  <c r="R2242" i="8"/>
  <c r="R2241" i="8"/>
  <c r="R2240" i="8"/>
  <c r="R2239" i="8"/>
  <c r="R2238" i="8"/>
  <c r="R2237" i="8"/>
  <c r="R2236" i="8"/>
  <c r="R2235" i="8"/>
  <c r="R2234" i="8"/>
  <c r="R2233" i="8"/>
  <c r="R2232" i="8"/>
  <c r="R2231" i="8"/>
  <c r="R2230" i="8"/>
  <c r="R2229" i="8"/>
  <c r="R2228" i="8"/>
  <c r="R2227" i="8"/>
  <c r="R2226" i="8"/>
  <c r="R2225" i="8"/>
  <c r="R2224" i="8"/>
  <c r="R2223" i="8"/>
  <c r="R2222" i="8"/>
  <c r="R2221" i="8"/>
  <c r="R2220" i="8"/>
  <c r="R2219" i="8"/>
  <c r="R2218" i="8"/>
  <c r="R2217" i="8"/>
  <c r="R2216" i="8"/>
  <c r="R2215" i="8"/>
  <c r="R2214" i="8"/>
  <c r="R2213" i="8"/>
  <c r="R2212" i="8"/>
  <c r="R2211" i="8"/>
  <c r="R2210" i="8"/>
  <c r="R2209" i="8"/>
  <c r="R2208" i="8"/>
  <c r="R2207" i="8"/>
  <c r="R2206" i="8"/>
  <c r="R2205" i="8"/>
  <c r="R2204" i="8"/>
  <c r="R2203" i="8"/>
  <c r="R2202" i="8"/>
  <c r="R2201" i="8"/>
  <c r="R2200" i="8"/>
  <c r="R2199" i="8"/>
  <c r="R2198" i="8"/>
  <c r="R2197" i="8"/>
  <c r="R2196" i="8"/>
  <c r="R2195" i="8"/>
  <c r="R2194" i="8"/>
  <c r="R2193" i="8"/>
  <c r="R2192" i="8"/>
  <c r="R2191" i="8"/>
  <c r="R2190" i="8"/>
  <c r="R2189" i="8"/>
  <c r="R2188" i="8"/>
  <c r="R2187" i="8"/>
  <c r="R2186" i="8"/>
  <c r="R2185" i="8"/>
  <c r="R2184" i="8"/>
  <c r="R2183" i="8"/>
  <c r="R2182" i="8"/>
  <c r="R2181" i="8"/>
  <c r="R2180" i="8"/>
  <c r="R2179" i="8"/>
  <c r="R2178" i="8"/>
  <c r="R2177" i="8"/>
  <c r="R2176" i="8"/>
  <c r="R2175" i="8"/>
  <c r="R2174" i="8"/>
  <c r="R2173" i="8"/>
  <c r="R2172" i="8"/>
  <c r="R2171" i="8"/>
  <c r="R2170" i="8"/>
  <c r="R2169" i="8"/>
  <c r="R2168" i="8"/>
  <c r="R2167" i="8"/>
  <c r="R2166" i="8"/>
  <c r="R2165" i="8"/>
  <c r="R2164" i="8"/>
  <c r="R2163" i="8"/>
  <c r="R2162" i="8"/>
  <c r="R2161" i="8"/>
  <c r="R2160" i="8"/>
  <c r="R2159" i="8"/>
  <c r="R2158" i="8"/>
  <c r="R2157" i="8"/>
  <c r="R2156" i="8"/>
  <c r="R2155" i="8"/>
  <c r="R2154" i="8"/>
  <c r="R2153" i="8"/>
  <c r="R2152" i="8"/>
  <c r="R2151" i="8"/>
  <c r="R2147" i="8"/>
  <c r="R2146" i="8"/>
  <c r="R2145" i="8"/>
  <c r="R2144" i="8"/>
  <c r="R2143" i="8"/>
  <c r="R2142" i="8"/>
  <c r="R2141" i="8"/>
  <c r="R2140" i="8"/>
  <c r="R2139" i="8"/>
  <c r="R2138" i="8"/>
  <c r="R2137" i="8"/>
  <c r="R2136" i="8"/>
  <c r="R2135" i="8"/>
  <c r="R2134" i="8"/>
  <c r="R2133" i="8"/>
  <c r="R2132" i="8"/>
  <c r="R2131" i="8"/>
  <c r="R2130" i="8"/>
  <c r="R2129" i="8"/>
  <c r="R2128" i="8"/>
  <c r="R2127" i="8"/>
  <c r="R2126" i="8"/>
  <c r="R2125" i="8"/>
  <c r="R2124" i="8"/>
  <c r="R2123" i="8"/>
  <c r="R2122" i="8"/>
  <c r="S2689" i="8" l="1"/>
  <c r="S2721" i="8"/>
  <c r="S2828" i="8"/>
  <c r="S2832" i="8"/>
  <c r="S2836" i="8"/>
  <c r="S2840" i="8"/>
  <c r="S2848" i="8"/>
  <c r="S2852" i="8"/>
  <c r="S2856" i="8"/>
  <c r="S2860" i="8"/>
  <c r="S2868" i="8"/>
  <c r="S2872" i="8"/>
  <c r="S2876" i="8"/>
  <c r="S2884" i="8"/>
  <c r="S2892" i="8"/>
  <c r="S2896" i="8"/>
  <c r="S2900" i="8"/>
  <c r="S2916" i="8"/>
  <c r="S2824" i="8"/>
  <c r="S2920" i="8"/>
  <c r="S2837" i="8"/>
  <c r="S2844" i="8"/>
  <c r="S2864" i="8"/>
  <c r="S2880" i="8"/>
  <c r="S2888" i="8"/>
  <c r="S2904" i="8"/>
  <c r="S2912" i="8"/>
  <c r="S2924" i="8"/>
  <c r="S2928" i="8"/>
  <c r="S2932" i="8"/>
  <c r="S2936" i="8"/>
  <c r="S2940" i="8"/>
  <c r="S2944" i="8"/>
  <c r="S2948" i="8"/>
  <c r="S2952" i="8"/>
  <c r="S2956" i="8"/>
  <c r="S2960" i="8"/>
  <c r="S2964" i="8"/>
  <c r="S2972" i="8"/>
  <c r="S2976" i="8"/>
  <c r="S2980" i="8"/>
  <c r="S2593" i="8"/>
  <c r="S2625" i="8"/>
  <c r="S2657" i="8"/>
  <c r="S2968" i="8"/>
  <c r="S2908" i="8"/>
  <c r="S2356" i="8"/>
  <c r="S2492" i="8"/>
  <c r="S2561" i="8"/>
  <c r="S2640" i="8"/>
  <c r="S2672" i="8"/>
  <c r="S2704" i="8"/>
  <c r="S2823" i="8"/>
  <c r="S2827" i="8"/>
  <c r="S2831" i="8"/>
  <c r="S2835" i="8"/>
  <c r="S2839" i="8"/>
  <c r="S2843" i="8"/>
  <c r="S2847" i="8"/>
  <c r="S2851" i="8"/>
  <c r="S2855" i="8"/>
  <c r="S2859" i="8"/>
  <c r="S2863" i="8"/>
  <c r="S2867" i="8"/>
  <c r="S2871" i="8"/>
  <c r="S2875" i="8"/>
  <c r="S2879" i="8"/>
  <c r="S2883" i="8"/>
  <c r="S2887" i="8"/>
  <c r="S2891" i="8"/>
  <c r="S2895" i="8"/>
  <c r="S2899" i="8"/>
  <c r="S2903" i="8"/>
  <c r="S2907" i="8"/>
  <c r="S2911" i="8"/>
  <c r="S2915" i="8"/>
  <c r="S2919" i="8"/>
  <c r="S2923" i="8"/>
  <c r="S2927" i="8"/>
  <c r="S2931" i="8"/>
  <c r="S2935" i="8"/>
  <c r="S2939" i="8"/>
  <c r="S2943" i="8"/>
  <c r="S2947" i="8"/>
  <c r="S2951" i="8"/>
  <c r="S2955" i="8"/>
  <c r="S2959" i="8"/>
  <c r="S2963" i="8"/>
  <c r="S2967" i="8"/>
  <c r="S2971" i="8"/>
  <c r="S2979" i="8"/>
  <c r="S2874" i="8"/>
  <c r="S2938" i="8"/>
  <c r="S2455" i="8"/>
  <c r="S2975" i="8"/>
  <c r="S2576" i="8"/>
  <c r="S2608" i="8"/>
  <c r="S2878" i="8"/>
  <c r="S2882" i="8"/>
  <c r="S2886" i="8"/>
  <c r="S2890" i="8"/>
  <c r="S2894" i="8"/>
  <c r="S2898" i="8"/>
  <c r="S2902" i="8"/>
  <c r="S2906" i="8"/>
  <c r="S2910" i="8"/>
  <c r="S2914" i="8"/>
  <c r="S2918" i="8"/>
  <c r="S2922" i="8"/>
  <c r="S2926" i="8"/>
  <c r="S2930" i="8"/>
  <c r="S2934" i="8"/>
  <c r="S2942" i="8"/>
  <c r="S2946" i="8"/>
  <c r="S2950" i="8"/>
  <c r="S2954" i="8"/>
  <c r="S2958" i="8"/>
  <c r="S2962" i="8"/>
  <c r="S2966" i="8"/>
  <c r="S2970" i="8"/>
  <c r="S2974" i="8"/>
  <c r="S2978" i="8"/>
  <c r="S2825" i="8"/>
  <c r="S2829" i="8"/>
  <c r="S2833" i="8"/>
  <c r="S2841" i="8"/>
  <c r="S2845" i="8"/>
  <c r="S2849" i="8"/>
  <c r="S2853" i="8"/>
  <c r="S2857" i="8"/>
  <c r="S2861" i="8"/>
  <c r="S2865" i="8"/>
  <c r="S2869" i="8"/>
  <c r="S2873" i="8"/>
  <c r="S2877" i="8"/>
  <c r="S2881" i="8"/>
  <c r="S2885" i="8"/>
  <c r="S2889" i="8"/>
  <c r="S2893" i="8"/>
  <c r="S2897" i="8"/>
  <c r="S2901" i="8"/>
  <c r="S2905" i="8"/>
  <c r="S2909" i="8"/>
  <c r="S2913" i="8"/>
  <c r="S2917" i="8"/>
  <c r="S2921" i="8"/>
  <c r="S2925" i="8"/>
  <c r="S2929" i="8"/>
  <c r="S2933" i="8"/>
  <c r="S2937" i="8"/>
  <c r="S2941" i="8"/>
  <c r="S2945" i="8"/>
  <c r="S2949" i="8"/>
  <c r="S2953" i="8"/>
  <c r="S2957" i="8"/>
  <c r="S2961" i="8"/>
  <c r="S2965" i="8"/>
  <c r="S2969" i="8"/>
  <c r="S2973" i="8"/>
  <c r="S2977" i="8"/>
  <c r="S2842" i="8"/>
  <c r="S2846" i="8"/>
  <c r="S2850" i="8"/>
  <c r="S2854" i="8"/>
  <c r="S2858" i="8"/>
  <c r="S2862" i="8"/>
  <c r="S2866" i="8"/>
  <c r="S2870" i="8"/>
  <c r="S2123" i="8"/>
  <c r="S2131" i="8"/>
  <c r="S2135" i="8"/>
  <c r="S2143" i="8"/>
  <c r="S2449" i="8"/>
  <c r="R2148" i="8"/>
  <c r="S2163" i="8"/>
  <c r="S2167" i="8"/>
  <c r="S2175" i="8"/>
  <c r="S2187" i="8"/>
  <c r="S2195" i="8"/>
  <c r="S2544" i="8"/>
  <c r="S2445" i="8"/>
  <c r="S2465" i="8"/>
  <c r="S2481" i="8"/>
  <c r="S2497" i="8"/>
  <c r="S2199" i="8"/>
  <c r="S2227" i="8"/>
  <c r="S2231" i="8"/>
  <c r="S2239" i="8"/>
  <c r="S2259" i="8"/>
  <c r="S2263" i="8"/>
  <c r="S2271" i="8"/>
  <c r="S2283" i="8"/>
  <c r="S2291" i="8"/>
  <c r="S2295" i="8"/>
  <c r="S2303" i="8"/>
  <c r="S2311" i="8"/>
  <c r="S2315" i="8"/>
  <c r="S2316" i="8"/>
  <c r="S2319" i="8"/>
  <c r="S2320" i="8"/>
  <c r="S2323" i="8"/>
  <c r="S2324" i="8"/>
  <c r="S2327" i="8"/>
  <c r="S2328" i="8"/>
  <c r="S2331" i="8"/>
  <c r="S2332" i="8"/>
  <c r="S2335" i="8"/>
  <c r="S2336" i="8"/>
  <c r="S2339" i="8"/>
  <c r="S2340" i="8"/>
  <c r="S2343" i="8"/>
  <c r="S2344" i="8"/>
  <c r="S2347" i="8"/>
  <c r="S2348" i="8"/>
  <c r="S2351" i="8"/>
  <c r="S2352" i="8"/>
  <c r="S2355" i="8"/>
  <c r="S2359" i="8"/>
  <c r="S2360" i="8"/>
  <c r="S2363" i="8"/>
  <c r="S2364" i="8"/>
  <c r="S2367" i="8"/>
  <c r="S2368" i="8"/>
  <c r="S2371" i="8"/>
  <c r="S2372" i="8"/>
  <c r="S2375" i="8"/>
  <c r="S2376" i="8"/>
  <c r="S2379" i="8"/>
  <c r="S2380" i="8"/>
  <c r="S2383" i="8"/>
  <c r="S2384" i="8"/>
  <c r="S2387" i="8"/>
  <c r="S2388" i="8"/>
  <c r="S2391" i="8"/>
  <c r="S2392" i="8"/>
  <c r="S2395" i="8"/>
  <c r="S2396" i="8"/>
  <c r="S2399" i="8"/>
  <c r="S2400" i="8"/>
  <c r="S2403" i="8"/>
  <c r="S2404" i="8"/>
  <c r="S2407" i="8"/>
  <c r="S2408" i="8"/>
  <c r="S2411" i="8"/>
  <c r="S2412" i="8"/>
  <c r="S2415" i="8"/>
  <c r="S2416" i="8"/>
  <c r="S2419" i="8"/>
  <c r="S2420" i="8"/>
  <c r="S2423" i="8"/>
  <c r="S2424" i="8"/>
  <c r="S2427" i="8"/>
  <c r="S2428" i="8"/>
  <c r="S2431" i="8"/>
  <c r="S2432" i="8"/>
  <c r="S2435" i="8"/>
  <c r="S2436" i="8"/>
  <c r="S2440" i="8"/>
  <c r="S2444" i="8"/>
  <c r="S2460" i="8"/>
  <c r="S2464" i="8"/>
  <c r="S2476" i="8"/>
  <c r="S2480" i="8"/>
  <c r="S2496" i="8"/>
  <c r="S2533" i="8"/>
  <c r="S2545" i="8"/>
  <c r="S2577" i="8"/>
  <c r="S2581" i="8"/>
  <c r="S2597" i="8"/>
  <c r="S2613" i="8"/>
  <c r="S2629" i="8"/>
  <c r="S2661" i="8"/>
  <c r="S2673" i="8"/>
  <c r="S2693" i="8"/>
  <c r="S2705" i="8"/>
  <c r="S2709" i="8"/>
  <c r="S2725" i="8"/>
  <c r="S2540" i="8"/>
  <c r="S2822" i="8"/>
  <c r="S2826" i="8"/>
  <c r="S2830" i="8"/>
  <c r="S2834" i="8"/>
  <c r="S2838" i="8"/>
  <c r="S2501" i="8"/>
  <c r="S2556" i="8"/>
  <c r="S2560" i="8"/>
  <c r="S2565" i="8"/>
  <c r="S2572" i="8"/>
  <c r="S2588" i="8"/>
  <c r="S2592" i="8"/>
  <c r="S2604" i="8"/>
  <c r="S2609" i="8"/>
  <c r="S2620" i="8"/>
  <c r="S2624" i="8"/>
  <c r="S2636" i="8"/>
  <c r="S2641" i="8"/>
  <c r="S2645" i="8"/>
  <c r="S2652" i="8"/>
  <c r="S2656" i="8"/>
  <c r="S2668" i="8"/>
  <c r="S2677" i="8"/>
  <c r="S2684" i="8"/>
  <c r="S2688" i="8"/>
  <c r="S2700" i="8"/>
  <c r="S2716" i="8"/>
  <c r="S2720" i="8"/>
  <c r="S2549" i="8"/>
  <c r="S2155" i="8"/>
  <c r="S2207" i="8"/>
  <c r="S2219" i="8"/>
  <c r="S2251" i="8"/>
  <c r="S2469" i="8"/>
  <c r="S2485" i="8"/>
  <c r="S2139" i="8"/>
  <c r="S2692" i="8"/>
  <c r="S2696" i="8"/>
  <c r="S2708" i="8"/>
  <c r="S2712" i="8"/>
  <c r="S2724" i="8"/>
  <c r="S2728" i="8"/>
  <c r="S2127" i="8"/>
  <c r="S2761" i="8"/>
  <c r="S2157" i="8"/>
  <c r="S2165" i="8"/>
  <c r="S2182" i="8"/>
  <c r="S2237" i="8"/>
  <c r="S2261" i="8"/>
  <c r="S2161" i="8"/>
  <c r="S2166" i="8"/>
  <c r="S2174" i="8"/>
  <c r="S2177" i="8"/>
  <c r="S2185" i="8"/>
  <c r="S2198" i="8"/>
  <c r="S2206" i="8"/>
  <c r="S2210" i="8"/>
  <c r="S2221" i="8"/>
  <c r="S2225" i="8"/>
  <c r="S2233" i="8"/>
  <c r="S2250" i="8"/>
  <c r="S2257" i="8"/>
  <c r="S2266" i="8"/>
  <c r="S2269" i="8"/>
  <c r="S2278" i="8"/>
  <c r="S2282" i="8"/>
  <c r="S2285" i="8"/>
  <c r="S2298" i="8"/>
  <c r="S2305" i="8"/>
  <c r="S2313" i="8"/>
  <c r="S2322" i="8"/>
  <c r="S2122" i="8"/>
  <c r="S2125" i="8"/>
  <c r="S2126" i="8"/>
  <c r="S2129" i="8"/>
  <c r="S2130" i="8"/>
  <c r="S2133" i="8"/>
  <c r="S2134" i="8"/>
  <c r="S2137" i="8"/>
  <c r="S2138" i="8"/>
  <c r="S2141" i="8"/>
  <c r="S2142" i="8"/>
  <c r="S2145" i="8"/>
  <c r="S2146" i="8"/>
  <c r="S2153" i="8"/>
  <c r="S2154" i="8"/>
  <c r="S2158" i="8"/>
  <c r="S2162" i="8"/>
  <c r="S2169" i="8"/>
  <c r="S2173" i="8"/>
  <c r="S2178" i="8"/>
  <c r="S2181" i="8"/>
  <c r="S2189" i="8"/>
  <c r="S2194" i="8"/>
  <c r="S2202" i="8"/>
  <c r="S2209" i="8"/>
  <c r="S2214" i="8"/>
  <c r="S2217" i="8"/>
  <c r="S2218" i="8"/>
  <c r="S2226" i="8"/>
  <c r="S2230" i="8"/>
  <c r="S2238" i="8"/>
  <c r="S2242" i="8"/>
  <c r="S2246" i="8"/>
  <c r="S2253" i="8"/>
  <c r="S2258" i="8"/>
  <c r="S2274" i="8"/>
  <c r="S2277" i="8"/>
  <c r="S2281" i="8"/>
  <c r="S2290" i="8"/>
  <c r="S2294" i="8"/>
  <c r="S2297" i="8"/>
  <c r="S2302" i="8"/>
  <c r="S2306" i="8"/>
  <c r="S2310" i="8"/>
  <c r="S2314" i="8"/>
  <c r="S2318" i="8"/>
  <c r="S2124" i="8"/>
  <c r="S2128" i="8"/>
  <c r="S2132" i="8"/>
  <c r="S2136" i="8"/>
  <c r="S2170" i="8"/>
  <c r="S2186" i="8"/>
  <c r="S2190" i="8"/>
  <c r="S2193" i="8"/>
  <c r="S2197" i="8"/>
  <c r="S2201" i="8"/>
  <c r="S2205" i="8"/>
  <c r="S2213" i="8"/>
  <c r="S2222" i="8"/>
  <c r="S2229" i="8"/>
  <c r="S2234" i="8"/>
  <c r="S2241" i="8"/>
  <c r="S2245" i="8"/>
  <c r="S2249" i="8"/>
  <c r="S2254" i="8"/>
  <c r="S2262" i="8"/>
  <c r="S2265" i="8"/>
  <c r="S2270" i="8"/>
  <c r="S2273" i="8"/>
  <c r="S2286" i="8"/>
  <c r="S2289" i="8"/>
  <c r="S2293" i="8"/>
  <c r="S2301" i="8"/>
  <c r="S2309" i="8"/>
  <c r="S2317" i="8"/>
  <c r="S2151" i="8"/>
  <c r="S2159" i="8"/>
  <c r="S2171" i="8"/>
  <c r="S2179" i="8"/>
  <c r="S2183" i="8"/>
  <c r="S2191" i="8"/>
  <c r="S2203" i="8"/>
  <c r="S2211" i="8"/>
  <c r="S2215" i="8"/>
  <c r="S2223" i="8"/>
  <c r="S2235" i="8"/>
  <c r="S2243" i="8"/>
  <c r="S2247" i="8"/>
  <c r="S2255" i="8"/>
  <c r="S2267" i="8"/>
  <c r="S2275" i="8"/>
  <c r="S2279" i="8"/>
  <c r="S2287" i="8"/>
  <c r="S2299" i="8"/>
  <c r="S2307" i="8"/>
  <c r="S2321" i="8"/>
  <c r="S2140" i="8"/>
  <c r="S2144" i="8"/>
  <c r="S2152" i="8"/>
  <c r="S2156" i="8"/>
  <c r="S2160" i="8"/>
  <c r="S2164" i="8"/>
  <c r="S2168" i="8"/>
  <c r="S2172" i="8"/>
  <c r="S2176" i="8"/>
  <c r="S2180" i="8"/>
  <c r="S2184" i="8"/>
  <c r="S2188" i="8"/>
  <c r="S2192" i="8"/>
  <c r="S2196" i="8"/>
  <c r="S2200" i="8"/>
  <c r="S2204" i="8"/>
  <c r="S2208" i="8"/>
  <c r="S2212" i="8"/>
  <c r="S2216" i="8"/>
  <c r="S2220" i="8"/>
  <c r="S2224" i="8"/>
  <c r="S2228" i="8"/>
  <c r="S2232" i="8"/>
  <c r="S2236" i="8"/>
  <c r="S2240" i="8"/>
  <c r="S2244" i="8"/>
  <c r="S2248" i="8"/>
  <c r="S2252" i="8"/>
  <c r="S2256" i="8"/>
  <c r="S2260" i="8"/>
  <c r="S2264" i="8"/>
  <c r="S2268" i="8"/>
  <c r="S2272" i="8"/>
  <c r="S2276" i="8"/>
  <c r="S2280" i="8"/>
  <c r="S2284" i="8"/>
  <c r="S2288" i="8"/>
  <c r="S2292" i="8"/>
  <c r="S2296" i="8"/>
  <c r="S2300" i="8"/>
  <c r="S2304" i="8"/>
  <c r="S2308" i="8"/>
  <c r="S2312" i="8"/>
  <c r="R2149" i="8"/>
  <c r="R2150" i="8"/>
  <c r="S2532" i="8"/>
  <c r="S2536" i="8"/>
  <c r="S2548" i="8"/>
  <c r="S2552" i="8"/>
  <c r="S2564" i="8"/>
  <c r="S2568" i="8"/>
  <c r="S2580" i="8"/>
  <c r="S2584" i="8"/>
  <c r="S2596" i="8"/>
  <c r="S2600" i="8"/>
  <c r="S2612" i="8"/>
  <c r="S2616" i="8"/>
  <c r="S2628" i="8"/>
  <c r="S2632" i="8"/>
  <c r="S2644" i="8"/>
  <c r="S2648" i="8"/>
  <c r="S2660" i="8"/>
  <c r="S2664" i="8"/>
  <c r="S2676" i="8"/>
  <c r="S2680" i="8"/>
  <c r="S2325" i="8"/>
  <c r="S2326" i="8"/>
  <c r="S2329" i="8"/>
  <c r="S2330" i="8"/>
  <c r="S2333" i="8"/>
  <c r="S2334" i="8"/>
  <c r="S2337" i="8"/>
  <c r="S2338" i="8"/>
  <c r="S2341" i="8"/>
  <c r="S2342" i="8"/>
  <c r="S2345" i="8"/>
  <c r="S2346" i="8"/>
  <c r="S2349" i="8"/>
  <c r="S2350" i="8"/>
  <c r="S2353" i="8"/>
  <c r="S2354" i="8"/>
  <c r="S2357" i="8"/>
  <c r="S2358" i="8"/>
  <c r="S2361" i="8"/>
  <c r="S2362" i="8"/>
  <c r="S2365" i="8"/>
  <c r="S2366" i="8"/>
  <c r="S2369" i="8"/>
  <c r="S2370" i="8"/>
  <c r="S2373" i="8"/>
  <c r="S2374" i="8"/>
  <c r="S2377" i="8"/>
  <c r="S2378" i="8"/>
  <c r="S2381" i="8"/>
  <c r="S2382" i="8"/>
  <c r="S2385" i="8"/>
  <c r="S2386" i="8"/>
  <c r="S2389" i="8"/>
  <c r="S2390" i="8"/>
  <c r="S2393" i="8"/>
  <c r="S2394" i="8"/>
  <c r="S2397" i="8"/>
  <c r="S2398" i="8"/>
  <c r="S2401" i="8"/>
  <c r="S2402" i="8"/>
  <c r="S2405" i="8"/>
  <c r="S2406" i="8"/>
  <c r="S2409" i="8"/>
  <c r="S2410" i="8"/>
  <c r="S2413" i="8"/>
  <c r="S2414" i="8"/>
  <c r="S2417" i="8"/>
  <c r="S2418" i="8"/>
  <c r="S2421" i="8"/>
  <c r="S2422" i="8"/>
  <c r="S2425" i="8"/>
  <c r="S2426" i="8"/>
  <c r="S2429" i="8"/>
  <c r="S2430" i="8"/>
  <c r="S2433" i="8"/>
  <c r="S2434" i="8"/>
  <c r="S2437" i="8"/>
  <c r="S2438" i="8"/>
  <c r="S2441" i="8"/>
  <c r="S2442" i="8"/>
  <c r="S2446" i="8"/>
  <c r="S2450" i="8"/>
  <c r="S2453" i="8"/>
  <c r="S2454" i="8"/>
  <c r="S2457" i="8"/>
  <c r="S2458" i="8"/>
  <c r="S2461" i="8"/>
  <c r="S2462" i="8"/>
  <c r="S2466" i="8"/>
  <c r="S2470" i="8"/>
  <c r="S2473" i="8"/>
  <c r="S2474" i="8"/>
  <c r="S2477" i="8"/>
  <c r="S2478" i="8"/>
  <c r="S2482" i="8"/>
  <c r="S2486" i="8"/>
  <c r="S2489" i="8"/>
  <c r="S2490" i="8"/>
  <c r="S2493" i="8"/>
  <c r="S2494" i="8"/>
  <c r="S2498" i="8"/>
  <c r="S2448" i="8"/>
  <c r="S2452" i="8"/>
  <c r="S2456" i="8"/>
  <c r="S2468" i="8"/>
  <c r="S2472" i="8"/>
  <c r="S2484" i="8"/>
  <c r="S2488" i="8"/>
  <c r="S2500" i="8"/>
  <c r="S2534" i="8"/>
  <c r="S2537" i="8"/>
  <c r="S2538" i="8"/>
  <c r="S2541" i="8"/>
  <c r="S2542" i="8"/>
  <c r="S2546" i="8"/>
  <c r="S2550" i="8"/>
  <c r="S2553" i="8"/>
  <c r="S2554" i="8"/>
  <c r="S2557" i="8"/>
  <c r="S2558" i="8"/>
  <c r="S2562" i="8"/>
  <c r="S2566" i="8"/>
  <c r="S2569" i="8"/>
  <c r="S2570" i="8"/>
  <c r="S2573" i="8"/>
  <c r="S2574" i="8"/>
  <c r="S2578" i="8"/>
  <c r="S2582" i="8"/>
  <c r="S2585" i="8"/>
  <c r="S2586" i="8"/>
  <c r="S2589" i="8"/>
  <c r="S2590" i="8"/>
  <c r="S2594" i="8"/>
  <c r="S2598" i="8"/>
  <c r="S2601" i="8"/>
  <c r="S2602" i="8"/>
  <c r="S2605" i="8"/>
  <c r="S2606" i="8"/>
  <c r="S2610" i="8"/>
  <c r="S2614" i="8"/>
  <c r="S2617" i="8"/>
  <c r="S2618" i="8"/>
  <c r="S2621" i="8"/>
  <c r="S2622" i="8"/>
  <c r="S2626" i="8"/>
  <c r="S2630" i="8"/>
  <c r="S2633" i="8"/>
  <c r="S2634" i="8"/>
  <c r="S2637" i="8"/>
  <c r="S2638" i="8"/>
  <c r="S2642" i="8"/>
  <c r="S2646" i="8"/>
  <c r="S2649" i="8"/>
  <c r="S2650" i="8"/>
  <c r="S2653" i="8"/>
  <c r="S2654" i="8"/>
  <c r="S2658" i="8"/>
  <c r="S2662" i="8"/>
  <c r="S2665" i="8"/>
  <c r="S2666" i="8"/>
  <c r="S2669" i="8"/>
  <c r="S2670" i="8"/>
  <c r="S2674" i="8"/>
  <c r="S2678" i="8"/>
  <c r="S2681" i="8"/>
  <c r="S2682" i="8"/>
  <c r="S2685" i="8"/>
  <c r="S2686" i="8"/>
  <c r="S2439" i="8"/>
  <c r="S2443" i="8"/>
  <c r="S2447" i="8"/>
  <c r="S2451" i="8"/>
  <c r="S2459" i="8"/>
  <c r="S2463" i="8"/>
  <c r="S2467" i="8"/>
  <c r="S2471" i="8"/>
  <c r="S2475" i="8"/>
  <c r="S2479" i="8"/>
  <c r="S2483" i="8"/>
  <c r="S2487" i="8"/>
  <c r="S2491" i="8"/>
  <c r="S2495" i="8"/>
  <c r="S2499" i="8"/>
  <c r="S2531" i="8"/>
  <c r="S2535" i="8"/>
  <c r="S2539" i="8"/>
  <c r="S2543" i="8"/>
  <c r="S2547" i="8"/>
  <c r="S2551" i="8"/>
  <c r="S2555" i="8"/>
  <c r="S2559" i="8"/>
  <c r="S2563" i="8"/>
  <c r="S2567" i="8"/>
  <c r="S2571" i="8"/>
  <c r="S2575" i="8"/>
  <c r="S2579" i="8"/>
  <c r="S2583" i="8"/>
  <c r="S2587" i="8"/>
  <c r="S2591" i="8"/>
  <c r="S2595" i="8"/>
  <c r="S2599" i="8"/>
  <c r="S2603" i="8"/>
  <c r="S2607" i="8"/>
  <c r="S2611" i="8"/>
  <c r="S2615" i="8"/>
  <c r="S2619" i="8"/>
  <c r="S2623" i="8"/>
  <c r="S2627" i="8"/>
  <c r="S2631" i="8"/>
  <c r="S2635" i="8"/>
  <c r="S2639" i="8"/>
  <c r="S2643" i="8"/>
  <c r="S2647" i="8"/>
  <c r="S2651" i="8"/>
  <c r="S2655" i="8"/>
  <c r="S2659" i="8"/>
  <c r="S2663" i="8"/>
  <c r="S2667" i="8"/>
  <c r="S2671" i="8"/>
  <c r="S2675" i="8"/>
  <c r="S2679" i="8"/>
  <c r="S2683" i="8"/>
  <c r="S2687" i="8"/>
  <c r="S2691" i="8"/>
  <c r="S2695" i="8"/>
  <c r="S2699" i="8"/>
  <c r="S2703" i="8"/>
  <c r="S2707" i="8"/>
  <c r="S2711" i="8"/>
  <c r="S2715" i="8"/>
  <c r="S2719" i="8"/>
  <c r="S2723" i="8"/>
  <c r="S2727" i="8"/>
  <c r="S2690" i="8"/>
  <c r="S2694" i="8"/>
  <c r="S2697" i="8"/>
  <c r="S2698" i="8"/>
  <c r="S2701" i="8"/>
  <c r="S2702" i="8"/>
  <c r="S2706" i="8"/>
  <c r="S2710" i="8"/>
  <c r="S2713" i="8"/>
  <c r="S2714" i="8"/>
  <c r="S2717" i="8"/>
  <c r="S2718" i="8"/>
  <c r="S2722" i="8"/>
  <c r="S2726" i="8"/>
  <c r="S2729" i="8"/>
  <c r="S2730" i="8"/>
  <c r="S2821" i="8"/>
  <c r="S2791" i="8"/>
  <c r="S2762" i="8"/>
  <c r="S2760" i="8"/>
  <c r="R2982" i="8" l="1"/>
  <c r="S2982" i="8"/>
  <c r="S2811" i="8"/>
  <c r="S2810" i="8"/>
  <c r="S2736" i="8"/>
  <c r="S2744" i="8"/>
  <c r="S2752" i="8"/>
  <c r="S2735" i="8"/>
  <c r="S2743" i="8"/>
  <c r="S2751" i="8"/>
  <c r="S2759" i="8"/>
  <c r="S2765" i="8"/>
  <c r="S2773" i="8"/>
  <c r="S2781" i="8"/>
  <c r="S2789" i="8"/>
  <c r="S2792" i="8"/>
  <c r="S2800" i="8"/>
  <c r="S2808" i="8"/>
  <c r="S2816" i="8"/>
  <c r="S2766" i="8"/>
  <c r="S2774" i="8"/>
  <c r="S2782" i="8"/>
  <c r="S2790" i="8"/>
  <c r="S2793" i="8"/>
  <c r="S2801" i="8"/>
  <c r="S2809" i="8"/>
  <c r="S2817" i="8"/>
  <c r="S2767" i="8"/>
  <c r="S2775" i="8"/>
  <c r="S2783" i="8"/>
  <c r="S2794" i="8"/>
  <c r="S2802" i="8"/>
  <c r="S2818" i="8"/>
  <c r="S2768" i="8"/>
  <c r="S2776" i="8"/>
  <c r="S2784" i="8"/>
  <c r="S2795" i="8"/>
  <c r="S2803" i="8"/>
  <c r="S2819" i="8"/>
  <c r="S2731" i="8"/>
  <c r="S2739" i="8"/>
  <c r="S2747" i="8"/>
  <c r="S2755" i="8"/>
  <c r="S2769" i="8"/>
  <c r="S2777" i="8"/>
  <c r="S2785" i="8"/>
  <c r="S2796" i="8"/>
  <c r="S2804" i="8"/>
  <c r="S2812" i="8"/>
  <c r="S2820" i="8"/>
  <c r="S2981" i="8"/>
  <c r="S2732" i="8"/>
  <c r="S2740" i="8"/>
  <c r="S2748" i="8"/>
  <c r="S2756" i="8"/>
  <c r="S2770" i="8"/>
  <c r="S2778" i="8"/>
  <c r="S2786" i="8"/>
  <c r="S2797" i="8"/>
  <c r="S2805" i="8"/>
  <c r="S2813" i="8"/>
  <c r="S2798" i="8"/>
  <c r="S2806" i="8"/>
  <c r="S2814" i="8"/>
  <c r="S2737" i="8"/>
  <c r="S2745" i="8"/>
  <c r="S2753" i="8"/>
  <c r="S2738" i="8"/>
  <c r="S2746" i="8"/>
  <c r="S2754" i="8"/>
  <c r="S2733" i="8"/>
  <c r="S2741" i="8"/>
  <c r="S2749" i="8"/>
  <c r="S2757" i="8"/>
  <c r="S2763" i="8"/>
  <c r="S2771" i="8"/>
  <c r="S2779" i="8"/>
  <c r="S2787" i="8"/>
  <c r="S2734" i="8"/>
  <c r="S2742" i="8"/>
  <c r="S2750" i="8"/>
  <c r="S2758" i="8"/>
  <c r="S2764" i="8"/>
  <c r="S2772" i="8"/>
  <c r="S2780" i="8"/>
  <c r="S2788" i="8"/>
  <c r="S2799" i="8"/>
  <c r="S2807" i="8"/>
  <c r="S2815" i="8"/>
  <c r="S2502" i="8" l="1"/>
  <c r="S2147" i="8"/>
  <c r="S2508" i="8" l="1"/>
  <c r="S2516" i="8"/>
  <c r="S2524" i="8"/>
  <c r="S2509" i="8"/>
  <c r="S2517" i="8"/>
  <c r="S2525" i="8"/>
  <c r="S2510" i="8"/>
  <c r="S2518" i="8"/>
  <c r="S2526" i="8"/>
  <c r="S2503" i="8"/>
  <c r="S2511" i="8"/>
  <c r="S2519" i="8"/>
  <c r="S2527" i="8"/>
  <c r="S2504" i="8"/>
  <c r="S2512" i="8"/>
  <c r="S2520" i="8"/>
  <c r="S2528" i="8"/>
  <c r="S2505" i="8"/>
  <c r="S2513" i="8"/>
  <c r="S2521" i="8"/>
  <c r="S2529" i="8"/>
  <c r="S2506" i="8"/>
  <c r="S2514" i="8"/>
  <c r="S2522" i="8"/>
  <c r="S2530" i="8"/>
  <c r="S2507" i="8"/>
  <c r="S2515" i="8"/>
  <c r="S2523" i="8"/>
  <c r="R2002" i="8" l="1"/>
  <c r="S2002" i="8"/>
  <c r="R2003" i="8"/>
  <c r="S2003" i="8"/>
  <c r="R2004" i="8"/>
  <c r="S2004" i="8"/>
  <c r="R2005" i="8"/>
  <c r="S2005" i="8"/>
  <c r="R2006" i="8"/>
  <c r="S2006" i="8"/>
  <c r="R2007" i="8"/>
  <c r="S2007" i="8"/>
  <c r="R2008" i="8"/>
  <c r="S2008" i="8"/>
  <c r="R2009" i="8"/>
  <c r="S2009" i="8"/>
  <c r="R2010" i="8"/>
  <c r="S2010" i="8"/>
  <c r="R2011" i="8"/>
  <c r="S2011" i="8"/>
  <c r="R2012" i="8"/>
  <c r="S2012" i="8"/>
  <c r="R2013" i="8"/>
  <c r="S2013" i="8"/>
  <c r="R2014" i="8"/>
  <c r="S2014" i="8"/>
  <c r="R2015" i="8"/>
  <c r="S2015" i="8"/>
  <c r="R2016" i="8"/>
  <c r="S2016" i="8"/>
  <c r="R2017" i="8"/>
  <c r="S2017" i="8"/>
  <c r="R2018" i="8"/>
  <c r="S2018" i="8"/>
  <c r="R2019" i="8"/>
  <c r="S2019" i="8"/>
  <c r="R2020" i="8"/>
  <c r="S2020" i="8"/>
  <c r="R2021" i="8"/>
  <c r="S2021" i="8"/>
  <c r="R2022" i="8"/>
  <c r="S2022" i="8"/>
  <c r="R2023" i="8"/>
  <c r="S2023" i="8"/>
  <c r="R2024" i="8"/>
  <c r="S2024" i="8"/>
  <c r="R2025" i="8"/>
  <c r="S2025" i="8"/>
  <c r="R2026" i="8"/>
  <c r="S2026" i="8"/>
  <c r="R2027" i="8"/>
  <c r="S2027" i="8"/>
  <c r="R2028" i="8"/>
  <c r="S2028" i="8"/>
  <c r="R2029" i="8"/>
  <c r="S2029" i="8"/>
  <c r="R2030" i="8"/>
  <c r="S2030" i="8"/>
  <c r="R2031" i="8"/>
  <c r="S2031" i="8"/>
  <c r="R2032" i="8"/>
  <c r="S2032" i="8"/>
  <c r="R2033" i="8"/>
  <c r="S2033" i="8"/>
  <c r="R2034" i="8"/>
  <c r="S2034" i="8"/>
  <c r="R2035" i="8"/>
  <c r="S2035" i="8"/>
  <c r="R2036" i="8"/>
  <c r="S2036" i="8"/>
  <c r="R2037" i="8"/>
  <c r="S2037" i="8"/>
  <c r="R2038" i="8"/>
  <c r="S2038" i="8"/>
  <c r="R2039" i="8"/>
  <c r="S2039" i="8"/>
  <c r="R2040" i="8"/>
  <c r="S2040" i="8"/>
  <c r="R2041" i="8"/>
  <c r="S2041" i="8"/>
  <c r="R2042" i="8"/>
  <c r="S2042" i="8"/>
  <c r="R2043" i="8"/>
  <c r="S2043" i="8"/>
  <c r="R2044" i="8"/>
  <c r="S2044" i="8"/>
  <c r="R2045" i="8"/>
  <c r="S2045" i="8"/>
  <c r="R2046" i="8"/>
  <c r="S2046" i="8"/>
  <c r="R2047" i="8"/>
  <c r="S2047" i="8"/>
  <c r="R2048" i="8"/>
  <c r="S2048" i="8"/>
  <c r="R2049" i="8"/>
  <c r="S2049" i="8"/>
  <c r="R2050" i="8"/>
  <c r="S2050" i="8"/>
  <c r="R2051" i="8"/>
  <c r="S2051" i="8"/>
  <c r="R2052" i="8"/>
  <c r="S2052" i="8"/>
  <c r="R2053" i="8"/>
  <c r="S2053" i="8"/>
  <c r="R2054" i="8"/>
  <c r="S2054" i="8"/>
  <c r="R2055" i="8"/>
  <c r="S2055" i="8"/>
  <c r="R2056" i="8"/>
  <c r="S2056" i="8"/>
  <c r="R2057" i="8"/>
  <c r="S2057" i="8"/>
  <c r="R2058" i="8"/>
  <c r="S2058" i="8"/>
  <c r="R2059" i="8"/>
  <c r="S2059" i="8"/>
  <c r="R2060" i="8"/>
  <c r="S2060" i="8"/>
  <c r="R2061" i="8"/>
  <c r="S2061" i="8"/>
  <c r="R2062" i="8"/>
  <c r="S2062" i="8"/>
  <c r="R2063" i="8"/>
  <c r="S2063" i="8"/>
  <c r="R2064" i="8"/>
  <c r="S2064" i="8"/>
  <c r="R2065" i="8"/>
  <c r="S2065" i="8"/>
  <c r="R2066" i="8"/>
  <c r="S2066" i="8"/>
  <c r="R2067" i="8"/>
  <c r="S2067" i="8"/>
  <c r="R2068" i="8"/>
  <c r="S2068" i="8"/>
  <c r="R2069" i="8"/>
  <c r="S2069" i="8"/>
  <c r="R2070" i="8"/>
  <c r="S2070" i="8"/>
  <c r="R2071" i="8"/>
  <c r="S2071" i="8"/>
  <c r="R2072" i="8"/>
  <c r="S2072" i="8"/>
  <c r="R2073" i="8"/>
  <c r="S2073" i="8"/>
  <c r="R2074" i="8"/>
  <c r="S2074" i="8"/>
  <c r="R2075" i="8"/>
  <c r="S2075" i="8"/>
  <c r="R2076" i="8"/>
  <c r="S2076" i="8"/>
  <c r="R2077" i="8"/>
  <c r="S2077" i="8"/>
  <c r="R2078" i="8"/>
  <c r="S2078" i="8"/>
  <c r="R2079" i="8"/>
  <c r="S2079" i="8"/>
  <c r="R2080" i="8"/>
  <c r="S2080" i="8"/>
  <c r="R2081" i="8"/>
  <c r="S2081" i="8"/>
  <c r="R2082" i="8"/>
  <c r="S2082" i="8"/>
  <c r="R2083" i="8"/>
  <c r="S2083" i="8"/>
  <c r="R2084" i="8"/>
  <c r="S2084" i="8"/>
  <c r="R2085" i="8"/>
  <c r="S2085" i="8"/>
  <c r="R2086" i="8"/>
  <c r="S2086" i="8"/>
  <c r="R2087" i="8"/>
  <c r="S2087" i="8"/>
  <c r="R2088" i="8"/>
  <c r="S2088" i="8"/>
  <c r="R2089" i="8"/>
  <c r="S2089" i="8"/>
  <c r="R2090" i="8"/>
  <c r="S2090" i="8"/>
  <c r="R2091" i="8"/>
  <c r="S2091" i="8"/>
  <c r="R2092" i="8"/>
  <c r="S2092" i="8"/>
  <c r="R2093" i="8"/>
  <c r="S2093" i="8"/>
  <c r="R2094" i="8"/>
  <c r="S2094" i="8"/>
  <c r="R2095" i="8"/>
  <c r="S2095" i="8"/>
  <c r="R2096" i="8"/>
  <c r="S2096" i="8"/>
  <c r="R2097" i="8"/>
  <c r="S2097" i="8"/>
  <c r="R2098" i="8"/>
  <c r="S2098" i="8"/>
  <c r="R2099" i="8"/>
  <c r="S2099" i="8"/>
  <c r="R2100" i="8"/>
  <c r="S2100" i="8"/>
  <c r="R2101" i="8"/>
  <c r="S2101" i="8"/>
  <c r="R2102" i="8"/>
  <c r="S2102" i="8"/>
  <c r="R2103" i="8"/>
  <c r="S2103" i="8"/>
  <c r="R2104" i="8"/>
  <c r="S2104" i="8"/>
  <c r="R2105" i="8"/>
  <c r="S2105" i="8"/>
  <c r="R2106" i="8"/>
  <c r="S2106" i="8"/>
  <c r="R2107" i="8"/>
  <c r="S2107" i="8"/>
  <c r="R2108" i="8"/>
  <c r="S2108" i="8"/>
  <c r="R2109" i="8"/>
  <c r="S2109" i="8"/>
  <c r="R2110" i="8"/>
  <c r="S2110" i="8"/>
  <c r="R2111" i="8"/>
  <c r="S2111" i="8"/>
  <c r="R2112" i="8"/>
  <c r="S2112" i="8"/>
  <c r="R2113" i="8"/>
  <c r="S2113" i="8"/>
  <c r="R2114" i="8"/>
  <c r="S2114" i="8"/>
  <c r="R2115" i="8"/>
  <c r="S2115" i="8"/>
  <c r="R2116" i="8"/>
  <c r="S2116" i="8"/>
  <c r="R2117" i="8"/>
  <c r="S2117" i="8"/>
  <c r="R2118" i="8"/>
  <c r="S2118" i="8"/>
  <c r="R2119" i="8"/>
  <c r="S2119" i="8"/>
  <c r="R2120" i="8"/>
  <c r="S2120" i="8"/>
  <c r="R2121" i="8"/>
  <c r="S2121" i="8" l="1"/>
  <c r="AH2349" i="3"/>
  <c r="AH2348" i="3"/>
  <c r="AH2347" i="3"/>
  <c r="AH2346" i="3"/>
  <c r="AH2345" i="3"/>
  <c r="AH2344" i="3"/>
  <c r="AH2343" i="3"/>
  <c r="AH2342" i="3"/>
  <c r="AH2341" i="3"/>
  <c r="AH2340" i="3"/>
  <c r="AH2339" i="3"/>
  <c r="AH2338" i="3"/>
  <c r="AH2337" i="3"/>
  <c r="AH2336" i="3"/>
  <c r="AH2335" i="3"/>
  <c r="AH2334" i="3"/>
  <c r="AH2333" i="3"/>
  <c r="AH2332" i="3"/>
  <c r="AH2331" i="3"/>
  <c r="AH2330" i="3"/>
  <c r="AH2329" i="3"/>
  <c r="AH2328" i="3"/>
  <c r="AH2327" i="3"/>
  <c r="AH2326" i="3"/>
  <c r="AH2325" i="3"/>
  <c r="AH2324" i="3"/>
  <c r="AH2323" i="3"/>
  <c r="AH2322" i="3"/>
  <c r="AH2321" i="3"/>
  <c r="AH2320" i="3"/>
  <c r="AH2319" i="3"/>
  <c r="AH2318" i="3"/>
  <c r="AH2317" i="3"/>
  <c r="AH2316" i="3"/>
  <c r="AH2315" i="3"/>
  <c r="AH2314" i="3"/>
  <c r="AH2313" i="3"/>
  <c r="AH2312" i="3"/>
  <c r="AH2311" i="3"/>
  <c r="AH2310" i="3"/>
  <c r="AH2309" i="3"/>
  <c r="AH2308" i="3"/>
  <c r="AH2307" i="3"/>
  <c r="AH2306" i="3"/>
  <c r="AH2305" i="3"/>
  <c r="AH2304" i="3"/>
  <c r="AH2303" i="3"/>
  <c r="AH2302" i="3"/>
  <c r="AH2301" i="3"/>
  <c r="AH2300" i="3"/>
  <c r="AH2299" i="3"/>
  <c r="AH2298" i="3"/>
  <c r="AH2297" i="3"/>
  <c r="AH2296" i="3"/>
  <c r="AH2295" i="3"/>
  <c r="AH2294" i="3"/>
  <c r="AH2293" i="3"/>
  <c r="AH2292" i="3"/>
  <c r="AH2291" i="3"/>
  <c r="AH2290" i="3"/>
  <c r="AH2289" i="3"/>
  <c r="AH2288" i="3"/>
  <c r="AH2287" i="3"/>
  <c r="AH2286" i="3"/>
  <c r="AH2285" i="3"/>
  <c r="AH2284" i="3"/>
  <c r="AH2283" i="3"/>
  <c r="AH2282" i="3"/>
  <c r="AH2281" i="3"/>
  <c r="AH2280" i="3"/>
  <c r="AH2279" i="3"/>
  <c r="AH2278" i="3"/>
  <c r="AH2277" i="3"/>
  <c r="AH2276" i="3"/>
  <c r="AH2275" i="3"/>
  <c r="AH2274" i="3"/>
  <c r="AH2273" i="3"/>
  <c r="AH2272" i="3"/>
  <c r="AH2271" i="3"/>
  <c r="AH2270" i="3"/>
  <c r="AH2269" i="3"/>
  <c r="AH2268" i="3"/>
  <c r="AH2267" i="3"/>
  <c r="AH2266" i="3"/>
  <c r="AH2265" i="3"/>
  <c r="AH2264" i="3"/>
  <c r="AH2263" i="3"/>
  <c r="AH2262" i="3"/>
  <c r="AH2261" i="3"/>
  <c r="AH2260" i="3"/>
  <c r="AH2259" i="3"/>
  <c r="AH2258" i="3"/>
  <c r="AH2257" i="3"/>
  <c r="AH2256" i="3"/>
  <c r="AH2255" i="3"/>
  <c r="AH2254" i="3"/>
  <c r="AH2252" i="3"/>
  <c r="AH2251" i="3"/>
  <c r="AH2250" i="3"/>
  <c r="AH2249" i="3"/>
  <c r="AH2248" i="3"/>
  <c r="AH2247" i="3"/>
  <c r="AH2246" i="3"/>
  <c r="AH2245" i="3"/>
  <c r="AH2244" i="3"/>
  <c r="AH2243" i="3"/>
  <c r="AH2242" i="3"/>
  <c r="AH2241" i="3"/>
  <c r="AH2240" i="3"/>
  <c r="AH2239" i="3"/>
  <c r="AH2238" i="3"/>
  <c r="AH2237" i="3"/>
  <c r="AH2236" i="3"/>
  <c r="AH2235" i="3"/>
  <c r="AH2234" i="3"/>
  <c r="AH2233" i="3"/>
  <c r="AH2232" i="3"/>
  <c r="AH2231" i="3"/>
  <c r="AH2230" i="3"/>
  <c r="AH2229" i="3"/>
  <c r="AH2228" i="3"/>
  <c r="AH2227" i="3"/>
  <c r="AH2226" i="3"/>
  <c r="AH2225" i="3"/>
  <c r="AH2224" i="3"/>
  <c r="AH2223" i="3"/>
  <c r="AH2222" i="3"/>
  <c r="AH2221" i="3"/>
  <c r="AH2220" i="3"/>
  <c r="AH2219" i="3"/>
  <c r="AH2218" i="3"/>
  <c r="AH2217" i="3"/>
  <c r="AH2216" i="3"/>
  <c r="AH2215" i="3"/>
  <c r="AH2214" i="3"/>
  <c r="AH2213" i="3"/>
  <c r="AH2212" i="3"/>
  <c r="AH2211" i="3"/>
  <c r="AH2210" i="3"/>
  <c r="AH2209" i="3"/>
  <c r="AH2208" i="3"/>
  <c r="AH2207" i="3"/>
  <c r="AH2206" i="3"/>
  <c r="AH2205" i="3"/>
  <c r="AH2204" i="3"/>
  <c r="AH2203" i="3"/>
  <c r="AH2202" i="3"/>
  <c r="AH2201" i="3"/>
  <c r="AH2200" i="3"/>
  <c r="AH2199" i="3"/>
  <c r="AH2198" i="3"/>
  <c r="AH2197" i="3"/>
  <c r="AH2196" i="3"/>
  <c r="AH2195" i="3"/>
  <c r="AH2194" i="3"/>
  <c r="AH2193" i="3"/>
  <c r="AH2192" i="3"/>
  <c r="AH2191" i="3"/>
  <c r="AH2190" i="3"/>
  <c r="AH2189" i="3"/>
  <c r="AH2188" i="3"/>
  <c r="AH2187" i="3"/>
  <c r="AH2186" i="3"/>
  <c r="AH2185" i="3"/>
  <c r="AH2184" i="3"/>
  <c r="AH2183" i="3"/>
  <c r="AH2182" i="3"/>
  <c r="AH2181" i="3"/>
  <c r="AH2180" i="3"/>
  <c r="AH2179" i="3"/>
  <c r="AH2178" i="3"/>
  <c r="AH2177" i="3"/>
  <c r="AH2176" i="3"/>
  <c r="AH2175" i="3"/>
  <c r="AH2174" i="3"/>
  <c r="AH2173" i="3"/>
  <c r="AH2172" i="3"/>
  <c r="AH2171" i="3"/>
  <c r="AH2170" i="3"/>
  <c r="H17" i="4" l="1"/>
  <c r="F17" i="4"/>
  <c r="AA11" i="2" l="1"/>
  <c r="O2467" i="2" l="1"/>
  <c r="K2467" i="2"/>
  <c r="P2467" i="2"/>
  <c r="N2467" i="2"/>
  <c r="M2467" i="2"/>
  <c r="L2467" i="2"/>
  <c r="J2467" i="2"/>
  <c r="J1199" i="2"/>
  <c r="P2116" i="2"/>
  <c r="M1971" i="2"/>
  <c r="N1793" i="2"/>
  <c r="J2284" i="2"/>
  <c r="M2280" i="2"/>
  <c r="N2116" i="2"/>
  <c r="J2116" i="2"/>
  <c r="P1004" i="2"/>
  <c r="J1798" i="2"/>
  <c r="L534" i="2"/>
  <c r="P766" i="2"/>
  <c r="P1576" i="2"/>
  <c r="N1199" i="2"/>
  <c r="N1057" i="2"/>
  <c r="N65" i="2"/>
  <c r="O1798" i="2"/>
  <c r="O2421" i="2"/>
  <c r="P534" i="2"/>
  <c r="L65" i="2"/>
  <c r="J2421" i="2"/>
  <c r="N155" i="2"/>
  <c r="N2197" i="2"/>
  <c r="J1057" i="2"/>
  <c r="O2197" i="2"/>
  <c r="M972" i="2"/>
  <c r="L2303" i="2"/>
  <c r="J715" i="2"/>
  <c r="P2280" i="2"/>
  <c r="O1566" i="2"/>
  <c r="M2288" i="2"/>
  <c r="J2280" i="2"/>
  <c r="N830" i="2"/>
  <c r="N2284" i="2"/>
  <c r="L2116" i="2"/>
  <c r="L1964" i="2"/>
  <c r="L2120" i="2"/>
  <c r="O155" i="2"/>
  <c r="L830" i="2"/>
  <c r="O1971" i="2"/>
  <c r="N766" i="2"/>
  <c r="O1004" i="2"/>
  <c r="K155" i="2"/>
  <c r="M1004" i="2"/>
  <c r="K1988" i="2"/>
  <c r="K729" i="2"/>
  <c r="K1004" i="2"/>
  <c r="N972" i="2"/>
  <c r="O1988" i="2"/>
  <c r="K830" i="2"/>
  <c r="P2303" i="2"/>
  <c r="M830" i="2"/>
  <c r="P1964" i="2"/>
  <c r="J1964" i="2"/>
  <c r="K2421" i="2"/>
  <c r="N1004" i="2"/>
  <c r="P65" i="2"/>
  <c r="K2280" i="2"/>
  <c r="P1566" i="2"/>
  <c r="P1117" i="2"/>
  <c r="O1057" i="2"/>
  <c r="P1167" i="2"/>
  <c r="O2116" i="2"/>
  <c r="M1964" i="2"/>
  <c r="M2197" i="2"/>
  <c r="J1117" i="2"/>
  <c r="J766" i="2"/>
  <c r="K1057" i="2"/>
  <c r="J830" i="2"/>
  <c r="K1576" i="2"/>
  <c r="L1199" i="2"/>
  <c r="P715" i="2"/>
  <c r="P1798" i="2"/>
  <c r="P2229" i="2"/>
  <c r="O972" i="2"/>
  <c r="P729" i="2"/>
  <c r="J1529" i="2"/>
  <c r="P2197" i="2"/>
  <c r="K2288" i="2"/>
  <c r="P1199" i="2"/>
  <c r="K1292" i="2"/>
  <c r="J2229" i="2"/>
  <c r="L2229" i="2"/>
  <c r="K1964" i="2"/>
  <c r="J65" i="2"/>
  <c r="L1576" i="2"/>
  <c r="N2280" i="2"/>
  <c r="L2284" i="2"/>
  <c r="M2284" i="2"/>
  <c r="N1167" i="2"/>
  <c r="L155" i="2"/>
  <c r="M766" i="2"/>
  <c r="M2303" i="2"/>
  <c r="J2120" i="2"/>
  <c r="O2303" i="2"/>
  <c r="K766" i="2"/>
  <c r="N1117" i="2"/>
  <c r="L1117" i="2"/>
  <c r="N715" i="2"/>
  <c r="K1971" i="2"/>
  <c r="L715" i="2"/>
  <c r="M1057" i="2"/>
  <c r="L1988" i="2"/>
  <c r="J155" i="2"/>
  <c r="O1167" i="2"/>
  <c r="P155" i="2"/>
  <c r="K1529" i="2"/>
  <c r="N1964" i="2"/>
  <c r="L2421" i="2"/>
  <c r="M1529" i="2"/>
  <c r="M1576" i="2"/>
  <c r="M1199" i="2"/>
  <c r="M65" i="2"/>
  <c r="K1798" i="2"/>
  <c r="J1971" i="2"/>
  <c r="O1292" i="2"/>
  <c r="L1971" i="2"/>
  <c r="N102" i="2"/>
  <c r="L2280" i="2"/>
  <c r="O1793" i="2"/>
  <c r="P2284" i="2"/>
  <c r="O766" i="2"/>
  <c r="N1292" i="2"/>
  <c r="K2116" i="2"/>
  <c r="O830" i="2"/>
  <c r="P450" i="2"/>
  <c r="J534" i="2"/>
  <c r="L1167" i="2"/>
  <c r="P1529" i="2"/>
  <c r="J1292" i="2"/>
  <c r="N2421" i="2"/>
  <c r="J102" i="2"/>
  <c r="L1292" i="2"/>
  <c r="J2197" i="2"/>
  <c r="O102" i="2"/>
  <c r="L766" i="2"/>
  <c r="K1117" i="2"/>
  <c r="L1529" i="2"/>
  <c r="K2120" i="2"/>
  <c r="N1529" i="2"/>
  <c r="K2229" i="2"/>
  <c r="J1167" i="2"/>
  <c r="L1004" i="2"/>
  <c r="O1199" i="2"/>
  <c r="L2197" i="2"/>
  <c r="L1798" i="2"/>
  <c r="K1566" i="2"/>
  <c r="L729" i="2"/>
  <c r="O2284" i="2"/>
  <c r="P1793" i="2"/>
  <c r="L1566" i="2"/>
  <c r="O715" i="2"/>
  <c r="M715" i="2"/>
  <c r="K450" i="2"/>
  <c r="P972" i="2"/>
  <c r="K1199" i="2"/>
  <c r="P1057" i="2"/>
  <c r="N1576" i="2"/>
  <c r="O1964" i="2"/>
  <c r="M1798" i="2"/>
  <c r="P2288" i="2"/>
  <c r="L450" i="2"/>
  <c r="N1798" i="2"/>
  <c r="K1167" i="2"/>
  <c r="M729" i="2"/>
  <c r="J450" i="2"/>
  <c r="L102" i="2"/>
  <c r="L2288" i="2"/>
  <c r="L1057" i="2"/>
  <c r="K102" i="2"/>
  <c r="O2120" i="2"/>
  <c r="N2303" i="2"/>
  <c r="M1566" i="2"/>
  <c r="O1117" i="2"/>
  <c r="L1793" i="2"/>
  <c r="J1793" i="2"/>
  <c r="K2284" i="2"/>
  <c r="J2288" i="2"/>
  <c r="J1566" i="2"/>
  <c r="K972" i="2"/>
  <c r="P1988" i="2"/>
  <c r="K715" i="2"/>
  <c r="M155" i="2"/>
  <c r="O1576" i="2"/>
  <c r="M2120" i="2"/>
  <c r="M1167" i="2"/>
  <c r="M1988" i="2"/>
  <c r="M534" i="2"/>
  <c r="J1988" i="2"/>
  <c r="M2229" i="2"/>
  <c r="M102" i="2"/>
  <c r="K534" i="2"/>
  <c r="N450" i="2"/>
  <c r="N1988" i="2"/>
  <c r="N2229" i="2"/>
  <c r="P102" i="2"/>
  <c r="J1576" i="2"/>
  <c r="M2421" i="2"/>
  <c r="M1117" i="2"/>
  <c r="M450" i="2"/>
  <c r="O2288" i="2"/>
  <c r="O10" i="2"/>
  <c r="P1292" i="2"/>
  <c r="N1566" i="2"/>
  <c r="K1793" i="2"/>
  <c r="M1793" i="2"/>
  <c r="O2280" i="2"/>
  <c r="M2116" i="2"/>
  <c r="O2229" i="2"/>
  <c r="P2120" i="2"/>
  <c r="O65" i="2"/>
  <c r="O1529" i="2"/>
  <c r="J1004" i="2"/>
  <c r="O729" i="2"/>
  <c r="N1971" i="2"/>
  <c r="J2303" i="2"/>
  <c r="P1971" i="2"/>
  <c r="K65" i="2"/>
  <c r="L972" i="2"/>
  <c r="M1292" i="2"/>
  <c r="N2288" i="2"/>
  <c r="O450" i="2"/>
  <c r="J972" i="2"/>
  <c r="O534" i="2"/>
  <c r="K2197" i="2"/>
  <c r="K2303" i="2"/>
  <c r="N729" i="2"/>
  <c r="P830" i="2"/>
  <c r="N2120" i="2"/>
  <c r="N534" i="2"/>
  <c r="P2421" i="2"/>
  <c r="K10" i="2"/>
  <c r="J729" i="2"/>
  <c r="J10" i="2"/>
  <c r="C16" i="4"/>
  <c r="H16" i="4"/>
  <c r="F15" i="4"/>
  <c r="H15" i="4"/>
  <c r="R110" i="8"/>
  <c r="S110" i="8"/>
  <c r="R109" i="8"/>
  <c r="S109" i="8"/>
  <c r="R108" i="8"/>
  <c r="S108" i="8"/>
  <c r="R107" i="8"/>
  <c r="S107" i="8"/>
  <c r="S106" i="8"/>
  <c r="R106" i="8"/>
  <c r="S105" i="8"/>
  <c r="R105" i="8"/>
  <c r="R104" i="8"/>
  <c r="S104" i="8"/>
  <c r="R103" i="8"/>
  <c r="S103" i="8"/>
  <c r="R102" i="8"/>
  <c r="S102" i="8"/>
  <c r="R101" i="8"/>
  <c r="S101" i="8"/>
  <c r="R100" i="8"/>
  <c r="S100" i="8"/>
  <c r="R99" i="8"/>
  <c r="S99" i="8"/>
  <c r="S98" i="8"/>
  <c r="R98" i="8"/>
  <c r="S97" i="8"/>
  <c r="R97" i="8"/>
  <c r="R96" i="8"/>
  <c r="S96" i="8"/>
  <c r="R95" i="8"/>
  <c r="R94" i="8"/>
  <c r="R93" i="8"/>
  <c r="R92" i="8"/>
  <c r="R91" i="8"/>
  <c r="S90" i="8"/>
  <c r="S89" i="8"/>
  <c r="S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O7" i="2" l="1"/>
  <c r="O2493" i="2" s="1"/>
  <c r="K7" i="2"/>
  <c r="J7" i="2"/>
  <c r="J2493" i="2" s="1"/>
  <c r="T1576" i="2"/>
  <c r="T2280" i="2"/>
  <c r="T729" i="2"/>
  <c r="T2229" i="2"/>
  <c r="T1988" i="2"/>
  <c r="T2421" i="2"/>
  <c r="T1292" i="2"/>
  <c r="T715" i="2"/>
  <c r="T2197" i="2"/>
  <c r="T1057" i="2"/>
  <c r="T1199" i="2"/>
  <c r="T2116" i="2"/>
  <c r="T450" i="2"/>
  <c r="T1167" i="2"/>
  <c r="T1117" i="2"/>
  <c r="T534" i="2"/>
  <c r="T1971" i="2"/>
  <c r="T1793" i="2"/>
  <c r="T102" i="2"/>
  <c r="T1004" i="2"/>
  <c r="T2284" i="2"/>
  <c r="T2467" i="2"/>
  <c r="T2288" i="2"/>
  <c r="T1566" i="2"/>
  <c r="T2303" i="2"/>
  <c r="T1529" i="2"/>
  <c r="T972" i="2"/>
  <c r="T766" i="2"/>
  <c r="T830" i="2"/>
  <c r="T2120" i="2"/>
  <c r="T1798" i="2"/>
  <c r="T1964" i="2"/>
  <c r="T65" i="2"/>
  <c r="T155" i="2"/>
  <c r="C15" i="4"/>
  <c r="E17" i="4"/>
  <c r="R90" i="8"/>
  <c r="S74" i="8"/>
  <c r="R89" i="8"/>
  <c r="S73" i="8"/>
  <c r="S95" i="8"/>
  <c r="S66" i="8"/>
  <c r="S92" i="8"/>
  <c r="S75" i="8"/>
  <c r="S82" i="8"/>
  <c r="S94" i="8"/>
  <c r="S79" i="8"/>
  <c r="S81" i="8"/>
  <c r="S87" i="8"/>
  <c r="S78" i="8"/>
  <c r="S86" i="8"/>
  <c r="S69" i="8"/>
  <c r="S70" i="8"/>
  <c r="S80" i="8"/>
  <c r="S84" i="8"/>
  <c r="S83" i="8"/>
  <c r="S68" i="8"/>
  <c r="S77" i="8"/>
  <c r="S85" i="8"/>
  <c r="S67" i="8"/>
  <c r="S72" i="8"/>
  <c r="S76" i="8"/>
  <c r="R88" i="8"/>
  <c r="S93" i="8"/>
  <c r="S91" i="8"/>
  <c r="S71" i="8"/>
  <c r="G17" i="4" l="1"/>
  <c r="L17" i="4" s="1"/>
  <c r="E16" i="4"/>
  <c r="E15" i="4"/>
  <c r="L12" i="2"/>
  <c r="L11" i="2" s="1"/>
  <c r="L10" i="2" s="1"/>
  <c r="L7" i="2" s="1"/>
  <c r="S63" i="8"/>
  <c r="R39" i="8"/>
  <c r="S26" i="8"/>
  <c r="R25" i="8"/>
  <c r="S2001" i="8"/>
  <c r="S2000" i="8"/>
  <c r="S1999" i="8"/>
  <c r="S1998" i="8"/>
  <c r="S1997" i="8"/>
  <c r="S1996" i="8"/>
  <c r="S1995" i="8"/>
  <c r="S1994" i="8"/>
  <c r="S1993" i="8"/>
  <c r="S1992" i="8"/>
  <c r="S1991" i="8"/>
  <c r="S1990" i="8"/>
  <c r="S1989" i="8"/>
  <c r="S1988" i="8"/>
  <c r="S1987" i="8"/>
  <c r="S1986" i="8"/>
  <c r="S1985" i="8"/>
  <c r="S1984" i="8"/>
  <c r="S1983" i="8"/>
  <c r="S1982" i="8"/>
  <c r="S1981" i="8"/>
  <c r="S1980" i="8"/>
  <c r="S1979" i="8"/>
  <c r="S1978" i="8"/>
  <c r="S1977" i="8"/>
  <c r="S1976" i="8"/>
  <c r="S1975" i="8"/>
  <c r="S1974" i="8"/>
  <c r="S1973" i="8"/>
  <c r="S1972" i="8"/>
  <c r="S1971" i="8"/>
  <c r="S1970" i="8"/>
  <c r="S1969" i="8"/>
  <c r="S1968" i="8"/>
  <c r="S1967" i="8"/>
  <c r="S1966" i="8"/>
  <c r="S1965" i="8"/>
  <c r="S1964" i="8"/>
  <c r="S1963" i="8"/>
  <c r="S1962" i="8"/>
  <c r="S1961" i="8"/>
  <c r="S1960" i="8"/>
  <c r="S1959" i="8"/>
  <c r="S1958" i="8"/>
  <c r="S1957" i="8"/>
  <c r="S1956" i="8"/>
  <c r="S1955" i="8"/>
  <c r="S1954" i="8"/>
  <c r="S1953" i="8"/>
  <c r="S1952" i="8"/>
  <c r="S1951" i="8"/>
  <c r="S1950" i="8"/>
  <c r="S1949" i="8"/>
  <c r="S1948" i="8"/>
  <c r="S1947" i="8"/>
  <c r="S1946" i="8"/>
  <c r="S1945" i="8"/>
  <c r="S1944" i="8"/>
  <c r="S1943" i="8"/>
  <c r="S1942" i="8"/>
  <c r="S1941" i="8"/>
  <c r="S1940" i="8"/>
  <c r="S1939" i="8"/>
  <c r="S1938" i="8"/>
  <c r="S1937" i="8"/>
  <c r="S1936" i="8"/>
  <c r="S1935" i="8"/>
  <c r="S1934" i="8"/>
  <c r="S1933" i="8"/>
  <c r="S1932" i="8"/>
  <c r="S1931" i="8"/>
  <c r="S1930" i="8"/>
  <c r="S1929" i="8"/>
  <c r="S1928" i="8"/>
  <c r="S1927" i="8"/>
  <c r="S1926" i="8"/>
  <c r="S1925" i="8"/>
  <c r="S1924" i="8"/>
  <c r="S1923" i="8"/>
  <c r="S1922" i="8"/>
  <c r="S1921" i="8"/>
  <c r="S1920" i="8"/>
  <c r="S1919" i="8"/>
  <c r="S1918" i="8"/>
  <c r="S1917" i="8"/>
  <c r="S1916" i="8"/>
  <c r="S1915" i="8"/>
  <c r="S1914" i="8"/>
  <c r="S1913" i="8"/>
  <c r="S1912" i="8"/>
  <c r="S1911" i="8"/>
  <c r="S1910" i="8"/>
  <c r="S1909" i="8"/>
  <c r="S1908" i="8"/>
  <c r="S1907" i="8"/>
  <c r="S1906" i="8"/>
  <c r="S1905" i="8"/>
  <c r="S1904" i="8"/>
  <c r="S1903" i="8"/>
  <c r="S1902" i="8"/>
  <c r="S1901" i="8"/>
  <c r="S1900" i="8"/>
  <c r="S1899" i="8"/>
  <c r="S1898" i="8"/>
  <c r="S1897" i="8"/>
  <c r="S1896" i="8"/>
  <c r="S1895" i="8"/>
  <c r="S1894" i="8"/>
  <c r="S1893" i="8"/>
  <c r="S1892" i="8"/>
  <c r="S1891" i="8"/>
  <c r="S1890" i="8"/>
  <c r="S1889" i="8"/>
  <c r="S1888" i="8"/>
  <c r="S1887" i="8"/>
  <c r="S1886" i="8"/>
  <c r="S1885" i="8"/>
  <c r="S1884" i="8"/>
  <c r="S1883" i="8"/>
  <c r="S1882" i="8"/>
  <c r="S1881" i="8"/>
  <c r="S1880" i="8"/>
  <c r="S1879" i="8"/>
  <c r="S1878" i="8"/>
  <c r="S1877" i="8"/>
  <c r="S1876" i="8"/>
  <c r="S1875" i="8"/>
  <c r="S1874" i="8"/>
  <c r="S1873" i="8"/>
  <c r="S1872" i="8"/>
  <c r="S1871" i="8"/>
  <c r="S1870" i="8"/>
  <c r="S1869" i="8"/>
  <c r="S1868" i="8"/>
  <c r="S1867" i="8"/>
  <c r="S1866" i="8"/>
  <c r="S1865" i="8"/>
  <c r="S1864" i="8"/>
  <c r="S1863" i="8"/>
  <c r="S1862" i="8"/>
  <c r="S1861" i="8"/>
  <c r="S1860" i="8"/>
  <c r="S1859" i="8"/>
  <c r="S1858" i="8"/>
  <c r="S1857" i="8"/>
  <c r="S1856" i="8"/>
  <c r="S1855" i="8"/>
  <c r="S1854" i="8"/>
  <c r="S1853" i="8"/>
  <c r="S1852" i="8"/>
  <c r="S1851" i="8"/>
  <c r="S1850" i="8"/>
  <c r="S1849" i="8"/>
  <c r="S1848" i="8"/>
  <c r="S1847" i="8"/>
  <c r="S1846" i="8"/>
  <c r="S1845" i="8"/>
  <c r="S1844" i="8"/>
  <c r="S1843" i="8"/>
  <c r="S1842" i="8"/>
  <c r="S1841" i="8"/>
  <c r="S1840" i="8"/>
  <c r="S1839" i="8"/>
  <c r="S1838" i="8"/>
  <c r="S1837" i="8"/>
  <c r="S1836" i="8"/>
  <c r="S1835" i="8"/>
  <c r="S1834" i="8"/>
  <c r="S1833" i="8"/>
  <c r="S1832" i="8"/>
  <c r="S1831" i="8"/>
  <c r="S1830" i="8"/>
  <c r="S1829" i="8"/>
  <c r="S1828" i="8"/>
  <c r="S1827" i="8"/>
  <c r="S1826" i="8"/>
  <c r="S1825" i="8"/>
  <c r="S1824" i="8"/>
  <c r="S1823" i="8"/>
  <c r="S1822" i="8"/>
  <c r="S1821" i="8"/>
  <c r="S1820" i="8"/>
  <c r="S1819" i="8"/>
  <c r="S1818" i="8"/>
  <c r="S1817" i="8"/>
  <c r="S1816" i="8"/>
  <c r="S1815" i="8"/>
  <c r="S1814" i="8"/>
  <c r="S1813" i="8"/>
  <c r="S1812" i="8"/>
  <c r="S1811" i="8"/>
  <c r="S1810" i="8"/>
  <c r="S1809" i="8"/>
  <c r="S1808" i="8"/>
  <c r="S1807" i="8"/>
  <c r="S1806" i="8"/>
  <c r="S1805" i="8"/>
  <c r="S1804" i="8"/>
  <c r="S1803" i="8"/>
  <c r="S1802" i="8"/>
  <c r="S1801" i="8"/>
  <c r="S1800" i="8"/>
  <c r="S1799" i="8"/>
  <c r="S1798" i="8"/>
  <c r="S1797" i="8"/>
  <c r="S1796" i="8"/>
  <c r="S1795" i="8"/>
  <c r="S1794" i="8"/>
  <c r="S1793" i="8"/>
  <c r="S1792" i="8"/>
  <c r="S1791" i="8"/>
  <c r="S1790" i="8"/>
  <c r="S1789" i="8"/>
  <c r="S1788" i="8"/>
  <c r="S1787" i="8"/>
  <c r="S1786" i="8"/>
  <c r="S1785" i="8"/>
  <c r="S1784" i="8"/>
  <c r="S1783" i="8"/>
  <c r="S1782" i="8"/>
  <c r="S1781" i="8"/>
  <c r="S1780" i="8"/>
  <c r="S1779" i="8"/>
  <c r="S1778" i="8"/>
  <c r="S1777" i="8"/>
  <c r="S1776" i="8"/>
  <c r="S1775" i="8"/>
  <c r="S1774" i="8"/>
  <c r="S1773" i="8"/>
  <c r="S1772" i="8"/>
  <c r="S1771" i="8"/>
  <c r="S1770" i="8"/>
  <c r="S176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749" i="8"/>
  <c r="S1748" i="8"/>
  <c r="S1747" i="8"/>
  <c r="S1746" i="8"/>
  <c r="S1745" i="8"/>
  <c r="S1744" i="8"/>
  <c r="S1743" i="8"/>
  <c r="S1742" i="8"/>
  <c r="S1741" i="8"/>
  <c r="S1740" i="8"/>
  <c r="S1739" i="8"/>
  <c r="S1738" i="8"/>
  <c r="S1737" i="8"/>
  <c r="S1736" i="8"/>
  <c r="S1735" i="8"/>
  <c r="S1734" i="8"/>
  <c r="S1733" i="8"/>
  <c r="S1732" i="8"/>
  <c r="S1731" i="8"/>
  <c r="S1730" i="8"/>
  <c r="S1729" i="8"/>
  <c r="S1728" i="8"/>
  <c r="S1727" i="8"/>
  <c r="S1726" i="8"/>
  <c r="S1725" i="8"/>
  <c r="S1724" i="8"/>
  <c r="S1723" i="8"/>
  <c r="S1722" i="8"/>
  <c r="S1721" i="8"/>
  <c r="S1720" i="8"/>
  <c r="S1719" i="8"/>
  <c r="S1718" i="8"/>
  <c r="S1717" i="8"/>
  <c r="S1716" i="8"/>
  <c r="S1715" i="8"/>
  <c r="S1714" i="8"/>
  <c r="S1713" i="8"/>
  <c r="S1712" i="8"/>
  <c r="S1711" i="8"/>
  <c r="S1710" i="8"/>
  <c r="S1709" i="8"/>
  <c r="S1708" i="8"/>
  <c r="S1707" i="8"/>
  <c r="S1706" i="8"/>
  <c r="S1705" i="8"/>
  <c r="S1704" i="8"/>
  <c r="S1703" i="8"/>
  <c r="S1702" i="8"/>
  <c r="S1701" i="8"/>
  <c r="S1700" i="8"/>
  <c r="S1699" i="8"/>
  <c r="S1698" i="8"/>
  <c r="S1697" i="8"/>
  <c r="S1696" i="8"/>
  <c r="S1695" i="8"/>
  <c r="S1694" i="8"/>
  <c r="S1693" i="8"/>
  <c r="S1692" i="8"/>
  <c r="S1691" i="8"/>
  <c r="S1690" i="8"/>
  <c r="S1689" i="8"/>
  <c r="S1688" i="8"/>
  <c r="S1687" i="8"/>
  <c r="S1686" i="8"/>
  <c r="S1685" i="8"/>
  <c r="S1684" i="8"/>
  <c r="S1683" i="8"/>
  <c r="S1682" i="8"/>
  <c r="S1681" i="8"/>
  <c r="S1680" i="8"/>
  <c r="S1679" i="8"/>
  <c r="S1678" i="8"/>
  <c r="S1677" i="8"/>
  <c r="S1676" i="8"/>
  <c r="S1675" i="8"/>
  <c r="S1674" i="8"/>
  <c r="S1673" i="8"/>
  <c r="S1672" i="8"/>
  <c r="S1671" i="8"/>
  <c r="S1670" i="8"/>
  <c r="S1669" i="8"/>
  <c r="S1668" i="8"/>
  <c r="S1667" i="8"/>
  <c r="S1666" i="8"/>
  <c r="S1665" i="8"/>
  <c r="S1664" i="8"/>
  <c r="S1663" i="8"/>
  <c r="S1662" i="8"/>
  <c r="S1661" i="8"/>
  <c r="S1660" i="8"/>
  <c r="S1659" i="8"/>
  <c r="S1658" i="8"/>
  <c r="S1657" i="8"/>
  <c r="S1656" i="8"/>
  <c r="S1655" i="8"/>
  <c r="S1654" i="8"/>
  <c r="S1653" i="8"/>
  <c r="S1652" i="8"/>
  <c r="S1651" i="8"/>
  <c r="S1650" i="8"/>
  <c r="S1649" i="8"/>
  <c r="S1648" i="8"/>
  <c r="S1647" i="8"/>
  <c r="S1646" i="8"/>
  <c r="S1645" i="8"/>
  <c r="S1644" i="8"/>
  <c r="S1643" i="8"/>
  <c r="S1642" i="8"/>
  <c r="S1641" i="8"/>
  <c r="S1640" i="8"/>
  <c r="S1639" i="8"/>
  <c r="S1638" i="8"/>
  <c r="S1637" i="8"/>
  <c r="S1636" i="8"/>
  <c r="S1635" i="8"/>
  <c r="S1634" i="8"/>
  <c r="S1633" i="8"/>
  <c r="S1632" i="8"/>
  <c r="S1631" i="8"/>
  <c r="S1630" i="8"/>
  <c r="S1629" i="8"/>
  <c r="S1628" i="8"/>
  <c r="S1627" i="8"/>
  <c r="S1626" i="8"/>
  <c r="S1625" i="8"/>
  <c r="S1624" i="8"/>
  <c r="S1623" i="8"/>
  <c r="S1622" i="8"/>
  <c r="S1621" i="8"/>
  <c r="S1620" i="8"/>
  <c r="S1619" i="8"/>
  <c r="S1618" i="8"/>
  <c r="S1617" i="8"/>
  <c r="S1616" i="8"/>
  <c r="S1615" i="8"/>
  <c r="S1614" i="8"/>
  <c r="S1613" i="8"/>
  <c r="S1612" i="8"/>
  <c r="S1611" i="8"/>
  <c r="S1610" i="8"/>
  <c r="S1609" i="8"/>
  <c r="S1608" i="8"/>
  <c r="S1607" i="8"/>
  <c r="S1606" i="8"/>
  <c r="S1605" i="8"/>
  <c r="S1604" i="8"/>
  <c r="S1603" i="8"/>
  <c r="S1602" i="8"/>
  <c r="S1601" i="8"/>
  <c r="S1600" i="8"/>
  <c r="S1599" i="8"/>
  <c r="S1598" i="8"/>
  <c r="S1597" i="8"/>
  <c r="S1596" i="8"/>
  <c r="S1595" i="8"/>
  <c r="S1594" i="8"/>
  <c r="S1593" i="8"/>
  <c r="S1592" i="8"/>
  <c r="S1591" i="8"/>
  <c r="S1590" i="8"/>
  <c r="S1589" i="8"/>
  <c r="S1588" i="8"/>
  <c r="S1587" i="8"/>
  <c r="S1586" i="8"/>
  <c r="S1585" i="8"/>
  <c r="S1584" i="8"/>
  <c r="S1583" i="8"/>
  <c r="S1582" i="8"/>
  <c r="S1581" i="8"/>
  <c r="S1580" i="8"/>
  <c r="S1579" i="8"/>
  <c r="S1578" i="8"/>
  <c r="S1577" i="8"/>
  <c r="S1576" i="8"/>
  <c r="S1575" i="8"/>
  <c r="S1574" i="8"/>
  <c r="S1573" i="8"/>
  <c r="S1572" i="8"/>
  <c r="S1571" i="8"/>
  <c r="S1570" i="8"/>
  <c r="S1569" i="8"/>
  <c r="S1568" i="8"/>
  <c r="S1567" i="8"/>
  <c r="S1566" i="8"/>
  <c r="S1565" i="8"/>
  <c r="S1564" i="8"/>
  <c r="S1563" i="8"/>
  <c r="S1562" i="8"/>
  <c r="S1561" i="8"/>
  <c r="S1560" i="8"/>
  <c r="S1559" i="8"/>
  <c r="S1558" i="8"/>
  <c r="S1557" i="8"/>
  <c r="S1556" i="8"/>
  <c r="S1555" i="8"/>
  <c r="S1554" i="8"/>
  <c r="S1553" i="8"/>
  <c r="S1552" i="8"/>
  <c r="S1551" i="8"/>
  <c r="S1550" i="8"/>
  <c r="S1549" i="8"/>
  <c r="S1548" i="8"/>
  <c r="S1547" i="8"/>
  <c r="S1546" i="8"/>
  <c r="S1545" i="8"/>
  <c r="S1544" i="8"/>
  <c r="S1543" i="8"/>
  <c r="S1542" i="8"/>
  <c r="S1541" i="8"/>
  <c r="S1540" i="8"/>
  <c r="S1539" i="8"/>
  <c r="S1538" i="8"/>
  <c r="S1537" i="8"/>
  <c r="S1536" i="8"/>
  <c r="S1535" i="8"/>
  <c r="S1534" i="8"/>
  <c r="S1533" i="8"/>
  <c r="S1532" i="8"/>
  <c r="S1531" i="8"/>
  <c r="S1530" i="8"/>
  <c r="S1529" i="8"/>
  <c r="S1528" i="8"/>
  <c r="S1527" i="8"/>
  <c r="S1526" i="8"/>
  <c r="S1525" i="8"/>
  <c r="S1524" i="8"/>
  <c r="S1523" i="8"/>
  <c r="S1522" i="8"/>
  <c r="S1521" i="8"/>
  <c r="S1520" i="8"/>
  <c r="S1519" i="8"/>
  <c r="S1518" i="8"/>
  <c r="S1517" i="8"/>
  <c r="S1516" i="8"/>
  <c r="S1515" i="8"/>
  <c r="S1514" i="8"/>
  <c r="S1513" i="8"/>
  <c r="S1512" i="8"/>
  <c r="S1511" i="8"/>
  <c r="S1510" i="8"/>
  <c r="S1509" i="8"/>
  <c r="S1508" i="8"/>
  <c r="S1507" i="8"/>
  <c r="S1506" i="8"/>
  <c r="S1505" i="8"/>
  <c r="S1504" i="8"/>
  <c r="S1503" i="8"/>
  <c r="S1502" i="8"/>
  <c r="S1501" i="8"/>
  <c r="S1500" i="8"/>
  <c r="S1499" i="8"/>
  <c r="S1498" i="8"/>
  <c r="S1497" i="8"/>
  <c r="S1496" i="8"/>
  <c r="S1495" i="8"/>
  <c r="S1494" i="8"/>
  <c r="S1493" i="8"/>
  <c r="S1492" i="8"/>
  <c r="S1491" i="8"/>
  <c r="S1490" i="8"/>
  <c r="S1489" i="8"/>
  <c r="S1488" i="8"/>
  <c r="S1487" i="8"/>
  <c r="S1486" i="8"/>
  <c r="S1485" i="8"/>
  <c r="S1484" i="8"/>
  <c r="S1483" i="8"/>
  <c r="S1482" i="8"/>
  <c r="S1481" i="8"/>
  <c r="S1480" i="8"/>
  <c r="S1479" i="8"/>
  <c r="S1478" i="8"/>
  <c r="S1477" i="8"/>
  <c r="S1476" i="8"/>
  <c r="S1475" i="8"/>
  <c r="S1474" i="8"/>
  <c r="S1473" i="8"/>
  <c r="S1472" i="8"/>
  <c r="S1471" i="8"/>
  <c r="S1470" i="8"/>
  <c r="S1469" i="8"/>
  <c r="S1468" i="8"/>
  <c r="S1467" i="8"/>
  <c r="S1466" i="8"/>
  <c r="S1465" i="8"/>
  <c r="S1464" i="8"/>
  <c r="S1463" i="8"/>
  <c r="S1462" i="8"/>
  <c r="S1461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327" i="8"/>
  <c r="S1326" i="8"/>
  <c r="S1325" i="8"/>
  <c r="S1324" i="8"/>
  <c r="S1323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305" i="8"/>
  <c r="S1304" i="8"/>
  <c r="S1303" i="8"/>
  <c r="S1302" i="8"/>
  <c r="S1301" i="8"/>
  <c r="S1300" i="8"/>
  <c r="S1299" i="8"/>
  <c r="S1298" i="8"/>
  <c r="S1297" i="8"/>
  <c r="S1296" i="8"/>
  <c r="S1295" i="8"/>
  <c r="S1294" i="8"/>
  <c r="S1293" i="8"/>
  <c r="S1292" i="8"/>
  <c r="S1291" i="8"/>
  <c r="S1290" i="8"/>
  <c r="S1289" i="8"/>
  <c r="S1288" i="8"/>
  <c r="S1287" i="8"/>
  <c r="S1286" i="8"/>
  <c r="S1285" i="8"/>
  <c r="S1284" i="8"/>
  <c r="S1283" i="8"/>
  <c r="S1282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166" i="8"/>
  <c r="S1165" i="8"/>
  <c r="S1164" i="8"/>
  <c r="S1163" i="8"/>
  <c r="S1162" i="8"/>
  <c r="S1161" i="8"/>
  <c r="S1160" i="8"/>
  <c r="S1159" i="8"/>
  <c r="S1158" i="8"/>
  <c r="S1157" i="8"/>
  <c r="S1156" i="8"/>
  <c r="S1155" i="8"/>
  <c r="S1154" i="8"/>
  <c r="S1153" i="8"/>
  <c r="S1152" i="8"/>
  <c r="S1151" i="8"/>
  <c r="S1150" i="8"/>
  <c r="S1149" i="8"/>
  <c r="S1148" i="8"/>
  <c r="S1147" i="8"/>
  <c r="S1146" i="8"/>
  <c r="S1145" i="8"/>
  <c r="S1144" i="8"/>
  <c r="S1143" i="8"/>
  <c r="S1142" i="8"/>
  <c r="S1141" i="8"/>
  <c r="S1140" i="8"/>
  <c r="S1139" i="8"/>
  <c r="S1138" i="8"/>
  <c r="S1137" i="8"/>
  <c r="S1136" i="8"/>
  <c r="S1135" i="8"/>
  <c r="S1134" i="8"/>
  <c r="S1133" i="8"/>
  <c r="S1132" i="8"/>
  <c r="S1131" i="8"/>
  <c r="S1130" i="8"/>
  <c r="S1129" i="8"/>
  <c r="S1128" i="8"/>
  <c r="S1127" i="8"/>
  <c r="S1126" i="8"/>
  <c r="S1125" i="8"/>
  <c r="S1124" i="8"/>
  <c r="S1123" i="8"/>
  <c r="S1122" i="8"/>
  <c r="S1121" i="8"/>
  <c r="S1120" i="8"/>
  <c r="S1119" i="8"/>
  <c r="S1118" i="8"/>
  <c r="S1117" i="8"/>
  <c r="S1116" i="8"/>
  <c r="S1115" i="8"/>
  <c r="S1114" i="8"/>
  <c r="S1113" i="8"/>
  <c r="S1112" i="8"/>
  <c r="S1111" i="8"/>
  <c r="S1110" i="8"/>
  <c r="S1109" i="8"/>
  <c r="S1108" i="8"/>
  <c r="S1107" i="8"/>
  <c r="S1106" i="8"/>
  <c r="S1105" i="8"/>
  <c r="S1104" i="8"/>
  <c r="S1103" i="8"/>
  <c r="S1102" i="8"/>
  <c r="S1101" i="8"/>
  <c r="S1100" i="8"/>
  <c r="S1099" i="8"/>
  <c r="S1098" i="8"/>
  <c r="S1097" i="8"/>
  <c r="S1096" i="8"/>
  <c r="S1095" i="8"/>
  <c r="S1094" i="8"/>
  <c r="S1093" i="8"/>
  <c r="S1092" i="8"/>
  <c r="S1091" i="8"/>
  <c r="S1090" i="8"/>
  <c r="S1089" i="8"/>
  <c r="S1088" i="8"/>
  <c r="S1087" i="8"/>
  <c r="S1086" i="8"/>
  <c r="S1085" i="8"/>
  <c r="S1084" i="8"/>
  <c r="S1083" i="8"/>
  <c r="S1082" i="8"/>
  <c r="S1081" i="8"/>
  <c r="S1080" i="8"/>
  <c r="S1079" i="8"/>
  <c r="S1078" i="8"/>
  <c r="S1077" i="8"/>
  <c r="S1076" i="8"/>
  <c r="S1075" i="8"/>
  <c r="S1074" i="8"/>
  <c r="S1073" i="8"/>
  <c r="S1072" i="8"/>
  <c r="S1071" i="8"/>
  <c r="S1070" i="8"/>
  <c r="S1069" i="8"/>
  <c r="S1068" i="8"/>
  <c r="S1067" i="8"/>
  <c r="S1066" i="8"/>
  <c r="S1065" i="8"/>
  <c r="S1064" i="8"/>
  <c r="S1063" i="8"/>
  <c r="S1062" i="8"/>
  <c r="S1061" i="8"/>
  <c r="S1060" i="8"/>
  <c r="S1059" i="8"/>
  <c r="S1058" i="8"/>
  <c r="S1057" i="8"/>
  <c r="S1056" i="8"/>
  <c r="S1055" i="8"/>
  <c r="S1054" i="8"/>
  <c r="S1053" i="8"/>
  <c r="S1052" i="8"/>
  <c r="S1051" i="8"/>
  <c r="S1050" i="8"/>
  <c r="S1049" i="8"/>
  <c r="S1048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21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65" i="8"/>
  <c r="S64" i="8"/>
  <c r="S62" i="8"/>
  <c r="S5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7" i="8"/>
  <c r="R1986" i="8"/>
  <c r="R1985" i="8"/>
  <c r="R1984" i="8"/>
  <c r="R1983" i="8"/>
  <c r="R1982" i="8"/>
  <c r="R1981" i="8"/>
  <c r="R1980" i="8"/>
  <c r="R1979" i="8"/>
  <c r="R1978" i="8"/>
  <c r="R1977" i="8"/>
  <c r="R1976" i="8"/>
  <c r="R1975" i="8"/>
  <c r="R1974" i="8"/>
  <c r="R1973" i="8"/>
  <c r="R1972" i="8"/>
  <c r="R1971" i="8"/>
  <c r="R1970" i="8"/>
  <c r="R1969" i="8"/>
  <c r="R1968" i="8"/>
  <c r="R1967" i="8"/>
  <c r="R1966" i="8"/>
  <c r="R1965" i="8"/>
  <c r="R1964" i="8"/>
  <c r="R1963" i="8"/>
  <c r="R1962" i="8"/>
  <c r="R1961" i="8"/>
  <c r="R1960" i="8"/>
  <c r="R1959" i="8"/>
  <c r="R1958" i="8"/>
  <c r="R1957" i="8"/>
  <c r="R1956" i="8"/>
  <c r="R1955" i="8"/>
  <c r="R1954" i="8"/>
  <c r="R1953" i="8"/>
  <c r="R1952" i="8"/>
  <c r="R1951" i="8"/>
  <c r="R1950" i="8"/>
  <c r="R1949" i="8"/>
  <c r="R1948" i="8"/>
  <c r="R1947" i="8"/>
  <c r="R1946" i="8"/>
  <c r="R1945" i="8"/>
  <c r="R1944" i="8"/>
  <c r="R1943" i="8"/>
  <c r="R1942" i="8"/>
  <c r="R1941" i="8"/>
  <c r="R1940" i="8"/>
  <c r="R1939" i="8"/>
  <c r="R1938" i="8"/>
  <c r="R1937" i="8"/>
  <c r="R1936" i="8"/>
  <c r="R1935" i="8"/>
  <c r="R1934" i="8"/>
  <c r="R1933" i="8"/>
  <c r="R1932" i="8"/>
  <c r="R1931" i="8"/>
  <c r="R1930" i="8"/>
  <c r="R1929" i="8"/>
  <c r="R1928" i="8"/>
  <c r="R1927" i="8"/>
  <c r="R1926" i="8"/>
  <c r="R1925" i="8"/>
  <c r="R1924" i="8"/>
  <c r="R1923" i="8"/>
  <c r="R1922" i="8"/>
  <c r="R1921" i="8"/>
  <c r="R1920" i="8"/>
  <c r="R1919" i="8"/>
  <c r="R1918" i="8"/>
  <c r="R1917" i="8"/>
  <c r="R1916" i="8"/>
  <c r="R1915" i="8"/>
  <c r="R1914" i="8"/>
  <c r="R1913" i="8"/>
  <c r="R1912" i="8"/>
  <c r="R1911" i="8"/>
  <c r="R1910" i="8"/>
  <c r="R1909" i="8"/>
  <c r="R1908" i="8"/>
  <c r="R1907" i="8"/>
  <c r="R1906" i="8"/>
  <c r="R1905" i="8"/>
  <c r="R1904" i="8"/>
  <c r="R1903" i="8"/>
  <c r="R1902" i="8"/>
  <c r="R1901" i="8"/>
  <c r="R1900" i="8"/>
  <c r="R1899" i="8"/>
  <c r="R1898" i="8"/>
  <c r="R1897" i="8"/>
  <c r="R1896" i="8"/>
  <c r="R1895" i="8"/>
  <c r="R1894" i="8"/>
  <c r="R1893" i="8"/>
  <c r="R1892" i="8"/>
  <c r="R1891" i="8"/>
  <c r="R1890" i="8"/>
  <c r="R1889" i="8"/>
  <c r="R1888" i="8"/>
  <c r="R1887" i="8"/>
  <c r="R1886" i="8"/>
  <c r="R1885" i="8"/>
  <c r="R1884" i="8"/>
  <c r="R1883" i="8"/>
  <c r="R1882" i="8"/>
  <c r="R1881" i="8"/>
  <c r="R1880" i="8"/>
  <c r="R1879" i="8"/>
  <c r="R1878" i="8"/>
  <c r="R1877" i="8"/>
  <c r="R1876" i="8"/>
  <c r="R1875" i="8"/>
  <c r="R1874" i="8"/>
  <c r="R1873" i="8"/>
  <c r="R1872" i="8"/>
  <c r="R1871" i="8"/>
  <c r="R1870" i="8"/>
  <c r="R1869" i="8"/>
  <c r="R1868" i="8"/>
  <c r="R1867" i="8"/>
  <c r="R1866" i="8"/>
  <c r="R1865" i="8"/>
  <c r="R1864" i="8"/>
  <c r="R1863" i="8"/>
  <c r="R1862" i="8"/>
  <c r="R1861" i="8"/>
  <c r="R1860" i="8"/>
  <c r="R1859" i="8"/>
  <c r="R1858" i="8"/>
  <c r="R1857" i="8"/>
  <c r="R1856" i="8"/>
  <c r="R1855" i="8"/>
  <c r="R1854" i="8"/>
  <c r="R1853" i="8"/>
  <c r="R1852" i="8"/>
  <c r="R1851" i="8"/>
  <c r="R1850" i="8"/>
  <c r="R1849" i="8"/>
  <c r="R1848" i="8"/>
  <c r="R1847" i="8"/>
  <c r="R1846" i="8"/>
  <c r="R1845" i="8"/>
  <c r="R1844" i="8"/>
  <c r="R1843" i="8"/>
  <c r="R1842" i="8"/>
  <c r="R1841" i="8"/>
  <c r="R1840" i="8"/>
  <c r="R1839" i="8"/>
  <c r="R1838" i="8"/>
  <c r="R1837" i="8"/>
  <c r="R1836" i="8"/>
  <c r="R1835" i="8"/>
  <c r="R1834" i="8"/>
  <c r="R1833" i="8"/>
  <c r="R1832" i="8"/>
  <c r="R1831" i="8"/>
  <c r="R1830" i="8"/>
  <c r="R1829" i="8"/>
  <c r="R1828" i="8"/>
  <c r="R1827" i="8"/>
  <c r="R1826" i="8"/>
  <c r="R1825" i="8"/>
  <c r="R1824" i="8"/>
  <c r="R1823" i="8"/>
  <c r="R1822" i="8"/>
  <c r="R1821" i="8"/>
  <c r="R1820" i="8"/>
  <c r="R1819" i="8"/>
  <c r="R1818" i="8"/>
  <c r="R1817" i="8"/>
  <c r="R1816" i="8"/>
  <c r="R1815" i="8"/>
  <c r="R1814" i="8"/>
  <c r="R1813" i="8"/>
  <c r="R1812" i="8"/>
  <c r="R1811" i="8"/>
  <c r="R1810" i="8"/>
  <c r="R1809" i="8"/>
  <c r="R1808" i="8"/>
  <c r="R1807" i="8"/>
  <c r="R1806" i="8"/>
  <c r="R1805" i="8"/>
  <c r="R1804" i="8"/>
  <c r="R1803" i="8"/>
  <c r="R1802" i="8"/>
  <c r="R1801" i="8"/>
  <c r="R1800" i="8"/>
  <c r="R1799" i="8"/>
  <c r="R1798" i="8"/>
  <c r="R1797" i="8"/>
  <c r="R1796" i="8"/>
  <c r="R1795" i="8"/>
  <c r="R1794" i="8"/>
  <c r="R1793" i="8"/>
  <c r="R1792" i="8"/>
  <c r="R1791" i="8"/>
  <c r="R1790" i="8"/>
  <c r="R1789" i="8"/>
  <c r="R1788" i="8"/>
  <c r="R1787" i="8"/>
  <c r="R1786" i="8"/>
  <c r="R1785" i="8"/>
  <c r="R1784" i="8"/>
  <c r="R1783" i="8"/>
  <c r="R1782" i="8"/>
  <c r="R1781" i="8"/>
  <c r="R1780" i="8"/>
  <c r="R1779" i="8"/>
  <c r="R1778" i="8"/>
  <c r="R1777" i="8"/>
  <c r="R1776" i="8"/>
  <c r="R1775" i="8"/>
  <c r="R1774" i="8"/>
  <c r="R1773" i="8"/>
  <c r="R1772" i="8"/>
  <c r="R1771" i="8"/>
  <c r="R1770" i="8"/>
  <c r="R176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46" i="8"/>
  <c r="R1745" i="8"/>
  <c r="R1744" i="8"/>
  <c r="R1743" i="8"/>
  <c r="R1742" i="8"/>
  <c r="R1741" i="8"/>
  <c r="R1740" i="8"/>
  <c r="R1739" i="8"/>
  <c r="R1738" i="8"/>
  <c r="R1737" i="8"/>
  <c r="R1736" i="8"/>
  <c r="R1735" i="8"/>
  <c r="R1734" i="8"/>
  <c r="R1733" i="8"/>
  <c r="R1732" i="8"/>
  <c r="R1731" i="8"/>
  <c r="R1730" i="8"/>
  <c r="R1729" i="8"/>
  <c r="R1728" i="8"/>
  <c r="R1727" i="8"/>
  <c r="R1726" i="8"/>
  <c r="R1725" i="8"/>
  <c r="R1724" i="8"/>
  <c r="R1723" i="8"/>
  <c r="R1722" i="8"/>
  <c r="R1721" i="8"/>
  <c r="R1720" i="8"/>
  <c r="R1719" i="8"/>
  <c r="R1718" i="8"/>
  <c r="R1717" i="8"/>
  <c r="R1716" i="8"/>
  <c r="R1715" i="8"/>
  <c r="R1714" i="8"/>
  <c r="R1713" i="8"/>
  <c r="R1712" i="8"/>
  <c r="R1711" i="8"/>
  <c r="R1710" i="8"/>
  <c r="R1709" i="8"/>
  <c r="R1708" i="8"/>
  <c r="R1707" i="8"/>
  <c r="R1706" i="8"/>
  <c r="R1705" i="8"/>
  <c r="R1704" i="8"/>
  <c r="R1703" i="8"/>
  <c r="R1702" i="8"/>
  <c r="R1701" i="8"/>
  <c r="R1700" i="8"/>
  <c r="R1699" i="8"/>
  <c r="R1698" i="8"/>
  <c r="R1697" i="8"/>
  <c r="R1696" i="8"/>
  <c r="R1695" i="8"/>
  <c r="R1694" i="8"/>
  <c r="R1693" i="8"/>
  <c r="R1692" i="8"/>
  <c r="R1691" i="8"/>
  <c r="R1690" i="8"/>
  <c r="R1689" i="8"/>
  <c r="R1688" i="8"/>
  <c r="R1687" i="8"/>
  <c r="R1686" i="8"/>
  <c r="R1685" i="8"/>
  <c r="R1684" i="8"/>
  <c r="R1683" i="8"/>
  <c r="R1682" i="8"/>
  <c r="R1681" i="8"/>
  <c r="R1680" i="8"/>
  <c r="R1679" i="8"/>
  <c r="R1678" i="8"/>
  <c r="R1677" i="8"/>
  <c r="R1676" i="8"/>
  <c r="R1675" i="8"/>
  <c r="R1674" i="8"/>
  <c r="R1673" i="8"/>
  <c r="R1672" i="8"/>
  <c r="R1671" i="8"/>
  <c r="R1670" i="8"/>
  <c r="R1669" i="8"/>
  <c r="R1668" i="8"/>
  <c r="R1667" i="8"/>
  <c r="R1666" i="8"/>
  <c r="R1665" i="8"/>
  <c r="R1664" i="8"/>
  <c r="R1663" i="8"/>
  <c r="R1662" i="8"/>
  <c r="R1661" i="8"/>
  <c r="R1660" i="8"/>
  <c r="R1659" i="8"/>
  <c r="R1658" i="8"/>
  <c r="R1657" i="8"/>
  <c r="R1656" i="8"/>
  <c r="R1655" i="8"/>
  <c r="R1654" i="8"/>
  <c r="R1653" i="8"/>
  <c r="R1652" i="8"/>
  <c r="R1651" i="8"/>
  <c r="R1650" i="8"/>
  <c r="R1649" i="8"/>
  <c r="R1648" i="8"/>
  <c r="R1647" i="8"/>
  <c r="R1646" i="8"/>
  <c r="R1645" i="8"/>
  <c r="R1644" i="8"/>
  <c r="R1643" i="8"/>
  <c r="R1642" i="8"/>
  <c r="R1641" i="8"/>
  <c r="R1640" i="8"/>
  <c r="R1639" i="8"/>
  <c r="R1638" i="8"/>
  <c r="R1637" i="8"/>
  <c r="R1636" i="8"/>
  <c r="R1635" i="8"/>
  <c r="R1634" i="8"/>
  <c r="R1633" i="8"/>
  <c r="R1632" i="8"/>
  <c r="R1631" i="8"/>
  <c r="R1630" i="8"/>
  <c r="R1629" i="8"/>
  <c r="R1628" i="8"/>
  <c r="R1627" i="8"/>
  <c r="R1626" i="8"/>
  <c r="R1625" i="8"/>
  <c r="R1624" i="8"/>
  <c r="R1623" i="8"/>
  <c r="R1622" i="8"/>
  <c r="R1621" i="8"/>
  <c r="R1620" i="8"/>
  <c r="R1619" i="8"/>
  <c r="R1618" i="8"/>
  <c r="R1617" i="8"/>
  <c r="R1616" i="8"/>
  <c r="R1615" i="8"/>
  <c r="R1614" i="8"/>
  <c r="R1613" i="8"/>
  <c r="R1612" i="8"/>
  <c r="R1611" i="8"/>
  <c r="R1610" i="8"/>
  <c r="R1609" i="8"/>
  <c r="R1608" i="8"/>
  <c r="R1607" i="8"/>
  <c r="R1606" i="8"/>
  <c r="R1605" i="8"/>
  <c r="R1604" i="8"/>
  <c r="R1603" i="8"/>
  <c r="R1602" i="8"/>
  <c r="R1601" i="8"/>
  <c r="R1600" i="8"/>
  <c r="R1599" i="8"/>
  <c r="R1598" i="8"/>
  <c r="R1597" i="8"/>
  <c r="R1596" i="8"/>
  <c r="R1595" i="8"/>
  <c r="R1594" i="8"/>
  <c r="R1593" i="8"/>
  <c r="R1592" i="8"/>
  <c r="R1591" i="8"/>
  <c r="R1590" i="8"/>
  <c r="R1589" i="8"/>
  <c r="R1588" i="8"/>
  <c r="R1587" i="8"/>
  <c r="R1586" i="8"/>
  <c r="R1585" i="8"/>
  <c r="R1584" i="8"/>
  <c r="R1583" i="8"/>
  <c r="R1582" i="8"/>
  <c r="R1581" i="8"/>
  <c r="R1580" i="8"/>
  <c r="R1579" i="8"/>
  <c r="R1578" i="8"/>
  <c r="R1577" i="8"/>
  <c r="R1576" i="8"/>
  <c r="R1575" i="8"/>
  <c r="R1574" i="8"/>
  <c r="R1573" i="8"/>
  <c r="R1572" i="8"/>
  <c r="R1571" i="8"/>
  <c r="R1570" i="8"/>
  <c r="R1569" i="8"/>
  <c r="R1568" i="8"/>
  <c r="R1567" i="8"/>
  <c r="R1566" i="8"/>
  <c r="R1565" i="8"/>
  <c r="R1564" i="8"/>
  <c r="R1563" i="8"/>
  <c r="R1562" i="8"/>
  <c r="R1561" i="8"/>
  <c r="R1560" i="8"/>
  <c r="R1559" i="8"/>
  <c r="R1558" i="8"/>
  <c r="R1557" i="8"/>
  <c r="R1556" i="8"/>
  <c r="R1555" i="8"/>
  <c r="R1554" i="8"/>
  <c r="R1553" i="8"/>
  <c r="R1552" i="8"/>
  <c r="R1551" i="8"/>
  <c r="R1550" i="8"/>
  <c r="R1549" i="8"/>
  <c r="R1548" i="8"/>
  <c r="R1547" i="8"/>
  <c r="R1546" i="8"/>
  <c r="R1545" i="8"/>
  <c r="R1544" i="8"/>
  <c r="R1543" i="8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7" i="8"/>
  <c r="R1466" i="8"/>
  <c r="R1465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9" i="8"/>
  <c r="R1158" i="8"/>
  <c r="R1157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37" i="8"/>
  <c r="R36" i="8"/>
  <c r="R35" i="8"/>
  <c r="R34" i="8"/>
  <c r="R33" i="8"/>
  <c r="R32" i="8"/>
  <c r="R31" i="8"/>
  <c r="R30" i="8"/>
  <c r="R29" i="8"/>
  <c r="R28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S3" i="8"/>
  <c r="R4" i="8"/>
  <c r="G15" i="4" l="1"/>
  <c r="L15" i="4" s="1"/>
  <c r="R41" i="8"/>
  <c r="R6" i="8"/>
  <c r="R27" i="8"/>
  <c r="R40" i="8"/>
  <c r="S38" i="8"/>
  <c r="S56" i="8"/>
  <c r="S57" i="8"/>
  <c r="S22" i="8"/>
  <c r="S30" i="8"/>
  <c r="R26" i="8"/>
  <c r="S58" i="8"/>
  <c r="S61" i="8"/>
  <c r="S60" i="8"/>
  <c r="S10" i="8"/>
  <c r="S14" i="8"/>
  <c r="S18" i="8"/>
  <c r="S34" i="8"/>
  <c r="S55" i="8"/>
  <c r="S59" i="8"/>
  <c r="R38" i="8"/>
  <c r="S42" i="8"/>
  <c r="S46" i="8"/>
  <c r="S50" i="8"/>
  <c r="S54" i="8"/>
  <c r="S6" i="8"/>
  <c r="S4" i="8"/>
  <c r="S7" i="8"/>
  <c r="S11" i="8"/>
  <c r="S15" i="8"/>
  <c r="S19" i="8"/>
  <c r="S23" i="8"/>
  <c r="S27" i="8"/>
  <c r="S31" i="8"/>
  <c r="S35" i="8"/>
  <c r="S39" i="8"/>
  <c r="S43" i="8"/>
  <c r="S47" i="8"/>
  <c r="S8" i="8"/>
  <c r="S12" i="8"/>
  <c r="S16" i="8"/>
  <c r="S20" i="8"/>
  <c r="S24" i="8"/>
  <c r="S28" i="8"/>
  <c r="S32" i="8"/>
  <c r="S36" i="8"/>
  <c r="S40" i="8"/>
  <c r="S44" i="8"/>
  <c r="S48" i="8"/>
  <c r="S52" i="8"/>
  <c r="S51" i="8"/>
  <c r="S9" i="8"/>
  <c r="S13" i="8"/>
  <c r="S17" i="8"/>
  <c r="S21" i="8"/>
  <c r="S25" i="8"/>
  <c r="S29" i="8"/>
  <c r="S33" i="8"/>
  <c r="S37" i="8"/>
  <c r="S41" i="8"/>
  <c r="S45" i="8"/>
  <c r="S49" i="8"/>
  <c r="S53" i="8"/>
  <c r="R5" i="8"/>
  <c r="R3" i="8" l="1"/>
  <c r="T3" i="8" s="1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l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l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F9" i="5"/>
  <c r="T325" i="8" l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T723" i="8" s="1"/>
  <c r="T724" i="8" l="1"/>
  <c r="T725" i="8" s="1"/>
  <c r="T726" i="8" s="1"/>
  <c r="T727" i="8" s="1"/>
  <c r="T728" i="8" s="1"/>
  <c r="T729" i="8" s="1"/>
  <c r="T730" i="8" s="1"/>
  <c r="T731" i="8" s="1"/>
  <c r="T732" i="8" s="1"/>
  <c r="T733" i="8" s="1"/>
  <c r="T734" i="8" s="1"/>
  <c r="T735" i="8" s="1"/>
  <c r="T736" i="8" s="1"/>
  <c r="T737" i="8" s="1"/>
  <c r="T738" i="8" s="1"/>
  <c r="T739" i="8" s="1"/>
  <c r="T740" i="8" s="1"/>
  <c r="T741" i="8" s="1"/>
  <c r="T742" i="8" s="1"/>
  <c r="T743" i="8" s="1"/>
  <c r="T744" i="8" s="1"/>
  <c r="T745" i="8" s="1"/>
  <c r="T746" i="8" s="1"/>
  <c r="T747" i="8" s="1"/>
  <c r="T748" i="8" s="1"/>
  <c r="T749" i="8" s="1"/>
  <c r="T750" i="8" s="1"/>
  <c r="T751" i="8" s="1"/>
  <c r="T752" i="8" s="1"/>
  <c r="T753" i="8" s="1"/>
  <c r="T754" i="8" s="1"/>
  <c r="T755" i="8" s="1"/>
  <c r="T756" i="8" s="1"/>
  <c r="T757" i="8" s="1"/>
  <c r="T758" i="8" s="1"/>
  <c r="T759" i="8" s="1"/>
  <c r="T760" i="8" s="1"/>
  <c r="T761" i="8" s="1"/>
  <c r="T762" i="8" s="1"/>
  <c r="T763" i="8" s="1"/>
  <c r="T764" i="8" s="1"/>
  <c r="T765" i="8" s="1"/>
  <c r="T766" i="8" s="1"/>
  <c r="T767" i="8" s="1"/>
  <c r="T768" i="8" s="1"/>
  <c r="T769" i="8" s="1"/>
  <c r="T770" i="8" s="1"/>
  <c r="T771" i="8" s="1"/>
  <c r="T772" i="8" s="1"/>
  <c r="T773" i="8" s="1"/>
  <c r="T774" i="8" s="1"/>
  <c r="T775" i="8" s="1"/>
  <c r="T776" i="8" s="1"/>
  <c r="T777" i="8" s="1"/>
  <c r="T778" i="8" s="1"/>
  <c r="T779" i="8" s="1"/>
  <c r="T780" i="8" s="1"/>
  <c r="T781" i="8" s="1"/>
  <c r="T782" i="8" s="1"/>
  <c r="T783" i="8" s="1"/>
  <c r="T784" i="8" s="1"/>
  <c r="T785" i="8" s="1"/>
  <c r="T786" i="8" s="1"/>
  <c r="T787" i="8" s="1"/>
  <c r="T788" i="8" s="1"/>
  <c r="T789" i="8" s="1"/>
  <c r="T790" i="8" s="1"/>
  <c r="T791" i="8" s="1"/>
  <c r="T792" i="8" s="1"/>
  <c r="T793" i="8" s="1"/>
  <c r="T794" i="8" s="1"/>
  <c r="T795" i="8" s="1"/>
  <c r="T796" i="8" s="1"/>
  <c r="T797" i="8" s="1"/>
  <c r="T798" i="8" s="1"/>
  <c r="T799" i="8" s="1"/>
  <c r="T800" i="8" s="1"/>
  <c r="T801" i="8" s="1"/>
  <c r="T802" i="8" s="1"/>
  <c r="T803" i="8" s="1"/>
  <c r="T804" i="8" s="1"/>
  <c r="T805" i="8" s="1"/>
  <c r="T806" i="8" s="1"/>
  <c r="T807" i="8" s="1"/>
  <c r="T808" i="8" s="1"/>
  <c r="T809" i="8" s="1"/>
  <c r="T810" i="8" s="1"/>
  <c r="T811" i="8" s="1"/>
  <c r="T812" i="8" s="1"/>
  <c r="T813" i="8" s="1"/>
  <c r="T814" i="8" s="1"/>
  <c r="T815" i="8" s="1"/>
  <c r="T816" i="8" s="1"/>
  <c r="T817" i="8" s="1"/>
  <c r="T818" i="8" s="1"/>
  <c r="T819" i="8" s="1"/>
  <c r="T820" i="8" s="1"/>
  <c r="T821" i="8" s="1"/>
  <c r="T822" i="8" s="1"/>
  <c r="T823" i="8" s="1"/>
  <c r="T824" i="8" s="1"/>
  <c r="T825" i="8" s="1"/>
  <c r="T826" i="8" s="1"/>
  <c r="T827" i="8" s="1"/>
  <c r="T828" i="8" s="1"/>
  <c r="T829" i="8" s="1"/>
  <c r="T830" i="8" s="1"/>
  <c r="T831" i="8" s="1"/>
  <c r="T832" i="8" s="1"/>
  <c r="T833" i="8" s="1"/>
  <c r="T834" i="8" s="1"/>
  <c r="T835" i="8" s="1"/>
  <c r="T836" i="8" s="1"/>
  <c r="T837" i="8" s="1"/>
  <c r="T838" i="8" s="1"/>
  <c r="T839" i="8" s="1"/>
  <c r="T840" i="8" s="1"/>
  <c r="T841" i="8" s="1"/>
  <c r="T842" i="8" s="1"/>
  <c r="M12" i="2" l="1"/>
  <c r="M11" i="2" s="1"/>
  <c r="M10" i="2" s="1"/>
  <c r="M7" i="2" s="1"/>
  <c r="N12" i="2" l="1"/>
  <c r="N11" i="2" l="1"/>
  <c r="T12" i="2"/>
  <c r="F16" i="4"/>
  <c r="P12" i="2"/>
  <c r="P11" i="2" s="1"/>
  <c r="P10" i="2" s="1"/>
  <c r="P7" i="2" s="1"/>
  <c r="G16" i="4" l="1"/>
  <c r="L16" i="4" s="1"/>
  <c r="N10" i="2"/>
  <c r="N7" i="2" s="1"/>
  <c r="T11" i="2"/>
  <c r="T10" i="2" l="1"/>
  <c r="T7" i="2" s="1"/>
  <c r="S843" i="8"/>
  <c r="T843" i="8" s="1"/>
  <c r="T844" i="8" s="1"/>
  <c r="T845" i="8" s="1"/>
  <c r="T846" i="8" s="1"/>
  <c r="T847" i="8" s="1"/>
  <c r="T848" i="8" s="1"/>
  <c r="T849" i="8" s="1"/>
  <c r="T850" i="8" s="1"/>
  <c r="T851" i="8" s="1"/>
  <c r="T852" i="8" s="1"/>
  <c r="T853" i="8" s="1"/>
  <c r="T854" i="8" s="1"/>
  <c r="T855" i="8" s="1"/>
  <c r="T856" i="8" s="1"/>
  <c r="T857" i="8" s="1"/>
  <c r="T858" i="8" s="1"/>
  <c r="T859" i="8" s="1"/>
  <c r="T860" i="8" s="1"/>
  <c r="T861" i="8" s="1"/>
  <c r="T862" i="8" s="1"/>
  <c r="T863" i="8" s="1"/>
  <c r="T864" i="8" s="1"/>
  <c r="T865" i="8" s="1"/>
  <c r="T866" i="8" s="1"/>
  <c r="T867" i="8" s="1"/>
  <c r="T868" i="8" s="1"/>
  <c r="T869" i="8" s="1"/>
  <c r="T870" i="8" s="1"/>
  <c r="T871" i="8" s="1"/>
  <c r="T872" i="8" s="1"/>
  <c r="T873" i="8" s="1"/>
  <c r="T874" i="8" s="1"/>
  <c r="T875" i="8" s="1"/>
  <c r="T876" i="8" s="1"/>
  <c r="T877" i="8" s="1"/>
  <c r="T878" i="8" s="1"/>
  <c r="T879" i="8" s="1"/>
  <c r="T880" i="8" s="1"/>
  <c r="T881" i="8" s="1"/>
  <c r="T882" i="8" s="1"/>
  <c r="T883" i="8" s="1"/>
  <c r="T884" i="8" s="1"/>
  <c r="T885" i="8" s="1"/>
  <c r="T886" i="8" s="1"/>
  <c r="T887" i="8" s="1"/>
  <c r="T888" i="8" s="1"/>
  <c r="T889" i="8" s="1"/>
  <c r="T890" i="8" s="1"/>
  <c r="T891" i="8" s="1"/>
  <c r="T892" i="8" s="1"/>
  <c r="T893" i="8" s="1"/>
  <c r="T894" i="8" s="1"/>
  <c r="T895" i="8" s="1"/>
  <c r="T896" i="8" s="1"/>
  <c r="T897" i="8" s="1"/>
  <c r="T898" i="8" s="1"/>
  <c r="T899" i="8" s="1"/>
  <c r="T900" i="8" s="1"/>
  <c r="T901" i="8" s="1"/>
  <c r="T902" i="8" s="1"/>
  <c r="T903" i="8" s="1"/>
  <c r="T904" i="8" s="1"/>
  <c r="T905" i="8" s="1"/>
  <c r="T906" i="8" s="1"/>
  <c r="T907" i="8" s="1"/>
  <c r="T908" i="8" s="1"/>
  <c r="T909" i="8" s="1"/>
  <c r="T910" i="8" s="1"/>
  <c r="T911" i="8" s="1"/>
  <c r="T912" i="8" s="1"/>
  <c r="T913" i="8" s="1"/>
  <c r="T914" i="8" s="1"/>
  <c r="T915" i="8" s="1"/>
  <c r="T916" i="8" s="1"/>
  <c r="T917" i="8" s="1"/>
  <c r="T918" i="8" s="1"/>
  <c r="T919" i="8" s="1"/>
  <c r="T920" i="8" s="1"/>
  <c r="T921" i="8" s="1"/>
  <c r="T922" i="8" s="1"/>
  <c r="T923" i="8" s="1"/>
  <c r="T924" i="8" s="1"/>
  <c r="T925" i="8" s="1"/>
  <c r="T926" i="8" s="1"/>
  <c r="T927" i="8" s="1"/>
  <c r="T928" i="8" s="1"/>
  <c r="T929" i="8" s="1"/>
  <c r="T930" i="8" s="1"/>
  <c r="T931" i="8" s="1"/>
  <c r="T932" i="8" s="1"/>
  <c r="T933" i="8" s="1"/>
  <c r="T934" i="8" s="1"/>
  <c r="T935" i="8" s="1"/>
  <c r="T936" i="8" s="1"/>
  <c r="T937" i="8" s="1"/>
  <c r="T938" i="8" s="1"/>
  <c r="T939" i="8" s="1"/>
  <c r="T940" i="8" s="1"/>
  <c r="T941" i="8" s="1"/>
  <c r="T942" i="8" s="1"/>
  <c r="T943" i="8" s="1"/>
  <c r="T944" i="8" s="1"/>
  <c r="T945" i="8" s="1"/>
  <c r="T946" i="8" s="1"/>
  <c r="T947" i="8" s="1"/>
  <c r="T948" i="8" s="1"/>
  <c r="T949" i="8" s="1"/>
  <c r="T950" i="8" s="1"/>
  <c r="T951" i="8" s="1"/>
  <c r="T952" i="8" s="1"/>
  <c r="T953" i="8" s="1"/>
  <c r="T954" i="8" s="1"/>
  <c r="T955" i="8" s="1"/>
  <c r="T956" i="8" s="1"/>
  <c r="T957" i="8" s="1"/>
  <c r="T958" i="8" s="1"/>
  <c r="T959" i="8" s="1"/>
  <c r="T960" i="8" s="1"/>
  <c r="T961" i="8" s="1"/>
  <c r="T962" i="8" s="1"/>
  <c r="T963" i="8" s="1"/>
  <c r="T964" i="8" s="1"/>
  <c r="T965" i="8" s="1"/>
  <c r="T966" i="8" s="1"/>
  <c r="T967" i="8" s="1"/>
  <c r="T968" i="8" s="1"/>
  <c r="T969" i="8" s="1"/>
  <c r="T970" i="8" s="1"/>
  <c r="T971" i="8" s="1"/>
  <c r="T972" i="8" s="1"/>
  <c r="T973" i="8" s="1"/>
  <c r="T974" i="8" s="1"/>
  <c r="T975" i="8" s="1"/>
  <c r="T976" i="8" s="1"/>
  <c r="T977" i="8" s="1"/>
  <c r="T978" i="8" s="1"/>
  <c r="T979" i="8" s="1"/>
  <c r="T980" i="8" s="1"/>
  <c r="T981" i="8" s="1"/>
  <c r="T982" i="8" s="1"/>
  <c r="T983" i="8" s="1"/>
  <c r="T984" i="8" s="1"/>
  <c r="T985" i="8" s="1"/>
  <c r="T986" i="8" s="1"/>
  <c r="T987" i="8" s="1"/>
  <c r="T988" i="8" s="1"/>
  <c r="T989" i="8" s="1"/>
  <c r="T990" i="8" s="1"/>
  <c r="T991" i="8" s="1"/>
  <c r="T992" i="8" s="1"/>
  <c r="T993" i="8" s="1"/>
  <c r="T994" i="8" s="1"/>
  <c r="T995" i="8" s="1"/>
  <c r="T996" i="8" s="1"/>
  <c r="T997" i="8" s="1"/>
  <c r="T998" i="8" s="1"/>
  <c r="T999" i="8" s="1"/>
  <c r="T1000" i="8" s="1"/>
  <c r="T1001" i="8" s="1"/>
  <c r="T1002" i="8" s="1"/>
  <c r="T1003" i="8" s="1"/>
  <c r="T1004" i="8" s="1"/>
  <c r="T1005" i="8" s="1"/>
  <c r="T1006" i="8" s="1"/>
  <c r="T1007" i="8" s="1"/>
  <c r="T1008" i="8" s="1"/>
  <c r="T1009" i="8" s="1"/>
  <c r="T1010" i="8" s="1"/>
  <c r="T1011" i="8" s="1"/>
  <c r="T1012" i="8" s="1"/>
  <c r="T1013" i="8" s="1"/>
  <c r="T1014" i="8" s="1"/>
  <c r="T1015" i="8" s="1"/>
  <c r="T1016" i="8" s="1"/>
  <c r="T1017" i="8" s="1"/>
  <c r="T1018" i="8" s="1"/>
  <c r="T1019" i="8" s="1"/>
  <c r="T1020" i="8" s="1"/>
  <c r="T1021" i="8" s="1"/>
  <c r="T1022" i="8" s="1"/>
  <c r="T1023" i="8" s="1"/>
  <c r="T1024" i="8" s="1"/>
  <c r="T1025" i="8" s="1"/>
  <c r="T1026" i="8" s="1"/>
  <c r="T1027" i="8" s="1"/>
  <c r="T1028" i="8" s="1"/>
  <c r="T1029" i="8" s="1"/>
  <c r="T1030" i="8" s="1"/>
  <c r="T1031" i="8" s="1"/>
  <c r="T1032" i="8" s="1"/>
  <c r="T1033" i="8" s="1"/>
  <c r="T1034" i="8" s="1"/>
  <c r="T1035" i="8" s="1"/>
  <c r="T1036" i="8" s="1"/>
  <c r="T1037" i="8" s="1"/>
  <c r="T1038" i="8" s="1"/>
  <c r="T1039" i="8" s="1"/>
  <c r="T1040" i="8" s="1"/>
  <c r="T1041" i="8" s="1"/>
  <c r="T1042" i="8" s="1"/>
  <c r="T1043" i="8" s="1"/>
  <c r="T1044" i="8" s="1"/>
  <c r="T1045" i="8" s="1"/>
  <c r="T1046" i="8" s="1"/>
  <c r="T1047" i="8" s="1"/>
  <c r="T1048" i="8" s="1"/>
  <c r="T1049" i="8" s="1"/>
  <c r="T1050" i="8" s="1"/>
  <c r="T1051" i="8" s="1"/>
  <c r="T1052" i="8" l="1"/>
  <c r="T1053" i="8" s="1"/>
  <c r="T1054" i="8" s="1"/>
  <c r="T1055" i="8" s="1"/>
  <c r="T1056" i="8" s="1"/>
  <c r="T1057" i="8" s="1"/>
  <c r="T1058" i="8" s="1"/>
  <c r="T1059" i="8" s="1"/>
  <c r="T1060" i="8" s="1"/>
  <c r="T1061" i="8" s="1"/>
  <c r="T1062" i="8" s="1"/>
  <c r="T1063" i="8" s="1"/>
  <c r="T1064" i="8" s="1"/>
  <c r="T1065" i="8" s="1"/>
  <c r="T1066" i="8" s="1"/>
  <c r="T1067" i="8" s="1"/>
  <c r="T1068" i="8" s="1"/>
  <c r="T1069" i="8" s="1"/>
  <c r="T1070" i="8" l="1"/>
  <c r="T1071" i="8" l="1"/>
  <c r="T1072" i="8" s="1"/>
  <c r="T1073" i="8" s="1"/>
  <c r="T1074" i="8" s="1"/>
  <c r="T1075" i="8" s="1"/>
  <c r="T1076" i="8" s="1"/>
  <c r="T1077" i="8" s="1"/>
  <c r="T1078" i="8" s="1"/>
  <c r="T1079" i="8" s="1"/>
  <c r="T1080" i="8" s="1"/>
  <c r="T1081" i="8" s="1"/>
  <c r="T1082" i="8" s="1"/>
  <c r="T1083" i="8" s="1"/>
  <c r="T1084" i="8" s="1"/>
  <c r="T1085" i="8" s="1"/>
  <c r="T1086" i="8" s="1"/>
  <c r="T1087" i="8" s="1"/>
  <c r="T1088" i="8" s="1"/>
  <c r="T1089" i="8" s="1"/>
  <c r="T1090" i="8" s="1"/>
  <c r="T1091" i="8" s="1"/>
  <c r="T1092" i="8" s="1"/>
  <c r="T1093" i="8" s="1"/>
  <c r="T1094" i="8" s="1"/>
  <c r="T1095" i="8" s="1"/>
  <c r="T1096" i="8" s="1"/>
  <c r="T1097" i="8" s="1"/>
  <c r="T1098" i="8" s="1"/>
  <c r="T1099" i="8" s="1"/>
  <c r="T1100" i="8" s="1"/>
  <c r="T1101" i="8" s="1"/>
  <c r="T1102" i="8" s="1"/>
  <c r="T1103" i="8" s="1"/>
  <c r="T1104" i="8" s="1"/>
  <c r="T1105" i="8" s="1"/>
  <c r="T1106" i="8" s="1"/>
  <c r="T1107" i="8" s="1"/>
  <c r="T1108" i="8" s="1"/>
  <c r="T1109" i="8" s="1"/>
  <c r="T1110" i="8" s="1"/>
  <c r="T1111" i="8" s="1"/>
  <c r="T1112" i="8" s="1"/>
  <c r="T1113" i="8" s="1"/>
  <c r="T1114" i="8" s="1"/>
  <c r="T1115" i="8" s="1"/>
  <c r="T1116" i="8" s="1"/>
  <c r="T1117" i="8" s="1"/>
  <c r="T1118" i="8" s="1"/>
  <c r="T1119" i="8" s="1"/>
  <c r="T1120" i="8" s="1"/>
  <c r="T1121" i="8" s="1"/>
  <c r="T1122" i="8" s="1"/>
  <c r="T1123" i="8" s="1"/>
  <c r="T1124" i="8" s="1"/>
  <c r="T1125" i="8" s="1"/>
  <c r="T1126" i="8" s="1"/>
  <c r="T1127" i="8" s="1"/>
  <c r="T1128" i="8" s="1"/>
  <c r="T1129" i="8" s="1"/>
  <c r="T1130" i="8" s="1"/>
  <c r="T1131" i="8" s="1"/>
  <c r="T1132" i="8" s="1"/>
  <c r="T1133" i="8" s="1"/>
  <c r="T1134" i="8" s="1"/>
  <c r="T1135" i="8" s="1"/>
  <c r="T1136" i="8" s="1"/>
  <c r="T1137" i="8" s="1"/>
  <c r="T1138" i="8" s="1"/>
  <c r="T1139" i="8" s="1"/>
  <c r="T1140" i="8" s="1"/>
  <c r="T1141" i="8" s="1"/>
  <c r="T1142" i="8" l="1"/>
  <c r="T1143" i="8" s="1"/>
  <c r="T1144" i="8" s="1"/>
  <c r="T1145" i="8" s="1"/>
  <c r="T1146" i="8" s="1"/>
  <c r="T1147" i="8" s="1"/>
  <c r="T1148" i="8" s="1"/>
  <c r="T1149" i="8" s="1"/>
  <c r="T1150" i="8" s="1"/>
  <c r="T1151" i="8" s="1"/>
  <c r="T1152" i="8" s="1"/>
  <c r="T1153" i="8" s="1"/>
  <c r="T1154" i="8" s="1"/>
  <c r="T1155" i="8" s="1"/>
  <c r="T1156" i="8" s="1"/>
  <c r="T1157" i="8" s="1"/>
  <c r="T1158" i="8" s="1"/>
  <c r="T1159" i="8" s="1"/>
  <c r="T1160" i="8" s="1"/>
  <c r="T1161" i="8" s="1"/>
  <c r="T1162" i="8" s="1"/>
  <c r="T1163" i="8" s="1"/>
  <c r="T1164" i="8" s="1"/>
  <c r="T1165" i="8" s="1"/>
  <c r="T1166" i="8" s="1"/>
  <c r="T1167" i="8" s="1"/>
  <c r="T1168" i="8" s="1"/>
  <c r="T1169" i="8" s="1"/>
  <c r="T1170" i="8" s="1"/>
  <c r="T1171" i="8" s="1"/>
  <c r="T1172" i="8" s="1"/>
  <c r="T1173" i="8" s="1"/>
  <c r="T1174" i="8" s="1"/>
  <c r="T1175" i="8" s="1"/>
  <c r="T1176" i="8" s="1"/>
  <c r="T1177" i="8" s="1"/>
  <c r="T1178" i="8" s="1"/>
  <c r="T1179" i="8" s="1"/>
  <c r="T1180" i="8" s="1"/>
  <c r="T1181" i="8" s="1"/>
  <c r="T1182" i="8" s="1"/>
  <c r="T1183" i="8" s="1"/>
  <c r="T1184" i="8" s="1"/>
  <c r="T1185" i="8" s="1"/>
  <c r="T1186" i="8" s="1"/>
  <c r="T1187" i="8" s="1"/>
  <c r="T1188" i="8" s="1"/>
  <c r="T1189" i="8" s="1"/>
  <c r="T1190" i="8" s="1"/>
  <c r="T1191" i="8" s="1"/>
  <c r="T1192" i="8" s="1"/>
  <c r="T1193" i="8" s="1"/>
  <c r="T1194" i="8" s="1"/>
  <c r="T1195" i="8" s="1"/>
  <c r="T1196" i="8" s="1"/>
  <c r="T1197" i="8" s="1"/>
  <c r="T1198" i="8" s="1"/>
  <c r="T1199" i="8" s="1"/>
  <c r="T1200" i="8" s="1"/>
  <c r="T1201" i="8" s="1"/>
  <c r="T1202" i="8" s="1"/>
  <c r="T1203" i="8" s="1"/>
  <c r="T1204" i="8" s="1"/>
  <c r="T1205" i="8" s="1"/>
  <c r="T1206" i="8" s="1"/>
  <c r="T1207" i="8" s="1"/>
  <c r="T1208" i="8" s="1"/>
  <c r="T1209" i="8" s="1"/>
  <c r="T1210" i="8" s="1"/>
  <c r="T1211" i="8" s="1"/>
  <c r="T1212" i="8" s="1"/>
  <c r="T1213" i="8" s="1"/>
  <c r="T1214" i="8" s="1"/>
  <c r="T1215" i="8" s="1"/>
  <c r="T1216" i="8" s="1"/>
  <c r="T1217" i="8" s="1"/>
  <c r="T1218" i="8" s="1"/>
  <c r="T1219" i="8" s="1"/>
  <c r="T1220" i="8" s="1"/>
  <c r="T1221" i="8" s="1"/>
  <c r="T1222" i="8" s="1"/>
  <c r="T1223" i="8" s="1"/>
  <c r="T1224" i="8" s="1"/>
  <c r="T1225" i="8" s="1"/>
  <c r="T1226" i="8" s="1"/>
  <c r="T1227" i="8" s="1"/>
  <c r="T1228" i="8" s="1"/>
  <c r="T1229" i="8" s="1"/>
  <c r="T1230" i="8" s="1"/>
  <c r="T1231" i="8" s="1"/>
  <c r="T1232" i="8" s="1"/>
  <c r="T1233" i="8" s="1"/>
  <c r="T1234" i="8" s="1"/>
  <c r="T1235" i="8" s="1"/>
  <c r="T1236" i="8" s="1"/>
  <c r="T1237" i="8" s="1"/>
  <c r="T1238" i="8" s="1"/>
  <c r="T1239" i="8" s="1"/>
  <c r="T1240" i="8" s="1"/>
  <c r="T1241" i="8" s="1"/>
  <c r="T1242" i="8" s="1"/>
  <c r="T1243" i="8" s="1"/>
  <c r="T1244" i="8" s="1"/>
  <c r="T1245" i="8" s="1"/>
  <c r="T1246" i="8" s="1"/>
  <c r="T1247" i="8" s="1"/>
  <c r="T1248" i="8" s="1"/>
  <c r="T1249" i="8" s="1"/>
  <c r="T1250" i="8" s="1"/>
  <c r="T1251" i="8" s="1"/>
  <c r="T1252" i="8" s="1"/>
  <c r="T1253" i="8" s="1"/>
  <c r="T1254" i="8" s="1"/>
  <c r="T1255" i="8" s="1"/>
  <c r="T1256" i="8" s="1"/>
  <c r="T1257" i="8" s="1"/>
  <c r="T1258" i="8" s="1"/>
  <c r="T1259" i="8" s="1"/>
  <c r="T1260" i="8" s="1"/>
  <c r="T1261" i="8" s="1"/>
  <c r="T1262" i="8" s="1"/>
  <c r="T1263" i="8" s="1"/>
  <c r="T1264" i="8" s="1"/>
  <c r="T1265" i="8" s="1"/>
  <c r="T1266" i="8" s="1"/>
  <c r="T1267" i="8" s="1"/>
  <c r="T1268" i="8" s="1"/>
  <c r="T1269" i="8" s="1"/>
  <c r="T1270" i="8" s="1"/>
  <c r="T1271" i="8" s="1"/>
  <c r="T1272" i="8" s="1"/>
  <c r="T1273" i="8" s="1"/>
  <c r="T1274" i="8" s="1"/>
  <c r="T1275" i="8" s="1"/>
  <c r="T1276" i="8" s="1"/>
  <c r="T1277" i="8" s="1"/>
  <c r="T1278" i="8" s="1"/>
  <c r="T1279" i="8" s="1"/>
  <c r="T1280" i="8" s="1"/>
  <c r="T1281" i="8" s="1"/>
  <c r="T1282" i="8" s="1"/>
  <c r="T1283" i="8" s="1"/>
  <c r="T1284" i="8" s="1"/>
  <c r="T1285" i="8" s="1"/>
  <c r="T1286" i="8" s="1"/>
  <c r="T1287" i="8" s="1"/>
  <c r="T1288" i="8" s="1"/>
  <c r="T1289" i="8" s="1"/>
  <c r="T1290" i="8" s="1"/>
  <c r="T1291" i="8" s="1"/>
  <c r="T1292" i="8" s="1"/>
  <c r="T1293" i="8" s="1"/>
  <c r="T1294" i="8" s="1"/>
  <c r="T1295" i="8" s="1"/>
  <c r="T1296" i="8" s="1"/>
  <c r="T1297" i="8" s="1"/>
  <c r="T1298" i="8" s="1"/>
  <c r="T1299" i="8" s="1"/>
  <c r="T1300" i="8" s="1"/>
  <c r="T1301" i="8" s="1"/>
  <c r="T1302" i="8" s="1"/>
  <c r="T1303" i="8" s="1"/>
  <c r="T1304" i="8" s="1"/>
  <c r="T1305" i="8" s="1"/>
  <c r="T1306" i="8" s="1"/>
  <c r="T1307" i="8" s="1"/>
  <c r="T1308" i="8" s="1"/>
  <c r="T1309" i="8" s="1"/>
  <c r="T1310" i="8" s="1"/>
  <c r="T1311" i="8" s="1"/>
  <c r="T1312" i="8" s="1"/>
  <c r="T1313" i="8" s="1"/>
  <c r="T1314" i="8" s="1"/>
  <c r="T1315" i="8" s="1"/>
  <c r="T1316" i="8" s="1"/>
  <c r="T1317" i="8" s="1"/>
  <c r="T1318" i="8" s="1"/>
  <c r="T1319" i="8" s="1"/>
  <c r="T1320" i="8" s="1"/>
  <c r="T1321" i="8" s="1"/>
  <c r="T1322" i="8" s="1"/>
  <c r="T1323" i="8" s="1"/>
  <c r="T1324" i="8" s="1"/>
  <c r="T1325" i="8" s="1"/>
  <c r="T1326" i="8" s="1"/>
  <c r="T1327" i="8" s="1"/>
  <c r="T1328" i="8" s="1"/>
  <c r="T1329" i="8" s="1"/>
  <c r="T1330" i="8" s="1"/>
  <c r="T1331" i="8" s="1"/>
  <c r="T1332" i="8" s="1"/>
  <c r="T1333" i="8" s="1"/>
  <c r="T1334" i="8" s="1"/>
  <c r="T1335" i="8" s="1"/>
  <c r="T1336" i="8" s="1"/>
  <c r="T1337" i="8" s="1"/>
  <c r="T1338" i="8" s="1"/>
  <c r="T1339" i="8" s="1"/>
  <c r="T1340" i="8" s="1"/>
  <c r="T1341" i="8" s="1"/>
  <c r="T1342" i="8" s="1"/>
  <c r="T1343" i="8" s="1"/>
  <c r="T1344" i="8" s="1"/>
  <c r="T1345" i="8" s="1"/>
  <c r="T1346" i="8" s="1"/>
  <c r="T1347" i="8" s="1"/>
  <c r="T1348" i="8" s="1"/>
  <c r="T1349" i="8" s="1"/>
  <c r="T1350" i="8" s="1"/>
  <c r="T1351" i="8" s="1"/>
  <c r="T1352" i="8" s="1"/>
  <c r="T1353" i="8" s="1"/>
  <c r="T1354" i="8" s="1"/>
  <c r="T1355" i="8" s="1"/>
  <c r="T1356" i="8" s="1"/>
  <c r="T1357" i="8" s="1"/>
  <c r="T1358" i="8" s="1"/>
  <c r="T1359" i="8" s="1"/>
  <c r="T1360" i="8" s="1"/>
  <c r="T1361" i="8" s="1"/>
  <c r="T1362" i="8" s="1"/>
  <c r="T1363" i="8" s="1"/>
  <c r="T1364" i="8" s="1"/>
  <c r="T1365" i="8" s="1"/>
  <c r="T1366" i="8" s="1"/>
  <c r="T1367" i="8" s="1"/>
  <c r="T1368" i="8" s="1"/>
  <c r="T1369" i="8" s="1"/>
  <c r="T1370" i="8" s="1"/>
  <c r="T1371" i="8" s="1"/>
  <c r="T1372" i="8" s="1"/>
  <c r="T1373" i="8" s="1"/>
  <c r="T1374" i="8" s="1"/>
  <c r="T1375" i="8" s="1"/>
  <c r="T1376" i="8" s="1"/>
  <c r="T1377" i="8" s="1"/>
  <c r="T1378" i="8" s="1"/>
  <c r="T1379" i="8" s="1"/>
  <c r="T1380" i="8" s="1"/>
  <c r="T1381" i="8" s="1"/>
  <c r="T1382" i="8" s="1"/>
  <c r="T1383" i="8" s="1"/>
  <c r="T1384" i="8" s="1"/>
  <c r="T1385" i="8" s="1"/>
  <c r="T1386" i="8" s="1"/>
  <c r="T1387" i="8" s="1"/>
  <c r="T1388" i="8" s="1"/>
  <c r="T1389" i="8" s="1"/>
  <c r="T1390" i="8" s="1"/>
  <c r="T1391" i="8" s="1"/>
  <c r="T1392" i="8" s="1"/>
  <c r="T1393" i="8" s="1"/>
  <c r="T1394" i="8" s="1"/>
  <c r="T1395" i="8" s="1"/>
  <c r="T1396" i="8" s="1"/>
  <c r="T1397" i="8" s="1"/>
  <c r="T1398" i="8" s="1"/>
  <c r="T1399" i="8" s="1"/>
  <c r="T1400" i="8" s="1"/>
  <c r="T1401" i="8" s="1"/>
  <c r="T1402" i="8" s="1"/>
  <c r="T1403" i="8" s="1"/>
  <c r="T1404" i="8" s="1"/>
  <c r="T1405" i="8" s="1"/>
  <c r="T1406" i="8" s="1"/>
  <c r="T1407" i="8" s="1"/>
  <c r="T1408" i="8" s="1"/>
  <c r="T1409" i="8" s="1"/>
  <c r="T1410" i="8" s="1"/>
  <c r="T1411" i="8" s="1"/>
  <c r="T1412" i="8" s="1"/>
  <c r="T1413" i="8" s="1"/>
  <c r="T1414" i="8" s="1"/>
  <c r="T1415" i="8" s="1"/>
  <c r="T1416" i="8" s="1"/>
  <c r="T1417" i="8" s="1"/>
  <c r="T1418" i="8" s="1"/>
  <c r="T1419" i="8" s="1"/>
  <c r="T1420" i="8" s="1"/>
  <c r="T1421" i="8" s="1"/>
  <c r="T1422" i="8" s="1"/>
  <c r="T1423" i="8" s="1"/>
  <c r="T1424" i="8" s="1"/>
  <c r="T1425" i="8" s="1"/>
  <c r="T1426" i="8" s="1"/>
  <c r="T1427" i="8" s="1"/>
  <c r="T1428" i="8" s="1"/>
  <c r="T1429" i="8" s="1"/>
  <c r="T1430" i="8" s="1"/>
  <c r="T1431" i="8" s="1"/>
  <c r="T1432" i="8" s="1"/>
  <c r="T1433" i="8" s="1"/>
  <c r="T1434" i="8" s="1"/>
  <c r="T1435" i="8" s="1"/>
  <c r="T1436" i="8" s="1"/>
  <c r="T1437" i="8" s="1"/>
  <c r="T1438" i="8" s="1"/>
  <c r="T1439" i="8" s="1"/>
  <c r="T1440" i="8" s="1"/>
  <c r="T1441" i="8" s="1"/>
  <c r="T1442" i="8" s="1"/>
  <c r="T1443" i="8" s="1"/>
  <c r="T1444" i="8" s="1"/>
  <c r="T1445" i="8" s="1"/>
  <c r="T1446" i="8" s="1"/>
  <c r="T1447" i="8" s="1"/>
  <c r="T1448" i="8" s="1"/>
  <c r="T1449" i="8" s="1"/>
  <c r="T1450" i="8" s="1"/>
  <c r="T1451" i="8" s="1"/>
  <c r="T1452" i="8" s="1"/>
  <c r="T1453" i="8" s="1"/>
  <c r="T1454" i="8" s="1"/>
  <c r="T1455" i="8" s="1"/>
  <c r="T1456" i="8" s="1"/>
  <c r="T1457" i="8" s="1"/>
  <c r="T1458" i="8" l="1"/>
  <c r="T1459" i="8" s="1"/>
  <c r="T1460" i="8" s="1"/>
  <c r="T1461" i="8" s="1"/>
  <c r="T1462" i="8" s="1"/>
  <c r="T1463" i="8" s="1"/>
  <c r="T1464" i="8" s="1"/>
  <c r="T1465" i="8" s="1"/>
  <c r="T1466" i="8" s="1"/>
  <c r="T1467" i="8" s="1"/>
  <c r="J17" i="4"/>
  <c r="I17" i="4"/>
  <c r="J16" i="4"/>
  <c r="I16" i="4"/>
  <c r="O16" i="4" l="1"/>
  <c r="N16" i="4"/>
  <c r="O17" i="4"/>
  <c r="N17" i="4"/>
  <c r="T1468" i="8"/>
  <c r="T1469" i="8" s="1"/>
  <c r="J15" i="4"/>
  <c r="I15" i="4"/>
  <c r="O15" i="4" l="1"/>
  <c r="N15" i="4"/>
  <c r="T1470" i="8"/>
  <c r="T1471" i="8" s="1"/>
  <c r="T1472" i="8" s="1"/>
  <c r="T1473" i="8" s="1"/>
  <c r="T1474" i="8" s="1"/>
  <c r="T1475" i="8" s="1"/>
  <c r="T1476" i="8" s="1"/>
  <c r="T1477" i="8" s="1"/>
  <c r="T1478" i="8" s="1"/>
  <c r="T1479" i="8" s="1"/>
  <c r="T1480" i="8" s="1"/>
  <c r="T1481" i="8" s="1"/>
  <c r="T1482" i="8" s="1"/>
  <c r="T1483" i="8" s="1"/>
  <c r="T1484" i="8" s="1"/>
  <c r="T1485" i="8" s="1"/>
  <c r="T1486" i="8" s="1"/>
  <c r="T1487" i="8" s="1"/>
  <c r="T1488" i="8" s="1"/>
  <c r="T1489" i="8" s="1"/>
  <c r="T1490" i="8" s="1"/>
  <c r="T1491" i="8" s="1"/>
  <c r="T1492" i="8" s="1"/>
  <c r="T1493" i="8" s="1"/>
  <c r="T1494" i="8" s="1"/>
  <c r="T1495" i="8" s="1"/>
  <c r="T1496" i="8" s="1"/>
  <c r="T1497" i="8" s="1"/>
  <c r="T1498" i="8" s="1"/>
  <c r="T1499" i="8" s="1"/>
  <c r="T1500" i="8" s="1"/>
  <c r="T1501" i="8" s="1"/>
  <c r="T1502" i="8" s="1"/>
  <c r="T1503" i="8" s="1"/>
  <c r="T1504" i="8" s="1"/>
  <c r="T1505" i="8" s="1"/>
  <c r="T1506" i="8" s="1"/>
  <c r="T1507" i="8" s="1"/>
  <c r="T1508" i="8" s="1"/>
  <c r="T1509" i="8" s="1"/>
  <c r="T1510" i="8" s="1"/>
  <c r="T1511" i="8" s="1"/>
  <c r="T1512" i="8" s="1"/>
  <c r="T1513" i="8" s="1"/>
  <c r="T1514" i="8" s="1"/>
  <c r="T1515" i="8" s="1"/>
  <c r="T1516" i="8" s="1"/>
  <c r="T1517" i="8" s="1"/>
  <c r="T1518" i="8" s="1"/>
  <c r="T1519" i="8" s="1"/>
  <c r="T1520" i="8" s="1"/>
  <c r="T1521" i="8" s="1"/>
  <c r="T1522" i="8" s="1"/>
  <c r="T1523" i="8" s="1"/>
  <c r="T1524" i="8" s="1"/>
  <c r="T1525" i="8" s="1"/>
  <c r="T1526" i="8" s="1"/>
  <c r="T1527" i="8" s="1"/>
  <c r="T1528" i="8" s="1"/>
  <c r="T1529" i="8" s="1"/>
  <c r="T1530" i="8" s="1"/>
  <c r="T1531" i="8" s="1"/>
  <c r="T1532" i="8" s="1"/>
  <c r="T1533" i="8" s="1"/>
  <c r="T1534" i="8" s="1"/>
  <c r="T1535" i="8" s="1"/>
  <c r="T1536" i="8" s="1"/>
  <c r="T1537" i="8" s="1"/>
  <c r="T1538" i="8" s="1"/>
  <c r="T1539" i="8" s="1"/>
  <c r="T1540" i="8" s="1"/>
  <c r="T1541" i="8" s="1"/>
  <c r="T1542" i="8" s="1"/>
  <c r="T1543" i="8" s="1"/>
  <c r="T1544" i="8" s="1"/>
  <c r="T1545" i="8" s="1"/>
  <c r="T1546" i="8" s="1"/>
  <c r="T1547" i="8" s="1"/>
  <c r="T1548" i="8" s="1"/>
  <c r="T1549" i="8" s="1"/>
  <c r="T1550" i="8" s="1"/>
  <c r="T1551" i="8" s="1"/>
  <c r="T1552" i="8" s="1"/>
  <c r="T1553" i="8" s="1"/>
  <c r="T1554" i="8" s="1"/>
  <c r="T1555" i="8" s="1"/>
  <c r="T1556" i="8" s="1"/>
  <c r="T1557" i="8" s="1"/>
  <c r="T1558" i="8" s="1"/>
  <c r="T1559" i="8" s="1"/>
  <c r="T1560" i="8" s="1"/>
  <c r="T1561" i="8" s="1"/>
  <c r="T1562" i="8" s="1"/>
  <c r="T1563" i="8" s="1"/>
  <c r="T1564" i="8" s="1"/>
  <c r="T1565" i="8" s="1"/>
  <c r="T1566" i="8" s="1"/>
  <c r="T1567" i="8" s="1"/>
  <c r="T1568" i="8" s="1"/>
  <c r="T1569" i="8" s="1"/>
  <c r="T1570" i="8" s="1"/>
  <c r="T1571" i="8" s="1"/>
  <c r="T1572" i="8" s="1"/>
  <c r="T1573" i="8" s="1"/>
  <c r="T1574" i="8" s="1"/>
  <c r="T1575" i="8" s="1"/>
  <c r="T1576" i="8" s="1"/>
  <c r="T1577" i="8" s="1"/>
  <c r="T1578" i="8" s="1"/>
  <c r="T1579" i="8" s="1"/>
  <c r="T1580" i="8" s="1"/>
  <c r="T1581" i="8" s="1"/>
  <c r="T1582" i="8" s="1"/>
  <c r="T1583" i="8" s="1"/>
  <c r="T1584" i="8" s="1"/>
  <c r="T1585" i="8" s="1"/>
  <c r="T1586" i="8" s="1"/>
  <c r="T1587" i="8" s="1"/>
  <c r="T1588" i="8" s="1"/>
  <c r="T1589" i="8" s="1"/>
  <c r="T1590" i="8" s="1"/>
  <c r="T1591" i="8" s="1"/>
  <c r="T1592" i="8" s="1"/>
  <c r="T1593" i="8" s="1"/>
  <c r="T1594" i="8" s="1"/>
  <c r="T1595" i="8" s="1"/>
  <c r="T1596" i="8" s="1"/>
  <c r="T1597" i="8" s="1"/>
  <c r="T1598" i="8" s="1"/>
  <c r="T1599" i="8" s="1"/>
  <c r="T1600" i="8" s="1"/>
  <c r="T1601" i="8" s="1"/>
  <c r="T1602" i="8" s="1"/>
  <c r="T1603" i="8" s="1"/>
  <c r="T1604" i="8" s="1"/>
  <c r="T1605" i="8" s="1"/>
  <c r="T1606" i="8" s="1"/>
  <c r="T1607" i="8" s="1"/>
  <c r="T1608" i="8" s="1"/>
  <c r="T1609" i="8" s="1"/>
  <c r="T1610" i="8" s="1"/>
  <c r="T1611" i="8" s="1"/>
  <c r="T1612" i="8" s="1"/>
  <c r="T1613" i="8" s="1"/>
  <c r="T1614" i="8" s="1"/>
  <c r="T1615" i="8" s="1"/>
  <c r="T1616" i="8" s="1"/>
  <c r="T1617" i="8" s="1"/>
  <c r="T1618" i="8" s="1"/>
  <c r="T1619" i="8" s="1"/>
  <c r="T1620" i="8" s="1"/>
  <c r="T1621" i="8" s="1"/>
  <c r="T1622" i="8" s="1"/>
  <c r="T1623" i="8" s="1"/>
  <c r="T1624" i="8" s="1"/>
  <c r="T1625" i="8" s="1"/>
  <c r="T1626" i="8" s="1"/>
  <c r="T1627" i="8" s="1"/>
  <c r="T1628" i="8" s="1"/>
  <c r="T1629" i="8" s="1"/>
  <c r="T1630" i="8" s="1"/>
  <c r="T1631" i="8" s="1"/>
  <c r="T1632" i="8" s="1"/>
  <c r="T1633" i="8" s="1"/>
  <c r="T1634" i="8" s="1"/>
  <c r="T1635" i="8" s="1"/>
  <c r="T1636" i="8" s="1"/>
  <c r="T1637" i="8" s="1"/>
  <c r="T1638" i="8" s="1"/>
  <c r="T1639" i="8" s="1"/>
  <c r="T1640" i="8" s="1"/>
  <c r="T1641" i="8" s="1"/>
  <c r="T1642" i="8" s="1"/>
  <c r="T1643" i="8" s="1"/>
  <c r="T1644" i="8" s="1"/>
  <c r="T1645" i="8" s="1"/>
  <c r="T1646" i="8" s="1"/>
  <c r="T1647" i="8" s="1"/>
  <c r="T1648" i="8" s="1"/>
  <c r="T1649" i="8" s="1"/>
  <c r="T1650" i="8" s="1"/>
  <c r="T1651" i="8" s="1"/>
  <c r="T1652" i="8" s="1"/>
  <c r="T1653" i="8" s="1"/>
  <c r="T1654" i="8" s="1"/>
  <c r="T1655" i="8" s="1"/>
  <c r="T1656" i="8" s="1"/>
  <c r="T1657" i="8" s="1"/>
  <c r="T1658" i="8" s="1"/>
  <c r="T1659" i="8" s="1"/>
  <c r="T1660" i="8" s="1"/>
  <c r="T1661" i="8" s="1"/>
  <c r="T1662" i="8" s="1"/>
  <c r="T1663" i="8" s="1"/>
  <c r="T1664" i="8" s="1"/>
  <c r="T1665" i="8" s="1"/>
  <c r="T1666" i="8" s="1"/>
  <c r="T1667" i="8" s="1"/>
  <c r="T1668" i="8" s="1"/>
  <c r="T1669" i="8" s="1"/>
  <c r="T1670" i="8" s="1"/>
  <c r="T1671" i="8" s="1"/>
  <c r="T1672" i="8" s="1"/>
  <c r="T1673" i="8" s="1"/>
  <c r="T1674" i="8" s="1"/>
  <c r="T1675" i="8" s="1"/>
  <c r="T1676" i="8" s="1"/>
  <c r="T1677" i="8" s="1"/>
  <c r="T1678" i="8" s="1"/>
  <c r="T1679" i="8" s="1"/>
  <c r="T1680" i="8" s="1"/>
  <c r="T1681" i="8" s="1"/>
  <c r="T1682" i="8" s="1"/>
  <c r="T1683" i="8" s="1"/>
  <c r="T1684" i="8" s="1"/>
  <c r="T1685" i="8" s="1"/>
  <c r="T1686" i="8" s="1"/>
  <c r="T1687" i="8" s="1"/>
  <c r="T1688" i="8" s="1"/>
  <c r="T1689" i="8" s="1"/>
  <c r="T1690" i="8" s="1"/>
  <c r="T1691" i="8" s="1"/>
  <c r="T1692" i="8" s="1"/>
  <c r="T1693" i="8" s="1"/>
  <c r="T1694" i="8" s="1"/>
  <c r="T1695" i="8" s="1"/>
  <c r="T1696" i="8" s="1"/>
  <c r="T1697" i="8" s="1"/>
  <c r="T1698" i="8" s="1"/>
  <c r="T1699" i="8" s="1"/>
  <c r="T1700" i="8" s="1"/>
  <c r="T1701" i="8" s="1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T1752" i="8" s="1"/>
  <c r="T1753" i="8" s="1"/>
  <c r="T1754" i="8" s="1"/>
  <c r="T1755" i="8" s="1"/>
  <c r="T1756" i="8" s="1"/>
  <c r="T1757" i="8" s="1"/>
  <c r="T1758" i="8" s="1"/>
  <c r="T1759" i="8" s="1"/>
  <c r="T1760" i="8" s="1"/>
  <c r="T1761" i="8" s="1"/>
  <c r="T1762" i="8" s="1"/>
  <c r="T1763" i="8" s="1"/>
  <c r="T1764" i="8" s="1"/>
  <c r="T1765" i="8" s="1"/>
  <c r="T1766" i="8" s="1"/>
  <c r="T1767" i="8" s="1"/>
  <c r="T1768" i="8" s="1"/>
  <c r="T1769" i="8" s="1"/>
  <c r="T1770" i="8" s="1"/>
  <c r="T1771" i="8" s="1"/>
  <c r="T1772" i="8" s="1"/>
  <c r="T1773" i="8" s="1"/>
  <c r="T1774" i="8" s="1"/>
  <c r="T1775" i="8" s="1"/>
  <c r="T1776" i="8" s="1"/>
  <c r="T1777" i="8" s="1"/>
  <c r="T1778" i="8" s="1"/>
  <c r="T1779" i="8" s="1"/>
  <c r="T1780" i="8" s="1"/>
  <c r="T1781" i="8" s="1"/>
  <c r="T1782" i="8" s="1"/>
  <c r="T1783" i="8" s="1"/>
  <c r="T1784" i="8" s="1"/>
  <c r="T1785" i="8" s="1"/>
  <c r="T1786" i="8" s="1"/>
  <c r="T1787" i="8" s="1"/>
  <c r="T1788" i="8" s="1"/>
  <c r="T1789" i="8" s="1"/>
  <c r="T1790" i="8" s="1"/>
  <c r="T1791" i="8" s="1"/>
  <c r="T1792" i="8" s="1"/>
  <c r="T1793" i="8" s="1"/>
  <c r="T1794" i="8" s="1"/>
  <c r="T1795" i="8" s="1"/>
  <c r="T1796" i="8" s="1"/>
  <c r="T1797" i="8" s="1"/>
  <c r="T1798" i="8" s="1"/>
  <c r="T1799" i="8" s="1"/>
  <c r="T1800" i="8" s="1"/>
  <c r="T1801" i="8" s="1"/>
  <c r="T1802" i="8" s="1"/>
  <c r="T1803" i="8" s="1"/>
  <c r="T1804" i="8" s="1"/>
  <c r="T1805" i="8" s="1"/>
  <c r="T1806" i="8" s="1"/>
  <c r="T1807" i="8" s="1"/>
  <c r="T1808" i="8" s="1"/>
  <c r="T1809" i="8" s="1"/>
  <c r="T1810" i="8" s="1"/>
  <c r="T1811" i="8" s="1"/>
  <c r="T1812" i="8" s="1"/>
  <c r="T1813" i="8" s="1"/>
  <c r="T1814" i="8" s="1"/>
  <c r="T1815" i="8" s="1"/>
  <c r="T1816" i="8" s="1"/>
  <c r="T1817" i="8" s="1"/>
  <c r="T1818" i="8" s="1"/>
  <c r="T1819" i="8" s="1"/>
  <c r="T1820" i="8" s="1"/>
  <c r="T1821" i="8" s="1"/>
  <c r="T1822" i="8" s="1"/>
  <c r="T1823" i="8" s="1"/>
  <c r="T1824" i="8" s="1"/>
  <c r="T1825" i="8" s="1"/>
  <c r="T1826" i="8" s="1"/>
  <c r="T1827" i="8" s="1"/>
  <c r="T1828" i="8" s="1"/>
  <c r="T1829" i="8" s="1"/>
  <c r="T1830" i="8" s="1"/>
  <c r="T1831" i="8" s="1"/>
  <c r="T1832" i="8" s="1"/>
  <c r="T1833" i="8" s="1"/>
  <c r="T1834" i="8" s="1"/>
  <c r="T1835" i="8" s="1"/>
  <c r="T1836" i="8" s="1"/>
  <c r="T1837" i="8" s="1"/>
  <c r="T1838" i="8" s="1"/>
  <c r="T1839" i="8" s="1"/>
  <c r="T1840" i="8" s="1"/>
  <c r="T1841" i="8" s="1"/>
  <c r="T1842" i="8" s="1"/>
  <c r="T1843" i="8" s="1"/>
  <c r="T1844" i="8" s="1"/>
  <c r="T1845" i="8" s="1"/>
  <c r="T1846" i="8" s="1"/>
  <c r="T1847" i="8" s="1"/>
  <c r="T1848" i="8" s="1"/>
  <c r="T1849" i="8" s="1"/>
  <c r="T1850" i="8" s="1"/>
  <c r="T1851" i="8" s="1"/>
  <c r="T1852" i="8" s="1"/>
  <c r="T1853" i="8" s="1"/>
  <c r="T1854" i="8" s="1"/>
  <c r="T1855" i="8" s="1"/>
  <c r="T1856" i="8" s="1"/>
  <c r="T1857" i="8" s="1"/>
  <c r="T1858" i="8" s="1"/>
  <c r="T1859" i="8" s="1"/>
  <c r="T1860" i="8" s="1"/>
  <c r="T1861" i="8" s="1"/>
  <c r="T1862" i="8" s="1"/>
  <c r="T1863" i="8" s="1"/>
  <c r="T1864" i="8" s="1"/>
  <c r="T1865" i="8" s="1"/>
  <c r="T1866" i="8" s="1"/>
  <c r="T1867" i="8" s="1"/>
  <c r="T1868" i="8" s="1"/>
  <c r="T1869" i="8" s="1"/>
  <c r="T1870" i="8" s="1"/>
  <c r="T1871" i="8" s="1"/>
  <c r="T1872" i="8" s="1"/>
  <c r="T1873" i="8" s="1"/>
  <c r="T1874" i="8" s="1"/>
  <c r="T1875" i="8" s="1"/>
  <c r="T1876" i="8" s="1"/>
  <c r="T1877" i="8" s="1"/>
  <c r="T1878" i="8" s="1"/>
  <c r="T1879" i="8" s="1"/>
  <c r="T1880" i="8" s="1"/>
  <c r="T1881" i="8" s="1"/>
  <c r="T1882" i="8" s="1"/>
  <c r="T1883" i="8" s="1"/>
  <c r="T1884" i="8" s="1"/>
  <c r="T1885" i="8" s="1"/>
  <c r="T1886" i="8" s="1"/>
  <c r="T1887" i="8" s="1"/>
  <c r="T1888" i="8" s="1"/>
  <c r="T1889" i="8" s="1"/>
  <c r="T1890" i="8" s="1"/>
  <c r="T1891" i="8" s="1"/>
  <c r="T1892" i="8" s="1"/>
  <c r="T1893" i="8" s="1"/>
  <c r="T1894" i="8" s="1"/>
  <c r="T1895" i="8" s="1"/>
  <c r="T1896" i="8" s="1"/>
  <c r="T1897" i="8" s="1"/>
  <c r="T1898" i="8" s="1"/>
  <c r="T1899" i="8" s="1"/>
  <c r="T1900" i="8" s="1"/>
  <c r="T1901" i="8" s="1"/>
  <c r="T1902" i="8" s="1"/>
  <c r="T1903" i="8" s="1"/>
  <c r="T1904" i="8" s="1"/>
  <c r="T1905" i="8" s="1"/>
  <c r="T1906" i="8" s="1"/>
  <c r="T1907" i="8" s="1"/>
  <c r="T1908" i="8" s="1"/>
  <c r="T1909" i="8" s="1"/>
  <c r="T1910" i="8" s="1"/>
  <c r="T1911" i="8" s="1"/>
  <c r="T1912" i="8" s="1"/>
  <c r="T1913" i="8" s="1"/>
  <c r="T1914" i="8" s="1"/>
  <c r="T1915" i="8" s="1"/>
  <c r="T1916" i="8" s="1"/>
  <c r="T1917" i="8" s="1"/>
  <c r="T1918" i="8" s="1"/>
  <c r="T1919" i="8" s="1"/>
  <c r="T1920" i="8" s="1"/>
  <c r="T1921" i="8" s="1"/>
  <c r="T1922" i="8" s="1"/>
  <c r="T1923" i="8" s="1"/>
  <c r="T1924" i="8" s="1"/>
  <c r="T1925" i="8" s="1"/>
  <c r="T1926" i="8" s="1"/>
  <c r="T1927" i="8" s="1"/>
  <c r="T1928" i="8" s="1"/>
  <c r="T1929" i="8" s="1"/>
  <c r="T1930" i="8" s="1"/>
  <c r="T1931" i="8" s="1"/>
  <c r="T1932" i="8" s="1"/>
  <c r="T1933" i="8" s="1"/>
  <c r="T1934" i="8" s="1"/>
  <c r="T1935" i="8" s="1"/>
  <c r="T1936" i="8" s="1"/>
  <c r="T1937" i="8" s="1"/>
  <c r="T1938" i="8" s="1"/>
  <c r="T1939" i="8" s="1"/>
  <c r="T1940" i="8" s="1"/>
  <c r="T1941" i="8" s="1"/>
  <c r="T1942" i="8" s="1"/>
  <c r="T1943" i="8" s="1"/>
  <c r="T1944" i="8" s="1"/>
  <c r="T1945" i="8" s="1"/>
  <c r="T1946" i="8" s="1"/>
  <c r="T1947" i="8" s="1"/>
  <c r="T1948" i="8" s="1"/>
  <c r="T1949" i="8" s="1"/>
  <c r="T1950" i="8" s="1"/>
  <c r="T1951" i="8" s="1"/>
  <c r="T1952" i="8" s="1"/>
  <c r="T1953" i="8" s="1"/>
  <c r="T1954" i="8" s="1"/>
  <c r="T1955" i="8" s="1"/>
  <c r="T1956" i="8" s="1"/>
  <c r="T1957" i="8" s="1"/>
  <c r="T1958" i="8" s="1"/>
  <c r="T1959" i="8" s="1"/>
  <c r="T1960" i="8" s="1"/>
  <c r="T1961" i="8" s="1"/>
  <c r="T1962" i="8" s="1"/>
  <c r="T1963" i="8" s="1"/>
  <c r="T1964" i="8" s="1"/>
  <c r="T1965" i="8" s="1"/>
  <c r="T1966" i="8" s="1"/>
  <c r="T1967" i="8" s="1"/>
  <c r="T1968" i="8" s="1"/>
  <c r="T1969" i="8" s="1"/>
  <c r="T1970" i="8" s="1"/>
  <c r="T1971" i="8" s="1"/>
  <c r="T1972" i="8" s="1"/>
  <c r="T1973" i="8" s="1"/>
  <c r="T1974" i="8" s="1"/>
  <c r="T1975" i="8" s="1"/>
  <c r="T1976" i="8" s="1"/>
  <c r="T1977" i="8" s="1"/>
  <c r="T1978" i="8" s="1"/>
  <c r="T1979" i="8" s="1"/>
  <c r="T1980" i="8" s="1"/>
  <c r="T1981" i="8" s="1"/>
  <c r="T1982" i="8" s="1"/>
  <c r="T1983" i="8" s="1"/>
  <c r="T1984" i="8" s="1"/>
  <c r="T1985" i="8" s="1"/>
  <c r="T1986" i="8" s="1"/>
  <c r="T1987" i="8" s="1"/>
  <c r="T1988" i="8" s="1"/>
  <c r="T1989" i="8" s="1"/>
  <c r="T1990" i="8" s="1"/>
  <c r="T1991" i="8" s="1"/>
  <c r="T1992" i="8" s="1"/>
  <c r="T1993" i="8" s="1"/>
  <c r="T1994" i="8" s="1"/>
  <c r="T1995" i="8" s="1"/>
  <c r="T1996" i="8" s="1"/>
  <c r="T1997" i="8" s="1"/>
  <c r="T1998" i="8" s="1"/>
  <c r="T1999" i="8" s="1"/>
  <c r="T2000" i="8" s="1"/>
  <c r="T2001" i="8" s="1"/>
  <c r="T2002" i="8" s="1"/>
  <c r="T2003" i="8" s="1"/>
  <c r="T2004" i="8" s="1"/>
  <c r="T2005" i="8" s="1"/>
  <c r="T2006" i="8" s="1"/>
  <c r="T2007" i="8" s="1"/>
  <c r="T2008" i="8" s="1"/>
  <c r="T2009" i="8" s="1"/>
  <c r="T2010" i="8" s="1"/>
  <c r="T2011" i="8" s="1"/>
  <c r="T2012" i="8" s="1"/>
  <c r="T2013" i="8" s="1"/>
  <c r="T2014" i="8" s="1"/>
  <c r="T2015" i="8" s="1"/>
  <c r="T2016" i="8" s="1"/>
  <c r="T2017" i="8" s="1"/>
  <c r="T2018" i="8" s="1"/>
  <c r="T2019" i="8" s="1"/>
  <c r="T2020" i="8" s="1"/>
  <c r="T2021" i="8" s="1"/>
  <c r="T2022" i="8" s="1"/>
  <c r="T2023" i="8" s="1"/>
  <c r="T2024" i="8" s="1"/>
  <c r="T2025" i="8" s="1"/>
  <c r="T2026" i="8" s="1"/>
  <c r="T2027" i="8" s="1"/>
  <c r="T2028" i="8" s="1"/>
  <c r="T2029" i="8" s="1"/>
  <c r="T2030" i="8" s="1"/>
  <c r="T2031" i="8" s="1"/>
  <c r="T2032" i="8" s="1"/>
  <c r="T2033" i="8" s="1"/>
  <c r="T2034" i="8" s="1"/>
  <c r="T2035" i="8" s="1"/>
  <c r="T2036" i="8" s="1"/>
  <c r="T2037" i="8" s="1"/>
  <c r="T2038" i="8" s="1"/>
  <c r="T2039" i="8" s="1"/>
  <c r="T2040" i="8" s="1"/>
  <c r="T2041" i="8" s="1"/>
  <c r="T2042" i="8" s="1"/>
  <c r="T2043" i="8" s="1"/>
  <c r="T2044" i="8" s="1"/>
  <c r="T2045" i="8" s="1"/>
  <c r="T2046" i="8" s="1"/>
  <c r="T2047" i="8" s="1"/>
  <c r="T2048" i="8" s="1"/>
  <c r="T2049" i="8" s="1"/>
  <c r="T2050" i="8" s="1"/>
  <c r="T2051" i="8" s="1"/>
  <c r="T2052" i="8" s="1"/>
  <c r="T2053" i="8" s="1"/>
  <c r="T2054" i="8" s="1"/>
  <c r="T2055" i="8" s="1"/>
  <c r="T2056" i="8" s="1"/>
  <c r="T2057" i="8" s="1"/>
  <c r="T2058" i="8" s="1"/>
  <c r="T2059" i="8" s="1"/>
  <c r="T2060" i="8" s="1"/>
  <c r="T2061" i="8" s="1"/>
  <c r="T2062" i="8" s="1"/>
  <c r="T2063" i="8" s="1"/>
  <c r="T2064" i="8" s="1"/>
  <c r="T2065" i="8" s="1"/>
  <c r="T2066" i="8" s="1"/>
  <c r="T2067" i="8" s="1"/>
  <c r="T2068" i="8" s="1"/>
  <c r="T2069" i="8" s="1"/>
  <c r="T2070" i="8" s="1"/>
  <c r="T2071" i="8" s="1"/>
  <c r="T2072" i="8" s="1"/>
  <c r="T2073" i="8" s="1"/>
  <c r="T2074" i="8" s="1"/>
  <c r="T2075" i="8" s="1"/>
  <c r="T2076" i="8" s="1"/>
  <c r="T2077" i="8" s="1"/>
  <c r="T2078" i="8" s="1"/>
  <c r="T2079" i="8" s="1"/>
  <c r="T2080" i="8" s="1"/>
  <c r="T2081" i="8" s="1"/>
  <c r="T2082" i="8" s="1"/>
  <c r="T2083" i="8" s="1"/>
  <c r="T2084" i="8" s="1"/>
  <c r="T2085" i="8" s="1"/>
  <c r="T2086" i="8" s="1"/>
  <c r="T2087" i="8" s="1"/>
  <c r="T2088" i="8" s="1"/>
  <c r="T2089" i="8" s="1"/>
  <c r="T2090" i="8" s="1"/>
  <c r="T2091" i="8" s="1"/>
  <c r="T2092" i="8" s="1"/>
  <c r="T2093" i="8" s="1"/>
  <c r="T2094" i="8" s="1"/>
  <c r="T2095" i="8" s="1"/>
  <c r="T2096" i="8" s="1"/>
  <c r="T2097" i="8" s="1"/>
  <c r="T2098" i="8" s="1"/>
  <c r="T2099" i="8" s="1"/>
  <c r="T2100" i="8" s="1"/>
  <c r="T2101" i="8" s="1"/>
  <c r="T2102" i="8" s="1"/>
  <c r="T2103" i="8" s="1"/>
  <c r="T2104" i="8" s="1"/>
  <c r="T2105" i="8" s="1"/>
  <c r="T2106" i="8" s="1"/>
  <c r="T2107" i="8" s="1"/>
  <c r="T2108" i="8" s="1"/>
  <c r="T2109" i="8" s="1"/>
  <c r="T2110" i="8" s="1"/>
  <c r="T2111" i="8" s="1"/>
  <c r="T2112" i="8" s="1"/>
  <c r="T2113" i="8" s="1"/>
  <c r="T2114" i="8" s="1"/>
  <c r="T2115" i="8" s="1"/>
  <c r="T2116" i="8" s="1"/>
  <c r="T2117" i="8" s="1"/>
  <c r="T2118" i="8" s="1"/>
  <c r="T2119" i="8" s="1"/>
  <c r="T2120" i="8" s="1"/>
  <c r="T2121" i="8" s="1"/>
  <c r="T2122" i="8" s="1"/>
  <c r="T2123" i="8" s="1"/>
  <c r="T2124" i="8" s="1"/>
  <c r="T2125" i="8" s="1"/>
  <c r="T2126" i="8" s="1"/>
  <c r="T2127" i="8" s="1"/>
  <c r="T2128" i="8" s="1"/>
  <c r="T2129" i="8" s="1"/>
  <c r="T2130" i="8" s="1"/>
  <c r="T2131" i="8" s="1"/>
  <c r="T2132" i="8" s="1"/>
  <c r="T2133" i="8" s="1"/>
  <c r="T2134" i="8" s="1"/>
  <c r="T2135" i="8" s="1"/>
  <c r="T2136" i="8" s="1"/>
  <c r="T2137" i="8" s="1"/>
  <c r="T2138" i="8" s="1"/>
  <c r="T2139" i="8" s="1"/>
  <c r="T2140" i="8" s="1"/>
  <c r="T2141" i="8" s="1"/>
  <c r="T2142" i="8" s="1"/>
  <c r="T2143" i="8" s="1"/>
  <c r="T2144" i="8" s="1"/>
  <c r="T2145" i="8" s="1"/>
  <c r="T2146" i="8" s="1"/>
  <c r="T2147" i="8" s="1"/>
  <c r="T2148" i="8" s="1"/>
  <c r="T2149" i="8" s="1"/>
  <c r="T2150" i="8" s="1"/>
  <c r="T2151" i="8" s="1"/>
  <c r="T2152" i="8" s="1"/>
  <c r="T2153" i="8" s="1"/>
  <c r="T2154" i="8" s="1"/>
  <c r="T2155" i="8" s="1"/>
  <c r="T2156" i="8" s="1"/>
  <c r="T2157" i="8" s="1"/>
  <c r="T2158" i="8" s="1"/>
  <c r="T2159" i="8" s="1"/>
  <c r="T2160" i="8" s="1"/>
  <c r="T2161" i="8" s="1"/>
  <c r="T2162" i="8" s="1"/>
  <c r="T2163" i="8" s="1"/>
  <c r="T2164" i="8" s="1"/>
  <c r="T2165" i="8" s="1"/>
  <c r="T2166" i="8" s="1"/>
  <c r="T2167" i="8" s="1"/>
  <c r="T2168" i="8" s="1"/>
  <c r="T2169" i="8" s="1"/>
  <c r="T2170" i="8" s="1"/>
  <c r="T2171" i="8" s="1"/>
  <c r="T2172" i="8" s="1"/>
  <c r="T2173" i="8" s="1"/>
  <c r="T2174" i="8" s="1"/>
  <c r="T2175" i="8" s="1"/>
  <c r="T2176" i="8" s="1"/>
  <c r="T2177" i="8" s="1"/>
  <c r="T2178" i="8" s="1"/>
  <c r="T2179" i="8" s="1"/>
  <c r="T2180" i="8" s="1"/>
  <c r="T2181" i="8" s="1"/>
  <c r="T2182" i="8" s="1"/>
  <c r="T2183" i="8" s="1"/>
  <c r="T2184" i="8" s="1"/>
  <c r="T2185" i="8" s="1"/>
  <c r="T2186" i="8" s="1"/>
  <c r="T2187" i="8" s="1"/>
  <c r="T2188" i="8" s="1"/>
  <c r="T2189" i="8" s="1"/>
  <c r="T2190" i="8" s="1"/>
  <c r="T2191" i="8" s="1"/>
  <c r="T2192" i="8" s="1"/>
  <c r="T2193" i="8" s="1"/>
  <c r="T2194" i="8" s="1"/>
  <c r="T2195" i="8" s="1"/>
  <c r="T2196" i="8" s="1"/>
  <c r="T2197" i="8" s="1"/>
  <c r="T2198" i="8" s="1"/>
  <c r="T2199" i="8" s="1"/>
  <c r="T2200" i="8" s="1"/>
  <c r="T2201" i="8" s="1"/>
  <c r="T2202" i="8" s="1"/>
  <c r="T2203" i="8" s="1"/>
  <c r="T2204" i="8" s="1"/>
  <c r="T2205" i="8" s="1"/>
  <c r="T2206" i="8" s="1"/>
  <c r="T2207" i="8" s="1"/>
  <c r="T2208" i="8" s="1"/>
  <c r="T2209" i="8" s="1"/>
  <c r="T2210" i="8" s="1"/>
  <c r="T2211" i="8" s="1"/>
  <c r="T2212" i="8" s="1"/>
  <c r="T2213" i="8" s="1"/>
  <c r="T2214" i="8" s="1"/>
  <c r="T2215" i="8" s="1"/>
  <c r="T2216" i="8" s="1"/>
  <c r="T2217" i="8" s="1"/>
  <c r="T2218" i="8" s="1"/>
  <c r="T2219" i="8" s="1"/>
  <c r="T2220" i="8" s="1"/>
  <c r="T2221" i="8" s="1"/>
  <c r="T2222" i="8" s="1"/>
  <c r="T2223" i="8" s="1"/>
  <c r="T2224" i="8" s="1"/>
  <c r="T2225" i="8" s="1"/>
  <c r="T2226" i="8" s="1"/>
  <c r="T2227" i="8" s="1"/>
  <c r="T2228" i="8" s="1"/>
  <c r="T2229" i="8" s="1"/>
  <c r="T2230" i="8" s="1"/>
  <c r="T2231" i="8" s="1"/>
  <c r="T2232" i="8" s="1"/>
  <c r="T2233" i="8" s="1"/>
  <c r="T2234" i="8" s="1"/>
  <c r="T2235" i="8" s="1"/>
  <c r="T2236" i="8" s="1"/>
  <c r="T2237" i="8" s="1"/>
  <c r="T2238" i="8" s="1"/>
  <c r="T2239" i="8" s="1"/>
  <c r="T2240" i="8" s="1"/>
  <c r="T2241" i="8" s="1"/>
  <c r="T2242" i="8" s="1"/>
  <c r="T2243" i="8" s="1"/>
  <c r="T2244" i="8" s="1"/>
  <c r="T2245" i="8" s="1"/>
  <c r="T2246" i="8" s="1"/>
  <c r="T2247" i="8" s="1"/>
  <c r="T2248" i="8" s="1"/>
  <c r="T2249" i="8" s="1"/>
  <c r="T2250" i="8" s="1"/>
  <c r="T2251" i="8" s="1"/>
  <c r="T2252" i="8" s="1"/>
  <c r="T2253" i="8" s="1"/>
  <c r="T2254" i="8" s="1"/>
  <c r="T2255" i="8" s="1"/>
  <c r="T2256" i="8" s="1"/>
  <c r="T2257" i="8" s="1"/>
  <c r="T2258" i="8" s="1"/>
  <c r="T2259" i="8" s="1"/>
  <c r="T2260" i="8" s="1"/>
  <c r="T2261" i="8" s="1"/>
  <c r="T2262" i="8" s="1"/>
  <c r="T2263" i="8" s="1"/>
  <c r="T2264" i="8" s="1"/>
  <c r="T2265" i="8" s="1"/>
  <c r="T2266" i="8" s="1"/>
  <c r="T2267" i="8" s="1"/>
  <c r="T2268" i="8" s="1"/>
  <c r="T2269" i="8" s="1"/>
  <c r="T2270" i="8" s="1"/>
  <c r="T2271" i="8" s="1"/>
  <c r="T2272" i="8" s="1"/>
  <c r="T2273" i="8" s="1"/>
  <c r="T2274" i="8" s="1"/>
  <c r="T2275" i="8" s="1"/>
  <c r="T2276" i="8" s="1"/>
  <c r="T2277" i="8" s="1"/>
  <c r="T2278" i="8" s="1"/>
  <c r="T2279" i="8" s="1"/>
  <c r="T2280" i="8" s="1"/>
  <c r="T2281" i="8" s="1"/>
  <c r="T2282" i="8" s="1"/>
  <c r="T2283" i="8" s="1"/>
  <c r="T2284" i="8" s="1"/>
  <c r="T2285" i="8" s="1"/>
  <c r="T2286" i="8" s="1"/>
  <c r="T2287" i="8" s="1"/>
  <c r="T2288" i="8" s="1"/>
  <c r="T2289" i="8" s="1"/>
  <c r="T2290" i="8" s="1"/>
  <c r="T2291" i="8" s="1"/>
  <c r="T2292" i="8" s="1"/>
  <c r="T2293" i="8" s="1"/>
  <c r="T2294" i="8" s="1"/>
  <c r="T2295" i="8" s="1"/>
  <c r="T2296" i="8" s="1"/>
  <c r="T2297" i="8" s="1"/>
  <c r="T2298" i="8" s="1"/>
  <c r="T2299" i="8" s="1"/>
  <c r="T2300" i="8" s="1"/>
  <c r="T2301" i="8" s="1"/>
  <c r="T2302" i="8" s="1"/>
  <c r="T2303" i="8" s="1"/>
  <c r="T2304" i="8" s="1"/>
  <c r="T2305" i="8" s="1"/>
  <c r="T2306" i="8" s="1"/>
  <c r="T2307" i="8" s="1"/>
  <c r="T2308" i="8" s="1"/>
  <c r="T2309" i="8" s="1"/>
  <c r="T2310" i="8" s="1"/>
  <c r="T2311" i="8" s="1"/>
  <c r="T2312" i="8" s="1"/>
  <c r="T2313" i="8" s="1"/>
  <c r="T2314" i="8" s="1"/>
  <c r="T2315" i="8" s="1"/>
  <c r="T2316" i="8" s="1"/>
  <c r="T2317" i="8" s="1"/>
  <c r="T2318" i="8" s="1"/>
  <c r="T2319" i="8" s="1"/>
  <c r="T2320" i="8" s="1"/>
  <c r="T2321" i="8" s="1"/>
  <c r="T2322" i="8" s="1"/>
  <c r="T2323" i="8" s="1"/>
  <c r="T2324" i="8" s="1"/>
  <c r="T2325" i="8" s="1"/>
  <c r="T2326" i="8" s="1"/>
  <c r="T2327" i="8" s="1"/>
  <c r="T2328" i="8" s="1"/>
  <c r="T2329" i="8" s="1"/>
  <c r="T2330" i="8" s="1"/>
  <c r="T2331" i="8" s="1"/>
  <c r="T2332" i="8" s="1"/>
  <c r="T2333" i="8" s="1"/>
  <c r="T2334" i="8" s="1"/>
  <c r="T2335" i="8" s="1"/>
  <c r="T2336" i="8" s="1"/>
  <c r="T2337" i="8" s="1"/>
  <c r="T2338" i="8" s="1"/>
  <c r="T2339" i="8" s="1"/>
  <c r="T2340" i="8" s="1"/>
  <c r="T2341" i="8" s="1"/>
  <c r="T2342" i="8" s="1"/>
  <c r="T2343" i="8" s="1"/>
  <c r="T2344" i="8" s="1"/>
  <c r="T2345" i="8" s="1"/>
  <c r="T2346" i="8" s="1"/>
  <c r="T2347" i="8" s="1"/>
  <c r="T2348" i="8" s="1"/>
  <c r="T2349" i="8" s="1"/>
  <c r="T2350" i="8" s="1"/>
  <c r="T2351" i="8" s="1"/>
  <c r="T2352" i="8" s="1"/>
  <c r="T2353" i="8" s="1"/>
  <c r="T2354" i="8" s="1"/>
  <c r="T2355" i="8" s="1"/>
  <c r="T2356" i="8" s="1"/>
  <c r="T2357" i="8" s="1"/>
  <c r="T2358" i="8" s="1"/>
  <c r="T2359" i="8" s="1"/>
  <c r="T2360" i="8" s="1"/>
  <c r="T2361" i="8" s="1"/>
  <c r="T2362" i="8" s="1"/>
  <c r="T2363" i="8" s="1"/>
  <c r="T2364" i="8" s="1"/>
  <c r="T2365" i="8" s="1"/>
  <c r="T2366" i="8" s="1"/>
  <c r="T2367" i="8" s="1"/>
  <c r="T2368" i="8" s="1"/>
  <c r="T2369" i="8" s="1"/>
  <c r="T2370" i="8" s="1"/>
  <c r="T2371" i="8" s="1"/>
  <c r="T2372" i="8" s="1"/>
  <c r="T2373" i="8" s="1"/>
  <c r="T2374" i="8" s="1"/>
  <c r="T2375" i="8" s="1"/>
  <c r="T2376" i="8" s="1"/>
  <c r="T2377" i="8" s="1"/>
  <c r="T2378" i="8" s="1"/>
  <c r="T2379" i="8" s="1"/>
  <c r="T2380" i="8" s="1"/>
  <c r="T2381" i="8" s="1"/>
  <c r="T2382" i="8" s="1"/>
  <c r="T2383" i="8" s="1"/>
  <c r="T2384" i="8" s="1"/>
  <c r="T2385" i="8" s="1"/>
  <c r="T2386" i="8" s="1"/>
  <c r="T2387" i="8" s="1"/>
  <c r="T2388" i="8" s="1"/>
  <c r="T2389" i="8" s="1"/>
  <c r="T2390" i="8" s="1"/>
  <c r="T2391" i="8" s="1"/>
  <c r="T2392" i="8" s="1"/>
  <c r="T2393" i="8" s="1"/>
  <c r="T2394" i="8" s="1"/>
  <c r="T2395" i="8" s="1"/>
  <c r="T2396" i="8" s="1"/>
  <c r="T2397" i="8" s="1"/>
  <c r="T2398" i="8" s="1"/>
  <c r="T2399" i="8" s="1"/>
  <c r="T2400" i="8" s="1"/>
  <c r="T2401" i="8" s="1"/>
  <c r="T2402" i="8" s="1"/>
  <c r="T2403" i="8" s="1"/>
  <c r="T2404" i="8" s="1"/>
  <c r="T2405" i="8" s="1"/>
  <c r="T2406" i="8" s="1"/>
  <c r="T2407" i="8" s="1"/>
  <c r="T2408" i="8" s="1"/>
  <c r="T2409" i="8" s="1"/>
  <c r="T2410" i="8" s="1"/>
  <c r="T2411" i="8" s="1"/>
  <c r="T2412" i="8" s="1"/>
  <c r="T2413" i="8" s="1"/>
  <c r="T2414" i="8" s="1"/>
  <c r="T2415" i="8" s="1"/>
  <c r="T2416" i="8" s="1"/>
  <c r="T2417" i="8" s="1"/>
  <c r="T2418" i="8" s="1"/>
  <c r="T2419" i="8" s="1"/>
  <c r="T2420" i="8" s="1"/>
  <c r="T2421" i="8" s="1"/>
  <c r="T2422" i="8" s="1"/>
  <c r="T2423" i="8" s="1"/>
  <c r="T2424" i="8" s="1"/>
  <c r="T2425" i="8" s="1"/>
  <c r="T2426" i="8" s="1"/>
  <c r="T2427" i="8" s="1"/>
  <c r="T2428" i="8" s="1"/>
  <c r="T2429" i="8" s="1"/>
  <c r="T2430" i="8" s="1"/>
  <c r="T2431" i="8" s="1"/>
  <c r="T2432" i="8" s="1"/>
  <c r="T2433" i="8" s="1"/>
  <c r="T2434" i="8" s="1"/>
  <c r="T2435" i="8" s="1"/>
  <c r="T2436" i="8" s="1"/>
  <c r="T2437" i="8" s="1"/>
  <c r="T2438" i="8" s="1"/>
  <c r="T2439" i="8" s="1"/>
  <c r="T2440" i="8" s="1"/>
  <c r="T2441" i="8" s="1"/>
  <c r="T2442" i="8" s="1"/>
  <c r="T2443" i="8" s="1"/>
  <c r="T2444" i="8" s="1"/>
  <c r="T2445" i="8" s="1"/>
  <c r="T2446" i="8" s="1"/>
  <c r="T2447" i="8" s="1"/>
  <c r="T2448" i="8" s="1"/>
  <c r="T2449" i="8" s="1"/>
  <c r="T2450" i="8" s="1"/>
  <c r="T2451" i="8" s="1"/>
  <c r="T2452" i="8" s="1"/>
  <c r="T2453" i="8" s="1"/>
  <c r="T2454" i="8" s="1"/>
  <c r="T2455" i="8" s="1"/>
  <c r="T2456" i="8" s="1"/>
  <c r="T2457" i="8" s="1"/>
  <c r="T2458" i="8" s="1"/>
  <c r="T2459" i="8" s="1"/>
  <c r="T2460" i="8" s="1"/>
  <c r="T2461" i="8" s="1"/>
  <c r="T2462" i="8" s="1"/>
  <c r="T2463" i="8" s="1"/>
  <c r="T2464" i="8" s="1"/>
  <c r="T2465" i="8" s="1"/>
  <c r="T2466" i="8" s="1"/>
  <c r="T2467" i="8" s="1"/>
  <c r="T2468" i="8" s="1"/>
  <c r="T2469" i="8" s="1"/>
  <c r="T2470" i="8" s="1"/>
  <c r="T2471" i="8" s="1"/>
  <c r="T2472" i="8" s="1"/>
  <c r="T2473" i="8" s="1"/>
  <c r="T2474" i="8" s="1"/>
  <c r="T2475" i="8" s="1"/>
  <c r="T2476" i="8" s="1"/>
  <c r="T2477" i="8" s="1"/>
  <c r="T2478" i="8" s="1"/>
  <c r="T2479" i="8" s="1"/>
  <c r="T2480" i="8" s="1"/>
  <c r="T2481" i="8" s="1"/>
  <c r="T2482" i="8" s="1"/>
  <c r="T2483" i="8" s="1"/>
  <c r="T2484" i="8" s="1"/>
  <c r="T2485" i="8" s="1"/>
  <c r="T2486" i="8" s="1"/>
  <c r="T2487" i="8" s="1"/>
  <c r="T2488" i="8" s="1"/>
  <c r="T2489" i="8" s="1"/>
  <c r="T2490" i="8" s="1"/>
  <c r="T2491" i="8" s="1"/>
  <c r="T2492" i="8" s="1"/>
  <c r="T2493" i="8" s="1"/>
  <c r="T2494" i="8" s="1"/>
  <c r="T2495" i="8" s="1"/>
  <c r="T2496" i="8" s="1"/>
  <c r="T2497" i="8" s="1"/>
  <c r="T2498" i="8" s="1"/>
  <c r="T2499" i="8" s="1"/>
  <c r="T2500" i="8" s="1"/>
  <c r="T2501" i="8" s="1"/>
  <c r="T2502" i="8" s="1"/>
  <c r="T2503" i="8" s="1"/>
  <c r="T2504" i="8" s="1"/>
  <c r="T2505" i="8" s="1"/>
  <c r="T2506" i="8" s="1"/>
  <c r="T2507" i="8" s="1"/>
  <c r="T2508" i="8" s="1"/>
  <c r="T2509" i="8" s="1"/>
  <c r="T2510" i="8" s="1"/>
  <c r="T2511" i="8" s="1"/>
  <c r="T2512" i="8" s="1"/>
  <c r="T2513" i="8" s="1"/>
  <c r="T2514" i="8" s="1"/>
  <c r="T2515" i="8" s="1"/>
  <c r="T2516" i="8" s="1"/>
  <c r="T2517" i="8" s="1"/>
  <c r="T2518" i="8" s="1"/>
  <c r="T2519" i="8" s="1"/>
  <c r="T2520" i="8" s="1"/>
  <c r="T2521" i="8" s="1"/>
  <c r="T2522" i="8" s="1"/>
  <c r="T2523" i="8" s="1"/>
  <c r="T2524" i="8" s="1"/>
  <c r="T2525" i="8" s="1"/>
  <c r="T2526" i="8" s="1"/>
  <c r="T2527" i="8" s="1"/>
  <c r="T2528" i="8" s="1"/>
  <c r="T2529" i="8" s="1"/>
  <c r="T2530" i="8" s="1"/>
  <c r="T2531" i="8" s="1"/>
  <c r="T2532" i="8" s="1"/>
  <c r="T2533" i="8" s="1"/>
  <c r="T2534" i="8" s="1"/>
  <c r="T2535" i="8" s="1"/>
  <c r="T2536" i="8" s="1"/>
  <c r="T2537" i="8" s="1"/>
  <c r="T2538" i="8" s="1"/>
  <c r="T2539" i="8" s="1"/>
  <c r="T2540" i="8" s="1"/>
  <c r="T2541" i="8" s="1"/>
  <c r="T2542" i="8" s="1"/>
  <c r="T2543" i="8" s="1"/>
  <c r="T2544" i="8" s="1"/>
  <c r="T2545" i="8" s="1"/>
  <c r="T2546" i="8" s="1"/>
  <c r="T2547" i="8" s="1"/>
  <c r="T2548" i="8" s="1"/>
  <c r="T2549" i="8" s="1"/>
  <c r="T2550" i="8" s="1"/>
  <c r="T2551" i="8" s="1"/>
  <c r="T2552" i="8" s="1"/>
  <c r="T2553" i="8" s="1"/>
  <c r="T2554" i="8" s="1"/>
  <c r="T2555" i="8" s="1"/>
  <c r="T2556" i="8" s="1"/>
  <c r="T2557" i="8" s="1"/>
  <c r="T2558" i="8" s="1"/>
  <c r="T2559" i="8" s="1"/>
  <c r="T2560" i="8" s="1"/>
  <c r="T2561" i="8" s="1"/>
  <c r="T2562" i="8" s="1"/>
  <c r="T2563" i="8" s="1"/>
  <c r="T2564" i="8" s="1"/>
  <c r="T2565" i="8" s="1"/>
  <c r="T2566" i="8" s="1"/>
  <c r="T2567" i="8" s="1"/>
  <c r="T2568" i="8" s="1"/>
  <c r="T2569" i="8" s="1"/>
  <c r="T2570" i="8" s="1"/>
  <c r="T2571" i="8" s="1"/>
  <c r="T2572" i="8" s="1"/>
  <c r="T2573" i="8" s="1"/>
  <c r="T2574" i="8" s="1"/>
  <c r="T2575" i="8" s="1"/>
  <c r="T2576" i="8" s="1"/>
  <c r="T2577" i="8" s="1"/>
  <c r="T2578" i="8" s="1"/>
  <c r="T2579" i="8" s="1"/>
  <c r="T2580" i="8" s="1"/>
  <c r="T2581" i="8" s="1"/>
  <c r="T2582" i="8" s="1"/>
  <c r="T2583" i="8" s="1"/>
  <c r="T2584" i="8" s="1"/>
  <c r="T2585" i="8" s="1"/>
  <c r="T2586" i="8" s="1"/>
  <c r="T2587" i="8" s="1"/>
  <c r="T2588" i="8" s="1"/>
  <c r="T2589" i="8" s="1"/>
  <c r="T2590" i="8" s="1"/>
  <c r="T2591" i="8" s="1"/>
  <c r="T2592" i="8" s="1"/>
  <c r="T2593" i="8" s="1"/>
  <c r="T2594" i="8" s="1"/>
  <c r="T2595" i="8" s="1"/>
  <c r="T2596" i="8" s="1"/>
  <c r="T2597" i="8" s="1"/>
  <c r="T2598" i="8" s="1"/>
  <c r="T2599" i="8" s="1"/>
  <c r="T2600" i="8" s="1"/>
  <c r="T2601" i="8" s="1"/>
  <c r="T2602" i="8" s="1"/>
  <c r="T2603" i="8" s="1"/>
  <c r="T2604" i="8" s="1"/>
  <c r="T2605" i="8" s="1"/>
  <c r="T2606" i="8" s="1"/>
  <c r="T2607" i="8" s="1"/>
  <c r="T2608" i="8" s="1"/>
  <c r="T2609" i="8" s="1"/>
  <c r="T2610" i="8" s="1"/>
  <c r="T2611" i="8" s="1"/>
  <c r="T2612" i="8" s="1"/>
  <c r="T2613" i="8" s="1"/>
  <c r="T2614" i="8" s="1"/>
  <c r="T2615" i="8" s="1"/>
  <c r="T2616" i="8" s="1"/>
  <c r="T2617" i="8" s="1"/>
  <c r="T2618" i="8" s="1"/>
  <c r="T2619" i="8" s="1"/>
  <c r="T2620" i="8" s="1"/>
  <c r="T2621" i="8" s="1"/>
  <c r="T2622" i="8" s="1"/>
  <c r="T2623" i="8" s="1"/>
  <c r="T2624" i="8" s="1"/>
  <c r="T2625" i="8" s="1"/>
  <c r="T2626" i="8" s="1"/>
  <c r="T2627" i="8" s="1"/>
  <c r="T2628" i="8" s="1"/>
  <c r="T2629" i="8" s="1"/>
  <c r="T2630" i="8" s="1"/>
  <c r="T2631" i="8" s="1"/>
  <c r="T2632" i="8" s="1"/>
  <c r="T2633" i="8" s="1"/>
  <c r="T2634" i="8" s="1"/>
  <c r="T2635" i="8" s="1"/>
  <c r="T2636" i="8" s="1"/>
  <c r="T2637" i="8" s="1"/>
  <c r="T2638" i="8" s="1"/>
  <c r="T2639" i="8" s="1"/>
  <c r="T2640" i="8" s="1"/>
  <c r="T2641" i="8" s="1"/>
  <c r="T2642" i="8" s="1"/>
  <c r="T2643" i="8" s="1"/>
  <c r="T2644" i="8" s="1"/>
  <c r="T2645" i="8" s="1"/>
  <c r="T2646" i="8" s="1"/>
  <c r="T2647" i="8" s="1"/>
  <c r="T2648" i="8" s="1"/>
  <c r="T2649" i="8" s="1"/>
  <c r="T2650" i="8" s="1"/>
  <c r="T2651" i="8" s="1"/>
  <c r="T2652" i="8" s="1"/>
  <c r="T2653" i="8" s="1"/>
  <c r="T2654" i="8" s="1"/>
  <c r="T2655" i="8" s="1"/>
  <c r="T2656" i="8" s="1"/>
  <c r="T2657" i="8" s="1"/>
  <c r="T2658" i="8" s="1"/>
  <c r="T2659" i="8" s="1"/>
  <c r="T2660" i="8" s="1"/>
  <c r="T2661" i="8" s="1"/>
  <c r="T2662" i="8" s="1"/>
  <c r="T2663" i="8" s="1"/>
  <c r="T2664" i="8" s="1"/>
  <c r="T2665" i="8" s="1"/>
  <c r="T2666" i="8" s="1"/>
  <c r="T2667" i="8" s="1"/>
  <c r="T2668" i="8" s="1"/>
  <c r="T2669" i="8" s="1"/>
  <c r="T2670" i="8" s="1"/>
  <c r="T2671" i="8" s="1"/>
  <c r="T2672" i="8" s="1"/>
  <c r="T2673" i="8" s="1"/>
  <c r="T2674" i="8" s="1"/>
  <c r="T2675" i="8" s="1"/>
  <c r="T2676" i="8" s="1"/>
  <c r="T2677" i="8" s="1"/>
  <c r="T2678" i="8" s="1"/>
  <c r="T2679" i="8" s="1"/>
  <c r="T2680" i="8" s="1"/>
  <c r="T2681" i="8" s="1"/>
  <c r="T2682" i="8" s="1"/>
  <c r="T2683" i="8" s="1"/>
  <c r="T2684" i="8" s="1"/>
  <c r="T2685" i="8" s="1"/>
  <c r="T2686" i="8" s="1"/>
  <c r="T2687" i="8" s="1"/>
  <c r="T2688" i="8" s="1"/>
  <c r="T2689" i="8" s="1"/>
  <c r="T2690" i="8" s="1"/>
  <c r="T2691" i="8" s="1"/>
  <c r="T2692" i="8" s="1"/>
  <c r="T2693" i="8" s="1"/>
  <c r="T2694" i="8" s="1"/>
  <c r="T2695" i="8" s="1"/>
  <c r="T2696" i="8" s="1"/>
  <c r="T2697" i="8" s="1"/>
  <c r="T2698" i="8" s="1"/>
  <c r="T2699" i="8" s="1"/>
  <c r="T2700" i="8" s="1"/>
  <c r="T2701" i="8" s="1"/>
  <c r="T2702" i="8" s="1"/>
  <c r="T2703" i="8" s="1"/>
  <c r="T2704" i="8" s="1"/>
  <c r="T2705" i="8" s="1"/>
  <c r="T2706" i="8" s="1"/>
  <c r="T2707" i="8" s="1"/>
  <c r="T2708" i="8" s="1"/>
  <c r="T2709" i="8" s="1"/>
  <c r="T2710" i="8" s="1"/>
  <c r="T2711" i="8" s="1"/>
  <c r="T2712" i="8" s="1"/>
  <c r="T2713" i="8" s="1"/>
  <c r="T2714" i="8" s="1"/>
  <c r="T2715" i="8" s="1"/>
  <c r="T2716" i="8" s="1"/>
  <c r="T2717" i="8" s="1"/>
  <c r="T2718" i="8" s="1"/>
  <c r="T2719" i="8" s="1"/>
  <c r="T2720" i="8" s="1"/>
  <c r="T2721" i="8" s="1"/>
  <c r="T2722" i="8" s="1"/>
  <c r="T2723" i="8" s="1"/>
  <c r="T2724" i="8" s="1"/>
  <c r="T2725" i="8" s="1"/>
  <c r="T2726" i="8" s="1"/>
  <c r="T2727" i="8" s="1"/>
  <c r="T2728" i="8" s="1"/>
  <c r="T2729" i="8" s="1"/>
  <c r="T2730" i="8" s="1"/>
  <c r="T2731" i="8" s="1"/>
  <c r="T2732" i="8" s="1"/>
  <c r="T2733" i="8" s="1"/>
  <c r="T2734" i="8" s="1"/>
  <c r="T2735" i="8" s="1"/>
  <c r="T2736" i="8" s="1"/>
  <c r="T2737" i="8" s="1"/>
  <c r="T2738" i="8" s="1"/>
  <c r="T2739" i="8" s="1"/>
  <c r="T2740" i="8" s="1"/>
  <c r="T2741" i="8" s="1"/>
  <c r="T2742" i="8" s="1"/>
  <c r="T2743" i="8" s="1"/>
  <c r="T2744" i="8" s="1"/>
  <c r="T2745" i="8" s="1"/>
  <c r="T2746" i="8" s="1"/>
  <c r="T2747" i="8" s="1"/>
  <c r="T2748" i="8" s="1"/>
  <c r="T2749" i="8" s="1"/>
  <c r="T2750" i="8" s="1"/>
  <c r="T2751" i="8" s="1"/>
  <c r="T2752" i="8" s="1"/>
  <c r="T2753" i="8" s="1"/>
  <c r="T2754" i="8" s="1"/>
  <c r="T2755" i="8" s="1"/>
  <c r="T2756" i="8" s="1"/>
  <c r="T2757" i="8" s="1"/>
  <c r="T2758" i="8" s="1"/>
  <c r="T2759" i="8" s="1"/>
  <c r="T2760" i="8" s="1"/>
  <c r="T2761" i="8" s="1"/>
  <c r="T2762" i="8" s="1"/>
  <c r="T2763" i="8" s="1"/>
  <c r="T2764" i="8" s="1"/>
  <c r="T2765" i="8" s="1"/>
  <c r="T2766" i="8" s="1"/>
  <c r="T2767" i="8" s="1"/>
  <c r="T2768" i="8" s="1"/>
  <c r="T2769" i="8" s="1"/>
  <c r="T2770" i="8" s="1"/>
  <c r="T2771" i="8" s="1"/>
  <c r="T2772" i="8" s="1"/>
  <c r="T2773" i="8" s="1"/>
  <c r="T2774" i="8" s="1"/>
  <c r="T2775" i="8" s="1"/>
  <c r="T2776" i="8" s="1"/>
  <c r="T2777" i="8" s="1"/>
  <c r="T2778" i="8" s="1"/>
  <c r="T2779" i="8" s="1"/>
  <c r="T2780" i="8" s="1"/>
  <c r="T2781" i="8" s="1"/>
  <c r="T2782" i="8" s="1"/>
  <c r="T2783" i="8" s="1"/>
  <c r="T2784" i="8" s="1"/>
  <c r="T2785" i="8" s="1"/>
  <c r="T2786" i="8" s="1"/>
  <c r="T2787" i="8" s="1"/>
  <c r="T2788" i="8" s="1"/>
  <c r="T2789" i="8" s="1"/>
  <c r="T2790" i="8" s="1"/>
  <c r="T2791" i="8" s="1"/>
  <c r="T2792" i="8" s="1"/>
  <c r="T2793" i="8" s="1"/>
  <c r="T2794" i="8" s="1"/>
  <c r="T2795" i="8" s="1"/>
  <c r="T2796" i="8" s="1"/>
  <c r="T2797" i="8" s="1"/>
  <c r="T2798" i="8" s="1"/>
  <c r="T2799" i="8" s="1"/>
  <c r="T2800" i="8" s="1"/>
  <c r="T2801" i="8" s="1"/>
  <c r="T2802" i="8" s="1"/>
  <c r="T2803" i="8" s="1"/>
  <c r="T2804" i="8" s="1"/>
  <c r="T2805" i="8" s="1"/>
  <c r="T2806" i="8" s="1"/>
  <c r="T2807" i="8" s="1"/>
  <c r="T2808" i="8" s="1"/>
  <c r="T2809" i="8" s="1"/>
  <c r="T2810" i="8" s="1"/>
  <c r="T2811" i="8" s="1"/>
  <c r="T2812" i="8" s="1"/>
  <c r="T2813" i="8" s="1"/>
  <c r="T2814" i="8" s="1"/>
  <c r="T2815" i="8" s="1"/>
  <c r="T2816" i="8" s="1"/>
  <c r="T2817" i="8" s="1"/>
  <c r="T2818" i="8" s="1"/>
  <c r="T2819" i="8" s="1"/>
  <c r="T2820" i="8" s="1"/>
  <c r="T2821" i="8" s="1"/>
  <c r="T2822" i="8" s="1"/>
  <c r="T2823" i="8" s="1"/>
  <c r="T2824" i="8" s="1"/>
  <c r="T2825" i="8" s="1"/>
  <c r="T2826" i="8" s="1"/>
  <c r="T2827" i="8" s="1"/>
  <c r="T2828" i="8" s="1"/>
  <c r="T2829" i="8" s="1"/>
  <c r="T2830" i="8" s="1"/>
  <c r="T2831" i="8" s="1"/>
  <c r="T2832" i="8" s="1"/>
  <c r="T2833" i="8" s="1"/>
  <c r="T2834" i="8" s="1"/>
  <c r="T2835" i="8" s="1"/>
  <c r="T2836" i="8" s="1"/>
  <c r="T2837" i="8" s="1"/>
  <c r="T2838" i="8" s="1"/>
  <c r="T2839" i="8" s="1"/>
  <c r="T2840" i="8" s="1"/>
  <c r="T2841" i="8" s="1"/>
  <c r="T2842" i="8" s="1"/>
  <c r="T2843" i="8" s="1"/>
  <c r="T2844" i="8" s="1"/>
  <c r="T2845" i="8" s="1"/>
  <c r="T2846" i="8" s="1"/>
  <c r="T2847" i="8" s="1"/>
  <c r="T2848" i="8" s="1"/>
  <c r="T2849" i="8" s="1"/>
  <c r="T2850" i="8" s="1"/>
  <c r="T2851" i="8" s="1"/>
  <c r="T2852" i="8" s="1"/>
  <c r="T2853" i="8" s="1"/>
  <c r="T2854" i="8" s="1"/>
  <c r="T2855" i="8" s="1"/>
  <c r="T2856" i="8" s="1"/>
  <c r="T2857" i="8" s="1"/>
  <c r="T2858" i="8" s="1"/>
  <c r="T2859" i="8" s="1"/>
  <c r="T2860" i="8" s="1"/>
  <c r="T2861" i="8" s="1"/>
  <c r="T2862" i="8" s="1"/>
  <c r="T2863" i="8" s="1"/>
  <c r="T2864" i="8" s="1"/>
  <c r="T2865" i="8" s="1"/>
  <c r="T2866" i="8" s="1"/>
  <c r="T2867" i="8" s="1"/>
  <c r="T2868" i="8" s="1"/>
  <c r="T2869" i="8" s="1"/>
  <c r="T2870" i="8" s="1"/>
  <c r="T2871" i="8" s="1"/>
  <c r="T2872" i="8" s="1"/>
  <c r="T2873" i="8" s="1"/>
  <c r="T2874" i="8" s="1"/>
  <c r="T2875" i="8" s="1"/>
  <c r="T2876" i="8" s="1"/>
  <c r="T2877" i="8" s="1"/>
  <c r="T2878" i="8" s="1"/>
  <c r="T2879" i="8" s="1"/>
  <c r="T2880" i="8" s="1"/>
  <c r="T2881" i="8" s="1"/>
  <c r="T2882" i="8" s="1"/>
  <c r="T2883" i="8" s="1"/>
  <c r="T2884" i="8" s="1"/>
  <c r="T2885" i="8" s="1"/>
  <c r="T2886" i="8" s="1"/>
  <c r="T2887" i="8" s="1"/>
  <c r="T2888" i="8" s="1"/>
  <c r="T2889" i="8" s="1"/>
  <c r="T2890" i="8" s="1"/>
  <c r="T2891" i="8" s="1"/>
  <c r="T2892" i="8" s="1"/>
  <c r="T2893" i="8" s="1"/>
  <c r="T2894" i="8" s="1"/>
  <c r="T2895" i="8" s="1"/>
  <c r="T2896" i="8" s="1"/>
  <c r="T2897" i="8" s="1"/>
  <c r="T2898" i="8" s="1"/>
  <c r="T2899" i="8" s="1"/>
  <c r="T2900" i="8" s="1"/>
  <c r="T2901" i="8" s="1"/>
  <c r="T2902" i="8" s="1"/>
  <c r="T2903" i="8" s="1"/>
  <c r="T2904" i="8" s="1"/>
  <c r="T2905" i="8" s="1"/>
  <c r="T2906" i="8" s="1"/>
  <c r="T2907" i="8" s="1"/>
  <c r="T2908" i="8" s="1"/>
  <c r="T2909" i="8" s="1"/>
  <c r="T2910" i="8" s="1"/>
  <c r="T2911" i="8" s="1"/>
  <c r="T2912" i="8" s="1"/>
  <c r="T2913" i="8" s="1"/>
  <c r="T2914" i="8" s="1"/>
  <c r="T2915" i="8" s="1"/>
  <c r="T2916" i="8" s="1"/>
  <c r="T2917" i="8" s="1"/>
  <c r="T2918" i="8" s="1"/>
  <c r="T2919" i="8" s="1"/>
  <c r="T2920" i="8" s="1"/>
  <c r="T2921" i="8" s="1"/>
  <c r="T2922" i="8" s="1"/>
  <c r="T2923" i="8" s="1"/>
  <c r="T2924" i="8" s="1"/>
  <c r="T2925" i="8" s="1"/>
  <c r="T2926" i="8" s="1"/>
  <c r="T2927" i="8" s="1"/>
  <c r="T2928" i="8" s="1"/>
  <c r="T2929" i="8" s="1"/>
  <c r="T2930" i="8" s="1"/>
  <c r="T2931" i="8" s="1"/>
  <c r="T2932" i="8" s="1"/>
  <c r="T2933" i="8" s="1"/>
  <c r="T2934" i="8" s="1"/>
  <c r="T2935" i="8" s="1"/>
  <c r="T2936" i="8" s="1"/>
  <c r="T2937" i="8" s="1"/>
  <c r="T2938" i="8" s="1"/>
  <c r="T2939" i="8" s="1"/>
  <c r="T2940" i="8" s="1"/>
  <c r="T2941" i="8" s="1"/>
  <c r="T2942" i="8" s="1"/>
  <c r="T2943" i="8" s="1"/>
  <c r="T2944" i="8" s="1"/>
  <c r="T2945" i="8" s="1"/>
  <c r="T2946" i="8" s="1"/>
  <c r="T2947" i="8" s="1"/>
  <c r="T2948" i="8" s="1"/>
  <c r="T2949" i="8" s="1"/>
  <c r="T2950" i="8" s="1"/>
  <c r="T2951" i="8" s="1"/>
  <c r="T2952" i="8" s="1"/>
  <c r="T2953" i="8" s="1"/>
  <c r="T2954" i="8" s="1"/>
  <c r="T2955" i="8" s="1"/>
  <c r="T2956" i="8" s="1"/>
  <c r="T2957" i="8" s="1"/>
  <c r="T2958" i="8" s="1"/>
  <c r="T2959" i="8" s="1"/>
  <c r="T2960" i="8" s="1"/>
  <c r="T2961" i="8" s="1"/>
  <c r="T2962" i="8" s="1"/>
  <c r="T2963" i="8" s="1"/>
  <c r="T2964" i="8" s="1"/>
  <c r="T2965" i="8" s="1"/>
  <c r="T2966" i="8" s="1"/>
  <c r="T2967" i="8" s="1"/>
  <c r="T2968" i="8" s="1"/>
  <c r="T2969" i="8" s="1"/>
  <c r="T2970" i="8" s="1"/>
  <c r="T2971" i="8" s="1"/>
  <c r="T2972" i="8" s="1"/>
  <c r="T2973" i="8" s="1"/>
  <c r="T2974" i="8" s="1"/>
  <c r="T2975" i="8" s="1"/>
  <c r="T2976" i="8" s="1"/>
  <c r="T2977" i="8" s="1"/>
  <c r="T2978" i="8" s="1"/>
  <c r="T2979" i="8" s="1"/>
  <c r="T2980" i="8" s="1"/>
  <c r="T2981" i="8" s="1"/>
  <c r="T2982" i="8" s="1"/>
  <c r="T2983" i="8" s="1"/>
  <c r="T2984" i="8" s="1"/>
  <c r="T2985" i="8" s="1"/>
  <c r="T2986" i="8" s="1"/>
  <c r="T2987" i="8" s="1"/>
  <c r="T2988" i="8" s="1"/>
  <c r="T2989" i="8" s="1"/>
  <c r="T2990" i="8" s="1"/>
  <c r="T2991" i="8" s="1"/>
  <c r="T2992" i="8" s="1"/>
  <c r="T2993" i="8" s="1"/>
  <c r="T2994" i="8" s="1"/>
  <c r="T2995" i="8" s="1"/>
  <c r="T2996" i="8" s="1"/>
  <c r="T2997" i="8" s="1"/>
  <c r="T2998" i="8" s="1"/>
  <c r="T2999" i="8" s="1"/>
  <c r="T3000" i="8" s="1"/>
  <c r="T3001" i="8" s="1"/>
  <c r="T3002" i="8" s="1"/>
  <c r="T3003" i="8" s="1"/>
  <c r="T3004" i="8" s="1"/>
  <c r="T3005" i="8" s="1"/>
  <c r="T3006" i="8" s="1"/>
  <c r="T3007" i="8" s="1"/>
  <c r="T3008" i="8" s="1"/>
  <c r="T3009" i="8" s="1"/>
  <c r="T3010" i="8" s="1"/>
  <c r="T3011" i="8" s="1"/>
  <c r="T3012" i="8" s="1"/>
  <c r="T3013" i="8" s="1"/>
  <c r="T3014" i="8" s="1"/>
  <c r="T3015" i="8" s="1"/>
  <c r="T3016" i="8" s="1"/>
  <c r="T3017" i="8" s="1"/>
  <c r="T3018" i="8" s="1"/>
  <c r="T3019" i="8" s="1"/>
  <c r="T3020" i="8" s="1"/>
  <c r="T3021" i="8" s="1"/>
  <c r="T3022" i="8" s="1"/>
  <c r="T3023" i="8" s="1"/>
  <c r="T3024" i="8" s="1"/>
  <c r="T3025" i="8" s="1"/>
  <c r="T3026" i="8" s="1"/>
  <c r="T3027" i="8" s="1"/>
  <c r="T3028" i="8" s="1"/>
  <c r="T3029" i="8" s="1"/>
  <c r="T3030" i="8" s="1"/>
  <c r="T3031" i="8" s="1"/>
  <c r="T3032" i="8" s="1"/>
  <c r="T3033" i="8" s="1"/>
  <c r="T3034" i="8" s="1"/>
  <c r="T3035" i="8" s="1"/>
  <c r="T3036" i="8" s="1"/>
  <c r="T3037" i="8" s="1"/>
  <c r="T3038" i="8" s="1"/>
  <c r="T3039" i="8" s="1"/>
  <c r="T3040" i="8" s="1"/>
  <c r="T3041" i="8" s="1"/>
  <c r="T3042" i="8" s="1"/>
  <c r="T3043" i="8" s="1"/>
  <c r="T3044" i="8" s="1"/>
  <c r="T3045" i="8" s="1"/>
  <c r="T3046" i="8" s="1"/>
  <c r="T3047" i="8" s="1"/>
  <c r="T3048" i="8" s="1"/>
  <c r="T3049" i="8" s="1"/>
  <c r="T3050" i="8" s="1"/>
  <c r="T3051" i="8" s="1"/>
  <c r="T3052" i="8" s="1"/>
  <c r="T3053" i="8" s="1"/>
  <c r="T3054" i="8" s="1"/>
  <c r="T3055" i="8" s="1"/>
  <c r="T3056" i="8" s="1"/>
  <c r="T3057" i="8" s="1"/>
  <c r="T3058" i="8" s="1"/>
  <c r="T3059" i="8" s="1"/>
  <c r="T3060" i="8" s="1"/>
  <c r="T3061" i="8" s="1"/>
  <c r="T3062" i="8" s="1"/>
  <c r="T3063" i="8" s="1"/>
  <c r="T3064" i="8" s="1"/>
  <c r="T3065" i="8" s="1"/>
  <c r="T3066" i="8" s="1"/>
  <c r="T3067" i="8" s="1"/>
  <c r="T3068" i="8" s="1"/>
  <c r="T3069" i="8" s="1"/>
  <c r="T3070" i="8" s="1"/>
  <c r="T3071" i="8" s="1"/>
  <c r="T3072" i="8" s="1"/>
  <c r="T3073" i="8" s="1"/>
  <c r="T3074" i="8" s="1"/>
  <c r="T3075" i="8" s="1"/>
  <c r="T3076" i="8" s="1"/>
  <c r="T3077" i="8" s="1"/>
  <c r="T3078" i="8" s="1"/>
  <c r="T3079" i="8" s="1"/>
  <c r="T3080" i="8" s="1"/>
  <c r="T3081" i="8" s="1"/>
  <c r="T3082" i="8" s="1"/>
  <c r="T3083" i="8" s="1"/>
  <c r="T3084" i="8" s="1"/>
  <c r="T3085" i="8" s="1"/>
  <c r="T3086" i="8" s="1"/>
  <c r="T3087" i="8" s="1"/>
  <c r="T3088" i="8" s="1"/>
  <c r="T3089" i="8" s="1"/>
  <c r="T3090" i="8" s="1"/>
  <c r="T3091" i="8" s="1"/>
  <c r="T3092" i="8" s="1"/>
  <c r="T3093" i="8" s="1"/>
  <c r="T3094" i="8" s="1"/>
  <c r="T3095" i="8" s="1"/>
  <c r="T3096" i="8" s="1"/>
  <c r="T3097" i="8" s="1"/>
  <c r="T3098" i="8" s="1"/>
  <c r="T3099" i="8" s="1"/>
  <c r="T3100" i="8" s="1"/>
  <c r="T3101" i="8" s="1"/>
  <c r="T3102" i="8" s="1"/>
  <c r="T3103" i="8" s="1"/>
  <c r="T3104" i="8" s="1"/>
  <c r="T3105" i="8" s="1"/>
  <c r="T3106" i="8" s="1"/>
  <c r="T3107" i="8" s="1"/>
  <c r="T3108" i="8" s="1"/>
  <c r="T3109" i="8" s="1"/>
  <c r="T3110" i="8" s="1"/>
  <c r="T3111" i="8" s="1"/>
  <c r="T3112" i="8" s="1"/>
  <c r="T3113" i="8" s="1"/>
  <c r="T3114" i="8" s="1"/>
  <c r="T3115" i="8" s="1"/>
  <c r="T3116" i="8" s="1"/>
  <c r="T3117" i="8" s="1"/>
  <c r="T3118" i="8" s="1"/>
  <c r="T3119" i="8" s="1"/>
  <c r="T3120" i="8" s="1"/>
  <c r="T3121" i="8" s="1"/>
  <c r="T3122" i="8" s="1"/>
  <c r="T3123" i="8" s="1"/>
  <c r="T3124" i="8" s="1"/>
  <c r="T3125" i="8" s="1"/>
  <c r="T3126" i="8" s="1"/>
  <c r="T3127" i="8" s="1"/>
  <c r="T3128" i="8" s="1"/>
  <c r="T3129" i="8" s="1"/>
  <c r="T3130" i="8" s="1"/>
  <c r="T3131" i="8" s="1"/>
  <c r="T3132" i="8" s="1"/>
  <c r="T3133" i="8" s="1"/>
  <c r="T3134" i="8" s="1"/>
  <c r="T3135" i="8" s="1"/>
  <c r="T3136" i="8" s="1"/>
  <c r="T3137" i="8" s="1"/>
  <c r="T3138" i="8" s="1"/>
  <c r="T3139" i="8" s="1"/>
  <c r="T3140" i="8" s="1"/>
  <c r="T3141" i="8" s="1"/>
  <c r="T3142" i="8" s="1"/>
  <c r="T3143" i="8" s="1"/>
  <c r="T3144" i="8" s="1"/>
  <c r="T3145" i="8" s="1"/>
  <c r="T3146" i="8" s="1"/>
  <c r="T3147" i="8" s="1"/>
  <c r="T3148" i="8" s="1"/>
  <c r="T3149" i="8" s="1"/>
  <c r="T3150" i="8" s="1"/>
  <c r="T3151" i="8" s="1"/>
  <c r="T3152" i="8" s="1"/>
  <c r="T3153" i="8" s="1"/>
  <c r="T3154" i="8" s="1"/>
  <c r="T3155" i="8" s="1"/>
  <c r="T3156" i="8" s="1"/>
  <c r="T3157" i="8" s="1"/>
  <c r="T3158" i="8" s="1"/>
  <c r="T3159" i="8" s="1"/>
  <c r="T3160" i="8" s="1"/>
  <c r="T3161" i="8" s="1"/>
  <c r="T3162" i="8" s="1"/>
  <c r="T3163" i="8" s="1"/>
  <c r="T3164" i="8" s="1"/>
  <c r="T3165" i="8" s="1"/>
  <c r="T3166" i="8" s="1"/>
  <c r="T3167" i="8" s="1"/>
  <c r="T3168" i="8" s="1"/>
  <c r="T3169" i="8" s="1"/>
  <c r="T3170" i="8" s="1"/>
  <c r="T3171" i="8" s="1"/>
  <c r="T3172" i="8" s="1"/>
  <c r="T3173" i="8" s="1"/>
  <c r="T3174" i="8" s="1"/>
  <c r="T3175" i="8" s="1"/>
  <c r="T3176" i="8" s="1"/>
  <c r="T3177" i="8" s="1"/>
  <c r="T3178" i="8" s="1"/>
  <c r="T3179" i="8" s="1"/>
  <c r="T3180" i="8" s="1"/>
  <c r="T3181" i="8" s="1"/>
  <c r="T3182" i="8" s="1"/>
  <c r="T3183" i="8" s="1"/>
  <c r="T3184" i="8" s="1"/>
  <c r="T3185" i="8" s="1"/>
  <c r="T3186" i="8" s="1"/>
  <c r="T3187" i="8" s="1"/>
  <c r="T3188" i="8" s="1"/>
  <c r="T3189" i="8" s="1"/>
  <c r="T3190" i="8" s="1"/>
  <c r="T3191" i="8" s="1"/>
  <c r="T3192" i="8" s="1"/>
  <c r="T3193" i="8" s="1"/>
  <c r="T3194" i="8" s="1"/>
  <c r="T3195" i="8" s="1"/>
  <c r="T3196" i="8" s="1"/>
  <c r="T3197" i="8" s="1"/>
  <c r="T3198" i="8" s="1"/>
  <c r="T3199" i="8" s="1"/>
  <c r="T3200" i="8" s="1"/>
  <c r="T3201" i="8" s="1"/>
  <c r="T3202" i="8" s="1"/>
  <c r="T3203" i="8" s="1"/>
  <c r="T3204" i="8" s="1"/>
  <c r="T3205" i="8" s="1"/>
  <c r="T3206" i="8" s="1"/>
  <c r="T3207" i="8" s="1"/>
  <c r="T3208" i="8" s="1"/>
  <c r="T3209" i="8" s="1"/>
  <c r="T3210" i="8" s="1"/>
  <c r="T3211" i="8" s="1"/>
  <c r="T3212" i="8" s="1"/>
  <c r="T3213" i="8" s="1"/>
  <c r="T3214" i="8" s="1"/>
  <c r="T3215" i="8" s="1"/>
  <c r="T3216" i="8" s="1"/>
  <c r="T3217" i="8" s="1"/>
  <c r="T3218" i="8" s="1"/>
  <c r="T3219" i="8" s="1"/>
  <c r="T3220" i="8" s="1"/>
  <c r="T3221" i="8" s="1"/>
  <c r="T3222" i="8" s="1"/>
  <c r="T3223" i="8" s="1"/>
  <c r="T3224" i="8" s="1"/>
  <c r="T3225" i="8" s="1"/>
  <c r="T3226" i="8" s="1"/>
  <c r="T3227" i="8" s="1"/>
  <c r="T3228" i="8" s="1"/>
  <c r="T3229" i="8" s="1"/>
  <c r="T3230" i="8" s="1"/>
  <c r="T3231" i="8" s="1"/>
  <c r="T3232" i="8" s="1"/>
  <c r="T3233" i="8" s="1"/>
  <c r="T3234" i="8" s="1"/>
  <c r="T3235" i="8" s="1"/>
  <c r="T3236" i="8" s="1"/>
  <c r="T3237" i="8" s="1"/>
  <c r="T3238" i="8" s="1"/>
  <c r="T3239" i="8" s="1"/>
  <c r="T3240" i="8" s="1"/>
  <c r="T3241" i="8" s="1"/>
  <c r="T3242" i="8" s="1"/>
  <c r="T3243" i="8" s="1"/>
  <c r="T3244" i="8" s="1"/>
  <c r="T3245" i="8" s="1"/>
  <c r="T3246" i="8" s="1"/>
  <c r="T3247" i="8" s="1"/>
  <c r="T3248" i="8" s="1"/>
  <c r="T3249" i="8" s="1"/>
  <c r="T3250" i="8" s="1"/>
  <c r="T3251" i="8" s="1"/>
  <c r="T3252" i="8" s="1"/>
  <c r="T3253" i="8" s="1"/>
  <c r="T3254" i="8" s="1"/>
  <c r="T3255" i="8" s="1"/>
  <c r="T3256" i="8" s="1"/>
  <c r="T3257" i="8" s="1"/>
  <c r="T3258" i="8" s="1"/>
  <c r="T3259" i="8" s="1"/>
  <c r="T3260" i="8" s="1"/>
  <c r="T3261" i="8" s="1"/>
  <c r="T3262" i="8" s="1"/>
  <c r="T3263" i="8" s="1"/>
  <c r="T3264" i="8" s="1"/>
  <c r="T3265" i="8" s="1"/>
  <c r="T3266" i="8" s="1"/>
  <c r="T3267" i="8" s="1"/>
  <c r="T3268" i="8" s="1"/>
  <c r="T3269" i="8" s="1"/>
  <c r="T3270" i="8" s="1"/>
  <c r="T3271" i="8" s="1"/>
  <c r="T3272" i="8" s="1"/>
  <c r="T3273" i="8" s="1"/>
  <c r="T3274" i="8" s="1"/>
  <c r="T3275" i="8" s="1"/>
  <c r="T3276" i="8" s="1"/>
  <c r="T3277" i="8" s="1"/>
  <c r="T3278" i="8" s="1"/>
  <c r="T3279" i="8" s="1"/>
  <c r="T3280" i="8" s="1"/>
  <c r="T3281" i="8" s="1"/>
  <c r="T3282" i="8" s="1"/>
  <c r="T3283" i="8" s="1"/>
  <c r="T3284" i="8" s="1"/>
  <c r="T3285" i="8" s="1"/>
  <c r="T3286" i="8" s="1"/>
  <c r="T3287" i="8" s="1"/>
  <c r="T3288" i="8" s="1"/>
  <c r="T3289" i="8" s="1"/>
  <c r="T3290" i="8" s="1"/>
  <c r="T3291" i="8" s="1"/>
  <c r="T3292" i="8" s="1"/>
  <c r="T3293" i="8" s="1"/>
  <c r="T3294" i="8" s="1"/>
  <c r="T3295" i="8" s="1"/>
  <c r="T3296" i="8" s="1"/>
  <c r="T3297" i="8" s="1"/>
  <c r="T3298" i="8" s="1"/>
  <c r="T3299" i="8" s="1"/>
  <c r="T3300" i="8" s="1"/>
  <c r="T3301" i="8" s="1"/>
  <c r="C14" i="4" l="1"/>
  <c r="F14" i="4"/>
  <c r="F19" i="4" s="1"/>
  <c r="H14" i="4" l="1"/>
  <c r="H19" i="4" s="1"/>
  <c r="F64" i="4"/>
  <c r="D19" i="4"/>
  <c r="D64" i="4" s="1"/>
  <c r="H64" i="4" l="1"/>
  <c r="E14" i="4"/>
  <c r="E19" i="4" s="1"/>
  <c r="C19" i="4"/>
  <c r="C64" i="4" s="1"/>
  <c r="D33" i="5" l="1"/>
  <c r="E64" i="4"/>
  <c r="G14" i="4"/>
  <c r="L14" i="4" s="1"/>
  <c r="L19" i="4" l="1"/>
  <c r="I14" i="4"/>
  <c r="I19" i="4" s="1"/>
  <c r="J14" i="4"/>
  <c r="G19" i="4"/>
  <c r="G64" i="4" l="1"/>
  <c r="O14" i="4"/>
  <c r="N14" i="4"/>
  <c r="N19" i="4" s="1"/>
  <c r="O19" i="4"/>
  <c r="I64" i="4"/>
  <c r="J19" i="4"/>
  <c r="I6" i="4"/>
  <c r="J6" i="4" s="1"/>
  <c r="G33" i="5"/>
  <c r="H33" i="5" s="1"/>
  <c r="V7333" i="3" l="1"/>
  <c r="AD7333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22" authorId="0" shapeId="0" xr:uid="{6331E89E-CAEF-104A-9462-56BCFB869F08}">
      <text>
        <r>
          <rPr>
            <sz val="11"/>
            <color rgb="FF000000"/>
            <rFont val="Calibri"/>
            <family val="2"/>
          </rPr>
          <t xml:space="preserve">cambió a 3401-004 antes estaba con 3401-003
</t>
        </r>
        <r>
          <rPr>
            <sz val="11"/>
            <color rgb="FF000000"/>
            <rFont val="Calibri"/>
            <family val="2"/>
          </rPr>
          <t>======</t>
        </r>
      </text>
    </comment>
    <comment ref="C124" authorId="0" shapeId="0" xr:uid="{12BFD4A4-4A01-0348-8085-6432E68786CF}">
      <text>
        <r>
          <rPr>
            <sz val="11"/>
            <color rgb="FF000000"/>
            <rFont val="Calibri"/>
            <family val="2"/>
          </rPr>
          <t xml:space="preserve">cambió a 3401-008 antes estaba con 3401-007
</t>
        </r>
        <r>
          <rPr>
            <sz val="11"/>
            <color rgb="FF000000"/>
            <rFont val="Calibri"/>
            <family val="2"/>
          </rPr>
          <t>======</t>
        </r>
      </text>
    </comment>
    <comment ref="C178" authorId="0" shapeId="0" xr:uid="{59EA1405-D7CB-BD4D-B9CC-DD90C1EE9A73}">
      <text>
        <r>
          <rPr>
            <sz val="11"/>
            <color rgb="FF000000"/>
            <rFont val="Calibri"/>
            <family val="2"/>
          </rPr>
          <t xml:space="preserve">CUENTA APROBADA POR ERIC
</t>
        </r>
        <r>
          <rPr>
            <sz val="11"/>
            <color rgb="FF000000"/>
            <rFont val="Calibri"/>
            <family val="2"/>
          </rPr>
          <t xml:space="preserve">
</t>
        </r>
        <r>
          <rPr>
            <sz val="11"/>
            <color rgb="FF000000"/>
            <rFont val="Calibri"/>
            <family val="2"/>
          </rPr>
          <t>======</t>
        </r>
      </text>
    </comment>
  </commentList>
</comments>
</file>

<file path=xl/sharedStrings.xml><?xml version="1.0" encoding="utf-8"?>
<sst xmlns="http://schemas.openxmlformats.org/spreadsheetml/2006/main" count="100915" uniqueCount="5599">
  <si>
    <t>Shoot</t>
  </si>
  <si>
    <t>Post</t>
  </si>
  <si>
    <t>TIPO</t>
  </si>
  <si>
    <t>REF</t>
  </si>
  <si>
    <t>ACCT</t>
  </si>
  <si>
    <t>Etapa</t>
  </si>
  <si>
    <t>BUDGET</t>
  </si>
  <si>
    <t>Above the Line</t>
  </si>
  <si>
    <t>Cuenta General</t>
  </si>
  <si>
    <t>1101-002</t>
  </si>
  <si>
    <t>1101-004</t>
  </si>
  <si>
    <t>1101-005</t>
  </si>
  <si>
    <t>1101-006</t>
  </si>
  <si>
    <t>1101-007</t>
  </si>
  <si>
    <t>1101-010</t>
  </si>
  <si>
    <t>1101-011</t>
  </si>
  <si>
    <t>1101-012</t>
  </si>
  <si>
    <t>1101-015</t>
  </si>
  <si>
    <t>1101-016</t>
  </si>
  <si>
    <t>Detalle</t>
  </si>
  <si>
    <t>Below the Line</t>
  </si>
  <si>
    <t>Others</t>
  </si>
  <si>
    <t>COST REPORT</t>
  </si>
  <si>
    <t>PRODUCTION</t>
  </si>
  <si>
    <t>Figures in MXN</t>
  </si>
  <si>
    <t>COST TO DATE (CURRENT WEEK)</t>
  </si>
  <si>
    <t>COMMITMENTS</t>
  </si>
  <si>
    <t>TOTAL CTD</t>
  </si>
  <si>
    <t>ESTIMATE TO COMPLETE (ETC)</t>
  </si>
  <si>
    <t>ESTIMATE FINAL COST (EFC)</t>
  </si>
  <si>
    <t>VARIANCE $</t>
  </si>
  <si>
    <t>INDEX</t>
  </si>
  <si>
    <t>P ESTIMATE FINAL COST</t>
  </si>
  <si>
    <t>VARIANCE VS PFCST</t>
  </si>
  <si>
    <t>Sección</t>
  </si>
  <si>
    <t>CONTROL</t>
  </si>
  <si>
    <t># CHEQUE</t>
  </si>
  <si>
    <t>REGIMEN FISCAL</t>
  </si>
  <si>
    <t>RFC</t>
  </si>
  <si>
    <t>PARTIDA PRESUPUESTAL</t>
  </si>
  <si>
    <t>FECHA DE RECIBIDO</t>
  </si>
  <si>
    <t>SEMANA</t>
  </si>
  <si>
    <t>NOMBRE DEL PROVEEDOR</t>
  </si>
  <si>
    <t>CORREO</t>
  </si>
  <si>
    <t>DIRECCION</t>
  </si>
  <si>
    <t>CONCEPTO</t>
  </si>
  <si>
    <t>SUBTOTAL</t>
  </si>
  <si>
    <t>IVA</t>
  </si>
  <si>
    <t>OTROS IMPUESTOS</t>
  </si>
  <si>
    <t>RET ISR</t>
  </si>
  <si>
    <t>RET IVA</t>
  </si>
  <si>
    <t>TOTAL</t>
  </si>
  <si>
    <t>CUENTA CLAVE</t>
  </si>
  <si>
    <t>BANCO</t>
  </si>
  <si>
    <t>UIDD/FOLIO FISCAL</t>
  </si>
  <si>
    <t>PAGADO</t>
  </si>
  <si>
    <t xml:space="preserve">FECHA DE PAGO </t>
  </si>
  <si>
    <t>NOTAS</t>
  </si>
  <si>
    <t>Comentarios</t>
  </si>
  <si>
    <t>Etapa:</t>
  </si>
  <si>
    <t>Semana:</t>
  </si>
  <si>
    <t>Concept</t>
  </si>
  <si>
    <t>ALL</t>
  </si>
  <si>
    <t>Balance Sheet Reconciliation</t>
  </si>
  <si>
    <t>Balance Sheet report</t>
  </si>
  <si>
    <t>Balance Sheet</t>
  </si>
  <si>
    <t>Acct No.</t>
  </si>
  <si>
    <t>Description</t>
  </si>
  <si>
    <t>Amount</t>
  </si>
  <si>
    <t>Debtor</t>
  </si>
  <si>
    <t xml:space="preserve"> </t>
  </si>
  <si>
    <t>Petty Cash &amp; Floats</t>
  </si>
  <si>
    <t>Impuestos Pagados (IVA)</t>
  </si>
  <si>
    <t>Impuestos Pagados (ISR)</t>
  </si>
  <si>
    <t>Income (Funding)</t>
  </si>
  <si>
    <t>Income (Funding) IVA</t>
  </si>
  <si>
    <t>Date:</t>
  </si>
  <si>
    <t>Costo</t>
  </si>
  <si>
    <t>Balance</t>
  </si>
  <si>
    <t>TIPO2</t>
  </si>
  <si>
    <t>Sum of VARIANCE $</t>
  </si>
  <si>
    <t>Row Labels</t>
  </si>
  <si>
    <t>Grand Total</t>
  </si>
  <si>
    <t>FECHA DE PAGO</t>
  </si>
  <si>
    <t>Cargo ó Abono?</t>
  </si>
  <si>
    <t>Pagado?</t>
  </si>
  <si>
    <t>CARGO</t>
  </si>
  <si>
    <t>OK</t>
  </si>
  <si>
    <t>Cargos</t>
  </si>
  <si>
    <t>Abonos</t>
  </si>
  <si>
    <t>Saldo</t>
  </si>
  <si>
    <t>Petty Cash</t>
  </si>
  <si>
    <t>Control</t>
  </si>
  <si>
    <t>NOMBRE</t>
  </si>
  <si>
    <t>MONTO</t>
  </si>
  <si>
    <t>1122-002</t>
  </si>
  <si>
    <t>Column1</t>
  </si>
  <si>
    <t>MES</t>
  </si>
  <si>
    <t>FONDEO</t>
  </si>
  <si>
    <t>1107-002</t>
  </si>
  <si>
    <t>1107-004</t>
  </si>
  <si>
    <t>1193-002</t>
  </si>
  <si>
    <t>2010-002</t>
  </si>
  <si>
    <t>7038-002</t>
  </si>
  <si>
    <t xml:space="preserve">Estados Unidos (los) </t>
  </si>
  <si>
    <t>BANORTE</t>
  </si>
  <si>
    <t>F1.2</t>
  </si>
  <si>
    <t>N001</t>
  </si>
  <si>
    <t>0001</t>
  </si>
  <si>
    <t>Régimen Simplificado de Confianza</t>
  </si>
  <si>
    <t>NOMINA</t>
  </si>
  <si>
    <t>BANAMEX</t>
  </si>
  <si>
    <t>N002</t>
  </si>
  <si>
    <t>0002</t>
  </si>
  <si>
    <t>HSBC</t>
  </si>
  <si>
    <t>P001</t>
  </si>
  <si>
    <t>0003</t>
  </si>
  <si>
    <t>Residente en el extranjero</t>
  </si>
  <si>
    <t>PROVEEDOR</t>
  </si>
  <si>
    <t>WELLS FARGO BANK N.A.</t>
  </si>
  <si>
    <t>N003</t>
  </si>
  <si>
    <t>0004</t>
  </si>
  <si>
    <t>BANCOMER</t>
  </si>
  <si>
    <t>N004</t>
  </si>
  <si>
    <t>0005</t>
  </si>
  <si>
    <t>N005</t>
  </si>
  <si>
    <t>0006</t>
  </si>
  <si>
    <t>N006</t>
  </si>
  <si>
    <t>0007</t>
  </si>
  <si>
    <t>Personas Físicas con Actividades Empresariales y Profesionales</t>
  </si>
  <si>
    <t>N007</t>
  </si>
  <si>
    <t>0008</t>
  </si>
  <si>
    <t>P002</t>
  </si>
  <si>
    <t>0009</t>
  </si>
  <si>
    <t>General de Ley Personas Morales</t>
  </si>
  <si>
    <t>MONEX</t>
  </si>
  <si>
    <t>P003</t>
  </si>
  <si>
    <t>0010</t>
  </si>
  <si>
    <t>COST TO DATE</t>
  </si>
  <si>
    <t>C001</t>
  </si>
  <si>
    <t>1101-017</t>
  </si>
  <si>
    <t>1101-020</t>
  </si>
  <si>
    <t>1101-021</t>
  </si>
  <si>
    <t>1101-022</t>
  </si>
  <si>
    <t>1104-002</t>
  </si>
  <si>
    <t>1107-005</t>
  </si>
  <si>
    <t>1107-008</t>
  </si>
  <si>
    <t>1122-004</t>
  </si>
  <si>
    <t>1193-003</t>
  </si>
  <si>
    <t>2010-004</t>
  </si>
  <si>
    <t>N008</t>
  </si>
  <si>
    <t>0011</t>
  </si>
  <si>
    <t>N009</t>
  </si>
  <si>
    <t>0012</t>
  </si>
  <si>
    <t>T01</t>
  </si>
  <si>
    <t>0013</t>
  </si>
  <si>
    <t>TRASPASO A CP</t>
  </si>
  <si>
    <t xml:space="preserve">Banorte </t>
  </si>
  <si>
    <t>T01.01</t>
  </si>
  <si>
    <t>0014</t>
  </si>
  <si>
    <t>P004</t>
  </si>
  <si>
    <t>0015</t>
  </si>
  <si>
    <t>N010</t>
  </si>
  <si>
    <t>0016</t>
  </si>
  <si>
    <t>N011</t>
  </si>
  <si>
    <t>0017</t>
  </si>
  <si>
    <t>N012</t>
  </si>
  <si>
    <t>0018</t>
  </si>
  <si>
    <t>N013</t>
  </si>
  <si>
    <t>0019</t>
  </si>
  <si>
    <t>N014</t>
  </si>
  <si>
    <t>N015</t>
  </si>
  <si>
    <t>N016</t>
  </si>
  <si>
    <t>N017</t>
  </si>
  <si>
    <t>1204-002</t>
  </si>
  <si>
    <t>1202-002</t>
  </si>
  <si>
    <t>1222-002</t>
  </si>
  <si>
    <t>1420-002</t>
  </si>
  <si>
    <t>2001-002</t>
  </si>
  <si>
    <t>2005-002</t>
  </si>
  <si>
    <t>2010-005</t>
  </si>
  <si>
    <t>2013-002</t>
  </si>
  <si>
    <t>2014-002</t>
  </si>
  <si>
    <t>3402-002</t>
  </si>
  <si>
    <t>3403-002</t>
  </si>
  <si>
    <t>7094-002</t>
  </si>
  <si>
    <t>F3</t>
  </si>
  <si>
    <t>F3.3</t>
  </si>
  <si>
    <t>N018</t>
  </si>
  <si>
    <t>0024</t>
  </si>
  <si>
    <t>01000</t>
  </si>
  <si>
    <t>P005</t>
  </si>
  <si>
    <t>0025</t>
  </si>
  <si>
    <t>N019</t>
  </si>
  <si>
    <t>0026</t>
  </si>
  <si>
    <t>SANTANDER</t>
  </si>
  <si>
    <t>N020</t>
  </si>
  <si>
    <t>0027</t>
  </si>
  <si>
    <t>T02</t>
  </si>
  <si>
    <t>0029</t>
  </si>
  <si>
    <t>T02.02</t>
  </si>
  <si>
    <t>0030</t>
  </si>
  <si>
    <t>N021</t>
  </si>
  <si>
    <t>0031</t>
  </si>
  <si>
    <t>N022</t>
  </si>
  <si>
    <t>0032</t>
  </si>
  <si>
    <t>N023</t>
  </si>
  <si>
    <t>0033</t>
  </si>
  <si>
    <t>BAJIO</t>
  </si>
  <si>
    <t>2004-002</t>
  </si>
  <si>
    <t>2201-002</t>
  </si>
  <si>
    <t>3101-002</t>
  </si>
  <si>
    <t>1100</t>
  </si>
  <si>
    <t>1101</t>
  </si>
  <si>
    <t/>
  </si>
  <si>
    <t>DEVELOPMENT</t>
  </si>
  <si>
    <t>1101-025</t>
  </si>
  <si>
    <t>1101-026</t>
  </si>
  <si>
    <t>1101-027</t>
  </si>
  <si>
    <t>1104</t>
  </si>
  <si>
    <t>1107</t>
  </si>
  <si>
    <t>1107-009</t>
  </si>
  <si>
    <t>1122</t>
  </si>
  <si>
    <t>1122-005</t>
  </si>
  <si>
    <t>1193</t>
  </si>
  <si>
    <t>1200</t>
  </si>
  <si>
    <t>1201</t>
  </si>
  <si>
    <t>ALL SHOW</t>
  </si>
  <si>
    <t>1201-002</t>
  </si>
  <si>
    <t>1201-003</t>
  </si>
  <si>
    <t>1201-005</t>
  </si>
  <si>
    <t>1201-006</t>
  </si>
  <si>
    <t>1202</t>
  </si>
  <si>
    <t>SOFT</t>
  </si>
  <si>
    <t>PREP</t>
  </si>
  <si>
    <t>1202-003</t>
  </si>
  <si>
    <t>SHOOT</t>
  </si>
  <si>
    <t>1202-004</t>
  </si>
  <si>
    <t>WRAP</t>
  </si>
  <si>
    <t>1202-005</t>
  </si>
  <si>
    <t>1204</t>
  </si>
  <si>
    <t>1204-003</t>
  </si>
  <si>
    <t>1204-004</t>
  </si>
  <si>
    <t>1204-005</t>
  </si>
  <si>
    <t>1222</t>
  </si>
  <si>
    <t>1222-003</t>
  </si>
  <si>
    <t>1222-004</t>
  </si>
  <si>
    <t>1222-007</t>
  </si>
  <si>
    <t>1222-008</t>
  </si>
  <si>
    <t>1300</t>
  </si>
  <si>
    <t>1301</t>
  </si>
  <si>
    <t>1301-002</t>
  </si>
  <si>
    <t>1301-003</t>
  </si>
  <si>
    <t>1301-004</t>
  </si>
  <si>
    <t>1301-005</t>
  </si>
  <si>
    <t>1301-006</t>
  </si>
  <si>
    <t>1301-007</t>
  </si>
  <si>
    <t>1301-010</t>
  </si>
  <si>
    <t>1301-011</t>
  </si>
  <si>
    <t>1301-012</t>
  </si>
  <si>
    <t>1301-013</t>
  </si>
  <si>
    <t>1301-014</t>
  </si>
  <si>
    <t>1301-015</t>
  </si>
  <si>
    <t>1301-018</t>
  </si>
  <si>
    <t>1301-019</t>
  </si>
  <si>
    <t>1301-020</t>
  </si>
  <si>
    <t>1301-021</t>
  </si>
  <si>
    <t>1301-022</t>
  </si>
  <si>
    <t>1301-023</t>
  </si>
  <si>
    <t>1302</t>
  </si>
  <si>
    <t>1302-002</t>
  </si>
  <si>
    <t>1302-003</t>
  </si>
  <si>
    <t>1302-004</t>
  </si>
  <si>
    <t>1302-005</t>
  </si>
  <si>
    <t>1302-006</t>
  </si>
  <si>
    <t>1399</t>
  </si>
  <si>
    <t>1400</t>
  </si>
  <si>
    <t>1401</t>
  </si>
  <si>
    <t>1401-002</t>
  </si>
  <si>
    <t>1401-003</t>
  </si>
  <si>
    <t>1401-004</t>
  </si>
  <si>
    <t>1401-005</t>
  </si>
  <si>
    <t>1401-006</t>
  </si>
  <si>
    <t>1401-007</t>
  </si>
  <si>
    <t>1401-008</t>
  </si>
  <si>
    <t>1401-011</t>
  </si>
  <si>
    <t>1401-012</t>
  </si>
  <si>
    <t>1401-013</t>
  </si>
  <si>
    <t>1401-014</t>
  </si>
  <si>
    <t>1401-015</t>
  </si>
  <si>
    <t>1401-016</t>
  </si>
  <si>
    <t>1401-017</t>
  </si>
  <si>
    <t>1401-020</t>
  </si>
  <si>
    <t>1401-021</t>
  </si>
  <si>
    <t>1401-022</t>
  </si>
  <si>
    <t>1401-023</t>
  </si>
  <si>
    <t>1401-024</t>
  </si>
  <si>
    <t>1401-025</t>
  </si>
  <si>
    <t>1401-026</t>
  </si>
  <si>
    <t>1401-029</t>
  </si>
  <si>
    <t>1401-030</t>
  </si>
  <si>
    <t>1401-031</t>
  </si>
  <si>
    <t>1401-032</t>
  </si>
  <si>
    <t>1401-033</t>
  </si>
  <si>
    <t>1401-036</t>
  </si>
  <si>
    <t>1401-037</t>
  </si>
  <si>
    <t>1401-038</t>
  </si>
  <si>
    <t>1401-039</t>
  </si>
  <si>
    <t>1401-040</t>
  </si>
  <si>
    <t>1401-043</t>
  </si>
  <si>
    <t>1401-044</t>
  </si>
  <si>
    <t>1403</t>
  </si>
  <si>
    <t>1403-002</t>
  </si>
  <si>
    <t>1403-003</t>
  </si>
  <si>
    <t>1403-004</t>
  </si>
  <si>
    <t>1403-005</t>
  </si>
  <si>
    <t>1403-006</t>
  </si>
  <si>
    <t>1403-009</t>
  </si>
  <si>
    <t>1403-010</t>
  </si>
  <si>
    <t>1403-011</t>
  </si>
  <si>
    <t>1403-012</t>
  </si>
  <si>
    <t>1403-013</t>
  </si>
  <si>
    <t>1403-016</t>
  </si>
  <si>
    <t>1403-017</t>
  </si>
  <si>
    <t>1403-018</t>
  </si>
  <si>
    <t>1403-019</t>
  </si>
  <si>
    <t>1403-020</t>
  </si>
  <si>
    <t>1403-023</t>
  </si>
  <si>
    <t>1403-024</t>
  </si>
  <si>
    <t>1403-025</t>
  </si>
  <si>
    <t>1403-026</t>
  </si>
  <si>
    <t>1403-027</t>
  </si>
  <si>
    <t>1403-030</t>
  </si>
  <si>
    <t>1403-031</t>
  </si>
  <si>
    <t>1403-032</t>
  </si>
  <si>
    <t>1403-033</t>
  </si>
  <si>
    <t>1403-034</t>
  </si>
  <si>
    <t>1403-037</t>
  </si>
  <si>
    <t>1403-038</t>
  </si>
  <si>
    <t>1403-039</t>
  </si>
  <si>
    <t>1403-040</t>
  </si>
  <si>
    <t>1403-041</t>
  </si>
  <si>
    <t>1403-044</t>
  </si>
  <si>
    <t>1403-045</t>
  </si>
  <si>
    <t>1403-046</t>
  </si>
  <si>
    <t>1403-047</t>
  </si>
  <si>
    <t>1403-048</t>
  </si>
  <si>
    <t>1403-051</t>
  </si>
  <si>
    <t>1403-052</t>
  </si>
  <si>
    <t>1403-053</t>
  </si>
  <si>
    <t>1403-054</t>
  </si>
  <si>
    <t>1403-055</t>
  </si>
  <si>
    <t>1404</t>
  </si>
  <si>
    <t>1404-002</t>
  </si>
  <si>
    <t>1404-004</t>
  </si>
  <si>
    <t>ANDA</t>
  </si>
  <si>
    <t>1404-005</t>
  </si>
  <si>
    <t>1404-006</t>
  </si>
  <si>
    <t>1404-009</t>
  </si>
  <si>
    <t>1404-010</t>
  </si>
  <si>
    <t>1404-011</t>
  </si>
  <si>
    <t>1410</t>
  </si>
  <si>
    <t>1410-002</t>
  </si>
  <si>
    <t>1410-003</t>
  </si>
  <si>
    <t>1410-004</t>
  </si>
  <si>
    <t>1410-005</t>
  </si>
  <si>
    <t>1410-006</t>
  </si>
  <si>
    <t>1410-007</t>
  </si>
  <si>
    <t>1410-008</t>
  </si>
  <si>
    <t>1410-009</t>
  </si>
  <si>
    <t>1410-010</t>
  </si>
  <si>
    <t>1410-011</t>
  </si>
  <si>
    <t>1410-012</t>
  </si>
  <si>
    <t>1411</t>
  </si>
  <si>
    <t>1411-002</t>
  </si>
  <si>
    <t>1411-004</t>
  </si>
  <si>
    <t>1411-005</t>
  </si>
  <si>
    <t>1411-006</t>
  </si>
  <si>
    <t>1413</t>
  </si>
  <si>
    <t>1413-002</t>
  </si>
  <si>
    <t>1413-003</t>
  </si>
  <si>
    <t>1413-004</t>
  </si>
  <si>
    <t>1413-007</t>
  </si>
  <si>
    <t>1413-008</t>
  </si>
  <si>
    <t>1413-011</t>
  </si>
  <si>
    <t>1420</t>
  </si>
  <si>
    <t>1426</t>
  </si>
  <si>
    <t>1426-002</t>
  </si>
  <si>
    <t>Allowance</t>
  </si>
  <si>
    <t>1487</t>
  </si>
  <si>
    <t>1487-002</t>
  </si>
  <si>
    <t>1499</t>
  </si>
  <si>
    <t>1600</t>
  </si>
  <si>
    <t>1620</t>
  </si>
  <si>
    <t>1620-002</t>
  </si>
  <si>
    <t>1620-003</t>
  </si>
  <si>
    <t>1620-004</t>
  </si>
  <si>
    <t>1621</t>
  </si>
  <si>
    <t>1621-002</t>
  </si>
  <si>
    <t>1621-003</t>
  </si>
  <si>
    <t>1621-004</t>
  </si>
  <si>
    <t>1630</t>
  </si>
  <si>
    <t>1630-002</t>
  </si>
  <si>
    <t>1630-004</t>
  </si>
  <si>
    <t>1630-005</t>
  </si>
  <si>
    <t>1630-006</t>
  </si>
  <si>
    <t>1630-009</t>
  </si>
  <si>
    <t>1630-010</t>
  </si>
  <si>
    <t>1630-011</t>
  </si>
  <si>
    <t>1631</t>
  </si>
  <si>
    <t>1631-002</t>
  </si>
  <si>
    <t>1631-003</t>
  </si>
  <si>
    <t>1631-004</t>
  </si>
  <si>
    <t>1640</t>
  </si>
  <si>
    <t>1640-002</t>
  </si>
  <si>
    <t>1640-003</t>
  </si>
  <si>
    <t>1640-004</t>
  </si>
  <si>
    <t>1640-005</t>
  </si>
  <si>
    <t>1641</t>
  </si>
  <si>
    <t>1641-002</t>
  </si>
  <si>
    <t>1641-003</t>
  </si>
  <si>
    <t>1642</t>
  </si>
  <si>
    <t>1642-002</t>
  </si>
  <si>
    <t>Allow</t>
  </si>
  <si>
    <t>1642-003</t>
  </si>
  <si>
    <t>1642-006</t>
  </si>
  <si>
    <t>1642-007</t>
  </si>
  <si>
    <t>1642-008</t>
  </si>
  <si>
    <t>1643</t>
  </si>
  <si>
    <t>1643-002</t>
  </si>
  <si>
    <t>1699</t>
  </si>
  <si>
    <t>2000</t>
  </si>
  <si>
    <t>2001</t>
  </si>
  <si>
    <t>2001-003</t>
  </si>
  <si>
    <t>2001-004</t>
  </si>
  <si>
    <t>2001-005</t>
  </si>
  <si>
    <t>2001-006</t>
  </si>
  <si>
    <t>2001-009</t>
  </si>
  <si>
    <t>2003</t>
  </si>
  <si>
    <t>2003-002</t>
  </si>
  <si>
    <t>2003-003</t>
  </si>
  <si>
    <t>2003-004</t>
  </si>
  <si>
    <t>2004</t>
  </si>
  <si>
    <t>2004-003</t>
  </si>
  <si>
    <t>2004-004</t>
  </si>
  <si>
    <t>2005</t>
  </si>
  <si>
    <t>2005-003</t>
  </si>
  <si>
    <t>2005-004</t>
  </si>
  <si>
    <t>2005-005</t>
  </si>
  <si>
    <t>2005-008</t>
  </si>
  <si>
    <t>2005-009</t>
  </si>
  <si>
    <t>2005-010</t>
  </si>
  <si>
    <t>2005-013</t>
  </si>
  <si>
    <t>2006</t>
  </si>
  <si>
    <t>2006-002</t>
  </si>
  <si>
    <t>2006-003</t>
  </si>
  <si>
    <t>2006-004</t>
  </si>
  <si>
    <t>2009</t>
  </si>
  <si>
    <t>2009-002</t>
  </si>
  <si>
    <t>2009-003</t>
  </si>
  <si>
    <t>2009-004</t>
  </si>
  <si>
    <t>2009-007</t>
  </si>
  <si>
    <t>2009-008</t>
  </si>
  <si>
    <t>2010</t>
  </si>
  <si>
    <t>2010-006</t>
  </si>
  <si>
    <t>2010-009</t>
  </si>
  <si>
    <t>2010-010</t>
  </si>
  <si>
    <t>2010-011</t>
  </si>
  <si>
    <t>POST</t>
  </si>
  <si>
    <t>2010-012</t>
  </si>
  <si>
    <t>2010-013</t>
  </si>
  <si>
    <t>2010-014</t>
  </si>
  <si>
    <t>2013</t>
  </si>
  <si>
    <t>2013-003</t>
  </si>
  <si>
    <t>2013-004</t>
  </si>
  <si>
    <t>2013-005</t>
  </si>
  <si>
    <t>2014</t>
  </si>
  <si>
    <t>2014-003</t>
  </si>
  <si>
    <t>2014-004</t>
  </si>
  <si>
    <t>2014-005</t>
  </si>
  <si>
    <t>2014-008</t>
  </si>
  <si>
    <t>2014-009</t>
  </si>
  <si>
    <t>2019</t>
  </si>
  <si>
    <t>2019-002</t>
  </si>
  <si>
    <t>2019-003</t>
  </si>
  <si>
    <t>2019-004</t>
  </si>
  <si>
    <t>2019-005</t>
  </si>
  <si>
    <t>2019-008</t>
  </si>
  <si>
    <t>2020</t>
  </si>
  <si>
    <t>2020-002</t>
  </si>
  <si>
    <t>2020-003</t>
  </si>
  <si>
    <t>2020-004</t>
  </si>
  <si>
    <t>2020-005</t>
  </si>
  <si>
    <t>2020-008</t>
  </si>
  <si>
    <t>2020-009</t>
  </si>
  <si>
    <t>2020-010</t>
  </si>
  <si>
    <t>2020-011</t>
  </si>
  <si>
    <t>2020-014</t>
  </si>
  <si>
    <t>2020-015</t>
  </si>
  <si>
    <t>2020-016</t>
  </si>
  <si>
    <t>2020-017</t>
  </si>
  <si>
    <t>2020-020</t>
  </si>
  <si>
    <t>2020-021</t>
  </si>
  <si>
    <t>2020-022</t>
  </si>
  <si>
    <t>2020-023</t>
  </si>
  <si>
    <t>2020-026</t>
  </si>
  <si>
    <t>2020-027</t>
  </si>
  <si>
    <t>2020-030</t>
  </si>
  <si>
    <t>2020-031</t>
  </si>
  <si>
    <t>2020-032</t>
  </si>
  <si>
    <t>2020-033</t>
  </si>
  <si>
    <t>2020-036</t>
  </si>
  <si>
    <t>2020-037</t>
  </si>
  <si>
    <t>2020-038</t>
  </si>
  <si>
    <t>2030</t>
  </si>
  <si>
    <t>2030-002</t>
  </si>
  <si>
    <t>2030-003</t>
  </si>
  <si>
    <t>2030-004</t>
  </si>
  <si>
    <t>2030-005</t>
  </si>
  <si>
    <t>2030-008</t>
  </si>
  <si>
    <t>2045</t>
  </si>
  <si>
    <t>2045-002</t>
  </si>
  <si>
    <t>2045-003</t>
  </si>
  <si>
    <t>2045-004</t>
  </si>
  <si>
    <t>2100</t>
  </si>
  <si>
    <t>2103</t>
  </si>
  <si>
    <t>2103-002</t>
  </si>
  <si>
    <t>2103-003</t>
  </si>
  <si>
    <t>2110</t>
  </si>
  <si>
    <t>2110-002</t>
  </si>
  <si>
    <t>2110-003</t>
  </si>
  <si>
    <t>2110-004</t>
  </si>
  <si>
    <t>2110-007</t>
  </si>
  <si>
    <t>2200</t>
  </si>
  <si>
    <t>2201</t>
  </si>
  <si>
    <t>2201-003</t>
  </si>
  <si>
    <t>2201-004</t>
  </si>
  <si>
    <t>2201-005</t>
  </si>
  <si>
    <t>2202</t>
  </si>
  <si>
    <t>2202-002</t>
  </si>
  <si>
    <t>2202-003</t>
  </si>
  <si>
    <t>2202-004</t>
  </si>
  <si>
    <t>2203</t>
  </si>
  <si>
    <t>2203-002</t>
  </si>
  <si>
    <t>2203-003</t>
  </si>
  <si>
    <t>2203-004</t>
  </si>
  <si>
    <t>2206</t>
  </si>
  <si>
    <t>2206-002</t>
  </si>
  <si>
    <t>2206-003</t>
  </si>
  <si>
    <t>2206-004</t>
  </si>
  <si>
    <t>2206-005</t>
  </si>
  <si>
    <t>2206-008</t>
  </si>
  <si>
    <t>2206-009</t>
  </si>
  <si>
    <t>2206-010</t>
  </si>
  <si>
    <t>2206-011</t>
  </si>
  <si>
    <t>2213</t>
  </si>
  <si>
    <t>2213-002</t>
  </si>
  <si>
    <t>2213-003</t>
  </si>
  <si>
    <t>2300</t>
  </si>
  <si>
    <t>2310</t>
  </si>
  <si>
    <t>2310-002</t>
  </si>
  <si>
    <t>2310-003</t>
  </si>
  <si>
    <t>2310-004</t>
  </si>
  <si>
    <t>2310-005</t>
  </si>
  <si>
    <t>2310-008</t>
  </si>
  <si>
    <t>2310-009</t>
  </si>
  <si>
    <t>2310-010</t>
  </si>
  <si>
    <t>2310-011</t>
  </si>
  <si>
    <t>2385</t>
  </si>
  <si>
    <t>2385-002</t>
  </si>
  <si>
    <t>2398</t>
  </si>
  <si>
    <t>2398-002</t>
  </si>
  <si>
    <t>2400</t>
  </si>
  <si>
    <t>2401</t>
  </si>
  <si>
    <t>2401-002</t>
  </si>
  <si>
    <t>2401-003</t>
  </si>
  <si>
    <t>2401-004</t>
  </si>
  <si>
    <t>2401-005</t>
  </si>
  <si>
    <t>2401-008</t>
  </si>
  <si>
    <t>2401-009</t>
  </si>
  <si>
    <t>2401-010</t>
  </si>
  <si>
    <t>2401-013</t>
  </si>
  <si>
    <t>2401-014</t>
  </si>
  <si>
    <t>2401-015</t>
  </si>
  <si>
    <t>2401-016</t>
  </si>
  <si>
    <t>2401-019</t>
  </si>
  <si>
    <t>2401-020</t>
  </si>
  <si>
    <t>2401-021</t>
  </si>
  <si>
    <t>2401-022</t>
  </si>
  <si>
    <t>2401-025</t>
  </si>
  <si>
    <t>2401-026</t>
  </si>
  <si>
    <t>2401-027</t>
  </si>
  <si>
    <t>2403</t>
  </si>
  <si>
    <t>2403-002</t>
  </si>
  <si>
    <t>2403-003</t>
  </si>
  <si>
    <t>2403-004</t>
  </si>
  <si>
    <t>2403-005</t>
  </si>
  <si>
    <t>2403-008</t>
  </si>
  <si>
    <t>2403-009</t>
  </si>
  <si>
    <t>2403-010</t>
  </si>
  <si>
    <t>2403-011</t>
  </si>
  <si>
    <t>2403-014</t>
  </si>
  <si>
    <t>2403-015</t>
  </si>
  <si>
    <t>2403-016</t>
  </si>
  <si>
    <t>2403-017</t>
  </si>
  <si>
    <t>2403-020</t>
  </si>
  <si>
    <t>2403-021</t>
  </si>
  <si>
    <t>2403-022</t>
  </si>
  <si>
    <t>2485</t>
  </si>
  <si>
    <t>2485-002</t>
  </si>
  <si>
    <t>2485-003</t>
  </si>
  <si>
    <t>2494</t>
  </si>
  <si>
    <t>2494-002</t>
  </si>
  <si>
    <t>2495</t>
  </si>
  <si>
    <t>2495-002</t>
  </si>
  <si>
    <t>2495-003</t>
  </si>
  <si>
    <t>2495-006</t>
  </si>
  <si>
    <t>2495-007</t>
  </si>
  <si>
    <t>2495-010</t>
  </si>
  <si>
    <t>2498</t>
  </si>
  <si>
    <t>2498-002</t>
  </si>
  <si>
    <t>2500</t>
  </si>
  <si>
    <t>2501</t>
  </si>
  <si>
    <t>2501-002</t>
  </si>
  <si>
    <t>2501-003</t>
  </si>
  <si>
    <t>2501-004</t>
  </si>
  <si>
    <t>2501-005</t>
  </si>
  <si>
    <t>2501-008</t>
  </si>
  <si>
    <t>2502</t>
  </si>
  <si>
    <t>2502-002</t>
  </si>
  <si>
    <t>2502-003</t>
  </si>
  <si>
    <t>2502-004</t>
  </si>
  <si>
    <t>2502-007</t>
  </si>
  <si>
    <t>2508</t>
  </si>
  <si>
    <t>2508-002</t>
  </si>
  <si>
    <t>2508-003</t>
  </si>
  <si>
    <t>2585</t>
  </si>
  <si>
    <t>2585-002</t>
  </si>
  <si>
    <t>2594</t>
  </si>
  <si>
    <t>2594-002</t>
  </si>
  <si>
    <t>2598</t>
  </si>
  <si>
    <t>2598-002</t>
  </si>
  <si>
    <t>2600</t>
  </si>
  <si>
    <t>2602</t>
  </si>
  <si>
    <t>2602-002</t>
  </si>
  <si>
    <t>2621</t>
  </si>
  <si>
    <t>2621-002</t>
  </si>
  <si>
    <t>2621-003</t>
  </si>
  <si>
    <t>2623</t>
  </si>
  <si>
    <t>2623-002</t>
  </si>
  <si>
    <t>2700</t>
  </si>
  <si>
    <t>2701</t>
  </si>
  <si>
    <t>2701-002</t>
  </si>
  <si>
    <t>2701-003</t>
  </si>
  <si>
    <t>2701-004</t>
  </si>
  <si>
    <t>2703</t>
  </si>
  <si>
    <t>2703-002</t>
  </si>
  <si>
    <t>2703-003</t>
  </si>
  <si>
    <t>2703-004</t>
  </si>
  <si>
    <t>2707</t>
  </si>
  <si>
    <t>2707-002</t>
  </si>
  <si>
    <t>2707-003</t>
  </si>
  <si>
    <t>2707-004</t>
  </si>
  <si>
    <t>2707-005</t>
  </si>
  <si>
    <t>2707-008</t>
  </si>
  <si>
    <t>2707-009</t>
  </si>
  <si>
    <t>2707-012</t>
  </si>
  <si>
    <t>2707-013</t>
  </si>
  <si>
    <t>2707-014</t>
  </si>
  <si>
    <t>2707-015</t>
  </si>
  <si>
    <t>2794</t>
  </si>
  <si>
    <t>2794-002</t>
  </si>
  <si>
    <t>2795</t>
  </si>
  <si>
    <t>2795-002</t>
  </si>
  <si>
    <t>2795-003</t>
  </si>
  <si>
    <t>2798</t>
  </si>
  <si>
    <t>2798-002</t>
  </si>
  <si>
    <t>2800</t>
  </si>
  <si>
    <t>2801</t>
  </si>
  <si>
    <t>2801-002</t>
  </si>
  <si>
    <t>2801-003</t>
  </si>
  <si>
    <t>2801-004</t>
  </si>
  <si>
    <t>2801-005</t>
  </si>
  <si>
    <t>2801-008</t>
  </si>
  <si>
    <t>2802</t>
  </si>
  <si>
    <t>2802-002</t>
  </si>
  <si>
    <t>2802-003</t>
  </si>
  <si>
    <t>2802-004</t>
  </si>
  <si>
    <t>2802-005</t>
  </si>
  <si>
    <t>2802-008</t>
  </si>
  <si>
    <t>2802-009</t>
  </si>
  <si>
    <t>2802-010</t>
  </si>
  <si>
    <t>2804</t>
  </si>
  <si>
    <t>2804-002</t>
  </si>
  <si>
    <t>2804-003</t>
  </si>
  <si>
    <t>2804-004</t>
  </si>
  <si>
    <t>2805</t>
  </si>
  <si>
    <t>2805-002</t>
  </si>
  <si>
    <t>2805-003</t>
  </si>
  <si>
    <t>2805-004</t>
  </si>
  <si>
    <t>2805-005</t>
  </si>
  <si>
    <t>2805-008</t>
  </si>
  <si>
    <t>2805-009</t>
  </si>
  <si>
    <t>2805-010</t>
  </si>
  <si>
    <t>2808</t>
  </si>
  <si>
    <t>2808-002</t>
  </si>
  <si>
    <t>2885</t>
  </si>
  <si>
    <t>2885-002</t>
  </si>
  <si>
    <t>2900</t>
  </si>
  <si>
    <t>2902</t>
  </si>
  <si>
    <t>2902-002</t>
  </si>
  <si>
    <t>2902-003</t>
  </si>
  <si>
    <t>2902-004</t>
  </si>
  <si>
    <t>2902-005</t>
  </si>
  <si>
    <t>2902-008</t>
  </si>
  <si>
    <t>2902-009</t>
  </si>
  <si>
    <t>2902-010</t>
  </si>
  <si>
    <t>2902-011</t>
  </si>
  <si>
    <t>2902-014</t>
  </si>
  <si>
    <t>2902-015</t>
  </si>
  <si>
    <t>2902-016</t>
  </si>
  <si>
    <t>2902-017</t>
  </si>
  <si>
    <t>2902-020</t>
  </si>
  <si>
    <t>2911</t>
  </si>
  <si>
    <t>2911-002</t>
  </si>
  <si>
    <t>2985</t>
  </si>
  <si>
    <t>2985-002</t>
  </si>
  <si>
    <t>2998</t>
  </si>
  <si>
    <t>2998-001</t>
  </si>
  <si>
    <t>2998-002</t>
  </si>
  <si>
    <t>3000</t>
  </si>
  <si>
    <t>3001</t>
  </si>
  <si>
    <t>3001-002</t>
  </si>
  <si>
    <t>3001-003</t>
  </si>
  <si>
    <t>3001-004</t>
  </si>
  <si>
    <t>3001-005</t>
  </si>
  <si>
    <t>3001-008</t>
  </si>
  <si>
    <t>3002</t>
  </si>
  <si>
    <t>3002-002</t>
  </si>
  <si>
    <t>3002-003</t>
  </si>
  <si>
    <t>3002-004</t>
  </si>
  <si>
    <t>3002-005</t>
  </si>
  <si>
    <t>3002-008</t>
  </si>
  <si>
    <t>3002-009</t>
  </si>
  <si>
    <t>3002-010</t>
  </si>
  <si>
    <t>3002-011</t>
  </si>
  <si>
    <t>3002-014</t>
  </si>
  <si>
    <t>3002-015</t>
  </si>
  <si>
    <t>3002-016</t>
  </si>
  <si>
    <t>3002-017</t>
  </si>
  <si>
    <t>3002-020</t>
  </si>
  <si>
    <t>3002-021</t>
  </si>
  <si>
    <t>3002-022</t>
  </si>
  <si>
    <t>3002-023</t>
  </si>
  <si>
    <t>3003</t>
  </si>
  <si>
    <t>3003-002</t>
  </si>
  <si>
    <t>3003-003</t>
  </si>
  <si>
    <t>3003-004</t>
  </si>
  <si>
    <t>3003-005</t>
  </si>
  <si>
    <t>3003-008</t>
  </si>
  <si>
    <t>3003-009</t>
  </si>
  <si>
    <t>3003-010</t>
  </si>
  <si>
    <t>3003-011</t>
  </si>
  <si>
    <t>3003-014</t>
  </si>
  <si>
    <t>3003-015</t>
  </si>
  <si>
    <t>3003-016</t>
  </si>
  <si>
    <t>3003-017</t>
  </si>
  <si>
    <t>3003-020</t>
  </si>
  <si>
    <t>3003-021</t>
  </si>
  <si>
    <t>3003-022</t>
  </si>
  <si>
    <t>3003-023</t>
  </si>
  <si>
    <t>3003-026</t>
  </si>
  <si>
    <t>3003-027</t>
  </si>
  <si>
    <t>3003-028</t>
  </si>
  <si>
    <t>3003-029</t>
  </si>
  <si>
    <t>3003-032</t>
  </si>
  <si>
    <t>3004</t>
  </si>
  <si>
    <t>3004-002</t>
  </si>
  <si>
    <t>3004-003</t>
  </si>
  <si>
    <t>3004-004</t>
  </si>
  <si>
    <t>3004-005</t>
  </si>
  <si>
    <t>3004-008</t>
  </si>
  <si>
    <t>3085</t>
  </si>
  <si>
    <t>3085-002</t>
  </si>
  <si>
    <t>3085-003</t>
  </si>
  <si>
    <t>3091</t>
  </si>
  <si>
    <t>3091-002</t>
  </si>
  <si>
    <t>3091-003</t>
  </si>
  <si>
    <t>3098</t>
  </si>
  <si>
    <t>3098-002</t>
  </si>
  <si>
    <t>3100</t>
  </si>
  <si>
    <t>3101</t>
  </si>
  <si>
    <t>3101-003</t>
  </si>
  <si>
    <t>3101-004</t>
  </si>
  <si>
    <t>3101-005</t>
  </si>
  <si>
    <t>3101-006</t>
  </si>
  <si>
    <t>3102</t>
  </si>
  <si>
    <t>3102-002</t>
  </si>
  <si>
    <t>3102-003</t>
  </si>
  <si>
    <t>3102-004</t>
  </si>
  <si>
    <t>3102-005</t>
  </si>
  <si>
    <t>3102-008</t>
  </si>
  <si>
    <t>3102-009</t>
  </si>
  <si>
    <t>3102-010</t>
  </si>
  <si>
    <t>3102-011</t>
  </si>
  <si>
    <t>3102-014</t>
  </si>
  <si>
    <t>3104</t>
  </si>
  <si>
    <t>3104-002</t>
  </si>
  <si>
    <t>3104-003</t>
  </si>
  <si>
    <t>3104-004</t>
  </si>
  <si>
    <t>3104-007</t>
  </si>
  <si>
    <t>3104-008</t>
  </si>
  <si>
    <t>3104-009</t>
  </si>
  <si>
    <t>3104-012</t>
  </si>
  <si>
    <t>3109</t>
  </si>
  <si>
    <t>3109-002</t>
  </si>
  <si>
    <t>3109-003</t>
  </si>
  <si>
    <t>3109-004</t>
  </si>
  <si>
    <t>3109-007</t>
  </si>
  <si>
    <t>3109-008</t>
  </si>
  <si>
    <t>3110</t>
  </si>
  <si>
    <t>3110-002</t>
  </si>
  <si>
    <t>3112</t>
  </si>
  <si>
    <t>3112-002</t>
  </si>
  <si>
    <t>3112-003</t>
  </si>
  <si>
    <t>3185</t>
  </si>
  <si>
    <t>3185-002</t>
  </si>
  <si>
    <t>3193</t>
  </si>
  <si>
    <t>3193-002</t>
  </si>
  <si>
    <t>3193-004</t>
  </si>
  <si>
    <t>3193-005</t>
  </si>
  <si>
    <t>3193-006</t>
  </si>
  <si>
    <t>3193-007</t>
  </si>
  <si>
    <t>3193-008</t>
  </si>
  <si>
    <t>3193-009</t>
  </si>
  <si>
    <t>3193-010</t>
  </si>
  <si>
    <t>3193-011</t>
  </si>
  <si>
    <t>3193-012</t>
  </si>
  <si>
    <t>3193-013</t>
  </si>
  <si>
    <t>3193-014</t>
  </si>
  <si>
    <t>3193-015</t>
  </si>
  <si>
    <t>3193-016</t>
  </si>
  <si>
    <t>3193-017</t>
  </si>
  <si>
    <t>3193-018</t>
  </si>
  <si>
    <t>3193-019</t>
  </si>
  <si>
    <t>3193-020</t>
  </si>
  <si>
    <t>3193-021</t>
  </si>
  <si>
    <t>3193-022</t>
  </si>
  <si>
    <t>3193-023</t>
  </si>
  <si>
    <t>3193-024</t>
  </si>
  <si>
    <t>3193-025</t>
  </si>
  <si>
    <t>3193-026</t>
  </si>
  <si>
    <t>3193-027</t>
  </si>
  <si>
    <t>3193-028</t>
  </si>
  <si>
    <t>3193-029</t>
  </si>
  <si>
    <t>3193-030</t>
  </si>
  <si>
    <t>3193-031</t>
  </si>
  <si>
    <t>3193-032</t>
  </si>
  <si>
    <t>3193-033</t>
  </si>
  <si>
    <t>3193-034</t>
  </si>
  <si>
    <t>3193-035</t>
  </si>
  <si>
    <t>3193-036</t>
  </si>
  <si>
    <t>3193-037</t>
  </si>
  <si>
    <t>3193-038</t>
  </si>
  <si>
    <t>3193-039</t>
  </si>
  <si>
    <t>3193-040</t>
  </si>
  <si>
    <t>3193-041</t>
  </si>
  <si>
    <t>3193-044</t>
  </si>
  <si>
    <t>3193-045</t>
  </si>
  <si>
    <t>3193-048</t>
  </si>
  <si>
    <t>3193-049</t>
  </si>
  <si>
    <t>3193-050</t>
  </si>
  <si>
    <t>3193-051</t>
  </si>
  <si>
    <t>3193-052</t>
  </si>
  <si>
    <t>3193-053</t>
  </si>
  <si>
    <t>3193-054</t>
  </si>
  <si>
    <t>3193-055</t>
  </si>
  <si>
    <t>3193-056</t>
  </si>
  <si>
    <t>3193-057</t>
  </si>
  <si>
    <t>3193-058</t>
  </si>
  <si>
    <t>3193-059</t>
  </si>
  <si>
    <t>3193-060</t>
  </si>
  <si>
    <t>3193-061</t>
  </si>
  <si>
    <t>3193-062</t>
  </si>
  <si>
    <t>3193-063</t>
  </si>
  <si>
    <t>3193-064</t>
  </si>
  <si>
    <t>3193-065</t>
  </si>
  <si>
    <t>3193-066</t>
  </si>
  <si>
    <t>3193-067</t>
  </si>
  <si>
    <t>3193-068</t>
  </si>
  <si>
    <t>3193-069</t>
  </si>
  <si>
    <t>3193-070</t>
  </si>
  <si>
    <t>3193-071</t>
  </si>
  <si>
    <t>3193-072</t>
  </si>
  <si>
    <t>3193-073</t>
  </si>
  <si>
    <t>3193-074</t>
  </si>
  <si>
    <t>3193-075</t>
  </si>
  <si>
    <t>3193-076</t>
  </si>
  <si>
    <t>3193-077</t>
  </si>
  <si>
    <t>3193-078</t>
  </si>
  <si>
    <t>3193-079</t>
  </si>
  <si>
    <t>3193-080</t>
  </si>
  <si>
    <t>3193-081</t>
  </si>
  <si>
    <t>3193-082</t>
  </si>
  <si>
    <t>3193-085</t>
  </si>
  <si>
    <t>3198</t>
  </si>
  <si>
    <t>3198-002</t>
  </si>
  <si>
    <t>3200</t>
  </si>
  <si>
    <t>3201</t>
  </si>
  <si>
    <t>3201-002</t>
  </si>
  <si>
    <t>3201-003</t>
  </si>
  <si>
    <t>3201-004</t>
  </si>
  <si>
    <t>3201-005</t>
  </si>
  <si>
    <t>3201-006</t>
  </si>
  <si>
    <t>3201-007</t>
  </si>
  <si>
    <t>3201-008</t>
  </si>
  <si>
    <t>3201-011</t>
  </si>
  <si>
    <t>3201-012</t>
  </si>
  <si>
    <t>3220</t>
  </si>
  <si>
    <t>3220-002</t>
  </si>
  <si>
    <t>3220-003</t>
  </si>
  <si>
    <t>3220-006</t>
  </si>
  <si>
    <t>3220-007</t>
  </si>
  <si>
    <t>3220-010</t>
  </si>
  <si>
    <t>3220-011</t>
  </si>
  <si>
    <t>3292</t>
  </si>
  <si>
    <t>3292-002</t>
  </si>
  <si>
    <t>3292-003</t>
  </si>
  <si>
    <t>3294</t>
  </si>
  <si>
    <t>3294-002</t>
  </si>
  <si>
    <t>3298</t>
  </si>
  <si>
    <t>3298-002</t>
  </si>
  <si>
    <t>3300</t>
  </si>
  <si>
    <t>3400</t>
  </si>
  <si>
    <t>3401</t>
  </si>
  <si>
    <t>3401-002</t>
  </si>
  <si>
    <t>3401-003</t>
  </si>
  <si>
    <t>3401-004</t>
  </si>
  <si>
    <t>3401-005</t>
  </si>
  <si>
    <t>3401-008</t>
  </si>
  <si>
    <t>3401-009</t>
  </si>
  <si>
    <t>3401-010</t>
  </si>
  <si>
    <t>3402</t>
  </si>
  <si>
    <t>3402-003</t>
  </si>
  <si>
    <t>3402-004</t>
  </si>
  <si>
    <t>3402-005</t>
  </si>
  <si>
    <t>3403</t>
  </si>
  <si>
    <t>3403-003</t>
  </si>
  <si>
    <t>3403-004</t>
  </si>
  <si>
    <t>3403-005</t>
  </si>
  <si>
    <t>3403-008</t>
  </si>
  <si>
    <t>3403-009</t>
  </si>
  <si>
    <t>3403-010</t>
  </si>
  <si>
    <t>3403-011</t>
  </si>
  <si>
    <t>3403-014</t>
  </si>
  <si>
    <t>3403-015</t>
  </si>
  <si>
    <t>3403-016</t>
  </si>
  <si>
    <t>3403-019</t>
  </si>
  <si>
    <t>3403-020</t>
  </si>
  <si>
    <t>3403-023</t>
  </si>
  <si>
    <t>3407</t>
  </si>
  <si>
    <t>3407-002</t>
  </si>
  <si>
    <t>3407-004</t>
  </si>
  <si>
    <t>3407-005</t>
  </si>
  <si>
    <t>3407-006</t>
  </si>
  <si>
    <t>3407-007</t>
  </si>
  <si>
    <t>3408</t>
  </si>
  <si>
    <t>3408-002</t>
  </si>
  <si>
    <t>3410</t>
  </si>
  <si>
    <t>3410-002</t>
  </si>
  <si>
    <t>3410-003</t>
  </si>
  <si>
    <t>3410-004</t>
  </si>
  <si>
    <t>3410-005</t>
  </si>
  <si>
    <t>3410-006</t>
  </si>
  <si>
    <t>3410-007</t>
  </si>
  <si>
    <t>3410-008</t>
  </si>
  <si>
    <t>3410-011</t>
  </si>
  <si>
    <t>3410-012</t>
  </si>
  <si>
    <t>3410-013</t>
  </si>
  <si>
    <t>3410-016</t>
  </si>
  <si>
    <t>3410-017</t>
  </si>
  <si>
    <t>3412</t>
  </si>
  <si>
    <t>3412-002</t>
  </si>
  <si>
    <t>3412-003</t>
  </si>
  <si>
    <t>3412-006</t>
  </si>
  <si>
    <t>3412-007</t>
  </si>
  <si>
    <t>3412-010</t>
  </si>
  <si>
    <t>3412-011</t>
  </si>
  <si>
    <t>3412-014</t>
  </si>
  <si>
    <t>3412-015</t>
  </si>
  <si>
    <t>3412-018</t>
  </si>
  <si>
    <t>3412-019</t>
  </si>
  <si>
    <t>3412-022</t>
  </si>
  <si>
    <t>3412-023</t>
  </si>
  <si>
    <t>3412-026</t>
  </si>
  <si>
    <t>3412-027</t>
  </si>
  <si>
    <t>3412-030</t>
  </si>
  <si>
    <t>3412-031</t>
  </si>
  <si>
    <t>3412-034</t>
  </si>
  <si>
    <t>3412-035</t>
  </si>
  <si>
    <t>3412-038</t>
  </si>
  <si>
    <t>3412-039</t>
  </si>
  <si>
    <t>3412-042</t>
  </si>
  <si>
    <t>3412-043</t>
  </si>
  <si>
    <t>3412-046</t>
  </si>
  <si>
    <t>3412-047</t>
  </si>
  <si>
    <t>3412-050</t>
  </si>
  <si>
    <t>3412-051</t>
  </si>
  <si>
    <t>3412-054</t>
  </si>
  <si>
    <t>3412-055</t>
  </si>
  <si>
    <t>3412-058</t>
  </si>
  <si>
    <t>3412-059</t>
  </si>
  <si>
    <t>3412-062</t>
  </si>
  <si>
    <t>3412-063</t>
  </si>
  <si>
    <t>3412-066</t>
  </si>
  <si>
    <t>3412-067</t>
  </si>
  <si>
    <t>3412-070</t>
  </si>
  <si>
    <t>3412-071</t>
  </si>
  <si>
    <t>3485</t>
  </si>
  <si>
    <t>3485-002</t>
  </si>
  <si>
    <t>3498</t>
  </si>
  <si>
    <t>3498-002</t>
  </si>
  <si>
    <t>3500</t>
  </si>
  <si>
    <t>3600</t>
  </si>
  <si>
    <t>3601</t>
  </si>
  <si>
    <t>3601-002</t>
  </si>
  <si>
    <t>3601-003</t>
  </si>
  <si>
    <t>3601-004</t>
  </si>
  <si>
    <t>3601-005</t>
  </si>
  <si>
    <t>3601-008</t>
  </si>
  <si>
    <t>Gas</t>
  </si>
  <si>
    <t>3683</t>
  </si>
  <si>
    <t>3683-002</t>
  </si>
  <si>
    <t>3683-004</t>
  </si>
  <si>
    <t>3683-005</t>
  </si>
  <si>
    <t>3683-006</t>
  </si>
  <si>
    <t>3683-007</t>
  </si>
  <si>
    <t>3683-010</t>
  </si>
  <si>
    <t>3683-011</t>
  </si>
  <si>
    <t>3683-012</t>
  </si>
  <si>
    <t>3683-013</t>
  </si>
  <si>
    <t>3683-016</t>
  </si>
  <si>
    <t>3683-017</t>
  </si>
  <si>
    <t>3683-018</t>
  </si>
  <si>
    <t>3683-019</t>
  </si>
  <si>
    <t>3683-022</t>
  </si>
  <si>
    <t>3683-023</t>
  </si>
  <si>
    <t>3683-024</t>
  </si>
  <si>
    <t>3683-025</t>
  </si>
  <si>
    <t>3683-028</t>
  </si>
  <si>
    <t>3683-029</t>
  </si>
  <si>
    <t>3683-030</t>
  </si>
  <si>
    <t>3683-031</t>
  </si>
  <si>
    <t>3683-034</t>
  </si>
  <si>
    <t>3683-035</t>
  </si>
  <si>
    <t>3683-036</t>
  </si>
  <si>
    <t>3683-037</t>
  </si>
  <si>
    <t>3683-040</t>
  </si>
  <si>
    <t>3683-041</t>
  </si>
  <si>
    <t>3683-042</t>
  </si>
  <si>
    <t>3683-043</t>
  </si>
  <si>
    <t>3683-046</t>
  </si>
  <si>
    <t>3683-047</t>
  </si>
  <si>
    <t>3683-048</t>
  </si>
  <si>
    <t>3683-049</t>
  </si>
  <si>
    <t>3683-052</t>
  </si>
  <si>
    <t>3683-053</t>
  </si>
  <si>
    <t>3683-054</t>
  </si>
  <si>
    <t>3683-055</t>
  </si>
  <si>
    <t>3683-058</t>
  </si>
  <si>
    <t>3683-059</t>
  </si>
  <si>
    <t>3683-060</t>
  </si>
  <si>
    <t>3683-061</t>
  </si>
  <si>
    <t>3683-064</t>
  </si>
  <si>
    <t>3683-065</t>
  </si>
  <si>
    <t>3683-066</t>
  </si>
  <si>
    <t>3683-067</t>
  </si>
  <si>
    <t>3683-070</t>
  </si>
  <si>
    <t>3683-071</t>
  </si>
  <si>
    <t>3683-072</t>
  </si>
  <si>
    <t>3683-073</t>
  </si>
  <si>
    <t>3683-076</t>
  </si>
  <si>
    <t>3683-077</t>
  </si>
  <si>
    <t>3683-078</t>
  </si>
  <si>
    <t>3683-079</t>
  </si>
  <si>
    <t>3683-082</t>
  </si>
  <si>
    <t>3683-083</t>
  </si>
  <si>
    <t>3683-084</t>
  </si>
  <si>
    <t>3683-085</t>
  </si>
  <si>
    <t>3683-088</t>
  </si>
  <si>
    <t>3683-089</t>
  </si>
  <si>
    <t>3683-090</t>
  </si>
  <si>
    <t>3683-091</t>
  </si>
  <si>
    <t>3683-094</t>
  </si>
  <si>
    <t>3683-095</t>
  </si>
  <si>
    <t>3683-096</t>
  </si>
  <si>
    <t>3683-097</t>
  </si>
  <si>
    <t>3683-100</t>
  </si>
  <si>
    <t>3683-101</t>
  </si>
  <si>
    <t>3683-104</t>
  </si>
  <si>
    <t>3683-105</t>
  </si>
  <si>
    <t>3683-108</t>
  </si>
  <si>
    <t>3698</t>
  </si>
  <si>
    <t>3698-002</t>
  </si>
  <si>
    <t>3700</t>
  </si>
  <si>
    <t>3800</t>
  </si>
  <si>
    <t>3807</t>
  </si>
  <si>
    <t>3807-002</t>
  </si>
  <si>
    <t>3807-003</t>
  </si>
  <si>
    <t>3807-006</t>
  </si>
  <si>
    <t>3807-007</t>
  </si>
  <si>
    <t>3813</t>
  </si>
  <si>
    <t>3813-002</t>
  </si>
  <si>
    <t>3813-003</t>
  </si>
  <si>
    <t>3894</t>
  </si>
  <si>
    <t>3894-002</t>
  </si>
  <si>
    <t>3894-003</t>
  </si>
  <si>
    <t>3900</t>
  </si>
  <si>
    <t>3901</t>
  </si>
  <si>
    <t>3901-002</t>
  </si>
  <si>
    <t>3901-003</t>
  </si>
  <si>
    <t>3901-004</t>
  </si>
  <si>
    <t>3901-007</t>
  </si>
  <si>
    <t>3901-008</t>
  </si>
  <si>
    <t>3901-009</t>
  </si>
  <si>
    <t>3901-012</t>
  </si>
  <si>
    <t>3901-013</t>
  </si>
  <si>
    <t>3901-014</t>
  </si>
  <si>
    <t>3901-017</t>
  </si>
  <si>
    <t>3901-018</t>
  </si>
  <si>
    <t>3901-019</t>
  </si>
  <si>
    <t>3901-022</t>
  </si>
  <si>
    <t>3901-023</t>
  </si>
  <si>
    <t>3901-024</t>
  </si>
  <si>
    <t>3901-027</t>
  </si>
  <si>
    <t>3901-028</t>
  </si>
  <si>
    <t>3901-029</t>
  </si>
  <si>
    <t>3902</t>
  </si>
  <si>
    <t>3902-002</t>
  </si>
  <si>
    <t>3902-003</t>
  </si>
  <si>
    <t>3902-006</t>
  </si>
  <si>
    <t>3902-007</t>
  </si>
  <si>
    <t>3902-008</t>
  </si>
  <si>
    <t>3902-009</t>
  </si>
  <si>
    <t>3902-012</t>
  </si>
  <si>
    <t>3902-013</t>
  </si>
  <si>
    <t>3902-014</t>
  </si>
  <si>
    <t>3902-015</t>
  </si>
  <si>
    <t>3902-018</t>
  </si>
  <si>
    <t>3902-019</t>
  </si>
  <si>
    <t>3902-020</t>
  </si>
  <si>
    <t>3902-021</t>
  </si>
  <si>
    <t>3902-024</t>
  </si>
  <si>
    <t>3902-025</t>
  </si>
  <si>
    <t>3902-026</t>
  </si>
  <si>
    <t>3902-027</t>
  </si>
  <si>
    <t>3903</t>
  </si>
  <si>
    <t>3903-002</t>
  </si>
  <si>
    <t>3903-003</t>
  </si>
  <si>
    <t>3903-004</t>
  </si>
  <si>
    <t>3903-005</t>
  </si>
  <si>
    <t>3903-006</t>
  </si>
  <si>
    <t>3903-009</t>
  </si>
  <si>
    <t>3903-010</t>
  </si>
  <si>
    <t>3903-011</t>
  </si>
  <si>
    <t>3903-012</t>
  </si>
  <si>
    <t>3903-015</t>
  </si>
  <si>
    <t>3903-016</t>
  </si>
  <si>
    <t>3903-017</t>
  </si>
  <si>
    <t>3903-018</t>
  </si>
  <si>
    <t>3903-021</t>
  </si>
  <si>
    <t>3903-022</t>
  </si>
  <si>
    <t>3903-023</t>
  </si>
  <si>
    <t>3903-024</t>
  </si>
  <si>
    <t>3903-027</t>
  </si>
  <si>
    <t>3903-028</t>
  </si>
  <si>
    <t>3903-029</t>
  </si>
  <si>
    <t>3903-030</t>
  </si>
  <si>
    <t>3903-033</t>
  </si>
  <si>
    <t>3904</t>
  </si>
  <si>
    <t>3904-002</t>
  </si>
  <si>
    <t>3904-003</t>
  </si>
  <si>
    <t>3999</t>
  </si>
  <si>
    <t>4100</t>
  </si>
  <si>
    <t>5000</t>
  </si>
  <si>
    <t>5001</t>
  </si>
  <si>
    <t>5001-002</t>
  </si>
  <si>
    <t>5001-003</t>
  </si>
  <si>
    <t>5001-004</t>
  </si>
  <si>
    <t>5001-007</t>
  </si>
  <si>
    <t>5001-008</t>
  </si>
  <si>
    <t>5002</t>
  </si>
  <si>
    <t>5002-002</t>
  </si>
  <si>
    <t>5002-003</t>
  </si>
  <si>
    <t>5002-006</t>
  </si>
  <si>
    <t>5009</t>
  </si>
  <si>
    <t>5009-002</t>
  </si>
  <si>
    <t>5009-003</t>
  </si>
  <si>
    <t>5009-004</t>
  </si>
  <si>
    <t>5010</t>
  </si>
  <si>
    <t>5010-002</t>
  </si>
  <si>
    <t>5010-003</t>
  </si>
  <si>
    <t>5010-004</t>
  </si>
  <si>
    <t>5011</t>
  </si>
  <si>
    <t>5011-002</t>
  </si>
  <si>
    <t>5011-003</t>
  </si>
  <si>
    <t>5018</t>
  </si>
  <si>
    <t>5018-002</t>
  </si>
  <si>
    <t>5022</t>
  </si>
  <si>
    <t>5022-002</t>
  </si>
  <si>
    <t>5022-004</t>
  </si>
  <si>
    <t>5022-005</t>
  </si>
  <si>
    <t>5022-008</t>
  </si>
  <si>
    <t>5022-009</t>
  </si>
  <si>
    <t>5022-010</t>
  </si>
  <si>
    <t>5022-013</t>
  </si>
  <si>
    <t>5022-014</t>
  </si>
  <si>
    <t>5022-017</t>
  </si>
  <si>
    <t>5022-018</t>
  </si>
  <si>
    <t>5022-019</t>
  </si>
  <si>
    <t>5022-022</t>
  </si>
  <si>
    <t>5022-023</t>
  </si>
  <si>
    <t>5024</t>
  </si>
  <si>
    <t>5024-002</t>
  </si>
  <si>
    <t>5100</t>
  </si>
  <si>
    <t>5101</t>
  </si>
  <si>
    <t>5101-002</t>
  </si>
  <si>
    <t>5101-003</t>
  </si>
  <si>
    <t>5101-006</t>
  </si>
  <si>
    <t>5105</t>
  </si>
  <si>
    <t>5105-002</t>
  </si>
  <si>
    <t>5105-003</t>
  </si>
  <si>
    <t>5105-004</t>
  </si>
  <si>
    <t>5105-007</t>
  </si>
  <si>
    <t>5109</t>
  </si>
  <si>
    <t>5109-002</t>
  </si>
  <si>
    <t>5110</t>
  </si>
  <si>
    <t>5110-002</t>
  </si>
  <si>
    <t>5110-003</t>
  </si>
  <si>
    <t>5120</t>
  </si>
  <si>
    <t>5120-002</t>
  </si>
  <si>
    <t>5197</t>
  </si>
  <si>
    <t>5197-002</t>
  </si>
  <si>
    <t>5200</t>
  </si>
  <si>
    <t>5201</t>
  </si>
  <si>
    <t>5201-002</t>
  </si>
  <si>
    <t>5201-003</t>
  </si>
  <si>
    <t>5201-006</t>
  </si>
  <si>
    <t>5201-007</t>
  </si>
  <si>
    <t>5201-008</t>
  </si>
  <si>
    <t>5201-011</t>
  </si>
  <si>
    <t>5201-012</t>
  </si>
  <si>
    <t>5201-013</t>
  </si>
  <si>
    <t>5201-016</t>
  </si>
  <si>
    <t>5201-017</t>
  </si>
  <si>
    <t>5202</t>
  </si>
  <si>
    <t>5202-002</t>
  </si>
  <si>
    <t>5203</t>
  </si>
  <si>
    <t>5203-002</t>
  </si>
  <si>
    <t>5207</t>
  </si>
  <si>
    <t>5207-002</t>
  </si>
  <si>
    <t>5222</t>
  </si>
  <si>
    <t>5222-002</t>
  </si>
  <si>
    <t>5222-003</t>
  </si>
  <si>
    <t>5222-004</t>
  </si>
  <si>
    <t>5222-005</t>
  </si>
  <si>
    <t>5222-006</t>
  </si>
  <si>
    <t>5222-007</t>
  </si>
  <si>
    <t>5222-008</t>
  </si>
  <si>
    <t>5300</t>
  </si>
  <si>
    <t>5301</t>
  </si>
  <si>
    <t>5301-002</t>
  </si>
  <si>
    <t>5400</t>
  </si>
  <si>
    <t>5402</t>
  </si>
  <si>
    <t>5402-002</t>
  </si>
  <si>
    <t>6000</t>
  </si>
  <si>
    <t>6001</t>
  </si>
  <si>
    <t>6001-002</t>
  </si>
  <si>
    <t>6001-003</t>
  </si>
  <si>
    <t>6001-004</t>
  </si>
  <si>
    <t>6002</t>
  </si>
  <si>
    <t>6002-002</t>
  </si>
  <si>
    <t>6002-003</t>
  </si>
  <si>
    <t>6004</t>
  </si>
  <si>
    <t>6004-002</t>
  </si>
  <si>
    <t>6004-003</t>
  </si>
  <si>
    <t>6004-004</t>
  </si>
  <si>
    <t>6100</t>
  </si>
  <si>
    <t>6136</t>
  </si>
  <si>
    <t>6136-002</t>
  </si>
  <si>
    <t>6136-004</t>
  </si>
  <si>
    <t>6136-005</t>
  </si>
  <si>
    <t>6136-008</t>
  </si>
  <si>
    <t>6136-009</t>
  </si>
  <si>
    <t>6136-010</t>
  </si>
  <si>
    <t>6136-013</t>
  </si>
  <si>
    <t>6136-014</t>
  </si>
  <si>
    <t>6136-017</t>
  </si>
  <si>
    <t>6136-019</t>
  </si>
  <si>
    <t>6136-020</t>
  </si>
  <si>
    <t>6136-021</t>
  </si>
  <si>
    <t>6136-022</t>
  </si>
  <si>
    <t>6136-023</t>
  </si>
  <si>
    <t>6136-024</t>
  </si>
  <si>
    <t>6136-025</t>
  </si>
  <si>
    <t>6136-026</t>
  </si>
  <si>
    <t>6136-027</t>
  </si>
  <si>
    <t>6136-028</t>
  </si>
  <si>
    <t>6136-029</t>
  </si>
  <si>
    <t>6136-030</t>
  </si>
  <si>
    <t>6136-031</t>
  </si>
  <si>
    <t>6136-034</t>
  </si>
  <si>
    <t>6136-035</t>
  </si>
  <si>
    <t>6136-036</t>
  </si>
  <si>
    <t>6136-037</t>
  </si>
  <si>
    <t>6136-038</t>
  </si>
  <si>
    <t>6136-039</t>
  </si>
  <si>
    <t>6136-040</t>
  </si>
  <si>
    <t>6136-041</t>
  </si>
  <si>
    <t>6136-042</t>
  </si>
  <si>
    <t>6136-043</t>
  </si>
  <si>
    <t>6136-044</t>
  </si>
  <si>
    <t>6136-045</t>
  </si>
  <si>
    <t>6136-048</t>
  </si>
  <si>
    <t>6136-049</t>
  </si>
  <si>
    <t>6136-050</t>
  </si>
  <si>
    <t>6136-051</t>
  </si>
  <si>
    <t>6136-052</t>
  </si>
  <si>
    <t>6136-053</t>
  </si>
  <si>
    <t>6136-054</t>
  </si>
  <si>
    <t>6136-055</t>
  </si>
  <si>
    <t>6136-056</t>
  </si>
  <si>
    <t>6136-057</t>
  </si>
  <si>
    <t>6136-058</t>
  </si>
  <si>
    <t>6136-059</t>
  </si>
  <si>
    <t>6136-060</t>
  </si>
  <si>
    <t>6136-061</t>
  </si>
  <si>
    <t>6136-062</t>
  </si>
  <si>
    <t>6136-063</t>
  </si>
  <si>
    <t>6136-064</t>
  </si>
  <si>
    <t>6136-065</t>
  </si>
  <si>
    <t>6136-066</t>
  </si>
  <si>
    <t>6136-069</t>
  </si>
  <si>
    <t>6136-070</t>
  </si>
  <si>
    <t>6136-071</t>
  </si>
  <si>
    <t>6136-072</t>
  </si>
  <si>
    <t>6136-073</t>
  </si>
  <si>
    <t>6136-074</t>
  </si>
  <si>
    <t>6136-075</t>
  </si>
  <si>
    <t>6136-078</t>
  </si>
  <si>
    <t>6136-079</t>
  </si>
  <si>
    <t>6136-080</t>
  </si>
  <si>
    <t>6136-081</t>
  </si>
  <si>
    <t>6136-082</t>
  </si>
  <si>
    <t>6136-083</t>
  </si>
  <si>
    <t>6136-084</t>
  </si>
  <si>
    <t>6136-085</t>
  </si>
  <si>
    <t>6136-086</t>
  </si>
  <si>
    <t>6136-087</t>
  </si>
  <si>
    <t>6136-090</t>
  </si>
  <si>
    <t>6136-091</t>
  </si>
  <si>
    <t>6136-092</t>
  </si>
  <si>
    <t>6136-093</t>
  </si>
  <si>
    <t>6136-094</t>
  </si>
  <si>
    <t>6136-095</t>
  </si>
  <si>
    <t>6136-096</t>
  </si>
  <si>
    <t>6136-097</t>
  </si>
  <si>
    <t>6136-100</t>
  </si>
  <si>
    <t>6136-101</t>
  </si>
  <si>
    <t>6136-102</t>
  </si>
  <si>
    <t>6136-103</t>
  </si>
  <si>
    <t>603</t>
  </si>
  <si>
    <t>6136-104</t>
  </si>
  <si>
    <t>6136-105</t>
  </si>
  <si>
    <t>6136-106</t>
  </si>
  <si>
    <t>6136-107</t>
  </si>
  <si>
    <t>6136-110</t>
  </si>
  <si>
    <t>6136-111</t>
  </si>
  <si>
    <t>6136-112</t>
  </si>
  <si>
    <t>6136-113</t>
  </si>
  <si>
    <t>6136-114</t>
  </si>
  <si>
    <t>6136-115</t>
  </si>
  <si>
    <t>623</t>
  </si>
  <si>
    <t>6136-116</t>
  </si>
  <si>
    <t>625</t>
  </si>
  <si>
    <t>6136-117</t>
  </si>
  <si>
    <t>6136-118</t>
  </si>
  <si>
    <t>6149</t>
  </si>
  <si>
    <t>6149-002</t>
  </si>
  <si>
    <t>7000</t>
  </si>
  <si>
    <t>7007</t>
  </si>
  <si>
    <t>7007-002</t>
  </si>
  <si>
    <t>7007-003</t>
  </si>
  <si>
    <t>7007-004</t>
  </si>
  <si>
    <t>7008</t>
  </si>
  <si>
    <t>7008-002</t>
  </si>
  <si>
    <t>7038</t>
  </si>
  <si>
    <t>7038-003</t>
  </si>
  <si>
    <t>7038-004</t>
  </si>
  <si>
    <t>Comisión Scotia Bank</t>
  </si>
  <si>
    <t>7050</t>
  </si>
  <si>
    <t>7050-002</t>
  </si>
  <si>
    <t>7050-003</t>
  </si>
  <si>
    <t>7094</t>
  </si>
  <si>
    <t>7200</t>
  </si>
  <si>
    <t>7201</t>
  </si>
  <si>
    <t>7201-002</t>
  </si>
  <si>
    <t>7201-003</t>
  </si>
  <si>
    <t>7216</t>
  </si>
  <si>
    <t>COVID</t>
  </si>
  <si>
    <t>7216-002</t>
  </si>
  <si>
    <t>7217</t>
  </si>
  <si>
    <t>7217-002</t>
  </si>
  <si>
    <t>7217-003</t>
  </si>
  <si>
    <t>7217-004</t>
  </si>
  <si>
    <t>1399-001</t>
  </si>
  <si>
    <t>1499-001</t>
  </si>
  <si>
    <t>3999-001</t>
  </si>
  <si>
    <t>1699-001</t>
  </si>
  <si>
    <t>2nd Unit</t>
  </si>
  <si>
    <t>FRINGES</t>
  </si>
  <si>
    <t>N024</t>
  </si>
  <si>
    <t>0034</t>
  </si>
  <si>
    <t>N025</t>
  </si>
  <si>
    <t>0035</t>
  </si>
  <si>
    <t>T03</t>
  </si>
  <si>
    <t>0036</t>
  </si>
  <si>
    <t>T0.03</t>
  </si>
  <si>
    <t>0037</t>
  </si>
  <si>
    <t>0012  - BBVA Bancomer</t>
  </si>
  <si>
    <t>0014  - Santander</t>
  </si>
  <si>
    <t>0002  - Banamex - Citibank</t>
  </si>
  <si>
    <t>0030  - Del Bajio</t>
  </si>
  <si>
    <t>0021  - HSBC</t>
  </si>
  <si>
    <t>0127  - Azteca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</si>
  <si>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</si>
  <si>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</si>
  <si>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</si>
  <si>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</si>
  <si>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</si>
  <si>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</si>
  <si>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</si>
  <si>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</si>
  <si>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</si>
  <si>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</si>
  <si>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</si>
  <si>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</si>
  <si>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</si>
  <si>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</si>
  <si>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</si>
  <si>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</si>
  <si>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</si>
  <si>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</si>
  <si>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</si>
  <si>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</si>
  <si>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</si>
  <si>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</si>
  <si>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</si>
  <si>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</si>
  <si>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</si>
  <si>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</si>
  <si>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</si>
  <si>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</si>
  <si>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</si>
  <si>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</si>
  <si>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</si>
  <si>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</si>
  <si>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</si>
  <si>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</si>
  <si>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</si>
  <si>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</si>
  <si>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</si>
  <si>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0112  - MONEX</t>
  </si>
  <si>
    <t>P006</t>
  </si>
  <si>
    <t>P008</t>
  </si>
  <si>
    <t>F4</t>
  </si>
  <si>
    <t>F5</t>
  </si>
  <si>
    <t>F5.1</t>
  </si>
  <si>
    <t>F6</t>
  </si>
  <si>
    <t>F6.1</t>
  </si>
  <si>
    <t>N063</t>
  </si>
  <si>
    <t>PC001</t>
  </si>
  <si>
    <t>N/A</t>
  </si>
  <si>
    <t>PETTY CASH</t>
  </si>
  <si>
    <t xml:space="preserve">SANTANDER </t>
  </si>
  <si>
    <t>COMISIONES</t>
  </si>
  <si>
    <t>P009</t>
  </si>
  <si>
    <t>0012-BBVA Bancomer</t>
  </si>
  <si>
    <t>P010</t>
  </si>
  <si>
    <t>0112 - MONEX</t>
  </si>
  <si>
    <t>Sin obligaciones fiscales</t>
  </si>
  <si>
    <t>1320</t>
  </si>
  <si>
    <t>1320-002</t>
  </si>
  <si>
    <t>2390</t>
  </si>
  <si>
    <t>2390-002</t>
  </si>
  <si>
    <t>2390-003</t>
  </si>
  <si>
    <t>2390-004</t>
  </si>
  <si>
    <t>2402</t>
  </si>
  <si>
    <t>2402-002</t>
  </si>
  <si>
    <t>2402-003</t>
  </si>
  <si>
    <t>2402-004</t>
  </si>
  <si>
    <t>2490</t>
  </si>
  <si>
    <t>2490-002</t>
  </si>
  <si>
    <t>2490-003</t>
  </si>
  <si>
    <t>2490-004</t>
  </si>
  <si>
    <t>2494-003</t>
  </si>
  <si>
    <t>2494-006</t>
  </si>
  <si>
    <t>2494-007</t>
  </si>
  <si>
    <t>2494-010</t>
  </si>
  <si>
    <t>2494-011</t>
  </si>
  <si>
    <t>2494-014</t>
  </si>
  <si>
    <t>2494-015</t>
  </si>
  <si>
    <t>2494-018</t>
  </si>
  <si>
    <t>2494-019</t>
  </si>
  <si>
    <t>2494-022</t>
  </si>
  <si>
    <t>2494-023</t>
  </si>
  <si>
    <t>2494-026</t>
  </si>
  <si>
    <t>2494-027</t>
  </si>
  <si>
    <t>2494-030</t>
  </si>
  <si>
    <t>2494-031</t>
  </si>
  <si>
    <t>2623-003</t>
  </si>
  <si>
    <t>2623-004</t>
  </si>
  <si>
    <t>2623-005</t>
  </si>
  <si>
    <t>2706</t>
  </si>
  <si>
    <t>2706-002</t>
  </si>
  <si>
    <t>2706-003</t>
  </si>
  <si>
    <t>2706-004</t>
  </si>
  <si>
    <t>2706-005</t>
  </si>
  <si>
    <t>2706-008</t>
  </si>
  <si>
    <t>2795-006</t>
  </si>
  <si>
    <t>2795-007</t>
  </si>
  <si>
    <t>2802-013</t>
  </si>
  <si>
    <t>2802-014</t>
  </si>
  <si>
    <t>2802-015</t>
  </si>
  <si>
    <t>3193-086</t>
  </si>
  <si>
    <t>6137</t>
  </si>
  <si>
    <t>6137-002</t>
  </si>
  <si>
    <t>NOMBRE REGIMEN FISCAL</t>
  </si>
  <si>
    <t>STATUS</t>
  </si>
  <si>
    <t>SEMANA QUE SE PAGA</t>
  </si>
  <si>
    <t>ESTATUS</t>
  </si>
  <si>
    <t>SUBTOTAL2</t>
  </si>
  <si>
    <t>IVA3</t>
  </si>
  <si>
    <t>RET IVA4</t>
  </si>
  <si>
    <t>Pagado</t>
  </si>
  <si>
    <t>P012</t>
  </si>
  <si>
    <t>VIGENTE</t>
  </si>
  <si>
    <t>FEBRERO</t>
  </si>
  <si>
    <t>N064</t>
  </si>
  <si>
    <t>SEMANA -8 y -7 DE PRE</t>
  </si>
  <si>
    <t>N065</t>
  </si>
  <si>
    <t>SEMANA -8 DE PRE</t>
  </si>
  <si>
    <t>N066</t>
  </si>
  <si>
    <t>SEMANA -7 DE PRE</t>
  </si>
  <si>
    <t>N067</t>
  </si>
  <si>
    <t>N068</t>
  </si>
  <si>
    <t>N069</t>
  </si>
  <si>
    <t>N070</t>
  </si>
  <si>
    <t>N071</t>
  </si>
  <si>
    <t>N072</t>
  </si>
  <si>
    <t>N073</t>
  </si>
  <si>
    <t>N074</t>
  </si>
  <si>
    <t>SEMANA -9 DE PRE</t>
  </si>
  <si>
    <t>N075</t>
  </si>
  <si>
    <t>N076</t>
  </si>
  <si>
    <t>N077</t>
  </si>
  <si>
    <t>SEMANA -9, -8 y -7 DE PRE</t>
  </si>
  <si>
    <t>N078</t>
  </si>
  <si>
    <t>N079</t>
  </si>
  <si>
    <t>N080</t>
  </si>
  <si>
    <t>2DA FASE MINI ROOM</t>
  </si>
  <si>
    <t>N081</t>
  </si>
  <si>
    <t>BONO GUION 207</t>
  </si>
  <si>
    <t>N082</t>
  </si>
  <si>
    <t>N083</t>
  </si>
  <si>
    <t>N084</t>
  </si>
  <si>
    <t>-</t>
  </si>
  <si>
    <t>01730</t>
  </si>
  <si>
    <t>PC003</t>
  </si>
  <si>
    <t xml:space="preserve">PETTY CASH </t>
  </si>
  <si>
    <t>P014</t>
  </si>
  <si>
    <t>P016</t>
  </si>
  <si>
    <t>UNALANAPAY</t>
  </si>
  <si>
    <t>P017</t>
  </si>
  <si>
    <t>00002 - Banamex Citibank</t>
  </si>
  <si>
    <t>PC002</t>
  </si>
  <si>
    <t xml:space="preserve">BBVA </t>
  </si>
  <si>
    <t>F8</t>
  </si>
  <si>
    <t>01620</t>
  </si>
  <si>
    <t>612</t>
  </si>
  <si>
    <t>04210</t>
  </si>
  <si>
    <t>07050</t>
  </si>
  <si>
    <t>01780</t>
  </si>
  <si>
    <t>626</t>
  </si>
  <si>
    <t>03023</t>
  </si>
  <si>
    <t>03100</t>
  </si>
  <si>
    <t>44100</t>
  </si>
  <si>
    <t>44890</t>
  </si>
  <si>
    <t>45116</t>
  </si>
  <si>
    <t>01030</t>
  </si>
  <si>
    <t>45150</t>
  </si>
  <si>
    <t>02420</t>
  </si>
  <si>
    <t>621</t>
  </si>
  <si>
    <t>45110</t>
  </si>
  <si>
    <t>06100</t>
  </si>
  <si>
    <t>44200</t>
  </si>
  <si>
    <t>45039</t>
  </si>
  <si>
    <t>601</t>
  </si>
  <si>
    <t>45645</t>
  </si>
  <si>
    <t>44160</t>
  </si>
  <si>
    <t>45200</t>
  </si>
  <si>
    <t>45100</t>
  </si>
  <si>
    <t>44630</t>
  </si>
  <si>
    <t>45019</t>
  </si>
  <si>
    <t>44600</t>
  </si>
  <si>
    <t>06000</t>
  </si>
  <si>
    <t>45693</t>
  </si>
  <si>
    <t>Incorporación Fiscal</t>
  </si>
  <si>
    <t>15520</t>
  </si>
  <si>
    <t>04100</t>
  </si>
  <si>
    <t>04020</t>
  </si>
  <si>
    <t>15530</t>
  </si>
  <si>
    <t>06760</t>
  </si>
  <si>
    <t>11529</t>
  </si>
  <si>
    <t>66600</t>
  </si>
  <si>
    <t>Régimen de las Actividades Empresariales con ingresos a través de Plataformas Tecnológicas</t>
  </si>
  <si>
    <t>DICIEMBRE</t>
  </si>
  <si>
    <t>SOFT -11 &amp; -10</t>
  </si>
  <si>
    <t>SOFT -10B</t>
  </si>
  <si>
    <t>52763</t>
  </si>
  <si>
    <t>T4</t>
  </si>
  <si>
    <t>ENERO</t>
  </si>
  <si>
    <t>T4.1</t>
  </si>
  <si>
    <t>P019</t>
  </si>
  <si>
    <t>P020</t>
  </si>
  <si>
    <t>PC004</t>
  </si>
  <si>
    <t>´06100</t>
  </si>
  <si>
    <t xml:space="preserve">VIGENTE </t>
  </si>
  <si>
    <t>SEMANA -6 DE PRE</t>
  </si>
  <si>
    <t>STP</t>
  </si>
  <si>
    <t>PC005</t>
  </si>
  <si>
    <t>01210</t>
  </si>
  <si>
    <t xml:space="preserve">-7 PRE </t>
  </si>
  <si>
    <t xml:space="preserve">PETTY CASH - COMPROBACIÓN </t>
  </si>
  <si>
    <t xml:space="preserve">EFECTIVALE FINTECH </t>
  </si>
  <si>
    <t>45040</t>
  </si>
  <si>
    <t>45010</t>
  </si>
  <si>
    <t>06600</t>
  </si>
  <si>
    <t>PC006</t>
  </si>
  <si>
    <t>PC007</t>
  </si>
  <si>
    <t>PC008</t>
  </si>
  <si>
    <t>06601</t>
  </si>
  <si>
    <t>06170</t>
  </si>
  <si>
    <t>PC El Niñero S01</t>
  </si>
  <si>
    <t>PC009</t>
  </si>
  <si>
    <t>06140</t>
  </si>
  <si>
    <t xml:space="preserve">EFECTIVALE </t>
  </si>
  <si>
    <t>PC010</t>
  </si>
  <si>
    <t xml:space="preserve">Estos movimientos no se deberan tomar en cuenta para el cierre </t>
  </si>
  <si>
    <t>P021</t>
  </si>
  <si>
    <t xml:space="preserve">FEBRERO </t>
  </si>
  <si>
    <t>N085</t>
  </si>
  <si>
    <t xml:space="preserve">Semana -6 y -5 de Pre </t>
  </si>
  <si>
    <t>N086</t>
  </si>
  <si>
    <t xml:space="preserve">Semana -6 de Pre </t>
  </si>
  <si>
    <t>N087</t>
  </si>
  <si>
    <t xml:space="preserve">Semana -5 de Pre </t>
  </si>
  <si>
    <t>N088</t>
  </si>
  <si>
    <t>N089</t>
  </si>
  <si>
    <t>N090</t>
  </si>
  <si>
    <t>N091</t>
  </si>
  <si>
    <t>N092</t>
  </si>
  <si>
    <t xml:space="preserve">Semana -8 y -7 de Pre </t>
  </si>
  <si>
    <t>N093</t>
  </si>
  <si>
    <t>N094</t>
  </si>
  <si>
    <t>N095</t>
  </si>
  <si>
    <t>N096</t>
  </si>
  <si>
    <t>N097</t>
  </si>
  <si>
    <t xml:space="preserve">Semana -9, -8 y -7 de Pre </t>
  </si>
  <si>
    <t>N098</t>
  </si>
  <si>
    <t>N099</t>
  </si>
  <si>
    <t xml:space="preserve">Semana -7, -6 y -5 de Pre 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</si>
  <si>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</si>
  <si>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</si>
  <si>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</si>
  <si>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</si>
  <si>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</si>
  <si>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</si>
  <si>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</si>
  <si>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</si>
  <si>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</si>
  <si>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</si>
  <si>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</si>
  <si>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</si>
  <si>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 xml:space="preserve">Semana -9, -8, -7, -6 y -5 de Pre </t>
  </si>
  <si>
    <t>N112</t>
  </si>
  <si>
    <t>N113</t>
  </si>
  <si>
    <t>BONO GUION 208</t>
  </si>
  <si>
    <t>N114</t>
  </si>
  <si>
    <t>PC011</t>
  </si>
  <si>
    <t>-5 PRE</t>
  </si>
  <si>
    <t>BBVA</t>
  </si>
  <si>
    <t>P022</t>
  </si>
  <si>
    <t>BANK OF AMERICA</t>
  </si>
  <si>
    <t>P023</t>
  </si>
  <si>
    <t>P024</t>
  </si>
  <si>
    <t>P025</t>
  </si>
  <si>
    <t>P026</t>
  </si>
  <si>
    <t>1410-015</t>
  </si>
  <si>
    <t>1410-016</t>
  </si>
  <si>
    <t>1410-017</t>
  </si>
  <si>
    <t>1410-018</t>
  </si>
  <si>
    <t>1411-007</t>
  </si>
  <si>
    <t>1411-008</t>
  </si>
  <si>
    <t>1426-003</t>
  </si>
  <si>
    <t>1426-006</t>
  </si>
  <si>
    <t>1621-007</t>
  </si>
  <si>
    <t>1621-008</t>
  </si>
  <si>
    <t>1621-009</t>
  </si>
  <si>
    <t>1631-007</t>
  </si>
  <si>
    <t>1631-008</t>
  </si>
  <si>
    <t>1631-009</t>
  </si>
  <si>
    <t>1641-004</t>
  </si>
  <si>
    <t>1641-007</t>
  </si>
  <si>
    <t>1641-008</t>
  </si>
  <si>
    <t>2009-009</t>
  </si>
  <si>
    <t>2014-010</t>
  </si>
  <si>
    <t>2014-011</t>
  </si>
  <si>
    <t>2103-004</t>
  </si>
  <si>
    <t>2103-005</t>
  </si>
  <si>
    <t>2401-028</t>
  </si>
  <si>
    <t>2494-034</t>
  </si>
  <si>
    <t>2494-035</t>
  </si>
  <si>
    <t>2494-038</t>
  </si>
  <si>
    <t>2602-003</t>
  </si>
  <si>
    <t>2602-004</t>
  </si>
  <si>
    <t>2602-005</t>
  </si>
  <si>
    <t>2602-006</t>
  </si>
  <si>
    <t>2602-007</t>
  </si>
  <si>
    <t>2602-008</t>
  </si>
  <si>
    <t>2602-009</t>
  </si>
  <si>
    <t>2602-010</t>
  </si>
  <si>
    <t>2602-011</t>
  </si>
  <si>
    <t>2602-012</t>
  </si>
  <si>
    <t>2602-013</t>
  </si>
  <si>
    <t>2602-014</t>
  </si>
  <si>
    <t>2602-015</t>
  </si>
  <si>
    <t>2602-016</t>
  </si>
  <si>
    <t>2602-017</t>
  </si>
  <si>
    <t>2602-018</t>
  </si>
  <si>
    <t>2602-019</t>
  </si>
  <si>
    <t>2602-020</t>
  </si>
  <si>
    <t>2623-006</t>
  </si>
  <si>
    <t>2623-007</t>
  </si>
  <si>
    <t>2623-008</t>
  </si>
  <si>
    <t>2623-011</t>
  </si>
  <si>
    <t>2623-012</t>
  </si>
  <si>
    <t>2623-013</t>
  </si>
  <si>
    <t>2623-014</t>
  </si>
  <si>
    <t>2623-015</t>
  </si>
  <si>
    <t>3004-009</t>
  </si>
  <si>
    <t>3004-010</t>
  </si>
  <si>
    <t>3004-011</t>
  </si>
  <si>
    <t>3091-006</t>
  </si>
  <si>
    <t>3193-089</t>
  </si>
  <si>
    <t>3193-090</t>
  </si>
  <si>
    <t>3901-032</t>
  </si>
  <si>
    <t>3901-033</t>
  </si>
  <si>
    <t>3901-034</t>
  </si>
  <si>
    <t>3901-037</t>
  </si>
  <si>
    <t>3901-038</t>
  </si>
  <si>
    <t>3901-039</t>
  </si>
  <si>
    <t>5001-011</t>
  </si>
  <si>
    <t>5001-012</t>
  </si>
  <si>
    <t>5011-004</t>
  </si>
  <si>
    <t>5018-003</t>
  </si>
  <si>
    <t>5022-026</t>
  </si>
  <si>
    <t>5022-027</t>
  </si>
  <si>
    <t>5202-003</t>
  </si>
  <si>
    <t>5207-003</t>
  </si>
  <si>
    <t>5222-009</t>
  </si>
  <si>
    <t>7003</t>
  </si>
  <si>
    <t>7003-002</t>
  </si>
  <si>
    <t>7003-003</t>
  </si>
  <si>
    <t>Fee</t>
  </si>
  <si>
    <t>PRE -3</t>
  </si>
  <si>
    <t>Pago Carolina Rivera</t>
  </si>
  <si>
    <t>1287</t>
  </si>
  <si>
    <t>1287-002</t>
  </si>
  <si>
    <t>1287-004</t>
  </si>
  <si>
    <t>1287-005</t>
  </si>
  <si>
    <t>1287-006</t>
  </si>
  <si>
    <t>1287-007</t>
  </si>
  <si>
    <t>1387</t>
  </si>
  <si>
    <t>1387-002</t>
  </si>
  <si>
    <t>1387-003</t>
  </si>
  <si>
    <t>1387-004</t>
  </si>
  <si>
    <t>1387-005</t>
  </si>
  <si>
    <t>2003-007</t>
  </si>
  <si>
    <t>2003-008</t>
  </si>
  <si>
    <t>2003-009</t>
  </si>
  <si>
    <t>2285</t>
  </si>
  <si>
    <t>2285-002</t>
  </si>
  <si>
    <t>2405</t>
  </si>
  <si>
    <t>2405-002</t>
  </si>
  <si>
    <t>2405-003</t>
  </si>
  <si>
    <t>2405-004</t>
  </si>
  <si>
    <t>2405-007</t>
  </si>
  <si>
    <t>2405-008</t>
  </si>
  <si>
    <t>2405-009</t>
  </si>
  <si>
    <t>2405-012</t>
  </si>
  <si>
    <t>2405-013</t>
  </si>
  <si>
    <t>2405-014</t>
  </si>
  <si>
    <t>2405-015</t>
  </si>
  <si>
    <t>2705</t>
  </si>
  <si>
    <t>2705-002</t>
  </si>
  <si>
    <t>2705-003</t>
  </si>
  <si>
    <t>2705-004</t>
  </si>
  <si>
    <t>2709</t>
  </si>
  <si>
    <t>2709-002</t>
  </si>
  <si>
    <t>3102-015</t>
  </si>
  <si>
    <t>3102-016</t>
  </si>
  <si>
    <t>3104-013</t>
  </si>
  <si>
    <t>3104-014</t>
  </si>
  <si>
    <t>3145</t>
  </si>
  <si>
    <t>3145-002</t>
  </si>
  <si>
    <t>3145-003</t>
  </si>
  <si>
    <t>3145-004</t>
  </si>
  <si>
    <t>3145-005</t>
  </si>
  <si>
    <t>3145-008</t>
  </si>
  <si>
    <t>3145-009</t>
  </si>
  <si>
    <t>3145-010</t>
  </si>
  <si>
    <t>3145-011</t>
  </si>
  <si>
    <t>3145-014</t>
  </si>
  <si>
    <t>3145-015</t>
  </si>
  <si>
    <t>3145-016</t>
  </si>
  <si>
    <t>3145-019</t>
  </si>
  <si>
    <t>3145-020</t>
  </si>
  <si>
    <t>3145-021</t>
  </si>
  <si>
    <t>3145-024</t>
  </si>
  <si>
    <t>3145-025</t>
  </si>
  <si>
    <t>3145-026</t>
  </si>
  <si>
    <t>3145-029</t>
  </si>
  <si>
    <t>3145-030</t>
  </si>
  <si>
    <t>3145-031</t>
  </si>
  <si>
    <t>3145-034</t>
  </si>
  <si>
    <t>3145-035</t>
  </si>
  <si>
    <t>3305</t>
  </si>
  <si>
    <t>3305-002</t>
  </si>
  <si>
    <t>3305-003</t>
  </si>
  <si>
    <t>3305-004</t>
  </si>
  <si>
    <t>3305-005</t>
  </si>
  <si>
    <t>3305-006</t>
  </si>
  <si>
    <t>3305-007</t>
  </si>
  <si>
    <t>3305-010</t>
  </si>
  <si>
    <t>LOCACIONES</t>
  </si>
  <si>
    <t>3416</t>
  </si>
  <si>
    <t>3416-002</t>
  </si>
  <si>
    <t>3416-003</t>
  </si>
  <si>
    <t>3416-004</t>
  </si>
  <si>
    <t>3416-005</t>
  </si>
  <si>
    <t>3416-008</t>
  </si>
  <si>
    <t>3416-009</t>
  </si>
  <si>
    <t>3416-010</t>
  </si>
  <si>
    <t>3442</t>
  </si>
  <si>
    <t>3442-002</t>
  </si>
  <si>
    <t>3442-004</t>
  </si>
  <si>
    <t>3442-005</t>
  </si>
  <si>
    <t>3442-006</t>
  </si>
  <si>
    <t>3442-007</t>
  </si>
  <si>
    <t>3442-010</t>
  </si>
  <si>
    <t>3442-011</t>
  </si>
  <si>
    <t>3442-014</t>
  </si>
  <si>
    <t>3442-015</t>
  </si>
  <si>
    <t>3442-016</t>
  </si>
  <si>
    <t>3442-019</t>
  </si>
  <si>
    <t>3442-020</t>
  </si>
  <si>
    <t>3583</t>
  </si>
  <si>
    <t>3583-002</t>
  </si>
  <si>
    <t>4180</t>
  </si>
  <si>
    <t>4180-002</t>
  </si>
  <si>
    <t>5113</t>
  </si>
  <si>
    <t>5113-002</t>
  </si>
  <si>
    <t>5209</t>
  </si>
  <si>
    <t>5209-002</t>
  </si>
  <si>
    <t>7007-005</t>
  </si>
  <si>
    <t>01700</t>
  </si>
  <si>
    <t>16030</t>
  </si>
  <si>
    <t>70380</t>
  </si>
  <si>
    <t>11400</t>
  </si>
  <si>
    <t>03010</t>
  </si>
  <si>
    <t>63157</t>
  </si>
  <si>
    <t>29020</t>
  </si>
  <si>
    <t>04480</t>
  </si>
  <si>
    <t>03910</t>
  </si>
  <si>
    <t>01020</t>
  </si>
  <si>
    <t>04318</t>
  </si>
  <si>
    <t>0044  - Scotiabank - Inverlat</t>
  </si>
  <si>
    <t>Fringes</t>
  </si>
  <si>
    <t>Valida</t>
  </si>
  <si>
    <t>PC012</t>
  </si>
  <si>
    <t>NUEVA WALMART DE MEXICO</t>
  </si>
  <si>
    <t>PC013</t>
  </si>
  <si>
    <t>PC014</t>
  </si>
  <si>
    <t>P027</t>
  </si>
  <si>
    <t>P028</t>
  </si>
  <si>
    <t>P029</t>
  </si>
  <si>
    <t>Personas Fisicas con Actividades Empresariales</t>
  </si>
  <si>
    <t>P030</t>
  </si>
  <si>
    <t>PRE -4</t>
  </si>
  <si>
    <t>P031</t>
  </si>
  <si>
    <t>NA</t>
  </si>
  <si>
    <t>BANBAJIO</t>
  </si>
  <si>
    <t>PC016</t>
  </si>
  <si>
    <t>PETTY CASH - REEMBOLSO</t>
  </si>
  <si>
    <t>P032</t>
  </si>
  <si>
    <t>PC017</t>
  </si>
  <si>
    <t>PETTY CASH - COMPROBACIÓN</t>
  </si>
  <si>
    <t>PC018</t>
  </si>
  <si>
    <t>PC019</t>
  </si>
  <si>
    <t>HOME DEPOT MEXICO</t>
  </si>
  <si>
    <t>ITX RETAIL MEXICO</t>
  </si>
  <si>
    <t>EL PALACIO DE HIERRO</t>
  </si>
  <si>
    <t>ZARA MEXICO CONTRATO 1</t>
  </si>
  <si>
    <t>P033</t>
  </si>
  <si>
    <t>BANCO MIFEL</t>
  </si>
  <si>
    <t>PC020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</si>
  <si>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</si>
  <si>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</si>
  <si>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</si>
  <si>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</si>
  <si>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</si>
  <si>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</si>
  <si>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</si>
  <si>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</si>
  <si>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</si>
  <si>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</si>
  <si>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</si>
  <si>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</si>
  <si>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</si>
  <si>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</si>
  <si>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</si>
  <si>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</si>
  <si>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</si>
  <si>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</si>
  <si>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</si>
  <si>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</si>
  <si>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</si>
  <si>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</si>
  <si>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</si>
  <si>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</si>
  <si>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</si>
  <si>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</si>
  <si>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</si>
  <si>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</si>
  <si>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</si>
  <si>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</si>
  <si>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</si>
  <si>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</si>
  <si>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</si>
  <si>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</si>
  <si>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</si>
  <si>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</si>
  <si>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</si>
  <si>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</si>
  <si>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</si>
  <si>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</si>
  <si>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</si>
  <si>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</si>
  <si>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</si>
  <si>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</si>
  <si>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</si>
  <si>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</si>
  <si>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PC021</t>
  </si>
  <si>
    <t>PC022</t>
  </si>
  <si>
    <t>06101</t>
  </si>
  <si>
    <t>Banamex</t>
  </si>
  <si>
    <t>PC023</t>
  </si>
  <si>
    <t>P034</t>
  </si>
  <si>
    <t>P035</t>
  </si>
  <si>
    <t>BANCO AZTECA</t>
  </si>
  <si>
    <t>P036</t>
  </si>
  <si>
    <t>P037</t>
  </si>
  <si>
    <t>P038</t>
  </si>
  <si>
    <t>45850</t>
  </si>
  <si>
    <t>44520</t>
  </si>
  <si>
    <t>11560</t>
  </si>
  <si>
    <t>45118</t>
  </si>
  <si>
    <t>44130</t>
  </si>
  <si>
    <t>11000</t>
  </si>
  <si>
    <t>44700</t>
  </si>
  <si>
    <t>45659</t>
  </si>
  <si>
    <t>44360</t>
  </si>
  <si>
    <t>44648</t>
  </si>
  <si>
    <t>44620</t>
  </si>
  <si>
    <t>45678</t>
  </si>
  <si>
    <t>45129</t>
  </si>
  <si>
    <t>45070</t>
  </si>
  <si>
    <t>44510</t>
  </si>
  <si>
    <t>45030</t>
  </si>
  <si>
    <t>45017</t>
  </si>
  <si>
    <t>44150</t>
  </si>
  <si>
    <t>06090</t>
  </si>
  <si>
    <t>06060</t>
  </si>
  <si>
    <t>06010</t>
  </si>
  <si>
    <t>03020</t>
  </si>
  <si>
    <t>06820</t>
  </si>
  <si>
    <t>15980</t>
  </si>
  <si>
    <t>02300</t>
  </si>
  <si>
    <t>05109</t>
  </si>
  <si>
    <t>06700</t>
  </si>
  <si>
    <t>07510</t>
  </si>
  <si>
    <t>06720</t>
  </si>
  <si>
    <t>14300</t>
  </si>
  <si>
    <t>45059</t>
  </si>
  <si>
    <t>14479</t>
  </si>
  <si>
    <t>45077</t>
  </si>
  <si>
    <t>52148</t>
  </si>
  <si>
    <t>06400</t>
  </si>
  <si>
    <t>76148</t>
  </si>
  <si>
    <t>45559</t>
  </si>
  <si>
    <t>10810</t>
  </si>
  <si>
    <t>06890</t>
  </si>
  <si>
    <t>0060  - Bansi</t>
  </si>
  <si>
    <t>0072  - Banorte</t>
  </si>
  <si>
    <t>F9</t>
  </si>
  <si>
    <t>F9.1</t>
  </si>
  <si>
    <t>N161</t>
  </si>
  <si>
    <t>NOMINA VIATICOS</t>
  </si>
  <si>
    <t>N162</t>
  </si>
  <si>
    <t>N163</t>
  </si>
  <si>
    <t>N164</t>
  </si>
  <si>
    <t>N165</t>
  </si>
  <si>
    <t>N166</t>
  </si>
  <si>
    <t>P044</t>
  </si>
  <si>
    <t>BBVA BANCOMER</t>
  </si>
  <si>
    <t>P045</t>
  </si>
  <si>
    <t>SCOTIABANK</t>
  </si>
  <si>
    <t>P046</t>
  </si>
  <si>
    <t>P047</t>
  </si>
  <si>
    <t>P048</t>
  </si>
  <si>
    <t>CITIBANAMEX</t>
  </si>
  <si>
    <t>P049</t>
  </si>
  <si>
    <t>P050</t>
  </si>
  <si>
    <t>P051</t>
  </si>
  <si>
    <t>P052</t>
  </si>
  <si>
    <t>06800</t>
  </si>
  <si>
    <t>MIFEL</t>
  </si>
  <si>
    <t>F10</t>
  </si>
  <si>
    <t>F10.1</t>
  </si>
  <si>
    <t>T5</t>
  </si>
  <si>
    <t>T5.1</t>
  </si>
  <si>
    <t>PRE -2</t>
  </si>
  <si>
    <t>P039</t>
  </si>
  <si>
    <t>PROVEDOR</t>
  </si>
  <si>
    <t>P041</t>
  </si>
  <si>
    <t>P042</t>
  </si>
  <si>
    <t>P043</t>
  </si>
  <si>
    <t>P040</t>
  </si>
  <si>
    <t>PC024</t>
  </si>
  <si>
    <t>PC025</t>
  </si>
  <si>
    <t>PC027</t>
  </si>
  <si>
    <t>624</t>
  </si>
  <si>
    <t>45140</t>
  </si>
  <si>
    <t>77503</t>
  </si>
  <si>
    <t>Personas Morales con Fines no Lucrativos</t>
  </si>
  <si>
    <t>PC028</t>
  </si>
  <si>
    <t>06500</t>
  </si>
  <si>
    <t>15970</t>
  </si>
  <si>
    <t>09480</t>
  </si>
  <si>
    <t>08400</t>
  </si>
  <si>
    <t>15850</t>
  </si>
  <si>
    <t>PC029</t>
  </si>
  <si>
    <t>03200</t>
  </si>
  <si>
    <t>03012</t>
  </si>
  <si>
    <t>07700</t>
  </si>
  <si>
    <t>PC030</t>
  </si>
  <si>
    <t>15620</t>
  </si>
  <si>
    <t>PC031</t>
  </si>
  <si>
    <t>PC032</t>
  </si>
  <si>
    <t>PC033</t>
  </si>
  <si>
    <t>PC034</t>
  </si>
  <si>
    <t>53390</t>
  </si>
  <si>
    <t>PC035</t>
  </si>
  <si>
    <t>PC036</t>
  </si>
  <si>
    <t>54769</t>
  </si>
  <si>
    <t>PC037</t>
  </si>
  <si>
    <t>PC038</t>
  </si>
  <si>
    <t>PC039</t>
  </si>
  <si>
    <t>PC040</t>
  </si>
  <si>
    <t>05320</t>
  </si>
  <si>
    <t>06080</t>
  </si>
  <si>
    <t>PC041</t>
  </si>
  <si>
    <t>PC042</t>
  </si>
  <si>
    <t>11550</t>
  </si>
  <si>
    <t>PC043</t>
  </si>
  <si>
    <t>06050</t>
  </si>
  <si>
    <t>PC044</t>
  </si>
  <si>
    <t>PC045</t>
  </si>
  <si>
    <t>14735</t>
  </si>
  <si>
    <t>PC046</t>
  </si>
  <si>
    <t>11590</t>
  </si>
  <si>
    <t>11580</t>
  </si>
  <si>
    <t>55763</t>
  </si>
  <si>
    <t>54940</t>
  </si>
  <si>
    <t>PC047</t>
  </si>
  <si>
    <t>PC048</t>
  </si>
  <si>
    <t>45400</t>
  </si>
  <si>
    <t>PC049</t>
  </si>
  <si>
    <t>05348</t>
  </si>
  <si>
    <t>09837</t>
  </si>
  <si>
    <t>PC050</t>
  </si>
  <si>
    <t>VS LOCKED BUDGET</t>
  </si>
  <si>
    <t>MOST BENEFITED ACCOUNTS</t>
  </si>
  <si>
    <t>MOST IMPACTED ACCOUNTS</t>
  </si>
  <si>
    <t>NAME</t>
  </si>
  <si>
    <t>AMOUNT</t>
  </si>
  <si>
    <t>Sub cuenta</t>
  </si>
  <si>
    <t>1101-030</t>
  </si>
  <si>
    <t>1101-032</t>
  </si>
  <si>
    <t>1101-033</t>
  </si>
  <si>
    <t>1101-036</t>
  </si>
  <si>
    <t>1101-037</t>
  </si>
  <si>
    <t>1101-040</t>
  </si>
  <si>
    <t>1101-041</t>
  </si>
  <si>
    <t>1101-044</t>
  </si>
  <si>
    <t>1101-045</t>
  </si>
  <si>
    <t>1101-046</t>
  </si>
  <si>
    <t>1104-003</t>
  </si>
  <si>
    <t>1107-012</t>
  </si>
  <si>
    <t>1107-014</t>
  </si>
  <si>
    <t>1107-015</t>
  </si>
  <si>
    <t>1107-018</t>
  </si>
  <si>
    <t>1107-019</t>
  </si>
  <si>
    <t>1122-008</t>
  </si>
  <si>
    <t>1122-010</t>
  </si>
  <si>
    <t>1122-011</t>
  </si>
  <si>
    <t>1193-006</t>
  </si>
  <si>
    <t>1193-007</t>
  </si>
  <si>
    <t>1201-008</t>
  </si>
  <si>
    <t>1201-009</t>
  </si>
  <si>
    <t>1202-006</t>
  </si>
  <si>
    <t>1204-006</t>
  </si>
  <si>
    <t>1222-009</t>
  </si>
  <si>
    <t>1287-010</t>
  </si>
  <si>
    <t>1287-011</t>
  </si>
  <si>
    <t>1287-012</t>
  </si>
  <si>
    <t>1287-013</t>
  </si>
  <si>
    <t>1301-026</t>
  </si>
  <si>
    <t>1301-027</t>
  </si>
  <si>
    <t>1301-028</t>
  </si>
  <si>
    <t>1301-029</t>
  </si>
  <si>
    <t>1301-030</t>
  </si>
  <si>
    <t>1301-031</t>
  </si>
  <si>
    <t>1301-034</t>
  </si>
  <si>
    <t>1301-035</t>
  </si>
  <si>
    <t>1301-036</t>
  </si>
  <si>
    <t>1301-037</t>
  </si>
  <si>
    <t>1301-038</t>
  </si>
  <si>
    <t>1301-039</t>
  </si>
  <si>
    <t>1302-007</t>
  </si>
  <si>
    <t>1302-008</t>
  </si>
  <si>
    <t>1320-003</t>
  </si>
  <si>
    <t>1387-008</t>
  </si>
  <si>
    <t>1387-009</t>
  </si>
  <si>
    <t>1387-010</t>
  </si>
  <si>
    <t>1401-045</t>
  </si>
  <si>
    <t>1401-046</t>
  </si>
  <si>
    <t>1401-047</t>
  </si>
  <si>
    <t>1401-050</t>
  </si>
  <si>
    <t>1401-051</t>
  </si>
  <si>
    <t>1401-052</t>
  </si>
  <si>
    <t>1401-053</t>
  </si>
  <si>
    <t>1401-054</t>
  </si>
  <si>
    <t>1401-057</t>
  </si>
  <si>
    <t>1401-058</t>
  </si>
  <si>
    <t>1401-059</t>
  </si>
  <si>
    <t>1401-060</t>
  </si>
  <si>
    <t>1401-061</t>
  </si>
  <si>
    <t>1401-064</t>
  </si>
  <si>
    <t>1401-065</t>
  </si>
  <si>
    <t>1401-066</t>
  </si>
  <si>
    <t>1401-067</t>
  </si>
  <si>
    <t>1401-068</t>
  </si>
  <si>
    <t>1401-071</t>
  </si>
  <si>
    <t>1401-072</t>
  </si>
  <si>
    <t>1401-075</t>
  </si>
  <si>
    <t>1401-076</t>
  </si>
  <si>
    <t>1401-077</t>
  </si>
  <si>
    <t>1401-078</t>
  </si>
  <si>
    <t>1401-079</t>
  </si>
  <si>
    <t>1403-058</t>
  </si>
  <si>
    <t>1403-059</t>
  </si>
  <si>
    <t>1403-060</t>
  </si>
  <si>
    <t>1403-061</t>
  </si>
  <si>
    <t>1403-062</t>
  </si>
  <si>
    <t>1403-065</t>
  </si>
  <si>
    <t>1403-066</t>
  </si>
  <si>
    <t>1403-067</t>
  </si>
  <si>
    <t>1403-068</t>
  </si>
  <si>
    <t>1403-069</t>
  </si>
  <si>
    <t>1403-072</t>
  </si>
  <si>
    <t>1403-073</t>
  </si>
  <si>
    <t>1403-074</t>
  </si>
  <si>
    <t>1403-075</t>
  </si>
  <si>
    <t>1403-076</t>
  </si>
  <si>
    <t>1403-079</t>
  </si>
  <si>
    <t>1403-080</t>
  </si>
  <si>
    <t>1403-081</t>
  </si>
  <si>
    <t>1403-082</t>
  </si>
  <si>
    <t>1403-083</t>
  </si>
  <si>
    <t>1403-086</t>
  </si>
  <si>
    <t>1403-087</t>
  </si>
  <si>
    <t>1403-088</t>
  </si>
  <si>
    <t>1403-089</t>
  </si>
  <si>
    <t>1403-090</t>
  </si>
  <si>
    <t>1406</t>
  </si>
  <si>
    <t>1406-002</t>
  </si>
  <si>
    <t>1406-003</t>
  </si>
  <si>
    <t>1406-004</t>
  </si>
  <si>
    <t>1406-005</t>
  </si>
  <si>
    <t>1406-006</t>
  </si>
  <si>
    <t>1406-009</t>
  </si>
  <si>
    <t>1406-010</t>
  </si>
  <si>
    <t>1406-011</t>
  </si>
  <si>
    <t>1406-012</t>
  </si>
  <si>
    <t>1406-013</t>
  </si>
  <si>
    <t>1410-019</t>
  </si>
  <si>
    <t>1410-020</t>
  </si>
  <si>
    <t>1410-021</t>
  </si>
  <si>
    <t>1410-022</t>
  </si>
  <si>
    <t>1410-023</t>
  </si>
  <si>
    <t>1410-024</t>
  </si>
  <si>
    <t>1410-025</t>
  </si>
  <si>
    <t>1411-011</t>
  </si>
  <si>
    <t>1411-012</t>
  </si>
  <si>
    <t>1411-013</t>
  </si>
  <si>
    <t>1411-014</t>
  </si>
  <si>
    <t>1411-015</t>
  </si>
  <si>
    <t>1411-018</t>
  </si>
  <si>
    <t>1411-019</t>
  </si>
  <si>
    <t>1411-020</t>
  </si>
  <si>
    <t>1411-021</t>
  </si>
  <si>
    <t>1411-022</t>
  </si>
  <si>
    <t>1411-023</t>
  </si>
  <si>
    <t>1411-024</t>
  </si>
  <si>
    <t>1411-025</t>
  </si>
  <si>
    <t>1411-026</t>
  </si>
  <si>
    <t>1411-027</t>
  </si>
  <si>
    <t>1411-028</t>
  </si>
  <si>
    <t>1411-031</t>
  </si>
  <si>
    <t>1411-032</t>
  </si>
  <si>
    <t>1411-033</t>
  </si>
  <si>
    <t>1411-034</t>
  </si>
  <si>
    <t>1411-035</t>
  </si>
  <si>
    <t>1411-036</t>
  </si>
  <si>
    <t>1411-037</t>
  </si>
  <si>
    <t>1411-038</t>
  </si>
  <si>
    <t>1411-039</t>
  </si>
  <si>
    <t>1411-040</t>
  </si>
  <si>
    <t>1411-041</t>
  </si>
  <si>
    <t>1411-044</t>
  </si>
  <si>
    <t>1411-045</t>
  </si>
  <si>
    <t>1411-046</t>
  </si>
  <si>
    <t>1411-047</t>
  </si>
  <si>
    <t>1411-048</t>
  </si>
  <si>
    <t>1411-051</t>
  </si>
  <si>
    <t>1411-052</t>
  </si>
  <si>
    <t>1411-053</t>
  </si>
  <si>
    <t>1411-054</t>
  </si>
  <si>
    <t>1411-055</t>
  </si>
  <si>
    <t>1411-056</t>
  </si>
  <si>
    <t>1411-057</t>
  </si>
  <si>
    <t>1411-058</t>
  </si>
  <si>
    <t>1411-059</t>
  </si>
  <si>
    <t>1411-060</t>
  </si>
  <si>
    <t>1411-061</t>
  </si>
  <si>
    <t>1411-064</t>
  </si>
  <si>
    <t>1411-065</t>
  </si>
  <si>
    <t>1411-066</t>
  </si>
  <si>
    <t>1411-067</t>
  </si>
  <si>
    <t>1411-068</t>
  </si>
  <si>
    <t>1411-069</t>
  </si>
  <si>
    <t>1411-070</t>
  </si>
  <si>
    <t>1411-071</t>
  </si>
  <si>
    <t>1411-072</t>
  </si>
  <si>
    <t>1411-073</t>
  </si>
  <si>
    <t>1411-074</t>
  </si>
  <si>
    <t>1411-077</t>
  </si>
  <si>
    <t>1411-078</t>
  </si>
  <si>
    <t>1411-079</t>
  </si>
  <si>
    <t>1411-080</t>
  </si>
  <si>
    <t>1411-081</t>
  </si>
  <si>
    <t>1412</t>
  </si>
  <si>
    <t>1412-002</t>
  </si>
  <si>
    <t>1412-003</t>
  </si>
  <si>
    <t>1412-006</t>
  </si>
  <si>
    <t>1412-007</t>
  </si>
  <si>
    <t>1412-010</t>
  </si>
  <si>
    <t>1412-011</t>
  </si>
  <si>
    <t>1412-014</t>
  </si>
  <si>
    <t>1412-015</t>
  </si>
  <si>
    <t>1412-018</t>
  </si>
  <si>
    <t>1412-019</t>
  </si>
  <si>
    <t>1412-022</t>
  </si>
  <si>
    <t>1412-023</t>
  </si>
  <si>
    <t>1412-026</t>
  </si>
  <si>
    <t>1412-027</t>
  </si>
  <si>
    <t>1412-030</t>
  </si>
  <si>
    <t>1412-031</t>
  </si>
  <si>
    <t>1413-012</t>
  </si>
  <si>
    <t>1413-015</t>
  </si>
  <si>
    <t>1413-016</t>
  </si>
  <si>
    <t>1413-019</t>
  </si>
  <si>
    <t>1413-020</t>
  </si>
  <si>
    <t>1413-023</t>
  </si>
  <si>
    <t>1413-024</t>
  </si>
  <si>
    <t>1413-027</t>
  </si>
  <si>
    <t>1413-028</t>
  </si>
  <si>
    <t>1413-031</t>
  </si>
  <si>
    <t>1413-032</t>
  </si>
  <si>
    <t>1420-003</t>
  </si>
  <si>
    <t>1426-007</t>
  </si>
  <si>
    <t>1426-008</t>
  </si>
  <si>
    <t>1426-009</t>
  </si>
  <si>
    <t>1426-010</t>
  </si>
  <si>
    <t>1426-013</t>
  </si>
  <si>
    <t>1426-014</t>
  </si>
  <si>
    <t>1480</t>
  </si>
  <si>
    <t>1480-002</t>
  </si>
  <si>
    <t>1480-003</t>
  </si>
  <si>
    <t>1480-006</t>
  </si>
  <si>
    <t>1480-007</t>
  </si>
  <si>
    <t>1480-010</t>
  </si>
  <si>
    <t>1480-011</t>
  </si>
  <si>
    <t>1487-003</t>
  </si>
  <si>
    <t>1621-012</t>
  </si>
  <si>
    <t>1621-013</t>
  </si>
  <si>
    <t>1630-014</t>
  </si>
  <si>
    <t>1630-015</t>
  </si>
  <si>
    <t>1630-016</t>
  </si>
  <si>
    <t>1630-019</t>
  </si>
  <si>
    <t>1630-020</t>
  </si>
  <si>
    <t>1630-021</t>
  </si>
  <si>
    <t>1630-024</t>
  </si>
  <si>
    <t>1630-025</t>
  </si>
  <si>
    <t>1630-026</t>
  </si>
  <si>
    <t>1631-012</t>
  </si>
  <si>
    <t>1631-013</t>
  </si>
  <si>
    <t>1631-016</t>
  </si>
  <si>
    <t>1631-017</t>
  </si>
  <si>
    <t>1640-008</t>
  </si>
  <si>
    <t>1640-009</t>
  </si>
  <si>
    <t>1641-011</t>
  </si>
  <si>
    <t>1641-012</t>
  </si>
  <si>
    <t>1641-015</t>
  </si>
  <si>
    <t>1641-016</t>
  </si>
  <si>
    <t>1641-019</t>
  </si>
  <si>
    <t>1641-020</t>
  </si>
  <si>
    <t>1642-011</t>
  </si>
  <si>
    <t>1642-012</t>
  </si>
  <si>
    <t>1642-013</t>
  </si>
  <si>
    <t>1642-016</t>
  </si>
  <si>
    <t>1642-017</t>
  </si>
  <si>
    <t>1642-018</t>
  </si>
  <si>
    <t>1642-019</t>
  </si>
  <si>
    <t>1642-020</t>
  </si>
  <si>
    <t>1642-023</t>
  </si>
  <si>
    <t>1642-024</t>
  </si>
  <si>
    <t>1642-025</t>
  </si>
  <si>
    <t>1642-026</t>
  </si>
  <si>
    <t>1643-003</t>
  </si>
  <si>
    <t>2001-010</t>
  </si>
  <si>
    <t>2001-011</t>
  </si>
  <si>
    <t>2001-012</t>
  </si>
  <si>
    <t>2003-012</t>
  </si>
  <si>
    <t>2003-013</t>
  </si>
  <si>
    <t>2003-014</t>
  </si>
  <si>
    <t>2004-005</t>
  </si>
  <si>
    <t>2005-014</t>
  </si>
  <si>
    <t>2005-015</t>
  </si>
  <si>
    <t>2005-018</t>
  </si>
  <si>
    <t>2005-019</t>
  </si>
  <si>
    <t>2005-020</t>
  </si>
  <si>
    <t>2006-007</t>
  </si>
  <si>
    <t>2006-008</t>
  </si>
  <si>
    <t>2006-009</t>
  </si>
  <si>
    <t>2009-012</t>
  </si>
  <si>
    <t>2009-013</t>
  </si>
  <si>
    <t>2009-014</t>
  </si>
  <si>
    <t>2009-015</t>
  </si>
  <si>
    <t>2011</t>
  </si>
  <si>
    <t>2011-002</t>
  </si>
  <si>
    <t>2011-003</t>
  </si>
  <si>
    <t>2011-004</t>
  </si>
  <si>
    <t>2011-005</t>
  </si>
  <si>
    <t>2011-006</t>
  </si>
  <si>
    <t>2011-007</t>
  </si>
  <si>
    <t>2011-010</t>
  </si>
  <si>
    <t>2011-011</t>
  </si>
  <si>
    <t>2011-012</t>
  </si>
  <si>
    <t>2011-013</t>
  </si>
  <si>
    <t>2011-014</t>
  </si>
  <si>
    <t>2011-015</t>
  </si>
  <si>
    <t>2011-018</t>
  </si>
  <si>
    <t>2011-019</t>
  </si>
  <si>
    <t>2011-020</t>
  </si>
  <si>
    <t>2011-021</t>
  </si>
  <si>
    <t>2011-022</t>
  </si>
  <si>
    <t>2011-023</t>
  </si>
  <si>
    <t>2013-006</t>
  </si>
  <si>
    <t>2014-014</t>
  </si>
  <si>
    <t>2014-015</t>
  </si>
  <si>
    <t>2014-016</t>
  </si>
  <si>
    <t>2017</t>
  </si>
  <si>
    <t>2017-002</t>
  </si>
  <si>
    <t>2017-003</t>
  </si>
  <si>
    <t>2017-004</t>
  </si>
  <si>
    <t>2017-005</t>
  </si>
  <si>
    <t>2017-008</t>
  </si>
  <si>
    <t>2017-009</t>
  </si>
  <si>
    <t>2017-010</t>
  </si>
  <si>
    <t>2017-011</t>
  </si>
  <si>
    <t>2019-009</t>
  </si>
  <si>
    <t>2019-010</t>
  </si>
  <si>
    <t>2019-011</t>
  </si>
  <si>
    <t>2020-039</t>
  </si>
  <si>
    <t>2020-042</t>
  </si>
  <si>
    <t>2020-043</t>
  </si>
  <si>
    <t>2020-044</t>
  </si>
  <si>
    <t>2020-045</t>
  </si>
  <si>
    <t>2030-009</t>
  </si>
  <si>
    <t>2030-010</t>
  </si>
  <si>
    <t>2030-011</t>
  </si>
  <si>
    <t>2042</t>
  </si>
  <si>
    <t>2042-002</t>
  </si>
  <si>
    <t>2042-003</t>
  </si>
  <si>
    <t>2045-005</t>
  </si>
  <si>
    <t>2045-008</t>
  </si>
  <si>
    <t>2045-009</t>
  </si>
  <si>
    <t>2045-010</t>
  </si>
  <si>
    <t>2080</t>
  </si>
  <si>
    <t>2080-002</t>
  </si>
  <si>
    <t>2080-003</t>
  </si>
  <si>
    <t>2110-008</t>
  </si>
  <si>
    <t>2110-011</t>
  </si>
  <si>
    <t>2110-012</t>
  </si>
  <si>
    <t>2201-006</t>
  </si>
  <si>
    <t>2202-005</t>
  </si>
  <si>
    <t>2203-005</t>
  </si>
  <si>
    <t>2206-014</t>
  </si>
  <si>
    <t>2206-015</t>
  </si>
  <si>
    <t>2206-016</t>
  </si>
  <si>
    <t>2206-017</t>
  </si>
  <si>
    <t>2213-004</t>
  </si>
  <si>
    <t>2285-003</t>
  </si>
  <si>
    <t>2311</t>
  </si>
  <si>
    <t>2311-002</t>
  </si>
  <si>
    <t>2311-003</t>
  </si>
  <si>
    <t>2311-004</t>
  </si>
  <si>
    <t>2311-005</t>
  </si>
  <si>
    <t>2385-003</t>
  </si>
  <si>
    <t>2390-005</t>
  </si>
  <si>
    <t>2394</t>
  </si>
  <si>
    <t>2394-002</t>
  </si>
  <si>
    <t>2394-004</t>
  </si>
  <si>
    <t>2394-005</t>
  </si>
  <si>
    <t>2394-008</t>
  </si>
  <si>
    <t>2394-009</t>
  </si>
  <si>
    <t>2394-012</t>
  </si>
  <si>
    <t>2394-013</t>
  </si>
  <si>
    <t>2394-016</t>
  </si>
  <si>
    <t>2394-017</t>
  </si>
  <si>
    <t>2394-020</t>
  </si>
  <si>
    <t>2394-021</t>
  </si>
  <si>
    <t>2394-024</t>
  </si>
  <si>
    <t>2394-025</t>
  </si>
  <si>
    <t>2394-028</t>
  </si>
  <si>
    <t>2394-029</t>
  </si>
  <si>
    <t>2394-032</t>
  </si>
  <si>
    <t>2394-033</t>
  </si>
  <si>
    <t>2394-036</t>
  </si>
  <si>
    <t>2394-037</t>
  </si>
  <si>
    <t>2394-040</t>
  </si>
  <si>
    <t>2394-041</t>
  </si>
  <si>
    <t>2394-044</t>
  </si>
  <si>
    <t>2394-045</t>
  </si>
  <si>
    <t>2394-048</t>
  </si>
  <si>
    <t>2394-049</t>
  </si>
  <si>
    <t>2394-052</t>
  </si>
  <si>
    <t>2394-053</t>
  </si>
  <si>
    <t>2394-056</t>
  </si>
  <si>
    <t>2394-057</t>
  </si>
  <si>
    <t>2394-060</t>
  </si>
  <si>
    <t>2394-061</t>
  </si>
  <si>
    <t>2394-064</t>
  </si>
  <si>
    <t>2394-065</t>
  </si>
  <si>
    <t>2394-068</t>
  </si>
  <si>
    <t>2394-069</t>
  </si>
  <si>
    <t>2394-072</t>
  </si>
  <si>
    <t>2394-073</t>
  </si>
  <si>
    <t>2398-003</t>
  </si>
  <si>
    <t>2401-031</t>
  </si>
  <si>
    <t>2401-032</t>
  </si>
  <si>
    <t>2401-033</t>
  </si>
  <si>
    <t>2401-036</t>
  </si>
  <si>
    <t>2401-037</t>
  </si>
  <si>
    <t>2401-038</t>
  </si>
  <si>
    <t>2401-039</t>
  </si>
  <si>
    <t>2401-042</t>
  </si>
  <si>
    <t>2401-043</t>
  </si>
  <si>
    <t>2401-044</t>
  </si>
  <si>
    <t>2401-045</t>
  </si>
  <si>
    <t>2402-005</t>
  </si>
  <si>
    <t>2403-025</t>
  </si>
  <si>
    <t>2403-026</t>
  </si>
  <si>
    <t>2403-027</t>
  </si>
  <si>
    <t>2403-028</t>
  </si>
  <si>
    <t>2403-031</t>
  </si>
  <si>
    <t>2403-032</t>
  </si>
  <si>
    <t>2403-033</t>
  </si>
  <si>
    <t>2403-034</t>
  </si>
  <si>
    <t>2405-018</t>
  </si>
  <si>
    <t>2405-019</t>
  </si>
  <si>
    <t>2405-020</t>
  </si>
  <si>
    <t>2405-021</t>
  </si>
  <si>
    <t>2405-024</t>
  </si>
  <si>
    <t>2405-025</t>
  </si>
  <si>
    <t>2485-004</t>
  </si>
  <si>
    <t>2490-005</t>
  </si>
  <si>
    <t>2494-039</t>
  </si>
  <si>
    <t>2494-042</t>
  </si>
  <si>
    <t>2494-043</t>
  </si>
  <si>
    <t>2494-046</t>
  </si>
  <si>
    <t>2494-047</t>
  </si>
  <si>
    <t>2494-050</t>
  </si>
  <si>
    <t>2494-051</t>
  </si>
  <si>
    <t>2494-054</t>
  </si>
  <si>
    <t>2494-055</t>
  </si>
  <si>
    <t>2494-058</t>
  </si>
  <si>
    <t>2494-059</t>
  </si>
  <si>
    <t>2494-062</t>
  </si>
  <si>
    <t>2494-063</t>
  </si>
  <si>
    <t>2494-066</t>
  </si>
  <si>
    <t>2494-067</t>
  </si>
  <si>
    <t>2494-070</t>
  </si>
  <si>
    <t>2494-071</t>
  </si>
  <si>
    <t>2494-074</t>
  </si>
  <si>
    <t>2494-075</t>
  </si>
  <si>
    <t>2495-011</t>
  </si>
  <si>
    <t>2495-012</t>
  </si>
  <si>
    <t>2495-013</t>
  </si>
  <si>
    <t>2495-016</t>
  </si>
  <si>
    <t>2495-017</t>
  </si>
  <si>
    <t>2495-020</t>
  </si>
  <si>
    <t>2495-021</t>
  </si>
  <si>
    <t>2498-003</t>
  </si>
  <si>
    <t>2501-009</t>
  </si>
  <si>
    <t>2501-010</t>
  </si>
  <si>
    <t>2501-011</t>
  </si>
  <si>
    <t>2502-008</t>
  </si>
  <si>
    <t>2502-011</t>
  </si>
  <si>
    <t>2502-012</t>
  </si>
  <si>
    <t>2508-006</t>
  </si>
  <si>
    <t>2508-007</t>
  </si>
  <si>
    <t>2585-003</t>
  </si>
  <si>
    <t>2594-003</t>
  </si>
  <si>
    <t>2598-003</t>
  </si>
  <si>
    <t>2601</t>
  </si>
  <si>
    <t>2601-002</t>
  </si>
  <si>
    <t>2601-003</t>
  </si>
  <si>
    <t>2601-006</t>
  </si>
  <si>
    <t>2601-007</t>
  </si>
  <si>
    <t>2602-021</t>
  </si>
  <si>
    <t>2602-022</t>
  </si>
  <si>
    <t>2621-004</t>
  </si>
  <si>
    <t>2623-016</t>
  </si>
  <si>
    <t>2623-017</t>
  </si>
  <si>
    <t>2623-018</t>
  </si>
  <si>
    <t>2623-019</t>
  </si>
  <si>
    <t>2693</t>
  </si>
  <si>
    <t>2693-002</t>
  </si>
  <si>
    <t>2693-003</t>
  </si>
  <si>
    <t>2701-005</t>
  </si>
  <si>
    <t>2703-005</t>
  </si>
  <si>
    <t>2705-005</t>
  </si>
  <si>
    <t>2706-009</t>
  </si>
  <si>
    <t>2706-010</t>
  </si>
  <si>
    <t>2706-011</t>
  </si>
  <si>
    <t>2707-018</t>
  </si>
  <si>
    <t>2707-019</t>
  </si>
  <si>
    <t>2707-020</t>
  </si>
  <si>
    <t>2707-021</t>
  </si>
  <si>
    <t>2707-024</t>
  </si>
  <si>
    <t>2707-025</t>
  </si>
  <si>
    <t>2709-003</t>
  </si>
  <si>
    <t>2794-003</t>
  </si>
  <si>
    <t>2795-010</t>
  </si>
  <si>
    <t>2795-011</t>
  </si>
  <si>
    <t>2795-012</t>
  </si>
  <si>
    <t>2795-013</t>
  </si>
  <si>
    <t>2798-003</t>
  </si>
  <si>
    <t>2801-009</t>
  </si>
  <si>
    <t>2801-010</t>
  </si>
  <si>
    <t>2801-011</t>
  </si>
  <si>
    <t>2802-016</t>
  </si>
  <si>
    <t>2802-019</t>
  </si>
  <si>
    <t>2802-020</t>
  </si>
  <si>
    <t>2802-021</t>
  </si>
  <si>
    <t>2802-022</t>
  </si>
  <si>
    <t>2804-005</t>
  </si>
  <si>
    <t>2805-013</t>
  </si>
  <si>
    <t>2805-014</t>
  </si>
  <si>
    <t>2805-015</t>
  </si>
  <si>
    <t>2805-018</t>
  </si>
  <si>
    <t>2805-019</t>
  </si>
  <si>
    <t>2808-003</t>
  </si>
  <si>
    <t>2885-003</t>
  </si>
  <si>
    <t>2902-021</t>
  </si>
  <si>
    <t>2902-022</t>
  </si>
  <si>
    <t>2902-023</t>
  </si>
  <si>
    <t>2902-026</t>
  </si>
  <si>
    <t>2902-027</t>
  </si>
  <si>
    <t>2902-028</t>
  </si>
  <si>
    <t>2902-029</t>
  </si>
  <si>
    <t>2911-003</t>
  </si>
  <si>
    <t>2985-003</t>
  </si>
  <si>
    <t>2998-003</t>
  </si>
  <si>
    <t>3001-009</t>
  </si>
  <si>
    <t>3001-010</t>
  </si>
  <si>
    <t>3001-011</t>
  </si>
  <si>
    <t>3002-026</t>
  </si>
  <si>
    <t>3002-027</t>
  </si>
  <si>
    <t>3002-028</t>
  </si>
  <si>
    <t>3002-029</t>
  </si>
  <si>
    <t>3002-032</t>
  </si>
  <si>
    <t>3002-033</t>
  </si>
  <si>
    <t>3002-034</t>
  </si>
  <si>
    <t>3002-035</t>
  </si>
  <si>
    <t>3003-033</t>
  </si>
  <si>
    <t>3003-034</t>
  </si>
  <si>
    <t>3003-035</t>
  </si>
  <si>
    <t>3003-038</t>
  </si>
  <si>
    <t>3003-039</t>
  </si>
  <si>
    <t>3003-040</t>
  </si>
  <si>
    <t>3003-041</t>
  </si>
  <si>
    <t>3003-044</t>
  </si>
  <si>
    <t>3003-045</t>
  </si>
  <si>
    <t>3003-046</t>
  </si>
  <si>
    <t>3003-047</t>
  </si>
  <si>
    <t>3004-014</t>
  </si>
  <si>
    <t>3004-015</t>
  </si>
  <si>
    <t>3004-016</t>
  </si>
  <si>
    <t>3004-017</t>
  </si>
  <si>
    <t>3085-004</t>
  </si>
  <si>
    <t>3091-007</t>
  </si>
  <si>
    <t>3098-003</t>
  </si>
  <si>
    <t>3101-009</t>
  </si>
  <si>
    <t>3101-010</t>
  </si>
  <si>
    <t>3101-011</t>
  </si>
  <si>
    <t>3102-019</t>
  </si>
  <si>
    <t>3102-020</t>
  </si>
  <si>
    <t>3102-021</t>
  </si>
  <si>
    <t>3102-024</t>
  </si>
  <si>
    <t>3102-025</t>
  </si>
  <si>
    <t>3102-028</t>
  </si>
  <si>
    <t>3102-029</t>
  </si>
  <si>
    <t>3104-017</t>
  </si>
  <si>
    <t>3104-018</t>
  </si>
  <si>
    <t>3104-019</t>
  </si>
  <si>
    <t>3104-022</t>
  </si>
  <si>
    <t>3104-023</t>
  </si>
  <si>
    <t>3104-026</t>
  </si>
  <si>
    <t>3104-027</t>
  </si>
  <si>
    <t>3108</t>
  </si>
  <si>
    <t>3108-002</t>
  </si>
  <si>
    <t>3108-003</t>
  </si>
  <si>
    <t>3108-004</t>
  </si>
  <si>
    <t>3108-007</t>
  </si>
  <si>
    <t>3108-008</t>
  </si>
  <si>
    <t>3110-003</t>
  </si>
  <si>
    <t>3112-006</t>
  </si>
  <si>
    <t>3112-007</t>
  </si>
  <si>
    <t>3145-038</t>
  </si>
  <si>
    <t>3145-039</t>
  </si>
  <si>
    <t>3145-040</t>
  </si>
  <si>
    <t>3145-041</t>
  </si>
  <si>
    <t>3145-044</t>
  </si>
  <si>
    <t>3145-045</t>
  </si>
  <si>
    <t>3145-046</t>
  </si>
  <si>
    <t>3145-047</t>
  </si>
  <si>
    <t>3145-050</t>
  </si>
  <si>
    <t>3145-051</t>
  </si>
  <si>
    <t>3145-052</t>
  </si>
  <si>
    <t>3145-055</t>
  </si>
  <si>
    <t>3145-056</t>
  </si>
  <si>
    <t>3145-059</t>
  </si>
  <si>
    <t>3145-060</t>
  </si>
  <si>
    <t>3145-063</t>
  </si>
  <si>
    <t>3145-064</t>
  </si>
  <si>
    <t>3185-003</t>
  </si>
  <si>
    <t>3192</t>
  </si>
  <si>
    <t>3192-002</t>
  </si>
  <si>
    <t>3192-003</t>
  </si>
  <si>
    <t>3192-004</t>
  </si>
  <si>
    <t>3192-005</t>
  </si>
  <si>
    <t>3192-006</t>
  </si>
  <si>
    <t>3192-007</t>
  </si>
  <si>
    <t>3192-008</t>
  </si>
  <si>
    <t>3192-009</t>
  </si>
  <si>
    <t>3192-010</t>
  </si>
  <si>
    <t>3192-011</t>
  </si>
  <si>
    <t>3192-012</t>
  </si>
  <si>
    <t>3192-013</t>
  </si>
  <si>
    <t>3192-014</t>
  </si>
  <si>
    <t>3192-015</t>
  </si>
  <si>
    <t>3192-018</t>
  </si>
  <si>
    <t>3192-019</t>
  </si>
  <si>
    <t>3193-093</t>
  </si>
  <si>
    <t>3193-094</t>
  </si>
  <si>
    <t>3193-097</t>
  </si>
  <si>
    <t>3193-098</t>
  </si>
  <si>
    <t>3193-099</t>
  </si>
  <si>
    <t>3193-100</t>
  </si>
  <si>
    <t>3193-101</t>
  </si>
  <si>
    <t>3193-102</t>
  </si>
  <si>
    <t>3193-103</t>
  </si>
  <si>
    <t>3193-104</t>
  </si>
  <si>
    <t>3193-105</t>
  </si>
  <si>
    <t>3193-106</t>
  </si>
  <si>
    <t>3193-107</t>
  </si>
  <si>
    <t>3193-110</t>
  </si>
  <si>
    <t>3193-111</t>
  </si>
  <si>
    <t>3193-114</t>
  </si>
  <si>
    <t>3193-115</t>
  </si>
  <si>
    <t>3198-003</t>
  </si>
  <si>
    <t>3201-013</t>
  </si>
  <si>
    <t>3201-014</t>
  </si>
  <si>
    <t>3201-015</t>
  </si>
  <si>
    <t>3220-014</t>
  </si>
  <si>
    <t>3220-015</t>
  </si>
  <si>
    <t>3220-018</t>
  </si>
  <si>
    <t>3220-019</t>
  </si>
  <si>
    <t>3220-020</t>
  </si>
  <si>
    <t>3292-006</t>
  </si>
  <si>
    <t>3292-007</t>
  </si>
  <si>
    <t>3294-003</t>
  </si>
  <si>
    <t>3298-003</t>
  </si>
  <si>
    <t>3305-011</t>
  </si>
  <si>
    <t>3401-011</t>
  </si>
  <si>
    <t>3401-012</t>
  </si>
  <si>
    <t>3401-013</t>
  </si>
  <si>
    <t>3401-014</t>
  </si>
  <si>
    <t>3401-015</t>
  </si>
  <si>
    <t>3401-016</t>
  </si>
  <si>
    <t>3401-017</t>
  </si>
  <si>
    <t>3401-020</t>
  </si>
  <si>
    <t>3401-021</t>
  </si>
  <si>
    <t>3401-022</t>
  </si>
  <si>
    <t>3401-023</t>
  </si>
  <si>
    <t>3401-024</t>
  </si>
  <si>
    <t>3401-025</t>
  </si>
  <si>
    <t>3401-026</t>
  </si>
  <si>
    <t>3401-027</t>
  </si>
  <si>
    <t>3401-030</t>
  </si>
  <si>
    <t>3401-031</t>
  </si>
  <si>
    <t>3401-032</t>
  </si>
  <si>
    <t>3401-033</t>
  </si>
  <si>
    <t>3401-034</t>
  </si>
  <si>
    <t>3401-035</t>
  </si>
  <si>
    <t>3401-036</t>
  </si>
  <si>
    <t>3401-037</t>
  </si>
  <si>
    <t>3401-038</t>
  </si>
  <si>
    <t>3401-041</t>
  </si>
  <si>
    <t>3401-042</t>
  </si>
  <si>
    <t>3402-006</t>
  </si>
  <si>
    <t>3403-024</t>
  </si>
  <si>
    <t>3403-025</t>
  </si>
  <si>
    <t>3403-028</t>
  </si>
  <si>
    <t>3403-029</t>
  </si>
  <si>
    <t>3403-032</t>
  </si>
  <si>
    <t>3403-033</t>
  </si>
  <si>
    <t>3403-036</t>
  </si>
  <si>
    <t>3403-037</t>
  </si>
  <si>
    <t>3403-038</t>
  </si>
  <si>
    <t>3407-010</t>
  </si>
  <si>
    <t>3407-011</t>
  </si>
  <si>
    <t>3407-012</t>
  </si>
  <si>
    <t>3407-013</t>
  </si>
  <si>
    <t>3408-003</t>
  </si>
  <si>
    <t>3410-018</t>
  </si>
  <si>
    <t>3410-019</t>
  </si>
  <si>
    <t>3410-020</t>
  </si>
  <si>
    <t>3410-021</t>
  </si>
  <si>
    <t>3410-022</t>
  </si>
  <si>
    <t>3412-074</t>
  </si>
  <si>
    <t>3412-075</t>
  </si>
  <si>
    <t>3412-078</t>
  </si>
  <si>
    <t>3412-079</t>
  </si>
  <si>
    <t>3412-082</t>
  </si>
  <si>
    <t>3412-083</t>
  </si>
  <si>
    <t>3412-086</t>
  </si>
  <si>
    <t>3412-087</t>
  </si>
  <si>
    <t>3412-090</t>
  </si>
  <si>
    <t>3412-091</t>
  </si>
  <si>
    <t>3412-094</t>
  </si>
  <si>
    <t>3412-095</t>
  </si>
  <si>
    <t>3412-098</t>
  </si>
  <si>
    <t>3412-099</t>
  </si>
  <si>
    <t>3412-102</t>
  </si>
  <si>
    <t>3412-103</t>
  </si>
  <si>
    <t>3412-106</t>
  </si>
  <si>
    <t>3412-107</t>
  </si>
  <si>
    <t>3412-110</t>
  </si>
  <si>
    <t>3412-111</t>
  </si>
  <si>
    <t>3412-114</t>
  </si>
  <si>
    <t>3412-115</t>
  </si>
  <si>
    <t>3412-118</t>
  </si>
  <si>
    <t>3412-119</t>
  </si>
  <si>
    <t>3412-122</t>
  </si>
  <si>
    <t>3412-123</t>
  </si>
  <si>
    <t>3412-126</t>
  </si>
  <si>
    <t>3412-127</t>
  </si>
  <si>
    <t>3412-130</t>
  </si>
  <si>
    <t>3412-131</t>
  </si>
  <si>
    <t>3412-132</t>
  </si>
  <si>
    <t>3412-133</t>
  </si>
  <si>
    <t>3412-134</t>
  </si>
  <si>
    <t>3412-137</t>
  </si>
  <si>
    <t>3412-138</t>
  </si>
  <si>
    <t>3412-139</t>
  </si>
  <si>
    <t>3416-011</t>
  </si>
  <si>
    <t>3416-014</t>
  </si>
  <si>
    <t>3416-015</t>
  </si>
  <si>
    <t>3442-023</t>
  </si>
  <si>
    <t>3442-024</t>
  </si>
  <si>
    <t>3442-025</t>
  </si>
  <si>
    <t>3442-028</t>
  </si>
  <si>
    <t>3442-029</t>
  </si>
  <si>
    <t>3442-032</t>
  </si>
  <si>
    <t>3442-033</t>
  </si>
  <si>
    <t>3442-034</t>
  </si>
  <si>
    <t>3442-037</t>
  </si>
  <si>
    <t>3442-038</t>
  </si>
  <si>
    <t>3480</t>
  </si>
  <si>
    <t>3480-002</t>
  </si>
  <si>
    <t>3480-003</t>
  </si>
  <si>
    <t>3480-006</t>
  </si>
  <si>
    <t>3480-007</t>
  </si>
  <si>
    <t>3480-010</t>
  </si>
  <si>
    <t>3480-011</t>
  </si>
  <si>
    <t>3485-003</t>
  </si>
  <si>
    <t>3498-003</t>
  </si>
  <si>
    <t>3583-003</t>
  </si>
  <si>
    <t>3583-004</t>
  </si>
  <si>
    <t>3601-009</t>
  </si>
  <si>
    <t>3601-010</t>
  </si>
  <si>
    <t>3601-011</t>
  </si>
  <si>
    <t>3629</t>
  </si>
  <si>
    <t>3629-002</t>
  </si>
  <si>
    <t>3629-003</t>
  </si>
  <si>
    <t>3629-004</t>
  </si>
  <si>
    <t>3632</t>
  </si>
  <si>
    <t>3632-002</t>
  </si>
  <si>
    <t>3632-003</t>
  </si>
  <si>
    <t>3632-004</t>
  </si>
  <si>
    <t>3632-007</t>
  </si>
  <si>
    <t>3632-008</t>
  </si>
  <si>
    <t>3632-009</t>
  </si>
  <si>
    <t>3632-012</t>
  </si>
  <si>
    <t>3632-013</t>
  </si>
  <si>
    <t>3632-014</t>
  </si>
  <si>
    <t>3632-017</t>
  </si>
  <si>
    <t>3632-018</t>
  </si>
  <si>
    <t>3632-019</t>
  </si>
  <si>
    <t>3633</t>
  </si>
  <si>
    <t>3633-002</t>
  </si>
  <si>
    <t>3633-003</t>
  </si>
  <si>
    <t>3633-006</t>
  </si>
  <si>
    <t>3633-007</t>
  </si>
  <si>
    <t>3683-109</t>
  </si>
  <si>
    <t>3683-112</t>
  </si>
  <si>
    <t>3683-113</t>
  </si>
  <si>
    <t>3683-116</t>
  </si>
  <si>
    <t>3683-117</t>
  </si>
  <si>
    <t>3683-118</t>
  </si>
  <si>
    <t>3683-119</t>
  </si>
  <si>
    <t>3683-122</t>
  </si>
  <si>
    <t>3683-123</t>
  </si>
  <si>
    <t>3683-126</t>
  </si>
  <si>
    <t>3683-127</t>
  </si>
  <si>
    <t>3683-128</t>
  </si>
  <si>
    <t>3683-129</t>
  </si>
  <si>
    <t>3683-132</t>
  </si>
  <si>
    <t>3683-134</t>
  </si>
  <si>
    <t>3683-136</t>
  </si>
  <si>
    <t>3683-137</t>
  </si>
  <si>
    <t>3683-138</t>
  </si>
  <si>
    <t>3683-141</t>
  </si>
  <si>
    <t>3683-142</t>
  </si>
  <si>
    <t>3683-143</t>
  </si>
  <si>
    <t>3683-144</t>
  </si>
  <si>
    <t>3683-147</t>
  </si>
  <si>
    <t>3683-148</t>
  </si>
  <si>
    <t>3683-149</t>
  </si>
  <si>
    <t>3683-150</t>
  </si>
  <si>
    <t>3683-153</t>
  </si>
  <si>
    <t>3683-154</t>
  </si>
  <si>
    <t>3683-157</t>
  </si>
  <si>
    <t>3683-158</t>
  </si>
  <si>
    <t>3683-161</t>
  </si>
  <si>
    <t>3683-162</t>
  </si>
  <si>
    <t>3683-165</t>
  </si>
  <si>
    <t>3683-166</t>
  </si>
  <si>
    <t>3683-169</t>
  </si>
  <si>
    <t>3683-170</t>
  </si>
  <si>
    <t>3683-171</t>
  </si>
  <si>
    <t>3683-172</t>
  </si>
  <si>
    <t>3683-175</t>
  </si>
  <si>
    <t>3683-176</t>
  </si>
  <si>
    <t>3683-179</t>
  </si>
  <si>
    <t>3683-180</t>
  </si>
  <si>
    <t>3683-181</t>
  </si>
  <si>
    <t>3683-182</t>
  </si>
  <si>
    <t>3683-185</t>
  </si>
  <si>
    <t>3683-186</t>
  </si>
  <si>
    <t>3683-187</t>
  </si>
  <si>
    <t>3683-188</t>
  </si>
  <si>
    <t>3683-191</t>
  </si>
  <si>
    <t>3683-192</t>
  </si>
  <si>
    <t>3683-193</t>
  </si>
  <si>
    <t>3683-194</t>
  </si>
  <si>
    <t>3683-197</t>
  </si>
  <si>
    <t>3683-198</t>
  </si>
  <si>
    <t>3683-199</t>
  </si>
  <si>
    <t>3683-200</t>
  </si>
  <si>
    <t>3698-003</t>
  </si>
  <si>
    <t>3716</t>
  </si>
  <si>
    <t>3716-002</t>
  </si>
  <si>
    <t>3716-003</t>
  </si>
  <si>
    <t>3793</t>
  </si>
  <si>
    <t>3793-002</t>
  </si>
  <si>
    <t>3793-003</t>
  </si>
  <si>
    <t>3807-010</t>
  </si>
  <si>
    <t>3807-011</t>
  </si>
  <si>
    <t>3807-012</t>
  </si>
  <si>
    <t>3894-006</t>
  </si>
  <si>
    <t>3894-007</t>
  </si>
  <si>
    <t>3901-042</t>
  </si>
  <si>
    <t>3901-043</t>
  </si>
  <si>
    <t>3901-044</t>
  </si>
  <si>
    <t>3901-047</t>
  </si>
  <si>
    <t>3901-048</t>
  </si>
  <si>
    <t>3901-049</t>
  </si>
  <si>
    <t>3902-030</t>
  </si>
  <si>
    <t>3902-031</t>
  </si>
  <si>
    <t>3902-032</t>
  </si>
  <si>
    <t>3902-033</t>
  </si>
  <si>
    <t>3902-036</t>
  </si>
  <si>
    <t>3902-037</t>
  </si>
  <si>
    <t>3902-038</t>
  </si>
  <si>
    <t>3902-039</t>
  </si>
  <si>
    <t>3902-042</t>
  </si>
  <si>
    <t>3902-043</t>
  </si>
  <si>
    <t>3902-044</t>
  </si>
  <si>
    <t>3902-047</t>
  </si>
  <si>
    <t>3902-048</t>
  </si>
  <si>
    <t>3902-051</t>
  </si>
  <si>
    <t>3902-052</t>
  </si>
  <si>
    <t>3902-055</t>
  </si>
  <si>
    <t>3902-056</t>
  </si>
  <si>
    <t>3902-057</t>
  </si>
  <si>
    <t>3902-060</t>
  </si>
  <si>
    <t>3902-061</t>
  </si>
  <si>
    <t>3902-064</t>
  </si>
  <si>
    <t>3902-065</t>
  </si>
  <si>
    <t>3903-034</t>
  </si>
  <si>
    <t>3903-035</t>
  </si>
  <si>
    <t>3903-036</t>
  </si>
  <si>
    <t>3903-039</t>
  </si>
  <si>
    <t>3903-040</t>
  </si>
  <si>
    <t>3903-041</t>
  </si>
  <si>
    <t>3903-042</t>
  </si>
  <si>
    <t>3903-045</t>
  </si>
  <si>
    <t>3903-046</t>
  </si>
  <si>
    <t>3903-047</t>
  </si>
  <si>
    <t>3903-048</t>
  </si>
  <si>
    <t>3903-051</t>
  </si>
  <si>
    <t>3903-052</t>
  </si>
  <si>
    <t>3936</t>
  </si>
  <si>
    <t>3936-002</t>
  </si>
  <si>
    <t>3936-003</t>
  </si>
  <si>
    <t>3936-004</t>
  </si>
  <si>
    <t>3936-007</t>
  </si>
  <si>
    <t>3936-008</t>
  </si>
  <si>
    <t>3936-009</t>
  </si>
  <si>
    <t>3936-012</t>
  </si>
  <si>
    <t>3936-013</t>
  </si>
  <si>
    <t>3936-014</t>
  </si>
  <si>
    <t>3936-017</t>
  </si>
  <si>
    <t>3936-018</t>
  </si>
  <si>
    <t>3936-019</t>
  </si>
  <si>
    <t>4180-003</t>
  </si>
  <si>
    <t>5001-015</t>
  </si>
  <si>
    <t>5001-016</t>
  </si>
  <si>
    <t>5001-019</t>
  </si>
  <si>
    <t>5001-021</t>
  </si>
  <si>
    <t>5001-022</t>
  </si>
  <si>
    <t>5002-007</t>
  </si>
  <si>
    <t>5002-010</t>
  </si>
  <si>
    <t>5002-011</t>
  </si>
  <si>
    <t>5009-005</t>
  </si>
  <si>
    <t>5010-005</t>
  </si>
  <si>
    <t>5011-007</t>
  </si>
  <si>
    <t>5011-009</t>
  </si>
  <si>
    <t>5011-010</t>
  </si>
  <si>
    <t>5018-006</t>
  </si>
  <si>
    <t>5018-007</t>
  </si>
  <si>
    <t>5018-008</t>
  </si>
  <si>
    <t>5022-030</t>
  </si>
  <si>
    <t>5022-031</t>
  </si>
  <si>
    <t>5022-034</t>
  </si>
  <si>
    <t>5022-035</t>
  </si>
  <si>
    <t>5022-038</t>
  </si>
  <si>
    <t>5022-039</t>
  </si>
  <si>
    <t>5022-042</t>
  </si>
  <si>
    <t>5022-043</t>
  </si>
  <si>
    <t>5022-046</t>
  </si>
  <si>
    <t>5022-048</t>
  </si>
  <si>
    <t>5022-049</t>
  </si>
  <si>
    <t>5022-052</t>
  </si>
  <si>
    <t>5022-053</t>
  </si>
  <si>
    <t>5024-003</t>
  </si>
  <si>
    <t>5101-007</t>
  </si>
  <si>
    <t>5101-010</t>
  </si>
  <si>
    <t>5101-011</t>
  </si>
  <si>
    <t>5105-008</t>
  </si>
  <si>
    <t>5105-011</t>
  </si>
  <si>
    <t>5105-012</t>
  </si>
  <si>
    <t>5109-003</t>
  </si>
  <si>
    <t>5110-004</t>
  </si>
  <si>
    <t>5113-003</t>
  </si>
  <si>
    <t>5120-003</t>
  </si>
  <si>
    <t>5197-003</t>
  </si>
  <si>
    <t>5201-020</t>
  </si>
  <si>
    <t>5201-021</t>
  </si>
  <si>
    <t>5201-022</t>
  </si>
  <si>
    <t>5201-025</t>
  </si>
  <si>
    <t>5201-026</t>
  </si>
  <si>
    <t>5201-029</t>
  </si>
  <si>
    <t>5201-030</t>
  </si>
  <si>
    <t>5202-006</t>
  </si>
  <si>
    <t>5202-007</t>
  </si>
  <si>
    <t>5202-008</t>
  </si>
  <si>
    <t>5203-003</t>
  </si>
  <si>
    <t>5207-006</t>
  </si>
  <si>
    <t>5207-007</t>
  </si>
  <si>
    <t>5207-008</t>
  </si>
  <si>
    <t>5209-003</t>
  </si>
  <si>
    <t>5222-012</t>
  </si>
  <si>
    <t>5222-014</t>
  </si>
  <si>
    <t>5222-015</t>
  </si>
  <si>
    <t>5301-003</t>
  </si>
  <si>
    <t>5402-003</t>
  </si>
  <si>
    <t>6001-005</t>
  </si>
  <si>
    <t>6002-004</t>
  </si>
  <si>
    <t>6004-005</t>
  </si>
  <si>
    <t>6101</t>
  </si>
  <si>
    <t>6101-002</t>
  </si>
  <si>
    <t>6101-003</t>
  </si>
  <si>
    <t>6101-006</t>
  </si>
  <si>
    <t>6101-007</t>
  </si>
  <si>
    <t>6101-008</t>
  </si>
  <si>
    <t>6101-009</t>
  </si>
  <si>
    <t>6101-012</t>
  </si>
  <si>
    <t>6101-013</t>
  </si>
  <si>
    <t>6102</t>
  </si>
  <si>
    <t>6102-002</t>
  </si>
  <si>
    <t>6102-003</t>
  </si>
  <si>
    <t>6103</t>
  </si>
  <si>
    <t>6103-002</t>
  </si>
  <si>
    <t>6103-003</t>
  </si>
  <si>
    <t>6137-003</t>
  </si>
  <si>
    <t>6149-003</t>
  </si>
  <si>
    <t>7001</t>
  </si>
  <si>
    <t>7001-002</t>
  </si>
  <si>
    <t>7001-003</t>
  </si>
  <si>
    <t>7001-004</t>
  </si>
  <si>
    <t>7001-005</t>
  </si>
  <si>
    <t>7001-006</t>
  </si>
  <si>
    <t>7001-007</t>
  </si>
  <si>
    <t>7002</t>
  </si>
  <si>
    <t>7002-002</t>
  </si>
  <si>
    <t>7002-003</t>
  </si>
  <si>
    <t>7002-006</t>
  </si>
  <si>
    <t>7002-007</t>
  </si>
  <si>
    <t>7002-008</t>
  </si>
  <si>
    <t>7003-004</t>
  </si>
  <si>
    <t>7007-008</t>
  </si>
  <si>
    <t>7007-009</t>
  </si>
  <si>
    <t>7008-003</t>
  </si>
  <si>
    <t>7038-007</t>
  </si>
  <si>
    <t>7038-008</t>
  </si>
  <si>
    <t>7038-009</t>
  </si>
  <si>
    <t>7050-004</t>
  </si>
  <si>
    <t>7050-005</t>
  </si>
  <si>
    <t>7080</t>
  </si>
  <si>
    <t>7080-002</t>
  </si>
  <si>
    <t>7080-003</t>
  </si>
  <si>
    <t>7094-003</t>
  </si>
  <si>
    <t>7201-006</t>
  </si>
  <si>
    <t>7201-007</t>
  </si>
  <si>
    <t>7216-003</t>
  </si>
  <si>
    <t>7217-005</t>
  </si>
  <si>
    <t>P056</t>
  </si>
  <si>
    <t>45053</t>
  </si>
  <si>
    <t>P057</t>
  </si>
  <si>
    <t>P058</t>
  </si>
  <si>
    <t>13050</t>
  </si>
  <si>
    <t>P059</t>
  </si>
  <si>
    <t>BANCO HSBC</t>
  </si>
  <si>
    <t>P060</t>
  </si>
  <si>
    <t>11520</t>
  </si>
  <si>
    <t>PC051</t>
  </si>
  <si>
    <t>PC052</t>
  </si>
  <si>
    <t>N168</t>
  </si>
  <si>
    <t>N169</t>
  </si>
  <si>
    <t>N170</t>
  </si>
  <si>
    <t>N171</t>
  </si>
  <si>
    <t>N172</t>
  </si>
  <si>
    <t>N173</t>
  </si>
  <si>
    <t>N174</t>
  </si>
  <si>
    <t>N175</t>
  </si>
  <si>
    <t>45402</t>
  </si>
  <si>
    <t>N176</t>
  </si>
  <si>
    <t>45590</t>
  </si>
  <si>
    <t>N177</t>
  </si>
  <si>
    <t>45588</t>
  </si>
  <si>
    <t>N178</t>
  </si>
  <si>
    <t>28979</t>
  </si>
  <si>
    <t>N179</t>
  </si>
  <si>
    <t>02090</t>
  </si>
  <si>
    <t>N180</t>
  </si>
  <si>
    <t>45647</t>
  </si>
  <si>
    <t>N181</t>
  </si>
  <si>
    <t>01080</t>
  </si>
  <si>
    <t>N182</t>
  </si>
  <si>
    <t>09800</t>
  </si>
  <si>
    <t>N183</t>
  </si>
  <si>
    <t>09860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</si>
  <si>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</si>
  <si>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</si>
  <si>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</si>
  <si>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</si>
  <si>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</si>
  <si>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</si>
  <si>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</si>
  <si>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</si>
  <si>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</si>
  <si>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</si>
  <si>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</si>
  <si>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15900</t>
  </si>
  <si>
    <t>N195</t>
  </si>
  <si>
    <t>N196</t>
  </si>
  <si>
    <t>N197</t>
  </si>
  <si>
    <t>10200</t>
  </si>
  <si>
    <t>N198</t>
  </si>
  <si>
    <t>44650</t>
  </si>
  <si>
    <t>N199</t>
  </si>
  <si>
    <t>46600</t>
  </si>
  <si>
    <t>N200</t>
  </si>
  <si>
    <t>09200</t>
  </si>
  <si>
    <t>N201</t>
  </si>
  <si>
    <t>N202</t>
  </si>
  <si>
    <t>N203</t>
  </si>
  <si>
    <t>N204</t>
  </si>
  <si>
    <t>N205</t>
  </si>
  <si>
    <t>N206</t>
  </si>
  <si>
    <t>N207</t>
  </si>
  <si>
    <t>44290</t>
  </si>
  <si>
    <t>N208</t>
  </si>
  <si>
    <t>54740</t>
  </si>
  <si>
    <t>N209</t>
  </si>
  <si>
    <t>N210</t>
  </si>
  <si>
    <t>N211</t>
  </si>
  <si>
    <t>45120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</si>
  <si>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</si>
  <si>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</si>
  <si>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</si>
  <si>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</si>
  <si>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</si>
  <si>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</si>
  <si>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</si>
  <si>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</si>
  <si>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</si>
  <si>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</si>
  <si>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</si>
  <si>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</si>
  <si>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</si>
  <si>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</si>
  <si>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</si>
  <si>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</si>
  <si>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</si>
  <si>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</si>
  <si>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</si>
  <si>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</si>
  <si>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</si>
  <si>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</si>
  <si>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</si>
  <si>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</si>
  <si>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</si>
  <si>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</si>
  <si>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</si>
  <si>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</si>
  <si>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01600</t>
  </si>
  <si>
    <t>N240</t>
  </si>
  <si>
    <t>N241</t>
  </si>
  <si>
    <t>14050</t>
  </si>
  <si>
    <t>N242</t>
  </si>
  <si>
    <t>N243</t>
  </si>
  <si>
    <t>04260</t>
  </si>
  <si>
    <t>N244</t>
  </si>
  <si>
    <t>N245</t>
  </si>
  <si>
    <t>N246</t>
  </si>
  <si>
    <t>N247</t>
  </si>
  <si>
    <t>45080</t>
  </si>
  <si>
    <t>N248</t>
  </si>
  <si>
    <t>07269</t>
  </si>
  <si>
    <t>P061</t>
  </si>
  <si>
    <t>04600</t>
  </si>
  <si>
    <t>BANCO INBURSA</t>
  </si>
  <si>
    <t>P062</t>
  </si>
  <si>
    <t>45595</t>
  </si>
  <si>
    <t>P063</t>
  </si>
  <si>
    <t>P064</t>
  </si>
  <si>
    <t>44140</t>
  </si>
  <si>
    <t>P065</t>
  </si>
  <si>
    <t>45221</t>
  </si>
  <si>
    <t>P066</t>
  </si>
  <si>
    <t>P067</t>
  </si>
  <si>
    <t>P068</t>
  </si>
  <si>
    <t>07650</t>
  </si>
  <si>
    <t>P069</t>
  </si>
  <si>
    <t>09640</t>
  </si>
  <si>
    <t>P070</t>
  </si>
  <si>
    <t>15700</t>
  </si>
  <si>
    <t>P071</t>
  </si>
  <si>
    <t>54080</t>
  </si>
  <si>
    <t>P072</t>
  </si>
  <si>
    <t>16090</t>
  </si>
  <si>
    <t>P073</t>
  </si>
  <si>
    <t>P074</t>
  </si>
  <si>
    <t>P075</t>
  </si>
  <si>
    <t>General de Ley de Personas Morales</t>
  </si>
  <si>
    <t>P076</t>
  </si>
  <si>
    <t>07960</t>
  </si>
  <si>
    <t>BANCO NU</t>
  </si>
  <si>
    <t>P077</t>
  </si>
  <si>
    <t>BANREGIO</t>
  </si>
  <si>
    <t>PC053</t>
  </si>
  <si>
    <t xml:space="preserve">EFECTIFINTECH </t>
  </si>
  <si>
    <t>PC054</t>
  </si>
  <si>
    <t>44657</t>
  </si>
  <si>
    <t>PC055</t>
  </si>
  <si>
    <t>45020</t>
  </si>
  <si>
    <t>44689</t>
  </si>
  <si>
    <t>PC056</t>
  </si>
  <si>
    <t>44690</t>
  </si>
  <si>
    <t>44210</t>
  </si>
  <si>
    <t>PC057</t>
  </si>
  <si>
    <t>06020</t>
  </si>
  <si>
    <t>PC058</t>
  </si>
  <si>
    <t>44920</t>
  </si>
  <si>
    <t>44960</t>
  </si>
  <si>
    <t>PC059</t>
  </si>
  <si>
    <t>45050</t>
  </si>
  <si>
    <t>45500</t>
  </si>
  <si>
    <t>45630</t>
  </si>
  <si>
    <t>45047</t>
  </si>
  <si>
    <t>44530</t>
  </si>
  <si>
    <t>PC060</t>
  </si>
  <si>
    <t>PC061</t>
  </si>
  <si>
    <t>44970</t>
  </si>
  <si>
    <t>44280</t>
  </si>
  <si>
    <t>PC062</t>
  </si>
  <si>
    <t>04310</t>
  </si>
  <si>
    <t>PRE  -1</t>
  </si>
  <si>
    <t>PC026</t>
  </si>
  <si>
    <t>BALANCE</t>
  </si>
  <si>
    <t>P053</t>
  </si>
  <si>
    <t>57178</t>
  </si>
  <si>
    <t>P054</t>
  </si>
  <si>
    <t>44670</t>
  </si>
  <si>
    <t>P055</t>
  </si>
  <si>
    <t>16200</t>
  </si>
  <si>
    <t>62270</t>
  </si>
  <si>
    <t>606</t>
  </si>
  <si>
    <t>Arrendamiento</t>
  </si>
  <si>
    <t>P078</t>
  </si>
  <si>
    <t>P079</t>
  </si>
  <si>
    <t>P080</t>
  </si>
  <si>
    <t>N249</t>
  </si>
  <si>
    <t>N250</t>
  </si>
  <si>
    <t>N251</t>
  </si>
  <si>
    <t>PC063</t>
  </si>
  <si>
    <t>P081</t>
  </si>
  <si>
    <t>PROVEEDORES</t>
  </si>
  <si>
    <t>P082</t>
  </si>
  <si>
    <t>KUSPIT</t>
  </si>
  <si>
    <t>P083</t>
  </si>
  <si>
    <t>P084</t>
  </si>
  <si>
    <t>P085</t>
  </si>
  <si>
    <t>P086</t>
  </si>
  <si>
    <t>P087</t>
  </si>
  <si>
    <t>P088</t>
  </si>
  <si>
    <t>P089</t>
  </si>
  <si>
    <t>P090</t>
  </si>
  <si>
    <t>P091</t>
  </si>
  <si>
    <t>P092</t>
  </si>
  <si>
    <t>P093</t>
  </si>
  <si>
    <t>P094</t>
  </si>
  <si>
    <t>P095</t>
  </si>
  <si>
    <t>P096</t>
  </si>
  <si>
    <t>P097</t>
  </si>
  <si>
    <t>P098</t>
  </si>
  <si>
    <t>P099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</si>
  <si>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</si>
  <si>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</si>
  <si>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</si>
  <si>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</si>
  <si>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</si>
  <si>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</si>
  <si>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</si>
  <si>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</si>
  <si>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</si>
  <si>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</si>
  <si>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</si>
  <si>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</si>
  <si>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09830</t>
  </si>
  <si>
    <t>P112</t>
  </si>
  <si>
    <t>P113</t>
  </si>
  <si>
    <t>P114</t>
  </si>
  <si>
    <t>P115</t>
  </si>
  <si>
    <t>P116</t>
  </si>
  <si>
    <t>P117</t>
  </si>
  <si>
    <t>P118</t>
  </si>
  <si>
    <t>AFIRME</t>
  </si>
  <si>
    <t>P119</t>
  </si>
  <si>
    <t>PROD 1</t>
  </si>
  <si>
    <t>PC064</t>
  </si>
  <si>
    <t>06880</t>
  </si>
  <si>
    <t>PC065</t>
  </si>
  <si>
    <t>44840</t>
  </si>
  <si>
    <t>PC066</t>
  </si>
  <si>
    <t>44190</t>
  </si>
  <si>
    <t>PC067</t>
  </si>
  <si>
    <t>45160</t>
  </si>
  <si>
    <t>45180</t>
  </si>
  <si>
    <t>45034</t>
  </si>
  <si>
    <t>PC068</t>
  </si>
  <si>
    <t>44639</t>
  </si>
  <si>
    <t>PC069</t>
  </si>
  <si>
    <t>45601</t>
  </si>
  <si>
    <t>45045</t>
  </si>
  <si>
    <t>PC070</t>
  </si>
  <si>
    <t>PC071</t>
  </si>
  <si>
    <t>44660</t>
  </si>
  <si>
    <t>PC072</t>
  </si>
  <si>
    <t>45036</t>
  </si>
  <si>
    <t>03800</t>
  </si>
  <si>
    <t>03000</t>
  </si>
  <si>
    <t>11320</t>
  </si>
  <si>
    <t>PC073</t>
  </si>
  <si>
    <t>45138</t>
  </si>
  <si>
    <t>PC074</t>
  </si>
  <si>
    <t>PC075</t>
  </si>
  <si>
    <t>37150</t>
  </si>
  <si>
    <t>PC076</t>
  </si>
  <si>
    <t>44260</t>
  </si>
  <si>
    <t>PC077</t>
  </si>
  <si>
    <t>03300</t>
  </si>
  <si>
    <t>47910</t>
  </si>
  <si>
    <t>53490</t>
  </si>
  <si>
    <t>58570</t>
  </si>
  <si>
    <t>59730</t>
  </si>
  <si>
    <t>55600</t>
  </si>
  <si>
    <t>PC078</t>
  </si>
  <si>
    <t>04500</t>
  </si>
  <si>
    <t>PC079</t>
  </si>
  <si>
    <t>PC080</t>
  </si>
  <si>
    <t>PC081</t>
  </si>
  <si>
    <t>08100</t>
  </si>
  <si>
    <t>PC082</t>
  </si>
  <si>
    <t>PC083</t>
  </si>
  <si>
    <t>14700</t>
  </si>
  <si>
    <t>14000</t>
  </si>
  <si>
    <t>45900</t>
  </si>
  <si>
    <t>-4 y -3</t>
  </si>
  <si>
    <t>SEMANA -1</t>
  </si>
  <si>
    <t>NUEVA</t>
  </si>
  <si>
    <t>2020-047</t>
  </si>
  <si>
    <t>2003-016</t>
  </si>
  <si>
    <t>2006-011</t>
  </si>
  <si>
    <t>Nueva</t>
  </si>
  <si>
    <t>3102-031</t>
  </si>
  <si>
    <t>3104-029</t>
  </si>
  <si>
    <t>3101-013</t>
  </si>
  <si>
    <t>3109-010</t>
  </si>
  <si>
    <t>3145-066</t>
  </si>
  <si>
    <t>3145-068</t>
  </si>
  <si>
    <t>3192-021</t>
  </si>
  <si>
    <t>3193-119</t>
  </si>
  <si>
    <t>3193-117</t>
  </si>
  <si>
    <t>3683-202</t>
  </si>
  <si>
    <t>3632-021</t>
  </si>
  <si>
    <t>3629-006</t>
  </si>
  <si>
    <t>3442-040</t>
  </si>
  <si>
    <t>5001-024</t>
  </si>
  <si>
    <t>PROD 2</t>
  </si>
  <si>
    <t>3145-070</t>
  </si>
  <si>
    <t>NO METER</t>
  </si>
  <si>
    <t>P FCST</t>
  </si>
  <si>
    <t>F12</t>
  </si>
  <si>
    <t>Sin Obligaciones Fiscales</t>
  </si>
  <si>
    <t>P120</t>
  </si>
  <si>
    <t>P121</t>
  </si>
  <si>
    <t>P122</t>
  </si>
  <si>
    <t>P123</t>
  </si>
  <si>
    <t>P124</t>
  </si>
  <si>
    <t>P125</t>
  </si>
  <si>
    <t>N252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</si>
  <si>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</si>
  <si>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</si>
  <si>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</si>
  <si>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</si>
  <si>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</si>
  <si>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</si>
  <si>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</si>
  <si>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</si>
  <si>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</si>
  <si>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</si>
  <si>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</si>
  <si>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</si>
  <si>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</si>
  <si>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</si>
  <si>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</si>
  <si>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</si>
  <si>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</si>
  <si>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</si>
  <si>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</si>
  <si>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PC084</t>
  </si>
  <si>
    <t>EFECTIVALE FINTECH</t>
  </si>
  <si>
    <t>PC085</t>
  </si>
  <si>
    <t>PC086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</si>
  <si>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</si>
  <si>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</si>
  <si>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</si>
  <si>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</si>
  <si>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</si>
  <si>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</si>
  <si>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</si>
  <si>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</si>
  <si>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</si>
  <si>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</si>
  <si>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</si>
  <si>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</si>
  <si>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</si>
  <si>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</si>
  <si>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</si>
  <si>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</si>
  <si>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</si>
  <si>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</si>
  <si>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</si>
  <si>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</si>
  <si>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</si>
  <si>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</si>
  <si>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</si>
  <si>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</si>
  <si>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</si>
  <si>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</si>
  <si>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</si>
  <si>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</si>
  <si>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</si>
  <si>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</si>
  <si>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</si>
  <si>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</si>
  <si>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</si>
  <si>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</si>
  <si>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</si>
  <si>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</si>
  <si>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</si>
  <si>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</si>
  <si>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</si>
  <si>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</si>
  <si>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</si>
  <si>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</si>
  <si>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</si>
  <si>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</si>
  <si>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</si>
  <si>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</si>
  <si>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</si>
  <si>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</si>
  <si>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</si>
  <si>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</si>
  <si>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</si>
  <si>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</si>
  <si>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</si>
  <si>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</si>
  <si>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</si>
  <si>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</si>
  <si>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</si>
  <si>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</si>
  <si>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</si>
  <si>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</si>
  <si>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</si>
  <si>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</si>
  <si>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</si>
  <si>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</si>
  <si>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</si>
  <si>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</si>
  <si>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</si>
  <si>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</si>
  <si>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</si>
  <si>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</si>
  <si>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</si>
  <si>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</si>
  <si>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</si>
  <si>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</si>
  <si>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</si>
  <si>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</si>
  <si>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</si>
  <si>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</si>
  <si>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</si>
  <si>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</si>
  <si>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</si>
  <si>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</si>
  <si>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</si>
  <si>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</si>
  <si>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</si>
  <si>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</si>
  <si>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</si>
  <si>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</si>
  <si>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</si>
  <si>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</si>
  <si>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</si>
  <si>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</si>
  <si>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</si>
  <si>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</si>
  <si>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</si>
  <si>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</si>
  <si>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</si>
  <si>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</si>
  <si>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</si>
  <si>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</si>
  <si>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</si>
  <si>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</si>
  <si>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</si>
  <si>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</si>
  <si>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</si>
  <si>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</si>
  <si>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</si>
  <si>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</si>
  <si>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</si>
  <si>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</si>
  <si>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</si>
  <si>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</si>
  <si>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</si>
  <si>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</si>
  <si>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</si>
  <si>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</si>
  <si>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</si>
  <si>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</si>
  <si>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</si>
  <si>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</si>
  <si>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</si>
  <si>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</si>
  <si>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</si>
  <si>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</si>
  <si>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</si>
  <si>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</si>
  <si>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</si>
  <si>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N382</t>
  </si>
  <si>
    <t>N383</t>
  </si>
  <si>
    <t>N384</t>
  </si>
  <si>
    <t>N385</t>
  </si>
  <si>
    <t>N386</t>
  </si>
  <si>
    <t>N387</t>
  </si>
  <si>
    <t>P145</t>
  </si>
  <si>
    <t>P146</t>
  </si>
  <si>
    <t>P147</t>
  </si>
  <si>
    <t>WELLS FARGO</t>
  </si>
  <si>
    <t>PC087</t>
  </si>
  <si>
    <t>EFECTIVALE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</si>
  <si>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</si>
  <si>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</si>
  <si>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</si>
  <si>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</si>
  <si>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</si>
  <si>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</si>
  <si>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</si>
  <si>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</si>
  <si>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</si>
  <si>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</si>
  <si>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</si>
  <si>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</si>
  <si>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</si>
  <si>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</si>
  <si>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</si>
  <si>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</si>
  <si>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</si>
  <si>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</si>
  <si>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</si>
  <si>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</si>
  <si>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</si>
  <si>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</si>
  <si>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</si>
  <si>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</si>
  <si>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</si>
  <si>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</si>
  <si>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</si>
  <si>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</si>
  <si>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</si>
  <si>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</si>
  <si>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PC088</t>
  </si>
  <si>
    <t>PC089</t>
  </si>
  <si>
    <t>PC090</t>
  </si>
  <si>
    <t>PC091</t>
  </si>
  <si>
    <t>PC092</t>
  </si>
  <si>
    <t>PC093</t>
  </si>
  <si>
    <t>PC094</t>
  </si>
  <si>
    <t>PC095</t>
  </si>
  <si>
    <t>PC096</t>
  </si>
  <si>
    <t>PC097</t>
  </si>
  <si>
    <t>PC098</t>
  </si>
  <si>
    <t>PC099</t>
  </si>
  <si>
    <t>PC100</t>
  </si>
  <si>
    <t>44500</t>
  </si>
  <si>
    <t>45405</t>
  </si>
  <si>
    <t>01830</t>
  </si>
  <si>
    <t>95600</t>
  </si>
  <si>
    <t>82110</t>
  </si>
  <si>
    <t>04330</t>
  </si>
  <si>
    <t>03310</t>
  </si>
  <si>
    <t>10800</t>
  </si>
  <si>
    <t>16300</t>
  </si>
  <si>
    <t>03330</t>
  </si>
  <si>
    <t>55070</t>
  </si>
  <si>
    <t>04800</t>
  </si>
  <si>
    <t>54614</t>
  </si>
  <si>
    <t>44987</t>
  </si>
  <si>
    <t>20348</t>
  </si>
  <si>
    <t>45350</t>
  </si>
  <si>
    <t>45654</t>
  </si>
  <si>
    <t>09780</t>
  </si>
  <si>
    <t>09209</t>
  </si>
  <si>
    <t>14108</t>
  </si>
  <si>
    <t>80301</t>
  </si>
  <si>
    <t>05129</t>
  </si>
  <si>
    <t>15300</t>
  </si>
  <si>
    <t>14647</t>
  </si>
  <si>
    <t>11010</t>
  </si>
  <si>
    <t>04470</t>
  </si>
  <si>
    <t>45136</t>
  </si>
  <si>
    <t>11570</t>
  </si>
  <si>
    <t>44940</t>
  </si>
  <si>
    <t>37000</t>
  </si>
  <si>
    <t>45188</t>
  </si>
  <si>
    <t>44240</t>
  </si>
  <si>
    <t>62517</t>
  </si>
  <si>
    <t>45920</t>
  </si>
  <si>
    <t>44610</t>
  </si>
  <si>
    <t>44900</t>
  </si>
  <si>
    <t>44430</t>
  </si>
  <si>
    <t>44540</t>
  </si>
  <si>
    <t>37545</t>
  </si>
  <si>
    <t>45134</t>
  </si>
  <si>
    <t>45619</t>
  </si>
  <si>
    <t>45640</t>
  </si>
  <si>
    <t>45675</t>
  </si>
  <si>
    <t>05120</t>
  </si>
  <si>
    <t>50450</t>
  </si>
  <si>
    <t>53550</t>
  </si>
  <si>
    <t>45915</t>
  </si>
  <si>
    <t>0030-BAJIO</t>
  </si>
  <si>
    <t>0137  - Bancoppel</t>
  </si>
  <si>
    <t>0062-AFIRME</t>
  </si>
  <si>
    <t>F11</t>
  </si>
  <si>
    <t>F11.1</t>
  </si>
  <si>
    <t>PCS FEE</t>
  </si>
  <si>
    <t>0653- KUSPIT</t>
  </si>
  <si>
    <t>Sum of VARIANCE VS PFCST</t>
  </si>
  <si>
    <t>7201-008</t>
  </si>
  <si>
    <t>Nuevo</t>
  </si>
  <si>
    <t>Makeup</t>
  </si>
  <si>
    <t>AHORRO POR PP</t>
  </si>
  <si>
    <t>1412-033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</si>
  <si>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</si>
  <si>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</si>
  <si>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</si>
  <si>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</si>
  <si>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</si>
  <si>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</si>
  <si>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</si>
  <si>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</si>
  <si>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</si>
  <si>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</si>
  <si>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</si>
  <si>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N388</t>
  </si>
  <si>
    <t>N389</t>
  </si>
  <si>
    <t>N390</t>
  </si>
  <si>
    <t>N391</t>
  </si>
  <si>
    <t>N392</t>
  </si>
  <si>
    <t>N393</t>
  </si>
  <si>
    <t>N394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</si>
  <si>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</si>
  <si>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</si>
  <si>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</si>
  <si>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</si>
  <si>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</si>
  <si>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</si>
  <si>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</si>
  <si>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</si>
  <si>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</si>
  <si>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</si>
  <si>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</si>
  <si>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</si>
  <si>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</si>
  <si>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</si>
  <si>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</si>
  <si>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</si>
  <si>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</si>
  <si>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</si>
  <si>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</si>
  <si>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</si>
  <si>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</si>
  <si>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</si>
  <si>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</si>
  <si>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</si>
  <si>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</si>
  <si>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</si>
  <si>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</si>
  <si>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</si>
  <si>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</si>
  <si>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</si>
  <si>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</si>
  <si>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</si>
  <si>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</si>
  <si>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</si>
  <si>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</si>
  <si>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</si>
  <si>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</si>
  <si>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</si>
  <si>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</si>
  <si>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</si>
  <si>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</si>
  <si>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</si>
  <si>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</si>
  <si>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</si>
  <si>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</si>
  <si>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BANCO BANBAJIO</t>
  </si>
  <si>
    <t>P234</t>
  </si>
  <si>
    <t>T6</t>
  </si>
  <si>
    <t>T6.1</t>
  </si>
  <si>
    <t>P235</t>
  </si>
  <si>
    <t>P236</t>
  </si>
  <si>
    <t>P237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</si>
  <si>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</si>
  <si>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</si>
  <si>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</si>
  <si>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</si>
  <si>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</si>
  <si>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</si>
  <si>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</si>
  <si>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</si>
  <si>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</si>
  <si>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</si>
  <si>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</si>
  <si>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</si>
  <si>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</si>
  <si>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</si>
  <si>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</si>
  <si>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</si>
  <si>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16500</t>
  </si>
  <si>
    <t>01860</t>
  </si>
  <si>
    <t>45609</t>
  </si>
  <si>
    <t>44680</t>
  </si>
  <si>
    <t>44930</t>
  </si>
  <si>
    <t>03610</t>
  </si>
  <si>
    <t>45239</t>
  </si>
  <si>
    <t>45653</t>
  </si>
  <si>
    <t>45190</t>
  </si>
  <si>
    <t>45530</t>
  </si>
  <si>
    <t>50919</t>
  </si>
  <si>
    <t>44450</t>
  </si>
  <si>
    <t>01219</t>
  </si>
  <si>
    <t>50295</t>
  </si>
  <si>
    <t>0113- BX+</t>
  </si>
  <si>
    <t>PROD 3</t>
  </si>
  <si>
    <t>3683-204</t>
  </si>
  <si>
    <t>**</t>
  </si>
  <si>
    <t>***</t>
  </si>
  <si>
    <t>Ajustar</t>
  </si>
  <si>
    <t>Impacto por Staff adicional Split uNIT</t>
  </si>
  <si>
    <t>Script adicional split unit</t>
  </si>
  <si>
    <t>Asitente adicional split unit</t>
  </si>
  <si>
    <t>$ -</t>
  </si>
  <si>
    <t>PROD 4</t>
  </si>
  <si>
    <t>PC117</t>
  </si>
  <si>
    <t>P238</t>
  </si>
  <si>
    <t>P239</t>
  </si>
  <si>
    <t>P241</t>
  </si>
  <si>
    <t>44580</t>
  </si>
  <si>
    <t>P242</t>
  </si>
  <si>
    <t>P243</t>
  </si>
  <si>
    <t>PC118</t>
  </si>
  <si>
    <t>PC120</t>
  </si>
  <si>
    <t>P244</t>
  </si>
  <si>
    <t>INBURSA</t>
  </si>
  <si>
    <t>P245</t>
  </si>
  <si>
    <t>P246</t>
  </si>
  <si>
    <t>P247</t>
  </si>
  <si>
    <t>01299</t>
  </si>
  <si>
    <t>P248</t>
  </si>
  <si>
    <t>P249</t>
  </si>
  <si>
    <t>45128</t>
  </si>
  <si>
    <t>P250</t>
  </si>
  <si>
    <t>P251</t>
  </si>
  <si>
    <t>P252</t>
  </si>
  <si>
    <t>P253</t>
  </si>
  <si>
    <t>P254</t>
  </si>
  <si>
    <t>P255</t>
  </si>
  <si>
    <t>P256</t>
  </si>
  <si>
    <t>P257</t>
  </si>
  <si>
    <t>45060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</si>
  <si>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</si>
  <si>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</si>
  <si>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</si>
  <si>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</si>
  <si>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</si>
  <si>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</si>
  <si>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</si>
  <si>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</si>
  <si>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</si>
  <si>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04630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</si>
  <si>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</si>
  <si>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</si>
  <si>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</si>
  <si>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</si>
  <si>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</si>
  <si>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</si>
  <si>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</si>
  <si>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</si>
  <si>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</si>
  <si>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</si>
  <si>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</si>
  <si>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</si>
  <si>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</si>
  <si>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</si>
  <si>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</si>
  <si>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</si>
  <si>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</si>
  <si>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</si>
  <si>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</si>
  <si>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</si>
  <si>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</si>
  <si>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</si>
  <si>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</si>
  <si>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</si>
  <si>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</si>
  <si>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</si>
  <si>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</si>
  <si>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</si>
  <si>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</si>
  <si>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</si>
  <si>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</si>
  <si>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</si>
  <si>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</si>
  <si>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03920</t>
  </si>
  <si>
    <t>N415</t>
  </si>
  <si>
    <t>N416</t>
  </si>
  <si>
    <t>03900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</si>
  <si>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</si>
  <si>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</si>
  <si>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</si>
  <si>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</si>
  <si>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</si>
  <si>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</si>
  <si>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</si>
  <si>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</si>
  <si>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</si>
  <si>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</si>
  <si>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</si>
  <si>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</si>
  <si>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</si>
  <si>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</si>
  <si>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11700</t>
  </si>
  <si>
    <t>N431</t>
  </si>
  <si>
    <t>N432</t>
  </si>
  <si>
    <t>N433</t>
  </si>
  <si>
    <t>N434</t>
  </si>
  <si>
    <t>N435</t>
  </si>
  <si>
    <t>34200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</si>
  <si>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</si>
  <si>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</si>
  <si>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</si>
  <si>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</si>
  <si>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</si>
  <si>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</si>
  <si>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</si>
  <si>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</si>
  <si>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</si>
  <si>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</si>
  <si>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</si>
  <si>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</si>
  <si>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</si>
  <si>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</si>
  <si>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</si>
  <si>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</si>
  <si>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</si>
  <si>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</si>
  <si>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</si>
  <si>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</si>
  <si>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</si>
  <si>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</si>
  <si>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</si>
  <si>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</si>
  <si>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</si>
  <si>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</si>
  <si>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</si>
  <si>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78200</t>
  </si>
  <si>
    <t>N463</t>
  </si>
  <si>
    <t>N464</t>
  </si>
  <si>
    <t>44810</t>
  </si>
  <si>
    <t>N465</t>
  </si>
  <si>
    <t>45685</t>
  </si>
  <si>
    <t>N466</t>
  </si>
  <si>
    <t>N467</t>
  </si>
  <si>
    <t>N468</t>
  </si>
  <si>
    <t>N469</t>
  </si>
  <si>
    <t>N470</t>
  </si>
  <si>
    <t>N471</t>
  </si>
  <si>
    <t>04000</t>
  </si>
  <si>
    <t>N472</t>
  </si>
  <si>
    <t>N473</t>
  </si>
  <si>
    <t>N474</t>
  </si>
  <si>
    <t>N475</t>
  </si>
  <si>
    <t>44379</t>
  </si>
  <si>
    <t>N476</t>
  </si>
  <si>
    <t>60440</t>
  </si>
  <si>
    <t>N477</t>
  </si>
  <si>
    <t>45238</t>
  </si>
  <si>
    <t>N478</t>
  </si>
  <si>
    <t>N479</t>
  </si>
  <si>
    <t>23070</t>
  </si>
  <si>
    <t>N480</t>
  </si>
  <si>
    <t>N481</t>
  </si>
  <si>
    <t>N482</t>
  </si>
  <si>
    <t>N483</t>
  </si>
  <si>
    <t>N484</t>
  </si>
  <si>
    <t>N485</t>
  </si>
  <si>
    <t>N486</t>
  </si>
  <si>
    <t>44250</t>
  </si>
  <si>
    <t>N487</t>
  </si>
  <si>
    <t>N488</t>
  </si>
  <si>
    <t>N489</t>
  </si>
  <si>
    <t>N490</t>
  </si>
  <si>
    <t>44270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</si>
  <si>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</si>
  <si>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</si>
  <si>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</si>
  <si>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</si>
  <si>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</si>
  <si>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</si>
  <si>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</si>
  <si>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</si>
  <si>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</si>
  <si>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45055</t>
  </si>
  <si>
    <t>N500</t>
  </si>
  <si>
    <t>N501</t>
  </si>
  <si>
    <t>N502</t>
  </si>
  <si>
    <t>N503</t>
  </si>
  <si>
    <t>N504</t>
  </si>
  <si>
    <t>N505</t>
  </si>
  <si>
    <t>N506</t>
  </si>
  <si>
    <t>29060</t>
  </si>
  <si>
    <t>N507</t>
  </si>
  <si>
    <t>N508</t>
  </si>
  <si>
    <t>03400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</si>
  <si>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</si>
  <si>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</si>
  <si>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</si>
  <si>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</si>
  <si>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</si>
  <si>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</si>
  <si>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</si>
  <si>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</si>
  <si>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</si>
  <si>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</si>
  <si>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</si>
  <si>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</si>
  <si>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</si>
  <si>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</si>
  <si>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</si>
  <si>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14030</t>
  </si>
  <si>
    <t>N524</t>
  </si>
  <si>
    <t>44950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</si>
  <si>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</si>
  <si>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</si>
  <si>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</si>
  <si>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</si>
  <si>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</si>
  <si>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</si>
  <si>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</si>
  <si>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</si>
  <si>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</si>
  <si>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</si>
  <si>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</si>
  <si>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</si>
  <si>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</si>
  <si>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</si>
  <si>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</si>
  <si>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</si>
  <si>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</si>
  <si>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</si>
  <si>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</si>
  <si>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</si>
  <si>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</si>
  <si>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10900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</si>
  <si>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</si>
  <si>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</si>
  <si>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</si>
  <si>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</si>
  <si>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</si>
  <si>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</si>
  <si>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</si>
  <si>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</si>
  <si>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</si>
  <si>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</si>
  <si>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</si>
  <si>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</si>
  <si>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25000</t>
  </si>
  <si>
    <t>N558</t>
  </si>
  <si>
    <t>N559</t>
  </si>
  <si>
    <t>N560</t>
  </si>
  <si>
    <t>N561</t>
  </si>
  <si>
    <t>N562</t>
  </si>
  <si>
    <t>N563</t>
  </si>
  <si>
    <t>13094</t>
  </si>
  <si>
    <t xml:space="preserve">0638  - Akala </t>
  </si>
  <si>
    <t>N564</t>
  </si>
  <si>
    <t>62736</t>
  </si>
  <si>
    <t>N565</t>
  </si>
  <si>
    <t>N566</t>
  </si>
  <si>
    <t>03440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</si>
  <si>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</si>
  <si>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</si>
  <si>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</si>
  <si>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</si>
  <si>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</si>
  <si>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</si>
  <si>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</si>
  <si>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</si>
  <si>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</si>
  <si>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</si>
  <si>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</si>
  <si>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</si>
  <si>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</si>
  <si>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</si>
  <si>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</si>
  <si>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P280</t>
  </si>
  <si>
    <t>44420</t>
  </si>
  <si>
    <t>P281</t>
  </si>
  <si>
    <t>P282</t>
  </si>
  <si>
    <t>P283</t>
  </si>
  <si>
    <t>44756</t>
  </si>
  <si>
    <t>P284</t>
  </si>
  <si>
    <t>45235</t>
  </si>
  <si>
    <t>P285</t>
  </si>
  <si>
    <t>P286</t>
  </si>
  <si>
    <t>P287</t>
  </si>
  <si>
    <t>64710</t>
  </si>
  <si>
    <t>P288</t>
  </si>
  <si>
    <t>P289</t>
  </si>
  <si>
    <t>P290</t>
  </si>
  <si>
    <t>P291</t>
  </si>
  <si>
    <t>45133</t>
  </si>
  <si>
    <t>P292</t>
  </si>
  <si>
    <t>P293</t>
  </si>
  <si>
    <t>P294</t>
  </si>
  <si>
    <t>P295</t>
  </si>
  <si>
    <t>P296</t>
  </si>
  <si>
    <t>44750</t>
  </si>
  <si>
    <t>P297</t>
  </si>
  <si>
    <t>P298</t>
  </si>
  <si>
    <t>PC121</t>
  </si>
  <si>
    <t>37680</t>
  </si>
  <si>
    <t>PC122</t>
  </si>
  <si>
    <t>44910</t>
  </si>
  <si>
    <t>45676</t>
  </si>
  <si>
    <t>PC123</t>
  </si>
  <si>
    <t>PC124</t>
  </si>
  <si>
    <t>PC125</t>
  </si>
  <si>
    <t>45049</t>
  </si>
  <si>
    <t>PC126</t>
  </si>
  <si>
    <t>PC127</t>
  </si>
  <si>
    <t>PC128</t>
  </si>
  <si>
    <t>45037</t>
  </si>
  <si>
    <t>PC129</t>
  </si>
  <si>
    <t>PC130</t>
  </si>
  <si>
    <t>46730</t>
  </si>
  <si>
    <t>45870</t>
  </si>
  <si>
    <t>45650</t>
  </si>
  <si>
    <t>PROD 5</t>
  </si>
  <si>
    <t>N582</t>
  </si>
  <si>
    <t>N583</t>
  </si>
  <si>
    <t>N584</t>
  </si>
  <si>
    <t>N585</t>
  </si>
  <si>
    <t>N586</t>
  </si>
  <si>
    <t>N587</t>
  </si>
  <si>
    <t>N588</t>
  </si>
  <si>
    <t>N589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</si>
  <si>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</si>
  <si>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</si>
  <si>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</si>
  <si>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</si>
  <si>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</si>
  <si>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</si>
  <si>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</si>
  <si>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</si>
  <si>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</si>
  <si>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</si>
  <si>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</si>
  <si>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</si>
  <si>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</si>
  <si>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</si>
  <si>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</si>
  <si>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</si>
  <si>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</si>
  <si>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</si>
  <si>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</si>
  <si>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</si>
  <si>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</si>
  <si>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</si>
  <si>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JP MORGAN</t>
  </si>
  <si>
    <t>P321</t>
  </si>
  <si>
    <t>P322</t>
  </si>
  <si>
    <t>P323</t>
  </si>
  <si>
    <t>N590</t>
  </si>
  <si>
    <t>P324</t>
  </si>
  <si>
    <t>P325</t>
  </si>
  <si>
    <t>P326</t>
  </si>
  <si>
    <t>P327</t>
  </si>
  <si>
    <t>P328</t>
  </si>
  <si>
    <t>P329</t>
  </si>
  <si>
    <t>P330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</si>
  <si>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</si>
  <si>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</si>
  <si>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</si>
  <si>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</si>
  <si>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</si>
  <si>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</si>
  <si>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</si>
  <si>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</si>
  <si>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</si>
  <si>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</si>
  <si>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</si>
  <si>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</si>
  <si>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</si>
  <si>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</si>
  <si>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</si>
  <si>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</si>
  <si>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</si>
  <si>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</si>
  <si>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</si>
  <si>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</si>
  <si>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</si>
  <si>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</si>
  <si>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</si>
  <si>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</si>
  <si>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849</t>
  </si>
  <si>
    <t xml:space="preserve"> -   </t>
  </si>
  <si>
    <t>PC119</t>
  </si>
  <si>
    <t>v</t>
  </si>
  <si>
    <t>10700</t>
  </si>
  <si>
    <t>55717</t>
  </si>
  <si>
    <t>44300</t>
  </si>
  <si>
    <t>45165</t>
  </si>
  <si>
    <t>45058</t>
  </si>
  <si>
    <t>78220</t>
  </si>
  <si>
    <t>45419</t>
  </si>
  <si>
    <t>45414</t>
  </si>
  <si>
    <t>44470</t>
  </si>
  <si>
    <t>44180</t>
  </si>
  <si>
    <t>07969</t>
  </si>
  <si>
    <t>09839</t>
  </si>
  <si>
    <t>45429</t>
  </si>
  <si>
    <t>49000</t>
  </si>
  <si>
    <t>44298</t>
  </si>
  <si>
    <t>06870</t>
  </si>
  <si>
    <t>22785</t>
  </si>
  <si>
    <t>45236</t>
  </si>
  <si>
    <t>72570</t>
  </si>
  <si>
    <t>45680</t>
  </si>
  <si>
    <t>45130</t>
  </si>
  <si>
    <t>07480</t>
  </si>
  <si>
    <t>44550</t>
  </si>
  <si>
    <t>45407</t>
  </si>
  <si>
    <t>45404</t>
  </si>
  <si>
    <t>44400</t>
  </si>
  <si>
    <t>0036  - Inbursa</t>
  </si>
  <si>
    <t>3901-051</t>
  </si>
  <si>
    <t>F12.1</t>
  </si>
  <si>
    <t>PROD 6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</si>
  <si>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</si>
  <si>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</si>
  <si>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</si>
  <si>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</si>
  <si>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</si>
  <si>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</si>
  <si>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</si>
  <si>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</si>
  <si>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</si>
  <si>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</si>
  <si>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</si>
  <si>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</si>
  <si>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</si>
  <si>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</si>
  <si>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</si>
  <si>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97345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</si>
  <si>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</si>
  <si>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</si>
  <si>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</si>
  <si>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</si>
  <si>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</si>
  <si>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</si>
  <si>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</si>
  <si>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</si>
  <si>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P355</t>
  </si>
  <si>
    <t>P356</t>
  </si>
  <si>
    <t>P357</t>
  </si>
  <si>
    <t>P358</t>
  </si>
  <si>
    <t>P359</t>
  </si>
  <si>
    <t>44656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</si>
  <si>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</si>
  <si>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</si>
  <si>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</si>
  <si>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</si>
  <si>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</si>
  <si>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</si>
  <si>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</si>
  <si>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</si>
  <si>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</si>
  <si>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</si>
  <si>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</si>
  <si>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</si>
  <si>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</si>
  <si>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</si>
  <si>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45600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</si>
  <si>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</si>
  <si>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</si>
  <si>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</si>
  <si>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</si>
  <si>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</si>
  <si>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</si>
  <si>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</si>
  <si>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</si>
  <si>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</si>
  <si>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44110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</si>
  <si>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</si>
  <si>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</si>
  <si>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</si>
  <si>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</si>
  <si>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</si>
  <si>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</si>
  <si>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</si>
  <si>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</si>
  <si>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</si>
  <si>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PC161</t>
  </si>
  <si>
    <t>PC162</t>
  </si>
  <si>
    <t>22470</t>
  </si>
  <si>
    <t>44410</t>
  </si>
  <si>
    <t>45580</t>
  </si>
  <si>
    <t>45615</t>
  </si>
  <si>
    <t>44790</t>
  </si>
  <si>
    <t>44766</t>
  </si>
  <si>
    <t>44990</t>
  </si>
  <si>
    <t>45066</t>
  </si>
  <si>
    <t>45417</t>
  </si>
  <si>
    <t>PC163</t>
  </si>
  <si>
    <t>45820</t>
  </si>
  <si>
    <t>PC164</t>
  </si>
  <si>
    <t>PC165</t>
  </si>
  <si>
    <t>PC166</t>
  </si>
  <si>
    <t>PC167</t>
  </si>
  <si>
    <t>PC168</t>
  </si>
  <si>
    <t>PC169</t>
  </si>
  <si>
    <t>21100</t>
  </si>
  <si>
    <t>PC170</t>
  </si>
  <si>
    <t>45226</t>
  </si>
  <si>
    <t>PC171</t>
  </si>
  <si>
    <t>PC172</t>
  </si>
  <si>
    <t>44460</t>
  </si>
  <si>
    <t>PC173</t>
  </si>
  <si>
    <t>46760</t>
  </si>
  <si>
    <t>605</t>
  </si>
  <si>
    <t>Sueldos y Salarios e Ingresos Asimilados a Salarios</t>
  </si>
  <si>
    <t>PC174</t>
  </si>
  <si>
    <t>PC175</t>
  </si>
  <si>
    <t>45016</t>
  </si>
  <si>
    <t>PC176</t>
  </si>
  <si>
    <t>PC177</t>
  </si>
  <si>
    <t>44220</t>
  </si>
  <si>
    <t>PC178</t>
  </si>
  <si>
    <t>44770</t>
  </si>
  <si>
    <t>72410</t>
  </si>
  <si>
    <t>44638</t>
  </si>
  <si>
    <t>REVISAR</t>
  </si>
  <si>
    <t>COMISION</t>
  </si>
  <si>
    <t>ARTE</t>
  </si>
  <si>
    <t>P392</t>
  </si>
  <si>
    <t>CHASE</t>
  </si>
  <si>
    <t>P393</t>
  </si>
  <si>
    <t>P394</t>
  </si>
  <si>
    <t>P395</t>
  </si>
  <si>
    <t>P396</t>
  </si>
  <si>
    <t>P397</t>
  </si>
  <si>
    <t>P398</t>
  </si>
  <si>
    <t>P399</t>
  </si>
  <si>
    <t>06860</t>
  </si>
  <si>
    <t>P400</t>
  </si>
  <si>
    <t>P401</t>
  </si>
  <si>
    <t>03510</t>
  </si>
  <si>
    <t>P402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</si>
  <si>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</si>
  <si>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</si>
  <si>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</si>
  <si>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</si>
  <si>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</si>
  <si>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</si>
  <si>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</si>
  <si>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</si>
  <si>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</si>
  <si>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</si>
  <si>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</si>
  <si>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</si>
  <si>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</si>
  <si>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</si>
  <si>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</si>
  <si>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</si>
  <si>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</si>
  <si>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</si>
  <si>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</si>
  <si>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</si>
  <si>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</si>
  <si>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</si>
  <si>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59680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</si>
  <si>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</si>
  <si>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</si>
  <si>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</si>
  <si>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</si>
  <si>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</si>
  <si>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</si>
  <si>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</si>
  <si>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</si>
  <si>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</si>
  <si>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</si>
  <si>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</si>
  <si>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</si>
  <si>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</si>
  <si>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</si>
  <si>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04220</t>
  </si>
  <si>
    <t>N627</t>
  </si>
  <si>
    <t>03103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</si>
  <si>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</si>
  <si>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</si>
  <si>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</si>
  <si>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</si>
  <si>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</si>
  <si>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</si>
  <si>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</si>
  <si>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</si>
  <si>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</si>
  <si>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</si>
  <si>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</si>
  <si>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</si>
  <si>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</si>
  <si>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</si>
  <si>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</si>
  <si>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</si>
  <si>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</si>
  <si>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</si>
  <si>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</si>
  <si>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</si>
  <si>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</si>
  <si>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</si>
  <si>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</si>
  <si>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</si>
  <si>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</si>
  <si>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</si>
  <si>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</si>
  <si>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</si>
  <si>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</si>
  <si>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</si>
  <si>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</si>
  <si>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</si>
  <si>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</si>
  <si>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</si>
  <si>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</si>
  <si>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</si>
  <si>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45605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</si>
  <si>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</si>
  <si>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</si>
  <si>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</si>
  <si>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</si>
  <si>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</si>
  <si>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</si>
  <si>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</si>
  <si>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</si>
  <si>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</si>
  <si>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</si>
  <si>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</si>
  <si>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45560</t>
  </si>
  <si>
    <t>N675</t>
  </si>
  <si>
    <t>45149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</si>
  <si>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</si>
  <si>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</si>
  <si>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</si>
  <si>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</si>
  <si>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</si>
  <si>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</si>
  <si>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</si>
  <si>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</si>
  <si>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</si>
  <si>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</si>
  <si>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</si>
  <si>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</si>
  <si>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</si>
  <si>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</si>
  <si>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</si>
  <si>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</si>
  <si>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</si>
  <si>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</si>
  <si>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</si>
  <si>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</si>
  <si>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</si>
  <si>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</si>
  <si>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</si>
  <si>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</si>
  <si>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</si>
  <si>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</si>
  <si>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</si>
  <si>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</si>
  <si>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</si>
  <si>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</si>
  <si>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</si>
  <si>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</si>
  <si>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</si>
  <si>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</si>
  <si>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</si>
  <si>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</si>
  <si>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</si>
  <si>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</si>
  <si>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</si>
  <si>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56530</t>
  </si>
  <si>
    <t>N715</t>
  </si>
  <si>
    <t>09290</t>
  </si>
  <si>
    <t>N716</t>
  </si>
  <si>
    <t>N717</t>
  </si>
  <si>
    <t>N718</t>
  </si>
  <si>
    <t>16739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</si>
  <si>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</si>
  <si>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</si>
  <si>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</si>
  <si>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</si>
  <si>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</si>
  <si>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</si>
  <si>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</si>
  <si>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</si>
  <si>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</si>
  <si>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</si>
  <si>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</si>
  <si>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</si>
  <si>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</si>
  <si>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</si>
  <si>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</si>
  <si>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</si>
  <si>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</si>
  <si>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</si>
  <si>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</si>
  <si>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</si>
  <si>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</si>
  <si>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44730</t>
  </si>
  <si>
    <t>N740</t>
  </si>
  <si>
    <t>07240</t>
  </si>
  <si>
    <t>N741</t>
  </si>
  <si>
    <t>N742</t>
  </si>
  <si>
    <t>N743</t>
  </si>
  <si>
    <t>N744</t>
  </si>
  <si>
    <t>N745</t>
  </si>
  <si>
    <t>N746</t>
  </si>
  <si>
    <t>N747</t>
  </si>
  <si>
    <t>N748</t>
  </si>
  <si>
    <t>53279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</si>
  <si>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</si>
  <si>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</si>
  <si>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</si>
  <si>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</si>
  <si>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</si>
  <si>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</si>
  <si>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</si>
  <si>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</si>
  <si>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</si>
  <si>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</si>
  <si>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45170</t>
  </si>
  <si>
    <t>N759</t>
  </si>
  <si>
    <t>N760</t>
  </si>
  <si>
    <t>47600</t>
  </si>
  <si>
    <t>N761</t>
  </si>
  <si>
    <t>72810</t>
  </si>
  <si>
    <t>N762</t>
  </si>
  <si>
    <t>N763</t>
  </si>
  <si>
    <t>N764</t>
  </si>
  <si>
    <t>N765</t>
  </si>
  <si>
    <t>N766</t>
  </si>
  <si>
    <t>N767</t>
  </si>
  <si>
    <t>N768</t>
  </si>
  <si>
    <t>09970</t>
  </si>
  <si>
    <t>N769</t>
  </si>
  <si>
    <t>N770</t>
  </si>
  <si>
    <t>N771</t>
  </si>
  <si>
    <t>N772</t>
  </si>
  <si>
    <t>08700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</si>
  <si>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</si>
  <si>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</si>
  <si>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</si>
  <si>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</si>
  <si>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</si>
  <si>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</si>
  <si>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</si>
  <si>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</si>
  <si>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</si>
  <si>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</si>
  <si>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</si>
  <si>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</si>
  <si>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</si>
  <si>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</si>
  <si>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</si>
  <si>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</si>
  <si>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</si>
  <si>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</si>
  <si>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</si>
  <si>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</si>
  <si>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</si>
  <si>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</si>
  <si>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</si>
  <si>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</si>
  <si>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</si>
  <si>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</si>
  <si>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</si>
  <si>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28019</t>
  </si>
  <si>
    <t>N800</t>
  </si>
  <si>
    <t>N801</t>
  </si>
  <si>
    <t>N802</t>
  </si>
  <si>
    <t>N803</t>
  </si>
  <si>
    <t>N804</t>
  </si>
  <si>
    <t>N805</t>
  </si>
  <si>
    <t>N806</t>
  </si>
  <si>
    <t>56377</t>
  </si>
  <si>
    <t>P403</t>
  </si>
  <si>
    <t>P404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</si>
  <si>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</si>
  <si>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</si>
  <si>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</si>
  <si>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</si>
  <si>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</si>
  <si>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</si>
  <si>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</si>
  <si>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</si>
  <si>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</si>
  <si>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</si>
  <si>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</si>
  <si>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44815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</si>
  <si>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</si>
  <si>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</si>
  <si>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</si>
  <si>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</si>
  <si>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</si>
  <si>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</si>
  <si>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</si>
  <si>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</si>
  <si>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</si>
  <si>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</si>
  <si>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</si>
  <si>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</si>
  <si>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</si>
  <si>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</si>
  <si>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</si>
  <si>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</si>
  <si>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</si>
  <si>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</si>
  <si>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</si>
  <si>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</si>
  <si>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</si>
  <si>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</si>
  <si>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</si>
  <si>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PC179</t>
  </si>
  <si>
    <t>45029</t>
  </si>
  <si>
    <t>PC180</t>
  </si>
  <si>
    <t>52120</t>
  </si>
  <si>
    <t>PC181</t>
  </si>
  <si>
    <t>PC182</t>
  </si>
  <si>
    <t>PC183</t>
  </si>
  <si>
    <t>44820</t>
  </si>
  <si>
    <t>PC184</t>
  </si>
  <si>
    <t>45135</t>
  </si>
  <si>
    <t>PC185</t>
  </si>
  <si>
    <t>PC186</t>
  </si>
  <si>
    <t>66450</t>
  </si>
  <si>
    <t>PC187</t>
  </si>
  <si>
    <t>PC188</t>
  </si>
  <si>
    <t>PC189</t>
  </si>
  <si>
    <t>PC190</t>
  </si>
  <si>
    <t>PC191</t>
  </si>
  <si>
    <t>PC192</t>
  </si>
  <si>
    <t>P444</t>
  </si>
  <si>
    <t>PROD 7</t>
  </si>
  <si>
    <t>PC193</t>
  </si>
  <si>
    <t>EFECTIVALE COMBUSTIBLE</t>
  </si>
  <si>
    <t xml:space="preserve">PAGADO </t>
  </si>
  <si>
    <t>PC194</t>
  </si>
  <si>
    <t>PC195</t>
  </si>
  <si>
    <t>P440</t>
  </si>
  <si>
    <t>P441</t>
  </si>
  <si>
    <t>P442</t>
  </si>
  <si>
    <t>P443</t>
  </si>
  <si>
    <t>P445</t>
  </si>
  <si>
    <t>P446</t>
  </si>
  <si>
    <t>P447</t>
  </si>
  <si>
    <t>45117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</si>
  <si>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</si>
  <si>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</si>
  <si>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</si>
  <si>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</si>
  <si>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</si>
  <si>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</si>
  <si>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</si>
  <si>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</si>
  <si>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</si>
  <si>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</si>
  <si>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10000</t>
  </si>
  <si>
    <t>P458</t>
  </si>
  <si>
    <t>P459</t>
  </si>
  <si>
    <t>P460</t>
  </si>
  <si>
    <t>P461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</si>
  <si>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</si>
  <si>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</si>
  <si>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</si>
  <si>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</si>
  <si>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</si>
  <si>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</si>
  <si>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</si>
  <si>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</si>
  <si>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</si>
  <si>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</si>
  <si>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</si>
  <si>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</si>
  <si>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</si>
  <si>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</si>
  <si>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</si>
  <si>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</si>
  <si>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</si>
  <si>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</si>
  <si>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15000</t>
  </si>
  <si>
    <t>N825</t>
  </si>
  <si>
    <t>92830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</si>
  <si>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</si>
  <si>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</si>
  <si>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</si>
  <si>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</si>
  <si>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</si>
  <si>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</si>
  <si>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</si>
  <si>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</si>
  <si>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</si>
  <si>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</si>
  <si>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</si>
  <si>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</si>
  <si>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</si>
  <si>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</si>
  <si>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</si>
  <si>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</si>
  <si>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</si>
  <si>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</si>
  <si>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</si>
  <si>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</si>
  <si>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</si>
  <si>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</si>
  <si>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</si>
  <si>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</si>
  <si>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</si>
  <si>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</si>
  <si>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</si>
  <si>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</si>
  <si>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</si>
  <si>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</si>
  <si>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</si>
  <si>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</si>
  <si>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</si>
  <si>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</si>
  <si>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</si>
  <si>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</si>
  <si>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</si>
  <si>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</si>
  <si>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</si>
  <si>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</si>
  <si>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</si>
  <si>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</si>
  <si>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</si>
  <si>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</si>
  <si>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</si>
  <si>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</si>
  <si>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</si>
  <si>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</si>
  <si>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</si>
  <si>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</si>
  <si>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</si>
  <si>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</si>
  <si>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</si>
  <si>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</si>
  <si>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</si>
  <si>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</si>
  <si>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</si>
  <si>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</si>
  <si>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</si>
  <si>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</si>
  <si>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</si>
  <si>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</si>
  <si>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</si>
  <si>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</si>
  <si>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</si>
  <si>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</si>
  <si>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</si>
  <si>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</si>
  <si>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</si>
  <si>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</si>
  <si>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</si>
  <si>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</si>
  <si>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</si>
  <si>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</si>
  <si>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</si>
  <si>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</si>
  <si>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</si>
  <si>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</si>
  <si>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</si>
  <si>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</si>
  <si>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</si>
  <si>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</si>
  <si>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</si>
  <si>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</si>
  <si>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</si>
  <si>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</si>
  <si>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</si>
  <si>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</si>
  <si>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</si>
  <si>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</si>
  <si>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</si>
  <si>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</si>
  <si>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</si>
  <si>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</si>
  <si>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</si>
  <si>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N922</t>
  </si>
  <si>
    <t>N923</t>
  </si>
  <si>
    <t>N924</t>
  </si>
  <si>
    <t>44800</t>
  </si>
  <si>
    <t>N925</t>
  </si>
  <si>
    <t>N926</t>
  </si>
  <si>
    <t>N927</t>
  </si>
  <si>
    <t>N928</t>
  </si>
  <si>
    <t>91500</t>
  </si>
  <si>
    <t>N929</t>
  </si>
  <si>
    <t>N930</t>
  </si>
  <si>
    <t>N931</t>
  </si>
  <si>
    <t>NOMINA VIÁTICOS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</si>
  <si>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</si>
  <si>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</si>
  <si>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</si>
  <si>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</si>
  <si>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</si>
  <si>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</si>
  <si>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</si>
  <si>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</si>
  <si>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</si>
  <si>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</si>
  <si>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</si>
  <si>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</si>
  <si>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</si>
  <si>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</si>
  <si>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</si>
  <si>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P462</t>
  </si>
  <si>
    <t>P463</t>
  </si>
  <si>
    <t>P464</t>
  </si>
  <si>
    <t>P465</t>
  </si>
  <si>
    <t>FONDEADORA</t>
  </si>
  <si>
    <t>P466</t>
  </si>
  <si>
    <t>P467</t>
  </si>
  <si>
    <t>P468</t>
  </si>
  <si>
    <t>P469</t>
  </si>
  <si>
    <t>P470</t>
  </si>
  <si>
    <t>P471</t>
  </si>
  <si>
    <t>P472</t>
  </si>
  <si>
    <t>P473</t>
  </si>
  <si>
    <t>BANSI</t>
  </si>
  <si>
    <t>P474</t>
  </si>
  <si>
    <t>PC196</t>
  </si>
  <si>
    <t>PC197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</si>
  <si>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</si>
  <si>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</si>
  <si>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</si>
  <si>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</si>
  <si>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</si>
  <si>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</si>
  <si>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</si>
  <si>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</si>
  <si>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</si>
  <si>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</si>
  <si>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</si>
  <si>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</si>
  <si>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55104</t>
  </si>
  <si>
    <t>P487</t>
  </si>
  <si>
    <t>P488</t>
  </si>
  <si>
    <t>01710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</si>
  <si>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</si>
  <si>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</si>
  <si>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</si>
  <si>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</si>
  <si>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</si>
  <si>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</si>
  <si>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</si>
  <si>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</si>
  <si>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</si>
  <si>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</si>
  <si>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</si>
  <si>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</si>
  <si>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</si>
  <si>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</si>
  <si>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</si>
  <si>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</si>
  <si>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T7</t>
  </si>
  <si>
    <t>T7.1</t>
  </si>
  <si>
    <t xml:space="preserve">Petty Cash </t>
  </si>
  <si>
    <t>44116</t>
  </si>
  <si>
    <t>44720</t>
  </si>
  <si>
    <t>45065</t>
  </si>
  <si>
    <t>PC198</t>
  </si>
  <si>
    <t>44647</t>
  </si>
  <si>
    <t>PC199</t>
  </si>
  <si>
    <t>PC200</t>
  </si>
  <si>
    <t>PC201</t>
  </si>
  <si>
    <t>45054</t>
  </si>
  <si>
    <t>PC202</t>
  </si>
  <si>
    <t>PC203</t>
  </si>
  <si>
    <t>PC204</t>
  </si>
  <si>
    <t>44860</t>
  </si>
  <si>
    <t>NO DEDUCIBLES</t>
  </si>
  <si>
    <t>PC205</t>
  </si>
  <si>
    <t>PC206</t>
  </si>
  <si>
    <t>PC207</t>
  </si>
  <si>
    <t>PC208</t>
  </si>
  <si>
    <t>PC209</t>
  </si>
  <si>
    <t>04369</t>
  </si>
  <si>
    <t>PC210</t>
  </si>
  <si>
    <t>WRAP 1</t>
  </si>
  <si>
    <t>WRAP 2</t>
  </si>
  <si>
    <t>P505</t>
  </si>
  <si>
    <t>45186</t>
  </si>
  <si>
    <t>P506</t>
  </si>
  <si>
    <t>45412</t>
  </si>
  <si>
    <t>P507</t>
  </si>
  <si>
    <t>P508</t>
  </si>
  <si>
    <t>N947</t>
  </si>
  <si>
    <t>N948</t>
  </si>
  <si>
    <t>N949</t>
  </si>
  <si>
    <t>N950</t>
  </si>
  <si>
    <t>N951</t>
  </si>
  <si>
    <t>N952</t>
  </si>
  <si>
    <t>N953</t>
  </si>
  <si>
    <t>N954</t>
  </si>
  <si>
    <t>P509</t>
  </si>
  <si>
    <t>P510</t>
  </si>
  <si>
    <t>BANCOPPEL</t>
  </si>
  <si>
    <t>P511</t>
  </si>
  <si>
    <t>P512</t>
  </si>
  <si>
    <t>P513</t>
  </si>
  <si>
    <t>P514</t>
  </si>
  <si>
    <t>P515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</si>
  <si>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</si>
  <si>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</si>
  <si>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</si>
  <si>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</si>
  <si>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</si>
  <si>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</si>
  <si>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</si>
  <si>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</si>
  <si>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</si>
  <si>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</si>
  <si>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</si>
  <si>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</si>
  <si>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</si>
  <si>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</si>
  <si>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</si>
  <si>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</si>
  <si>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</si>
  <si>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</si>
  <si>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</si>
  <si>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</si>
  <si>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</si>
  <si>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</si>
  <si>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</si>
  <si>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</si>
  <si>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</si>
  <si>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</si>
  <si>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</si>
  <si>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</si>
  <si>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</si>
  <si>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</si>
  <si>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</si>
  <si>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</si>
  <si>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</si>
  <si>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</si>
  <si>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</si>
  <si>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</si>
  <si>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</si>
  <si>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</si>
  <si>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</si>
  <si>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</si>
  <si>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</si>
  <si>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</si>
  <si>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</si>
  <si>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</si>
  <si>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</si>
  <si>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</si>
  <si>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</si>
  <si>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</si>
  <si>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</si>
  <si>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</si>
  <si>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48570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</si>
  <si>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</si>
  <si>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</si>
  <si>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</si>
  <si>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</si>
  <si>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</si>
  <si>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</si>
  <si>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</si>
  <si>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</si>
  <si>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</si>
  <si>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</si>
  <si>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</si>
  <si>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</si>
  <si>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</si>
  <si>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</si>
  <si>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</si>
  <si>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</si>
  <si>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</si>
  <si>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</si>
  <si>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</si>
  <si>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</si>
  <si>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</si>
  <si>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</si>
  <si>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</si>
  <si>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</si>
  <si>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</si>
  <si>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</si>
  <si>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</si>
  <si>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</si>
  <si>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</si>
  <si>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</si>
  <si>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</si>
  <si>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</si>
  <si>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</si>
  <si>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</si>
  <si>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</si>
  <si>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</si>
  <si>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</si>
  <si>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</si>
  <si>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</si>
  <si>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</si>
  <si>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</si>
  <si>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</si>
  <si>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</si>
  <si>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</si>
  <si>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</si>
  <si>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45655</t>
  </si>
  <si>
    <t>N1029</t>
  </si>
  <si>
    <t>56620</t>
  </si>
  <si>
    <t>N1030</t>
  </si>
  <si>
    <t>45519</t>
  </si>
  <si>
    <t>N1031</t>
  </si>
  <si>
    <t>N1032</t>
  </si>
  <si>
    <t>N1033</t>
  </si>
  <si>
    <t>N1034</t>
  </si>
  <si>
    <t>01270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</si>
  <si>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</si>
  <si>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</si>
  <si>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</si>
  <si>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</si>
  <si>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</si>
  <si>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</si>
  <si>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</si>
  <si>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</si>
  <si>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</si>
  <si>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</si>
  <si>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</si>
  <si>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</si>
  <si>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</si>
  <si>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</si>
  <si>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</si>
  <si>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</si>
  <si>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</si>
  <si>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</si>
  <si>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</si>
  <si>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</si>
  <si>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</si>
  <si>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</si>
  <si>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</si>
  <si>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</si>
  <si>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</si>
  <si>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</si>
  <si>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</si>
  <si>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</si>
  <si>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</si>
  <si>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</si>
  <si>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</si>
  <si>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</si>
  <si>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</si>
  <si>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</si>
  <si>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</si>
  <si>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</si>
  <si>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</si>
  <si>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</si>
  <si>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</si>
  <si>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</si>
  <si>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</si>
  <si>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</si>
  <si>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</si>
  <si>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</si>
  <si>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</si>
  <si>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</si>
  <si>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</si>
  <si>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</si>
  <si>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</si>
  <si>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</si>
  <si>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</si>
  <si>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</si>
  <si>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</si>
  <si>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64790</t>
  </si>
  <si>
    <t>N1088</t>
  </si>
  <si>
    <t>52937</t>
  </si>
  <si>
    <t>N1089</t>
  </si>
  <si>
    <t>54060</t>
  </si>
  <si>
    <t>N1090</t>
  </si>
  <si>
    <t>0133  - Actinver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</si>
  <si>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</si>
  <si>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</si>
  <si>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</si>
  <si>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</si>
  <si>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</si>
  <si>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</si>
  <si>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</si>
  <si>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</si>
  <si>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</si>
  <si>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</si>
  <si>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</si>
  <si>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</si>
  <si>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</si>
  <si>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44980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</si>
  <si>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</si>
  <si>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</si>
  <si>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</si>
  <si>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</si>
  <si>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</si>
  <si>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</si>
  <si>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</si>
  <si>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</si>
  <si>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</si>
  <si>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P541</t>
  </si>
  <si>
    <t>P542</t>
  </si>
  <si>
    <t>P543</t>
  </si>
  <si>
    <t>P544</t>
  </si>
  <si>
    <t>P545</t>
  </si>
  <si>
    <t>P546</t>
  </si>
  <si>
    <t>PC211</t>
  </si>
  <si>
    <t>PC212</t>
  </si>
  <si>
    <t>45048</t>
  </si>
  <si>
    <t>PC213</t>
  </si>
  <si>
    <t>PC214</t>
  </si>
  <si>
    <t>PC215</t>
  </si>
  <si>
    <t>Opcional para Grupos de Sociedades</t>
  </si>
  <si>
    <t>PC216</t>
  </si>
  <si>
    <t>PC217</t>
  </si>
  <si>
    <t>PC218</t>
  </si>
  <si>
    <t>45177</t>
  </si>
  <si>
    <t>PC219</t>
  </si>
  <si>
    <t>PC220</t>
  </si>
  <si>
    <t>PC221</t>
  </si>
  <si>
    <t>PC222</t>
  </si>
  <si>
    <t>PC223</t>
  </si>
  <si>
    <t>Coordinados</t>
  </si>
  <si>
    <t>PC224</t>
  </si>
  <si>
    <t>20286</t>
  </si>
  <si>
    <t>PC225</t>
  </si>
  <si>
    <t>PC226</t>
  </si>
  <si>
    <t>PC227</t>
  </si>
  <si>
    <t>F13</t>
  </si>
  <si>
    <t>F13.1</t>
  </si>
  <si>
    <t>DEV IVA</t>
  </si>
  <si>
    <t>DEV DE IVA</t>
  </si>
  <si>
    <t>BALU</t>
  </si>
  <si>
    <t>DINAMITA</t>
  </si>
  <si>
    <t>P547</t>
  </si>
  <si>
    <t>N1113</t>
  </si>
  <si>
    <t>P548</t>
  </si>
  <si>
    <t>P549</t>
  </si>
  <si>
    <t>PC228</t>
  </si>
  <si>
    <t xml:space="preserve">BANCO AZTECA </t>
  </si>
  <si>
    <t>PC229</t>
  </si>
  <si>
    <t>P551</t>
  </si>
  <si>
    <t>P552</t>
  </si>
  <si>
    <t>P553</t>
  </si>
  <si>
    <t>N1114</t>
  </si>
  <si>
    <t>N1115</t>
  </si>
  <si>
    <t>N1116</t>
  </si>
  <si>
    <t>N1117</t>
  </si>
  <si>
    <t>39715</t>
  </si>
  <si>
    <t>N1118</t>
  </si>
  <si>
    <t>N1119</t>
  </si>
  <si>
    <t>N1120</t>
  </si>
  <si>
    <t>N1121</t>
  </si>
  <si>
    <t>P554</t>
  </si>
  <si>
    <t>P555</t>
  </si>
  <si>
    <t>P556</t>
  </si>
  <si>
    <t>P557</t>
  </si>
  <si>
    <t>P558</t>
  </si>
  <si>
    <t>P559</t>
  </si>
  <si>
    <t>45038</t>
  </si>
  <si>
    <t>PC230</t>
  </si>
  <si>
    <t>PC231</t>
  </si>
  <si>
    <t>PC232</t>
  </si>
  <si>
    <t>PC233</t>
  </si>
  <si>
    <t>PC234</t>
  </si>
  <si>
    <t>PC235</t>
  </si>
  <si>
    <t>45185</t>
  </si>
  <si>
    <t>45427</t>
  </si>
  <si>
    <t>09638</t>
  </si>
  <si>
    <t>45068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</si>
  <si>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</si>
  <si>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</si>
  <si>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</si>
  <si>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</si>
  <si>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</si>
  <si>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</si>
  <si>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</si>
  <si>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</si>
  <si>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</si>
  <si>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53569</t>
  </si>
  <si>
    <t>53500</t>
  </si>
  <si>
    <t>PC245</t>
  </si>
  <si>
    <t>PC246</t>
  </si>
  <si>
    <t>WRAP 3</t>
  </si>
  <si>
    <t>PC247</t>
  </si>
  <si>
    <t>PETTY CASH </t>
  </si>
  <si>
    <t>BANORTE </t>
  </si>
  <si>
    <t>F14</t>
  </si>
  <si>
    <t>F14.1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</si>
  <si>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</si>
  <si>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</si>
  <si>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</si>
  <si>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</si>
  <si>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</si>
  <si>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</si>
  <si>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</si>
  <si>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</si>
  <si>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</si>
  <si>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</si>
  <si>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</si>
  <si>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</si>
  <si>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</si>
  <si>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</si>
  <si>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</si>
  <si>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</si>
  <si>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</si>
  <si>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</si>
  <si>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</si>
  <si>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</si>
  <si>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</si>
  <si>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</si>
  <si>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</si>
  <si>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</si>
  <si>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</si>
  <si>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</si>
  <si>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</si>
  <si>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</si>
  <si>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</si>
  <si>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</si>
  <si>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</si>
  <si>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</si>
  <si>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</si>
  <si>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</si>
  <si>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</si>
  <si>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</si>
  <si>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</si>
  <si>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</si>
  <si>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</si>
  <si>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</si>
  <si>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</si>
  <si>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</si>
  <si>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</si>
  <si>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</si>
  <si>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</si>
  <si>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</si>
  <si>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</si>
  <si>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</si>
  <si>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</si>
  <si>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</si>
  <si>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</si>
  <si>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</si>
  <si>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</si>
  <si>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</si>
  <si>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</si>
  <si>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</si>
  <si>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</si>
  <si>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</si>
  <si>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</si>
  <si>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</si>
  <si>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</si>
  <si>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</si>
  <si>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</si>
  <si>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</si>
  <si>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</si>
  <si>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</si>
  <si>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</si>
  <si>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</si>
  <si>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</si>
  <si>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</si>
  <si>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</si>
  <si>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</si>
  <si>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</si>
  <si>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</si>
  <si>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</si>
  <si>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</si>
  <si>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</si>
  <si>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09000</t>
  </si>
  <si>
    <t>N1163</t>
  </si>
  <si>
    <t>45608</t>
  </si>
  <si>
    <t>N1164</t>
  </si>
  <si>
    <t>N1165</t>
  </si>
  <si>
    <t>N1166</t>
  </si>
  <si>
    <t>N1167</t>
  </si>
  <si>
    <t>N1168</t>
  </si>
  <si>
    <t>N1169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</si>
  <si>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</si>
  <si>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</si>
  <si>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</si>
  <si>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</si>
  <si>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</si>
  <si>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</si>
  <si>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</si>
  <si>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</si>
  <si>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</si>
  <si>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</si>
  <si>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</si>
  <si>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</si>
  <si>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</si>
  <si>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</si>
  <si>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</si>
  <si>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</si>
  <si>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</si>
  <si>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</si>
  <si>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</si>
  <si>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</si>
  <si>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</si>
  <si>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</si>
  <si>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</si>
  <si>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</si>
  <si>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</si>
  <si>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</si>
  <si>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</si>
  <si>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</si>
  <si>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</si>
  <si>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</si>
  <si>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N1202</t>
  </si>
  <si>
    <t>N1203</t>
  </si>
  <si>
    <t>N1207</t>
  </si>
  <si>
    <t>54160</t>
  </si>
  <si>
    <t>N1208</t>
  </si>
  <si>
    <t>N1209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</si>
  <si>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</si>
  <si>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</si>
  <si>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</si>
  <si>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</si>
  <si>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</si>
  <si>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</si>
  <si>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</si>
  <si>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</si>
  <si>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50453</t>
  </si>
  <si>
    <t>50739</t>
  </si>
  <si>
    <t>PC256</t>
  </si>
  <si>
    <t>PC257</t>
  </si>
  <si>
    <t>45408</t>
  </si>
  <si>
    <t>45167</t>
  </si>
  <si>
    <t>44320</t>
  </si>
  <si>
    <t>54040</t>
  </si>
  <si>
    <t>45403</t>
  </si>
  <si>
    <t>45520</t>
  </si>
  <si>
    <t>PC258</t>
  </si>
  <si>
    <t>PC259</t>
  </si>
  <si>
    <t>PC260</t>
  </si>
  <si>
    <t>PC261</t>
  </si>
  <si>
    <t>PC262</t>
  </si>
  <si>
    <t>PC263</t>
  </si>
  <si>
    <t>PC264</t>
  </si>
  <si>
    <t>PC265</t>
  </si>
  <si>
    <t>PC266</t>
  </si>
  <si>
    <t>WRAP 4</t>
  </si>
  <si>
    <t>REVISAR ARTE</t>
  </si>
  <si>
    <t>No es de Arte Es de prod?</t>
  </si>
  <si>
    <t>WRAP 5</t>
  </si>
  <si>
    <t>N1170</t>
  </si>
  <si>
    <t>N1201</t>
  </si>
  <si>
    <t>N1204</t>
  </si>
  <si>
    <t>N1205</t>
  </si>
  <si>
    <t>N1206</t>
  </si>
  <si>
    <t>P596</t>
  </si>
  <si>
    <t>P597</t>
  </si>
  <si>
    <t>P598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</si>
  <si>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</si>
  <si>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</si>
  <si>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</si>
  <si>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</si>
  <si>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</si>
  <si>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</si>
  <si>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</si>
  <si>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</si>
  <si>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P599</t>
  </si>
  <si>
    <t>P600</t>
  </si>
  <si>
    <t>P601</t>
  </si>
  <si>
    <t>CITY NATIONAL BANK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</si>
  <si>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</si>
  <si>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</si>
  <si>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</si>
  <si>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</si>
  <si>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</si>
  <si>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</si>
  <si>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</si>
  <si>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</si>
  <si>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</si>
  <si>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</si>
  <si>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</si>
  <si>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</si>
  <si>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</si>
  <si>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</si>
  <si>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</si>
  <si>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</si>
  <si>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</si>
  <si>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</si>
  <si>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</si>
  <si>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</si>
  <si>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</si>
  <si>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</si>
  <si>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</si>
  <si>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</si>
  <si>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</si>
  <si>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</si>
  <si>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</si>
  <si>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</si>
  <si>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</si>
  <si>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</si>
  <si>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</si>
  <si>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</si>
  <si>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</si>
  <si>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</si>
  <si>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</si>
  <si>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</si>
  <si>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</si>
  <si>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P602</t>
  </si>
  <si>
    <t>T8</t>
  </si>
  <si>
    <t>T8.1</t>
  </si>
  <si>
    <t>P603</t>
  </si>
  <si>
    <t>P604</t>
  </si>
  <si>
    <t>P605</t>
  </si>
  <si>
    <t>P606</t>
  </si>
  <si>
    <t>PC267</t>
  </si>
  <si>
    <t>PC268</t>
  </si>
  <si>
    <t>PC269</t>
  </si>
  <si>
    <t>PC270</t>
  </si>
  <si>
    <t>PC271</t>
  </si>
  <si>
    <t>09070</t>
  </si>
  <si>
    <t>NOM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</si>
  <si>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</si>
  <si>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</si>
  <si>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</si>
  <si>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</si>
  <si>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</si>
  <si>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</si>
  <si>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</si>
  <si>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</si>
  <si>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</si>
  <si>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</si>
  <si>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</si>
  <si>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</si>
  <si>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</si>
  <si>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</si>
  <si>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</si>
  <si>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</si>
  <si>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</si>
  <si>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</si>
  <si>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</si>
  <si>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P607</t>
  </si>
  <si>
    <t>P608</t>
  </si>
  <si>
    <t>P609</t>
  </si>
  <si>
    <t>P610</t>
  </si>
  <si>
    <t>P611</t>
  </si>
  <si>
    <t>01090</t>
  </si>
  <si>
    <t>PC272</t>
  </si>
  <si>
    <t>PC273</t>
  </si>
  <si>
    <t>PC274</t>
  </si>
  <si>
    <t>PC275</t>
  </si>
  <si>
    <t>PC276</t>
  </si>
  <si>
    <t>PC277</t>
  </si>
  <si>
    <t>WRAP 6</t>
  </si>
  <si>
    <t>N1274</t>
  </si>
  <si>
    <t>N1275</t>
  </si>
  <si>
    <t>N1276</t>
  </si>
  <si>
    <t>N1277</t>
  </si>
  <si>
    <t>N1278</t>
  </si>
  <si>
    <t>N1279</t>
  </si>
  <si>
    <t>86150</t>
  </si>
  <si>
    <t>N1280</t>
  </si>
  <si>
    <t>N1281</t>
  </si>
  <si>
    <t>P612</t>
  </si>
  <si>
    <t>P613</t>
  </si>
  <si>
    <t>P614</t>
  </si>
  <si>
    <t>PC278</t>
  </si>
  <si>
    <t>PC279</t>
  </si>
  <si>
    <t>POST 1</t>
  </si>
  <si>
    <t>CUENTA</t>
  </si>
  <si>
    <t>PAGO</t>
  </si>
  <si>
    <t>NVO MONTO</t>
  </si>
  <si>
    <t>P615</t>
  </si>
  <si>
    <t>P616</t>
  </si>
  <si>
    <t>45147</t>
  </si>
  <si>
    <t>N1282</t>
  </si>
  <si>
    <t>N1283</t>
  </si>
  <si>
    <t>N1284</t>
  </si>
  <si>
    <t>P617</t>
  </si>
  <si>
    <t>44518</t>
  </si>
  <si>
    <t>PC280</t>
  </si>
  <si>
    <t>PC281</t>
  </si>
  <si>
    <t xml:space="preserve">Balance </t>
  </si>
  <si>
    <t>N1285</t>
  </si>
  <si>
    <t>N1286</t>
  </si>
  <si>
    <t>N1287</t>
  </si>
  <si>
    <t>P618</t>
  </si>
  <si>
    <t>PC282</t>
  </si>
  <si>
    <t>P619</t>
  </si>
  <si>
    <t>T9</t>
  </si>
  <si>
    <t>T9.1</t>
  </si>
  <si>
    <t>POST 2</t>
  </si>
  <si>
    <t>PC283</t>
  </si>
  <si>
    <t>PC284</t>
  </si>
  <si>
    <t>2602-023</t>
  </si>
  <si>
    <t>P620</t>
  </si>
  <si>
    <t>P621</t>
  </si>
  <si>
    <t>PC285</t>
  </si>
  <si>
    <t>7230-001</t>
  </si>
  <si>
    <t>7230-002</t>
  </si>
  <si>
    <t>7230-003</t>
  </si>
  <si>
    <t>7230-004</t>
  </si>
  <si>
    <t>7230-005</t>
  </si>
  <si>
    <t>CAMBIOS</t>
  </si>
  <si>
    <t>SI</t>
  </si>
  <si>
    <t>P624</t>
  </si>
  <si>
    <t>P625</t>
  </si>
  <si>
    <t>N1288</t>
  </si>
  <si>
    <t>N1289</t>
  </si>
  <si>
    <t>N1290</t>
  </si>
  <si>
    <t>N1291</t>
  </si>
  <si>
    <t>N1292</t>
  </si>
  <si>
    <t>P626</t>
  </si>
  <si>
    <t>N1293</t>
  </si>
  <si>
    <t>P627</t>
  </si>
  <si>
    <t>P628</t>
  </si>
  <si>
    <t>T10</t>
  </si>
  <si>
    <t>T10.1</t>
  </si>
  <si>
    <t>PC286</t>
  </si>
  <si>
    <t>POST 3</t>
  </si>
  <si>
    <t>PC287</t>
  </si>
  <si>
    <t>PC288</t>
  </si>
  <si>
    <t>PC289</t>
  </si>
  <si>
    <t>P623</t>
  </si>
  <si>
    <t>6 POST</t>
  </si>
  <si>
    <t>SABADELL</t>
  </si>
  <si>
    <t>5221-001</t>
  </si>
  <si>
    <t>Alquiler de Salas de Soinido</t>
  </si>
  <si>
    <t>N1294</t>
  </si>
  <si>
    <t>Semana 15 y 16 Post</t>
  </si>
  <si>
    <t>P629</t>
  </si>
  <si>
    <t>10 POST</t>
  </si>
  <si>
    <t>P630</t>
  </si>
  <si>
    <t>P631</t>
  </si>
  <si>
    <t>P632</t>
  </si>
  <si>
    <t>N1295</t>
  </si>
  <si>
    <t>N1296</t>
  </si>
  <si>
    <t>P633</t>
  </si>
  <si>
    <t>11 POST</t>
  </si>
  <si>
    <t>BANCO DO BRASIL</t>
  </si>
  <si>
    <t>P634</t>
  </si>
  <si>
    <t>P635</t>
  </si>
  <si>
    <t>PC290</t>
  </si>
  <si>
    <t>P636</t>
  </si>
  <si>
    <t>P637</t>
  </si>
  <si>
    <t xml:space="preserve">BANAMEX </t>
  </si>
  <si>
    <t>P638</t>
  </si>
  <si>
    <t>P639</t>
  </si>
  <si>
    <t>P640</t>
  </si>
  <si>
    <t>P641</t>
  </si>
  <si>
    <t>P642</t>
  </si>
  <si>
    <t>N1297</t>
  </si>
  <si>
    <t>N1298</t>
  </si>
  <si>
    <t>N1299</t>
  </si>
  <si>
    <t>P643</t>
  </si>
  <si>
    <t>T11</t>
  </si>
  <si>
    <t>T11.1</t>
  </si>
  <si>
    <t>PC291</t>
  </si>
  <si>
    <t>PC292</t>
  </si>
  <si>
    <t>P644</t>
  </si>
  <si>
    <t>14 POST</t>
  </si>
  <si>
    <t>PC293</t>
  </si>
  <si>
    <t xml:space="preserve">SEPTIEMBRE </t>
  </si>
  <si>
    <t>PC294</t>
  </si>
  <si>
    <t>PC295</t>
  </si>
  <si>
    <t>SEPTIEMBRE</t>
  </si>
  <si>
    <t>costo</t>
  </si>
  <si>
    <t>P646</t>
  </si>
  <si>
    <t>P647</t>
  </si>
  <si>
    <t>P648</t>
  </si>
  <si>
    <t>P649</t>
  </si>
  <si>
    <t>P650</t>
  </si>
  <si>
    <t>P651</t>
  </si>
  <si>
    <t>P652</t>
  </si>
  <si>
    <t>P653</t>
  </si>
  <si>
    <t>02060</t>
  </si>
  <si>
    <t>P654</t>
  </si>
  <si>
    <t>N1300</t>
  </si>
  <si>
    <t>N1301</t>
  </si>
  <si>
    <t>N1302</t>
  </si>
  <si>
    <t>N1303</t>
  </si>
  <si>
    <t>P645</t>
  </si>
  <si>
    <t>OCTUBRE</t>
  </si>
  <si>
    <t>P655</t>
  </si>
  <si>
    <t>17 POST</t>
  </si>
  <si>
    <t>P656</t>
  </si>
  <si>
    <t>P657</t>
  </si>
  <si>
    <t>P658</t>
  </si>
  <si>
    <t>P659</t>
  </si>
  <si>
    <t xml:space="preserve">ROYAL BANK OF SCOTLAND </t>
  </si>
  <si>
    <t>P660</t>
  </si>
  <si>
    <t>P661</t>
  </si>
  <si>
    <t>P662</t>
  </si>
  <si>
    <t>WELLS FARGO BANK</t>
  </si>
  <si>
    <t>NOVIEMBRE</t>
  </si>
  <si>
    <t>P663</t>
  </si>
  <si>
    <t>19 POST</t>
  </si>
  <si>
    <t>P664</t>
  </si>
  <si>
    <t>BANKOOL</t>
  </si>
  <si>
    <t>P665</t>
  </si>
  <si>
    <t>P666</t>
  </si>
  <si>
    <t>P667</t>
  </si>
  <si>
    <t>P668</t>
  </si>
  <si>
    <t>T12</t>
  </si>
  <si>
    <t>T12.1</t>
  </si>
  <si>
    <t>P669</t>
  </si>
  <si>
    <t>P670</t>
  </si>
  <si>
    <t>P671</t>
  </si>
  <si>
    <t>P672</t>
  </si>
  <si>
    <t>P673</t>
  </si>
  <si>
    <t>P674</t>
  </si>
  <si>
    <t>P675</t>
  </si>
  <si>
    <t>CITIZENS BUSINESS BANK</t>
  </si>
  <si>
    <t>P676</t>
  </si>
  <si>
    <t>SANTANDER ESPAÑA</t>
  </si>
  <si>
    <t>P677</t>
  </si>
  <si>
    <t>P678</t>
  </si>
  <si>
    <t>N1304</t>
  </si>
  <si>
    <t>P679</t>
  </si>
  <si>
    <t>F15</t>
  </si>
  <si>
    <t>T13</t>
  </si>
  <si>
    <t>T13.1</t>
  </si>
  <si>
    <t>balance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</si>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</sst>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yyyy\-mm\-dd;@"/>
    <numFmt numFmtId="168" formatCode="_(* #,##0_);_(* \(#,##0\);_(* &quot;-&quot;??_);_(@_)"/>
    <numFmt numFmtId="169" formatCode="_-&quot;$&quot;* #,##0_-;\-&quot;$&quot;* #,##0_-;_-&quot;$&quot;* &quot;-&quot;??_-;_-@_-"/>
    <numFmt numFmtId="170" formatCode="&quot;£&quot;#,##0.00"/>
    <numFmt numFmtId="171" formatCode="&quot;$&quot;#,##0.00"/>
    <numFmt numFmtId="172" formatCode="#,##0.0"/>
    <numFmt numFmtId="173" formatCode="0.000"/>
    <numFmt numFmtId="174" formatCode="&quot;$&quot;#,##0.0000"/>
    <numFmt numFmtId="175" formatCode="yyyy\-mm\-dd"/>
    <numFmt numFmtId="176" formatCode="_-&quot;$&quot;* #,##0.00_-;\-&quot;$&quot;* #,##0.00_-;_-&quot;$&quot;* &quot;-&quot;??_-;_-@"/>
    <numFmt numFmtId="177" formatCode="_-* #,##0_-;\-* #,##0_-;_-* &quot;-&quot;??_-;_-@_-"/>
  </numFmts>
  <fonts count="5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name val="Tahoma"/>
      <family val="2"/>
    </font>
    <font>
      <b/>
      <sz val="16"/>
      <color rgb="FFFFC000"/>
      <name val="Tahoma"/>
      <family val="2"/>
    </font>
    <font>
      <sz val="11"/>
      <name val="Tahoma"/>
      <family val="2"/>
    </font>
    <font>
      <b/>
      <sz val="11"/>
      <color theme="1"/>
      <name val="Tahoma"/>
      <family val="2"/>
    </font>
    <font>
      <b/>
      <sz val="10"/>
      <color theme="1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b/>
      <sz val="11"/>
      <color theme="0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10"/>
      <name val="Tahoma"/>
      <family val="2"/>
    </font>
    <font>
      <b/>
      <u/>
      <sz val="8"/>
      <color theme="0"/>
      <name val="Tahoma"/>
      <family val="2"/>
    </font>
    <font>
      <sz val="11"/>
      <color theme="0"/>
      <name val="Tahoma"/>
      <family val="2"/>
    </font>
    <font>
      <b/>
      <sz val="22"/>
      <color theme="0"/>
      <name val="Tahoma"/>
      <family val="2"/>
    </font>
    <font>
      <b/>
      <sz val="8"/>
      <color theme="0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8"/>
      <color rgb="FFFF0000"/>
      <name val="Tahoma"/>
      <family val="2"/>
    </font>
    <font>
      <sz val="8"/>
      <color theme="1"/>
      <name val="Tahoma"/>
      <family val="2"/>
    </font>
    <font>
      <sz val="10"/>
      <color rgb="FF000000"/>
      <name val="Calibri"/>
      <family val="2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family val="2"/>
    </font>
    <font>
      <sz val="11"/>
      <color theme="0"/>
      <name val="Calibri"/>
      <family val="2"/>
    </font>
    <font>
      <b/>
      <sz val="11"/>
      <color theme="0"/>
      <name val="Calibri (Body)"/>
    </font>
    <font>
      <sz val="11"/>
      <color theme="0"/>
      <name val="Calibri (Body)"/>
    </font>
    <font>
      <sz val="12"/>
      <color theme="0"/>
      <name val="Calibri (Body)"/>
    </font>
    <font>
      <u/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16274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theme="8"/>
      </patternFill>
    </fill>
    <fill>
      <patternFill patternType="solid">
        <fgColor theme="4" tint="0.39997558519241921"/>
        <bgColor theme="8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 tint="-0.14999847407452621"/>
      </patternFill>
    </fill>
    <fill>
      <patternFill patternType="solid">
        <fgColor rgb="FF7030A0"/>
        <bgColor rgb="FFF4CCCC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theme="0" tint="-0.14999847407452621"/>
      </patternFill>
    </fill>
  </fills>
  <borders count="3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6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/>
      <top style="thin">
        <color theme="6"/>
      </top>
      <bottom/>
      <diagonal/>
    </border>
    <border>
      <left/>
      <right style="thin">
        <color theme="0"/>
      </right>
      <top style="thin">
        <color theme="6"/>
      </top>
      <bottom/>
      <diagonal/>
    </border>
    <border>
      <left style="thin">
        <color rgb="FFA5A5A5"/>
      </left>
      <right style="thin">
        <color theme="0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rgb="FFA5A5A5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medium">
        <color indexed="64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8">
    <xf numFmtId="0" fontId="0" fillId="0" borderId="0"/>
    <xf numFmtId="16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0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345">
    <xf numFmtId="0" fontId="0" fillId="0" borderId="0" xfId="0"/>
    <xf numFmtId="0" fontId="5" fillId="0" borderId="0" xfId="0" applyFont="1"/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66" fontId="5" fillId="0" borderId="0" xfId="1" applyFont="1"/>
    <xf numFmtId="166" fontId="6" fillId="3" borderId="0" xfId="1" applyFont="1" applyFill="1" applyBorder="1" applyAlignment="1">
      <alignment horizontal="center" vertical="center" wrapText="1"/>
    </xf>
    <xf numFmtId="166" fontId="5" fillId="0" borderId="0" xfId="1" applyFont="1" applyFill="1"/>
    <xf numFmtId="0" fontId="11" fillId="0" borderId="0" xfId="0" applyFont="1"/>
    <xf numFmtId="0" fontId="12" fillId="3" borderId="7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0" fillId="9" borderId="0" xfId="0" applyFill="1"/>
    <xf numFmtId="0" fontId="11" fillId="9" borderId="0" xfId="0" applyFont="1" applyFill="1"/>
    <xf numFmtId="0" fontId="8" fillId="9" borderId="0" xfId="0" applyFont="1" applyFill="1" applyAlignment="1">
      <alignment horizontal="left"/>
    </xf>
    <xf numFmtId="0" fontId="9" fillId="9" borderId="0" xfId="0" applyFont="1" applyFill="1" applyAlignment="1">
      <alignment horizontal="left" indent="1"/>
    </xf>
    <xf numFmtId="0" fontId="10" fillId="9" borderId="0" xfId="0" applyFont="1" applyFill="1" applyAlignment="1">
      <alignment horizontal="left" vertical="center" indent="1"/>
    </xf>
    <xf numFmtId="166" fontId="11" fillId="9" borderId="0" xfId="1" applyFont="1" applyFill="1"/>
    <xf numFmtId="166" fontId="11" fillId="0" borderId="0" xfId="1" applyFont="1"/>
    <xf numFmtId="166" fontId="12" fillId="3" borderId="4" xfId="1" applyFont="1" applyFill="1" applyBorder="1" applyAlignment="1">
      <alignment horizontal="center" vertical="center" wrapText="1"/>
    </xf>
    <xf numFmtId="166" fontId="12" fillId="5" borderId="3" xfId="1" applyFont="1" applyFill="1" applyBorder="1" applyAlignment="1">
      <alignment horizontal="center" vertical="center" wrapText="1"/>
    </xf>
    <xf numFmtId="166" fontId="12" fillId="3" borderId="5" xfId="1" applyFont="1" applyFill="1" applyBorder="1" applyAlignment="1">
      <alignment horizontal="center" vertical="center" wrapText="1"/>
    </xf>
    <xf numFmtId="166" fontId="12" fillId="3" borderId="3" xfId="1" applyFont="1" applyFill="1" applyBorder="1" applyAlignment="1">
      <alignment horizontal="center" vertical="center" wrapText="1"/>
    </xf>
    <xf numFmtId="166" fontId="12" fillId="5" borderId="5" xfId="1" applyFont="1" applyFill="1" applyBorder="1" applyAlignment="1">
      <alignment horizontal="center" vertical="center"/>
    </xf>
    <xf numFmtId="166" fontId="12" fillId="3" borderId="3" xfId="1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9" fillId="9" borderId="0" xfId="0" applyFont="1" applyFill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0" fontId="12" fillId="8" borderId="0" xfId="0" applyFont="1" applyFill="1" applyAlignment="1">
      <alignment horizontal="right" vertical="center"/>
    </xf>
    <xf numFmtId="168" fontId="16" fillId="8" borderId="0" xfId="1" applyNumberFormat="1" applyFont="1" applyFill="1"/>
    <xf numFmtId="166" fontId="0" fillId="9" borderId="0" xfId="1" applyFont="1" applyFill="1"/>
    <xf numFmtId="168" fontId="15" fillId="10" borderId="0" xfId="4" applyNumberFormat="1"/>
    <xf numFmtId="9" fontId="0" fillId="9" borderId="0" xfId="3" applyFont="1" applyFill="1"/>
    <xf numFmtId="0" fontId="23" fillId="0" borderId="0" xfId="5" applyFont="1"/>
    <xf numFmtId="1" fontId="24" fillId="0" borderId="14" xfId="5" applyNumberFormat="1" applyFont="1" applyBorder="1" applyAlignment="1">
      <alignment horizontal="center" vertical="center"/>
    </xf>
    <xf numFmtId="0" fontId="22" fillId="0" borderId="14" xfId="5" applyFont="1" applyBorder="1" applyAlignment="1">
      <alignment horizontal="center"/>
    </xf>
    <xf numFmtId="4" fontId="25" fillId="0" borderId="0" xfId="6" applyNumberFormat="1" applyFont="1" applyFill="1" applyBorder="1"/>
    <xf numFmtId="4" fontId="23" fillId="0" borderId="0" xfId="5" applyNumberFormat="1" applyFont="1"/>
    <xf numFmtId="0" fontId="25" fillId="0" borderId="0" xfId="5" applyFont="1"/>
    <xf numFmtId="0" fontId="23" fillId="0" borderId="0" xfId="5" applyFont="1" applyAlignment="1">
      <alignment horizontal="left" vertical="top"/>
    </xf>
    <xf numFmtId="169" fontId="23" fillId="0" borderId="19" xfId="5" applyNumberFormat="1" applyFont="1" applyBorder="1" applyAlignment="1">
      <alignment horizontal="left" vertical="top"/>
    </xf>
    <xf numFmtId="169" fontId="25" fillId="0" borderId="20" xfId="6" applyNumberFormat="1" applyFont="1" applyFill="1" applyBorder="1"/>
    <xf numFmtId="0" fontId="26" fillId="0" borderId="0" xfId="5" applyFont="1"/>
    <xf numFmtId="169" fontId="26" fillId="0" borderId="0" xfId="6" applyNumberFormat="1" applyFont="1" applyFill="1" applyBorder="1"/>
    <xf numFmtId="4" fontId="26" fillId="0" borderId="0" xfId="6" applyNumberFormat="1" applyFont="1" applyFill="1" applyBorder="1"/>
    <xf numFmtId="165" fontId="26" fillId="0" borderId="12" xfId="2" applyFont="1" applyBorder="1" applyAlignment="1">
      <alignment horizontal="left" vertical="top" wrapText="1"/>
    </xf>
    <xf numFmtId="0" fontId="18" fillId="9" borderId="0" xfId="5" applyFont="1" applyFill="1"/>
    <xf numFmtId="1" fontId="19" fillId="9" borderId="0" xfId="5" applyNumberFormat="1" applyFont="1" applyFill="1"/>
    <xf numFmtId="0" fontId="20" fillId="9" borderId="0" xfId="5" applyFont="1" applyFill="1"/>
    <xf numFmtId="0" fontId="21" fillId="9" borderId="0" xfId="5" applyFont="1" applyFill="1"/>
    <xf numFmtId="0" fontId="23" fillId="9" borderId="0" xfId="5" applyFont="1" applyFill="1"/>
    <xf numFmtId="4" fontId="23" fillId="9" borderId="0" xfId="6" applyNumberFormat="1" applyFont="1" applyFill="1"/>
    <xf numFmtId="166" fontId="23" fillId="9" borderId="0" xfId="1" applyFont="1" applyFill="1"/>
    <xf numFmtId="169" fontId="23" fillId="9" borderId="0" xfId="5" applyNumberFormat="1" applyFont="1" applyFill="1"/>
    <xf numFmtId="169" fontId="11" fillId="9" borderId="0" xfId="5" applyNumberFormat="1" applyFill="1"/>
    <xf numFmtId="0" fontId="11" fillId="9" borderId="0" xfId="5" applyFill="1"/>
    <xf numFmtId="43" fontId="23" fillId="9" borderId="0" xfId="6" applyFont="1" applyFill="1"/>
    <xf numFmtId="43" fontId="23" fillId="9" borderId="0" xfId="5" applyNumberFormat="1" applyFont="1" applyFill="1"/>
    <xf numFmtId="0" fontId="23" fillId="9" borderId="11" xfId="5" applyFont="1" applyFill="1" applyBorder="1"/>
    <xf numFmtId="0" fontId="23" fillId="9" borderId="0" xfId="5" applyFont="1" applyFill="1" applyAlignment="1">
      <alignment horizontal="center"/>
    </xf>
    <xf numFmtId="0" fontId="23" fillId="9" borderId="12" xfId="5" applyFont="1" applyFill="1" applyBorder="1"/>
    <xf numFmtId="0" fontId="23" fillId="9" borderId="11" xfId="5" applyFont="1" applyFill="1" applyBorder="1" applyAlignment="1">
      <alignment horizontal="center" vertical="top"/>
    </xf>
    <xf numFmtId="0" fontId="23" fillId="9" borderId="0" xfId="5" applyFont="1" applyFill="1" applyAlignment="1">
      <alignment horizontal="left" vertical="top"/>
    </xf>
    <xf numFmtId="170" fontId="25" fillId="9" borderId="0" xfId="5" applyNumberFormat="1" applyFont="1" applyFill="1" applyAlignment="1">
      <alignment horizontal="center" vertical="top"/>
    </xf>
    <xf numFmtId="0" fontId="25" fillId="9" borderId="12" xfId="5" applyFont="1" applyFill="1" applyBorder="1" applyAlignment="1">
      <alignment horizontal="left" vertical="top" wrapText="1"/>
    </xf>
    <xf numFmtId="0" fontId="23" fillId="9" borderId="21" xfId="5" applyFont="1" applyFill="1" applyBorder="1"/>
    <xf numFmtId="0" fontId="23" fillId="9" borderId="22" xfId="5" applyFont="1" applyFill="1" applyBorder="1"/>
    <xf numFmtId="0" fontId="23" fillId="9" borderId="22" xfId="5" applyFont="1" applyFill="1" applyBorder="1" applyAlignment="1">
      <alignment horizontal="center"/>
    </xf>
    <xf numFmtId="0" fontId="23" fillId="9" borderId="23" xfId="5" applyFont="1" applyFill="1" applyBorder="1"/>
    <xf numFmtId="43" fontId="23" fillId="9" borderId="0" xfId="6" applyFont="1" applyFill="1" applyBorder="1"/>
    <xf numFmtId="4" fontId="23" fillId="9" borderId="0" xfId="5" applyNumberFormat="1" applyFont="1" applyFill="1"/>
    <xf numFmtId="0" fontId="27" fillId="9" borderId="0" xfId="5" applyFont="1" applyFill="1"/>
    <xf numFmtId="4" fontId="25" fillId="9" borderId="12" xfId="6" applyNumberFormat="1" applyFont="1" applyFill="1" applyBorder="1"/>
    <xf numFmtId="0" fontId="28" fillId="8" borderId="11" xfId="5" applyFont="1" applyFill="1" applyBorder="1" applyAlignment="1">
      <alignment horizontal="center" vertical="center"/>
    </xf>
    <xf numFmtId="0" fontId="28" fillId="8" borderId="0" xfId="5" applyFont="1" applyFill="1" applyAlignment="1">
      <alignment horizontal="center" vertical="center"/>
    </xf>
    <xf numFmtId="0" fontId="28" fillId="8" borderId="12" xfId="5" applyFont="1" applyFill="1" applyBorder="1" applyAlignment="1">
      <alignment horizontal="center" vertical="center" wrapText="1"/>
    </xf>
    <xf numFmtId="1" fontId="29" fillId="8" borderId="11" xfId="5" applyNumberFormat="1" applyFont="1" applyFill="1" applyBorder="1" applyAlignment="1">
      <alignment horizontal="center"/>
    </xf>
    <xf numFmtId="1" fontId="29" fillId="8" borderId="0" xfId="5" applyNumberFormat="1" applyFont="1" applyFill="1"/>
    <xf numFmtId="2" fontId="29" fillId="8" borderId="0" xfId="5" applyNumberFormat="1" applyFont="1" applyFill="1"/>
    <xf numFmtId="1" fontId="29" fillId="8" borderId="12" xfId="5" applyNumberFormat="1" applyFont="1" applyFill="1" applyBorder="1"/>
    <xf numFmtId="1" fontId="28" fillId="8" borderId="11" xfId="5" applyNumberFormat="1" applyFont="1" applyFill="1" applyBorder="1"/>
    <xf numFmtId="0" fontId="31" fillId="8" borderId="0" xfId="5" applyFont="1" applyFill="1"/>
    <xf numFmtId="0" fontId="31" fillId="8" borderId="0" xfId="5" applyFont="1" applyFill="1" applyAlignment="1">
      <alignment horizontal="center"/>
    </xf>
    <xf numFmtId="1" fontId="28" fillId="8" borderId="12" xfId="5" applyNumberFormat="1" applyFont="1" applyFill="1" applyBorder="1"/>
    <xf numFmtId="0" fontId="28" fillId="8" borderId="11" xfId="5" applyFont="1" applyFill="1" applyBorder="1"/>
    <xf numFmtId="0" fontId="28" fillId="8" borderId="12" xfId="5" applyFont="1" applyFill="1" applyBorder="1"/>
    <xf numFmtId="172" fontId="34" fillId="9" borderId="0" xfId="5" applyNumberFormat="1" applyFont="1" applyFill="1"/>
    <xf numFmtId="169" fontId="35" fillId="4" borderId="12" xfId="2" applyNumberFormat="1" applyFont="1" applyFill="1" applyBorder="1"/>
    <xf numFmtId="169" fontId="35" fillId="0" borderId="12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12" fillId="5" borderId="6" xfId="1" applyFont="1" applyFill="1" applyBorder="1" applyAlignment="1">
      <alignment horizontal="center" vertical="center" wrapText="1"/>
    </xf>
    <xf numFmtId="166" fontId="12" fillId="5" borderId="7" xfId="1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7" fontId="12" fillId="6" borderId="26" xfId="0" applyNumberFormat="1" applyFont="1" applyFill="1" applyBorder="1" applyAlignment="1">
      <alignment horizontal="center" vertical="center" wrapText="1"/>
    </xf>
    <xf numFmtId="165" fontId="0" fillId="0" borderId="0" xfId="2" applyFont="1"/>
    <xf numFmtId="165" fontId="12" fillId="7" borderId="26" xfId="2" applyFont="1" applyFill="1" applyBorder="1" applyAlignment="1">
      <alignment horizontal="center" vertical="center" wrapText="1"/>
    </xf>
    <xf numFmtId="4" fontId="12" fillId="8" borderId="27" xfId="5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43" fontId="12" fillId="8" borderId="27" xfId="1" applyNumberFormat="1" applyFont="1" applyFill="1" applyBorder="1" applyAlignment="1">
      <alignment horizontal="center"/>
    </xf>
    <xf numFmtId="0" fontId="0" fillId="16" borderId="0" xfId="0" applyFill="1"/>
    <xf numFmtId="14" fontId="0" fillId="16" borderId="0" xfId="0" applyNumberFormat="1" applyFill="1"/>
    <xf numFmtId="165" fontId="0" fillId="16" borderId="0" xfId="2" applyFont="1" applyFill="1"/>
    <xf numFmtId="43" fontId="0" fillId="17" borderId="1" xfId="1" applyNumberFormat="1" applyFont="1" applyFill="1" applyBorder="1"/>
    <xf numFmtId="43" fontId="0" fillId="18" borderId="1" xfId="1" applyNumberFormat="1" applyFont="1" applyFill="1" applyBorder="1"/>
    <xf numFmtId="166" fontId="0" fillId="0" borderId="0" xfId="0" applyNumberFormat="1"/>
    <xf numFmtId="166" fontId="0" fillId="0" borderId="0" xfId="1" applyFont="1"/>
    <xf numFmtId="43" fontId="0" fillId="19" borderId="1" xfId="1" applyNumberFormat="1" applyFont="1" applyFill="1" applyBorder="1"/>
    <xf numFmtId="166" fontId="23" fillId="9" borderId="0" xfId="5" applyNumberFormat="1" applyFont="1" applyFill="1"/>
    <xf numFmtId="168" fontId="0" fillId="9" borderId="0" xfId="0" applyNumberFormat="1" applyFill="1"/>
    <xf numFmtId="171" fontId="0" fillId="16" borderId="0" xfId="2" applyNumberFormat="1" applyFont="1" applyFill="1"/>
    <xf numFmtId="43" fontId="0" fillId="0" borderId="0" xfId="0" applyNumberFormat="1"/>
    <xf numFmtId="168" fontId="14" fillId="8" borderId="0" xfId="1" applyNumberFormat="1" applyFont="1" applyFill="1" applyAlignment="1">
      <alignment horizontal="right"/>
    </xf>
    <xf numFmtId="0" fontId="0" fillId="13" borderId="0" xfId="0" applyFill="1"/>
    <xf numFmtId="165" fontId="0" fillId="0" borderId="0" xfId="0" applyNumberFormat="1"/>
    <xf numFmtId="0" fontId="12" fillId="6" borderId="0" xfId="0" applyFont="1" applyFill="1" applyAlignment="1">
      <alignment horizontal="center" vertical="center" wrapText="1"/>
    </xf>
    <xf numFmtId="0" fontId="36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174" fontId="0" fillId="0" borderId="0" xfId="0" applyNumberFormat="1"/>
    <xf numFmtId="166" fontId="6" fillId="0" borderId="0" xfId="1" applyFont="1" applyFill="1" applyBorder="1" applyAlignment="1">
      <alignment horizontal="center" vertical="center" wrapText="1"/>
    </xf>
    <xf numFmtId="0" fontId="33" fillId="14" borderId="24" xfId="0" applyFont="1" applyFill="1" applyBorder="1" applyAlignment="1">
      <alignment horizontal="left"/>
    </xf>
    <xf numFmtId="0" fontId="33" fillId="0" borderId="24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3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8" fillId="0" borderId="0" xfId="7" applyFont="1" applyBorder="1"/>
    <xf numFmtId="0" fontId="0" fillId="20" borderId="0" xfId="0" applyFill="1"/>
    <xf numFmtId="166" fontId="0" fillId="20" borderId="0" xfId="1" applyFont="1" applyFill="1"/>
    <xf numFmtId="166" fontId="23" fillId="9" borderId="11" xfId="5" quotePrefix="1" applyNumberFormat="1" applyFont="1" applyFill="1" applyBorder="1" applyAlignment="1">
      <alignment vertical="top"/>
    </xf>
    <xf numFmtId="166" fontId="33" fillId="14" borderId="24" xfId="1" applyFont="1" applyFill="1" applyBorder="1" applyAlignment="1">
      <alignment horizontal="left"/>
    </xf>
    <xf numFmtId="166" fontId="33" fillId="0" borderId="0" xfId="1" applyFont="1" applyAlignment="1">
      <alignment horizontal="left"/>
    </xf>
    <xf numFmtId="166" fontId="11" fillId="0" borderId="0" xfId="1" applyFont="1" applyAlignment="1">
      <alignment horizontal="center" wrapText="1"/>
    </xf>
    <xf numFmtId="168" fontId="0" fillId="13" borderId="0" xfId="0" applyNumberFormat="1" applyFill="1"/>
    <xf numFmtId="0" fontId="2" fillId="15" borderId="0" xfId="0" applyFont="1" applyFill="1" applyAlignment="1">
      <alignment horizontal="left" wrapText="1"/>
    </xf>
    <xf numFmtId="165" fontId="23" fillId="9" borderId="0" xfId="5" applyNumberFormat="1" applyFont="1" applyFill="1" applyAlignment="1">
      <alignment horizontal="center"/>
    </xf>
    <xf numFmtId="0" fontId="42" fillId="21" borderId="0" xfId="0" applyFont="1" applyFill="1" applyAlignment="1">
      <alignment horizontal="center" vertical="center" wrapText="1"/>
    </xf>
    <xf numFmtId="49" fontId="42" fillId="21" borderId="0" xfId="0" applyNumberFormat="1" applyFont="1" applyFill="1" applyAlignment="1">
      <alignment horizontal="center" vertical="center" wrapText="1"/>
    </xf>
    <xf numFmtId="0" fontId="42" fillId="22" borderId="0" xfId="0" applyFont="1" applyFill="1" applyAlignment="1">
      <alignment horizontal="center" vertical="center" wrapText="1"/>
    </xf>
    <xf numFmtId="49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horizontal="center" vertical="center" wrapText="1"/>
    </xf>
    <xf numFmtId="175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vertical="center" wrapText="1"/>
    </xf>
    <xf numFmtId="176" fontId="40" fillId="23" borderId="0" xfId="0" applyNumberFormat="1" applyFont="1" applyFill="1" applyAlignment="1">
      <alignment horizontal="center" vertical="center" wrapText="1"/>
    </xf>
    <xf numFmtId="49" fontId="40" fillId="23" borderId="0" xfId="0" applyNumberFormat="1" applyFont="1" applyFill="1" applyAlignment="1">
      <alignment horizontal="center" vertical="center" wrapText="1"/>
    </xf>
    <xf numFmtId="176" fontId="40" fillId="21" borderId="0" xfId="0" applyNumberFormat="1" applyFont="1" applyFill="1" applyAlignment="1">
      <alignment horizontal="center" vertical="center" wrapText="1"/>
    </xf>
    <xf numFmtId="0" fontId="40" fillId="23" borderId="25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168" fontId="40" fillId="24" borderId="0" xfId="0" applyNumberFormat="1" applyFont="1" applyFill="1" applyAlignment="1">
      <alignment horizontal="center" vertical="center" wrapText="1"/>
    </xf>
    <xf numFmtId="0" fontId="32" fillId="14" borderId="28" xfId="0" applyFont="1" applyFill="1" applyBorder="1" applyAlignment="1">
      <alignment horizontal="left"/>
    </xf>
    <xf numFmtId="0" fontId="33" fillId="14" borderId="29" xfId="0" applyFont="1" applyFill="1" applyBorder="1" applyAlignment="1">
      <alignment horizontal="left"/>
    </xf>
    <xf numFmtId="0" fontId="32" fillId="0" borderId="30" xfId="0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166" fontId="40" fillId="23" borderId="0" xfId="1" applyFont="1" applyFill="1" applyAlignment="1">
      <alignment horizontal="center" vertical="center" wrapText="1"/>
    </xf>
    <xf numFmtId="166" fontId="32" fillId="14" borderId="24" xfId="1" applyFont="1" applyFill="1" applyBorder="1" applyAlignment="1">
      <alignment horizontal="left"/>
    </xf>
    <xf numFmtId="166" fontId="32" fillId="0" borderId="0" xfId="1" applyFont="1" applyAlignment="1">
      <alignment horizontal="left"/>
    </xf>
    <xf numFmtId="0" fontId="39" fillId="0" borderId="0" xfId="0" applyFont="1" applyAlignment="1">
      <alignment vertical="center"/>
    </xf>
    <xf numFmtId="166" fontId="14" fillId="8" borderId="0" xfId="1" applyFont="1" applyFill="1" applyAlignment="1">
      <alignment horizontal="right"/>
    </xf>
    <xf numFmtId="176" fontId="0" fillId="0" borderId="0" xfId="0" applyNumberFormat="1"/>
    <xf numFmtId="177" fontId="0" fillId="5" borderId="0" xfId="0" applyNumberFormat="1" applyFill="1"/>
    <xf numFmtId="0" fontId="43" fillId="8" borderId="0" xfId="0" applyFont="1" applyFill="1"/>
    <xf numFmtId="0" fontId="43" fillId="13" borderId="0" xfId="0" applyFont="1" applyFill="1"/>
    <xf numFmtId="0" fontId="16" fillId="25" borderId="0" xfId="0" applyFont="1" applyFill="1"/>
    <xf numFmtId="166" fontId="16" fillId="25" borderId="0" xfId="1" applyFont="1" applyFill="1"/>
    <xf numFmtId="166" fontId="16" fillId="13" borderId="0" xfId="1" applyFont="1" applyFill="1"/>
    <xf numFmtId="0" fontId="0" fillId="9" borderId="0" xfId="0" applyFill="1" applyAlignment="1">
      <alignment horizontal="left"/>
    </xf>
    <xf numFmtId="166" fontId="0" fillId="0" borderId="0" xfId="1" applyFont="1" applyFill="1"/>
    <xf numFmtId="166" fontId="0" fillId="26" borderId="0" xfId="1" applyFont="1" applyFill="1"/>
    <xf numFmtId="166" fontId="16" fillId="26" borderId="0" xfId="1" applyFont="1" applyFill="1"/>
    <xf numFmtId="0" fontId="16" fillId="26" borderId="0" xfId="0" applyFont="1" applyFill="1"/>
    <xf numFmtId="0" fontId="44" fillId="0" borderId="0" xfId="0" applyFont="1"/>
    <xf numFmtId="0" fontId="32" fillId="0" borderId="31" xfId="0" applyFont="1" applyBorder="1" applyAlignment="1">
      <alignment horizontal="left" wrapText="1"/>
    </xf>
    <xf numFmtId="0" fontId="16" fillId="8" borderId="0" xfId="0" applyFont="1" applyFill="1"/>
    <xf numFmtId="166" fontId="16" fillId="25" borderId="0" xfId="0" applyNumberFormat="1" applyFont="1" applyFill="1"/>
    <xf numFmtId="166" fontId="0" fillId="9" borderId="0" xfId="0" applyNumberFormat="1" applyFill="1"/>
    <xf numFmtId="166" fontId="33" fillId="0" borderId="24" xfId="1" applyFont="1" applyBorder="1" applyAlignment="1">
      <alignment horizontal="left" wrapText="1"/>
    </xf>
    <xf numFmtId="0" fontId="33" fillId="0" borderId="24" xfId="0" applyFont="1" applyBorder="1" applyAlignment="1">
      <alignment horizontal="left" wrapText="1"/>
    </xf>
    <xf numFmtId="0" fontId="33" fillId="0" borderId="0" xfId="0" applyFont="1" applyAlignment="1">
      <alignment horizontal="left" wrapText="1"/>
    </xf>
    <xf numFmtId="0" fontId="33" fillId="0" borderId="0" xfId="0" applyFont="1" applyAlignment="1">
      <alignment wrapText="1"/>
    </xf>
    <xf numFmtId="0" fontId="33" fillId="27" borderId="0" xfId="0" applyFont="1" applyFill="1" applyAlignment="1">
      <alignment horizontal="left"/>
    </xf>
    <xf numFmtId="0" fontId="33" fillId="2" borderId="32" xfId="7" applyFont="1" applyFill="1" applyBorder="1" applyAlignment="1">
      <alignment horizontal="left" wrapText="1"/>
    </xf>
    <xf numFmtId="0" fontId="33" fillId="27" borderId="0" xfId="0" applyFont="1" applyFill="1" applyAlignment="1">
      <alignment horizontal="left" wrapText="1"/>
    </xf>
    <xf numFmtId="166" fontId="32" fillId="14" borderId="0" xfId="1" applyFont="1" applyFill="1" applyBorder="1" applyAlignment="1">
      <alignment horizontal="left"/>
    </xf>
    <xf numFmtId="166" fontId="33" fillId="0" borderId="0" xfId="1" applyFont="1" applyBorder="1" applyAlignment="1">
      <alignment horizontal="left" wrapText="1"/>
    </xf>
    <xf numFmtId="0" fontId="33" fillId="28" borderId="0" xfId="0" applyFont="1" applyFill="1" applyAlignment="1">
      <alignment horizontal="left" wrapText="1"/>
    </xf>
    <xf numFmtId="15" fontId="33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166" fontId="44" fillId="0" borderId="0" xfId="1" applyFont="1"/>
    <xf numFmtId="0" fontId="45" fillId="0" borderId="0" xfId="0" applyFont="1"/>
    <xf numFmtId="166" fontId="32" fillId="14" borderId="0" xfId="1" applyFont="1" applyFill="1" applyAlignment="1">
      <alignment horizontal="left"/>
    </xf>
    <xf numFmtId="166" fontId="33" fillId="0" borderId="0" xfId="1" applyFont="1" applyAlignment="1">
      <alignment horizontal="left" wrapText="1"/>
    </xf>
    <xf numFmtId="0" fontId="0" fillId="4" borderId="0" xfId="0" applyFill="1"/>
    <xf numFmtId="0" fontId="33" fillId="2" borderId="32" xfId="0" applyFont="1" applyFill="1" applyBorder="1" applyAlignment="1">
      <alignment horizontal="left" wrapText="1"/>
    </xf>
    <xf numFmtId="166" fontId="33" fillId="4" borderId="0" xfId="1" applyFont="1" applyFill="1" applyAlignment="1">
      <alignment horizontal="left" wrapText="1"/>
    </xf>
    <xf numFmtId="0" fontId="32" fillId="30" borderId="31" xfId="0" applyFont="1" applyFill="1" applyBorder="1" applyAlignment="1">
      <alignment horizontal="left" wrapText="1"/>
    </xf>
    <xf numFmtId="0" fontId="32" fillId="31" borderId="31" xfId="0" applyFont="1" applyFill="1" applyBorder="1" applyAlignment="1">
      <alignment horizontal="left" wrapText="1"/>
    </xf>
    <xf numFmtId="0" fontId="32" fillId="29" borderId="31" xfId="0" applyFont="1" applyFill="1" applyBorder="1" applyAlignment="1">
      <alignment horizontal="left" wrapText="1"/>
    </xf>
    <xf numFmtId="0" fontId="33" fillId="29" borderId="0" xfId="0" applyFont="1" applyFill="1" applyAlignment="1">
      <alignment horizontal="left" wrapText="1"/>
    </xf>
    <xf numFmtId="0" fontId="33" fillId="30" borderId="0" xfId="0" applyFont="1" applyFill="1" applyAlignment="1">
      <alignment horizontal="left" wrapText="1"/>
    </xf>
    <xf numFmtId="0" fontId="33" fillId="31" borderId="0" xfId="0" applyFont="1" applyFill="1" applyAlignment="1">
      <alignment horizontal="left" wrapText="1"/>
    </xf>
    <xf numFmtId="0" fontId="33" fillId="0" borderId="0" xfId="0" quotePrefix="1" applyFont="1" applyAlignment="1">
      <alignment horizontal="left"/>
    </xf>
    <xf numFmtId="166" fontId="33" fillId="29" borderId="24" xfId="1" applyFont="1" applyFill="1" applyBorder="1" applyAlignment="1">
      <alignment horizontal="left" wrapText="1"/>
    </xf>
    <xf numFmtId="166" fontId="33" fillId="14" borderId="24" xfId="1" applyFont="1" applyFill="1" applyBorder="1" applyAlignment="1">
      <alignment horizontal="left" wrapText="1"/>
    </xf>
    <xf numFmtId="167" fontId="2" fillId="0" borderId="0" xfId="0" applyNumberFormat="1" applyFont="1" applyAlignment="1">
      <alignment horizontal="left" wrapText="1"/>
    </xf>
    <xf numFmtId="0" fontId="33" fillId="0" borderId="1" xfId="0" applyFont="1" applyBorder="1" applyAlignment="1">
      <alignment horizontal="left" wrapText="1"/>
    </xf>
    <xf numFmtId="0" fontId="33" fillId="14" borderId="24" xfId="0" applyFont="1" applyFill="1" applyBorder="1" applyAlignment="1">
      <alignment horizontal="left" wrapText="1"/>
    </xf>
    <xf numFmtId="0" fontId="33" fillId="27" borderId="24" xfId="0" applyFont="1" applyFill="1" applyBorder="1" applyAlignment="1">
      <alignment horizontal="left" wrapText="1"/>
    </xf>
    <xf numFmtId="15" fontId="33" fillId="14" borderId="29" xfId="0" applyNumberFormat="1" applyFont="1" applyFill="1" applyBorder="1" applyAlignment="1">
      <alignment horizontal="left" wrapText="1"/>
    </xf>
    <xf numFmtId="166" fontId="16" fillId="8" borderId="0" xfId="1" applyFont="1" applyFill="1"/>
    <xf numFmtId="166" fontId="45" fillId="0" borderId="0" xfId="1" applyFont="1"/>
    <xf numFmtId="167" fontId="40" fillId="21" borderId="0" xfId="0" applyNumberFormat="1" applyFont="1" applyFill="1" applyAlignment="1">
      <alignment horizontal="center" vertical="center" wrapText="1"/>
    </xf>
    <xf numFmtId="167" fontId="11" fillId="0" borderId="0" xfId="0" applyNumberFormat="1" applyFont="1" applyAlignment="1">
      <alignment horizontal="center" wrapText="1"/>
    </xf>
    <xf numFmtId="0" fontId="0" fillId="32" borderId="0" xfId="0" applyFill="1"/>
    <xf numFmtId="176" fontId="45" fillId="33" borderId="33" xfId="0" applyNumberFormat="1" applyFont="1" applyFill="1" applyBorder="1"/>
    <xf numFmtId="0" fontId="0" fillId="2" borderId="32" xfId="0" applyFill="1" applyBorder="1"/>
    <xf numFmtId="164" fontId="0" fillId="0" borderId="0" xfId="0" applyNumberFormat="1"/>
    <xf numFmtId="0" fontId="35" fillId="9" borderId="0" xfId="5" applyFont="1" applyFill="1" applyAlignment="1">
      <alignment horizontal="left" vertical="top"/>
    </xf>
    <xf numFmtId="170" fontId="35" fillId="9" borderId="0" xfId="5" applyNumberFormat="1" applyFont="1" applyFill="1" applyAlignment="1">
      <alignment horizontal="center" vertical="top"/>
    </xf>
    <xf numFmtId="169" fontId="35" fillId="9" borderId="0" xfId="5" applyNumberFormat="1" applyFont="1" applyFill="1"/>
    <xf numFmtId="0" fontId="35" fillId="9" borderId="0" xfId="5" applyFont="1" applyFill="1" applyAlignment="1">
      <alignment horizontal="center"/>
    </xf>
    <xf numFmtId="169" fontId="35" fillId="9" borderId="22" xfId="5" applyNumberFormat="1" applyFont="1" applyFill="1" applyBorder="1"/>
    <xf numFmtId="169" fontId="35" fillId="9" borderId="22" xfId="5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9" fillId="0" borderId="0" xfId="0" applyFont="1"/>
    <xf numFmtId="176" fontId="39" fillId="0" borderId="0" xfId="0" applyNumberFormat="1" applyFont="1" applyAlignment="1">
      <alignment horizontal="center"/>
    </xf>
    <xf numFmtId="176" fontId="40" fillId="0" borderId="0" xfId="0" applyNumberFormat="1" applyFont="1" applyAlignment="1">
      <alignment horizontal="center"/>
    </xf>
    <xf numFmtId="0" fontId="2" fillId="0" borderId="0" xfId="0" applyFont="1"/>
    <xf numFmtId="0" fontId="46" fillId="31" borderId="0" xfId="0" applyFont="1" applyFill="1" applyAlignment="1">
      <alignment horizontal="center"/>
    </xf>
    <xf numFmtId="0" fontId="41" fillId="3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166" fontId="33" fillId="0" borderId="24" xfId="0" applyNumberFormat="1" applyFont="1" applyBorder="1" applyAlignment="1">
      <alignment horizontal="left" wrapText="1"/>
    </xf>
    <xf numFmtId="166" fontId="32" fillId="14" borderId="0" xfId="0" applyNumberFormat="1" applyFont="1" applyFill="1" applyAlignment="1">
      <alignment horizontal="left"/>
    </xf>
    <xf numFmtId="166" fontId="33" fillId="0" borderId="0" xfId="0" applyNumberFormat="1" applyFont="1" applyAlignment="1">
      <alignment horizontal="left" wrapText="1"/>
    </xf>
    <xf numFmtId="166" fontId="33" fillId="32" borderId="0" xfId="1" applyFont="1" applyFill="1" applyAlignment="1">
      <alignment horizontal="left"/>
    </xf>
    <xf numFmtId="166" fontId="33" fillId="32" borderId="24" xfId="1" applyFont="1" applyFill="1" applyBorder="1" applyAlignment="1">
      <alignment horizontal="left" wrapText="1"/>
    </xf>
    <xf numFmtId="166" fontId="33" fillId="34" borderId="24" xfId="1" applyFont="1" applyFill="1" applyBorder="1" applyAlignment="1">
      <alignment horizontal="left"/>
    </xf>
    <xf numFmtId="166" fontId="33" fillId="35" borderId="24" xfId="1" applyFont="1" applyFill="1" applyBorder="1" applyAlignment="1">
      <alignment horizontal="left" wrapText="1"/>
    </xf>
    <xf numFmtId="0" fontId="46" fillId="31" borderId="0" xfId="0" applyFont="1" applyFill="1" applyAlignment="1">
      <alignment horizontal="center" vertical="center"/>
    </xf>
    <xf numFmtId="0" fontId="41" fillId="31" borderId="0" xfId="0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9" fillId="0" borderId="0" xfId="0" applyNumberFormat="1" applyFont="1" applyAlignment="1">
      <alignment horizontal="center" vertical="center"/>
    </xf>
    <xf numFmtId="176" fontId="40" fillId="0" borderId="0" xfId="0" applyNumberFormat="1" applyFont="1" applyAlignment="1">
      <alignment horizontal="center" vertical="center"/>
    </xf>
    <xf numFmtId="0" fontId="39" fillId="0" borderId="0" xfId="0" quotePrefix="1" applyFont="1" applyAlignment="1">
      <alignment horizontal="center"/>
    </xf>
    <xf numFmtId="0" fontId="40" fillId="31" borderId="0" xfId="0" applyFont="1" applyFill="1" applyAlignment="1">
      <alignment horizontal="center"/>
    </xf>
    <xf numFmtId="0" fontId="39" fillId="31" borderId="0" xfId="0" applyFont="1" applyFill="1" applyAlignment="1">
      <alignment horizontal="center"/>
    </xf>
    <xf numFmtId="0" fontId="39" fillId="0" borderId="0" xfId="0" applyFont="1" applyAlignment="1">
      <alignment horizontal="left" vertical="center"/>
    </xf>
    <xf numFmtId="164" fontId="47" fillId="0" borderId="0" xfId="0" applyNumberFormat="1" applyFont="1"/>
    <xf numFmtId="166" fontId="33" fillId="0" borderId="34" xfId="1" applyFont="1" applyBorder="1" applyAlignment="1">
      <alignment horizontal="left" wrapText="1"/>
    </xf>
    <xf numFmtId="0" fontId="32" fillId="4" borderId="31" xfId="0" applyFont="1" applyFill="1" applyBorder="1" applyAlignment="1">
      <alignment horizontal="left" wrapText="1"/>
    </xf>
    <xf numFmtId="0" fontId="33" fillId="4" borderId="0" xfId="0" applyFont="1" applyFill="1" applyAlignment="1">
      <alignment horizontal="left" wrapText="1"/>
    </xf>
    <xf numFmtId="0" fontId="33" fillId="4" borderId="0" xfId="0" applyFont="1" applyFill="1" applyAlignment="1">
      <alignment wrapText="1"/>
    </xf>
    <xf numFmtId="0" fontId="33" fillId="4" borderId="0" xfId="0" applyFont="1" applyFill="1" applyAlignment="1">
      <alignment horizontal="left"/>
    </xf>
    <xf numFmtId="0" fontId="33" fillId="36" borderId="0" xfId="0" applyFont="1" applyFill="1" applyAlignment="1">
      <alignment horizontal="left" wrapText="1"/>
    </xf>
    <xf numFmtId="166" fontId="33" fillId="4" borderId="24" xfId="1" applyFont="1" applyFill="1" applyBorder="1" applyAlignment="1">
      <alignment horizontal="left" wrapText="1"/>
    </xf>
    <xf numFmtId="166" fontId="32" fillId="36" borderId="0" xfId="1" applyFont="1" applyFill="1" applyAlignment="1">
      <alignment horizontal="left"/>
    </xf>
    <xf numFmtId="15" fontId="33" fillId="4" borderId="0" xfId="0" applyNumberFormat="1" applyFont="1" applyFill="1" applyAlignment="1">
      <alignment horizontal="left" wrapText="1"/>
    </xf>
    <xf numFmtId="0" fontId="2" fillId="4" borderId="0" xfId="0" applyFont="1" applyFill="1" applyAlignment="1">
      <alignment horizontal="left" wrapText="1"/>
    </xf>
    <xf numFmtId="176" fontId="0" fillId="4" borderId="0" xfId="0" applyNumberFormat="1" applyFill="1"/>
    <xf numFmtId="0" fontId="42" fillId="37" borderId="0" xfId="0" applyFont="1" applyFill="1" applyAlignment="1">
      <alignment horizontal="center"/>
    </xf>
    <xf numFmtId="0" fontId="48" fillId="37" borderId="0" xfId="0" applyFont="1" applyFill="1" applyAlignment="1">
      <alignment horizontal="center"/>
    </xf>
    <xf numFmtId="0" fontId="48" fillId="38" borderId="0" xfId="0" applyFont="1" applyFill="1" applyAlignment="1">
      <alignment horizontal="center" vertical="center"/>
    </xf>
    <xf numFmtId="0" fontId="43" fillId="38" borderId="0" xfId="0" applyFont="1" applyFill="1" applyAlignment="1">
      <alignment horizontal="center"/>
    </xf>
    <xf numFmtId="0" fontId="48" fillId="38" borderId="0" xfId="0" applyFont="1" applyFill="1" applyAlignment="1">
      <alignment horizontal="center"/>
    </xf>
    <xf numFmtId="0" fontId="43" fillId="38" borderId="0" xfId="0" applyFont="1" applyFill="1"/>
    <xf numFmtId="176" fontId="48" fillId="38" borderId="0" xfId="0" applyNumberFormat="1" applyFont="1" applyFill="1" applyAlignment="1">
      <alignment horizontal="center"/>
    </xf>
    <xf numFmtId="176" fontId="42" fillId="38" borderId="0" xfId="0" applyNumberFormat="1" applyFont="1" applyFill="1" applyAlignment="1">
      <alignment horizontal="center"/>
    </xf>
    <xf numFmtId="0" fontId="16" fillId="38" borderId="0" xfId="0" applyFont="1" applyFill="1"/>
    <xf numFmtId="176" fontId="16" fillId="38" borderId="0" xfId="0" applyNumberFormat="1" applyFont="1" applyFill="1"/>
    <xf numFmtId="0" fontId="49" fillId="37" borderId="0" xfId="0" applyFont="1" applyFill="1" applyAlignment="1">
      <alignment horizontal="center"/>
    </xf>
    <xf numFmtId="0" fontId="50" fillId="37" borderId="0" xfId="0" applyFont="1" applyFill="1" applyAlignment="1">
      <alignment horizontal="center"/>
    </xf>
    <xf numFmtId="0" fontId="50" fillId="38" borderId="0" xfId="0" applyFont="1" applyFill="1" applyAlignment="1">
      <alignment horizontal="center" vertical="center"/>
    </xf>
    <xf numFmtId="0" fontId="50" fillId="38" borderId="0" xfId="0" applyFont="1" applyFill="1" applyAlignment="1">
      <alignment horizontal="center"/>
    </xf>
    <xf numFmtId="0" fontId="50" fillId="38" borderId="0" xfId="0" applyFont="1" applyFill="1"/>
    <xf numFmtId="176" fontId="50" fillId="38" borderId="0" xfId="0" applyNumberFormat="1" applyFont="1" applyFill="1" applyAlignment="1">
      <alignment horizontal="center"/>
    </xf>
    <xf numFmtId="176" fontId="49" fillId="38" borderId="0" xfId="0" applyNumberFormat="1" applyFont="1" applyFill="1" applyAlignment="1">
      <alignment horizontal="center"/>
    </xf>
    <xf numFmtId="0" fontId="51" fillId="38" borderId="0" xfId="0" applyFont="1" applyFill="1"/>
    <xf numFmtId="176" fontId="51" fillId="38" borderId="0" xfId="0" applyNumberFormat="1" applyFont="1" applyFill="1"/>
    <xf numFmtId="0" fontId="12" fillId="38" borderId="31" xfId="0" applyFont="1" applyFill="1" applyBorder="1" applyAlignment="1">
      <alignment horizontal="left" wrapText="1"/>
    </xf>
    <xf numFmtId="0" fontId="43" fillId="38" borderId="0" xfId="0" applyFont="1" applyFill="1" applyAlignment="1">
      <alignment horizontal="left" wrapText="1"/>
    </xf>
    <xf numFmtId="0" fontId="43" fillId="38" borderId="0" xfId="0" applyFont="1" applyFill="1" applyAlignment="1">
      <alignment wrapText="1"/>
    </xf>
    <xf numFmtId="0" fontId="43" fillId="38" borderId="0" xfId="0" applyFont="1" applyFill="1" applyAlignment="1">
      <alignment horizontal="left"/>
    </xf>
    <xf numFmtId="0" fontId="43" fillId="39" borderId="0" xfId="0" applyFont="1" applyFill="1" applyAlignment="1">
      <alignment horizontal="left" wrapText="1"/>
    </xf>
    <xf numFmtId="166" fontId="43" fillId="38" borderId="24" xfId="1" applyFont="1" applyFill="1" applyBorder="1" applyAlignment="1">
      <alignment horizontal="left" wrapText="1"/>
    </xf>
    <xf numFmtId="166" fontId="12" fillId="39" borderId="0" xfId="1" applyFont="1" applyFill="1" applyAlignment="1">
      <alignment horizontal="left"/>
    </xf>
    <xf numFmtId="166" fontId="43" fillId="38" borderId="0" xfId="1" applyFont="1" applyFill="1" applyAlignment="1">
      <alignment horizontal="left" wrapText="1"/>
    </xf>
    <xf numFmtId="15" fontId="43" fillId="38" borderId="0" xfId="0" applyNumberFormat="1" applyFont="1" applyFill="1" applyAlignment="1">
      <alignment horizontal="left" wrapText="1"/>
    </xf>
    <xf numFmtId="0" fontId="12" fillId="38" borderId="30" xfId="0" applyFont="1" applyFill="1" applyBorder="1" applyAlignment="1">
      <alignment horizontal="left"/>
    </xf>
    <xf numFmtId="0" fontId="43" fillId="38" borderId="1" xfId="0" applyFont="1" applyFill="1" applyBorder="1" applyAlignment="1">
      <alignment horizontal="left"/>
    </xf>
    <xf numFmtId="0" fontId="52" fillId="38" borderId="0" xfId="7" applyFont="1" applyFill="1" applyBorder="1"/>
    <xf numFmtId="0" fontId="43" fillId="38" borderId="24" xfId="0" applyFont="1" applyFill="1" applyBorder="1" applyAlignment="1">
      <alignment horizontal="left"/>
    </xf>
    <xf numFmtId="166" fontId="43" fillId="39" borderId="24" xfId="1" applyFont="1" applyFill="1" applyBorder="1" applyAlignment="1">
      <alignment horizontal="left"/>
    </xf>
    <xf numFmtId="166" fontId="43" fillId="38" borderId="0" xfId="1" applyFont="1" applyFill="1" applyAlignment="1">
      <alignment horizontal="left"/>
    </xf>
    <xf numFmtId="166" fontId="12" fillId="38" borderId="0" xfId="1" applyFont="1" applyFill="1" applyAlignment="1">
      <alignment horizontal="left"/>
    </xf>
    <xf numFmtId="0" fontId="16" fillId="38" borderId="0" xfId="0" applyFont="1" applyFill="1" applyAlignment="1">
      <alignment horizontal="center"/>
    </xf>
    <xf numFmtId="0" fontId="12" fillId="39" borderId="28" xfId="0" applyFont="1" applyFill="1" applyBorder="1" applyAlignment="1">
      <alignment horizontal="left"/>
    </xf>
    <xf numFmtId="0" fontId="43" fillId="39" borderId="29" xfId="0" applyFont="1" applyFill="1" applyBorder="1" applyAlignment="1">
      <alignment horizontal="left"/>
    </xf>
    <xf numFmtId="0" fontId="43" fillId="39" borderId="24" xfId="0" applyFont="1" applyFill="1" applyBorder="1" applyAlignment="1">
      <alignment horizontal="left"/>
    </xf>
    <xf numFmtId="166" fontId="12" fillId="39" borderId="24" xfId="1" applyFont="1" applyFill="1" applyBorder="1" applyAlignment="1">
      <alignment horizontal="left"/>
    </xf>
    <xf numFmtId="165" fontId="16" fillId="38" borderId="0" xfId="0" applyNumberFormat="1" applyFont="1" applyFill="1"/>
    <xf numFmtId="0" fontId="1" fillId="0" borderId="0" xfId="0" applyFont="1" applyAlignment="1">
      <alignment horizontal="left" wrapText="1"/>
    </xf>
    <xf numFmtId="167" fontId="1" fillId="0" borderId="0" xfId="0" applyNumberFormat="1" applyFont="1" applyAlignment="1">
      <alignment horizontal="left" wrapText="1"/>
    </xf>
    <xf numFmtId="2" fontId="0" fillId="0" borderId="0" xfId="0" applyNumberFormat="1"/>
    <xf numFmtId="2" fontId="33" fillId="14" borderId="29" xfId="0" applyNumberFormat="1" applyFont="1" applyFill="1" applyBorder="1" applyAlignment="1">
      <alignment horizontal="left"/>
    </xf>
    <xf numFmtId="2" fontId="33" fillId="0" borderId="1" xfId="0" applyNumberFormat="1" applyFont="1" applyBorder="1" applyAlignment="1">
      <alignment horizontal="left"/>
    </xf>
    <xf numFmtId="2" fontId="43" fillId="38" borderId="1" xfId="0" applyNumberFormat="1" applyFont="1" applyFill="1" applyBorder="1" applyAlignment="1">
      <alignment horizontal="left"/>
    </xf>
    <xf numFmtId="2" fontId="43" fillId="39" borderId="29" xfId="0" applyNumberFormat="1" applyFont="1" applyFill="1" applyBorder="1" applyAlignment="1">
      <alignment horizontal="left"/>
    </xf>
    <xf numFmtId="2" fontId="2" fillId="0" borderId="0" xfId="0" applyNumberFormat="1" applyFont="1" applyAlignment="1">
      <alignment horizontal="left" wrapText="1"/>
    </xf>
    <xf numFmtId="2" fontId="43" fillId="38" borderId="0" xfId="0" applyNumberFormat="1" applyFont="1" applyFill="1" applyAlignment="1">
      <alignment horizontal="left" wrapText="1"/>
    </xf>
    <xf numFmtId="2" fontId="2" fillId="14" borderId="29" xfId="0" applyNumberFormat="1" applyFont="1" applyFill="1" applyBorder="1" applyAlignment="1">
      <alignment horizontal="left" wrapText="1"/>
    </xf>
    <xf numFmtId="2" fontId="41" fillId="0" borderId="0" xfId="0" applyNumberFormat="1" applyFont="1" applyAlignment="1">
      <alignment horizontal="right"/>
    </xf>
    <xf numFmtId="2" fontId="39" fillId="0" borderId="0" xfId="0" applyNumberFormat="1" applyFont="1" applyAlignment="1">
      <alignment horizontal="center"/>
    </xf>
    <xf numFmtId="2" fontId="39" fillId="0" borderId="0" xfId="0" applyNumberFormat="1" applyFont="1" applyAlignment="1">
      <alignment horizontal="center" vertical="center"/>
    </xf>
    <xf numFmtId="2" fontId="48" fillId="38" borderId="0" xfId="0" applyNumberFormat="1" applyFont="1" applyFill="1" applyAlignment="1">
      <alignment horizontal="center"/>
    </xf>
    <xf numFmtId="2" fontId="50" fillId="38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left" wrapText="1"/>
    </xf>
    <xf numFmtId="2" fontId="33" fillId="0" borderId="0" xfId="0" applyNumberFormat="1" applyFont="1" applyAlignment="1">
      <alignment horizontal="left" wrapText="1"/>
    </xf>
    <xf numFmtId="2" fontId="33" fillId="14" borderId="29" xfId="0" applyNumberFormat="1" applyFont="1" applyFill="1" applyBorder="1" applyAlignment="1">
      <alignment horizontal="left" wrapText="1"/>
    </xf>
    <xf numFmtId="2" fontId="2" fillId="0" borderId="0" xfId="0" applyNumberFormat="1" applyFont="1" applyAlignment="1">
      <alignment horizontal="center"/>
    </xf>
    <xf numFmtId="2" fontId="43" fillId="38" borderId="0" xfId="0" applyNumberFormat="1" applyFont="1" applyFill="1" applyAlignment="1">
      <alignment horizontal="center"/>
    </xf>
    <xf numFmtId="2" fontId="33" fillId="4" borderId="0" xfId="0" applyNumberFormat="1" applyFont="1" applyFill="1" applyAlignment="1">
      <alignment horizontal="left" wrapText="1"/>
    </xf>
    <xf numFmtId="0" fontId="0" fillId="9" borderId="0" xfId="0" applyFill="1" applyAlignment="1">
      <alignment horizontal="left"/>
    </xf>
    <xf numFmtId="0" fontId="43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43" fillId="13" borderId="0" xfId="0" applyFont="1" applyFill="1" applyAlignment="1">
      <alignment horizontal="center"/>
    </xf>
    <xf numFmtId="0" fontId="17" fillId="0" borderId="8" xfId="5" applyFont="1" applyBorder="1" applyAlignment="1">
      <alignment horizontal="center"/>
    </xf>
    <xf numFmtId="0" fontId="17" fillId="0" borderId="9" xfId="5" applyFont="1" applyBorder="1" applyAlignment="1">
      <alignment horizontal="center"/>
    </xf>
    <xf numFmtId="0" fontId="17" fillId="0" borderId="10" xfId="5" applyFont="1" applyBorder="1" applyAlignment="1">
      <alignment horizontal="center"/>
    </xf>
    <xf numFmtId="0" fontId="24" fillId="8" borderId="11" xfId="5" applyFont="1" applyFill="1" applyBorder="1" applyAlignment="1">
      <alignment horizontal="center"/>
    </xf>
    <xf numFmtId="0" fontId="24" fillId="8" borderId="0" xfId="5" applyFont="1" applyFill="1" applyAlignment="1">
      <alignment horizontal="center"/>
    </xf>
    <xf numFmtId="0" fontId="24" fillId="8" borderId="12" xfId="5" applyFont="1" applyFill="1" applyBorder="1" applyAlignment="1">
      <alignment horizontal="center"/>
    </xf>
    <xf numFmtId="1" fontId="24" fillId="0" borderId="13" xfId="5" applyNumberFormat="1" applyFont="1" applyBorder="1" applyAlignment="1">
      <alignment horizontal="center" vertical="center"/>
    </xf>
    <xf numFmtId="1" fontId="24" fillId="0" borderId="14" xfId="5" applyNumberFormat="1" applyFont="1" applyBorder="1" applyAlignment="1">
      <alignment horizontal="center" vertical="center"/>
    </xf>
    <xf numFmtId="14" fontId="22" fillId="12" borderId="14" xfId="5" applyNumberFormat="1" applyFont="1" applyFill="1" applyBorder="1" applyAlignment="1">
      <alignment horizontal="center" vertical="center"/>
    </xf>
    <xf numFmtId="0" fontId="22" fillId="12" borderId="15" xfId="5" applyFont="1" applyFill="1" applyBorder="1" applyAlignment="1">
      <alignment horizontal="center" vertical="center"/>
    </xf>
    <xf numFmtId="1" fontId="24" fillId="8" borderId="16" xfId="5" applyNumberFormat="1" applyFont="1" applyFill="1" applyBorder="1" applyAlignment="1">
      <alignment horizontal="center" vertical="center"/>
    </xf>
    <xf numFmtId="1" fontId="24" fillId="8" borderId="17" xfId="5" applyNumberFormat="1" applyFont="1" applyFill="1" applyBorder="1" applyAlignment="1">
      <alignment horizontal="center" vertical="center"/>
    </xf>
    <xf numFmtId="1" fontId="24" fillId="8" borderId="18" xfId="5" applyNumberFormat="1" applyFont="1" applyFill="1" applyBorder="1" applyAlignment="1">
      <alignment horizontal="center" vertical="center"/>
    </xf>
    <xf numFmtId="0" fontId="30" fillId="8" borderId="11" xfId="5" applyFont="1" applyFill="1" applyBorder="1" applyAlignment="1">
      <alignment horizontal="center" vertical="center"/>
    </xf>
    <xf numFmtId="0" fontId="30" fillId="8" borderId="0" xfId="5" applyFont="1" applyFill="1" applyAlignment="1">
      <alignment horizontal="center" vertical="center"/>
    </xf>
    <xf numFmtId="0" fontId="30" fillId="8" borderId="12" xfId="5" applyFont="1" applyFill="1" applyBorder="1" applyAlignment="1">
      <alignment horizontal="center" vertical="center"/>
    </xf>
  </cellXfs>
  <cellStyles count="8">
    <cellStyle name="Bueno" xfId="4" builtinId="26"/>
    <cellStyle name="Hipervínculo" xfId="7" builtinId="8"/>
    <cellStyle name="Millares" xfId="1" builtinId="3"/>
    <cellStyle name="Millares 2" xfId="6" xr:uid="{5AE5E074-14F1-EC40-B693-0D68638C19E2}"/>
    <cellStyle name="Moneda" xfId="2" builtinId="4"/>
    <cellStyle name="Normal" xfId="0" builtinId="0"/>
    <cellStyle name="Normal 2" xfId="5" xr:uid="{28B047E2-677A-5F45-869D-CBE99380856B}"/>
    <cellStyle name="Porcentaje" xfId="3" builtinId="5"/>
  </cellStyles>
  <dxfs count="96"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 tint="-4.9989318521683403E-2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6" formatCode="_-&quot;$&quot;* #,##0.00_-;\-&quot;$&quot;* #,##0.00_-;_-&quot;$&quot;* &quot;-&quot;??_-;_-@"/>
    </dxf>
    <dxf>
      <numFmt numFmtId="176" formatCode="_-&quot;$&quot;* #,##0.00_-;\-&quot;$&quot;* #,##0.00_-;_-&quot;$&quot;* &quot;-&quot;??_-;_-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8" formatCode="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border outline="0">
        <top style="medium">
          <color theme="1"/>
        </top>
      </border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_(* #,##0_);_(* \(#,##0\);_(* &quot;-&quot;??_);_(@_)"/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/>
                </a:solidFill>
              </a:rPr>
              <a:t>Production Progress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>
        <c:manualLayout>
          <c:layoutTarget val="inner"/>
          <c:xMode val="edge"/>
          <c:yMode val="edge"/>
          <c:x val="0.19547920983561265"/>
          <c:y val="0.15000476635335838"/>
          <c:w val="0.60348703295744555"/>
          <c:h val="0.80539304583230253"/>
        </c:manualLayout>
      </c:layout>
      <c:doughnutChart>
        <c:varyColors val="1"/>
        <c:ser>
          <c:idx val="0"/>
          <c:order val="0"/>
          <c:spPr>
            <a:solidFill>
              <a:schemeClr val="tx2"/>
            </a:solidFill>
          </c:spPr>
          <c:explosion val="10"/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8C-43A6-86F7-67903C9D7194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C-43A6-86F7-67903C9D7194}"/>
              </c:ext>
            </c:extLst>
          </c:dPt>
          <c:dPt>
            <c:idx val="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8C-43A6-86F7-67903C9D7194}"/>
              </c:ext>
            </c:extLst>
          </c:dPt>
          <c:dPt>
            <c:idx val="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8C-43A6-86F7-67903C9D7194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8C-43A6-86F7-67903C9D7194}"/>
              </c:ext>
            </c:extLst>
          </c:dPt>
          <c:dPt>
            <c:idx val="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8C-43A6-86F7-67903C9D7194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8C-43A6-86F7-67903C9D7194}"/>
              </c:ext>
            </c:extLst>
          </c:dPt>
          <c:dPt>
            <c:idx val="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8C-43A6-86F7-67903C9D7194}"/>
              </c:ext>
            </c:extLst>
          </c:dPt>
          <c:dPt>
            <c:idx val="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8C-43A6-86F7-67903C9D7194}"/>
              </c:ext>
            </c:extLst>
          </c:dPt>
          <c:dPt>
            <c:idx val="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8C-43A6-86F7-67903C9D7194}"/>
              </c:ext>
            </c:extLst>
          </c:dPt>
          <c:dPt>
            <c:idx val="1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8C-43A6-86F7-67903C9D7194}"/>
              </c:ext>
            </c:extLst>
          </c:dPt>
          <c:dPt>
            <c:idx val="1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8C-43A6-86F7-67903C9D7194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48C-43A6-86F7-67903C9D7194}"/>
              </c:ext>
            </c:extLst>
          </c:dPt>
          <c:dPt>
            <c:idx val="1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48C-43A6-86F7-67903C9D7194}"/>
              </c:ext>
            </c:extLst>
          </c:dPt>
          <c:dPt>
            <c:idx val="1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48C-43A6-86F7-67903C9D7194}"/>
              </c:ext>
            </c:extLst>
          </c:dPt>
          <c:dPt>
            <c:idx val="1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48C-43A6-86F7-67903C9D7194}"/>
              </c:ext>
            </c:extLst>
          </c:dPt>
          <c:dPt>
            <c:idx val="1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48C-43A6-86F7-67903C9D7194}"/>
              </c:ext>
            </c:extLst>
          </c:dPt>
          <c:dPt>
            <c:idx val="1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48C-43A6-86F7-67903C9D7194}"/>
              </c:ext>
            </c:extLst>
          </c:dPt>
          <c:dPt>
            <c:idx val="1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48C-43A6-86F7-67903C9D7194}"/>
              </c:ext>
            </c:extLst>
          </c:dPt>
          <c:dPt>
            <c:idx val="1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48C-43A6-86F7-67903C9D7194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doughnutChart>
        <c:varyColors val="1"/>
        <c:ser>
          <c:idx val="1"/>
          <c:order val="1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48C-43A6-86F7-67903C9D7194}"/>
              </c:ext>
            </c:extLst>
          </c:dPt>
          <c:dPt>
            <c:idx val="1"/>
            <c:bubble3D val="0"/>
            <c:spPr>
              <a:solidFill>
                <a:schemeClr val="bg1">
                  <a:alpha val="41315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48C-43A6-86F7-67903C9D7194}"/>
              </c:ext>
            </c:extLst>
          </c:dPt>
          <c:val>
            <c:numRef>
              <c:f>Summary!$I$6:$J$6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373733</xdr:colOff>
      <xdr:row>1</xdr:row>
      <xdr:rowOff>189394</xdr:rowOff>
    </xdr:from>
    <xdr:to>
      <xdr:col>10</xdr:col>
      <xdr:colOff>55217</xdr:colOff>
      <xdr:row>11</xdr:row>
      <xdr:rowOff>79575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3D776-CDE6-347B-313C-C17FC2F87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54624</xdr:colOff>
      <xdr:row>5</xdr:row>
      <xdr:rowOff>134920</xdr:rowOff>
    </xdr:from>
    <xdr:to>
      <xdr:col>9</xdr:col>
      <xdr:colOff>54624</xdr:colOff>
      <xdr:row>8</xdr:row>
      <xdr:rowOff>136559</xdr:rowOff>
    </xdr:to>
    <xdr:sp macro="" textlink="I6">
      <xdr:nvSpPr>
        <xdr:cNvPr id="4" name="Rounded Rectangle 3">
          <a:extLst>
            <a:ext uri="{FF2B5EF4-FFF2-40B4-BE49-F238E27FC236}">
              <a16:creationId xmlns:a16="http://schemas.microsoft.com/office/drawing/2014/main" id="{AED2D7D1-200E-7363-4675-DB5ED4895930}"/>
            </a:ext>
          </a:extLst>
        </xdr:cNvPr>
        <xdr:cNvSpPr/>
      </xdr:nvSpPr>
      <xdr:spPr>
        <a:xfrm>
          <a:off x="9818602" y="1350296"/>
          <a:ext cx="1365592" cy="69809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5760" tIns="0" rIns="0" rtlCol="0" anchor="t"/>
        <a:lstStyle/>
        <a:p>
          <a:pPr algn="ctr"/>
          <a:fld id="{97960B0A-E4CF-DE41-8E54-F9C9B1136977}" type="TxLink">
            <a:rPr lang="en-US" sz="2800" b="0" i="0" u="none" strike="noStrike">
              <a:solidFill>
                <a:schemeClr val="tx2"/>
              </a:solidFill>
              <a:latin typeface="Calibri"/>
              <a:cs typeface="Calibri"/>
            </a:rPr>
            <a:pPr algn="ctr"/>
            <a:t>100%</a:t>
          </a:fld>
          <a:endParaRPr lang="en-US" sz="2400">
            <a:solidFill>
              <a:schemeClr val="tx2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199074" createdVersion="8" refreshedVersion="8" minRefreshableVersion="3" recordCount="2472" xr:uid="{6AD99DC5-AE3B-9C43-AFDD-9A51F66F9D7B}">
  <cacheSource type="worksheet">
    <worksheetSource ref="C9:P2481" sheet="Cost Report"/>
  </cacheSource>
  <cacheFields count="14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546297" createdVersion="8" refreshedVersion="8" minRefreshableVersion="3" recordCount="2472" xr:uid="{D53D73CD-1C1B-1445-821E-9427F6EC5B82}">
  <cacheSource type="worksheet">
    <worksheetSource ref="C9:U2481" sheet="Cost Report"/>
  </cacheSource>
  <cacheFields count="19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  <cacheField name="INDEX" numFmtId="166">
      <sharedItems containsBlank="1" containsMixedTypes="1" containsNumber="1" minValue="17340.75" maxValue="17340.75"/>
    </cacheField>
    <cacheField name="2" numFmtId="0">
      <sharedItems containsNonDate="0" containsString="0" containsBlank="1"/>
    </cacheField>
    <cacheField name="P ESTIMATE FINAL COST" numFmtId="166">
      <sharedItems containsString="0" containsBlank="1" containsNumber="1" minValue="0" maxValue="13897164.818000004"/>
    </cacheField>
    <cacheField name="VARIANCE VS PFCST" numFmtId="166">
      <sharedItems containsSemiMixedTypes="0" containsString="0" containsNumber="1" minValue="-458343.24000000022" maxValue="27000"/>
    </cacheField>
    <cacheField name="INDEX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</r>
  <r>
    <s v="Above the Line"/>
    <x v="2"/>
    <s v=""/>
    <m/>
    <x v="2"/>
    <s v="Mini Room (Episodes 1 through 4)"/>
    <m/>
    <n v="0"/>
    <n v="0"/>
    <n v="0"/>
    <n v="0"/>
    <n v="0"/>
    <n v="0"/>
    <n v="0"/>
  </r>
  <r>
    <s v="Above the Line"/>
    <x v="2"/>
    <s v=""/>
    <m/>
    <x v="3"/>
    <s v="Devlopment &amp; Bible"/>
    <m/>
    <n v="0"/>
    <n v="0"/>
    <n v="0"/>
    <n v="0"/>
    <n v="0"/>
    <n v="0"/>
    <n v="0"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</r>
  <r>
    <s v="Above the Line"/>
    <x v="2"/>
    <s v=""/>
    <m/>
    <x v="7"/>
    <s v="Script 201"/>
    <m/>
    <n v="0"/>
    <n v="0"/>
    <n v="0"/>
    <n v="0"/>
    <n v="0"/>
    <n v="0"/>
    <n v="0"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</r>
  <r>
    <s v="Above the Line"/>
    <x v="2"/>
    <s v=""/>
    <m/>
    <x v="10"/>
    <s v="Script 202"/>
    <m/>
    <n v="0"/>
    <n v="0"/>
    <n v="0"/>
    <n v="0"/>
    <n v="0"/>
    <n v="0"/>
    <n v="0"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</r>
  <r>
    <s v="Above the Line"/>
    <x v="2"/>
    <s v=""/>
    <m/>
    <x v="13"/>
    <s v="Script 203"/>
    <m/>
    <n v="0"/>
    <n v="0"/>
    <n v="0"/>
    <n v="0"/>
    <n v="0"/>
    <n v="0"/>
    <n v="0"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</r>
  <r>
    <s v="Above the Line"/>
    <x v="2"/>
    <s v=""/>
    <m/>
    <x v="16"/>
    <s v="Script 204"/>
    <m/>
    <n v="0"/>
    <n v="0"/>
    <n v="0"/>
    <n v="0"/>
    <n v="0"/>
    <n v="0"/>
    <n v="0"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</r>
  <r>
    <s v="Above the Line"/>
    <x v="2"/>
    <s v=""/>
    <m/>
    <x v="19"/>
    <s v="Room (Episodes 5 through 8)"/>
    <m/>
    <n v="0"/>
    <n v="0"/>
    <n v="0"/>
    <n v="0"/>
    <n v="0"/>
    <n v="0"/>
    <n v="0"/>
  </r>
  <r>
    <s v="Above the Line"/>
    <x v="2"/>
    <s v=""/>
    <m/>
    <x v="20"/>
    <s v="Script 205"/>
    <m/>
    <n v="0"/>
    <n v="0"/>
    <n v="0"/>
    <n v="0"/>
    <n v="0"/>
    <n v="0"/>
    <n v="0"/>
  </r>
  <r>
    <s v="Above the Line"/>
    <x v="2"/>
    <s v="DEVELOPMENT"/>
    <m/>
    <x v="21"/>
    <s v="Silvia Pasternak "/>
    <m/>
    <n v="210000"/>
    <n v="0"/>
    <n v="210000"/>
    <n v="0"/>
    <n v="210000"/>
    <n v="210000"/>
    <n v="0"/>
  </r>
  <r>
    <s v="Above the Line"/>
    <x v="2"/>
    <s v=""/>
    <m/>
    <x v="22"/>
    <s v="Script 206"/>
    <m/>
    <n v="0"/>
    <n v="0"/>
    <n v="0"/>
    <n v="0"/>
    <n v="0"/>
    <n v="0"/>
    <n v="0"/>
  </r>
  <r>
    <s v="Above the Line"/>
    <x v="2"/>
    <s v="DEVELOPMENT"/>
    <m/>
    <x v="23"/>
    <s v="Isael León Fajer "/>
    <m/>
    <n v="210000"/>
    <n v="0"/>
    <n v="210000"/>
    <n v="0"/>
    <n v="210000"/>
    <n v="210000"/>
    <n v="0"/>
  </r>
  <r>
    <s v="Above the Line"/>
    <x v="2"/>
    <s v=""/>
    <m/>
    <x v="24"/>
    <s v="Script 207"/>
    <m/>
    <n v="0"/>
    <n v="0"/>
    <n v="0"/>
    <n v="0"/>
    <n v="0"/>
    <n v="0"/>
    <n v="0"/>
  </r>
  <r>
    <s v="Above the Line"/>
    <x v="2"/>
    <s v="DEVELOPMENT"/>
    <m/>
    <x v="25"/>
    <s v="Claudia Blum"/>
    <m/>
    <n v="210000"/>
    <n v="0"/>
    <n v="210000"/>
    <n v="0"/>
    <n v="210000"/>
    <n v="210000"/>
    <n v="0"/>
  </r>
  <r>
    <s v="Above the Line"/>
    <x v="2"/>
    <s v=""/>
    <m/>
    <x v="26"/>
    <s v="Script 208"/>
    <m/>
    <n v="0"/>
    <n v="0"/>
    <n v="0"/>
    <n v="0"/>
    <n v="0"/>
    <n v="0"/>
    <n v="0"/>
  </r>
  <r>
    <s v="Above the Line"/>
    <x v="2"/>
    <s v="DEVELOPMENT"/>
    <m/>
    <x v="27"/>
    <s v="Isael León Fajer "/>
    <m/>
    <n v="105000"/>
    <n v="0"/>
    <n v="105000"/>
    <n v="0"/>
    <n v="105000"/>
    <n v="105000"/>
    <n v="0"/>
  </r>
  <r>
    <s v="Above the Line"/>
    <x v="2"/>
    <s v="DEVELOPMENT"/>
    <m/>
    <x v="28"/>
    <s v="Silvia Pasternak "/>
    <m/>
    <n v="105000"/>
    <n v="0"/>
    <n v="105000"/>
    <n v="0"/>
    <n v="105000"/>
    <n v="105000"/>
    <n v="0"/>
  </r>
  <r>
    <s v="Above the Line"/>
    <x v="1"/>
    <m/>
    <m/>
    <x v="29"/>
    <s v="EDITOR LITERARIO"/>
    <m/>
    <n v="150000"/>
    <n v="0"/>
    <n v="150000"/>
    <n v="0"/>
    <n v="150000"/>
    <n v="150000"/>
    <n v="0"/>
  </r>
  <r>
    <s v="Above the Line"/>
    <x v="2"/>
    <s v=""/>
    <m/>
    <x v="30"/>
    <s v="Editor Literario - André Palavicini"/>
    <m/>
    <n v="0"/>
    <n v="0"/>
    <n v="0"/>
    <n v="0"/>
    <n v="0"/>
    <n v="0"/>
    <n v="0"/>
  </r>
  <r>
    <s v="Above the Line"/>
    <x v="2"/>
    <s v="DEVELOPMENT"/>
    <m/>
    <x v="31"/>
    <s v="Development"/>
    <m/>
    <n v="150000"/>
    <n v="0"/>
    <n v="150000"/>
    <n v="0"/>
    <n v="150000"/>
    <n v="150000"/>
    <n v="0"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</r>
  <r>
    <s v="Above the Line"/>
    <x v="2"/>
    <s v=""/>
    <m/>
    <x v="33"/>
    <s v="Mini Room"/>
    <m/>
    <n v="0"/>
    <n v="0"/>
    <n v="0"/>
    <n v="0"/>
    <n v="0"/>
    <n v="0"/>
    <n v="0"/>
  </r>
  <r>
    <s v="Above the Line"/>
    <x v="2"/>
    <s v=""/>
    <m/>
    <x v="34"/>
    <s v="Senior Writer 1 - Silvia Pasternak"/>
    <m/>
    <n v="0"/>
    <n v="0"/>
    <n v="0"/>
    <n v="0"/>
    <n v="0"/>
    <n v="0"/>
    <n v="0"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</r>
  <r>
    <s v="Above the Line"/>
    <x v="2"/>
    <s v=""/>
    <m/>
    <x v="36"/>
    <s v="Senior Writer 2 - Israel León Fajer"/>
    <m/>
    <n v="0"/>
    <n v="0"/>
    <n v="0"/>
    <n v="0"/>
    <n v="0"/>
    <n v="0"/>
    <n v="0"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</r>
  <r>
    <s v="Above the Line"/>
    <x v="2"/>
    <s v=""/>
    <m/>
    <x v="38"/>
    <s v="Writers Room"/>
    <m/>
    <n v="0"/>
    <n v="0"/>
    <n v="0"/>
    <n v="0"/>
    <n v="0"/>
    <n v="0"/>
    <n v="0"/>
  </r>
  <r>
    <s v="Above the Line"/>
    <x v="2"/>
    <s v=""/>
    <m/>
    <x v="39"/>
    <s v="Senior Writer 1 - Israel León Fajer"/>
    <m/>
    <n v="0"/>
    <n v="0"/>
    <n v="0"/>
    <n v="0"/>
    <n v="0"/>
    <n v="0"/>
    <n v="0"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</r>
  <r>
    <s v="Above the Line"/>
    <x v="2"/>
    <s v=""/>
    <m/>
    <x v="41"/>
    <s v="Senior Writer 2 - Silvia Pasternak"/>
    <m/>
    <n v="0"/>
    <n v="0"/>
    <n v="0"/>
    <n v="0"/>
    <n v="0"/>
    <n v="0"/>
    <n v="0"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</r>
  <r>
    <s v="Above the Line"/>
    <x v="1"/>
    <m/>
    <m/>
    <x v="43"/>
    <s v="COORDINACION/ASIST ESCRITORES"/>
    <m/>
    <n v="250000"/>
    <n v="0"/>
    <n v="250000"/>
    <n v="0"/>
    <n v="250000"/>
    <n v="250000"/>
    <n v="0"/>
  </r>
  <r>
    <s v="Above the Line"/>
    <x v="2"/>
    <s v=""/>
    <m/>
    <x v="44"/>
    <s v="Mini Room"/>
    <m/>
    <n v="0"/>
    <n v="0"/>
    <n v="0"/>
    <n v="0"/>
    <n v="0"/>
    <n v="0"/>
    <n v="0"/>
  </r>
  <r>
    <s v="Above the Line"/>
    <x v="2"/>
    <s v=""/>
    <m/>
    <x v="45"/>
    <s v="Writer Assistant - Claudia Blum"/>
    <m/>
    <n v="0"/>
    <n v="0"/>
    <n v="0"/>
    <n v="0"/>
    <n v="0"/>
    <n v="0"/>
    <n v="0"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</r>
  <r>
    <s v="Above the Line"/>
    <x v="2"/>
    <s v=""/>
    <m/>
    <x v="47"/>
    <s v="Room"/>
    <m/>
    <n v="0"/>
    <n v="0"/>
    <n v="0"/>
    <n v="0"/>
    <n v="0"/>
    <n v="0"/>
    <n v="0"/>
  </r>
  <r>
    <s v="Above the Line"/>
    <x v="2"/>
    <s v=""/>
    <m/>
    <x v="48"/>
    <s v="Writer Assistant - Claudia Blum"/>
    <m/>
    <n v="0"/>
    <n v="0"/>
    <n v="0"/>
    <n v="0"/>
    <n v="0"/>
    <n v="0"/>
    <n v="0"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</r>
  <r>
    <s v="Above the Line"/>
    <x v="1"/>
    <m/>
    <m/>
    <x v="50"/>
    <s v="RENTAS WRITERS ROOM"/>
    <m/>
    <n v="225000"/>
    <n v="0"/>
    <n v="225000"/>
    <n v="0"/>
    <n v="225000"/>
    <n v="225000"/>
    <n v="0"/>
  </r>
  <r>
    <s v="Above the Line"/>
    <x v="2"/>
    <s v=""/>
    <m/>
    <x v="51"/>
    <s v="Mini Room"/>
    <m/>
    <n v="0"/>
    <n v="0"/>
    <n v="0"/>
    <n v="0"/>
    <n v="0"/>
    <n v="0"/>
    <n v="0"/>
  </r>
  <r>
    <s v="Above the Line"/>
    <x v="2"/>
    <s v="DEVELOPMENT"/>
    <m/>
    <x v="52"/>
    <s v="Development"/>
    <m/>
    <n v="100000"/>
    <n v="0"/>
    <n v="100000"/>
    <n v="0"/>
    <n v="100000"/>
    <n v="100000"/>
    <n v="0"/>
  </r>
  <r>
    <s v="Above the Line"/>
    <x v="2"/>
    <s v=""/>
    <m/>
    <x v="53"/>
    <s v="Writers Room"/>
    <m/>
    <n v="0"/>
    <n v="0"/>
    <n v="0"/>
    <n v="0"/>
    <n v="0"/>
    <n v="0"/>
    <n v="0"/>
  </r>
  <r>
    <s v="Above the Line"/>
    <x v="2"/>
    <s v="DEVELOPMENT"/>
    <m/>
    <x v="54"/>
    <s v="Development"/>
    <m/>
    <n v="125000"/>
    <n v="0"/>
    <n v="125000"/>
    <n v="0"/>
    <n v="125000"/>
    <n v="125000"/>
    <n v="0"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</r>
  <r>
    <s v="Above the Line"/>
    <x v="2"/>
    <s v=""/>
    <m/>
    <x v="57"/>
    <s v="Carolina Rivera"/>
    <m/>
    <n v="0"/>
    <n v="0"/>
    <n v="0"/>
    <n v="0"/>
    <n v="0"/>
    <n v="0"/>
    <n v="0"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</r>
  <r>
    <s v="Above the Line"/>
    <x v="2"/>
    <s v=""/>
    <m/>
    <x v="59"/>
    <s v="Fernando Sariñana SR"/>
    <m/>
    <n v="0"/>
    <n v="0"/>
    <n v="0"/>
    <n v="0"/>
    <n v="0"/>
    <n v="0"/>
    <n v="0"/>
  </r>
  <r>
    <s v="Above the Line"/>
    <x v="2"/>
    <s v="ALL SHOW"/>
    <m/>
    <x v="60"/>
    <s v="Series "/>
    <m/>
    <n v="2149560"/>
    <n v="0"/>
    <n v="2149560"/>
    <n v="0"/>
    <n v="2149560"/>
    <n v="2149560"/>
    <n v="0"/>
  </r>
  <r>
    <s v="Above the Line"/>
    <x v="2"/>
    <s v=""/>
    <m/>
    <x v="61"/>
    <s v="Fernando Sariñana JR"/>
    <m/>
    <n v="0"/>
    <n v="0"/>
    <n v="0"/>
    <n v="0"/>
    <n v="0"/>
    <n v="0"/>
    <n v="0"/>
  </r>
  <r>
    <s v="Above the Line"/>
    <x v="2"/>
    <s v="ALL SHOW"/>
    <m/>
    <x v="62"/>
    <s v="Series"/>
    <m/>
    <n v="1680000"/>
    <n v="0"/>
    <n v="1680000"/>
    <n v="0"/>
    <n v="1680000"/>
    <n v="1680000"/>
    <n v="0"/>
  </r>
  <r>
    <s v="Above the Line"/>
    <x v="1"/>
    <m/>
    <m/>
    <x v="63"/>
    <s v="PRODUCTOR(A)"/>
    <m/>
    <n v="1063000"/>
    <n v="0"/>
    <n v="1063000"/>
    <n v="0"/>
    <n v="1063000"/>
    <n v="1063000"/>
    <n v="0"/>
  </r>
  <r>
    <s v="Above the Line"/>
    <x v="2"/>
    <s v=""/>
    <m/>
    <x v="64"/>
    <s v="Creative Producer - Lorena Sosa"/>
    <m/>
    <n v="0"/>
    <n v="0"/>
    <n v="0"/>
    <n v="0"/>
    <n v="0"/>
    <n v="0"/>
    <n v="0"/>
  </r>
  <r>
    <s v="Above the Line"/>
    <x v="2"/>
    <s v="SOFT"/>
    <m/>
    <x v="65"/>
    <s v="Soft"/>
    <m/>
    <n v="125000"/>
    <n v="0"/>
    <n v="125000"/>
    <n v="0"/>
    <n v="125000"/>
    <n v="125000"/>
    <n v="0"/>
  </r>
  <r>
    <s v="Above the Line"/>
    <x v="2"/>
    <s v="PREP"/>
    <m/>
    <x v="66"/>
    <s v="Prep"/>
    <m/>
    <n v="301500"/>
    <n v="0"/>
    <n v="301500"/>
    <n v="0"/>
    <n v="301500"/>
    <n v="301500"/>
    <n v="0"/>
  </r>
  <r>
    <s v="Above the Line"/>
    <x v="2"/>
    <s v="SHOOT"/>
    <m/>
    <x v="67"/>
    <s v="Shoot"/>
    <m/>
    <n v="234500"/>
    <n v="0"/>
    <n v="234500"/>
    <n v="0"/>
    <n v="234500"/>
    <n v="234500"/>
    <n v="0"/>
  </r>
  <r>
    <s v="Above the Line"/>
    <x v="2"/>
    <s v="WRAP"/>
    <m/>
    <x v="68"/>
    <s v="Post"/>
    <m/>
    <n v="402000"/>
    <n v="0"/>
    <n v="402000"/>
    <n v="0"/>
    <n v="402000"/>
    <n v="402000"/>
    <n v="0"/>
  </r>
  <r>
    <s v="Above the Line"/>
    <x v="1"/>
    <m/>
    <m/>
    <x v="69"/>
    <s v="PRODUCCION EN LINEA"/>
    <m/>
    <n v="1053750"/>
    <n v="0"/>
    <n v="1053750"/>
    <n v="0"/>
    <n v="1053750"/>
    <n v="1050000"/>
    <n v="-3750"/>
  </r>
  <r>
    <s v="Above the Line"/>
    <x v="2"/>
    <s v=""/>
    <m/>
    <x v="70"/>
    <s v="Line Producer - Eric Reid"/>
    <m/>
    <n v="0"/>
    <n v="0"/>
    <n v="0"/>
    <n v="0"/>
    <n v="0"/>
    <n v="0"/>
    <n v="0"/>
  </r>
  <r>
    <s v="Above the Line"/>
    <x v="2"/>
    <s v="SOFT"/>
    <m/>
    <x v="71"/>
    <s v="Soft"/>
    <m/>
    <n v="210000"/>
    <n v="0"/>
    <n v="210000"/>
    <n v="0"/>
    <n v="210000"/>
    <n v="210000"/>
    <n v="0"/>
  </r>
  <r>
    <s v="Above the Line"/>
    <x v="2"/>
    <s v="PREP"/>
    <m/>
    <x v="72"/>
    <s v="Prep"/>
    <m/>
    <n v="378000"/>
    <n v="0"/>
    <n v="378000"/>
    <n v="0"/>
    <n v="378000"/>
    <n v="378000"/>
    <n v="0"/>
  </r>
  <r>
    <s v="Above the Line"/>
    <x v="2"/>
    <s v="SHOOT"/>
    <m/>
    <x v="73"/>
    <s v="Shoot"/>
    <m/>
    <n v="294000"/>
    <n v="0"/>
    <n v="294000"/>
    <n v="0"/>
    <n v="294000"/>
    <n v="294000"/>
    <n v="0"/>
  </r>
  <r>
    <s v="Above the Line"/>
    <x v="2"/>
    <s v="WRAP"/>
    <s v="NOM"/>
    <x v="74"/>
    <s v="Wrap"/>
    <m/>
    <n v="171750"/>
    <n v="0"/>
    <n v="171750"/>
    <n v="0"/>
    <n v="171750"/>
    <n v="168000"/>
    <n v="-3750"/>
  </r>
  <r>
    <s v="Above the Line"/>
    <x v="1"/>
    <m/>
    <m/>
    <x v="75"/>
    <s v="ASISTENTE DE PRODUCTORES"/>
    <m/>
    <n v="566000"/>
    <n v="0"/>
    <n v="566000"/>
    <n v="0"/>
    <n v="566000"/>
    <n v="564500"/>
    <n v="-1500"/>
  </r>
  <r>
    <s v="Above the Line"/>
    <x v="2"/>
    <s v=""/>
    <m/>
    <x v="76"/>
    <s v="Asistente Show Runner - Rodrigo Sariñana "/>
    <m/>
    <n v="0"/>
    <n v="0"/>
    <n v="0"/>
    <n v="0"/>
    <n v="0"/>
    <n v="0"/>
    <n v="0"/>
  </r>
  <r>
    <s v="Above the Line"/>
    <x v="2"/>
    <s v="PREP"/>
    <m/>
    <x v="77"/>
    <s v="Prep"/>
    <m/>
    <n v="73500"/>
    <n v="0"/>
    <n v="73500"/>
    <n v="0"/>
    <n v="73500"/>
    <n v="73500"/>
    <n v="0"/>
  </r>
  <r>
    <s v="Above the Line"/>
    <x v="2"/>
    <s v="SHOOT"/>
    <m/>
    <x v="78"/>
    <s v="Shoot"/>
    <m/>
    <n v="75000"/>
    <n v="0"/>
    <n v="75000"/>
    <n v="0"/>
    <n v="75000"/>
    <n v="73500"/>
    <n v="-1500"/>
  </r>
  <r>
    <s v="Above the Line"/>
    <x v="2"/>
    <s v=""/>
    <m/>
    <x v="79"/>
    <s v="Asistente EP - Pablo Garcia"/>
    <m/>
    <n v="0"/>
    <n v="0"/>
    <n v="0"/>
    <n v="0"/>
    <n v="0"/>
    <n v="0"/>
    <n v="0"/>
  </r>
  <r>
    <s v="Above the Line"/>
    <x v="2"/>
    <s v="SOFT"/>
    <m/>
    <x v="80"/>
    <s v="Soft"/>
    <m/>
    <n v="50000"/>
    <n v="0"/>
    <n v="50000"/>
    <n v="0"/>
    <n v="50000"/>
    <n v="50000"/>
    <n v="0"/>
  </r>
  <r>
    <s v="Above the Line"/>
    <x v="2"/>
    <s v="ALL SHOW"/>
    <m/>
    <x v="81"/>
    <s v="Series"/>
    <m/>
    <n v="367500"/>
    <n v="0"/>
    <n v="367500"/>
    <n v="0"/>
    <n v="367500"/>
    <n v="367500"/>
    <n v="0"/>
  </r>
  <r>
    <s v="Above the Line"/>
    <x v="1"/>
    <m/>
    <m/>
    <x v="82"/>
    <s v="TRANSPORTE PRODUCTORES"/>
    <m/>
    <n v="700037.9"/>
    <n v="0"/>
    <n v="700037.9"/>
    <n v="0"/>
    <n v="700037.9"/>
    <n v="793000"/>
    <n v="92962.1"/>
  </r>
  <r>
    <s v="Above the Line"/>
    <x v="2"/>
    <s v=""/>
    <m/>
    <x v="83"/>
    <s v="Rentals - SMILE"/>
    <m/>
    <n v="0"/>
    <n v="0"/>
    <n v="0"/>
    <n v="0"/>
    <n v="0"/>
    <n v="0"/>
    <n v="0"/>
  </r>
  <r>
    <s v="Above the Line"/>
    <x v="2"/>
    <s v=""/>
    <m/>
    <x v="84"/>
    <s v="Fernando Sariñana"/>
    <m/>
    <n v="0"/>
    <n v="0"/>
    <n v="0"/>
    <n v="0"/>
    <n v="0"/>
    <n v="0"/>
    <n v="0"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</r>
  <r>
    <s v="Above the Line"/>
    <x v="2"/>
    <s v=""/>
    <m/>
    <x v="88"/>
    <s v="Fernando Sariñana JR"/>
    <m/>
    <n v="0"/>
    <n v="0"/>
    <n v="0"/>
    <n v="0"/>
    <n v="0"/>
    <n v="0"/>
    <n v="0"/>
  </r>
  <r>
    <s v="Above the Line"/>
    <x v="2"/>
    <s v="ALL SHOW"/>
    <m/>
    <x v="89"/>
    <s v="Prep"/>
    <m/>
    <n v="117000"/>
    <n v="0"/>
    <n v="117000"/>
    <n v="0"/>
    <n v="117000"/>
    <n v="117000"/>
    <n v="0"/>
  </r>
  <r>
    <s v="Above the Line"/>
    <x v="2"/>
    <s v="ALL SHOW"/>
    <m/>
    <x v="90"/>
    <s v="Shoot"/>
    <m/>
    <n v="91000"/>
    <n v="0"/>
    <n v="91000"/>
    <n v="0"/>
    <n v="91000"/>
    <n v="91000"/>
    <n v="0"/>
  </r>
  <r>
    <s v="Above the Line"/>
    <x v="2"/>
    <s v="ALL SHOW"/>
    <m/>
    <x v="91"/>
    <s v="Post"/>
    <m/>
    <n v="221000"/>
    <n v="0"/>
    <n v="221000"/>
    <n v="0"/>
    <n v="221000"/>
    <n v="221000"/>
    <n v="0"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</r>
  <r>
    <s v="Above the Line"/>
    <x v="2"/>
    <s v=""/>
    <m/>
    <x v="94"/>
    <s v="Director #1 - Javier Patron"/>
    <m/>
    <n v="0"/>
    <n v="0"/>
    <n v="0"/>
    <n v="0"/>
    <n v="0"/>
    <n v="0"/>
    <n v="0"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</r>
  <r>
    <s v="Above the Line"/>
    <x v="2"/>
    <s v=""/>
    <m/>
    <x v="100"/>
    <s v="Director #2 - José Ramón Chávez"/>
    <m/>
    <n v="0"/>
    <n v="0"/>
    <n v="0"/>
    <n v="0"/>
    <n v="0"/>
    <n v="0"/>
    <n v="0"/>
  </r>
  <r>
    <s v="Above the Line"/>
    <x v="2"/>
    <s v="SHOOT"/>
    <m/>
    <x v="101"/>
    <s v="Production Payment"/>
    <m/>
    <n v="462000"/>
    <n v="0"/>
    <n v="462000"/>
    <n v="0"/>
    <n v="462000"/>
    <n v="462000"/>
    <n v="0"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</r>
  <r>
    <s v="Above the Line"/>
    <x v="2"/>
    <s v=""/>
    <m/>
    <x v="106"/>
    <s v="Director #3 - Iker Duperoyn"/>
    <m/>
    <n v="0"/>
    <n v="0"/>
    <n v="0"/>
    <n v="0"/>
    <n v="0"/>
    <n v="0"/>
    <n v="0"/>
  </r>
  <r>
    <s v="Above the Line"/>
    <x v="2"/>
    <s v="SHOOT"/>
    <m/>
    <x v="107"/>
    <s v="Production Payment"/>
    <m/>
    <n v="462000"/>
    <n v="0"/>
    <n v="462000"/>
    <n v="0"/>
    <n v="462000"/>
    <n v="462000"/>
    <n v="0"/>
  </r>
  <r>
    <s v="Above the Line"/>
    <x v="2"/>
    <s v="SHOOT"/>
    <s v="ANDA"/>
    <x v="108"/>
    <s v="Shooting"/>
    <m/>
    <n v="0"/>
    <n v="0"/>
    <n v="0"/>
    <n v="0"/>
    <n v="0"/>
    <n v="31136"/>
    <n v="31136"/>
  </r>
  <r>
    <s v="Above the Line"/>
    <x v="2"/>
    <s v="SHOOT"/>
    <s v="ANDA"/>
    <x v="109"/>
    <s v="Domingos ANDA"/>
    <m/>
    <n v="0"/>
    <n v="0"/>
    <n v="0"/>
    <n v="0"/>
    <n v="0"/>
    <n v="6672"/>
    <n v="6672"/>
  </r>
  <r>
    <s v="Above the Line"/>
    <x v="2"/>
    <s v="SHOOT"/>
    <s v="ANDA"/>
    <x v="110"/>
    <s v="Overtime ANDA 100%"/>
    <m/>
    <n v="0"/>
    <n v="0"/>
    <n v="0"/>
    <n v="0"/>
    <n v="0"/>
    <n v="31136"/>
    <n v="31136"/>
  </r>
  <r>
    <s v="Above the Line"/>
    <x v="2"/>
    <s v="SHOOT"/>
    <s v="ANDA"/>
    <x v="111"/>
    <s v="Viáticos ANDA"/>
    <m/>
    <n v="0"/>
    <n v="0"/>
    <n v="0"/>
    <n v="0"/>
    <n v="0"/>
    <n v="4200"/>
    <n v="4200"/>
  </r>
  <r>
    <s v="Above the Line"/>
    <x v="2"/>
    <s v=""/>
    <m/>
    <x v="112"/>
    <s v="Director #4 - Sebastián Sariñana"/>
    <m/>
    <n v="0"/>
    <n v="0"/>
    <n v="0"/>
    <n v="0"/>
    <n v="0"/>
    <n v="0"/>
    <n v="0"/>
  </r>
  <r>
    <s v="Above the Line"/>
    <x v="2"/>
    <s v="SHOOT"/>
    <m/>
    <x v="113"/>
    <s v="Production Payment"/>
    <m/>
    <n v="462000"/>
    <n v="0"/>
    <n v="462000"/>
    <n v="0"/>
    <n v="462000"/>
    <n v="462000"/>
    <n v="0"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</r>
  <r>
    <s v="Above the Line"/>
    <x v="2"/>
    <s v=""/>
    <m/>
    <x v="118"/>
    <s v="CoDirector #5 - Lorena Sosa"/>
    <m/>
    <n v="0"/>
    <n v="0"/>
    <n v="0"/>
    <n v="0"/>
    <n v="0"/>
    <n v="0"/>
    <n v="0"/>
  </r>
  <r>
    <s v="Above the Line"/>
    <x v="2"/>
    <s v="SHOOT"/>
    <m/>
    <x v="119"/>
    <s v="Production Payment"/>
    <m/>
    <n v="0"/>
    <n v="0"/>
    <n v="0"/>
    <n v="0"/>
    <n v="0"/>
    <n v="0"/>
    <n v="0"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</r>
  <r>
    <s v="Above the Line"/>
    <x v="2"/>
    <s v=""/>
    <m/>
    <x v="125"/>
    <s v="Director Segunda Unidad - Nadia Ayala Tabachnik"/>
    <m/>
    <n v="0"/>
    <n v="0"/>
    <n v="0"/>
    <n v="0"/>
    <n v="0"/>
    <n v="0"/>
    <n v="0"/>
  </r>
  <r>
    <s v="Above the Line"/>
    <x v="2"/>
    <s v="2nd Unit"/>
    <m/>
    <x v="126"/>
    <s v="Prep"/>
    <m/>
    <n v="65000"/>
    <n v="0"/>
    <n v="65000"/>
    <n v="0"/>
    <n v="65000"/>
    <n v="65000"/>
    <n v="0"/>
  </r>
  <r>
    <s v="Above the Line"/>
    <x v="2"/>
    <s v="2nd Unit"/>
    <m/>
    <x v="127"/>
    <s v="Shoot"/>
    <m/>
    <n v="130000"/>
    <n v="0"/>
    <n v="130000"/>
    <n v="0"/>
    <n v="130000"/>
    <n v="130000"/>
    <n v="0"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</r>
  <r>
    <s v="Above the Line"/>
    <x v="1"/>
    <m/>
    <m/>
    <x v="132"/>
    <s v="STORYBOARD"/>
    <m/>
    <n v="79000"/>
    <n v="0"/>
    <n v="79000"/>
    <n v="0"/>
    <n v="79000"/>
    <n v="75000"/>
    <n v="-4000"/>
  </r>
  <r>
    <s v="Above the Line"/>
    <x v="2"/>
    <s v=""/>
    <m/>
    <x v="133"/>
    <s v="Storyboard Artist - Sputnik (Rubén Nava)"/>
    <m/>
    <n v="0"/>
    <n v="0"/>
    <n v="0"/>
    <n v="0"/>
    <n v="0"/>
    <n v="0"/>
    <n v="0"/>
  </r>
  <r>
    <s v="Above the Line"/>
    <x v="2"/>
    <s v="SHOOT"/>
    <m/>
    <x v="134"/>
    <s v="Allowance"/>
    <m/>
    <n v="79000"/>
    <n v="0"/>
    <n v="79000"/>
    <n v="0"/>
    <n v="79000"/>
    <n v="75000"/>
    <n v="-4000"/>
  </r>
  <r>
    <s v="Above the Line"/>
    <x v="1"/>
    <m/>
    <m/>
    <x v="135"/>
    <s v="TRANSPORTE PARA DIRECTOR(A)"/>
    <m/>
    <n v="0"/>
    <n v="0"/>
    <n v="0"/>
    <n v="0"/>
    <n v="0"/>
    <n v="205200"/>
    <n v="205200"/>
  </r>
  <r>
    <s v="Above the Line"/>
    <x v="2"/>
    <s v=""/>
    <m/>
    <x v="136"/>
    <s v="Auto Director"/>
    <m/>
    <n v="0"/>
    <n v="0"/>
    <n v="0"/>
    <n v="0"/>
    <n v="0"/>
    <n v="0"/>
    <n v="0"/>
  </r>
  <r>
    <s v="Above the Line"/>
    <x v="2"/>
    <s v="PREP"/>
    <s v="BALU"/>
    <x v="137"/>
    <s v="Prep"/>
    <m/>
    <n v="0"/>
    <n v="0"/>
    <n v="0"/>
    <n v="0"/>
    <n v="0"/>
    <n v="21600"/>
    <n v="21600"/>
  </r>
  <r>
    <s v="Above the Line"/>
    <x v="2"/>
    <s v="SHOOT"/>
    <s v="BALU"/>
    <x v="138"/>
    <s v="Shoot"/>
    <m/>
    <n v="0"/>
    <n v="0"/>
    <n v="0"/>
    <n v="0"/>
    <n v="0"/>
    <n v="151200"/>
    <n v="151200"/>
  </r>
  <r>
    <s v="Above the Line"/>
    <x v="2"/>
    <s v="WRAP"/>
    <m/>
    <x v="139"/>
    <s v="Wrap"/>
    <m/>
    <n v="0"/>
    <n v="0"/>
    <n v="0"/>
    <n v="0"/>
    <n v="0"/>
    <n v="0"/>
    <n v="0"/>
  </r>
  <r>
    <s v="Above the Line"/>
    <x v="2"/>
    <s v=""/>
    <m/>
    <x v="140"/>
    <s v="Auto Director Segunda Unidad"/>
    <m/>
    <n v="0"/>
    <n v="0"/>
    <n v="0"/>
    <n v="0"/>
    <n v="0"/>
    <n v="0"/>
    <n v="0"/>
  </r>
  <r>
    <s v="Above the Line"/>
    <x v="2"/>
    <s v="2nd Unit"/>
    <s v="BALU"/>
    <x v="141"/>
    <s v="Prep"/>
    <m/>
    <n v="0"/>
    <n v="0"/>
    <n v="0"/>
    <n v="0"/>
    <n v="0"/>
    <n v="10800"/>
    <n v="10800"/>
  </r>
  <r>
    <s v="Above the Line"/>
    <x v="2"/>
    <s v="2nd Unit"/>
    <s v="BALU"/>
    <x v="142"/>
    <s v="Shoot"/>
    <m/>
    <n v="0"/>
    <n v="0"/>
    <n v="0"/>
    <n v="0"/>
    <n v="0"/>
    <n v="21600"/>
    <n v="21600"/>
  </r>
  <r>
    <s v="Above the Line"/>
    <x v="1"/>
    <m/>
    <m/>
    <x v="143"/>
    <s v="Total Fringes"/>
    <m/>
    <n v="0"/>
    <n v="0"/>
    <n v="0"/>
    <n v="0"/>
    <n v="0"/>
    <n v="132743.88"/>
    <n v="132743.88"/>
  </r>
  <r>
    <s v="Above the Line"/>
    <x v="2"/>
    <s v="Fringes"/>
    <s v="ANDA"/>
    <x v="144"/>
    <s v="Fringes"/>
    <m/>
    <n v="0"/>
    <n v="0"/>
    <n v="0"/>
    <n v="0"/>
    <n v="0"/>
    <n v="132743.88"/>
    <n v="132743.88"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</r>
  <r>
    <s v="Above the Line"/>
    <x v="2"/>
    <s v="SHOOT"/>
    <m/>
    <x v="147"/>
    <s v="1. Jimena Lemus"/>
    <m/>
    <n v="1848000"/>
    <n v="0"/>
    <n v="1848000"/>
    <n v="0"/>
    <n v="1848000"/>
    <n v="1848000"/>
    <n v="0"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</r>
  <r>
    <s v="Above the Line"/>
    <x v="2"/>
    <s v="SHOOT"/>
    <m/>
    <x v="149"/>
    <s v="DÍAS DE VIAJE"/>
    <m/>
    <n v="0"/>
    <n v="0"/>
    <n v="0"/>
    <n v="0"/>
    <n v="0"/>
    <n v="0"/>
    <n v="0"/>
  </r>
  <r>
    <s v="Above the Line"/>
    <x v="2"/>
    <s v="SHOOT"/>
    <m/>
    <x v="150"/>
    <s v="DÍAS DE HOLD"/>
    <m/>
    <n v="0"/>
    <n v="0"/>
    <n v="0"/>
    <n v="0"/>
    <n v="0"/>
    <n v="0"/>
    <n v="0"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</r>
  <r>
    <s v="Above the Line"/>
    <x v="2"/>
    <s v="SHOOT"/>
    <m/>
    <x v="154"/>
    <s v="2. Gabriel Padilla"/>
    <m/>
    <n v="1000000"/>
    <n v="0"/>
    <n v="1000000"/>
    <n v="0"/>
    <n v="1000000"/>
    <n v="1000000"/>
    <n v="0"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</r>
  <r>
    <s v="Above the Line"/>
    <x v="2"/>
    <s v="SHOOT"/>
    <m/>
    <x v="156"/>
    <s v="DÍAS DE VIAJE"/>
    <m/>
    <n v="0"/>
    <n v="0"/>
    <n v="0"/>
    <n v="0"/>
    <n v="0"/>
    <n v="0"/>
    <n v="0"/>
  </r>
  <r>
    <s v="Above the Line"/>
    <x v="2"/>
    <s v="SHOOT"/>
    <m/>
    <x v="157"/>
    <s v="DÍAS DE HOLD"/>
    <m/>
    <n v="0"/>
    <n v="0"/>
    <n v="0"/>
    <n v="0"/>
    <n v="0"/>
    <n v="0"/>
    <n v="0"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</r>
  <r>
    <s v="Above the Line"/>
    <x v="2"/>
    <s v="SHOOT"/>
    <m/>
    <x v="163"/>
    <s v="DÍAS DE VIAJE"/>
    <m/>
    <n v="0"/>
    <n v="0"/>
    <n v="0"/>
    <n v="0"/>
    <n v="0"/>
    <n v="0"/>
    <n v="0"/>
  </r>
  <r>
    <s v="Above the Line"/>
    <x v="2"/>
    <s v="SHOOT"/>
    <m/>
    <x v="164"/>
    <s v="DÍAS DE HOLD"/>
    <m/>
    <n v="0"/>
    <n v="0"/>
    <n v="0"/>
    <n v="0"/>
    <n v="0"/>
    <n v="0"/>
    <n v="0"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</r>
  <r>
    <s v="Above the Line"/>
    <x v="2"/>
    <s v="SHOOT"/>
    <m/>
    <x v="173"/>
    <s v="5. Sofía"/>
    <m/>
    <n v="252000"/>
    <n v="0"/>
    <n v="252000"/>
    <n v="0"/>
    <n v="252000"/>
    <n v="252000"/>
    <n v="0"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</r>
  <r>
    <s v="Above the Line"/>
    <x v="2"/>
    <s v="SHOOT"/>
    <m/>
    <x v="178"/>
    <s v="6. Rogelio"/>
    <m/>
    <n v="456750"/>
    <n v="0"/>
    <n v="456750"/>
    <n v="0"/>
    <n v="456750"/>
    <n v="228375"/>
    <n v="-228375"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</r>
  <r>
    <s v="Above the Line"/>
    <x v="2"/>
    <s v="SHOOT"/>
    <s v="ANDA"/>
    <x v="180"/>
    <s v="Domingos ANDA"/>
    <m/>
    <n v="0"/>
    <n v="0"/>
    <n v="0"/>
    <n v="0"/>
    <n v="0"/>
    <n v="3282"/>
    <n v="3282"/>
  </r>
  <r>
    <s v="Above the Line"/>
    <x v="2"/>
    <s v="SHOOT"/>
    <s v="ANDA"/>
    <x v="181"/>
    <s v="Overtime ANDA 0%"/>
    <m/>
    <n v="0"/>
    <n v="0"/>
    <n v="0"/>
    <n v="0"/>
    <n v="0"/>
    <n v="3282"/>
    <n v="3282"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</r>
  <r>
    <s v="Above the Line"/>
    <x v="2"/>
    <s v="SHOOT"/>
    <m/>
    <x v="183"/>
    <s v="7. Brenda"/>
    <m/>
    <n v="441000"/>
    <n v="0"/>
    <n v="441000"/>
    <n v="0"/>
    <n v="441000"/>
    <n v="441000"/>
    <n v="0"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</r>
  <r>
    <s v="Above the Line"/>
    <x v="2"/>
    <s v="SHOOT"/>
    <m/>
    <x v="188"/>
    <s v="8. Ernesto"/>
    <m/>
    <n v="199500"/>
    <n v="0"/>
    <n v="199500"/>
    <n v="0"/>
    <n v="199500"/>
    <n v="199500"/>
    <n v="0"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</r>
  <r>
    <s v="Above the Line"/>
    <x v="2"/>
    <s v="SHOOT"/>
    <m/>
    <x v="193"/>
    <s v="9. Joaquín"/>
    <m/>
    <n v="483000"/>
    <n v="0"/>
    <n v="483000"/>
    <n v="0"/>
    <n v="483000"/>
    <n v="483000"/>
    <n v="0"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</r>
  <r>
    <s v="Above the Line"/>
    <x v="2"/>
    <s v="SHOOT"/>
    <m/>
    <x v="198"/>
    <s v="10. Matías"/>
    <m/>
    <n v="976250"/>
    <n v="0"/>
    <n v="976250"/>
    <n v="0"/>
    <n v="976250"/>
    <n v="960000"/>
    <n v="-16250"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</r>
  <r>
    <s v="Above the Line"/>
    <x v="2"/>
    <s v="SHOOT"/>
    <m/>
    <x v="200"/>
    <s v="11. Violeta"/>
    <m/>
    <n v="416000"/>
    <n v="0"/>
    <n v="416000"/>
    <n v="0"/>
    <n v="416000"/>
    <n v="416000"/>
    <n v="0"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</r>
  <r>
    <s v="Above the Line"/>
    <x v="2"/>
    <s v="SHOOT"/>
    <m/>
    <x v="206"/>
    <s v="101. Martha "/>
    <m/>
    <n v="236250"/>
    <n v="0"/>
    <n v="236250"/>
    <n v="0"/>
    <n v="236250"/>
    <n v="236250"/>
    <n v="0"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</r>
  <r>
    <s v="Above the Line"/>
    <x v="2"/>
    <s v="SHOOT"/>
    <s v="ANDA"/>
    <x v="208"/>
    <s v="Domingos ANDA"/>
    <m/>
    <n v="0"/>
    <n v="0"/>
    <n v="0"/>
    <n v="0"/>
    <n v="0"/>
    <n v="0"/>
    <n v="0"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</r>
  <r>
    <s v="Above the Line"/>
    <x v="2"/>
    <s v="SHOOT"/>
    <m/>
    <x v="211"/>
    <s v="102. Don Julio Padilla "/>
    <m/>
    <n v="94500"/>
    <n v="0"/>
    <n v="94500"/>
    <n v="0"/>
    <n v="94500"/>
    <n v="94500"/>
    <n v="0"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</r>
  <r>
    <s v="Above the Line"/>
    <x v="2"/>
    <s v="SHOOT"/>
    <s v="ANDA"/>
    <x v="218"/>
    <s v="Domingos ANDA"/>
    <m/>
    <n v="0"/>
    <n v="0"/>
    <n v="0"/>
    <n v="0"/>
    <n v="0"/>
    <n v="0"/>
    <n v="0"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</r>
  <r>
    <s v="Above the Line"/>
    <x v="2"/>
    <s v="SHOOT"/>
    <s v="NOM"/>
    <x v="221"/>
    <s v="104. Abel "/>
    <m/>
    <n v="63000"/>
    <n v="0"/>
    <n v="63000"/>
    <n v="0"/>
    <n v="63000"/>
    <n v="94500"/>
    <n v="31500"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</r>
  <r>
    <s v="Above the Line"/>
    <x v="2"/>
    <s v="SHOOT"/>
    <s v="ANDA"/>
    <x v="223"/>
    <s v="Domingos ANDA"/>
    <m/>
    <n v="0"/>
    <n v="0"/>
    <n v="0"/>
    <n v="0"/>
    <n v="0"/>
    <n v="0"/>
    <n v="0"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</r>
  <r>
    <s v="Above the Line"/>
    <x v="2"/>
    <s v="SHOOT"/>
    <s v="ANDA"/>
    <x v="228"/>
    <s v="Domingos ANDA"/>
    <m/>
    <n v="0"/>
    <n v="0"/>
    <n v="0"/>
    <n v="0"/>
    <n v="0"/>
    <n v="13128"/>
    <n v="13128"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</r>
  <r>
    <s v="Above the Line"/>
    <x v="2"/>
    <s v="SHOOT"/>
    <m/>
    <x v="231"/>
    <s v="106. Luisa"/>
    <m/>
    <n v="21000"/>
    <n v="0"/>
    <n v="21000"/>
    <n v="0"/>
    <n v="21000"/>
    <n v="25200"/>
    <n v="4200"/>
  </r>
  <r>
    <s v="Above the Line"/>
    <x v="2"/>
    <s v="SHOOT"/>
    <s v="ANDA"/>
    <x v="232"/>
    <s v="TBD- ANDA ESTELAR"/>
    <m/>
    <n v="0"/>
    <n v="0"/>
    <n v="0"/>
    <n v="0"/>
    <n v="0"/>
    <n v="19692"/>
    <n v="19692"/>
  </r>
  <r>
    <s v="Above the Line"/>
    <x v="2"/>
    <s v="SHOOT"/>
    <s v="ANDA"/>
    <x v="233"/>
    <s v="Domingos ANDA"/>
    <m/>
    <n v="0"/>
    <n v="0"/>
    <n v="0"/>
    <n v="0"/>
    <n v="0"/>
    <n v="0"/>
    <n v="0"/>
  </r>
  <r>
    <s v="Above the Line"/>
    <x v="2"/>
    <s v="SHOOT"/>
    <s v="ANDA"/>
    <x v="234"/>
    <s v="Overtime ANDA 0%"/>
    <m/>
    <n v="0"/>
    <n v="0"/>
    <n v="0"/>
    <n v="0"/>
    <n v="0"/>
    <n v="0"/>
    <n v="0"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</r>
  <r>
    <s v="Above the Line"/>
    <x v="2"/>
    <s v="SHOOT"/>
    <m/>
    <x v="236"/>
    <s v="107. Pato"/>
    <m/>
    <n v="16800"/>
    <n v="0"/>
    <n v="16800"/>
    <n v="0"/>
    <n v="16800"/>
    <n v="16800"/>
    <n v="0"/>
  </r>
  <r>
    <s v="Above the Line"/>
    <x v="2"/>
    <s v="SHOOT"/>
    <s v="ANDA"/>
    <x v="237"/>
    <s v="TBD - ANDA ESTELAR"/>
    <m/>
    <n v="0"/>
    <n v="0"/>
    <n v="0"/>
    <n v="0"/>
    <n v="0"/>
    <n v="19692"/>
    <n v="19692"/>
  </r>
  <r>
    <s v="Above the Line"/>
    <x v="2"/>
    <s v="SHOOT"/>
    <s v="ANDA"/>
    <x v="238"/>
    <s v="Domingos ANDA"/>
    <m/>
    <n v="0"/>
    <n v="0"/>
    <n v="0"/>
    <n v="0"/>
    <n v="0"/>
    <n v="0"/>
    <n v="0"/>
  </r>
  <r>
    <s v="Above the Line"/>
    <x v="2"/>
    <s v="SHOOT"/>
    <s v="ANDA"/>
    <x v="239"/>
    <s v="Overtime ANDA 0%"/>
    <m/>
    <n v="0"/>
    <n v="0"/>
    <n v="0"/>
    <n v="0"/>
    <n v="0"/>
    <n v="0"/>
    <n v="0"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</r>
  <r>
    <s v="Above the Line"/>
    <x v="2"/>
    <s v="SHOOT"/>
    <m/>
    <x v="241"/>
    <s v="108. Nadia "/>
    <m/>
    <n v="50400"/>
    <n v="0"/>
    <n v="50400"/>
    <n v="0"/>
    <n v="50400"/>
    <n v="12600"/>
    <n v="-37800"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</r>
  <r>
    <s v="Above the Line"/>
    <x v="2"/>
    <s v="SHOOT"/>
    <s v="ANDA"/>
    <x v="243"/>
    <s v="Domingos ANDA"/>
    <m/>
    <n v="0"/>
    <n v="0"/>
    <n v="0"/>
    <n v="0"/>
    <n v="0"/>
    <n v="0"/>
    <n v="0"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</r>
  <r>
    <s v="Above the Line"/>
    <x v="2"/>
    <s v="SHOOT"/>
    <m/>
    <x v="246"/>
    <s v="109. Paola "/>
    <m/>
    <n v="50400"/>
    <n v="0"/>
    <n v="50400"/>
    <n v="0"/>
    <n v="50400"/>
    <n v="12600"/>
    <n v="-37800"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</r>
  <r>
    <s v="Above the Line"/>
    <x v="2"/>
    <s v="SHOOT"/>
    <s v="ANDA"/>
    <x v="248"/>
    <s v="Domingos ANDA"/>
    <m/>
    <n v="0"/>
    <n v="0"/>
    <n v="0"/>
    <n v="0"/>
    <n v="0"/>
    <n v="0"/>
    <n v="0"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</r>
  <r>
    <s v="Above the Line"/>
    <x v="2"/>
    <s v="SHOOT"/>
    <s v="ANDA"/>
    <x v="253"/>
    <s v="Domingos ANDA"/>
    <m/>
    <n v="0"/>
    <n v="0"/>
    <n v="0"/>
    <n v="0"/>
    <n v="0"/>
    <n v="0"/>
    <n v="0"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</r>
  <r>
    <s v="Above the Line"/>
    <x v="2"/>
    <s v="SHOOT"/>
    <m/>
    <x v="256"/>
    <s v="111. Chema"/>
    <m/>
    <n v="28400"/>
    <n v="0"/>
    <n v="28400"/>
    <n v="0"/>
    <n v="28400"/>
    <n v="20000"/>
    <n v="-8400"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</r>
  <r>
    <s v="Above the Line"/>
    <x v="2"/>
    <s v="SHOOT"/>
    <m/>
    <x v="261"/>
    <s v="112. Mitch "/>
    <m/>
    <n v="77700"/>
    <n v="0"/>
    <n v="77700"/>
    <n v="0"/>
    <n v="77700"/>
    <n v="38850"/>
    <n v="-38850"/>
  </r>
  <r>
    <s v="Above the Line"/>
    <x v="2"/>
    <s v="SHOOT"/>
    <s v="ANDA"/>
    <x v="262"/>
    <s v="SOFÍA DÍAZ - ANDA ESTELAR"/>
    <m/>
    <n v="0"/>
    <n v="0"/>
    <n v="0"/>
    <n v="0"/>
    <n v="0"/>
    <n v="9846"/>
    <n v="9846"/>
  </r>
  <r>
    <s v="Above the Line"/>
    <x v="2"/>
    <s v="SHOOT"/>
    <s v="ANDA"/>
    <x v="263"/>
    <s v="Domingos ANDA"/>
    <m/>
    <n v="0"/>
    <n v="0"/>
    <n v="0"/>
    <n v="0"/>
    <n v="0"/>
    <n v="0"/>
    <n v="0"/>
  </r>
  <r>
    <s v="Above the Line"/>
    <x v="2"/>
    <s v="SHOOT"/>
    <s v="ANDA"/>
    <x v="264"/>
    <s v="Overtime ANDA 0%"/>
    <m/>
    <n v="0"/>
    <n v="0"/>
    <n v="0"/>
    <n v="0"/>
    <n v="0"/>
    <n v="0"/>
    <n v="0"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</r>
  <r>
    <s v="Above the Line"/>
    <x v="2"/>
    <s v="SHOOT"/>
    <m/>
    <x v="266"/>
    <s v="113. Perla Salgado"/>
    <m/>
    <n v="84000"/>
    <n v="0"/>
    <n v="84000"/>
    <n v="0"/>
    <n v="84000"/>
    <n v="84000"/>
    <n v="0"/>
  </r>
  <r>
    <s v="Above the Line"/>
    <x v="2"/>
    <s v="SHOOT"/>
    <s v="ANDA"/>
    <x v="267"/>
    <s v="Amaranta Ruiz - ANDA ESTELAR"/>
    <m/>
    <n v="0"/>
    <n v="0"/>
    <n v="0"/>
    <n v="0"/>
    <n v="0"/>
    <n v="16410"/>
    <n v="16410"/>
  </r>
  <r>
    <s v="Above the Line"/>
    <x v="2"/>
    <s v="SHOOT"/>
    <s v="ANDA"/>
    <x v="268"/>
    <s v="Domingos ANDA"/>
    <m/>
    <n v="0"/>
    <n v="0"/>
    <n v="0"/>
    <n v="0"/>
    <n v="0"/>
    <n v="19692"/>
    <n v="19692"/>
  </r>
  <r>
    <s v="Above the Line"/>
    <x v="2"/>
    <s v="SHOOT"/>
    <s v="ANDA"/>
    <x v="269"/>
    <s v="Overtime ANDA 0%"/>
    <m/>
    <n v="0"/>
    <n v="0"/>
    <n v="0"/>
    <n v="0"/>
    <n v="0"/>
    <n v="0"/>
    <n v="0"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</r>
  <r>
    <s v="Above the Line"/>
    <x v="1"/>
    <m/>
    <m/>
    <x v="271"/>
    <s v="EVENTUALES"/>
    <m/>
    <n v="107315.31"/>
    <n v="0"/>
    <n v="107315.31"/>
    <n v="0"/>
    <n v="107315.31"/>
    <n v="255106"/>
    <n v="147790.69"/>
  </r>
  <r>
    <s v="Above the Line"/>
    <x v="2"/>
    <s v=""/>
    <m/>
    <x v="272"/>
    <s v="Day Players"/>
    <m/>
    <n v="0"/>
    <n v="0"/>
    <n v="0"/>
    <n v="0"/>
    <n v="0"/>
    <n v="0"/>
    <n v="0"/>
  </r>
  <r>
    <s v="Above the Line"/>
    <x v="2"/>
    <s v=""/>
    <m/>
    <x v="273"/>
    <s v="Day Player"/>
    <m/>
    <n v="0"/>
    <n v="0"/>
    <n v="0"/>
    <n v="0"/>
    <n v="0"/>
    <n v="0"/>
    <n v="0"/>
  </r>
  <r>
    <s v="Above the Line"/>
    <x v="2"/>
    <s v="ALL SHOW"/>
    <m/>
    <x v="274"/>
    <s v="All Shows"/>
    <m/>
    <n v="79165"/>
    <n v="0"/>
    <n v="79165"/>
    <n v="0"/>
    <n v="79165"/>
    <n v="100000"/>
    <n v="20835"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</r>
  <r>
    <s v="Above the Line"/>
    <x v="2"/>
    <s v=""/>
    <m/>
    <x v="276"/>
    <s v="BITS"/>
    <m/>
    <n v="0"/>
    <n v="0"/>
    <n v="0"/>
    <n v="0"/>
    <n v="0"/>
    <n v="0"/>
    <n v="0"/>
  </r>
  <r>
    <s v="Above the Line"/>
    <x v="2"/>
    <s v="SHOOT"/>
    <m/>
    <x v="277"/>
    <s v="Per Call"/>
    <m/>
    <n v="0"/>
    <n v="0"/>
    <n v="0"/>
    <n v="0"/>
    <n v="0"/>
    <n v="46800"/>
    <n v="46800"/>
  </r>
  <r>
    <s v="Above the Line"/>
    <x v="2"/>
    <s v="SHOOT"/>
    <s v="ANDA"/>
    <x v="278"/>
    <s v="ANDA"/>
    <m/>
    <n v="0"/>
    <n v="0"/>
    <n v="0"/>
    <n v="0"/>
    <n v="0"/>
    <n v="42666"/>
    <n v="42666"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</r>
  <r>
    <s v="Above the Line"/>
    <x v="2"/>
    <s v=""/>
    <m/>
    <x v="280"/>
    <s v="Delegado"/>
    <m/>
    <n v="0"/>
    <n v="0"/>
    <n v="0"/>
    <n v="0"/>
    <n v="0"/>
    <n v="0"/>
    <n v="0"/>
  </r>
  <r>
    <s v="Above the Line"/>
    <x v="2"/>
    <s v="PREP"/>
    <m/>
    <x v="281"/>
    <s v="Prep"/>
    <m/>
    <n v="0"/>
    <n v="0"/>
    <n v="0"/>
    <n v="0"/>
    <n v="0"/>
    <n v="9000"/>
    <n v="9000"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</r>
  <r>
    <s v="Above the Line"/>
    <x v="2"/>
    <s v=""/>
    <m/>
    <x v="285"/>
    <s v="Delegado Segunda Unidad"/>
    <m/>
    <n v="0"/>
    <n v="0"/>
    <n v="0"/>
    <n v="0"/>
    <n v="0"/>
    <n v="0"/>
    <n v="0"/>
  </r>
  <r>
    <s v="Above the Line"/>
    <x v="2"/>
    <s v="2nd Unit"/>
    <m/>
    <x v="286"/>
    <s v="Prep"/>
    <m/>
    <n v="0"/>
    <n v="0"/>
    <n v="0"/>
    <n v="0"/>
    <n v="0"/>
    <n v="9000"/>
    <n v="9000"/>
  </r>
  <r>
    <s v="Above the Line"/>
    <x v="2"/>
    <s v="2nd Unit"/>
    <s v="ANDA"/>
    <x v="287"/>
    <s v="Domingos ANDA"/>
    <m/>
    <n v="0"/>
    <n v="0"/>
    <n v="0"/>
    <n v="0"/>
    <n v="0"/>
    <n v="4575"/>
    <n v="4575"/>
  </r>
  <r>
    <s v="Above the Line"/>
    <x v="2"/>
    <s v="2nd Unit"/>
    <s v="ANDA"/>
    <x v="288"/>
    <s v="ANDA"/>
    <m/>
    <n v="0"/>
    <n v="0"/>
    <n v="0"/>
    <n v="0"/>
    <n v="0"/>
    <n v="18300"/>
    <n v="18300"/>
  </r>
  <r>
    <s v="Above the Line"/>
    <x v="2"/>
    <s v="2nd Unit"/>
    <s v="ANDA"/>
    <x v="289"/>
    <s v="Overtime Delegado 100%"/>
    <m/>
    <n v="0"/>
    <n v="0"/>
    <n v="0"/>
    <n v="0"/>
    <n v="0"/>
    <n v="18300"/>
    <n v="18300"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</r>
  <r>
    <s v="Above the Line"/>
    <x v="2"/>
    <s v=""/>
    <m/>
    <x v="291"/>
    <s v="Stunt Coordinator - Balo Bucio / Juan Olalde"/>
    <m/>
    <n v="0"/>
    <n v="0"/>
    <n v="0"/>
    <n v="0"/>
    <n v="0"/>
    <n v="0"/>
    <n v="0"/>
  </r>
  <r>
    <s v="Above the Line"/>
    <x v="2"/>
    <s v=""/>
    <m/>
    <x v="292"/>
    <s v="Scale/Minimum Rate"/>
    <m/>
    <n v="0"/>
    <n v="0"/>
    <n v="0"/>
    <n v="0"/>
    <n v="0"/>
    <n v="0"/>
    <n v="0"/>
  </r>
  <r>
    <s v="Above the Line"/>
    <x v="2"/>
    <s v="PREP"/>
    <m/>
    <x v="293"/>
    <s v="Scouting"/>
    <m/>
    <n v="108000"/>
    <n v="0"/>
    <n v="108000"/>
    <n v="0"/>
    <n v="108000"/>
    <n v="132000"/>
    <n v="24000"/>
  </r>
  <r>
    <s v="Above the Line"/>
    <x v="2"/>
    <s v="PREP"/>
    <m/>
    <x v="294"/>
    <s v="Días de Ensayo"/>
    <m/>
    <n v="103154"/>
    <n v="0"/>
    <n v="103154"/>
    <n v="0"/>
    <n v="103154"/>
    <n v="60000"/>
    <n v="-43154"/>
  </r>
  <r>
    <s v="Above the Line"/>
    <x v="2"/>
    <s v="SHOOT"/>
    <m/>
    <x v="295"/>
    <s v="Viajes por producción"/>
    <m/>
    <n v="5436"/>
    <n v="0"/>
    <n v="5436"/>
    <n v="0"/>
    <n v="5436"/>
    <n v="11844"/>
    <n v="6408"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</r>
  <r>
    <s v="Above the Line"/>
    <x v="2"/>
    <s v="SHOOT"/>
    <s v="NOM"/>
    <x v="297"/>
    <s v="Shoot"/>
    <m/>
    <n v="131796"/>
    <n v="0"/>
    <n v="131796"/>
    <n v="0"/>
    <n v="131796"/>
    <n v="71688"/>
    <n v="-60108"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</r>
  <r>
    <s v="Above the Line"/>
    <x v="2"/>
    <s v=""/>
    <m/>
    <x v="302"/>
    <s v="Stunt Coordinator Assistant - Juan Olalde / TBD"/>
    <m/>
    <n v="0"/>
    <n v="0"/>
    <n v="0"/>
    <n v="0"/>
    <n v="0"/>
    <n v="0"/>
    <n v="0"/>
  </r>
  <r>
    <s v="Above the Line"/>
    <x v="2"/>
    <s v=""/>
    <m/>
    <x v="303"/>
    <s v="Scale/Minimum Rate"/>
    <m/>
    <n v="0"/>
    <n v="0"/>
    <n v="0"/>
    <n v="0"/>
    <n v="0"/>
    <n v="0"/>
    <n v="0"/>
  </r>
  <r>
    <s v="Above the Line"/>
    <x v="2"/>
    <s v="PREP"/>
    <m/>
    <x v="304"/>
    <s v="Scouting"/>
    <m/>
    <n v="0"/>
    <n v="0"/>
    <n v="0"/>
    <n v="0"/>
    <n v="0"/>
    <n v="49000"/>
    <n v="49000"/>
  </r>
  <r>
    <s v="Above the Line"/>
    <x v="2"/>
    <s v="PREP"/>
    <m/>
    <x v="305"/>
    <s v="Días de Ensayo"/>
    <m/>
    <n v="0"/>
    <n v="0"/>
    <n v="0"/>
    <n v="0"/>
    <n v="0"/>
    <n v="35000"/>
    <n v="35000"/>
  </r>
  <r>
    <s v="Above the Line"/>
    <x v="2"/>
    <s v="SHOOT"/>
    <m/>
    <x v="306"/>
    <s v="Viajes por producción"/>
    <m/>
    <n v="0"/>
    <n v="0"/>
    <n v="0"/>
    <n v="0"/>
    <n v="0"/>
    <n v="1844"/>
    <n v="1844"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</r>
  <r>
    <s v="Above the Line"/>
    <x v="2"/>
    <s v="SHOOT"/>
    <m/>
    <x v="308"/>
    <s v="Shoot"/>
    <m/>
    <n v="40000"/>
    <n v="0"/>
    <n v="40000"/>
    <n v="0"/>
    <n v="40000"/>
    <n v="31688"/>
    <n v="-8312"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</r>
  <r>
    <s v="Above the Line"/>
    <x v="2"/>
    <s v=""/>
    <m/>
    <x v="314"/>
    <s v="DOUBLES"/>
    <m/>
    <n v="0"/>
    <n v="0"/>
    <n v="0"/>
    <n v="0"/>
    <n v="0"/>
    <n v="0"/>
    <n v="0"/>
  </r>
  <r>
    <s v="Above the Line"/>
    <x v="2"/>
    <s v=""/>
    <m/>
    <x v="315"/>
    <s v="STUNT - Jimena"/>
    <m/>
    <n v="0"/>
    <n v="0"/>
    <n v="0"/>
    <n v="0"/>
    <n v="0"/>
    <n v="0"/>
    <n v="0"/>
  </r>
  <r>
    <s v="Above the Line"/>
    <x v="2"/>
    <s v=""/>
    <m/>
    <x v="316"/>
    <s v="Scale/Minimum Rate"/>
    <m/>
    <n v="0"/>
    <n v="0"/>
    <n v="0"/>
    <n v="0"/>
    <n v="0"/>
    <n v="0"/>
    <n v="0"/>
  </r>
  <r>
    <s v="Above the Line"/>
    <x v="2"/>
    <s v="PREP"/>
    <m/>
    <x v="317"/>
    <s v="Ensayos"/>
    <m/>
    <n v="0"/>
    <n v="0"/>
    <n v="0"/>
    <n v="0"/>
    <n v="0"/>
    <n v="6000"/>
    <n v="6000"/>
  </r>
  <r>
    <s v="Above the Line"/>
    <x v="2"/>
    <s v="SHOOT"/>
    <s v="NOM"/>
    <x v="318"/>
    <s v="Per Call"/>
    <m/>
    <n v="24616"/>
    <n v="0"/>
    <n v="24616"/>
    <n v="0"/>
    <n v="24616"/>
    <n v="18000"/>
    <n v="-6616"/>
  </r>
  <r>
    <s v="Above the Line"/>
    <x v="2"/>
    <s v="SHOOT"/>
    <s v="ANDA"/>
    <x v="319"/>
    <s v="Desplazamiento (No tiene ANDA)"/>
    <m/>
    <n v="0"/>
    <n v="0"/>
    <n v="0"/>
    <n v="0"/>
    <n v="0"/>
    <n v="9846"/>
    <n v="9846"/>
  </r>
  <r>
    <s v="Above the Line"/>
    <x v="2"/>
    <s v=""/>
    <m/>
    <x v="320"/>
    <s v="STUNT - Violeta"/>
    <m/>
    <n v="0"/>
    <n v="0"/>
    <n v="0"/>
    <n v="0"/>
    <n v="0"/>
    <n v="0"/>
    <n v="0"/>
  </r>
  <r>
    <s v="Above the Line"/>
    <x v="2"/>
    <s v=""/>
    <m/>
    <x v="321"/>
    <s v="Scale/Minimum Rate"/>
    <m/>
    <n v="0"/>
    <n v="0"/>
    <n v="0"/>
    <n v="0"/>
    <n v="0"/>
    <n v="0"/>
    <n v="0"/>
  </r>
  <r>
    <s v="Above the Line"/>
    <x v="2"/>
    <s v="PREP"/>
    <m/>
    <x v="322"/>
    <s v="Ensayos"/>
    <m/>
    <n v="0"/>
    <n v="0"/>
    <n v="0"/>
    <n v="0"/>
    <n v="0"/>
    <n v="6000"/>
    <n v="6000"/>
  </r>
  <r>
    <s v="Above the Line"/>
    <x v="2"/>
    <s v="SHOOT"/>
    <s v="NOM"/>
    <x v="323"/>
    <s v="Per Call"/>
    <m/>
    <n v="0"/>
    <n v="0"/>
    <n v="0"/>
    <n v="0"/>
    <n v="0"/>
    <n v="6000"/>
    <n v="6000"/>
  </r>
  <r>
    <s v="Above the Line"/>
    <x v="2"/>
    <s v="SHOOT"/>
    <s v="ANDA"/>
    <x v="324"/>
    <s v="Desplazamiento (No tiene ANDA)"/>
    <m/>
    <n v="0"/>
    <n v="0"/>
    <n v="0"/>
    <n v="0"/>
    <n v="0"/>
    <n v="3282"/>
    <n v="3282"/>
  </r>
  <r>
    <s v="Above the Line"/>
    <x v="2"/>
    <s v=""/>
    <m/>
    <x v="325"/>
    <s v="STUNT - Matías"/>
    <m/>
    <n v="0"/>
    <n v="0"/>
    <n v="0"/>
    <n v="0"/>
    <n v="0"/>
    <n v="0"/>
    <n v="0"/>
  </r>
  <r>
    <s v="Above the Line"/>
    <x v="2"/>
    <s v=""/>
    <m/>
    <x v="326"/>
    <s v="Scale/Minimum Rate"/>
    <m/>
    <n v="0"/>
    <n v="0"/>
    <n v="0"/>
    <n v="0"/>
    <n v="0"/>
    <n v="0"/>
    <n v="0"/>
  </r>
  <r>
    <s v="Above the Line"/>
    <x v="2"/>
    <s v="PREP"/>
    <m/>
    <x v="327"/>
    <s v="Ensayos"/>
    <m/>
    <n v="0"/>
    <n v="0"/>
    <n v="0"/>
    <n v="0"/>
    <n v="0"/>
    <n v="28000"/>
    <n v="28000"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</r>
  <r>
    <s v="Above the Line"/>
    <x v="2"/>
    <s v="SHOOT"/>
    <s v="ANDA"/>
    <x v="329"/>
    <s v="Días de Viaje ANDA"/>
    <m/>
    <n v="0"/>
    <n v="0"/>
    <n v="0"/>
    <n v="0"/>
    <n v="0"/>
    <n v="12156"/>
    <n v="12156"/>
  </r>
  <r>
    <s v="Above the Line"/>
    <x v="2"/>
    <s v="SHOOT"/>
    <m/>
    <x v="330"/>
    <s v="Ajustes Alto"/>
    <m/>
    <n v="10000"/>
    <n v="0"/>
    <n v="10000"/>
    <n v="0"/>
    <n v="10000"/>
    <n v="10000"/>
    <n v="0"/>
  </r>
  <r>
    <s v="Above the Line"/>
    <x v="2"/>
    <s v="SHOOT"/>
    <m/>
    <x v="331"/>
    <s v="Ajustes Bajo"/>
    <m/>
    <n v="10000"/>
    <n v="0"/>
    <n v="10000"/>
    <n v="0"/>
    <n v="10000"/>
    <n v="10000"/>
    <n v="0"/>
  </r>
  <r>
    <s v="Above the Line"/>
    <x v="2"/>
    <s v="SHOOT"/>
    <m/>
    <x v="332"/>
    <s v="Per call"/>
    <m/>
    <n v="9026"/>
    <n v="0"/>
    <n v="9026"/>
    <n v="0"/>
    <n v="9026"/>
    <n v="7922"/>
    <n v="-1104"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</r>
  <r>
    <s v="Above the Line"/>
    <x v="2"/>
    <s v="SHOOT"/>
    <s v="ANDA"/>
    <x v="334"/>
    <s v="Overtime ANDA 0%"/>
    <m/>
    <n v="9846"/>
    <n v="0"/>
    <n v="9846"/>
    <n v="0"/>
    <n v="9846"/>
    <n v="0"/>
    <n v="-9846"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</r>
  <r>
    <s v="Above the Line"/>
    <x v="2"/>
    <s v=""/>
    <m/>
    <x v="336"/>
    <s v="STUNT - Rigger"/>
    <m/>
    <n v="0"/>
    <n v="0"/>
    <n v="0"/>
    <n v="0"/>
    <n v="0"/>
    <n v="0"/>
    <n v="0"/>
  </r>
  <r>
    <s v="Above the Line"/>
    <x v="2"/>
    <s v=""/>
    <m/>
    <x v="337"/>
    <s v="Scale/Minimum Rate"/>
    <m/>
    <n v="0"/>
    <n v="0"/>
    <n v="0"/>
    <n v="0"/>
    <n v="0"/>
    <n v="0"/>
    <n v="0"/>
  </r>
  <r>
    <s v="Above the Line"/>
    <x v="2"/>
    <s v="PREP"/>
    <s v="NOM"/>
    <x v="338"/>
    <s v="Ensayos"/>
    <m/>
    <n v="12244"/>
    <n v="0"/>
    <n v="12244"/>
    <n v="0"/>
    <n v="12244"/>
    <n v="14000"/>
    <n v="1756"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</r>
  <r>
    <s v="Above the Line"/>
    <x v="2"/>
    <s v="SHOOT"/>
    <s v="ANDA"/>
    <x v="340"/>
    <s v="Días de Viaje ANDA"/>
    <m/>
    <n v="0"/>
    <n v="0"/>
    <n v="0"/>
    <n v="0"/>
    <n v="0"/>
    <n v="13128"/>
    <n v="13128"/>
  </r>
  <r>
    <s v="Above the Line"/>
    <x v="2"/>
    <s v="SHOOT"/>
    <m/>
    <x v="341"/>
    <s v="Ajustes Alto"/>
    <m/>
    <n v="0"/>
    <n v="0"/>
    <n v="0"/>
    <n v="0"/>
    <n v="0"/>
    <n v="0"/>
    <n v="0"/>
  </r>
  <r>
    <s v="Above the Line"/>
    <x v="2"/>
    <s v="SHOOT"/>
    <m/>
    <x v="342"/>
    <s v="Ajustes Bajo"/>
    <m/>
    <n v="0"/>
    <n v="0"/>
    <n v="0"/>
    <n v="0"/>
    <n v="0"/>
    <n v="0"/>
    <n v="0"/>
  </r>
  <r>
    <s v="Above the Line"/>
    <x v="2"/>
    <s v="SHOOT"/>
    <s v="NOM"/>
    <x v="343"/>
    <s v="Per call"/>
    <m/>
    <n v="7654"/>
    <n v="0"/>
    <n v="7654"/>
    <n v="0"/>
    <n v="7654"/>
    <n v="7922"/>
    <n v="268"/>
  </r>
  <r>
    <s v="Above the Line"/>
    <x v="2"/>
    <s v="SHOOT"/>
    <s v="ANDA"/>
    <x v="344"/>
    <s v="ANDA "/>
    <m/>
    <n v="0"/>
    <n v="0"/>
    <n v="0"/>
    <n v="0"/>
    <n v="0"/>
    <n v="6564"/>
    <n v="6564"/>
  </r>
  <r>
    <s v="Above the Line"/>
    <x v="2"/>
    <s v="SHOOT"/>
    <s v="ANDA"/>
    <x v="345"/>
    <s v="Overtime ANDA 0%"/>
    <m/>
    <n v="0"/>
    <n v="0"/>
    <n v="0"/>
    <n v="0"/>
    <n v="0"/>
    <n v="0"/>
    <n v="0"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</r>
  <r>
    <s v="Above the Line"/>
    <x v="2"/>
    <s v=""/>
    <m/>
    <x v="347"/>
    <s v="STUNT - Gabriel"/>
    <m/>
    <n v="0"/>
    <n v="0"/>
    <n v="0"/>
    <n v="0"/>
    <n v="0"/>
    <n v="0"/>
    <n v="0"/>
  </r>
  <r>
    <s v="Above the Line"/>
    <x v="2"/>
    <s v=""/>
    <m/>
    <x v="348"/>
    <s v="Scale/Minimum Rate"/>
    <m/>
    <n v="0"/>
    <n v="0"/>
    <n v="0"/>
    <n v="0"/>
    <n v="0"/>
    <n v="0"/>
    <n v="0"/>
  </r>
  <r>
    <s v="Above the Line"/>
    <x v="2"/>
    <s v="PREP"/>
    <m/>
    <x v="349"/>
    <s v="Ensayos"/>
    <m/>
    <n v="0"/>
    <n v="0"/>
    <n v="0"/>
    <n v="0"/>
    <n v="0"/>
    <n v="6000"/>
    <n v="6000"/>
  </r>
  <r>
    <s v="Above the Line"/>
    <x v="2"/>
    <s v="SHOOT"/>
    <s v="NOM"/>
    <x v="350"/>
    <s v="Per Call"/>
    <m/>
    <n v="35552"/>
    <n v="0"/>
    <n v="35552"/>
    <n v="0"/>
    <n v="35552"/>
    <n v="36000"/>
    <n v="448"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</r>
  <r>
    <s v="Above the Line"/>
    <x v="2"/>
    <s v=""/>
    <m/>
    <x v="352"/>
    <s v="STUNT - Guaruras Perla 1"/>
    <m/>
    <n v="0"/>
    <n v="0"/>
    <n v="0"/>
    <n v="0"/>
    <n v="0"/>
    <n v="0"/>
    <n v="0"/>
  </r>
  <r>
    <s v="Above the Line"/>
    <x v="2"/>
    <s v=""/>
    <m/>
    <x v="353"/>
    <s v="Scale/Minimum Rate"/>
    <m/>
    <n v="0"/>
    <n v="0"/>
    <n v="0"/>
    <n v="0"/>
    <n v="0"/>
    <n v="0"/>
    <n v="0"/>
  </r>
  <r>
    <s v="Above the Line"/>
    <x v="2"/>
    <s v="PREP"/>
    <m/>
    <x v="354"/>
    <s v="Ensayos"/>
    <m/>
    <n v="0"/>
    <n v="0"/>
    <n v="0"/>
    <n v="0"/>
    <n v="0"/>
    <n v="7000"/>
    <n v="7000"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</r>
  <r>
    <s v="Above the Line"/>
    <x v="2"/>
    <s v="SHOOT"/>
    <s v="ANDA"/>
    <x v="356"/>
    <s v="Días de Viaje ANDA"/>
    <m/>
    <n v="0"/>
    <n v="0"/>
    <n v="0"/>
    <n v="0"/>
    <n v="0"/>
    <n v="12156"/>
    <n v="12156"/>
  </r>
  <r>
    <s v="Above the Line"/>
    <x v="2"/>
    <s v="SHOOT"/>
    <m/>
    <x v="357"/>
    <s v="Ajustes Alto"/>
    <m/>
    <n v="0"/>
    <n v="0"/>
    <n v="0"/>
    <n v="0"/>
    <n v="0"/>
    <n v="0"/>
    <n v="0"/>
  </r>
  <r>
    <s v="Above the Line"/>
    <x v="2"/>
    <s v="SHOOT"/>
    <m/>
    <x v="358"/>
    <s v="Ajustes Bajo"/>
    <m/>
    <n v="0"/>
    <n v="0"/>
    <n v="0"/>
    <n v="0"/>
    <n v="0"/>
    <n v="0"/>
    <n v="0"/>
  </r>
  <r>
    <s v="Above the Line"/>
    <x v="2"/>
    <s v="SHOOT"/>
    <s v="NOM"/>
    <x v="359"/>
    <s v="Per call"/>
    <m/>
    <n v="4154"/>
    <n v="0"/>
    <n v="4154"/>
    <n v="0"/>
    <n v="4154"/>
    <n v="7922"/>
    <n v="3768"/>
  </r>
  <r>
    <s v="Above the Line"/>
    <x v="2"/>
    <s v="SHOOT"/>
    <s v="ANDA"/>
    <x v="360"/>
    <s v="ANDA "/>
    <m/>
    <n v="0"/>
    <n v="0"/>
    <n v="0"/>
    <n v="0"/>
    <n v="0"/>
    <n v="6078"/>
    <n v="6078"/>
  </r>
  <r>
    <s v="Above the Line"/>
    <x v="2"/>
    <s v="SHOOT"/>
    <s v="ANDA"/>
    <x v="361"/>
    <s v="Overtime ANDA 100%"/>
    <m/>
    <n v="0"/>
    <n v="0"/>
    <n v="0"/>
    <n v="0"/>
    <n v="0"/>
    <n v="6078"/>
    <n v="6078"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</r>
  <r>
    <s v="Above the Line"/>
    <x v="2"/>
    <s v=""/>
    <m/>
    <x v="363"/>
    <s v="STUNT - Guaruras Perla 2"/>
    <m/>
    <n v="0"/>
    <n v="0"/>
    <n v="0"/>
    <n v="0"/>
    <n v="0"/>
    <n v="0"/>
    <n v="0"/>
  </r>
  <r>
    <s v="Above the Line"/>
    <x v="2"/>
    <s v=""/>
    <m/>
    <x v="364"/>
    <s v="Scale/Minimum Rate"/>
    <m/>
    <n v="0"/>
    <n v="0"/>
    <n v="0"/>
    <n v="0"/>
    <n v="0"/>
    <n v="0"/>
    <n v="0"/>
  </r>
  <r>
    <s v="Above the Line"/>
    <x v="2"/>
    <s v="PREP"/>
    <m/>
    <x v="365"/>
    <s v="Ensayos"/>
    <m/>
    <n v="0"/>
    <n v="0"/>
    <n v="0"/>
    <n v="0"/>
    <n v="0"/>
    <n v="7000"/>
    <n v="7000"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</r>
  <r>
    <s v="Above the Line"/>
    <x v="2"/>
    <s v="SHOOT"/>
    <s v="ANDA"/>
    <x v="367"/>
    <s v="Días de Viaje ANDA"/>
    <m/>
    <n v="0"/>
    <n v="0"/>
    <n v="0"/>
    <n v="0"/>
    <n v="0"/>
    <n v="12156"/>
    <n v="12156"/>
  </r>
  <r>
    <s v="Above the Line"/>
    <x v="2"/>
    <s v="SHOOT"/>
    <m/>
    <x v="368"/>
    <s v="Ajustes Alto"/>
    <m/>
    <n v="0"/>
    <n v="0"/>
    <n v="0"/>
    <n v="0"/>
    <n v="0"/>
    <n v="0"/>
    <n v="0"/>
  </r>
  <r>
    <s v="Above the Line"/>
    <x v="2"/>
    <s v="SHOOT"/>
    <m/>
    <x v="369"/>
    <s v="Ajustes Bajo"/>
    <m/>
    <n v="0"/>
    <n v="0"/>
    <n v="0"/>
    <n v="0"/>
    <n v="0"/>
    <n v="0"/>
    <n v="0"/>
  </r>
  <r>
    <s v="Above the Line"/>
    <x v="2"/>
    <s v="SHOOT"/>
    <s v="NOM"/>
    <x v="370"/>
    <s v="Per call"/>
    <m/>
    <n v="0"/>
    <n v="0"/>
    <n v="0"/>
    <n v="0"/>
    <n v="0"/>
    <n v="7922"/>
    <n v="7922"/>
  </r>
  <r>
    <s v="Above the Line"/>
    <x v="2"/>
    <s v="SHOOT"/>
    <s v="ANDA"/>
    <x v="371"/>
    <s v="ANDA "/>
    <m/>
    <n v="0"/>
    <n v="0"/>
    <n v="0"/>
    <n v="0"/>
    <n v="0"/>
    <n v="6078"/>
    <n v="6078"/>
  </r>
  <r>
    <s v="Above the Line"/>
    <x v="2"/>
    <s v="SHOOT"/>
    <s v="ANDA"/>
    <x v="372"/>
    <s v="Overtime ANDA 100%"/>
    <m/>
    <n v="0"/>
    <n v="0"/>
    <n v="0"/>
    <n v="0"/>
    <n v="0"/>
    <n v="6078"/>
    <n v="6078"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</r>
  <r>
    <s v="Above the Line"/>
    <x v="2"/>
    <s v=""/>
    <m/>
    <x v="374"/>
    <s v="STUNT - Gabriel"/>
    <m/>
    <n v="0"/>
    <n v="0"/>
    <n v="0"/>
    <n v="0"/>
    <n v="0"/>
    <n v="0"/>
    <n v="0"/>
  </r>
  <r>
    <s v="Above the Line"/>
    <x v="2"/>
    <s v=""/>
    <m/>
    <x v="375"/>
    <s v="Scale/Minimum Rate"/>
    <m/>
    <n v="0"/>
    <n v="0"/>
    <n v="0"/>
    <n v="0"/>
    <n v="0"/>
    <n v="0"/>
    <n v="0"/>
  </r>
  <r>
    <s v="Above the Line"/>
    <x v="2"/>
    <s v="PREP"/>
    <m/>
    <x v="376"/>
    <s v="Ensayos"/>
    <m/>
    <n v="0"/>
    <n v="0"/>
    <n v="0"/>
    <n v="0"/>
    <n v="0"/>
    <n v="3000"/>
    <n v="3000"/>
  </r>
  <r>
    <s v="Above the Line"/>
    <x v="2"/>
    <s v="SHOOT"/>
    <s v="NOM"/>
    <x v="377"/>
    <s v="Per Call"/>
    <m/>
    <n v="0"/>
    <n v="0"/>
    <n v="0"/>
    <n v="0"/>
    <n v="0"/>
    <n v="6000"/>
    <n v="6000"/>
  </r>
  <r>
    <s v="Above the Line"/>
    <x v="2"/>
    <s v="SHOOT"/>
    <s v="ANDA"/>
    <x v="378"/>
    <s v="Desplazamiento (No tiene ANDA)"/>
    <m/>
    <n v="0"/>
    <n v="0"/>
    <n v="0"/>
    <n v="0"/>
    <n v="0"/>
    <n v="3282"/>
    <n v="3282"/>
  </r>
  <r>
    <s v="Above the Line"/>
    <x v="1"/>
    <m/>
    <m/>
    <x v="379"/>
    <s v="ACTORES/RECREACIONES"/>
    <m/>
    <n v="0"/>
    <n v="0"/>
    <n v="0"/>
    <n v="0"/>
    <n v="0"/>
    <n v="78000"/>
    <n v="78000"/>
  </r>
  <r>
    <s v="Above the Line"/>
    <x v="2"/>
    <s v=""/>
    <m/>
    <x v="380"/>
    <s v="Doble Leo - TBD"/>
    <m/>
    <n v="0"/>
    <n v="0"/>
    <n v="0"/>
    <n v="0"/>
    <n v="0"/>
    <n v="0"/>
    <n v="0"/>
  </r>
  <r>
    <s v="Above the Line"/>
    <x v="2"/>
    <s v="SHOOT"/>
    <m/>
    <x v="381"/>
    <s v="Shoot"/>
    <m/>
    <n v="0"/>
    <n v="0"/>
    <n v="0"/>
    <n v="0"/>
    <n v="0"/>
    <n v="42000"/>
    <n v="42000"/>
  </r>
  <r>
    <s v="Above the Line"/>
    <x v="2"/>
    <s v=""/>
    <m/>
    <x v="382"/>
    <s v="Doble Jimena - TBD"/>
    <m/>
    <n v="0"/>
    <n v="0"/>
    <n v="0"/>
    <n v="0"/>
    <n v="0"/>
    <n v="0"/>
    <n v="0"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4"/>
    <s v="Doble Gabriel - TBD"/>
    <m/>
    <n v="0"/>
    <n v="0"/>
    <n v="0"/>
    <n v="0"/>
    <n v="0"/>
    <n v="0"/>
    <n v="0"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6"/>
    <s v="Doble Matias - TBD"/>
    <m/>
    <n v="0"/>
    <n v="0"/>
    <n v="0"/>
    <n v="0"/>
    <n v="0"/>
    <n v="0"/>
    <n v="0"/>
  </r>
  <r>
    <s v="Above the Line"/>
    <x v="2"/>
    <s v="SHOOT"/>
    <m/>
    <x v="387"/>
    <s v="Hospicio cabañas, cámara car "/>
    <m/>
    <n v="0"/>
    <n v="0"/>
    <n v="0"/>
    <n v="0"/>
    <n v="0"/>
    <n v="4000"/>
    <n v="4000"/>
  </r>
  <r>
    <s v="Above the Line"/>
    <x v="2"/>
    <s v=""/>
    <m/>
    <x v="388"/>
    <s v="Doble Santiago - TBD"/>
    <m/>
    <n v="0"/>
    <n v="0"/>
    <n v="0"/>
    <n v="0"/>
    <n v="0"/>
    <n v="0"/>
    <n v="0"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</r>
  <r>
    <s v="Above the Line"/>
    <x v="2"/>
    <s v=""/>
    <m/>
    <x v="390"/>
    <s v="Doble Ernesto - TBD"/>
    <m/>
    <n v="0"/>
    <n v="0"/>
    <n v="0"/>
    <n v="0"/>
    <n v="0"/>
    <n v="0"/>
    <n v="0"/>
  </r>
  <r>
    <s v="Above the Line"/>
    <x v="2"/>
    <s v="SHOOT"/>
    <m/>
    <x v="391"/>
    <s v="Desfile cap. 7"/>
    <m/>
    <n v="0"/>
    <n v="0"/>
    <n v="0"/>
    <n v="0"/>
    <n v="0"/>
    <n v="2000"/>
    <n v="2000"/>
  </r>
  <r>
    <s v="Above the Line"/>
    <x v="2"/>
    <s v=""/>
    <m/>
    <x v="392"/>
    <s v="Doble Brenda - TBD"/>
    <m/>
    <n v="0"/>
    <n v="0"/>
    <n v="0"/>
    <n v="0"/>
    <n v="0"/>
    <n v="0"/>
    <n v="0"/>
  </r>
  <r>
    <s v="Above the Line"/>
    <x v="2"/>
    <s v="SHOOT"/>
    <m/>
    <x v="393"/>
    <s v="Hospicio cabañas"/>
    <m/>
    <n v="0"/>
    <n v="0"/>
    <n v="0"/>
    <n v="0"/>
    <n v="0"/>
    <n v="2000"/>
    <n v="2000"/>
  </r>
  <r>
    <s v="Above the Line"/>
    <x v="2"/>
    <s v=""/>
    <m/>
    <x v="394"/>
    <s v="Doble Sofia - TBD"/>
    <m/>
    <n v="0"/>
    <n v="0"/>
    <n v="0"/>
    <n v="0"/>
    <n v="0"/>
    <n v="0"/>
    <n v="0"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</r>
  <r>
    <s v="Above the Line"/>
    <x v="2"/>
    <s v="SHOOT"/>
    <m/>
    <x v="396"/>
    <s v="Foto doble adicional"/>
    <m/>
    <n v="0"/>
    <n v="0"/>
    <n v="0"/>
    <n v="0"/>
    <n v="0"/>
    <n v="0"/>
    <n v="0"/>
  </r>
  <r>
    <s v="Above the Line"/>
    <x v="1"/>
    <m/>
    <m/>
    <x v="397"/>
    <s v="PROFESORES/TUTORES"/>
    <m/>
    <n v="232300"/>
    <n v="0"/>
    <n v="232300"/>
    <n v="0"/>
    <n v="232300"/>
    <n v="309100"/>
    <n v="76800"/>
  </r>
  <r>
    <s v="Above the Line"/>
    <x v="2"/>
    <s v=""/>
    <m/>
    <x v="398"/>
    <s v="Coach Actoral Niños - Mandoki"/>
    <m/>
    <n v="0"/>
    <n v="0"/>
    <n v="0"/>
    <n v="0"/>
    <n v="0"/>
    <n v="0"/>
    <n v="0"/>
  </r>
  <r>
    <s v="Above the Line"/>
    <x v="2"/>
    <s v="PREP"/>
    <m/>
    <x v="399"/>
    <s v="Prep"/>
    <m/>
    <n v="63000"/>
    <n v="0"/>
    <n v="63000"/>
    <n v="0"/>
    <n v="63000"/>
    <n v="63000"/>
    <n v="0"/>
  </r>
  <r>
    <s v="Above the Line"/>
    <x v="2"/>
    <s v="SHOOT"/>
    <m/>
    <x v="400"/>
    <s v="Shoot"/>
    <m/>
    <n v="140000"/>
    <n v="0"/>
    <n v="140000"/>
    <n v="0"/>
    <n v="140000"/>
    <n v="140000"/>
    <n v="0"/>
  </r>
  <r>
    <s v="Above the Line"/>
    <x v="2"/>
    <s v=""/>
    <m/>
    <x v="401"/>
    <s v="Coach Guitarra - TBD"/>
    <m/>
    <n v="0"/>
    <n v="0"/>
    <n v="0"/>
    <n v="0"/>
    <n v="0"/>
    <n v="0"/>
    <n v="0"/>
  </r>
  <r>
    <s v="Above the Line"/>
    <x v="2"/>
    <s v="PREP"/>
    <s v="NOM"/>
    <x v="402"/>
    <s v="Prep"/>
    <m/>
    <n v="10500"/>
    <n v="0"/>
    <n v="10500"/>
    <n v="0"/>
    <n v="10500"/>
    <n v="3500"/>
    <n v="-7000"/>
  </r>
  <r>
    <s v="Above the Line"/>
    <x v="2"/>
    <s v=""/>
    <m/>
    <x v="403"/>
    <s v="Coach Equitación - Balo Bucio"/>
    <m/>
    <n v="0"/>
    <n v="0"/>
    <n v="0"/>
    <n v="0"/>
    <n v="0"/>
    <n v="0"/>
    <n v="0"/>
  </r>
  <r>
    <s v="Above the Line"/>
    <x v="2"/>
    <s v="PREP"/>
    <m/>
    <x v="404"/>
    <s v="Prep"/>
    <m/>
    <n v="0"/>
    <n v="0"/>
    <n v="0"/>
    <n v="0"/>
    <n v="0"/>
    <n v="37500"/>
    <n v="37500"/>
  </r>
  <r>
    <s v="Above the Line"/>
    <x v="2"/>
    <s v=""/>
    <m/>
    <x v="405"/>
    <s v="Coach Trompeta - "/>
    <m/>
    <n v="0"/>
    <n v="0"/>
    <n v="0"/>
    <n v="0"/>
    <n v="0"/>
    <n v="0"/>
    <n v="0"/>
  </r>
  <r>
    <s v="Above the Line"/>
    <x v="2"/>
    <s v="PREP"/>
    <m/>
    <x v="406"/>
    <s v="Prep"/>
    <m/>
    <n v="2100"/>
    <n v="0"/>
    <n v="2100"/>
    <n v="0"/>
    <n v="2100"/>
    <n v="2100"/>
    <n v="0"/>
  </r>
  <r>
    <s v="Above the Line"/>
    <x v="2"/>
    <s v=""/>
    <m/>
    <x v="407"/>
    <s v="Coach Teclado - "/>
    <m/>
    <n v="0"/>
    <n v="0"/>
    <n v="0"/>
    <n v="0"/>
    <n v="0"/>
    <n v="0"/>
    <n v="0"/>
  </r>
  <r>
    <s v="Above the Line"/>
    <x v="2"/>
    <s v="PREP"/>
    <m/>
    <x v="408"/>
    <s v="Prep"/>
    <m/>
    <n v="2100"/>
    <n v="0"/>
    <n v="2100"/>
    <n v="0"/>
    <n v="2100"/>
    <n v="2100"/>
    <n v="0"/>
  </r>
  <r>
    <s v="Above the Line"/>
    <x v="2"/>
    <s v=""/>
    <m/>
    <x v="409"/>
    <s v="Coach Batería -"/>
    <m/>
    <n v="0"/>
    <n v="0"/>
    <n v="0"/>
    <n v="0"/>
    <n v="0"/>
    <n v="0"/>
    <n v="0"/>
  </r>
  <r>
    <s v="Above the Line"/>
    <x v="2"/>
    <s v="PREP"/>
    <m/>
    <x v="410"/>
    <s v="Prep"/>
    <m/>
    <n v="9200"/>
    <n v="0"/>
    <n v="9200"/>
    <n v="0"/>
    <n v="9200"/>
    <n v="2800"/>
    <n v="-6400"/>
  </r>
  <r>
    <s v="Above the Line"/>
    <x v="2"/>
    <s v=""/>
    <m/>
    <x v="411"/>
    <s v="Coach Bajo - "/>
    <m/>
    <n v="0"/>
    <n v="0"/>
    <n v="0"/>
    <n v="0"/>
    <n v="0"/>
    <n v="0"/>
    <n v="0"/>
  </r>
  <r>
    <s v="Above the Line"/>
    <x v="2"/>
    <s v="PREP"/>
    <m/>
    <x v="412"/>
    <s v="Prep"/>
    <m/>
    <n v="2100"/>
    <n v="0"/>
    <n v="2100"/>
    <n v="0"/>
    <n v="2100"/>
    <n v="2100"/>
    <n v="0"/>
  </r>
  <r>
    <s v="Above the Line"/>
    <x v="2"/>
    <s v=""/>
    <m/>
    <x v="413"/>
    <s v="Kid Wrangler (Para Leo) - Alicia Pulido "/>
    <m/>
    <n v="0"/>
    <n v="0"/>
    <n v="0"/>
    <n v="0"/>
    <n v="0"/>
    <n v="0"/>
    <n v="0"/>
  </r>
  <r>
    <s v="Above the Line"/>
    <x v="2"/>
    <s v="SHOOT"/>
    <m/>
    <x v="414"/>
    <s v="Shoot"/>
    <m/>
    <n v="3300"/>
    <n v="0"/>
    <n v="3300"/>
    <n v="0"/>
    <n v="3300"/>
    <n v="56000"/>
    <n v="52700"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</r>
  <r>
    <s v="Above the Line"/>
    <x v="2"/>
    <s v=""/>
    <m/>
    <x v="416"/>
    <s v="CASTING DIRECTOR -Anilú Pardo"/>
    <m/>
    <n v="0"/>
    <n v="0"/>
    <n v="0"/>
    <n v="0"/>
    <n v="0"/>
    <n v="0"/>
    <n v="0"/>
  </r>
  <r>
    <s v="Above the Line"/>
    <x v="2"/>
    <s v="ALL SHOW"/>
    <m/>
    <x v="417"/>
    <s v="Series"/>
    <m/>
    <n v="381243"/>
    <n v="0"/>
    <n v="381243"/>
    <n v="0"/>
    <n v="381243"/>
    <n v="381225"/>
    <n v="-18"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</r>
  <r>
    <s v="Above the Line"/>
    <x v="2"/>
    <s v=""/>
    <m/>
    <x v="421"/>
    <s v="Casting en GDL - German Mendoza"/>
    <m/>
    <n v="0"/>
    <n v="0"/>
    <n v="0"/>
    <n v="0"/>
    <n v="0"/>
    <n v="0"/>
    <n v="0"/>
  </r>
  <r>
    <s v="Above the Line"/>
    <x v="2"/>
    <s v="PREP"/>
    <m/>
    <x v="422"/>
    <s v="Vuelo MEX - GDL - MEX"/>
    <m/>
    <n v="5681"/>
    <n v="0"/>
    <n v="5681"/>
    <n v="0"/>
    <n v="5681"/>
    <n v="6477"/>
    <n v="796"/>
  </r>
  <r>
    <s v="Above the Line"/>
    <x v="2"/>
    <s v="PREP"/>
    <m/>
    <x v="423"/>
    <s v="Per Diem"/>
    <m/>
    <n v="969.923"/>
    <n v="0"/>
    <n v="969.923"/>
    <n v="0"/>
    <n v="969.923"/>
    <n v="1218"/>
    <n v="248.077"/>
  </r>
  <r>
    <s v="Above the Line"/>
    <x v="2"/>
    <s v="PREP"/>
    <m/>
    <x v="424"/>
    <s v="Taxi en GDL"/>
    <m/>
    <n v="870"/>
    <n v="0"/>
    <n v="870"/>
    <n v="0"/>
    <n v="870"/>
    <n v="870"/>
    <n v="0"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</r>
  <r>
    <s v="Above the Line"/>
    <x v="2"/>
    <s v=""/>
    <m/>
    <x v="426"/>
    <s v="Call Backs "/>
    <m/>
    <n v="0"/>
    <n v="0"/>
    <n v="0"/>
    <n v="0"/>
    <n v="0"/>
    <n v="0"/>
    <n v="0"/>
  </r>
  <r>
    <s v="Above the Line"/>
    <x v="2"/>
    <s v="PREP"/>
    <m/>
    <x v="427"/>
    <s v="Pre"/>
    <m/>
    <n v="7646.04"/>
    <n v="0"/>
    <n v="7646.04"/>
    <n v="0"/>
    <n v="7646.04"/>
    <n v="7500"/>
    <n v="-146.03999999999996"/>
  </r>
  <r>
    <s v="Above the Line"/>
    <x v="1"/>
    <m/>
    <m/>
    <x v="428"/>
    <s v="MISCELANEOS"/>
    <m/>
    <n v="70000"/>
    <n v="0"/>
    <n v="70000"/>
    <n v="0"/>
    <n v="70000"/>
    <n v="170000"/>
    <n v="100000"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</r>
  <r>
    <s v="Above the Line"/>
    <x v="2"/>
    <s v="ALL SHOW"/>
    <s v="ANDA"/>
    <x v="430"/>
    <s v="All Show"/>
    <m/>
    <n v="70000"/>
    <n v="0"/>
    <n v="70000"/>
    <n v="0"/>
    <n v="70000"/>
    <n v="70000"/>
    <n v="0"/>
  </r>
  <r>
    <s v="Above the Line"/>
    <x v="2"/>
    <s v=""/>
    <m/>
    <x v="431"/>
    <s v="Renta Espacio para Ensayos"/>
    <m/>
    <n v="0"/>
    <n v="0"/>
    <n v="0"/>
    <n v="0"/>
    <n v="0"/>
    <n v="0"/>
    <n v="0"/>
  </r>
  <r>
    <s v="Above the Line"/>
    <x v="2"/>
    <s v="PREP"/>
    <m/>
    <x v="432"/>
    <s v="Prep"/>
    <m/>
    <n v="0"/>
    <n v="0"/>
    <n v="0"/>
    <n v="0"/>
    <n v="0"/>
    <n v="40000"/>
    <n v="40000"/>
  </r>
  <r>
    <s v="Above the Line"/>
    <x v="2"/>
    <s v=""/>
    <m/>
    <x v="433"/>
    <s v="Renta Equipo para Ensayos"/>
    <m/>
    <n v="0"/>
    <n v="0"/>
    <n v="0"/>
    <n v="0"/>
    <n v="0"/>
    <n v="0"/>
    <n v="0"/>
  </r>
  <r>
    <s v="Above the Line"/>
    <x v="2"/>
    <s v="PREP"/>
    <m/>
    <x v="434"/>
    <s v="Prep"/>
    <m/>
    <n v="0"/>
    <n v="0"/>
    <n v="0"/>
    <n v="0"/>
    <n v="0"/>
    <n v="60000"/>
    <n v="60000"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</r>
  <r>
    <s v="Above the Line"/>
    <x v="2"/>
    <s v=""/>
    <m/>
    <x v="436"/>
    <s v="Ubers Cast "/>
    <m/>
    <n v="0"/>
    <n v="0"/>
    <n v="0"/>
    <n v="0"/>
    <n v="0"/>
    <n v="0"/>
    <n v="0"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</r>
  <r>
    <s v="Above the Line"/>
    <x v="2"/>
    <s v="ALL SHOW"/>
    <m/>
    <x v="446"/>
    <s v="Departamento Producción"/>
    <m/>
    <n v="0"/>
    <n v="0"/>
    <n v="0"/>
    <n v="0"/>
    <n v="0"/>
    <n v="0"/>
    <n v="0"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</r>
  <r>
    <s v="Above the Line"/>
    <x v="2"/>
    <s v="ALL SHOW"/>
    <m/>
    <x v="448"/>
    <s v="Limpieza"/>
    <m/>
    <n v="8400"/>
    <n v="0"/>
    <n v="8400"/>
    <n v="0"/>
    <n v="8400"/>
    <n v="20000"/>
    <n v="11600"/>
  </r>
  <r>
    <s v="Above the Line"/>
    <x v="2"/>
    <s v=""/>
    <m/>
    <x v="449"/>
    <s v="Departamento Showrunners"/>
    <m/>
    <n v="0"/>
    <n v="0"/>
    <n v="0"/>
    <n v="0"/>
    <n v="0"/>
    <n v="0"/>
    <n v="0"/>
  </r>
  <r>
    <s v="Above the Line"/>
    <x v="2"/>
    <s v="ALL SHOW"/>
    <m/>
    <x v="450"/>
    <s v="Departamento"/>
    <m/>
    <n v="100000"/>
    <n v="0"/>
    <n v="100000"/>
    <n v="0"/>
    <n v="100000"/>
    <n v="80000"/>
    <n v="-20000"/>
  </r>
  <r>
    <s v="Above the Line"/>
    <x v="2"/>
    <s v="ALL SHOW"/>
    <m/>
    <x v="451"/>
    <s v="Limpieza"/>
    <m/>
    <n v="0"/>
    <n v="0"/>
    <n v="0"/>
    <n v="0"/>
    <n v="0"/>
    <n v="20000"/>
    <n v="20000"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</r>
  <r>
    <s v="Above the Line"/>
    <x v="2"/>
    <s v=""/>
    <m/>
    <x v="455"/>
    <s v="Directors Airfare"/>
    <m/>
    <n v="0"/>
    <n v="0"/>
    <n v="0"/>
    <n v="0"/>
    <n v="0"/>
    <n v="0"/>
    <n v="0"/>
  </r>
  <r>
    <s v="Above the Line"/>
    <x v="2"/>
    <s v=""/>
    <m/>
    <x v="456"/>
    <s v="Javier Fox Patron - Bloque 1"/>
    <m/>
    <n v="0"/>
    <n v="0"/>
    <n v="0"/>
    <n v="0"/>
    <n v="0"/>
    <n v="0"/>
    <n v="0"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</r>
  <r>
    <s v="Above the Line"/>
    <x v="2"/>
    <s v=""/>
    <m/>
    <x v="459"/>
    <s v="Jose Ramón Chavez - Bloque 2"/>
    <m/>
    <n v="0"/>
    <n v="0"/>
    <n v="0"/>
    <n v="0"/>
    <n v="0"/>
    <n v="0"/>
    <n v="0"/>
  </r>
  <r>
    <s v="Above the Line"/>
    <x v="2"/>
    <s v="ALL SHOW"/>
    <m/>
    <x v="460"/>
    <s v="Vuelo Aeromexico GDL - MEX"/>
    <m/>
    <n v="0"/>
    <n v="0"/>
    <n v="0"/>
    <n v="0"/>
    <n v="0"/>
    <n v="5000"/>
    <n v="5000"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</r>
  <r>
    <s v="Above the Line"/>
    <x v="2"/>
    <s v=""/>
    <m/>
    <x v="462"/>
    <s v="Iker Duperoyn - Bloque 3"/>
    <m/>
    <n v="0"/>
    <n v="0"/>
    <n v="0"/>
    <n v="0"/>
    <n v="0"/>
    <n v="0"/>
    <n v="0"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</r>
  <r>
    <s v="Above the Line"/>
    <x v="2"/>
    <s v="ALL SHOW"/>
    <m/>
    <x v="464"/>
    <s v="Vuelo Aeromexico MEX - GDL"/>
    <m/>
    <n v="0"/>
    <n v="0"/>
    <n v="0"/>
    <n v="0"/>
    <n v="0"/>
    <n v="5000"/>
    <n v="5000"/>
  </r>
  <r>
    <s v="Above the Line"/>
    <x v="2"/>
    <s v=""/>
    <m/>
    <x v="465"/>
    <s v="Sebastian Sariñana - Bloque 4"/>
    <m/>
    <n v="0"/>
    <n v="0"/>
    <n v="0"/>
    <n v="0"/>
    <n v="0"/>
    <n v="0"/>
    <n v="0"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</r>
  <r>
    <s v="Above the Line"/>
    <x v="2"/>
    <s v="ALL SHOW"/>
    <m/>
    <x v="467"/>
    <s v="Vuelo Aeromexico MEX - GDL"/>
    <m/>
    <n v="0"/>
    <n v="0"/>
    <n v="0"/>
    <n v="0"/>
    <n v="0"/>
    <n v="5000"/>
    <n v="5000"/>
  </r>
  <r>
    <s v="Above the Line"/>
    <x v="2"/>
    <s v=""/>
    <m/>
    <x v="468"/>
    <s v="Nadia Ayala - Segunda Unidad"/>
    <m/>
    <n v="0"/>
    <n v="0"/>
    <n v="0"/>
    <n v="0"/>
    <n v="0"/>
    <n v="0"/>
    <n v="0"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</r>
  <r>
    <s v="Above the Line"/>
    <x v="2"/>
    <s v="2nd Unit"/>
    <m/>
    <x v="470"/>
    <s v="Vuelo Aeromexico MEX - GDL"/>
    <m/>
    <n v="0"/>
    <n v="0"/>
    <n v="0"/>
    <n v="0"/>
    <n v="0"/>
    <n v="5000"/>
    <n v="5000"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</r>
  <r>
    <s v="Above the Line"/>
    <x v="2"/>
    <s v=""/>
    <m/>
    <x v="472"/>
    <s v="Departamentos Directores"/>
    <m/>
    <n v="0"/>
    <n v="0"/>
    <n v="0"/>
    <n v="0"/>
    <n v="0"/>
    <n v="0"/>
    <n v="0"/>
  </r>
  <r>
    <s v="Above the Line"/>
    <x v="2"/>
    <s v="PREP"/>
    <m/>
    <x v="473"/>
    <s v="Prep"/>
    <m/>
    <n v="0"/>
    <n v="0"/>
    <n v="0"/>
    <n v="0"/>
    <n v="0"/>
    <n v="12600"/>
    <n v="12600"/>
  </r>
  <r>
    <s v="Above the Line"/>
    <x v="2"/>
    <s v="SHOOT"/>
    <m/>
    <x v="474"/>
    <s v="Shoot"/>
    <m/>
    <n v="5745.03"/>
    <n v="0"/>
    <n v="5745.03"/>
    <n v="0"/>
    <n v="5745.03"/>
    <n v="44100"/>
    <n v="38354.97"/>
  </r>
  <r>
    <s v="Above the Line"/>
    <x v="2"/>
    <s v=""/>
    <m/>
    <x v="475"/>
    <s v="Departamento Director Segunda Unidad"/>
    <m/>
    <n v="0"/>
    <n v="0"/>
    <n v="0"/>
    <n v="0"/>
    <n v="0"/>
    <n v="0"/>
    <n v="0"/>
  </r>
  <r>
    <s v="Above the Line"/>
    <x v="2"/>
    <s v="2nd Unit"/>
    <m/>
    <x v="476"/>
    <s v="Prep"/>
    <m/>
    <n v="0"/>
    <n v="0"/>
    <n v="0"/>
    <n v="0"/>
    <n v="0"/>
    <n v="6300"/>
    <n v="6300"/>
  </r>
  <r>
    <s v="Above the Line"/>
    <x v="2"/>
    <s v="2nd Unit"/>
    <m/>
    <x v="477"/>
    <s v="Shoot"/>
    <m/>
    <n v="0"/>
    <n v="0"/>
    <n v="0"/>
    <n v="0"/>
    <n v="0"/>
    <n v="12600"/>
    <n v="12600"/>
  </r>
  <r>
    <s v="Above the Line"/>
    <x v="2"/>
    <s v=""/>
    <m/>
    <x v="478"/>
    <s v="Hotel Cast La Cañada (Granja Eólica)"/>
    <m/>
    <n v="0"/>
    <n v="0"/>
    <n v="0"/>
    <n v="0"/>
    <n v="0"/>
    <n v="0"/>
    <n v="0"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</r>
  <r>
    <s v="Above the Line"/>
    <x v="2"/>
    <s v=""/>
    <m/>
    <x v="480"/>
    <s v="Hotel Cast Labor de Rivera"/>
    <m/>
    <n v="0"/>
    <n v="0"/>
    <n v="0"/>
    <n v="0"/>
    <n v="0"/>
    <n v="0"/>
    <n v="0"/>
  </r>
  <r>
    <s v="Above the Line"/>
    <x v="2"/>
    <s v="ALL SHOW"/>
    <m/>
    <x v="481"/>
    <s v="Habitación Sencilla"/>
    <m/>
    <n v="0"/>
    <n v="0"/>
    <n v="0"/>
    <n v="0"/>
    <n v="0"/>
    <n v="4800"/>
    <n v="4800"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</r>
  <r>
    <s v="Above the Line"/>
    <x v="2"/>
    <s v=""/>
    <m/>
    <x v="487"/>
    <s v="Cast Airfare - Personajes Principales"/>
    <m/>
    <n v="0"/>
    <n v="0"/>
    <n v="0"/>
    <n v="0"/>
    <n v="0"/>
    <n v="0"/>
    <n v="0"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</r>
  <r>
    <s v="Above the Line"/>
    <x v="2"/>
    <s v="ALL SHOW"/>
    <m/>
    <x v="492"/>
    <s v="Limpieza"/>
    <m/>
    <n v="39900"/>
    <n v="0"/>
    <n v="39900"/>
    <n v="0"/>
    <n v="39900"/>
    <n v="80000"/>
    <n v="40100"/>
  </r>
  <r>
    <s v="Above the Line"/>
    <x v="2"/>
    <s v=""/>
    <m/>
    <x v="493"/>
    <s v="Departamento Talento - Casandra, Santiago "/>
    <m/>
    <n v="0"/>
    <n v="0"/>
    <n v="0"/>
    <n v="0"/>
    <n v="0"/>
    <n v="0"/>
    <n v="0"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</r>
  <r>
    <s v="Above the Line"/>
    <x v="2"/>
    <s v=""/>
    <m/>
    <x v="495"/>
    <s v="Hotel Matías México"/>
    <m/>
    <n v="0"/>
    <n v="0"/>
    <n v="0"/>
    <n v="0"/>
    <n v="0"/>
    <n v="0"/>
    <n v="0"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</r>
  <r>
    <s v="Above the Line"/>
    <x v="2"/>
    <s v=""/>
    <m/>
    <x v="497"/>
    <s v="Hotel Chapala Cast - Monte Coxala"/>
    <m/>
    <n v="0"/>
    <n v="0"/>
    <n v="0"/>
    <n v="0"/>
    <n v="0"/>
    <n v="0"/>
    <n v="0"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</r>
  <r>
    <s v="Above the Line"/>
    <x v="2"/>
    <s v=""/>
    <m/>
    <x v="499"/>
    <s v="Airbnb Sandra Chapala"/>
    <m/>
    <n v="0"/>
    <n v="0"/>
    <n v="0"/>
    <n v="0"/>
    <n v="0"/>
    <n v="0"/>
    <n v="0"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</r>
  <r>
    <s v="Above the Line"/>
    <x v="1"/>
    <m/>
    <m/>
    <x v="501"/>
    <s v="VIATICOS REPARTO"/>
    <m/>
    <n v="71091.59"/>
    <n v="0"/>
    <n v="71091.59"/>
    <n v="0"/>
    <n v="71091.59"/>
    <n v="146500"/>
    <n v="75408.41"/>
  </r>
  <r>
    <s v="Above the Line"/>
    <x v="2"/>
    <s v=""/>
    <m/>
    <x v="502"/>
    <s v="Cast Per Diem Comida Hotel"/>
    <m/>
    <n v="0"/>
    <n v="0"/>
    <n v="0"/>
    <n v="0"/>
    <n v="0"/>
    <n v="0"/>
    <n v="0"/>
  </r>
  <r>
    <s v="Above the Line"/>
    <x v="2"/>
    <s v="SHOOT"/>
    <m/>
    <x v="503"/>
    <s v="Allow"/>
    <m/>
    <n v="32091.59"/>
    <n v="0"/>
    <n v="32091.59"/>
    <n v="0"/>
    <n v="32091.59"/>
    <n v="60000"/>
    <n v="27908.41"/>
  </r>
  <r>
    <s v="Above the Line"/>
    <x v="2"/>
    <s v=""/>
    <m/>
    <x v="504"/>
    <s v="Cast Per Diem - Sandra Echeverria"/>
    <m/>
    <n v="0"/>
    <n v="0"/>
    <n v="0"/>
    <n v="0"/>
    <n v="0"/>
    <n v="0"/>
    <n v="0"/>
  </r>
  <r>
    <s v="Above the Line"/>
    <x v="2"/>
    <s v="SHOOT"/>
    <m/>
    <x v="505"/>
    <s v="Shoot"/>
    <m/>
    <n v="10500"/>
    <n v="0"/>
    <n v="10500"/>
    <n v="0"/>
    <n v="10500"/>
    <n v="10500"/>
    <n v="0"/>
  </r>
  <r>
    <s v="Above the Line"/>
    <x v="2"/>
    <s v="SHOOT"/>
    <m/>
    <x v="506"/>
    <s v="Domingos "/>
    <m/>
    <n v="9000"/>
    <n v="0"/>
    <n v="9000"/>
    <n v="0"/>
    <n v="9000"/>
    <n v="5250"/>
    <n v="-3750"/>
  </r>
  <r>
    <s v="Above the Line"/>
    <x v="2"/>
    <s v=""/>
    <m/>
    <x v="507"/>
    <s v="Cast Per Diem Comida - Ivan Amuzurrutia"/>
    <m/>
    <n v="0"/>
    <n v="0"/>
    <n v="0"/>
    <n v="0"/>
    <n v="0"/>
    <n v="0"/>
    <n v="0"/>
  </r>
  <r>
    <s v="Above the Line"/>
    <x v="2"/>
    <s v="SHOOT"/>
    <m/>
    <x v="508"/>
    <s v="Shoot"/>
    <m/>
    <n v="10500"/>
    <n v="0"/>
    <n v="10500"/>
    <n v="0"/>
    <n v="10500"/>
    <n v="10500"/>
    <n v="0"/>
  </r>
  <r>
    <s v="Above the Line"/>
    <x v="2"/>
    <s v="SHOOT"/>
    <m/>
    <x v="509"/>
    <s v="Domingos "/>
    <m/>
    <n v="9000"/>
    <n v="0"/>
    <n v="9000"/>
    <n v="0"/>
    <n v="9000"/>
    <n v="5250"/>
    <n v="-3750"/>
  </r>
  <r>
    <s v="Above the Line"/>
    <x v="2"/>
    <s v=""/>
    <m/>
    <x v="510"/>
    <s v="Cast Per Diem Comida - Matías Desiderio"/>
    <m/>
    <n v="0"/>
    <n v="0"/>
    <n v="0"/>
    <n v="0"/>
    <n v="0"/>
    <n v="0"/>
    <n v="0"/>
  </r>
  <r>
    <s v="Above the Line"/>
    <x v="2"/>
    <s v="PREP"/>
    <m/>
    <x v="511"/>
    <s v="Prep"/>
    <m/>
    <n v="0"/>
    <n v="0"/>
    <n v="0"/>
    <n v="0"/>
    <n v="0"/>
    <n v="5000"/>
    <n v="5000"/>
  </r>
  <r>
    <s v="Above the Line"/>
    <x v="2"/>
    <s v="SHOOT"/>
    <m/>
    <x v="512"/>
    <s v="Shoot"/>
    <m/>
    <n v="0"/>
    <n v="0"/>
    <n v="0"/>
    <n v="0"/>
    <n v="0"/>
    <n v="6500"/>
    <n v="6500"/>
  </r>
  <r>
    <s v="Above the Line"/>
    <x v="2"/>
    <s v="SHOOT"/>
    <m/>
    <x v="513"/>
    <s v="Hold"/>
    <m/>
    <n v="0"/>
    <n v="0"/>
    <n v="0"/>
    <n v="0"/>
    <n v="0"/>
    <n v="12000"/>
    <n v="12000"/>
  </r>
  <r>
    <s v="Above the Line"/>
    <x v="2"/>
    <s v="SHOOT"/>
    <m/>
    <x v="514"/>
    <s v="Domingos "/>
    <m/>
    <n v="0"/>
    <n v="0"/>
    <n v="0"/>
    <n v="0"/>
    <n v="0"/>
    <n v="5250"/>
    <n v="5250"/>
  </r>
  <r>
    <s v="Above the Line"/>
    <x v="2"/>
    <s v=""/>
    <m/>
    <x v="515"/>
    <s v="Cast Per Diem Comida - Pamela Almanza"/>
    <m/>
    <n v="0"/>
    <n v="0"/>
    <n v="0"/>
    <n v="0"/>
    <n v="0"/>
    <n v="0"/>
    <n v="0"/>
  </r>
  <r>
    <s v="Above the Line"/>
    <x v="2"/>
    <s v="SHOOT"/>
    <m/>
    <x v="516"/>
    <s v="Shoot"/>
    <m/>
    <n v="0"/>
    <n v="0"/>
    <n v="0"/>
    <n v="0"/>
    <n v="0"/>
    <n v="5250"/>
    <n v="5250"/>
  </r>
  <r>
    <s v="Above the Line"/>
    <x v="2"/>
    <s v="SHOOT"/>
    <m/>
    <x v="517"/>
    <s v="Hold"/>
    <m/>
    <n v="0"/>
    <n v="0"/>
    <n v="0"/>
    <n v="0"/>
    <n v="0"/>
    <n v="15750"/>
    <n v="15750"/>
  </r>
  <r>
    <s v="Above the Line"/>
    <x v="2"/>
    <s v="SHOOT"/>
    <m/>
    <x v="518"/>
    <s v="Domingos "/>
    <m/>
    <n v="0"/>
    <n v="0"/>
    <n v="0"/>
    <n v="0"/>
    <n v="0"/>
    <n v="5250"/>
    <n v="5250"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</r>
  <r>
    <s v="Above the Line"/>
    <x v="2"/>
    <s v=""/>
    <m/>
    <x v="520"/>
    <s v="Cast Transfers - Emergency Flights"/>
    <m/>
    <n v="0"/>
    <n v="0"/>
    <n v="0"/>
    <n v="0"/>
    <n v="0"/>
    <n v="0"/>
    <n v="0"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</r>
  <r>
    <s v="Above the Line"/>
    <x v="1"/>
    <m/>
    <m/>
    <x v="522"/>
    <s v="Total Fringes"/>
    <m/>
    <n v="556.89"/>
    <n v="0"/>
    <n v="556.89"/>
    <n v="0"/>
    <n v="556.89"/>
    <n v="6795.5300000000007"/>
    <n v="6238.64"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</r>
  <r>
    <s v="Below the Line"/>
    <x v="1"/>
    <m/>
    <m/>
    <x v="525"/>
    <s v="GERENTE DE UNIDAD"/>
    <m/>
    <n v="520000"/>
    <n v="0"/>
    <n v="520000"/>
    <n v="0"/>
    <n v="520000"/>
    <n v="520000"/>
    <n v="0"/>
  </r>
  <r>
    <s v="Below the Line"/>
    <x v="2"/>
    <s v=""/>
    <m/>
    <x v="526"/>
    <s v="Gerente de Producción - Jorge Miguel Novella"/>
    <m/>
    <n v="0"/>
    <n v="0"/>
    <n v="0"/>
    <n v="0"/>
    <n v="0"/>
    <n v="0"/>
    <n v="0"/>
  </r>
  <r>
    <s v="Below the Line"/>
    <x v="2"/>
    <s v="SOFT"/>
    <m/>
    <x v="527"/>
    <s v="Soft"/>
    <m/>
    <n v="60000"/>
    <n v="0"/>
    <n v="60000"/>
    <n v="0"/>
    <n v="60000"/>
    <n v="60000"/>
    <n v="0"/>
  </r>
  <r>
    <s v="Below the Line"/>
    <x v="2"/>
    <s v="PREP"/>
    <m/>
    <x v="528"/>
    <s v="Prep"/>
    <m/>
    <n v="180000"/>
    <n v="0"/>
    <n v="180000"/>
    <n v="0"/>
    <n v="180000"/>
    <n v="180000"/>
    <n v="0"/>
  </r>
  <r>
    <s v="Below the Line"/>
    <x v="2"/>
    <s v="SHOOT"/>
    <m/>
    <x v="529"/>
    <s v="Shoot"/>
    <m/>
    <n v="140000"/>
    <n v="0"/>
    <n v="140000"/>
    <n v="0"/>
    <n v="140000"/>
    <n v="140000"/>
    <n v="0"/>
  </r>
  <r>
    <s v="Below the Line"/>
    <x v="2"/>
    <s v="WRAP"/>
    <m/>
    <x v="530"/>
    <s v="Wrap"/>
    <m/>
    <n v="60000"/>
    <n v="0"/>
    <n v="60000"/>
    <n v="0"/>
    <n v="60000"/>
    <n v="60000"/>
    <n v="0"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</r>
  <r>
    <s v="Below the Line"/>
    <x v="2"/>
    <s v="2nd Unit"/>
    <m/>
    <x v="532"/>
    <s v="Prep"/>
    <m/>
    <n v="20000"/>
    <n v="0"/>
    <n v="20000"/>
    <n v="0"/>
    <n v="20000"/>
    <n v="20000"/>
    <n v="0"/>
  </r>
  <r>
    <s v="Below the Line"/>
    <x v="2"/>
    <s v="2nd Unit"/>
    <m/>
    <x v="533"/>
    <s v="Shoot"/>
    <m/>
    <n v="40000"/>
    <n v="0"/>
    <n v="40000"/>
    <n v="0"/>
    <n v="40000"/>
    <n v="40000"/>
    <n v="0"/>
  </r>
  <r>
    <s v="Below the Line"/>
    <x v="2"/>
    <s v="2nd Unit"/>
    <m/>
    <x v="534"/>
    <s v="Wrap"/>
    <m/>
    <n v="20000"/>
    <n v="0"/>
    <n v="20000"/>
    <n v="0"/>
    <n v="20000"/>
    <n v="20000"/>
    <n v="0"/>
  </r>
  <r>
    <s v="Below the Line"/>
    <x v="1"/>
    <m/>
    <m/>
    <x v="535"/>
    <s v="1° ASISTENTE DIRECCION"/>
    <m/>
    <n v="785134"/>
    <n v="0"/>
    <n v="785134"/>
    <n v="0"/>
    <n v="785134"/>
    <n v="742500"/>
    <n v="-42634"/>
  </r>
  <r>
    <s v="Below the Line"/>
    <x v="2"/>
    <s v=""/>
    <m/>
    <x v="536"/>
    <s v="1er Asistente de Dirección - Pedro Adame"/>
    <m/>
    <n v="0"/>
    <n v="0"/>
    <n v="0"/>
    <n v="0"/>
    <n v="0"/>
    <n v="0"/>
    <n v="0"/>
  </r>
  <r>
    <s v="Below the Line"/>
    <x v="2"/>
    <s v="PREP"/>
    <m/>
    <x v="537"/>
    <s v="Prep"/>
    <m/>
    <n v="236250"/>
    <n v="0"/>
    <n v="236250"/>
    <n v="0"/>
    <n v="236250"/>
    <n v="236250"/>
    <n v="0"/>
  </r>
  <r>
    <s v="Below the Line"/>
    <x v="2"/>
    <s v="SHOOT"/>
    <m/>
    <x v="538"/>
    <s v="Shoot"/>
    <m/>
    <n v="148750"/>
    <n v="0"/>
    <n v="148750"/>
    <n v="0"/>
    <n v="148750"/>
    <n v="131250"/>
    <n v="-17500"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</r>
  <r>
    <s v="Below the Line"/>
    <x v="2"/>
    <s v="2nd Unit"/>
    <m/>
    <x v="540"/>
    <s v="Prep"/>
    <m/>
    <n v="25000"/>
    <n v="0"/>
    <n v="25000"/>
    <n v="0"/>
    <n v="25000"/>
    <n v="25000"/>
    <n v="0"/>
  </r>
  <r>
    <s v="Below the Line"/>
    <x v="2"/>
    <s v="2nd Unit"/>
    <m/>
    <x v="541"/>
    <s v="Shoot"/>
    <m/>
    <n v="58334"/>
    <n v="0"/>
    <n v="58334"/>
    <n v="0"/>
    <n v="58334"/>
    <n v="50000"/>
    <n v="-8334"/>
  </r>
  <r>
    <s v="Below the Line"/>
    <x v="2"/>
    <s v=""/>
    <m/>
    <x v="542"/>
    <s v="1er Asistente de Dirección #2 - Gerardo Garay"/>
    <m/>
    <n v="0"/>
    <n v="0"/>
    <n v="0"/>
    <n v="0"/>
    <n v="0"/>
    <n v="0"/>
    <n v="0"/>
  </r>
  <r>
    <s v="Below the Line"/>
    <x v="2"/>
    <s v="PREP"/>
    <m/>
    <x v="543"/>
    <s v="Prep"/>
    <m/>
    <n v="125000"/>
    <n v="0"/>
    <n v="125000"/>
    <n v="0"/>
    <n v="125000"/>
    <n v="125000"/>
    <n v="0"/>
  </r>
  <r>
    <s v="Below the Line"/>
    <x v="2"/>
    <s v="SHOOT"/>
    <m/>
    <x v="544"/>
    <s v="Shoot"/>
    <m/>
    <n v="175000"/>
    <n v="0"/>
    <n v="175000"/>
    <n v="0"/>
    <n v="175000"/>
    <n v="175000"/>
    <n v="0"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</r>
  <r>
    <s v="Below the Line"/>
    <x v="1"/>
    <m/>
    <m/>
    <x v="546"/>
    <s v="PLANEADOR"/>
    <m/>
    <n v="577500"/>
    <n v="0"/>
    <n v="577500"/>
    <n v="0"/>
    <n v="577500"/>
    <n v="551250"/>
    <n v="-26250"/>
  </r>
  <r>
    <s v="Below the Line"/>
    <x v="2"/>
    <s v=""/>
    <m/>
    <x v="547"/>
    <s v="Planner - Alejandro Sariñana"/>
    <m/>
    <n v="0"/>
    <n v="0"/>
    <n v="0"/>
    <n v="0"/>
    <n v="0"/>
    <n v="0"/>
    <n v="0"/>
  </r>
  <r>
    <s v="Below the Line"/>
    <x v="2"/>
    <s v="SOFT"/>
    <m/>
    <x v="548"/>
    <s v="Soft"/>
    <m/>
    <n v="131250"/>
    <n v="0"/>
    <n v="131250"/>
    <n v="0"/>
    <n v="131250"/>
    <n v="131250"/>
    <n v="0"/>
  </r>
  <r>
    <s v="Below the Line"/>
    <x v="2"/>
    <s v="PREP"/>
    <m/>
    <x v="549"/>
    <s v="Prep"/>
    <m/>
    <n v="236250"/>
    <n v="0"/>
    <n v="236250"/>
    <n v="0"/>
    <n v="236250"/>
    <n v="236250"/>
    <n v="0"/>
  </r>
  <r>
    <s v="Below the Line"/>
    <x v="2"/>
    <s v="SHOOT"/>
    <m/>
    <x v="550"/>
    <s v="Shoot"/>
    <m/>
    <n v="210000"/>
    <n v="0"/>
    <n v="210000"/>
    <n v="0"/>
    <n v="210000"/>
    <n v="183750"/>
    <n v="-26250"/>
  </r>
  <r>
    <s v="Below the Line"/>
    <x v="1"/>
    <m/>
    <m/>
    <x v="551"/>
    <s v="2° ASISTENTE DIRECCION"/>
    <m/>
    <n v="683500"/>
    <n v="0"/>
    <n v="683500"/>
    <n v="0"/>
    <n v="683500"/>
    <n v="673500"/>
    <n v="-10000"/>
  </r>
  <r>
    <s v="Below the Line"/>
    <x v="2"/>
    <s v=""/>
    <m/>
    <x v="552"/>
    <s v="Asistente Planner - Gabriel Cruz"/>
    <m/>
    <n v="0"/>
    <n v="0"/>
    <n v="0"/>
    <n v="0"/>
    <n v="0"/>
    <n v="0"/>
    <n v="0"/>
  </r>
  <r>
    <s v="Below the Line"/>
    <x v="2"/>
    <s v="SOFT"/>
    <m/>
    <x v="553"/>
    <s v="Soft"/>
    <m/>
    <n v="31500"/>
    <n v="0"/>
    <n v="31500"/>
    <n v="0"/>
    <n v="31500"/>
    <n v="31500"/>
    <n v="0"/>
  </r>
  <r>
    <s v="Below the Line"/>
    <x v="2"/>
    <s v="PREP"/>
    <m/>
    <x v="554"/>
    <s v="Prep"/>
    <m/>
    <n v="141750"/>
    <n v="0"/>
    <n v="141750"/>
    <n v="0"/>
    <n v="141750"/>
    <n v="141750"/>
    <n v="0"/>
  </r>
  <r>
    <s v="Below the Line"/>
    <x v="2"/>
    <s v="SHOOT"/>
    <m/>
    <x v="555"/>
    <s v="Shoot"/>
    <m/>
    <n v="110250"/>
    <n v="0"/>
    <n v="110250"/>
    <n v="0"/>
    <n v="110250"/>
    <n v="110250"/>
    <n v="0"/>
  </r>
  <r>
    <s v="Below the Line"/>
    <x v="2"/>
    <s v=""/>
    <m/>
    <x v="556"/>
    <s v="2do Asistente de Dirección #1 - David Garcés"/>
    <m/>
    <n v="0"/>
    <n v="0"/>
    <n v="0"/>
    <n v="0"/>
    <n v="0"/>
    <n v="0"/>
    <n v="0"/>
  </r>
  <r>
    <s v="Below the Line"/>
    <x v="2"/>
    <s v="PREP"/>
    <m/>
    <x v="557"/>
    <s v="Prep"/>
    <m/>
    <n v="105000"/>
    <n v="0"/>
    <n v="105000"/>
    <n v="0"/>
    <n v="105000"/>
    <n v="105000"/>
    <n v="0"/>
  </r>
  <r>
    <s v="Below the Line"/>
    <x v="2"/>
    <s v="SHOOT"/>
    <m/>
    <x v="558"/>
    <s v="Shoot"/>
    <m/>
    <n v="85000"/>
    <n v="0"/>
    <n v="85000"/>
    <n v="0"/>
    <n v="85000"/>
    <n v="75000"/>
    <n v="-10000"/>
  </r>
  <r>
    <s v="Below the Line"/>
    <x v="2"/>
    <s v=""/>
    <m/>
    <x v="559"/>
    <s v="2do Asistente de Dirección #2 - Daniela Carrera"/>
    <m/>
    <n v="0"/>
    <n v="0"/>
    <n v="0"/>
    <n v="0"/>
    <n v="0"/>
    <n v="0"/>
    <n v="0"/>
  </r>
  <r>
    <s v="Below the Line"/>
    <x v="2"/>
    <s v="PREP"/>
    <m/>
    <x v="560"/>
    <s v="Prep"/>
    <m/>
    <n v="60000"/>
    <n v="0"/>
    <n v="60000"/>
    <n v="0"/>
    <n v="60000"/>
    <n v="60000"/>
    <n v="0"/>
  </r>
  <r>
    <s v="Below the Line"/>
    <x v="2"/>
    <s v="SHOOT"/>
    <m/>
    <x v="561"/>
    <s v="Shoot "/>
    <m/>
    <n v="105000"/>
    <n v="0"/>
    <n v="105000"/>
    <n v="0"/>
    <n v="105000"/>
    <n v="105000"/>
    <n v="0"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</r>
  <r>
    <s v="Below the Line"/>
    <x v="2"/>
    <s v="2nd Unit"/>
    <m/>
    <x v="563"/>
    <s v="Prep"/>
    <m/>
    <n v="0"/>
    <n v="0"/>
    <n v="0"/>
    <n v="0"/>
    <n v="0"/>
    <n v="15000"/>
    <n v="15000"/>
  </r>
  <r>
    <s v="Below the Line"/>
    <x v="2"/>
    <s v="2nd Unit"/>
    <m/>
    <x v="564"/>
    <s v="Shoot "/>
    <m/>
    <n v="45000"/>
    <n v="0"/>
    <n v="45000"/>
    <n v="0"/>
    <n v="45000"/>
    <n v="30000"/>
    <n v="-15000"/>
  </r>
  <r>
    <s v="Below the Line"/>
    <x v="1"/>
    <m/>
    <m/>
    <x v="565"/>
    <s v="2° 2° ASISTENTE DE DIRECCION"/>
    <m/>
    <n v="93750"/>
    <n v="0"/>
    <n v="93750"/>
    <n v="0"/>
    <n v="93750"/>
    <n v="90000"/>
    <n v="-3750"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</r>
  <r>
    <s v="Below the Line"/>
    <x v="2"/>
    <s v="PREP"/>
    <m/>
    <x v="567"/>
    <s v="Prep"/>
    <m/>
    <n v="15000"/>
    <n v="0"/>
    <n v="15000"/>
    <n v="0"/>
    <n v="15000"/>
    <n v="15000"/>
    <n v="0"/>
  </r>
  <r>
    <s v="Below the Line"/>
    <x v="2"/>
    <s v="SHOOT"/>
    <s v="NOM"/>
    <x v="568"/>
    <s v="Shoot"/>
    <m/>
    <n v="52500"/>
    <n v="0"/>
    <n v="52500"/>
    <n v="0"/>
    <n v="52500"/>
    <n v="52500"/>
    <n v="0"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</r>
  <r>
    <s v="Below the Line"/>
    <x v="2"/>
    <s v="2nd Unit"/>
    <m/>
    <x v="570"/>
    <s v="Prep"/>
    <m/>
    <n v="7500"/>
    <n v="0"/>
    <n v="7500"/>
    <n v="0"/>
    <n v="7500"/>
    <n v="7500"/>
    <n v="0"/>
  </r>
  <r>
    <s v="Below the Line"/>
    <x v="2"/>
    <s v="2nd Unit"/>
    <s v="NOM"/>
    <x v="571"/>
    <s v="Shoot"/>
    <m/>
    <n v="13750"/>
    <n v="0"/>
    <n v="13750"/>
    <n v="0"/>
    <n v="13750"/>
    <n v="15000"/>
    <n v="1250"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</r>
  <r>
    <s v="Below the Line"/>
    <x v="1"/>
    <m/>
    <m/>
    <x v="573"/>
    <s v="CONTINUISTA"/>
    <m/>
    <n v="209633.33"/>
    <n v="0"/>
    <n v="209633.33"/>
    <n v="0"/>
    <n v="209633.33"/>
    <n v="198200"/>
    <n v="-11433.33"/>
  </r>
  <r>
    <s v="Below the Line"/>
    <x v="2"/>
    <s v=""/>
    <m/>
    <x v="574"/>
    <s v="Script - Ana Mock"/>
    <m/>
    <n v="0"/>
    <n v="0"/>
    <n v="0"/>
    <n v="0"/>
    <n v="0"/>
    <n v="0"/>
    <n v="0"/>
  </r>
  <r>
    <s v="Below the Line"/>
    <x v="2"/>
    <s v="PREP"/>
    <m/>
    <x v="575"/>
    <s v="Prep"/>
    <m/>
    <n v="17000"/>
    <n v="0"/>
    <n v="17000"/>
    <n v="0"/>
    <n v="17000"/>
    <n v="17000"/>
    <n v="0"/>
  </r>
  <r>
    <s v="Below the Line"/>
    <x v="2"/>
    <s v="SHOOT"/>
    <m/>
    <x v="576"/>
    <s v="Shoot"/>
    <m/>
    <n v="119000"/>
    <n v="0"/>
    <n v="119000"/>
    <n v="0"/>
    <n v="119000"/>
    <n v="119000"/>
    <n v="0"/>
  </r>
  <r>
    <s v="Below the Line"/>
    <x v="2"/>
    <s v=""/>
    <m/>
    <x v="577"/>
    <s v="Script Split Unit - Jules Contreras"/>
    <m/>
    <n v="0"/>
    <n v="0"/>
    <n v="0"/>
    <n v="0"/>
    <n v="0"/>
    <n v="0"/>
    <n v="0"/>
  </r>
  <r>
    <s v="Below the Line"/>
    <x v="2"/>
    <s v="PREP"/>
    <m/>
    <x v="578"/>
    <s v="Prep"/>
    <m/>
    <n v="8400"/>
    <n v="0"/>
    <n v="8400"/>
    <n v="0"/>
    <n v="8400"/>
    <n v="8400"/>
    <n v="0"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</r>
  <r>
    <s v="Below the Line"/>
    <x v="2"/>
    <s v=""/>
    <m/>
    <x v="580"/>
    <s v="Script Segunda Unidad - Jules Contreras"/>
    <m/>
    <n v="0"/>
    <n v="0"/>
    <n v="0"/>
    <n v="0"/>
    <n v="0"/>
    <n v="0"/>
    <n v="0"/>
  </r>
  <r>
    <s v="Below the Line"/>
    <x v="2"/>
    <s v="2nd Unit"/>
    <m/>
    <x v="581"/>
    <s v="Prep"/>
    <m/>
    <n v="17000"/>
    <n v="0"/>
    <n v="17000"/>
    <n v="0"/>
    <n v="17000"/>
    <n v="17000"/>
    <n v="0"/>
  </r>
  <r>
    <s v="Below the Line"/>
    <x v="2"/>
    <s v="2nd Unit"/>
    <s v="NOM"/>
    <x v="582"/>
    <s v="Shoot"/>
    <m/>
    <n v="34000"/>
    <n v="0"/>
    <n v="34000"/>
    <n v="0"/>
    <n v="34000"/>
    <n v="34000"/>
    <n v="0"/>
  </r>
  <r>
    <s v="Below the Line"/>
    <x v="2"/>
    <s v="2nd Unit"/>
    <s v="NOM"/>
    <x v="583"/>
    <s v="Wrap"/>
    <m/>
    <n v="0"/>
    <n v="0"/>
    <n v="0"/>
    <n v="0"/>
    <n v="0"/>
    <n v="0"/>
    <n v="0"/>
  </r>
  <r>
    <s v="Below the Line"/>
    <x v="1"/>
    <m/>
    <m/>
    <x v="584"/>
    <s v="CONTADOR DE PRODUCCION"/>
    <m/>
    <n v="726750"/>
    <n v="0"/>
    <n v="726750"/>
    <n v="0"/>
    <n v="726750"/>
    <n v="726750"/>
    <n v="0"/>
  </r>
  <r>
    <s v="Below the Line"/>
    <x v="2"/>
    <s v=""/>
    <m/>
    <x v="585"/>
    <s v="Servicios de Contabilidad - SUMMIT FINANCE"/>
    <m/>
    <n v="0"/>
    <n v="0"/>
    <n v="0"/>
    <n v="0"/>
    <n v="0"/>
    <n v="0"/>
    <n v="0"/>
  </r>
  <r>
    <s v="Below the Line"/>
    <x v="2"/>
    <s v=""/>
    <m/>
    <x v="586"/>
    <s v="Contabilidad de Producción Development"/>
    <m/>
    <n v="0"/>
    <n v="0"/>
    <n v="0"/>
    <n v="0"/>
    <n v="0"/>
    <n v="0"/>
    <n v="0"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</r>
  <r>
    <s v="Below the Line"/>
    <x v="2"/>
    <s v=""/>
    <m/>
    <x v="589"/>
    <s v="Contador de Producción - Mariana Sumano"/>
    <m/>
    <n v="0"/>
    <n v="0"/>
    <n v="0"/>
    <n v="0"/>
    <n v="0"/>
    <n v="0"/>
    <n v="0"/>
  </r>
  <r>
    <s v="Below the Line"/>
    <x v="2"/>
    <s v="SOFT"/>
    <m/>
    <x v="590"/>
    <s v="Soft"/>
    <m/>
    <n v="28750"/>
    <n v="0"/>
    <n v="28750"/>
    <n v="0"/>
    <n v="28750"/>
    <n v="28750"/>
    <n v="0"/>
  </r>
  <r>
    <s v="Below the Line"/>
    <x v="2"/>
    <s v="PREP"/>
    <m/>
    <x v="591"/>
    <s v="Prep"/>
    <m/>
    <n v="207000"/>
    <n v="0"/>
    <n v="207000"/>
    <n v="0"/>
    <n v="207000"/>
    <n v="207000"/>
    <n v="0"/>
  </r>
  <r>
    <s v="Below the Line"/>
    <x v="2"/>
    <s v="SHOOT"/>
    <m/>
    <x v="592"/>
    <s v="Shoot"/>
    <m/>
    <n v="161000"/>
    <n v="0"/>
    <n v="161000"/>
    <n v="0"/>
    <n v="161000"/>
    <n v="161000"/>
    <n v="0"/>
  </r>
  <r>
    <s v="Below the Line"/>
    <x v="2"/>
    <s v="WRAP"/>
    <m/>
    <x v="593"/>
    <s v="Wrap"/>
    <m/>
    <n v="92000"/>
    <n v="0"/>
    <n v="92000"/>
    <n v="0"/>
    <n v="92000"/>
    <n v="92000"/>
    <n v="0"/>
  </r>
  <r>
    <s v="Below the Line"/>
    <x v="2"/>
    <s v="POST"/>
    <m/>
    <x v="594"/>
    <s v="Post"/>
    <m/>
    <n v="138000"/>
    <n v="0"/>
    <n v="138000"/>
    <n v="0"/>
    <n v="138000"/>
    <n v="138000"/>
    <n v="0"/>
  </r>
  <r>
    <s v="Below the Line"/>
    <x v="1"/>
    <m/>
    <m/>
    <x v="595"/>
    <s v="CONTADORES ASISTENTES"/>
    <m/>
    <n v="749500"/>
    <n v="0"/>
    <n v="749500"/>
    <n v="0"/>
    <n v="749500"/>
    <n v="749500"/>
    <n v="0"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</r>
  <r>
    <s v="Below the Line"/>
    <x v="2"/>
    <s v="SOFT"/>
    <m/>
    <x v="597"/>
    <s v="Soft"/>
    <m/>
    <n v="15000"/>
    <n v="0"/>
    <n v="15000"/>
    <n v="0"/>
    <n v="15000"/>
    <n v="15000"/>
    <n v="0"/>
  </r>
  <r>
    <s v="Below the Line"/>
    <x v="2"/>
    <s v="PREP"/>
    <m/>
    <x v="598"/>
    <s v="Prep"/>
    <m/>
    <n v="108000"/>
    <n v="0"/>
    <n v="108000"/>
    <n v="0"/>
    <n v="108000"/>
    <n v="108000"/>
    <n v="0"/>
  </r>
  <r>
    <s v="Below the Line"/>
    <x v="2"/>
    <s v="SHOOT"/>
    <m/>
    <x v="599"/>
    <s v="Shoot"/>
    <m/>
    <n v="84000"/>
    <n v="0"/>
    <n v="84000"/>
    <n v="0"/>
    <n v="84000"/>
    <n v="84000"/>
    <n v="0"/>
  </r>
  <r>
    <s v="Below the Line"/>
    <x v="2"/>
    <s v="WRAP"/>
    <m/>
    <x v="600"/>
    <s v="Wrap"/>
    <m/>
    <n v="48000"/>
    <n v="0"/>
    <n v="48000"/>
    <n v="0"/>
    <n v="48000"/>
    <n v="48000"/>
    <n v="0"/>
  </r>
  <r>
    <s v="Below the Line"/>
    <x v="2"/>
    <s v="POST"/>
    <m/>
    <x v="601"/>
    <s v="Post"/>
    <m/>
    <n v="72000"/>
    <n v="0"/>
    <n v="72000"/>
    <n v="0"/>
    <n v="72000"/>
    <n v="72000"/>
    <n v="0"/>
  </r>
  <r>
    <s v="Below the Line"/>
    <x v="2"/>
    <s v=""/>
    <m/>
    <x v="602"/>
    <s v="Segundo Asistente Contable - Joseline Haro"/>
    <m/>
    <n v="0"/>
    <n v="0"/>
    <n v="0"/>
    <n v="0"/>
    <n v="0"/>
    <n v="0"/>
    <n v="0"/>
  </r>
  <r>
    <s v="Below the Line"/>
    <x v="2"/>
    <s v="SOFT"/>
    <m/>
    <x v="603"/>
    <s v="Soft"/>
    <m/>
    <n v="12500"/>
    <n v="0"/>
    <n v="12500"/>
    <n v="0"/>
    <n v="12500"/>
    <n v="12500"/>
    <n v="0"/>
  </r>
  <r>
    <s v="Below the Line"/>
    <x v="2"/>
    <s v="PREP"/>
    <m/>
    <x v="604"/>
    <s v="Prep"/>
    <m/>
    <n v="90000"/>
    <n v="0"/>
    <n v="90000"/>
    <n v="0"/>
    <n v="90000"/>
    <n v="90000"/>
    <n v="0"/>
  </r>
  <r>
    <s v="Below the Line"/>
    <x v="2"/>
    <s v="SHOOT"/>
    <m/>
    <x v="605"/>
    <s v="Shoot"/>
    <m/>
    <n v="70000"/>
    <n v="0"/>
    <n v="70000"/>
    <n v="0"/>
    <n v="70000"/>
    <n v="70000"/>
    <n v="0"/>
  </r>
  <r>
    <s v="Below the Line"/>
    <x v="2"/>
    <s v="WRAP"/>
    <m/>
    <x v="606"/>
    <s v="Wrap"/>
    <m/>
    <n v="40000"/>
    <n v="0"/>
    <n v="40000"/>
    <n v="0"/>
    <n v="40000"/>
    <n v="40000"/>
    <n v="0"/>
  </r>
  <r>
    <s v="Below the Line"/>
    <x v="2"/>
    <s v="POST"/>
    <m/>
    <x v="607"/>
    <s v="Post"/>
    <m/>
    <n v="60000"/>
    <n v="0"/>
    <n v="60000"/>
    <n v="0"/>
    <n v="60000"/>
    <n v="60000"/>
    <n v="0"/>
  </r>
  <r>
    <s v="Below the Line"/>
    <x v="2"/>
    <s v=""/>
    <m/>
    <x v="608"/>
    <s v="Trainee - Renata Ramirez"/>
    <m/>
    <n v="0"/>
    <n v="0"/>
    <n v="0"/>
    <n v="0"/>
    <n v="0"/>
    <n v="0"/>
    <n v="0"/>
  </r>
  <r>
    <s v="Below the Line"/>
    <x v="2"/>
    <s v="SOFT"/>
    <m/>
    <x v="609"/>
    <s v="Soft"/>
    <m/>
    <n v="18000"/>
    <n v="0"/>
    <n v="18000"/>
    <n v="0"/>
    <n v="18000"/>
    <n v="18000"/>
    <n v="0"/>
  </r>
  <r>
    <s v="Below the Line"/>
    <x v="2"/>
    <s v="PREP"/>
    <m/>
    <x v="610"/>
    <s v="Prep"/>
    <m/>
    <n v="49500"/>
    <n v="0"/>
    <n v="49500"/>
    <n v="0"/>
    <n v="49500"/>
    <n v="49500"/>
    <n v="0"/>
  </r>
  <r>
    <s v="Below the Line"/>
    <x v="2"/>
    <s v="SHOOT"/>
    <m/>
    <x v="611"/>
    <s v="Shoot"/>
    <m/>
    <n v="38500"/>
    <n v="0"/>
    <n v="38500"/>
    <n v="0"/>
    <n v="38500"/>
    <n v="38500"/>
    <n v="0"/>
  </r>
  <r>
    <s v="Below the Line"/>
    <x v="2"/>
    <s v="WRAP"/>
    <m/>
    <x v="612"/>
    <s v="Wrap"/>
    <m/>
    <n v="22000"/>
    <n v="0"/>
    <n v="22000"/>
    <n v="0"/>
    <n v="22000"/>
    <n v="22000"/>
    <n v="0"/>
  </r>
  <r>
    <s v="Below the Line"/>
    <x v="2"/>
    <s v="POST"/>
    <m/>
    <x v="613"/>
    <s v="Post"/>
    <m/>
    <n v="22000"/>
    <n v="0"/>
    <n v="22000"/>
    <n v="0"/>
    <n v="22000"/>
    <n v="22000"/>
    <n v="0"/>
  </r>
  <r>
    <s v="Below the Line"/>
    <x v="1"/>
    <m/>
    <m/>
    <x v="614"/>
    <s v="COORDINACION DE PRODUCCION"/>
    <m/>
    <n v="567000"/>
    <n v="0"/>
    <n v="567000"/>
    <n v="0"/>
    <n v="567000"/>
    <n v="491400"/>
    <n v="-75600"/>
  </r>
  <r>
    <s v="Below the Line"/>
    <x v="2"/>
    <s v=""/>
    <m/>
    <x v="615"/>
    <s v="Coordinador de Producción - Abril Zapata"/>
    <m/>
    <n v="0"/>
    <n v="0"/>
    <n v="0"/>
    <n v="0"/>
    <n v="0"/>
    <n v="0"/>
    <n v="0"/>
  </r>
  <r>
    <s v="Below the Line"/>
    <x v="2"/>
    <s v="SOFT"/>
    <m/>
    <x v="616"/>
    <s v="Soft"/>
    <m/>
    <n v="94500"/>
    <n v="0"/>
    <n v="94500"/>
    <n v="0"/>
    <n v="94500"/>
    <n v="94500"/>
    <n v="0"/>
  </r>
  <r>
    <s v="Below the Line"/>
    <x v="2"/>
    <s v="PREP"/>
    <m/>
    <x v="617"/>
    <s v="Prep"/>
    <m/>
    <n v="170100"/>
    <n v="0"/>
    <n v="170100"/>
    <n v="0"/>
    <n v="170100"/>
    <n v="170100"/>
    <n v="0"/>
  </r>
  <r>
    <s v="Below the Line"/>
    <x v="2"/>
    <s v="SHOOT"/>
    <m/>
    <x v="618"/>
    <s v="Shoot"/>
    <m/>
    <n v="132300"/>
    <n v="0"/>
    <n v="132300"/>
    <n v="0"/>
    <n v="132300"/>
    <n v="132300"/>
    <n v="0"/>
  </r>
  <r>
    <s v="Below the Line"/>
    <x v="2"/>
    <s v="WRAP"/>
    <m/>
    <x v="619"/>
    <s v="Wrap"/>
    <m/>
    <n v="170100"/>
    <n v="0"/>
    <n v="170100"/>
    <n v="0"/>
    <n v="170100"/>
    <n v="94500"/>
    <n v="-75600"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</r>
  <r>
    <s v="Below the Line"/>
    <x v="2"/>
    <s v=""/>
    <m/>
    <x v="621"/>
    <s v="APOC #1 - Diana Guerra"/>
    <m/>
    <n v="0"/>
    <n v="0"/>
    <n v="0"/>
    <n v="0"/>
    <n v="0"/>
    <n v="0"/>
    <n v="0"/>
  </r>
  <r>
    <s v="Below the Line"/>
    <x v="2"/>
    <s v="PREP"/>
    <m/>
    <x v="622"/>
    <s v="Prep"/>
    <m/>
    <n v="72000"/>
    <n v="0"/>
    <n v="72000"/>
    <n v="0"/>
    <n v="72000"/>
    <n v="81000"/>
    <n v="9000"/>
  </r>
  <r>
    <s v="Below the Line"/>
    <x v="2"/>
    <s v="SHOOT"/>
    <m/>
    <x v="623"/>
    <s v="Shoot"/>
    <m/>
    <n v="56000"/>
    <n v="0"/>
    <n v="56000"/>
    <n v="0"/>
    <n v="56000"/>
    <n v="63000"/>
    <n v="7000"/>
  </r>
  <r>
    <s v="Below the Line"/>
    <x v="2"/>
    <s v="WRAP"/>
    <m/>
    <x v="624"/>
    <s v="Wrap"/>
    <m/>
    <n v="48000"/>
    <n v="0"/>
    <n v="48000"/>
    <n v="0"/>
    <n v="48000"/>
    <n v="45000"/>
    <n v="-3000"/>
  </r>
  <r>
    <s v="Below the Line"/>
    <x v="2"/>
    <s v=""/>
    <m/>
    <x v="625"/>
    <s v="APOC #2 - Erica Calderón"/>
    <m/>
    <n v="0"/>
    <n v="0"/>
    <n v="0"/>
    <n v="0"/>
    <n v="0"/>
    <n v="0"/>
    <n v="0"/>
  </r>
  <r>
    <s v="Below the Line"/>
    <x v="2"/>
    <s v="PREP"/>
    <m/>
    <x v="626"/>
    <s v="Prep"/>
    <m/>
    <n v="63000"/>
    <n v="0"/>
    <n v="63000"/>
    <n v="0"/>
    <n v="63000"/>
    <n v="56000"/>
    <n v="-7000"/>
  </r>
  <r>
    <s v="Below the Line"/>
    <x v="2"/>
    <s v="SHOOT"/>
    <m/>
    <x v="627"/>
    <s v="Shoot"/>
    <m/>
    <n v="63000"/>
    <n v="0"/>
    <n v="63000"/>
    <n v="0"/>
    <n v="63000"/>
    <n v="56000"/>
    <n v="-7000"/>
  </r>
  <r>
    <s v="Below the Line"/>
    <x v="2"/>
    <s v="WRAP"/>
    <s v="NOM"/>
    <x v="628"/>
    <s v="Wrap"/>
    <m/>
    <n v="45000"/>
    <n v="0"/>
    <n v="45000"/>
    <n v="0"/>
    <n v="45000"/>
    <n v="32000"/>
    <n v="-13000"/>
  </r>
  <r>
    <s v="Below the Line"/>
    <x v="2"/>
    <s v=""/>
    <m/>
    <x v="629"/>
    <s v="Key APOC - TBD - Apoyo para cierre"/>
    <m/>
    <n v="0"/>
    <n v="0"/>
    <n v="0"/>
    <n v="0"/>
    <n v="0"/>
    <n v="0"/>
    <n v="0"/>
  </r>
  <r>
    <s v="Below the Line"/>
    <x v="2"/>
    <s v="SHOOT"/>
    <m/>
    <x v="630"/>
    <s v="Shoot"/>
    <m/>
    <n v="24000"/>
    <n v="0"/>
    <n v="24000"/>
    <n v="0"/>
    <n v="24000"/>
    <n v="32000"/>
    <n v="8000"/>
  </r>
  <r>
    <s v="Below the Line"/>
    <x v="2"/>
    <s v="WRAP"/>
    <m/>
    <x v="631"/>
    <s v="Wrap"/>
    <m/>
    <n v="72000"/>
    <n v="0"/>
    <n v="72000"/>
    <n v="0"/>
    <n v="72000"/>
    <n v="64000"/>
    <n v="-8000"/>
  </r>
  <r>
    <s v="Below the Line"/>
    <x v="1"/>
    <m/>
    <m/>
    <x v="632"/>
    <s v="GERENTE DE PRODUCCION"/>
    <m/>
    <n v="253500"/>
    <n v="0"/>
    <n v="253500"/>
    <n v="0"/>
    <n v="253500"/>
    <n v="237500"/>
    <n v="-16000"/>
  </r>
  <r>
    <s v="Below the Line"/>
    <x v="2"/>
    <s v=""/>
    <m/>
    <x v="633"/>
    <s v="Jefe de Unidad - Omar Rojas"/>
    <m/>
    <n v="0"/>
    <n v="0"/>
    <n v="0"/>
    <n v="0"/>
    <n v="0"/>
    <n v="0"/>
    <n v="0"/>
  </r>
  <r>
    <s v="Below the Line"/>
    <x v="2"/>
    <s v="PREP"/>
    <m/>
    <x v="634"/>
    <s v="Prep"/>
    <m/>
    <n v="75000"/>
    <n v="0"/>
    <n v="75000"/>
    <n v="0"/>
    <n v="75000"/>
    <n v="87500"/>
    <n v="12500"/>
  </r>
  <r>
    <s v="Below the Line"/>
    <x v="2"/>
    <s v="SHOOT"/>
    <m/>
    <x v="635"/>
    <s v="Shoot"/>
    <m/>
    <n v="87500"/>
    <n v="0"/>
    <n v="87500"/>
    <n v="0"/>
    <n v="87500"/>
    <n v="87500"/>
    <n v="0"/>
  </r>
  <r>
    <s v="Below the Line"/>
    <x v="2"/>
    <s v="WRAP"/>
    <s v="NOM"/>
    <x v="636"/>
    <s v="Wrap"/>
    <m/>
    <n v="41000"/>
    <n v="0"/>
    <n v="41000"/>
    <n v="0"/>
    <n v="41000"/>
    <n v="12500"/>
    <n v="-28500"/>
  </r>
  <r>
    <s v="Below the Line"/>
    <x v="2"/>
    <s v=""/>
    <m/>
    <x v="637"/>
    <s v="Jefe de Unidad Segunda Unidad - José Luis Cortés"/>
    <m/>
    <n v="0"/>
    <n v="0"/>
    <n v="0"/>
    <n v="0"/>
    <n v="0"/>
    <n v="0"/>
    <n v="0"/>
  </r>
  <r>
    <s v="Below the Line"/>
    <x v="2"/>
    <s v="2nd Unit"/>
    <m/>
    <x v="638"/>
    <s v="Prep"/>
    <m/>
    <n v="12500"/>
    <n v="0"/>
    <n v="12500"/>
    <n v="0"/>
    <n v="12500"/>
    <n v="12500"/>
    <n v="0"/>
  </r>
  <r>
    <s v="Below the Line"/>
    <x v="2"/>
    <s v="2nd Unit"/>
    <m/>
    <x v="639"/>
    <s v="Shoot"/>
    <m/>
    <n v="25000"/>
    <n v="0"/>
    <n v="25000"/>
    <n v="0"/>
    <n v="25000"/>
    <n v="25000"/>
    <n v="0"/>
  </r>
  <r>
    <s v="Below the Line"/>
    <x v="2"/>
    <s v="2nd Unit"/>
    <m/>
    <x v="640"/>
    <s v="Wrap"/>
    <m/>
    <n v="12500"/>
    <n v="0"/>
    <n v="12500"/>
    <n v="0"/>
    <n v="12500"/>
    <n v="12500"/>
    <n v="0"/>
  </r>
  <r>
    <s v="Below the Line"/>
    <x v="1"/>
    <m/>
    <m/>
    <x v="641"/>
    <s v="ASISTENTE PRODUCCION OFICINA"/>
    <m/>
    <n v="142600"/>
    <n v="0"/>
    <n v="142600"/>
    <n v="0"/>
    <n v="142600"/>
    <n v="119000"/>
    <n v="-23600"/>
  </r>
  <r>
    <s v="Below the Line"/>
    <x v="2"/>
    <s v=""/>
    <m/>
    <x v="642"/>
    <s v="Office PA #1 - Jodie Fierros"/>
    <m/>
    <n v="0"/>
    <n v="0"/>
    <n v="0"/>
    <n v="0"/>
    <n v="0"/>
    <n v="0"/>
    <n v="0"/>
  </r>
  <r>
    <s v="Below the Line"/>
    <x v="2"/>
    <s v="PREP"/>
    <m/>
    <x v="643"/>
    <s v="Prep"/>
    <m/>
    <n v="12400"/>
    <n v="0"/>
    <n v="12400"/>
    <n v="0"/>
    <n v="12400"/>
    <n v="12000"/>
    <n v="-400"/>
  </r>
  <r>
    <s v="Below the Line"/>
    <x v="2"/>
    <s v="SHOOT"/>
    <m/>
    <x v="644"/>
    <s v="Shoot"/>
    <m/>
    <n v="43400"/>
    <n v="0"/>
    <n v="43400"/>
    <n v="0"/>
    <n v="43400"/>
    <n v="42000"/>
    <n v="-1400"/>
  </r>
  <r>
    <s v="Below the Line"/>
    <x v="2"/>
    <s v="WRAP"/>
    <s v="NOM"/>
    <x v="645"/>
    <s v="Wrap"/>
    <m/>
    <n v="18600"/>
    <n v="0"/>
    <n v="18600"/>
    <n v="0"/>
    <n v="18600"/>
    <n v="6000"/>
    <n v="-12600"/>
  </r>
  <r>
    <s v="Below the Line"/>
    <x v="2"/>
    <s v=""/>
    <m/>
    <x v="646"/>
    <s v="Office PA #2 - Fernando Tornero"/>
    <m/>
    <n v="0"/>
    <n v="0"/>
    <n v="0"/>
    <n v="0"/>
    <n v="0"/>
    <n v="0"/>
    <n v="0"/>
  </r>
  <r>
    <s v="Below the Line"/>
    <x v="2"/>
    <s v="PREP"/>
    <m/>
    <x v="647"/>
    <s v="Prep"/>
    <m/>
    <n v="12400"/>
    <n v="0"/>
    <n v="12400"/>
    <n v="0"/>
    <n v="12400"/>
    <n v="11800"/>
    <n v="-600"/>
  </r>
  <r>
    <s v="Below the Line"/>
    <x v="2"/>
    <s v="SHOOT"/>
    <m/>
    <x v="648"/>
    <s v="Shoot"/>
    <m/>
    <n v="43400"/>
    <n v="0"/>
    <n v="43400"/>
    <n v="0"/>
    <n v="43400"/>
    <n v="41300"/>
    <n v="-2100"/>
  </r>
  <r>
    <s v="Below the Line"/>
    <x v="2"/>
    <s v="WRAP"/>
    <s v="NOM"/>
    <x v="649"/>
    <s v="Wrap"/>
    <m/>
    <n v="12400"/>
    <n v="0"/>
    <n v="12400"/>
    <n v="0"/>
    <n v="12400"/>
    <n v="5900"/>
    <n v="-6500"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</r>
  <r>
    <s v="Below the Line"/>
    <x v="2"/>
    <s v="PREP"/>
    <m/>
    <x v="652"/>
    <s v="Prep"/>
    <m/>
    <n v="113400"/>
    <n v="0"/>
    <n v="113400"/>
    <n v="0"/>
    <n v="113400"/>
    <n v="108000"/>
    <n v="-5400"/>
  </r>
  <r>
    <s v="Below the Line"/>
    <x v="2"/>
    <s v="SHOOT"/>
    <m/>
    <x v="653"/>
    <s v="Shoot"/>
    <m/>
    <n v="132300"/>
    <n v="0"/>
    <n v="132300"/>
    <n v="0"/>
    <n v="132300"/>
    <n v="126000"/>
    <n v="-6300"/>
  </r>
  <r>
    <s v="Below the Line"/>
    <x v="2"/>
    <s v="WRAP"/>
    <m/>
    <x v="654"/>
    <s v="Wrap"/>
    <m/>
    <n v="18900"/>
    <n v="0"/>
    <n v="18900"/>
    <n v="0"/>
    <n v="18900"/>
    <n v="18000"/>
    <n v="-900"/>
  </r>
  <r>
    <s v="Below the Line"/>
    <x v="2"/>
    <s v=""/>
    <m/>
    <x v="655"/>
    <s v="Key Set PA - Jaime Flores"/>
    <m/>
    <n v="0"/>
    <n v="0"/>
    <n v="0"/>
    <n v="0"/>
    <n v="0"/>
    <n v="0"/>
    <n v="0"/>
  </r>
  <r>
    <s v="Below the Line"/>
    <x v="2"/>
    <s v="PREP"/>
    <m/>
    <x v="656"/>
    <s v="Prep"/>
    <m/>
    <n v="36000"/>
    <n v="0"/>
    <n v="36000"/>
    <n v="0"/>
    <n v="36000"/>
    <n v="54000"/>
    <n v="18000"/>
  </r>
  <r>
    <s v="Below the Line"/>
    <x v="2"/>
    <s v="SHOOT"/>
    <m/>
    <x v="657"/>
    <s v="Shoot"/>
    <m/>
    <n v="63000"/>
    <n v="0"/>
    <n v="63000"/>
    <n v="0"/>
    <n v="63000"/>
    <n v="63000"/>
    <n v="0"/>
  </r>
  <r>
    <s v="Below the Line"/>
    <x v="2"/>
    <s v="WRAP"/>
    <s v="NOM"/>
    <x v="658"/>
    <s v="Wrap"/>
    <m/>
    <n v="27000"/>
    <n v="0"/>
    <n v="27000"/>
    <n v="0"/>
    <n v="27000"/>
    <n v="18000"/>
    <n v="-9000"/>
  </r>
  <r>
    <s v="Below the Line"/>
    <x v="2"/>
    <s v=""/>
    <m/>
    <x v="659"/>
    <s v="PA #1 - Santiago Lozano"/>
    <m/>
    <n v="0"/>
    <n v="0"/>
    <n v="0"/>
    <n v="0"/>
    <n v="0"/>
    <n v="0"/>
    <n v="0"/>
  </r>
  <r>
    <s v="Below the Line"/>
    <x v="2"/>
    <s v="PREP"/>
    <m/>
    <x v="660"/>
    <s v="Prep"/>
    <m/>
    <n v="14000"/>
    <n v="0"/>
    <n v="14000"/>
    <n v="0"/>
    <n v="14000"/>
    <n v="14000"/>
    <n v="0"/>
  </r>
  <r>
    <s v="Below the Line"/>
    <x v="2"/>
    <s v="SHOOT"/>
    <m/>
    <x v="661"/>
    <s v="Shoot"/>
    <m/>
    <n v="49000"/>
    <n v="0"/>
    <n v="49000"/>
    <n v="0"/>
    <n v="49000"/>
    <n v="49000"/>
    <n v="0"/>
  </r>
  <r>
    <s v="Below the Line"/>
    <x v="2"/>
    <s v="WRAP"/>
    <s v="NOM"/>
    <x v="662"/>
    <s v="Wrap"/>
    <m/>
    <n v="14000"/>
    <n v="0"/>
    <n v="14000"/>
    <n v="0"/>
    <n v="14000"/>
    <n v="7000"/>
    <n v="-7000"/>
  </r>
  <r>
    <s v="Below the Line"/>
    <x v="2"/>
    <s v=""/>
    <m/>
    <x v="663"/>
    <s v="PA #2 - Mario gerstein"/>
    <m/>
    <n v="0"/>
    <n v="0"/>
    <n v="0"/>
    <n v="0"/>
    <n v="0"/>
    <n v="0"/>
    <n v="0"/>
  </r>
  <r>
    <s v="Below the Line"/>
    <x v="2"/>
    <s v="PREP"/>
    <m/>
    <x v="664"/>
    <s v="Prep"/>
    <m/>
    <n v="16333"/>
    <n v="0"/>
    <n v="16333"/>
    <n v="0"/>
    <n v="16333"/>
    <n v="14000"/>
    <n v="-2333"/>
  </r>
  <r>
    <s v="Below the Line"/>
    <x v="2"/>
    <s v="SHOOT"/>
    <m/>
    <x v="665"/>
    <s v="Shoot"/>
    <m/>
    <n v="49000"/>
    <n v="0"/>
    <n v="49000"/>
    <n v="0"/>
    <n v="49000"/>
    <n v="49000"/>
    <n v="0"/>
  </r>
  <r>
    <s v="Below the Line"/>
    <x v="2"/>
    <s v="WRAP"/>
    <m/>
    <x v="666"/>
    <s v="Wrap"/>
    <m/>
    <n v="14000"/>
    <n v="0"/>
    <n v="14000"/>
    <n v="0"/>
    <n v="14000"/>
    <n v="7000"/>
    <n v="-7000"/>
  </r>
  <r>
    <s v="Below the Line"/>
    <x v="2"/>
    <s v=""/>
    <m/>
    <x v="667"/>
    <s v="PA #3 - Paulo Cebreros Guerrero"/>
    <m/>
    <n v="0"/>
    <n v="0"/>
    <n v="0"/>
    <n v="0"/>
    <n v="0"/>
    <n v="0"/>
    <n v="0"/>
  </r>
  <r>
    <s v="Below the Line"/>
    <x v="2"/>
    <s v="SHOOT"/>
    <s v="NOM"/>
    <x v="668"/>
    <s v="Shoot"/>
    <m/>
    <n v="98000"/>
    <n v="0"/>
    <n v="98000"/>
    <n v="0"/>
    <n v="98000"/>
    <n v="49000"/>
    <n v="-49000"/>
  </r>
  <r>
    <s v="Below the Line"/>
    <x v="2"/>
    <s v=""/>
    <m/>
    <x v="669"/>
    <s v="PA Segunda Unidad #1 - TBD"/>
    <m/>
    <n v="0"/>
    <n v="0"/>
    <n v="0"/>
    <n v="0"/>
    <n v="0"/>
    <n v="0"/>
    <n v="0"/>
  </r>
  <r>
    <s v="Below the Line"/>
    <x v="2"/>
    <s v="2nd Unit"/>
    <m/>
    <x v="670"/>
    <s v="Prep"/>
    <m/>
    <n v="3500"/>
    <n v="0"/>
    <n v="3500"/>
    <n v="0"/>
    <n v="3500"/>
    <n v="7000"/>
    <n v="3500"/>
  </r>
  <r>
    <s v="Below the Line"/>
    <x v="2"/>
    <s v="2nd Unit"/>
    <m/>
    <x v="671"/>
    <s v="Shoot"/>
    <m/>
    <n v="14000"/>
    <n v="0"/>
    <n v="14000"/>
    <n v="0"/>
    <n v="14000"/>
    <n v="14000"/>
    <n v="0"/>
  </r>
  <r>
    <s v="Below the Line"/>
    <x v="2"/>
    <s v="2nd Unit"/>
    <m/>
    <x v="672"/>
    <s v="Wrap"/>
    <m/>
    <n v="3500"/>
    <n v="0"/>
    <n v="3500"/>
    <n v="0"/>
    <n v="3500"/>
    <n v="0"/>
    <n v="-3500"/>
  </r>
  <r>
    <s v="Below the Line"/>
    <x v="2"/>
    <s v=""/>
    <m/>
    <x v="673"/>
    <s v="PA Segunda Unidad #2 - TBD"/>
    <m/>
    <n v="0"/>
    <n v="0"/>
    <n v="0"/>
    <n v="0"/>
    <n v="0"/>
    <n v="0"/>
    <n v="0"/>
  </r>
  <r>
    <s v="Below the Line"/>
    <x v="2"/>
    <s v="2nd Unit"/>
    <m/>
    <x v="674"/>
    <s v="Prep"/>
    <m/>
    <n v="0"/>
    <n v="0"/>
    <n v="0"/>
    <n v="0"/>
    <n v="0"/>
    <n v="0"/>
    <n v="0"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</r>
  <r>
    <s v="Below the Line"/>
    <x v="2"/>
    <s v="2nd Unit"/>
    <m/>
    <x v="676"/>
    <s v="Wrap"/>
    <m/>
    <n v="0"/>
    <n v="0"/>
    <n v="0"/>
    <n v="0"/>
    <n v="0"/>
    <n v="0"/>
    <n v="0"/>
  </r>
  <r>
    <s v="Below the Line"/>
    <x v="2"/>
    <s v=""/>
    <m/>
    <x v="677"/>
    <s v="PA Segunda Unidad #3 - TBD"/>
    <m/>
    <n v="0"/>
    <n v="0"/>
    <n v="0"/>
    <n v="0"/>
    <n v="0"/>
    <n v="0"/>
    <n v="0"/>
  </r>
  <r>
    <s v="Below the Line"/>
    <x v="2"/>
    <s v="2nd Unit"/>
    <m/>
    <x v="678"/>
    <s v="Prep"/>
    <m/>
    <n v="0"/>
    <n v="0"/>
    <n v="0"/>
    <n v="0"/>
    <n v="0"/>
    <n v="0"/>
    <n v="0"/>
  </r>
  <r>
    <s v="Below the Line"/>
    <x v="2"/>
    <s v="2nd Unit"/>
    <m/>
    <x v="679"/>
    <s v="Shoot"/>
    <m/>
    <n v="8000"/>
    <n v="0"/>
    <n v="8000"/>
    <n v="0"/>
    <n v="8000"/>
    <n v="8000"/>
    <n v="0"/>
  </r>
  <r>
    <s v="Below the Line"/>
    <x v="2"/>
    <s v="2nd Unit"/>
    <m/>
    <x v="680"/>
    <s v="Wrap"/>
    <m/>
    <n v="0"/>
    <n v="0"/>
    <n v="0"/>
    <n v="0"/>
    <n v="0"/>
    <n v="0"/>
    <n v="0"/>
  </r>
  <r>
    <s v="Below the Line"/>
    <x v="2"/>
    <s v="2nd Unit"/>
    <s v="NOM"/>
    <x v="681"/>
    <s v="Apoyos PA"/>
    <m/>
    <n v="8000"/>
    <n v="0"/>
    <n v="8000"/>
    <n v="0"/>
    <n v="8000"/>
    <n v="0"/>
    <n v="-8000"/>
  </r>
  <r>
    <s v="Below the Line"/>
    <x v="1"/>
    <m/>
    <m/>
    <x v="682"/>
    <s v="RRHH DE PRODUCCION"/>
    <m/>
    <n v="335700"/>
    <n v="0"/>
    <n v="335700"/>
    <n v="0"/>
    <n v="335700"/>
    <n v="307700"/>
    <n v="-28000"/>
  </r>
  <r>
    <s v="Below the Line"/>
    <x v="2"/>
    <s v=""/>
    <m/>
    <x v="683"/>
    <s v="Implant RH producción - Elizabeth Aguirre"/>
    <m/>
    <n v="0"/>
    <n v="0"/>
    <n v="0"/>
    <n v="0"/>
    <n v="0"/>
    <n v="0"/>
    <n v="0"/>
  </r>
  <r>
    <s v="Below the Line"/>
    <x v="2"/>
    <s v="PREP"/>
    <m/>
    <x v="684"/>
    <s v="Pre"/>
    <m/>
    <n v="16000"/>
    <n v="0"/>
    <n v="16000"/>
    <n v="0"/>
    <n v="16000"/>
    <n v="16000"/>
    <n v="0"/>
  </r>
  <r>
    <s v="Below the Line"/>
    <x v="2"/>
    <s v="SHOOT"/>
    <m/>
    <x v="685"/>
    <s v="Shoot"/>
    <m/>
    <n v="92000"/>
    <n v="0"/>
    <n v="92000"/>
    <n v="0"/>
    <n v="92000"/>
    <n v="56000"/>
    <n v="-36000"/>
  </r>
  <r>
    <s v="Below the Line"/>
    <x v="2"/>
    <s v="WRAP"/>
    <m/>
    <x v="686"/>
    <s v="Wrap"/>
    <m/>
    <n v="0"/>
    <n v="0"/>
    <n v="0"/>
    <n v="0"/>
    <n v="0"/>
    <n v="8000"/>
    <n v="8000"/>
  </r>
  <r>
    <s v="Below the Line"/>
    <x v="2"/>
    <s v=""/>
    <m/>
    <x v="687"/>
    <s v="Boston Group - Programa anti violencia laboral"/>
    <m/>
    <n v="0"/>
    <n v="0"/>
    <n v="0"/>
    <n v="0"/>
    <n v="0"/>
    <n v="0"/>
    <n v="0"/>
  </r>
  <r>
    <s v="Below the Line"/>
    <x v="2"/>
    <s v="PREP"/>
    <m/>
    <x v="688"/>
    <s v="Prep"/>
    <m/>
    <n v="50600"/>
    <n v="0"/>
    <n v="50600"/>
    <n v="0"/>
    <n v="50600"/>
    <n v="50600"/>
    <n v="0"/>
  </r>
  <r>
    <s v="Below the Line"/>
    <x v="2"/>
    <s v="SHOOT"/>
    <m/>
    <x v="689"/>
    <s v="Shoot"/>
    <m/>
    <n v="177100"/>
    <n v="0"/>
    <n v="177100"/>
    <n v="0"/>
    <n v="177100"/>
    <n v="177100"/>
    <n v="0"/>
  </r>
  <r>
    <s v="Below the Line"/>
    <x v="2"/>
    <s v="WRAP"/>
    <m/>
    <x v="690"/>
    <s v="Wrap"/>
    <m/>
    <n v="0"/>
    <n v="0"/>
    <n v="0"/>
    <n v="0"/>
    <n v="0"/>
    <n v="0"/>
    <n v="0"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</r>
  <r>
    <s v="Below the Line"/>
    <x v="2"/>
    <s v=""/>
    <m/>
    <x v="692"/>
    <s v="Comidas en oficina y Per diems"/>
    <m/>
    <n v="0"/>
    <n v="0"/>
    <n v="0"/>
    <n v="0"/>
    <n v="0"/>
    <n v="0"/>
    <n v="0"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</r>
  <r>
    <s v="Below the Line"/>
    <x v="1"/>
    <m/>
    <m/>
    <x v="694"/>
    <s v="COORDINACION DE VIAJES"/>
    <m/>
    <n v="148500"/>
    <n v="0"/>
    <n v="148500"/>
    <n v="0"/>
    <n v="148500"/>
    <n v="148000"/>
    <n v="-500"/>
  </r>
  <r>
    <s v="Below the Line"/>
    <x v="2"/>
    <s v=""/>
    <m/>
    <x v="695"/>
    <s v="Travel Coordinator - Mercedes Alburne"/>
    <m/>
    <n v="0"/>
    <n v="0"/>
    <n v="0"/>
    <n v="0"/>
    <n v="0"/>
    <n v="0"/>
    <n v="0"/>
  </r>
  <r>
    <s v="Below the Line"/>
    <x v="2"/>
    <s v="PREP"/>
    <m/>
    <x v="696"/>
    <s v="Prep"/>
    <m/>
    <n v="24000"/>
    <n v="0"/>
    <n v="24000"/>
    <n v="0"/>
    <n v="24000"/>
    <n v="24000"/>
    <n v="0"/>
  </r>
  <r>
    <s v="Below the Line"/>
    <x v="2"/>
    <s v="SHOOT"/>
    <m/>
    <x v="697"/>
    <s v="Shoot"/>
    <m/>
    <n v="56000"/>
    <n v="0"/>
    <n v="56000"/>
    <n v="0"/>
    <n v="56000"/>
    <n v="56000"/>
    <n v="0"/>
  </r>
  <r>
    <s v="Below the Line"/>
    <x v="2"/>
    <s v="WRAP"/>
    <s v="NOM"/>
    <x v="698"/>
    <s v="Wrap"/>
    <m/>
    <n v="16000"/>
    <n v="0"/>
    <n v="16000"/>
    <n v="0"/>
    <n v="16000"/>
    <n v="8000"/>
    <n v="-8000"/>
  </r>
  <r>
    <s v="Below the Line"/>
    <x v="2"/>
    <s v=""/>
    <m/>
    <x v="699"/>
    <s v="Hospitality Manager -TBD"/>
    <m/>
    <n v="0"/>
    <n v="0"/>
    <n v="0"/>
    <n v="0"/>
    <n v="0"/>
    <n v="0"/>
    <n v="0"/>
  </r>
  <r>
    <s v="Below the Line"/>
    <x v="2"/>
    <s v="SHOOT"/>
    <m/>
    <x v="700"/>
    <s v="Shoot"/>
    <m/>
    <n v="52500"/>
    <n v="0"/>
    <n v="52500"/>
    <n v="0"/>
    <n v="52500"/>
    <n v="52500"/>
    <n v="0"/>
  </r>
  <r>
    <s v="Below the Line"/>
    <x v="2"/>
    <s v="WRAP"/>
    <m/>
    <x v="701"/>
    <s v="Wrap"/>
    <m/>
    <n v="0"/>
    <n v="0"/>
    <n v="0"/>
    <n v="0"/>
    <n v="0"/>
    <n v="7500"/>
    <n v="7500"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</r>
  <r>
    <s v="Below the Line"/>
    <x v="2"/>
    <s v=""/>
    <m/>
    <x v="703"/>
    <s v="Expendables"/>
    <m/>
    <n v="0"/>
    <n v="0"/>
    <n v="0"/>
    <n v="0"/>
    <n v="0"/>
    <n v="0"/>
    <n v="0"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</r>
  <r>
    <s v="Below the Line"/>
    <x v="0"/>
    <m/>
    <m/>
    <x v="705"/>
    <s v="EXTRAS"/>
    <m/>
    <n v="2041865.6"/>
    <n v="0"/>
    <n v="2041865.6"/>
    <n v="0"/>
    <n v="2041865.6"/>
    <n v="1614000"/>
    <n v="-427865.60000000009"/>
  </r>
  <r>
    <s v="Below the Line"/>
    <x v="1"/>
    <m/>
    <m/>
    <x v="706"/>
    <s v="EXTRAS"/>
    <m/>
    <n v="2041865.6"/>
    <n v="0"/>
    <n v="2041865.6"/>
    <n v="0"/>
    <n v="2041865.6"/>
    <n v="1322000"/>
    <n v="-719865.60000000009"/>
  </r>
  <r>
    <s v="Below the Line"/>
    <x v="2"/>
    <s v=""/>
    <m/>
    <x v="707"/>
    <s v="EXTRAS"/>
    <m/>
    <n v="0"/>
    <n v="0"/>
    <n v="0"/>
    <n v="0"/>
    <n v="0"/>
    <n v="0"/>
    <n v="0"/>
  </r>
  <r>
    <s v="Below the Line"/>
    <x v="2"/>
    <s v=""/>
    <m/>
    <x v="708"/>
    <s v="Gran Casting 27/02/24"/>
    <m/>
    <n v="0"/>
    <n v="0"/>
    <n v="0"/>
    <n v="0"/>
    <n v="0"/>
    <n v="0"/>
    <n v="0"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</r>
  <r>
    <s v="Below the Line"/>
    <x v="2"/>
    <s v="SHOOT"/>
    <m/>
    <x v="710"/>
    <s v="Glorificados"/>
    <m/>
    <n v="0"/>
    <n v="0"/>
    <n v="0"/>
    <n v="0"/>
    <n v="0"/>
    <n v="72000"/>
    <n v="72000"/>
  </r>
  <r>
    <s v="Below the Line"/>
    <x v="1"/>
    <m/>
    <m/>
    <x v="711"/>
    <s v="FEE AGENCIA DE EXTRAS"/>
    <m/>
    <n v="0"/>
    <n v="0"/>
    <n v="0"/>
    <n v="0"/>
    <n v="0"/>
    <n v="292000"/>
    <n v="292000"/>
  </r>
  <r>
    <s v="Below the Line"/>
    <x v="2"/>
    <s v=""/>
    <m/>
    <x v="712"/>
    <s v="Director Casting Extras - Diego Garcia"/>
    <m/>
    <n v="0"/>
    <n v="0"/>
    <n v="0"/>
    <n v="0"/>
    <n v="0"/>
    <n v="0"/>
    <n v="0"/>
  </r>
  <r>
    <s v="Below the Line"/>
    <x v="2"/>
    <s v="PREP"/>
    <m/>
    <x v="713"/>
    <s v="Prep"/>
    <m/>
    <n v="0"/>
    <n v="0"/>
    <n v="0"/>
    <n v="0"/>
    <n v="0"/>
    <n v="20000"/>
    <n v="20000"/>
  </r>
  <r>
    <s v="Below the Line"/>
    <x v="2"/>
    <s v="SHOOT"/>
    <m/>
    <x v="714"/>
    <s v="Shoot"/>
    <m/>
    <n v="0"/>
    <n v="0"/>
    <n v="0"/>
    <n v="0"/>
    <n v="0"/>
    <n v="140000"/>
    <n v="140000"/>
  </r>
  <r>
    <s v="Below the Line"/>
    <x v="2"/>
    <s v=""/>
    <m/>
    <x v="715"/>
    <s v="Coordinador para extras"/>
    <m/>
    <n v="0"/>
    <n v="0"/>
    <n v="0"/>
    <n v="0"/>
    <n v="0"/>
    <n v="0"/>
    <n v="0"/>
  </r>
  <r>
    <s v="Below the Line"/>
    <x v="2"/>
    <s v="SHOOT"/>
    <m/>
    <x v="716"/>
    <s v="Shoot"/>
    <m/>
    <n v="0"/>
    <n v="0"/>
    <n v="0"/>
    <n v="0"/>
    <n v="0"/>
    <n v="105000"/>
    <n v="105000"/>
  </r>
  <r>
    <s v="Below the Line"/>
    <x v="2"/>
    <s v=""/>
    <m/>
    <x v="717"/>
    <s v="Servicio de Casting extras talento especial"/>
    <m/>
    <n v="0"/>
    <n v="0"/>
    <n v="0"/>
    <n v="0"/>
    <n v="0"/>
    <n v="0"/>
    <n v="0"/>
  </r>
  <r>
    <s v="Below the Line"/>
    <x v="2"/>
    <s v="SHOOT"/>
    <m/>
    <x v="718"/>
    <s v="Shoot"/>
    <m/>
    <n v="0"/>
    <n v="0"/>
    <n v="0"/>
    <n v="0"/>
    <n v="0"/>
    <n v="27000"/>
    <n v="27000"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</r>
  <r>
    <s v="Below the Line"/>
    <x v="1"/>
    <m/>
    <m/>
    <x v="720"/>
    <s v="DISEÑADOR DE PRODUCCION"/>
    <m/>
    <n v="598290"/>
    <n v="0"/>
    <n v="598290"/>
    <n v="0"/>
    <n v="598290"/>
    <n v="598290"/>
    <n v="0"/>
  </r>
  <r>
    <s v="Below the Line"/>
    <x v="2"/>
    <s v=""/>
    <m/>
    <x v="721"/>
    <s v="Diseñador de Producción - Sofía Gallastegui"/>
    <m/>
    <n v="0"/>
    <n v="0"/>
    <n v="0"/>
    <n v="0"/>
    <n v="0"/>
    <n v="0"/>
    <n v="0"/>
  </r>
  <r>
    <s v="Below the Line"/>
    <x v="2"/>
    <s v="SOFT"/>
    <m/>
    <x v="722"/>
    <s v="Soft"/>
    <m/>
    <n v="16170"/>
    <n v="0"/>
    <n v="16170"/>
    <n v="0"/>
    <n v="16170"/>
    <n v="16170"/>
    <n v="0"/>
  </r>
  <r>
    <s v="Below the Line"/>
    <x v="2"/>
    <s v="PREP"/>
    <m/>
    <x v="723"/>
    <s v="Prep"/>
    <m/>
    <n v="291060"/>
    <n v="0"/>
    <n v="291060"/>
    <n v="0"/>
    <n v="291060"/>
    <n v="291060"/>
    <n v="0"/>
  </r>
  <r>
    <s v="Below the Line"/>
    <x v="2"/>
    <s v="SHOOT"/>
    <m/>
    <x v="724"/>
    <s v="Shoot"/>
    <m/>
    <n v="226380"/>
    <n v="0"/>
    <n v="226380"/>
    <n v="0"/>
    <n v="226380"/>
    <n v="226380"/>
    <n v="0"/>
  </r>
  <r>
    <s v="Below the Line"/>
    <x v="2"/>
    <s v="WRAP"/>
    <m/>
    <x v="725"/>
    <s v="Wrap"/>
    <m/>
    <n v="64680"/>
    <n v="0"/>
    <n v="64680"/>
    <n v="0"/>
    <n v="64680"/>
    <n v="64680"/>
    <n v="0"/>
  </r>
  <r>
    <s v="Below the Line"/>
    <x v="1"/>
    <m/>
    <m/>
    <x v="726"/>
    <s v="DIRECCION DE ARTE"/>
    <m/>
    <n v="387450"/>
    <n v="0"/>
    <n v="387450"/>
    <n v="0"/>
    <n v="387450"/>
    <n v="387450"/>
    <n v="0"/>
  </r>
  <r>
    <s v="Below the Line"/>
    <x v="2"/>
    <s v=""/>
    <m/>
    <x v="727"/>
    <s v="Director de Arte - Arturo Schondube"/>
    <m/>
    <n v="0"/>
    <n v="0"/>
    <n v="0"/>
    <n v="0"/>
    <n v="0"/>
    <n v="0"/>
    <n v="0"/>
  </r>
  <r>
    <s v="Below the Line"/>
    <x v="2"/>
    <s v="PREP"/>
    <m/>
    <x v="728"/>
    <s v="Prep"/>
    <m/>
    <n v="193725"/>
    <n v="0"/>
    <n v="193725"/>
    <n v="0"/>
    <n v="193725"/>
    <n v="193725"/>
    <n v="0"/>
  </r>
  <r>
    <s v="Below the Line"/>
    <x v="2"/>
    <s v="SHOOT"/>
    <m/>
    <x v="729"/>
    <s v="Shoot"/>
    <m/>
    <n v="150675"/>
    <n v="0"/>
    <n v="150675"/>
    <n v="0"/>
    <n v="150675"/>
    <n v="150675"/>
    <n v="0"/>
  </r>
  <r>
    <s v="Below the Line"/>
    <x v="2"/>
    <s v="WRAP"/>
    <m/>
    <x v="730"/>
    <s v="Wrap"/>
    <m/>
    <n v="43050"/>
    <n v="0"/>
    <n v="43050"/>
    <n v="0"/>
    <n v="43050"/>
    <n v="43050"/>
    <n v="0"/>
  </r>
  <r>
    <s v="Below the Line"/>
    <x v="1"/>
    <m/>
    <m/>
    <x v="731"/>
    <s v="ASISTENTE DIRECTOR ARTE"/>
    <m/>
    <n v="151200"/>
    <n v="0"/>
    <n v="151200"/>
    <n v="0"/>
    <n v="151200"/>
    <n v="151200"/>
    <n v="0"/>
  </r>
  <r>
    <s v="Below the Line"/>
    <x v="2"/>
    <s v=""/>
    <m/>
    <x v="732"/>
    <s v="Asistente #1 de Director arte - Daniel Schondube"/>
    <m/>
    <n v="0"/>
    <n v="0"/>
    <n v="0"/>
    <n v="0"/>
    <n v="0"/>
    <n v="0"/>
    <n v="0"/>
  </r>
  <r>
    <s v="Below the Line"/>
    <x v="2"/>
    <s v="PREP"/>
    <m/>
    <x v="733"/>
    <s v="Prep"/>
    <m/>
    <n v="50400"/>
    <n v="0"/>
    <n v="50400"/>
    <n v="0"/>
    <n v="50400"/>
    <n v="50400"/>
    <n v="0"/>
  </r>
  <r>
    <s v="Below the Line"/>
    <x v="2"/>
    <s v="SHOOT"/>
    <m/>
    <x v="734"/>
    <s v="Shoot"/>
    <m/>
    <n v="88200"/>
    <n v="0"/>
    <n v="88200"/>
    <n v="0"/>
    <n v="88200"/>
    <n v="88200"/>
    <n v="0"/>
  </r>
  <r>
    <s v="Below the Line"/>
    <x v="2"/>
    <s v="WRAP"/>
    <m/>
    <x v="735"/>
    <s v="Wrap"/>
    <m/>
    <n v="12600"/>
    <n v="0"/>
    <n v="12600"/>
    <n v="0"/>
    <n v="12600"/>
    <n v="12600"/>
    <n v="0"/>
  </r>
  <r>
    <s v="Below the Line"/>
    <x v="1"/>
    <m/>
    <m/>
    <x v="736"/>
    <s v="COORDINADOR DE ARTE"/>
    <m/>
    <n v="511630"/>
    <n v="0"/>
    <n v="511630"/>
    <n v="0"/>
    <n v="511630"/>
    <n v="490000"/>
    <n v="-21630"/>
  </r>
  <r>
    <s v="Below the Line"/>
    <x v="2"/>
    <s v=""/>
    <m/>
    <x v="737"/>
    <s v="Coordinador de Arte - Paulina Gutiérrez"/>
    <m/>
    <n v="0"/>
    <n v="0"/>
    <n v="0"/>
    <n v="0"/>
    <n v="0"/>
    <n v="0"/>
    <n v="0"/>
  </r>
  <r>
    <s v="Below the Line"/>
    <x v="2"/>
    <s v="PREP"/>
    <m/>
    <x v="738"/>
    <s v="Prep"/>
    <m/>
    <n v="141750"/>
    <n v="0"/>
    <n v="141750"/>
    <n v="0"/>
    <n v="141750"/>
    <n v="141750"/>
    <n v="0"/>
  </r>
  <r>
    <s v="Below the Line"/>
    <x v="2"/>
    <s v="SHOOT"/>
    <m/>
    <x v="739"/>
    <s v="Shoot"/>
    <m/>
    <n v="110250"/>
    <n v="0"/>
    <n v="110250"/>
    <n v="0"/>
    <n v="110250"/>
    <n v="110250"/>
    <n v="0"/>
  </r>
  <r>
    <s v="Below the Line"/>
    <x v="2"/>
    <s v="WRAP"/>
    <m/>
    <x v="740"/>
    <s v="Wrap"/>
    <m/>
    <n v="47250"/>
    <n v="0"/>
    <n v="47250"/>
    <n v="0"/>
    <n v="47250"/>
    <n v="31500"/>
    <n v="-15750"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</r>
  <r>
    <s v="Below the Line"/>
    <x v="2"/>
    <s v="PREP"/>
    <m/>
    <x v="742"/>
    <s v="Prep"/>
    <m/>
    <n v="38500"/>
    <n v="0"/>
    <n v="38500"/>
    <n v="0"/>
    <n v="38500"/>
    <n v="28000"/>
    <n v="-10500"/>
  </r>
  <r>
    <s v="Below the Line"/>
    <x v="2"/>
    <s v="SHOOT"/>
    <m/>
    <x v="743"/>
    <s v="Shoot"/>
    <m/>
    <n v="53900"/>
    <n v="0"/>
    <n v="53900"/>
    <n v="0"/>
    <n v="53900"/>
    <n v="49000"/>
    <n v="-4900"/>
  </r>
  <r>
    <s v="Below the Line"/>
    <x v="2"/>
    <s v="WRAP"/>
    <m/>
    <x v="744"/>
    <s v="Wrap"/>
    <m/>
    <n v="23100"/>
    <n v="0"/>
    <n v="23100"/>
    <n v="0"/>
    <n v="23100"/>
    <n v="14000"/>
    <n v="-9100"/>
  </r>
  <r>
    <s v="Below the Line"/>
    <x v="2"/>
    <s v=""/>
    <m/>
    <x v="745"/>
    <s v="Asistente contable de coordinadora de Arte - Mayra"/>
    <m/>
    <n v="0"/>
    <n v="0"/>
    <n v="0"/>
    <n v="0"/>
    <n v="0"/>
    <n v="0"/>
    <n v="0"/>
  </r>
  <r>
    <s v="Below the Line"/>
    <x v="2"/>
    <s v="PREP"/>
    <m/>
    <x v="746"/>
    <s v="Prep"/>
    <m/>
    <n v="28000"/>
    <n v="0"/>
    <n v="28000"/>
    <n v="0"/>
    <n v="28000"/>
    <n v="38500"/>
    <n v="10500"/>
  </r>
  <r>
    <s v="Below the Line"/>
    <x v="2"/>
    <s v="SHOOT"/>
    <m/>
    <x v="747"/>
    <s v="Shoot"/>
    <m/>
    <n v="49000"/>
    <n v="0"/>
    <n v="49000"/>
    <n v="0"/>
    <n v="49000"/>
    <n v="53900"/>
    <n v="4900"/>
  </r>
  <r>
    <s v="Below the Line"/>
    <x v="2"/>
    <s v="WRAP"/>
    <s v="NOM"/>
    <x v="748"/>
    <s v="Wrap"/>
    <m/>
    <n v="19880"/>
    <n v="0"/>
    <n v="19880"/>
    <n v="0"/>
    <n v="19880"/>
    <n v="23100"/>
    <n v="3220"/>
  </r>
  <r>
    <s v="Below the Line"/>
    <x v="1"/>
    <m/>
    <m/>
    <x v="749"/>
    <s v="DISEÑADOR GRAFICO"/>
    <m/>
    <n v="180400"/>
    <n v="0"/>
    <n v="180400"/>
    <n v="0"/>
    <n v="180400"/>
    <n v="163800"/>
    <n v="-16600"/>
  </r>
  <r>
    <s v="Below the Line"/>
    <x v="2"/>
    <s v=""/>
    <m/>
    <x v="750"/>
    <s v="Diseñador Gráfico - Gabriela Mariana Sandoval"/>
    <m/>
    <n v="0"/>
    <n v="0"/>
    <n v="0"/>
    <n v="0"/>
    <n v="0"/>
    <n v="0"/>
    <n v="0"/>
  </r>
  <r>
    <s v="Below the Line"/>
    <x v="2"/>
    <s v="PREP"/>
    <m/>
    <x v="751"/>
    <s v="Prep"/>
    <m/>
    <n v="75600"/>
    <n v="0"/>
    <n v="75600"/>
    <n v="0"/>
    <n v="75600"/>
    <n v="75600"/>
    <n v="0"/>
  </r>
  <r>
    <s v="Below the Line"/>
    <x v="2"/>
    <s v="SHOOT"/>
    <m/>
    <x v="752"/>
    <s v="Shoot"/>
    <m/>
    <n v="104800"/>
    <n v="0"/>
    <n v="104800"/>
    <n v="0"/>
    <n v="104800"/>
    <n v="88200"/>
    <n v="-16600"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</r>
  <r>
    <s v="Below the Line"/>
    <x v="2"/>
    <s v=""/>
    <m/>
    <x v="754"/>
    <s v="Miscellaneous Arte"/>
    <m/>
    <n v="0"/>
    <n v="0"/>
    <n v="0"/>
    <n v="0"/>
    <n v="0"/>
    <n v="0"/>
    <n v="0"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</r>
  <r>
    <s v="Below the Line"/>
    <x v="1"/>
    <m/>
    <m/>
    <x v="757"/>
    <s v="PERSONAL CONSTRUCCION"/>
    <m/>
    <n v="129150"/>
    <n v="0"/>
    <n v="129150"/>
    <n v="0"/>
    <n v="129150"/>
    <n v="116550"/>
    <n v="-12600"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</r>
  <r>
    <s v="Below the Line"/>
    <x v="2"/>
    <s v="PREP"/>
    <m/>
    <x v="759"/>
    <s v="Prep"/>
    <m/>
    <n v="14700"/>
    <n v="0"/>
    <n v="14700"/>
    <n v="0"/>
    <n v="14700"/>
    <n v="14700"/>
    <n v="0"/>
  </r>
  <r>
    <s v="Below the Line"/>
    <x v="2"/>
    <s v="SHOOT"/>
    <m/>
    <x v="760"/>
    <s v="Shoot"/>
    <m/>
    <n v="50400"/>
    <n v="0"/>
    <n v="50400"/>
    <n v="0"/>
    <n v="50400"/>
    <n v="51450"/>
    <n v="1050"/>
  </r>
  <r>
    <s v="Below the Line"/>
    <x v="2"/>
    <s v="WRAP"/>
    <m/>
    <x v="761"/>
    <s v="Wrap"/>
    <m/>
    <n v="7350"/>
    <n v="0"/>
    <n v="7350"/>
    <n v="0"/>
    <n v="7350"/>
    <n v="0"/>
    <n v="-7350"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</r>
  <r>
    <s v="Below the Line"/>
    <x v="2"/>
    <s v="PREP"/>
    <m/>
    <x v="763"/>
    <s v="Prep"/>
    <m/>
    <n v="6300"/>
    <n v="0"/>
    <n v="6300"/>
    <n v="0"/>
    <n v="6300"/>
    <n v="6300"/>
    <n v="0"/>
  </r>
  <r>
    <s v="Below the Line"/>
    <x v="2"/>
    <s v="SHOOT"/>
    <m/>
    <x v="764"/>
    <s v="Shoot"/>
    <m/>
    <n v="44100"/>
    <n v="0"/>
    <n v="44100"/>
    <n v="0"/>
    <n v="44100"/>
    <n v="44100"/>
    <n v="0"/>
  </r>
  <r>
    <s v="Below the Line"/>
    <x v="2"/>
    <s v="WRAP"/>
    <m/>
    <x v="765"/>
    <s v="Wrap"/>
    <m/>
    <n v="6300"/>
    <n v="0"/>
    <n v="6300"/>
    <n v="0"/>
    <n v="6300"/>
    <n v="0"/>
    <n v="-6300"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</r>
  <r>
    <s v="Below the Line"/>
    <x v="2"/>
    <s v=""/>
    <m/>
    <x v="767"/>
    <s v="Materiales"/>
    <m/>
    <n v="0"/>
    <n v="0"/>
    <n v="0"/>
    <n v="0"/>
    <n v="0"/>
    <n v="0"/>
    <n v="0"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</r>
  <r>
    <s v="Below the Line"/>
    <x v="2"/>
    <s v="ALL SHOW"/>
    <s v="ARTE"/>
    <x v="769"/>
    <s v="Andamiaje"/>
    <m/>
    <n v="1130"/>
    <n v="0"/>
    <n v="1130"/>
    <n v="0"/>
    <n v="1130"/>
    <n v="5000"/>
    <n v="3870"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</r>
  <r>
    <s v="Below the Line"/>
    <x v="2"/>
    <s v=""/>
    <m/>
    <x v="772"/>
    <s v="Expendables de construcción"/>
    <m/>
    <n v="0"/>
    <n v="0"/>
    <n v="0"/>
    <n v="0"/>
    <n v="0"/>
    <n v="0"/>
    <n v="0"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</r>
  <r>
    <s v="Below the Line"/>
    <x v="1"/>
    <m/>
    <m/>
    <x v="774"/>
    <s v="BOX RENTAL CONSTRUCCION"/>
    <m/>
    <n v="62840"/>
    <n v="0"/>
    <n v="62840"/>
    <n v="0"/>
    <n v="62840"/>
    <n v="66000"/>
    <n v="3160"/>
  </r>
  <r>
    <s v="Below the Line"/>
    <x v="2"/>
    <s v=""/>
    <m/>
    <x v="775"/>
    <s v="Box rentals de construcción"/>
    <m/>
    <n v="0"/>
    <n v="0"/>
    <n v="0"/>
    <n v="0"/>
    <n v="0"/>
    <n v="0"/>
    <n v="0"/>
  </r>
  <r>
    <s v="Below the Line"/>
    <x v="2"/>
    <s v="PREP"/>
    <s v="ARTE"/>
    <x v="776"/>
    <s v="Prep"/>
    <m/>
    <n v="0"/>
    <n v="0"/>
    <n v="0"/>
    <n v="0"/>
    <n v="0"/>
    <n v="18000"/>
    <n v="18000"/>
  </r>
  <r>
    <s v="Below the Line"/>
    <x v="2"/>
    <s v="SHOOT"/>
    <s v="ARTE"/>
    <x v="777"/>
    <s v="Shoot"/>
    <m/>
    <n v="60840"/>
    <n v="0"/>
    <n v="60840"/>
    <n v="0"/>
    <n v="60840"/>
    <n v="42000"/>
    <n v="-18840"/>
  </r>
  <r>
    <s v="Below the Line"/>
    <x v="2"/>
    <s v="WRAP"/>
    <s v="ARTE"/>
    <x v="778"/>
    <s v="Wrap"/>
    <m/>
    <n v="2000"/>
    <n v="0"/>
    <n v="2000"/>
    <n v="0"/>
    <n v="2000"/>
    <n v="6000"/>
    <n v="4000"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</r>
  <r>
    <s v="Below the Line"/>
    <x v="2"/>
    <s v=""/>
    <s v="ARTE"/>
    <x v="780"/>
    <s v="Construcción All Sets"/>
    <m/>
    <n v="0"/>
    <n v="0"/>
    <n v="0"/>
    <n v="0"/>
    <n v="0"/>
    <n v="0"/>
    <n v="0"/>
  </r>
  <r>
    <s v="Below the Line"/>
    <x v="2"/>
    <s v=""/>
    <s v="ARTE"/>
    <x v="781"/>
    <s v="Mansión Jimena"/>
    <m/>
    <n v="0"/>
    <n v="0"/>
    <n v="0"/>
    <n v="0"/>
    <n v="0"/>
    <n v="0"/>
    <n v="0"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</r>
  <r>
    <s v="Below the Line"/>
    <x v="2"/>
    <s v=""/>
    <s v="ARTE"/>
    <x v="783"/>
    <s v="Financiera"/>
    <m/>
    <n v="0"/>
    <n v="0"/>
    <n v="0"/>
    <n v="0"/>
    <n v="0"/>
    <n v="0"/>
    <n v="0"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</r>
  <r>
    <s v="Below the Line"/>
    <x v="2"/>
    <s v=""/>
    <s v="ARTE"/>
    <x v="785"/>
    <s v="Granja Eólica"/>
    <m/>
    <n v="0"/>
    <n v="0"/>
    <n v="0"/>
    <n v="0"/>
    <n v="0"/>
    <n v="0"/>
    <n v="0"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</r>
  <r>
    <s v="Below the Line"/>
    <x v="2"/>
    <s v=""/>
    <s v="ARTE"/>
    <x v="787"/>
    <s v="Campamento"/>
    <m/>
    <n v="0"/>
    <n v="0"/>
    <n v="0"/>
    <n v="0"/>
    <n v="0"/>
    <n v="0"/>
    <n v="0"/>
  </r>
  <r>
    <s v="Below the Line"/>
    <x v="2"/>
    <s v="SHOOT"/>
    <s v="ARTE"/>
    <x v="788"/>
    <s v="Allowance"/>
    <m/>
    <n v="0"/>
    <n v="0"/>
    <n v="0"/>
    <n v="0"/>
    <n v="0"/>
    <n v="20000"/>
    <n v="20000"/>
  </r>
  <r>
    <s v="Below the Line"/>
    <x v="2"/>
    <s v=""/>
    <s v="ARTE"/>
    <x v="789"/>
    <s v="Cabaña Cap. 3"/>
    <m/>
    <n v="0"/>
    <n v="0"/>
    <n v="0"/>
    <n v="0"/>
    <n v="0"/>
    <n v="0"/>
    <n v="0"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</r>
  <r>
    <s v="Below the Line"/>
    <x v="2"/>
    <s v=""/>
    <s v="ARTE"/>
    <x v="791"/>
    <s v="Escuela"/>
    <m/>
    <n v="0"/>
    <n v="0"/>
    <n v="0"/>
    <n v="0"/>
    <n v="0"/>
    <n v="0"/>
    <n v="0"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</r>
  <r>
    <s v="Below the Line"/>
    <x v="2"/>
    <s v=""/>
    <s v="ARTE"/>
    <x v="793"/>
    <s v="Desfile Cap. 7"/>
    <m/>
    <n v="0"/>
    <n v="0"/>
    <n v="0"/>
    <n v="0"/>
    <n v="0"/>
    <n v="0"/>
    <n v="0"/>
  </r>
  <r>
    <s v="Below the Line"/>
    <x v="2"/>
    <s v="SHOOT"/>
    <s v="ARTE"/>
    <x v="794"/>
    <s v="Allowance"/>
    <m/>
    <n v="662.07"/>
    <n v="0"/>
    <n v="662.07"/>
    <n v="0"/>
    <n v="662.07"/>
    <n v="25000"/>
    <n v="24337.93"/>
  </r>
  <r>
    <s v="Below the Line"/>
    <x v="2"/>
    <s v=""/>
    <s v="ARTE"/>
    <x v="795"/>
    <s v="Evento Torta Ahogada"/>
    <m/>
    <n v="0"/>
    <n v="0"/>
    <n v="0"/>
    <n v="0"/>
    <n v="0"/>
    <n v="0"/>
    <n v="0"/>
  </r>
  <r>
    <s v="Below the Line"/>
    <x v="2"/>
    <s v="SHOOT"/>
    <s v="ARTE"/>
    <x v="796"/>
    <s v="Allowance"/>
    <m/>
    <n v="24794"/>
    <n v="0"/>
    <n v="24794"/>
    <n v="0"/>
    <n v="24794"/>
    <n v="20000"/>
    <n v="-4794"/>
  </r>
  <r>
    <s v="Below the Line"/>
    <x v="2"/>
    <s v=""/>
    <s v="ARTE"/>
    <x v="797"/>
    <s v="Casa Gabriel"/>
    <m/>
    <n v="0"/>
    <n v="0"/>
    <n v="0"/>
    <n v="0"/>
    <n v="0"/>
    <n v="0"/>
    <n v="0"/>
  </r>
  <r>
    <s v="Below the Line"/>
    <x v="2"/>
    <s v="SHOOT"/>
    <s v="ARTE"/>
    <x v="798"/>
    <s v="Allowance"/>
    <m/>
    <n v="874.34"/>
    <n v="0"/>
    <n v="874.34"/>
    <n v="0"/>
    <n v="874.34"/>
    <n v="30000"/>
    <n v="29125.66"/>
  </r>
  <r>
    <s v="Below the Line"/>
    <x v="2"/>
    <s v=""/>
    <s v="ARTE"/>
    <x v="799"/>
    <s v="Terreno Primavera"/>
    <m/>
    <n v="0"/>
    <n v="0"/>
    <n v="0"/>
    <n v="0"/>
    <n v="0"/>
    <n v="0"/>
    <n v="0"/>
  </r>
  <r>
    <s v="Below the Line"/>
    <x v="2"/>
    <s v="SHOOT"/>
    <s v="ARTE"/>
    <x v="800"/>
    <s v="Allowance"/>
    <m/>
    <n v="46200"/>
    <n v="0"/>
    <n v="46200"/>
    <n v="0"/>
    <n v="46200"/>
    <n v="20000"/>
    <n v="-26200"/>
  </r>
  <r>
    <s v="Below the Line"/>
    <x v="2"/>
    <s v=""/>
    <s v="ARTE"/>
    <x v="801"/>
    <s v="Evento Primavera"/>
    <m/>
    <n v="0"/>
    <n v="0"/>
    <n v="0"/>
    <n v="0"/>
    <n v="0"/>
    <n v="0"/>
    <n v="0"/>
  </r>
  <r>
    <s v="Below the Line"/>
    <x v="2"/>
    <s v="SHOOT"/>
    <s v="ARTE"/>
    <x v="802"/>
    <s v="Allowance"/>
    <m/>
    <n v="20600"/>
    <n v="0"/>
    <n v="20600"/>
    <n v="0"/>
    <n v="20600"/>
    <n v="20000"/>
    <n v="-600"/>
  </r>
  <r>
    <s v="Below the Line"/>
    <x v="2"/>
    <s v=""/>
    <s v="ARTE"/>
    <x v="803"/>
    <s v="Eco Soluciones"/>
    <m/>
    <n v="0"/>
    <n v="0"/>
    <n v="0"/>
    <n v="0"/>
    <n v="0"/>
    <n v="0"/>
    <n v="0"/>
  </r>
  <r>
    <s v="Below the Line"/>
    <x v="2"/>
    <s v="SHOOT"/>
    <s v="ARTE"/>
    <x v="804"/>
    <s v="Allowance"/>
    <m/>
    <n v="0"/>
    <n v="0"/>
    <n v="0"/>
    <n v="0"/>
    <n v="0"/>
    <n v="30000"/>
    <n v="30000"/>
  </r>
  <r>
    <s v="Below the Line"/>
    <x v="2"/>
    <s v=""/>
    <s v="ARTE"/>
    <x v="805"/>
    <s v="Parque Colomos "/>
    <m/>
    <n v="0"/>
    <n v="0"/>
    <n v="0"/>
    <n v="0"/>
    <n v="0"/>
    <n v="0"/>
    <n v="0"/>
  </r>
  <r>
    <s v="Below the Line"/>
    <x v="2"/>
    <s v="SHOOT"/>
    <s v="ARTE"/>
    <x v="806"/>
    <s v="Allowance"/>
    <m/>
    <n v="0"/>
    <n v="0"/>
    <n v="0"/>
    <n v="0"/>
    <n v="0"/>
    <n v="15000"/>
    <n v="15000"/>
  </r>
  <r>
    <s v="Below the Line"/>
    <x v="2"/>
    <s v=""/>
    <s v="ARTE"/>
    <x v="807"/>
    <s v="Departamento matías"/>
    <m/>
    <n v="0"/>
    <n v="0"/>
    <n v="0"/>
    <n v="0"/>
    <n v="0"/>
    <n v="0"/>
    <n v="0"/>
  </r>
  <r>
    <s v="Below the Line"/>
    <x v="2"/>
    <s v="SHOOT"/>
    <s v="ARTE"/>
    <x v="808"/>
    <s v="Allowance"/>
    <m/>
    <n v="0"/>
    <n v="0"/>
    <n v="0"/>
    <n v="0"/>
    <n v="0"/>
    <n v="10000"/>
    <n v="10000"/>
  </r>
  <r>
    <s v="Below the Line"/>
    <x v="2"/>
    <s v=""/>
    <s v="ARTE"/>
    <x v="809"/>
    <s v="Dspedida de solteros"/>
    <m/>
    <n v="0"/>
    <n v="0"/>
    <n v="0"/>
    <n v="0"/>
    <n v="0"/>
    <n v="0"/>
    <n v="0"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</r>
  <r>
    <s v="Below the Line"/>
    <x v="2"/>
    <s v=""/>
    <s v="ARTE"/>
    <x v="811"/>
    <s v="Casa Joaquín"/>
    <m/>
    <n v="0"/>
    <n v="0"/>
    <n v="0"/>
    <n v="0"/>
    <n v="0"/>
    <n v="0"/>
    <n v="0"/>
  </r>
  <r>
    <s v="Below the Line"/>
    <x v="2"/>
    <s v="SHOOT"/>
    <s v="ARTE"/>
    <x v="812"/>
    <s v="Allowance"/>
    <m/>
    <n v="0"/>
    <n v="0"/>
    <n v="0"/>
    <n v="0"/>
    <n v="0"/>
    <n v="10000"/>
    <n v="10000"/>
  </r>
  <r>
    <s v="Below the Line"/>
    <x v="2"/>
    <s v=""/>
    <s v="ARTE"/>
    <x v="813"/>
    <s v="Fiesta Lideres de Jalisco"/>
    <m/>
    <n v="0"/>
    <n v="0"/>
    <n v="0"/>
    <n v="0"/>
    <n v="0"/>
    <n v="0"/>
    <n v="0"/>
  </r>
  <r>
    <s v="Below the Line"/>
    <x v="2"/>
    <s v="SHOOT"/>
    <s v="ARTE"/>
    <x v="814"/>
    <s v="Allowance"/>
    <m/>
    <n v="0"/>
    <n v="0"/>
    <n v="0"/>
    <n v="0"/>
    <n v="0"/>
    <n v="40000"/>
    <n v="40000"/>
  </r>
  <r>
    <s v="Below the Line"/>
    <x v="2"/>
    <s v=""/>
    <s v="ARTE"/>
    <x v="815"/>
    <s v="Sets Adicionales"/>
    <m/>
    <n v="0"/>
    <n v="0"/>
    <n v="0"/>
    <n v="0"/>
    <n v="0"/>
    <n v="0"/>
    <n v="0"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</r>
  <r>
    <s v="Below the Line"/>
    <x v="2"/>
    <s v=""/>
    <m/>
    <x v="818"/>
    <s v="Loss &amp; Damage"/>
    <m/>
    <n v="0"/>
    <n v="0"/>
    <n v="0"/>
    <n v="0"/>
    <n v="0"/>
    <n v="0"/>
    <n v="0"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</r>
  <r>
    <s v="Below the Line"/>
    <x v="2"/>
    <s v=""/>
    <s v="NOM"/>
    <x v="822"/>
    <s v="Decorador - Daniela Sofía Main"/>
    <m/>
    <n v="0"/>
    <n v="0"/>
    <n v="0"/>
    <n v="0"/>
    <n v="0"/>
    <n v="0"/>
    <n v="0"/>
  </r>
  <r>
    <s v="Below the Line"/>
    <x v="2"/>
    <s v="PREP"/>
    <s v="NOM"/>
    <x v="823"/>
    <s v="Prep"/>
    <m/>
    <n v="124950"/>
    <n v="0"/>
    <n v="124950"/>
    <n v="0"/>
    <n v="124950"/>
    <n v="124950"/>
    <n v="0"/>
  </r>
  <r>
    <s v="Below the Line"/>
    <x v="2"/>
    <s v="SHOOT"/>
    <s v="NOM"/>
    <x v="824"/>
    <s v="Shoot"/>
    <m/>
    <n v="124950"/>
    <n v="0"/>
    <n v="124950"/>
    <n v="0"/>
    <n v="124950"/>
    <n v="124950"/>
    <n v="0"/>
  </r>
  <r>
    <s v="Below the Line"/>
    <x v="2"/>
    <s v="WRAP"/>
    <s v="NOM"/>
    <x v="825"/>
    <s v="Wrap"/>
    <m/>
    <n v="53550"/>
    <n v="0"/>
    <n v="53550"/>
    <n v="0"/>
    <n v="53550"/>
    <n v="35700"/>
    <n v="-17850"/>
  </r>
  <r>
    <s v="Below the Line"/>
    <x v="2"/>
    <s v=""/>
    <s v="NOM"/>
    <x v="826"/>
    <s v="Asistente Decoración CDMX - Indra Campos"/>
    <m/>
    <n v="0"/>
    <n v="0"/>
    <n v="0"/>
    <n v="0"/>
    <n v="0"/>
    <n v="0"/>
    <n v="0"/>
  </r>
  <r>
    <s v="Below the Line"/>
    <x v="2"/>
    <s v="PREP"/>
    <s v="NOM"/>
    <x v="827"/>
    <s v="Prep"/>
    <m/>
    <n v="40000"/>
    <n v="0"/>
    <n v="40000"/>
    <n v="0"/>
    <n v="40000"/>
    <n v="40000"/>
    <n v="0"/>
  </r>
  <r>
    <s v="Below the Line"/>
    <x v="2"/>
    <s v="WRAP"/>
    <s v="NOM"/>
    <x v="828"/>
    <s v="Wrap"/>
    <m/>
    <n v="6301.63"/>
    <n v="0"/>
    <n v="6301.63"/>
    <n v="0"/>
    <n v="6301.63"/>
    <n v="10000"/>
    <n v="3698.37"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</r>
  <r>
    <s v="Below the Line"/>
    <x v="2"/>
    <s v="PREP"/>
    <s v="NOM"/>
    <x v="830"/>
    <s v="Prep"/>
    <m/>
    <n v="44625"/>
    <n v="0"/>
    <n v="44625"/>
    <n v="0"/>
    <n v="44625"/>
    <n v="44625"/>
    <n v="0"/>
  </r>
  <r>
    <s v="Below the Line"/>
    <x v="2"/>
    <s v="SHOOT"/>
    <s v="NOM"/>
    <x v="831"/>
    <s v="Shoot"/>
    <m/>
    <n v="62475"/>
    <n v="0"/>
    <n v="62475"/>
    <n v="0"/>
    <n v="62475"/>
    <n v="62475"/>
    <n v="0"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</r>
  <r>
    <s v="Below the Line"/>
    <x v="2"/>
    <s v=""/>
    <s v="NOM"/>
    <x v="833"/>
    <s v="Asistente Decoración #2 - Shantal Orozco"/>
    <m/>
    <n v="0"/>
    <n v="0"/>
    <n v="0"/>
    <n v="0"/>
    <n v="0"/>
    <n v="0"/>
    <n v="0"/>
  </r>
  <r>
    <s v="Below the Line"/>
    <x v="2"/>
    <s v="PREP"/>
    <s v="NOM"/>
    <x v="834"/>
    <s v="Prep"/>
    <m/>
    <n v="35700"/>
    <n v="0"/>
    <n v="35700"/>
    <n v="0"/>
    <n v="35700"/>
    <n v="35700"/>
    <n v="0"/>
  </r>
  <r>
    <s v="Below the Line"/>
    <x v="2"/>
    <s v="SHOOT"/>
    <s v="NOM"/>
    <x v="835"/>
    <s v="Shoot"/>
    <m/>
    <n v="62475"/>
    <n v="0"/>
    <n v="62475"/>
    <n v="0"/>
    <n v="62475"/>
    <n v="62475"/>
    <n v="0"/>
  </r>
  <r>
    <s v="Below the Line"/>
    <x v="2"/>
    <s v="WRAP"/>
    <s v="NOM"/>
    <x v="836"/>
    <s v="Wrap"/>
    <m/>
    <n v="8925"/>
    <n v="0"/>
    <n v="8925"/>
    <n v="0"/>
    <n v="8925"/>
    <n v="8925"/>
    <n v="0"/>
  </r>
  <r>
    <s v="Below the Line"/>
    <x v="2"/>
    <s v=""/>
    <s v="NOM"/>
    <x v="837"/>
    <s v="Comprador - José Miguel Corona Barragán "/>
    <m/>
    <n v="0"/>
    <n v="0"/>
    <n v="0"/>
    <n v="0"/>
    <n v="0"/>
    <n v="0"/>
    <n v="0"/>
  </r>
  <r>
    <s v="Below the Line"/>
    <x v="2"/>
    <s v="PREP"/>
    <s v="NOM"/>
    <x v="838"/>
    <s v="Prep"/>
    <m/>
    <n v="29400"/>
    <n v="0"/>
    <n v="29400"/>
    <n v="0"/>
    <n v="29400"/>
    <n v="29400"/>
    <n v="0"/>
  </r>
  <r>
    <s v="Below the Line"/>
    <x v="2"/>
    <s v="SHOOT"/>
    <s v="NOM"/>
    <x v="839"/>
    <s v="Shoot"/>
    <m/>
    <n v="51450"/>
    <n v="0"/>
    <n v="51450"/>
    <n v="0"/>
    <n v="51450"/>
    <n v="51450"/>
    <n v="0"/>
  </r>
  <r>
    <s v="Below the Line"/>
    <x v="2"/>
    <s v="WRAP"/>
    <s v="NOM"/>
    <x v="840"/>
    <s v="Wrap"/>
    <m/>
    <n v="7350"/>
    <n v="0"/>
    <n v="7350"/>
    <n v="0"/>
    <n v="7350"/>
    <n v="7350"/>
    <n v="0"/>
  </r>
  <r>
    <s v="Below the Line"/>
    <x v="2"/>
    <s v=""/>
    <s v="NOM"/>
    <x v="841"/>
    <s v="Comprador #2 - Tania Sánchez "/>
    <m/>
    <n v="0"/>
    <n v="0"/>
    <n v="0"/>
    <n v="0"/>
    <n v="0"/>
    <n v="0"/>
    <n v="0"/>
  </r>
  <r>
    <s v="Below the Line"/>
    <x v="2"/>
    <s v="PREP"/>
    <s v="NOM"/>
    <x v="842"/>
    <s v="Prep"/>
    <m/>
    <n v="22050"/>
    <n v="0"/>
    <n v="22050"/>
    <n v="0"/>
    <n v="22050"/>
    <n v="22050"/>
    <n v="0"/>
  </r>
  <r>
    <s v="Below the Line"/>
    <x v="2"/>
    <s v="SHOOT"/>
    <s v="NOM"/>
    <x v="843"/>
    <s v="Shoot"/>
    <m/>
    <n v="51450"/>
    <n v="0"/>
    <n v="51450"/>
    <n v="0"/>
    <n v="51450"/>
    <n v="51450"/>
    <n v="0"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</r>
  <r>
    <s v="Below the Line"/>
    <x v="2"/>
    <s v="2nd Unit"/>
    <s v="NOM"/>
    <x v="845"/>
    <s v="Prep"/>
    <m/>
    <n v="0"/>
    <n v="0"/>
    <n v="0"/>
    <n v="0"/>
    <n v="0"/>
    <n v="8500"/>
    <n v="8500"/>
  </r>
  <r>
    <s v="Below the Line"/>
    <x v="2"/>
    <s v="2nd Unit"/>
    <s v="NOM"/>
    <x v="846"/>
    <s v="Shoot"/>
    <m/>
    <n v="17000"/>
    <n v="0"/>
    <n v="17000"/>
    <n v="0"/>
    <n v="17000"/>
    <n v="17000"/>
    <n v="0"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</r>
  <r>
    <s v="Below the Line"/>
    <x v="2"/>
    <s v="2nd Unit"/>
    <s v="NOM"/>
    <x v="849"/>
    <s v="Prep"/>
    <m/>
    <n v="8500"/>
    <n v="0"/>
    <n v="8500"/>
    <n v="0"/>
    <n v="8500"/>
    <n v="8500"/>
    <n v="0"/>
  </r>
  <r>
    <s v="Below the Line"/>
    <x v="2"/>
    <s v="2nd Unit"/>
    <s v="NOM"/>
    <x v="850"/>
    <s v="Shoot"/>
    <m/>
    <n v="17000"/>
    <n v="0"/>
    <n v="17000"/>
    <n v="0"/>
    <n v="17000"/>
    <n v="17000"/>
    <n v="0"/>
  </r>
  <r>
    <s v="Below the Line"/>
    <x v="2"/>
    <s v="2nd Unit"/>
    <s v="NOM"/>
    <x v="851"/>
    <s v="Wrap"/>
    <m/>
    <n v="8500"/>
    <n v="0"/>
    <n v="8500"/>
    <n v="0"/>
    <n v="8500"/>
    <n v="8500"/>
    <n v="0"/>
  </r>
  <r>
    <s v="Below the Line"/>
    <x v="1"/>
    <m/>
    <m/>
    <x v="852"/>
    <s v="SUPERVISOR DECORACION"/>
    <m/>
    <n v="75600"/>
    <n v="0"/>
    <n v="75600"/>
    <n v="0"/>
    <n v="75600"/>
    <n v="88200"/>
    <n v="12600"/>
  </r>
  <r>
    <s v="Below the Line"/>
    <x v="2"/>
    <s v=""/>
    <s v="NOM"/>
    <x v="853"/>
    <s v="Lead Man - Juan Pablo Fernandez"/>
    <m/>
    <n v="0"/>
    <n v="0"/>
    <n v="0"/>
    <n v="0"/>
    <n v="0"/>
    <n v="0"/>
    <n v="0"/>
  </r>
  <r>
    <s v="Below the Line"/>
    <x v="2"/>
    <s v="PREP"/>
    <s v="NOM"/>
    <x v="854"/>
    <s v="Prep"/>
    <m/>
    <n v="16800"/>
    <n v="0"/>
    <n v="16800"/>
    <n v="0"/>
    <n v="16800"/>
    <n v="21000"/>
    <n v="4200"/>
  </r>
  <r>
    <s v="Below the Line"/>
    <x v="2"/>
    <s v="SHOOT"/>
    <s v="NOM"/>
    <x v="855"/>
    <s v="Shoot"/>
    <m/>
    <n v="58800"/>
    <n v="0"/>
    <n v="58800"/>
    <n v="0"/>
    <n v="58800"/>
    <n v="58800"/>
    <n v="0"/>
  </r>
  <r>
    <s v="Below the Line"/>
    <x v="2"/>
    <s v="WRAP"/>
    <s v="NOM"/>
    <x v="856"/>
    <s v="Wrap"/>
    <m/>
    <n v="0"/>
    <n v="0"/>
    <n v="0"/>
    <n v="0"/>
    <n v="0"/>
    <n v="8400"/>
    <n v="8400"/>
  </r>
  <r>
    <s v="Below the Line"/>
    <x v="1"/>
    <m/>
    <m/>
    <x v="857"/>
    <s v="SWINGS"/>
    <m/>
    <n v="416746.66"/>
    <n v="0"/>
    <n v="416746.66"/>
    <n v="0"/>
    <n v="416746.66"/>
    <n v="358650"/>
    <n v="-58096.66"/>
  </r>
  <r>
    <s v="Below the Line"/>
    <x v="2"/>
    <s v=""/>
    <s v="NOM"/>
    <x v="858"/>
    <s v="Swing # 1 - Alejandro Wipache"/>
    <m/>
    <n v="0"/>
    <n v="0"/>
    <n v="0"/>
    <n v="0"/>
    <n v="0"/>
    <n v="0"/>
    <n v="0"/>
  </r>
  <r>
    <s v="Below the Line"/>
    <x v="2"/>
    <s v="PREP"/>
    <s v="NOM"/>
    <x v="859"/>
    <s v="Prep"/>
    <m/>
    <n v="15750"/>
    <n v="0"/>
    <n v="15750"/>
    <n v="0"/>
    <n v="15750"/>
    <n v="23625"/>
    <n v="7875"/>
  </r>
  <r>
    <s v="Below the Line"/>
    <x v="2"/>
    <s v="SHOOT"/>
    <s v="NOM"/>
    <x v="860"/>
    <s v="Shoot "/>
    <m/>
    <n v="55125"/>
    <n v="0"/>
    <n v="55125"/>
    <n v="0"/>
    <n v="55125"/>
    <n v="55125"/>
    <n v="0"/>
  </r>
  <r>
    <s v="Below the Line"/>
    <x v="2"/>
    <s v="WRAP"/>
    <s v="NOM"/>
    <x v="861"/>
    <s v="Wrap"/>
    <m/>
    <n v="41700"/>
    <n v="0"/>
    <n v="41700"/>
    <n v="0"/>
    <n v="41700"/>
    <n v="7875"/>
    <n v="-33825"/>
  </r>
  <r>
    <s v="Below the Line"/>
    <x v="2"/>
    <s v=""/>
    <s v="NOM"/>
    <x v="862"/>
    <s v="Swing #2 - Victor Iglesias"/>
    <m/>
    <n v="0"/>
    <n v="0"/>
    <n v="0"/>
    <n v="0"/>
    <n v="0"/>
    <n v="0"/>
    <n v="0"/>
  </r>
  <r>
    <s v="Below the Line"/>
    <x v="2"/>
    <s v="PREP"/>
    <s v="NOM"/>
    <x v="863"/>
    <s v="Prep"/>
    <m/>
    <n v="15750"/>
    <n v="0"/>
    <n v="15750"/>
    <n v="0"/>
    <n v="15750"/>
    <n v="15750"/>
    <n v="0"/>
  </r>
  <r>
    <s v="Below the Line"/>
    <x v="2"/>
    <s v="SHOOT"/>
    <s v="NOM"/>
    <x v="864"/>
    <s v="Shoot"/>
    <m/>
    <n v="55125"/>
    <n v="0"/>
    <n v="55125"/>
    <n v="0"/>
    <n v="55125"/>
    <n v="55125"/>
    <n v="0"/>
  </r>
  <r>
    <s v="Below the Line"/>
    <x v="2"/>
    <s v="WRAP"/>
    <s v="NOM"/>
    <x v="865"/>
    <s v="Wrap"/>
    <m/>
    <n v="7875"/>
    <n v="0"/>
    <n v="7875"/>
    <n v="0"/>
    <n v="7875"/>
    <n v="7875"/>
    <n v="0"/>
  </r>
  <r>
    <s v="Below the Line"/>
    <x v="2"/>
    <s v=""/>
    <s v="NOM"/>
    <x v="866"/>
    <s v="Swing #3 - Carlos Santana"/>
    <m/>
    <n v="0"/>
    <n v="0"/>
    <n v="0"/>
    <n v="0"/>
    <n v="0"/>
    <n v="0"/>
    <n v="0"/>
  </r>
  <r>
    <s v="Below the Line"/>
    <x v="2"/>
    <s v="PREP"/>
    <s v="NOM"/>
    <x v="867"/>
    <s v="Prep"/>
    <m/>
    <n v="7875"/>
    <n v="0"/>
    <n v="7875"/>
    <n v="0"/>
    <n v="7875"/>
    <n v="7875"/>
    <n v="0"/>
  </r>
  <r>
    <s v="Below the Line"/>
    <x v="2"/>
    <s v="SHOOT"/>
    <s v="NOM"/>
    <x v="868"/>
    <s v="Shoot"/>
    <m/>
    <n v="55125"/>
    <n v="0"/>
    <n v="55125"/>
    <n v="0"/>
    <n v="55125"/>
    <n v="55125"/>
    <n v="0"/>
  </r>
  <r>
    <s v="Below the Line"/>
    <x v="2"/>
    <s v="WRAP"/>
    <s v="NOM"/>
    <x v="869"/>
    <s v="Wrap"/>
    <m/>
    <n v="7875"/>
    <n v="0"/>
    <n v="7875"/>
    <n v="0"/>
    <n v="7875"/>
    <n v="7875"/>
    <n v="0"/>
  </r>
  <r>
    <s v="Below the Line"/>
    <x v="2"/>
    <s v=""/>
    <s v="NOM"/>
    <x v="870"/>
    <s v="Swing CDMX (Apoyos para mudanza)"/>
    <m/>
    <n v="0"/>
    <n v="0"/>
    <n v="0"/>
    <n v="0"/>
    <n v="0"/>
    <n v="0"/>
    <n v="0"/>
  </r>
  <r>
    <s v="Below the Line"/>
    <x v="2"/>
    <s v="PREP"/>
    <s v="NOM"/>
    <x v="871"/>
    <s v="Prep"/>
    <m/>
    <n v="39000"/>
    <n v="0"/>
    <n v="39000"/>
    <n v="0"/>
    <n v="39000"/>
    <n v="31200"/>
    <n v="-7800"/>
  </r>
  <r>
    <s v="Below the Line"/>
    <x v="2"/>
    <s v="WRAP"/>
    <s v="NOM"/>
    <x v="872"/>
    <s v="Wrap"/>
    <m/>
    <n v="54780"/>
    <n v="0"/>
    <n v="54780"/>
    <n v="0"/>
    <n v="54780"/>
    <n v="31200"/>
    <n v="-23580"/>
  </r>
  <r>
    <s v="Below the Line"/>
    <x v="2"/>
    <s v=""/>
    <s v="NOM"/>
    <x v="873"/>
    <s v="Swing #1 Segunda Unidad - TBD"/>
    <m/>
    <n v="0"/>
    <n v="0"/>
    <n v="0"/>
    <n v="0"/>
    <n v="0"/>
    <n v="0"/>
    <n v="0"/>
  </r>
  <r>
    <s v="Below the Line"/>
    <x v="2"/>
    <s v="2nd Unit"/>
    <s v="NOM"/>
    <x v="874"/>
    <s v="Prep"/>
    <m/>
    <n v="7500"/>
    <n v="0"/>
    <n v="7500"/>
    <n v="0"/>
    <n v="7500"/>
    <n v="7500"/>
    <n v="0"/>
  </r>
  <r>
    <s v="Below the Line"/>
    <x v="2"/>
    <s v="2nd Unit"/>
    <s v="NOM"/>
    <x v="875"/>
    <s v="Shoot"/>
    <m/>
    <n v="15000"/>
    <n v="0"/>
    <n v="15000"/>
    <n v="0"/>
    <n v="15000"/>
    <n v="15000"/>
    <n v="0"/>
  </r>
  <r>
    <s v="Below the Line"/>
    <x v="2"/>
    <s v="2nd Unit"/>
    <s v="NOM"/>
    <x v="876"/>
    <s v="Wrap"/>
    <m/>
    <n v="7500"/>
    <n v="0"/>
    <n v="7500"/>
    <n v="0"/>
    <n v="7500"/>
    <n v="7500"/>
    <n v="0"/>
  </r>
  <r>
    <s v="Below the Line"/>
    <x v="2"/>
    <s v=""/>
    <s v="NOM"/>
    <x v="877"/>
    <s v="Swing #2 Segunda Unidad - TBD"/>
    <m/>
    <n v="0"/>
    <n v="0"/>
    <n v="0"/>
    <n v="0"/>
    <n v="0"/>
    <n v="0"/>
    <n v="0"/>
  </r>
  <r>
    <s v="Below the Line"/>
    <x v="2"/>
    <s v="2nd Unit"/>
    <s v="NOM"/>
    <x v="878"/>
    <s v="Prep"/>
    <m/>
    <n v="3266.66"/>
    <n v="0"/>
    <n v="3266.66"/>
    <n v="0"/>
    <n v="3266.66"/>
    <n v="7500"/>
    <n v="4233.34"/>
  </r>
  <r>
    <s v="Below the Line"/>
    <x v="2"/>
    <s v="2nd Unit"/>
    <s v="NOM"/>
    <x v="879"/>
    <s v="Shoot"/>
    <m/>
    <n v="20000"/>
    <n v="0"/>
    <n v="20000"/>
    <n v="0"/>
    <n v="20000"/>
    <n v="15000"/>
    <n v="-5000"/>
  </r>
  <r>
    <s v="Below the Line"/>
    <x v="2"/>
    <s v="2nd Unit"/>
    <s v="NOM"/>
    <x v="880"/>
    <s v="Wrap"/>
    <m/>
    <n v="7500"/>
    <n v="0"/>
    <n v="7500"/>
    <n v="0"/>
    <n v="7500"/>
    <n v="7500"/>
    <n v="0"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</r>
  <r>
    <s v="Below the Line"/>
    <x v="2"/>
    <s v="PREP"/>
    <s v="NOM"/>
    <x v="883"/>
    <s v="Prep"/>
    <m/>
    <n v="10290"/>
    <n v="0"/>
    <n v="10290"/>
    <n v="0"/>
    <n v="10290"/>
    <n v="10290"/>
    <n v="0"/>
  </r>
  <r>
    <s v="Below the Line"/>
    <x v="2"/>
    <s v="SHOOT"/>
    <s v="NOM"/>
    <x v="884"/>
    <s v="Shoot"/>
    <m/>
    <n v="77910"/>
    <n v="0"/>
    <n v="77910"/>
    <n v="0"/>
    <n v="77910"/>
    <n v="72030"/>
    <n v="-5880"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</r>
  <r>
    <s v="Below the Line"/>
    <x v="2"/>
    <s v="PREP"/>
    <s v="NOM"/>
    <x v="886"/>
    <s v="Prep"/>
    <m/>
    <n v="0"/>
    <n v="0"/>
    <n v="0"/>
    <n v="0"/>
    <n v="0"/>
    <n v="8400"/>
    <n v="8400"/>
  </r>
  <r>
    <s v="Below the Line"/>
    <x v="2"/>
    <s v="SHOOT"/>
    <s v="NOM"/>
    <x v="887"/>
    <s v="Shoot"/>
    <m/>
    <n v="58800"/>
    <n v="0"/>
    <n v="58800"/>
    <n v="0"/>
    <n v="58800"/>
    <n v="58800"/>
    <n v="0"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</r>
  <r>
    <s v="Below the Line"/>
    <x v="2"/>
    <s v="2nd Unit"/>
    <s v="NOM"/>
    <x v="889"/>
    <s v="Prep"/>
    <m/>
    <n v="0"/>
    <n v="0"/>
    <n v="0"/>
    <n v="0"/>
    <n v="0"/>
    <n v="8000"/>
    <n v="8000"/>
  </r>
  <r>
    <s v="Below the Line"/>
    <x v="2"/>
    <s v="2nd Unit"/>
    <s v="NOM"/>
    <x v="890"/>
    <s v="Shoot"/>
    <m/>
    <n v="0"/>
    <n v="0"/>
    <n v="0"/>
    <n v="0"/>
    <n v="0"/>
    <n v="16000"/>
    <n v="16000"/>
  </r>
  <r>
    <s v="Below the Line"/>
    <x v="2"/>
    <s v="2nd Unit"/>
    <s v="NOM"/>
    <x v="891"/>
    <s v="Wrap"/>
    <m/>
    <n v="0"/>
    <n v="0"/>
    <n v="0"/>
    <n v="0"/>
    <n v="0"/>
    <n v="0"/>
    <n v="0"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</r>
  <r>
    <s v="Below the Line"/>
    <x v="2"/>
    <s v="2nd Unit"/>
    <s v="NOM"/>
    <x v="893"/>
    <s v="Prep"/>
    <m/>
    <n v="7500"/>
    <n v="0"/>
    <n v="7500"/>
    <n v="0"/>
    <n v="7500"/>
    <n v="7500"/>
    <n v="0"/>
  </r>
  <r>
    <s v="Below the Line"/>
    <x v="2"/>
    <s v="2nd Unit"/>
    <s v="NOM"/>
    <x v="894"/>
    <s v="Shoot"/>
    <m/>
    <n v="30000"/>
    <n v="0"/>
    <n v="30000"/>
    <n v="0"/>
    <n v="30000"/>
    <n v="15000"/>
    <n v="-15000"/>
  </r>
  <r>
    <s v="Below the Line"/>
    <x v="2"/>
    <s v="2nd Unit"/>
    <s v="NOM"/>
    <x v="895"/>
    <s v="Wrap"/>
    <m/>
    <n v="0"/>
    <n v="0"/>
    <n v="0"/>
    <n v="0"/>
    <n v="0"/>
    <n v="0"/>
    <n v="0"/>
  </r>
  <r>
    <s v="Below the Line"/>
    <x v="2"/>
    <s v=""/>
    <s v="NOM"/>
    <x v="896"/>
    <s v="Apoyos Arte - TBD"/>
    <m/>
    <n v="0"/>
    <n v="0"/>
    <n v="0"/>
    <n v="0"/>
    <n v="0"/>
    <n v="0"/>
    <n v="0"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</r>
  <r>
    <s v="Below the Line"/>
    <x v="2"/>
    <s v=""/>
    <m/>
    <x v="899"/>
    <s v="Expendables"/>
    <m/>
    <n v="0"/>
    <n v="0"/>
    <n v="0"/>
    <n v="0"/>
    <n v="0"/>
    <n v="0"/>
    <n v="0"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</r>
  <r>
    <s v="Below the Line"/>
    <x v="2"/>
    <s v="ALL SHOW"/>
    <s v="ARTE"/>
    <x v="901"/>
    <s v="Basura"/>
    <m/>
    <n v="8250"/>
    <n v="0"/>
    <n v="8250"/>
    <n v="0"/>
    <n v="8250"/>
    <n v="44000"/>
    <n v="35750"/>
  </r>
  <r>
    <s v="Below the Line"/>
    <x v="1"/>
    <m/>
    <m/>
    <x v="902"/>
    <s v="BOX RENTAL DECORACION"/>
    <m/>
    <n v="114000"/>
    <n v="0"/>
    <n v="114000"/>
    <n v="0"/>
    <n v="114000"/>
    <n v="120000"/>
    <n v="6000"/>
  </r>
  <r>
    <s v="Below the Line"/>
    <x v="2"/>
    <s v=""/>
    <m/>
    <x v="903"/>
    <s v="Box Rental"/>
    <m/>
    <n v="0"/>
    <n v="0"/>
    <n v="0"/>
    <n v="0"/>
    <n v="0"/>
    <n v="0"/>
    <n v="0"/>
  </r>
  <r>
    <s v="Below the Line"/>
    <x v="2"/>
    <s v="PREP"/>
    <s v="ARTE"/>
    <x v="904"/>
    <s v="Prep"/>
    <m/>
    <n v="34000"/>
    <n v="0"/>
    <n v="34000"/>
    <n v="0"/>
    <n v="34000"/>
    <n v="45000"/>
    <n v="11000"/>
  </r>
  <r>
    <s v="Below the Line"/>
    <x v="2"/>
    <s v="SHOOT"/>
    <s v="ARTE"/>
    <x v="905"/>
    <s v="Shoot"/>
    <m/>
    <n v="70000"/>
    <n v="0"/>
    <n v="70000"/>
    <n v="0"/>
    <n v="70000"/>
    <n v="63000"/>
    <n v="-7000"/>
  </r>
  <r>
    <s v="Below the Line"/>
    <x v="2"/>
    <s v="WRAP"/>
    <s v="ARTE"/>
    <x v="906"/>
    <s v="Wrap"/>
    <m/>
    <n v="10000"/>
    <n v="0"/>
    <n v="10000"/>
    <n v="0"/>
    <n v="10000"/>
    <n v="12000"/>
    <n v="2000"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</r>
  <r>
    <s v="Below the Line"/>
    <x v="2"/>
    <s v=""/>
    <s v="ARTE"/>
    <x v="908"/>
    <s v="Mansión Jimena"/>
    <m/>
    <n v="0"/>
    <n v="0"/>
    <n v="0"/>
    <n v="0"/>
    <n v="0"/>
    <n v="0"/>
    <n v="0"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</r>
  <r>
    <s v="Below the Line"/>
    <x v="2"/>
    <s v=""/>
    <s v="ARTE"/>
    <x v="910"/>
    <s v="Financiera"/>
    <m/>
    <n v="0"/>
    <n v="0"/>
    <n v="0"/>
    <n v="0"/>
    <n v="0"/>
    <n v="0"/>
    <n v="0"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</r>
  <r>
    <s v="Below the Line"/>
    <x v="2"/>
    <s v=""/>
    <s v="ARTE"/>
    <x v="912"/>
    <s v="Granja Eólica"/>
    <m/>
    <n v="0"/>
    <n v="0"/>
    <n v="0"/>
    <n v="0"/>
    <n v="0"/>
    <n v="0"/>
    <n v="0"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</r>
  <r>
    <s v="Below the Line"/>
    <x v="2"/>
    <s v=""/>
    <s v="ARTE"/>
    <x v="914"/>
    <s v="Campamento Leo"/>
    <m/>
    <n v="0"/>
    <n v="0"/>
    <n v="0"/>
    <n v="0"/>
    <n v="0"/>
    <n v="0"/>
    <n v="0"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</r>
  <r>
    <s v="Below the Line"/>
    <x v="2"/>
    <s v=""/>
    <s v="ARTE"/>
    <x v="916"/>
    <s v="Cabaña Cap. 3"/>
    <m/>
    <n v="0"/>
    <n v="0"/>
    <n v="0"/>
    <n v="0"/>
    <n v="0"/>
    <n v="0"/>
    <n v="0"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</r>
  <r>
    <s v="Below the Line"/>
    <x v="2"/>
    <s v=""/>
    <s v="ARTE"/>
    <x v="918"/>
    <s v="Escuela"/>
    <m/>
    <n v="0"/>
    <n v="0"/>
    <n v="0"/>
    <n v="0"/>
    <n v="0"/>
    <n v="0"/>
    <n v="0"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</r>
  <r>
    <s v="Below the Line"/>
    <x v="2"/>
    <s v=""/>
    <s v="ARTE"/>
    <x v="920"/>
    <s v="Desfile Cap. 7"/>
    <m/>
    <n v="0"/>
    <n v="0"/>
    <n v="0"/>
    <n v="0"/>
    <n v="0"/>
    <n v="0"/>
    <n v="0"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</r>
  <r>
    <s v="Below the Line"/>
    <x v="2"/>
    <s v=""/>
    <s v="ARTE"/>
    <x v="922"/>
    <s v="Evento torta Ahogada"/>
    <m/>
    <n v="0"/>
    <n v="0"/>
    <n v="0"/>
    <n v="0"/>
    <n v="0"/>
    <n v="0"/>
    <n v="0"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</r>
  <r>
    <s v="Below the Line"/>
    <x v="2"/>
    <s v=""/>
    <s v="ARTE"/>
    <x v="924"/>
    <s v="Casa Gabriel"/>
    <m/>
    <n v="0"/>
    <n v="0"/>
    <n v="0"/>
    <n v="0"/>
    <n v="0"/>
    <n v="0"/>
    <n v="0"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</r>
  <r>
    <s v="Below the Line"/>
    <x v="2"/>
    <s v=""/>
    <s v="ARTE"/>
    <x v="926"/>
    <s v="Terreno Primavera"/>
    <m/>
    <n v="0"/>
    <n v="0"/>
    <n v="0"/>
    <n v="0"/>
    <n v="0"/>
    <n v="0"/>
    <n v="0"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</r>
  <r>
    <s v="Below the Line"/>
    <x v="2"/>
    <s v=""/>
    <s v="ARTE"/>
    <x v="928"/>
    <s v="Evento Primavera"/>
    <m/>
    <n v="0"/>
    <n v="0"/>
    <n v="0"/>
    <n v="0"/>
    <n v="0"/>
    <n v="0"/>
    <n v="0"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</r>
  <r>
    <s v="Below the Line"/>
    <x v="2"/>
    <s v=""/>
    <s v="ARTE"/>
    <x v="930"/>
    <s v="Eco soluciones"/>
    <m/>
    <n v="0"/>
    <n v="0"/>
    <n v="0"/>
    <n v="0"/>
    <n v="0"/>
    <n v="0"/>
    <n v="0"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</r>
  <r>
    <s v="Below the Line"/>
    <x v="2"/>
    <s v=""/>
    <s v="ARTE"/>
    <x v="932"/>
    <s v="Parque Colomos"/>
    <m/>
    <n v="0"/>
    <n v="0"/>
    <n v="0"/>
    <n v="0"/>
    <n v="0"/>
    <n v="0"/>
    <n v="0"/>
  </r>
  <r>
    <s v="Below the Line"/>
    <x v="2"/>
    <s v="SHOOT"/>
    <s v="ARTE"/>
    <x v="933"/>
    <s v="Allowance"/>
    <m/>
    <n v="41196"/>
    <n v="0"/>
    <n v="41196"/>
    <n v="0"/>
    <n v="41196"/>
    <n v="30000"/>
    <n v="-11196"/>
  </r>
  <r>
    <s v="Below the Line"/>
    <x v="2"/>
    <s v=""/>
    <s v="ARTE"/>
    <x v="934"/>
    <s v="Departamento Matías"/>
    <m/>
    <n v="0"/>
    <n v="0"/>
    <n v="0"/>
    <n v="0"/>
    <n v="0"/>
    <n v="0"/>
    <n v="0"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</r>
  <r>
    <s v="Below the Line"/>
    <x v="2"/>
    <s v=""/>
    <s v="ARTE"/>
    <x v="936"/>
    <s v="Despedia Solteros"/>
    <m/>
    <n v="0"/>
    <n v="0"/>
    <n v="0"/>
    <n v="0"/>
    <n v="0"/>
    <n v="0"/>
    <n v="0"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</r>
  <r>
    <s v="Below the Line"/>
    <x v="2"/>
    <s v=""/>
    <s v="ARTE"/>
    <x v="938"/>
    <s v="Casa Joaquín"/>
    <m/>
    <n v="0"/>
    <n v="0"/>
    <n v="0"/>
    <n v="0"/>
    <n v="0"/>
    <n v="0"/>
    <n v="0"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</r>
  <r>
    <s v="Below the Line"/>
    <x v="2"/>
    <s v=""/>
    <s v="ARTE"/>
    <x v="940"/>
    <s v="Fiesta Lideres de Jalisco"/>
    <m/>
    <n v="0"/>
    <n v="0"/>
    <n v="0"/>
    <n v="0"/>
    <n v="0"/>
    <n v="0"/>
    <n v="0"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</r>
  <r>
    <s v="Below the Line"/>
    <x v="2"/>
    <s v=""/>
    <s v="ARTE"/>
    <x v="942"/>
    <s v="Sets Extras"/>
    <m/>
    <n v="0"/>
    <n v="0"/>
    <n v="0"/>
    <n v="0"/>
    <n v="0"/>
    <n v="0"/>
    <n v="0"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</r>
  <r>
    <s v="Below the Line"/>
    <x v="2"/>
    <s v=""/>
    <m/>
    <x v="944"/>
    <s v="Imágenes de stock"/>
    <m/>
    <n v="0"/>
    <n v="0"/>
    <n v="0"/>
    <n v="0"/>
    <n v="0"/>
    <n v="0"/>
    <n v="0"/>
  </r>
  <r>
    <s v="Below the Line"/>
    <x v="2"/>
    <s v="ALL SHOW"/>
    <m/>
    <x v="945"/>
    <s v="Getty Images"/>
    <m/>
    <n v="107630"/>
    <n v="0"/>
    <n v="107630"/>
    <n v="0"/>
    <n v="107630"/>
    <n v="107630"/>
    <n v="0"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</r>
  <r>
    <s v="Below the Line"/>
    <x v="2"/>
    <s v=""/>
    <m/>
    <x v="947"/>
    <s v="Renta Bodega de decoración"/>
    <m/>
    <n v="0"/>
    <n v="0"/>
    <n v="0"/>
    <n v="0"/>
    <n v="0"/>
    <n v="0"/>
    <n v="0"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</r>
  <r>
    <s v="Below the Line"/>
    <x v="2"/>
    <s v=""/>
    <m/>
    <x v="949"/>
    <s v="Mudanza a Bodega de decoración"/>
    <m/>
    <n v="0"/>
    <n v="0"/>
    <n v="0"/>
    <n v="0"/>
    <n v="0"/>
    <n v="0"/>
    <n v="0"/>
  </r>
  <r>
    <s v="Below the Line"/>
    <x v="2"/>
    <s v="PREP"/>
    <m/>
    <x v="950"/>
    <s v="Prep"/>
    <m/>
    <n v="0"/>
    <n v="0"/>
    <n v="0"/>
    <n v="0"/>
    <n v="0"/>
    <n v="30000"/>
    <n v="30000"/>
  </r>
  <r>
    <s v="Below the Line"/>
    <x v="2"/>
    <s v=""/>
    <m/>
    <x v="951"/>
    <s v="Bodeguero - Edith García Santana"/>
    <m/>
    <n v="0"/>
    <n v="0"/>
    <n v="0"/>
    <n v="0"/>
    <n v="0"/>
    <n v="0"/>
    <n v="0"/>
  </r>
  <r>
    <s v="Below the Line"/>
    <x v="2"/>
    <s v="PREP"/>
    <m/>
    <x v="952"/>
    <s v="Prep"/>
    <m/>
    <n v="18900"/>
    <n v="0"/>
    <n v="18900"/>
    <n v="0"/>
    <n v="18900"/>
    <n v="18900"/>
    <n v="0"/>
  </r>
  <r>
    <s v="Below the Line"/>
    <x v="2"/>
    <s v="SHOOT"/>
    <m/>
    <x v="953"/>
    <s v="Shoot"/>
    <m/>
    <n v="44100"/>
    <n v="0"/>
    <n v="44100"/>
    <n v="0"/>
    <n v="44100"/>
    <n v="44100"/>
    <n v="0"/>
  </r>
  <r>
    <s v="Below the Line"/>
    <x v="2"/>
    <s v="WRAP"/>
    <m/>
    <x v="954"/>
    <s v="Wrap"/>
    <m/>
    <n v="21420"/>
    <n v="0"/>
    <n v="21420"/>
    <n v="0"/>
    <n v="21420"/>
    <n v="12600"/>
    <n v="-8820"/>
  </r>
  <r>
    <s v="Below the Line"/>
    <x v="2"/>
    <s v=""/>
    <m/>
    <x v="955"/>
    <s v="Apoyos bodega decoración"/>
    <m/>
    <n v="0"/>
    <n v="0"/>
    <n v="0"/>
    <n v="0"/>
    <n v="0"/>
    <n v="0"/>
    <n v="0"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</r>
  <r>
    <s v="Below the Line"/>
    <x v="2"/>
    <s v=""/>
    <m/>
    <x v="957"/>
    <s v="Seguridad Bodega de decoración"/>
    <m/>
    <n v="0"/>
    <n v="0"/>
    <n v="0"/>
    <n v="0"/>
    <n v="0"/>
    <n v="0"/>
    <n v="0"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</r>
  <r>
    <s v="Below the Line"/>
    <x v="2"/>
    <s v=""/>
    <m/>
    <x v="960"/>
    <s v="Loss &amp; Damage"/>
    <m/>
    <n v="0"/>
    <n v="0"/>
    <n v="0"/>
    <n v="0"/>
    <n v="0"/>
    <n v="0"/>
    <n v="0"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</r>
  <r>
    <s v="Below the Line"/>
    <x v="1"/>
    <m/>
    <m/>
    <x v="963"/>
    <s v="PROP MASTER"/>
    <m/>
    <n v="360500"/>
    <n v="0"/>
    <n v="360500"/>
    <n v="0"/>
    <n v="360500"/>
    <n v="360500"/>
    <n v="0"/>
  </r>
  <r>
    <s v="Below the Line"/>
    <x v="2"/>
    <s v=""/>
    <s v="NOM"/>
    <x v="964"/>
    <s v="Propmaster - Luis Domínguez"/>
    <m/>
    <n v="0"/>
    <n v="0"/>
    <n v="0"/>
    <n v="0"/>
    <n v="0"/>
    <n v="0"/>
    <n v="0"/>
  </r>
  <r>
    <s v="Below the Line"/>
    <x v="2"/>
    <s v="PREP"/>
    <s v="NOM"/>
    <x v="965"/>
    <s v="Prep"/>
    <m/>
    <n v="85000"/>
    <n v="0"/>
    <n v="85000"/>
    <n v="0"/>
    <n v="85000"/>
    <n v="85000"/>
    <n v="0"/>
  </r>
  <r>
    <s v="Below the Line"/>
    <x v="2"/>
    <s v="SHOOT"/>
    <s v="NOM"/>
    <x v="966"/>
    <s v="Shoot"/>
    <m/>
    <n v="119000"/>
    <n v="0"/>
    <n v="119000"/>
    <n v="0"/>
    <n v="119000"/>
    <n v="119000"/>
    <n v="0"/>
  </r>
  <r>
    <s v="Below the Line"/>
    <x v="2"/>
    <s v="WRAP"/>
    <s v="NOM"/>
    <x v="967"/>
    <s v="Wrap"/>
    <m/>
    <n v="34000"/>
    <n v="0"/>
    <n v="34000"/>
    <n v="0"/>
    <n v="34000"/>
    <n v="34000"/>
    <n v="0"/>
  </r>
  <r>
    <s v="Below the Line"/>
    <x v="2"/>
    <s v=""/>
    <s v="NOM"/>
    <x v="968"/>
    <s v="Propmaster Assistant - Ana Karina Perez"/>
    <m/>
    <n v="0"/>
    <n v="0"/>
    <n v="0"/>
    <n v="0"/>
    <n v="0"/>
    <n v="0"/>
    <n v="0"/>
  </r>
  <r>
    <s v="Below the Line"/>
    <x v="2"/>
    <s v="PREP"/>
    <s v="NOM"/>
    <x v="969"/>
    <s v="Prep"/>
    <m/>
    <n v="39200"/>
    <n v="0"/>
    <n v="39200"/>
    <n v="0"/>
    <n v="39200"/>
    <n v="39200"/>
    <n v="0"/>
  </r>
  <r>
    <s v="Below the Line"/>
    <x v="2"/>
    <s v="SHOOT"/>
    <s v="NOM"/>
    <x v="970"/>
    <s v="Shoot"/>
    <m/>
    <n v="68600"/>
    <n v="0"/>
    <n v="68600"/>
    <n v="0"/>
    <n v="68600"/>
    <n v="68600"/>
    <n v="0"/>
  </r>
  <r>
    <s v="Below the Line"/>
    <x v="2"/>
    <s v="WRAP"/>
    <s v="NOM"/>
    <x v="971"/>
    <s v="Wrap"/>
    <m/>
    <n v="14700"/>
    <n v="0"/>
    <n v="14700"/>
    <n v="0"/>
    <n v="14700"/>
    <n v="14700"/>
    <n v="0"/>
  </r>
  <r>
    <s v="Below the Line"/>
    <x v="1"/>
    <m/>
    <m/>
    <x v="972"/>
    <s v="ASISTENTE DE PROPS"/>
    <m/>
    <n v="105800"/>
    <n v="0"/>
    <n v="105800"/>
    <n v="0"/>
    <n v="105800"/>
    <n v="111000"/>
    <n v="5200"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</r>
  <r>
    <s v="Below the Line"/>
    <x v="2"/>
    <s v="PREP"/>
    <s v="NOM"/>
    <x v="974"/>
    <s v="Prep"/>
    <m/>
    <n v="24000"/>
    <n v="0"/>
    <n v="24000"/>
    <n v="0"/>
    <n v="24000"/>
    <n v="24000"/>
    <n v="0"/>
  </r>
  <r>
    <s v="Below the Line"/>
    <x v="2"/>
    <s v="SHOOT"/>
    <s v="NOM"/>
    <x v="975"/>
    <s v="Shoot"/>
    <m/>
    <n v="56000"/>
    <n v="0"/>
    <n v="56000"/>
    <n v="0"/>
    <n v="56000"/>
    <n v="56000"/>
    <n v="0"/>
  </r>
  <r>
    <s v="Below the Line"/>
    <x v="2"/>
    <s v=""/>
    <s v="NOM"/>
    <x v="976"/>
    <s v="Assistant Propmaster Segunda Unidad - TBD"/>
    <m/>
    <n v="0"/>
    <n v="0"/>
    <n v="0"/>
    <n v="0"/>
    <n v="0"/>
    <n v="0"/>
    <n v="0"/>
  </r>
  <r>
    <s v="Below the Line"/>
    <x v="2"/>
    <s v="2nd Unit"/>
    <s v="NOM"/>
    <x v="977"/>
    <s v="Shoot"/>
    <m/>
    <n v="16000"/>
    <n v="0"/>
    <n v="16000"/>
    <n v="0"/>
    <n v="16000"/>
    <n v="16000"/>
    <n v="0"/>
  </r>
  <r>
    <s v="Below the Line"/>
    <x v="2"/>
    <s v=""/>
    <s v="NOM"/>
    <x v="978"/>
    <s v="Propmaster on Set Segunda Unidad - TBD"/>
    <m/>
    <n v="0"/>
    <n v="0"/>
    <n v="0"/>
    <n v="0"/>
    <n v="0"/>
    <n v="0"/>
    <n v="0"/>
  </r>
  <r>
    <s v="Below the Line"/>
    <x v="2"/>
    <s v="2nd Unit"/>
    <s v="NOM"/>
    <x v="979"/>
    <s v="Shoot"/>
    <m/>
    <n v="9800"/>
    <n v="0"/>
    <n v="9800"/>
    <n v="0"/>
    <n v="9800"/>
    <n v="15000"/>
    <n v="5200"/>
  </r>
  <r>
    <s v="Below the Line"/>
    <x v="1"/>
    <m/>
    <m/>
    <x v="980"/>
    <s v="FABRICANTE DE PROPS"/>
    <m/>
    <n v="67840.75"/>
    <n v="0"/>
    <n v="67840.75"/>
    <n v="0"/>
    <n v="67840.75"/>
    <n v="102500"/>
    <n v="34659.25"/>
  </r>
  <r>
    <s v="Below the Line"/>
    <x v="2"/>
    <s v=""/>
    <s v="NOM"/>
    <x v="981"/>
    <s v="Coordinador de Multimedia - Bruno Camacho"/>
    <m/>
    <n v="0"/>
    <n v="0"/>
    <n v="0"/>
    <n v="0"/>
    <n v="0"/>
    <n v="0"/>
    <n v="0"/>
  </r>
  <r>
    <s v="Below the Line"/>
    <x v="2"/>
    <s v="SHOOT"/>
    <s v="NOM"/>
    <x v="982"/>
    <s v="Shoot"/>
    <m/>
    <n v="50500"/>
    <n v="0"/>
    <n v="50500"/>
    <n v="0"/>
    <n v="50500"/>
    <n v="52500"/>
    <n v="2000"/>
  </r>
  <r>
    <s v="Below the Line"/>
    <x v="2"/>
    <s v=""/>
    <s v="NOM"/>
    <x v="983"/>
    <s v="Prop Manufacture"/>
    <m/>
    <n v="0"/>
    <n v="0"/>
    <n v="0"/>
    <n v="0"/>
    <n v="0"/>
    <n v="0"/>
    <n v="0"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</r>
  <r>
    <s v="Below the Line"/>
    <x v="2"/>
    <s v=""/>
    <m/>
    <x v="986"/>
    <s v="Expendables Props"/>
    <m/>
    <n v="0"/>
    <n v="0"/>
    <n v="0"/>
    <n v="0"/>
    <n v="0"/>
    <n v="0"/>
    <n v="0"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</r>
  <r>
    <s v="Below the Line"/>
    <x v="2"/>
    <s v=""/>
    <m/>
    <x v="989"/>
    <s v="Purchases for Series"/>
    <m/>
    <n v="0"/>
    <n v="0"/>
    <n v="0"/>
    <n v="0"/>
    <n v="0"/>
    <n v="0"/>
    <n v="0"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</r>
  <r>
    <s v="Below the Line"/>
    <x v="2"/>
    <s v=""/>
    <m/>
    <x v="992"/>
    <s v="Loss &amp; Damages"/>
    <m/>
    <n v="0"/>
    <n v="0"/>
    <n v="0"/>
    <n v="0"/>
    <n v="0"/>
    <n v="0"/>
    <n v="0"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</r>
  <r>
    <s v="Below the Line"/>
    <x v="2"/>
    <s v=""/>
    <m/>
    <x v="998"/>
    <s v="Asistente Coordinador de Picture Cars - TBD"/>
    <m/>
    <n v="0"/>
    <n v="0"/>
    <n v="0"/>
    <n v="0"/>
    <n v="0"/>
    <n v="0"/>
    <n v="0"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</r>
  <r>
    <s v="Below the Line"/>
    <x v="2"/>
    <s v=""/>
    <m/>
    <x v="1001"/>
    <s v="Picture Cars"/>
    <m/>
    <n v="0"/>
    <n v="0"/>
    <n v="0"/>
    <n v="0"/>
    <n v="0"/>
    <n v="0"/>
    <n v="0"/>
  </r>
  <r>
    <s v="Below the Line"/>
    <x v="2"/>
    <s v="SHOOT"/>
    <m/>
    <x v="1002"/>
    <s v="Vehículos ND Gama Baja"/>
    <m/>
    <n v="45000"/>
    <n v="0"/>
    <n v="45000"/>
    <n v="0"/>
    <n v="45000"/>
    <n v="45000"/>
    <n v="0"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</r>
  <r>
    <s v="Below the Line"/>
    <x v="2"/>
    <s v="SHOOT"/>
    <m/>
    <x v="1005"/>
    <s v="Vehículos ND Gama Alta"/>
    <m/>
    <n v="67200"/>
    <n v="0"/>
    <n v="67200"/>
    <n v="0"/>
    <n v="67200"/>
    <n v="67200"/>
    <n v="0"/>
  </r>
  <r>
    <s v="Below the Line"/>
    <x v="2"/>
    <s v="SHOOT"/>
    <m/>
    <x v="1006"/>
    <s v="Patrulla Matías"/>
    <m/>
    <n v="24000"/>
    <n v="0"/>
    <n v="24000"/>
    <n v="0"/>
    <n v="24000"/>
    <n v="24000"/>
    <n v="0"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</r>
  <r>
    <s v="Below the Line"/>
    <x v="2"/>
    <s v="SHOOT"/>
    <m/>
    <x v="1009"/>
    <s v="Suburban Guaruras Perla"/>
    <m/>
    <n v="9500"/>
    <n v="0"/>
    <n v="9500"/>
    <n v="0"/>
    <n v="9500"/>
    <n v="9500"/>
    <n v="0"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</r>
  <r>
    <s v="Below the Line"/>
    <x v="2"/>
    <s v="SHOOT"/>
    <m/>
    <x v="1011"/>
    <s v="Auto Ernesto"/>
    <m/>
    <n v="0"/>
    <n v="0"/>
    <n v="0"/>
    <n v="0"/>
    <n v="0"/>
    <n v="12000"/>
    <n v="12000"/>
  </r>
  <r>
    <s v="Below the Line"/>
    <x v="2"/>
    <s v="SHOOT"/>
    <m/>
    <x v="1012"/>
    <s v="Camioneta Regina"/>
    <m/>
    <n v="12000"/>
    <n v="0"/>
    <n v="12000"/>
    <n v="0"/>
    <n v="12000"/>
    <n v="12000"/>
    <n v="0"/>
  </r>
  <r>
    <s v="Below the Line"/>
    <x v="2"/>
    <s v="SHOOT"/>
    <m/>
    <x v="1013"/>
    <s v="Camión Niños Cometa"/>
    <m/>
    <n v="14400"/>
    <n v="0"/>
    <n v="14400"/>
    <n v="0"/>
    <n v="14400"/>
    <n v="14400"/>
    <n v="0"/>
  </r>
  <r>
    <s v="Below the Line"/>
    <x v="2"/>
    <s v="SHOOT"/>
    <m/>
    <x v="1014"/>
    <s v="Camioneta Lemus"/>
    <m/>
    <n v="24000"/>
    <n v="0"/>
    <n v="24000"/>
    <n v="0"/>
    <n v="24000"/>
    <n v="12000"/>
    <n v="-12000"/>
  </r>
  <r>
    <s v="Below the Line"/>
    <x v="2"/>
    <s v="SHOOT"/>
    <m/>
    <x v="1015"/>
    <s v="Jeep Violeta Fiesta Ranchera"/>
    <m/>
    <n v="25200"/>
    <n v="0"/>
    <n v="25200"/>
    <n v="0"/>
    <n v="25200"/>
    <n v="25200"/>
    <n v="0"/>
  </r>
  <r>
    <s v="Below the Line"/>
    <x v="2"/>
    <s v="SHOOT"/>
    <m/>
    <x v="1016"/>
    <s v="Suburban El Manantial"/>
    <m/>
    <n v="0"/>
    <n v="0"/>
    <n v="0"/>
    <n v="0"/>
    <n v="0"/>
    <n v="24000"/>
    <n v="24000"/>
  </r>
  <r>
    <s v="Below the Line"/>
    <x v="2"/>
    <s v="SHOOT"/>
    <m/>
    <x v="1017"/>
    <s v="Camioneta Jimena"/>
    <m/>
    <n v="0"/>
    <n v="0"/>
    <n v="0"/>
    <n v="0"/>
    <n v="0"/>
    <n v="56000"/>
    <n v="56000"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</r>
  <r>
    <s v="Below the Line"/>
    <x v="2"/>
    <s v="SHOOT"/>
    <m/>
    <x v="1019"/>
    <s v="Camioneta Matías"/>
    <m/>
    <n v="0"/>
    <n v="0"/>
    <n v="0"/>
    <n v="0"/>
    <n v="0"/>
    <n v="70000"/>
    <n v="70000"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</r>
  <r>
    <s v="Below the Line"/>
    <x v="2"/>
    <s v="SHOOT"/>
    <m/>
    <x v="1022"/>
    <s v="Comisión OAD"/>
    <m/>
    <n v="55000"/>
    <n v="0"/>
    <n v="55000"/>
    <n v="0"/>
    <n v="55000"/>
    <n v="0"/>
    <n v="-55000"/>
  </r>
  <r>
    <s v="Below the Line"/>
    <x v="1"/>
    <m/>
    <m/>
    <x v="1023"/>
    <s v="WRANGLERS ANIMALES"/>
    <m/>
    <n v="98000"/>
    <n v="0"/>
    <n v="98000"/>
    <n v="0"/>
    <n v="98000"/>
    <n v="63600"/>
    <n v="-34400"/>
  </r>
  <r>
    <s v="Below the Line"/>
    <x v="2"/>
    <s v=""/>
    <m/>
    <x v="1024"/>
    <s v="Animal Wrangler - Rodrigo Hernández"/>
    <m/>
    <n v="0"/>
    <n v="0"/>
    <n v="0"/>
    <n v="0"/>
    <n v="0"/>
    <n v="0"/>
    <n v="0"/>
  </r>
  <r>
    <s v="Below the Line"/>
    <x v="2"/>
    <s v="PREP"/>
    <m/>
    <x v="1025"/>
    <s v="Prep"/>
    <m/>
    <n v="10000"/>
    <n v="0"/>
    <n v="10000"/>
    <n v="0"/>
    <n v="10000"/>
    <n v="10000"/>
    <n v="0"/>
  </r>
  <r>
    <s v="Below the Line"/>
    <x v="2"/>
    <s v="SHOOT"/>
    <m/>
    <x v="1026"/>
    <s v="Arete"/>
    <m/>
    <n v="88000"/>
    <n v="0"/>
    <n v="88000"/>
    <n v="0"/>
    <n v="88000"/>
    <n v="53600"/>
    <n v="-34400"/>
  </r>
  <r>
    <s v="Below the Line"/>
    <x v="1"/>
    <m/>
    <m/>
    <x v="1027"/>
    <s v="ANIMALES EN ESCENA"/>
    <m/>
    <n v="411050"/>
    <n v="0"/>
    <n v="411050"/>
    <n v="0"/>
    <n v="411050"/>
    <n v="303850"/>
    <n v="-107200"/>
  </r>
  <r>
    <s v="Below the Line"/>
    <x v="2"/>
    <s v=""/>
    <m/>
    <x v="1028"/>
    <s v="Caballos Gabriel/Jimena/Matías/Violeta"/>
    <m/>
    <n v="0"/>
    <n v="0"/>
    <n v="0"/>
    <n v="0"/>
    <n v="0"/>
    <n v="0"/>
    <n v="0"/>
  </r>
  <r>
    <s v="Below the Line"/>
    <x v="2"/>
    <s v="SHOOT"/>
    <m/>
    <x v="1029"/>
    <s v="Caballo Gabriel"/>
    <m/>
    <n v="58120"/>
    <n v="0"/>
    <n v="58120"/>
    <m/>
    <n v="58120"/>
    <n v="30000"/>
    <n v="-28120"/>
  </r>
  <r>
    <s v="Below the Line"/>
    <x v="2"/>
    <s v="SHOOT"/>
    <m/>
    <x v="1030"/>
    <s v="Caballo Jimena"/>
    <m/>
    <n v="57600"/>
    <n v="0"/>
    <n v="57600"/>
    <n v="0"/>
    <n v="57600"/>
    <n v="30000"/>
    <n v="-27600"/>
  </r>
  <r>
    <s v="Below the Line"/>
    <x v="2"/>
    <s v="SHOOT"/>
    <m/>
    <x v="1031"/>
    <s v="Caballo Matías"/>
    <m/>
    <n v="76800"/>
    <n v="0"/>
    <n v="76800"/>
    <n v="0"/>
    <n v="76800"/>
    <n v="40000"/>
    <n v="-36800"/>
  </r>
  <r>
    <s v="Below the Line"/>
    <x v="2"/>
    <s v="SHOOT"/>
    <m/>
    <x v="1032"/>
    <s v="Caballo Violeta"/>
    <m/>
    <n v="67800"/>
    <n v="0"/>
    <n v="67800"/>
    <n v="0"/>
    <n v="67800"/>
    <n v="40000"/>
    <n v="-27800"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</r>
  <r>
    <s v="Below the Line"/>
    <x v="2"/>
    <s v="SHOOT"/>
    <m/>
    <x v="1034"/>
    <s v="Caballo Sueño Jimena"/>
    <m/>
    <n v="18000"/>
    <n v="0"/>
    <n v="18000"/>
    <n v="0"/>
    <n v="18000"/>
    <n v="10000"/>
    <n v="-8000"/>
  </r>
  <r>
    <s v="Below the Line"/>
    <x v="2"/>
    <s v=""/>
    <m/>
    <x v="1035"/>
    <s v="Animales en escena "/>
    <m/>
    <n v="0"/>
    <n v="0"/>
    <n v="0"/>
    <n v="0"/>
    <n v="0"/>
    <n v="0"/>
    <n v="0"/>
  </r>
  <r>
    <s v="Below the Line"/>
    <x v="2"/>
    <s v="SHOOT"/>
    <m/>
    <x v="1036"/>
    <s v="Canarios Perla"/>
    <m/>
    <n v="6250"/>
    <n v="0"/>
    <n v="6250"/>
    <n v="0"/>
    <n v="6250"/>
    <n v="5250"/>
    <n v="-1000"/>
  </r>
  <r>
    <s v="Below the Line"/>
    <x v="2"/>
    <s v="SHOOT"/>
    <m/>
    <x v="1037"/>
    <s v="Gallinas Granero"/>
    <m/>
    <n v="6080"/>
    <n v="0"/>
    <n v="6080"/>
    <n v="0"/>
    <n v="6080"/>
    <n v="15200"/>
    <n v="9120"/>
  </r>
  <r>
    <s v="Below the Line"/>
    <x v="2"/>
    <s v="SHOOT"/>
    <m/>
    <x v="1038"/>
    <s v="Gansos Lago Manantial"/>
    <m/>
    <n v="0"/>
    <n v="0"/>
    <n v="0"/>
    <n v="0"/>
    <n v="0"/>
    <n v="21000"/>
    <n v="21000"/>
  </r>
  <r>
    <s v="Below the Line"/>
    <x v="2"/>
    <s v="SHOOT"/>
    <m/>
    <x v="1039"/>
    <s v="Gatos Veterinaria"/>
    <m/>
    <n v="0"/>
    <n v="0"/>
    <n v="0"/>
    <n v="0"/>
    <n v="0"/>
    <n v="14400"/>
    <n v="14400"/>
  </r>
  <r>
    <s v="Below the Line"/>
    <x v="2"/>
    <s v="SHOOT"/>
    <m/>
    <x v="1040"/>
    <s v="Perro Coco"/>
    <m/>
    <n v="5200"/>
    <n v="0"/>
    <n v="5200"/>
    <n v="0"/>
    <n v="5200"/>
    <n v="5200"/>
    <n v="0"/>
  </r>
  <r>
    <s v="Below the Line"/>
    <x v="2"/>
    <s v="SHOOT"/>
    <m/>
    <x v="1041"/>
    <s v="Perros Veterinaria"/>
    <m/>
    <n v="10400"/>
    <n v="0"/>
    <n v="10400"/>
    <n v="0"/>
    <n v="10400"/>
    <n v="15600"/>
    <n v="5200"/>
  </r>
  <r>
    <s v="Below the Line"/>
    <x v="2"/>
    <s v="SHOOT"/>
    <m/>
    <x v="1042"/>
    <s v="Caballos Fiesta Ranchera"/>
    <m/>
    <n v="30400"/>
    <n v="0"/>
    <n v="30400"/>
    <n v="0"/>
    <n v="30400"/>
    <n v="38000"/>
    <n v="7600"/>
  </r>
  <r>
    <s v="Below the Line"/>
    <x v="2"/>
    <s v="SHOOT"/>
    <m/>
    <x v="1043"/>
    <s v="Serpiente"/>
    <m/>
    <n v="6400"/>
    <n v="0"/>
    <n v="6400"/>
    <n v="0"/>
    <n v="6400"/>
    <n v="3200"/>
    <n v="-3200"/>
  </r>
  <r>
    <s v="Below the Line"/>
    <x v="1"/>
    <m/>
    <m/>
    <x v="1044"/>
    <s v="RENTAS PARA VEHICULOS / ANIMALES"/>
    <m/>
    <n v="0"/>
    <n v="0"/>
    <n v="0"/>
    <n v="0"/>
    <n v="0"/>
    <n v="25000"/>
    <n v="25000"/>
  </r>
  <r>
    <s v="Below the Line"/>
    <x v="2"/>
    <s v=""/>
    <m/>
    <x v="1045"/>
    <s v="Costo de traslado Animales"/>
    <m/>
    <n v="0"/>
    <n v="0"/>
    <n v="0"/>
    <n v="0"/>
    <n v="0"/>
    <n v="0"/>
    <n v="0"/>
  </r>
  <r>
    <s v="Below the Line"/>
    <x v="2"/>
    <s v="ALL SHOW"/>
    <m/>
    <x v="1046"/>
    <s v="MEX - GDL - MEX"/>
    <m/>
    <n v="0"/>
    <n v="0"/>
    <n v="0"/>
    <n v="0"/>
    <n v="0"/>
    <n v="25000"/>
    <n v="25000"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</r>
  <r>
    <s v="Below the Line"/>
    <x v="1"/>
    <m/>
    <m/>
    <x v="1048"/>
    <s v="DISEÑADOR DE VESTUARIO"/>
    <m/>
    <n v="382500"/>
    <n v="0"/>
    <n v="382500"/>
    <n v="0"/>
    <n v="382500"/>
    <n v="382500"/>
    <n v="0"/>
  </r>
  <r>
    <s v="Below the Line"/>
    <x v="2"/>
    <s v=""/>
    <m/>
    <x v="1049"/>
    <s v="Diseñadora de Vestuario - Mariana Chavira"/>
    <m/>
    <n v="0"/>
    <n v="0"/>
    <n v="0"/>
    <n v="0"/>
    <n v="0"/>
    <n v="0"/>
    <n v="0"/>
  </r>
  <r>
    <s v="Below the Line"/>
    <x v="2"/>
    <s v="PREP"/>
    <m/>
    <x v="1050"/>
    <s v="Prep"/>
    <m/>
    <n v="202500"/>
    <n v="0"/>
    <n v="202500"/>
    <n v="0"/>
    <n v="202500"/>
    <n v="202500"/>
    <n v="0"/>
  </r>
  <r>
    <s v="Below the Line"/>
    <x v="2"/>
    <s v="SHOOT"/>
    <m/>
    <x v="1051"/>
    <s v="Shoot"/>
    <m/>
    <n v="157500"/>
    <n v="0"/>
    <n v="157500"/>
    <n v="0"/>
    <n v="157500"/>
    <n v="157500"/>
    <n v="0"/>
  </r>
  <r>
    <s v="Below the Line"/>
    <x v="2"/>
    <s v="WRAP"/>
    <m/>
    <x v="1052"/>
    <s v="Wrap"/>
    <m/>
    <n v="22500"/>
    <n v="0"/>
    <n v="22500"/>
    <n v="0"/>
    <n v="22500"/>
    <n v="22500"/>
    <n v="0"/>
  </r>
  <r>
    <s v="Below the Line"/>
    <x v="1"/>
    <m/>
    <m/>
    <x v="1053"/>
    <s v="SUPERVISOR VESTUARIO"/>
    <m/>
    <n v="160000"/>
    <n v="0"/>
    <n v="160000"/>
    <n v="0"/>
    <n v="160000"/>
    <n v="160000"/>
    <n v="0"/>
  </r>
  <r>
    <s v="Below the Line"/>
    <x v="2"/>
    <s v=""/>
    <m/>
    <x v="1054"/>
    <s v="Supervisor / Jefa de Vestuario - Erick Diaz"/>
    <m/>
    <n v="0"/>
    <n v="0"/>
    <n v="0"/>
    <n v="0"/>
    <n v="0"/>
    <n v="0"/>
    <n v="0"/>
  </r>
  <r>
    <s v="Below the Line"/>
    <x v="2"/>
    <s v="PREP"/>
    <m/>
    <x v="1055"/>
    <s v="Prep"/>
    <m/>
    <n v="70000"/>
    <n v="0"/>
    <n v="70000"/>
    <n v="0"/>
    <n v="70000"/>
    <n v="70000"/>
    <n v="0"/>
  </r>
  <r>
    <s v="Below the Line"/>
    <x v="2"/>
    <s v="SHOOT"/>
    <m/>
    <x v="1056"/>
    <s v="Shoot"/>
    <m/>
    <n v="70000"/>
    <n v="0"/>
    <n v="70000"/>
    <n v="0"/>
    <n v="70000"/>
    <n v="70000"/>
    <n v="0"/>
  </r>
  <r>
    <s v="Below the Line"/>
    <x v="2"/>
    <s v="WRAP"/>
    <m/>
    <x v="1057"/>
    <s v="Wrap"/>
    <m/>
    <n v="20000"/>
    <n v="0"/>
    <n v="20000"/>
    <n v="0"/>
    <n v="20000"/>
    <n v="20000"/>
    <n v="0"/>
  </r>
  <r>
    <s v="Below the Line"/>
    <x v="1"/>
    <m/>
    <m/>
    <x v="1058"/>
    <s v="COORDINADOR DE VESTUARIO"/>
    <m/>
    <n v="252000"/>
    <n v="0"/>
    <n v="252000"/>
    <n v="0"/>
    <n v="252000"/>
    <n v="252000"/>
    <n v="0"/>
  </r>
  <r>
    <s v="Below the Line"/>
    <x v="2"/>
    <s v=""/>
    <m/>
    <x v="1059"/>
    <s v="Coordinadora de Vestuario - Jaqueline Delgado"/>
    <m/>
    <n v="0"/>
    <n v="0"/>
    <n v="0"/>
    <n v="0"/>
    <n v="0"/>
    <n v="0"/>
    <n v="0"/>
  </r>
  <r>
    <s v="Below the Line"/>
    <x v="2"/>
    <s v="PREP"/>
    <m/>
    <x v="1060"/>
    <s v="Prep"/>
    <m/>
    <n v="126000"/>
    <n v="0"/>
    <n v="126000"/>
    <n v="0"/>
    <n v="126000"/>
    <n v="126000"/>
    <n v="0"/>
  </r>
  <r>
    <s v="Below the Line"/>
    <x v="2"/>
    <s v="SHOOT"/>
    <m/>
    <x v="1061"/>
    <s v="Shoot"/>
    <m/>
    <n v="98000"/>
    <n v="0"/>
    <n v="98000"/>
    <n v="0"/>
    <n v="98000"/>
    <n v="98000"/>
    <n v="0"/>
  </r>
  <r>
    <s v="Below the Line"/>
    <x v="2"/>
    <s v="WRAP"/>
    <m/>
    <x v="1062"/>
    <s v="Wrap"/>
    <m/>
    <n v="28000"/>
    <n v="0"/>
    <n v="28000"/>
    <n v="0"/>
    <n v="28000"/>
    <n v="28000"/>
    <n v="0"/>
  </r>
  <r>
    <s v="Below the Line"/>
    <x v="1"/>
    <m/>
    <m/>
    <x v="1063"/>
    <s v="VESTUARISTA SET"/>
    <m/>
    <n v="121500"/>
    <n v="0"/>
    <n v="121500"/>
    <n v="0"/>
    <n v="121500"/>
    <n v="120000"/>
    <n v="-1500"/>
  </r>
  <r>
    <s v="Below the Line"/>
    <x v="2"/>
    <s v=""/>
    <m/>
    <x v="1064"/>
    <s v="On Set Vestuario - Kristian Rodriguéz"/>
    <m/>
    <n v="0"/>
    <n v="0"/>
    <n v="0"/>
    <n v="0"/>
    <n v="0"/>
    <n v="0"/>
    <n v="0"/>
  </r>
  <r>
    <s v="Below the Line"/>
    <x v="2"/>
    <s v="PREP"/>
    <m/>
    <x v="1065"/>
    <s v="Prep"/>
    <m/>
    <n v="24000"/>
    <n v="0"/>
    <n v="24000"/>
    <n v="0"/>
    <n v="24000"/>
    <n v="24000"/>
    <n v="0"/>
  </r>
  <r>
    <s v="Below the Line"/>
    <x v="2"/>
    <s v="SHOOT"/>
    <m/>
    <x v="1066"/>
    <s v="Shoot"/>
    <m/>
    <n v="56000"/>
    <n v="0"/>
    <n v="56000"/>
    <n v="0"/>
    <n v="56000"/>
    <n v="56000"/>
    <n v="0"/>
  </r>
  <r>
    <s v="Below the Line"/>
    <x v="2"/>
    <s v="WRAP"/>
    <m/>
    <x v="1067"/>
    <s v="Wrap"/>
    <m/>
    <n v="16000"/>
    <n v="0"/>
    <n v="16000"/>
    <n v="0"/>
    <n v="16000"/>
    <n v="16000"/>
    <n v="0"/>
  </r>
  <r>
    <s v="Below the Line"/>
    <x v="2"/>
    <s v=""/>
    <m/>
    <x v="1068"/>
    <s v="On Set de Vestuario Segunda Unidad - TBD"/>
    <m/>
    <n v="0"/>
    <n v="0"/>
    <n v="0"/>
    <n v="0"/>
    <n v="0"/>
    <n v="0"/>
    <n v="0"/>
  </r>
  <r>
    <s v="Below the Line"/>
    <x v="2"/>
    <s v="2nd Unit"/>
    <m/>
    <x v="1069"/>
    <s v="Prep"/>
    <m/>
    <n v="8000"/>
    <n v="0"/>
    <n v="8000"/>
    <n v="0"/>
    <n v="8000"/>
    <n v="8000"/>
    <n v="0"/>
  </r>
  <r>
    <s v="Below the Line"/>
    <x v="2"/>
    <s v="2nd Unit"/>
    <m/>
    <x v="1070"/>
    <s v="Shoot"/>
    <m/>
    <n v="17500"/>
    <n v="0"/>
    <n v="17500"/>
    <n v="0"/>
    <n v="17500"/>
    <n v="16000"/>
    <n v="-1500"/>
  </r>
  <r>
    <s v="Below the Line"/>
    <x v="2"/>
    <s v="2nd Unit"/>
    <m/>
    <x v="1071"/>
    <s v="Wrap"/>
    <m/>
    <n v="0"/>
    <n v="0"/>
    <n v="0"/>
    <n v="0"/>
    <n v="0"/>
    <n v="0"/>
    <n v="0"/>
  </r>
  <r>
    <s v="Below the Line"/>
    <x v="1"/>
    <m/>
    <m/>
    <x v="1072"/>
    <s v="ADICIONALES VESTUARIO (LABOR)"/>
    <m/>
    <n v="318640"/>
    <n v="0"/>
    <n v="318640"/>
    <n v="0"/>
    <n v="318640"/>
    <n v="229000"/>
    <n v="-89640"/>
  </r>
  <r>
    <s v="Below the Line"/>
    <x v="2"/>
    <s v=""/>
    <m/>
    <x v="1073"/>
    <s v="Asistente de vestuario - Magdalena Izquierdo"/>
    <m/>
    <n v="0"/>
    <n v="0"/>
    <n v="0"/>
    <n v="0"/>
    <n v="0"/>
    <n v="0"/>
    <n v="0"/>
  </r>
  <r>
    <s v="Below the Line"/>
    <x v="2"/>
    <s v="PREP"/>
    <m/>
    <x v="1074"/>
    <s v="Prep"/>
    <m/>
    <n v="22500"/>
    <n v="0"/>
    <n v="22500"/>
    <n v="0"/>
    <n v="22500"/>
    <n v="22500"/>
    <n v="0"/>
  </r>
  <r>
    <s v="Below the Line"/>
    <x v="2"/>
    <s v="SHOOT"/>
    <m/>
    <x v="1075"/>
    <s v="Shoot"/>
    <m/>
    <n v="52500"/>
    <n v="0"/>
    <n v="52500"/>
    <n v="0"/>
    <n v="52500"/>
    <n v="52500"/>
    <n v="0"/>
  </r>
  <r>
    <s v="Below the Line"/>
    <x v="2"/>
    <s v="WRAP"/>
    <s v="NOM"/>
    <x v="1076"/>
    <s v="Wrap"/>
    <m/>
    <n v="22500"/>
    <n v="0"/>
    <n v="22500"/>
    <n v="0"/>
    <n v="22500"/>
    <n v="15000"/>
    <n v="-7500"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</r>
  <r>
    <s v="Below the Line"/>
    <x v="2"/>
    <s v="PREP"/>
    <m/>
    <x v="1078"/>
    <s v="Pre"/>
    <m/>
    <n v="34500"/>
    <n v="0"/>
    <n v="34500"/>
    <n v="0"/>
    <n v="34500"/>
    <n v="34500"/>
    <n v="0"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</r>
  <r>
    <s v="Below the Line"/>
    <x v="2"/>
    <s v="2nd Unit"/>
    <m/>
    <x v="1080"/>
    <s v="Prep"/>
    <m/>
    <n v="10000"/>
    <n v="0"/>
    <n v="10000"/>
    <n v="0"/>
    <n v="10000"/>
    <n v="10000"/>
    <n v="0"/>
  </r>
  <r>
    <s v="Below the Line"/>
    <x v="2"/>
    <s v="2nd Unit"/>
    <m/>
    <x v="1081"/>
    <s v="Shoot"/>
    <m/>
    <n v="20000"/>
    <n v="0"/>
    <n v="20000"/>
    <n v="0"/>
    <n v="20000"/>
    <n v="20000"/>
    <n v="0"/>
  </r>
  <r>
    <s v="Below the Line"/>
    <x v="2"/>
    <s v="2nd Unit"/>
    <m/>
    <x v="1082"/>
    <s v="Wrap"/>
    <m/>
    <n v="10000"/>
    <n v="0"/>
    <n v="10000"/>
    <n v="0"/>
    <n v="10000"/>
    <n v="10000"/>
    <n v="0"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</r>
  <r>
    <s v="Below the Line"/>
    <x v="2"/>
    <s v="2nd Unit"/>
    <m/>
    <x v="1084"/>
    <s v="Prep"/>
    <m/>
    <n v="7500"/>
    <n v="0"/>
    <n v="7500"/>
    <n v="0"/>
    <n v="7500"/>
    <n v="7500"/>
    <n v="0"/>
  </r>
  <r>
    <s v="Below the Line"/>
    <x v="2"/>
    <s v="2nd Unit"/>
    <m/>
    <x v="1085"/>
    <s v="Shoot"/>
    <m/>
    <n v="15000"/>
    <n v="0"/>
    <n v="15000"/>
    <n v="0"/>
    <n v="15000"/>
    <n v="15000"/>
    <n v="0"/>
  </r>
  <r>
    <s v="Below the Line"/>
    <x v="2"/>
    <s v="2nd Unit"/>
    <m/>
    <x v="1086"/>
    <s v="Wrap"/>
    <m/>
    <n v="7500"/>
    <n v="0"/>
    <n v="7500"/>
    <n v="0"/>
    <n v="7500"/>
    <n v="7500"/>
    <n v="0"/>
  </r>
  <r>
    <s v="Below the Line"/>
    <x v="2"/>
    <s v=""/>
    <m/>
    <x v="1087"/>
    <s v="Apoyo de vestuario Extras - TBD"/>
    <m/>
    <n v="0"/>
    <n v="0"/>
    <n v="0"/>
    <n v="0"/>
    <n v="0"/>
    <n v="0"/>
    <n v="0"/>
  </r>
  <r>
    <s v="Below the Line"/>
    <x v="2"/>
    <s v="SHOOT"/>
    <s v="NOM"/>
    <x v="1088"/>
    <s v="Shoot"/>
    <m/>
    <n v="116640"/>
    <n v="0"/>
    <n v="116640"/>
    <n v="0"/>
    <n v="116640"/>
    <n v="34500"/>
    <n v="-82140"/>
  </r>
  <r>
    <s v="Below the Line"/>
    <x v="1"/>
    <m/>
    <m/>
    <x v="1089"/>
    <s v="SASTRE/COSTURERO"/>
    <m/>
    <n v="0"/>
    <n v="0"/>
    <n v="0"/>
    <n v="0"/>
    <n v="0"/>
    <n v="10000"/>
    <n v="10000"/>
  </r>
  <r>
    <s v="Below the Line"/>
    <x v="2"/>
    <s v=""/>
    <m/>
    <x v="1090"/>
    <s v="Costurera - TBD"/>
    <m/>
    <n v="0"/>
    <n v="0"/>
    <n v="0"/>
    <n v="0"/>
    <n v="0"/>
    <n v="0"/>
    <n v="0"/>
  </r>
  <r>
    <s v="Below the Line"/>
    <x v="2"/>
    <s v="PREP"/>
    <m/>
    <x v="1091"/>
    <s v="Pre"/>
    <m/>
    <n v="0"/>
    <n v="0"/>
    <n v="0"/>
    <n v="0"/>
    <n v="0"/>
    <n v="10000"/>
    <n v="10000"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</r>
  <r>
    <s v="Below the Line"/>
    <x v="2"/>
    <s v=""/>
    <m/>
    <x v="1093"/>
    <s v="Purchases for Series"/>
    <m/>
    <n v="0"/>
    <n v="0"/>
    <n v="0"/>
    <n v="0"/>
    <n v="0"/>
    <n v="0"/>
    <n v="0"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</r>
  <r>
    <s v="Below the Line"/>
    <x v="1"/>
    <m/>
    <m/>
    <x v="1095"/>
    <s v="ALMACEN VESTUARIO"/>
    <m/>
    <n v="243950"/>
    <n v="0"/>
    <n v="243950"/>
    <n v="0"/>
    <n v="243950"/>
    <n v="299000"/>
    <n v="55050"/>
  </r>
  <r>
    <s v="Below the Line"/>
    <x v="2"/>
    <s v=""/>
    <m/>
    <x v="1096"/>
    <s v="Renta de bodega Vestuario"/>
    <m/>
    <n v="0"/>
    <n v="0"/>
    <n v="0"/>
    <n v="0"/>
    <n v="0"/>
    <n v="0"/>
    <n v="0"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</r>
  <r>
    <s v="Below the Line"/>
    <x v="2"/>
    <s v=""/>
    <m/>
    <x v="1098"/>
    <s v="Limpieza de bodega"/>
    <m/>
    <n v="0"/>
    <n v="0"/>
    <n v="0"/>
    <n v="0"/>
    <n v="0"/>
    <n v="0"/>
    <n v="0"/>
  </r>
  <r>
    <s v="Below the Line"/>
    <x v="2"/>
    <s v="ALL SHOW"/>
    <m/>
    <x v="1099"/>
    <s v="For Series"/>
    <m/>
    <n v="0"/>
    <n v="0"/>
    <n v="0"/>
    <n v="0"/>
    <n v="0"/>
    <n v="15000"/>
    <n v="15000"/>
  </r>
  <r>
    <s v="Below the Line"/>
    <x v="2"/>
    <s v=""/>
    <m/>
    <x v="1100"/>
    <s v="Bodeguero - Ricardo Delgado"/>
    <m/>
    <n v="0"/>
    <n v="0"/>
    <n v="0"/>
    <n v="0"/>
    <n v="0"/>
    <n v="0"/>
    <n v="0"/>
  </r>
  <r>
    <s v="Below the Line"/>
    <x v="2"/>
    <s v="PREP"/>
    <m/>
    <x v="1101"/>
    <s v="Prep"/>
    <m/>
    <n v="63000"/>
    <n v="0"/>
    <n v="63000"/>
    <n v="0"/>
    <n v="63000"/>
    <n v="63000"/>
    <n v="0"/>
  </r>
  <r>
    <s v="Below the Line"/>
    <x v="2"/>
    <s v="SHOOT"/>
    <m/>
    <x v="1102"/>
    <s v="Shoot"/>
    <m/>
    <n v="63000"/>
    <n v="0"/>
    <n v="63000"/>
    <n v="0"/>
    <n v="63000"/>
    <n v="63000"/>
    <n v="0"/>
  </r>
  <r>
    <s v="Below the Line"/>
    <x v="2"/>
    <s v="WRAP"/>
    <m/>
    <x v="1103"/>
    <s v="Wrap"/>
    <m/>
    <n v="18000"/>
    <n v="0"/>
    <n v="18000"/>
    <n v="0"/>
    <n v="18000"/>
    <n v="18000"/>
    <n v="0"/>
  </r>
  <r>
    <s v="Below the Line"/>
    <x v="1"/>
    <m/>
    <m/>
    <x v="1104"/>
    <s v="PERDIDA&amp;REPARACION VESTUARIO"/>
    <m/>
    <n v="0"/>
    <n v="0"/>
    <n v="0"/>
    <n v="0"/>
    <n v="0"/>
    <n v="20000"/>
    <n v="20000"/>
  </r>
  <r>
    <s v="Below the Line"/>
    <x v="2"/>
    <s v=""/>
    <m/>
    <x v="1105"/>
    <s v="L&amp;D"/>
    <m/>
    <n v="0"/>
    <n v="0"/>
    <n v="0"/>
    <n v="0"/>
    <n v="0"/>
    <n v="0"/>
    <n v="0"/>
  </r>
  <r>
    <s v="Below the Line"/>
    <x v="2"/>
    <s v="ALL SHOW"/>
    <m/>
    <x v="1106"/>
    <s v="For Series"/>
    <m/>
    <n v="0"/>
    <n v="0"/>
    <n v="0"/>
    <n v="0"/>
    <n v="0"/>
    <n v="20000"/>
    <n v="20000"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</r>
  <r>
    <s v="Below the Line"/>
    <x v="1"/>
    <m/>
    <m/>
    <x v="1108"/>
    <s v="MAQUILLISTA"/>
    <m/>
    <n v="488100"/>
    <n v="0"/>
    <n v="488100"/>
    <n v="0"/>
    <n v="488100"/>
    <n v="474900"/>
    <n v="-13200"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</r>
  <r>
    <s v="Below the Line"/>
    <x v="2"/>
    <s v="PREP"/>
    <m/>
    <x v="1110"/>
    <s v="Prep"/>
    <m/>
    <n v="147000"/>
    <n v="0"/>
    <n v="147000"/>
    <n v="0"/>
    <n v="147000"/>
    <n v="147000"/>
    <n v="0"/>
  </r>
  <r>
    <s v="Below the Line"/>
    <x v="2"/>
    <s v="SHOOT"/>
    <m/>
    <x v="1111"/>
    <s v="Shoot"/>
    <m/>
    <n v="147000"/>
    <n v="0"/>
    <n v="147000"/>
    <n v="0"/>
    <n v="147000"/>
    <n v="147000"/>
    <n v="0"/>
  </r>
  <r>
    <s v="Below the Line"/>
    <x v="2"/>
    <s v="WRAP"/>
    <m/>
    <x v="1112"/>
    <s v="Wrap"/>
    <m/>
    <n v="34200"/>
    <n v="0"/>
    <n v="34200"/>
    <n v="0"/>
    <n v="34200"/>
    <n v="21000"/>
    <n v="-13200"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</r>
  <r>
    <s v="Below the Line"/>
    <x v="2"/>
    <s v="PREP"/>
    <m/>
    <x v="1114"/>
    <s v="Prep"/>
    <m/>
    <n v="61500"/>
    <n v="0"/>
    <n v="61500"/>
    <n v="0"/>
    <n v="61500"/>
    <n v="61500"/>
    <n v="0"/>
  </r>
  <r>
    <s v="Below the Line"/>
    <x v="2"/>
    <s v="SHOOT"/>
    <m/>
    <x v="1115"/>
    <s v="Shoot"/>
    <m/>
    <n v="86100"/>
    <n v="0"/>
    <n v="86100"/>
    <n v="0"/>
    <n v="86100"/>
    <n v="86100"/>
    <n v="0"/>
  </r>
  <r>
    <s v="Below the Line"/>
    <x v="2"/>
    <s v="WRAP"/>
    <m/>
    <x v="1116"/>
    <s v="Wrap"/>
    <m/>
    <n v="12300"/>
    <n v="0"/>
    <n v="12300"/>
    <n v="0"/>
    <n v="12300"/>
    <n v="12300"/>
    <n v="0"/>
  </r>
  <r>
    <s v="Below the Line"/>
    <x v="1"/>
    <m/>
    <m/>
    <x v="1117"/>
    <s v="ASISTENTE MAQUILLISTA"/>
    <m/>
    <n v="253400"/>
    <n v="0"/>
    <n v="253400"/>
    <n v="0"/>
    <n v="253400"/>
    <n v="253400"/>
    <n v="0"/>
  </r>
  <r>
    <s v="Below the Line"/>
    <x v="2"/>
    <s v=""/>
    <s v="NOM"/>
    <x v="1118"/>
    <s v="Jefe de Maquillaje - Nicole Bolio"/>
    <m/>
    <n v="0"/>
    <n v="0"/>
    <n v="0"/>
    <n v="0"/>
    <n v="0"/>
    <n v="0"/>
    <n v="0"/>
  </r>
  <r>
    <s v="Below the Line"/>
    <x v="2"/>
    <s v="PREP"/>
    <s v="NOM"/>
    <x v="1119"/>
    <s v="Prep"/>
    <m/>
    <n v="36000"/>
    <n v="0"/>
    <n v="36000"/>
    <n v="0"/>
    <n v="36000"/>
    <n v="36000"/>
    <n v="0"/>
  </r>
  <r>
    <s v="Below the Line"/>
    <x v="2"/>
    <s v="SHOOT"/>
    <s v="NOM"/>
    <x v="1120"/>
    <s v="Shoot"/>
    <m/>
    <n v="84000"/>
    <n v="0"/>
    <n v="84000"/>
    <n v="0"/>
    <n v="84000"/>
    <n v="84000"/>
    <n v="0"/>
  </r>
  <r>
    <s v="Below the Line"/>
    <x v="2"/>
    <s v="WRAP"/>
    <s v="NOM"/>
    <x v="1121"/>
    <s v="Wrap"/>
    <m/>
    <n v="0"/>
    <n v="0"/>
    <n v="0"/>
    <n v="0"/>
    <n v="0"/>
    <n v="0"/>
    <n v="0"/>
  </r>
  <r>
    <s v="Below the Line"/>
    <x v="2"/>
    <s v=""/>
    <s v="NOM"/>
    <x v="1122"/>
    <s v="Maquillista - Karen Flores"/>
    <m/>
    <n v="0"/>
    <n v="0"/>
    <n v="0"/>
    <n v="0"/>
    <n v="0"/>
    <n v="0"/>
    <n v="0"/>
  </r>
  <r>
    <s v="Below the Line"/>
    <x v="2"/>
    <s v="PREP"/>
    <s v="NOM"/>
    <x v="1123"/>
    <s v="Prep"/>
    <m/>
    <n v="10500"/>
    <n v="0"/>
    <n v="10500"/>
    <n v="0"/>
    <n v="10500"/>
    <n v="10300"/>
    <n v="-200"/>
  </r>
  <r>
    <s v="Below the Line"/>
    <x v="2"/>
    <s v="SHOOT"/>
    <s v="NOM"/>
    <x v="1124"/>
    <s v="Shoot"/>
    <m/>
    <n v="71900"/>
    <n v="0"/>
    <n v="71900"/>
    <n v="0"/>
    <n v="71900"/>
    <n v="72100"/>
    <n v="200"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</r>
  <r>
    <s v="Below the Line"/>
    <x v="2"/>
    <s v="2nd Unit"/>
    <s v="NOM"/>
    <x v="1126"/>
    <s v="Prep"/>
    <m/>
    <n v="8000"/>
    <n v="0"/>
    <n v="8000"/>
    <n v="0"/>
    <n v="8000"/>
    <n v="9000"/>
    <n v="1000"/>
  </r>
  <r>
    <s v="Below the Line"/>
    <x v="2"/>
    <s v="2nd Unit"/>
    <s v="NOM"/>
    <x v="1127"/>
    <s v="Shoot"/>
    <m/>
    <n v="16000"/>
    <n v="0"/>
    <n v="16000"/>
    <n v="0"/>
    <n v="16000"/>
    <n v="18000"/>
    <n v="2000"/>
  </r>
  <r>
    <s v="Below the Line"/>
    <x v="2"/>
    <s v="2nd Unit"/>
    <s v="NOM"/>
    <x v="1128"/>
    <s v="Wrap"/>
    <m/>
    <n v="0"/>
    <n v="0"/>
    <n v="0"/>
    <n v="0"/>
    <n v="0"/>
    <n v="0"/>
    <n v="0"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</r>
  <r>
    <s v="Below the Line"/>
    <x v="2"/>
    <s v="2nd Unit"/>
    <s v="NOM"/>
    <x v="1130"/>
    <s v="Prep"/>
    <m/>
    <n v="9000"/>
    <n v="0"/>
    <n v="9000"/>
    <n v="0"/>
    <n v="9000"/>
    <n v="8000"/>
    <n v="-1000"/>
  </r>
  <r>
    <s v="Below the Line"/>
    <x v="2"/>
    <s v="2nd Unit"/>
    <s v="NOM"/>
    <x v="1131"/>
    <s v="Shoot"/>
    <m/>
    <n v="18000"/>
    <n v="0"/>
    <n v="18000"/>
    <n v="0"/>
    <n v="18000"/>
    <n v="16000"/>
    <n v="-2000"/>
  </r>
  <r>
    <s v="Below the Line"/>
    <x v="2"/>
    <s v="2nd Unit"/>
    <s v="NOM"/>
    <x v="1132"/>
    <s v="Wrap"/>
    <m/>
    <n v="0"/>
    <n v="0"/>
    <n v="0"/>
    <n v="0"/>
    <n v="0"/>
    <n v="0"/>
    <n v="0"/>
  </r>
  <r>
    <s v="Below the Line"/>
    <x v="1"/>
    <m/>
    <m/>
    <x v="1133"/>
    <s v="ESTILISTA"/>
    <m/>
    <n v="120000"/>
    <n v="0"/>
    <n v="120000"/>
    <n v="0"/>
    <n v="120000"/>
    <n v="120000"/>
    <n v="0"/>
  </r>
  <r>
    <s v="Below the Line"/>
    <x v="2"/>
    <s v=""/>
    <m/>
    <x v="1134"/>
    <s v="Jefe de peinados - Carlos López"/>
    <m/>
    <n v="0"/>
    <n v="0"/>
    <n v="0"/>
    <n v="0"/>
    <n v="0"/>
    <n v="0"/>
    <n v="0"/>
  </r>
  <r>
    <s v="Below the Line"/>
    <x v="2"/>
    <s v="PREP"/>
    <m/>
    <x v="1135"/>
    <s v="Prep"/>
    <m/>
    <n v="36000"/>
    <n v="0"/>
    <n v="36000"/>
    <n v="0"/>
    <n v="36000"/>
    <n v="36000"/>
    <n v="0"/>
  </r>
  <r>
    <s v="Below the Line"/>
    <x v="2"/>
    <s v="SHOOT"/>
    <m/>
    <x v="1136"/>
    <s v="Shoot"/>
    <m/>
    <n v="84000"/>
    <n v="0"/>
    <n v="84000"/>
    <n v="0"/>
    <n v="84000"/>
    <n v="84000"/>
    <n v="0"/>
  </r>
  <r>
    <s v="Below the Line"/>
    <x v="2"/>
    <s v="WRAP"/>
    <m/>
    <x v="1137"/>
    <s v="Wrap"/>
    <m/>
    <n v="0"/>
    <n v="0"/>
    <n v="0"/>
    <n v="0"/>
    <n v="0"/>
    <n v="0"/>
    <n v="0"/>
  </r>
  <r>
    <s v="Below the Line"/>
    <x v="1"/>
    <m/>
    <m/>
    <x v="1138"/>
    <s v="ASISTENTE ESTILISTA"/>
    <m/>
    <n v="149400"/>
    <n v="0"/>
    <n v="149400"/>
    <n v="0"/>
    <n v="149400"/>
    <n v="159900"/>
    <n v="10500"/>
  </r>
  <r>
    <s v="Below the Line"/>
    <x v="2"/>
    <s v=""/>
    <m/>
    <x v="1139"/>
    <s v="Asistente de Peinados #1 - Monsterrat Jiménez"/>
    <m/>
    <n v="0"/>
    <n v="0"/>
    <n v="0"/>
    <n v="0"/>
    <n v="0"/>
    <n v="0"/>
    <n v="0"/>
  </r>
  <r>
    <s v="Below the Line"/>
    <x v="2"/>
    <s v="PREP"/>
    <m/>
    <x v="1140"/>
    <s v="Prep"/>
    <m/>
    <n v="9300"/>
    <n v="0"/>
    <n v="9300"/>
    <n v="0"/>
    <n v="9300"/>
    <n v="9300"/>
    <n v="0"/>
  </r>
  <r>
    <s v="Below the Line"/>
    <x v="2"/>
    <s v="SHOOT"/>
    <m/>
    <x v="1141"/>
    <s v="Shoot"/>
    <m/>
    <n v="65100"/>
    <n v="0"/>
    <n v="65100"/>
    <n v="0"/>
    <n v="65100"/>
    <n v="65100"/>
    <n v="0"/>
  </r>
  <r>
    <s v="Below the Line"/>
    <x v="2"/>
    <s v="WRAP"/>
    <m/>
    <x v="1142"/>
    <s v="Wrap"/>
    <m/>
    <n v="0"/>
    <n v="0"/>
    <n v="0"/>
    <n v="0"/>
    <n v="0"/>
    <n v="0"/>
    <n v="0"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</r>
  <r>
    <s v="Below the Line"/>
    <x v="2"/>
    <s v="2nd Unit"/>
    <m/>
    <x v="1144"/>
    <s v="Prep"/>
    <m/>
    <n v="8000"/>
    <n v="0"/>
    <n v="8000"/>
    <n v="0"/>
    <n v="8000"/>
    <n v="8000"/>
    <n v="0"/>
  </r>
  <r>
    <s v="Below the Line"/>
    <x v="2"/>
    <s v="2nd Unit"/>
    <m/>
    <x v="1145"/>
    <s v="Shoot"/>
    <m/>
    <n v="16000"/>
    <n v="0"/>
    <n v="16000"/>
    <n v="0"/>
    <n v="16000"/>
    <n v="16000"/>
    <n v="0"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</r>
  <r>
    <s v="Below the Line"/>
    <x v="2"/>
    <s v="2nd Unit"/>
    <m/>
    <x v="1147"/>
    <s v="Prep"/>
    <m/>
    <n v="8000"/>
    <n v="0"/>
    <n v="8000"/>
    <n v="0"/>
    <n v="8000"/>
    <n v="8000"/>
    <n v="0"/>
  </r>
  <r>
    <s v="Below the Line"/>
    <x v="2"/>
    <s v="2nd Unit"/>
    <m/>
    <x v="1148"/>
    <s v="Shoot"/>
    <m/>
    <n v="16000"/>
    <n v="0"/>
    <n v="16000"/>
    <n v="0"/>
    <n v="16000"/>
    <n v="16000"/>
    <n v="0"/>
  </r>
  <r>
    <s v="Below the Line"/>
    <x v="2"/>
    <s v=""/>
    <m/>
    <x v="1149"/>
    <s v="Refuerzos maquillaje y peinados - TBD"/>
    <m/>
    <n v="0"/>
    <n v="0"/>
    <n v="0"/>
    <n v="0"/>
    <n v="0"/>
    <n v="0"/>
    <n v="0"/>
  </r>
  <r>
    <s v="Below the Line"/>
    <x v="2"/>
    <s v="SHOOT"/>
    <s v="NOM"/>
    <x v="1150"/>
    <s v="Shoot"/>
    <m/>
    <n v="27000"/>
    <n v="0"/>
    <n v="27000"/>
    <n v="0"/>
    <n v="27000"/>
    <n v="37500"/>
    <n v="10500"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</r>
  <r>
    <s v="Below the Line"/>
    <x v="2"/>
    <s v=""/>
    <m/>
    <x v="1152"/>
    <s v="Purchases per Episode"/>
    <m/>
    <n v="0"/>
    <n v="0"/>
    <n v="0"/>
    <n v="0"/>
    <n v="0"/>
    <n v="0"/>
    <n v="0"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</r>
  <r>
    <s v="Below the Line"/>
    <x v="1"/>
    <m/>
    <m/>
    <x v="1154"/>
    <s v="EXPENDABLES"/>
    <m/>
    <n v="12757.96"/>
    <n v="0"/>
    <n v="12757.96"/>
    <n v="0"/>
    <n v="12757.96"/>
    <n v="80000"/>
    <n v="67242.040000000008"/>
  </r>
  <r>
    <s v="Below the Line"/>
    <x v="2"/>
    <s v=""/>
    <m/>
    <x v="1155"/>
    <s v="Expendables per Episode"/>
    <m/>
    <n v="0"/>
    <n v="0"/>
    <n v="0"/>
    <n v="0"/>
    <n v="0"/>
    <n v="0"/>
    <n v="0"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</r>
  <r>
    <s v="Below the Line"/>
    <x v="0"/>
    <m/>
    <m/>
    <x v="1157"/>
    <s v="GRIP"/>
    <m/>
    <n v="363183.2"/>
    <n v="0"/>
    <n v="363183.2"/>
    <n v="0"/>
    <n v="363183.2"/>
    <n v="630386.75"/>
    <n v="267203.55000000005"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</r>
  <r>
    <s v="Below the Line"/>
    <x v="2"/>
    <s v=""/>
    <s v="NOM"/>
    <x v="1159"/>
    <s v="Ayudantes de Tramoya #1 - TBD"/>
    <m/>
    <n v="0"/>
    <n v="0"/>
    <n v="0"/>
    <n v="0"/>
    <n v="0"/>
    <n v="0"/>
    <n v="0"/>
  </r>
  <r>
    <s v="Below the Line"/>
    <x v="2"/>
    <s v="PREP"/>
    <s v="NOM"/>
    <x v="1160"/>
    <s v="Prep"/>
    <m/>
    <n v="0"/>
    <n v="0"/>
    <n v="0"/>
    <n v="0"/>
    <n v="0"/>
    <n v="3579.45"/>
    <n v="3579.45"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2"/>
    <s v="Wrap"/>
    <m/>
    <n v="0"/>
    <n v="0"/>
    <n v="0"/>
    <n v="0"/>
    <n v="0"/>
    <n v="7158.9"/>
    <n v="7158.9"/>
  </r>
  <r>
    <s v="Below the Line"/>
    <x v="2"/>
    <s v=""/>
    <s v="NOM"/>
    <x v="1163"/>
    <s v="Ayudantes de Tramoya #2 - TBD"/>
    <m/>
    <n v="0"/>
    <n v="0"/>
    <n v="0"/>
    <n v="0"/>
    <n v="0"/>
    <n v="0"/>
    <n v="0"/>
  </r>
  <r>
    <s v="Below the Line"/>
    <x v="2"/>
    <s v="PREP"/>
    <s v="NOM"/>
    <x v="1164"/>
    <s v="Prep"/>
    <m/>
    <n v="0"/>
    <n v="0"/>
    <n v="0"/>
    <n v="0"/>
    <n v="0"/>
    <n v="0"/>
    <n v="0"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6"/>
    <s v="Wrap"/>
    <m/>
    <n v="7157.4"/>
    <n v="0"/>
    <n v="7157.4"/>
    <n v="0"/>
    <n v="7157.4"/>
    <n v="7158.9"/>
    <n v="1.5"/>
  </r>
  <r>
    <s v="Below the Line"/>
    <x v="2"/>
    <s v=""/>
    <s v="NOM"/>
    <x v="1167"/>
    <s v="Ayudantes de Tramoya #3 - TBD"/>
    <m/>
    <n v="0"/>
    <n v="0"/>
    <n v="0"/>
    <n v="0"/>
    <n v="0"/>
    <n v="0"/>
    <n v="0"/>
  </r>
  <r>
    <s v="Below the Line"/>
    <x v="2"/>
    <s v="PREP"/>
    <s v="NOM"/>
    <x v="1168"/>
    <s v="Prep"/>
    <m/>
    <n v="0"/>
    <n v="0"/>
    <n v="0"/>
    <n v="0"/>
    <n v="0"/>
    <n v="0"/>
    <n v="0"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</r>
  <r>
    <s v="Below the Line"/>
    <x v="2"/>
    <s v="WRAP"/>
    <s v="NOM"/>
    <x v="1170"/>
    <s v="Wrap"/>
    <m/>
    <n v="7157.4"/>
    <n v="0"/>
    <n v="7157.4"/>
    <n v="0"/>
    <n v="7157.4"/>
    <n v="7158.9"/>
    <n v="1.5"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</r>
  <r>
    <s v="Below the Line"/>
    <x v="2"/>
    <s v="2nd Unit"/>
    <s v="NOM"/>
    <x v="1172"/>
    <s v="Prep"/>
    <m/>
    <n v="0"/>
    <n v="0"/>
    <n v="0"/>
    <n v="0"/>
    <n v="0"/>
    <n v="7158.9"/>
    <n v="7158.9"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</r>
  <r>
    <s v="Below the Line"/>
    <x v="2"/>
    <s v="2nd Unit"/>
    <s v="NOM"/>
    <x v="1174"/>
    <s v="Wrap"/>
    <m/>
    <n v="0"/>
    <n v="0"/>
    <n v="0"/>
    <n v="0"/>
    <n v="0"/>
    <n v="7158.9"/>
    <n v="7158.9"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</r>
  <r>
    <s v="Below the Line"/>
    <x v="2"/>
    <s v="2nd Unit"/>
    <s v="NOM"/>
    <x v="1176"/>
    <s v="Prep"/>
    <m/>
    <n v="0"/>
    <n v="0"/>
    <n v="0"/>
    <n v="0"/>
    <n v="0"/>
    <n v="7158.9"/>
    <n v="7158.9"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</r>
  <r>
    <s v="Below the Line"/>
    <x v="2"/>
    <s v="2nd Unit"/>
    <s v="NOM"/>
    <x v="1178"/>
    <s v="Wrap"/>
    <m/>
    <n v="0"/>
    <n v="0"/>
    <n v="0"/>
    <n v="0"/>
    <n v="0"/>
    <n v="7158.9"/>
    <n v="7158.9"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</r>
  <r>
    <s v="Below the Line"/>
    <x v="2"/>
    <s v=""/>
    <m/>
    <x v="1180"/>
    <s v="Riggs"/>
    <m/>
    <n v="0"/>
    <n v="0"/>
    <n v="0"/>
    <n v="0"/>
    <n v="0"/>
    <n v="0"/>
    <n v="0"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</r>
  <r>
    <s v="Below the Line"/>
    <x v="1"/>
    <m/>
    <m/>
    <x v="1182"/>
    <s v="EXPENDABLES"/>
    <m/>
    <n v="7700"/>
    <n v="0"/>
    <n v="7700"/>
    <n v="0"/>
    <n v="7700"/>
    <n v="78750"/>
    <n v="71050"/>
  </r>
  <r>
    <s v="Below the Line"/>
    <x v="2"/>
    <s v=""/>
    <m/>
    <x v="1183"/>
    <s v="Expendables"/>
    <m/>
    <n v="0"/>
    <n v="0"/>
    <n v="0"/>
    <n v="0"/>
    <n v="0"/>
    <n v="0"/>
    <n v="0"/>
  </r>
  <r>
    <s v="Below the Line"/>
    <x v="2"/>
    <s v="ALL SHOW"/>
    <m/>
    <x v="1184"/>
    <s v="Expendables de tramoya"/>
    <m/>
    <n v="7700"/>
    <n v="0"/>
    <n v="7700"/>
    <n v="0"/>
    <n v="7700"/>
    <n v="78750"/>
    <n v="71050"/>
  </r>
  <r>
    <s v="Below the Line"/>
    <x v="1"/>
    <m/>
    <m/>
    <x v="1185"/>
    <s v="PERDIDA&amp;REPARACION GRIP"/>
    <m/>
    <n v="0"/>
    <n v="0"/>
    <n v="0"/>
    <n v="0"/>
    <n v="0"/>
    <n v="80000"/>
    <n v="80000"/>
  </r>
  <r>
    <s v="Below the Line"/>
    <x v="2"/>
    <s v="Fringes"/>
    <m/>
    <x v="1186"/>
    <s v="Fringes"/>
    <m/>
    <n v="0"/>
    <n v="0"/>
    <n v="0"/>
    <n v="0"/>
    <n v="0"/>
    <n v="0"/>
    <n v="0"/>
  </r>
  <r>
    <s v="Below the Line"/>
    <x v="2"/>
    <s v=""/>
    <m/>
    <x v="1187"/>
    <s v="Loss &amp; Damage"/>
    <m/>
    <n v="0"/>
    <n v="0"/>
    <n v="0"/>
    <n v="0"/>
    <n v="0"/>
    <n v="0"/>
    <n v="0"/>
  </r>
  <r>
    <s v="Below the Line"/>
    <x v="2"/>
    <s v="ALL SHOW"/>
    <m/>
    <x v="1188"/>
    <s v="Tramoya"/>
    <m/>
    <n v="0"/>
    <n v="0"/>
    <n v="0"/>
    <n v="0"/>
    <n v="0"/>
    <n v="80000"/>
    <n v="80000"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</r>
  <r>
    <s v="Below the Line"/>
    <x v="2"/>
    <s v=""/>
    <s v="NOM"/>
    <x v="1191"/>
    <s v="Gaffer - Victor Rocha"/>
    <m/>
    <n v="0"/>
    <n v="0"/>
    <n v="0"/>
    <n v="0"/>
    <n v="0"/>
    <n v="0"/>
    <n v="0"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</r>
  <r>
    <s v="Below the Line"/>
    <x v="2"/>
    <s v=""/>
    <s v="NOM"/>
    <x v="1195"/>
    <s v="Gaffer Segunda Unidad - TBD"/>
    <m/>
    <n v="0"/>
    <n v="0"/>
    <n v="0"/>
    <n v="0"/>
    <n v="0"/>
    <n v="0"/>
    <n v="0"/>
  </r>
  <r>
    <s v="Below the Line"/>
    <x v="2"/>
    <s v="2nd Unit"/>
    <s v="NOM"/>
    <x v="1196"/>
    <s v="Prep"/>
    <m/>
    <n v="0"/>
    <n v="0"/>
    <n v="0"/>
    <n v="0"/>
    <n v="0"/>
    <n v="8811.08"/>
    <n v="8811.08"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</r>
  <r>
    <s v="Below the Line"/>
    <x v="2"/>
    <s v="2nd Unit"/>
    <s v="NOM"/>
    <x v="1198"/>
    <s v="Wrap"/>
    <m/>
    <n v="0"/>
    <n v="0"/>
    <n v="0"/>
    <n v="0"/>
    <n v="0"/>
    <n v="8811.08"/>
    <n v="8811.08"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</r>
  <r>
    <s v="Below the Line"/>
    <x v="2"/>
    <s v=""/>
    <s v="NOM"/>
    <x v="1200"/>
    <s v="Jefe de Eléctrico - TBD"/>
    <m/>
    <n v="0"/>
    <n v="0"/>
    <n v="0"/>
    <n v="0"/>
    <n v="0"/>
    <n v="0"/>
    <n v="0"/>
  </r>
  <r>
    <s v="Below the Line"/>
    <x v="2"/>
    <s v="PREP"/>
    <s v="NOM"/>
    <x v="1201"/>
    <s v="Prep"/>
    <m/>
    <n v="7157.4"/>
    <n v="0"/>
    <n v="7157.4"/>
    <n v="0"/>
    <n v="7157.4"/>
    <n v="3579.45"/>
    <n v="-3577.95"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</r>
  <r>
    <s v="Below the Line"/>
    <x v="2"/>
    <s v="WRAP"/>
    <s v="NOM"/>
    <x v="1203"/>
    <s v="Wrap"/>
    <m/>
    <n v="0"/>
    <n v="0"/>
    <n v="0"/>
    <n v="0"/>
    <n v="0"/>
    <n v="7158.9"/>
    <n v="7158.9"/>
  </r>
  <r>
    <s v="Below the Line"/>
    <x v="2"/>
    <s v=""/>
    <s v="NOM"/>
    <x v="1204"/>
    <s v="Ayudante de Eléctrico #1 - TBD"/>
    <m/>
    <n v="0"/>
    <n v="0"/>
    <n v="0"/>
    <n v="0"/>
    <n v="0"/>
    <n v="0"/>
    <n v="0"/>
  </r>
  <r>
    <s v="Below the Line"/>
    <x v="2"/>
    <s v="PREP"/>
    <s v="NOM"/>
    <x v="1205"/>
    <s v="Prep"/>
    <m/>
    <n v="0"/>
    <n v="0"/>
    <n v="0"/>
    <n v="0"/>
    <n v="0"/>
    <n v="3579.45"/>
    <n v="3579.45"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</r>
  <r>
    <s v="Below the Line"/>
    <x v="2"/>
    <s v="WRAP"/>
    <s v="NOM"/>
    <x v="1207"/>
    <s v="Wrap"/>
    <m/>
    <n v="0"/>
    <n v="0"/>
    <n v="0"/>
    <n v="0"/>
    <n v="0"/>
    <n v="7158.9"/>
    <n v="7158.9"/>
  </r>
  <r>
    <s v="Below the Line"/>
    <x v="2"/>
    <s v=""/>
    <s v="NOM"/>
    <x v="1208"/>
    <s v="Ayudante Eléctrico #2 - TBD"/>
    <m/>
    <n v="0"/>
    <n v="0"/>
    <n v="0"/>
    <n v="0"/>
    <n v="0"/>
    <n v="0"/>
    <n v="0"/>
  </r>
  <r>
    <s v="Below the Line"/>
    <x v="2"/>
    <s v="PREP"/>
    <s v="NOM"/>
    <x v="1209"/>
    <s v="Prep"/>
    <m/>
    <n v="7157.4"/>
    <n v="0"/>
    <n v="7157.4"/>
    <n v="0"/>
    <n v="7157.4"/>
    <n v="3579.45"/>
    <n v="-3577.95"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</r>
  <r>
    <s v="Below the Line"/>
    <x v="2"/>
    <s v="WRAP"/>
    <s v="NOM"/>
    <x v="1211"/>
    <s v="Wrap"/>
    <m/>
    <n v="0"/>
    <n v="0"/>
    <n v="0"/>
    <n v="0"/>
    <n v="0"/>
    <n v="7158.9"/>
    <n v="7158.9"/>
  </r>
  <r>
    <s v="Below the Line"/>
    <x v="2"/>
    <s v=""/>
    <s v="NOM"/>
    <x v="1212"/>
    <s v="Jefe de Eléctrico Segunda Unidad - TBD"/>
    <m/>
    <n v="0"/>
    <n v="0"/>
    <n v="0"/>
    <n v="0"/>
    <n v="0"/>
    <n v="0"/>
    <n v="0"/>
  </r>
  <r>
    <s v="Below the Line"/>
    <x v="2"/>
    <s v="2nd Unit"/>
    <s v="NOM"/>
    <x v="1213"/>
    <s v="Prep"/>
    <m/>
    <n v="0"/>
    <n v="0"/>
    <n v="0"/>
    <n v="0"/>
    <n v="0"/>
    <n v="0"/>
    <n v="0"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</r>
  <r>
    <s v="Below the Line"/>
    <x v="2"/>
    <s v="2nd Unit"/>
    <s v="NOM"/>
    <x v="1215"/>
    <s v="Wrap"/>
    <m/>
    <n v="0"/>
    <n v="0"/>
    <n v="0"/>
    <n v="0"/>
    <n v="0"/>
    <n v="0"/>
    <n v="0"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</r>
  <r>
    <s v="Below the Line"/>
    <x v="2"/>
    <s v="2nd Unit"/>
    <s v="NOM"/>
    <x v="1217"/>
    <s v="Prep"/>
    <m/>
    <n v="0"/>
    <n v="0"/>
    <n v="0"/>
    <n v="0"/>
    <n v="0"/>
    <n v="0"/>
    <n v="0"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</r>
  <r>
    <s v="Below the Line"/>
    <x v="2"/>
    <s v="2nd Unit"/>
    <s v="NOM"/>
    <x v="1219"/>
    <s v="Wrap"/>
    <m/>
    <n v="0"/>
    <n v="0"/>
    <n v="0"/>
    <n v="0"/>
    <n v="0"/>
    <n v="0"/>
    <n v="0"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</r>
  <r>
    <s v="Below the Line"/>
    <x v="2"/>
    <s v="2nd Unit"/>
    <s v="NOM"/>
    <x v="1221"/>
    <s v="Prep"/>
    <m/>
    <n v="0"/>
    <n v="0"/>
    <n v="0"/>
    <n v="0"/>
    <n v="0"/>
    <n v="0"/>
    <n v="0"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</r>
  <r>
    <s v="Below the Line"/>
    <x v="2"/>
    <s v="2nd Unit"/>
    <s v="NOM"/>
    <x v="1223"/>
    <s v="Wrap"/>
    <m/>
    <n v="0"/>
    <n v="0"/>
    <n v="0"/>
    <n v="0"/>
    <n v="0"/>
    <n v="0"/>
    <n v="0"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</r>
  <r>
    <s v="Below the Line"/>
    <x v="2"/>
    <s v=""/>
    <s v="NOM"/>
    <x v="1225"/>
    <s v="Encargado Móvil - TBD"/>
    <m/>
    <n v="0"/>
    <n v="0"/>
    <n v="0"/>
    <n v="0"/>
    <n v="0"/>
    <n v="0"/>
    <n v="0"/>
  </r>
  <r>
    <s v="Below the Line"/>
    <x v="2"/>
    <s v="PREP"/>
    <s v="NOM"/>
    <x v="1226"/>
    <s v="Prep"/>
    <m/>
    <n v="0"/>
    <n v="0"/>
    <n v="0"/>
    <n v="0"/>
    <n v="0"/>
    <n v="6037.5"/>
    <n v="6037.5"/>
  </r>
  <r>
    <s v="Below the Line"/>
    <x v="2"/>
    <s v="SHOOT"/>
    <s v="NOM"/>
    <x v="1227"/>
    <s v="Shoot"/>
    <m/>
    <n v="84490"/>
    <n v="0"/>
    <n v="84490"/>
    <n v="0"/>
    <n v="84490"/>
    <n v="84525"/>
    <n v="35"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</r>
  <r>
    <s v="Below the Line"/>
    <x v="2"/>
    <s v=""/>
    <s v="NOM"/>
    <x v="1229"/>
    <s v="Ayudante Móvil - TBD"/>
    <m/>
    <n v="0"/>
    <n v="0"/>
    <n v="0"/>
    <n v="0"/>
    <n v="0"/>
    <n v="0"/>
    <n v="0"/>
  </r>
  <r>
    <s v="Below the Line"/>
    <x v="2"/>
    <s v="PREP"/>
    <s v="NOM"/>
    <x v="1230"/>
    <s v="Prep"/>
    <m/>
    <n v="3258.33"/>
    <n v="0"/>
    <n v="3258.33"/>
    <n v="0"/>
    <n v="3258.33"/>
    <n v="4887.5"/>
    <n v="1629.17"/>
  </r>
  <r>
    <s v="Below the Line"/>
    <x v="2"/>
    <s v="SHOOT"/>
    <s v="NOM"/>
    <x v="1231"/>
    <s v="Shoot"/>
    <m/>
    <n v="68425"/>
    <n v="0"/>
    <n v="68425"/>
    <n v="0"/>
    <n v="68425"/>
    <n v="68425"/>
    <n v="0"/>
  </r>
  <r>
    <s v="Below the Line"/>
    <x v="2"/>
    <s v="WRAP"/>
    <s v="NOM"/>
    <x v="1232"/>
    <s v="Wrap"/>
    <m/>
    <n v="3258.33"/>
    <n v="0"/>
    <n v="3258.33"/>
    <n v="0"/>
    <n v="3258.33"/>
    <n v="4887.5"/>
    <n v="1629.17"/>
  </r>
  <r>
    <s v="Below the Line"/>
    <x v="2"/>
    <s v=""/>
    <s v="NOM"/>
    <x v="1233"/>
    <s v="Encargado Asteras - TBD"/>
    <m/>
    <n v="0"/>
    <n v="0"/>
    <n v="0"/>
    <n v="0"/>
    <n v="0"/>
    <n v="0"/>
    <n v="0"/>
  </r>
  <r>
    <s v="Below the Line"/>
    <x v="2"/>
    <s v="PREP"/>
    <s v="NOM"/>
    <x v="1234"/>
    <s v="Prep"/>
    <m/>
    <n v="3450"/>
    <n v="0"/>
    <n v="3450"/>
    <n v="0"/>
    <n v="3450"/>
    <n v="5175"/>
    <n v="1725"/>
  </r>
  <r>
    <s v="Below the Line"/>
    <x v="2"/>
    <s v="SHOOT"/>
    <s v="NOM"/>
    <x v="1235"/>
    <s v="Shoot"/>
    <m/>
    <n v="72450"/>
    <n v="0"/>
    <n v="72450"/>
    <n v="0"/>
    <n v="72450"/>
    <n v="72450"/>
    <n v="0"/>
  </r>
  <r>
    <s v="Below the Line"/>
    <x v="2"/>
    <s v="WRAP"/>
    <s v="NOM"/>
    <x v="1236"/>
    <s v="Wrap"/>
    <m/>
    <n v="3450"/>
    <n v="0"/>
    <n v="3450"/>
    <n v="0"/>
    <n v="3450"/>
    <n v="5175"/>
    <n v="1725"/>
  </r>
  <r>
    <s v="Below the Line"/>
    <x v="2"/>
    <s v=""/>
    <s v="NOM"/>
    <x v="1237"/>
    <s v="Skypannel - TBD"/>
    <m/>
    <n v="0"/>
    <n v="0"/>
    <n v="0"/>
    <n v="0"/>
    <n v="0"/>
    <n v="0"/>
    <n v="0"/>
  </r>
  <r>
    <s v="Below the Line"/>
    <x v="2"/>
    <s v="PREP"/>
    <s v="NOM"/>
    <x v="1238"/>
    <s v="Prep"/>
    <m/>
    <n v="3450"/>
    <n v="0"/>
    <n v="3450"/>
    <n v="0"/>
    <n v="3450"/>
    <n v="5175"/>
    <n v="1725"/>
  </r>
  <r>
    <s v="Below the Line"/>
    <x v="2"/>
    <s v="SHOOT"/>
    <s v="NOM"/>
    <x v="1239"/>
    <s v="Shoot"/>
    <m/>
    <n v="72450"/>
    <n v="0"/>
    <n v="72450"/>
    <n v="0"/>
    <n v="72450"/>
    <n v="72450"/>
    <n v="0"/>
  </r>
  <r>
    <s v="Below the Line"/>
    <x v="2"/>
    <s v="WRAP"/>
    <s v="NOM"/>
    <x v="1240"/>
    <s v="Wrap"/>
    <m/>
    <n v="8450"/>
    <n v="0"/>
    <n v="8450"/>
    <n v="0"/>
    <n v="8450"/>
    <n v="5175"/>
    <n v="-3275"/>
  </r>
  <r>
    <s v="Below the Line"/>
    <x v="2"/>
    <s v=""/>
    <s v="NOM"/>
    <x v="1241"/>
    <s v="Encargado Móvil Segunda Unidad- TBD"/>
    <m/>
    <n v="0"/>
    <n v="0"/>
    <n v="0"/>
    <n v="0"/>
    <n v="0"/>
    <n v="0"/>
    <n v="0"/>
  </r>
  <r>
    <s v="Below the Line"/>
    <x v="2"/>
    <s v="2nd Unit"/>
    <s v="NOM"/>
    <x v="1242"/>
    <s v="Prep"/>
    <m/>
    <n v="0"/>
    <n v="0"/>
    <n v="0"/>
    <n v="0"/>
    <n v="0"/>
    <n v="6037.5"/>
    <n v="6037.5"/>
  </r>
  <r>
    <s v="Below the Line"/>
    <x v="2"/>
    <s v="2nd Unit"/>
    <s v="NOM"/>
    <x v="1243"/>
    <s v="Shoot"/>
    <m/>
    <n v="0"/>
    <n v="0"/>
    <n v="0"/>
    <n v="0"/>
    <n v="0"/>
    <n v="24150"/>
    <n v="24150"/>
  </r>
  <r>
    <s v="Below the Line"/>
    <x v="2"/>
    <s v="2nd Unit"/>
    <s v="NOM"/>
    <x v="1244"/>
    <s v="Wrap"/>
    <m/>
    <n v="0"/>
    <n v="0"/>
    <n v="0"/>
    <n v="0"/>
    <n v="0"/>
    <n v="6037.5"/>
    <n v="6037.5"/>
  </r>
  <r>
    <s v="Below the Line"/>
    <x v="2"/>
    <s v=""/>
    <s v="NOM"/>
    <x v="1245"/>
    <s v="Asistente Móvil Segunda Unidad- TBD"/>
    <m/>
    <n v="0"/>
    <n v="0"/>
    <n v="0"/>
    <n v="0"/>
    <n v="0"/>
    <n v="0"/>
    <n v="0"/>
  </r>
  <r>
    <s v="Below the Line"/>
    <x v="2"/>
    <s v="2nd Unit"/>
    <s v="NOM"/>
    <x v="1246"/>
    <s v="Prep"/>
    <m/>
    <n v="0"/>
    <n v="0"/>
    <n v="0"/>
    <n v="0"/>
    <n v="0"/>
    <n v="4887.5"/>
    <n v="4887.5"/>
  </r>
  <r>
    <s v="Below the Line"/>
    <x v="2"/>
    <s v="2nd Unit"/>
    <s v="NOM"/>
    <x v="1247"/>
    <s v="Shoot"/>
    <m/>
    <n v="0"/>
    <n v="0"/>
    <n v="0"/>
    <n v="0"/>
    <n v="0"/>
    <n v="19550"/>
    <n v="19550"/>
  </r>
  <r>
    <s v="Below the Line"/>
    <x v="2"/>
    <s v="2nd Unit"/>
    <s v="NOM"/>
    <x v="1248"/>
    <s v="Wrap"/>
    <m/>
    <n v="0"/>
    <n v="0"/>
    <n v="0"/>
    <n v="0"/>
    <n v="0"/>
    <n v="4887.5"/>
    <n v="4887.5"/>
  </r>
  <r>
    <s v="Below the Line"/>
    <x v="2"/>
    <s v=""/>
    <s v="NOM"/>
    <x v="1249"/>
    <s v="Encargado Asteras Segunda Unidad - TBD"/>
    <m/>
    <n v="0"/>
    <n v="0"/>
    <n v="0"/>
    <n v="0"/>
    <n v="0"/>
    <n v="0"/>
    <n v="0"/>
  </r>
  <r>
    <s v="Below the Line"/>
    <x v="2"/>
    <s v="2nd Unit"/>
    <s v="NOM"/>
    <x v="1250"/>
    <s v="Prep"/>
    <m/>
    <n v="6900"/>
    <n v="0"/>
    <n v="6900"/>
    <n v="0"/>
    <n v="6900"/>
    <n v="5175"/>
    <n v="-1725"/>
  </r>
  <r>
    <s v="Below the Line"/>
    <x v="2"/>
    <s v="2nd Unit"/>
    <s v="NOM"/>
    <x v="1251"/>
    <s v="Shoot"/>
    <m/>
    <n v="20700"/>
    <n v="0"/>
    <n v="20700"/>
    <n v="0"/>
    <n v="20700"/>
    <n v="20700"/>
    <n v="0"/>
  </r>
  <r>
    <s v="Below the Line"/>
    <x v="2"/>
    <s v="2nd Unit"/>
    <s v="NOM"/>
    <x v="1252"/>
    <s v="Wrap"/>
    <m/>
    <n v="0"/>
    <n v="0"/>
    <n v="0"/>
    <n v="0"/>
    <n v="0"/>
    <n v="5175"/>
    <n v="5175"/>
  </r>
  <r>
    <s v="Below the Line"/>
    <x v="2"/>
    <s v=""/>
    <s v="NOM"/>
    <x v="1253"/>
    <s v="Skypannel Segunda Unidad- TBD"/>
    <m/>
    <n v="0"/>
    <n v="0"/>
    <n v="0"/>
    <n v="0"/>
    <n v="0"/>
    <n v="0"/>
    <n v="0"/>
  </r>
  <r>
    <s v="Below the Line"/>
    <x v="2"/>
    <s v="2nd Unit"/>
    <s v="NOM"/>
    <x v="1254"/>
    <s v="Prep"/>
    <m/>
    <n v="0"/>
    <n v="0"/>
    <n v="0"/>
    <n v="0"/>
    <n v="0"/>
    <n v="5175"/>
    <n v="5175"/>
  </r>
  <r>
    <s v="Below the Line"/>
    <x v="2"/>
    <s v="2nd Unit"/>
    <s v="NOM"/>
    <x v="1255"/>
    <s v="Shoot"/>
    <m/>
    <n v="0"/>
    <n v="0"/>
    <n v="0"/>
    <n v="0"/>
    <n v="0"/>
    <n v="20700"/>
    <n v="20700"/>
  </r>
  <r>
    <s v="Below the Line"/>
    <x v="2"/>
    <s v="2nd Unit"/>
    <s v="NOM"/>
    <x v="1256"/>
    <s v="Wrap"/>
    <m/>
    <n v="0"/>
    <n v="0"/>
    <n v="0"/>
    <n v="0"/>
    <n v="0"/>
    <n v="5175"/>
    <n v="5175"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</r>
  <r>
    <s v="Below the Line"/>
    <x v="2"/>
    <s v=""/>
    <m/>
    <x v="1258"/>
    <s v="Plantero - TBD"/>
    <m/>
    <n v="0"/>
    <n v="0"/>
    <n v="0"/>
    <n v="0"/>
    <n v="0"/>
    <n v="0"/>
    <n v="0"/>
  </r>
  <r>
    <s v="Below the Line"/>
    <x v="2"/>
    <s v="PREP"/>
    <m/>
    <x v="1259"/>
    <s v="Prep"/>
    <m/>
    <n v="0"/>
    <n v="0"/>
    <n v="0"/>
    <n v="0"/>
    <n v="0"/>
    <n v="0"/>
    <n v="0"/>
  </r>
  <r>
    <s v="Below the Line"/>
    <x v="2"/>
    <s v="SHOOT"/>
    <m/>
    <x v="1260"/>
    <s v="Shoot"/>
    <m/>
    <n v="68425"/>
    <n v="0"/>
    <n v="68425"/>
    <n v="0"/>
    <n v="68425"/>
    <n v="68425"/>
    <n v="0"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</r>
  <r>
    <s v="Below the Line"/>
    <x v="2"/>
    <s v=""/>
    <m/>
    <x v="1262"/>
    <s v="Plantero Base Camp - TBD"/>
    <m/>
    <n v="0"/>
    <n v="0"/>
    <n v="0"/>
    <n v="0"/>
    <n v="0"/>
    <n v="0"/>
    <n v="0"/>
  </r>
  <r>
    <s v="Below the Line"/>
    <x v="2"/>
    <s v="PREP"/>
    <m/>
    <x v="1263"/>
    <s v="Prep"/>
    <m/>
    <n v="0"/>
    <n v="0"/>
    <n v="0"/>
    <n v="0"/>
    <n v="0"/>
    <n v="0"/>
    <n v="0"/>
  </r>
  <r>
    <s v="Below the Line"/>
    <x v="2"/>
    <s v="SHOOT"/>
    <m/>
    <x v="1264"/>
    <s v="Shoot"/>
    <m/>
    <n v="0"/>
    <n v="0"/>
    <n v="0"/>
    <n v="0"/>
    <n v="0"/>
    <n v="19550"/>
    <n v="19550"/>
  </r>
  <r>
    <s v="Below the Line"/>
    <x v="2"/>
    <s v="WRAP"/>
    <m/>
    <x v="1265"/>
    <s v="Wrap"/>
    <m/>
    <n v="0"/>
    <n v="0"/>
    <n v="0"/>
    <n v="0"/>
    <n v="0"/>
    <n v="4887.5"/>
    <n v="4887.5"/>
  </r>
  <r>
    <s v="Below the Line"/>
    <x v="2"/>
    <s v=""/>
    <m/>
    <x v="1266"/>
    <s v="Plantero Segunda Unidad- TBD"/>
    <m/>
    <n v="0"/>
    <n v="0"/>
    <n v="0"/>
    <n v="0"/>
    <n v="0"/>
    <n v="0"/>
    <n v="0"/>
  </r>
  <r>
    <s v="Below the Line"/>
    <x v="2"/>
    <s v="2nd Unit"/>
    <m/>
    <x v="1267"/>
    <s v="Prep"/>
    <m/>
    <n v="0"/>
    <n v="0"/>
    <n v="0"/>
    <n v="0"/>
    <n v="0"/>
    <n v="0"/>
    <n v="0"/>
  </r>
  <r>
    <s v="Below the Line"/>
    <x v="2"/>
    <s v="2nd Unit"/>
    <m/>
    <x v="1268"/>
    <s v="Shoot"/>
    <m/>
    <n v="0"/>
    <n v="0"/>
    <n v="0"/>
    <n v="0"/>
    <n v="0"/>
    <n v="19550"/>
    <n v="19550"/>
  </r>
  <r>
    <s v="Below the Line"/>
    <x v="2"/>
    <s v="2nd Unit"/>
    <m/>
    <x v="1269"/>
    <s v="Wrap"/>
    <m/>
    <n v="0"/>
    <n v="0"/>
    <n v="0"/>
    <n v="0"/>
    <n v="0"/>
    <n v="0"/>
    <n v="0"/>
  </r>
  <r>
    <s v="Below the Line"/>
    <x v="1"/>
    <m/>
    <m/>
    <x v="1270"/>
    <s v="EXPENDABLES"/>
    <m/>
    <n v="69141.37"/>
    <n v="0"/>
    <n v="69141.37"/>
    <n v="0"/>
    <n v="69141.37"/>
    <n v="235000"/>
    <n v="165858.63"/>
  </r>
  <r>
    <s v="Below the Line"/>
    <x v="2"/>
    <s v=""/>
    <m/>
    <x v="1271"/>
    <s v="Expendables"/>
    <m/>
    <n v="0"/>
    <n v="0"/>
    <n v="0"/>
    <n v="0"/>
    <n v="0"/>
    <n v="0"/>
    <n v="0"/>
  </r>
  <r>
    <s v="Below the Line"/>
    <x v="2"/>
    <s v="ALL SHOW"/>
    <m/>
    <x v="1272"/>
    <s v="Filtros"/>
    <m/>
    <n v="11296.55"/>
    <n v="0"/>
    <n v="11296.55"/>
    <n v="0"/>
    <n v="11296.55"/>
    <n v="115000"/>
    <n v="103703.45"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</r>
  <r>
    <s v="Below the Line"/>
    <x v="2"/>
    <s v=""/>
    <m/>
    <x v="1275"/>
    <s v="Planta Base Camp - Smily"/>
    <m/>
    <n v="0"/>
    <n v="0"/>
    <n v="0"/>
    <n v="0"/>
    <n v="0"/>
    <n v="0"/>
    <n v="0"/>
  </r>
  <r>
    <s v="Below the Line"/>
    <x v="2"/>
    <s v="SHOOT"/>
    <s v="BALU"/>
    <x v="1276"/>
    <s v="Shoot"/>
    <m/>
    <n v="20500"/>
    <n v="0"/>
    <n v="20500"/>
    <n v="0"/>
    <n v="20500"/>
    <n v="60000"/>
    <n v="39500"/>
  </r>
  <r>
    <s v="Below the Line"/>
    <x v="2"/>
    <s v=""/>
    <m/>
    <x v="1277"/>
    <s v="Planta Segunda Unidad - Tequila"/>
    <m/>
    <n v="0"/>
    <n v="0"/>
    <n v="0"/>
    <n v="0"/>
    <n v="0"/>
    <n v="0"/>
    <n v="0"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</r>
  <r>
    <s v="Below the Line"/>
    <x v="1"/>
    <m/>
    <m/>
    <x v="1279"/>
    <s v="PERDIDA&amp;REPARACION ELECTRICOS"/>
    <m/>
    <n v="0"/>
    <n v="0"/>
    <n v="0"/>
    <n v="0"/>
    <n v="0"/>
    <n v="80000"/>
    <n v="80000"/>
  </r>
  <r>
    <s v="Below the Line"/>
    <x v="2"/>
    <s v=""/>
    <m/>
    <x v="1280"/>
    <s v="Loss &amp; Damage"/>
    <m/>
    <n v="0"/>
    <n v="0"/>
    <n v="0"/>
    <n v="0"/>
    <n v="0"/>
    <n v="0"/>
    <n v="0"/>
  </r>
  <r>
    <s v="Below the Line"/>
    <x v="2"/>
    <s v="ALL SHOW"/>
    <m/>
    <x v="1281"/>
    <s v="Lamparas"/>
    <m/>
    <n v="0"/>
    <n v="0"/>
    <n v="0"/>
    <n v="0"/>
    <n v="0"/>
    <n v="80000"/>
    <n v="80000"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</r>
  <r>
    <s v="Below the Line"/>
    <x v="1"/>
    <m/>
    <m/>
    <x v="1283"/>
    <s v="DIRECCION FOTOGRAFICA"/>
    <m/>
    <n v="1003000"/>
    <n v="0"/>
    <n v="1003000"/>
    <n v="0"/>
    <n v="1003000"/>
    <n v="989000"/>
    <n v="-14000"/>
  </r>
  <r>
    <s v="Below the Line"/>
    <x v="2"/>
    <s v=""/>
    <m/>
    <x v="1284"/>
    <s v="Fotógrafo - Ruy Rodriguez"/>
    <m/>
    <n v="0"/>
    <n v="0"/>
    <n v="0"/>
    <n v="0"/>
    <n v="0"/>
    <n v="0"/>
    <n v="0"/>
  </r>
  <r>
    <s v="Below the Line"/>
    <x v="2"/>
    <s v="SOFT"/>
    <m/>
    <x v="1285"/>
    <s v="Soft"/>
    <m/>
    <n v="21000"/>
    <n v="0"/>
    <n v="21000"/>
    <n v="0"/>
    <n v="21000"/>
    <n v="21000"/>
    <n v="0"/>
  </r>
  <r>
    <s v="Below the Line"/>
    <x v="2"/>
    <s v="PREP"/>
    <m/>
    <x v="1286"/>
    <s v="Prep"/>
    <m/>
    <n v="378000"/>
    <n v="0"/>
    <n v="378000"/>
    <n v="0"/>
    <n v="378000"/>
    <n v="378000"/>
    <n v="0"/>
  </r>
  <r>
    <s v="Below the Line"/>
    <x v="2"/>
    <s v="SHOOT"/>
    <m/>
    <x v="1287"/>
    <s v="Shoot"/>
    <m/>
    <n v="367500"/>
    <n v="0"/>
    <n v="367500"/>
    <n v="0"/>
    <n v="367500"/>
    <n v="367500"/>
    <n v="0"/>
  </r>
  <r>
    <s v="Below the Line"/>
    <x v="2"/>
    <s v="WRAP"/>
    <m/>
    <x v="1288"/>
    <s v="Wrap"/>
    <m/>
    <n v="100000"/>
    <n v="0"/>
    <n v="100000"/>
    <n v="0"/>
    <n v="100000"/>
    <n v="100000"/>
    <n v="0"/>
  </r>
  <r>
    <s v="Below the Line"/>
    <x v="2"/>
    <s v=""/>
    <m/>
    <x v="1289"/>
    <s v="Fotógrafo Segunda Unidad - Carlos Davis"/>
    <m/>
    <n v="0"/>
    <n v="0"/>
    <n v="0"/>
    <n v="0"/>
    <n v="0"/>
    <n v="0"/>
    <n v="0"/>
  </r>
  <r>
    <s v="Below the Line"/>
    <x v="2"/>
    <s v="2nd Unit"/>
    <m/>
    <x v="1290"/>
    <s v="Prep"/>
    <m/>
    <n v="52500"/>
    <n v="0"/>
    <n v="52500"/>
    <n v="0"/>
    <n v="52500"/>
    <n v="52500"/>
    <n v="0"/>
  </r>
  <r>
    <s v="Below the Line"/>
    <x v="2"/>
    <s v="2nd Unit"/>
    <m/>
    <x v="1291"/>
    <s v="Shoot"/>
    <m/>
    <n v="70000"/>
    <n v="0"/>
    <n v="70000"/>
    <n v="0"/>
    <n v="70000"/>
    <n v="70000"/>
    <n v="0"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</r>
  <r>
    <s v="Below the Line"/>
    <x v="2"/>
    <s v=""/>
    <m/>
    <x v="1294"/>
    <s v="Operador de Camara A  - Jonathan Morán"/>
    <m/>
    <n v="0"/>
    <n v="0"/>
    <n v="0"/>
    <n v="0"/>
    <n v="0"/>
    <n v="0"/>
    <n v="0"/>
  </r>
  <r>
    <s v="Below the Line"/>
    <x v="2"/>
    <s v="PREP"/>
    <m/>
    <x v="1295"/>
    <s v="Prep"/>
    <m/>
    <n v="4333.33"/>
    <n v="0"/>
    <n v="4333.33"/>
    <n v="0"/>
    <n v="4333.33"/>
    <n v="13125"/>
    <n v="8791.67"/>
  </r>
  <r>
    <s v="Below the Line"/>
    <x v="2"/>
    <s v="SHOOT"/>
    <m/>
    <x v="1296"/>
    <s v="Shoot"/>
    <m/>
    <n v="182000"/>
    <n v="0"/>
    <n v="182000"/>
    <n v="0"/>
    <n v="182000"/>
    <n v="183750"/>
    <n v="1750"/>
  </r>
  <r>
    <s v="Below the Line"/>
    <x v="2"/>
    <s v="WRAP"/>
    <m/>
    <x v="1297"/>
    <s v="Wrap"/>
    <m/>
    <n v="0"/>
    <n v="0"/>
    <n v="0"/>
    <n v="0"/>
    <n v="0"/>
    <n v="0"/>
    <n v="0"/>
  </r>
  <r>
    <s v="Below the Line"/>
    <x v="2"/>
    <s v=""/>
    <m/>
    <x v="1298"/>
    <s v="Operador de Camara B - Alvaro Fuentes"/>
    <m/>
    <n v="0"/>
    <n v="0"/>
    <n v="0"/>
    <n v="0"/>
    <n v="0"/>
    <n v="0"/>
    <n v="0"/>
  </r>
  <r>
    <s v="Below the Line"/>
    <x v="2"/>
    <s v="PREP"/>
    <m/>
    <x v="1299"/>
    <s v="Prep"/>
    <m/>
    <n v="13125"/>
    <n v="0"/>
    <n v="13125"/>
    <n v="0"/>
    <n v="13125"/>
    <n v="13125"/>
    <n v="0"/>
  </r>
  <r>
    <s v="Below the Line"/>
    <x v="2"/>
    <s v="SHOOT"/>
    <m/>
    <x v="1300"/>
    <s v="Shoot"/>
    <m/>
    <n v="183750"/>
    <n v="0"/>
    <n v="183750"/>
    <n v="0"/>
    <n v="183750"/>
    <n v="183750"/>
    <n v="0"/>
  </r>
  <r>
    <s v="Below the Line"/>
    <x v="2"/>
    <s v="WRAP"/>
    <m/>
    <x v="1301"/>
    <s v="Wrap"/>
    <m/>
    <n v="0"/>
    <n v="0"/>
    <n v="0"/>
    <n v="0"/>
    <n v="0"/>
    <n v="0"/>
    <n v="0"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</r>
  <r>
    <s v="Below the Line"/>
    <x v="2"/>
    <s v="2nd Unit"/>
    <m/>
    <x v="1303"/>
    <s v="Prep"/>
    <m/>
    <n v="13000"/>
    <n v="0"/>
    <n v="13000"/>
    <n v="0"/>
    <n v="13000"/>
    <n v="13125"/>
    <n v="125"/>
  </r>
  <r>
    <s v="Below the Line"/>
    <x v="2"/>
    <s v="2nd Unit"/>
    <m/>
    <x v="1304"/>
    <s v="Shoot"/>
    <m/>
    <n v="52000"/>
    <n v="0"/>
    <n v="52000"/>
    <n v="0"/>
    <n v="52000"/>
    <n v="52500"/>
    <n v="500"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</r>
  <r>
    <s v="Below the Line"/>
    <x v="2"/>
    <s v="2nd Unit"/>
    <m/>
    <x v="1306"/>
    <s v="Prep"/>
    <m/>
    <n v="17500"/>
    <n v="0"/>
    <n v="17500"/>
    <n v="0"/>
    <n v="17500"/>
    <n v="13125"/>
    <n v="-4375"/>
  </r>
  <r>
    <s v="Below the Line"/>
    <x v="2"/>
    <s v="2nd Unit"/>
    <m/>
    <x v="1307"/>
    <s v="Shoot"/>
    <m/>
    <n v="52500"/>
    <n v="0"/>
    <n v="52500"/>
    <n v="0"/>
    <n v="52500"/>
    <n v="52500"/>
    <n v="0"/>
  </r>
  <r>
    <s v="Below the Line"/>
    <x v="2"/>
    <s v=""/>
    <m/>
    <x v="1308"/>
    <s v="Operador de Camara C - Carlos Davis"/>
    <m/>
    <n v="0"/>
    <n v="0"/>
    <n v="0"/>
    <n v="0"/>
    <n v="0"/>
    <n v="0"/>
    <n v="0"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</r>
  <r>
    <s v="Below the Line"/>
    <x v="2"/>
    <s v=""/>
    <m/>
    <x v="1310"/>
    <s v="Operador de Camara D - Fabian Altamirano"/>
    <m/>
    <n v="0"/>
    <n v="0"/>
    <n v="0"/>
    <n v="0"/>
    <n v="0"/>
    <n v="0"/>
    <n v="0"/>
  </r>
  <r>
    <s v="Below the Line"/>
    <x v="2"/>
    <s v="SHOOT"/>
    <m/>
    <x v="1311"/>
    <s v="Shoot"/>
    <m/>
    <n v="4375"/>
    <n v="0"/>
    <n v="4375"/>
    <n v="0"/>
    <n v="4375"/>
    <n v="4375"/>
    <n v="0"/>
  </r>
  <r>
    <s v="Below the Line"/>
    <x v="2"/>
    <s v="SHOOT"/>
    <m/>
    <x v="1312"/>
    <s v="Camara E"/>
    <m/>
    <n v="21666.66"/>
    <n v="0"/>
    <n v="21666.66"/>
    <n v="0"/>
    <n v="21666.66"/>
    <n v="0"/>
    <n v="-21666.66"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</r>
  <r>
    <s v="Below the Line"/>
    <x v="2"/>
    <s v="PREP"/>
    <s v="NOM"/>
    <x v="1315"/>
    <s v="Prep"/>
    <m/>
    <n v="19706.5"/>
    <n v="0"/>
    <n v="19706.5"/>
    <n v="0"/>
    <n v="19706.5"/>
    <n v="21500"/>
    <n v="1793.5"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</r>
  <r>
    <s v="Below the Line"/>
    <x v="2"/>
    <s v="PREP"/>
    <s v="NOM"/>
    <x v="1318"/>
    <s v="Prep"/>
    <m/>
    <n v="3583.33"/>
    <n v="0"/>
    <n v="3583.33"/>
    <n v="0"/>
    <n v="3583.33"/>
    <n v="10750"/>
    <n v="7166.67"/>
  </r>
  <r>
    <s v="Below the Line"/>
    <x v="2"/>
    <s v="SHOOT"/>
    <s v="NOM"/>
    <x v="1319"/>
    <s v="Shoot"/>
    <m/>
    <n v="150500"/>
    <n v="0"/>
    <n v="150500"/>
    <n v="0"/>
    <n v="150500"/>
    <n v="150500"/>
    <n v="0"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</r>
  <r>
    <s v="Below the Line"/>
    <x v="2"/>
    <s v="2nd Unit"/>
    <s v="NOM"/>
    <x v="1321"/>
    <s v="Prep"/>
    <m/>
    <n v="10750"/>
    <n v="0"/>
    <n v="10750"/>
    <n v="0"/>
    <n v="10750"/>
    <n v="10750"/>
    <n v="0"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</r>
  <r>
    <s v="Below the Line"/>
    <x v="2"/>
    <s v="2nd Unit"/>
    <s v="NOM"/>
    <x v="1324"/>
    <s v="Prep"/>
    <m/>
    <n v="0"/>
    <n v="0"/>
    <n v="0"/>
    <n v="0"/>
    <n v="0"/>
    <n v="10750"/>
    <n v="10750"/>
  </r>
  <r>
    <s v="Below the Line"/>
    <x v="2"/>
    <s v="2nd Unit"/>
    <s v="NOM"/>
    <x v="1325"/>
    <s v="Shoot"/>
    <m/>
    <n v="15000"/>
    <n v="0"/>
    <n v="15000"/>
    <n v="0"/>
    <n v="15000"/>
    <n v="43000"/>
    <n v="28000"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</r>
  <r>
    <s v="Below the Line"/>
    <x v="2"/>
    <s v="SHOOT"/>
    <s v="NOM"/>
    <x v="1329"/>
    <s v="Shoot"/>
    <m/>
    <n v="17500"/>
    <n v="0"/>
    <n v="17500"/>
    <n v="0"/>
    <n v="17500"/>
    <n v="3583.33"/>
    <n v="-13916.67"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</r>
  <r>
    <s v="Below the Line"/>
    <x v="1"/>
    <m/>
    <m/>
    <x v="1331"/>
    <s v="OPERADOR DATAWRANGLER/DATAMANAGER"/>
    <m/>
    <n v="126000"/>
    <n v="0"/>
    <n v="126000"/>
    <n v="0"/>
    <n v="126000"/>
    <n v="126000"/>
    <n v="0"/>
  </r>
  <r>
    <s v="Below the Line"/>
    <x v="2"/>
    <s v=""/>
    <m/>
    <x v="1332"/>
    <s v="Data Manager - Johana Castro Ortega"/>
    <m/>
    <n v="0"/>
    <n v="0"/>
    <n v="0"/>
    <n v="0"/>
    <n v="0"/>
    <n v="0"/>
    <n v="0"/>
  </r>
  <r>
    <s v="Below the Line"/>
    <x v="2"/>
    <s v="PREP"/>
    <m/>
    <x v="1333"/>
    <s v="Prep"/>
    <m/>
    <n v="0"/>
    <n v="0"/>
    <n v="0"/>
    <n v="0"/>
    <n v="0"/>
    <n v="0"/>
    <n v="0"/>
  </r>
  <r>
    <s v="Below the Line"/>
    <x v="2"/>
    <s v="SHOOT"/>
    <s v="NOM"/>
    <x v="1334"/>
    <s v="Shoot"/>
    <m/>
    <n v="56000"/>
    <n v="0"/>
    <n v="56000"/>
    <n v="0"/>
    <n v="56000"/>
    <n v="98000"/>
    <n v="42000"/>
  </r>
  <r>
    <s v="Below the Line"/>
    <x v="2"/>
    <s v=""/>
    <m/>
    <x v="1335"/>
    <s v="Data Manager  Segunda Unidad - TBD"/>
    <m/>
    <n v="0"/>
    <n v="0"/>
    <n v="0"/>
    <n v="0"/>
    <n v="0"/>
    <n v="0"/>
    <n v="0"/>
  </r>
  <r>
    <s v="Below the Line"/>
    <x v="2"/>
    <s v="2nd Unit"/>
    <m/>
    <x v="1336"/>
    <s v="Shoot"/>
    <m/>
    <n v="70000"/>
    <n v="0"/>
    <n v="70000"/>
    <n v="0"/>
    <n v="70000"/>
    <n v="28000"/>
    <n v="-42000"/>
  </r>
  <r>
    <s v="Below the Line"/>
    <x v="1"/>
    <m/>
    <m/>
    <x v="1337"/>
    <s v="OPERADOR DIT"/>
    <m/>
    <n v="203333"/>
    <n v="0"/>
    <n v="203333"/>
    <n v="0"/>
    <n v="203333"/>
    <n v="174750"/>
    <n v="-28583"/>
  </r>
  <r>
    <s v="Below the Line"/>
    <x v="2"/>
    <s v=""/>
    <m/>
    <x v="1338"/>
    <s v="DIT - Juan David Babativa"/>
    <m/>
    <n v="0"/>
    <n v="0"/>
    <n v="0"/>
    <n v="0"/>
    <n v="0"/>
    <n v="0"/>
    <n v="0"/>
  </r>
  <r>
    <s v="Below the Line"/>
    <x v="2"/>
    <s v="PREP"/>
    <m/>
    <x v="1339"/>
    <s v="Prep"/>
    <m/>
    <n v="0"/>
    <n v="0"/>
    <n v="0"/>
    <n v="0"/>
    <n v="0"/>
    <n v="9250"/>
    <n v="9250"/>
  </r>
  <r>
    <s v="Below the Line"/>
    <x v="2"/>
    <s v="SHOOT"/>
    <m/>
    <x v="1340"/>
    <s v="Shoot"/>
    <m/>
    <n v="140000"/>
    <n v="0"/>
    <n v="140000"/>
    <n v="0"/>
    <n v="140000"/>
    <n v="129500"/>
    <n v="-10500"/>
  </r>
  <r>
    <s v="Below the Line"/>
    <x v="2"/>
    <s v=""/>
    <m/>
    <x v="1341"/>
    <s v="DIT Segunda Unidad - TBD"/>
    <m/>
    <n v="0"/>
    <n v="0"/>
    <n v="0"/>
    <n v="0"/>
    <n v="0"/>
    <n v="0"/>
    <n v="0"/>
  </r>
  <r>
    <s v="Below the Line"/>
    <x v="2"/>
    <s v="2nd Unit"/>
    <m/>
    <x v="1342"/>
    <s v="Shoot"/>
    <m/>
    <n v="43333"/>
    <n v="0"/>
    <n v="43333"/>
    <n v="0"/>
    <n v="43333"/>
    <n v="36000"/>
    <n v="-7333"/>
  </r>
  <r>
    <s v="Below the Line"/>
    <x v="2"/>
    <s v="2nd Unit"/>
    <m/>
    <x v="1343"/>
    <s v="DIT Split Unit"/>
    <m/>
    <n v="20000"/>
    <n v="0"/>
    <n v="20000"/>
    <n v="0"/>
    <n v="20000"/>
    <n v="0"/>
    <n v="-20000"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</r>
  <r>
    <s v="Below the Line"/>
    <x v="2"/>
    <s v=""/>
    <m/>
    <x v="1345"/>
    <s v="Unidad Multimedia All Inclusive Package - TBD"/>
    <m/>
    <n v="0"/>
    <n v="0"/>
    <n v="0"/>
    <n v="0"/>
    <n v="0"/>
    <n v="0"/>
    <n v="0"/>
  </r>
  <r>
    <s v="Below the Line"/>
    <x v="2"/>
    <s v="SHOOT"/>
    <m/>
    <x v="1346"/>
    <s v="Shoot"/>
    <m/>
    <n v="64700"/>
    <n v="0"/>
    <n v="64700"/>
    <n v="0"/>
    <n v="64700"/>
    <n v="125000"/>
    <n v="60300"/>
  </r>
  <r>
    <s v="Below the Line"/>
    <x v="1"/>
    <m/>
    <m/>
    <x v="1347"/>
    <s v="RENTA EQUIPO STEADYCAM"/>
    <m/>
    <n v="272000"/>
    <n v="0"/>
    <n v="272000"/>
    <n v="0"/>
    <n v="272000"/>
    <n v="272000"/>
    <n v="0"/>
  </r>
  <r>
    <s v="Below the Line"/>
    <x v="2"/>
    <s v=""/>
    <m/>
    <x v="1348"/>
    <s v="RONNIN - KAROTO"/>
    <m/>
    <n v="0"/>
    <n v="0"/>
    <n v="0"/>
    <n v="0"/>
    <n v="0"/>
    <n v="0"/>
    <n v="0"/>
  </r>
  <r>
    <s v="Below the Line"/>
    <x v="2"/>
    <s v="SHOOT"/>
    <m/>
    <x v="1349"/>
    <s v="Shoot"/>
    <m/>
    <n v="238000"/>
    <n v="0"/>
    <n v="238000"/>
    <n v="0"/>
    <n v="238000"/>
    <n v="238000"/>
    <n v="0"/>
  </r>
  <r>
    <s v="Below the Line"/>
    <x v="2"/>
    <s v=""/>
    <m/>
    <x v="1350"/>
    <s v="RONNIN Segunda Unidad - KAROTO"/>
    <m/>
    <n v="0"/>
    <n v="0"/>
    <n v="0"/>
    <n v="0"/>
    <n v="0"/>
    <n v="0"/>
    <n v="0"/>
  </r>
  <r>
    <s v="Below the Line"/>
    <x v="2"/>
    <s v="2nd Unit"/>
    <m/>
    <x v="1351"/>
    <s v="Shoot"/>
    <m/>
    <n v="34000"/>
    <n v="0"/>
    <n v="34000"/>
    <n v="0"/>
    <n v="34000"/>
    <n v="34000"/>
    <n v="0"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</r>
  <r>
    <s v="Below the Line"/>
    <x v="2"/>
    <s v=""/>
    <s v="NOM"/>
    <x v="1353"/>
    <s v="Encargado de Camara A - TBD"/>
    <m/>
    <n v="0"/>
    <n v="0"/>
    <n v="0"/>
    <n v="0"/>
    <n v="0"/>
    <n v="0"/>
    <n v="0"/>
  </r>
  <r>
    <s v="Below the Line"/>
    <x v="2"/>
    <s v="PREP"/>
    <s v="NOM"/>
    <x v="1354"/>
    <s v="Prep"/>
    <m/>
    <n v="0"/>
    <n v="0"/>
    <n v="0"/>
    <n v="0"/>
    <n v="0"/>
    <n v="8625"/>
    <n v="8625"/>
  </r>
  <r>
    <s v="Below the Line"/>
    <x v="2"/>
    <s v="SHOOT"/>
    <s v="NOM"/>
    <x v="1355"/>
    <s v="Shoot"/>
    <m/>
    <n v="120750"/>
    <n v="0"/>
    <n v="120750"/>
    <n v="0"/>
    <n v="120750"/>
    <n v="120750"/>
    <n v="0"/>
  </r>
  <r>
    <s v="Below the Line"/>
    <x v="2"/>
    <s v="WRAP"/>
    <s v="NOM"/>
    <x v="1356"/>
    <s v="Wrap"/>
    <m/>
    <n v="5750"/>
    <n v="0"/>
    <n v="5750"/>
    <n v="0"/>
    <n v="5750"/>
    <n v="8625"/>
    <n v="2875"/>
  </r>
  <r>
    <s v="Below the Line"/>
    <x v="2"/>
    <s v=""/>
    <s v="NOM"/>
    <x v="1357"/>
    <s v="Encargado de Camara B - TBD"/>
    <m/>
    <n v="0"/>
    <n v="0"/>
    <n v="0"/>
    <n v="0"/>
    <n v="0"/>
    <n v="0"/>
    <n v="0"/>
  </r>
  <r>
    <s v="Below the Line"/>
    <x v="2"/>
    <s v="PREP"/>
    <s v="NOM"/>
    <x v="1358"/>
    <s v="Prep"/>
    <m/>
    <n v="5750"/>
    <n v="0"/>
    <n v="5750"/>
    <n v="0"/>
    <n v="5750"/>
    <n v="8625"/>
    <n v="2875"/>
  </r>
  <r>
    <s v="Below the Line"/>
    <x v="2"/>
    <s v="SHOOT"/>
    <s v="NOM"/>
    <x v="1359"/>
    <s v="Shoot"/>
    <m/>
    <n v="120750"/>
    <n v="0"/>
    <n v="120750"/>
    <n v="0"/>
    <n v="120750"/>
    <n v="120750"/>
    <n v="0"/>
  </r>
  <r>
    <s v="Below the Line"/>
    <x v="2"/>
    <s v="WRAP"/>
    <s v="NOM"/>
    <x v="1360"/>
    <s v="Wrap"/>
    <m/>
    <n v="5750"/>
    <n v="0"/>
    <n v="5750"/>
    <n v="0"/>
    <n v="5750"/>
    <n v="8625"/>
    <n v="2875"/>
  </r>
  <r>
    <s v="Below the Line"/>
    <x v="2"/>
    <s v=""/>
    <s v="NOM"/>
    <x v="1361"/>
    <s v="Encargado de Grua - Luis Fernando Ortiz"/>
    <m/>
    <n v="0"/>
    <n v="0"/>
    <n v="0"/>
    <n v="0"/>
    <n v="0"/>
    <n v="0"/>
    <n v="0"/>
  </r>
  <r>
    <s v="Below the Line"/>
    <x v="2"/>
    <s v="PREP"/>
    <s v="NOM"/>
    <x v="1362"/>
    <s v="Prep"/>
    <m/>
    <n v="7500"/>
    <n v="0"/>
    <n v="7500"/>
    <n v="0"/>
    <n v="7500"/>
    <n v="7500"/>
    <n v="0"/>
  </r>
  <r>
    <s v="Below the Line"/>
    <x v="2"/>
    <s v="SHOOT"/>
    <s v="NOM"/>
    <x v="1363"/>
    <s v="Shoot"/>
    <m/>
    <n v="107500"/>
    <n v="0"/>
    <n v="107500"/>
    <n v="0"/>
    <n v="107500"/>
    <n v="105000"/>
    <n v="-2500"/>
  </r>
  <r>
    <s v="Below the Line"/>
    <x v="2"/>
    <s v=""/>
    <s v="NOM"/>
    <x v="1364"/>
    <s v="Encargado de Ronnin - Erick Delgado"/>
    <m/>
    <n v="0"/>
    <n v="0"/>
    <n v="0"/>
    <n v="0"/>
    <n v="0"/>
    <n v="0"/>
    <n v="0"/>
  </r>
  <r>
    <s v="Below the Line"/>
    <x v="2"/>
    <s v="PREP"/>
    <s v="NOM"/>
    <x v="1365"/>
    <s v="Prep"/>
    <m/>
    <n v="7500"/>
    <n v="0"/>
    <n v="7500"/>
    <n v="0"/>
    <n v="7500"/>
    <n v="7500"/>
    <n v="0"/>
  </r>
  <r>
    <s v="Below the Line"/>
    <x v="2"/>
    <s v="SHOOT"/>
    <s v="NOM"/>
    <x v="1366"/>
    <s v="Shoot"/>
    <m/>
    <n v="77500"/>
    <n v="0"/>
    <n v="77500"/>
    <n v="0"/>
    <n v="77500"/>
    <n v="105000"/>
    <n v="27500"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</r>
  <r>
    <s v="Below the Line"/>
    <x v="2"/>
    <s v="PREP"/>
    <s v="NOM"/>
    <x v="1368"/>
    <s v="Prep"/>
    <m/>
    <n v="5000"/>
    <n v="0"/>
    <n v="5000"/>
    <n v="0"/>
    <n v="5000"/>
    <n v="7500"/>
    <n v="2500"/>
  </r>
  <r>
    <s v="Below the Line"/>
    <x v="2"/>
    <s v="SHOOT"/>
    <s v="NOM"/>
    <x v="1369"/>
    <s v="Shoot"/>
    <m/>
    <n v="105000"/>
    <n v="0"/>
    <n v="105000"/>
    <n v="0"/>
    <n v="105000"/>
    <n v="105000"/>
    <n v="0"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</r>
  <r>
    <s v="Below the Line"/>
    <x v="2"/>
    <s v="PREP"/>
    <s v="NOM"/>
    <x v="1371"/>
    <s v="Prep"/>
    <m/>
    <n v="3750"/>
    <n v="0"/>
    <n v="3750"/>
    <n v="0"/>
    <n v="3750"/>
    <n v="3750"/>
    <n v="0"/>
  </r>
  <r>
    <s v="Below the Line"/>
    <x v="2"/>
    <s v="SHOOT"/>
    <s v="NOM"/>
    <x v="1372"/>
    <s v="Shoot"/>
    <m/>
    <n v="56250"/>
    <n v="0"/>
    <n v="56250"/>
    <n v="0"/>
    <n v="56250"/>
    <n v="52500"/>
    <n v="-3750"/>
  </r>
  <r>
    <s v="Below the Line"/>
    <x v="2"/>
    <s v=""/>
    <s v="NOM"/>
    <x v="1373"/>
    <s v="Encargado Follow Car - TBD"/>
    <m/>
    <n v="0"/>
    <n v="0"/>
    <n v="0"/>
    <n v="0"/>
    <n v="0"/>
    <n v="0"/>
    <n v="0"/>
  </r>
  <r>
    <s v="Below the Line"/>
    <x v="2"/>
    <s v="SHOOT"/>
    <s v="NOM"/>
    <x v="1374"/>
    <s v="Shoot"/>
    <m/>
    <n v="0"/>
    <n v="0"/>
    <n v="0"/>
    <n v="0"/>
    <n v="0"/>
    <n v="9000"/>
    <n v="9000"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</r>
  <r>
    <s v="Below the Line"/>
    <x v="2"/>
    <s v="2nd Unit"/>
    <s v="NOM"/>
    <x v="1376"/>
    <s v="Prep"/>
    <m/>
    <n v="0"/>
    <n v="0"/>
    <n v="0"/>
    <m/>
    <n v="0"/>
    <n v="8625"/>
    <n v="8625"/>
  </r>
  <r>
    <s v="Below the Line"/>
    <x v="2"/>
    <s v="2nd Unit"/>
    <s v="NOM"/>
    <x v="1377"/>
    <s v="Shoot"/>
    <m/>
    <n v="63250"/>
    <n v="0"/>
    <n v="63250"/>
    <n v="0"/>
    <n v="63250"/>
    <n v="34500"/>
    <n v="-28750"/>
  </r>
  <r>
    <s v="Below the Line"/>
    <x v="2"/>
    <s v="2nd Unit"/>
    <s v="NOM"/>
    <x v="1378"/>
    <s v="Wrap"/>
    <m/>
    <n v="0"/>
    <n v="0"/>
    <n v="0"/>
    <m/>
    <n v="0"/>
    <n v="8625"/>
    <n v="8625"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</r>
  <r>
    <s v="Below the Line"/>
    <x v="2"/>
    <s v="2nd Unit"/>
    <s v="NOM"/>
    <x v="1380"/>
    <s v="Prep"/>
    <m/>
    <n v="11500"/>
    <n v="0"/>
    <n v="11500"/>
    <n v="0"/>
    <n v="11500"/>
    <n v="8625"/>
    <n v="-2875"/>
  </r>
  <r>
    <s v="Below the Line"/>
    <x v="2"/>
    <s v="2nd Unit"/>
    <s v="NOM"/>
    <x v="1381"/>
    <s v="Shoot"/>
    <m/>
    <n v="34500"/>
    <n v="0"/>
    <n v="34500"/>
    <n v="0"/>
    <n v="34500"/>
    <n v="34500"/>
    <n v="0"/>
  </r>
  <r>
    <s v="Below the Line"/>
    <x v="2"/>
    <s v="2nd Unit"/>
    <s v="NOM"/>
    <x v="1382"/>
    <s v="Wrap"/>
    <m/>
    <n v="0"/>
    <n v="0"/>
    <n v="0"/>
    <n v="0"/>
    <n v="0"/>
    <n v="8625"/>
    <n v="8625"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</r>
  <r>
    <s v="Below the Line"/>
    <x v="2"/>
    <s v="2nd Unit"/>
    <s v="NOM"/>
    <x v="1384"/>
    <s v="Prep"/>
    <m/>
    <n v="7500"/>
    <n v="0"/>
    <n v="7500"/>
    <n v="0"/>
    <n v="7500"/>
    <n v="7500"/>
    <n v="0"/>
  </r>
  <r>
    <s v="Below the Line"/>
    <x v="2"/>
    <s v="2nd Unit"/>
    <s v="NOM"/>
    <x v="1385"/>
    <s v="Shoot"/>
    <m/>
    <n v="45000"/>
    <n v="0"/>
    <n v="45000"/>
    <m/>
    <n v="45000"/>
    <n v="30000"/>
    <n v="-15000"/>
  </r>
  <r>
    <s v="Below the Line"/>
    <x v="2"/>
    <s v=""/>
    <s v="NOM"/>
    <x v="1386"/>
    <s v="Encargado de Camara C (Agavia) - TBD"/>
    <m/>
    <n v="0"/>
    <n v="0"/>
    <n v="0"/>
    <n v="0"/>
    <n v="0"/>
    <n v="0"/>
    <n v="0"/>
  </r>
  <r>
    <s v="Below the Line"/>
    <x v="2"/>
    <s v="SHOOT"/>
    <s v="NOM"/>
    <x v="1387"/>
    <s v="Shoot"/>
    <m/>
    <n v="0"/>
    <n v="0"/>
    <n v="0"/>
    <n v="0"/>
    <n v="0"/>
    <n v="0"/>
    <n v="0"/>
  </r>
  <r>
    <s v="Below the Line"/>
    <x v="2"/>
    <s v=""/>
    <s v="NOM"/>
    <x v="1388"/>
    <s v="Encargado de Split Unit 1 - TBD"/>
    <m/>
    <n v="0"/>
    <n v="0"/>
    <n v="0"/>
    <n v="0"/>
    <n v="0"/>
    <n v="0"/>
    <n v="0"/>
  </r>
  <r>
    <s v="Below the Line"/>
    <x v="2"/>
    <s v="SHOOT"/>
    <s v="NOM"/>
    <x v="1389"/>
    <s v="Shoot"/>
    <m/>
    <n v="0"/>
    <n v="0"/>
    <n v="0"/>
    <n v="0"/>
    <n v="0"/>
    <n v="8625"/>
    <n v="8625"/>
  </r>
  <r>
    <s v="Below the Line"/>
    <x v="2"/>
    <s v=""/>
    <s v="NOM"/>
    <x v="1390"/>
    <s v="Encargado de Split Unit 2 - TBD"/>
    <m/>
    <n v="0"/>
    <n v="0"/>
    <n v="0"/>
    <n v="0"/>
    <n v="0"/>
    <n v="0"/>
    <n v="0"/>
  </r>
  <r>
    <s v="Below the Line"/>
    <x v="2"/>
    <s v="SHOOT"/>
    <s v="NOM"/>
    <x v="1391"/>
    <s v="Shoot"/>
    <m/>
    <n v="9875"/>
    <n v="0"/>
    <n v="9875"/>
    <n v="0"/>
    <n v="9875"/>
    <n v="8625"/>
    <n v="-1250"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</r>
  <r>
    <s v="Below the Line"/>
    <x v="2"/>
    <s v="SHOOT"/>
    <s v="NOM"/>
    <x v="1394"/>
    <s v="Encargado óptica adicional"/>
    <m/>
    <n v="0"/>
    <n v="0"/>
    <n v="0"/>
    <n v="0"/>
    <n v="0"/>
    <n v="0"/>
    <n v="0"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</r>
  <r>
    <s v="Below the Line"/>
    <x v="2"/>
    <s v=""/>
    <m/>
    <x v="1396"/>
    <s v="Expendables per Episode"/>
    <m/>
    <n v="0"/>
    <n v="0"/>
    <n v="0"/>
    <n v="0"/>
    <n v="0"/>
    <n v="0"/>
    <n v="0"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</r>
  <r>
    <s v="Below the Line"/>
    <x v="1"/>
    <m/>
    <m/>
    <x v="1398"/>
    <s v="RENTA EQUIPO DIT"/>
    <m/>
    <n v="134000"/>
    <n v="0"/>
    <n v="134000"/>
    <n v="0"/>
    <n v="134000"/>
    <n v="324000"/>
    <n v="190000"/>
  </r>
  <r>
    <s v="Below the Line"/>
    <x v="2"/>
    <s v=""/>
    <m/>
    <x v="1399"/>
    <s v="DIT - Devan - All inclusive Package -"/>
    <m/>
    <n v="0"/>
    <n v="0"/>
    <n v="0"/>
    <n v="0"/>
    <n v="0"/>
    <n v="0"/>
    <n v="0"/>
  </r>
  <r>
    <s v="Below the Line"/>
    <x v="2"/>
    <s v="SHOOT"/>
    <m/>
    <x v="1400"/>
    <s v="Monitor Flanders Scientific DM241"/>
    <m/>
    <n v="0"/>
    <n v="0"/>
    <n v="0"/>
    <n v="0"/>
    <n v="0"/>
    <n v="0"/>
    <n v="0"/>
  </r>
  <r>
    <s v="Below the Line"/>
    <x v="2"/>
    <s v="SHOOT"/>
    <m/>
    <x v="1401"/>
    <s v="MacBook Pro"/>
    <m/>
    <n v="0"/>
    <n v="0"/>
    <n v="0"/>
    <n v="0"/>
    <n v="0"/>
    <n v="0"/>
    <n v="0"/>
  </r>
  <r>
    <s v="Below the Line"/>
    <x v="2"/>
    <s v="SHOOT"/>
    <m/>
    <x v="1402"/>
    <s v="1 Monitor Dual Smartscope BMD"/>
    <m/>
    <n v="0"/>
    <n v="0"/>
    <n v="0"/>
    <n v="0"/>
    <n v="0"/>
    <n v="0"/>
    <n v="0"/>
  </r>
  <r>
    <s v="Below the Line"/>
    <x v="2"/>
    <s v="SHOOT"/>
    <m/>
    <x v="1403"/>
    <s v="Livegrade Pro"/>
    <m/>
    <n v="0"/>
    <n v="0"/>
    <n v="0"/>
    <n v="0"/>
    <n v="0"/>
    <n v="0"/>
    <n v="0"/>
  </r>
  <r>
    <s v="Below the Line"/>
    <x v="2"/>
    <s v="SHOOT"/>
    <m/>
    <x v="1404"/>
    <s v="2 Teradek Color LUT BOxes"/>
    <m/>
    <n v="0"/>
    <n v="0"/>
    <n v="0"/>
    <n v="0"/>
    <n v="0"/>
    <n v="0"/>
    <n v="0"/>
  </r>
  <r>
    <s v="Below the Line"/>
    <x v="2"/>
    <s v="SHOOT"/>
    <m/>
    <x v="1405"/>
    <s v="Carrito Con Bateria Para 3 Horas"/>
    <m/>
    <n v="0"/>
    <n v="0"/>
    <n v="0"/>
    <n v="0"/>
    <n v="0"/>
    <n v="0"/>
    <n v="0"/>
  </r>
  <r>
    <s v="Below the Line"/>
    <x v="2"/>
    <s v="SHOOT"/>
    <m/>
    <x v="1406"/>
    <s v="Data Station IMAC Pro 12 Core"/>
    <m/>
    <n v="0"/>
    <n v="0"/>
    <n v="0"/>
    <n v="0"/>
    <n v="0"/>
    <n v="0"/>
    <n v="0"/>
  </r>
  <r>
    <s v="Below the Line"/>
    <x v="2"/>
    <s v="SHOOT"/>
    <m/>
    <x v="1407"/>
    <s v="Raid de Trabajo 48 TB"/>
    <m/>
    <n v="0"/>
    <n v="0"/>
    <n v="0"/>
    <n v="0"/>
    <n v="0"/>
    <n v="0"/>
    <n v="0"/>
  </r>
  <r>
    <s v="Below the Line"/>
    <x v="2"/>
    <s v="SHOOT"/>
    <m/>
    <x v="1408"/>
    <s v="3 Discos Taxi 4 TB"/>
    <m/>
    <n v="0"/>
    <n v="0"/>
    <n v="0"/>
    <n v="0"/>
    <n v="0"/>
    <n v="0"/>
    <n v="0"/>
  </r>
  <r>
    <s v="Below the Line"/>
    <x v="2"/>
    <s v="SHOOT"/>
    <m/>
    <x v="1409"/>
    <s v="Daylies en Frame IO"/>
    <m/>
    <n v="0"/>
    <n v="0"/>
    <n v="0"/>
    <n v="0"/>
    <n v="0"/>
    <n v="0"/>
    <n v="0"/>
  </r>
  <r>
    <s v="Below the Line"/>
    <x v="2"/>
    <s v="SHOOT"/>
    <m/>
    <x v="1410"/>
    <s v="Daylies Editorial"/>
    <m/>
    <n v="0"/>
    <n v="0"/>
    <n v="0"/>
    <n v="0"/>
    <n v="0"/>
    <n v="0"/>
    <n v="0"/>
  </r>
  <r>
    <s v="Below the Line"/>
    <x v="2"/>
    <s v="SHOOT"/>
    <m/>
    <x v="1411"/>
    <s v="Still y Lut"/>
    <m/>
    <n v="0"/>
    <n v="0"/>
    <n v="0"/>
    <n v="0"/>
    <n v="0"/>
    <n v="0"/>
    <n v="0"/>
  </r>
  <r>
    <s v="Below the Line"/>
    <x v="2"/>
    <s v="SHOOT"/>
    <m/>
    <x v="1412"/>
    <s v="Shoot"/>
    <m/>
    <n v="134000"/>
    <n v="0"/>
    <n v="134000"/>
    <n v="0"/>
    <n v="134000"/>
    <n v="252000"/>
    <n v="118000"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</r>
  <r>
    <s v="Below the Line"/>
    <x v="2"/>
    <s v="2nd Unit"/>
    <m/>
    <x v="1414"/>
    <s v="Shoot"/>
    <m/>
    <n v="0"/>
    <n v="0"/>
    <n v="0"/>
    <n v="0"/>
    <n v="0"/>
    <n v="72000"/>
    <n v="72000"/>
  </r>
  <r>
    <s v="Below the Line"/>
    <x v="2"/>
    <s v="2nd Unit"/>
    <m/>
    <x v="1415"/>
    <s v="Renta de equipo Split Unit"/>
    <m/>
    <n v="0"/>
    <n v="0"/>
    <n v="0"/>
    <n v="0"/>
    <n v="0"/>
    <n v="0"/>
    <n v="0"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</r>
  <r>
    <s v="Below the Line"/>
    <x v="2"/>
    <s v=""/>
    <m/>
    <x v="1417"/>
    <s v="RENTALS FOR SERIES "/>
    <m/>
    <n v="0"/>
    <n v="0"/>
    <n v="0"/>
    <n v="0"/>
    <n v="0"/>
    <n v="0"/>
    <n v="0"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</r>
  <r>
    <s v="Below the Line"/>
    <x v="2"/>
    <s v="SHOOT"/>
    <m/>
    <x v="1419"/>
    <s v="Alexa Mini LF"/>
    <m/>
    <n v="0"/>
    <n v="0"/>
    <n v="0"/>
    <n v="0"/>
    <n v="0"/>
    <n v="0"/>
    <n v="0"/>
  </r>
  <r>
    <s v="Below the Line"/>
    <x v="2"/>
    <s v="SHOOT"/>
    <m/>
    <x v="1420"/>
    <s v="Baterías Gold Mount"/>
    <m/>
    <n v="0"/>
    <n v="0"/>
    <n v="0"/>
    <n v="0"/>
    <n v="0"/>
    <n v="0"/>
    <n v="0"/>
  </r>
  <r>
    <s v="Below the Line"/>
    <x v="2"/>
    <s v="SHOOT"/>
    <m/>
    <x v="1421"/>
    <s v="Baterías de Bloque"/>
    <m/>
    <n v="0"/>
    <n v="0"/>
    <n v="0"/>
    <n v="0"/>
    <n v="0"/>
    <n v="0"/>
    <n v="0"/>
  </r>
  <r>
    <s v="Below the Line"/>
    <x v="2"/>
    <s v="SHOOT"/>
    <m/>
    <x v="1422"/>
    <s v="Tarjetas Codex 1TB"/>
    <m/>
    <n v="0"/>
    <n v="0"/>
    <n v="0"/>
    <n v="0"/>
    <n v="0"/>
    <n v="0"/>
    <n v="0"/>
  </r>
  <r>
    <s v="Below the Line"/>
    <x v="2"/>
    <s v="SHOOT"/>
    <m/>
    <x v="1423"/>
    <s v="Lectores de tarjeta codex"/>
    <m/>
    <n v="0"/>
    <n v="0"/>
    <n v="0"/>
    <n v="0"/>
    <n v="0"/>
    <n v="0"/>
    <n v="0"/>
  </r>
  <r>
    <s v="Below the Line"/>
    <x v="2"/>
    <s v="SHOOT"/>
    <m/>
    <x v="1424"/>
    <s v="Juego de lentes Summicron C"/>
    <m/>
    <n v="0"/>
    <n v="0"/>
    <n v="0"/>
    <n v="0"/>
    <n v="0"/>
    <n v="0"/>
    <n v="0"/>
  </r>
  <r>
    <s v="Below the Line"/>
    <x v="2"/>
    <s v="SHOOT"/>
    <m/>
    <x v="1425"/>
    <s v="Summilux C"/>
    <m/>
    <n v="0"/>
    <n v="0"/>
    <n v="0"/>
    <n v="0"/>
    <n v="0"/>
    <n v="0"/>
    <n v="0"/>
  </r>
  <r>
    <s v="Below the Line"/>
    <x v="2"/>
    <s v="SHOOT"/>
    <m/>
    <x v="1426"/>
    <s v="Juego de lentillas de acercamiento"/>
    <m/>
    <n v="0"/>
    <n v="0"/>
    <n v="0"/>
    <n v="0"/>
    <n v="0"/>
    <n v="0"/>
    <n v="0"/>
  </r>
  <r>
    <s v="Below the Line"/>
    <x v="2"/>
    <s v="SHOOT"/>
    <m/>
    <x v="1427"/>
    <s v="Juego de filtros Hollywood Black Magic 4x5.6"/>
    <m/>
    <n v="0"/>
    <n v="0"/>
    <n v="0"/>
    <n v="0"/>
    <n v="0"/>
    <n v="0"/>
    <n v="0"/>
  </r>
  <r>
    <s v="Below the Line"/>
    <x v="2"/>
    <s v="SHOOT"/>
    <m/>
    <x v="1428"/>
    <s v="Juego de Filtros Black Pro Mist 4x5.6"/>
    <m/>
    <n v="0"/>
    <n v="0"/>
    <n v="0"/>
    <n v="0"/>
    <n v="0"/>
    <n v="0"/>
    <n v="0"/>
  </r>
  <r>
    <s v="Below the Line"/>
    <x v="2"/>
    <s v="SHOOT"/>
    <m/>
    <x v="1429"/>
    <s v="Juego de Filtro ND IR 4x5.6"/>
    <m/>
    <n v="0"/>
    <n v="0"/>
    <n v="0"/>
    <n v="0"/>
    <n v="0"/>
    <n v="0"/>
    <n v="0"/>
  </r>
  <r>
    <s v="Below the Line"/>
    <x v="2"/>
    <s v="SHOOT"/>
    <m/>
    <x v="1430"/>
    <s v="Juego ND degradado soft 4x5.6"/>
    <m/>
    <n v="0"/>
    <n v="0"/>
    <n v="0"/>
    <n v="0"/>
    <n v="0"/>
    <n v="0"/>
    <n v="0"/>
  </r>
  <r>
    <s v="Below the Line"/>
    <x v="2"/>
    <s v="SHOOT"/>
    <m/>
    <x v="1431"/>
    <s v="Juego de filtros Clear 4x5.6"/>
    <m/>
    <n v="0"/>
    <n v="0"/>
    <n v="0"/>
    <n v="0"/>
    <n v="0"/>
    <n v="0"/>
    <n v="0"/>
  </r>
  <r>
    <s v="Below the Line"/>
    <x v="2"/>
    <s v="SHOOT"/>
    <m/>
    <x v="1432"/>
    <s v="Rota Pola 4x5.6"/>
    <m/>
    <n v="0"/>
    <n v="0"/>
    <n v="0"/>
    <n v="0"/>
    <n v="0"/>
    <n v="0"/>
    <n v="0"/>
  </r>
  <r>
    <s v="Below the Line"/>
    <x v="2"/>
    <s v="SHOOT"/>
    <m/>
    <x v="1433"/>
    <s v="Ultra Pola Circular 4x5.6"/>
    <m/>
    <n v="0"/>
    <n v="0"/>
    <n v="0"/>
    <n v="0"/>
    <n v="0"/>
    <n v="0"/>
    <n v="0"/>
  </r>
  <r>
    <s v="Below the Line"/>
    <x v="2"/>
    <s v="SHOOT"/>
    <m/>
    <x v="1434"/>
    <s v="Ultra Pola Linear 4x5.6"/>
    <m/>
    <n v="0"/>
    <n v="0"/>
    <n v="0"/>
    <n v="0"/>
    <n v="0"/>
    <n v="0"/>
    <n v="0"/>
  </r>
  <r>
    <s v="Below the Line"/>
    <x v="2"/>
    <s v="SHOOT"/>
    <m/>
    <x v="1435"/>
    <s v="Extender Finder"/>
    <m/>
    <n v="0"/>
    <n v="0"/>
    <n v="0"/>
    <n v="0"/>
    <n v="0"/>
    <n v="0"/>
    <n v="0"/>
  </r>
  <r>
    <s v="Below the Line"/>
    <x v="2"/>
    <s v="SHOOT"/>
    <m/>
    <x v="1436"/>
    <s v="Matte box clip on LMB 5 (para filtros 4x5.6)"/>
    <m/>
    <n v="0"/>
    <n v="0"/>
    <n v="0"/>
    <n v="0"/>
    <n v="0"/>
    <n v="0"/>
    <n v="0"/>
  </r>
  <r>
    <s v="Below the Line"/>
    <x v="2"/>
    <s v="SHOOT"/>
    <m/>
    <x v="1437"/>
    <s v="Microforce Open Haimer"/>
    <m/>
    <n v="0"/>
    <n v="0"/>
    <n v="0"/>
    <n v="0"/>
    <n v="0"/>
    <n v="0"/>
    <n v="0"/>
  </r>
  <r>
    <s v="Below the Line"/>
    <x v="2"/>
    <s v="SHOOT"/>
    <m/>
    <x v="1438"/>
    <s v="Cabezas O'Connor 2575-D"/>
    <m/>
    <n v="0"/>
    <n v="0"/>
    <n v="0"/>
    <n v="0"/>
    <n v="0"/>
    <n v="0"/>
    <n v="0"/>
  </r>
  <r>
    <s v="Below the Line"/>
    <x v="2"/>
    <s v="SHOOT"/>
    <m/>
    <x v="1439"/>
    <s v="Tripiés Ronford estándar"/>
    <m/>
    <n v="0"/>
    <n v="0"/>
    <n v="0"/>
    <n v="0"/>
    <n v="0"/>
    <n v="0"/>
    <n v="0"/>
  </r>
  <r>
    <s v="Below the Line"/>
    <x v="2"/>
    <s v="SHOOT"/>
    <m/>
    <x v="1440"/>
    <s v="Tripiés Ronford baby"/>
    <m/>
    <n v="0"/>
    <n v="0"/>
    <n v="0"/>
    <n v="0"/>
    <n v="0"/>
    <n v="0"/>
    <n v="0"/>
  </r>
  <r>
    <s v="Below the Line"/>
    <x v="2"/>
    <s v="SHOOT"/>
    <m/>
    <x v="1441"/>
    <s v="Hi-hat"/>
    <m/>
    <n v="0"/>
    <n v="0"/>
    <n v="0"/>
    <n v="0"/>
    <n v="0"/>
    <n v="0"/>
    <n v="0"/>
  </r>
  <r>
    <s v="Below the Line"/>
    <x v="2"/>
    <s v="SHOOT"/>
    <m/>
    <x v="1442"/>
    <s v="Low-hat"/>
    <m/>
    <n v="0"/>
    <n v="0"/>
    <n v="0"/>
    <n v="0"/>
    <n v="0"/>
    <n v="0"/>
    <n v="0"/>
  </r>
  <r>
    <s v="Below the Line"/>
    <x v="2"/>
    <s v="SHOOT"/>
    <m/>
    <x v="1443"/>
    <s v="Juegos para cámara Handheld spyder grip"/>
    <m/>
    <n v="0"/>
    <n v="0"/>
    <n v="0"/>
    <n v="0"/>
    <n v="0"/>
    <n v="0"/>
    <n v="0"/>
  </r>
  <r>
    <s v="Below the Line"/>
    <x v="2"/>
    <s v="SHOOT"/>
    <m/>
    <x v="1444"/>
    <s v="Easy Rig con Serene"/>
    <m/>
    <n v="0"/>
    <n v="0"/>
    <n v="0"/>
    <n v="0"/>
    <n v="0"/>
    <n v="0"/>
    <n v="0"/>
  </r>
  <r>
    <s v="Below the Line"/>
    <x v="2"/>
    <s v="SHOOT"/>
    <m/>
    <x v="1445"/>
    <s v="Monitores small 703HD"/>
    <m/>
    <n v="0"/>
    <n v="0"/>
    <n v="0"/>
    <n v="0"/>
    <n v="0"/>
    <n v="0"/>
    <n v="0"/>
  </r>
  <r>
    <s v="Below the Line"/>
    <x v="2"/>
    <s v="SHOOT"/>
    <m/>
    <x v="1446"/>
    <s v="Preston single channel"/>
    <m/>
    <n v="0"/>
    <n v="0"/>
    <n v="0"/>
    <n v="0"/>
    <n v="0"/>
    <n v="0"/>
    <n v="0"/>
  </r>
  <r>
    <s v="Below the Line"/>
    <x v="2"/>
    <s v="SHOOT"/>
    <m/>
    <x v="1447"/>
    <s v="Nucleus M"/>
    <m/>
    <n v="0"/>
    <n v="0"/>
    <n v="0"/>
    <n v="0"/>
    <n v="0"/>
    <n v="0"/>
    <n v="0"/>
  </r>
  <r>
    <s v="Below the Line"/>
    <x v="2"/>
    <s v="SHOOT"/>
    <m/>
    <x v="1448"/>
    <s v="Carritos de cámara Magliner Chico"/>
    <m/>
    <n v="0"/>
    <n v="0"/>
    <n v="0"/>
    <n v="0"/>
    <n v="0"/>
    <n v="0"/>
    <n v="0"/>
  </r>
  <r>
    <s v="Below the Line"/>
    <x v="2"/>
    <s v="SHOOT"/>
    <m/>
    <x v="1449"/>
    <s v="Carritos de cámara Magliner Grande"/>
    <m/>
    <n v="0"/>
    <n v="0"/>
    <n v="0"/>
    <n v="0"/>
    <n v="0"/>
    <n v="0"/>
    <n v="0"/>
  </r>
  <r>
    <s v="Below the Line"/>
    <x v="2"/>
    <s v="SHOOT"/>
    <m/>
    <x v="1450"/>
    <s v="Camion con sistema de carga"/>
    <m/>
    <n v="0"/>
    <n v="0"/>
    <n v="0"/>
    <n v="0"/>
    <n v="0"/>
    <n v="0"/>
    <n v="0"/>
  </r>
  <r>
    <s v="Below the Line"/>
    <x v="2"/>
    <s v="SHOOT"/>
    <m/>
    <x v="1451"/>
    <s v="Zoom fujinon 19-90"/>
    <m/>
    <n v="0"/>
    <n v="0"/>
    <n v="0"/>
    <n v="0"/>
    <n v="0"/>
    <n v="0"/>
    <n v="0"/>
  </r>
  <r>
    <s v="Below the Line"/>
    <x v="2"/>
    <s v="SHOOT"/>
    <m/>
    <x v="1452"/>
    <s v="Zoom óptimo 24-290"/>
    <m/>
    <n v="0"/>
    <n v="0"/>
    <n v="0"/>
    <n v="0"/>
    <n v="0"/>
    <n v="0"/>
    <n v="0"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</r>
  <r>
    <s v="Below the Line"/>
    <x v="2"/>
    <s v="SHOOT"/>
    <m/>
    <x v="1455"/>
    <s v="Allowance"/>
    <m/>
    <n v="2414076"/>
    <n v="0"/>
    <n v="2414076"/>
    <n v="0"/>
    <n v="2414076"/>
    <n v="2414076"/>
    <n v="0"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</r>
  <r>
    <s v="Below the Line"/>
    <x v="2"/>
    <s v=""/>
    <m/>
    <x v="1458"/>
    <s v="Equipo de Camara Segunda Unidad - EFD - TBD"/>
    <m/>
    <n v="0"/>
    <n v="0"/>
    <n v="0"/>
    <n v="0"/>
    <n v="0"/>
    <n v="0"/>
    <n v="0"/>
  </r>
  <r>
    <s v="Below the Line"/>
    <x v="2"/>
    <s v="2nd Unit"/>
    <m/>
    <x v="1459"/>
    <s v="Alexa Mini LF"/>
    <m/>
    <n v="0"/>
    <n v="0"/>
    <n v="0"/>
    <n v="0"/>
    <n v="0"/>
    <n v="0"/>
    <n v="0"/>
  </r>
  <r>
    <s v="Below the Line"/>
    <x v="2"/>
    <s v="2nd Unit"/>
    <m/>
    <x v="1460"/>
    <s v="Baterías Gold Mount"/>
    <m/>
    <n v="0"/>
    <n v="0"/>
    <n v="0"/>
    <n v="0"/>
    <n v="0"/>
    <n v="0"/>
    <n v="0"/>
  </r>
  <r>
    <s v="Below the Line"/>
    <x v="2"/>
    <s v="2nd Unit"/>
    <m/>
    <x v="1461"/>
    <s v="Baterías de Bloque"/>
    <m/>
    <n v="0"/>
    <n v="0"/>
    <n v="0"/>
    <n v="0"/>
    <n v="0"/>
    <n v="0"/>
    <n v="0"/>
  </r>
  <r>
    <s v="Below the Line"/>
    <x v="2"/>
    <s v="2nd Unit"/>
    <m/>
    <x v="1462"/>
    <s v="Tarjetas Codex 1TB"/>
    <m/>
    <n v="0"/>
    <n v="0"/>
    <n v="0"/>
    <n v="0"/>
    <n v="0"/>
    <n v="0"/>
    <n v="0"/>
  </r>
  <r>
    <s v="Below the Line"/>
    <x v="2"/>
    <s v="2nd Unit"/>
    <m/>
    <x v="1463"/>
    <s v="Lectores de tarjeta codex"/>
    <m/>
    <n v="0"/>
    <n v="0"/>
    <n v="0"/>
    <n v="0"/>
    <n v="0"/>
    <n v="0"/>
    <n v="0"/>
  </r>
  <r>
    <s v="Below the Line"/>
    <x v="2"/>
    <s v="2nd Unit"/>
    <m/>
    <x v="1464"/>
    <s v="Juego de lentes Summicron C"/>
    <m/>
    <n v="0"/>
    <n v="0"/>
    <n v="0"/>
    <n v="0"/>
    <n v="0"/>
    <n v="0"/>
    <n v="0"/>
  </r>
  <r>
    <s v="Below the Line"/>
    <x v="2"/>
    <s v="2nd Unit"/>
    <m/>
    <x v="1465"/>
    <s v="Summilux C"/>
    <m/>
    <n v="0"/>
    <n v="0"/>
    <n v="0"/>
    <n v="0"/>
    <n v="0"/>
    <n v="0"/>
    <n v="0"/>
  </r>
  <r>
    <s v="Below the Line"/>
    <x v="2"/>
    <s v="2nd Unit"/>
    <m/>
    <x v="1466"/>
    <s v="Juego de lentillas de acercamiento"/>
    <m/>
    <n v="0"/>
    <n v="0"/>
    <n v="0"/>
    <n v="0"/>
    <n v="0"/>
    <n v="0"/>
    <n v="0"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</r>
  <r>
    <s v="Below the Line"/>
    <x v="2"/>
    <s v="2nd Unit"/>
    <m/>
    <x v="1468"/>
    <s v="Juego de Filtros Black Pro Mist 4x5.6"/>
    <m/>
    <n v="0"/>
    <n v="0"/>
    <n v="0"/>
    <n v="0"/>
    <n v="0"/>
    <n v="0"/>
    <n v="0"/>
  </r>
  <r>
    <s v="Below the Line"/>
    <x v="2"/>
    <s v="2nd Unit"/>
    <m/>
    <x v="1469"/>
    <s v="Juego de Filtro ND IR 4x5.6"/>
    <m/>
    <n v="0"/>
    <n v="0"/>
    <n v="0"/>
    <n v="0"/>
    <n v="0"/>
    <n v="0"/>
    <n v="0"/>
  </r>
  <r>
    <s v="Below the Line"/>
    <x v="2"/>
    <s v="2nd Unit"/>
    <m/>
    <x v="1470"/>
    <s v="Juego ND degradado soft 4x5.6"/>
    <m/>
    <n v="0"/>
    <n v="0"/>
    <n v="0"/>
    <n v="0"/>
    <n v="0"/>
    <n v="0"/>
    <n v="0"/>
  </r>
  <r>
    <s v="Below the Line"/>
    <x v="2"/>
    <s v="2nd Unit"/>
    <m/>
    <x v="1471"/>
    <s v="Juego de filtros Clear 4x5.6"/>
    <m/>
    <n v="0"/>
    <n v="0"/>
    <n v="0"/>
    <n v="0"/>
    <n v="0"/>
    <n v="0"/>
    <n v="0"/>
  </r>
  <r>
    <s v="Below the Line"/>
    <x v="2"/>
    <s v="2nd Unit"/>
    <m/>
    <x v="1472"/>
    <s v="Rota Pola 4x5.6"/>
    <m/>
    <n v="0"/>
    <n v="0"/>
    <n v="0"/>
    <n v="0"/>
    <n v="0"/>
    <n v="0"/>
    <n v="0"/>
  </r>
  <r>
    <s v="Below the Line"/>
    <x v="2"/>
    <s v="2nd Unit"/>
    <m/>
    <x v="1473"/>
    <s v="Ultra Pola Circular 4x5.6"/>
    <m/>
    <n v="0"/>
    <n v="0"/>
    <n v="0"/>
    <n v="0"/>
    <n v="0"/>
    <n v="0"/>
    <n v="0"/>
  </r>
  <r>
    <s v="Below the Line"/>
    <x v="2"/>
    <s v="2nd Unit"/>
    <m/>
    <x v="1474"/>
    <s v="Ultra Pola Linear 4x5.6"/>
    <m/>
    <n v="0"/>
    <n v="0"/>
    <n v="0"/>
    <n v="0"/>
    <n v="0"/>
    <n v="0"/>
    <n v="0"/>
  </r>
  <r>
    <s v="Below the Line"/>
    <x v="2"/>
    <s v="2nd Unit"/>
    <m/>
    <x v="1475"/>
    <s v="Extender Finder"/>
    <m/>
    <n v="0"/>
    <n v="0"/>
    <n v="0"/>
    <n v="0"/>
    <n v="0"/>
    <n v="0"/>
    <n v="0"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</r>
  <r>
    <s v="Below the Line"/>
    <x v="2"/>
    <s v="2nd Unit"/>
    <m/>
    <x v="1477"/>
    <s v="Microforce Open Haimer"/>
    <m/>
    <n v="0"/>
    <n v="0"/>
    <n v="0"/>
    <n v="0"/>
    <n v="0"/>
    <n v="0"/>
    <n v="0"/>
  </r>
  <r>
    <s v="Below the Line"/>
    <x v="2"/>
    <s v="2nd Unit"/>
    <m/>
    <x v="1478"/>
    <s v="Cabezas O'Connor 2575-D"/>
    <m/>
    <n v="0"/>
    <n v="0"/>
    <n v="0"/>
    <n v="0"/>
    <n v="0"/>
    <n v="0"/>
    <n v="0"/>
  </r>
  <r>
    <s v="Below the Line"/>
    <x v="2"/>
    <s v="2nd Unit"/>
    <m/>
    <x v="1479"/>
    <s v="Tripiés Ronford estándar"/>
    <m/>
    <n v="0"/>
    <n v="0"/>
    <n v="0"/>
    <n v="0"/>
    <n v="0"/>
    <n v="0"/>
    <n v="0"/>
  </r>
  <r>
    <s v="Below the Line"/>
    <x v="2"/>
    <s v="2nd Unit"/>
    <m/>
    <x v="1480"/>
    <s v="Tripiés Ronford baby"/>
    <m/>
    <n v="0"/>
    <n v="0"/>
    <n v="0"/>
    <n v="0"/>
    <n v="0"/>
    <n v="0"/>
    <n v="0"/>
  </r>
  <r>
    <s v="Below the Line"/>
    <x v="2"/>
    <s v="2nd Unit"/>
    <m/>
    <x v="1481"/>
    <s v="Hi-hat"/>
    <m/>
    <n v="0"/>
    <n v="0"/>
    <n v="0"/>
    <n v="0"/>
    <n v="0"/>
    <n v="0"/>
    <n v="0"/>
  </r>
  <r>
    <s v="Below the Line"/>
    <x v="2"/>
    <s v="2nd Unit"/>
    <m/>
    <x v="1482"/>
    <s v="Low-hat"/>
    <m/>
    <n v="0"/>
    <n v="0"/>
    <n v="0"/>
    <n v="0"/>
    <n v="0"/>
    <n v="0"/>
    <n v="0"/>
  </r>
  <r>
    <s v="Below the Line"/>
    <x v="2"/>
    <s v="2nd Unit"/>
    <m/>
    <x v="1483"/>
    <s v="Juegos para cámara Handheld spyder grip"/>
    <m/>
    <n v="0"/>
    <n v="0"/>
    <n v="0"/>
    <n v="0"/>
    <n v="0"/>
    <n v="0"/>
    <n v="0"/>
  </r>
  <r>
    <s v="Below the Line"/>
    <x v="2"/>
    <s v="2nd Unit"/>
    <m/>
    <x v="1484"/>
    <s v="Easy Rig con Serene"/>
    <m/>
    <n v="0"/>
    <n v="0"/>
    <n v="0"/>
    <n v="0"/>
    <n v="0"/>
    <n v="0"/>
    <n v="0"/>
  </r>
  <r>
    <s v="Below the Line"/>
    <x v="2"/>
    <s v="2nd Unit"/>
    <m/>
    <x v="1485"/>
    <s v="Monitores small 703HD"/>
    <m/>
    <n v="0"/>
    <n v="0"/>
    <n v="0"/>
    <n v="0"/>
    <n v="0"/>
    <n v="0"/>
    <n v="0"/>
  </r>
  <r>
    <s v="Below the Line"/>
    <x v="2"/>
    <s v="2nd Unit"/>
    <m/>
    <x v="1486"/>
    <s v="Preston single channel"/>
    <m/>
    <n v="0"/>
    <n v="0"/>
    <n v="0"/>
    <n v="0"/>
    <n v="0"/>
    <n v="0"/>
    <n v="0"/>
  </r>
  <r>
    <s v="Below the Line"/>
    <x v="2"/>
    <s v="2nd Unit"/>
    <m/>
    <x v="1487"/>
    <s v="Nucleus M"/>
    <m/>
    <n v="0"/>
    <n v="0"/>
    <n v="0"/>
    <n v="0"/>
    <n v="0"/>
    <n v="0"/>
    <n v="0"/>
  </r>
  <r>
    <s v="Below the Line"/>
    <x v="2"/>
    <s v="2nd Unit"/>
    <m/>
    <x v="1488"/>
    <s v="Carritos de cámara Magliner Chico"/>
    <m/>
    <n v="0"/>
    <n v="0"/>
    <n v="0"/>
    <n v="0"/>
    <n v="0"/>
    <n v="0"/>
    <n v="0"/>
  </r>
  <r>
    <s v="Below the Line"/>
    <x v="2"/>
    <s v="2nd Unit"/>
    <m/>
    <x v="1489"/>
    <s v="Carritos de cámara Magliner Grande"/>
    <m/>
    <n v="0"/>
    <n v="0"/>
    <n v="0"/>
    <n v="0"/>
    <n v="0"/>
    <n v="0"/>
    <n v="0"/>
  </r>
  <r>
    <s v="Below the Line"/>
    <x v="2"/>
    <s v="2nd Unit"/>
    <m/>
    <x v="1490"/>
    <s v="Slider Matthews 45"/>
    <m/>
    <n v="0"/>
    <n v="0"/>
    <n v="0"/>
    <n v="0"/>
    <n v="0"/>
    <n v="0"/>
    <n v="0"/>
  </r>
  <r>
    <s v="Below the Line"/>
    <x v="2"/>
    <s v="2nd Unit"/>
    <m/>
    <x v="1491"/>
    <s v="Camion con sistema de carga"/>
    <m/>
    <n v="0"/>
    <n v="0"/>
    <n v="0"/>
    <n v="0"/>
    <n v="0"/>
    <n v="0"/>
    <n v="0"/>
  </r>
  <r>
    <s v="Below the Line"/>
    <x v="2"/>
    <s v="2nd Unit"/>
    <m/>
    <x v="1492"/>
    <s v="Allowance"/>
    <m/>
    <n v="764239"/>
    <n v="0"/>
    <n v="764239"/>
    <n v="0"/>
    <n v="764239"/>
    <n v="764239"/>
    <n v="0"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</r>
  <r>
    <s v="Below the Line"/>
    <x v="2"/>
    <s v=""/>
    <m/>
    <x v="1495"/>
    <s v="Cámara Split Unit - EFD "/>
    <m/>
    <n v="0"/>
    <n v="0"/>
    <n v="0"/>
    <n v="0"/>
    <n v="0"/>
    <n v="0"/>
    <n v="0"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</r>
  <r>
    <s v="Below the Line"/>
    <x v="2"/>
    <s v=""/>
    <m/>
    <x v="1497"/>
    <s v="Renta Cámara Local - Agavia"/>
    <m/>
    <n v="0"/>
    <n v="0"/>
    <n v="0"/>
    <n v="0"/>
    <n v="0"/>
    <n v="0"/>
    <n v="0"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</r>
  <r>
    <s v="Below the Line"/>
    <x v="2"/>
    <s v=""/>
    <m/>
    <x v="1499"/>
    <s v="Equipo - KAROTO"/>
    <m/>
    <n v="0"/>
    <n v="0"/>
    <n v="0"/>
    <n v="0"/>
    <n v="0"/>
    <n v="0"/>
    <n v="0"/>
  </r>
  <r>
    <s v="Below the Line"/>
    <x v="2"/>
    <s v="SHOOT"/>
    <m/>
    <x v="1500"/>
    <s v="Grua de Telescópica"/>
    <m/>
    <n v="119000"/>
    <n v="0"/>
    <n v="119000"/>
    <n v="0"/>
    <n v="119000"/>
    <n v="119000"/>
    <n v="0"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</r>
  <r>
    <s v="Below the Line"/>
    <x v="2"/>
    <s v="SHOOT"/>
    <m/>
    <x v="1502"/>
    <s v="Mov Max Slider"/>
    <m/>
    <n v="0"/>
    <n v="0"/>
    <n v="0"/>
    <n v="0"/>
    <n v="0"/>
    <n v="0"/>
    <n v="0"/>
  </r>
  <r>
    <s v="Below the Line"/>
    <x v="2"/>
    <s v="SHOOT"/>
    <m/>
    <x v="1503"/>
    <s v="Force Pro"/>
    <m/>
    <n v="49000"/>
    <n v="0"/>
    <n v="49000"/>
    <n v="0"/>
    <n v="49000"/>
    <n v="49000"/>
    <n v="0"/>
  </r>
  <r>
    <s v="Below the Line"/>
    <x v="2"/>
    <s v="SHOOT"/>
    <m/>
    <x v="1504"/>
    <s v="Monitor Grua y Force"/>
    <m/>
    <n v="0"/>
    <n v="0"/>
    <n v="0"/>
    <n v="0"/>
    <n v="0"/>
    <n v="0"/>
    <n v="0"/>
  </r>
  <r>
    <s v="Below the Line"/>
    <x v="2"/>
    <s v="SHOOT"/>
    <m/>
    <x v="1505"/>
    <s v="Diademas foto"/>
    <m/>
    <n v="52500"/>
    <n v="0"/>
    <n v="52500"/>
    <n v="0"/>
    <n v="52500"/>
    <n v="52500"/>
    <n v="0"/>
  </r>
  <r>
    <s v="Below the Line"/>
    <x v="2"/>
    <s v="SHOOT"/>
    <m/>
    <x v="1506"/>
    <s v="Rickshaw"/>
    <m/>
    <n v="49000"/>
    <n v="0"/>
    <n v="49000"/>
    <n v="0"/>
    <n v="49000"/>
    <n v="49000"/>
    <n v="0"/>
  </r>
  <r>
    <s v="Below the Line"/>
    <x v="2"/>
    <s v="SHOOT"/>
    <m/>
    <x v="1507"/>
    <s v="Preston (4 Unidades)"/>
    <m/>
    <n v="196500"/>
    <n v="0"/>
    <n v="196500"/>
    <n v="0"/>
    <n v="196500"/>
    <n v="189000"/>
    <n v="-7500"/>
  </r>
  <r>
    <s v="Below the Line"/>
    <x v="2"/>
    <s v="SHOOT"/>
    <m/>
    <x v="1508"/>
    <s v="Lente Angeniux"/>
    <m/>
    <n v="146000"/>
    <n v="0"/>
    <n v="146000"/>
    <n v="0"/>
    <n v="146000"/>
    <n v="120000"/>
    <n v="-26000"/>
  </r>
  <r>
    <s v="Below the Line"/>
    <x v="2"/>
    <s v="SHOOT"/>
    <m/>
    <x v="1509"/>
    <s v="Follow Car para caballos"/>
    <m/>
    <n v="63400"/>
    <n v="0"/>
    <n v="63400"/>
    <n v="0"/>
    <n v="63400"/>
    <n v="63000"/>
    <n v="-400"/>
  </r>
  <r>
    <s v="Below the Line"/>
    <x v="2"/>
    <s v=""/>
    <m/>
    <x v="1510"/>
    <s v="Equipo - Arturo Vazquez"/>
    <m/>
    <n v="0"/>
    <n v="0"/>
    <n v="0"/>
    <n v="0"/>
    <n v="0"/>
    <n v="0"/>
    <n v="0"/>
  </r>
  <r>
    <s v="Below the Line"/>
    <x v="2"/>
    <s v="SHOOT"/>
    <m/>
    <x v="1511"/>
    <s v="Camara Car Low Boy"/>
    <m/>
    <n v="91800"/>
    <n v="0"/>
    <n v="91800"/>
    <n v="0"/>
    <n v="91800"/>
    <n v="90000"/>
    <n v="-1800"/>
  </r>
  <r>
    <s v="Below the Line"/>
    <x v="2"/>
    <s v=""/>
    <m/>
    <x v="1512"/>
    <s v="Equipo de Iluminación Segunda Unidad - ROCHA -"/>
    <m/>
    <n v="0"/>
    <n v="0"/>
    <n v="0"/>
    <n v="0"/>
    <n v="0"/>
    <n v="0"/>
    <n v="0"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</r>
  <r>
    <s v="Below the Line"/>
    <x v="2"/>
    <s v="2nd Unit"/>
    <m/>
    <x v="1515"/>
    <s v="Motocicleta Karoto"/>
    <m/>
    <n v="48600"/>
    <n v="0"/>
    <n v="48600"/>
    <n v="0"/>
    <n v="48600"/>
    <n v="0"/>
    <n v="-48600"/>
  </r>
  <r>
    <s v="Below the Line"/>
    <x v="1"/>
    <m/>
    <m/>
    <x v="1516"/>
    <s v="PERDIDA&amp;REPARACION CAMARA"/>
    <m/>
    <n v="30357"/>
    <n v="0"/>
    <n v="30357"/>
    <n v="0"/>
    <n v="30357"/>
    <n v="300000"/>
    <n v="269643"/>
  </r>
  <r>
    <s v="Below the Line"/>
    <x v="2"/>
    <s v=""/>
    <m/>
    <x v="1517"/>
    <s v="Loss &amp; Damage"/>
    <m/>
    <n v="0"/>
    <n v="0"/>
    <n v="0"/>
    <n v="0"/>
    <n v="0"/>
    <n v="0"/>
    <n v="0"/>
  </r>
  <r>
    <s v="Below the Line"/>
    <x v="2"/>
    <s v="SHOOT"/>
    <m/>
    <x v="1518"/>
    <s v="Shoot"/>
    <m/>
    <n v="30357"/>
    <n v="0"/>
    <n v="30357"/>
    <n v="0"/>
    <n v="30357"/>
    <n v="300000"/>
    <n v="269643"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</r>
  <r>
    <s v="Below the Line"/>
    <x v="1"/>
    <m/>
    <m/>
    <x v="1520"/>
    <s v="SONIDISTA"/>
    <m/>
    <n v="519733.33"/>
    <n v="0"/>
    <n v="519733.33"/>
    <n v="0"/>
    <n v="519733.33"/>
    <n v="483500"/>
    <n v="-36233.33"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</r>
  <r>
    <s v="Below the Line"/>
    <x v="2"/>
    <s v="PREP"/>
    <m/>
    <x v="1522"/>
    <s v="Pre"/>
    <m/>
    <n v="16000"/>
    <n v="0"/>
    <n v="16000"/>
    <n v="0"/>
    <n v="16000"/>
    <n v="16000"/>
    <n v="0"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</r>
  <r>
    <s v="Below the Line"/>
    <x v="2"/>
    <s v="SHOOT"/>
    <m/>
    <x v="1526"/>
    <s v="Renta de Equipo"/>
    <m/>
    <n v="98000"/>
    <n v="0"/>
    <n v="98000"/>
    <n v="0"/>
    <n v="98000"/>
    <n v="98000"/>
    <n v="0"/>
  </r>
  <r>
    <s v="Below the Line"/>
    <x v="2"/>
    <s v="SHOOT"/>
    <m/>
    <x v="1527"/>
    <s v="Split Unit"/>
    <m/>
    <n v="14533.33"/>
    <n v="0"/>
    <n v="14533.33"/>
    <n v="0"/>
    <n v="14533.33"/>
    <n v="8500"/>
    <n v="-6033.33"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</r>
  <r>
    <s v="Below the Line"/>
    <x v="2"/>
    <s v="2nd Unit"/>
    <m/>
    <x v="1529"/>
    <s v="Sonidista"/>
    <m/>
    <n v="11000"/>
    <n v="0"/>
    <n v="11000"/>
    <n v="0"/>
    <n v="11000"/>
    <n v="32000"/>
    <n v="21000"/>
  </r>
  <r>
    <s v="Below the Line"/>
    <x v="2"/>
    <s v="2nd Unit"/>
    <m/>
    <x v="1530"/>
    <s v="Microfonista"/>
    <m/>
    <n v="24000"/>
    <n v="0"/>
    <n v="24000"/>
    <n v="0"/>
    <n v="24000"/>
    <n v="24000"/>
    <n v="0"/>
  </r>
  <r>
    <s v="Below the Line"/>
    <x v="2"/>
    <s v="2nd Unit"/>
    <m/>
    <x v="1531"/>
    <s v="Audio Assist"/>
    <m/>
    <n v="24000"/>
    <n v="0"/>
    <n v="24000"/>
    <n v="0"/>
    <n v="24000"/>
    <n v="18000"/>
    <n v="-6000"/>
  </r>
  <r>
    <s v="Below the Line"/>
    <x v="2"/>
    <s v="2nd Unit"/>
    <m/>
    <x v="1532"/>
    <s v="Renta de Equipo"/>
    <m/>
    <n v="28000"/>
    <n v="0"/>
    <n v="28000"/>
    <n v="0"/>
    <n v="28000"/>
    <n v="28000"/>
    <n v="0"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</r>
  <r>
    <s v="Below the Line"/>
    <x v="2"/>
    <s v=""/>
    <m/>
    <x v="1534"/>
    <s v="Devan - All inclusive Package -"/>
    <m/>
    <n v="0"/>
    <n v="0"/>
    <n v="0"/>
    <n v="0"/>
    <n v="0"/>
    <n v="0"/>
    <n v="0"/>
  </r>
  <r>
    <s v="Below the Line"/>
    <x v="2"/>
    <s v="SHOOT"/>
    <m/>
    <x v="1535"/>
    <s v="Shoot"/>
    <m/>
    <n v="517000"/>
    <n v="0"/>
    <n v="517000"/>
    <n v="0"/>
    <n v="517000"/>
    <n v="294000"/>
    <n v="-223000"/>
  </r>
  <r>
    <s v="Below the Line"/>
    <x v="2"/>
    <s v=""/>
    <m/>
    <x v="1536"/>
    <s v="Devan Segunda Unidad - All inclusive Package -"/>
    <m/>
    <n v="0"/>
    <n v="0"/>
    <n v="0"/>
    <n v="0"/>
    <n v="0"/>
    <n v="0"/>
    <n v="0"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</r>
  <r>
    <s v="Below the Line"/>
    <x v="2"/>
    <s v=""/>
    <m/>
    <x v="1538"/>
    <s v="Streaming - Devan"/>
    <m/>
    <n v="0"/>
    <n v="0"/>
    <n v="0"/>
    <n v="0"/>
    <n v="0"/>
    <n v="0"/>
    <n v="0"/>
  </r>
  <r>
    <s v="Below the Line"/>
    <x v="2"/>
    <s v="SHOOT"/>
    <m/>
    <x v="1539"/>
    <s v="Shoot"/>
    <m/>
    <n v="0"/>
    <n v="0"/>
    <n v="0"/>
    <n v="0"/>
    <n v="0"/>
    <n v="42000"/>
    <n v="42000"/>
  </r>
  <r>
    <s v="Below the Line"/>
    <x v="2"/>
    <s v=""/>
    <m/>
    <x v="1540"/>
    <s v="Streaming Segunda Unidad - Devan"/>
    <m/>
    <n v="0"/>
    <n v="0"/>
    <n v="0"/>
    <n v="0"/>
    <n v="0"/>
    <n v="0"/>
    <n v="0"/>
  </r>
  <r>
    <s v="Below the Line"/>
    <x v="2"/>
    <s v="2nd Unit"/>
    <m/>
    <x v="1541"/>
    <s v="Shoot"/>
    <m/>
    <n v="28000"/>
    <n v="0"/>
    <n v="28000"/>
    <n v="0"/>
    <n v="28000"/>
    <n v="12000"/>
    <n v="-16000"/>
  </r>
  <r>
    <s v="Below the Line"/>
    <x v="2"/>
    <s v=""/>
    <m/>
    <x v="1542"/>
    <s v="Equipo Cámara Extra"/>
    <m/>
    <n v="0"/>
    <n v="0"/>
    <n v="0"/>
    <n v="0"/>
    <n v="0"/>
    <n v="0"/>
    <n v="0"/>
  </r>
  <r>
    <s v="Below the Line"/>
    <x v="2"/>
    <s v="SHOOT"/>
    <m/>
    <x v="1543"/>
    <s v="Cámara C"/>
    <m/>
    <n v="36000"/>
    <n v="0"/>
    <n v="36000"/>
    <n v="0"/>
    <n v="36000"/>
    <n v="28000"/>
    <n v="-8000"/>
  </r>
  <r>
    <s v="Below the Line"/>
    <x v="2"/>
    <s v="SHOOT"/>
    <m/>
    <x v="1544"/>
    <s v="Cámara D"/>
    <m/>
    <n v="0"/>
    <n v="0"/>
    <n v="0"/>
    <n v="0"/>
    <n v="0"/>
    <n v="2500"/>
    <n v="2500"/>
  </r>
  <r>
    <s v="Below the Line"/>
    <x v="1"/>
    <m/>
    <m/>
    <x v="1545"/>
    <s v="RENTA RADIOS"/>
    <m/>
    <n v="158250"/>
    <n v="0"/>
    <n v="158250"/>
    <n v="0"/>
    <n v="158250"/>
    <n v="153000"/>
    <n v="-5250"/>
  </r>
  <r>
    <s v="Below the Line"/>
    <x v="2"/>
    <s v=""/>
    <m/>
    <x v="1546"/>
    <s v="Walkie Talkies - SAM Comunicaciones"/>
    <m/>
    <n v="0"/>
    <n v="0"/>
    <n v="0"/>
    <n v="0"/>
    <n v="0"/>
    <n v="0"/>
    <n v="0"/>
  </r>
  <r>
    <s v="Below the Line"/>
    <x v="2"/>
    <s v="SHOOT"/>
    <m/>
    <x v="1547"/>
    <s v="Shoot"/>
    <m/>
    <n v="126000"/>
    <n v="0"/>
    <n v="126000"/>
    <n v="0"/>
    <n v="126000"/>
    <n v="126000"/>
    <n v="0"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</r>
  <r>
    <s v="Below the Line"/>
    <x v="2"/>
    <s v="2nd Unit"/>
    <m/>
    <x v="1549"/>
    <s v="Shoot"/>
    <m/>
    <n v="32250"/>
    <n v="0"/>
    <n v="32250"/>
    <n v="0"/>
    <n v="32250"/>
    <n v="27000"/>
    <n v="-5250"/>
  </r>
  <r>
    <s v="Below the Line"/>
    <x v="1"/>
    <m/>
    <m/>
    <x v="1550"/>
    <s v="COMPRAS"/>
    <m/>
    <n v="13125.76"/>
    <n v="0"/>
    <n v="13125.76"/>
    <n v="0"/>
    <n v="13125.76"/>
    <n v="20000"/>
    <n v="6874.24"/>
  </r>
  <r>
    <s v="Below the Line"/>
    <x v="2"/>
    <s v=""/>
    <m/>
    <x v="1551"/>
    <s v="Purchases for Series"/>
    <m/>
    <n v="0"/>
    <n v="0"/>
    <n v="0"/>
    <n v="0"/>
    <n v="0"/>
    <n v="0"/>
    <n v="0"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</r>
  <r>
    <s v="Below the Line"/>
    <x v="2"/>
    <s v=""/>
    <m/>
    <x v="1554"/>
    <s v="Loss &amp; Damage"/>
    <m/>
    <n v="0"/>
    <n v="0"/>
    <n v="0"/>
    <n v="0"/>
    <n v="0"/>
    <n v="0"/>
    <n v="0"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</r>
  <r>
    <s v="Below the Line"/>
    <x v="0"/>
    <m/>
    <m/>
    <x v="1556"/>
    <s v="EFECTOS ESPECIALES"/>
    <m/>
    <n v="408200"/>
    <n v="0"/>
    <n v="408200"/>
    <n v="0"/>
    <n v="408200"/>
    <n v="165500"/>
    <n v="-242700"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</r>
  <r>
    <s v="Below the Line"/>
    <x v="2"/>
    <s v=""/>
    <m/>
    <x v="1558"/>
    <s v="Special Effects - Efectos Físicos X SA de CV"/>
    <m/>
    <n v="0"/>
    <n v="0"/>
    <n v="0"/>
    <n v="0"/>
    <n v="0"/>
    <n v="0"/>
    <n v="0"/>
  </r>
  <r>
    <s v="Below the Line"/>
    <x v="2"/>
    <s v="SHOOT"/>
    <m/>
    <x v="1559"/>
    <s v="Efecto Fogata/Chimenea"/>
    <m/>
    <n v="19000"/>
    <n v="0"/>
    <n v="19000"/>
    <n v="0"/>
    <n v="19000"/>
    <n v="19000"/>
    <n v="0"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</r>
  <r>
    <s v="Below the Line"/>
    <x v="2"/>
    <s v="SHOOT"/>
    <m/>
    <x v="1561"/>
    <s v="Cartucho Humo de Color Morado"/>
    <m/>
    <n v="4500"/>
    <n v="0"/>
    <n v="4500"/>
    <n v="0"/>
    <n v="4500"/>
    <n v="4500"/>
    <n v="0"/>
  </r>
  <r>
    <s v="Below the Line"/>
    <x v="2"/>
    <s v="SHOOT"/>
    <m/>
    <x v="1562"/>
    <s v="Cañón humo de colores"/>
    <m/>
    <n v="12000"/>
    <n v="0"/>
    <n v="12000"/>
    <n v="0"/>
    <n v="12000"/>
    <n v="12000"/>
    <n v="0"/>
  </r>
  <r>
    <s v="Below the Line"/>
    <x v="2"/>
    <s v="SHOOT"/>
    <m/>
    <x v="1563"/>
    <s v="Altar en llamas"/>
    <m/>
    <n v="320700"/>
    <n v="0"/>
    <n v="320700"/>
    <n v="0"/>
    <n v="320700"/>
    <n v="78000"/>
    <n v="-242700"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</r>
  <r>
    <s v="Below the Line"/>
    <x v="2"/>
    <s v="SHOOT"/>
    <m/>
    <x v="1565"/>
    <s v="Día"/>
    <m/>
    <n v="32000"/>
    <n v="0"/>
    <n v="32000"/>
    <n v="0"/>
    <n v="32000"/>
    <n v="32000"/>
    <n v="0"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</r>
  <r>
    <s v="Below the Line"/>
    <x v="2"/>
    <s v=""/>
    <m/>
    <x v="1568"/>
    <s v="Hotel (Holiday Inn)"/>
    <m/>
    <n v="0"/>
    <n v="0"/>
    <n v="0"/>
    <n v="0"/>
    <n v="0"/>
    <n v="0"/>
    <n v="0"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</r>
  <r>
    <s v="Below the Line"/>
    <x v="2"/>
    <s v=""/>
    <m/>
    <x v="1572"/>
    <s v="Scouting expenses"/>
    <m/>
    <n v="0"/>
    <n v="0"/>
    <n v="0"/>
    <n v="0"/>
    <n v="0"/>
    <n v="0"/>
    <n v="0"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</r>
  <r>
    <s v="Below the Line"/>
    <x v="2"/>
    <s v="PREP"/>
    <m/>
    <x v="1576"/>
    <s v="Scouting 2 - Propinas"/>
    <m/>
    <n v="2860"/>
    <n v="0"/>
    <n v="2860"/>
    <n v="0"/>
    <n v="2860"/>
    <n v="1787.5"/>
    <n v="-1072.5"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</r>
  <r>
    <s v="Below the Line"/>
    <x v="2"/>
    <s v="PREP"/>
    <m/>
    <x v="1579"/>
    <s v="Scouting 3 - Propinas"/>
    <m/>
    <n v="563.48"/>
    <n v="0"/>
    <n v="563.48"/>
    <n v="0"/>
    <n v="563.48"/>
    <n v="251"/>
    <n v="-312.48"/>
  </r>
  <r>
    <s v="Below the Line"/>
    <x v="2"/>
    <s v="PREP"/>
    <m/>
    <x v="1580"/>
    <s v="Scouting 3 - Alimentos Hotel"/>
    <m/>
    <n v="0"/>
    <n v="0"/>
    <n v="0"/>
    <n v="0"/>
    <n v="0"/>
    <n v="0"/>
    <n v="0"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</r>
  <r>
    <s v="Below the Line"/>
    <x v="2"/>
    <s v=""/>
    <m/>
    <x v="1582"/>
    <s v="Scout Vans"/>
    <m/>
    <n v="0"/>
    <n v="0"/>
    <n v="0"/>
    <n v="0"/>
    <n v="0"/>
    <n v="0"/>
    <n v="0"/>
  </r>
  <r>
    <s v="Below the Line"/>
    <x v="2"/>
    <s v="PREP"/>
    <m/>
    <x v="1583"/>
    <s v="Scouting 1 - Vans"/>
    <m/>
    <n v="15878"/>
    <n v="0"/>
    <n v="15878"/>
    <n v="0"/>
    <n v="15878"/>
    <n v="12000"/>
    <n v="-3878"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</r>
  <r>
    <s v="Below the Line"/>
    <x v="2"/>
    <s v="PREP"/>
    <m/>
    <x v="1585"/>
    <s v="Scouting 2 - Vans"/>
    <m/>
    <n v="16039"/>
    <n v="0"/>
    <n v="16039"/>
    <n v="0"/>
    <n v="16039"/>
    <n v="12000"/>
    <n v="-4039"/>
  </r>
  <r>
    <s v="Below the Line"/>
    <x v="2"/>
    <s v="PREP"/>
    <m/>
    <x v="1586"/>
    <s v="Scouting 2 - Driver"/>
    <m/>
    <n v="7700"/>
    <n v="0"/>
    <n v="7700"/>
    <n v="0"/>
    <n v="7700"/>
    <n v="5300"/>
    <n v="-2400"/>
  </r>
  <r>
    <s v="Below the Line"/>
    <x v="2"/>
    <s v="PREP"/>
    <m/>
    <x v="1587"/>
    <s v="Scouting 2 - Estacionamiento"/>
    <m/>
    <n v="47.41"/>
    <n v="0"/>
    <n v="47.41"/>
    <n v="0"/>
    <n v="47.41"/>
    <n v="47.41"/>
    <n v="0"/>
  </r>
  <r>
    <s v="Below the Line"/>
    <x v="2"/>
    <s v="PREP"/>
    <m/>
    <x v="1588"/>
    <s v="Scouting 3 - Vans"/>
    <m/>
    <n v="0"/>
    <n v="0"/>
    <n v="0"/>
    <n v="0"/>
    <n v="0"/>
    <n v="3000"/>
    <n v="3000"/>
  </r>
  <r>
    <s v="Below the Line"/>
    <x v="2"/>
    <s v="PREP"/>
    <m/>
    <x v="1589"/>
    <s v="Scouting 3 - Casetas"/>
    <m/>
    <n v="0"/>
    <n v="0"/>
    <n v="0"/>
    <n v="0"/>
    <n v="0"/>
    <n v="191"/>
    <n v="191"/>
  </r>
  <r>
    <s v="Below the Line"/>
    <x v="2"/>
    <s v=""/>
    <m/>
    <x v="1590"/>
    <s v="Scouting Flights"/>
    <m/>
    <n v="0"/>
    <n v="0"/>
    <n v="0"/>
    <n v="0"/>
    <n v="0"/>
    <n v="0"/>
    <n v="0"/>
  </r>
  <r>
    <s v="Below the Line"/>
    <x v="2"/>
    <s v="PREP"/>
    <m/>
    <x v="1591"/>
    <s v="Scouting 1 - Vuelos"/>
    <m/>
    <n v="16508"/>
    <n v="0"/>
    <n v="16508"/>
    <n v="0"/>
    <n v="16508"/>
    <n v="16508"/>
    <n v="0"/>
  </r>
  <r>
    <s v="Below the Line"/>
    <x v="2"/>
    <s v="PREP"/>
    <m/>
    <x v="1592"/>
    <s v="Scouting 1 - Vuelos"/>
    <m/>
    <n v="8670"/>
    <n v="0"/>
    <n v="8670"/>
    <n v="0"/>
    <n v="8670"/>
    <n v="8670"/>
    <n v="0"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</r>
  <r>
    <s v="Below the Line"/>
    <x v="2"/>
    <s v="PREP"/>
    <m/>
    <x v="1594"/>
    <s v="Scouting 2 - Vuelos"/>
    <m/>
    <n v="20601"/>
    <n v="0"/>
    <n v="20601"/>
    <n v="0"/>
    <n v="20601"/>
    <n v="20160"/>
    <n v="-441"/>
  </r>
  <r>
    <s v="Below the Line"/>
    <x v="2"/>
    <s v="PREP"/>
    <m/>
    <x v="1595"/>
    <s v="Scouting 2 - Vuelos"/>
    <m/>
    <n v="7489"/>
    <n v="0"/>
    <n v="7489"/>
    <n v="0"/>
    <n v="7489"/>
    <n v="7494"/>
    <n v="5"/>
  </r>
  <r>
    <s v="Below the Line"/>
    <x v="2"/>
    <s v="PREP"/>
    <m/>
    <x v="1596"/>
    <s v="Scouting 2 - Vuelos"/>
    <m/>
    <n v="10110"/>
    <n v="0"/>
    <n v="10110"/>
    <n v="0"/>
    <n v="10110"/>
    <n v="10125"/>
    <n v="15"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</r>
  <r>
    <s v="Below the Line"/>
    <x v="2"/>
    <s v="PREP"/>
    <m/>
    <x v="1598"/>
    <s v="Scouting 3 - Vuelos"/>
    <m/>
    <n v="3590"/>
    <n v="0"/>
    <n v="3590"/>
    <n v="0"/>
    <n v="3590"/>
    <n v="2798"/>
    <n v="-792"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</r>
  <r>
    <s v="Below the Line"/>
    <x v="1"/>
    <m/>
    <m/>
    <x v="1601"/>
    <s v="GERENTE DE LOCACIONES"/>
    <m/>
    <n v="490000"/>
    <n v="0"/>
    <n v="490000"/>
    <n v="0"/>
    <n v="490000"/>
    <n v="504000"/>
    <n v="14000"/>
  </r>
  <r>
    <s v="Below the Line"/>
    <x v="2"/>
    <s v=""/>
    <m/>
    <x v="1602"/>
    <s v="Gerente de locaciones - Daniel Zavalza"/>
    <m/>
    <n v="0"/>
    <n v="0"/>
    <n v="0"/>
    <n v="0"/>
    <n v="0"/>
    <n v="0"/>
    <n v="0"/>
  </r>
  <r>
    <s v="Below the Line"/>
    <x v="2"/>
    <s v="SOFT"/>
    <m/>
    <x v="1603"/>
    <s v="Soft"/>
    <m/>
    <n v="120750"/>
    <n v="0"/>
    <n v="120750"/>
    <n v="0"/>
    <n v="120750"/>
    <n v="105000"/>
    <n v="-15750"/>
  </r>
  <r>
    <s v="Below the Line"/>
    <x v="2"/>
    <s v="PREP"/>
    <m/>
    <x v="1604"/>
    <s v="Prep"/>
    <m/>
    <n v="173250"/>
    <n v="0"/>
    <n v="173250"/>
    <n v="0"/>
    <n v="173250"/>
    <n v="189000"/>
    <n v="15750"/>
  </r>
  <r>
    <s v="Below the Line"/>
    <x v="2"/>
    <s v="SHOOT"/>
    <m/>
    <x v="1605"/>
    <s v="Shoot"/>
    <m/>
    <n v="147000"/>
    <n v="0"/>
    <n v="147000"/>
    <n v="0"/>
    <n v="147000"/>
    <n v="147000"/>
    <n v="0"/>
  </r>
  <r>
    <s v="Below the Line"/>
    <x v="2"/>
    <s v="WRAP"/>
    <m/>
    <x v="1606"/>
    <s v="Wrap"/>
    <m/>
    <n v="49000"/>
    <n v="0"/>
    <n v="49000"/>
    <n v="0"/>
    <n v="49000"/>
    <n v="63000"/>
    <n v="14000"/>
  </r>
  <r>
    <s v="Below the Line"/>
    <x v="1"/>
    <m/>
    <m/>
    <x v="1607"/>
    <s v="GERENTE LOCACIONES ASISTENTE"/>
    <m/>
    <n v="753740"/>
    <n v="0"/>
    <n v="753740"/>
    <n v="0"/>
    <n v="753740"/>
    <n v="768000"/>
    <n v="14260"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</r>
  <r>
    <s v="Below the Line"/>
    <x v="2"/>
    <s v="PREP"/>
    <s v="NOM"/>
    <x v="1609"/>
    <s v="Prep"/>
    <m/>
    <n v="88200"/>
    <n v="0"/>
    <n v="88200"/>
    <n v="0"/>
    <n v="88200"/>
    <n v="98000"/>
    <n v="9800"/>
  </r>
  <r>
    <s v="Below the Line"/>
    <x v="2"/>
    <s v="SHOOT"/>
    <s v="NOM"/>
    <x v="1610"/>
    <s v="Shoot"/>
    <m/>
    <n v="88200"/>
    <n v="0"/>
    <n v="88200"/>
    <n v="0"/>
    <n v="88200"/>
    <n v="98000"/>
    <n v="9800"/>
  </r>
  <r>
    <s v="Below the Line"/>
    <x v="2"/>
    <s v="WRAP"/>
    <s v="NOM"/>
    <x v="1611"/>
    <s v="Wrap"/>
    <m/>
    <n v="50400"/>
    <n v="0"/>
    <n v="50400"/>
    <n v="0"/>
    <n v="50400"/>
    <n v="56000"/>
    <n v="5600"/>
  </r>
  <r>
    <s v="Below the Line"/>
    <x v="2"/>
    <s v=""/>
    <s v="NOM"/>
    <x v="1612"/>
    <s v="Scouter #1 - Fernando González"/>
    <m/>
    <n v="0"/>
    <n v="0"/>
    <n v="0"/>
    <n v="0"/>
    <n v="0"/>
    <n v="0"/>
    <n v="0"/>
  </r>
  <r>
    <s v="Below the Line"/>
    <x v="2"/>
    <s v="SOFT"/>
    <s v="NOM"/>
    <x v="1613"/>
    <s v="Soft"/>
    <m/>
    <n v="42000"/>
    <n v="0"/>
    <n v="42000"/>
    <n v="0"/>
    <n v="42000"/>
    <n v="31500"/>
    <n v="-10500"/>
  </r>
  <r>
    <s v="Below the Line"/>
    <x v="2"/>
    <s v="PREP"/>
    <s v="NOM"/>
    <x v="1614"/>
    <s v="Prep"/>
    <m/>
    <n v="94500"/>
    <n v="0"/>
    <n v="94500"/>
    <n v="0"/>
    <n v="94500"/>
    <n v="101250"/>
    <n v="6750"/>
  </r>
  <r>
    <s v="Below the Line"/>
    <x v="2"/>
    <s v="SHOOT"/>
    <s v="NOM"/>
    <x v="1615"/>
    <s v="Shoot"/>
    <m/>
    <n v="73500"/>
    <n v="0"/>
    <n v="73500"/>
    <n v="0"/>
    <n v="73500"/>
    <n v="78750"/>
    <n v="5250"/>
  </r>
  <r>
    <s v="Below the Line"/>
    <x v="2"/>
    <s v=""/>
    <s v="NOM"/>
    <x v="1616"/>
    <s v="Scouter #2 Carlo Taylor"/>
    <m/>
    <n v="0"/>
    <n v="0"/>
    <n v="0"/>
    <n v="0"/>
    <n v="0"/>
    <n v="0"/>
    <n v="0"/>
  </r>
  <r>
    <s v="Below the Line"/>
    <x v="2"/>
    <s v="PREP"/>
    <s v="NOM"/>
    <x v="1617"/>
    <s v="Prep"/>
    <m/>
    <n v="94500"/>
    <n v="0"/>
    <n v="94500"/>
    <n v="0"/>
    <n v="94500"/>
    <n v="90000"/>
    <n v="-4500"/>
  </r>
  <r>
    <s v="Below the Line"/>
    <x v="2"/>
    <s v="SHOOT"/>
    <s v="NOM"/>
    <x v="1618"/>
    <s v="Shoot"/>
    <m/>
    <n v="73500"/>
    <n v="0"/>
    <n v="73500"/>
    <n v="0"/>
    <n v="73500"/>
    <n v="70000"/>
    <n v="-3500"/>
  </r>
  <r>
    <s v="Below the Line"/>
    <x v="2"/>
    <s v=""/>
    <s v="NOM"/>
    <x v="1619"/>
    <s v="Scouter #3 - TBD"/>
    <m/>
    <n v="0"/>
    <n v="0"/>
    <n v="0"/>
    <n v="0"/>
    <n v="0"/>
    <n v="0"/>
    <n v="0"/>
  </r>
  <r>
    <s v="Below the Line"/>
    <x v="2"/>
    <s v="PREP"/>
    <s v="NOM"/>
    <x v="1620"/>
    <s v="Prep"/>
    <m/>
    <n v="40000"/>
    <n v="0"/>
    <n v="40000"/>
    <n v="0"/>
    <n v="40000"/>
    <n v="40000"/>
    <n v="0"/>
  </r>
  <r>
    <s v="Below the Line"/>
    <x v="2"/>
    <s v=""/>
    <s v="NOM"/>
    <x v="1621"/>
    <s v="Asistente de Locaciones On Set - TBD"/>
    <m/>
    <n v="0"/>
    <n v="0"/>
    <n v="0"/>
    <n v="0"/>
    <n v="0"/>
    <n v="0"/>
    <n v="0"/>
  </r>
  <r>
    <s v="Below the Line"/>
    <x v="2"/>
    <s v="PREP"/>
    <s v="NOM"/>
    <x v="1622"/>
    <s v="Prep"/>
    <m/>
    <n v="8000"/>
    <n v="0"/>
    <n v="8000"/>
    <n v="0"/>
    <n v="8000"/>
    <n v="8000"/>
    <n v="0"/>
  </r>
  <r>
    <s v="Below the Line"/>
    <x v="2"/>
    <s v="SHOOT"/>
    <s v="NOM"/>
    <x v="1623"/>
    <s v="Shoot"/>
    <m/>
    <n v="56000"/>
    <n v="0"/>
    <n v="56000"/>
    <n v="0"/>
    <n v="56000"/>
    <n v="56000"/>
    <n v="0"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</r>
  <r>
    <s v="Below the Line"/>
    <x v="2"/>
    <s v="SHOOT"/>
    <s v="NOM"/>
    <x v="1625"/>
    <s v="Shoot"/>
    <m/>
    <n v="0"/>
    <n v="0"/>
    <n v="0"/>
    <n v="0"/>
    <n v="0"/>
    <n v="10500"/>
    <n v="10500"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</r>
  <r>
    <s v="Below the Line"/>
    <x v="2"/>
    <s v="SHOOT"/>
    <s v="NOM"/>
    <x v="1627"/>
    <s v="Shoot"/>
    <m/>
    <n v="16500"/>
    <n v="0"/>
    <n v="16500"/>
    <n v="0"/>
    <n v="16500"/>
    <n v="6000"/>
    <n v="-10500"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</r>
  <r>
    <s v="Below the Line"/>
    <x v="2"/>
    <s v="2nd Unit"/>
    <s v="NOM"/>
    <x v="1629"/>
    <s v="Prep"/>
    <m/>
    <n v="8500"/>
    <n v="0"/>
    <n v="8500"/>
    <n v="0"/>
    <n v="8500"/>
    <n v="8000"/>
    <n v="-500"/>
  </r>
  <r>
    <s v="Below the Line"/>
    <x v="2"/>
    <s v="2nd Unit"/>
    <s v="NOM"/>
    <x v="1630"/>
    <s v="Shoot"/>
    <m/>
    <n v="19940"/>
    <n v="0"/>
    <n v="19940"/>
    <n v="0"/>
    <n v="19940"/>
    <n v="16000"/>
    <n v="-3940"/>
  </r>
  <r>
    <s v="Below the Line"/>
    <x v="1"/>
    <m/>
    <m/>
    <x v="1631"/>
    <s v="SEGURIDAD EN SET"/>
    <m/>
    <n v="313050"/>
    <n v="0"/>
    <n v="313050"/>
    <n v="0"/>
    <n v="313050"/>
    <n v="317300"/>
    <n v="4250"/>
  </r>
  <r>
    <s v="Below the Line"/>
    <x v="2"/>
    <s v=""/>
    <m/>
    <x v="1632"/>
    <s v="Security - Titanes "/>
    <m/>
    <n v="0"/>
    <n v="0"/>
    <n v="0"/>
    <n v="0"/>
    <n v="0"/>
    <n v="0"/>
    <n v="0"/>
  </r>
  <r>
    <s v="Below the Line"/>
    <x v="2"/>
    <s v=""/>
    <m/>
    <x v="1633"/>
    <s v="Guards Shifts - "/>
    <m/>
    <n v="0"/>
    <n v="0"/>
    <n v="0"/>
    <n v="0"/>
    <n v="0"/>
    <n v="0"/>
    <n v="0"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</r>
  <r>
    <s v="Below the Line"/>
    <x v="2"/>
    <s v="SHOOT"/>
    <m/>
    <x v="1635"/>
    <s v="Night Shifts"/>
    <m/>
    <n v="4200"/>
    <n v="0"/>
    <n v="4200"/>
    <n v="0"/>
    <n v="4200"/>
    <n v="5700"/>
    <n v="1500"/>
  </r>
  <r>
    <s v="Below the Line"/>
    <x v="2"/>
    <s v="SHOOT"/>
    <m/>
    <x v="1636"/>
    <s v="Advance (Cones Parking)"/>
    <m/>
    <n v="37550"/>
    <n v="0"/>
    <n v="37550"/>
    <n v="0"/>
    <n v="37550"/>
    <n v="39900"/>
    <n v="2350"/>
  </r>
  <r>
    <s v="Below the Line"/>
    <x v="2"/>
    <s v=""/>
    <m/>
    <x v="1637"/>
    <s v="Guards Shifts Segunda Unidad"/>
    <m/>
    <n v="0"/>
    <n v="0"/>
    <n v="0"/>
    <n v="0"/>
    <n v="0"/>
    <n v="0"/>
    <n v="0"/>
  </r>
  <r>
    <s v="Below the Line"/>
    <x v="2"/>
    <s v="2nd Unit"/>
    <m/>
    <x v="1638"/>
    <s v="Shooting Daily Guards"/>
    <m/>
    <n v="38700"/>
    <n v="0"/>
    <n v="38700"/>
    <n v="0"/>
    <n v="38700"/>
    <n v="57000"/>
    <n v="18300"/>
  </r>
  <r>
    <s v="Below the Line"/>
    <x v="2"/>
    <s v="2nd Unit"/>
    <m/>
    <x v="1639"/>
    <s v="Night Shifts"/>
    <m/>
    <n v="2850"/>
    <n v="0"/>
    <n v="2850"/>
    <n v="0"/>
    <n v="2850"/>
    <n v="3800"/>
    <n v="950"/>
  </r>
  <r>
    <s v="Below the Line"/>
    <x v="2"/>
    <s v="2nd Unit"/>
    <m/>
    <x v="1640"/>
    <s v="Advance (Cones Parking) "/>
    <m/>
    <n v="11400"/>
    <n v="0"/>
    <n v="11400"/>
    <n v="0"/>
    <n v="11400"/>
    <n v="11400"/>
    <n v="0"/>
  </r>
  <r>
    <s v="Below the Line"/>
    <x v="1"/>
    <m/>
    <m/>
    <x v="1641"/>
    <s v="PRIMEROS AUXILIOS"/>
    <m/>
    <n v="65000"/>
    <n v="0"/>
    <n v="65000"/>
    <n v="0"/>
    <n v="65000"/>
    <n v="100000"/>
    <n v="35000"/>
  </r>
  <r>
    <s v="Below the Line"/>
    <x v="2"/>
    <s v=""/>
    <m/>
    <x v="1642"/>
    <s v="Ambulance - Kilian Pérez Gutiérrez"/>
    <m/>
    <n v="0"/>
    <n v="0"/>
    <n v="0"/>
    <n v="0"/>
    <n v="0"/>
    <n v="0"/>
    <n v="0"/>
  </r>
  <r>
    <s v="Below the Line"/>
    <x v="2"/>
    <s v="SHOOT"/>
    <m/>
    <x v="1643"/>
    <s v="Shooting Days"/>
    <m/>
    <n v="65000"/>
    <n v="0"/>
    <n v="65000"/>
    <n v="0"/>
    <n v="65000"/>
    <n v="100000"/>
    <n v="35000"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</r>
  <r>
    <s v="Below the Line"/>
    <x v="2"/>
    <s v=""/>
    <m/>
    <x v="1645"/>
    <s v="Catering Service - Bass&amp;Co. "/>
    <m/>
    <n v="0"/>
    <n v="0"/>
    <n v="0"/>
    <n v="0"/>
    <n v="0"/>
    <n v="0"/>
    <n v="0"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</r>
  <r>
    <s v="Below the Line"/>
    <x v="2"/>
    <s v=""/>
    <m/>
    <x v="1652"/>
    <s v="Aditional set meals"/>
    <m/>
    <n v="0"/>
    <n v="0"/>
    <n v="0"/>
    <n v="0"/>
    <n v="0"/>
    <n v="0"/>
    <n v="0"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</r>
  <r>
    <s v="Below the Line"/>
    <x v="2"/>
    <s v=""/>
    <m/>
    <x v="1655"/>
    <s v="Catering Services Segunda Unidad - Bass&amp;Co. "/>
    <m/>
    <n v="0"/>
    <n v="0"/>
    <n v="0"/>
    <n v="0"/>
    <n v="0"/>
    <n v="0"/>
    <n v="0"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</r>
  <r>
    <s v="Below the Line"/>
    <x v="2"/>
    <s v="2nd Unit"/>
    <m/>
    <x v="1661"/>
    <s v="Cenas"/>
    <m/>
    <n v="0"/>
    <n v="0"/>
    <n v="0"/>
    <n v="0"/>
    <n v="0"/>
    <n v="20900"/>
    <n v="20900"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</r>
  <r>
    <s v="Below the Line"/>
    <x v="2"/>
    <s v=""/>
    <s v="LOCACIONES"/>
    <x v="1665"/>
    <s v="Fiesta Ranchera - Labor de Rivera"/>
    <m/>
    <n v="0"/>
    <n v="0"/>
    <n v="0"/>
    <n v="0"/>
    <n v="0"/>
    <n v="0"/>
    <n v="0"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</r>
  <r>
    <s v="Below the Line"/>
    <x v="2"/>
    <s v=""/>
    <s v="LOCACIONES"/>
    <x v="1667"/>
    <s v="Granja El Manantial"/>
    <m/>
    <n v="0"/>
    <n v="0"/>
    <n v="0"/>
    <n v="0"/>
    <m/>
    <n v="0"/>
    <n v="0"/>
  </r>
  <r>
    <s v="Below the Line"/>
    <x v="2"/>
    <s v="SHOOT"/>
    <s v="LOCACIONES"/>
    <x v="1668"/>
    <s v="Shoot"/>
    <m/>
    <n v="571000"/>
    <n v="0"/>
    <n v="571000"/>
    <n v="0"/>
    <n v="571000"/>
    <n v="571000"/>
    <n v="0"/>
  </r>
  <r>
    <s v="Below the Line"/>
    <x v="2"/>
    <s v=""/>
    <s v="LOCACIONES"/>
    <x v="1669"/>
    <s v="Mansión Jimena"/>
    <m/>
    <n v="0"/>
    <n v="0"/>
    <n v="0"/>
    <n v="0"/>
    <n v="0"/>
    <n v="0"/>
    <n v="0"/>
  </r>
  <r>
    <s v="Below the Line"/>
    <x v="2"/>
    <s v="SHOOT"/>
    <s v="LOCACIONES"/>
    <x v="1670"/>
    <s v="Shoot"/>
    <m/>
    <n v="700000"/>
    <n v="0"/>
    <n v="700000"/>
    <n v="0"/>
    <n v="700000"/>
    <n v="700000"/>
    <n v="0"/>
  </r>
  <r>
    <s v="Below the Line"/>
    <x v="2"/>
    <s v=""/>
    <s v="LOCACIONES"/>
    <x v="1671"/>
    <s v="Escuela"/>
    <m/>
    <n v="0"/>
    <n v="0"/>
    <n v="0"/>
    <n v="0"/>
    <n v="0"/>
    <n v="0"/>
    <n v="0"/>
  </r>
  <r>
    <s v="Below the Line"/>
    <x v="2"/>
    <s v="SHOOT"/>
    <s v="LOCACIONES"/>
    <x v="1672"/>
    <s v="Shoot"/>
    <m/>
    <n v="75000"/>
    <n v="0"/>
    <n v="75000"/>
    <n v="0"/>
    <n v="75000"/>
    <n v="75000"/>
    <n v="0"/>
  </r>
  <r>
    <s v="Below the Line"/>
    <x v="2"/>
    <s v=""/>
    <s v="LOCACIONES"/>
    <x v="1673"/>
    <s v="Parque Colomos"/>
    <m/>
    <n v="0"/>
    <n v="0"/>
    <n v="0"/>
    <n v="0"/>
    <n v="0"/>
    <n v="0"/>
    <n v="0"/>
  </r>
  <r>
    <s v="Below the Line"/>
    <x v="2"/>
    <s v="SHOOT"/>
    <s v="LOCACIONES"/>
    <x v="1674"/>
    <s v="Shoot"/>
    <m/>
    <n v="70000"/>
    <n v="0"/>
    <n v="70000"/>
    <n v="0"/>
    <n v="70000"/>
    <n v="15000"/>
    <n v="-55000"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</r>
  <r>
    <s v="Below the Line"/>
    <x v="2"/>
    <s v=""/>
    <s v="LOCACIONES"/>
    <x v="1677"/>
    <s v="Clínica Ginecólogo"/>
    <m/>
    <n v="0"/>
    <n v="0"/>
    <n v="0"/>
    <n v="0"/>
    <n v="0"/>
    <n v="0"/>
    <n v="0"/>
  </r>
  <r>
    <s v="Below the Line"/>
    <x v="2"/>
    <s v="SHOOT"/>
    <s v="LOCACIONES"/>
    <x v="1678"/>
    <s v="Shoot"/>
    <m/>
    <n v="60000"/>
    <n v="0"/>
    <n v="60000"/>
    <n v="0"/>
    <n v="60000"/>
    <n v="25000"/>
    <n v="-35000"/>
  </r>
  <r>
    <s v="Below the Line"/>
    <x v="2"/>
    <s v=""/>
    <s v="LOCACIONES"/>
    <x v="1679"/>
    <s v="Oficina Perla Salgado"/>
    <m/>
    <n v="0"/>
    <n v="0"/>
    <n v="0"/>
    <n v="0"/>
    <n v="0"/>
    <n v="0"/>
    <n v="0"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</r>
  <r>
    <s v="Below the Line"/>
    <x v="2"/>
    <s v=""/>
    <s v="LOCACIONES"/>
    <x v="1681"/>
    <s v="Oficina Wedding Planner"/>
    <m/>
    <n v="0"/>
    <n v="0"/>
    <n v="0"/>
    <n v="0"/>
    <n v="0"/>
    <n v="0"/>
    <n v="0"/>
  </r>
  <r>
    <s v="Below the Line"/>
    <x v="2"/>
    <s v="SHOOT"/>
    <s v="LOCACIONES"/>
    <x v="1682"/>
    <s v="Shoot"/>
    <m/>
    <n v="0"/>
    <n v="0"/>
    <n v="0"/>
    <n v="0"/>
    <n v="0"/>
    <n v="58189.66"/>
    <n v="58189.66"/>
  </r>
  <r>
    <s v="Below the Line"/>
    <x v="2"/>
    <s v=""/>
    <s v="LOCACIONES"/>
    <x v="1683"/>
    <s v="Oficina Financiera"/>
    <m/>
    <n v="0"/>
    <n v="0"/>
    <n v="0"/>
    <n v="0"/>
    <n v="0"/>
    <n v="0"/>
    <n v="0"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</r>
  <r>
    <s v="Below the Line"/>
    <x v="2"/>
    <s v=""/>
    <s v="LOCACIONES"/>
    <x v="1685"/>
    <s v="Veterinaria"/>
    <m/>
    <n v="0"/>
    <n v="0"/>
    <n v="0"/>
    <n v="0"/>
    <n v="0"/>
    <n v="0"/>
    <n v="0"/>
  </r>
  <r>
    <s v="Below the Line"/>
    <x v="2"/>
    <s v="SHOOT"/>
    <s v="LOCACIONES"/>
    <x v="1686"/>
    <s v="Shoot"/>
    <m/>
    <n v="15000"/>
    <n v="0"/>
    <n v="15000"/>
    <n v="0"/>
    <n v="15000"/>
    <n v="30000"/>
    <n v="15000"/>
  </r>
  <r>
    <s v="Below the Line"/>
    <x v="2"/>
    <s v=""/>
    <s v="LOCACIONES"/>
    <x v="1687"/>
    <s v="Cafetería"/>
    <m/>
    <n v="0"/>
    <n v="0"/>
    <n v="0"/>
    <n v="0"/>
    <n v="0"/>
    <n v="0"/>
    <n v="0"/>
  </r>
  <r>
    <s v="Below the Line"/>
    <x v="2"/>
    <s v="SHOOT"/>
    <s v="LOCACIONES"/>
    <x v="1688"/>
    <s v="Shoot"/>
    <m/>
    <n v="15000"/>
    <n v="0"/>
    <n v="15000"/>
    <n v="0"/>
    <n v="15000"/>
    <n v="40000"/>
    <n v="25000"/>
  </r>
  <r>
    <s v="Below the Line"/>
    <x v="2"/>
    <s v=""/>
    <s v="LOCACIONES"/>
    <x v="1689"/>
    <s v="Cafetería 2"/>
    <m/>
    <n v="0"/>
    <n v="0"/>
    <n v="0"/>
    <n v="0"/>
    <n v="0"/>
    <n v="0"/>
    <n v="0"/>
  </r>
  <r>
    <s v="Below the Line"/>
    <x v="2"/>
    <s v="SHOOT"/>
    <s v="LOCACIONES"/>
    <x v="1690"/>
    <s v="Shoot"/>
    <m/>
    <n v="20000"/>
    <n v="0"/>
    <n v="20000"/>
    <n v="0"/>
    <n v="20000"/>
    <n v="25000"/>
    <n v="5000"/>
  </r>
  <r>
    <s v="Below the Line"/>
    <x v="2"/>
    <s v=""/>
    <s v="LOCACIONES"/>
    <x v="1691"/>
    <s v="Oficina Joaquín"/>
    <m/>
    <n v="0"/>
    <n v="0"/>
    <n v="0"/>
    <n v="0"/>
    <n v="0"/>
    <n v="0"/>
    <n v="0"/>
  </r>
  <r>
    <s v="Below the Line"/>
    <x v="2"/>
    <s v="SHOOT"/>
    <s v="LOCACIONES"/>
    <x v="1692"/>
    <s v="Shoot"/>
    <m/>
    <n v="45000"/>
    <n v="0"/>
    <n v="45000"/>
    <n v="0"/>
    <n v="45000"/>
    <n v="45000"/>
    <n v="0"/>
  </r>
  <r>
    <s v="Below the Line"/>
    <x v="2"/>
    <s v=""/>
    <s v="LOCACIONES"/>
    <x v="1693"/>
    <s v="Disquera"/>
    <m/>
    <n v="0"/>
    <n v="0"/>
    <n v="0"/>
    <n v="0"/>
    <n v="0"/>
    <n v="0"/>
    <n v="0"/>
  </r>
  <r>
    <s v="Below the Line"/>
    <x v="2"/>
    <s v="SHOOT"/>
    <s v="LOCACIONES"/>
    <x v="1694"/>
    <s v="Shoot"/>
    <m/>
    <n v="51750"/>
    <n v="0"/>
    <n v="51750"/>
    <n v="0"/>
    <n v="51750"/>
    <n v="45000"/>
    <n v="-6750"/>
  </r>
  <r>
    <s v="Below the Line"/>
    <x v="2"/>
    <s v=""/>
    <s v="LOCACIONES"/>
    <x v="1695"/>
    <s v="Centro Comercial"/>
    <m/>
    <n v="0"/>
    <n v="0"/>
    <n v="0"/>
    <n v="0"/>
    <n v="0"/>
    <n v="0"/>
    <n v="0"/>
  </r>
  <r>
    <s v="Below the Line"/>
    <x v="2"/>
    <s v="SHOOT"/>
    <s v="LOCACIONES"/>
    <x v="1696"/>
    <s v="Shoot"/>
    <m/>
    <n v="80000"/>
    <n v="0"/>
    <n v="80000"/>
    <n v="0"/>
    <n v="80000"/>
    <n v="100000"/>
    <n v="20000"/>
  </r>
  <r>
    <s v="Below the Line"/>
    <x v="2"/>
    <s v=""/>
    <s v="LOCACIONES"/>
    <x v="1697"/>
    <s v="Eco Soluciones "/>
    <m/>
    <n v="0"/>
    <n v="0"/>
    <n v="0"/>
    <n v="0"/>
    <n v="0"/>
    <n v="0"/>
    <n v="0"/>
  </r>
  <r>
    <s v="Below the Line"/>
    <x v="2"/>
    <s v="SHOOT"/>
    <s v="LOCACIONES"/>
    <x v="1698"/>
    <s v="Shoot"/>
    <m/>
    <n v="157000"/>
    <n v="0"/>
    <n v="157000"/>
    <n v="0"/>
    <n v="157000"/>
    <n v="150000"/>
    <n v="-7000"/>
  </r>
  <r>
    <s v="Below the Line"/>
    <x v="2"/>
    <s v=""/>
    <s v="LOCACIONES"/>
    <x v="1699"/>
    <s v="Casa Joaquin"/>
    <m/>
    <n v="0"/>
    <n v="0"/>
    <n v="0"/>
    <n v="0"/>
    <n v="0"/>
    <n v="0"/>
    <n v="0"/>
  </r>
  <r>
    <s v="Below the Line"/>
    <x v="2"/>
    <s v="SHOOT"/>
    <s v="LOCACIONES"/>
    <x v="1700"/>
    <s v="Shoot"/>
    <m/>
    <n v="125000"/>
    <n v="0"/>
    <n v="125000"/>
    <n v="0"/>
    <n v="125000"/>
    <n v="125000"/>
    <n v="0"/>
  </r>
  <r>
    <s v="Below the Line"/>
    <x v="2"/>
    <s v=""/>
    <s v="LOCACIONES"/>
    <x v="1701"/>
    <s v="Casa Romina"/>
    <m/>
    <n v="0"/>
    <n v="0"/>
    <n v="0"/>
    <n v="0"/>
    <n v="0"/>
    <n v="0"/>
    <n v="0"/>
  </r>
  <r>
    <s v="Below the Line"/>
    <x v="2"/>
    <s v="SHOOT"/>
    <s v="LOCACIONES"/>
    <x v="1702"/>
    <s v="Shoot"/>
    <m/>
    <n v="45000"/>
    <n v="0"/>
    <n v="45000"/>
    <n v="0"/>
    <n v="45000"/>
    <n v="60000"/>
    <n v="15000"/>
  </r>
  <r>
    <s v="Below the Line"/>
    <x v="2"/>
    <s v=""/>
    <s v="LOCACIONES"/>
    <x v="1703"/>
    <s v="Puesto de Tacos"/>
    <m/>
    <n v="0"/>
    <n v="0"/>
    <n v="0"/>
    <n v="0"/>
    <n v="0"/>
    <n v="0"/>
    <n v="0"/>
  </r>
  <r>
    <s v="Below the Line"/>
    <x v="2"/>
    <s v="SHOOT"/>
    <s v="LOCACIONES"/>
    <x v="1704"/>
    <s v="Shoot"/>
    <m/>
    <n v="0"/>
    <n v="0"/>
    <n v="0"/>
    <n v="0"/>
    <n v="0"/>
    <n v="30000"/>
    <n v="30000"/>
  </r>
  <r>
    <s v="Below the Line"/>
    <x v="2"/>
    <s v=""/>
    <s v="LOCACIONES"/>
    <x v="1705"/>
    <s v="Departamento Matias"/>
    <m/>
    <n v="0"/>
    <n v="0"/>
    <n v="0"/>
    <n v="0"/>
    <n v="0"/>
    <n v="0"/>
    <n v="0"/>
  </r>
  <r>
    <s v="Below the Line"/>
    <x v="2"/>
    <s v="SHOOT"/>
    <s v="LOCACIONES"/>
    <x v="1706"/>
    <s v="Shoot"/>
    <m/>
    <n v="300000"/>
    <n v="0"/>
    <n v="300000"/>
    <n v="0"/>
    <n v="300000"/>
    <n v="300000"/>
    <n v="0"/>
  </r>
  <r>
    <s v="Below the Line"/>
    <x v="2"/>
    <s v=""/>
    <s v="LOCACIONES"/>
    <x v="1707"/>
    <s v="Bar Sencillo"/>
    <m/>
    <n v="0"/>
    <n v="0"/>
    <n v="0"/>
    <n v="0"/>
    <n v="0"/>
    <n v="0"/>
    <n v="0"/>
  </r>
  <r>
    <s v="Below the Line"/>
    <x v="2"/>
    <s v="SHOOT"/>
    <s v="LOCACIONES"/>
    <x v="1708"/>
    <s v="Shoot"/>
    <m/>
    <n v="25000"/>
    <n v="0"/>
    <n v="25000"/>
    <n v="0"/>
    <n v="25000"/>
    <n v="50000"/>
    <n v="25000"/>
  </r>
  <r>
    <s v="Below the Line"/>
    <x v="2"/>
    <s v=""/>
    <s v="LOCACIONES"/>
    <x v="1709"/>
    <s v="Restaurante Pasteleria"/>
    <m/>
    <n v="0"/>
    <n v="0"/>
    <n v="0"/>
    <n v="0"/>
    <n v="0"/>
    <n v="0"/>
    <n v="0"/>
  </r>
  <r>
    <s v="Below the Line"/>
    <x v="2"/>
    <s v="SHOOT"/>
    <s v="LOCACIONES"/>
    <x v="1710"/>
    <s v="Shoot"/>
    <m/>
    <n v="35000"/>
    <n v="0"/>
    <n v="35000"/>
    <n v="0"/>
    <n v="35000"/>
    <n v="25000"/>
    <n v="-10000"/>
  </r>
  <r>
    <s v="Below the Line"/>
    <x v="2"/>
    <s v=""/>
    <s v="LOCACIONES"/>
    <x v="1711"/>
    <s v="Terreno Primavera 6060"/>
    <m/>
    <n v="0"/>
    <n v="0"/>
    <n v="0"/>
    <n v="0"/>
    <n v="0"/>
    <n v="0"/>
    <n v="0"/>
  </r>
  <r>
    <s v="Below the Line"/>
    <x v="2"/>
    <s v="SHOOT"/>
    <s v="LOCACIONES"/>
    <x v="1712"/>
    <s v="Shoot"/>
    <m/>
    <n v="50000"/>
    <n v="0"/>
    <n v="50000"/>
    <n v="0"/>
    <n v="50000"/>
    <n v="55000"/>
    <n v="5000"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</r>
  <r>
    <s v="Below the Line"/>
    <x v="2"/>
    <s v="SHOOT"/>
    <s v="LOCACIONES"/>
    <x v="1714"/>
    <s v="Shoot"/>
    <m/>
    <n v="40000"/>
    <n v="0"/>
    <n v="40000"/>
    <n v="0"/>
    <n v="40000"/>
    <n v="60000"/>
    <n v="20000"/>
  </r>
  <r>
    <s v="Below the Line"/>
    <x v="2"/>
    <s v=""/>
    <s v="LOCACIONES"/>
    <x v="1715"/>
    <s v="Desfile Cap 7."/>
    <m/>
    <n v="0"/>
    <n v="0"/>
    <n v="0"/>
    <n v="0"/>
    <n v="0"/>
    <n v="0"/>
    <n v="0"/>
  </r>
  <r>
    <s v="Below the Line"/>
    <x v="2"/>
    <s v="SHOOT"/>
    <s v="LOCACIONES"/>
    <x v="1716"/>
    <s v="Shoot"/>
    <m/>
    <n v="58000"/>
    <n v="0"/>
    <n v="58000"/>
    <n v="0"/>
    <n v="58000"/>
    <n v="56187.5"/>
    <n v="-1812.5"/>
  </r>
  <r>
    <s v="Below the Line"/>
    <x v="2"/>
    <s v=""/>
    <s v="LOCACIONES"/>
    <x v="1717"/>
    <s v="Escuela de Música"/>
    <m/>
    <n v="0"/>
    <n v="0"/>
    <n v="0"/>
    <n v="0"/>
    <n v="0"/>
    <n v="0"/>
    <n v="0"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</r>
  <r>
    <s v="Below the Line"/>
    <x v="2"/>
    <s v=""/>
    <s v="LOCACIONES"/>
    <x v="1719"/>
    <s v="Iglesia"/>
    <m/>
    <n v="0"/>
    <n v="0"/>
    <n v="0"/>
    <n v="0"/>
    <n v="0"/>
    <n v="0"/>
    <n v="0"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</r>
  <r>
    <s v="Below the Line"/>
    <x v="2"/>
    <s v=""/>
    <s v="LOCACIONES"/>
    <x v="1721"/>
    <s v="Calles"/>
    <m/>
    <n v="0"/>
    <n v="0"/>
    <n v="0"/>
    <n v="0"/>
    <n v="0"/>
    <n v="0"/>
    <n v="0"/>
  </r>
  <r>
    <s v="Below the Line"/>
    <x v="2"/>
    <s v="SHOOT"/>
    <s v="LOCACIONES"/>
    <x v="1722"/>
    <s v="Shoot"/>
    <m/>
    <n v="0"/>
    <n v="0"/>
    <n v="0"/>
    <n v="0"/>
    <n v="0"/>
    <n v="30000"/>
    <n v="30000"/>
  </r>
  <r>
    <s v="Below the Line"/>
    <x v="2"/>
    <s v=""/>
    <s v="LOCACIONES"/>
    <x v="1723"/>
    <s v="Calles Centro"/>
    <m/>
    <n v="0"/>
    <n v="0"/>
    <n v="0"/>
    <n v="0"/>
    <n v="0"/>
    <n v="0"/>
    <n v="0"/>
  </r>
  <r>
    <s v="Below the Line"/>
    <x v="2"/>
    <s v="SHOOT"/>
    <s v="LOCACIONES"/>
    <x v="1724"/>
    <s v="Shoot"/>
    <m/>
    <n v="0"/>
    <n v="0"/>
    <n v="0"/>
    <n v="0"/>
    <n v="0"/>
    <n v="5000"/>
    <n v="5000"/>
  </r>
  <r>
    <s v="Below the Line"/>
    <x v="2"/>
    <s v=""/>
    <s v="LOCACIONES"/>
    <x v="1725"/>
    <s v="Location Allow"/>
    <m/>
    <n v="0"/>
    <n v="0"/>
    <n v="0"/>
    <n v="0"/>
    <n v="0"/>
    <n v="0"/>
    <n v="0"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</r>
  <r>
    <s v="Below the Line"/>
    <x v="2"/>
    <s v=""/>
    <s v="LOCACIONES"/>
    <x v="1727"/>
    <s v="Base Camps "/>
    <m/>
    <n v="0"/>
    <n v="0"/>
    <n v="0"/>
    <n v="0"/>
    <n v="0"/>
    <n v="0"/>
    <n v="0"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</r>
  <r>
    <s v="Below the Line"/>
    <x v="2"/>
    <s v=""/>
    <s v="LOCACIONES"/>
    <x v="1732"/>
    <s v="Parking"/>
    <m/>
    <n v="0"/>
    <n v="0"/>
    <n v="0"/>
    <n v="0"/>
    <n v="0"/>
    <n v="0"/>
    <n v="0"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</r>
  <r>
    <s v="Below the Line"/>
    <x v="2"/>
    <s v=""/>
    <s v="NOM"/>
    <x v="1736"/>
    <s v="Doctor - Maria Elena Magallón"/>
    <m/>
    <n v="0"/>
    <n v="0"/>
    <n v="0"/>
    <n v="0"/>
    <n v="0"/>
    <n v="0"/>
    <n v="0"/>
  </r>
  <r>
    <s v="Below the Line"/>
    <x v="2"/>
    <s v="PREP"/>
    <s v="NOM"/>
    <x v="1737"/>
    <s v="Prep"/>
    <m/>
    <n v="3000"/>
    <n v="0"/>
    <n v="3000"/>
    <n v="0"/>
    <n v="3000"/>
    <n v="3000"/>
    <n v="0"/>
  </r>
  <r>
    <s v="Below the Line"/>
    <x v="2"/>
    <s v="SHOOT"/>
    <s v="NOM"/>
    <x v="1738"/>
    <s v="Shoot"/>
    <m/>
    <n v="86000"/>
    <n v="0"/>
    <n v="86000"/>
    <n v="0"/>
    <n v="86000"/>
    <n v="70000"/>
    <n v="-16000"/>
  </r>
  <r>
    <s v="Below the Line"/>
    <x v="2"/>
    <s v="WRAP"/>
    <s v="NOM"/>
    <x v="1739"/>
    <s v="Wrap"/>
    <m/>
    <n v="0"/>
    <n v="0"/>
    <n v="0"/>
    <n v="0"/>
    <n v="0"/>
    <n v="0"/>
    <n v="0"/>
  </r>
  <r>
    <s v="Below the Line"/>
    <x v="2"/>
    <s v=""/>
    <s v="NOM"/>
    <x v="1740"/>
    <s v="Doctor Segunda Unidad - TBD"/>
    <m/>
    <n v="0"/>
    <n v="0"/>
    <n v="0"/>
    <n v="0"/>
    <n v="0"/>
    <n v="0"/>
    <n v="0"/>
  </r>
  <r>
    <s v="Below the Line"/>
    <x v="2"/>
    <s v="2nd Unit"/>
    <s v="NOM"/>
    <x v="1741"/>
    <s v="Prep"/>
    <m/>
    <n v="0"/>
    <n v="0"/>
    <n v="0"/>
    <n v="0"/>
    <n v="0"/>
    <n v="3000"/>
    <n v="3000"/>
  </r>
  <r>
    <s v="Below the Line"/>
    <x v="2"/>
    <s v="2nd Unit"/>
    <s v="NOM"/>
    <x v="1742"/>
    <s v="Shoot"/>
    <m/>
    <n v="24000"/>
    <n v="0"/>
    <n v="24000"/>
    <n v="0"/>
    <n v="24000"/>
    <n v="20000"/>
    <n v="-4000"/>
  </r>
  <r>
    <s v="Below the Line"/>
    <x v="2"/>
    <s v="2nd Unit"/>
    <s v="NOM"/>
    <x v="1743"/>
    <s v="Wrap"/>
    <m/>
    <n v="0"/>
    <n v="0"/>
    <n v="0"/>
    <n v="0"/>
    <n v="0"/>
    <n v="0"/>
    <n v="0"/>
  </r>
  <r>
    <s v="Below the Line"/>
    <x v="2"/>
    <s v=""/>
    <m/>
    <x v="1744"/>
    <s v="Purchases for Series"/>
    <m/>
    <n v="0"/>
    <n v="0"/>
    <n v="0"/>
    <n v="0"/>
    <n v="0"/>
    <n v="0"/>
    <n v="0"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</r>
  <r>
    <s v="Below the Line"/>
    <x v="2"/>
    <s v=""/>
    <m/>
    <x v="1747"/>
    <s v="Per Diems (120 MXN por comida)"/>
    <m/>
    <n v="0"/>
    <n v="0"/>
    <n v="0"/>
    <n v="0"/>
    <n v="0"/>
    <n v="0"/>
    <n v="0"/>
  </r>
  <r>
    <s v="Below the Line"/>
    <x v="2"/>
    <s v=""/>
    <m/>
    <x v="1748"/>
    <s v="Arte"/>
    <m/>
    <n v="0"/>
    <n v="0"/>
    <n v="0"/>
    <n v="0"/>
    <n v="0"/>
    <n v="0"/>
    <n v="0"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</r>
  <r>
    <s v="Below the Line"/>
    <x v="2"/>
    <s v=""/>
    <m/>
    <x v="1752"/>
    <s v="Vestuario"/>
    <m/>
    <n v="0"/>
    <n v="0"/>
    <n v="0"/>
    <n v="0"/>
    <n v="0"/>
    <n v="0"/>
    <n v="0"/>
  </r>
  <r>
    <s v="Below the Line"/>
    <x v="2"/>
    <s v="SHOOT"/>
    <m/>
    <x v="1753"/>
    <s v="Shoot"/>
    <m/>
    <n v="0"/>
    <n v="0"/>
    <n v="0"/>
    <n v="0"/>
    <n v="0"/>
    <n v="5880"/>
    <n v="5880"/>
  </r>
  <r>
    <s v="Below the Line"/>
    <x v="2"/>
    <s v=""/>
    <m/>
    <x v="1754"/>
    <s v="Locaciones"/>
    <m/>
    <n v="0"/>
    <n v="0"/>
    <n v="0"/>
    <n v="0"/>
    <n v="0"/>
    <n v="0"/>
    <n v="0"/>
  </r>
  <r>
    <s v="Below the Line"/>
    <x v="2"/>
    <s v="PREP"/>
    <m/>
    <x v="1755"/>
    <s v="Prep"/>
    <m/>
    <n v="2014.09"/>
    <n v="0"/>
    <n v="2014.09"/>
    <n v="0"/>
    <n v="2014.09"/>
    <n v="6480"/>
    <n v="4465.91"/>
  </r>
  <r>
    <s v="Below the Line"/>
    <x v="2"/>
    <s v="SHOOT"/>
    <m/>
    <x v="1756"/>
    <s v="Shoot"/>
    <m/>
    <n v="10841"/>
    <n v="0"/>
    <n v="10841"/>
    <n v="0"/>
    <n v="10841"/>
    <n v="5880"/>
    <n v="-4961"/>
  </r>
  <r>
    <s v="Below the Line"/>
    <x v="2"/>
    <s v=""/>
    <m/>
    <x v="1757"/>
    <s v="Seguridad"/>
    <m/>
    <n v="0"/>
    <n v="0"/>
    <n v="0"/>
    <n v="0"/>
    <n v="0"/>
    <n v="0"/>
    <n v="0"/>
  </r>
  <r>
    <s v="Below the Line"/>
    <x v="2"/>
    <s v="SHOOT"/>
    <m/>
    <x v="1758"/>
    <s v="Shoot"/>
    <m/>
    <n v="0"/>
    <n v="0"/>
    <n v="0"/>
    <n v="0"/>
    <n v="0"/>
    <n v="11760"/>
    <n v="11760"/>
  </r>
  <r>
    <s v="Below the Line"/>
    <x v="2"/>
    <s v=""/>
    <m/>
    <x v="1759"/>
    <s v="Transportación"/>
    <m/>
    <n v="0"/>
    <n v="0"/>
    <n v="0"/>
    <n v="0"/>
    <n v="0"/>
    <n v="0"/>
    <n v="0"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</r>
  <r>
    <s v="Below the Line"/>
    <x v="2"/>
    <s v=""/>
    <m/>
    <x v="1762"/>
    <s v="Per Diem Transportación - Segunda Unidad"/>
    <m/>
    <n v="0"/>
    <n v="0"/>
    <n v="0"/>
    <n v="0"/>
    <n v="0"/>
    <n v="0"/>
    <n v="0"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</r>
  <r>
    <s v="Below the Line"/>
    <x v="2"/>
    <s v=""/>
    <m/>
    <x v="1764"/>
    <s v="Per Diem Alimentación"/>
    <m/>
    <n v="0"/>
    <n v="0"/>
    <n v="0"/>
    <n v="0"/>
    <n v="0"/>
    <n v="0"/>
    <n v="0"/>
  </r>
  <r>
    <s v="Below the Line"/>
    <x v="2"/>
    <s v="PREP"/>
    <m/>
    <x v="1765"/>
    <s v="Prep"/>
    <m/>
    <n v="16200"/>
    <n v="0"/>
    <n v="16200"/>
    <n v="0"/>
    <n v="16200"/>
    <n v="16200"/>
    <n v="0"/>
  </r>
  <r>
    <s v="Below the Line"/>
    <x v="2"/>
    <s v="SHOOT"/>
    <m/>
    <x v="1766"/>
    <s v="Shoot"/>
    <m/>
    <n v="152640"/>
    <n v="0"/>
    <n v="152640"/>
    <n v="0"/>
    <n v="152640"/>
    <n v="113400"/>
    <n v="-39240"/>
  </r>
  <r>
    <s v="Below the Line"/>
    <x v="2"/>
    <s v=""/>
    <m/>
    <x v="1767"/>
    <s v="Per Diem Alimentación - Segunda Unidad"/>
    <m/>
    <n v="0"/>
    <n v="0"/>
    <n v="0"/>
    <n v="0"/>
    <n v="0"/>
    <n v="0"/>
    <n v="0"/>
  </r>
  <r>
    <s v="Below the Line"/>
    <x v="2"/>
    <s v="2nd Unit"/>
    <m/>
    <x v="1768"/>
    <s v="Shoot"/>
    <m/>
    <n v="17280"/>
    <n v="0"/>
    <n v="17280"/>
    <n v="0"/>
    <n v="17280"/>
    <n v="17280"/>
    <n v="0"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</r>
  <r>
    <s v="Below the Line"/>
    <x v="1"/>
    <m/>
    <m/>
    <x v="1770"/>
    <s v="MISCELANEOS"/>
    <m/>
    <n v="72600"/>
    <n v="0"/>
    <n v="72600"/>
    <n v="0"/>
    <n v="72600"/>
    <n v="80000"/>
    <n v="7400"/>
  </r>
  <r>
    <s v="Below the Line"/>
    <x v="2"/>
    <s v=""/>
    <m/>
    <x v="1771"/>
    <s v="Limpieza - TBD"/>
    <m/>
    <n v="0"/>
    <n v="0"/>
    <n v="0"/>
    <n v="0"/>
    <n v="0"/>
    <n v="0"/>
    <n v="0"/>
  </r>
  <r>
    <s v="Below the Line"/>
    <x v="2"/>
    <s v="SHOOT"/>
    <m/>
    <x v="1772"/>
    <s v="Shoot"/>
    <m/>
    <n v="47100"/>
    <n v="0"/>
    <n v="47100"/>
    <n v="0"/>
    <n v="47100"/>
    <n v="52500"/>
    <n v="5400"/>
  </r>
  <r>
    <s v="Below the Line"/>
    <x v="2"/>
    <s v=""/>
    <m/>
    <x v="1773"/>
    <s v="Limpieza Segunda Unidad - TBD"/>
    <m/>
    <n v="0"/>
    <n v="0"/>
    <n v="0"/>
    <n v="0"/>
    <n v="0"/>
    <n v="0"/>
    <n v="0"/>
  </r>
  <r>
    <s v="Below the Line"/>
    <x v="2"/>
    <s v="2nd Unit"/>
    <m/>
    <x v="1774"/>
    <s v="Shoot"/>
    <m/>
    <n v="15000"/>
    <n v="0"/>
    <n v="15000"/>
    <n v="0"/>
    <n v="15000"/>
    <n v="15000"/>
    <n v="0"/>
  </r>
  <r>
    <s v="Below the Line"/>
    <x v="2"/>
    <s v=""/>
    <m/>
    <x v="1775"/>
    <s v="Limpieza - TBD"/>
    <m/>
    <n v="0"/>
    <n v="0"/>
    <n v="0"/>
    <n v="0"/>
    <n v="0"/>
    <n v="0"/>
    <n v="0"/>
  </r>
  <r>
    <s v="Below the Line"/>
    <x v="2"/>
    <s v="SHOOT"/>
    <m/>
    <x v="1776"/>
    <s v="Apoyo de limpieza"/>
    <m/>
    <n v="10500"/>
    <n v="0"/>
    <n v="10500"/>
    <n v="0"/>
    <n v="10500"/>
    <n v="12500"/>
    <n v="2000"/>
  </r>
  <r>
    <s v="Below the Line"/>
    <x v="1"/>
    <m/>
    <m/>
    <x v="1777"/>
    <s v="EXPENDABLES"/>
    <m/>
    <n v="86372.75"/>
    <n v="0"/>
    <n v="86372.75"/>
    <n v="0"/>
    <n v="86372.75"/>
    <n v="60000"/>
    <n v="-26372.75"/>
  </r>
  <r>
    <s v="Below the Line"/>
    <x v="2"/>
    <s v=""/>
    <m/>
    <x v="1778"/>
    <s v="Expendables"/>
    <m/>
    <n v="0"/>
    <n v="0"/>
    <n v="0"/>
    <n v="0"/>
    <n v="0"/>
    <n v="0"/>
    <n v="0"/>
  </r>
  <r>
    <s v="Below the Line"/>
    <x v="2"/>
    <s v="SHOOT"/>
    <m/>
    <x v="1779"/>
    <s v="Shoot"/>
    <m/>
    <n v="86372.75"/>
    <n v="0"/>
    <n v="86372.75"/>
    <n v="0"/>
    <n v="86372.75"/>
    <n v="60000"/>
    <n v="-26372.75"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</r>
  <r>
    <s v="Below the Line"/>
    <x v="2"/>
    <s v=""/>
    <m/>
    <x v="1781"/>
    <s v="Loss &amp; Damage"/>
    <m/>
    <n v="0"/>
    <n v="0"/>
    <n v="0"/>
    <n v="0"/>
    <n v="0"/>
    <n v="0"/>
    <n v="0"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</r>
  <r>
    <s v="Below the Line"/>
    <x v="0"/>
    <m/>
    <m/>
    <x v="1783"/>
    <s v="UNIDAD AEREA"/>
    <m/>
    <n v="299000"/>
    <n v="0"/>
    <n v="299000"/>
    <n v="0"/>
    <n v="299000"/>
    <n v="281000"/>
    <n v="-18000"/>
  </r>
  <r>
    <s v="Below the Line"/>
    <x v="1"/>
    <m/>
    <m/>
    <x v="1784"/>
    <s v="RENTA DE DRONES"/>
    <m/>
    <n v="299000"/>
    <n v="0"/>
    <n v="299000"/>
    <n v="0"/>
    <n v="299000"/>
    <n v="281000"/>
    <n v="-18000"/>
  </r>
  <r>
    <s v="Below the Line"/>
    <x v="2"/>
    <s v=""/>
    <m/>
    <x v="1785"/>
    <s v="Drones - Miguél Villegas"/>
    <m/>
    <n v="0"/>
    <n v="0"/>
    <n v="0"/>
    <n v="0"/>
    <n v="0"/>
    <n v="0"/>
    <n v="0"/>
  </r>
  <r>
    <s v="Below the Line"/>
    <x v="2"/>
    <s v="SHOOT"/>
    <m/>
    <x v="1786"/>
    <s v="Dias de acción"/>
    <m/>
    <n v="90000"/>
    <n v="0"/>
    <n v="90000"/>
    <n v="0"/>
    <n v="90000"/>
    <n v="120000"/>
    <n v="30000"/>
  </r>
  <r>
    <s v="Below the Line"/>
    <x v="2"/>
    <s v="SHOOT"/>
    <m/>
    <x v="1787"/>
    <s v="Establishing"/>
    <m/>
    <n v="209000"/>
    <n v="0"/>
    <n v="209000"/>
    <n v="0"/>
    <n v="209000"/>
    <n v="161000"/>
    <n v="-48000"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</r>
  <r>
    <s v="Below the Line"/>
    <x v="1"/>
    <m/>
    <m/>
    <x v="1789"/>
    <s v="COORDINACION TRANSPORTE"/>
    <m/>
    <n v="96000"/>
    <n v="0"/>
    <n v="96000"/>
    <n v="0"/>
    <n v="96000"/>
    <n v="128000"/>
    <n v="32000"/>
  </r>
  <r>
    <s v="Below the Line"/>
    <x v="2"/>
    <s v=""/>
    <m/>
    <x v="1790"/>
    <s v="Coordinador de Transporte - Dulce Salazar"/>
    <m/>
    <n v="0"/>
    <n v="0"/>
    <n v="0"/>
    <n v="0"/>
    <n v="0"/>
    <n v="0"/>
    <n v="0"/>
  </r>
  <r>
    <s v="Below the Line"/>
    <x v="2"/>
    <s v="PREP"/>
    <m/>
    <x v="1791"/>
    <s v="Prep"/>
    <m/>
    <n v="24000"/>
    <n v="0"/>
    <n v="24000"/>
    <n v="0"/>
    <n v="24000"/>
    <n v="24000"/>
    <n v="0"/>
  </r>
  <r>
    <s v="Below the Line"/>
    <x v="2"/>
    <s v="SHOOT"/>
    <m/>
    <x v="1792"/>
    <s v="Shoot"/>
    <m/>
    <n v="56000"/>
    <n v="0"/>
    <n v="56000"/>
    <n v="0"/>
    <n v="56000"/>
    <n v="56000"/>
    <n v="0"/>
  </r>
  <r>
    <s v="Below the Line"/>
    <x v="2"/>
    <s v="WRAP"/>
    <m/>
    <x v="1793"/>
    <s v="Wrap"/>
    <m/>
    <n v="16000"/>
    <n v="0"/>
    <n v="16000"/>
    <n v="0"/>
    <n v="16000"/>
    <n v="16000"/>
    <n v="0"/>
  </r>
  <r>
    <s v="Below the Line"/>
    <x v="2"/>
    <s v=""/>
    <m/>
    <x v="1794"/>
    <s v="Coordinador de Transporte Segunda Unidad - TBD"/>
    <m/>
    <n v="0"/>
    <n v="0"/>
    <n v="0"/>
    <n v="0"/>
    <n v="0"/>
    <n v="0"/>
    <n v="0"/>
  </r>
  <r>
    <s v="Below the Line"/>
    <x v="2"/>
    <s v="2nd Unit"/>
    <m/>
    <x v="1795"/>
    <s v="Prep"/>
    <m/>
    <n v="0"/>
    <n v="0"/>
    <n v="0"/>
    <n v="0"/>
    <n v="0"/>
    <n v="8000"/>
    <n v="8000"/>
  </r>
  <r>
    <s v="Below the Line"/>
    <x v="2"/>
    <s v="2nd Unit"/>
    <m/>
    <x v="1796"/>
    <s v="Shoot"/>
    <m/>
    <n v="0"/>
    <n v="0"/>
    <n v="0"/>
    <n v="0"/>
    <n v="0"/>
    <n v="16000"/>
    <n v="16000"/>
  </r>
  <r>
    <s v="Below the Line"/>
    <x v="2"/>
    <s v="2nd Unit"/>
    <m/>
    <x v="1797"/>
    <s v="Wrap"/>
    <m/>
    <n v="0"/>
    <n v="0"/>
    <n v="0"/>
    <n v="0"/>
    <n v="0"/>
    <n v="8000"/>
    <n v="8000"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</r>
  <r>
    <s v="Below the Line"/>
    <x v="2"/>
    <s v=""/>
    <m/>
    <x v="1799"/>
    <s v="Casetas"/>
    <m/>
    <n v="0"/>
    <n v="0"/>
    <n v="0"/>
    <n v="0"/>
    <n v="0"/>
    <n v="0"/>
    <n v="0"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</r>
  <r>
    <s v="Below the Line"/>
    <x v="2"/>
    <s v=""/>
    <m/>
    <x v="1804"/>
    <s v="Gas and Oil U1"/>
    <m/>
    <n v="0"/>
    <n v="0"/>
    <n v="0"/>
    <n v="0"/>
    <n v="0"/>
    <n v="0"/>
    <n v="0"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</r>
  <r>
    <s v="Below the Line"/>
    <x v="2"/>
    <s v=""/>
    <m/>
    <x v="1807"/>
    <s v="Gas &amp; Oil - Second Unit"/>
    <m/>
    <n v="0"/>
    <n v="0"/>
    <n v="0"/>
    <n v="0"/>
    <n v="0"/>
    <n v="0"/>
    <n v="0"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</r>
  <r>
    <s v="Below the Line"/>
    <x v="2"/>
    <s v=""/>
    <m/>
    <x v="1810"/>
    <s v="Gasolina "/>
    <m/>
    <n v="0"/>
    <n v="0"/>
    <n v="0"/>
    <n v="0"/>
    <n v="0"/>
    <n v="0"/>
    <n v="0"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</r>
  <r>
    <s v="Below the Line"/>
    <x v="2"/>
    <s v=""/>
    <m/>
    <x v="1813"/>
    <s v="Gasolinas Scouting"/>
    <m/>
    <n v="0"/>
    <n v="0"/>
    <n v="0"/>
    <n v="0"/>
    <n v="0"/>
    <n v="0"/>
    <n v="0"/>
  </r>
  <r>
    <s v="Below the Line"/>
    <x v="2"/>
    <s v="PREP"/>
    <m/>
    <x v="1814"/>
    <s v="Scouting 2 - Gasolina"/>
    <m/>
    <n v="1403.12"/>
    <n v="0"/>
    <n v="1403.12"/>
    <n v="0"/>
    <n v="1403.12"/>
    <n v="1403.12"/>
    <n v="0"/>
  </r>
  <r>
    <s v="Below the Line"/>
    <x v="2"/>
    <s v="PREP"/>
    <m/>
    <x v="1815"/>
    <s v="Tech Scout"/>
    <m/>
    <n v="1836.01"/>
    <n v="0"/>
    <n v="1836.01"/>
    <n v="0"/>
    <n v="1836.01"/>
    <n v="5000"/>
    <n v="3163.99"/>
  </r>
  <r>
    <s v="Below the Line"/>
    <x v="2"/>
    <s v="SHOOT"/>
    <m/>
    <x v="1816"/>
    <s v="Gastos adicionales"/>
    <m/>
    <n v="0"/>
    <n v="0"/>
    <n v="0"/>
    <n v="0"/>
    <n v="0"/>
    <n v="0"/>
    <n v="0"/>
  </r>
  <r>
    <s v="Below the Line"/>
    <x v="1"/>
    <m/>
    <m/>
    <x v="1817"/>
    <s v="DIESEL"/>
    <m/>
    <n v="0"/>
    <n v="0"/>
    <n v="0"/>
    <n v="0"/>
    <n v="0"/>
    <n v="170000"/>
    <n v="170000"/>
  </r>
  <r>
    <s v="Below the Line"/>
    <x v="2"/>
    <s v=""/>
    <m/>
    <x v="1818"/>
    <s v="Combustibles Plantas U1"/>
    <m/>
    <n v="0"/>
    <n v="0"/>
    <n v="0"/>
    <n v="0"/>
    <n v="0"/>
    <n v="0"/>
    <n v="0"/>
  </r>
  <r>
    <s v="Below the Line"/>
    <x v="2"/>
    <s v="SHOOT"/>
    <m/>
    <x v="1819"/>
    <s v="Diesel (Generators)"/>
    <m/>
    <n v="0"/>
    <n v="0"/>
    <n v="0"/>
    <n v="0"/>
    <n v="0"/>
    <n v="140000"/>
    <n v="140000"/>
  </r>
  <r>
    <s v="Below the Line"/>
    <x v="2"/>
    <s v=""/>
    <m/>
    <x v="1820"/>
    <s v="Combustibles Plantas U2"/>
    <m/>
    <n v="0"/>
    <n v="0"/>
    <n v="0"/>
    <n v="0"/>
    <n v="0"/>
    <n v="0"/>
    <n v="0"/>
  </r>
  <r>
    <s v="Below the Line"/>
    <x v="2"/>
    <s v="2nd Unit"/>
    <m/>
    <x v="1821"/>
    <s v="Diesel (Generators)"/>
    <m/>
    <n v="0"/>
    <n v="0"/>
    <n v="0"/>
    <n v="0"/>
    <n v="0"/>
    <n v="30000"/>
    <n v="30000"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824"/>
    <s v="Van Producción"/>
    <m/>
    <n v="0"/>
    <n v="0"/>
    <n v="0"/>
    <n v="0"/>
    <n v="0"/>
    <n v="0"/>
    <n v="0"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</r>
  <r>
    <s v="Below the Line"/>
    <x v="2"/>
    <s v="WRAP"/>
    <s v="BALU"/>
    <x v="1827"/>
    <s v="Wrap"/>
    <m/>
    <n v="0"/>
    <n v="0"/>
    <n v="0"/>
    <n v="0"/>
    <n v="0"/>
    <n v="30000"/>
    <n v="30000"/>
  </r>
  <r>
    <s v="Below the Line"/>
    <x v="2"/>
    <s v=""/>
    <s v="BALU"/>
    <x v="1828"/>
    <s v="Van Producción / Cast"/>
    <m/>
    <n v="0"/>
    <n v="0"/>
    <n v="0"/>
    <n v="0"/>
    <n v="0"/>
    <n v="0"/>
    <n v="0"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</r>
  <r>
    <s v="Below the Line"/>
    <x v="2"/>
    <s v="WRAP"/>
    <s v="BALU"/>
    <x v="1831"/>
    <s v="Wrap"/>
    <m/>
    <n v="0"/>
    <n v="0"/>
    <n v="0"/>
    <n v="0"/>
    <n v="0"/>
    <n v="30000"/>
    <n v="30000"/>
  </r>
  <r>
    <s v="Below the Line"/>
    <x v="2"/>
    <s v=""/>
    <s v="BALU"/>
    <x v="1832"/>
    <s v="Van Set "/>
    <m/>
    <n v="0"/>
    <n v="0"/>
    <n v="0"/>
    <n v="0"/>
    <n v="0"/>
    <n v="0"/>
    <n v="0"/>
  </r>
  <r>
    <s v="Below the Line"/>
    <x v="2"/>
    <s v="PREP"/>
    <s v="BALU"/>
    <x v="1833"/>
    <s v="Prep"/>
    <m/>
    <n v="26158.7"/>
    <n v="0"/>
    <n v="26158.7"/>
    <n v="0"/>
    <n v="26158.7"/>
    <n v="45000"/>
    <n v="18841.3"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</r>
  <r>
    <s v="Below the Line"/>
    <x v="2"/>
    <s v="WRAP"/>
    <s v="BALU"/>
    <x v="1835"/>
    <s v="Wrap"/>
    <m/>
    <n v="0"/>
    <n v="0"/>
    <n v="0"/>
    <n v="0"/>
    <n v="0"/>
    <n v="45000"/>
    <n v="45000"/>
  </r>
  <r>
    <s v="Below the Line"/>
    <x v="2"/>
    <s v=""/>
    <s v="BALU"/>
    <x v="1836"/>
    <s v="Camion Producción"/>
    <m/>
    <n v="0"/>
    <n v="0"/>
    <n v="0"/>
    <n v="0"/>
    <n v="0"/>
    <n v="0"/>
    <n v="0"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</r>
  <r>
    <s v="Below the Line"/>
    <x v="2"/>
    <s v="WRAP"/>
    <s v="BALU"/>
    <x v="1839"/>
    <s v="Wrap"/>
    <m/>
    <n v="0"/>
    <n v="0"/>
    <n v="0"/>
    <n v="0"/>
    <n v="0"/>
    <n v="11000"/>
    <n v="11000"/>
  </r>
  <r>
    <s v="Below the Line"/>
    <x v="2"/>
    <s v=""/>
    <s v="BALU"/>
    <x v="1840"/>
    <s v="Auto Producción / Cast"/>
    <m/>
    <n v="0"/>
    <n v="0"/>
    <n v="0"/>
    <n v="0"/>
    <n v="0"/>
    <n v="0"/>
    <n v="0"/>
  </r>
  <r>
    <s v="Below the Line"/>
    <x v="2"/>
    <s v="PREP"/>
    <s v="BALU"/>
    <x v="1841"/>
    <s v="Prep"/>
    <m/>
    <n v="6278.09"/>
    <n v="0"/>
    <n v="6278.09"/>
    <n v="0"/>
    <n v="6278.09"/>
    <n v="10800"/>
    <n v="4521.91"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</r>
  <r>
    <s v="Below the Line"/>
    <x v="2"/>
    <s v="WRAP"/>
    <s v="BALU"/>
    <x v="1843"/>
    <s v="Wrap"/>
    <m/>
    <n v="0"/>
    <n v="0"/>
    <n v="0"/>
    <n v="0"/>
    <n v="0"/>
    <n v="10800"/>
    <n v="10800"/>
  </r>
  <r>
    <s v="Below the Line"/>
    <x v="2"/>
    <s v=""/>
    <m/>
    <x v="1844"/>
    <s v="Auto Producción / Cast Comodín GDL"/>
    <m/>
    <n v="0"/>
    <n v="0"/>
    <n v="0"/>
    <n v="0"/>
    <n v="0"/>
    <n v="0"/>
    <n v="0"/>
  </r>
  <r>
    <s v="Below the Line"/>
    <x v="2"/>
    <s v="PREP"/>
    <m/>
    <x v="1845"/>
    <s v="Prep"/>
    <m/>
    <n v="0"/>
    <n v="0"/>
    <n v="0"/>
    <n v="0"/>
    <n v="0"/>
    <n v="5400"/>
    <n v="5400"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</r>
  <r>
    <s v="Below the Line"/>
    <x v="2"/>
    <s v="WRAP"/>
    <m/>
    <x v="1847"/>
    <s v="Wrap"/>
    <m/>
    <n v="0"/>
    <n v="0"/>
    <n v="0"/>
    <n v="0"/>
    <n v="0"/>
    <n v="5400"/>
    <n v="5400"/>
  </r>
  <r>
    <s v="Below the Line"/>
    <x v="2"/>
    <s v=""/>
    <s v="BALU"/>
    <x v="1848"/>
    <s v="Auto Sandra, Ivan "/>
    <m/>
    <n v="0"/>
    <n v="0"/>
    <n v="0"/>
    <n v="0"/>
    <n v="0"/>
    <n v="0"/>
    <n v="0"/>
  </r>
  <r>
    <s v="Below the Line"/>
    <x v="2"/>
    <s v="PREP"/>
    <s v="BALU"/>
    <x v="1849"/>
    <s v="Prep"/>
    <m/>
    <n v="6278.09"/>
    <n v="0"/>
    <n v="6278.09"/>
    <n v="0"/>
    <n v="6278.09"/>
    <n v="10800"/>
    <n v="4521.91"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</r>
  <r>
    <s v="Below the Line"/>
    <x v="2"/>
    <s v="WRAP"/>
    <s v="BALU"/>
    <x v="1851"/>
    <s v="Wrap"/>
    <m/>
    <n v="0"/>
    <n v="0"/>
    <n v="0"/>
    <n v="0"/>
    <n v="0"/>
    <n v="10800"/>
    <n v="10800"/>
  </r>
  <r>
    <s v="Below the Line"/>
    <x v="2"/>
    <s v=""/>
    <s v="BALU"/>
    <x v="1852"/>
    <s v="Vanette Arte Set"/>
    <m/>
    <n v="0"/>
    <n v="0"/>
    <n v="0"/>
    <n v="0"/>
    <n v="0"/>
    <n v="0"/>
    <n v="0"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55"/>
    <s v="Wrap"/>
    <m/>
    <n v="0"/>
    <n v="0"/>
    <n v="0"/>
    <n v="0"/>
    <n v="0"/>
    <n v="22000"/>
    <n v="22000"/>
  </r>
  <r>
    <s v="Below the Line"/>
    <x v="2"/>
    <s v=""/>
    <s v="BALU"/>
    <x v="1856"/>
    <s v="Vanette Arte Avanzada"/>
    <m/>
    <n v="0"/>
    <n v="0"/>
    <n v="0"/>
    <n v="0"/>
    <n v="0"/>
    <n v="0"/>
    <n v="0"/>
  </r>
  <r>
    <s v="Below the Line"/>
    <x v="2"/>
    <s v="PREP"/>
    <s v="BALU"/>
    <x v="1857"/>
    <s v="Prep"/>
    <m/>
    <n v="32905.75"/>
    <n v="0"/>
    <n v="32905.75"/>
    <n v="0"/>
    <n v="32905.75"/>
    <n v="44000"/>
    <n v="11094.25"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</r>
  <r>
    <s v="Below the Line"/>
    <x v="2"/>
    <s v="WRAP"/>
    <s v="BALU"/>
    <x v="1859"/>
    <s v="Wrap"/>
    <m/>
    <n v="8345.99"/>
    <n v="0"/>
    <n v="8345.99"/>
    <n v="0"/>
    <n v="8345.99"/>
    <n v="44000"/>
    <n v="35654.01"/>
  </r>
  <r>
    <s v="Below the Line"/>
    <x v="2"/>
    <s v=""/>
    <s v="BALU"/>
    <x v="1860"/>
    <s v="Van Arte Avanzada"/>
    <m/>
    <n v="0"/>
    <n v="0"/>
    <n v="0"/>
    <n v="0"/>
    <n v="0"/>
    <n v="0"/>
    <n v="0"/>
  </r>
  <r>
    <s v="Below the Line"/>
    <x v="2"/>
    <s v="PREP"/>
    <s v="BALU"/>
    <x v="1861"/>
    <s v="Prep"/>
    <m/>
    <n v="43597.83"/>
    <n v="0"/>
    <n v="43597.83"/>
    <n v="0"/>
    <n v="43597.83"/>
    <n v="75000"/>
    <n v="31402.17"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3"/>
    <s v="Wrap"/>
    <m/>
    <n v="0"/>
    <n v="0"/>
    <n v="0"/>
    <n v="0"/>
    <n v="0"/>
    <n v="30000"/>
    <n v="30000"/>
  </r>
  <r>
    <s v="Below the Line"/>
    <x v="2"/>
    <s v=""/>
    <s v="BALU"/>
    <x v="1864"/>
    <s v="Van Arte Compras"/>
    <m/>
    <n v="0"/>
    <n v="0"/>
    <n v="0"/>
    <n v="0"/>
    <n v="0"/>
    <n v="0"/>
    <n v="0"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7"/>
    <s v="Wrap"/>
    <m/>
    <n v="0"/>
    <n v="0"/>
    <n v="0"/>
    <n v="0"/>
    <n v="0"/>
    <n v="15000"/>
    <n v="15000"/>
  </r>
  <r>
    <s v="Below the Line"/>
    <x v="2"/>
    <s v=""/>
    <s v="BALU"/>
    <x v="1868"/>
    <s v="Van Set Arte"/>
    <m/>
    <n v="0"/>
    <n v="0"/>
    <n v="0"/>
    <n v="0"/>
    <n v="0"/>
    <n v="0"/>
    <n v="0"/>
  </r>
  <r>
    <s v="Below the Line"/>
    <x v="2"/>
    <s v="PREP"/>
    <s v="BALU"/>
    <x v="1869"/>
    <s v="Prep"/>
    <m/>
    <n v="8719.57"/>
    <n v="0"/>
    <n v="8719.57"/>
    <n v="0"/>
    <n v="8719.57"/>
    <n v="15000"/>
    <n v="6280.43"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1"/>
    <s v="Wrap"/>
    <m/>
    <n v="0"/>
    <n v="0"/>
    <n v="0"/>
    <n v="0"/>
    <n v="0"/>
    <n v="15000"/>
    <n v="15000"/>
  </r>
  <r>
    <s v="Below the Line"/>
    <x v="2"/>
    <s v=""/>
    <s v="BALU"/>
    <x v="1872"/>
    <s v="Van Props"/>
    <m/>
    <n v="0"/>
    <n v="0"/>
    <n v="0"/>
    <n v="0"/>
    <n v="0"/>
    <n v="0"/>
    <n v="0"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5"/>
    <s v="Wrap"/>
    <m/>
    <n v="0"/>
    <n v="0"/>
    <n v="0"/>
    <n v="0"/>
    <n v="0"/>
    <n v="15000"/>
    <n v="15000"/>
  </r>
  <r>
    <s v="Below the Line"/>
    <x v="2"/>
    <s v=""/>
    <s v="BALU"/>
    <x v="1876"/>
    <s v="Vanette Props"/>
    <m/>
    <n v="0"/>
    <n v="0"/>
    <n v="0"/>
    <n v="0"/>
    <n v="0"/>
    <n v="0"/>
    <n v="0"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79"/>
    <s v="Wrap"/>
    <m/>
    <n v="0"/>
    <n v="0"/>
    <n v="0"/>
    <n v="0"/>
    <n v="0"/>
    <n v="22000"/>
    <n v="22000"/>
  </r>
  <r>
    <s v="Below the Line"/>
    <x v="2"/>
    <s v=""/>
    <s v="BALU"/>
    <x v="1880"/>
    <s v="Van Vestuario"/>
    <m/>
    <n v="0"/>
    <n v="0"/>
    <n v="0"/>
    <n v="0"/>
    <n v="0"/>
    <n v="0"/>
    <n v="0"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83"/>
    <s v="Wrap"/>
    <m/>
    <n v="0"/>
    <n v="0"/>
    <n v="0"/>
    <n v="0"/>
    <n v="0"/>
    <n v="15000"/>
    <n v="15000"/>
  </r>
  <r>
    <s v="Below the Line"/>
    <x v="2"/>
    <s v=""/>
    <s v="BALU"/>
    <x v="1884"/>
    <s v="Camión de Vestuario"/>
    <m/>
    <n v="0"/>
    <n v="0"/>
    <n v="0"/>
    <n v="0"/>
    <n v="0"/>
    <n v="0"/>
    <n v="0"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87"/>
    <s v="Wrap"/>
    <m/>
    <n v="0"/>
    <n v="0"/>
    <n v="0"/>
    <n v="0"/>
    <n v="0"/>
    <n v="22000"/>
    <n v="22000"/>
  </r>
  <r>
    <s v="Below the Line"/>
    <x v="2"/>
    <s v=""/>
    <s v="BALU"/>
    <x v="1888"/>
    <s v="Camper Hair &amp; Makeup"/>
    <m/>
    <n v="0"/>
    <n v="0"/>
    <n v="0"/>
    <n v="0"/>
    <n v="0"/>
    <n v="0"/>
    <n v="0"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</r>
  <r>
    <s v="Below the Line"/>
    <x v="2"/>
    <s v=""/>
    <s v="BALU"/>
    <x v="1890"/>
    <s v="Honey Wagon"/>
    <m/>
    <n v="0"/>
    <n v="0"/>
    <n v="0"/>
    <n v="0"/>
    <n v="0"/>
    <n v="0"/>
    <n v="0"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</r>
  <r>
    <s v="Below the Line"/>
    <x v="2"/>
    <s v=""/>
    <s v="BALU"/>
    <x v="1892"/>
    <s v="Camper Cast Triple"/>
    <m/>
    <n v="0"/>
    <n v="0"/>
    <n v="0"/>
    <n v="0"/>
    <n v="0"/>
    <n v="0"/>
    <n v="0"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</r>
  <r>
    <s v="Below the Line"/>
    <x v="2"/>
    <s v=""/>
    <s v="BALU"/>
    <x v="1894"/>
    <s v="Camper Cast Doble (Sandra, Ivan,)"/>
    <m/>
    <n v="0"/>
    <n v="0"/>
    <n v="0"/>
    <n v="0"/>
    <n v="0"/>
    <n v="0"/>
    <n v="0"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</r>
  <r>
    <s v="Below the Line"/>
    <x v="2"/>
    <s v=""/>
    <m/>
    <x v="1896"/>
    <s v="Vanette Cámara - EFD"/>
    <m/>
    <n v="0"/>
    <n v="0"/>
    <n v="0"/>
    <n v="0"/>
    <n v="0"/>
    <n v="0"/>
    <n v="0"/>
  </r>
  <r>
    <s v="Below the Line"/>
    <x v="2"/>
    <s v="PREP"/>
    <m/>
    <x v="1897"/>
    <s v="Prep"/>
    <m/>
    <n v="0"/>
    <n v="0"/>
    <n v="0"/>
    <n v="0"/>
    <n v="0"/>
    <n v="8000"/>
    <n v="8000"/>
  </r>
  <r>
    <s v="Below the Line"/>
    <x v="2"/>
    <s v="SHOOT"/>
    <m/>
    <x v="1898"/>
    <s v="Shoot"/>
    <m/>
    <n v="0"/>
    <n v="0"/>
    <n v="0"/>
    <n v="0"/>
    <n v="0"/>
    <n v="196000"/>
    <n v="196000"/>
  </r>
  <r>
    <s v="Below the Line"/>
    <x v="2"/>
    <s v="WRAP"/>
    <m/>
    <x v="1899"/>
    <s v="Wrap"/>
    <m/>
    <n v="0"/>
    <n v="0"/>
    <n v="0"/>
    <n v="0"/>
    <n v="0"/>
    <n v="4000"/>
    <n v="4000"/>
  </r>
  <r>
    <s v="Below the Line"/>
    <x v="2"/>
    <s v=""/>
    <m/>
    <x v="1900"/>
    <s v="Transporte equipo extra - EFD"/>
    <m/>
    <n v="0"/>
    <n v="0"/>
    <n v="0"/>
    <n v="0"/>
    <n v="0"/>
    <n v="0"/>
    <n v="0"/>
  </r>
  <r>
    <s v="Below the Line"/>
    <x v="2"/>
    <s v="SHOOT"/>
    <m/>
    <x v="1901"/>
    <s v="Shoot"/>
    <m/>
    <n v="0"/>
    <n v="0"/>
    <n v="0"/>
    <n v="0"/>
    <n v="0"/>
    <n v="63750"/>
    <n v="63750"/>
  </r>
  <r>
    <s v="Below the Line"/>
    <x v="2"/>
    <s v=""/>
    <m/>
    <x v="1902"/>
    <s v="Chofer Producción - Oscar Pineda"/>
    <m/>
    <n v="0"/>
    <n v="0"/>
    <n v="0"/>
    <n v="0"/>
    <n v="0"/>
    <n v="0"/>
    <n v="0"/>
  </r>
  <r>
    <s v="Below the Line"/>
    <x v="2"/>
    <s v="PREP"/>
    <m/>
    <x v="1903"/>
    <s v="Prep"/>
    <m/>
    <n v="35000"/>
    <n v="0"/>
    <n v="35000"/>
    <n v="0"/>
    <n v="35000"/>
    <n v="35000"/>
    <n v="0"/>
  </r>
  <r>
    <s v="Below the Line"/>
    <x v="2"/>
    <s v="SHOOT"/>
    <m/>
    <x v="1904"/>
    <s v="Shoot"/>
    <m/>
    <n v="35000"/>
    <n v="0"/>
    <n v="35000"/>
    <n v="0"/>
    <n v="35000"/>
    <n v="35000"/>
    <n v="0"/>
  </r>
  <r>
    <s v="Below the Line"/>
    <x v="2"/>
    <s v="WRAP"/>
    <m/>
    <x v="1905"/>
    <s v="Wrap"/>
    <m/>
    <n v="30000"/>
    <n v="0"/>
    <n v="30000"/>
    <n v="0"/>
    <n v="30000"/>
    <n v="20000"/>
    <n v="-10000"/>
  </r>
  <r>
    <s v="Below the Line"/>
    <x v="2"/>
    <s v=""/>
    <s v="BALU"/>
    <x v="1906"/>
    <s v="Segunda Unidad "/>
    <m/>
    <n v="0"/>
    <n v="0"/>
    <n v="0"/>
    <n v="0"/>
    <n v="0"/>
    <n v="0"/>
    <n v="0"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908"/>
    <s v="Van Producción Segunda Unidad"/>
    <m/>
    <n v="0"/>
    <n v="0"/>
    <n v="0"/>
    <n v="0"/>
    <n v="0"/>
    <n v="0"/>
    <n v="0"/>
  </r>
  <r>
    <s v="Below the Line"/>
    <x v="2"/>
    <s v="2nd Unit"/>
    <s v="BALU"/>
    <x v="1909"/>
    <s v="Prep"/>
    <m/>
    <n v="0"/>
    <n v="0"/>
    <n v="0"/>
    <n v="0"/>
    <n v="0"/>
    <n v="45000"/>
    <n v="45000"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</r>
  <r>
    <s v="Below the Line"/>
    <x v="2"/>
    <s v=""/>
    <s v="BALU"/>
    <x v="1911"/>
    <s v="Auto Producción / Cast Segunda Unidad"/>
    <m/>
    <n v="0"/>
    <n v="0"/>
    <n v="0"/>
    <n v="0"/>
    <n v="0"/>
    <n v="0"/>
    <n v="0"/>
  </r>
  <r>
    <s v="Below the Line"/>
    <x v="2"/>
    <s v="2nd Unit"/>
    <s v="BALU"/>
    <x v="1912"/>
    <s v="Prep"/>
    <m/>
    <n v="0"/>
    <n v="0"/>
    <n v="0"/>
    <n v="0"/>
    <n v="0"/>
    <n v="10800"/>
    <n v="10800"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</r>
  <r>
    <s v="Below the Line"/>
    <x v="2"/>
    <s v="2nd Unit"/>
    <s v="BALU"/>
    <x v="1914"/>
    <s v="Wrap"/>
    <m/>
    <n v="0"/>
    <n v="0"/>
    <n v="0"/>
    <n v="0"/>
    <n v="0"/>
    <n v="10800"/>
    <n v="10800"/>
  </r>
  <r>
    <s v="Below the Line"/>
    <x v="2"/>
    <s v=""/>
    <s v="BALU"/>
    <x v="1915"/>
    <s v="Van Producción / Cast Segunda Unidad"/>
    <m/>
    <n v="0"/>
    <n v="0"/>
    <n v="0"/>
    <n v="0"/>
    <n v="0"/>
    <n v="0"/>
    <n v="0"/>
  </r>
  <r>
    <s v="Below the Line"/>
    <x v="2"/>
    <s v="2nd Unit"/>
    <s v="BALU"/>
    <x v="1916"/>
    <s v="Prep"/>
    <m/>
    <n v="0"/>
    <n v="0"/>
    <n v="0"/>
    <n v="0"/>
    <n v="0"/>
    <n v="15000"/>
    <n v="15000"/>
  </r>
  <r>
    <s v="Below the Line"/>
    <x v="2"/>
    <s v="2nd Unit"/>
    <s v="BALU"/>
    <x v="1917"/>
    <s v="Shoot"/>
    <m/>
    <n v="0"/>
    <n v="0"/>
    <n v="0"/>
    <n v="0"/>
    <n v="0"/>
    <n v="30000"/>
    <n v="30000"/>
  </r>
  <r>
    <s v="Below the Line"/>
    <x v="2"/>
    <s v="2nd Unit"/>
    <s v="BALU"/>
    <x v="1918"/>
    <s v="Wrap"/>
    <m/>
    <n v="0"/>
    <n v="0"/>
    <n v="0"/>
    <n v="0"/>
    <n v="0"/>
    <n v="15000"/>
    <n v="15000"/>
  </r>
  <r>
    <s v="Below the Line"/>
    <x v="2"/>
    <s v=""/>
    <s v="BALU"/>
    <x v="1919"/>
    <s v="Camper Triple Cast Segunda Unidad"/>
    <m/>
    <n v="0"/>
    <n v="0"/>
    <n v="0"/>
    <n v="0"/>
    <n v="0"/>
    <n v="0"/>
    <n v="0"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</r>
  <r>
    <s v="Below the Line"/>
    <x v="2"/>
    <s v=""/>
    <s v="BALU"/>
    <x v="1923"/>
    <s v="Honey Wagon Segunda Unidad"/>
    <m/>
    <n v="0"/>
    <n v="0"/>
    <n v="0"/>
    <n v="0"/>
    <n v="0"/>
    <n v="0"/>
    <n v="0"/>
  </r>
  <r>
    <s v="Below the Line"/>
    <x v="2"/>
    <s v="2nd Unit"/>
    <s v="BALU"/>
    <x v="1924"/>
    <s v="Shoot"/>
    <m/>
    <n v="0"/>
    <n v="0"/>
    <n v="0"/>
    <n v="0"/>
    <n v="0"/>
    <n v="56000"/>
    <n v="56000"/>
  </r>
  <r>
    <s v="Below the Line"/>
    <x v="2"/>
    <s v=""/>
    <s v="BALU"/>
    <x v="1925"/>
    <s v="Van Vestuario Segunda Unidad"/>
    <m/>
    <n v="0"/>
    <n v="0"/>
    <n v="0"/>
    <n v="0"/>
    <n v="0"/>
    <n v="0"/>
    <n v="0"/>
  </r>
  <r>
    <s v="Below the Line"/>
    <x v="2"/>
    <s v="2nd Unit"/>
    <s v="BALU"/>
    <x v="1926"/>
    <s v="Shoot"/>
    <m/>
    <n v="0"/>
    <n v="0"/>
    <n v="0"/>
    <m/>
    <n v="0"/>
    <n v="30000"/>
    <n v="30000"/>
  </r>
  <r>
    <s v="Below the Line"/>
    <x v="2"/>
    <s v=""/>
    <s v="BALU"/>
    <x v="1927"/>
    <s v="Van Arte Segunda Unidad"/>
    <m/>
    <n v="0"/>
    <n v="0"/>
    <n v="0"/>
    <n v="0"/>
    <n v="0"/>
    <n v="0"/>
    <n v="0"/>
  </r>
  <r>
    <s v="Below the Line"/>
    <x v="2"/>
    <s v="2nd Unit"/>
    <s v="BALU"/>
    <x v="1928"/>
    <s v="Prep"/>
    <m/>
    <n v="0"/>
    <n v="0"/>
    <n v="0"/>
    <n v="0"/>
    <n v="0"/>
    <n v="15000"/>
    <n v="15000"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</r>
  <r>
    <s v="Below the Line"/>
    <x v="2"/>
    <s v="2nd Unit"/>
    <s v="BALU"/>
    <x v="1930"/>
    <s v="Wrap"/>
    <m/>
    <n v="0"/>
    <n v="0"/>
    <n v="0"/>
    <n v="0"/>
    <n v="0"/>
    <n v="7500"/>
    <n v="7500"/>
  </r>
  <r>
    <s v="Below the Line"/>
    <x v="2"/>
    <s v=""/>
    <s v="BALU"/>
    <x v="1931"/>
    <s v="Vanette Arte Segunda Unidad"/>
    <m/>
    <n v="0"/>
    <n v="0"/>
    <n v="0"/>
    <n v="0"/>
    <n v="0"/>
    <n v="0"/>
    <n v="0"/>
  </r>
  <r>
    <s v="Below the Line"/>
    <x v="2"/>
    <s v="2nd Unit"/>
    <s v="BALU"/>
    <x v="1932"/>
    <s v="Wrap"/>
    <m/>
    <n v="0"/>
    <n v="0"/>
    <n v="0"/>
    <n v="0"/>
    <n v="0"/>
    <n v="11000"/>
    <n v="11000"/>
  </r>
  <r>
    <s v="Below the Line"/>
    <x v="2"/>
    <s v=""/>
    <s v="BALU"/>
    <x v="1933"/>
    <s v="Vanette Vestuario Segunda Unidad"/>
    <m/>
    <n v="0"/>
    <n v="0"/>
    <n v="0"/>
    <n v="0"/>
    <n v="0"/>
    <n v="0"/>
    <n v="0"/>
  </r>
  <r>
    <s v="Below the Line"/>
    <x v="2"/>
    <s v="2nd Unit"/>
    <s v="BALU"/>
    <x v="1934"/>
    <s v="Prep"/>
    <m/>
    <n v="0"/>
    <n v="0"/>
    <n v="0"/>
    <n v="0"/>
    <n v="0"/>
    <n v="22000"/>
    <n v="22000"/>
  </r>
  <r>
    <s v="Below the Line"/>
    <x v="2"/>
    <s v="2nd Unit"/>
    <s v="BALU"/>
    <x v="1935"/>
    <s v="Shoot"/>
    <m/>
    <n v="0"/>
    <n v="0"/>
    <n v="0"/>
    <m/>
    <n v="0"/>
    <n v="44000"/>
    <n v="44000"/>
  </r>
  <r>
    <s v="Below the Line"/>
    <x v="2"/>
    <s v="2nd Unit"/>
    <s v="BALU"/>
    <x v="1936"/>
    <s v="Wrap"/>
    <m/>
    <n v="0"/>
    <n v="0"/>
    <n v="0"/>
    <n v="0"/>
    <n v="0"/>
    <n v="11000"/>
    <n v="11000"/>
  </r>
  <r>
    <s v="Below the Line"/>
    <x v="2"/>
    <s v=""/>
    <s v="BALU"/>
    <x v="1937"/>
    <s v="Vanette Producción Segunda Unidad"/>
    <m/>
    <n v="0"/>
    <n v="0"/>
    <n v="0"/>
    <n v="0"/>
    <n v="0"/>
    <n v="0"/>
    <n v="0"/>
  </r>
  <r>
    <s v="Below the Line"/>
    <x v="2"/>
    <s v="2nd Unit"/>
    <s v="BALU"/>
    <x v="1938"/>
    <s v="Prep"/>
    <m/>
    <n v="0"/>
    <n v="0"/>
    <n v="0"/>
    <n v="0"/>
    <n v="0"/>
    <n v="11000"/>
    <n v="11000"/>
  </r>
  <r>
    <s v="Below the Line"/>
    <x v="2"/>
    <s v="2nd Unit"/>
    <s v="BALU"/>
    <x v="1939"/>
    <s v="Shoot"/>
    <m/>
    <n v="0"/>
    <n v="0"/>
    <n v="0"/>
    <m/>
    <n v="0"/>
    <n v="44000"/>
    <n v="44000"/>
  </r>
  <r>
    <s v="Below the Line"/>
    <x v="2"/>
    <s v="2nd Unit"/>
    <s v="BALU"/>
    <x v="1940"/>
    <s v="Wrap"/>
    <m/>
    <n v="0"/>
    <n v="0"/>
    <n v="0"/>
    <n v="0"/>
    <n v="0"/>
    <n v="11000"/>
    <n v="11000"/>
  </r>
  <r>
    <s v="Below the Line"/>
    <x v="2"/>
    <s v=""/>
    <m/>
    <x v="1941"/>
    <s v="Vanette Cámara Segunda Unidad - EFD"/>
    <m/>
    <n v="0"/>
    <n v="0"/>
    <n v="0"/>
    <n v="0"/>
    <n v="0"/>
    <n v="0"/>
    <n v="0"/>
  </r>
  <r>
    <s v="Below the Line"/>
    <x v="2"/>
    <s v="2nd Unit"/>
    <m/>
    <x v="1942"/>
    <s v="Prep"/>
    <m/>
    <n v="0"/>
    <n v="0"/>
    <n v="0"/>
    <n v="0"/>
    <n v="0"/>
    <n v="12000"/>
    <n v="12000"/>
  </r>
  <r>
    <s v="Below the Line"/>
    <x v="2"/>
    <s v="2nd Unit"/>
    <m/>
    <x v="1943"/>
    <s v="Shoot"/>
    <m/>
    <n v="0"/>
    <n v="0"/>
    <n v="0"/>
    <m/>
    <n v="0"/>
    <n v="48000"/>
    <n v="48000"/>
  </r>
  <r>
    <s v="Below the Line"/>
    <x v="2"/>
    <s v="2nd Unit"/>
    <m/>
    <x v="1944"/>
    <s v="Wrap"/>
    <m/>
    <n v="0"/>
    <n v="0"/>
    <n v="0"/>
    <n v="0"/>
    <n v="0"/>
    <n v="8000"/>
    <n v="8000"/>
  </r>
  <r>
    <s v="Below the Line"/>
    <x v="2"/>
    <s v=""/>
    <m/>
    <x v="1945"/>
    <s v="Camioneta equipo extra Segunda Unidad - EFD"/>
    <m/>
    <n v="0"/>
    <n v="0"/>
    <n v="0"/>
    <n v="0"/>
    <n v="0"/>
    <n v="0"/>
    <n v="0"/>
  </r>
  <r>
    <s v="Below the Line"/>
    <x v="2"/>
    <s v="2nd Unit"/>
    <m/>
    <x v="1946"/>
    <s v="Prep"/>
    <m/>
    <n v="0"/>
    <n v="0"/>
    <n v="0"/>
    <n v="0"/>
    <n v="0"/>
    <n v="11250"/>
    <n v="11250"/>
  </r>
  <r>
    <s v="Below the Line"/>
    <x v="2"/>
    <s v="2nd Unit"/>
    <m/>
    <x v="1947"/>
    <s v="Shoot"/>
    <m/>
    <n v="0"/>
    <n v="0"/>
    <n v="0"/>
    <m/>
    <n v="0"/>
    <n v="45000"/>
    <n v="45000"/>
  </r>
  <r>
    <s v="Below the Line"/>
    <x v="2"/>
    <s v="2nd Unit"/>
    <m/>
    <x v="1948"/>
    <s v="Wrap"/>
    <m/>
    <n v="0"/>
    <n v="0"/>
    <n v="0"/>
    <n v="0"/>
    <n v="0"/>
    <n v="7500"/>
    <n v="7500"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</r>
  <r>
    <s v="Below the Line"/>
    <x v="2"/>
    <s v=""/>
    <m/>
    <x v="1952"/>
    <s v="Loss &amp; Damage Viajes MEX - GDL - MEX"/>
    <m/>
    <n v="0"/>
    <n v="0"/>
    <n v="0"/>
    <n v="0"/>
    <n v="0"/>
    <n v="0"/>
    <n v="0"/>
  </r>
  <r>
    <s v="Below the Line"/>
    <x v="2"/>
    <s v="SHOOT"/>
    <m/>
    <x v="1953"/>
    <s v="Series"/>
    <m/>
    <n v="174781"/>
    <n v="0"/>
    <n v="174781"/>
    <n v="0"/>
    <n v="174781"/>
    <n v="50000"/>
    <n v="-124781"/>
  </r>
  <r>
    <s v="Below the Line"/>
    <x v="0"/>
    <m/>
    <m/>
    <x v="1954"/>
    <s v="FORO Y OFICINAS"/>
    <m/>
    <n v="896400"/>
    <n v="0"/>
    <n v="896400"/>
    <n v="0"/>
    <n v="896400"/>
    <n v="810000"/>
    <n v="-86400"/>
  </r>
  <r>
    <s v="Below the Line"/>
    <x v="1"/>
    <m/>
    <m/>
    <x v="1955"/>
    <s v="SERVICIOS OFICINA"/>
    <m/>
    <n v="16400"/>
    <n v="0"/>
    <n v="16400"/>
    <n v="0"/>
    <n v="16400"/>
    <n v="90000"/>
    <n v="73600"/>
  </r>
  <r>
    <s v="Below the Line"/>
    <x v="2"/>
    <s v=""/>
    <m/>
    <x v="1956"/>
    <s v="Limpieza Bodega GDL"/>
    <m/>
    <n v="0"/>
    <n v="0"/>
    <n v="0"/>
    <n v="0"/>
    <n v="0"/>
    <n v="0"/>
    <n v="0"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</r>
  <r>
    <s v="Below the Line"/>
    <x v="1"/>
    <m/>
    <m/>
    <x v="1958"/>
    <s v="RENTAS FORO/OFICINA"/>
    <m/>
    <n v="880000"/>
    <n v="0"/>
    <n v="880000"/>
    <n v="0"/>
    <n v="880000"/>
    <n v="720000"/>
    <n v="-160000"/>
  </r>
  <r>
    <s v="Below the Line"/>
    <x v="2"/>
    <s v=""/>
    <m/>
    <x v="1959"/>
    <s v="Renta Bodega Post Mortem GDL"/>
    <m/>
    <n v="0"/>
    <n v="0"/>
    <n v="0"/>
    <n v="0"/>
    <n v="0"/>
    <n v="0"/>
    <n v="0"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</r>
  <r>
    <s v="Below the Line"/>
    <x v="1"/>
    <m/>
    <m/>
    <x v="1962"/>
    <s v="LABORATORIO DAILIES"/>
    <m/>
    <n v="438400"/>
    <n v="0"/>
    <n v="438400"/>
    <n v="0"/>
    <n v="438400"/>
    <n v="438400"/>
    <n v="0"/>
  </r>
  <r>
    <s v="Below the Line"/>
    <x v="2"/>
    <s v=""/>
    <m/>
    <x v="1963"/>
    <s v="Asistente de Post Dailies - Esteban Díaz"/>
    <m/>
    <n v="0"/>
    <n v="0"/>
    <n v="0"/>
    <n v="0"/>
    <n v="0"/>
    <n v="0"/>
    <n v="0"/>
  </r>
  <r>
    <s v="Below the Line"/>
    <x v="2"/>
    <s v="POST"/>
    <s v="DINAMITA"/>
    <x v="1964"/>
    <s v="Post"/>
    <m/>
    <n v="50400"/>
    <n v="0"/>
    <n v="50400"/>
    <n v="0"/>
    <n v="50400"/>
    <n v="50400"/>
    <n v="0"/>
  </r>
  <r>
    <s v="Below the Line"/>
    <x v="2"/>
    <s v=""/>
    <m/>
    <x v="1965"/>
    <s v="Estación de trabajo Asistente de Post Dailies"/>
    <m/>
    <n v="0"/>
    <n v="0"/>
    <n v="0"/>
    <n v="0"/>
    <n v="0"/>
    <n v="0"/>
    <n v="0"/>
  </r>
  <r>
    <s v="Below the Line"/>
    <x v="2"/>
    <s v="POST"/>
    <s v="DINAMITA"/>
    <x v="1966"/>
    <s v="Post"/>
    <m/>
    <n v="84000"/>
    <n v="0"/>
    <n v="84000"/>
    <n v="0"/>
    <n v="84000"/>
    <n v="84000"/>
    <n v="0"/>
  </r>
  <r>
    <s v="Below the Line"/>
    <x v="2"/>
    <s v=""/>
    <m/>
    <x v="1967"/>
    <s v="LTO"/>
    <m/>
    <n v="0"/>
    <n v="0"/>
    <n v="0"/>
    <n v="0"/>
    <n v="0"/>
    <n v="0"/>
    <n v="0"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</r>
  <r>
    <s v="Below the Line"/>
    <x v="2"/>
    <s v=""/>
    <m/>
    <x v="1971"/>
    <s v="Internet GDL"/>
    <m/>
    <n v="0"/>
    <n v="0"/>
    <n v="0"/>
    <n v="0"/>
    <n v="0"/>
    <n v="0"/>
    <n v="0"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</r>
  <r>
    <s v="Below the Line"/>
    <x v="1"/>
    <m/>
    <m/>
    <x v="1973"/>
    <s v="COMPRAS MEDIA"/>
    <m/>
    <n v="0"/>
    <n v="0"/>
    <n v="0"/>
    <n v="0"/>
    <n v="0"/>
    <n v="111500"/>
    <n v="111500"/>
  </r>
  <r>
    <s v="Below the Line"/>
    <x v="2"/>
    <s v=""/>
    <m/>
    <x v="1974"/>
    <s v="Compra de disco duro transito"/>
    <m/>
    <n v="0"/>
    <n v="0"/>
    <n v="0"/>
    <n v="0"/>
    <n v="0"/>
    <n v="0"/>
    <n v="0"/>
  </r>
  <r>
    <s v="Below the Line"/>
    <x v="2"/>
    <s v="ALL SHOW"/>
    <m/>
    <x v="1975"/>
    <s v="Discos de Transito Lacie SSD 4TB"/>
    <m/>
    <n v="0"/>
    <n v="0"/>
    <n v="0"/>
    <n v="0"/>
    <n v="0"/>
    <n v="96000"/>
    <n v="96000"/>
  </r>
  <r>
    <s v="Below the Line"/>
    <x v="2"/>
    <s v=""/>
    <m/>
    <x v="1976"/>
    <s v="Disco Duro"/>
    <m/>
    <n v="0"/>
    <n v="0"/>
    <n v="0"/>
    <n v="0"/>
    <n v="0"/>
    <n v="0"/>
    <n v="0"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</r>
  <r>
    <s v="Below the Line"/>
    <x v="2"/>
    <s v=""/>
    <m/>
    <x v="1980"/>
    <s v="Fotografo - Rodrigo Rodriguez"/>
    <m/>
    <n v="0"/>
    <n v="0"/>
    <n v="0"/>
    <n v="0"/>
    <n v="0"/>
    <n v="0"/>
    <n v="0"/>
  </r>
  <r>
    <s v="Below the Line"/>
    <x v="2"/>
    <s v="ALL SHOW"/>
    <m/>
    <x v="1981"/>
    <s v="MEX - GDL"/>
    <m/>
    <n v="0"/>
    <n v="0"/>
    <n v="0"/>
    <n v="0"/>
    <n v="0"/>
    <n v="2250"/>
    <n v="2250"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</r>
  <r>
    <s v="Below the Line"/>
    <x v="2"/>
    <s v=""/>
    <m/>
    <x v="1983"/>
    <s v="Coordinadora de producción - Abril Zapata"/>
    <m/>
    <n v="0"/>
    <n v="0"/>
    <n v="0"/>
    <n v="0"/>
    <n v="0"/>
    <n v="0"/>
    <n v="0"/>
  </r>
  <r>
    <s v="Below the Line"/>
    <x v="2"/>
    <s v="ALL SHOW"/>
    <m/>
    <x v="1984"/>
    <s v="MEX - GDL"/>
    <m/>
    <n v="0"/>
    <n v="0"/>
    <n v="0"/>
    <n v="0"/>
    <n v="0"/>
    <n v="2451"/>
    <n v="2451"/>
  </r>
  <r>
    <s v="Below the Line"/>
    <x v="2"/>
    <s v="ALL SHOW"/>
    <m/>
    <x v="1985"/>
    <s v="GDL - MEX"/>
    <m/>
    <n v="4551"/>
    <n v="0"/>
    <n v="4551"/>
    <n v="0"/>
    <n v="4551"/>
    <n v="2250"/>
    <n v="-2301"/>
  </r>
  <r>
    <s v="Below the Line"/>
    <x v="2"/>
    <s v=""/>
    <m/>
    <x v="1986"/>
    <s v="Diseñadora de Producción - Sofia Gallastegui"/>
    <m/>
    <n v="0"/>
    <n v="0"/>
    <n v="0"/>
    <n v="0"/>
    <n v="0"/>
    <n v="0"/>
    <n v="0"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</r>
  <r>
    <s v="Below the Line"/>
    <x v="2"/>
    <s v="ALL SHOW"/>
    <m/>
    <x v="1988"/>
    <s v="GDL - MEX"/>
    <m/>
    <n v="0"/>
    <n v="0"/>
    <n v="0"/>
    <n v="0"/>
    <n v="0"/>
    <n v="2250"/>
    <n v="2250"/>
  </r>
  <r>
    <s v="Below the Line"/>
    <x v="2"/>
    <s v=""/>
    <m/>
    <x v="1989"/>
    <s v="Directora de Vestuario - Mariana Chavira"/>
    <m/>
    <n v="0"/>
    <n v="0"/>
    <n v="0"/>
    <n v="0"/>
    <n v="0"/>
    <n v="0"/>
    <n v="0"/>
  </r>
  <r>
    <s v="Below the Line"/>
    <x v="2"/>
    <s v="ALL SHOW"/>
    <m/>
    <x v="1990"/>
    <s v="MEX - GDL"/>
    <m/>
    <n v="3458.69"/>
    <n v="0"/>
    <n v="3458.69"/>
    <n v="0"/>
    <n v="3458.69"/>
    <n v="2250"/>
    <n v="-1208.69"/>
  </r>
  <r>
    <s v="Below the Line"/>
    <x v="2"/>
    <s v="ALL SHOW"/>
    <m/>
    <x v="1991"/>
    <s v="GDL - MEX"/>
    <m/>
    <n v="3827.73"/>
    <n v="0"/>
    <n v="3827.73"/>
    <n v="0"/>
    <n v="3827.73"/>
    <n v="2250"/>
    <n v="-1577.73"/>
  </r>
  <r>
    <s v="Below the Line"/>
    <x v="2"/>
    <s v=""/>
    <m/>
    <x v="1992"/>
    <s v="Directora de Maquillaje - Rene Chiwo"/>
    <m/>
    <n v="0"/>
    <n v="0"/>
    <n v="0"/>
    <n v="0"/>
    <n v="0"/>
    <n v="0"/>
    <n v="0"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</r>
  <r>
    <s v="Below the Line"/>
    <x v="2"/>
    <s v=""/>
    <m/>
    <x v="1995"/>
    <s v="Coach Actoral Niños - Margarita Mandoki"/>
    <m/>
    <n v="0"/>
    <n v="0"/>
    <n v="0"/>
    <n v="0"/>
    <n v="0"/>
    <n v="0"/>
    <n v="0"/>
  </r>
  <r>
    <s v="Below the Line"/>
    <x v="2"/>
    <s v="ALL SHOW"/>
    <m/>
    <x v="1996"/>
    <s v="MEX - GDL"/>
    <m/>
    <n v="0"/>
    <n v="0"/>
    <n v="0"/>
    <n v="0"/>
    <n v="0"/>
    <n v="2250"/>
    <n v="2250"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</r>
  <r>
    <s v="Below the Line"/>
    <x v="2"/>
    <s v=""/>
    <m/>
    <x v="1998"/>
    <s v="Lentes Óptimo - TBD"/>
    <m/>
    <n v="0"/>
    <n v="0"/>
    <n v="0"/>
    <n v="0"/>
    <n v="0"/>
    <n v="0"/>
    <n v="0"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</r>
  <r>
    <s v="Below the Line"/>
    <x v="2"/>
    <s v="ALL SHOW"/>
    <m/>
    <x v="2000"/>
    <s v="GDL - MEX"/>
    <m/>
    <n v="0"/>
    <n v="0"/>
    <n v="0"/>
    <n v="0"/>
    <n v="0"/>
    <n v="9000"/>
    <n v="9000"/>
  </r>
  <r>
    <s v="Below the Line"/>
    <x v="2"/>
    <s v=""/>
    <m/>
    <x v="2001"/>
    <s v="Stunts - Balo Bucio"/>
    <m/>
    <n v="0"/>
    <n v="0"/>
    <n v="0"/>
    <n v="0"/>
    <n v="0"/>
    <n v="0"/>
    <n v="0"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</r>
  <r>
    <s v="Below the Line"/>
    <x v="2"/>
    <s v=""/>
    <m/>
    <x v="2004"/>
    <s v="Pablo Garcia - Cierre "/>
    <m/>
    <n v="0"/>
    <n v="0"/>
    <n v="0"/>
    <n v="0"/>
    <n v="0"/>
    <n v="0"/>
    <n v="0"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</r>
  <r>
    <s v="Below the Line"/>
    <x v="2"/>
    <s v="ALL SHOW"/>
    <m/>
    <x v="2006"/>
    <s v="GDL - MEX"/>
    <m/>
    <n v="0"/>
    <n v="0"/>
    <n v="0"/>
    <n v="0"/>
    <n v="0"/>
    <n v="2250"/>
    <n v="2250"/>
  </r>
  <r>
    <s v="Below the Line"/>
    <x v="2"/>
    <s v=""/>
    <m/>
    <x v="2007"/>
    <s v="Emergency Flights producción"/>
    <m/>
    <n v="0"/>
    <n v="0"/>
    <n v="0"/>
    <n v="0"/>
    <n v="0"/>
    <n v="0"/>
    <n v="0"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</r>
  <r>
    <s v="Below the Line"/>
    <x v="2"/>
    <s v="ALL SHOW"/>
    <m/>
    <x v="2013"/>
    <s v="Departamento"/>
    <m/>
    <n v="197000"/>
    <n v="0"/>
    <n v="197000"/>
    <n v="0"/>
    <n v="197000"/>
    <n v="201600"/>
    <n v="4600"/>
  </r>
  <r>
    <s v="Below the Line"/>
    <x v="2"/>
    <s v=""/>
    <m/>
    <x v="2014"/>
    <s v="Hotel - Holiday Inn (2469) "/>
    <m/>
    <n v="0"/>
    <n v="0"/>
    <n v="0"/>
    <n v="0"/>
    <n v="0"/>
    <n v="0"/>
    <n v="0"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</r>
  <r>
    <s v="Below the Line"/>
    <x v="2"/>
    <s v="WRAP"/>
    <m/>
    <x v="2017"/>
    <s v="Wrap"/>
    <m/>
    <n v="93687.8"/>
    <n v="0"/>
    <n v="93687.8"/>
    <n v="0"/>
    <n v="93687.8"/>
    <n v="230400"/>
    <n v="136712.20000000001"/>
  </r>
  <r>
    <s v="Below the Line"/>
    <x v="2"/>
    <s v=""/>
    <m/>
    <x v="2018"/>
    <s v="Hotel Segunda Unidad - Holiday Inn (288) "/>
    <m/>
    <n v="0"/>
    <n v="0"/>
    <n v="0"/>
    <n v="0"/>
    <n v="0"/>
    <n v="0"/>
    <n v="0"/>
  </r>
  <r>
    <s v="Below the Line"/>
    <x v="2"/>
    <s v="2nd Unit"/>
    <m/>
    <x v="2019"/>
    <s v="Prep"/>
    <m/>
    <n v="0"/>
    <n v="0"/>
    <n v="0"/>
    <n v="0"/>
    <n v="0"/>
    <n v="31500"/>
    <n v="31500"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</r>
  <r>
    <s v="Below the Line"/>
    <x v="2"/>
    <s v="2nd Unit"/>
    <m/>
    <x v="2021"/>
    <s v="Wrap"/>
    <m/>
    <n v="0"/>
    <n v="0"/>
    <n v="0"/>
    <m/>
    <n v="0"/>
    <n v="13500"/>
    <n v="13500"/>
  </r>
  <r>
    <s v="Below the Line"/>
    <x v="2"/>
    <s v=""/>
    <m/>
    <x v="2022"/>
    <s v="Propinas Hotel - Holiday Inn"/>
    <m/>
    <n v="0"/>
    <n v="0"/>
    <n v="0"/>
    <n v="0"/>
    <n v="0"/>
    <n v="0"/>
    <n v="0"/>
  </r>
  <r>
    <s v="Below the Line"/>
    <x v="2"/>
    <s v="SHOOT"/>
    <m/>
    <x v="2023"/>
    <s v="Propinas Camaristas"/>
    <m/>
    <n v="0"/>
    <n v="0"/>
    <n v="0"/>
    <n v="0"/>
    <n v="0"/>
    <n v="37035"/>
    <n v="37035"/>
  </r>
  <r>
    <s v="Below the Line"/>
    <x v="2"/>
    <s v="2nd Unit"/>
    <m/>
    <x v="2024"/>
    <s v="Propinas Camaristas segunda unidad"/>
    <m/>
    <n v="0"/>
    <n v="0"/>
    <n v="0"/>
    <n v="0"/>
    <n v="0"/>
    <n v="4320"/>
    <n v="4320"/>
  </r>
  <r>
    <s v="Below the Line"/>
    <x v="2"/>
    <s v="ALL SHOW"/>
    <m/>
    <x v="2025"/>
    <s v="Propinas botones"/>
    <m/>
    <n v="0"/>
    <n v="0"/>
    <n v="0"/>
    <n v="0"/>
    <n v="0"/>
    <n v="2200"/>
    <n v="2200"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</r>
  <r>
    <s v="Below the Line"/>
    <x v="2"/>
    <s v="PREP"/>
    <m/>
    <x v="2031"/>
    <s v="Prep"/>
    <m/>
    <n v="0"/>
    <n v="0"/>
    <n v="0"/>
    <n v="0"/>
    <n v="0"/>
    <n v="74117.399999999994"/>
    <n v="74117.399999999994"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</r>
  <r>
    <s v="Below the Line"/>
    <x v="2"/>
    <s v="WRAP"/>
    <m/>
    <x v="2033"/>
    <s v="Wrap"/>
    <m/>
    <n v="15882.3"/>
    <n v="0"/>
    <n v="15882.3"/>
    <n v="0"/>
    <n v="15882.3"/>
    <n v="15882.3"/>
    <n v="0"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</r>
  <r>
    <s v="Below the Line"/>
    <x v="2"/>
    <s v="2nd Unit"/>
    <m/>
    <x v="2035"/>
    <s v="Prep"/>
    <m/>
    <n v="0"/>
    <n v="0"/>
    <n v="0"/>
    <n v="0"/>
    <n v="0"/>
    <n v="22689"/>
    <n v="22689"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</r>
  <r>
    <s v="Below the Line"/>
    <x v="2"/>
    <s v=""/>
    <m/>
    <x v="2038"/>
    <s v="Propinas Hotel - Tranporte y Alimentación"/>
    <m/>
    <n v="0"/>
    <n v="0"/>
    <n v="0"/>
    <n v="0"/>
    <n v="0"/>
    <n v="0"/>
    <n v="0"/>
  </r>
  <r>
    <s v="Below the Line"/>
    <x v="2"/>
    <s v="SHOOT"/>
    <m/>
    <x v="2039"/>
    <s v="Botones Tips"/>
    <m/>
    <n v="0"/>
    <n v="0"/>
    <n v="0"/>
    <n v="0"/>
    <n v="0"/>
    <n v="28800"/>
    <n v="28800"/>
  </r>
  <r>
    <s v="Below the Line"/>
    <x v="2"/>
    <s v="2nd Unit"/>
    <m/>
    <x v="2040"/>
    <s v="Botones Tips segunda unidad"/>
    <m/>
    <n v="0"/>
    <n v="0"/>
    <n v="0"/>
    <n v="0"/>
    <n v="0"/>
    <n v="4880"/>
    <n v="4880"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</r>
  <r>
    <s v="Below the Line"/>
    <x v="2"/>
    <s v=""/>
    <m/>
    <x v="2043"/>
    <s v="Lavanderia - Lavado por encargo Segunda Unidad"/>
    <m/>
    <n v="0"/>
    <n v="0"/>
    <n v="0"/>
    <n v="0"/>
    <n v="0"/>
    <n v="0"/>
    <n v="0"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</r>
  <r>
    <s v="Below the Line"/>
    <x v="2"/>
    <s v=""/>
    <m/>
    <x v="2045"/>
    <s v="Hotel Chapala - 1927"/>
    <m/>
    <n v="0"/>
    <n v="0"/>
    <n v="0"/>
    <n v="0"/>
    <n v="0"/>
    <n v="0"/>
    <n v="0"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</r>
  <r>
    <s v="Below the Line"/>
    <x v="2"/>
    <s v=""/>
    <m/>
    <x v="2048"/>
    <s v="Hotel Chapala Drivers - SF"/>
    <m/>
    <n v="0"/>
    <n v="0"/>
    <n v="0"/>
    <n v="0"/>
    <n v="0"/>
    <n v="0"/>
    <n v="0"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</r>
  <r>
    <s v="Below the Line"/>
    <x v="2"/>
    <s v=""/>
    <m/>
    <x v="2050"/>
    <s v="Habitaciones La Cañada"/>
    <m/>
    <n v="0"/>
    <n v="0"/>
    <n v="0"/>
    <n v="0"/>
    <n v="0"/>
    <n v="0"/>
    <n v="0"/>
  </r>
  <r>
    <s v="Below the Line"/>
    <x v="2"/>
    <s v="ALL SHOW"/>
    <m/>
    <x v="2051"/>
    <s v="Habitación Sencilla"/>
    <m/>
    <n v="9600"/>
    <n v="0"/>
    <n v="9600"/>
    <n v="0"/>
    <n v="9600"/>
    <n v="12000"/>
    <n v="2400"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</r>
  <r>
    <s v="Below the Line"/>
    <x v="2"/>
    <s v=""/>
    <m/>
    <x v="2053"/>
    <s v="Desayuno Hotel - Holiday Inn"/>
    <m/>
    <n v="0"/>
    <n v="0"/>
    <n v="0"/>
    <n v="0"/>
    <n v="0"/>
    <n v="0"/>
    <n v="0"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</r>
  <r>
    <s v="Below the Line"/>
    <x v="2"/>
    <s v="SHOOT"/>
    <m/>
    <x v="2055"/>
    <s v="Shoot"/>
    <m/>
    <n v="0"/>
    <n v="0"/>
    <n v="0"/>
    <n v="0"/>
    <n v="0"/>
    <n v="104504.4"/>
    <n v="104504.4"/>
  </r>
  <r>
    <s v="Below the Line"/>
    <x v="2"/>
    <s v="SHOOT"/>
    <m/>
    <x v="2056"/>
    <s v="Shoot (Llamados nocturnos)"/>
    <m/>
    <n v="0"/>
    <n v="0"/>
    <n v="0"/>
    <m/>
    <n v="0"/>
    <n v="165880"/>
    <n v="165880"/>
  </r>
  <r>
    <s v="Below the Line"/>
    <x v="2"/>
    <s v="WRAP"/>
    <m/>
    <x v="2057"/>
    <s v="Wrap"/>
    <m/>
    <n v="0"/>
    <n v="0"/>
    <n v="0"/>
    <m/>
    <n v="0"/>
    <n v="29029"/>
    <n v="29029"/>
  </r>
  <r>
    <s v="Below the Line"/>
    <x v="2"/>
    <s v=""/>
    <m/>
    <x v="2058"/>
    <s v="Desayuno Hotel Segunda Unidad - Holiday Inn"/>
    <m/>
    <n v="0"/>
    <n v="0"/>
    <n v="0"/>
    <n v="0"/>
    <n v="0"/>
    <n v="0"/>
    <n v="0"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</r>
  <r>
    <s v="Below the Line"/>
    <x v="2"/>
    <s v="2nd Unit"/>
    <m/>
    <x v="2061"/>
    <s v="Shoot (Llamados nocturnos)"/>
    <m/>
    <n v="0"/>
    <n v="0"/>
    <n v="0"/>
    <n v="0"/>
    <n v="0"/>
    <n v="0"/>
    <n v="0"/>
  </r>
  <r>
    <s v="Below the Line"/>
    <x v="2"/>
    <s v=""/>
    <m/>
    <x v="2062"/>
    <s v="Comidas Hotel - Holiday Inn"/>
    <m/>
    <n v="0"/>
    <n v="0"/>
    <n v="0"/>
    <n v="0"/>
    <n v="0"/>
    <n v="0"/>
    <n v="0"/>
  </r>
  <r>
    <s v="Below the Line"/>
    <x v="2"/>
    <s v="PREP"/>
    <m/>
    <x v="2063"/>
    <s v="Prep"/>
    <m/>
    <n v="13933.92"/>
    <n v="0"/>
    <n v="13933.92"/>
    <n v="0"/>
    <n v="13933.92"/>
    <n v="13933.92"/>
    <n v="0"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</r>
  <r>
    <s v="Below the Line"/>
    <x v="2"/>
    <s v="WRAP"/>
    <m/>
    <x v="2065"/>
    <s v="Wrap"/>
    <m/>
    <n v="0"/>
    <n v="0"/>
    <n v="0"/>
    <m/>
    <n v="0"/>
    <n v="6966.96"/>
    <n v="6966.96"/>
  </r>
  <r>
    <s v="Below the Line"/>
    <x v="2"/>
    <s v=""/>
    <m/>
    <x v="2066"/>
    <s v="Comidas Hotel Segunda Unidad - Holiday Inn"/>
    <m/>
    <n v="0"/>
    <n v="0"/>
    <n v="0"/>
    <n v="0"/>
    <n v="0"/>
    <n v="0"/>
    <n v="0"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</r>
  <r>
    <s v="Below the Line"/>
    <x v="2"/>
    <s v="2nd Unit"/>
    <m/>
    <x v="2069"/>
    <s v="Wrap"/>
    <m/>
    <n v="0"/>
    <n v="0"/>
    <n v="0"/>
    <n v="0"/>
    <n v="0"/>
    <n v="0"/>
    <n v="0"/>
  </r>
  <r>
    <s v="Below the Line"/>
    <x v="2"/>
    <s v=""/>
    <m/>
    <x v="2070"/>
    <s v="Cenas Hotel - Holiday Inn"/>
    <m/>
    <n v="0"/>
    <n v="0"/>
    <n v="0"/>
    <n v="0"/>
    <n v="0"/>
    <n v="0"/>
    <n v="0"/>
  </r>
  <r>
    <s v="Below the Line"/>
    <x v="2"/>
    <s v="PREP"/>
    <m/>
    <x v="2071"/>
    <s v="Prep"/>
    <m/>
    <n v="0"/>
    <n v="0"/>
    <n v="0"/>
    <m/>
    <n v="0"/>
    <n v="34834.800000000003"/>
    <n v="34834.800000000003"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</r>
  <r>
    <s v="Below the Line"/>
    <x v="2"/>
    <s v="WRAP"/>
    <m/>
    <x v="2073"/>
    <s v="Wrap"/>
    <m/>
    <n v="0"/>
    <n v="0"/>
    <n v="0"/>
    <n v="0"/>
    <n v="0"/>
    <n v="17417.400000000001"/>
    <n v="17417.400000000001"/>
  </r>
  <r>
    <s v="Below the Line"/>
    <x v="2"/>
    <s v=""/>
    <m/>
    <x v="2074"/>
    <s v="Cenas Hotel Segunda Unidad - Holiday Inn"/>
    <m/>
    <n v="0"/>
    <n v="0"/>
    <n v="0"/>
    <n v="0"/>
    <n v="0"/>
    <n v="0"/>
    <n v="0"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76"/>
    <s v="Shoot"/>
    <m/>
    <n v="15924.48"/>
    <n v="0"/>
    <n v="15924.48"/>
    <n v="0"/>
    <n v="15924.48"/>
    <n v="15924.48"/>
    <n v="0"/>
  </r>
  <r>
    <s v="Below the Line"/>
    <x v="2"/>
    <s v="2nd Unit"/>
    <m/>
    <x v="2077"/>
    <s v="Wrap"/>
    <m/>
    <n v="0"/>
    <n v="0"/>
    <n v="0"/>
    <n v="0"/>
    <n v="0"/>
    <n v="0"/>
    <n v="0"/>
  </r>
  <r>
    <s v="Below the Line"/>
    <x v="2"/>
    <s v=""/>
    <m/>
    <x v="2078"/>
    <s v="Comidas Domingo Hotel"/>
    <m/>
    <n v="0"/>
    <n v="0"/>
    <n v="0"/>
    <n v="0"/>
    <n v="0"/>
    <n v="0"/>
    <n v="0"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</r>
  <r>
    <s v="Below the Line"/>
    <x v="2"/>
    <s v=""/>
    <m/>
    <x v="2082"/>
    <s v="Comidas Domingo Hotel Segunda Unidad"/>
    <m/>
    <n v="0"/>
    <n v="0"/>
    <n v="0"/>
    <n v="0"/>
    <n v="0"/>
    <n v="0"/>
    <n v="0"/>
  </r>
  <r>
    <s v="Below the Line"/>
    <x v="2"/>
    <s v="2nd Unit"/>
    <m/>
    <x v="2083"/>
    <s v="Desayuno"/>
    <m/>
    <n v="8294"/>
    <n v="0"/>
    <n v="8294"/>
    <n v="0"/>
    <n v="8294"/>
    <n v="8294"/>
    <n v="0"/>
  </r>
  <r>
    <s v="Below the Line"/>
    <x v="2"/>
    <s v="2nd Unit"/>
    <m/>
    <x v="2084"/>
    <s v="Comida"/>
    <m/>
    <n v="8294"/>
    <n v="0"/>
    <n v="8294"/>
    <n v="0"/>
    <n v="8294"/>
    <n v="8294"/>
    <n v="0"/>
  </r>
  <r>
    <s v="Below the Line"/>
    <x v="2"/>
    <s v="2nd Unit"/>
    <m/>
    <x v="2085"/>
    <s v="Cena"/>
    <m/>
    <n v="32024.98"/>
    <n v="0"/>
    <n v="32024.98"/>
    <n v="0"/>
    <n v="32024.98"/>
    <n v="8294"/>
    <n v="-23730.98"/>
  </r>
  <r>
    <s v="Below the Line"/>
    <x v="2"/>
    <s v=""/>
    <m/>
    <x v="2086"/>
    <s v="Desayunos/Comidas/Cenas Hotel Chapala - 1927"/>
    <m/>
    <n v="0"/>
    <n v="0"/>
    <n v="0"/>
    <n v="0"/>
    <n v="0"/>
    <n v="0"/>
    <n v="0"/>
  </r>
  <r>
    <s v="Below the Line"/>
    <x v="2"/>
    <s v="SHOOT"/>
    <m/>
    <x v="2087"/>
    <s v="Shoot"/>
    <m/>
    <n v="16659.03"/>
    <n v="0"/>
    <n v="16659.03"/>
    <n v="0"/>
    <n v="16659.03"/>
    <n v="42000"/>
    <n v="25340.97"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</r>
  <r>
    <s v="Below the Line"/>
    <x v="2"/>
    <s v=""/>
    <m/>
    <x v="2089"/>
    <s v="Emergency Uber"/>
    <m/>
    <n v="0"/>
    <n v="0"/>
    <n v="0"/>
    <n v="0"/>
    <n v="0"/>
    <n v="0"/>
    <n v="0"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</r>
  <r>
    <s v="Below the Line"/>
    <x v="1"/>
    <m/>
    <m/>
    <x v="2091"/>
    <s v="TRANSPORTE"/>
    <m/>
    <n v="127306.12"/>
    <n v="0"/>
    <n v="127306.12"/>
    <n v="0"/>
    <n v="127306.12"/>
    <n v="225160"/>
    <n v="97853.88"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</r>
  <r>
    <s v="Below the Line"/>
    <x v="2"/>
    <s v="ALL SHOW"/>
    <m/>
    <x v="2099"/>
    <s v="MEX - GDL"/>
    <m/>
    <n v="0"/>
    <n v="0"/>
    <n v="0"/>
    <n v="0"/>
    <n v="0"/>
    <n v="9468"/>
    <n v="9468"/>
  </r>
  <r>
    <s v="Below the Line"/>
    <x v="2"/>
    <s v="ALL SHOW"/>
    <m/>
    <x v="2100"/>
    <s v="GDL - MEX"/>
    <m/>
    <n v="0"/>
    <n v="0"/>
    <n v="0"/>
    <n v="0"/>
    <n v="0"/>
    <n v="9468"/>
    <n v="9468"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</r>
  <r>
    <s v="Below the Line"/>
    <x v="2"/>
    <s v="2nd Unit"/>
    <m/>
    <x v="2102"/>
    <s v="MEX - GDL"/>
    <m/>
    <n v="0"/>
    <n v="0"/>
    <n v="0"/>
    <n v="0"/>
    <n v="0"/>
    <n v="6312"/>
    <n v="6312"/>
  </r>
  <r>
    <s v="Below the Line"/>
    <x v="2"/>
    <s v="2nd Unit"/>
    <m/>
    <x v="2103"/>
    <s v="GDL - MEX"/>
    <m/>
    <n v="0"/>
    <n v="0"/>
    <n v="0"/>
    <n v="0"/>
    <n v="0"/>
    <n v="6312"/>
    <n v="6312"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</r>
  <r>
    <s v="Below the Line"/>
    <x v="2"/>
    <s v=""/>
    <m/>
    <x v="2108"/>
    <s v="Pruebas de cámara"/>
    <m/>
    <n v="0"/>
    <n v="0"/>
    <n v="0"/>
    <n v="0"/>
    <n v="0"/>
    <n v="0"/>
    <n v="0"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</r>
  <r>
    <s v="Post"/>
    <x v="0"/>
    <m/>
    <m/>
    <x v="2110"/>
    <s v="EDICION"/>
    <m/>
    <n v="4889054.93"/>
    <n v="0"/>
    <n v="4889054.93"/>
    <n v="0"/>
    <n v="4889054.93"/>
    <n v="4891351.46"/>
    <n v="2296.5300000000061"/>
  </r>
  <r>
    <s v="Post"/>
    <x v="1"/>
    <m/>
    <m/>
    <x v="2111"/>
    <s v="EDITOR(A)"/>
    <m/>
    <n v="1359250"/>
    <n v="0"/>
    <n v="1359250"/>
    <n v="0"/>
    <n v="1359250"/>
    <n v="1355250"/>
    <n v="-4000"/>
  </r>
  <r>
    <s v="Post"/>
    <x v="2"/>
    <s v=""/>
    <m/>
    <x v="2112"/>
    <s v="Head Editor - Verónica López"/>
    <m/>
    <n v="0"/>
    <n v="0"/>
    <n v="0"/>
    <n v="0"/>
    <n v="0"/>
    <n v="0"/>
    <n v="0"/>
  </r>
  <r>
    <s v="Post"/>
    <x v="2"/>
    <s v="PREP"/>
    <s v="DINAMITA"/>
    <x v="2113"/>
    <s v="Prep"/>
    <m/>
    <n v="10000"/>
    <n v="0"/>
    <n v="10000"/>
    <n v="0"/>
    <n v="10000"/>
    <n v="10000"/>
    <n v="0"/>
  </r>
  <r>
    <s v="Post"/>
    <x v="2"/>
    <s v="POST"/>
    <s v="DINAMITA"/>
    <x v="2114"/>
    <s v="Post"/>
    <m/>
    <n v="475000"/>
    <n v="0"/>
    <n v="475000"/>
    <n v="0"/>
    <n v="475000"/>
    <n v="475000"/>
    <n v="0"/>
  </r>
  <r>
    <s v="Post"/>
    <x v="2"/>
    <s v=""/>
    <m/>
    <x v="2115"/>
    <s v="Editor Sr 2 - TBD"/>
    <m/>
    <n v="0"/>
    <n v="0"/>
    <n v="0"/>
    <n v="0"/>
    <n v="0"/>
    <n v="0"/>
    <n v="0"/>
  </r>
  <r>
    <s v="Post"/>
    <x v="2"/>
    <s v="POST"/>
    <s v="DINAMITA"/>
    <x v="2116"/>
    <s v="Post"/>
    <m/>
    <n v="288000"/>
    <n v="0"/>
    <n v="288000"/>
    <n v="0"/>
    <n v="288000"/>
    <n v="288000"/>
    <n v="0"/>
  </r>
  <r>
    <s v="Post"/>
    <x v="2"/>
    <s v=""/>
    <m/>
    <x v="2117"/>
    <s v="Editor Sr 3 - TBD"/>
    <m/>
    <n v="0"/>
    <n v="0"/>
    <n v="0"/>
    <n v="0"/>
    <n v="0"/>
    <n v="0"/>
    <n v="0"/>
  </r>
  <r>
    <s v="Post"/>
    <x v="2"/>
    <s v="POST"/>
    <s v="DINAMITA"/>
    <x v="2118"/>
    <s v="Post"/>
    <m/>
    <n v="288000"/>
    <n v="0"/>
    <n v="288000"/>
    <n v="0"/>
    <n v="288000"/>
    <n v="288000"/>
    <n v="0"/>
  </r>
  <r>
    <s v="Post"/>
    <x v="2"/>
    <s v=""/>
    <m/>
    <x v="2119"/>
    <s v="Editor Sr 4 - TBD"/>
    <m/>
    <n v="0"/>
    <n v="0"/>
    <n v="0"/>
    <n v="0"/>
    <n v="0"/>
    <n v="0"/>
    <n v="0"/>
  </r>
  <r>
    <s v="Post"/>
    <x v="2"/>
    <s v="POST"/>
    <s v="DINAMITA"/>
    <x v="2120"/>
    <s v="Post"/>
    <m/>
    <n v="288000"/>
    <n v="0"/>
    <n v="288000"/>
    <n v="0"/>
    <n v="288000"/>
    <n v="288000"/>
    <n v="0"/>
  </r>
  <r>
    <s v="Post"/>
    <x v="2"/>
    <s v=""/>
    <m/>
    <x v="2121"/>
    <s v="Teaser"/>
    <m/>
    <n v="0"/>
    <n v="0"/>
    <n v="0"/>
    <n v="0"/>
    <n v="0"/>
    <n v="0"/>
    <n v="0"/>
  </r>
  <r>
    <s v="Post"/>
    <x v="2"/>
    <s v=""/>
    <m/>
    <x v="2122"/>
    <s v="Editor "/>
    <m/>
    <n v="0"/>
    <n v="0"/>
    <n v="0"/>
    <n v="0"/>
    <n v="0"/>
    <n v="0"/>
    <n v="0"/>
  </r>
  <r>
    <s v="Post"/>
    <x v="2"/>
    <s v="ALL SHOW"/>
    <s v="DINAMITA"/>
    <x v="2123"/>
    <s v="Teaser"/>
    <m/>
    <n v="6250"/>
    <n v="0"/>
    <n v="6250"/>
    <n v="0"/>
    <n v="6250"/>
    <n v="6250"/>
    <n v="0"/>
  </r>
  <r>
    <s v="Post"/>
    <x v="2"/>
    <s v="ALL SHOW"/>
    <m/>
    <x v="2124"/>
    <s v="Editor en Set"/>
    <m/>
    <n v="4000"/>
    <n v="0"/>
    <n v="4000"/>
    <n v="0"/>
    <n v="4000"/>
    <n v="0"/>
    <n v="-4000"/>
  </r>
  <r>
    <s v="Post"/>
    <x v="1"/>
    <m/>
    <m/>
    <x v="2125"/>
    <s v="ASISTENTE EDICION"/>
    <m/>
    <n v="435500"/>
    <n v="0"/>
    <n v="435500"/>
    <n v="0"/>
    <n v="435500"/>
    <n v="435500"/>
    <n v="0"/>
  </r>
  <r>
    <s v="Post"/>
    <x v="2"/>
    <s v=""/>
    <m/>
    <x v="2126"/>
    <s v="Coordinador de edición - TBD"/>
    <m/>
    <n v="0"/>
    <n v="0"/>
    <n v="0"/>
    <n v="0"/>
    <n v="0"/>
    <n v="0"/>
    <n v="0"/>
  </r>
  <r>
    <s v="Post"/>
    <x v="2"/>
    <s v="POST"/>
    <s v="DINAMITA"/>
    <x v="2127"/>
    <s v="Post"/>
    <m/>
    <n v="180500"/>
    <n v="0"/>
    <n v="180500"/>
    <n v="0"/>
    <n v="180500"/>
    <n v="180500"/>
    <n v="0"/>
  </r>
  <r>
    <s v="Post"/>
    <x v="2"/>
    <s v=""/>
    <m/>
    <x v="2128"/>
    <s v="Asistente de Edición Sr #1 - TBD"/>
    <m/>
    <n v="0"/>
    <n v="0"/>
    <n v="0"/>
    <n v="0"/>
    <n v="0"/>
    <n v="0"/>
    <n v="0"/>
  </r>
  <r>
    <s v="Post"/>
    <x v="2"/>
    <s v="POST"/>
    <s v="DINAMITA"/>
    <x v="2129"/>
    <s v="Post Weeks"/>
    <m/>
    <n v="150000"/>
    <n v="0"/>
    <n v="150000"/>
    <n v="0"/>
    <n v="150000"/>
    <n v="150000"/>
    <n v="0"/>
  </r>
  <r>
    <s v="Post"/>
    <x v="2"/>
    <s v=""/>
    <m/>
    <x v="2130"/>
    <s v="Asistente de Edición Sr #2 - TBD"/>
    <m/>
    <n v="0"/>
    <n v="0"/>
    <n v="0"/>
    <n v="0"/>
    <n v="0"/>
    <n v="0"/>
    <n v="0"/>
  </r>
  <r>
    <s v="Post"/>
    <x v="2"/>
    <s v="POST"/>
    <s v="DINAMITA"/>
    <x v="2131"/>
    <s v="Post Weeks"/>
    <m/>
    <n v="105000"/>
    <n v="0"/>
    <n v="105000"/>
    <n v="0"/>
    <n v="105000"/>
    <n v="105000"/>
    <n v="0"/>
  </r>
  <r>
    <s v="Post"/>
    <x v="1"/>
    <m/>
    <m/>
    <x v="2132"/>
    <s v="SUPERVISION POST"/>
    <m/>
    <n v="671000"/>
    <n v="0"/>
    <n v="671000"/>
    <n v="0"/>
    <n v="671000"/>
    <n v="638000"/>
    <n v="-33000"/>
  </r>
  <r>
    <s v="Post"/>
    <x v="2"/>
    <s v=""/>
    <m/>
    <x v="2133"/>
    <s v="Post production Supervisor - David Aragón"/>
    <m/>
    <n v="0"/>
    <n v="0"/>
    <n v="0"/>
    <n v="0"/>
    <n v="0"/>
    <n v="0"/>
    <n v="0"/>
  </r>
  <r>
    <s v="Post"/>
    <x v="2"/>
    <s v=""/>
    <m/>
    <x v="2134"/>
    <s v="Start Date"/>
    <m/>
    <n v="0"/>
    <n v="0"/>
    <n v="0"/>
    <n v="0"/>
    <n v="0"/>
    <n v="0"/>
    <n v="0"/>
  </r>
  <r>
    <s v="Post"/>
    <x v="2"/>
    <s v="PREP"/>
    <m/>
    <x v="2135"/>
    <s v="Pre"/>
    <m/>
    <n v="66000"/>
    <n v="0"/>
    <n v="66000"/>
    <n v="0"/>
    <n v="66000"/>
    <n v="66000"/>
    <n v="0"/>
  </r>
  <r>
    <s v="Post"/>
    <x v="2"/>
    <s v="POST"/>
    <m/>
    <x v="2136"/>
    <s v="Post"/>
    <m/>
    <n v="605000"/>
    <n v="0"/>
    <n v="605000"/>
    <n v="0"/>
    <n v="605000"/>
    <n v="572000"/>
    <n v="-33000"/>
  </r>
  <r>
    <s v="Post"/>
    <x v="1"/>
    <m/>
    <m/>
    <x v="2137"/>
    <s v="COORDINACION POST"/>
    <m/>
    <n v="335500"/>
    <n v="0"/>
    <n v="335500"/>
    <n v="0"/>
    <n v="335500"/>
    <n v="319000"/>
    <n v="-16500"/>
  </r>
  <r>
    <s v="Post"/>
    <x v="2"/>
    <s v=""/>
    <m/>
    <x v="2138"/>
    <s v="Coordinador de Post - Pamela Dominguez"/>
    <m/>
    <n v="0"/>
    <n v="0"/>
    <n v="0"/>
    <n v="0"/>
    <n v="0"/>
    <n v="0"/>
    <n v="0"/>
  </r>
  <r>
    <s v="Post"/>
    <x v="2"/>
    <s v=""/>
    <m/>
    <x v="2139"/>
    <s v="Start Date"/>
    <m/>
    <n v="0"/>
    <n v="0"/>
    <n v="0"/>
    <n v="0"/>
    <n v="0"/>
    <n v="0"/>
    <n v="0"/>
  </r>
  <r>
    <s v="Post"/>
    <x v="2"/>
    <s v="PREP"/>
    <m/>
    <x v="2140"/>
    <s v="Prep"/>
    <m/>
    <n v="33000"/>
    <n v="0"/>
    <n v="33000"/>
    <n v="0"/>
    <n v="33000"/>
    <n v="33000"/>
    <n v="0"/>
  </r>
  <r>
    <s v="Post"/>
    <x v="2"/>
    <s v="POST"/>
    <m/>
    <x v="2141"/>
    <s v="Post"/>
    <m/>
    <n v="302500"/>
    <n v="0"/>
    <n v="302500"/>
    <n v="0"/>
    <n v="302500"/>
    <n v="286000"/>
    <n v="-16500"/>
  </r>
  <r>
    <s v="Post"/>
    <x v="1"/>
    <m/>
    <m/>
    <x v="2142"/>
    <s v="ASISTENTE POST"/>
    <m/>
    <n v="194200"/>
    <n v="0"/>
    <n v="194200"/>
    <n v="0"/>
    <n v="194200"/>
    <n v="194200"/>
    <n v="0"/>
  </r>
  <r>
    <s v="Post"/>
    <x v="2"/>
    <s v=""/>
    <m/>
    <x v="2143"/>
    <s v="Asistente de Post - Edmundo Reyes"/>
    <m/>
    <n v="0"/>
    <n v="0"/>
    <n v="0"/>
    <n v="0"/>
    <n v="0"/>
    <n v="0"/>
    <n v="0"/>
  </r>
  <r>
    <s v="Post"/>
    <x v="2"/>
    <s v="PREP"/>
    <s v="DINAMITA"/>
    <x v="2144"/>
    <s v="Pre"/>
    <m/>
    <n v="3000"/>
    <n v="0"/>
    <n v="3000"/>
    <n v="0"/>
    <n v="3000"/>
    <n v="3000"/>
    <n v="0"/>
  </r>
  <r>
    <s v="Post"/>
    <x v="2"/>
    <s v="POST"/>
    <s v="DINAMITA"/>
    <x v="2145"/>
    <s v="Post"/>
    <m/>
    <n v="187200"/>
    <n v="0"/>
    <n v="187200"/>
    <n v="0"/>
    <n v="187200"/>
    <n v="187200"/>
    <n v="0"/>
  </r>
  <r>
    <s v="Post"/>
    <x v="2"/>
    <s v=""/>
    <m/>
    <x v="2146"/>
    <s v="Teaser"/>
    <m/>
    <n v="0"/>
    <n v="0"/>
    <n v="0"/>
    <n v="0"/>
    <n v="0"/>
    <n v="0"/>
    <n v="0"/>
  </r>
  <r>
    <s v="Post"/>
    <x v="2"/>
    <s v=""/>
    <m/>
    <x v="2147"/>
    <s v="Asistente de Post"/>
    <m/>
    <n v="0"/>
    <n v="0"/>
    <n v="0"/>
    <n v="0"/>
    <n v="0"/>
    <n v="0"/>
    <n v="0"/>
  </r>
  <r>
    <s v="Post"/>
    <x v="2"/>
    <s v="ALL SHOW"/>
    <s v="DINAMITA"/>
    <x v="2148"/>
    <s v="Teaser"/>
    <m/>
    <n v="4000"/>
    <n v="0"/>
    <n v="4000"/>
    <n v="0"/>
    <n v="4000"/>
    <n v="4000"/>
    <n v="0"/>
  </r>
  <r>
    <s v="Post"/>
    <x v="1"/>
    <m/>
    <m/>
    <x v="2149"/>
    <s v="TRANSCRIPCION/TRADUCCION/SUBTITULO TEMPORAL"/>
    <m/>
    <n v="96400"/>
    <n v="0"/>
    <n v="96400"/>
    <n v="0"/>
    <n v="96400"/>
    <n v="96400"/>
    <n v="0"/>
  </r>
  <r>
    <s v="Post"/>
    <x v="2"/>
    <s v=""/>
    <m/>
    <x v="2150"/>
    <s v="Transcription, Translation, Temp Subtitles PA..."/>
    <m/>
    <n v="0"/>
    <n v="0"/>
    <n v="0"/>
    <n v="0"/>
    <n v="0"/>
    <n v="0"/>
    <n v="0"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</r>
  <r>
    <s v="Post"/>
    <x v="2"/>
    <s v=""/>
    <m/>
    <x v="2152"/>
    <s v="Teaser"/>
    <m/>
    <n v="0"/>
    <n v="0"/>
    <n v="0"/>
    <n v="0"/>
    <n v="0"/>
    <n v="0"/>
    <n v="0"/>
  </r>
  <r>
    <s v="Post"/>
    <x v="2"/>
    <s v=""/>
    <m/>
    <x v="2153"/>
    <s v="Transcription, Translation, Temp Subtitles PA..."/>
    <m/>
    <n v="0"/>
    <n v="0"/>
    <n v="0"/>
    <n v="0"/>
    <n v="0"/>
    <n v="0"/>
    <n v="0"/>
  </r>
  <r>
    <s v="Post"/>
    <x v="2"/>
    <s v="ALL SHOW"/>
    <s v="DINAMITA"/>
    <x v="2154"/>
    <s v="Subtítulos (TTML1, EBU STL)"/>
    <m/>
    <n v="400"/>
    <n v="0"/>
    <n v="400"/>
    <n v="0"/>
    <n v="400"/>
    <n v="400"/>
    <n v="0"/>
  </r>
  <r>
    <s v="Post"/>
    <x v="1"/>
    <m/>
    <m/>
    <x v="2155"/>
    <s v="RENTAS EQUIPO EDICION"/>
    <m/>
    <n v="1738000"/>
    <n v="0"/>
    <n v="1738000"/>
    <n v="0"/>
    <n v="1738000"/>
    <n v="1738000"/>
    <n v="0"/>
  </r>
  <r>
    <s v="Post"/>
    <x v="2"/>
    <s v=""/>
    <m/>
    <x v="2156"/>
    <s v="AVIDS, Storage, Cutting Rooms - Dinamita"/>
    <m/>
    <n v="0"/>
    <n v="0"/>
    <n v="0"/>
    <n v="0"/>
    <n v="0"/>
    <n v="0"/>
    <n v="0"/>
  </r>
  <r>
    <s v="Post"/>
    <x v="2"/>
    <s v=""/>
    <m/>
    <x v="2157"/>
    <s v="Estación de trabajo Coordinador de Post"/>
    <m/>
    <n v="0"/>
    <n v="0"/>
    <n v="0"/>
    <n v="0"/>
    <n v="0"/>
    <n v="0"/>
    <n v="0"/>
  </r>
  <r>
    <s v="Post"/>
    <x v="2"/>
    <s v="POST"/>
    <s v="DINAMITA"/>
    <x v="2158"/>
    <s v="Post"/>
    <m/>
    <n v="52000"/>
    <n v="0"/>
    <n v="52000"/>
    <n v="0"/>
    <n v="52000"/>
    <n v="52000"/>
    <n v="0"/>
  </r>
  <r>
    <s v="Post"/>
    <x v="2"/>
    <s v=""/>
    <m/>
    <x v="2159"/>
    <s v="Estación de trabajo Asistente de Post"/>
    <m/>
    <n v="0"/>
    <n v="0"/>
    <n v="0"/>
    <n v="0"/>
    <n v="0"/>
    <n v="0"/>
    <n v="0"/>
  </r>
  <r>
    <s v="Post"/>
    <x v="2"/>
    <s v="PREP"/>
    <s v="DINAMITA"/>
    <x v="2160"/>
    <s v="Pre"/>
    <m/>
    <n v="3000"/>
    <n v="0"/>
    <n v="3000"/>
    <n v="0"/>
    <n v="3000"/>
    <n v="3000"/>
    <n v="0"/>
  </r>
  <r>
    <s v="Post"/>
    <x v="2"/>
    <s v="POST"/>
    <s v="DINAMITA"/>
    <x v="2161"/>
    <s v="Post"/>
    <m/>
    <n v="312000"/>
    <n v="0"/>
    <n v="312000"/>
    <n v="0"/>
    <n v="312000"/>
    <n v="312000"/>
    <n v="0"/>
  </r>
  <r>
    <s v="Post"/>
    <x v="2"/>
    <s v=""/>
    <m/>
    <x v="2162"/>
    <s v="Sala Presentación"/>
    <m/>
    <n v="0"/>
    <n v="0"/>
    <n v="0"/>
    <n v="0"/>
    <n v="0"/>
    <n v="0"/>
    <n v="0"/>
  </r>
  <r>
    <s v="Post"/>
    <x v="2"/>
    <s v="POST"/>
    <s v="DINAMITA"/>
    <x v="2163"/>
    <s v="Post"/>
    <m/>
    <n v="150000"/>
    <n v="0"/>
    <n v="150000"/>
    <n v="0"/>
    <n v="150000"/>
    <n v="150000"/>
    <n v="0"/>
  </r>
  <r>
    <s v="Post"/>
    <x v="2"/>
    <s v=""/>
    <m/>
    <x v="2164"/>
    <s v="Estación de trabajo Head Editor"/>
    <m/>
    <n v="0"/>
    <n v="0"/>
    <n v="0"/>
    <n v="0"/>
    <n v="0"/>
    <n v="0"/>
    <n v="0"/>
  </r>
  <r>
    <s v="Post"/>
    <x v="2"/>
    <s v="PREP"/>
    <s v="DINAMITA"/>
    <x v="2165"/>
    <s v="Pre"/>
    <m/>
    <n v="5000"/>
    <n v="0"/>
    <n v="5000"/>
    <n v="0"/>
    <n v="5000"/>
    <n v="5000"/>
    <n v="0"/>
  </r>
  <r>
    <s v="Post"/>
    <x v="2"/>
    <s v="POST"/>
    <s v="DINAMITA"/>
    <x v="2166"/>
    <s v="Post (Sala Offline)"/>
    <m/>
    <n v="117000"/>
    <n v="0"/>
    <n v="117000"/>
    <n v="0"/>
    <n v="117000"/>
    <n v="117000"/>
    <n v="0"/>
  </r>
  <r>
    <s v="Post"/>
    <x v="2"/>
    <s v=""/>
    <m/>
    <x v="2167"/>
    <s v="Estación de trabajo Editor Sr. 2"/>
    <m/>
    <n v="0"/>
    <n v="0"/>
    <n v="0"/>
    <n v="0"/>
    <n v="0"/>
    <n v="0"/>
    <n v="0"/>
  </r>
  <r>
    <s v="Post"/>
    <x v="2"/>
    <s v="POST"/>
    <s v="DINAMITA"/>
    <x v="2168"/>
    <s v="Post"/>
    <m/>
    <n v="208000"/>
    <n v="0"/>
    <n v="208000"/>
    <n v="0"/>
    <n v="208000"/>
    <n v="208000"/>
    <n v="0"/>
  </r>
  <r>
    <s v="Post"/>
    <x v="2"/>
    <s v=""/>
    <m/>
    <x v="2169"/>
    <s v="Estación de trabajo Editor Sr. 3"/>
    <m/>
    <n v="0"/>
    <n v="0"/>
    <n v="0"/>
    <n v="0"/>
    <n v="0"/>
    <n v="0"/>
    <n v="0"/>
  </r>
  <r>
    <s v="Post"/>
    <x v="2"/>
    <s v="POST"/>
    <s v="DINAMITA"/>
    <x v="2170"/>
    <s v="Post"/>
    <m/>
    <n v="208000"/>
    <n v="0"/>
    <n v="208000"/>
    <n v="0"/>
    <n v="208000"/>
    <n v="208000"/>
    <n v="0"/>
  </r>
  <r>
    <s v="Post"/>
    <x v="2"/>
    <s v=""/>
    <m/>
    <x v="2171"/>
    <s v="Estación de trabajo Editor Sr. 4"/>
    <m/>
    <n v="0"/>
    <n v="0"/>
    <n v="0"/>
    <n v="0"/>
    <n v="0"/>
    <n v="0"/>
    <n v="0"/>
  </r>
  <r>
    <s v="Post"/>
    <x v="2"/>
    <s v="POST"/>
    <s v="DINAMITA"/>
    <x v="2172"/>
    <s v="Post"/>
    <m/>
    <n v="208000"/>
    <n v="0"/>
    <n v="208000"/>
    <n v="0"/>
    <n v="208000"/>
    <n v="208000"/>
    <n v="0"/>
  </r>
  <r>
    <s v="Post"/>
    <x v="2"/>
    <s v=""/>
    <m/>
    <x v="2173"/>
    <s v="Estación de trabajo Coordinador de edición "/>
    <m/>
    <n v="0"/>
    <n v="0"/>
    <n v="0"/>
    <n v="0"/>
    <n v="0"/>
    <n v="0"/>
    <n v="0"/>
  </r>
  <r>
    <s v="Post"/>
    <x v="2"/>
    <s v="POST"/>
    <s v="DINAMITA"/>
    <x v="2174"/>
    <s v="Post"/>
    <m/>
    <n v="152000"/>
    <n v="0"/>
    <n v="152000"/>
    <n v="0"/>
    <n v="152000"/>
    <n v="152000"/>
    <n v="0"/>
  </r>
  <r>
    <s v="Post"/>
    <x v="2"/>
    <s v=""/>
    <m/>
    <x v="2175"/>
    <s v="Estación de trabajo Asistente de edición Sr #1"/>
    <m/>
    <n v="0"/>
    <n v="0"/>
    <n v="0"/>
    <n v="0"/>
    <n v="0"/>
    <n v="0"/>
    <n v="0"/>
  </r>
  <r>
    <s v="Post"/>
    <x v="2"/>
    <s v="POST"/>
    <s v="DINAMITA"/>
    <x v="2176"/>
    <s v="Post"/>
    <m/>
    <n v="180000"/>
    <n v="0"/>
    <n v="180000"/>
    <n v="0"/>
    <n v="180000"/>
    <n v="180000"/>
    <n v="0"/>
  </r>
  <r>
    <s v="Post"/>
    <x v="2"/>
    <s v=""/>
    <m/>
    <x v="2177"/>
    <s v="Estación de trabajo Asistente de edición Sr. #2"/>
    <m/>
    <n v="0"/>
    <n v="0"/>
    <n v="0"/>
    <n v="0"/>
    <n v="0"/>
    <n v="0"/>
    <n v="0"/>
  </r>
  <r>
    <s v="Post"/>
    <x v="2"/>
    <s v="POST"/>
    <s v="DINAMITA"/>
    <x v="2178"/>
    <s v="Post"/>
    <m/>
    <n v="126000"/>
    <n v="0"/>
    <n v="126000"/>
    <n v="0"/>
    <n v="126000"/>
    <n v="126000"/>
    <n v="0"/>
  </r>
  <r>
    <s v="Post"/>
    <x v="2"/>
    <s v=""/>
    <m/>
    <x v="2179"/>
    <s v="Teaser"/>
    <m/>
    <n v="0"/>
    <n v="0"/>
    <n v="0"/>
    <n v="0"/>
    <n v="0"/>
    <n v="0"/>
    <n v="0"/>
  </r>
  <r>
    <s v="Post"/>
    <x v="2"/>
    <s v=""/>
    <m/>
    <x v="2180"/>
    <s v="Estación de trabajo asitente post"/>
    <m/>
    <n v="0"/>
    <n v="0"/>
    <n v="0"/>
    <n v="0"/>
    <n v="0"/>
    <n v="0"/>
    <n v="0"/>
  </r>
  <r>
    <s v="Post"/>
    <x v="2"/>
    <s v="ALL SHOW"/>
    <s v="DINAMITA"/>
    <x v="2181"/>
    <s v="Allowance"/>
    <m/>
    <n v="12000"/>
    <n v="0"/>
    <n v="12000"/>
    <n v="0"/>
    <n v="12000"/>
    <n v="12000"/>
    <n v="0"/>
  </r>
  <r>
    <s v="Post"/>
    <x v="2"/>
    <s v=""/>
    <m/>
    <x v="2182"/>
    <s v="Sala Edición"/>
    <m/>
    <n v="0"/>
    <n v="0"/>
    <n v="0"/>
    <n v="0"/>
    <n v="0"/>
    <n v="0"/>
    <n v="0"/>
  </r>
  <r>
    <s v="Post"/>
    <x v="2"/>
    <s v="ALL SHOW"/>
    <s v="DINAMITA"/>
    <x v="2183"/>
    <s v="Allowance"/>
    <m/>
    <n v="5000"/>
    <n v="0"/>
    <n v="5000"/>
    <n v="0"/>
    <n v="5000"/>
    <n v="5000"/>
    <n v="0"/>
  </r>
  <r>
    <s v="Post"/>
    <x v="1"/>
    <m/>
    <m/>
    <x v="2184"/>
    <s v="RENTAS DE SOFTWARE"/>
    <m/>
    <n v="59204.93"/>
    <n v="0"/>
    <n v="59204.93"/>
    <n v="0"/>
    <n v="59204.93"/>
    <n v="115001.46"/>
    <n v="55796.530000000006"/>
  </r>
  <r>
    <s v="Post"/>
    <x v="2"/>
    <s v=""/>
    <m/>
    <x v="2185"/>
    <s v="Evercast"/>
    <m/>
    <n v="0"/>
    <n v="0"/>
    <n v="0"/>
    <n v="0"/>
    <n v="0"/>
    <n v="0"/>
    <n v="0"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</r>
  <r>
    <s v="Post"/>
    <x v="0"/>
    <m/>
    <m/>
    <x v="2187"/>
    <s v="POSTPRODUCCION DE IMAGEN"/>
    <m/>
    <n v="2159000"/>
    <n v="0"/>
    <n v="2159000"/>
    <n v="0"/>
    <n v="2159000"/>
    <n v="2206500"/>
    <n v="47500"/>
  </r>
  <r>
    <s v="Post"/>
    <x v="1"/>
    <m/>
    <m/>
    <x v="2188"/>
    <s v="CONFORMADO DE IMAGEN"/>
    <m/>
    <n v="324000"/>
    <n v="0"/>
    <n v="324000"/>
    <n v="0"/>
    <n v="324000"/>
    <n v="324000"/>
    <n v="0"/>
  </r>
  <r>
    <s v="Post"/>
    <x v="2"/>
    <s v=""/>
    <m/>
    <x v="2189"/>
    <s v="Editor Online - Esteban Díaz"/>
    <m/>
    <n v="0"/>
    <n v="0"/>
    <n v="0"/>
    <n v="0"/>
    <n v="0"/>
    <n v="0"/>
    <n v="0"/>
  </r>
  <r>
    <s v="Post"/>
    <x v="2"/>
    <s v="POST"/>
    <s v="DINAMITA"/>
    <x v="2190"/>
    <s v="Post"/>
    <m/>
    <n v="140000"/>
    <n v="0"/>
    <n v="140000"/>
    <n v="0"/>
    <n v="140000"/>
    <n v="140000"/>
    <n v="0"/>
  </r>
  <r>
    <s v="Post"/>
    <x v="2"/>
    <s v=""/>
    <m/>
    <x v="2191"/>
    <s v="Estación de trabajo Conform/Online"/>
    <m/>
    <n v="0"/>
    <n v="0"/>
    <n v="0"/>
    <n v="0"/>
    <n v="0"/>
    <n v="0"/>
    <n v="0"/>
  </r>
  <r>
    <s v="Post"/>
    <x v="2"/>
    <s v="POST"/>
    <s v="DINAMITA"/>
    <x v="2192"/>
    <s v="Post"/>
    <m/>
    <n v="168000"/>
    <n v="0"/>
    <n v="168000"/>
    <n v="0"/>
    <n v="168000"/>
    <n v="168000"/>
    <n v="0"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</r>
  <r>
    <s v="Post"/>
    <x v="2"/>
    <s v="POST"/>
    <s v="DINAMITA"/>
    <x v="2194"/>
    <s v="Locked Proxy (H264)"/>
    <m/>
    <n v="16000"/>
    <n v="0"/>
    <n v="16000"/>
    <n v="0"/>
    <n v="16000"/>
    <n v="16000"/>
    <n v="0"/>
  </r>
  <r>
    <s v="Post"/>
    <x v="1"/>
    <m/>
    <m/>
    <x v="2195"/>
    <s v="COLOR FINAL"/>
    <m/>
    <n v="1179000"/>
    <n v="0"/>
    <n v="1179000"/>
    <n v="0"/>
    <n v="1179000"/>
    <n v="1179000"/>
    <n v="0"/>
  </r>
  <r>
    <s v="Post"/>
    <x v="2"/>
    <s v=""/>
    <m/>
    <x v="2196"/>
    <s v="Final Grading - Dinamita (Maribel Muro)"/>
    <m/>
    <n v="0"/>
    <n v="0"/>
    <n v="0"/>
    <n v="0"/>
    <n v="0"/>
    <n v="0"/>
    <n v="0"/>
  </r>
  <r>
    <s v="Post"/>
    <x v="2"/>
    <s v="PREP"/>
    <s v="DINAMITA"/>
    <x v="2197"/>
    <s v="Pre"/>
    <m/>
    <n v="10000"/>
    <n v="0"/>
    <n v="10000"/>
    <n v="0"/>
    <n v="10000"/>
    <n v="10000"/>
    <n v="0"/>
  </r>
  <r>
    <s v="Post"/>
    <x v="2"/>
    <s v="POST"/>
    <s v="DINAMITA"/>
    <x v="2198"/>
    <s v="Colorista Elite HDR"/>
    <m/>
    <n v="264000"/>
    <n v="0"/>
    <n v="264000"/>
    <n v="0"/>
    <n v="264000"/>
    <n v="264000"/>
    <n v="0"/>
  </r>
  <r>
    <s v="Post"/>
    <x v="2"/>
    <s v=""/>
    <m/>
    <x v="2199"/>
    <s v="Sala CC HDR / Trim Pass SDR"/>
    <m/>
    <n v="0"/>
    <n v="0"/>
    <n v="0"/>
    <n v="0"/>
    <n v="0"/>
    <n v="0"/>
    <n v="0"/>
  </r>
  <r>
    <s v="Post"/>
    <x v="2"/>
    <s v="POST"/>
    <s v="DINAMITA"/>
    <x v="2200"/>
    <s v="Post"/>
    <m/>
    <n v="900000"/>
    <n v="0"/>
    <n v="900000"/>
    <n v="0"/>
    <n v="900000"/>
    <n v="900000"/>
    <n v="0"/>
  </r>
  <r>
    <s v="Post"/>
    <x v="2"/>
    <s v=""/>
    <m/>
    <x v="2201"/>
    <s v="Estación de trabajo Colorista"/>
    <m/>
    <n v="0"/>
    <n v="0"/>
    <n v="0"/>
    <n v="0"/>
    <n v="0"/>
    <n v="0"/>
    <n v="0"/>
  </r>
  <r>
    <s v="Post"/>
    <x v="2"/>
    <s v="PREP"/>
    <s v="DINAMITA"/>
    <x v="2202"/>
    <s v="Pre"/>
    <m/>
    <n v="5000"/>
    <n v="0"/>
    <n v="5000"/>
    <n v="0"/>
    <n v="5000"/>
    <n v="5000"/>
    <n v="0"/>
  </r>
  <r>
    <s v="Post"/>
    <x v="1"/>
    <m/>
    <m/>
    <x v="2203"/>
    <s v="EXPORT QTS DE TRABAJO"/>
    <m/>
    <n v="80000"/>
    <n v="0"/>
    <n v="80000"/>
    <n v="0"/>
    <n v="80000"/>
    <n v="80000"/>
    <n v="0"/>
  </r>
  <r>
    <s v="Post"/>
    <x v="2"/>
    <s v=""/>
    <m/>
    <x v="2204"/>
    <s v="Wrappers"/>
    <m/>
    <n v="0"/>
    <n v="0"/>
    <n v="0"/>
    <n v="0"/>
    <n v="0"/>
    <n v="0"/>
    <n v="0"/>
  </r>
  <r>
    <s v="Post"/>
    <x v="2"/>
    <s v="POST"/>
    <s v="DINAMITA"/>
    <x v="2205"/>
    <s v="ProRes 422HQ 4K Master"/>
    <m/>
    <n v="80000"/>
    <n v="0"/>
    <n v="80000"/>
    <n v="0"/>
    <n v="80000"/>
    <n v="80000"/>
    <n v="0"/>
  </r>
  <r>
    <s v="Post"/>
    <x v="1"/>
    <m/>
    <m/>
    <x v="2206"/>
    <s v="MASTER IMF"/>
    <m/>
    <n v="216000"/>
    <n v="0"/>
    <n v="216000"/>
    <n v="0"/>
    <n v="216000"/>
    <n v="216000"/>
    <n v="0"/>
  </r>
  <r>
    <s v="Post"/>
    <x v="2"/>
    <s v=""/>
    <m/>
    <x v="2207"/>
    <s v="IMF Master - Dinamita"/>
    <m/>
    <n v="0"/>
    <n v="0"/>
    <n v="0"/>
    <n v="0"/>
    <n v="0"/>
    <n v="0"/>
    <n v="0"/>
  </r>
  <r>
    <s v="Post"/>
    <x v="2"/>
    <s v="POST"/>
    <s v="DINAMITA"/>
    <x v="2208"/>
    <s v="HDR 4K Master"/>
    <m/>
    <n v="200000"/>
    <n v="0"/>
    <n v="200000"/>
    <n v="0"/>
    <n v="200000"/>
    <n v="200000"/>
    <n v="0"/>
  </r>
  <r>
    <s v="Post"/>
    <x v="2"/>
    <s v="POST"/>
    <s v="DINAMITA"/>
    <x v="2209"/>
    <s v="HDR 4K Textless Master"/>
    <m/>
    <n v="16000"/>
    <n v="0"/>
    <n v="16000"/>
    <n v="0"/>
    <n v="16000"/>
    <n v="16000"/>
    <n v="0"/>
  </r>
  <r>
    <s v="Post"/>
    <x v="1"/>
    <m/>
    <m/>
    <x v="2210"/>
    <s v="CONTROL DE CALIDAD"/>
    <m/>
    <n v="160000"/>
    <n v="0"/>
    <n v="160000"/>
    <n v="0"/>
    <n v="160000"/>
    <n v="160000"/>
    <n v="0"/>
  </r>
  <r>
    <s v="Post"/>
    <x v="2"/>
    <s v=""/>
    <m/>
    <x v="2211"/>
    <s v="QC Reviews"/>
    <m/>
    <n v="0"/>
    <n v="0"/>
    <n v="0"/>
    <n v="0"/>
    <n v="0"/>
    <n v="0"/>
    <n v="0"/>
  </r>
  <r>
    <s v="Post"/>
    <x v="2"/>
    <s v="POST"/>
    <s v="DINAMITA"/>
    <x v="2212"/>
    <s v="Post Weeks"/>
    <m/>
    <n v="160000"/>
    <n v="0"/>
    <n v="160000"/>
    <n v="0"/>
    <n v="160000"/>
    <n v="160000"/>
    <n v="0"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</r>
  <r>
    <s v="Post"/>
    <x v="2"/>
    <s v=""/>
    <m/>
    <x v="2214"/>
    <s v="Storage"/>
    <m/>
    <n v="0"/>
    <n v="0"/>
    <n v="0"/>
    <n v="0"/>
    <n v="0"/>
    <n v="0"/>
    <n v="0"/>
  </r>
  <r>
    <s v="Post"/>
    <x v="2"/>
    <s v="ALL SHOW"/>
    <s v="DINAMITA"/>
    <x v="2215"/>
    <s v="1 TB"/>
    <m/>
    <n v="200000"/>
    <n v="0"/>
    <n v="200000"/>
    <n v="0"/>
    <n v="200000"/>
    <n v="200000"/>
    <n v="0"/>
  </r>
  <r>
    <s v="Post"/>
    <x v="1"/>
    <m/>
    <m/>
    <x v="2216"/>
    <s v="SUBIDA CONTENIDO A NETFLIX"/>
    <m/>
    <n v="0"/>
    <n v="0"/>
    <n v="0"/>
    <n v="0"/>
    <n v="0"/>
    <n v="47500"/>
    <n v="47500"/>
  </r>
  <r>
    <s v="Post"/>
    <x v="2"/>
    <s v=""/>
    <m/>
    <x v="2217"/>
    <s v="Upload Services"/>
    <m/>
    <n v="0"/>
    <n v="0"/>
    <n v="0"/>
    <n v="0"/>
    <n v="0"/>
    <n v="0"/>
    <n v="0"/>
  </r>
  <r>
    <s v="Post"/>
    <x v="2"/>
    <s v="ALL SHOW"/>
    <s v="DINAMITA"/>
    <x v="2218"/>
    <s v="Servicios de internet dedicado"/>
    <m/>
    <n v="0"/>
    <n v="0"/>
    <n v="0"/>
    <n v="0"/>
    <n v="0"/>
    <n v="47500"/>
    <n v="47500"/>
  </r>
  <r>
    <s v="Post"/>
    <x v="0"/>
    <m/>
    <m/>
    <x v="2219"/>
    <s v="POST PRODUCCION DE SONIDO"/>
    <m/>
    <n v="1866170"/>
    <n v="0"/>
    <n v="1866170"/>
    <n v="0"/>
    <n v="1866170"/>
    <n v="1843600"/>
    <n v="-22570"/>
  </r>
  <r>
    <s v="Post"/>
    <x v="1"/>
    <m/>
    <m/>
    <x v="2220"/>
    <s v="EDICION DE SONIDO"/>
    <m/>
    <n v="612000"/>
    <n v="0"/>
    <n v="612000"/>
    <n v="0"/>
    <n v="612000"/>
    <n v="612000"/>
    <n v="0"/>
  </r>
  <r>
    <s v="Post"/>
    <x v="2"/>
    <s v=""/>
    <m/>
    <x v="2221"/>
    <s v="Diseñador Sonoro - TBD"/>
    <m/>
    <n v="0"/>
    <n v="0"/>
    <n v="0"/>
    <n v="0"/>
    <n v="0"/>
    <n v="0"/>
    <n v="0"/>
  </r>
  <r>
    <s v="Post"/>
    <x v="2"/>
    <s v="POST"/>
    <s v="DINAMITA"/>
    <x v="2222"/>
    <s v="Post"/>
    <m/>
    <n v="252000"/>
    <n v="0"/>
    <n v="252000"/>
    <n v="0"/>
    <n v="252000"/>
    <n v="252000"/>
    <n v="0"/>
  </r>
  <r>
    <s v="Post"/>
    <x v="2"/>
    <s v=""/>
    <m/>
    <x v="2223"/>
    <s v="Editor de Diálogos - TBD"/>
    <m/>
    <n v="0"/>
    <n v="0"/>
    <n v="0"/>
    <n v="0"/>
    <n v="0"/>
    <n v="0"/>
    <n v="0"/>
  </r>
  <r>
    <s v="Post"/>
    <x v="2"/>
    <s v=""/>
    <m/>
    <x v="2224"/>
    <s v="Start Date"/>
    <m/>
    <n v="0"/>
    <n v="0"/>
    <n v="0"/>
    <n v="0"/>
    <n v="0"/>
    <n v="0"/>
    <n v="0"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</r>
  <r>
    <s v="Post"/>
    <x v="2"/>
    <s v=""/>
    <m/>
    <x v="2226"/>
    <s v="Editor de Ambientes y SFX - TBD"/>
    <m/>
    <n v="0"/>
    <n v="0"/>
    <n v="0"/>
    <n v="0"/>
    <n v="0"/>
    <n v="0"/>
    <n v="0"/>
  </r>
  <r>
    <s v="Post"/>
    <x v="2"/>
    <s v=""/>
    <m/>
    <x v="2227"/>
    <s v="Start Date"/>
    <m/>
    <n v="0"/>
    <n v="0"/>
    <n v="0"/>
    <n v="0"/>
    <n v="0"/>
    <n v="0"/>
    <n v="0"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</r>
  <r>
    <s v="Post"/>
    <x v="2"/>
    <s v=""/>
    <m/>
    <x v="2229"/>
    <s v="Asistente de Audio - Jesús Ramírez Quiñones"/>
    <m/>
    <n v="0"/>
    <n v="0"/>
    <n v="0"/>
    <n v="0"/>
    <n v="0"/>
    <n v="0"/>
    <n v="0"/>
  </r>
  <r>
    <s v="Post"/>
    <x v="2"/>
    <s v="POST"/>
    <s v="DINAMITA"/>
    <x v="2230"/>
    <s v="Post"/>
    <m/>
    <n v="108000"/>
    <n v="0"/>
    <n v="108000"/>
    <n v="0"/>
    <n v="108000"/>
    <n v="108000"/>
    <n v="0"/>
  </r>
  <r>
    <s v="Post"/>
    <x v="2"/>
    <s v=""/>
    <m/>
    <x v="2231"/>
    <s v="Productor de Audio - Sound Design &amp; FX - David Melchor"/>
    <m/>
    <n v="0"/>
    <n v="0"/>
    <n v="0"/>
    <n v="0"/>
    <n v="0"/>
    <n v="0"/>
    <n v="0"/>
  </r>
  <r>
    <s v="Post"/>
    <x v="2"/>
    <s v=""/>
    <m/>
    <x v="2232"/>
    <s v="Start Date"/>
    <m/>
    <n v="0"/>
    <n v="0"/>
    <n v="0"/>
    <n v="0"/>
    <n v="0"/>
    <n v="0"/>
    <n v="0"/>
  </r>
  <r>
    <s v="Post"/>
    <x v="2"/>
    <s v="POST"/>
    <m/>
    <x v="2233"/>
    <s v="Honorarios"/>
    <m/>
    <n v="0"/>
    <n v="0"/>
    <n v="0"/>
    <n v="0"/>
    <n v="0"/>
    <n v="0"/>
    <n v="0"/>
  </r>
  <r>
    <s v="Post"/>
    <x v="2"/>
    <s v=""/>
    <m/>
    <x v="2234"/>
    <s v="Ingeniero Sr. Para deliveries de Audio - Carlos Honc"/>
    <m/>
    <n v="0"/>
    <n v="0"/>
    <n v="0"/>
    <n v="0"/>
    <n v="0"/>
    <n v="0"/>
    <n v="0"/>
  </r>
  <r>
    <s v="Post"/>
    <x v="2"/>
    <s v="POST"/>
    <m/>
    <x v="2235"/>
    <s v="Deliveries"/>
    <m/>
    <n v="0"/>
    <n v="0"/>
    <n v="0"/>
    <n v="0"/>
    <n v="0"/>
    <n v="0"/>
    <n v="0"/>
  </r>
  <r>
    <s v="Post"/>
    <x v="2"/>
    <s v=""/>
    <m/>
    <x v="2236"/>
    <s v="Coordinador de Audio - Ana Leticia Rodríguez Cortés"/>
    <m/>
    <n v="0"/>
    <n v="0"/>
    <n v="0"/>
    <n v="0"/>
    <n v="0"/>
    <n v="0"/>
    <n v="0"/>
  </r>
  <r>
    <s v="Post"/>
    <x v="2"/>
    <s v="POST"/>
    <m/>
    <x v="2237"/>
    <s v="Post"/>
    <m/>
    <n v="0"/>
    <n v="0"/>
    <n v="0"/>
    <n v="0"/>
    <n v="0"/>
    <n v="0"/>
    <n v="0"/>
  </r>
  <r>
    <s v="Post"/>
    <x v="1"/>
    <m/>
    <m/>
    <x v="2238"/>
    <s v="ADR / V.O RECORDING / LOOP GROUP FEES"/>
    <m/>
    <n v="59000"/>
    <n v="0"/>
    <n v="59000"/>
    <n v="0"/>
    <n v="59000"/>
    <n v="59000"/>
    <n v="0"/>
  </r>
  <r>
    <s v="Post"/>
    <x v="2"/>
    <s v=""/>
    <m/>
    <x v="2239"/>
    <s v="Ingeniero ADR´s - Fito Cedillo"/>
    <m/>
    <n v="0"/>
    <n v="0"/>
    <n v="0"/>
    <n v="0"/>
    <n v="0"/>
    <n v="0"/>
    <n v="0"/>
  </r>
  <r>
    <s v="Post"/>
    <x v="2"/>
    <s v="POST"/>
    <s v="DINAMITA"/>
    <x v="2240"/>
    <s v="ADR recording en BHD"/>
    <m/>
    <n v="56000"/>
    <n v="0"/>
    <n v="56000"/>
    <n v="0"/>
    <n v="56000"/>
    <n v="56000"/>
    <n v="0"/>
  </r>
  <r>
    <s v="Post"/>
    <x v="2"/>
    <s v=""/>
    <m/>
    <x v="2241"/>
    <s v="Teaser"/>
    <m/>
    <n v="0"/>
    <n v="0"/>
    <n v="0"/>
    <n v="0"/>
    <n v="0"/>
    <n v="0"/>
    <n v="0"/>
  </r>
  <r>
    <s v="Post"/>
    <x v="2"/>
    <s v=""/>
    <m/>
    <x v="2242"/>
    <s v="Locutor interno"/>
    <m/>
    <n v="0"/>
    <n v="0"/>
    <n v="0"/>
    <n v="0"/>
    <n v="0"/>
    <n v="0"/>
    <n v="0"/>
  </r>
  <r>
    <s v="Post"/>
    <x v="2"/>
    <s v="ALL SHOW"/>
    <s v="DINAMITA"/>
    <x v="2243"/>
    <s v="ADR recording en BHD"/>
    <m/>
    <n v="3000"/>
    <n v="0"/>
    <n v="3000"/>
    <n v="0"/>
    <n v="3000"/>
    <n v="3000"/>
    <n v="0"/>
  </r>
  <r>
    <s v="Post"/>
    <x v="1"/>
    <m/>
    <m/>
    <x v="2244"/>
    <s v="FOLEY"/>
    <m/>
    <n v="126000"/>
    <n v="0"/>
    <n v="126000"/>
    <n v="0"/>
    <n v="126000"/>
    <n v="126000"/>
    <n v="0"/>
  </r>
  <r>
    <s v="Post"/>
    <x v="2"/>
    <s v=""/>
    <m/>
    <x v="2245"/>
    <s v="Ingeniero Foleys  - Luis Sumano"/>
    <m/>
    <n v="0"/>
    <n v="0"/>
    <n v="0"/>
    <n v="0"/>
    <n v="0"/>
    <n v="0"/>
    <n v="0"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</r>
  <r>
    <s v="Post"/>
    <x v="1"/>
    <m/>
    <m/>
    <x v="2247"/>
    <s v="MEZCLA FINAL"/>
    <m/>
    <n v="255000"/>
    <n v="0"/>
    <n v="255000"/>
    <n v="0"/>
    <n v="255000"/>
    <n v="255000"/>
    <n v="0"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</r>
  <r>
    <s v="Post"/>
    <x v="2"/>
    <s v="POST"/>
    <s v="DINAMITA"/>
    <x v="2249"/>
    <s v="Masterización 5.1"/>
    <m/>
    <n v="250000"/>
    <n v="0"/>
    <n v="250000"/>
    <n v="0"/>
    <n v="250000"/>
    <n v="250000"/>
    <n v="0"/>
  </r>
  <r>
    <s v="Post"/>
    <x v="2"/>
    <s v=""/>
    <m/>
    <x v="2250"/>
    <s v="Teaser"/>
    <m/>
    <n v="0"/>
    <n v="0"/>
    <n v="0"/>
    <n v="0"/>
    <n v="0"/>
    <n v="0"/>
    <n v="0"/>
  </r>
  <r>
    <s v="Post"/>
    <x v="2"/>
    <s v=""/>
    <m/>
    <x v="2251"/>
    <s v="Ingeniero para Mix 5.1, ATMOS y Estéreo "/>
    <m/>
    <n v="0"/>
    <n v="0"/>
    <n v="0"/>
    <n v="0"/>
    <n v="0"/>
    <n v="0"/>
    <n v="0"/>
  </r>
  <r>
    <s v="Post"/>
    <x v="2"/>
    <s v="ALL SHOW"/>
    <s v="DINAMITA"/>
    <x v="2252"/>
    <s v="Masterización 5.1"/>
    <m/>
    <n v="5000"/>
    <n v="0"/>
    <n v="5000"/>
    <n v="0"/>
    <n v="5000"/>
    <n v="5000"/>
    <n v="0"/>
  </r>
  <r>
    <s v="Post"/>
    <x v="1"/>
    <m/>
    <m/>
    <x v="2253"/>
    <s v="MEZCLA M&amp;E"/>
    <m/>
    <n v="57600"/>
    <n v="0"/>
    <n v="57600"/>
    <n v="0"/>
    <n v="57600"/>
    <n v="57600"/>
    <n v="0"/>
  </r>
  <r>
    <s v="Post"/>
    <x v="2"/>
    <s v=""/>
    <m/>
    <x v="2254"/>
    <s v="Audio M&amp;E"/>
    <m/>
    <n v="0"/>
    <n v="0"/>
    <n v="0"/>
    <n v="0"/>
    <n v="0"/>
    <n v="0"/>
    <n v="0"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</r>
  <r>
    <s v="Post"/>
    <x v="1"/>
    <m/>
    <m/>
    <x v="2256"/>
    <s v="SOUND CUTTING ROOM RENTALS"/>
    <m/>
    <n v="22570"/>
    <n v="0"/>
    <n v="22570"/>
    <n v="0"/>
    <n v="22570"/>
    <n v="0"/>
    <n v="-22570"/>
  </r>
  <r>
    <s v="Post"/>
    <x v="2"/>
    <s v="POST"/>
    <m/>
    <x v="2257"/>
    <s v="Alquiler de Salas de Soinido"/>
    <m/>
    <n v="22570"/>
    <n v="0"/>
    <n v="22570"/>
    <n v="0"/>
    <n v="22570"/>
    <n v="0"/>
    <n v="-22570"/>
  </r>
  <r>
    <s v="Post"/>
    <x v="1"/>
    <m/>
    <m/>
    <x v="2258"/>
    <s v="ALQUILER EQUIPOS DE SONIDO"/>
    <m/>
    <n v="734000"/>
    <n v="0"/>
    <n v="734000"/>
    <n v="0"/>
    <n v="734000"/>
    <n v="734000"/>
    <n v="0"/>
  </r>
  <r>
    <s v="Post"/>
    <x v="2"/>
    <s v=""/>
    <m/>
    <x v="2259"/>
    <s v="Estación de Trabajo (Pro Tools)"/>
    <m/>
    <n v="0"/>
    <n v="0"/>
    <n v="0"/>
    <n v="0"/>
    <n v="0"/>
    <n v="0"/>
    <n v="0"/>
  </r>
  <r>
    <s v="Post"/>
    <x v="2"/>
    <s v="POST"/>
    <s v="DINAMITA"/>
    <x v="2260"/>
    <s v="Diseñador Sonoro"/>
    <m/>
    <n v="162000"/>
    <n v="0"/>
    <n v="162000"/>
    <n v="0"/>
    <n v="162000"/>
    <n v="162000"/>
    <n v="0"/>
  </r>
  <r>
    <s v="Post"/>
    <x v="2"/>
    <s v="POST"/>
    <s v="DINAMITA"/>
    <x v="2261"/>
    <s v="Edición de dialogos"/>
    <m/>
    <n v="81000"/>
    <n v="0"/>
    <n v="81000"/>
    <n v="0"/>
    <n v="81000"/>
    <n v="81000"/>
    <n v="0"/>
  </r>
  <r>
    <s v="Post"/>
    <x v="2"/>
    <s v="POST"/>
    <s v="DINAMITA"/>
    <x v="2262"/>
    <s v="Ambientes y SFX"/>
    <m/>
    <n v="81000"/>
    <n v="0"/>
    <n v="81000"/>
    <n v="0"/>
    <n v="81000"/>
    <n v="81000"/>
    <n v="0"/>
  </r>
  <r>
    <s v="Post"/>
    <x v="2"/>
    <s v="POST"/>
    <s v="DINAMITA"/>
    <x v="2263"/>
    <s v="Foleys"/>
    <m/>
    <n v="81000"/>
    <n v="0"/>
    <n v="81000"/>
    <n v="0"/>
    <n v="81000"/>
    <n v="81000"/>
    <n v="0"/>
  </r>
  <r>
    <s v="Post"/>
    <x v="2"/>
    <s v="POST"/>
    <s v="DINAMITA"/>
    <x v="2264"/>
    <s v="Sala de audio ADR"/>
    <m/>
    <n v="36000"/>
    <n v="0"/>
    <n v="36000"/>
    <n v="0"/>
    <n v="36000"/>
    <n v="36000"/>
    <n v="0"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</r>
  <r>
    <s v="Post"/>
    <x v="2"/>
    <s v="POST"/>
    <s v="DINAMITA"/>
    <x v="2266"/>
    <s v="Asistente de audio"/>
    <m/>
    <n v="108000"/>
    <n v="0"/>
    <n v="108000"/>
    <n v="0"/>
    <n v="108000"/>
    <n v="108000"/>
    <n v="0"/>
  </r>
  <r>
    <s v="Post"/>
    <x v="2"/>
    <s v=""/>
    <m/>
    <x v="2267"/>
    <s v="Teaser"/>
    <m/>
    <n v="0"/>
    <n v="0"/>
    <n v="0"/>
    <n v="0"/>
    <n v="0"/>
    <n v="0"/>
    <n v="0"/>
  </r>
  <r>
    <s v="Post"/>
    <x v="2"/>
    <s v=""/>
    <m/>
    <x v="2268"/>
    <s v="Estación de Trabajo para Mix Stereo"/>
    <m/>
    <n v="0"/>
    <n v="0"/>
    <n v="0"/>
    <n v="0"/>
    <n v="0"/>
    <n v="0"/>
    <n v="0"/>
  </r>
  <r>
    <s v="Post"/>
    <x v="2"/>
    <s v="ALL SHOW"/>
    <s v="DINAMITA"/>
    <x v="2269"/>
    <s v="Teaser"/>
    <m/>
    <n v="5000"/>
    <n v="0"/>
    <n v="5000"/>
    <n v="0"/>
    <n v="5000"/>
    <n v="5000"/>
    <n v="0"/>
  </r>
  <r>
    <s v="Post"/>
    <x v="0"/>
    <m/>
    <m/>
    <x v="2270"/>
    <s v="IMAGENES DE ARCHIVO"/>
    <m/>
    <n v="0"/>
    <n v="0"/>
    <n v="0"/>
    <n v="0"/>
    <n v="0"/>
    <n v="80000"/>
    <n v="80000"/>
  </r>
  <r>
    <s v="Post"/>
    <x v="1"/>
    <m/>
    <m/>
    <x v="2271"/>
    <s v="LICENCIAS DE ARCHIVOS DE VIDEO"/>
    <m/>
    <n v="0"/>
    <n v="0"/>
    <n v="0"/>
    <n v="0"/>
    <n v="0"/>
    <n v="80000"/>
    <n v="80000"/>
  </r>
  <r>
    <s v="Post"/>
    <x v="2"/>
    <s v=""/>
    <m/>
    <x v="2272"/>
    <s v="Clip Copyright Licenses"/>
    <m/>
    <n v="0"/>
    <n v="0"/>
    <n v="0"/>
    <n v="0"/>
    <n v="0"/>
    <n v="0"/>
    <n v="0"/>
  </r>
  <r>
    <s v="Post"/>
    <x v="2"/>
    <s v="POST"/>
    <m/>
    <x v="2273"/>
    <s v="Per Episode Allowance"/>
    <m/>
    <n v="0"/>
    <n v="0"/>
    <n v="0"/>
    <n v="0"/>
    <n v="0"/>
    <n v="80000"/>
    <n v="80000"/>
  </r>
  <r>
    <s v="Post"/>
    <x v="0"/>
    <m/>
    <m/>
    <x v="2274"/>
    <s v="TITULOS DE CREDITO"/>
    <m/>
    <n v="35000"/>
    <n v="0"/>
    <n v="35000"/>
    <n v="0"/>
    <n v="35000"/>
    <n v="100000"/>
    <n v="65000"/>
  </r>
  <r>
    <s v="Post"/>
    <x v="1"/>
    <m/>
    <m/>
    <x v="2275"/>
    <s v="TITULOS DE CREDITO INICIAL Y FINAL"/>
    <m/>
    <n v="35000"/>
    <n v="0"/>
    <n v="35000"/>
    <n v="0"/>
    <n v="35000"/>
    <n v="100000"/>
    <n v="65000"/>
  </r>
  <r>
    <s v="Post"/>
    <x v="2"/>
    <s v=""/>
    <m/>
    <x v="2276"/>
    <s v="Main &amp; End Titles"/>
    <m/>
    <n v="0"/>
    <n v="0"/>
    <n v="0"/>
    <n v="0"/>
    <n v="0"/>
    <n v="0"/>
    <n v="0"/>
  </r>
  <r>
    <s v="Post"/>
    <x v="2"/>
    <s v="POST"/>
    <m/>
    <x v="2277"/>
    <s v="Series"/>
    <m/>
    <n v="35000"/>
    <n v="0"/>
    <n v="35000"/>
    <n v="0"/>
    <n v="35000"/>
    <n v="100000"/>
    <n v="65000"/>
  </r>
  <r>
    <s v="Post"/>
    <x v="0"/>
    <m/>
    <m/>
    <x v="2278"/>
    <s v="MUSICA"/>
    <m/>
    <n v="4251050.24"/>
    <n v="0"/>
    <n v="4251050.24"/>
    <n v="0"/>
    <n v="4251050.24"/>
    <n v="3833200"/>
    <n v="-417850.24"/>
  </r>
  <r>
    <s v="Post"/>
    <x v="1"/>
    <m/>
    <m/>
    <x v="2279"/>
    <s v="COMPOSITOR PAQUETE"/>
    <m/>
    <n v="739200"/>
    <n v="0"/>
    <n v="739200"/>
    <n v="0"/>
    <n v="739200"/>
    <n v="739200"/>
    <n v="0"/>
  </r>
  <r>
    <s v="Post"/>
    <x v="2"/>
    <s v=""/>
    <m/>
    <x v="2280"/>
    <s v="Composer Name - Milo &amp; Dan"/>
    <m/>
    <n v="0"/>
    <n v="0"/>
    <n v="0"/>
    <n v="0"/>
    <n v="0"/>
    <n v="0"/>
    <n v="0"/>
  </r>
  <r>
    <s v="Post"/>
    <x v="2"/>
    <s v=""/>
    <m/>
    <x v="2281"/>
    <s v="Start Date"/>
    <m/>
    <n v="0"/>
    <n v="0"/>
    <n v="0"/>
    <n v="0"/>
    <n v="0"/>
    <n v="0"/>
    <n v="0"/>
  </r>
  <r>
    <s v="Post"/>
    <x v="2"/>
    <s v=""/>
    <m/>
    <x v="2282"/>
    <s v="Original Score, theme, etc"/>
    <m/>
    <n v="0"/>
    <n v="0"/>
    <n v="0"/>
    <n v="0"/>
    <n v="0"/>
    <n v="0"/>
    <n v="0"/>
  </r>
  <r>
    <s v="Post"/>
    <x v="2"/>
    <s v="POST"/>
    <m/>
    <x v="2283"/>
    <s v="Allowance"/>
    <m/>
    <n v="739200"/>
    <n v="0"/>
    <n v="739200"/>
    <n v="0"/>
    <n v="739200"/>
    <n v="739200"/>
    <n v="0"/>
  </r>
  <r>
    <s v="Post"/>
    <x v="1"/>
    <m/>
    <m/>
    <x v="2284"/>
    <s v="SUPERVISOR DE MUSICA"/>
    <m/>
    <n v="294000"/>
    <n v="0"/>
    <n v="294000"/>
    <n v="0"/>
    <n v="294000"/>
    <n v="294000"/>
    <n v="0"/>
  </r>
  <r>
    <s v="Post"/>
    <x v="2"/>
    <s v=""/>
    <m/>
    <x v="2285"/>
    <s v="Music Supervisor - Javi &amp; Joe"/>
    <m/>
    <n v="0"/>
    <n v="0"/>
    <n v="0"/>
    <n v="0"/>
    <n v="0"/>
    <n v="0"/>
    <n v="0"/>
  </r>
  <r>
    <s v="Post"/>
    <x v="2"/>
    <s v=""/>
    <m/>
    <x v="2286"/>
    <s v="Start Date"/>
    <m/>
    <n v="0"/>
    <n v="0"/>
    <n v="0"/>
    <n v="0"/>
    <n v="0"/>
    <n v="0"/>
    <n v="0"/>
  </r>
  <r>
    <s v="Post"/>
    <x v="2"/>
    <s v="POST"/>
    <m/>
    <x v="2287"/>
    <s v="Allow"/>
    <m/>
    <n v="294000"/>
    <n v="0"/>
    <n v="294000"/>
    <n v="0"/>
    <n v="294000"/>
    <n v="294000"/>
    <n v="0"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</r>
  <r>
    <s v="Post"/>
    <x v="2"/>
    <s v=""/>
    <m/>
    <x v="2289"/>
    <s v="Music Rights / Clearances - Indice"/>
    <m/>
    <n v="0"/>
    <n v="0"/>
    <n v="0"/>
    <n v="0"/>
    <n v="0"/>
    <n v="0"/>
    <n v="0"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</r>
  <r>
    <s v="Post"/>
    <x v="2"/>
    <s v=""/>
    <m/>
    <x v="2295"/>
    <s v="CGI Supervisor On Set - TBD"/>
    <m/>
    <n v="0"/>
    <n v="0"/>
    <n v="0"/>
    <n v="0"/>
    <n v="0"/>
    <n v="0"/>
    <n v="0"/>
  </r>
  <r>
    <s v="Post"/>
    <x v="2"/>
    <s v="SHOOT"/>
    <s v="DINAMITA"/>
    <x v="2296"/>
    <s v="Shoot"/>
    <m/>
    <n v="100000"/>
    <n v="0"/>
    <n v="100000"/>
    <n v="0"/>
    <n v="100000"/>
    <n v="100000"/>
    <n v="0"/>
  </r>
  <r>
    <s v="Post"/>
    <x v="2"/>
    <s v=""/>
    <m/>
    <x v="2297"/>
    <s v="VFX Supervisor On Set - TBD"/>
    <m/>
    <n v="0"/>
    <n v="0"/>
    <n v="0"/>
    <n v="0"/>
    <n v="0"/>
    <n v="0"/>
    <n v="0"/>
  </r>
  <r>
    <s v="Post"/>
    <x v="2"/>
    <s v="PREP"/>
    <s v="NOM"/>
    <x v="2298"/>
    <s v="Pre"/>
    <m/>
    <n v="0"/>
    <n v="0"/>
    <n v="0"/>
    <n v="0"/>
    <n v="0"/>
    <n v="10000"/>
    <n v="10000"/>
  </r>
  <r>
    <s v="Post"/>
    <x v="2"/>
    <s v="SHOOT"/>
    <s v="DINAMITA"/>
    <x v="2299"/>
    <s v="Shoot"/>
    <m/>
    <n v="70000"/>
    <n v="0"/>
    <n v="70000"/>
    <n v="0"/>
    <n v="70000"/>
    <n v="70000"/>
    <n v="0"/>
  </r>
  <r>
    <s v="Post"/>
    <x v="2"/>
    <s v="2nd Unit"/>
    <s v="DINAMITA"/>
    <x v="2300"/>
    <s v="Shoot Segunda Unidad"/>
    <m/>
    <n v="20000"/>
    <n v="0"/>
    <n v="20000"/>
    <n v="0"/>
    <n v="20000"/>
    <n v="20000"/>
    <n v="0"/>
  </r>
  <r>
    <s v="Post"/>
    <x v="2"/>
    <s v=""/>
    <m/>
    <x v="2301"/>
    <s v="VFX Supervisor - TBD"/>
    <m/>
    <n v="0"/>
    <n v="0"/>
    <n v="0"/>
    <n v="0"/>
    <n v="0"/>
    <n v="0"/>
    <n v="0"/>
  </r>
  <r>
    <s v="Post"/>
    <x v="2"/>
    <s v="POST"/>
    <s v="DINAMITA"/>
    <x v="2302"/>
    <s v="Series"/>
    <m/>
    <n v="125984.47"/>
    <n v="0"/>
    <n v="125984.47"/>
    <n v="0"/>
    <n v="125984.47"/>
    <n v="168000"/>
    <n v="42015.53"/>
  </r>
  <r>
    <s v="Post"/>
    <x v="1"/>
    <m/>
    <m/>
    <x v="2303"/>
    <s v="PRODUCTOR EFECTOS VISUALES"/>
    <m/>
    <n v="96000"/>
    <n v="0"/>
    <n v="96000"/>
    <n v="0"/>
    <n v="96000"/>
    <n v="240000"/>
    <n v="144000"/>
  </r>
  <r>
    <s v="Post"/>
    <x v="2"/>
    <s v=""/>
    <m/>
    <x v="2304"/>
    <s v="VFX Producer - Andrés Santiso"/>
    <m/>
    <n v="0"/>
    <n v="0"/>
    <n v="0"/>
    <n v="0"/>
    <n v="0"/>
    <n v="0"/>
    <n v="0"/>
  </r>
  <r>
    <s v="Post"/>
    <x v="2"/>
    <s v="POST"/>
    <s v="DINAMITA"/>
    <x v="2305"/>
    <s v="Series"/>
    <m/>
    <n v="96000"/>
    <n v="0"/>
    <n v="96000"/>
    <n v="0"/>
    <n v="96000"/>
    <n v="240000"/>
    <n v="144000"/>
  </r>
  <r>
    <s v="Post"/>
    <x v="1"/>
    <m/>
    <m/>
    <x v="2306"/>
    <s v="COORDINADOR EFECTOS VISUALES"/>
    <m/>
    <n v="0"/>
    <n v="0"/>
    <n v="0"/>
    <n v="0"/>
    <n v="0"/>
    <n v="216000"/>
    <n v="216000"/>
  </r>
  <r>
    <s v="Post"/>
    <x v="2"/>
    <s v=""/>
    <m/>
    <x v="2307"/>
    <s v="VFX Coordinator - Andrea Fuentes"/>
    <m/>
    <n v="0"/>
    <n v="0"/>
    <n v="0"/>
    <n v="0"/>
    <n v="0"/>
    <n v="0"/>
    <n v="0"/>
  </r>
  <r>
    <s v="Post"/>
    <x v="2"/>
    <s v="POST"/>
    <s v="DINAMITA"/>
    <x v="2308"/>
    <s v="Series"/>
    <m/>
    <n v="0"/>
    <n v="0"/>
    <n v="0"/>
    <n v="0"/>
    <n v="0"/>
    <n v="216000"/>
    <n v="216000"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</r>
  <r>
    <s v="Post"/>
    <x v="2"/>
    <s v=""/>
    <m/>
    <x v="2310"/>
    <s v="Dinamita VFX"/>
    <m/>
    <n v="0"/>
    <n v="0"/>
    <n v="0"/>
    <n v="0"/>
    <n v="0"/>
    <n v="0"/>
    <n v="0"/>
  </r>
  <r>
    <s v="Post"/>
    <x v="2"/>
    <s v=""/>
    <m/>
    <x v="2311"/>
    <s v="Clean Ups"/>
    <m/>
    <n v="0"/>
    <n v="0"/>
    <n v="0"/>
    <n v="0"/>
    <n v="0"/>
    <n v="0"/>
    <n v="0"/>
  </r>
  <r>
    <s v="Post"/>
    <x v="2"/>
    <s v="POST"/>
    <s v="DINAMITA"/>
    <x v="2312"/>
    <s v="Shoot"/>
    <m/>
    <n v="0"/>
    <n v="0"/>
    <n v="0"/>
    <n v="0"/>
    <n v="0"/>
    <n v="400000"/>
    <n v="400000"/>
  </r>
  <r>
    <s v="Post"/>
    <x v="2"/>
    <s v=""/>
    <m/>
    <x v="2313"/>
    <s v="Modelo 3D - Eólica - TBD"/>
    <m/>
    <n v="0"/>
    <n v="0"/>
    <n v="0"/>
    <n v="0"/>
    <n v="0"/>
    <n v="0"/>
    <n v="0"/>
  </r>
  <r>
    <s v="Post"/>
    <x v="2"/>
    <s v="SHOOT"/>
    <m/>
    <x v="2314"/>
    <s v="Shoot"/>
    <m/>
    <n v="727850"/>
    <n v="0"/>
    <n v="727850"/>
    <n v="0"/>
    <n v="727850"/>
    <n v="100000"/>
    <n v="-627850"/>
  </r>
  <r>
    <s v="Post"/>
    <x v="2"/>
    <s v="SHOOT"/>
    <m/>
    <x v="2315"/>
    <s v="Shoot"/>
    <m/>
    <n v="0"/>
    <n v="0"/>
    <n v="0"/>
    <n v="0"/>
    <n v="0"/>
    <n v="30000"/>
    <n v="30000"/>
  </r>
  <r>
    <s v="Post"/>
    <x v="2"/>
    <s v=""/>
    <m/>
    <x v="2316"/>
    <s v="Roll Créditos Salida"/>
    <m/>
    <n v="0"/>
    <n v="0"/>
    <n v="0"/>
    <n v="0"/>
    <n v="0"/>
    <n v="0"/>
    <n v="0"/>
  </r>
  <r>
    <s v="Post"/>
    <x v="2"/>
    <s v="SHOOT"/>
    <m/>
    <x v="2317"/>
    <s v="Shoot"/>
    <m/>
    <n v="0"/>
    <n v="0"/>
    <n v="0"/>
    <n v="0"/>
    <n v="0"/>
    <n v="40000"/>
    <n v="40000"/>
  </r>
  <r>
    <s v="Post"/>
    <x v="2"/>
    <s v=""/>
    <m/>
    <x v="2318"/>
    <s v="SHOTS"/>
    <m/>
    <n v="0"/>
    <n v="0"/>
    <n v="0"/>
    <n v="0"/>
    <n v="0"/>
    <n v="0"/>
    <n v="0"/>
  </r>
  <r>
    <s v="Post"/>
    <x v="2"/>
    <s v=""/>
    <m/>
    <x v="2319"/>
    <s v="Episode 1"/>
    <m/>
    <n v="0"/>
    <n v="0"/>
    <n v="0"/>
    <n v="0"/>
    <n v="0"/>
    <n v="0"/>
    <n v="0"/>
  </r>
  <r>
    <s v="Post"/>
    <x v="2"/>
    <s v="POST"/>
    <m/>
    <x v="2320"/>
    <s v="101"/>
    <m/>
    <n v="0"/>
    <n v="0"/>
    <n v="0"/>
    <n v="0"/>
    <n v="0"/>
    <n v="3150"/>
    <n v="3150"/>
  </r>
  <r>
    <s v="Post"/>
    <x v="2"/>
    <s v="POST"/>
    <m/>
    <x v="2321"/>
    <s v="101"/>
    <m/>
    <n v="0"/>
    <n v="0"/>
    <n v="0"/>
    <n v="0"/>
    <n v="0"/>
    <n v="6300"/>
    <n v="6300"/>
  </r>
  <r>
    <s v="Post"/>
    <x v="2"/>
    <s v="POST"/>
    <m/>
    <x v="2322"/>
    <s v="109"/>
    <m/>
    <n v="0"/>
    <n v="0"/>
    <n v="0"/>
    <n v="0"/>
    <n v="0"/>
    <n v="4000"/>
    <n v="4000"/>
  </r>
  <r>
    <s v="Post"/>
    <x v="2"/>
    <s v="POST"/>
    <m/>
    <x v="2323"/>
    <s v="118"/>
    <m/>
    <n v="0"/>
    <n v="0"/>
    <n v="0"/>
    <n v="0"/>
    <n v="0"/>
    <n v="6300"/>
    <n v="6300"/>
  </r>
  <r>
    <s v="Post"/>
    <x v="2"/>
    <s v="POST"/>
    <m/>
    <x v="2324"/>
    <s v="123"/>
    <m/>
    <n v="0"/>
    <n v="0"/>
    <n v="0"/>
    <n v="0"/>
    <n v="0"/>
    <n v="24000"/>
    <n v="24000"/>
  </r>
  <r>
    <s v="Post"/>
    <x v="2"/>
    <s v="POST"/>
    <m/>
    <x v="2325"/>
    <s v="125"/>
    <m/>
    <n v="0"/>
    <n v="0"/>
    <n v="0"/>
    <n v="0"/>
    <n v="0"/>
    <n v="12000"/>
    <n v="12000"/>
  </r>
  <r>
    <s v="Post"/>
    <x v="2"/>
    <s v="POST"/>
    <m/>
    <x v="2326"/>
    <s v="126"/>
    <m/>
    <n v="0"/>
    <n v="0"/>
    <n v="0"/>
    <n v="0"/>
    <n v="0"/>
    <n v="12000"/>
    <n v="12000"/>
  </r>
  <r>
    <s v="Post"/>
    <x v="2"/>
    <s v="POST"/>
    <m/>
    <x v="2327"/>
    <s v="127"/>
    <m/>
    <n v="0"/>
    <n v="0"/>
    <n v="0"/>
    <n v="0"/>
    <n v="0"/>
    <n v="12000"/>
    <n v="12000"/>
  </r>
  <r>
    <s v="Post"/>
    <x v="2"/>
    <s v="POST"/>
    <m/>
    <x v="2328"/>
    <s v="135"/>
    <m/>
    <n v="0"/>
    <n v="0"/>
    <n v="0"/>
    <n v="0"/>
    <n v="0"/>
    <n v="6300"/>
    <n v="6300"/>
  </r>
  <r>
    <s v="Post"/>
    <x v="2"/>
    <s v="POST"/>
    <m/>
    <x v="2329"/>
    <s v="135"/>
    <m/>
    <n v="0"/>
    <n v="0"/>
    <n v="0"/>
    <n v="0"/>
    <n v="0"/>
    <n v="3150"/>
    <n v="3150"/>
  </r>
  <r>
    <s v="Post"/>
    <x v="2"/>
    <s v="POST"/>
    <m/>
    <x v="2330"/>
    <s v="135"/>
    <m/>
    <n v="0"/>
    <n v="0"/>
    <n v="0"/>
    <n v="0"/>
    <n v="0"/>
    <n v="3150"/>
    <n v="3150"/>
  </r>
  <r>
    <s v="Post"/>
    <x v="2"/>
    <s v="POST"/>
    <m/>
    <x v="2331"/>
    <s v="136"/>
    <m/>
    <n v="0"/>
    <n v="0"/>
    <n v="0"/>
    <n v="0"/>
    <n v="0"/>
    <n v="3150"/>
    <n v="3150"/>
  </r>
  <r>
    <s v="Post"/>
    <x v="2"/>
    <s v=""/>
    <m/>
    <x v="2332"/>
    <s v="Episode 2"/>
    <m/>
    <n v="0"/>
    <n v="0"/>
    <n v="0"/>
    <n v="0"/>
    <n v="0"/>
    <n v="0"/>
    <n v="0"/>
  </r>
  <r>
    <s v="Post"/>
    <x v="2"/>
    <s v="POST"/>
    <m/>
    <x v="2333"/>
    <s v="201"/>
    <m/>
    <n v="0"/>
    <n v="0"/>
    <n v="0"/>
    <n v="0"/>
    <n v="0"/>
    <n v="6300"/>
    <n v="6300"/>
  </r>
  <r>
    <s v="Post"/>
    <x v="2"/>
    <s v="POST"/>
    <m/>
    <x v="2334"/>
    <s v="208"/>
    <m/>
    <n v="0"/>
    <n v="0"/>
    <n v="0"/>
    <n v="0"/>
    <n v="0"/>
    <n v="6300"/>
    <n v="6300"/>
  </r>
  <r>
    <s v="Post"/>
    <x v="2"/>
    <s v="POST"/>
    <m/>
    <x v="2335"/>
    <s v="208"/>
    <m/>
    <n v="0"/>
    <n v="0"/>
    <n v="0"/>
    <n v="0"/>
    <n v="0"/>
    <n v="3675"/>
    <n v="3675"/>
  </r>
  <r>
    <s v="Post"/>
    <x v="2"/>
    <s v="POST"/>
    <m/>
    <x v="2336"/>
    <s v="211"/>
    <m/>
    <n v="0"/>
    <n v="0"/>
    <n v="0"/>
    <n v="0"/>
    <n v="0"/>
    <n v="3675"/>
    <n v="3675"/>
  </r>
  <r>
    <s v="Post"/>
    <x v="2"/>
    <s v="POST"/>
    <m/>
    <x v="2337"/>
    <s v="222"/>
    <m/>
    <n v="0"/>
    <n v="0"/>
    <n v="0"/>
    <n v="0"/>
    <n v="0"/>
    <n v="3675"/>
    <n v="3675"/>
  </r>
  <r>
    <s v="Post"/>
    <x v="2"/>
    <s v="POST"/>
    <m/>
    <x v="2338"/>
    <s v="223"/>
    <m/>
    <n v="0"/>
    <n v="0"/>
    <n v="0"/>
    <n v="0"/>
    <n v="0"/>
    <n v="3150"/>
    <n v="3150"/>
  </r>
  <r>
    <s v="Post"/>
    <x v="2"/>
    <s v="POST"/>
    <m/>
    <x v="2339"/>
    <s v="227"/>
    <m/>
    <n v="0"/>
    <n v="0"/>
    <n v="0"/>
    <n v="0"/>
    <n v="0"/>
    <n v="3150"/>
    <n v="3150"/>
  </r>
  <r>
    <s v="Post"/>
    <x v="2"/>
    <s v="POST"/>
    <m/>
    <x v="2340"/>
    <s v="231"/>
    <m/>
    <n v="0"/>
    <n v="0"/>
    <n v="0"/>
    <n v="0"/>
    <n v="0"/>
    <n v="3150"/>
    <n v="3150"/>
  </r>
  <r>
    <s v="Post"/>
    <x v="2"/>
    <s v="POST"/>
    <m/>
    <x v="2341"/>
    <s v="231"/>
    <m/>
    <n v="0"/>
    <n v="0"/>
    <n v="0"/>
    <n v="0"/>
    <n v="0"/>
    <n v="12600"/>
    <n v="12600"/>
  </r>
  <r>
    <s v="Post"/>
    <x v="2"/>
    <s v="POST"/>
    <m/>
    <x v="2342"/>
    <s v="233"/>
    <m/>
    <n v="0"/>
    <n v="0"/>
    <n v="0"/>
    <n v="0"/>
    <n v="0"/>
    <n v="3150"/>
    <n v="3150"/>
  </r>
  <r>
    <s v="Post"/>
    <x v="2"/>
    <s v="POST"/>
    <m/>
    <x v="2343"/>
    <s v="234"/>
    <m/>
    <n v="0"/>
    <n v="0"/>
    <n v="0"/>
    <n v="0"/>
    <n v="0"/>
    <n v="6300"/>
    <n v="6300"/>
  </r>
  <r>
    <s v="Post"/>
    <x v="2"/>
    <s v=""/>
    <m/>
    <x v="2344"/>
    <s v="Episode 3"/>
    <m/>
    <n v="0"/>
    <n v="0"/>
    <n v="0"/>
    <n v="0"/>
    <n v="0"/>
    <n v="0"/>
    <n v="0"/>
  </r>
  <r>
    <s v="Post"/>
    <x v="2"/>
    <s v="POST"/>
    <m/>
    <x v="2345"/>
    <s v="301"/>
    <m/>
    <n v="0"/>
    <n v="0"/>
    <n v="0"/>
    <n v="0"/>
    <n v="0"/>
    <n v="3150"/>
    <n v="3150"/>
  </r>
  <r>
    <s v="Post"/>
    <x v="2"/>
    <s v="POST"/>
    <m/>
    <x v="2346"/>
    <s v="307"/>
    <m/>
    <n v="0"/>
    <n v="0"/>
    <n v="0"/>
    <n v="0"/>
    <n v="0"/>
    <n v="3675"/>
    <n v="3675"/>
  </r>
  <r>
    <s v="Post"/>
    <x v="2"/>
    <s v="POST"/>
    <m/>
    <x v="2347"/>
    <s v="309"/>
    <m/>
    <n v="0"/>
    <n v="0"/>
    <n v="0"/>
    <n v="0"/>
    <n v="0"/>
    <n v="6300"/>
    <n v="6300"/>
  </r>
  <r>
    <s v="Post"/>
    <x v="2"/>
    <s v="POST"/>
    <m/>
    <x v="2348"/>
    <s v="310"/>
    <m/>
    <n v="0"/>
    <n v="0"/>
    <n v="0"/>
    <n v="0"/>
    <n v="0"/>
    <n v="12000"/>
    <n v="12000"/>
  </r>
  <r>
    <s v="Post"/>
    <x v="2"/>
    <s v="POST"/>
    <m/>
    <x v="2349"/>
    <s v="311"/>
    <m/>
    <n v="0"/>
    <n v="0"/>
    <n v="0"/>
    <n v="0"/>
    <n v="0"/>
    <n v="3150"/>
    <n v="3150"/>
  </r>
  <r>
    <s v="Post"/>
    <x v="2"/>
    <s v="POST"/>
    <m/>
    <x v="2350"/>
    <s v="311"/>
    <m/>
    <n v="0"/>
    <n v="0"/>
    <n v="0"/>
    <n v="0"/>
    <n v="0"/>
    <n v="6300"/>
    <n v="6300"/>
  </r>
  <r>
    <s v="Post"/>
    <x v="2"/>
    <s v="POST"/>
    <m/>
    <x v="2351"/>
    <s v="311"/>
    <m/>
    <n v="0"/>
    <n v="0"/>
    <n v="0"/>
    <n v="0"/>
    <n v="0"/>
    <n v="3150"/>
    <n v="3150"/>
  </r>
  <r>
    <s v="Post"/>
    <x v="2"/>
    <s v="POST"/>
    <m/>
    <x v="2352"/>
    <s v="312"/>
    <m/>
    <n v="0"/>
    <n v="0"/>
    <n v="0"/>
    <n v="0"/>
    <n v="0"/>
    <n v="8000"/>
    <n v="8000"/>
  </r>
  <r>
    <s v="Post"/>
    <x v="2"/>
    <s v="POST"/>
    <m/>
    <x v="2353"/>
    <s v="313"/>
    <m/>
    <n v="0"/>
    <n v="0"/>
    <n v="0"/>
    <n v="0"/>
    <n v="0"/>
    <n v="3150"/>
    <n v="3150"/>
  </r>
  <r>
    <s v="Post"/>
    <x v="2"/>
    <s v="POST"/>
    <m/>
    <x v="2354"/>
    <s v="313"/>
    <m/>
    <n v="0"/>
    <n v="0"/>
    <n v="0"/>
    <n v="0"/>
    <n v="0"/>
    <n v="3675"/>
    <n v="3675"/>
  </r>
  <r>
    <s v="Post"/>
    <x v="2"/>
    <s v="POST"/>
    <m/>
    <x v="2355"/>
    <s v="316"/>
    <m/>
    <n v="0"/>
    <n v="0"/>
    <n v="0"/>
    <n v="0"/>
    <n v="0"/>
    <n v="40000"/>
    <n v="40000"/>
  </r>
  <r>
    <s v="Post"/>
    <x v="2"/>
    <s v="POST"/>
    <m/>
    <x v="2356"/>
    <s v="324"/>
    <m/>
    <n v="0"/>
    <n v="0"/>
    <n v="0"/>
    <n v="0"/>
    <n v="0"/>
    <n v="3675"/>
    <n v="3675"/>
  </r>
  <r>
    <s v="Post"/>
    <x v="2"/>
    <s v="POST"/>
    <m/>
    <x v="2357"/>
    <s v="326"/>
    <m/>
    <n v="0"/>
    <n v="0"/>
    <n v="0"/>
    <n v="0"/>
    <n v="0"/>
    <n v="20000"/>
    <n v="20000"/>
  </r>
  <r>
    <s v="Post"/>
    <x v="2"/>
    <s v="POST"/>
    <m/>
    <x v="2358"/>
    <s v="329"/>
    <m/>
    <n v="0"/>
    <n v="0"/>
    <n v="0"/>
    <n v="0"/>
    <n v="0"/>
    <n v="3675"/>
    <n v="3675"/>
  </r>
  <r>
    <s v="Post"/>
    <x v="2"/>
    <s v="POST"/>
    <m/>
    <x v="2359"/>
    <s v="329"/>
    <m/>
    <n v="0"/>
    <n v="0"/>
    <n v="0"/>
    <n v="0"/>
    <n v="0"/>
    <n v="3675"/>
    <n v="3675"/>
  </r>
  <r>
    <s v="Post"/>
    <x v="2"/>
    <s v="POST"/>
    <m/>
    <x v="2360"/>
    <s v="329"/>
    <m/>
    <n v="0"/>
    <n v="0"/>
    <n v="0"/>
    <n v="0"/>
    <n v="0"/>
    <n v="3675"/>
    <n v="3675"/>
  </r>
  <r>
    <s v="Post"/>
    <x v="2"/>
    <s v="POST"/>
    <m/>
    <x v="2361"/>
    <s v="333"/>
    <m/>
    <n v="0"/>
    <n v="0"/>
    <n v="0"/>
    <n v="0"/>
    <n v="0"/>
    <n v="12000"/>
    <n v="12000"/>
  </r>
  <r>
    <s v="Post"/>
    <x v="2"/>
    <s v="POST"/>
    <m/>
    <x v="2362"/>
    <s v="334"/>
    <m/>
    <n v="0"/>
    <n v="0"/>
    <n v="0"/>
    <n v="0"/>
    <n v="0"/>
    <n v="12000"/>
    <n v="12000"/>
  </r>
  <r>
    <s v="Post"/>
    <x v="2"/>
    <s v=""/>
    <m/>
    <x v="2363"/>
    <s v="Episode 4"/>
    <m/>
    <n v="0"/>
    <n v="0"/>
    <n v="0"/>
    <n v="0"/>
    <n v="0"/>
    <n v="0"/>
    <n v="0"/>
  </r>
  <r>
    <s v="Post"/>
    <x v="2"/>
    <s v="POST"/>
    <m/>
    <x v="2364"/>
    <s v="400"/>
    <m/>
    <n v="0"/>
    <n v="0"/>
    <n v="0"/>
    <n v="0"/>
    <n v="0"/>
    <n v="3150"/>
    <n v="3150"/>
  </r>
  <r>
    <s v="Post"/>
    <x v="2"/>
    <s v="POST"/>
    <m/>
    <x v="2365"/>
    <s v="402"/>
    <m/>
    <n v="0"/>
    <n v="0"/>
    <n v="0"/>
    <n v="0"/>
    <n v="0"/>
    <n v="3675"/>
    <n v="3675"/>
  </r>
  <r>
    <s v="Post"/>
    <x v="2"/>
    <s v="POST"/>
    <m/>
    <x v="2366"/>
    <s v="412"/>
    <m/>
    <n v="0"/>
    <n v="0"/>
    <n v="0"/>
    <n v="0"/>
    <n v="0"/>
    <n v="3675"/>
    <n v="3675"/>
  </r>
  <r>
    <s v="Post"/>
    <x v="2"/>
    <s v="POST"/>
    <m/>
    <x v="2367"/>
    <s v="416"/>
    <m/>
    <n v="0"/>
    <n v="0"/>
    <n v="0"/>
    <n v="0"/>
    <n v="0"/>
    <n v="3675"/>
    <n v="3675"/>
  </r>
  <r>
    <s v="Post"/>
    <x v="2"/>
    <s v="POST"/>
    <m/>
    <x v="2368"/>
    <s v="418"/>
    <m/>
    <n v="0"/>
    <n v="0"/>
    <n v="0"/>
    <n v="0"/>
    <n v="0"/>
    <n v="15000"/>
    <n v="15000"/>
  </r>
  <r>
    <s v="Post"/>
    <x v="2"/>
    <s v="POST"/>
    <m/>
    <x v="2369"/>
    <s v="418"/>
    <m/>
    <n v="0"/>
    <n v="0"/>
    <n v="0"/>
    <n v="0"/>
    <n v="0"/>
    <n v="15000"/>
    <n v="15000"/>
  </r>
  <r>
    <s v="Post"/>
    <x v="2"/>
    <s v=""/>
    <m/>
    <x v="2370"/>
    <s v="Episode 5"/>
    <m/>
    <n v="0"/>
    <n v="0"/>
    <n v="0"/>
    <n v="0"/>
    <n v="0"/>
    <n v="0"/>
    <n v="0"/>
  </r>
  <r>
    <s v="Post"/>
    <x v="2"/>
    <s v="POST"/>
    <m/>
    <x v="2371"/>
    <s v="501"/>
    <m/>
    <n v="0"/>
    <n v="0"/>
    <n v="0"/>
    <n v="0"/>
    <n v="0"/>
    <n v="7350"/>
    <n v="7350"/>
  </r>
  <r>
    <s v="Post"/>
    <x v="2"/>
    <s v="POST"/>
    <m/>
    <x v="2372"/>
    <s v="502"/>
    <m/>
    <n v="0"/>
    <n v="0"/>
    <n v="0"/>
    <n v="0"/>
    <n v="0"/>
    <n v="3675"/>
    <n v="3675"/>
  </r>
  <r>
    <s v="Post"/>
    <x v="2"/>
    <s v="POST"/>
    <m/>
    <x v="2373"/>
    <s v="506"/>
    <m/>
    <n v="0"/>
    <n v="0"/>
    <n v="0"/>
    <n v="0"/>
    <n v="0"/>
    <n v="7350"/>
    <n v="7350"/>
  </r>
  <r>
    <s v="Post"/>
    <x v="2"/>
    <s v="POST"/>
    <m/>
    <x v="2374"/>
    <s v="508"/>
    <m/>
    <n v="0"/>
    <n v="0"/>
    <n v="0"/>
    <n v="0"/>
    <n v="0"/>
    <n v="6300"/>
    <n v="6300"/>
  </r>
  <r>
    <s v="Post"/>
    <x v="2"/>
    <s v="POST"/>
    <m/>
    <x v="2375"/>
    <s v="508"/>
    <m/>
    <n v="0"/>
    <n v="0"/>
    <n v="0"/>
    <n v="0"/>
    <n v="0"/>
    <n v="3675"/>
    <n v="3675"/>
  </r>
  <r>
    <s v="Post"/>
    <x v="2"/>
    <s v="POST"/>
    <m/>
    <x v="2376"/>
    <s v="509"/>
    <m/>
    <n v="0"/>
    <n v="0"/>
    <n v="0"/>
    <n v="0"/>
    <n v="0"/>
    <n v="7300"/>
    <n v="7300"/>
  </r>
  <r>
    <s v="Post"/>
    <x v="2"/>
    <s v="POST"/>
    <m/>
    <x v="2377"/>
    <s v="516"/>
    <m/>
    <n v="0"/>
    <n v="0"/>
    <n v="0"/>
    <n v="0"/>
    <n v="0"/>
    <n v="9450"/>
    <n v="9450"/>
  </r>
  <r>
    <s v="Post"/>
    <x v="2"/>
    <s v="POST"/>
    <m/>
    <x v="2378"/>
    <s v="517"/>
    <m/>
    <n v="0"/>
    <n v="0"/>
    <n v="0"/>
    <n v="0"/>
    <n v="0"/>
    <n v="9450"/>
    <n v="9450"/>
  </r>
  <r>
    <s v="Post"/>
    <x v="2"/>
    <s v="POST"/>
    <m/>
    <x v="2379"/>
    <s v="537"/>
    <m/>
    <n v="0"/>
    <n v="0"/>
    <n v="0"/>
    <n v="0"/>
    <n v="0"/>
    <n v="20000"/>
    <n v="20000"/>
  </r>
  <r>
    <s v="Post"/>
    <x v="2"/>
    <s v=""/>
    <m/>
    <x v="2380"/>
    <s v="Episode 6 - Referencia Primera Temporada"/>
    <m/>
    <n v="0"/>
    <n v="0"/>
    <n v="0"/>
    <n v="0"/>
    <n v="0"/>
    <n v="0"/>
    <n v="0"/>
  </r>
  <r>
    <s v="Post"/>
    <x v="2"/>
    <s v="POST"/>
    <m/>
    <x v="2381"/>
    <s v="601"/>
    <m/>
    <n v="0"/>
    <n v="0"/>
    <n v="0"/>
    <n v="0"/>
    <n v="0"/>
    <n v="3150"/>
    <n v="3150"/>
  </r>
  <r>
    <s v="Post"/>
    <x v="2"/>
    <s v="POST"/>
    <m/>
    <x v="2382"/>
    <s v="602"/>
    <m/>
    <n v="0"/>
    <n v="0"/>
    <n v="0"/>
    <n v="0"/>
    <n v="0"/>
    <n v="3675"/>
    <n v="3675"/>
  </r>
  <r>
    <s v="Post"/>
    <x v="2"/>
    <s v="POST"/>
    <m/>
    <x v="2383"/>
    <s v="613"/>
    <m/>
    <n v="0"/>
    <n v="0"/>
    <n v="0"/>
    <n v="0"/>
    <n v="0"/>
    <n v="7350"/>
    <n v="7350"/>
  </r>
  <r>
    <s v="Post"/>
    <x v="2"/>
    <s v="POST"/>
    <m/>
    <x v="2384"/>
    <s v="616"/>
    <m/>
    <n v="0"/>
    <n v="0"/>
    <n v="0"/>
    <n v="0"/>
    <n v="0"/>
    <n v="3150"/>
    <n v="3150"/>
  </r>
  <r>
    <s v="Post"/>
    <x v="2"/>
    <s v="POST"/>
    <m/>
    <x v="2385"/>
    <s v="625"/>
    <m/>
    <n v="0"/>
    <n v="0"/>
    <n v="0"/>
    <n v="0"/>
    <n v="0"/>
    <n v="3675"/>
    <n v="3675"/>
  </r>
  <r>
    <s v="Post"/>
    <x v="2"/>
    <s v="POST"/>
    <m/>
    <x v="2386"/>
    <s v="631"/>
    <m/>
    <n v="0"/>
    <n v="0"/>
    <n v="0"/>
    <n v="0"/>
    <n v="0"/>
    <n v="3675"/>
    <n v="3675"/>
  </r>
  <r>
    <s v="Post"/>
    <x v="2"/>
    <s v="POST"/>
    <m/>
    <x v="2387"/>
    <s v="632"/>
    <m/>
    <n v="0"/>
    <n v="0"/>
    <n v="0"/>
    <n v="0"/>
    <n v="0"/>
    <n v="7350"/>
    <n v="7350"/>
  </r>
  <r>
    <s v="Post"/>
    <x v="2"/>
    <s v=""/>
    <m/>
    <x v="2388"/>
    <s v="Episode 7"/>
    <m/>
    <n v="0"/>
    <n v="0"/>
    <n v="0"/>
    <n v="0"/>
    <n v="0"/>
    <n v="0"/>
    <n v="0"/>
  </r>
  <r>
    <s v="Post"/>
    <x v="2"/>
    <s v="POST"/>
    <m/>
    <x v="2389"/>
    <s v="701"/>
    <m/>
    <n v="0"/>
    <n v="0"/>
    <n v="0"/>
    <n v="0"/>
    <n v="0"/>
    <n v="3150"/>
    <n v="3150"/>
  </r>
  <r>
    <s v="Post"/>
    <x v="2"/>
    <s v="POST"/>
    <m/>
    <x v="2390"/>
    <s v="702"/>
    <m/>
    <n v="0"/>
    <n v="0"/>
    <n v="0"/>
    <n v="0"/>
    <n v="0"/>
    <n v="3150"/>
    <n v="3150"/>
  </r>
  <r>
    <s v="Post"/>
    <x v="2"/>
    <s v="POST"/>
    <m/>
    <x v="2391"/>
    <s v="708"/>
    <m/>
    <n v="0"/>
    <n v="0"/>
    <n v="0"/>
    <n v="0"/>
    <n v="0"/>
    <n v="3675"/>
    <n v="3675"/>
  </r>
  <r>
    <s v="Post"/>
    <x v="2"/>
    <s v="POST"/>
    <m/>
    <x v="2392"/>
    <s v="710D"/>
    <m/>
    <n v="0"/>
    <n v="0"/>
    <n v="0"/>
    <n v="0"/>
    <n v="0"/>
    <n v="3675"/>
    <n v="3675"/>
  </r>
  <r>
    <s v="Post"/>
    <x v="2"/>
    <s v="POST"/>
    <m/>
    <x v="2393"/>
    <s v="717"/>
    <m/>
    <n v="0"/>
    <n v="0"/>
    <n v="0"/>
    <n v="0"/>
    <n v="0"/>
    <n v="3150"/>
    <n v="3150"/>
  </r>
  <r>
    <s v="Post"/>
    <x v="2"/>
    <s v="POST"/>
    <m/>
    <x v="2394"/>
    <s v="730"/>
    <m/>
    <n v="0"/>
    <n v="0"/>
    <n v="0"/>
    <n v="0"/>
    <n v="0"/>
    <n v="3675"/>
    <n v="3675"/>
  </r>
  <r>
    <s v="Post"/>
    <x v="2"/>
    <s v="POST"/>
    <m/>
    <x v="2395"/>
    <s v="735"/>
    <m/>
    <n v="0"/>
    <n v="0"/>
    <n v="0"/>
    <n v="0"/>
    <n v="0"/>
    <n v="48000"/>
    <n v="48000"/>
  </r>
  <r>
    <s v="Post"/>
    <x v="2"/>
    <s v=""/>
    <m/>
    <x v="2396"/>
    <s v="Episode 8"/>
    <m/>
    <n v="0"/>
    <n v="0"/>
    <n v="0"/>
    <n v="0"/>
    <n v="0"/>
    <n v="0"/>
    <n v="0"/>
  </r>
  <r>
    <s v="Post"/>
    <x v="2"/>
    <s v="POST"/>
    <m/>
    <x v="2397"/>
    <s v="804"/>
    <m/>
    <n v="0"/>
    <n v="0"/>
    <n v="0"/>
    <n v="0"/>
    <n v="0"/>
    <n v="3675"/>
    <n v="3675"/>
  </r>
  <r>
    <s v="Post"/>
    <x v="2"/>
    <s v="POST"/>
    <m/>
    <x v="2398"/>
    <s v="810"/>
    <m/>
    <n v="0"/>
    <n v="0"/>
    <n v="0"/>
    <n v="0"/>
    <n v="0"/>
    <n v="11025"/>
    <n v="11025"/>
  </r>
  <r>
    <s v="Post"/>
    <x v="2"/>
    <s v="POST"/>
    <m/>
    <x v="2399"/>
    <s v="811"/>
    <m/>
    <n v="0"/>
    <n v="0"/>
    <n v="0"/>
    <n v="0"/>
    <n v="0"/>
    <n v="3675"/>
    <n v="3675"/>
  </r>
  <r>
    <s v="Post"/>
    <x v="2"/>
    <s v="POST"/>
    <m/>
    <x v="2400"/>
    <s v="822"/>
    <m/>
    <n v="0"/>
    <n v="0"/>
    <n v="0"/>
    <n v="0"/>
    <n v="0"/>
    <n v="3675"/>
    <n v="3675"/>
  </r>
  <r>
    <s v="Post"/>
    <x v="2"/>
    <s v="POST"/>
    <m/>
    <x v="2401"/>
    <s v="823"/>
    <m/>
    <n v="0"/>
    <n v="0"/>
    <n v="0"/>
    <n v="0"/>
    <n v="0"/>
    <n v="3675"/>
    <n v="3675"/>
  </r>
  <r>
    <s v="Post"/>
    <x v="2"/>
    <s v="POST"/>
    <m/>
    <x v="2402"/>
    <s v="824"/>
    <m/>
    <n v="0"/>
    <n v="0"/>
    <n v="0"/>
    <n v="0"/>
    <n v="0"/>
    <n v="3675"/>
    <n v="3675"/>
  </r>
  <r>
    <s v="Post"/>
    <x v="2"/>
    <s v="POST"/>
    <m/>
    <x v="2403"/>
    <s v="834"/>
    <m/>
    <n v="0"/>
    <n v="0"/>
    <n v="0"/>
    <n v="0"/>
    <n v="0"/>
    <n v="3675"/>
    <n v="3675"/>
  </r>
  <r>
    <s v="Post"/>
    <x v="2"/>
    <s v="POST"/>
    <m/>
    <x v="2404"/>
    <s v="838"/>
    <m/>
    <n v="0"/>
    <n v="0"/>
    <n v="0"/>
    <n v="0"/>
    <n v="0"/>
    <n v="3675"/>
    <n v="3675"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</r>
  <r>
    <s v="Post"/>
    <x v="2"/>
    <s v=""/>
    <m/>
    <x v="2406"/>
    <s v="Descuento Dinamita 07/03/24"/>
    <m/>
    <n v="0"/>
    <n v="0"/>
    <n v="0"/>
    <n v="0"/>
    <n v="0"/>
    <n v="0"/>
    <n v="0"/>
  </r>
  <r>
    <s v="Post"/>
    <x v="2"/>
    <s v="POST"/>
    <m/>
    <x v="2407"/>
    <s v="All show"/>
    <m/>
    <n v="0"/>
    <n v="0"/>
    <n v="0"/>
    <n v="0"/>
    <n v="0"/>
    <n v="-849515.52000000002"/>
    <n v="-849515.52000000002"/>
  </r>
  <r>
    <s v="Post"/>
    <x v="1"/>
    <m/>
    <m/>
    <x v="2408"/>
    <s v="VFX IMPREVISTOS"/>
    <m/>
    <n v="110400"/>
    <n v="0"/>
    <n v="110400"/>
    <n v="0"/>
    <n v="110400"/>
    <n v="350000"/>
    <n v="239600"/>
  </r>
  <r>
    <s v="Post"/>
    <x v="2"/>
    <s v=""/>
    <m/>
    <x v="2409"/>
    <s v="Unforseen VFX Allowance"/>
    <m/>
    <n v="0"/>
    <n v="0"/>
    <n v="0"/>
    <n v="0"/>
    <n v="0"/>
    <n v="0"/>
    <n v="0"/>
  </r>
  <r>
    <s v="Post"/>
    <x v="2"/>
    <s v="POST"/>
    <m/>
    <x v="2410"/>
    <s v="Allowance"/>
    <m/>
    <n v="110400"/>
    <n v="0"/>
    <n v="110400"/>
    <n v="0"/>
    <n v="110400"/>
    <n v="350000"/>
    <n v="239600"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</r>
  <r>
    <s v="Others"/>
    <x v="1"/>
    <m/>
    <m/>
    <x v="2412"/>
    <s v="AUDITOR/CONTADOR FISCAL"/>
    <m/>
    <n v="149875"/>
    <n v="0"/>
    <n v="149875"/>
    <n v="0"/>
    <n v="149875"/>
    <n v="149875"/>
    <n v="0"/>
  </r>
  <r>
    <s v="Others"/>
    <x v="2"/>
    <s v=""/>
    <m/>
    <x v="2413"/>
    <s v="Contabilidad Fiscal - Jose Antonio Leyte"/>
    <m/>
    <n v="0"/>
    <n v="0"/>
    <n v="0"/>
    <n v="0"/>
    <n v="0"/>
    <n v="0"/>
    <n v="0"/>
  </r>
  <r>
    <s v="Others"/>
    <x v="2"/>
    <s v="SOFT"/>
    <m/>
    <x v="2414"/>
    <s v="Soft"/>
    <m/>
    <n v="6875"/>
    <n v="0"/>
    <n v="6875"/>
    <n v="0"/>
    <n v="6875"/>
    <n v="6875"/>
    <n v="0"/>
  </r>
  <r>
    <s v="Others"/>
    <x v="2"/>
    <s v="PREP"/>
    <m/>
    <x v="2415"/>
    <s v="Prep"/>
    <m/>
    <n v="49500"/>
    <n v="0"/>
    <n v="49500"/>
    <n v="0"/>
    <n v="49500"/>
    <n v="49500"/>
    <n v="0"/>
  </r>
  <r>
    <s v="Others"/>
    <x v="2"/>
    <s v="SHOOT"/>
    <m/>
    <x v="2416"/>
    <s v="Shoot"/>
    <m/>
    <n v="38500"/>
    <n v="0"/>
    <n v="38500"/>
    <n v="0"/>
    <n v="38500"/>
    <n v="38500"/>
    <n v="0"/>
  </r>
  <r>
    <s v="Others"/>
    <x v="2"/>
    <s v="WRAP"/>
    <m/>
    <x v="2417"/>
    <s v="Wrap"/>
    <m/>
    <n v="22000"/>
    <n v="0"/>
    <n v="22000"/>
    <n v="0"/>
    <n v="22000"/>
    <n v="22000"/>
    <n v="0"/>
  </r>
  <r>
    <s v="Others"/>
    <x v="2"/>
    <s v="POST"/>
    <m/>
    <x v="2418"/>
    <s v="Post"/>
    <m/>
    <n v="33000"/>
    <n v="0"/>
    <n v="33000"/>
    <n v="0"/>
    <n v="33000"/>
    <n v="33000"/>
    <n v="0"/>
  </r>
  <r>
    <s v="Others"/>
    <x v="1"/>
    <m/>
    <m/>
    <x v="2419"/>
    <s v="COSTO INCENTIVOS"/>
    <m/>
    <n v="64733"/>
    <n v="0"/>
    <n v="64733"/>
    <n v="0"/>
    <n v="64733"/>
    <n v="68000"/>
    <n v="3267"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</r>
  <r>
    <s v="Others"/>
    <x v="2"/>
    <s v="PREP"/>
    <m/>
    <x v="2421"/>
    <s v="Prep"/>
    <m/>
    <n v="60000"/>
    <n v="0"/>
    <n v="60000"/>
    <n v="0"/>
    <n v="60000"/>
    <n v="60000"/>
    <n v="0"/>
  </r>
  <r>
    <s v="Others"/>
    <x v="2"/>
    <s v=""/>
    <m/>
    <x v="2422"/>
    <s v="Cash Rebate - Javier Sariñana"/>
    <m/>
    <n v="0"/>
    <n v="0"/>
    <n v="0"/>
    <n v="0"/>
    <n v="0"/>
    <n v="0"/>
    <n v="0"/>
  </r>
  <r>
    <s v="Others"/>
    <x v="2"/>
    <s v="ALL SHOW"/>
    <m/>
    <x v="2423"/>
    <s v="MEX - GDL"/>
    <m/>
    <n v="0"/>
    <n v="0"/>
    <n v="0"/>
    <n v="0"/>
    <n v="0"/>
    <n v="4000"/>
    <n v="4000"/>
  </r>
  <r>
    <s v="Others"/>
    <x v="2"/>
    <s v="ALL SHOW"/>
    <m/>
    <x v="2424"/>
    <s v="GDL - MEX"/>
    <m/>
    <n v="4733"/>
    <n v="0"/>
    <n v="4733"/>
    <n v="0"/>
    <n v="4733"/>
    <n v="4000"/>
    <n v="-733"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</r>
  <r>
    <s v="Others"/>
    <x v="2"/>
    <s v=""/>
    <m/>
    <x v="2426"/>
    <s v="PSC FEE"/>
    <m/>
    <n v="0"/>
    <n v="0"/>
    <n v="0"/>
    <n v="0"/>
    <n v="0"/>
    <n v="0"/>
    <n v="0"/>
  </r>
  <r>
    <s v="Others"/>
    <x v="2"/>
    <s v=""/>
    <m/>
    <x v="2427"/>
    <s v="10%"/>
    <m/>
    <n v="0"/>
    <n v="0"/>
    <n v="0"/>
    <n v="0"/>
    <n v="0"/>
    <n v="0"/>
    <n v="0"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</r>
  <r>
    <s v="Others"/>
    <x v="1"/>
    <m/>
    <m/>
    <x v="2429"/>
    <s v="COSTOS LEGALES"/>
    <m/>
    <n v="854182"/>
    <n v="0"/>
    <n v="854182"/>
    <n v="0"/>
    <n v="854182"/>
    <n v="464182"/>
    <n v="-390000"/>
  </r>
  <r>
    <s v="Others"/>
    <x v="2"/>
    <s v=""/>
    <m/>
    <x v="2430"/>
    <s v="Legal - Olivares"/>
    <m/>
    <n v="0"/>
    <n v="0"/>
    <n v="0"/>
    <n v="0"/>
    <n v="0"/>
    <n v="0"/>
    <n v="0"/>
  </r>
  <r>
    <s v="Others"/>
    <x v="2"/>
    <s v="PREP"/>
    <m/>
    <x v="2431"/>
    <s v="Pre"/>
    <m/>
    <n v="95000"/>
    <n v="0"/>
    <n v="95000"/>
    <n v="0"/>
    <n v="95000"/>
    <n v="45000"/>
    <n v="-50000"/>
  </r>
  <r>
    <s v="Others"/>
    <x v="2"/>
    <s v="SHOOT"/>
    <m/>
    <x v="2432"/>
    <s v="Shoot"/>
    <m/>
    <n v="677500"/>
    <n v="0"/>
    <n v="677500"/>
    <n v="0"/>
    <n v="677500"/>
    <n v="337500"/>
    <n v="-340000"/>
  </r>
  <r>
    <s v="Others"/>
    <x v="2"/>
    <s v="WRAP"/>
    <m/>
    <x v="2433"/>
    <s v="Wrap"/>
    <m/>
    <n v="67500"/>
    <n v="0"/>
    <n v="67500"/>
    <n v="0"/>
    <n v="67500"/>
    <n v="67500"/>
    <n v="0"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</r>
  <r>
    <s v="Others"/>
    <x v="2"/>
    <s v="ALL SHOW"/>
    <m/>
    <x v="2435"/>
    <s v="Series"/>
    <m/>
    <n v="14182"/>
    <n v="0"/>
    <n v="14182"/>
    <n v="0"/>
    <n v="14182"/>
    <n v="14182"/>
    <n v="0"/>
  </r>
  <r>
    <s v="Others"/>
    <x v="1"/>
    <m/>
    <m/>
    <x v="2436"/>
    <s v="BACKGROUND CHECKS"/>
    <m/>
    <n v="15300"/>
    <n v="0"/>
    <n v="15300"/>
    <n v="0"/>
    <n v="15300"/>
    <n v="18700"/>
    <n v="3400"/>
  </r>
  <r>
    <s v="Others"/>
    <x v="2"/>
    <s v=""/>
    <m/>
    <x v="2437"/>
    <s v="Background Checks - Infilter"/>
    <m/>
    <n v="0"/>
    <n v="0"/>
    <n v="0"/>
    <n v="0"/>
    <n v="0"/>
    <n v="0"/>
    <n v="0"/>
  </r>
  <r>
    <s v="Others"/>
    <x v="2"/>
    <s v="ALL SHOW"/>
    <m/>
    <x v="2438"/>
    <s v="All Show"/>
    <m/>
    <n v="15300"/>
    <n v="0"/>
    <n v="15300"/>
    <n v="0"/>
    <n v="15300"/>
    <n v="18700"/>
    <n v="3400"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</r>
  <r>
    <s v="Others"/>
    <x v="2"/>
    <s v=""/>
    <m/>
    <x v="2440"/>
    <s v="Bank Charges Mini Room"/>
    <m/>
    <n v="0"/>
    <n v="0"/>
    <n v="0"/>
    <n v="0"/>
    <n v="0"/>
    <n v="0"/>
    <n v="0"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</r>
  <r>
    <s v="Others"/>
    <x v="2"/>
    <s v=""/>
    <m/>
    <x v="2443"/>
    <s v="Bank Charger"/>
    <m/>
    <n v="0"/>
    <n v="0"/>
    <n v="0"/>
    <n v="0"/>
    <n v="0"/>
    <n v="0"/>
    <n v="0"/>
  </r>
  <r>
    <s v="Others"/>
    <x v="2"/>
    <s v="ALL SHOW"/>
    <m/>
    <x v="2444"/>
    <s v="Comisión Scotia Bank"/>
    <m/>
    <n v="9699.32"/>
    <n v="4745.68"/>
    <n v="14445"/>
    <n v="0"/>
    <n v="14445"/>
    <n v="40000"/>
    <n v="25555"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</r>
  <r>
    <s v="Others"/>
    <x v="2"/>
    <s v=""/>
    <m/>
    <x v="2447"/>
    <s v="Gifts"/>
    <m/>
    <n v="0"/>
    <n v="0"/>
    <n v="0"/>
    <n v="0"/>
    <n v="0"/>
    <n v="0"/>
    <n v="0"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</r>
  <r>
    <s v="Others"/>
    <x v="2"/>
    <s v=""/>
    <m/>
    <x v="2452"/>
    <s v="Papelería Materialidad SAT"/>
    <m/>
    <n v="0"/>
    <n v="0"/>
    <n v="0"/>
    <n v="0"/>
    <n v="0"/>
    <n v="0"/>
    <n v="0"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</r>
  <r>
    <s v="Others"/>
    <x v="2"/>
    <s v=""/>
    <m/>
    <x v="2455"/>
    <s v="Office Chargers"/>
    <m/>
    <n v="0"/>
    <n v="0"/>
    <n v="0"/>
    <n v="0"/>
    <n v="0"/>
    <n v="0"/>
    <n v="0"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</r>
  <r>
    <s v="Others"/>
    <x v="0"/>
    <m/>
    <m/>
    <x v="2457"/>
    <s v="SEGUROS"/>
    <m/>
    <n v="1511017.915"/>
    <n v="0"/>
    <n v="1511017.915"/>
    <n v="0"/>
    <n v="1511017.915"/>
    <n v="1485676"/>
    <n v="-25341.915000000095"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</r>
  <r>
    <s v="Others"/>
    <x v="2"/>
    <s v="ALL SHOW"/>
    <m/>
    <x v="2459"/>
    <s v="Insurance - LCI"/>
    <m/>
    <n v="0"/>
    <n v="0"/>
    <n v="0"/>
    <n v="0"/>
    <n v="0"/>
    <n v="0"/>
    <n v="0"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</r>
  <r>
    <s v="Others"/>
    <x v="2"/>
    <s v=""/>
    <m/>
    <x v="2461"/>
    <s v="Seguro Móvil y Cámara - EFD"/>
    <m/>
    <n v="0"/>
    <n v="0"/>
    <n v="0"/>
    <n v="0"/>
    <n v="0"/>
    <n v="0"/>
    <n v="0"/>
  </r>
  <r>
    <s v="Others"/>
    <x v="2"/>
    <s v="SHOOT"/>
    <m/>
    <x v="2462"/>
    <s v="Shoot"/>
    <m/>
    <n v="0"/>
    <n v="0"/>
    <n v="0"/>
    <n v="0"/>
    <n v="0"/>
    <n v="47840"/>
    <n v="47840"/>
  </r>
  <r>
    <s v="Others"/>
    <x v="2"/>
    <s v="ALL SHOW"/>
    <m/>
    <x v="2463"/>
    <s v="Accidentes ( por reembolsar)"/>
    <m/>
    <n v="0"/>
    <n v="0"/>
    <n v="0"/>
    <n v="0"/>
    <n v="0"/>
    <n v="0"/>
    <n v="0"/>
  </r>
  <r>
    <s v="Others"/>
    <x v="1"/>
    <m/>
    <m/>
    <x v="2464"/>
    <s v="COMPRAS Y RENTAS CV19"/>
    <m/>
    <n v="4000"/>
    <n v="0"/>
    <n v="4000"/>
    <n v="0"/>
    <n v="4000"/>
    <n v="50000"/>
    <n v="46000"/>
  </r>
  <r>
    <s v="Others"/>
    <x v="2"/>
    <s v=""/>
    <m/>
    <x v="2465"/>
    <s v="Compras Higiene"/>
    <m/>
    <n v="0"/>
    <n v="0"/>
    <n v="0"/>
    <n v="0"/>
    <n v="0"/>
    <n v="0"/>
    <n v="0"/>
  </r>
  <r>
    <s v="Others"/>
    <x v="2"/>
    <s v="COVID"/>
    <m/>
    <x v="2466"/>
    <s v="Allowance"/>
    <m/>
    <n v="4000"/>
    <n v="0"/>
    <n v="4000"/>
    <n v="0"/>
    <n v="4000"/>
    <n v="50000"/>
    <n v="46000"/>
  </r>
  <r>
    <s v="Others"/>
    <x v="1"/>
    <m/>
    <m/>
    <x v="2467"/>
    <s v="PRUEBAS CV19"/>
    <m/>
    <n v="0"/>
    <n v="0"/>
    <n v="0"/>
    <n v="0"/>
    <n v="0"/>
    <n v="111300"/>
    <n v="111300"/>
  </r>
  <r>
    <s v="Others"/>
    <x v="2"/>
    <s v=""/>
    <m/>
    <x v="2468"/>
    <s v="Pruebas Crew PCR"/>
    <m/>
    <n v="0"/>
    <n v="0"/>
    <n v="0"/>
    <n v="0"/>
    <n v="0"/>
    <n v="0"/>
    <n v="0"/>
  </r>
  <r>
    <s v="Others"/>
    <x v="2"/>
    <s v="COVID"/>
    <m/>
    <x v="2469"/>
    <s v="Pruebas Crew PCR Prep"/>
    <m/>
    <n v="0"/>
    <n v="0"/>
    <n v="0"/>
    <n v="0"/>
    <n v="0"/>
    <n v="47400"/>
    <n v="47400"/>
  </r>
  <r>
    <s v="Others"/>
    <x v="2"/>
    <s v="COVID"/>
    <m/>
    <x v="2470"/>
    <s v="Pruebas PCR Emergencia "/>
    <m/>
    <n v="0"/>
    <n v="0"/>
    <n v="0"/>
    <n v="0"/>
    <n v="0"/>
    <n v="47400"/>
    <n v="47400"/>
  </r>
  <r>
    <s v="Others"/>
    <x v="2"/>
    <s v="COVID"/>
    <m/>
    <x v="2471"/>
    <s v="Pruebas Antigenos Emergencia"/>
    <m/>
    <n v="0"/>
    <n v="0"/>
    <n v="0"/>
    <n v="0"/>
    <n v="0"/>
    <n v="16500"/>
    <n v="16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  <m/>
    <m/>
    <n v="10065000.08"/>
    <n v="0"/>
    <m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  <m/>
    <m/>
    <n v="8340000.0199999996"/>
    <n v="0"/>
    <m/>
  </r>
  <r>
    <s v="Above the Line"/>
    <x v="2"/>
    <s v=""/>
    <m/>
    <x v="2"/>
    <s v="Mini Room (Episodes 1 through 4)"/>
    <m/>
    <n v="0"/>
    <n v="0"/>
    <n v="0"/>
    <n v="0"/>
    <n v="0"/>
    <n v="0"/>
    <n v="0"/>
    <m/>
    <m/>
    <n v="0"/>
    <n v="0"/>
    <m/>
  </r>
  <r>
    <s v="Above the Line"/>
    <x v="2"/>
    <s v=""/>
    <m/>
    <x v="3"/>
    <s v="Devlopment &amp; Bible"/>
    <m/>
    <n v="0"/>
    <n v="0"/>
    <n v="0"/>
    <n v="0"/>
    <n v="0"/>
    <n v="0"/>
    <n v="0"/>
    <m/>
    <m/>
    <n v="0"/>
    <n v="0"/>
    <m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  <m/>
    <m/>
    <n v="100000.03"/>
    <n v="0"/>
    <m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7"/>
    <s v="Script 201"/>
    <m/>
    <n v="0"/>
    <n v="0"/>
    <n v="0"/>
    <n v="0"/>
    <n v="0"/>
    <n v="0"/>
    <n v="0"/>
    <m/>
    <m/>
    <n v="0"/>
    <n v="0"/>
    <m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0"/>
    <s v="Script 202"/>
    <m/>
    <n v="0"/>
    <n v="0"/>
    <n v="0"/>
    <n v="0"/>
    <n v="0"/>
    <n v="0"/>
    <n v="0"/>
    <m/>
    <m/>
    <n v="0"/>
    <n v="0"/>
    <m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3"/>
    <s v="Script 203"/>
    <m/>
    <n v="0"/>
    <n v="0"/>
    <n v="0"/>
    <n v="0"/>
    <n v="0"/>
    <n v="0"/>
    <n v="0"/>
    <m/>
    <m/>
    <n v="0"/>
    <n v="0"/>
    <m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6"/>
    <s v="Script 204"/>
    <m/>
    <n v="0"/>
    <n v="0"/>
    <n v="0"/>
    <n v="0"/>
    <n v="0"/>
    <n v="0"/>
    <n v="0"/>
    <m/>
    <m/>
    <n v="0"/>
    <n v="0"/>
    <m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  <m/>
    <m/>
    <n v="1399999.9899999998"/>
    <n v="0"/>
    <m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9"/>
    <s v="Room (Episodes 5 through 8)"/>
    <m/>
    <n v="0"/>
    <n v="0"/>
    <n v="0"/>
    <n v="0"/>
    <n v="0"/>
    <n v="0"/>
    <n v="0"/>
    <m/>
    <m/>
    <n v="0"/>
    <n v="0"/>
    <m/>
  </r>
  <r>
    <s v="Above the Line"/>
    <x v="2"/>
    <s v=""/>
    <m/>
    <x v="20"/>
    <s v="Script 205"/>
    <m/>
    <n v="0"/>
    <n v="0"/>
    <n v="0"/>
    <n v="0"/>
    <n v="0"/>
    <n v="0"/>
    <n v="0"/>
    <m/>
    <m/>
    <n v="0"/>
    <n v="0"/>
    <m/>
  </r>
  <r>
    <s v="Above the Line"/>
    <x v="2"/>
    <s v="DEVELOPMENT"/>
    <m/>
    <x v="21"/>
    <s v="Silvia Pasternak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2"/>
    <s v="Script 206"/>
    <m/>
    <n v="0"/>
    <n v="0"/>
    <n v="0"/>
    <n v="0"/>
    <n v="0"/>
    <n v="0"/>
    <n v="0"/>
    <m/>
    <m/>
    <n v="0"/>
    <n v="0"/>
    <m/>
  </r>
  <r>
    <s v="Above the Line"/>
    <x v="2"/>
    <s v="DEVELOPMENT"/>
    <m/>
    <x v="23"/>
    <s v="Isael León Fajer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4"/>
    <s v="Script 207"/>
    <m/>
    <n v="0"/>
    <n v="0"/>
    <n v="0"/>
    <n v="0"/>
    <n v="0"/>
    <n v="0"/>
    <n v="0"/>
    <m/>
    <m/>
    <n v="0"/>
    <n v="0"/>
    <m/>
  </r>
  <r>
    <s v="Above the Line"/>
    <x v="2"/>
    <s v="DEVELOPMENT"/>
    <m/>
    <x v="25"/>
    <s v="Claudia Blum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6"/>
    <s v="Script 208"/>
    <m/>
    <n v="0"/>
    <n v="0"/>
    <n v="0"/>
    <n v="0"/>
    <n v="0"/>
    <n v="0"/>
    <n v="0"/>
    <m/>
    <m/>
    <n v="0"/>
    <n v="0"/>
    <m/>
  </r>
  <r>
    <s v="Above the Line"/>
    <x v="2"/>
    <s v="DEVELOPMENT"/>
    <m/>
    <x v="27"/>
    <s v="Isael León Fajer "/>
    <m/>
    <n v="105000"/>
    <n v="0"/>
    <n v="105000"/>
    <n v="0"/>
    <n v="105000"/>
    <n v="105000"/>
    <n v="0"/>
    <m/>
    <m/>
    <n v="105000"/>
    <n v="0"/>
    <m/>
  </r>
  <r>
    <s v="Above the Line"/>
    <x v="2"/>
    <s v="DEVELOPMENT"/>
    <m/>
    <x v="28"/>
    <s v="Silvia Pasternak "/>
    <m/>
    <n v="105000"/>
    <n v="0"/>
    <n v="105000"/>
    <n v="0"/>
    <n v="105000"/>
    <n v="105000"/>
    <n v="0"/>
    <m/>
    <m/>
    <n v="105000"/>
    <n v="0"/>
    <m/>
  </r>
  <r>
    <s v="Above the Line"/>
    <x v="1"/>
    <m/>
    <m/>
    <x v="29"/>
    <s v="EDITOR LITERARIO"/>
    <m/>
    <n v="150000"/>
    <n v="0"/>
    <n v="150000"/>
    <n v="0"/>
    <n v="150000"/>
    <n v="150000"/>
    <n v="0"/>
    <m/>
    <m/>
    <n v="150000"/>
    <n v="0"/>
    <m/>
  </r>
  <r>
    <s v="Above the Line"/>
    <x v="2"/>
    <s v=""/>
    <m/>
    <x v="30"/>
    <s v="Editor Literario - André Palavicini"/>
    <m/>
    <n v="0"/>
    <n v="0"/>
    <n v="0"/>
    <n v="0"/>
    <n v="0"/>
    <n v="0"/>
    <n v="0"/>
    <m/>
    <m/>
    <n v="0"/>
    <n v="0"/>
    <m/>
  </r>
  <r>
    <s v="Above the Line"/>
    <x v="2"/>
    <s v="DEVELOPMENT"/>
    <m/>
    <x v="31"/>
    <s v="Development"/>
    <m/>
    <n v="150000"/>
    <n v="0"/>
    <n v="150000"/>
    <n v="0"/>
    <n v="150000"/>
    <n v="150000"/>
    <n v="0"/>
    <m/>
    <m/>
    <n v="150000"/>
    <n v="0"/>
    <m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  <m/>
    <m/>
    <n v="1100000.06"/>
    <n v="0"/>
    <m/>
  </r>
  <r>
    <s v="Above the Line"/>
    <x v="2"/>
    <s v=""/>
    <m/>
    <x v="33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34"/>
    <s v="Senior Writer 1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  <m/>
    <m/>
    <n v="275000.06"/>
    <n v="0"/>
    <m/>
  </r>
  <r>
    <s v="Above the Line"/>
    <x v="2"/>
    <s v=""/>
    <m/>
    <x v="36"/>
    <s v="Senior Writer 2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38"/>
    <s v="Writers Room"/>
    <m/>
    <n v="0"/>
    <n v="0"/>
    <n v="0"/>
    <n v="0"/>
    <n v="0"/>
    <n v="0"/>
    <n v="0"/>
    <m/>
    <m/>
    <n v="0"/>
    <n v="0"/>
    <m/>
  </r>
  <r>
    <s v="Above the Line"/>
    <x v="2"/>
    <s v=""/>
    <m/>
    <x v="39"/>
    <s v="Senior Writer 1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41"/>
    <s v="Senior Writer 2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1"/>
    <m/>
    <m/>
    <x v="43"/>
    <s v="COORDINACION/ASIST ESCRITORES"/>
    <m/>
    <n v="250000"/>
    <n v="0"/>
    <n v="250000"/>
    <n v="0"/>
    <n v="250000"/>
    <n v="250000"/>
    <n v="0"/>
    <m/>
    <m/>
    <n v="250000"/>
    <n v="0"/>
    <m/>
  </r>
  <r>
    <s v="Above the Line"/>
    <x v="2"/>
    <s v=""/>
    <m/>
    <x v="44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45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2"/>
    <s v=""/>
    <m/>
    <x v="47"/>
    <s v="Room"/>
    <m/>
    <n v="0"/>
    <n v="0"/>
    <n v="0"/>
    <n v="0"/>
    <n v="0"/>
    <n v="0"/>
    <n v="0"/>
    <m/>
    <m/>
    <n v="0"/>
    <n v="0"/>
    <m/>
  </r>
  <r>
    <s v="Above the Line"/>
    <x v="2"/>
    <s v=""/>
    <m/>
    <x v="48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1"/>
    <m/>
    <m/>
    <x v="50"/>
    <s v="RENTAS WRITERS ROOM"/>
    <m/>
    <n v="225000"/>
    <n v="0"/>
    <n v="225000"/>
    <n v="0"/>
    <n v="225000"/>
    <n v="225000"/>
    <n v="0"/>
    <m/>
    <m/>
    <n v="225000"/>
    <n v="0"/>
    <m/>
  </r>
  <r>
    <s v="Above the Line"/>
    <x v="2"/>
    <s v=""/>
    <m/>
    <x v="51"/>
    <s v="Mini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2"/>
    <s v="Development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53"/>
    <s v="Writers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4"/>
    <s v="Development"/>
    <m/>
    <n v="125000"/>
    <n v="0"/>
    <n v="125000"/>
    <n v="0"/>
    <n v="125000"/>
    <n v="125000"/>
    <n v="0"/>
    <m/>
    <m/>
    <n v="125000"/>
    <n v="0"/>
    <m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  <m/>
    <m/>
    <n v="9361342.3100000005"/>
    <n v="0"/>
    <m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  <m/>
    <m/>
    <n v="5978554.4100000001"/>
    <n v="0"/>
    <m/>
  </r>
  <r>
    <s v="Above the Line"/>
    <x v="2"/>
    <s v=""/>
    <m/>
    <x v="57"/>
    <s v="Carolina Rivera"/>
    <m/>
    <n v="0"/>
    <n v="0"/>
    <n v="0"/>
    <n v="0"/>
    <n v="0"/>
    <n v="0"/>
    <n v="0"/>
    <m/>
    <m/>
    <n v="0"/>
    <n v="0"/>
    <m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  <m/>
    <m/>
    <n v="2148994.41"/>
    <n v="0"/>
    <m/>
  </r>
  <r>
    <s v="Above the Line"/>
    <x v="2"/>
    <s v=""/>
    <m/>
    <x v="59"/>
    <s v="Fernando Sariñana SR"/>
    <m/>
    <n v="0"/>
    <n v="0"/>
    <n v="0"/>
    <n v="0"/>
    <n v="0"/>
    <n v="0"/>
    <n v="0"/>
    <m/>
    <m/>
    <n v="0"/>
    <n v="0"/>
    <m/>
  </r>
  <r>
    <s v="Above the Line"/>
    <x v="2"/>
    <s v="ALL SHOW"/>
    <m/>
    <x v="60"/>
    <s v="Series "/>
    <m/>
    <n v="2149560"/>
    <n v="0"/>
    <n v="2149560"/>
    <n v="0"/>
    <n v="2149560"/>
    <n v="2149560"/>
    <n v="0"/>
    <m/>
    <m/>
    <n v="2149560"/>
    <n v="0"/>
    <m/>
  </r>
  <r>
    <s v="Above the Line"/>
    <x v="2"/>
    <s v=""/>
    <m/>
    <x v="61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62"/>
    <s v="Series"/>
    <m/>
    <n v="1680000"/>
    <n v="0"/>
    <n v="1680000"/>
    <n v="0"/>
    <n v="1680000"/>
    <n v="1680000"/>
    <n v="0"/>
    <m/>
    <m/>
    <n v="1680000"/>
    <n v="0"/>
    <m/>
  </r>
  <r>
    <s v="Above the Line"/>
    <x v="1"/>
    <m/>
    <m/>
    <x v="63"/>
    <s v="PRODUCTOR(A)"/>
    <m/>
    <n v="1063000"/>
    <n v="0"/>
    <n v="1063000"/>
    <n v="0"/>
    <n v="1063000"/>
    <n v="1063000"/>
    <n v="0"/>
    <m/>
    <m/>
    <n v="1063000"/>
    <n v="0"/>
    <m/>
  </r>
  <r>
    <s v="Above the Line"/>
    <x v="2"/>
    <s v=""/>
    <m/>
    <x v="64"/>
    <s v="Creative Producer - Lorena Sosa"/>
    <m/>
    <n v="0"/>
    <n v="0"/>
    <n v="0"/>
    <n v="0"/>
    <n v="0"/>
    <n v="0"/>
    <n v="0"/>
    <m/>
    <m/>
    <n v="0"/>
    <n v="0"/>
    <m/>
  </r>
  <r>
    <s v="Above the Line"/>
    <x v="2"/>
    <s v="SOFT"/>
    <m/>
    <x v="65"/>
    <s v="Soft"/>
    <m/>
    <n v="125000"/>
    <n v="0"/>
    <n v="125000"/>
    <n v="0"/>
    <n v="125000"/>
    <n v="125000"/>
    <n v="0"/>
    <m/>
    <m/>
    <n v="125000"/>
    <n v="0"/>
    <m/>
  </r>
  <r>
    <s v="Above the Line"/>
    <x v="2"/>
    <s v="PREP"/>
    <m/>
    <x v="66"/>
    <s v="Prep"/>
    <m/>
    <n v="301500"/>
    <n v="0"/>
    <n v="301500"/>
    <n v="0"/>
    <n v="301500"/>
    <n v="301500"/>
    <n v="0"/>
    <m/>
    <m/>
    <n v="301500"/>
    <n v="0"/>
    <m/>
  </r>
  <r>
    <s v="Above the Line"/>
    <x v="2"/>
    <s v="SHOOT"/>
    <m/>
    <x v="67"/>
    <s v="Shoot"/>
    <m/>
    <n v="234500"/>
    <n v="0"/>
    <n v="234500"/>
    <n v="0"/>
    <n v="234500"/>
    <n v="234500"/>
    <n v="0"/>
    <m/>
    <m/>
    <n v="234500"/>
    <n v="0"/>
    <m/>
  </r>
  <r>
    <s v="Above the Line"/>
    <x v="2"/>
    <s v="WRAP"/>
    <m/>
    <x v="68"/>
    <s v="Post"/>
    <m/>
    <n v="402000"/>
    <n v="0"/>
    <n v="402000"/>
    <n v="0"/>
    <n v="402000"/>
    <n v="402000"/>
    <n v="0"/>
    <m/>
    <m/>
    <n v="402000"/>
    <n v="0"/>
    <m/>
  </r>
  <r>
    <s v="Above the Line"/>
    <x v="1"/>
    <m/>
    <m/>
    <x v="69"/>
    <s v="PRODUCCION EN LINEA"/>
    <m/>
    <n v="1053750"/>
    <n v="0"/>
    <n v="1053750"/>
    <n v="0"/>
    <n v="1053750"/>
    <n v="1050000"/>
    <n v="-3750"/>
    <m/>
    <m/>
    <n v="1053750"/>
    <n v="0"/>
    <m/>
  </r>
  <r>
    <s v="Above the Line"/>
    <x v="2"/>
    <s v=""/>
    <m/>
    <x v="70"/>
    <s v="Line Producer - Eric Reid"/>
    <m/>
    <n v="0"/>
    <n v="0"/>
    <n v="0"/>
    <n v="0"/>
    <n v="0"/>
    <n v="0"/>
    <n v="0"/>
    <m/>
    <m/>
    <n v="0"/>
    <n v="0"/>
    <m/>
  </r>
  <r>
    <s v="Above the Line"/>
    <x v="2"/>
    <s v="SOFT"/>
    <m/>
    <x v="71"/>
    <s v="Soft"/>
    <m/>
    <n v="210000"/>
    <n v="0"/>
    <n v="210000"/>
    <n v="0"/>
    <n v="210000"/>
    <n v="210000"/>
    <n v="0"/>
    <m/>
    <m/>
    <n v="210000"/>
    <n v="0"/>
    <m/>
  </r>
  <r>
    <s v="Above the Line"/>
    <x v="2"/>
    <s v="PREP"/>
    <m/>
    <x v="72"/>
    <s v="Prep"/>
    <m/>
    <n v="378000"/>
    <n v="0"/>
    <n v="378000"/>
    <n v="0"/>
    <n v="378000"/>
    <n v="378000"/>
    <n v="0"/>
    <m/>
    <m/>
    <n v="378000"/>
    <n v="0"/>
    <m/>
  </r>
  <r>
    <s v="Above the Line"/>
    <x v="2"/>
    <s v="SHOOT"/>
    <m/>
    <x v="73"/>
    <s v="Shoot"/>
    <m/>
    <n v="294000"/>
    <n v="0"/>
    <n v="294000"/>
    <n v="0"/>
    <n v="294000"/>
    <n v="294000"/>
    <n v="0"/>
    <m/>
    <m/>
    <n v="294000"/>
    <n v="0"/>
    <m/>
  </r>
  <r>
    <s v="Above the Line"/>
    <x v="2"/>
    <s v="WRAP"/>
    <s v="NOM"/>
    <x v="74"/>
    <s v="Wrap"/>
    <m/>
    <n v="171750"/>
    <n v="0"/>
    <n v="171750"/>
    <n v="0"/>
    <n v="171750"/>
    <n v="168000"/>
    <n v="-3750"/>
    <m/>
    <m/>
    <n v="171750"/>
    <n v="0"/>
    <m/>
  </r>
  <r>
    <s v="Above the Line"/>
    <x v="1"/>
    <m/>
    <m/>
    <x v="75"/>
    <s v="ASISTENTE DE PRODUCTORES"/>
    <m/>
    <n v="566000"/>
    <n v="0"/>
    <n v="566000"/>
    <n v="0"/>
    <n v="566000"/>
    <n v="564500"/>
    <n v="-1500"/>
    <m/>
    <m/>
    <n v="566000"/>
    <n v="0"/>
    <m/>
  </r>
  <r>
    <s v="Above the Line"/>
    <x v="2"/>
    <s v=""/>
    <m/>
    <x v="76"/>
    <s v="Asistente Show Runner - Rodrigo Sariñana "/>
    <m/>
    <n v="0"/>
    <n v="0"/>
    <n v="0"/>
    <n v="0"/>
    <n v="0"/>
    <n v="0"/>
    <n v="0"/>
    <m/>
    <m/>
    <n v="0"/>
    <n v="0"/>
    <m/>
  </r>
  <r>
    <s v="Above the Line"/>
    <x v="2"/>
    <s v="PREP"/>
    <m/>
    <x v="77"/>
    <s v="Prep"/>
    <m/>
    <n v="73500"/>
    <n v="0"/>
    <n v="73500"/>
    <n v="0"/>
    <n v="73500"/>
    <n v="73500"/>
    <n v="0"/>
    <m/>
    <m/>
    <n v="73500"/>
    <n v="0"/>
    <m/>
  </r>
  <r>
    <s v="Above the Line"/>
    <x v="2"/>
    <s v="SHOOT"/>
    <m/>
    <x v="78"/>
    <s v="Shoot"/>
    <m/>
    <n v="75000"/>
    <n v="0"/>
    <n v="75000"/>
    <n v="0"/>
    <n v="75000"/>
    <n v="73500"/>
    <n v="-1500"/>
    <m/>
    <m/>
    <n v="75000"/>
    <n v="0"/>
    <m/>
  </r>
  <r>
    <s v="Above the Line"/>
    <x v="2"/>
    <s v=""/>
    <m/>
    <x v="79"/>
    <s v="Asistente EP - Pablo Garcia"/>
    <m/>
    <n v="0"/>
    <n v="0"/>
    <n v="0"/>
    <n v="0"/>
    <n v="0"/>
    <n v="0"/>
    <n v="0"/>
    <m/>
    <m/>
    <n v="0"/>
    <n v="0"/>
    <m/>
  </r>
  <r>
    <s v="Above the Line"/>
    <x v="2"/>
    <s v="SOFT"/>
    <m/>
    <x v="80"/>
    <s v="Soft"/>
    <m/>
    <n v="50000"/>
    <n v="0"/>
    <n v="50000"/>
    <n v="0"/>
    <n v="50000"/>
    <n v="50000"/>
    <n v="0"/>
    <m/>
    <m/>
    <n v="50000"/>
    <n v="0"/>
    <m/>
  </r>
  <r>
    <s v="Above the Line"/>
    <x v="2"/>
    <s v="ALL SHOW"/>
    <m/>
    <x v="81"/>
    <s v="Series"/>
    <m/>
    <n v="367500"/>
    <n v="0"/>
    <n v="367500"/>
    <n v="0"/>
    <n v="367500"/>
    <n v="367500"/>
    <n v="0"/>
    <m/>
    <m/>
    <n v="367500"/>
    <n v="0"/>
    <m/>
  </r>
  <r>
    <s v="Above the Line"/>
    <x v="1"/>
    <m/>
    <m/>
    <x v="82"/>
    <s v="TRANSPORTE PRODUCTORES"/>
    <m/>
    <n v="700037.9"/>
    <n v="0"/>
    <n v="700037.9"/>
    <n v="0"/>
    <n v="700037.9"/>
    <n v="793000"/>
    <n v="92962.1"/>
    <m/>
    <m/>
    <n v="700037.9"/>
    <n v="0"/>
    <m/>
  </r>
  <r>
    <s v="Above the Line"/>
    <x v="2"/>
    <s v=""/>
    <m/>
    <x v="83"/>
    <s v="Rentals - SMILE"/>
    <m/>
    <n v="0"/>
    <n v="0"/>
    <n v="0"/>
    <n v="0"/>
    <n v="0"/>
    <n v="0"/>
    <n v="0"/>
    <m/>
    <m/>
    <n v="0"/>
    <n v="0"/>
    <m/>
  </r>
  <r>
    <s v="Above the Line"/>
    <x v="2"/>
    <s v=""/>
    <m/>
    <x v="84"/>
    <s v="Fernando Sariñana"/>
    <m/>
    <n v="0"/>
    <n v="0"/>
    <n v="0"/>
    <n v="0"/>
    <n v="0"/>
    <n v="0"/>
    <n v="0"/>
    <m/>
    <m/>
    <n v="0"/>
    <n v="0"/>
    <m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  <m/>
    <m/>
    <n v="46971.340000000004"/>
    <n v="0"/>
    <m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  <m/>
    <m/>
    <n v="76753.34"/>
    <n v="0"/>
    <m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  <m/>
    <m/>
    <n v="147313.22"/>
    <n v="0"/>
    <m/>
  </r>
  <r>
    <s v="Above the Line"/>
    <x v="2"/>
    <s v=""/>
    <m/>
    <x v="88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89"/>
    <s v="Prep"/>
    <m/>
    <n v="117000"/>
    <n v="0"/>
    <n v="117000"/>
    <n v="0"/>
    <n v="117000"/>
    <n v="117000"/>
    <n v="0"/>
    <m/>
    <m/>
    <n v="117000"/>
    <n v="0"/>
    <m/>
  </r>
  <r>
    <s v="Above the Line"/>
    <x v="2"/>
    <s v="ALL SHOW"/>
    <m/>
    <x v="90"/>
    <s v="Shoot"/>
    <m/>
    <n v="91000"/>
    <n v="0"/>
    <n v="91000"/>
    <n v="0"/>
    <n v="91000"/>
    <n v="91000"/>
    <n v="0"/>
    <m/>
    <m/>
    <n v="91000"/>
    <n v="0"/>
    <m/>
  </r>
  <r>
    <s v="Above the Line"/>
    <x v="2"/>
    <s v="ALL SHOW"/>
    <m/>
    <x v="91"/>
    <s v="Post"/>
    <m/>
    <n v="221000"/>
    <n v="0"/>
    <n v="221000"/>
    <n v="0"/>
    <n v="221000"/>
    <n v="221000"/>
    <n v="0"/>
    <m/>
    <m/>
    <n v="221000"/>
    <n v="0"/>
    <m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  <m/>
    <m/>
    <n v="2663850.5299999993"/>
    <n v="0"/>
    <m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  <m/>
    <m/>
    <n v="2183856.0799999991"/>
    <n v="0"/>
    <m/>
  </r>
  <r>
    <s v="Above the Line"/>
    <x v="2"/>
    <s v=""/>
    <m/>
    <x v="94"/>
    <s v="Director #1 - Javier Patron"/>
    <m/>
    <n v="0"/>
    <n v="0"/>
    <n v="0"/>
    <n v="0"/>
    <n v="0"/>
    <n v="0"/>
    <n v="0"/>
    <m/>
    <m/>
    <n v="0"/>
    <n v="0"/>
    <m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  <m/>
    <m/>
    <n v="483666.66"/>
    <n v="0"/>
    <m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  <m/>
    <m/>
    <n v="58196.200000000004"/>
    <n v="0"/>
    <m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  <m/>
    <m/>
    <n v="8770.7000000000007"/>
    <n v="0"/>
    <m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  <m/>
    <m/>
    <n v="55586.979999999996"/>
    <n v="0"/>
    <m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  <m/>
    <m/>
    <n v="6927.13"/>
    <n v="0"/>
    <m/>
  </r>
  <r>
    <s v="Above the Line"/>
    <x v="2"/>
    <s v=""/>
    <m/>
    <x v="100"/>
    <s v="Director #2 - José Ramón Chávez"/>
    <m/>
    <n v="0"/>
    <n v="0"/>
    <n v="0"/>
    <n v="0"/>
    <n v="0"/>
    <n v="0"/>
    <n v="0"/>
    <m/>
    <m/>
    <n v="0"/>
    <n v="0"/>
    <m/>
  </r>
  <r>
    <s v="Above the Line"/>
    <x v="2"/>
    <s v="SHOOT"/>
    <m/>
    <x v="101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  <m/>
    <m/>
    <n v="53694.54"/>
    <n v="0"/>
    <m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  <m/>
    <m/>
    <n v="4990.18"/>
    <n v="0"/>
    <m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  <m/>
    <m/>
    <n v="43303.63"/>
    <n v="0"/>
    <m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  <m/>
    <m/>
    <n v="18278.14"/>
    <n v="0"/>
    <m/>
  </r>
  <r>
    <s v="Above the Line"/>
    <x v="2"/>
    <s v=""/>
    <m/>
    <x v="106"/>
    <s v="Director #3 - Iker Duperoyn"/>
    <m/>
    <n v="0"/>
    <n v="0"/>
    <n v="0"/>
    <n v="0"/>
    <n v="0"/>
    <n v="0"/>
    <n v="0"/>
    <m/>
    <m/>
    <n v="0"/>
    <n v="0"/>
    <m/>
  </r>
  <r>
    <s v="Above the Line"/>
    <x v="2"/>
    <s v="SHOOT"/>
    <m/>
    <x v="107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8"/>
    <s v="Shooting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09"/>
    <s v="Domingos ANDA"/>
    <m/>
    <n v="0"/>
    <n v="0"/>
    <n v="0"/>
    <n v="0"/>
    <n v="0"/>
    <n v="6672"/>
    <n v="6672"/>
    <m/>
    <m/>
    <n v="0"/>
    <n v="0"/>
    <m/>
  </r>
  <r>
    <s v="Above the Line"/>
    <x v="2"/>
    <s v="SHOOT"/>
    <s v="ANDA"/>
    <x v="110"/>
    <s v="Overtime ANDA 100%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11"/>
    <s v="Viáticos ANDA"/>
    <m/>
    <n v="0"/>
    <n v="0"/>
    <n v="0"/>
    <n v="0"/>
    <n v="0"/>
    <n v="4200"/>
    <n v="4200"/>
    <m/>
    <m/>
    <n v="0"/>
    <n v="0"/>
    <m/>
  </r>
  <r>
    <s v="Above the Line"/>
    <x v="2"/>
    <s v=""/>
    <m/>
    <x v="112"/>
    <s v="Director #4 - Sebastián Sariñana"/>
    <m/>
    <n v="0"/>
    <n v="0"/>
    <n v="0"/>
    <n v="0"/>
    <n v="0"/>
    <n v="0"/>
    <n v="0"/>
    <m/>
    <m/>
    <n v="0"/>
    <n v="0"/>
    <m/>
  </r>
  <r>
    <s v="Above the Line"/>
    <x v="2"/>
    <s v="SHOOT"/>
    <m/>
    <x v="113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  <m/>
    <m/>
    <n v="5829.94"/>
    <n v="0"/>
    <m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  <m/>
    <m/>
    <n v="23632.34"/>
    <n v="0"/>
    <m/>
  </r>
  <r>
    <s v="Above the Line"/>
    <x v="2"/>
    <s v=""/>
    <m/>
    <x v="118"/>
    <s v="CoDirector #5 - Lorena Sosa"/>
    <m/>
    <n v="0"/>
    <n v="0"/>
    <n v="0"/>
    <n v="0"/>
    <n v="0"/>
    <n v="0"/>
    <n v="0"/>
    <m/>
    <m/>
    <n v="0"/>
    <n v="0"/>
    <m/>
  </r>
  <r>
    <s v="Above the Line"/>
    <x v="2"/>
    <s v="SHOOT"/>
    <m/>
    <x v="119"/>
    <s v="Production Payment"/>
    <m/>
    <n v="0"/>
    <n v="0"/>
    <n v="0"/>
    <n v="0"/>
    <n v="0"/>
    <n v="0"/>
    <n v="0"/>
    <m/>
    <m/>
    <n v="0"/>
    <n v="0"/>
    <m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  <m/>
    <m/>
    <n v="5829.94"/>
    <n v="0"/>
    <m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  <m/>
    <m/>
    <n v="5829.94"/>
    <n v="0"/>
    <m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  <m/>
    <m/>
    <n v="400994.45"/>
    <n v="0"/>
    <m/>
  </r>
  <r>
    <s v="Above the Line"/>
    <x v="2"/>
    <s v=""/>
    <m/>
    <x v="125"/>
    <s v="Director Segunda Unidad - Nadia Ayala Tabachnik"/>
    <m/>
    <n v="0"/>
    <n v="0"/>
    <n v="0"/>
    <n v="0"/>
    <n v="0"/>
    <n v="0"/>
    <n v="0"/>
    <m/>
    <m/>
    <n v="0"/>
    <n v="0"/>
    <m/>
  </r>
  <r>
    <s v="Above the Line"/>
    <x v="2"/>
    <s v="2nd Unit"/>
    <m/>
    <x v="126"/>
    <s v="Prep"/>
    <m/>
    <n v="65000"/>
    <n v="0"/>
    <n v="65000"/>
    <n v="0"/>
    <n v="65000"/>
    <n v="65000"/>
    <n v="0"/>
    <m/>
    <m/>
    <n v="65000"/>
    <n v="0"/>
    <m/>
  </r>
  <r>
    <s v="Above the Line"/>
    <x v="2"/>
    <s v="2nd Unit"/>
    <m/>
    <x v="127"/>
    <s v="Shoot"/>
    <m/>
    <n v="130000"/>
    <n v="0"/>
    <n v="130000"/>
    <n v="0"/>
    <n v="130000"/>
    <n v="130000"/>
    <n v="0"/>
    <m/>
    <m/>
    <n v="130000"/>
    <n v="0"/>
    <m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  <m/>
    <m/>
    <n v="91881.69"/>
    <n v="0"/>
    <m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  <m/>
    <m/>
    <n v="14500.46"/>
    <n v="0"/>
    <m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  <m/>
    <m/>
    <n v="77504.260000000009"/>
    <n v="0"/>
    <m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  <m/>
    <m/>
    <n v="22108.04"/>
    <n v="0"/>
    <m/>
  </r>
  <r>
    <s v="Above the Line"/>
    <x v="1"/>
    <m/>
    <m/>
    <x v="132"/>
    <s v="STORYBOARD"/>
    <m/>
    <n v="79000"/>
    <n v="0"/>
    <n v="79000"/>
    <n v="0"/>
    <n v="79000"/>
    <n v="75000"/>
    <n v="-4000"/>
    <m/>
    <m/>
    <n v="79000"/>
    <n v="0"/>
    <m/>
  </r>
  <r>
    <s v="Above the Line"/>
    <x v="2"/>
    <s v=""/>
    <m/>
    <x v="133"/>
    <s v="Storyboard Artist - Sputnik (Rubén Nava)"/>
    <m/>
    <n v="0"/>
    <n v="0"/>
    <n v="0"/>
    <n v="0"/>
    <n v="0"/>
    <n v="0"/>
    <n v="0"/>
    <m/>
    <m/>
    <n v="0"/>
    <n v="0"/>
    <m/>
  </r>
  <r>
    <s v="Above the Line"/>
    <x v="2"/>
    <s v="SHOOT"/>
    <m/>
    <x v="134"/>
    <s v="Allowance"/>
    <m/>
    <n v="79000"/>
    <n v="0"/>
    <n v="79000"/>
    <n v="0"/>
    <n v="79000"/>
    <n v="75000"/>
    <n v="-4000"/>
    <m/>
    <m/>
    <n v="79000"/>
    <n v="0"/>
    <m/>
  </r>
  <r>
    <s v="Above the Line"/>
    <x v="1"/>
    <m/>
    <m/>
    <x v="135"/>
    <s v="TRANSPORTE PARA DIRECTOR(A)"/>
    <m/>
    <n v="0"/>
    <n v="0"/>
    <n v="0"/>
    <n v="0"/>
    <n v="0"/>
    <n v="205200"/>
    <n v="205200"/>
    <m/>
    <m/>
    <n v="0"/>
    <n v="0"/>
    <m/>
  </r>
  <r>
    <s v="Above the Line"/>
    <x v="2"/>
    <s v=""/>
    <m/>
    <x v="136"/>
    <s v="Auto Director"/>
    <m/>
    <n v="0"/>
    <n v="0"/>
    <n v="0"/>
    <n v="0"/>
    <n v="0"/>
    <n v="0"/>
    <n v="0"/>
    <m/>
    <m/>
    <n v="0"/>
    <n v="0"/>
    <m/>
  </r>
  <r>
    <s v="Above the Line"/>
    <x v="2"/>
    <s v="PREP"/>
    <s v="BALU"/>
    <x v="137"/>
    <s v="Prep"/>
    <m/>
    <n v="0"/>
    <n v="0"/>
    <n v="0"/>
    <n v="0"/>
    <n v="0"/>
    <n v="21600"/>
    <n v="21600"/>
    <m/>
    <m/>
    <n v="0"/>
    <n v="0"/>
    <m/>
  </r>
  <r>
    <s v="Above the Line"/>
    <x v="2"/>
    <s v="SHOOT"/>
    <s v="BALU"/>
    <x v="138"/>
    <s v="Shoot"/>
    <m/>
    <n v="0"/>
    <n v="0"/>
    <n v="0"/>
    <n v="0"/>
    <n v="0"/>
    <n v="151200"/>
    <n v="151200"/>
    <m/>
    <m/>
    <n v="0"/>
    <n v="0"/>
    <m/>
  </r>
  <r>
    <s v="Above the Line"/>
    <x v="2"/>
    <s v="WRAP"/>
    <m/>
    <x v="139"/>
    <s v="Wrap"/>
    <m/>
    <n v="0"/>
    <n v="0"/>
    <n v="0"/>
    <n v="0"/>
    <n v="0"/>
    <n v="0"/>
    <n v="0"/>
    <m/>
    <m/>
    <n v="0"/>
    <n v="0"/>
    <m/>
  </r>
  <r>
    <s v="Above the Line"/>
    <x v="2"/>
    <s v=""/>
    <m/>
    <x v="140"/>
    <s v="Au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s v="BALU"/>
    <x v="141"/>
    <s v="Prep"/>
    <m/>
    <n v="0"/>
    <n v="0"/>
    <n v="0"/>
    <n v="0"/>
    <n v="0"/>
    <n v="10800"/>
    <n v="10800"/>
    <m/>
    <m/>
    <n v="0"/>
    <n v="0"/>
    <m/>
  </r>
  <r>
    <s v="Above the Line"/>
    <x v="2"/>
    <s v="2nd Unit"/>
    <s v="BALU"/>
    <x v="142"/>
    <s v="Shoot"/>
    <m/>
    <n v="0"/>
    <n v="0"/>
    <n v="0"/>
    <n v="0"/>
    <n v="0"/>
    <n v="21600"/>
    <n v="21600"/>
    <m/>
    <m/>
    <n v="0"/>
    <n v="0"/>
    <m/>
  </r>
  <r>
    <s v="Above the Line"/>
    <x v="1"/>
    <m/>
    <m/>
    <x v="143"/>
    <s v="Total Fringes"/>
    <m/>
    <n v="0"/>
    <n v="0"/>
    <n v="0"/>
    <n v="0"/>
    <n v="0"/>
    <n v="132743.88"/>
    <n v="132743.88"/>
    <m/>
    <m/>
    <n v="0"/>
    <n v="0"/>
    <m/>
  </r>
  <r>
    <s v="Above the Line"/>
    <x v="2"/>
    <s v="Fringes"/>
    <s v="ANDA"/>
    <x v="144"/>
    <s v="Fringes"/>
    <m/>
    <n v="0"/>
    <n v="0"/>
    <n v="0"/>
    <n v="0"/>
    <n v="0"/>
    <n v="132743.88"/>
    <n v="132743.88"/>
    <m/>
    <m/>
    <n v="0"/>
    <n v="0"/>
    <m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  <m/>
    <m/>
    <n v="13897164.818000004"/>
    <n v="-2757.2069999985397"/>
    <m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  <m/>
    <m/>
    <n v="8807210.2000000011"/>
    <n v="0"/>
    <m/>
  </r>
  <r>
    <s v="Above the Line"/>
    <x v="2"/>
    <s v="SHOOT"/>
    <m/>
    <x v="147"/>
    <s v="1. Jimena Lemus"/>
    <m/>
    <n v="1848000"/>
    <n v="0"/>
    <n v="1848000"/>
    <n v="0"/>
    <n v="1848000"/>
    <n v="1848000"/>
    <n v="0"/>
    <m/>
    <m/>
    <n v="1848000"/>
    <n v="0"/>
    <m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  <m/>
    <m/>
    <n v="176705.58000000002"/>
    <n v="0"/>
    <m/>
  </r>
  <r>
    <s v="Above the Line"/>
    <x v="2"/>
    <s v="SHOOT"/>
    <m/>
    <x v="149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0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  <m/>
    <m/>
    <n v="101882.51"/>
    <n v="0"/>
    <m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54"/>
    <s v="2. Gabriel Padilla"/>
    <m/>
    <n v="1000000"/>
    <n v="0"/>
    <n v="1000000"/>
    <n v="0"/>
    <n v="1000000"/>
    <n v="1000000"/>
    <n v="0"/>
    <m/>
    <m/>
    <n v="1000000"/>
    <n v="0"/>
    <m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  <m/>
    <m/>
    <n v="209879.56"/>
    <n v="0"/>
    <m/>
  </r>
  <r>
    <s v="Above the Line"/>
    <x v="2"/>
    <s v="SHOOT"/>
    <m/>
    <x v="156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7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  <m/>
    <m/>
    <n v="35066.58"/>
    <n v="0"/>
    <m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  <m/>
    <m/>
    <n v="123218.71"/>
    <n v="0"/>
    <m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  <m/>
    <m/>
    <n v="183747.9"/>
    <n v="0"/>
    <m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  <m/>
    <m/>
    <n v="200330.51"/>
    <n v="0"/>
    <m/>
  </r>
  <r>
    <s v="Above the Line"/>
    <x v="2"/>
    <s v="SHOOT"/>
    <m/>
    <x v="163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64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  <m/>
    <m/>
    <n v="39558.020000000004"/>
    <n v="0"/>
    <m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  <m/>
    <m/>
    <n v="95278.22"/>
    <n v="0"/>
    <m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  <m/>
    <m/>
    <n v="251993.7"/>
    <n v="0"/>
    <m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  <m/>
    <m/>
    <n v="158354.80000000002"/>
    <n v="0"/>
    <m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  <m/>
    <m/>
    <n v="148991.91999999998"/>
    <n v="0"/>
    <m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3"/>
    <s v="5. Sofía"/>
    <m/>
    <n v="252000"/>
    <n v="0"/>
    <n v="252000"/>
    <n v="0"/>
    <n v="252000"/>
    <n v="252000"/>
    <n v="0"/>
    <m/>
    <m/>
    <n v="252000"/>
    <n v="0"/>
    <m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  <m/>
    <m/>
    <n v="158354.80000000002"/>
    <n v="0"/>
    <m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  <m/>
    <m/>
    <n v="44955.22"/>
    <n v="0"/>
    <m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8"/>
    <s v="6. Rogelio"/>
    <m/>
    <n v="456750"/>
    <n v="0"/>
    <n v="456750"/>
    <n v="0"/>
    <n v="456750"/>
    <n v="228375"/>
    <n v="-228375"/>
    <m/>
    <m/>
    <n v="456750"/>
    <n v="0"/>
    <m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180"/>
    <s v="Domingos ANDA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1"/>
    <s v="Overtime ANDA 0%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  <m/>
    <m/>
    <n v="0"/>
    <n v="0"/>
    <m/>
  </r>
  <r>
    <s v="Above the Line"/>
    <x v="2"/>
    <s v="SHOOT"/>
    <m/>
    <x v="183"/>
    <s v="7. Brenda"/>
    <m/>
    <n v="441000"/>
    <n v="0"/>
    <n v="441000"/>
    <n v="0"/>
    <n v="441000"/>
    <n v="441000"/>
    <n v="0"/>
    <m/>
    <m/>
    <n v="441000"/>
    <n v="0"/>
    <m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  <m/>
    <m/>
    <n v="90943.569999999992"/>
    <n v="0"/>
    <m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  <m/>
    <m/>
    <n v="4500.84"/>
    <n v="0"/>
    <m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  <m/>
    <m/>
    <n v="61061.75"/>
    <n v="0"/>
    <m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88"/>
    <s v="8. Ernesto"/>
    <m/>
    <n v="199500"/>
    <n v="0"/>
    <n v="199500"/>
    <n v="0"/>
    <n v="199500"/>
    <n v="199500"/>
    <n v="0"/>
    <m/>
    <m/>
    <n v="199500"/>
    <n v="0"/>
    <m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  <m/>
    <m/>
    <n v="125131.56"/>
    <n v="0"/>
    <m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  <m/>
    <m/>
    <n v="19222.2"/>
    <n v="0"/>
    <m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  <m/>
    <m/>
    <n v="12307.8"/>
    <n v="0"/>
    <m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93"/>
    <s v="9. Joaquín"/>
    <m/>
    <n v="483000"/>
    <n v="0"/>
    <n v="483000"/>
    <n v="0"/>
    <n v="483000"/>
    <n v="483000"/>
    <n v="0"/>
    <m/>
    <m/>
    <n v="483000"/>
    <n v="0"/>
    <m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  <m/>
    <m/>
    <n v="93668.590000000011"/>
    <n v="0"/>
    <m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  <m/>
    <m/>
    <n v="8181.18"/>
    <n v="0"/>
    <m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  <m/>
    <m/>
    <n v="15589.880000000001"/>
    <n v="0"/>
    <m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  <m/>
    <m/>
    <n v="0"/>
    <n v="0"/>
    <m/>
  </r>
  <r>
    <s v="Above the Line"/>
    <x v="2"/>
    <s v="SHOOT"/>
    <m/>
    <x v="198"/>
    <s v="10. Matías"/>
    <m/>
    <n v="976250"/>
    <n v="0"/>
    <n v="976250"/>
    <n v="0"/>
    <n v="976250"/>
    <n v="960000"/>
    <n v="-16250"/>
    <m/>
    <m/>
    <n v="976250"/>
    <n v="0"/>
    <m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  <m/>
    <m/>
    <n v="0"/>
    <n v="0"/>
    <m/>
  </r>
  <r>
    <s v="Above the Line"/>
    <x v="2"/>
    <s v="SHOOT"/>
    <m/>
    <x v="200"/>
    <s v="11. Violeta"/>
    <m/>
    <n v="416000"/>
    <n v="0"/>
    <n v="416000"/>
    <n v="0"/>
    <n v="416000"/>
    <n v="416000"/>
    <n v="0"/>
    <m/>
    <m/>
    <n v="416000"/>
    <n v="0"/>
    <m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  <m/>
    <m/>
    <n v="187934.91"/>
    <n v="0"/>
    <m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  <m/>
    <m/>
    <n v="25862.560000000001"/>
    <n v="0"/>
    <m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  <m/>
    <m/>
    <n v="70897.13"/>
    <n v="0"/>
    <m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  <m/>
    <m/>
    <n v="1491930.4899999998"/>
    <n v="0"/>
    <m/>
  </r>
  <r>
    <s v="Above the Line"/>
    <x v="2"/>
    <s v="SHOOT"/>
    <m/>
    <x v="206"/>
    <s v="101. Martha "/>
    <m/>
    <n v="236250"/>
    <n v="0"/>
    <n v="236250"/>
    <n v="0"/>
    <n v="236250"/>
    <n v="236250"/>
    <n v="0"/>
    <m/>
    <m/>
    <n v="236250"/>
    <n v="0"/>
    <m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  <m/>
    <m/>
    <n v="44164.08"/>
    <n v="0"/>
    <m/>
  </r>
  <r>
    <s v="Above the Line"/>
    <x v="2"/>
    <s v="SHOOT"/>
    <s v="ANDA"/>
    <x v="20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  <m/>
    <m/>
    <n v="2051.3000000000002"/>
    <n v="0"/>
    <m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11"/>
    <s v="102. Don Julio Padilla "/>
    <m/>
    <n v="94500"/>
    <n v="0"/>
    <n v="94500"/>
    <n v="0"/>
    <n v="94500"/>
    <n v="94500"/>
    <n v="0"/>
    <m/>
    <m/>
    <n v="94500"/>
    <n v="0"/>
    <m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  <m/>
    <m/>
    <n v="22182.22"/>
    <n v="0"/>
    <m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  <m/>
    <m/>
    <n v="4500.84"/>
    <n v="0"/>
    <m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  <m/>
    <m/>
    <n v="18944.64"/>
    <n v="0"/>
    <m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  <m/>
    <m/>
    <n v="0"/>
    <n v="0"/>
    <m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  <m/>
    <m/>
    <n v="58800"/>
    <n v="0"/>
    <m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  <m/>
    <m/>
    <n v="18501.88"/>
    <n v="0"/>
    <m/>
  </r>
  <r>
    <s v="Above the Line"/>
    <x v="2"/>
    <s v="SHOOT"/>
    <s v="ANDA"/>
    <x v="21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  <m/>
    <m/>
    <n v="19792.66"/>
    <n v="0"/>
    <m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s v="NOM"/>
    <x v="221"/>
    <s v="104. Abel "/>
    <m/>
    <n v="63000"/>
    <n v="0"/>
    <n v="63000"/>
    <n v="0"/>
    <n v="63000"/>
    <n v="94500"/>
    <n v="31500"/>
    <m/>
    <m/>
    <n v="63000"/>
    <n v="0"/>
    <m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  <m/>
    <m/>
    <n v="76542.33"/>
    <n v="0"/>
    <m/>
  </r>
  <r>
    <s v="Above the Line"/>
    <x v="2"/>
    <s v="SHOOT"/>
    <s v="ANDA"/>
    <x v="22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  <m/>
    <m/>
    <n v="28852.699999999997"/>
    <n v="0"/>
    <m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  <m/>
    <m/>
    <n v="131250"/>
    <n v="0"/>
    <m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  <m/>
    <m/>
    <n v="42595.45"/>
    <n v="0"/>
    <m/>
  </r>
  <r>
    <s v="Above the Line"/>
    <x v="2"/>
    <s v="SHOOT"/>
    <s v="ANDA"/>
    <x v="228"/>
    <s v="Domingos ANDA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  <m/>
    <m/>
    <n v="18798.02"/>
    <n v="0"/>
    <m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  <m/>
    <m/>
    <n v="0"/>
    <n v="0"/>
    <m/>
  </r>
  <r>
    <s v="Above the Line"/>
    <x v="2"/>
    <s v="SHOOT"/>
    <m/>
    <x v="231"/>
    <s v="106. Luisa"/>
    <m/>
    <n v="21000"/>
    <n v="0"/>
    <n v="21000"/>
    <n v="0"/>
    <n v="21000"/>
    <n v="25200"/>
    <n v="4200"/>
    <m/>
    <m/>
    <n v="21000"/>
    <n v="0"/>
    <m/>
  </r>
  <r>
    <s v="Above the Line"/>
    <x v="2"/>
    <s v="SHOOT"/>
    <s v="ANDA"/>
    <x v="232"/>
    <s v="TBD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36"/>
    <s v="107. Pato"/>
    <m/>
    <n v="16800"/>
    <n v="0"/>
    <n v="16800"/>
    <n v="0"/>
    <n v="16800"/>
    <n v="16800"/>
    <n v="0"/>
    <m/>
    <m/>
    <n v="16800"/>
    <n v="0"/>
    <m/>
  </r>
  <r>
    <s v="Above the Line"/>
    <x v="2"/>
    <s v="SHOOT"/>
    <s v="ANDA"/>
    <x v="237"/>
    <s v="TBD 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1"/>
    <s v="108. Nadi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  <m/>
    <m/>
    <n v="21929.279999999999"/>
    <n v="0"/>
    <m/>
  </r>
  <r>
    <s v="Above the Line"/>
    <x v="2"/>
    <s v="SHOOT"/>
    <s v="ANDA"/>
    <x v="24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  <m/>
    <m/>
    <n v="8579.6"/>
    <n v="0"/>
    <m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6"/>
    <s v="109. Paol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  <m/>
    <m/>
    <n v="25762.38"/>
    <n v="0"/>
    <m/>
  </r>
  <r>
    <s v="Above the Line"/>
    <x v="2"/>
    <s v="SHOOT"/>
    <s v="ANDA"/>
    <x v="24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  <m/>
    <m/>
    <n v="41025.119999999995"/>
    <n v="0"/>
    <m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  <m/>
    <m/>
    <n v="66000"/>
    <n v="0"/>
    <m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  <m/>
    <m/>
    <n v="58834.520000000004"/>
    <n v="0"/>
    <m/>
  </r>
  <r>
    <s v="Above the Line"/>
    <x v="2"/>
    <s v="SHOOT"/>
    <s v="ANDA"/>
    <x v="25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  <m/>
    <m/>
    <n v="16404.400000000001"/>
    <n v="0"/>
    <m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6"/>
    <s v="111. Chema"/>
    <m/>
    <n v="28400"/>
    <n v="0"/>
    <n v="28400"/>
    <n v="0"/>
    <n v="28400"/>
    <n v="20000"/>
    <n v="-8400"/>
    <m/>
    <m/>
    <n v="28400"/>
    <n v="0"/>
    <m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  <m/>
    <m/>
    <n v="29442.720000000001"/>
    <n v="0"/>
    <m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  <m/>
    <m/>
    <n v="7551.93"/>
    <n v="0"/>
    <m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  <m/>
    <m/>
    <n v="6974.42"/>
    <n v="0"/>
    <m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1"/>
    <s v="112. Mitch "/>
    <m/>
    <n v="77700"/>
    <n v="0"/>
    <n v="77700"/>
    <n v="0"/>
    <n v="77700"/>
    <n v="38850"/>
    <n v="-38850"/>
    <m/>
    <m/>
    <n v="77700"/>
    <n v="0"/>
    <m/>
  </r>
  <r>
    <s v="Above the Line"/>
    <x v="2"/>
    <s v="SHOOT"/>
    <s v="ANDA"/>
    <x v="262"/>
    <s v="SOFÍA DÍAZ - ANDA ESTELAR"/>
    <m/>
    <n v="0"/>
    <n v="0"/>
    <n v="0"/>
    <n v="0"/>
    <n v="0"/>
    <n v="9846"/>
    <n v="9846"/>
    <m/>
    <m/>
    <n v="0"/>
    <n v="0"/>
    <m/>
  </r>
  <r>
    <s v="Above the Line"/>
    <x v="2"/>
    <s v="SHOOT"/>
    <s v="ANDA"/>
    <x v="26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6"/>
    <s v="113. Perla Salgado"/>
    <m/>
    <n v="84000"/>
    <n v="0"/>
    <n v="84000"/>
    <n v="0"/>
    <n v="84000"/>
    <n v="84000"/>
    <n v="0"/>
    <m/>
    <m/>
    <n v="84000"/>
    <n v="0"/>
    <m/>
  </r>
  <r>
    <s v="Above the Line"/>
    <x v="2"/>
    <s v="SHOOT"/>
    <s v="ANDA"/>
    <x v="267"/>
    <s v="Amaranta Ruiz - ANDA ESTELAR"/>
    <m/>
    <n v="0"/>
    <n v="0"/>
    <n v="0"/>
    <n v="0"/>
    <n v="0"/>
    <n v="16410"/>
    <n v="16410"/>
    <m/>
    <m/>
    <n v="0"/>
    <n v="0"/>
    <m/>
  </r>
  <r>
    <s v="Above the Line"/>
    <x v="2"/>
    <s v="SHOOT"/>
    <s v="ANDA"/>
    <x v="268"/>
    <s v="Domingos ANDA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6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  <m/>
    <m/>
    <n v="0"/>
    <n v="0"/>
    <m/>
  </r>
  <r>
    <s v="Above the Line"/>
    <x v="1"/>
    <m/>
    <m/>
    <x v="271"/>
    <s v="EVENTUALES"/>
    <m/>
    <n v="107315.31"/>
    <n v="0"/>
    <n v="107315.31"/>
    <n v="0"/>
    <n v="107315.31"/>
    <n v="255106"/>
    <n v="147790.69"/>
    <m/>
    <m/>
    <n v="107315.31"/>
    <n v="0"/>
    <m/>
  </r>
  <r>
    <s v="Above the Line"/>
    <x v="2"/>
    <s v=""/>
    <m/>
    <x v="272"/>
    <s v="Day Players"/>
    <m/>
    <n v="0"/>
    <n v="0"/>
    <n v="0"/>
    <n v="0"/>
    <n v="0"/>
    <n v="0"/>
    <n v="0"/>
    <m/>
    <m/>
    <n v="0"/>
    <n v="0"/>
    <m/>
  </r>
  <r>
    <s v="Above the Line"/>
    <x v="2"/>
    <s v=""/>
    <m/>
    <x v="273"/>
    <s v="Day Player"/>
    <m/>
    <n v="0"/>
    <n v="0"/>
    <n v="0"/>
    <n v="0"/>
    <n v="0"/>
    <n v="0"/>
    <n v="0"/>
    <m/>
    <m/>
    <n v="0"/>
    <n v="0"/>
    <m/>
  </r>
  <r>
    <s v="Above the Line"/>
    <x v="2"/>
    <s v="ALL SHOW"/>
    <m/>
    <x v="274"/>
    <s v="All Shows"/>
    <m/>
    <n v="79165"/>
    <n v="0"/>
    <n v="79165"/>
    <n v="0"/>
    <n v="79165"/>
    <n v="100000"/>
    <n v="20835"/>
    <m/>
    <m/>
    <n v="79165"/>
    <n v="0"/>
    <m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  <m/>
    <m/>
    <n v="28150.31"/>
    <n v="0"/>
    <m/>
  </r>
  <r>
    <s v="Above the Line"/>
    <x v="2"/>
    <s v=""/>
    <m/>
    <x v="276"/>
    <s v="BITS"/>
    <m/>
    <n v="0"/>
    <n v="0"/>
    <n v="0"/>
    <n v="0"/>
    <n v="0"/>
    <n v="0"/>
    <n v="0"/>
    <m/>
    <m/>
    <n v="0"/>
    <n v="0"/>
    <m/>
  </r>
  <r>
    <s v="Above the Line"/>
    <x v="2"/>
    <s v="SHOOT"/>
    <m/>
    <x v="277"/>
    <s v="Per Call"/>
    <m/>
    <n v="0"/>
    <n v="0"/>
    <n v="0"/>
    <n v="0"/>
    <n v="0"/>
    <n v="46800"/>
    <n v="46800"/>
    <m/>
    <m/>
    <n v="0"/>
    <n v="0"/>
    <m/>
  </r>
  <r>
    <s v="Above the Line"/>
    <x v="2"/>
    <s v="SHOOT"/>
    <s v="ANDA"/>
    <x v="278"/>
    <s v="ANDA"/>
    <m/>
    <n v="0"/>
    <n v="0"/>
    <n v="0"/>
    <n v="0"/>
    <n v="0"/>
    <n v="42666"/>
    <n v="42666"/>
    <m/>
    <m/>
    <n v="0"/>
    <n v="0"/>
    <m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  <m/>
    <m/>
    <n v="274385.23"/>
    <n v="0"/>
    <m/>
  </r>
  <r>
    <s v="Above the Line"/>
    <x v="2"/>
    <s v=""/>
    <m/>
    <x v="280"/>
    <s v="Delegado"/>
    <m/>
    <n v="0"/>
    <n v="0"/>
    <n v="0"/>
    <n v="0"/>
    <n v="0"/>
    <n v="0"/>
    <n v="0"/>
    <m/>
    <m/>
    <n v="0"/>
    <n v="0"/>
    <m/>
  </r>
  <r>
    <s v="Above the Line"/>
    <x v="2"/>
    <s v="PREP"/>
    <m/>
    <x v="281"/>
    <s v="Prep"/>
    <m/>
    <n v="0"/>
    <n v="0"/>
    <n v="0"/>
    <n v="0"/>
    <n v="0"/>
    <n v="9000"/>
    <n v="9000"/>
    <m/>
    <m/>
    <n v="0"/>
    <n v="0"/>
    <m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  <m/>
    <m/>
    <n v="18375.61"/>
    <n v="0"/>
    <m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  <m/>
    <m/>
    <n v="107820.79"/>
    <n v="0"/>
    <m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  <m/>
    <m/>
    <n v="148188.83000000002"/>
    <n v="0"/>
    <m/>
  </r>
  <r>
    <s v="Above the Line"/>
    <x v="2"/>
    <s v=""/>
    <m/>
    <x v="285"/>
    <s v="Delegado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286"/>
    <s v="Prep"/>
    <m/>
    <n v="0"/>
    <n v="0"/>
    <n v="0"/>
    <n v="0"/>
    <n v="0"/>
    <n v="9000"/>
    <n v="9000"/>
    <m/>
    <m/>
    <n v="0"/>
    <n v="0"/>
    <m/>
  </r>
  <r>
    <s v="Above the Line"/>
    <x v="2"/>
    <s v="2nd Unit"/>
    <s v="ANDA"/>
    <x v="287"/>
    <s v="Domingos ANDA"/>
    <m/>
    <n v="0"/>
    <n v="0"/>
    <n v="0"/>
    <n v="0"/>
    <n v="0"/>
    <n v="4575"/>
    <n v="4575"/>
    <m/>
    <m/>
    <n v="0"/>
    <n v="0"/>
    <m/>
  </r>
  <r>
    <s v="Above the Line"/>
    <x v="2"/>
    <s v="2nd Unit"/>
    <s v="ANDA"/>
    <x v="288"/>
    <s v="ANDA"/>
    <m/>
    <n v="0"/>
    <n v="0"/>
    <n v="0"/>
    <n v="0"/>
    <n v="0"/>
    <n v="18300"/>
    <n v="18300"/>
    <m/>
    <m/>
    <n v="0"/>
    <n v="0"/>
    <m/>
  </r>
  <r>
    <s v="Above the Line"/>
    <x v="2"/>
    <s v="2nd Unit"/>
    <s v="ANDA"/>
    <x v="289"/>
    <s v="Overtime Delegado 100%"/>
    <m/>
    <n v="0"/>
    <n v="0"/>
    <n v="0"/>
    <n v="0"/>
    <n v="0"/>
    <n v="18300"/>
    <n v="18300"/>
    <m/>
    <m/>
    <n v="0"/>
    <n v="0"/>
    <m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  <m/>
    <m/>
    <n v="715517.93"/>
    <n v="0"/>
    <m/>
  </r>
  <r>
    <s v="Above the Line"/>
    <x v="2"/>
    <s v=""/>
    <m/>
    <x v="291"/>
    <s v="Stunt Coordinator - Balo Bucio / Juan Olalde"/>
    <m/>
    <n v="0"/>
    <n v="0"/>
    <n v="0"/>
    <n v="0"/>
    <n v="0"/>
    <n v="0"/>
    <n v="0"/>
    <m/>
    <m/>
    <n v="0"/>
    <n v="0"/>
    <m/>
  </r>
  <r>
    <s v="Above the Line"/>
    <x v="2"/>
    <s v=""/>
    <m/>
    <x v="292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293"/>
    <s v="Scouting"/>
    <m/>
    <n v="108000"/>
    <n v="0"/>
    <n v="108000"/>
    <n v="0"/>
    <n v="108000"/>
    <n v="132000"/>
    <n v="24000"/>
    <m/>
    <m/>
    <n v="108000"/>
    <n v="0"/>
    <m/>
  </r>
  <r>
    <s v="Above the Line"/>
    <x v="2"/>
    <s v="PREP"/>
    <m/>
    <x v="294"/>
    <s v="Días de Ensayo"/>
    <m/>
    <n v="103154"/>
    <n v="0"/>
    <n v="103154"/>
    <n v="0"/>
    <n v="103154"/>
    <n v="60000"/>
    <n v="-43154"/>
    <m/>
    <m/>
    <n v="103154"/>
    <n v="0"/>
    <m/>
  </r>
  <r>
    <s v="Above the Line"/>
    <x v="2"/>
    <s v="SHOOT"/>
    <m/>
    <x v="295"/>
    <s v="Viajes por producción"/>
    <m/>
    <n v="5436"/>
    <n v="0"/>
    <n v="5436"/>
    <n v="0"/>
    <n v="5436"/>
    <n v="11844"/>
    <n v="6408"/>
    <m/>
    <m/>
    <n v="5436"/>
    <n v="0"/>
    <m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  <m/>
    <m/>
    <n v="0"/>
    <n v="0"/>
    <m/>
  </r>
  <r>
    <s v="Above the Line"/>
    <x v="2"/>
    <s v="SHOOT"/>
    <s v="NOM"/>
    <x v="297"/>
    <s v="Shoot"/>
    <m/>
    <n v="131796"/>
    <n v="0"/>
    <n v="131796"/>
    <n v="0"/>
    <n v="131796"/>
    <n v="71688"/>
    <n v="-60108"/>
    <m/>
    <m/>
    <n v="131796"/>
    <n v="0"/>
    <m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  <m/>
    <m/>
    <n v="161207.47999999998"/>
    <n v="0"/>
    <m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  <m/>
    <m/>
    <n v="36176.910000000003"/>
    <n v="0"/>
    <m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  <m/>
    <m/>
    <n v="42388.93"/>
    <n v="0"/>
    <m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2"/>
    <s v=""/>
    <m/>
    <x v="302"/>
    <s v="Stunt Coordinator Assistant - Juan Olalde / TBD"/>
    <m/>
    <n v="0"/>
    <n v="0"/>
    <n v="0"/>
    <n v="0"/>
    <n v="0"/>
    <n v="0"/>
    <n v="0"/>
    <m/>
    <m/>
    <n v="0"/>
    <n v="0"/>
    <m/>
  </r>
  <r>
    <s v="Above the Line"/>
    <x v="2"/>
    <s v=""/>
    <m/>
    <x v="30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04"/>
    <s v="Scouting"/>
    <m/>
    <n v="0"/>
    <n v="0"/>
    <n v="0"/>
    <n v="0"/>
    <n v="0"/>
    <n v="49000"/>
    <n v="49000"/>
    <m/>
    <m/>
    <n v="0"/>
    <n v="0"/>
    <m/>
  </r>
  <r>
    <s v="Above the Line"/>
    <x v="2"/>
    <s v="PREP"/>
    <m/>
    <x v="305"/>
    <s v="Días de Ensayo"/>
    <m/>
    <n v="0"/>
    <n v="0"/>
    <n v="0"/>
    <n v="0"/>
    <n v="0"/>
    <n v="35000"/>
    <n v="35000"/>
    <m/>
    <m/>
    <n v="0"/>
    <n v="0"/>
    <m/>
  </r>
  <r>
    <s v="Above the Line"/>
    <x v="2"/>
    <s v="SHOOT"/>
    <m/>
    <x v="306"/>
    <s v="Viajes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  <m/>
    <m/>
    <n v="0"/>
    <n v="0"/>
    <m/>
  </r>
  <r>
    <s v="Above the Line"/>
    <x v="2"/>
    <s v="SHOOT"/>
    <m/>
    <x v="308"/>
    <s v="Shoot"/>
    <m/>
    <n v="40000"/>
    <n v="0"/>
    <n v="40000"/>
    <n v="0"/>
    <n v="40000"/>
    <n v="31688"/>
    <n v="-8312"/>
    <m/>
    <m/>
    <n v="40000"/>
    <n v="0"/>
    <m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  <m/>
    <m/>
    <n v="55305.280000000006"/>
    <n v="0"/>
    <m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  <m/>
    <m/>
    <n v="9101.86"/>
    <n v="0"/>
    <m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  <m/>
    <m/>
    <n v="22951.469999999998"/>
    <n v="0"/>
    <m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  <m/>
    <m/>
    <n v="137813.35999999999"/>
    <n v="0"/>
    <m/>
  </r>
  <r>
    <s v="Above the Line"/>
    <x v="2"/>
    <s v=""/>
    <m/>
    <x v="314"/>
    <s v="DOUBLES"/>
    <m/>
    <n v="0"/>
    <n v="0"/>
    <n v="0"/>
    <n v="0"/>
    <n v="0"/>
    <n v="0"/>
    <n v="0"/>
    <m/>
    <m/>
    <n v="0"/>
    <n v="0"/>
    <m/>
  </r>
  <r>
    <s v="Above the Line"/>
    <x v="2"/>
    <s v=""/>
    <m/>
    <x v="315"/>
    <s v="STUNT - Jimena"/>
    <m/>
    <n v="0"/>
    <n v="0"/>
    <n v="0"/>
    <n v="0"/>
    <n v="0"/>
    <n v="0"/>
    <n v="0"/>
    <m/>
    <m/>
    <n v="0"/>
    <n v="0"/>
    <m/>
  </r>
  <r>
    <s v="Above the Line"/>
    <x v="2"/>
    <s v=""/>
    <m/>
    <x v="31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17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18"/>
    <s v="Per Call"/>
    <m/>
    <n v="24616"/>
    <n v="0"/>
    <n v="24616"/>
    <n v="0"/>
    <n v="24616"/>
    <n v="18000"/>
    <n v="-6616"/>
    <m/>
    <m/>
    <n v="24616"/>
    <n v="0"/>
    <m/>
  </r>
  <r>
    <s v="Above the Line"/>
    <x v="2"/>
    <s v="SHOOT"/>
    <s v="ANDA"/>
    <x v="319"/>
    <s v="Desplazamiento (No tiene ANDA)"/>
    <m/>
    <n v="0"/>
    <n v="0"/>
    <n v="0"/>
    <n v="0"/>
    <n v="0"/>
    <n v="9846"/>
    <n v="9846"/>
    <m/>
    <m/>
    <n v="0"/>
    <n v="0"/>
    <m/>
  </r>
  <r>
    <s v="Above the Line"/>
    <x v="2"/>
    <s v=""/>
    <m/>
    <x v="320"/>
    <s v="STUNT - Violeta"/>
    <m/>
    <n v="0"/>
    <n v="0"/>
    <n v="0"/>
    <n v="0"/>
    <n v="0"/>
    <n v="0"/>
    <n v="0"/>
    <m/>
    <m/>
    <n v="0"/>
    <n v="0"/>
    <m/>
  </r>
  <r>
    <s v="Above the Line"/>
    <x v="2"/>
    <s v=""/>
    <m/>
    <x v="321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2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23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24"/>
    <s v="Desplazamiento (No tiene ANDA)"/>
    <m/>
    <n v="0"/>
    <n v="0"/>
    <n v="0"/>
    <n v="0"/>
    <n v="0"/>
    <n v="3282"/>
    <n v="3282"/>
    <m/>
    <m/>
    <n v="0"/>
    <n v="0"/>
    <m/>
  </r>
  <r>
    <s v="Above the Line"/>
    <x v="2"/>
    <s v=""/>
    <m/>
    <x v="325"/>
    <s v="STUNT - Matías"/>
    <m/>
    <n v="0"/>
    <n v="0"/>
    <n v="0"/>
    <n v="0"/>
    <n v="0"/>
    <n v="0"/>
    <n v="0"/>
    <m/>
    <m/>
    <n v="0"/>
    <n v="0"/>
    <m/>
  </r>
  <r>
    <s v="Above the Line"/>
    <x v="2"/>
    <s v=""/>
    <m/>
    <x v="32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7"/>
    <s v="Ensayos"/>
    <m/>
    <n v="0"/>
    <n v="0"/>
    <n v="0"/>
    <n v="0"/>
    <n v="0"/>
    <n v="28000"/>
    <n v="28000"/>
    <m/>
    <m/>
    <n v="0"/>
    <n v="0"/>
    <m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29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30"/>
    <s v="Ajustes Alt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1"/>
    <s v="Ajustes Baj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2"/>
    <s v="Per call"/>
    <m/>
    <n v="9026"/>
    <n v="0"/>
    <n v="9026"/>
    <n v="0"/>
    <n v="9026"/>
    <n v="7922"/>
    <n v="-1104"/>
    <m/>
    <m/>
    <n v="9026"/>
    <n v="0"/>
    <m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  <m/>
    <m/>
    <n v="14721.36"/>
    <n v="0"/>
    <m/>
  </r>
  <r>
    <s v="Above the Line"/>
    <x v="2"/>
    <s v="SHOOT"/>
    <s v="ANDA"/>
    <x v="334"/>
    <s v="Overtime ANDA 0%"/>
    <m/>
    <n v="9846"/>
    <n v="0"/>
    <n v="9846"/>
    <n v="0"/>
    <n v="9846"/>
    <n v="0"/>
    <n v="-9846"/>
    <m/>
    <m/>
    <n v="9846"/>
    <n v="0"/>
    <m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  <m/>
    <m/>
    <n v="0"/>
    <n v="0"/>
    <m/>
  </r>
  <r>
    <s v="Above the Line"/>
    <x v="2"/>
    <s v=""/>
    <m/>
    <x v="336"/>
    <s v="STUNT - Rigger"/>
    <m/>
    <n v="0"/>
    <n v="0"/>
    <n v="0"/>
    <n v="0"/>
    <n v="0"/>
    <n v="0"/>
    <n v="0"/>
    <m/>
    <m/>
    <n v="0"/>
    <n v="0"/>
    <m/>
  </r>
  <r>
    <s v="Above the Line"/>
    <x v="2"/>
    <s v=""/>
    <m/>
    <x v="337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s v="NOM"/>
    <x v="338"/>
    <s v="Ensayos"/>
    <m/>
    <n v="12244"/>
    <n v="0"/>
    <n v="12244"/>
    <n v="0"/>
    <n v="12244"/>
    <n v="14000"/>
    <n v="1756"/>
    <m/>
    <m/>
    <n v="12244"/>
    <n v="0"/>
    <m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40"/>
    <s v="Días de Viaje ANDA"/>
    <m/>
    <n v="0"/>
    <n v="0"/>
    <n v="0"/>
    <n v="0"/>
    <n v="0"/>
    <n v="13128"/>
    <n v="13128"/>
    <m/>
    <m/>
    <n v="0"/>
    <n v="0"/>
    <m/>
  </r>
  <r>
    <s v="Above the Line"/>
    <x v="2"/>
    <s v="SHOOT"/>
    <m/>
    <x v="341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42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43"/>
    <s v="Per call"/>
    <m/>
    <n v="7654"/>
    <n v="0"/>
    <n v="7654"/>
    <n v="0"/>
    <n v="7654"/>
    <n v="7922"/>
    <n v="268"/>
    <m/>
    <m/>
    <n v="7654"/>
    <n v="0"/>
    <m/>
  </r>
  <r>
    <s v="Above the Line"/>
    <x v="2"/>
    <s v="SHOOT"/>
    <s v="ANDA"/>
    <x v="344"/>
    <s v="ANDA "/>
    <m/>
    <n v="0"/>
    <n v="0"/>
    <n v="0"/>
    <n v="0"/>
    <n v="0"/>
    <n v="6564"/>
    <n v="6564"/>
    <m/>
    <m/>
    <n v="0"/>
    <n v="0"/>
    <m/>
  </r>
  <r>
    <s v="Above the Line"/>
    <x v="2"/>
    <s v="SHOOT"/>
    <s v="ANDA"/>
    <x v="345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  <m/>
    <m/>
    <n v="0"/>
    <n v="0"/>
    <m/>
  </r>
  <r>
    <s v="Above the Line"/>
    <x v="2"/>
    <s v=""/>
    <m/>
    <x v="347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48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49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50"/>
    <s v="Per Call"/>
    <m/>
    <n v="35552"/>
    <n v="0"/>
    <n v="35552"/>
    <n v="0"/>
    <n v="35552"/>
    <n v="36000"/>
    <n v="448"/>
    <m/>
    <m/>
    <n v="35552"/>
    <n v="0"/>
    <m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  <m/>
    <m/>
    <n v="0"/>
    <n v="0"/>
    <m/>
  </r>
  <r>
    <s v="Above the Line"/>
    <x v="2"/>
    <s v=""/>
    <m/>
    <x v="352"/>
    <s v="STUNT - Guaruras Perla 1"/>
    <m/>
    <n v="0"/>
    <n v="0"/>
    <n v="0"/>
    <n v="0"/>
    <n v="0"/>
    <n v="0"/>
    <n v="0"/>
    <m/>
    <m/>
    <n v="0"/>
    <n v="0"/>
    <m/>
  </r>
  <r>
    <s v="Above the Line"/>
    <x v="2"/>
    <s v=""/>
    <m/>
    <x v="35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54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56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57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58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59"/>
    <s v="Per call"/>
    <m/>
    <n v="4154"/>
    <n v="0"/>
    <n v="4154"/>
    <n v="0"/>
    <n v="4154"/>
    <n v="7922"/>
    <n v="3768"/>
    <m/>
    <m/>
    <n v="4154"/>
    <n v="0"/>
    <m/>
  </r>
  <r>
    <s v="Above the Line"/>
    <x v="2"/>
    <s v="SHOOT"/>
    <s v="ANDA"/>
    <x v="360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1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63"/>
    <s v="STUNT - Guaruras Perla 2"/>
    <m/>
    <n v="0"/>
    <n v="0"/>
    <n v="0"/>
    <n v="0"/>
    <n v="0"/>
    <n v="0"/>
    <n v="0"/>
    <m/>
    <m/>
    <n v="0"/>
    <n v="0"/>
    <m/>
  </r>
  <r>
    <s v="Above the Line"/>
    <x v="2"/>
    <s v=""/>
    <m/>
    <x v="364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65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67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68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69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70"/>
    <s v="Per call"/>
    <m/>
    <n v="0"/>
    <n v="0"/>
    <n v="0"/>
    <n v="0"/>
    <n v="0"/>
    <n v="7922"/>
    <n v="7922"/>
    <m/>
    <m/>
    <n v="0"/>
    <n v="0"/>
    <m/>
  </r>
  <r>
    <s v="Above the Line"/>
    <x v="2"/>
    <s v="SHOOT"/>
    <s v="ANDA"/>
    <x v="371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2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74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75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76"/>
    <s v="Ensayos"/>
    <m/>
    <n v="0"/>
    <n v="0"/>
    <n v="0"/>
    <n v="0"/>
    <n v="0"/>
    <n v="3000"/>
    <n v="3000"/>
    <m/>
    <m/>
    <n v="0"/>
    <n v="0"/>
    <m/>
  </r>
  <r>
    <s v="Above the Line"/>
    <x v="2"/>
    <s v="SHOOT"/>
    <s v="NOM"/>
    <x v="377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78"/>
    <s v="Desplazamiento (No tiene ANDA)"/>
    <m/>
    <n v="0"/>
    <n v="0"/>
    <n v="0"/>
    <n v="0"/>
    <n v="0"/>
    <n v="3282"/>
    <n v="3282"/>
    <m/>
    <m/>
    <n v="0"/>
    <n v="0"/>
    <m/>
  </r>
  <r>
    <s v="Above the Line"/>
    <x v="1"/>
    <m/>
    <m/>
    <x v="379"/>
    <s v="ACTORES/RECREACIONES"/>
    <m/>
    <n v="0"/>
    <n v="0"/>
    <n v="0"/>
    <n v="0"/>
    <n v="0"/>
    <n v="78000"/>
    <n v="78000"/>
    <m/>
    <m/>
    <n v="0"/>
    <n v="0"/>
    <m/>
  </r>
  <r>
    <s v="Above the Line"/>
    <x v="2"/>
    <s v=""/>
    <m/>
    <x v="380"/>
    <s v="Doble Leo - TBD"/>
    <m/>
    <n v="0"/>
    <n v="0"/>
    <n v="0"/>
    <n v="0"/>
    <n v="0"/>
    <n v="0"/>
    <n v="0"/>
    <m/>
    <m/>
    <n v="0"/>
    <n v="0"/>
    <m/>
  </r>
  <r>
    <s v="Above the Line"/>
    <x v="2"/>
    <s v="SHOOT"/>
    <m/>
    <x v="381"/>
    <s v="Shoot"/>
    <m/>
    <n v="0"/>
    <n v="0"/>
    <n v="0"/>
    <n v="0"/>
    <n v="0"/>
    <n v="42000"/>
    <n v="42000"/>
    <m/>
    <m/>
    <n v="0"/>
    <n v="0"/>
    <m/>
  </r>
  <r>
    <s v="Above the Line"/>
    <x v="2"/>
    <s v=""/>
    <m/>
    <x v="382"/>
    <s v="Doble Jimena - TBD"/>
    <m/>
    <n v="0"/>
    <n v="0"/>
    <n v="0"/>
    <n v="0"/>
    <n v="0"/>
    <n v="0"/>
    <n v="0"/>
    <m/>
    <m/>
    <n v="0"/>
    <n v="0"/>
    <m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4"/>
    <s v="Doble Gabriel - TBD"/>
    <m/>
    <n v="0"/>
    <n v="0"/>
    <n v="0"/>
    <n v="0"/>
    <n v="0"/>
    <n v="0"/>
    <n v="0"/>
    <m/>
    <m/>
    <n v="0"/>
    <n v="0"/>
    <m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6"/>
    <s v="Doble Matias - TBD"/>
    <m/>
    <n v="0"/>
    <n v="0"/>
    <n v="0"/>
    <n v="0"/>
    <n v="0"/>
    <n v="0"/>
    <n v="0"/>
    <m/>
    <m/>
    <n v="0"/>
    <n v="0"/>
    <m/>
  </r>
  <r>
    <s v="Above the Line"/>
    <x v="2"/>
    <s v="SHOOT"/>
    <m/>
    <x v="387"/>
    <s v="Hospicio cabañas, cámara car "/>
    <m/>
    <n v="0"/>
    <n v="0"/>
    <n v="0"/>
    <n v="0"/>
    <n v="0"/>
    <n v="4000"/>
    <n v="4000"/>
    <m/>
    <m/>
    <n v="0"/>
    <n v="0"/>
    <m/>
  </r>
  <r>
    <s v="Above the Line"/>
    <x v="2"/>
    <s v=""/>
    <m/>
    <x v="388"/>
    <s v="Doble Santiago - TBD"/>
    <m/>
    <n v="0"/>
    <n v="0"/>
    <n v="0"/>
    <n v="0"/>
    <n v="0"/>
    <n v="0"/>
    <n v="0"/>
    <m/>
    <m/>
    <n v="0"/>
    <n v="0"/>
    <m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"/>
    <m/>
    <x v="390"/>
    <s v="Doble Ernesto - TBD"/>
    <m/>
    <n v="0"/>
    <n v="0"/>
    <n v="0"/>
    <n v="0"/>
    <n v="0"/>
    <n v="0"/>
    <n v="0"/>
    <m/>
    <m/>
    <n v="0"/>
    <n v="0"/>
    <m/>
  </r>
  <r>
    <s v="Above the Line"/>
    <x v="2"/>
    <s v="SHOOT"/>
    <m/>
    <x v="391"/>
    <s v="Desfile cap. 7"/>
    <m/>
    <n v="0"/>
    <n v="0"/>
    <n v="0"/>
    <n v="0"/>
    <n v="0"/>
    <n v="2000"/>
    <n v="2000"/>
    <m/>
    <m/>
    <n v="0"/>
    <n v="0"/>
    <m/>
  </r>
  <r>
    <s v="Above the Line"/>
    <x v="2"/>
    <s v=""/>
    <m/>
    <x v="392"/>
    <s v="Doble Brenda - TBD"/>
    <m/>
    <n v="0"/>
    <n v="0"/>
    <n v="0"/>
    <n v="0"/>
    <n v="0"/>
    <n v="0"/>
    <n v="0"/>
    <m/>
    <m/>
    <n v="0"/>
    <n v="0"/>
    <m/>
  </r>
  <r>
    <s v="Above the Line"/>
    <x v="2"/>
    <s v="SHOOT"/>
    <m/>
    <x v="393"/>
    <s v="Hospicio cabañas"/>
    <m/>
    <n v="0"/>
    <n v="0"/>
    <n v="0"/>
    <n v="0"/>
    <n v="0"/>
    <n v="2000"/>
    <n v="2000"/>
    <m/>
    <m/>
    <n v="0"/>
    <n v="0"/>
    <m/>
  </r>
  <r>
    <s v="Above the Line"/>
    <x v="2"/>
    <s v=""/>
    <m/>
    <x v="394"/>
    <s v="Doble Sofia - TBD"/>
    <m/>
    <n v="0"/>
    <n v="0"/>
    <n v="0"/>
    <n v="0"/>
    <n v="0"/>
    <n v="0"/>
    <n v="0"/>
    <m/>
    <m/>
    <n v="0"/>
    <n v="0"/>
    <m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SHOOT"/>
    <m/>
    <x v="396"/>
    <s v="Foto doble adicional"/>
    <m/>
    <n v="0"/>
    <n v="0"/>
    <n v="0"/>
    <n v="0"/>
    <n v="0"/>
    <n v="0"/>
    <n v="0"/>
    <m/>
    <m/>
    <n v="0"/>
    <n v="0"/>
    <m/>
  </r>
  <r>
    <s v="Above the Line"/>
    <x v="1"/>
    <m/>
    <m/>
    <x v="397"/>
    <s v="PROFESORES/TUTORES"/>
    <m/>
    <n v="232300"/>
    <n v="0"/>
    <n v="232300"/>
    <n v="0"/>
    <n v="232300"/>
    <n v="309100"/>
    <n v="76800"/>
    <m/>
    <m/>
    <n v="232300"/>
    <n v="0"/>
    <m/>
  </r>
  <r>
    <s v="Above the Line"/>
    <x v="2"/>
    <s v=""/>
    <m/>
    <x v="398"/>
    <s v="Coach Actoral Niños - Mandoki"/>
    <m/>
    <n v="0"/>
    <n v="0"/>
    <n v="0"/>
    <n v="0"/>
    <n v="0"/>
    <n v="0"/>
    <n v="0"/>
    <m/>
    <m/>
    <n v="0"/>
    <n v="0"/>
    <m/>
  </r>
  <r>
    <s v="Above the Line"/>
    <x v="2"/>
    <s v="PREP"/>
    <m/>
    <x v="399"/>
    <s v="Prep"/>
    <m/>
    <n v="63000"/>
    <n v="0"/>
    <n v="63000"/>
    <n v="0"/>
    <n v="63000"/>
    <n v="63000"/>
    <n v="0"/>
    <m/>
    <m/>
    <n v="63000"/>
    <n v="0"/>
    <m/>
  </r>
  <r>
    <s v="Above the Line"/>
    <x v="2"/>
    <s v="SHOOT"/>
    <m/>
    <x v="400"/>
    <s v="Shoot"/>
    <m/>
    <n v="140000"/>
    <n v="0"/>
    <n v="140000"/>
    <n v="0"/>
    <n v="140000"/>
    <n v="140000"/>
    <n v="0"/>
    <m/>
    <m/>
    <n v="140000"/>
    <n v="0"/>
    <m/>
  </r>
  <r>
    <s v="Above the Line"/>
    <x v="2"/>
    <s v=""/>
    <m/>
    <x v="401"/>
    <s v="Coach Guitarra - TBD"/>
    <m/>
    <n v="0"/>
    <n v="0"/>
    <n v="0"/>
    <n v="0"/>
    <n v="0"/>
    <n v="0"/>
    <n v="0"/>
    <m/>
    <m/>
    <n v="0"/>
    <n v="0"/>
    <m/>
  </r>
  <r>
    <s v="Above the Line"/>
    <x v="2"/>
    <s v="PREP"/>
    <s v="NOM"/>
    <x v="402"/>
    <s v="Prep"/>
    <m/>
    <n v="10500"/>
    <n v="0"/>
    <n v="10500"/>
    <n v="0"/>
    <n v="10500"/>
    <n v="3500"/>
    <n v="-7000"/>
    <m/>
    <m/>
    <n v="10500"/>
    <n v="0"/>
    <m/>
  </r>
  <r>
    <s v="Above the Line"/>
    <x v="2"/>
    <s v=""/>
    <m/>
    <x v="403"/>
    <s v="Coach Equitación - Balo Bucio"/>
    <m/>
    <n v="0"/>
    <n v="0"/>
    <n v="0"/>
    <n v="0"/>
    <n v="0"/>
    <n v="0"/>
    <n v="0"/>
    <m/>
    <m/>
    <n v="0"/>
    <n v="0"/>
    <m/>
  </r>
  <r>
    <s v="Above the Line"/>
    <x v="2"/>
    <s v="PREP"/>
    <m/>
    <x v="404"/>
    <s v="Prep"/>
    <m/>
    <n v="0"/>
    <n v="0"/>
    <n v="0"/>
    <n v="0"/>
    <n v="0"/>
    <n v="37500"/>
    <n v="37500"/>
    <m/>
    <m/>
    <n v="0"/>
    <n v="0"/>
    <m/>
  </r>
  <r>
    <s v="Above the Line"/>
    <x v="2"/>
    <s v=""/>
    <m/>
    <x v="405"/>
    <s v="Coach Trompeta - "/>
    <m/>
    <n v="0"/>
    <n v="0"/>
    <n v="0"/>
    <n v="0"/>
    <n v="0"/>
    <n v="0"/>
    <n v="0"/>
    <m/>
    <m/>
    <n v="0"/>
    <n v="0"/>
    <m/>
  </r>
  <r>
    <s v="Above the Line"/>
    <x v="2"/>
    <s v="PREP"/>
    <m/>
    <x v="406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7"/>
    <s v="Coach Teclado - "/>
    <m/>
    <n v="0"/>
    <n v="0"/>
    <n v="0"/>
    <n v="0"/>
    <n v="0"/>
    <n v="0"/>
    <n v="0"/>
    <m/>
    <m/>
    <n v="0"/>
    <n v="0"/>
    <m/>
  </r>
  <r>
    <s v="Above the Line"/>
    <x v="2"/>
    <s v="PREP"/>
    <m/>
    <x v="408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9"/>
    <s v="Coach Batería -"/>
    <m/>
    <n v="0"/>
    <n v="0"/>
    <n v="0"/>
    <n v="0"/>
    <n v="0"/>
    <n v="0"/>
    <n v="0"/>
    <m/>
    <m/>
    <n v="0"/>
    <n v="0"/>
    <m/>
  </r>
  <r>
    <s v="Above the Line"/>
    <x v="2"/>
    <s v="PREP"/>
    <m/>
    <x v="410"/>
    <s v="Prep"/>
    <m/>
    <n v="9200"/>
    <n v="0"/>
    <n v="9200"/>
    <n v="0"/>
    <n v="9200"/>
    <n v="2800"/>
    <n v="-6400"/>
    <m/>
    <m/>
    <n v="9200"/>
    <n v="0"/>
    <m/>
  </r>
  <r>
    <s v="Above the Line"/>
    <x v="2"/>
    <s v=""/>
    <m/>
    <x v="411"/>
    <s v="Coach Bajo - "/>
    <m/>
    <n v="0"/>
    <n v="0"/>
    <n v="0"/>
    <n v="0"/>
    <n v="0"/>
    <n v="0"/>
    <n v="0"/>
    <m/>
    <m/>
    <n v="0"/>
    <n v="0"/>
    <m/>
  </r>
  <r>
    <s v="Above the Line"/>
    <x v="2"/>
    <s v="PREP"/>
    <m/>
    <x v="412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13"/>
    <s v="Kid Wrangler (Para Leo) - Alicia Pulido "/>
    <m/>
    <n v="0"/>
    <n v="0"/>
    <n v="0"/>
    <n v="0"/>
    <n v="0"/>
    <n v="0"/>
    <n v="0"/>
    <m/>
    <m/>
    <n v="0"/>
    <n v="0"/>
    <m/>
  </r>
  <r>
    <s v="Above the Line"/>
    <x v="2"/>
    <s v="SHOOT"/>
    <m/>
    <x v="414"/>
    <s v="Shoot"/>
    <m/>
    <n v="3300"/>
    <n v="0"/>
    <n v="3300"/>
    <n v="0"/>
    <n v="3300"/>
    <n v="56000"/>
    <n v="52700"/>
    <m/>
    <m/>
    <n v="3300"/>
    <n v="0"/>
    <m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  <m/>
    <m/>
    <n v="381243"/>
    <n v="0"/>
    <m/>
  </r>
  <r>
    <s v="Above the Line"/>
    <x v="2"/>
    <s v=""/>
    <m/>
    <x v="416"/>
    <s v="CASTING DIRECTOR -Anilú Pardo"/>
    <m/>
    <n v="0"/>
    <n v="0"/>
    <n v="0"/>
    <n v="0"/>
    <n v="0"/>
    <n v="0"/>
    <n v="0"/>
    <m/>
    <m/>
    <n v="0"/>
    <n v="0"/>
    <m/>
  </r>
  <r>
    <s v="Above the Line"/>
    <x v="2"/>
    <s v="ALL SHOW"/>
    <m/>
    <x v="417"/>
    <s v="Series"/>
    <m/>
    <n v="381243"/>
    <n v="0"/>
    <n v="381243"/>
    <n v="0"/>
    <n v="381243"/>
    <n v="381225"/>
    <n v="-18"/>
    <m/>
    <m/>
    <n v="381243"/>
    <n v="0"/>
    <m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  <m/>
    <m/>
    <n v="23513.460000000003"/>
    <n v="-1345.1969999999965"/>
    <m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  <m/>
    <m/>
    <n v="0"/>
    <n v="0"/>
    <m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  <m/>
    <m/>
    <n v="7131.29"/>
    <n v="-530.10000000000036"/>
    <m/>
  </r>
  <r>
    <s v="Above the Line"/>
    <x v="2"/>
    <s v=""/>
    <m/>
    <x v="421"/>
    <s v="Casting en GDL - German Mendoza"/>
    <m/>
    <n v="0"/>
    <n v="0"/>
    <n v="0"/>
    <n v="0"/>
    <n v="0"/>
    <n v="0"/>
    <n v="0"/>
    <m/>
    <m/>
    <n v="0"/>
    <n v="0"/>
    <m/>
  </r>
  <r>
    <s v="Above the Line"/>
    <x v="2"/>
    <s v="PREP"/>
    <m/>
    <x v="422"/>
    <s v="Vuelo MEX - GDL - MEX"/>
    <m/>
    <n v="5681"/>
    <n v="0"/>
    <n v="5681"/>
    <n v="0"/>
    <n v="5681"/>
    <n v="6477"/>
    <n v="796"/>
    <m/>
    <m/>
    <n v="5681"/>
    <n v="0"/>
    <m/>
  </r>
  <r>
    <s v="Above the Line"/>
    <x v="2"/>
    <s v="PREP"/>
    <m/>
    <x v="423"/>
    <s v="Per Diem"/>
    <m/>
    <n v="969.923"/>
    <n v="0"/>
    <n v="969.923"/>
    <n v="0"/>
    <n v="969.923"/>
    <n v="1218"/>
    <n v="248.077"/>
    <m/>
    <m/>
    <n v="916.19"/>
    <n v="-53.732999999999947"/>
    <m/>
  </r>
  <r>
    <s v="Above the Line"/>
    <x v="2"/>
    <s v="PREP"/>
    <m/>
    <x v="424"/>
    <s v="Taxi en GDL"/>
    <m/>
    <n v="870"/>
    <n v="0"/>
    <n v="870"/>
    <n v="0"/>
    <n v="870"/>
    <n v="870"/>
    <n v="0"/>
    <m/>
    <m/>
    <n v="870"/>
    <n v="0"/>
    <m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  <m/>
    <m/>
    <n v="1268.94"/>
    <n v="-761.36400000000003"/>
    <m/>
  </r>
  <r>
    <s v="Above the Line"/>
    <x v="2"/>
    <s v=""/>
    <m/>
    <x v="426"/>
    <s v="Call Backs "/>
    <m/>
    <n v="0"/>
    <n v="0"/>
    <n v="0"/>
    <n v="0"/>
    <n v="0"/>
    <n v="0"/>
    <n v="0"/>
    <m/>
    <m/>
    <n v="0"/>
    <n v="0"/>
    <m/>
  </r>
  <r>
    <s v="Above the Line"/>
    <x v="2"/>
    <s v="PREP"/>
    <m/>
    <x v="427"/>
    <s v="Pre"/>
    <m/>
    <n v="7646.04"/>
    <n v="0"/>
    <n v="7646.04"/>
    <n v="0"/>
    <n v="7646.04"/>
    <n v="7500"/>
    <n v="-146.03999999999996"/>
    <m/>
    <m/>
    <n v="7646.04"/>
    <n v="0"/>
    <m/>
  </r>
  <r>
    <s v="Above the Line"/>
    <x v="1"/>
    <m/>
    <m/>
    <x v="428"/>
    <s v="MISCELANEOS"/>
    <m/>
    <n v="70000"/>
    <n v="0"/>
    <n v="70000"/>
    <n v="0"/>
    <n v="70000"/>
    <n v="170000"/>
    <n v="100000"/>
    <m/>
    <m/>
    <n v="70000"/>
    <n v="0"/>
    <m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  <m/>
    <m/>
    <n v="0"/>
    <n v="0"/>
    <m/>
  </r>
  <r>
    <s v="Above the Line"/>
    <x v="2"/>
    <s v="ALL SHOW"/>
    <s v="ANDA"/>
    <x v="430"/>
    <s v="All Show"/>
    <m/>
    <n v="70000"/>
    <n v="0"/>
    <n v="70000"/>
    <n v="0"/>
    <n v="70000"/>
    <n v="70000"/>
    <n v="0"/>
    <m/>
    <m/>
    <n v="70000"/>
    <n v="0"/>
    <m/>
  </r>
  <r>
    <s v="Above the Line"/>
    <x v="2"/>
    <s v=""/>
    <m/>
    <x v="431"/>
    <s v="Renta Espaci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2"/>
    <s v="Prep"/>
    <m/>
    <n v="0"/>
    <n v="0"/>
    <n v="0"/>
    <n v="0"/>
    <n v="0"/>
    <n v="40000"/>
    <n v="40000"/>
    <m/>
    <m/>
    <n v="0"/>
    <n v="0"/>
    <m/>
  </r>
  <r>
    <s v="Above the Line"/>
    <x v="2"/>
    <s v=""/>
    <m/>
    <x v="433"/>
    <s v="Renta Equip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4"/>
    <s v="Prep"/>
    <m/>
    <n v="0"/>
    <n v="0"/>
    <n v="0"/>
    <n v="0"/>
    <n v="0"/>
    <n v="60000"/>
    <n v="60000"/>
    <m/>
    <m/>
    <n v="0"/>
    <n v="0"/>
    <m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2"/>
    <s v=""/>
    <m/>
    <x v="436"/>
    <s v="Ubers Cast "/>
    <m/>
    <n v="0"/>
    <n v="0"/>
    <n v="0"/>
    <n v="0"/>
    <n v="0"/>
    <n v="0"/>
    <n v="0"/>
    <m/>
    <m/>
    <n v="0"/>
    <n v="0"/>
    <m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  <m/>
    <m/>
    <n v="1175903.6200000001"/>
    <n v="-13076.144999999786"/>
    <m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  <m/>
    <m/>
    <n v="96760.18"/>
    <n v="0"/>
    <m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  <m/>
    <m/>
    <n v="0"/>
    <n v="0"/>
    <m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  <m/>
    <m/>
    <n v="58308.34"/>
    <n v="0"/>
    <m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  <m/>
    <m/>
    <n v="38451.839999999997"/>
    <n v="0"/>
    <m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  <m/>
    <m/>
    <n v="348513.03"/>
    <n v="-3000"/>
    <m/>
  </r>
  <r>
    <s v="Above the Line"/>
    <x v="2"/>
    <s v="ALL SHOW"/>
    <m/>
    <x v="446"/>
    <s v="Departamento Producción"/>
    <m/>
    <n v="0"/>
    <n v="0"/>
    <n v="0"/>
    <n v="0"/>
    <n v="0"/>
    <n v="0"/>
    <n v="0"/>
    <m/>
    <m/>
    <n v="0"/>
    <n v="0"/>
    <m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  <m/>
    <m/>
    <n v="102526.82"/>
    <n v="-3000"/>
    <m/>
  </r>
  <r>
    <s v="Above the Line"/>
    <x v="2"/>
    <s v="ALL SHOW"/>
    <m/>
    <x v="448"/>
    <s v="Limpieza"/>
    <m/>
    <n v="8400"/>
    <n v="0"/>
    <n v="8400"/>
    <n v="0"/>
    <n v="8400"/>
    <n v="20000"/>
    <n v="11600"/>
    <m/>
    <m/>
    <n v="8400"/>
    <n v="0"/>
    <m/>
  </r>
  <r>
    <s v="Above the Line"/>
    <x v="2"/>
    <s v=""/>
    <m/>
    <x v="449"/>
    <s v="Departamento Showrunners"/>
    <m/>
    <n v="0"/>
    <n v="0"/>
    <n v="0"/>
    <n v="0"/>
    <n v="0"/>
    <n v="0"/>
    <n v="0"/>
    <m/>
    <m/>
    <n v="0"/>
    <n v="0"/>
    <m/>
  </r>
  <r>
    <s v="Above the Line"/>
    <x v="2"/>
    <s v="ALL SHOW"/>
    <m/>
    <x v="450"/>
    <s v="Departamento"/>
    <m/>
    <n v="100000"/>
    <n v="0"/>
    <n v="100000"/>
    <n v="0"/>
    <n v="100000"/>
    <n v="80000"/>
    <n v="-20000"/>
    <m/>
    <m/>
    <n v="100000"/>
    <n v="0"/>
    <m/>
  </r>
  <r>
    <s v="Above the Line"/>
    <x v="2"/>
    <s v="ALL SHOW"/>
    <m/>
    <x v="451"/>
    <s v="Limpieza"/>
    <m/>
    <n v="0"/>
    <n v="0"/>
    <n v="0"/>
    <n v="0"/>
    <n v="0"/>
    <n v="20000"/>
    <n v="20000"/>
    <m/>
    <m/>
    <n v="0"/>
    <n v="0"/>
    <m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  <m/>
    <m/>
    <n v="137586.21"/>
    <n v="0"/>
    <m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  <m/>
    <m/>
    <n v="29006.69"/>
    <n v="0"/>
    <m/>
  </r>
  <r>
    <s v="Above the Line"/>
    <x v="2"/>
    <s v=""/>
    <m/>
    <x v="455"/>
    <s v="Directors Airfare"/>
    <m/>
    <n v="0"/>
    <n v="0"/>
    <n v="0"/>
    <n v="0"/>
    <n v="0"/>
    <n v="0"/>
    <n v="0"/>
    <m/>
    <m/>
    <n v="0"/>
    <n v="0"/>
    <m/>
  </r>
  <r>
    <s v="Above the Line"/>
    <x v="2"/>
    <s v=""/>
    <m/>
    <x v="456"/>
    <s v="Javier Fox Patron - Bloque 1"/>
    <m/>
    <n v="0"/>
    <n v="0"/>
    <n v="0"/>
    <n v="0"/>
    <n v="0"/>
    <n v="0"/>
    <n v="0"/>
    <m/>
    <m/>
    <n v="0"/>
    <n v="0"/>
    <m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  <m/>
    <m/>
    <n v="3696.57"/>
    <n v="0"/>
    <m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  <m/>
    <m/>
    <n v="2877.6"/>
    <n v="0"/>
    <m/>
  </r>
  <r>
    <s v="Above the Line"/>
    <x v="2"/>
    <s v=""/>
    <m/>
    <x v="459"/>
    <s v="Jose Ramón Chavez - Bloque 2"/>
    <m/>
    <n v="0"/>
    <n v="0"/>
    <n v="0"/>
    <n v="0"/>
    <n v="0"/>
    <n v="0"/>
    <n v="0"/>
    <m/>
    <m/>
    <n v="0"/>
    <n v="0"/>
    <m/>
  </r>
  <r>
    <s v="Above the Line"/>
    <x v="2"/>
    <s v="ALL SHOW"/>
    <m/>
    <x v="460"/>
    <s v="Vuelo Aeromexico GDL - MEX"/>
    <m/>
    <n v="0"/>
    <n v="0"/>
    <n v="0"/>
    <n v="0"/>
    <n v="0"/>
    <n v="5000"/>
    <n v="5000"/>
    <m/>
    <m/>
    <n v="0"/>
    <n v="0"/>
    <m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  <m/>
    <m/>
    <n v="5510.81"/>
    <n v="0"/>
    <m/>
  </r>
  <r>
    <s v="Above the Line"/>
    <x v="2"/>
    <s v=""/>
    <m/>
    <x v="462"/>
    <s v="Iker Duperoyn - Bloque 3"/>
    <m/>
    <n v="0"/>
    <n v="0"/>
    <n v="0"/>
    <n v="0"/>
    <n v="0"/>
    <n v="0"/>
    <n v="0"/>
    <m/>
    <m/>
    <n v="0"/>
    <n v="0"/>
    <m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  <m/>
    <m/>
    <n v="3707.7400000000002"/>
    <n v="0"/>
    <m/>
  </r>
  <r>
    <s v="Above the Line"/>
    <x v="2"/>
    <s v="ALL SHOW"/>
    <m/>
    <x v="464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5"/>
    <s v="Sebastian Sariñana - Bloque 4"/>
    <m/>
    <n v="0"/>
    <n v="0"/>
    <n v="0"/>
    <n v="0"/>
    <n v="0"/>
    <n v="0"/>
    <n v="0"/>
    <m/>
    <m/>
    <n v="0"/>
    <n v="0"/>
    <m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  <m/>
    <m/>
    <n v="9070.41"/>
    <n v="0"/>
    <m/>
  </r>
  <r>
    <s v="Above the Line"/>
    <x v="2"/>
    <s v="ALL SHOW"/>
    <m/>
    <x v="467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8"/>
    <s v="Nadia Ayala -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  <m/>
    <m/>
    <n v="4143.5600000000004"/>
    <n v="0"/>
    <m/>
  </r>
  <r>
    <s v="Above the Line"/>
    <x v="2"/>
    <s v="2nd Unit"/>
    <m/>
    <x v="470"/>
    <s v="Vuelo Aeromexico MEX - GDL"/>
    <m/>
    <n v="0"/>
    <n v="0"/>
    <n v="0"/>
    <n v="0"/>
    <n v="0"/>
    <n v="5000"/>
    <n v="5000"/>
    <m/>
    <m/>
    <n v="0"/>
    <n v="0"/>
    <m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  <m/>
    <m/>
    <n v="25745.03"/>
    <n v="0"/>
    <m/>
  </r>
  <r>
    <s v="Above the Line"/>
    <x v="2"/>
    <s v=""/>
    <m/>
    <x v="472"/>
    <s v="Departamentos Directores"/>
    <m/>
    <n v="0"/>
    <n v="0"/>
    <n v="0"/>
    <n v="0"/>
    <n v="0"/>
    <n v="0"/>
    <n v="0"/>
    <m/>
    <m/>
    <n v="0"/>
    <n v="0"/>
    <m/>
  </r>
  <r>
    <s v="Above the Line"/>
    <x v="2"/>
    <s v="PREP"/>
    <m/>
    <x v="473"/>
    <s v="Prep"/>
    <m/>
    <n v="0"/>
    <n v="0"/>
    <n v="0"/>
    <n v="0"/>
    <n v="0"/>
    <n v="12600"/>
    <n v="12600"/>
    <m/>
    <m/>
    <n v="0"/>
    <n v="0"/>
    <m/>
  </r>
  <r>
    <s v="Above the Line"/>
    <x v="2"/>
    <s v="SHOOT"/>
    <m/>
    <x v="474"/>
    <s v="Shoot"/>
    <m/>
    <n v="5745.03"/>
    <n v="0"/>
    <n v="5745.03"/>
    <n v="0"/>
    <n v="5745.03"/>
    <n v="44100"/>
    <n v="38354.97"/>
    <m/>
    <m/>
    <n v="5745.03"/>
    <n v="0"/>
    <m/>
  </r>
  <r>
    <s v="Above the Line"/>
    <x v="2"/>
    <s v=""/>
    <m/>
    <x v="475"/>
    <s v="Departamen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76"/>
    <s v="Prep"/>
    <m/>
    <n v="0"/>
    <n v="0"/>
    <n v="0"/>
    <n v="0"/>
    <n v="0"/>
    <n v="6300"/>
    <n v="6300"/>
    <m/>
    <m/>
    <n v="0"/>
    <n v="0"/>
    <m/>
  </r>
  <r>
    <s v="Above the Line"/>
    <x v="2"/>
    <s v="2nd Unit"/>
    <m/>
    <x v="477"/>
    <s v="Shoot"/>
    <m/>
    <n v="0"/>
    <n v="0"/>
    <n v="0"/>
    <n v="0"/>
    <n v="0"/>
    <n v="12600"/>
    <n v="12600"/>
    <m/>
    <m/>
    <n v="0"/>
    <n v="0"/>
    <m/>
  </r>
  <r>
    <s v="Above the Line"/>
    <x v="2"/>
    <s v=""/>
    <m/>
    <x v="478"/>
    <s v="Hotel Cast La Cañada (Granja Eólica)"/>
    <m/>
    <n v="0"/>
    <n v="0"/>
    <n v="0"/>
    <n v="0"/>
    <n v="0"/>
    <n v="0"/>
    <n v="0"/>
    <m/>
    <m/>
    <n v="0"/>
    <n v="0"/>
    <m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  <m/>
    <m/>
    <n v="20000"/>
    <n v="0"/>
    <m/>
  </r>
  <r>
    <s v="Above the Line"/>
    <x v="2"/>
    <s v=""/>
    <m/>
    <x v="480"/>
    <s v="Hotel Cast Labor de Rivera"/>
    <m/>
    <n v="0"/>
    <n v="0"/>
    <n v="0"/>
    <n v="0"/>
    <n v="0"/>
    <n v="0"/>
    <n v="0"/>
    <m/>
    <m/>
    <n v="0"/>
    <n v="0"/>
    <m/>
  </r>
  <r>
    <s v="Above the Line"/>
    <x v="2"/>
    <s v="ALL SHOW"/>
    <m/>
    <x v="481"/>
    <s v="Habitación Sencilla"/>
    <m/>
    <n v="0"/>
    <n v="0"/>
    <n v="0"/>
    <n v="0"/>
    <n v="0"/>
    <n v="4800"/>
    <n v="4800"/>
    <m/>
    <m/>
    <n v="0"/>
    <n v="0"/>
    <m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  <m/>
    <m/>
    <n v="166921.22999999998"/>
    <n v="-9998.792999999976"/>
    <m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  <m/>
    <m/>
    <n v="0"/>
    <n v="0"/>
    <m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  <m/>
    <m/>
    <n v="28789.510000000002"/>
    <n v="0"/>
    <m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  <m/>
    <m/>
    <n v="1682.75"/>
    <n v="0"/>
    <m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  <m/>
    <m/>
    <n v="21441.63"/>
    <n v="-6432.4890000000014"/>
    <m/>
  </r>
  <r>
    <s v="Above the Line"/>
    <x v="2"/>
    <s v=""/>
    <m/>
    <x v="487"/>
    <s v="Cast Airfare - Personajes Principales"/>
    <m/>
    <n v="0"/>
    <n v="0"/>
    <n v="0"/>
    <n v="0"/>
    <n v="0"/>
    <n v="0"/>
    <n v="0"/>
    <m/>
    <m/>
    <n v="0"/>
    <n v="0"/>
    <m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  <m/>
    <m/>
    <n v="115007.33999999997"/>
    <n v="-3566.3039999999892"/>
    <m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  <m/>
    <m/>
    <n v="436616.11999999994"/>
    <n v="0"/>
    <m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  <m/>
    <m/>
    <n v="0"/>
    <n v="0"/>
    <m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  <m/>
    <m/>
    <n v="232790.33"/>
    <n v="0"/>
    <m/>
  </r>
  <r>
    <s v="Above the Line"/>
    <x v="2"/>
    <s v="ALL SHOW"/>
    <m/>
    <x v="492"/>
    <s v="Limpieza"/>
    <m/>
    <n v="39900"/>
    <n v="0"/>
    <n v="39900"/>
    <n v="0"/>
    <n v="39900"/>
    <n v="80000"/>
    <n v="40100"/>
    <m/>
    <m/>
    <n v="39900"/>
    <n v="0"/>
    <m/>
  </r>
  <r>
    <s v="Above the Line"/>
    <x v="2"/>
    <s v=""/>
    <m/>
    <x v="493"/>
    <s v="Departamento Talento - Casandra, Santiago "/>
    <m/>
    <n v="0"/>
    <n v="0"/>
    <n v="0"/>
    <n v="0"/>
    <n v="0"/>
    <n v="0"/>
    <n v="0"/>
    <m/>
    <m/>
    <n v="0"/>
    <n v="0"/>
    <m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  <m/>
    <m/>
    <n v="106770.72"/>
    <n v="0"/>
    <m/>
  </r>
  <r>
    <s v="Above the Line"/>
    <x v="2"/>
    <s v=""/>
    <m/>
    <x v="495"/>
    <s v="Hotel Matías México"/>
    <m/>
    <n v="0"/>
    <n v="0"/>
    <n v="0"/>
    <n v="0"/>
    <n v="0"/>
    <n v="0"/>
    <n v="0"/>
    <m/>
    <m/>
    <n v="0"/>
    <n v="0"/>
    <m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  <m/>
    <m/>
    <n v="10963.88"/>
    <n v="0"/>
    <m/>
  </r>
  <r>
    <s v="Above the Line"/>
    <x v="2"/>
    <s v=""/>
    <m/>
    <x v="497"/>
    <s v="Hotel Chapala Cast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  <m/>
    <m/>
    <n v="23537.37"/>
    <n v="0"/>
    <m/>
  </r>
  <r>
    <s v="Above the Line"/>
    <x v="2"/>
    <s v=""/>
    <m/>
    <x v="499"/>
    <s v="Airbnb Sandra Chapala"/>
    <m/>
    <n v="0"/>
    <n v="0"/>
    <n v="0"/>
    <n v="0"/>
    <n v="0"/>
    <n v="0"/>
    <n v="0"/>
    <m/>
    <m/>
    <n v="0"/>
    <n v="0"/>
    <m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  <m/>
    <m/>
    <n v="22653.82"/>
    <n v="0"/>
    <m/>
  </r>
  <r>
    <s v="Above the Line"/>
    <x v="1"/>
    <m/>
    <m/>
    <x v="501"/>
    <s v="VIATICOS REPARTO"/>
    <m/>
    <n v="71091.59"/>
    <n v="0"/>
    <n v="71091.59"/>
    <n v="0"/>
    <n v="71091.59"/>
    <n v="146500"/>
    <n v="75408.41"/>
    <m/>
    <m/>
    <n v="71091.59"/>
    <n v="0"/>
    <m/>
  </r>
  <r>
    <s v="Above the Line"/>
    <x v="2"/>
    <s v=""/>
    <m/>
    <x v="502"/>
    <s v="Cast Per Diem Comida Hotel"/>
    <m/>
    <n v="0"/>
    <n v="0"/>
    <n v="0"/>
    <n v="0"/>
    <n v="0"/>
    <n v="0"/>
    <n v="0"/>
    <m/>
    <m/>
    <n v="0"/>
    <n v="0"/>
    <m/>
  </r>
  <r>
    <s v="Above the Line"/>
    <x v="2"/>
    <s v="SHOOT"/>
    <m/>
    <x v="503"/>
    <s v="Allow"/>
    <m/>
    <n v="32091.59"/>
    <n v="0"/>
    <n v="32091.59"/>
    <n v="0"/>
    <n v="32091.59"/>
    <n v="60000"/>
    <n v="27908.41"/>
    <m/>
    <m/>
    <n v="32091.59"/>
    <n v="0"/>
    <m/>
  </r>
  <r>
    <s v="Above the Line"/>
    <x v="2"/>
    <s v=""/>
    <m/>
    <x v="504"/>
    <s v="Cast Per Diem - Sandra Echeverria"/>
    <m/>
    <n v="0"/>
    <n v="0"/>
    <n v="0"/>
    <n v="0"/>
    <n v="0"/>
    <n v="0"/>
    <n v="0"/>
    <m/>
    <m/>
    <n v="0"/>
    <n v="0"/>
    <m/>
  </r>
  <r>
    <s v="Above the Line"/>
    <x v="2"/>
    <s v="SHOOT"/>
    <m/>
    <x v="505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6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07"/>
    <s v="Cast Per Diem Comida - Ivan Amuzurrutia"/>
    <m/>
    <n v="0"/>
    <n v="0"/>
    <n v="0"/>
    <n v="0"/>
    <n v="0"/>
    <n v="0"/>
    <n v="0"/>
    <m/>
    <m/>
    <n v="0"/>
    <n v="0"/>
    <m/>
  </r>
  <r>
    <s v="Above the Line"/>
    <x v="2"/>
    <s v="SHOOT"/>
    <m/>
    <x v="508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9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10"/>
    <s v="Cast Per Diem Comida - Matías Desiderio"/>
    <m/>
    <n v="0"/>
    <n v="0"/>
    <n v="0"/>
    <n v="0"/>
    <n v="0"/>
    <n v="0"/>
    <n v="0"/>
    <m/>
    <m/>
    <n v="0"/>
    <n v="0"/>
    <m/>
  </r>
  <r>
    <s v="Above the Line"/>
    <x v="2"/>
    <s v="PREP"/>
    <m/>
    <x v="511"/>
    <s v="Prep"/>
    <m/>
    <n v="0"/>
    <n v="0"/>
    <n v="0"/>
    <n v="0"/>
    <n v="0"/>
    <n v="5000"/>
    <n v="5000"/>
    <m/>
    <m/>
    <n v="0"/>
    <n v="0"/>
    <m/>
  </r>
  <r>
    <s v="Above the Line"/>
    <x v="2"/>
    <s v="SHOOT"/>
    <m/>
    <x v="512"/>
    <s v="Shoot"/>
    <m/>
    <n v="0"/>
    <n v="0"/>
    <n v="0"/>
    <n v="0"/>
    <n v="0"/>
    <n v="6500"/>
    <n v="6500"/>
    <m/>
    <m/>
    <n v="0"/>
    <n v="0"/>
    <m/>
  </r>
  <r>
    <s v="Above the Line"/>
    <x v="2"/>
    <s v="SHOOT"/>
    <m/>
    <x v="513"/>
    <s v="Hold"/>
    <m/>
    <n v="0"/>
    <n v="0"/>
    <n v="0"/>
    <n v="0"/>
    <n v="0"/>
    <n v="12000"/>
    <n v="12000"/>
    <m/>
    <m/>
    <n v="0"/>
    <n v="0"/>
    <m/>
  </r>
  <r>
    <s v="Above the Line"/>
    <x v="2"/>
    <s v="SHOOT"/>
    <m/>
    <x v="514"/>
    <s v="Domingos "/>
    <m/>
    <n v="0"/>
    <n v="0"/>
    <n v="0"/>
    <n v="0"/>
    <n v="0"/>
    <n v="5250"/>
    <n v="5250"/>
    <m/>
    <m/>
    <n v="0"/>
    <n v="0"/>
    <m/>
  </r>
  <r>
    <s v="Above the Line"/>
    <x v="2"/>
    <s v=""/>
    <m/>
    <x v="515"/>
    <s v="Cast Per Diem Comida - Pamela Almanza"/>
    <m/>
    <n v="0"/>
    <n v="0"/>
    <n v="0"/>
    <n v="0"/>
    <n v="0"/>
    <n v="0"/>
    <n v="0"/>
    <m/>
    <m/>
    <n v="0"/>
    <n v="0"/>
    <m/>
  </r>
  <r>
    <s v="Above the Line"/>
    <x v="2"/>
    <s v="SHOOT"/>
    <m/>
    <x v="516"/>
    <s v="Shoot"/>
    <m/>
    <n v="0"/>
    <n v="0"/>
    <n v="0"/>
    <n v="0"/>
    <n v="0"/>
    <n v="5250"/>
    <n v="5250"/>
    <m/>
    <m/>
    <n v="0"/>
    <n v="0"/>
    <m/>
  </r>
  <r>
    <s v="Above the Line"/>
    <x v="2"/>
    <s v="SHOOT"/>
    <m/>
    <x v="517"/>
    <s v="Hold"/>
    <m/>
    <n v="0"/>
    <n v="0"/>
    <n v="0"/>
    <n v="0"/>
    <n v="0"/>
    <n v="15750"/>
    <n v="15750"/>
    <m/>
    <m/>
    <n v="0"/>
    <n v="0"/>
    <m/>
  </r>
  <r>
    <s v="Above the Line"/>
    <x v="2"/>
    <s v="SHOOT"/>
    <m/>
    <x v="518"/>
    <s v="Domingos "/>
    <m/>
    <n v="0"/>
    <n v="0"/>
    <n v="0"/>
    <n v="0"/>
    <n v="0"/>
    <n v="5250"/>
    <n v="5250"/>
    <m/>
    <m/>
    <n v="0"/>
    <n v="0"/>
    <m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2"/>
    <s v=""/>
    <m/>
    <x v="520"/>
    <s v="Cast Transfers - Emergency Flights"/>
    <m/>
    <n v="0"/>
    <n v="0"/>
    <n v="0"/>
    <n v="0"/>
    <n v="0"/>
    <n v="0"/>
    <n v="0"/>
    <m/>
    <m/>
    <n v="0"/>
    <n v="0"/>
    <m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1"/>
    <m/>
    <m/>
    <x v="522"/>
    <s v="Total Fringes"/>
    <m/>
    <n v="556.89"/>
    <n v="0"/>
    <n v="556.89"/>
    <n v="0"/>
    <n v="556.89"/>
    <n v="6795.5300000000007"/>
    <n v="6238.64"/>
    <m/>
    <m/>
    <n v="556.89"/>
    <n v="0"/>
    <m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  <m/>
    <m/>
    <n v="556.89"/>
    <n v="0"/>
    <m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  <m/>
    <m/>
    <n v="7134206.7699999996"/>
    <n v="-9871.2120000002906"/>
    <m/>
  </r>
  <r>
    <s v="Below the Line"/>
    <x v="1"/>
    <m/>
    <m/>
    <x v="525"/>
    <s v="GERENTE DE UNIDAD"/>
    <m/>
    <n v="520000"/>
    <n v="0"/>
    <n v="520000"/>
    <n v="0"/>
    <n v="520000"/>
    <n v="520000"/>
    <n v="0"/>
    <m/>
    <m/>
    <n v="520000"/>
    <n v="0"/>
    <m/>
  </r>
  <r>
    <s v="Below the Line"/>
    <x v="2"/>
    <s v=""/>
    <m/>
    <x v="526"/>
    <s v="Gerente de Producción - Jorge Miguel Novella"/>
    <m/>
    <n v="0"/>
    <n v="0"/>
    <n v="0"/>
    <n v="0"/>
    <n v="0"/>
    <n v="0"/>
    <n v="0"/>
    <m/>
    <m/>
    <n v="0"/>
    <n v="0"/>
    <m/>
  </r>
  <r>
    <s v="Below the Line"/>
    <x v="2"/>
    <s v="SOFT"/>
    <m/>
    <x v="527"/>
    <s v="Soft"/>
    <m/>
    <n v="60000"/>
    <n v="0"/>
    <n v="60000"/>
    <n v="0"/>
    <n v="60000"/>
    <n v="60000"/>
    <n v="0"/>
    <m/>
    <m/>
    <n v="60000"/>
    <n v="0"/>
    <m/>
  </r>
  <r>
    <s v="Below the Line"/>
    <x v="2"/>
    <s v="PREP"/>
    <m/>
    <x v="528"/>
    <s v="Prep"/>
    <m/>
    <n v="180000"/>
    <n v="0"/>
    <n v="180000"/>
    <n v="0"/>
    <n v="180000"/>
    <n v="180000"/>
    <n v="0"/>
    <m/>
    <m/>
    <n v="180000"/>
    <n v="0"/>
    <m/>
  </r>
  <r>
    <s v="Below the Line"/>
    <x v="2"/>
    <s v="SHOOT"/>
    <m/>
    <x v="529"/>
    <s v="Shoot"/>
    <m/>
    <n v="140000"/>
    <n v="0"/>
    <n v="140000"/>
    <n v="0"/>
    <n v="140000"/>
    <n v="140000"/>
    <n v="0"/>
    <m/>
    <m/>
    <n v="140000"/>
    <n v="0"/>
    <m/>
  </r>
  <r>
    <s v="Below the Line"/>
    <x v="2"/>
    <s v="WRAP"/>
    <m/>
    <x v="530"/>
    <s v="Wrap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  <m/>
    <m/>
    <n v="0"/>
    <n v="0"/>
    <m/>
  </r>
  <r>
    <s v="Below the Line"/>
    <x v="2"/>
    <s v="2nd Unit"/>
    <m/>
    <x v="532"/>
    <s v="Prep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533"/>
    <s v="Shoot"/>
    <m/>
    <n v="40000"/>
    <n v="0"/>
    <n v="40000"/>
    <n v="0"/>
    <n v="40000"/>
    <n v="40000"/>
    <n v="0"/>
    <m/>
    <m/>
    <n v="40000"/>
    <n v="0"/>
    <m/>
  </r>
  <r>
    <s v="Below the Line"/>
    <x v="2"/>
    <s v="2nd Unit"/>
    <m/>
    <x v="534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535"/>
    <s v="1° ASISTENTE DIRECCION"/>
    <m/>
    <n v="785134"/>
    <n v="0"/>
    <n v="785134"/>
    <n v="0"/>
    <n v="785134"/>
    <n v="742500"/>
    <n v="-42634"/>
    <m/>
    <m/>
    <n v="785134"/>
    <n v="0"/>
    <m/>
  </r>
  <r>
    <s v="Below the Line"/>
    <x v="2"/>
    <s v=""/>
    <m/>
    <x v="536"/>
    <s v="1er Asistente de Dirección - Pedro Adame"/>
    <m/>
    <n v="0"/>
    <n v="0"/>
    <n v="0"/>
    <n v="0"/>
    <n v="0"/>
    <n v="0"/>
    <n v="0"/>
    <m/>
    <m/>
    <n v="0"/>
    <n v="0"/>
    <m/>
  </r>
  <r>
    <s v="Below the Line"/>
    <x v="2"/>
    <s v="PREP"/>
    <m/>
    <x v="537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38"/>
    <s v="Shoot"/>
    <m/>
    <n v="148750"/>
    <n v="0"/>
    <n v="148750"/>
    <n v="0"/>
    <n v="148750"/>
    <n v="131250"/>
    <n v="-17500"/>
    <m/>
    <m/>
    <n v="148750"/>
    <n v="0"/>
    <m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  <m/>
    <m/>
    <n v="0"/>
    <n v="0"/>
    <m/>
  </r>
  <r>
    <s v="Below the Line"/>
    <x v="2"/>
    <s v="2nd Unit"/>
    <m/>
    <x v="540"/>
    <s v="Prep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541"/>
    <s v="Shoot"/>
    <m/>
    <n v="58334"/>
    <n v="0"/>
    <n v="58334"/>
    <n v="0"/>
    <n v="58334"/>
    <n v="50000"/>
    <n v="-8334"/>
    <m/>
    <m/>
    <n v="58334"/>
    <n v="0"/>
    <m/>
  </r>
  <r>
    <s v="Below the Line"/>
    <x v="2"/>
    <s v=""/>
    <m/>
    <x v="542"/>
    <s v="1er Asistente de Dirección #2 - Gerardo Garay"/>
    <m/>
    <n v="0"/>
    <n v="0"/>
    <n v="0"/>
    <n v="0"/>
    <n v="0"/>
    <n v="0"/>
    <n v="0"/>
    <m/>
    <m/>
    <n v="0"/>
    <n v="0"/>
    <m/>
  </r>
  <r>
    <s v="Below the Line"/>
    <x v="2"/>
    <s v="PREP"/>
    <m/>
    <x v="543"/>
    <s v="Prep"/>
    <m/>
    <n v="125000"/>
    <n v="0"/>
    <n v="125000"/>
    <n v="0"/>
    <n v="125000"/>
    <n v="125000"/>
    <n v="0"/>
    <m/>
    <m/>
    <n v="125000"/>
    <n v="0"/>
    <m/>
  </r>
  <r>
    <s v="Below the Line"/>
    <x v="2"/>
    <s v="SHOOT"/>
    <m/>
    <x v="544"/>
    <s v="Shoot"/>
    <m/>
    <n v="175000"/>
    <n v="0"/>
    <n v="175000"/>
    <n v="0"/>
    <n v="175000"/>
    <n v="175000"/>
    <n v="0"/>
    <m/>
    <m/>
    <n v="175000"/>
    <n v="0"/>
    <m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  <s v="Asitente adicional split unit"/>
    <m/>
    <n v="16800"/>
    <n v="0"/>
    <m/>
  </r>
  <r>
    <s v="Below the Line"/>
    <x v="1"/>
    <m/>
    <m/>
    <x v="546"/>
    <s v="PLANEADOR"/>
    <m/>
    <n v="577500"/>
    <n v="0"/>
    <n v="577500"/>
    <n v="0"/>
    <n v="577500"/>
    <n v="551250"/>
    <n v="-26250"/>
    <m/>
    <m/>
    <n v="577500"/>
    <n v="0"/>
    <m/>
  </r>
  <r>
    <s v="Below the Line"/>
    <x v="2"/>
    <s v=""/>
    <m/>
    <x v="547"/>
    <s v="Planner - Alejandro Sariñana"/>
    <m/>
    <n v="0"/>
    <n v="0"/>
    <n v="0"/>
    <n v="0"/>
    <n v="0"/>
    <n v="0"/>
    <n v="0"/>
    <m/>
    <m/>
    <n v="0"/>
    <n v="0"/>
    <m/>
  </r>
  <r>
    <s v="Below the Line"/>
    <x v="2"/>
    <s v="SOFT"/>
    <m/>
    <x v="548"/>
    <s v="Soft"/>
    <m/>
    <n v="131250"/>
    <n v="0"/>
    <n v="131250"/>
    <n v="0"/>
    <n v="131250"/>
    <n v="131250"/>
    <n v="0"/>
    <m/>
    <m/>
    <n v="131250"/>
    <n v="0"/>
    <m/>
  </r>
  <r>
    <s v="Below the Line"/>
    <x v="2"/>
    <s v="PREP"/>
    <m/>
    <x v="549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50"/>
    <s v="Shoot"/>
    <m/>
    <n v="210000"/>
    <n v="0"/>
    <n v="210000"/>
    <n v="0"/>
    <n v="210000"/>
    <n v="183750"/>
    <n v="-26250"/>
    <m/>
    <m/>
    <n v="210000"/>
    <n v="0"/>
    <m/>
  </r>
  <r>
    <s v="Below the Line"/>
    <x v="1"/>
    <m/>
    <m/>
    <x v="551"/>
    <s v="2° ASISTENTE DIRECCION"/>
    <m/>
    <n v="683500"/>
    <n v="0"/>
    <n v="683500"/>
    <n v="0"/>
    <n v="683500"/>
    <n v="673500"/>
    <n v="-10000"/>
    <m/>
    <m/>
    <n v="683500"/>
    <n v="0"/>
    <m/>
  </r>
  <r>
    <s v="Below the Line"/>
    <x v="2"/>
    <s v=""/>
    <m/>
    <x v="552"/>
    <s v="Asistente Planner - Gabriel Cruz"/>
    <m/>
    <n v="0"/>
    <n v="0"/>
    <n v="0"/>
    <n v="0"/>
    <n v="0"/>
    <n v="0"/>
    <n v="0"/>
    <m/>
    <m/>
    <n v="0"/>
    <n v="0"/>
    <m/>
  </r>
  <r>
    <s v="Below the Line"/>
    <x v="2"/>
    <s v="SOFT"/>
    <m/>
    <x v="553"/>
    <s v="Soft"/>
    <m/>
    <n v="31500"/>
    <n v="0"/>
    <n v="31500"/>
    <n v="0"/>
    <n v="31500"/>
    <n v="31500"/>
    <n v="0"/>
    <m/>
    <m/>
    <n v="31500"/>
    <n v="0"/>
    <m/>
  </r>
  <r>
    <s v="Below the Line"/>
    <x v="2"/>
    <s v="PREP"/>
    <m/>
    <x v="554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555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"/>
    <m/>
    <x v="556"/>
    <s v="2do Asistente de Dirección #1 - David Garcés"/>
    <m/>
    <n v="0"/>
    <n v="0"/>
    <n v="0"/>
    <n v="0"/>
    <n v="0"/>
    <n v="0"/>
    <n v="0"/>
    <m/>
    <m/>
    <n v="0"/>
    <n v="0"/>
    <m/>
  </r>
  <r>
    <s v="Below the Line"/>
    <x v="2"/>
    <s v="PREP"/>
    <m/>
    <x v="557"/>
    <s v="Prep"/>
    <m/>
    <n v="105000"/>
    <n v="0"/>
    <n v="105000"/>
    <n v="0"/>
    <n v="105000"/>
    <n v="105000"/>
    <n v="0"/>
    <m/>
    <m/>
    <n v="105000"/>
    <n v="0"/>
    <m/>
  </r>
  <r>
    <s v="Below the Line"/>
    <x v="2"/>
    <s v="SHOOT"/>
    <m/>
    <x v="558"/>
    <s v="Shoot"/>
    <m/>
    <n v="85000"/>
    <n v="0"/>
    <n v="85000"/>
    <n v="0"/>
    <n v="85000"/>
    <n v="75000"/>
    <n v="-10000"/>
    <m/>
    <m/>
    <n v="85000"/>
    <n v="0"/>
    <m/>
  </r>
  <r>
    <s v="Below the Line"/>
    <x v="2"/>
    <s v=""/>
    <m/>
    <x v="559"/>
    <s v="2do Asistente de Dirección #2 - Daniela Carrera"/>
    <m/>
    <n v="0"/>
    <n v="0"/>
    <n v="0"/>
    <n v="0"/>
    <n v="0"/>
    <n v="0"/>
    <n v="0"/>
    <m/>
    <m/>
    <n v="0"/>
    <n v="0"/>
    <m/>
  </r>
  <r>
    <s v="Below the Line"/>
    <x v="2"/>
    <s v="PREP"/>
    <m/>
    <x v="560"/>
    <s v="Prep"/>
    <m/>
    <n v="60000"/>
    <n v="0"/>
    <n v="60000"/>
    <n v="0"/>
    <n v="60000"/>
    <n v="60000"/>
    <n v="0"/>
    <m/>
    <m/>
    <n v="60000"/>
    <n v="0"/>
    <m/>
  </r>
  <r>
    <s v="Below the Line"/>
    <x v="2"/>
    <s v="SHOOT"/>
    <m/>
    <x v="561"/>
    <s v="Shoot "/>
    <m/>
    <n v="105000"/>
    <n v="0"/>
    <n v="105000"/>
    <n v="0"/>
    <n v="105000"/>
    <n v="105000"/>
    <n v="0"/>
    <m/>
    <m/>
    <n v="105000"/>
    <n v="0"/>
    <m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  <m/>
    <m/>
    <n v="0"/>
    <n v="0"/>
    <m/>
  </r>
  <r>
    <s v="Below the Line"/>
    <x v="2"/>
    <s v="2nd Unit"/>
    <m/>
    <x v="563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m/>
    <x v="564"/>
    <s v="Shoot "/>
    <m/>
    <n v="45000"/>
    <n v="0"/>
    <n v="45000"/>
    <n v="0"/>
    <n v="45000"/>
    <n v="30000"/>
    <n v="-15000"/>
    <m/>
    <m/>
    <n v="45000"/>
    <n v="0"/>
    <m/>
  </r>
  <r>
    <s v="Below the Line"/>
    <x v="1"/>
    <m/>
    <m/>
    <x v="565"/>
    <s v="2° 2° ASISTENTE DE DIRECCION"/>
    <m/>
    <n v="93750"/>
    <n v="0"/>
    <n v="93750"/>
    <n v="0"/>
    <n v="93750"/>
    <n v="90000"/>
    <n v="-3750"/>
    <m/>
    <m/>
    <n v="93750"/>
    <n v="0"/>
    <m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  <m/>
    <m/>
    <n v="0"/>
    <n v="0"/>
    <m/>
  </r>
  <r>
    <s v="Below the Line"/>
    <x v="2"/>
    <s v="PREP"/>
    <m/>
    <x v="567"/>
    <s v="Prep"/>
    <m/>
    <n v="15000"/>
    <n v="0"/>
    <n v="15000"/>
    <n v="0"/>
    <n v="15000"/>
    <n v="15000"/>
    <n v="0"/>
    <m/>
    <m/>
    <n v="15000"/>
    <n v="0"/>
    <m/>
  </r>
  <r>
    <s v="Below the Line"/>
    <x v="2"/>
    <s v="SHOOT"/>
    <s v="NOM"/>
    <x v="568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  <m/>
    <m/>
    <n v="0"/>
    <n v="0"/>
    <m/>
  </r>
  <r>
    <s v="Below the Line"/>
    <x v="2"/>
    <s v="2nd Unit"/>
    <m/>
    <x v="570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571"/>
    <s v="Shoot"/>
    <m/>
    <n v="13750"/>
    <n v="0"/>
    <n v="13750"/>
    <n v="0"/>
    <n v="13750"/>
    <n v="15000"/>
    <n v="1250"/>
    <m/>
    <m/>
    <n v="13750"/>
    <n v="0"/>
    <m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  <m/>
    <m/>
    <n v="5000"/>
    <n v="0"/>
    <m/>
  </r>
  <r>
    <s v="Below the Line"/>
    <x v="1"/>
    <m/>
    <m/>
    <x v="573"/>
    <s v="CONTINUISTA"/>
    <m/>
    <n v="209633.33"/>
    <n v="0"/>
    <n v="209633.33"/>
    <n v="0"/>
    <n v="209633.33"/>
    <n v="198200"/>
    <n v="-11433.33"/>
    <m/>
    <m/>
    <n v="209633.33"/>
    <n v="0"/>
    <m/>
  </r>
  <r>
    <s v="Below the Line"/>
    <x v="2"/>
    <s v=""/>
    <m/>
    <x v="574"/>
    <s v="Script - Ana Mock"/>
    <m/>
    <n v="0"/>
    <n v="0"/>
    <n v="0"/>
    <n v="0"/>
    <n v="0"/>
    <n v="0"/>
    <n v="0"/>
    <m/>
    <m/>
    <n v="0"/>
    <n v="0"/>
    <m/>
  </r>
  <r>
    <s v="Below the Line"/>
    <x v="2"/>
    <s v="PREP"/>
    <m/>
    <x v="575"/>
    <s v="Prep"/>
    <m/>
    <n v="17000"/>
    <n v="0"/>
    <n v="17000"/>
    <n v="0"/>
    <n v="17000"/>
    <n v="17000"/>
    <n v="0"/>
    <m/>
    <m/>
    <n v="17000"/>
    <n v="0"/>
    <m/>
  </r>
  <r>
    <s v="Below the Line"/>
    <x v="2"/>
    <s v="SHOOT"/>
    <m/>
    <x v="57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"/>
    <m/>
    <x v="577"/>
    <s v="Script Split Unit - Jules Contreras"/>
    <m/>
    <n v="0"/>
    <n v="0"/>
    <n v="0"/>
    <n v="0"/>
    <n v="0"/>
    <n v="0"/>
    <n v="0"/>
    <m/>
    <m/>
    <n v="0"/>
    <n v="0"/>
    <m/>
  </r>
  <r>
    <s v="Below the Line"/>
    <x v="2"/>
    <s v="PREP"/>
    <m/>
    <x v="578"/>
    <s v="Prep"/>
    <m/>
    <n v="8400"/>
    <n v="0"/>
    <n v="8400"/>
    <n v="0"/>
    <n v="8400"/>
    <n v="8400"/>
    <n v="0"/>
    <m/>
    <m/>
    <n v="8400"/>
    <n v="0"/>
    <m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  <s v="Script adicional split unit"/>
    <m/>
    <n v="14233.33"/>
    <n v="0"/>
    <m/>
  </r>
  <r>
    <s v="Below the Line"/>
    <x v="2"/>
    <s v=""/>
    <m/>
    <x v="580"/>
    <s v="Script Segunda Unidad - Jules Contreras"/>
    <m/>
    <n v="0"/>
    <n v="0"/>
    <n v="0"/>
    <n v="0"/>
    <n v="0"/>
    <n v="0"/>
    <n v="0"/>
    <m/>
    <m/>
    <n v="0"/>
    <n v="0"/>
    <m/>
  </r>
  <r>
    <s v="Below the Line"/>
    <x v="2"/>
    <s v="2nd Unit"/>
    <m/>
    <x v="581"/>
    <s v="Prep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582"/>
    <s v="Shoot"/>
    <m/>
    <n v="34000"/>
    <n v="0"/>
    <n v="34000"/>
    <n v="0"/>
    <n v="34000"/>
    <n v="34000"/>
    <n v="0"/>
    <m/>
    <m/>
    <n v="34000"/>
    <n v="0"/>
    <m/>
  </r>
  <r>
    <s v="Below the Line"/>
    <x v="2"/>
    <s v="2nd Unit"/>
    <s v="NOM"/>
    <x v="583"/>
    <s v="Wrap"/>
    <m/>
    <n v="0"/>
    <n v="0"/>
    <n v="0"/>
    <n v="0"/>
    <n v="0"/>
    <n v="0"/>
    <n v="0"/>
    <m/>
    <m/>
    <n v="0"/>
    <n v="0"/>
    <m/>
  </r>
  <r>
    <s v="Below the Line"/>
    <x v="1"/>
    <m/>
    <m/>
    <x v="584"/>
    <s v="CONTADOR DE PRODUCCION"/>
    <m/>
    <n v="726750"/>
    <n v="0"/>
    <n v="726750"/>
    <n v="0"/>
    <n v="726750"/>
    <n v="726750"/>
    <n v="0"/>
    <m/>
    <m/>
    <n v="726750"/>
    <n v="0"/>
    <m/>
  </r>
  <r>
    <s v="Below the Line"/>
    <x v="2"/>
    <s v=""/>
    <m/>
    <x v="585"/>
    <s v="Servicios de Contabilidad - SUMMIT FINANCE"/>
    <m/>
    <n v="0"/>
    <n v="0"/>
    <n v="0"/>
    <n v="0"/>
    <n v="0"/>
    <n v="0"/>
    <n v="0"/>
    <m/>
    <m/>
    <n v="0"/>
    <n v="0"/>
    <m/>
  </r>
  <r>
    <s v="Below the Line"/>
    <x v="2"/>
    <s v=""/>
    <m/>
    <x v="586"/>
    <s v="Contabilidad de Producción Development"/>
    <m/>
    <n v="0"/>
    <n v="0"/>
    <n v="0"/>
    <n v="0"/>
    <n v="0"/>
    <n v="0"/>
    <n v="0"/>
    <m/>
    <m/>
    <n v="0"/>
    <n v="0"/>
    <m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  <m/>
    <m/>
    <n v="50000"/>
    <n v="0"/>
    <m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  <m/>
    <m/>
    <n v="50000"/>
    <n v="0"/>
    <m/>
  </r>
  <r>
    <s v="Below the Line"/>
    <x v="2"/>
    <s v=""/>
    <m/>
    <x v="589"/>
    <s v="Contador de Producción - Mariana Sumano"/>
    <m/>
    <n v="0"/>
    <n v="0"/>
    <n v="0"/>
    <n v="0"/>
    <n v="0"/>
    <n v="0"/>
    <n v="0"/>
    <m/>
    <m/>
    <n v="0"/>
    <n v="0"/>
    <m/>
  </r>
  <r>
    <s v="Below the Line"/>
    <x v="2"/>
    <s v="SOFT"/>
    <m/>
    <x v="590"/>
    <s v="Soft"/>
    <m/>
    <n v="28750"/>
    <n v="0"/>
    <n v="28750"/>
    <n v="0"/>
    <n v="28750"/>
    <n v="28750"/>
    <n v="0"/>
    <m/>
    <m/>
    <n v="28750"/>
    <n v="0"/>
    <m/>
  </r>
  <r>
    <s v="Below the Line"/>
    <x v="2"/>
    <s v="PREP"/>
    <m/>
    <x v="591"/>
    <s v="Prep"/>
    <m/>
    <n v="207000"/>
    <n v="0"/>
    <n v="207000"/>
    <n v="0"/>
    <n v="207000"/>
    <n v="207000"/>
    <n v="0"/>
    <m/>
    <m/>
    <n v="207000"/>
    <n v="0"/>
    <m/>
  </r>
  <r>
    <s v="Below the Line"/>
    <x v="2"/>
    <s v="SHOOT"/>
    <m/>
    <x v="592"/>
    <s v="Shoot"/>
    <m/>
    <n v="161000"/>
    <n v="0"/>
    <n v="161000"/>
    <n v="0"/>
    <n v="161000"/>
    <n v="161000"/>
    <n v="0"/>
    <m/>
    <m/>
    <n v="161000"/>
    <n v="0"/>
    <m/>
  </r>
  <r>
    <s v="Below the Line"/>
    <x v="2"/>
    <s v="WRAP"/>
    <m/>
    <x v="593"/>
    <s v="Wrap"/>
    <m/>
    <n v="92000"/>
    <n v="0"/>
    <n v="92000"/>
    <n v="0"/>
    <n v="92000"/>
    <n v="92000"/>
    <n v="0"/>
    <m/>
    <m/>
    <n v="92000"/>
    <n v="0"/>
    <m/>
  </r>
  <r>
    <s v="Below the Line"/>
    <x v="2"/>
    <s v="POST"/>
    <m/>
    <x v="594"/>
    <s v="Post"/>
    <m/>
    <n v="138000"/>
    <n v="0"/>
    <n v="138000"/>
    <n v="0"/>
    <n v="138000"/>
    <n v="138000"/>
    <n v="0"/>
    <m/>
    <m/>
    <n v="138000"/>
    <n v="0"/>
    <m/>
  </r>
  <r>
    <s v="Below the Line"/>
    <x v="1"/>
    <m/>
    <m/>
    <x v="595"/>
    <s v="CONTADORES ASISTENTES"/>
    <m/>
    <n v="749500"/>
    <n v="0"/>
    <n v="749500"/>
    <n v="0"/>
    <n v="749500"/>
    <n v="749500"/>
    <n v="0"/>
    <m/>
    <m/>
    <n v="749500"/>
    <n v="0"/>
    <m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  <m/>
    <m/>
    <n v="0"/>
    <n v="0"/>
    <m/>
  </r>
  <r>
    <s v="Below the Line"/>
    <x v="2"/>
    <s v="SOFT"/>
    <m/>
    <x v="597"/>
    <s v="Soft"/>
    <m/>
    <n v="15000"/>
    <n v="0"/>
    <n v="15000"/>
    <n v="0"/>
    <n v="15000"/>
    <n v="15000"/>
    <n v="0"/>
    <m/>
    <m/>
    <n v="15000"/>
    <n v="0"/>
    <m/>
  </r>
  <r>
    <s v="Below the Line"/>
    <x v="2"/>
    <s v="PREP"/>
    <m/>
    <x v="598"/>
    <s v="Prep"/>
    <m/>
    <n v="108000"/>
    <n v="0"/>
    <n v="108000"/>
    <n v="0"/>
    <n v="108000"/>
    <n v="108000"/>
    <n v="0"/>
    <m/>
    <m/>
    <n v="108000"/>
    <n v="0"/>
    <m/>
  </r>
  <r>
    <s v="Below the Line"/>
    <x v="2"/>
    <s v="SHOOT"/>
    <m/>
    <x v="599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600"/>
    <s v="Wrap"/>
    <m/>
    <n v="48000"/>
    <n v="0"/>
    <n v="48000"/>
    <n v="0"/>
    <n v="48000"/>
    <n v="48000"/>
    <n v="0"/>
    <m/>
    <m/>
    <n v="48000"/>
    <n v="0"/>
    <m/>
  </r>
  <r>
    <s v="Below the Line"/>
    <x v="2"/>
    <s v="POST"/>
    <m/>
    <x v="601"/>
    <s v="Post"/>
    <m/>
    <n v="72000"/>
    <n v="0"/>
    <n v="72000"/>
    <n v="0"/>
    <n v="72000"/>
    <n v="72000"/>
    <n v="0"/>
    <m/>
    <m/>
    <n v="72000"/>
    <n v="0"/>
    <m/>
  </r>
  <r>
    <s v="Below the Line"/>
    <x v="2"/>
    <s v=""/>
    <m/>
    <x v="602"/>
    <s v="Segundo Asistente Contable - Joseline Haro"/>
    <m/>
    <n v="0"/>
    <n v="0"/>
    <n v="0"/>
    <n v="0"/>
    <n v="0"/>
    <n v="0"/>
    <n v="0"/>
    <m/>
    <m/>
    <n v="0"/>
    <n v="0"/>
    <m/>
  </r>
  <r>
    <s v="Below the Line"/>
    <x v="2"/>
    <s v="SOFT"/>
    <m/>
    <x v="603"/>
    <s v="Soft"/>
    <m/>
    <n v="12500"/>
    <n v="0"/>
    <n v="12500"/>
    <n v="0"/>
    <n v="12500"/>
    <n v="12500"/>
    <n v="0"/>
    <m/>
    <m/>
    <n v="12500"/>
    <n v="0"/>
    <m/>
  </r>
  <r>
    <s v="Below the Line"/>
    <x v="2"/>
    <s v="PREP"/>
    <m/>
    <x v="604"/>
    <s v="Prep"/>
    <m/>
    <n v="90000"/>
    <n v="0"/>
    <n v="90000"/>
    <n v="0"/>
    <n v="90000"/>
    <n v="90000"/>
    <n v="0"/>
    <m/>
    <m/>
    <n v="90000"/>
    <n v="0"/>
    <m/>
  </r>
  <r>
    <s v="Below the Line"/>
    <x v="2"/>
    <s v="SHOOT"/>
    <m/>
    <x v="605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606"/>
    <s v="Wrap"/>
    <m/>
    <n v="40000"/>
    <n v="0"/>
    <n v="40000"/>
    <n v="0"/>
    <n v="40000"/>
    <n v="40000"/>
    <n v="0"/>
    <m/>
    <m/>
    <n v="40000"/>
    <n v="0"/>
    <m/>
  </r>
  <r>
    <s v="Below the Line"/>
    <x v="2"/>
    <s v="POST"/>
    <m/>
    <x v="607"/>
    <s v="Post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608"/>
    <s v="Trainee - Renata Ramirez"/>
    <m/>
    <n v="0"/>
    <n v="0"/>
    <n v="0"/>
    <n v="0"/>
    <n v="0"/>
    <n v="0"/>
    <n v="0"/>
    <m/>
    <m/>
    <n v="0"/>
    <n v="0"/>
    <m/>
  </r>
  <r>
    <s v="Below the Line"/>
    <x v="2"/>
    <s v="SOFT"/>
    <m/>
    <x v="609"/>
    <s v="Soft"/>
    <m/>
    <n v="18000"/>
    <n v="0"/>
    <n v="18000"/>
    <n v="0"/>
    <n v="18000"/>
    <n v="18000"/>
    <n v="0"/>
    <m/>
    <m/>
    <n v="18000"/>
    <n v="0"/>
    <m/>
  </r>
  <r>
    <s v="Below the Line"/>
    <x v="2"/>
    <s v="PREP"/>
    <m/>
    <x v="610"/>
    <s v="Prep"/>
    <m/>
    <n v="49500"/>
    <n v="0"/>
    <n v="49500"/>
    <n v="0"/>
    <n v="49500"/>
    <n v="49500"/>
    <n v="0"/>
    <m/>
    <m/>
    <n v="49500"/>
    <n v="0"/>
    <m/>
  </r>
  <r>
    <s v="Below the Line"/>
    <x v="2"/>
    <s v="SHOOT"/>
    <m/>
    <x v="611"/>
    <s v="Shoot"/>
    <m/>
    <n v="38500"/>
    <n v="0"/>
    <n v="38500"/>
    <n v="0"/>
    <n v="38500"/>
    <n v="38500"/>
    <n v="0"/>
    <m/>
    <m/>
    <n v="38500"/>
    <n v="0"/>
    <m/>
  </r>
  <r>
    <s v="Below the Line"/>
    <x v="2"/>
    <s v="WRAP"/>
    <m/>
    <x v="612"/>
    <s v="Wrap"/>
    <m/>
    <n v="22000"/>
    <n v="0"/>
    <n v="22000"/>
    <n v="0"/>
    <n v="22000"/>
    <n v="22000"/>
    <n v="0"/>
    <m/>
    <m/>
    <n v="22000"/>
    <n v="0"/>
    <m/>
  </r>
  <r>
    <s v="Below the Line"/>
    <x v="2"/>
    <s v="POST"/>
    <m/>
    <x v="613"/>
    <s v="Post"/>
    <m/>
    <n v="22000"/>
    <n v="0"/>
    <n v="22000"/>
    <n v="0"/>
    <n v="22000"/>
    <n v="22000"/>
    <n v="0"/>
    <m/>
    <m/>
    <n v="22000"/>
    <n v="0"/>
    <m/>
  </r>
  <r>
    <s v="Below the Line"/>
    <x v="1"/>
    <m/>
    <m/>
    <x v="614"/>
    <s v="COORDINACION DE PRODUCCION"/>
    <m/>
    <n v="567000"/>
    <n v="0"/>
    <n v="567000"/>
    <n v="0"/>
    <n v="567000"/>
    <n v="491400"/>
    <n v="-75600"/>
    <m/>
    <m/>
    <n v="567000"/>
    <n v="0"/>
    <m/>
  </r>
  <r>
    <s v="Below the Line"/>
    <x v="2"/>
    <s v=""/>
    <m/>
    <x v="615"/>
    <s v="Coordinador de Producción - Abril Zapata"/>
    <m/>
    <n v="0"/>
    <n v="0"/>
    <n v="0"/>
    <n v="0"/>
    <n v="0"/>
    <n v="0"/>
    <n v="0"/>
    <m/>
    <m/>
    <n v="0"/>
    <n v="0"/>
    <m/>
  </r>
  <r>
    <s v="Below the Line"/>
    <x v="2"/>
    <s v="SOFT"/>
    <m/>
    <x v="616"/>
    <s v="Soft"/>
    <m/>
    <n v="94500"/>
    <n v="0"/>
    <n v="94500"/>
    <n v="0"/>
    <n v="94500"/>
    <n v="94500"/>
    <n v="0"/>
    <m/>
    <m/>
    <n v="94500"/>
    <n v="0"/>
    <m/>
  </r>
  <r>
    <s v="Below the Line"/>
    <x v="2"/>
    <s v="PREP"/>
    <m/>
    <x v="617"/>
    <s v="Prep"/>
    <m/>
    <n v="170100"/>
    <n v="0"/>
    <n v="170100"/>
    <n v="0"/>
    <n v="170100"/>
    <n v="170100"/>
    <n v="0"/>
    <m/>
    <m/>
    <n v="170100"/>
    <n v="0"/>
    <m/>
  </r>
  <r>
    <s v="Below the Line"/>
    <x v="2"/>
    <s v="SHOOT"/>
    <m/>
    <x v="618"/>
    <s v="Shoot"/>
    <m/>
    <n v="132300"/>
    <n v="0"/>
    <n v="132300"/>
    <n v="0"/>
    <n v="132300"/>
    <n v="132300"/>
    <n v="0"/>
    <m/>
    <m/>
    <n v="132300"/>
    <n v="0"/>
    <m/>
  </r>
  <r>
    <s v="Below the Line"/>
    <x v="2"/>
    <s v="WRAP"/>
    <m/>
    <x v="619"/>
    <s v="Wrap"/>
    <m/>
    <n v="170100"/>
    <n v="0"/>
    <n v="170100"/>
    <n v="0"/>
    <n v="170100"/>
    <n v="94500"/>
    <n v="-75600"/>
    <m/>
    <m/>
    <n v="170100"/>
    <n v="0"/>
    <m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  <m/>
    <m/>
    <n v="443000"/>
    <n v="0"/>
    <m/>
  </r>
  <r>
    <s v="Below the Line"/>
    <x v="2"/>
    <s v=""/>
    <m/>
    <x v="621"/>
    <s v="APOC #1 - Diana Guerra"/>
    <m/>
    <n v="0"/>
    <n v="0"/>
    <n v="0"/>
    <n v="0"/>
    <n v="0"/>
    <n v="0"/>
    <n v="0"/>
    <m/>
    <m/>
    <n v="0"/>
    <n v="0"/>
    <m/>
  </r>
  <r>
    <s v="Below the Line"/>
    <x v="2"/>
    <s v="PREP"/>
    <m/>
    <x v="622"/>
    <s v="Prep"/>
    <m/>
    <n v="72000"/>
    <n v="0"/>
    <n v="72000"/>
    <n v="0"/>
    <n v="72000"/>
    <n v="81000"/>
    <n v="9000"/>
    <m/>
    <m/>
    <n v="72000"/>
    <n v="0"/>
    <m/>
  </r>
  <r>
    <s v="Below the Line"/>
    <x v="2"/>
    <s v="SHOOT"/>
    <m/>
    <x v="623"/>
    <s v="Shoot"/>
    <m/>
    <n v="56000"/>
    <n v="0"/>
    <n v="56000"/>
    <n v="0"/>
    <n v="56000"/>
    <n v="63000"/>
    <n v="7000"/>
    <m/>
    <m/>
    <n v="56000"/>
    <n v="0"/>
    <m/>
  </r>
  <r>
    <s v="Below the Line"/>
    <x v="2"/>
    <s v="WRAP"/>
    <m/>
    <x v="624"/>
    <s v="Wrap"/>
    <m/>
    <n v="48000"/>
    <n v="0"/>
    <n v="48000"/>
    <n v="0"/>
    <n v="48000"/>
    <n v="45000"/>
    <n v="-3000"/>
    <m/>
    <m/>
    <n v="48000"/>
    <n v="0"/>
    <m/>
  </r>
  <r>
    <s v="Below the Line"/>
    <x v="2"/>
    <s v=""/>
    <m/>
    <x v="625"/>
    <s v="APOC #2 - Erica Calderón"/>
    <m/>
    <n v="0"/>
    <n v="0"/>
    <n v="0"/>
    <n v="0"/>
    <n v="0"/>
    <n v="0"/>
    <n v="0"/>
    <m/>
    <m/>
    <n v="0"/>
    <n v="0"/>
    <m/>
  </r>
  <r>
    <s v="Below the Line"/>
    <x v="2"/>
    <s v="PREP"/>
    <m/>
    <x v="626"/>
    <s v="Prep"/>
    <m/>
    <n v="63000"/>
    <n v="0"/>
    <n v="63000"/>
    <n v="0"/>
    <n v="63000"/>
    <n v="56000"/>
    <n v="-7000"/>
    <m/>
    <m/>
    <n v="63000"/>
    <n v="0"/>
    <m/>
  </r>
  <r>
    <s v="Below the Line"/>
    <x v="2"/>
    <s v="SHOOT"/>
    <m/>
    <x v="627"/>
    <s v="Shoot"/>
    <m/>
    <n v="63000"/>
    <n v="0"/>
    <n v="63000"/>
    <n v="0"/>
    <n v="63000"/>
    <n v="56000"/>
    <n v="-7000"/>
    <m/>
    <m/>
    <n v="63000"/>
    <n v="0"/>
    <m/>
  </r>
  <r>
    <s v="Below the Line"/>
    <x v="2"/>
    <s v="WRAP"/>
    <s v="NOM"/>
    <x v="628"/>
    <s v="Wrap"/>
    <m/>
    <n v="45000"/>
    <n v="0"/>
    <n v="45000"/>
    <n v="0"/>
    <n v="45000"/>
    <n v="32000"/>
    <n v="-13000"/>
    <m/>
    <m/>
    <n v="45000"/>
    <n v="0"/>
    <m/>
  </r>
  <r>
    <s v="Below the Line"/>
    <x v="2"/>
    <s v=""/>
    <m/>
    <x v="629"/>
    <s v="Key APOC - TBD - Apoyo para cierre"/>
    <m/>
    <n v="0"/>
    <n v="0"/>
    <n v="0"/>
    <n v="0"/>
    <n v="0"/>
    <n v="0"/>
    <n v="0"/>
    <m/>
    <m/>
    <n v="0"/>
    <n v="0"/>
    <m/>
  </r>
  <r>
    <s v="Below the Line"/>
    <x v="2"/>
    <s v="SHOOT"/>
    <m/>
    <x v="630"/>
    <s v="Shoot"/>
    <m/>
    <n v="24000"/>
    <n v="0"/>
    <n v="24000"/>
    <n v="0"/>
    <n v="24000"/>
    <n v="32000"/>
    <n v="8000"/>
    <m/>
    <m/>
    <n v="24000"/>
    <n v="0"/>
    <m/>
  </r>
  <r>
    <s v="Below the Line"/>
    <x v="2"/>
    <s v="WRAP"/>
    <m/>
    <x v="631"/>
    <s v="Wrap"/>
    <m/>
    <n v="72000"/>
    <n v="0"/>
    <n v="72000"/>
    <n v="0"/>
    <n v="72000"/>
    <n v="64000"/>
    <n v="-8000"/>
    <m/>
    <m/>
    <n v="72000"/>
    <n v="0"/>
    <m/>
  </r>
  <r>
    <s v="Below the Line"/>
    <x v="1"/>
    <m/>
    <m/>
    <x v="632"/>
    <s v="GERENTE DE PRODUCCION"/>
    <m/>
    <n v="253500"/>
    <n v="0"/>
    <n v="253500"/>
    <n v="0"/>
    <n v="253500"/>
    <n v="237500"/>
    <n v="-16000"/>
    <m/>
    <m/>
    <n v="253500"/>
    <n v="0"/>
    <m/>
  </r>
  <r>
    <s v="Below the Line"/>
    <x v="2"/>
    <s v=""/>
    <m/>
    <x v="633"/>
    <s v="Jefe de Unidad - Omar Rojas"/>
    <m/>
    <n v="0"/>
    <n v="0"/>
    <n v="0"/>
    <n v="0"/>
    <n v="0"/>
    <n v="0"/>
    <n v="0"/>
    <m/>
    <m/>
    <n v="0"/>
    <n v="0"/>
    <m/>
  </r>
  <r>
    <s v="Below the Line"/>
    <x v="2"/>
    <s v="PREP"/>
    <m/>
    <x v="634"/>
    <s v="Prep"/>
    <m/>
    <n v="75000"/>
    <n v="0"/>
    <n v="75000"/>
    <n v="0"/>
    <n v="75000"/>
    <n v="87500"/>
    <n v="12500"/>
    <m/>
    <m/>
    <n v="75000"/>
    <n v="0"/>
    <m/>
  </r>
  <r>
    <s v="Below the Line"/>
    <x v="2"/>
    <s v="SHOOT"/>
    <m/>
    <x v="635"/>
    <s v="Shoot"/>
    <m/>
    <n v="87500"/>
    <n v="0"/>
    <n v="87500"/>
    <n v="0"/>
    <n v="87500"/>
    <n v="87500"/>
    <n v="0"/>
    <m/>
    <m/>
    <n v="87500"/>
    <n v="0"/>
    <m/>
  </r>
  <r>
    <s v="Below the Line"/>
    <x v="2"/>
    <s v="WRAP"/>
    <s v="NOM"/>
    <x v="636"/>
    <s v="Wrap"/>
    <m/>
    <n v="41000"/>
    <n v="0"/>
    <n v="41000"/>
    <n v="0"/>
    <n v="41000"/>
    <n v="12500"/>
    <n v="-28500"/>
    <m/>
    <m/>
    <n v="41000"/>
    <n v="0"/>
    <m/>
  </r>
  <r>
    <s v="Below the Line"/>
    <x v="2"/>
    <s v=""/>
    <m/>
    <x v="637"/>
    <s v="Jefe de Unidad Segunda Unidad - José Luis Cortés"/>
    <m/>
    <n v="0"/>
    <n v="0"/>
    <n v="0"/>
    <n v="0"/>
    <n v="0"/>
    <n v="0"/>
    <n v="0"/>
    <m/>
    <m/>
    <n v="0"/>
    <n v="0"/>
    <m/>
  </r>
  <r>
    <s v="Below the Line"/>
    <x v="2"/>
    <s v="2nd Unit"/>
    <m/>
    <x v="638"/>
    <s v="Prep"/>
    <m/>
    <n v="12500"/>
    <n v="0"/>
    <n v="12500"/>
    <n v="0"/>
    <n v="12500"/>
    <n v="12500"/>
    <n v="0"/>
    <m/>
    <m/>
    <n v="12500"/>
    <n v="0"/>
    <m/>
  </r>
  <r>
    <s v="Below the Line"/>
    <x v="2"/>
    <s v="2nd Unit"/>
    <m/>
    <x v="639"/>
    <s v="Shoot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640"/>
    <s v="Wrap"/>
    <m/>
    <n v="12500"/>
    <n v="0"/>
    <n v="12500"/>
    <n v="0"/>
    <n v="12500"/>
    <n v="12500"/>
    <n v="0"/>
    <m/>
    <m/>
    <n v="12500"/>
    <n v="0"/>
    <m/>
  </r>
  <r>
    <s v="Below the Line"/>
    <x v="1"/>
    <m/>
    <m/>
    <x v="641"/>
    <s v="ASISTENTE PRODUCCION OFICINA"/>
    <m/>
    <n v="142600"/>
    <n v="0"/>
    <n v="142600"/>
    <n v="0"/>
    <n v="142600"/>
    <n v="119000"/>
    <n v="-23600"/>
    <m/>
    <m/>
    <n v="142600"/>
    <n v="0"/>
    <m/>
  </r>
  <r>
    <s v="Below the Line"/>
    <x v="2"/>
    <s v=""/>
    <m/>
    <x v="642"/>
    <s v="Office PA #1 - Jodie Fierros"/>
    <m/>
    <n v="0"/>
    <n v="0"/>
    <n v="0"/>
    <n v="0"/>
    <n v="0"/>
    <n v="0"/>
    <n v="0"/>
    <m/>
    <m/>
    <n v="0"/>
    <n v="0"/>
    <m/>
  </r>
  <r>
    <s v="Below the Line"/>
    <x v="2"/>
    <s v="PREP"/>
    <m/>
    <x v="643"/>
    <s v="Prep"/>
    <m/>
    <n v="12400"/>
    <n v="0"/>
    <n v="12400"/>
    <n v="0"/>
    <n v="12400"/>
    <n v="12000"/>
    <n v="-400"/>
    <m/>
    <m/>
    <n v="12400"/>
    <n v="0"/>
    <m/>
  </r>
  <r>
    <s v="Below the Line"/>
    <x v="2"/>
    <s v="SHOOT"/>
    <m/>
    <x v="644"/>
    <s v="Shoot"/>
    <m/>
    <n v="43400"/>
    <n v="0"/>
    <n v="43400"/>
    <n v="0"/>
    <n v="43400"/>
    <n v="42000"/>
    <n v="-1400"/>
    <m/>
    <m/>
    <n v="43400"/>
    <n v="0"/>
    <m/>
  </r>
  <r>
    <s v="Below the Line"/>
    <x v="2"/>
    <s v="WRAP"/>
    <s v="NOM"/>
    <x v="645"/>
    <s v="Wrap"/>
    <m/>
    <n v="18600"/>
    <n v="0"/>
    <n v="18600"/>
    <n v="0"/>
    <n v="18600"/>
    <n v="6000"/>
    <n v="-12600"/>
    <m/>
    <m/>
    <n v="18600"/>
    <n v="0"/>
    <m/>
  </r>
  <r>
    <s v="Below the Line"/>
    <x v="2"/>
    <s v=""/>
    <m/>
    <x v="646"/>
    <s v="Office PA #2 - Fernando Tornero"/>
    <m/>
    <n v="0"/>
    <n v="0"/>
    <n v="0"/>
    <n v="0"/>
    <n v="0"/>
    <n v="0"/>
    <n v="0"/>
    <m/>
    <m/>
    <n v="0"/>
    <n v="0"/>
    <m/>
  </r>
  <r>
    <s v="Below the Line"/>
    <x v="2"/>
    <s v="PREP"/>
    <m/>
    <x v="647"/>
    <s v="Prep"/>
    <m/>
    <n v="12400"/>
    <n v="0"/>
    <n v="12400"/>
    <n v="0"/>
    <n v="12400"/>
    <n v="11800"/>
    <n v="-600"/>
    <m/>
    <m/>
    <n v="12400"/>
    <n v="0"/>
    <m/>
  </r>
  <r>
    <s v="Below the Line"/>
    <x v="2"/>
    <s v="SHOOT"/>
    <m/>
    <x v="648"/>
    <s v="Shoot"/>
    <m/>
    <n v="43400"/>
    <n v="0"/>
    <n v="43400"/>
    <n v="0"/>
    <n v="43400"/>
    <n v="41300"/>
    <n v="-2100"/>
    <m/>
    <m/>
    <n v="43400"/>
    <n v="0"/>
    <m/>
  </r>
  <r>
    <s v="Below the Line"/>
    <x v="2"/>
    <s v="WRAP"/>
    <s v="NOM"/>
    <x v="649"/>
    <s v="Wrap"/>
    <m/>
    <n v="12400"/>
    <n v="0"/>
    <n v="12400"/>
    <n v="0"/>
    <n v="12400"/>
    <n v="5900"/>
    <n v="-6500"/>
    <m/>
    <m/>
    <n v="12400"/>
    <n v="0"/>
    <m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  <m/>
    <m/>
    <n v="698220.55"/>
    <n v="0"/>
    <m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  <m/>
    <m/>
    <n v="0"/>
    <n v="0"/>
    <m/>
  </r>
  <r>
    <s v="Below the Line"/>
    <x v="2"/>
    <s v="PREP"/>
    <m/>
    <x v="652"/>
    <s v="Prep"/>
    <m/>
    <n v="113400"/>
    <n v="0"/>
    <n v="113400"/>
    <n v="0"/>
    <n v="113400"/>
    <n v="108000"/>
    <n v="-5400"/>
    <m/>
    <m/>
    <n v="113400"/>
    <n v="0"/>
    <m/>
  </r>
  <r>
    <s v="Below the Line"/>
    <x v="2"/>
    <s v="SHOOT"/>
    <m/>
    <x v="653"/>
    <s v="Shoot"/>
    <m/>
    <n v="132300"/>
    <n v="0"/>
    <n v="132300"/>
    <n v="0"/>
    <n v="132300"/>
    <n v="126000"/>
    <n v="-6300"/>
    <m/>
    <m/>
    <n v="132300"/>
    <n v="0"/>
    <m/>
  </r>
  <r>
    <s v="Below the Line"/>
    <x v="2"/>
    <s v="WRAP"/>
    <m/>
    <x v="654"/>
    <s v="Wrap"/>
    <m/>
    <n v="18900"/>
    <n v="0"/>
    <n v="18900"/>
    <n v="0"/>
    <n v="18900"/>
    <n v="18000"/>
    <n v="-900"/>
    <m/>
    <m/>
    <n v="18900"/>
    <n v="0"/>
    <m/>
  </r>
  <r>
    <s v="Below the Line"/>
    <x v="2"/>
    <s v=""/>
    <m/>
    <x v="655"/>
    <s v="Key Set PA - Jaime Flores"/>
    <m/>
    <n v="0"/>
    <n v="0"/>
    <n v="0"/>
    <n v="0"/>
    <n v="0"/>
    <n v="0"/>
    <n v="0"/>
    <m/>
    <m/>
    <n v="0"/>
    <n v="0"/>
    <m/>
  </r>
  <r>
    <s v="Below the Line"/>
    <x v="2"/>
    <s v="PREP"/>
    <m/>
    <x v="656"/>
    <s v="Prep"/>
    <m/>
    <n v="36000"/>
    <n v="0"/>
    <n v="36000"/>
    <n v="0"/>
    <n v="36000"/>
    <n v="54000"/>
    <n v="18000"/>
    <m/>
    <m/>
    <n v="36000"/>
    <n v="0"/>
    <m/>
  </r>
  <r>
    <s v="Below the Line"/>
    <x v="2"/>
    <s v="SHOOT"/>
    <m/>
    <x v="657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s v="NOM"/>
    <x v="658"/>
    <s v="Wrap"/>
    <m/>
    <n v="27000"/>
    <n v="0"/>
    <n v="27000"/>
    <n v="0"/>
    <n v="27000"/>
    <n v="18000"/>
    <n v="-9000"/>
    <m/>
    <m/>
    <n v="27000"/>
    <n v="0"/>
    <m/>
  </r>
  <r>
    <s v="Below the Line"/>
    <x v="2"/>
    <s v=""/>
    <m/>
    <x v="659"/>
    <s v="PA #1 - Santiago Lozano"/>
    <m/>
    <n v="0"/>
    <n v="0"/>
    <n v="0"/>
    <n v="0"/>
    <n v="0"/>
    <n v="0"/>
    <n v="0"/>
    <m/>
    <m/>
    <n v="0"/>
    <n v="0"/>
    <m/>
  </r>
  <r>
    <s v="Below the Line"/>
    <x v="2"/>
    <s v="PREP"/>
    <m/>
    <x v="660"/>
    <s v="Prep"/>
    <m/>
    <n v="14000"/>
    <n v="0"/>
    <n v="14000"/>
    <n v="0"/>
    <n v="14000"/>
    <n v="14000"/>
    <n v="0"/>
    <m/>
    <m/>
    <n v="14000"/>
    <n v="0"/>
    <m/>
  </r>
  <r>
    <s v="Below the Line"/>
    <x v="2"/>
    <s v="SHOOT"/>
    <m/>
    <x v="661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s v="NOM"/>
    <x v="662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3"/>
    <s v="PA #2 - Mario gerstein"/>
    <m/>
    <n v="0"/>
    <n v="0"/>
    <n v="0"/>
    <n v="0"/>
    <n v="0"/>
    <n v="0"/>
    <n v="0"/>
    <m/>
    <m/>
    <n v="0"/>
    <n v="0"/>
    <m/>
  </r>
  <r>
    <s v="Below the Line"/>
    <x v="2"/>
    <s v="PREP"/>
    <m/>
    <x v="664"/>
    <s v="Prep"/>
    <m/>
    <n v="16333"/>
    <n v="0"/>
    <n v="16333"/>
    <n v="0"/>
    <n v="16333"/>
    <n v="14000"/>
    <n v="-2333"/>
    <m/>
    <m/>
    <n v="16333"/>
    <n v="0"/>
    <m/>
  </r>
  <r>
    <s v="Below the Line"/>
    <x v="2"/>
    <s v="SHOOT"/>
    <m/>
    <x v="665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m/>
    <x v="666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7"/>
    <s v="PA #3 - Paulo Cebreros Guerrero"/>
    <m/>
    <n v="0"/>
    <n v="0"/>
    <n v="0"/>
    <n v="0"/>
    <n v="0"/>
    <n v="0"/>
    <n v="0"/>
    <m/>
    <m/>
    <n v="0"/>
    <n v="0"/>
    <m/>
  </r>
  <r>
    <s v="Below the Line"/>
    <x v="2"/>
    <s v="SHOOT"/>
    <s v="NOM"/>
    <x v="668"/>
    <s v="Shoot"/>
    <m/>
    <n v="98000"/>
    <n v="0"/>
    <n v="98000"/>
    <n v="0"/>
    <n v="98000"/>
    <n v="49000"/>
    <n v="-49000"/>
    <m/>
    <m/>
    <n v="98000"/>
    <n v="0"/>
    <m/>
  </r>
  <r>
    <s v="Below the Line"/>
    <x v="2"/>
    <s v=""/>
    <m/>
    <x v="669"/>
    <s v="P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0"/>
    <s v="Prep"/>
    <m/>
    <n v="3500"/>
    <n v="0"/>
    <n v="3500"/>
    <n v="0"/>
    <n v="3500"/>
    <n v="7000"/>
    <n v="3500"/>
    <m/>
    <m/>
    <n v="3500"/>
    <n v="0"/>
    <m/>
  </r>
  <r>
    <s v="Below the Line"/>
    <x v="2"/>
    <s v="2nd Unit"/>
    <m/>
    <x v="671"/>
    <s v="Shoot"/>
    <m/>
    <n v="14000"/>
    <n v="0"/>
    <n v="14000"/>
    <n v="0"/>
    <n v="14000"/>
    <n v="14000"/>
    <n v="0"/>
    <m/>
    <m/>
    <n v="14000"/>
    <n v="0"/>
    <m/>
  </r>
  <r>
    <s v="Below the Line"/>
    <x v="2"/>
    <s v="2nd Unit"/>
    <m/>
    <x v="672"/>
    <s v="Wrap"/>
    <m/>
    <n v="3500"/>
    <n v="0"/>
    <n v="3500"/>
    <n v="0"/>
    <n v="3500"/>
    <n v="0"/>
    <n v="-3500"/>
    <m/>
    <m/>
    <n v="3500"/>
    <n v="0"/>
    <m/>
  </r>
  <r>
    <s v="Below the Line"/>
    <x v="2"/>
    <s v=""/>
    <m/>
    <x v="673"/>
    <s v="P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4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  <m/>
    <m/>
    <n v="16287.55"/>
    <n v="0"/>
    <m/>
  </r>
  <r>
    <s v="Below the Line"/>
    <x v="2"/>
    <s v="2nd Unit"/>
    <m/>
    <x v="676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677"/>
    <s v="PA Segunda Unidad #3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8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679"/>
    <s v="Shoot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680"/>
    <s v="Wra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81"/>
    <s v="Apoyos PA"/>
    <m/>
    <n v="8000"/>
    <n v="0"/>
    <n v="8000"/>
    <n v="0"/>
    <n v="8000"/>
    <n v="0"/>
    <n v="-8000"/>
    <m/>
    <m/>
    <n v="8000"/>
    <n v="0"/>
    <m/>
  </r>
  <r>
    <s v="Below the Line"/>
    <x v="1"/>
    <m/>
    <m/>
    <x v="682"/>
    <s v="RRHH DE PRODUCCION"/>
    <m/>
    <n v="335700"/>
    <n v="0"/>
    <n v="335700"/>
    <n v="0"/>
    <n v="335700"/>
    <n v="307700"/>
    <n v="-28000"/>
    <m/>
    <m/>
    <n v="335700"/>
    <n v="0"/>
    <m/>
  </r>
  <r>
    <s v="Below the Line"/>
    <x v="2"/>
    <s v=""/>
    <m/>
    <x v="683"/>
    <s v="Implant RH producción - Elizabeth Aguirre"/>
    <m/>
    <n v="0"/>
    <n v="0"/>
    <n v="0"/>
    <n v="0"/>
    <n v="0"/>
    <n v="0"/>
    <n v="0"/>
    <m/>
    <m/>
    <n v="0"/>
    <n v="0"/>
    <m/>
  </r>
  <r>
    <s v="Below the Line"/>
    <x v="2"/>
    <s v="PREP"/>
    <m/>
    <x v="684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685"/>
    <s v="Shoot"/>
    <m/>
    <n v="92000"/>
    <n v="0"/>
    <n v="92000"/>
    <n v="0"/>
    <n v="92000"/>
    <n v="56000"/>
    <n v="-36000"/>
    <m/>
    <m/>
    <n v="92000"/>
    <n v="0"/>
    <m/>
  </r>
  <r>
    <s v="Below the Line"/>
    <x v="2"/>
    <s v="WRAP"/>
    <m/>
    <x v="686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687"/>
    <s v="Boston Group - Programa anti violencia laboral"/>
    <m/>
    <n v="0"/>
    <n v="0"/>
    <n v="0"/>
    <n v="0"/>
    <n v="0"/>
    <n v="0"/>
    <n v="0"/>
    <m/>
    <m/>
    <n v="0"/>
    <n v="0"/>
    <m/>
  </r>
  <r>
    <s v="Below the Line"/>
    <x v="2"/>
    <s v="PREP"/>
    <m/>
    <x v="688"/>
    <s v="Prep"/>
    <m/>
    <n v="50600"/>
    <n v="0"/>
    <n v="50600"/>
    <n v="0"/>
    <n v="50600"/>
    <n v="50600"/>
    <n v="0"/>
    <m/>
    <m/>
    <n v="50600"/>
    <n v="0"/>
    <m/>
  </r>
  <r>
    <s v="Below the Line"/>
    <x v="2"/>
    <s v="SHOOT"/>
    <m/>
    <x v="689"/>
    <s v="Shoot"/>
    <m/>
    <n v="177100"/>
    <n v="0"/>
    <n v="177100"/>
    <n v="0"/>
    <n v="177100"/>
    <n v="177100"/>
    <n v="0"/>
    <m/>
    <m/>
    <n v="177100"/>
    <n v="0"/>
    <m/>
  </r>
  <r>
    <s v="Below the Line"/>
    <x v="2"/>
    <s v="WRAP"/>
    <m/>
    <x v="690"/>
    <s v="Wrap"/>
    <m/>
    <n v="0"/>
    <n v="0"/>
    <n v="0"/>
    <n v="0"/>
    <n v="0"/>
    <n v="0"/>
    <n v="0"/>
    <m/>
    <m/>
    <n v="0"/>
    <n v="0"/>
    <m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2"/>
    <s v=""/>
    <m/>
    <x v="692"/>
    <s v="Comidas en oficina y Per diems"/>
    <m/>
    <n v="0"/>
    <n v="0"/>
    <n v="0"/>
    <n v="0"/>
    <n v="0"/>
    <n v="0"/>
    <n v="0"/>
    <m/>
    <m/>
    <n v="0"/>
    <n v="0"/>
    <m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1"/>
    <m/>
    <m/>
    <x v="694"/>
    <s v="COORDINACION DE VIAJES"/>
    <m/>
    <n v="148500"/>
    <n v="0"/>
    <n v="148500"/>
    <n v="0"/>
    <n v="148500"/>
    <n v="148000"/>
    <n v="-500"/>
    <m/>
    <m/>
    <n v="148500"/>
    <n v="0"/>
    <m/>
  </r>
  <r>
    <s v="Below the Line"/>
    <x v="2"/>
    <s v=""/>
    <m/>
    <x v="695"/>
    <s v="Travel Coordinator - Mercedes Alburne"/>
    <m/>
    <n v="0"/>
    <n v="0"/>
    <n v="0"/>
    <n v="0"/>
    <n v="0"/>
    <n v="0"/>
    <n v="0"/>
    <m/>
    <m/>
    <n v="0"/>
    <n v="0"/>
    <m/>
  </r>
  <r>
    <s v="Below the Line"/>
    <x v="2"/>
    <s v="PREP"/>
    <m/>
    <x v="696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697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s v="NOM"/>
    <x v="698"/>
    <s v="Wrap"/>
    <m/>
    <n v="16000"/>
    <n v="0"/>
    <n v="16000"/>
    <n v="0"/>
    <n v="16000"/>
    <n v="8000"/>
    <n v="-8000"/>
    <m/>
    <m/>
    <n v="16000"/>
    <n v="0"/>
    <m/>
  </r>
  <r>
    <s v="Below the Line"/>
    <x v="2"/>
    <s v=""/>
    <m/>
    <x v="699"/>
    <s v="Hospitality Manager -TBD"/>
    <m/>
    <n v="0"/>
    <n v="0"/>
    <n v="0"/>
    <n v="0"/>
    <n v="0"/>
    <n v="0"/>
    <n v="0"/>
    <m/>
    <m/>
    <n v="0"/>
    <n v="0"/>
    <m/>
  </r>
  <r>
    <s v="Below the Line"/>
    <x v="2"/>
    <s v="SHOOT"/>
    <m/>
    <x v="700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m/>
    <x v="701"/>
    <s v="Wrap"/>
    <m/>
    <n v="0"/>
    <n v="0"/>
    <n v="0"/>
    <n v="0"/>
    <n v="0"/>
    <n v="7500"/>
    <n v="7500"/>
    <m/>
    <m/>
    <n v="0"/>
    <n v="0"/>
    <m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2"/>
    <s v=""/>
    <m/>
    <x v="703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0"/>
    <m/>
    <m/>
    <x v="705"/>
    <s v="EXTRAS"/>
    <m/>
    <n v="2041865.6"/>
    <n v="0"/>
    <n v="2041865.6"/>
    <n v="0"/>
    <n v="2041865.6"/>
    <n v="1614000"/>
    <n v="-427865.60000000009"/>
    <m/>
    <m/>
    <n v="2041865.6"/>
    <n v="0"/>
    <m/>
  </r>
  <r>
    <s v="Below the Line"/>
    <x v="1"/>
    <m/>
    <m/>
    <x v="706"/>
    <s v="EXTRAS"/>
    <m/>
    <n v="2041865.6"/>
    <n v="0"/>
    <n v="2041865.6"/>
    <n v="0"/>
    <n v="2041865.6"/>
    <n v="1322000"/>
    <n v="-719865.60000000009"/>
    <m/>
    <m/>
    <n v="2041865.6"/>
    <n v="0"/>
    <m/>
  </r>
  <r>
    <s v="Below the Line"/>
    <x v="2"/>
    <s v=""/>
    <m/>
    <x v="707"/>
    <s v="EXTRAS"/>
    <m/>
    <n v="0"/>
    <n v="0"/>
    <n v="0"/>
    <n v="0"/>
    <n v="0"/>
    <n v="0"/>
    <n v="0"/>
    <m/>
    <m/>
    <n v="0"/>
    <n v="0"/>
    <m/>
  </r>
  <r>
    <s v="Below the Line"/>
    <x v="2"/>
    <s v=""/>
    <m/>
    <x v="708"/>
    <s v="Gran Casting 27/02/24"/>
    <m/>
    <n v="0"/>
    <n v="0"/>
    <n v="0"/>
    <n v="0"/>
    <n v="0"/>
    <n v="0"/>
    <n v="0"/>
    <m/>
    <m/>
    <n v="0"/>
    <n v="0"/>
    <m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  <m/>
    <m/>
    <n v="2041865.6"/>
    <n v="0"/>
    <m/>
  </r>
  <r>
    <s v="Below the Line"/>
    <x v="2"/>
    <s v="SHOOT"/>
    <m/>
    <x v="710"/>
    <s v="Glorificados"/>
    <m/>
    <n v="0"/>
    <n v="0"/>
    <n v="0"/>
    <n v="0"/>
    <n v="0"/>
    <n v="72000"/>
    <n v="72000"/>
    <m/>
    <m/>
    <n v="0"/>
    <n v="0"/>
    <m/>
  </r>
  <r>
    <s v="Below the Line"/>
    <x v="1"/>
    <m/>
    <m/>
    <x v="711"/>
    <s v="FEE AGENCIA DE EXTRAS"/>
    <m/>
    <n v="0"/>
    <n v="0"/>
    <n v="0"/>
    <n v="0"/>
    <n v="0"/>
    <n v="292000"/>
    <n v="292000"/>
    <m/>
    <m/>
    <n v="0"/>
    <n v="0"/>
    <m/>
  </r>
  <r>
    <s v="Below the Line"/>
    <x v="2"/>
    <s v=""/>
    <m/>
    <x v="712"/>
    <s v="Director Casting Extras - Diego Garcia"/>
    <m/>
    <n v="0"/>
    <n v="0"/>
    <n v="0"/>
    <n v="0"/>
    <n v="0"/>
    <n v="0"/>
    <n v="0"/>
    <m/>
    <m/>
    <n v="0"/>
    <n v="0"/>
    <m/>
  </r>
  <r>
    <s v="Below the Line"/>
    <x v="2"/>
    <s v="PREP"/>
    <m/>
    <x v="713"/>
    <s v="Prep"/>
    <m/>
    <n v="0"/>
    <n v="0"/>
    <n v="0"/>
    <n v="0"/>
    <n v="0"/>
    <n v="20000"/>
    <n v="20000"/>
    <m/>
    <m/>
    <n v="0"/>
    <n v="0"/>
    <m/>
  </r>
  <r>
    <s v="Below the Line"/>
    <x v="2"/>
    <s v="SHOOT"/>
    <m/>
    <x v="714"/>
    <s v="Shoot"/>
    <m/>
    <n v="0"/>
    <n v="0"/>
    <n v="0"/>
    <n v="0"/>
    <n v="0"/>
    <n v="140000"/>
    <n v="140000"/>
    <m/>
    <m/>
    <n v="0"/>
    <n v="0"/>
    <m/>
  </r>
  <r>
    <s v="Below the Line"/>
    <x v="2"/>
    <s v=""/>
    <m/>
    <x v="715"/>
    <s v="Coordinador para extras"/>
    <m/>
    <n v="0"/>
    <n v="0"/>
    <n v="0"/>
    <n v="0"/>
    <n v="0"/>
    <n v="0"/>
    <n v="0"/>
    <m/>
    <m/>
    <n v="0"/>
    <n v="0"/>
    <m/>
  </r>
  <r>
    <s v="Below the Line"/>
    <x v="2"/>
    <s v="SHOOT"/>
    <m/>
    <x v="716"/>
    <s v="Shoot"/>
    <m/>
    <n v="0"/>
    <n v="0"/>
    <n v="0"/>
    <n v="0"/>
    <n v="0"/>
    <n v="105000"/>
    <n v="105000"/>
    <m/>
    <m/>
    <n v="0"/>
    <n v="0"/>
    <m/>
  </r>
  <r>
    <s v="Below the Line"/>
    <x v="2"/>
    <s v=""/>
    <m/>
    <x v="717"/>
    <s v="Servicio de Casting extras talento especial"/>
    <m/>
    <n v="0"/>
    <n v="0"/>
    <n v="0"/>
    <n v="0"/>
    <n v="0"/>
    <n v="0"/>
    <n v="0"/>
    <m/>
    <m/>
    <n v="0"/>
    <n v="0"/>
    <m/>
  </r>
  <r>
    <s v="Below the Line"/>
    <x v="2"/>
    <s v="SHOOT"/>
    <m/>
    <x v="718"/>
    <s v="Shoot"/>
    <m/>
    <n v="0"/>
    <n v="0"/>
    <n v="0"/>
    <n v="0"/>
    <n v="0"/>
    <n v="27000"/>
    <n v="27000"/>
    <m/>
    <m/>
    <n v="0"/>
    <n v="0"/>
    <m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  <m/>
    <m/>
    <n v="1855094.8800000001"/>
    <n v="-2698.2989999998827"/>
    <m/>
  </r>
  <r>
    <s v="Below the Line"/>
    <x v="1"/>
    <m/>
    <m/>
    <x v="720"/>
    <s v="DISEÑADOR DE PRODUCCION"/>
    <m/>
    <n v="598290"/>
    <n v="0"/>
    <n v="598290"/>
    <n v="0"/>
    <n v="598290"/>
    <n v="598290"/>
    <n v="0"/>
    <m/>
    <m/>
    <n v="598290"/>
    <n v="0"/>
    <m/>
  </r>
  <r>
    <s v="Below the Line"/>
    <x v="2"/>
    <s v=""/>
    <m/>
    <x v="721"/>
    <s v="Diseñador de Producción - Sofía Gallastegui"/>
    <m/>
    <n v="0"/>
    <n v="0"/>
    <n v="0"/>
    <n v="0"/>
    <n v="0"/>
    <n v="0"/>
    <n v="0"/>
    <m/>
    <m/>
    <n v="0"/>
    <n v="0"/>
    <m/>
  </r>
  <r>
    <s v="Below the Line"/>
    <x v="2"/>
    <s v="SOFT"/>
    <m/>
    <x v="722"/>
    <s v="Soft"/>
    <m/>
    <n v="16170"/>
    <n v="0"/>
    <n v="16170"/>
    <n v="0"/>
    <n v="16170"/>
    <n v="16170"/>
    <n v="0"/>
    <m/>
    <m/>
    <n v="16170"/>
    <n v="0"/>
    <m/>
  </r>
  <r>
    <s v="Below the Line"/>
    <x v="2"/>
    <s v="PREP"/>
    <m/>
    <x v="723"/>
    <s v="Prep"/>
    <m/>
    <n v="291060"/>
    <n v="0"/>
    <n v="291060"/>
    <n v="0"/>
    <n v="291060"/>
    <n v="291060"/>
    <n v="0"/>
    <m/>
    <m/>
    <n v="291060"/>
    <n v="0"/>
    <m/>
  </r>
  <r>
    <s v="Below the Line"/>
    <x v="2"/>
    <s v="SHOOT"/>
    <m/>
    <x v="724"/>
    <s v="Shoot"/>
    <m/>
    <n v="226380"/>
    <n v="0"/>
    <n v="226380"/>
    <n v="0"/>
    <n v="226380"/>
    <n v="226380"/>
    <n v="0"/>
    <m/>
    <m/>
    <n v="226380"/>
    <n v="0"/>
    <m/>
  </r>
  <r>
    <s v="Below the Line"/>
    <x v="2"/>
    <s v="WRAP"/>
    <m/>
    <x v="725"/>
    <s v="Wrap"/>
    <m/>
    <n v="64680"/>
    <n v="0"/>
    <n v="64680"/>
    <n v="0"/>
    <n v="64680"/>
    <n v="64680"/>
    <n v="0"/>
    <m/>
    <m/>
    <n v="64680"/>
    <n v="0"/>
    <m/>
  </r>
  <r>
    <s v="Below the Line"/>
    <x v="1"/>
    <m/>
    <m/>
    <x v="726"/>
    <s v="DIRECCION DE ARTE"/>
    <m/>
    <n v="387450"/>
    <n v="0"/>
    <n v="387450"/>
    <n v="0"/>
    <n v="387450"/>
    <n v="387450"/>
    <n v="0"/>
    <m/>
    <m/>
    <n v="387450"/>
    <n v="0"/>
    <m/>
  </r>
  <r>
    <s v="Below the Line"/>
    <x v="2"/>
    <s v=""/>
    <m/>
    <x v="727"/>
    <s v="Director de Arte - Arturo Schondube"/>
    <m/>
    <n v="0"/>
    <n v="0"/>
    <n v="0"/>
    <n v="0"/>
    <n v="0"/>
    <n v="0"/>
    <n v="0"/>
    <m/>
    <m/>
    <n v="0"/>
    <n v="0"/>
    <m/>
  </r>
  <r>
    <s v="Below the Line"/>
    <x v="2"/>
    <s v="PREP"/>
    <m/>
    <x v="728"/>
    <s v="Prep"/>
    <m/>
    <n v="193725"/>
    <n v="0"/>
    <n v="193725"/>
    <n v="0"/>
    <n v="193725"/>
    <n v="193725"/>
    <n v="0"/>
    <m/>
    <m/>
    <n v="193725"/>
    <n v="0"/>
    <m/>
  </r>
  <r>
    <s v="Below the Line"/>
    <x v="2"/>
    <s v="SHOOT"/>
    <m/>
    <x v="729"/>
    <s v="Shoot"/>
    <m/>
    <n v="150675"/>
    <n v="0"/>
    <n v="150675"/>
    <n v="0"/>
    <n v="150675"/>
    <n v="150675"/>
    <n v="0"/>
    <m/>
    <m/>
    <n v="150675"/>
    <n v="0"/>
    <m/>
  </r>
  <r>
    <s v="Below the Line"/>
    <x v="2"/>
    <s v="WRAP"/>
    <m/>
    <x v="730"/>
    <s v="Wrap"/>
    <m/>
    <n v="43050"/>
    <n v="0"/>
    <n v="43050"/>
    <n v="0"/>
    <n v="43050"/>
    <n v="43050"/>
    <n v="0"/>
    <m/>
    <m/>
    <n v="43050"/>
    <n v="0"/>
    <m/>
  </r>
  <r>
    <s v="Below the Line"/>
    <x v="1"/>
    <m/>
    <m/>
    <x v="731"/>
    <s v="ASISTENTE DIRECTOR ARTE"/>
    <m/>
    <n v="151200"/>
    <n v="0"/>
    <n v="151200"/>
    <n v="0"/>
    <n v="151200"/>
    <n v="151200"/>
    <n v="0"/>
    <m/>
    <m/>
    <n v="151200"/>
    <n v="0"/>
    <m/>
  </r>
  <r>
    <s v="Below the Line"/>
    <x v="2"/>
    <s v=""/>
    <m/>
    <x v="732"/>
    <s v="Asistente #1 de Director arte - Daniel Schondube"/>
    <m/>
    <n v="0"/>
    <n v="0"/>
    <n v="0"/>
    <n v="0"/>
    <n v="0"/>
    <n v="0"/>
    <n v="0"/>
    <m/>
    <m/>
    <n v="0"/>
    <n v="0"/>
    <m/>
  </r>
  <r>
    <s v="Below the Line"/>
    <x v="2"/>
    <s v="PREP"/>
    <m/>
    <x v="733"/>
    <s v="Prep"/>
    <m/>
    <n v="50400"/>
    <n v="0"/>
    <n v="50400"/>
    <n v="0"/>
    <n v="50400"/>
    <n v="50400"/>
    <n v="0"/>
    <m/>
    <m/>
    <n v="50400"/>
    <n v="0"/>
    <m/>
  </r>
  <r>
    <s v="Below the Line"/>
    <x v="2"/>
    <s v="SHOOT"/>
    <m/>
    <x v="734"/>
    <s v="Shoot"/>
    <m/>
    <n v="88200"/>
    <n v="0"/>
    <n v="88200"/>
    <n v="0"/>
    <n v="88200"/>
    <n v="88200"/>
    <n v="0"/>
    <m/>
    <m/>
    <n v="88200"/>
    <n v="0"/>
    <m/>
  </r>
  <r>
    <s v="Below the Line"/>
    <x v="2"/>
    <s v="WRAP"/>
    <m/>
    <x v="735"/>
    <s v="Wrap"/>
    <m/>
    <n v="12600"/>
    <n v="0"/>
    <n v="12600"/>
    <n v="0"/>
    <n v="12600"/>
    <n v="12600"/>
    <n v="0"/>
    <m/>
    <m/>
    <n v="12600"/>
    <n v="0"/>
    <m/>
  </r>
  <r>
    <s v="Below the Line"/>
    <x v="1"/>
    <m/>
    <m/>
    <x v="736"/>
    <s v="COORDINADOR DE ARTE"/>
    <m/>
    <n v="511630"/>
    <n v="0"/>
    <n v="511630"/>
    <n v="0"/>
    <n v="511630"/>
    <n v="490000"/>
    <n v="-21630"/>
    <m/>
    <m/>
    <n v="511630"/>
    <n v="0"/>
    <m/>
  </r>
  <r>
    <s v="Below the Line"/>
    <x v="2"/>
    <s v=""/>
    <m/>
    <x v="737"/>
    <s v="Coordinador de Arte - Paulina Gutiérrez"/>
    <m/>
    <n v="0"/>
    <n v="0"/>
    <n v="0"/>
    <n v="0"/>
    <n v="0"/>
    <n v="0"/>
    <n v="0"/>
    <m/>
    <m/>
    <n v="0"/>
    <n v="0"/>
    <m/>
  </r>
  <r>
    <s v="Below the Line"/>
    <x v="2"/>
    <s v="PREP"/>
    <m/>
    <x v="738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739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WRAP"/>
    <m/>
    <x v="740"/>
    <s v="Wrap"/>
    <m/>
    <n v="47250"/>
    <n v="0"/>
    <n v="47250"/>
    <n v="0"/>
    <n v="47250"/>
    <n v="31500"/>
    <n v="-15750"/>
    <m/>
    <m/>
    <n v="47250"/>
    <n v="0"/>
    <m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  <m/>
    <m/>
    <n v="0"/>
    <n v="0"/>
    <m/>
  </r>
  <r>
    <s v="Below the Line"/>
    <x v="2"/>
    <s v="PREP"/>
    <m/>
    <x v="742"/>
    <s v="Prep"/>
    <m/>
    <n v="38500"/>
    <n v="0"/>
    <n v="38500"/>
    <n v="0"/>
    <n v="38500"/>
    <n v="28000"/>
    <n v="-10500"/>
    <m/>
    <m/>
    <n v="38500"/>
    <n v="0"/>
    <m/>
  </r>
  <r>
    <s v="Below the Line"/>
    <x v="2"/>
    <s v="SHOOT"/>
    <m/>
    <x v="743"/>
    <s v="Shoot"/>
    <m/>
    <n v="53900"/>
    <n v="0"/>
    <n v="53900"/>
    <n v="0"/>
    <n v="53900"/>
    <n v="49000"/>
    <n v="-4900"/>
    <m/>
    <m/>
    <n v="53900"/>
    <n v="0"/>
    <m/>
  </r>
  <r>
    <s v="Below the Line"/>
    <x v="2"/>
    <s v="WRAP"/>
    <m/>
    <x v="744"/>
    <s v="Wrap"/>
    <m/>
    <n v="23100"/>
    <n v="0"/>
    <n v="23100"/>
    <n v="0"/>
    <n v="23100"/>
    <n v="14000"/>
    <n v="-9100"/>
    <m/>
    <m/>
    <n v="23100"/>
    <n v="0"/>
    <m/>
  </r>
  <r>
    <s v="Below the Line"/>
    <x v="2"/>
    <s v=""/>
    <m/>
    <x v="745"/>
    <s v="Asistente contable de coordinadora de Arte - Mayra"/>
    <m/>
    <n v="0"/>
    <n v="0"/>
    <n v="0"/>
    <n v="0"/>
    <n v="0"/>
    <n v="0"/>
    <n v="0"/>
    <m/>
    <m/>
    <n v="0"/>
    <n v="0"/>
    <m/>
  </r>
  <r>
    <s v="Below the Line"/>
    <x v="2"/>
    <s v="PREP"/>
    <m/>
    <x v="746"/>
    <s v="Prep"/>
    <m/>
    <n v="28000"/>
    <n v="0"/>
    <n v="28000"/>
    <n v="0"/>
    <n v="28000"/>
    <n v="38500"/>
    <n v="10500"/>
    <m/>
    <m/>
    <n v="28000"/>
    <n v="0"/>
    <m/>
  </r>
  <r>
    <s v="Below the Line"/>
    <x v="2"/>
    <s v="SHOOT"/>
    <m/>
    <x v="747"/>
    <s v="Shoot"/>
    <m/>
    <n v="49000"/>
    <n v="0"/>
    <n v="49000"/>
    <n v="0"/>
    <n v="49000"/>
    <n v="53900"/>
    <n v="4900"/>
    <m/>
    <m/>
    <n v="49000"/>
    <n v="0"/>
    <m/>
  </r>
  <r>
    <s v="Below the Line"/>
    <x v="2"/>
    <s v="WRAP"/>
    <s v="NOM"/>
    <x v="748"/>
    <s v="Wrap"/>
    <m/>
    <n v="19880"/>
    <n v="0"/>
    <n v="19880"/>
    <n v="0"/>
    <n v="19880"/>
    <n v="23100"/>
    <n v="3220"/>
    <m/>
    <m/>
    <n v="19880"/>
    <n v="0"/>
    <m/>
  </r>
  <r>
    <s v="Below the Line"/>
    <x v="1"/>
    <m/>
    <m/>
    <x v="749"/>
    <s v="DISEÑADOR GRAFICO"/>
    <m/>
    <n v="180400"/>
    <n v="0"/>
    <n v="180400"/>
    <n v="0"/>
    <n v="180400"/>
    <n v="163800"/>
    <n v="-16600"/>
    <m/>
    <m/>
    <n v="180400"/>
    <n v="0"/>
    <m/>
  </r>
  <r>
    <s v="Below the Line"/>
    <x v="2"/>
    <s v=""/>
    <m/>
    <x v="750"/>
    <s v="Diseñador Gráfico - Gabriela Mariana Sandoval"/>
    <m/>
    <n v="0"/>
    <n v="0"/>
    <n v="0"/>
    <n v="0"/>
    <n v="0"/>
    <n v="0"/>
    <n v="0"/>
    <m/>
    <m/>
    <n v="0"/>
    <n v="0"/>
    <m/>
  </r>
  <r>
    <s v="Below the Line"/>
    <x v="2"/>
    <s v="PREP"/>
    <m/>
    <x v="751"/>
    <s v="Prep"/>
    <m/>
    <n v="75600"/>
    <n v="0"/>
    <n v="75600"/>
    <n v="0"/>
    <n v="75600"/>
    <n v="75600"/>
    <n v="0"/>
    <m/>
    <m/>
    <n v="75600"/>
    <n v="0"/>
    <m/>
  </r>
  <r>
    <s v="Below the Line"/>
    <x v="2"/>
    <s v="SHOOT"/>
    <m/>
    <x v="752"/>
    <s v="Shoot"/>
    <m/>
    <n v="104800"/>
    <n v="0"/>
    <n v="104800"/>
    <n v="0"/>
    <n v="104800"/>
    <n v="88200"/>
    <n v="-16600"/>
    <m/>
    <m/>
    <n v="104800"/>
    <n v="0"/>
    <m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2"/>
    <s v=""/>
    <m/>
    <x v="754"/>
    <s v="Miscellaneous Art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  <m/>
    <m/>
    <n v="951085.38"/>
    <n v="-105.18599999998696"/>
    <m/>
  </r>
  <r>
    <s v="Below the Line"/>
    <x v="1"/>
    <m/>
    <m/>
    <x v="757"/>
    <s v="PERSONAL CONSTRUCCION"/>
    <m/>
    <n v="129150"/>
    <n v="0"/>
    <n v="129150"/>
    <n v="0"/>
    <n v="129150"/>
    <n v="116550"/>
    <n v="-12600"/>
    <m/>
    <m/>
    <n v="129150"/>
    <n v="0"/>
    <m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  <m/>
    <m/>
    <n v="0"/>
    <n v="0"/>
    <m/>
  </r>
  <r>
    <s v="Below the Line"/>
    <x v="2"/>
    <s v="PREP"/>
    <m/>
    <x v="759"/>
    <s v="Prep"/>
    <m/>
    <n v="14700"/>
    <n v="0"/>
    <n v="14700"/>
    <n v="0"/>
    <n v="14700"/>
    <n v="14700"/>
    <n v="0"/>
    <m/>
    <m/>
    <n v="14700"/>
    <n v="0"/>
    <m/>
  </r>
  <r>
    <s v="Below the Line"/>
    <x v="2"/>
    <s v="SHOOT"/>
    <m/>
    <x v="760"/>
    <s v="Shoot"/>
    <m/>
    <n v="50400"/>
    <n v="0"/>
    <n v="50400"/>
    <n v="0"/>
    <n v="50400"/>
    <n v="51450"/>
    <n v="1050"/>
    <m/>
    <m/>
    <n v="50400"/>
    <n v="0"/>
    <m/>
  </r>
  <r>
    <s v="Below the Line"/>
    <x v="2"/>
    <s v="WRAP"/>
    <m/>
    <x v="761"/>
    <s v="Wrap"/>
    <m/>
    <n v="7350"/>
    <n v="0"/>
    <n v="7350"/>
    <n v="0"/>
    <n v="7350"/>
    <n v="0"/>
    <n v="-7350"/>
    <m/>
    <m/>
    <n v="7350"/>
    <n v="0"/>
    <m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  <m/>
    <m/>
    <n v="0"/>
    <n v="0"/>
    <m/>
  </r>
  <r>
    <s v="Below the Line"/>
    <x v="2"/>
    <s v="PREP"/>
    <m/>
    <x v="763"/>
    <s v="Prep"/>
    <m/>
    <n v="6300"/>
    <n v="0"/>
    <n v="6300"/>
    <n v="0"/>
    <n v="6300"/>
    <n v="6300"/>
    <n v="0"/>
    <m/>
    <m/>
    <n v="6300"/>
    <n v="0"/>
    <m/>
  </r>
  <r>
    <s v="Below the Line"/>
    <x v="2"/>
    <s v="SHOOT"/>
    <m/>
    <x v="764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765"/>
    <s v="Wrap"/>
    <m/>
    <n v="6300"/>
    <n v="0"/>
    <n v="6300"/>
    <n v="0"/>
    <n v="6300"/>
    <n v="0"/>
    <n v="-6300"/>
    <m/>
    <m/>
    <n v="6300"/>
    <n v="0"/>
    <m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  <m/>
    <m/>
    <n v="112566.20000000001"/>
    <n v="0"/>
    <m/>
  </r>
  <r>
    <s v="Below the Line"/>
    <x v="2"/>
    <s v=""/>
    <m/>
    <x v="767"/>
    <s v="Materia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  <m/>
    <m/>
    <n v="48636.200000000019"/>
    <n v="0"/>
    <m/>
  </r>
  <r>
    <s v="Below the Line"/>
    <x v="2"/>
    <s v="ALL SHOW"/>
    <s v="ARTE"/>
    <x v="769"/>
    <s v="Andamiaje"/>
    <m/>
    <n v="1130"/>
    <n v="0"/>
    <n v="1130"/>
    <n v="0"/>
    <n v="1130"/>
    <n v="5000"/>
    <n v="3870"/>
    <m/>
    <m/>
    <n v="1130"/>
    <n v="0"/>
    <m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  <m/>
    <m/>
    <n v="62800"/>
    <n v="0"/>
    <m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2"/>
    <s v=""/>
    <m/>
    <x v="772"/>
    <s v="Expendables de construcción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1"/>
    <m/>
    <m/>
    <x v="774"/>
    <s v="BOX RENTAL CONSTRUCCION"/>
    <m/>
    <n v="62840"/>
    <n v="0"/>
    <n v="62840"/>
    <n v="0"/>
    <n v="62840"/>
    <n v="66000"/>
    <n v="3160"/>
    <m/>
    <m/>
    <n v="62840"/>
    <n v="0"/>
    <m/>
  </r>
  <r>
    <s v="Below the Line"/>
    <x v="2"/>
    <s v=""/>
    <m/>
    <x v="775"/>
    <s v="Box rentals de construcción"/>
    <m/>
    <n v="0"/>
    <n v="0"/>
    <n v="0"/>
    <n v="0"/>
    <n v="0"/>
    <n v="0"/>
    <n v="0"/>
    <m/>
    <m/>
    <n v="0"/>
    <n v="0"/>
    <m/>
  </r>
  <r>
    <s v="Below the Line"/>
    <x v="2"/>
    <s v="PREP"/>
    <s v="ARTE"/>
    <x v="776"/>
    <s v="Prep"/>
    <m/>
    <n v="0"/>
    <n v="0"/>
    <n v="0"/>
    <n v="0"/>
    <n v="0"/>
    <n v="18000"/>
    <n v="18000"/>
    <m/>
    <m/>
    <n v="0"/>
    <n v="0"/>
    <m/>
  </r>
  <r>
    <s v="Below the Line"/>
    <x v="2"/>
    <s v="SHOOT"/>
    <s v="ARTE"/>
    <x v="777"/>
    <s v="Shoot"/>
    <m/>
    <n v="60840"/>
    <n v="0"/>
    <n v="60840"/>
    <n v="0"/>
    <n v="60840"/>
    <n v="42000"/>
    <n v="-18840"/>
    <m/>
    <m/>
    <n v="60840"/>
    <n v="0"/>
    <m/>
  </r>
  <r>
    <s v="Below the Line"/>
    <x v="2"/>
    <s v="WRAP"/>
    <s v="ARTE"/>
    <x v="778"/>
    <s v="Wrap"/>
    <m/>
    <n v="2000"/>
    <n v="0"/>
    <n v="2000"/>
    <n v="0"/>
    <n v="2000"/>
    <n v="6000"/>
    <n v="4000"/>
    <m/>
    <m/>
    <n v="2000"/>
    <n v="0"/>
    <m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  <m/>
    <m/>
    <n v="497019.69"/>
    <n v="0"/>
    <m/>
  </r>
  <r>
    <s v="Below the Line"/>
    <x v="2"/>
    <s v=""/>
    <s v="ARTE"/>
    <x v="780"/>
    <s v="Construcción All Sets"/>
    <m/>
    <n v="0"/>
    <n v="0"/>
    <n v="0"/>
    <n v="0"/>
    <n v="0"/>
    <n v="0"/>
    <n v="0"/>
    <m/>
    <m/>
    <n v="0"/>
    <n v="0"/>
    <m/>
  </r>
  <r>
    <s v="Below the Line"/>
    <x v="2"/>
    <s v=""/>
    <s v="ARTE"/>
    <x v="781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  <m/>
    <m/>
    <n v="123028.77"/>
    <n v="0"/>
    <m/>
  </r>
  <r>
    <s v="Below the Line"/>
    <x v="2"/>
    <s v=""/>
    <s v="ARTE"/>
    <x v="783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  <m/>
    <m/>
    <n v="134658.88"/>
    <n v="0"/>
    <m/>
  </r>
  <r>
    <s v="Below the Line"/>
    <x v="2"/>
    <s v=""/>
    <s v="ARTE"/>
    <x v="785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  <m/>
    <m/>
    <n v="32178.6"/>
    <n v="0"/>
    <m/>
  </r>
  <r>
    <s v="Below the Line"/>
    <x v="2"/>
    <s v=""/>
    <s v="ARTE"/>
    <x v="787"/>
    <s v="Campamento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8"/>
    <s v="Allowance"/>
    <m/>
    <n v="0"/>
    <n v="0"/>
    <n v="0"/>
    <n v="0"/>
    <n v="0"/>
    <n v="20000"/>
    <n v="20000"/>
    <m/>
    <m/>
    <n v="0"/>
    <n v="0"/>
    <m/>
  </r>
  <r>
    <s v="Below the Line"/>
    <x v="2"/>
    <s v=""/>
    <s v="ARTE"/>
    <x v="789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  <m/>
    <m/>
    <n v="68048.569999999992"/>
    <n v="0"/>
    <m/>
  </r>
  <r>
    <s v="Below the Line"/>
    <x v="2"/>
    <s v=""/>
    <s v="ARTE"/>
    <x v="79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  <m/>
    <m/>
    <n v="8980.86"/>
    <n v="0"/>
    <m/>
  </r>
  <r>
    <s v="Below the Line"/>
    <x v="2"/>
    <s v=""/>
    <s v="ARTE"/>
    <x v="793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4"/>
    <s v="Allowance"/>
    <m/>
    <n v="662.07"/>
    <n v="0"/>
    <n v="662.07"/>
    <n v="0"/>
    <n v="662.07"/>
    <n v="25000"/>
    <n v="24337.93"/>
    <m/>
    <m/>
    <n v="662.07"/>
    <n v="0"/>
    <m/>
  </r>
  <r>
    <s v="Below the Line"/>
    <x v="2"/>
    <s v=""/>
    <s v="ARTE"/>
    <x v="795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6"/>
    <s v="Allowance"/>
    <m/>
    <n v="24794"/>
    <n v="0"/>
    <n v="24794"/>
    <n v="0"/>
    <n v="24794"/>
    <n v="20000"/>
    <n v="-4794"/>
    <m/>
    <m/>
    <n v="24794"/>
    <n v="0"/>
    <m/>
  </r>
  <r>
    <s v="Below the Line"/>
    <x v="2"/>
    <s v=""/>
    <s v="ARTE"/>
    <x v="797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8"/>
    <s v="Allowance"/>
    <m/>
    <n v="874.34"/>
    <n v="0"/>
    <n v="874.34"/>
    <n v="0"/>
    <n v="874.34"/>
    <n v="30000"/>
    <n v="29125.66"/>
    <m/>
    <m/>
    <n v="874.34"/>
    <n v="0"/>
    <m/>
  </r>
  <r>
    <s v="Below the Line"/>
    <x v="2"/>
    <s v=""/>
    <s v="ARTE"/>
    <x v="799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0"/>
    <s v="Allowance"/>
    <m/>
    <n v="46200"/>
    <n v="0"/>
    <n v="46200"/>
    <n v="0"/>
    <n v="46200"/>
    <n v="20000"/>
    <n v="-26200"/>
    <m/>
    <m/>
    <n v="46200"/>
    <n v="0"/>
    <m/>
  </r>
  <r>
    <s v="Below the Line"/>
    <x v="2"/>
    <s v=""/>
    <s v="ARTE"/>
    <x v="801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2"/>
    <s v="Allowance"/>
    <m/>
    <n v="20600"/>
    <n v="0"/>
    <n v="20600"/>
    <n v="0"/>
    <n v="20600"/>
    <n v="20000"/>
    <n v="-600"/>
    <m/>
    <m/>
    <n v="20600"/>
    <n v="0"/>
    <m/>
  </r>
  <r>
    <s v="Below the Line"/>
    <x v="2"/>
    <s v=""/>
    <s v="ARTE"/>
    <x v="803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4"/>
    <s v="Allowance"/>
    <m/>
    <n v="0"/>
    <n v="0"/>
    <n v="0"/>
    <n v="0"/>
    <n v="0"/>
    <n v="30000"/>
    <n v="30000"/>
    <m/>
    <m/>
    <n v="0"/>
    <n v="0"/>
    <m/>
  </r>
  <r>
    <s v="Below the Line"/>
    <x v="2"/>
    <s v=""/>
    <s v="ARTE"/>
    <x v="805"/>
    <s v="Parque Colomos 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6"/>
    <s v="Allowance"/>
    <m/>
    <n v="0"/>
    <n v="0"/>
    <n v="0"/>
    <n v="0"/>
    <n v="0"/>
    <n v="15000"/>
    <n v="15000"/>
    <m/>
    <m/>
    <n v="0"/>
    <n v="0"/>
    <m/>
  </r>
  <r>
    <s v="Below the Line"/>
    <x v="2"/>
    <s v=""/>
    <s v="ARTE"/>
    <x v="807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8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09"/>
    <s v="Dspedida de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  <m/>
    <m/>
    <n v="31507.91"/>
    <n v="0"/>
    <m/>
  </r>
  <r>
    <s v="Below the Line"/>
    <x v="2"/>
    <s v=""/>
    <s v="ARTE"/>
    <x v="811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2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13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4"/>
    <s v="Allowance"/>
    <m/>
    <n v="0"/>
    <n v="0"/>
    <n v="0"/>
    <n v="0"/>
    <n v="0"/>
    <n v="40000"/>
    <n v="40000"/>
    <m/>
    <m/>
    <n v="0"/>
    <n v="0"/>
    <m/>
  </r>
  <r>
    <s v="Below the Line"/>
    <x v="2"/>
    <s v=""/>
    <s v="ARTE"/>
    <x v="815"/>
    <s v="Sets Adicional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  <m/>
    <m/>
    <n v="5485.6900000000005"/>
    <n v="0"/>
    <m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  <m/>
    <m/>
    <n v="58401.47"/>
    <n v="0"/>
    <m/>
  </r>
  <r>
    <s v="Below the Line"/>
    <x v="2"/>
    <s v=""/>
    <m/>
    <x v="818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  <m/>
    <m/>
    <n v="58401.47"/>
    <n v="0"/>
    <m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  <m/>
    <m/>
    <n v="5245329.5900000008"/>
    <n v="-9057.566999998875"/>
    <m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  <m/>
    <m/>
    <n v="810743.33"/>
    <n v="0"/>
    <m/>
  </r>
  <r>
    <s v="Below the Line"/>
    <x v="2"/>
    <s v=""/>
    <s v="NOM"/>
    <x v="822"/>
    <s v="Decorador - Daniela Sofía Main"/>
    <m/>
    <n v="0"/>
    <n v="0"/>
    <n v="0"/>
    <n v="0"/>
    <n v="0"/>
    <n v="0"/>
    <n v="0"/>
    <m/>
    <m/>
    <n v="0"/>
    <n v="0"/>
    <m/>
  </r>
  <r>
    <s v="Below the Line"/>
    <x v="2"/>
    <s v="PREP"/>
    <s v="NOM"/>
    <x v="823"/>
    <s v="Prep"/>
    <m/>
    <n v="124950"/>
    <n v="0"/>
    <n v="124950"/>
    <n v="0"/>
    <n v="124950"/>
    <n v="124950"/>
    <n v="0"/>
    <m/>
    <m/>
    <n v="124950"/>
    <n v="0"/>
    <m/>
  </r>
  <r>
    <s v="Below the Line"/>
    <x v="2"/>
    <s v="SHOOT"/>
    <s v="NOM"/>
    <x v="824"/>
    <s v="Shoot"/>
    <m/>
    <n v="124950"/>
    <n v="0"/>
    <n v="124950"/>
    <n v="0"/>
    <n v="124950"/>
    <n v="124950"/>
    <n v="0"/>
    <m/>
    <m/>
    <n v="124950"/>
    <n v="0"/>
    <m/>
  </r>
  <r>
    <s v="Below the Line"/>
    <x v="2"/>
    <s v="WRAP"/>
    <s v="NOM"/>
    <x v="825"/>
    <s v="Wrap"/>
    <m/>
    <n v="53550"/>
    <n v="0"/>
    <n v="53550"/>
    <n v="0"/>
    <n v="53550"/>
    <n v="35700"/>
    <n v="-17850"/>
    <m/>
    <m/>
    <n v="53550"/>
    <n v="0"/>
    <m/>
  </r>
  <r>
    <s v="Below the Line"/>
    <x v="2"/>
    <s v=""/>
    <s v="NOM"/>
    <x v="826"/>
    <s v="Asistente Decoración CDMX - Indra Campos"/>
    <m/>
    <n v="0"/>
    <n v="0"/>
    <n v="0"/>
    <n v="0"/>
    <n v="0"/>
    <n v="0"/>
    <n v="0"/>
    <m/>
    <m/>
    <n v="0"/>
    <n v="0"/>
    <m/>
  </r>
  <r>
    <s v="Below the Line"/>
    <x v="2"/>
    <s v="PREP"/>
    <s v="NOM"/>
    <x v="827"/>
    <s v="Prep"/>
    <m/>
    <n v="40000"/>
    <n v="0"/>
    <n v="40000"/>
    <n v="0"/>
    <n v="40000"/>
    <n v="40000"/>
    <n v="0"/>
    <m/>
    <m/>
    <n v="40000"/>
    <n v="0"/>
    <m/>
  </r>
  <r>
    <s v="Below the Line"/>
    <x v="2"/>
    <s v="WRAP"/>
    <s v="NOM"/>
    <x v="828"/>
    <s v="Wrap"/>
    <m/>
    <n v="6301.63"/>
    <n v="0"/>
    <n v="6301.63"/>
    <n v="0"/>
    <n v="6301.63"/>
    <n v="10000"/>
    <n v="3698.37"/>
    <m/>
    <m/>
    <n v="6301.63"/>
    <n v="0"/>
    <m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  <m/>
    <m/>
    <n v="0"/>
    <n v="0"/>
    <m/>
  </r>
  <r>
    <s v="Below the Line"/>
    <x v="2"/>
    <s v="PREP"/>
    <s v="NOM"/>
    <x v="830"/>
    <s v="Prep"/>
    <m/>
    <n v="44625"/>
    <n v="0"/>
    <n v="44625"/>
    <n v="0"/>
    <n v="44625"/>
    <n v="44625"/>
    <n v="0"/>
    <m/>
    <m/>
    <n v="44625"/>
    <n v="0"/>
    <m/>
  </r>
  <r>
    <s v="Below the Line"/>
    <x v="2"/>
    <s v="SHOOT"/>
    <s v="NOM"/>
    <x v="831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  <m/>
    <m/>
    <n v="17258.349999999999"/>
    <n v="0"/>
    <m/>
  </r>
  <r>
    <s v="Below the Line"/>
    <x v="2"/>
    <s v=""/>
    <s v="NOM"/>
    <x v="833"/>
    <s v="Asistente Decoración #2 - Shantal Orozco"/>
    <m/>
    <n v="0"/>
    <n v="0"/>
    <n v="0"/>
    <n v="0"/>
    <n v="0"/>
    <n v="0"/>
    <n v="0"/>
    <m/>
    <m/>
    <n v="0"/>
    <n v="0"/>
    <m/>
  </r>
  <r>
    <s v="Below the Line"/>
    <x v="2"/>
    <s v="PREP"/>
    <s v="NOM"/>
    <x v="834"/>
    <s v="Prep"/>
    <m/>
    <n v="35700"/>
    <n v="0"/>
    <n v="35700"/>
    <n v="0"/>
    <n v="35700"/>
    <n v="35700"/>
    <n v="0"/>
    <m/>
    <m/>
    <n v="35700"/>
    <n v="0"/>
    <m/>
  </r>
  <r>
    <s v="Below the Line"/>
    <x v="2"/>
    <s v="SHOOT"/>
    <s v="NOM"/>
    <x v="835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6"/>
    <s v="Wrap"/>
    <m/>
    <n v="8925"/>
    <n v="0"/>
    <n v="8925"/>
    <n v="0"/>
    <n v="8925"/>
    <n v="8925"/>
    <n v="0"/>
    <m/>
    <m/>
    <n v="8925"/>
    <n v="0"/>
    <m/>
  </r>
  <r>
    <s v="Below the Line"/>
    <x v="2"/>
    <s v=""/>
    <s v="NOM"/>
    <x v="837"/>
    <s v="Comprador - José Miguel Corona Barragán "/>
    <m/>
    <n v="0"/>
    <n v="0"/>
    <n v="0"/>
    <n v="0"/>
    <n v="0"/>
    <n v="0"/>
    <n v="0"/>
    <m/>
    <m/>
    <n v="0"/>
    <n v="0"/>
    <m/>
  </r>
  <r>
    <s v="Below the Line"/>
    <x v="2"/>
    <s v="PREP"/>
    <s v="NOM"/>
    <x v="838"/>
    <s v="Prep"/>
    <m/>
    <n v="29400"/>
    <n v="0"/>
    <n v="29400"/>
    <n v="0"/>
    <n v="29400"/>
    <n v="29400"/>
    <n v="0"/>
    <m/>
    <m/>
    <n v="29400"/>
    <n v="0"/>
    <m/>
  </r>
  <r>
    <s v="Below the Line"/>
    <x v="2"/>
    <s v="SHOOT"/>
    <s v="NOM"/>
    <x v="839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WRAP"/>
    <s v="NOM"/>
    <x v="840"/>
    <s v="Wrap"/>
    <m/>
    <n v="7350"/>
    <n v="0"/>
    <n v="7350"/>
    <n v="0"/>
    <n v="7350"/>
    <n v="7350"/>
    <n v="0"/>
    <m/>
    <m/>
    <n v="7350"/>
    <n v="0"/>
    <m/>
  </r>
  <r>
    <s v="Below the Line"/>
    <x v="2"/>
    <s v=""/>
    <s v="NOM"/>
    <x v="841"/>
    <s v="Comprador #2 - Tania Sánchez "/>
    <m/>
    <n v="0"/>
    <n v="0"/>
    <n v="0"/>
    <n v="0"/>
    <n v="0"/>
    <n v="0"/>
    <n v="0"/>
    <m/>
    <m/>
    <n v="0"/>
    <n v="0"/>
    <m/>
  </r>
  <r>
    <s v="Below the Line"/>
    <x v="2"/>
    <s v="PREP"/>
    <s v="NOM"/>
    <x v="842"/>
    <s v="Prep"/>
    <m/>
    <n v="22050"/>
    <n v="0"/>
    <n v="22050"/>
    <n v="0"/>
    <n v="22050"/>
    <n v="22050"/>
    <n v="0"/>
    <m/>
    <m/>
    <n v="22050"/>
    <n v="0"/>
    <m/>
  </r>
  <r>
    <s v="Below the Line"/>
    <x v="2"/>
    <s v="SHOOT"/>
    <s v="NOM"/>
    <x v="843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5"/>
    <s v="Prep"/>
    <m/>
    <n v="0"/>
    <n v="0"/>
    <n v="0"/>
    <n v="0"/>
    <n v="0"/>
    <n v="8500"/>
    <n v="8500"/>
    <m/>
    <m/>
    <n v="0"/>
    <n v="0"/>
    <m/>
  </r>
  <r>
    <s v="Below the Line"/>
    <x v="2"/>
    <s v="2nd Unit"/>
    <s v="NOM"/>
    <x v="846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  <m/>
    <m/>
    <n v="16833.349999999999"/>
    <n v="0"/>
    <m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9"/>
    <s v="Prep"/>
    <m/>
    <n v="8500"/>
    <n v="0"/>
    <n v="8500"/>
    <n v="0"/>
    <n v="8500"/>
    <n v="8500"/>
    <n v="0"/>
    <m/>
    <m/>
    <n v="8500"/>
    <n v="0"/>
    <m/>
  </r>
  <r>
    <s v="Below the Line"/>
    <x v="2"/>
    <s v="2nd Unit"/>
    <s v="NOM"/>
    <x v="850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51"/>
    <s v="Wrap"/>
    <m/>
    <n v="8500"/>
    <n v="0"/>
    <n v="8500"/>
    <n v="0"/>
    <n v="8500"/>
    <n v="8500"/>
    <n v="0"/>
    <m/>
    <m/>
    <n v="8500"/>
    <n v="0"/>
    <m/>
  </r>
  <r>
    <s v="Below the Line"/>
    <x v="1"/>
    <m/>
    <m/>
    <x v="852"/>
    <s v="SUPERVISOR DECORACION"/>
    <m/>
    <n v="75600"/>
    <n v="0"/>
    <n v="75600"/>
    <n v="0"/>
    <n v="75600"/>
    <n v="88200"/>
    <n v="12600"/>
    <m/>
    <m/>
    <n v="75600"/>
    <n v="0"/>
    <m/>
  </r>
  <r>
    <s v="Below the Line"/>
    <x v="2"/>
    <s v=""/>
    <s v="NOM"/>
    <x v="853"/>
    <s v="Lead Man - Juan Pablo Fernandez"/>
    <m/>
    <n v="0"/>
    <n v="0"/>
    <n v="0"/>
    <n v="0"/>
    <n v="0"/>
    <n v="0"/>
    <n v="0"/>
    <m/>
    <m/>
    <n v="0"/>
    <n v="0"/>
    <m/>
  </r>
  <r>
    <s v="Below the Line"/>
    <x v="2"/>
    <s v="PREP"/>
    <s v="NOM"/>
    <x v="854"/>
    <s v="Prep"/>
    <m/>
    <n v="16800"/>
    <n v="0"/>
    <n v="16800"/>
    <n v="0"/>
    <n v="16800"/>
    <n v="21000"/>
    <n v="4200"/>
    <m/>
    <m/>
    <n v="16800"/>
    <n v="0"/>
    <m/>
  </r>
  <r>
    <s v="Below the Line"/>
    <x v="2"/>
    <s v="SHOOT"/>
    <s v="NOM"/>
    <x v="855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WRAP"/>
    <s v="NOM"/>
    <x v="856"/>
    <s v="Wrap"/>
    <m/>
    <n v="0"/>
    <n v="0"/>
    <n v="0"/>
    <n v="0"/>
    <n v="0"/>
    <n v="8400"/>
    <n v="8400"/>
    <m/>
    <m/>
    <n v="0"/>
    <n v="0"/>
    <m/>
  </r>
  <r>
    <s v="Below the Line"/>
    <x v="1"/>
    <m/>
    <m/>
    <x v="857"/>
    <s v="SWINGS"/>
    <m/>
    <n v="416746.66"/>
    <n v="0"/>
    <n v="416746.66"/>
    <n v="0"/>
    <n v="416746.66"/>
    <n v="358650"/>
    <n v="-58096.66"/>
    <m/>
    <m/>
    <n v="416746.66"/>
    <n v="0"/>
    <m/>
  </r>
  <r>
    <s v="Below the Line"/>
    <x v="2"/>
    <s v=""/>
    <s v="NOM"/>
    <x v="858"/>
    <s v="Swing # 1 - Alejandro Wipache"/>
    <m/>
    <n v="0"/>
    <n v="0"/>
    <n v="0"/>
    <n v="0"/>
    <n v="0"/>
    <n v="0"/>
    <n v="0"/>
    <m/>
    <m/>
    <n v="0"/>
    <n v="0"/>
    <m/>
  </r>
  <r>
    <s v="Below the Line"/>
    <x v="2"/>
    <s v="PREP"/>
    <s v="NOM"/>
    <x v="859"/>
    <s v="Prep"/>
    <m/>
    <n v="15750"/>
    <n v="0"/>
    <n v="15750"/>
    <n v="0"/>
    <n v="15750"/>
    <n v="23625"/>
    <n v="7875"/>
    <m/>
    <m/>
    <n v="15750"/>
    <n v="0"/>
    <m/>
  </r>
  <r>
    <s v="Below the Line"/>
    <x v="2"/>
    <s v="SHOOT"/>
    <s v="NOM"/>
    <x v="860"/>
    <s v="Shoot 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1"/>
    <s v="Wrap"/>
    <m/>
    <n v="41700"/>
    <n v="0"/>
    <n v="41700"/>
    <n v="0"/>
    <n v="41700"/>
    <n v="7875"/>
    <n v="-33825"/>
    <m/>
    <m/>
    <n v="41700"/>
    <n v="0"/>
    <m/>
  </r>
  <r>
    <s v="Below the Line"/>
    <x v="2"/>
    <s v=""/>
    <s v="NOM"/>
    <x v="862"/>
    <s v="Swing #2 - Victor Iglesias"/>
    <m/>
    <n v="0"/>
    <n v="0"/>
    <n v="0"/>
    <n v="0"/>
    <n v="0"/>
    <n v="0"/>
    <n v="0"/>
    <m/>
    <m/>
    <n v="0"/>
    <n v="0"/>
    <m/>
  </r>
  <r>
    <s v="Below the Line"/>
    <x v="2"/>
    <s v="PREP"/>
    <s v="NOM"/>
    <x v="863"/>
    <s v="Prep"/>
    <m/>
    <n v="15750"/>
    <n v="0"/>
    <n v="15750"/>
    <n v="0"/>
    <n v="15750"/>
    <n v="15750"/>
    <n v="0"/>
    <m/>
    <m/>
    <n v="15750"/>
    <n v="0"/>
    <m/>
  </r>
  <r>
    <s v="Below the Line"/>
    <x v="2"/>
    <s v="SHOOT"/>
    <s v="NOM"/>
    <x v="864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5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66"/>
    <s v="Swing #3 - Carlos Santana"/>
    <m/>
    <n v="0"/>
    <n v="0"/>
    <n v="0"/>
    <n v="0"/>
    <n v="0"/>
    <n v="0"/>
    <n v="0"/>
    <m/>
    <m/>
    <n v="0"/>
    <n v="0"/>
    <m/>
  </r>
  <r>
    <s v="Below the Line"/>
    <x v="2"/>
    <s v="PREP"/>
    <s v="NOM"/>
    <x v="867"/>
    <s v="Prep"/>
    <m/>
    <n v="7875"/>
    <n v="0"/>
    <n v="7875"/>
    <n v="0"/>
    <n v="7875"/>
    <n v="7875"/>
    <n v="0"/>
    <m/>
    <m/>
    <n v="7875"/>
    <n v="0"/>
    <m/>
  </r>
  <r>
    <s v="Below the Line"/>
    <x v="2"/>
    <s v="SHOOT"/>
    <s v="NOM"/>
    <x v="868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9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70"/>
    <s v="Swing CDMX (Apoyos para mudanza)"/>
    <m/>
    <n v="0"/>
    <n v="0"/>
    <n v="0"/>
    <n v="0"/>
    <n v="0"/>
    <n v="0"/>
    <n v="0"/>
    <m/>
    <m/>
    <n v="0"/>
    <n v="0"/>
    <m/>
  </r>
  <r>
    <s v="Below the Line"/>
    <x v="2"/>
    <s v="PREP"/>
    <s v="NOM"/>
    <x v="871"/>
    <s v="Prep"/>
    <m/>
    <n v="39000"/>
    <n v="0"/>
    <n v="39000"/>
    <n v="0"/>
    <n v="39000"/>
    <n v="31200"/>
    <n v="-7800"/>
    <m/>
    <m/>
    <n v="39000"/>
    <n v="0"/>
    <m/>
  </r>
  <r>
    <s v="Below the Line"/>
    <x v="2"/>
    <s v="WRAP"/>
    <s v="NOM"/>
    <x v="872"/>
    <s v="Wrap"/>
    <m/>
    <n v="54780"/>
    <n v="0"/>
    <n v="54780"/>
    <n v="0"/>
    <n v="54780"/>
    <n v="31200"/>
    <n v="-23580"/>
    <m/>
    <m/>
    <n v="54780"/>
    <n v="0"/>
    <m/>
  </r>
  <r>
    <s v="Below the Line"/>
    <x v="2"/>
    <s v=""/>
    <s v="NOM"/>
    <x v="873"/>
    <s v="Swing #1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7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s v="NOM"/>
    <x v="87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s v="NOM"/>
    <x v="877"/>
    <s v="Swing #2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8"/>
    <s v="Prep"/>
    <m/>
    <n v="3266.66"/>
    <n v="0"/>
    <n v="3266.66"/>
    <n v="0"/>
    <n v="3266.66"/>
    <n v="7500"/>
    <n v="4233.34"/>
    <m/>
    <m/>
    <n v="3266.66"/>
    <n v="0"/>
    <m/>
  </r>
  <r>
    <s v="Below the Line"/>
    <x v="2"/>
    <s v="2nd Unit"/>
    <s v="NOM"/>
    <x v="879"/>
    <s v="Shoot"/>
    <m/>
    <n v="20000"/>
    <n v="0"/>
    <n v="20000"/>
    <n v="0"/>
    <n v="20000"/>
    <n v="15000"/>
    <n v="-5000"/>
    <m/>
    <m/>
    <n v="20000"/>
    <n v="0"/>
    <m/>
  </r>
  <r>
    <s v="Below the Line"/>
    <x v="2"/>
    <s v="2nd Unit"/>
    <s v="NOM"/>
    <x v="880"/>
    <s v="Wrap"/>
    <m/>
    <n v="7500"/>
    <n v="0"/>
    <n v="7500"/>
    <n v="0"/>
    <n v="7500"/>
    <n v="7500"/>
    <n v="0"/>
    <m/>
    <m/>
    <n v="7500"/>
    <n v="0"/>
    <m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  <m/>
    <m/>
    <n v="507605.83"/>
    <n v="0"/>
    <m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883"/>
    <s v="Prep"/>
    <m/>
    <n v="10290"/>
    <n v="0"/>
    <n v="10290"/>
    <n v="0"/>
    <n v="10290"/>
    <n v="10290"/>
    <n v="0"/>
    <m/>
    <m/>
    <n v="10290"/>
    <n v="0"/>
    <m/>
  </r>
  <r>
    <s v="Below the Line"/>
    <x v="2"/>
    <s v="SHOOT"/>
    <s v="NOM"/>
    <x v="884"/>
    <s v="Shoot"/>
    <m/>
    <n v="77910"/>
    <n v="0"/>
    <n v="77910"/>
    <n v="0"/>
    <n v="77910"/>
    <n v="72030"/>
    <n v="-5880"/>
    <m/>
    <m/>
    <n v="77910"/>
    <n v="0"/>
    <m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  <m/>
    <m/>
    <n v="0"/>
    <n v="0"/>
    <m/>
  </r>
  <r>
    <s v="Below the Line"/>
    <x v="2"/>
    <s v="PREP"/>
    <s v="NOM"/>
    <x v="886"/>
    <s v="Prep"/>
    <m/>
    <n v="0"/>
    <n v="0"/>
    <n v="0"/>
    <n v="0"/>
    <n v="0"/>
    <n v="8400"/>
    <n v="8400"/>
    <m/>
    <m/>
    <n v="0"/>
    <n v="0"/>
    <m/>
  </r>
  <r>
    <s v="Below the Line"/>
    <x v="2"/>
    <s v="SHOOT"/>
    <s v="NOM"/>
    <x v="887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89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s v="NOM"/>
    <x v="890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s v="NOM"/>
    <x v="89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93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94"/>
    <s v="Shoot"/>
    <m/>
    <n v="30000"/>
    <n v="0"/>
    <n v="30000"/>
    <n v="0"/>
    <n v="30000"/>
    <n v="15000"/>
    <n v="-15000"/>
    <m/>
    <m/>
    <n v="30000"/>
    <n v="0"/>
    <m/>
  </r>
  <r>
    <s v="Below the Line"/>
    <x v="2"/>
    <s v="2nd Unit"/>
    <s v="NOM"/>
    <x v="89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6"/>
    <s v="Apoyos Arte - TBD"/>
    <m/>
    <n v="0"/>
    <n v="0"/>
    <n v="0"/>
    <n v="0"/>
    <n v="0"/>
    <n v="0"/>
    <n v="0"/>
    <m/>
    <m/>
    <n v="0"/>
    <n v="0"/>
    <m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  <m/>
    <m/>
    <n v="323105.83"/>
    <n v="0"/>
    <m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  <m/>
    <m/>
    <n v="114113.42000000003"/>
    <n v="-174.30000000000291"/>
    <m/>
  </r>
  <r>
    <s v="Below the Line"/>
    <x v="2"/>
    <s v=""/>
    <m/>
    <x v="899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  <m/>
    <m/>
    <n v="105863.42000000003"/>
    <n v="-174.30000000000291"/>
    <m/>
  </r>
  <r>
    <s v="Below the Line"/>
    <x v="2"/>
    <s v="ALL SHOW"/>
    <s v="ARTE"/>
    <x v="901"/>
    <s v="Basura"/>
    <m/>
    <n v="8250"/>
    <n v="0"/>
    <n v="8250"/>
    <n v="0"/>
    <n v="8250"/>
    <n v="44000"/>
    <n v="35750"/>
    <m/>
    <m/>
    <n v="8250"/>
    <n v="0"/>
    <m/>
  </r>
  <r>
    <s v="Below the Line"/>
    <x v="1"/>
    <m/>
    <m/>
    <x v="902"/>
    <s v="BOX RENTAL DECORACION"/>
    <m/>
    <n v="114000"/>
    <n v="0"/>
    <n v="114000"/>
    <n v="0"/>
    <n v="114000"/>
    <n v="120000"/>
    <n v="6000"/>
    <m/>
    <m/>
    <n v="114000"/>
    <n v="0"/>
    <m/>
  </r>
  <r>
    <s v="Below the Line"/>
    <x v="2"/>
    <s v=""/>
    <m/>
    <x v="903"/>
    <s v="Box Rental"/>
    <m/>
    <n v="0"/>
    <n v="0"/>
    <n v="0"/>
    <n v="0"/>
    <n v="0"/>
    <n v="0"/>
    <n v="0"/>
    <m/>
    <m/>
    <n v="0"/>
    <n v="0"/>
    <m/>
  </r>
  <r>
    <s v="Below the Line"/>
    <x v="2"/>
    <s v="PREP"/>
    <s v="ARTE"/>
    <x v="904"/>
    <s v="Prep"/>
    <m/>
    <n v="34000"/>
    <n v="0"/>
    <n v="34000"/>
    <n v="0"/>
    <n v="34000"/>
    <n v="45000"/>
    <n v="11000"/>
    <m/>
    <m/>
    <n v="34000"/>
    <n v="0"/>
    <m/>
  </r>
  <r>
    <s v="Below the Line"/>
    <x v="2"/>
    <s v="SHOOT"/>
    <s v="ARTE"/>
    <x v="905"/>
    <s v="Shoot"/>
    <m/>
    <n v="70000"/>
    <n v="0"/>
    <n v="70000"/>
    <n v="0"/>
    <n v="70000"/>
    <n v="63000"/>
    <n v="-7000"/>
    <m/>
    <m/>
    <n v="70000"/>
    <n v="0"/>
    <m/>
  </r>
  <r>
    <s v="Below the Line"/>
    <x v="2"/>
    <s v="WRAP"/>
    <s v="ARTE"/>
    <x v="906"/>
    <s v="Wrap"/>
    <m/>
    <n v="10000"/>
    <n v="0"/>
    <n v="10000"/>
    <n v="0"/>
    <n v="10000"/>
    <n v="12000"/>
    <n v="2000"/>
    <m/>
    <m/>
    <n v="10000"/>
    <n v="0"/>
    <m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  <m/>
    <m/>
    <n v="2807284.08"/>
    <n v="-7715.4869999997318"/>
    <m/>
  </r>
  <r>
    <s v="Below the Line"/>
    <x v="2"/>
    <s v=""/>
    <s v="ARTE"/>
    <x v="908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  <m/>
    <m/>
    <n v="740384.81"/>
    <n v="-5042.3369999999413"/>
    <m/>
  </r>
  <r>
    <s v="Below the Line"/>
    <x v="2"/>
    <s v=""/>
    <s v="ARTE"/>
    <x v="910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  <m/>
    <m/>
    <n v="266867.15999999992"/>
    <n v="0"/>
    <m/>
  </r>
  <r>
    <s v="Below the Line"/>
    <x v="2"/>
    <s v=""/>
    <s v="ARTE"/>
    <x v="912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  <m/>
    <m/>
    <n v="9340.3000000000011"/>
    <n v="0"/>
    <m/>
  </r>
  <r>
    <s v="Below the Line"/>
    <x v="2"/>
    <s v=""/>
    <s v="ARTE"/>
    <x v="914"/>
    <s v="Campamento Le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  <m/>
    <m/>
    <n v="38566.519999999997"/>
    <n v="0"/>
    <m/>
  </r>
  <r>
    <s v="Below the Line"/>
    <x v="2"/>
    <s v=""/>
    <s v="ARTE"/>
    <x v="916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  <m/>
    <m/>
    <n v="17435.640000000003"/>
    <n v="0"/>
    <m/>
  </r>
  <r>
    <s v="Below the Line"/>
    <x v="2"/>
    <s v=""/>
    <s v="ARTE"/>
    <x v="918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  <m/>
    <m/>
    <n v="74339.34"/>
    <n v="0"/>
    <m/>
  </r>
  <r>
    <s v="Below the Line"/>
    <x v="2"/>
    <s v=""/>
    <s v="ARTE"/>
    <x v="920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  <m/>
    <m/>
    <n v="81050.73000000001"/>
    <n v="-830.40000000000873"/>
    <m/>
  </r>
  <r>
    <s v="Below the Line"/>
    <x v="2"/>
    <s v=""/>
    <s v="ARTE"/>
    <x v="922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  <m/>
    <m/>
    <n v="74439.520000000004"/>
    <n v="-60"/>
    <m/>
  </r>
  <r>
    <s v="Below the Line"/>
    <x v="2"/>
    <s v=""/>
    <s v="ARTE"/>
    <x v="924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  <m/>
    <m/>
    <n v="213639.77"/>
    <n v="-1529.0999999999767"/>
    <m/>
  </r>
  <r>
    <s v="Below the Line"/>
    <x v="2"/>
    <s v=""/>
    <s v="ARTE"/>
    <x v="926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  <m/>
    <m/>
    <n v="28775.27"/>
    <n v="0"/>
    <m/>
  </r>
  <r>
    <s v="Below the Line"/>
    <x v="2"/>
    <s v=""/>
    <s v="ARTE"/>
    <x v="928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  <m/>
    <m/>
    <n v="221221.21"/>
    <n v="0"/>
    <m/>
  </r>
  <r>
    <s v="Below the Line"/>
    <x v="2"/>
    <s v=""/>
    <s v="ARTE"/>
    <x v="930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  <m/>
    <m/>
    <n v="90856.10000000002"/>
    <n v="-11.69999999999709"/>
    <m/>
  </r>
  <r>
    <s v="Below the Line"/>
    <x v="2"/>
    <s v=""/>
    <s v="ARTE"/>
    <x v="932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3"/>
    <s v="Allowance"/>
    <m/>
    <n v="41196"/>
    <n v="0"/>
    <n v="41196"/>
    <n v="0"/>
    <n v="41196"/>
    <n v="30000"/>
    <n v="-11196"/>
    <m/>
    <m/>
    <n v="41196"/>
    <n v="0"/>
    <m/>
  </r>
  <r>
    <s v="Below the Line"/>
    <x v="2"/>
    <s v=""/>
    <s v="ARTE"/>
    <x v="934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  <m/>
    <m/>
    <n v="23178.39"/>
    <n v="0"/>
    <m/>
  </r>
  <r>
    <s v="Below the Line"/>
    <x v="2"/>
    <s v=""/>
    <s v="ARTE"/>
    <x v="936"/>
    <s v="Despedia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  <m/>
    <m/>
    <n v="123249.12"/>
    <n v="0"/>
    <m/>
  </r>
  <r>
    <s v="Below the Line"/>
    <x v="2"/>
    <s v=""/>
    <s v="ARTE"/>
    <x v="938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  <m/>
    <m/>
    <n v="24838.11"/>
    <n v="-44.849999999998545"/>
    <m/>
  </r>
  <r>
    <s v="Below the Line"/>
    <x v="2"/>
    <s v=""/>
    <s v="ARTE"/>
    <x v="940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  <m/>
    <m/>
    <n v="413459.91000000003"/>
    <n v="0"/>
    <m/>
  </r>
  <r>
    <s v="Below the Line"/>
    <x v="2"/>
    <s v=""/>
    <s v="ARTE"/>
    <x v="942"/>
    <s v="Sets Extr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  <m/>
    <m/>
    <n v="216816.18000000002"/>
    <n v="-197.10000000000582"/>
    <m/>
  </r>
  <r>
    <s v="Below the Line"/>
    <x v="2"/>
    <s v=""/>
    <m/>
    <x v="944"/>
    <s v="Imágenes de stock"/>
    <m/>
    <n v="0"/>
    <n v="0"/>
    <n v="0"/>
    <n v="0"/>
    <n v="0"/>
    <n v="0"/>
    <n v="0"/>
    <m/>
    <m/>
    <n v="0"/>
    <n v="0"/>
    <m/>
  </r>
  <r>
    <s v="Below the Line"/>
    <x v="2"/>
    <s v="ALL SHOW"/>
    <m/>
    <x v="945"/>
    <s v="Getty Images"/>
    <m/>
    <n v="107630"/>
    <n v="0"/>
    <n v="107630"/>
    <n v="0"/>
    <n v="107630"/>
    <n v="107630"/>
    <n v="0"/>
    <m/>
    <m/>
    <n v="107630"/>
    <n v="0"/>
    <m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  <m/>
    <m/>
    <n v="274144.82"/>
    <n v="-325.38000000000466"/>
    <m/>
  </r>
  <r>
    <s v="Below the Line"/>
    <x v="2"/>
    <s v=""/>
    <m/>
    <x v="947"/>
    <s v="Renta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  <m/>
    <m/>
    <n v="141773.95000000001"/>
    <n v="-325.38000000000466"/>
    <m/>
  </r>
  <r>
    <s v="Below the Line"/>
    <x v="2"/>
    <s v=""/>
    <m/>
    <x v="949"/>
    <s v="Mudanza a Bodega de decoración"/>
    <m/>
    <n v="0"/>
    <n v="0"/>
    <n v="0"/>
    <n v="0"/>
    <n v="0"/>
    <n v="0"/>
    <n v="0"/>
    <m/>
    <m/>
    <n v="0"/>
    <n v="0"/>
    <m/>
  </r>
  <r>
    <s v="Below the Line"/>
    <x v="2"/>
    <s v="PREP"/>
    <m/>
    <x v="950"/>
    <s v="Prep"/>
    <m/>
    <n v="0"/>
    <n v="0"/>
    <n v="0"/>
    <n v="0"/>
    <n v="0"/>
    <n v="30000"/>
    <n v="30000"/>
    <m/>
    <m/>
    <n v="0"/>
    <n v="0"/>
    <m/>
  </r>
  <r>
    <s v="Below the Line"/>
    <x v="2"/>
    <s v=""/>
    <m/>
    <x v="951"/>
    <s v="Bodeguero - Edith García Santana"/>
    <m/>
    <n v="0"/>
    <n v="0"/>
    <n v="0"/>
    <n v="0"/>
    <n v="0"/>
    <n v="0"/>
    <n v="0"/>
    <m/>
    <m/>
    <n v="0"/>
    <n v="0"/>
    <m/>
  </r>
  <r>
    <s v="Below the Line"/>
    <x v="2"/>
    <s v="PREP"/>
    <m/>
    <x v="952"/>
    <s v="Prep"/>
    <m/>
    <n v="18900"/>
    <n v="0"/>
    <n v="18900"/>
    <n v="0"/>
    <n v="18900"/>
    <n v="18900"/>
    <n v="0"/>
    <m/>
    <m/>
    <n v="18900"/>
    <n v="0"/>
    <m/>
  </r>
  <r>
    <s v="Below the Line"/>
    <x v="2"/>
    <s v="SHOOT"/>
    <m/>
    <x v="953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954"/>
    <s v="Wrap"/>
    <m/>
    <n v="21420"/>
    <n v="0"/>
    <n v="21420"/>
    <n v="0"/>
    <n v="21420"/>
    <n v="12600"/>
    <n v="-8820"/>
    <m/>
    <m/>
    <n v="21420"/>
    <n v="0"/>
    <m/>
  </r>
  <r>
    <s v="Below the Line"/>
    <x v="2"/>
    <s v=""/>
    <m/>
    <x v="955"/>
    <s v="Apoyos bodega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  <m/>
    <m/>
    <n v="25000"/>
    <n v="0"/>
    <m/>
  </r>
  <r>
    <s v="Below the Line"/>
    <x v="2"/>
    <s v=""/>
    <m/>
    <x v="957"/>
    <s v="Seguridad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  <m/>
    <m/>
    <n v="22950.87"/>
    <n v="0"/>
    <m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2"/>
    <s v=""/>
    <m/>
    <x v="96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  <m/>
    <m/>
    <n v="1095075.9199999997"/>
    <n v="-3169.1010000000242"/>
    <m/>
  </r>
  <r>
    <s v="Below the Line"/>
    <x v="1"/>
    <m/>
    <m/>
    <x v="963"/>
    <s v="PROP MASTER"/>
    <m/>
    <n v="360500"/>
    <n v="0"/>
    <n v="360500"/>
    <n v="0"/>
    <n v="360500"/>
    <n v="360500"/>
    <n v="0"/>
    <m/>
    <m/>
    <n v="360500"/>
    <n v="0"/>
    <m/>
  </r>
  <r>
    <s v="Below the Line"/>
    <x v="2"/>
    <s v=""/>
    <s v="NOM"/>
    <x v="964"/>
    <s v="Propmaster - Luis Domín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5"/>
    <s v="Prep"/>
    <m/>
    <n v="85000"/>
    <n v="0"/>
    <n v="85000"/>
    <n v="0"/>
    <n v="85000"/>
    <n v="85000"/>
    <n v="0"/>
    <m/>
    <m/>
    <n v="85000"/>
    <n v="0"/>
    <m/>
  </r>
  <r>
    <s v="Below the Line"/>
    <x v="2"/>
    <s v="SHOOT"/>
    <s v="NOM"/>
    <x v="96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WRAP"/>
    <s v="NOM"/>
    <x v="967"/>
    <s v="Wrap"/>
    <m/>
    <n v="34000"/>
    <n v="0"/>
    <n v="34000"/>
    <n v="0"/>
    <n v="34000"/>
    <n v="34000"/>
    <n v="0"/>
    <m/>
    <m/>
    <n v="34000"/>
    <n v="0"/>
    <m/>
  </r>
  <r>
    <s v="Below the Line"/>
    <x v="2"/>
    <s v=""/>
    <s v="NOM"/>
    <x v="968"/>
    <s v="Propmaster Assistant - Ana Karina Per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9"/>
    <s v="Prep"/>
    <m/>
    <n v="39200"/>
    <n v="0"/>
    <n v="39200"/>
    <n v="0"/>
    <n v="39200"/>
    <n v="39200"/>
    <n v="0"/>
    <m/>
    <m/>
    <n v="39200"/>
    <n v="0"/>
    <m/>
  </r>
  <r>
    <s v="Below the Line"/>
    <x v="2"/>
    <s v="SHOOT"/>
    <s v="NOM"/>
    <x v="970"/>
    <s v="Shoot"/>
    <m/>
    <n v="68600"/>
    <n v="0"/>
    <n v="68600"/>
    <n v="0"/>
    <n v="68600"/>
    <n v="68600"/>
    <n v="0"/>
    <m/>
    <m/>
    <n v="68600"/>
    <n v="0"/>
    <m/>
  </r>
  <r>
    <s v="Below the Line"/>
    <x v="2"/>
    <s v="WRAP"/>
    <s v="NOM"/>
    <x v="971"/>
    <s v="Wrap"/>
    <m/>
    <n v="14700"/>
    <n v="0"/>
    <n v="14700"/>
    <n v="0"/>
    <n v="14700"/>
    <n v="14700"/>
    <n v="0"/>
    <m/>
    <m/>
    <n v="14700"/>
    <n v="0"/>
    <m/>
  </r>
  <r>
    <s v="Below the Line"/>
    <x v="1"/>
    <m/>
    <m/>
    <x v="972"/>
    <s v="ASISTENTE DE PROPS"/>
    <m/>
    <n v="105800"/>
    <n v="0"/>
    <n v="105800"/>
    <n v="0"/>
    <n v="105800"/>
    <n v="111000"/>
    <n v="5200"/>
    <m/>
    <m/>
    <n v="105800"/>
    <n v="0"/>
    <m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  <m/>
    <m/>
    <n v="0"/>
    <n v="0"/>
    <m/>
  </r>
  <r>
    <s v="Below the Line"/>
    <x v="2"/>
    <s v="PREP"/>
    <s v="NOM"/>
    <x v="974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s v="NOM"/>
    <x v="975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976"/>
    <s v="Assistant Propmast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7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s v="NOM"/>
    <x v="978"/>
    <s v="Propmaster on Se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9"/>
    <s v="Shoot"/>
    <m/>
    <n v="9800"/>
    <n v="0"/>
    <n v="9800"/>
    <n v="0"/>
    <n v="9800"/>
    <n v="15000"/>
    <n v="5200"/>
    <m/>
    <m/>
    <n v="9800"/>
    <n v="0"/>
    <m/>
  </r>
  <r>
    <s v="Below the Line"/>
    <x v="1"/>
    <m/>
    <m/>
    <x v="980"/>
    <s v="FABRICANTE DE PROPS"/>
    <m/>
    <n v="67840.75"/>
    <n v="0"/>
    <n v="67840.75"/>
    <n v="0"/>
    <n v="67840.75"/>
    <n v="102500"/>
    <n v="34659.25"/>
    <m/>
    <m/>
    <n v="67840.75"/>
    <n v="0"/>
    <m/>
  </r>
  <r>
    <s v="Below the Line"/>
    <x v="2"/>
    <s v=""/>
    <s v="NOM"/>
    <x v="981"/>
    <s v="Coordinador de Multimedia - Bruno Camacho"/>
    <m/>
    <n v="0"/>
    <n v="0"/>
    <n v="0"/>
    <n v="0"/>
    <n v="0"/>
    <n v="0"/>
    <n v="0"/>
    <m/>
    <m/>
    <n v="0"/>
    <n v="0"/>
    <m/>
  </r>
  <r>
    <s v="Below the Line"/>
    <x v="2"/>
    <s v="SHOOT"/>
    <s v="NOM"/>
    <x v="982"/>
    <s v="Shoot"/>
    <m/>
    <n v="50500"/>
    <n v="0"/>
    <n v="50500"/>
    <n v="0"/>
    <n v="50500"/>
    <n v="52500"/>
    <n v="2000"/>
    <m/>
    <m/>
    <n v="50500"/>
    <n v="0"/>
    <m/>
  </r>
  <r>
    <s v="Below the Line"/>
    <x v="2"/>
    <s v=""/>
    <s v="NOM"/>
    <x v="983"/>
    <s v="Prop Manufactur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  <n v="17340.75"/>
    <m/>
    <n v="17340.75"/>
    <n v="0"/>
    <m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2"/>
    <s v=""/>
    <m/>
    <x v="986"/>
    <s v="Expendables Prop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2"/>
    <s v=""/>
    <m/>
    <x v="989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  <m/>
    <m/>
    <n v="6740.63"/>
    <n v="0"/>
    <m/>
  </r>
  <r>
    <s v="Below the Line"/>
    <x v="2"/>
    <s v=""/>
    <m/>
    <x v="992"/>
    <s v="Loss &amp; Damag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  <m/>
    <m/>
    <n v="6740.63"/>
    <n v="0"/>
    <m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  <m/>
    <m/>
    <n v="1298162"/>
    <n v="-120"/>
    <m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  <m/>
    <m/>
    <n v="82878.25"/>
    <n v="0"/>
    <m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  <m/>
    <m/>
    <n v="0"/>
    <n v="0"/>
    <m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  <m/>
    <m/>
    <n v="63598.01"/>
    <n v="0"/>
    <m/>
  </r>
  <r>
    <s v="Below the Line"/>
    <x v="2"/>
    <s v=""/>
    <m/>
    <x v="998"/>
    <s v="Asistente Coordinador de Picture Cars - TBD"/>
    <m/>
    <n v="0"/>
    <n v="0"/>
    <n v="0"/>
    <n v="0"/>
    <n v="0"/>
    <n v="0"/>
    <n v="0"/>
    <m/>
    <m/>
    <n v="0"/>
    <n v="0"/>
    <m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  <m/>
    <m/>
    <n v="19280.239999999998"/>
    <n v="0"/>
    <m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  <m/>
    <m/>
    <n v="706353.75"/>
    <n v="0"/>
    <m/>
  </r>
  <r>
    <s v="Below the Line"/>
    <x v="2"/>
    <s v=""/>
    <m/>
    <x v="1001"/>
    <s v="Picture Cars"/>
    <m/>
    <n v="0"/>
    <n v="0"/>
    <n v="0"/>
    <n v="0"/>
    <n v="0"/>
    <n v="0"/>
    <n v="0"/>
    <m/>
    <m/>
    <n v="0"/>
    <n v="0"/>
    <m/>
  </r>
  <r>
    <s v="Below the Line"/>
    <x v="2"/>
    <s v="SHOOT"/>
    <m/>
    <x v="1002"/>
    <s v="Vehículos ND Gama Baja"/>
    <m/>
    <n v="45000"/>
    <n v="0"/>
    <n v="45000"/>
    <n v="0"/>
    <n v="45000"/>
    <n v="45000"/>
    <n v="0"/>
    <m/>
    <m/>
    <n v="45000"/>
    <n v="0"/>
    <m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  <m/>
    <m/>
    <n v="51800"/>
    <n v="0"/>
    <m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  <m/>
    <m/>
    <n v="96000"/>
    <n v="0"/>
    <m/>
  </r>
  <r>
    <s v="Below the Line"/>
    <x v="2"/>
    <s v="SHOOT"/>
    <m/>
    <x v="1005"/>
    <s v="Vehículos ND Gama Alta"/>
    <m/>
    <n v="67200"/>
    <n v="0"/>
    <n v="67200"/>
    <n v="0"/>
    <n v="67200"/>
    <n v="67200"/>
    <n v="0"/>
    <m/>
    <m/>
    <n v="67200"/>
    <n v="0"/>
    <m/>
  </r>
  <r>
    <s v="Below the Line"/>
    <x v="2"/>
    <s v="SHOOT"/>
    <m/>
    <x v="1006"/>
    <s v="Patrulla Matías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  <m/>
    <m/>
    <n v="28066.87"/>
    <n v="0"/>
    <m/>
  </r>
  <r>
    <s v="Below the Line"/>
    <x v="2"/>
    <s v="SHOOT"/>
    <m/>
    <x v="1009"/>
    <s v="Suburban Guaruras Perla"/>
    <m/>
    <n v="9500"/>
    <n v="0"/>
    <n v="9500"/>
    <n v="0"/>
    <n v="9500"/>
    <n v="9500"/>
    <n v="0"/>
    <m/>
    <m/>
    <n v="9500"/>
    <n v="0"/>
    <m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  <m/>
    <m/>
    <n v="14271.12"/>
    <n v="0"/>
    <m/>
  </r>
  <r>
    <s v="Below the Line"/>
    <x v="2"/>
    <s v="SHOOT"/>
    <m/>
    <x v="1011"/>
    <s v="Auto Ernesto"/>
    <m/>
    <n v="0"/>
    <n v="0"/>
    <n v="0"/>
    <n v="0"/>
    <n v="0"/>
    <n v="12000"/>
    <n v="12000"/>
    <s v="AHORRO POR PP"/>
    <m/>
    <n v="0"/>
    <n v="0"/>
    <m/>
  </r>
  <r>
    <s v="Below the Line"/>
    <x v="2"/>
    <s v="SHOOT"/>
    <m/>
    <x v="1012"/>
    <s v="Camioneta Regina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013"/>
    <s v="Camión Niños Cometa"/>
    <m/>
    <n v="14400"/>
    <n v="0"/>
    <n v="14400"/>
    <n v="0"/>
    <n v="14400"/>
    <n v="14400"/>
    <n v="0"/>
    <m/>
    <m/>
    <n v="14400"/>
    <n v="0"/>
    <m/>
  </r>
  <r>
    <s v="Below the Line"/>
    <x v="2"/>
    <s v="SHOOT"/>
    <m/>
    <x v="1014"/>
    <s v="Camioneta Lemus"/>
    <m/>
    <n v="24000"/>
    <n v="0"/>
    <n v="24000"/>
    <n v="0"/>
    <n v="24000"/>
    <n v="12000"/>
    <n v="-12000"/>
    <m/>
    <m/>
    <n v="24000"/>
    <n v="0"/>
    <m/>
  </r>
  <r>
    <s v="Below the Line"/>
    <x v="2"/>
    <s v="SHOOT"/>
    <m/>
    <x v="1015"/>
    <s v="Jeep Violeta Fiesta Ranchera"/>
    <m/>
    <n v="25200"/>
    <n v="0"/>
    <n v="25200"/>
    <n v="0"/>
    <n v="25200"/>
    <n v="25200"/>
    <n v="0"/>
    <m/>
    <m/>
    <n v="25200"/>
    <n v="0"/>
    <m/>
  </r>
  <r>
    <s v="Below the Line"/>
    <x v="2"/>
    <s v="SHOOT"/>
    <m/>
    <x v="1016"/>
    <s v="Suburban El Manantial"/>
    <m/>
    <n v="0"/>
    <n v="0"/>
    <n v="0"/>
    <n v="0"/>
    <n v="0"/>
    <n v="24000"/>
    <n v="24000"/>
    <m/>
    <m/>
    <n v="0"/>
    <n v="0"/>
    <m/>
  </r>
  <r>
    <s v="Below the Line"/>
    <x v="2"/>
    <s v="SHOOT"/>
    <m/>
    <x v="1017"/>
    <s v="Camioneta Jimena"/>
    <m/>
    <n v="0"/>
    <n v="0"/>
    <n v="0"/>
    <n v="0"/>
    <n v="0"/>
    <n v="56000"/>
    <n v="56000"/>
    <s v="AHORRO POR PP"/>
    <m/>
    <n v="0"/>
    <n v="0"/>
    <m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  <m/>
    <m/>
    <n v="72234.490000000005"/>
    <n v="0"/>
    <m/>
  </r>
  <r>
    <s v="Below the Line"/>
    <x v="2"/>
    <s v="SHOOT"/>
    <m/>
    <x v="1019"/>
    <s v="Camioneta Matías"/>
    <m/>
    <n v="0"/>
    <n v="0"/>
    <n v="0"/>
    <n v="0"/>
    <n v="0"/>
    <n v="70000"/>
    <n v="70000"/>
    <s v="AHORRO POR PP"/>
    <m/>
    <n v="0"/>
    <n v="0"/>
    <m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  <m/>
    <m/>
    <n v="48987.22"/>
    <n v="0"/>
    <m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  <m/>
    <m/>
    <n v="102694.05"/>
    <n v="0"/>
    <m/>
  </r>
  <r>
    <s v="Below the Line"/>
    <x v="2"/>
    <s v="SHOOT"/>
    <m/>
    <x v="1022"/>
    <s v="Comisión OAD"/>
    <m/>
    <n v="55000"/>
    <n v="0"/>
    <n v="55000"/>
    <n v="0"/>
    <n v="55000"/>
    <n v="0"/>
    <n v="-55000"/>
    <m/>
    <m/>
    <n v="55000"/>
    <n v="0"/>
    <m/>
  </r>
  <r>
    <s v="Below the Line"/>
    <x v="1"/>
    <m/>
    <m/>
    <x v="1023"/>
    <s v="WRANGLERS ANIMALES"/>
    <m/>
    <n v="98000"/>
    <n v="0"/>
    <n v="98000"/>
    <n v="0"/>
    <n v="98000"/>
    <n v="63600"/>
    <n v="-34400"/>
    <m/>
    <m/>
    <n v="98000"/>
    <n v="0"/>
    <m/>
  </r>
  <r>
    <s v="Below the Line"/>
    <x v="2"/>
    <s v=""/>
    <m/>
    <x v="1024"/>
    <s v="Animal Wrangler - Rodrigo Hernández"/>
    <m/>
    <n v="0"/>
    <n v="0"/>
    <n v="0"/>
    <n v="0"/>
    <n v="0"/>
    <n v="0"/>
    <n v="0"/>
    <m/>
    <m/>
    <n v="0"/>
    <n v="0"/>
    <m/>
  </r>
  <r>
    <s v="Below the Line"/>
    <x v="2"/>
    <s v="PREP"/>
    <m/>
    <x v="1025"/>
    <s v="Prep"/>
    <m/>
    <n v="10000"/>
    <n v="0"/>
    <n v="10000"/>
    <n v="0"/>
    <n v="10000"/>
    <n v="10000"/>
    <n v="0"/>
    <m/>
    <m/>
    <n v="10000"/>
    <n v="0"/>
    <m/>
  </r>
  <r>
    <s v="Below the Line"/>
    <x v="2"/>
    <s v="SHOOT"/>
    <m/>
    <x v="1026"/>
    <s v="Arete"/>
    <m/>
    <n v="88000"/>
    <n v="0"/>
    <n v="88000"/>
    <n v="0"/>
    <n v="88000"/>
    <n v="53600"/>
    <n v="-34400"/>
    <m/>
    <m/>
    <n v="88000"/>
    <n v="0"/>
    <m/>
  </r>
  <r>
    <s v="Below the Line"/>
    <x v="1"/>
    <m/>
    <m/>
    <x v="1027"/>
    <s v="ANIMALES EN ESCENA"/>
    <m/>
    <n v="411050"/>
    <n v="0"/>
    <n v="411050"/>
    <n v="0"/>
    <n v="411050"/>
    <n v="303850"/>
    <n v="-107200"/>
    <m/>
    <m/>
    <n v="410930"/>
    <n v="-120"/>
    <m/>
  </r>
  <r>
    <s v="Below the Line"/>
    <x v="2"/>
    <s v=""/>
    <m/>
    <x v="1028"/>
    <s v="Caballos Gabriel/Jimena/Matías/Violeta"/>
    <m/>
    <n v="0"/>
    <n v="0"/>
    <n v="0"/>
    <n v="0"/>
    <n v="0"/>
    <n v="0"/>
    <n v="0"/>
    <m/>
    <m/>
    <n v="0"/>
    <n v="0"/>
    <m/>
  </r>
  <r>
    <s v="Below the Line"/>
    <x v="2"/>
    <s v="SHOOT"/>
    <m/>
    <x v="1029"/>
    <s v="Caballo Gabriel"/>
    <m/>
    <n v="58120"/>
    <n v="0"/>
    <n v="58120"/>
    <m/>
    <n v="58120"/>
    <n v="30000"/>
    <n v="-28120"/>
    <m/>
    <m/>
    <n v="58000"/>
    <n v="-120"/>
    <m/>
  </r>
  <r>
    <s v="Below the Line"/>
    <x v="2"/>
    <s v="SHOOT"/>
    <m/>
    <x v="1030"/>
    <s v="Caballo Jimena"/>
    <m/>
    <n v="57600"/>
    <n v="0"/>
    <n v="57600"/>
    <n v="0"/>
    <n v="57600"/>
    <n v="30000"/>
    <n v="-27600"/>
    <m/>
    <m/>
    <n v="57600"/>
    <n v="0"/>
    <m/>
  </r>
  <r>
    <s v="Below the Line"/>
    <x v="2"/>
    <s v="SHOOT"/>
    <m/>
    <x v="1031"/>
    <s v="Caballo Matías"/>
    <m/>
    <n v="76800"/>
    <n v="0"/>
    <n v="76800"/>
    <n v="0"/>
    <n v="76800"/>
    <n v="40000"/>
    <n v="-36800"/>
    <m/>
    <m/>
    <n v="76800"/>
    <n v="0"/>
    <m/>
  </r>
  <r>
    <s v="Below the Line"/>
    <x v="2"/>
    <s v="SHOOT"/>
    <m/>
    <x v="1032"/>
    <s v="Caballo Violeta"/>
    <m/>
    <n v="67800"/>
    <n v="0"/>
    <n v="67800"/>
    <n v="0"/>
    <n v="67800"/>
    <n v="40000"/>
    <n v="-27800"/>
    <m/>
    <m/>
    <n v="67800"/>
    <n v="0"/>
    <m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  <m/>
    <m/>
    <n v="68000"/>
    <n v="0"/>
    <m/>
  </r>
  <r>
    <s v="Below the Line"/>
    <x v="2"/>
    <s v="SHOOT"/>
    <m/>
    <x v="1034"/>
    <s v="Caballo Sueño Jimena"/>
    <m/>
    <n v="18000"/>
    <n v="0"/>
    <n v="18000"/>
    <n v="0"/>
    <n v="18000"/>
    <n v="10000"/>
    <n v="-8000"/>
    <m/>
    <m/>
    <n v="18000"/>
    <n v="0"/>
    <m/>
  </r>
  <r>
    <s v="Below the Line"/>
    <x v="2"/>
    <s v=""/>
    <m/>
    <x v="1035"/>
    <s v="Animales en escena "/>
    <m/>
    <n v="0"/>
    <n v="0"/>
    <n v="0"/>
    <n v="0"/>
    <n v="0"/>
    <n v="0"/>
    <n v="0"/>
    <m/>
    <m/>
    <n v="0"/>
    <n v="0"/>
    <m/>
  </r>
  <r>
    <s v="Below the Line"/>
    <x v="2"/>
    <s v="SHOOT"/>
    <m/>
    <x v="1036"/>
    <s v="Canarios Perla"/>
    <m/>
    <n v="6250"/>
    <n v="0"/>
    <n v="6250"/>
    <n v="0"/>
    <n v="6250"/>
    <n v="5250"/>
    <n v="-1000"/>
    <m/>
    <m/>
    <n v="6250"/>
    <n v="0"/>
    <m/>
  </r>
  <r>
    <s v="Below the Line"/>
    <x v="2"/>
    <s v="SHOOT"/>
    <m/>
    <x v="1037"/>
    <s v="Gallinas Granero"/>
    <m/>
    <n v="6080"/>
    <n v="0"/>
    <n v="6080"/>
    <n v="0"/>
    <n v="6080"/>
    <n v="15200"/>
    <n v="9120"/>
    <m/>
    <m/>
    <n v="6080"/>
    <n v="0"/>
    <m/>
  </r>
  <r>
    <s v="Below the Line"/>
    <x v="2"/>
    <s v="SHOOT"/>
    <m/>
    <x v="1038"/>
    <s v="Gansos Lago Manantial"/>
    <m/>
    <n v="0"/>
    <n v="0"/>
    <n v="0"/>
    <n v="0"/>
    <n v="0"/>
    <n v="21000"/>
    <n v="21000"/>
    <m/>
    <m/>
    <n v="0"/>
    <n v="0"/>
    <m/>
  </r>
  <r>
    <s v="Below the Line"/>
    <x v="2"/>
    <s v="SHOOT"/>
    <m/>
    <x v="1039"/>
    <s v="Gatos Veterinaria"/>
    <m/>
    <n v="0"/>
    <n v="0"/>
    <n v="0"/>
    <n v="0"/>
    <n v="0"/>
    <n v="14400"/>
    <n v="14400"/>
    <m/>
    <m/>
    <n v="0"/>
    <n v="0"/>
    <m/>
  </r>
  <r>
    <s v="Below the Line"/>
    <x v="2"/>
    <s v="SHOOT"/>
    <m/>
    <x v="1040"/>
    <s v="Perro Coco"/>
    <m/>
    <n v="5200"/>
    <n v="0"/>
    <n v="5200"/>
    <n v="0"/>
    <n v="5200"/>
    <n v="5200"/>
    <n v="0"/>
    <m/>
    <m/>
    <n v="5200"/>
    <n v="0"/>
    <m/>
  </r>
  <r>
    <s v="Below the Line"/>
    <x v="2"/>
    <s v="SHOOT"/>
    <m/>
    <x v="1041"/>
    <s v="Perros Veterinaria"/>
    <m/>
    <n v="10400"/>
    <n v="0"/>
    <n v="10400"/>
    <n v="0"/>
    <n v="10400"/>
    <n v="15600"/>
    <n v="5200"/>
    <m/>
    <m/>
    <n v="10400"/>
    <n v="0"/>
    <m/>
  </r>
  <r>
    <s v="Below the Line"/>
    <x v="2"/>
    <s v="SHOOT"/>
    <m/>
    <x v="1042"/>
    <s v="Caballos Fiesta Ranchera"/>
    <m/>
    <n v="30400"/>
    <n v="0"/>
    <n v="30400"/>
    <n v="0"/>
    <n v="30400"/>
    <n v="38000"/>
    <n v="7600"/>
    <m/>
    <m/>
    <n v="30400"/>
    <n v="0"/>
    <m/>
  </r>
  <r>
    <s v="Below the Line"/>
    <x v="2"/>
    <s v="SHOOT"/>
    <m/>
    <x v="1043"/>
    <s v="Serpiente"/>
    <m/>
    <n v="6400"/>
    <n v="0"/>
    <n v="6400"/>
    <n v="0"/>
    <n v="6400"/>
    <n v="3200"/>
    <n v="-3200"/>
    <m/>
    <m/>
    <n v="6400"/>
    <n v="0"/>
    <m/>
  </r>
  <r>
    <s v="Below the Line"/>
    <x v="1"/>
    <m/>
    <m/>
    <x v="1044"/>
    <s v="RENTAS PARA VEHICULOS / ANIMALES"/>
    <m/>
    <n v="0"/>
    <n v="0"/>
    <n v="0"/>
    <n v="0"/>
    <n v="0"/>
    <n v="25000"/>
    <n v="25000"/>
    <m/>
    <m/>
    <n v="0"/>
    <n v="0"/>
    <m/>
  </r>
  <r>
    <s v="Below the Line"/>
    <x v="2"/>
    <s v=""/>
    <m/>
    <x v="1045"/>
    <s v="Costo de traslado Animales"/>
    <m/>
    <n v="0"/>
    <n v="0"/>
    <n v="0"/>
    <n v="0"/>
    <n v="0"/>
    <n v="0"/>
    <n v="0"/>
    <m/>
    <m/>
    <n v="0"/>
    <n v="0"/>
    <m/>
  </r>
  <r>
    <s v="Below the Line"/>
    <x v="2"/>
    <s v="ALL SHOW"/>
    <m/>
    <x v="1046"/>
    <s v="MEX - GDL - MEX"/>
    <m/>
    <n v="0"/>
    <n v="0"/>
    <n v="0"/>
    <n v="0"/>
    <n v="0"/>
    <n v="25000"/>
    <n v="25000"/>
    <m/>
    <m/>
    <n v="0"/>
    <n v="0"/>
    <m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  <m/>
    <m/>
    <n v="2962725.3599999985"/>
    <n v="-4340.7870000004768"/>
    <m/>
  </r>
  <r>
    <s v="Below the Line"/>
    <x v="1"/>
    <m/>
    <m/>
    <x v="1048"/>
    <s v="DISEÑADOR DE VESTUARIO"/>
    <m/>
    <n v="382500"/>
    <n v="0"/>
    <n v="382500"/>
    <n v="0"/>
    <n v="382500"/>
    <n v="382500"/>
    <n v="0"/>
    <m/>
    <m/>
    <n v="382500"/>
    <n v="0"/>
    <m/>
  </r>
  <r>
    <s v="Below the Line"/>
    <x v="2"/>
    <s v=""/>
    <m/>
    <x v="1049"/>
    <s v="Diseñadora de Vestuario - Mariana Chavira"/>
    <m/>
    <n v="0"/>
    <n v="0"/>
    <n v="0"/>
    <n v="0"/>
    <n v="0"/>
    <n v="0"/>
    <n v="0"/>
    <m/>
    <m/>
    <n v="0"/>
    <n v="0"/>
    <m/>
  </r>
  <r>
    <s v="Below the Line"/>
    <x v="2"/>
    <s v="PREP"/>
    <m/>
    <x v="1050"/>
    <s v="Prep"/>
    <m/>
    <n v="202500"/>
    <n v="0"/>
    <n v="202500"/>
    <n v="0"/>
    <n v="202500"/>
    <n v="202500"/>
    <n v="0"/>
    <m/>
    <m/>
    <n v="202500"/>
    <n v="0"/>
    <m/>
  </r>
  <r>
    <s v="Below the Line"/>
    <x v="2"/>
    <s v="SHOOT"/>
    <m/>
    <x v="1051"/>
    <s v="Shoot"/>
    <m/>
    <n v="157500"/>
    <n v="0"/>
    <n v="157500"/>
    <n v="0"/>
    <n v="157500"/>
    <n v="157500"/>
    <n v="0"/>
    <m/>
    <m/>
    <n v="157500"/>
    <n v="0"/>
    <m/>
  </r>
  <r>
    <s v="Below the Line"/>
    <x v="2"/>
    <s v="WRAP"/>
    <m/>
    <x v="1052"/>
    <s v="Wrap"/>
    <m/>
    <n v="22500"/>
    <n v="0"/>
    <n v="22500"/>
    <n v="0"/>
    <n v="22500"/>
    <n v="22500"/>
    <n v="0"/>
    <m/>
    <m/>
    <n v="22500"/>
    <n v="0"/>
    <m/>
  </r>
  <r>
    <s v="Below the Line"/>
    <x v="1"/>
    <m/>
    <m/>
    <x v="1053"/>
    <s v="SUPERVISOR VESTUARIO"/>
    <m/>
    <n v="160000"/>
    <n v="0"/>
    <n v="160000"/>
    <n v="0"/>
    <n v="160000"/>
    <n v="160000"/>
    <n v="0"/>
    <m/>
    <m/>
    <n v="160000"/>
    <n v="0"/>
    <m/>
  </r>
  <r>
    <s v="Below the Line"/>
    <x v="2"/>
    <s v=""/>
    <m/>
    <x v="1054"/>
    <s v="Supervisor / Jefa de Vestuario - Erick Diaz"/>
    <m/>
    <n v="0"/>
    <n v="0"/>
    <n v="0"/>
    <n v="0"/>
    <n v="0"/>
    <n v="0"/>
    <n v="0"/>
    <m/>
    <m/>
    <n v="0"/>
    <n v="0"/>
    <m/>
  </r>
  <r>
    <s v="Below the Line"/>
    <x v="2"/>
    <s v="PREP"/>
    <m/>
    <x v="1055"/>
    <s v="Prep"/>
    <m/>
    <n v="70000"/>
    <n v="0"/>
    <n v="70000"/>
    <n v="0"/>
    <n v="70000"/>
    <n v="70000"/>
    <n v="0"/>
    <m/>
    <m/>
    <n v="70000"/>
    <n v="0"/>
    <m/>
  </r>
  <r>
    <s v="Below the Line"/>
    <x v="2"/>
    <s v="SHOOT"/>
    <m/>
    <x v="1056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1057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1058"/>
    <s v="COORDINADOR DE VESTUARIO"/>
    <m/>
    <n v="252000"/>
    <n v="0"/>
    <n v="252000"/>
    <n v="0"/>
    <n v="252000"/>
    <n v="252000"/>
    <n v="0"/>
    <m/>
    <m/>
    <n v="252000"/>
    <n v="0"/>
    <m/>
  </r>
  <r>
    <s v="Below the Line"/>
    <x v="2"/>
    <s v=""/>
    <m/>
    <x v="1059"/>
    <s v="Coordinadora de Vestuario - Jaqueline Delgado"/>
    <m/>
    <n v="0"/>
    <n v="0"/>
    <n v="0"/>
    <n v="0"/>
    <n v="0"/>
    <n v="0"/>
    <n v="0"/>
    <m/>
    <m/>
    <n v="0"/>
    <n v="0"/>
    <m/>
  </r>
  <r>
    <s v="Below the Line"/>
    <x v="2"/>
    <s v="PREP"/>
    <m/>
    <x v="1060"/>
    <s v="Prep"/>
    <m/>
    <n v="126000"/>
    <n v="0"/>
    <n v="126000"/>
    <n v="0"/>
    <n v="126000"/>
    <n v="126000"/>
    <n v="0"/>
    <m/>
    <m/>
    <n v="126000"/>
    <n v="0"/>
    <m/>
  </r>
  <r>
    <s v="Below the Line"/>
    <x v="2"/>
    <s v="SHOOT"/>
    <m/>
    <x v="1061"/>
    <s v="Shoot"/>
    <m/>
    <n v="98000"/>
    <n v="0"/>
    <n v="98000"/>
    <n v="0"/>
    <n v="98000"/>
    <n v="98000"/>
    <n v="0"/>
    <m/>
    <m/>
    <n v="98000"/>
    <n v="0"/>
    <m/>
  </r>
  <r>
    <s v="Below the Line"/>
    <x v="2"/>
    <s v="WRAP"/>
    <m/>
    <x v="1062"/>
    <s v="Wrap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063"/>
    <s v="VESTUARISTA SET"/>
    <m/>
    <n v="121500"/>
    <n v="0"/>
    <n v="121500"/>
    <n v="0"/>
    <n v="121500"/>
    <n v="120000"/>
    <n v="-1500"/>
    <m/>
    <m/>
    <n v="121500"/>
    <n v="0"/>
    <m/>
  </r>
  <r>
    <s v="Below the Line"/>
    <x v="2"/>
    <s v=""/>
    <m/>
    <x v="1064"/>
    <s v="On Set Vestuario - Kristian Rodriguéz"/>
    <m/>
    <n v="0"/>
    <n v="0"/>
    <n v="0"/>
    <n v="0"/>
    <n v="0"/>
    <n v="0"/>
    <n v="0"/>
    <m/>
    <m/>
    <n v="0"/>
    <n v="0"/>
    <m/>
  </r>
  <r>
    <s v="Below the Line"/>
    <x v="2"/>
    <s v="PREP"/>
    <m/>
    <x v="1065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66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067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068"/>
    <s v="On Set de Vestuari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069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070"/>
    <s v="Shoot"/>
    <m/>
    <n v="17500"/>
    <n v="0"/>
    <n v="17500"/>
    <n v="0"/>
    <n v="17500"/>
    <n v="16000"/>
    <n v="-1500"/>
    <m/>
    <m/>
    <n v="17500"/>
    <n v="0"/>
    <m/>
  </r>
  <r>
    <s v="Below the Line"/>
    <x v="2"/>
    <s v="2nd Unit"/>
    <m/>
    <x v="1071"/>
    <s v="Wrap"/>
    <m/>
    <n v="0"/>
    <n v="0"/>
    <n v="0"/>
    <n v="0"/>
    <n v="0"/>
    <n v="0"/>
    <n v="0"/>
    <m/>
    <m/>
    <n v="0"/>
    <n v="0"/>
    <m/>
  </r>
  <r>
    <s v="Below the Line"/>
    <x v="1"/>
    <m/>
    <m/>
    <x v="1072"/>
    <s v="ADICIONALES VESTUARIO (LABOR)"/>
    <m/>
    <n v="318640"/>
    <n v="0"/>
    <n v="318640"/>
    <n v="0"/>
    <n v="318640"/>
    <n v="229000"/>
    <n v="-89640"/>
    <m/>
    <m/>
    <n v="318640"/>
    <n v="0"/>
    <m/>
  </r>
  <r>
    <s v="Below the Line"/>
    <x v="2"/>
    <s v=""/>
    <m/>
    <x v="1073"/>
    <s v="Asistente de vestuario - Magdalena Izquierdo"/>
    <m/>
    <n v="0"/>
    <n v="0"/>
    <n v="0"/>
    <n v="0"/>
    <n v="0"/>
    <n v="0"/>
    <n v="0"/>
    <m/>
    <m/>
    <n v="0"/>
    <n v="0"/>
    <m/>
  </r>
  <r>
    <s v="Below the Line"/>
    <x v="2"/>
    <s v="PREP"/>
    <m/>
    <x v="1074"/>
    <s v="Prep"/>
    <m/>
    <n v="22500"/>
    <n v="0"/>
    <n v="22500"/>
    <n v="0"/>
    <n v="22500"/>
    <n v="22500"/>
    <n v="0"/>
    <m/>
    <m/>
    <n v="22500"/>
    <n v="0"/>
    <m/>
  </r>
  <r>
    <s v="Below the Line"/>
    <x v="2"/>
    <s v="SHOOT"/>
    <m/>
    <x v="1075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s v="NOM"/>
    <x v="1076"/>
    <s v="Wrap"/>
    <m/>
    <n v="22500"/>
    <n v="0"/>
    <n v="22500"/>
    <n v="0"/>
    <n v="22500"/>
    <n v="15000"/>
    <n v="-7500"/>
    <m/>
    <m/>
    <n v="22500"/>
    <n v="0"/>
    <m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  <m/>
    <m/>
    <n v="0"/>
    <n v="0"/>
    <m/>
  </r>
  <r>
    <s v="Below the Line"/>
    <x v="2"/>
    <s v="PREP"/>
    <m/>
    <x v="1078"/>
    <s v="Pre"/>
    <m/>
    <n v="34500"/>
    <n v="0"/>
    <n v="34500"/>
    <n v="0"/>
    <n v="34500"/>
    <n v="34500"/>
    <n v="0"/>
    <m/>
    <m/>
    <n v="34500"/>
    <n v="0"/>
    <m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  <m/>
    <m/>
    <n v="0"/>
    <n v="0"/>
    <m/>
  </r>
  <r>
    <s v="Below the Line"/>
    <x v="2"/>
    <s v="2nd Unit"/>
    <m/>
    <x v="1080"/>
    <s v="Prep"/>
    <m/>
    <n v="10000"/>
    <n v="0"/>
    <n v="10000"/>
    <n v="0"/>
    <n v="10000"/>
    <n v="10000"/>
    <n v="0"/>
    <m/>
    <m/>
    <n v="10000"/>
    <n v="0"/>
    <m/>
  </r>
  <r>
    <s v="Below the Line"/>
    <x v="2"/>
    <s v="2nd Unit"/>
    <m/>
    <x v="1081"/>
    <s v="Shoot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1082"/>
    <s v="Wrap"/>
    <m/>
    <n v="10000"/>
    <n v="0"/>
    <n v="10000"/>
    <n v="0"/>
    <n v="10000"/>
    <n v="10000"/>
    <n v="0"/>
    <m/>
    <m/>
    <n v="10000"/>
    <n v="0"/>
    <m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  <m/>
    <m/>
    <n v="0"/>
    <n v="0"/>
    <m/>
  </r>
  <r>
    <s v="Below the Line"/>
    <x v="2"/>
    <s v="2nd Unit"/>
    <m/>
    <x v="10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m/>
    <x v="108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m/>
    <x v="108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m/>
    <x v="1087"/>
    <s v="Apoyo de vestuario Extra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088"/>
    <s v="Shoot"/>
    <m/>
    <n v="116640"/>
    <n v="0"/>
    <n v="116640"/>
    <n v="0"/>
    <n v="116640"/>
    <n v="34500"/>
    <n v="-82140"/>
    <m/>
    <m/>
    <n v="116640"/>
    <n v="0"/>
    <m/>
  </r>
  <r>
    <s v="Below the Line"/>
    <x v="1"/>
    <m/>
    <m/>
    <x v="1089"/>
    <s v="SASTRE/COSTURERO"/>
    <m/>
    <n v="0"/>
    <n v="0"/>
    <n v="0"/>
    <n v="0"/>
    <n v="0"/>
    <n v="10000"/>
    <n v="10000"/>
    <m/>
    <m/>
    <n v="0"/>
    <n v="0"/>
    <m/>
  </r>
  <r>
    <s v="Below the Line"/>
    <x v="2"/>
    <s v=""/>
    <m/>
    <x v="1090"/>
    <s v="Costurera - TBD"/>
    <m/>
    <n v="0"/>
    <n v="0"/>
    <n v="0"/>
    <n v="0"/>
    <n v="0"/>
    <n v="0"/>
    <n v="0"/>
    <m/>
    <m/>
    <n v="0"/>
    <n v="0"/>
    <m/>
  </r>
  <r>
    <s v="Below the Line"/>
    <x v="2"/>
    <s v="PREP"/>
    <m/>
    <x v="1091"/>
    <s v="Pre"/>
    <m/>
    <n v="0"/>
    <n v="0"/>
    <n v="0"/>
    <n v="0"/>
    <n v="0"/>
    <n v="10000"/>
    <n v="10000"/>
    <m/>
    <m/>
    <n v="0"/>
    <n v="0"/>
    <m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2"/>
    <s v=""/>
    <m/>
    <x v="1093"/>
    <s v="Purchases for Series"/>
    <m/>
    <n v="0"/>
    <n v="0"/>
    <n v="0"/>
    <n v="0"/>
    <n v="0"/>
    <n v="0"/>
    <n v="0"/>
    <m/>
    <m/>
    <n v="0"/>
    <n v="0"/>
    <m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1"/>
    <m/>
    <m/>
    <x v="1095"/>
    <s v="ALMACEN VESTUARIO"/>
    <m/>
    <n v="243950"/>
    <n v="0"/>
    <n v="243950"/>
    <n v="0"/>
    <n v="243950"/>
    <n v="299000"/>
    <n v="55050"/>
    <m/>
    <m/>
    <n v="243950"/>
    <n v="0"/>
    <m/>
  </r>
  <r>
    <s v="Below the Line"/>
    <x v="2"/>
    <s v=""/>
    <m/>
    <x v="1096"/>
    <s v="Renta de bodega Vestuario"/>
    <m/>
    <n v="0"/>
    <n v="0"/>
    <n v="0"/>
    <n v="0"/>
    <n v="0"/>
    <n v="0"/>
    <n v="0"/>
    <m/>
    <m/>
    <n v="0"/>
    <n v="0"/>
    <m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  <m/>
    <m/>
    <n v="99950"/>
    <n v="0"/>
    <m/>
  </r>
  <r>
    <s v="Below the Line"/>
    <x v="2"/>
    <s v=""/>
    <m/>
    <x v="1098"/>
    <s v="Limpieza de bodega"/>
    <m/>
    <n v="0"/>
    <n v="0"/>
    <n v="0"/>
    <n v="0"/>
    <n v="0"/>
    <n v="0"/>
    <n v="0"/>
    <m/>
    <m/>
    <n v="0"/>
    <n v="0"/>
    <m/>
  </r>
  <r>
    <s v="Below the Line"/>
    <x v="2"/>
    <s v="ALL SHOW"/>
    <m/>
    <x v="1099"/>
    <s v="For Series"/>
    <m/>
    <n v="0"/>
    <n v="0"/>
    <n v="0"/>
    <n v="0"/>
    <n v="0"/>
    <n v="15000"/>
    <n v="15000"/>
    <m/>
    <m/>
    <n v="0"/>
    <n v="0"/>
    <m/>
  </r>
  <r>
    <s v="Below the Line"/>
    <x v="2"/>
    <s v=""/>
    <m/>
    <x v="1100"/>
    <s v="Bodeguero - Ricardo Delgado"/>
    <m/>
    <n v="0"/>
    <n v="0"/>
    <n v="0"/>
    <n v="0"/>
    <n v="0"/>
    <n v="0"/>
    <n v="0"/>
    <m/>
    <m/>
    <n v="0"/>
    <n v="0"/>
    <m/>
  </r>
  <r>
    <s v="Below the Line"/>
    <x v="2"/>
    <s v="PREP"/>
    <m/>
    <x v="1101"/>
    <s v="Prep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102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m/>
    <x v="1103"/>
    <s v="Wrap"/>
    <m/>
    <n v="18000"/>
    <n v="0"/>
    <n v="18000"/>
    <n v="0"/>
    <n v="18000"/>
    <n v="18000"/>
    <n v="0"/>
    <m/>
    <m/>
    <n v="18000"/>
    <n v="0"/>
    <m/>
  </r>
  <r>
    <s v="Below the Line"/>
    <x v="1"/>
    <m/>
    <m/>
    <x v="1104"/>
    <s v="PERDIDA&amp;REPARACION VESTUARIO"/>
    <m/>
    <n v="0"/>
    <n v="0"/>
    <n v="0"/>
    <n v="0"/>
    <n v="0"/>
    <n v="20000"/>
    <n v="20000"/>
    <m/>
    <m/>
    <n v="0"/>
    <n v="0"/>
    <m/>
  </r>
  <r>
    <s v="Below the Line"/>
    <x v="2"/>
    <s v=""/>
    <m/>
    <x v="1105"/>
    <s v="L&amp;D"/>
    <m/>
    <n v="0"/>
    <n v="0"/>
    <n v="0"/>
    <n v="0"/>
    <n v="0"/>
    <n v="0"/>
    <n v="0"/>
    <m/>
    <m/>
    <n v="0"/>
    <n v="0"/>
    <m/>
  </r>
  <r>
    <s v="Below the Line"/>
    <x v="2"/>
    <s v="ALL SHOW"/>
    <m/>
    <x v="1106"/>
    <s v="For Series"/>
    <m/>
    <n v="0"/>
    <n v="0"/>
    <n v="0"/>
    <n v="0"/>
    <n v="0"/>
    <n v="20000"/>
    <n v="20000"/>
    <m/>
    <m/>
    <n v="0"/>
    <n v="0"/>
    <m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  <m/>
    <m/>
    <n v="1159255.8799999999"/>
    <n v="-39.222000000067055"/>
    <m/>
  </r>
  <r>
    <s v="Below the Line"/>
    <x v="1"/>
    <m/>
    <m/>
    <x v="1108"/>
    <s v="MAQUILLISTA"/>
    <m/>
    <n v="488100"/>
    <n v="0"/>
    <n v="488100"/>
    <n v="0"/>
    <n v="488100"/>
    <n v="474900"/>
    <n v="-13200"/>
    <m/>
    <m/>
    <n v="488100"/>
    <n v="0"/>
    <m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  <m/>
    <m/>
    <n v="0"/>
    <n v="0"/>
    <m/>
  </r>
  <r>
    <s v="Below the Line"/>
    <x v="2"/>
    <s v="PREP"/>
    <m/>
    <x v="1110"/>
    <s v="Prep"/>
    <m/>
    <n v="147000"/>
    <n v="0"/>
    <n v="147000"/>
    <n v="0"/>
    <n v="147000"/>
    <n v="147000"/>
    <n v="0"/>
    <m/>
    <m/>
    <n v="147000"/>
    <n v="0"/>
    <m/>
  </r>
  <r>
    <s v="Below the Line"/>
    <x v="2"/>
    <s v="SHOOT"/>
    <m/>
    <x v="1111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112"/>
    <s v="Wrap"/>
    <m/>
    <n v="34200"/>
    <n v="0"/>
    <n v="34200"/>
    <n v="0"/>
    <n v="34200"/>
    <n v="21000"/>
    <n v="-13200"/>
    <m/>
    <m/>
    <n v="34200"/>
    <n v="0"/>
    <m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  <m/>
    <m/>
    <n v="0"/>
    <n v="0"/>
    <m/>
  </r>
  <r>
    <s v="Below the Line"/>
    <x v="2"/>
    <s v="PREP"/>
    <m/>
    <x v="1114"/>
    <s v="Prep"/>
    <m/>
    <n v="61500"/>
    <n v="0"/>
    <n v="61500"/>
    <n v="0"/>
    <n v="61500"/>
    <n v="61500"/>
    <n v="0"/>
    <m/>
    <m/>
    <n v="61500"/>
    <n v="0"/>
    <m/>
  </r>
  <r>
    <s v="Below the Line"/>
    <x v="2"/>
    <s v="SHOOT"/>
    <m/>
    <x v="1115"/>
    <s v="Shoot"/>
    <m/>
    <n v="86100"/>
    <n v="0"/>
    <n v="86100"/>
    <n v="0"/>
    <n v="86100"/>
    <n v="86100"/>
    <n v="0"/>
    <m/>
    <m/>
    <n v="86100"/>
    <n v="0"/>
    <m/>
  </r>
  <r>
    <s v="Below the Line"/>
    <x v="2"/>
    <s v="WRAP"/>
    <m/>
    <x v="1116"/>
    <s v="Wrap"/>
    <m/>
    <n v="12300"/>
    <n v="0"/>
    <n v="12300"/>
    <n v="0"/>
    <n v="12300"/>
    <n v="12300"/>
    <n v="0"/>
    <m/>
    <m/>
    <n v="12300"/>
    <n v="0"/>
    <m/>
  </r>
  <r>
    <s v="Below the Line"/>
    <x v="1"/>
    <m/>
    <m/>
    <x v="1117"/>
    <s v="ASISTENTE MAQUILLISTA"/>
    <m/>
    <n v="253400"/>
    <n v="0"/>
    <n v="253400"/>
    <n v="0"/>
    <n v="253400"/>
    <n v="253400"/>
    <n v="0"/>
    <m/>
    <m/>
    <n v="253400"/>
    <n v="0"/>
    <m/>
  </r>
  <r>
    <s v="Below the Line"/>
    <x v="2"/>
    <s v=""/>
    <s v="NOM"/>
    <x v="1118"/>
    <s v="Jefe de Maquillaje - Nicole Bolio"/>
    <m/>
    <n v="0"/>
    <n v="0"/>
    <n v="0"/>
    <n v="0"/>
    <n v="0"/>
    <n v="0"/>
    <n v="0"/>
    <m/>
    <m/>
    <n v="0"/>
    <n v="0"/>
    <m/>
  </r>
  <r>
    <s v="Below the Line"/>
    <x v="2"/>
    <s v="PREP"/>
    <s v="NOM"/>
    <x v="1119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s v="NOM"/>
    <x v="1120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s v="NOM"/>
    <x v="112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2"/>
    <s v="Maquillista - Karen Flores"/>
    <m/>
    <n v="0"/>
    <n v="0"/>
    <n v="0"/>
    <n v="0"/>
    <n v="0"/>
    <n v="0"/>
    <n v="0"/>
    <m/>
    <m/>
    <n v="0"/>
    <n v="0"/>
    <m/>
  </r>
  <r>
    <s v="Below the Line"/>
    <x v="2"/>
    <s v="PREP"/>
    <s v="NOM"/>
    <x v="1123"/>
    <s v="Prep"/>
    <m/>
    <n v="10500"/>
    <n v="0"/>
    <n v="10500"/>
    <n v="0"/>
    <n v="10500"/>
    <n v="10300"/>
    <n v="-200"/>
    <m/>
    <m/>
    <n v="10500"/>
    <n v="0"/>
    <m/>
  </r>
  <r>
    <s v="Below the Line"/>
    <x v="2"/>
    <s v="SHOOT"/>
    <s v="NOM"/>
    <x v="1124"/>
    <s v="Shoot"/>
    <m/>
    <n v="71900"/>
    <n v="0"/>
    <n v="71900"/>
    <n v="0"/>
    <n v="71900"/>
    <n v="72100"/>
    <n v="200"/>
    <m/>
    <m/>
    <n v="71900"/>
    <n v="0"/>
    <m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26"/>
    <s v="Prep"/>
    <m/>
    <n v="8000"/>
    <n v="0"/>
    <n v="8000"/>
    <n v="0"/>
    <n v="8000"/>
    <n v="9000"/>
    <n v="1000"/>
    <m/>
    <m/>
    <n v="8000"/>
    <n v="0"/>
    <m/>
  </r>
  <r>
    <s v="Below the Line"/>
    <x v="2"/>
    <s v="2nd Unit"/>
    <s v="NOM"/>
    <x v="1127"/>
    <s v="Shoot"/>
    <m/>
    <n v="16000"/>
    <n v="0"/>
    <n v="16000"/>
    <n v="0"/>
    <n v="16000"/>
    <n v="18000"/>
    <n v="2000"/>
    <m/>
    <m/>
    <n v="16000"/>
    <n v="0"/>
    <m/>
  </r>
  <r>
    <s v="Below the Line"/>
    <x v="2"/>
    <s v="2nd Unit"/>
    <s v="NOM"/>
    <x v="1128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30"/>
    <s v="Prep"/>
    <m/>
    <n v="9000"/>
    <n v="0"/>
    <n v="9000"/>
    <n v="0"/>
    <n v="9000"/>
    <n v="8000"/>
    <n v="-1000"/>
    <m/>
    <m/>
    <n v="9000"/>
    <n v="0"/>
    <m/>
  </r>
  <r>
    <s v="Below the Line"/>
    <x v="2"/>
    <s v="2nd Unit"/>
    <s v="NOM"/>
    <x v="1131"/>
    <s v="Shoot"/>
    <m/>
    <n v="18000"/>
    <n v="0"/>
    <n v="18000"/>
    <n v="0"/>
    <n v="18000"/>
    <n v="16000"/>
    <n v="-2000"/>
    <m/>
    <m/>
    <n v="18000"/>
    <n v="0"/>
    <m/>
  </r>
  <r>
    <s v="Below the Line"/>
    <x v="2"/>
    <s v="2nd Unit"/>
    <s v="NOM"/>
    <x v="1132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3"/>
    <s v="ESTILISTA"/>
    <m/>
    <n v="120000"/>
    <n v="0"/>
    <n v="120000"/>
    <n v="0"/>
    <n v="120000"/>
    <n v="120000"/>
    <n v="0"/>
    <m/>
    <m/>
    <n v="120000"/>
    <n v="0"/>
    <m/>
  </r>
  <r>
    <s v="Below the Line"/>
    <x v="2"/>
    <s v=""/>
    <m/>
    <x v="1134"/>
    <s v="Jefe de peinados - Carlos López"/>
    <m/>
    <n v="0"/>
    <n v="0"/>
    <n v="0"/>
    <n v="0"/>
    <n v="0"/>
    <n v="0"/>
    <n v="0"/>
    <m/>
    <m/>
    <n v="0"/>
    <n v="0"/>
    <m/>
  </r>
  <r>
    <s v="Below the Line"/>
    <x v="2"/>
    <s v="PREP"/>
    <m/>
    <x v="1135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m/>
    <x v="1136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1137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8"/>
    <s v="ASISTENTE ESTILISTA"/>
    <m/>
    <n v="149400"/>
    <n v="0"/>
    <n v="149400"/>
    <n v="0"/>
    <n v="149400"/>
    <n v="159900"/>
    <n v="10500"/>
    <m/>
    <m/>
    <n v="149400"/>
    <n v="0"/>
    <m/>
  </r>
  <r>
    <s v="Below the Line"/>
    <x v="2"/>
    <s v=""/>
    <m/>
    <x v="1139"/>
    <s v="Asistente de Peinados #1 - Monsterrat Jiménez"/>
    <m/>
    <n v="0"/>
    <n v="0"/>
    <n v="0"/>
    <n v="0"/>
    <n v="0"/>
    <n v="0"/>
    <n v="0"/>
    <m/>
    <m/>
    <n v="0"/>
    <n v="0"/>
    <m/>
  </r>
  <r>
    <s v="Below the Line"/>
    <x v="2"/>
    <s v="PREP"/>
    <m/>
    <x v="1140"/>
    <s v="Prep"/>
    <m/>
    <n v="9300"/>
    <n v="0"/>
    <n v="9300"/>
    <n v="0"/>
    <n v="9300"/>
    <n v="9300"/>
    <n v="0"/>
    <m/>
    <m/>
    <n v="9300"/>
    <n v="0"/>
    <m/>
  </r>
  <r>
    <s v="Below the Line"/>
    <x v="2"/>
    <s v="SHOOT"/>
    <m/>
    <x v="1141"/>
    <s v="Shoot"/>
    <m/>
    <n v="65100"/>
    <n v="0"/>
    <n v="65100"/>
    <n v="0"/>
    <n v="65100"/>
    <n v="65100"/>
    <n v="0"/>
    <m/>
    <m/>
    <n v="65100"/>
    <n v="0"/>
    <m/>
  </r>
  <r>
    <s v="Below the Line"/>
    <x v="2"/>
    <s v="WRAP"/>
    <m/>
    <x v="1142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  <m/>
    <m/>
    <n v="0"/>
    <n v="0"/>
    <m/>
  </r>
  <r>
    <s v="Below the Line"/>
    <x v="2"/>
    <s v="2nd Unit"/>
    <m/>
    <x v="1144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5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  <m/>
    <m/>
    <n v="0"/>
    <n v="0"/>
    <m/>
  </r>
  <r>
    <s v="Below the Line"/>
    <x v="2"/>
    <s v="2nd Unit"/>
    <m/>
    <x v="1147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8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9"/>
    <s v="Refuerzos maquillaje y peinado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150"/>
    <s v="Shoot"/>
    <m/>
    <n v="27000"/>
    <n v="0"/>
    <n v="27000"/>
    <n v="0"/>
    <n v="27000"/>
    <n v="37500"/>
    <n v="10500"/>
    <m/>
    <m/>
    <n v="27000"/>
    <n v="0"/>
    <m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2"/>
    <s v=""/>
    <m/>
    <x v="1152"/>
    <s v="Purchas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1"/>
    <m/>
    <m/>
    <x v="1154"/>
    <s v="EXPENDABLES"/>
    <m/>
    <n v="12757.96"/>
    <n v="0"/>
    <n v="12757.96"/>
    <n v="0"/>
    <n v="12757.96"/>
    <n v="80000"/>
    <n v="67242.040000000008"/>
    <m/>
    <m/>
    <n v="12757.96"/>
    <n v="0"/>
    <m/>
  </r>
  <r>
    <s v="Below the Line"/>
    <x v="2"/>
    <s v=""/>
    <m/>
    <x v="1155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  <m/>
    <m/>
    <n v="12757.96"/>
    <n v="0"/>
    <m/>
  </r>
  <r>
    <s v="Below the Line"/>
    <x v="0"/>
    <m/>
    <m/>
    <x v="1157"/>
    <s v="GRIP"/>
    <m/>
    <n v="363183.2"/>
    <n v="0"/>
    <n v="363183.2"/>
    <n v="0"/>
    <n v="363183.2"/>
    <n v="630386.75"/>
    <n v="267203.55000000005"/>
    <m/>
    <m/>
    <n v="363183.2"/>
    <n v="0"/>
    <m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  <m/>
    <m/>
    <n v="345940"/>
    <n v="0"/>
    <m/>
  </r>
  <r>
    <s v="Below the Line"/>
    <x v="2"/>
    <s v=""/>
    <s v="NOM"/>
    <x v="1159"/>
    <s v="Ayudantes de Tramoya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0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2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63"/>
    <s v="Ayudantes de Tramoya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4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6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67"/>
    <s v="Ayudantes de Tramoya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8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  <m/>
    <m/>
    <n v="100198.2"/>
    <n v="0"/>
    <m/>
  </r>
  <r>
    <s v="Below the Line"/>
    <x v="2"/>
    <s v="WRAP"/>
    <s v="NOM"/>
    <x v="1170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2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  <m/>
    <m/>
    <n v="2385.8000000000002"/>
    <n v="0"/>
    <m/>
  </r>
  <r>
    <s v="Below the Line"/>
    <x v="2"/>
    <s v="2nd Unit"/>
    <s v="NOM"/>
    <x v="1174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6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  <m/>
    <m/>
    <n v="28634"/>
    <n v="0"/>
    <m/>
  </r>
  <r>
    <s v="Below the Line"/>
    <x v="2"/>
    <s v="2nd Unit"/>
    <s v="NOM"/>
    <x v="1178"/>
    <s v="Wrap"/>
    <m/>
    <n v="0"/>
    <n v="0"/>
    <n v="0"/>
    <n v="0"/>
    <n v="0"/>
    <n v="7158.9"/>
    <n v="7158.9"/>
    <m/>
    <m/>
    <n v="0"/>
    <n v="0"/>
    <m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2"/>
    <s v=""/>
    <m/>
    <x v="1180"/>
    <s v="Riggs"/>
    <m/>
    <n v="0"/>
    <n v="0"/>
    <n v="0"/>
    <n v="0"/>
    <n v="0"/>
    <n v="0"/>
    <n v="0"/>
    <m/>
    <m/>
    <n v="0"/>
    <n v="0"/>
    <m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1"/>
    <m/>
    <m/>
    <x v="1182"/>
    <s v="EXPENDABLES"/>
    <m/>
    <n v="7700"/>
    <n v="0"/>
    <n v="7700"/>
    <n v="0"/>
    <n v="7700"/>
    <n v="78750"/>
    <n v="71050"/>
    <m/>
    <m/>
    <n v="7700"/>
    <n v="0"/>
    <m/>
  </r>
  <r>
    <s v="Below the Line"/>
    <x v="2"/>
    <s v=""/>
    <m/>
    <x v="1183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184"/>
    <s v="Expendables de tramoya"/>
    <m/>
    <n v="7700"/>
    <n v="0"/>
    <n v="7700"/>
    <n v="0"/>
    <n v="7700"/>
    <n v="78750"/>
    <n v="71050"/>
    <m/>
    <m/>
    <n v="7700"/>
    <n v="0"/>
    <m/>
  </r>
  <r>
    <s v="Below the Line"/>
    <x v="1"/>
    <m/>
    <m/>
    <x v="1185"/>
    <s v="PERDIDA&amp;REPARACION GRIP"/>
    <m/>
    <n v="0"/>
    <n v="0"/>
    <n v="0"/>
    <n v="0"/>
    <n v="0"/>
    <n v="80000"/>
    <n v="80000"/>
    <m/>
    <m/>
    <n v="0"/>
    <n v="0"/>
    <m/>
  </r>
  <r>
    <s v="Below the Line"/>
    <x v="2"/>
    <s v="Fringes"/>
    <m/>
    <x v="1186"/>
    <s v="Fringes"/>
    <m/>
    <n v="0"/>
    <n v="0"/>
    <n v="0"/>
    <n v="0"/>
    <n v="0"/>
    <n v="0"/>
    <n v="0"/>
    <m/>
    <m/>
    <n v="0"/>
    <n v="0"/>
    <m/>
  </r>
  <r>
    <s v="Below the Line"/>
    <x v="2"/>
    <s v=""/>
    <m/>
    <x v="1187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188"/>
    <s v="Tramoya"/>
    <m/>
    <n v="0"/>
    <n v="0"/>
    <n v="0"/>
    <n v="0"/>
    <n v="0"/>
    <n v="80000"/>
    <n v="80000"/>
    <m/>
    <m/>
    <n v="0"/>
    <n v="0"/>
    <m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  <m/>
    <m/>
    <n v="1170276.94"/>
    <n v="0"/>
    <m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  <m/>
    <m/>
    <n v="179527.93"/>
    <n v="0"/>
    <m/>
  </r>
  <r>
    <s v="Below the Line"/>
    <x v="2"/>
    <s v=""/>
    <s v="NOM"/>
    <x v="1191"/>
    <s v="Gaffer - Victor Rocha"/>
    <m/>
    <n v="0"/>
    <n v="0"/>
    <n v="0"/>
    <n v="0"/>
    <n v="0"/>
    <n v="0"/>
    <n v="0"/>
    <m/>
    <m/>
    <n v="0"/>
    <n v="0"/>
    <m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  <m/>
    <m/>
    <n v="17622.150000000001"/>
    <n v="0"/>
    <m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  <m/>
    <m/>
    <n v="123354.12999999999"/>
    <n v="0"/>
    <m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  <m/>
    <m/>
    <n v="0"/>
    <n v="0"/>
    <m/>
  </r>
  <r>
    <s v="Below the Line"/>
    <x v="2"/>
    <s v=""/>
    <s v="NOM"/>
    <x v="1195"/>
    <s v="Gaff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96"/>
    <s v="Prep"/>
    <m/>
    <n v="0"/>
    <n v="0"/>
    <n v="0"/>
    <n v="0"/>
    <n v="0"/>
    <n v="8811.08"/>
    <n v="8811.08"/>
    <m/>
    <m/>
    <n v="0"/>
    <n v="0"/>
    <m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  <m/>
    <m/>
    <n v="38551.65"/>
    <n v="0"/>
    <m/>
  </r>
  <r>
    <s v="Below the Line"/>
    <x v="2"/>
    <s v="2nd Unit"/>
    <s v="NOM"/>
    <x v="1198"/>
    <s v="Wrap"/>
    <m/>
    <n v="0"/>
    <n v="0"/>
    <n v="0"/>
    <n v="0"/>
    <n v="0"/>
    <n v="8811.08"/>
    <n v="8811.08"/>
    <m/>
    <m/>
    <n v="0"/>
    <n v="0"/>
    <m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  <m/>
    <m/>
    <n v="420036.00999999989"/>
    <n v="0"/>
    <m/>
  </r>
  <r>
    <s v="Below the Line"/>
    <x v="2"/>
    <s v=""/>
    <s v="NOM"/>
    <x v="1200"/>
    <s v="Jefe de Eléctrico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1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  <m/>
    <m/>
    <n v="100205.04"/>
    <n v="0"/>
    <m/>
  </r>
  <r>
    <s v="Below the Line"/>
    <x v="2"/>
    <s v="WRAP"/>
    <s v="NOM"/>
    <x v="1203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4"/>
    <s v="Ayudante de Eléctrico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5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  <m/>
    <m/>
    <n v="78737.399999999994"/>
    <n v="0"/>
    <m/>
  </r>
  <r>
    <s v="Below the Line"/>
    <x v="2"/>
    <s v="WRAP"/>
    <s v="NOM"/>
    <x v="1207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8"/>
    <s v="Ayudante Eléctrico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9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  <s v="Impacto por Staff adicional Split uNIT"/>
    <m/>
    <n v="104975.20000000001"/>
    <n v="0"/>
    <m/>
  </r>
  <r>
    <s v="Below the Line"/>
    <x v="2"/>
    <s v="WRAP"/>
    <s v="NOM"/>
    <x v="1211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12"/>
    <s v="Jefe de Eléctric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3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  <m/>
    <m/>
    <n v="57263.6"/>
    <n v="0"/>
    <m/>
  </r>
  <r>
    <s v="Below the Line"/>
    <x v="2"/>
    <s v="2nd Unit"/>
    <s v="NOM"/>
    <x v="121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7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  <m/>
    <m/>
    <n v="33405.97"/>
    <n v="0"/>
    <m/>
  </r>
  <r>
    <s v="Below the Line"/>
    <x v="2"/>
    <s v="2nd Unit"/>
    <s v="NOM"/>
    <x v="121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1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  <m/>
    <m/>
    <n v="31134"/>
    <n v="0"/>
    <m/>
  </r>
  <r>
    <s v="Below the Line"/>
    <x v="2"/>
    <s v="2nd Unit"/>
    <s v="NOM"/>
    <x v="1223"/>
    <s v="Wrap"/>
    <m/>
    <n v="0"/>
    <n v="0"/>
    <n v="0"/>
    <n v="0"/>
    <n v="0"/>
    <n v="0"/>
    <n v="0"/>
    <m/>
    <m/>
    <n v="0"/>
    <n v="0"/>
    <m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  <m/>
    <m/>
    <n v="354754.98"/>
    <n v="0"/>
    <m/>
  </r>
  <r>
    <s v="Below the Line"/>
    <x v="2"/>
    <s v=""/>
    <s v="NOM"/>
    <x v="1225"/>
    <s v="Encargado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26"/>
    <s v="Prep"/>
    <m/>
    <n v="0"/>
    <n v="0"/>
    <n v="0"/>
    <n v="0"/>
    <n v="0"/>
    <n v="6037.5"/>
    <n v="6037.5"/>
    <m/>
    <m/>
    <n v="0"/>
    <n v="0"/>
    <m/>
  </r>
  <r>
    <s v="Below the Line"/>
    <x v="2"/>
    <s v="SHOOT"/>
    <s v="NOM"/>
    <x v="1227"/>
    <s v="Shoot"/>
    <m/>
    <n v="84490"/>
    <n v="0"/>
    <n v="84490"/>
    <n v="0"/>
    <n v="84490"/>
    <n v="84525"/>
    <n v="35"/>
    <m/>
    <m/>
    <n v="84490"/>
    <n v="0"/>
    <m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  <m/>
    <m/>
    <n v="4023.32"/>
    <n v="0"/>
    <m/>
  </r>
  <r>
    <s v="Below the Line"/>
    <x v="2"/>
    <s v=""/>
    <s v="NOM"/>
    <x v="1229"/>
    <s v="Ayudante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0"/>
    <s v="Prep"/>
    <m/>
    <n v="3258.33"/>
    <n v="0"/>
    <n v="3258.33"/>
    <n v="0"/>
    <n v="3258.33"/>
    <n v="4887.5"/>
    <n v="1629.17"/>
    <m/>
    <m/>
    <n v="3258.33"/>
    <n v="0"/>
    <m/>
  </r>
  <r>
    <s v="Below the Line"/>
    <x v="2"/>
    <s v="SHOOT"/>
    <s v="NOM"/>
    <x v="1231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32"/>
    <s v="Wrap"/>
    <m/>
    <n v="3258.33"/>
    <n v="0"/>
    <n v="3258.33"/>
    <n v="0"/>
    <n v="3258.33"/>
    <n v="4887.5"/>
    <n v="1629.17"/>
    <m/>
    <m/>
    <n v="3258.33"/>
    <n v="0"/>
    <m/>
  </r>
  <r>
    <s v="Below the Line"/>
    <x v="2"/>
    <s v=""/>
    <s v="NOM"/>
    <x v="1233"/>
    <s v="Encargado Asteras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4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5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36"/>
    <s v="Wrap"/>
    <m/>
    <n v="3450"/>
    <n v="0"/>
    <n v="3450"/>
    <n v="0"/>
    <n v="3450"/>
    <n v="5175"/>
    <n v="1725"/>
    <m/>
    <m/>
    <n v="3450"/>
    <n v="0"/>
    <m/>
  </r>
  <r>
    <s v="Below the Line"/>
    <x v="2"/>
    <s v=""/>
    <s v="NOM"/>
    <x v="1237"/>
    <s v="Skypanne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8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9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40"/>
    <s v="Wrap"/>
    <m/>
    <n v="8450"/>
    <n v="0"/>
    <n v="8450"/>
    <n v="0"/>
    <n v="8450"/>
    <n v="5175"/>
    <n v="-3275"/>
    <m/>
    <m/>
    <n v="8450"/>
    <n v="0"/>
    <m/>
  </r>
  <r>
    <s v="Below the Line"/>
    <x v="2"/>
    <s v=""/>
    <s v="NOM"/>
    <x v="1241"/>
    <s v="Encargado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2"/>
    <s v="Prep"/>
    <m/>
    <n v="0"/>
    <n v="0"/>
    <n v="0"/>
    <n v="0"/>
    <n v="0"/>
    <n v="6037.5"/>
    <n v="6037.5"/>
    <m/>
    <m/>
    <n v="0"/>
    <n v="0"/>
    <m/>
  </r>
  <r>
    <s v="Below the Line"/>
    <x v="2"/>
    <s v="2nd Unit"/>
    <s v="NOM"/>
    <x v="1243"/>
    <s v="Shoot"/>
    <m/>
    <n v="0"/>
    <n v="0"/>
    <n v="0"/>
    <n v="0"/>
    <n v="0"/>
    <n v="24150"/>
    <n v="24150"/>
    <m/>
    <m/>
    <n v="0"/>
    <n v="0"/>
    <m/>
  </r>
  <r>
    <s v="Below the Line"/>
    <x v="2"/>
    <s v="2nd Unit"/>
    <s v="NOM"/>
    <x v="1244"/>
    <s v="Wrap"/>
    <m/>
    <n v="0"/>
    <n v="0"/>
    <n v="0"/>
    <n v="0"/>
    <n v="0"/>
    <n v="6037.5"/>
    <n v="6037.5"/>
    <m/>
    <m/>
    <n v="0"/>
    <n v="0"/>
    <m/>
  </r>
  <r>
    <s v="Below the Line"/>
    <x v="2"/>
    <s v=""/>
    <s v="NOM"/>
    <x v="1245"/>
    <s v="Asistente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6"/>
    <s v="Prep"/>
    <m/>
    <n v="0"/>
    <n v="0"/>
    <n v="0"/>
    <n v="0"/>
    <n v="0"/>
    <n v="4887.5"/>
    <n v="4887.5"/>
    <m/>
    <m/>
    <n v="0"/>
    <n v="0"/>
    <m/>
  </r>
  <r>
    <s v="Below the Line"/>
    <x v="2"/>
    <s v="2nd Unit"/>
    <s v="NOM"/>
    <x v="1247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s v="NOM"/>
    <x v="1248"/>
    <s v="Wrap"/>
    <m/>
    <n v="0"/>
    <n v="0"/>
    <n v="0"/>
    <n v="0"/>
    <n v="0"/>
    <n v="4887.5"/>
    <n v="4887.5"/>
    <m/>
    <m/>
    <n v="0"/>
    <n v="0"/>
    <m/>
  </r>
  <r>
    <s v="Below the Line"/>
    <x v="2"/>
    <s v=""/>
    <s v="NOM"/>
    <x v="1249"/>
    <s v="Encargado Asteras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0"/>
    <s v="Prep"/>
    <m/>
    <n v="6900"/>
    <n v="0"/>
    <n v="6900"/>
    <n v="0"/>
    <n v="6900"/>
    <n v="5175"/>
    <n v="-1725"/>
    <m/>
    <m/>
    <n v="6900"/>
    <n v="0"/>
    <m/>
  </r>
  <r>
    <s v="Below the Line"/>
    <x v="2"/>
    <s v="2nd Unit"/>
    <s v="NOM"/>
    <x v="1251"/>
    <s v="Shoot"/>
    <m/>
    <n v="20700"/>
    <n v="0"/>
    <n v="20700"/>
    <n v="0"/>
    <n v="20700"/>
    <n v="20700"/>
    <n v="0"/>
    <m/>
    <m/>
    <n v="20700"/>
    <n v="0"/>
    <m/>
  </r>
  <r>
    <s v="Below the Line"/>
    <x v="2"/>
    <s v="2nd Unit"/>
    <s v="NOM"/>
    <x v="1252"/>
    <s v="Wrap"/>
    <m/>
    <n v="0"/>
    <n v="0"/>
    <n v="0"/>
    <n v="0"/>
    <n v="0"/>
    <n v="5175"/>
    <n v="5175"/>
    <m/>
    <m/>
    <n v="0"/>
    <n v="0"/>
    <m/>
  </r>
  <r>
    <s v="Below the Line"/>
    <x v="2"/>
    <s v=""/>
    <s v="NOM"/>
    <x v="1253"/>
    <s v="Skypanne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4"/>
    <s v="Prep"/>
    <m/>
    <n v="0"/>
    <n v="0"/>
    <n v="0"/>
    <n v="0"/>
    <n v="0"/>
    <n v="5175"/>
    <n v="5175"/>
    <m/>
    <m/>
    <n v="0"/>
    <n v="0"/>
    <m/>
  </r>
  <r>
    <s v="Below the Line"/>
    <x v="2"/>
    <s v="2nd Unit"/>
    <s v="NOM"/>
    <x v="1255"/>
    <s v="Shoot"/>
    <m/>
    <n v="0"/>
    <n v="0"/>
    <n v="0"/>
    <n v="0"/>
    <n v="0"/>
    <n v="20700"/>
    <n v="20700"/>
    <m/>
    <m/>
    <n v="0"/>
    <n v="0"/>
    <m/>
  </r>
  <r>
    <s v="Below the Line"/>
    <x v="2"/>
    <s v="2nd Unit"/>
    <s v="NOM"/>
    <x v="1256"/>
    <s v="Wrap"/>
    <m/>
    <n v="0"/>
    <n v="0"/>
    <n v="0"/>
    <n v="0"/>
    <n v="0"/>
    <n v="5175"/>
    <n v="5175"/>
    <m/>
    <m/>
    <n v="0"/>
    <n v="0"/>
    <m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  <m/>
    <m/>
    <n v="71683.320000000007"/>
    <n v="0"/>
    <m/>
  </r>
  <r>
    <s v="Below the Line"/>
    <x v="2"/>
    <s v=""/>
    <m/>
    <x v="1258"/>
    <s v="Plantero - TBD"/>
    <m/>
    <n v="0"/>
    <n v="0"/>
    <n v="0"/>
    <n v="0"/>
    <n v="0"/>
    <n v="0"/>
    <n v="0"/>
    <m/>
    <m/>
    <n v="0"/>
    <n v="0"/>
    <m/>
  </r>
  <r>
    <s v="Below the Line"/>
    <x v="2"/>
    <s v="PREP"/>
    <m/>
    <x v="1259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0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  <m/>
    <m/>
    <n v="3258.32"/>
    <n v="0"/>
    <m/>
  </r>
  <r>
    <s v="Below the Line"/>
    <x v="2"/>
    <s v=""/>
    <m/>
    <x v="1262"/>
    <s v="Plantero Base Camp - TBD"/>
    <m/>
    <n v="0"/>
    <n v="0"/>
    <n v="0"/>
    <n v="0"/>
    <n v="0"/>
    <n v="0"/>
    <n v="0"/>
    <m/>
    <m/>
    <n v="0"/>
    <n v="0"/>
    <m/>
  </r>
  <r>
    <s v="Below the Line"/>
    <x v="2"/>
    <s v="PREP"/>
    <m/>
    <x v="1263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4"/>
    <s v="Shoot"/>
    <m/>
    <n v="0"/>
    <n v="0"/>
    <n v="0"/>
    <n v="0"/>
    <n v="0"/>
    <n v="19550"/>
    <n v="19550"/>
    <m/>
    <m/>
    <n v="0"/>
    <n v="0"/>
    <m/>
  </r>
  <r>
    <s v="Below the Line"/>
    <x v="2"/>
    <s v="WRAP"/>
    <m/>
    <x v="1265"/>
    <s v="Wrap"/>
    <m/>
    <n v="0"/>
    <n v="0"/>
    <n v="0"/>
    <n v="0"/>
    <n v="0"/>
    <n v="4887.5"/>
    <n v="4887.5"/>
    <m/>
    <m/>
    <n v="0"/>
    <n v="0"/>
    <m/>
  </r>
  <r>
    <s v="Below the Line"/>
    <x v="2"/>
    <s v=""/>
    <m/>
    <x v="1266"/>
    <s v="Plantero Segunda Unidad- TBD"/>
    <m/>
    <n v="0"/>
    <n v="0"/>
    <n v="0"/>
    <n v="0"/>
    <n v="0"/>
    <n v="0"/>
    <n v="0"/>
    <m/>
    <m/>
    <n v="0"/>
    <n v="0"/>
    <m/>
  </r>
  <r>
    <s v="Below the Line"/>
    <x v="2"/>
    <s v="2nd Unit"/>
    <m/>
    <x v="1267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1268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m/>
    <x v="1269"/>
    <s v="Wrap"/>
    <m/>
    <n v="0"/>
    <n v="0"/>
    <n v="0"/>
    <n v="0"/>
    <n v="0"/>
    <n v="0"/>
    <n v="0"/>
    <m/>
    <m/>
    <n v="0"/>
    <n v="0"/>
    <m/>
  </r>
  <r>
    <s v="Below the Line"/>
    <x v="1"/>
    <m/>
    <m/>
    <x v="1270"/>
    <s v="EXPENDABLES"/>
    <m/>
    <n v="69141.37"/>
    <n v="0"/>
    <n v="69141.37"/>
    <n v="0"/>
    <n v="69141.37"/>
    <n v="235000"/>
    <n v="165858.63"/>
    <m/>
    <m/>
    <n v="69141.37"/>
    <n v="0"/>
    <m/>
  </r>
  <r>
    <s v="Below the Line"/>
    <x v="2"/>
    <s v=""/>
    <m/>
    <x v="1271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272"/>
    <s v="Filtros"/>
    <m/>
    <n v="11296.55"/>
    <n v="0"/>
    <n v="11296.55"/>
    <n v="0"/>
    <n v="11296.55"/>
    <n v="115000"/>
    <n v="103703.45"/>
    <m/>
    <m/>
    <n v="11296.55"/>
    <n v="0"/>
    <m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  <m/>
    <m/>
    <n v="57844.82"/>
    <n v="0"/>
    <m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  <m/>
    <m/>
    <n v="75133.33"/>
    <n v="0"/>
    <m/>
  </r>
  <r>
    <s v="Below the Line"/>
    <x v="2"/>
    <s v=""/>
    <m/>
    <x v="1275"/>
    <s v="Planta Base Camp - Smily"/>
    <m/>
    <n v="0"/>
    <n v="0"/>
    <n v="0"/>
    <n v="0"/>
    <n v="0"/>
    <n v="0"/>
    <n v="0"/>
    <m/>
    <m/>
    <n v="0"/>
    <n v="0"/>
    <m/>
  </r>
  <r>
    <s v="Below the Line"/>
    <x v="2"/>
    <s v="SHOOT"/>
    <s v="BALU"/>
    <x v="1276"/>
    <s v="Shoot"/>
    <m/>
    <n v="20500"/>
    <n v="0"/>
    <n v="20500"/>
    <n v="0"/>
    <n v="20500"/>
    <n v="60000"/>
    <n v="39500"/>
    <m/>
    <m/>
    <n v="20500"/>
    <n v="0"/>
    <m/>
  </r>
  <r>
    <s v="Below the Line"/>
    <x v="2"/>
    <s v=""/>
    <m/>
    <x v="1277"/>
    <s v="Planta Segunda Unidad - Tequila"/>
    <m/>
    <n v="0"/>
    <n v="0"/>
    <n v="0"/>
    <n v="0"/>
    <n v="0"/>
    <n v="0"/>
    <n v="0"/>
    <m/>
    <m/>
    <n v="0"/>
    <n v="0"/>
    <m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  <m/>
    <m/>
    <n v="54633.33"/>
    <n v="0"/>
    <m/>
  </r>
  <r>
    <s v="Below the Line"/>
    <x v="1"/>
    <m/>
    <m/>
    <x v="1279"/>
    <s v="PERDIDA&amp;REPARACION ELECTRICOS"/>
    <m/>
    <n v="0"/>
    <n v="0"/>
    <n v="0"/>
    <n v="0"/>
    <n v="0"/>
    <n v="80000"/>
    <n v="80000"/>
    <m/>
    <m/>
    <n v="0"/>
    <n v="0"/>
    <m/>
  </r>
  <r>
    <s v="Below the Line"/>
    <x v="2"/>
    <s v=""/>
    <m/>
    <x v="128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281"/>
    <s v="Lamparas"/>
    <m/>
    <n v="0"/>
    <n v="0"/>
    <n v="0"/>
    <n v="0"/>
    <n v="0"/>
    <n v="80000"/>
    <n v="80000"/>
    <m/>
    <m/>
    <n v="0"/>
    <n v="0"/>
    <m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  <m/>
    <m/>
    <n v="11595695.200000001"/>
    <n v="0"/>
    <m/>
  </r>
  <r>
    <s v="Below the Line"/>
    <x v="1"/>
    <m/>
    <m/>
    <x v="1283"/>
    <s v="DIRECCION FOTOGRAFICA"/>
    <m/>
    <n v="1003000"/>
    <n v="0"/>
    <n v="1003000"/>
    <n v="0"/>
    <n v="1003000"/>
    <n v="989000"/>
    <n v="-14000"/>
    <m/>
    <m/>
    <n v="1003000"/>
    <n v="0"/>
    <m/>
  </r>
  <r>
    <s v="Below the Line"/>
    <x v="2"/>
    <s v=""/>
    <m/>
    <x v="1284"/>
    <s v="Fotógrafo - Ruy Rodriguez"/>
    <m/>
    <n v="0"/>
    <n v="0"/>
    <n v="0"/>
    <n v="0"/>
    <n v="0"/>
    <n v="0"/>
    <n v="0"/>
    <m/>
    <m/>
    <n v="0"/>
    <n v="0"/>
    <m/>
  </r>
  <r>
    <s v="Below the Line"/>
    <x v="2"/>
    <s v="SOFT"/>
    <m/>
    <x v="1285"/>
    <s v="Soft"/>
    <m/>
    <n v="21000"/>
    <n v="0"/>
    <n v="21000"/>
    <n v="0"/>
    <n v="21000"/>
    <n v="21000"/>
    <n v="0"/>
    <m/>
    <m/>
    <n v="21000"/>
    <n v="0"/>
    <m/>
  </r>
  <r>
    <s v="Below the Line"/>
    <x v="2"/>
    <s v="PREP"/>
    <m/>
    <x v="1286"/>
    <s v="Prep"/>
    <m/>
    <n v="378000"/>
    <n v="0"/>
    <n v="378000"/>
    <n v="0"/>
    <n v="378000"/>
    <n v="378000"/>
    <n v="0"/>
    <m/>
    <m/>
    <n v="378000"/>
    <n v="0"/>
    <m/>
  </r>
  <r>
    <s v="Below the Line"/>
    <x v="2"/>
    <s v="SHOOT"/>
    <m/>
    <x v="1287"/>
    <s v="Shoot"/>
    <m/>
    <n v="367500"/>
    <n v="0"/>
    <n v="367500"/>
    <n v="0"/>
    <n v="367500"/>
    <n v="367500"/>
    <n v="0"/>
    <m/>
    <m/>
    <n v="367500"/>
    <n v="0"/>
    <m/>
  </r>
  <r>
    <s v="Below the Line"/>
    <x v="2"/>
    <s v="WRAP"/>
    <m/>
    <x v="1288"/>
    <s v="Wrap"/>
    <m/>
    <n v="100000"/>
    <n v="0"/>
    <n v="100000"/>
    <n v="0"/>
    <n v="100000"/>
    <n v="100000"/>
    <n v="0"/>
    <m/>
    <m/>
    <n v="100000"/>
    <n v="0"/>
    <m/>
  </r>
  <r>
    <s v="Below the Line"/>
    <x v="2"/>
    <s v=""/>
    <m/>
    <x v="1289"/>
    <s v="Fotógrafo Segunda Unidad - Carlos Davis"/>
    <m/>
    <n v="0"/>
    <n v="0"/>
    <n v="0"/>
    <n v="0"/>
    <n v="0"/>
    <n v="0"/>
    <n v="0"/>
    <m/>
    <m/>
    <n v="0"/>
    <n v="0"/>
    <m/>
  </r>
  <r>
    <s v="Below the Line"/>
    <x v="2"/>
    <s v="2nd Unit"/>
    <m/>
    <x v="1290"/>
    <s v="Prep"/>
    <m/>
    <n v="52500"/>
    <n v="0"/>
    <n v="52500"/>
    <n v="0"/>
    <n v="52500"/>
    <n v="52500"/>
    <n v="0"/>
    <m/>
    <m/>
    <n v="52500"/>
    <n v="0"/>
    <m/>
  </r>
  <r>
    <s v="Below the Line"/>
    <x v="2"/>
    <s v="2nd Unit"/>
    <m/>
    <x v="1291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  <m/>
    <m/>
    <n v="14000"/>
    <n v="0"/>
    <m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  <m/>
    <m/>
    <n v="637583.30999999994"/>
    <n v="0"/>
    <m/>
  </r>
  <r>
    <s v="Below the Line"/>
    <x v="2"/>
    <s v=""/>
    <m/>
    <x v="1294"/>
    <s v="Operador de Camara A  - Jonathan Morán"/>
    <m/>
    <n v="0"/>
    <n v="0"/>
    <n v="0"/>
    <n v="0"/>
    <n v="0"/>
    <n v="0"/>
    <n v="0"/>
    <m/>
    <m/>
    <n v="0"/>
    <n v="0"/>
    <m/>
  </r>
  <r>
    <s v="Below the Line"/>
    <x v="2"/>
    <s v="PREP"/>
    <m/>
    <x v="1295"/>
    <s v="Prep"/>
    <m/>
    <n v="4333.33"/>
    <n v="0"/>
    <n v="4333.33"/>
    <n v="0"/>
    <n v="4333.33"/>
    <n v="13125"/>
    <n v="8791.67"/>
    <m/>
    <m/>
    <n v="4333.33"/>
    <n v="0"/>
    <m/>
  </r>
  <r>
    <s v="Below the Line"/>
    <x v="2"/>
    <s v="SHOOT"/>
    <m/>
    <x v="1296"/>
    <s v="Shoot"/>
    <m/>
    <n v="182000"/>
    <n v="0"/>
    <n v="182000"/>
    <n v="0"/>
    <n v="182000"/>
    <n v="183750"/>
    <n v="1750"/>
    <m/>
    <m/>
    <n v="182000"/>
    <n v="0"/>
    <m/>
  </r>
  <r>
    <s v="Below the Line"/>
    <x v="2"/>
    <s v="WRAP"/>
    <m/>
    <x v="129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298"/>
    <s v="Operador de Camara B - Alvaro Fuentes"/>
    <m/>
    <n v="0"/>
    <n v="0"/>
    <n v="0"/>
    <n v="0"/>
    <n v="0"/>
    <n v="0"/>
    <n v="0"/>
    <m/>
    <m/>
    <n v="0"/>
    <n v="0"/>
    <m/>
  </r>
  <r>
    <s v="Below the Line"/>
    <x v="2"/>
    <s v="PREP"/>
    <m/>
    <x v="1299"/>
    <s v="Prep"/>
    <m/>
    <n v="13125"/>
    <n v="0"/>
    <n v="13125"/>
    <n v="0"/>
    <n v="13125"/>
    <n v="13125"/>
    <n v="0"/>
    <m/>
    <m/>
    <n v="13125"/>
    <n v="0"/>
    <m/>
  </r>
  <r>
    <s v="Below the Line"/>
    <x v="2"/>
    <s v="SHOOT"/>
    <m/>
    <x v="1300"/>
    <s v="Shoot"/>
    <m/>
    <n v="183750"/>
    <n v="0"/>
    <n v="183750"/>
    <n v="0"/>
    <n v="183750"/>
    <n v="183750"/>
    <n v="0"/>
    <m/>
    <m/>
    <n v="183750"/>
    <n v="0"/>
    <m/>
  </r>
  <r>
    <s v="Below the Line"/>
    <x v="2"/>
    <s v="WRAP"/>
    <m/>
    <x v="1301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  <m/>
    <m/>
    <n v="0"/>
    <n v="0"/>
    <m/>
  </r>
  <r>
    <s v="Below the Line"/>
    <x v="2"/>
    <s v="2nd Unit"/>
    <m/>
    <x v="1303"/>
    <s v="Prep"/>
    <m/>
    <n v="13000"/>
    <n v="0"/>
    <n v="13000"/>
    <n v="0"/>
    <n v="13000"/>
    <n v="13125"/>
    <n v="125"/>
    <m/>
    <m/>
    <n v="13000"/>
    <n v="0"/>
    <m/>
  </r>
  <r>
    <s v="Below the Line"/>
    <x v="2"/>
    <s v="2nd Unit"/>
    <m/>
    <x v="1304"/>
    <s v="Shoot"/>
    <m/>
    <n v="52000"/>
    <n v="0"/>
    <n v="52000"/>
    <n v="0"/>
    <n v="52000"/>
    <n v="52500"/>
    <n v="500"/>
    <m/>
    <m/>
    <n v="52000"/>
    <n v="0"/>
    <m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  <m/>
    <m/>
    <n v="0"/>
    <n v="0"/>
    <m/>
  </r>
  <r>
    <s v="Below the Line"/>
    <x v="2"/>
    <s v="2nd Unit"/>
    <m/>
    <x v="1306"/>
    <s v="Prep"/>
    <m/>
    <n v="17500"/>
    <n v="0"/>
    <n v="17500"/>
    <n v="0"/>
    <n v="17500"/>
    <n v="13125"/>
    <n v="-4375"/>
    <m/>
    <m/>
    <n v="17500"/>
    <n v="0"/>
    <m/>
  </r>
  <r>
    <s v="Below the Line"/>
    <x v="2"/>
    <s v="2nd Unit"/>
    <m/>
    <x v="1307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1308"/>
    <s v="Operador de Camara C - Carlos Davis"/>
    <m/>
    <n v="0"/>
    <n v="0"/>
    <n v="0"/>
    <n v="0"/>
    <n v="0"/>
    <n v="0"/>
    <n v="0"/>
    <m/>
    <m/>
    <n v="0"/>
    <n v="0"/>
    <m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  <m/>
    <m/>
    <n v="93333.32"/>
    <n v="0"/>
    <m/>
  </r>
  <r>
    <s v="Below the Line"/>
    <x v="2"/>
    <s v=""/>
    <m/>
    <x v="1310"/>
    <s v="Operador de Camara D - Fabian Altamirano"/>
    <m/>
    <n v="0"/>
    <n v="0"/>
    <n v="0"/>
    <n v="0"/>
    <n v="0"/>
    <n v="0"/>
    <n v="0"/>
    <m/>
    <m/>
    <n v="0"/>
    <n v="0"/>
    <m/>
  </r>
  <r>
    <s v="Below the Line"/>
    <x v="2"/>
    <s v="SHOOT"/>
    <m/>
    <x v="1311"/>
    <s v="Shoot"/>
    <m/>
    <n v="4375"/>
    <n v="0"/>
    <n v="4375"/>
    <n v="0"/>
    <n v="4375"/>
    <n v="4375"/>
    <n v="0"/>
    <m/>
    <m/>
    <n v="4375"/>
    <n v="0"/>
    <m/>
  </r>
  <r>
    <s v="Below the Line"/>
    <x v="2"/>
    <s v="SHOOT"/>
    <m/>
    <x v="1312"/>
    <s v="Camara E"/>
    <m/>
    <n v="21666.66"/>
    <n v="0"/>
    <n v="21666.66"/>
    <n v="0"/>
    <n v="21666.66"/>
    <n v="0"/>
    <n v="-21666.66"/>
    <m/>
    <m/>
    <n v="21666.66"/>
    <n v="0"/>
    <m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  <m/>
    <m/>
    <n v="467123.12"/>
    <n v="0"/>
    <m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  <m/>
    <m/>
    <n v="0"/>
    <n v="0"/>
    <m/>
  </r>
  <r>
    <s v="Below the Line"/>
    <x v="2"/>
    <s v="PREP"/>
    <s v="NOM"/>
    <x v="1315"/>
    <s v="Prep"/>
    <m/>
    <n v="19706.5"/>
    <n v="0"/>
    <n v="19706.5"/>
    <n v="0"/>
    <n v="19706.5"/>
    <n v="21500"/>
    <n v="1793.5"/>
    <m/>
    <m/>
    <n v="19706.5"/>
    <n v="0"/>
    <m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  <m/>
    <m/>
    <n v="157666.66"/>
    <n v="0"/>
    <m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  <m/>
    <m/>
    <n v="0"/>
    <n v="0"/>
    <m/>
  </r>
  <r>
    <s v="Below the Line"/>
    <x v="2"/>
    <s v="PREP"/>
    <s v="NOM"/>
    <x v="1318"/>
    <s v="Prep"/>
    <m/>
    <n v="3583.33"/>
    <n v="0"/>
    <n v="3583.33"/>
    <n v="0"/>
    <n v="3583.33"/>
    <n v="10750"/>
    <n v="7166.67"/>
    <m/>
    <m/>
    <n v="3583.33"/>
    <n v="0"/>
    <m/>
  </r>
  <r>
    <s v="Below the Line"/>
    <x v="2"/>
    <s v="SHOOT"/>
    <s v="NOM"/>
    <x v="1319"/>
    <s v="Shoot"/>
    <m/>
    <n v="150500"/>
    <n v="0"/>
    <n v="150500"/>
    <n v="0"/>
    <n v="150500"/>
    <n v="150500"/>
    <n v="0"/>
    <m/>
    <m/>
    <n v="150500"/>
    <n v="0"/>
    <m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1"/>
    <s v="Prep"/>
    <m/>
    <n v="10750"/>
    <n v="0"/>
    <n v="10750"/>
    <n v="0"/>
    <n v="10750"/>
    <n v="10750"/>
    <n v="0"/>
    <m/>
    <m/>
    <n v="10750"/>
    <n v="0"/>
    <m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  <m/>
    <m/>
    <n v="50166.66"/>
    <n v="0"/>
    <m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4"/>
    <s v="Prep"/>
    <m/>
    <n v="0"/>
    <n v="0"/>
    <n v="0"/>
    <n v="0"/>
    <n v="0"/>
    <n v="10750"/>
    <n v="10750"/>
    <m/>
    <m/>
    <n v="0"/>
    <n v="0"/>
    <m/>
  </r>
  <r>
    <s v="Below the Line"/>
    <x v="2"/>
    <s v="2nd Unit"/>
    <s v="NOM"/>
    <x v="1325"/>
    <s v="Shoot"/>
    <m/>
    <n v="15000"/>
    <n v="0"/>
    <n v="15000"/>
    <n v="0"/>
    <n v="15000"/>
    <n v="43000"/>
    <n v="28000"/>
    <m/>
    <m/>
    <n v="15000"/>
    <n v="0"/>
    <m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  <m/>
    <m/>
    <n v="7166.66"/>
    <n v="0"/>
    <m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9"/>
    <s v="Shoot"/>
    <m/>
    <n v="17500"/>
    <n v="0"/>
    <n v="17500"/>
    <n v="0"/>
    <n v="17500"/>
    <n v="3583.33"/>
    <n v="-13916.67"/>
    <m/>
    <m/>
    <n v="17500"/>
    <n v="0"/>
    <m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  <m/>
    <m/>
    <n v="35083.31"/>
    <n v="0"/>
    <m/>
  </r>
  <r>
    <s v="Below the Line"/>
    <x v="1"/>
    <m/>
    <m/>
    <x v="1331"/>
    <s v="OPERADOR DATAWRANGLER/DATAMANAGER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332"/>
    <s v="Data Manager - Johana Castro Ortega"/>
    <m/>
    <n v="0"/>
    <n v="0"/>
    <n v="0"/>
    <n v="0"/>
    <n v="0"/>
    <n v="0"/>
    <n v="0"/>
    <m/>
    <m/>
    <n v="0"/>
    <n v="0"/>
    <m/>
  </r>
  <r>
    <s v="Below the Line"/>
    <x v="2"/>
    <s v="PREP"/>
    <m/>
    <x v="1333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334"/>
    <s v="Shoot"/>
    <m/>
    <n v="56000"/>
    <n v="0"/>
    <n v="56000"/>
    <n v="0"/>
    <n v="56000"/>
    <n v="98000"/>
    <n v="42000"/>
    <m/>
    <m/>
    <n v="56000"/>
    <n v="0"/>
    <m/>
  </r>
  <r>
    <s v="Below the Line"/>
    <x v="2"/>
    <s v=""/>
    <m/>
    <x v="1335"/>
    <s v="Data Manager 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36"/>
    <s v="Shoot"/>
    <m/>
    <n v="70000"/>
    <n v="0"/>
    <n v="70000"/>
    <n v="0"/>
    <n v="70000"/>
    <n v="28000"/>
    <n v="-42000"/>
    <m/>
    <m/>
    <n v="70000"/>
    <n v="0"/>
    <m/>
  </r>
  <r>
    <s v="Below the Line"/>
    <x v="1"/>
    <m/>
    <m/>
    <x v="1337"/>
    <s v="OPERADOR DIT"/>
    <m/>
    <n v="203333"/>
    <n v="0"/>
    <n v="203333"/>
    <n v="0"/>
    <n v="203333"/>
    <n v="174750"/>
    <n v="-28583"/>
    <m/>
    <m/>
    <n v="203333"/>
    <n v="0"/>
    <m/>
  </r>
  <r>
    <s v="Below the Line"/>
    <x v="2"/>
    <s v=""/>
    <m/>
    <x v="1338"/>
    <s v="DIT - Juan David Babativa"/>
    <m/>
    <n v="0"/>
    <n v="0"/>
    <n v="0"/>
    <n v="0"/>
    <n v="0"/>
    <n v="0"/>
    <n v="0"/>
    <m/>
    <m/>
    <n v="0"/>
    <n v="0"/>
    <m/>
  </r>
  <r>
    <s v="Below the Line"/>
    <x v="2"/>
    <s v="PREP"/>
    <m/>
    <x v="1339"/>
    <s v="Prep"/>
    <m/>
    <n v="0"/>
    <n v="0"/>
    <n v="0"/>
    <n v="0"/>
    <n v="0"/>
    <n v="9250"/>
    <n v="9250"/>
    <m/>
    <m/>
    <n v="0"/>
    <n v="0"/>
    <m/>
  </r>
  <r>
    <s v="Below the Line"/>
    <x v="2"/>
    <s v="SHOOT"/>
    <m/>
    <x v="1340"/>
    <s v="Shoot"/>
    <m/>
    <n v="140000"/>
    <n v="0"/>
    <n v="140000"/>
    <n v="0"/>
    <n v="140000"/>
    <n v="129500"/>
    <n v="-10500"/>
    <m/>
    <m/>
    <n v="140000"/>
    <n v="0"/>
    <m/>
  </r>
  <r>
    <s v="Below the Line"/>
    <x v="2"/>
    <s v=""/>
    <m/>
    <x v="1341"/>
    <s v="DI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42"/>
    <s v="Shoot"/>
    <m/>
    <n v="43333"/>
    <n v="0"/>
    <n v="43333"/>
    <n v="0"/>
    <n v="43333"/>
    <n v="36000"/>
    <n v="-7333"/>
    <m/>
    <m/>
    <n v="43333"/>
    <n v="0"/>
    <m/>
  </r>
  <r>
    <s v="Below the Line"/>
    <x v="2"/>
    <s v="2nd Unit"/>
    <m/>
    <x v="1343"/>
    <s v="DIT Split Unit"/>
    <m/>
    <n v="20000"/>
    <n v="0"/>
    <n v="20000"/>
    <n v="0"/>
    <n v="20000"/>
    <n v="0"/>
    <n v="-20000"/>
    <m/>
    <m/>
    <n v="20000"/>
    <n v="0"/>
    <m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  <m/>
    <m/>
    <n v="64700"/>
    <n v="0"/>
    <m/>
  </r>
  <r>
    <s v="Below the Line"/>
    <x v="2"/>
    <s v=""/>
    <m/>
    <x v="1345"/>
    <s v="Unidad Multimedia All Inclusive Package - TBD"/>
    <m/>
    <n v="0"/>
    <n v="0"/>
    <n v="0"/>
    <n v="0"/>
    <n v="0"/>
    <n v="0"/>
    <n v="0"/>
    <m/>
    <m/>
    <n v="0"/>
    <n v="0"/>
    <m/>
  </r>
  <r>
    <s v="Below the Line"/>
    <x v="2"/>
    <s v="SHOOT"/>
    <m/>
    <x v="1346"/>
    <s v="Shoot"/>
    <m/>
    <n v="64700"/>
    <n v="0"/>
    <n v="64700"/>
    <n v="0"/>
    <n v="64700"/>
    <n v="125000"/>
    <n v="60300"/>
    <m/>
    <m/>
    <n v="64700"/>
    <n v="0"/>
    <m/>
  </r>
  <r>
    <s v="Below the Line"/>
    <x v="1"/>
    <m/>
    <m/>
    <x v="1347"/>
    <s v="RENTA EQUIPO STEADYCAM"/>
    <m/>
    <n v="272000"/>
    <n v="0"/>
    <n v="272000"/>
    <n v="0"/>
    <n v="272000"/>
    <n v="272000"/>
    <n v="0"/>
    <m/>
    <m/>
    <n v="272000"/>
    <n v="0"/>
    <m/>
  </r>
  <r>
    <s v="Below the Line"/>
    <x v="2"/>
    <s v=""/>
    <m/>
    <x v="1348"/>
    <s v="RONNIN - KAROTO"/>
    <m/>
    <n v="0"/>
    <n v="0"/>
    <n v="0"/>
    <n v="0"/>
    <n v="0"/>
    <n v="0"/>
    <n v="0"/>
    <m/>
    <m/>
    <n v="0"/>
    <n v="0"/>
    <m/>
  </r>
  <r>
    <s v="Below the Line"/>
    <x v="2"/>
    <s v="SHOOT"/>
    <m/>
    <x v="1349"/>
    <s v="Shoot"/>
    <m/>
    <n v="238000"/>
    <n v="0"/>
    <n v="238000"/>
    <n v="0"/>
    <n v="238000"/>
    <n v="238000"/>
    <n v="0"/>
    <m/>
    <m/>
    <n v="238000"/>
    <n v="0"/>
    <m/>
  </r>
  <r>
    <s v="Below the Line"/>
    <x v="2"/>
    <s v=""/>
    <m/>
    <x v="1350"/>
    <s v="RONNIN Segunda Unidad - KAROTO"/>
    <m/>
    <n v="0"/>
    <n v="0"/>
    <n v="0"/>
    <n v="0"/>
    <n v="0"/>
    <n v="0"/>
    <n v="0"/>
    <m/>
    <m/>
    <n v="0"/>
    <n v="0"/>
    <m/>
  </r>
  <r>
    <s v="Below the Line"/>
    <x v="2"/>
    <s v="2nd Unit"/>
    <m/>
    <x v="1351"/>
    <s v="Shoot"/>
    <m/>
    <n v="34000"/>
    <n v="0"/>
    <n v="34000"/>
    <n v="0"/>
    <n v="34000"/>
    <n v="34000"/>
    <n v="0"/>
    <m/>
    <m/>
    <n v="34000"/>
    <n v="0"/>
    <m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  <m/>
    <m/>
    <n v="835124.99"/>
    <n v="0"/>
    <m/>
  </r>
  <r>
    <s v="Below the Line"/>
    <x v="2"/>
    <s v=""/>
    <s v="NOM"/>
    <x v="1353"/>
    <s v="Encargado de Camara A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4"/>
    <s v="Prep"/>
    <m/>
    <n v="0"/>
    <n v="0"/>
    <n v="0"/>
    <n v="0"/>
    <n v="0"/>
    <n v="8625"/>
    <n v="8625"/>
    <m/>
    <m/>
    <n v="0"/>
    <n v="0"/>
    <m/>
  </r>
  <r>
    <s v="Below the Line"/>
    <x v="2"/>
    <s v="SHOOT"/>
    <s v="NOM"/>
    <x v="1355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56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57"/>
    <s v="Encargado de Camara B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8"/>
    <s v="Prep"/>
    <m/>
    <n v="5750"/>
    <n v="0"/>
    <n v="5750"/>
    <n v="0"/>
    <n v="5750"/>
    <n v="8625"/>
    <n v="2875"/>
    <m/>
    <m/>
    <n v="5750"/>
    <n v="0"/>
    <m/>
  </r>
  <r>
    <s v="Below the Line"/>
    <x v="2"/>
    <s v="SHOOT"/>
    <s v="NOM"/>
    <x v="1359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60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61"/>
    <s v="Encargado de Grua - Luis Fernando Ortiz"/>
    <m/>
    <n v="0"/>
    <n v="0"/>
    <n v="0"/>
    <n v="0"/>
    <n v="0"/>
    <n v="0"/>
    <n v="0"/>
    <m/>
    <m/>
    <n v="0"/>
    <n v="0"/>
    <m/>
  </r>
  <r>
    <s v="Below the Line"/>
    <x v="2"/>
    <s v="PREP"/>
    <s v="NOM"/>
    <x v="1362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3"/>
    <s v="Shoot"/>
    <m/>
    <n v="107500"/>
    <n v="0"/>
    <n v="107500"/>
    <n v="0"/>
    <n v="107500"/>
    <n v="105000"/>
    <n v="-2500"/>
    <m/>
    <m/>
    <n v="107500"/>
    <n v="0"/>
    <m/>
  </r>
  <r>
    <s v="Below the Line"/>
    <x v="2"/>
    <s v=""/>
    <s v="NOM"/>
    <x v="1364"/>
    <s v="Encargado de Ronnin - Erick Delga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65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6"/>
    <s v="Shoot"/>
    <m/>
    <n v="77500"/>
    <n v="0"/>
    <n v="77500"/>
    <n v="0"/>
    <n v="77500"/>
    <n v="105000"/>
    <n v="27500"/>
    <m/>
    <m/>
    <n v="77500"/>
    <n v="0"/>
    <m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  <m/>
    <m/>
    <n v="0"/>
    <n v="0"/>
    <m/>
  </r>
  <r>
    <s v="Below the Line"/>
    <x v="2"/>
    <s v="PREP"/>
    <s v="NOM"/>
    <x v="1368"/>
    <s v="Prep"/>
    <m/>
    <n v="5000"/>
    <n v="0"/>
    <n v="5000"/>
    <n v="0"/>
    <n v="5000"/>
    <n v="7500"/>
    <n v="2500"/>
    <m/>
    <m/>
    <n v="5000"/>
    <n v="0"/>
    <m/>
  </r>
  <r>
    <s v="Below the Line"/>
    <x v="2"/>
    <s v="SHOOT"/>
    <s v="NOM"/>
    <x v="1369"/>
    <s v="Shoot"/>
    <m/>
    <n v="105000"/>
    <n v="0"/>
    <n v="105000"/>
    <n v="0"/>
    <n v="105000"/>
    <n v="105000"/>
    <n v="0"/>
    <m/>
    <m/>
    <n v="105000"/>
    <n v="0"/>
    <m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71"/>
    <s v="Prep"/>
    <m/>
    <n v="3750"/>
    <n v="0"/>
    <n v="3750"/>
    <n v="0"/>
    <n v="3750"/>
    <n v="3750"/>
    <n v="0"/>
    <m/>
    <m/>
    <n v="3750"/>
    <n v="0"/>
    <m/>
  </r>
  <r>
    <s v="Below the Line"/>
    <x v="2"/>
    <s v="SHOOT"/>
    <s v="NOM"/>
    <x v="1372"/>
    <s v="Shoot"/>
    <m/>
    <n v="56250"/>
    <n v="0"/>
    <n v="56250"/>
    <n v="0"/>
    <n v="56250"/>
    <n v="52500"/>
    <n v="-3750"/>
    <m/>
    <m/>
    <n v="56250"/>
    <n v="0"/>
    <m/>
  </r>
  <r>
    <s v="Below the Line"/>
    <x v="2"/>
    <s v=""/>
    <s v="NOM"/>
    <x v="1373"/>
    <s v="Encargado Follow Car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74"/>
    <s v="Shoot"/>
    <m/>
    <n v="0"/>
    <n v="0"/>
    <n v="0"/>
    <n v="0"/>
    <n v="0"/>
    <n v="9000"/>
    <n v="9000"/>
    <m/>
    <m/>
    <n v="0"/>
    <n v="0"/>
    <m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76"/>
    <s v="Prep"/>
    <m/>
    <n v="0"/>
    <n v="0"/>
    <n v="0"/>
    <m/>
    <n v="0"/>
    <n v="8625"/>
    <n v="8625"/>
    <m/>
    <m/>
    <n v="0"/>
    <n v="0"/>
    <m/>
  </r>
  <r>
    <s v="Below the Line"/>
    <x v="2"/>
    <s v="2nd Unit"/>
    <s v="NOM"/>
    <x v="1377"/>
    <s v="Shoot"/>
    <m/>
    <n v="63250"/>
    <n v="0"/>
    <n v="63250"/>
    <n v="0"/>
    <n v="63250"/>
    <n v="34500"/>
    <n v="-28750"/>
    <m/>
    <m/>
    <n v="63250"/>
    <n v="0"/>
    <m/>
  </r>
  <r>
    <s v="Below the Line"/>
    <x v="2"/>
    <s v="2nd Unit"/>
    <s v="NOM"/>
    <x v="1378"/>
    <s v="Wrap"/>
    <m/>
    <n v="0"/>
    <n v="0"/>
    <n v="0"/>
    <m/>
    <n v="0"/>
    <n v="8625"/>
    <n v="8625"/>
    <m/>
    <m/>
    <n v="0"/>
    <n v="0"/>
    <m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0"/>
    <s v="Prep"/>
    <m/>
    <n v="11500"/>
    <n v="0"/>
    <n v="11500"/>
    <n v="0"/>
    <n v="11500"/>
    <n v="8625"/>
    <n v="-2875"/>
    <m/>
    <m/>
    <n v="11500"/>
    <n v="0"/>
    <m/>
  </r>
  <r>
    <s v="Below the Line"/>
    <x v="2"/>
    <s v="2nd Unit"/>
    <s v="NOM"/>
    <x v="1381"/>
    <s v="Shoot"/>
    <m/>
    <n v="34500"/>
    <n v="0"/>
    <n v="34500"/>
    <n v="0"/>
    <n v="34500"/>
    <n v="34500"/>
    <n v="0"/>
    <m/>
    <m/>
    <n v="34500"/>
    <n v="0"/>
    <m/>
  </r>
  <r>
    <s v="Below the Line"/>
    <x v="2"/>
    <s v="2nd Unit"/>
    <s v="NOM"/>
    <x v="1382"/>
    <s v="Wrap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1385"/>
    <s v="Shoot"/>
    <m/>
    <n v="45000"/>
    <n v="0"/>
    <n v="45000"/>
    <m/>
    <n v="45000"/>
    <n v="30000"/>
    <n v="-15000"/>
    <m/>
    <m/>
    <n v="45000"/>
    <n v="0"/>
    <m/>
  </r>
  <r>
    <s v="Below the Line"/>
    <x v="2"/>
    <s v=""/>
    <s v="NOM"/>
    <x v="1386"/>
    <s v="Encargado de Camara C (Agavia)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7"/>
    <s v="Shoot"/>
    <m/>
    <n v="0"/>
    <n v="0"/>
    <n v="0"/>
    <n v="0"/>
    <n v="0"/>
    <n v="0"/>
    <n v="0"/>
    <m/>
    <m/>
    <n v="0"/>
    <n v="0"/>
    <m/>
  </r>
  <r>
    <s v="Below the Line"/>
    <x v="2"/>
    <s v=""/>
    <s v="NOM"/>
    <x v="1388"/>
    <s v="Encargado de Split Unit 1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9"/>
    <s v="Shoot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90"/>
    <s v="Encargado de Split Unit 2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1"/>
    <s v="Shoot"/>
    <m/>
    <n v="9875"/>
    <n v="0"/>
    <n v="9875"/>
    <n v="0"/>
    <n v="9875"/>
    <n v="8625"/>
    <n v="-1250"/>
    <m/>
    <m/>
    <n v="9875"/>
    <n v="0"/>
    <m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  <m/>
    <m/>
    <n v="34749.990000000005"/>
    <n v="0"/>
    <m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4"/>
    <s v="Encargado óptica adicional"/>
    <m/>
    <n v="0"/>
    <n v="0"/>
    <n v="0"/>
    <n v="0"/>
    <n v="0"/>
    <n v="0"/>
    <n v="0"/>
    <m/>
    <m/>
    <n v="0"/>
    <n v="0"/>
    <m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2"/>
    <s v=""/>
    <m/>
    <x v="1396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1"/>
    <m/>
    <m/>
    <x v="1398"/>
    <s v="RENTA EQUIPO DIT"/>
    <m/>
    <n v="134000"/>
    <n v="0"/>
    <n v="134000"/>
    <n v="0"/>
    <n v="134000"/>
    <n v="324000"/>
    <n v="190000"/>
    <m/>
    <m/>
    <n v="134000"/>
    <n v="0"/>
    <m/>
  </r>
  <r>
    <s v="Below the Line"/>
    <x v="2"/>
    <s v=""/>
    <m/>
    <x v="1399"/>
    <s v="DIT - 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400"/>
    <s v="Monitor Flanders Scientific DM241"/>
    <m/>
    <n v="0"/>
    <n v="0"/>
    <n v="0"/>
    <n v="0"/>
    <n v="0"/>
    <n v="0"/>
    <n v="0"/>
    <m/>
    <m/>
    <n v="0"/>
    <n v="0"/>
    <m/>
  </r>
  <r>
    <s v="Below the Line"/>
    <x v="2"/>
    <s v="SHOOT"/>
    <m/>
    <x v="1401"/>
    <s v="MacBook Pro"/>
    <m/>
    <n v="0"/>
    <n v="0"/>
    <n v="0"/>
    <n v="0"/>
    <n v="0"/>
    <n v="0"/>
    <n v="0"/>
    <m/>
    <m/>
    <n v="0"/>
    <n v="0"/>
    <m/>
  </r>
  <r>
    <s v="Below the Line"/>
    <x v="2"/>
    <s v="SHOOT"/>
    <m/>
    <x v="1402"/>
    <s v="1 Monitor Dual Smartscope BMD"/>
    <m/>
    <n v="0"/>
    <n v="0"/>
    <n v="0"/>
    <n v="0"/>
    <n v="0"/>
    <n v="0"/>
    <n v="0"/>
    <m/>
    <m/>
    <n v="0"/>
    <n v="0"/>
    <m/>
  </r>
  <r>
    <s v="Below the Line"/>
    <x v="2"/>
    <s v="SHOOT"/>
    <m/>
    <x v="1403"/>
    <s v="Livegrade Pro"/>
    <m/>
    <n v="0"/>
    <n v="0"/>
    <n v="0"/>
    <n v="0"/>
    <n v="0"/>
    <n v="0"/>
    <n v="0"/>
    <m/>
    <m/>
    <n v="0"/>
    <n v="0"/>
    <m/>
  </r>
  <r>
    <s v="Below the Line"/>
    <x v="2"/>
    <s v="SHOOT"/>
    <m/>
    <x v="1404"/>
    <s v="2 Teradek Color LUT BOxes"/>
    <m/>
    <n v="0"/>
    <n v="0"/>
    <n v="0"/>
    <n v="0"/>
    <n v="0"/>
    <n v="0"/>
    <n v="0"/>
    <m/>
    <m/>
    <n v="0"/>
    <n v="0"/>
    <m/>
  </r>
  <r>
    <s v="Below the Line"/>
    <x v="2"/>
    <s v="SHOOT"/>
    <m/>
    <x v="1405"/>
    <s v="Carrito Con Bateria Para 3 Horas"/>
    <m/>
    <n v="0"/>
    <n v="0"/>
    <n v="0"/>
    <n v="0"/>
    <n v="0"/>
    <n v="0"/>
    <n v="0"/>
    <m/>
    <m/>
    <n v="0"/>
    <n v="0"/>
    <m/>
  </r>
  <r>
    <s v="Below the Line"/>
    <x v="2"/>
    <s v="SHOOT"/>
    <m/>
    <x v="1406"/>
    <s v="Data Station IMAC Pro 12 Core"/>
    <m/>
    <n v="0"/>
    <n v="0"/>
    <n v="0"/>
    <n v="0"/>
    <n v="0"/>
    <n v="0"/>
    <n v="0"/>
    <m/>
    <m/>
    <n v="0"/>
    <n v="0"/>
    <m/>
  </r>
  <r>
    <s v="Below the Line"/>
    <x v="2"/>
    <s v="SHOOT"/>
    <m/>
    <x v="1407"/>
    <s v="Raid de Trabajo 48 TB"/>
    <m/>
    <n v="0"/>
    <n v="0"/>
    <n v="0"/>
    <n v="0"/>
    <n v="0"/>
    <n v="0"/>
    <n v="0"/>
    <m/>
    <m/>
    <n v="0"/>
    <n v="0"/>
    <m/>
  </r>
  <r>
    <s v="Below the Line"/>
    <x v="2"/>
    <s v="SHOOT"/>
    <m/>
    <x v="1408"/>
    <s v="3 Discos Taxi 4 TB"/>
    <m/>
    <n v="0"/>
    <n v="0"/>
    <n v="0"/>
    <n v="0"/>
    <n v="0"/>
    <n v="0"/>
    <n v="0"/>
    <m/>
    <m/>
    <n v="0"/>
    <n v="0"/>
    <m/>
  </r>
  <r>
    <s v="Below the Line"/>
    <x v="2"/>
    <s v="SHOOT"/>
    <m/>
    <x v="1409"/>
    <s v="Daylies en Frame IO"/>
    <m/>
    <n v="0"/>
    <n v="0"/>
    <n v="0"/>
    <n v="0"/>
    <n v="0"/>
    <n v="0"/>
    <n v="0"/>
    <m/>
    <m/>
    <n v="0"/>
    <n v="0"/>
    <m/>
  </r>
  <r>
    <s v="Below the Line"/>
    <x v="2"/>
    <s v="SHOOT"/>
    <m/>
    <x v="1410"/>
    <s v="Daylies Editorial"/>
    <m/>
    <n v="0"/>
    <n v="0"/>
    <n v="0"/>
    <n v="0"/>
    <n v="0"/>
    <n v="0"/>
    <n v="0"/>
    <m/>
    <m/>
    <n v="0"/>
    <n v="0"/>
    <m/>
  </r>
  <r>
    <s v="Below the Line"/>
    <x v="2"/>
    <s v="SHOOT"/>
    <m/>
    <x v="1411"/>
    <s v="Still y Lut"/>
    <m/>
    <n v="0"/>
    <n v="0"/>
    <n v="0"/>
    <n v="0"/>
    <n v="0"/>
    <n v="0"/>
    <n v="0"/>
    <m/>
    <m/>
    <n v="0"/>
    <n v="0"/>
    <m/>
  </r>
  <r>
    <s v="Below the Line"/>
    <x v="2"/>
    <s v="SHOOT"/>
    <m/>
    <x v="1412"/>
    <s v="Shoot"/>
    <m/>
    <n v="134000"/>
    <n v="0"/>
    <n v="134000"/>
    <n v="0"/>
    <n v="134000"/>
    <n v="252000"/>
    <n v="118000"/>
    <m/>
    <m/>
    <n v="134000"/>
    <n v="0"/>
    <m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414"/>
    <s v="Shoot"/>
    <m/>
    <n v="0"/>
    <n v="0"/>
    <n v="0"/>
    <n v="0"/>
    <n v="0"/>
    <n v="72000"/>
    <n v="72000"/>
    <m/>
    <m/>
    <n v="0"/>
    <n v="0"/>
    <m/>
  </r>
  <r>
    <s v="Below the Line"/>
    <x v="2"/>
    <s v="2nd Unit"/>
    <m/>
    <x v="1415"/>
    <s v="Renta de equipo Split Unit"/>
    <m/>
    <n v="0"/>
    <n v="0"/>
    <n v="0"/>
    <n v="0"/>
    <n v="0"/>
    <n v="0"/>
    <n v="0"/>
    <m/>
    <m/>
    <n v="0"/>
    <n v="0"/>
    <m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  <m/>
    <m/>
    <n v="7755208.3400000008"/>
    <n v="0"/>
    <m/>
  </r>
  <r>
    <s v="Below the Line"/>
    <x v="2"/>
    <s v=""/>
    <m/>
    <x v="1417"/>
    <s v="RENTALS FOR SERIES "/>
    <m/>
    <n v="0"/>
    <n v="0"/>
    <n v="0"/>
    <n v="0"/>
    <n v="0"/>
    <n v="0"/>
    <n v="0"/>
    <m/>
    <m/>
    <n v="0"/>
    <n v="0"/>
    <m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  <m/>
    <m/>
    <n v="0"/>
    <n v="0"/>
    <m/>
  </r>
  <r>
    <s v="Below the Line"/>
    <x v="2"/>
    <s v="SHOOT"/>
    <m/>
    <x v="1419"/>
    <s v="Alexa Mini LF"/>
    <m/>
    <n v="0"/>
    <n v="0"/>
    <n v="0"/>
    <n v="0"/>
    <n v="0"/>
    <n v="0"/>
    <n v="0"/>
    <m/>
    <m/>
    <n v="0"/>
    <n v="0"/>
    <m/>
  </r>
  <r>
    <s v="Below the Line"/>
    <x v="2"/>
    <s v="SHOOT"/>
    <m/>
    <x v="1420"/>
    <s v="Baterías Gold Mount"/>
    <m/>
    <n v="0"/>
    <n v="0"/>
    <n v="0"/>
    <n v="0"/>
    <n v="0"/>
    <n v="0"/>
    <n v="0"/>
    <m/>
    <m/>
    <n v="0"/>
    <n v="0"/>
    <m/>
  </r>
  <r>
    <s v="Below the Line"/>
    <x v="2"/>
    <s v="SHOOT"/>
    <m/>
    <x v="1421"/>
    <s v="Baterías de Bloque"/>
    <m/>
    <n v="0"/>
    <n v="0"/>
    <n v="0"/>
    <n v="0"/>
    <n v="0"/>
    <n v="0"/>
    <n v="0"/>
    <m/>
    <m/>
    <n v="0"/>
    <n v="0"/>
    <m/>
  </r>
  <r>
    <s v="Below the Line"/>
    <x v="2"/>
    <s v="SHOOT"/>
    <m/>
    <x v="1422"/>
    <s v="Tarjetas Codex 1TB"/>
    <m/>
    <n v="0"/>
    <n v="0"/>
    <n v="0"/>
    <n v="0"/>
    <n v="0"/>
    <n v="0"/>
    <n v="0"/>
    <m/>
    <m/>
    <n v="0"/>
    <n v="0"/>
    <m/>
  </r>
  <r>
    <s v="Below the Line"/>
    <x v="2"/>
    <s v="SHOOT"/>
    <m/>
    <x v="142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SHOOT"/>
    <m/>
    <x v="142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SHOOT"/>
    <m/>
    <x v="1425"/>
    <s v="Summilux C"/>
    <m/>
    <n v="0"/>
    <n v="0"/>
    <n v="0"/>
    <n v="0"/>
    <n v="0"/>
    <n v="0"/>
    <n v="0"/>
    <m/>
    <m/>
    <n v="0"/>
    <n v="0"/>
    <m/>
  </r>
  <r>
    <s v="Below the Line"/>
    <x v="2"/>
    <s v="SHOOT"/>
    <m/>
    <x v="142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SHOOT"/>
    <m/>
    <x v="142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SHOOT"/>
    <m/>
    <x v="142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SHOOT"/>
    <m/>
    <x v="142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SHOOT"/>
    <m/>
    <x v="143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SHOOT"/>
    <m/>
    <x v="143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2"/>
    <s v="Rota Pola 4x5.6"/>
    <m/>
    <n v="0"/>
    <n v="0"/>
    <n v="0"/>
    <n v="0"/>
    <n v="0"/>
    <n v="0"/>
    <n v="0"/>
    <m/>
    <m/>
    <n v="0"/>
    <n v="0"/>
    <m/>
  </r>
  <r>
    <s v="Below the Line"/>
    <x v="2"/>
    <s v="SHOOT"/>
    <m/>
    <x v="143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4"/>
    <s v="Ultra Pola Lin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5"/>
    <s v="Extender Finder"/>
    <m/>
    <n v="0"/>
    <n v="0"/>
    <n v="0"/>
    <n v="0"/>
    <n v="0"/>
    <n v="0"/>
    <n v="0"/>
    <m/>
    <m/>
    <n v="0"/>
    <n v="0"/>
    <m/>
  </r>
  <r>
    <s v="Below the Line"/>
    <x v="2"/>
    <s v="SHOOT"/>
    <m/>
    <x v="143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SHOOT"/>
    <m/>
    <x v="1437"/>
    <s v="Microforce Open Haimer"/>
    <m/>
    <n v="0"/>
    <n v="0"/>
    <n v="0"/>
    <n v="0"/>
    <n v="0"/>
    <n v="0"/>
    <n v="0"/>
    <m/>
    <m/>
    <n v="0"/>
    <n v="0"/>
    <m/>
  </r>
  <r>
    <s v="Below the Line"/>
    <x v="2"/>
    <s v="SHOOT"/>
    <m/>
    <x v="1438"/>
    <s v="Cabezas O'Connor 2575-D"/>
    <m/>
    <n v="0"/>
    <n v="0"/>
    <n v="0"/>
    <n v="0"/>
    <n v="0"/>
    <n v="0"/>
    <n v="0"/>
    <m/>
    <m/>
    <n v="0"/>
    <n v="0"/>
    <m/>
  </r>
  <r>
    <s v="Below the Line"/>
    <x v="2"/>
    <s v="SHOOT"/>
    <m/>
    <x v="143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SHOOT"/>
    <m/>
    <x v="1440"/>
    <s v="Tripiés Ronford baby"/>
    <m/>
    <n v="0"/>
    <n v="0"/>
    <n v="0"/>
    <n v="0"/>
    <n v="0"/>
    <n v="0"/>
    <n v="0"/>
    <m/>
    <m/>
    <n v="0"/>
    <n v="0"/>
    <m/>
  </r>
  <r>
    <s v="Below the Line"/>
    <x v="2"/>
    <s v="SHOOT"/>
    <m/>
    <x v="1441"/>
    <s v="Hi-hat"/>
    <m/>
    <n v="0"/>
    <n v="0"/>
    <n v="0"/>
    <n v="0"/>
    <n v="0"/>
    <n v="0"/>
    <n v="0"/>
    <m/>
    <m/>
    <n v="0"/>
    <n v="0"/>
    <m/>
  </r>
  <r>
    <s v="Below the Line"/>
    <x v="2"/>
    <s v="SHOOT"/>
    <m/>
    <x v="1442"/>
    <s v="Low-hat"/>
    <m/>
    <n v="0"/>
    <n v="0"/>
    <n v="0"/>
    <n v="0"/>
    <n v="0"/>
    <n v="0"/>
    <n v="0"/>
    <m/>
    <m/>
    <n v="0"/>
    <n v="0"/>
    <m/>
  </r>
  <r>
    <s v="Below the Line"/>
    <x v="2"/>
    <s v="SHOOT"/>
    <m/>
    <x v="144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SHOOT"/>
    <m/>
    <x v="1444"/>
    <s v="Easy Rig con Serene"/>
    <m/>
    <n v="0"/>
    <n v="0"/>
    <n v="0"/>
    <n v="0"/>
    <n v="0"/>
    <n v="0"/>
    <n v="0"/>
    <m/>
    <m/>
    <n v="0"/>
    <n v="0"/>
    <m/>
  </r>
  <r>
    <s v="Below the Line"/>
    <x v="2"/>
    <s v="SHOOT"/>
    <m/>
    <x v="1445"/>
    <s v="Monitores small 703HD"/>
    <m/>
    <n v="0"/>
    <n v="0"/>
    <n v="0"/>
    <n v="0"/>
    <n v="0"/>
    <n v="0"/>
    <n v="0"/>
    <m/>
    <m/>
    <n v="0"/>
    <n v="0"/>
    <m/>
  </r>
  <r>
    <s v="Below the Line"/>
    <x v="2"/>
    <s v="SHOOT"/>
    <m/>
    <x v="1446"/>
    <s v="Preston single channel"/>
    <m/>
    <n v="0"/>
    <n v="0"/>
    <n v="0"/>
    <n v="0"/>
    <n v="0"/>
    <n v="0"/>
    <n v="0"/>
    <m/>
    <m/>
    <n v="0"/>
    <n v="0"/>
    <m/>
  </r>
  <r>
    <s v="Below the Line"/>
    <x v="2"/>
    <s v="SHOOT"/>
    <m/>
    <x v="1447"/>
    <s v="Nucleus M"/>
    <m/>
    <n v="0"/>
    <n v="0"/>
    <n v="0"/>
    <n v="0"/>
    <n v="0"/>
    <n v="0"/>
    <n v="0"/>
    <m/>
    <m/>
    <n v="0"/>
    <n v="0"/>
    <m/>
  </r>
  <r>
    <s v="Below the Line"/>
    <x v="2"/>
    <s v="SHOOT"/>
    <m/>
    <x v="144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SHOOT"/>
    <m/>
    <x v="144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SHOOT"/>
    <m/>
    <x v="1450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SHOOT"/>
    <m/>
    <x v="1451"/>
    <s v="Zoom fujinon 19-90"/>
    <m/>
    <n v="0"/>
    <n v="0"/>
    <n v="0"/>
    <n v="0"/>
    <n v="0"/>
    <n v="0"/>
    <n v="0"/>
    <m/>
    <m/>
    <n v="0"/>
    <n v="0"/>
    <m/>
  </r>
  <r>
    <s v="Below the Line"/>
    <x v="2"/>
    <s v="SHOOT"/>
    <m/>
    <x v="1452"/>
    <s v="Zoom óptimo 24-290"/>
    <m/>
    <n v="0"/>
    <n v="0"/>
    <n v="0"/>
    <n v="0"/>
    <n v="0"/>
    <n v="0"/>
    <n v="0"/>
    <m/>
    <m/>
    <n v="0"/>
    <n v="0"/>
    <m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  <m/>
    <m/>
    <n v="0"/>
    <n v="0"/>
    <m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  <m/>
    <m/>
    <n v="0"/>
    <n v="0"/>
    <m/>
  </r>
  <r>
    <s v="Below the Line"/>
    <x v="2"/>
    <s v="SHOOT"/>
    <m/>
    <x v="1455"/>
    <s v="Allowance"/>
    <m/>
    <n v="2414076"/>
    <n v="0"/>
    <n v="2414076"/>
    <n v="0"/>
    <n v="2414076"/>
    <n v="2414076"/>
    <n v="0"/>
    <m/>
    <m/>
    <n v="2414076"/>
    <n v="0"/>
    <m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  <m/>
    <m/>
    <n v="0"/>
    <n v="0"/>
    <m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  <m/>
    <m/>
    <n v="2110037.4"/>
    <n v="0"/>
    <m/>
  </r>
  <r>
    <s v="Below the Line"/>
    <x v="2"/>
    <s v=""/>
    <m/>
    <x v="1458"/>
    <s v="Equipo de Camara Segunda Unidad - EF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59"/>
    <s v="Alexa Mini LF"/>
    <m/>
    <n v="0"/>
    <n v="0"/>
    <n v="0"/>
    <n v="0"/>
    <n v="0"/>
    <n v="0"/>
    <n v="0"/>
    <m/>
    <m/>
    <n v="0"/>
    <n v="0"/>
    <m/>
  </r>
  <r>
    <s v="Below the Line"/>
    <x v="2"/>
    <s v="2nd Unit"/>
    <m/>
    <x v="1460"/>
    <s v="Baterías Gold Mount"/>
    <m/>
    <n v="0"/>
    <n v="0"/>
    <n v="0"/>
    <n v="0"/>
    <n v="0"/>
    <n v="0"/>
    <n v="0"/>
    <m/>
    <m/>
    <n v="0"/>
    <n v="0"/>
    <m/>
  </r>
  <r>
    <s v="Below the Line"/>
    <x v="2"/>
    <s v="2nd Unit"/>
    <m/>
    <x v="1461"/>
    <s v="Baterías de Bloque"/>
    <m/>
    <n v="0"/>
    <n v="0"/>
    <n v="0"/>
    <n v="0"/>
    <n v="0"/>
    <n v="0"/>
    <n v="0"/>
    <m/>
    <m/>
    <n v="0"/>
    <n v="0"/>
    <m/>
  </r>
  <r>
    <s v="Below the Line"/>
    <x v="2"/>
    <s v="2nd Unit"/>
    <m/>
    <x v="1462"/>
    <s v="Tarjetas Codex 1TB"/>
    <m/>
    <n v="0"/>
    <n v="0"/>
    <n v="0"/>
    <n v="0"/>
    <n v="0"/>
    <n v="0"/>
    <n v="0"/>
    <m/>
    <m/>
    <n v="0"/>
    <n v="0"/>
    <m/>
  </r>
  <r>
    <s v="Below the Line"/>
    <x v="2"/>
    <s v="2nd Unit"/>
    <m/>
    <x v="146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2nd Unit"/>
    <m/>
    <x v="146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2nd Unit"/>
    <m/>
    <x v="1465"/>
    <s v="Summilux C"/>
    <m/>
    <n v="0"/>
    <n v="0"/>
    <n v="0"/>
    <n v="0"/>
    <n v="0"/>
    <n v="0"/>
    <n v="0"/>
    <m/>
    <m/>
    <n v="0"/>
    <n v="0"/>
    <m/>
  </r>
  <r>
    <s v="Below the Line"/>
    <x v="2"/>
    <s v="2nd Unit"/>
    <m/>
    <x v="146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2"/>
    <s v="Rota Pola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4"/>
    <s v="Ultra Pola Lin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5"/>
    <s v="Extender Finder"/>
    <m/>
    <n v="0"/>
    <n v="0"/>
    <n v="0"/>
    <n v="0"/>
    <n v="0"/>
    <n v="0"/>
    <n v="0"/>
    <m/>
    <m/>
    <n v="0"/>
    <n v="0"/>
    <m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2nd Unit"/>
    <m/>
    <x v="1477"/>
    <s v="Microforce Open Haimer"/>
    <m/>
    <n v="0"/>
    <n v="0"/>
    <n v="0"/>
    <n v="0"/>
    <n v="0"/>
    <n v="0"/>
    <n v="0"/>
    <m/>
    <m/>
    <n v="0"/>
    <n v="0"/>
    <m/>
  </r>
  <r>
    <s v="Below the Line"/>
    <x v="2"/>
    <s v="2nd Unit"/>
    <m/>
    <x v="1478"/>
    <s v="Cabezas O'Connor 2575-D"/>
    <m/>
    <n v="0"/>
    <n v="0"/>
    <n v="0"/>
    <n v="0"/>
    <n v="0"/>
    <n v="0"/>
    <n v="0"/>
    <m/>
    <m/>
    <n v="0"/>
    <n v="0"/>
    <m/>
  </r>
  <r>
    <s v="Below the Line"/>
    <x v="2"/>
    <s v="2nd Unit"/>
    <m/>
    <x v="147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2nd Unit"/>
    <m/>
    <x v="1480"/>
    <s v="Tripiés Ronford baby"/>
    <m/>
    <n v="0"/>
    <n v="0"/>
    <n v="0"/>
    <n v="0"/>
    <n v="0"/>
    <n v="0"/>
    <n v="0"/>
    <m/>
    <m/>
    <n v="0"/>
    <n v="0"/>
    <m/>
  </r>
  <r>
    <s v="Below the Line"/>
    <x v="2"/>
    <s v="2nd Unit"/>
    <m/>
    <x v="1481"/>
    <s v="Hi-hat"/>
    <m/>
    <n v="0"/>
    <n v="0"/>
    <n v="0"/>
    <n v="0"/>
    <n v="0"/>
    <n v="0"/>
    <n v="0"/>
    <m/>
    <m/>
    <n v="0"/>
    <n v="0"/>
    <m/>
  </r>
  <r>
    <s v="Below the Line"/>
    <x v="2"/>
    <s v="2nd Unit"/>
    <m/>
    <x v="1482"/>
    <s v="Low-hat"/>
    <m/>
    <n v="0"/>
    <n v="0"/>
    <n v="0"/>
    <n v="0"/>
    <n v="0"/>
    <n v="0"/>
    <n v="0"/>
    <m/>
    <m/>
    <n v="0"/>
    <n v="0"/>
    <m/>
  </r>
  <r>
    <s v="Below the Line"/>
    <x v="2"/>
    <s v="2nd Unit"/>
    <m/>
    <x v="148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2nd Unit"/>
    <m/>
    <x v="1484"/>
    <s v="Easy Rig con Serene"/>
    <m/>
    <n v="0"/>
    <n v="0"/>
    <n v="0"/>
    <n v="0"/>
    <n v="0"/>
    <n v="0"/>
    <n v="0"/>
    <m/>
    <m/>
    <n v="0"/>
    <n v="0"/>
    <m/>
  </r>
  <r>
    <s v="Below the Line"/>
    <x v="2"/>
    <s v="2nd Unit"/>
    <m/>
    <x v="1485"/>
    <s v="Monitores small 703HD"/>
    <m/>
    <n v="0"/>
    <n v="0"/>
    <n v="0"/>
    <n v="0"/>
    <n v="0"/>
    <n v="0"/>
    <n v="0"/>
    <m/>
    <m/>
    <n v="0"/>
    <n v="0"/>
    <m/>
  </r>
  <r>
    <s v="Below the Line"/>
    <x v="2"/>
    <s v="2nd Unit"/>
    <m/>
    <x v="1486"/>
    <s v="Preston single channel"/>
    <m/>
    <n v="0"/>
    <n v="0"/>
    <n v="0"/>
    <n v="0"/>
    <n v="0"/>
    <n v="0"/>
    <n v="0"/>
    <m/>
    <m/>
    <n v="0"/>
    <n v="0"/>
    <m/>
  </r>
  <r>
    <s v="Below the Line"/>
    <x v="2"/>
    <s v="2nd Unit"/>
    <m/>
    <x v="1487"/>
    <s v="Nucleus M"/>
    <m/>
    <n v="0"/>
    <n v="0"/>
    <n v="0"/>
    <n v="0"/>
    <n v="0"/>
    <n v="0"/>
    <n v="0"/>
    <m/>
    <m/>
    <n v="0"/>
    <n v="0"/>
    <m/>
  </r>
  <r>
    <s v="Below the Line"/>
    <x v="2"/>
    <s v="2nd Unit"/>
    <m/>
    <x v="148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2nd Unit"/>
    <m/>
    <x v="148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2nd Unit"/>
    <m/>
    <x v="1490"/>
    <s v="Slider Matthews 45"/>
    <m/>
    <n v="0"/>
    <n v="0"/>
    <n v="0"/>
    <n v="0"/>
    <n v="0"/>
    <n v="0"/>
    <n v="0"/>
    <m/>
    <m/>
    <n v="0"/>
    <n v="0"/>
    <m/>
  </r>
  <r>
    <s v="Below the Line"/>
    <x v="2"/>
    <s v="2nd Unit"/>
    <m/>
    <x v="1491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2nd Unit"/>
    <m/>
    <x v="1492"/>
    <s v="Allowance"/>
    <m/>
    <n v="764239"/>
    <n v="0"/>
    <n v="764239"/>
    <n v="0"/>
    <n v="764239"/>
    <n v="764239"/>
    <n v="0"/>
    <m/>
    <m/>
    <n v="764239"/>
    <n v="0"/>
    <m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  <m/>
    <m/>
    <n v="253876"/>
    <n v="0"/>
    <m/>
  </r>
  <r>
    <s v="Below the Line"/>
    <x v="2"/>
    <s v=""/>
    <m/>
    <x v="1495"/>
    <s v="Cámara Split Unit - EFD "/>
    <m/>
    <n v="0"/>
    <n v="0"/>
    <n v="0"/>
    <n v="0"/>
    <n v="0"/>
    <n v="0"/>
    <n v="0"/>
    <m/>
    <m/>
    <n v="0"/>
    <n v="0"/>
    <m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  <m/>
    <m/>
    <n v="673533.87999999989"/>
    <n v="0"/>
    <m/>
  </r>
  <r>
    <s v="Below the Line"/>
    <x v="2"/>
    <s v=""/>
    <m/>
    <x v="1497"/>
    <s v="Renta Cámara Local - Agavia"/>
    <m/>
    <n v="0"/>
    <n v="0"/>
    <n v="0"/>
    <n v="0"/>
    <n v="0"/>
    <n v="0"/>
    <n v="0"/>
    <m/>
    <m/>
    <n v="0"/>
    <n v="0"/>
    <m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  <m/>
    <m/>
    <n v="183373.28000000003"/>
    <n v="0"/>
    <m/>
  </r>
  <r>
    <s v="Below the Line"/>
    <x v="2"/>
    <s v=""/>
    <m/>
    <x v="1499"/>
    <s v="Equipo - KAROTO"/>
    <m/>
    <n v="0"/>
    <n v="0"/>
    <n v="0"/>
    <n v="0"/>
    <n v="0"/>
    <n v="0"/>
    <n v="0"/>
    <m/>
    <m/>
    <n v="0"/>
    <n v="0"/>
    <m/>
  </r>
  <r>
    <s v="Below the Line"/>
    <x v="2"/>
    <s v="SHOOT"/>
    <m/>
    <x v="1500"/>
    <s v="Grua de Telescópica"/>
    <m/>
    <n v="119000"/>
    <n v="0"/>
    <n v="119000"/>
    <n v="0"/>
    <n v="119000"/>
    <n v="119000"/>
    <n v="0"/>
    <m/>
    <m/>
    <n v="119000"/>
    <n v="0"/>
    <m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  <m/>
    <m/>
    <n v="61600"/>
    <n v="0"/>
    <m/>
  </r>
  <r>
    <s v="Below the Line"/>
    <x v="2"/>
    <s v="SHOOT"/>
    <m/>
    <x v="1502"/>
    <s v="Mov Max Slider"/>
    <m/>
    <n v="0"/>
    <n v="0"/>
    <n v="0"/>
    <n v="0"/>
    <n v="0"/>
    <n v="0"/>
    <n v="0"/>
    <m/>
    <m/>
    <n v="0"/>
    <n v="0"/>
    <m/>
  </r>
  <r>
    <s v="Below the Line"/>
    <x v="2"/>
    <s v="SHOOT"/>
    <m/>
    <x v="1503"/>
    <s v="Force Pro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4"/>
    <s v="Monitor Grua y Force"/>
    <m/>
    <n v="0"/>
    <n v="0"/>
    <n v="0"/>
    <n v="0"/>
    <n v="0"/>
    <n v="0"/>
    <n v="0"/>
    <m/>
    <m/>
    <n v="0"/>
    <n v="0"/>
    <m/>
  </r>
  <r>
    <s v="Below the Line"/>
    <x v="2"/>
    <s v="SHOOT"/>
    <m/>
    <x v="1505"/>
    <s v="Diademas foto"/>
    <m/>
    <n v="52500"/>
    <n v="0"/>
    <n v="52500"/>
    <n v="0"/>
    <n v="52500"/>
    <n v="52500"/>
    <n v="0"/>
    <m/>
    <m/>
    <n v="52500"/>
    <n v="0"/>
    <m/>
  </r>
  <r>
    <s v="Below the Line"/>
    <x v="2"/>
    <s v="SHOOT"/>
    <m/>
    <x v="1506"/>
    <s v="Rickshaw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7"/>
    <s v="Preston (4 Unidades)"/>
    <m/>
    <n v="196500"/>
    <n v="0"/>
    <n v="196500"/>
    <n v="0"/>
    <n v="196500"/>
    <n v="189000"/>
    <n v="-7500"/>
    <m/>
    <m/>
    <n v="196500"/>
    <n v="0"/>
    <m/>
  </r>
  <r>
    <s v="Below the Line"/>
    <x v="2"/>
    <s v="SHOOT"/>
    <m/>
    <x v="1508"/>
    <s v="Lente Angeniux"/>
    <m/>
    <n v="146000"/>
    <n v="0"/>
    <n v="146000"/>
    <n v="0"/>
    <n v="146000"/>
    <n v="120000"/>
    <n v="-26000"/>
    <m/>
    <m/>
    <n v="146000"/>
    <n v="0"/>
    <m/>
  </r>
  <r>
    <s v="Below the Line"/>
    <x v="2"/>
    <s v="SHOOT"/>
    <m/>
    <x v="1509"/>
    <s v="Follow Car para caballos"/>
    <m/>
    <n v="63400"/>
    <n v="0"/>
    <n v="63400"/>
    <n v="0"/>
    <n v="63400"/>
    <n v="63000"/>
    <n v="-400"/>
    <m/>
    <m/>
    <n v="63400"/>
    <n v="0"/>
    <m/>
  </r>
  <r>
    <s v="Below the Line"/>
    <x v="2"/>
    <s v=""/>
    <m/>
    <x v="1510"/>
    <s v="Equipo - Arturo Vazquez"/>
    <m/>
    <n v="0"/>
    <n v="0"/>
    <n v="0"/>
    <n v="0"/>
    <n v="0"/>
    <n v="0"/>
    <n v="0"/>
    <m/>
    <m/>
    <n v="0"/>
    <n v="0"/>
    <m/>
  </r>
  <r>
    <s v="Below the Line"/>
    <x v="2"/>
    <s v="SHOOT"/>
    <m/>
    <x v="1511"/>
    <s v="Camara Car Low Boy"/>
    <m/>
    <n v="91800"/>
    <n v="0"/>
    <n v="91800"/>
    <n v="0"/>
    <n v="91800"/>
    <n v="90000"/>
    <n v="-1800"/>
    <m/>
    <m/>
    <n v="91800"/>
    <n v="0"/>
    <m/>
  </r>
  <r>
    <s v="Below the Line"/>
    <x v="2"/>
    <s v=""/>
    <m/>
    <x v="1512"/>
    <s v="Equipo de Iluminación Segunda Unidad - ROCHA -"/>
    <m/>
    <n v="0"/>
    <n v="0"/>
    <n v="0"/>
    <n v="0"/>
    <n v="0"/>
    <n v="0"/>
    <n v="0"/>
    <m/>
    <m/>
    <n v="0"/>
    <n v="0"/>
    <m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  <m/>
    <m/>
    <n v="366172.77999999997"/>
    <n v="0"/>
    <m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  <m/>
    <m/>
    <n v="112500"/>
    <n v="0"/>
    <m/>
  </r>
  <r>
    <s v="Below the Line"/>
    <x v="2"/>
    <s v="2nd Unit"/>
    <m/>
    <x v="1515"/>
    <s v="Motocicleta Karoto"/>
    <m/>
    <n v="48600"/>
    <n v="0"/>
    <n v="48600"/>
    <n v="0"/>
    <n v="48600"/>
    <n v="0"/>
    <n v="-48600"/>
    <m/>
    <m/>
    <n v="48600"/>
    <n v="0"/>
    <m/>
  </r>
  <r>
    <s v="Below the Line"/>
    <x v="1"/>
    <m/>
    <m/>
    <x v="1516"/>
    <s v="PERDIDA&amp;REPARACION CAMARA"/>
    <m/>
    <n v="30357"/>
    <n v="0"/>
    <n v="30357"/>
    <n v="0"/>
    <n v="30357"/>
    <n v="300000"/>
    <n v="269643"/>
    <m/>
    <m/>
    <n v="30357"/>
    <n v="0"/>
    <m/>
  </r>
  <r>
    <s v="Below the Line"/>
    <x v="2"/>
    <s v=""/>
    <m/>
    <x v="1517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m/>
    <x v="1518"/>
    <s v="Shoot"/>
    <m/>
    <n v="30357"/>
    <n v="0"/>
    <n v="30357"/>
    <n v="0"/>
    <n v="30357"/>
    <n v="300000"/>
    <n v="269643"/>
    <m/>
    <m/>
    <n v="30357"/>
    <n v="0"/>
    <m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  <m/>
    <m/>
    <n v="1472577.4100000001"/>
    <n v="0"/>
    <m/>
  </r>
  <r>
    <s v="Below the Line"/>
    <x v="1"/>
    <m/>
    <m/>
    <x v="1520"/>
    <s v="SONIDISTA"/>
    <m/>
    <n v="519733.33"/>
    <n v="0"/>
    <n v="519733.33"/>
    <n v="0"/>
    <n v="519733.33"/>
    <n v="483500"/>
    <n v="-36233.33"/>
    <m/>
    <m/>
    <n v="519733.33"/>
    <n v="0"/>
    <m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  <m/>
    <m/>
    <n v="0"/>
    <n v="0"/>
    <m/>
  </r>
  <r>
    <s v="Below the Line"/>
    <x v="2"/>
    <s v="PREP"/>
    <m/>
    <x v="1522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  <m/>
    <m/>
    <n v="120700"/>
    <n v="0"/>
    <m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  <m/>
    <m/>
    <n v="120500"/>
    <n v="0"/>
    <m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526"/>
    <s v="Renta de Equipo"/>
    <m/>
    <n v="98000"/>
    <n v="0"/>
    <n v="98000"/>
    <n v="0"/>
    <n v="98000"/>
    <n v="98000"/>
    <n v="0"/>
    <m/>
    <m/>
    <n v="98000"/>
    <n v="0"/>
    <m/>
  </r>
  <r>
    <s v="Below the Line"/>
    <x v="2"/>
    <s v="SHOOT"/>
    <m/>
    <x v="1527"/>
    <s v="Split Unit"/>
    <m/>
    <n v="14533.33"/>
    <n v="0"/>
    <n v="14533.33"/>
    <n v="0"/>
    <n v="14533.33"/>
    <n v="8500"/>
    <n v="-6033.33"/>
    <m/>
    <m/>
    <n v="14533.33"/>
    <n v="0"/>
    <m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529"/>
    <s v="Sonidista"/>
    <m/>
    <n v="11000"/>
    <n v="0"/>
    <n v="11000"/>
    <n v="0"/>
    <n v="11000"/>
    <n v="32000"/>
    <n v="21000"/>
    <m/>
    <m/>
    <n v="11000"/>
    <n v="0"/>
    <m/>
  </r>
  <r>
    <s v="Below the Line"/>
    <x v="2"/>
    <s v="2nd Unit"/>
    <m/>
    <x v="1530"/>
    <s v="Microfonista"/>
    <m/>
    <n v="24000"/>
    <n v="0"/>
    <n v="24000"/>
    <n v="0"/>
    <n v="24000"/>
    <n v="24000"/>
    <n v="0"/>
    <m/>
    <m/>
    <n v="24000"/>
    <n v="0"/>
    <m/>
  </r>
  <r>
    <s v="Below the Line"/>
    <x v="2"/>
    <s v="2nd Unit"/>
    <m/>
    <x v="1531"/>
    <s v="Audio Assist"/>
    <m/>
    <n v="24000"/>
    <n v="0"/>
    <n v="24000"/>
    <n v="0"/>
    <n v="24000"/>
    <n v="18000"/>
    <n v="-6000"/>
    <m/>
    <m/>
    <n v="24000"/>
    <n v="0"/>
    <m/>
  </r>
  <r>
    <s v="Below the Line"/>
    <x v="2"/>
    <s v="2nd Unit"/>
    <m/>
    <x v="1532"/>
    <s v="Renta de Equipo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  <m/>
    <m/>
    <n v="746450.76"/>
    <n v="0"/>
    <m/>
  </r>
  <r>
    <s v="Below the Line"/>
    <x v="2"/>
    <s v=""/>
    <m/>
    <x v="1534"/>
    <s v="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535"/>
    <s v="Shoot"/>
    <m/>
    <n v="517000"/>
    <n v="0"/>
    <n v="517000"/>
    <n v="0"/>
    <n v="517000"/>
    <n v="294000"/>
    <n v="-223000"/>
    <m/>
    <m/>
    <n v="517000"/>
    <n v="0"/>
    <m/>
  </r>
  <r>
    <s v="Below the Line"/>
    <x v="2"/>
    <s v=""/>
    <m/>
    <x v="1536"/>
    <s v="Devan Segunda Unidad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  <m/>
    <m/>
    <n v="165450.76"/>
    <n v="0"/>
    <m/>
  </r>
  <r>
    <s v="Below the Line"/>
    <x v="2"/>
    <s v=""/>
    <m/>
    <x v="1538"/>
    <s v="Streaming - Devan"/>
    <m/>
    <n v="0"/>
    <n v="0"/>
    <n v="0"/>
    <n v="0"/>
    <n v="0"/>
    <n v="0"/>
    <n v="0"/>
    <m/>
    <m/>
    <n v="0"/>
    <n v="0"/>
    <m/>
  </r>
  <r>
    <s v="Below the Line"/>
    <x v="2"/>
    <s v="SHOOT"/>
    <m/>
    <x v="1539"/>
    <s v="Shoot"/>
    <m/>
    <n v="0"/>
    <n v="0"/>
    <n v="0"/>
    <n v="0"/>
    <n v="0"/>
    <n v="42000"/>
    <n v="42000"/>
    <m/>
    <m/>
    <n v="0"/>
    <n v="0"/>
    <m/>
  </r>
  <r>
    <s v="Below the Line"/>
    <x v="2"/>
    <s v=""/>
    <m/>
    <x v="1540"/>
    <s v="Streaming Segunda Unidad - Devan"/>
    <m/>
    <n v="0"/>
    <n v="0"/>
    <n v="0"/>
    <n v="0"/>
    <n v="0"/>
    <n v="0"/>
    <n v="0"/>
    <m/>
    <m/>
    <n v="0"/>
    <n v="0"/>
    <m/>
  </r>
  <r>
    <s v="Below the Line"/>
    <x v="2"/>
    <s v="2nd Unit"/>
    <m/>
    <x v="1541"/>
    <s v="Shoot"/>
    <m/>
    <n v="28000"/>
    <n v="0"/>
    <n v="28000"/>
    <n v="0"/>
    <n v="28000"/>
    <n v="12000"/>
    <n v="-16000"/>
    <m/>
    <m/>
    <n v="28000"/>
    <n v="0"/>
    <m/>
  </r>
  <r>
    <s v="Below the Line"/>
    <x v="2"/>
    <s v=""/>
    <m/>
    <x v="1542"/>
    <s v="Equipo Cámara Extra"/>
    <m/>
    <n v="0"/>
    <n v="0"/>
    <n v="0"/>
    <n v="0"/>
    <n v="0"/>
    <n v="0"/>
    <n v="0"/>
    <m/>
    <m/>
    <n v="0"/>
    <n v="0"/>
    <m/>
  </r>
  <r>
    <s v="Below the Line"/>
    <x v="2"/>
    <s v="SHOOT"/>
    <m/>
    <x v="1543"/>
    <s v="Cámara C"/>
    <m/>
    <n v="36000"/>
    <n v="0"/>
    <n v="36000"/>
    <n v="0"/>
    <n v="36000"/>
    <n v="28000"/>
    <n v="-8000"/>
    <m/>
    <m/>
    <n v="36000"/>
    <n v="0"/>
    <m/>
  </r>
  <r>
    <s v="Below the Line"/>
    <x v="2"/>
    <s v="SHOOT"/>
    <m/>
    <x v="1544"/>
    <s v="Cámara D"/>
    <m/>
    <n v="0"/>
    <n v="0"/>
    <n v="0"/>
    <n v="0"/>
    <n v="0"/>
    <n v="2500"/>
    <n v="2500"/>
    <m/>
    <m/>
    <n v="0"/>
    <n v="0"/>
    <m/>
  </r>
  <r>
    <s v="Below the Line"/>
    <x v="1"/>
    <m/>
    <m/>
    <x v="1545"/>
    <s v="RENTA RADIOS"/>
    <m/>
    <n v="158250"/>
    <n v="0"/>
    <n v="158250"/>
    <n v="0"/>
    <n v="158250"/>
    <n v="153000"/>
    <n v="-5250"/>
    <m/>
    <m/>
    <n v="158250"/>
    <n v="0"/>
    <m/>
  </r>
  <r>
    <s v="Below the Line"/>
    <x v="2"/>
    <s v=""/>
    <m/>
    <x v="1546"/>
    <s v="Walkie Talkies - SAM Comunicaciones"/>
    <m/>
    <n v="0"/>
    <n v="0"/>
    <n v="0"/>
    <n v="0"/>
    <n v="0"/>
    <n v="0"/>
    <n v="0"/>
    <m/>
    <m/>
    <n v="0"/>
    <n v="0"/>
    <m/>
  </r>
  <r>
    <s v="Below the Line"/>
    <x v="2"/>
    <s v="SHOOT"/>
    <m/>
    <x v="1547"/>
    <s v="Shoot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  <m/>
    <m/>
    <n v="0"/>
    <n v="0"/>
    <m/>
  </r>
  <r>
    <s v="Below the Line"/>
    <x v="2"/>
    <s v="2nd Unit"/>
    <m/>
    <x v="1549"/>
    <s v="Shoot"/>
    <m/>
    <n v="32250"/>
    <n v="0"/>
    <n v="32250"/>
    <n v="0"/>
    <n v="32250"/>
    <n v="27000"/>
    <n v="-5250"/>
    <m/>
    <m/>
    <n v="32250"/>
    <n v="0"/>
    <m/>
  </r>
  <r>
    <s v="Below the Line"/>
    <x v="1"/>
    <m/>
    <m/>
    <x v="1550"/>
    <s v="COMPRAS"/>
    <m/>
    <n v="13125.76"/>
    <n v="0"/>
    <n v="13125.76"/>
    <n v="0"/>
    <n v="13125.76"/>
    <n v="20000"/>
    <n v="6874.24"/>
    <m/>
    <m/>
    <n v="13125.76"/>
    <n v="0"/>
    <m/>
  </r>
  <r>
    <s v="Below the Line"/>
    <x v="2"/>
    <s v=""/>
    <m/>
    <x v="1551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  <m/>
    <m/>
    <n v="13125.76"/>
    <n v="0"/>
    <m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2"/>
    <s v=""/>
    <m/>
    <x v="1554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0"/>
    <m/>
    <m/>
    <x v="1556"/>
    <s v="EFECTOS ESPECIALES"/>
    <m/>
    <n v="408200"/>
    <n v="0"/>
    <n v="408200"/>
    <n v="0"/>
    <n v="408200"/>
    <n v="165500"/>
    <n v="-242700"/>
    <m/>
    <m/>
    <n v="408200"/>
    <n v="0"/>
    <m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  <m/>
    <m/>
    <n v="408200"/>
    <n v="0"/>
    <m/>
  </r>
  <r>
    <s v="Below the Line"/>
    <x v="2"/>
    <s v=""/>
    <m/>
    <x v="1558"/>
    <s v="Special Effects - Efectos Físicos X SA de CV"/>
    <m/>
    <n v="0"/>
    <n v="0"/>
    <n v="0"/>
    <n v="0"/>
    <n v="0"/>
    <n v="0"/>
    <n v="0"/>
    <m/>
    <m/>
    <n v="0"/>
    <n v="0"/>
    <m/>
  </r>
  <r>
    <s v="Below the Line"/>
    <x v="2"/>
    <s v="SHOOT"/>
    <m/>
    <x v="1559"/>
    <s v="Efecto Fogata/Chimenea"/>
    <m/>
    <n v="19000"/>
    <n v="0"/>
    <n v="19000"/>
    <n v="0"/>
    <n v="19000"/>
    <n v="19000"/>
    <n v="0"/>
    <m/>
    <m/>
    <n v="19000"/>
    <n v="0"/>
    <m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  <m/>
    <m/>
    <n v="20000"/>
    <n v="0"/>
    <m/>
  </r>
  <r>
    <s v="Below the Line"/>
    <x v="2"/>
    <s v="SHOOT"/>
    <m/>
    <x v="1561"/>
    <s v="Cartucho Humo de Color Morado"/>
    <m/>
    <n v="4500"/>
    <n v="0"/>
    <n v="4500"/>
    <n v="0"/>
    <n v="4500"/>
    <n v="4500"/>
    <n v="0"/>
    <m/>
    <m/>
    <n v="4500"/>
    <n v="0"/>
    <m/>
  </r>
  <r>
    <s v="Below the Line"/>
    <x v="2"/>
    <s v="SHOOT"/>
    <m/>
    <x v="1562"/>
    <s v="Cañón humo de colores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563"/>
    <s v="Altar en llamas"/>
    <m/>
    <n v="320700"/>
    <n v="0"/>
    <n v="320700"/>
    <n v="0"/>
    <n v="320700"/>
    <n v="78000"/>
    <n v="-242700"/>
    <m/>
    <m/>
    <n v="320700"/>
    <n v="0"/>
    <m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  <m/>
    <m/>
    <n v="0"/>
    <n v="0"/>
    <m/>
  </r>
  <r>
    <s v="Below the Line"/>
    <x v="2"/>
    <s v="SHOOT"/>
    <m/>
    <x v="1565"/>
    <s v="Día"/>
    <m/>
    <n v="32000"/>
    <n v="0"/>
    <n v="32000"/>
    <n v="0"/>
    <n v="32000"/>
    <n v="32000"/>
    <n v="0"/>
    <m/>
    <m/>
    <n v="32000"/>
    <n v="0"/>
    <m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  <m/>
    <m/>
    <n v="12712302.216"/>
    <n v="-11737.628999998793"/>
    <m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  <m/>
    <m/>
    <n v="350293.24000000005"/>
    <n v="-6571.9890000000014"/>
    <m/>
  </r>
  <r>
    <s v="Below the Line"/>
    <x v="2"/>
    <s v=""/>
    <m/>
    <x v="1568"/>
    <s v="Hotel (Holiday Inn)"/>
    <m/>
    <n v="0"/>
    <n v="0"/>
    <n v="0"/>
    <n v="0"/>
    <n v="0"/>
    <n v="0"/>
    <n v="0"/>
    <m/>
    <m/>
    <n v="0"/>
    <n v="0"/>
    <m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  <m/>
    <m/>
    <n v="22552.219999999998"/>
    <n v="-634.82699999999386"/>
    <m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  <m/>
    <m/>
    <n v="22226.89"/>
    <n v="0"/>
    <m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  <m/>
    <m/>
    <n v="2013.45"/>
    <n v="0"/>
    <m/>
  </r>
  <r>
    <s v="Below the Line"/>
    <x v="2"/>
    <s v=""/>
    <m/>
    <x v="1572"/>
    <s v="Scouting expenses"/>
    <m/>
    <n v="0"/>
    <n v="0"/>
    <n v="0"/>
    <n v="0"/>
    <n v="0"/>
    <n v="0"/>
    <n v="0"/>
    <m/>
    <m/>
    <n v="0"/>
    <n v="0"/>
    <m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  <m/>
    <m/>
    <n v="1355.5"/>
    <n v="0"/>
    <m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  <m/>
    <m/>
    <n v="6659.33"/>
    <n v="0"/>
    <m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  <m/>
    <m/>
    <n v="17443.420000000002"/>
    <n v="-710.02800000000934"/>
    <m/>
  </r>
  <r>
    <s v="Below the Line"/>
    <x v="2"/>
    <s v="PREP"/>
    <m/>
    <x v="1576"/>
    <s v="Scouting 2 - Propinas"/>
    <m/>
    <n v="2860"/>
    <n v="0"/>
    <n v="2860"/>
    <n v="0"/>
    <n v="2860"/>
    <n v="1787.5"/>
    <n v="-1072.5"/>
    <m/>
    <m/>
    <n v="1787.5"/>
    <n v="-1072.5"/>
    <m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  <m/>
    <m/>
    <n v="4353.4500000000007"/>
    <n v="0"/>
    <m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  <m/>
    <m/>
    <n v="17022.640000000003"/>
    <n v="-180"/>
    <m/>
  </r>
  <r>
    <s v="Below the Line"/>
    <x v="2"/>
    <s v="PREP"/>
    <m/>
    <x v="1579"/>
    <s v="Scouting 3 - Propinas"/>
    <m/>
    <n v="563.48"/>
    <n v="0"/>
    <n v="563.48"/>
    <n v="0"/>
    <n v="563.48"/>
    <n v="251"/>
    <n v="-312.48"/>
    <m/>
    <m/>
    <n v="563.48"/>
    <n v="0"/>
    <m/>
  </r>
  <r>
    <s v="Below the Line"/>
    <x v="2"/>
    <s v="PREP"/>
    <m/>
    <x v="1580"/>
    <s v="Scouting 3 - Alimentos Hotel"/>
    <m/>
    <n v="0"/>
    <n v="0"/>
    <n v="0"/>
    <n v="0"/>
    <n v="0"/>
    <n v="0"/>
    <n v="0"/>
    <m/>
    <m/>
    <n v="0"/>
    <n v="0"/>
    <m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  <m/>
    <m/>
    <n v="9267.23"/>
    <n v="-84.510000000000218"/>
    <m/>
  </r>
  <r>
    <s v="Below the Line"/>
    <x v="2"/>
    <s v=""/>
    <m/>
    <x v="1582"/>
    <s v="Scout Vans"/>
    <m/>
    <n v="0"/>
    <n v="0"/>
    <n v="0"/>
    <n v="0"/>
    <n v="0"/>
    <n v="0"/>
    <n v="0"/>
    <m/>
    <m/>
    <n v="0"/>
    <n v="0"/>
    <m/>
  </r>
  <r>
    <s v="Below the Line"/>
    <x v="2"/>
    <s v="PREP"/>
    <m/>
    <x v="1583"/>
    <s v="Scouting 1 - Vans"/>
    <m/>
    <n v="15878"/>
    <n v="0"/>
    <n v="15878"/>
    <n v="0"/>
    <n v="15878"/>
    <n v="12000"/>
    <n v="-3878"/>
    <m/>
    <m/>
    <n v="15878"/>
    <n v="0"/>
    <m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  <m/>
    <m/>
    <n v="27"/>
    <n v="-537.80399999999997"/>
    <m/>
  </r>
  <r>
    <s v="Below the Line"/>
    <x v="2"/>
    <s v="PREP"/>
    <m/>
    <x v="1585"/>
    <s v="Scouting 2 - Vans"/>
    <m/>
    <n v="16039"/>
    <n v="0"/>
    <n v="16039"/>
    <n v="0"/>
    <n v="16039"/>
    <n v="12000"/>
    <n v="-4039"/>
    <m/>
    <m/>
    <n v="16039"/>
    <n v="0"/>
    <m/>
  </r>
  <r>
    <s v="Below the Line"/>
    <x v="2"/>
    <s v="PREP"/>
    <m/>
    <x v="1586"/>
    <s v="Scouting 2 - Driver"/>
    <m/>
    <n v="7700"/>
    <n v="0"/>
    <n v="7700"/>
    <n v="0"/>
    <n v="7700"/>
    <n v="5300"/>
    <n v="-2400"/>
    <m/>
    <m/>
    <n v="5300"/>
    <n v="-2400"/>
    <m/>
  </r>
  <r>
    <s v="Below the Line"/>
    <x v="2"/>
    <s v="PREP"/>
    <m/>
    <x v="1587"/>
    <s v="Scouting 2 - Estacionamiento"/>
    <m/>
    <n v="47.41"/>
    <n v="0"/>
    <n v="47.41"/>
    <n v="0"/>
    <n v="47.41"/>
    <n v="47.41"/>
    <n v="0"/>
    <m/>
    <m/>
    <n v="47.41"/>
    <n v="0"/>
    <m/>
  </r>
  <r>
    <s v="Below the Line"/>
    <x v="2"/>
    <s v="PREP"/>
    <m/>
    <x v="1588"/>
    <s v="Scouting 3 - Vans"/>
    <m/>
    <n v="0"/>
    <n v="0"/>
    <n v="0"/>
    <n v="0"/>
    <n v="0"/>
    <n v="3000"/>
    <n v="3000"/>
    <m/>
    <m/>
    <n v="0"/>
    <n v="0"/>
    <m/>
  </r>
  <r>
    <s v="Below the Line"/>
    <x v="2"/>
    <s v="PREP"/>
    <m/>
    <x v="1589"/>
    <s v="Scouting 3 - Casetas"/>
    <m/>
    <n v="0"/>
    <n v="0"/>
    <n v="0"/>
    <n v="0"/>
    <n v="0"/>
    <n v="191"/>
    <n v="191"/>
    <m/>
    <m/>
    <n v="0"/>
    <n v="0"/>
    <m/>
  </r>
  <r>
    <s v="Below the Line"/>
    <x v="2"/>
    <s v=""/>
    <m/>
    <x v="1590"/>
    <s v="Scouting Flights"/>
    <m/>
    <n v="0"/>
    <n v="0"/>
    <n v="0"/>
    <n v="0"/>
    <n v="0"/>
    <n v="0"/>
    <n v="0"/>
    <m/>
    <m/>
    <n v="0"/>
    <n v="0"/>
    <m/>
  </r>
  <r>
    <s v="Below the Line"/>
    <x v="2"/>
    <s v="PREP"/>
    <m/>
    <x v="1591"/>
    <s v="Scouting 1 - Vuelos"/>
    <m/>
    <n v="16508"/>
    <n v="0"/>
    <n v="16508"/>
    <n v="0"/>
    <n v="16508"/>
    <n v="16508"/>
    <n v="0"/>
    <m/>
    <m/>
    <n v="16508"/>
    <n v="0"/>
    <m/>
  </r>
  <r>
    <s v="Below the Line"/>
    <x v="2"/>
    <s v="PREP"/>
    <m/>
    <x v="1592"/>
    <s v="Scouting 1 - Vuelos"/>
    <m/>
    <n v="8670"/>
    <n v="0"/>
    <n v="8670"/>
    <n v="0"/>
    <n v="8670"/>
    <n v="8670"/>
    <n v="0"/>
    <m/>
    <m/>
    <n v="8670"/>
    <n v="0"/>
    <m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  <m/>
    <m/>
    <n v="22436"/>
    <n v="0"/>
    <m/>
  </r>
  <r>
    <s v="Below the Line"/>
    <x v="2"/>
    <s v="PREP"/>
    <m/>
    <x v="1594"/>
    <s v="Scouting 2 - Vuelos"/>
    <m/>
    <n v="20601"/>
    <n v="0"/>
    <n v="20601"/>
    <n v="0"/>
    <n v="20601"/>
    <n v="20160"/>
    <n v="-441"/>
    <m/>
    <m/>
    <n v="20601"/>
    <n v="0"/>
    <m/>
  </r>
  <r>
    <s v="Below the Line"/>
    <x v="2"/>
    <s v="PREP"/>
    <m/>
    <x v="1595"/>
    <s v="Scouting 2 - Vuelos"/>
    <m/>
    <n v="7489"/>
    <n v="0"/>
    <n v="7489"/>
    <n v="0"/>
    <n v="7489"/>
    <n v="7494"/>
    <n v="5"/>
    <m/>
    <m/>
    <n v="7489"/>
    <n v="0"/>
    <m/>
  </r>
  <r>
    <s v="Below the Line"/>
    <x v="2"/>
    <s v="PREP"/>
    <m/>
    <x v="1596"/>
    <s v="Scouting 2 - Vuelos"/>
    <m/>
    <n v="10110"/>
    <n v="0"/>
    <n v="10110"/>
    <n v="0"/>
    <n v="10110"/>
    <n v="10125"/>
    <n v="15"/>
    <m/>
    <m/>
    <n v="10110"/>
    <n v="0"/>
    <m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  <m/>
    <m/>
    <n v="15080"/>
    <n v="0"/>
    <m/>
  </r>
  <r>
    <s v="Below the Line"/>
    <x v="2"/>
    <s v="PREP"/>
    <m/>
    <x v="1598"/>
    <s v="Scouting 3 - Vuelos"/>
    <m/>
    <n v="3590"/>
    <n v="0"/>
    <n v="3590"/>
    <n v="0"/>
    <n v="3590"/>
    <n v="2798"/>
    <n v="-792"/>
    <m/>
    <m/>
    <n v="3590"/>
    <n v="0"/>
    <m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  <m/>
    <m/>
    <n v="0"/>
    <n v="0"/>
    <m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  <m/>
    <m/>
    <n v="103272.72000000004"/>
    <n v="-952.31999999999243"/>
    <m/>
  </r>
  <r>
    <s v="Below the Line"/>
    <x v="1"/>
    <m/>
    <m/>
    <x v="1601"/>
    <s v="GERENTE DE LOCACIONES"/>
    <m/>
    <n v="490000"/>
    <n v="0"/>
    <n v="490000"/>
    <n v="0"/>
    <n v="490000"/>
    <n v="504000"/>
    <n v="14000"/>
    <m/>
    <m/>
    <n v="490000"/>
    <n v="0"/>
    <m/>
  </r>
  <r>
    <s v="Below the Line"/>
    <x v="2"/>
    <s v=""/>
    <m/>
    <x v="1602"/>
    <s v="Gerente de locaciones - Daniel Zavalza"/>
    <m/>
    <n v="0"/>
    <n v="0"/>
    <n v="0"/>
    <n v="0"/>
    <n v="0"/>
    <n v="0"/>
    <n v="0"/>
    <m/>
    <m/>
    <n v="0"/>
    <n v="0"/>
    <m/>
  </r>
  <r>
    <s v="Below the Line"/>
    <x v="2"/>
    <s v="SOFT"/>
    <m/>
    <x v="1603"/>
    <s v="Soft"/>
    <m/>
    <n v="120750"/>
    <n v="0"/>
    <n v="120750"/>
    <n v="0"/>
    <n v="120750"/>
    <n v="105000"/>
    <n v="-15750"/>
    <m/>
    <m/>
    <n v="120750"/>
    <n v="0"/>
    <m/>
  </r>
  <r>
    <s v="Below the Line"/>
    <x v="2"/>
    <s v="PREP"/>
    <m/>
    <x v="1604"/>
    <s v="Prep"/>
    <m/>
    <n v="173250"/>
    <n v="0"/>
    <n v="173250"/>
    <n v="0"/>
    <n v="173250"/>
    <n v="189000"/>
    <n v="15750"/>
    <m/>
    <m/>
    <n v="173250"/>
    <n v="0"/>
    <m/>
  </r>
  <r>
    <s v="Below the Line"/>
    <x v="2"/>
    <s v="SHOOT"/>
    <m/>
    <x v="1605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606"/>
    <s v="Wrap"/>
    <m/>
    <n v="49000"/>
    <n v="0"/>
    <n v="49000"/>
    <n v="0"/>
    <n v="49000"/>
    <n v="63000"/>
    <n v="14000"/>
    <m/>
    <m/>
    <n v="49000"/>
    <n v="0"/>
    <m/>
  </r>
  <r>
    <s v="Below the Line"/>
    <x v="1"/>
    <m/>
    <m/>
    <x v="1607"/>
    <s v="GERENTE LOCACIONES ASISTENTE"/>
    <m/>
    <n v="753740"/>
    <n v="0"/>
    <n v="753740"/>
    <n v="0"/>
    <n v="753740"/>
    <n v="768000"/>
    <n v="14260"/>
    <m/>
    <m/>
    <n v="753740"/>
    <n v="0"/>
    <m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  <m/>
    <m/>
    <n v="0"/>
    <n v="0"/>
    <m/>
  </r>
  <r>
    <s v="Below the Line"/>
    <x v="2"/>
    <s v="PREP"/>
    <s v="NOM"/>
    <x v="1609"/>
    <s v="Prep"/>
    <m/>
    <n v="88200"/>
    <n v="0"/>
    <n v="88200"/>
    <n v="0"/>
    <n v="88200"/>
    <n v="98000"/>
    <n v="9800"/>
    <m/>
    <m/>
    <n v="88200"/>
    <n v="0"/>
    <m/>
  </r>
  <r>
    <s v="Below the Line"/>
    <x v="2"/>
    <s v="SHOOT"/>
    <s v="NOM"/>
    <x v="1610"/>
    <s v="Shoot"/>
    <m/>
    <n v="88200"/>
    <n v="0"/>
    <n v="88200"/>
    <n v="0"/>
    <n v="88200"/>
    <n v="98000"/>
    <n v="9800"/>
    <m/>
    <m/>
    <n v="88200"/>
    <n v="0"/>
    <m/>
  </r>
  <r>
    <s v="Below the Line"/>
    <x v="2"/>
    <s v="WRAP"/>
    <s v="NOM"/>
    <x v="1611"/>
    <s v="Wrap"/>
    <m/>
    <n v="50400"/>
    <n v="0"/>
    <n v="50400"/>
    <n v="0"/>
    <n v="50400"/>
    <n v="56000"/>
    <n v="5600"/>
    <m/>
    <m/>
    <n v="50400"/>
    <n v="0"/>
    <m/>
  </r>
  <r>
    <s v="Below the Line"/>
    <x v="2"/>
    <s v=""/>
    <s v="NOM"/>
    <x v="1612"/>
    <s v="Scouter #1 - Fernando González"/>
    <m/>
    <n v="0"/>
    <n v="0"/>
    <n v="0"/>
    <n v="0"/>
    <n v="0"/>
    <n v="0"/>
    <n v="0"/>
    <m/>
    <m/>
    <n v="0"/>
    <n v="0"/>
    <m/>
  </r>
  <r>
    <s v="Below the Line"/>
    <x v="2"/>
    <s v="SOFT"/>
    <s v="NOM"/>
    <x v="1613"/>
    <s v="Soft"/>
    <m/>
    <n v="42000"/>
    <n v="0"/>
    <n v="42000"/>
    <n v="0"/>
    <n v="42000"/>
    <n v="31500"/>
    <n v="-10500"/>
    <m/>
    <m/>
    <n v="42000"/>
    <n v="0"/>
    <m/>
  </r>
  <r>
    <s v="Below the Line"/>
    <x v="2"/>
    <s v="PREP"/>
    <s v="NOM"/>
    <x v="1614"/>
    <s v="Prep"/>
    <m/>
    <n v="94500"/>
    <n v="0"/>
    <n v="94500"/>
    <n v="0"/>
    <n v="94500"/>
    <n v="101250"/>
    <n v="6750"/>
    <m/>
    <m/>
    <n v="94500"/>
    <n v="0"/>
    <m/>
  </r>
  <r>
    <s v="Below the Line"/>
    <x v="2"/>
    <s v="SHOOT"/>
    <s v="NOM"/>
    <x v="1615"/>
    <s v="Shoot"/>
    <m/>
    <n v="73500"/>
    <n v="0"/>
    <n v="73500"/>
    <n v="0"/>
    <n v="73500"/>
    <n v="78750"/>
    <n v="5250"/>
    <m/>
    <m/>
    <n v="73500"/>
    <n v="0"/>
    <m/>
  </r>
  <r>
    <s v="Below the Line"/>
    <x v="2"/>
    <s v=""/>
    <s v="NOM"/>
    <x v="1616"/>
    <s v="Scouter #2 Carlo Taylor"/>
    <m/>
    <n v="0"/>
    <n v="0"/>
    <n v="0"/>
    <n v="0"/>
    <n v="0"/>
    <n v="0"/>
    <n v="0"/>
    <m/>
    <m/>
    <n v="0"/>
    <n v="0"/>
    <m/>
  </r>
  <r>
    <s v="Below the Line"/>
    <x v="2"/>
    <s v="PREP"/>
    <s v="NOM"/>
    <x v="1617"/>
    <s v="Prep"/>
    <m/>
    <n v="94500"/>
    <n v="0"/>
    <n v="94500"/>
    <n v="0"/>
    <n v="94500"/>
    <n v="90000"/>
    <n v="-4500"/>
    <m/>
    <m/>
    <n v="94500"/>
    <n v="0"/>
    <m/>
  </r>
  <r>
    <s v="Below the Line"/>
    <x v="2"/>
    <s v="SHOOT"/>
    <s v="NOM"/>
    <x v="1618"/>
    <s v="Shoot"/>
    <m/>
    <n v="73500"/>
    <n v="0"/>
    <n v="73500"/>
    <n v="0"/>
    <n v="73500"/>
    <n v="70000"/>
    <n v="-3500"/>
    <m/>
    <m/>
    <n v="73500"/>
    <n v="0"/>
    <m/>
  </r>
  <r>
    <s v="Below the Line"/>
    <x v="2"/>
    <s v=""/>
    <s v="NOM"/>
    <x v="1619"/>
    <s v="Scouter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0"/>
    <s v="Prep"/>
    <m/>
    <n v="40000"/>
    <n v="0"/>
    <n v="40000"/>
    <n v="0"/>
    <n v="40000"/>
    <n v="40000"/>
    <n v="0"/>
    <m/>
    <m/>
    <n v="40000"/>
    <n v="0"/>
    <m/>
  </r>
  <r>
    <s v="Below the Line"/>
    <x v="2"/>
    <s v=""/>
    <s v="NOM"/>
    <x v="1621"/>
    <s v="Asistente de Locaciones On Set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2"/>
    <s v="Prep"/>
    <m/>
    <n v="8000"/>
    <n v="0"/>
    <n v="8000"/>
    <n v="0"/>
    <n v="8000"/>
    <n v="8000"/>
    <n v="0"/>
    <m/>
    <m/>
    <n v="8000"/>
    <n v="0"/>
    <m/>
  </r>
  <r>
    <s v="Below the Line"/>
    <x v="2"/>
    <s v="SHOOT"/>
    <s v="NOM"/>
    <x v="1623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5"/>
    <s v="Shoot"/>
    <m/>
    <n v="0"/>
    <n v="0"/>
    <n v="0"/>
    <n v="0"/>
    <n v="0"/>
    <n v="10500"/>
    <n v="10500"/>
    <m/>
    <m/>
    <n v="0"/>
    <n v="0"/>
    <m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7"/>
    <s v="Shoot"/>
    <m/>
    <n v="16500"/>
    <n v="0"/>
    <n v="16500"/>
    <n v="0"/>
    <n v="16500"/>
    <n v="6000"/>
    <n v="-10500"/>
    <m/>
    <m/>
    <n v="16500"/>
    <n v="0"/>
    <m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629"/>
    <s v="Prep"/>
    <m/>
    <n v="8500"/>
    <n v="0"/>
    <n v="8500"/>
    <n v="0"/>
    <n v="8500"/>
    <n v="8000"/>
    <n v="-500"/>
    <m/>
    <m/>
    <n v="8500"/>
    <n v="0"/>
    <m/>
  </r>
  <r>
    <s v="Below the Line"/>
    <x v="2"/>
    <s v="2nd Unit"/>
    <s v="NOM"/>
    <x v="1630"/>
    <s v="Shoot"/>
    <m/>
    <n v="19940"/>
    <n v="0"/>
    <n v="19940"/>
    <n v="0"/>
    <n v="19940"/>
    <n v="16000"/>
    <n v="-3940"/>
    <m/>
    <m/>
    <n v="19940"/>
    <n v="0"/>
    <m/>
  </r>
  <r>
    <s v="Below the Line"/>
    <x v="1"/>
    <m/>
    <m/>
    <x v="1631"/>
    <s v="SEGURIDAD EN SET"/>
    <m/>
    <n v="313050"/>
    <n v="0"/>
    <n v="313050"/>
    <n v="0"/>
    <n v="313050"/>
    <n v="317300"/>
    <n v="4250"/>
    <m/>
    <m/>
    <n v="313050"/>
    <n v="0"/>
    <m/>
  </r>
  <r>
    <s v="Below the Line"/>
    <x v="2"/>
    <s v=""/>
    <m/>
    <x v="1632"/>
    <s v="Security - Titanes "/>
    <m/>
    <n v="0"/>
    <n v="0"/>
    <n v="0"/>
    <n v="0"/>
    <n v="0"/>
    <n v="0"/>
    <n v="0"/>
    <m/>
    <m/>
    <n v="0"/>
    <n v="0"/>
    <m/>
  </r>
  <r>
    <s v="Below the Line"/>
    <x v="2"/>
    <s v=""/>
    <m/>
    <x v="1633"/>
    <s v="Guards Shifts - "/>
    <m/>
    <n v="0"/>
    <n v="0"/>
    <n v="0"/>
    <n v="0"/>
    <n v="0"/>
    <n v="0"/>
    <n v="0"/>
    <m/>
    <m/>
    <n v="0"/>
    <n v="0"/>
    <m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  <m/>
    <m/>
    <n v="218350"/>
    <n v="0"/>
    <m/>
  </r>
  <r>
    <s v="Below the Line"/>
    <x v="2"/>
    <s v="SHOOT"/>
    <m/>
    <x v="1635"/>
    <s v="Night Shifts"/>
    <m/>
    <n v="4200"/>
    <n v="0"/>
    <n v="4200"/>
    <n v="0"/>
    <n v="4200"/>
    <n v="5700"/>
    <n v="1500"/>
    <m/>
    <m/>
    <n v="4200"/>
    <n v="0"/>
    <m/>
  </r>
  <r>
    <s v="Below the Line"/>
    <x v="2"/>
    <s v="SHOOT"/>
    <m/>
    <x v="1636"/>
    <s v="Advance (Cones Parking)"/>
    <m/>
    <n v="37550"/>
    <n v="0"/>
    <n v="37550"/>
    <n v="0"/>
    <n v="37550"/>
    <n v="39900"/>
    <n v="2350"/>
    <m/>
    <m/>
    <n v="37550"/>
    <n v="0"/>
    <m/>
  </r>
  <r>
    <s v="Below the Line"/>
    <x v="2"/>
    <s v=""/>
    <m/>
    <x v="1637"/>
    <s v="Guards Shifts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638"/>
    <s v="Shooting Daily Guards"/>
    <m/>
    <n v="38700"/>
    <n v="0"/>
    <n v="38700"/>
    <n v="0"/>
    <n v="38700"/>
    <n v="57000"/>
    <n v="18300"/>
    <m/>
    <m/>
    <n v="38700"/>
    <n v="0"/>
    <m/>
  </r>
  <r>
    <s v="Below the Line"/>
    <x v="2"/>
    <s v="2nd Unit"/>
    <m/>
    <x v="1639"/>
    <s v="Night Shifts"/>
    <m/>
    <n v="2850"/>
    <n v="0"/>
    <n v="2850"/>
    <n v="0"/>
    <n v="2850"/>
    <n v="3800"/>
    <n v="950"/>
    <m/>
    <m/>
    <n v="2850"/>
    <n v="0"/>
    <m/>
  </r>
  <r>
    <s v="Below the Line"/>
    <x v="2"/>
    <s v="2nd Unit"/>
    <m/>
    <x v="1640"/>
    <s v="Advance (Cones Parking) "/>
    <m/>
    <n v="11400"/>
    <n v="0"/>
    <n v="11400"/>
    <n v="0"/>
    <n v="11400"/>
    <n v="11400"/>
    <n v="0"/>
    <m/>
    <m/>
    <n v="11400"/>
    <n v="0"/>
    <m/>
  </r>
  <r>
    <s v="Below the Line"/>
    <x v="1"/>
    <m/>
    <m/>
    <x v="1641"/>
    <s v="PRIMEROS AUXILIOS"/>
    <m/>
    <n v="65000"/>
    <n v="0"/>
    <n v="65000"/>
    <n v="0"/>
    <n v="65000"/>
    <n v="100000"/>
    <n v="35000"/>
    <m/>
    <m/>
    <n v="65000"/>
    <n v="0"/>
    <m/>
  </r>
  <r>
    <s v="Below the Line"/>
    <x v="2"/>
    <s v=""/>
    <m/>
    <x v="1642"/>
    <s v="Ambulance - Kilian Pérez Gutiérrez"/>
    <m/>
    <n v="0"/>
    <n v="0"/>
    <n v="0"/>
    <n v="0"/>
    <n v="0"/>
    <n v="0"/>
    <n v="0"/>
    <m/>
    <m/>
    <n v="0"/>
    <n v="0"/>
    <m/>
  </r>
  <r>
    <s v="Below the Line"/>
    <x v="2"/>
    <s v="SHOOT"/>
    <m/>
    <x v="1643"/>
    <s v="Shooting Days"/>
    <m/>
    <n v="65000"/>
    <n v="0"/>
    <n v="65000"/>
    <n v="0"/>
    <n v="65000"/>
    <n v="100000"/>
    <n v="35000"/>
    <m/>
    <m/>
    <n v="65000"/>
    <n v="0"/>
    <m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  <m/>
    <m/>
    <n v="4888857.1999999993"/>
    <n v="-3834.311999999918"/>
    <m/>
  </r>
  <r>
    <s v="Below the Line"/>
    <x v="2"/>
    <s v=""/>
    <m/>
    <x v="1645"/>
    <s v="Catering Service - Bass&amp;Co. "/>
    <m/>
    <n v="0"/>
    <n v="0"/>
    <n v="0"/>
    <n v="0"/>
    <n v="0"/>
    <n v="0"/>
    <n v="0"/>
    <m/>
    <m/>
    <n v="0"/>
    <n v="0"/>
    <m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  <m/>
    <m/>
    <n v="740941.71000000008"/>
    <n v="0"/>
    <m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  <m/>
    <m/>
    <n v="286661.22000000003"/>
    <n v="0"/>
    <m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  <m/>
    <m/>
    <n v="1051555.9100000001"/>
    <n v="0"/>
    <m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  <m/>
    <m/>
    <n v="167090.26999999999"/>
    <n v="0"/>
    <m/>
  </r>
  <r>
    <s v="Below the Line"/>
    <x v="2"/>
    <s v=""/>
    <m/>
    <x v="1652"/>
    <s v="Aditional set meals"/>
    <m/>
    <n v="0"/>
    <n v="0"/>
    <n v="0"/>
    <n v="0"/>
    <n v="0"/>
    <n v="0"/>
    <n v="0"/>
    <m/>
    <m/>
    <n v="0"/>
    <n v="0"/>
    <m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  <m/>
    <m/>
    <n v="90164.359999999971"/>
    <n v="-3834.3120000000345"/>
    <m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  <m/>
    <m/>
    <n v="794524.4"/>
    <n v="0"/>
    <m/>
  </r>
  <r>
    <s v="Below the Line"/>
    <x v="2"/>
    <s v=""/>
    <m/>
    <x v="1655"/>
    <s v="Catering Services Segunda Unidad - Bass&amp;Co. "/>
    <m/>
    <n v="0"/>
    <n v="0"/>
    <n v="0"/>
    <n v="0"/>
    <n v="0"/>
    <n v="0"/>
    <n v="0"/>
    <m/>
    <m/>
    <n v="0"/>
    <n v="0"/>
    <m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  <m/>
    <m/>
    <n v="163652.75"/>
    <n v="0"/>
    <m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  <m/>
    <m/>
    <n v="125380.26"/>
    <n v="0"/>
    <m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  <m/>
    <m/>
    <n v="218905.02"/>
    <n v="0"/>
    <m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1"/>
    <s v="Cenas"/>
    <m/>
    <n v="0"/>
    <n v="0"/>
    <n v="0"/>
    <n v="0"/>
    <n v="0"/>
    <n v="20900"/>
    <n v="20900"/>
    <m/>
    <m/>
    <n v="0"/>
    <n v="0"/>
    <m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  <m/>
    <m/>
    <n v="4269072.6259999992"/>
    <n v="-985.20000000018626"/>
    <m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  <m/>
    <m/>
    <n v="56016.346000000005"/>
    <n v="0"/>
    <m/>
  </r>
  <r>
    <s v="Below the Line"/>
    <x v="2"/>
    <s v=""/>
    <s v="LOCACIONES"/>
    <x v="1665"/>
    <s v="Fiesta Ranchera - Labor de Riv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  <m/>
    <m/>
    <n v="510500"/>
    <n v="0"/>
    <m/>
  </r>
  <r>
    <s v="Below the Line"/>
    <x v="2"/>
    <s v=""/>
    <s v="LOCACIONES"/>
    <x v="1667"/>
    <s v="Granja El Manantial"/>
    <m/>
    <n v="0"/>
    <n v="0"/>
    <n v="0"/>
    <n v="0"/>
    <m/>
    <n v="0"/>
    <n v="0"/>
    <m/>
    <m/>
    <m/>
    <n v="0"/>
    <m/>
  </r>
  <r>
    <s v="Below the Line"/>
    <x v="2"/>
    <s v="SHOOT"/>
    <s v="LOCACIONES"/>
    <x v="1668"/>
    <s v="Shoot"/>
    <m/>
    <n v="571000"/>
    <n v="0"/>
    <n v="571000"/>
    <n v="0"/>
    <n v="571000"/>
    <n v="571000"/>
    <n v="0"/>
    <m/>
    <m/>
    <n v="571000"/>
    <n v="0"/>
    <m/>
  </r>
  <r>
    <s v="Below the Line"/>
    <x v="2"/>
    <s v=""/>
    <s v="LOCACIONES"/>
    <x v="1669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0"/>
    <s v="Shoot"/>
    <m/>
    <n v="700000"/>
    <n v="0"/>
    <n v="700000"/>
    <n v="0"/>
    <n v="700000"/>
    <n v="700000"/>
    <n v="0"/>
    <m/>
    <m/>
    <n v="700000"/>
    <n v="0"/>
    <m/>
  </r>
  <r>
    <s v="Below the Line"/>
    <x v="2"/>
    <s v=""/>
    <s v="LOCACIONES"/>
    <x v="167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2"/>
    <s v="Shoot"/>
    <m/>
    <n v="75000"/>
    <n v="0"/>
    <n v="75000"/>
    <n v="0"/>
    <n v="75000"/>
    <n v="75000"/>
    <n v="0"/>
    <m/>
    <m/>
    <n v="75000"/>
    <n v="0"/>
    <m/>
  </r>
  <r>
    <s v="Below the Line"/>
    <x v="2"/>
    <s v=""/>
    <s v="LOCACIONES"/>
    <x v="1673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4"/>
    <s v="Shoot"/>
    <m/>
    <n v="70000"/>
    <n v="0"/>
    <n v="70000"/>
    <n v="0"/>
    <n v="70000"/>
    <n v="15000"/>
    <n v="-55000"/>
    <m/>
    <m/>
    <n v="70000"/>
    <n v="0"/>
    <m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  <m/>
    <m/>
    <n v="140000"/>
    <n v="0"/>
    <m/>
  </r>
  <r>
    <s v="Below the Line"/>
    <x v="2"/>
    <s v=""/>
    <s v="LOCACIONES"/>
    <x v="1677"/>
    <s v="Clínica Ginecólog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8"/>
    <s v="Shoot"/>
    <m/>
    <n v="60000"/>
    <n v="0"/>
    <n v="60000"/>
    <n v="0"/>
    <n v="60000"/>
    <n v="25000"/>
    <n v="-35000"/>
    <m/>
    <m/>
    <n v="60000"/>
    <n v="0"/>
    <m/>
  </r>
  <r>
    <s v="Below the Line"/>
    <x v="2"/>
    <s v=""/>
    <s v="LOCACIONES"/>
    <x v="1679"/>
    <s v="Oficina Perla Salgad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  <m/>
    <m/>
    <n v="77586.210000000006"/>
    <n v="0"/>
    <m/>
  </r>
  <r>
    <s v="Below the Line"/>
    <x v="2"/>
    <s v=""/>
    <s v="LOCACIONES"/>
    <x v="1681"/>
    <s v="Oficina Wedding Planner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2"/>
    <s v="Shoot"/>
    <m/>
    <n v="0"/>
    <n v="0"/>
    <n v="0"/>
    <n v="0"/>
    <n v="0"/>
    <n v="58189.66"/>
    <n v="58189.66"/>
    <m/>
    <m/>
    <n v="0"/>
    <n v="0"/>
    <m/>
  </r>
  <r>
    <s v="Below the Line"/>
    <x v="2"/>
    <s v=""/>
    <s v="LOCACIONES"/>
    <x v="1683"/>
    <s v="Oficina Financi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  <m/>
    <m/>
    <n v="429685"/>
    <n v="0"/>
    <m/>
  </r>
  <r>
    <s v="Below the Line"/>
    <x v="2"/>
    <s v=""/>
    <s v="LOCACIONES"/>
    <x v="1685"/>
    <s v="Veterina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6"/>
    <s v="Shoot"/>
    <m/>
    <n v="15000"/>
    <n v="0"/>
    <n v="15000"/>
    <n v="0"/>
    <n v="15000"/>
    <n v="30000"/>
    <n v="15000"/>
    <m/>
    <m/>
    <n v="15000"/>
    <n v="0"/>
    <m/>
  </r>
  <r>
    <s v="Below the Line"/>
    <x v="2"/>
    <s v=""/>
    <s v="LOCACIONES"/>
    <x v="1687"/>
    <s v="Cafeterí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8"/>
    <s v="Shoot"/>
    <m/>
    <n v="15000"/>
    <n v="0"/>
    <n v="15000"/>
    <n v="0"/>
    <n v="15000"/>
    <n v="40000"/>
    <n v="25000"/>
    <m/>
    <m/>
    <n v="15000"/>
    <n v="0"/>
    <m/>
  </r>
  <r>
    <s v="Below the Line"/>
    <x v="2"/>
    <s v=""/>
    <s v="LOCACIONES"/>
    <x v="1689"/>
    <s v="Cafetería 2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0"/>
    <s v="Shoot"/>
    <m/>
    <n v="20000"/>
    <n v="0"/>
    <n v="20000"/>
    <n v="0"/>
    <n v="20000"/>
    <n v="25000"/>
    <n v="5000"/>
    <m/>
    <m/>
    <n v="20000"/>
    <n v="0"/>
    <m/>
  </r>
  <r>
    <s v="Below the Line"/>
    <x v="2"/>
    <s v=""/>
    <s v="LOCACIONES"/>
    <x v="1691"/>
    <s v="Oficina Joaquí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2"/>
    <s v="Shoot"/>
    <m/>
    <n v="45000"/>
    <n v="0"/>
    <n v="45000"/>
    <n v="0"/>
    <n v="45000"/>
    <n v="45000"/>
    <n v="0"/>
    <m/>
    <m/>
    <n v="45000"/>
    <n v="0"/>
    <m/>
  </r>
  <r>
    <s v="Below the Line"/>
    <x v="2"/>
    <s v=""/>
    <s v="LOCACIONES"/>
    <x v="1693"/>
    <s v="Disqu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4"/>
    <s v="Shoot"/>
    <m/>
    <n v="51750"/>
    <n v="0"/>
    <n v="51750"/>
    <n v="0"/>
    <n v="51750"/>
    <n v="45000"/>
    <n v="-6750"/>
    <m/>
    <m/>
    <n v="51750"/>
    <n v="0"/>
    <m/>
  </r>
  <r>
    <s v="Below the Line"/>
    <x v="2"/>
    <s v=""/>
    <s v="LOCACIONES"/>
    <x v="1695"/>
    <s v="Centro Comerc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6"/>
    <s v="Shoot"/>
    <m/>
    <n v="80000"/>
    <n v="0"/>
    <n v="80000"/>
    <n v="0"/>
    <n v="80000"/>
    <n v="100000"/>
    <n v="20000"/>
    <m/>
    <m/>
    <n v="80000"/>
    <n v="0"/>
    <m/>
  </r>
  <r>
    <s v="Below the Line"/>
    <x v="2"/>
    <s v=""/>
    <s v="LOCACIONES"/>
    <x v="1697"/>
    <s v="Eco Solucione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8"/>
    <s v="Shoot"/>
    <m/>
    <n v="157000"/>
    <n v="0"/>
    <n v="157000"/>
    <n v="0"/>
    <n v="157000"/>
    <n v="150000"/>
    <n v="-7000"/>
    <m/>
    <m/>
    <n v="157000"/>
    <n v="0"/>
    <m/>
  </r>
  <r>
    <s v="Below the Line"/>
    <x v="2"/>
    <s v=""/>
    <s v="LOCACIONES"/>
    <x v="1699"/>
    <s v="Casa Joaqui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0"/>
    <s v="Shoot"/>
    <m/>
    <n v="125000"/>
    <n v="0"/>
    <n v="125000"/>
    <n v="0"/>
    <n v="125000"/>
    <n v="125000"/>
    <n v="0"/>
    <m/>
    <m/>
    <n v="125000"/>
    <n v="0"/>
    <m/>
  </r>
  <r>
    <s v="Below the Line"/>
    <x v="2"/>
    <s v=""/>
    <s v="LOCACIONES"/>
    <x v="1701"/>
    <s v="Casa Romi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2"/>
    <s v="Shoot"/>
    <m/>
    <n v="45000"/>
    <n v="0"/>
    <n v="45000"/>
    <n v="0"/>
    <n v="45000"/>
    <n v="60000"/>
    <n v="15000"/>
    <m/>
    <m/>
    <n v="45000"/>
    <n v="0"/>
    <m/>
  </r>
  <r>
    <s v="Below the Line"/>
    <x v="2"/>
    <s v=""/>
    <s v="LOCACIONES"/>
    <x v="1703"/>
    <s v="Puesto de Tac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4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05"/>
    <s v="Departamento Mati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6"/>
    <s v="Shoot"/>
    <m/>
    <n v="300000"/>
    <n v="0"/>
    <n v="300000"/>
    <n v="0"/>
    <n v="300000"/>
    <n v="300000"/>
    <n v="0"/>
    <m/>
    <m/>
    <n v="300000"/>
    <n v="0"/>
    <m/>
  </r>
  <r>
    <s v="Below the Line"/>
    <x v="2"/>
    <s v=""/>
    <s v="LOCACIONES"/>
    <x v="1707"/>
    <s v="Bar Sencill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8"/>
    <s v="Shoot"/>
    <m/>
    <n v="25000"/>
    <n v="0"/>
    <n v="25000"/>
    <n v="0"/>
    <n v="25000"/>
    <n v="50000"/>
    <n v="25000"/>
    <m/>
    <m/>
    <n v="25000"/>
    <n v="0"/>
    <m/>
  </r>
  <r>
    <s v="Below the Line"/>
    <x v="2"/>
    <s v=""/>
    <s v="LOCACIONES"/>
    <x v="1709"/>
    <s v="Restaurante Pastele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0"/>
    <s v="Shoot"/>
    <m/>
    <n v="35000"/>
    <n v="0"/>
    <n v="35000"/>
    <n v="0"/>
    <n v="35000"/>
    <n v="25000"/>
    <n v="-10000"/>
    <m/>
    <m/>
    <n v="35000"/>
    <n v="0"/>
    <m/>
  </r>
  <r>
    <s v="Below the Line"/>
    <x v="2"/>
    <s v=""/>
    <s v="LOCACIONES"/>
    <x v="1711"/>
    <s v="Terreno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2"/>
    <s v="Shoot"/>
    <m/>
    <n v="50000"/>
    <n v="0"/>
    <n v="50000"/>
    <n v="0"/>
    <n v="50000"/>
    <n v="55000"/>
    <n v="5000"/>
    <m/>
    <m/>
    <n v="50000"/>
    <n v="0"/>
    <m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4"/>
    <s v="Shoot"/>
    <m/>
    <n v="40000"/>
    <n v="0"/>
    <n v="40000"/>
    <n v="0"/>
    <n v="40000"/>
    <n v="60000"/>
    <n v="20000"/>
    <m/>
    <m/>
    <n v="40000"/>
    <n v="0"/>
    <m/>
  </r>
  <r>
    <s v="Below the Line"/>
    <x v="2"/>
    <s v=""/>
    <s v="LOCACIONES"/>
    <x v="1715"/>
    <s v="Desfile Cap 7.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6"/>
    <s v="Shoot"/>
    <m/>
    <n v="58000"/>
    <n v="0"/>
    <n v="58000"/>
    <n v="0"/>
    <n v="58000"/>
    <n v="56187.5"/>
    <n v="-1812.5"/>
    <m/>
    <m/>
    <n v="58000"/>
    <n v="0"/>
    <m/>
  </r>
  <r>
    <s v="Below the Line"/>
    <x v="2"/>
    <s v=""/>
    <s v="LOCACIONES"/>
    <x v="1717"/>
    <s v="Escuela de Músic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  <m/>
    <m/>
    <n v="102830.72"/>
    <n v="0"/>
    <m/>
  </r>
  <r>
    <s v="Below the Line"/>
    <x v="2"/>
    <s v=""/>
    <s v="LOCACIONES"/>
    <x v="1719"/>
    <s v="Igles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  <m/>
    <m/>
    <n v="8620.7099999999991"/>
    <n v="0"/>
    <m/>
  </r>
  <r>
    <s v="Below the Line"/>
    <x v="2"/>
    <s v=""/>
    <s v="LOCACIONES"/>
    <x v="1721"/>
    <s v="Calle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2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23"/>
    <s v="Calles Centr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4"/>
    <s v="Shoot"/>
    <m/>
    <n v="0"/>
    <n v="0"/>
    <n v="0"/>
    <n v="0"/>
    <n v="0"/>
    <n v="5000"/>
    <n v="5000"/>
    <m/>
    <m/>
    <n v="0"/>
    <n v="0"/>
    <m/>
  </r>
  <r>
    <s v="Below the Line"/>
    <x v="2"/>
    <s v=""/>
    <s v="LOCACIONES"/>
    <x v="1725"/>
    <s v="Location Allow"/>
    <m/>
    <n v="0"/>
    <n v="0"/>
    <n v="0"/>
    <n v="0"/>
    <n v="0"/>
    <n v="0"/>
    <n v="0"/>
    <m/>
    <m/>
    <n v="0"/>
    <n v="0"/>
    <m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  <m/>
    <m/>
    <n v="2155.17"/>
    <n v="0"/>
    <m/>
  </r>
  <r>
    <s v="Below the Line"/>
    <x v="2"/>
    <s v=""/>
    <s v="LOCACIONES"/>
    <x v="1727"/>
    <s v="Base Camp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  <m/>
    <m/>
    <n v="89280.34"/>
    <n v="0"/>
    <m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  <m/>
    <m/>
    <n v="144979.03"/>
    <n v="0"/>
    <m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  <m/>
    <m/>
    <n v="42975.710000000006"/>
    <n v="0"/>
    <m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  <m/>
    <m/>
    <n v="60000"/>
    <n v="0"/>
    <m/>
  </r>
  <r>
    <s v="Below the Line"/>
    <x v="2"/>
    <s v=""/>
    <s v="LOCACIONES"/>
    <x v="1732"/>
    <s v="Parking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  <m/>
    <m/>
    <n v="30882.180000000004"/>
    <n v="-985.19999999999345"/>
    <m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  <m/>
    <m/>
    <n v="35811.21"/>
    <n v="0"/>
    <m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  <m/>
    <m/>
    <n v="115485.15"/>
    <n v="-101.92799999999988"/>
    <m/>
  </r>
  <r>
    <s v="Below the Line"/>
    <x v="2"/>
    <s v=""/>
    <s v="NOM"/>
    <x v="1736"/>
    <s v="Doctor - Maria Elena Magallón"/>
    <m/>
    <n v="0"/>
    <n v="0"/>
    <n v="0"/>
    <n v="0"/>
    <n v="0"/>
    <n v="0"/>
    <n v="0"/>
    <m/>
    <m/>
    <n v="0"/>
    <n v="0"/>
    <m/>
  </r>
  <r>
    <s v="Below the Line"/>
    <x v="2"/>
    <s v="PREP"/>
    <s v="NOM"/>
    <x v="1737"/>
    <s v="Prep"/>
    <m/>
    <n v="3000"/>
    <n v="0"/>
    <n v="3000"/>
    <n v="0"/>
    <n v="3000"/>
    <n v="3000"/>
    <n v="0"/>
    <m/>
    <m/>
    <n v="3000"/>
    <n v="0"/>
    <m/>
  </r>
  <r>
    <s v="Below the Line"/>
    <x v="2"/>
    <s v="SHOOT"/>
    <s v="NOM"/>
    <x v="1738"/>
    <s v="Shoot"/>
    <m/>
    <n v="86000"/>
    <n v="0"/>
    <n v="86000"/>
    <n v="0"/>
    <n v="86000"/>
    <n v="70000"/>
    <n v="-16000"/>
    <m/>
    <m/>
    <n v="86000"/>
    <n v="0"/>
    <m/>
  </r>
  <r>
    <s v="Below the Line"/>
    <x v="2"/>
    <s v="WRAP"/>
    <s v="NOM"/>
    <x v="173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740"/>
    <s v="Docto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741"/>
    <s v="Prep"/>
    <m/>
    <n v="0"/>
    <n v="0"/>
    <n v="0"/>
    <n v="0"/>
    <n v="0"/>
    <n v="3000"/>
    <n v="3000"/>
    <m/>
    <m/>
    <n v="0"/>
    <n v="0"/>
    <m/>
  </r>
  <r>
    <s v="Below the Line"/>
    <x v="2"/>
    <s v="2nd Unit"/>
    <s v="NOM"/>
    <x v="1742"/>
    <s v="Shoot"/>
    <m/>
    <n v="24000"/>
    <n v="0"/>
    <n v="24000"/>
    <n v="0"/>
    <n v="24000"/>
    <n v="20000"/>
    <n v="-4000"/>
    <m/>
    <m/>
    <n v="24000"/>
    <n v="0"/>
    <m/>
  </r>
  <r>
    <s v="Below the Line"/>
    <x v="2"/>
    <s v="2nd Unit"/>
    <s v="NOM"/>
    <x v="1743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744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  <m/>
    <m/>
    <n v="2485.1499999999996"/>
    <n v="-101.92799999999988"/>
    <m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  <m/>
    <m/>
    <n v="947688.02000000014"/>
    <n v="-217.19999999995343"/>
    <m/>
  </r>
  <r>
    <s v="Below the Line"/>
    <x v="2"/>
    <s v=""/>
    <m/>
    <x v="1747"/>
    <s v="Per Diems (120 MXN por comida)"/>
    <m/>
    <n v="0"/>
    <n v="0"/>
    <n v="0"/>
    <n v="0"/>
    <n v="0"/>
    <n v="0"/>
    <n v="0"/>
    <m/>
    <m/>
    <n v="0"/>
    <n v="0"/>
    <m/>
  </r>
  <r>
    <s v="Below the Line"/>
    <x v="2"/>
    <s v=""/>
    <m/>
    <x v="1748"/>
    <s v="Arte"/>
    <m/>
    <n v="0"/>
    <n v="0"/>
    <n v="0"/>
    <n v="0"/>
    <n v="0"/>
    <n v="0"/>
    <n v="0"/>
    <m/>
    <m/>
    <n v="0"/>
    <n v="0"/>
    <m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  <m/>
    <m/>
    <n v="51866.340000000004"/>
    <n v="0"/>
    <m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  <m/>
    <m/>
    <n v="139772.88999999998"/>
    <n v="0"/>
    <m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  <m/>
    <m/>
    <n v="42225.87"/>
    <n v="0"/>
    <m/>
  </r>
  <r>
    <s v="Below the Line"/>
    <x v="2"/>
    <s v=""/>
    <m/>
    <x v="1752"/>
    <s v="Vestuario"/>
    <m/>
    <n v="0"/>
    <n v="0"/>
    <n v="0"/>
    <n v="0"/>
    <n v="0"/>
    <n v="0"/>
    <n v="0"/>
    <m/>
    <m/>
    <n v="0"/>
    <n v="0"/>
    <m/>
  </r>
  <r>
    <s v="Below the Line"/>
    <x v="2"/>
    <s v="SHOOT"/>
    <m/>
    <x v="1753"/>
    <s v="Shoot"/>
    <m/>
    <n v="0"/>
    <n v="0"/>
    <n v="0"/>
    <n v="0"/>
    <n v="0"/>
    <n v="5880"/>
    <n v="5880"/>
    <m/>
    <m/>
    <n v="0"/>
    <n v="0"/>
    <m/>
  </r>
  <r>
    <s v="Below the Line"/>
    <x v="2"/>
    <s v=""/>
    <m/>
    <x v="1754"/>
    <s v="Locaciones"/>
    <m/>
    <n v="0"/>
    <n v="0"/>
    <n v="0"/>
    <n v="0"/>
    <n v="0"/>
    <n v="0"/>
    <n v="0"/>
    <m/>
    <m/>
    <n v="0"/>
    <n v="0"/>
    <m/>
  </r>
  <r>
    <s v="Below the Line"/>
    <x v="2"/>
    <s v="PREP"/>
    <m/>
    <x v="1755"/>
    <s v="Prep"/>
    <m/>
    <n v="2014.09"/>
    <n v="0"/>
    <n v="2014.09"/>
    <n v="0"/>
    <n v="2014.09"/>
    <n v="6480"/>
    <n v="4465.91"/>
    <m/>
    <m/>
    <n v="2014.09"/>
    <n v="0"/>
    <m/>
  </r>
  <r>
    <s v="Below the Line"/>
    <x v="2"/>
    <s v="SHOOT"/>
    <m/>
    <x v="1756"/>
    <s v="Shoot"/>
    <m/>
    <n v="10841"/>
    <n v="0"/>
    <n v="10841"/>
    <n v="0"/>
    <n v="10841"/>
    <n v="5880"/>
    <n v="-4961"/>
    <m/>
    <m/>
    <n v="10841"/>
    <n v="0"/>
    <m/>
  </r>
  <r>
    <s v="Below the Line"/>
    <x v="2"/>
    <s v=""/>
    <m/>
    <x v="1757"/>
    <s v="Seguridad"/>
    <m/>
    <n v="0"/>
    <n v="0"/>
    <n v="0"/>
    <n v="0"/>
    <n v="0"/>
    <n v="0"/>
    <n v="0"/>
    <m/>
    <m/>
    <n v="0"/>
    <n v="0"/>
    <m/>
  </r>
  <r>
    <s v="Below the Line"/>
    <x v="2"/>
    <s v="SHOOT"/>
    <m/>
    <x v="1758"/>
    <s v="Shoot"/>
    <m/>
    <n v="0"/>
    <n v="0"/>
    <n v="0"/>
    <n v="0"/>
    <n v="0"/>
    <n v="11760"/>
    <n v="11760"/>
    <m/>
    <m/>
    <n v="0"/>
    <n v="0"/>
    <m/>
  </r>
  <r>
    <s v="Below the Line"/>
    <x v="2"/>
    <s v=""/>
    <m/>
    <x v="1759"/>
    <s v="Transporta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  <m/>
    <m/>
    <n v="41754.370000000003"/>
    <n v="0"/>
    <m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  <m/>
    <m/>
    <n v="395099.49000000017"/>
    <n v="0"/>
    <m/>
  </r>
  <r>
    <s v="Below the Line"/>
    <x v="2"/>
    <s v=""/>
    <m/>
    <x v="1762"/>
    <s v="Per Diem Transpor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  <m/>
    <m/>
    <n v="77054.309999999983"/>
    <n v="0"/>
    <m/>
  </r>
  <r>
    <s v="Below the Line"/>
    <x v="2"/>
    <s v=""/>
    <m/>
    <x v="1764"/>
    <s v="Per Diem Alimentación"/>
    <m/>
    <n v="0"/>
    <n v="0"/>
    <n v="0"/>
    <n v="0"/>
    <n v="0"/>
    <n v="0"/>
    <n v="0"/>
    <m/>
    <m/>
    <n v="0"/>
    <n v="0"/>
    <m/>
  </r>
  <r>
    <s v="Below the Line"/>
    <x v="2"/>
    <s v="PREP"/>
    <m/>
    <x v="1765"/>
    <s v="Prep"/>
    <m/>
    <n v="16200"/>
    <n v="0"/>
    <n v="16200"/>
    <n v="0"/>
    <n v="16200"/>
    <n v="16200"/>
    <n v="0"/>
    <m/>
    <m/>
    <n v="16200"/>
    <n v="0"/>
    <m/>
  </r>
  <r>
    <s v="Below the Line"/>
    <x v="2"/>
    <s v="SHOOT"/>
    <m/>
    <x v="1766"/>
    <s v="Shoot"/>
    <m/>
    <n v="152640"/>
    <n v="0"/>
    <n v="152640"/>
    <n v="0"/>
    <n v="152640"/>
    <n v="113400"/>
    <n v="-39240"/>
    <m/>
    <m/>
    <n v="152640"/>
    <n v="0"/>
    <m/>
  </r>
  <r>
    <s v="Below the Line"/>
    <x v="2"/>
    <s v=""/>
    <m/>
    <x v="1767"/>
    <s v="Per Diem Alimen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768"/>
    <s v="Shoot"/>
    <m/>
    <n v="17280"/>
    <n v="0"/>
    <n v="17280"/>
    <n v="0"/>
    <n v="17280"/>
    <n v="17280"/>
    <n v="0"/>
    <m/>
    <m/>
    <n v="17280"/>
    <n v="0"/>
    <m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  <m/>
    <m/>
    <n v="939.66000000000008"/>
    <n v="-217.20000000000027"/>
    <m/>
  </r>
  <r>
    <s v="Below the Line"/>
    <x v="1"/>
    <m/>
    <m/>
    <x v="1770"/>
    <s v="MISCELANEOS"/>
    <m/>
    <n v="72600"/>
    <n v="0"/>
    <n v="72600"/>
    <n v="0"/>
    <n v="72600"/>
    <n v="80000"/>
    <n v="7400"/>
    <m/>
    <m/>
    <n v="72600"/>
    <n v="0"/>
    <m/>
  </r>
  <r>
    <s v="Below the Line"/>
    <x v="2"/>
    <s v=""/>
    <m/>
    <x v="1771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2"/>
    <s v="Shoot"/>
    <m/>
    <n v="47100"/>
    <n v="0"/>
    <n v="47100"/>
    <n v="0"/>
    <n v="47100"/>
    <n v="52500"/>
    <n v="5400"/>
    <m/>
    <m/>
    <n v="47100"/>
    <n v="0"/>
    <m/>
  </r>
  <r>
    <s v="Below the Line"/>
    <x v="2"/>
    <s v=""/>
    <m/>
    <x v="1773"/>
    <s v="Limpiez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74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"/>
    <m/>
    <x v="1775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6"/>
    <s v="Apoyo de limpieza"/>
    <m/>
    <n v="10500"/>
    <n v="0"/>
    <n v="10500"/>
    <n v="0"/>
    <n v="10500"/>
    <n v="12500"/>
    <n v="2000"/>
    <m/>
    <m/>
    <n v="10500"/>
    <n v="0"/>
    <m/>
  </r>
  <r>
    <s v="Below the Line"/>
    <x v="1"/>
    <m/>
    <m/>
    <x v="1777"/>
    <s v="EXPENDABLES"/>
    <m/>
    <n v="86372.75"/>
    <n v="0"/>
    <n v="86372.75"/>
    <n v="0"/>
    <n v="86372.75"/>
    <n v="60000"/>
    <n v="-26372.75"/>
    <m/>
    <m/>
    <n v="86345.75"/>
    <n v="-27"/>
    <m/>
  </r>
  <r>
    <s v="Below the Line"/>
    <x v="2"/>
    <s v=""/>
    <m/>
    <x v="1778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1779"/>
    <s v="Shoot"/>
    <m/>
    <n v="86372.75"/>
    <n v="0"/>
    <n v="86372.75"/>
    <n v="0"/>
    <n v="86372.75"/>
    <n v="60000"/>
    <n v="-26372.75"/>
    <m/>
    <m/>
    <n v="86345.75"/>
    <n v="-27"/>
    <m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2"/>
    <s v=""/>
    <m/>
    <x v="1781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0"/>
    <m/>
    <m/>
    <x v="1783"/>
    <s v="UNIDAD AEREA"/>
    <m/>
    <n v="299000"/>
    <n v="0"/>
    <n v="299000"/>
    <n v="0"/>
    <n v="299000"/>
    <n v="281000"/>
    <n v="-18000"/>
    <m/>
    <m/>
    <n v="299000"/>
    <n v="0"/>
    <m/>
  </r>
  <r>
    <s v="Below the Line"/>
    <x v="1"/>
    <m/>
    <m/>
    <x v="1784"/>
    <s v="RENTA DE DRONES"/>
    <m/>
    <n v="299000"/>
    <n v="0"/>
    <n v="299000"/>
    <n v="0"/>
    <n v="299000"/>
    <n v="281000"/>
    <n v="-18000"/>
    <m/>
    <m/>
    <n v="299000"/>
    <n v="0"/>
    <m/>
  </r>
  <r>
    <s v="Below the Line"/>
    <x v="2"/>
    <s v=""/>
    <m/>
    <x v="1785"/>
    <s v="Drones - Miguél Villegas"/>
    <m/>
    <n v="0"/>
    <n v="0"/>
    <n v="0"/>
    <n v="0"/>
    <n v="0"/>
    <n v="0"/>
    <n v="0"/>
    <m/>
    <m/>
    <n v="0"/>
    <n v="0"/>
    <m/>
  </r>
  <r>
    <s v="Below the Line"/>
    <x v="2"/>
    <s v="SHOOT"/>
    <m/>
    <x v="1786"/>
    <s v="Dias de acción"/>
    <m/>
    <n v="90000"/>
    <n v="0"/>
    <n v="90000"/>
    <n v="0"/>
    <n v="90000"/>
    <n v="120000"/>
    <n v="30000"/>
    <m/>
    <m/>
    <n v="90000"/>
    <n v="0"/>
    <m/>
  </r>
  <r>
    <s v="Below the Line"/>
    <x v="2"/>
    <s v="SHOOT"/>
    <m/>
    <x v="1787"/>
    <s v="Establishing"/>
    <m/>
    <n v="209000"/>
    <n v="0"/>
    <n v="209000"/>
    <n v="0"/>
    <n v="209000"/>
    <n v="161000"/>
    <n v="-48000"/>
    <m/>
    <m/>
    <n v="209000"/>
    <n v="0"/>
    <m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  <m/>
    <m/>
    <n v="7729523.8000000007"/>
    <n v="-567.05900000035763"/>
    <m/>
  </r>
  <r>
    <s v="Below the Line"/>
    <x v="1"/>
    <m/>
    <m/>
    <x v="1789"/>
    <s v="COORDINACION TRANSPORTE"/>
    <m/>
    <n v="96000"/>
    <n v="0"/>
    <n v="96000"/>
    <n v="0"/>
    <n v="96000"/>
    <n v="128000"/>
    <n v="32000"/>
    <m/>
    <m/>
    <n v="96000"/>
    <n v="0"/>
    <m/>
  </r>
  <r>
    <s v="Below the Line"/>
    <x v="2"/>
    <s v=""/>
    <m/>
    <x v="1790"/>
    <s v="Coordinador de Transporte - Dulce Salazar"/>
    <m/>
    <n v="0"/>
    <n v="0"/>
    <n v="0"/>
    <n v="0"/>
    <n v="0"/>
    <n v="0"/>
    <n v="0"/>
    <m/>
    <m/>
    <n v="0"/>
    <n v="0"/>
    <m/>
  </r>
  <r>
    <s v="Below the Line"/>
    <x v="2"/>
    <s v="PREP"/>
    <m/>
    <x v="1791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792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793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794"/>
    <s v="Coordinador de Transport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95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m/>
    <x v="1796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m/>
    <x v="1797"/>
    <s v="Wrap"/>
    <m/>
    <n v="0"/>
    <n v="0"/>
    <n v="0"/>
    <n v="0"/>
    <n v="0"/>
    <n v="8000"/>
    <n v="8000"/>
    <m/>
    <m/>
    <n v="0"/>
    <n v="0"/>
    <m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  <m/>
    <m/>
    <n v="109505.00000000003"/>
    <n v="-737.10000000000582"/>
    <m/>
  </r>
  <r>
    <s v="Below the Line"/>
    <x v="2"/>
    <s v=""/>
    <m/>
    <x v="1799"/>
    <s v="Casetas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  <m/>
    <m/>
    <n v="28679.93"/>
    <n v="-377.10000000000582"/>
    <m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  <m/>
    <m/>
    <n v="11484.59"/>
    <n v="0"/>
    <m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  <m/>
    <m/>
    <n v="69340.480000000025"/>
    <n v="-360"/>
    <m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  <m/>
    <m/>
    <n v="1327494.4000000001"/>
    <n v="170.04099999996834"/>
    <m/>
  </r>
  <r>
    <s v="Below the Line"/>
    <x v="2"/>
    <s v=""/>
    <m/>
    <x v="1804"/>
    <s v="Gas and Oil U1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  <m/>
    <m/>
    <n v="785657.20000000007"/>
    <n v="0"/>
    <m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  <m/>
    <m/>
    <n v="2344.9700000000003"/>
    <n v="0"/>
    <m/>
  </r>
  <r>
    <s v="Below the Line"/>
    <x v="2"/>
    <s v=""/>
    <m/>
    <x v="1807"/>
    <s v="Gas &amp; Oil - Second Unit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  <m/>
    <m/>
    <n v="89783.47"/>
    <n v="0"/>
    <m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  <m/>
    <m/>
    <n v="379135.25999999995"/>
    <n v="438.24099999997998"/>
    <m/>
  </r>
  <r>
    <s v="Below the Line"/>
    <x v="2"/>
    <s v=""/>
    <m/>
    <x v="1810"/>
    <s v="Gasolina 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  <m/>
    <m/>
    <n v="67602.569999999992"/>
    <n v="0"/>
    <m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  <m/>
    <m/>
    <n v="0"/>
    <n v="0"/>
    <m/>
  </r>
  <r>
    <s v="Below the Line"/>
    <x v="2"/>
    <s v=""/>
    <m/>
    <x v="1813"/>
    <s v="Gasolinas Scouting"/>
    <m/>
    <n v="0"/>
    <n v="0"/>
    <n v="0"/>
    <n v="0"/>
    <n v="0"/>
    <n v="0"/>
    <n v="0"/>
    <m/>
    <m/>
    <n v="0"/>
    <n v="0"/>
    <m/>
  </r>
  <r>
    <s v="Below the Line"/>
    <x v="2"/>
    <s v="PREP"/>
    <m/>
    <x v="1814"/>
    <s v="Scouting 2 - Gasolina"/>
    <m/>
    <n v="1403.12"/>
    <n v="0"/>
    <n v="1403.12"/>
    <n v="0"/>
    <n v="1403.12"/>
    <n v="1403.12"/>
    <n v="0"/>
    <m/>
    <m/>
    <n v="1403.12"/>
    <n v="0"/>
    <m/>
  </r>
  <r>
    <s v="Below the Line"/>
    <x v="2"/>
    <s v="PREP"/>
    <m/>
    <x v="1815"/>
    <s v="Tech Scout"/>
    <m/>
    <n v="1836.01"/>
    <n v="0"/>
    <n v="1836.01"/>
    <n v="0"/>
    <n v="1836.01"/>
    <n v="5000"/>
    <n v="3163.99"/>
    <m/>
    <m/>
    <n v="1567.81"/>
    <n v="-268.20000000000005"/>
    <m/>
  </r>
  <r>
    <s v="Below the Line"/>
    <x v="2"/>
    <s v="SHOOT"/>
    <m/>
    <x v="1816"/>
    <s v="Gastos adicionales"/>
    <m/>
    <n v="0"/>
    <n v="0"/>
    <n v="0"/>
    <n v="0"/>
    <n v="0"/>
    <n v="0"/>
    <n v="0"/>
    <m/>
    <m/>
    <n v="0"/>
    <n v="0"/>
    <m/>
  </r>
  <r>
    <s v="Below the Line"/>
    <x v="1"/>
    <m/>
    <m/>
    <x v="1817"/>
    <s v="DIESEL"/>
    <m/>
    <n v="0"/>
    <n v="0"/>
    <n v="0"/>
    <n v="0"/>
    <n v="0"/>
    <n v="170000"/>
    <n v="170000"/>
    <m/>
    <m/>
    <n v="0"/>
    <n v="0"/>
    <m/>
  </r>
  <r>
    <s v="Below the Line"/>
    <x v="2"/>
    <s v=""/>
    <m/>
    <x v="1818"/>
    <s v="Combustibles Plantas U1"/>
    <m/>
    <n v="0"/>
    <n v="0"/>
    <n v="0"/>
    <n v="0"/>
    <n v="0"/>
    <n v="0"/>
    <n v="0"/>
    <m/>
    <m/>
    <n v="0"/>
    <n v="0"/>
    <m/>
  </r>
  <r>
    <s v="Below the Line"/>
    <x v="2"/>
    <s v="SHOOT"/>
    <m/>
    <x v="1819"/>
    <s v="Diesel (Generators)"/>
    <m/>
    <n v="0"/>
    <n v="0"/>
    <n v="0"/>
    <n v="0"/>
    <n v="0"/>
    <n v="140000"/>
    <n v="140000"/>
    <m/>
    <m/>
    <n v="0"/>
    <n v="0"/>
    <m/>
  </r>
  <r>
    <s v="Below the Line"/>
    <x v="2"/>
    <s v=""/>
    <m/>
    <x v="1820"/>
    <s v="Combustibles Plantas U2"/>
    <m/>
    <n v="0"/>
    <n v="0"/>
    <n v="0"/>
    <n v="0"/>
    <n v="0"/>
    <n v="0"/>
    <n v="0"/>
    <m/>
    <m/>
    <n v="0"/>
    <n v="0"/>
    <m/>
  </r>
  <r>
    <s v="Below the Line"/>
    <x v="2"/>
    <s v="2nd Unit"/>
    <m/>
    <x v="1821"/>
    <s v="Diesel (Generators)"/>
    <m/>
    <n v="0"/>
    <n v="0"/>
    <n v="0"/>
    <n v="0"/>
    <n v="0"/>
    <n v="30000"/>
    <n v="30000"/>
    <m/>
    <m/>
    <n v="0"/>
    <n v="0"/>
    <m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  <m/>
    <m/>
    <n v="6021743.4000000004"/>
    <n v="0"/>
    <m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824"/>
    <s v="Va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  <m/>
    <m/>
    <n v="294840.93000000005"/>
    <n v="0"/>
    <m/>
  </r>
  <r>
    <s v="Below the Line"/>
    <x v="2"/>
    <s v="WRAP"/>
    <s v="BALU"/>
    <x v="1827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28"/>
    <s v="Van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  <m/>
    <m/>
    <n v="40637.380000000005"/>
    <n v="0"/>
    <m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  <m/>
    <m/>
    <n v="294642.83"/>
    <n v="0"/>
    <m/>
  </r>
  <r>
    <s v="Below the Line"/>
    <x v="2"/>
    <s v="WRAP"/>
    <s v="BALU"/>
    <x v="1831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32"/>
    <s v="Van Set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3"/>
    <s v="Prep"/>
    <m/>
    <n v="26158.7"/>
    <n v="0"/>
    <n v="26158.7"/>
    <n v="0"/>
    <n v="26158.7"/>
    <n v="45000"/>
    <n v="18841.3"/>
    <m/>
    <m/>
    <n v="26158.7"/>
    <n v="0"/>
    <m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  <m/>
    <m/>
    <n v="440579.56000000006"/>
    <n v="0"/>
    <m/>
  </r>
  <r>
    <s v="Below the Line"/>
    <x v="2"/>
    <s v="WRAP"/>
    <s v="BALU"/>
    <x v="1835"/>
    <s v="Wrap"/>
    <m/>
    <n v="0"/>
    <n v="0"/>
    <n v="0"/>
    <n v="0"/>
    <n v="0"/>
    <n v="45000"/>
    <n v="45000"/>
    <m/>
    <m/>
    <n v="0"/>
    <n v="0"/>
    <m/>
  </r>
  <r>
    <s v="Below the Line"/>
    <x v="2"/>
    <s v=""/>
    <s v="BALU"/>
    <x v="1836"/>
    <s v="Camio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  <m/>
    <m/>
    <n v="6394.35"/>
    <n v="0"/>
    <m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  <m/>
    <m/>
    <n v="215394.46000000005"/>
    <n v="0"/>
    <m/>
  </r>
  <r>
    <s v="Below the Line"/>
    <x v="2"/>
    <s v="WRAP"/>
    <s v="BALU"/>
    <x v="1839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840"/>
    <s v="Auto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1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  <m/>
    <m/>
    <n v="210149.05000000002"/>
    <n v="0"/>
    <m/>
  </r>
  <r>
    <s v="Below the Line"/>
    <x v="2"/>
    <s v="WRAP"/>
    <s v="BALU"/>
    <x v="1843"/>
    <s v="Wrap"/>
    <m/>
    <n v="0"/>
    <n v="0"/>
    <n v="0"/>
    <n v="0"/>
    <n v="0"/>
    <n v="10800"/>
    <n v="10800"/>
    <m/>
    <m/>
    <n v="0"/>
    <n v="0"/>
    <m/>
  </r>
  <r>
    <s v="Below the Line"/>
    <x v="2"/>
    <s v=""/>
    <m/>
    <x v="1844"/>
    <s v="Auto Producción / Cast Comodín GDL"/>
    <m/>
    <n v="0"/>
    <n v="0"/>
    <n v="0"/>
    <n v="0"/>
    <n v="0"/>
    <n v="0"/>
    <n v="0"/>
    <m/>
    <m/>
    <n v="0"/>
    <n v="0"/>
    <m/>
  </r>
  <r>
    <s v="Below the Line"/>
    <x v="2"/>
    <s v="PREP"/>
    <m/>
    <x v="1845"/>
    <s v="Prep"/>
    <m/>
    <n v="0"/>
    <n v="0"/>
    <n v="0"/>
    <n v="0"/>
    <n v="0"/>
    <n v="5400"/>
    <n v="5400"/>
    <m/>
    <m/>
    <n v="0"/>
    <n v="0"/>
    <m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  <m/>
    <m/>
    <n v="81319.010000000038"/>
    <n v="0"/>
    <m/>
  </r>
  <r>
    <s v="Below the Line"/>
    <x v="2"/>
    <s v="WRAP"/>
    <m/>
    <x v="1847"/>
    <s v="Wrap"/>
    <m/>
    <n v="0"/>
    <n v="0"/>
    <n v="0"/>
    <n v="0"/>
    <n v="0"/>
    <n v="5400"/>
    <n v="5400"/>
    <m/>
    <m/>
    <n v="0"/>
    <n v="0"/>
    <m/>
  </r>
  <r>
    <s v="Below the Line"/>
    <x v="2"/>
    <s v=""/>
    <s v="BALU"/>
    <x v="1848"/>
    <s v="Auto Sandra, Ivan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9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  <m/>
    <m/>
    <n v="210149.04"/>
    <n v="0"/>
    <m/>
  </r>
  <r>
    <s v="Below the Line"/>
    <x v="2"/>
    <s v="WRAP"/>
    <s v="BALU"/>
    <x v="1851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852"/>
    <s v="Vanette Arte Se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55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56"/>
    <s v="Vanette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7"/>
    <s v="Prep"/>
    <m/>
    <n v="32905.75"/>
    <n v="0"/>
    <n v="32905.75"/>
    <n v="0"/>
    <n v="32905.75"/>
    <n v="44000"/>
    <n v="11094.25"/>
    <m/>
    <m/>
    <n v="32905.75"/>
    <n v="0"/>
    <m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  <m/>
    <m/>
    <n v="214040.70000000004"/>
    <n v="0"/>
    <m/>
  </r>
  <r>
    <s v="Below the Line"/>
    <x v="2"/>
    <s v="WRAP"/>
    <s v="BALU"/>
    <x v="1859"/>
    <s v="Wrap"/>
    <m/>
    <n v="8345.99"/>
    <n v="0"/>
    <n v="8345.99"/>
    <n v="0"/>
    <n v="8345.99"/>
    <n v="44000"/>
    <n v="35654.01"/>
    <m/>
    <m/>
    <n v="8345.99"/>
    <n v="0"/>
    <m/>
  </r>
  <r>
    <s v="Below the Line"/>
    <x v="2"/>
    <s v=""/>
    <s v="BALU"/>
    <x v="1860"/>
    <s v="Van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1"/>
    <s v="Prep"/>
    <m/>
    <n v="43597.83"/>
    <n v="0"/>
    <n v="43597.83"/>
    <n v="0"/>
    <n v="43597.83"/>
    <n v="75000"/>
    <n v="31402.17"/>
    <m/>
    <m/>
    <n v="43597.83"/>
    <n v="0"/>
    <m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3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64"/>
    <s v="Van Arte Compra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7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68"/>
    <s v="Van Set Arte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9"/>
    <s v="Prep"/>
    <m/>
    <n v="8719.57"/>
    <n v="0"/>
    <n v="8719.57"/>
    <n v="0"/>
    <n v="8719.57"/>
    <n v="15000"/>
    <n v="6280.43"/>
    <m/>
    <m/>
    <n v="8719.57"/>
    <n v="0"/>
    <m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1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2"/>
    <s v="Van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5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6"/>
    <s v="Vanette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79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0"/>
    <s v="Van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83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84"/>
    <s v="Camión de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87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8"/>
    <s v="Camper Hair &amp; Makeup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  <m/>
    <m/>
    <n v="217520.75000000003"/>
    <n v="0"/>
    <m/>
  </r>
  <r>
    <s v="Below the Line"/>
    <x v="2"/>
    <s v=""/>
    <s v="BALU"/>
    <x v="1890"/>
    <s v="Honey Wagon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  <m/>
    <m/>
    <n v="270692.45999999996"/>
    <n v="0"/>
    <m/>
  </r>
  <r>
    <s v="Below the Line"/>
    <x v="2"/>
    <s v=""/>
    <s v="BALU"/>
    <x v="1892"/>
    <s v="Camper Cast Triple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  <m/>
    <m/>
    <n v="543107.91999999993"/>
    <n v="0"/>
    <m/>
  </r>
  <r>
    <s v="Below the Line"/>
    <x v="2"/>
    <s v=""/>
    <s v="BALU"/>
    <x v="1894"/>
    <s v="Camper Cast Doble (Sandra, Ivan,)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  <m/>
    <m/>
    <n v="33532.85"/>
    <n v="0"/>
    <m/>
  </r>
  <r>
    <s v="Below the Line"/>
    <x v="2"/>
    <s v=""/>
    <m/>
    <x v="1896"/>
    <s v="Vanette Cámara - EFD"/>
    <m/>
    <n v="0"/>
    <n v="0"/>
    <n v="0"/>
    <n v="0"/>
    <n v="0"/>
    <n v="0"/>
    <n v="0"/>
    <m/>
    <m/>
    <n v="0"/>
    <n v="0"/>
    <m/>
  </r>
  <r>
    <s v="Below the Line"/>
    <x v="2"/>
    <s v="PREP"/>
    <m/>
    <x v="1897"/>
    <s v="Prep"/>
    <m/>
    <n v="0"/>
    <n v="0"/>
    <n v="0"/>
    <n v="0"/>
    <n v="0"/>
    <n v="8000"/>
    <n v="8000"/>
    <m/>
    <m/>
    <n v="0"/>
    <n v="0"/>
    <m/>
  </r>
  <r>
    <s v="Below the Line"/>
    <x v="2"/>
    <s v="SHOOT"/>
    <m/>
    <x v="1898"/>
    <s v="Shoot"/>
    <m/>
    <n v="0"/>
    <n v="0"/>
    <n v="0"/>
    <n v="0"/>
    <n v="0"/>
    <n v="196000"/>
    <n v="196000"/>
    <m/>
    <m/>
    <n v="0"/>
    <n v="0"/>
    <m/>
  </r>
  <r>
    <s v="Below the Line"/>
    <x v="2"/>
    <s v="WRAP"/>
    <m/>
    <x v="1899"/>
    <s v="Wrap"/>
    <m/>
    <n v="0"/>
    <n v="0"/>
    <n v="0"/>
    <n v="0"/>
    <n v="0"/>
    <n v="4000"/>
    <n v="4000"/>
    <m/>
    <m/>
    <n v="0"/>
    <n v="0"/>
    <m/>
  </r>
  <r>
    <s v="Below the Line"/>
    <x v="2"/>
    <s v=""/>
    <m/>
    <x v="1900"/>
    <s v="Transporte equipo extra - EFD"/>
    <m/>
    <n v="0"/>
    <n v="0"/>
    <n v="0"/>
    <n v="0"/>
    <n v="0"/>
    <n v="0"/>
    <n v="0"/>
    <m/>
    <m/>
    <n v="0"/>
    <n v="0"/>
    <m/>
  </r>
  <r>
    <s v="Below the Line"/>
    <x v="2"/>
    <s v="SHOOT"/>
    <m/>
    <x v="1901"/>
    <s v="Shoot"/>
    <m/>
    <n v="0"/>
    <n v="0"/>
    <n v="0"/>
    <n v="0"/>
    <n v="0"/>
    <n v="63750"/>
    <n v="63750"/>
    <m/>
    <m/>
    <n v="0"/>
    <n v="0"/>
    <m/>
  </r>
  <r>
    <s v="Below the Line"/>
    <x v="2"/>
    <s v=""/>
    <m/>
    <x v="1902"/>
    <s v="Chofer Producción - Oscar Pineda"/>
    <m/>
    <n v="0"/>
    <n v="0"/>
    <n v="0"/>
    <n v="0"/>
    <n v="0"/>
    <n v="0"/>
    <n v="0"/>
    <m/>
    <m/>
    <n v="0"/>
    <n v="0"/>
    <m/>
  </r>
  <r>
    <s v="Below the Line"/>
    <x v="2"/>
    <s v="PREP"/>
    <m/>
    <x v="1903"/>
    <s v="Prep"/>
    <m/>
    <n v="35000"/>
    <n v="0"/>
    <n v="35000"/>
    <n v="0"/>
    <n v="35000"/>
    <n v="35000"/>
    <n v="0"/>
    <m/>
    <m/>
    <n v="35000"/>
    <n v="0"/>
    <m/>
  </r>
  <r>
    <s v="Below the Line"/>
    <x v="2"/>
    <s v="SHOOT"/>
    <m/>
    <x v="1904"/>
    <s v="Shoot"/>
    <m/>
    <n v="35000"/>
    <n v="0"/>
    <n v="35000"/>
    <n v="0"/>
    <n v="35000"/>
    <n v="35000"/>
    <n v="0"/>
    <m/>
    <m/>
    <n v="35000"/>
    <n v="0"/>
    <m/>
  </r>
  <r>
    <s v="Below the Line"/>
    <x v="2"/>
    <s v="WRAP"/>
    <m/>
    <x v="1905"/>
    <s v="Wrap"/>
    <m/>
    <n v="30000"/>
    <n v="0"/>
    <n v="30000"/>
    <n v="0"/>
    <n v="30000"/>
    <n v="20000"/>
    <n v="-10000"/>
    <m/>
    <m/>
    <n v="30000"/>
    <n v="0"/>
    <m/>
  </r>
  <r>
    <s v="Below the Line"/>
    <x v="2"/>
    <s v=""/>
    <s v="BALU"/>
    <x v="1906"/>
    <s v="Segunda Unidad "/>
    <m/>
    <n v="0"/>
    <n v="0"/>
    <n v="0"/>
    <n v="0"/>
    <n v="0"/>
    <n v="0"/>
    <n v="0"/>
    <m/>
    <m/>
    <n v="0"/>
    <n v="0"/>
    <m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908"/>
    <s v="Van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09"/>
    <s v="Prep"/>
    <m/>
    <n v="0"/>
    <n v="0"/>
    <n v="0"/>
    <n v="0"/>
    <n v="0"/>
    <n v="45000"/>
    <n v="45000"/>
    <m/>
    <m/>
    <n v="0"/>
    <n v="0"/>
    <m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  <m/>
    <m/>
    <n v="107807.45"/>
    <n v="0"/>
    <m/>
  </r>
  <r>
    <s v="Below the Line"/>
    <x v="2"/>
    <s v=""/>
    <s v="BALU"/>
    <x v="1911"/>
    <s v="Auto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2"/>
    <s v="Prep"/>
    <m/>
    <n v="0"/>
    <n v="0"/>
    <n v="0"/>
    <n v="0"/>
    <n v="0"/>
    <n v="10800"/>
    <n v="10800"/>
    <m/>
    <m/>
    <n v="0"/>
    <n v="0"/>
    <m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  <m/>
    <m/>
    <n v="8345.36"/>
    <n v="0"/>
    <m/>
  </r>
  <r>
    <s v="Below the Line"/>
    <x v="2"/>
    <s v="2nd Unit"/>
    <s v="BALU"/>
    <x v="1914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915"/>
    <s v="Van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6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17"/>
    <s v="Shoot"/>
    <m/>
    <n v="0"/>
    <n v="0"/>
    <n v="0"/>
    <n v="0"/>
    <n v="0"/>
    <n v="30000"/>
    <n v="30000"/>
    <m/>
    <m/>
    <n v="0"/>
    <n v="0"/>
    <m/>
  </r>
  <r>
    <s v="Below the Line"/>
    <x v="2"/>
    <s v="2nd Unit"/>
    <s v="BALU"/>
    <x v="1918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919"/>
    <s v="Camper Triple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  <m/>
    <m/>
    <n v="74837.009999999995"/>
    <n v="0"/>
    <m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  <m/>
    <m/>
    <n v="0"/>
    <n v="0"/>
    <m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  <m/>
    <m/>
    <n v="509325.99999999988"/>
    <n v="0"/>
    <m/>
  </r>
  <r>
    <s v="Below the Line"/>
    <x v="2"/>
    <s v=""/>
    <s v="BALU"/>
    <x v="1923"/>
    <s v="Honey Wago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4"/>
    <s v="Shoot"/>
    <m/>
    <n v="0"/>
    <n v="0"/>
    <n v="0"/>
    <n v="0"/>
    <n v="0"/>
    <n v="56000"/>
    <n v="56000"/>
    <m/>
    <m/>
    <n v="0"/>
    <n v="0"/>
    <m/>
  </r>
  <r>
    <s v="Below the Line"/>
    <x v="2"/>
    <s v=""/>
    <s v="BALU"/>
    <x v="1925"/>
    <s v="Van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6"/>
    <s v="Shoot"/>
    <m/>
    <n v="0"/>
    <n v="0"/>
    <n v="0"/>
    <m/>
    <n v="0"/>
    <n v="30000"/>
    <n v="30000"/>
    <m/>
    <m/>
    <n v="0"/>
    <n v="0"/>
    <m/>
  </r>
  <r>
    <s v="Below the Line"/>
    <x v="2"/>
    <s v=""/>
    <s v="BALU"/>
    <x v="1927"/>
    <s v="Van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8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  <m/>
    <m/>
    <n v="99252.120000000024"/>
    <n v="0"/>
    <m/>
  </r>
  <r>
    <s v="Below the Line"/>
    <x v="2"/>
    <s v="2nd Unit"/>
    <s v="BALU"/>
    <x v="1930"/>
    <s v="Wrap"/>
    <m/>
    <n v="0"/>
    <n v="0"/>
    <n v="0"/>
    <n v="0"/>
    <n v="0"/>
    <n v="7500"/>
    <n v="7500"/>
    <m/>
    <m/>
    <n v="0"/>
    <n v="0"/>
    <m/>
  </r>
  <r>
    <s v="Below the Line"/>
    <x v="2"/>
    <s v=""/>
    <s v="BALU"/>
    <x v="1931"/>
    <s v="Vanette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2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3"/>
    <s v="Vanette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4"/>
    <s v="Prep"/>
    <m/>
    <n v="0"/>
    <n v="0"/>
    <n v="0"/>
    <n v="0"/>
    <n v="0"/>
    <n v="22000"/>
    <n v="22000"/>
    <m/>
    <m/>
    <n v="0"/>
    <n v="0"/>
    <m/>
  </r>
  <r>
    <s v="Below the Line"/>
    <x v="2"/>
    <s v="2nd Unit"/>
    <s v="BALU"/>
    <x v="1935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36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7"/>
    <s v="Vanette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8"/>
    <s v="Prep"/>
    <m/>
    <n v="0"/>
    <n v="0"/>
    <n v="0"/>
    <n v="0"/>
    <n v="0"/>
    <n v="11000"/>
    <n v="11000"/>
    <m/>
    <m/>
    <n v="0"/>
    <n v="0"/>
    <m/>
  </r>
  <r>
    <s v="Below the Line"/>
    <x v="2"/>
    <s v="2nd Unit"/>
    <s v="BALU"/>
    <x v="1939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40"/>
    <s v="Wrap"/>
    <m/>
    <n v="0"/>
    <n v="0"/>
    <n v="0"/>
    <n v="0"/>
    <n v="0"/>
    <n v="11000"/>
    <n v="11000"/>
    <m/>
    <m/>
    <n v="0"/>
    <n v="0"/>
    <m/>
  </r>
  <r>
    <s v="Below the Line"/>
    <x v="2"/>
    <s v=""/>
    <m/>
    <x v="1941"/>
    <s v="Vanett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2"/>
    <s v="Prep"/>
    <m/>
    <n v="0"/>
    <n v="0"/>
    <n v="0"/>
    <n v="0"/>
    <n v="0"/>
    <n v="12000"/>
    <n v="12000"/>
    <m/>
    <m/>
    <n v="0"/>
    <n v="0"/>
    <m/>
  </r>
  <r>
    <s v="Below the Line"/>
    <x v="2"/>
    <s v="2nd Unit"/>
    <m/>
    <x v="1943"/>
    <s v="Shoot"/>
    <m/>
    <n v="0"/>
    <n v="0"/>
    <n v="0"/>
    <m/>
    <n v="0"/>
    <n v="48000"/>
    <n v="48000"/>
    <m/>
    <m/>
    <n v="0"/>
    <n v="0"/>
    <m/>
  </r>
  <r>
    <s v="Below the Line"/>
    <x v="2"/>
    <s v="2nd Unit"/>
    <m/>
    <x v="1944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1945"/>
    <s v="Camioneta equipo ext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6"/>
    <s v="Prep"/>
    <m/>
    <n v="0"/>
    <n v="0"/>
    <n v="0"/>
    <n v="0"/>
    <n v="0"/>
    <n v="11250"/>
    <n v="11250"/>
    <m/>
    <m/>
    <n v="0"/>
    <n v="0"/>
    <m/>
  </r>
  <r>
    <s v="Below the Line"/>
    <x v="2"/>
    <s v="2nd Unit"/>
    <m/>
    <x v="1947"/>
    <s v="Shoot"/>
    <m/>
    <n v="0"/>
    <n v="0"/>
    <n v="0"/>
    <m/>
    <n v="0"/>
    <n v="45000"/>
    <n v="45000"/>
    <m/>
    <m/>
    <n v="0"/>
    <n v="0"/>
    <m/>
  </r>
  <r>
    <s v="Below the Line"/>
    <x v="2"/>
    <s v="2nd Unit"/>
    <m/>
    <x v="1948"/>
    <s v="Wrap"/>
    <m/>
    <n v="0"/>
    <n v="0"/>
    <n v="0"/>
    <n v="0"/>
    <n v="0"/>
    <n v="7500"/>
    <n v="7500"/>
    <m/>
    <m/>
    <n v="0"/>
    <n v="0"/>
    <m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  <m/>
    <m/>
    <n v="285530.46000000008"/>
    <n v="0"/>
    <m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  <m/>
    <m/>
    <n v="72998"/>
    <n v="0"/>
    <m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  <m/>
    <m/>
    <n v="174781"/>
    <n v="0"/>
    <m/>
  </r>
  <r>
    <s v="Below the Line"/>
    <x v="2"/>
    <s v=""/>
    <m/>
    <x v="1952"/>
    <s v="Loss &amp; Damage Viajes MEX - GDL - MEX"/>
    <m/>
    <n v="0"/>
    <n v="0"/>
    <n v="0"/>
    <n v="0"/>
    <n v="0"/>
    <n v="0"/>
    <n v="0"/>
    <m/>
    <m/>
    <n v="0"/>
    <n v="0"/>
    <m/>
  </r>
  <r>
    <s v="Below the Line"/>
    <x v="2"/>
    <s v="SHOOT"/>
    <m/>
    <x v="1953"/>
    <s v="Series"/>
    <m/>
    <n v="174781"/>
    <n v="0"/>
    <n v="174781"/>
    <n v="0"/>
    <n v="174781"/>
    <n v="50000"/>
    <n v="-124781"/>
    <m/>
    <m/>
    <n v="174781"/>
    <n v="0"/>
    <m/>
  </r>
  <r>
    <s v="Below the Line"/>
    <x v="0"/>
    <m/>
    <m/>
    <x v="1954"/>
    <s v="FORO Y OFICINAS"/>
    <m/>
    <n v="896400"/>
    <n v="0"/>
    <n v="896400"/>
    <n v="0"/>
    <n v="896400"/>
    <n v="810000"/>
    <n v="-86400"/>
    <m/>
    <m/>
    <n v="896400"/>
    <n v="0"/>
    <m/>
  </r>
  <r>
    <s v="Below the Line"/>
    <x v="1"/>
    <m/>
    <m/>
    <x v="1955"/>
    <s v="SERVICIOS OFICINA"/>
    <m/>
    <n v="16400"/>
    <n v="0"/>
    <n v="16400"/>
    <n v="0"/>
    <n v="16400"/>
    <n v="90000"/>
    <n v="73600"/>
    <m/>
    <m/>
    <n v="16400"/>
    <n v="0"/>
    <m/>
  </r>
  <r>
    <s v="Below the Line"/>
    <x v="2"/>
    <s v=""/>
    <m/>
    <x v="1956"/>
    <s v="Limpieza Bodega GDL"/>
    <m/>
    <n v="0"/>
    <n v="0"/>
    <n v="0"/>
    <n v="0"/>
    <n v="0"/>
    <n v="0"/>
    <n v="0"/>
    <m/>
    <m/>
    <n v="0"/>
    <n v="0"/>
    <m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  <m/>
    <m/>
    <n v="16400"/>
    <n v="0"/>
    <m/>
  </r>
  <r>
    <s v="Below the Line"/>
    <x v="1"/>
    <m/>
    <m/>
    <x v="1958"/>
    <s v="RENTAS FORO/OFICINA"/>
    <m/>
    <n v="880000"/>
    <n v="0"/>
    <n v="880000"/>
    <n v="0"/>
    <n v="880000"/>
    <n v="720000"/>
    <n v="-160000"/>
    <m/>
    <m/>
    <n v="880000"/>
    <n v="0"/>
    <m/>
  </r>
  <r>
    <s v="Below the Line"/>
    <x v="2"/>
    <s v=""/>
    <m/>
    <x v="1959"/>
    <s v="Renta Bodega Post Mortem GDL"/>
    <m/>
    <n v="0"/>
    <n v="0"/>
    <n v="0"/>
    <n v="0"/>
    <n v="0"/>
    <n v="0"/>
    <n v="0"/>
    <m/>
    <m/>
    <n v="0"/>
    <n v="0"/>
    <m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  <m/>
    <m/>
    <n v="880000"/>
    <n v="0"/>
    <m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  <m/>
    <m/>
    <n v="656977.98"/>
    <n v="0"/>
    <m/>
  </r>
  <r>
    <s v="Below the Line"/>
    <x v="1"/>
    <m/>
    <m/>
    <x v="1962"/>
    <s v="LABORATORIO DAILIES"/>
    <m/>
    <n v="438400"/>
    <n v="0"/>
    <n v="438400"/>
    <n v="0"/>
    <n v="438400"/>
    <n v="438400"/>
    <n v="0"/>
    <m/>
    <m/>
    <n v="438400"/>
    <n v="0"/>
    <m/>
  </r>
  <r>
    <s v="Below the Line"/>
    <x v="2"/>
    <s v=""/>
    <m/>
    <x v="1963"/>
    <s v="Asistente de Post Dailies - Esteban Díaz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4"/>
    <s v="Post"/>
    <m/>
    <n v="50400"/>
    <n v="0"/>
    <n v="50400"/>
    <n v="0"/>
    <n v="50400"/>
    <n v="50400"/>
    <n v="0"/>
    <m/>
    <m/>
    <n v="50400"/>
    <n v="0"/>
    <m/>
  </r>
  <r>
    <s v="Below the Line"/>
    <x v="2"/>
    <s v=""/>
    <m/>
    <x v="1965"/>
    <s v="Estación de trabajo Asistente de Post Dailies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6"/>
    <s v="Post"/>
    <m/>
    <n v="84000"/>
    <n v="0"/>
    <n v="84000"/>
    <n v="0"/>
    <n v="84000"/>
    <n v="84000"/>
    <n v="0"/>
    <m/>
    <m/>
    <n v="84000"/>
    <n v="0"/>
    <m/>
  </r>
  <r>
    <s v="Below the Line"/>
    <x v="2"/>
    <s v=""/>
    <m/>
    <x v="1967"/>
    <s v="LTO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  <m/>
    <m/>
    <n v="152000"/>
    <n v="0"/>
    <m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  <m/>
    <m/>
    <n v="152000"/>
    <n v="0"/>
    <m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2"/>
    <s v=""/>
    <m/>
    <x v="1971"/>
    <s v="Internet GDL"/>
    <m/>
    <n v="0"/>
    <n v="0"/>
    <n v="0"/>
    <n v="0"/>
    <n v="0"/>
    <n v="0"/>
    <n v="0"/>
    <m/>
    <m/>
    <n v="0"/>
    <n v="0"/>
    <m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1"/>
    <m/>
    <m/>
    <x v="1973"/>
    <s v="COMPRAS MEDIA"/>
    <m/>
    <n v="0"/>
    <n v="0"/>
    <n v="0"/>
    <n v="0"/>
    <n v="0"/>
    <n v="111500"/>
    <n v="111500"/>
    <m/>
    <m/>
    <n v="0"/>
    <n v="0"/>
    <m/>
  </r>
  <r>
    <s v="Below the Line"/>
    <x v="2"/>
    <s v=""/>
    <m/>
    <x v="1974"/>
    <s v="Compra de disco duro transito"/>
    <m/>
    <n v="0"/>
    <n v="0"/>
    <n v="0"/>
    <n v="0"/>
    <n v="0"/>
    <n v="0"/>
    <n v="0"/>
    <m/>
    <m/>
    <n v="0"/>
    <n v="0"/>
    <m/>
  </r>
  <r>
    <s v="Below the Line"/>
    <x v="2"/>
    <s v="ALL SHOW"/>
    <m/>
    <x v="1975"/>
    <s v="Discos de Transito Lacie SSD 4TB"/>
    <m/>
    <n v="0"/>
    <n v="0"/>
    <n v="0"/>
    <n v="0"/>
    <n v="0"/>
    <n v="96000"/>
    <n v="96000"/>
    <m/>
    <m/>
    <n v="0"/>
    <n v="0"/>
    <m/>
  </r>
  <r>
    <s v="Below the Line"/>
    <x v="2"/>
    <s v=""/>
    <m/>
    <x v="1976"/>
    <s v="Disco Duro"/>
    <m/>
    <n v="0"/>
    <n v="0"/>
    <n v="0"/>
    <n v="0"/>
    <n v="0"/>
    <n v="0"/>
    <n v="0"/>
    <m/>
    <m/>
    <n v="0"/>
    <n v="0"/>
    <m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  <m/>
    <m/>
    <n v="0"/>
    <n v="0"/>
    <m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  <m/>
    <m/>
    <n v="5880843.2600000007"/>
    <n v="-3371.1540000000969"/>
    <m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  <m/>
    <m/>
    <n v="330361.08"/>
    <n v="-2946.8609999999753"/>
    <m/>
  </r>
  <r>
    <s v="Below the Line"/>
    <x v="2"/>
    <s v=""/>
    <m/>
    <x v="1980"/>
    <s v="Fotografo - Rodrigo Rodriguez"/>
    <m/>
    <n v="0"/>
    <n v="0"/>
    <n v="0"/>
    <n v="0"/>
    <n v="0"/>
    <n v="0"/>
    <n v="0"/>
    <m/>
    <m/>
    <n v="0"/>
    <n v="0"/>
    <m/>
  </r>
  <r>
    <s v="Below the Line"/>
    <x v="2"/>
    <s v="ALL SHOW"/>
    <m/>
    <x v="1981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  <m/>
    <m/>
    <n v="11532.630000000001"/>
    <n v="0"/>
    <m/>
  </r>
  <r>
    <s v="Below the Line"/>
    <x v="2"/>
    <s v=""/>
    <m/>
    <x v="1983"/>
    <s v="Coordinadora de producción - Abril Zapata"/>
    <m/>
    <n v="0"/>
    <n v="0"/>
    <n v="0"/>
    <n v="0"/>
    <n v="0"/>
    <n v="0"/>
    <n v="0"/>
    <m/>
    <m/>
    <n v="0"/>
    <n v="0"/>
    <m/>
  </r>
  <r>
    <s v="Below the Line"/>
    <x v="2"/>
    <s v="ALL SHOW"/>
    <m/>
    <x v="1984"/>
    <s v="MEX - GDL"/>
    <m/>
    <n v="0"/>
    <n v="0"/>
    <n v="0"/>
    <n v="0"/>
    <n v="0"/>
    <n v="2451"/>
    <n v="2451"/>
    <m/>
    <m/>
    <n v="0"/>
    <n v="0"/>
    <m/>
  </r>
  <r>
    <s v="Below the Line"/>
    <x v="2"/>
    <s v="ALL SHOW"/>
    <m/>
    <x v="1985"/>
    <s v="GDL - MEX"/>
    <m/>
    <n v="4551"/>
    <n v="0"/>
    <n v="4551"/>
    <n v="0"/>
    <n v="4551"/>
    <n v="2250"/>
    <n v="-2301"/>
    <m/>
    <m/>
    <n v="4551"/>
    <n v="0"/>
    <m/>
  </r>
  <r>
    <s v="Below the Line"/>
    <x v="2"/>
    <s v=""/>
    <m/>
    <x v="1986"/>
    <s v="Diseñadora de Producción - Sofia Gallastegui"/>
    <m/>
    <n v="0"/>
    <n v="0"/>
    <n v="0"/>
    <n v="0"/>
    <n v="0"/>
    <n v="0"/>
    <n v="0"/>
    <m/>
    <m/>
    <n v="0"/>
    <n v="0"/>
    <m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  <m/>
    <m/>
    <n v="4809.49"/>
    <n v="0"/>
    <m/>
  </r>
  <r>
    <s v="Below the Line"/>
    <x v="2"/>
    <s v="ALL SHOW"/>
    <m/>
    <x v="1988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1989"/>
    <s v="Directora de Vestuario - Mariana Chavira"/>
    <m/>
    <n v="0"/>
    <n v="0"/>
    <n v="0"/>
    <n v="0"/>
    <n v="0"/>
    <n v="0"/>
    <n v="0"/>
    <m/>
    <m/>
    <n v="0"/>
    <n v="0"/>
    <m/>
  </r>
  <r>
    <s v="Below the Line"/>
    <x v="2"/>
    <s v="ALL SHOW"/>
    <m/>
    <x v="1990"/>
    <s v="MEX - GDL"/>
    <m/>
    <n v="3458.69"/>
    <n v="0"/>
    <n v="3458.69"/>
    <n v="0"/>
    <n v="3458.69"/>
    <n v="2250"/>
    <n v="-1208.69"/>
    <m/>
    <m/>
    <n v="3458.69"/>
    <n v="0"/>
    <m/>
  </r>
  <r>
    <s v="Below the Line"/>
    <x v="2"/>
    <s v="ALL SHOW"/>
    <m/>
    <x v="1991"/>
    <s v="GDL - MEX"/>
    <m/>
    <n v="3827.73"/>
    <n v="0"/>
    <n v="3827.73"/>
    <n v="0"/>
    <n v="3827.73"/>
    <n v="2250"/>
    <n v="-1577.73"/>
    <m/>
    <m/>
    <n v="3827.73"/>
    <n v="0"/>
    <m/>
  </r>
  <r>
    <s v="Below the Line"/>
    <x v="2"/>
    <s v=""/>
    <m/>
    <x v="1992"/>
    <s v="Directora de Maquillaje - Rene Chiwo"/>
    <m/>
    <n v="0"/>
    <n v="0"/>
    <n v="0"/>
    <n v="0"/>
    <n v="0"/>
    <n v="0"/>
    <n v="0"/>
    <m/>
    <m/>
    <n v="0"/>
    <n v="0"/>
    <m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  <m/>
    <m/>
    <n v="2128.0500000000002"/>
    <n v="0"/>
    <m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  <m/>
    <m/>
    <n v="1988.94"/>
    <n v="0"/>
    <m/>
  </r>
  <r>
    <s v="Below the Line"/>
    <x v="2"/>
    <s v=""/>
    <m/>
    <x v="1995"/>
    <s v="Coach Actoral Niños - Margarita Mandoki"/>
    <m/>
    <n v="0"/>
    <n v="0"/>
    <n v="0"/>
    <n v="0"/>
    <n v="0"/>
    <n v="0"/>
    <n v="0"/>
    <m/>
    <m/>
    <n v="0"/>
    <n v="0"/>
    <m/>
  </r>
  <r>
    <s v="Below the Line"/>
    <x v="2"/>
    <s v="ALL SHOW"/>
    <m/>
    <x v="1996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  <m/>
    <m/>
    <n v="4342.3900000000003"/>
    <n v="0"/>
    <m/>
  </r>
  <r>
    <s v="Below the Line"/>
    <x v="2"/>
    <s v=""/>
    <m/>
    <x v="1998"/>
    <s v="Lentes Óptimo - TBD"/>
    <m/>
    <n v="0"/>
    <n v="0"/>
    <n v="0"/>
    <n v="0"/>
    <n v="0"/>
    <n v="0"/>
    <n v="0"/>
    <m/>
    <m/>
    <n v="0"/>
    <n v="0"/>
    <m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  <m/>
    <m/>
    <n v="18099.63"/>
    <n v="0"/>
    <m/>
  </r>
  <r>
    <s v="Below the Line"/>
    <x v="2"/>
    <s v="ALL SHOW"/>
    <m/>
    <x v="2000"/>
    <s v="GDL - MEX"/>
    <m/>
    <n v="0"/>
    <n v="0"/>
    <n v="0"/>
    <n v="0"/>
    <n v="0"/>
    <n v="9000"/>
    <n v="9000"/>
    <m/>
    <m/>
    <n v="0"/>
    <n v="0"/>
    <m/>
  </r>
  <r>
    <s v="Below the Line"/>
    <x v="2"/>
    <s v=""/>
    <m/>
    <x v="2001"/>
    <s v="Stunts - Balo Bucio"/>
    <m/>
    <n v="0"/>
    <n v="0"/>
    <n v="0"/>
    <n v="0"/>
    <n v="0"/>
    <n v="0"/>
    <n v="0"/>
    <m/>
    <m/>
    <n v="0"/>
    <n v="0"/>
    <m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  <m/>
    <m/>
    <n v="45379.48"/>
    <n v="0"/>
    <m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  <m/>
    <m/>
    <n v="46917.310000000005"/>
    <n v="0"/>
    <m/>
  </r>
  <r>
    <s v="Below the Line"/>
    <x v="2"/>
    <s v=""/>
    <m/>
    <x v="2004"/>
    <s v="Pablo Garcia - Cierre "/>
    <m/>
    <n v="0"/>
    <n v="0"/>
    <n v="0"/>
    <n v="0"/>
    <n v="0"/>
    <n v="0"/>
    <n v="0"/>
    <m/>
    <m/>
    <n v="0"/>
    <n v="0"/>
    <m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  <m/>
    <m/>
    <n v="2181.81"/>
    <n v="0"/>
    <m/>
  </r>
  <r>
    <s v="Below the Line"/>
    <x v="2"/>
    <s v="ALL SHOW"/>
    <m/>
    <x v="2006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2007"/>
    <s v="Emergency Flights producción"/>
    <m/>
    <n v="0"/>
    <n v="0"/>
    <n v="0"/>
    <n v="0"/>
    <n v="0"/>
    <n v="0"/>
    <n v="0"/>
    <m/>
    <m/>
    <n v="0"/>
    <n v="0"/>
    <m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  <m/>
    <m/>
    <n v="63132.210000000006"/>
    <n v="0"/>
    <m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  <m/>
    <m/>
    <n v="100852.96"/>
    <n v="-1840.3110000000015"/>
    <m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  <m/>
    <m/>
    <n v="17158.759999999995"/>
    <n v="-1106.5499999999993"/>
    <m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  <m/>
    <m/>
    <n v="4515991.63"/>
    <n v="0"/>
    <m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  <m/>
    <m/>
    <n v="0"/>
    <n v="0"/>
    <m/>
  </r>
  <r>
    <s v="Below the Line"/>
    <x v="2"/>
    <s v="ALL SHOW"/>
    <m/>
    <x v="2013"/>
    <s v="Departamento"/>
    <m/>
    <n v="197000"/>
    <n v="0"/>
    <n v="197000"/>
    <n v="0"/>
    <n v="197000"/>
    <n v="201600"/>
    <n v="4600"/>
    <m/>
    <m/>
    <n v="197000"/>
    <n v="0"/>
    <m/>
  </r>
  <r>
    <s v="Below the Line"/>
    <x v="2"/>
    <s v=""/>
    <m/>
    <x v="2014"/>
    <s v="Hotel - Holiday Inn (2469) "/>
    <m/>
    <n v="0"/>
    <n v="0"/>
    <n v="0"/>
    <n v="0"/>
    <n v="0"/>
    <n v="0"/>
    <n v="0"/>
    <m/>
    <m/>
    <n v="0"/>
    <n v="0"/>
    <m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  <m/>
    <m/>
    <n v="763766.15999999992"/>
    <n v="0"/>
    <m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  <m/>
    <m/>
    <n v="1553020.4800000002"/>
    <n v="0"/>
    <m/>
  </r>
  <r>
    <s v="Below the Line"/>
    <x v="2"/>
    <s v="WRAP"/>
    <m/>
    <x v="2017"/>
    <s v="Wrap"/>
    <m/>
    <n v="93687.8"/>
    <n v="0"/>
    <n v="93687.8"/>
    <n v="0"/>
    <n v="93687.8"/>
    <n v="230400"/>
    <n v="136712.20000000001"/>
    <m/>
    <m/>
    <n v="93687.8"/>
    <n v="0"/>
    <m/>
  </r>
  <r>
    <s v="Below the Line"/>
    <x v="2"/>
    <s v=""/>
    <m/>
    <x v="2018"/>
    <s v="Hotel Segunda Unidad - Holiday Inn (288) "/>
    <m/>
    <n v="0"/>
    <n v="0"/>
    <n v="0"/>
    <n v="0"/>
    <n v="0"/>
    <n v="0"/>
    <n v="0"/>
    <m/>
    <m/>
    <n v="0"/>
    <n v="0"/>
    <m/>
  </r>
  <r>
    <s v="Below the Line"/>
    <x v="2"/>
    <s v="2nd Unit"/>
    <m/>
    <x v="2019"/>
    <s v="Prep"/>
    <m/>
    <n v="0"/>
    <n v="0"/>
    <n v="0"/>
    <n v="0"/>
    <n v="0"/>
    <n v="31500"/>
    <n v="31500"/>
    <m/>
    <m/>
    <n v="0"/>
    <n v="0"/>
    <m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  <m/>
    <m/>
    <n v="199952.14"/>
    <n v="0"/>
    <m/>
  </r>
  <r>
    <s v="Below the Line"/>
    <x v="2"/>
    <s v="2nd Unit"/>
    <m/>
    <x v="2021"/>
    <s v="Wrap"/>
    <m/>
    <n v="0"/>
    <n v="0"/>
    <n v="0"/>
    <m/>
    <n v="0"/>
    <n v="13500"/>
    <n v="13500"/>
    <m/>
    <m/>
    <n v="0"/>
    <n v="0"/>
    <m/>
  </r>
  <r>
    <s v="Below the Line"/>
    <x v="2"/>
    <s v=""/>
    <m/>
    <x v="2022"/>
    <s v="Propinas Hotel - Holiday Inn"/>
    <m/>
    <n v="0"/>
    <n v="0"/>
    <n v="0"/>
    <n v="0"/>
    <n v="0"/>
    <n v="0"/>
    <n v="0"/>
    <m/>
    <m/>
    <n v="0"/>
    <n v="0"/>
    <m/>
  </r>
  <r>
    <s v="Below the Line"/>
    <x v="2"/>
    <s v="SHOOT"/>
    <m/>
    <x v="2023"/>
    <s v="Propinas Camaristas"/>
    <m/>
    <n v="0"/>
    <n v="0"/>
    <n v="0"/>
    <n v="0"/>
    <n v="0"/>
    <n v="37035"/>
    <n v="37035"/>
    <m/>
    <m/>
    <n v="0"/>
    <n v="0"/>
    <m/>
  </r>
  <r>
    <s v="Below the Line"/>
    <x v="2"/>
    <s v="2nd Unit"/>
    <m/>
    <x v="2024"/>
    <s v="Propinas Camaristas segunda unidad"/>
    <m/>
    <n v="0"/>
    <n v="0"/>
    <n v="0"/>
    <n v="0"/>
    <n v="0"/>
    <n v="4320"/>
    <n v="4320"/>
    <m/>
    <m/>
    <n v="0"/>
    <n v="0"/>
    <m/>
  </r>
  <r>
    <s v="Below the Line"/>
    <x v="2"/>
    <s v="ALL SHOW"/>
    <m/>
    <x v="2025"/>
    <s v="Propinas botones"/>
    <m/>
    <n v="0"/>
    <n v="0"/>
    <n v="0"/>
    <n v="0"/>
    <n v="0"/>
    <n v="2200"/>
    <n v="2200"/>
    <m/>
    <m/>
    <n v="0"/>
    <n v="0"/>
    <m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  <m/>
    <m/>
    <n v="0"/>
    <n v="0"/>
    <m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  <m/>
    <m/>
    <n v="84085.709999999992"/>
    <n v="0"/>
    <m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  <m/>
    <m/>
    <n v="182653.9"/>
    <n v="0"/>
    <m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  <m/>
    <m/>
    <n v="35746.17"/>
    <n v="0"/>
    <m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  <m/>
    <m/>
    <n v="0"/>
    <n v="0"/>
    <m/>
  </r>
  <r>
    <s v="Below the Line"/>
    <x v="2"/>
    <s v="PREP"/>
    <m/>
    <x v="2031"/>
    <s v="Prep"/>
    <m/>
    <n v="0"/>
    <n v="0"/>
    <n v="0"/>
    <n v="0"/>
    <n v="0"/>
    <n v="74117.399999999994"/>
    <n v="74117.399999999994"/>
    <m/>
    <m/>
    <n v="0"/>
    <n v="0"/>
    <m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  <m/>
    <m/>
    <n v="834885.17999999993"/>
    <n v="0"/>
    <m/>
  </r>
  <r>
    <s v="Below the Line"/>
    <x v="2"/>
    <s v="WRAP"/>
    <m/>
    <x v="2033"/>
    <s v="Wrap"/>
    <m/>
    <n v="15882.3"/>
    <n v="0"/>
    <n v="15882.3"/>
    <n v="0"/>
    <n v="15882.3"/>
    <n v="15882.3"/>
    <n v="0"/>
    <m/>
    <m/>
    <n v="15882.3"/>
    <n v="0"/>
    <m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  <m/>
    <m/>
    <n v="0"/>
    <n v="0"/>
    <m/>
  </r>
  <r>
    <s v="Below the Line"/>
    <x v="2"/>
    <s v="2nd Unit"/>
    <m/>
    <x v="2035"/>
    <s v="Prep"/>
    <m/>
    <n v="0"/>
    <n v="0"/>
    <n v="0"/>
    <n v="0"/>
    <n v="0"/>
    <n v="22689"/>
    <n v="22689"/>
    <m/>
    <m/>
    <n v="0"/>
    <n v="0"/>
    <m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  <m/>
    <m/>
    <n v="343560.2"/>
    <n v="0"/>
    <m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  <m/>
    <m/>
    <n v="5090.8599999999997"/>
    <n v="0"/>
    <m/>
  </r>
  <r>
    <s v="Below the Line"/>
    <x v="2"/>
    <s v=""/>
    <m/>
    <x v="2038"/>
    <s v="Propinas Hotel - Tranporte y Alimentación"/>
    <m/>
    <n v="0"/>
    <n v="0"/>
    <n v="0"/>
    <n v="0"/>
    <n v="0"/>
    <n v="0"/>
    <n v="0"/>
    <m/>
    <m/>
    <n v="0"/>
    <n v="0"/>
    <m/>
  </r>
  <r>
    <s v="Below the Line"/>
    <x v="2"/>
    <s v="SHOOT"/>
    <m/>
    <x v="2039"/>
    <s v="Botones Tips"/>
    <m/>
    <n v="0"/>
    <n v="0"/>
    <n v="0"/>
    <n v="0"/>
    <n v="0"/>
    <n v="28800"/>
    <n v="28800"/>
    <m/>
    <m/>
    <n v="0"/>
    <n v="0"/>
    <m/>
  </r>
  <r>
    <s v="Below the Line"/>
    <x v="2"/>
    <s v="2nd Unit"/>
    <m/>
    <x v="2040"/>
    <s v="Botones Tips segunda unidad"/>
    <m/>
    <n v="0"/>
    <n v="0"/>
    <n v="0"/>
    <n v="0"/>
    <n v="0"/>
    <n v="4880"/>
    <n v="4880"/>
    <m/>
    <m/>
    <n v="0"/>
    <n v="0"/>
    <m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  <m/>
    <m/>
    <n v="4093.6"/>
    <n v="0"/>
    <m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  <m/>
    <m/>
    <n v="57496.31"/>
    <n v="0"/>
    <m/>
  </r>
  <r>
    <s v="Below the Line"/>
    <x v="2"/>
    <s v=""/>
    <m/>
    <x v="2043"/>
    <s v="Lavanderia - Lavado por encargo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  <m/>
    <m/>
    <n v="9996.7999999999993"/>
    <n v="0"/>
    <m/>
  </r>
  <r>
    <s v="Below the Line"/>
    <x v="2"/>
    <s v=""/>
    <m/>
    <x v="2045"/>
    <s v="Hotel Chapala - 1927"/>
    <m/>
    <n v="0"/>
    <n v="0"/>
    <n v="0"/>
    <n v="0"/>
    <n v="0"/>
    <n v="0"/>
    <n v="0"/>
    <m/>
    <m/>
    <n v="0"/>
    <n v="0"/>
    <m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  <m/>
    <m/>
    <n v="81457.36"/>
    <n v="0"/>
    <m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  <m/>
    <m/>
    <n v="14672.22"/>
    <n v="0"/>
    <m/>
  </r>
  <r>
    <s v="Below the Line"/>
    <x v="2"/>
    <s v=""/>
    <m/>
    <x v="2048"/>
    <s v="Hotel Chapala Drivers - SF"/>
    <m/>
    <n v="0"/>
    <n v="0"/>
    <n v="0"/>
    <n v="0"/>
    <n v="0"/>
    <n v="0"/>
    <n v="0"/>
    <m/>
    <m/>
    <n v="0"/>
    <n v="0"/>
    <m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  <m/>
    <m/>
    <n v="29344.44"/>
    <n v="0"/>
    <m/>
  </r>
  <r>
    <s v="Below the Line"/>
    <x v="2"/>
    <s v=""/>
    <m/>
    <x v="2050"/>
    <s v="Habitaciones La Cañada"/>
    <m/>
    <n v="0"/>
    <n v="0"/>
    <n v="0"/>
    <n v="0"/>
    <n v="0"/>
    <n v="0"/>
    <n v="0"/>
    <m/>
    <m/>
    <n v="0"/>
    <n v="0"/>
    <m/>
  </r>
  <r>
    <s v="Below the Line"/>
    <x v="2"/>
    <s v="ALL SHOW"/>
    <m/>
    <x v="2051"/>
    <s v="Habitación Sencilla"/>
    <m/>
    <n v="9600"/>
    <n v="0"/>
    <n v="9600"/>
    <n v="0"/>
    <n v="9600"/>
    <n v="12000"/>
    <n v="2400"/>
    <m/>
    <m/>
    <n v="9600"/>
    <n v="0"/>
    <m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  <m/>
    <m/>
    <n v="846901.52"/>
    <n v="0"/>
    <m/>
  </r>
  <r>
    <s v="Below the Line"/>
    <x v="2"/>
    <s v=""/>
    <m/>
    <x v="2053"/>
    <s v="Desayuno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  <m/>
    <m/>
    <n v="150950.79999999999"/>
    <n v="0"/>
    <m/>
  </r>
  <r>
    <s v="Below the Line"/>
    <x v="2"/>
    <s v="SHOOT"/>
    <m/>
    <x v="2055"/>
    <s v="Shoot"/>
    <m/>
    <n v="0"/>
    <n v="0"/>
    <n v="0"/>
    <n v="0"/>
    <n v="0"/>
    <n v="104504.4"/>
    <n v="104504.4"/>
    <m/>
    <m/>
    <n v="0"/>
    <n v="0"/>
    <m/>
  </r>
  <r>
    <s v="Below the Line"/>
    <x v="2"/>
    <s v="SHOOT"/>
    <m/>
    <x v="2056"/>
    <s v="Shoot (Llamados nocturnos)"/>
    <m/>
    <n v="0"/>
    <n v="0"/>
    <n v="0"/>
    <m/>
    <n v="0"/>
    <n v="165880"/>
    <n v="165880"/>
    <m/>
    <m/>
    <n v="0"/>
    <n v="0"/>
    <m/>
  </r>
  <r>
    <s v="Below the Line"/>
    <x v="2"/>
    <s v="WRAP"/>
    <m/>
    <x v="2057"/>
    <s v="Wrap"/>
    <m/>
    <n v="0"/>
    <n v="0"/>
    <n v="0"/>
    <m/>
    <n v="0"/>
    <n v="29029"/>
    <n v="29029"/>
    <m/>
    <m/>
    <n v="0"/>
    <n v="0"/>
    <m/>
  </r>
  <r>
    <s v="Below the Line"/>
    <x v="2"/>
    <s v=""/>
    <m/>
    <x v="2058"/>
    <s v="Desayuno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  <m/>
    <m/>
    <n v="47792.28"/>
    <n v="0"/>
    <m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  <m/>
    <m/>
    <n v="16900.919999999998"/>
    <n v="0"/>
    <m/>
  </r>
  <r>
    <s v="Below the Line"/>
    <x v="2"/>
    <s v="2nd Unit"/>
    <m/>
    <x v="2061"/>
    <s v="Shoot (Llamados nocturnos)"/>
    <m/>
    <n v="0"/>
    <n v="0"/>
    <n v="0"/>
    <n v="0"/>
    <n v="0"/>
    <n v="0"/>
    <n v="0"/>
    <m/>
    <m/>
    <n v="0"/>
    <n v="0"/>
    <m/>
  </r>
  <r>
    <s v="Below the Line"/>
    <x v="2"/>
    <s v=""/>
    <m/>
    <x v="2062"/>
    <s v="Comid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63"/>
    <s v="Prep"/>
    <m/>
    <n v="13933.92"/>
    <n v="0"/>
    <n v="13933.92"/>
    <n v="0"/>
    <n v="13933.92"/>
    <n v="13933.92"/>
    <n v="0"/>
    <m/>
    <m/>
    <n v="13933.92"/>
    <n v="0"/>
    <m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  <m/>
    <m/>
    <n v="41801.760000000002"/>
    <n v="0"/>
    <m/>
  </r>
  <r>
    <s v="Below the Line"/>
    <x v="2"/>
    <s v="WRAP"/>
    <m/>
    <x v="2065"/>
    <s v="Wrap"/>
    <m/>
    <n v="0"/>
    <n v="0"/>
    <n v="0"/>
    <m/>
    <n v="0"/>
    <n v="6966.96"/>
    <n v="6966.96"/>
    <m/>
    <m/>
    <n v="0"/>
    <n v="0"/>
    <m/>
  </r>
  <r>
    <s v="Below the Line"/>
    <x v="2"/>
    <s v=""/>
    <m/>
    <x v="2066"/>
    <s v="Comid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  <m/>
    <m/>
    <n v="19905.599999999999"/>
    <n v="0"/>
    <m/>
  </r>
  <r>
    <s v="Below the Line"/>
    <x v="2"/>
    <s v="2nd Unit"/>
    <m/>
    <x v="2069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0"/>
    <s v="Cen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71"/>
    <s v="Prep"/>
    <m/>
    <n v="0"/>
    <n v="0"/>
    <n v="0"/>
    <m/>
    <n v="0"/>
    <n v="34834.800000000003"/>
    <n v="34834.800000000003"/>
    <m/>
    <m/>
    <n v="0"/>
    <n v="0"/>
    <m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  <m/>
    <m/>
    <n v="298822.94999999995"/>
    <n v="0"/>
    <m/>
  </r>
  <r>
    <s v="Below the Line"/>
    <x v="2"/>
    <s v="WRAP"/>
    <m/>
    <x v="2073"/>
    <s v="Wrap"/>
    <m/>
    <n v="0"/>
    <n v="0"/>
    <n v="0"/>
    <n v="0"/>
    <n v="0"/>
    <n v="17417.400000000001"/>
    <n v="17417.400000000001"/>
    <m/>
    <m/>
    <n v="0"/>
    <n v="0"/>
    <m/>
  </r>
  <r>
    <s v="Below the Line"/>
    <x v="2"/>
    <s v=""/>
    <m/>
    <x v="2074"/>
    <s v="Cen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76"/>
    <s v="Shoot"/>
    <m/>
    <n v="15924.48"/>
    <n v="0"/>
    <n v="15924.48"/>
    <n v="0"/>
    <n v="15924.48"/>
    <n v="15924.48"/>
    <n v="0"/>
    <m/>
    <m/>
    <n v="15924.48"/>
    <n v="0"/>
    <m/>
  </r>
  <r>
    <s v="Below the Line"/>
    <x v="2"/>
    <s v="2nd Unit"/>
    <m/>
    <x v="207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8"/>
    <s v="Comidas Domingo Hotel"/>
    <m/>
    <n v="0"/>
    <n v="0"/>
    <n v="0"/>
    <n v="0"/>
    <n v="0"/>
    <n v="0"/>
    <n v="0"/>
    <m/>
    <m/>
    <n v="0"/>
    <n v="0"/>
    <m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  <m/>
    <m/>
    <n v="9716.7999999999993"/>
    <n v="0"/>
    <m/>
  </r>
  <r>
    <s v="Below the Line"/>
    <x v="2"/>
    <s v=""/>
    <m/>
    <x v="2082"/>
    <s v="Comidas Domingo Hotel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83"/>
    <s v="Desayuno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4"/>
    <s v="Comida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5"/>
    <s v="Cena"/>
    <m/>
    <n v="32024.98"/>
    <n v="0"/>
    <n v="32024.98"/>
    <n v="0"/>
    <n v="32024.98"/>
    <n v="8294"/>
    <n v="-23730.98"/>
    <m/>
    <m/>
    <n v="32024.98"/>
    <n v="0"/>
    <m/>
  </r>
  <r>
    <s v="Below the Line"/>
    <x v="2"/>
    <s v=""/>
    <m/>
    <x v="2086"/>
    <s v="Desayunos/Comidas/Cenas Hotel Chapala - 1927"/>
    <m/>
    <n v="0"/>
    <n v="0"/>
    <n v="0"/>
    <n v="0"/>
    <n v="0"/>
    <n v="0"/>
    <n v="0"/>
    <m/>
    <m/>
    <n v="0"/>
    <n v="0"/>
    <m/>
  </r>
  <r>
    <s v="Below the Line"/>
    <x v="2"/>
    <s v="SHOOT"/>
    <m/>
    <x v="2087"/>
    <s v="Shoot"/>
    <m/>
    <n v="16659.03"/>
    <n v="0"/>
    <n v="16659.03"/>
    <n v="0"/>
    <n v="16659.03"/>
    <n v="42000"/>
    <n v="25340.97"/>
    <m/>
    <m/>
    <n v="16659.03"/>
    <n v="0"/>
    <m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2"/>
    <s v=""/>
    <m/>
    <x v="2089"/>
    <s v="Emergency Uber"/>
    <m/>
    <n v="0"/>
    <n v="0"/>
    <n v="0"/>
    <n v="0"/>
    <n v="0"/>
    <n v="0"/>
    <n v="0"/>
    <m/>
    <m/>
    <n v="0"/>
    <n v="0"/>
    <m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1"/>
    <m/>
    <m/>
    <x v="2091"/>
    <s v="TRANSPORTE"/>
    <m/>
    <n v="127306.12"/>
    <n v="0"/>
    <n v="127306.12"/>
    <n v="0"/>
    <n v="127306.12"/>
    <n v="225160"/>
    <n v="97853.88"/>
    <m/>
    <m/>
    <n v="127306.12"/>
    <n v="0"/>
    <m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  <m/>
    <m/>
    <n v="0"/>
    <n v="0"/>
    <m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  <m/>
    <m/>
    <n v="27452.919999999995"/>
    <n v="0"/>
    <m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  <m/>
    <m/>
    <n v="64379.24"/>
    <n v="0"/>
    <m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  <m/>
    <m/>
    <n v="20832.89"/>
    <n v="0"/>
    <m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  <m/>
    <m/>
    <n v="14641.07"/>
    <n v="0"/>
    <m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  <m/>
    <m/>
    <n v="0"/>
    <n v="0"/>
    <m/>
  </r>
  <r>
    <s v="Below the Line"/>
    <x v="2"/>
    <s v="ALL SHOW"/>
    <m/>
    <x v="2099"/>
    <s v="MEX - GDL"/>
    <m/>
    <n v="0"/>
    <n v="0"/>
    <n v="0"/>
    <n v="0"/>
    <n v="0"/>
    <n v="9468"/>
    <n v="9468"/>
    <m/>
    <m/>
    <n v="0"/>
    <n v="0"/>
    <m/>
  </r>
  <r>
    <s v="Below the Line"/>
    <x v="2"/>
    <s v="ALL SHOW"/>
    <m/>
    <x v="2100"/>
    <s v="GDL - MEX"/>
    <m/>
    <n v="0"/>
    <n v="0"/>
    <n v="0"/>
    <n v="0"/>
    <n v="0"/>
    <n v="9468"/>
    <n v="9468"/>
    <m/>
    <m/>
    <n v="0"/>
    <n v="0"/>
    <m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2102"/>
    <s v="MEX - GDL"/>
    <m/>
    <n v="0"/>
    <n v="0"/>
    <n v="0"/>
    <n v="0"/>
    <n v="0"/>
    <n v="6312"/>
    <n v="6312"/>
    <m/>
    <m/>
    <n v="0"/>
    <n v="0"/>
    <m/>
  </r>
  <r>
    <s v="Below the Line"/>
    <x v="2"/>
    <s v="2nd Unit"/>
    <m/>
    <x v="2103"/>
    <s v="GDL - MEX"/>
    <m/>
    <n v="0"/>
    <n v="0"/>
    <n v="0"/>
    <n v="0"/>
    <n v="0"/>
    <n v="6312"/>
    <n v="6312"/>
    <m/>
    <m/>
    <n v="0"/>
    <n v="0"/>
    <m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2"/>
    <s v=""/>
    <m/>
    <x v="2108"/>
    <s v="Pruebas de cámara"/>
    <m/>
    <n v="0"/>
    <n v="0"/>
    <n v="0"/>
    <n v="0"/>
    <n v="0"/>
    <n v="0"/>
    <n v="0"/>
    <m/>
    <m/>
    <n v="0"/>
    <n v="0"/>
    <m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Post"/>
    <x v="0"/>
    <m/>
    <m/>
    <x v="2110"/>
    <s v="EDICION"/>
    <m/>
    <n v="4889054.93"/>
    <n v="0"/>
    <n v="4889054.93"/>
    <n v="0"/>
    <n v="4889054.93"/>
    <n v="4891351.46"/>
    <n v="2296.5300000000061"/>
    <m/>
    <m/>
    <n v="4889054.93"/>
    <n v="0"/>
    <m/>
  </r>
  <r>
    <s v="Post"/>
    <x v="1"/>
    <m/>
    <m/>
    <x v="2111"/>
    <s v="EDITOR(A)"/>
    <m/>
    <n v="1359250"/>
    <n v="0"/>
    <n v="1359250"/>
    <n v="0"/>
    <n v="1359250"/>
    <n v="1355250"/>
    <n v="-4000"/>
    <m/>
    <m/>
    <n v="1359250"/>
    <n v="0"/>
    <m/>
  </r>
  <r>
    <s v="Post"/>
    <x v="2"/>
    <s v=""/>
    <m/>
    <x v="2112"/>
    <s v="Head Editor - Verónica López"/>
    <m/>
    <n v="0"/>
    <n v="0"/>
    <n v="0"/>
    <n v="0"/>
    <n v="0"/>
    <n v="0"/>
    <n v="0"/>
    <m/>
    <m/>
    <n v="0"/>
    <n v="0"/>
    <m/>
  </r>
  <r>
    <s v="Post"/>
    <x v="2"/>
    <s v="PREP"/>
    <s v="DINAMITA"/>
    <x v="2113"/>
    <s v="Prep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14"/>
    <s v="Post"/>
    <m/>
    <n v="475000"/>
    <n v="0"/>
    <n v="475000"/>
    <n v="0"/>
    <n v="475000"/>
    <n v="475000"/>
    <n v="0"/>
    <m/>
    <m/>
    <n v="475000"/>
    <n v="0"/>
    <m/>
  </r>
  <r>
    <s v="Post"/>
    <x v="2"/>
    <s v=""/>
    <m/>
    <x v="2115"/>
    <s v="Editor Sr 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6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7"/>
    <s v="Editor Sr 3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8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9"/>
    <s v="Editor Sr 4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0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21"/>
    <s v="Teaser"/>
    <m/>
    <n v="0"/>
    <n v="0"/>
    <n v="0"/>
    <n v="0"/>
    <n v="0"/>
    <n v="0"/>
    <n v="0"/>
    <m/>
    <m/>
    <n v="0"/>
    <n v="0"/>
    <m/>
  </r>
  <r>
    <s v="Post"/>
    <x v="2"/>
    <s v=""/>
    <m/>
    <x v="2122"/>
    <s v="Editor "/>
    <m/>
    <n v="0"/>
    <n v="0"/>
    <n v="0"/>
    <n v="0"/>
    <n v="0"/>
    <n v="0"/>
    <n v="0"/>
    <m/>
    <m/>
    <n v="0"/>
    <n v="0"/>
    <m/>
  </r>
  <r>
    <s v="Post"/>
    <x v="2"/>
    <s v="ALL SHOW"/>
    <s v="DINAMITA"/>
    <x v="2123"/>
    <s v="Teaser"/>
    <m/>
    <n v="6250"/>
    <n v="0"/>
    <n v="6250"/>
    <n v="0"/>
    <n v="6250"/>
    <n v="6250"/>
    <n v="0"/>
    <m/>
    <m/>
    <n v="6250"/>
    <n v="0"/>
    <m/>
  </r>
  <r>
    <s v="Post"/>
    <x v="2"/>
    <s v="ALL SHOW"/>
    <m/>
    <x v="2124"/>
    <s v="Editor en Set"/>
    <m/>
    <n v="4000"/>
    <n v="0"/>
    <n v="4000"/>
    <n v="0"/>
    <n v="4000"/>
    <n v="0"/>
    <n v="-4000"/>
    <m/>
    <m/>
    <n v="4000"/>
    <n v="0"/>
    <m/>
  </r>
  <r>
    <s v="Post"/>
    <x v="1"/>
    <m/>
    <m/>
    <x v="2125"/>
    <s v="ASISTENTE EDICION"/>
    <m/>
    <n v="435500"/>
    <n v="0"/>
    <n v="435500"/>
    <n v="0"/>
    <n v="435500"/>
    <n v="435500"/>
    <n v="0"/>
    <m/>
    <m/>
    <n v="435500"/>
    <n v="0"/>
    <m/>
  </r>
  <r>
    <s v="Post"/>
    <x v="2"/>
    <s v=""/>
    <m/>
    <x v="2126"/>
    <s v="Coordinador de edición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7"/>
    <s v="Post"/>
    <m/>
    <n v="180500"/>
    <n v="0"/>
    <n v="180500"/>
    <n v="0"/>
    <n v="180500"/>
    <n v="180500"/>
    <n v="0"/>
    <m/>
    <m/>
    <n v="180500"/>
    <n v="0"/>
    <m/>
  </r>
  <r>
    <s v="Post"/>
    <x v="2"/>
    <s v=""/>
    <m/>
    <x v="2128"/>
    <s v="Asistente de Edición Sr #1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9"/>
    <s v="Post Weeks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30"/>
    <s v="Asistente de Edición Sr #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31"/>
    <s v="Post Weeks"/>
    <m/>
    <n v="105000"/>
    <n v="0"/>
    <n v="105000"/>
    <n v="0"/>
    <n v="105000"/>
    <n v="105000"/>
    <n v="0"/>
    <m/>
    <m/>
    <n v="105000"/>
    <n v="0"/>
    <m/>
  </r>
  <r>
    <s v="Post"/>
    <x v="1"/>
    <m/>
    <m/>
    <x v="2132"/>
    <s v="SUPERVISION POST"/>
    <m/>
    <n v="671000"/>
    <n v="0"/>
    <n v="671000"/>
    <n v="0"/>
    <n v="671000"/>
    <n v="638000"/>
    <n v="-33000"/>
    <m/>
    <m/>
    <n v="671000"/>
    <n v="0"/>
    <m/>
  </r>
  <r>
    <s v="Post"/>
    <x v="2"/>
    <s v=""/>
    <m/>
    <x v="2133"/>
    <s v="Post production Supervisor - David Aragón"/>
    <m/>
    <n v="0"/>
    <n v="0"/>
    <n v="0"/>
    <n v="0"/>
    <n v="0"/>
    <n v="0"/>
    <n v="0"/>
    <m/>
    <m/>
    <n v="0"/>
    <n v="0"/>
    <m/>
  </r>
  <r>
    <s v="Post"/>
    <x v="2"/>
    <s v=""/>
    <m/>
    <x v="2134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35"/>
    <s v="Pre"/>
    <m/>
    <n v="66000"/>
    <n v="0"/>
    <n v="66000"/>
    <n v="0"/>
    <n v="66000"/>
    <n v="66000"/>
    <n v="0"/>
    <m/>
    <m/>
    <n v="66000"/>
    <n v="0"/>
    <m/>
  </r>
  <r>
    <s v="Post"/>
    <x v="2"/>
    <s v="POST"/>
    <m/>
    <x v="2136"/>
    <s v="Post"/>
    <m/>
    <n v="605000"/>
    <n v="0"/>
    <n v="605000"/>
    <n v="0"/>
    <n v="605000"/>
    <n v="572000"/>
    <n v="-33000"/>
    <m/>
    <m/>
    <n v="605000"/>
    <n v="0"/>
    <m/>
  </r>
  <r>
    <s v="Post"/>
    <x v="1"/>
    <m/>
    <m/>
    <x v="2137"/>
    <s v="COORDINACION POST"/>
    <m/>
    <n v="335500"/>
    <n v="0"/>
    <n v="335500"/>
    <n v="0"/>
    <n v="335500"/>
    <n v="319000"/>
    <n v="-16500"/>
    <m/>
    <m/>
    <n v="335500"/>
    <n v="0"/>
    <m/>
  </r>
  <r>
    <s v="Post"/>
    <x v="2"/>
    <s v=""/>
    <m/>
    <x v="2138"/>
    <s v="Coordinador de Post - Pamela Dominguez"/>
    <m/>
    <n v="0"/>
    <n v="0"/>
    <n v="0"/>
    <n v="0"/>
    <n v="0"/>
    <n v="0"/>
    <n v="0"/>
    <m/>
    <m/>
    <n v="0"/>
    <n v="0"/>
    <m/>
  </r>
  <r>
    <s v="Post"/>
    <x v="2"/>
    <s v=""/>
    <m/>
    <x v="2139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40"/>
    <s v="Prep"/>
    <m/>
    <n v="33000"/>
    <n v="0"/>
    <n v="33000"/>
    <n v="0"/>
    <n v="33000"/>
    <n v="33000"/>
    <n v="0"/>
    <m/>
    <m/>
    <n v="33000"/>
    <n v="0"/>
    <m/>
  </r>
  <r>
    <s v="Post"/>
    <x v="2"/>
    <s v="POST"/>
    <m/>
    <x v="2141"/>
    <s v="Post"/>
    <m/>
    <n v="302500"/>
    <n v="0"/>
    <n v="302500"/>
    <n v="0"/>
    <n v="302500"/>
    <n v="286000"/>
    <n v="-16500"/>
    <m/>
    <m/>
    <n v="302500"/>
    <n v="0"/>
    <m/>
  </r>
  <r>
    <s v="Post"/>
    <x v="1"/>
    <m/>
    <m/>
    <x v="2142"/>
    <s v="ASISTENTE POST"/>
    <m/>
    <n v="194200"/>
    <n v="0"/>
    <n v="194200"/>
    <n v="0"/>
    <n v="194200"/>
    <n v="194200"/>
    <n v="0"/>
    <m/>
    <m/>
    <n v="194200"/>
    <n v="0"/>
    <m/>
  </r>
  <r>
    <s v="Post"/>
    <x v="2"/>
    <s v=""/>
    <m/>
    <x v="2143"/>
    <s v="Asistente de Post - Edmundo Reyes"/>
    <m/>
    <n v="0"/>
    <n v="0"/>
    <n v="0"/>
    <n v="0"/>
    <n v="0"/>
    <n v="0"/>
    <n v="0"/>
    <m/>
    <m/>
    <n v="0"/>
    <n v="0"/>
    <m/>
  </r>
  <r>
    <s v="Post"/>
    <x v="2"/>
    <s v="PREP"/>
    <s v="DINAMITA"/>
    <x v="2144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45"/>
    <s v="Post"/>
    <m/>
    <n v="187200"/>
    <n v="0"/>
    <n v="187200"/>
    <n v="0"/>
    <n v="187200"/>
    <n v="187200"/>
    <n v="0"/>
    <m/>
    <m/>
    <n v="187200"/>
    <n v="0"/>
    <m/>
  </r>
  <r>
    <s v="Post"/>
    <x v="2"/>
    <s v=""/>
    <m/>
    <x v="2146"/>
    <s v="Teaser"/>
    <m/>
    <n v="0"/>
    <n v="0"/>
    <n v="0"/>
    <n v="0"/>
    <n v="0"/>
    <n v="0"/>
    <n v="0"/>
    <m/>
    <m/>
    <n v="0"/>
    <n v="0"/>
    <m/>
  </r>
  <r>
    <s v="Post"/>
    <x v="2"/>
    <s v=""/>
    <m/>
    <x v="2147"/>
    <s v="Asistente d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48"/>
    <s v="Teaser"/>
    <m/>
    <n v="4000"/>
    <n v="0"/>
    <n v="4000"/>
    <n v="0"/>
    <n v="4000"/>
    <n v="4000"/>
    <n v="0"/>
    <m/>
    <m/>
    <n v="4000"/>
    <n v="0"/>
    <m/>
  </r>
  <r>
    <s v="Post"/>
    <x v="1"/>
    <m/>
    <m/>
    <x v="2149"/>
    <s v="TRANSCRIPCION/TRADUCCION/SUBTITULO TEMPORAL"/>
    <m/>
    <n v="96400"/>
    <n v="0"/>
    <n v="96400"/>
    <n v="0"/>
    <n v="96400"/>
    <n v="96400"/>
    <n v="0"/>
    <m/>
    <m/>
    <n v="96400"/>
    <n v="0"/>
    <m/>
  </r>
  <r>
    <s v="Post"/>
    <x v="2"/>
    <s v=""/>
    <m/>
    <x v="2150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  <m/>
    <m/>
    <n v="96000"/>
    <n v="0"/>
    <m/>
  </r>
  <r>
    <s v="Post"/>
    <x v="2"/>
    <s v=""/>
    <m/>
    <x v="2152"/>
    <s v="Teaser"/>
    <m/>
    <n v="0"/>
    <n v="0"/>
    <n v="0"/>
    <n v="0"/>
    <n v="0"/>
    <n v="0"/>
    <n v="0"/>
    <m/>
    <m/>
    <n v="0"/>
    <n v="0"/>
    <m/>
  </r>
  <r>
    <s v="Post"/>
    <x v="2"/>
    <s v=""/>
    <m/>
    <x v="2153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ALL SHOW"/>
    <s v="DINAMITA"/>
    <x v="2154"/>
    <s v="Subtítulos (TTML1, EBU STL)"/>
    <m/>
    <n v="400"/>
    <n v="0"/>
    <n v="400"/>
    <n v="0"/>
    <n v="400"/>
    <n v="400"/>
    <n v="0"/>
    <m/>
    <m/>
    <n v="400"/>
    <n v="0"/>
    <m/>
  </r>
  <r>
    <s v="Post"/>
    <x v="1"/>
    <m/>
    <m/>
    <x v="2155"/>
    <s v="RENTAS EQUIPO EDICION"/>
    <m/>
    <n v="1738000"/>
    <n v="0"/>
    <n v="1738000"/>
    <n v="0"/>
    <n v="1738000"/>
    <n v="1738000"/>
    <n v="0"/>
    <m/>
    <m/>
    <n v="1738000"/>
    <n v="0"/>
    <m/>
  </r>
  <r>
    <s v="Post"/>
    <x v="2"/>
    <s v=""/>
    <m/>
    <x v="2156"/>
    <s v="AVIDS, Storage, Cutting Rooms - Dinamita"/>
    <m/>
    <n v="0"/>
    <n v="0"/>
    <n v="0"/>
    <n v="0"/>
    <n v="0"/>
    <n v="0"/>
    <n v="0"/>
    <m/>
    <m/>
    <n v="0"/>
    <n v="0"/>
    <m/>
  </r>
  <r>
    <s v="Post"/>
    <x v="2"/>
    <s v=""/>
    <m/>
    <x v="2157"/>
    <s v="Estación de trabajo Coordinador de Post"/>
    <m/>
    <n v="0"/>
    <n v="0"/>
    <n v="0"/>
    <n v="0"/>
    <n v="0"/>
    <n v="0"/>
    <n v="0"/>
    <m/>
    <m/>
    <n v="0"/>
    <n v="0"/>
    <m/>
  </r>
  <r>
    <s v="Post"/>
    <x v="2"/>
    <s v="POST"/>
    <s v="DINAMITA"/>
    <x v="2158"/>
    <s v="Post"/>
    <m/>
    <n v="52000"/>
    <n v="0"/>
    <n v="52000"/>
    <n v="0"/>
    <n v="52000"/>
    <n v="52000"/>
    <n v="0"/>
    <m/>
    <m/>
    <n v="52000"/>
    <n v="0"/>
    <m/>
  </r>
  <r>
    <s v="Post"/>
    <x v="2"/>
    <s v=""/>
    <m/>
    <x v="2159"/>
    <s v="Estación de trabajo Asistente de Post"/>
    <m/>
    <n v="0"/>
    <n v="0"/>
    <n v="0"/>
    <n v="0"/>
    <n v="0"/>
    <n v="0"/>
    <n v="0"/>
    <m/>
    <m/>
    <n v="0"/>
    <n v="0"/>
    <m/>
  </r>
  <r>
    <s v="Post"/>
    <x v="2"/>
    <s v="PREP"/>
    <s v="DINAMITA"/>
    <x v="2160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61"/>
    <s v="Post"/>
    <m/>
    <n v="312000"/>
    <n v="0"/>
    <n v="312000"/>
    <n v="0"/>
    <n v="312000"/>
    <n v="312000"/>
    <n v="0"/>
    <m/>
    <m/>
    <n v="312000"/>
    <n v="0"/>
    <m/>
  </r>
  <r>
    <s v="Post"/>
    <x v="2"/>
    <s v=""/>
    <m/>
    <x v="2162"/>
    <s v="Sala Presentación"/>
    <m/>
    <n v="0"/>
    <n v="0"/>
    <n v="0"/>
    <n v="0"/>
    <n v="0"/>
    <n v="0"/>
    <n v="0"/>
    <m/>
    <m/>
    <n v="0"/>
    <n v="0"/>
    <m/>
  </r>
  <r>
    <s v="Post"/>
    <x v="2"/>
    <s v="POST"/>
    <s v="DINAMITA"/>
    <x v="2163"/>
    <s v="Post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64"/>
    <s v="Estación de trabajo Head Editor"/>
    <m/>
    <n v="0"/>
    <n v="0"/>
    <n v="0"/>
    <n v="0"/>
    <n v="0"/>
    <n v="0"/>
    <n v="0"/>
    <m/>
    <m/>
    <n v="0"/>
    <n v="0"/>
    <m/>
  </r>
  <r>
    <s v="Post"/>
    <x v="2"/>
    <s v="PREP"/>
    <s v="DINAMITA"/>
    <x v="2165"/>
    <s v="Pre"/>
    <m/>
    <n v="5000"/>
    <n v="0"/>
    <n v="5000"/>
    <n v="0"/>
    <n v="5000"/>
    <n v="5000"/>
    <n v="0"/>
    <m/>
    <m/>
    <n v="5000"/>
    <n v="0"/>
    <m/>
  </r>
  <r>
    <s v="Post"/>
    <x v="2"/>
    <s v="POST"/>
    <s v="DINAMITA"/>
    <x v="2166"/>
    <s v="Post (Sala Offline)"/>
    <m/>
    <n v="117000"/>
    <n v="0"/>
    <n v="117000"/>
    <n v="0"/>
    <n v="117000"/>
    <n v="117000"/>
    <n v="0"/>
    <m/>
    <m/>
    <n v="117000"/>
    <n v="0"/>
    <m/>
  </r>
  <r>
    <s v="Post"/>
    <x v="2"/>
    <s v=""/>
    <m/>
    <x v="2167"/>
    <s v="Estación de trabajo Editor Sr. 2"/>
    <m/>
    <n v="0"/>
    <n v="0"/>
    <n v="0"/>
    <n v="0"/>
    <n v="0"/>
    <n v="0"/>
    <n v="0"/>
    <m/>
    <m/>
    <n v="0"/>
    <n v="0"/>
    <m/>
  </r>
  <r>
    <s v="Post"/>
    <x v="2"/>
    <s v="POST"/>
    <s v="DINAMITA"/>
    <x v="2168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69"/>
    <s v="Estación de trabajo Editor Sr. 3"/>
    <m/>
    <n v="0"/>
    <n v="0"/>
    <n v="0"/>
    <n v="0"/>
    <n v="0"/>
    <n v="0"/>
    <n v="0"/>
    <m/>
    <m/>
    <n v="0"/>
    <n v="0"/>
    <m/>
  </r>
  <r>
    <s v="Post"/>
    <x v="2"/>
    <s v="POST"/>
    <s v="DINAMITA"/>
    <x v="2170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1"/>
    <s v="Estación de trabajo Editor Sr. 4"/>
    <m/>
    <n v="0"/>
    <n v="0"/>
    <n v="0"/>
    <n v="0"/>
    <n v="0"/>
    <n v="0"/>
    <n v="0"/>
    <m/>
    <m/>
    <n v="0"/>
    <n v="0"/>
    <m/>
  </r>
  <r>
    <s v="Post"/>
    <x v="2"/>
    <s v="POST"/>
    <s v="DINAMITA"/>
    <x v="2172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3"/>
    <s v="Estación de trabajo Coordinador de edición "/>
    <m/>
    <n v="0"/>
    <n v="0"/>
    <n v="0"/>
    <n v="0"/>
    <n v="0"/>
    <n v="0"/>
    <n v="0"/>
    <m/>
    <m/>
    <n v="0"/>
    <n v="0"/>
    <m/>
  </r>
  <r>
    <s v="Post"/>
    <x v="2"/>
    <s v="POST"/>
    <s v="DINAMITA"/>
    <x v="2174"/>
    <s v="Post"/>
    <m/>
    <n v="152000"/>
    <n v="0"/>
    <n v="152000"/>
    <n v="0"/>
    <n v="152000"/>
    <n v="152000"/>
    <n v="0"/>
    <m/>
    <m/>
    <n v="152000"/>
    <n v="0"/>
    <m/>
  </r>
  <r>
    <s v="Post"/>
    <x v="2"/>
    <s v=""/>
    <m/>
    <x v="2175"/>
    <s v="Estación de trabajo Asistente de edición Sr #1"/>
    <m/>
    <n v="0"/>
    <n v="0"/>
    <n v="0"/>
    <n v="0"/>
    <n v="0"/>
    <n v="0"/>
    <n v="0"/>
    <m/>
    <m/>
    <n v="0"/>
    <n v="0"/>
    <m/>
  </r>
  <r>
    <s v="Post"/>
    <x v="2"/>
    <s v="POST"/>
    <s v="DINAMITA"/>
    <x v="2176"/>
    <s v="Post"/>
    <m/>
    <n v="180000"/>
    <n v="0"/>
    <n v="180000"/>
    <n v="0"/>
    <n v="180000"/>
    <n v="180000"/>
    <n v="0"/>
    <m/>
    <m/>
    <n v="180000"/>
    <n v="0"/>
    <m/>
  </r>
  <r>
    <s v="Post"/>
    <x v="2"/>
    <s v=""/>
    <m/>
    <x v="2177"/>
    <s v="Estación de trabajo Asistente de edición Sr. #2"/>
    <m/>
    <n v="0"/>
    <n v="0"/>
    <n v="0"/>
    <n v="0"/>
    <n v="0"/>
    <n v="0"/>
    <n v="0"/>
    <m/>
    <m/>
    <n v="0"/>
    <n v="0"/>
    <m/>
  </r>
  <r>
    <s v="Post"/>
    <x v="2"/>
    <s v="POST"/>
    <s v="DINAMITA"/>
    <x v="2178"/>
    <s v="Post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179"/>
    <s v="Teaser"/>
    <m/>
    <n v="0"/>
    <n v="0"/>
    <n v="0"/>
    <n v="0"/>
    <n v="0"/>
    <n v="0"/>
    <n v="0"/>
    <m/>
    <m/>
    <n v="0"/>
    <n v="0"/>
    <m/>
  </r>
  <r>
    <s v="Post"/>
    <x v="2"/>
    <s v=""/>
    <m/>
    <x v="2180"/>
    <s v="Estación de trabajo asitent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81"/>
    <s v="Allowance"/>
    <m/>
    <n v="12000"/>
    <n v="0"/>
    <n v="12000"/>
    <n v="0"/>
    <n v="12000"/>
    <n v="12000"/>
    <n v="0"/>
    <m/>
    <m/>
    <n v="12000"/>
    <n v="0"/>
    <m/>
  </r>
  <r>
    <s v="Post"/>
    <x v="2"/>
    <s v=""/>
    <m/>
    <x v="2182"/>
    <s v="Sala Edición"/>
    <m/>
    <n v="0"/>
    <n v="0"/>
    <n v="0"/>
    <n v="0"/>
    <n v="0"/>
    <n v="0"/>
    <n v="0"/>
    <m/>
    <m/>
    <n v="0"/>
    <n v="0"/>
    <m/>
  </r>
  <r>
    <s v="Post"/>
    <x v="2"/>
    <s v="ALL SHOW"/>
    <s v="DINAMITA"/>
    <x v="2183"/>
    <s v="Allowance"/>
    <m/>
    <n v="5000"/>
    <n v="0"/>
    <n v="5000"/>
    <n v="0"/>
    <n v="5000"/>
    <n v="5000"/>
    <n v="0"/>
    <m/>
    <m/>
    <n v="5000"/>
    <n v="0"/>
    <m/>
  </r>
  <r>
    <s v="Post"/>
    <x v="1"/>
    <m/>
    <m/>
    <x v="2184"/>
    <s v="RENTAS DE SOFTWARE"/>
    <m/>
    <n v="59204.93"/>
    <n v="0"/>
    <n v="59204.93"/>
    <n v="0"/>
    <n v="59204.93"/>
    <n v="115001.46"/>
    <n v="55796.530000000006"/>
    <m/>
    <m/>
    <n v="59204.93"/>
    <n v="0"/>
    <m/>
  </r>
  <r>
    <s v="Post"/>
    <x v="2"/>
    <s v=""/>
    <m/>
    <x v="2185"/>
    <s v="Evercast"/>
    <m/>
    <n v="0"/>
    <n v="0"/>
    <n v="0"/>
    <n v="0"/>
    <n v="0"/>
    <n v="0"/>
    <n v="0"/>
    <m/>
    <m/>
    <n v="0"/>
    <n v="0"/>
    <m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  <m/>
    <m/>
    <n v="59204.93"/>
    <n v="0"/>
    <m/>
  </r>
  <r>
    <s v="Post"/>
    <x v="0"/>
    <m/>
    <m/>
    <x v="2187"/>
    <s v="POSTPRODUCCION DE IMAGEN"/>
    <m/>
    <n v="2159000"/>
    <n v="0"/>
    <n v="2159000"/>
    <n v="0"/>
    <n v="2159000"/>
    <n v="2206500"/>
    <n v="47500"/>
    <m/>
    <m/>
    <n v="2159000"/>
    <n v="0"/>
    <m/>
  </r>
  <r>
    <s v="Post"/>
    <x v="1"/>
    <m/>
    <m/>
    <x v="2188"/>
    <s v="CONFORMADO DE IMAGEN"/>
    <m/>
    <n v="324000"/>
    <n v="0"/>
    <n v="324000"/>
    <n v="0"/>
    <n v="324000"/>
    <n v="324000"/>
    <n v="0"/>
    <m/>
    <m/>
    <n v="324000"/>
    <n v="0"/>
    <m/>
  </r>
  <r>
    <s v="Post"/>
    <x v="2"/>
    <s v=""/>
    <m/>
    <x v="2189"/>
    <s v="Editor Online - Esteban Díaz"/>
    <m/>
    <n v="0"/>
    <n v="0"/>
    <n v="0"/>
    <n v="0"/>
    <n v="0"/>
    <n v="0"/>
    <n v="0"/>
    <m/>
    <m/>
    <n v="0"/>
    <n v="0"/>
    <m/>
  </r>
  <r>
    <s v="Post"/>
    <x v="2"/>
    <s v="POST"/>
    <s v="DINAMITA"/>
    <x v="2190"/>
    <s v="Post"/>
    <m/>
    <n v="140000"/>
    <n v="0"/>
    <n v="140000"/>
    <n v="0"/>
    <n v="140000"/>
    <n v="140000"/>
    <n v="0"/>
    <m/>
    <m/>
    <n v="140000"/>
    <n v="0"/>
    <m/>
  </r>
  <r>
    <s v="Post"/>
    <x v="2"/>
    <s v=""/>
    <m/>
    <x v="2191"/>
    <s v="Estación de trabajo Conform/Online"/>
    <m/>
    <n v="0"/>
    <n v="0"/>
    <n v="0"/>
    <n v="0"/>
    <n v="0"/>
    <n v="0"/>
    <n v="0"/>
    <m/>
    <m/>
    <n v="0"/>
    <n v="0"/>
    <m/>
  </r>
  <r>
    <s v="Post"/>
    <x v="2"/>
    <s v="POST"/>
    <s v="DINAMITA"/>
    <x v="2192"/>
    <s v="Post"/>
    <m/>
    <n v="168000"/>
    <n v="0"/>
    <n v="168000"/>
    <n v="0"/>
    <n v="168000"/>
    <n v="168000"/>
    <n v="0"/>
    <m/>
    <m/>
    <n v="168000"/>
    <n v="0"/>
    <m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194"/>
    <s v="Locked Proxy (H264)"/>
    <m/>
    <n v="16000"/>
    <n v="0"/>
    <n v="16000"/>
    <n v="0"/>
    <n v="16000"/>
    <n v="16000"/>
    <n v="0"/>
    <m/>
    <m/>
    <n v="16000"/>
    <n v="0"/>
    <m/>
  </r>
  <r>
    <s v="Post"/>
    <x v="1"/>
    <m/>
    <m/>
    <x v="2195"/>
    <s v="COLOR FINAL"/>
    <m/>
    <n v="1179000"/>
    <n v="0"/>
    <n v="1179000"/>
    <n v="0"/>
    <n v="1179000"/>
    <n v="1179000"/>
    <n v="0"/>
    <m/>
    <m/>
    <n v="1179000"/>
    <n v="0"/>
    <m/>
  </r>
  <r>
    <s v="Post"/>
    <x v="2"/>
    <s v=""/>
    <m/>
    <x v="2196"/>
    <s v="Final Grading - Dinamita (Maribel Muro)"/>
    <m/>
    <n v="0"/>
    <n v="0"/>
    <n v="0"/>
    <n v="0"/>
    <n v="0"/>
    <n v="0"/>
    <n v="0"/>
    <m/>
    <m/>
    <n v="0"/>
    <n v="0"/>
    <m/>
  </r>
  <r>
    <s v="Post"/>
    <x v="2"/>
    <s v="PREP"/>
    <s v="DINAMITA"/>
    <x v="2197"/>
    <s v="Pre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98"/>
    <s v="Colorista Elite HDR"/>
    <m/>
    <n v="264000"/>
    <n v="0"/>
    <n v="264000"/>
    <n v="0"/>
    <n v="264000"/>
    <n v="264000"/>
    <n v="0"/>
    <m/>
    <m/>
    <n v="264000"/>
    <n v="0"/>
    <m/>
  </r>
  <r>
    <s v="Post"/>
    <x v="2"/>
    <s v=""/>
    <m/>
    <x v="2199"/>
    <s v="Sala CC HDR / Trim Pass SDR"/>
    <m/>
    <n v="0"/>
    <n v="0"/>
    <n v="0"/>
    <n v="0"/>
    <n v="0"/>
    <n v="0"/>
    <n v="0"/>
    <m/>
    <m/>
    <n v="0"/>
    <n v="0"/>
    <m/>
  </r>
  <r>
    <s v="Post"/>
    <x v="2"/>
    <s v="POST"/>
    <s v="DINAMITA"/>
    <x v="2200"/>
    <s v="Post"/>
    <m/>
    <n v="900000"/>
    <n v="0"/>
    <n v="900000"/>
    <n v="0"/>
    <n v="900000"/>
    <n v="900000"/>
    <n v="0"/>
    <m/>
    <m/>
    <n v="900000"/>
    <n v="0"/>
    <m/>
  </r>
  <r>
    <s v="Post"/>
    <x v="2"/>
    <s v=""/>
    <m/>
    <x v="2201"/>
    <s v="Estación de trabajo Colorista"/>
    <m/>
    <n v="0"/>
    <n v="0"/>
    <n v="0"/>
    <n v="0"/>
    <n v="0"/>
    <n v="0"/>
    <n v="0"/>
    <m/>
    <m/>
    <n v="0"/>
    <n v="0"/>
    <m/>
  </r>
  <r>
    <s v="Post"/>
    <x v="2"/>
    <s v="PREP"/>
    <s v="DINAMITA"/>
    <x v="2202"/>
    <s v="Pre"/>
    <m/>
    <n v="5000"/>
    <n v="0"/>
    <n v="5000"/>
    <n v="0"/>
    <n v="5000"/>
    <n v="5000"/>
    <n v="0"/>
    <m/>
    <m/>
    <n v="5000"/>
    <n v="0"/>
    <m/>
  </r>
  <r>
    <s v="Post"/>
    <x v="1"/>
    <m/>
    <m/>
    <x v="2203"/>
    <s v="EXPORT QTS DE TRABAJO"/>
    <m/>
    <n v="80000"/>
    <n v="0"/>
    <n v="80000"/>
    <n v="0"/>
    <n v="80000"/>
    <n v="80000"/>
    <n v="0"/>
    <m/>
    <m/>
    <n v="80000"/>
    <n v="0"/>
    <m/>
  </r>
  <r>
    <s v="Post"/>
    <x v="2"/>
    <s v=""/>
    <m/>
    <x v="2204"/>
    <s v="Wrappers"/>
    <m/>
    <n v="0"/>
    <n v="0"/>
    <n v="0"/>
    <n v="0"/>
    <n v="0"/>
    <n v="0"/>
    <n v="0"/>
    <m/>
    <m/>
    <n v="0"/>
    <n v="0"/>
    <m/>
  </r>
  <r>
    <s v="Post"/>
    <x v="2"/>
    <s v="POST"/>
    <s v="DINAMITA"/>
    <x v="2205"/>
    <s v="ProRes 422HQ 4K Master"/>
    <m/>
    <n v="80000"/>
    <n v="0"/>
    <n v="80000"/>
    <n v="0"/>
    <n v="80000"/>
    <n v="80000"/>
    <n v="0"/>
    <m/>
    <m/>
    <n v="80000"/>
    <n v="0"/>
    <m/>
  </r>
  <r>
    <s v="Post"/>
    <x v="1"/>
    <m/>
    <m/>
    <x v="2206"/>
    <s v="MASTER IMF"/>
    <m/>
    <n v="216000"/>
    <n v="0"/>
    <n v="216000"/>
    <n v="0"/>
    <n v="216000"/>
    <n v="216000"/>
    <n v="0"/>
    <m/>
    <m/>
    <n v="216000"/>
    <n v="0"/>
    <m/>
  </r>
  <r>
    <s v="Post"/>
    <x v="2"/>
    <s v=""/>
    <m/>
    <x v="2207"/>
    <s v="IMF Master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208"/>
    <s v="HDR 4K Master"/>
    <m/>
    <n v="200000"/>
    <n v="0"/>
    <n v="200000"/>
    <n v="0"/>
    <n v="200000"/>
    <n v="200000"/>
    <n v="0"/>
    <m/>
    <m/>
    <n v="200000"/>
    <n v="0"/>
    <m/>
  </r>
  <r>
    <s v="Post"/>
    <x v="2"/>
    <s v="POST"/>
    <s v="DINAMITA"/>
    <x v="2209"/>
    <s v="HDR 4K Textless Master"/>
    <m/>
    <n v="16000"/>
    <n v="0"/>
    <n v="16000"/>
    <n v="0"/>
    <n v="16000"/>
    <n v="16000"/>
    <n v="0"/>
    <m/>
    <m/>
    <n v="16000"/>
    <n v="0"/>
    <m/>
  </r>
  <r>
    <s v="Post"/>
    <x v="1"/>
    <m/>
    <m/>
    <x v="2210"/>
    <s v="CONTROL DE CALIDAD"/>
    <m/>
    <n v="160000"/>
    <n v="0"/>
    <n v="160000"/>
    <n v="0"/>
    <n v="160000"/>
    <n v="160000"/>
    <n v="0"/>
    <m/>
    <m/>
    <n v="160000"/>
    <n v="0"/>
    <m/>
  </r>
  <r>
    <s v="Post"/>
    <x v="2"/>
    <s v=""/>
    <m/>
    <x v="2211"/>
    <s v="QC Reviews"/>
    <m/>
    <n v="0"/>
    <n v="0"/>
    <n v="0"/>
    <n v="0"/>
    <n v="0"/>
    <n v="0"/>
    <n v="0"/>
    <m/>
    <m/>
    <n v="0"/>
    <n v="0"/>
    <m/>
  </r>
  <r>
    <s v="Post"/>
    <x v="2"/>
    <s v="POST"/>
    <s v="DINAMITA"/>
    <x v="2212"/>
    <s v="Post Weeks"/>
    <m/>
    <n v="160000"/>
    <n v="0"/>
    <n v="160000"/>
    <n v="0"/>
    <n v="160000"/>
    <n v="160000"/>
    <n v="0"/>
    <m/>
    <m/>
    <n v="160000"/>
    <n v="0"/>
    <m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  <m/>
    <m/>
    <n v="200000"/>
    <n v="0"/>
    <m/>
  </r>
  <r>
    <s v="Post"/>
    <x v="2"/>
    <s v=""/>
    <m/>
    <x v="2214"/>
    <s v="Storage"/>
    <m/>
    <n v="0"/>
    <n v="0"/>
    <n v="0"/>
    <n v="0"/>
    <n v="0"/>
    <n v="0"/>
    <n v="0"/>
    <m/>
    <m/>
    <n v="0"/>
    <n v="0"/>
    <m/>
  </r>
  <r>
    <s v="Post"/>
    <x v="2"/>
    <s v="ALL SHOW"/>
    <s v="DINAMITA"/>
    <x v="2215"/>
    <s v="1 TB"/>
    <m/>
    <n v="200000"/>
    <n v="0"/>
    <n v="200000"/>
    <n v="0"/>
    <n v="200000"/>
    <n v="200000"/>
    <n v="0"/>
    <m/>
    <m/>
    <n v="200000"/>
    <n v="0"/>
    <m/>
  </r>
  <r>
    <s v="Post"/>
    <x v="1"/>
    <m/>
    <m/>
    <x v="2216"/>
    <s v="SUBIDA CONTENIDO A NETFLIX"/>
    <m/>
    <n v="0"/>
    <n v="0"/>
    <n v="0"/>
    <n v="0"/>
    <n v="0"/>
    <n v="47500"/>
    <n v="47500"/>
    <m/>
    <m/>
    <n v="0"/>
    <n v="0"/>
    <m/>
  </r>
  <r>
    <s v="Post"/>
    <x v="2"/>
    <s v=""/>
    <m/>
    <x v="2217"/>
    <s v="Upload Services"/>
    <m/>
    <n v="0"/>
    <n v="0"/>
    <n v="0"/>
    <n v="0"/>
    <n v="0"/>
    <n v="0"/>
    <n v="0"/>
    <m/>
    <m/>
    <n v="0"/>
    <n v="0"/>
    <m/>
  </r>
  <r>
    <s v="Post"/>
    <x v="2"/>
    <s v="ALL SHOW"/>
    <s v="DINAMITA"/>
    <x v="2218"/>
    <s v="Servicios de internet dedicado"/>
    <m/>
    <n v="0"/>
    <n v="0"/>
    <n v="0"/>
    <n v="0"/>
    <n v="0"/>
    <n v="47500"/>
    <n v="47500"/>
    <m/>
    <m/>
    <n v="0"/>
    <n v="0"/>
    <m/>
  </r>
  <r>
    <s v="Post"/>
    <x v="0"/>
    <m/>
    <m/>
    <x v="2219"/>
    <s v="POST PRODUCCION DE SONIDO"/>
    <m/>
    <n v="1866170"/>
    <n v="0"/>
    <n v="1866170"/>
    <n v="0"/>
    <n v="1866170"/>
    <n v="1843600"/>
    <n v="-22570"/>
    <m/>
    <m/>
    <n v="1866170"/>
    <n v="0"/>
    <m/>
  </r>
  <r>
    <s v="Post"/>
    <x v="1"/>
    <m/>
    <m/>
    <x v="2220"/>
    <s v="EDICION DE SONIDO"/>
    <m/>
    <n v="612000"/>
    <n v="0"/>
    <n v="612000"/>
    <n v="0"/>
    <n v="612000"/>
    <n v="612000"/>
    <n v="0"/>
    <m/>
    <m/>
    <n v="612000"/>
    <n v="0"/>
    <m/>
  </r>
  <r>
    <s v="Post"/>
    <x v="2"/>
    <s v=""/>
    <m/>
    <x v="2221"/>
    <s v="Diseñador Sonoro - TBD"/>
    <m/>
    <n v="0"/>
    <n v="0"/>
    <n v="0"/>
    <n v="0"/>
    <n v="0"/>
    <n v="0"/>
    <n v="0"/>
    <m/>
    <m/>
    <n v="0"/>
    <n v="0"/>
    <m/>
  </r>
  <r>
    <s v="Post"/>
    <x v="2"/>
    <s v="POST"/>
    <s v="DINAMITA"/>
    <x v="2222"/>
    <s v="Post"/>
    <m/>
    <n v="252000"/>
    <n v="0"/>
    <n v="252000"/>
    <n v="0"/>
    <n v="252000"/>
    <n v="252000"/>
    <n v="0"/>
    <m/>
    <m/>
    <n v="252000"/>
    <n v="0"/>
    <m/>
  </r>
  <r>
    <s v="Post"/>
    <x v="2"/>
    <s v=""/>
    <m/>
    <x v="2223"/>
    <s v="Editor de Diálogos - TBD"/>
    <m/>
    <n v="0"/>
    <n v="0"/>
    <n v="0"/>
    <n v="0"/>
    <n v="0"/>
    <n v="0"/>
    <n v="0"/>
    <m/>
    <m/>
    <n v="0"/>
    <n v="0"/>
    <m/>
  </r>
  <r>
    <s v="Post"/>
    <x v="2"/>
    <s v=""/>
    <m/>
    <x v="2224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6"/>
    <s v="Editor de Ambientes y SFX - TBD"/>
    <m/>
    <n v="0"/>
    <n v="0"/>
    <n v="0"/>
    <n v="0"/>
    <n v="0"/>
    <n v="0"/>
    <n v="0"/>
    <m/>
    <m/>
    <n v="0"/>
    <n v="0"/>
    <m/>
  </r>
  <r>
    <s v="Post"/>
    <x v="2"/>
    <s v=""/>
    <m/>
    <x v="2227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9"/>
    <s v="Asistente de Audio - Jesús Ramírez Quiñones"/>
    <m/>
    <n v="0"/>
    <n v="0"/>
    <n v="0"/>
    <n v="0"/>
    <n v="0"/>
    <n v="0"/>
    <n v="0"/>
    <m/>
    <m/>
    <n v="0"/>
    <n v="0"/>
    <m/>
  </r>
  <r>
    <s v="Post"/>
    <x v="2"/>
    <s v="POST"/>
    <s v="DINAMITA"/>
    <x v="2230"/>
    <s v="Post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31"/>
    <s v="Productor de Audio - Sound Design &amp; FX - David Melchor"/>
    <m/>
    <n v="0"/>
    <n v="0"/>
    <n v="0"/>
    <n v="0"/>
    <n v="0"/>
    <n v="0"/>
    <n v="0"/>
    <m/>
    <m/>
    <n v="0"/>
    <n v="0"/>
    <m/>
  </r>
  <r>
    <s v="Post"/>
    <x v="2"/>
    <s v=""/>
    <m/>
    <x v="2232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33"/>
    <s v="Honorarios"/>
    <m/>
    <n v="0"/>
    <n v="0"/>
    <n v="0"/>
    <n v="0"/>
    <n v="0"/>
    <n v="0"/>
    <n v="0"/>
    <m/>
    <m/>
    <n v="0"/>
    <n v="0"/>
    <m/>
  </r>
  <r>
    <s v="Post"/>
    <x v="2"/>
    <s v=""/>
    <m/>
    <x v="2234"/>
    <s v="Ingeniero Sr. Para deliveries de Audio - Carlos Honc"/>
    <m/>
    <n v="0"/>
    <n v="0"/>
    <n v="0"/>
    <n v="0"/>
    <n v="0"/>
    <n v="0"/>
    <n v="0"/>
    <m/>
    <m/>
    <n v="0"/>
    <n v="0"/>
    <m/>
  </r>
  <r>
    <s v="Post"/>
    <x v="2"/>
    <s v="POST"/>
    <m/>
    <x v="2235"/>
    <s v="Deliveries"/>
    <m/>
    <n v="0"/>
    <n v="0"/>
    <n v="0"/>
    <n v="0"/>
    <n v="0"/>
    <n v="0"/>
    <n v="0"/>
    <m/>
    <m/>
    <n v="0"/>
    <n v="0"/>
    <m/>
  </r>
  <r>
    <s v="Post"/>
    <x v="2"/>
    <s v=""/>
    <m/>
    <x v="2236"/>
    <s v="Coordinador de Audio - Ana Leticia Rodríguez Cortés"/>
    <m/>
    <n v="0"/>
    <n v="0"/>
    <n v="0"/>
    <n v="0"/>
    <n v="0"/>
    <n v="0"/>
    <n v="0"/>
    <m/>
    <m/>
    <n v="0"/>
    <n v="0"/>
    <m/>
  </r>
  <r>
    <s v="Post"/>
    <x v="2"/>
    <s v="POST"/>
    <m/>
    <x v="2237"/>
    <s v="Post"/>
    <m/>
    <n v="0"/>
    <n v="0"/>
    <n v="0"/>
    <n v="0"/>
    <n v="0"/>
    <n v="0"/>
    <n v="0"/>
    <m/>
    <m/>
    <n v="0"/>
    <n v="0"/>
    <m/>
  </r>
  <r>
    <s v="Post"/>
    <x v="1"/>
    <m/>
    <m/>
    <x v="2238"/>
    <s v="ADR / V.O RECORDING / LOOP GROUP FEES"/>
    <m/>
    <n v="59000"/>
    <n v="0"/>
    <n v="59000"/>
    <n v="0"/>
    <n v="59000"/>
    <n v="59000"/>
    <n v="0"/>
    <m/>
    <m/>
    <n v="59000"/>
    <n v="0"/>
    <m/>
  </r>
  <r>
    <s v="Post"/>
    <x v="2"/>
    <s v=""/>
    <m/>
    <x v="2239"/>
    <s v="Ingeniero ADR´s - Fito Cedillo"/>
    <m/>
    <n v="0"/>
    <n v="0"/>
    <n v="0"/>
    <n v="0"/>
    <n v="0"/>
    <n v="0"/>
    <n v="0"/>
    <m/>
    <m/>
    <n v="0"/>
    <n v="0"/>
    <m/>
  </r>
  <r>
    <s v="Post"/>
    <x v="2"/>
    <s v="POST"/>
    <s v="DINAMITA"/>
    <x v="2240"/>
    <s v="ADR recording en BHD"/>
    <m/>
    <n v="56000"/>
    <n v="0"/>
    <n v="56000"/>
    <n v="0"/>
    <n v="56000"/>
    <n v="56000"/>
    <n v="0"/>
    <m/>
    <m/>
    <n v="56000"/>
    <n v="0"/>
    <m/>
  </r>
  <r>
    <s v="Post"/>
    <x v="2"/>
    <s v=""/>
    <m/>
    <x v="2241"/>
    <s v="Teaser"/>
    <m/>
    <n v="0"/>
    <n v="0"/>
    <n v="0"/>
    <n v="0"/>
    <n v="0"/>
    <n v="0"/>
    <n v="0"/>
    <m/>
    <m/>
    <n v="0"/>
    <n v="0"/>
    <m/>
  </r>
  <r>
    <s v="Post"/>
    <x v="2"/>
    <s v=""/>
    <m/>
    <x v="2242"/>
    <s v="Locutor interno"/>
    <m/>
    <n v="0"/>
    <n v="0"/>
    <n v="0"/>
    <n v="0"/>
    <n v="0"/>
    <n v="0"/>
    <n v="0"/>
    <m/>
    <m/>
    <n v="0"/>
    <n v="0"/>
    <m/>
  </r>
  <r>
    <s v="Post"/>
    <x v="2"/>
    <s v="ALL SHOW"/>
    <s v="DINAMITA"/>
    <x v="2243"/>
    <s v="ADR recording en BHD"/>
    <m/>
    <n v="3000"/>
    <n v="0"/>
    <n v="3000"/>
    <n v="0"/>
    <n v="3000"/>
    <n v="3000"/>
    <n v="0"/>
    <m/>
    <m/>
    <n v="3000"/>
    <n v="0"/>
    <m/>
  </r>
  <r>
    <s v="Post"/>
    <x v="1"/>
    <m/>
    <m/>
    <x v="2244"/>
    <s v="FOLEY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45"/>
    <s v="Ingeniero Foleys  - Luis Sumano"/>
    <m/>
    <n v="0"/>
    <n v="0"/>
    <n v="0"/>
    <n v="0"/>
    <n v="0"/>
    <n v="0"/>
    <n v="0"/>
    <m/>
    <m/>
    <n v="0"/>
    <n v="0"/>
    <m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  <m/>
    <m/>
    <n v="126000"/>
    <n v="0"/>
    <m/>
  </r>
  <r>
    <s v="Post"/>
    <x v="1"/>
    <m/>
    <m/>
    <x v="2247"/>
    <s v="MEZCLA FINAL"/>
    <m/>
    <n v="255000"/>
    <n v="0"/>
    <n v="255000"/>
    <n v="0"/>
    <n v="255000"/>
    <n v="255000"/>
    <n v="0"/>
    <m/>
    <m/>
    <n v="255000"/>
    <n v="0"/>
    <m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  <m/>
    <m/>
    <n v="0"/>
    <n v="0"/>
    <m/>
  </r>
  <r>
    <s v="Post"/>
    <x v="2"/>
    <s v="POST"/>
    <s v="DINAMITA"/>
    <x v="2249"/>
    <s v="Masterización 5.1"/>
    <m/>
    <n v="250000"/>
    <n v="0"/>
    <n v="250000"/>
    <n v="0"/>
    <n v="250000"/>
    <n v="250000"/>
    <n v="0"/>
    <m/>
    <m/>
    <n v="250000"/>
    <n v="0"/>
    <m/>
  </r>
  <r>
    <s v="Post"/>
    <x v="2"/>
    <s v=""/>
    <m/>
    <x v="2250"/>
    <s v="Teaser"/>
    <m/>
    <n v="0"/>
    <n v="0"/>
    <n v="0"/>
    <n v="0"/>
    <n v="0"/>
    <n v="0"/>
    <n v="0"/>
    <m/>
    <m/>
    <n v="0"/>
    <n v="0"/>
    <m/>
  </r>
  <r>
    <s v="Post"/>
    <x v="2"/>
    <s v=""/>
    <m/>
    <x v="2251"/>
    <s v="Ingeniero para Mix 5.1, ATMOS y Estéreo "/>
    <m/>
    <n v="0"/>
    <n v="0"/>
    <n v="0"/>
    <n v="0"/>
    <n v="0"/>
    <n v="0"/>
    <n v="0"/>
    <m/>
    <m/>
    <n v="0"/>
    <n v="0"/>
    <m/>
  </r>
  <r>
    <s v="Post"/>
    <x v="2"/>
    <s v="ALL SHOW"/>
    <s v="DINAMITA"/>
    <x v="2252"/>
    <s v="Masterización 5.1"/>
    <m/>
    <n v="5000"/>
    <n v="0"/>
    <n v="5000"/>
    <n v="0"/>
    <n v="5000"/>
    <n v="5000"/>
    <n v="0"/>
    <m/>
    <m/>
    <n v="5000"/>
    <n v="0"/>
    <m/>
  </r>
  <r>
    <s v="Post"/>
    <x v="1"/>
    <m/>
    <m/>
    <x v="2253"/>
    <s v="MEZCLA M&amp;E"/>
    <m/>
    <n v="57600"/>
    <n v="0"/>
    <n v="57600"/>
    <n v="0"/>
    <n v="57600"/>
    <n v="57600"/>
    <n v="0"/>
    <m/>
    <m/>
    <n v="57600"/>
    <n v="0"/>
    <m/>
  </r>
  <r>
    <s v="Post"/>
    <x v="2"/>
    <s v=""/>
    <m/>
    <x v="2254"/>
    <s v="Audio M&amp;E"/>
    <m/>
    <n v="0"/>
    <n v="0"/>
    <n v="0"/>
    <n v="0"/>
    <n v="0"/>
    <n v="0"/>
    <n v="0"/>
    <m/>
    <m/>
    <n v="0"/>
    <n v="0"/>
    <m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  <m/>
    <m/>
    <n v="57600"/>
    <n v="0"/>
    <m/>
  </r>
  <r>
    <s v="Post"/>
    <x v="1"/>
    <m/>
    <m/>
    <x v="2256"/>
    <s v="SOUND CUTTING ROOM RENTALS"/>
    <m/>
    <n v="22570"/>
    <n v="0"/>
    <n v="22570"/>
    <n v="0"/>
    <n v="22570"/>
    <n v="0"/>
    <n v="-22570"/>
    <m/>
    <m/>
    <n v="22570"/>
    <n v="0"/>
    <m/>
  </r>
  <r>
    <s v="Post"/>
    <x v="2"/>
    <s v="POST"/>
    <m/>
    <x v="2257"/>
    <s v="Alquiler de Salas de Soinido"/>
    <m/>
    <n v="22570"/>
    <n v="0"/>
    <n v="22570"/>
    <n v="0"/>
    <n v="22570"/>
    <n v="0"/>
    <n v="-22570"/>
    <m/>
    <m/>
    <n v="22570"/>
    <n v="0"/>
    <m/>
  </r>
  <r>
    <s v="Post"/>
    <x v="1"/>
    <m/>
    <m/>
    <x v="2258"/>
    <s v="ALQUILER EQUIPOS DE SONIDO"/>
    <m/>
    <n v="734000"/>
    <n v="0"/>
    <n v="734000"/>
    <n v="0"/>
    <n v="734000"/>
    <n v="734000"/>
    <n v="0"/>
    <m/>
    <m/>
    <n v="734000"/>
    <n v="0"/>
    <m/>
  </r>
  <r>
    <s v="Post"/>
    <x v="2"/>
    <s v=""/>
    <m/>
    <x v="2259"/>
    <s v="Estación de Trabajo (Pro Tools)"/>
    <m/>
    <n v="0"/>
    <n v="0"/>
    <n v="0"/>
    <n v="0"/>
    <n v="0"/>
    <n v="0"/>
    <n v="0"/>
    <m/>
    <m/>
    <n v="0"/>
    <n v="0"/>
    <m/>
  </r>
  <r>
    <s v="Post"/>
    <x v="2"/>
    <s v="POST"/>
    <s v="DINAMITA"/>
    <x v="2260"/>
    <s v="Diseñador Sonoro"/>
    <m/>
    <n v="162000"/>
    <n v="0"/>
    <n v="162000"/>
    <n v="0"/>
    <n v="162000"/>
    <n v="162000"/>
    <n v="0"/>
    <m/>
    <m/>
    <n v="162000"/>
    <n v="0"/>
    <m/>
  </r>
  <r>
    <s v="Post"/>
    <x v="2"/>
    <s v="POST"/>
    <s v="DINAMITA"/>
    <x v="2261"/>
    <s v="Edición de dialogo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2"/>
    <s v="Ambientes y SFX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3"/>
    <s v="Foley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4"/>
    <s v="Sala de audio ADR"/>
    <m/>
    <n v="36000"/>
    <n v="0"/>
    <n v="36000"/>
    <n v="0"/>
    <n v="36000"/>
    <n v="36000"/>
    <n v="0"/>
    <m/>
    <m/>
    <n v="36000"/>
    <n v="0"/>
    <m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  <m/>
    <m/>
    <n v="180000"/>
    <n v="0"/>
    <m/>
  </r>
  <r>
    <s v="Post"/>
    <x v="2"/>
    <s v="POST"/>
    <s v="DINAMITA"/>
    <x v="2266"/>
    <s v="Asistente de audio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67"/>
    <s v="Teaser"/>
    <m/>
    <n v="0"/>
    <n v="0"/>
    <n v="0"/>
    <n v="0"/>
    <n v="0"/>
    <n v="0"/>
    <n v="0"/>
    <m/>
    <m/>
    <n v="0"/>
    <n v="0"/>
    <m/>
  </r>
  <r>
    <s v="Post"/>
    <x v="2"/>
    <s v=""/>
    <m/>
    <x v="2268"/>
    <s v="Estación de Trabajo para Mix Stereo"/>
    <m/>
    <n v="0"/>
    <n v="0"/>
    <n v="0"/>
    <n v="0"/>
    <n v="0"/>
    <n v="0"/>
    <n v="0"/>
    <m/>
    <m/>
    <n v="0"/>
    <n v="0"/>
    <m/>
  </r>
  <r>
    <s v="Post"/>
    <x v="2"/>
    <s v="ALL SHOW"/>
    <s v="DINAMITA"/>
    <x v="2269"/>
    <s v="Teaser"/>
    <m/>
    <n v="5000"/>
    <n v="0"/>
    <n v="5000"/>
    <n v="0"/>
    <n v="5000"/>
    <n v="5000"/>
    <n v="0"/>
    <m/>
    <m/>
    <n v="5000"/>
    <n v="0"/>
    <m/>
  </r>
  <r>
    <s v="Post"/>
    <x v="0"/>
    <m/>
    <m/>
    <x v="2270"/>
    <s v="IMAGENES DE ARCHIVO"/>
    <m/>
    <n v="0"/>
    <n v="0"/>
    <n v="0"/>
    <n v="0"/>
    <n v="0"/>
    <n v="80000"/>
    <n v="80000"/>
    <m/>
    <m/>
    <n v="0"/>
    <n v="0"/>
    <m/>
  </r>
  <r>
    <s v="Post"/>
    <x v="1"/>
    <m/>
    <m/>
    <x v="2271"/>
    <s v="LICENCIAS DE ARCHIVOS DE VIDEO"/>
    <m/>
    <n v="0"/>
    <n v="0"/>
    <n v="0"/>
    <n v="0"/>
    <n v="0"/>
    <n v="80000"/>
    <n v="80000"/>
    <m/>
    <m/>
    <n v="0"/>
    <n v="0"/>
    <m/>
  </r>
  <r>
    <s v="Post"/>
    <x v="2"/>
    <s v=""/>
    <m/>
    <x v="2272"/>
    <s v="Clip Copyright Licenses"/>
    <m/>
    <n v="0"/>
    <n v="0"/>
    <n v="0"/>
    <n v="0"/>
    <n v="0"/>
    <n v="0"/>
    <n v="0"/>
    <m/>
    <m/>
    <n v="0"/>
    <n v="0"/>
    <m/>
  </r>
  <r>
    <s v="Post"/>
    <x v="2"/>
    <s v="POST"/>
    <m/>
    <x v="2273"/>
    <s v="Per Episode Allowance"/>
    <m/>
    <n v="0"/>
    <n v="0"/>
    <n v="0"/>
    <n v="0"/>
    <n v="0"/>
    <n v="80000"/>
    <n v="80000"/>
    <m/>
    <m/>
    <n v="0"/>
    <n v="0"/>
    <m/>
  </r>
  <r>
    <s v="Post"/>
    <x v="0"/>
    <m/>
    <m/>
    <x v="2274"/>
    <s v="TITULOS DE CREDITO"/>
    <m/>
    <n v="35000"/>
    <n v="0"/>
    <n v="35000"/>
    <n v="0"/>
    <n v="35000"/>
    <n v="100000"/>
    <n v="65000"/>
    <m/>
    <m/>
    <n v="35000"/>
    <n v="0"/>
    <m/>
  </r>
  <r>
    <s v="Post"/>
    <x v="1"/>
    <m/>
    <m/>
    <x v="2275"/>
    <s v="TITULOS DE CREDITO INICIAL Y FINAL"/>
    <m/>
    <n v="35000"/>
    <n v="0"/>
    <n v="35000"/>
    <n v="0"/>
    <n v="35000"/>
    <n v="100000"/>
    <n v="65000"/>
    <m/>
    <m/>
    <n v="35000"/>
    <n v="0"/>
    <m/>
  </r>
  <r>
    <s v="Post"/>
    <x v="2"/>
    <s v=""/>
    <m/>
    <x v="2276"/>
    <s v="Main &amp; End Titles"/>
    <m/>
    <n v="0"/>
    <n v="0"/>
    <n v="0"/>
    <n v="0"/>
    <n v="0"/>
    <n v="0"/>
    <n v="0"/>
    <m/>
    <m/>
    <n v="0"/>
    <n v="0"/>
    <m/>
  </r>
  <r>
    <s v="Post"/>
    <x v="2"/>
    <s v="POST"/>
    <m/>
    <x v="2277"/>
    <s v="Series"/>
    <m/>
    <n v="35000"/>
    <n v="0"/>
    <n v="35000"/>
    <n v="0"/>
    <n v="35000"/>
    <n v="100000"/>
    <n v="65000"/>
    <m/>
    <m/>
    <n v="35000"/>
    <n v="0"/>
    <m/>
  </r>
  <r>
    <s v="Post"/>
    <x v="0"/>
    <m/>
    <m/>
    <x v="2278"/>
    <s v="MUSICA"/>
    <m/>
    <n v="4251050.24"/>
    <n v="0"/>
    <n v="4251050.24"/>
    <n v="0"/>
    <n v="4251050.24"/>
    <n v="3833200"/>
    <n v="-417850.24"/>
    <m/>
    <m/>
    <n v="3792707"/>
    <n v="-458343.24000000022"/>
    <m/>
  </r>
  <r>
    <s v="Post"/>
    <x v="1"/>
    <m/>
    <m/>
    <x v="2279"/>
    <s v="COMPOSITOR PAQUETE"/>
    <m/>
    <n v="739200"/>
    <n v="0"/>
    <n v="739200"/>
    <n v="0"/>
    <n v="739200"/>
    <n v="739200"/>
    <n v="0"/>
    <m/>
    <m/>
    <n v="739200"/>
    <n v="0"/>
    <m/>
  </r>
  <r>
    <s v="Post"/>
    <x v="2"/>
    <s v=""/>
    <m/>
    <x v="2280"/>
    <s v="Composer Name - Milo &amp; Dan"/>
    <m/>
    <n v="0"/>
    <n v="0"/>
    <n v="0"/>
    <n v="0"/>
    <n v="0"/>
    <n v="0"/>
    <n v="0"/>
    <m/>
    <m/>
    <n v="0"/>
    <n v="0"/>
    <m/>
  </r>
  <r>
    <s v="Post"/>
    <x v="2"/>
    <s v=""/>
    <m/>
    <x v="2281"/>
    <s v="Start Date"/>
    <m/>
    <n v="0"/>
    <n v="0"/>
    <n v="0"/>
    <n v="0"/>
    <n v="0"/>
    <n v="0"/>
    <n v="0"/>
    <m/>
    <m/>
    <n v="0"/>
    <n v="0"/>
    <m/>
  </r>
  <r>
    <s v="Post"/>
    <x v="2"/>
    <s v=""/>
    <m/>
    <x v="2282"/>
    <s v="Original Score, theme, etc"/>
    <m/>
    <n v="0"/>
    <n v="0"/>
    <n v="0"/>
    <n v="0"/>
    <n v="0"/>
    <n v="0"/>
    <n v="0"/>
    <m/>
    <m/>
    <n v="0"/>
    <n v="0"/>
    <m/>
  </r>
  <r>
    <s v="Post"/>
    <x v="2"/>
    <s v="POST"/>
    <m/>
    <x v="2283"/>
    <s v="Allowance"/>
    <m/>
    <n v="739200"/>
    <n v="0"/>
    <n v="739200"/>
    <n v="0"/>
    <n v="739200"/>
    <n v="739200"/>
    <n v="0"/>
    <m/>
    <m/>
    <n v="739200"/>
    <n v="0"/>
    <m/>
  </r>
  <r>
    <s v="Post"/>
    <x v="1"/>
    <m/>
    <m/>
    <x v="2284"/>
    <s v="SUPERVISOR DE MUSICA"/>
    <m/>
    <n v="294000"/>
    <n v="0"/>
    <n v="294000"/>
    <n v="0"/>
    <n v="294000"/>
    <n v="294000"/>
    <n v="0"/>
    <m/>
    <m/>
    <n v="294000"/>
    <n v="0"/>
    <m/>
  </r>
  <r>
    <s v="Post"/>
    <x v="2"/>
    <s v=""/>
    <m/>
    <x v="2285"/>
    <s v="Music Supervisor - Javi &amp; Joe"/>
    <m/>
    <n v="0"/>
    <n v="0"/>
    <n v="0"/>
    <n v="0"/>
    <n v="0"/>
    <n v="0"/>
    <n v="0"/>
    <m/>
    <m/>
    <n v="0"/>
    <n v="0"/>
    <m/>
  </r>
  <r>
    <s v="Post"/>
    <x v="2"/>
    <s v=""/>
    <m/>
    <x v="2286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87"/>
    <s v="Allow"/>
    <m/>
    <n v="294000"/>
    <n v="0"/>
    <n v="294000"/>
    <n v="0"/>
    <n v="294000"/>
    <n v="294000"/>
    <n v="0"/>
    <m/>
    <m/>
    <n v="294000"/>
    <n v="0"/>
    <m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  <m/>
    <m/>
    <n v="2759507"/>
    <n v="-458343.24000000022"/>
    <m/>
  </r>
  <r>
    <s v="Post"/>
    <x v="2"/>
    <s v=""/>
    <m/>
    <x v="2289"/>
    <s v="Music Rights / Clearances - Indice"/>
    <m/>
    <n v="0"/>
    <n v="0"/>
    <n v="0"/>
    <n v="0"/>
    <n v="0"/>
    <n v="0"/>
    <n v="0"/>
    <m/>
    <m/>
    <n v="0"/>
    <n v="0"/>
    <m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  <m/>
    <m/>
    <n v="1440000"/>
    <n v="10765.760000000009"/>
    <m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  <m/>
    <m/>
    <n v="800000"/>
    <n v="-443796.17999999993"/>
    <m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  <m/>
    <m/>
    <n v="519507"/>
    <n v="-25312.820000000065"/>
    <m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  <m/>
    <m/>
    <n v="1277234.47"/>
    <n v="27000"/>
    <m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  <m/>
    <m/>
    <n v="315984.46999999997"/>
    <n v="0"/>
    <m/>
  </r>
  <r>
    <s v="Post"/>
    <x v="2"/>
    <s v=""/>
    <m/>
    <x v="2295"/>
    <s v="CGI Supervisor On Set - TBD"/>
    <m/>
    <n v="0"/>
    <n v="0"/>
    <n v="0"/>
    <n v="0"/>
    <n v="0"/>
    <n v="0"/>
    <n v="0"/>
    <m/>
    <m/>
    <n v="0"/>
    <n v="0"/>
    <m/>
  </r>
  <r>
    <s v="Post"/>
    <x v="2"/>
    <s v="SHOOT"/>
    <s v="DINAMITA"/>
    <x v="2296"/>
    <s v="Shoot"/>
    <m/>
    <n v="100000"/>
    <n v="0"/>
    <n v="100000"/>
    <n v="0"/>
    <n v="100000"/>
    <n v="100000"/>
    <n v="0"/>
    <m/>
    <m/>
    <n v="100000"/>
    <n v="0"/>
    <m/>
  </r>
  <r>
    <s v="Post"/>
    <x v="2"/>
    <s v=""/>
    <m/>
    <x v="2297"/>
    <s v="VFX Supervisor On Set - TBD"/>
    <m/>
    <n v="0"/>
    <n v="0"/>
    <n v="0"/>
    <n v="0"/>
    <n v="0"/>
    <n v="0"/>
    <n v="0"/>
    <m/>
    <m/>
    <n v="0"/>
    <n v="0"/>
    <m/>
  </r>
  <r>
    <s v="Post"/>
    <x v="2"/>
    <s v="PREP"/>
    <s v="NOM"/>
    <x v="2298"/>
    <s v="Pre"/>
    <m/>
    <n v="0"/>
    <n v="0"/>
    <n v="0"/>
    <n v="0"/>
    <n v="0"/>
    <n v="10000"/>
    <n v="10000"/>
    <m/>
    <m/>
    <n v="0"/>
    <n v="0"/>
    <m/>
  </r>
  <r>
    <s v="Post"/>
    <x v="2"/>
    <s v="SHOOT"/>
    <s v="DINAMITA"/>
    <x v="2299"/>
    <s v="Shoot"/>
    <m/>
    <n v="70000"/>
    <n v="0"/>
    <n v="70000"/>
    <n v="0"/>
    <n v="70000"/>
    <n v="70000"/>
    <n v="0"/>
    <m/>
    <m/>
    <n v="70000"/>
    <n v="0"/>
    <m/>
  </r>
  <r>
    <s v="Post"/>
    <x v="2"/>
    <s v="2nd Unit"/>
    <s v="DINAMITA"/>
    <x v="2300"/>
    <s v="Shoot Segunda Unidad"/>
    <m/>
    <n v="20000"/>
    <n v="0"/>
    <n v="20000"/>
    <n v="0"/>
    <n v="20000"/>
    <n v="20000"/>
    <n v="0"/>
    <m/>
    <m/>
    <n v="20000"/>
    <n v="0"/>
    <m/>
  </r>
  <r>
    <s v="Post"/>
    <x v="2"/>
    <s v=""/>
    <m/>
    <x v="2301"/>
    <s v="VFX Supervisor - TBD"/>
    <m/>
    <n v="0"/>
    <n v="0"/>
    <n v="0"/>
    <n v="0"/>
    <n v="0"/>
    <n v="0"/>
    <n v="0"/>
    <m/>
    <m/>
    <n v="0"/>
    <n v="0"/>
    <m/>
  </r>
  <r>
    <s v="Post"/>
    <x v="2"/>
    <s v="POST"/>
    <s v="DINAMITA"/>
    <x v="2302"/>
    <s v="Series"/>
    <m/>
    <n v="125984.47"/>
    <n v="0"/>
    <n v="125984.47"/>
    <n v="0"/>
    <n v="125984.47"/>
    <n v="168000"/>
    <n v="42015.53"/>
    <m/>
    <m/>
    <n v="125984.47"/>
    <n v="0"/>
    <m/>
  </r>
  <r>
    <s v="Post"/>
    <x v="1"/>
    <m/>
    <m/>
    <x v="2303"/>
    <s v="PRODUCTOR EFECTOS VISUALES"/>
    <m/>
    <n v="96000"/>
    <n v="0"/>
    <n v="96000"/>
    <n v="0"/>
    <n v="96000"/>
    <n v="240000"/>
    <n v="144000"/>
    <m/>
    <m/>
    <n v="96000"/>
    <n v="0"/>
    <m/>
  </r>
  <r>
    <s v="Post"/>
    <x v="2"/>
    <s v=""/>
    <m/>
    <x v="2304"/>
    <s v="VFX Producer - Andrés Santiso"/>
    <m/>
    <n v="0"/>
    <n v="0"/>
    <n v="0"/>
    <n v="0"/>
    <n v="0"/>
    <n v="0"/>
    <n v="0"/>
    <m/>
    <m/>
    <n v="0"/>
    <n v="0"/>
    <m/>
  </r>
  <r>
    <s v="Post"/>
    <x v="2"/>
    <s v="POST"/>
    <s v="DINAMITA"/>
    <x v="2305"/>
    <s v="Series"/>
    <m/>
    <n v="96000"/>
    <n v="0"/>
    <n v="96000"/>
    <n v="0"/>
    <n v="96000"/>
    <n v="240000"/>
    <n v="144000"/>
    <m/>
    <m/>
    <n v="96000"/>
    <n v="0"/>
    <m/>
  </r>
  <r>
    <s v="Post"/>
    <x v="1"/>
    <m/>
    <m/>
    <x v="2306"/>
    <s v="COORDINADOR EFECTOS VISUALES"/>
    <m/>
    <n v="0"/>
    <n v="0"/>
    <n v="0"/>
    <n v="0"/>
    <n v="0"/>
    <n v="216000"/>
    <n v="216000"/>
    <m/>
    <m/>
    <n v="0"/>
    <n v="0"/>
    <m/>
  </r>
  <r>
    <s v="Post"/>
    <x v="2"/>
    <s v=""/>
    <m/>
    <x v="2307"/>
    <s v="VFX Coordinator - Andrea Fuentes"/>
    <m/>
    <n v="0"/>
    <n v="0"/>
    <n v="0"/>
    <n v="0"/>
    <n v="0"/>
    <n v="0"/>
    <n v="0"/>
    <m/>
    <m/>
    <n v="0"/>
    <n v="0"/>
    <m/>
  </r>
  <r>
    <s v="Post"/>
    <x v="2"/>
    <s v="POST"/>
    <s v="DINAMITA"/>
    <x v="2308"/>
    <s v="Series"/>
    <m/>
    <n v="0"/>
    <n v="0"/>
    <n v="0"/>
    <n v="0"/>
    <n v="0"/>
    <n v="216000"/>
    <n v="216000"/>
    <m/>
    <m/>
    <n v="0"/>
    <n v="0"/>
    <m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  <m/>
    <m/>
    <n v="727850"/>
    <n v="0"/>
    <m/>
  </r>
  <r>
    <s v="Post"/>
    <x v="2"/>
    <s v=""/>
    <m/>
    <x v="2310"/>
    <s v="Dinamita VFX"/>
    <m/>
    <n v="0"/>
    <n v="0"/>
    <n v="0"/>
    <n v="0"/>
    <n v="0"/>
    <n v="0"/>
    <n v="0"/>
    <m/>
    <m/>
    <n v="0"/>
    <n v="0"/>
    <m/>
  </r>
  <r>
    <s v="Post"/>
    <x v="2"/>
    <s v=""/>
    <m/>
    <x v="2311"/>
    <s v="Clean Ups"/>
    <m/>
    <n v="0"/>
    <n v="0"/>
    <n v="0"/>
    <n v="0"/>
    <n v="0"/>
    <n v="0"/>
    <n v="0"/>
    <m/>
    <m/>
    <n v="0"/>
    <n v="0"/>
    <m/>
  </r>
  <r>
    <s v="Post"/>
    <x v="2"/>
    <s v="POST"/>
    <s v="DINAMITA"/>
    <x v="2312"/>
    <s v="Shoot"/>
    <m/>
    <n v="0"/>
    <n v="0"/>
    <n v="0"/>
    <n v="0"/>
    <n v="0"/>
    <n v="400000"/>
    <n v="400000"/>
    <m/>
    <m/>
    <n v="0"/>
    <n v="0"/>
    <m/>
  </r>
  <r>
    <s v="Post"/>
    <x v="2"/>
    <s v=""/>
    <m/>
    <x v="2313"/>
    <s v="Modelo 3D - Eólica - TBD"/>
    <m/>
    <n v="0"/>
    <n v="0"/>
    <n v="0"/>
    <n v="0"/>
    <n v="0"/>
    <n v="0"/>
    <n v="0"/>
    <m/>
    <m/>
    <n v="0"/>
    <n v="0"/>
    <m/>
  </r>
  <r>
    <s v="Post"/>
    <x v="2"/>
    <s v="SHOOT"/>
    <m/>
    <x v="2314"/>
    <s v="Shoot"/>
    <m/>
    <n v="727850"/>
    <n v="0"/>
    <n v="727850"/>
    <n v="0"/>
    <n v="727850"/>
    <n v="100000"/>
    <n v="-627850"/>
    <m/>
    <m/>
    <n v="727850"/>
    <n v="0"/>
    <m/>
  </r>
  <r>
    <s v="Post"/>
    <x v="2"/>
    <s v="SHOOT"/>
    <m/>
    <x v="2315"/>
    <s v="Shoot"/>
    <m/>
    <n v="0"/>
    <n v="0"/>
    <n v="0"/>
    <n v="0"/>
    <n v="0"/>
    <n v="30000"/>
    <n v="30000"/>
    <m/>
    <m/>
    <n v="0"/>
    <n v="0"/>
    <m/>
  </r>
  <r>
    <s v="Post"/>
    <x v="2"/>
    <s v=""/>
    <m/>
    <x v="2316"/>
    <s v="Roll Créditos Salida"/>
    <m/>
    <n v="0"/>
    <n v="0"/>
    <n v="0"/>
    <n v="0"/>
    <n v="0"/>
    <n v="0"/>
    <n v="0"/>
    <m/>
    <m/>
    <n v="0"/>
    <n v="0"/>
    <m/>
  </r>
  <r>
    <s v="Post"/>
    <x v="2"/>
    <s v="SHOOT"/>
    <m/>
    <x v="2317"/>
    <s v="Shoot"/>
    <m/>
    <n v="0"/>
    <n v="0"/>
    <n v="0"/>
    <n v="0"/>
    <n v="0"/>
    <n v="40000"/>
    <n v="40000"/>
    <m/>
    <m/>
    <n v="0"/>
    <n v="0"/>
    <m/>
  </r>
  <r>
    <s v="Post"/>
    <x v="2"/>
    <s v=""/>
    <m/>
    <x v="2318"/>
    <s v="SHOTS"/>
    <m/>
    <n v="0"/>
    <n v="0"/>
    <n v="0"/>
    <n v="0"/>
    <n v="0"/>
    <n v="0"/>
    <n v="0"/>
    <m/>
    <m/>
    <n v="0"/>
    <n v="0"/>
    <m/>
  </r>
  <r>
    <s v="Post"/>
    <x v="2"/>
    <s v=""/>
    <m/>
    <x v="2319"/>
    <s v="Episode 1"/>
    <m/>
    <n v="0"/>
    <n v="0"/>
    <n v="0"/>
    <n v="0"/>
    <n v="0"/>
    <n v="0"/>
    <n v="0"/>
    <m/>
    <m/>
    <n v="0"/>
    <n v="0"/>
    <m/>
  </r>
  <r>
    <s v="Post"/>
    <x v="2"/>
    <s v="POST"/>
    <m/>
    <x v="2320"/>
    <s v="101"/>
    <m/>
    <n v="0"/>
    <n v="0"/>
    <n v="0"/>
    <n v="0"/>
    <n v="0"/>
    <n v="3150"/>
    <n v="3150"/>
    <m/>
    <m/>
    <n v="0"/>
    <n v="0"/>
    <m/>
  </r>
  <r>
    <s v="Post"/>
    <x v="2"/>
    <s v="POST"/>
    <m/>
    <x v="2321"/>
    <s v="101"/>
    <m/>
    <n v="0"/>
    <n v="0"/>
    <n v="0"/>
    <n v="0"/>
    <n v="0"/>
    <n v="6300"/>
    <n v="6300"/>
    <m/>
    <m/>
    <n v="0"/>
    <n v="0"/>
    <m/>
  </r>
  <r>
    <s v="Post"/>
    <x v="2"/>
    <s v="POST"/>
    <m/>
    <x v="2322"/>
    <s v="109"/>
    <m/>
    <n v="0"/>
    <n v="0"/>
    <n v="0"/>
    <n v="0"/>
    <n v="0"/>
    <n v="4000"/>
    <n v="4000"/>
    <m/>
    <m/>
    <n v="0"/>
    <n v="0"/>
    <m/>
  </r>
  <r>
    <s v="Post"/>
    <x v="2"/>
    <s v="POST"/>
    <m/>
    <x v="2323"/>
    <s v="118"/>
    <m/>
    <n v="0"/>
    <n v="0"/>
    <n v="0"/>
    <n v="0"/>
    <n v="0"/>
    <n v="6300"/>
    <n v="6300"/>
    <m/>
    <m/>
    <n v="0"/>
    <n v="0"/>
    <m/>
  </r>
  <r>
    <s v="Post"/>
    <x v="2"/>
    <s v="POST"/>
    <m/>
    <x v="2324"/>
    <s v="123"/>
    <m/>
    <n v="0"/>
    <n v="0"/>
    <n v="0"/>
    <n v="0"/>
    <n v="0"/>
    <n v="24000"/>
    <n v="24000"/>
    <m/>
    <m/>
    <n v="0"/>
    <n v="0"/>
    <m/>
  </r>
  <r>
    <s v="Post"/>
    <x v="2"/>
    <s v="POST"/>
    <m/>
    <x v="2325"/>
    <s v="125"/>
    <m/>
    <n v="0"/>
    <n v="0"/>
    <n v="0"/>
    <n v="0"/>
    <n v="0"/>
    <n v="12000"/>
    <n v="12000"/>
    <m/>
    <m/>
    <n v="0"/>
    <n v="0"/>
    <m/>
  </r>
  <r>
    <s v="Post"/>
    <x v="2"/>
    <s v="POST"/>
    <m/>
    <x v="2326"/>
    <s v="126"/>
    <m/>
    <n v="0"/>
    <n v="0"/>
    <n v="0"/>
    <n v="0"/>
    <n v="0"/>
    <n v="12000"/>
    <n v="12000"/>
    <m/>
    <m/>
    <n v="0"/>
    <n v="0"/>
    <m/>
  </r>
  <r>
    <s v="Post"/>
    <x v="2"/>
    <s v="POST"/>
    <m/>
    <x v="2327"/>
    <s v="127"/>
    <m/>
    <n v="0"/>
    <n v="0"/>
    <n v="0"/>
    <n v="0"/>
    <n v="0"/>
    <n v="12000"/>
    <n v="12000"/>
    <m/>
    <m/>
    <n v="0"/>
    <n v="0"/>
    <m/>
  </r>
  <r>
    <s v="Post"/>
    <x v="2"/>
    <s v="POST"/>
    <m/>
    <x v="2328"/>
    <s v="135"/>
    <m/>
    <n v="0"/>
    <n v="0"/>
    <n v="0"/>
    <n v="0"/>
    <n v="0"/>
    <n v="6300"/>
    <n v="6300"/>
    <m/>
    <m/>
    <n v="0"/>
    <n v="0"/>
    <m/>
  </r>
  <r>
    <s v="Post"/>
    <x v="2"/>
    <s v="POST"/>
    <m/>
    <x v="2329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0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1"/>
    <s v="136"/>
    <m/>
    <n v="0"/>
    <n v="0"/>
    <n v="0"/>
    <n v="0"/>
    <n v="0"/>
    <n v="3150"/>
    <n v="3150"/>
    <m/>
    <m/>
    <n v="0"/>
    <n v="0"/>
    <m/>
  </r>
  <r>
    <s v="Post"/>
    <x v="2"/>
    <s v=""/>
    <m/>
    <x v="2332"/>
    <s v="Episode 2"/>
    <m/>
    <n v="0"/>
    <n v="0"/>
    <n v="0"/>
    <n v="0"/>
    <n v="0"/>
    <n v="0"/>
    <n v="0"/>
    <m/>
    <m/>
    <n v="0"/>
    <n v="0"/>
    <m/>
  </r>
  <r>
    <s v="Post"/>
    <x v="2"/>
    <s v="POST"/>
    <m/>
    <x v="2333"/>
    <s v="201"/>
    <m/>
    <n v="0"/>
    <n v="0"/>
    <n v="0"/>
    <n v="0"/>
    <n v="0"/>
    <n v="6300"/>
    <n v="6300"/>
    <m/>
    <m/>
    <n v="0"/>
    <n v="0"/>
    <m/>
  </r>
  <r>
    <s v="Post"/>
    <x v="2"/>
    <s v="POST"/>
    <m/>
    <x v="2334"/>
    <s v="208"/>
    <m/>
    <n v="0"/>
    <n v="0"/>
    <n v="0"/>
    <n v="0"/>
    <n v="0"/>
    <n v="6300"/>
    <n v="6300"/>
    <m/>
    <m/>
    <n v="0"/>
    <n v="0"/>
    <m/>
  </r>
  <r>
    <s v="Post"/>
    <x v="2"/>
    <s v="POST"/>
    <m/>
    <x v="2335"/>
    <s v="208"/>
    <m/>
    <n v="0"/>
    <n v="0"/>
    <n v="0"/>
    <n v="0"/>
    <n v="0"/>
    <n v="3675"/>
    <n v="3675"/>
    <m/>
    <m/>
    <n v="0"/>
    <n v="0"/>
    <m/>
  </r>
  <r>
    <s v="Post"/>
    <x v="2"/>
    <s v="POST"/>
    <m/>
    <x v="2336"/>
    <s v="211"/>
    <m/>
    <n v="0"/>
    <n v="0"/>
    <n v="0"/>
    <n v="0"/>
    <n v="0"/>
    <n v="3675"/>
    <n v="3675"/>
    <m/>
    <m/>
    <n v="0"/>
    <n v="0"/>
    <m/>
  </r>
  <r>
    <s v="Post"/>
    <x v="2"/>
    <s v="POST"/>
    <m/>
    <x v="2337"/>
    <s v="222"/>
    <m/>
    <n v="0"/>
    <n v="0"/>
    <n v="0"/>
    <n v="0"/>
    <n v="0"/>
    <n v="3675"/>
    <n v="3675"/>
    <m/>
    <m/>
    <n v="0"/>
    <n v="0"/>
    <m/>
  </r>
  <r>
    <s v="Post"/>
    <x v="2"/>
    <s v="POST"/>
    <m/>
    <x v="2338"/>
    <s v="223"/>
    <m/>
    <n v="0"/>
    <n v="0"/>
    <n v="0"/>
    <n v="0"/>
    <n v="0"/>
    <n v="3150"/>
    <n v="3150"/>
    <m/>
    <m/>
    <n v="0"/>
    <n v="0"/>
    <m/>
  </r>
  <r>
    <s v="Post"/>
    <x v="2"/>
    <s v="POST"/>
    <m/>
    <x v="2339"/>
    <s v="227"/>
    <m/>
    <n v="0"/>
    <n v="0"/>
    <n v="0"/>
    <n v="0"/>
    <n v="0"/>
    <n v="3150"/>
    <n v="3150"/>
    <m/>
    <m/>
    <n v="0"/>
    <n v="0"/>
    <m/>
  </r>
  <r>
    <s v="Post"/>
    <x v="2"/>
    <s v="POST"/>
    <m/>
    <x v="2340"/>
    <s v="231"/>
    <m/>
    <n v="0"/>
    <n v="0"/>
    <n v="0"/>
    <n v="0"/>
    <n v="0"/>
    <n v="3150"/>
    <n v="3150"/>
    <m/>
    <m/>
    <n v="0"/>
    <n v="0"/>
    <m/>
  </r>
  <r>
    <s v="Post"/>
    <x v="2"/>
    <s v="POST"/>
    <m/>
    <x v="2341"/>
    <s v="231"/>
    <m/>
    <n v="0"/>
    <n v="0"/>
    <n v="0"/>
    <n v="0"/>
    <n v="0"/>
    <n v="12600"/>
    <n v="12600"/>
    <m/>
    <m/>
    <n v="0"/>
    <n v="0"/>
    <m/>
  </r>
  <r>
    <s v="Post"/>
    <x v="2"/>
    <s v="POST"/>
    <m/>
    <x v="2342"/>
    <s v="233"/>
    <m/>
    <n v="0"/>
    <n v="0"/>
    <n v="0"/>
    <n v="0"/>
    <n v="0"/>
    <n v="3150"/>
    <n v="3150"/>
    <m/>
    <m/>
    <n v="0"/>
    <n v="0"/>
    <m/>
  </r>
  <r>
    <s v="Post"/>
    <x v="2"/>
    <s v="POST"/>
    <m/>
    <x v="2343"/>
    <s v="234"/>
    <m/>
    <n v="0"/>
    <n v="0"/>
    <n v="0"/>
    <n v="0"/>
    <n v="0"/>
    <n v="6300"/>
    <n v="6300"/>
    <m/>
    <m/>
    <n v="0"/>
    <n v="0"/>
    <m/>
  </r>
  <r>
    <s v="Post"/>
    <x v="2"/>
    <s v=""/>
    <m/>
    <x v="2344"/>
    <s v="Episode 3"/>
    <m/>
    <n v="0"/>
    <n v="0"/>
    <n v="0"/>
    <n v="0"/>
    <n v="0"/>
    <n v="0"/>
    <n v="0"/>
    <m/>
    <m/>
    <n v="0"/>
    <n v="0"/>
    <m/>
  </r>
  <r>
    <s v="Post"/>
    <x v="2"/>
    <s v="POST"/>
    <m/>
    <x v="2345"/>
    <s v="301"/>
    <m/>
    <n v="0"/>
    <n v="0"/>
    <n v="0"/>
    <n v="0"/>
    <n v="0"/>
    <n v="3150"/>
    <n v="3150"/>
    <m/>
    <m/>
    <n v="0"/>
    <n v="0"/>
    <m/>
  </r>
  <r>
    <s v="Post"/>
    <x v="2"/>
    <s v="POST"/>
    <m/>
    <x v="2346"/>
    <s v="307"/>
    <m/>
    <n v="0"/>
    <n v="0"/>
    <n v="0"/>
    <n v="0"/>
    <n v="0"/>
    <n v="3675"/>
    <n v="3675"/>
    <m/>
    <m/>
    <n v="0"/>
    <n v="0"/>
    <m/>
  </r>
  <r>
    <s v="Post"/>
    <x v="2"/>
    <s v="POST"/>
    <m/>
    <x v="2347"/>
    <s v="309"/>
    <m/>
    <n v="0"/>
    <n v="0"/>
    <n v="0"/>
    <n v="0"/>
    <n v="0"/>
    <n v="6300"/>
    <n v="6300"/>
    <m/>
    <m/>
    <n v="0"/>
    <n v="0"/>
    <m/>
  </r>
  <r>
    <s v="Post"/>
    <x v="2"/>
    <s v="POST"/>
    <m/>
    <x v="2348"/>
    <s v="310"/>
    <m/>
    <n v="0"/>
    <n v="0"/>
    <n v="0"/>
    <n v="0"/>
    <n v="0"/>
    <n v="12000"/>
    <n v="12000"/>
    <m/>
    <m/>
    <n v="0"/>
    <n v="0"/>
    <m/>
  </r>
  <r>
    <s v="Post"/>
    <x v="2"/>
    <s v="POST"/>
    <m/>
    <x v="2349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0"/>
    <s v="311"/>
    <m/>
    <n v="0"/>
    <n v="0"/>
    <n v="0"/>
    <n v="0"/>
    <n v="0"/>
    <n v="6300"/>
    <n v="6300"/>
    <m/>
    <m/>
    <n v="0"/>
    <n v="0"/>
    <m/>
  </r>
  <r>
    <s v="Post"/>
    <x v="2"/>
    <s v="POST"/>
    <m/>
    <x v="2351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2"/>
    <s v="312"/>
    <m/>
    <n v="0"/>
    <n v="0"/>
    <n v="0"/>
    <n v="0"/>
    <n v="0"/>
    <n v="8000"/>
    <n v="8000"/>
    <m/>
    <m/>
    <n v="0"/>
    <n v="0"/>
    <m/>
  </r>
  <r>
    <s v="Post"/>
    <x v="2"/>
    <s v="POST"/>
    <m/>
    <x v="2353"/>
    <s v="313"/>
    <m/>
    <n v="0"/>
    <n v="0"/>
    <n v="0"/>
    <n v="0"/>
    <n v="0"/>
    <n v="3150"/>
    <n v="3150"/>
    <m/>
    <m/>
    <n v="0"/>
    <n v="0"/>
    <m/>
  </r>
  <r>
    <s v="Post"/>
    <x v="2"/>
    <s v="POST"/>
    <m/>
    <x v="2354"/>
    <s v="313"/>
    <m/>
    <n v="0"/>
    <n v="0"/>
    <n v="0"/>
    <n v="0"/>
    <n v="0"/>
    <n v="3675"/>
    <n v="3675"/>
    <m/>
    <m/>
    <n v="0"/>
    <n v="0"/>
    <m/>
  </r>
  <r>
    <s v="Post"/>
    <x v="2"/>
    <s v="POST"/>
    <m/>
    <x v="2355"/>
    <s v="316"/>
    <m/>
    <n v="0"/>
    <n v="0"/>
    <n v="0"/>
    <n v="0"/>
    <n v="0"/>
    <n v="40000"/>
    <n v="40000"/>
    <m/>
    <m/>
    <n v="0"/>
    <n v="0"/>
    <m/>
  </r>
  <r>
    <s v="Post"/>
    <x v="2"/>
    <s v="POST"/>
    <m/>
    <x v="2356"/>
    <s v="324"/>
    <m/>
    <n v="0"/>
    <n v="0"/>
    <n v="0"/>
    <n v="0"/>
    <n v="0"/>
    <n v="3675"/>
    <n v="3675"/>
    <m/>
    <m/>
    <n v="0"/>
    <n v="0"/>
    <m/>
  </r>
  <r>
    <s v="Post"/>
    <x v="2"/>
    <s v="POST"/>
    <m/>
    <x v="2357"/>
    <s v="326"/>
    <m/>
    <n v="0"/>
    <n v="0"/>
    <n v="0"/>
    <n v="0"/>
    <n v="0"/>
    <n v="20000"/>
    <n v="20000"/>
    <m/>
    <m/>
    <n v="0"/>
    <n v="0"/>
    <m/>
  </r>
  <r>
    <s v="Post"/>
    <x v="2"/>
    <s v="POST"/>
    <m/>
    <x v="2358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59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0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1"/>
    <s v="333"/>
    <m/>
    <n v="0"/>
    <n v="0"/>
    <n v="0"/>
    <n v="0"/>
    <n v="0"/>
    <n v="12000"/>
    <n v="12000"/>
    <m/>
    <m/>
    <n v="0"/>
    <n v="0"/>
    <m/>
  </r>
  <r>
    <s v="Post"/>
    <x v="2"/>
    <s v="POST"/>
    <m/>
    <x v="2362"/>
    <s v="334"/>
    <m/>
    <n v="0"/>
    <n v="0"/>
    <n v="0"/>
    <n v="0"/>
    <n v="0"/>
    <n v="12000"/>
    <n v="12000"/>
    <m/>
    <m/>
    <n v="0"/>
    <n v="0"/>
    <m/>
  </r>
  <r>
    <s v="Post"/>
    <x v="2"/>
    <s v=""/>
    <m/>
    <x v="2363"/>
    <s v="Episode 4"/>
    <m/>
    <n v="0"/>
    <n v="0"/>
    <n v="0"/>
    <n v="0"/>
    <n v="0"/>
    <n v="0"/>
    <n v="0"/>
    <m/>
    <m/>
    <n v="0"/>
    <n v="0"/>
    <m/>
  </r>
  <r>
    <s v="Post"/>
    <x v="2"/>
    <s v="POST"/>
    <m/>
    <x v="2364"/>
    <s v="400"/>
    <m/>
    <n v="0"/>
    <n v="0"/>
    <n v="0"/>
    <n v="0"/>
    <n v="0"/>
    <n v="3150"/>
    <n v="3150"/>
    <m/>
    <m/>
    <n v="0"/>
    <n v="0"/>
    <m/>
  </r>
  <r>
    <s v="Post"/>
    <x v="2"/>
    <s v="POST"/>
    <m/>
    <x v="2365"/>
    <s v="402"/>
    <m/>
    <n v="0"/>
    <n v="0"/>
    <n v="0"/>
    <n v="0"/>
    <n v="0"/>
    <n v="3675"/>
    <n v="3675"/>
    <m/>
    <m/>
    <n v="0"/>
    <n v="0"/>
    <m/>
  </r>
  <r>
    <s v="Post"/>
    <x v="2"/>
    <s v="POST"/>
    <m/>
    <x v="2366"/>
    <s v="412"/>
    <m/>
    <n v="0"/>
    <n v="0"/>
    <n v="0"/>
    <n v="0"/>
    <n v="0"/>
    <n v="3675"/>
    <n v="3675"/>
    <m/>
    <m/>
    <n v="0"/>
    <n v="0"/>
    <m/>
  </r>
  <r>
    <s v="Post"/>
    <x v="2"/>
    <s v="POST"/>
    <m/>
    <x v="2367"/>
    <s v="416"/>
    <m/>
    <n v="0"/>
    <n v="0"/>
    <n v="0"/>
    <n v="0"/>
    <n v="0"/>
    <n v="3675"/>
    <n v="3675"/>
    <m/>
    <m/>
    <n v="0"/>
    <n v="0"/>
    <m/>
  </r>
  <r>
    <s v="Post"/>
    <x v="2"/>
    <s v="POST"/>
    <m/>
    <x v="2368"/>
    <s v="418"/>
    <m/>
    <n v="0"/>
    <n v="0"/>
    <n v="0"/>
    <n v="0"/>
    <n v="0"/>
    <n v="15000"/>
    <n v="15000"/>
    <m/>
    <m/>
    <n v="0"/>
    <n v="0"/>
    <m/>
  </r>
  <r>
    <s v="Post"/>
    <x v="2"/>
    <s v="POST"/>
    <m/>
    <x v="2369"/>
    <s v="418"/>
    <m/>
    <n v="0"/>
    <n v="0"/>
    <n v="0"/>
    <n v="0"/>
    <n v="0"/>
    <n v="15000"/>
    <n v="15000"/>
    <m/>
    <m/>
    <n v="0"/>
    <n v="0"/>
    <m/>
  </r>
  <r>
    <s v="Post"/>
    <x v="2"/>
    <s v=""/>
    <m/>
    <x v="2370"/>
    <s v="Episode 5"/>
    <m/>
    <n v="0"/>
    <n v="0"/>
    <n v="0"/>
    <n v="0"/>
    <n v="0"/>
    <n v="0"/>
    <n v="0"/>
    <m/>
    <m/>
    <n v="0"/>
    <n v="0"/>
    <m/>
  </r>
  <r>
    <s v="Post"/>
    <x v="2"/>
    <s v="POST"/>
    <m/>
    <x v="2371"/>
    <s v="501"/>
    <m/>
    <n v="0"/>
    <n v="0"/>
    <n v="0"/>
    <n v="0"/>
    <n v="0"/>
    <n v="7350"/>
    <n v="7350"/>
    <m/>
    <m/>
    <n v="0"/>
    <n v="0"/>
    <m/>
  </r>
  <r>
    <s v="Post"/>
    <x v="2"/>
    <s v="POST"/>
    <m/>
    <x v="2372"/>
    <s v="502"/>
    <m/>
    <n v="0"/>
    <n v="0"/>
    <n v="0"/>
    <n v="0"/>
    <n v="0"/>
    <n v="3675"/>
    <n v="3675"/>
    <m/>
    <m/>
    <n v="0"/>
    <n v="0"/>
    <m/>
  </r>
  <r>
    <s v="Post"/>
    <x v="2"/>
    <s v="POST"/>
    <m/>
    <x v="2373"/>
    <s v="506"/>
    <m/>
    <n v="0"/>
    <n v="0"/>
    <n v="0"/>
    <n v="0"/>
    <n v="0"/>
    <n v="7350"/>
    <n v="7350"/>
    <m/>
    <m/>
    <n v="0"/>
    <n v="0"/>
    <m/>
  </r>
  <r>
    <s v="Post"/>
    <x v="2"/>
    <s v="POST"/>
    <m/>
    <x v="2374"/>
    <s v="508"/>
    <m/>
    <n v="0"/>
    <n v="0"/>
    <n v="0"/>
    <n v="0"/>
    <n v="0"/>
    <n v="6300"/>
    <n v="6300"/>
    <m/>
    <m/>
    <n v="0"/>
    <n v="0"/>
    <m/>
  </r>
  <r>
    <s v="Post"/>
    <x v="2"/>
    <s v="POST"/>
    <m/>
    <x v="2375"/>
    <s v="508"/>
    <m/>
    <n v="0"/>
    <n v="0"/>
    <n v="0"/>
    <n v="0"/>
    <n v="0"/>
    <n v="3675"/>
    <n v="3675"/>
    <m/>
    <m/>
    <n v="0"/>
    <n v="0"/>
    <m/>
  </r>
  <r>
    <s v="Post"/>
    <x v="2"/>
    <s v="POST"/>
    <m/>
    <x v="2376"/>
    <s v="509"/>
    <m/>
    <n v="0"/>
    <n v="0"/>
    <n v="0"/>
    <n v="0"/>
    <n v="0"/>
    <n v="7300"/>
    <n v="7300"/>
    <m/>
    <m/>
    <n v="0"/>
    <n v="0"/>
    <m/>
  </r>
  <r>
    <s v="Post"/>
    <x v="2"/>
    <s v="POST"/>
    <m/>
    <x v="2377"/>
    <s v="516"/>
    <m/>
    <n v="0"/>
    <n v="0"/>
    <n v="0"/>
    <n v="0"/>
    <n v="0"/>
    <n v="9450"/>
    <n v="9450"/>
    <m/>
    <m/>
    <n v="0"/>
    <n v="0"/>
    <m/>
  </r>
  <r>
    <s v="Post"/>
    <x v="2"/>
    <s v="POST"/>
    <m/>
    <x v="2378"/>
    <s v="517"/>
    <m/>
    <n v="0"/>
    <n v="0"/>
    <n v="0"/>
    <n v="0"/>
    <n v="0"/>
    <n v="9450"/>
    <n v="9450"/>
    <m/>
    <m/>
    <n v="0"/>
    <n v="0"/>
    <m/>
  </r>
  <r>
    <s v="Post"/>
    <x v="2"/>
    <s v="POST"/>
    <m/>
    <x v="2379"/>
    <s v="537"/>
    <m/>
    <n v="0"/>
    <n v="0"/>
    <n v="0"/>
    <n v="0"/>
    <n v="0"/>
    <n v="20000"/>
    <n v="20000"/>
    <m/>
    <m/>
    <n v="0"/>
    <n v="0"/>
    <m/>
  </r>
  <r>
    <s v="Post"/>
    <x v="2"/>
    <s v=""/>
    <m/>
    <x v="2380"/>
    <s v="Episode 6 - Referencia Primera Temporada"/>
    <m/>
    <n v="0"/>
    <n v="0"/>
    <n v="0"/>
    <n v="0"/>
    <n v="0"/>
    <n v="0"/>
    <n v="0"/>
    <m/>
    <m/>
    <n v="0"/>
    <n v="0"/>
    <m/>
  </r>
  <r>
    <s v="Post"/>
    <x v="2"/>
    <s v="POST"/>
    <m/>
    <x v="2381"/>
    <s v="601"/>
    <m/>
    <n v="0"/>
    <n v="0"/>
    <n v="0"/>
    <n v="0"/>
    <n v="0"/>
    <n v="3150"/>
    <n v="3150"/>
    <m/>
    <m/>
    <n v="0"/>
    <n v="0"/>
    <m/>
  </r>
  <r>
    <s v="Post"/>
    <x v="2"/>
    <s v="POST"/>
    <m/>
    <x v="2382"/>
    <s v="602"/>
    <m/>
    <n v="0"/>
    <n v="0"/>
    <n v="0"/>
    <n v="0"/>
    <n v="0"/>
    <n v="3675"/>
    <n v="3675"/>
    <m/>
    <m/>
    <n v="0"/>
    <n v="0"/>
    <m/>
  </r>
  <r>
    <s v="Post"/>
    <x v="2"/>
    <s v="POST"/>
    <m/>
    <x v="2383"/>
    <s v="613"/>
    <m/>
    <n v="0"/>
    <n v="0"/>
    <n v="0"/>
    <n v="0"/>
    <n v="0"/>
    <n v="7350"/>
    <n v="7350"/>
    <m/>
    <m/>
    <n v="0"/>
    <n v="0"/>
    <m/>
  </r>
  <r>
    <s v="Post"/>
    <x v="2"/>
    <s v="POST"/>
    <m/>
    <x v="2384"/>
    <s v="616"/>
    <m/>
    <n v="0"/>
    <n v="0"/>
    <n v="0"/>
    <n v="0"/>
    <n v="0"/>
    <n v="3150"/>
    <n v="3150"/>
    <m/>
    <m/>
    <n v="0"/>
    <n v="0"/>
    <m/>
  </r>
  <r>
    <s v="Post"/>
    <x v="2"/>
    <s v="POST"/>
    <m/>
    <x v="2385"/>
    <s v="625"/>
    <m/>
    <n v="0"/>
    <n v="0"/>
    <n v="0"/>
    <n v="0"/>
    <n v="0"/>
    <n v="3675"/>
    <n v="3675"/>
    <m/>
    <m/>
    <n v="0"/>
    <n v="0"/>
    <m/>
  </r>
  <r>
    <s v="Post"/>
    <x v="2"/>
    <s v="POST"/>
    <m/>
    <x v="2386"/>
    <s v="631"/>
    <m/>
    <n v="0"/>
    <n v="0"/>
    <n v="0"/>
    <n v="0"/>
    <n v="0"/>
    <n v="3675"/>
    <n v="3675"/>
    <m/>
    <m/>
    <n v="0"/>
    <n v="0"/>
    <m/>
  </r>
  <r>
    <s v="Post"/>
    <x v="2"/>
    <s v="POST"/>
    <m/>
    <x v="2387"/>
    <s v="632"/>
    <m/>
    <n v="0"/>
    <n v="0"/>
    <n v="0"/>
    <n v="0"/>
    <n v="0"/>
    <n v="7350"/>
    <n v="7350"/>
    <m/>
    <m/>
    <n v="0"/>
    <n v="0"/>
    <m/>
  </r>
  <r>
    <s v="Post"/>
    <x v="2"/>
    <s v=""/>
    <m/>
    <x v="2388"/>
    <s v="Episode 7"/>
    <m/>
    <n v="0"/>
    <n v="0"/>
    <n v="0"/>
    <n v="0"/>
    <n v="0"/>
    <n v="0"/>
    <n v="0"/>
    <m/>
    <m/>
    <n v="0"/>
    <n v="0"/>
    <m/>
  </r>
  <r>
    <s v="Post"/>
    <x v="2"/>
    <s v="POST"/>
    <m/>
    <x v="2389"/>
    <s v="701"/>
    <m/>
    <n v="0"/>
    <n v="0"/>
    <n v="0"/>
    <n v="0"/>
    <n v="0"/>
    <n v="3150"/>
    <n v="3150"/>
    <m/>
    <m/>
    <n v="0"/>
    <n v="0"/>
    <m/>
  </r>
  <r>
    <s v="Post"/>
    <x v="2"/>
    <s v="POST"/>
    <m/>
    <x v="2390"/>
    <s v="702"/>
    <m/>
    <n v="0"/>
    <n v="0"/>
    <n v="0"/>
    <n v="0"/>
    <n v="0"/>
    <n v="3150"/>
    <n v="3150"/>
    <m/>
    <m/>
    <n v="0"/>
    <n v="0"/>
    <m/>
  </r>
  <r>
    <s v="Post"/>
    <x v="2"/>
    <s v="POST"/>
    <m/>
    <x v="2391"/>
    <s v="708"/>
    <m/>
    <n v="0"/>
    <n v="0"/>
    <n v="0"/>
    <n v="0"/>
    <n v="0"/>
    <n v="3675"/>
    <n v="3675"/>
    <m/>
    <m/>
    <n v="0"/>
    <n v="0"/>
    <m/>
  </r>
  <r>
    <s v="Post"/>
    <x v="2"/>
    <s v="POST"/>
    <m/>
    <x v="2392"/>
    <s v="710D"/>
    <m/>
    <n v="0"/>
    <n v="0"/>
    <n v="0"/>
    <n v="0"/>
    <n v="0"/>
    <n v="3675"/>
    <n v="3675"/>
    <m/>
    <m/>
    <n v="0"/>
    <n v="0"/>
    <m/>
  </r>
  <r>
    <s v="Post"/>
    <x v="2"/>
    <s v="POST"/>
    <m/>
    <x v="2393"/>
    <s v="717"/>
    <m/>
    <n v="0"/>
    <n v="0"/>
    <n v="0"/>
    <n v="0"/>
    <n v="0"/>
    <n v="3150"/>
    <n v="3150"/>
    <m/>
    <m/>
    <n v="0"/>
    <n v="0"/>
    <m/>
  </r>
  <r>
    <s v="Post"/>
    <x v="2"/>
    <s v="POST"/>
    <m/>
    <x v="2394"/>
    <s v="730"/>
    <m/>
    <n v="0"/>
    <n v="0"/>
    <n v="0"/>
    <n v="0"/>
    <n v="0"/>
    <n v="3675"/>
    <n v="3675"/>
    <m/>
    <m/>
    <n v="0"/>
    <n v="0"/>
    <m/>
  </r>
  <r>
    <s v="Post"/>
    <x v="2"/>
    <s v="POST"/>
    <m/>
    <x v="2395"/>
    <s v="735"/>
    <m/>
    <n v="0"/>
    <n v="0"/>
    <n v="0"/>
    <n v="0"/>
    <n v="0"/>
    <n v="48000"/>
    <n v="48000"/>
    <m/>
    <m/>
    <n v="0"/>
    <n v="0"/>
    <m/>
  </r>
  <r>
    <s v="Post"/>
    <x v="2"/>
    <s v=""/>
    <m/>
    <x v="2396"/>
    <s v="Episode 8"/>
    <m/>
    <n v="0"/>
    <n v="0"/>
    <n v="0"/>
    <n v="0"/>
    <n v="0"/>
    <n v="0"/>
    <n v="0"/>
    <m/>
    <m/>
    <n v="0"/>
    <n v="0"/>
    <m/>
  </r>
  <r>
    <s v="Post"/>
    <x v="2"/>
    <s v="POST"/>
    <m/>
    <x v="2397"/>
    <s v="804"/>
    <m/>
    <n v="0"/>
    <n v="0"/>
    <n v="0"/>
    <n v="0"/>
    <n v="0"/>
    <n v="3675"/>
    <n v="3675"/>
    <m/>
    <m/>
    <n v="0"/>
    <n v="0"/>
    <m/>
  </r>
  <r>
    <s v="Post"/>
    <x v="2"/>
    <s v="POST"/>
    <m/>
    <x v="2398"/>
    <s v="810"/>
    <m/>
    <n v="0"/>
    <n v="0"/>
    <n v="0"/>
    <n v="0"/>
    <n v="0"/>
    <n v="11025"/>
    <n v="11025"/>
    <m/>
    <m/>
    <n v="0"/>
    <n v="0"/>
    <m/>
  </r>
  <r>
    <s v="Post"/>
    <x v="2"/>
    <s v="POST"/>
    <m/>
    <x v="2399"/>
    <s v="811"/>
    <m/>
    <n v="0"/>
    <n v="0"/>
    <n v="0"/>
    <n v="0"/>
    <n v="0"/>
    <n v="3675"/>
    <n v="3675"/>
    <m/>
    <m/>
    <n v="0"/>
    <n v="0"/>
    <m/>
  </r>
  <r>
    <s v="Post"/>
    <x v="2"/>
    <s v="POST"/>
    <m/>
    <x v="2400"/>
    <s v="822"/>
    <m/>
    <n v="0"/>
    <n v="0"/>
    <n v="0"/>
    <n v="0"/>
    <n v="0"/>
    <n v="3675"/>
    <n v="3675"/>
    <m/>
    <m/>
    <n v="0"/>
    <n v="0"/>
    <m/>
  </r>
  <r>
    <s v="Post"/>
    <x v="2"/>
    <s v="POST"/>
    <m/>
    <x v="2401"/>
    <s v="823"/>
    <m/>
    <n v="0"/>
    <n v="0"/>
    <n v="0"/>
    <n v="0"/>
    <n v="0"/>
    <n v="3675"/>
    <n v="3675"/>
    <m/>
    <m/>
    <n v="0"/>
    <n v="0"/>
    <m/>
  </r>
  <r>
    <s v="Post"/>
    <x v="2"/>
    <s v="POST"/>
    <m/>
    <x v="2402"/>
    <s v="824"/>
    <m/>
    <n v="0"/>
    <n v="0"/>
    <n v="0"/>
    <n v="0"/>
    <n v="0"/>
    <n v="3675"/>
    <n v="3675"/>
    <m/>
    <m/>
    <n v="0"/>
    <n v="0"/>
    <m/>
  </r>
  <r>
    <s v="Post"/>
    <x v="2"/>
    <s v="POST"/>
    <m/>
    <x v="2403"/>
    <s v="834"/>
    <m/>
    <n v="0"/>
    <n v="0"/>
    <n v="0"/>
    <n v="0"/>
    <n v="0"/>
    <n v="3675"/>
    <n v="3675"/>
    <m/>
    <m/>
    <n v="0"/>
    <n v="0"/>
    <m/>
  </r>
  <r>
    <s v="Post"/>
    <x v="2"/>
    <s v="POST"/>
    <m/>
    <x v="2404"/>
    <s v="838"/>
    <m/>
    <n v="0"/>
    <n v="0"/>
    <n v="0"/>
    <n v="0"/>
    <n v="0"/>
    <n v="3675"/>
    <n v="3675"/>
    <m/>
    <m/>
    <n v="0"/>
    <n v="0"/>
    <m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  <m/>
    <m/>
    <n v="0"/>
    <n v="0"/>
    <m/>
  </r>
  <r>
    <s v="Post"/>
    <x v="2"/>
    <s v=""/>
    <m/>
    <x v="2406"/>
    <s v="Descuento Dinamita 07/03/24"/>
    <m/>
    <n v="0"/>
    <n v="0"/>
    <n v="0"/>
    <n v="0"/>
    <n v="0"/>
    <n v="0"/>
    <n v="0"/>
    <m/>
    <m/>
    <n v="0"/>
    <n v="0"/>
    <m/>
  </r>
  <r>
    <s v="Post"/>
    <x v="2"/>
    <s v="POST"/>
    <m/>
    <x v="2407"/>
    <s v="All show"/>
    <m/>
    <n v="0"/>
    <n v="0"/>
    <n v="0"/>
    <n v="0"/>
    <n v="0"/>
    <n v="-849515.52000000002"/>
    <n v="-849515.52000000002"/>
    <m/>
    <m/>
    <n v="0"/>
    <n v="0"/>
    <m/>
  </r>
  <r>
    <s v="Post"/>
    <x v="1"/>
    <m/>
    <m/>
    <x v="2408"/>
    <s v="VFX IMPREVISTOS"/>
    <m/>
    <n v="110400"/>
    <n v="0"/>
    <n v="110400"/>
    <n v="0"/>
    <n v="110400"/>
    <n v="350000"/>
    <n v="239600"/>
    <m/>
    <m/>
    <n v="137400"/>
    <n v="27000"/>
    <m/>
  </r>
  <r>
    <s v="Post"/>
    <x v="2"/>
    <s v=""/>
    <m/>
    <x v="2409"/>
    <s v="Unforseen VFX Allowance"/>
    <m/>
    <n v="0"/>
    <n v="0"/>
    <n v="0"/>
    <n v="0"/>
    <n v="0"/>
    <n v="0"/>
    <n v="0"/>
    <m/>
    <m/>
    <n v="0"/>
    <n v="0"/>
    <m/>
  </r>
  <r>
    <s v="Post"/>
    <x v="2"/>
    <s v="POST"/>
    <m/>
    <x v="2410"/>
    <s v="Allowance"/>
    <m/>
    <n v="110400"/>
    <n v="0"/>
    <n v="110400"/>
    <n v="0"/>
    <n v="110400"/>
    <n v="350000"/>
    <n v="239600"/>
    <m/>
    <m/>
    <n v="137400"/>
    <n v="27000"/>
    <m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  <m/>
    <m/>
    <n v="13687455.640000001"/>
    <n v="-6209.2259999979287"/>
    <m/>
  </r>
  <r>
    <s v="Others"/>
    <x v="1"/>
    <m/>
    <m/>
    <x v="2412"/>
    <s v="AUDITOR/CONTADOR FISCAL"/>
    <m/>
    <n v="149875"/>
    <n v="0"/>
    <n v="149875"/>
    <n v="0"/>
    <n v="149875"/>
    <n v="149875"/>
    <n v="0"/>
    <m/>
    <m/>
    <n v="149875"/>
    <n v="0"/>
    <m/>
  </r>
  <r>
    <s v="Others"/>
    <x v="2"/>
    <s v=""/>
    <m/>
    <x v="2413"/>
    <s v="Contabilidad Fiscal - Jose Antonio Leyte"/>
    <m/>
    <n v="0"/>
    <n v="0"/>
    <n v="0"/>
    <n v="0"/>
    <n v="0"/>
    <n v="0"/>
    <n v="0"/>
    <m/>
    <m/>
    <n v="0"/>
    <n v="0"/>
    <m/>
  </r>
  <r>
    <s v="Others"/>
    <x v="2"/>
    <s v="SOFT"/>
    <m/>
    <x v="2414"/>
    <s v="Soft"/>
    <m/>
    <n v="6875"/>
    <n v="0"/>
    <n v="6875"/>
    <n v="0"/>
    <n v="6875"/>
    <n v="6875"/>
    <n v="0"/>
    <m/>
    <m/>
    <n v="6875"/>
    <n v="0"/>
    <m/>
  </r>
  <r>
    <s v="Others"/>
    <x v="2"/>
    <s v="PREP"/>
    <m/>
    <x v="2415"/>
    <s v="Prep"/>
    <m/>
    <n v="49500"/>
    <n v="0"/>
    <n v="49500"/>
    <n v="0"/>
    <n v="49500"/>
    <n v="49500"/>
    <n v="0"/>
    <m/>
    <m/>
    <n v="49500"/>
    <n v="0"/>
    <m/>
  </r>
  <r>
    <s v="Others"/>
    <x v="2"/>
    <s v="SHOOT"/>
    <m/>
    <x v="2416"/>
    <s v="Shoot"/>
    <m/>
    <n v="38500"/>
    <n v="0"/>
    <n v="38500"/>
    <n v="0"/>
    <n v="38500"/>
    <n v="38500"/>
    <n v="0"/>
    <m/>
    <m/>
    <n v="38500"/>
    <n v="0"/>
    <m/>
  </r>
  <r>
    <s v="Others"/>
    <x v="2"/>
    <s v="WRAP"/>
    <m/>
    <x v="2417"/>
    <s v="Wrap"/>
    <m/>
    <n v="22000"/>
    <n v="0"/>
    <n v="22000"/>
    <n v="0"/>
    <n v="22000"/>
    <n v="22000"/>
    <n v="0"/>
    <m/>
    <m/>
    <n v="22000"/>
    <n v="0"/>
    <m/>
  </r>
  <r>
    <s v="Others"/>
    <x v="2"/>
    <s v="POST"/>
    <m/>
    <x v="2418"/>
    <s v="Post"/>
    <m/>
    <n v="33000"/>
    <n v="0"/>
    <n v="33000"/>
    <n v="0"/>
    <n v="33000"/>
    <n v="33000"/>
    <n v="0"/>
    <m/>
    <m/>
    <n v="33000"/>
    <n v="0"/>
    <m/>
  </r>
  <r>
    <s v="Others"/>
    <x v="1"/>
    <m/>
    <m/>
    <x v="2419"/>
    <s v="COSTO INCENTIVOS"/>
    <m/>
    <n v="64733"/>
    <n v="0"/>
    <n v="64733"/>
    <n v="0"/>
    <n v="64733"/>
    <n v="68000"/>
    <n v="3267"/>
    <m/>
    <m/>
    <n v="64733"/>
    <n v="0"/>
    <m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  <m/>
    <m/>
    <n v="0"/>
    <n v="0"/>
    <m/>
  </r>
  <r>
    <s v="Others"/>
    <x v="2"/>
    <s v="PREP"/>
    <m/>
    <x v="2421"/>
    <s v="Prep"/>
    <m/>
    <n v="60000"/>
    <n v="0"/>
    <n v="60000"/>
    <n v="0"/>
    <n v="60000"/>
    <n v="60000"/>
    <n v="0"/>
    <m/>
    <m/>
    <n v="60000"/>
    <n v="0"/>
    <m/>
  </r>
  <r>
    <s v="Others"/>
    <x v="2"/>
    <s v=""/>
    <m/>
    <x v="2422"/>
    <s v="Cash Rebate - Javier Sariñana"/>
    <m/>
    <n v="0"/>
    <n v="0"/>
    <n v="0"/>
    <n v="0"/>
    <n v="0"/>
    <n v="0"/>
    <n v="0"/>
    <m/>
    <m/>
    <n v="0"/>
    <n v="0"/>
    <m/>
  </r>
  <r>
    <s v="Others"/>
    <x v="2"/>
    <s v="ALL SHOW"/>
    <m/>
    <x v="2423"/>
    <s v="MEX - GDL"/>
    <m/>
    <n v="0"/>
    <n v="0"/>
    <n v="0"/>
    <n v="0"/>
    <n v="0"/>
    <n v="4000"/>
    <n v="4000"/>
    <m/>
    <m/>
    <n v="0"/>
    <n v="0"/>
    <m/>
  </r>
  <r>
    <s v="Others"/>
    <x v="2"/>
    <s v="ALL SHOW"/>
    <m/>
    <x v="2424"/>
    <s v="GDL - MEX"/>
    <m/>
    <n v="4733"/>
    <n v="0"/>
    <n v="4733"/>
    <n v="0"/>
    <n v="4733"/>
    <n v="4000"/>
    <n v="-733"/>
    <m/>
    <m/>
    <n v="4733"/>
    <n v="0"/>
    <m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2"/>
    <s v=""/>
    <m/>
    <x v="2426"/>
    <s v="PSC FEE"/>
    <m/>
    <n v="0"/>
    <n v="0"/>
    <n v="0"/>
    <n v="0"/>
    <n v="0"/>
    <n v="0"/>
    <n v="0"/>
    <m/>
    <m/>
    <n v="0"/>
    <n v="0"/>
    <m/>
  </r>
  <r>
    <s v="Others"/>
    <x v="2"/>
    <s v=""/>
    <m/>
    <x v="2427"/>
    <s v="10%"/>
    <m/>
    <n v="0"/>
    <n v="0"/>
    <n v="0"/>
    <n v="0"/>
    <n v="0"/>
    <n v="0"/>
    <n v="0"/>
    <m/>
    <m/>
    <n v="0"/>
    <n v="0"/>
    <m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1"/>
    <m/>
    <m/>
    <x v="2429"/>
    <s v="COSTOS LEGALES"/>
    <m/>
    <n v="854182"/>
    <n v="0"/>
    <n v="854182"/>
    <n v="0"/>
    <n v="854182"/>
    <n v="464182"/>
    <n v="-390000"/>
    <m/>
    <m/>
    <n v="854182"/>
    <n v="0"/>
    <m/>
  </r>
  <r>
    <s v="Others"/>
    <x v="2"/>
    <s v=""/>
    <m/>
    <x v="2430"/>
    <s v="Legal - Olivares"/>
    <m/>
    <n v="0"/>
    <n v="0"/>
    <n v="0"/>
    <n v="0"/>
    <n v="0"/>
    <n v="0"/>
    <n v="0"/>
    <m/>
    <m/>
    <n v="0"/>
    <n v="0"/>
    <m/>
  </r>
  <r>
    <s v="Others"/>
    <x v="2"/>
    <s v="PREP"/>
    <m/>
    <x v="2431"/>
    <s v="Pre"/>
    <m/>
    <n v="95000"/>
    <n v="0"/>
    <n v="95000"/>
    <n v="0"/>
    <n v="95000"/>
    <n v="45000"/>
    <n v="-50000"/>
    <m/>
    <m/>
    <n v="95000"/>
    <n v="0"/>
    <m/>
  </r>
  <r>
    <s v="Others"/>
    <x v="2"/>
    <s v="SHOOT"/>
    <m/>
    <x v="2432"/>
    <s v="Shoot"/>
    <m/>
    <n v="677500"/>
    <n v="0"/>
    <n v="677500"/>
    <n v="0"/>
    <n v="677500"/>
    <n v="337500"/>
    <n v="-340000"/>
    <m/>
    <m/>
    <n v="677500"/>
    <n v="0"/>
    <m/>
  </r>
  <r>
    <s v="Others"/>
    <x v="2"/>
    <s v="WRAP"/>
    <m/>
    <x v="2433"/>
    <s v="Wrap"/>
    <m/>
    <n v="67500"/>
    <n v="0"/>
    <n v="67500"/>
    <n v="0"/>
    <n v="67500"/>
    <n v="67500"/>
    <n v="0"/>
    <m/>
    <m/>
    <n v="67500"/>
    <n v="0"/>
    <m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  <m/>
    <m/>
    <n v="0"/>
    <n v="0"/>
    <m/>
  </r>
  <r>
    <s v="Others"/>
    <x v="2"/>
    <s v="ALL SHOW"/>
    <m/>
    <x v="2435"/>
    <s v="Series"/>
    <m/>
    <n v="14182"/>
    <n v="0"/>
    <n v="14182"/>
    <n v="0"/>
    <n v="14182"/>
    <n v="14182"/>
    <n v="0"/>
    <m/>
    <m/>
    <n v="14182"/>
    <n v="0"/>
    <m/>
  </r>
  <r>
    <s v="Others"/>
    <x v="1"/>
    <m/>
    <m/>
    <x v="2436"/>
    <s v="BACKGROUND CHECKS"/>
    <m/>
    <n v="15300"/>
    <n v="0"/>
    <n v="15300"/>
    <n v="0"/>
    <n v="15300"/>
    <n v="18700"/>
    <n v="3400"/>
    <m/>
    <m/>
    <n v="15300"/>
    <n v="0"/>
    <m/>
  </r>
  <r>
    <s v="Others"/>
    <x v="2"/>
    <s v=""/>
    <m/>
    <x v="2437"/>
    <s v="Background Checks - Infilter"/>
    <m/>
    <n v="0"/>
    <n v="0"/>
    <n v="0"/>
    <n v="0"/>
    <n v="0"/>
    <n v="0"/>
    <n v="0"/>
    <m/>
    <m/>
    <n v="0"/>
    <n v="0"/>
    <m/>
  </r>
  <r>
    <s v="Others"/>
    <x v="2"/>
    <s v="ALL SHOW"/>
    <m/>
    <x v="2438"/>
    <s v="All Show"/>
    <m/>
    <n v="15300"/>
    <n v="0"/>
    <n v="15300"/>
    <n v="0"/>
    <n v="15300"/>
    <n v="18700"/>
    <n v="3400"/>
    <m/>
    <m/>
    <n v="15300"/>
    <n v="0"/>
    <m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  <m/>
    <m/>
    <n v="82405.780000000057"/>
    <n v="-4052.3980000000156"/>
    <m/>
  </r>
  <r>
    <s v="Others"/>
    <x v="2"/>
    <s v=""/>
    <m/>
    <x v="2440"/>
    <s v="Bank Charges Mini Room"/>
    <m/>
    <n v="0"/>
    <n v="0"/>
    <n v="0"/>
    <n v="0"/>
    <n v="0"/>
    <n v="0"/>
    <n v="0"/>
    <m/>
    <m/>
    <n v="0"/>
    <n v="0"/>
    <m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  <m/>
    <m/>
    <n v="540"/>
    <n v="0"/>
    <m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  <m/>
    <m/>
    <n v="0"/>
    <n v="0"/>
    <m/>
  </r>
  <r>
    <s v="Others"/>
    <x v="2"/>
    <s v=""/>
    <m/>
    <x v="2443"/>
    <s v="Bank Charger"/>
    <m/>
    <n v="0"/>
    <n v="0"/>
    <n v="0"/>
    <n v="0"/>
    <n v="0"/>
    <n v="0"/>
    <n v="0"/>
    <m/>
    <m/>
    <n v="0"/>
    <n v="0"/>
    <m/>
  </r>
  <r>
    <s v="Others"/>
    <x v="2"/>
    <s v="ALL SHOW"/>
    <m/>
    <x v="2444"/>
    <s v="Comisión Scotia Bank"/>
    <m/>
    <n v="9699.32"/>
    <n v="4745.68"/>
    <n v="14445"/>
    <n v="0"/>
    <n v="14445"/>
    <n v="40000"/>
    <n v="25555"/>
    <m/>
    <m/>
    <n v="10445"/>
    <n v="-4000"/>
    <m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  <m/>
    <m/>
    <n v="71420.780000000057"/>
    <n v="-52.3980000000156"/>
    <m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  <m/>
    <m/>
    <n v="269452.98"/>
    <n v="-1573.0380000000005"/>
    <m/>
  </r>
  <r>
    <s v="Others"/>
    <x v="2"/>
    <s v=""/>
    <m/>
    <x v="2447"/>
    <s v="Gifts"/>
    <m/>
    <n v="0"/>
    <n v="0"/>
    <n v="0"/>
    <n v="0"/>
    <n v="0"/>
    <n v="0"/>
    <n v="0"/>
    <m/>
    <m/>
    <n v="0"/>
    <n v="0"/>
    <m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  <m/>
    <m/>
    <n v="205430.04"/>
    <n v="0"/>
    <m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  <m/>
    <m/>
    <n v="32941.549999999996"/>
    <n v="0"/>
    <m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  <m/>
    <m/>
    <n v="31081.39"/>
    <n v="-1573.0380000000005"/>
    <m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2"/>
    <s v=""/>
    <m/>
    <x v="2452"/>
    <s v="Papelería Materialidad SAT"/>
    <m/>
    <n v="0"/>
    <n v="0"/>
    <n v="0"/>
    <n v="0"/>
    <n v="0"/>
    <n v="0"/>
    <n v="0"/>
    <m/>
    <m/>
    <n v="0"/>
    <n v="0"/>
    <m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2"/>
    <s v=""/>
    <m/>
    <x v="2455"/>
    <s v="Office Chargers"/>
    <m/>
    <n v="0"/>
    <n v="0"/>
    <n v="0"/>
    <n v="0"/>
    <n v="0"/>
    <n v="0"/>
    <n v="0"/>
    <m/>
    <m/>
    <n v="0"/>
    <n v="0"/>
    <m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0"/>
    <m/>
    <m/>
    <x v="2457"/>
    <s v="SEGUROS"/>
    <m/>
    <n v="1511017.915"/>
    <n v="0"/>
    <n v="1511017.915"/>
    <n v="0"/>
    <n v="1511017.915"/>
    <n v="1485676"/>
    <n v="-25341.915000000095"/>
    <m/>
    <m/>
    <n v="1511004.79"/>
    <n v="-13.125"/>
    <m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  <m/>
    <m/>
    <n v="1332744.52"/>
    <n v="0"/>
    <m/>
  </r>
  <r>
    <s v="Others"/>
    <x v="2"/>
    <s v="ALL SHOW"/>
    <m/>
    <x v="2459"/>
    <s v="Insurance - LCI"/>
    <m/>
    <n v="0"/>
    <n v="0"/>
    <n v="0"/>
    <n v="0"/>
    <n v="0"/>
    <n v="0"/>
    <n v="0"/>
    <m/>
    <m/>
    <n v="0"/>
    <n v="0"/>
    <m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  <m/>
    <m/>
    <n v="1332744.52"/>
    <n v="0"/>
    <m/>
  </r>
  <r>
    <s v="Others"/>
    <x v="2"/>
    <s v=""/>
    <m/>
    <x v="2461"/>
    <s v="Seguro Móvil y Cámara - EFD"/>
    <m/>
    <n v="0"/>
    <n v="0"/>
    <n v="0"/>
    <n v="0"/>
    <n v="0"/>
    <n v="0"/>
    <n v="0"/>
    <m/>
    <m/>
    <n v="0"/>
    <n v="0"/>
    <m/>
  </r>
  <r>
    <s v="Others"/>
    <x v="2"/>
    <s v="SHOOT"/>
    <m/>
    <x v="2462"/>
    <s v="Shoot"/>
    <m/>
    <n v="0"/>
    <n v="0"/>
    <n v="0"/>
    <n v="0"/>
    <n v="0"/>
    <n v="47840"/>
    <n v="47840"/>
    <m/>
    <m/>
    <n v="0"/>
    <n v="0"/>
    <m/>
  </r>
  <r>
    <s v="Others"/>
    <x v="2"/>
    <s v="ALL SHOW"/>
    <m/>
    <x v="2463"/>
    <s v="Accidentes ( por reembolsar)"/>
    <m/>
    <n v="0"/>
    <n v="0"/>
    <n v="0"/>
    <n v="0"/>
    <n v="0"/>
    <n v="0"/>
    <n v="0"/>
    <m/>
    <m/>
    <n v="0"/>
    <n v="0"/>
    <m/>
  </r>
  <r>
    <s v="Others"/>
    <x v="1"/>
    <m/>
    <m/>
    <x v="2464"/>
    <s v="COMPRAS Y RENTAS CV19"/>
    <m/>
    <n v="4000"/>
    <n v="0"/>
    <n v="4000"/>
    <n v="0"/>
    <n v="4000"/>
    <n v="50000"/>
    <n v="46000"/>
    <m/>
    <m/>
    <n v="4000"/>
    <n v="0"/>
    <m/>
  </r>
  <r>
    <s v="Others"/>
    <x v="2"/>
    <s v=""/>
    <m/>
    <x v="2465"/>
    <s v="Compras Higiene"/>
    <m/>
    <n v="0"/>
    <n v="0"/>
    <n v="0"/>
    <n v="0"/>
    <n v="0"/>
    <n v="0"/>
    <n v="0"/>
    <m/>
    <m/>
    <n v="0"/>
    <n v="0"/>
    <m/>
  </r>
  <r>
    <s v="Others"/>
    <x v="2"/>
    <s v="COVID"/>
    <m/>
    <x v="2466"/>
    <s v="Allowance"/>
    <m/>
    <n v="4000"/>
    <n v="0"/>
    <n v="4000"/>
    <n v="0"/>
    <n v="4000"/>
    <n v="50000"/>
    <n v="46000"/>
    <m/>
    <m/>
    <n v="4000"/>
    <n v="0"/>
    <m/>
  </r>
  <r>
    <s v="Others"/>
    <x v="1"/>
    <m/>
    <m/>
    <x v="2467"/>
    <s v="PRUEBAS CV19"/>
    <m/>
    <n v="0"/>
    <n v="0"/>
    <n v="0"/>
    <n v="0"/>
    <n v="0"/>
    <n v="111300"/>
    <n v="111300"/>
    <m/>
    <m/>
    <n v="0"/>
    <n v="0"/>
    <m/>
  </r>
  <r>
    <s v="Others"/>
    <x v="2"/>
    <s v=""/>
    <m/>
    <x v="2468"/>
    <s v="Pruebas Crew PCR"/>
    <m/>
    <n v="0"/>
    <n v="0"/>
    <n v="0"/>
    <n v="0"/>
    <n v="0"/>
    <n v="0"/>
    <n v="0"/>
    <m/>
    <m/>
    <n v="0"/>
    <n v="0"/>
    <m/>
  </r>
  <r>
    <s v="Others"/>
    <x v="2"/>
    <s v="COVID"/>
    <m/>
    <x v="2469"/>
    <s v="Pruebas Crew PCR Prep"/>
    <m/>
    <n v="0"/>
    <n v="0"/>
    <n v="0"/>
    <n v="0"/>
    <n v="0"/>
    <n v="47400"/>
    <n v="47400"/>
    <m/>
    <m/>
    <n v="0"/>
    <n v="0"/>
    <m/>
  </r>
  <r>
    <s v="Others"/>
    <x v="2"/>
    <s v="COVID"/>
    <m/>
    <x v="2470"/>
    <s v="Pruebas PCR Emergencia "/>
    <m/>
    <n v="0"/>
    <n v="0"/>
    <n v="0"/>
    <n v="0"/>
    <n v="0"/>
    <n v="47400"/>
    <n v="47400"/>
    <m/>
    <m/>
    <n v="0"/>
    <n v="0"/>
    <m/>
  </r>
  <r>
    <s v="Others"/>
    <x v="2"/>
    <s v="COVID"/>
    <m/>
    <x v="2471"/>
    <s v="Pruebas Antigenos Emergencia"/>
    <m/>
    <n v="0"/>
    <n v="0"/>
    <n v="0"/>
    <n v="0"/>
    <n v="0"/>
    <n v="16500"/>
    <n v="16500"/>
    <m/>
    <m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848B9-FA57-BF46-B3B0-6BA5F28D326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46"/>
    </i>
    <i>
      <x v="2381"/>
    </i>
    <i>
      <x v="437"/>
    </i>
    <i>
      <x v="702"/>
    </i>
    <i>
      <x v="1403"/>
    </i>
    <i>
      <x v="1804"/>
    </i>
    <i>
      <x v="2264"/>
    </i>
    <i>
      <x v="2405"/>
    </i>
    <i>
      <x v="1518"/>
    </i>
    <i>
      <x v="205"/>
    </i>
    <i>
      <x v="1542"/>
    </i>
    <i>
      <x v="877"/>
    </i>
    <i>
      <x v="1629"/>
    </i>
    <i>
      <x v="290"/>
    </i>
    <i>
      <x v="1938"/>
    </i>
    <i>
      <x v="984"/>
    </i>
    <i>
      <x v="1990"/>
    </i>
    <i>
      <x v="124"/>
    </i>
    <i>
      <x v="698"/>
    </i>
    <i>
      <x v="1731"/>
    </i>
    <i>
      <x v="1931"/>
    </i>
    <i>
      <x v="1959"/>
    </i>
    <i>
      <x v="444"/>
    </i>
    <i>
      <x v="1022"/>
    </i>
    <i>
      <x v="1067"/>
    </i>
    <i>
      <x v="1552"/>
    </i>
    <i>
      <x v="647"/>
    </i>
    <i>
      <x v="279"/>
    </i>
    <i>
      <x v="611"/>
    </i>
    <i>
      <x v="853"/>
    </i>
    <i>
      <x v="93"/>
    </i>
    <i>
      <x v="996"/>
    </i>
    <i>
      <x v="534"/>
    </i>
    <i>
      <x v="1505"/>
    </i>
    <i>
      <x v="1018"/>
    </i>
    <i>
      <x v="2110"/>
    </i>
    <i>
      <x v="1287"/>
    </i>
    <i>
      <x v="767"/>
    </i>
    <i>
      <x v="1329"/>
    </i>
    <i>
      <x v="678"/>
    </i>
    <i>
      <x v="1761"/>
    </i>
    <i>
      <x v="544"/>
    </i>
    <i>
      <x v="955"/>
    </i>
    <i>
      <x v="638"/>
    </i>
    <i>
      <x v="2470"/>
    </i>
    <i>
      <x v="817"/>
    </i>
    <i>
      <x v="732"/>
    </i>
    <i>
      <x v="1950"/>
    </i>
    <i>
      <x v="991"/>
    </i>
    <i>
      <x v="2427"/>
    </i>
    <i>
      <x v="1768"/>
    </i>
    <i>
      <x v="745"/>
    </i>
    <i>
      <x v="2115"/>
    </i>
    <i>
      <x v="629"/>
    </i>
    <i>
      <x v="1146"/>
    </i>
    <i>
      <x v="1538"/>
    </i>
    <i>
      <x v="617"/>
    </i>
    <i>
      <x v="1278"/>
    </i>
    <i>
      <x v="1103"/>
    </i>
    <i>
      <x v="753"/>
    </i>
    <i>
      <x v="570"/>
    </i>
    <i>
      <x v="549"/>
    </i>
    <i>
      <x v="2086"/>
    </i>
    <i>
      <x v="2434"/>
    </i>
    <i>
      <x v="1530"/>
    </i>
    <i>
      <x v="2067"/>
    </i>
    <i>
      <x v="687"/>
    </i>
    <i>
      <x v="2090"/>
    </i>
    <i>
      <x v="132"/>
    </i>
    <i>
      <x v="563"/>
    </i>
    <i>
      <x v="69"/>
    </i>
    <i>
      <x v="1720"/>
    </i>
    <i>
      <x v="981"/>
    </i>
    <i>
      <x v="1058"/>
    </i>
    <i>
      <x v="75"/>
    </i>
    <i>
      <x v="1194"/>
    </i>
    <i>
      <x v="690"/>
    </i>
    <i>
      <x v="414"/>
    </i>
    <i>
      <x v="32"/>
    </i>
    <i>
      <x v="1"/>
    </i>
    <i>
      <x v="1112"/>
    </i>
    <i>
      <x v="50"/>
    </i>
    <i>
      <x v="1048"/>
    </i>
    <i>
      <x v="1053"/>
    </i>
    <i>
      <x v="727"/>
    </i>
    <i>
      <x v="2120"/>
    </i>
    <i>
      <x v="63"/>
    </i>
    <i>
      <x v="2127"/>
    </i>
    <i>
      <x v="1323"/>
    </i>
    <i>
      <x v="2133"/>
    </i>
    <i>
      <x v="1338"/>
    </i>
    <i>
      <x v="2166"/>
    </i>
    <i>
      <x v="592"/>
    </i>
    <i>
      <x v="2173"/>
    </i>
    <i>
      <x v="29"/>
    </i>
    <i>
      <x v="2181"/>
    </i>
    <i>
      <x v="959"/>
    </i>
    <i>
      <x v="2184"/>
    </i>
    <i>
      <x v="1942"/>
    </i>
    <i>
      <x v="2188"/>
    </i>
    <i>
      <x v="722"/>
    </i>
    <i>
      <x v="2191"/>
    </i>
    <i>
      <x v="2103"/>
    </i>
    <i>
      <x v="2198"/>
    </i>
    <i>
      <x v="1128"/>
    </i>
    <i>
      <x v="2216"/>
    </i>
    <i>
      <x v="581"/>
    </i>
    <i>
      <x v="2222"/>
    </i>
    <i>
      <x v="43"/>
    </i>
    <i>
      <x v="2225"/>
    </i>
    <i>
      <x v="524"/>
    </i>
    <i>
      <x v="2231"/>
    </i>
    <i>
      <x v="2401"/>
    </i>
    <i>
      <x v="2234"/>
    </i>
    <i>
      <x v="2388"/>
    </i>
    <i>
      <x v="2255"/>
    </i>
    <i>
      <x v="1043"/>
    </i>
    <i>
      <x v="2260"/>
    </i>
    <i>
      <x v="716"/>
    </i>
    <i>
      <x v="2430"/>
    </i>
    <i>
      <x v="434"/>
    </i>
    <i>
      <x v="56"/>
    </i>
    <i>
      <x v="813"/>
    </i>
    <i>
      <x v="1343"/>
    </i>
    <i>
      <x v="2422"/>
    </i>
    <i>
      <x v="770"/>
    </i>
    <i>
      <x v="2395"/>
    </i>
    <i>
      <x v="2412"/>
    </i>
    <i>
      <x v="1616"/>
    </i>
    <i>
      <x v="968"/>
    </i>
    <i>
      <x v="898"/>
    </i>
    <i>
      <x v="749"/>
    </i>
    <i>
      <x v="521"/>
    </i>
    <i>
      <x v="1535"/>
    </i>
    <i>
      <x v="1754"/>
    </i>
    <i>
      <x v="417"/>
    </i>
    <i>
      <x v="518"/>
    </i>
    <i>
      <x v="1084"/>
    </i>
    <i>
      <x v="1133"/>
    </i>
    <i>
      <x v="440"/>
    </i>
    <i>
      <x v="1087"/>
    </i>
    <i>
      <x v="762"/>
    </i>
    <i>
      <x v="848"/>
    </i>
    <i>
      <x v="1586"/>
    </i>
    <i>
      <x v="1592"/>
    </i>
    <i>
      <x v="1269"/>
    </i>
    <i>
      <x v="1099"/>
    </i>
    <i>
      <x v="453"/>
    </i>
    <i>
      <x v="1306"/>
    </i>
    <i>
      <x v="1039"/>
    </i>
    <i>
      <x v="894"/>
    </i>
    <i>
      <x v="1185"/>
    </i>
    <i>
      <x v="1773"/>
    </i>
    <i>
      <x v="481"/>
    </i>
    <i>
      <x v="987"/>
    </i>
    <i>
      <x v="976"/>
    </i>
    <i>
      <x v="1626"/>
    </i>
    <i>
      <x v="1764"/>
    </i>
    <i>
      <x v="1252"/>
    </i>
    <i>
      <x v="2439"/>
    </i>
    <i>
      <x v="2194"/>
    </i>
    <i>
      <x v="1174"/>
    </i>
    <i>
      <x v="2270"/>
    </i>
    <i>
      <x v="1383"/>
    </i>
    <i>
      <x v="1090"/>
    </i>
    <i>
      <x v="2162"/>
    </i>
    <i>
      <x v="1335"/>
    </i>
    <i>
      <x v="2251"/>
    </i>
    <i>
      <x v="1153"/>
    </i>
    <i>
      <x v="1149"/>
    </i>
    <i>
      <x v="470"/>
    </i>
    <i>
      <x v="1177"/>
    </i>
    <i>
      <x v="1935"/>
    </i>
    <i>
      <x v="2083"/>
    </i>
    <i>
      <x v="500"/>
    </i>
    <i>
      <x v="396"/>
    </i>
    <i>
      <x v="379"/>
    </i>
    <i>
      <x v="1274"/>
    </i>
    <i>
      <x v="1180"/>
    </i>
    <i>
      <x v="2247"/>
    </i>
    <i>
      <x v="942"/>
    </i>
    <i>
      <x v="82"/>
    </i>
    <i>
      <x v="2070"/>
    </i>
    <i>
      <x v="427"/>
    </i>
    <i>
      <x v="2442"/>
    </i>
    <i>
      <x v="1953"/>
    </i>
    <i>
      <x v="1219"/>
    </i>
    <i>
      <x v="488"/>
    </i>
    <i>
      <x v="1782"/>
    </i>
    <i>
      <x v="143"/>
    </i>
    <i>
      <x v="2279"/>
    </i>
    <i>
      <x v="271"/>
    </i>
    <i>
      <x v="1265"/>
    </i>
    <i>
      <x v="1799"/>
    </i>
    <i>
      <x v="903"/>
    </i>
    <i>
      <x v="1386"/>
    </i>
    <i>
      <x v="2031"/>
    </i>
    <i>
      <x v="313"/>
    </i>
    <i>
      <x v="135"/>
    </i>
    <i>
      <x v="2415"/>
    </i>
    <i>
      <x v="2282"/>
    </i>
    <i>
      <x v="1786"/>
    </i>
    <i>
      <x v="2384"/>
    </i>
    <i>
      <x v="1501"/>
    </i>
    <i>
      <x v="707"/>
    </i>
    <i>
      <x v="2285"/>
    </i>
    <i>
      <x v="775"/>
    </i>
    <i>
      <x v="1647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F07A3-07B3-484F-875B-0AAE77EB8A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647"/>
    </i>
    <i>
      <x v="775"/>
    </i>
    <i>
      <x v="2285"/>
    </i>
    <i>
      <x v="707"/>
    </i>
    <i>
      <x v="1501"/>
    </i>
    <i>
      <x v="2384"/>
    </i>
    <i>
      <x v="1786"/>
    </i>
    <i>
      <x v="2282"/>
    </i>
    <i>
      <x v="2415"/>
    </i>
    <i>
      <x v="135"/>
    </i>
    <i>
      <x v="313"/>
    </i>
    <i>
      <x v="2031"/>
    </i>
    <i>
      <x v="1386"/>
    </i>
    <i>
      <x v="903"/>
    </i>
    <i>
      <x v="1799"/>
    </i>
    <i>
      <x v="1265"/>
    </i>
    <i>
      <x v="271"/>
    </i>
    <i>
      <x v="2279"/>
    </i>
    <i>
      <x v="143"/>
    </i>
    <i>
      <x v="1782"/>
    </i>
    <i>
      <x v="488"/>
    </i>
    <i>
      <x v="1219"/>
    </i>
    <i>
      <x v="1953"/>
    </i>
    <i>
      <x v="2442"/>
    </i>
    <i>
      <x v="427"/>
    </i>
    <i>
      <x v="2070"/>
    </i>
    <i>
      <x v="82"/>
    </i>
    <i>
      <x v="942"/>
    </i>
    <i>
      <x v="1180"/>
    </i>
    <i>
      <x v="2247"/>
    </i>
    <i>
      <x v="1274"/>
    </i>
    <i>
      <x v="379"/>
    </i>
    <i>
      <x v="396"/>
    </i>
    <i>
      <x v="500"/>
    </i>
    <i>
      <x v="2083"/>
    </i>
    <i>
      <x v="1935"/>
    </i>
    <i>
      <x v="1177"/>
    </i>
    <i>
      <x v="470"/>
    </i>
    <i>
      <x v="1149"/>
    </i>
    <i>
      <x v="1153"/>
    </i>
    <i>
      <x v="2251"/>
    </i>
    <i>
      <x v="1335"/>
    </i>
    <i>
      <x v="2162"/>
    </i>
    <i>
      <x v="1090"/>
    </i>
    <i>
      <x v="1383"/>
    </i>
    <i>
      <x v="2270"/>
    </i>
    <i>
      <x v="1174"/>
    </i>
    <i>
      <x v="2194"/>
    </i>
    <i>
      <x v="2439"/>
    </i>
    <i>
      <x v="1252"/>
    </i>
    <i>
      <x v="1764"/>
    </i>
    <i>
      <x v="1626"/>
    </i>
    <i>
      <x v="976"/>
    </i>
    <i>
      <x v="987"/>
    </i>
    <i>
      <x v="481"/>
    </i>
    <i>
      <x v="1773"/>
    </i>
    <i>
      <x v="1185"/>
    </i>
    <i>
      <x v="894"/>
    </i>
    <i>
      <x v="1039"/>
    </i>
    <i>
      <x v="1306"/>
    </i>
    <i>
      <x v="453"/>
    </i>
    <i>
      <x v="1099"/>
    </i>
    <i>
      <x v="1269"/>
    </i>
    <i>
      <x v="1592"/>
    </i>
    <i>
      <x v="1586"/>
    </i>
    <i>
      <x v="848"/>
    </i>
    <i>
      <x v="762"/>
    </i>
    <i>
      <x v="1087"/>
    </i>
    <i>
      <x v="440"/>
    </i>
    <i>
      <x v="1133"/>
    </i>
    <i>
      <x v="1084"/>
    </i>
    <i>
      <x v="518"/>
    </i>
    <i>
      <x v="417"/>
    </i>
    <i>
      <x v="1754"/>
    </i>
    <i>
      <x v="1535"/>
    </i>
    <i>
      <x v="521"/>
    </i>
    <i>
      <x v="749"/>
    </i>
    <i>
      <x v="898"/>
    </i>
    <i>
      <x v="968"/>
    </i>
    <i>
      <x v="1616"/>
    </i>
    <i>
      <x v="2412"/>
    </i>
    <i>
      <x v="2395"/>
    </i>
    <i>
      <x v="770"/>
    </i>
    <i>
      <x v="2422"/>
    </i>
    <i>
      <x v="1343"/>
    </i>
    <i>
      <x v="813"/>
    </i>
    <i>
      <x v="56"/>
    </i>
    <i>
      <x v="434"/>
    </i>
    <i>
      <x v="2430"/>
    </i>
    <i>
      <x v="1043"/>
    </i>
    <i>
      <x v="2260"/>
    </i>
    <i>
      <x v="716"/>
    </i>
    <i>
      <x v="2225"/>
    </i>
    <i>
      <x v="959"/>
    </i>
    <i>
      <x v="2388"/>
    </i>
    <i>
      <x v="50"/>
    </i>
    <i>
      <x v="2188"/>
    </i>
    <i>
      <x v="1112"/>
    </i>
    <i>
      <x v="2216"/>
    </i>
    <i>
      <x v="727"/>
    </i>
    <i>
      <x v="2234"/>
    </i>
    <i>
      <x v="1053"/>
    </i>
    <i>
      <x v="1323"/>
    </i>
    <i>
      <x v="1128"/>
    </i>
    <i>
      <x v="2401"/>
    </i>
    <i>
      <x v="1942"/>
    </i>
    <i>
      <x v="2184"/>
    </i>
    <i>
      <x v="722"/>
    </i>
    <i>
      <x v="2191"/>
    </i>
    <i>
      <x v="29"/>
    </i>
    <i>
      <x v="2198"/>
    </i>
    <i>
      <x v="63"/>
    </i>
    <i>
      <x v="2222"/>
    </i>
    <i>
      <x v="2103"/>
    </i>
    <i>
      <x v="2231"/>
    </i>
    <i>
      <x v="2120"/>
    </i>
    <i>
      <x v="2255"/>
    </i>
    <i>
      <x v="2127"/>
    </i>
    <i>
      <x v="1048"/>
    </i>
    <i>
      <x v="2133"/>
    </i>
    <i>
      <x v="524"/>
    </i>
    <i>
      <x v="592"/>
    </i>
    <i>
      <x v="581"/>
    </i>
    <i>
      <x v="43"/>
    </i>
    <i>
      <x v="1338"/>
    </i>
    <i>
      <x v="2173"/>
    </i>
    <i>
      <x v="2181"/>
    </i>
    <i>
      <x v="2166"/>
    </i>
    <i>
      <x v="1"/>
    </i>
    <i>
      <x v="32"/>
    </i>
    <i>
      <x v="414"/>
    </i>
    <i>
      <x v="690"/>
    </i>
    <i>
      <x v="1194"/>
    </i>
    <i>
      <x v="1058"/>
    </i>
    <i>
      <x v="75"/>
    </i>
    <i>
      <x v="981"/>
    </i>
    <i>
      <x v="1720"/>
    </i>
    <i>
      <x v="563"/>
    </i>
    <i>
      <x v="69"/>
    </i>
    <i>
      <x v="132"/>
    </i>
    <i>
      <x v="2090"/>
    </i>
    <i>
      <x v="687"/>
    </i>
    <i>
      <x v="2067"/>
    </i>
    <i>
      <x v="1530"/>
    </i>
    <i>
      <x v="2434"/>
    </i>
    <i>
      <x v="2086"/>
    </i>
    <i>
      <x v="549"/>
    </i>
    <i>
      <x v="570"/>
    </i>
    <i>
      <x v="753"/>
    </i>
    <i>
      <x v="1103"/>
    </i>
    <i>
      <x v="617"/>
    </i>
    <i>
      <x v="1278"/>
    </i>
    <i>
      <x v="1538"/>
    </i>
    <i>
      <x v="1146"/>
    </i>
    <i>
      <x v="629"/>
    </i>
    <i>
      <x v="2115"/>
    </i>
    <i>
      <x v="745"/>
    </i>
    <i>
      <x v="1768"/>
    </i>
    <i>
      <x v="2427"/>
    </i>
    <i>
      <x v="991"/>
    </i>
    <i>
      <x v="1950"/>
    </i>
    <i>
      <x v="732"/>
    </i>
    <i>
      <x v="817"/>
    </i>
    <i>
      <x v="2470"/>
    </i>
    <i>
      <x v="638"/>
    </i>
    <i>
      <x v="955"/>
    </i>
    <i>
      <x v="544"/>
    </i>
    <i>
      <x v="1761"/>
    </i>
    <i>
      <x v="678"/>
    </i>
    <i>
      <x v="1329"/>
    </i>
    <i>
      <x v="767"/>
    </i>
    <i>
      <x v="1287"/>
    </i>
    <i>
      <x v="2110"/>
    </i>
    <i>
      <x v="1018"/>
    </i>
    <i>
      <x v="1505"/>
    </i>
    <i>
      <x v="534"/>
    </i>
    <i>
      <x v="996"/>
    </i>
    <i>
      <x v="93"/>
    </i>
    <i>
      <x v="853"/>
    </i>
    <i>
      <x v="611"/>
    </i>
    <i>
      <x v="279"/>
    </i>
    <i>
      <x v="647"/>
    </i>
    <i>
      <x v="1552"/>
    </i>
    <i>
      <x v="1067"/>
    </i>
    <i>
      <x v="1022"/>
    </i>
    <i>
      <x v="444"/>
    </i>
    <i>
      <x v="1959"/>
    </i>
    <i>
      <x v="1931"/>
    </i>
    <i>
      <x v="1731"/>
    </i>
    <i>
      <x v="698"/>
    </i>
    <i>
      <x v="124"/>
    </i>
    <i>
      <x v="1990"/>
    </i>
    <i>
      <x v="984"/>
    </i>
    <i>
      <x v="1938"/>
    </i>
    <i>
      <x v="290"/>
    </i>
    <i>
      <x v="1629"/>
    </i>
    <i>
      <x v="877"/>
    </i>
    <i>
      <x v="1542"/>
    </i>
    <i>
      <x v="205"/>
    </i>
    <i>
      <x v="1518"/>
    </i>
    <i>
      <x v="2405"/>
    </i>
    <i>
      <x v="2264"/>
    </i>
    <i>
      <x v="1804"/>
    </i>
    <i>
      <x v="1403"/>
    </i>
    <i>
      <x v="702"/>
    </i>
    <i>
      <x v="437"/>
    </i>
    <i>
      <x v="2381"/>
    </i>
    <i>
      <x v="146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1DF3-A15D-F74B-8D54-250B05DBA84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:O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402"/>
    </i>
    <i>
      <x v="1801"/>
    </i>
    <i>
      <x v="2448"/>
    </i>
    <i>
      <x v="2138"/>
    </i>
    <i>
      <x v="1396"/>
    </i>
    <i>
      <x v="1188"/>
    </i>
    <i>
      <x v="50"/>
    </i>
    <i>
      <x v="32"/>
    </i>
    <i>
      <x v="56"/>
    </i>
    <i>
      <x v="2252"/>
    </i>
    <i>
      <x v="63"/>
    </i>
    <i>
      <x v="1291"/>
    </i>
    <i>
      <x v="69"/>
    </i>
    <i>
      <x v="1555"/>
    </i>
    <i>
      <x v="75"/>
    </i>
    <i>
      <x v="2007"/>
    </i>
    <i>
      <x v="82"/>
    </i>
    <i>
      <x v="2206"/>
    </i>
    <i>
      <x v="93"/>
    </i>
    <i>
      <x v="43"/>
    </i>
    <i>
      <x v="2303"/>
    </i>
    <i>
      <x v="124"/>
    </i>
    <i>
      <x v="1268"/>
    </i>
    <i>
      <x v="132"/>
    </i>
    <i>
      <x v="1342"/>
    </i>
    <i>
      <x v="135"/>
    </i>
    <i>
      <x v="1531"/>
    </i>
    <i>
      <x v="143"/>
    </i>
    <i>
      <x v="1639"/>
    </i>
    <i>
      <x v="146"/>
    </i>
    <i>
      <x v="1955"/>
    </i>
    <i>
      <x v="205"/>
    </i>
    <i>
      <x v="2107"/>
    </i>
    <i>
      <x v="271"/>
    </i>
    <i>
      <x v="2184"/>
    </i>
    <i>
      <x v="279"/>
    </i>
    <i>
      <x v="2234"/>
    </i>
    <i>
      <x v="290"/>
    </i>
    <i>
      <x v="2278"/>
    </i>
    <i>
      <x v="313"/>
    </i>
    <i>
      <x v="2413"/>
    </i>
    <i>
      <x v="379"/>
    </i>
    <i>
      <x v="2470"/>
    </i>
    <i>
      <x v="396"/>
    </i>
    <i>
      <x v="1222"/>
    </i>
    <i>
      <x v="414"/>
    </i>
    <i>
      <x v="1277"/>
    </i>
    <i>
      <x v="427"/>
    </i>
    <i>
      <x v="1329"/>
    </i>
    <i>
      <x v="437"/>
    </i>
    <i>
      <x v="1350"/>
    </i>
    <i>
      <x v="440"/>
    </i>
    <i>
      <x v="1514"/>
    </i>
    <i>
      <x v="453"/>
    </i>
    <i>
      <x v="1548"/>
    </i>
    <i>
      <x v="470"/>
    </i>
    <i>
      <x v="1605"/>
    </i>
    <i>
      <x v="488"/>
    </i>
    <i>
      <x v="1778"/>
    </i>
    <i>
      <x v="500"/>
    </i>
    <i>
      <x v="1948"/>
    </i>
    <i>
      <x v="521"/>
    </i>
    <i>
      <x v="1967"/>
    </i>
    <i>
      <x v="524"/>
    </i>
    <i>
      <x v="2087"/>
    </i>
    <i>
      <x v="534"/>
    </i>
    <i>
      <x v="2128"/>
    </i>
    <i>
      <x v="545"/>
    </i>
    <i>
      <x v="2151"/>
    </i>
    <i>
      <x v="550"/>
    </i>
    <i>
      <x v="2199"/>
    </i>
    <i>
      <x v="564"/>
    </i>
    <i>
      <x v="2212"/>
    </i>
    <i>
      <x v="572"/>
    </i>
    <i>
      <x v="2243"/>
    </i>
    <i>
      <x v="583"/>
    </i>
    <i>
      <x v="2269"/>
    </i>
    <i>
      <x v="594"/>
    </i>
    <i>
      <x v="2297"/>
    </i>
    <i>
      <x v="613"/>
    </i>
    <i>
      <x v="29"/>
    </i>
    <i>
      <x v="619"/>
    </i>
    <i>
      <x v="2423"/>
    </i>
    <i>
      <x v="631"/>
    </i>
    <i>
      <x v="2457"/>
    </i>
    <i>
      <x v="640"/>
    </i>
    <i>
      <x v="1183"/>
    </i>
    <i>
      <x v="649"/>
    </i>
    <i>
      <x v="1197"/>
    </i>
    <i>
      <x v="681"/>
    </i>
    <i>
      <x v="1255"/>
    </i>
    <i>
      <x v="693"/>
    </i>
    <i>
      <x v="1272"/>
    </i>
    <i>
      <x v="705"/>
    </i>
    <i>
      <x v="1281"/>
    </i>
    <i>
      <x v="710"/>
    </i>
    <i>
      <x v="1311"/>
    </i>
    <i>
      <x v="719"/>
    </i>
    <i>
      <x v="1335"/>
    </i>
    <i>
      <x v="725"/>
    </i>
    <i>
      <x v="1345"/>
    </i>
    <i>
      <x v="730"/>
    </i>
    <i>
      <x v="1393"/>
    </i>
    <i>
      <x v="735"/>
    </i>
    <i>
      <x v="1414"/>
    </i>
    <i>
      <x v="748"/>
    </i>
    <i>
      <x v="1518"/>
    </i>
    <i>
      <x v="756"/>
    </i>
    <i>
      <x v="1543"/>
    </i>
    <i>
      <x v="765"/>
    </i>
    <i>
      <x v="1551"/>
    </i>
    <i>
      <x v="773"/>
    </i>
    <i>
      <x v="1599"/>
    </i>
    <i>
      <x v="778"/>
    </i>
    <i>
      <x v="1629"/>
    </i>
    <i>
      <x v="816"/>
    </i>
    <i>
      <x v="1768"/>
    </i>
    <i>
      <x v="820"/>
    </i>
    <i>
      <x v="1782"/>
    </i>
    <i>
      <x v="1787"/>
    </i>
    <i>
      <x v="1815"/>
    </i>
    <i>
      <x v="851"/>
    </i>
    <i>
      <x v="1820"/>
    </i>
    <i>
      <x v="856"/>
    </i>
    <i>
      <x v="1952"/>
    </i>
    <i>
      <x v="880"/>
    </i>
    <i>
      <x v="1959"/>
    </i>
    <i>
      <x v="901"/>
    </i>
    <i>
      <x v="1970"/>
    </i>
    <i>
      <x v="962"/>
    </i>
    <i>
      <x v="2048"/>
    </i>
    <i>
      <x v="971"/>
    </i>
    <i>
      <x v="2100"/>
    </i>
    <i>
      <x v="979"/>
    </i>
    <i>
      <x v="2121"/>
    </i>
    <i>
      <x v="990"/>
    </i>
    <i>
      <x v="2133"/>
    </i>
    <i>
      <x v="994"/>
    </i>
    <i>
      <x v="2145"/>
    </i>
    <i>
      <x v="999"/>
    </i>
    <i>
      <x v="2180"/>
    </i>
    <i>
      <x v="1021"/>
    </i>
    <i>
      <x v="2191"/>
    </i>
    <i>
      <x v="1042"/>
    </i>
    <i>
      <x v="2202"/>
    </i>
    <i>
      <x v="1046"/>
    </i>
    <i>
      <x v="2209"/>
    </i>
    <i>
      <x v="1051"/>
    </i>
    <i>
      <x v="2216"/>
    </i>
    <i>
      <x v="1056"/>
    </i>
    <i>
      <x v="2240"/>
    </i>
    <i>
      <x v="1061"/>
    </i>
    <i>
      <x v="2249"/>
    </i>
    <i>
      <x v="1070"/>
    </i>
    <i>
      <x v="2265"/>
    </i>
    <i>
      <x v="1087"/>
    </i>
    <i>
      <x v="2273"/>
    </i>
    <i>
      <x v="1093"/>
    </i>
    <i>
      <x v="2288"/>
    </i>
    <i>
      <x v="1102"/>
    </i>
    <i>
      <x v="2300"/>
    </i>
    <i>
      <x v="1106"/>
    </i>
    <i>
      <x v="2399"/>
    </i>
    <i>
      <x v="1115"/>
    </i>
    <i>
      <x v="2406"/>
    </i>
    <i>
      <x v="1131"/>
    </i>
    <i>
      <x v="2419"/>
    </i>
    <i>
      <x v="1136"/>
    </i>
    <i>
      <x v="2430"/>
    </i>
    <i>
      <x v="1152"/>
    </i>
    <i>
      <x v="2452"/>
    </i>
    <i>
      <x v="1"/>
    </i>
    <i>
      <x v="2460"/>
    </i>
    <i>
      <x v="1177"/>
    </i>
    <i>
      <x v="1180"/>
    </i>
    <i>
      <x v="1156"/>
    </i>
    <i>
      <x v="1775"/>
    </i>
    <i>
      <x v="1149"/>
    </i>
    <i>
      <x v="518"/>
    </i>
    <i>
      <x v="1733"/>
    </i>
    <i>
      <x v="770"/>
    </i>
    <i>
      <x v="1025"/>
    </i>
    <i>
      <x v="897"/>
    </i>
    <i>
      <x v="1744"/>
    </i>
    <i>
      <x v="945"/>
    </i>
    <i>
      <x v="2084"/>
    </i>
    <i>
      <x v="2445"/>
    </i>
    <i>
      <x v="1796"/>
    </i>
    <i>
      <x v="958"/>
    </i>
    <i>
      <x v="1660"/>
    </i>
    <i>
      <x v="984"/>
    </i>
    <i>
      <x v="417"/>
    </i>
    <i>
      <x v="2103"/>
    </i>
    <i>
      <x v="434"/>
    </i>
    <i>
      <x v="2440"/>
    </i>
    <i>
      <x v="690"/>
    </i>
    <i>
      <x v="987"/>
    </i>
    <i>
      <x v="752"/>
    </i>
    <i>
      <x v="1976"/>
    </i>
    <i>
      <x v="444"/>
    </i>
    <i>
      <x v="1642"/>
    </i>
    <i>
      <x v="2433"/>
    </i>
    <i>
      <x v="1090"/>
    </i>
    <i>
      <x v="1565"/>
    </i>
    <i>
      <x v="906"/>
    </i>
    <i>
      <x v="701"/>
    </i>
    <i>
      <x v="481"/>
    </i>
    <i>
      <x v="228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B2BF-D823-8B42-8FEA-6580D040569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282"/>
    </i>
    <i>
      <x v="481"/>
    </i>
    <i>
      <x v="701"/>
    </i>
    <i>
      <x v="906"/>
    </i>
    <i>
      <x v="1565"/>
    </i>
    <i>
      <x v="1090"/>
    </i>
    <i>
      <x v="2433"/>
    </i>
    <i>
      <x v="1642"/>
    </i>
    <i>
      <x v="444"/>
    </i>
    <i>
      <x v="1976"/>
    </i>
    <i>
      <x v="752"/>
    </i>
    <i>
      <x v="987"/>
    </i>
    <i>
      <x v="690"/>
    </i>
    <i>
      <x v="2440"/>
    </i>
    <i>
      <x v="434"/>
    </i>
    <i>
      <x v="2103"/>
    </i>
    <i>
      <x v="417"/>
    </i>
    <i>
      <x v="984"/>
    </i>
    <i>
      <x v="1660"/>
    </i>
    <i>
      <x v="958"/>
    </i>
    <i>
      <x v="1796"/>
    </i>
    <i>
      <x v="2445"/>
    </i>
    <i>
      <x v="2084"/>
    </i>
    <i>
      <x v="945"/>
    </i>
    <i>
      <x v="1744"/>
    </i>
    <i>
      <x v="897"/>
    </i>
    <i>
      <x v="1025"/>
    </i>
    <i>
      <x v="770"/>
    </i>
    <i>
      <x v="1733"/>
    </i>
    <i>
      <x v="518"/>
    </i>
    <i>
      <x v="1149"/>
    </i>
    <i>
      <x v="1775"/>
    </i>
    <i>
      <x v="1156"/>
    </i>
    <i>
      <x v="1345"/>
    </i>
    <i>
      <x v="488"/>
    </i>
    <i>
      <x v="1350"/>
    </i>
    <i>
      <x v="56"/>
    </i>
    <i>
      <x v="1393"/>
    </i>
    <i>
      <x v="524"/>
    </i>
    <i>
      <x v="1396"/>
    </i>
    <i>
      <x v="545"/>
    </i>
    <i>
      <x v="1414"/>
    </i>
    <i>
      <x v="564"/>
    </i>
    <i>
      <x v="1514"/>
    </i>
    <i>
      <x v="583"/>
    </i>
    <i>
      <x v="1518"/>
    </i>
    <i>
      <x v="613"/>
    </i>
    <i>
      <x v="1531"/>
    </i>
    <i>
      <x v="631"/>
    </i>
    <i>
      <x v="1543"/>
    </i>
    <i>
      <x v="649"/>
    </i>
    <i>
      <x v="1548"/>
    </i>
    <i>
      <x v="63"/>
    </i>
    <i>
      <x v="1551"/>
    </i>
    <i>
      <x v="69"/>
    </i>
    <i>
      <x v="1555"/>
    </i>
    <i>
      <x v="710"/>
    </i>
    <i>
      <x v="290"/>
    </i>
    <i>
      <x v="725"/>
    </i>
    <i>
      <x v="1599"/>
    </i>
    <i>
      <x v="735"/>
    </i>
    <i>
      <x v="1605"/>
    </i>
    <i>
      <x v="75"/>
    </i>
    <i>
      <x v="1629"/>
    </i>
    <i>
      <x v="765"/>
    </i>
    <i>
      <x v="1639"/>
    </i>
    <i>
      <x v="773"/>
    </i>
    <i>
      <x v="313"/>
    </i>
    <i>
      <x v="816"/>
    </i>
    <i>
      <x v="379"/>
    </i>
    <i>
      <x v="851"/>
    </i>
    <i>
      <x v="396"/>
    </i>
    <i>
      <x v="880"/>
    </i>
    <i>
      <x v="414"/>
    </i>
    <i>
      <x v="901"/>
    </i>
    <i>
      <x v="1768"/>
    </i>
    <i>
      <x v="132"/>
    </i>
    <i>
      <x v="29"/>
    </i>
    <i>
      <x v="962"/>
    </i>
    <i>
      <x v="1778"/>
    </i>
    <i>
      <x v="979"/>
    </i>
    <i>
      <x v="1782"/>
    </i>
    <i>
      <x v="146"/>
    </i>
    <i>
      <x v="1787"/>
    </i>
    <i>
      <x v="994"/>
    </i>
    <i>
      <x v="427"/>
    </i>
    <i>
      <x v="1021"/>
    </i>
    <i>
      <x v="205"/>
    </i>
    <i>
      <x v="2470"/>
    </i>
    <i>
      <x v="1042"/>
    </i>
    <i>
      <x v="1051"/>
    </i>
    <i>
      <x v="1815"/>
    </i>
    <i>
      <x v="1061"/>
    </i>
    <i>
      <x v="1820"/>
    </i>
    <i>
      <x v="1087"/>
    </i>
    <i>
      <x v="1948"/>
    </i>
    <i>
      <x v="1093"/>
    </i>
    <i>
      <x v="1952"/>
    </i>
    <i>
      <x v="1106"/>
    </i>
    <i>
      <x v="1955"/>
    </i>
    <i>
      <x v="1131"/>
    </i>
    <i>
      <x v="1959"/>
    </i>
    <i>
      <x v="279"/>
    </i>
    <i>
      <x v="1967"/>
    </i>
    <i>
      <x v="1"/>
    </i>
    <i>
      <x v="1970"/>
    </i>
    <i>
      <x v="1180"/>
    </i>
    <i>
      <x v="32"/>
    </i>
    <i>
      <x v="1188"/>
    </i>
    <i>
      <x v="2007"/>
    </i>
    <i>
      <x v="1222"/>
    </i>
    <i>
      <x v="2048"/>
    </i>
    <i>
      <x v="1268"/>
    </i>
    <i>
      <x v="437"/>
    </i>
    <i>
      <x v="1277"/>
    </i>
    <i>
      <x v="2087"/>
    </i>
    <i>
      <x v="1291"/>
    </i>
    <i>
      <x v="2100"/>
    </i>
    <i>
      <x v="1329"/>
    </i>
    <i>
      <x v="440"/>
    </i>
    <i>
      <x v="1342"/>
    </i>
    <i>
      <x v="2107"/>
    </i>
    <i>
      <x v="521"/>
    </i>
    <i>
      <x v="2121"/>
    </i>
    <i>
      <x v="550"/>
    </i>
    <i>
      <x v="2128"/>
    </i>
    <i>
      <x v="594"/>
    </i>
    <i>
      <x v="2133"/>
    </i>
    <i>
      <x v="640"/>
    </i>
    <i>
      <x v="2138"/>
    </i>
    <i>
      <x v="693"/>
    </i>
    <i>
      <x v="2145"/>
    </i>
    <i>
      <x v="719"/>
    </i>
    <i>
      <x v="2151"/>
    </i>
    <i>
      <x v="748"/>
    </i>
    <i>
      <x v="2180"/>
    </i>
    <i>
      <x v="82"/>
    </i>
    <i>
      <x v="2184"/>
    </i>
    <i>
      <x v="820"/>
    </i>
    <i>
      <x v="2191"/>
    </i>
    <i>
      <x v="93"/>
    </i>
    <i>
      <x v="2199"/>
    </i>
    <i>
      <x v="135"/>
    </i>
    <i>
      <x v="2202"/>
    </i>
    <i>
      <x v="143"/>
    </i>
    <i>
      <x v="2206"/>
    </i>
    <i>
      <x v="999"/>
    </i>
    <i>
      <x v="2209"/>
    </i>
    <i>
      <x v="1056"/>
    </i>
    <i>
      <x v="2212"/>
    </i>
    <i>
      <x v="271"/>
    </i>
    <i>
      <x v="2216"/>
    </i>
    <i>
      <x v="1115"/>
    </i>
    <i>
      <x v="2234"/>
    </i>
    <i>
      <x v="1152"/>
    </i>
    <i>
      <x v="2240"/>
    </i>
    <i>
      <x v="1183"/>
    </i>
    <i>
      <x v="2243"/>
    </i>
    <i>
      <x v="1255"/>
    </i>
    <i>
      <x v="2249"/>
    </i>
    <i>
      <x v="1281"/>
    </i>
    <i>
      <x v="2252"/>
    </i>
    <i>
      <x v="1335"/>
    </i>
    <i>
      <x v="2265"/>
    </i>
    <i>
      <x v="534"/>
    </i>
    <i>
      <x v="2269"/>
    </i>
    <i>
      <x v="619"/>
    </i>
    <i>
      <x v="2273"/>
    </i>
    <i>
      <x v="705"/>
    </i>
    <i>
      <x v="2278"/>
    </i>
    <i>
      <x v="756"/>
    </i>
    <i>
      <x v="43"/>
    </i>
    <i>
      <x v="856"/>
    </i>
    <i>
      <x v="2288"/>
    </i>
    <i>
      <x v="971"/>
    </i>
    <i>
      <x v="2297"/>
    </i>
    <i>
      <x v="1046"/>
    </i>
    <i>
      <x v="2300"/>
    </i>
    <i>
      <x v="1102"/>
    </i>
    <i>
      <x v="2303"/>
    </i>
    <i>
      <x v="1177"/>
    </i>
    <i>
      <x v="2399"/>
    </i>
    <i>
      <x v="1272"/>
    </i>
    <i>
      <x v="2406"/>
    </i>
    <i>
      <x v="500"/>
    </i>
    <i>
      <x v="2413"/>
    </i>
    <i>
      <x v="681"/>
    </i>
    <i>
      <x v="2419"/>
    </i>
    <i>
      <x v="778"/>
    </i>
    <i>
      <x v="2423"/>
    </i>
    <i>
      <x v="990"/>
    </i>
    <i>
      <x v="2430"/>
    </i>
    <i>
      <x v="1136"/>
    </i>
    <i>
      <x v="453"/>
    </i>
    <i>
      <x v="1311"/>
    </i>
    <i>
      <x v="470"/>
    </i>
    <i>
      <x v="730"/>
    </i>
    <i>
      <x v="50"/>
    </i>
    <i>
      <x v="1070"/>
    </i>
    <i>
      <x v="1197"/>
    </i>
    <i>
      <x v="572"/>
    </i>
    <i>
      <x v="124"/>
    </i>
    <i>
      <x v="2452"/>
    </i>
    <i>
      <x v="2460"/>
    </i>
    <i>
      <x v="2457"/>
    </i>
    <i>
      <x v="2448"/>
    </i>
    <i>
      <x v="1801"/>
    </i>
    <i>
      <x v="240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5EEA8C-D9A6-6347-8682-67417C5C36A0}" name="Table1" displayName="Table1" ref="A1:AG7888" totalsRowCount="1" headerRowDxfId="95" headerRowBorderDxfId="94" tableBorderDxfId="93">
  <autoFilter ref="A1:AG7887" xr:uid="{395EEA8C-D9A6-6347-8682-67417C5C36A0}"/>
  <tableColumns count="33">
    <tableColumn id="1" xr3:uid="{D207692C-13A6-7E4D-AFA1-404CB2A1E94E}" name="CONTROL" dataDxfId="92" totalsRowDxfId="91"/>
    <tableColumn id="2" xr3:uid="{6323D73D-CEB7-AF49-9B22-0F322A0C0EDC}" name="# CHEQUE" dataDxfId="90" totalsRowDxfId="89"/>
    <tableColumn id="3" xr3:uid="{F5E5FE86-E157-5D43-9437-E5FCBDFF625B}" name="PARTIDA PRESUPUESTAL" dataDxfId="88" totalsRowDxfId="87"/>
    <tableColumn id="4" xr3:uid="{AF55EEF2-ED55-C84A-8E16-583753D70D96}" name="UIDD/FOLIO FISCAL" dataDxfId="86" totalsRowDxfId="85"/>
    <tableColumn id="5" xr3:uid="{B9882E63-F754-B346-8C7C-7ADD58B83F99}" name="DIRECCION" dataDxfId="84" totalsRowDxfId="83"/>
    <tableColumn id="6" xr3:uid="{70D349A8-F01A-134A-9E5B-358E732E1C0A}" name="REGIMEN FISCAL" dataDxfId="82" totalsRowDxfId="81"/>
    <tableColumn id="7" xr3:uid="{2D6E7FC8-00BA-0C41-823D-9DBD2278CFA9}" name="NOMBRE REGIMEN FISCAL" dataDxfId="80" totalsRowDxfId="79"/>
    <tableColumn id="8" xr3:uid="{9DEC7355-109D-914F-BCA4-A82692D3E384}" name="RFC" dataDxfId="78" totalsRowDxfId="77"/>
    <tableColumn id="9" xr3:uid="{6F100EB5-818D-4946-9C99-DEFB5054F20E}" name="STATUS" dataDxfId="76" totalsRowDxfId="75"/>
    <tableColumn id="10" xr3:uid="{810FBC73-39AC-F543-AE62-6D31A0358DAC}" name="FECHA DE RECIBIDO" dataDxfId="74" totalsRowDxfId="73"/>
    <tableColumn id="11" xr3:uid="{66271E95-232E-8F49-8BA6-E7EB66A235C8}" name="SEMANA QUE SE PAGA" dataDxfId="72" totalsRowDxfId="71"/>
    <tableColumn id="12" xr3:uid="{77CBED72-4FEF-FD4D-A8D0-94BD00AA4808}" name="TIPO" dataDxfId="70" totalsRowDxfId="69"/>
    <tableColumn id="13" xr3:uid="{2B7EAC52-BD6B-7D4B-8F0C-01C064E6D96D}" name="NOMBRE DEL PROVEEDOR" dataDxfId="68" totalsRowDxfId="67"/>
    <tableColumn id="14" xr3:uid="{5B5F7847-64D2-9F45-83A9-FD50583C2BA5}" name="CORREO" dataDxfId="66" totalsRowDxfId="65"/>
    <tableColumn id="15" xr3:uid="{07C0237F-5C84-3D47-A433-C84FAFBBED0D}" name="CONCEPTO" dataDxfId="64" totalsRowDxfId="63"/>
    <tableColumn id="16" xr3:uid="{1A41E26A-24EB-9340-8CE1-F270CCFCE965}" name="TIPO2" dataDxfId="62" totalsRowDxfId="61"/>
    <tableColumn id="17" xr3:uid="{01A819C2-6BB5-7141-B1E8-76F80BC93581}" name="SUBTOTAL" dataDxfId="60" totalsRowDxfId="59"/>
    <tableColumn id="18" xr3:uid="{188F30CF-A36A-4D4A-BB58-F5329ED87263}" name="IVA" dataDxfId="58" totalsRowDxfId="57"/>
    <tableColumn id="19" xr3:uid="{40C12C49-30DB-DB4B-AB0E-E01F71B99265}" name="OTROS IMPUESTOS" dataDxfId="56" totalsRowDxfId="55"/>
    <tableColumn id="20" xr3:uid="{21E236D1-D87D-834A-B6B4-1E806F811D06}" name="RET IVA" dataDxfId="54" totalsRowDxfId="53">
      <calculatedColumnFormula>+Table1[[#This Row],[CONCEPTO]]+Table1[[#This Row],[TIPO2]]-Table1[[#This Row],[IVA]]-Table1[[#This Row],[OTROS IMPUESTOS]]</calculatedColumnFormula>
    </tableColumn>
    <tableColumn id="21" xr3:uid="{E2AAD167-A725-2A43-B074-84E4399C119C}" name="RET ISR" dataDxfId="52" totalsRowDxfId="51"/>
    <tableColumn id="22" xr3:uid="{9805EA80-303A-4147-8E0E-0191E53F3102}" name="TOTAL" dataDxfId="50" totalsRowDxfId="49">
      <calculatedColumnFormula>+Table1[[#This Row],[SUBTOTAL]]+Table1[[#This Row],[IVA]]-Table1[[#This Row],[RET IVA]]-Table1[[#This Row],[RET ISR]]</calculatedColumnFormula>
    </tableColumn>
    <tableColumn id="23" xr3:uid="{F30A7B96-0443-FD4F-9E52-DD465FF9BC56}" name="CUENTA CLAVE" dataDxfId="48" totalsRowDxfId="47"/>
    <tableColumn id="24" xr3:uid="{ACA4C898-497D-CD47-A2DC-550D9C1E4DFB}" name="BANCO" dataDxfId="46" totalsRowDxfId="45"/>
    <tableColumn id="25" xr3:uid="{4A31DEE1-90E7-874C-9904-12E2D35F3022}" name="ESTATUS" dataDxfId="44" totalsRowDxfId="43"/>
    <tableColumn id="26" xr3:uid="{286A7F58-7509-FA44-A8F4-22B3361751C8}" name="FECHA DE PAGO " dataDxfId="42" totalsRowDxfId="41">
      <calculatedColumnFormula>+Table1[[#This Row],[CONCEPTO]]+Table1[[#This Row],[TIPO2]]-Table1[[#This Row],[IVA]]-Table1[[#This Row],[OTROS IMPUESTOS]]-Table1[[#This Row],[RET IVA]]</calculatedColumnFormula>
    </tableColumn>
    <tableColumn id="27" xr3:uid="{307F44F2-FE88-9F49-8B0F-DB555AE7ABFC}" name="NOTAS" dataDxfId="40"/>
    <tableColumn id="28" xr3:uid="{2E7343A1-367F-AB4D-82FD-E758A1EC36FB}" name="Valida" dataDxfId="39">
      <calculatedColumnFormula>IF(Table1[[#This Row],[TIPO2]]="costo", VLOOKUP(Table1[[#This Row],[PARTIDA PRESUPUESTAL]],'Cost Report'!G:G,1,0),"Balance")</calculatedColumnFormula>
    </tableColumn>
    <tableColumn id="29" xr3:uid="{71055FD4-8D03-0346-A20D-BBD0EE2AEACE}" name="MES"/>
    <tableColumn id="30" xr3:uid="{E6C38869-5FFC-CB43-92B5-15506C210A17}" name="Column1" dataDxfId="38" totalsRowDxfId="37">
      <calculatedColumnFormula>+Table1[[#This Row],[SUBTOTAL]]+Table1[[#This Row],[IVA]]-Table1[[#This Row],[RET IVA]]-Table1[[#This Row],[RET ISR]]-Table1[[#This Row],[TOTAL]]</calculatedColumnFormula>
    </tableColumn>
    <tableColumn id="31" xr3:uid="{445C0C05-DD35-784B-8DFC-C5FACD3011ED}" name="SUBTOTAL2"/>
    <tableColumn id="32" xr3:uid="{6C2173E1-C928-D34D-85D6-3287923C41EA}" name="IVA3"/>
    <tableColumn id="33" xr3:uid="{36D8A10B-A7D5-564B-AD70-FE9E618D794D}" name="RET IVA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03BDEB9-D50E-4FD1-B9B0-D7B2406C083F}">
  <we:reference id="8bc018e3-f345-40d4-8f1d-97951765d531" version="3.0.0.0" store="EXCatalog" storeType="EXCatalog"/>
  <we:alternateReferences>
    <we:reference id="WA104380862" version="3.0.0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C536-7B24-EA49-A744-2FCAA6A05696}">
  <sheetPr codeName="Sheet9">
    <tabColor theme="3"/>
  </sheetPr>
  <dimension ref="A1:S244"/>
  <sheetViews>
    <sheetView showGridLines="0" topLeftCell="A4" zoomScale="55" zoomScaleNormal="55" workbookViewId="0">
      <selection activeCell="D17" sqref="D17"/>
    </sheetView>
  </sheetViews>
  <sheetFormatPr baseColWidth="10" defaultColWidth="10.796875" defaultRowHeight="15.6"/>
  <cols>
    <col min="1" max="1" width="3.69921875" customWidth="1"/>
    <col min="2" max="2" width="17" customWidth="1"/>
    <col min="3" max="10" width="18" customWidth="1"/>
    <col min="11" max="11" width="15.796875" customWidth="1"/>
    <col min="12" max="15" width="15.69921875" customWidth="1"/>
    <col min="16" max="16" width="10.796875" customWidth="1"/>
  </cols>
  <sheetData>
    <row r="1" spans="1:19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ht="23.4">
      <c r="A4" s="10"/>
      <c r="B4" s="10"/>
      <c r="C4" s="10"/>
      <c r="D4" s="327"/>
      <c r="E4" s="327"/>
      <c r="F4" s="10"/>
      <c r="G4" s="10"/>
      <c r="H4" s="10"/>
      <c r="I4" s="10"/>
      <c r="J4" s="10"/>
      <c r="K4" s="10"/>
      <c r="L4" s="10"/>
      <c r="M4" s="30"/>
      <c r="N4" s="10"/>
      <c r="O4" s="10"/>
      <c r="P4" s="10"/>
      <c r="Q4" s="10"/>
      <c r="R4" s="10"/>
      <c r="S4" s="10"/>
    </row>
    <row r="5" spans="1:19" ht="23.4">
      <c r="A5" s="10"/>
      <c r="B5" s="10"/>
      <c r="C5" s="10"/>
      <c r="D5" s="12" t="s">
        <v>22</v>
      </c>
      <c r="E5" s="12"/>
      <c r="F5" s="12"/>
      <c r="G5" s="10"/>
      <c r="H5" s="10"/>
      <c r="I5" s="10"/>
      <c r="J5" s="10"/>
      <c r="K5" s="10"/>
      <c r="L5" s="10"/>
      <c r="M5" s="30"/>
      <c r="N5" s="10"/>
      <c r="O5" s="10"/>
      <c r="P5" s="10"/>
      <c r="Q5" s="10"/>
      <c r="R5" s="10"/>
      <c r="S5" s="10"/>
    </row>
    <row r="6" spans="1:19" ht="18">
      <c r="A6" s="10"/>
      <c r="B6" s="10"/>
      <c r="C6" s="10"/>
      <c r="D6" s="13" t="s">
        <v>59</v>
      </c>
      <c r="E6" s="25" t="s">
        <v>62</v>
      </c>
      <c r="F6" s="13"/>
      <c r="G6" s="10"/>
      <c r="H6" s="10"/>
      <c r="I6" s="32">
        <f>+E19/G19</f>
        <v>1</v>
      </c>
      <c r="J6" s="32">
        <f>100%-I6</f>
        <v>0</v>
      </c>
      <c r="K6" s="10"/>
      <c r="L6" s="10"/>
      <c r="M6" s="30"/>
      <c r="N6" s="10"/>
      <c r="O6" s="10"/>
      <c r="P6" s="10"/>
      <c r="Q6" s="10"/>
      <c r="R6" s="10"/>
      <c r="S6" s="10"/>
    </row>
    <row r="7" spans="1:19" ht="18">
      <c r="A7" s="10"/>
      <c r="B7" s="10"/>
      <c r="C7" s="10"/>
      <c r="D7" s="13" t="s">
        <v>60</v>
      </c>
      <c r="E7" s="25" t="s">
        <v>468</v>
      </c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>
      <c r="A8" s="10"/>
      <c r="B8" s="10"/>
      <c r="C8" s="10"/>
      <c r="D8" s="14" t="s">
        <v>24</v>
      </c>
      <c r="E8" s="14"/>
      <c r="F8" s="14"/>
      <c r="G8" s="10"/>
      <c r="H8" s="10"/>
      <c r="I8" s="10"/>
      <c r="J8" s="10"/>
      <c r="K8" s="10"/>
      <c r="L8" s="10"/>
      <c r="M8" s="175"/>
      <c r="N8" s="10"/>
      <c r="O8" s="10"/>
      <c r="P8" s="10"/>
      <c r="Q8" s="10"/>
      <c r="R8" s="10"/>
      <c r="S8" s="10"/>
    </row>
    <row r="9" spans="1:1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75"/>
      <c r="N9" s="10"/>
      <c r="O9" s="10"/>
      <c r="P9" s="10"/>
      <c r="Q9" s="10"/>
      <c r="R9" s="10"/>
      <c r="S9" s="10"/>
    </row>
    <row r="10" spans="1:19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</row>
    <row r="11" spans="1:19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</row>
    <row r="12" spans="1:19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43.95" customHeight="1">
      <c r="A13" s="10"/>
      <c r="B13" s="23" t="s">
        <v>61</v>
      </c>
      <c r="C13" s="17" t="s">
        <v>25</v>
      </c>
      <c r="D13" s="19" t="s">
        <v>26</v>
      </c>
      <c r="E13" s="18" t="s">
        <v>27</v>
      </c>
      <c r="F13" s="20" t="s">
        <v>28</v>
      </c>
      <c r="G13" s="18" t="s">
        <v>29</v>
      </c>
      <c r="H13" s="17" t="s">
        <v>6</v>
      </c>
      <c r="I13" s="21" t="s">
        <v>30</v>
      </c>
      <c r="J13" s="22" t="s">
        <v>31</v>
      </c>
      <c r="K13" s="15"/>
      <c r="L13" s="18" t="str">
        <f>+G13</f>
        <v>ESTIMATE FINAL COST (EFC)</v>
      </c>
      <c r="M13" s="17" t="s">
        <v>3421</v>
      </c>
      <c r="N13" s="21" t="s">
        <v>30</v>
      </c>
      <c r="O13" s="22" t="s">
        <v>31</v>
      </c>
      <c r="P13" s="10"/>
      <c r="Q13" s="10"/>
      <c r="R13" s="10"/>
      <c r="S13" s="10"/>
    </row>
    <row r="14" spans="1:19">
      <c r="A14" s="10"/>
      <c r="B14" s="24" t="s">
        <v>7</v>
      </c>
      <c r="C14" s="26">
        <f>IF($E$6="ALL",SUMIF('Cost Report'!$B:$B,Summary!$B14,'Cost Report'!J:J),SUMIF('Cost Report'!$B:$B,Summary!$B14&amp;Summary!$E$6,'Cost Report'!J:J))</f>
        <v>37179094.709999993</v>
      </c>
      <c r="D14" s="26">
        <f>IF($E$6="ALL",SUMIF('Cost Report'!$B:$B,Summary!$B14,'Cost Report'!K:K),SUMIF('Cost Report'!$B:$B,Summary!$B14&amp;Summary!$E$6,'Cost Report'!K:K))</f>
        <v>0</v>
      </c>
      <c r="E14" s="27">
        <f>+C14+D14</f>
        <v>37179094.709999993</v>
      </c>
      <c r="F14" s="26">
        <f>IF($E$6="ALL",SUMIF('Cost Report'!$B:$B,Summary!$B14,'Cost Report'!M:M),SUMIF('Cost Report'!$B:$B,Summary!$B14&amp;Summary!$E$6,'Cost Report'!M:M))</f>
        <v>0</v>
      </c>
      <c r="G14" s="26">
        <f>+E14+F14</f>
        <v>37179094.709999993</v>
      </c>
      <c r="H14" s="26">
        <f>IF($E$6="ALL",SUMIF('Cost Report'!$B:$B,Summary!$B14,'Cost Report'!O:O),SUMIF('Cost Report'!$B:$B,Summary!$B14&amp;Summary!$E$6,'Cost Report'!O:O))</f>
        <v>35701887.449999996</v>
      </c>
      <c r="I14" s="31">
        <f>+H14-G14</f>
        <v>-1477207.2599999979</v>
      </c>
      <c r="J14" s="27">
        <f>IFERROR((+G14/H14)*100,0)</f>
        <v>104.13761670743264</v>
      </c>
      <c r="K14" s="10"/>
      <c r="L14" s="26">
        <f>+G14</f>
        <v>37179094.709999993</v>
      </c>
      <c r="M14" s="26">
        <v>37163261.357999995</v>
      </c>
      <c r="N14" s="31">
        <f>+M14-L14</f>
        <v>-15833.351999998093</v>
      </c>
      <c r="O14" s="27">
        <f>IFERROR((+L14/M14)*100,0)</f>
        <v>100.04260485065473</v>
      </c>
      <c r="P14" s="10"/>
      <c r="Q14" s="10"/>
      <c r="R14" s="10"/>
      <c r="S14" s="10"/>
    </row>
    <row r="15" spans="1:19">
      <c r="A15" s="10"/>
      <c r="B15" s="24" t="s">
        <v>20</v>
      </c>
      <c r="C15" s="26">
        <f>IF($E$6="ALL",SUMIF('Cost Report'!$B:$B,Summary!$B15,'Cost Report'!J:J),SUMIF('Cost Report'!$B:$B,Summary!$B15&amp;Summary!$E$6,'Cost Report'!J:J))</f>
        <v>68434405.163000003</v>
      </c>
      <c r="D15" s="26">
        <f>IF($E$6="ALL",SUMIF('Cost Report'!$B:$B,Summary!$B15,'Cost Report'!K:K),SUMIF('Cost Report'!$B:$B,Summary!$B15&amp;Summary!$E$6,'Cost Report'!K:K))</f>
        <v>0</v>
      </c>
      <c r="E15" s="27">
        <f t="shared" ref="E15:E17" si="0">+C15+D15</f>
        <v>68434405.163000003</v>
      </c>
      <c r="F15" s="26">
        <f>IF($E$6="ALL",SUMIF('Cost Report'!$B:$B,Summary!$B15,'Cost Report'!M:M),SUMIF('Cost Report'!$B:$B,Summary!$B15&amp;Summary!$E$6,'Cost Report'!M:M))</f>
        <v>1.2732925824820995E-11</v>
      </c>
      <c r="G15" s="26">
        <f t="shared" ref="G15:G17" si="1">+E15+F15</f>
        <v>68434405.163000003</v>
      </c>
      <c r="H15" s="26">
        <f>IF($E$6="ALL",SUMIF('Cost Report'!$B:$B,Summary!$B15,'Cost Report'!O:O),SUMIF('Cost Report'!$B:$B,Summary!$B15&amp;Summary!$E$6,'Cost Report'!O:O))</f>
        <v>69999853.439999983</v>
      </c>
      <c r="I15" s="31">
        <f t="shared" ref="I15:I17" si="2">+H15-G15</f>
        <v>1565448.2769999802</v>
      </c>
      <c r="J15" s="27">
        <f t="shared" ref="J15:J17" si="3">IFERROR((+G15/H15)*100,0)</f>
        <v>97.763640636273905</v>
      </c>
      <c r="K15" s="10"/>
      <c r="L15" s="26">
        <f t="shared" ref="L15:L17" si="4">+G15</f>
        <v>68434405.163000003</v>
      </c>
      <c r="M15" s="26">
        <v>68387939.07599999</v>
      </c>
      <c r="N15" s="31">
        <f>+M15-L15</f>
        <v>-46466.087000012398</v>
      </c>
      <c r="O15" s="27">
        <f>IFERROR((+L15/M15)*100,0)</f>
        <v>100.06794485639988</v>
      </c>
      <c r="P15" s="10"/>
      <c r="Q15" s="10"/>
      <c r="R15" s="10"/>
      <c r="S15" s="10"/>
    </row>
    <row r="16" spans="1:19">
      <c r="A16" s="10"/>
      <c r="B16" s="24" t="s">
        <v>1</v>
      </c>
      <c r="C16" s="26">
        <f>IF($E$6="ALL",SUMIF('Cost Report'!$B:$B,Summary!$B16,'Cost Report'!J:J),SUMIF('Cost Report'!$B:$B,Summary!$B16&amp;Summary!$E$6,'Cost Report'!J:J))</f>
        <v>14491072.41</v>
      </c>
      <c r="D16" s="26">
        <f>IF($E$6="ALL",SUMIF('Cost Report'!$B:$B,Summary!$B16,'Cost Report'!K:K),SUMIF('Cost Report'!$B:$B,Summary!$B16&amp;Summary!$E$6,'Cost Report'!K:K))</f>
        <v>0</v>
      </c>
      <c r="E16" s="27">
        <f t="shared" si="0"/>
        <v>14491072.41</v>
      </c>
      <c r="F16" s="26">
        <f>IF($E$6="ALL",SUMIF('Cost Report'!$B:$B,Summary!$B16,'Cost Report'!M:M),SUMIF('Cost Report'!$B:$B,Summary!$B16&amp;Summary!$E$6,'Cost Report'!M:M))</f>
        <v>0</v>
      </c>
      <c r="G16" s="26">
        <f t="shared" si="1"/>
        <v>14491072.41</v>
      </c>
      <c r="H16" s="26">
        <f>IF($E$6="ALL",SUMIF('Cost Report'!$B:$B,Summary!$B16,'Cost Report'!O:O),SUMIF('Cost Report'!$B:$B,Summary!$B16&amp;Summary!$E$6,'Cost Report'!O:O))</f>
        <v>14406985.940000001</v>
      </c>
      <c r="I16" s="31">
        <f t="shared" si="2"/>
        <v>-84086.469999998808</v>
      </c>
      <c r="J16" s="27">
        <f t="shared" si="3"/>
        <v>100.58365067023864</v>
      </c>
      <c r="K16" s="10"/>
      <c r="L16" s="26">
        <f t="shared" si="4"/>
        <v>14491072.41</v>
      </c>
      <c r="M16" s="26">
        <v>14019166.4</v>
      </c>
      <c r="N16" s="31">
        <f>+M16-L16</f>
        <v>-471906.00999999978</v>
      </c>
      <c r="O16" s="27">
        <f>IFERROR((+L16/M16)*100,0)</f>
        <v>103.36614886032025</v>
      </c>
      <c r="P16" s="10"/>
      <c r="Q16" s="10"/>
      <c r="R16" s="10"/>
      <c r="S16" s="10"/>
    </row>
    <row r="17" spans="1:19">
      <c r="A17" s="10"/>
      <c r="B17" s="24" t="s">
        <v>21</v>
      </c>
      <c r="C17" s="26">
        <f>IF($E$6="ALL",SUMIF('Cost Report'!$B:$B,Summary!$B17,'Cost Report'!J:J),SUMIF('Cost Report'!$B:$B,Summary!$B17&amp;Summary!$E$6,'Cost Report'!J:J))</f>
        <v>14267410.480999997</v>
      </c>
      <c r="D17" s="26">
        <f>IF($E$6="ALL",SUMIF('Cost Report'!$B:$B,Summary!$B17,'Cost Report'!K:K),SUMIF('Cost Report'!$B:$B,Summary!$B17&amp;Summary!$E$6,'Cost Report'!K:K))</f>
        <v>1073641.6500000011</v>
      </c>
      <c r="E17" s="27">
        <f t="shared" si="0"/>
        <v>15341052.130999997</v>
      </c>
      <c r="F17" s="26">
        <f>IF($E$6="ALL",SUMIF('Cost Report'!$B:$B,Summary!$B17,'Cost Report'!M:M),SUMIF('Cost Report'!$B:$B,Summary!$B17&amp;Summary!$E$6,'Cost Report'!M:M))</f>
        <v>0</v>
      </c>
      <c r="G17" s="26">
        <f t="shared" si="1"/>
        <v>15341052.130999997</v>
      </c>
      <c r="H17" s="26">
        <f>IF($E$6="ALL",SUMIF('Cost Report'!$B:$B,Summary!$B17,'Cost Report'!O:O),SUMIF('Cost Report'!$B:$B,Summary!$B17&amp;Summary!$E$6,'Cost Report'!O:O))</f>
        <v>14989184.17</v>
      </c>
      <c r="I17" s="31">
        <f t="shared" si="2"/>
        <v>-351867.96099999733</v>
      </c>
      <c r="J17" s="27">
        <f t="shared" si="3"/>
        <v>102.34747906896922</v>
      </c>
      <c r="K17" s="10"/>
      <c r="L17" s="26">
        <f t="shared" si="4"/>
        <v>15341052.130999997</v>
      </c>
      <c r="M17" s="26">
        <v>15198460.43</v>
      </c>
      <c r="N17" s="31">
        <f>+M17-L17</f>
        <v>-142591.70099999756</v>
      </c>
      <c r="O17" s="27">
        <f>IFERROR((+L17/M17)*100,0)</f>
        <v>100.93819832381534</v>
      </c>
      <c r="P17" s="10"/>
      <c r="Q17" s="10"/>
      <c r="R17" s="10"/>
      <c r="S17" s="10"/>
    </row>
    <row r="18" spans="1:19">
      <c r="A18" s="10"/>
      <c r="B18" s="10"/>
      <c r="C18" s="10"/>
      <c r="D18" s="10"/>
      <c r="E18" s="10"/>
      <c r="F18" s="10"/>
      <c r="G18" s="10"/>
      <c r="H18" s="10"/>
      <c r="I18" s="10"/>
      <c r="J18" s="110"/>
      <c r="K18" s="10"/>
      <c r="L18" s="10"/>
      <c r="M18" s="10"/>
      <c r="N18" s="10"/>
      <c r="O18" s="110"/>
      <c r="P18" s="10"/>
      <c r="Q18" s="10"/>
      <c r="R18" s="10"/>
      <c r="S18" s="10"/>
    </row>
    <row r="19" spans="1:19">
      <c r="A19" s="10"/>
      <c r="B19" s="28" t="s">
        <v>51</v>
      </c>
      <c r="C19" s="29">
        <f t="shared" ref="C19:I19" si="5">SUM(C14:C17)</f>
        <v>134371982.764</v>
      </c>
      <c r="D19" s="29">
        <f t="shared" si="5"/>
        <v>1073641.6500000011</v>
      </c>
      <c r="E19" s="29">
        <f t="shared" si="5"/>
        <v>135445624.41399997</v>
      </c>
      <c r="F19" s="29">
        <f t="shared" si="5"/>
        <v>1.2732925824820995E-11</v>
      </c>
      <c r="G19" s="29">
        <f t="shared" si="5"/>
        <v>135445624.41399997</v>
      </c>
      <c r="H19" s="29">
        <f t="shared" si="5"/>
        <v>135097910.99999997</v>
      </c>
      <c r="I19" s="29">
        <f t="shared" si="5"/>
        <v>-347713.41400001384</v>
      </c>
      <c r="J19" s="29">
        <f t="shared" ref="J19" si="6">(+G19/H19)*100</f>
        <v>100.25737882357042</v>
      </c>
      <c r="K19" s="29"/>
      <c r="L19" s="29">
        <f>SUM(L14:L17)</f>
        <v>135445624.41399997</v>
      </c>
      <c r="M19" s="29">
        <f>SUM(M14:M17)</f>
        <v>134768827.264</v>
      </c>
      <c r="N19" s="29">
        <f t="shared" ref="N19" si="7">SUM(N14:N17)</f>
        <v>-676797.15000000782</v>
      </c>
      <c r="O19" s="29">
        <f>(+L19/M19)*100</f>
        <v>100.50219116967915</v>
      </c>
      <c r="P19" s="10"/>
      <c r="Q19" s="10"/>
      <c r="R19" s="10"/>
      <c r="S19" s="10"/>
    </row>
    <row r="20" spans="1:19">
      <c r="A20" s="10"/>
      <c r="B20" s="10"/>
      <c r="C20" s="10"/>
      <c r="D20" s="10"/>
      <c r="E20" s="10"/>
      <c r="F20" s="10"/>
      <c r="G20" s="10"/>
      <c r="H20" s="30"/>
      <c r="I20" s="30"/>
      <c r="J20" s="110"/>
      <c r="K20" s="110"/>
      <c r="L20" s="10"/>
      <c r="M20" s="10"/>
      <c r="N20" s="10"/>
      <c r="O20" s="10"/>
      <c r="P20" s="10"/>
      <c r="Q20" s="10"/>
      <c r="R20" s="10"/>
      <c r="S20" s="10"/>
    </row>
    <row r="21" spans="1:19">
      <c r="A21" s="10"/>
      <c r="B21" s="10"/>
      <c r="C21" s="10"/>
      <c r="D21" s="10"/>
      <c r="E21" s="10"/>
      <c r="F21" s="110"/>
      <c r="G21" s="110"/>
      <c r="H21" s="110"/>
      <c r="I21" s="110"/>
      <c r="J21" s="30"/>
      <c r="K21" s="10"/>
      <c r="L21" s="10"/>
      <c r="M21" s="10"/>
      <c r="N21" s="10"/>
      <c r="O21" s="10"/>
      <c r="P21" s="10"/>
      <c r="Q21" s="10"/>
      <c r="R21" s="10"/>
      <c r="S21" s="10"/>
    </row>
    <row r="22" spans="1:19">
      <c r="A22" s="10"/>
      <c r="B22" s="10"/>
      <c r="C22" s="160" t="s">
        <v>2112</v>
      </c>
      <c r="D22" s="160"/>
      <c r="E22" s="160"/>
      <c r="F22" s="160"/>
      <c r="G22" s="10"/>
      <c r="H22" s="160" t="s">
        <v>2112</v>
      </c>
      <c r="I22" s="160"/>
      <c r="J22" s="160"/>
      <c r="K22" s="160"/>
      <c r="L22" s="10"/>
      <c r="M22" s="10"/>
      <c r="N22" s="10"/>
      <c r="O22" s="10"/>
      <c r="P22" s="10"/>
      <c r="Q22" s="10"/>
      <c r="R22" s="10"/>
      <c r="S22" s="10"/>
    </row>
    <row r="23" spans="1:19">
      <c r="A23" s="10"/>
      <c r="B23" s="10"/>
      <c r="C23" s="326" t="s">
        <v>2113</v>
      </c>
      <c r="D23" s="326"/>
      <c r="E23" s="326"/>
      <c r="F23" s="326"/>
      <c r="G23" s="10"/>
      <c r="H23" s="328" t="s">
        <v>2114</v>
      </c>
      <c r="I23" s="328"/>
      <c r="J23" s="328"/>
      <c r="K23" s="328"/>
      <c r="L23" s="10"/>
      <c r="M23" s="10"/>
      <c r="N23" s="10"/>
      <c r="O23" s="10"/>
      <c r="P23" s="10"/>
      <c r="Q23" s="10"/>
      <c r="R23" s="10"/>
      <c r="S23" s="10"/>
    </row>
    <row r="24" spans="1:19">
      <c r="A24" s="10"/>
      <c r="B24" s="10"/>
      <c r="C24" s="161" t="s">
        <v>4</v>
      </c>
      <c r="D24" s="326" t="s">
        <v>2115</v>
      </c>
      <c r="E24" s="326"/>
      <c r="F24" s="161" t="s">
        <v>2116</v>
      </c>
      <c r="G24" s="10"/>
      <c r="H24" s="162" t="s">
        <v>4</v>
      </c>
      <c r="I24" s="162" t="s">
        <v>2115</v>
      </c>
      <c r="J24" s="162"/>
      <c r="K24" s="162" t="s">
        <v>2116</v>
      </c>
      <c r="L24" s="10"/>
      <c r="M24" s="10"/>
      <c r="N24" s="10"/>
      <c r="O24" s="10"/>
      <c r="P24" s="10"/>
      <c r="Q24" s="10"/>
      <c r="R24" s="10"/>
      <c r="S24" s="10"/>
    </row>
    <row r="25" spans="1:19">
      <c r="A25" s="10"/>
      <c r="B25" s="10">
        <v>1</v>
      </c>
      <c r="C25" s="10" t="str">
        <f>VLOOKUP(B25,Tablas!$E$4:$G$22,2,0)</f>
        <v>3412</v>
      </c>
      <c r="D25" s="325">
        <f>VLOOKUP(C25,'Cost Report'!$G$10:$H$2481,2,0)</f>
        <v>0</v>
      </c>
      <c r="E25" s="325"/>
      <c r="F25" s="30">
        <f>VLOOKUP(C25,Tablas!$F$4:$G$210,2,0)</f>
        <v>2610047.5440000007</v>
      </c>
      <c r="G25" s="10"/>
      <c r="H25" s="10" t="str">
        <f>VLOOKUP(B25,Tablas!$A$4:$C$22,2,0)</f>
        <v>1401</v>
      </c>
      <c r="I25" s="166">
        <f>VLOOKUP(H25,'Cost Report'!$G$10:$H$2481,2,0)</f>
        <v>0</v>
      </c>
      <c r="J25" s="166"/>
      <c r="K25" s="30">
        <f>VLOOKUP(H25,Tablas!$B$4:$C$210,2,0)</f>
        <v>-1194921.1999999997</v>
      </c>
      <c r="L25" s="10"/>
      <c r="M25" s="10"/>
      <c r="N25" s="10"/>
      <c r="O25" s="10"/>
      <c r="P25" s="10"/>
      <c r="Q25" s="10"/>
      <c r="R25" s="10"/>
      <c r="S25" s="10"/>
    </row>
    <row r="26" spans="1:19">
      <c r="A26" s="10"/>
      <c r="B26" s="10">
        <v>2</v>
      </c>
      <c r="C26" s="10" t="str">
        <f>VLOOKUP(B26,Tablas!$E$4:$G$22,2,0)</f>
        <v>2394</v>
      </c>
      <c r="D26" s="325">
        <f>VLOOKUP(C26,'Cost Report'!$G$10:$H$2481,2,0)</f>
        <v>0</v>
      </c>
      <c r="E26" s="325"/>
      <c r="F26" s="30">
        <f>VLOOKUP(C26,Tablas!$F$4:$G$210,2,0)</f>
        <v>502980.31</v>
      </c>
      <c r="G26" s="10"/>
      <c r="H26" s="10" t="str">
        <f>VLOOKUP(B26,Tablas!$A$4:$C$22,2,0)</f>
        <v>6137</v>
      </c>
      <c r="I26" s="166">
        <f>VLOOKUP(H26,'Cost Report'!$G$10:$H$2481,2,0)</f>
        <v>0</v>
      </c>
      <c r="J26" s="166"/>
      <c r="K26" s="30">
        <f>VLOOKUP(H26,Tablas!$B$4:$C$210,2,0)</f>
        <v>-849515.52000000002</v>
      </c>
      <c r="L26" s="10"/>
      <c r="M26" s="10"/>
      <c r="N26" s="10"/>
      <c r="O26" s="10"/>
      <c r="P26" s="10"/>
      <c r="Q26" s="10"/>
      <c r="R26" s="10"/>
      <c r="S26" s="10"/>
    </row>
    <row r="27" spans="1:19">
      <c r="A27" s="10"/>
      <c r="B27" s="10">
        <v>3</v>
      </c>
      <c r="C27" s="10" t="str">
        <f>VLOOKUP(B27,Tablas!$E$4:$G$22,2,0)</f>
        <v>6136</v>
      </c>
      <c r="D27" s="325">
        <f>VLOOKUP(C27,'Cost Report'!$G$10:$H$2481,2,0)</f>
        <v>0</v>
      </c>
      <c r="E27" s="325"/>
      <c r="F27" s="30">
        <f>VLOOKUP(C27,Tablas!$F$4:$G$210,2,0)</f>
        <v>400000</v>
      </c>
      <c r="G27" s="10"/>
      <c r="H27" s="10" t="str">
        <f>VLOOKUP(B27,Tablas!$A$4:$C$22,2,0)</f>
        <v>1499</v>
      </c>
      <c r="I27" s="166">
        <f>VLOOKUP(H27,'Cost Report'!$G$10:$H$2481,2,0)</f>
        <v>0</v>
      </c>
      <c r="J27" s="166"/>
      <c r="K27" s="30">
        <f>VLOOKUP(H27,Tablas!$B$4:$C$210,2,0)</f>
        <v>-831679.67800000019</v>
      </c>
      <c r="L27" s="10"/>
      <c r="M27" s="10"/>
      <c r="N27" s="10"/>
      <c r="O27" s="10"/>
      <c r="P27" s="10"/>
      <c r="Q27" s="10"/>
      <c r="R27" s="10"/>
      <c r="S27" s="10"/>
    </row>
    <row r="28" spans="1:19">
      <c r="A28" s="10"/>
      <c r="B28" s="10">
        <v>4</v>
      </c>
      <c r="C28" s="10" t="str">
        <f>VLOOKUP(B28,Tablas!$E$4:$G$22,2,0)</f>
        <v>2110</v>
      </c>
      <c r="D28" s="325">
        <f>VLOOKUP(C28,'Cost Report'!$G$10:$H$2481,2,0)</f>
        <v>0</v>
      </c>
      <c r="E28" s="325"/>
      <c r="F28" s="30">
        <f>VLOOKUP(C28,Tablas!$F$4:$G$210,2,0)</f>
        <v>292000</v>
      </c>
      <c r="G28" s="10"/>
      <c r="H28" s="10" t="str">
        <f>VLOOKUP(B28,Tablas!$A$4:$C$22,2,0)</f>
        <v>2103</v>
      </c>
      <c r="I28" s="166">
        <f>VLOOKUP(H28,'Cost Report'!$G$10:$H$2481,2,0)</f>
        <v>0</v>
      </c>
      <c r="J28" s="166"/>
      <c r="K28" s="30">
        <f>VLOOKUP(H28,Tablas!$B$4:$C$210,2,0)</f>
        <v>-719865.60000000009</v>
      </c>
      <c r="L28" s="10"/>
      <c r="M28" s="10"/>
      <c r="N28" s="10"/>
      <c r="O28" s="10"/>
      <c r="P28" s="10"/>
      <c r="Q28" s="10"/>
      <c r="R28" s="10"/>
      <c r="S28" s="10"/>
    </row>
    <row r="29" spans="1:19">
      <c r="A29" s="10"/>
      <c r="B29" s="10">
        <v>5</v>
      </c>
      <c r="C29" s="10" t="str">
        <f>VLOOKUP(B29,Tablas!$E$4:$G$22,2,0)</f>
        <v>3198</v>
      </c>
      <c r="D29" s="325">
        <f>VLOOKUP(C29,'Cost Report'!$G$10:$H$2481,2,0)</f>
        <v>0</v>
      </c>
      <c r="E29" s="325"/>
      <c r="F29" s="30">
        <f>VLOOKUP(C29,Tablas!$F$4:$G$210,2,0)</f>
        <v>269643</v>
      </c>
      <c r="G29" s="10"/>
      <c r="H29" s="10" t="str">
        <f>VLOOKUP(B29,Tablas!$A$4:$C$22,2,0)</f>
        <v>3193</v>
      </c>
      <c r="I29" s="166">
        <f>VLOOKUP(H29,'Cost Report'!$G$10:$H$2481,2,0)</f>
        <v>0</v>
      </c>
      <c r="J29" s="166"/>
      <c r="K29" s="30">
        <f>VLOOKUP(H29,Tablas!$B$4:$C$210,2,0)</f>
        <v>-634911.22</v>
      </c>
      <c r="L29" s="10"/>
      <c r="M29" s="10"/>
      <c r="N29" s="10"/>
      <c r="O29" s="10"/>
      <c r="P29" s="10"/>
      <c r="Q29" s="10"/>
      <c r="R29" s="10"/>
      <c r="S29" s="10"/>
    </row>
    <row r="30" spans="1:19">
      <c r="A30" s="10"/>
      <c r="B30" s="10">
        <v>6</v>
      </c>
      <c r="C30" s="10" t="str">
        <f>VLOOKUP(B30,Tablas!$E$4:$G$22,2,0)</f>
        <v>6149</v>
      </c>
      <c r="D30" s="325">
        <f>VLOOKUP(C30,'Cost Report'!$G$10:$H$2481,2,0)</f>
        <v>0</v>
      </c>
      <c r="E30" s="325"/>
      <c r="F30" s="30">
        <f>VLOOKUP(C30,Tablas!$F$4:$G$210,2,0)</f>
        <v>239600</v>
      </c>
      <c r="G30" s="10"/>
      <c r="H30" s="10" t="str">
        <f>VLOOKUP(B30,Tablas!$A$4:$C$22,2,0)</f>
        <v>3683</v>
      </c>
      <c r="I30" s="166">
        <f>VLOOKUP(H30,'Cost Report'!$G$10:$H$2481,2,0)</f>
        <v>0</v>
      </c>
      <c r="J30" s="166"/>
      <c r="K30" s="30">
        <f>VLOOKUP(H30,Tablas!$B$4:$C$210,2,0)</f>
        <v>-565043.4</v>
      </c>
      <c r="L30" s="10"/>
      <c r="M30" s="10"/>
      <c r="N30" s="10"/>
      <c r="O30" s="10"/>
      <c r="P30" s="10"/>
      <c r="Q30" s="10"/>
      <c r="R30" s="10"/>
      <c r="S30" s="10"/>
    </row>
    <row r="31" spans="1:19">
      <c r="A31" s="10"/>
      <c r="B31" s="10">
        <v>7</v>
      </c>
      <c r="C31" s="10" t="str">
        <f>VLOOKUP(B31,Tablas!$E$4:$G$22,2,0)</f>
        <v>3632</v>
      </c>
      <c r="D31" s="325">
        <f>VLOOKUP(C31,'Cost Report'!$G$10:$H$2481,2,0)</f>
        <v>0</v>
      </c>
      <c r="E31" s="325"/>
      <c r="F31" s="30">
        <f>VLOOKUP(C31,Tablas!$F$4:$G$210,2,0)</f>
        <v>224078.76099999997</v>
      </c>
      <c r="G31" s="10"/>
      <c r="H31" s="10" t="str">
        <f>VLOOKUP(B31,Tablas!$A$4:$C$22,2,0)</f>
        <v>6004</v>
      </c>
      <c r="I31" s="166">
        <f>VLOOKUP(H31,'Cost Report'!$G$10:$H$2481,2,0)</f>
        <v>0</v>
      </c>
      <c r="J31" s="166"/>
      <c r="K31" s="30">
        <f>VLOOKUP(H31,Tablas!$B$4:$C$210,2,0)</f>
        <v>-417850.24</v>
      </c>
      <c r="L31" s="10"/>
      <c r="M31" s="10"/>
      <c r="N31" s="10"/>
      <c r="O31" s="10"/>
      <c r="P31" s="10"/>
      <c r="Q31" s="10"/>
      <c r="R31" s="10"/>
      <c r="S31" s="10"/>
    </row>
    <row r="32" spans="1:19">
      <c r="A32" s="10"/>
      <c r="B32" s="10">
        <v>8</v>
      </c>
      <c r="C32" s="10" t="str">
        <f>VLOOKUP(B32,Tablas!$E$4:$G$22,2,0)</f>
        <v>6103</v>
      </c>
      <c r="D32" s="325">
        <f>VLOOKUP(C32,'Cost Report'!$G$10:$H$2481,2,0)</f>
        <v>0</v>
      </c>
      <c r="E32" s="325"/>
      <c r="F32" s="30">
        <f>VLOOKUP(C32,Tablas!$F$4:$G$210,2,0)</f>
        <v>216000</v>
      </c>
      <c r="G32" s="10"/>
      <c r="H32" s="10" t="str">
        <f>VLOOKUP(B32,Tablas!$A$4:$C$22,2,0)</f>
        <v>7007</v>
      </c>
      <c r="I32" s="166">
        <f>VLOOKUP(H32,'Cost Report'!$G$10:$H$2481,2,0)</f>
        <v>0</v>
      </c>
      <c r="J32" s="166"/>
      <c r="K32" s="30">
        <f>VLOOKUP(H32,Tablas!$B$4:$C$210,2,0)</f>
        <v>-390000</v>
      </c>
      <c r="L32" s="10"/>
      <c r="M32" s="10"/>
      <c r="N32" s="10"/>
      <c r="O32" s="10"/>
      <c r="P32" s="10"/>
      <c r="Q32" s="10"/>
      <c r="R32" s="10"/>
      <c r="S32" s="10"/>
    </row>
    <row r="33" spans="1:19">
      <c r="A33" s="10"/>
      <c r="B33" s="10">
        <v>9</v>
      </c>
      <c r="C33" s="10" t="str">
        <f>VLOOKUP(B33,Tablas!$E$4:$G$22,2,0)</f>
        <v>7038</v>
      </c>
      <c r="D33" s="325">
        <f>VLOOKUP(C33,'Cost Report'!$G$10:$H$2481,2,0)</f>
        <v>0</v>
      </c>
      <c r="E33" s="325"/>
      <c r="F33" s="30">
        <f>VLOOKUP(C33,Tablas!$F$4:$G$210,2,0)</f>
        <v>209541.82199999993</v>
      </c>
      <c r="G33" s="10"/>
      <c r="H33" s="10" t="str">
        <f>VLOOKUP(B33,Tablas!$A$4:$C$22,2,0)</f>
        <v>3220</v>
      </c>
      <c r="I33" s="166">
        <f>VLOOKUP(H33,'Cost Report'!$G$10:$H$2481,2,0)</f>
        <v>0</v>
      </c>
      <c r="J33" s="166"/>
      <c r="K33" s="30">
        <f>VLOOKUP(H33,Tablas!$B$4:$C$210,2,0)</f>
        <v>-283950.76</v>
      </c>
      <c r="L33" s="10"/>
      <c r="M33" s="10"/>
      <c r="N33" s="10"/>
      <c r="O33" s="10"/>
      <c r="P33" s="10"/>
      <c r="Q33" s="10"/>
      <c r="R33" s="10"/>
      <c r="S33" s="10"/>
    </row>
    <row r="34" spans="1:19">
      <c r="A34" s="10"/>
      <c r="B34" s="10">
        <v>10</v>
      </c>
      <c r="C34" s="10" t="str">
        <f>VLOOKUP(B34,Tablas!$E$4:$G$22,2,0)</f>
        <v>1387</v>
      </c>
      <c r="D34" s="325">
        <f>VLOOKUP(C34,'Cost Report'!$G$10:$H$2481,2,0)</f>
        <v>0</v>
      </c>
      <c r="E34" s="325"/>
      <c r="F34" s="30">
        <f>VLOOKUP(C34,Tablas!$F$4:$G$210,2,0)</f>
        <v>205200</v>
      </c>
      <c r="G34" s="10"/>
      <c r="H34" s="10" t="str">
        <f>VLOOKUP(B34,Tablas!$A$4:$C$22,2,0)</f>
        <v>1403</v>
      </c>
      <c r="I34" s="166">
        <f>VLOOKUP(H34,'Cost Report'!$G$10:$H$2481,2,0)</f>
        <v>0</v>
      </c>
      <c r="J34" s="166"/>
      <c r="K34" s="30">
        <f>VLOOKUP(H34,Tablas!$B$4:$C$210,2,0)</f>
        <v>-251532.17000000004</v>
      </c>
      <c r="L34" s="10"/>
      <c r="M34" s="10"/>
      <c r="N34" s="10"/>
      <c r="O34" s="10"/>
      <c r="P34" s="10"/>
      <c r="Q34" s="10"/>
      <c r="R34" s="10"/>
      <c r="S34" s="10"/>
    </row>
    <row r="35" spans="1:19">
      <c r="A35" s="10"/>
      <c r="B35" s="10">
        <v>11</v>
      </c>
      <c r="C35" s="10" t="str">
        <f>VLOOKUP(B35,Tablas!$E$4:$G$22,2,0)</f>
        <v>1411</v>
      </c>
      <c r="D35" s="325">
        <f>VLOOKUP(C35,'Cost Report'!$G$10:$H$2481,2,0)</f>
        <v>0</v>
      </c>
      <c r="E35" s="325"/>
      <c r="F35" s="30">
        <f>VLOOKUP(C35,Tablas!$F$4:$G$210,2,0)</f>
        <v>192188.64</v>
      </c>
      <c r="G35" s="10"/>
      <c r="H35" s="10" t="str">
        <f>VLOOKUP(B35,Tablas!$A$4:$C$22,2,0)</f>
        <v>3305</v>
      </c>
      <c r="I35" s="166">
        <f>VLOOKUP(H35,'Cost Report'!$G$10:$H$2481,2,0)</f>
        <v>0</v>
      </c>
      <c r="J35" s="166"/>
      <c r="K35" s="30">
        <f>VLOOKUP(H35,Tablas!$B$4:$C$210,2,0)</f>
        <v>-242700</v>
      </c>
      <c r="L35" s="10"/>
      <c r="M35" s="10"/>
      <c r="N35" s="10"/>
      <c r="O35" s="10"/>
      <c r="P35" s="10"/>
      <c r="Q35" s="10"/>
      <c r="R35" s="10"/>
      <c r="S35" s="10"/>
    </row>
    <row r="36" spans="1:19">
      <c r="A36" s="10"/>
      <c r="B36" s="10">
        <v>12</v>
      </c>
      <c r="C36" s="10" t="str">
        <f>VLOOKUP(B36,Tablas!$E$4:$G$22,2,0)</f>
        <v>3903</v>
      </c>
      <c r="D36" s="325">
        <f>VLOOKUP(C36,'Cost Report'!$G$10:$H$2481,2,0)</f>
        <v>0</v>
      </c>
      <c r="E36" s="325"/>
      <c r="F36" s="30">
        <f>VLOOKUP(C36,Tablas!$F$4:$G$210,2,0)</f>
        <v>191042.00000000003</v>
      </c>
      <c r="G36" s="10"/>
      <c r="H36" s="10" t="str">
        <f>VLOOKUP(B36,Tablas!$A$4:$C$22,2,0)</f>
        <v>2405</v>
      </c>
      <c r="I36" s="166">
        <f>VLOOKUP(H36,'Cost Report'!$G$10:$H$2481,2,0)</f>
        <v>0</v>
      </c>
      <c r="J36" s="166"/>
      <c r="K36" s="30">
        <f>VLOOKUP(H36,Tablas!$B$4:$C$210,2,0)</f>
        <v>-206585.83000000002</v>
      </c>
      <c r="L36" s="10"/>
      <c r="M36" s="10"/>
      <c r="N36" s="10"/>
      <c r="O36" s="10"/>
      <c r="P36" s="10"/>
      <c r="Q36" s="10"/>
      <c r="R36" s="10"/>
      <c r="S36" s="10"/>
    </row>
    <row r="37" spans="1:19">
      <c r="A37" s="10"/>
      <c r="B37" s="10">
        <v>13</v>
      </c>
      <c r="C37" s="10" t="str">
        <f>VLOOKUP(B37,Tablas!$E$4:$G$22,2,0)</f>
        <v>3192</v>
      </c>
      <c r="D37" s="325">
        <f>VLOOKUP(C37,'Cost Report'!$G$10:$H$2481,2,0)</f>
        <v>0</v>
      </c>
      <c r="E37" s="325"/>
      <c r="F37" s="30">
        <f>VLOOKUP(C37,Tablas!$F$4:$G$210,2,0)</f>
        <v>190000</v>
      </c>
      <c r="G37" s="10"/>
      <c r="H37" s="10" t="str">
        <f>VLOOKUP(B37,Tablas!$A$4:$C$22,2,0)</f>
        <v>3410</v>
      </c>
      <c r="I37" s="166">
        <f>VLOOKUP(H37,'Cost Report'!$G$10:$H$2481,2,0)</f>
        <v>0</v>
      </c>
      <c r="J37" s="166"/>
      <c r="K37" s="30">
        <f>VLOOKUP(H37,Tablas!$B$4:$C$210,2,0)</f>
        <v>-191641.51200000031</v>
      </c>
      <c r="L37" s="10"/>
      <c r="M37" s="10"/>
      <c r="N37" s="10"/>
      <c r="O37" s="10"/>
      <c r="P37" s="10"/>
      <c r="Q37" s="10"/>
      <c r="R37" s="10"/>
      <c r="S37" s="10"/>
    </row>
    <row r="38" spans="1:19">
      <c r="A38" s="10"/>
      <c r="B38" s="10">
        <v>14</v>
      </c>
      <c r="C38" s="10" t="str">
        <f>VLOOKUP(B38,Tablas!$E$4:$G$22,2,0)</f>
        <v>2494</v>
      </c>
      <c r="D38" s="325">
        <f>VLOOKUP(C38,'Cost Report'!$G$10:$H$2481,2,0)</f>
        <v>0</v>
      </c>
      <c r="E38" s="325"/>
      <c r="F38" s="30">
        <f>VLOOKUP(C38,Tablas!$F$4:$G$210,2,0)</f>
        <v>186630.43299999993</v>
      </c>
      <c r="G38" s="10"/>
      <c r="H38" s="10" t="str">
        <f>VLOOKUP(B38,Tablas!$A$4:$C$22,2,0)</f>
        <v>1410</v>
      </c>
      <c r="I38" s="166">
        <f>VLOOKUP(H38,'Cost Report'!$G$10:$H$2481,2,0)</f>
        <v>0</v>
      </c>
      <c r="J38" s="166"/>
      <c r="K38" s="30">
        <f>VLOOKUP(H38,Tablas!$B$4:$C$210,2,0)</f>
        <v>-187465.92999999996</v>
      </c>
      <c r="L38" s="10"/>
      <c r="M38" s="10"/>
      <c r="N38" s="10"/>
      <c r="O38" s="10"/>
      <c r="P38" s="10"/>
      <c r="Q38" s="10"/>
      <c r="R38" s="10"/>
      <c r="S38" s="10"/>
    </row>
    <row r="39" spans="1:19">
      <c r="A39" s="10"/>
      <c r="B39" s="10">
        <v>15</v>
      </c>
      <c r="C39" s="10" t="str">
        <f>VLOOKUP(B39,Tablas!$E$4:$G$22,2,0)</f>
        <v>3633</v>
      </c>
      <c r="D39" s="325">
        <f>VLOOKUP(C39,'Cost Report'!$G$10:$H$2481,2,0)</f>
        <v>0</v>
      </c>
      <c r="E39" s="325"/>
      <c r="F39" s="30">
        <f>VLOOKUP(C39,Tablas!$F$4:$G$210,2,0)</f>
        <v>170000</v>
      </c>
      <c r="G39" s="10"/>
      <c r="H39" s="10" t="str">
        <f>VLOOKUP(B39,Tablas!$A$4:$C$22,2,0)</f>
        <v>3793</v>
      </c>
      <c r="I39" s="166">
        <f>VLOOKUP(H39,'Cost Report'!$G$10:$H$2481,2,0)</f>
        <v>0</v>
      </c>
      <c r="J39" s="166"/>
      <c r="K39" s="30">
        <f>VLOOKUP(H39,Tablas!$B$4:$C$210,2,0)</f>
        <v>-160000</v>
      </c>
      <c r="L39" s="10"/>
      <c r="M39" s="10"/>
      <c r="N39" s="10"/>
      <c r="O39" s="10"/>
      <c r="P39" s="10"/>
      <c r="Q39" s="10"/>
      <c r="R39" s="10"/>
      <c r="S39" s="10"/>
    </row>
    <row r="40" spans="1:19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</row>
    <row r="41" spans="1:19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</row>
    <row r="42" spans="1:19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</row>
    <row r="43" spans="1:19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</row>
    <row r="44" spans="1:19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</row>
    <row r="45" spans="1:19">
      <c r="A45" s="10"/>
      <c r="B45" s="10"/>
      <c r="C45" s="160" t="s">
        <v>2112</v>
      </c>
      <c r="D45" s="160"/>
      <c r="E45" s="160"/>
      <c r="F45" s="160"/>
      <c r="G45" s="10"/>
      <c r="H45" s="160" t="s">
        <v>2112</v>
      </c>
      <c r="I45" s="160"/>
      <c r="J45" s="160"/>
      <c r="K45" s="160"/>
      <c r="L45" s="10"/>
      <c r="M45" s="10"/>
      <c r="N45" s="10"/>
      <c r="O45" s="10"/>
      <c r="P45" s="10"/>
      <c r="Q45" s="10"/>
      <c r="R45" s="10"/>
      <c r="S45" s="10"/>
    </row>
    <row r="46" spans="1:19">
      <c r="A46" s="10"/>
      <c r="B46" s="10"/>
      <c r="C46" s="326" t="s">
        <v>2113</v>
      </c>
      <c r="D46" s="326"/>
      <c r="E46" s="326"/>
      <c r="F46" s="326"/>
      <c r="G46" s="10"/>
      <c r="H46" s="328" t="s">
        <v>2114</v>
      </c>
      <c r="I46" s="328"/>
      <c r="J46" s="328"/>
      <c r="K46" s="328"/>
      <c r="L46" s="10"/>
      <c r="M46" s="10"/>
      <c r="N46" s="10"/>
      <c r="O46" s="10"/>
      <c r="P46" s="10"/>
      <c r="Q46" s="10"/>
      <c r="R46" s="10"/>
      <c r="S46" s="10"/>
    </row>
    <row r="47" spans="1:19">
      <c r="A47" s="10"/>
      <c r="B47" s="10"/>
      <c r="C47" s="161" t="s">
        <v>4</v>
      </c>
      <c r="D47" s="326" t="s">
        <v>2115</v>
      </c>
      <c r="E47" s="326"/>
      <c r="F47" s="161" t="s">
        <v>2116</v>
      </c>
      <c r="G47" s="10"/>
      <c r="H47" s="162" t="s">
        <v>4</v>
      </c>
      <c r="I47" s="162" t="s">
        <v>2115</v>
      </c>
      <c r="J47" s="162"/>
      <c r="K47" s="162" t="s">
        <v>2116</v>
      </c>
      <c r="L47" s="10"/>
      <c r="M47" s="10"/>
      <c r="N47" s="10"/>
      <c r="O47" s="10"/>
      <c r="P47" s="10"/>
      <c r="Q47" s="10"/>
      <c r="R47" s="10"/>
      <c r="S47" s="10"/>
    </row>
    <row r="48" spans="1:19">
      <c r="A48" s="10"/>
      <c r="B48" s="10">
        <v>1</v>
      </c>
      <c r="C48" s="10" t="str">
        <f>VLOOKUP(B48,Tablas!$M$4:$O$22,2,0)</f>
        <v>6149</v>
      </c>
      <c r="D48" s="325">
        <f>VLOOKUP(C48,'Cost Report'!$G$10:$H$2481,2,0)</f>
        <v>0</v>
      </c>
      <c r="E48" s="325"/>
      <c r="F48" s="30">
        <f>VLOOKUP(C48,Tablas!$N$4:$O$210,2,0)</f>
        <v>27000</v>
      </c>
      <c r="G48" s="10"/>
      <c r="H48" s="10" t="str">
        <f>VLOOKUP(B48,Tablas!$I$4:$K$22,2,0)</f>
        <v>6004</v>
      </c>
      <c r="I48" s="325">
        <f>VLOOKUP(H48,'Cost Report'!$G$10:$H$2481,2,0)</f>
        <v>0</v>
      </c>
      <c r="J48" s="325"/>
      <c r="K48" s="30">
        <f>VLOOKUP(H48,Tablas!$J$4:$K$210,2,0)</f>
        <v>-458343.24000000022</v>
      </c>
      <c r="L48" s="175"/>
      <c r="M48" s="10"/>
      <c r="N48" s="10"/>
      <c r="O48" s="10"/>
      <c r="P48" s="10"/>
      <c r="Q48" s="10"/>
      <c r="R48" s="10"/>
      <c r="S48" s="10"/>
    </row>
    <row r="49" spans="1:19">
      <c r="A49" s="10"/>
      <c r="B49" s="10">
        <v>2</v>
      </c>
      <c r="C49" s="10" t="str">
        <f>VLOOKUP(B49,Tablas!$M$4:$O$22,2,0)</f>
        <v>3632</v>
      </c>
      <c r="D49" s="325">
        <f>VLOOKUP(C49,'Cost Report'!$G$10:$H$2481,2,0)</f>
        <v>0</v>
      </c>
      <c r="E49" s="325"/>
      <c r="F49" s="30">
        <f>VLOOKUP(C49,Tablas!$N$4:$O$210,2,0)</f>
        <v>170.04099999996834</v>
      </c>
      <c r="G49" s="10"/>
      <c r="H49" s="10" t="str">
        <f>VLOOKUP(B49,Tablas!$I$4:$K$22,2,0)</f>
        <v>1640</v>
      </c>
      <c r="I49" s="325">
        <f>VLOOKUP(H49,'Cost Report'!$G$10:$H$2481,2,0)</f>
        <v>0</v>
      </c>
      <c r="J49" s="325"/>
      <c r="K49" s="30">
        <f>VLOOKUP(H49,Tablas!$J$4:$K$210,2,0)</f>
        <v>-9998.792999999976</v>
      </c>
      <c r="L49" s="10"/>
      <c r="M49" s="10"/>
      <c r="N49" s="10"/>
      <c r="O49" s="10"/>
      <c r="P49" s="10"/>
      <c r="Q49" s="10"/>
      <c r="R49" s="10"/>
      <c r="S49" s="10"/>
    </row>
    <row r="50" spans="1:19">
      <c r="A50" s="10"/>
      <c r="B50" s="10">
        <v>3</v>
      </c>
      <c r="C50" s="10" t="str">
        <f>VLOOKUP(B50,Tablas!$M$4:$O$22,2,0)</f>
        <v>7094</v>
      </c>
      <c r="D50" s="325">
        <f>VLOOKUP(C50,'Cost Report'!$G$10:$H$2481,2,0)</f>
        <v>0</v>
      </c>
      <c r="E50" s="325"/>
      <c r="F50" s="30">
        <f>VLOOKUP(C50,Tablas!$N$4:$O$210,2,0)</f>
        <v>1.0000000009313226E-2</v>
      </c>
      <c r="G50" s="10"/>
      <c r="H50" s="10" t="str">
        <f>VLOOKUP(B50,Tablas!$I$4:$K$22,2,0)</f>
        <v>2080</v>
      </c>
      <c r="I50" s="325">
        <f>VLOOKUP(H50,'Cost Report'!$G$10:$H$2481,2,0)</f>
        <v>0</v>
      </c>
      <c r="J50" s="325"/>
      <c r="K50" s="30">
        <f>VLOOKUP(H50,Tablas!$J$4:$K$210,2,0)</f>
        <v>-8166.9869999999937</v>
      </c>
      <c r="L50" s="10"/>
      <c r="M50" s="10"/>
      <c r="N50" s="10"/>
      <c r="O50" s="10"/>
      <c r="P50" s="10"/>
      <c r="Q50" s="10"/>
      <c r="R50" s="10"/>
      <c r="S50" s="10"/>
    </row>
    <row r="51" spans="1:19">
      <c r="A51" s="10"/>
      <c r="B51" s="10">
        <v>4</v>
      </c>
      <c r="C51" s="10" t="str">
        <f>VLOOKUP(B51,Tablas!$M$4:$O$22,2,0)</f>
        <v>5011</v>
      </c>
      <c r="D51" s="325">
        <f>VLOOKUP(C51,'Cost Report'!$G$10:$H$2481,2,0)</f>
        <v>0</v>
      </c>
      <c r="E51" s="325"/>
      <c r="F51" s="30">
        <f>VLOOKUP(C51,Tablas!$N$4:$O$210,2,0)</f>
        <v>0</v>
      </c>
      <c r="G51" s="10"/>
      <c r="H51" s="10" t="str">
        <f>VLOOKUP(B51,Tablas!$I$4:$K$22,2,0)</f>
        <v>2494</v>
      </c>
      <c r="I51" s="325">
        <f>VLOOKUP(H51,'Cost Report'!$G$10:$H$2481,2,0)</f>
        <v>0</v>
      </c>
      <c r="J51" s="325"/>
      <c r="K51" s="30">
        <f>VLOOKUP(H51,Tablas!$J$4:$K$210,2,0)</f>
        <v>-7715.4869999997318</v>
      </c>
      <c r="L51" s="10"/>
      <c r="M51" s="10"/>
      <c r="N51" s="10"/>
      <c r="O51" s="10"/>
      <c r="P51" s="10"/>
      <c r="Q51" s="10"/>
      <c r="R51" s="10"/>
      <c r="S51" s="10"/>
    </row>
    <row r="52" spans="1:19">
      <c r="A52" s="10"/>
      <c r="B52" s="10">
        <v>5</v>
      </c>
      <c r="C52" s="10" t="str">
        <f>VLOOKUP(B52,Tablas!$M$4:$O$22,2,0)</f>
        <v>3192</v>
      </c>
      <c r="D52" s="325">
        <f>VLOOKUP(C52,'Cost Report'!$G$10:$H$2481,2,0)</f>
        <v>0</v>
      </c>
      <c r="E52" s="325"/>
      <c r="F52" s="30">
        <f>VLOOKUP(C52,Tablas!$N$4:$O$210,2,0)</f>
        <v>0</v>
      </c>
      <c r="G52" s="10"/>
      <c r="H52" s="10" t="str">
        <f>VLOOKUP(B52,Tablas!$I$4:$K$22,2,0)</f>
        <v>3401</v>
      </c>
      <c r="I52" s="325">
        <f>VLOOKUP(H52,'Cost Report'!$G$10:$H$2481,2,0)</f>
        <v>0</v>
      </c>
      <c r="J52" s="325"/>
      <c r="K52" s="30">
        <f>VLOOKUP(H52,Tablas!$J$4:$K$210,2,0)</f>
        <v>-6571.9890000000014</v>
      </c>
      <c r="L52" s="10"/>
      <c r="M52" s="10"/>
      <c r="N52" s="10"/>
      <c r="O52" s="10"/>
      <c r="P52" s="10"/>
      <c r="Q52" s="10"/>
      <c r="R52" s="10"/>
      <c r="S52" s="10"/>
    </row>
    <row r="53" spans="1:19">
      <c r="A53" s="10"/>
      <c r="B53" s="10">
        <v>6</v>
      </c>
      <c r="C53" s="10" t="str">
        <f>VLOOKUP(B53,Tablas!$M$4:$O$22,2,0)</f>
        <v>3001</v>
      </c>
      <c r="D53" s="325">
        <f>VLOOKUP(C53,'Cost Report'!$G$10:$H$2481,2,0)</f>
        <v>0</v>
      </c>
      <c r="E53" s="325"/>
      <c r="F53" s="30">
        <f>VLOOKUP(C53,Tablas!$N$4:$O$210,2,0)</f>
        <v>0</v>
      </c>
      <c r="G53" s="10"/>
      <c r="H53" s="10" t="str">
        <f>VLOOKUP(B53,Tablas!$I$4:$K$22,2,0)</f>
        <v>2794</v>
      </c>
      <c r="I53" s="325">
        <f>VLOOKUP(H53,'Cost Report'!$G$10:$H$2481,2,0)</f>
        <v>0</v>
      </c>
      <c r="J53" s="325"/>
      <c r="K53" s="30">
        <f>VLOOKUP(H53,Tablas!$J$4:$K$210,2,0)</f>
        <v>-4340.7870000004768</v>
      </c>
      <c r="L53" s="10"/>
      <c r="M53" s="10"/>
      <c r="N53" s="10"/>
      <c r="O53" s="10"/>
      <c r="P53" s="10"/>
      <c r="Q53" s="10"/>
      <c r="R53" s="10"/>
      <c r="S53" s="10"/>
    </row>
    <row r="54" spans="1:19">
      <c r="A54" s="10"/>
      <c r="B54" s="10">
        <v>7</v>
      </c>
      <c r="C54" s="10" t="str">
        <f>VLOOKUP(B54,Tablas!$M$4:$O$22,2,0)</f>
        <v>1193</v>
      </c>
      <c r="D54" s="325">
        <f>VLOOKUP(C54,'Cost Report'!$G$10:$H$2481,2,0)</f>
        <v>0</v>
      </c>
      <c r="E54" s="325"/>
      <c r="F54" s="30">
        <f>VLOOKUP(C54,Tablas!$N$4:$O$210,2,0)</f>
        <v>0</v>
      </c>
      <c r="G54" s="10"/>
      <c r="H54" s="10" t="str">
        <f>VLOOKUP(B54,Tablas!$I$4:$K$22,2,0)</f>
        <v>7038</v>
      </c>
      <c r="I54" s="325">
        <f>VLOOKUP(H54,'Cost Report'!$G$10:$H$2481,2,0)</f>
        <v>0</v>
      </c>
      <c r="J54" s="325"/>
      <c r="K54" s="30">
        <f>VLOOKUP(H54,Tablas!$J$4:$K$210,2,0)</f>
        <v>-4052.3980000000156</v>
      </c>
      <c r="L54" s="10"/>
      <c r="M54" s="10"/>
      <c r="N54" s="10"/>
      <c r="O54" s="10"/>
      <c r="P54" s="10"/>
      <c r="Q54" s="10"/>
      <c r="R54" s="10"/>
      <c r="S54" s="10"/>
    </row>
    <row r="55" spans="1:19">
      <c r="A55" s="10"/>
      <c r="B55" s="10">
        <v>8</v>
      </c>
      <c r="C55" s="10" t="str">
        <f>VLOOKUP(B55,Tablas!$M$4:$O$22,2,0)</f>
        <v>1107</v>
      </c>
      <c r="D55" s="325">
        <f>VLOOKUP(C55,'Cost Report'!$G$10:$H$2481,2,0)</f>
        <v>0</v>
      </c>
      <c r="E55" s="325"/>
      <c r="F55" s="30">
        <f>VLOOKUP(C55,Tablas!$N$4:$O$210,2,0)</f>
        <v>0</v>
      </c>
      <c r="G55" s="10"/>
      <c r="H55" s="10" t="str">
        <f>VLOOKUP(B55,Tablas!$I$4:$K$22,2,0)</f>
        <v>3410</v>
      </c>
      <c r="I55" s="325">
        <f>VLOOKUP(H55,'Cost Report'!$G$10:$H$2481,2,0)</f>
        <v>0</v>
      </c>
      <c r="J55" s="325"/>
      <c r="K55" s="30">
        <f>VLOOKUP(H55,Tablas!$J$4:$K$210,2,0)</f>
        <v>-3834.311999999918</v>
      </c>
      <c r="L55" s="10"/>
      <c r="M55" s="10"/>
      <c r="N55" s="10"/>
      <c r="O55" s="10"/>
      <c r="P55" s="10"/>
      <c r="Q55" s="10"/>
      <c r="R55" s="10"/>
      <c r="S55" s="10"/>
    </row>
    <row r="56" spans="1:19">
      <c r="A56" s="10"/>
      <c r="B56" s="10">
        <v>9</v>
      </c>
      <c r="C56" s="10" t="str">
        <f>VLOOKUP(B56,Tablas!$M$4:$O$22,2,0)</f>
        <v>1201</v>
      </c>
      <c r="D56" s="325">
        <f>VLOOKUP(C56,'Cost Report'!$G$10:$H$2481,2,0)</f>
        <v>0</v>
      </c>
      <c r="E56" s="325"/>
      <c r="F56" s="30">
        <f>VLOOKUP(C56,Tablas!$N$4:$O$210,2,0)</f>
        <v>0</v>
      </c>
      <c r="G56" s="10"/>
      <c r="H56" s="10" t="str">
        <f>VLOOKUP(B56,Tablas!$I$4:$K$22,2,0)</f>
        <v>1621</v>
      </c>
      <c r="I56" s="325">
        <f>VLOOKUP(H56,'Cost Report'!$G$10:$H$2481,2,0)</f>
        <v>0</v>
      </c>
      <c r="J56" s="325"/>
      <c r="K56" s="30">
        <f>VLOOKUP(H56,Tablas!$J$4:$K$210,2,0)</f>
        <v>-3000</v>
      </c>
      <c r="L56" s="10"/>
      <c r="M56" s="10"/>
      <c r="N56" s="10"/>
      <c r="O56" s="10"/>
      <c r="P56" s="10"/>
      <c r="Q56" s="10"/>
      <c r="R56" s="10"/>
      <c r="S56" s="10"/>
    </row>
    <row r="57" spans="1:19">
      <c r="A57" s="10"/>
      <c r="B57" s="10">
        <v>10</v>
      </c>
      <c r="C57" s="10" t="str">
        <f>VLOOKUP(B57,Tablas!$M$4:$O$22,2,0)</f>
        <v>5222</v>
      </c>
      <c r="D57" s="325">
        <f>VLOOKUP(C57,'Cost Report'!$G$10:$H$2481,2,0)</f>
        <v>0</v>
      </c>
      <c r="E57" s="325"/>
      <c r="F57" s="30">
        <f>VLOOKUP(C57,Tablas!$N$4:$O$210,2,0)</f>
        <v>0</v>
      </c>
      <c r="G57" s="10"/>
      <c r="H57" s="10" t="str">
        <f>VLOOKUP(B57,Tablas!$I$4:$K$22,2,0)</f>
        <v>3901</v>
      </c>
      <c r="I57" s="325">
        <f>VLOOKUP(H57,'Cost Report'!$G$10:$H$2481,2,0)</f>
        <v>0</v>
      </c>
      <c r="J57" s="325"/>
      <c r="K57" s="30">
        <f>VLOOKUP(H57,Tablas!$J$4:$K$210,2,0)</f>
        <v>-2946.8609999999753</v>
      </c>
      <c r="L57" s="10"/>
      <c r="M57" s="10"/>
      <c r="N57" s="10"/>
      <c r="O57" s="10"/>
      <c r="P57" s="10"/>
      <c r="Q57" s="10"/>
      <c r="R57" s="10"/>
      <c r="S57" s="10"/>
    </row>
    <row r="58" spans="1:19">
      <c r="A58" s="10"/>
      <c r="B58" s="10">
        <v>11</v>
      </c>
      <c r="C58" s="10" t="str">
        <f>VLOOKUP(B58,Tablas!$M$4:$O$22,2,0)</f>
        <v>1202</v>
      </c>
      <c r="D58" s="325">
        <f>VLOOKUP(C58,'Cost Report'!$G$10:$H$2481,2,0)</f>
        <v>0</v>
      </c>
      <c r="E58" s="325"/>
      <c r="F58" s="30">
        <f>VLOOKUP(C58,Tablas!$N$4:$O$210,2,0)</f>
        <v>0</v>
      </c>
      <c r="G58" s="10"/>
      <c r="H58" s="10" t="str">
        <f>VLOOKUP(B58,Tablas!$I$4:$K$22,2,0)</f>
        <v>2285</v>
      </c>
      <c r="I58" s="325">
        <f>VLOOKUP(H58,'Cost Report'!$G$10:$H$2481,2,0)</f>
        <v>0</v>
      </c>
      <c r="J58" s="325"/>
      <c r="K58" s="30">
        <f>VLOOKUP(H58,Tablas!$J$4:$K$210,2,0)</f>
        <v>-2698.2989999999845</v>
      </c>
      <c r="L58" s="10"/>
      <c r="M58" s="10"/>
      <c r="N58" s="10"/>
      <c r="O58" s="10"/>
      <c r="P58" s="10"/>
      <c r="Q58" s="10"/>
      <c r="R58" s="10"/>
      <c r="S58" s="10"/>
    </row>
    <row r="59" spans="1:19">
      <c r="A59" s="10"/>
      <c r="B59" s="10">
        <v>12</v>
      </c>
      <c r="C59" s="10" t="str">
        <f>VLOOKUP(B59,Tablas!$M$4:$O$22,2,0)</f>
        <v>3102</v>
      </c>
      <c r="D59" s="325">
        <f>VLOOKUP(C59,'Cost Report'!$G$10:$H$2481,2,0)</f>
        <v>0</v>
      </c>
      <c r="E59" s="325"/>
      <c r="F59" s="30">
        <f>VLOOKUP(C59,Tablas!$N$4:$O$210,2,0)</f>
        <v>0</v>
      </c>
      <c r="G59" s="10"/>
      <c r="H59" s="10" t="str">
        <f>VLOOKUP(B59,Tablas!$I$4:$K$22,2,0)</f>
        <v>2594</v>
      </c>
      <c r="I59" s="325">
        <f>VLOOKUP(H59,'Cost Report'!$G$10:$H$2481,2,0)</f>
        <v>0</v>
      </c>
      <c r="J59" s="325"/>
      <c r="K59" s="30">
        <f>VLOOKUP(H59,Tablas!$J$4:$K$210,2,0)</f>
        <v>-2183.3039999999455</v>
      </c>
      <c r="L59" s="10"/>
      <c r="M59" s="10"/>
      <c r="N59" s="10"/>
      <c r="O59" s="10"/>
      <c r="P59" s="10"/>
      <c r="Q59" s="10"/>
      <c r="R59" s="10"/>
      <c r="S59" s="10"/>
    </row>
    <row r="60" spans="1:19">
      <c r="A60" s="10"/>
      <c r="B60" s="10">
        <v>13</v>
      </c>
      <c r="C60" s="10" t="str">
        <f>VLOOKUP(B60,Tablas!$M$4:$O$22,2,0)</f>
        <v>1204</v>
      </c>
      <c r="D60" s="325">
        <f>VLOOKUP(C60,'Cost Report'!$G$10:$H$2481,2,0)</f>
        <v>0</v>
      </c>
      <c r="E60" s="325"/>
      <c r="F60" s="30">
        <f>VLOOKUP(C60,Tablas!$N$4:$O$210,2,0)</f>
        <v>0</v>
      </c>
      <c r="G60" s="10"/>
      <c r="H60" s="10" t="str">
        <f>VLOOKUP(B60,Tablas!$I$4:$K$22,2,0)</f>
        <v>2042</v>
      </c>
      <c r="I60" s="325">
        <f>VLOOKUP(H60,'Cost Report'!$G$10:$H$2481,2,0)</f>
        <v>0</v>
      </c>
      <c r="J60" s="325"/>
      <c r="K60" s="30">
        <f>VLOOKUP(H60,Tablas!$J$4:$K$210,2,0)</f>
        <v>-1704.2250000000004</v>
      </c>
      <c r="L60" s="10"/>
      <c r="M60" s="10"/>
      <c r="N60" s="10"/>
      <c r="O60" s="10"/>
      <c r="P60" s="10"/>
      <c r="Q60" s="10"/>
      <c r="R60" s="10"/>
      <c r="S60" s="10"/>
    </row>
    <row r="61" spans="1:19">
      <c r="A61" s="10"/>
      <c r="B61" s="10">
        <v>14</v>
      </c>
      <c r="C61" s="10" t="str">
        <f>VLOOKUP(B61,Tablas!$M$4:$O$22,2,0)</f>
        <v>3305</v>
      </c>
      <c r="D61" s="325">
        <f>VLOOKUP(C61,'Cost Report'!$G$10:$H$2481,2,0)</f>
        <v>0</v>
      </c>
      <c r="E61" s="325"/>
      <c r="F61" s="30">
        <f>VLOOKUP(C61,Tablas!$N$4:$O$210,2,0)</f>
        <v>0</v>
      </c>
      <c r="G61" s="10"/>
      <c r="H61" s="10" t="str">
        <f>VLOOKUP(B61,Tablas!$I$4:$K$22,2,0)</f>
        <v>7050</v>
      </c>
      <c r="I61" s="325">
        <f>VLOOKUP(H61,'Cost Report'!$G$10:$H$2481,2,0)</f>
        <v>0</v>
      </c>
      <c r="J61" s="325"/>
      <c r="K61" s="30">
        <f>VLOOKUP(H61,Tablas!$J$4:$K$210,2,0)</f>
        <v>-1573.0380000000005</v>
      </c>
      <c r="L61" s="10"/>
      <c r="M61" s="10"/>
      <c r="N61" s="10"/>
      <c r="O61" s="10"/>
      <c r="P61" s="10"/>
      <c r="Q61" s="10"/>
      <c r="R61" s="10"/>
      <c r="S61" s="10"/>
    </row>
    <row r="62" spans="1:19">
      <c r="A62" s="10"/>
      <c r="B62" s="10">
        <v>15</v>
      </c>
      <c r="C62" s="10" t="str">
        <f>VLOOKUP(B62,Tablas!$M$4:$O$22,2,0)</f>
        <v>1222</v>
      </c>
      <c r="D62" s="325">
        <f>VLOOKUP(C62,'Cost Report'!$G$10:$H$2481,2,0)</f>
        <v>0</v>
      </c>
      <c r="E62" s="325"/>
      <c r="F62" s="30">
        <f>VLOOKUP(C62,Tablas!$N$4:$O$210,2,0)</f>
        <v>0</v>
      </c>
      <c r="G62" s="10"/>
      <c r="H62" s="10" t="str">
        <f>VLOOKUP(B62,Tablas!$I$4:$K$22,2,0)</f>
        <v>1487</v>
      </c>
      <c r="I62" s="325">
        <f>VLOOKUP(H62,'Cost Report'!$G$10:$H$2481,2,0)</f>
        <v>0</v>
      </c>
      <c r="J62" s="325"/>
      <c r="K62" s="30">
        <f>VLOOKUP(H62,Tablas!$J$4:$K$210,2,0)</f>
        <v>-1412.0100000000002</v>
      </c>
      <c r="L62" s="10"/>
      <c r="M62" s="10"/>
      <c r="N62" s="10"/>
      <c r="O62" s="10"/>
      <c r="P62" s="10"/>
      <c r="Q62" s="10"/>
      <c r="R62" s="10"/>
      <c r="S62" s="10"/>
    </row>
    <row r="63" spans="1:19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</row>
    <row r="64" spans="1:19">
      <c r="A64" s="10"/>
      <c r="B64" s="114" t="s">
        <v>92</v>
      </c>
      <c r="C64" s="134">
        <f>+C19-'Cost Report'!J7</f>
        <v>0</v>
      </c>
      <c r="D64" s="134">
        <f>+D19-'Cost Report'!K7</f>
        <v>0</v>
      </c>
      <c r="E64" s="134">
        <f>+E19-'Cost Report'!L7</f>
        <v>0</v>
      </c>
      <c r="F64" s="134">
        <f ca="1">+F19-'Cost Report'!M7</f>
        <v>0</v>
      </c>
      <c r="G64" s="134">
        <f ca="1">+G19-'Cost Report'!N7</f>
        <v>0</v>
      </c>
      <c r="H64" s="134">
        <f ca="1">+H19-'Cost Report'!O7</f>
        <v>0</v>
      </c>
      <c r="I64" s="134">
        <f ca="1">+I19-'Cost Report'!P7</f>
        <v>-1.5425030142068863E-8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</row>
    <row r="65" spans="1:19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1:19">
      <c r="A66" s="10"/>
      <c r="B66" s="10"/>
      <c r="C66" s="1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</row>
    <row r="67" spans="1:19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</row>
    <row r="68" spans="1:19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</row>
    <row r="69" spans="1:1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</row>
    <row r="70" spans="1:19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1:19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</row>
    <row r="72" spans="1:19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</row>
    <row r="73" spans="1:19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</row>
    <row r="74" spans="1:19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</row>
    <row r="75" spans="1:19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</row>
    <row r="76" spans="1:19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</row>
    <row r="77" spans="1:19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</row>
    <row r="78" spans="1:19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</row>
    <row r="79" spans="1:1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</row>
    <row r="80" spans="1:19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</row>
    <row r="81" spans="1:19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</row>
    <row r="82" spans="1:19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</row>
    <row r="83" spans="1:19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</row>
    <row r="84" spans="1:19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</row>
    <row r="85" spans="1:19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</row>
    <row r="86" spans="1:19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</row>
    <row r="87" spans="1:19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</row>
    <row r="88" spans="1:19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</row>
    <row r="89" spans="1:1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</row>
    <row r="90" spans="1:19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</row>
    <row r="91" spans="1:19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</row>
    <row r="92" spans="1:19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</row>
    <row r="93" spans="1:19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</row>
    <row r="94" spans="1:19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</row>
    <row r="95" spans="1:19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</row>
    <row r="96" spans="1:19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</row>
    <row r="97" spans="1:19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</row>
    <row r="98" spans="1:19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</row>
    <row r="99" spans="1:1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</row>
    <row r="100" spans="1:19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</row>
    <row r="101" spans="1:19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</row>
    <row r="102" spans="1:19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</row>
    <row r="103" spans="1:19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</row>
    <row r="104" spans="1:19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</row>
    <row r="105" spans="1:19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</row>
    <row r="106" spans="1:19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</row>
    <row r="107" spans="1:19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</row>
    <row r="108" spans="1:19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</row>
    <row r="109" spans="1:1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</row>
    <row r="110" spans="1:19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</row>
    <row r="111" spans="1:19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</row>
    <row r="112" spans="1:19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</row>
    <row r="113" spans="1:19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</row>
    <row r="114" spans="1:19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</row>
    <row r="115" spans="1:19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</row>
    <row r="116" spans="1:19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</row>
    <row r="117" spans="1:19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</row>
    <row r="118" spans="1:19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</row>
    <row r="119" spans="1: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</row>
    <row r="120" spans="1:19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</row>
    <row r="121" spans="1:19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</row>
    <row r="122" spans="1:19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</row>
    <row r="123" spans="1:19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</row>
    <row r="124" spans="1:19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</row>
    <row r="125" spans="1:19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</row>
    <row r="126" spans="1:19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</row>
    <row r="127" spans="1:19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</row>
    <row r="128" spans="1:19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</row>
    <row r="129" spans="1:1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</row>
    <row r="130" spans="1:19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</row>
    <row r="131" spans="1:19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</row>
    <row r="132" spans="1:19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</row>
    <row r="133" spans="1:19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</row>
    <row r="134" spans="1:19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</row>
    <row r="135" spans="1:19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</row>
    <row r="136" spans="1:19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</row>
    <row r="137" spans="1:19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</row>
    <row r="138" spans="1:19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</row>
    <row r="139" spans="1:1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</row>
    <row r="140" spans="1:19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</row>
    <row r="141" spans="1:19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</row>
    <row r="142" spans="1:19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</row>
    <row r="143" spans="1:19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</row>
    <row r="144" spans="1:19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</row>
    <row r="145" spans="1:19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</row>
    <row r="146" spans="1:19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</row>
    <row r="147" spans="1:19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</row>
    <row r="148" spans="1:19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</row>
    <row r="149" spans="1:1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</row>
    <row r="150" spans="1:19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</row>
    <row r="151" spans="1:19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</row>
    <row r="152" spans="1:19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</row>
    <row r="153" spans="1:19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</row>
    <row r="154" spans="1:19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</row>
    <row r="155" spans="1:19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</row>
    <row r="156" spans="1:19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</row>
    <row r="157" spans="1:19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</row>
    <row r="158" spans="1:19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</row>
    <row r="159" spans="1:1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</row>
    <row r="160" spans="1:19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</row>
    <row r="161" spans="1:19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</row>
    <row r="162" spans="1:19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</row>
    <row r="163" spans="1:19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</row>
    <row r="164" spans="1:19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</row>
    <row r="165" spans="1:19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</row>
    <row r="166" spans="1:19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</row>
    <row r="167" spans="1:19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</row>
    <row r="168" spans="1:19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</row>
    <row r="169" spans="1:1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</row>
    <row r="170" spans="1:19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</row>
    <row r="171" spans="1:19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</row>
    <row r="172" spans="1:19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</row>
    <row r="173" spans="1:19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</row>
    <row r="174" spans="1:19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</row>
    <row r="175" spans="1:19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</row>
    <row r="176" spans="1:19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</row>
    <row r="177" spans="1:19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</row>
    <row r="178" spans="1:19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</row>
    <row r="179" spans="1:1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</row>
    <row r="180" spans="1:19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</row>
    <row r="181" spans="1:19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</row>
    <row r="182" spans="1:19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</row>
    <row r="183" spans="1:19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</row>
    <row r="184" spans="1:19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</row>
    <row r="185" spans="1:19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</row>
    <row r="186" spans="1:19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</row>
    <row r="187" spans="1:19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</row>
    <row r="188" spans="1:19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</row>
    <row r="189" spans="1:1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</row>
    <row r="190" spans="1:19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</row>
    <row r="191" spans="1:19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</row>
    <row r="192" spans="1:19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</row>
    <row r="193" spans="1:19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</row>
    <row r="194" spans="1:19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</row>
    <row r="195" spans="1:19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</row>
    <row r="196" spans="1:19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</row>
    <row r="197" spans="1:19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</row>
    <row r="198" spans="1:19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</row>
    <row r="199" spans="1:1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</row>
    <row r="200" spans="1:19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</row>
    <row r="201" spans="1:19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</row>
    <row r="202" spans="1:19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</row>
    <row r="203" spans="1:19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</row>
    <row r="204" spans="1:19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</row>
    <row r="205" spans="1:19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</row>
    <row r="206" spans="1:19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</row>
    <row r="207" spans="1:19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</row>
    <row r="208" spans="1:19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</row>
    <row r="209" spans="1:1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</row>
    <row r="210" spans="1:19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</row>
    <row r="211" spans="1:19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</row>
    <row r="212" spans="1:19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</row>
    <row r="213" spans="1:19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</row>
    <row r="214" spans="1:19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</row>
    <row r="215" spans="1:19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</row>
    <row r="216" spans="1:19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</row>
    <row r="217" spans="1:19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</row>
    <row r="218" spans="1:19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</row>
    <row r="219" spans="1: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</row>
    <row r="220" spans="1:19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</row>
    <row r="221" spans="1:19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</row>
    <row r="222" spans="1:19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</row>
    <row r="223" spans="1:19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</row>
    <row r="224" spans="1:19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</row>
    <row r="225" spans="1:19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</row>
    <row r="226" spans="1:19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</row>
    <row r="227" spans="1:19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</row>
    <row r="228" spans="1:19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</row>
    <row r="229" spans="1:1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</row>
    <row r="230" spans="1:19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</row>
    <row r="231" spans="1:19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</row>
    <row r="232" spans="1:19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</row>
    <row r="233" spans="1:19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</row>
    <row r="234" spans="1:19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</row>
    <row r="235" spans="1:19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</row>
    <row r="236" spans="1:19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</row>
    <row r="237" spans="1:19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</row>
    <row r="238" spans="1:19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</row>
    <row r="239" spans="1:1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</row>
    <row r="240" spans="1:19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</row>
    <row r="241" spans="1:19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</row>
    <row r="242" spans="1:19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</row>
    <row r="243" spans="1:19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</row>
    <row r="244" spans="1:19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</row>
  </sheetData>
  <mergeCells count="52">
    <mergeCell ref="D47:E47"/>
    <mergeCell ref="D4:E4"/>
    <mergeCell ref="C23:F23"/>
    <mergeCell ref="H23:K23"/>
    <mergeCell ref="D24:E24"/>
    <mergeCell ref="C46:F46"/>
    <mergeCell ref="H46:K46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9:E39"/>
    <mergeCell ref="D34:E34"/>
    <mergeCell ref="D35:E35"/>
    <mergeCell ref="D36:E36"/>
    <mergeCell ref="D37:E37"/>
    <mergeCell ref="D38:E38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</mergeCells>
  <conditionalFormatting sqref="I14:I17">
    <cfRule type="cellIs" dxfId="36" priority="5" operator="lessThan">
      <formula>0</formula>
    </cfRule>
    <cfRule type="cellIs" dxfId="35" priority="6" operator="greaterThan">
      <formula>0</formula>
    </cfRule>
  </conditionalFormatting>
  <conditionalFormatting sqref="N14:N17">
    <cfRule type="cellIs" dxfId="34" priority="1" operator="lessThan">
      <formula>0</formula>
    </cfRule>
    <cfRule type="cellIs" dxfId="33" priority="2" operator="greater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F14:F17" formula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E91E30-6B3C-214D-8691-6CA0785FC17E}">
          <x14:formula1>
            <xm:f>Budget!$I$2:$I$12</xm:f>
          </x14:formula1>
          <xm:sqref>E6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A609-9E8F-D948-9650-204090327355}">
  <sheetPr codeName="Hoja1">
    <tabColor theme="3"/>
  </sheetPr>
  <dimension ref="A1:H10"/>
  <sheetViews>
    <sheetView workbookViewId="0">
      <selection activeCell="L9" sqref="L9"/>
    </sheetView>
  </sheetViews>
  <sheetFormatPr baseColWidth="10" defaultRowHeight="15.6"/>
  <cols>
    <col min="3" max="4" width="13" style="107" bestFit="1" customWidth="1"/>
    <col min="5" max="5" width="13.69921875" style="107" bestFit="1" customWidth="1"/>
  </cols>
  <sheetData>
    <row r="1" spans="1:8">
      <c r="A1" s="173" t="s">
        <v>5444</v>
      </c>
      <c r="B1" s="173" t="s">
        <v>45</v>
      </c>
      <c r="C1" s="209" t="s">
        <v>94</v>
      </c>
      <c r="D1" s="209" t="s">
        <v>5445</v>
      </c>
      <c r="E1" s="209" t="s">
        <v>5446</v>
      </c>
    </row>
    <row r="2" spans="1:8">
      <c r="A2" t="s">
        <v>2141</v>
      </c>
      <c r="B2" t="s">
        <v>1</v>
      </c>
      <c r="C2" s="210">
        <v>0</v>
      </c>
      <c r="E2" s="167">
        <f>+C2-D2</f>
        <v>0</v>
      </c>
    </row>
    <row r="3" spans="1:8">
      <c r="A3" t="s">
        <v>2868</v>
      </c>
      <c r="B3" t="s">
        <v>1030</v>
      </c>
      <c r="C3" s="210">
        <v>1000</v>
      </c>
      <c r="D3" s="107">
        <v>1000</v>
      </c>
      <c r="E3" s="167">
        <f t="shared" ref="E3:E10" si="0">+C3-D3</f>
        <v>0</v>
      </c>
      <c r="F3" s="106"/>
      <c r="G3" s="107"/>
      <c r="H3" s="106"/>
    </row>
    <row r="4" spans="1:8">
      <c r="A4" t="s">
        <v>5501</v>
      </c>
      <c r="B4" t="s">
        <v>5502</v>
      </c>
      <c r="C4" s="107">
        <v>0</v>
      </c>
      <c r="E4" s="167">
        <f t="shared" si="0"/>
        <v>0</v>
      </c>
    </row>
    <row r="5" spans="1:8">
      <c r="A5" t="s">
        <v>3064</v>
      </c>
      <c r="B5" t="s">
        <v>388</v>
      </c>
      <c r="C5" s="107">
        <v>0</v>
      </c>
      <c r="E5" s="167">
        <f t="shared" si="0"/>
        <v>0</v>
      </c>
    </row>
    <row r="6" spans="1:8">
      <c r="A6" t="s">
        <v>3065</v>
      </c>
      <c r="B6" t="s">
        <v>423</v>
      </c>
      <c r="C6" s="107">
        <v>0</v>
      </c>
      <c r="E6" s="167">
        <f t="shared" si="0"/>
        <v>0</v>
      </c>
    </row>
    <row r="7" spans="1:8">
      <c r="A7" t="s">
        <v>3083</v>
      </c>
      <c r="B7" t="s">
        <v>388</v>
      </c>
      <c r="C7" s="107">
        <v>0</v>
      </c>
      <c r="E7" s="167">
        <f t="shared" si="0"/>
        <v>0</v>
      </c>
    </row>
    <row r="8" spans="1:8">
      <c r="A8" t="s">
        <v>3097</v>
      </c>
      <c r="B8" t="s">
        <v>1784</v>
      </c>
      <c r="C8" s="107">
        <v>2138791.9500000011</v>
      </c>
      <c r="D8" s="107">
        <v>1069395.98</v>
      </c>
      <c r="E8" s="167">
        <f t="shared" si="0"/>
        <v>1069395.9700000011</v>
      </c>
    </row>
    <row r="9" spans="1:8">
      <c r="A9" t="s">
        <v>3102</v>
      </c>
      <c r="B9" t="s">
        <v>1399</v>
      </c>
      <c r="C9" s="107">
        <v>745.68000000000029</v>
      </c>
      <c r="D9" s="107">
        <v>-4000</v>
      </c>
      <c r="E9" s="167">
        <f>+C9-D9-500</f>
        <v>4245.68</v>
      </c>
    </row>
    <row r="10" spans="1:8">
      <c r="A10" t="s">
        <v>1293</v>
      </c>
      <c r="B10" t="s">
        <v>0</v>
      </c>
      <c r="C10" s="107">
        <v>0</v>
      </c>
      <c r="E10" s="167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EEC3-D92F-D649-A270-073A2601143F}">
  <sheetPr codeName="Sheet7">
    <tabColor theme="3"/>
  </sheetPr>
  <dimension ref="A1:AL3070"/>
  <sheetViews>
    <sheetView tabSelected="1" topLeftCell="H759" zoomScale="89" zoomScaleNormal="90" workbookViewId="0">
      <selection activeCell="P1576" sqref="P1576"/>
    </sheetView>
  </sheetViews>
  <sheetFormatPr baseColWidth="10" defaultColWidth="1.19921875" defaultRowHeight="15.6" zeroHeight="1" outlineLevelCol="1"/>
  <cols>
    <col min="1" max="1" width="2.69921875" customWidth="1"/>
    <col min="2" max="2" width="25" hidden="1" customWidth="1"/>
    <col min="3" max="7" width="10.796875" customWidth="1"/>
    <col min="8" max="8" width="55.796875" bestFit="1" customWidth="1"/>
    <col min="9" max="9" width="3.19921875" customWidth="1"/>
    <col min="10" max="10" width="18.796875" style="16" bestFit="1" customWidth="1"/>
    <col min="11" max="11" width="16.69921875" style="16" customWidth="1"/>
    <col min="12" max="12" width="18.296875" style="16" bestFit="1" customWidth="1"/>
    <col min="13" max="13" width="19.5" style="16" bestFit="1" customWidth="1"/>
    <col min="14" max="14" width="20.19921875" style="16" bestFit="1" customWidth="1"/>
    <col min="15" max="15" width="18.796875" style="16" bestFit="1" customWidth="1"/>
    <col min="16" max="17" width="18.5" style="16" customWidth="1"/>
    <col min="18" max="18" width="8" style="7" customWidth="1"/>
    <col min="19" max="19" width="16.796875" style="16" customWidth="1"/>
    <col min="20" max="20" width="17.796875" style="16" customWidth="1"/>
    <col min="21" max="21" width="13.5" style="7" customWidth="1"/>
    <col min="22" max="22" width="15.296875" customWidth="1"/>
    <col min="23" max="23" width="4.69921875" customWidth="1"/>
    <col min="24" max="24" width="3.69921875" customWidth="1"/>
    <col min="25" max="27" width="11.5" hidden="1" customWidth="1" outlineLevel="1"/>
    <col min="28" max="28" width="11.5" customWidth="1" collapsed="1"/>
    <col min="29" max="56" width="11.5" customWidth="1"/>
  </cols>
  <sheetData>
    <row r="1" spans="1:37">
      <c r="A1" s="10"/>
      <c r="B1" s="10"/>
      <c r="C1" s="10"/>
      <c r="D1" s="10"/>
      <c r="E1" s="10"/>
      <c r="F1" s="10"/>
      <c r="G1" s="10"/>
      <c r="H1" s="10"/>
      <c r="I1" s="10"/>
      <c r="J1" s="15"/>
      <c r="K1" s="15"/>
      <c r="L1" s="15"/>
      <c r="M1" s="15"/>
      <c r="N1" s="15"/>
      <c r="O1" s="15"/>
      <c r="P1" s="15"/>
      <c r="Q1" s="15"/>
      <c r="R1" s="11"/>
      <c r="S1" s="15"/>
      <c r="T1" s="15"/>
      <c r="U1" s="11"/>
      <c r="V1" s="10"/>
      <c r="W1" s="10"/>
      <c r="X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>
      <c r="A2" s="10"/>
      <c r="B2" s="10"/>
      <c r="C2" s="10"/>
      <c r="D2" s="10"/>
      <c r="E2" s="10"/>
      <c r="F2" s="10"/>
      <c r="G2" s="10"/>
      <c r="H2" s="10"/>
      <c r="I2" s="10"/>
      <c r="J2" s="15"/>
      <c r="K2" s="15"/>
      <c r="L2" s="15"/>
      <c r="M2" s="15"/>
      <c r="N2" s="15"/>
      <c r="O2" s="15"/>
      <c r="P2" s="15"/>
      <c r="Q2" s="15"/>
      <c r="R2" s="11"/>
      <c r="S2" s="15"/>
      <c r="T2" s="15"/>
      <c r="U2" s="11"/>
      <c r="V2" s="10"/>
      <c r="W2" s="10"/>
      <c r="X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23.4">
      <c r="A3" s="10"/>
      <c r="B3" s="10"/>
      <c r="C3" s="10"/>
      <c r="D3" s="10"/>
      <c r="E3" s="10"/>
      <c r="F3" s="12" t="s">
        <v>22</v>
      </c>
      <c r="G3" s="12"/>
      <c r="H3" s="12"/>
      <c r="I3" s="10"/>
      <c r="J3" s="15"/>
      <c r="K3" s="15"/>
      <c r="L3" s="15"/>
      <c r="M3" s="15"/>
      <c r="N3" s="15"/>
      <c r="O3" s="15"/>
      <c r="P3" s="15"/>
      <c r="Q3" s="15"/>
      <c r="R3" s="11"/>
      <c r="S3" s="15"/>
      <c r="T3" s="15"/>
      <c r="U3" s="11"/>
      <c r="V3" s="10"/>
      <c r="W3" s="10"/>
      <c r="X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8">
      <c r="A4" s="10"/>
      <c r="B4" s="10"/>
      <c r="C4" s="10"/>
      <c r="D4" s="10"/>
      <c r="E4" s="10"/>
      <c r="F4" s="13" t="s">
        <v>23</v>
      </c>
      <c r="G4" s="13"/>
      <c r="H4" s="13"/>
      <c r="I4" s="10"/>
      <c r="J4" s="15"/>
      <c r="K4" s="15"/>
      <c r="L4" s="15"/>
      <c r="M4" s="15"/>
      <c r="N4" s="15"/>
      <c r="O4" s="15"/>
      <c r="P4" s="15"/>
      <c r="Q4" s="15"/>
      <c r="R4" s="11"/>
      <c r="S4" s="15"/>
      <c r="T4" s="15"/>
      <c r="U4" s="11"/>
      <c r="V4" s="10"/>
      <c r="W4" s="10"/>
      <c r="X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8">
      <c r="A5" s="10"/>
      <c r="B5" s="10"/>
      <c r="C5" s="10"/>
      <c r="D5" s="10"/>
      <c r="E5" s="10"/>
      <c r="F5" s="13" t="s">
        <v>468</v>
      </c>
      <c r="G5" s="13"/>
      <c r="H5" s="13"/>
      <c r="I5" s="10"/>
      <c r="J5" s="15"/>
      <c r="K5" s="15"/>
      <c r="L5" s="15"/>
      <c r="M5" s="15"/>
      <c r="N5" s="15"/>
      <c r="O5" s="15"/>
      <c r="P5" s="15"/>
      <c r="Q5" s="15"/>
      <c r="R5" s="11"/>
      <c r="S5" s="15"/>
      <c r="T5" s="15"/>
      <c r="U5" s="11"/>
      <c r="V5" s="10"/>
      <c r="W5" s="10"/>
      <c r="X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>
      <c r="A6" s="10"/>
      <c r="B6" s="10"/>
      <c r="C6" s="10"/>
      <c r="D6" s="10"/>
      <c r="E6" s="10"/>
      <c r="F6" s="14" t="s">
        <v>24</v>
      </c>
      <c r="G6" s="14"/>
      <c r="H6" s="14"/>
      <c r="I6" s="10"/>
      <c r="J6" s="15"/>
      <c r="K6" s="15"/>
      <c r="L6" s="15"/>
      <c r="M6" s="15"/>
      <c r="N6" s="15"/>
      <c r="O6" s="15"/>
      <c r="P6" s="15"/>
      <c r="Q6" s="15"/>
      <c r="R6" s="11"/>
      <c r="S6" s="15"/>
      <c r="T6" s="15"/>
      <c r="U6" s="11"/>
      <c r="V6" s="10"/>
      <c r="W6" s="10"/>
      <c r="X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8">
      <c r="A7" s="10"/>
      <c r="B7" s="10"/>
      <c r="C7" s="10"/>
      <c r="D7" s="10"/>
      <c r="E7" s="10"/>
      <c r="F7" s="10"/>
      <c r="G7" s="10"/>
      <c r="H7" s="10"/>
      <c r="I7" s="10"/>
      <c r="J7" s="158">
        <f>SUMIF($D$10:$D$2487,"Cuenta General",J$10:J$2487)</f>
        <v>134371982.764</v>
      </c>
      <c r="K7" s="158">
        <f>SUMIF($D$10:$D$2487,"Cuenta General",K$10:K$2487)</f>
        <v>1073641.6500000011</v>
      </c>
      <c r="L7" s="158">
        <f>SUMIF($D$10:$D$2487,"Cuenta General",L$10:L$2487)</f>
        <v>135445624.414</v>
      </c>
      <c r="M7" s="158">
        <f ca="1">SUMIF($D$10:$D$2487,"Cuenta General",M$10:M$2481)</f>
        <v>1.2732925824820995E-11</v>
      </c>
      <c r="N7" s="158">
        <f ca="1">SUMIF($D$10:$D$2487,"Cuenta General",N$10:N$2484)</f>
        <v>135445624.414</v>
      </c>
      <c r="O7" s="158">
        <f ca="1">SUMIF($D$10:$D$2487,"Cuenta General",O$10:O$2484)</f>
        <v>135097911</v>
      </c>
      <c r="P7" s="158">
        <f ca="1">SUMIF($D$10:$D$2487,"Cuenta General",P$10:P$2484)</f>
        <v>-347713.41399999842</v>
      </c>
      <c r="Q7" s="158">
        <f ca="1">SUMIF($D$10:$D$2487,"Cuenta General",Q$10:Q$2484)</f>
        <v>0</v>
      </c>
      <c r="R7" s="11"/>
      <c r="S7" s="113">
        <f ca="1">SUMIF($D$10:$D$2487,"Cuenta General",S$10:S$2484)</f>
        <v>134768827.26400003</v>
      </c>
      <c r="T7" s="158">
        <f ca="1">SUMIF($D$10:$D$2487,"Cuenta General",T$10:T$2484)</f>
        <v>-676797.14999999525</v>
      </c>
      <c r="U7" s="113">
        <f ca="1">SUMIF($D$10:$D$2317,"Cuenta General",U$10:U$2258)</f>
        <v>0</v>
      </c>
      <c r="V7" s="10"/>
      <c r="W7" s="10"/>
      <c r="X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>
      <c r="A8" s="10"/>
      <c r="B8" s="10"/>
      <c r="C8" s="10"/>
      <c r="D8" s="10"/>
      <c r="E8" s="10"/>
      <c r="F8" s="10"/>
      <c r="G8" s="10"/>
      <c r="H8" s="10"/>
      <c r="I8" s="10"/>
      <c r="J8" s="15"/>
      <c r="K8" s="15"/>
      <c r="L8" s="15"/>
      <c r="M8" s="15"/>
      <c r="N8" s="15"/>
      <c r="O8" s="15"/>
      <c r="P8" s="15"/>
      <c r="Q8" s="15"/>
      <c r="R8" s="11"/>
      <c r="S8" s="15"/>
      <c r="T8" s="15"/>
      <c r="U8" s="11"/>
      <c r="V8" s="10"/>
      <c r="W8" s="10"/>
      <c r="X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45" customHeight="1">
      <c r="A9" s="10"/>
      <c r="B9" s="10"/>
      <c r="C9" s="2" t="s">
        <v>2</v>
      </c>
      <c r="D9" s="3" t="s">
        <v>3</v>
      </c>
      <c r="E9" s="3" t="s">
        <v>5</v>
      </c>
      <c r="F9" s="3" t="s">
        <v>34</v>
      </c>
      <c r="G9" s="3" t="s">
        <v>4</v>
      </c>
      <c r="H9" s="3"/>
      <c r="I9" s="10">
        <v>1</v>
      </c>
      <c r="J9" s="17" t="s">
        <v>138</v>
      </c>
      <c r="K9" s="19" t="s">
        <v>26</v>
      </c>
      <c r="L9" s="18" t="s">
        <v>27</v>
      </c>
      <c r="M9" s="20" t="s">
        <v>28</v>
      </c>
      <c r="N9" s="18" t="s">
        <v>29</v>
      </c>
      <c r="O9" s="17" t="s">
        <v>6</v>
      </c>
      <c r="P9" s="21" t="s">
        <v>30</v>
      </c>
      <c r="Q9" s="22" t="s">
        <v>31</v>
      </c>
      <c r="R9" s="10">
        <v>2</v>
      </c>
      <c r="S9" s="91" t="s">
        <v>32</v>
      </c>
      <c r="T9" s="92" t="s">
        <v>33</v>
      </c>
      <c r="U9" s="8" t="s">
        <v>31</v>
      </c>
      <c r="V9" s="8" t="s">
        <v>58</v>
      </c>
      <c r="W9" s="10"/>
      <c r="X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>
      <c r="A10" s="10"/>
      <c r="B10" s="10"/>
      <c r="C10" s="170" t="s">
        <v>7</v>
      </c>
      <c r="D10" s="170" t="s">
        <v>8</v>
      </c>
      <c r="E10" s="170"/>
      <c r="F10" s="170"/>
      <c r="G10" s="170" t="s">
        <v>212</v>
      </c>
      <c r="H10" s="170"/>
      <c r="I10" s="10"/>
      <c r="J10" s="169">
        <f>SUMIF($AA$10:$AA$2484,G10,J$10:J$2484)</f>
        <v>10065000.08</v>
      </c>
      <c r="K10" s="169">
        <f>SUMIF($AA$10:$AA$2484,G10,K$10:K$2484)</f>
        <v>0</v>
      </c>
      <c r="L10" s="169">
        <f>SUMIF($AA$10:$AA$2484,G10,L$10:L$2484)</f>
        <v>10065000.08</v>
      </c>
      <c r="M10" s="169">
        <f>SUMIF($AA$10:$AA$2484,G10,M$10:M$2484)</f>
        <v>0</v>
      </c>
      <c r="N10" s="169">
        <f>SUMIF($AA$10:$AA$2484,G10,N$10:N$2484)</f>
        <v>10065000.08</v>
      </c>
      <c r="O10" s="169">
        <f>SUMIF($AA$10:$AA$2484,G10,O$10:O$2484)</f>
        <v>10065000</v>
      </c>
      <c r="P10" s="169">
        <f>SUMIF($AA$10:$AA$2484,G10,P$10:P$2484)</f>
        <v>-7.9999999754363671E-2</v>
      </c>
      <c r="Q10" s="169"/>
      <c r="R10" s="10"/>
      <c r="S10" s="164">
        <v>10065000.08</v>
      </c>
      <c r="T10" s="164">
        <f>+S10-N10</f>
        <v>0</v>
      </c>
      <c r="U10" s="174"/>
      <c r="V10" s="175"/>
      <c r="W10" s="10"/>
      <c r="X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>
      <c r="A11" s="10"/>
      <c r="B11" s="10" t="str">
        <f>+C11</f>
        <v>Above the Line</v>
      </c>
      <c r="C11" s="128" t="s">
        <v>7</v>
      </c>
      <c r="D11" s="128" t="s">
        <v>2117</v>
      </c>
      <c r="E11" s="128"/>
      <c r="F11" s="128"/>
      <c r="G11" s="128" t="s">
        <v>213</v>
      </c>
      <c r="H11" s="128"/>
      <c r="I11" s="10"/>
      <c r="J11" s="129">
        <f>SUMIF($Y$11:$Y$2484,G11,J$11:J$2484)</f>
        <v>8340000.0199999996</v>
      </c>
      <c r="K11" s="129">
        <f>SUMIF($Y$11:$Y$2484,G11,K$11:K$2484)</f>
        <v>0</v>
      </c>
      <c r="L11" s="129">
        <f>SUMIF($Y$11:$Y$2484,G11,L$11:L$2484)</f>
        <v>8340000.0199999996</v>
      </c>
      <c r="M11" s="129">
        <f>SUMIF($Y$11:$Y$2484,G11,M$11:M$2484)</f>
        <v>0</v>
      </c>
      <c r="N11" s="129">
        <f>SUMIF($Y$11:$Y$2484,G11,N$11:N$2484)</f>
        <v>8340000.0199999996</v>
      </c>
      <c r="O11" s="129">
        <f>SUMIF($Y$11:$Y$2484,G11,O$11:O$2484)</f>
        <v>8340000</v>
      </c>
      <c r="P11" s="129">
        <f>SUMIF($Y$11:$Y$2484,G11,P$11:P$2484)</f>
        <v>-1.9999999756691977E-2</v>
      </c>
      <c r="Q11" s="129"/>
      <c r="R11" s="10"/>
      <c r="S11" s="129">
        <v>8340000.0199999996</v>
      </c>
      <c r="T11" s="129">
        <f t="shared" ref="T11:T74" si="0">+S11-N11</f>
        <v>0</v>
      </c>
      <c r="U11" s="128"/>
      <c r="V11" s="175"/>
      <c r="W11" s="10"/>
      <c r="X11" s="10"/>
      <c r="Z11" t="str">
        <f>LEFT(G11,2)</f>
        <v>11</v>
      </c>
      <c r="AA11" t="str">
        <f>+Z11&amp;"00"</f>
        <v>1100</v>
      </c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>
      <c r="A12" s="10"/>
      <c r="B12" s="10" t="str">
        <f>+C12&amp;E12</f>
        <v>Above the Line</v>
      </c>
      <c r="C12" t="s">
        <v>7</v>
      </c>
      <c r="D12" t="s">
        <v>19</v>
      </c>
      <c r="E12" t="s">
        <v>214</v>
      </c>
      <c r="G12" t="s">
        <v>9</v>
      </c>
      <c r="I12" s="10"/>
      <c r="J12" s="107">
        <f>SUMIF(Data!C:C,G12,Data!Q:Q)</f>
        <v>0</v>
      </c>
      <c r="K12" s="107">
        <f>SUMIF(Comprometidos!A:A,'Cost Report'!G12,Comprometidos!E:E)</f>
        <v>0</v>
      </c>
      <c r="L12" s="107">
        <f>+J12+K12</f>
        <v>0</v>
      </c>
      <c r="M12" s="107">
        <f t="shared" ref="M12" si="1">+O12-L12</f>
        <v>0</v>
      </c>
      <c r="N12" s="107">
        <f>+L12+M12</f>
        <v>0</v>
      </c>
      <c r="O12" s="107">
        <f>VLOOKUP(G12,Budget!$E$3:$G$2474,3,0)</f>
        <v>0</v>
      </c>
      <c r="P12" s="107">
        <f t="shared" ref="P12" si="2">+O12-N12</f>
        <v>0</v>
      </c>
      <c r="R12" s="10"/>
      <c r="S12" s="107">
        <v>0</v>
      </c>
      <c r="T12" s="107">
        <f t="shared" si="0"/>
        <v>0</v>
      </c>
      <c r="U12" s="107"/>
      <c r="V12" s="175"/>
      <c r="W12" s="10"/>
      <c r="X12" s="10"/>
      <c r="Y12" t="str">
        <f>LEFT(G12,4)</f>
        <v>1101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>
      <c r="A13" s="10"/>
      <c r="B13" s="10" t="str">
        <f t="shared" ref="B13:B38" si="3">+C13&amp;E13</f>
        <v>Above the Line</v>
      </c>
      <c r="C13" t="s">
        <v>7</v>
      </c>
      <c r="D13" t="s">
        <v>19</v>
      </c>
      <c r="E13" t="s">
        <v>214</v>
      </c>
      <c r="G13" t="s">
        <v>10</v>
      </c>
      <c r="I13" s="10"/>
      <c r="J13" s="107">
        <f>SUMIF(Data!C:C,G13,Data!Q:Q)</f>
        <v>0</v>
      </c>
      <c r="K13" s="107">
        <f>SUMIF(Comprometidos!A:A,'Cost Report'!G13,Comprometidos!E:E)</f>
        <v>0</v>
      </c>
      <c r="L13" s="107">
        <f t="shared" ref="L13:L38" si="4">+J13+K13</f>
        <v>0</v>
      </c>
      <c r="M13" s="107">
        <f t="shared" ref="M13:M38" si="5">+O13-L13</f>
        <v>0</v>
      </c>
      <c r="N13" s="107">
        <f t="shared" ref="N13:N38" si="6">+L13+M13</f>
        <v>0</v>
      </c>
      <c r="O13" s="107">
        <f>VLOOKUP(G13,Budget!$E$3:$G$2474,3,0)</f>
        <v>0</v>
      </c>
      <c r="P13" s="107">
        <f t="shared" ref="P13:P38" si="7">+O13-N13</f>
        <v>0</v>
      </c>
      <c r="Q13" s="107"/>
      <c r="R13" s="10"/>
      <c r="S13" s="107">
        <v>0</v>
      </c>
      <c r="T13" s="107">
        <f t="shared" si="0"/>
        <v>0</v>
      </c>
      <c r="U13" s="107"/>
      <c r="V13" s="175"/>
      <c r="W13" s="10"/>
      <c r="X13" s="10"/>
      <c r="Y13" t="str">
        <f t="shared" ref="Y13:Y38" si="8">LEFT(G13,4)</f>
        <v>1101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>
      <c r="A14" s="10"/>
      <c r="B14" s="10" t="str">
        <f t="shared" si="3"/>
        <v>Above the LineDEVELOPMENT</v>
      </c>
      <c r="C14" t="s">
        <v>7</v>
      </c>
      <c r="D14" t="s">
        <v>19</v>
      </c>
      <c r="E14" t="s">
        <v>215</v>
      </c>
      <c r="G14" t="s">
        <v>11</v>
      </c>
      <c r="I14" s="10"/>
      <c r="J14" s="107">
        <f>SUMIF(Data!C:C,G14,Data!Q:Q)</f>
        <v>1400000</v>
      </c>
      <c r="K14" s="107">
        <f>SUMIF(Comprometidos!A:A,'Cost Report'!G14,Comprometidos!E:E)</f>
        <v>0</v>
      </c>
      <c r="L14" s="107">
        <f t="shared" si="4"/>
        <v>1400000</v>
      </c>
      <c r="M14" s="107">
        <f t="shared" si="5"/>
        <v>0</v>
      </c>
      <c r="N14" s="107">
        <f t="shared" si="6"/>
        <v>1400000</v>
      </c>
      <c r="O14" s="107">
        <f>VLOOKUP(G14,Budget!$E$3:$G$2474,3,0)</f>
        <v>1400000</v>
      </c>
      <c r="P14" s="107">
        <f t="shared" si="7"/>
        <v>0</v>
      </c>
      <c r="Q14" s="107"/>
      <c r="R14" s="10"/>
      <c r="S14" s="107">
        <v>1400000</v>
      </c>
      <c r="T14" s="107">
        <f t="shared" si="0"/>
        <v>0</v>
      </c>
      <c r="U14" s="107"/>
      <c r="V14" s="175"/>
      <c r="W14" s="10"/>
      <c r="X14" s="10"/>
      <c r="Y14" t="str">
        <f t="shared" si="8"/>
        <v>1101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>
      <c r="A15" s="10"/>
      <c r="B15" s="10" t="str">
        <f t="shared" si="3"/>
        <v>Above the LineDEVELOPMENT</v>
      </c>
      <c r="C15" t="s">
        <v>7</v>
      </c>
      <c r="D15" t="s">
        <v>19</v>
      </c>
      <c r="E15" t="s">
        <v>215</v>
      </c>
      <c r="G15" t="s">
        <v>12</v>
      </c>
      <c r="I15" s="10"/>
      <c r="J15" s="107">
        <f>SUMIF(Data!C:C,G15,Data!Q:Q)</f>
        <v>100000.03</v>
      </c>
      <c r="K15" s="107">
        <f>SUMIF(Comprometidos!A:A,'Cost Report'!G15,Comprometidos!E:E)</f>
        <v>0</v>
      </c>
      <c r="L15" s="107">
        <f t="shared" si="4"/>
        <v>100000.03</v>
      </c>
      <c r="M15" s="107">
        <v>0</v>
      </c>
      <c r="N15" s="107">
        <f t="shared" si="6"/>
        <v>100000.03</v>
      </c>
      <c r="O15" s="107">
        <f>VLOOKUP(G15,Budget!$E$3:$G$2474,3,0)</f>
        <v>100000</v>
      </c>
      <c r="P15" s="107">
        <f t="shared" si="7"/>
        <v>-2.9999999998835847E-2</v>
      </c>
      <c r="Q15" s="107"/>
      <c r="R15" s="10"/>
      <c r="S15" s="107">
        <v>100000.03</v>
      </c>
      <c r="T15" s="107">
        <f t="shared" si="0"/>
        <v>0</v>
      </c>
      <c r="U15" s="107"/>
      <c r="V15" s="175"/>
      <c r="W15" s="10"/>
      <c r="X15" s="10"/>
      <c r="Y15" t="str">
        <f t="shared" si="8"/>
        <v>1101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>
      <c r="A16" s="10"/>
      <c r="B16" s="10" t="str">
        <f t="shared" si="3"/>
        <v>Above the LineDEVELOPMENT</v>
      </c>
      <c r="C16" t="s">
        <v>7</v>
      </c>
      <c r="D16" t="s">
        <v>19</v>
      </c>
      <c r="E16" t="s">
        <v>215</v>
      </c>
      <c r="G16" t="s">
        <v>13</v>
      </c>
      <c r="I16" s="10"/>
      <c r="J16" s="107">
        <f>SUMIF(Data!C:C,G16,Data!Q:Q)</f>
        <v>100000</v>
      </c>
      <c r="K16" s="107">
        <f>SUMIF(Comprometidos!A:A,'Cost Report'!G16,Comprometidos!E:E)</f>
        <v>0</v>
      </c>
      <c r="L16" s="107">
        <f t="shared" si="4"/>
        <v>100000</v>
      </c>
      <c r="M16" s="107">
        <f t="shared" si="5"/>
        <v>0</v>
      </c>
      <c r="N16" s="107">
        <f t="shared" si="6"/>
        <v>100000</v>
      </c>
      <c r="O16" s="107">
        <f>VLOOKUP(G16,Budget!$E$3:$G$2474,3,0)</f>
        <v>100000</v>
      </c>
      <c r="P16" s="107">
        <f t="shared" si="7"/>
        <v>0</v>
      </c>
      <c r="Q16" s="107"/>
      <c r="R16" s="10"/>
      <c r="S16" s="107">
        <v>100000</v>
      </c>
      <c r="T16" s="107">
        <f t="shared" si="0"/>
        <v>0</v>
      </c>
      <c r="U16" s="107"/>
      <c r="V16" s="175"/>
      <c r="W16" s="10"/>
      <c r="X16" s="10"/>
      <c r="Y16" t="str">
        <f t="shared" si="8"/>
        <v>1101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>
      <c r="A17" s="10"/>
      <c r="B17" s="10" t="str">
        <f t="shared" si="3"/>
        <v>Above the Line</v>
      </c>
      <c r="C17" t="s">
        <v>7</v>
      </c>
      <c r="D17" t="s">
        <v>19</v>
      </c>
      <c r="E17" t="s">
        <v>214</v>
      </c>
      <c r="G17" t="s">
        <v>14</v>
      </c>
      <c r="I17" s="10"/>
      <c r="J17" s="107">
        <f>SUMIF(Data!C:C,G17,Data!Q:Q)</f>
        <v>0</v>
      </c>
      <c r="K17" s="107">
        <f>SUMIF(Comprometidos!A:A,'Cost Report'!G17,Comprometidos!E:E)</f>
        <v>0</v>
      </c>
      <c r="L17" s="107">
        <f t="shared" si="4"/>
        <v>0</v>
      </c>
      <c r="M17" s="107">
        <f t="shared" si="5"/>
        <v>0</v>
      </c>
      <c r="N17" s="107">
        <f t="shared" si="6"/>
        <v>0</v>
      </c>
      <c r="O17" s="107">
        <f>VLOOKUP(G17,Budget!$E$3:$G$2474,3,0)</f>
        <v>0</v>
      </c>
      <c r="P17" s="107">
        <f t="shared" si="7"/>
        <v>0</v>
      </c>
      <c r="Q17" s="107"/>
      <c r="R17" s="10"/>
      <c r="S17" s="107">
        <v>0</v>
      </c>
      <c r="T17" s="107">
        <f t="shared" si="0"/>
        <v>0</v>
      </c>
      <c r="U17" s="107"/>
      <c r="V17" s="175"/>
      <c r="W17" s="10"/>
      <c r="X17" s="10"/>
      <c r="Y17" t="str">
        <f t="shared" si="8"/>
        <v>1101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>
      <c r="A18" s="10"/>
      <c r="B18" s="10" t="str">
        <f t="shared" si="3"/>
        <v>Above the LineDEVELOPMENT</v>
      </c>
      <c r="C18" t="s">
        <v>7</v>
      </c>
      <c r="D18" t="s">
        <v>19</v>
      </c>
      <c r="E18" t="s">
        <v>215</v>
      </c>
      <c r="G18" t="s">
        <v>15</v>
      </c>
      <c r="I18" s="10"/>
      <c r="J18" s="107">
        <f>SUMIF(Data!C:C,G18,Data!Q:Q)</f>
        <v>1400000</v>
      </c>
      <c r="K18" s="107">
        <f>SUMIF(Comprometidos!A:A,'Cost Report'!G18,Comprometidos!E:E)</f>
        <v>0</v>
      </c>
      <c r="L18" s="107">
        <f t="shared" si="4"/>
        <v>1400000</v>
      </c>
      <c r="M18" s="107">
        <f t="shared" si="5"/>
        <v>0</v>
      </c>
      <c r="N18" s="107">
        <f t="shared" si="6"/>
        <v>1400000</v>
      </c>
      <c r="O18" s="107">
        <f>VLOOKUP(G18,Budget!$E$3:$G$2474,3,0)</f>
        <v>1400000</v>
      </c>
      <c r="P18" s="107">
        <f t="shared" si="7"/>
        <v>0</v>
      </c>
      <c r="Q18" s="107"/>
      <c r="R18" s="10"/>
      <c r="S18" s="107">
        <v>1400000</v>
      </c>
      <c r="T18" s="107">
        <f t="shared" si="0"/>
        <v>0</v>
      </c>
      <c r="U18" s="107"/>
      <c r="V18" s="175"/>
      <c r="W18" s="10"/>
      <c r="X18" s="10"/>
      <c r="Y18" t="str">
        <f t="shared" si="8"/>
        <v>1101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>
      <c r="A19" s="10"/>
      <c r="B19" s="10" t="str">
        <f t="shared" si="3"/>
        <v>Above the LineDEVELOPMENT</v>
      </c>
      <c r="C19" t="s">
        <v>7</v>
      </c>
      <c r="D19" t="s">
        <v>19</v>
      </c>
      <c r="E19" t="s">
        <v>215</v>
      </c>
      <c r="G19" t="s">
        <v>16</v>
      </c>
      <c r="I19" s="10"/>
      <c r="J19" s="107">
        <f>SUMIF(Data!C:C,G19,Data!Q:Q)</f>
        <v>75000</v>
      </c>
      <c r="K19" s="107">
        <f>SUMIF(Comprometidos!A:A,'Cost Report'!G19,Comprometidos!E:E)</f>
        <v>0</v>
      </c>
      <c r="L19" s="107">
        <f t="shared" si="4"/>
        <v>75000</v>
      </c>
      <c r="M19" s="107">
        <f t="shared" si="5"/>
        <v>0</v>
      </c>
      <c r="N19" s="107">
        <f t="shared" si="6"/>
        <v>75000</v>
      </c>
      <c r="O19" s="107">
        <f>VLOOKUP(G19,Budget!$E$3:$G$2474,3,0)</f>
        <v>75000</v>
      </c>
      <c r="P19" s="107">
        <f t="shared" si="7"/>
        <v>0</v>
      </c>
      <c r="Q19" s="107"/>
      <c r="R19" s="10"/>
      <c r="S19" s="107">
        <v>75000</v>
      </c>
      <c r="T19" s="107">
        <f t="shared" si="0"/>
        <v>0</v>
      </c>
      <c r="U19" s="107"/>
      <c r="V19" s="175"/>
      <c r="W19" s="10"/>
      <c r="X19" s="10"/>
      <c r="Y19" t="str">
        <f t="shared" si="8"/>
        <v>1101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>
      <c r="A20" s="10"/>
      <c r="B20" s="10" t="str">
        <f t="shared" si="3"/>
        <v>Above the Line</v>
      </c>
      <c r="C20" t="s">
        <v>7</v>
      </c>
      <c r="D20" t="s">
        <v>19</v>
      </c>
      <c r="E20" t="s">
        <v>214</v>
      </c>
      <c r="G20" t="s">
        <v>17</v>
      </c>
      <c r="I20" s="10"/>
      <c r="J20" s="107">
        <f>SUMIF(Data!C:C,G20,Data!Q:Q)</f>
        <v>0</v>
      </c>
      <c r="K20" s="107">
        <f>SUMIF(Comprometidos!A:A,'Cost Report'!G20,Comprometidos!E:E)</f>
        <v>0</v>
      </c>
      <c r="L20" s="107">
        <f t="shared" si="4"/>
        <v>0</v>
      </c>
      <c r="M20" s="107">
        <f t="shared" si="5"/>
        <v>0</v>
      </c>
      <c r="N20" s="107">
        <f t="shared" si="6"/>
        <v>0</v>
      </c>
      <c r="O20" s="107">
        <f>VLOOKUP(G20,Budget!$E$3:$G$2474,3,0)</f>
        <v>0</v>
      </c>
      <c r="P20" s="107">
        <f t="shared" si="7"/>
        <v>0</v>
      </c>
      <c r="Q20" s="107"/>
      <c r="R20" s="10"/>
      <c r="S20" s="107">
        <v>0</v>
      </c>
      <c r="T20" s="107">
        <f t="shared" si="0"/>
        <v>0</v>
      </c>
      <c r="U20" s="107"/>
      <c r="V20" s="175"/>
      <c r="W20" s="10"/>
      <c r="X20" s="10"/>
      <c r="Y20" t="str">
        <f t="shared" si="8"/>
        <v>1101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>
      <c r="A21" s="10"/>
      <c r="B21" s="10" t="str">
        <f t="shared" si="3"/>
        <v>Above the LineDEVELOPMENT</v>
      </c>
      <c r="C21" t="s">
        <v>7</v>
      </c>
      <c r="D21" t="s">
        <v>19</v>
      </c>
      <c r="E21" t="s">
        <v>215</v>
      </c>
      <c r="G21" t="s">
        <v>18</v>
      </c>
      <c r="I21" s="10"/>
      <c r="J21" s="107">
        <f>SUMIF(Data!C:C,G21,Data!Q:Q)</f>
        <v>1400000</v>
      </c>
      <c r="K21" s="107">
        <f>SUMIF(Comprometidos!A:A,'Cost Report'!G21,Comprometidos!E:E)</f>
        <v>0</v>
      </c>
      <c r="L21" s="107">
        <f t="shared" si="4"/>
        <v>1400000</v>
      </c>
      <c r="M21" s="107">
        <f t="shared" si="5"/>
        <v>0</v>
      </c>
      <c r="N21" s="107">
        <f t="shared" si="6"/>
        <v>1400000</v>
      </c>
      <c r="O21" s="107">
        <f>VLOOKUP(G21,Budget!$E$3:$G$2474,3,0)</f>
        <v>1400000</v>
      </c>
      <c r="P21" s="107">
        <f t="shared" si="7"/>
        <v>0</v>
      </c>
      <c r="Q21" s="107"/>
      <c r="R21" s="10"/>
      <c r="S21" s="107">
        <v>1400000</v>
      </c>
      <c r="T21" s="107">
        <f t="shared" si="0"/>
        <v>0</v>
      </c>
      <c r="U21" s="107"/>
      <c r="V21" s="175"/>
      <c r="W21" s="10"/>
      <c r="X21" s="10"/>
      <c r="Y21" t="str">
        <f t="shared" si="8"/>
        <v>1101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>
      <c r="A22" s="10"/>
      <c r="B22" s="10" t="str">
        <f t="shared" si="3"/>
        <v>Above the LineDEVELOPMENT</v>
      </c>
      <c r="C22" t="s">
        <v>7</v>
      </c>
      <c r="D22" t="s">
        <v>19</v>
      </c>
      <c r="E22" t="s">
        <v>215</v>
      </c>
      <c r="G22" t="s">
        <v>140</v>
      </c>
      <c r="I22" s="10"/>
      <c r="J22" s="107">
        <f>SUMIF(Data!C:C,G22,Data!Q:Q)</f>
        <v>75000</v>
      </c>
      <c r="K22" s="107">
        <f>SUMIF(Comprometidos!A:A,'Cost Report'!G22,Comprometidos!E:E)</f>
        <v>0</v>
      </c>
      <c r="L22" s="107">
        <f t="shared" si="4"/>
        <v>75000</v>
      </c>
      <c r="M22" s="107">
        <f t="shared" si="5"/>
        <v>0</v>
      </c>
      <c r="N22" s="107">
        <f t="shared" si="6"/>
        <v>75000</v>
      </c>
      <c r="O22" s="107">
        <f>VLOOKUP(G22,Budget!$E$3:$G$2474,3,0)</f>
        <v>75000</v>
      </c>
      <c r="P22" s="107">
        <f t="shared" si="7"/>
        <v>0</v>
      </c>
      <c r="Q22" s="107"/>
      <c r="R22" s="10"/>
      <c r="S22" s="107">
        <v>75000</v>
      </c>
      <c r="T22" s="107">
        <f t="shared" si="0"/>
        <v>0</v>
      </c>
      <c r="U22" s="107"/>
      <c r="V22" s="175"/>
      <c r="W22" s="10"/>
      <c r="X22" s="10"/>
      <c r="Y22" t="str">
        <f t="shared" si="8"/>
        <v>1101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>
      <c r="A23" s="10"/>
      <c r="B23" s="10" t="str">
        <f t="shared" si="3"/>
        <v>Above the Line</v>
      </c>
      <c r="C23" t="s">
        <v>7</v>
      </c>
      <c r="D23" t="s">
        <v>19</v>
      </c>
      <c r="E23" t="s">
        <v>214</v>
      </c>
      <c r="G23" t="s">
        <v>141</v>
      </c>
      <c r="I23" s="10"/>
      <c r="J23" s="107">
        <f>SUMIF(Data!C:C,G23,Data!Q:Q)</f>
        <v>0</v>
      </c>
      <c r="K23" s="107">
        <f>SUMIF(Comprometidos!A:A,'Cost Report'!G23,Comprometidos!E:E)</f>
        <v>0</v>
      </c>
      <c r="L23" s="107">
        <f t="shared" si="4"/>
        <v>0</v>
      </c>
      <c r="M23" s="107">
        <f t="shared" si="5"/>
        <v>0</v>
      </c>
      <c r="N23" s="107">
        <f t="shared" si="6"/>
        <v>0</v>
      </c>
      <c r="O23" s="107">
        <f>VLOOKUP(G23,Budget!$E$3:$G$2474,3,0)</f>
        <v>0</v>
      </c>
      <c r="P23" s="107">
        <f t="shared" si="7"/>
        <v>0</v>
      </c>
      <c r="Q23" s="107"/>
      <c r="R23" s="10"/>
      <c r="S23" s="107">
        <v>0</v>
      </c>
      <c r="T23" s="107">
        <f t="shared" si="0"/>
        <v>0</v>
      </c>
      <c r="U23" s="107"/>
      <c r="V23" s="175"/>
      <c r="W23" s="10"/>
      <c r="X23" s="10"/>
      <c r="Y23" t="str">
        <f t="shared" si="8"/>
        <v>1101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>
      <c r="A24" s="10"/>
      <c r="B24" s="10" t="str">
        <f t="shared" si="3"/>
        <v>Above the LineDEVELOPMENT</v>
      </c>
      <c r="C24" t="s">
        <v>7</v>
      </c>
      <c r="D24" t="s">
        <v>19</v>
      </c>
      <c r="E24" t="s">
        <v>215</v>
      </c>
      <c r="G24" t="s">
        <v>142</v>
      </c>
      <c r="I24" s="10"/>
      <c r="J24" s="107">
        <f>SUMIF(Data!C:C,G24,Data!Q:Q)</f>
        <v>1400000</v>
      </c>
      <c r="K24" s="107">
        <f>SUMIF(Comprometidos!A:A,'Cost Report'!G24,Comprometidos!E:E)</f>
        <v>0</v>
      </c>
      <c r="L24" s="107">
        <f t="shared" si="4"/>
        <v>1400000</v>
      </c>
      <c r="M24" s="107">
        <f t="shared" si="5"/>
        <v>0</v>
      </c>
      <c r="N24" s="107">
        <f t="shared" si="6"/>
        <v>1400000</v>
      </c>
      <c r="O24" s="107">
        <f>VLOOKUP(G24,Budget!$E$3:$G$2474,3,0)</f>
        <v>1400000</v>
      </c>
      <c r="P24" s="107">
        <f t="shared" si="7"/>
        <v>0</v>
      </c>
      <c r="Q24" s="107"/>
      <c r="R24" s="10"/>
      <c r="S24" s="107">
        <v>1400000</v>
      </c>
      <c r="T24" s="107">
        <f t="shared" si="0"/>
        <v>0</v>
      </c>
      <c r="U24" s="107"/>
      <c r="V24" s="175"/>
      <c r="W24" s="10"/>
      <c r="X24" s="10"/>
      <c r="Y24" t="str">
        <f t="shared" si="8"/>
        <v>1101</v>
      </c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>
      <c r="A25" s="10"/>
      <c r="B25" s="10" t="str">
        <f t="shared" si="3"/>
        <v>Above the LineDEVELOPMENT</v>
      </c>
      <c r="C25" t="s">
        <v>7</v>
      </c>
      <c r="D25" t="s">
        <v>19</v>
      </c>
      <c r="E25" t="s">
        <v>215</v>
      </c>
      <c r="G25" t="s">
        <v>143</v>
      </c>
      <c r="I25" s="10"/>
      <c r="J25" s="107">
        <f>SUMIF(Data!C:C,G25,Data!Q:Q)</f>
        <v>75000</v>
      </c>
      <c r="K25" s="107">
        <f>SUMIF(Comprometidos!A:A,'Cost Report'!G25,Comprometidos!E:E)</f>
        <v>0</v>
      </c>
      <c r="L25" s="107">
        <f t="shared" si="4"/>
        <v>75000</v>
      </c>
      <c r="M25" s="107">
        <f t="shared" si="5"/>
        <v>0</v>
      </c>
      <c r="N25" s="107">
        <f t="shared" si="6"/>
        <v>75000</v>
      </c>
      <c r="O25" s="107">
        <f>VLOOKUP(G25,Budget!$E$3:$G$2474,3,0)</f>
        <v>75000</v>
      </c>
      <c r="P25" s="107">
        <f t="shared" si="7"/>
        <v>0</v>
      </c>
      <c r="Q25" s="107"/>
      <c r="R25" s="10"/>
      <c r="S25" s="107">
        <v>75000</v>
      </c>
      <c r="T25" s="107">
        <f t="shared" si="0"/>
        <v>0</v>
      </c>
      <c r="U25" s="107"/>
      <c r="V25" s="175"/>
      <c r="W25" s="10"/>
      <c r="X25" s="10"/>
      <c r="Y25" t="str">
        <f t="shared" si="8"/>
        <v>1101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>
      <c r="A26" s="10"/>
      <c r="B26" s="10" t="str">
        <f t="shared" si="3"/>
        <v>Above the Line</v>
      </c>
      <c r="C26" t="s">
        <v>7</v>
      </c>
      <c r="D26" t="s">
        <v>19</v>
      </c>
      <c r="E26" t="s">
        <v>214</v>
      </c>
      <c r="G26" t="s">
        <v>216</v>
      </c>
      <c r="I26" s="10"/>
      <c r="J26" s="107">
        <f>SUMIF(Data!C:C,G26,Data!Q:Q)</f>
        <v>0</v>
      </c>
      <c r="K26" s="107">
        <f>SUMIF(Comprometidos!A:A,'Cost Report'!G26,Comprometidos!E:E)</f>
        <v>0</v>
      </c>
      <c r="L26" s="107">
        <f t="shared" si="4"/>
        <v>0</v>
      </c>
      <c r="M26" s="107">
        <f t="shared" si="5"/>
        <v>0</v>
      </c>
      <c r="N26" s="107">
        <f t="shared" si="6"/>
        <v>0</v>
      </c>
      <c r="O26" s="107">
        <f>VLOOKUP(G26,Budget!$E$3:$G$2474,3,0)</f>
        <v>0</v>
      </c>
      <c r="P26" s="107">
        <f t="shared" si="7"/>
        <v>0</v>
      </c>
      <c r="Q26" s="107"/>
      <c r="R26" s="10"/>
      <c r="S26" s="107">
        <v>0</v>
      </c>
      <c r="T26" s="107">
        <f t="shared" si="0"/>
        <v>0</v>
      </c>
      <c r="U26" s="107"/>
      <c r="V26" s="175"/>
      <c r="W26" s="10"/>
      <c r="X26" s="10"/>
      <c r="Y26" t="str">
        <f t="shared" si="8"/>
        <v>1101</v>
      </c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>
      <c r="A27" s="10"/>
      <c r="B27" s="10" t="str">
        <f t="shared" si="3"/>
        <v>Above the LineDEVELOPMENT</v>
      </c>
      <c r="C27" t="s">
        <v>7</v>
      </c>
      <c r="D27" t="s">
        <v>19</v>
      </c>
      <c r="E27" t="s">
        <v>215</v>
      </c>
      <c r="G27" t="s">
        <v>217</v>
      </c>
      <c r="I27" s="10"/>
      <c r="J27" s="107">
        <f>SUMIF(Data!C:C,G27,Data!Q:Q)</f>
        <v>1399999.9899999998</v>
      </c>
      <c r="K27" s="107">
        <f>SUMIF(Comprometidos!A:A,'Cost Report'!G27,Comprometidos!E:E)</f>
        <v>0</v>
      </c>
      <c r="L27" s="107">
        <f t="shared" si="4"/>
        <v>1399999.9899999998</v>
      </c>
      <c r="M27" s="107">
        <v>0</v>
      </c>
      <c r="N27" s="107">
        <f t="shared" si="6"/>
        <v>1399999.9899999998</v>
      </c>
      <c r="O27" s="107">
        <f>VLOOKUP(G27,Budget!$E$3:$G$2474,3,0)</f>
        <v>1400000</v>
      </c>
      <c r="P27" s="107">
        <f t="shared" si="7"/>
        <v>1.0000000242143869E-2</v>
      </c>
      <c r="Q27" s="107"/>
      <c r="R27" s="10"/>
      <c r="S27" s="107">
        <v>1399999.9899999998</v>
      </c>
      <c r="T27" s="107">
        <f t="shared" si="0"/>
        <v>0</v>
      </c>
      <c r="U27" s="107"/>
      <c r="V27" s="175"/>
      <c r="W27" s="10"/>
      <c r="X27" s="10"/>
      <c r="Y27" t="str">
        <f t="shared" si="8"/>
        <v>1101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>
      <c r="A28" s="10"/>
      <c r="B28" s="10" t="str">
        <f t="shared" si="3"/>
        <v>Above the LineDEVELOPMENT</v>
      </c>
      <c r="C28" t="s">
        <v>7</v>
      </c>
      <c r="D28" t="s">
        <v>19</v>
      </c>
      <c r="E28" t="s">
        <v>215</v>
      </c>
      <c r="G28" t="s">
        <v>218</v>
      </c>
      <c r="I28" s="10"/>
      <c r="J28" s="107">
        <f>SUMIF(Data!C:C,G28,Data!Q:Q)</f>
        <v>75000</v>
      </c>
      <c r="K28" s="107">
        <f>SUMIF(Comprometidos!A:A,'Cost Report'!G28,Comprometidos!E:E)</f>
        <v>0</v>
      </c>
      <c r="L28" s="107">
        <f t="shared" si="4"/>
        <v>75000</v>
      </c>
      <c r="M28" s="107">
        <f t="shared" si="5"/>
        <v>0</v>
      </c>
      <c r="N28" s="107">
        <f t="shared" si="6"/>
        <v>75000</v>
      </c>
      <c r="O28" s="107">
        <f>VLOOKUP(G28,Budget!$E$3:$G$2474,3,0)</f>
        <v>75000</v>
      </c>
      <c r="P28" s="107">
        <f t="shared" si="7"/>
        <v>0</v>
      </c>
      <c r="Q28" s="107"/>
      <c r="R28" s="10"/>
      <c r="S28" s="107">
        <v>75000</v>
      </c>
      <c r="T28" s="107">
        <f t="shared" si="0"/>
        <v>0</v>
      </c>
      <c r="U28" s="107"/>
      <c r="V28" s="175"/>
      <c r="W28" s="10"/>
      <c r="X28" s="10"/>
      <c r="Y28" t="str">
        <f t="shared" si="8"/>
        <v>1101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>
      <c r="A29" s="10"/>
      <c r="B29" s="10" t="str">
        <f t="shared" si="3"/>
        <v>Above the Line</v>
      </c>
      <c r="C29" t="s">
        <v>7</v>
      </c>
      <c r="D29" t="s">
        <v>19</v>
      </c>
      <c r="E29" t="s">
        <v>214</v>
      </c>
      <c r="G29" t="s">
        <v>2118</v>
      </c>
      <c r="I29" s="10"/>
      <c r="J29" s="107">
        <f>SUMIF(Data!C:C,G29,Data!Q:Q)</f>
        <v>0</v>
      </c>
      <c r="K29" s="107">
        <f>SUMIF(Comprometidos!A:A,'Cost Report'!G29,Comprometidos!E:E)</f>
        <v>0</v>
      </c>
      <c r="L29" s="107">
        <f t="shared" si="4"/>
        <v>0</v>
      </c>
      <c r="M29" s="107">
        <f t="shared" si="5"/>
        <v>0</v>
      </c>
      <c r="N29" s="107">
        <f t="shared" si="6"/>
        <v>0</v>
      </c>
      <c r="O29" s="107">
        <f>VLOOKUP(G29,Budget!$E$3:$G$2474,3,0)</f>
        <v>0</v>
      </c>
      <c r="P29" s="107">
        <f t="shared" si="7"/>
        <v>0</v>
      </c>
      <c r="Q29" s="107"/>
      <c r="R29" s="10"/>
      <c r="S29" s="107">
        <v>0</v>
      </c>
      <c r="T29" s="107">
        <f t="shared" si="0"/>
        <v>0</v>
      </c>
      <c r="U29" s="107"/>
      <c r="V29" s="175"/>
      <c r="W29" s="10"/>
      <c r="X29" s="10"/>
      <c r="Y29" t="str">
        <f t="shared" si="8"/>
        <v>1101</v>
      </c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>
      <c r="A30" s="10"/>
      <c r="B30" s="10" t="str">
        <f t="shared" si="3"/>
        <v>Above the Line</v>
      </c>
      <c r="C30" t="s">
        <v>7</v>
      </c>
      <c r="D30" t="s">
        <v>19</v>
      </c>
      <c r="E30" t="s">
        <v>214</v>
      </c>
      <c r="G30" t="s">
        <v>2119</v>
      </c>
      <c r="I30" s="10"/>
      <c r="J30" s="107">
        <f>SUMIF(Data!C:C,G30,Data!Q:Q)</f>
        <v>0</v>
      </c>
      <c r="K30" s="107">
        <f>SUMIF(Comprometidos!A:A,'Cost Report'!G30,Comprometidos!E:E)</f>
        <v>0</v>
      </c>
      <c r="L30" s="107">
        <f t="shared" si="4"/>
        <v>0</v>
      </c>
      <c r="M30" s="107">
        <f t="shared" si="5"/>
        <v>0</v>
      </c>
      <c r="N30" s="107">
        <f t="shared" si="6"/>
        <v>0</v>
      </c>
      <c r="O30" s="107">
        <f>VLOOKUP(G30,Budget!$E$3:$G$2474,3,0)</f>
        <v>0</v>
      </c>
      <c r="P30" s="107">
        <f t="shared" si="7"/>
        <v>0</v>
      </c>
      <c r="Q30" s="107"/>
      <c r="R30" s="10"/>
      <c r="S30" s="107">
        <v>0</v>
      </c>
      <c r="T30" s="107">
        <f t="shared" si="0"/>
        <v>0</v>
      </c>
      <c r="U30" s="107"/>
      <c r="V30" s="175"/>
      <c r="W30" s="10"/>
      <c r="X30" s="10"/>
      <c r="Y30" t="str">
        <f t="shared" si="8"/>
        <v>1101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>
      <c r="A31" s="10"/>
      <c r="B31" s="10" t="str">
        <f t="shared" si="3"/>
        <v>Above the LineDEVELOPMENT</v>
      </c>
      <c r="C31" t="s">
        <v>7</v>
      </c>
      <c r="D31" t="s">
        <v>19</v>
      </c>
      <c r="E31" t="s">
        <v>215</v>
      </c>
      <c r="G31" t="s">
        <v>2120</v>
      </c>
      <c r="I31" s="10"/>
      <c r="J31" s="107">
        <f>SUMIF(Data!C:C,G31,Data!Q:Q)</f>
        <v>210000</v>
      </c>
      <c r="K31" s="107">
        <f>SUMIF(Comprometidos!A:A,'Cost Report'!G31,Comprometidos!E:E)</f>
        <v>0</v>
      </c>
      <c r="L31" s="107">
        <f t="shared" si="4"/>
        <v>210000</v>
      </c>
      <c r="M31" s="107">
        <f t="shared" si="5"/>
        <v>0</v>
      </c>
      <c r="N31" s="107">
        <f t="shared" si="6"/>
        <v>210000</v>
      </c>
      <c r="O31" s="107">
        <f>VLOOKUP(G31,Budget!$E$3:$G$2474,3,0)</f>
        <v>210000</v>
      </c>
      <c r="P31" s="107">
        <f t="shared" si="7"/>
        <v>0</v>
      </c>
      <c r="Q31" s="107"/>
      <c r="R31" s="10"/>
      <c r="S31" s="107">
        <v>210000</v>
      </c>
      <c r="T31" s="107">
        <f t="shared" si="0"/>
        <v>0</v>
      </c>
      <c r="U31" s="107"/>
      <c r="V31" s="175"/>
      <c r="W31" s="10"/>
      <c r="X31" s="10"/>
      <c r="Y31" t="str">
        <f t="shared" si="8"/>
        <v>1101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>
      <c r="A32" s="10"/>
      <c r="B32" s="10" t="str">
        <f t="shared" si="3"/>
        <v>Above the Line</v>
      </c>
      <c r="C32" t="s">
        <v>7</v>
      </c>
      <c r="D32" t="s">
        <v>19</v>
      </c>
      <c r="E32" t="s">
        <v>214</v>
      </c>
      <c r="G32" t="s">
        <v>2121</v>
      </c>
      <c r="I32" s="10"/>
      <c r="J32" s="107">
        <f>SUMIF(Data!C:C,G32,Data!Q:Q)</f>
        <v>0</v>
      </c>
      <c r="K32" s="107">
        <f>SUMIF(Comprometidos!A:A,'Cost Report'!G32,Comprometidos!E:E)</f>
        <v>0</v>
      </c>
      <c r="L32" s="107">
        <f t="shared" si="4"/>
        <v>0</v>
      </c>
      <c r="M32" s="107">
        <f t="shared" si="5"/>
        <v>0</v>
      </c>
      <c r="N32" s="107">
        <f t="shared" si="6"/>
        <v>0</v>
      </c>
      <c r="O32" s="107">
        <f>VLOOKUP(G32,Budget!$E$3:$G$2474,3,0)</f>
        <v>0</v>
      </c>
      <c r="P32" s="107">
        <f t="shared" si="7"/>
        <v>0</v>
      </c>
      <c r="Q32" s="107"/>
      <c r="R32" s="10"/>
      <c r="S32" s="107">
        <v>0</v>
      </c>
      <c r="T32" s="107">
        <f t="shared" si="0"/>
        <v>0</v>
      </c>
      <c r="U32" s="107"/>
      <c r="V32" s="175"/>
      <c r="W32" s="10"/>
      <c r="X32" s="10"/>
      <c r="Y32" t="str">
        <f t="shared" si="8"/>
        <v>1101</v>
      </c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>
      <c r="A33" s="10"/>
      <c r="B33" s="10" t="str">
        <f t="shared" si="3"/>
        <v>Above the LineDEVELOPMENT</v>
      </c>
      <c r="C33" t="s">
        <v>7</v>
      </c>
      <c r="D33" t="s">
        <v>19</v>
      </c>
      <c r="E33" t="s">
        <v>215</v>
      </c>
      <c r="G33" t="s">
        <v>2122</v>
      </c>
      <c r="I33" s="10"/>
      <c r="J33" s="107">
        <f>SUMIF(Data!C:C,G33,Data!Q:Q)</f>
        <v>210000</v>
      </c>
      <c r="K33" s="107">
        <f>SUMIF(Comprometidos!A:A,'Cost Report'!G33,Comprometidos!E:E)</f>
        <v>0</v>
      </c>
      <c r="L33" s="107">
        <f t="shared" si="4"/>
        <v>210000</v>
      </c>
      <c r="M33" s="107">
        <f t="shared" si="5"/>
        <v>0</v>
      </c>
      <c r="N33" s="107">
        <f t="shared" si="6"/>
        <v>210000</v>
      </c>
      <c r="O33" s="107">
        <f>VLOOKUP(G33,Budget!$E$3:$G$2474,3,0)</f>
        <v>210000</v>
      </c>
      <c r="P33" s="107">
        <f t="shared" si="7"/>
        <v>0</v>
      </c>
      <c r="Q33" s="107"/>
      <c r="R33" s="10"/>
      <c r="S33" s="107">
        <v>210000</v>
      </c>
      <c r="T33" s="107">
        <f t="shared" si="0"/>
        <v>0</v>
      </c>
      <c r="U33" s="107"/>
      <c r="V33" s="175"/>
      <c r="W33" s="10"/>
      <c r="X33" s="10"/>
      <c r="Y33" t="str">
        <f t="shared" si="8"/>
        <v>1101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>
      <c r="A34" s="10"/>
      <c r="B34" s="10" t="str">
        <f t="shared" si="3"/>
        <v>Above the Line</v>
      </c>
      <c r="C34" t="s">
        <v>7</v>
      </c>
      <c r="D34" t="s">
        <v>19</v>
      </c>
      <c r="E34" t="s">
        <v>214</v>
      </c>
      <c r="G34" t="s">
        <v>2123</v>
      </c>
      <c r="I34" s="10"/>
      <c r="J34" s="107">
        <f>SUMIF(Data!C:C,G34,Data!Q:Q)</f>
        <v>0</v>
      </c>
      <c r="K34" s="107">
        <f>SUMIF(Comprometidos!A:A,'Cost Report'!G34,Comprometidos!E:E)</f>
        <v>0</v>
      </c>
      <c r="L34" s="107">
        <f t="shared" si="4"/>
        <v>0</v>
      </c>
      <c r="M34" s="107">
        <f t="shared" si="5"/>
        <v>0</v>
      </c>
      <c r="N34" s="107">
        <f t="shared" si="6"/>
        <v>0</v>
      </c>
      <c r="O34" s="107">
        <f>VLOOKUP(G34,Budget!$E$3:$G$2474,3,0)</f>
        <v>0</v>
      </c>
      <c r="P34" s="107">
        <f t="shared" si="7"/>
        <v>0</v>
      </c>
      <c r="Q34" s="107"/>
      <c r="R34" s="10"/>
      <c r="S34" s="107">
        <v>0</v>
      </c>
      <c r="T34" s="107">
        <f t="shared" si="0"/>
        <v>0</v>
      </c>
      <c r="U34" s="107"/>
      <c r="V34" s="175"/>
      <c r="W34" s="10"/>
      <c r="X34" s="10"/>
      <c r="Y34" t="str">
        <f t="shared" si="8"/>
        <v>1101</v>
      </c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>
      <c r="A35" s="10"/>
      <c r="B35" s="10" t="str">
        <f t="shared" si="3"/>
        <v>Above the LineDEVELOPMENT</v>
      </c>
      <c r="C35" t="s">
        <v>7</v>
      </c>
      <c r="D35" t="s">
        <v>19</v>
      </c>
      <c r="E35" t="s">
        <v>215</v>
      </c>
      <c r="G35" t="s">
        <v>2124</v>
      </c>
      <c r="I35" s="10"/>
      <c r="J35" s="107">
        <f>SUMIF(Data!C:C,G35,Data!Q:Q)</f>
        <v>210000</v>
      </c>
      <c r="K35" s="107">
        <f>SUMIF(Comprometidos!A:A,'Cost Report'!G35,Comprometidos!E:E)</f>
        <v>0</v>
      </c>
      <c r="L35" s="107">
        <f t="shared" si="4"/>
        <v>210000</v>
      </c>
      <c r="M35" s="107">
        <f t="shared" si="5"/>
        <v>0</v>
      </c>
      <c r="N35" s="107">
        <f t="shared" si="6"/>
        <v>210000</v>
      </c>
      <c r="O35" s="107">
        <f>VLOOKUP(G35,Budget!$E$3:$G$2474,3,0)</f>
        <v>210000</v>
      </c>
      <c r="P35" s="107">
        <f t="shared" si="7"/>
        <v>0</v>
      </c>
      <c r="Q35" s="107"/>
      <c r="R35" s="10"/>
      <c r="S35" s="107">
        <v>210000</v>
      </c>
      <c r="T35" s="107">
        <f t="shared" si="0"/>
        <v>0</v>
      </c>
      <c r="U35" s="107"/>
      <c r="V35" s="175"/>
      <c r="W35" s="10"/>
      <c r="X35" s="10"/>
      <c r="Y35" t="str">
        <f t="shared" si="8"/>
        <v>1101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>
      <c r="A36" s="10"/>
      <c r="B36" s="10" t="str">
        <f t="shared" si="3"/>
        <v>Above the Line</v>
      </c>
      <c r="C36" t="s">
        <v>7</v>
      </c>
      <c r="D36" t="s">
        <v>19</v>
      </c>
      <c r="E36" t="s">
        <v>214</v>
      </c>
      <c r="G36" t="s">
        <v>2125</v>
      </c>
      <c r="I36" s="10"/>
      <c r="J36" s="107">
        <f>SUMIF(Data!C:C,G36,Data!Q:Q)</f>
        <v>0</v>
      </c>
      <c r="K36" s="107">
        <f>SUMIF(Comprometidos!A:A,'Cost Report'!G36,Comprometidos!E:E)</f>
        <v>0</v>
      </c>
      <c r="L36" s="107">
        <f t="shared" si="4"/>
        <v>0</v>
      </c>
      <c r="M36" s="107">
        <f t="shared" si="5"/>
        <v>0</v>
      </c>
      <c r="N36" s="107">
        <f t="shared" si="6"/>
        <v>0</v>
      </c>
      <c r="O36" s="107">
        <f>VLOOKUP(G36,Budget!$E$3:$G$2474,3,0)</f>
        <v>0</v>
      </c>
      <c r="P36" s="107">
        <f t="shared" si="7"/>
        <v>0</v>
      </c>
      <c r="Q36" s="107"/>
      <c r="R36" s="10"/>
      <c r="S36" s="107">
        <v>0</v>
      </c>
      <c r="T36" s="107">
        <f t="shared" si="0"/>
        <v>0</v>
      </c>
      <c r="U36" s="107"/>
      <c r="V36" s="175"/>
      <c r="W36" s="10"/>
      <c r="X36" s="10"/>
      <c r="Y36" t="str">
        <f t="shared" si="8"/>
        <v>1101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>
      <c r="A37" s="10"/>
      <c r="B37" s="10" t="str">
        <f t="shared" si="3"/>
        <v>Above the LineDEVELOPMENT</v>
      </c>
      <c r="C37" t="s">
        <v>7</v>
      </c>
      <c r="D37" t="s">
        <v>19</v>
      </c>
      <c r="E37" t="s">
        <v>215</v>
      </c>
      <c r="G37" t="s">
        <v>2126</v>
      </c>
      <c r="I37" s="10"/>
      <c r="J37" s="107">
        <f>SUMIF(Data!C:C,G37,Data!Q:Q)</f>
        <v>105000</v>
      </c>
      <c r="K37" s="107">
        <f>SUMIF(Comprometidos!A:A,'Cost Report'!G37,Comprometidos!E:E)</f>
        <v>0</v>
      </c>
      <c r="L37" s="107">
        <f t="shared" si="4"/>
        <v>105000</v>
      </c>
      <c r="M37" s="107">
        <f t="shared" si="5"/>
        <v>0</v>
      </c>
      <c r="N37" s="107">
        <f t="shared" si="6"/>
        <v>105000</v>
      </c>
      <c r="O37" s="107">
        <f>VLOOKUP(G37,Budget!$E$3:$G$2474,3,0)</f>
        <v>105000</v>
      </c>
      <c r="P37" s="107">
        <f t="shared" si="7"/>
        <v>0</v>
      </c>
      <c r="Q37" s="107"/>
      <c r="R37" s="10"/>
      <c r="S37" s="107">
        <v>105000</v>
      </c>
      <c r="T37" s="107">
        <f t="shared" si="0"/>
        <v>0</v>
      </c>
      <c r="U37" s="107"/>
      <c r="V37" s="175"/>
      <c r="W37" s="10"/>
      <c r="X37" s="10"/>
      <c r="Y37" t="str">
        <f t="shared" si="8"/>
        <v>1101</v>
      </c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>
      <c r="A38" s="10"/>
      <c r="B38" s="10" t="str">
        <f t="shared" si="3"/>
        <v>Above the LineDEVELOPMENT</v>
      </c>
      <c r="C38" t="s">
        <v>7</v>
      </c>
      <c r="D38" t="s">
        <v>19</v>
      </c>
      <c r="E38" t="s">
        <v>215</v>
      </c>
      <c r="G38" t="s">
        <v>2127</v>
      </c>
      <c r="I38" s="10"/>
      <c r="J38" s="107">
        <f>SUMIF(Data!C:C,G38,Data!Q:Q)</f>
        <v>105000</v>
      </c>
      <c r="K38" s="107">
        <f>SUMIF(Comprometidos!A:A,'Cost Report'!G38,Comprometidos!E:E)</f>
        <v>0</v>
      </c>
      <c r="L38" s="107">
        <f t="shared" si="4"/>
        <v>105000</v>
      </c>
      <c r="M38" s="107">
        <f t="shared" si="5"/>
        <v>0</v>
      </c>
      <c r="N38" s="107">
        <f t="shared" si="6"/>
        <v>105000</v>
      </c>
      <c r="O38" s="107">
        <f>VLOOKUP(G38,Budget!$E$3:$G$2474,3,0)</f>
        <v>105000</v>
      </c>
      <c r="P38" s="107">
        <f t="shared" si="7"/>
        <v>0</v>
      </c>
      <c r="Q38" s="107"/>
      <c r="R38" s="10"/>
      <c r="S38" s="107">
        <v>105000</v>
      </c>
      <c r="T38" s="107">
        <f t="shared" si="0"/>
        <v>0</v>
      </c>
      <c r="U38" s="107"/>
      <c r="V38" s="175"/>
      <c r="W38" s="10"/>
      <c r="X38" s="10"/>
      <c r="Y38" t="str">
        <f t="shared" si="8"/>
        <v>1101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>
      <c r="A39" s="10"/>
      <c r="B39" s="10" t="str">
        <f>+C39</f>
        <v>Above the Line</v>
      </c>
      <c r="C39" s="128" t="s">
        <v>7</v>
      </c>
      <c r="D39" s="128" t="s">
        <v>2117</v>
      </c>
      <c r="E39" s="128"/>
      <c r="F39" s="128"/>
      <c r="G39" s="128" t="s">
        <v>219</v>
      </c>
      <c r="H39" s="128"/>
      <c r="I39" s="10"/>
      <c r="J39" s="129">
        <f>SUMIF($Y$11:$Y$2484,G39,J$11:J$2484)</f>
        <v>150000</v>
      </c>
      <c r="K39" s="129">
        <f>SUMIF($Y$11:$Y$2484,G39,K$11:K$2484)</f>
        <v>0</v>
      </c>
      <c r="L39" s="129">
        <f>SUMIF($Y$11:$Y$2484,G39,L$11:L$2484)</f>
        <v>150000</v>
      </c>
      <c r="M39" s="129">
        <f>SUMIF($Y$11:$Y$2484,G39,M$11:M$2484)</f>
        <v>0</v>
      </c>
      <c r="N39" s="129">
        <f>SUMIF($Y$11:$Y$2484,G39,N$11:N$2484)</f>
        <v>150000</v>
      </c>
      <c r="O39" s="129">
        <f>SUMIF($Y$11:$Y$2484,G39,O$11:O$2484)</f>
        <v>150000</v>
      </c>
      <c r="P39" s="129">
        <f>SUMIF($Y$11:$Y$2484,G39,P$11:P$2484)</f>
        <v>0</v>
      </c>
      <c r="Q39" s="129"/>
      <c r="R39" s="10"/>
      <c r="S39" s="129">
        <v>150000</v>
      </c>
      <c r="T39" s="129">
        <f t="shared" si="0"/>
        <v>0</v>
      </c>
      <c r="U39" s="128"/>
      <c r="V39" s="175"/>
      <c r="W39" s="10"/>
      <c r="X39" s="10"/>
      <c r="Z39" t="str">
        <f>LEFT(G39,2)</f>
        <v>11</v>
      </c>
      <c r="AA39" t="str">
        <f>+Z39&amp;"00"</f>
        <v>1100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>
      <c r="A40" s="10"/>
      <c r="B40" s="10" t="str">
        <f t="shared" ref="B40:B41" si="9">+C40&amp;E40</f>
        <v>Above the Line</v>
      </c>
      <c r="C40" t="s">
        <v>7</v>
      </c>
      <c r="D40" t="s">
        <v>19</v>
      </c>
      <c r="E40" t="s">
        <v>214</v>
      </c>
      <c r="G40" t="s">
        <v>144</v>
      </c>
      <c r="I40" s="10"/>
      <c r="J40" s="107">
        <f>SUMIF(Data!C:C,G40,Data!Q:Q)</f>
        <v>0</v>
      </c>
      <c r="K40" s="107">
        <f>SUMIF(Comprometidos!A:A,'Cost Report'!G40,Comprometidos!E:E)</f>
        <v>0</v>
      </c>
      <c r="L40" s="107">
        <f t="shared" ref="L40:L41" si="10">+J40+K40</f>
        <v>0</v>
      </c>
      <c r="M40" s="107">
        <f t="shared" ref="M40:M41" si="11">+O40-L40</f>
        <v>0</v>
      </c>
      <c r="N40" s="107">
        <f t="shared" ref="N40:N41" si="12">+L40+M40</f>
        <v>0</v>
      </c>
      <c r="O40" s="107">
        <f>VLOOKUP(G40,Budget!$E$3:$G$2474,3,0)</f>
        <v>0</v>
      </c>
      <c r="P40" s="107">
        <f t="shared" ref="P40:P41" si="13">+O40-N40</f>
        <v>0</v>
      </c>
      <c r="Q40" s="107"/>
      <c r="R40" s="10"/>
      <c r="S40" s="107">
        <v>0</v>
      </c>
      <c r="T40" s="107">
        <f t="shared" si="0"/>
        <v>0</v>
      </c>
      <c r="U40" s="107"/>
      <c r="V40" s="175"/>
      <c r="W40" s="10"/>
      <c r="X40" s="10"/>
      <c r="Y40" t="str">
        <f t="shared" ref="Y40:Y41" si="14">LEFT(G40,4)</f>
        <v>1104</v>
      </c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>
      <c r="A41" s="10"/>
      <c r="B41" s="10" t="str">
        <f t="shared" si="9"/>
        <v>Above the LineDEVELOPMENT</v>
      </c>
      <c r="C41" t="s">
        <v>7</v>
      </c>
      <c r="D41" t="s">
        <v>19</v>
      </c>
      <c r="E41" t="s">
        <v>215</v>
      </c>
      <c r="G41" t="s">
        <v>2128</v>
      </c>
      <c r="I41" s="10"/>
      <c r="J41" s="107">
        <f>SUMIF(Data!C:C,G41,Data!Q:Q)</f>
        <v>150000</v>
      </c>
      <c r="K41" s="107">
        <f>SUMIF(Comprometidos!A:A,'Cost Report'!G41,Comprometidos!E:E)</f>
        <v>0</v>
      </c>
      <c r="L41" s="107">
        <f t="shared" si="10"/>
        <v>150000</v>
      </c>
      <c r="M41" s="107">
        <f t="shared" si="11"/>
        <v>0</v>
      </c>
      <c r="N41" s="107">
        <f t="shared" si="12"/>
        <v>150000</v>
      </c>
      <c r="O41" s="107">
        <f>VLOOKUP(G41,Budget!$E$3:$G$2474,3,0)</f>
        <v>150000</v>
      </c>
      <c r="P41" s="107">
        <f t="shared" si="13"/>
        <v>0</v>
      </c>
      <c r="Q41" s="107"/>
      <c r="R41" s="10"/>
      <c r="S41" s="107">
        <v>150000</v>
      </c>
      <c r="T41" s="107">
        <f t="shared" si="0"/>
        <v>0</v>
      </c>
      <c r="U41" s="107"/>
      <c r="V41" s="175"/>
      <c r="W41" s="10"/>
      <c r="X41" s="10"/>
      <c r="Y41" t="str">
        <f t="shared" si="14"/>
        <v>1104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>
      <c r="A42" s="10"/>
      <c r="B42" s="10" t="str">
        <f>+C42</f>
        <v>Above the Line</v>
      </c>
      <c r="C42" s="128" t="s">
        <v>7</v>
      </c>
      <c r="D42" s="128" t="s">
        <v>2117</v>
      </c>
      <c r="E42" s="128"/>
      <c r="F42" s="128"/>
      <c r="G42" s="128" t="s">
        <v>220</v>
      </c>
      <c r="H42" s="128"/>
      <c r="I42" s="10"/>
      <c r="J42" s="129">
        <f>SUMIF($Y$11:$Y$2484,G42,J$11:J$2484)</f>
        <v>1100000.06</v>
      </c>
      <c r="K42" s="129">
        <f>SUMIF($Y$11:$Y$2484,G42,K$11:K$2484)</f>
        <v>0</v>
      </c>
      <c r="L42" s="129">
        <f>SUMIF($Y$11:$Y$2484,G42,L$11:L$2484)</f>
        <v>1100000.06</v>
      </c>
      <c r="M42" s="129">
        <f>SUMIF($Y$11:$Y$2484,G42,M$11:M$2484)</f>
        <v>0</v>
      </c>
      <c r="N42" s="129">
        <f>SUMIF($Y$11:$Y$2484,G42,N$11:N$2484)</f>
        <v>1100000.06</v>
      </c>
      <c r="O42" s="129">
        <f>SUMIF($Y$11:$Y$2484,G42,O$11:O$2484)</f>
        <v>1100000</v>
      </c>
      <c r="P42" s="129">
        <f>SUMIF($Y$11:$Y$2484,G42,P$11:P$2484)</f>
        <v>-5.9999999997671694E-2</v>
      </c>
      <c r="Q42" s="129"/>
      <c r="R42" s="10"/>
      <c r="S42" s="129">
        <v>1100000.06</v>
      </c>
      <c r="T42" s="129">
        <f t="shared" si="0"/>
        <v>0</v>
      </c>
      <c r="U42" s="128"/>
      <c r="V42" s="175"/>
      <c r="W42" s="10"/>
      <c r="X42" s="10"/>
      <c r="Z42" t="str">
        <f>LEFT(G42,2)</f>
        <v>11</v>
      </c>
      <c r="AA42" t="str">
        <f>+Z42&amp;"00"</f>
        <v>1100</v>
      </c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>
      <c r="A43" s="10"/>
      <c r="B43" s="10" t="str">
        <f t="shared" ref="B43:B52" si="15">+C43&amp;E43</f>
        <v>Above the Line</v>
      </c>
      <c r="C43" t="s">
        <v>7</v>
      </c>
      <c r="D43" t="s">
        <v>19</v>
      </c>
      <c r="E43" t="s">
        <v>214</v>
      </c>
      <c r="G43" t="s">
        <v>99</v>
      </c>
      <c r="I43" s="10"/>
      <c r="J43" s="107">
        <f>SUMIF(Data!C:C,G43,Data!Q:Q)</f>
        <v>0</v>
      </c>
      <c r="K43" s="107">
        <f>SUMIF(Comprometidos!A:A,'Cost Report'!G43,Comprometidos!E:E)</f>
        <v>0</v>
      </c>
      <c r="L43" s="107">
        <f t="shared" ref="L43:L52" si="16">+J43+K43</f>
        <v>0</v>
      </c>
      <c r="M43" s="107">
        <f t="shared" ref="M43:M52" si="17">+O43-L43</f>
        <v>0</v>
      </c>
      <c r="N43" s="107">
        <f t="shared" ref="N43:N52" si="18">+L43+M43</f>
        <v>0</v>
      </c>
      <c r="O43" s="107">
        <f>VLOOKUP(G43,Budget!$E$3:$G$2474,3,0)</f>
        <v>0</v>
      </c>
      <c r="P43" s="107">
        <f t="shared" ref="P43:P52" si="19">+O43-N43</f>
        <v>0</v>
      </c>
      <c r="Q43" s="107"/>
      <c r="R43" s="10"/>
      <c r="S43" s="107">
        <v>0</v>
      </c>
      <c r="T43" s="107">
        <f t="shared" si="0"/>
        <v>0</v>
      </c>
      <c r="U43" s="107"/>
      <c r="V43" s="175"/>
      <c r="W43" s="10"/>
      <c r="X43" s="10"/>
      <c r="Y43" t="str">
        <f t="shared" ref="Y43:Y52" si="20">LEFT(G43,4)</f>
        <v>1107</v>
      </c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>
      <c r="A44" s="10"/>
      <c r="B44" s="10" t="str">
        <f t="shared" si="15"/>
        <v>Above the Line</v>
      </c>
      <c r="C44" t="s">
        <v>7</v>
      </c>
      <c r="D44" t="s">
        <v>19</v>
      </c>
      <c r="E44" t="s">
        <v>214</v>
      </c>
      <c r="G44" t="s">
        <v>100</v>
      </c>
      <c r="I44" s="10"/>
      <c r="J44" s="107">
        <f>SUMIF(Data!C:C,G44,Data!Q:Q)</f>
        <v>0</v>
      </c>
      <c r="K44" s="107">
        <f>SUMIF(Comprometidos!A:A,'Cost Report'!G44,Comprometidos!E:E)</f>
        <v>0</v>
      </c>
      <c r="L44" s="107">
        <f t="shared" si="16"/>
        <v>0</v>
      </c>
      <c r="M44" s="107">
        <f t="shared" si="17"/>
        <v>0</v>
      </c>
      <c r="N44" s="107">
        <f t="shared" si="18"/>
        <v>0</v>
      </c>
      <c r="O44" s="107">
        <f>VLOOKUP(G44,Budget!$E$3:$G$2474,3,0)</f>
        <v>0</v>
      </c>
      <c r="P44" s="107">
        <f t="shared" si="19"/>
        <v>0</v>
      </c>
      <c r="Q44" s="107"/>
      <c r="R44" s="10"/>
      <c r="S44" s="107">
        <v>0</v>
      </c>
      <c r="T44" s="107">
        <f t="shared" si="0"/>
        <v>0</v>
      </c>
      <c r="U44" s="107"/>
      <c r="V44" s="175"/>
      <c r="W44" s="10"/>
      <c r="X44" s="10"/>
      <c r="Y44" t="str">
        <f t="shared" si="20"/>
        <v>1107</v>
      </c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>
      <c r="A45" s="10"/>
      <c r="B45" s="10" t="str">
        <f t="shared" si="15"/>
        <v>Above the LineDEVELOPMENT</v>
      </c>
      <c r="C45" t="s">
        <v>7</v>
      </c>
      <c r="D45" t="s">
        <v>19</v>
      </c>
      <c r="E45" t="s">
        <v>215</v>
      </c>
      <c r="G45" t="s">
        <v>145</v>
      </c>
      <c r="I45" s="10"/>
      <c r="J45" s="107">
        <f>SUMIF(Data!C:C,G45,Data!Q:Q)</f>
        <v>275000.06</v>
      </c>
      <c r="K45" s="107">
        <f>SUMIF(Comprometidos!A:A,'Cost Report'!G45,Comprometidos!E:E)</f>
        <v>0</v>
      </c>
      <c r="L45" s="107">
        <f t="shared" si="16"/>
        <v>275000.06</v>
      </c>
      <c r="M45" s="107">
        <v>0</v>
      </c>
      <c r="N45" s="107">
        <f t="shared" si="18"/>
        <v>275000.06</v>
      </c>
      <c r="O45" s="107">
        <f>VLOOKUP(G45,Budget!$E$3:$G$2474,3,0)</f>
        <v>275000</v>
      </c>
      <c r="P45" s="107">
        <f t="shared" si="19"/>
        <v>-5.9999999997671694E-2</v>
      </c>
      <c r="Q45" s="107"/>
      <c r="R45" s="10"/>
      <c r="S45" s="107">
        <v>275000.06</v>
      </c>
      <c r="T45" s="107">
        <f t="shared" si="0"/>
        <v>0</v>
      </c>
      <c r="U45" s="107"/>
      <c r="V45" s="175"/>
      <c r="W45" s="10"/>
      <c r="X45" s="10"/>
      <c r="Y45" t="str">
        <f t="shared" si="20"/>
        <v>1107</v>
      </c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>
      <c r="A46" s="10"/>
      <c r="B46" s="10" t="str">
        <f t="shared" si="15"/>
        <v>Above the Line</v>
      </c>
      <c r="C46" t="s">
        <v>7</v>
      </c>
      <c r="D46" t="s">
        <v>19</v>
      </c>
      <c r="E46" t="s">
        <v>214</v>
      </c>
      <c r="G46" t="s">
        <v>146</v>
      </c>
      <c r="I46" s="10"/>
      <c r="J46" s="107">
        <f>SUMIF(Data!C:C,G46,Data!Q:Q)</f>
        <v>0</v>
      </c>
      <c r="K46" s="107">
        <f>SUMIF(Comprometidos!A:A,'Cost Report'!G46,Comprometidos!E:E)</f>
        <v>0</v>
      </c>
      <c r="L46" s="107">
        <f t="shared" si="16"/>
        <v>0</v>
      </c>
      <c r="M46" s="107">
        <f t="shared" si="17"/>
        <v>0</v>
      </c>
      <c r="N46" s="107">
        <f t="shared" si="18"/>
        <v>0</v>
      </c>
      <c r="O46" s="107">
        <f>VLOOKUP(G46,Budget!$E$3:$G$2474,3,0)</f>
        <v>0</v>
      </c>
      <c r="P46" s="107">
        <f t="shared" si="19"/>
        <v>0</v>
      </c>
      <c r="Q46" s="107"/>
      <c r="R46" s="10"/>
      <c r="S46" s="107">
        <v>0</v>
      </c>
      <c r="T46" s="107">
        <f t="shared" si="0"/>
        <v>0</v>
      </c>
      <c r="U46" s="107"/>
      <c r="V46" s="175"/>
      <c r="W46" s="10"/>
      <c r="X46" s="10"/>
      <c r="Y46" t="str">
        <f t="shared" si="20"/>
        <v>1107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>
      <c r="A47" s="10"/>
      <c r="B47" s="10" t="str">
        <f t="shared" si="15"/>
        <v>Above the LineDEVELOPMENT</v>
      </c>
      <c r="C47" t="s">
        <v>7</v>
      </c>
      <c r="D47" t="s">
        <v>19</v>
      </c>
      <c r="E47" t="s">
        <v>215</v>
      </c>
      <c r="G47" t="s">
        <v>221</v>
      </c>
      <c r="I47" s="10"/>
      <c r="J47" s="107">
        <f>SUMIF(Data!C:C,G47,Data!Q:Q)</f>
        <v>275000</v>
      </c>
      <c r="K47" s="107">
        <f>SUMIF(Comprometidos!A:A,'Cost Report'!G47,Comprometidos!E:E)</f>
        <v>0</v>
      </c>
      <c r="L47" s="107">
        <f t="shared" si="16"/>
        <v>275000</v>
      </c>
      <c r="M47" s="107">
        <f t="shared" si="17"/>
        <v>0</v>
      </c>
      <c r="N47" s="107">
        <f t="shared" si="18"/>
        <v>275000</v>
      </c>
      <c r="O47" s="107">
        <f>VLOOKUP(G47,Budget!$E$3:$G$2474,3,0)</f>
        <v>275000</v>
      </c>
      <c r="P47" s="107">
        <f t="shared" si="19"/>
        <v>0</v>
      </c>
      <c r="Q47" s="107"/>
      <c r="R47" s="10"/>
      <c r="S47" s="107">
        <v>275000</v>
      </c>
      <c r="T47" s="107">
        <f t="shared" si="0"/>
        <v>0</v>
      </c>
      <c r="U47" s="107"/>
      <c r="V47" s="175"/>
      <c r="W47" s="10"/>
      <c r="X47" s="10"/>
      <c r="Y47" t="str">
        <f t="shared" si="20"/>
        <v>1107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>
      <c r="A48" s="10"/>
      <c r="B48" s="10" t="str">
        <f t="shared" si="15"/>
        <v>Above the Line</v>
      </c>
      <c r="C48" t="s">
        <v>7</v>
      </c>
      <c r="D48" t="s">
        <v>19</v>
      </c>
      <c r="E48" t="s">
        <v>214</v>
      </c>
      <c r="G48" t="s">
        <v>2129</v>
      </c>
      <c r="I48" s="10"/>
      <c r="J48" s="107">
        <f>SUMIF(Data!C:C,G48,Data!Q:Q)</f>
        <v>0</v>
      </c>
      <c r="K48" s="107">
        <f>SUMIF(Comprometidos!A:A,'Cost Report'!G48,Comprometidos!E:E)</f>
        <v>0</v>
      </c>
      <c r="L48" s="107">
        <f t="shared" si="16"/>
        <v>0</v>
      </c>
      <c r="M48" s="107">
        <f t="shared" si="17"/>
        <v>0</v>
      </c>
      <c r="N48" s="107">
        <f t="shared" si="18"/>
        <v>0</v>
      </c>
      <c r="O48" s="107">
        <f>VLOOKUP(G48,Budget!$E$3:$G$2474,3,0)</f>
        <v>0</v>
      </c>
      <c r="P48" s="107">
        <f t="shared" si="19"/>
        <v>0</v>
      </c>
      <c r="Q48" s="107"/>
      <c r="R48" s="10"/>
      <c r="S48" s="107">
        <v>0</v>
      </c>
      <c r="T48" s="107">
        <f t="shared" si="0"/>
        <v>0</v>
      </c>
      <c r="U48" s="107"/>
      <c r="V48" s="175"/>
      <c r="W48" s="10"/>
      <c r="X48" s="10"/>
      <c r="Y48" t="str">
        <f t="shared" si="20"/>
        <v>1107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>
      <c r="A49" s="10"/>
      <c r="B49" s="10" t="str">
        <f t="shared" si="15"/>
        <v>Above the Line</v>
      </c>
      <c r="C49" t="s">
        <v>7</v>
      </c>
      <c r="D49" t="s">
        <v>19</v>
      </c>
      <c r="E49" t="s">
        <v>214</v>
      </c>
      <c r="G49" t="s">
        <v>2130</v>
      </c>
      <c r="I49" s="10"/>
      <c r="J49" s="107">
        <f>SUMIF(Data!C:C,G49,Data!Q:Q)</f>
        <v>0</v>
      </c>
      <c r="K49" s="107">
        <f>SUMIF(Comprometidos!A:A,'Cost Report'!G49,Comprometidos!E:E)</f>
        <v>0</v>
      </c>
      <c r="L49" s="107">
        <f t="shared" si="16"/>
        <v>0</v>
      </c>
      <c r="M49" s="107">
        <f t="shared" si="17"/>
        <v>0</v>
      </c>
      <c r="N49" s="107">
        <f t="shared" si="18"/>
        <v>0</v>
      </c>
      <c r="O49" s="107">
        <f>VLOOKUP(G49,Budget!$E$3:$G$2474,3,0)</f>
        <v>0</v>
      </c>
      <c r="P49" s="107">
        <f t="shared" si="19"/>
        <v>0</v>
      </c>
      <c r="Q49" s="107"/>
      <c r="R49" s="10"/>
      <c r="S49" s="107">
        <v>0</v>
      </c>
      <c r="T49" s="107">
        <f t="shared" si="0"/>
        <v>0</v>
      </c>
      <c r="U49" s="107"/>
      <c r="V49" s="175"/>
      <c r="W49" s="10"/>
      <c r="X49" s="10"/>
      <c r="Y49" t="str">
        <f t="shared" si="20"/>
        <v>1107</v>
      </c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>
      <c r="A50" s="10"/>
      <c r="B50" s="10" t="str">
        <f t="shared" si="15"/>
        <v>Above the LineDEVELOPMENT</v>
      </c>
      <c r="C50" t="s">
        <v>7</v>
      </c>
      <c r="D50" t="s">
        <v>19</v>
      </c>
      <c r="E50" t="s">
        <v>215</v>
      </c>
      <c r="G50" t="s">
        <v>2131</v>
      </c>
      <c r="I50" s="10"/>
      <c r="J50" s="107">
        <f>SUMIF(Data!C:C,G50,Data!Q:Q)</f>
        <v>275000</v>
      </c>
      <c r="K50" s="107">
        <f>SUMIF(Comprometidos!A:A,'Cost Report'!G50,Comprometidos!E:E)</f>
        <v>0</v>
      </c>
      <c r="L50" s="107">
        <f t="shared" si="16"/>
        <v>275000</v>
      </c>
      <c r="M50" s="107">
        <f t="shared" si="17"/>
        <v>0</v>
      </c>
      <c r="N50" s="107">
        <f t="shared" si="18"/>
        <v>275000</v>
      </c>
      <c r="O50" s="107">
        <f>VLOOKUP(G50,Budget!$E$3:$G$2474,3,0)</f>
        <v>275000</v>
      </c>
      <c r="P50" s="107">
        <f t="shared" si="19"/>
        <v>0</v>
      </c>
      <c r="Q50" s="107"/>
      <c r="R50" s="10"/>
      <c r="S50" s="107">
        <v>275000</v>
      </c>
      <c r="T50" s="107">
        <f t="shared" si="0"/>
        <v>0</v>
      </c>
      <c r="U50" s="107"/>
      <c r="V50" s="175"/>
      <c r="W50" s="10"/>
      <c r="X50" s="10"/>
      <c r="Y50" t="str">
        <f t="shared" si="20"/>
        <v>1107</v>
      </c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>
      <c r="A51" s="10"/>
      <c r="B51" s="10" t="str">
        <f t="shared" si="15"/>
        <v>Above the Line</v>
      </c>
      <c r="C51" t="s">
        <v>7</v>
      </c>
      <c r="D51" t="s">
        <v>19</v>
      </c>
      <c r="E51" t="s">
        <v>214</v>
      </c>
      <c r="G51" t="s">
        <v>2132</v>
      </c>
      <c r="I51" s="10"/>
      <c r="J51" s="107">
        <f>SUMIF(Data!C:C,G51,Data!Q:Q)</f>
        <v>0</v>
      </c>
      <c r="K51" s="107">
        <f>SUMIF(Comprometidos!A:A,'Cost Report'!G51,Comprometidos!E:E)</f>
        <v>0</v>
      </c>
      <c r="L51" s="107">
        <f t="shared" si="16"/>
        <v>0</v>
      </c>
      <c r="M51" s="107">
        <f t="shared" si="17"/>
        <v>0</v>
      </c>
      <c r="N51" s="107">
        <f t="shared" si="18"/>
        <v>0</v>
      </c>
      <c r="O51" s="107">
        <f>VLOOKUP(G51,Budget!$E$3:$G$2474,3,0)</f>
        <v>0</v>
      </c>
      <c r="P51" s="107">
        <f t="shared" si="19"/>
        <v>0</v>
      </c>
      <c r="Q51" s="107"/>
      <c r="R51" s="10"/>
      <c r="S51" s="107">
        <v>0</v>
      </c>
      <c r="T51" s="107">
        <f t="shared" si="0"/>
        <v>0</v>
      </c>
      <c r="U51" s="107"/>
      <c r="V51" s="175"/>
      <c r="W51" s="10"/>
      <c r="X51" s="10"/>
      <c r="Y51" t="str">
        <f t="shared" si="20"/>
        <v>1107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>
      <c r="A52" s="10"/>
      <c r="B52" s="10" t="str">
        <f t="shared" si="15"/>
        <v>Above the LineDEVELOPMENT</v>
      </c>
      <c r="C52" t="s">
        <v>7</v>
      </c>
      <c r="D52" t="s">
        <v>19</v>
      </c>
      <c r="E52" t="s">
        <v>215</v>
      </c>
      <c r="G52" t="s">
        <v>2133</v>
      </c>
      <c r="I52" s="10"/>
      <c r="J52" s="107">
        <f>SUMIF(Data!C:C,G52,Data!Q:Q)</f>
        <v>275000</v>
      </c>
      <c r="K52" s="107">
        <f>SUMIF(Comprometidos!A:A,'Cost Report'!G52,Comprometidos!E:E)</f>
        <v>0</v>
      </c>
      <c r="L52" s="107">
        <f t="shared" si="16"/>
        <v>275000</v>
      </c>
      <c r="M52" s="107">
        <f t="shared" si="17"/>
        <v>0</v>
      </c>
      <c r="N52" s="107">
        <f t="shared" si="18"/>
        <v>275000</v>
      </c>
      <c r="O52" s="107">
        <f>VLOOKUP(G52,Budget!$E$3:$G$2474,3,0)</f>
        <v>275000</v>
      </c>
      <c r="P52" s="107">
        <f t="shared" si="19"/>
        <v>0</v>
      </c>
      <c r="Q52" s="107"/>
      <c r="R52" s="10"/>
      <c r="S52" s="107">
        <v>275000</v>
      </c>
      <c r="T52" s="107">
        <f t="shared" si="0"/>
        <v>0</v>
      </c>
      <c r="U52" s="107"/>
      <c r="V52" s="175"/>
      <c r="W52" s="10"/>
      <c r="X52" s="10"/>
      <c r="Y52" t="str">
        <f t="shared" si="20"/>
        <v>1107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>
      <c r="A53" s="10"/>
      <c r="B53" s="10" t="str">
        <f>+C53</f>
        <v>Above the Line</v>
      </c>
      <c r="C53" s="128" t="s">
        <v>7</v>
      </c>
      <c r="D53" s="128" t="s">
        <v>2117</v>
      </c>
      <c r="E53" s="128"/>
      <c r="F53" s="128"/>
      <c r="G53" s="128" t="s">
        <v>222</v>
      </c>
      <c r="H53" s="128"/>
      <c r="I53" s="10"/>
      <c r="J53" s="129">
        <f>SUMIF($Y$11:$Y$2484,G53,J$11:J$2484)</f>
        <v>250000</v>
      </c>
      <c r="K53" s="129">
        <f>SUMIF($Y$11:$Y$2484,G53,K$11:K$2484)</f>
        <v>0</v>
      </c>
      <c r="L53" s="129">
        <f>SUMIF($Y$11:$Y$2484,G53,L$11:L$2484)</f>
        <v>250000</v>
      </c>
      <c r="M53" s="129">
        <f>SUMIF($Y$11:$Y$2484,G53,M$11:M$2484)</f>
        <v>0</v>
      </c>
      <c r="N53" s="129">
        <f>SUMIF($Y$11:$Y$2484,G53,N$11:N$2484)</f>
        <v>250000</v>
      </c>
      <c r="O53" s="129">
        <f>SUMIF($Y$11:$Y$2484,G53,O$11:O$2484)</f>
        <v>250000</v>
      </c>
      <c r="P53" s="129">
        <f>SUMIF($Y$11:$Y$2484,G53,P$11:P$2484)</f>
        <v>0</v>
      </c>
      <c r="Q53" s="129"/>
      <c r="R53" s="10"/>
      <c r="S53" s="129">
        <v>250000</v>
      </c>
      <c r="T53" s="129">
        <f t="shared" si="0"/>
        <v>0</v>
      </c>
      <c r="U53" s="128"/>
      <c r="V53" s="175"/>
      <c r="W53" s="10"/>
      <c r="X53" s="10"/>
      <c r="Z53" t="str">
        <f>LEFT(G53,2)</f>
        <v>11</v>
      </c>
      <c r="AA53" t="str">
        <f>+Z53&amp;"00"</f>
        <v>1100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>
      <c r="A54" s="10"/>
      <c r="B54" s="10" t="str">
        <f t="shared" ref="B54:B59" si="21">+C54&amp;E54</f>
        <v>Above the Line</v>
      </c>
      <c r="C54" t="s">
        <v>7</v>
      </c>
      <c r="D54" t="s">
        <v>19</v>
      </c>
      <c r="E54" t="s">
        <v>214</v>
      </c>
      <c r="G54" t="s">
        <v>95</v>
      </c>
      <c r="I54" s="10"/>
      <c r="J54" s="107">
        <f>SUMIF(Data!C:C,G54,Data!Q:Q)</f>
        <v>0</v>
      </c>
      <c r="K54" s="107">
        <f>SUMIF(Comprometidos!A:A,'Cost Report'!G54,Comprometidos!E:E)</f>
        <v>0</v>
      </c>
      <c r="L54" s="107">
        <f t="shared" ref="L54:L59" si="22">+J54+K54</f>
        <v>0</v>
      </c>
      <c r="M54" s="107">
        <f t="shared" ref="M54:M59" si="23">+O54-L54</f>
        <v>0</v>
      </c>
      <c r="N54" s="107">
        <f t="shared" ref="N54:N59" si="24">+L54+M54</f>
        <v>0</v>
      </c>
      <c r="O54" s="107">
        <f>VLOOKUP(G54,Budget!$E$3:$G$2474,3,0)</f>
        <v>0</v>
      </c>
      <c r="P54" s="107">
        <f t="shared" ref="P54:P59" si="25">+O54-N54</f>
        <v>0</v>
      </c>
      <c r="Q54" s="107"/>
      <c r="R54" s="10"/>
      <c r="S54" s="107">
        <v>0</v>
      </c>
      <c r="T54" s="107">
        <f t="shared" si="0"/>
        <v>0</v>
      </c>
      <c r="U54" s="107"/>
      <c r="V54" s="175"/>
      <c r="W54" s="10"/>
      <c r="X54" s="10"/>
      <c r="Y54" t="str">
        <f t="shared" ref="Y54:Y59" si="26">LEFT(G54,4)</f>
        <v>1122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>
      <c r="A55" s="10"/>
      <c r="B55" s="10" t="str">
        <f t="shared" si="21"/>
        <v>Above the Line</v>
      </c>
      <c r="C55" t="s">
        <v>7</v>
      </c>
      <c r="D55" t="s">
        <v>19</v>
      </c>
      <c r="E55" t="s">
        <v>214</v>
      </c>
      <c r="G55" t="s">
        <v>147</v>
      </c>
      <c r="I55" s="10"/>
      <c r="J55" s="107">
        <f>SUMIF(Data!C:C,G55,Data!Q:Q)</f>
        <v>0</v>
      </c>
      <c r="K55" s="107">
        <f>SUMIF(Comprometidos!A:A,'Cost Report'!G55,Comprometidos!E:E)</f>
        <v>0</v>
      </c>
      <c r="L55" s="107">
        <f t="shared" si="22"/>
        <v>0</v>
      </c>
      <c r="M55" s="107">
        <f t="shared" si="23"/>
        <v>0</v>
      </c>
      <c r="N55" s="107">
        <f t="shared" si="24"/>
        <v>0</v>
      </c>
      <c r="O55" s="107">
        <f>VLOOKUP(G55,Budget!$E$3:$G$2474,3,0)</f>
        <v>0</v>
      </c>
      <c r="P55" s="107">
        <f t="shared" si="25"/>
        <v>0</v>
      </c>
      <c r="Q55" s="107"/>
      <c r="R55" s="10"/>
      <c r="S55" s="107">
        <v>0</v>
      </c>
      <c r="T55" s="107">
        <f t="shared" si="0"/>
        <v>0</v>
      </c>
      <c r="U55" s="107"/>
      <c r="V55" s="175"/>
      <c r="W55" s="10"/>
      <c r="X55" s="10"/>
      <c r="Y55" t="str">
        <f t="shared" si="26"/>
        <v>1122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>
      <c r="A56" s="10"/>
      <c r="B56" s="10" t="str">
        <f t="shared" si="21"/>
        <v>Above the LineDEVELOPMENT</v>
      </c>
      <c r="C56" t="s">
        <v>7</v>
      </c>
      <c r="D56" t="s">
        <v>19</v>
      </c>
      <c r="E56" t="s">
        <v>215</v>
      </c>
      <c r="G56" t="s">
        <v>223</v>
      </c>
      <c r="I56" s="10"/>
      <c r="J56" s="107">
        <f>SUMIF(Data!C:C,G56,Data!Q:Q)</f>
        <v>125000</v>
      </c>
      <c r="K56" s="107">
        <f>SUMIF(Comprometidos!A:A,'Cost Report'!G56,Comprometidos!E:E)</f>
        <v>0</v>
      </c>
      <c r="L56" s="107">
        <f t="shared" si="22"/>
        <v>125000</v>
      </c>
      <c r="M56" s="107">
        <f t="shared" si="23"/>
        <v>0</v>
      </c>
      <c r="N56" s="107">
        <f t="shared" si="24"/>
        <v>125000</v>
      </c>
      <c r="O56" s="107">
        <f>VLOOKUP(G56,Budget!$E$3:$G$2474,3,0)</f>
        <v>125000</v>
      </c>
      <c r="P56" s="107">
        <f t="shared" si="25"/>
        <v>0</v>
      </c>
      <c r="Q56" s="107"/>
      <c r="R56" s="10"/>
      <c r="S56" s="107">
        <v>125000</v>
      </c>
      <c r="T56" s="107">
        <f t="shared" si="0"/>
        <v>0</v>
      </c>
      <c r="U56" s="107"/>
      <c r="V56" s="175"/>
      <c r="W56" s="10"/>
      <c r="X56" s="10"/>
      <c r="Y56" t="str">
        <f t="shared" si="26"/>
        <v>1122</v>
      </c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>
      <c r="A57" s="10"/>
      <c r="B57" s="10" t="str">
        <f t="shared" si="21"/>
        <v>Above the Line</v>
      </c>
      <c r="C57" t="s">
        <v>7</v>
      </c>
      <c r="D57" t="s">
        <v>19</v>
      </c>
      <c r="E57" t="s">
        <v>214</v>
      </c>
      <c r="G57" t="s">
        <v>2134</v>
      </c>
      <c r="I57" s="10"/>
      <c r="J57" s="107">
        <f>SUMIF(Data!C:C,G57,Data!Q:Q)</f>
        <v>0</v>
      </c>
      <c r="K57" s="107">
        <f>SUMIF(Comprometidos!A:A,'Cost Report'!G57,Comprometidos!E:E)</f>
        <v>0</v>
      </c>
      <c r="L57" s="107">
        <f t="shared" si="22"/>
        <v>0</v>
      </c>
      <c r="M57" s="107">
        <f t="shared" si="23"/>
        <v>0</v>
      </c>
      <c r="N57" s="107">
        <f t="shared" si="24"/>
        <v>0</v>
      </c>
      <c r="O57" s="107">
        <f>VLOOKUP(G57,Budget!$E$3:$G$2474,3,0)</f>
        <v>0</v>
      </c>
      <c r="P57" s="107">
        <f t="shared" si="25"/>
        <v>0</v>
      </c>
      <c r="Q57" s="107"/>
      <c r="R57" s="10"/>
      <c r="S57" s="107">
        <v>0</v>
      </c>
      <c r="T57" s="107">
        <f t="shared" si="0"/>
        <v>0</v>
      </c>
      <c r="U57" s="107"/>
      <c r="V57" s="175"/>
      <c r="W57" s="10"/>
      <c r="X57" s="10"/>
      <c r="Y57" t="str">
        <f t="shared" si="26"/>
        <v>1122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>
      <c r="A58" s="10"/>
      <c r="B58" s="10" t="str">
        <f t="shared" si="21"/>
        <v>Above the Line</v>
      </c>
      <c r="C58" t="s">
        <v>7</v>
      </c>
      <c r="D58" t="s">
        <v>19</v>
      </c>
      <c r="E58" t="s">
        <v>214</v>
      </c>
      <c r="G58" t="s">
        <v>2135</v>
      </c>
      <c r="I58" s="10"/>
      <c r="J58" s="107">
        <f>SUMIF(Data!C:C,G58,Data!Q:Q)</f>
        <v>0</v>
      </c>
      <c r="K58" s="107">
        <f>SUMIF(Comprometidos!A:A,'Cost Report'!G58,Comprometidos!E:E)</f>
        <v>0</v>
      </c>
      <c r="L58" s="107">
        <f t="shared" si="22"/>
        <v>0</v>
      </c>
      <c r="M58" s="107">
        <f t="shared" si="23"/>
        <v>0</v>
      </c>
      <c r="N58" s="107">
        <f t="shared" si="24"/>
        <v>0</v>
      </c>
      <c r="O58" s="107">
        <f>VLOOKUP(G58,Budget!$E$3:$G$2474,3,0)</f>
        <v>0</v>
      </c>
      <c r="P58" s="107">
        <f t="shared" si="25"/>
        <v>0</v>
      </c>
      <c r="Q58" s="107"/>
      <c r="R58" s="10"/>
      <c r="S58" s="107">
        <v>0</v>
      </c>
      <c r="T58" s="107">
        <f t="shared" si="0"/>
        <v>0</v>
      </c>
      <c r="U58" s="107"/>
      <c r="V58" s="175"/>
      <c r="W58" s="10"/>
      <c r="X58" s="10"/>
      <c r="Y58" t="str">
        <f t="shared" si="26"/>
        <v>1122</v>
      </c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>
      <c r="A59" s="10"/>
      <c r="B59" s="10" t="str">
        <f t="shared" si="21"/>
        <v>Above the LineDEVELOPMENT</v>
      </c>
      <c r="C59" t="s">
        <v>7</v>
      </c>
      <c r="D59" t="s">
        <v>19</v>
      </c>
      <c r="E59" t="s">
        <v>215</v>
      </c>
      <c r="G59" t="s">
        <v>2136</v>
      </c>
      <c r="I59" s="10"/>
      <c r="J59" s="107">
        <f>SUMIF(Data!C:C,G59,Data!Q:Q)</f>
        <v>125000</v>
      </c>
      <c r="K59" s="107">
        <f>SUMIF(Comprometidos!A:A,'Cost Report'!G59,Comprometidos!E:E)</f>
        <v>0</v>
      </c>
      <c r="L59" s="107">
        <f t="shared" si="22"/>
        <v>125000</v>
      </c>
      <c r="M59" s="107">
        <f t="shared" si="23"/>
        <v>0</v>
      </c>
      <c r="N59" s="107">
        <f t="shared" si="24"/>
        <v>125000</v>
      </c>
      <c r="O59" s="107">
        <f>VLOOKUP(G59,Budget!$E$3:$G$2474,3,0)</f>
        <v>125000</v>
      </c>
      <c r="P59" s="107">
        <f t="shared" si="25"/>
        <v>0</v>
      </c>
      <c r="Q59" s="107"/>
      <c r="R59" s="10"/>
      <c r="S59" s="107">
        <v>125000</v>
      </c>
      <c r="T59" s="107">
        <f t="shared" si="0"/>
        <v>0</v>
      </c>
      <c r="U59" s="107"/>
      <c r="V59" s="175"/>
      <c r="W59" s="10"/>
      <c r="X59" s="10"/>
      <c r="Y59" t="str">
        <f t="shared" si="26"/>
        <v>1122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>
      <c r="A60" s="10"/>
      <c r="B60" s="10" t="str">
        <f>+C60</f>
        <v>Above the Line</v>
      </c>
      <c r="C60" s="128" t="s">
        <v>7</v>
      </c>
      <c r="D60" s="128" t="s">
        <v>2117</v>
      </c>
      <c r="E60" s="128"/>
      <c r="F60" s="128"/>
      <c r="G60" s="128" t="s">
        <v>224</v>
      </c>
      <c r="H60" s="128"/>
      <c r="I60" s="10"/>
      <c r="J60" s="129">
        <f>SUMIF($Y$11:$Y$2484,G60,J$11:J$2484)</f>
        <v>225000</v>
      </c>
      <c r="K60" s="129">
        <f>SUMIF($Y$11:$Y$2484,G60,K$11:K$2484)</f>
        <v>0</v>
      </c>
      <c r="L60" s="129">
        <f>SUMIF($Y$11:$Y$2484,G60,L$11:L$2484)</f>
        <v>225000</v>
      </c>
      <c r="M60" s="129">
        <f>SUMIF($Y$11:$Y$2484,G60,M$11:M$2484)</f>
        <v>0</v>
      </c>
      <c r="N60" s="129">
        <f>SUMIF($Y$11:$Y$2484,G60,N$11:N$2484)</f>
        <v>225000</v>
      </c>
      <c r="O60" s="129">
        <f>SUMIF($Y$11:$Y$2484,G60,O$11:O$2484)</f>
        <v>225000</v>
      </c>
      <c r="P60" s="129">
        <f>SUMIF($Y$11:$Y$2484,G60,P$11:P$2484)</f>
        <v>0</v>
      </c>
      <c r="Q60" s="129"/>
      <c r="R60" s="10"/>
      <c r="S60" s="129">
        <v>225000</v>
      </c>
      <c r="T60" s="129">
        <f t="shared" si="0"/>
        <v>0</v>
      </c>
      <c r="U60" s="128"/>
      <c r="V60" s="175"/>
      <c r="W60" s="10"/>
      <c r="X60" s="10"/>
      <c r="Z60" t="str">
        <f>LEFT(G60,2)</f>
        <v>11</v>
      </c>
      <c r="AA60" t="str">
        <f>+Z60&amp;"00"</f>
        <v>1100</v>
      </c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>
      <c r="A61" s="10"/>
      <c r="B61" s="10" t="str">
        <f t="shared" ref="B61:B64" si="27">+C61&amp;E61</f>
        <v>Above the Line</v>
      </c>
      <c r="C61" t="s">
        <v>7</v>
      </c>
      <c r="D61" t="s">
        <v>19</v>
      </c>
      <c r="E61" t="s">
        <v>214</v>
      </c>
      <c r="G61" t="s">
        <v>101</v>
      </c>
      <c r="I61" s="10"/>
      <c r="J61" s="107">
        <f>SUMIF(Data!C:C,G61,Data!Q:Q)</f>
        <v>0</v>
      </c>
      <c r="K61" s="107">
        <f>SUMIF(Comprometidos!A:A,'Cost Report'!G61,Comprometidos!E:E)</f>
        <v>0</v>
      </c>
      <c r="L61" s="107">
        <f t="shared" ref="L61:L64" si="28">+J61+K61</f>
        <v>0</v>
      </c>
      <c r="M61" s="107">
        <f t="shared" ref="M61:M64" si="29">+O61-L61</f>
        <v>0</v>
      </c>
      <c r="N61" s="107">
        <f t="shared" ref="N61:N64" si="30">+L61+M61</f>
        <v>0</v>
      </c>
      <c r="O61" s="107">
        <f>VLOOKUP(G61,Budget!$E$3:$G$2474,3,0)</f>
        <v>0</v>
      </c>
      <c r="P61" s="107">
        <f t="shared" ref="P61:P64" si="31">+O61-N61</f>
        <v>0</v>
      </c>
      <c r="Q61" s="107"/>
      <c r="R61" s="10"/>
      <c r="S61" s="107">
        <v>0</v>
      </c>
      <c r="T61" s="107">
        <f t="shared" si="0"/>
        <v>0</v>
      </c>
      <c r="U61" s="107"/>
      <c r="V61" s="175"/>
      <c r="W61" s="10"/>
      <c r="X61" s="10"/>
      <c r="Y61" t="str">
        <f t="shared" ref="Y61:Y64" si="32">LEFT(G61,4)</f>
        <v>1193</v>
      </c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>
      <c r="A62" s="10"/>
      <c r="B62" s="10" t="str">
        <f t="shared" si="27"/>
        <v>Above the LineDEVELOPMENT</v>
      </c>
      <c r="C62" t="s">
        <v>7</v>
      </c>
      <c r="D62" t="s">
        <v>19</v>
      </c>
      <c r="E62" t="s">
        <v>215</v>
      </c>
      <c r="G62" t="s">
        <v>148</v>
      </c>
      <c r="I62" s="10"/>
      <c r="J62" s="107">
        <f>SUMIF(Data!C:C,G62,Data!Q:Q)</f>
        <v>100000</v>
      </c>
      <c r="K62" s="107">
        <f>SUMIF(Comprometidos!A:A,'Cost Report'!G62,Comprometidos!E:E)</f>
        <v>0</v>
      </c>
      <c r="L62" s="107">
        <f t="shared" si="28"/>
        <v>100000</v>
      </c>
      <c r="M62" s="107">
        <f t="shared" si="29"/>
        <v>0</v>
      </c>
      <c r="N62" s="107">
        <f t="shared" si="30"/>
        <v>100000</v>
      </c>
      <c r="O62" s="107">
        <f>VLOOKUP(G62,Budget!$E$3:$G$2474,3,0)</f>
        <v>100000</v>
      </c>
      <c r="P62" s="107">
        <f t="shared" si="31"/>
        <v>0</v>
      </c>
      <c r="Q62" s="107"/>
      <c r="R62" s="10"/>
      <c r="S62" s="107">
        <v>100000</v>
      </c>
      <c r="T62" s="107">
        <f t="shared" si="0"/>
        <v>0</v>
      </c>
      <c r="U62" s="107"/>
      <c r="V62" s="175"/>
      <c r="W62" s="10"/>
      <c r="X62" s="10"/>
      <c r="Y62" t="str">
        <f t="shared" si="32"/>
        <v>1193</v>
      </c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>
      <c r="A63" s="10"/>
      <c r="B63" s="10" t="str">
        <f t="shared" si="27"/>
        <v>Above the Line</v>
      </c>
      <c r="C63" t="s">
        <v>7</v>
      </c>
      <c r="D63" t="s">
        <v>19</v>
      </c>
      <c r="E63" t="s">
        <v>214</v>
      </c>
      <c r="G63" t="s">
        <v>2137</v>
      </c>
      <c r="I63" s="10"/>
      <c r="J63" s="107">
        <f>SUMIF(Data!C:C,G63,Data!Q:Q)</f>
        <v>0</v>
      </c>
      <c r="K63" s="107">
        <f>SUMIF(Comprometidos!A:A,'Cost Report'!G63,Comprometidos!E:E)</f>
        <v>0</v>
      </c>
      <c r="L63" s="107">
        <f t="shared" si="28"/>
        <v>0</v>
      </c>
      <c r="M63" s="107">
        <f t="shared" si="29"/>
        <v>0</v>
      </c>
      <c r="N63" s="107">
        <f t="shared" si="30"/>
        <v>0</v>
      </c>
      <c r="O63" s="107">
        <f>VLOOKUP(G63,Budget!$E$3:$G$2474,3,0)</f>
        <v>0</v>
      </c>
      <c r="P63" s="107">
        <f t="shared" si="31"/>
        <v>0</v>
      </c>
      <c r="Q63" s="107"/>
      <c r="R63" s="10"/>
      <c r="S63" s="107">
        <v>0</v>
      </c>
      <c r="T63" s="107">
        <f t="shared" si="0"/>
        <v>0</v>
      </c>
      <c r="U63" s="107"/>
      <c r="V63" s="175"/>
      <c r="W63" s="10"/>
      <c r="X63" s="10"/>
      <c r="Y63" t="str">
        <f t="shared" si="32"/>
        <v>1193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>
      <c r="A64" s="10"/>
      <c r="B64" s="10" t="str">
        <f t="shared" si="27"/>
        <v>Above the LineDEVELOPMENT</v>
      </c>
      <c r="C64" t="s">
        <v>7</v>
      </c>
      <c r="D64" t="s">
        <v>19</v>
      </c>
      <c r="E64" t="s">
        <v>215</v>
      </c>
      <c r="G64" t="s">
        <v>2138</v>
      </c>
      <c r="I64" s="10"/>
      <c r="J64" s="107">
        <f>SUMIF(Data!C:C,G64,Data!Q:Q)</f>
        <v>125000</v>
      </c>
      <c r="K64" s="107">
        <f>SUMIF(Comprometidos!A:A,'Cost Report'!G64,Comprometidos!E:E)</f>
        <v>0</v>
      </c>
      <c r="L64" s="107">
        <f t="shared" si="28"/>
        <v>125000</v>
      </c>
      <c r="M64" s="107">
        <f t="shared" si="29"/>
        <v>0</v>
      </c>
      <c r="N64" s="107">
        <f t="shared" si="30"/>
        <v>125000</v>
      </c>
      <c r="O64" s="107">
        <f>VLOOKUP(G64,Budget!$E$3:$G$2474,3,0)</f>
        <v>125000</v>
      </c>
      <c r="P64" s="107">
        <f t="shared" si="31"/>
        <v>0</v>
      </c>
      <c r="Q64" s="107"/>
      <c r="R64" s="10"/>
      <c r="S64" s="107">
        <v>125000</v>
      </c>
      <c r="T64" s="107">
        <f t="shared" si="0"/>
        <v>0</v>
      </c>
      <c r="U64" s="107"/>
      <c r="V64" s="175"/>
      <c r="W64" s="10"/>
      <c r="X64" s="10"/>
      <c r="Y64" t="str">
        <f t="shared" si="32"/>
        <v>1193</v>
      </c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>
      <c r="A65" s="10"/>
      <c r="B65" s="10"/>
      <c r="C65" s="170" t="s">
        <v>7</v>
      </c>
      <c r="D65" s="170" t="s">
        <v>8</v>
      </c>
      <c r="E65" s="170"/>
      <c r="F65" s="170"/>
      <c r="G65" s="170" t="s">
        <v>225</v>
      </c>
      <c r="H65" s="170"/>
      <c r="I65" s="10"/>
      <c r="J65" s="169">
        <f>SUMIF($AA$10:$AA$2484,G65,J$10:J$2484)</f>
        <v>9361342.3100000005</v>
      </c>
      <c r="K65" s="169">
        <f>SUMIF($AA$10:$AA$2484,G65,K$10:K$2484)</f>
        <v>0</v>
      </c>
      <c r="L65" s="169">
        <f>SUMIF($AA$10:$AA$2484,G65,L$10:L$2484)</f>
        <v>9361342.3100000005</v>
      </c>
      <c r="M65" s="169">
        <f>SUMIF($AA$10:$AA$2484,G65,M$10:M$2484)</f>
        <v>0</v>
      </c>
      <c r="N65" s="169">
        <f>SUMIF($AA$10:$AA$2484,G65,N$10:N$2484)</f>
        <v>9361342.3100000005</v>
      </c>
      <c r="O65" s="169">
        <f>SUMIF($AA$10:$AA$2484,G65,O$10:O$2484)</f>
        <v>9449620</v>
      </c>
      <c r="P65" s="168">
        <f>SUMIF($AA$10:$AA$2484,G65,P$10:P$2484)</f>
        <v>88277.689999999857</v>
      </c>
      <c r="Q65" s="169"/>
      <c r="R65" s="10"/>
      <c r="S65" s="164">
        <v>9361342.3100000005</v>
      </c>
      <c r="T65" s="164">
        <f t="shared" si="0"/>
        <v>0</v>
      </c>
      <c r="U65" s="163"/>
      <c r="V65" s="175"/>
      <c r="W65" s="10"/>
      <c r="X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>
      <c r="A66" s="10"/>
      <c r="B66" s="10" t="str">
        <f>+C66</f>
        <v>Above the Line</v>
      </c>
      <c r="C66" s="128" t="s">
        <v>7</v>
      </c>
      <c r="D66" s="128" t="s">
        <v>2117</v>
      </c>
      <c r="E66" s="128"/>
      <c r="F66" s="128"/>
      <c r="G66" s="128" t="s">
        <v>226</v>
      </c>
      <c r="H66" s="128"/>
      <c r="I66" s="10"/>
      <c r="J66" s="129">
        <f>SUMIF($Y$11:$Y$2484,G66,J$11:J$2484)</f>
        <v>5978554.4100000001</v>
      </c>
      <c r="K66" s="129">
        <f>SUMIF($Y$11:$Y$2484,G66,K$11:K$2484)</f>
        <v>0</v>
      </c>
      <c r="L66" s="129">
        <f>SUMIF($Y$11:$Y$2484,G66,L$11:L$2484)</f>
        <v>5978554.4100000001</v>
      </c>
      <c r="M66" s="129">
        <f>SUMIF($Y$11:$Y$2484,G66,M$11:M$2484)</f>
        <v>0</v>
      </c>
      <c r="N66" s="129">
        <f>SUMIF($Y$11:$Y$2484,G66,N$11:N$2484)</f>
        <v>5978554.4100000001</v>
      </c>
      <c r="O66" s="129">
        <f>SUMIF($Y$11:$Y$2484,G66,O$11:O$2484)</f>
        <v>5979120</v>
      </c>
      <c r="P66" s="129">
        <f>SUMIF($Y$11:$Y$2484,G66,P$11:P$2484)</f>
        <v>565.58999999985099</v>
      </c>
      <c r="Q66" s="129"/>
      <c r="R66" s="10"/>
      <c r="S66" s="129">
        <v>5978554.4100000001</v>
      </c>
      <c r="T66" s="129">
        <f t="shared" si="0"/>
        <v>0</v>
      </c>
      <c r="U66" s="128"/>
      <c r="V66" s="175"/>
      <c r="W66" s="10"/>
      <c r="X66" s="10"/>
      <c r="Z66" t="str">
        <f>LEFT(G66,2)</f>
        <v>12</v>
      </c>
      <c r="AA66" t="str">
        <f>+Z66&amp;"00"</f>
        <v>1200</v>
      </c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>
      <c r="A67" s="10"/>
      <c r="B67" s="10" t="str">
        <f t="shared" ref="B67:B72" si="33">+C67&amp;E67</f>
        <v>Above the Line</v>
      </c>
      <c r="C67" t="s">
        <v>7</v>
      </c>
      <c r="D67" t="s">
        <v>19</v>
      </c>
      <c r="E67" t="s">
        <v>214</v>
      </c>
      <c r="G67" t="s">
        <v>228</v>
      </c>
      <c r="I67" s="10"/>
      <c r="J67" s="107">
        <f>SUMIF(Data!C:C,G67,Data!Q:Q)</f>
        <v>0</v>
      </c>
      <c r="K67" s="107">
        <f>SUMIF(Comprometidos!A:A,'Cost Report'!G67,Comprometidos!E:E)</f>
        <v>0</v>
      </c>
      <c r="L67" s="107">
        <f t="shared" ref="L67:L72" si="34">+J67+K67</f>
        <v>0</v>
      </c>
      <c r="M67" s="107">
        <f t="shared" ref="M67:M72" si="35">+O67-L67</f>
        <v>0</v>
      </c>
      <c r="N67" s="107">
        <f t="shared" ref="N67:N72" si="36">+L67+M67</f>
        <v>0</v>
      </c>
      <c r="O67" s="107">
        <f>VLOOKUP(G67,Budget!$E$3:$G$2474,3,0)</f>
        <v>0</v>
      </c>
      <c r="P67" s="107">
        <f t="shared" ref="P67:P72" si="37">+O67-N67</f>
        <v>0</v>
      </c>
      <c r="Q67" s="107"/>
      <c r="R67" s="10"/>
      <c r="S67" s="107">
        <v>0</v>
      </c>
      <c r="T67" s="107">
        <f t="shared" si="0"/>
        <v>0</v>
      </c>
      <c r="U67" s="107"/>
      <c r="V67" s="175"/>
      <c r="W67" s="10"/>
      <c r="X67" s="10"/>
      <c r="Y67" t="str">
        <f t="shared" ref="Y67:Y72" si="38">LEFT(G67,4)</f>
        <v>1201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>
      <c r="A68" s="10"/>
      <c r="B68" s="10" t="str">
        <f t="shared" si="33"/>
        <v>Above the LineALL SHOW</v>
      </c>
      <c r="C68" t="s">
        <v>7</v>
      </c>
      <c r="D68" t="s">
        <v>19</v>
      </c>
      <c r="E68" t="s">
        <v>227</v>
      </c>
      <c r="G68" t="s">
        <v>229</v>
      </c>
      <c r="I68" s="10"/>
      <c r="J68" s="107">
        <f>SUMIF(Data!C:C,G68,Data!Q:Q)</f>
        <v>2148994.41</v>
      </c>
      <c r="K68" s="107">
        <f>SUMIF(Comprometidos!A:A,'Cost Report'!G68,Comprometidos!E:E)</f>
        <v>0</v>
      </c>
      <c r="L68" s="107">
        <f t="shared" si="34"/>
        <v>2148994.41</v>
      </c>
      <c r="M68" s="107">
        <v>0</v>
      </c>
      <c r="N68" s="107">
        <f t="shared" si="36"/>
        <v>2148994.41</v>
      </c>
      <c r="O68" s="107">
        <f>VLOOKUP(G68,Budget!$E$3:$G$2474,3,0)</f>
        <v>2149560</v>
      </c>
      <c r="P68" s="107">
        <f t="shared" si="37"/>
        <v>565.58999999985099</v>
      </c>
      <c r="Q68" s="107"/>
      <c r="R68" s="10"/>
      <c r="S68" s="107">
        <v>2148994.41</v>
      </c>
      <c r="T68" s="107">
        <f t="shared" si="0"/>
        <v>0</v>
      </c>
      <c r="U68" s="107"/>
      <c r="V68" s="175"/>
      <c r="W68" s="10"/>
      <c r="X68" s="10"/>
      <c r="Y68" t="str">
        <f t="shared" si="38"/>
        <v>1201</v>
      </c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>
      <c r="A69" s="10"/>
      <c r="B69" s="10" t="str">
        <f t="shared" si="33"/>
        <v>Above the Line</v>
      </c>
      <c r="C69" t="s">
        <v>7</v>
      </c>
      <c r="D69" t="s">
        <v>19</v>
      </c>
      <c r="E69" t="s">
        <v>214</v>
      </c>
      <c r="G69" t="s">
        <v>230</v>
      </c>
      <c r="I69" s="10"/>
      <c r="J69" s="107">
        <f>SUMIF(Data!C:C,G69,Data!Q:Q)</f>
        <v>0</v>
      </c>
      <c r="K69" s="107">
        <f>SUMIF(Comprometidos!A:A,'Cost Report'!G69,Comprometidos!E:E)</f>
        <v>0</v>
      </c>
      <c r="L69" s="107">
        <f t="shared" si="34"/>
        <v>0</v>
      </c>
      <c r="M69" s="107">
        <f t="shared" si="35"/>
        <v>0</v>
      </c>
      <c r="N69" s="107">
        <f t="shared" si="36"/>
        <v>0</v>
      </c>
      <c r="O69" s="107">
        <f>VLOOKUP(G69,Budget!$E$3:$G$2474,3,0)</f>
        <v>0</v>
      </c>
      <c r="P69" s="107">
        <f t="shared" si="37"/>
        <v>0</v>
      </c>
      <c r="Q69" s="107"/>
      <c r="R69" s="10"/>
      <c r="S69" s="107">
        <v>0</v>
      </c>
      <c r="T69" s="107">
        <f t="shared" si="0"/>
        <v>0</v>
      </c>
      <c r="U69" s="107"/>
      <c r="V69" s="175"/>
      <c r="W69" s="10"/>
      <c r="X69" s="10"/>
      <c r="Y69" t="str">
        <f t="shared" si="38"/>
        <v>1201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>
      <c r="A70" s="10"/>
      <c r="B70" s="10" t="str">
        <f t="shared" si="33"/>
        <v>Above the LineALL SHOW</v>
      </c>
      <c r="C70" t="s">
        <v>7</v>
      </c>
      <c r="D70" t="s">
        <v>19</v>
      </c>
      <c r="E70" t="s">
        <v>227</v>
      </c>
      <c r="G70" t="s">
        <v>231</v>
      </c>
      <c r="I70" s="10"/>
      <c r="J70" s="107">
        <f>SUMIF(Data!C:C,G70,Data!Q:Q)</f>
        <v>2149560</v>
      </c>
      <c r="K70" s="107">
        <f>SUMIF(Comprometidos!A:A,'Cost Report'!G70,Comprometidos!E:E)</f>
        <v>0</v>
      </c>
      <c r="L70" s="107">
        <f t="shared" si="34"/>
        <v>2149560</v>
      </c>
      <c r="M70" s="107">
        <v>0</v>
      </c>
      <c r="N70" s="107">
        <f t="shared" si="36"/>
        <v>2149560</v>
      </c>
      <c r="O70" s="107">
        <f>VLOOKUP(G70,Budget!$E$3:$G$2474,3,0)</f>
        <v>2149560</v>
      </c>
      <c r="P70" s="107">
        <f t="shared" si="37"/>
        <v>0</v>
      </c>
      <c r="Q70" s="107"/>
      <c r="R70" s="10"/>
      <c r="S70" s="107">
        <v>2149560</v>
      </c>
      <c r="T70" s="107">
        <f t="shared" si="0"/>
        <v>0</v>
      </c>
      <c r="U70" s="107"/>
      <c r="V70" s="175"/>
      <c r="W70" s="10"/>
      <c r="X70" s="10"/>
      <c r="Y70" t="str">
        <f t="shared" si="38"/>
        <v>1201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>
      <c r="A71" s="10"/>
      <c r="B71" s="10" t="str">
        <f t="shared" si="33"/>
        <v>Above the Line</v>
      </c>
      <c r="C71" t="s">
        <v>7</v>
      </c>
      <c r="D71" t="s">
        <v>19</v>
      </c>
      <c r="E71" t="s">
        <v>214</v>
      </c>
      <c r="G71" t="s">
        <v>2139</v>
      </c>
      <c r="I71" s="10"/>
      <c r="J71" s="107">
        <f>SUMIF(Data!C:C,G71,Data!Q:Q)</f>
        <v>0</v>
      </c>
      <c r="K71" s="107">
        <f>SUMIF(Comprometidos!A:A,'Cost Report'!G71,Comprometidos!E:E)</f>
        <v>0</v>
      </c>
      <c r="L71" s="107">
        <f t="shared" si="34"/>
        <v>0</v>
      </c>
      <c r="M71" s="107">
        <f t="shared" si="35"/>
        <v>0</v>
      </c>
      <c r="N71" s="107">
        <f t="shared" si="36"/>
        <v>0</v>
      </c>
      <c r="O71" s="107">
        <f>VLOOKUP(G71,Budget!$E$3:$G$2474,3,0)</f>
        <v>0</v>
      </c>
      <c r="P71" s="107">
        <f t="shared" si="37"/>
        <v>0</v>
      </c>
      <c r="Q71" s="107"/>
      <c r="R71" s="10"/>
      <c r="S71" s="107">
        <v>0</v>
      </c>
      <c r="T71" s="107">
        <f t="shared" si="0"/>
        <v>0</v>
      </c>
      <c r="U71" s="107"/>
      <c r="V71" s="175"/>
      <c r="W71" s="10"/>
      <c r="X71" s="10"/>
      <c r="Y71" t="str">
        <f t="shared" si="38"/>
        <v>1201</v>
      </c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>
      <c r="A72" s="10"/>
      <c r="B72" s="10" t="str">
        <f t="shared" si="33"/>
        <v>Above the LineALL SHOW</v>
      </c>
      <c r="C72" t="s">
        <v>7</v>
      </c>
      <c r="D72" t="s">
        <v>19</v>
      </c>
      <c r="E72" t="s">
        <v>227</v>
      </c>
      <c r="G72" t="s">
        <v>2140</v>
      </c>
      <c r="I72" s="10"/>
      <c r="J72" s="107">
        <f>SUMIF(Data!C:C,G72,Data!Q:Q)</f>
        <v>1680000</v>
      </c>
      <c r="K72" s="107">
        <f>SUMIF(Comprometidos!A:A,'Cost Report'!G72,Comprometidos!E:E)</f>
        <v>0</v>
      </c>
      <c r="L72" s="107">
        <f t="shared" si="34"/>
        <v>1680000</v>
      </c>
      <c r="M72" s="107">
        <f t="shared" si="35"/>
        <v>0</v>
      </c>
      <c r="N72" s="107">
        <f t="shared" si="36"/>
        <v>1680000</v>
      </c>
      <c r="O72" s="107">
        <f>VLOOKUP(G72,Budget!$E$3:$G$2474,3,0)</f>
        <v>1680000</v>
      </c>
      <c r="P72" s="107">
        <f t="shared" si="37"/>
        <v>0</v>
      </c>
      <c r="Q72" s="107"/>
      <c r="R72" s="10"/>
      <c r="S72" s="107">
        <v>1680000</v>
      </c>
      <c r="T72" s="107">
        <f t="shared" si="0"/>
        <v>0</v>
      </c>
      <c r="U72" s="107"/>
      <c r="V72" s="175"/>
      <c r="W72" s="10"/>
      <c r="X72" s="10"/>
      <c r="Y72" t="str">
        <f t="shared" si="38"/>
        <v>1201</v>
      </c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>
      <c r="A73" s="10"/>
      <c r="B73" s="10" t="str">
        <f>+C73</f>
        <v>Above the Line</v>
      </c>
      <c r="C73" s="128" t="s">
        <v>7</v>
      </c>
      <c r="D73" s="128" t="s">
        <v>2117</v>
      </c>
      <c r="E73" s="128"/>
      <c r="F73" s="128"/>
      <c r="G73" s="128" t="s">
        <v>232</v>
      </c>
      <c r="H73" s="128"/>
      <c r="I73" s="10"/>
      <c r="J73" s="129">
        <f>SUMIF($Y$11:$Y$2484,G73,J$11:J$2484)</f>
        <v>1063000</v>
      </c>
      <c r="K73" s="129">
        <f>SUMIF($Y$11:$Y$2484,G73,K$11:K$2484)</f>
        <v>0</v>
      </c>
      <c r="L73" s="129">
        <f>SUMIF($Y$11:$Y$2484,G73,L$11:L$2484)</f>
        <v>1063000</v>
      </c>
      <c r="M73" s="129">
        <f>SUMIF($Y$11:$Y$2484,G73,M$11:M$2484)</f>
        <v>0</v>
      </c>
      <c r="N73" s="129">
        <f>SUMIF($Y$11:$Y$2484,G73,N$11:N$2484)</f>
        <v>1063000</v>
      </c>
      <c r="O73" s="129">
        <f>SUMIF($Y$11:$Y$2484,G73,O$11:O$2484)</f>
        <v>1063000</v>
      </c>
      <c r="P73" s="129">
        <f>SUMIF($Y$11:$Y$2484,G73,P$11:P$2484)</f>
        <v>0</v>
      </c>
      <c r="Q73" s="129"/>
      <c r="R73" s="10"/>
      <c r="S73" s="129">
        <v>1063000</v>
      </c>
      <c r="T73" s="129">
        <f t="shared" si="0"/>
        <v>0</v>
      </c>
      <c r="U73" s="128"/>
      <c r="V73" s="175"/>
      <c r="W73" s="10"/>
      <c r="X73" s="10"/>
      <c r="Z73" t="str">
        <f>LEFT(G73,2)</f>
        <v>12</v>
      </c>
      <c r="AA73" t="str">
        <f>+Z73&amp;"00"</f>
        <v>1200</v>
      </c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>
      <c r="A74" s="10"/>
      <c r="B74" s="10" t="str">
        <f t="shared" ref="B74:B78" si="39">+C74&amp;E74</f>
        <v>Above the Line</v>
      </c>
      <c r="C74" t="s">
        <v>7</v>
      </c>
      <c r="D74" t="s">
        <v>19</v>
      </c>
      <c r="E74" t="s">
        <v>214</v>
      </c>
      <c r="G74" t="s">
        <v>175</v>
      </c>
      <c r="I74" s="10"/>
      <c r="J74" s="107">
        <f>SUMIF(Data!C:C,G74,Data!Q:Q)</f>
        <v>0</v>
      </c>
      <c r="K74" s="107">
        <f>SUMIF(Comprometidos!A:A,'Cost Report'!G74,Comprometidos!E:E)</f>
        <v>0</v>
      </c>
      <c r="L74" s="107">
        <f t="shared" ref="L74:L78" si="40">+J74+K74</f>
        <v>0</v>
      </c>
      <c r="M74" s="107">
        <f t="shared" ref="M74:M78" si="41">+O74-L74</f>
        <v>0</v>
      </c>
      <c r="N74" s="107">
        <f t="shared" ref="N74:N78" si="42">+L74+M74</f>
        <v>0</v>
      </c>
      <c r="O74" s="107">
        <f>VLOOKUP(G74,Budget!$E$3:$G$2474,3,0)</f>
        <v>0</v>
      </c>
      <c r="P74" s="107">
        <f t="shared" ref="P74:P78" si="43">+O74-N74</f>
        <v>0</v>
      </c>
      <c r="Q74" s="107"/>
      <c r="R74" s="10"/>
      <c r="S74" s="107">
        <v>0</v>
      </c>
      <c r="T74" s="107">
        <f t="shared" si="0"/>
        <v>0</v>
      </c>
      <c r="U74" s="107"/>
      <c r="V74" s="175"/>
      <c r="W74" s="10"/>
      <c r="X74" s="10"/>
      <c r="Y74" t="str">
        <f t="shared" ref="Y74:Y78" si="44">LEFT(G74,4)</f>
        <v>1202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>
      <c r="A75" s="10"/>
      <c r="B75" s="10" t="str">
        <f t="shared" si="39"/>
        <v>Above the LineSOFT</v>
      </c>
      <c r="C75" t="s">
        <v>7</v>
      </c>
      <c r="D75" t="s">
        <v>19</v>
      </c>
      <c r="E75" t="s">
        <v>233</v>
      </c>
      <c r="G75" t="s">
        <v>235</v>
      </c>
      <c r="I75" s="10"/>
      <c r="J75" s="107">
        <f>SUMIF(Data!C:C,G75,Data!Q:Q)</f>
        <v>125000</v>
      </c>
      <c r="K75" s="107">
        <f>SUMIF(Comprometidos!A:A,'Cost Report'!G75,Comprometidos!E:E)</f>
        <v>0</v>
      </c>
      <c r="L75" s="107">
        <f t="shared" si="40"/>
        <v>125000</v>
      </c>
      <c r="M75" s="107">
        <f t="shared" si="41"/>
        <v>0</v>
      </c>
      <c r="N75" s="107">
        <f t="shared" si="42"/>
        <v>125000</v>
      </c>
      <c r="O75" s="107">
        <f>VLOOKUP(G75,Budget!$E$3:$G$2474,3,0)</f>
        <v>125000</v>
      </c>
      <c r="P75" s="107">
        <f t="shared" si="43"/>
        <v>0</v>
      </c>
      <c r="Q75" s="107"/>
      <c r="R75" s="10"/>
      <c r="S75" s="107">
        <v>125000</v>
      </c>
      <c r="T75" s="107">
        <f t="shared" ref="T75:T138" si="45">+S75-N75</f>
        <v>0</v>
      </c>
      <c r="U75" s="107"/>
      <c r="V75" s="175"/>
      <c r="W75" s="10"/>
      <c r="X75" s="10"/>
      <c r="Y75" t="str">
        <f t="shared" si="44"/>
        <v>1202</v>
      </c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>
      <c r="A76" s="10"/>
      <c r="B76" s="10" t="str">
        <f t="shared" si="39"/>
        <v>Above the LinePREP</v>
      </c>
      <c r="C76" t="s">
        <v>7</v>
      </c>
      <c r="D76" t="s">
        <v>19</v>
      </c>
      <c r="E76" t="s">
        <v>234</v>
      </c>
      <c r="G76" t="s">
        <v>237</v>
      </c>
      <c r="I76" s="10"/>
      <c r="J76" s="107">
        <f>SUMIF(Data!C:C,G76,Data!Q:Q)</f>
        <v>301500</v>
      </c>
      <c r="K76" s="107">
        <f>SUMIF(Comprometidos!A:A,'Cost Report'!G76,Comprometidos!E:E)</f>
        <v>0</v>
      </c>
      <c r="L76" s="107">
        <f t="shared" si="40"/>
        <v>301500</v>
      </c>
      <c r="M76" s="107">
        <f t="shared" si="41"/>
        <v>0</v>
      </c>
      <c r="N76" s="107">
        <f t="shared" si="42"/>
        <v>301500</v>
      </c>
      <c r="O76" s="107">
        <f>VLOOKUP(G76,Budget!$E$3:$G$2474,3,0)</f>
        <v>301500</v>
      </c>
      <c r="P76" s="107">
        <f t="shared" si="43"/>
        <v>0</v>
      </c>
      <c r="Q76" s="107"/>
      <c r="R76" s="10"/>
      <c r="S76" s="107">
        <v>301500</v>
      </c>
      <c r="T76" s="107">
        <f t="shared" si="45"/>
        <v>0</v>
      </c>
      <c r="U76" s="107"/>
      <c r="V76" s="175"/>
      <c r="W76" s="10"/>
      <c r="X76" s="10"/>
      <c r="Y76" t="str">
        <f t="shared" si="44"/>
        <v>1202</v>
      </c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>
      <c r="A77" s="10"/>
      <c r="B77" s="10" t="str">
        <f t="shared" si="39"/>
        <v>Above the LineSHOOT</v>
      </c>
      <c r="C77" t="s">
        <v>7</v>
      </c>
      <c r="D77" t="s">
        <v>19</v>
      </c>
      <c r="E77" t="s">
        <v>236</v>
      </c>
      <c r="G77" t="s">
        <v>239</v>
      </c>
      <c r="I77" s="10"/>
      <c r="J77" s="107">
        <f>SUMIF(Data!C:C,G77,Data!Q:Q)</f>
        <v>234500</v>
      </c>
      <c r="K77" s="107">
        <f>SUMIF(Comprometidos!A:A,'Cost Report'!G77,Comprometidos!E:E)</f>
        <v>0</v>
      </c>
      <c r="L77" s="107">
        <f t="shared" si="40"/>
        <v>234500</v>
      </c>
      <c r="M77" s="107">
        <f t="shared" si="41"/>
        <v>0</v>
      </c>
      <c r="N77" s="107">
        <f t="shared" si="42"/>
        <v>234500</v>
      </c>
      <c r="O77" s="107">
        <f>VLOOKUP(G77,Budget!$E$3:$G$2474,3,0)</f>
        <v>234500</v>
      </c>
      <c r="P77" s="107">
        <f t="shared" si="43"/>
        <v>0</v>
      </c>
      <c r="Q77" s="107"/>
      <c r="R77" s="10"/>
      <c r="S77" s="107">
        <v>234500</v>
      </c>
      <c r="T77" s="107">
        <f t="shared" si="45"/>
        <v>0</v>
      </c>
      <c r="U77" s="107"/>
      <c r="V77" s="175"/>
      <c r="W77" s="10"/>
      <c r="X77" s="10"/>
      <c r="Y77" t="str">
        <f t="shared" si="44"/>
        <v>1202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>
      <c r="A78" s="10"/>
      <c r="B78" s="10" t="str">
        <f t="shared" si="39"/>
        <v>Above the LineWRAP</v>
      </c>
      <c r="C78" t="s">
        <v>7</v>
      </c>
      <c r="D78" t="s">
        <v>19</v>
      </c>
      <c r="E78" t="s">
        <v>238</v>
      </c>
      <c r="G78" t="s">
        <v>2141</v>
      </c>
      <c r="I78" s="10"/>
      <c r="J78" s="107">
        <f>SUMIF(Data!C:C,G78,Data!Q:Q)</f>
        <v>402000</v>
      </c>
      <c r="K78" s="107">
        <f>SUMIF(Comprometidos!A:A,'Cost Report'!G78,Comprometidos!E:E)</f>
        <v>0</v>
      </c>
      <c r="L78" s="107">
        <f t="shared" si="40"/>
        <v>402000</v>
      </c>
      <c r="M78" s="107">
        <f t="shared" si="41"/>
        <v>0</v>
      </c>
      <c r="N78" s="107">
        <f t="shared" si="42"/>
        <v>402000</v>
      </c>
      <c r="O78" s="107">
        <f>VLOOKUP(G78,Budget!$E$3:$G$2474,3,0)</f>
        <v>402000</v>
      </c>
      <c r="P78" s="107">
        <f t="shared" si="43"/>
        <v>0</v>
      </c>
      <c r="Q78" s="107"/>
      <c r="R78" s="10"/>
      <c r="S78" s="107">
        <v>402000</v>
      </c>
      <c r="T78" s="107">
        <f t="shared" si="45"/>
        <v>0</v>
      </c>
      <c r="U78" s="107"/>
      <c r="V78" s="175"/>
      <c r="W78" s="10"/>
      <c r="X78" s="10"/>
      <c r="Y78" t="str">
        <f t="shared" si="44"/>
        <v>1202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>
      <c r="A79" s="10"/>
      <c r="B79" s="10" t="str">
        <f>+C79</f>
        <v>Above the Line</v>
      </c>
      <c r="C79" s="128" t="s">
        <v>7</v>
      </c>
      <c r="D79" s="128" t="s">
        <v>2117</v>
      </c>
      <c r="E79" s="128"/>
      <c r="F79" s="128"/>
      <c r="G79" s="128" t="s">
        <v>240</v>
      </c>
      <c r="H79" s="128"/>
      <c r="I79" s="10"/>
      <c r="J79" s="129">
        <f>SUMIF($Y$11:$Y$2484,G79,J$11:J$2484)</f>
        <v>1053750</v>
      </c>
      <c r="K79" s="129">
        <f>SUMIF($Y$11:$Y$2484,G79,K$11:K$2484)</f>
        <v>0</v>
      </c>
      <c r="L79" s="129">
        <f>SUMIF($Y$11:$Y$2484,G79,L$11:L$2484)</f>
        <v>1053750</v>
      </c>
      <c r="M79" s="129">
        <f>SUMIF($Y$11:$Y$2484,G79,M$11:M$2484)</f>
        <v>0</v>
      </c>
      <c r="N79" s="129">
        <f>SUMIF($Y$11:$Y$2484,G79,N$11:N$2484)</f>
        <v>1053750</v>
      </c>
      <c r="O79" s="129">
        <f>SUMIF($Y$11:$Y$2484,G79,O$11:O$2484)</f>
        <v>1050000</v>
      </c>
      <c r="P79" s="129">
        <f>SUMIF($Y$11:$Y$2484,G79,P$11:P$2484)</f>
        <v>-3750</v>
      </c>
      <c r="Q79" s="129"/>
      <c r="R79" s="10"/>
      <c r="S79" s="129">
        <v>1053750</v>
      </c>
      <c r="T79" s="129">
        <f t="shared" si="45"/>
        <v>0</v>
      </c>
      <c r="U79" s="128"/>
      <c r="V79" s="175"/>
      <c r="W79" s="10"/>
      <c r="X79" s="10"/>
      <c r="Z79" t="str">
        <f>LEFT(G79,2)</f>
        <v>12</v>
      </c>
      <c r="AA79" t="str">
        <f>+Z79&amp;"00"</f>
        <v>1200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>
      <c r="A80" s="10"/>
      <c r="B80" s="10" t="str">
        <f t="shared" ref="B80:B84" si="46">+C80&amp;E80</f>
        <v>Above the Line</v>
      </c>
      <c r="C80" t="s">
        <v>7</v>
      </c>
      <c r="D80" t="s">
        <v>19</v>
      </c>
      <c r="E80" t="s">
        <v>214</v>
      </c>
      <c r="G80" t="s">
        <v>174</v>
      </c>
      <c r="I80" s="10"/>
      <c r="J80" s="107">
        <f>SUMIF(Data!C:C,G80,Data!Q:Q)</f>
        <v>0</v>
      </c>
      <c r="K80" s="107">
        <f>SUMIF(Comprometidos!A:A,'Cost Report'!G80,Comprometidos!E:E)</f>
        <v>0</v>
      </c>
      <c r="L80" s="107">
        <f t="shared" ref="L80:L84" si="47">+J80+K80</f>
        <v>0</v>
      </c>
      <c r="M80" s="107">
        <f t="shared" ref="M80:M83" si="48">+O80-L80</f>
        <v>0</v>
      </c>
      <c r="N80" s="107">
        <f t="shared" ref="N80:N84" si="49">+L80+M80</f>
        <v>0</v>
      </c>
      <c r="O80" s="107">
        <f>VLOOKUP(G80,Budget!$E$3:$G$2474,3,0)</f>
        <v>0</v>
      </c>
      <c r="P80" s="107">
        <f t="shared" ref="P80:P84" si="50">+O80-N80</f>
        <v>0</v>
      </c>
      <c r="Q80" s="107"/>
      <c r="R80" s="10"/>
      <c r="S80" s="107">
        <v>0</v>
      </c>
      <c r="T80" s="107">
        <f t="shared" si="45"/>
        <v>0</v>
      </c>
      <c r="U80" s="107"/>
      <c r="V80" s="175"/>
      <c r="W80" s="10"/>
      <c r="X80" s="10"/>
      <c r="Y80" t="str">
        <f t="shared" ref="Y80:Y84" si="51">LEFT(G80,4)</f>
        <v>1204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>
      <c r="A81" s="10"/>
      <c r="B81" s="10" t="str">
        <f t="shared" si="46"/>
        <v>Above the LineSOFT</v>
      </c>
      <c r="C81" t="s">
        <v>7</v>
      </c>
      <c r="D81" t="s">
        <v>19</v>
      </c>
      <c r="E81" t="s">
        <v>233</v>
      </c>
      <c r="G81" t="s">
        <v>241</v>
      </c>
      <c r="I81" s="10"/>
      <c r="J81" s="107">
        <f>SUMIF(Data!C:C,G81,Data!Q:Q)</f>
        <v>210000</v>
      </c>
      <c r="K81" s="107">
        <f>SUMIF(Comprometidos!A:A,'Cost Report'!G81,Comprometidos!E:E)</f>
        <v>0</v>
      </c>
      <c r="L81" s="107">
        <f t="shared" si="47"/>
        <v>210000</v>
      </c>
      <c r="M81" s="107">
        <f t="shared" si="48"/>
        <v>0</v>
      </c>
      <c r="N81" s="107">
        <f t="shared" si="49"/>
        <v>210000</v>
      </c>
      <c r="O81" s="107">
        <f>VLOOKUP(G81,Budget!$E$3:$G$2474,3,0)</f>
        <v>210000</v>
      </c>
      <c r="P81" s="107">
        <f t="shared" si="50"/>
        <v>0</v>
      </c>
      <c r="Q81" s="107"/>
      <c r="R81" s="10"/>
      <c r="S81" s="107">
        <v>210000</v>
      </c>
      <c r="T81" s="107">
        <f t="shared" si="45"/>
        <v>0</v>
      </c>
      <c r="U81" s="107"/>
      <c r="V81" s="175"/>
      <c r="W81" s="10"/>
      <c r="X81" s="10"/>
      <c r="Y81" t="str">
        <f t="shared" si="51"/>
        <v>1204</v>
      </c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>
      <c r="A82" s="10"/>
      <c r="B82" s="10" t="str">
        <f t="shared" si="46"/>
        <v>Above the LinePREP</v>
      </c>
      <c r="C82" t="s">
        <v>7</v>
      </c>
      <c r="D82" t="s">
        <v>19</v>
      </c>
      <c r="E82" t="s">
        <v>234</v>
      </c>
      <c r="G82" t="s">
        <v>242</v>
      </c>
      <c r="I82" s="10"/>
      <c r="J82" s="107">
        <f>SUMIF(Data!C:C,G82,Data!Q:Q)</f>
        <v>378000</v>
      </c>
      <c r="K82" s="107">
        <f>SUMIF(Comprometidos!A:A,'Cost Report'!G82,Comprometidos!E:E)</f>
        <v>0</v>
      </c>
      <c r="L82" s="107">
        <f t="shared" si="47"/>
        <v>378000</v>
      </c>
      <c r="M82" s="107">
        <f t="shared" si="48"/>
        <v>0</v>
      </c>
      <c r="N82" s="107">
        <f t="shared" si="49"/>
        <v>378000</v>
      </c>
      <c r="O82" s="107">
        <f>VLOOKUP(G82,Budget!$E$3:$G$2474,3,0)</f>
        <v>378000</v>
      </c>
      <c r="P82" s="107">
        <f t="shared" si="50"/>
        <v>0</v>
      </c>
      <c r="Q82" s="107"/>
      <c r="R82" s="10"/>
      <c r="S82" s="107">
        <v>378000</v>
      </c>
      <c r="T82" s="107">
        <f t="shared" si="45"/>
        <v>0</v>
      </c>
      <c r="U82" s="107"/>
      <c r="V82" s="175"/>
      <c r="W82" s="10"/>
      <c r="X82" s="10"/>
      <c r="Y82" t="str">
        <f t="shared" si="51"/>
        <v>1204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>
      <c r="A83" s="10"/>
      <c r="B83" s="10" t="str">
        <f t="shared" si="46"/>
        <v>Above the LineSHOOT</v>
      </c>
      <c r="C83" t="s">
        <v>7</v>
      </c>
      <c r="D83" t="s">
        <v>19</v>
      </c>
      <c r="E83" t="s">
        <v>236</v>
      </c>
      <c r="G83" t="s">
        <v>243</v>
      </c>
      <c r="I83" s="10"/>
      <c r="J83" s="107">
        <f>SUMIF(Data!C:C,G83,Data!Q:Q)</f>
        <v>294000</v>
      </c>
      <c r="K83" s="107">
        <f>SUMIF(Comprometidos!A:A,'Cost Report'!G83,Comprometidos!E:E)</f>
        <v>0</v>
      </c>
      <c r="L83" s="107">
        <f t="shared" si="47"/>
        <v>294000</v>
      </c>
      <c r="M83" s="107">
        <f t="shared" si="48"/>
        <v>0</v>
      </c>
      <c r="N83" s="107">
        <f t="shared" si="49"/>
        <v>294000</v>
      </c>
      <c r="O83" s="107">
        <f>VLOOKUP(G83,Budget!$E$3:$G$2474,3,0)</f>
        <v>294000</v>
      </c>
      <c r="P83" s="107">
        <f t="shared" si="50"/>
        <v>0</v>
      </c>
      <c r="Q83" s="107"/>
      <c r="R83" s="10"/>
      <c r="S83" s="107">
        <v>294000</v>
      </c>
      <c r="T83" s="107">
        <f t="shared" si="45"/>
        <v>0</v>
      </c>
      <c r="U83" s="107"/>
      <c r="V83" s="175"/>
      <c r="W83" s="10"/>
      <c r="X83" s="10"/>
      <c r="Y83" t="str">
        <f t="shared" si="51"/>
        <v>1204</v>
      </c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>
      <c r="A84" s="10"/>
      <c r="B84" s="10" t="str">
        <f t="shared" si="46"/>
        <v>Above the LineWRAP</v>
      </c>
      <c r="C84" t="s">
        <v>7</v>
      </c>
      <c r="D84" t="s">
        <v>19</v>
      </c>
      <c r="E84" t="s">
        <v>238</v>
      </c>
      <c r="F84" t="s">
        <v>5396</v>
      </c>
      <c r="G84" t="s">
        <v>2142</v>
      </c>
      <c r="I84" s="10"/>
      <c r="J84" s="107">
        <f>SUMIF(Data!C:C,G84,Data!Q:Q)</f>
        <v>171750</v>
      </c>
      <c r="K84" s="107">
        <f>SUMIF(Comprometidos!A:A,'Cost Report'!G84,Comprometidos!E:E)</f>
        <v>0</v>
      </c>
      <c r="L84" s="107">
        <f t="shared" si="47"/>
        <v>171750</v>
      </c>
      <c r="M84" s="107">
        <f>+O84-L84+3750</f>
        <v>0</v>
      </c>
      <c r="N84" s="107">
        <f t="shared" si="49"/>
        <v>171750</v>
      </c>
      <c r="O84" s="107">
        <f>VLOOKUP(G84,Budget!$E$3:$G$2474,3,0)</f>
        <v>168000</v>
      </c>
      <c r="P84" s="107">
        <f t="shared" si="50"/>
        <v>-3750</v>
      </c>
      <c r="Q84" s="107"/>
      <c r="R84" s="10"/>
      <c r="S84" s="107">
        <v>171750</v>
      </c>
      <c r="T84" s="107">
        <f t="shared" si="45"/>
        <v>0</v>
      </c>
      <c r="U84" s="107"/>
      <c r="V84" s="175"/>
      <c r="W84" s="10"/>
      <c r="X84" s="10"/>
      <c r="Y84" t="str">
        <f t="shared" si="51"/>
        <v>1204</v>
      </c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>
      <c r="A85" s="10"/>
      <c r="B85" s="10" t="str">
        <f>+C85</f>
        <v>Above the Line</v>
      </c>
      <c r="C85" s="128" t="s">
        <v>7</v>
      </c>
      <c r="D85" s="128" t="s">
        <v>2117</v>
      </c>
      <c r="E85" s="128"/>
      <c r="F85" s="128"/>
      <c r="G85" s="128" t="s">
        <v>244</v>
      </c>
      <c r="H85" s="128"/>
      <c r="I85" s="10"/>
      <c r="J85" s="129">
        <f>SUMIF($Y$11:$Y$2484,G85,J$11:J$2484)</f>
        <v>566000</v>
      </c>
      <c r="K85" s="129">
        <f>SUMIF($Y$11:$Y$2484,G85,K$11:K$2484)</f>
        <v>0</v>
      </c>
      <c r="L85" s="129">
        <f>SUMIF($Y$11:$Y$2484,G85,L$11:L$2484)</f>
        <v>566000</v>
      </c>
      <c r="M85" s="129">
        <f>SUMIF($Y$11:$Y$2484,G85,M$11:M$2484)</f>
        <v>0</v>
      </c>
      <c r="N85" s="129">
        <f>SUMIF($Y$11:$Y$2484,G85,N$11:N$2484)</f>
        <v>566000</v>
      </c>
      <c r="O85" s="129">
        <f>SUMIF($Y$11:$Y$2484,G85,O$11:O$2484)</f>
        <v>564500</v>
      </c>
      <c r="P85" s="129">
        <f>SUMIF($Y$11:$Y$2484,G85,P$11:P$2484)</f>
        <v>-1500</v>
      </c>
      <c r="Q85" s="129"/>
      <c r="R85" s="10"/>
      <c r="S85" s="129">
        <v>566000</v>
      </c>
      <c r="T85" s="129">
        <f t="shared" si="45"/>
        <v>0</v>
      </c>
      <c r="U85" s="128"/>
      <c r="V85" s="175"/>
      <c r="W85" s="10"/>
      <c r="X85" s="10"/>
      <c r="Z85" t="str">
        <f>LEFT(G85,2)</f>
        <v>12</v>
      </c>
      <c r="AA85" t="str">
        <f>+Z85&amp;"00"</f>
        <v>1200</v>
      </c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>
      <c r="A86" s="10"/>
      <c r="B86" s="10" t="str">
        <f t="shared" ref="B86:B91" si="52">+C86&amp;E86</f>
        <v>Above the Line</v>
      </c>
      <c r="C86" t="s">
        <v>7</v>
      </c>
      <c r="D86" t="s">
        <v>19</v>
      </c>
      <c r="E86" t="s">
        <v>214</v>
      </c>
      <c r="G86" t="s">
        <v>176</v>
      </c>
      <c r="I86" s="10"/>
      <c r="J86" s="107">
        <f>SUMIF(Data!C:C,G86,Data!Q:Q)</f>
        <v>0</v>
      </c>
      <c r="K86" s="107">
        <f>SUMIF(Comprometidos!A:A,'Cost Report'!G86,Comprometidos!E:E)</f>
        <v>0</v>
      </c>
      <c r="L86" s="107">
        <f t="shared" ref="L86:L91" si="53">+J86+K86</f>
        <v>0</v>
      </c>
      <c r="M86" s="107">
        <f t="shared" ref="M86:M91" si="54">+O86-L86</f>
        <v>0</v>
      </c>
      <c r="N86" s="107">
        <f t="shared" ref="N86:N91" si="55">+L86+M86</f>
        <v>0</v>
      </c>
      <c r="O86" s="107">
        <f>VLOOKUP(G86,Budget!$E$3:$G$2474,3,0)</f>
        <v>0</v>
      </c>
      <c r="P86" s="107">
        <f t="shared" ref="P86:P91" si="56">+O86-N86</f>
        <v>0</v>
      </c>
      <c r="Q86" s="107"/>
      <c r="R86" s="10"/>
      <c r="S86" s="107">
        <v>0</v>
      </c>
      <c r="T86" s="107">
        <f t="shared" si="45"/>
        <v>0</v>
      </c>
      <c r="U86" s="107"/>
      <c r="V86" s="175"/>
      <c r="W86" s="10"/>
      <c r="X86" s="10"/>
      <c r="Y86" t="str">
        <f t="shared" ref="Y86:Y91" si="57">LEFT(G86,4)</f>
        <v>1222</v>
      </c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>
      <c r="A87" s="10"/>
      <c r="B87" s="10" t="str">
        <f t="shared" si="52"/>
        <v>Above the LinePREP</v>
      </c>
      <c r="C87" t="s">
        <v>7</v>
      </c>
      <c r="D87" t="s">
        <v>19</v>
      </c>
      <c r="E87" t="s">
        <v>234</v>
      </c>
      <c r="G87" t="s">
        <v>245</v>
      </c>
      <c r="I87" s="10"/>
      <c r="J87" s="107">
        <f>SUMIF(Data!C:C,G87,Data!Q:Q)</f>
        <v>73500</v>
      </c>
      <c r="K87" s="107">
        <f>SUMIF(Comprometidos!A:A,'Cost Report'!G87,Comprometidos!E:E)</f>
        <v>0</v>
      </c>
      <c r="L87" s="107">
        <f t="shared" si="53"/>
        <v>73500</v>
      </c>
      <c r="M87" s="107">
        <f t="shared" si="54"/>
        <v>0</v>
      </c>
      <c r="N87" s="107">
        <f t="shared" si="55"/>
        <v>73500</v>
      </c>
      <c r="O87" s="107">
        <f>VLOOKUP(G87,Budget!$E$3:$G$2474,3,0)</f>
        <v>73500</v>
      </c>
      <c r="P87" s="107">
        <f t="shared" si="56"/>
        <v>0</v>
      </c>
      <c r="Q87" s="107"/>
      <c r="R87" s="10"/>
      <c r="S87" s="107">
        <v>73500</v>
      </c>
      <c r="T87" s="107">
        <f t="shared" si="45"/>
        <v>0</v>
      </c>
      <c r="U87" s="107"/>
      <c r="V87" s="175"/>
      <c r="W87" s="10"/>
      <c r="X87" s="10"/>
      <c r="Y87" t="str">
        <f t="shared" si="57"/>
        <v>1222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>
      <c r="A88" s="10"/>
      <c r="B88" s="10" t="str">
        <f t="shared" si="52"/>
        <v>Above the LineSHOOT</v>
      </c>
      <c r="C88" t="s">
        <v>7</v>
      </c>
      <c r="D88" t="s">
        <v>19</v>
      </c>
      <c r="E88" t="s">
        <v>236</v>
      </c>
      <c r="G88" t="s">
        <v>246</v>
      </c>
      <c r="I88" s="10"/>
      <c r="J88" s="107">
        <f>SUMIF(Data!C:C,G88,Data!Q:Q)</f>
        <v>75000</v>
      </c>
      <c r="K88" s="107">
        <f>SUMIF(Comprometidos!A:A,'Cost Report'!G88,Comprometidos!E:E)</f>
        <v>0</v>
      </c>
      <c r="L88" s="107">
        <f t="shared" si="53"/>
        <v>75000</v>
      </c>
      <c r="M88" s="107">
        <f>+O88-L88+1500</f>
        <v>0</v>
      </c>
      <c r="N88" s="107">
        <f t="shared" si="55"/>
        <v>75000</v>
      </c>
      <c r="O88" s="107">
        <f>VLOOKUP(G88,Budget!$E$3:$G$2474,3,0)</f>
        <v>73500</v>
      </c>
      <c r="P88" s="107">
        <f t="shared" si="56"/>
        <v>-1500</v>
      </c>
      <c r="Q88" s="107"/>
      <c r="R88" s="10"/>
      <c r="S88" s="107">
        <v>75000</v>
      </c>
      <c r="T88" s="107">
        <f t="shared" si="45"/>
        <v>0</v>
      </c>
      <c r="U88" s="107"/>
      <c r="V88" s="175"/>
      <c r="W88" s="10"/>
      <c r="X88" s="10"/>
      <c r="Y88" t="str">
        <f t="shared" si="57"/>
        <v>1222</v>
      </c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>
      <c r="A89" s="10"/>
      <c r="B89" s="10" t="str">
        <f t="shared" si="52"/>
        <v>Above the Line</v>
      </c>
      <c r="C89" t="s">
        <v>7</v>
      </c>
      <c r="D89" t="s">
        <v>19</v>
      </c>
      <c r="E89" t="s">
        <v>214</v>
      </c>
      <c r="G89" t="s">
        <v>247</v>
      </c>
      <c r="I89" s="10"/>
      <c r="J89" s="107">
        <f>SUMIF(Data!C:C,G89,Data!Q:Q)</f>
        <v>0</v>
      </c>
      <c r="K89" s="107">
        <f>SUMIF(Comprometidos!A:A,'Cost Report'!G89,Comprometidos!E:E)</f>
        <v>0</v>
      </c>
      <c r="L89" s="107">
        <f t="shared" si="53"/>
        <v>0</v>
      </c>
      <c r="M89" s="107">
        <f t="shared" si="54"/>
        <v>0</v>
      </c>
      <c r="N89" s="107">
        <f t="shared" si="55"/>
        <v>0</v>
      </c>
      <c r="O89" s="107">
        <f>VLOOKUP(G89,Budget!$E$3:$G$2474,3,0)</f>
        <v>0</v>
      </c>
      <c r="P89" s="107">
        <f t="shared" si="56"/>
        <v>0</v>
      </c>
      <c r="Q89" s="107"/>
      <c r="R89" s="10"/>
      <c r="S89" s="107">
        <v>0</v>
      </c>
      <c r="T89" s="107">
        <f t="shared" si="45"/>
        <v>0</v>
      </c>
      <c r="U89" s="107"/>
      <c r="V89" s="175"/>
      <c r="W89" s="10"/>
      <c r="X89" s="10"/>
      <c r="Y89" t="str">
        <f t="shared" si="57"/>
        <v>1222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>
      <c r="A90" s="10"/>
      <c r="B90" s="10" t="str">
        <f t="shared" si="52"/>
        <v>Above the LineSOFT</v>
      </c>
      <c r="C90" t="s">
        <v>7</v>
      </c>
      <c r="D90" t="s">
        <v>19</v>
      </c>
      <c r="E90" t="s">
        <v>233</v>
      </c>
      <c r="G90" t="s">
        <v>248</v>
      </c>
      <c r="I90" s="10"/>
      <c r="J90" s="107">
        <f>SUMIF(Data!C:C,G90,Data!Q:Q)</f>
        <v>50000</v>
      </c>
      <c r="K90" s="107">
        <f>SUMIF(Comprometidos!A:A,'Cost Report'!G90,Comprometidos!E:E)</f>
        <v>0</v>
      </c>
      <c r="L90" s="107">
        <f t="shared" si="53"/>
        <v>50000</v>
      </c>
      <c r="M90" s="107">
        <f t="shared" si="54"/>
        <v>0</v>
      </c>
      <c r="N90" s="107">
        <f t="shared" si="55"/>
        <v>50000</v>
      </c>
      <c r="O90" s="107">
        <f>VLOOKUP(G90,Budget!$E$3:$G$2474,3,0)</f>
        <v>50000</v>
      </c>
      <c r="P90" s="107">
        <f t="shared" si="56"/>
        <v>0</v>
      </c>
      <c r="Q90" s="107"/>
      <c r="R90" s="10"/>
      <c r="S90" s="107">
        <v>50000</v>
      </c>
      <c r="T90" s="107">
        <f t="shared" si="45"/>
        <v>0</v>
      </c>
      <c r="U90" s="107"/>
      <c r="V90" s="175"/>
      <c r="W90" s="10"/>
      <c r="X90" s="10"/>
      <c r="Y90" t="str">
        <f t="shared" si="57"/>
        <v>1222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>
      <c r="A91" s="10"/>
      <c r="B91" s="10" t="str">
        <f t="shared" si="52"/>
        <v>Above the LineALL SHOW</v>
      </c>
      <c r="C91" t="s">
        <v>7</v>
      </c>
      <c r="D91" t="s">
        <v>19</v>
      </c>
      <c r="E91" t="s">
        <v>227</v>
      </c>
      <c r="G91" t="s">
        <v>2143</v>
      </c>
      <c r="I91" s="10"/>
      <c r="J91" s="107">
        <f>SUMIF(Data!C:C,G91,Data!Q:Q)</f>
        <v>367500</v>
      </c>
      <c r="K91" s="107">
        <f>SUMIF(Comprometidos!A:A,'Cost Report'!G91,Comprometidos!E:E)</f>
        <v>0</v>
      </c>
      <c r="L91" s="107">
        <f t="shared" si="53"/>
        <v>367500</v>
      </c>
      <c r="M91" s="107">
        <f t="shared" si="54"/>
        <v>0</v>
      </c>
      <c r="N91" s="107">
        <f t="shared" si="55"/>
        <v>367500</v>
      </c>
      <c r="O91" s="107">
        <f>VLOOKUP(G91,Budget!$E$3:$G$2474,3,0)</f>
        <v>367500</v>
      </c>
      <c r="P91" s="107">
        <f t="shared" si="56"/>
        <v>0</v>
      </c>
      <c r="Q91" s="107"/>
      <c r="R91" s="10"/>
      <c r="S91" s="107">
        <v>367500</v>
      </c>
      <c r="T91" s="107">
        <f t="shared" si="45"/>
        <v>0</v>
      </c>
      <c r="U91" s="107"/>
      <c r="V91" s="175"/>
      <c r="W91" s="10"/>
      <c r="X91" s="10"/>
      <c r="Y91" t="str">
        <f t="shared" si="57"/>
        <v>1222</v>
      </c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>
      <c r="A92" s="10"/>
      <c r="B92" s="10" t="str">
        <f>+C92</f>
        <v>Above the Line</v>
      </c>
      <c r="C92" s="128" t="s">
        <v>7</v>
      </c>
      <c r="D92" s="128" t="s">
        <v>2117</v>
      </c>
      <c r="E92" s="128"/>
      <c r="F92" s="128"/>
      <c r="G92" s="128" t="s">
        <v>1787</v>
      </c>
      <c r="H92" s="128"/>
      <c r="I92" s="10"/>
      <c r="J92" s="129">
        <f>SUMIF($Y$11:$Y$2484,G92,J$11:J$2484)</f>
        <v>700037.9</v>
      </c>
      <c r="K92" s="129">
        <f>SUMIF($Y$11:$Y$2484,G92,K$11:K$2484)</f>
        <v>0</v>
      </c>
      <c r="L92" s="129">
        <f>SUMIF($Y$11:$Y$2484,G92,L$11:L$2484)</f>
        <v>700037.9</v>
      </c>
      <c r="M92" s="129">
        <f>SUMIF($Y$11:$Y$2484,G92,M$11:M$2484)</f>
        <v>0</v>
      </c>
      <c r="N92" s="129">
        <f>SUMIF($Y$11:$Y$2484,G92,N$11:N$2484)</f>
        <v>700037.9</v>
      </c>
      <c r="O92" s="129">
        <f>SUMIF($Y$11:$Y$2484,G92,O$11:O$2484)</f>
        <v>793000</v>
      </c>
      <c r="P92" s="129">
        <f>SUMIF($Y$11:$Y$2484,G92,P$11:P$2484)</f>
        <v>92962.1</v>
      </c>
      <c r="Q92" s="129"/>
      <c r="R92" s="10"/>
      <c r="S92" s="129">
        <v>700037.9</v>
      </c>
      <c r="T92" s="129">
        <f t="shared" si="45"/>
        <v>0</v>
      </c>
      <c r="U92" s="128"/>
      <c r="V92" s="175"/>
      <c r="W92" s="10"/>
      <c r="X92" s="10"/>
      <c r="Z92" t="str">
        <f>LEFT(G92,2)</f>
        <v>12</v>
      </c>
      <c r="AA92" t="str">
        <f>+Z92&amp;"00"</f>
        <v>1200</v>
      </c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>
      <c r="A93" s="10"/>
      <c r="B93" s="10" t="str">
        <f t="shared" ref="B93:B101" si="58">+C93&amp;E93</f>
        <v>Above the Line</v>
      </c>
      <c r="C93" t="s">
        <v>7</v>
      </c>
      <c r="D93" t="s">
        <v>19</v>
      </c>
      <c r="E93" t="s">
        <v>214</v>
      </c>
      <c r="G93" t="s">
        <v>1788</v>
      </c>
      <c r="I93" s="10"/>
      <c r="J93" s="107">
        <f>SUMIF(Data!C:C,G93,Data!Q:Q)</f>
        <v>0</v>
      </c>
      <c r="K93" s="107">
        <f>SUMIF(Comprometidos!A:A,'Cost Report'!G93,Comprometidos!E:E)</f>
        <v>0</v>
      </c>
      <c r="L93" s="107">
        <f t="shared" ref="L93:L101" si="59">+J93+K93</f>
        <v>0</v>
      </c>
      <c r="M93" s="107">
        <f t="shared" ref="M93:M101" si="60">+O93-L93</f>
        <v>0</v>
      </c>
      <c r="N93" s="107">
        <f t="shared" ref="N93:N101" si="61">+L93+M93</f>
        <v>0</v>
      </c>
      <c r="O93" s="107">
        <f>VLOOKUP(G93,Budget!$E$3:$G$2474,3,0)</f>
        <v>0</v>
      </c>
      <c r="P93" s="107">
        <f t="shared" ref="P93:P101" si="62">+O93-N93</f>
        <v>0</v>
      </c>
      <c r="Q93" s="107"/>
      <c r="R93" s="10"/>
      <c r="S93" s="107">
        <v>0</v>
      </c>
      <c r="T93" s="107">
        <f t="shared" si="45"/>
        <v>0</v>
      </c>
      <c r="U93" s="107"/>
      <c r="V93" s="175"/>
      <c r="W93" s="10"/>
      <c r="X93" s="10"/>
      <c r="Y93" t="str">
        <f t="shared" ref="Y93:Y101" si="63">LEFT(G93,4)</f>
        <v>1287</v>
      </c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>
      <c r="A94" s="10"/>
      <c r="B94" s="10" t="str">
        <f t="shared" si="58"/>
        <v>Above the Line</v>
      </c>
      <c r="C94" t="s">
        <v>7</v>
      </c>
      <c r="D94" t="s">
        <v>19</v>
      </c>
      <c r="E94" t="s">
        <v>214</v>
      </c>
      <c r="G94" t="s">
        <v>1789</v>
      </c>
      <c r="I94" s="10"/>
      <c r="J94" s="107">
        <f>SUMIF(Data!C:C,G94,Data!Q:Q)</f>
        <v>0</v>
      </c>
      <c r="K94" s="107">
        <f>SUMIF(Comprometidos!A:A,'Cost Report'!G94,Comprometidos!E:E)</f>
        <v>0</v>
      </c>
      <c r="L94" s="107">
        <f t="shared" si="59"/>
        <v>0</v>
      </c>
      <c r="M94" s="107">
        <f t="shared" si="60"/>
        <v>0</v>
      </c>
      <c r="N94" s="107">
        <f t="shared" si="61"/>
        <v>0</v>
      </c>
      <c r="O94" s="107">
        <f>VLOOKUP(G94,Budget!$E$3:$G$2474,3,0)</f>
        <v>0</v>
      </c>
      <c r="P94" s="107">
        <f t="shared" si="62"/>
        <v>0</v>
      </c>
      <c r="Q94" s="107"/>
      <c r="R94" s="10"/>
      <c r="S94" s="107">
        <v>0</v>
      </c>
      <c r="T94" s="107">
        <f t="shared" si="45"/>
        <v>0</v>
      </c>
      <c r="U94" s="107"/>
      <c r="V94" s="175"/>
      <c r="W94" s="10"/>
      <c r="X94" s="10"/>
      <c r="Y94" t="str">
        <f t="shared" si="63"/>
        <v>1287</v>
      </c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>
      <c r="A95" s="10"/>
      <c r="B95" s="10" t="str">
        <f t="shared" si="58"/>
        <v>Above the LineALL SHOW</v>
      </c>
      <c r="C95" t="s">
        <v>7</v>
      </c>
      <c r="D95" t="s">
        <v>19</v>
      </c>
      <c r="E95" t="s">
        <v>227</v>
      </c>
      <c r="F95" t="s">
        <v>5116</v>
      </c>
      <c r="G95" t="s">
        <v>1790</v>
      </c>
      <c r="I95" s="10"/>
      <c r="J95" s="107">
        <f>SUMIF(Data!C:C,G95,Data!Q:Q)</f>
        <v>46971.340000000004</v>
      </c>
      <c r="K95" s="107">
        <f>SUMIF(Comprometidos!A:A,'Cost Report'!G95,Comprometidos!E:E)</f>
        <v>0</v>
      </c>
      <c r="L95" s="107">
        <f t="shared" si="59"/>
        <v>46971.340000000004</v>
      </c>
      <c r="M95" s="107">
        <v>0</v>
      </c>
      <c r="N95" s="107">
        <f t="shared" si="61"/>
        <v>46971.340000000004</v>
      </c>
      <c r="O95" s="107">
        <f>VLOOKUP(G95,Budget!$E$3:$G$2474,3,0)</f>
        <v>52000</v>
      </c>
      <c r="P95" s="107">
        <f t="shared" si="62"/>
        <v>5028.6599999999962</v>
      </c>
      <c r="Q95" s="107"/>
      <c r="R95" s="10"/>
      <c r="S95" s="107">
        <v>46971.340000000004</v>
      </c>
      <c r="T95" s="107">
        <f t="shared" si="45"/>
        <v>0</v>
      </c>
      <c r="U95" s="107"/>
      <c r="V95" s="175"/>
      <c r="W95" s="10"/>
      <c r="X95" s="10"/>
      <c r="Y95" t="str">
        <f t="shared" si="63"/>
        <v>1287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>
      <c r="A96" s="10"/>
      <c r="B96" s="10" t="str">
        <f t="shared" si="58"/>
        <v>Above the LineALL SHOW</v>
      </c>
      <c r="C96" t="s">
        <v>7</v>
      </c>
      <c r="D96" t="s">
        <v>19</v>
      </c>
      <c r="E96" t="s">
        <v>227</v>
      </c>
      <c r="F96" t="s">
        <v>5116</v>
      </c>
      <c r="G96" t="s">
        <v>1791</v>
      </c>
      <c r="I96" s="10"/>
      <c r="J96" s="107">
        <f>SUMIF(Data!C:C,G96,Data!Q:Q)</f>
        <v>76753.34</v>
      </c>
      <c r="K96" s="107">
        <f>SUMIF(Comprometidos!A:A,'Cost Report'!G96,Comprometidos!E:E)</f>
        <v>0</v>
      </c>
      <c r="L96" s="107">
        <f t="shared" si="59"/>
        <v>76753.34</v>
      </c>
      <c r="M96" s="107">
        <v>0</v>
      </c>
      <c r="N96" s="107">
        <f t="shared" si="61"/>
        <v>76753.34</v>
      </c>
      <c r="O96" s="107">
        <f>VLOOKUP(G96,Budget!$E$3:$G$2474,3,0)</f>
        <v>91000</v>
      </c>
      <c r="P96" s="107">
        <f t="shared" si="62"/>
        <v>14246.660000000003</v>
      </c>
      <c r="Q96" s="107"/>
      <c r="R96" s="10"/>
      <c r="S96" s="107">
        <v>76753.34</v>
      </c>
      <c r="T96" s="107">
        <f t="shared" si="45"/>
        <v>0</v>
      </c>
      <c r="U96" s="107"/>
      <c r="V96" s="175"/>
      <c r="W96" s="10"/>
      <c r="X96" s="10"/>
      <c r="Y96" t="str">
        <f t="shared" si="63"/>
        <v>1287</v>
      </c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>
      <c r="A97" s="10"/>
      <c r="B97" s="10" t="str">
        <f t="shared" si="58"/>
        <v>Above the LineALL SHOW</v>
      </c>
      <c r="C97" t="s">
        <v>7</v>
      </c>
      <c r="D97" t="s">
        <v>19</v>
      </c>
      <c r="E97" t="s">
        <v>227</v>
      </c>
      <c r="F97" t="s">
        <v>5116</v>
      </c>
      <c r="G97" t="s">
        <v>1792</v>
      </c>
      <c r="I97" s="10"/>
      <c r="J97" s="107">
        <f>SUMIF(Data!C:C,G97,Data!Q:Q)</f>
        <v>147313.22</v>
      </c>
      <c r="K97" s="107">
        <f>SUMIF(Comprometidos!A:A,'Cost Report'!G97,Comprometidos!E:E)</f>
        <v>0</v>
      </c>
      <c r="L97" s="107">
        <f t="shared" si="59"/>
        <v>147313.22</v>
      </c>
      <c r="M97" s="107">
        <v>0</v>
      </c>
      <c r="N97" s="107">
        <f t="shared" si="61"/>
        <v>147313.22</v>
      </c>
      <c r="O97" s="107">
        <f>VLOOKUP(G97,Budget!$E$3:$G$2474,3,0)</f>
        <v>221000</v>
      </c>
      <c r="P97" s="107">
        <f t="shared" si="62"/>
        <v>73686.78</v>
      </c>
      <c r="Q97" s="107"/>
      <c r="R97" s="10"/>
      <c r="S97" s="107">
        <v>147313.22</v>
      </c>
      <c r="T97" s="107">
        <f t="shared" si="45"/>
        <v>0</v>
      </c>
      <c r="U97" s="107"/>
      <c r="V97" s="175"/>
      <c r="W97" s="10"/>
      <c r="X97" s="10"/>
      <c r="Y97" t="str">
        <f t="shared" si="63"/>
        <v>1287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>
      <c r="A98" s="10"/>
      <c r="B98" s="10" t="str">
        <f t="shared" si="58"/>
        <v>Above the Line</v>
      </c>
      <c r="C98" t="s">
        <v>7</v>
      </c>
      <c r="D98" t="s">
        <v>19</v>
      </c>
      <c r="E98" t="s">
        <v>214</v>
      </c>
      <c r="G98" t="s">
        <v>2144</v>
      </c>
      <c r="I98" s="10"/>
      <c r="J98" s="107">
        <f>SUMIF(Data!C:C,G98,Data!Q:Q)</f>
        <v>0</v>
      </c>
      <c r="K98" s="107">
        <f>SUMIF(Comprometidos!A:A,'Cost Report'!G98,Comprometidos!E:E)</f>
        <v>0</v>
      </c>
      <c r="L98" s="107">
        <f t="shared" si="59"/>
        <v>0</v>
      </c>
      <c r="M98" s="107">
        <f t="shared" si="60"/>
        <v>0</v>
      </c>
      <c r="N98" s="107">
        <f t="shared" si="61"/>
        <v>0</v>
      </c>
      <c r="O98" s="107">
        <f>VLOOKUP(G98,Budget!$E$3:$G$2474,3,0)</f>
        <v>0</v>
      </c>
      <c r="P98" s="107">
        <f t="shared" si="62"/>
        <v>0</v>
      </c>
      <c r="Q98" s="107"/>
      <c r="R98" s="10"/>
      <c r="S98" s="107">
        <v>0</v>
      </c>
      <c r="T98" s="107">
        <f t="shared" si="45"/>
        <v>0</v>
      </c>
      <c r="U98" s="107"/>
      <c r="V98" s="175"/>
      <c r="W98" s="10"/>
      <c r="X98" s="10"/>
      <c r="Y98" t="str">
        <f t="shared" si="63"/>
        <v>1287</v>
      </c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>
      <c r="A99" s="10"/>
      <c r="B99" s="10" t="str">
        <f t="shared" si="58"/>
        <v>Above the LineALL SHOW</v>
      </c>
      <c r="C99" t="s">
        <v>7</v>
      </c>
      <c r="D99" t="s">
        <v>19</v>
      </c>
      <c r="E99" t="s">
        <v>227</v>
      </c>
      <c r="G99" t="s">
        <v>2145</v>
      </c>
      <c r="I99" s="10"/>
      <c r="J99" s="107">
        <f>SUMIF(Data!C:C,G99,Data!Q:Q)</f>
        <v>117000</v>
      </c>
      <c r="K99" s="107">
        <f>SUMIF(Comprometidos!A:A,'Cost Report'!G99,Comprometidos!E:E)</f>
        <v>0</v>
      </c>
      <c r="L99" s="107">
        <f t="shared" si="59"/>
        <v>117000</v>
      </c>
      <c r="M99" s="107">
        <f t="shared" si="60"/>
        <v>0</v>
      </c>
      <c r="N99" s="107">
        <f t="shared" si="61"/>
        <v>117000</v>
      </c>
      <c r="O99" s="107">
        <f>VLOOKUP(G99,Budget!$E$3:$G$2474,3,0)</f>
        <v>117000</v>
      </c>
      <c r="P99" s="107">
        <f t="shared" si="62"/>
        <v>0</v>
      </c>
      <c r="Q99" s="107"/>
      <c r="R99" s="10"/>
      <c r="S99" s="107">
        <v>117000</v>
      </c>
      <c r="T99" s="107">
        <f t="shared" si="45"/>
        <v>0</v>
      </c>
      <c r="U99" s="107"/>
      <c r="V99" s="175"/>
      <c r="W99" s="10"/>
      <c r="X99" s="10"/>
      <c r="Y99" t="str">
        <f t="shared" si="63"/>
        <v>1287</v>
      </c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>
      <c r="A100" s="10"/>
      <c r="B100" s="10" t="str">
        <f t="shared" si="58"/>
        <v>Above the LineALL SHOW</v>
      </c>
      <c r="C100" t="s">
        <v>7</v>
      </c>
      <c r="D100" t="s">
        <v>19</v>
      </c>
      <c r="E100" t="s">
        <v>227</v>
      </c>
      <c r="G100" t="s">
        <v>2146</v>
      </c>
      <c r="I100" s="10"/>
      <c r="J100" s="107">
        <f>SUMIF(Data!C:C,G100,Data!Q:Q)</f>
        <v>91000</v>
      </c>
      <c r="K100" s="107">
        <f>SUMIF(Comprometidos!A:A,'Cost Report'!G100,Comprometidos!E:E)</f>
        <v>0</v>
      </c>
      <c r="L100" s="107">
        <f t="shared" si="59"/>
        <v>91000</v>
      </c>
      <c r="M100" s="107">
        <f t="shared" si="60"/>
        <v>0</v>
      </c>
      <c r="N100" s="107">
        <f t="shared" si="61"/>
        <v>91000</v>
      </c>
      <c r="O100" s="107">
        <f>VLOOKUP(G100,Budget!$E$3:$G$2474,3,0)</f>
        <v>91000</v>
      </c>
      <c r="P100" s="107">
        <f t="shared" si="62"/>
        <v>0</v>
      </c>
      <c r="Q100" s="107"/>
      <c r="R100" s="10"/>
      <c r="S100" s="107">
        <v>91000</v>
      </c>
      <c r="T100" s="107">
        <f t="shared" si="45"/>
        <v>0</v>
      </c>
      <c r="U100" s="107"/>
      <c r="V100" s="175"/>
      <c r="W100" s="10"/>
      <c r="X100" s="10"/>
      <c r="Y100" t="str">
        <f t="shared" si="63"/>
        <v>1287</v>
      </c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>
      <c r="A101" s="10"/>
      <c r="B101" s="10" t="str">
        <f t="shared" si="58"/>
        <v>Above the LineALL SHOW</v>
      </c>
      <c r="C101" t="s">
        <v>7</v>
      </c>
      <c r="D101" t="s">
        <v>19</v>
      </c>
      <c r="E101" t="s">
        <v>227</v>
      </c>
      <c r="G101" t="s">
        <v>2147</v>
      </c>
      <c r="I101" s="10"/>
      <c r="J101" s="107">
        <f>SUMIF(Data!C:C,G101,Data!Q:Q)</f>
        <v>221000</v>
      </c>
      <c r="K101" s="107">
        <f>SUMIF(Comprometidos!A:A,'Cost Report'!G101,Comprometidos!E:E)</f>
        <v>0</v>
      </c>
      <c r="L101" s="107">
        <f t="shared" si="59"/>
        <v>221000</v>
      </c>
      <c r="M101" s="107">
        <f t="shared" si="60"/>
        <v>0</v>
      </c>
      <c r="N101" s="107">
        <f t="shared" si="61"/>
        <v>221000</v>
      </c>
      <c r="O101" s="107">
        <f>VLOOKUP(G101,Budget!$E$3:$G$2474,3,0)</f>
        <v>221000</v>
      </c>
      <c r="P101" s="107">
        <f t="shared" si="62"/>
        <v>0</v>
      </c>
      <c r="Q101" s="107"/>
      <c r="R101" s="10"/>
      <c r="S101" s="107">
        <v>221000</v>
      </c>
      <c r="T101" s="107">
        <f t="shared" si="45"/>
        <v>0</v>
      </c>
      <c r="U101" s="107"/>
      <c r="V101" s="175"/>
      <c r="W101" s="10"/>
      <c r="X101" s="10"/>
      <c r="Y101" t="str">
        <f t="shared" si="63"/>
        <v>1287</v>
      </c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>
      <c r="A102" s="10"/>
      <c r="B102" s="10"/>
      <c r="C102" s="170" t="s">
        <v>7</v>
      </c>
      <c r="D102" s="170" t="s">
        <v>8</v>
      </c>
      <c r="E102" s="170"/>
      <c r="F102" s="170"/>
      <c r="G102" s="170" t="s">
        <v>249</v>
      </c>
      <c r="H102" s="170"/>
      <c r="I102" s="10"/>
      <c r="J102" s="169">
        <f>SUMIF($AA$10:$AA$2484,G102,J$10:J$2484)</f>
        <v>2663850.5299999993</v>
      </c>
      <c r="K102" s="169">
        <f>SUMIF($AA$10:$AA$2484,G102,K$10:K$2484)</f>
        <v>0</v>
      </c>
      <c r="L102" s="169">
        <f>SUMIF($AA$10:$AA$2484,G102,L$10:L$2484)</f>
        <v>2663850.5299999993</v>
      </c>
      <c r="M102" s="169">
        <f>SUMIF($AA$10:$AA$2484,G102,M$10:M$2484)</f>
        <v>0</v>
      </c>
      <c r="N102" s="169">
        <f>SUMIF($AA$10:$AA$2484,G102,N$10:N$2484)</f>
        <v>2663850.5299999993</v>
      </c>
      <c r="O102" s="169">
        <f>SUMIF($AA$10:$AA$2484,G102,O$10:O$2484)</f>
        <v>2810543.88</v>
      </c>
      <c r="P102" s="168">
        <f>SUMIF($AA$10:$AA$2484,G102,P$10:P$2484)</f>
        <v>146693.34999999998</v>
      </c>
      <c r="Q102" s="169"/>
      <c r="R102" s="10"/>
      <c r="S102" s="164">
        <v>2663850.5299999993</v>
      </c>
      <c r="T102" s="164">
        <f t="shared" si="45"/>
        <v>0</v>
      </c>
      <c r="U102" s="163"/>
      <c r="V102" s="175"/>
      <c r="W102" s="10"/>
      <c r="X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>
      <c r="A103" s="10"/>
      <c r="B103" s="10" t="str">
        <f>+C103</f>
        <v>Above the Line</v>
      </c>
      <c r="C103" s="128" t="s">
        <v>7</v>
      </c>
      <c r="D103" s="128" t="s">
        <v>2117</v>
      </c>
      <c r="E103" s="128"/>
      <c r="F103" s="128"/>
      <c r="G103" s="128" t="s">
        <v>250</v>
      </c>
      <c r="H103" s="128"/>
      <c r="I103" s="10"/>
      <c r="J103" s="129">
        <f>SUMIF($Y$11:$Y$2484,G103,J$11:J$2484)</f>
        <v>2183856.0799999991</v>
      </c>
      <c r="K103" s="129">
        <f>SUMIF($Y$11:$Y$2484,G103,K$11:K$2484)</f>
        <v>0</v>
      </c>
      <c r="L103" s="129">
        <f>SUMIF($Y$11:$Y$2484,G103,L$11:L$2484)</f>
        <v>2183856.0799999991</v>
      </c>
      <c r="M103" s="129">
        <f>SUMIF($Y$11:$Y$2484,G103,M$11:M$2484)</f>
        <v>0</v>
      </c>
      <c r="N103" s="129">
        <f>SUMIF($Y$11:$Y$2484,G103,N$11:N$2484)</f>
        <v>2183856.0799999991</v>
      </c>
      <c r="O103" s="129">
        <f>SUMIF($Y$11:$Y$2484,G103,O$11:O$2484)</f>
        <v>2138352</v>
      </c>
      <c r="P103" s="129">
        <f>SUMIF($Y$11:$Y$2484,G103,P$11:P$2484)</f>
        <v>-45504.08</v>
      </c>
      <c r="Q103" s="129"/>
      <c r="R103" s="10"/>
      <c r="S103" s="129">
        <v>2183856.0799999991</v>
      </c>
      <c r="T103" s="129">
        <f t="shared" si="45"/>
        <v>0</v>
      </c>
      <c r="U103" s="128"/>
      <c r="V103" s="175"/>
      <c r="W103" s="10"/>
      <c r="X103" s="10"/>
      <c r="Z103" t="str">
        <f>LEFT(G103,2)</f>
        <v>13</v>
      </c>
      <c r="AA103" t="str">
        <f>+Z103&amp;"00"</f>
        <v>1300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>
      <c r="A104" s="10"/>
      <c r="B104" s="10" t="str">
        <f t="shared" ref="B104:B133" si="64">+C104&amp;E104</f>
        <v>Above the Line</v>
      </c>
      <c r="C104" t="s">
        <v>7</v>
      </c>
      <c r="D104" t="s">
        <v>19</v>
      </c>
      <c r="E104" t="s">
        <v>214</v>
      </c>
      <c r="G104" t="s">
        <v>251</v>
      </c>
      <c r="I104" s="10"/>
      <c r="J104" s="107">
        <f>SUMIF(Data!C:C,G104,Data!Q:Q)</f>
        <v>0</v>
      </c>
      <c r="K104" s="107">
        <f>SUMIF(Comprometidos!A:A,'Cost Report'!G104,Comprometidos!E:E)</f>
        <v>0</v>
      </c>
      <c r="L104" s="107">
        <f t="shared" ref="L104:L133" si="65">+J104+K104</f>
        <v>0</v>
      </c>
      <c r="M104" s="107">
        <f t="shared" ref="M104:M129" si="66">+O104-L104</f>
        <v>0</v>
      </c>
      <c r="N104" s="107">
        <f t="shared" ref="N104:N133" si="67">+L104+M104</f>
        <v>0</v>
      </c>
      <c r="O104" s="107">
        <f>VLOOKUP(G104,Budget!$E$3:$G$2474,3,0)</f>
        <v>0</v>
      </c>
      <c r="P104" s="107">
        <f t="shared" ref="P104:P133" si="68">+O104-N104</f>
        <v>0</v>
      </c>
      <c r="Q104" s="107"/>
      <c r="R104" s="10"/>
      <c r="S104" s="107">
        <v>0</v>
      </c>
      <c r="T104" s="107">
        <f t="shared" si="45"/>
        <v>0</v>
      </c>
      <c r="U104" s="107"/>
      <c r="V104" s="175"/>
      <c r="W104" s="10"/>
      <c r="X104" s="10"/>
      <c r="Y104" t="str">
        <f t="shared" ref="Y104:Y133" si="69">LEFT(G104,4)</f>
        <v>1301</v>
      </c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>
      <c r="A105" s="10"/>
      <c r="B105" s="10" t="str">
        <f t="shared" si="64"/>
        <v>Above the LineSHOOT</v>
      </c>
      <c r="C105" t="s">
        <v>7</v>
      </c>
      <c r="D105" t="s">
        <v>19</v>
      </c>
      <c r="E105" t="s">
        <v>236</v>
      </c>
      <c r="G105" t="s">
        <v>252</v>
      </c>
      <c r="I105" s="10"/>
      <c r="J105" s="107">
        <f>SUMIF(Data!C:C,G105,Data!Q:Q)</f>
        <v>483666.66</v>
      </c>
      <c r="K105" s="107">
        <f>SUMIF(Comprometidos!A:A,'Cost Report'!G105,Comprometidos!E:E)</f>
        <v>0</v>
      </c>
      <c r="L105" s="107">
        <f t="shared" si="65"/>
        <v>483666.66</v>
      </c>
      <c r="M105" s="107">
        <v>0</v>
      </c>
      <c r="N105" s="107">
        <f t="shared" si="67"/>
        <v>483666.66</v>
      </c>
      <c r="O105" s="107">
        <f>VLOOKUP(G105,Budget!$E$3:$G$2474,3,0)</f>
        <v>462000</v>
      </c>
      <c r="P105" s="107">
        <f t="shared" si="68"/>
        <v>-21666.659999999974</v>
      </c>
      <c r="Q105" s="107"/>
      <c r="R105" s="10"/>
      <c r="S105" s="107">
        <v>483666.66</v>
      </c>
      <c r="T105" s="107">
        <f t="shared" si="45"/>
        <v>0</v>
      </c>
      <c r="U105" s="107"/>
      <c r="V105" s="175"/>
      <c r="W105" s="10"/>
      <c r="X105" s="10"/>
      <c r="Y105" t="str">
        <f t="shared" si="69"/>
        <v>1301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>
      <c r="A106" s="10"/>
      <c r="B106" s="10" t="str">
        <f t="shared" si="64"/>
        <v>Above the LineSHOOT</v>
      </c>
      <c r="C106" t="s">
        <v>7</v>
      </c>
      <c r="D106" t="s">
        <v>19</v>
      </c>
      <c r="E106" t="s">
        <v>236</v>
      </c>
      <c r="F106" t="s">
        <v>355</v>
      </c>
      <c r="G106" t="s">
        <v>253</v>
      </c>
      <c r="I106" s="10"/>
      <c r="J106" s="107">
        <f>SUMIF(Data!C:C,G106,Data!Q:Q)</f>
        <v>58196.200000000004</v>
      </c>
      <c r="K106" s="107">
        <f>SUMIF(Comprometidos!A:A,'Cost Report'!G106,Comprometidos!E:E)</f>
        <v>0</v>
      </c>
      <c r="L106" s="107">
        <f t="shared" si="65"/>
        <v>58196.200000000004</v>
      </c>
      <c r="M106" s="107">
        <v>0</v>
      </c>
      <c r="N106" s="107">
        <f t="shared" si="67"/>
        <v>58196.200000000004</v>
      </c>
      <c r="O106" s="107">
        <f>VLOOKUP(G106,Budget!$E$3:$G$2474,3,0)</f>
        <v>31136</v>
      </c>
      <c r="P106" s="107">
        <f t="shared" si="68"/>
        <v>-27060.200000000004</v>
      </c>
      <c r="Q106" s="107"/>
      <c r="R106" s="10"/>
      <c r="S106" s="107">
        <v>58196.200000000004</v>
      </c>
      <c r="T106" s="107">
        <f t="shared" si="45"/>
        <v>0</v>
      </c>
      <c r="U106" s="107"/>
      <c r="V106" s="175"/>
      <c r="W106" s="10"/>
      <c r="X106" s="10"/>
      <c r="Y106" t="str">
        <f t="shared" si="69"/>
        <v>1301</v>
      </c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>
      <c r="A107" s="10"/>
      <c r="B107" s="10" t="str">
        <f t="shared" si="64"/>
        <v>Above the LineSHOOT</v>
      </c>
      <c r="C107" t="s">
        <v>7</v>
      </c>
      <c r="D107" t="s">
        <v>19</v>
      </c>
      <c r="E107" t="s">
        <v>236</v>
      </c>
      <c r="F107" t="s">
        <v>355</v>
      </c>
      <c r="G107" t="s">
        <v>254</v>
      </c>
      <c r="I107" s="10"/>
      <c r="J107" s="107">
        <f>SUMIF(Data!C:C,G107,Data!Q:Q)</f>
        <v>8770.7000000000007</v>
      </c>
      <c r="K107" s="107">
        <f>SUMIF(Comprometidos!A:A,'Cost Report'!G107,Comprometidos!E:E)</f>
        <v>0</v>
      </c>
      <c r="L107" s="107">
        <f t="shared" si="65"/>
        <v>8770.7000000000007</v>
      </c>
      <c r="M107" s="107">
        <v>0</v>
      </c>
      <c r="N107" s="107">
        <f t="shared" si="67"/>
        <v>8770.7000000000007</v>
      </c>
      <c r="O107" s="107">
        <f>VLOOKUP(G107,Budget!$E$3:$G$2474,3,0)</f>
        <v>6672</v>
      </c>
      <c r="P107" s="107">
        <f t="shared" si="68"/>
        <v>-2098.7000000000007</v>
      </c>
      <c r="Q107" s="107"/>
      <c r="R107" s="10"/>
      <c r="S107" s="107">
        <v>8770.7000000000007</v>
      </c>
      <c r="T107" s="107">
        <f t="shared" si="45"/>
        <v>0</v>
      </c>
      <c r="U107" s="107"/>
      <c r="V107" s="175"/>
      <c r="W107" s="10"/>
      <c r="X107" s="10"/>
      <c r="Y107" t="str">
        <f t="shared" si="69"/>
        <v>1301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>
      <c r="A108" s="10"/>
      <c r="B108" s="10" t="str">
        <f t="shared" si="64"/>
        <v>Above the LineSHOOT</v>
      </c>
      <c r="C108" t="s">
        <v>7</v>
      </c>
      <c r="D108" t="s">
        <v>19</v>
      </c>
      <c r="E108" t="s">
        <v>236</v>
      </c>
      <c r="F108" t="s">
        <v>355</v>
      </c>
      <c r="G108" t="s">
        <v>255</v>
      </c>
      <c r="I108" s="10"/>
      <c r="J108" s="107">
        <f>SUMIF(Data!C:C,G108,Data!Q:Q)</f>
        <v>55586.979999999996</v>
      </c>
      <c r="K108" s="107">
        <f>SUMIF(Comprometidos!A:A,'Cost Report'!G108,Comprometidos!E:E)</f>
        <v>0</v>
      </c>
      <c r="L108" s="107">
        <f t="shared" si="65"/>
        <v>55586.979999999996</v>
      </c>
      <c r="M108" s="107">
        <v>0</v>
      </c>
      <c r="N108" s="107">
        <f t="shared" si="67"/>
        <v>55586.979999999996</v>
      </c>
      <c r="O108" s="107">
        <f>VLOOKUP(G108,Budget!$E$3:$G$2474,3,0)</f>
        <v>31136</v>
      </c>
      <c r="P108" s="107">
        <f t="shared" si="68"/>
        <v>-24450.979999999996</v>
      </c>
      <c r="Q108" s="107"/>
      <c r="R108" s="10"/>
      <c r="S108" s="107">
        <v>55586.979999999996</v>
      </c>
      <c r="T108" s="107">
        <f t="shared" si="45"/>
        <v>0</v>
      </c>
      <c r="U108" s="107"/>
      <c r="V108" s="175"/>
      <c r="W108" s="10"/>
      <c r="X108" s="10"/>
      <c r="Y108" t="str">
        <f t="shared" si="69"/>
        <v>1301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>
      <c r="A109" s="10"/>
      <c r="B109" s="10" t="str">
        <f t="shared" si="64"/>
        <v>Above the LineSHOOT</v>
      </c>
      <c r="C109" t="s">
        <v>7</v>
      </c>
      <c r="D109" t="s">
        <v>19</v>
      </c>
      <c r="E109" t="s">
        <v>236</v>
      </c>
      <c r="F109" t="s">
        <v>355</v>
      </c>
      <c r="G109" t="s">
        <v>256</v>
      </c>
      <c r="I109" s="10"/>
      <c r="J109" s="107">
        <f>SUMIF(Data!C:C,G109,Data!Q:Q)</f>
        <v>6927.13</v>
      </c>
      <c r="K109" s="107">
        <f>SUMIF(Comprometidos!A:A,'Cost Report'!G109,Comprometidos!E:E)</f>
        <v>0</v>
      </c>
      <c r="L109" s="107">
        <f t="shared" si="65"/>
        <v>6927.13</v>
      </c>
      <c r="M109" s="107">
        <v>0</v>
      </c>
      <c r="N109" s="107">
        <f t="shared" si="67"/>
        <v>6927.13</v>
      </c>
      <c r="O109" s="107">
        <f>VLOOKUP(G109,Budget!$E$3:$G$2474,3,0)</f>
        <v>4200</v>
      </c>
      <c r="P109" s="107">
        <f t="shared" si="68"/>
        <v>-2727.13</v>
      </c>
      <c r="Q109" s="107"/>
      <c r="R109" s="10"/>
      <c r="S109" s="107">
        <v>6927.13</v>
      </c>
      <c r="T109" s="107">
        <f t="shared" si="45"/>
        <v>0</v>
      </c>
      <c r="U109" s="107"/>
      <c r="V109" s="175"/>
      <c r="W109" s="10"/>
      <c r="X109" s="10"/>
      <c r="Y109" t="str">
        <f t="shared" si="69"/>
        <v>1301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>
      <c r="A110" s="10"/>
      <c r="B110" s="10" t="str">
        <f t="shared" si="64"/>
        <v>Above the Line</v>
      </c>
      <c r="C110" t="s">
        <v>7</v>
      </c>
      <c r="D110" t="s">
        <v>19</v>
      </c>
      <c r="E110" t="s">
        <v>214</v>
      </c>
      <c r="G110" t="s">
        <v>257</v>
      </c>
      <c r="I110" s="10"/>
      <c r="J110" s="107">
        <f>SUMIF(Data!C:C,G110,Data!Q:Q)</f>
        <v>0</v>
      </c>
      <c r="K110" s="107">
        <f>SUMIF(Comprometidos!A:A,'Cost Report'!G110,Comprometidos!E:E)</f>
        <v>0</v>
      </c>
      <c r="L110" s="107">
        <f t="shared" si="65"/>
        <v>0</v>
      </c>
      <c r="M110" s="107">
        <f t="shared" si="66"/>
        <v>0</v>
      </c>
      <c r="N110" s="107">
        <f t="shared" si="67"/>
        <v>0</v>
      </c>
      <c r="O110" s="107">
        <f>VLOOKUP(G110,Budget!$E$3:$G$2474,3,0)</f>
        <v>0</v>
      </c>
      <c r="P110" s="107">
        <f t="shared" si="68"/>
        <v>0</v>
      </c>
      <c r="Q110" s="107"/>
      <c r="R110" s="10"/>
      <c r="S110" s="107">
        <v>0</v>
      </c>
      <c r="T110" s="107">
        <f t="shared" si="45"/>
        <v>0</v>
      </c>
      <c r="U110" s="107"/>
      <c r="V110" s="175"/>
      <c r="W110" s="10"/>
      <c r="X110" s="10"/>
      <c r="Y110" t="str">
        <f t="shared" si="69"/>
        <v>1301</v>
      </c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>
      <c r="A111" s="10"/>
      <c r="B111" s="10" t="str">
        <f t="shared" si="64"/>
        <v>Above the LineSHOOT</v>
      </c>
      <c r="C111" t="s">
        <v>7</v>
      </c>
      <c r="D111" t="s">
        <v>19</v>
      </c>
      <c r="E111" t="s">
        <v>236</v>
      </c>
      <c r="G111" t="s">
        <v>258</v>
      </c>
      <c r="I111" s="10"/>
      <c r="J111" s="107">
        <f>SUMIF(Data!C:C,G111,Data!Q:Q)</f>
        <v>462000</v>
      </c>
      <c r="K111" s="107">
        <f>SUMIF(Comprometidos!A:A,'Cost Report'!G111,Comprometidos!E:E)</f>
        <v>0</v>
      </c>
      <c r="L111" s="107">
        <f t="shared" si="65"/>
        <v>462000</v>
      </c>
      <c r="M111" s="107">
        <f t="shared" si="66"/>
        <v>0</v>
      </c>
      <c r="N111" s="107">
        <f t="shared" si="67"/>
        <v>462000</v>
      </c>
      <c r="O111" s="107">
        <f>VLOOKUP(G111,Budget!$E$3:$G$2474,3,0)</f>
        <v>462000</v>
      </c>
      <c r="P111" s="107">
        <f t="shared" si="68"/>
        <v>0</v>
      </c>
      <c r="Q111" s="107"/>
      <c r="R111" s="10"/>
      <c r="S111" s="107">
        <v>462000</v>
      </c>
      <c r="T111" s="107">
        <f t="shared" si="45"/>
        <v>0</v>
      </c>
      <c r="U111" s="107"/>
      <c r="V111" s="175"/>
      <c r="W111" s="10"/>
      <c r="X111" s="10"/>
      <c r="Y111" t="str">
        <f t="shared" si="69"/>
        <v>1301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>
      <c r="A112" s="10"/>
      <c r="B112" s="10" t="str">
        <f t="shared" si="64"/>
        <v>Above the LineSHOOT</v>
      </c>
      <c r="C112" t="s">
        <v>7</v>
      </c>
      <c r="D112" t="s">
        <v>19</v>
      </c>
      <c r="E112" t="s">
        <v>236</v>
      </c>
      <c r="F112" t="s">
        <v>355</v>
      </c>
      <c r="G112" t="s">
        <v>259</v>
      </c>
      <c r="I112" s="10"/>
      <c r="J112" s="107">
        <f>SUMIF(Data!C:C,G112,Data!Q:Q)</f>
        <v>53694.54</v>
      </c>
      <c r="K112" s="107">
        <f>SUMIF(Comprometidos!A:A,'Cost Report'!G112,Comprometidos!E:E)</f>
        <v>0</v>
      </c>
      <c r="L112" s="107">
        <f t="shared" si="65"/>
        <v>53694.54</v>
      </c>
      <c r="M112" s="107">
        <v>0</v>
      </c>
      <c r="N112" s="107">
        <f t="shared" si="67"/>
        <v>53694.54</v>
      </c>
      <c r="O112" s="107">
        <f>VLOOKUP(G112,Budget!$E$3:$G$2474,3,0)</f>
        <v>31136</v>
      </c>
      <c r="P112" s="107">
        <f t="shared" si="68"/>
        <v>-22558.54</v>
      </c>
      <c r="Q112" s="107"/>
      <c r="R112" s="10"/>
      <c r="S112" s="107">
        <v>53694.54</v>
      </c>
      <c r="T112" s="107">
        <f t="shared" si="45"/>
        <v>0</v>
      </c>
      <c r="U112" s="107"/>
      <c r="V112" s="175"/>
      <c r="W112" s="10"/>
      <c r="X112" s="10"/>
      <c r="Y112" t="str">
        <f t="shared" si="69"/>
        <v>1301</v>
      </c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>
      <c r="A113" s="10"/>
      <c r="B113" s="10" t="str">
        <f t="shared" si="64"/>
        <v>Above the LineSHOOT</v>
      </c>
      <c r="C113" t="s">
        <v>7</v>
      </c>
      <c r="D113" t="s">
        <v>19</v>
      </c>
      <c r="E113" t="s">
        <v>236</v>
      </c>
      <c r="F113" t="s">
        <v>355</v>
      </c>
      <c r="G113" t="s">
        <v>260</v>
      </c>
      <c r="I113" s="10"/>
      <c r="J113" s="107">
        <f>SUMIF(Data!C:C,G113,Data!Q:Q)</f>
        <v>4990.18</v>
      </c>
      <c r="K113" s="107">
        <f>SUMIF(Comprometidos!A:A,'Cost Report'!G113,Comprometidos!E:E)</f>
        <v>0</v>
      </c>
      <c r="L113" s="107">
        <f t="shared" si="65"/>
        <v>4990.18</v>
      </c>
      <c r="M113" s="107">
        <v>0</v>
      </c>
      <c r="N113" s="107">
        <f t="shared" si="67"/>
        <v>4990.18</v>
      </c>
      <c r="O113" s="107">
        <f>VLOOKUP(G113,Budget!$E$3:$G$2474,3,0)</f>
        <v>6672</v>
      </c>
      <c r="P113" s="107">
        <f t="shared" si="68"/>
        <v>1681.8199999999997</v>
      </c>
      <c r="Q113" s="107"/>
      <c r="R113" s="10"/>
      <c r="S113" s="107">
        <v>4990.18</v>
      </c>
      <c r="T113" s="107">
        <f t="shared" si="45"/>
        <v>0</v>
      </c>
      <c r="U113" s="107"/>
      <c r="V113" s="175"/>
      <c r="W113" s="10"/>
      <c r="X113" s="10"/>
      <c r="Y113" t="str">
        <f t="shared" si="69"/>
        <v>1301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>
      <c r="A114" s="10"/>
      <c r="B114" s="10" t="str">
        <f t="shared" si="64"/>
        <v>Above the LineSHOOT</v>
      </c>
      <c r="C114" t="s">
        <v>7</v>
      </c>
      <c r="D114" t="s">
        <v>19</v>
      </c>
      <c r="E114" t="s">
        <v>236</v>
      </c>
      <c r="F114" t="s">
        <v>355</v>
      </c>
      <c r="G114" t="s">
        <v>261</v>
      </c>
      <c r="I114" s="10"/>
      <c r="J114" s="107">
        <f>SUMIF(Data!C:C,G114,Data!Q:Q)</f>
        <v>43303.63</v>
      </c>
      <c r="K114" s="107">
        <f>SUMIF(Comprometidos!A:A,'Cost Report'!G114,Comprometidos!E:E)</f>
        <v>0</v>
      </c>
      <c r="L114" s="107">
        <f t="shared" si="65"/>
        <v>43303.63</v>
      </c>
      <c r="M114" s="107">
        <v>0</v>
      </c>
      <c r="N114" s="107">
        <f t="shared" si="67"/>
        <v>43303.63</v>
      </c>
      <c r="O114" s="107">
        <f>VLOOKUP(G114,Budget!$E$3:$G$2474,3,0)</f>
        <v>31136</v>
      </c>
      <c r="P114" s="107">
        <f t="shared" si="68"/>
        <v>-12167.629999999997</v>
      </c>
      <c r="Q114" s="107"/>
      <c r="R114" s="10"/>
      <c r="S114" s="107">
        <v>43303.63</v>
      </c>
      <c r="T114" s="107">
        <f t="shared" si="45"/>
        <v>0</v>
      </c>
      <c r="U114" s="107"/>
      <c r="V114" s="175"/>
      <c r="W114" s="10"/>
      <c r="X114" s="10"/>
      <c r="Y114" t="str">
        <f t="shared" si="69"/>
        <v>1301</v>
      </c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>
      <c r="A115" s="10"/>
      <c r="B115" s="10" t="str">
        <f t="shared" si="64"/>
        <v>Above the LineSHOOT</v>
      </c>
      <c r="C115" t="s">
        <v>7</v>
      </c>
      <c r="D115" t="s">
        <v>19</v>
      </c>
      <c r="E115" t="s">
        <v>236</v>
      </c>
      <c r="F115" t="s">
        <v>355</v>
      </c>
      <c r="G115" t="s">
        <v>262</v>
      </c>
      <c r="I115" s="10"/>
      <c r="J115" s="107">
        <f>SUMIF(Data!C:C,G115,Data!Q:Q)</f>
        <v>18278.14</v>
      </c>
      <c r="K115" s="107">
        <f>SUMIF(Comprometidos!A:A,'Cost Report'!G115,Comprometidos!E:E)</f>
        <v>0</v>
      </c>
      <c r="L115" s="107">
        <f t="shared" si="65"/>
        <v>18278.14</v>
      </c>
      <c r="M115" s="107">
        <v>0</v>
      </c>
      <c r="N115" s="107">
        <f t="shared" si="67"/>
        <v>18278.14</v>
      </c>
      <c r="O115" s="107">
        <f>VLOOKUP(G115,Budget!$E$3:$G$2474,3,0)</f>
        <v>4200</v>
      </c>
      <c r="P115" s="107">
        <f t="shared" si="68"/>
        <v>-14078.14</v>
      </c>
      <c r="Q115" s="107"/>
      <c r="R115" s="10"/>
      <c r="S115" s="107">
        <v>18278.14</v>
      </c>
      <c r="T115" s="107">
        <f t="shared" si="45"/>
        <v>0</v>
      </c>
      <c r="U115" s="107"/>
      <c r="V115" s="175"/>
      <c r="W115" s="10"/>
      <c r="X115" s="10"/>
      <c r="Y115" t="str">
        <f t="shared" si="69"/>
        <v>1301</v>
      </c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>
      <c r="A116" s="10"/>
      <c r="B116" s="10" t="str">
        <f t="shared" si="64"/>
        <v>Above the Line</v>
      </c>
      <c r="C116" t="s">
        <v>7</v>
      </c>
      <c r="D116" t="s">
        <v>19</v>
      </c>
      <c r="E116" t="s">
        <v>214</v>
      </c>
      <c r="G116" t="s">
        <v>263</v>
      </c>
      <c r="I116" s="10"/>
      <c r="J116" s="107">
        <f>SUMIF(Data!C:C,G116,Data!Q:Q)</f>
        <v>0</v>
      </c>
      <c r="K116" s="107">
        <f>SUMIF(Comprometidos!A:A,'Cost Report'!G116,Comprometidos!E:E)</f>
        <v>0</v>
      </c>
      <c r="L116" s="107">
        <f t="shared" si="65"/>
        <v>0</v>
      </c>
      <c r="M116" s="107">
        <f t="shared" si="66"/>
        <v>0</v>
      </c>
      <c r="N116" s="107">
        <f t="shared" si="67"/>
        <v>0</v>
      </c>
      <c r="O116" s="107">
        <f>VLOOKUP(G116,Budget!$E$3:$G$2474,3,0)</f>
        <v>0</v>
      </c>
      <c r="P116" s="107">
        <f t="shared" si="68"/>
        <v>0</v>
      </c>
      <c r="Q116" s="107"/>
      <c r="R116" s="10"/>
      <c r="S116" s="107">
        <v>0</v>
      </c>
      <c r="T116" s="107">
        <f t="shared" si="45"/>
        <v>0</v>
      </c>
      <c r="U116" s="107"/>
      <c r="V116" s="175"/>
      <c r="W116" s="10"/>
      <c r="X116" s="10"/>
      <c r="Y116" t="str">
        <f t="shared" si="69"/>
        <v>1301</v>
      </c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>
      <c r="A117" s="10"/>
      <c r="B117" s="10" t="str">
        <f t="shared" si="64"/>
        <v>Above the LineSHOOT</v>
      </c>
      <c r="C117" t="s">
        <v>7</v>
      </c>
      <c r="D117" t="s">
        <v>19</v>
      </c>
      <c r="E117" t="s">
        <v>236</v>
      </c>
      <c r="G117" t="s">
        <v>264</v>
      </c>
      <c r="I117" s="10"/>
      <c r="J117" s="107">
        <f>SUMIF(Data!C:C,G117,Data!Q:Q)</f>
        <v>462000</v>
      </c>
      <c r="K117" s="107">
        <f>SUMIF(Comprometidos!A:A,'Cost Report'!G117,Comprometidos!E:E)</f>
        <v>0</v>
      </c>
      <c r="L117" s="107">
        <f t="shared" si="65"/>
        <v>462000</v>
      </c>
      <c r="M117" s="107">
        <f t="shared" si="66"/>
        <v>0</v>
      </c>
      <c r="N117" s="107">
        <f t="shared" si="67"/>
        <v>462000</v>
      </c>
      <c r="O117" s="107">
        <f>VLOOKUP(G117,Budget!$E$3:$G$2474,3,0)</f>
        <v>462000</v>
      </c>
      <c r="P117" s="107">
        <f t="shared" si="68"/>
        <v>0</v>
      </c>
      <c r="Q117" s="107"/>
      <c r="R117" s="10"/>
      <c r="S117" s="107">
        <v>462000</v>
      </c>
      <c r="T117" s="107">
        <f t="shared" si="45"/>
        <v>0</v>
      </c>
      <c r="U117" s="107"/>
      <c r="V117" s="175"/>
      <c r="W117" s="10"/>
      <c r="X117" s="10"/>
      <c r="Y117" t="str">
        <f t="shared" si="69"/>
        <v>1301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>
      <c r="A118" s="10"/>
      <c r="B118" s="10" t="str">
        <f t="shared" si="64"/>
        <v>Above the LineSHOOT</v>
      </c>
      <c r="C118" t="s">
        <v>7</v>
      </c>
      <c r="D118" t="s">
        <v>19</v>
      </c>
      <c r="E118" t="s">
        <v>236</v>
      </c>
      <c r="F118" t="s">
        <v>355</v>
      </c>
      <c r="G118" t="s">
        <v>265</v>
      </c>
      <c r="I118" s="10"/>
      <c r="J118" s="107">
        <f>SUMIF(Data!C:C,G118,Data!Q:Q)</f>
        <v>0</v>
      </c>
      <c r="K118" s="107">
        <f>SUMIF(Comprometidos!A:A,'Cost Report'!G118,Comprometidos!E:E)</f>
        <v>0</v>
      </c>
      <c r="L118" s="107">
        <f t="shared" si="65"/>
        <v>0</v>
      </c>
      <c r="M118" s="107">
        <v>0</v>
      </c>
      <c r="N118" s="107">
        <f t="shared" si="67"/>
        <v>0</v>
      </c>
      <c r="O118" s="107">
        <f>VLOOKUP(G118,Budget!$E$3:$G$2474,3,0)</f>
        <v>31136</v>
      </c>
      <c r="P118" s="107">
        <f t="shared" si="68"/>
        <v>31136</v>
      </c>
      <c r="Q118" s="107"/>
      <c r="R118" s="10"/>
      <c r="S118" s="107">
        <v>0</v>
      </c>
      <c r="T118" s="107">
        <f t="shared" si="45"/>
        <v>0</v>
      </c>
      <c r="U118" s="107"/>
      <c r="V118" s="175"/>
      <c r="W118" s="10"/>
      <c r="X118" s="10"/>
      <c r="Y118" t="str">
        <f t="shared" si="69"/>
        <v>1301</v>
      </c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>
      <c r="A119" s="10"/>
      <c r="B119" s="10" t="str">
        <f t="shared" si="64"/>
        <v>Above the LineSHOOT</v>
      </c>
      <c r="C119" t="s">
        <v>7</v>
      </c>
      <c r="D119" t="s">
        <v>19</v>
      </c>
      <c r="E119" t="s">
        <v>236</v>
      </c>
      <c r="F119" t="s">
        <v>355</v>
      </c>
      <c r="G119" t="s">
        <v>266</v>
      </c>
      <c r="I119" s="10"/>
      <c r="J119" s="107">
        <f>SUMIF(Data!C:C,G119,Data!Q:Q)</f>
        <v>0</v>
      </c>
      <c r="K119" s="107">
        <f>SUMIF(Comprometidos!A:A,'Cost Report'!G119,Comprometidos!E:E)</f>
        <v>0</v>
      </c>
      <c r="L119" s="107">
        <f t="shared" si="65"/>
        <v>0</v>
      </c>
      <c r="M119" s="107">
        <v>0</v>
      </c>
      <c r="N119" s="107">
        <f t="shared" si="67"/>
        <v>0</v>
      </c>
      <c r="O119" s="107">
        <f>VLOOKUP(G119,Budget!$E$3:$G$2474,3,0)</f>
        <v>6672</v>
      </c>
      <c r="P119" s="107">
        <f t="shared" si="68"/>
        <v>6672</v>
      </c>
      <c r="Q119" s="107"/>
      <c r="R119" s="10"/>
      <c r="S119" s="107">
        <v>0</v>
      </c>
      <c r="T119" s="107">
        <f t="shared" si="45"/>
        <v>0</v>
      </c>
      <c r="U119" s="107"/>
      <c r="V119" s="175"/>
      <c r="W119" s="10"/>
      <c r="X119" s="10"/>
      <c r="Y119" t="str">
        <f t="shared" si="69"/>
        <v>1301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>
      <c r="A120" s="10"/>
      <c r="B120" s="10" t="str">
        <f t="shared" si="64"/>
        <v>Above the LineSHOOT</v>
      </c>
      <c r="C120" t="s">
        <v>7</v>
      </c>
      <c r="D120" t="s">
        <v>19</v>
      </c>
      <c r="E120" t="s">
        <v>236</v>
      </c>
      <c r="F120" t="s">
        <v>355</v>
      </c>
      <c r="G120" t="s">
        <v>267</v>
      </c>
      <c r="I120" s="10"/>
      <c r="J120" s="107">
        <f>SUMIF(Data!C:C,G120,Data!Q:Q)</f>
        <v>0</v>
      </c>
      <c r="K120" s="107">
        <f>SUMIF(Comprometidos!A:A,'Cost Report'!G120,Comprometidos!E:E)</f>
        <v>0</v>
      </c>
      <c r="L120" s="107">
        <f t="shared" si="65"/>
        <v>0</v>
      </c>
      <c r="M120" s="107">
        <v>0</v>
      </c>
      <c r="N120" s="107">
        <f t="shared" si="67"/>
        <v>0</v>
      </c>
      <c r="O120" s="107">
        <f>VLOOKUP(G120,Budget!$E$3:$G$2474,3,0)</f>
        <v>31136</v>
      </c>
      <c r="P120" s="107">
        <f t="shared" si="68"/>
        <v>31136</v>
      </c>
      <c r="Q120" s="107"/>
      <c r="R120" s="10"/>
      <c r="S120" s="107">
        <v>0</v>
      </c>
      <c r="T120" s="107">
        <f t="shared" si="45"/>
        <v>0</v>
      </c>
      <c r="U120" s="107"/>
      <c r="V120" s="175"/>
      <c r="W120" s="10"/>
      <c r="X120" s="10"/>
      <c r="Y120" t="str">
        <f t="shared" si="69"/>
        <v>1301</v>
      </c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>
      <c r="A121" s="10"/>
      <c r="B121" s="10" t="str">
        <f t="shared" si="64"/>
        <v>Above the LineSHOOT</v>
      </c>
      <c r="C121" t="s">
        <v>7</v>
      </c>
      <c r="D121" t="s">
        <v>19</v>
      </c>
      <c r="E121" t="s">
        <v>236</v>
      </c>
      <c r="F121" t="s">
        <v>355</v>
      </c>
      <c r="G121" t="s">
        <v>268</v>
      </c>
      <c r="I121" s="10"/>
      <c r="J121" s="107">
        <f>SUMIF(Data!C:C,G121,Data!Q:Q)</f>
        <v>0</v>
      </c>
      <c r="K121" s="107">
        <f>SUMIF(Comprometidos!A:A,'Cost Report'!G121,Comprometidos!E:E)</f>
        <v>0</v>
      </c>
      <c r="L121" s="107">
        <f t="shared" si="65"/>
        <v>0</v>
      </c>
      <c r="M121" s="107">
        <v>0</v>
      </c>
      <c r="N121" s="107">
        <f t="shared" si="67"/>
        <v>0</v>
      </c>
      <c r="O121" s="107">
        <f>VLOOKUP(G121,Budget!$E$3:$G$2474,3,0)</f>
        <v>4200</v>
      </c>
      <c r="P121" s="107">
        <f t="shared" si="68"/>
        <v>4200</v>
      </c>
      <c r="Q121" s="107"/>
      <c r="R121" s="10"/>
      <c r="S121" s="107">
        <v>0</v>
      </c>
      <c r="T121" s="107">
        <f t="shared" si="45"/>
        <v>0</v>
      </c>
      <c r="U121" s="107"/>
      <c r="V121" s="175"/>
      <c r="W121" s="10"/>
      <c r="X121" s="10"/>
      <c r="Y121" t="str">
        <f t="shared" si="69"/>
        <v>1301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>
      <c r="A122" s="10"/>
      <c r="B122" s="10" t="str">
        <f t="shared" si="64"/>
        <v>Above the Line</v>
      </c>
      <c r="C122" t="s">
        <v>7</v>
      </c>
      <c r="D122" t="s">
        <v>19</v>
      </c>
      <c r="E122" t="s">
        <v>214</v>
      </c>
      <c r="G122" t="s">
        <v>2148</v>
      </c>
      <c r="I122" s="10"/>
      <c r="J122" s="107">
        <f>SUMIF(Data!C:C,G122,Data!Q:Q)</f>
        <v>0</v>
      </c>
      <c r="K122" s="107">
        <f>SUMIF(Comprometidos!A:A,'Cost Report'!G122,Comprometidos!E:E)</f>
        <v>0</v>
      </c>
      <c r="L122" s="107">
        <f t="shared" si="65"/>
        <v>0</v>
      </c>
      <c r="M122" s="107">
        <f t="shared" si="66"/>
        <v>0</v>
      </c>
      <c r="N122" s="107">
        <f t="shared" si="67"/>
        <v>0</v>
      </c>
      <c r="O122" s="107">
        <f>VLOOKUP(G122,Budget!$E$3:$G$2474,3,0)</f>
        <v>0</v>
      </c>
      <c r="P122" s="107">
        <f t="shared" si="68"/>
        <v>0</v>
      </c>
      <c r="Q122" s="107"/>
      <c r="R122" s="10"/>
      <c r="S122" s="107">
        <v>0</v>
      </c>
      <c r="T122" s="107">
        <f t="shared" si="45"/>
        <v>0</v>
      </c>
      <c r="U122" s="107"/>
      <c r="V122" s="175"/>
      <c r="W122" s="10"/>
      <c r="X122" s="10"/>
      <c r="Y122" t="str">
        <f t="shared" si="69"/>
        <v>1301</v>
      </c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>
      <c r="A123" s="10"/>
      <c r="B123" s="10" t="str">
        <f t="shared" si="64"/>
        <v>Above the LineSHOOT</v>
      </c>
      <c r="C123" t="s">
        <v>7</v>
      </c>
      <c r="D123" t="s">
        <v>19</v>
      </c>
      <c r="E123" t="s">
        <v>236</v>
      </c>
      <c r="G123" t="s">
        <v>2149</v>
      </c>
      <c r="I123" s="10"/>
      <c r="J123" s="107">
        <f>SUMIF(Data!C:C,G123,Data!Q:Q)</f>
        <v>462000</v>
      </c>
      <c r="K123" s="107">
        <f>SUMIF(Comprometidos!A:A,'Cost Report'!G123,Comprometidos!E:E)</f>
        <v>0</v>
      </c>
      <c r="L123" s="107">
        <f t="shared" si="65"/>
        <v>462000</v>
      </c>
      <c r="M123" s="107">
        <f t="shared" si="66"/>
        <v>0</v>
      </c>
      <c r="N123" s="107">
        <f t="shared" si="67"/>
        <v>462000</v>
      </c>
      <c r="O123" s="107">
        <f>VLOOKUP(G123,Budget!$E$3:$G$2474,3,0)</f>
        <v>462000</v>
      </c>
      <c r="P123" s="107">
        <f t="shared" si="68"/>
        <v>0</v>
      </c>
      <c r="Q123" s="107"/>
      <c r="R123" s="10"/>
      <c r="S123" s="107">
        <v>462000</v>
      </c>
      <c r="T123" s="107">
        <f t="shared" si="45"/>
        <v>0</v>
      </c>
      <c r="U123" s="107"/>
      <c r="V123" s="175"/>
      <c r="W123" s="10"/>
      <c r="X123" s="10"/>
      <c r="Y123" t="str">
        <f t="shared" si="69"/>
        <v>1301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>
      <c r="A124" s="10"/>
      <c r="B124" s="10" t="str">
        <f t="shared" si="64"/>
        <v>Above the LineSHOOT</v>
      </c>
      <c r="C124" t="s">
        <v>7</v>
      </c>
      <c r="D124" t="s">
        <v>19</v>
      </c>
      <c r="E124" t="s">
        <v>236</v>
      </c>
      <c r="F124" t="s">
        <v>355</v>
      </c>
      <c r="G124" t="s">
        <v>2150</v>
      </c>
      <c r="I124" s="10"/>
      <c r="J124" s="107">
        <f>SUMIF(Data!C:C,G124,Data!Q:Q)</f>
        <v>5829.94</v>
      </c>
      <c r="K124" s="107">
        <f>SUMIF(Comprometidos!A:A,'Cost Report'!G124,Comprometidos!E:E)</f>
        <v>0</v>
      </c>
      <c r="L124" s="107">
        <f t="shared" si="65"/>
        <v>5829.94</v>
      </c>
      <c r="M124" s="107">
        <v>0</v>
      </c>
      <c r="N124" s="107">
        <f t="shared" si="67"/>
        <v>5829.94</v>
      </c>
      <c r="O124" s="107">
        <f>VLOOKUP(G124,Budget!$E$3:$G$2474,3,0)</f>
        <v>15568</v>
      </c>
      <c r="P124" s="107">
        <f t="shared" si="68"/>
        <v>9738.0600000000013</v>
      </c>
      <c r="Q124" s="107"/>
      <c r="R124" s="10"/>
      <c r="S124" s="107">
        <v>5829.94</v>
      </c>
      <c r="T124" s="107">
        <f t="shared" si="45"/>
        <v>0</v>
      </c>
      <c r="U124" s="107"/>
      <c r="V124" s="175"/>
      <c r="W124" s="10"/>
      <c r="X124" s="10"/>
      <c r="Y124" t="str">
        <f t="shared" si="69"/>
        <v>1301</v>
      </c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>
      <c r="A125" s="10"/>
      <c r="B125" s="10" t="str">
        <f t="shared" si="64"/>
        <v>Above the LineSHOOT</v>
      </c>
      <c r="C125" t="s">
        <v>7</v>
      </c>
      <c r="D125" t="s">
        <v>19</v>
      </c>
      <c r="E125" t="s">
        <v>236</v>
      </c>
      <c r="F125" t="s">
        <v>355</v>
      </c>
      <c r="G125" t="s">
        <v>2151</v>
      </c>
      <c r="I125" s="10"/>
      <c r="J125" s="107">
        <f>SUMIF(Data!C:C,G125,Data!Q:Q)</f>
        <v>5829.94</v>
      </c>
      <c r="K125" s="107">
        <f>SUMIF(Comprometidos!A:A,'Cost Report'!G125,Comprometidos!E:E)</f>
        <v>0</v>
      </c>
      <c r="L125" s="107">
        <f t="shared" si="65"/>
        <v>5829.94</v>
      </c>
      <c r="M125" s="107">
        <v>0</v>
      </c>
      <c r="N125" s="107">
        <f t="shared" si="67"/>
        <v>5829.94</v>
      </c>
      <c r="O125" s="107">
        <f>VLOOKUP(G125,Budget!$E$3:$G$2474,3,0)</f>
        <v>4448</v>
      </c>
      <c r="P125" s="107">
        <f t="shared" si="68"/>
        <v>-1381.9399999999996</v>
      </c>
      <c r="Q125" s="107"/>
      <c r="R125" s="10"/>
      <c r="S125" s="107">
        <v>5829.94</v>
      </c>
      <c r="T125" s="107">
        <f t="shared" si="45"/>
        <v>0</v>
      </c>
      <c r="U125" s="107"/>
      <c r="V125" s="175"/>
      <c r="W125" s="10"/>
      <c r="X125" s="10"/>
      <c r="Y125" t="str">
        <f t="shared" si="69"/>
        <v>1301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>
      <c r="A126" s="10"/>
      <c r="B126" s="10" t="str">
        <f t="shared" si="64"/>
        <v>Above the LineSHOOT</v>
      </c>
      <c r="C126" t="s">
        <v>7</v>
      </c>
      <c r="D126" t="s">
        <v>19</v>
      </c>
      <c r="E126" t="s">
        <v>236</v>
      </c>
      <c r="F126" t="s">
        <v>355</v>
      </c>
      <c r="G126" t="s">
        <v>2152</v>
      </c>
      <c r="I126" s="10"/>
      <c r="J126" s="107">
        <f>SUMIF(Data!C:C,G126,Data!Q:Q)</f>
        <v>5829.94</v>
      </c>
      <c r="K126" s="107">
        <f>SUMIF(Comprometidos!A:A,'Cost Report'!G126,Comprometidos!E:E)</f>
        <v>0</v>
      </c>
      <c r="L126" s="107">
        <f t="shared" si="65"/>
        <v>5829.94</v>
      </c>
      <c r="M126" s="107">
        <v>0</v>
      </c>
      <c r="N126" s="107">
        <f t="shared" si="67"/>
        <v>5829.94</v>
      </c>
      <c r="O126" s="107">
        <f>VLOOKUP(G126,Budget!$E$3:$G$2474,3,0)</f>
        <v>15568</v>
      </c>
      <c r="P126" s="107">
        <f t="shared" si="68"/>
        <v>9738.0600000000013</v>
      </c>
      <c r="Q126" s="107"/>
      <c r="R126" s="10"/>
      <c r="S126" s="107">
        <v>5829.94</v>
      </c>
      <c r="T126" s="107">
        <f t="shared" si="45"/>
        <v>0</v>
      </c>
      <c r="U126" s="107"/>
      <c r="V126" s="175"/>
      <c r="W126" s="10"/>
      <c r="X126" s="10"/>
      <c r="Y126" t="str">
        <f t="shared" si="69"/>
        <v>1301</v>
      </c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>
      <c r="A127" s="10"/>
      <c r="B127" s="10" t="str">
        <f t="shared" si="64"/>
        <v>Above the LineSHOOT</v>
      </c>
      <c r="C127" t="s">
        <v>7</v>
      </c>
      <c r="D127" t="s">
        <v>19</v>
      </c>
      <c r="E127" t="s">
        <v>236</v>
      </c>
      <c r="F127" t="s">
        <v>355</v>
      </c>
      <c r="G127" t="s">
        <v>2153</v>
      </c>
      <c r="I127" s="10"/>
      <c r="J127" s="107">
        <f>SUMIF(Data!C:C,G127,Data!Q:Q)</f>
        <v>23632.34</v>
      </c>
      <c r="K127" s="107">
        <f>SUMIF(Comprometidos!A:A,'Cost Report'!G127,Comprometidos!E:E)</f>
        <v>0</v>
      </c>
      <c r="L127" s="107">
        <f t="shared" si="65"/>
        <v>23632.34</v>
      </c>
      <c r="M127" s="107">
        <v>0</v>
      </c>
      <c r="N127" s="107">
        <f t="shared" si="67"/>
        <v>23632.34</v>
      </c>
      <c r="O127" s="107">
        <f>VLOOKUP(G127,Budget!$E$3:$G$2474,3,0)</f>
        <v>2100</v>
      </c>
      <c r="P127" s="107">
        <f t="shared" si="68"/>
        <v>-21532.34</v>
      </c>
      <c r="Q127" s="107"/>
      <c r="R127" s="10"/>
      <c r="S127" s="107">
        <v>23632.34</v>
      </c>
      <c r="T127" s="107">
        <f t="shared" si="45"/>
        <v>0</v>
      </c>
      <c r="U127" s="107"/>
      <c r="V127" s="175"/>
      <c r="W127" s="10"/>
      <c r="X127" s="10"/>
      <c r="Y127" t="str">
        <f t="shared" si="69"/>
        <v>1301</v>
      </c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>
      <c r="A128" s="10"/>
      <c r="B128" s="10" t="str">
        <f t="shared" si="64"/>
        <v>Above the Line</v>
      </c>
      <c r="C128" t="s">
        <v>7</v>
      </c>
      <c r="D128" t="s">
        <v>19</v>
      </c>
      <c r="E128" t="s">
        <v>214</v>
      </c>
      <c r="G128" t="s">
        <v>2154</v>
      </c>
      <c r="I128" s="10"/>
      <c r="J128" s="107">
        <f>SUMIF(Data!C:C,G128,Data!Q:Q)</f>
        <v>0</v>
      </c>
      <c r="K128" s="107">
        <f>SUMIF(Comprometidos!A:A,'Cost Report'!G128,Comprometidos!E:E)</f>
        <v>0</v>
      </c>
      <c r="L128" s="107">
        <f t="shared" si="65"/>
        <v>0</v>
      </c>
      <c r="M128" s="107">
        <f t="shared" si="66"/>
        <v>0</v>
      </c>
      <c r="N128" s="107">
        <f t="shared" si="67"/>
        <v>0</v>
      </c>
      <c r="O128" s="107">
        <f>VLOOKUP(G128,Budget!$E$3:$G$2474,3,0)</f>
        <v>0</v>
      </c>
      <c r="P128" s="107">
        <f t="shared" si="68"/>
        <v>0</v>
      </c>
      <c r="Q128" s="107"/>
      <c r="R128" s="10"/>
      <c r="S128" s="107">
        <v>0</v>
      </c>
      <c r="T128" s="107">
        <f t="shared" si="45"/>
        <v>0</v>
      </c>
      <c r="U128" s="107"/>
      <c r="V128" s="175"/>
      <c r="W128" s="10"/>
      <c r="X128" s="10"/>
      <c r="Y128" t="str">
        <f t="shared" si="69"/>
        <v>1301</v>
      </c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>
      <c r="A129" s="10"/>
      <c r="B129" s="10" t="str">
        <f t="shared" si="64"/>
        <v>Above the LineSHOOT</v>
      </c>
      <c r="C129" t="s">
        <v>7</v>
      </c>
      <c r="D129" t="s">
        <v>19</v>
      </c>
      <c r="E129" t="s">
        <v>236</v>
      </c>
      <c r="G129" t="s">
        <v>2155</v>
      </c>
      <c r="I129" s="10"/>
      <c r="J129" s="107">
        <f>SUMIF(Data!C:C,G129,Data!Q:Q)</f>
        <v>0</v>
      </c>
      <c r="K129" s="107">
        <f>SUMIF(Comprometidos!A:A,'Cost Report'!G129,Comprometidos!E:E)</f>
        <v>0</v>
      </c>
      <c r="L129" s="107">
        <f t="shared" si="65"/>
        <v>0</v>
      </c>
      <c r="M129" s="107">
        <f t="shared" si="66"/>
        <v>0</v>
      </c>
      <c r="N129" s="107">
        <f t="shared" si="67"/>
        <v>0</v>
      </c>
      <c r="O129" s="107">
        <f>VLOOKUP(G129,Budget!$E$3:$G$2474,3,0)</f>
        <v>0</v>
      </c>
      <c r="P129" s="107">
        <f t="shared" si="68"/>
        <v>0</v>
      </c>
      <c r="Q129" s="107"/>
      <c r="R129" s="10"/>
      <c r="S129" s="107">
        <v>0</v>
      </c>
      <c r="T129" s="107">
        <f t="shared" si="45"/>
        <v>0</v>
      </c>
      <c r="U129" s="107"/>
      <c r="V129" s="175"/>
      <c r="W129" s="10"/>
      <c r="X129" s="10"/>
      <c r="Y129" t="str">
        <f t="shared" si="69"/>
        <v>1301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>
      <c r="A130" s="10"/>
      <c r="B130" s="10" t="str">
        <f t="shared" si="64"/>
        <v>Above the LineSHOOT</v>
      </c>
      <c r="C130" t="s">
        <v>7</v>
      </c>
      <c r="D130" t="s">
        <v>19</v>
      </c>
      <c r="E130" t="s">
        <v>236</v>
      </c>
      <c r="F130" t="s">
        <v>355</v>
      </c>
      <c r="G130" t="s">
        <v>2156</v>
      </c>
      <c r="I130" s="10"/>
      <c r="J130" s="107">
        <f>SUMIF(Data!C:C,G130,Data!Q:Q)</f>
        <v>5829.94</v>
      </c>
      <c r="K130" s="107">
        <f>SUMIF(Comprometidos!A:A,'Cost Report'!G130,Comprometidos!E:E)</f>
        <v>0</v>
      </c>
      <c r="L130" s="107">
        <f t="shared" si="65"/>
        <v>5829.94</v>
      </c>
      <c r="M130" s="107">
        <v>0</v>
      </c>
      <c r="N130" s="107">
        <f t="shared" si="67"/>
        <v>5829.94</v>
      </c>
      <c r="O130" s="107">
        <f>VLOOKUP(G130,Budget!$E$3:$G$2474,3,0)</f>
        <v>15568</v>
      </c>
      <c r="P130" s="107">
        <f t="shared" si="68"/>
        <v>9738.0600000000013</v>
      </c>
      <c r="Q130" s="107"/>
      <c r="R130" s="10"/>
      <c r="S130" s="107">
        <v>5829.94</v>
      </c>
      <c r="T130" s="107">
        <f t="shared" si="45"/>
        <v>0</v>
      </c>
      <c r="U130" s="107"/>
      <c r="V130" s="175"/>
      <c r="W130" s="10"/>
      <c r="X130" s="10"/>
      <c r="Y130" t="str">
        <f t="shared" si="69"/>
        <v>1301</v>
      </c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>
      <c r="A131" s="10"/>
      <c r="B131" s="10" t="str">
        <f t="shared" si="64"/>
        <v>Above the LineSHOOT</v>
      </c>
      <c r="C131" t="s">
        <v>7</v>
      </c>
      <c r="D131" t="s">
        <v>19</v>
      </c>
      <c r="E131" t="s">
        <v>236</v>
      </c>
      <c r="F131" t="s">
        <v>355</v>
      </c>
      <c r="G131" t="s">
        <v>2157</v>
      </c>
      <c r="I131" s="10"/>
      <c r="J131" s="107">
        <f>SUMIF(Data!C:C,G131,Data!Q:Q)</f>
        <v>5829.94</v>
      </c>
      <c r="K131" s="107">
        <f>SUMIF(Comprometidos!A:A,'Cost Report'!G131,Comprometidos!E:E)</f>
        <v>0</v>
      </c>
      <c r="L131" s="107">
        <f t="shared" si="65"/>
        <v>5829.94</v>
      </c>
      <c r="M131" s="107">
        <v>0</v>
      </c>
      <c r="N131" s="107">
        <f t="shared" si="67"/>
        <v>5829.94</v>
      </c>
      <c r="O131" s="107">
        <f>VLOOKUP(G131,Budget!$E$3:$G$2474,3,0)</f>
        <v>0</v>
      </c>
      <c r="P131" s="107">
        <f t="shared" si="68"/>
        <v>-5829.94</v>
      </c>
      <c r="Q131" s="107"/>
      <c r="R131" s="10"/>
      <c r="S131" s="107">
        <v>5829.94</v>
      </c>
      <c r="T131" s="107">
        <f t="shared" si="45"/>
        <v>0</v>
      </c>
      <c r="U131" s="107"/>
      <c r="V131" s="175"/>
      <c r="W131" s="10"/>
      <c r="X131" s="10"/>
      <c r="Y131" t="str">
        <f t="shared" si="69"/>
        <v>1301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>
      <c r="A132" s="10"/>
      <c r="B132" s="10" t="str">
        <f t="shared" si="64"/>
        <v>Above the LineSHOOT</v>
      </c>
      <c r="C132" t="s">
        <v>7</v>
      </c>
      <c r="D132" t="s">
        <v>19</v>
      </c>
      <c r="E132" t="s">
        <v>236</v>
      </c>
      <c r="F132" t="s">
        <v>355</v>
      </c>
      <c r="G132" t="s">
        <v>2158</v>
      </c>
      <c r="I132" s="10"/>
      <c r="J132" s="107">
        <f>SUMIF(Data!C:C,G132,Data!Q:Q)</f>
        <v>5829.94</v>
      </c>
      <c r="K132" s="107">
        <f>SUMIF(Comprometidos!A:A,'Cost Report'!G132,Comprometidos!E:E)</f>
        <v>0</v>
      </c>
      <c r="L132" s="107">
        <f t="shared" si="65"/>
        <v>5829.94</v>
      </c>
      <c r="M132" s="107">
        <v>0</v>
      </c>
      <c r="N132" s="107">
        <f t="shared" si="67"/>
        <v>5829.94</v>
      </c>
      <c r="O132" s="107">
        <f>VLOOKUP(G132,Budget!$E$3:$G$2474,3,0)</f>
        <v>15568</v>
      </c>
      <c r="P132" s="107">
        <f t="shared" si="68"/>
        <v>9738.0600000000013</v>
      </c>
      <c r="Q132" s="107"/>
      <c r="R132" s="10"/>
      <c r="S132" s="107">
        <v>5829.94</v>
      </c>
      <c r="T132" s="107">
        <f t="shared" si="45"/>
        <v>0</v>
      </c>
      <c r="U132" s="107"/>
      <c r="V132" s="175"/>
      <c r="W132" s="10"/>
      <c r="X132" s="10"/>
      <c r="Y132" t="str">
        <f t="shared" si="69"/>
        <v>1301</v>
      </c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>
      <c r="A133" s="10"/>
      <c r="B133" s="10" t="str">
        <f t="shared" si="64"/>
        <v>Above the LineSHOOT</v>
      </c>
      <c r="C133" t="s">
        <v>7</v>
      </c>
      <c r="D133" t="s">
        <v>19</v>
      </c>
      <c r="E133" t="s">
        <v>236</v>
      </c>
      <c r="F133" t="s">
        <v>355</v>
      </c>
      <c r="G133" t="s">
        <v>2159</v>
      </c>
      <c r="I133" s="10"/>
      <c r="J133" s="107">
        <f>SUMIF(Data!C:C,G133,Data!Q:Q)</f>
        <v>5829.94</v>
      </c>
      <c r="K133" s="107">
        <f>SUMIF(Comprometidos!A:A,'Cost Report'!G133,Comprometidos!E:E)</f>
        <v>0</v>
      </c>
      <c r="L133" s="107">
        <f t="shared" si="65"/>
        <v>5829.94</v>
      </c>
      <c r="M133" s="107">
        <v>0</v>
      </c>
      <c r="N133" s="107">
        <f t="shared" si="67"/>
        <v>5829.94</v>
      </c>
      <c r="O133" s="107">
        <f>VLOOKUP(G133,Budget!$E$3:$G$2474,3,0)</f>
        <v>2100</v>
      </c>
      <c r="P133" s="107">
        <f t="shared" si="68"/>
        <v>-3729.9399999999996</v>
      </c>
      <c r="Q133" s="107"/>
      <c r="R133" s="10"/>
      <c r="S133" s="107">
        <v>5829.94</v>
      </c>
      <c r="T133" s="107">
        <f t="shared" si="45"/>
        <v>0</v>
      </c>
      <c r="U133" s="107"/>
      <c r="V133" s="175"/>
      <c r="W133" s="10"/>
      <c r="X133" s="10"/>
      <c r="Y133" t="str">
        <f t="shared" si="69"/>
        <v>1301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>
      <c r="A134" s="10"/>
      <c r="B134" s="10" t="str">
        <f>+C134</f>
        <v>Above the Line</v>
      </c>
      <c r="C134" s="128" t="s">
        <v>7</v>
      </c>
      <c r="D134" s="128" t="s">
        <v>2117</v>
      </c>
      <c r="E134" s="128"/>
      <c r="F134" s="128"/>
      <c r="G134" s="128" t="s">
        <v>269</v>
      </c>
      <c r="H134" s="128"/>
      <c r="I134" s="10"/>
      <c r="J134" s="129">
        <f>SUMIF($Y$11:$Y$2484,G134,J$11:J$2484)</f>
        <v>400994.45</v>
      </c>
      <c r="K134" s="129">
        <f>SUMIF($Y$11:$Y$2484,G134,K$11:K$2484)</f>
        <v>0</v>
      </c>
      <c r="L134" s="129">
        <f>SUMIF($Y$11:$Y$2484,G134,L$11:L$2484)</f>
        <v>400994.45</v>
      </c>
      <c r="M134" s="129">
        <f>SUMIF($Y$11:$Y$2484,G134,M$11:M$2484)</f>
        <v>0</v>
      </c>
      <c r="N134" s="129">
        <f>SUMIF($Y$11:$Y$2484,G134,N$11:N$2484)</f>
        <v>400994.45</v>
      </c>
      <c r="O134" s="129">
        <f>SUMIF($Y$11:$Y$2484,G134,O$11:O$2484)</f>
        <v>259248</v>
      </c>
      <c r="P134" s="129">
        <f>SUMIF($Y$11:$Y$2484,G134,P$11:P$2484)</f>
        <v>-141746.45000000001</v>
      </c>
      <c r="Q134" s="129"/>
      <c r="R134" s="10"/>
      <c r="S134" s="129">
        <v>400994.45</v>
      </c>
      <c r="T134" s="129">
        <f t="shared" si="45"/>
        <v>0</v>
      </c>
      <c r="U134" s="128"/>
      <c r="V134" s="175"/>
      <c r="W134" s="10"/>
      <c r="X134" s="10"/>
      <c r="Z134" t="str">
        <f>LEFT(G134,2)</f>
        <v>13</v>
      </c>
      <c r="AA134" t="str">
        <f>+Z134&amp;"00"</f>
        <v>1300</v>
      </c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>
      <c r="A135" s="10"/>
      <c r="B135" s="10" t="str">
        <f t="shared" ref="B135:B141" si="70">+C135&amp;E135</f>
        <v>Above the Line</v>
      </c>
      <c r="C135" t="s">
        <v>7</v>
      </c>
      <c r="D135" t="s">
        <v>19</v>
      </c>
      <c r="E135" t="s">
        <v>214</v>
      </c>
      <c r="G135" t="s">
        <v>270</v>
      </c>
      <c r="I135" s="10"/>
      <c r="J135" s="107">
        <f>SUMIF(Data!C:C,G135,Data!Q:Q)</f>
        <v>0</v>
      </c>
      <c r="K135" s="107">
        <f>SUMIF(Comprometidos!A:A,'Cost Report'!G135,Comprometidos!E:E)</f>
        <v>0</v>
      </c>
      <c r="L135" s="107">
        <f t="shared" ref="L135:L141" si="71">+J135+K135</f>
        <v>0</v>
      </c>
      <c r="M135" s="107">
        <f t="shared" ref="M135:M137" si="72">+O135-L135</f>
        <v>0</v>
      </c>
      <c r="N135" s="107">
        <f t="shared" ref="N135:N141" si="73">+L135+M135</f>
        <v>0</v>
      </c>
      <c r="O135" s="107">
        <f>VLOOKUP(G135,Budget!$E$3:$G$2474,3,0)</f>
        <v>0</v>
      </c>
      <c r="P135" s="107">
        <f t="shared" ref="P135:P141" si="74">+O135-N135</f>
        <v>0</v>
      </c>
      <c r="Q135" s="107"/>
      <c r="R135" s="10"/>
      <c r="S135" s="107">
        <v>0</v>
      </c>
      <c r="T135" s="107">
        <f t="shared" si="45"/>
        <v>0</v>
      </c>
      <c r="U135" s="107"/>
      <c r="V135" s="175"/>
      <c r="W135" s="10"/>
      <c r="X135" s="10"/>
      <c r="Y135" t="str">
        <f t="shared" ref="Y135:Y141" si="75">LEFT(G135,4)</f>
        <v>1302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>
      <c r="A136" s="10"/>
      <c r="B136" s="10" t="str">
        <f t="shared" si="70"/>
        <v>Above the Line2nd Unit</v>
      </c>
      <c r="C136" t="s">
        <v>7</v>
      </c>
      <c r="D136" t="s">
        <v>19</v>
      </c>
      <c r="E136" t="s">
        <v>1419</v>
      </c>
      <c r="G136" t="s">
        <v>271</v>
      </c>
      <c r="I136" s="10"/>
      <c r="J136" s="107">
        <f>SUMIF(Data!C:C,G136,Data!Q:Q)</f>
        <v>65000</v>
      </c>
      <c r="K136" s="107">
        <f>SUMIF(Comprometidos!A:A,'Cost Report'!G136,Comprometidos!E:E)</f>
        <v>0</v>
      </c>
      <c r="L136" s="107">
        <f t="shared" si="71"/>
        <v>65000</v>
      </c>
      <c r="M136" s="107">
        <f t="shared" si="72"/>
        <v>0</v>
      </c>
      <c r="N136" s="107">
        <f t="shared" si="73"/>
        <v>65000</v>
      </c>
      <c r="O136" s="107">
        <f>VLOOKUP(G136,Budget!$E$3:$G$2474,3,0)</f>
        <v>65000</v>
      </c>
      <c r="P136" s="107">
        <f t="shared" si="74"/>
        <v>0</v>
      </c>
      <c r="Q136" s="107"/>
      <c r="R136" s="10"/>
      <c r="S136" s="107">
        <v>65000</v>
      </c>
      <c r="T136" s="107">
        <f t="shared" si="45"/>
        <v>0</v>
      </c>
      <c r="U136" s="107"/>
      <c r="V136" s="175"/>
      <c r="W136" s="10"/>
      <c r="X136" s="10"/>
      <c r="Y136" t="str">
        <f t="shared" si="75"/>
        <v>1302</v>
      </c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>
      <c r="A137" s="10"/>
      <c r="B137" s="10" t="str">
        <f t="shared" si="70"/>
        <v>Above the Line2nd Unit</v>
      </c>
      <c r="C137" t="s">
        <v>7</v>
      </c>
      <c r="D137" t="s">
        <v>19</v>
      </c>
      <c r="E137" t="s">
        <v>1419</v>
      </c>
      <c r="G137" t="s">
        <v>272</v>
      </c>
      <c r="I137" s="10"/>
      <c r="J137" s="107">
        <f>SUMIF(Data!C:C,G137,Data!Q:Q)</f>
        <v>130000</v>
      </c>
      <c r="K137" s="107">
        <f>SUMIF(Comprometidos!A:A,'Cost Report'!G137,Comprometidos!E:E)</f>
        <v>0</v>
      </c>
      <c r="L137" s="107">
        <f t="shared" si="71"/>
        <v>130000</v>
      </c>
      <c r="M137" s="107">
        <f t="shared" si="72"/>
        <v>0</v>
      </c>
      <c r="N137" s="107">
        <f t="shared" si="73"/>
        <v>130000</v>
      </c>
      <c r="O137" s="107">
        <f>VLOOKUP(G137,Budget!$E$3:$G$2474,3,0)</f>
        <v>130000</v>
      </c>
      <c r="P137" s="107">
        <f t="shared" si="74"/>
        <v>0</v>
      </c>
      <c r="Q137" s="107"/>
      <c r="R137" s="10"/>
      <c r="S137" s="107">
        <v>130000</v>
      </c>
      <c r="T137" s="107">
        <f t="shared" si="45"/>
        <v>0</v>
      </c>
      <c r="U137" s="107"/>
      <c r="V137" s="175"/>
      <c r="W137" s="10"/>
      <c r="X137" s="10"/>
      <c r="Y137" t="str">
        <f t="shared" si="75"/>
        <v>1302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>
      <c r="A138" s="10"/>
      <c r="B138" s="10" t="str">
        <f t="shared" si="70"/>
        <v>Above the Line2nd Unit</v>
      </c>
      <c r="C138" t="s">
        <v>7</v>
      </c>
      <c r="D138" t="s">
        <v>19</v>
      </c>
      <c r="E138" t="s">
        <v>1419</v>
      </c>
      <c r="F138" t="s">
        <v>355</v>
      </c>
      <c r="G138" t="s">
        <v>273</v>
      </c>
      <c r="I138" s="10"/>
      <c r="J138" s="107">
        <f>SUMIF(Data!C:C,G138,Data!Q:Q)</f>
        <v>91881.69</v>
      </c>
      <c r="K138" s="107">
        <f>SUMIF(Comprometidos!A:A,'Cost Report'!G138,Comprometidos!E:E)</f>
        <v>0</v>
      </c>
      <c r="L138" s="107">
        <f t="shared" si="71"/>
        <v>91881.69</v>
      </c>
      <c r="M138" s="107">
        <v>0</v>
      </c>
      <c r="N138" s="107">
        <f t="shared" si="73"/>
        <v>91881.69</v>
      </c>
      <c r="O138" s="107">
        <f>VLOOKUP(G138,Budget!$E$3:$G$2474,3,0)</f>
        <v>26688</v>
      </c>
      <c r="P138" s="107">
        <f t="shared" si="74"/>
        <v>-65193.69</v>
      </c>
      <c r="Q138" s="107"/>
      <c r="R138" s="10"/>
      <c r="S138" s="107">
        <v>91881.69</v>
      </c>
      <c r="T138" s="107">
        <f t="shared" si="45"/>
        <v>0</v>
      </c>
      <c r="U138" s="107"/>
      <c r="V138" s="175"/>
      <c r="W138" s="10"/>
      <c r="X138" s="10"/>
      <c r="Y138" t="str">
        <f t="shared" si="75"/>
        <v>1302</v>
      </c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>
      <c r="A139" s="10"/>
      <c r="B139" s="10" t="str">
        <f t="shared" si="70"/>
        <v>Above the Line2nd Unit</v>
      </c>
      <c r="C139" t="s">
        <v>7</v>
      </c>
      <c r="D139" t="s">
        <v>19</v>
      </c>
      <c r="E139" t="s">
        <v>1419</v>
      </c>
      <c r="F139" t="s">
        <v>355</v>
      </c>
      <c r="G139" t="s">
        <v>274</v>
      </c>
      <c r="I139" s="10"/>
      <c r="J139" s="107">
        <f>SUMIF(Data!C:C,G139,Data!Q:Q)</f>
        <v>14500.46</v>
      </c>
      <c r="K139" s="107">
        <f>SUMIF(Comprometidos!A:A,'Cost Report'!G139,Comprometidos!E:E)</f>
        <v>0</v>
      </c>
      <c r="L139" s="107">
        <f t="shared" si="71"/>
        <v>14500.46</v>
      </c>
      <c r="M139" s="107">
        <v>0</v>
      </c>
      <c r="N139" s="107">
        <f t="shared" si="73"/>
        <v>14500.46</v>
      </c>
      <c r="O139" s="107">
        <f>VLOOKUP(G139,Budget!$E$3:$G$2474,3,0)</f>
        <v>6672</v>
      </c>
      <c r="P139" s="107">
        <f t="shared" si="74"/>
        <v>-7828.4599999999991</v>
      </c>
      <c r="Q139" s="107"/>
      <c r="R139" s="10"/>
      <c r="S139" s="107">
        <v>14500.46</v>
      </c>
      <c r="T139" s="107">
        <f t="shared" ref="T139:T202" si="76">+S139-N139</f>
        <v>0</v>
      </c>
      <c r="U139" s="107"/>
      <c r="V139" s="175"/>
      <c r="W139" s="10"/>
      <c r="X139" s="10"/>
      <c r="Y139" t="str">
        <f t="shared" si="75"/>
        <v>1302</v>
      </c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>
      <c r="A140" s="10"/>
      <c r="B140" s="10" t="str">
        <f t="shared" si="70"/>
        <v>Above the Line2nd Unit</v>
      </c>
      <c r="C140" t="s">
        <v>7</v>
      </c>
      <c r="D140" t="s">
        <v>19</v>
      </c>
      <c r="E140" t="s">
        <v>1419</v>
      </c>
      <c r="F140" t="s">
        <v>355</v>
      </c>
      <c r="G140" t="s">
        <v>2160</v>
      </c>
      <c r="I140" s="10"/>
      <c r="J140" s="107">
        <f>SUMIF(Data!C:C,G140,Data!Q:Q)</f>
        <v>77504.260000000009</v>
      </c>
      <c r="K140" s="107">
        <f>SUMIF(Comprometidos!A:A,'Cost Report'!G140,Comprometidos!E:E)</f>
        <v>0</v>
      </c>
      <c r="L140" s="107">
        <f t="shared" si="71"/>
        <v>77504.260000000009</v>
      </c>
      <c r="M140" s="107">
        <v>0</v>
      </c>
      <c r="N140" s="107">
        <f t="shared" si="73"/>
        <v>77504.260000000009</v>
      </c>
      <c r="O140" s="107">
        <f>VLOOKUP(G140,Budget!$E$3:$G$2474,3,0)</f>
        <v>26688</v>
      </c>
      <c r="P140" s="107">
        <f t="shared" si="74"/>
        <v>-50816.260000000009</v>
      </c>
      <c r="Q140" s="107"/>
      <c r="R140" s="10"/>
      <c r="S140" s="107">
        <v>77504.260000000009</v>
      </c>
      <c r="T140" s="107">
        <f t="shared" si="76"/>
        <v>0</v>
      </c>
      <c r="U140" s="107"/>
      <c r="V140" s="175"/>
      <c r="W140" s="10"/>
      <c r="X140" s="10"/>
      <c r="Y140" t="str">
        <f t="shared" si="75"/>
        <v>1302</v>
      </c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>
      <c r="A141" s="10"/>
      <c r="B141" s="10" t="str">
        <f t="shared" si="70"/>
        <v>Above the Line2nd Unit</v>
      </c>
      <c r="C141" t="s">
        <v>7</v>
      </c>
      <c r="D141" t="s">
        <v>19</v>
      </c>
      <c r="E141" t="s">
        <v>1419</v>
      </c>
      <c r="F141" t="s">
        <v>355</v>
      </c>
      <c r="G141" t="s">
        <v>2161</v>
      </c>
      <c r="I141" s="10"/>
      <c r="J141" s="107">
        <f>SUMIF(Data!C:C,G141,Data!Q:Q)</f>
        <v>22108.04</v>
      </c>
      <c r="K141" s="107">
        <f>SUMIF(Comprometidos!A:A,'Cost Report'!G141,Comprometidos!E:E)</f>
        <v>0</v>
      </c>
      <c r="L141" s="107">
        <f t="shared" si="71"/>
        <v>22108.04</v>
      </c>
      <c r="M141" s="107">
        <v>0</v>
      </c>
      <c r="N141" s="107">
        <f t="shared" si="73"/>
        <v>22108.04</v>
      </c>
      <c r="O141" s="107">
        <f>VLOOKUP(G141,Budget!$E$3:$G$2474,3,0)</f>
        <v>4200</v>
      </c>
      <c r="P141" s="107">
        <f t="shared" si="74"/>
        <v>-17908.04</v>
      </c>
      <c r="Q141" s="107"/>
      <c r="R141" s="10"/>
      <c r="S141" s="107">
        <v>22108.04</v>
      </c>
      <c r="T141" s="107">
        <f t="shared" si="76"/>
        <v>0</v>
      </c>
      <c r="U141" s="107"/>
      <c r="V141" s="175"/>
      <c r="W141" s="10"/>
      <c r="X141" s="10"/>
      <c r="Y141" t="str">
        <f t="shared" si="75"/>
        <v>1302</v>
      </c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>
      <c r="A142" s="10"/>
      <c r="B142" s="10" t="str">
        <f>+C142</f>
        <v>Above the Line</v>
      </c>
      <c r="C142" s="128" t="s">
        <v>7</v>
      </c>
      <c r="D142" s="128" t="s">
        <v>2117</v>
      </c>
      <c r="E142" s="128"/>
      <c r="F142" s="128"/>
      <c r="G142" s="128" t="s">
        <v>1491</v>
      </c>
      <c r="H142" s="128"/>
      <c r="I142" s="10"/>
      <c r="J142" s="129">
        <f>SUMIF($Y$11:$Y$2484,G142,J$11:J$2484)</f>
        <v>79000</v>
      </c>
      <c r="K142" s="129">
        <f>SUMIF($Y$11:$Y$2484,G142,K$11:K$2484)</f>
        <v>0</v>
      </c>
      <c r="L142" s="129">
        <f>SUMIF($Y$11:$Y$2484,G142,L$11:L$2484)</f>
        <v>79000</v>
      </c>
      <c r="M142" s="129">
        <f>SUMIF($Y$11:$Y$2484,G142,M$11:M$2484)</f>
        <v>0</v>
      </c>
      <c r="N142" s="129">
        <f>SUMIF($Y$11:$Y$2484,G142,N$11:N$2484)</f>
        <v>79000</v>
      </c>
      <c r="O142" s="129">
        <f>SUMIF($Y$11:$Y$2484,G142,O$11:O$2484)</f>
        <v>75000</v>
      </c>
      <c r="P142" s="129">
        <f>SUMIF($Y$11:$Y$2484,G142,P$11:P$2484)</f>
        <v>-4000</v>
      </c>
      <c r="Q142" s="129"/>
      <c r="R142" s="10"/>
      <c r="S142" s="129">
        <v>79000</v>
      </c>
      <c r="T142" s="129">
        <f t="shared" si="76"/>
        <v>0</v>
      </c>
      <c r="U142" s="128"/>
      <c r="V142" s="175"/>
      <c r="W142" s="10"/>
      <c r="X142" s="10"/>
      <c r="Z142" t="str">
        <f>LEFT(G142,2)</f>
        <v>13</v>
      </c>
      <c r="AA142" t="str">
        <f>+Z142&amp;"00"</f>
        <v>1300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>
      <c r="A143" s="10"/>
      <c r="B143" s="10" t="str">
        <f t="shared" ref="B143:B144" si="77">+C143&amp;E143</f>
        <v>Above the Line</v>
      </c>
      <c r="C143" t="s">
        <v>7</v>
      </c>
      <c r="D143" t="s">
        <v>19</v>
      </c>
      <c r="E143" t="s">
        <v>214</v>
      </c>
      <c r="G143" t="s">
        <v>1492</v>
      </c>
      <c r="I143" s="10"/>
      <c r="J143" s="107">
        <f>SUMIF(Data!C:C,G143,Data!Q:Q)</f>
        <v>0</v>
      </c>
      <c r="K143" s="107">
        <f>SUMIF(Comprometidos!A:A,'Cost Report'!G143,Comprometidos!E:E)</f>
        <v>0</v>
      </c>
      <c r="L143" s="107">
        <f t="shared" ref="L143:L152" si="78">+J143+K143</f>
        <v>0</v>
      </c>
      <c r="M143" s="107">
        <f t="shared" ref="M143:M150" si="79">+O143-L143</f>
        <v>0</v>
      </c>
      <c r="N143" s="107">
        <f t="shared" ref="N143:N152" si="80">+L143+M143</f>
        <v>0</v>
      </c>
      <c r="O143" s="107">
        <f>VLOOKUP(G143,Budget!$E$3:$G$2474,3,0)</f>
        <v>0</v>
      </c>
      <c r="P143" s="107">
        <f t="shared" ref="P143:P152" si="81">+O143-N143</f>
        <v>0</v>
      </c>
      <c r="Q143" s="107"/>
      <c r="R143" s="10"/>
      <c r="S143" s="107">
        <v>0</v>
      </c>
      <c r="T143" s="107">
        <f t="shared" si="76"/>
        <v>0</v>
      </c>
      <c r="U143" s="107"/>
      <c r="V143" s="175"/>
      <c r="W143" s="10"/>
      <c r="X143" s="10"/>
      <c r="Y143" t="str">
        <f t="shared" ref="Y143:Y144" si="82">LEFT(G143,4)</f>
        <v>1320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>
      <c r="A144" s="10"/>
      <c r="B144" s="10" t="str">
        <f t="shared" si="77"/>
        <v>Above the LineSHOOT</v>
      </c>
      <c r="C144" t="s">
        <v>7</v>
      </c>
      <c r="D144" t="s">
        <v>19</v>
      </c>
      <c r="E144" t="s">
        <v>236</v>
      </c>
      <c r="G144" t="s">
        <v>2162</v>
      </c>
      <c r="I144" s="10"/>
      <c r="J144" s="107">
        <f>SUMIF(Data!C:C,G144,Data!Q:Q)</f>
        <v>79000</v>
      </c>
      <c r="K144" s="107">
        <f>SUMIF(Comprometidos!A:A,'Cost Report'!G144,Comprometidos!E:E)</f>
        <v>0</v>
      </c>
      <c r="L144" s="107">
        <f t="shared" si="78"/>
        <v>79000</v>
      </c>
      <c r="M144" s="107">
        <v>0</v>
      </c>
      <c r="N144" s="107">
        <f t="shared" si="80"/>
        <v>79000</v>
      </c>
      <c r="O144" s="107">
        <f>VLOOKUP(G144,Budget!$E$3:$G$2474,3,0)</f>
        <v>75000</v>
      </c>
      <c r="P144" s="107">
        <f t="shared" si="81"/>
        <v>-4000</v>
      </c>
      <c r="Q144" s="107"/>
      <c r="R144" s="10"/>
      <c r="S144" s="107">
        <v>79000</v>
      </c>
      <c r="T144" s="107">
        <f t="shared" si="76"/>
        <v>0</v>
      </c>
      <c r="U144" s="107"/>
      <c r="V144" s="175"/>
      <c r="W144" s="10"/>
      <c r="X144" s="10"/>
      <c r="Y144" t="str">
        <f t="shared" si="82"/>
        <v>1320</v>
      </c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8">
      <c r="A145" s="10"/>
      <c r="B145" s="10" t="str">
        <f>+C145</f>
        <v>Above the Line</v>
      </c>
      <c r="C145" s="128" t="s">
        <v>7</v>
      </c>
      <c r="D145" s="128" t="s">
        <v>2117</v>
      </c>
      <c r="E145" s="128"/>
      <c r="F145" s="128"/>
      <c r="G145" s="128" t="s">
        <v>1793</v>
      </c>
      <c r="H145" s="128"/>
      <c r="I145" s="10"/>
      <c r="J145" s="129">
        <f>SUMIF($Y$11:$Y$2484,G145,J$11:J$2484)</f>
        <v>0</v>
      </c>
      <c r="K145" s="129">
        <f>SUMIF($Y$11:$Y$2484,G145,K$11:K$2484)</f>
        <v>0</v>
      </c>
      <c r="L145" s="129">
        <f>SUMIF($Y$11:$Y$2484,G145,L$11:L$2484)</f>
        <v>0</v>
      </c>
      <c r="M145" s="129">
        <f>SUMIF($Y$11:$Y$2484,G145,M$11:M$2484)</f>
        <v>0</v>
      </c>
      <c r="N145" s="129">
        <f>SUMIF($Y$11:$Y$2484,G145,N$11:N$2484)</f>
        <v>0</v>
      </c>
      <c r="O145" s="129">
        <f>SUMIF($Y$11:$Y$2484,G145,O$11:O$2484)</f>
        <v>205200</v>
      </c>
      <c r="P145" s="129">
        <f>SUMIF($Y$11:$Y$2484,G145,P$11:P$2484)</f>
        <v>205200</v>
      </c>
      <c r="Q145" s="129"/>
      <c r="R145" s="10"/>
      <c r="S145" s="129">
        <v>0</v>
      </c>
      <c r="T145" s="129">
        <f t="shared" si="76"/>
        <v>0</v>
      </c>
      <c r="U145" s="128"/>
      <c r="V145" s="175"/>
      <c r="W145" s="10"/>
      <c r="X145" s="10"/>
      <c r="Z145" t="str">
        <f>LEFT(G145,2)</f>
        <v>13</v>
      </c>
      <c r="AA145" t="str">
        <f>+Z145&amp;"00"</f>
        <v>1300</v>
      </c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8">
      <c r="A146" s="10"/>
      <c r="B146" s="10" t="str">
        <f t="shared" ref="B146:B152" si="83">+C146&amp;E146</f>
        <v>Above the Line</v>
      </c>
      <c r="C146" t="s">
        <v>7</v>
      </c>
      <c r="D146" t="s">
        <v>19</v>
      </c>
      <c r="E146" t="s">
        <v>214</v>
      </c>
      <c r="G146" t="s">
        <v>1794</v>
      </c>
      <c r="I146" s="10"/>
      <c r="J146" s="107">
        <f>SUMIF(Data!C:C,G146,Data!Q:Q)</f>
        <v>0</v>
      </c>
      <c r="K146" s="107">
        <f>SUMIF(Comprometidos!A:A,'Cost Report'!G146,Comprometidos!E:E)</f>
        <v>0</v>
      </c>
      <c r="L146" s="107">
        <f t="shared" si="78"/>
        <v>0</v>
      </c>
      <c r="M146" s="107">
        <f t="shared" si="79"/>
        <v>0</v>
      </c>
      <c r="N146" s="107">
        <f t="shared" si="80"/>
        <v>0</v>
      </c>
      <c r="O146" s="107">
        <f>VLOOKUP(G146,Budget!$E$3:$G$2474,3,0)</f>
        <v>0</v>
      </c>
      <c r="P146" s="107">
        <f t="shared" si="81"/>
        <v>0</v>
      </c>
      <c r="Q146" s="107"/>
      <c r="R146" s="10"/>
      <c r="S146" s="107">
        <v>0</v>
      </c>
      <c r="T146" s="107">
        <f t="shared" si="76"/>
        <v>0</v>
      </c>
      <c r="U146" s="107"/>
      <c r="V146" s="175"/>
      <c r="W146" s="10"/>
      <c r="X146" s="10"/>
      <c r="Y146" t="str">
        <f t="shared" ref="Y146:Y152" si="84">LEFT(G146,4)</f>
        <v>1387</v>
      </c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8">
      <c r="A147" s="10"/>
      <c r="B147" s="10" t="str">
        <f t="shared" si="83"/>
        <v>Above the LinePREP</v>
      </c>
      <c r="C147" t="s">
        <v>7</v>
      </c>
      <c r="D147" t="s">
        <v>19</v>
      </c>
      <c r="E147" t="s">
        <v>234</v>
      </c>
      <c r="F147" t="s">
        <v>5116</v>
      </c>
      <c r="G147" t="s">
        <v>1795</v>
      </c>
      <c r="I147" s="10"/>
      <c r="J147" s="107">
        <f>SUMIF(Data!C:C,G147,Data!Q:Q)</f>
        <v>0</v>
      </c>
      <c r="K147" s="107">
        <f>SUMIF(Comprometidos!A:A,'Cost Report'!G147,Comprometidos!E:E)</f>
        <v>0</v>
      </c>
      <c r="L147" s="107">
        <f t="shared" si="78"/>
        <v>0</v>
      </c>
      <c r="M147" s="107">
        <v>0</v>
      </c>
      <c r="N147" s="107">
        <f t="shared" si="80"/>
        <v>0</v>
      </c>
      <c r="O147" s="107">
        <f>VLOOKUP(G147,Budget!$E$3:$G$2474,3,0)</f>
        <v>21600</v>
      </c>
      <c r="P147" s="107">
        <f t="shared" si="81"/>
        <v>21600</v>
      </c>
      <c r="Q147" s="107"/>
      <c r="R147" s="10"/>
      <c r="S147" s="107">
        <v>0</v>
      </c>
      <c r="T147" s="107">
        <f t="shared" si="76"/>
        <v>0</v>
      </c>
      <c r="U147" s="107"/>
      <c r="V147" s="175"/>
      <c r="W147" s="10"/>
      <c r="X147" s="10"/>
      <c r="Y147" t="str">
        <f t="shared" si="84"/>
        <v>1387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8">
      <c r="A148" s="10"/>
      <c r="B148" s="10" t="str">
        <f t="shared" si="83"/>
        <v>Above the LineSHOOT</v>
      </c>
      <c r="C148" t="s">
        <v>7</v>
      </c>
      <c r="D148" t="s">
        <v>19</v>
      </c>
      <c r="E148" t="s">
        <v>236</v>
      </c>
      <c r="F148" t="s">
        <v>5116</v>
      </c>
      <c r="G148" t="s">
        <v>1796</v>
      </c>
      <c r="I148" s="10"/>
      <c r="J148" s="107">
        <f>SUMIF(Data!C:C,G148,Data!Q:Q)</f>
        <v>0</v>
      </c>
      <c r="K148" s="107">
        <f>SUMIF(Comprometidos!A:A,'Cost Report'!G148,Comprometidos!E:E)</f>
        <v>0</v>
      </c>
      <c r="L148" s="107">
        <f t="shared" si="78"/>
        <v>0</v>
      </c>
      <c r="M148" s="107">
        <v>0</v>
      </c>
      <c r="N148" s="107">
        <f t="shared" si="80"/>
        <v>0</v>
      </c>
      <c r="O148" s="107">
        <f>VLOOKUP(G148,Budget!$E$3:$G$2474,3,0)</f>
        <v>151200</v>
      </c>
      <c r="P148" s="107">
        <f t="shared" si="81"/>
        <v>151200</v>
      </c>
      <c r="Q148" s="107"/>
      <c r="R148" s="10"/>
      <c r="S148" s="107">
        <v>0</v>
      </c>
      <c r="T148" s="107">
        <f t="shared" si="76"/>
        <v>0</v>
      </c>
      <c r="U148" s="107"/>
      <c r="V148" s="175"/>
      <c r="W148" s="10"/>
      <c r="X148" s="10"/>
      <c r="Y148" t="str">
        <f t="shared" si="84"/>
        <v>1387</v>
      </c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8">
      <c r="A149" s="10"/>
      <c r="B149" s="10" t="str">
        <f t="shared" si="83"/>
        <v>Above the LineWRAP</v>
      </c>
      <c r="C149" t="s">
        <v>7</v>
      </c>
      <c r="D149" t="s">
        <v>19</v>
      </c>
      <c r="E149" t="s">
        <v>238</v>
      </c>
      <c r="G149" t="s">
        <v>1797</v>
      </c>
      <c r="I149" s="10"/>
      <c r="J149" s="107">
        <f>SUMIF(Data!C:C,G149,Data!Q:Q)</f>
        <v>0</v>
      </c>
      <c r="K149" s="107">
        <f>SUMIF(Comprometidos!A:A,'Cost Report'!G149,Comprometidos!E:E)</f>
        <v>0</v>
      </c>
      <c r="L149" s="107">
        <f t="shared" si="78"/>
        <v>0</v>
      </c>
      <c r="M149" s="107">
        <f t="shared" si="79"/>
        <v>0</v>
      </c>
      <c r="N149" s="107">
        <f t="shared" si="80"/>
        <v>0</v>
      </c>
      <c r="O149" s="107">
        <f>VLOOKUP(G149,Budget!$E$3:$G$2474,3,0)</f>
        <v>0</v>
      </c>
      <c r="P149" s="107">
        <f t="shared" si="81"/>
        <v>0</v>
      </c>
      <c r="Q149" s="107"/>
      <c r="R149" s="10"/>
      <c r="S149" s="107">
        <v>0</v>
      </c>
      <c r="T149" s="107">
        <f t="shared" si="76"/>
        <v>0</v>
      </c>
      <c r="U149" s="107"/>
      <c r="V149" s="175"/>
      <c r="W149" s="10"/>
      <c r="X149" s="10"/>
      <c r="Y149" t="str">
        <f t="shared" si="84"/>
        <v>1387</v>
      </c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8">
      <c r="A150" s="10"/>
      <c r="B150" s="10" t="str">
        <f t="shared" si="83"/>
        <v>Above the Line</v>
      </c>
      <c r="C150" t="s">
        <v>7</v>
      </c>
      <c r="D150" t="s">
        <v>19</v>
      </c>
      <c r="E150" t="s">
        <v>214</v>
      </c>
      <c r="G150" t="s">
        <v>2163</v>
      </c>
      <c r="I150" s="10"/>
      <c r="J150" s="107">
        <f>SUMIF(Data!C:C,G150,Data!Q:Q)</f>
        <v>0</v>
      </c>
      <c r="K150" s="107">
        <f>SUMIF(Comprometidos!A:A,'Cost Report'!G150,Comprometidos!E:E)</f>
        <v>0</v>
      </c>
      <c r="L150" s="107">
        <f t="shared" si="78"/>
        <v>0</v>
      </c>
      <c r="M150" s="107">
        <f t="shared" si="79"/>
        <v>0</v>
      </c>
      <c r="N150" s="107">
        <f t="shared" si="80"/>
        <v>0</v>
      </c>
      <c r="O150" s="107">
        <f>VLOOKUP(G150,Budget!$E$3:$G$2474,3,0)</f>
        <v>0</v>
      </c>
      <c r="P150" s="107">
        <f t="shared" si="81"/>
        <v>0</v>
      </c>
      <c r="Q150" s="107"/>
      <c r="R150" s="10"/>
      <c r="S150" s="107">
        <v>0</v>
      </c>
      <c r="T150" s="107">
        <f t="shared" si="76"/>
        <v>0</v>
      </c>
      <c r="U150" s="107"/>
      <c r="V150" s="175"/>
      <c r="W150" s="10"/>
      <c r="X150" s="10"/>
      <c r="Y150" t="str">
        <f t="shared" si="84"/>
        <v>1387</v>
      </c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8">
      <c r="A151" s="10"/>
      <c r="B151" s="10" t="str">
        <f t="shared" si="83"/>
        <v>Above the Line2nd Unit</v>
      </c>
      <c r="C151" t="s">
        <v>7</v>
      </c>
      <c r="D151" t="s">
        <v>19</v>
      </c>
      <c r="E151" t="s">
        <v>1419</v>
      </c>
      <c r="F151" t="s">
        <v>5116</v>
      </c>
      <c r="G151" t="s">
        <v>2164</v>
      </c>
      <c r="I151" s="10"/>
      <c r="J151" s="107">
        <f>SUMIF(Data!C:C,G151,Data!Q:Q)</f>
        <v>0</v>
      </c>
      <c r="K151" s="107">
        <f>SUMIF(Comprometidos!A:A,'Cost Report'!G151,Comprometidos!E:E)</f>
        <v>0</v>
      </c>
      <c r="L151" s="107">
        <f t="shared" si="78"/>
        <v>0</v>
      </c>
      <c r="M151" s="107">
        <v>0</v>
      </c>
      <c r="N151" s="107">
        <f t="shared" si="80"/>
        <v>0</v>
      </c>
      <c r="O151" s="107">
        <f>VLOOKUP(G151,Budget!$E$3:$G$2474,3,0)</f>
        <v>10800</v>
      </c>
      <c r="P151" s="107">
        <f t="shared" si="81"/>
        <v>10800</v>
      </c>
      <c r="Q151" s="107"/>
      <c r="R151" s="10"/>
      <c r="S151" s="107">
        <v>0</v>
      </c>
      <c r="T151" s="107">
        <f t="shared" si="76"/>
        <v>0</v>
      </c>
      <c r="U151" s="107"/>
      <c r="V151" s="175"/>
      <c r="W151" s="10"/>
      <c r="X151" s="10"/>
      <c r="Y151" t="str">
        <f t="shared" si="84"/>
        <v>1387</v>
      </c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8">
      <c r="A152" s="10"/>
      <c r="B152" s="10" t="str">
        <f t="shared" si="83"/>
        <v>Above the Line2nd Unit</v>
      </c>
      <c r="C152" t="s">
        <v>7</v>
      </c>
      <c r="D152" t="s">
        <v>19</v>
      </c>
      <c r="E152" t="s">
        <v>1419</v>
      </c>
      <c r="F152" t="s">
        <v>5116</v>
      </c>
      <c r="G152" t="s">
        <v>2165</v>
      </c>
      <c r="I152" s="10"/>
      <c r="J152" s="107">
        <f>SUMIF(Data!C:C,G152,Data!Q:Q)</f>
        <v>0</v>
      </c>
      <c r="K152" s="107">
        <f>SUMIF(Comprometidos!A:A,'Cost Report'!G152,Comprometidos!E:E)</f>
        <v>0</v>
      </c>
      <c r="L152" s="107">
        <f t="shared" si="78"/>
        <v>0</v>
      </c>
      <c r="M152" s="107">
        <v>0</v>
      </c>
      <c r="N152" s="107">
        <f t="shared" si="80"/>
        <v>0</v>
      </c>
      <c r="O152" s="107">
        <f>VLOOKUP(G152,Budget!$E$3:$G$2474,3,0)</f>
        <v>21600</v>
      </c>
      <c r="P152" s="107">
        <f t="shared" si="81"/>
        <v>21600</v>
      </c>
      <c r="Q152" s="107"/>
      <c r="R152" s="10"/>
      <c r="S152" s="107">
        <v>0</v>
      </c>
      <c r="T152" s="107">
        <f t="shared" si="76"/>
        <v>0</v>
      </c>
      <c r="U152" s="107"/>
      <c r="V152" s="175"/>
      <c r="W152" s="10"/>
      <c r="X152" s="10"/>
      <c r="Y152" t="str">
        <f t="shared" si="84"/>
        <v>1387</v>
      </c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8">
      <c r="A153" s="10"/>
      <c r="B153" s="10" t="str">
        <f>+C153</f>
        <v>Above the Line</v>
      </c>
      <c r="C153" s="128" t="s">
        <v>7</v>
      </c>
      <c r="D153" s="128" t="s">
        <v>2117</v>
      </c>
      <c r="E153" s="128"/>
      <c r="F153" s="128"/>
      <c r="G153" s="128" t="s">
        <v>275</v>
      </c>
      <c r="H153" s="128"/>
      <c r="I153" s="10"/>
      <c r="J153" s="129">
        <f>SUMIF($Y$11:$Y$2484,G153,J$11:J$2484)</f>
        <v>0</v>
      </c>
      <c r="K153" s="129">
        <f>SUMIF($Y$11:$Y$2484,G153,K$11:K$2484)</f>
        <v>0</v>
      </c>
      <c r="L153" s="129">
        <f>SUMIF($Y$11:$Y$2484,G153,L$11:L$2484)</f>
        <v>0</v>
      </c>
      <c r="M153" s="129">
        <f>SUMIF($Y$11:$Y$2484,G153,M$11:M$2484)</f>
        <v>0</v>
      </c>
      <c r="N153" s="129">
        <f>SUMIF($Y$11:$Y$2484,G153,N$11:N$2484)</f>
        <v>0</v>
      </c>
      <c r="O153" s="129">
        <f>SUMIF($Y$11:$Y$2484,G153,O$11:O$2484)</f>
        <v>132743.88</v>
      </c>
      <c r="P153" s="129">
        <f>SUMIF($Y$11:$Y$2484,G153,P$11:P$2484)</f>
        <v>132743.88</v>
      </c>
      <c r="Q153" s="129"/>
      <c r="R153" s="10"/>
      <c r="S153" s="129">
        <v>0</v>
      </c>
      <c r="T153" s="129">
        <f t="shared" si="76"/>
        <v>0</v>
      </c>
      <c r="U153" s="128"/>
      <c r="V153" s="175"/>
      <c r="W153" s="10"/>
      <c r="X153" s="10"/>
      <c r="Z153" t="str">
        <f>LEFT(G153,2)</f>
        <v>13</v>
      </c>
      <c r="AA153" t="str">
        <f>+Z153&amp;"00"</f>
        <v>1300</v>
      </c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</row>
    <row r="154" spans="1:38">
      <c r="A154" s="10"/>
      <c r="B154" s="10" t="str">
        <f>+C154&amp;E154</f>
        <v>Above the LineFringes</v>
      </c>
      <c r="C154" t="s">
        <v>7</v>
      </c>
      <c r="D154" t="s">
        <v>19</v>
      </c>
      <c r="E154" t="s">
        <v>1898</v>
      </c>
      <c r="F154" s="171" t="s">
        <v>355</v>
      </c>
      <c r="G154" t="s">
        <v>1415</v>
      </c>
      <c r="I154" s="10"/>
      <c r="J154" s="107">
        <f>SUMIF(Data!C:C,G154,Data!Q:Q)</f>
        <v>0</v>
      </c>
      <c r="K154" s="107">
        <f>SUMIF(Comprometidos!A:A,'Cost Report'!G154,Comprometidos!E:E)</f>
        <v>0</v>
      </c>
      <c r="L154" s="107">
        <f>+J154+K154</f>
        <v>0</v>
      </c>
      <c r="M154" s="107">
        <v>0</v>
      </c>
      <c r="N154" s="107">
        <f>+L154+M154</f>
        <v>0</v>
      </c>
      <c r="O154" s="107">
        <f>VLOOKUP(G154,Budget!$E$3:$G$2474,3,0)</f>
        <v>132743.88</v>
      </c>
      <c r="P154" s="107">
        <f t="shared" ref="P154:P214" si="85">+O154-N154</f>
        <v>132743.88</v>
      </c>
      <c r="Q154" s="107"/>
      <c r="R154" s="10"/>
      <c r="S154" s="107">
        <v>0</v>
      </c>
      <c r="T154" s="107">
        <f t="shared" si="76"/>
        <v>0</v>
      </c>
      <c r="U154" s="107"/>
      <c r="V154" s="175"/>
      <c r="W154" s="10"/>
      <c r="X154" s="10"/>
      <c r="Y154" t="str">
        <f>LEFT(G154,4)</f>
        <v>1399</v>
      </c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</row>
    <row r="155" spans="1:38">
      <c r="A155" s="10"/>
      <c r="B155" s="10"/>
      <c r="C155" s="170" t="s">
        <v>7</v>
      </c>
      <c r="D155" s="170" t="s">
        <v>8</v>
      </c>
      <c r="E155" s="170"/>
      <c r="F155" s="170"/>
      <c r="G155" s="170" t="s">
        <v>276</v>
      </c>
      <c r="H155" s="170"/>
      <c r="I155" s="10"/>
      <c r="J155" s="169">
        <f>SUMIF($AA$10:$AA$2484,G155,J$10:J$2484)</f>
        <v>13899922.025000002</v>
      </c>
      <c r="K155" s="169">
        <f>SUMIF($AA$10:$AA$2484,G155,K$10:K$2484)</f>
        <v>0</v>
      </c>
      <c r="L155" s="169">
        <f>SUMIF($AA$10:$AA$2484,G155,L$10:L$2484)</f>
        <v>13899922.025000002</v>
      </c>
      <c r="M155" s="169">
        <f>SUMIF($AA$10:$AA$2484,G155,M$10:M$2484)</f>
        <v>0</v>
      </c>
      <c r="N155" s="169">
        <f>SUMIF($AA$10:$AA$2484,G155,N$10:N$2484)</f>
        <v>13899922.025000002</v>
      </c>
      <c r="O155" s="169">
        <f>SUMIF($AA$10:$AA$2484,G155,O$10:O$2484)</f>
        <v>11960556.35</v>
      </c>
      <c r="P155" s="168">
        <f>SUMIF($AA$10:$AA$2484,G155,P$10:P$2484)</f>
        <v>-1939365.6749999998</v>
      </c>
      <c r="Q155" s="169"/>
      <c r="R155" s="10"/>
      <c r="S155" s="164">
        <v>13897164.818000004</v>
      </c>
      <c r="T155" s="164">
        <f t="shared" si="76"/>
        <v>-2757.2069999985397</v>
      </c>
      <c r="U155" s="163"/>
      <c r="V155" s="175"/>
      <c r="W155" s="10"/>
      <c r="X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</row>
    <row r="156" spans="1:38">
      <c r="A156" s="10"/>
      <c r="B156" s="10" t="str">
        <f>+C156</f>
        <v>Above the Line</v>
      </c>
      <c r="C156" s="128" t="s">
        <v>7</v>
      </c>
      <c r="D156" s="128" t="s">
        <v>2117</v>
      </c>
      <c r="E156" s="128"/>
      <c r="F156" s="128"/>
      <c r="G156" s="128" t="s">
        <v>277</v>
      </c>
      <c r="H156" s="128"/>
      <c r="I156" s="10"/>
      <c r="J156" s="129">
        <f>SUMIF($Y$11:$Y$2484,G156,J$11:J$2484)</f>
        <v>8807210.2000000011</v>
      </c>
      <c r="K156" s="129">
        <f>SUMIF($Y$11:$Y$2484,G156,K$11:K$2484)</f>
        <v>0</v>
      </c>
      <c r="L156" s="129">
        <f>SUMIF($Y$11:$Y$2484,G156,L$11:L$2484)</f>
        <v>8807210.2000000011</v>
      </c>
      <c r="M156" s="129">
        <f>SUMIF($Y$11:$Y$2484,G156,M$11:M$2484)</f>
        <v>0</v>
      </c>
      <c r="N156" s="129">
        <f>SUMIF($Y$11:$Y$2484,G156,N$11:N$2484)</f>
        <v>8807210.2000000011</v>
      </c>
      <c r="O156" s="129">
        <f>SUMIF($Y$11:$Y$2484,G156,O$11:O$2484)</f>
        <v>7612289</v>
      </c>
      <c r="P156" s="129">
        <f>SUMIF($Y$11:$Y$2484,G156,P$11:P$2484)</f>
        <v>-1194921.1999999997</v>
      </c>
      <c r="Q156" s="129"/>
      <c r="R156" s="10"/>
      <c r="S156" s="129">
        <v>8807210.2000000011</v>
      </c>
      <c r="T156" s="129">
        <f t="shared" si="76"/>
        <v>0</v>
      </c>
      <c r="U156" s="128"/>
      <c r="V156" s="175"/>
      <c r="W156" s="10"/>
      <c r="X156" s="10"/>
      <c r="Z156" t="str">
        <f>LEFT(G156,2)</f>
        <v>14</v>
      </c>
      <c r="AA156" t="str">
        <f>+Z156&amp;"00"</f>
        <v>1400</v>
      </c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</row>
    <row r="157" spans="1:38">
      <c r="A157" s="10"/>
      <c r="B157" s="10" t="str">
        <f t="shared" ref="B157:B214" si="86">+C157&amp;E157</f>
        <v>Above the LineSHOOT</v>
      </c>
      <c r="C157" t="s">
        <v>7</v>
      </c>
      <c r="D157" t="s">
        <v>19</v>
      </c>
      <c r="E157" t="s">
        <v>236</v>
      </c>
      <c r="G157" t="s">
        <v>278</v>
      </c>
      <c r="I157" s="10"/>
      <c r="J157" s="107">
        <f>SUMIF(Data!C:C,G157,Data!Q:Q)</f>
        <v>1848000</v>
      </c>
      <c r="K157" s="107">
        <f>SUMIF(Comprometidos!A:A,'Cost Report'!G157,Comprometidos!E:E)</f>
        <v>0</v>
      </c>
      <c r="L157" s="107">
        <f t="shared" ref="L157:L214" si="87">+J157+K157</f>
        <v>1848000</v>
      </c>
      <c r="M157" s="107">
        <f t="shared" ref="M157:M210" si="88">+O157-L157</f>
        <v>0</v>
      </c>
      <c r="N157" s="107">
        <f t="shared" ref="N157:N214" si="89">+L157+M157</f>
        <v>1848000</v>
      </c>
      <c r="O157" s="107">
        <f>VLOOKUP(G157,Budget!$E$3:$G$2474,3,0)</f>
        <v>1848000</v>
      </c>
      <c r="P157" s="107">
        <f t="shared" si="85"/>
        <v>0</v>
      </c>
      <c r="Q157" s="107"/>
      <c r="R157" s="10"/>
      <c r="S157" s="107">
        <v>1848000</v>
      </c>
      <c r="T157" s="107">
        <f t="shared" si="76"/>
        <v>0</v>
      </c>
      <c r="U157" s="107"/>
      <c r="V157" s="175"/>
      <c r="W157" s="10"/>
      <c r="X157" s="10"/>
      <c r="Y157" t="str">
        <f t="shared" ref="Y157:Y214" si="90">LEFT(G157,4)</f>
        <v>1401</v>
      </c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</row>
    <row r="158" spans="1:38">
      <c r="A158" s="10"/>
      <c r="B158" s="10" t="str">
        <f t="shared" si="86"/>
        <v>Above the LineSHOOT</v>
      </c>
      <c r="C158" t="s">
        <v>7</v>
      </c>
      <c r="D158" t="s">
        <v>19</v>
      </c>
      <c r="E158" t="s">
        <v>236</v>
      </c>
      <c r="F158" t="s">
        <v>355</v>
      </c>
      <c r="G158" t="s">
        <v>279</v>
      </c>
      <c r="I158" s="10"/>
      <c r="J158" s="107">
        <f>SUMIF(Data!C:C,G158,Data!Q:Q)</f>
        <v>176705.58000000002</v>
      </c>
      <c r="K158" s="107">
        <f>SUMIF(Comprometidos!A:A,'Cost Report'!G158,Comprometidos!E:E)</f>
        <v>0</v>
      </c>
      <c r="L158" s="107">
        <f t="shared" si="87"/>
        <v>176705.58000000002</v>
      </c>
      <c r="M158" s="107">
        <v>0</v>
      </c>
      <c r="N158" s="107">
        <f t="shared" si="89"/>
        <v>176705.58000000002</v>
      </c>
      <c r="O158" s="107">
        <f>VLOOKUP(G158,Budget!$E$3:$G$2474,3,0)</f>
        <v>127998</v>
      </c>
      <c r="P158" s="107">
        <f t="shared" si="85"/>
        <v>-48707.580000000016</v>
      </c>
      <c r="Q158" s="107"/>
      <c r="R158" s="10"/>
      <c r="S158" s="107">
        <v>176705.58000000002</v>
      </c>
      <c r="T158" s="107">
        <f t="shared" si="76"/>
        <v>0</v>
      </c>
      <c r="U158" s="107"/>
      <c r="V158" s="175"/>
      <c r="W158" s="10"/>
      <c r="X158" s="10"/>
      <c r="Y158" t="str">
        <f t="shared" si="90"/>
        <v>1401</v>
      </c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</row>
    <row r="159" spans="1:38">
      <c r="A159" s="10"/>
      <c r="B159" s="10" t="str">
        <f t="shared" si="86"/>
        <v>Above the LineSHOOT</v>
      </c>
      <c r="C159" t="s">
        <v>7</v>
      </c>
      <c r="D159" t="s">
        <v>19</v>
      </c>
      <c r="E159" t="s">
        <v>236</v>
      </c>
      <c r="G159" t="s">
        <v>280</v>
      </c>
      <c r="I159" s="10"/>
      <c r="J159" s="107">
        <f>SUMIF(Data!C:C,G159,Data!Q:Q)</f>
        <v>0</v>
      </c>
      <c r="K159" s="107">
        <f>SUMIF(Comprometidos!A:A,'Cost Report'!G159,Comprometidos!E:E)</f>
        <v>0</v>
      </c>
      <c r="L159" s="107">
        <f t="shared" si="87"/>
        <v>0</v>
      </c>
      <c r="M159" s="107">
        <f t="shared" si="88"/>
        <v>0</v>
      </c>
      <c r="N159" s="107">
        <f t="shared" si="89"/>
        <v>0</v>
      </c>
      <c r="O159" s="107">
        <f>VLOOKUP(G159,Budget!$E$3:$G$2474,3,0)</f>
        <v>0</v>
      </c>
      <c r="P159" s="107">
        <f t="shared" si="85"/>
        <v>0</v>
      </c>
      <c r="Q159" s="107"/>
      <c r="R159" s="10"/>
      <c r="S159" s="107">
        <v>0</v>
      </c>
      <c r="T159" s="107">
        <f t="shared" si="76"/>
        <v>0</v>
      </c>
      <c r="U159" s="107"/>
      <c r="V159" s="175"/>
      <c r="W159" s="10"/>
      <c r="X159" s="10"/>
      <c r="Y159" t="str">
        <f t="shared" si="90"/>
        <v>1401</v>
      </c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</row>
    <row r="160" spans="1:38">
      <c r="A160" s="10"/>
      <c r="B160" s="10" t="str">
        <f t="shared" si="86"/>
        <v>Above the LineSHOOT</v>
      </c>
      <c r="C160" t="s">
        <v>7</v>
      </c>
      <c r="D160" t="s">
        <v>19</v>
      </c>
      <c r="E160" t="s">
        <v>236</v>
      </c>
      <c r="G160" t="s">
        <v>281</v>
      </c>
      <c r="I160" s="10"/>
      <c r="J160" s="107">
        <f>SUMIF(Data!C:C,G160,Data!Q:Q)</f>
        <v>0</v>
      </c>
      <c r="K160" s="107">
        <f>SUMIF(Comprometidos!A:A,'Cost Report'!G160,Comprometidos!E:E)</f>
        <v>0</v>
      </c>
      <c r="L160" s="107">
        <f t="shared" si="87"/>
        <v>0</v>
      </c>
      <c r="M160" s="107">
        <f t="shared" si="88"/>
        <v>0</v>
      </c>
      <c r="N160" s="107">
        <f t="shared" si="89"/>
        <v>0</v>
      </c>
      <c r="O160" s="107">
        <f>VLOOKUP(G160,Budget!$E$3:$G$2474,3,0)</f>
        <v>0</v>
      </c>
      <c r="P160" s="107">
        <f t="shared" si="85"/>
        <v>0</v>
      </c>
      <c r="Q160" s="107"/>
      <c r="R160" s="10"/>
      <c r="S160" s="107">
        <v>0</v>
      </c>
      <c r="T160" s="107">
        <f t="shared" si="76"/>
        <v>0</v>
      </c>
      <c r="U160" s="107"/>
      <c r="V160" s="175"/>
      <c r="W160" s="10"/>
      <c r="X160" s="10"/>
      <c r="Y160" t="str">
        <f t="shared" si="90"/>
        <v>1401</v>
      </c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</row>
    <row r="161" spans="1:38">
      <c r="A161" s="10"/>
      <c r="B161" s="10" t="str">
        <f t="shared" si="86"/>
        <v>Above the LineSHOOT</v>
      </c>
      <c r="C161" t="s">
        <v>7</v>
      </c>
      <c r="D161" t="s">
        <v>19</v>
      </c>
      <c r="E161" t="s">
        <v>236</v>
      </c>
      <c r="F161" t="s">
        <v>355</v>
      </c>
      <c r="G161" t="s">
        <v>282</v>
      </c>
      <c r="I161" s="10"/>
      <c r="J161" s="107">
        <f>SUMIF(Data!C:C,G161,Data!Q:Q)</f>
        <v>30363.4</v>
      </c>
      <c r="K161" s="107">
        <f>SUMIF(Comprometidos!A:A,'Cost Report'!G161,Comprometidos!E:E)</f>
        <v>0</v>
      </c>
      <c r="L161" s="107">
        <f t="shared" si="87"/>
        <v>30363.4</v>
      </c>
      <c r="M161" s="107">
        <v>0</v>
      </c>
      <c r="N161" s="107">
        <f t="shared" si="89"/>
        <v>30363.4</v>
      </c>
      <c r="O161" s="107">
        <f>VLOOKUP(G161,Budget!$E$3:$G$2474,3,0)</f>
        <v>22974</v>
      </c>
      <c r="P161" s="107">
        <f t="shared" si="85"/>
        <v>-7389.4000000000015</v>
      </c>
      <c r="Q161" s="107"/>
      <c r="R161" s="10"/>
      <c r="S161" s="107">
        <v>30363.4</v>
      </c>
      <c r="T161" s="107">
        <f t="shared" si="76"/>
        <v>0</v>
      </c>
      <c r="U161" s="107"/>
      <c r="V161" s="175"/>
      <c r="W161" s="10"/>
      <c r="X161" s="10"/>
      <c r="Y161" t="str">
        <f t="shared" si="90"/>
        <v>1401</v>
      </c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</row>
    <row r="162" spans="1:38">
      <c r="A162" s="10"/>
      <c r="B162" s="10" t="str">
        <f t="shared" si="86"/>
        <v>Above the LineSHOOT</v>
      </c>
      <c r="C162" t="s">
        <v>7</v>
      </c>
      <c r="D162" t="s">
        <v>19</v>
      </c>
      <c r="E162" t="s">
        <v>236</v>
      </c>
      <c r="F162" t="s">
        <v>355</v>
      </c>
      <c r="G162" t="s">
        <v>283</v>
      </c>
      <c r="I162" s="10"/>
      <c r="J162" s="107">
        <f>SUMIF(Data!C:C,G162,Data!Q:Q)</f>
        <v>101882.51</v>
      </c>
      <c r="K162" s="107">
        <f>SUMIF(Comprometidos!A:A,'Cost Report'!G162,Comprometidos!E:E)</f>
        <v>0</v>
      </c>
      <c r="L162" s="107">
        <f t="shared" si="87"/>
        <v>101882.51</v>
      </c>
      <c r="M162" s="107">
        <v>0</v>
      </c>
      <c r="N162" s="107">
        <f t="shared" si="89"/>
        <v>101882.51</v>
      </c>
      <c r="O162" s="107">
        <f>VLOOKUP(G162,Budget!$E$3:$G$2474,3,0)</f>
        <v>39384</v>
      </c>
      <c r="P162" s="107">
        <f t="shared" si="85"/>
        <v>-62498.509999999995</v>
      </c>
      <c r="Q162" s="107"/>
      <c r="R162" s="10"/>
      <c r="S162" s="107">
        <v>101882.51</v>
      </c>
      <c r="T162" s="107">
        <f t="shared" si="76"/>
        <v>0</v>
      </c>
      <c r="U162" s="107"/>
      <c r="V162" s="175"/>
      <c r="W162" s="10"/>
      <c r="X162" s="10"/>
      <c r="Y162" t="str">
        <f t="shared" si="90"/>
        <v>1401</v>
      </c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</row>
    <row r="163" spans="1:38">
      <c r="A163" s="10"/>
      <c r="B163" s="10" t="str">
        <f t="shared" si="86"/>
        <v>Above the LineSHOOT</v>
      </c>
      <c r="C163" t="s">
        <v>7</v>
      </c>
      <c r="D163" t="s">
        <v>19</v>
      </c>
      <c r="E163" t="s">
        <v>236</v>
      </c>
      <c r="F163" t="s">
        <v>355</v>
      </c>
      <c r="G163" t="s">
        <v>284</v>
      </c>
      <c r="I163" s="10"/>
      <c r="J163" s="107">
        <f>SUMIF(Data!C:C,G163,Data!Q:Q)</f>
        <v>0</v>
      </c>
      <c r="K163" s="107">
        <f>SUMIF(Comprometidos!A:A,'Cost Report'!G163,Comprometidos!E:E)</f>
        <v>0</v>
      </c>
      <c r="L163" s="107">
        <f t="shared" si="87"/>
        <v>0</v>
      </c>
      <c r="M163" s="107">
        <v>0</v>
      </c>
      <c r="N163" s="107">
        <f t="shared" si="89"/>
        <v>0</v>
      </c>
      <c r="O163" s="107">
        <f>VLOOKUP(G163,Budget!$E$3:$G$2474,3,0)</f>
        <v>14700</v>
      </c>
      <c r="P163" s="107">
        <f t="shared" si="85"/>
        <v>14700</v>
      </c>
      <c r="Q163" s="107"/>
      <c r="R163" s="10"/>
      <c r="S163" s="107">
        <v>0</v>
      </c>
      <c r="T163" s="107">
        <f t="shared" si="76"/>
        <v>0</v>
      </c>
      <c r="U163" s="107"/>
      <c r="V163" s="175"/>
      <c r="W163" s="10"/>
      <c r="X163" s="10"/>
      <c r="Y163" t="str">
        <f t="shared" si="90"/>
        <v>1401</v>
      </c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</row>
    <row r="164" spans="1:38">
      <c r="A164" s="10"/>
      <c r="B164" s="10" t="str">
        <f t="shared" si="86"/>
        <v>Above the LineSHOOT</v>
      </c>
      <c r="C164" t="s">
        <v>7</v>
      </c>
      <c r="D164" t="s">
        <v>19</v>
      </c>
      <c r="E164" t="s">
        <v>236</v>
      </c>
      <c r="G164" t="s">
        <v>285</v>
      </c>
      <c r="I164" s="10"/>
      <c r="J164" s="107">
        <f>SUMIF(Data!C:C,G164,Data!Q:Q)</f>
        <v>1000000</v>
      </c>
      <c r="K164" s="107">
        <f>SUMIF(Comprometidos!A:A,'Cost Report'!G164,Comprometidos!E:E)</f>
        <v>0</v>
      </c>
      <c r="L164" s="107">
        <f t="shared" si="87"/>
        <v>1000000</v>
      </c>
      <c r="M164" s="107">
        <f t="shared" si="88"/>
        <v>0</v>
      </c>
      <c r="N164" s="107">
        <f t="shared" si="89"/>
        <v>1000000</v>
      </c>
      <c r="O164" s="107">
        <f>VLOOKUP(G164,Budget!$E$3:$G$2474,3,0)</f>
        <v>1000000</v>
      </c>
      <c r="P164" s="107">
        <f t="shared" si="85"/>
        <v>0</v>
      </c>
      <c r="Q164" s="107"/>
      <c r="R164" s="10"/>
      <c r="S164" s="107">
        <v>1000000</v>
      </c>
      <c r="T164" s="107">
        <f t="shared" si="76"/>
        <v>0</v>
      </c>
      <c r="U164" s="107"/>
      <c r="V164" s="175"/>
      <c r="W164" s="10"/>
      <c r="X164" s="10"/>
      <c r="Y164" t="str">
        <f t="shared" si="90"/>
        <v>1401</v>
      </c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</row>
    <row r="165" spans="1:38">
      <c r="A165" s="10"/>
      <c r="B165" s="10" t="str">
        <f t="shared" si="86"/>
        <v>Above the LineSHOOT</v>
      </c>
      <c r="C165" t="s">
        <v>7</v>
      </c>
      <c r="D165" t="s">
        <v>19</v>
      </c>
      <c r="E165" t="s">
        <v>236</v>
      </c>
      <c r="F165" t="s">
        <v>355</v>
      </c>
      <c r="G165" t="s">
        <v>286</v>
      </c>
      <c r="I165" s="10"/>
      <c r="J165" s="107">
        <f>SUMIF(Data!C:C,G165,Data!Q:Q)</f>
        <v>209879.56</v>
      </c>
      <c r="K165" s="107">
        <f>SUMIF(Comprometidos!A:A,'Cost Report'!G165,Comprometidos!E:E)</f>
        <v>0</v>
      </c>
      <c r="L165" s="107">
        <f t="shared" si="87"/>
        <v>209879.56</v>
      </c>
      <c r="M165" s="107">
        <v>0</v>
      </c>
      <c r="N165" s="107">
        <f t="shared" si="89"/>
        <v>209879.56</v>
      </c>
      <c r="O165" s="107">
        <f>VLOOKUP(G165,Budget!$E$3:$G$2474,3,0)</f>
        <v>118152</v>
      </c>
      <c r="P165" s="107">
        <f t="shared" si="85"/>
        <v>-91727.56</v>
      </c>
      <c r="Q165" s="107"/>
      <c r="R165" s="10"/>
      <c r="S165" s="107">
        <v>209879.56</v>
      </c>
      <c r="T165" s="107">
        <f t="shared" si="76"/>
        <v>0</v>
      </c>
      <c r="U165" s="107"/>
      <c r="V165" s="175"/>
      <c r="W165" s="10"/>
      <c r="X165" s="10"/>
      <c r="Y165" t="str">
        <f t="shared" si="90"/>
        <v>1401</v>
      </c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</row>
    <row r="166" spans="1:38">
      <c r="A166" s="10"/>
      <c r="B166" s="10" t="str">
        <f t="shared" si="86"/>
        <v>Above the LineSHOOT</v>
      </c>
      <c r="C166" t="s">
        <v>7</v>
      </c>
      <c r="D166" t="s">
        <v>19</v>
      </c>
      <c r="E166" t="s">
        <v>236</v>
      </c>
      <c r="G166" t="s">
        <v>287</v>
      </c>
      <c r="I166" s="10"/>
      <c r="J166" s="107">
        <f>SUMIF(Data!C:C,G166,Data!Q:Q)</f>
        <v>0</v>
      </c>
      <c r="K166" s="107">
        <f>SUMIF(Comprometidos!A:A,'Cost Report'!G166,Comprometidos!E:E)</f>
        <v>0</v>
      </c>
      <c r="L166" s="107">
        <f t="shared" si="87"/>
        <v>0</v>
      </c>
      <c r="M166" s="107">
        <f t="shared" si="88"/>
        <v>0</v>
      </c>
      <c r="N166" s="107">
        <f t="shared" si="89"/>
        <v>0</v>
      </c>
      <c r="O166" s="107">
        <f>VLOOKUP(G166,Budget!$E$3:$G$2474,3,0)</f>
        <v>0</v>
      </c>
      <c r="P166" s="107">
        <f t="shared" si="85"/>
        <v>0</v>
      </c>
      <c r="Q166" s="107"/>
      <c r="R166" s="10"/>
      <c r="S166" s="107">
        <v>0</v>
      </c>
      <c r="T166" s="107">
        <f t="shared" si="76"/>
        <v>0</v>
      </c>
      <c r="U166" s="107"/>
      <c r="V166" s="175"/>
      <c r="W166" s="10"/>
      <c r="X166" s="10"/>
      <c r="Y166" t="str">
        <f t="shared" si="90"/>
        <v>1401</v>
      </c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</row>
    <row r="167" spans="1:38">
      <c r="A167" s="10"/>
      <c r="B167" s="10" t="str">
        <f t="shared" si="86"/>
        <v>Above the LineSHOOT</v>
      </c>
      <c r="C167" t="s">
        <v>7</v>
      </c>
      <c r="D167" t="s">
        <v>19</v>
      </c>
      <c r="E167" t="s">
        <v>236</v>
      </c>
      <c r="G167" t="s">
        <v>288</v>
      </c>
      <c r="I167" s="10"/>
      <c r="J167" s="107">
        <f>SUMIF(Data!C:C,G167,Data!Q:Q)</f>
        <v>0</v>
      </c>
      <c r="K167" s="107">
        <f>SUMIF(Comprometidos!A:A,'Cost Report'!G167,Comprometidos!E:E)</f>
        <v>0</v>
      </c>
      <c r="L167" s="107">
        <f t="shared" si="87"/>
        <v>0</v>
      </c>
      <c r="M167" s="107">
        <f t="shared" si="88"/>
        <v>0</v>
      </c>
      <c r="N167" s="107">
        <f t="shared" si="89"/>
        <v>0</v>
      </c>
      <c r="O167" s="107">
        <f>VLOOKUP(G167,Budget!$E$3:$G$2474,3,0)</f>
        <v>0</v>
      </c>
      <c r="P167" s="107">
        <f t="shared" si="85"/>
        <v>0</v>
      </c>
      <c r="Q167" s="107"/>
      <c r="R167" s="10"/>
      <c r="S167" s="107">
        <v>0</v>
      </c>
      <c r="T167" s="107">
        <f t="shared" si="76"/>
        <v>0</v>
      </c>
      <c r="U167" s="107"/>
      <c r="V167" s="175"/>
      <c r="W167" s="10"/>
      <c r="X167" s="10"/>
      <c r="Y167" t="str">
        <f t="shared" si="90"/>
        <v>1401</v>
      </c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</row>
    <row r="168" spans="1:38">
      <c r="A168" s="10"/>
      <c r="B168" s="10" t="str">
        <f t="shared" si="86"/>
        <v>Above the LineSHOOT</v>
      </c>
      <c r="C168" t="s">
        <v>7</v>
      </c>
      <c r="D168" t="s">
        <v>19</v>
      </c>
      <c r="E168" t="s">
        <v>236</v>
      </c>
      <c r="F168" t="s">
        <v>355</v>
      </c>
      <c r="G168" t="s">
        <v>289</v>
      </c>
      <c r="I168" s="10"/>
      <c r="J168" s="107">
        <f>SUMIF(Data!C:C,G168,Data!Q:Q)</f>
        <v>35066.58</v>
      </c>
      <c r="K168" s="107">
        <f>SUMIF(Comprometidos!A:A,'Cost Report'!G168,Comprometidos!E:E)</f>
        <v>0</v>
      </c>
      <c r="L168" s="107">
        <f t="shared" si="87"/>
        <v>35066.58</v>
      </c>
      <c r="M168" s="107">
        <v>0</v>
      </c>
      <c r="N168" s="107">
        <f t="shared" si="89"/>
        <v>35066.58</v>
      </c>
      <c r="O168" s="107">
        <f>VLOOKUP(G168,Budget!$E$3:$G$2474,3,0)</f>
        <v>22974</v>
      </c>
      <c r="P168" s="107">
        <f t="shared" si="85"/>
        <v>-12092.580000000002</v>
      </c>
      <c r="Q168" s="107"/>
      <c r="R168" s="10"/>
      <c r="S168" s="107">
        <v>35066.58</v>
      </c>
      <c r="T168" s="107">
        <f t="shared" si="76"/>
        <v>0</v>
      </c>
      <c r="U168" s="107"/>
      <c r="V168" s="175"/>
      <c r="W168" s="10"/>
      <c r="X168" s="10"/>
      <c r="Y168" t="str">
        <f t="shared" si="90"/>
        <v>1401</v>
      </c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</row>
    <row r="169" spans="1:38">
      <c r="A169" s="10"/>
      <c r="B169" s="10" t="str">
        <f t="shared" si="86"/>
        <v>Above the LineSHOOT</v>
      </c>
      <c r="C169" t="s">
        <v>7</v>
      </c>
      <c r="D169" t="s">
        <v>19</v>
      </c>
      <c r="E169" t="s">
        <v>236</v>
      </c>
      <c r="F169" t="s">
        <v>355</v>
      </c>
      <c r="G169" t="s">
        <v>290</v>
      </c>
      <c r="I169" s="10"/>
      <c r="J169" s="107">
        <f>SUMIF(Data!C:C,G169,Data!Q:Q)</f>
        <v>123218.71</v>
      </c>
      <c r="K169" s="107">
        <f>SUMIF(Comprometidos!A:A,'Cost Report'!G169,Comprometidos!E:E)</f>
        <v>0</v>
      </c>
      <c r="L169" s="107">
        <f t="shared" si="87"/>
        <v>123218.71</v>
      </c>
      <c r="M169" s="107">
        <v>0</v>
      </c>
      <c r="N169" s="107">
        <f t="shared" si="89"/>
        <v>123218.71</v>
      </c>
      <c r="O169" s="107">
        <f>VLOOKUP(G169,Budget!$E$3:$G$2474,3,0)</f>
        <v>36102</v>
      </c>
      <c r="P169" s="107">
        <f t="shared" si="85"/>
        <v>-87116.71</v>
      </c>
      <c r="Q169" s="107"/>
      <c r="R169" s="10"/>
      <c r="S169" s="107">
        <v>123218.71</v>
      </c>
      <c r="T169" s="107">
        <f t="shared" si="76"/>
        <v>0</v>
      </c>
      <c r="U169" s="107"/>
      <c r="V169" s="175"/>
      <c r="W169" s="10"/>
      <c r="X169" s="10"/>
      <c r="Y169" t="str">
        <f t="shared" si="90"/>
        <v>1401</v>
      </c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</row>
    <row r="170" spans="1:38">
      <c r="A170" s="10"/>
      <c r="B170" s="10" t="str">
        <f t="shared" si="86"/>
        <v>Above the LineSHOOT</v>
      </c>
      <c r="C170" t="s">
        <v>7</v>
      </c>
      <c r="D170" t="s">
        <v>19</v>
      </c>
      <c r="E170" t="s">
        <v>236</v>
      </c>
      <c r="F170" t="s">
        <v>355</v>
      </c>
      <c r="G170" t="s">
        <v>291</v>
      </c>
      <c r="I170" s="10"/>
      <c r="J170" s="107">
        <f>SUMIF(Data!C:C,G170,Data!Q:Q)</f>
        <v>0</v>
      </c>
      <c r="K170" s="107">
        <f>SUMIF(Comprometidos!A:A,'Cost Report'!G170,Comprometidos!E:E)</f>
        <v>0</v>
      </c>
      <c r="L170" s="107">
        <f t="shared" si="87"/>
        <v>0</v>
      </c>
      <c r="M170" s="107">
        <v>0</v>
      </c>
      <c r="N170" s="107">
        <f t="shared" si="89"/>
        <v>0</v>
      </c>
      <c r="O170" s="107">
        <f>VLOOKUP(G170,Budget!$E$3:$G$2474,3,0)</f>
        <v>14700</v>
      </c>
      <c r="P170" s="107">
        <f t="shared" si="85"/>
        <v>14700</v>
      </c>
      <c r="Q170" s="107"/>
      <c r="R170" s="10"/>
      <c r="S170" s="107">
        <v>0</v>
      </c>
      <c r="T170" s="107">
        <f t="shared" si="76"/>
        <v>0</v>
      </c>
      <c r="U170" s="107"/>
      <c r="V170" s="175"/>
      <c r="W170" s="10"/>
      <c r="X170" s="10"/>
      <c r="Y170" t="str">
        <f t="shared" si="90"/>
        <v>1401</v>
      </c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</row>
    <row r="171" spans="1:38">
      <c r="A171" s="10"/>
      <c r="B171" s="10" t="str">
        <f t="shared" si="86"/>
        <v>Above the LineSHOOT</v>
      </c>
      <c r="C171" t="s">
        <v>7</v>
      </c>
      <c r="D171" t="s">
        <v>19</v>
      </c>
      <c r="E171" t="s">
        <v>236</v>
      </c>
      <c r="G171" t="s">
        <v>292</v>
      </c>
      <c r="I171" s="10"/>
      <c r="J171" s="107">
        <f>SUMIF(Data!C:C,G171,Data!Q:Q)</f>
        <v>183747.9</v>
      </c>
      <c r="K171" s="107">
        <f>SUMIF(Comprometidos!A:A,'Cost Report'!G171,Comprometidos!E:E)</f>
        <v>0</v>
      </c>
      <c r="L171" s="107">
        <f t="shared" si="87"/>
        <v>183747.9</v>
      </c>
      <c r="M171" s="107">
        <v>0</v>
      </c>
      <c r="N171" s="107">
        <f t="shared" si="89"/>
        <v>183747.9</v>
      </c>
      <c r="O171" s="107">
        <f>VLOOKUP(G171,Budget!$E$3:$G$2474,3,0)</f>
        <v>210000</v>
      </c>
      <c r="P171" s="107">
        <f t="shared" si="85"/>
        <v>26252.100000000006</v>
      </c>
      <c r="Q171" s="107"/>
      <c r="R171" s="10"/>
      <c r="S171" s="107">
        <v>183747.9</v>
      </c>
      <c r="T171" s="107">
        <f t="shared" si="76"/>
        <v>0</v>
      </c>
      <c r="U171" s="107"/>
      <c r="V171" s="175"/>
      <c r="W171" s="10"/>
      <c r="X171" s="10"/>
      <c r="Y171" t="str">
        <f t="shared" si="90"/>
        <v>1401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</row>
    <row r="172" spans="1:38">
      <c r="A172" s="10"/>
      <c r="B172" s="10" t="str">
        <f t="shared" si="86"/>
        <v>Above the LineSHOOT</v>
      </c>
      <c r="C172" t="s">
        <v>7</v>
      </c>
      <c r="D172" t="s">
        <v>19</v>
      </c>
      <c r="E172" t="s">
        <v>236</v>
      </c>
      <c r="F172" t="s">
        <v>355</v>
      </c>
      <c r="G172" t="s">
        <v>293</v>
      </c>
      <c r="I172" s="10"/>
      <c r="J172" s="107">
        <f>SUMIF(Data!C:C,G172,Data!Q:Q)</f>
        <v>200330.51</v>
      </c>
      <c r="K172" s="107">
        <f>SUMIF(Comprometidos!A:A,'Cost Report'!G172,Comprometidos!E:E)</f>
        <v>0</v>
      </c>
      <c r="L172" s="107">
        <f t="shared" si="87"/>
        <v>200330.51</v>
      </c>
      <c r="M172" s="107">
        <v>0</v>
      </c>
      <c r="N172" s="107">
        <f t="shared" si="89"/>
        <v>200330.51</v>
      </c>
      <c r="O172" s="107">
        <f>VLOOKUP(G172,Budget!$E$3:$G$2474,3,0)</f>
        <v>96852</v>
      </c>
      <c r="P172" s="107">
        <f t="shared" si="85"/>
        <v>-103478.51000000001</v>
      </c>
      <c r="Q172" s="107"/>
      <c r="R172" s="10"/>
      <c r="S172" s="107">
        <v>200330.51</v>
      </c>
      <c r="T172" s="107">
        <f t="shared" si="76"/>
        <v>0</v>
      </c>
      <c r="U172" s="107"/>
      <c r="V172" s="175"/>
      <c r="W172" s="10"/>
      <c r="X172" s="10"/>
      <c r="Y172" t="str">
        <f t="shared" si="90"/>
        <v>1401</v>
      </c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</row>
    <row r="173" spans="1:38">
      <c r="A173" s="10"/>
      <c r="B173" s="10" t="str">
        <f t="shared" si="86"/>
        <v>Above the LineSHOOT</v>
      </c>
      <c r="C173" t="s">
        <v>7</v>
      </c>
      <c r="D173" t="s">
        <v>19</v>
      </c>
      <c r="E173" t="s">
        <v>236</v>
      </c>
      <c r="G173" t="s">
        <v>294</v>
      </c>
      <c r="I173" s="10"/>
      <c r="J173" s="107">
        <f>SUMIF(Data!C:C,G173,Data!Q:Q)</f>
        <v>0</v>
      </c>
      <c r="K173" s="107">
        <f>SUMIF(Comprometidos!A:A,'Cost Report'!G173,Comprometidos!E:E)</f>
        <v>0</v>
      </c>
      <c r="L173" s="107">
        <f t="shared" si="87"/>
        <v>0</v>
      </c>
      <c r="M173" s="107">
        <f t="shared" si="88"/>
        <v>0</v>
      </c>
      <c r="N173" s="107">
        <f t="shared" si="89"/>
        <v>0</v>
      </c>
      <c r="O173" s="107">
        <f>VLOOKUP(G173,Budget!$E$3:$G$2474,3,0)</f>
        <v>0</v>
      </c>
      <c r="P173" s="107">
        <f t="shared" si="85"/>
        <v>0</v>
      </c>
      <c r="Q173" s="107"/>
      <c r="R173" s="10"/>
      <c r="S173" s="107">
        <v>0</v>
      </c>
      <c r="T173" s="107">
        <f t="shared" si="76"/>
        <v>0</v>
      </c>
      <c r="U173" s="107"/>
      <c r="V173" s="175"/>
      <c r="W173" s="10"/>
      <c r="X173" s="10"/>
      <c r="Y173" t="str">
        <f t="shared" si="90"/>
        <v>1401</v>
      </c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</row>
    <row r="174" spans="1:38">
      <c r="A174" s="10"/>
      <c r="B174" s="10" t="str">
        <f t="shared" si="86"/>
        <v>Above the LineSHOOT</v>
      </c>
      <c r="C174" t="s">
        <v>7</v>
      </c>
      <c r="D174" t="s">
        <v>19</v>
      </c>
      <c r="E174" t="s">
        <v>236</v>
      </c>
      <c r="G174" t="s">
        <v>295</v>
      </c>
      <c r="I174" s="10"/>
      <c r="J174" s="107">
        <f>SUMIF(Data!C:C,G174,Data!Q:Q)</f>
        <v>0</v>
      </c>
      <c r="K174" s="107">
        <f>SUMIF(Comprometidos!A:A,'Cost Report'!G174,Comprometidos!E:E)</f>
        <v>0</v>
      </c>
      <c r="L174" s="107">
        <f t="shared" si="87"/>
        <v>0</v>
      </c>
      <c r="M174" s="107">
        <f t="shared" si="88"/>
        <v>0</v>
      </c>
      <c r="N174" s="107">
        <f t="shared" si="89"/>
        <v>0</v>
      </c>
      <c r="O174" s="107">
        <f>VLOOKUP(G174,Budget!$E$3:$G$2474,3,0)</f>
        <v>0</v>
      </c>
      <c r="P174" s="107">
        <f t="shared" si="85"/>
        <v>0</v>
      </c>
      <c r="Q174" s="107"/>
      <c r="R174" s="10"/>
      <c r="S174" s="107">
        <v>0</v>
      </c>
      <c r="T174" s="107">
        <f t="shared" si="76"/>
        <v>0</v>
      </c>
      <c r="U174" s="107"/>
      <c r="V174" s="175"/>
      <c r="W174" s="10"/>
      <c r="X174" s="10"/>
      <c r="Y174" t="str">
        <f t="shared" si="90"/>
        <v>1401</v>
      </c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</row>
    <row r="175" spans="1:38">
      <c r="A175" s="10"/>
      <c r="B175" s="10" t="str">
        <f t="shared" si="86"/>
        <v>Above the LineSHOOT</v>
      </c>
      <c r="C175" t="s">
        <v>7</v>
      </c>
      <c r="D175" t="s">
        <v>19</v>
      </c>
      <c r="E175" t="s">
        <v>236</v>
      </c>
      <c r="F175" t="s">
        <v>355</v>
      </c>
      <c r="G175" t="s">
        <v>296</v>
      </c>
      <c r="I175" s="10"/>
      <c r="J175" s="107">
        <f>SUMIF(Data!C:C,G175,Data!Q:Q)</f>
        <v>39558.020000000004</v>
      </c>
      <c r="K175" s="107">
        <f>SUMIF(Comprometidos!A:A,'Cost Report'!G175,Comprometidos!E:E)</f>
        <v>0</v>
      </c>
      <c r="L175" s="107">
        <f t="shared" si="87"/>
        <v>39558.020000000004</v>
      </c>
      <c r="M175" s="107">
        <v>0</v>
      </c>
      <c r="N175" s="107">
        <f t="shared" si="89"/>
        <v>39558.020000000004</v>
      </c>
      <c r="O175" s="107">
        <f>VLOOKUP(G175,Budget!$E$3:$G$2474,3,0)</f>
        <v>32284</v>
      </c>
      <c r="P175" s="107">
        <f t="shared" si="85"/>
        <v>-7274.0200000000041</v>
      </c>
      <c r="Q175" s="107"/>
      <c r="R175" s="10"/>
      <c r="S175" s="107">
        <v>39558.020000000004</v>
      </c>
      <c r="T175" s="107">
        <f t="shared" si="76"/>
        <v>0</v>
      </c>
      <c r="U175" s="107"/>
      <c r="V175" s="175"/>
      <c r="W175" s="10"/>
      <c r="X175" s="10"/>
      <c r="Y175" t="str">
        <f t="shared" si="90"/>
        <v>1401</v>
      </c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</row>
    <row r="176" spans="1:38">
      <c r="A176" s="10"/>
      <c r="B176" s="10" t="str">
        <f t="shared" si="86"/>
        <v>Above the LineSHOOT</v>
      </c>
      <c r="C176" t="s">
        <v>7</v>
      </c>
      <c r="D176" t="s">
        <v>19</v>
      </c>
      <c r="E176" t="s">
        <v>236</v>
      </c>
      <c r="F176" t="s">
        <v>355</v>
      </c>
      <c r="G176" t="s">
        <v>297</v>
      </c>
      <c r="I176" s="10"/>
      <c r="J176" s="107">
        <f>SUMIF(Data!C:C,G176,Data!Q:Q)</f>
        <v>95278.22</v>
      </c>
      <c r="K176" s="107">
        <f>SUMIF(Comprometidos!A:A,'Cost Report'!G176,Comprometidos!E:E)</f>
        <v>0</v>
      </c>
      <c r="L176" s="107">
        <f t="shared" si="87"/>
        <v>95278.22</v>
      </c>
      <c r="M176" s="107">
        <v>0</v>
      </c>
      <c r="N176" s="107">
        <f t="shared" si="89"/>
        <v>95278.22</v>
      </c>
      <c r="O176" s="107">
        <f>VLOOKUP(G176,Budget!$E$3:$G$2474,3,0)</f>
        <v>32284</v>
      </c>
      <c r="P176" s="107">
        <f t="shared" si="85"/>
        <v>-62994.22</v>
      </c>
      <c r="Q176" s="107"/>
      <c r="R176" s="10"/>
      <c r="S176" s="107">
        <v>95278.22</v>
      </c>
      <c r="T176" s="107">
        <f t="shared" si="76"/>
        <v>0</v>
      </c>
      <c r="U176" s="107"/>
      <c r="V176" s="175"/>
      <c r="W176" s="10"/>
      <c r="X176" s="10"/>
      <c r="Y176" t="str">
        <f t="shared" si="90"/>
        <v>1401</v>
      </c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1:38">
      <c r="A177" s="10"/>
      <c r="B177" s="10" t="str">
        <f t="shared" si="86"/>
        <v>Above the LineSHOOT</v>
      </c>
      <c r="C177" t="s">
        <v>7</v>
      </c>
      <c r="D177" t="s">
        <v>19</v>
      </c>
      <c r="E177" t="s">
        <v>236</v>
      </c>
      <c r="F177" t="s">
        <v>355</v>
      </c>
      <c r="G177" t="s">
        <v>298</v>
      </c>
      <c r="I177" s="10"/>
      <c r="J177" s="107">
        <f>SUMIF(Data!C:C,G177,Data!Q:Q)</f>
        <v>0</v>
      </c>
      <c r="K177" s="107">
        <f>SUMIF(Comprometidos!A:A,'Cost Report'!G177,Comprometidos!E:E)</f>
        <v>0</v>
      </c>
      <c r="L177" s="107">
        <f t="shared" si="87"/>
        <v>0</v>
      </c>
      <c r="M177" s="107">
        <v>0</v>
      </c>
      <c r="N177" s="107">
        <f t="shared" si="89"/>
        <v>0</v>
      </c>
      <c r="O177" s="107">
        <f>VLOOKUP(G177,Budget!$E$3:$G$2474,3,0)</f>
        <v>14700</v>
      </c>
      <c r="P177" s="107">
        <f t="shared" si="85"/>
        <v>14700</v>
      </c>
      <c r="Q177" s="107"/>
      <c r="R177" s="10"/>
      <c r="S177" s="107">
        <v>0</v>
      </c>
      <c r="T177" s="107">
        <f t="shared" si="76"/>
        <v>0</v>
      </c>
      <c r="U177" s="107"/>
      <c r="V177" s="175"/>
      <c r="W177" s="10"/>
      <c r="X177" s="10"/>
      <c r="Y177" t="str">
        <f t="shared" si="90"/>
        <v>1401</v>
      </c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</row>
    <row r="178" spans="1:38">
      <c r="A178" s="10"/>
      <c r="B178" s="10" t="str">
        <f t="shared" si="86"/>
        <v>Above the LineSHOOT</v>
      </c>
      <c r="C178" t="s">
        <v>7</v>
      </c>
      <c r="D178" t="s">
        <v>19</v>
      </c>
      <c r="E178" t="s">
        <v>236</v>
      </c>
      <c r="G178" t="s">
        <v>299</v>
      </c>
      <c r="I178" s="10"/>
      <c r="J178" s="107">
        <f>SUMIF(Data!C:C,G178,Data!Q:Q)</f>
        <v>251993.7</v>
      </c>
      <c r="K178" s="107">
        <f>SUMIF(Comprometidos!A:A,'Cost Report'!G178,Comprometidos!E:E)</f>
        <v>0</v>
      </c>
      <c r="L178" s="107">
        <f t="shared" si="87"/>
        <v>251993.7</v>
      </c>
      <c r="M178" s="107">
        <v>0</v>
      </c>
      <c r="N178" s="107">
        <f t="shared" si="89"/>
        <v>251993.7</v>
      </c>
      <c r="O178" s="107">
        <f>VLOOKUP(G178,Budget!$E$3:$G$2474,3,0)</f>
        <v>252000</v>
      </c>
      <c r="P178" s="107">
        <f t="shared" si="85"/>
        <v>6.2999999999883585</v>
      </c>
      <c r="Q178" s="107"/>
      <c r="R178" s="10"/>
      <c r="S178" s="107">
        <v>251993.7</v>
      </c>
      <c r="T178" s="107">
        <f t="shared" si="76"/>
        <v>0</v>
      </c>
      <c r="U178" s="107"/>
      <c r="V178" s="175"/>
      <c r="W178" s="10"/>
      <c r="X178" s="10"/>
      <c r="Y178" t="str">
        <f t="shared" si="90"/>
        <v>1401</v>
      </c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</row>
    <row r="179" spans="1:38">
      <c r="A179" s="10"/>
      <c r="B179" s="10" t="str">
        <f t="shared" si="86"/>
        <v>Above the LineSHOOT</v>
      </c>
      <c r="C179" t="s">
        <v>7</v>
      </c>
      <c r="D179" t="s">
        <v>19</v>
      </c>
      <c r="E179" t="s">
        <v>236</v>
      </c>
      <c r="F179" t="s">
        <v>355</v>
      </c>
      <c r="G179" t="s">
        <v>300</v>
      </c>
      <c r="I179" s="10"/>
      <c r="J179" s="107">
        <f>SUMIF(Data!C:C,G179,Data!Q:Q)</f>
        <v>158354.80000000002</v>
      </c>
      <c r="K179" s="107">
        <f>SUMIF(Comprometidos!A:A,'Cost Report'!G179,Comprometidos!E:E)</f>
        <v>0</v>
      </c>
      <c r="L179" s="107">
        <f t="shared" si="87"/>
        <v>158354.80000000002</v>
      </c>
      <c r="M179" s="107">
        <v>0</v>
      </c>
      <c r="N179" s="107">
        <f t="shared" si="89"/>
        <v>158354.80000000002</v>
      </c>
      <c r="O179" s="107">
        <f>VLOOKUP(G179,Budget!$E$3:$G$2474,3,0)</f>
        <v>98460</v>
      </c>
      <c r="P179" s="107">
        <f t="shared" si="85"/>
        <v>-59894.800000000017</v>
      </c>
      <c r="Q179" s="107"/>
      <c r="R179" s="10"/>
      <c r="S179" s="107">
        <v>158354.80000000002</v>
      </c>
      <c r="T179" s="107">
        <f t="shared" si="76"/>
        <v>0</v>
      </c>
      <c r="U179" s="107"/>
      <c r="V179" s="175"/>
      <c r="W179" s="10"/>
      <c r="X179" s="10"/>
      <c r="Y179" t="str">
        <f t="shared" si="90"/>
        <v>1401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</row>
    <row r="180" spans="1:38">
      <c r="A180" s="10"/>
      <c r="B180" s="10" t="str">
        <f t="shared" si="86"/>
        <v>Above the LineSHOOT</v>
      </c>
      <c r="C180" t="s">
        <v>7</v>
      </c>
      <c r="D180" t="s">
        <v>19</v>
      </c>
      <c r="E180" t="s">
        <v>236</v>
      </c>
      <c r="F180" t="s">
        <v>355</v>
      </c>
      <c r="G180" t="s">
        <v>301</v>
      </c>
      <c r="I180" s="10"/>
      <c r="J180" s="107">
        <f>SUMIF(Data!C:C,G180,Data!Q:Q)</f>
        <v>30363.4</v>
      </c>
      <c r="K180" s="107">
        <f>SUMIF(Comprometidos!A:A,'Cost Report'!G180,Comprometidos!E:E)</f>
        <v>0</v>
      </c>
      <c r="L180" s="107">
        <f t="shared" si="87"/>
        <v>30363.4</v>
      </c>
      <c r="M180" s="107">
        <v>0</v>
      </c>
      <c r="N180" s="107">
        <f t="shared" si="89"/>
        <v>30363.4</v>
      </c>
      <c r="O180" s="107">
        <f>VLOOKUP(G180,Budget!$E$3:$G$2474,3,0)</f>
        <v>22974</v>
      </c>
      <c r="P180" s="107">
        <f t="shared" si="85"/>
        <v>-7389.4000000000015</v>
      </c>
      <c r="Q180" s="107"/>
      <c r="R180" s="10"/>
      <c r="S180" s="107">
        <v>30363.4</v>
      </c>
      <c r="T180" s="107">
        <f t="shared" si="76"/>
        <v>0</v>
      </c>
      <c r="U180" s="107"/>
      <c r="V180" s="175"/>
      <c r="W180" s="10"/>
      <c r="X180" s="10"/>
      <c r="Y180" t="str">
        <f t="shared" si="90"/>
        <v>1401</v>
      </c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</row>
    <row r="181" spans="1:38">
      <c r="A181" s="10"/>
      <c r="B181" s="10" t="str">
        <f t="shared" si="86"/>
        <v>Above the LineSHOOT</v>
      </c>
      <c r="C181" t="s">
        <v>7</v>
      </c>
      <c r="D181" t="s">
        <v>19</v>
      </c>
      <c r="E181" t="s">
        <v>236</v>
      </c>
      <c r="F181" t="s">
        <v>355</v>
      </c>
      <c r="G181" t="s">
        <v>302</v>
      </c>
      <c r="I181" s="10"/>
      <c r="J181" s="107">
        <f>SUMIF(Data!C:C,G181,Data!Q:Q)</f>
        <v>148991.91999999998</v>
      </c>
      <c r="K181" s="107">
        <f>SUMIF(Comprometidos!A:A,'Cost Report'!G181,Comprometidos!E:E)</f>
        <v>0</v>
      </c>
      <c r="L181" s="107">
        <f t="shared" si="87"/>
        <v>148991.91999999998</v>
      </c>
      <c r="M181" s="107">
        <v>0</v>
      </c>
      <c r="N181" s="107">
        <f t="shared" si="89"/>
        <v>148991.91999999998</v>
      </c>
      <c r="O181" s="107">
        <f>VLOOKUP(G181,Budget!$E$3:$G$2474,3,0)</f>
        <v>49230</v>
      </c>
      <c r="P181" s="107">
        <f t="shared" si="85"/>
        <v>-99761.919999999984</v>
      </c>
      <c r="Q181" s="107"/>
      <c r="R181" s="10"/>
      <c r="S181" s="107">
        <v>148991.91999999998</v>
      </c>
      <c r="T181" s="107">
        <f t="shared" si="76"/>
        <v>0</v>
      </c>
      <c r="U181" s="107"/>
      <c r="V181" s="175"/>
      <c r="W181" s="10"/>
      <c r="X181" s="10"/>
      <c r="Y181" t="str">
        <f t="shared" si="90"/>
        <v>1401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</row>
    <row r="182" spans="1:38">
      <c r="A182" s="10"/>
      <c r="B182" s="10" t="str">
        <f t="shared" si="86"/>
        <v>Above the LineSHOOT</v>
      </c>
      <c r="C182" t="s">
        <v>7</v>
      </c>
      <c r="D182" t="s">
        <v>19</v>
      </c>
      <c r="E182" t="s">
        <v>236</v>
      </c>
      <c r="F182" t="s">
        <v>355</v>
      </c>
      <c r="G182" t="s">
        <v>303</v>
      </c>
      <c r="I182" s="10"/>
      <c r="J182" s="107">
        <f>SUMIF(Data!C:C,G182,Data!Q:Q)</f>
        <v>0</v>
      </c>
      <c r="K182" s="107">
        <f>SUMIF(Comprometidos!A:A,'Cost Report'!G182,Comprometidos!E:E)</f>
        <v>0</v>
      </c>
      <c r="L182" s="107">
        <f t="shared" si="87"/>
        <v>0</v>
      </c>
      <c r="M182" s="107">
        <v>0</v>
      </c>
      <c r="N182" s="107">
        <f t="shared" si="89"/>
        <v>0</v>
      </c>
      <c r="O182" s="107">
        <f>VLOOKUP(G182,Budget!$E$3:$G$2474,3,0)</f>
        <v>14700</v>
      </c>
      <c r="P182" s="107">
        <f t="shared" si="85"/>
        <v>14700</v>
      </c>
      <c r="Q182" s="107"/>
      <c r="R182" s="10"/>
      <c r="S182" s="107">
        <v>0</v>
      </c>
      <c r="T182" s="107">
        <f t="shared" si="76"/>
        <v>0</v>
      </c>
      <c r="U182" s="107"/>
      <c r="V182" s="175"/>
      <c r="W182" s="10"/>
      <c r="X182" s="10"/>
      <c r="Y182" t="str">
        <f t="shared" si="90"/>
        <v>1401</v>
      </c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</row>
    <row r="183" spans="1:38">
      <c r="A183" s="10"/>
      <c r="B183" s="10" t="str">
        <f t="shared" si="86"/>
        <v>Above the LineSHOOT</v>
      </c>
      <c r="C183" t="s">
        <v>7</v>
      </c>
      <c r="D183" t="s">
        <v>19</v>
      </c>
      <c r="E183" t="s">
        <v>236</v>
      </c>
      <c r="G183" t="s">
        <v>304</v>
      </c>
      <c r="I183" s="10"/>
      <c r="J183" s="107">
        <f>SUMIF(Data!C:C,G183,Data!Q:Q)</f>
        <v>252000</v>
      </c>
      <c r="K183" s="107">
        <f>SUMIF(Comprometidos!A:A,'Cost Report'!G183,Comprometidos!E:E)</f>
        <v>0</v>
      </c>
      <c r="L183" s="107">
        <f t="shared" si="87"/>
        <v>252000</v>
      </c>
      <c r="M183" s="107">
        <f t="shared" si="88"/>
        <v>0</v>
      </c>
      <c r="N183" s="107">
        <f t="shared" si="89"/>
        <v>252000</v>
      </c>
      <c r="O183" s="107">
        <f>VLOOKUP(G183,Budget!$E$3:$G$2474,3,0)</f>
        <v>252000</v>
      </c>
      <c r="P183" s="107">
        <f t="shared" si="85"/>
        <v>0</v>
      </c>
      <c r="Q183" s="107"/>
      <c r="R183" s="10"/>
      <c r="S183" s="107">
        <v>252000</v>
      </c>
      <c r="T183" s="107">
        <f t="shared" si="76"/>
        <v>0</v>
      </c>
      <c r="U183" s="107"/>
      <c r="V183" s="175"/>
      <c r="W183" s="10"/>
      <c r="X183" s="10"/>
      <c r="Y183" t="str">
        <f t="shared" si="90"/>
        <v>1401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</row>
    <row r="184" spans="1:38">
      <c r="A184" s="10"/>
      <c r="B184" s="10" t="str">
        <f t="shared" si="86"/>
        <v>Above the LineSHOOT</v>
      </c>
      <c r="C184" t="s">
        <v>7</v>
      </c>
      <c r="D184" t="s">
        <v>19</v>
      </c>
      <c r="E184" t="s">
        <v>236</v>
      </c>
      <c r="F184" t="s">
        <v>355</v>
      </c>
      <c r="G184" t="s">
        <v>305</v>
      </c>
      <c r="I184" s="10"/>
      <c r="J184" s="107">
        <f>SUMIF(Data!C:C,G184,Data!Q:Q)</f>
        <v>158354.80000000002</v>
      </c>
      <c r="K184" s="107">
        <f>SUMIF(Comprometidos!A:A,'Cost Report'!G184,Comprometidos!E:E)</f>
        <v>0</v>
      </c>
      <c r="L184" s="107">
        <f t="shared" si="87"/>
        <v>158354.80000000002</v>
      </c>
      <c r="M184" s="107">
        <v>0</v>
      </c>
      <c r="N184" s="107">
        <f t="shared" si="89"/>
        <v>158354.80000000002</v>
      </c>
      <c r="O184" s="107">
        <f>VLOOKUP(G184,Budget!$E$3:$G$2474,3,0)</f>
        <v>88614</v>
      </c>
      <c r="P184" s="107">
        <f t="shared" si="85"/>
        <v>-69740.800000000017</v>
      </c>
      <c r="Q184" s="107"/>
      <c r="R184" s="10"/>
      <c r="S184" s="107">
        <v>158354.80000000002</v>
      </c>
      <c r="T184" s="107">
        <f t="shared" si="76"/>
        <v>0</v>
      </c>
      <c r="U184" s="107"/>
      <c r="V184" s="175"/>
      <c r="W184" s="10"/>
      <c r="X184" s="10"/>
      <c r="Y184" t="str">
        <f t="shared" si="90"/>
        <v>1401</v>
      </c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</row>
    <row r="185" spans="1:38">
      <c r="A185" s="10"/>
      <c r="B185" s="10" t="str">
        <f t="shared" si="86"/>
        <v>Above the LineSHOOT</v>
      </c>
      <c r="C185" t="s">
        <v>7</v>
      </c>
      <c r="D185" t="s">
        <v>19</v>
      </c>
      <c r="E185" t="s">
        <v>236</v>
      </c>
      <c r="F185" t="s">
        <v>355</v>
      </c>
      <c r="G185" t="s">
        <v>306</v>
      </c>
      <c r="I185" s="10"/>
      <c r="J185" s="107">
        <f>SUMIF(Data!C:C,G185,Data!Q:Q)</f>
        <v>30363.4</v>
      </c>
      <c r="K185" s="107">
        <f>SUMIF(Comprometidos!A:A,'Cost Report'!G185,Comprometidos!E:E)</f>
        <v>0</v>
      </c>
      <c r="L185" s="107">
        <f t="shared" si="87"/>
        <v>30363.4</v>
      </c>
      <c r="M185" s="107">
        <v>0</v>
      </c>
      <c r="N185" s="107">
        <f t="shared" si="89"/>
        <v>30363.4</v>
      </c>
      <c r="O185" s="107">
        <f>VLOOKUP(G185,Budget!$E$3:$G$2474,3,0)</f>
        <v>22974</v>
      </c>
      <c r="P185" s="107">
        <f t="shared" si="85"/>
        <v>-7389.4000000000015</v>
      </c>
      <c r="Q185" s="107"/>
      <c r="R185" s="10"/>
      <c r="S185" s="107">
        <v>30363.4</v>
      </c>
      <c r="T185" s="107">
        <f t="shared" si="76"/>
        <v>0</v>
      </c>
      <c r="U185" s="107"/>
      <c r="V185" s="175"/>
      <c r="W185" s="10"/>
      <c r="X185" s="10"/>
      <c r="Y185" t="str">
        <f t="shared" si="90"/>
        <v>1401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</row>
    <row r="186" spans="1:38">
      <c r="A186" s="10"/>
      <c r="B186" s="10" t="str">
        <f t="shared" si="86"/>
        <v>Above the LineSHOOT</v>
      </c>
      <c r="C186" t="s">
        <v>7</v>
      </c>
      <c r="D186" t="s">
        <v>19</v>
      </c>
      <c r="E186" t="s">
        <v>236</v>
      </c>
      <c r="F186" t="s">
        <v>355</v>
      </c>
      <c r="G186" t="s">
        <v>307</v>
      </c>
      <c r="I186" s="10"/>
      <c r="J186" s="107">
        <f>SUMIF(Data!C:C,G186,Data!Q:Q)</f>
        <v>44955.22</v>
      </c>
      <c r="K186" s="107">
        <f>SUMIF(Comprometidos!A:A,'Cost Report'!G186,Comprometidos!E:E)</f>
        <v>0</v>
      </c>
      <c r="L186" s="107">
        <f t="shared" si="87"/>
        <v>44955.22</v>
      </c>
      <c r="M186" s="107">
        <v>0</v>
      </c>
      <c r="N186" s="107">
        <f t="shared" si="89"/>
        <v>44955.22</v>
      </c>
      <c r="O186" s="107">
        <f>VLOOKUP(G186,Budget!$E$3:$G$2474,3,0)</f>
        <v>42666</v>
      </c>
      <c r="P186" s="107">
        <f t="shared" si="85"/>
        <v>-2289.2200000000012</v>
      </c>
      <c r="Q186" s="107"/>
      <c r="R186" s="10"/>
      <c r="S186" s="107">
        <v>44955.22</v>
      </c>
      <c r="T186" s="107">
        <f t="shared" si="76"/>
        <v>0</v>
      </c>
      <c r="U186" s="107"/>
      <c r="V186" s="175"/>
      <c r="W186" s="10"/>
      <c r="X186" s="10"/>
      <c r="Y186" t="str">
        <f t="shared" si="90"/>
        <v>1401</v>
      </c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</row>
    <row r="187" spans="1:38">
      <c r="A187" s="10"/>
      <c r="B187" s="10" t="str">
        <f t="shared" si="86"/>
        <v>Above the LineSHOOT</v>
      </c>
      <c r="C187" t="s">
        <v>7</v>
      </c>
      <c r="D187" t="s">
        <v>19</v>
      </c>
      <c r="E187" t="s">
        <v>236</v>
      </c>
      <c r="F187" t="s">
        <v>355</v>
      </c>
      <c r="G187" t="s">
        <v>308</v>
      </c>
      <c r="I187" s="10"/>
      <c r="J187" s="107">
        <f>SUMIF(Data!C:C,G187,Data!Q:Q)</f>
        <v>0</v>
      </c>
      <c r="K187" s="107">
        <f>SUMIF(Comprometidos!A:A,'Cost Report'!G187,Comprometidos!E:E)</f>
        <v>0</v>
      </c>
      <c r="L187" s="107">
        <f t="shared" si="87"/>
        <v>0</v>
      </c>
      <c r="M187" s="107">
        <v>0</v>
      </c>
      <c r="N187" s="107">
        <f t="shared" si="89"/>
        <v>0</v>
      </c>
      <c r="O187" s="107">
        <f>VLOOKUP(G187,Budget!$E$3:$G$2474,3,0)</f>
        <v>14700</v>
      </c>
      <c r="P187" s="107">
        <f t="shared" si="85"/>
        <v>14700</v>
      </c>
      <c r="Q187" s="107"/>
      <c r="R187" s="10"/>
      <c r="S187" s="107">
        <v>0</v>
      </c>
      <c r="T187" s="107">
        <f t="shared" si="76"/>
        <v>0</v>
      </c>
      <c r="U187" s="107"/>
      <c r="V187" s="175"/>
      <c r="W187" s="10"/>
      <c r="X187" s="10"/>
      <c r="Y187" t="str">
        <f t="shared" si="90"/>
        <v>1401</v>
      </c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</row>
    <row r="188" spans="1:38">
      <c r="A188" s="10"/>
      <c r="B188" s="10" t="str">
        <f t="shared" si="86"/>
        <v>Above the LineSHOOT</v>
      </c>
      <c r="C188" t="s">
        <v>7</v>
      </c>
      <c r="D188" t="s">
        <v>19</v>
      </c>
      <c r="E188" t="s">
        <v>236</v>
      </c>
      <c r="G188" t="s">
        <v>309</v>
      </c>
      <c r="I188" s="10"/>
      <c r="J188" s="107">
        <f>SUMIF(Data!C:C,G188,Data!Q:Q)</f>
        <v>456750</v>
      </c>
      <c r="K188" s="107">
        <f>SUMIF(Comprometidos!A:A,'Cost Report'!G188,Comprometidos!E:E)</f>
        <v>0</v>
      </c>
      <c r="L188" s="107">
        <f t="shared" si="87"/>
        <v>456750</v>
      </c>
      <c r="M188" s="107">
        <v>0</v>
      </c>
      <c r="N188" s="107">
        <f t="shared" si="89"/>
        <v>456750</v>
      </c>
      <c r="O188" s="107">
        <f>VLOOKUP(G188,Budget!$E$3:$G$2474,3,0)</f>
        <v>228375</v>
      </c>
      <c r="P188" s="107">
        <f t="shared" si="85"/>
        <v>-228375</v>
      </c>
      <c r="Q188" s="107"/>
      <c r="R188" s="10"/>
      <c r="S188" s="107">
        <v>456750</v>
      </c>
      <c r="T188" s="107">
        <f t="shared" si="76"/>
        <v>0</v>
      </c>
      <c r="U188" s="107"/>
      <c r="V188" s="175"/>
      <c r="W188" s="10"/>
      <c r="X188" s="10"/>
      <c r="Y188" t="str">
        <f t="shared" si="90"/>
        <v>1401</v>
      </c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</row>
    <row r="189" spans="1:38">
      <c r="A189" s="10"/>
      <c r="B189" s="10" t="str">
        <f t="shared" si="86"/>
        <v>Above the LineSHOOT</v>
      </c>
      <c r="C189" t="s">
        <v>7</v>
      </c>
      <c r="D189" t="s">
        <v>19</v>
      </c>
      <c r="E189" t="s">
        <v>236</v>
      </c>
      <c r="F189" t="s">
        <v>355</v>
      </c>
      <c r="G189" t="s">
        <v>310</v>
      </c>
      <c r="I189" s="10"/>
      <c r="J189" s="107">
        <f>SUMIF(Data!C:C,G189,Data!Q:Q)</f>
        <v>0</v>
      </c>
      <c r="K189" s="107">
        <f>SUMIF(Comprometidos!A:A,'Cost Report'!G189,Comprometidos!E:E)</f>
        <v>0</v>
      </c>
      <c r="L189" s="107">
        <f t="shared" si="87"/>
        <v>0</v>
      </c>
      <c r="M189" s="107">
        <v>0</v>
      </c>
      <c r="N189" s="107">
        <f t="shared" si="89"/>
        <v>0</v>
      </c>
      <c r="O189" s="107">
        <f>VLOOKUP(G189,Budget!$E$3:$G$2474,3,0)</f>
        <v>13128</v>
      </c>
      <c r="P189" s="107">
        <f t="shared" si="85"/>
        <v>13128</v>
      </c>
      <c r="Q189" s="107"/>
      <c r="R189" s="10"/>
      <c r="S189" s="107">
        <v>0</v>
      </c>
      <c r="T189" s="107">
        <f t="shared" si="76"/>
        <v>0</v>
      </c>
      <c r="U189" s="107"/>
      <c r="V189" s="175"/>
      <c r="W189" s="10"/>
      <c r="X189" s="10"/>
      <c r="Y189" t="str">
        <f t="shared" si="90"/>
        <v>1401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1:38">
      <c r="A190" s="10"/>
      <c r="B190" s="10" t="str">
        <f t="shared" si="86"/>
        <v>Above the LineSHOOT</v>
      </c>
      <c r="C190" t="s">
        <v>7</v>
      </c>
      <c r="D190" t="s">
        <v>19</v>
      </c>
      <c r="E190" t="s">
        <v>236</v>
      </c>
      <c r="F190" t="s">
        <v>355</v>
      </c>
      <c r="G190" t="s">
        <v>2166</v>
      </c>
      <c r="I190" s="10"/>
      <c r="J190" s="107">
        <f>SUMIF(Data!C:C,G190,Data!Q:Q)</f>
        <v>0</v>
      </c>
      <c r="K190" s="107">
        <f>SUMIF(Comprometidos!A:A,'Cost Report'!G190,Comprometidos!E:E)</f>
        <v>0</v>
      </c>
      <c r="L190" s="107">
        <f t="shared" si="87"/>
        <v>0</v>
      </c>
      <c r="M190" s="107">
        <v>0</v>
      </c>
      <c r="N190" s="107">
        <f t="shared" si="89"/>
        <v>0</v>
      </c>
      <c r="O190" s="107">
        <f>VLOOKUP(G190,Budget!$E$3:$G$2474,3,0)</f>
        <v>3282</v>
      </c>
      <c r="P190" s="107">
        <f t="shared" si="85"/>
        <v>3282</v>
      </c>
      <c r="Q190" s="107"/>
      <c r="R190" s="10"/>
      <c r="S190" s="107">
        <v>0</v>
      </c>
      <c r="T190" s="107">
        <f t="shared" si="76"/>
        <v>0</v>
      </c>
      <c r="U190" s="107"/>
      <c r="V190" s="175"/>
      <c r="W190" s="10"/>
      <c r="X190" s="10"/>
      <c r="Y190" t="str">
        <f t="shared" si="90"/>
        <v>1401</v>
      </c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</row>
    <row r="191" spans="1:38">
      <c r="A191" s="10"/>
      <c r="B191" s="10" t="str">
        <f t="shared" si="86"/>
        <v>Above the LineSHOOT</v>
      </c>
      <c r="C191" t="s">
        <v>7</v>
      </c>
      <c r="D191" t="s">
        <v>19</v>
      </c>
      <c r="E191" t="s">
        <v>236</v>
      </c>
      <c r="F191" t="s">
        <v>355</v>
      </c>
      <c r="G191" t="s">
        <v>2167</v>
      </c>
      <c r="I191" s="10"/>
      <c r="J191" s="107">
        <f>SUMIF(Data!C:C,G191,Data!Q:Q)</f>
        <v>0</v>
      </c>
      <c r="K191" s="107">
        <f>SUMIF(Comprometidos!A:A,'Cost Report'!G191,Comprometidos!E:E)</f>
        <v>0</v>
      </c>
      <c r="L191" s="107">
        <f t="shared" si="87"/>
        <v>0</v>
      </c>
      <c r="M191" s="107">
        <v>0</v>
      </c>
      <c r="N191" s="107">
        <f t="shared" si="89"/>
        <v>0</v>
      </c>
      <c r="O191" s="107">
        <f>VLOOKUP(G191,Budget!$E$3:$G$2474,3,0)</f>
        <v>3282</v>
      </c>
      <c r="P191" s="107">
        <f t="shared" si="85"/>
        <v>3282</v>
      </c>
      <c r="Q191" s="107"/>
      <c r="R191" s="10"/>
      <c r="S191" s="107">
        <v>0</v>
      </c>
      <c r="T191" s="107">
        <f t="shared" si="76"/>
        <v>0</v>
      </c>
      <c r="U191" s="107"/>
      <c r="V191" s="175"/>
      <c r="W191" s="10"/>
      <c r="X191" s="10"/>
      <c r="Y191" t="str">
        <f t="shared" si="90"/>
        <v>1401</v>
      </c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</row>
    <row r="192" spans="1:38">
      <c r="A192" s="10"/>
      <c r="B192" s="10" t="str">
        <f t="shared" si="86"/>
        <v>Above the LineSHOOT</v>
      </c>
      <c r="C192" t="s">
        <v>7</v>
      </c>
      <c r="D192" t="s">
        <v>19</v>
      </c>
      <c r="E192" t="s">
        <v>236</v>
      </c>
      <c r="F192" t="s">
        <v>355</v>
      </c>
      <c r="G192" t="s">
        <v>2168</v>
      </c>
      <c r="I192" s="10"/>
      <c r="J192" s="107">
        <f>SUMIF(Data!C:C,G192,Data!Q:Q)</f>
        <v>0</v>
      </c>
      <c r="K192" s="107">
        <f>SUMIF(Comprometidos!A:A,'Cost Report'!G192,Comprometidos!E:E)</f>
        <v>0</v>
      </c>
      <c r="L192" s="107">
        <f t="shared" si="87"/>
        <v>0</v>
      </c>
      <c r="M192" s="107">
        <v>0</v>
      </c>
      <c r="N192" s="107">
        <f t="shared" si="89"/>
        <v>0</v>
      </c>
      <c r="O192" s="107">
        <f>VLOOKUP(G192,Budget!$E$3:$G$2474,3,0)</f>
        <v>1500</v>
      </c>
      <c r="P192" s="107">
        <f t="shared" si="85"/>
        <v>1500</v>
      </c>
      <c r="Q192" s="107"/>
      <c r="R192" s="10"/>
      <c r="S192" s="107">
        <v>0</v>
      </c>
      <c r="T192" s="107">
        <f t="shared" si="76"/>
        <v>0</v>
      </c>
      <c r="U192" s="107"/>
      <c r="V192" s="175"/>
      <c r="W192" s="10"/>
      <c r="X192" s="10"/>
      <c r="Y192" t="str">
        <f t="shared" si="90"/>
        <v>1401</v>
      </c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</row>
    <row r="193" spans="1:38">
      <c r="A193" s="10"/>
      <c r="B193" s="10" t="str">
        <f t="shared" si="86"/>
        <v>Above the LineSHOOT</v>
      </c>
      <c r="C193" t="s">
        <v>7</v>
      </c>
      <c r="D193" t="s">
        <v>19</v>
      </c>
      <c r="E193" t="s">
        <v>236</v>
      </c>
      <c r="G193" t="s">
        <v>2169</v>
      </c>
      <c r="I193" s="10"/>
      <c r="J193" s="107">
        <f>SUMIF(Data!C:C,G193,Data!Q:Q)</f>
        <v>441000</v>
      </c>
      <c r="K193" s="107">
        <f>SUMIF(Comprometidos!A:A,'Cost Report'!G193,Comprometidos!E:E)</f>
        <v>0</v>
      </c>
      <c r="L193" s="107">
        <f t="shared" si="87"/>
        <v>441000</v>
      </c>
      <c r="M193" s="107">
        <f t="shared" si="88"/>
        <v>0</v>
      </c>
      <c r="N193" s="107">
        <f t="shared" si="89"/>
        <v>441000</v>
      </c>
      <c r="O193" s="107">
        <f>VLOOKUP(G193,Budget!$E$3:$G$2474,3,0)</f>
        <v>441000</v>
      </c>
      <c r="P193" s="107">
        <f t="shared" si="85"/>
        <v>0</v>
      </c>
      <c r="Q193" s="107"/>
      <c r="R193" s="10"/>
      <c r="S193" s="107">
        <v>441000</v>
      </c>
      <c r="T193" s="107">
        <f t="shared" si="76"/>
        <v>0</v>
      </c>
      <c r="U193" s="107"/>
      <c r="V193" s="175"/>
      <c r="W193" s="10"/>
      <c r="X193" s="10"/>
      <c r="Y193" t="str">
        <f t="shared" si="90"/>
        <v>1401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</row>
    <row r="194" spans="1:38">
      <c r="A194" s="10"/>
      <c r="B194" s="10" t="str">
        <f t="shared" si="86"/>
        <v>Above the LineSHOOT</v>
      </c>
      <c r="C194" t="s">
        <v>7</v>
      </c>
      <c r="D194" t="s">
        <v>19</v>
      </c>
      <c r="E194" t="s">
        <v>236</v>
      </c>
      <c r="F194" t="s">
        <v>355</v>
      </c>
      <c r="G194" t="s">
        <v>2170</v>
      </c>
      <c r="I194" s="10"/>
      <c r="J194" s="107">
        <f>SUMIF(Data!C:C,G194,Data!Q:Q)</f>
        <v>90943.569999999992</v>
      </c>
      <c r="K194" s="107">
        <f>SUMIF(Comprometidos!A:A,'Cost Report'!G194,Comprometidos!E:E)</f>
        <v>0</v>
      </c>
      <c r="L194" s="107">
        <f t="shared" si="87"/>
        <v>90943.569999999992</v>
      </c>
      <c r="M194" s="107">
        <v>0</v>
      </c>
      <c r="N194" s="107">
        <f t="shared" si="89"/>
        <v>90943.569999999992</v>
      </c>
      <c r="O194" s="107">
        <f>VLOOKUP(G194,Budget!$E$3:$G$2474,3,0)</f>
        <v>26256</v>
      </c>
      <c r="P194" s="107">
        <f t="shared" si="85"/>
        <v>-64687.569999999992</v>
      </c>
      <c r="Q194" s="107"/>
      <c r="R194" s="10"/>
      <c r="S194" s="107">
        <v>90943.569999999992</v>
      </c>
      <c r="T194" s="107">
        <f t="shared" si="76"/>
        <v>0</v>
      </c>
      <c r="U194" s="107"/>
      <c r="V194" s="175"/>
      <c r="W194" s="10"/>
      <c r="X194" s="10"/>
      <c r="Y194" t="str">
        <f t="shared" si="90"/>
        <v>1401</v>
      </c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</row>
    <row r="195" spans="1:38">
      <c r="A195" s="10"/>
      <c r="B195" s="10" t="str">
        <f t="shared" si="86"/>
        <v>Above the LineSHOOT</v>
      </c>
      <c r="C195" t="s">
        <v>7</v>
      </c>
      <c r="D195" t="s">
        <v>19</v>
      </c>
      <c r="E195" t="s">
        <v>236</v>
      </c>
      <c r="F195" t="s">
        <v>355</v>
      </c>
      <c r="G195" t="s">
        <v>2171</v>
      </c>
      <c r="I195" s="10"/>
      <c r="J195" s="107">
        <f>SUMIF(Data!C:C,G195,Data!Q:Q)</f>
        <v>4500.84</v>
      </c>
      <c r="K195" s="107">
        <f>SUMIF(Comprometidos!A:A,'Cost Report'!G195,Comprometidos!E:E)</f>
        <v>0</v>
      </c>
      <c r="L195" s="107">
        <f t="shared" si="87"/>
        <v>4500.84</v>
      </c>
      <c r="M195" s="107">
        <v>0</v>
      </c>
      <c r="N195" s="107">
        <f t="shared" si="89"/>
        <v>4500.84</v>
      </c>
      <c r="O195" s="107">
        <f>VLOOKUP(G195,Budget!$E$3:$G$2474,3,0)</f>
        <v>3282</v>
      </c>
      <c r="P195" s="107">
        <f t="shared" si="85"/>
        <v>-1218.8400000000001</v>
      </c>
      <c r="Q195" s="107"/>
      <c r="R195" s="10"/>
      <c r="S195" s="107">
        <v>4500.84</v>
      </c>
      <c r="T195" s="107">
        <f t="shared" si="76"/>
        <v>0</v>
      </c>
      <c r="U195" s="107"/>
      <c r="V195" s="175"/>
      <c r="W195" s="10"/>
      <c r="X195" s="10"/>
      <c r="Y195" t="str">
        <f t="shared" si="90"/>
        <v>1401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</row>
    <row r="196" spans="1:38">
      <c r="A196" s="10"/>
      <c r="B196" s="10" t="str">
        <f t="shared" si="86"/>
        <v>Above the LineSHOOT</v>
      </c>
      <c r="C196" t="s">
        <v>7</v>
      </c>
      <c r="D196" t="s">
        <v>19</v>
      </c>
      <c r="E196" t="s">
        <v>236</v>
      </c>
      <c r="F196" t="s">
        <v>355</v>
      </c>
      <c r="G196" t="s">
        <v>2172</v>
      </c>
      <c r="I196" s="10"/>
      <c r="J196" s="107">
        <f>SUMIF(Data!C:C,G196,Data!Q:Q)</f>
        <v>61061.75</v>
      </c>
      <c r="K196" s="107">
        <f>SUMIF(Comprometidos!A:A,'Cost Report'!G196,Comprometidos!E:E)</f>
        <v>0</v>
      </c>
      <c r="L196" s="107">
        <f t="shared" si="87"/>
        <v>61061.75</v>
      </c>
      <c r="M196" s="107">
        <v>0</v>
      </c>
      <c r="N196" s="107">
        <f t="shared" si="89"/>
        <v>61061.75</v>
      </c>
      <c r="O196" s="107">
        <f>VLOOKUP(G196,Budget!$E$3:$G$2474,3,0)</f>
        <v>0</v>
      </c>
      <c r="P196" s="107">
        <f t="shared" si="85"/>
        <v>-61061.75</v>
      </c>
      <c r="Q196" s="107"/>
      <c r="R196" s="10"/>
      <c r="S196" s="107">
        <v>61061.75</v>
      </c>
      <c r="T196" s="107">
        <f t="shared" si="76"/>
        <v>0</v>
      </c>
      <c r="U196" s="107"/>
      <c r="V196" s="175"/>
      <c r="W196" s="10"/>
      <c r="X196" s="10"/>
      <c r="Y196" t="str">
        <f t="shared" si="90"/>
        <v>1401</v>
      </c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1:38">
      <c r="A197" s="10"/>
      <c r="B197" s="10" t="str">
        <f t="shared" si="86"/>
        <v>Above the LineSHOOT</v>
      </c>
      <c r="C197" t="s">
        <v>7</v>
      </c>
      <c r="D197" t="s">
        <v>19</v>
      </c>
      <c r="E197" t="s">
        <v>236</v>
      </c>
      <c r="F197" t="s">
        <v>355</v>
      </c>
      <c r="G197" t="s">
        <v>2173</v>
      </c>
      <c r="I197" s="10"/>
      <c r="J197" s="107">
        <f>SUMIF(Data!C:C,G197,Data!Q:Q)</f>
        <v>0</v>
      </c>
      <c r="K197" s="107">
        <f>SUMIF(Comprometidos!A:A,'Cost Report'!G197,Comprometidos!E:E)</f>
        <v>0</v>
      </c>
      <c r="L197" s="107">
        <f t="shared" si="87"/>
        <v>0</v>
      </c>
      <c r="M197" s="107">
        <v>0</v>
      </c>
      <c r="N197" s="107">
        <f t="shared" si="89"/>
        <v>0</v>
      </c>
      <c r="O197" s="107">
        <f>VLOOKUP(G197,Budget!$E$3:$G$2474,3,0)</f>
        <v>3900</v>
      </c>
      <c r="P197" s="107">
        <f t="shared" si="85"/>
        <v>3900</v>
      </c>
      <c r="Q197" s="107"/>
      <c r="R197" s="10"/>
      <c r="S197" s="107">
        <v>0</v>
      </c>
      <c r="T197" s="107">
        <f t="shared" si="76"/>
        <v>0</v>
      </c>
      <c r="U197" s="107"/>
      <c r="V197" s="175"/>
      <c r="W197" s="10"/>
      <c r="X197" s="10"/>
      <c r="Y197" t="str">
        <f t="shared" si="90"/>
        <v>1401</v>
      </c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1:38">
      <c r="A198" s="10"/>
      <c r="B198" s="10" t="str">
        <f t="shared" si="86"/>
        <v>Above the LineSHOOT</v>
      </c>
      <c r="C198" t="s">
        <v>7</v>
      </c>
      <c r="D198" t="s">
        <v>19</v>
      </c>
      <c r="E198" t="s">
        <v>236</v>
      </c>
      <c r="G198" t="s">
        <v>2174</v>
      </c>
      <c r="I198" s="10"/>
      <c r="J198" s="107">
        <f>SUMIF(Data!C:C,G198,Data!Q:Q)</f>
        <v>199500</v>
      </c>
      <c r="K198" s="107">
        <f>SUMIF(Comprometidos!A:A,'Cost Report'!G198,Comprometidos!E:E)</f>
        <v>0</v>
      </c>
      <c r="L198" s="107">
        <f t="shared" si="87"/>
        <v>199500</v>
      </c>
      <c r="M198" s="107">
        <f>+O198-L198</f>
        <v>0</v>
      </c>
      <c r="N198" s="107">
        <f t="shared" si="89"/>
        <v>199500</v>
      </c>
      <c r="O198" s="107">
        <f>VLOOKUP(G198,Budget!$E$3:$G$2474,3,0)</f>
        <v>199500</v>
      </c>
      <c r="P198" s="107">
        <f t="shared" si="85"/>
        <v>0</v>
      </c>
      <c r="Q198" s="107"/>
      <c r="R198" s="10"/>
      <c r="S198" s="107">
        <v>199500</v>
      </c>
      <c r="T198" s="107">
        <f t="shared" si="76"/>
        <v>0</v>
      </c>
      <c r="U198" s="107"/>
      <c r="V198" s="175"/>
      <c r="W198" s="10"/>
      <c r="X198" s="10"/>
      <c r="Y198" t="str">
        <f t="shared" si="90"/>
        <v>1401</v>
      </c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1:38">
      <c r="A199" s="10"/>
      <c r="B199" s="10" t="str">
        <f t="shared" si="86"/>
        <v>Above the LineSHOOT</v>
      </c>
      <c r="C199" t="s">
        <v>7</v>
      </c>
      <c r="D199" t="s">
        <v>19</v>
      </c>
      <c r="E199" t="s">
        <v>236</v>
      </c>
      <c r="F199" t="s">
        <v>355</v>
      </c>
      <c r="G199" t="s">
        <v>2175</v>
      </c>
      <c r="I199" s="10"/>
      <c r="J199" s="107">
        <f>SUMIF(Data!C:C,G199,Data!Q:Q)</f>
        <v>125131.56</v>
      </c>
      <c r="K199" s="107">
        <f>SUMIF(Comprometidos!A:A,'Cost Report'!G199,Comprometidos!E:E)</f>
        <v>0</v>
      </c>
      <c r="L199" s="107">
        <f t="shared" si="87"/>
        <v>125131.56</v>
      </c>
      <c r="M199" s="107">
        <v>0</v>
      </c>
      <c r="N199" s="107">
        <f t="shared" si="89"/>
        <v>125131.56</v>
      </c>
      <c r="O199" s="107">
        <f>VLOOKUP(G199,Budget!$E$3:$G$2474,3,0)</f>
        <v>36102</v>
      </c>
      <c r="P199" s="107">
        <f t="shared" si="85"/>
        <v>-89029.56</v>
      </c>
      <c r="Q199" s="107"/>
      <c r="R199" s="10"/>
      <c r="S199" s="107">
        <v>125131.56</v>
      </c>
      <c r="T199" s="107">
        <f t="shared" si="76"/>
        <v>0</v>
      </c>
      <c r="U199" s="107"/>
      <c r="V199" s="175"/>
      <c r="W199" s="10"/>
      <c r="X199" s="10"/>
      <c r="Y199" t="str">
        <f t="shared" si="90"/>
        <v>1401</v>
      </c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1:38">
      <c r="A200" s="10"/>
      <c r="B200" s="10" t="str">
        <f t="shared" si="86"/>
        <v>Above the LineSHOOT</v>
      </c>
      <c r="C200" t="s">
        <v>7</v>
      </c>
      <c r="D200" t="s">
        <v>19</v>
      </c>
      <c r="E200" t="s">
        <v>236</v>
      </c>
      <c r="F200" t="s">
        <v>355</v>
      </c>
      <c r="G200" t="s">
        <v>2176</v>
      </c>
      <c r="I200" s="10"/>
      <c r="J200" s="107">
        <f>SUMIF(Data!C:C,G200,Data!Q:Q)</f>
        <v>19222.2</v>
      </c>
      <c r="K200" s="107">
        <f>SUMIF(Comprometidos!A:A,'Cost Report'!G200,Comprometidos!E:E)</f>
        <v>0</v>
      </c>
      <c r="L200" s="107">
        <f t="shared" si="87"/>
        <v>19222.2</v>
      </c>
      <c r="M200" s="107">
        <v>0</v>
      </c>
      <c r="N200" s="107">
        <f t="shared" si="89"/>
        <v>19222.2</v>
      </c>
      <c r="O200" s="107">
        <f>VLOOKUP(G200,Budget!$E$3:$G$2474,3,0)</f>
        <v>6564</v>
      </c>
      <c r="P200" s="107">
        <f t="shared" si="85"/>
        <v>-12658.2</v>
      </c>
      <c r="Q200" s="107"/>
      <c r="R200" s="10"/>
      <c r="S200" s="107">
        <v>19222.2</v>
      </c>
      <c r="T200" s="107">
        <f t="shared" si="76"/>
        <v>0</v>
      </c>
      <c r="U200" s="107"/>
      <c r="V200" s="175"/>
      <c r="W200" s="10"/>
      <c r="X200" s="10"/>
      <c r="Y200" t="str">
        <f t="shared" si="90"/>
        <v>1401</v>
      </c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1:38">
      <c r="A201" s="10"/>
      <c r="B201" s="10" t="str">
        <f t="shared" si="86"/>
        <v>Above the LineSHOOT</v>
      </c>
      <c r="C201" t="s">
        <v>7</v>
      </c>
      <c r="D201" t="s">
        <v>19</v>
      </c>
      <c r="E201" t="s">
        <v>236</v>
      </c>
      <c r="F201" t="s">
        <v>355</v>
      </c>
      <c r="G201" t="s">
        <v>2177</v>
      </c>
      <c r="I201" s="10"/>
      <c r="J201" s="107">
        <f>SUMIF(Data!C:C,G201,Data!Q:Q)</f>
        <v>12307.8</v>
      </c>
      <c r="K201" s="107">
        <f>SUMIF(Comprometidos!A:A,'Cost Report'!G201,Comprometidos!E:E)</f>
        <v>0</v>
      </c>
      <c r="L201" s="107">
        <f t="shared" si="87"/>
        <v>12307.8</v>
      </c>
      <c r="M201" s="107">
        <v>0</v>
      </c>
      <c r="N201" s="107">
        <f t="shared" si="89"/>
        <v>12307.8</v>
      </c>
      <c r="O201" s="107">
        <f>VLOOKUP(G201,Budget!$E$3:$G$2474,3,0)</f>
        <v>0</v>
      </c>
      <c r="P201" s="107">
        <f t="shared" si="85"/>
        <v>-12307.8</v>
      </c>
      <c r="Q201" s="107"/>
      <c r="R201" s="10"/>
      <c r="S201" s="107">
        <v>12307.8</v>
      </c>
      <c r="T201" s="107">
        <f t="shared" si="76"/>
        <v>0</v>
      </c>
      <c r="U201" s="107"/>
      <c r="V201" s="175"/>
      <c r="W201" s="10"/>
      <c r="X201" s="10"/>
      <c r="Y201" t="str">
        <f t="shared" si="90"/>
        <v>1401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1:38">
      <c r="A202" s="10"/>
      <c r="B202" s="10" t="str">
        <f t="shared" si="86"/>
        <v>Above the LineSHOOT</v>
      </c>
      <c r="C202" t="s">
        <v>7</v>
      </c>
      <c r="D202" t="s">
        <v>19</v>
      </c>
      <c r="E202" t="s">
        <v>236</v>
      </c>
      <c r="F202" t="s">
        <v>355</v>
      </c>
      <c r="G202" t="s">
        <v>2178</v>
      </c>
      <c r="I202" s="10"/>
      <c r="J202" s="107">
        <f>SUMIF(Data!C:C,G202,Data!Q:Q)</f>
        <v>0</v>
      </c>
      <c r="K202" s="107">
        <f>SUMIF(Comprometidos!A:A,'Cost Report'!G202,Comprometidos!E:E)</f>
        <v>0</v>
      </c>
      <c r="L202" s="107">
        <f t="shared" si="87"/>
        <v>0</v>
      </c>
      <c r="M202" s="107">
        <v>0</v>
      </c>
      <c r="N202" s="107">
        <f t="shared" si="89"/>
        <v>0</v>
      </c>
      <c r="O202" s="107">
        <f>VLOOKUP(G202,Budget!$E$3:$G$2474,3,0)</f>
        <v>3900</v>
      </c>
      <c r="P202" s="107">
        <f t="shared" si="85"/>
        <v>3900</v>
      </c>
      <c r="Q202" s="107"/>
      <c r="R202" s="10"/>
      <c r="S202" s="107">
        <v>0</v>
      </c>
      <c r="T202" s="107">
        <f t="shared" si="76"/>
        <v>0</v>
      </c>
      <c r="U202" s="107"/>
      <c r="V202" s="175"/>
      <c r="W202" s="10"/>
      <c r="X202" s="10"/>
      <c r="Y202" t="str">
        <f t="shared" si="90"/>
        <v>1401</v>
      </c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1:38">
      <c r="A203" s="10"/>
      <c r="B203" s="10" t="str">
        <f t="shared" si="86"/>
        <v>Above the LineSHOOT</v>
      </c>
      <c r="C203" t="s">
        <v>7</v>
      </c>
      <c r="D203" t="s">
        <v>19</v>
      </c>
      <c r="E203" t="s">
        <v>236</v>
      </c>
      <c r="G203" t="s">
        <v>2179</v>
      </c>
      <c r="I203" s="10"/>
      <c r="J203" s="107">
        <f>SUMIF(Data!C:C,G203,Data!Q:Q)</f>
        <v>483000</v>
      </c>
      <c r="K203" s="107">
        <f>SUMIF(Comprometidos!A:A,'Cost Report'!G203,Comprometidos!E:E)</f>
        <v>0</v>
      </c>
      <c r="L203" s="107">
        <f t="shared" si="87"/>
        <v>483000</v>
      </c>
      <c r="M203" s="107">
        <f t="shared" si="88"/>
        <v>0</v>
      </c>
      <c r="N203" s="107">
        <f t="shared" si="89"/>
        <v>483000</v>
      </c>
      <c r="O203" s="107">
        <f>VLOOKUP(G203,Budget!$E$3:$G$2474,3,0)</f>
        <v>483000</v>
      </c>
      <c r="P203" s="107">
        <f t="shared" si="85"/>
        <v>0</v>
      </c>
      <c r="Q203" s="107"/>
      <c r="R203" s="10"/>
      <c r="S203" s="107">
        <v>483000</v>
      </c>
      <c r="T203" s="107">
        <f t="shared" ref="T203:T266" si="91">+S203-N203</f>
        <v>0</v>
      </c>
      <c r="U203" s="107"/>
      <c r="V203" s="175"/>
      <c r="W203" s="10"/>
      <c r="X203" s="10"/>
      <c r="Y203" t="str">
        <f t="shared" si="90"/>
        <v>1401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1:38">
      <c r="A204" s="10"/>
      <c r="B204" s="10" t="str">
        <f t="shared" si="86"/>
        <v>Above the LineSHOOT</v>
      </c>
      <c r="C204" t="s">
        <v>7</v>
      </c>
      <c r="D204" t="s">
        <v>19</v>
      </c>
      <c r="E204" t="s">
        <v>236</v>
      </c>
      <c r="F204" t="s">
        <v>355</v>
      </c>
      <c r="G204" t="s">
        <v>2180</v>
      </c>
      <c r="I204" s="10"/>
      <c r="J204" s="107">
        <f>SUMIF(Data!C:C,G204,Data!Q:Q)</f>
        <v>93668.590000000011</v>
      </c>
      <c r="K204" s="107">
        <f>SUMIF(Comprometidos!A:A,'Cost Report'!G204,Comprometidos!E:E)</f>
        <v>0</v>
      </c>
      <c r="L204" s="107">
        <f t="shared" si="87"/>
        <v>93668.590000000011</v>
      </c>
      <c r="M204" s="107">
        <v>0</v>
      </c>
      <c r="N204" s="107">
        <f t="shared" si="89"/>
        <v>93668.590000000011</v>
      </c>
      <c r="O204" s="107">
        <f>VLOOKUP(G204,Budget!$E$3:$G$2474,3,0)</f>
        <v>26256</v>
      </c>
      <c r="P204" s="107">
        <f t="shared" si="85"/>
        <v>-67412.590000000011</v>
      </c>
      <c r="Q204" s="107"/>
      <c r="R204" s="10"/>
      <c r="S204" s="107">
        <v>93668.590000000011</v>
      </c>
      <c r="T204" s="107">
        <f t="shared" si="91"/>
        <v>0</v>
      </c>
      <c r="U204" s="107"/>
      <c r="V204" s="175"/>
      <c r="W204" s="10"/>
      <c r="X204" s="10"/>
      <c r="Y204" t="str">
        <f t="shared" si="90"/>
        <v>1401</v>
      </c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1:38">
      <c r="A205" s="10"/>
      <c r="B205" s="10" t="str">
        <f t="shared" si="86"/>
        <v>Above the LineSHOOT</v>
      </c>
      <c r="C205" t="s">
        <v>7</v>
      </c>
      <c r="D205" t="s">
        <v>19</v>
      </c>
      <c r="E205" t="s">
        <v>236</v>
      </c>
      <c r="F205" t="s">
        <v>355</v>
      </c>
      <c r="G205" t="s">
        <v>2181</v>
      </c>
      <c r="I205" s="10"/>
      <c r="J205" s="107">
        <f>SUMIF(Data!C:C,G205,Data!Q:Q)</f>
        <v>8181.18</v>
      </c>
      <c r="K205" s="107">
        <f>SUMIF(Comprometidos!A:A,'Cost Report'!G205,Comprometidos!E:E)</f>
        <v>0</v>
      </c>
      <c r="L205" s="107">
        <f t="shared" si="87"/>
        <v>8181.18</v>
      </c>
      <c r="M205" s="107">
        <v>0</v>
      </c>
      <c r="N205" s="107">
        <f t="shared" si="89"/>
        <v>8181.18</v>
      </c>
      <c r="O205" s="107">
        <f>VLOOKUP(G205,Budget!$E$3:$G$2474,3,0)</f>
        <v>13128</v>
      </c>
      <c r="P205" s="107">
        <f t="shared" si="85"/>
        <v>4946.82</v>
      </c>
      <c r="Q205" s="107"/>
      <c r="R205" s="10"/>
      <c r="S205" s="107">
        <v>8181.18</v>
      </c>
      <c r="T205" s="107">
        <f t="shared" si="91"/>
        <v>0</v>
      </c>
      <c r="U205" s="107"/>
      <c r="V205" s="175"/>
      <c r="W205" s="10"/>
      <c r="X205" s="10"/>
      <c r="Y205" t="str">
        <f t="shared" si="90"/>
        <v>1401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1:38">
      <c r="A206" s="10"/>
      <c r="B206" s="10" t="str">
        <f t="shared" si="86"/>
        <v>Above the LineSHOOT</v>
      </c>
      <c r="C206" t="s">
        <v>7</v>
      </c>
      <c r="D206" t="s">
        <v>19</v>
      </c>
      <c r="E206" t="s">
        <v>236</v>
      </c>
      <c r="F206" t="s">
        <v>355</v>
      </c>
      <c r="G206" t="s">
        <v>2182</v>
      </c>
      <c r="I206" s="10"/>
      <c r="J206" s="107">
        <f>SUMIF(Data!C:C,G206,Data!Q:Q)</f>
        <v>15589.880000000001</v>
      </c>
      <c r="K206" s="107">
        <f>SUMIF(Comprometidos!A:A,'Cost Report'!G206,Comprometidos!E:E)</f>
        <v>0</v>
      </c>
      <c r="L206" s="107">
        <f t="shared" si="87"/>
        <v>15589.880000000001</v>
      </c>
      <c r="M206" s="107">
        <v>0</v>
      </c>
      <c r="N206" s="107">
        <f t="shared" si="89"/>
        <v>15589.880000000001</v>
      </c>
      <c r="O206" s="107">
        <f>VLOOKUP(G206,Budget!$E$3:$G$2474,3,0)</f>
        <v>0</v>
      </c>
      <c r="P206" s="107">
        <f t="shared" si="85"/>
        <v>-15589.880000000001</v>
      </c>
      <c r="Q206" s="107"/>
      <c r="R206" s="10"/>
      <c r="S206" s="107">
        <v>15589.880000000001</v>
      </c>
      <c r="T206" s="107">
        <f t="shared" si="91"/>
        <v>0</v>
      </c>
      <c r="U206" s="107"/>
      <c r="V206" s="175"/>
      <c r="W206" s="10"/>
      <c r="X206" s="10"/>
      <c r="Y206" t="str">
        <f t="shared" si="90"/>
        <v>1401</v>
      </c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1:38">
      <c r="A207" s="10"/>
      <c r="B207" s="10" t="str">
        <f t="shared" si="86"/>
        <v>Above the LineSHOOT</v>
      </c>
      <c r="C207" t="s">
        <v>7</v>
      </c>
      <c r="D207" t="s">
        <v>19</v>
      </c>
      <c r="E207" t="s">
        <v>236</v>
      </c>
      <c r="F207" t="s">
        <v>355</v>
      </c>
      <c r="G207" t="s">
        <v>2183</v>
      </c>
      <c r="I207" s="10"/>
      <c r="J207" s="107">
        <f>SUMIF(Data!C:C,G207,Data!Q:Q)</f>
        <v>0</v>
      </c>
      <c r="K207" s="107">
        <f>SUMIF(Comprometidos!A:A,'Cost Report'!G207,Comprometidos!E:E)</f>
        <v>0</v>
      </c>
      <c r="L207" s="107">
        <f t="shared" si="87"/>
        <v>0</v>
      </c>
      <c r="M207" s="107">
        <v>0</v>
      </c>
      <c r="N207" s="107">
        <f t="shared" si="89"/>
        <v>0</v>
      </c>
      <c r="O207" s="107">
        <f>VLOOKUP(G207,Budget!$E$3:$G$2474,3,0)</f>
        <v>3600</v>
      </c>
      <c r="P207" s="107">
        <f t="shared" si="85"/>
        <v>3600</v>
      </c>
      <c r="Q207" s="107"/>
      <c r="R207" s="10"/>
      <c r="S207" s="107">
        <v>0</v>
      </c>
      <c r="T207" s="107">
        <f t="shared" si="91"/>
        <v>0</v>
      </c>
      <c r="U207" s="107"/>
      <c r="V207" s="175"/>
      <c r="W207" s="10"/>
      <c r="X207" s="10"/>
      <c r="Y207" t="str">
        <f t="shared" si="90"/>
        <v>1401</v>
      </c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1:38">
      <c r="A208" s="10"/>
      <c r="B208" s="10" t="str">
        <f t="shared" si="86"/>
        <v>Above the LineSHOOT</v>
      </c>
      <c r="C208" t="s">
        <v>7</v>
      </c>
      <c r="D208" t="s">
        <v>19</v>
      </c>
      <c r="E208" t="s">
        <v>236</v>
      </c>
      <c r="G208" t="s">
        <v>2184</v>
      </c>
      <c r="I208" s="10"/>
      <c r="J208" s="107">
        <f>SUMIF(Data!C:C,G208,Data!Q:Q)</f>
        <v>976250</v>
      </c>
      <c r="K208" s="107">
        <f>SUMIF(Comprometidos!A:A,'Cost Report'!G208,Comprometidos!E:E)</f>
        <v>0</v>
      </c>
      <c r="L208" s="107">
        <f t="shared" si="87"/>
        <v>976250</v>
      </c>
      <c r="M208" s="107">
        <v>0</v>
      </c>
      <c r="N208" s="107">
        <f t="shared" si="89"/>
        <v>976250</v>
      </c>
      <c r="O208" s="107">
        <f>VLOOKUP(G208,Budget!$E$3:$G$2474,3,0)</f>
        <v>960000</v>
      </c>
      <c r="P208" s="107">
        <f t="shared" si="85"/>
        <v>-16250</v>
      </c>
      <c r="Q208" s="107"/>
      <c r="R208" s="10"/>
      <c r="S208" s="107">
        <v>976250</v>
      </c>
      <c r="T208" s="107">
        <f t="shared" si="91"/>
        <v>0</v>
      </c>
      <c r="U208" s="107"/>
      <c r="V208" s="175"/>
      <c r="W208" s="10"/>
      <c r="X208" s="10"/>
      <c r="Y208" t="str">
        <f t="shared" si="90"/>
        <v>1401</v>
      </c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1:38">
      <c r="A209" s="10"/>
      <c r="B209" s="10" t="str">
        <f t="shared" si="86"/>
        <v>Above the LineSHOOT</v>
      </c>
      <c r="C209" t="s">
        <v>7</v>
      </c>
      <c r="D209" t="s">
        <v>19</v>
      </c>
      <c r="E209" t="s">
        <v>236</v>
      </c>
      <c r="F209" t="s">
        <v>355</v>
      </c>
      <c r="G209" t="s">
        <v>2185</v>
      </c>
      <c r="I209" s="10"/>
      <c r="J209" s="107">
        <f>SUMIF(Data!C:C,G209,Data!Q:Q)</f>
        <v>0</v>
      </c>
      <c r="K209" s="107">
        <f>SUMIF(Comprometidos!A:A,'Cost Report'!G209,Comprometidos!E:E)</f>
        <v>0</v>
      </c>
      <c r="L209" s="107">
        <f t="shared" si="87"/>
        <v>0</v>
      </c>
      <c r="M209" s="107">
        <v>0</v>
      </c>
      <c r="N209" s="107">
        <f t="shared" si="89"/>
        <v>0</v>
      </c>
      <c r="O209" s="107">
        <f>VLOOKUP(G209,Budget!$E$3:$G$2474,3,0)</f>
        <v>124524</v>
      </c>
      <c r="P209" s="107">
        <f t="shared" si="85"/>
        <v>124524</v>
      </c>
      <c r="Q209" s="107"/>
      <c r="R209" s="10"/>
      <c r="S209" s="107">
        <v>0</v>
      </c>
      <c r="T209" s="107">
        <f t="shared" si="91"/>
        <v>0</v>
      </c>
      <c r="U209" s="107"/>
      <c r="V209" s="175"/>
      <c r="W209" s="10"/>
      <c r="X209" s="10"/>
      <c r="Y209" t="str">
        <f t="shared" si="90"/>
        <v>1401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1:38">
      <c r="A210" s="10"/>
      <c r="B210" s="10" t="str">
        <f t="shared" si="86"/>
        <v>Above the LineSHOOT</v>
      </c>
      <c r="C210" t="s">
        <v>7</v>
      </c>
      <c r="D210" t="s">
        <v>19</v>
      </c>
      <c r="E210" t="s">
        <v>236</v>
      </c>
      <c r="G210" t="s">
        <v>2186</v>
      </c>
      <c r="I210" s="10"/>
      <c r="J210" s="107">
        <f>SUMIF(Data!C:C,G210,Data!Q:Q)</f>
        <v>416000</v>
      </c>
      <c r="K210" s="107">
        <f>SUMIF(Comprometidos!A:A,'Cost Report'!G210,Comprometidos!E:E)</f>
        <v>0</v>
      </c>
      <c r="L210" s="107">
        <f t="shared" si="87"/>
        <v>416000</v>
      </c>
      <c r="M210" s="107">
        <f t="shared" si="88"/>
        <v>0</v>
      </c>
      <c r="N210" s="107">
        <f t="shared" si="89"/>
        <v>416000</v>
      </c>
      <c r="O210" s="107">
        <f>VLOOKUP(G210,Budget!$E$3:$G$2474,3,0)</f>
        <v>416000</v>
      </c>
      <c r="P210" s="107">
        <f t="shared" si="85"/>
        <v>0</v>
      </c>
      <c r="Q210" s="107"/>
      <c r="R210" s="10"/>
      <c r="S210" s="107">
        <v>416000</v>
      </c>
      <c r="T210" s="107">
        <f t="shared" si="91"/>
        <v>0</v>
      </c>
      <c r="U210" s="107"/>
      <c r="V210" s="175"/>
      <c r="W210" s="10"/>
      <c r="X210" s="10"/>
      <c r="Y210" t="str">
        <f t="shared" si="90"/>
        <v>1401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1:38">
      <c r="A211" s="10"/>
      <c r="B211" s="10" t="str">
        <f t="shared" si="86"/>
        <v>Above the LineSHOOT</v>
      </c>
      <c r="C211" t="s">
        <v>7</v>
      </c>
      <c r="D211" t="s">
        <v>19</v>
      </c>
      <c r="E211" t="s">
        <v>236</v>
      </c>
      <c r="F211" t="s">
        <v>355</v>
      </c>
      <c r="G211" t="s">
        <v>2187</v>
      </c>
      <c r="I211" s="10"/>
      <c r="J211" s="107">
        <f>SUMIF(Data!C:C,G211,Data!Q:Q)</f>
        <v>187934.91</v>
      </c>
      <c r="K211" s="107">
        <f>SUMIF(Comprometidos!A:A,'Cost Report'!G211,Comprometidos!E:E)</f>
        <v>0</v>
      </c>
      <c r="L211" s="107">
        <f t="shared" si="87"/>
        <v>187934.91</v>
      </c>
      <c r="M211" s="107">
        <v>0</v>
      </c>
      <c r="N211" s="107">
        <f t="shared" si="89"/>
        <v>187934.91</v>
      </c>
      <c r="O211" s="107">
        <f>VLOOKUP(G211,Budget!$E$3:$G$2474,3,0)</f>
        <v>68922</v>
      </c>
      <c r="P211" s="107">
        <f t="shared" si="85"/>
        <v>-119012.91</v>
      </c>
      <c r="Q211" s="107"/>
      <c r="R211" s="10"/>
      <c r="S211" s="107">
        <v>187934.91</v>
      </c>
      <c r="T211" s="107">
        <f t="shared" si="91"/>
        <v>0</v>
      </c>
      <c r="U211" s="107"/>
      <c r="V211" s="175"/>
      <c r="W211" s="10"/>
      <c r="X211" s="10"/>
      <c r="Y211" t="str">
        <f t="shared" si="90"/>
        <v>1401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1:38">
      <c r="A212" s="10"/>
      <c r="B212" s="10" t="str">
        <f t="shared" si="86"/>
        <v>Above the LineSHOOT</v>
      </c>
      <c r="C212" t="s">
        <v>7</v>
      </c>
      <c r="D212" t="s">
        <v>19</v>
      </c>
      <c r="E212" t="s">
        <v>236</v>
      </c>
      <c r="F212" t="s">
        <v>355</v>
      </c>
      <c r="G212" t="s">
        <v>2188</v>
      </c>
      <c r="I212" s="10"/>
      <c r="J212" s="107">
        <f>SUMIF(Data!C:C,G212,Data!Q:Q)</f>
        <v>25862.560000000001</v>
      </c>
      <c r="K212" s="107">
        <f>SUMIF(Comprometidos!A:A,'Cost Report'!G212,Comprometidos!E:E)</f>
        <v>0</v>
      </c>
      <c r="L212" s="107">
        <f t="shared" si="87"/>
        <v>25862.560000000001</v>
      </c>
      <c r="M212" s="107">
        <v>0</v>
      </c>
      <c r="N212" s="107">
        <f t="shared" si="89"/>
        <v>25862.560000000001</v>
      </c>
      <c r="O212" s="107">
        <f>VLOOKUP(G212,Budget!$E$3:$G$2474,3,0)</f>
        <v>22974</v>
      </c>
      <c r="P212" s="107">
        <f t="shared" si="85"/>
        <v>-2888.5600000000013</v>
      </c>
      <c r="Q212" s="107"/>
      <c r="R212" s="10"/>
      <c r="S212" s="107">
        <v>25862.560000000001</v>
      </c>
      <c r="T212" s="107">
        <f t="shared" si="91"/>
        <v>0</v>
      </c>
      <c r="U212" s="107"/>
      <c r="V212" s="175"/>
      <c r="W212" s="10"/>
      <c r="X212" s="10"/>
      <c r="Y212" t="str">
        <f t="shared" si="90"/>
        <v>1401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1:38">
      <c r="A213" s="10"/>
      <c r="B213" s="10" t="str">
        <f t="shared" si="86"/>
        <v>Above the LineSHOOT</v>
      </c>
      <c r="C213" t="s">
        <v>7</v>
      </c>
      <c r="D213" t="s">
        <v>19</v>
      </c>
      <c r="E213" t="s">
        <v>236</v>
      </c>
      <c r="F213" t="s">
        <v>355</v>
      </c>
      <c r="G213" t="s">
        <v>2189</v>
      </c>
      <c r="I213" s="10"/>
      <c r="J213" s="107">
        <f>SUMIF(Data!C:C,G213,Data!Q:Q)</f>
        <v>70897.13</v>
      </c>
      <c r="K213" s="107">
        <f>SUMIF(Comprometidos!A:A,'Cost Report'!G213,Comprometidos!E:E)</f>
        <v>0</v>
      </c>
      <c r="L213" s="107">
        <f t="shared" si="87"/>
        <v>70897.13</v>
      </c>
      <c r="M213" s="107">
        <v>0</v>
      </c>
      <c r="N213" s="107">
        <f t="shared" si="89"/>
        <v>70897.13</v>
      </c>
      <c r="O213" s="107">
        <f>VLOOKUP(G213,Budget!$E$3:$G$2474,3,0)</f>
        <v>19692</v>
      </c>
      <c r="P213" s="107">
        <f t="shared" si="85"/>
        <v>-51205.130000000005</v>
      </c>
      <c r="Q213" s="107"/>
      <c r="R213" s="10"/>
      <c r="S213" s="107">
        <v>70897.13</v>
      </c>
      <c r="T213" s="107">
        <f t="shared" si="91"/>
        <v>0</v>
      </c>
      <c r="U213" s="107"/>
      <c r="V213" s="175"/>
      <c r="W213" s="10"/>
      <c r="X213" s="10"/>
      <c r="Y213" t="str">
        <f t="shared" si="90"/>
        <v>1401</v>
      </c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1:38">
      <c r="A214" s="10"/>
      <c r="B214" s="10" t="str">
        <f t="shared" si="86"/>
        <v>Above the LineSHOOT</v>
      </c>
      <c r="C214" t="s">
        <v>7</v>
      </c>
      <c r="D214" t="s">
        <v>19</v>
      </c>
      <c r="E214" t="s">
        <v>236</v>
      </c>
      <c r="F214" t="s">
        <v>355</v>
      </c>
      <c r="G214" t="s">
        <v>2190</v>
      </c>
      <c r="I214" s="10"/>
      <c r="J214" s="107">
        <f>SUMIF(Data!C:C,G214,Data!Q:Q)</f>
        <v>0</v>
      </c>
      <c r="K214" s="107">
        <f>SUMIF(Comprometidos!A:A,'Cost Report'!G214,Comprometidos!E:E)</f>
        <v>0</v>
      </c>
      <c r="L214" s="107">
        <f t="shared" si="87"/>
        <v>0</v>
      </c>
      <c r="M214" s="107">
        <v>0</v>
      </c>
      <c r="N214" s="107">
        <f t="shared" si="89"/>
        <v>0</v>
      </c>
      <c r="O214" s="107">
        <f>VLOOKUP(G214,Budget!$E$3:$G$2474,3,0)</f>
        <v>14700</v>
      </c>
      <c r="P214" s="107">
        <f t="shared" si="85"/>
        <v>14700</v>
      </c>
      <c r="Q214" s="107"/>
      <c r="R214" s="10"/>
      <c r="S214" s="107">
        <v>0</v>
      </c>
      <c r="T214" s="107">
        <f t="shared" si="91"/>
        <v>0</v>
      </c>
      <c r="U214" s="107"/>
      <c r="V214" s="175"/>
      <c r="W214" s="10"/>
      <c r="X214" s="10"/>
      <c r="Y214" t="str">
        <f t="shared" si="90"/>
        <v>1401</v>
      </c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1:38">
      <c r="A215" s="10"/>
      <c r="B215" s="10" t="str">
        <f>+C215</f>
        <v>Above the Line</v>
      </c>
      <c r="C215" s="128" t="s">
        <v>7</v>
      </c>
      <c r="D215" s="128" t="s">
        <v>2117</v>
      </c>
      <c r="E215" s="128"/>
      <c r="F215" s="128"/>
      <c r="G215" s="128" t="s">
        <v>311</v>
      </c>
      <c r="H215" s="128"/>
      <c r="I215" s="10"/>
      <c r="J215" s="129">
        <f>SUMIF($Y$11:$Y$2484,G215,J$11:J$2484)</f>
        <v>1491930.4899999998</v>
      </c>
      <c r="K215" s="129">
        <f>SUMIF($Y$11:$Y$2484,G215,K$11:K$2484)</f>
        <v>0</v>
      </c>
      <c r="L215" s="129">
        <f>SUMIF($Y$11:$Y$2484,G215,L$11:L$2484)</f>
        <v>1491930.4899999998</v>
      </c>
      <c r="M215" s="129">
        <f>SUMIF($Y$11:$Y$2484,G215,M$11:M$2484)</f>
        <v>0</v>
      </c>
      <c r="N215" s="129">
        <f>SUMIF($Y$11:$Y$2484,G215,N$11:N$2484)</f>
        <v>1491930.4899999998</v>
      </c>
      <c r="O215" s="129">
        <f>SUMIF($Y$11:$Y$2484,G215,O$11:O$2484)</f>
        <v>1240398.32</v>
      </c>
      <c r="P215" s="129">
        <f>SUMIF($Y$11:$Y$2484,G215,P$11:P$2484)</f>
        <v>-251532.17000000004</v>
      </c>
      <c r="Q215" s="129"/>
      <c r="R215" s="10"/>
      <c r="S215" s="129">
        <v>1491930.4899999998</v>
      </c>
      <c r="T215" s="129">
        <f t="shared" si="91"/>
        <v>0</v>
      </c>
      <c r="U215" s="128"/>
      <c r="V215" s="175"/>
      <c r="W215" s="10"/>
      <c r="X215" s="10"/>
      <c r="Z215" t="str">
        <f>LEFT(G215,2)</f>
        <v>14</v>
      </c>
      <c r="AA215" t="str">
        <f>+Z215&amp;"00"</f>
        <v>1400</v>
      </c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1:38">
      <c r="A216" s="10"/>
      <c r="B216" s="10" t="str">
        <f t="shared" ref="B216:B279" si="92">+C216&amp;E216</f>
        <v>Above the LineSHOOT</v>
      </c>
      <c r="C216" t="s">
        <v>7</v>
      </c>
      <c r="D216" t="s">
        <v>19</v>
      </c>
      <c r="E216" t="s">
        <v>236</v>
      </c>
      <c r="G216" t="s">
        <v>312</v>
      </c>
      <c r="I216" s="10"/>
      <c r="J216" s="107">
        <f>SUMIF(Data!C:C,G216,Data!Q:Q)</f>
        <v>236250</v>
      </c>
      <c r="K216" s="107">
        <f>SUMIF(Comprometidos!A:A,'Cost Report'!G216,Comprometidos!E:E)</f>
        <v>0</v>
      </c>
      <c r="L216" s="107">
        <f t="shared" ref="L216:L261" si="93">+J216+K216</f>
        <v>236250</v>
      </c>
      <c r="M216" s="107">
        <f t="shared" ref="M216:M260" si="94">+O216-L216</f>
        <v>0</v>
      </c>
      <c r="N216" s="107">
        <f t="shared" ref="N216:N261" si="95">+L216+M216</f>
        <v>236250</v>
      </c>
      <c r="O216" s="107">
        <f>VLOOKUP(G216,Budget!$E$3:$G$2474,3,0)</f>
        <v>236250</v>
      </c>
      <c r="P216" s="107">
        <f t="shared" ref="P216:P261" si="96">+O216-N216</f>
        <v>0</v>
      </c>
      <c r="Q216" s="107"/>
      <c r="R216" s="10"/>
      <c r="S216" s="107">
        <v>236250</v>
      </c>
      <c r="T216" s="107">
        <f t="shared" si="91"/>
        <v>0</v>
      </c>
      <c r="U216" s="107"/>
      <c r="V216" s="175"/>
      <c r="W216" s="10"/>
      <c r="X216" s="10"/>
      <c r="Y216" t="str">
        <f t="shared" ref="Y216:Y279" si="97">LEFT(G216,4)</f>
        <v>1403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1:38">
      <c r="A217" s="10"/>
      <c r="B217" s="10" t="str">
        <f t="shared" si="92"/>
        <v>Above the LineSHOOT</v>
      </c>
      <c r="C217" t="s">
        <v>7</v>
      </c>
      <c r="D217" t="s">
        <v>19</v>
      </c>
      <c r="E217" t="s">
        <v>236</v>
      </c>
      <c r="F217" t="s">
        <v>355</v>
      </c>
      <c r="G217" t="s">
        <v>313</v>
      </c>
      <c r="I217" s="10"/>
      <c r="J217" s="107">
        <f>SUMIF(Data!C:C,G217,Data!Q:Q)</f>
        <v>44164.08</v>
      </c>
      <c r="K217" s="107">
        <f>SUMIF(Comprometidos!A:A,'Cost Report'!G217,Comprometidos!E:E)</f>
        <v>0</v>
      </c>
      <c r="L217" s="107">
        <f t="shared" si="93"/>
        <v>44164.08</v>
      </c>
      <c r="M217" s="107">
        <v>0</v>
      </c>
      <c r="N217" s="107">
        <f t="shared" si="95"/>
        <v>44164.08</v>
      </c>
      <c r="O217" s="107">
        <f>VLOOKUP(G217,Budget!$E$3:$G$2474,3,0)</f>
        <v>22974</v>
      </c>
      <c r="P217" s="107">
        <f t="shared" si="96"/>
        <v>-21190.080000000002</v>
      </c>
      <c r="Q217" s="107"/>
      <c r="R217" s="10"/>
      <c r="S217" s="107">
        <v>44164.08</v>
      </c>
      <c r="T217" s="107">
        <f t="shared" si="91"/>
        <v>0</v>
      </c>
      <c r="U217" s="107"/>
      <c r="V217" s="175"/>
      <c r="W217" s="10"/>
      <c r="X217" s="10"/>
      <c r="Y217" t="str">
        <f t="shared" si="97"/>
        <v>1403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1:38">
      <c r="A218" s="10"/>
      <c r="B218" s="10" t="str">
        <f t="shared" si="92"/>
        <v>Above the LineSHOOT</v>
      </c>
      <c r="C218" t="s">
        <v>7</v>
      </c>
      <c r="D218" t="s">
        <v>19</v>
      </c>
      <c r="E218" t="s">
        <v>236</v>
      </c>
      <c r="F218" t="s">
        <v>355</v>
      </c>
      <c r="G218" t="s">
        <v>314</v>
      </c>
      <c r="I218" s="10"/>
      <c r="J218" s="107">
        <f>SUMIF(Data!C:C,G218,Data!Q:Q)</f>
        <v>0</v>
      </c>
      <c r="K218" s="107">
        <f>SUMIF(Comprometidos!A:A,'Cost Report'!G218,Comprometidos!E:E)</f>
        <v>0</v>
      </c>
      <c r="L218" s="107">
        <f t="shared" si="93"/>
        <v>0</v>
      </c>
      <c r="M218" s="107">
        <f t="shared" si="94"/>
        <v>0</v>
      </c>
      <c r="N218" s="107">
        <f t="shared" si="95"/>
        <v>0</v>
      </c>
      <c r="O218" s="107">
        <f>VLOOKUP(G218,Budget!$E$3:$G$2474,3,0)</f>
        <v>0</v>
      </c>
      <c r="P218" s="107">
        <f t="shared" si="96"/>
        <v>0</v>
      </c>
      <c r="Q218" s="107"/>
      <c r="R218" s="10"/>
      <c r="S218" s="107">
        <v>0</v>
      </c>
      <c r="T218" s="107">
        <f t="shared" si="91"/>
        <v>0</v>
      </c>
      <c r="U218" s="107"/>
      <c r="V218" s="175"/>
      <c r="W218" s="10"/>
      <c r="X218" s="10"/>
      <c r="Y218" t="str">
        <f t="shared" si="97"/>
        <v>1403</v>
      </c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1:38">
      <c r="A219" s="10"/>
      <c r="B219" s="10" t="str">
        <f t="shared" si="92"/>
        <v>Above the LineSHOOT</v>
      </c>
      <c r="C219" t="s">
        <v>7</v>
      </c>
      <c r="D219" t="s">
        <v>19</v>
      </c>
      <c r="E219" t="s">
        <v>236</v>
      </c>
      <c r="F219" t="s">
        <v>355</v>
      </c>
      <c r="G219" t="s">
        <v>315</v>
      </c>
      <c r="I219" s="10"/>
      <c r="J219" s="107">
        <f>SUMIF(Data!C:C,G219,Data!Q:Q)</f>
        <v>2051.3000000000002</v>
      </c>
      <c r="K219" s="107">
        <f>SUMIF(Comprometidos!A:A,'Cost Report'!G219,Comprometidos!E:E)</f>
        <v>0</v>
      </c>
      <c r="L219" s="107">
        <f t="shared" si="93"/>
        <v>2051.3000000000002</v>
      </c>
      <c r="M219" s="107">
        <v>0</v>
      </c>
      <c r="N219" s="107">
        <f t="shared" si="95"/>
        <v>2051.3000000000002</v>
      </c>
      <c r="O219" s="107">
        <f>VLOOKUP(G219,Budget!$E$3:$G$2474,3,0)</f>
        <v>0</v>
      </c>
      <c r="P219" s="107">
        <f t="shared" si="96"/>
        <v>-2051.3000000000002</v>
      </c>
      <c r="Q219" s="107"/>
      <c r="R219" s="10"/>
      <c r="S219" s="107">
        <v>2051.3000000000002</v>
      </c>
      <c r="T219" s="107">
        <f t="shared" si="91"/>
        <v>0</v>
      </c>
      <c r="U219" s="107"/>
      <c r="V219" s="175"/>
      <c r="W219" s="10"/>
      <c r="X219" s="10"/>
      <c r="Y219" t="str">
        <f t="shared" si="97"/>
        <v>1403</v>
      </c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1:38">
      <c r="A220" s="10"/>
      <c r="B220" s="10" t="str">
        <f t="shared" si="92"/>
        <v>Above the LineSHOOT</v>
      </c>
      <c r="C220" t="s">
        <v>7</v>
      </c>
      <c r="D220" t="s">
        <v>19</v>
      </c>
      <c r="E220" t="s">
        <v>236</v>
      </c>
      <c r="F220" t="s">
        <v>355</v>
      </c>
      <c r="G220" t="s">
        <v>316</v>
      </c>
      <c r="I220" s="10"/>
      <c r="J220" s="107">
        <f>SUMIF(Data!C:C,G220,Data!Q:Q)</f>
        <v>0</v>
      </c>
      <c r="K220" s="107">
        <f>SUMIF(Comprometidos!A:A,'Cost Report'!G220,Comprometidos!E:E)</f>
        <v>0</v>
      </c>
      <c r="L220" s="107">
        <f t="shared" si="93"/>
        <v>0</v>
      </c>
      <c r="M220" s="107">
        <f t="shared" si="94"/>
        <v>0</v>
      </c>
      <c r="N220" s="107">
        <f t="shared" si="95"/>
        <v>0</v>
      </c>
      <c r="O220" s="107">
        <f>VLOOKUP(G220,Budget!$E$3:$G$2474,3,0)</f>
        <v>0</v>
      </c>
      <c r="P220" s="107">
        <f t="shared" si="96"/>
        <v>0</v>
      </c>
      <c r="Q220" s="107"/>
      <c r="R220" s="10"/>
      <c r="S220" s="107">
        <v>0</v>
      </c>
      <c r="T220" s="107">
        <f t="shared" si="91"/>
        <v>0</v>
      </c>
      <c r="U220" s="107"/>
      <c r="V220" s="175"/>
      <c r="W220" s="10"/>
      <c r="X220" s="10"/>
      <c r="Y220" t="str">
        <f t="shared" si="97"/>
        <v>1403</v>
      </c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1:38">
      <c r="A221" s="10"/>
      <c r="B221" s="10" t="str">
        <f t="shared" si="92"/>
        <v>Above the LineSHOOT</v>
      </c>
      <c r="C221" t="s">
        <v>7</v>
      </c>
      <c r="D221" t="s">
        <v>19</v>
      </c>
      <c r="E221" t="s">
        <v>236</v>
      </c>
      <c r="G221" t="s">
        <v>317</v>
      </c>
      <c r="I221" s="10"/>
      <c r="J221" s="107">
        <f>SUMIF(Data!C:C,G221,Data!Q:Q)</f>
        <v>94500</v>
      </c>
      <c r="K221" s="107">
        <f>SUMIF(Comprometidos!A:A,'Cost Report'!G221,Comprometidos!E:E)</f>
        <v>0</v>
      </c>
      <c r="L221" s="107">
        <f t="shared" si="93"/>
        <v>94500</v>
      </c>
      <c r="M221" s="107">
        <f t="shared" si="94"/>
        <v>0</v>
      </c>
      <c r="N221" s="107">
        <f t="shared" si="95"/>
        <v>94500</v>
      </c>
      <c r="O221" s="107">
        <f>VLOOKUP(G221,Budget!$E$3:$G$2474,3,0)</f>
        <v>94500</v>
      </c>
      <c r="P221" s="107">
        <f t="shared" si="96"/>
        <v>0</v>
      </c>
      <c r="Q221" s="107"/>
      <c r="R221" s="10"/>
      <c r="S221" s="107">
        <v>94500</v>
      </c>
      <c r="T221" s="107">
        <f t="shared" si="91"/>
        <v>0</v>
      </c>
      <c r="U221" s="107"/>
      <c r="V221" s="175"/>
      <c r="W221" s="10"/>
      <c r="X221" s="10"/>
      <c r="Y221" t="str">
        <f t="shared" si="97"/>
        <v>1403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1:38">
      <c r="A222" s="10"/>
      <c r="B222" s="10" t="str">
        <f t="shared" si="92"/>
        <v>Above the LineSHOOT</v>
      </c>
      <c r="C222" t="s">
        <v>7</v>
      </c>
      <c r="D222" t="s">
        <v>19</v>
      </c>
      <c r="E222" t="s">
        <v>236</v>
      </c>
      <c r="F222" t="s">
        <v>355</v>
      </c>
      <c r="G222" t="s">
        <v>318</v>
      </c>
      <c r="I222" s="10"/>
      <c r="J222" s="107">
        <f>SUMIF(Data!C:C,G222,Data!Q:Q)</f>
        <v>22182.22</v>
      </c>
      <c r="K222" s="107">
        <f>SUMIF(Comprometidos!A:A,'Cost Report'!G222,Comprometidos!E:E)</f>
        <v>0</v>
      </c>
      <c r="L222" s="107">
        <f t="shared" si="93"/>
        <v>22182.22</v>
      </c>
      <c r="M222" s="107">
        <v>0</v>
      </c>
      <c r="N222" s="107">
        <f t="shared" si="95"/>
        <v>22182.22</v>
      </c>
      <c r="O222" s="107">
        <f>VLOOKUP(G222,Budget!$E$3:$G$2474,3,0)</f>
        <v>16410</v>
      </c>
      <c r="P222" s="107">
        <f t="shared" si="96"/>
        <v>-5772.2200000000012</v>
      </c>
      <c r="Q222" s="107"/>
      <c r="R222" s="10"/>
      <c r="S222" s="107">
        <v>22182.22</v>
      </c>
      <c r="T222" s="107">
        <f t="shared" si="91"/>
        <v>0</v>
      </c>
      <c r="U222" s="107"/>
      <c r="V222" s="175"/>
      <c r="W222" s="10"/>
      <c r="X222" s="10"/>
      <c r="Y222" t="str">
        <f t="shared" si="97"/>
        <v>1403</v>
      </c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1:38">
      <c r="A223" s="10"/>
      <c r="B223" s="10" t="str">
        <f t="shared" si="92"/>
        <v>Above the LineSHOOT</v>
      </c>
      <c r="C223" t="s">
        <v>7</v>
      </c>
      <c r="D223" t="s">
        <v>19</v>
      </c>
      <c r="E223" t="s">
        <v>236</v>
      </c>
      <c r="F223" t="s">
        <v>355</v>
      </c>
      <c r="G223" t="s">
        <v>319</v>
      </c>
      <c r="I223" s="10"/>
      <c r="J223" s="107">
        <f>SUMIF(Data!C:C,G223,Data!Q:Q)</f>
        <v>4500.84</v>
      </c>
      <c r="K223" s="107">
        <f>SUMIF(Comprometidos!A:A,'Cost Report'!G223,Comprometidos!E:E)</f>
        <v>0</v>
      </c>
      <c r="L223" s="107">
        <f t="shared" si="93"/>
        <v>4500.84</v>
      </c>
      <c r="M223" s="107">
        <v>0</v>
      </c>
      <c r="N223" s="107">
        <f t="shared" si="95"/>
        <v>4500.84</v>
      </c>
      <c r="O223" s="107">
        <f>VLOOKUP(G223,Budget!$E$3:$G$2474,3,0)</f>
        <v>0</v>
      </c>
      <c r="P223" s="107">
        <f t="shared" si="96"/>
        <v>-4500.84</v>
      </c>
      <c r="Q223" s="107"/>
      <c r="R223" s="10"/>
      <c r="S223" s="107">
        <v>4500.84</v>
      </c>
      <c r="T223" s="107">
        <f t="shared" si="91"/>
        <v>0</v>
      </c>
      <c r="U223" s="107"/>
      <c r="V223" s="175"/>
      <c r="W223" s="10"/>
      <c r="X223" s="10"/>
      <c r="Y223" t="str">
        <f t="shared" si="97"/>
        <v>1403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1:38">
      <c r="A224" s="10"/>
      <c r="B224" s="10" t="str">
        <f t="shared" si="92"/>
        <v>Above the LineSHOOT</v>
      </c>
      <c r="C224" t="s">
        <v>7</v>
      </c>
      <c r="D224" t="s">
        <v>19</v>
      </c>
      <c r="E224" t="s">
        <v>236</v>
      </c>
      <c r="F224" t="s">
        <v>355</v>
      </c>
      <c r="G224" t="s">
        <v>320</v>
      </c>
      <c r="I224" s="10"/>
      <c r="J224" s="107">
        <f>SUMIF(Data!C:C,G224,Data!Q:Q)</f>
        <v>18944.64</v>
      </c>
      <c r="K224" s="107">
        <f>SUMIF(Comprometidos!A:A,'Cost Report'!G224,Comprometidos!E:E)</f>
        <v>0</v>
      </c>
      <c r="L224" s="107">
        <f t="shared" si="93"/>
        <v>18944.64</v>
      </c>
      <c r="M224" s="107">
        <v>0</v>
      </c>
      <c r="N224" s="107">
        <f t="shared" si="95"/>
        <v>18944.64</v>
      </c>
      <c r="O224" s="107">
        <f>VLOOKUP(G224,Budget!$E$3:$G$2474,3,0)</f>
        <v>0</v>
      </c>
      <c r="P224" s="107">
        <f t="shared" si="96"/>
        <v>-18944.64</v>
      </c>
      <c r="Q224" s="107"/>
      <c r="R224" s="10"/>
      <c r="S224" s="107">
        <v>18944.64</v>
      </c>
      <c r="T224" s="107">
        <f t="shared" si="91"/>
        <v>0</v>
      </c>
      <c r="U224" s="107"/>
      <c r="V224" s="175"/>
      <c r="W224" s="10"/>
      <c r="X224" s="10"/>
      <c r="Y224" t="str">
        <f t="shared" si="97"/>
        <v>1403</v>
      </c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1:38">
      <c r="A225" s="10"/>
      <c r="B225" s="10" t="str">
        <f t="shared" si="92"/>
        <v>Above the LineSHOOT</v>
      </c>
      <c r="C225" t="s">
        <v>7</v>
      </c>
      <c r="D225" t="s">
        <v>19</v>
      </c>
      <c r="E225" t="s">
        <v>236</v>
      </c>
      <c r="F225" t="s">
        <v>355</v>
      </c>
      <c r="G225" t="s">
        <v>321</v>
      </c>
      <c r="I225" s="10"/>
      <c r="J225" s="107">
        <f>SUMIF(Data!C:C,G225,Data!Q:Q)</f>
        <v>0</v>
      </c>
      <c r="K225" s="107">
        <f>SUMIF(Comprometidos!A:A,'Cost Report'!G225,Comprometidos!E:E)</f>
        <v>0</v>
      </c>
      <c r="L225" s="107">
        <f t="shared" si="93"/>
        <v>0</v>
      </c>
      <c r="M225" s="107">
        <v>0</v>
      </c>
      <c r="N225" s="107">
        <f t="shared" si="95"/>
        <v>0</v>
      </c>
      <c r="O225" s="107">
        <f>VLOOKUP(G225,Budget!$E$3:$G$2474,3,0)</f>
        <v>2100</v>
      </c>
      <c r="P225" s="107">
        <f t="shared" si="96"/>
        <v>2100</v>
      </c>
      <c r="Q225" s="107"/>
      <c r="R225" s="10"/>
      <c r="S225" s="107">
        <v>0</v>
      </c>
      <c r="T225" s="107">
        <f t="shared" si="91"/>
        <v>0</v>
      </c>
      <c r="U225" s="107"/>
      <c r="V225" s="175"/>
      <c r="W225" s="10"/>
      <c r="X225" s="10"/>
      <c r="Y225" t="str">
        <f t="shared" si="97"/>
        <v>1403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1:38">
      <c r="A226" s="10"/>
      <c r="B226" s="10" t="str">
        <f t="shared" si="92"/>
        <v>Above the LineSHOOT</v>
      </c>
      <c r="C226" t="s">
        <v>7</v>
      </c>
      <c r="D226" t="s">
        <v>19</v>
      </c>
      <c r="E226" t="s">
        <v>236</v>
      </c>
      <c r="G226" t="s">
        <v>322</v>
      </c>
      <c r="I226" s="10"/>
      <c r="J226" s="107">
        <f>SUMIF(Data!C:C,G226,Data!Q:Q)</f>
        <v>58800</v>
      </c>
      <c r="K226" s="107">
        <f>SUMIF(Comprometidos!A:A,'Cost Report'!G226,Comprometidos!E:E)</f>
        <v>0</v>
      </c>
      <c r="L226" s="107">
        <f t="shared" si="93"/>
        <v>58800</v>
      </c>
      <c r="M226" s="107">
        <v>0</v>
      </c>
      <c r="N226" s="107">
        <f t="shared" si="95"/>
        <v>58800</v>
      </c>
      <c r="O226" s="107">
        <f>VLOOKUP(G226,Budget!$E$3:$G$2474,3,0)</f>
        <v>61678.32</v>
      </c>
      <c r="P226" s="107">
        <f t="shared" si="96"/>
        <v>2878.3199999999997</v>
      </c>
      <c r="Q226" s="107"/>
      <c r="R226" s="10"/>
      <c r="S226" s="107">
        <v>58800</v>
      </c>
      <c r="T226" s="107">
        <f t="shared" si="91"/>
        <v>0</v>
      </c>
      <c r="U226" s="107"/>
      <c r="V226" s="175"/>
      <c r="W226" s="10"/>
      <c r="X226" s="10"/>
      <c r="Y226" t="str">
        <f t="shared" si="97"/>
        <v>1403</v>
      </c>
      <c r="AB226" s="10"/>
      <c r="AC226" s="10"/>
      <c r="AD226" s="10"/>
      <c r="AE226" s="10"/>
      <c r="AF226" s="10"/>
      <c r="AG226" s="10"/>
      <c r="AH226" s="10"/>
      <c r="AI226" s="10"/>
    </row>
    <row r="227" spans="1:38">
      <c r="A227" s="10"/>
      <c r="B227" s="10" t="str">
        <f t="shared" si="92"/>
        <v>Above the LineSHOOT</v>
      </c>
      <c r="C227" t="s">
        <v>7</v>
      </c>
      <c r="D227" t="s">
        <v>19</v>
      </c>
      <c r="E227" t="s">
        <v>236</v>
      </c>
      <c r="F227" t="s">
        <v>355</v>
      </c>
      <c r="G227" t="s">
        <v>323</v>
      </c>
      <c r="I227" s="10"/>
      <c r="J227" s="107">
        <f>SUMIF(Data!C:C,G227,Data!Q:Q)</f>
        <v>18501.88</v>
      </c>
      <c r="K227" s="107">
        <f>SUMIF(Comprometidos!A:A,'Cost Report'!G227,Comprometidos!E:E)</f>
        <v>0</v>
      </c>
      <c r="L227" s="107">
        <f t="shared" si="93"/>
        <v>18501.88</v>
      </c>
      <c r="M227" s="107">
        <v>0</v>
      </c>
      <c r="N227" s="107">
        <f t="shared" si="95"/>
        <v>18501.88</v>
      </c>
      <c r="O227" s="107">
        <f>VLOOKUP(G227,Budget!$E$3:$G$2474,3,0)</f>
        <v>16410</v>
      </c>
      <c r="P227" s="107">
        <f t="shared" si="96"/>
        <v>-2091.880000000001</v>
      </c>
      <c r="Q227" s="107"/>
      <c r="R227" s="10"/>
      <c r="S227" s="107">
        <v>18501.88</v>
      </c>
      <c r="T227" s="107">
        <f t="shared" si="91"/>
        <v>0</v>
      </c>
      <c r="U227" s="107"/>
      <c r="V227" s="175"/>
      <c r="W227" s="10"/>
      <c r="X227" s="10"/>
      <c r="Y227" t="str">
        <f t="shared" si="97"/>
        <v>1403</v>
      </c>
      <c r="AB227" s="10"/>
      <c r="AC227" s="10"/>
      <c r="AD227" s="10"/>
      <c r="AE227" s="10"/>
      <c r="AF227" s="10"/>
      <c r="AG227" s="10"/>
      <c r="AH227" s="10"/>
      <c r="AI227" s="10"/>
    </row>
    <row r="228" spans="1:38">
      <c r="A228" s="10"/>
      <c r="B228" s="10" t="str">
        <f t="shared" si="92"/>
        <v>Above the LineSHOOT</v>
      </c>
      <c r="C228" t="s">
        <v>7</v>
      </c>
      <c r="D228" t="s">
        <v>19</v>
      </c>
      <c r="E228" t="s">
        <v>236</v>
      </c>
      <c r="F228" t="s">
        <v>355</v>
      </c>
      <c r="G228" t="s">
        <v>324</v>
      </c>
      <c r="I228" s="10"/>
      <c r="J228" s="107">
        <f>SUMIF(Data!C:C,G228,Data!Q:Q)</f>
        <v>0</v>
      </c>
      <c r="K228" s="107">
        <f>SUMIF(Comprometidos!A:A,'Cost Report'!G228,Comprometidos!E:E)</f>
        <v>0</v>
      </c>
      <c r="L228" s="107">
        <f t="shared" si="93"/>
        <v>0</v>
      </c>
      <c r="M228" s="107">
        <f t="shared" si="94"/>
        <v>0</v>
      </c>
      <c r="N228" s="107">
        <f t="shared" si="95"/>
        <v>0</v>
      </c>
      <c r="O228" s="107">
        <f>VLOOKUP(G228,Budget!$E$3:$G$2474,3,0)</f>
        <v>0</v>
      </c>
      <c r="P228" s="107">
        <f t="shared" si="96"/>
        <v>0</v>
      </c>
      <c r="Q228" s="107"/>
      <c r="R228" s="10"/>
      <c r="S228" s="107">
        <v>0</v>
      </c>
      <c r="T228" s="107">
        <f t="shared" si="91"/>
        <v>0</v>
      </c>
      <c r="U228" s="107"/>
      <c r="V228" s="175"/>
      <c r="W228" s="10"/>
      <c r="X228" s="10"/>
      <c r="Y228" t="str">
        <f t="shared" si="97"/>
        <v>1403</v>
      </c>
      <c r="AB228" s="10"/>
      <c r="AC228" s="10"/>
      <c r="AD228" s="10"/>
      <c r="AE228" s="10"/>
      <c r="AF228" s="10"/>
      <c r="AG228" s="10"/>
      <c r="AH228" s="10"/>
      <c r="AI228" s="10"/>
    </row>
    <row r="229" spans="1:38">
      <c r="A229" s="10"/>
      <c r="B229" s="10" t="str">
        <f t="shared" si="92"/>
        <v>Above the LineSHOOT</v>
      </c>
      <c r="C229" t="s">
        <v>7</v>
      </c>
      <c r="D229" t="s">
        <v>19</v>
      </c>
      <c r="E229" t="s">
        <v>236</v>
      </c>
      <c r="F229" t="s">
        <v>355</v>
      </c>
      <c r="G229" t="s">
        <v>325</v>
      </c>
      <c r="I229" s="10"/>
      <c r="J229" s="107">
        <f>SUMIF(Data!C:C,G229,Data!Q:Q)</f>
        <v>19792.66</v>
      </c>
      <c r="K229" s="107">
        <f>SUMIF(Comprometidos!A:A,'Cost Report'!G229,Comprometidos!E:E)</f>
        <v>0</v>
      </c>
      <c r="L229" s="107">
        <f t="shared" si="93"/>
        <v>19792.66</v>
      </c>
      <c r="M229" s="107">
        <v>0</v>
      </c>
      <c r="N229" s="107">
        <f t="shared" si="95"/>
        <v>19792.66</v>
      </c>
      <c r="O229" s="107">
        <f>VLOOKUP(G229,Budget!$E$3:$G$2474,3,0)</f>
        <v>0</v>
      </c>
      <c r="P229" s="107">
        <f t="shared" si="96"/>
        <v>-19792.66</v>
      </c>
      <c r="Q229" s="107"/>
      <c r="R229" s="10"/>
      <c r="S229" s="107">
        <v>19792.66</v>
      </c>
      <c r="T229" s="107">
        <f t="shared" si="91"/>
        <v>0</v>
      </c>
      <c r="U229" s="107"/>
      <c r="V229" s="175"/>
      <c r="W229" s="10"/>
      <c r="X229" s="10"/>
      <c r="Y229" t="str">
        <f t="shared" si="97"/>
        <v>1403</v>
      </c>
      <c r="AB229" s="10"/>
      <c r="AC229" s="10"/>
      <c r="AD229" s="10"/>
      <c r="AE229" s="10"/>
      <c r="AF229" s="10"/>
      <c r="AG229" s="10"/>
      <c r="AH229" s="10"/>
      <c r="AI229" s="10"/>
    </row>
    <row r="230" spans="1:38">
      <c r="A230" s="10"/>
      <c r="B230" s="10" t="str">
        <f t="shared" si="92"/>
        <v>Above the LineSHOOT</v>
      </c>
      <c r="C230" t="s">
        <v>7</v>
      </c>
      <c r="D230" t="s">
        <v>19</v>
      </c>
      <c r="E230" t="s">
        <v>236</v>
      </c>
      <c r="F230" t="s">
        <v>355</v>
      </c>
      <c r="G230" t="s">
        <v>326</v>
      </c>
      <c r="I230" s="10"/>
      <c r="J230" s="107">
        <f>SUMIF(Data!C:C,G230,Data!Q:Q)</f>
        <v>0</v>
      </c>
      <c r="K230" s="107">
        <f>SUMIF(Comprometidos!A:A,'Cost Report'!G230,Comprometidos!E:E)</f>
        <v>0</v>
      </c>
      <c r="L230" s="107">
        <f t="shared" si="93"/>
        <v>0</v>
      </c>
      <c r="M230" s="107">
        <f t="shared" si="94"/>
        <v>0</v>
      </c>
      <c r="N230" s="107">
        <f t="shared" si="95"/>
        <v>0</v>
      </c>
      <c r="O230" s="107">
        <f>VLOOKUP(G230,Budget!$E$3:$G$2474,3,0)</f>
        <v>0</v>
      </c>
      <c r="P230" s="107">
        <f t="shared" si="96"/>
        <v>0</v>
      </c>
      <c r="Q230" s="107"/>
      <c r="R230" s="10"/>
      <c r="S230" s="107">
        <v>0</v>
      </c>
      <c r="T230" s="107">
        <f t="shared" si="91"/>
        <v>0</v>
      </c>
      <c r="U230" s="107"/>
      <c r="V230" s="175"/>
      <c r="W230" s="10"/>
      <c r="X230" s="10"/>
      <c r="Y230" t="str">
        <f t="shared" si="97"/>
        <v>1403</v>
      </c>
      <c r="AB230" s="10"/>
      <c r="AC230" s="10"/>
      <c r="AD230" s="10"/>
      <c r="AE230" s="10"/>
      <c r="AF230" s="10"/>
      <c r="AG230" s="10"/>
      <c r="AH230" s="10"/>
      <c r="AI230" s="10"/>
    </row>
    <row r="231" spans="1:38">
      <c r="A231" s="10"/>
      <c r="B231" s="10" t="str">
        <f t="shared" si="92"/>
        <v>Above the LineSHOOT</v>
      </c>
      <c r="C231" t="s">
        <v>7</v>
      </c>
      <c r="D231" t="s">
        <v>19</v>
      </c>
      <c r="E231" t="s">
        <v>236</v>
      </c>
      <c r="F231" t="s">
        <v>5396</v>
      </c>
      <c r="G231" t="s">
        <v>327</v>
      </c>
      <c r="I231" s="10"/>
      <c r="J231" s="107">
        <f>SUMIF(Data!C:C,G231,Data!Q:Q)</f>
        <v>63000</v>
      </c>
      <c r="K231" s="107">
        <f>SUMIF(Comprometidos!A:A,'Cost Report'!G231,Comprometidos!E:E)</f>
        <v>0</v>
      </c>
      <c r="L231" s="107">
        <f t="shared" si="93"/>
        <v>63000</v>
      </c>
      <c r="M231" s="107">
        <v>0</v>
      </c>
      <c r="N231" s="107">
        <f t="shared" si="95"/>
        <v>63000</v>
      </c>
      <c r="O231" s="107">
        <f>VLOOKUP(G231,Budget!$E$3:$G$2474,3,0)</f>
        <v>94500</v>
      </c>
      <c r="P231" s="107">
        <f t="shared" si="96"/>
        <v>31500</v>
      </c>
      <c r="Q231" s="107"/>
      <c r="R231" s="10"/>
      <c r="S231" s="107">
        <v>63000</v>
      </c>
      <c r="T231" s="107">
        <f t="shared" si="91"/>
        <v>0</v>
      </c>
      <c r="U231" s="107"/>
      <c r="V231" s="175"/>
      <c r="W231" s="10"/>
      <c r="X231" s="10"/>
      <c r="Y231" t="str">
        <f t="shared" si="97"/>
        <v>1403</v>
      </c>
      <c r="AB231" s="10"/>
      <c r="AC231" s="10"/>
      <c r="AD231" s="10"/>
      <c r="AE231" s="10"/>
      <c r="AF231" s="10"/>
      <c r="AG231" s="10"/>
      <c r="AH231" s="10"/>
      <c r="AI231" s="10"/>
    </row>
    <row r="232" spans="1:38">
      <c r="A232" s="10"/>
      <c r="B232" s="10" t="str">
        <f t="shared" si="92"/>
        <v>Above the LineSHOOT</v>
      </c>
      <c r="C232" t="s">
        <v>7</v>
      </c>
      <c r="D232" t="s">
        <v>19</v>
      </c>
      <c r="E232" t="s">
        <v>236</v>
      </c>
      <c r="F232" t="s">
        <v>355</v>
      </c>
      <c r="G232" t="s">
        <v>328</v>
      </c>
      <c r="I232" s="10"/>
      <c r="J232" s="107">
        <f>SUMIF(Data!C:C,G232,Data!Q:Q)</f>
        <v>76542.33</v>
      </c>
      <c r="K232" s="107">
        <f>SUMIF(Comprometidos!A:A,'Cost Report'!G232,Comprometidos!E:E)</f>
        <v>0</v>
      </c>
      <c r="L232" s="107">
        <f t="shared" si="93"/>
        <v>76542.33</v>
      </c>
      <c r="M232" s="107">
        <v>0</v>
      </c>
      <c r="N232" s="107">
        <f t="shared" si="95"/>
        <v>76542.33</v>
      </c>
      <c r="O232" s="107">
        <f>VLOOKUP(G232,Budget!$E$3:$G$2474,3,0)</f>
        <v>39384</v>
      </c>
      <c r="P232" s="107">
        <f t="shared" si="96"/>
        <v>-37158.33</v>
      </c>
      <c r="Q232" s="107"/>
      <c r="R232" s="10"/>
      <c r="S232" s="107">
        <v>76542.33</v>
      </c>
      <c r="T232" s="107">
        <f t="shared" si="91"/>
        <v>0</v>
      </c>
      <c r="U232" s="107"/>
      <c r="V232" s="175"/>
      <c r="W232" s="10"/>
      <c r="X232" s="10"/>
      <c r="Y232" t="str">
        <f t="shared" si="97"/>
        <v>1403</v>
      </c>
      <c r="AB232" s="10"/>
      <c r="AC232" s="10"/>
      <c r="AD232" s="10"/>
      <c r="AE232" s="10"/>
      <c r="AF232" s="10"/>
      <c r="AG232" s="10"/>
      <c r="AH232" s="10"/>
      <c r="AI232" s="10"/>
    </row>
    <row r="233" spans="1:38">
      <c r="A233" s="10"/>
      <c r="B233" s="10" t="str">
        <f t="shared" si="92"/>
        <v>Above the LineSHOOT</v>
      </c>
      <c r="C233" t="s">
        <v>7</v>
      </c>
      <c r="D233" t="s">
        <v>19</v>
      </c>
      <c r="E233" t="s">
        <v>236</v>
      </c>
      <c r="F233" t="s">
        <v>355</v>
      </c>
      <c r="G233" t="s">
        <v>329</v>
      </c>
      <c r="I233" s="10"/>
      <c r="J233" s="107">
        <f>SUMIF(Data!C:C,G233,Data!Q:Q)</f>
        <v>0</v>
      </c>
      <c r="K233" s="107">
        <f>SUMIF(Comprometidos!A:A,'Cost Report'!G233,Comprometidos!E:E)</f>
        <v>0</v>
      </c>
      <c r="L233" s="107">
        <f t="shared" si="93"/>
        <v>0</v>
      </c>
      <c r="M233" s="107">
        <f t="shared" si="94"/>
        <v>0</v>
      </c>
      <c r="N233" s="107">
        <f t="shared" si="95"/>
        <v>0</v>
      </c>
      <c r="O233" s="107">
        <f>VLOOKUP(G233,Budget!$E$3:$G$2474,3,0)</f>
        <v>0</v>
      </c>
      <c r="P233" s="107">
        <f t="shared" si="96"/>
        <v>0</v>
      </c>
      <c r="Q233" s="107"/>
      <c r="R233" s="10"/>
      <c r="S233" s="107">
        <v>0</v>
      </c>
      <c r="T233" s="107">
        <f t="shared" si="91"/>
        <v>0</v>
      </c>
      <c r="U233" s="107"/>
      <c r="V233" s="175"/>
      <c r="W233" s="10"/>
      <c r="X233" s="10"/>
      <c r="Y233" t="str">
        <f t="shared" si="97"/>
        <v>1403</v>
      </c>
      <c r="AB233" s="10"/>
      <c r="AC233" s="10"/>
      <c r="AD233" s="10"/>
      <c r="AE233" s="10"/>
      <c r="AF233" s="10"/>
      <c r="AG233" s="10"/>
      <c r="AH233" s="10"/>
      <c r="AI233" s="10"/>
    </row>
    <row r="234" spans="1:38">
      <c r="A234" s="10"/>
      <c r="B234" s="10" t="str">
        <f t="shared" si="92"/>
        <v>Above the LineSHOOT</v>
      </c>
      <c r="C234" t="s">
        <v>7</v>
      </c>
      <c r="D234" t="s">
        <v>19</v>
      </c>
      <c r="E234" t="s">
        <v>236</v>
      </c>
      <c r="F234" t="s">
        <v>355</v>
      </c>
      <c r="G234" t="s">
        <v>330</v>
      </c>
      <c r="I234" s="10"/>
      <c r="J234" s="107">
        <f>SUMIF(Data!C:C,G234,Data!Q:Q)</f>
        <v>28852.699999999997</v>
      </c>
      <c r="K234" s="107">
        <f>SUMIF(Comprometidos!A:A,'Cost Report'!G234,Comprometidos!E:E)</f>
        <v>0</v>
      </c>
      <c r="L234" s="107">
        <f t="shared" si="93"/>
        <v>28852.699999999997</v>
      </c>
      <c r="M234" s="107">
        <v>0</v>
      </c>
      <c r="N234" s="107">
        <f t="shared" si="95"/>
        <v>28852.699999999997</v>
      </c>
      <c r="O234" s="107">
        <f>VLOOKUP(G234,Budget!$E$3:$G$2474,3,0)</f>
        <v>19692</v>
      </c>
      <c r="P234" s="107">
        <f t="shared" si="96"/>
        <v>-9160.6999999999971</v>
      </c>
      <c r="Q234" s="107"/>
      <c r="R234" s="10"/>
      <c r="S234" s="107">
        <v>28852.699999999997</v>
      </c>
      <c r="T234" s="107">
        <f t="shared" si="91"/>
        <v>0</v>
      </c>
      <c r="U234" s="107"/>
      <c r="V234" s="175"/>
      <c r="W234" s="10"/>
      <c r="X234" s="10"/>
      <c r="Y234" t="str">
        <f t="shared" si="97"/>
        <v>1403</v>
      </c>
      <c r="AB234" s="10"/>
      <c r="AC234" s="10"/>
      <c r="AD234" s="10"/>
      <c r="AE234" s="10"/>
      <c r="AF234" s="10"/>
      <c r="AG234" s="10"/>
      <c r="AH234" s="10"/>
      <c r="AI234" s="10"/>
    </row>
    <row r="235" spans="1:38">
      <c r="A235" s="10"/>
      <c r="B235" s="10" t="str">
        <f t="shared" si="92"/>
        <v>Above the LineSHOOT</v>
      </c>
      <c r="C235" t="s">
        <v>7</v>
      </c>
      <c r="D235" t="s">
        <v>19</v>
      </c>
      <c r="E235" t="s">
        <v>236</v>
      </c>
      <c r="F235" t="s">
        <v>355</v>
      </c>
      <c r="G235" t="s">
        <v>331</v>
      </c>
      <c r="I235" s="10"/>
      <c r="J235" s="107">
        <f>SUMIF(Data!C:C,G235,Data!Q:Q)</f>
        <v>0</v>
      </c>
      <c r="K235" s="107">
        <f>SUMIF(Comprometidos!A:A,'Cost Report'!G235,Comprometidos!E:E)</f>
        <v>0</v>
      </c>
      <c r="L235" s="107">
        <f t="shared" si="93"/>
        <v>0</v>
      </c>
      <c r="M235" s="107">
        <f t="shared" si="94"/>
        <v>0</v>
      </c>
      <c r="N235" s="107">
        <f t="shared" si="95"/>
        <v>0</v>
      </c>
      <c r="O235" s="107">
        <f>VLOOKUP(G235,Budget!$E$3:$G$2474,3,0)</f>
        <v>0</v>
      </c>
      <c r="P235" s="107">
        <f t="shared" si="96"/>
        <v>0</v>
      </c>
      <c r="Q235" s="107"/>
      <c r="R235" s="10"/>
      <c r="S235" s="107">
        <v>0</v>
      </c>
      <c r="T235" s="107">
        <f t="shared" si="91"/>
        <v>0</v>
      </c>
      <c r="U235" s="107"/>
      <c r="V235" s="175"/>
      <c r="W235" s="10"/>
      <c r="X235" s="10"/>
      <c r="Y235" t="str">
        <f t="shared" si="97"/>
        <v>1403</v>
      </c>
      <c r="AB235" s="10"/>
      <c r="AC235" s="10"/>
      <c r="AD235" s="10"/>
      <c r="AE235" s="10"/>
      <c r="AF235" s="10"/>
      <c r="AG235" s="10"/>
      <c r="AH235" s="10"/>
      <c r="AI235" s="10"/>
    </row>
    <row r="236" spans="1:38">
      <c r="A236" s="10"/>
      <c r="B236" s="10" t="str">
        <f t="shared" si="92"/>
        <v>Above the LineSHOOT</v>
      </c>
      <c r="C236" t="s">
        <v>7</v>
      </c>
      <c r="D236" t="s">
        <v>19</v>
      </c>
      <c r="E236" t="s">
        <v>236</v>
      </c>
      <c r="G236" t="s">
        <v>332</v>
      </c>
      <c r="I236" s="10"/>
      <c r="J236" s="107">
        <f>SUMIF(Data!C:C,G236,Data!Q:Q)</f>
        <v>131250</v>
      </c>
      <c r="K236" s="107">
        <f>SUMIF(Comprometidos!A:A,'Cost Report'!G236,Comprometidos!E:E)</f>
        <v>0</v>
      </c>
      <c r="L236" s="107">
        <f t="shared" si="93"/>
        <v>131250</v>
      </c>
      <c r="M236" s="107">
        <v>0</v>
      </c>
      <c r="N236" s="107">
        <f t="shared" si="95"/>
        <v>131250</v>
      </c>
      <c r="O236" s="107">
        <f>VLOOKUP(G236,Budget!$E$3:$G$2474,3,0)</f>
        <v>105000</v>
      </c>
      <c r="P236" s="107">
        <f t="shared" si="96"/>
        <v>-26250</v>
      </c>
      <c r="Q236" s="107"/>
      <c r="R236" s="10"/>
      <c r="S236" s="107">
        <v>131250</v>
      </c>
      <c r="T236" s="107">
        <f t="shared" si="91"/>
        <v>0</v>
      </c>
      <c r="U236" s="107"/>
      <c r="V236" s="175"/>
      <c r="W236" s="10"/>
      <c r="X236" s="10"/>
      <c r="Y236" t="str">
        <f t="shared" si="97"/>
        <v>1403</v>
      </c>
      <c r="AB236" s="10"/>
      <c r="AC236" s="10"/>
      <c r="AD236" s="10"/>
      <c r="AE236" s="10"/>
      <c r="AF236" s="10"/>
      <c r="AG236" s="10"/>
      <c r="AH236" s="10"/>
      <c r="AI236" s="10"/>
    </row>
    <row r="237" spans="1:38">
      <c r="A237" s="10"/>
      <c r="B237" s="10" t="str">
        <f t="shared" si="92"/>
        <v>Above the LineSHOOT</v>
      </c>
      <c r="C237" t="s">
        <v>7</v>
      </c>
      <c r="D237" t="s">
        <v>19</v>
      </c>
      <c r="E237" t="s">
        <v>236</v>
      </c>
      <c r="F237" t="s">
        <v>355</v>
      </c>
      <c r="G237" t="s">
        <v>333</v>
      </c>
      <c r="I237" s="10"/>
      <c r="J237" s="107">
        <f>SUMIF(Data!C:C,G237,Data!Q:Q)</f>
        <v>42595.45</v>
      </c>
      <c r="K237" s="107">
        <f>SUMIF(Comprometidos!A:A,'Cost Report'!G237,Comprometidos!E:E)</f>
        <v>0</v>
      </c>
      <c r="L237" s="107">
        <f t="shared" si="93"/>
        <v>42595.45</v>
      </c>
      <c r="M237" s="107">
        <v>0</v>
      </c>
      <c r="N237" s="107">
        <f t="shared" si="95"/>
        <v>42595.45</v>
      </c>
      <c r="O237" s="107">
        <f>VLOOKUP(G237,Budget!$E$3:$G$2474,3,0)</f>
        <v>16410</v>
      </c>
      <c r="P237" s="107">
        <f t="shared" si="96"/>
        <v>-26185.449999999997</v>
      </c>
      <c r="Q237" s="107"/>
      <c r="R237" s="10"/>
      <c r="S237" s="107">
        <v>42595.45</v>
      </c>
      <c r="T237" s="107">
        <f t="shared" si="91"/>
        <v>0</v>
      </c>
      <c r="U237" s="107"/>
      <c r="V237" s="175"/>
      <c r="W237" s="10"/>
      <c r="X237" s="10"/>
      <c r="Y237" t="str">
        <f t="shared" si="97"/>
        <v>1403</v>
      </c>
      <c r="AB237" s="10"/>
      <c r="AC237" s="10"/>
      <c r="AD237" s="10"/>
      <c r="AE237" s="10"/>
      <c r="AF237" s="10"/>
      <c r="AG237" s="10"/>
      <c r="AH237" s="10"/>
      <c r="AI237" s="10"/>
    </row>
    <row r="238" spans="1:38">
      <c r="A238" s="10"/>
      <c r="B238" s="10" t="str">
        <f t="shared" si="92"/>
        <v>Above the LineSHOOT</v>
      </c>
      <c r="C238" t="s">
        <v>7</v>
      </c>
      <c r="D238" t="s">
        <v>19</v>
      </c>
      <c r="E238" t="s">
        <v>236</v>
      </c>
      <c r="F238" t="s">
        <v>355</v>
      </c>
      <c r="G238" t="s">
        <v>334</v>
      </c>
      <c r="I238" s="10"/>
      <c r="J238" s="107">
        <f>SUMIF(Data!C:C,G238,Data!Q:Q)</f>
        <v>0</v>
      </c>
      <c r="K238" s="107">
        <f>SUMIF(Comprometidos!A:A,'Cost Report'!G238,Comprometidos!E:E)</f>
        <v>0</v>
      </c>
      <c r="L238" s="107">
        <f t="shared" si="93"/>
        <v>0</v>
      </c>
      <c r="M238" s="107">
        <v>0</v>
      </c>
      <c r="N238" s="107">
        <f t="shared" si="95"/>
        <v>0</v>
      </c>
      <c r="O238" s="107">
        <f>VLOOKUP(G238,Budget!$E$3:$G$2474,3,0)</f>
        <v>13128</v>
      </c>
      <c r="P238" s="107">
        <f t="shared" si="96"/>
        <v>13128</v>
      </c>
      <c r="Q238" s="107"/>
      <c r="R238" s="10"/>
      <c r="S238" s="107">
        <v>0</v>
      </c>
      <c r="T238" s="107">
        <f t="shared" si="91"/>
        <v>0</v>
      </c>
      <c r="U238" s="107"/>
      <c r="V238" s="175"/>
      <c r="W238" s="10"/>
      <c r="X238" s="10"/>
      <c r="Y238" t="str">
        <f t="shared" si="97"/>
        <v>1403</v>
      </c>
      <c r="AB238" s="10"/>
      <c r="AC238" s="10"/>
      <c r="AD238" s="10"/>
      <c r="AE238" s="10"/>
      <c r="AF238" s="10"/>
      <c r="AG238" s="10"/>
      <c r="AH238" s="10"/>
      <c r="AI238" s="10"/>
    </row>
    <row r="239" spans="1:38">
      <c r="A239" s="10"/>
      <c r="B239" s="10" t="str">
        <f t="shared" si="92"/>
        <v>Above the LineSHOOT</v>
      </c>
      <c r="C239" t="s">
        <v>7</v>
      </c>
      <c r="D239" t="s">
        <v>19</v>
      </c>
      <c r="E239" t="s">
        <v>236</v>
      </c>
      <c r="F239" t="s">
        <v>355</v>
      </c>
      <c r="G239" t="s">
        <v>335</v>
      </c>
      <c r="I239" s="10"/>
      <c r="J239" s="107">
        <f>SUMIF(Data!C:C,G239,Data!Q:Q)</f>
        <v>18798.02</v>
      </c>
      <c r="K239" s="107">
        <f>SUMIF(Comprometidos!A:A,'Cost Report'!G239,Comprometidos!E:E)</f>
        <v>0</v>
      </c>
      <c r="L239" s="107">
        <f t="shared" si="93"/>
        <v>18798.02</v>
      </c>
      <c r="M239" s="107">
        <v>0</v>
      </c>
      <c r="N239" s="107">
        <f t="shared" si="95"/>
        <v>18798.02</v>
      </c>
      <c r="O239" s="107">
        <f>VLOOKUP(G239,Budget!$E$3:$G$2474,3,0)</f>
        <v>0</v>
      </c>
      <c r="P239" s="107">
        <f t="shared" si="96"/>
        <v>-18798.02</v>
      </c>
      <c r="Q239" s="107"/>
      <c r="R239" s="10"/>
      <c r="S239" s="107">
        <v>18798.02</v>
      </c>
      <c r="T239" s="107">
        <f t="shared" si="91"/>
        <v>0</v>
      </c>
      <c r="U239" s="107"/>
      <c r="V239" s="175"/>
      <c r="W239" s="10"/>
      <c r="X239" s="10"/>
      <c r="Y239" t="str">
        <f t="shared" si="97"/>
        <v>1403</v>
      </c>
      <c r="AB239" s="10"/>
      <c r="AC239" s="10"/>
      <c r="AD239" s="10"/>
      <c r="AE239" s="10"/>
      <c r="AF239" s="10"/>
      <c r="AG239" s="10"/>
      <c r="AH239" s="10"/>
      <c r="AI239" s="10"/>
    </row>
    <row r="240" spans="1:38">
      <c r="A240" s="10"/>
      <c r="B240" s="10" t="str">
        <f t="shared" si="92"/>
        <v>Above the LineSHOOT</v>
      </c>
      <c r="C240" t="s">
        <v>7</v>
      </c>
      <c r="D240" t="s">
        <v>19</v>
      </c>
      <c r="E240" t="s">
        <v>236</v>
      </c>
      <c r="F240" t="s">
        <v>355</v>
      </c>
      <c r="G240" t="s">
        <v>336</v>
      </c>
      <c r="I240" s="10"/>
      <c r="J240" s="107">
        <f>SUMIF(Data!C:C,G240,Data!Q:Q)</f>
        <v>0</v>
      </c>
      <c r="K240" s="107">
        <f>SUMIF(Comprometidos!A:A,'Cost Report'!G240,Comprometidos!E:E)</f>
        <v>0</v>
      </c>
      <c r="L240" s="107">
        <f t="shared" si="93"/>
        <v>0</v>
      </c>
      <c r="M240" s="107">
        <v>0</v>
      </c>
      <c r="N240" s="107">
        <f t="shared" si="95"/>
        <v>0</v>
      </c>
      <c r="O240" s="107">
        <f>VLOOKUP(G240,Budget!$E$3:$G$2474,3,0)</f>
        <v>2700</v>
      </c>
      <c r="P240" s="107">
        <f t="shared" si="96"/>
        <v>2700</v>
      </c>
      <c r="Q240" s="107"/>
      <c r="R240" s="10"/>
      <c r="S240" s="107">
        <v>0</v>
      </c>
      <c r="T240" s="107">
        <f t="shared" si="91"/>
        <v>0</v>
      </c>
      <c r="U240" s="107"/>
      <c r="V240" s="175"/>
      <c r="W240" s="10"/>
      <c r="X240" s="10"/>
      <c r="Y240" t="str">
        <f t="shared" si="97"/>
        <v>1403</v>
      </c>
      <c r="AB240" s="10"/>
      <c r="AC240" s="10"/>
      <c r="AD240" s="10"/>
      <c r="AE240" s="10"/>
      <c r="AF240" s="10"/>
      <c r="AG240" s="10"/>
      <c r="AH240" s="10"/>
      <c r="AI240" s="10"/>
    </row>
    <row r="241" spans="1:35">
      <c r="A241" s="10"/>
      <c r="B241" s="10" t="str">
        <f t="shared" si="92"/>
        <v>Above the LineSHOOT</v>
      </c>
      <c r="C241" t="s">
        <v>7</v>
      </c>
      <c r="D241" t="s">
        <v>19</v>
      </c>
      <c r="E241" t="s">
        <v>236</v>
      </c>
      <c r="G241" t="s">
        <v>337</v>
      </c>
      <c r="I241" s="10"/>
      <c r="J241" s="107">
        <f>SUMIF(Data!C:C,G241,Data!Q:Q)</f>
        <v>21000</v>
      </c>
      <c r="K241" s="107">
        <f>SUMIF(Comprometidos!A:A,'Cost Report'!G241,Comprometidos!E:E)</f>
        <v>0</v>
      </c>
      <c r="L241" s="107">
        <f t="shared" si="93"/>
        <v>21000</v>
      </c>
      <c r="M241" s="107">
        <f>+O241-L241-4200</f>
        <v>0</v>
      </c>
      <c r="N241" s="107">
        <f t="shared" si="95"/>
        <v>21000</v>
      </c>
      <c r="O241" s="107">
        <f>VLOOKUP(G241,Budget!$E$3:$G$2474,3,0)</f>
        <v>25200</v>
      </c>
      <c r="P241" s="107">
        <f t="shared" si="96"/>
        <v>4200</v>
      </c>
      <c r="Q241" s="107"/>
      <c r="R241" s="10"/>
      <c r="S241" s="107">
        <v>21000</v>
      </c>
      <c r="T241" s="107">
        <f t="shared" si="91"/>
        <v>0</v>
      </c>
      <c r="U241" s="107"/>
      <c r="V241" s="175"/>
      <c r="W241" s="10"/>
      <c r="X241" s="10"/>
      <c r="Y241" t="str">
        <f t="shared" si="97"/>
        <v>1403</v>
      </c>
      <c r="AB241" s="10"/>
      <c r="AC241" s="10"/>
      <c r="AD241" s="10"/>
      <c r="AE241" s="10"/>
      <c r="AF241" s="10"/>
      <c r="AG241" s="10"/>
      <c r="AH241" s="10"/>
      <c r="AI241" s="10"/>
    </row>
    <row r="242" spans="1:35">
      <c r="A242" s="10"/>
      <c r="B242" s="10" t="str">
        <f t="shared" si="92"/>
        <v>Above the LineSHOOT</v>
      </c>
      <c r="C242" t="s">
        <v>7</v>
      </c>
      <c r="D242" t="s">
        <v>19</v>
      </c>
      <c r="E242" t="s">
        <v>236</v>
      </c>
      <c r="F242" t="s">
        <v>355</v>
      </c>
      <c r="G242" t="s">
        <v>338</v>
      </c>
      <c r="I242" s="10"/>
      <c r="J242" s="107">
        <f>SUMIF(Data!C:C,G242,Data!Q:Q)</f>
        <v>0</v>
      </c>
      <c r="K242" s="107">
        <f>SUMIF(Comprometidos!A:A,'Cost Report'!G242,Comprometidos!E:E)</f>
        <v>0</v>
      </c>
      <c r="L242" s="107">
        <f t="shared" si="93"/>
        <v>0</v>
      </c>
      <c r="M242" s="107">
        <v>0</v>
      </c>
      <c r="N242" s="107">
        <f t="shared" si="95"/>
        <v>0</v>
      </c>
      <c r="O242" s="107">
        <f>VLOOKUP(G242,Budget!$E$3:$G$2474,3,0)</f>
        <v>19692</v>
      </c>
      <c r="P242" s="107">
        <f t="shared" si="96"/>
        <v>19692</v>
      </c>
      <c r="Q242" s="107"/>
      <c r="R242" s="10"/>
      <c r="S242" s="107">
        <v>0</v>
      </c>
      <c r="T242" s="107">
        <f t="shared" si="91"/>
        <v>0</v>
      </c>
      <c r="U242" s="107"/>
      <c r="V242" s="175"/>
      <c r="W242" s="10"/>
      <c r="X242" s="10"/>
      <c r="Y242" t="str">
        <f t="shared" si="97"/>
        <v>1403</v>
      </c>
      <c r="AB242" s="10"/>
      <c r="AC242" s="10"/>
      <c r="AD242" s="10"/>
      <c r="AE242" s="10"/>
      <c r="AF242" s="10"/>
      <c r="AG242" s="10"/>
      <c r="AH242" s="10"/>
      <c r="AI242" s="10"/>
    </row>
    <row r="243" spans="1:35">
      <c r="A243" s="10"/>
      <c r="B243" s="10" t="str">
        <f t="shared" si="92"/>
        <v>Above the LineSHOOT</v>
      </c>
      <c r="C243" t="s">
        <v>7</v>
      </c>
      <c r="D243" t="s">
        <v>19</v>
      </c>
      <c r="E243" t="s">
        <v>236</v>
      </c>
      <c r="F243" t="s">
        <v>355</v>
      </c>
      <c r="G243" t="s">
        <v>339</v>
      </c>
      <c r="I243" s="10"/>
      <c r="J243" s="107">
        <f>SUMIF(Data!C:C,G243,Data!Q:Q)</f>
        <v>0</v>
      </c>
      <c r="K243" s="107">
        <f>SUMIF(Comprometidos!A:A,'Cost Report'!G243,Comprometidos!E:E)</f>
        <v>0</v>
      </c>
      <c r="L243" s="107">
        <f t="shared" si="93"/>
        <v>0</v>
      </c>
      <c r="M243" s="107">
        <f t="shared" si="94"/>
        <v>0</v>
      </c>
      <c r="N243" s="107">
        <f t="shared" si="95"/>
        <v>0</v>
      </c>
      <c r="O243" s="107">
        <f>VLOOKUP(G243,Budget!$E$3:$G$2474,3,0)</f>
        <v>0</v>
      </c>
      <c r="P243" s="107">
        <f t="shared" si="96"/>
        <v>0</v>
      </c>
      <c r="Q243" s="107"/>
      <c r="R243" s="10"/>
      <c r="S243" s="107">
        <v>0</v>
      </c>
      <c r="T243" s="107">
        <f t="shared" si="91"/>
        <v>0</v>
      </c>
      <c r="U243" s="107"/>
      <c r="V243" s="175"/>
      <c r="W243" s="10"/>
      <c r="X243" s="10"/>
      <c r="Y243" t="str">
        <f t="shared" si="97"/>
        <v>1403</v>
      </c>
      <c r="AB243" s="10"/>
      <c r="AC243" s="10"/>
      <c r="AD243" s="10"/>
      <c r="AE243" s="10"/>
      <c r="AF243" s="10"/>
      <c r="AG243" s="10"/>
      <c r="AH243" s="10"/>
      <c r="AI243" s="10"/>
    </row>
    <row r="244" spans="1:35">
      <c r="A244" s="10"/>
      <c r="B244" s="10" t="str">
        <f t="shared" si="92"/>
        <v>Above the LineSHOOT</v>
      </c>
      <c r="C244" t="s">
        <v>7</v>
      </c>
      <c r="D244" t="s">
        <v>19</v>
      </c>
      <c r="E244" t="s">
        <v>236</v>
      </c>
      <c r="F244" t="s">
        <v>355</v>
      </c>
      <c r="G244" t="s">
        <v>340</v>
      </c>
      <c r="I244" s="10"/>
      <c r="J244" s="107">
        <f>SUMIF(Data!C:C,G244,Data!Q:Q)</f>
        <v>0</v>
      </c>
      <c r="K244" s="107">
        <f>SUMIF(Comprometidos!A:A,'Cost Report'!G244,Comprometidos!E:E)</f>
        <v>0</v>
      </c>
      <c r="L244" s="107">
        <f t="shared" si="93"/>
        <v>0</v>
      </c>
      <c r="M244" s="107">
        <f t="shared" si="94"/>
        <v>0</v>
      </c>
      <c r="N244" s="107">
        <f t="shared" si="95"/>
        <v>0</v>
      </c>
      <c r="O244" s="107">
        <f>VLOOKUP(G244,Budget!$E$3:$G$2474,3,0)</f>
        <v>0</v>
      </c>
      <c r="P244" s="107">
        <f t="shared" si="96"/>
        <v>0</v>
      </c>
      <c r="Q244" s="107"/>
      <c r="R244" s="10"/>
      <c r="S244" s="107">
        <v>0</v>
      </c>
      <c r="T244" s="107">
        <f t="shared" si="91"/>
        <v>0</v>
      </c>
      <c r="U244" s="107"/>
      <c r="V244" s="175"/>
      <c r="W244" s="10"/>
      <c r="X244" s="10"/>
      <c r="Y244" t="str">
        <f t="shared" si="97"/>
        <v>1403</v>
      </c>
      <c r="AB244" s="10"/>
      <c r="AC244" s="10"/>
      <c r="AD244" s="10"/>
      <c r="AE244" s="10"/>
      <c r="AF244" s="10"/>
      <c r="AG244" s="10"/>
      <c r="AH244" s="10"/>
      <c r="AI244" s="10"/>
    </row>
    <row r="245" spans="1:35">
      <c r="A245" s="10"/>
      <c r="B245" s="10" t="str">
        <f t="shared" si="92"/>
        <v>Above the LineSHOOT</v>
      </c>
      <c r="C245" t="s">
        <v>7</v>
      </c>
      <c r="D245" t="s">
        <v>19</v>
      </c>
      <c r="E245" t="s">
        <v>236</v>
      </c>
      <c r="F245" t="s">
        <v>355</v>
      </c>
      <c r="G245" t="s">
        <v>341</v>
      </c>
      <c r="I245" s="10"/>
      <c r="J245" s="107">
        <f>SUMIF(Data!C:C,G245,Data!Q:Q)</f>
        <v>0</v>
      </c>
      <c r="K245" s="107">
        <f>SUMIF(Comprometidos!A:A,'Cost Report'!G245,Comprometidos!E:E)</f>
        <v>0</v>
      </c>
      <c r="L245" s="107">
        <f t="shared" si="93"/>
        <v>0</v>
      </c>
      <c r="M245" s="107">
        <f t="shared" si="94"/>
        <v>0</v>
      </c>
      <c r="N245" s="107">
        <f t="shared" si="95"/>
        <v>0</v>
      </c>
      <c r="O245" s="107">
        <f>VLOOKUP(G245,Budget!$E$3:$G$2474,3,0)</f>
        <v>0</v>
      </c>
      <c r="P245" s="107">
        <f t="shared" si="96"/>
        <v>0</v>
      </c>
      <c r="Q245" s="107"/>
      <c r="R245" s="10"/>
      <c r="S245" s="107">
        <v>0</v>
      </c>
      <c r="T245" s="107">
        <f t="shared" si="91"/>
        <v>0</v>
      </c>
      <c r="U245" s="107"/>
      <c r="V245" s="175"/>
      <c r="W245" s="10"/>
      <c r="X245" s="10"/>
      <c r="Y245" t="str">
        <f t="shared" si="97"/>
        <v>1403</v>
      </c>
      <c r="AB245" s="10"/>
      <c r="AC245" s="10"/>
      <c r="AD245" s="10"/>
      <c r="AE245" s="10"/>
      <c r="AF245" s="10"/>
      <c r="AG245" s="10"/>
      <c r="AH245" s="10"/>
      <c r="AI245" s="10"/>
    </row>
    <row r="246" spans="1:35">
      <c r="A246" s="10"/>
      <c r="B246" s="10" t="str">
        <f t="shared" si="92"/>
        <v>Above the LineSHOOT</v>
      </c>
      <c r="C246" t="s">
        <v>7</v>
      </c>
      <c r="D246" t="s">
        <v>19</v>
      </c>
      <c r="E246" t="s">
        <v>236</v>
      </c>
      <c r="G246" t="s">
        <v>342</v>
      </c>
      <c r="I246" s="10"/>
      <c r="J246" s="107">
        <f>SUMIF(Data!C:C,G246,Data!Q:Q)</f>
        <v>16800</v>
      </c>
      <c r="K246" s="107">
        <f>SUMIF(Comprometidos!A:A,'Cost Report'!G246,Comprometidos!E:E)</f>
        <v>0</v>
      </c>
      <c r="L246" s="107">
        <f t="shared" si="93"/>
        <v>16800</v>
      </c>
      <c r="M246" s="107">
        <f t="shared" si="94"/>
        <v>0</v>
      </c>
      <c r="N246" s="107">
        <f t="shared" si="95"/>
        <v>16800</v>
      </c>
      <c r="O246" s="107">
        <f>VLOOKUP(G246,Budget!$E$3:$G$2474,3,0)</f>
        <v>16800</v>
      </c>
      <c r="P246" s="107">
        <f t="shared" si="96"/>
        <v>0</v>
      </c>
      <c r="Q246" s="107"/>
      <c r="R246" s="10"/>
      <c r="S246" s="107">
        <v>16800</v>
      </c>
      <c r="T246" s="107">
        <f t="shared" si="91"/>
        <v>0</v>
      </c>
      <c r="U246" s="107"/>
      <c r="V246" s="175"/>
      <c r="W246" s="10"/>
      <c r="X246" s="10"/>
      <c r="Y246" t="str">
        <f t="shared" si="97"/>
        <v>1403</v>
      </c>
      <c r="AB246" s="10"/>
      <c r="AC246" s="10"/>
      <c r="AD246" s="10"/>
      <c r="AE246" s="10"/>
      <c r="AF246" s="10"/>
      <c r="AG246" s="10"/>
      <c r="AH246" s="10"/>
      <c r="AI246" s="10"/>
    </row>
    <row r="247" spans="1:35">
      <c r="A247" s="10"/>
      <c r="B247" s="10" t="str">
        <f t="shared" si="92"/>
        <v>Above the LineSHOOT</v>
      </c>
      <c r="C247" t="s">
        <v>7</v>
      </c>
      <c r="D247" t="s">
        <v>19</v>
      </c>
      <c r="E247" t="s">
        <v>236</v>
      </c>
      <c r="F247" t="s">
        <v>355</v>
      </c>
      <c r="G247" t="s">
        <v>343</v>
      </c>
      <c r="I247" s="10"/>
      <c r="J247" s="107">
        <f>SUMIF(Data!C:C,G247,Data!Q:Q)</f>
        <v>0</v>
      </c>
      <c r="K247" s="107">
        <f>SUMIF(Comprometidos!A:A,'Cost Report'!G247,Comprometidos!E:E)</f>
        <v>0</v>
      </c>
      <c r="L247" s="107">
        <f t="shared" si="93"/>
        <v>0</v>
      </c>
      <c r="M247" s="107">
        <v>0</v>
      </c>
      <c r="N247" s="107">
        <f t="shared" si="95"/>
        <v>0</v>
      </c>
      <c r="O247" s="107">
        <f>VLOOKUP(G247,Budget!$E$3:$G$2474,3,0)</f>
        <v>19692</v>
      </c>
      <c r="P247" s="107">
        <f t="shared" si="96"/>
        <v>19692</v>
      </c>
      <c r="Q247" s="107"/>
      <c r="R247" s="10"/>
      <c r="S247" s="107">
        <v>0</v>
      </c>
      <c r="T247" s="107">
        <f t="shared" si="91"/>
        <v>0</v>
      </c>
      <c r="U247" s="107"/>
      <c r="V247" s="175"/>
      <c r="W247" s="10"/>
      <c r="X247" s="10"/>
      <c r="Y247" t="str">
        <f t="shared" si="97"/>
        <v>1403</v>
      </c>
      <c r="AB247" s="10"/>
      <c r="AC247" s="10"/>
      <c r="AD247" s="10"/>
      <c r="AE247" s="10"/>
      <c r="AF247" s="10"/>
      <c r="AG247" s="10"/>
      <c r="AH247" s="10"/>
      <c r="AI247" s="10"/>
    </row>
    <row r="248" spans="1:35">
      <c r="A248" s="10"/>
      <c r="B248" s="10" t="str">
        <f t="shared" si="92"/>
        <v>Above the LineSHOOT</v>
      </c>
      <c r="C248" t="s">
        <v>7</v>
      </c>
      <c r="D248" t="s">
        <v>19</v>
      </c>
      <c r="E248" t="s">
        <v>236</v>
      </c>
      <c r="F248" t="s">
        <v>355</v>
      </c>
      <c r="G248" t="s">
        <v>344</v>
      </c>
      <c r="I248" s="10"/>
      <c r="J248" s="107">
        <f>SUMIF(Data!C:C,G248,Data!Q:Q)</f>
        <v>0</v>
      </c>
      <c r="K248" s="107">
        <f>SUMIF(Comprometidos!A:A,'Cost Report'!G248,Comprometidos!E:E)</f>
        <v>0</v>
      </c>
      <c r="L248" s="107">
        <f t="shared" si="93"/>
        <v>0</v>
      </c>
      <c r="M248" s="107">
        <f t="shared" si="94"/>
        <v>0</v>
      </c>
      <c r="N248" s="107">
        <f t="shared" si="95"/>
        <v>0</v>
      </c>
      <c r="O248" s="107">
        <f>VLOOKUP(G248,Budget!$E$3:$G$2474,3,0)</f>
        <v>0</v>
      </c>
      <c r="P248" s="107">
        <f t="shared" si="96"/>
        <v>0</v>
      </c>
      <c r="Q248" s="107"/>
      <c r="R248" s="10"/>
      <c r="S248" s="107">
        <v>0</v>
      </c>
      <c r="T248" s="107">
        <f t="shared" si="91"/>
        <v>0</v>
      </c>
      <c r="U248" s="107"/>
      <c r="V248" s="175"/>
      <c r="W248" s="10"/>
      <c r="X248" s="10"/>
      <c r="Y248" t="str">
        <f t="shared" si="97"/>
        <v>1403</v>
      </c>
      <c r="AB248" s="10"/>
      <c r="AC248" s="10"/>
      <c r="AD248" s="10"/>
      <c r="AE248" s="10"/>
      <c r="AF248" s="10"/>
      <c r="AG248" s="10"/>
      <c r="AH248" s="10"/>
      <c r="AI248" s="10"/>
    </row>
    <row r="249" spans="1:35">
      <c r="A249" s="10"/>
      <c r="B249" s="10" t="str">
        <f t="shared" si="92"/>
        <v>Above the LineSHOOT</v>
      </c>
      <c r="C249" t="s">
        <v>7</v>
      </c>
      <c r="D249" t="s">
        <v>19</v>
      </c>
      <c r="E249" t="s">
        <v>236</v>
      </c>
      <c r="F249" t="s">
        <v>355</v>
      </c>
      <c r="G249" t="s">
        <v>345</v>
      </c>
      <c r="I249" s="10"/>
      <c r="J249" s="107">
        <f>SUMIF(Data!C:C,G249,Data!Q:Q)</f>
        <v>0</v>
      </c>
      <c r="K249" s="107">
        <f>SUMIF(Comprometidos!A:A,'Cost Report'!G249,Comprometidos!E:E)</f>
        <v>0</v>
      </c>
      <c r="L249" s="107">
        <f t="shared" si="93"/>
        <v>0</v>
      </c>
      <c r="M249" s="107">
        <f t="shared" si="94"/>
        <v>0</v>
      </c>
      <c r="N249" s="107">
        <f t="shared" si="95"/>
        <v>0</v>
      </c>
      <c r="O249" s="107">
        <f>VLOOKUP(G249,Budget!$E$3:$G$2474,3,0)</f>
        <v>0</v>
      </c>
      <c r="P249" s="107">
        <f t="shared" si="96"/>
        <v>0</v>
      </c>
      <c r="Q249" s="107"/>
      <c r="R249" s="10"/>
      <c r="S249" s="107">
        <v>0</v>
      </c>
      <c r="T249" s="107">
        <f t="shared" si="91"/>
        <v>0</v>
      </c>
      <c r="U249" s="107"/>
      <c r="V249" s="175"/>
      <c r="W249" s="10"/>
      <c r="X249" s="10"/>
      <c r="Y249" t="str">
        <f t="shared" si="97"/>
        <v>1403</v>
      </c>
      <c r="AB249" s="10"/>
      <c r="AC249" s="10"/>
      <c r="AD249" s="10"/>
      <c r="AE249" s="10"/>
      <c r="AF249" s="10"/>
      <c r="AG249" s="10"/>
      <c r="AH249" s="10"/>
      <c r="AI249" s="10"/>
    </row>
    <row r="250" spans="1:35">
      <c r="A250" s="10"/>
      <c r="B250" s="10" t="str">
        <f t="shared" si="92"/>
        <v>Above the LineSHOOT</v>
      </c>
      <c r="C250" t="s">
        <v>7</v>
      </c>
      <c r="D250" t="s">
        <v>19</v>
      </c>
      <c r="E250" t="s">
        <v>236</v>
      </c>
      <c r="F250" t="s">
        <v>355</v>
      </c>
      <c r="G250" t="s">
        <v>346</v>
      </c>
      <c r="I250" s="10"/>
      <c r="J250" s="107">
        <f>SUMIF(Data!C:C,G250,Data!Q:Q)</f>
        <v>0</v>
      </c>
      <c r="K250" s="107">
        <f>SUMIF(Comprometidos!A:A,'Cost Report'!G250,Comprometidos!E:E)</f>
        <v>0</v>
      </c>
      <c r="L250" s="107">
        <f t="shared" si="93"/>
        <v>0</v>
      </c>
      <c r="M250" s="107">
        <f t="shared" si="94"/>
        <v>0</v>
      </c>
      <c r="N250" s="107">
        <f t="shared" si="95"/>
        <v>0</v>
      </c>
      <c r="O250" s="107">
        <f>VLOOKUP(G250,Budget!$E$3:$G$2474,3,0)</f>
        <v>0</v>
      </c>
      <c r="P250" s="107">
        <f t="shared" si="96"/>
        <v>0</v>
      </c>
      <c r="Q250" s="107"/>
      <c r="R250" s="10"/>
      <c r="S250" s="107">
        <v>0</v>
      </c>
      <c r="T250" s="107">
        <f t="shared" si="91"/>
        <v>0</v>
      </c>
      <c r="U250" s="107"/>
      <c r="V250" s="175"/>
      <c r="W250" s="10"/>
      <c r="X250" s="10"/>
      <c r="Y250" t="str">
        <f t="shared" si="97"/>
        <v>1403</v>
      </c>
      <c r="AB250" s="10"/>
      <c r="AC250" s="10"/>
      <c r="AD250" s="10"/>
      <c r="AE250" s="10"/>
      <c r="AF250" s="10"/>
      <c r="AG250" s="10"/>
      <c r="AH250" s="10"/>
      <c r="AI250" s="10"/>
    </row>
    <row r="251" spans="1:35">
      <c r="A251" s="10"/>
      <c r="B251" s="10" t="str">
        <f t="shared" si="92"/>
        <v>Above the LineSHOOT</v>
      </c>
      <c r="C251" t="s">
        <v>7</v>
      </c>
      <c r="D251" t="s">
        <v>19</v>
      </c>
      <c r="E251" t="s">
        <v>236</v>
      </c>
      <c r="G251" t="s">
        <v>347</v>
      </c>
      <c r="I251" s="10"/>
      <c r="J251" s="107">
        <f>SUMIF(Data!C:C,G251,Data!Q:Q)</f>
        <v>50400</v>
      </c>
      <c r="K251" s="107">
        <f>SUMIF(Comprometidos!A:A,'Cost Report'!G251,Comprometidos!E:E)</f>
        <v>0</v>
      </c>
      <c r="L251" s="107">
        <f t="shared" si="93"/>
        <v>50400</v>
      </c>
      <c r="M251" s="107">
        <f>+O251-L251+37800</f>
        <v>0</v>
      </c>
      <c r="N251" s="107">
        <f t="shared" si="95"/>
        <v>50400</v>
      </c>
      <c r="O251" s="107">
        <f>VLOOKUP(G251,Budget!$E$3:$G$2474,3,0)</f>
        <v>12600</v>
      </c>
      <c r="P251" s="107">
        <f t="shared" si="96"/>
        <v>-37800</v>
      </c>
      <c r="Q251" s="107"/>
      <c r="R251" s="10"/>
      <c r="S251" s="107">
        <v>50400</v>
      </c>
      <c r="T251" s="107">
        <f t="shared" si="91"/>
        <v>0</v>
      </c>
      <c r="U251" s="107"/>
      <c r="V251" s="175"/>
      <c r="W251" s="10"/>
      <c r="X251" s="10"/>
      <c r="Y251" t="str">
        <f t="shared" si="97"/>
        <v>1403</v>
      </c>
      <c r="AB251" s="10"/>
      <c r="AC251" s="10"/>
      <c r="AD251" s="10"/>
      <c r="AE251" s="10"/>
      <c r="AF251" s="10"/>
      <c r="AG251" s="10"/>
      <c r="AH251" s="10"/>
      <c r="AI251" s="10"/>
    </row>
    <row r="252" spans="1:35">
      <c r="A252" s="10"/>
      <c r="B252" s="10" t="str">
        <f t="shared" si="92"/>
        <v>Above the LineSHOOT</v>
      </c>
      <c r="C252" t="s">
        <v>7</v>
      </c>
      <c r="D252" t="s">
        <v>19</v>
      </c>
      <c r="E252" t="s">
        <v>236</v>
      </c>
      <c r="F252" t="s">
        <v>355</v>
      </c>
      <c r="G252" t="s">
        <v>348</v>
      </c>
      <c r="I252" s="10"/>
      <c r="J252" s="107">
        <f>SUMIF(Data!C:C,G252,Data!Q:Q)</f>
        <v>21929.279999999999</v>
      </c>
      <c r="K252" s="107">
        <f>SUMIF(Comprometidos!A:A,'Cost Report'!G252,Comprometidos!E:E)</f>
        <v>0</v>
      </c>
      <c r="L252" s="107">
        <f t="shared" si="93"/>
        <v>21929.279999999999</v>
      </c>
      <c r="M252" s="107">
        <v>0</v>
      </c>
      <c r="N252" s="107">
        <f t="shared" si="95"/>
        <v>21929.279999999999</v>
      </c>
      <c r="O252" s="107">
        <f>VLOOKUP(G252,Budget!$E$3:$G$2474,3,0)</f>
        <v>22974</v>
      </c>
      <c r="P252" s="107">
        <f t="shared" si="96"/>
        <v>1044.7200000000012</v>
      </c>
      <c r="Q252" s="107"/>
      <c r="R252" s="10"/>
      <c r="S252" s="107">
        <v>21929.279999999999</v>
      </c>
      <c r="T252" s="107">
        <f t="shared" si="91"/>
        <v>0</v>
      </c>
      <c r="U252" s="107"/>
      <c r="V252" s="175"/>
      <c r="W252" s="10"/>
      <c r="X252" s="10"/>
      <c r="Y252" t="str">
        <f t="shared" si="97"/>
        <v>1403</v>
      </c>
      <c r="AB252" s="10"/>
      <c r="AC252" s="10"/>
      <c r="AD252" s="10"/>
      <c r="AE252" s="10"/>
      <c r="AF252" s="10"/>
      <c r="AG252" s="10"/>
      <c r="AH252" s="10"/>
      <c r="AI252" s="10"/>
    </row>
    <row r="253" spans="1:35">
      <c r="A253" s="10"/>
      <c r="B253" s="10" t="str">
        <f t="shared" si="92"/>
        <v>Above the LineSHOOT</v>
      </c>
      <c r="C253" t="s">
        <v>7</v>
      </c>
      <c r="D253" t="s">
        <v>19</v>
      </c>
      <c r="E253" t="s">
        <v>236</v>
      </c>
      <c r="F253" t="s">
        <v>355</v>
      </c>
      <c r="G253" t="s">
        <v>349</v>
      </c>
      <c r="I253" s="10"/>
      <c r="J253" s="107">
        <f>SUMIF(Data!C:C,G253,Data!Q:Q)</f>
        <v>0</v>
      </c>
      <c r="K253" s="107">
        <f>SUMIF(Comprometidos!A:A,'Cost Report'!G253,Comprometidos!E:E)</f>
        <v>0</v>
      </c>
      <c r="L253" s="107">
        <f t="shared" si="93"/>
        <v>0</v>
      </c>
      <c r="M253" s="107">
        <f t="shared" si="94"/>
        <v>0</v>
      </c>
      <c r="N253" s="107">
        <f t="shared" si="95"/>
        <v>0</v>
      </c>
      <c r="O253" s="107">
        <f>VLOOKUP(G253,Budget!$E$3:$G$2474,3,0)</f>
        <v>0</v>
      </c>
      <c r="P253" s="107">
        <f t="shared" si="96"/>
        <v>0</v>
      </c>
      <c r="Q253" s="107"/>
      <c r="R253" s="10"/>
      <c r="S253" s="107">
        <v>0</v>
      </c>
      <c r="T253" s="107">
        <f t="shared" si="91"/>
        <v>0</v>
      </c>
      <c r="U253" s="107"/>
      <c r="V253" s="175"/>
      <c r="W253" s="10"/>
      <c r="X253" s="10"/>
      <c r="Y253" t="str">
        <f t="shared" si="97"/>
        <v>1403</v>
      </c>
      <c r="AB253" s="10"/>
      <c r="AC253" s="10"/>
      <c r="AD253" s="10"/>
      <c r="AE253" s="10"/>
      <c r="AF253" s="10"/>
      <c r="AG253" s="10"/>
      <c r="AH253" s="10"/>
      <c r="AI253" s="10"/>
    </row>
    <row r="254" spans="1:35">
      <c r="A254" s="10"/>
      <c r="B254" s="10" t="str">
        <f t="shared" si="92"/>
        <v>Above the LineSHOOT</v>
      </c>
      <c r="C254" t="s">
        <v>7</v>
      </c>
      <c r="D254" t="s">
        <v>19</v>
      </c>
      <c r="E254" t="s">
        <v>236</v>
      </c>
      <c r="F254" t="s">
        <v>355</v>
      </c>
      <c r="G254" t="s">
        <v>350</v>
      </c>
      <c r="I254" s="10"/>
      <c r="J254" s="107">
        <f>SUMIF(Data!C:C,G254,Data!Q:Q)</f>
        <v>8579.6</v>
      </c>
      <c r="K254" s="107">
        <f>SUMIF(Comprometidos!A:A,'Cost Report'!G254,Comprometidos!E:E)</f>
        <v>0</v>
      </c>
      <c r="L254" s="107">
        <f t="shared" si="93"/>
        <v>8579.6</v>
      </c>
      <c r="M254" s="107">
        <v>0</v>
      </c>
      <c r="N254" s="107">
        <f t="shared" si="95"/>
        <v>8579.6</v>
      </c>
      <c r="O254" s="107">
        <f>VLOOKUP(G254,Budget!$E$3:$G$2474,3,0)</f>
        <v>0</v>
      </c>
      <c r="P254" s="107">
        <f t="shared" si="96"/>
        <v>-8579.6</v>
      </c>
      <c r="Q254" s="107"/>
      <c r="R254" s="10"/>
      <c r="S254" s="107">
        <v>8579.6</v>
      </c>
      <c r="T254" s="107">
        <f t="shared" si="91"/>
        <v>0</v>
      </c>
      <c r="U254" s="107"/>
      <c r="V254" s="175"/>
      <c r="W254" s="10"/>
      <c r="X254" s="10"/>
      <c r="Y254" t="str">
        <f t="shared" si="97"/>
        <v>1403</v>
      </c>
      <c r="AB254" s="10"/>
      <c r="AC254" s="10"/>
      <c r="AD254" s="10"/>
      <c r="AE254" s="10"/>
      <c r="AF254" s="10"/>
      <c r="AG254" s="10"/>
      <c r="AH254" s="10"/>
      <c r="AI254" s="10"/>
    </row>
    <row r="255" spans="1:35">
      <c r="A255" s="10"/>
      <c r="B255" s="10" t="str">
        <f t="shared" si="92"/>
        <v>Above the LineSHOOT</v>
      </c>
      <c r="C255" t="s">
        <v>7</v>
      </c>
      <c r="D255" t="s">
        <v>19</v>
      </c>
      <c r="E255" t="s">
        <v>236</v>
      </c>
      <c r="F255" t="s">
        <v>355</v>
      </c>
      <c r="G255" t="s">
        <v>351</v>
      </c>
      <c r="I255" s="10"/>
      <c r="J255" s="107">
        <f>SUMIF(Data!C:C,G255,Data!Q:Q)</f>
        <v>0</v>
      </c>
      <c r="K255" s="107">
        <f>SUMIF(Comprometidos!A:A,'Cost Report'!G255,Comprometidos!E:E)</f>
        <v>0</v>
      </c>
      <c r="L255" s="107">
        <f t="shared" si="93"/>
        <v>0</v>
      </c>
      <c r="M255" s="107">
        <f t="shared" si="94"/>
        <v>0</v>
      </c>
      <c r="N255" s="107">
        <f t="shared" si="95"/>
        <v>0</v>
      </c>
      <c r="O255" s="107">
        <f>VLOOKUP(G255,Budget!$E$3:$G$2474,3,0)</f>
        <v>0</v>
      </c>
      <c r="P255" s="107">
        <f t="shared" si="96"/>
        <v>0</v>
      </c>
      <c r="Q255" s="107"/>
      <c r="R255" s="10"/>
      <c r="S255" s="107">
        <v>0</v>
      </c>
      <c r="T255" s="107">
        <f t="shared" si="91"/>
        <v>0</v>
      </c>
      <c r="U255" s="107"/>
      <c r="V255" s="175"/>
      <c r="W255" s="10"/>
      <c r="X255" s="10"/>
      <c r="Y255" t="str">
        <f t="shared" si="97"/>
        <v>1403</v>
      </c>
      <c r="AB255" s="10"/>
      <c r="AC255" s="10"/>
      <c r="AD255" s="10"/>
      <c r="AE255" s="10"/>
      <c r="AF255" s="10"/>
      <c r="AG255" s="10"/>
      <c r="AH255" s="10"/>
      <c r="AI255" s="10"/>
    </row>
    <row r="256" spans="1:35">
      <c r="A256" s="10"/>
      <c r="B256" s="10" t="str">
        <f t="shared" si="92"/>
        <v>Above the LineSHOOT</v>
      </c>
      <c r="C256" t="s">
        <v>7</v>
      </c>
      <c r="D256" t="s">
        <v>19</v>
      </c>
      <c r="E256" t="s">
        <v>236</v>
      </c>
      <c r="G256" t="s">
        <v>2191</v>
      </c>
      <c r="I256" s="10"/>
      <c r="J256" s="107">
        <f>SUMIF(Data!C:C,G256,Data!Q:Q)</f>
        <v>50400</v>
      </c>
      <c r="K256" s="107">
        <f>SUMIF(Comprometidos!A:A,'Cost Report'!G256,Comprometidos!E:E)</f>
        <v>0</v>
      </c>
      <c r="L256" s="107">
        <f t="shared" si="93"/>
        <v>50400</v>
      </c>
      <c r="M256" s="107">
        <f>+O256-L256+37800</f>
        <v>0</v>
      </c>
      <c r="N256" s="107">
        <f t="shared" si="95"/>
        <v>50400</v>
      </c>
      <c r="O256" s="107">
        <f>VLOOKUP(G256,Budget!$E$3:$G$2474,3,0)</f>
        <v>12600</v>
      </c>
      <c r="P256" s="107">
        <f t="shared" si="96"/>
        <v>-37800</v>
      </c>
      <c r="Q256" s="107"/>
      <c r="R256" s="10"/>
      <c r="S256" s="107">
        <v>50400</v>
      </c>
      <c r="T256" s="107">
        <f t="shared" si="91"/>
        <v>0</v>
      </c>
      <c r="U256" s="107"/>
      <c r="V256" s="175"/>
      <c r="W256" s="10"/>
      <c r="X256" s="10"/>
      <c r="Y256" t="str">
        <f t="shared" si="97"/>
        <v>1403</v>
      </c>
      <c r="AB256" s="10"/>
      <c r="AC256" s="10"/>
      <c r="AD256" s="10"/>
      <c r="AE256" s="10"/>
      <c r="AF256" s="10"/>
      <c r="AG256" s="10"/>
      <c r="AH256" s="10"/>
      <c r="AI256" s="10"/>
    </row>
    <row r="257" spans="1:35">
      <c r="A257" s="10"/>
      <c r="B257" s="10" t="str">
        <f t="shared" si="92"/>
        <v>Above the LineSHOOT</v>
      </c>
      <c r="C257" t="s">
        <v>7</v>
      </c>
      <c r="D257" t="s">
        <v>19</v>
      </c>
      <c r="E257" t="s">
        <v>236</v>
      </c>
      <c r="F257" t="s">
        <v>355</v>
      </c>
      <c r="G257" t="s">
        <v>2192</v>
      </c>
      <c r="I257" s="10"/>
      <c r="J257" s="107">
        <f>SUMIF(Data!C:C,G257,Data!Q:Q)</f>
        <v>25762.38</v>
      </c>
      <c r="K257" s="107">
        <f>SUMIF(Comprometidos!A:A,'Cost Report'!G257,Comprometidos!E:E)</f>
        <v>0</v>
      </c>
      <c r="L257" s="107">
        <f t="shared" si="93"/>
        <v>25762.38</v>
      </c>
      <c r="M257" s="107">
        <v>0</v>
      </c>
      <c r="N257" s="107">
        <f t="shared" si="95"/>
        <v>25762.38</v>
      </c>
      <c r="O257" s="107">
        <f>VLOOKUP(G257,Budget!$E$3:$G$2474,3,0)</f>
        <v>22974</v>
      </c>
      <c r="P257" s="107">
        <f t="shared" si="96"/>
        <v>-2788.380000000001</v>
      </c>
      <c r="Q257" s="107"/>
      <c r="R257" s="10"/>
      <c r="S257" s="107">
        <v>25762.38</v>
      </c>
      <c r="T257" s="107">
        <f t="shared" si="91"/>
        <v>0</v>
      </c>
      <c r="U257" s="107"/>
      <c r="V257" s="175"/>
      <c r="W257" s="10"/>
      <c r="X257" s="10"/>
      <c r="Y257" t="str">
        <f t="shared" si="97"/>
        <v>1403</v>
      </c>
      <c r="AB257" s="10"/>
      <c r="AC257" s="10"/>
      <c r="AD257" s="10"/>
      <c r="AE257" s="10"/>
      <c r="AF257" s="10"/>
      <c r="AG257" s="10"/>
      <c r="AH257" s="10"/>
      <c r="AI257" s="10"/>
    </row>
    <row r="258" spans="1:35">
      <c r="A258" s="10"/>
      <c r="B258" s="10" t="str">
        <f t="shared" si="92"/>
        <v>Above the LineSHOOT</v>
      </c>
      <c r="C258" t="s">
        <v>7</v>
      </c>
      <c r="D258" t="s">
        <v>19</v>
      </c>
      <c r="E258" t="s">
        <v>236</v>
      </c>
      <c r="F258" t="s">
        <v>355</v>
      </c>
      <c r="G258" t="s">
        <v>2193</v>
      </c>
      <c r="I258" s="10"/>
      <c r="J258" s="107">
        <f>SUMIF(Data!C:C,G258,Data!Q:Q)</f>
        <v>0</v>
      </c>
      <c r="K258" s="107">
        <f>SUMIF(Comprometidos!A:A,'Cost Report'!G258,Comprometidos!E:E)</f>
        <v>0</v>
      </c>
      <c r="L258" s="107">
        <f t="shared" si="93"/>
        <v>0</v>
      </c>
      <c r="M258" s="107">
        <f t="shared" si="94"/>
        <v>0</v>
      </c>
      <c r="N258" s="107">
        <f t="shared" si="95"/>
        <v>0</v>
      </c>
      <c r="O258" s="107">
        <f>VLOOKUP(G258,Budget!$E$3:$G$2474,3,0)</f>
        <v>0</v>
      </c>
      <c r="P258" s="107">
        <f t="shared" si="96"/>
        <v>0</v>
      </c>
      <c r="Q258" s="107"/>
      <c r="R258" s="10"/>
      <c r="S258" s="107">
        <v>0</v>
      </c>
      <c r="T258" s="107">
        <f t="shared" si="91"/>
        <v>0</v>
      </c>
      <c r="U258" s="107"/>
      <c r="V258" s="175"/>
      <c r="W258" s="10"/>
      <c r="X258" s="10"/>
      <c r="Y258" t="str">
        <f t="shared" si="97"/>
        <v>1403</v>
      </c>
      <c r="AB258" s="10"/>
      <c r="AC258" s="10"/>
      <c r="AD258" s="10"/>
      <c r="AE258" s="10"/>
      <c r="AF258" s="10"/>
      <c r="AG258" s="10"/>
      <c r="AH258" s="10"/>
      <c r="AI258" s="10"/>
    </row>
    <row r="259" spans="1:35">
      <c r="A259" s="10"/>
      <c r="B259" s="10" t="str">
        <f t="shared" si="92"/>
        <v>Above the LineSHOOT</v>
      </c>
      <c r="C259" t="s">
        <v>7</v>
      </c>
      <c r="D259" t="s">
        <v>19</v>
      </c>
      <c r="E259" t="s">
        <v>236</v>
      </c>
      <c r="F259" t="s">
        <v>355</v>
      </c>
      <c r="G259" t="s">
        <v>2194</v>
      </c>
      <c r="I259" s="10"/>
      <c r="J259" s="107">
        <f>SUMIF(Data!C:C,G259,Data!Q:Q)</f>
        <v>41025.119999999995</v>
      </c>
      <c r="K259" s="107">
        <f>SUMIF(Comprometidos!A:A,'Cost Report'!G259,Comprometidos!E:E)</f>
        <v>0</v>
      </c>
      <c r="L259" s="107">
        <f t="shared" si="93"/>
        <v>41025.119999999995</v>
      </c>
      <c r="M259" s="107">
        <v>0</v>
      </c>
      <c r="N259" s="107">
        <f t="shared" si="95"/>
        <v>41025.119999999995</v>
      </c>
      <c r="O259" s="107">
        <f>VLOOKUP(G259,Budget!$E$3:$G$2474,3,0)</f>
        <v>0</v>
      </c>
      <c r="P259" s="107">
        <f t="shared" si="96"/>
        <v>-41025.119999999995</v>
      </c>
      <c r="Q259" s="107"/>
      <c r="R259" s="10"/>
      <c r="S259" s="107">
        <v>41025.119999999995</v>
      </c>
      <c r="T259" s="107">
        <f t="shared" si="91"/>
        <v>0</v>
      </c>
      <c r="U259" s="107"/>
      <c r="V259" s="175"/>
      <c r="W259" s="10"/>
      <c r="X259" s="10"/>
      <c r="Y259" t="str">
        <f t="shared" si="97"/>
        <v>1403</v>
      </c>
      <c r="AB259" s="10"/>
      <c r="AC259" s="10"/>
      <c r="AD259" s="10"/>
      <c r="AE259" s="10"/>
      <c r="AF259" s="10"/>
      <c r="AG259" s="10"/>
      <c r="AH259" s="10"/>
      <c r="AI259" s="10"/>
    </row>
    <row r="260" spans="1:35">
      <c r="A260" s="10"/>
      <c r="B260" s="10" t="str">
        <f t="shared" si="92"/>
        <v>Above the LineSHOOT</v>
      </c>
      <c r="C260" t="s">
        <v>7</v>
      </c>
      <c r="D260" t="s">
        <v>19</v>
      </c>
      <c r="E260" t="s">
        <v>236</v>
      </c>
      <c r="F260" t="s">
        <v>355</v>
      </c>
      <c r="G260" t="s">
        <v>2195</v>
      </c>
      <c r="I260" s="10"/>
      <c r="J260" s="107">
        <f>SUMIF(Data!C:C,G260,Data!Q:Q)</f>
        <v>0</v>
      </c>
      <c r="K260" s="107">
        <f>SUMIF(Comprometidos!A:A,'Cost Report'!G260,Comprometidos!E:E)</f>
        <v>0</v>
      </c>
      <c r="L260" s="107">
        <f t="shared" si="93"/>
        <v>0</v>
      </c>
      <c r="M260" s="107">
        <f t="shared" si="94"/>
        <v>0</v>
      </c>
      <c r="N260" s="107">
        <f t="shared" si="95"/>
        <v>0</v>
      </c>
      <c r="O260" s="107">
        <f>VLOOKUP(G260,Budget!$E$3:$G$2474,3,0)</f>
        <v>0</v>
      </c>
      <c r="P260" s="107">
        <f t="shared" si="96"/>
        <v>0</v>
      </c>
      <c r="Q260" s="107"/>
      <c r="R260" s="10"/>
      <c r="S260" s="107">
        <v>0</v>
      </c>
      <c r="T260" s="107">
        <f t="shared" si="91"/>
        <v>0</v>
      </c>
      <c r="U260" s="107"/>
      <c r="V260" s="175"/>
      <c r="W260" s="10"/>
      <c r="X260" s="10"/>
      <c r="Y260" t="str">
        <f t="shared" si="97"/>
        <v>1403</v>
      </c>
      <c r="AB260" s="10"/>
      <c r="AC260" s="10"/>
      <c r="AD260" s="10"/>
      <c r="AE260" s="10"/>
      <c r="AF260" s="10"/>
      <c r="AG260" s="10"/>
      <c r="AH260" s="10"/>
      <c r="AI260" s="10"/>
    </row>
    <row r="261" spans="1:35">
      <c r="A261" s="10"/>
      <c r="B261" s="10" t="str">
        <f t="shared" si="92"/>
        <v>Above the LineSHOOT</v>
      </c>
      <c r="C261" t="s">
        <v>7</v>
      </c>
      <c r="D261" t="s">
        <v>19</v>
      </c>
      <c r="E261" t="s">
        <v>236</v>
      </c>
      <c r="G261" t="s">
        <v>2196</v>
      </c>
      <c r="I261" s="10"/>
      <c r="J261" s="107">
        <f>SUMIF(Data!C:C,G261,Data!Q:Q)</f>
        <v>66000</v>
      </c>
      <c r="K261" s="107">
        <f>SUMIF(Comprometidos!A:A,'Cost Report'!G261,Comprometidos!E:E)</f>
        <v>0</v>
      </c>
      <c r="L261" s="107">
        <f t="shared" si="93"/>
        <v>66000</v>
      </c>
      <c r="M261" s="107">
        <f>+O261-L261-3300</f>
        <v>0</v>
      </c>
      <c r="N261" s="107">
        <f t="shared" si="95"/>
        <v>66000</v>
      </c>
      <c r="O261" s="107">
        <f>VLOOKUP(G261,Budget!$E$3:$G$2474,3,0)</f>
        <v>69300</v>
      </c>
      <c r="P261" s="107">
        <f t="shared" si="96"/>
        <v>3300</v>
      </c>
      <c r="Q261" s="107"/>
      <c r="R261" s="10"/>
      <c r="S261" s="107">
        <v>66000</v>
      </c>
      <c r="T261" s="107">
        <f t="shared" si="91"/>
        <v>0</v>
      </c>
      <c r="U261" s="107"/>
      <c r="V261" s="175"/>
      <c r="W261" s="10"/>
      <c r="X261" s="10"/>
      <c r="Y261" t="str">
        <f t="shared" si="97"/>
        <v>1403</v>
      </c>
      <c r="AB261" s="10"/>
      <c r="AC261" s="10"/>
      <c r="AD261" s="10"/>
      <c r="AE261" s="10"/>
      <c r="AF261" s="10"/>
      <c r="AG261" s="10"/>
      <c r="AH261" s="10"/>
      <c r="AI261" s="10"/>
    </row>
    <row r="262" spans="1:35">
      <c r="A262" s="10"/>
      <c r="B262" s="10" t="str">
        <f t="shared" si="92"/>
        <v>Above the LineSHOOT</v>
      </c>
      <c r="C262" t="s">
        <v>7</v>
      </c>
      <c r="D262" t="s">
        <v>19</v>
      </c>
      <c r="E262" t="s">
        <v>236</v>
      </c>
      <c r="F262" t="s">
        <v>355</v>
      </c>
      <c r="G262" t="s">
        <v>2197</v>
      </c>
      <c r="I262" s="10"/>
      <c r="J262" s="107">
        <f>SUMIF(Data!C:C,G262,Data!Q:Q)</f>
        <v>58834.520000000004</v>
      </c>
      <c r="K262" s="107">
        <f>SUMIF(Comprometidos!A:A,'Cost Report'!G262,Comprometidos!E:E)</f>
        <v>0</v>
      </c>
      <c r="L262" s="107">
        <f t="shared" ref="L262:L280" si="98">+J262+K262</f>
        <v>58834.520000000004</v>
      </c>
      <c r="M262" s="107">
        <v>0</v>
      </c>
      <c r="N262" s="107">
        <f t="shared" ref="N262:N280" si="99">+L262+M262</f>
        <v>58834.520000000004</v>
      </c>
      <c r="O262" s="107">
        <f>VLOOKUP(G262,Budget!$E$3:$G$2474,3,0)</f>
        <v>29538</v>
      </c>
      <c r="P262" s="107">
        <f t="shared" ref="P262:P280" si="100">+O262-N262</f>
        <v>-29296.520000000004</v>
      </c>
      <c r="Q262" s="107"/>
      <c r="R262" s="10"/>
      <c r="S262" s="107">
        <v>58834.520000000004</v>
      </c>
      <c r="T262" s="107">
        <f t="shared" si="91"/>
        <v>0</v>
      </c>
      <c r="U262" s="107"/>
      <c r="V262" s="175"/>
      <c r="W262" s="10"/>
      <c r="X262" s="10"/>
      <c r="Y262" t="str">
        <f t="shared" si="97"/>
        <v>1403</v>
      </c>
      <c r="AB262" s="10"/>
      <c r="AC262" s="10"/>
      <c r="AD262" s="10"/>
      <c r="AE262" s="10"/>
      <c r="AF262" s="10"/>
      <c r="AG262" s="10"/>
      <c r="AH262" s="10"/>
      <c r="AI262" s="10"/>
    </row>
    <row r="263" spans="1:35">
      <c r="A263" s="10"/>
      <c r="B263" s="10" t="str">
        <f t="shared" si="92"/>
        <v>Above the LineSHOOT</v>
      </c>
      <c r="C263" t="s">
        <v>7</v>
      </c>
      <c r="D263" t="s">
        <v>19</v>
      </c>
      <c r="E263" t="s">
        <v>236</v>
      </c>
      <c r="F263" t="s">
        <v>355</v>
      </c>
      <c r="G263" t="s">
        <v>2198</v>
      </c>
      <c r="I263" s="10"/>
      <c r="J263" s="107">
        <f>SUMIF(Data!C:C,G263,Data!Q:Q)</f>
        <v>0</v>
      </c>
      <c r="K263" s="107">
        <f>SUMIF(Comprometidos!A:A,'Cost Report'!G263,Comprometidos!E:E)</f>
        <v>0</v>
      </c>
      <c r="L263" s="107">
        <f t="shared" si="98"/>
        <v>0</v>
      </c>
      <c r="M263" s="107">
        <f t="shared" ref="M263:M279" si="101">+O263-L263</f>
        <v>0</v>
      </c>
      <c r="N263" s="107">
        <f t="shared" si="99"/>
        <v>0</v>
      </c>
      <c r="O263" s="107">
        <f>VLOOKUP(G263,Budget!$E$3:$G$2474,3,0)</f>
        <v>0</v>
      </c>
      <c r="P263" s="107">
        <f t="shared" si="100"/>
        <v>0</v>
      </c>
      <c r="Q263" s="107"/>
      <c r="R263" s="10"/>
      <c r="S263" s="107">
        <v>0</v>
      </c>
      <c r="T263" s="107">
        <f t="shared" si="91"/>
        <v>0</v>
      </c>
      <c r="U263" s="107"/>
      <c r="V263" s="175"/>
      <c r="W263" s="10"/>
      <c r="X263" s="10"/>
      <c r="Y263" t="str">
        <f t="shared" si="97"/>
        <v>1403</v>
      </c>
      <c r="AB263" s="10"/>
      <c r="AC263" s="10"/>
      <c r="AD263" s="10"/>
      <c r="AE263" s="10"/>
      <c r="AF263" s="10"/>
      <c r="AG263" s="10"/>
      <c r="AH263" s="10"/>
      <c r="AI263" s="10"/>
    </row>
    <row r="264" spans="1:35">
      <c r="A264" s="10"/>
      <c r="B264" s="10" t="str">
        <f t="shared" si="92"/>
        <v>Above the LineSHOOT</v>
      </c>
      <c r="C264" t="s">
        <v>7</v>
      </c>
      <c r="D264" t="s">
        <v>19</v>
      </c>
      <c r="E264" t="s">
        <v>236</v>
      </c>
      <c r="F264" t="s">
        <v>355</v>
      </c>
      <c r="G264" t="s">
        <v>2199</v>
      </c>
      <c r="I264" s="10"/>
      <c r="J264" s="107">
        <f>SUMIF(Data!C:C,G264,Data!Q:Q)</f>
        <v>16404.400000000001</v>
      </c>
      <c r="K264" s="107">
        <f>SUMIF(Comprometidos!A:A,'Cost Report'!G264,Comprometidos!E:E)</f>
        <v>0</v>
      </c>
      <c r="L264" s="107">
        <f t="shared" si="98"/>
        <v>16404.400000000001</v>
      </c>
      <c r="M264" s="107">
        <v>0</v>
      </c>
      <c r="N264" s="107">
        <f t="shared" si="99"/>
        <v>16404.400000000001</v>
      </c>
      <c r="O264" s="107">
        <f>VLOOKUP(G264,Budget!$E$3:$G$2474,3,0)</f>
        <v>16410</v>
      </c>
      <c r="P264" s="107">
        <f t="shared" si="100"/>
        <v>5.5999999999985448</v>
      </c>
      <c r="Q264" s="107"/>
      <c r="R264" s="10"/>
      <c r="S264" s="107">
        <v>16404.400000000001</v>
      </c>
      <c r="T264" s="107">
        <f t="shared" si="91"/>
        <v>0</v>
      </c>
      <c r="U264" s="107"/>
      <c r="V264" s="175"/>
      <c r="W264" s="10"/>
      <c r="X264" s="10"/>
      <c r="Y264" t="str">
        <f t="shared" si="97"/>
        <v>1403</v>
      </c>
      <c r="AB264" s="10"/>
      <c r="AC264" s="10"/>
      <c r="AD264" s="10"/>
      <c r="AE264" s="10"/>
      <c r="AF264" s="10"/>
      <c r="AG264" s="10"/>
      <c r="AH264" s="10"/>
      <c r="AI264" s="10"/>
    </row>
    <row r="265" spans="1:35">
      <c r="A265" s="10"/>
      <c r="B265" s="10" t="str">
        <f t="shared" si="92"/>
        <v>Above the LineSHOOT</v>
      </c>
      <c r="C265" t="s">
        <v>7</v>
      </c>
      <c r="D265" t="s">
        <v>19</v>
      </c>
      <c r="E265" t="s">
        <v>236</v>
      </c>
      <c r="F265" t="s">
        <v>355</v>
      </c>
      <c r="G265" t="s">
        <v>2200</v>
      </c>
      <c r="I265" s="10"/>
      <c r="J265" s="107">
        <f>SUMIF(Data!C:C,G265,Data!Q:Q)</f>
        <v>0</v>
      </c>
      <c r="K265" s="107">
        <f>SUMIF(Comprometidos!A:A,'Cost Report'!G265,Comprometidos!E:E)</f>
        <v>0</v>
      </c>
      <c r="L265" s="107">
        <f t="shared" si="98"/>
        <v>0</v>
      </c>
      <c r="M265" s="107">
        <f t="shared" si="101"/>
        <v>0</v>
      </c>
      <c r="N265" s="107">
        <f t="shared" si="99"/>
        <v>0</v>
      </c>
      <c r="O265" s="107">
        <f>VLOOKUP(G265,Budget!$E$3:$G$2474,3,0)</f>
        <v>0</v>
      </c>
      <c r="P265" s="107">
        <f t="shared" si="100"/>
        <v>0</v>
      </c>
      <c r="Q265" s="107"/>
      <c r="R265" s="10"/>
      <c r="S265" s="107">
        <v>0</v>
      </c>
      <c r="T265" s="107">
        <f t="shared" si="91"/>
        <v>0</v>
      </c>
      <c r="U265" s="107"/>
      <c r="V265" s="175"/>
      <c r="W265" s="10"/>
      <c r="X265" s="10"/>
      <c r="Y265" t="str">
        <f t="shared" si="97"/>
        <v>1403</v>
      </c>
      <c r="AB265" s="10"/>
      <c r="AC265" s="10"/>
      <c r="AD265" s="10"/>
      <c r="AE265" s="10"/>
      <c r="AF265" s="10"/>
      <c r="AG265" s="10"/>
      <c r="AH265" s="10"/>
      <c r="AI265" s="10"/>
    </row>
    <row r="266" spans="1:35">
      <c r="A266" s="10"/>
      <c r="B266" s="10" t="str">
        <f t="shared" si="92"/>
        <v>Above the LineSHOOT</v>
      </c>
      <c r="C266" t="s">
        <v>7</v>
      </c>
      <c r="D266" t="s">
        <v>19</v>
      </c>
      <c r="E266" t="s">
        <v>236</v>
      </c>
      <c r="G266" t="s">
        <v>2201</v>
      </c>
      <c r="I266" s="10"/>
      <c r="J266" s="107">
        <f>SUMIF(Data!C:C,G266,Data!Q:Q)</f>
        <v>28400</v>
      </c>
      <c r="K266" s="107">
        <f>SUMIF(Comprometidos!A:A,'Cost Report'!G266,Comprometidos!E:E)</f>
        <v>0</v>
      </c>
      <c r="L266" s="107">
        <f t="shared" si="98"/>
        <v>28400</v>
      </c>
      <c r="M266" s="107">
        <v>0</v>
      </c>
      <c r="N266" s="107">
        <f t="shared" si="99"/>
        <v>28400</v>
      </c>
      <c r="O266" s="107">
        <f>VLOOKUP(G266,Budget!$E$3:$G$2474,3,0)</f>
        <v>20000</v>
      </c>
      <c r="P266" s="107">
        <f t="shared" si="100"/>
        <v>-8400</v>
      </c>
      <c r="Q266" s="107"/>
      <c r="R266" s="10"/>
      <c r="S266" s="107">
        <v>28400</v>
      </c>
      <c r="T266" s="107">
        <f t="shared" si="91"/>
        <v>0</v>
      </c>
      <c r="U266" s="107"/>
      <c r="V266" s="175"/>
      <c r="W266" s="10"/>
      <c r="X266" s="10"/>
      <c r="Y266" t="str">
        <f t="shared" si="97"/>
        <v>1403</v>
      </c>
      <c r="AB266" s="10"/>
      <c r="AC266" s="10"/>
      <c r="AD266" s="10"/>
      <c r="AE266" s="10"/>
      <c r="AF266" s="10"/>
      <c r="AG266" s="10"/>
      <c r="AH266" s="10"/>
      <c r="AI266" s="10"/>
    </row>
    <row r="267" spans="1:35">
      <c r="A267" s="10"/>
      <c r="B267" s="10" t="str">
        <f t="shared" si="92"/>
        <v>Above the LineSHOOT</v>
      </c>
      <c r="C267" t="s">
        <v>7</v>
      </c>
      <c r="D267" t="s">
        <v>19</v>
      </c>
      <c r="E267" t="s">
        <v>236</v>
      </c>
      <c r="F267" t="s">
        <v>355</v>
      </c>
      <c r="G267" t="s">
        <v>2202</v>
      </c>
      <c r="I267" s="10"/>
      <c r="J267" s="107">
        <f>SUMIF(Data!C:C,G267,Data!Q:Q)</f>
        <v>29442.720000000001</v>
      </c>
      <c r="K267" s="107">
        <f>SUMIF(Comprometidos!A:A,'Cost Report'!G267,Comprometidos!E:E)</f>
        <v>0</v>
      </c>
      <c r="L267" s="107">
        <f t="shared" si="98"/>
        <v>29442.720000000001</v>
      </c>
      <c r="M267" s="107">
        <v>0</v>
      </c>
      <c r="N267" s="107">
        <f t="shared" si="99"/>
        <v>29442.720000000001</v>
      </c>
      <c r="O267" s="107">
        <f>VLOOKUP(G267,Budget!$E$3:$G$2474,3,0)</f>
        <v>19692</v>
      </c>
      <c r="P267" s="107">
        <f t="shared" si="100"/>
        <v>-9750.7200000000012</v>
      </c>
      <c r="Q267" s="107"/>
      <c r="R267" s="10"/>
      <c r="S267" s="107">
        <v>29442.720000000001</v>
      </c>
      <c r="T267" s="107">
        <f t="shared" ref="T267:T330" si="102">+S267-N267</f>
        <v>0</v>
      </c>
      <c r="U267" s="107"/>
      <c r="V267" s="175"/>
      <c r="W267" s="10"/>
      <c r="X267" s="10"/>
      <c r="Y267" t="str">
        <f t="shared" si="97"/>
        <v>1403</v>
      </c>
      <c r="AB267" s="10"/>
      <c r="AC267" s="10"/>
      <c r="AD267" s="10"/>
      <c r="AE267" s="10"/>
      <c r="AF267" s="10"/>
      <c r="AG267" s="10"/>
      <c r="AH267" s="10"/>
      <c r="AI267" s="10"/>
    </row>
    <row r="268" spans="1:35">
      <c r="A268" s="10"/>
      <c r="B268" s="10" t="str">
        <f t="shared" si="92"/>
        <v>Above the LineSHOOT</v>
      </c>
      <c r="C268" t="s">
        <v>7</v>
      </c>
      <c r="D268" t="s">
        <v>19</v>
      </c>
      <c r="E268" t="s">
        <v>236</v>
      </c>
      <c r="F268" t="s">
        <v>355</v>
      </c>
      <c r="G268" t="s">
        <v>2203</v>
      </c>
      <c r="I268" s="10"/>
      <c r="J268" s="107">
        <f>SUMIF(Data!C:C,G268,Data!Q:Q)</f>
        <v>7551.93</v>
      </c>
      <c r="K268" s="107">
        <f>SUMIF(Comprometidos!A:A,'Cost Report'!G268,Comprometidos!E:E)</f>
        <v>0</v>
      </c>
      <c r="L268" s="107">
        <f t="shared" si="98"/>
        <v>7551.93</v>
      </c>
      <c r="M268" s="107">
        <v>0</v>
      </c>
      <c r="N268" s="107">
        <f t="shared" si="99"/>
        <v>7551.93</v>
      </c>
      <c r="O268" s="107">
        <f>VLOOKUP(G268,Budget!$E$3:$G$2474,3,0)</f>
        <v>19692</v>
      </c>
      <c r="P268" s="107">
        <f t="shared" si="100"/>
        <v>12140.07</v>
      </c>
      <c r="Q268" s="107"/>
      <c r="R268" s="10"/>
      <c r="S268" s="107">
        <v>7551.93</v>
      </c>
      <c r="T268" s="107">
        <f t="shared" si="102"/>
        <v>0</v>
      </c>
      <c r="U268" s="107"/>
      <c r="V268" s="175"/>
      <c r="W268" s="10"/>
      <c r="X268" s="10"/>
      <c r="Y268" t="str">
        <f t="shared" si="97"/>
        <v>1403</v>
      </c>
      <c r="AB268" s="10"/>
      <c r="AC268" s="10"/>
      <c r="AD268" s="10"/>
      <c r="AE268" s="10"/>
      <c r="AF268" s="10"/>
      <c r="AG268" s="10"/>
      <c r="AH268" s="10"/>
      <c r="AI268" s="10"/>
    </row>
    <row r="269" spans="1:35">
      <c r="A269" s="10"/>
      <c r="B269" s="10" t="str">
        <f t="shared" si="92"/>
        <v>Above the LineSHOOT</v>
      </c>
      <c r="C269" t="s">
        <v>7</v>
      </c>
      <c r="D269" t="s">
        <v>19</v>
      </c>
      <c r="E269" t="s">
        <v>236</v>
      </c>
      <c r="F269" t="s">
        <v>355</v>
      </c>
      <c r="G269" t="s">
        <v>2204</v>
      </c>
      <c r="I269" s="10"/>
      <c r="J269" s="107">
        <f>SUMIF(Data!C:C,G269,Data!Q:Q)</f>
        <v>6974.42</v>
      </c>
      <c r="K269" s="107">
        <f>SUMIF(Comprometidos!A:A,'Cost Report'!G269,Comprometidos!E:E)</f>
        <v>0</v>
      </c>
      <c r="L269" s="107">
        <f t="shared" si="98"/>
        <v>6974.42</v>
      </c>
      <c r="M269" s="107">
        <v>0</v>
      </c>
      <c r="N269" s="107">
        <f t="shared" si="99"/>
        <v>6974.42</v>
      </c>
      <c r="O269" s="107">
        <f>VLOOKUP(G269,Budget!$E$3:$G$2474,3,0)</f>
        <v>0</v>
      </c>
      <c r="P269" s="107">
        <f t="shared" si="100"/>
        <v>-6974.42</v>
      </c>
      <c r="Q269" s="107"/>
      <c r="R269" s="10"/>
      <c r="S269" s="107">
        <v>6974.42</v>
      </c>
      <c r="T269" s="107">
        <f t="shared" si="102"/>
        <v>0</v>
      </c>
      <c r="U269" s="107"/>
      <c r="V269" s="175"/>
      <c r="W269" s="10"/>
      <c r="X269" s="10"/>
      <c r="Y269" t="str">
        <f t="shared" si="97"/>
        <v>1403</v>
      </c>
      <c r="AB269" s="10"/>
      <c r="AC269" s="10"/>
      <c r="AD269" s="10"/>
      <c r="AE269" s="10"/>
      <c r="AF269" s="10"/>
      <c r="AG269" s="10"/>
      <c r="AH269" s="10"/>
      <c r="AI269" s="10"/>
    </row>
    <row r="270" spans="1:35">
      <c r="A270" s="10"/>
      <c r="B270" s="10" t="str">
        <f t="shared" si="92"/>
        <v>Above the LineSHOOT</v>
      </c>
      <c r="C270" t="s">
        <v>7</v>
      </c>
      <c r="D270" t="s">
        <v>19</v>
      </c>
      <c r="E270" t="s">
        <v>236</v>
      </c>
      <c r="F270" t="s">
        <v>355</v>
      </c>
      <c r="G270" t="s">
        <v>2205</v>
      </c>
      <c r="I270" s="10"/>
      <c r="J270" s="107">
        <f>SUMIF(Data!C:C,G270,Data!Q:Q)</f>
        <v>0</v>
      </c>
      <c r="K270" s="107">
        <f>SUMIF(Comprometidos!A:A,'Cost Report'!G270,Comprometidos!E:E)</f>
        <v>0</v>
      </c>
      <c r="L270" s="107">
        <f t="shared" si="98"/>
        <v>0</v>
      </c>
      <c r="M270" s="107">
        <f t="shared" si="101"/>
        <v>0</v>
      </c>
      <c r="N270" s="107">
        <f t="shared" si="99"/>
        <v>0</v>
      </c>
      <c r="O270" s="107">
        <f>VLOOKUP(G270,Budget!$E$3:$G$2474,3,0)</f>
        <v>0</v>
      </c>
      <c r="P270" s="107">
        <f t="shared" si="100"/>
        <v>0</v>
      </c>
      <c r="Q270" s="107"/>
      <c r="R270" s="10"/>
      <c r="S270" s="107">
        <v>0</v>
      </c>
      <c r="T270" s="107">
        <f t="shared" si="102"/>
        <v>0</v>
      </c>
      <c r="U270" s="107"/>
      <c r="V270" s="175"/>
      <c r="W270" s="10"/>
      <c r="X270" s="10"/>
      <c r="Y270" t="str">
        <f t="shared" si="97"/>
        <v>1403</v>
      </c>
      <c r="AB270" s="10"/>
      <c r="AC270" s="10"/>
      <c r="AD270" s="10"/>
      <c r="AE270" s="10"/>
      <c r="AF270" s="10"/>
      <c r="AG270" s="10"/>
      <c r="AH270" s="10"/>
      <c r="AI270" s="10"/>
    </row>
    <row r="271" spans="1:35">
      <c r="A271" s="10"/>
      <c r="B271" s="10" t="str">
        <f t="shared" si="92"/>
        <v>Above the LineSHOOT</v>
      </c>
      <c r="C271" t="s">
        <v>7</v>
      </c>
      <c r="D271" t="s">
        <v>19</v>
      </c>
      <c r="E271" t="s">
        <v>236</v>
      </c>
      <c r="G271" t="s">
        <v>2206</v>
      </c>
      <c r="I271" s="10"/>
      <c r="J271" s="107">
        <f>SUMIF(Data!C:C,G271,Data!Q:Q)</f>
        <v>77700</v>
      </c>
      <c r="K271" s="107">
        <f>SUMIF(Comprometidos!A:A,'Cost Report'!G271,Comprometidos!E:E)</f>
        <v>0</v>
      </c>
      <c r="L271" s="107">
        <f t="shared" si="98"/>
        <v>77700</v>
      </c>
      <c r="M271" s="107">
        <f>+O271-L271+38850</f>
        <v>0</v>
      </c>
      <c r="N271" s="107">
        <f t="shared" si="99"/>
        <v>77700</v>
      </c>
      <c r="O271" s="107">
        <f>VLOOKUP(G271,Budget!$E$3:$G$2474,3,0)</f>
        <v>38850</v>
      </c>
      <c r="P271" s="107">
        <f t="shared" si="100"/>
        <v>-38850</v>
      </c>
      <c r="Q271" s="107"/>
      <c r="R271" s="10"/>
      <c r="S271" s="107">
        <v>77700</v>
      </c>
      <c r="T271" s="107">
        <f t="shared" si="102"/>
        <v>0</v>
      </c>
      <c r="U271" s="107"/>
      <c r="V271" s="175"/>
      <c r="W271" s="10"/>
      <c r="X271" s="10"/>
      <c r="Y271" t="str">
        <f t="shared" si="97"/>
        <v>1403</v>
      </c>
      <c r="AB271" s="10"/>
      <c r="AC271" s="10"/>
      <c r="AD271" s="10"/>
      <c r="AE271" s="10"/>
      <c r="AF271" s="10"/>
      <c r="AG271" s="10"/>
      <c r="AH271" s="10"/>
      <c r="AI271" s="10"/>
    </row>
    <row r="272" spans="1:35">
      <c r="A272" s="10"/>
      <c r="B272" s="10" t="str">
        <f t="shared" si="92"/>
        <v>Above the LineSHOOT</v>
      </c>
      <c r="C272" t="s">
        <v>7</v>
      </c>
      <c r="D272" t="s">
        <v>19</v>
      </c>
      <c r="E272" t="s">
        <v>236</v>
      </c>
      <c r="F272" t="s">
        <v>355</v>
      </c>
      <c r="G272" t="s">
        <v>2207</v>
      </c>
      <c r="I272" s="10"/>
      <c r="J272" s="107">
        <f>SUMIF(Data!C:C,G272,Data!Q:Q)</f>
        <v>0</v>
      </c>
      <c r="K272" s="107">
        <f>SUMIF(Comprometidos!A:A,'Cost Report'!G272,Comprometidos!E:E)</f>
        <v>0</v>
      </c>
      <c r="L272" s="107">
        <f t="shared" si="98"/>
        <v>0</v>
      </c>
      <c r="M272" s="107">
        <v>0</v>
      </c>
      <c r="N272" s="107">
        <f t="shared" si="99"/>
        <v>0</v>
      </c>
      <c r="O272" s="107">
        <f>VLOOKUP(G272,Budget!$E$3:$G$2474,3,0)</f>
        <v>9846</v>
      </c>
      <c r="P272" s="107">
        <f t="shared" si="100"/>
        <v>9846</v>
      </c>
      <c r="Q272" s="107"/>
      <c r="R272" s="10"/>
      <c r="S272" s="107">
        <v>0</v>
      </c>
      <c r="T272" s="107">
        <f t="shared" si="102"/>
        <v>0</v>
      </c>
      <c r="U272" s="107"/>
      <c r="V272" s="175"/>
      <c r="W272" s="10"/>
      <c r="X272" s="10"/>
      <c r="Y272" t="str">
        <f t="shared" si="97"/>
        <v>1403</v>
      </c>
      <c r="AB272" s="10"/>
      <c r="AC272" s="10"/>
      <c r="AD272" s="10"/>
      <c r="AE272" s="10"/>
      <c r="AF272" s="10"/>
      <c r="AG272" s="10"/>
      <c r="AH272" s="10"/>
      <c r="AI272" s="10"/>
    </row>
    <row r="273" spans="1:35">
      <c r="A273" s="10"/>
      <c r="B273" s="10" t="str">
        <f t="shared" si="92"/>
        <v>Above the LineSHOOT</v>
      </c>
      <c r="C273" t="s">
        <v>7</v>
      </c>
      <c r="D273" t="s">
        <v>19</v>
      </c>
      <c r="E273" t="s">
        <v>236</v>
      </c>
      <c r="F273" t="s">
        <v>355</v>
      </c>
      <c r="G273" t="s">
        <v>2208</v>
      </c>
      <c r="I273" s="10"/>
      <c r="J273" s="107">
        <f>SUMIF(Data!C:C,G273,Data!Q:Q)</f>
        <v>0</v>
      </c>
      <c r="K273" s="107">
        <f>SUMIF(Comprometidos!A:A,'Cost Report'!G273,Comprometidos!E:E)</f>
        <v>0</v>
      </c>
      <c r="L273" s="107">
        <f t="shared" si="98"/>
        <v>0</v>
      </c>
      <c r="M273" s="107">
        <f t="shared" si="101"/>
        <v>0</v>
      </c>
      <c r="N273" s="107">
        <f t="shared" si="99"/>
        <v>0</v>
      </c>
      <c r="O273" s="107">
        <f>VLOOKUP(G273,Budget!$E$3:$G$2474,3,0)</f>
        <v>0</v>
      </c>
      <c r="P273" s="107">
        <f t="shared" si="100"/>
        <v>0</v>
      </c>
      <c r="Q273" s="107"/>
      <c r="R273" s="10"/>
      <c r="S273" s="107">
        <v>0</v>
      </c>
      <c r="T273" s="107">
        <f t="shared" si="102"/>
        <v>0</v>
      </c>
      <c r="U273" s="107"/>
      <c r="V273" s="175"/>
      <c r="W273" s="10"/>
      <c r="X273" s="10"/>
      <c r="Y273" t="str">
        <f t="shared" si="97"/>
        <v>1403</v>
      </c>
      <c r="AB273" s="10"/>
      <c r="AC273" s="10"/>
      <c r="AD273" s="10"/>
      <c r="AE273" s="10"/>
      <c r="AF273" s="10"/>
      <c r="AG273" s="10"/>
      <c r="AH273" s="10"/>
      <c r="AI273" s="10"/>
    </row>
    <row r="274" spans="1:35">
      <c r="A274" s="10"/>
      <c r="B274" s="10" t="str">
        <f t="shared" si="92"/>
        <v>Above the LineSHOOT</v>
      </c>
      <c r="C274" t="s">
        <v>7</v>
      </c>
      <c r="D274" t="s">
        <v>19</v>
      </c>
      <c r="E274" t="s">
        <v>236</v>
      </c>
      <c r="F274" t="s">
        <v>355</v>
      </c>
      <c r="G274" t="s">
        <v>2209</v>
      </c>
      <c r="I274" s="10"/>
      <c r="J274" s="107">
        <f>SUMIF(Data!C:C,G274,Data!Q:Q)</f>
        <v>0</v>
      </c>
      <c r="K274" s="107">
        <f>SUMIF(Comprometidos!A:A,'Cost Report'!G274,Comprometidos!E:E)</f>
        <v>0</v>
      </c>
      <c r="L274" s="107">
        <f t="shared" si="98"/>
        <v>0</v>
      </c>
      <c r="M274" s="107">
        <f t="shared" si="101"/>
        <v>0</v>
      </c>
      <c r="N274" s="107">
        <f t="shared" si="99"/>
        <v>0</v>
      </c>
      <c r="O274" s="107">
        <f>VLOOKUP(G274,Budget!$E$3:$G$2474,3,0)</f>
        <v>0</v>
      </c>
      <c r="P274" s="107">
        <f t="shared" si="100"/>
        <v>0</v>
      </c>
      <c r="Q274" s="107"/>
      <c r="R274" s="10"/>
      <c r="S274" s="107">
        <v>0</v>
      </c>
      <c r="T274" s="107">
        <f t="shared" si="102"/>
        <v>0</v>
      </c>
      <c r="U274" s="107"/>
      <c r="V274" s="175"/>
      <c r="W274" s="10"/>
      <c r="X274" s="10"/>
      <c r="Y274" t="str">
        <f t="shared" si="97"/>
        <v>1403</v>
      </c>
      <c r="AB274" s="10"/>
      <c r="AC274" s="10"/>
      <c r="AD274" s="10"/>
      <c r="AE274" s="10"/>
      <c r="AF274" s="10"/>
      <c r="AG274" s="10"/>
      <c r="AH274" s="10"/>
      <c r="AI274" s="10"/>
    </row>
    <row r="275" spans="1:35">
      <c r="A275" s="10"/>
      <c r="B275" s="10" t="str">
        <f t="shared" si="92"/>
        <v>Above the LineSHOOT</v>
      </c>
      <c r="C275" t="s">
        <v>7</v>
      </c>
      <c r="D275" t="s">
        <v>19</v>
      </c>
      <c r="E275" t="s">
        <v>236</v>
      </c>
      <c r="F275" t="s">
        <v>355</v>
      </c>
      <c r="G275" t="s">
        <v>2210</v>
      </c>
      <c r="I275" s="10"/>
      <c r="J275" s="107">
        <f>SUMIF(Data!C:C,G275,Data!Q:Q)</f>
        <v>0</v>
      </c>
      <c r="K275" s="107">
        <f>SUMIF(Comprometidos!A:A,'Cost Report'!G275,Comprometidos!E:E)</f>
        <v>0</v>
      </c>
      <c r="L275" s="107">
        <f t="shared" si="98"/>
        <v>0</v>
      </c>
      <c r="M275" s="107">
        <f t="shared" si="101"/>
        <v>0</v>
      </c>
      <c r="N275" s="107">
        <f t="shared" si="99"/>
        <v>0</v>
      </c>
      <c r="O275" s="107">
        <f>VLOOKUP(G275,Budget!$E$3:$G$2474,3,0)</f>
        <v>0</v>
      </c>
      <c r="P275" s="107">
        <f t="shared" si="100"/>
        <v>0</v>
      </c>
      <c r="Q275" s="107"/>
      <c r="R275" s="10"/>
      <c r="S275" s="107">
        <v>0</v>
      </c>
      <c r="T275" s="107">
        <f t="shared" si="102"/>
        <v>0</v>
      </c>
      <c r="U275" s="107"/>
      <c r="V275" s="175"/>
      <c r="W275" s="10"/>
      <c r="X275" s="10"/>
      <c r="Y275" t="str">
        <f t="shared" si="97"/>
        <v>1403</v>
      </c>
      <c r="AB275" s="10"/>
      <c r="AC275" s="10"/>
      <c r="AD275" s="10"/>
      <c r="AE275" s="10"/>
      <c r="AF275" s="10"/>
      <c r="AG275" s="10"/>
      <c r="AH275" s="10"/>
      <c r="AI275" s="10"/>
    </row>
    <row r="276" spans="1:35">
      <c r="A276" s="10"/>
      <c r="B276" s="10" t="str">
        <f t="shared" si="92"/>
        <v>Above the LineSHOOT</v>
      </c>
      <c r="C276" t="s">
        <v>7</v>
      </c>
      <c r="D276" t="s">
        <v>19</v>
      </c>
      <c r="E276" t="s">
        <v>236</v>
      </c>
      <c r="G276" t="s">
        <v>2211</v>
      </c>
      <c r="I276" s="10"/>
      <c r="J276" s="107">
        <f>SUMIF(Data!C:C,G276,Data!Q:Q)</f>
        <v>84000</v>
      </c>
      <c r="K276" s="107">
        <f>SUMIF(Comprometidos!A:A,'Cost Report'!G276,Comprometidos!E:E)</f>
        <v>0</v>
      </c>
      <c r="L276" s="107">
        <f t="shared" si="98"/>
        <v>84000</v>
      </c>
      <c r="M276" s="107">
        <f t="shared" si="101"/>
        <v>0</v>
      </c>
      <c r="N276" s="107">
        <f t="shared" si="99"/>
        <v>84000</v>
      </c>
      <c r="O276" s="107">
        <f>VLOOKUP(G276,Budget!$E$3:$G$2474,3,0)</f>
        <v>84000</v>
      </c>
      <c r="P276" s="107">
        <f t="shared" si="100"/>
        <v>0</v>
      </c>
      <c r="Q276" s="107"/>
      <c r="R276" s="10"/>
      <c r="S276" s="107">
        <v>84000</v>
      </c>
      <c r="T276" s="107">
        <f t="shared" si="102"/>
        <v>0</v>
      </c>
      <c r="U276" s="107"/>
      <c r="V276" s="175"/>
      <c r="W276" s="10"/>
      <c r="X276" s="10"/>
      <c r="Y276" t="str">
        <f t="shared" si="97"/>
        <v>1403</v>
      </c>
      <c r="AB276" s="10"/>
      <c r="AC276" s="10"/>
      <c r="AD276" s="10"/>
      <c r="AE276" s="10"/>
      <c r="AF276" s="10"/>
      <c r="AG276" s="10"/>
      <c r="AH276" s="10"/>
      <c r="AI276" s="10"/>
    </row>
    <row r="277" spans="1:35">
      <c r="A277" s="10"/>
      <c r="B277" s="10" t="str">
        <f t="shared" si="92"/>
        <v>Above the LineSHOOT</v>
      </c>
      <c r="C277" t="s">
        <v>7</v>
      </c>
      <c r="D277" t="s">
        <v>19</v>
      </c>
      <c r="E277" t="s">
        <v>236</v>
      </c>
      <c r="F277" t="s">
        <v>355</v>
      </c>
      <c r="G277" t="s">
        <v>2212</v>
      </c>
      <c r="I277" s="10"/>
      <c r="J277" s="107">
        <f>SUMIF(Data!C:C,G277,Data!Q:Q)</f>
        <v>0</v>
      </c>
      <c r="K277" s="107">
        <f>SUMIF(Comprometidos!A:A,'Cost Report'!G277,Comprometidos!E:E)</f>
        <v>0</v>
      </c>
      <c r="L277" s="107">
        <f t="shared" si="98"/>
        <v>0</v>
      </c>
      <c r="M277" s="107">
        <v>0</v>
      </c>
      <c r="N277" s="107">
        <f t="shared" si="99"/>
        <v>0</v>
      </c>
      <c r="O277" s="107">
        <f>VLOOKUP(G277,Budget!$E$3:$G$2474,3,0)</f>
        <v>16410</v>
      </c>
      <c r="P277" s="107">
        <f t="shared" si="100"/>
        <v>16410</v>
      </c>
      <c r="Q277" s="107"/>
      <c r="R277" s="10"/>
      <c r="S277" s="107">
        <v>0</v>
      </c>
      <c r="T277" s="107">
        <f t="shared" si="102"/>
        <v>0</v>
      </c>
      <c r="U277" s="107"/>
      <c r="V277" s="175"/>
      <c r="W277" s="10"/>
      <c r="X277" s="10"/>
      <c r="Y277" t="str">
        <f t="shared" si="97"/>
        <v>1403</v>
      </c>
      <c r="AB277" s="10"/>
      <c r="AC277" s="10"/>
      <c r="AD277" s="10"/>
      <c r="AE277" s="10"/>
      <c r="AF277" s="10"/>
      <c r="AG277" s="10"/>
      <c r="AH277" s="10"/>
      <c r="AI277" s="10"/>
    </row>
    <row r="278" spans="1:35">
      <c r="A278" s="10"/>
      <c r="B278" s="10" t="str">
        <f t="shared" si="92"/>
        <v>Above the LineSHOOT</v>
      </c>
      <c r="C278" t="s">
        <v>7</v>
      </c>
      <c r="D278" t="s">
        <v>19</v>
      </c>
      <c r="E278" t="s">
        <v>236</v>
      </c>
      <c r="F278" t="s">
        <v>355</v>
      </c>
      <c r="G278" t="s">
        <v>2213</v>
      </c>
      <c r="I278" s="10"/>
      <c r="J278" s="107">
        <f>SUMIF(Data!C:C,G278,Data!Q:Q)</f>
        <v>0</v>
      </c>
      <c r="K278" s="107">
        <f>SUMIF(Comprometidos!A:A,'Cost Report'!G278,Comprometidos!E:E)</f>
        <v>0</v>
      </c>
      <c r="L278" s="107">
        <f t="shared" si="98"/>
        <v>0</v>
      </c>
      <c r="M278" s="107">
        <v>0</v>
      </c>
      <c r="N278" s="107">
        <f t="shared" si="99"/>
        <v>0</v>
      </c>
      <c r="O278" s="107">
        <f>VLOOKUP(G278,Budget!$E$3:$G$2474,3,0)</f>
        <v>19692</v>
      </c>
      <c r="P278" s="107">
        <f t="shared" si="100"/>
        <v>19692</v>
      </c>
      <c r="Q278" s="107"/>
      <c r="R278" s="10"/>
      <c r="S278" s="107">
        <v>0</v>
      </c>
      <c r="T278" s="107">
        <f t="shared" si="102"/>
        <v>0</v>
      </c>
      <c r="U278" s="107"/>
      <c r="V278" s="175"/>
      <c r="W278" s="10"/>
      <c r="X278" s="10"/>
      <c r="Y278" t="str">
        <f t="shared" si="97"/>
        <v>1403</v>
      </c>
      <c r="AB278" s="10"/>
      <c r="AC278" s="10"/>
      <c r="AD278" s="10"/>
      <c r="AE278" s="10"/>
      <c r="AF278" s="10"/>
      <c r="AG278" s="10"/>
      <c r="AH278" s="10"/>
      <c r="AI278" s="10"/>
    </row>
    <row r="279" spans="1:35">
      <c r="A279" s="10"/>
      <c r="B279" s="10" t="str">
        <f t="shared" si="92"/>
        <v>Above the LineSHOOT</v>
      </c>
      <c r="C279" t="s">
        <v>7</v>
      </c>
      <c r="D279" t="s">
        <v>19</v>
      </c>
      <c r="E279" t="s">
        <v>236</v>
      </c>
      <c r="F279" t="s">
        <v>355</v>
      </c>
      <c r="G279" t="s">
        <v>2214</v>
      </c>
      <c r="I279" s="10"/>
      <c r="J279" s="107">
        <f>SUMIF(Data!C:C,G279,Data!Q:Q)</f>
        <v>0</v>
      </c>
      <c r="K279" s="107">
        <f>SUMIF(Comprometidos!A:A,'Cost Report'!G279,Comprometidos!E:E)</f>
        <v>0</v>
      </c>
      <c r="L279" s="107">
        <f t="shared" si="98"/>
        <v>0</v>
      </c>
      <c r="M279" s="107">
        <f t="shared" si="101"/>
        <v>0</v>
      </c>
      <c r="N279" s="107">
        <f t="shared" si="99"/>
        <v>0</v>
      </c>
      <c r="O279" s="107">
        <f>VLOOKUP(G279,Budget!$E$3:$G$2474,3,0)</f>
        <v>0</v>
      </c>
      <c r="P279" s="107">
        <f t="shared" si="100"/>
        <v>0</v>
      </c>
      <c r="Q279" s="107"/>
      <c r="R279" s="10"/>
      <c r="S279" s="107">
        <v>0</v>
      </c>
      <c r="T279" s="107">
        <f t="shared" si="102"/>
        <v>0</v>
      </c>
      <c r="U279" s="107"/>
      <c r="V279" s="175"/>
      <c r="W279" s="10"/>
      <c r="X279" s="10"/>
      <c r="Y279" t="str">
        <f t="shared" si="97"/>
        <v>1403</v>
      </c>
      <c r="AB279" s="10"/>
      <c r="AC279" s="10"/>
      <c r="AD279" s="10"/>
      <c r="AE279" s="10"/>
      <c r="AF279" s="10"/>
      <c r="AG279" s="10"/>
      <c r="AH279" s="10"/>
      <c r="AI279" s="10"/>
    </row>
    <row r="280" spans="1:35">
      <c r="A280" s="10"/>
      <c r="B280" s="10" t="str">
        <f t="shared" ref="B280" si="103">+C280&amp;E280</f>
        <v>Above the LineSHOOT</v>
      </c>
      <c r="C280" t="s">
        <v>7</v>
      </c>
      <c r="D280" t="s">
        <v>19</v>
      </c>
      <c r="E280" t="s">
        <v>236</v>
      </c>
      <c r="F280" t="s">
        <v>355</v>
      </c>
      <c r="G280" t="s">
        <v>2215</v>
      </c>
      <c r="I280" s="10"/>
      <c r="J280" s="107">
        <f>SUMIF(Data!C:C,G280,Data!Q:Q)</f>
        <v>0</v>
      </c>
      <c r="K280" s="107">
        <f>SUMIF(Comprometidos!A:A,'Cost Report'!G280,Comprometidos!E:E)</f>
        <v>0</v>
      </c>
      <c r="L280" s="107">
        <f t="shared" si="98"/>
        <v>0</v>
      </c>
      <c r="M280" s="107">
        <v>0</v>
      </c>
      <c r="N280" s="107">
        <f t="shared" si="99"/>
        <v>0</v>
      </c>
      <c r="O280" s="107">
        <f>VLOOKUP(G280,Budget!$E$3:$G$2474,3,0)</f>
        <v>3300</v>
      </c>
      <c r="P280" s="107">
        <f t="shared" si="100"/>
        <v>3300</v>
      </c>
      <c r="Q280" s="107"/>
      <c r="R280" s="10"/>
      <c r="S280" s="107">
        <v>0</v>
      </c>
      <c r="T280" s="107">
        <f t="shared" si="102"/>
        <v>0</v>
      </c>
      <c r="U280" s="107"/>
      <c r="V280" s="175"/>
      <c r="W280" s="10"/>
      <c r="X280" s="10"/>
      <c r="Y280" t="str">
        <f t="shared" ref="Y280" si="104">LEFT(G280,4)</f>
        <v>1403</v>
      </c>
      <c r="AB280" s="10"/>
      <c r="AC280" s="10"/>
      <c r="AD280" s="10"/>
      <c r="AE280" s="10"/>
      <c r="AF280" s="10"/>
      <c r="AG280" s="10"/>
      <c r="AH280" s="10"/>
      <c r="AI280" s="10"/>
    </row>
    <row r="281" spans="1:35">
      <c r="A281" s="10"/>
      <c r="B281" s="10" t="str">
        <f>+C281</f>
        <v>Above the Line</v>
      </c>
      <c r="C281" s="128" t="s">
        <v>7</v>
      </c>
      <c r="D281" s="128" t="s">
        <v>2117</v>
      </c>
      <c r="E281" s="128"/>
      <c r="F281" s="128"/>
      <c r="G281" s="128" t="s">
        <v>352</v>
      </c>
      <c r="H281" s="128"/>
      <c r="I281" s="10"/>
      <c r="J281" s="129">
        <f>SUMIF($Y$11:$Y$2484,G281,J$11:J$2484)</f>
        <v>107315.31</v>
      </c>
      <c r="K281" s="129">
        <f>SUMIF($Y$11:$Y$2484,G281,K$11:K$2484)</f>
        <v>0</v>
      </c>
      <c r="L281" s="129">
        <f>SUMIF($Y$11:$Y$2484,G281,L$11:L$2484)</f>
        <v>107315.31</v>
      </c>
      <c r="M281" s="129">
        <f>SUMIF($Y$11:$Y$2484,G281,M$11:M$2484)</f>
        <v>0</v>
      </c>
      <c r="N281" s="129">
        <f>SUMIF($Y$11:$Y$2484,G281,N$11:N$2484)</f>
        <v>107315.31</v>
      </c>
      <c r="O281" s="129">
        <f>SUMIF($Y$11:$Y$2484,G281,O$11:O$2484)</f>
        <v>255106</v>
      </c>
      <c r="P281" s="129">
        <f>SUMIF($Y$11:$Y$2484,G281,P$11:P$2484)</f>
        <v>147790.69</v>
      </c>
      <c r="Q281" s="129"/>
      <c r="R281" s="10"/>
      <c r="S281" s="129">
        <v>107315.31</v>
      </c>
      <c r="T281" s="129">
        <f t="shared" si="102"/>
        <v>0</v>
      </c>
      <c r="U281" s="128"/>
      <c r="V281" s="175"/>
      <c r="W281" s="10"/>
      <c r="X281" s="10"/>
      <c r="Z281" t="str">
        <f>LEFT(G281,2)</f>
        <v>14</v>
      </c>
      <c r="AA281" t="str">
        <f>+Z281&amp;"00"</f>
        <v>1400</v>
      </c>
      <c r="AB281" s="10"/>
      <c r="AC281" s="10"/>
      <c r="AD281" s="10"/>
      <c r="AE281" s="10"/>
      <c r="AF281" s="10"/>
      <c r="AG281" s="10"/>
      <c r="AH281" s="10"/>
      <c r="AI281" s="10"/>
    </row>
    <row r="282" spans="1:35">
      <c r="A282" s="10"/>
      <c r="B282" s="10" t="str">
        <f t="shared" ref="B282:B288" si="105">+C282&amp;E282</f>
        <v>Above the Line</v>
      </c>
      <c r="C282" t="s">
        <v>7</v>
      </c>
      <c r="D282" t="s">
        <v>19</v>
      </c>
      <c r="E282" t="s">
        <v>214</v>
      </c>
      <c r="G282" t="s">
        <v>353</v>
      </c>
      <c r="I282" s="10"/>
      <c r="J282" s="107">
        <f>SUMIF(Data!C:C,G282,Data!Q:Q)</f>
        <v>0</v>
      </c>
      <c r="K282" s="107">
        <f>SUMIF(Comprometidos!A:A,'Cost Report'!G282,Comprometidos!E:E)</f>
        <v>0</v>
      </c>
      <c r="L282" s="107">
        <f t="shared" ref="L282:L299" si="106">+J282+K282</f>
        <v>0</v>
      </c>
      <c r="M282" s="107">
        <f t="shared" ref="M282:M295" si="107">+O282-L282</f>
        <v>0</v>
      </c>
      <c r="N282" s="107">
        <f t="shared" ref="N282:N299" si="108">+L282+M282</f>
        <v>0</v>
      </c>
      <c r="O282" s="107">
        <f>VLOOKUP(G282,Budget!$E$3:$G$2474,3,0)</f>
        <v>0</v>
      </c>
      <c r="P282" s="107">
        <f t="shared" ref="P282:P299" si="109">+O282-N282</f>
        <v>0</v>
      </c>
      <c r="Q282" s="107"/>
      <c r="R282" s="10"/>
      <c r="S282" s="107">
        <v>0</v>
      </c>
      <c r="T282" s="107">
        <f t="shared" si="102"/>
        <v>0</v>
      </c>
      <c r="U282" s="107"/>
      <c r="V282" s="175"/>
      <c r="W282" s="10"/>
      <c r="X282" s="10"/>
      <c r="Y282" t="str">
        <f t="shared" ref="Y282:Y288" si="110">LEFT(G282,4)</f>
        <v>1404</v>
      </c>
      <c r="AB282" s="10"/>
      <c r="AC282" s="10"/>
      <c r="AD282" s="10"/>
      <c r="AE282" s="10"/>
      <c r="AF282" s="10"/>
      <c r="AG282" s="10"/>
      <c r="AH282" s="10"/>
      <c r="AI282" s="10"/>
    </row>
    <row r="283" spans="1:35">
      <c r="A283" s="10"/>
      <c r="B283" s="10" t="str">
        <f t="shared" si="105"/>
        <v>Above the Line</v>
      </c>
      <c r="C283" t="s">
        <v>7</v>
      </c>
      <c r="D283" t="s">
        <v>19</v>
      </c>
      <c r="E283" t="s">
        <v>214</v>
      </c>
      <c r="G283" t="s">
        <v>354</v>
      </c>
      <c r="I283" s="10"/>
      <c r="J283" s="107">
        <f>SUMIF(Data!C:C,G283,Data!Q:Q)</f>
        <v>0</v>
      </c>
      <c r="K283" s="107">
        <f>SUMIF(Comprometidos!A:A,'Cost Report'!G283,Comprometidos!E:E)</f>
        <v>0</v>
      </c>
      <c r="L283" s="107">
        <f t="shared" si="106"/>
        <v>0</v>
      </c>
      <c r="M283" s="107">
        <f t="shared" si="107"/>
        <v>0</v>
      </c>
      <c r="N283" s="107">
        <f t="shared" si="108"/>
        <v>0</v>
      </c>
      <c r="O283" s="107">
        <f>VLOOKUP(G283,Budget!$E$3:$G$2474,3,0)</f>
        <v>0</v>
      </c>
      <c r="P283" s="107">
        <f t="shared" si="109"/>
        <v>0</v>
      </c>
      <c r="Q283" s="107"/>
      <c r="R283" s="10"/>
      <c r="S283" s="107">
        <v>0</v>
      </c>
      <c r="T283" s="107">
        <f t="shared" si="102"/>
        <v>0</v>
      </c>
      <c r="U283" s="107"/>
      <c r="V283" s="175"/>
      <c r="W283" s="10"/>
      <c r="X283" s="10"/>
      <c r="Y283" t="str">
        <f t="shared" si="110"/>
        <v>1404</v>
      </c>
      <c r="AB283" s="10"/>
      <c r="AC283" s="10"/>
      <c r="AD283" s="10"/>
      <c r="AE283" s="10"/>
      <c r="AF283" s="10"/>
      <c r="AG283" s="10"/>
      <c r="AH283" s="10"/>
      <c r="AI283" s="10"/>
    </row>
    <row r="284" spans="1:35">
      <c r="A284" s="10"/>
      <c r="B284" s="10" t="str">
        <f t="shared" si="105"/>
        <v>Above the LineALL SHOW</v>
      </c>
      <c r="C284" t="s">
        <v>7</v>
      </c>
      <c r="D284" t="s">
        <v>19</v>
      </c>
      <c r="E284" t="s">
        <v>227</v>
      </c>
      <c r="G284" t="s">
        <v>356</v>
      </c>
      <c r="I284" s="10"/>
      <c r="J284" s="107">
        <f>SUMIF(Data!C:C,G284,Data!Q:Q)</f>
        <v>79165</v>
      </c>
      <c r="K284" s="107">
        <f>SUMIF(Comprometidos!A:A,'Cost Report'!G284,Comprometidos!E:E)</f>
        <v>0</v>
      </c>
      <c r="L284" s="107">
        <f t="shared" si="106"/>
        <v>79165</v>
      </c>
      <c r="M284" s="107">
        <f>+O284-L284-20835</f>
        <v>0</v>
      </c>
      <c r="N284" s="107">
        <f t="shared" si="108"/>
        <v>79165</v>
      </c>
      <c r="O284" s="107">
        <f>VLOOKUP(G284,Budget!$E$3:$G$2474,3,0)</f>
        <v>100000</v>
      </c>
      <c r="P284" s="107">
        <f t="shared" si="109"/>
        <v>20835</v>
      </c>
      <c r="Q284" s="107"/>
      <c r="R284" s="10"/>
      <c r="S284" s="107">
        <v>79165</v>
      </c>
      <c r="T284" s="107">
        <f t="shared" si="102"/>
        <v>0</v>
      </c>
      <c r="U284" s="107"/>
      <c r="V284" s="175"/>
      <c r="W284" s="10"/>
      <c r="X284" s="10"/>
      <c r="Y284" t="str">
        <f t="shared" si="110"/>
        <v>1404</v>
      </c>
      <c r="AB284" s="10"/>
      <c r="AC284" s="10"/>
      <c r="AD284" s="10"/>
      <c r="AE284" s="10"/>
      <c r="AF284" s="10"/>
      <c r="AG284" s="10"/>
      <c r="AH284" s="10"/>
      <c r="AI284" s="10"/>
    </row>
    <row r="285" spans="1:35">
      <c r="A285" s="10"/>
      <c r="B285" s="10" t="str">
        <f t="shared" si="105"/>
        <v>Above the LineALL SHOW</v>
      </c>
      <c r="C285" t="s">
        <v>7</v>
      </c>
      <c r="D285" t="s">
        <v>19</v>
      </c>
      <c r="E285" t="s">
        <v>227</v>
      </c>
      <c r="F285" t="s">
        <v>355</v>
      </c>
      <c r="G285" t="s">
        <v>357</v>
      </c>
      <c r="I285" s="10"/>
      <c r="J285" s="107">
        <f>SUMIF(Data!C:C,G285,Data!Q:Q)</f>
        <v>28150.31</v>
      </c>
      <c r="K285" s="107">
        <f>SUMIF(Comprometidos!A:A,'Cost Report'!G285,Comprometidos!E:E)</f>
        <v>0</v>
      </c>
      <c r="L285" s="107">
        <f t="shared" si="106"/>
        <v>28150.31</v>
      </c>
      <c r="M285" s="107">
        <v>0</v>
      </c>
      <c r="N285" s="107">
        <f t="shared" si="108"/>
        <v>28150.31</v>
      </c>
      <c r="O285" s="107">
        <f>VLOOKUP(G285,Budget!$E$3:$G$2474,3,0)</f>
        <v>65640</v>
      </c>
      <c r="P285" s="107">
        <f t="shared" si="109"/>
        <v>37489.69</v>
      </c>
      <c r="Q285" s="107"/>
      <c r="R285" s="10"/>
      <c r="S285" s="107">
        <v>28150.31</v>
      </c>
      <c r="T285" s="107">
        <f t="shared" si="102"/>
        <v>0</v>
      </c>
      <c r="U285" s="107"/>
      <c r="V285" s="175"/>
      <c r="W285" s="10"/>
      <c r="X285" s="10"/>
      <c r="Y285" t="str">
        <f t="shared" si="110"/>
        <v>1404</v>
      </c>
      <c r="AB285" s="10"/>
      <c r="AC285" s="10"/>
      <c r="AD285" s="10"/>
      <c r="AE285" s="10"/>
      <c r="AF285" s="10"/>
      <c r="AG285" s="10"/>
      <c r="AH285" s="10"/>
      <c r="AI285" s="10"/>
    </row>
    <row r="286" spans="1:35">
      <c r="A286" s="10"/>
      <c r="B286" s="10" t="str">
        <f t="shared" si="105"/>
        <v>Above the Line</v>
      </c>
      <c r="C286" t="s">
        <v>7</v>
      </c>
      <c r="D286" t="s">
        <v>19</v>
      </c>
      <c r="E286" t="s">
        <v>214</v>
      </c>
      <c r="G286" t="s">
        <v>358</v>
      </c>
      <c r="I286" s="10"/>
      <c r="J286" s="107">
        <f>SUMIF(Data!C:C,G286,Data!Q:Q)</f>
        <v>0</v>
      </c>
      <c r="K286" s="107">
        <f>SUMIF(Comprometidos!A:A,'Cost Report'!G286,Comprometidos!E:E)</f>
        <v>0</v>
      </c>
      <c r="L286" s="107">
        <f t="shared" si="106"/>
        <v>0</v>
      </c>
      <c r="M286" s="107">
        <f t="shared" si="107"/>
        <v>0</v>
      </c>
      <c r="N286" s="107">
        <f t="shared" si="108"/>
        <v>0</v>
      </c>
      <c r="O286" s="107">
        <f>VLOOKUP(G286,Budget!$E$3:$G$2474,3,0)</f>
        <v>0</v>
      </c>
      <c r="P286" s="107">
        <f t="shared" si="109"/>
        <v>0</v>
      </c>
      <c r="Q286" s="107"/>
      <c r="R286" s="10"/>
      <c r="S286" s="107">
        <v>0</v>
      </c>
      <c r="T286" s="107">
        <f t="shared" si="102"/>
        <v>0</v>
      </c>
      <c r="U286" s="107"/>
      <c r="V286" s="175"/>
      <c r="W286" s="10"/>
      <c r="X286" s="10"/>
      <c r="Y286" t="str">
        <f t="shared" si="110"/>
        <v>1404</v>
      </c>
      <c r="AB286" s="10"/>
      <c r="AC286" s="10"/>
      <c r="AD286" s="10"/>
      <c r="AE286" s="10"/>
      <c r="AF286" s="10"/>
      <c r="AG286" s="10"/>
      <c r="AH286" s="10"/>
      <c r="AI286" s="10"/>
    </row>
    <row r="287" spans="1:35">
      <c r="A287" s="10"/>
      <c r="B287" s="10" t="str">
        <f t="shared" si="105"/>
        <v>Above the LineSHOOT</v>
      </c>
      <c r="C287" t="s">
        <v>7</v>
      </c>
      <c r="D287" t="s">
        <v>19</v>
      </c>
      <c r="E287" t="s">
        <v>236</v>
      </c>
      <c r="G287" t="s">
        <v>359</v>
      </c>
      <c r="I287" s="10"/>
      <c r="J287" s="107">
        <f>SUMIF(Data!C:C,G287,Data!Q:Q)</f>
        <v>0</v>
      </c>
      <c r="K287" s="107">
        <f>SUMIF(Comprometidos!A:A,'Cost Report'!G287,Comprometidos!E:E)</f>
        <v>0</v>
      </c>
      <c r="L287" s="107">
        <f t="shared" si="106"/>
        <v>0</v>
      </c>
      <c r="M287" s="107">
        <v>0</v>
      </c>
      <c r="N287" s="107">
        <f t="shared" si="108"/>
        <v>0</v>
      </c>
      <c r="O287" s="107">
        <f>VLOOKUP(G287,Budget!$E$3:$G$2474,3,0)</f>
        <v>46800</v>
      </c>
      <c r="P287" s="107">
        <f t="shared" si="109"/>
        <v>46800</v>
      </c>
      <c r="Q287" s="107"/>
      <c r="R287" s="10"/>
      <c r="S287" s="107">
        <v>0</v>
      </c>
      <c r="T287" s="107">
        <f t="shared" si="102"/>
        <v>0</v>
      </c>
      <c r="U287" s="107"/>
      <c r="V287" s="175"/>
      <c r="W287" s="10"/>
      <c r="X287" s="10"/>
      <c r="Y287" t="str">
        <f t="shared" si="110"/>
        <v>1404</v>
      </c>
      <c r="AB287" s="10"/>
      <c r="AC287" s="10"/>
      <c r="AD287" s="10"/>
      <c r="AE287" s="10"/>
      <c r="AF287" s="10"/>
      <c r="AG287" s="10"/>
      <c r="AH287" s="10"/>
      <c r="AI287" s="10"/>
    </row>
    <row r="288" spans="1:35">
      <c r="A288" s="10"/>
      <c r="B288" s="10" t="str">
        <f t="shared" si="105"/>
        <v>Above the LineSHOOT</v>
      </c>
      <c r="C288" t="s">
        <v>7</v>
      </c>
      <c r="D288" t="s">
        <v>19</v>
      </c>
      <c r="E288" t="s">
        <v>236</v>
      </c>
      <c r="F288" t="s">
        <v>355</v>
      </c>
      <c r="G288" t="s">
        <v>360</v>
      </c>
      <c r="I288" s="10"/>
      <c r="J288" s="107">
        <f>SUMIF(Data!C:C,G288,Data!Q:Q)</f>
        <v>0</v>
      </c>
      <c r="K288" s="107">
        <f>SUMIF(Comprometidos!A:A,'Cost Report'!G288,Comprometidos!E:E)</f>
        <v>0</v>
      </c>
      <c r="L288" s="107">
        <f t="shared" si="106"/>
        <v>0</v>
      </c>
      <c r="M288" s="107">
        <v>0</v>
      </c>
      <c r="N288" s="107">
        <f t="shared" si="108"/>
        <v>0</v>
      </c>
      <c r="O288" s="107">
        <f>VLOOKUP(G288,Budget!$E$3:$G$2474,3,0)</f>
        <v>42666</v>
      </c>
      <c r="P288" s="107">
        <f t="shared" si="109"/>
        <v>42666</v>
      </c>
      <c r="Q288" s="107"/>
      <c r="R288" s="10"/>
      <c r="S288" s="107">
        <v>0</v>
      </c>
      <c r="T288" s="107">
        <f t="shared" si="102"/>
        <v>0</v>
      </c>
      <c r="U288" s="107"/>
      <c r="V288" s="175"/>
      <c r="W288" s="10"/>
      <c r="X288" s="10"/>
      <c r="Y288" t="str">
        <f t="shared" si="110"/>
        <v>1404</v>
      </c>
      <c r="AB288" s="10"/>
      <c r="AC288" s="10"/>
      <c r="AD288" s="10"/>
      <c r="AE288" s="10"/>
      <c r="AF288" s="10"/>
      <c r="AG288" s="10"/>
      <c r="AH288" s="10"/>
      <c r="AI288" s="10"/>
    </row>
    <row r="289" spans="1:35">
      <c r="A289" s="10"/>
      <c r="B289" s="10" t="str">
        <f>+C289</f>
        <v>Above the Line</v>
      </c>
      <c r="C289" s="128" t="s">
        <v>7</v>
      </c>
      <c r="D289" s="128" t="s">
        <v>2117</v>
      </c>
      <c r="E289" s="128"/>
      <c r="F289" s="128"/>
      <c r="G289" s="128" t="s">
        <v>2216</v>
      </c>
      <c r="H289" s="128"/>
      <c r="I289" s="10"/>
      <c r="J289" s="129">
        <f>SUMIF($Y$11:$Y$2484,G289,J$11:J$2484)</f>
        <v>274385.23</v>
      </c>
      <c r="K289" s="129">
        <f>SUMIF($Y$11:$Y$2484,G289,K$11:K$2484)</f>
        <v>0</v>
      </c>
      <c r="L289" s="129">
        <f>SUMIF($Y$11:$Y$2484,G289,L$11:L$2484)</f>
        <v>274385.23</v>
      </c>
      <c r="M289" s="129">
        <f>SUMIF($Y$11:$Y$2484,G289,M$11:M$2484)</f>
        <v>0</v>
      </c>
      <c r="N289" s="129">
        <f>SUMIF($Y$11:$Y$2484,G289,N$11:N$2484)</f>
        <v>274385.23</v>
      </c>
      <c r="O289" s="129">
        <f>SUMIF($Y$11:$Y$2484,G289,O$11:O$2484)</f>
        <v>196425</v>
      </c>
      <c r="P289" s="129">
        <f>SUMIF($Y$11:$Y$2484,G289,P$11:P$2484)</f>
        <v>-77960.23000000001</v>
      </c>
      <c r="Q289" s="129"/>
      <c r="R289" s="10"/>
      <c r="S289" s="129">
        <v>274385.23</v>
      </c>
      <c r="T289" s="129">
        <f t="shared" si="102"/>
        <v>0</v>
      </c>
      <c r="U289" s="128"/>
      <c r="V289" s="175"/>
      <c r="W289" s="10"/>
      <c r="X289" s="10"/>
      <c r="Z289" t="str">
        <f>LEFT(G289,2)</f>
        <v>14</v>
      </c>
      <c r="AA289" t="str">
        <f>+Z289&amp;"00"</f>
        <v>1400</v>
      </c>
      <c r="AB289" s="10"/>
      <c r="AC289" s="10"/>
      <c r="AD289" s="10"/>
      <c r="AE289" s="10"/>
      <c r="AF289" s="10"/>
      <c r="AG289" s="10"/>
      <c r="AH289" s="10"/>
      <c r="AI289" s="10"/>
    </row>
    <row r="290" spans="1:35">
      <c r="A290" s="10"/>
      <c r="B290" s="10" t="str">
        <f t="shared" ref="B290:B299" si="111">+C290&amp;E290</f>
        <v>Above the Line</v>
      </c>
      <c r="C290" t="s">
        <v>7</v>
      </c>
      <c r="D290" t="s">
        <v>19</v>
      </c>
      <c r="E290" t="s">
        <v>214</v>
      </c>
      <c r="G290" t="s">
        <v>2217</v>
      </c>
      <c r="I290" s="10"/>
      <c r="J290" s="107">
        <f>SUMIF(Data!C:C,G290,Data!Q:Q)</f>
        <v>0</v>
      </c>
      <c r="K290" s="107">
        <f>SUMIF(Comprometidos!A:A,'Cost Report'!G290,Comprometidos!E:E)</f>
        <v>0</v>
      </c>
      <c r="L290" s="107">
        <f t="shared" si="106"/>
        <v>0</v>
      </c>
      <c r="M290" s="107">
        <f t="shared" si="107"/>
        <v>0</v>
      </c>
      <c r="N290" s="107">
        <f t="shared" si="108"/>
        <v>0</v>
      </c>
      <c r="O290" s="107">
        <f>VLOOKUP(G290,Budget!$E$3:$G$2474,3,0)</f>
        <v>0</v>
      </c>
      <c r="P290" s="107">
        <f t="shared" si="109"/>
        <v>0</v>
      </c>
      <c r="Q290" s="107"/>
      <c r="R290" s="10"/>
      <c r="S290" s="107">
        <v>0</v>
      </c>
      <c r="T290" s="107">
        <f t="shared" si="102"/>
        <v>0</v>
      </c>
      <c r="U290" s="107"/>
      <c r="V290" s="175"/>
      <c r="W290" s="10"/>
      <c r="X290" s="10"/>
      <c r="Y290" t="str">
        <f t="shared" ref="Y290:Y299" si="112">LEFT(G290,4)</f>
        <v>1406</v>
      </c>
      <c r="AB290" s="10"/>
      <c r="AC290" s="10"/>
      <c r="AD290" s="10"/>
      <c r="AE290" s="10"/>
      <c r="AF290" s="10"/>
      <c r="AG290" s="10"/>
      <c r="AH290" s="10"/>
      <c r="AI290" s="10"/>
    </row>
    <row r="291" spans="1:35">
      <c r="A291" s="10"/>
      <c r="B291" s="10" t="str">
        <f t="shared" si="111"/>
        <v>Above the LinePREP</v>
      </c>
      <c r="C291" t="s">
        <v>7</v>
      </c>
      <c r="D291" t="s">
        <v>19</v>
      </c>
      <c r="E291" t="s">
        <v>234</v>
      </c>
      <c r="G291" t="s">
        <v>2218</v>
      </c>
      <c r="I291" s="10"/>
      <c r="J291" s="107">
        <f>SUMIF(Data!C:C,G291,Data!Q:Q)</f>
        <v>0</v>
      </c>
      <c r="K291" s="107">
        <f>SUMIF(Comprometidos!A:A,'Cost Report'!G291,Comprometidos!E:E)</f>
        <v>0</v>
      </c>
      <c r="L291" s="107">
        <f t="shared" si="106"/>
        <v>0</v>
      </c>
      <c r="M291" s="107">
        <v>0</v>
      </c>
      <c r="N291" s="107">
        <f t="shared" si="108"/>
        <v>0</v>
      </c>
      <c r="O291" s="107">
        <f>VLOOKUP(G291,Budget!$E$3:$G$2474,3,0)</f>
        <v>9000</v>
      </c>
      <c r="P291" s="107">
        <f t="shared" si="109"/>
        <v>9000</v>
      </c>
      <c r="Q291" s="107"/>
      <c r="R291" s="10"/>
      <c r="S291" s="107">
        <v>0</v>
      </c>
      <c r="T291" s="107">
        <f t="shared" si="102"/>
        <v>0</v>
      </c>
      <c r="U291" s="107"/>
      <c r="V291" s="175"/>
      <c r="W291" s="10"/>
      <c r="X291" s="10"/>
      <c r="Y291" t="str">
        <f t="shared" si="112"/>
        <v>1406</v>
      </c>
      <c r="AB291" s="10"/>
      <c r="AC291" s="10"/>
      <c r="AD291" s="10"/>
      <c r="AE291" s="10"/>
      <c r="AF291" s="10"/>
      <c r="AG291" s="10"/>
      <c r="AH291" s="10"/>
      <c r="AI291" s="10"/>
    </row>
    <row r="292" spans="1:35">
      <c r="A292" s="10"/>
      <c r="B292" s="10" t="str">
        <f t="shared" si="111"/>
        <v>Above the LineSHOOT</v>
      </c>
      <c r="C292" t="s">
        <v>7</v>
      </c>
      <c r="D292" t="s">
        <v>19</v>
      </c>
      <c r="E292" t="s">
        <v>236</v>
      </c>
      <c r="F292" t="s">
        <v>355</v>
      </c>
      <c r="G292" t="s">
        <v>2219</v>
      </c>
      <c r="I292" s="10"/>
      <c r="J292" s="107">
        <f>SUMIF(Data!C:C,G292,Data!Q:Q)</f>
        <v>18375.61</v>
      </c>
      <c r="K292" s="107">
        <f>SUMIF(Comprometidos!A:A,'Cost Report'!G292,Comprometidos!E:E)</f>
        <v>0</v>
      </c>
      <c r="L292" s="107">
        <f t="shared" si="106"/>
        <v>18375.61</v>
      </c>
      <c r="M292" s="107">
        <v>0</v>
      </c>
      <c r="N292" s="107">
        <f t="shared" si="108"/>
        <v>18375.61</v>
      </c>
      <c r="O292" s="107">
        <f>VLOOKUP(G292,Budget!$E$3:$G$2474,3,0)</f>
        <v>9150</v>
      </c>
      <c r="P292" s="107">
        <f t="shared" si="109"/>
        <v>-9225.61</v>
      </c>
      <c r="Q292" s="107"/>
      <c r="R292" s="10"/>
      <c r="S292" s="107">
        <v>18375.61</v>
      </c>
      <c r="T292" s="107">
        <f t="shared" si="102"/>
        <v>0</v>
      </c>
      <c r="U292" s="107"/>
      <c r="V292" s="175"/>
      <c r="W292" s="10"/>
      <c r="X292" s="10"/>
      <c r="Y292" t="str">
        <f t="shared" si="112"/>
        <v>1406</v>
      </c>
      <c r="AB292" s="10"/>
      <c r="AC292" s="10"/>
      <c r="AD292" s="10"/>
      <c r="AE292" s="10"/>
      <c r="AF292" s="10"/>
      <c r="AG292" s="10"/>
      <c r="AH292" s="10"/>
      <c r="AI292" s="10"/>
    </row>
    <row r="293" spans="1:35">
      <c r="A293" s="10"/>
      <c r="B293" s="10" t="str">
        <f t="shared" si="111"/>
        <v>Above the LineSHOOT</v>
      </c>
      <c r="C293" t="s">
        <v>7</v>
      </c>
      <c r="D293" t="s">
        <v>19</v>
      </c>
      <c r="E293" t="s">
        <v>236</v>
      </c>
      <c r="F293" t="s">
        <v>355</v>
      </c>
      <c r="G293" t="s">
        <v>2220</v>
      </c>
      <c r="I293" s="10"/>
      <c r="J293" s="107">
        <f>SUMIF(Data!C:C,G293,Data!Q:Q)</f>
        <v>107820.79</v>
      </c>
      <c r="K293" s="107">
        <f>SUMIF(Comprometidos!A:A,'Cost Report'!G293,Comprometidos!E:E)</f>
        <v>0</v>
      </c>
      <c r="L293" s="107">
        <f t="shared" si="106"/>
        <v>107820.79</v>
      </c>
      <c r="M293" s="107">
        <v>0</v>
      </c>
      <c r="N293" s="107">
        <f t="shared" si="108"/>
        <v>107820.79</v>
      </c>
      <c r="O293" s="107">
        <f>VLOOKUP(G293,Budget!$E$3:$G$2474,3,0)</f>
        <v>64050</v>
      </c>
      <c r="P293" s="107">
        <f t="shared" si="109"/>
        <v>-43770.789999999994</v>
      </c>
      <c r="Q293" s="107"/>
      <c r="R293" s="10"/>
      <c r="S293" s="107">
        <v>107820.79</v>
      </c>
      <c r="T293" s="107">
        <f t="shared" si="102"/>
        <v>0</v>
      </c>
      <c r="U293" s="107"/>
      <c r="V293" s="175"/>
      <c r="W293" s="10"/>
      <c r="X293" s="10"/>
      <c r="Y293" t="str">
        <f t="shared" si="112"/>
        <v>1406</v>
      </c>
      <c r="AB293" s="10"/>
      <c r="AC293" s="10"/>
      <c r="AD293" s="10"/>
      <c r="AE293" s="10"/>
      <c r="AF293" s="10"/>
      <c r="AG293" s="10"/>
      <c r="AH293" s="10"/>
      <c r="AI293" s="10"/>
    </row>
    <row r="294" spans="1:35">
      <c r="A294" s="10"/>
      <c r="B294" s="10" t="str">
        <f t="shared" si="111"/>
        <v>Above the LineSHOOT</v>
      </c>
      <c r="C294" t="s">
        <v>7</v>
      </c>
      <c r="D294" t="s">
        <v>19</v>
      </c>
      <c r="E294" t="s">
        <v>236</v>
      </c>
      <c r="F294" t="s">
        <v>355</v>
      </c>
      <c r="G294" t="s">
        <v>2221</v>
      </c>
      <c r="I294" s="10"/>
      <c r="J294" s="107">
        <f>SUMIF(Data!C:C,G294,Data!Q:Q)</f>
        <v>148188.83000000002</v>
      </c>
      <c r="K294" s="107">
        <f>SUMIF(Comprometidos!A:A,'Cost Report'!G294,Comprometidos!E:E)</f>
        <v>0</v>
      </c>
      <c r="L294" s="107">
        <f t="shared" si="106"/>
        <v>148188.83000000002</v>
      </c>
      <c r="M294" s="107">
        <v>0</v>
      </c>
      <c r="N294" s="107">
        <f t="shared" si="108"/>
        <v>148188.83000000002</v>
      </c>
      <c r="O294" s="107">
        <f>VLOOKUP(G294,Budget!$E$3:$G$2474,3,0)</f>
        <v>64050</v>
      </c>
      <c r="P294" s="107">
        <f t="shared" si="109"/>
        <v>-84138.830000000016</v>
      </c>
      <c r="Q294" s="107"/>
      <c r="R294" s="10"/>
      <c r="S294" s="107">
        <v>148188.83000000002</v>
      </c>
      <c r="T294" s="107">
        <f t="shared" si="102"/>
        <v>0</v>
      </c>
      <c r="U294" s="107"/>
      <c r="V294" s="175"/>
      <c r="W294" s="10"/>
      <c r="X294" s="10"/>
      <c r="Y294" t="str">
        <f t="shared" si="112"/>
        <v>1406</v>
      </c>
      <c r="AB294" s="10"/>
      <c r="AC294" s="10"/>
      <c r="AD294" s="10"/>
      <c r="AE294" s="10"/>
      <c r="AF294" s="10"/>
      <c r="AG294" s="10"/>
      <c r="AH294" s="10"/>
      <c r="AI294" s="10"/>
    </row>
    <row r="295" spans="1:35">
      <c r="A295" s="10"/>
      <c r="B295" s="10" t="str">
        <f t="shared" si="111"/>
        <v>Above the Line</v>
      </c>
      <c r="C295" t="s">
        <v>7</v>
      </c>
      <c r="D295" t="s">
        <v>19</v>
      </c>
      <c r="E295" t="s">
        <v>214</v>
      </c>
      <c r="G295" t="s">
        <v>2222</v>
      </c>
      <c r="I295" s="10"/>
      <c r="J295" s="107">
        <f>SUMIF(Data!C:C,G295,Data!Q:Q)</f>
        <v>0</v>
      </c>
      <c r="K295" s="107">
        <f>SUMIF(Comprometidos!A:A,'Cost Report'!G295,Comprometidos!E:E)</f>
        <v>0</v>
      </c>
      <c r="L295" s="107">
        <f t="shared" si="106"/>
        <v>0</v>
      </c>
      <c r="M295" s="107">
        <f t="shared" si="107"/>
        <v>0</v>
      </c>
      <c r="N295" s="107">
        <f t="shared" si="108"/>
        <v>0</v>
      </c>
      <c r="O295" s="107">
        <f>VLOOKUP(G295,Budget!$E$3:$G$2474,3,0)</f>
        <v>0</v>
      </c>
      <c r="P295" s="107">
        <f t="shared" si="109"/>
        <v>0</v>
      </c>
      <c r="Q295" s="107"/>
      <c r="R295" s="10"/>
      <c r="S295" s="107">
        <v>0</v>
      </c>
      <c r="T295" s="107">
        <f t="shared" si="102"/>
        <v>0</v>
      </c>
      <c r="U295" s="107"/>
      <c r="V295" s="175"/>
      <c r="W295" s="10"/>
      <c r="X295" s="10"/>
      <c r="Y295" t="str">
        <f t="shared" si="112"/>
        <v>1406</v>
      </c>
      <c r="AB295" s="10"/>
      <c r="AC295" s="10"/>
      <c r="AD295" s="10"/>
      <c r="AE295" s="10"/>
      <c r="AF295" s="10"/>
      <c r="AG295" s="10"/>
      <c r="AH295" s="10"/>
      <c r="AI295" s="10"/>
    </row>
    <row r="296" spans="1:35">
      <c r="A296" s="10"/>
      <c r="B296" s="10" t="str">
        <f t="shared" si="111"/>
        <v>Above the Line2nd Unit</v>
      </c>
      <c r="C296" t="s">
        <v>7</v>
      </c>
      <c r="D296" t="s">
        <v>19</v>
      </c>
      <c r="E296" t="s">
        <v>1419</v>
      </c>
      <c r="G296" t="s">
        <v>2223</v>
      </c>
      <c r="I296" s="10"/>
      <c r="J296" s="107">
        <f>SUMIF(Data!C:C,G296,Data!Q:Q)</f>
        <v>0</v>
      </c>
      <c r="K296" s="107">
        <f>SUMIF(Comprometidos!A:A,'Cost Report'!G296,Comprometidos!E:E)</f>
        <v>0</v>
      </c>
      <c r="L296" s="107">
        <f t="shared" si="106"/>
        <v>0</v>
      </c>
      <c r="M296" s="107">
        <v>0</v>
      </c>
      <c r="N296" s="107">
        <f t="shared" si="108"/>
        <v>0</v>
      </c>
      <c r="O296" s="107">
        <f>VLOOKUP(G296,Budget!$E$3:$G$2474,3,0)</f>
        <v>9000</v>
      </c>
      <c r="P296" s="107">
        <f t="shared" si="109"/>
        <v>9000</v>
      </c>
      <c r="Q296" s="107"/>
      <c r="R296" s="10"/>
      <c r="S296" s="107">
        <v>0</v>
      </c>
      <c r="T296" s="107">
        <f t="shared" si="102"/>
        <v>0</v>
      </c>
      <c r="U296" s="107"/>
      <c r="V296" s="175"/>
      <c r="W296" s="10"/>
      <c r="X296" s="10"/>
      <c r="Y296" t="str">
        <f t="shared" si="112"/>
        <v>1406</v>
      </c>
      <c r="AB296" s="10"/>
      <c r="AC296" s="10"/>
      <c r="AD296" s="10"/>
      <c r="AE296" s="10"/>
      <c r="AF296" s="10"/>
      <c r="AG296" s="10"/>
      <c r="AH296" s="10"/>
      <c r="AI296" s="10"/>
    </row>
    <row r="297" spans="1:35">
      <c r="A297" s="10"/>
      <c r="B297" s="10" t="str">
        <f t="shared" si="111"/>
        <v>Above the Line2nd Unit</v>
      </c>
      <c r="C297" t="s">
        <v>7</v>
      </c>
      <c r="D297" t="s">
        <v>19</v>
      </c>
      <c r="E297" t="s">
        <v>1419</v>
      </c>
      <c r="F297" t="s">
        <v>355</v>
      </c>
      <c r="G297" t="s">
        <v>2224</v>
      </c>
      <c r="I297" s="10"/>
      <c r="J297" s="107">
        <f>SUMIF(Data!C:C,G297,Data!Q:Q)</f>
        <v>0</v>
      </c>
      <c r="K297" s="107">
        <f>SUMIF(Comprometidos!A:A,'Cost Report'!G297,Comprometidos!E:E)</f>
        <v>0</v>
      </c>
      <c r="L297" s="107">
        <f t="shared" si="106"/>
        <v>0</v>
      </c>
      <c r="M297" s="107">
        <v>0</v>
      </c>
      <c r="N297" s="107">
        <f t="shared" si="108"/>
        <v>0</v>
      </c>
      <c r="O297" s="107">
        <f>VLOOKUP(G297,Budget!$E$3:$G$2474,3,0)</f>
        <v>4575</v>
      </c>
      <c r="P297" s="107">
        <f t="shared" si="109"/>
        <v>4575</v>
      </c>
      <c r="Q297" s="107"/>
      <c r="R297" s="10"/>
      <c r="S297" s="107">
        <v>0</v>
      </c>
      <c r="T297" s="107">
        <f t="shared" si="102"/>
        <v>0</v>
      </c>
      <c r="U297" s="107"/>
      <c r="V297" s="175"/>
      <c r="W297" s="10"/>
      <c r="X297" s="10"/>
      <c r="Y297" t="str">
        <f t="shared" si="112"/>
        <v>1406</v>
      </c>
      <c r="AB297" s="10"/>
      <c r="AC297" s="10"/>
      <c r="AD297" s="10"/>
      <c r="AE297" s="10"/>
      <c r="AF297" s="10"/>
      <c r="AG297" s="10"/>
      <c r="AH297" s="10"/>
      <c r="AI297" s="10"/>
    </row>
    <row r="298" spans="1:35">
      <c r="A298" s="10"/>
      <c r="B298" s="10" t="str">
        <f t="shared" si="111"/>
        <v>Above the Line2nd Unit</v>
      </c>
      <c r="C298" t="s">
        <v>7</v>
      </c>
      <c r="D298" t="s">
        <v>19</v>
      </c>
      <c r="E298" t="s">
        <v>1419</v>
      </c>
      <c r="F298" t="s">
        <v>355</v>
      </c>
      <c r="G298" t="s">
        <v>2225</v>
      </c>
      <c r="I298" s="10"/>
      <c r="J298" s="107">
        <f>SUMIF(Data!C:C,G298,Data!Q:Q)</f>
        <v>0</v>
      </c>
      <c r="K298" s="107">
        <f>SUMIF(Comprometidos!A:A,'Cost Report'!G298,Comprometidos!E:E)</f>
        <v>0</v>
      </c>
      <c r="L298" s="107">
        <f t="shared" si="106"/>
        <v>0</v>
      </c>
      <c r="M298" s="107">
        <v>0</v>
      </c>
      <c r="N298" s="107">
        <f t="shared" si="108"/>
        <v>0</v>
      </c>
      <c r="O298" s="107">
        <f>VLOOKUP(G298,Budget!$E$3:$G$2474,3,0)</f>
        <v>18300</v>
      </c>
      <c r="P298" s="107">
        <f t="shared" si="109"/>
        <v>18300</v>
      </c>
      <c r="Q298" s="107"/>
      <c r="R298" s="10"/>
      <c r="S298" s="107">
        <v>0</v>
      </c>
      <c r="T298" s="107">
        <f t="shared" si="102"/>
        <v>0</v>
      </c>
      <c r="U298" s="107"/>
      <c r="V298" s="175"/>
      <c r="W298" s="10"/>
      <c r="X298" s="10"/>
      <c r="Y298" t="str">
        <f t="shared" si="112"/>
        <v>1406</v>
      </c>
      <c r="AB298" s="10"/>
      <c r="AC298" s="10"/>
      <c r="AD298" s="10"/>
      <c r="AE298" s="10"/>
      <c r="AF298" s="10"/>
      <c r="AG298" s="10"/>
      <c r="AH298" s="10"/>
      <c r="AI298" s="10"/>
    </row>
    <row r="299" spans="1:35">
      <c r="A299" s="10"/>
      <c r="B299" s="10" t="str">
        <f t="shared" si="111"/>
        <v>Above the Line2nd Unit</v>
      </c>
      <c r="C299" t="s">
        <v>7</v>
      </c>
      <c r="D299" t="s">
        <v>19</v>
      </c>
      <c r="E299" t="s">
        <v>1419</v>
      </c>
      <c r="F299" t="s">
        <v>355</v>
      </c>
      <c r="G299" t="s">
        <v>2226</v>
      </c>
      <c r="I299" s="10"/>
      <c r="J299" s="107">
        <f>SUMIF(Data!C:C,G299,Data!Q:Q)</f>
        <v>0</v>
      </c>
      <c r="K299" s="107">
        <f>SUMIF(Comprometidos!A:A,'Cost Report'!G299,Comprometidos!E:E)</f>
        <v>0</v>
      </c>
      <c r="L299" s="107">
        <f t="shared" si="106"/>
        <v>0</v>
      </c>
      <c r="M299" s="107">
        <v>0</v>
      </c>
      <c r="N299" s="107">
        <f t="shared" si="108"/>
        <v>0</v>
      </c>
      <c r="O299" s="107">
        <f>VLOOKUP(G299,Budget!$E$3:$G$2474,3,0)</f>
        <v>18300</v>
      </c>
      <c r="P299" s="107">
        <f t="shared" si="109"/>
        <v>18300</v>
      </c>
      <c r="Q299" s="107"/>
      <c r="R299" s="10"/>
      <c r="S299" s="107">
        <v>0</v>
      </c>
      <c r="T299" s="107">
        <f t="shared" si="102"/>
        <v>0</v>
      </c>
      <c r="U299" s="107"/>
      <c r="V299" s="175"/>
      <c r="W299" s="10"/>
      <c r="X299" s="10"/>
      <c r="Y299" t="str">
        <f t="shared" si="112"/>
        <v>1406</v>
      </c>
      <c r="AB299" s="10"/>
      <c r="AC299" s="10"/>
      <c r="AD299" s="10"/>
      <c r="AE299" s="10"/>
      <c r="AF299" s="10"/>
      <c r="AG299" s="10"/>
      <c r="AH299" s="10"/>
      <c r="AI299" s="10"/>
    </row>
    <row r="300" spans="1:35">
      <c r="A300" s="10"/>
      <c r="B300" s="10" t="str">
        <f>+C300</f>
        <v>Above the Line</v>
      </c>
      <c r="C300" s="128" t="s">
        <v>7</v>
      </c>
      <c r="D300" s="128" t="s">
        <v>2117</v>
      </c>
      <c r="E300" s="128"/>
      <c r="F300" s="128"/>
      <c r="G300" s="128" t="s">
        <v>361</v>
      </c>
      <c r="H300" s="128"/>
      <c r="I300" s="10"/>
      <c r="J300" s="129">
        <f>SUMIF($Y$11:$Y$2484,G300,J$11:J$2484)</f>
        <v>715517.93</v>
      </c>
      <c r="K300" s="129">
        <f>SUMIF($Y$11:$Y$2484,G300,K$11:K$2484)</f>
        <v>0</v>
      </c>
      <c r="L300" s="129">
        <f>SUMIF($Y$11:$Y$2484,G300,L$11:L$2484)</f>
        <v>715517.93</v>
      </c>
      <c r="M300" s="129">
        <f>SUMIF($Y$11:$Y$2484,G300,M$11:M$2484)</f>
        <v>0</v>
      </c>
      <c r="N300" s="129">
        <f>SUMIF($Y$11:$Y$2484,G300,N$11:N$2484)</f>
        <v>715517.93</v>
      </c>
      <c r="O300" s="129">
        <f>SUMIF($Y$11:$Y$2484,G300,O$11:O$2484)</f>
        <v>528052</v>
      </c>
      <c r="P300" s="129">
        <f>SUMIF($Y$11:$Y$2484,G300,P$11:P$2484)</f>
        <v>-187465.92999999996</v>
      </c>
      <c r="Q300" s="129"/>
      <c r="R300" s="10"/>
      <c r="S300" s="129">
        <v>715517.93</v>
      </c>
      <c r="T300" s="129">
        <f t="shared" si="102"/>
        <v>0</v>
      </c>
      <c r="U300" s="128"/>
      <c r="V300" s="175"/>
      <c r="W300" s="10"/>
      <c r="X300" s="10"/>
      <c r="Z300" t="str">
        <f>LEFT(G300,2)</f>
        <v>14</v>
      </c>
      <c r="AA300" t="str">
        <f>+Z300&amp;"00"</f>
        <v>1400</v>
      </c>
      <c r="AB300" s="10"/>
      <c r="AC300" s="10"/>
      <c r="AD300" s="10"/>
      <c r="AE300" s="10"/>
      <c r="AF300" s="10"/>
      <c r="AG300" s="10"/>
      <c r="AH300" s="10"/>
      <c r="AI300" s="10"/>
    </row>
    <row r="301" spans="1:35">
      <c r="A301" s="10"/>
      <c r="B301" s="10" t="str">
        <f t="shared" ref="B301:B322" si="113">+C301&amp;E301</f>
        <v>Above the Line</v>
      </c>
      <c r="C301" t="s">
        <v>7</v>
      </c>
      <c r="D301" t="s">
        <v>19</v>
      </c>
      <c r="E301" t="s">
        <v>214</v>
      </c>
      <c r="G301" t="s">
        <v>362</v>
      </c>
      <c r="I301" s="10"/>
      <c r="J301" s="107">
        <f>SUMIF(Data!C:C,G301,Data!Q:Q)</f>
        <v>0</v>
      </c>
      <c r="K301" s="107">
        <f>SUMIF(Comprometidos!A:A,'Cost Report'!G301,Comprometidos!E:E)</f>
        <v>0</v>
      </c>
      <c r="L301" s="107">
        <f t="shared" ref="L301:L322" si="114">+J301+K301</f>
        <v>0</v>
      </c>
      <c r="M301" s="107">
        <f t="shared" ref="M301:M313" si="115">+O301-L301</f>
        <v>0</v>
      </c>
      <c r="N301" s="107">
        <f t="shared" ref="N301:N322" si="116">+L301+M301</f>
        <v>0</v>
      </c>
      <c r="O301" s="107">
        <f>VLOOKUP(G301,Budget!$E$3:$G$2474,3,0)</f>
        <v>0</v>
      </c>
      <c r="P301" s="107">
        <f t="shared" ref="P301:P322" si="117">+O301-N301</f>
        <v>0</v>
      </c>
      <c r="Q301" s="107"/>
      <c r="R301" s="10"/>
      <c r="S301" s="107">
        <v>0</v>
      </c>
      <c r="T301" s="107">
        <f t="shared" si="102"/>
        <v>0</v>
      </c>
      <c r="U301" s="107"/>
      <c r="V301" s="175"/>
      <c r="W301" s="10"/>
      <c r="X301" s="10"/>
      <c r="Y301" t="str">
        <f t="shared" ref="Y301:Y322" si="118">LEFT(G301,4)</f>
        <v>1410</v>
      </c>
      <c r="AB301" s="10"/>
      <c r="AC301" s="10"/>
      <c r="AD301" s="10"/>
      <c r="AE301" s="10"/>
      <c r="AF301" s="10"/>
      <c r="AG301" s="10"/>
      <c r="AH301" s="10"/>
      <c r="AI301" s="10"/>
    </row>
    <row r="302" spans="1:35">
      <c r="A302" s="10"/>
      <c r="B302" s="10" t="str">
        <f t="shared" si="113"/>
        <v>Above the Line</v>
      </c>
      <c r="C302" t="s">
        <v>7</v>
      </c>
      <c r="D302" t="s">
        <v>19</v>
      </c>
      <c r="E302" t="s">
        <v>214</v>
      </c>
      <c r="G302" t="s">
        <v>363</v>
      </c>
      <c r="I302" s="10"/>
      <c r="J302" s="107">
        <f>SUMIF(Data!C:C,G302,Data!Q:Q)</f>
        <v>0</v>
      </c>
      <c r="K302" s="107">
        <f>SUMIF(Comprometidos!A:A,'Cost Report'!G302,Comprometidos!E:E)</f>
        <v>0</v>
      </c>
      <c r="L302" s="107">
        <f t="shared" si="114"/>
        <v>0</v>
      </c>
      <c r="M302" s="107">
        <f t="shared" si="115"/>
        <v>0</v>
      </c>
      <c r="N302" s="107">
        <f t="shared" si="116"/>
        <v>0</v>
      </c>
      <c r="O302" s="107">
        <f>VLOOKUP(G302,Budget!$E$3:$G$2474,3,0)</f>
        <v>0</v>
      </c>
      <c r="P302" s="107">
        <f t="shared" si="117"/>
        <v>0</v>
      </c>
      <c r="Q302" s="107"/>
      <c r="R302" s="10"/>
      <c r="S302" s="107">
        <v>0</v>
      </c>
      <c r="T302" s="107">
        <f t="shared" si="102"/>
        <v>0</v>
      </c>
      <c r="U302" s="107"/>
      <c r="V302" s="175"/>
      <c r="W302" s="10"/>
      <c r="X302" s="10"/>
      <c r="Y302" t="str">
        <f t="shared" si="118"/>
        <v>1410</v>
      </c>
      <c r="AB302" s="10"/>
      <c r="AC302" s="10"/>
      <c r="AD302" s="10"/>
      <c r="AE302" s="10"/>
      <c r="AF302" s="10"/>
      <c r="AG302" s="10"/>
      <c r="AH302" s="10"/>
      <c r="AI302" s="10"/>
    </row>
    <row r="303" spans="1:35">
      <c r="A303" s="10"/>
      <c r="B303" s="10" t="str">
        <f t="shared" si="113"/>
        <v>Above the LinePREP</v>
      </c>
      <c r="C303" t="s">
        <v>7</v>
      </c>
      <c r="D303" t="s">
        <v>19</v>
      </c>
      <c r="E303" t="s">
        <v>234</v>
      </c>
      <c r="G303" t="s">
        <v>364</v>
      </c>
      <c r="I303" s="10"/>
      <c r="J303" s="107">
        <f>SUMIF(Data!C:C,G303,Data!Q:Q)</f>
        <v>108000</v>
      </c>
      <c r="K303" s="107">
        <f>SUMIF(Comprometidos!A:A,'Cost Report'!G303,Comprometidos!E:E)</f>
        <v>0</v>
      </c>
      <c r="L303" s="107">
        <f t="shared" si="114"/>
        <v>108000</v>
      </c>
      <c r="M303" s="107">
        <v>0</v>
      </c>
      <c r="N303" s="107">
        <f t="shared" si="116"/>
        <v>108000</v>
      </c>
      <c r="O303" s="107">
        <f>VLOOKUP(G303,Budget!$E$3:$G$2474,3,0)</f>
        <v>132000</v>
      </c>
      <c r="P303" s="107">
        <f t="shared" si="117"/>
        <v>24000</v>
      </c>
      <c r="Q303" s="107"/>
      <c r="R303" s="10"/>
      <c r="S303" s="107">
        <v>108000</v>
      </c>
      <c r="T303" s="107">
        <f t="shared" si="102"/>
        <v>0</v>
      </c>
      <c r="U303" s="107"/>
      <c r="V303" s="175"/>
      <c r="W303" s="10"/>
      <c r="X303" s="10"/>
      <c r="Y303" t="str">
        <f t="shared" si="118"/>
        <v>1410</v>
      </c>
      <c r="AB303" s="10"/>
      <c r="AC303" s="10"/>
      <c r="AD303" s="10"/>
      <c r="AE303" s="10"/>
      <c r="AF303" s="10"/>
      <c r="AG303" s="10"/>
      <c r="AH303" s="10"/>
      <c r="AI303" s="10"/>
    </row>
    <row r="304" spans="1:35">
      <c r="A304" s="10"/>
      <c r="B304" s="10" t="str">
        <f t="shared" si="113"/>
        <v>Above the LinePREP</v>
      </c>
      <c r="C304" t="s">
        <v>7</v>
      </c>
      <c r="D304" t="s">
        <v>19</v>
      </c>
      <c r="E304" t="s">
        <v>234</v>
      </c>
      <c r="G304" t="s">
        <v>365</v>
      </c>
      <c r="I304" s="10"/>
      <c r="J304" s="107">
        <f>SUMIF(Data!C:C,G304,Data!Q:Q)</f>
        <v>103154</v>
      </c>
      <c r="K304" s="107">
        <f>SUMIF(Comprometidos!A:A,'Cost Report'!G304,Comprometidos!E:E)</f>
        <v>0</v>
      </c>
      <c r="L304" s="107">
        <f t="shared" si="114"/>
        <v>103154</v>
      </c>
      <c r="M304" s="107">
        <v>0</v>
      </c>
      <c r="N304" s="107">
        <f t="shared" si="116"/>
        <v>103154</v>
      </c>
      <c r="O304" s="107">
        <f>VLOOKUP(G304,Budget!$E$3:$G$2474,3,0)</f>
        <v>60000</v>
      </c>
      <c r="P304" s="107">
        <f t="shared" si="117"/>
        <v>-43154</v>
      </c>
      <c r="Q304" s="107"/>
      <c r="R304" s="10"/>
      <c r="S304" s="107">
        <v>103154</v>
      </c>
      <c r="T304" s="107">
        <f t="shared" si="102"/>
        <v>0</v>
      </c>
      <c r="U304" s="107"/>
      <c r="V304" s="175"/>
      <c r="W304" s="10"/>
      <c r="X304" s="10"/>
      <c r="Y304" t="str">
        <f t="shared" si="118"/>
        <v>1410</v>
      </c>
      <c r="AB304" s="10"/>
      <c r="AC304" s="10"/>
      <c r="AD304" s="10"/>
      <c r="AE304" s="10"/>
      <c r="AF304" s="10"/>
      <c r="AG304" s="10"/>
      <c r="AH304" s="10"/>
      <c r="AI304" s="10"/>
    </row>
    <row r="305" spans="1:35">
      <c r="A305" s="10"/>
      <c r="B305" s="10" t="str">
        <f t="shared" si="113"/>
        <v>Above the LineSHOOT</v>
      </c>
      <c r="C305" t="s">
        <v>7</v>
      </c>
      <c r="D305" t="s">
        <v>19</v>
      </c>
      <c r="E305" t="s">
        <v>236</v>
      </c>
      <c r="G305" t="s">
        <v>366</v>
      </c>
      <c r="I305" s="10"/>
      <c r="J305" s="107">
        <f>SUMIF(Data!C:C,G305,Data!Q:Q)</f>
        <v>5436</v>
      </c>
      <c r="K305" s="107">
        <f>SUMIF(Comprometidos!A:A,'Cost Report'!G305,Comprometidos!E:E)</f>
        <v>0</v>
      </c>
      <c r="L305" s="107">
        <f t="shared" si="114"/>
        <v>5436</v>
      </c>
      <c r="M305" s="107">
        <v>0</v>
      </c>
      <c r="N305" s="107">
        <f t="shared" si="116"/>
        <v>5436</v>
      </c>
      <c r="O305" s="107">
        <f>VLOOKUP(G305,Budget!$E$3:$G$2474,3,0)</f>
        <v>11844</v>
      </c>
      <c r="P305" s="107">
        <f t="shared" si="117"/>
        <v>6408</v>
      </c>
      <c r="Q305" s="107"/>
      <c r="R305" s="10"/>
      <c r="S305" s="107">
        <v>5436</v>
      </c>
      <c r="T305" s="107">
        <f t="shared" si="102"/>
        <v>0</v>
      </c>
      <c r="U305" s="107"/>
      <c r="V305" s="175"/>
      <c r="W305" s="10"/>
      <c r="X305" s="10"/>
      <c r="Y305" t="str">
        <f t="shared" si="118"/>
        <v>1410</v>
      </c>
      <c r="AB305" s="10"/>
      <c r="AC305" s="10"/>
      <c r="AD305" s="10"/>
      <c r="AE305" s="10"/>
      <c r="AF305" s="10"/>
      <c r="AG305" s="10"/>
      <c r="AH305" s="10"/>
      <c r="AI305" s="10"/>
    </row>
    <row r="306" spans="1:35">
      <c r="A306" s="10"/>
      <c r="B306" s="10" t="str">
        <f t="shared" si="113"/>
        <v>Above the LineSHOOT</v>
      </c>
      <c r="C306" t="s">
        <v>7</v>
      </c>
      <c r="D306" t="s">
        <v>19</v>
      </c>
      <c r="E306" t="s">
        <v>236</v>
      </c>
      <c r="F306" t="s">
        <v>355</v>
      </c>
      <c r="G306" t="s">
        <v>367</v>
      </c>
      <c r="I306" s="10"/>
      <c r="J306" s="107">
        <f>SUMIF(Data!C:C,G306,Data!Q:Q)</f>
        <v>0</v>
      </c>
      <c r="K306" s="107">
        <f>SUMIF(Comprometidos!A:A,'Cost Report'!G306,Comprometidos!E:E)</f>
        <v>0</v>
      </c>
      <c r="L306" s="107">
        <f t="shared" si="114"/>
        <v>0</v>
      </c>
      <c r="M306" s="107">
        <v>0</v>
      </c>
      <c r="N306" s="107">
        <f t="shared" si="116"/>
        <v>0</v>
      </c>
      <c r="O306" s="107">
        <f>VLOOKUP(G306,Budget!$E$3:$G$2474,3,0)</f>
        <v>13128</v>
      </c>
      <c r="P306" s="107">
        <f t="shared" si="117"/>
        <v>13128</v>
      </c>
      <c r="Q306" s="107"/>
      <c r="R306" s="10"/>
      <c r="S306" s="107">
        <v>0</v>
      </c>
      <c r="T306" s="107">
        <f t="shared" si="102"/>
        <v>0</v>
      </c>
      <c r="U306" s="107"/>
      <c r="V306" s="175"/>
      <c r="W306" s="10"/>
      <c r="X306" s="10"/>
      <c r="Y306" t="str">
        <f t="shared" si="118"/>
        <v>1410</v>
      </c>
      <c r="AB306" s="10"/>
      <c r="AC306" s="10"/>
      <c r="AD306" s="10"/>
      <c r="AE306" s="10"/>
      <c r="AF306" s="10"/>
      <c r="AG306" s="10"/>
      <c r="AH306" s="10"/>
      <c r="AI306" s="10"/>
    </row>
    <row r="307" spans="1:35">
      <c r="A307" s="10"/>
      <c r="B307" s="10" t="str">
        <f t="shared" si="113"/>
        <v>Above the LineSHOOT</v>
      </c>
      <c r="C307" t="s">
        <v>7</v>
      </c>
      <c r="D307" t="s">
        <v>19</v>
      </c>
      <c r="E307" t="s">
        <v>236</v>
      </c>
      <c r="F307" t="s">
        <v>5396</v>
      </c>
      <c r="G307" t="s">
        <v>368</v>
      </c>
      <c r="I307" s="10"/>
      <c r="J307" s="107">
        <f>SUMIF(Data!C:C,G307,Data!Q:Q)</f>
        <v>131796</v>
      </c>
      <c r="K307" s="107">
        <f>SUMIF(Comprometidos!A:A,'Cost Report'!G307,Comprometidos!E:E)</f>
        <v>0</v>
      </c>
      <c r="L307" s="107">
        <f t="shared" si="114"/>
        <v>131796</v>
      </c>
      <c r="M307" s="107">
        <v>0</v>
      </c>
      <c r="N307" s="107">
        <f t="shared" si="116"/>
        <v>131796</v>
      </c>
      <c r="O307" s="107">
        <f>VLOOKUP(G307,Budget!$E$3:$G$2474,3,0)</f>
        <v>71688</v>
      </c>
      <c r="P307" s="107">
        <f t="shared" si="117"/>
        <v>-60108</v>
      </c>
      <c r="Q307" s="107"/>
      <c r="R307" s="10"/>
      <c r="S307" s="107">
        <v>131796</v>
      </c>
      <c r="T307" s="107">
        <f t="shared" si="102"/>
        <v>0</v>
      </c>
      <c r="U307" s="107"/>
      <c r="V307" s="175"/>
      <c r="W307" s="10"/>
      <c r="X307" s="10"/>
      <c r="Y307" t="str">
        <f t="shared" si="118"/>
        <v>1410</v>
      </c>
      <c r="AB307" s="10"/>
      <c r="AC307" s="10"/>
      <c r="AD307" s="10"/>
      <c r="AE307" s="10"/>
      <c r="AF307" s="10"/>
      <c r="AG307" s="10"/>
      <c r="AH307" s="10"/>
      <c r="AI307" s="10"/>
    </row>
    <row r="308" spans="1:35">
      <c r="A308" s="10"/>
      <c r="B308" s="10" t="str">
        <f t="shared" si="113"/>
        <v>Above the LineSHOOT</v>
      </c>
      <c r="C308" t="s">
        <v>7</v>
      </c>
      <c r="D308" t="s">
        <v>19</v>
      </c>
      <c r="E308" t="s">
        <v>236</v>
      </c>
      <c r="F308" t="s">
        <v>355</v>
      </c>
      <c r="G308" t="s">
        <v>369</v>
      </c>
      <c r="I308" s="10"/>
      <c r="J308" s="107">
        <f>SUMIF(Data!C:C,G308,Data!Q:Q)</f>
        <v>161207.47999999998</v>
      </c>
      <c r="K308" s="107">
        <f>SUMIF(Comprometidos!A:A,'Cost Report'!G308,Comprometidos!E:E)</f>
        <v>0</v>
      </c>
      <c r="L308" s="107">
        <f t="shared" si="114"/>
        <v>161207.47999999998</v>
      </c>
      <c r="M308" s="107">
        <v>0</v>
      </c>
      <c r="N308" s="107">
        <f t="shared" si="116"/>
        <v>161207.47999999998</v>
      </c>
      <c r="O308" s="107">
        <f>VLOOKUP(G308,Budget!$E$3:$G$2474,3,0)</f>
        <v>26256</v>
      </c>
      <c r="P308" s="107">
        <f t="shared" si="117"/>
        <v>-134951.47999999998</v>
      </c>
      <c r="Q308" s="107"/>
      <c r="R308" s="10"/>
      <c r="S308" s="107">
        <v>161207.47999999998</v>
      </c>
      <c r="T308" s="107">
        <f t="shared" si="102"/>
        <v>0</v>
      </c>
      <c r="U308" s="107"/>
      <c r="V308" s="175"/>
      <c r="W308" s="10"/>
      <c r="X308" s="10"/>
      <c r="Y308" t="str">
        <f t="shared" si="118"/>
        <v>1410</v>
      </c>
      <c r="AB308" s="10"/>
      <c r="AC308" s="10"/>
      <c r="AD308" s="10"/>
      <c r="AE308" s="10"/>
      <c r="AF308" s="10"/>
      <c r="AG308" s="10"/>
      <c r="AH308" s="10"/>
      <c r="AI308" s="10"/>
    </row>
    <row r="309" spans="1:35">
      <c r="A309" s="10"/>
      <c r="B309" s="10" t="str">
        <f t="shared" si="113"/>
        <v>Above the LineSHOOT</v>
      </c>
      <c r="C309" t="s">
        <v>7</v>
      </c>
      <c r="D309" t="s">
        <v>19</v>
      </c>
      <c r="E309" t="s">
        <v>236</v>
      </c>
      <c r="F309" t="s">
        <v>355</v>
      </c>
      <c r="G309" t="s">
        <v>370</v>
      </c>
      <c r="I309" s="10"/>
      <c r="J309" s="107">
        <f>SUMIF(Data!C:C,G309,Data!Q:Q)</f>
        <v>36176.910000000003</v>
      </c>
      <c r="K309" s="107">
        <f>SUMIF(Comprometidos!A:A,'Cost Report'!G309,Comprometidos!E:E)</f>
        <v>0</v>
      </c>
      <c r="L309" s="107">
        <f t="shared" si="114"/>
        <v>36176.910000000003</v>
      </c>
      <c r="M309" s="107">
        <v>0</v>
      </c>
      <c r="N309" s="107">
        <f t="shared" si="116"/>
        <v>36176.910000000003</v>
      </c>
      <c r="O309" s="107">
        <f>VLOOKUP(G309,Budget!$E$3:$G$2474,3,0)</f>
        <v>6564</v>
      </c>
      <c r="P309" s="107">
        <f t="shared" si="117"/>
        <v>-29612.910000000003</v>
      </c>
      <c r="Q309" s="107"/>
      <c r="R309" s="10"/>
      <c r="S309" s="107">
        <v>36176.910000000003</v>
      </c>
      <c r="T309" s="107">
        <f t="shared" si="102"/>
        <v>0</v>
      </c>
      <c r="U309" s="107"/>
      <c r="V309" s="175"/>
      <c r="W309" s="10"/>
      <c r="X309" s="10"/>
      <c r="Y309" t="str">
        <f t="shared" si="118"/>
        <v>1410</v>
      </c>
      <c r="AB309" s="10"/>
      <c r="AC309" s="10"/>
      <c r="AD309" s="10"/>
      <c r="AE309" s="10"/>
      <c r="AF309" s="10"/>
      <c r="AG309" s="10"/>
      <c r="AH309" s="10"/>
      <c r="AI309" s="10"/>
    </row>
    <row r="310" spans="1:35">
      <c r="A310" s="10"/>
      <c r="B310" s="10" t="str">
        <f t="shared" si="113"/>
        <v>Above the LineSHOOT</v>
      </c>
      <c r="C310" t="s">
        <v>7</v>
      </c>
      <c r="D310" t="s">
        <v>19</v>
      </c>
      <c r="E310" t="s">
        <v>236</v>
      </c>
      <c r="F310" t="s">
        <v>355</v>
      </c>
      <c r="G310" t="s">
        <v>371</v>
      </c>
      <c r="I310" s="10"/>
      <c r="J310" s="107">
        <f>SUMIF(Data!C:C,G310,Data!Q:Q)</f>
        <v>42388.93</v>
      </c>
      <c r="K310" s="107">
        <f>SUMIF(Comprometidos!A:A,'Cost Report'!G310,Comprometidos!E:E)</f>
        <v>0</v>
      </c>
      <c r="L310" s="107">
        <f t="shared" si="114"/>
        <v>42388.93</v>
      </c>
      <c r="M310" s="107">
        <v>0</v>
      </c>
      <c r="N310" s="107">
        <f t="shared" si="116"/>
        <v>42388.93</v>
      </c>
      <c r="O310" s="107">
        <f>VLOOKUP(G310,Budget!$E$3:$G$2474,3,0)</f>
        <v>29538</v>
      </c>
      <c r="P310" s="107">
        <f t="shared" si="117"/>
        <v>-12850.93</v>
      </c>
      <c r="Q310" s="107"/>
      <c r="R310" s="10"/>
      <c r="S310" s="107">
        <v>42388.93</v>
      </c>
      <c r="T310" s="107">
        <f t="shared" si="102"/>
        <v>0</v>
      </c>
      <c r="U310" s="107"/>
      <c r="V310" s="175"/>
      <c r="W310" s="10"/>
      <c r="X310" s="10"/>
      <c r="Y310" t="str">
        <f t="shared" si="118"/>
        <v>1410</v>
      </c>
      <c r="AB310" s="10"/>
      <c r="AC310" s="10"/>
      <c r="AD310" s="10"/>
      <c r="AE310" s="10"/>
      <c r="AF310" s="10"/>
      <c r="AG310" s="10"/>
      <c r="AH310" s="10"/>
      <c r="AI310" s="10"/>
    </row>
    <row r="311" spans="1:35">
      <c r="A311" s="10"/>
      <c r="B311" s="10" t="str">
        <f t="shared" si="113"/>
        <v>Above the LineSHOOT</v>
      </c>
      <c r="C311" t="s">
        <v>7</v>
      </c>
      <c r="D311" t="s">
        <v>19</v>
      </c>
      <c r="E311" t="s">
        <v>236</v>
      </c>
      <c r="F311" t="s">
        <v>355</v>
      </c>
      <c r="G311" t="s">
        <v>372</v>
      </c>
      <c r="I311" s="10"/>
      <c r="J311" s="107">
        <f>SUMIF(Data!C:C,G311,Data!Q:Q)</f>
        <v>0</v>
      </c>
      <c r="K311" s="107">
        <f>SUMIF(Comprometidos!A:A,'Cost Report'!G311,Comprometidos!E:E)</f>
        <v>0</v>
      </c>
      <c r="L311" s="107">
        <f t="shared" si="114"/>
        <v>0</v>
      </c>
      <c r="M311" s="107">
        <v>0</v>
      </c>
      <c r="N311" s="107">
        <f t="shared" si="116"/>
        <v>0</v>
      </c>
      <c r="O311" s="107">
        <f>VLOOKUP(G311,Budget!$E$3:$G$2474,3,0)</f>
        <v>2400</v>
      </c>
      <c r="P311" s="107">
        <f t="shared" si="117"/>
        <v>2400</v>
      </c>
      <c r="Q311" s="107"/>
      <c r="R311" s="10"/>
      <c r="S311" s="107">
        <v>0</v>
      </c>
      <c r="T311" s="107">
        <f t="shared" si="102"/>
        <v>0</v>
      </c>
      <c r="U311" s="107"/>
      <c r="V311" s="175"/>
      <c r="W311" s="10"/>
      <c r="X311" s="10"/>
      <c r="Y311" t="str">
        <f t="shared" si="118"/>
        <v>1410</v>
      </c>
      <c r="AB311" s="10"/>
      <c r="AC311" s="10"/>
      <c r="AD311" s="10"/>
      <c r="AE311" s="10"/>
      <c r="AF311" s="10"/>
      <c r="AG311" s="10"/>
      <c r="AH311" s="10"/>
      <c r="AI311" s="10"/>
    </row>
    <row r="312" spans="1:35">
      <c r="A312" s="10"/>
      <c r="B312" s="10" t="str">
        <f t="shared" si="113"/>
        <v>Above the Line</v>
      </c>
      <c r="C312" t="s">
        <v>7</v>
      </c>
      <c r="D312" t="s">
        <v>19</v>
      </c>
      <c r="E312" t="s">
        <v>214</v>
      </c>
      <c r="G312" t="s">
        <v>1708</v>
      </c>
      <c r="I312" s="10"/>
      <c r="J312" s="107">
        <f>SUMIF(Data!C:C,G312,Data!Q:Q)</f>
        <v>0</v>
      </c>
      <c r="K312" s="107">
        <f>SUMIF(Comprometidos!A:A,'Cost Report'!G312,Comprometidos!E:E)</f>
        <v>0</v>
      </c>
      <c r="L312" s="107">
        <f t="shared" si="114"/>
        <v>0</v>
      </c>
      <c r="M312" s="107">
        <f t="shared" si="115"/>
        <v>0</v>
      </c>
      <c r="N312" s="107">
        <f t="shared" si="116"/>
        <v>0</v>
      </c>
      <c r="O312" s="107">
        <f>VLOOKUP(G312,Budget!$E$3:$G$2474,3,0)</f>
        <v>0</v>
      </c>
      <c r="P312" s="107">
        <f t="shared" si="117"/>
        <v>0</v>
      </c>
      <c r="Q312" s="107"/>
      <c r="R312" s="10"/>
      <c r="S312" s="107">
        <v>0</v>
      </c>
      <c r="T312" s="107">
        <f t="shared" si="102"/>
        <v>0</v>
      </c>
      <c r="U312" s="107"/>
      <c r="V312" s="175"/>
      <c r="W312" s="10"/>
      <c r="X312" s="10"/>
      <c r="Y312" t="str">
        <f t="shared" si="118"/>
        <v>1410</v>
      </c>
      <c r="AB312" s="10"/>
      <c r="AC312" s="10"/>
      <c r="AD312" s="10"/>
      <c r="AE312" s="10"/>
      <c r="AF312" s="10"/>
      <c r="AG312" s="10"/>
      <c r="AH312" s="10"/>
      <c r="AI312" s="10"/>
    </row>
    <row r="313" spans="1:35">
      <c r="A313" s="10"/>
      <c r="B313" s="10" t="str">
        <f t="shared" si="113"/>
        <v>Above the Line</v>
      </c>
      <c r="C313" t="s">
        <v>7</v>
      </c>
      <c r="D313" t="s">
        <v>19</v>
      </c>
      <c r="E313" t="s">
        <v>214</v>
      </c>
      <c r="G313" t="s">
        <v>1709</v>
      </c>
      <c r="I313" s="10"/>
      <c r="J313" s="107">
        <f>SUMIF(Data!C:C,G313,Data!Q:Q)</f>
        <v>0</v>
      </c>
      <c r="K313" s="107">
        <f>SUMIF(Comprometidos!A:A,'Cost Report'!G313,Comprometidos!E:E)</f>
        <v>0</v>
      </c>
      <c r="L313" s="107">
        <f t="shared" si="114"/>
        <v>0</v>
      </c>
      <c r="M313" s="107">
        <f t="shared" si="115"/>
        <v>0</v>
      </c>
      <c r="N313" s="107">
        <f t="shared" si="116"/>
        <v>0</v>
      </c>
      <c r="O313" s="107">
        <f>VLOOKUP(G313,Budget!$E$3:$G$2474,3,0)</f>
        <v>0</v>
      </c>
      <c r="P313" s="107">
        <f t="shared" si="117"/>
        <v>0</v>
      </c>
      <c r="Q313" s="107"/>
      <c r="R313" s="10"/>
      <c r="S313" s="107">
        <v>0</v>
      </c>
      <c r="T313" s="107">
        <f t="shared" si="102"/>
        <v>0</v>
      </c>
      <c r="U313" s="107"/>
      <c r="V313" s="175"/>
      <c r="W313" s="10"/>
      <c r="X313" s="10"/>
      <c r="Y313" t="str">
        <f t="shared" si="118"/>
        <v>1410</v>
      </c>
      <c r="AB313" s="10"/>
      <c r="AC313" s="10"/>
      <c r="AD313" s="10"/>
      <c r="AE313" s="10"/>
      <c r="AF313" s="10"/>
      <c r="AG313" s="10"/>
      <c r="AH313" s="10"/>
      <c r="AI313" s="10"/>
    </row>
    <row r="314" spans="1:35">
      <c r="A314" s="10"/>
      <c r="B314" s="10" t="str">
        <f t="shared" si="113"/>
        <v>Above the LinePREP</v>
      </c>
      <c r="C314" t="s">
        <v>7</v>
      </c>
      <c r="D314" t="s">
        <v>19</v>
      </c>
      <c r="E314" t="s">
        <v>234</v>
      </c>
      <c r="G314" t="s">
        <v>1710</v>
      </c>
      <c r="I314" s="10"/>
      <c r="J314" s="107">
        <f>SUMIF(Data!C:C,G314,Data!Q:Q)</f>
        <v>0</v>
      </c>
      <c r="K314" s="107">
        <f>SUMIF(Comprometidos!A:A,'Cost Report'!G314,Comprometidos!E:E)</f>
        <v>0</v>
      </c>
      <c r="L314" s="107">
        <f t="shared" si="114"/>
        <v>0</v>
      </c>
      <c r="M314" s="107">
        <v>0</v>
      </c>
      <c r="N314" s="107">
        <f t="shared" si="116"/>
        <v>0</v>
      </c>
      <c r="O314" s="107">
        <f>VLOOKUP(G314,Budget!$E$3:$G$2474,3,0)</f>
        <v>49000</v>
      </c>
      <c r="P314" s="107">
        <f t="shared" si="117"/>
        <v>49000</v>
      </c>
      <c r="Q314" s="107"/>
      <c r="R314" s="10"/>
      <c r="S314" s="107">
        <v>0</v>
      </c>
      <c r="T314" s="107">
        <f t="shared" si="102"/>
        <v>0</v>
      </c>
      <c r="U314" s="107"/>
      <c r="V314" s="175"/>
      <c r="W314" s="10"/>
      <c r="X314" s="10"/>
      <c r="Y314" t="str">
        <f t="shared" si="118"/>
        <v>1410</v>
      </c>
      <c r="AB314" s="10"/>
      <c r="AC314" s="10"/>
      <c r="AD314" s="10"/>
      <c r="AE314" s="10"/>
      <c r="AF314" s="10"/>
      <c r="AG314" s="10"/>
      <c r="AH314" s="10"/>
      <c r="AI314" s="10"/>
    </row>
    <row r="315" spans="1:35">
      <c r="A315" s="10"/>
      <c r="B315" s="10" t="str">
        <f t="shared" si="113"/>
        <v>Above the LinePREP</v>
      </c>
      <c r="C315" t="s">
        <v>7</v>
      </c>
      <c r="D315" t="s">
        <v>19</v>
      </c>
      <c r="E315" t="s">
        <v>234</v>
      </c>
      <c r="G315" t="s">
        <v>1711</v>
      </c>
      <c r="I315" s="10"/>
      <c r="J315" s="107">
        <f>SUMIF(Data!C:C,G315,Data!Q:Q)</f>
        <v>0</v>
      </c>
      <c r="K315" s="107">
        <f>SUMIF(Comprometidos!A:A,'Cost Report'!G315,Comprometidos!E:E)</f>
        <v>0</v>
      </c>
      <c r="L315" s="107">
        <f t="shared" si="114"/>
        <v>0</v>
      </c>
      <c r="M315" s="107">
        <v>0</v>
      </c>
      <c r="N315" s="107">
        <f t="shared" si="116"/>
        <v>0</v>
      </c>
      <c r="O315" s="107">
        <f>VLOOKUP(G315,Budget!$E$3:$G$2474,3,0)</f>
        <v>35000</v>
      </c>
      <c r="P315" s="107">
        <f t="shared" si="117"/>
        <v>35000</v>
      </c>
      <c r="Q315" s="107"/>
      <c r="R315" s="10"/>
      <c r="S315" s="107">
        <v>0</v>
      </c>
      <c r="T315" s="107">
        <f t="shared" si="102"/>
        <v>0</v>
      </c>
      <c r="U315" s="107"/>
      <c r="V315" s="175"/>
      <c r="W315" s="10"/>
      <c r="X315" s="10"/>
      <c r="Y315" t="str">
        <f t="shared" si="118"/>
        <v>1410</v>
      </c>
      <c r="AB315" s="10"/>
      <c r="AC315" s="10"/>
      <c r="AD315" s="10"/>
      <c r="AE315" s="10"/>
      <c r="AF315" s="10"/>
      <c r="AG315" s="10"/>
      <c r="AH315" s="10"/>
      <c r="AI315" s="10"/>
    </row>
    <row r="316" spans="1:35">
      <c r="A316" s="10"/>
      <c r="B316" s="10" t="str">
        <f t="shared" si="113"/>
        <v>Above the LineSHOOT</v>
      </c>
      <c r="C316" t="s">
        <v>7</v>
      </c>
      <c r="D316" t="s">
        <v>19</v>
      </c>
      <c r="E316" t="s">
        <v>236</v>
      </c>
      <c r="G316" t="s">
        <v>2227</v>
      </c>
      <c r="I316" s="10"/>
      <c r="J316" s="107">
        <f>SUMIF(Data!C:C,G316,Data!Q:Q)</f>
        <v>0</v>
      </c>
      <c r="K316" s="107">
        <f>SUMIF(Comprometidos!A:A,'Cost Report'!G316,Comprometidos!E:E)</f>
        <v>0</v>
      </c>
      <c r="L316" s="107">
        <f t="shared" si="114"/>
        <v>0</v>
      </c>
      <c r="M316" s="107">
        <v>0</v>
      </c>
      <c r="N316" s="107">
        <f t="shared" si="116"/>
        <v>0</v>
      </c>
      <c r="O316" s="107">
        <f>VLOOKUP(G316,Budget!$E$3:$G$2474,3,0)</f>
        <v>1844</v>
      </c>
      <c r="P316" s="107">
        <f t="shared" si="117"/>
        <v>1844</v>
      </c>
      <c r="Q316" s="107"/>
      <c r="R316" s="10"/>
      <c r="S316" s="107">
        <v>0</v>
      </c>
      <c r="T316" s="107">
        <f t="shared" si="102"/>
        <v>0</v>
      </c>
      <c r="U316" s="107"/>
      <c r="V316" s="175"/>
      <c r="W316" s="10"/>
      <c r="X316" s="10"/>
      <c r="Y316" t="str">
        <f t="shared" si="118"/>
        <v>1410</v>
      </c>
      <c r="AB316" s="10"/>
      <c r="AC316" s="10"/>
      <c r="AD316" s="10"/>
      <c r="AE316" s="10"/>
      <c r="AF316" s="10"/>
      <c r="AG316" s="10"/>
      <c r="AH316" s="10"/>
      <c r="AI316" s="10"/>
    </row>
    <row r="317" spans="1:35">
      <c r="A317" s="10"/>
      <c r="B317" s="10" t="str">
        <f t="shared" si="113"/>
        <v>Above the LineSHOOT</v>
      </c>
      <c r="C317" t="s">
        <v>7</v>
      </c>
      <c r="D317" t="s">
        <v>19</v>
      </c>
      <c r="E317" t="s">
        <v>236</v>
      </c>
      <c r="F317" t="s">
        <v>355</v>
      </c>
      <c r="G317" t="s">
        <v>2228</v>
      </c>
      <c r="I317" s="10"/>
      <c r="J317" s="107">
        <f>SUMIF(Data!C:C,G317,Data!Q:Q)</f>
        <v>0</v>
      </c>
      <c r="K317" s="107">
        <f>SUMIF(Comprometidos!A:A,'Cost Report'!G317,Comprometidos!E:E)</f>
        <v>0</v>
      </c>
      <c r="L317" s="107">
        <f t="shared" si="114"/>
        <v>0</v>
      </c>
      <c r="M317" s="107">
        <v>0</v>
      </c>
      <c r="N317" s="107">
        <f t="shared" si="116"/>
        <v>0</v>
      </c>
      <c r="O317" s="107">
        <f>VLOOKUP(G317,Budget!$E$3:$G$2474,3,0)</f>
        <v>12156</v>
      </c>
      <c r="P317" s="107">
        <f t="shared" si="117"/>
        <v>12156</v>
      </c>
      <c r="Q317" s="107"/>
      <c r="R317" s="10"/>
      <c r="S317" s="107">
        <v>0</v>
      </c>
      <c r="T317" s="107">
        <f t="shared" si="102"/>
        <v>0</v>
      </c>
      <c r="U317" s="107"/>
      <c r="V317" s="175"/>
      <c r="W317" s="10"/>
      <c r="X317" s="10"/>
      <c r="Y317" t="str">
        <f t="shared" si="118"/>
        <v>1410</v>
      </c>
      <c r="AB317" s="10"/>
      <c r="AC317" s="10"/>
      <c r="AD317" s="10"/>
      <c r="AE317" s="10"/>
      <c r="AF317" s="10"/>
      <c r="AG317" s="10"/>
      <c r="AH317" s="10"/>
      <c r="AI317" s="10"/>
    </row>
    <row r="318" spans="1:35">
      <c r="A318" s="10"/>
      <c r="B318" s="10" t="str">
        <f t="shared" si="113"/>
        <v>Above the LineSHOOT</v>
      </c>
      <c r="C318" t="s">
        <v>7</v>
      </c>
      <c r="D318" t="s">
        <v>19</v>
      </c>
      <c r="E318" t="s">
        <v>236</v>
      </c>
      <c r="G318" t="s">
        <v>2229</v>
      </c>
      <c r="I318" s="10"/>
      <c r="J318" s="107">
        <f>SUMIF(Data!C:C,G318,Data!Q:Q)</f>
        <v>40000</v>
      </c>
      <c r="K318" s="107">
        <f>SUMIF(Comprometidos!A:A,'Cost Report'!G318,Comprometidos!E:E)</f>
        <v>0</v>
      </c>
      <c r="L318" s="107">
        <f t="shared" si="114"/>
        <v>40000</v>
      </c>
      <c r="M318" s="107">
        <v>0</v>
      </c>
      <c r="N318" s="107">
        <f t="shared" si="116"/>
        <v>40000</v>
      </c>
      <c r="O318" s="107">
        <f>VLOOKUP(G318,Budget!$E$3:$G$2474,3,0)</f>
        <v>31688</v>
      </c>
      <c r="P318" s="107">
        <f t="shared" si="117"/>
        <v>-8312</v>
      </c>
      <c r="Q318" s="107"/>
      <c r="R318" s="10"/>
      <c r="S318" s="107">
        <v>40000</v>
      </c>
      <c r="T318" s="107">
        <f t="shared" si="102"/>
        <v>0</v>
      </c>
      <c r="U318" s="107"/>
      <c r="V318" s="175"/>
      <c r="W318" s="10"/>
      <c r="X318" s="10"/>
      <c r="Y318" t="str">
        <f t="shared" si="118"/>
        <v>1410</v>
      </c>
      <c r="AB318" s="10"/>
      <c r="AC318" s="10"/>
      <c r="AD318" s="10"/>
      <c r="AE318" s="10"/>
      <c r="AF318" s="10"/>
      <c r="AG318" s="10"/>
      <c r="AH318" s="10"/>
      <c r="AI318" s="10"/>
    </row>
    <row r="319" spans="1:35">
      <c r="A319" s="10"/>
      <c r="B319" s="10" t="str">
        <f t="shared" si="113"/>
        <v>Above the LineSHOOT</v>
      </c>
      <c r="C319" t="s">
        <v>7</v>
      </c>
      <c r="D319" t="s">
        <v>19</v>
      </c>
      <c r="E319" t="s">
        <v>236</v>
      </c>
      <c r="F319" t="s">
        <v>355</v>
      </c>
      <c r="G319" t="s">
        <v>2230</v>
      </c>
      <c r="I319" s="10"/>
      <c r="J319" s="107">
        <f>SUMIF(Data!C:C,G319,Data!Q:Q)</f>
        <v>55305.280000000006</v>
      </c>
      <c r="K319" s="107">
        <f>SUMIF(Comprometidos!A:A,'Cost Report'!G319,Comprometidos!E:E)</f>
        <v>0</v>
      </c>
      <c r="L319" s="107">
        <f t="shared" si="114"/>
        <v>55305.280000000006</v>
      </c>
      <c r="M319" s="107">
        <v>0</v>
      </c>
      <c r="N319" s="107">
        <f t="shared" si="116"/>
        <v>55305.280000000006</v>
      </c>
      <c r="O319" s="107">
        <f>VLOOKUP(G319,Budget!$E$3:$G$2474,3,0)</f>
        <v>24312</v>
      </c>
      <c r="P319" s="107">
        <f t="shared" si="117"/>
        <v>-30993.280000000006</v>
      </c>
      <c r="Q319" s="107"/>
      <c r="R319" s="10"/>
      <c r="S319" s="107">
        <v>55305.280000000006</v>
      </c>
      <c r="T319" s="107">
        <f t="shared" si="102"/>
        <v>0</v>
      </c>
      <c r="U319" s="107"/>
      <c r="V319" s="175"/>
      <c r="W319" s="10"/>
      <c r="X319" s="10"/>
      <c r="Y319" t="str">
        <f t="shared" si="118"/>
        <v>1410</v>
      </c>
      <c r="AB319" s="10"/>
      <c r="AC319" s="10"/>
      <c r="AD319" s="10"/>
      <c r="AE319" s="10"/>
      <c r="AF319" s="10"/>
      <c r="AG319" s="10"/>
      <c r="AH319" s="10"/>
      <c r="AI319" s="10"/>
    </row>
    <row r="320" spans="1:35">
      <c r="A320" s="10"/>
      <c r="B320" s="10" t="str">
        <f t="shared" si="113"/>
        <v>Above the LineSHOOT</v>
      </c>
      <c r="C320" t="s">
        <v>7</v>
      </c>
      <c r="D320" t="s">
        <v>19</v>
      </c>
      <c r="E320" t="s">
        <v>236</v>
      </c>
      <c r="F320" t="s">
        <v>355</v>
      </c>
      <c r="G320" t="s">
        <v>2231</v>
      </c>
      <c r="I320" s="10"/>
      <c r="J320" s="107">
        <f>SUMIF(Data!C:C,G320,Data!Q:Q)</f>
        <v>9101.86</v>
      </c>
      <c r="K320" s="107">
        <f>SUMIF(Comprometidos!A:A,'Cost Report'!G320,Comprometidos!E:E)</f>
        <v>0</v>
      </c>
      <c r="L320" s="107">
        <f t="shared" si="114"/>
        <v>9101.86</v>
      </c>
      <c r="M320" s="107">
        <v>0</v>
      </c>
      <c r="N320" s="107">
        <f t="shared" si="116"/>
        <v>9101.86</v>
      </c>
      <c r="O320" s="107">
        <f>VLOOKUP(G320,Budget!$E$3:$G$2474,3,0)</f>
        <v>6078</v>
      </c>
      <c r="P320" s="107">
        <f t="shared" si="117"/>
        <v>-3023.8600000000006</v>
      </c>
      <c r="Q320" s="107"/>
      <c r="R320" s="10"/>
      <c r="S320" s="107">
        <v>9101.86</v>
      </c>
      <c r="T320" s="107">
        <f t="shared" si="102"/>
        <v>0</v>
      </c>
      <c r="U320" s="107"/>
      <c r="V320" s="175"/>
      <c r="W320" s="10"/>
      <c r="X320" s="10"/>
      <c r="Y320" t="str">
        <f t="shared" si="118"/>
        <v>1410</v>
      </c>
      <c r="AB320" s="10"/>
      <c r="AC320" s="10"/>
      <c r="AD320" s="10"/>
      <c r="AE320" s="10"/>
      <c r="AF320" s="10"/>
      <c r="AG320" s="10"/>
      <c r="AH320" s="10"/>
      <c r="AI320" s="10"/>
    </row>
    <row r="321" spans="1:35">
      <c r="A321" s="10"/>
      <c r="B321" s="10" t="str">
        <f t="shared" si="113"/>
        <v>Above the LineSHOOT</v>
      </c>
      <c r="C321" t="s">
        <v>7</v>
      </c>
      <c r="D321" t="s">
        <v>19</v>
      </c>
      <c r="E321" t="s">
        <v>236</v>
      </c>
      <c r="F321" t="s">
        <v>355</v>
      </c>
      <c r="G321" t="s">
        <v>2232</v>
      </c>
      <c r="I321" s="10"/>
      <c r="J321" s="107">
        <f>SUMIF(Data!C:C,G321,Data!Q:Q)</f>
        <v>22951.469999999998</v>
      </c>
      <c r="K321" s="107">
        <f>SUMIF(Comprometidos!A:A,'Cost Report'!G321,Comprometidos!E:E)</f>
        <v>0</v>
      </c>
      <c r="L321" s="107">
        <f t="shared" si="114"/>
        <v>22951.469999999998</v>
      </c>
      <c r="M321" s="107">
        <v>0</v>
      </c>
      <c r="N321" s="107">
        <f t="shared" si="116"/>
        <v>22951.469999999998</v>
      </c>
      <c r="O321" s="107">
        <f>VLOOKUP(G321,Budget!$E$3:$G$2474,3,0)</f>
        <v>12156</v>
      </c>
      <c r="P321" s="107">
        <f t="shared" si="117"/>
        <v>-10795.469999999998</v>
      </c>
      <c r="Q321" s="107"/>
      <c r="R321" s="10"/>
      <c r="S321" s="107">
        <v>22951.469999999998</v>
      </c>
      <c r="T321" s="107">
        <f t="shared" si="102"/>
        <v>0</v>
      </c>
      <c r="U321" s="107"/>
      <c r="V321" s="175"/>
      <c r="W321" s="10"/>
      <c r="X321" s="10"/>
      <c r="Y321" t="str">
        <f t="shared" si="118"/>
        <v>1410</v>
      </c>
      <c r="AB321" s="10"/>
      <c r="AC321" s="10"/>
      <c r="AD321" s="10"/>
      <c r="AE321" s="10"/>
      <c r="AF321" s="10"/>
      <c r="AG321" s="10"/>
      <c r="AH321" s="10"/>
      <c r="AI321" s="10"/>
    </row>
    <row r="322" spans="1:35">
      <c r="A322" s="10"/>
      <c r="B322" s="10" t="str">
        <f t="shared" si="113"/>
        <v>Above the LineSHOOT</v>
      </c>
      <c r="C322" t="s">
        <v>7</v>
      </c>
      <c r="D322" t="s">
        <v>19</v>
      </c>
      <c r="E322" t="s">
        <v>236</v>
      </c>
      <c r="F322" t="s">
        <v>355</v>
      </c>
      <c r="G322" t="s">
        <v>2233</v>
      </c>
      <c r="I322" s="10"/>
      <c r="J322" s="107">
        <f>SUMIF(Data!C:C,G322,Data!Q:Q)</f>
        <v>0</v>
      </c>
      <c r="K322" s="107">
        <f>SUMIF(Comprometidos!A:A,'Cost Report'!G322,Comprometidos!E:E)</f>
        <v>0</v>
      </c>
      <c r="L322" s="107">
        <f t="shared" si="114"/>
        <v>0</v>
      </c>
      <c r="M322" s="107">
        <v>0</v>
      </c>
      <c r="N322" s="107">
        <f t="shared" si="116"/>
        <v>0</v>
      </c>
      <c r="O322" s="107">
        <f>VLOOKUP(G322,Budget!$E$3:$G$2474,3,0)</f>
        <v>2400</v>
      </c>
      <c r="P322" s="107">
        <f t="shared" si="117"/>
        <v>2400</v>
      </c>
      <c r="Q322" s="107"/>
      <c r="R322" s="10"/>
      <c r="S322" s="107">
        <v>0</v>
      </c>
      <c r="T322" s="107">
        <f t="shared" si="102"/>
        <v>0</v>
      </c>
      <c r="U322" s="107"/>
      <c r="V322" s="175"/>
      <c r="W322" s="10"/>
      <c r="X322" s="10"/>
      <c r="Y322" t="str">
        <f t="shared" si="118"/>
        <v>1410</v>
      </c>
      <c r="AB322" s="10"/>
      <c r="AC322" s="10"/>
      <c r="AD322" s="10"/>
      <c r="AE322" s="10"/>
      <c r="AF322" s="10"/>
      <c r="AG322" s="10"/>
      <c r="AH322" s="10"/>
      <c r="AI322" s="10"/>
    </row>
    <row r="323" spans="1:35">
      <c r="A323" s="10"/>
      <c r="B323" s="10" t="str">
        <f>+C323</f>
        <v>Above the Line</v>
      </c>
      <c r="C323" s="128" t="s">
        <v>7</v>
      </c>
      <c r="D323" s="128" t="s">
        <v>2117</v>
      </c>
      <c r="E323" s="128"/>
      <c r="F323" s="128"/>
      <c r="G323" s="128" t="s">
        <v>373</v>
      </c>
      <c r="H323" s="128"/>
      <c r="I323" s="10"/>
      <c r="J323" s="129">
        <f>SUMIF($Y$11:$Y$2484,G323,J$11:J$2484)</f>
        <v>137813.35999999999</v>
      </c>
      <c r="K323" s="129">
        <f>SUMIF($Y$11:$Y$2484,G323,K$11:K$2484)</f>
        <v>0</v>
      </c>
      <c r="L323" s="129">
        <f>SUMIF($Y$11:$Y$2484,G323,L$11:L$2484)</f>
        <v>137813.35999999999</v>
      </c>
      <c r="M323" s="129">
        <f>SUMIF($Y$11:$Y$2484,G323,M$11:M$2484)</f>
        <v>0</v>
      </c>
      <c r="N323" s="129">
        <f>SUMIF($Y$11:$Y$2484,G323,N$11:N$2484)</f>
        <v>137813.35999999999</v>
      </c>
      <c r="O323" s="129">
        <f>SUMIF($Y$11:$Y$2484,G323,O$11:O$2484)</f>
        <v>330002</v>
      </c>
      <c r="P323" s="129">
        <f>SUMIF($Y$11:$Y$2484,G323,P$11:P$2484)</f>
        <v>192188.64</v>
      </c>
      <c r="Q323" s="129"/>
      <c r="R323" s="10"/>
      <c r="S323" s="129">
        <v>137813.35999999999</v>
      </c>
      <c r="T323" s="129">
        <f t="shared" si="102"/>
        <v>0</v>
      </c>
      <c r="U323" s="128"/>
      <c r="V323" s="175"/>
      <c r="W323" s="10"/>
      <c r="X323" s="10"/>
      <c r="Z323" t="str">
        <f>LEFT(G323,2)</f>
        <v>14</v>
      </c>
      <c r="AA323" t="str">
        <f>+Z323&amp;"00"</f>
        <v>1400</v>
      </c>
      <c r="AB323" s="10"/>
      <c r="AC323" s="10"/>
      <c r="AD323" s="10"/>
      <c r="AE323" s="10"/>
      <c r="AF323" s="10"/>
      <c r="AG323" s="10"/>
      <c r="AH323" s="10"/>
      <c r="AI323" s="10"/>
    </row>
    <row r="324" spans="1:35">
      <c r="A324" s="10"/>
      <c r="B324" s="10" t="str">
        <f t="shared" ref="B324:B387" si="119">+C324&amp;E324</f>
        <v>Above the Line</v>
      </c>
      <c r="C324" t="s">
        <v>7</v>
      </c>
      <c r="D324" t="s">
        <v>19</v>
      </c>
      <c r="E324" t="s">
        <v>214</v>
      </c>
      <c r="G324" t="s">
        <v>374</v>
      </c>
      <c r="I324" s="10"/>
      <c r="J324" s="107">
        <f>SUMIF(Data!C:C,G324,Data!Q:Q)</f>
        <v>0</v>
      </c>
      <c r="K324" s="107">
        <f>SUMIF(Comprometidos!A:A,'Cost Report'!G324,Comprometidos!E:E)</f>
        <v>0</v>
      </c>
      <c r="L324" s="107">
        <f t="shared" ref="L324:L381" si="120">+J324+K324</f>
        <v>0</v>
      </c>
      <c r="M324" s="107">
        <f t="shared" ref="M324:M379" si="121">+O324-L324</f>
        <v>0</v>
      </c>
      <c r="N324" s="107">
        <f t="shared" ref="N324:N381" si="122">+L324+M324</f>
        <v>0</v>
      </c>
      <c r="O324" s="107">
        <f>VLOOKUP(G324,Budget!$E$3:$G$2474,3,0)</f>
        <v>0</v>
      </c>
      <c r="P324" s="107">
        <f t="shared" ref="P324:P381" si="123">+O324-N324</f>
        <v>0</v>
      </c>
      <c r="Q324" s="107"/>
      <c r="R324" s="10"/>
      <c r="S324" s="107">
        <v>0</v>
      </c>
      <c r="T324" s="107">
        <f t="shared" si="102"/>
        <v>0</v>
      </c>
      <c r="U324" s="107"/>
      <c r="V324" s="175"/>
      <c r="W324" s="10"/>
      <c r="X324" s="10"/>
      <c r="Y324" t="str">
        <f t="shared" ref="Y324:Y387" si="124">LEFT(G324,4)</f>
        <v>1411</v>
      </c>
      <c r="AB324" s="10"/>
      <c r="AC324" s="10"/>
      <c r="AD324" s="10"/>
      <c r="AE324" s="10"/>
      <c r="AF324" s="10"/>
      <c r="AG324" s="10"/>
      <c r="AH324" s="10"/>
      <c r="AI324" s="10"/>
    </row>
    <row r="325" spans="1:35">
      <c r="A325" s="10"/>
      <c r="B325" s="10" t="str">
        <f t="shared" si="119"/>
        <v>Above the Line</v>
      </c>
      <c r="C325" t="s">
        <v>7</v>
      </c>
      <c r="D325" t="s">
        <v>19</v>
      </c>
      <c r="E325" t="s">
        <v>214</v>
      </c>
      <c r="G325" t="s">
        <v>375</v>
      </c>
      <c r="I325" s="10"/>
      <c r="J325" s="107">
        <f>SUMIF(Data!C:C,G325,Data!Q:Q)</f>
        <v>0</v>
      </c>
      <c r="K325" s="107">
        <f>SUMIF(Comprometidos!A:A,'Cost Report'!G325,Comprometidos!E:E)</f>
        <v>0</v>
      </c>
      <c r="L325" s="107">
        <f t="shared" si="120"/>
        <v>0</v>
      </c>
      <c r="M325" s="107">
        <f t="shared" si="121"/>
        <v>0</v>
      </c>
      <c r="N325" s="107">
        <f t="shared" si="122"/>
        <v>0</v>
      </c>
      <c r="O325" s="107">
        <f>VLOOKUP(G325,Budget!$E$3:$G$2474,3,0)</f>
        <v>0</v>
      </c>
      <c r="P325" s="107">
        <f t="shared" si="123"/>
        <v>0</v>
      </c>
      <c r="Q325" s="107"/>
      <c r="R325" s="10"/>
      <c r="S325" s="107">
        <v>0</v>
      </c>
      <c r="T325" s="107">
        <f t="shared" si="102"/>
        <v>0</v>
      </c>
      <c r="U325" s="107"/>
      <c r="V325" s="175"/>
      <c r="W325" s="10"/>
      <c r="X325" s="10"/>
      <c r="Y325" t="str">
        <f t="shared" si="124"/>
        <v>1411</v>
      </c>
      <c r="AB325" s="10"/>
      <c r="AC325" s="10"/>
      <c r="AD325" s="10"/>
      <c r="AE325" s="10"/>
      <c r="AF325" s="10"/>
      <c r="AG325" s="10"/>
      <c r="AH325" s="10"/>
      <c r="AI325" s="10"/>
    </row>
    <row r="326" spans="1:35">
      <c r="A326" s="10"/>
      <c r="B326" s="10" t="str">
        <f t="shared" si="119"/>
        <v>Above the Line</v>
      </c>
      <c r="C326" t="s">
        <v>7</v>
      </c>
      <c r="D326" t="s">
        <v>19</v>
      </c>
      <c r="E326" t="s">
        <v>214</v>
      </c>
      <c r="G326" t="s">
        <v>376</v>
      </c>
      <c r="I326" s="10"/>
      <c r="J326" s="107">
        <f>SUMIF(Data!C:C,G326,Data!Q:Q)</f>
        <v>0</v>
      </c>
      <c r="K326" s="107">
        <f>SUMIF(Comprometidos!A:A,'Cost Report'!G326,Comprometidos!E:E)</f>
        <v>0</v>
      </c>
      <c r="L326" s="107">
        <f t="shared" si="120"/>
        <v>0</v>
      </c>
      <c r="M326" s="107">
        <f t="shared" si="121"/>
        <v>0</v>
      </c>
      <c r="N326" s="107">
        <f t="shared" si="122"/>
        <v>0</v>
      </c>
      <c r="O326" s="107">
        <f>VLOOKUP(G326,Budget!$E$3:$G$2474,3,0)</f>
        <v>0</v>
      </c>
      <c r="P326" s="107">
        <f t="shared" si="123"/>
        <v>0</v>
      </c>
      <c r="Q326" s="107"/>
      <c r="R326" s="10"/>
      <c r="S326" s="107">
        <v>0</v>
      </c>
      <c r="T326" s="107">
        <f t="shared" si="102"/>
        <v>0</v>
      </c>
      <c r="U326" s="107"/>
      <c r="V326" s="175"/>
      <c r="W326" s="10"/>
      <c r="X326" s="10"/>
      <c r="Y326" t="str">
        <f t="shared" si="124"/>
        <v>1411</v>
      </c>
      <c r="AB326" s="10"/>
      <c r="AC326" s="10"/>
      <c r="AD326" s="10"/>
      <c r="AE326" s="10"/>
      <c r="AF326" s="10"/>
      <c r="AG326" s="10"/>
      <c r="AH326" s="10"/>
      <c r="AI326" s="10"/>
    </row>
    <row r="327" spans="1:35">
      <c r="A327" s="10"/>
      <c r="B327" s="10" t="str">
        <f t="shared" si="119"/>
        <v>Above the LinePREP</v>
      </c>
      <c r="C327" t="s">
        <v>7</v>
      </c>
      <c r="D327" t="s">
        <v>19</v>
      </c>
      <c r="E327" t="s">
        <v>234</v>
      </c>
      <c r="G327" t="s">
        <v>377</v>
      </c>
      <c r="I327" s="10"/>
      <c r="J327" s="107">
        <f>SUMIF(Data!C:C,G327,Data!Q:Q)</f>
        <v>0</v>
      </c>
      <c r="K327" s="107">
        <f>SUMIF(Comprometidos!A:A,'Cost Report'!G327,Comprometidos!E:E)</f>
        <v>0</v>
      </c>
      <c r="L327" s="107">
        <f t="shared" si="120"/>
        <v>0</v>
      </c>
      <c r="M327" s="107">
        <v>0</v>
      </c>
      <c r="N327" s="107">
        <f t="shared" si="122"/>
        <v>0</v>
      </c>
      <c r="O327" s="107">
        <f>VLOOKUP(G327,Budget!$E$3:$G$2474,3,0)</f>
        <v>6000</v>
      </c>
      <c r="P327" s="107">
        <f t="shared" si="123"/>
        <v>6000</v>
      </c>
      <c r="Q327" s="107"/>
      <c r="R327" s="10"/>
      <c r="S327" s="107">
        <v>0</v>
      </c>
      <c r="T327" s="107">
        <f t="shared" si="102"/>
        <v>0</v>
      </c>
      <c r="U327" s="107"/>
      <c r="V327" s="175"/>
      <c r="W327" s="10"/>
      <c r="X327" s="10"/>
      <c r="Y327" t="str">
        <f t="shared" si="124"/>
        <v>1411</v>
      </c>
      <c r="AB327" s="10"/>
      <c r="AC327" s="10"/>
      <c r="AD327" s="10"/>
      <c r="AE327" s="10"/>
      <c r="AF327" s="10"/>
      <c r="AG327" s="10"/>
      <c r="AH327" s="10"/>
      <c r="AI327" s="10"/>
    </row>
    <row r="328" spans="1:35">
      <c r="A328" s="10"/>
      <c r="B328" s="10" t="str">
        <f t="shared" si="119"/>
        <v>Above the LineSHOOT</v>
      </c>
      <c r="C328" t="s">
        <v>7</v>
      </c>
      <c r="D328" t="s">
        <v>19</v>
      </c>
      <c r="E328" t="s">
        <v>236</v>
      </c>
      <c r="F328" t="s">
        <v>5396</v>
      </c>
      <c r="G328" t="s">
        <v>1712</v>
      </c>
      <c r="I328" s="10"/>
      <c r="J328" s="107">
        <f>SUMIF(Data!C:C,G328,Data!Q:Q)</f>
        <v>24616</v>
      </c>
      <c r="K328" s="107">
        <f>SUMIF(Comprometidos!A:A,'Cost Report'!G328,Comprometidos!E:E)</f>
        <v>0</v>
      </c>
      <c r="L328" s="107">
        <f t="shared" si="120"/>
        <v>24616</v>
      </c>
      <c r="M328" s="107">
        <v>0</v>
      </c>
      <c r="N328" s="107">
        <f t="shared" si="122"/>
        <v>24616</v>
      </c>
      <c r="O328" s="107">
        <f>VLOOKUP(G328,Budget!$E$3:$G$2474,3,0)</f>
        <v>18000</v>
      </c>
      <c r="P328" s="107">
        <f t="shared" si="123"/>
        <v>-6616</v>
      </c>
      <c r="Q328" s="107"/>
      <c r="R328" s="10"/>
      <c r="S328" s="107">
        <v>24616</v>
      </c>
      <c r="T328" s="107">
        <f t="shared" si="102"/>
        <v>0</v>
      </c>
      <c r="U328" s="107"/>
      <c r="V328" s="175"/>
      <c r="W328" s="10"/>
      <c r="X328" s="10"/>
      <c r="Y328" t="str">
        <f t="shared" si="124"/>
        <v>1411</v>
      </c>
      <c r="AB328" s="10"/>
      <c r="AC328" s="10"/>
      <c r="AD328" s="10"/>
      <c r="AE328" s="10"/>
      <c r="AF328" s="10"/>
      <c r="AG328" s="10"/>
      <c r="AH328" s="10"/>
      <c r="AI328" s="10"/>
    </row>
    <row r="329" spans="1:35">
      <c r="A329" s="10"/>
      <c r="B329" s="10" t="str">
        <f t="shared" si="119"/>
        <v>Above the LineSHOOT</v>
      </c>
      <c r="C329" t="s">
        <v>7</v>
      </c>
      <c r="D329" t="s">
        <v>19</v>
      </c>
      <c r="E329" t="s">
        <v>236</v>
      </c>
      <c r="F329" t="s">
        <v>355</v>
      </c>
      <c r="G329" t="s">
        <v>1713</v>
      </c>
      <c r="I329" s="10"/>
      <c r="J329" s="107">
        <f>SUMIF(Data!C:C,G329,Data!Q:Q)</f>
        <v>0</v>
      </c>
      <c r="K329" s="107">
        <f>SUMIF(Comprometidos!A:A,'Cost Report'!G329,Comprometidos!E:E)</f>
        <v>0</v>
      </c>
      <c r="L329" s="107">
        <f t="shared" si="120"/>
        <v>0</v>
      </c>
      <c r="M329" s="107">
        <v>0</v>
      </c>
      <c r="N329" s="107">
        <f t="shared" si="122"/>
        <v>0</v>
      </c>
      <c r="O329" s="107">
        <f>VLOOKUP(G329,Budget!$E$3:$G$2474,3,0)</f>
        <v>9846</v>
      </c>
      <c r="P329" s="107">
        <f t="shared" si="123"/>
        <v>9846</v>
      </c>
      <c r="Q329" s="107"/>
      <c r="R329" s="10"/>
      <c r="S329" s="107">
        <v>0</v>
      </c>
      <c r="T329" s="107">
        <f t="shared" si="102"/>
        <v>0</v>
      </c>
      <c r="U329" s="107"/>
      <c r="V329" s="175"/>
      <c r="W329" s="10"/>
      <c r="X329" s="10"/>
      <c r="Y329" t="str">
        <f t="shared" si="124"/>
        <v>1411</v>
      </c>
      <c r="AB329" s="10"/>
      <c r="AC329" s="10"/>
      <c r="AD329" s="10"/>
      <c r="AE329" s="10"/>
      <c r="AF329" s="10"/>
      <c r="AG329" s="10"/>
      <c r="AH329" s="10"/>
      <c r="AI329" s="10"/>
    </row>
    <row r="330" spans="1:35">
      <c r="A330" s="10"/>
      <c r="B330" s="10" t="str">
        <f t="shared" si="119"/>
        <v>Above the Line</v>
      </c>
      <c r="C330" t="s">
        <v>7</v>
      </c>
      <c r="D330" t="s">
        <v>19</v>
      </c>
      <c r="E330" t="s">
        <v>214</v>
      </c>
      <c r="G330" t="s">
        <v>2234</v>
      </c>
      <c r="I330" s="10"/>
      <c r="J330" s="107">
        <f>SUMIF(Data!C:C,G330,Data!Q:Q)</f>
        <v>0</v>
      </c>
      <c r="K330" s="107">
        <f>SUMIF(Comprometidos!A:A,'Cost Report'!G330,Comprometidos!E:E)</f>
        <v>0</v>
      </c>
      <c r="L330" s="107">
        <f t="shared" si="120"/>
        <v>0</v>
      </c>
      <c r="M330" s="107">
        <f t="shared" si="121"/>
        <v>0</v>
      </c>
      <c r="N330" s="107">
        <f t="shared" si="122"/>
        <v>0</v>
      </c>
      <c r="O330" s="107">
        <f>VLOOKUP(G330,Budget!$E$3:$G$2474,3,0)</f>
        <v>0</v>
      </c>
      <c r="P330" s="107">
        <f t="shared" si="123"/>
        <v>0</v>
      </c>
      <c r="Q330" s="107"/>
      <c r="R330" s="10"/>
      <c r="S330" s="107">
        <v>0</v>
      </c>
      <c r="T330" s="107">
        <f t="shared" si="102"/>
        <v>0</v>
      </c>
      <c r="U330" s="107"/>
      <c r="V330" s="175"/>
      <c r="W330" s="10"/>
      <c r="X330" s="10"/>
      <c r="Y330" t="str">
        <f t="shared" si="124"/>
        <v>1411</v>
      </c>
      <c r="AB330" s="10"/>
      <c r="AC330" s="10"/>
      <c r="AD330" s="10"/>
      <c r="AE330" s="10"/>
      <c r="AF330" s="10"/>
      <c r="AG330" s="10"/>
      <c r="AH330" s="10"/>
      <c r="AI330" s="10"/>
    </row>
    <row r="331" spans="1:35">
      <c r="A331" s="10"/>
      <c r="B331" s="10" t="str">
        <f t="shared" si="119"/>
        <v>Above the Line</v>
      </c>
      <c r="C331" t="s">
        <v>7</v>
      </c>
      <c r="D331" t="s">
        <v>19</v>
      </c>
      <c r="E331" t="s">
        <v>214</v>
      </c>
      <c r="G331" t="s">
        <v>2235</v>
      </c>
      <c r="I331" s="10"/>
      <c r="J331" s="107">
        <f>SUMIF(Data!C:C,G331,Data!Q:Q)</f>
        <v>0</v>
      </c>
      <c r="K331" s="107">
        <f>SUMIF(Comprometidos!A:A,'Cost Report'!G331,Comprometidos!E:E)</f>
        <v>0</v>
      </c>
      <c r="L331" s="107">
        <f t="shared" si="120"/>
        <v>0</v>
      </c>
      <c r="M331" s="107">
        <f t="shared" si="121"/>
        <v>0</v>
      </c>
      <c r="N331" s="107">
        <f t="shared" si="122"/>
        <v>0</v>
      </c>
      <c r="O331" s="107">
        <f>VLOOKUP(G331,Budget!$E$3:$G$2474,3,0)</f>
        <v>0</v>
      </c>
      <c r="P331" s="107">
        <f t="shared" si="123"/>
        <v>0</v>
      </c>
      <c r="Q331" s="107"/>
      <c r="R331" s="10"/>
      <c r="S331" s="107">
        <v>0</v>
      </c>
      <c r="T331" s="107">
        <f t="shared" ref="T331:T394" si="125">+S331-N331</f>
        <v>0</v>
      </c>
      <c r="U331" s="107"/>
      <c r="V331" s="175"/>
      <c r="W331" s="10"/>
      <c r="X331" s="10"/>
      <c r="Y331" t="str">
        <f t="shared" si="124"/>
        <v>1411</v>
      </c>
      <c r="AB331" s="10"/>
      <c r="AC331" s="10"/>
      <c r="AD331" s="10"/>
      <c r="AE331" s="10"/>
      <c r="AF331" s="10"/>
      <c r="AG331" s="10"/>
      <c r="AH331" s="10"/>
      <c r="AI331" s="10"/>
    </row>
    <row r="332" spans="1:35">
      <c r="A332" s="10"/>
      <c r="B332" s="10" t="str">
        <f t="shared" si="119"/>
        <v>Above the LinePREP</v>
      </c>
      <c r="C332" t="s">
        <v>7</v>
      </c>
      <c r="D332" t="s">
        <v>19</v>
      </c>
      <c r="E332" t="s">
        <v>234</v>
      </c>
      <c r="G332" t="s">
        <v>2236</v>
      </c>
      <c r="I332" s="10"/>
      <c r="J332" s="107">
        <f>SUMIF(Data!C:C,G332,Data!Q:Q)</f>
        <v>0</v>
      </c>
      <c r="K332" s="107">
        <f>SUMIF(Comprometidos!A:A,'Cost Report'!G332,Comprometidos!E:E)</f>
        <v>0</v>
      </c>
      <c r="L332" s="107">
        <f t="shared" si="120"/>
        <v>0</v>
      </c>
      <c r="M332" s="107">
        <v>0</v>
      </c>
      <c r="N332" s="107">
        <f t="shared" si="122"/>
        <v>0</v>
      </c>
      <c r="O332" s="107">
        <f>VLOOKUP(G332,Budget!$E$3:$G$2474,3,0)</f>
        <v>6000</v>
      </c>
      <c r="P332" s="107">
        <f t="shared" si="123"/>
        <v>6000</v>
      </c>
      <c r="Q332" s="107"/>
      <c r="R332" s="10"/>
      <c r="S332" s="107">
        <v>0</v>
      </c>
      <c r="T332" s="107">
        <f t="shared" si="125"/>
        <v>0</v>
      </c>
      <c r="U332" s="107"/>
      <c r="V332" s="175"/>
      <c r="W332" s="10"/>
      <c r="X332" s="10"/>
      <c r="Y332" t="str">
        <f t="shared" si="124"/>
        <v>1411</v>
      </c>
      <c r="AB332" s="10"/>
      <c r="AC332" s="10"/>
      <c r="AD332" s="10"/>
      <c r="AE332" s="10"/>
      <c r="AF332" s="10"/>
      <c r="AG332" s="10"/>
      <c r="AH332" s="10"/>
      <c r="AI332" s="10"/>
    </row>
    <row r="333" spans="1:35">
      <c r="A333" s="10"/>
      <c r="B333" s="10" t="str">
        <f t="shared" si="119"/>
        <v>Above the LineSHOOT</v>
      </c>
      <c r="C333" t="s">
        <v>7</v>
      </c>
      <c r="D333" t="s">
        <v>19</v>
      </c>
      <c r="E333" t="s">
        <v>236</v>
      </c>
      <c r="F333" t="s">
        <v>5396</v>
      </c>
      <c r="G333" t="s">
        <v>2237</v>
      </c>
      <c r="I333" s="10"/>
      <c r="J333" s="107">
        <f>SUMIF(Data!C:C,G333,Data!Q:Q)</f>
        <v>0</v>
      </c>
      <c r="K333" s="107">
        <f>SUMIF(Comprometidos!A:A,'Cost Report'!G333,Comprometidos!E:E)</f>
        <v>0</v>
      </c>
      <c r="L333" s="107">
        <f t="shared" si="120"/>
        <v>0</v>
      </c>
      <c r="M333" s="107">
        <v>0</v>
      </c>
      <c r="N333" s="107">
        <f t="shared" si="122"/>
        <v>0</v>
      </c>
      <c r="O333" s="107">
        <f>VLOOKUP(G333,Budget!$E$3:$G$2474,3,0)</f>
        <v>6000</v>
      </c>
      <c r="P333" s="107">
        <f t="shared" si="123"/>
        <v>6000</v>
      </c>
      <c r="Q333" s="107"/>
      <c r="R333" s="10"/>
      <c r="S333" s="107">
        <v>0</v>
      </c>
      <c r="T333" s="107">
        <f t="shared" si="125"/>
        <v>0</v>
      </c>
      <c r="U333" s="107"/>
      <c r="V333" s="175"/>
      <c r="W333" s="10"/>
      <c r="X333" s="10"/>
      <c r="Y333" t="str">
        <f t="shared" si="124"/>
        <v>1411</v>
      </c>
      <c r="AB333" s="10"/>
      <c r="AC333" s="10"/>
      <c r="AD333" s="10"/>
      <c r="AE333" s="10"/>
      <c r="AF333" s="10"/>
      <c r="AG333" s="10"/>
      <c r="AH333" s="10"/>
      <c r="AI333" s="10"/>
    </row>
    <row r="334" spans="1:35">
      <c r="A334" s="10"/>
      <c r="B334" s="10" t="str">
        <f t="shared" si="119"/>
        <v>Above the LineSHOOT</v>
      </c>
      <c r="C334" t="s">
        <v>7</v>
      </c>
      <c r="D334" t="s">
        <v>19</v>
      </c>
      <c r="E334" t="s">
        <v>236</v>
      </c>
      <c r="F334" t="s">
        <v>355</v>
      </c>
      <c r="G334" t="s">
        <v>2238</v>
      </c>
      <c r="I334" s="10"/>
      <c r="J334" s="107">
        <f>SUMIF(Data!C:C,G334,Data!Q:Q)</f>
        <v>0</v>
      </c>
      <c r="K334" s="107">
        <f>SUMIF(Comprometidos!A:A,'Cost Report'!G334,Comprometidos!E:E)</f>
        <v>0</v>
      </c>
      <c r="L334" s="107">
        <f t="shared" si="120"/>
        <v>0</v>
      </c>
      <c r="M334" s="107">
        <v>0</v>
      </c>
      <c r="N334" s="107">
        <f t="shared" si="122"/>
        <v>0</v>
      </c>
      <c r="O334" s="107">
        <f>VLOOKUP(G334,Budget!$E$3:$G$2474,3,0)</f>
        <v>3282</v>
      </c>
      <c r="P334" s="107">
        <f t="shared" si="123"/>
        <v>3282</v>
      </c>
      <c r="Q334" s="107"/>
      <c r="R334" s="10"/>
      <c r="S334" s="107">
        <v>0</v>
      </c>
      <c r="T334" s="107">
        <f t="shared" si="125"/>
        <v>0</v>
      </c>
      <c r="U334" s="107"/>
      <c r="V334" s="175"/>
      <c r="W334" s="10"/>
      <c r="X334" s="10"/>
      <c r="Y334" t="str">
        <f t="shared" si="124"/>
        <v>1411</v>
      </c>
      <c r="AB334" s="10"/>
      <c r="AC334" s="10"/>
      <c r="AD334" s="10"/>
      <c r="AE334" s="10"/>
      <c r="AF334" s="10"/>
      <c r="AG334" s="10"/>
      <c r="AH334" s="10"/>
      <c r="AI334" s="10"/>
    </row>
    <row r="335" spans="1:35">
      <c r="A335" s="10"/>
      <c r="B335" s="10" t="str">
        <f t="shared" si="119"/>
        <v>Above the Line</v>
      </c>
      <c r="C335" t="s">
        <v>7</v>
      </c>
      <c r="D335" t="s">
        <v>19</v>
      </c>
      <c r="E335" t="s">
        <v>214</v>
      </c>
      <c r="G335" t="s">
        <v>2239</v>
      </c>
      <c r="I335" s="10"/>
      <c r="J335" s="107">
        <f>SUMIF(Data!C:C,G335,Data!Q:Q)</f>
        <v>0</v>
      </c>
      <c r="K335" s="107">
        <f>SUMIF(Comprometidos!A:A,'Cost Report'!G335,Comprometidos!E:E)</f>
        <v>0</v>
      </c>
      <c r="L335" s="107">
        <f t="shared" si="120"/>
        <v>0</v>
      </c>
      <c r="M335" s="107">
        <f t="shared" si="121"/>
        <v>0</v>
      </c>
      <c r="N335" s="107">
        <f t="shared" si="122"/>
        <v>0</v>
      </c>
      <c r="O335" s="107">
        <f>VLOOKUP(G335,Budget!$E$3:$G$2474,3,0)</f>
        <v>0</v>
      </c>
      <c r="P335" s="107">
        <f t="shared" si="123"/>
        <v>0</v>
      </c>
      <c r="Q335" s="107"/>
      <c r="R335" s="10"/>
      <c r="S335" s="107">
        <v>0</v>
      </c>
      <c r="T335" s="107">
        <f t="shared" si="125"/>
        <v>0</v>
      </c>
      <c r="U335" s="107"/>
      <c r="V335" s="175"/>
      <c r="W335" s="10"/>
      <c r="X335" s="10"/>
      <c r="Y335" t="str">
        <f t="shared" si="124"/>
        <v>1411</v>
      </c>
      <c r="AB335" s="10"/>
      <c r="AC335" s="10"/>
      <c r="AD335" s="10"/>
      <c r="AE335" s="10"/>
      <c r="AF335" s="10"/>
      <c r="AG335" s="10"/>
      <c r="AH335" s="10"/>
      <c r="AI335" s="10"/>
    </row>
    <row r="336" spans="1:35">
      <c r="A336" s="10"/>
      <c r="B336" s="10" t="str">
        <f t="shared" si="119"/>
        <v>Above the Line</v>
      </c>
      <c r="C336" t="s">
        <v>7</v>
      </c>
      <c r="D336" t="s">
        <v>19</v>
      </c>
      <c r="E336" t="s">
        <v>214</v>
      </c>
      <c r="G336" t="s">
        <v>2240</v>
      </c>
      <c r="I336" s="10"/>
      <c r="J336" s="107">
        <f>SUMIF(Data!C:C,G336,Data!Q:Q)</f>
        <v>0</v>
      </c>
      <c r="K336" s="107">
        <f>SUMIF(Comprometidos!A:A,'Cost Report'!G336,Comprometidos!E:E)</f>
        <v>0</v>
      </c>
      <c r="L336" s="107">
        <f t="shared" si="120"/>
        <v>0</v>
      </c>
      <c r="M336" s="107">
        <f t="shared" si="121"/>
        <v>0</v>
      </c>
      <c r="N336" s="107">
        <f t="shared" si="122"/>
        <v>0</v>
      </c>
      <c r="O336" s="107">
        <f>VLOOKUP(G336,Budget!$E$3:$G$2474,3,0)</f>
        <v>0</v>
      </c>
      <c r="P336" s="107">
        <f t="shared" si="123"/>
        <v>0</v>
      </c>
      <c r="Q336" s="107"/>
      <c r="R336" s="10"/>
      <c r="S336" s="107">
        <v>0</v>
      </c>
      <c r="T336" s="107">
        <f t="shared" si="125"/>
        <v>0</v>
      </c>
      <c r="U336" s="107"/>
      <c r="V336" s="175"/>
      <c r="W336" s="10"/>
      <c r="X336" s="10"/>
      <c r="Y336" t="str">
        <f t="shared" si="124"/>
        <v>1411</v>
      </c>
      <c r="AB336" s="10"/>
      <c r="AC336" s="10"/>
      <c r="AD336" s="10"/>
      <c r="AE336" s="10"/>
      <c r="AF336" s="10"/>
      <c r="AG336" s="10"/>
      <c r="AH336" s="10"/>
      <c r="AI336" s="10"/>
    </row>
    <row r="337" spans="1:35">
      <c r="A337" s="10"/>
      <c r="B337" s="10" t="str">
        <f t="shared" si="119"/>
        <v>Above the LinePREP</v>
      </c>
      <c r="C337" t="s">
        <v>7</v>
      </c>
      <c r="D337" t="s">
        <v>19</v>
      </c>
      <c r="E337" t="s">
        <v>234</v>
      </c>
      <c r="G337" t="s">
        <v>2241</v>
      </c>
      <c r="I337" s="10"/>
      <c r="J337" s="107">
        <f>SUMIF(Data!C:C,G337,Data!Q:Q)</f>
        <v>0</v>
      </c>
      <c r="K337" s="107">
        <f>SUMIF(Comprometidos!A:A,'Cost Report'!G337,Comprometidos!E:E)</f>
        <v>0</v>
      </c>
      <c r="L337" s="107">
        <f t="shared" si="120"/>
        <v>0</v>
      </c>
      <c r="M337" s="107">
        <v>0</v>
      </c>
      <c r="N337" s="107">
        <f t="shared" si="122"/>
        <v>0</v>
      </c>
      <c r="O337" s="107">
        <f>VLOOKUP(G337,Budget!$E$3:$G$2474,3,0)</f>
        <v>28000</v>
      </c>
      <c r="P337" s="107">
        <f t="shared" si="123"/>
        <v>28000</v>
      </c>
      <c r="Q337" s="107"/>
      <c r="R337" s="10"/>
      <c r="S337" s="107">
        <v>0</v>
      </c>
      <c r="T337" s="107">
        <f t="shared" si="125"/>
        <v>0</v>
      </c>
      <c r="U337" s="107"/>
      <c r="V337" s="175"/>
      <c r="W337" s="10"/>
      <c r="X337" s="10"/>
      <c r="Y337" t="str">
        <f t="shared" si="124"/>
        <v>1411</v>
      </c>
      <c r="AB337" s="10"/>
      <c r="AC337" s="10"/>
      <c r="AD337" s="10"/>
      <c r="AE337" s="10"/>
      <c r="AF337" s="10"/>
      <c r="AG337" s="10"/>
      <c r="AH337" s="10"/>
      <c r="AI337" s="10"/>
    </row>
    <row r="338" spans="1:35">
      <c r="A338" s="10"/>
      <c r="B338" s="10" t="str">
        <f t="shared" si="119"/>
        <v>Above the LineSHOOT</v>
      </c>
      <c r="C338" t="s">
        <v>7</v>
      </c>
      <c r="D338" t="s">
        <v>19</v>
      </c>
      <c r="E338" t="s">
        <v>236</v>
      </c>
      <c r="F338" t="s">
        <v>5396</v>
      </c>
      <c r="G338" t="s">
        <v>2242</v>
      </c>
      <c r="I338" s="10"/>
      <c r="J338" s="107">
        <f>SUMIF(Data!C:C,G338,Data!Q:Q)</f>
        <v>0</v>
      </c>
      <c r="K338" s="107">
        <f>SUMIF(Comprometidos!A:A,'Cost Report'!G338,Comprometidos!E:E)</f>
        <v>0</v>
      </c>
      <c r="L338" s="107">
        <f t="shared" si="120"/>
        <v>0</v>
      </c>
      <c r="M338" s="107">
        <v>0</v>
      </c>
      <c r="N338" s="107">
        <f t="shared" si="122"/>
        <v>0</v>
      </c>
      <c r="O338" s="107">
        <f>VLOOKUP(G338,Budget!$E$3:$G$2474,3,0)</f>
        <v>1844</v>
      </c>
      <c r="P338" s="107">
        <f t="shared" si="123"/>
        <v>1844</v>
      </c>
      <c r="Q338" s="107"/>
      <c r="R338" s="10"/>
      <c r="S338" s="107">
        <v>0</v>
      </c>
      <c r="T338" s="107">
        <f t="shared" si="125"/>
        <v>0</v>
      </c>
      <c r="U338" s="107"/>
      <c r="V338" s="175"/>
      <c r="W338" s="10"/>
      <c r="X338" s="10"/>
      <c r="Y338" t="str">
        <f t="shared" si="124"/>
        <v>1411</v>
      </c>
      <c r="AB338" s="10"/>
      <c r="AC338" s="10"/>
      <c r="AD338" s="10"/>
      <c r="AE338" s="10"/>
      <c r="AF338" s="10"/>
      <c r="AG338" s="10"/>
      <c r="AH338" s="10"/>
      <c r="AI338" s="10"/>
    </row>
    <row r="339" spans="1:35">
      <c r="A339" s="10"/>
      <c r="B339" s="10" t="str">
        <f t="shared" si="119"/>
        <v>Above the LineSHOOT</v>
      </c>
      <c r="C339" t="s">
        <v>7</v>
      </c>
      <c r="D339" t="s">
        <v>19</v>
      </c>
      <c r="E339" t="s">
        <v>236</v>
      </c>
      <c r="F339" t="s">
        <v>355</v>
      </c>
      <c r="G339" t="s">
        <v>2243</v>
      </c>
      <c r="I339" s="10"/>
      <c r="J339" s="107">
        <f>SUMIF(Data!C:C,G339,Data!Q:Q)</f>
        <v>0</v>
      </c>
      <c r="K339" s="107">
        <f>SUMIF(Comprometidos!A:A,'Cost Report'!G339,Comprometidos!E:E)</f>
        <v>0</v>
      </c>
      <c r="L339" s="107">
        <f t="shared" si="120"/>
        <v>0</v>
      </c>
      <c r="M339" s="107">
        <v>0</v>
      </c>
      <c r="N339" s="107">
        <f t="shared" si="122"/>
        <v>0</v>
      </c>
      <c r="O339" s="107">
        <f>VLOOKUP(G339,Budget!$E$3:$G$2474,3,0)</f>
        <v>12156</v>
      </c>
      <c r="P339" s="107">
        <f t="shared" si="123"/>
        <v>12156</v>
      </c>
      <c r="Q339" s="107"/>
      <c r="R339" s="10"/>
      <c r="S339" s="107">
        <v>0</v>
      </c>
      <c r="T339" s="107">
        <f t="shared" si="125"/>
        <v>0</v>
      </c>
      <c r="U339" s="107"/>
      <c r="V339" s="175"/>
      <c r="W339" s="10"/>
      <c r="X339" s="10"/>
      <c r="Y339" t="str">
        <f t="shared" si="124"/>
        <v>1411</v>
      </c>
      <c r="AB339" s="10"/>
      <c r="AC339" s="10"/>
      <c r="AD339" s="10"/>
      <c r="AE339" s="10"/>
      <c r="AF339" s="10"/>
      <c r="AG339" s="10"/>
      <c r="AH339" s="10"/>
      <c r="AI339" s="10"/>
    </row>
    <row r="340" spans="1:35">
      <c r="A340" s="10"/>
      <c r="B340" s="10" t="str">
        <f t="shared" si="119"/>
        <v>Above the LineSHOOT</v>
      </c>
      <c r="C340" t="s">
        <v>7</v>
      </c>
      <c r="D340" t="s">
        <v>19</v>
      </c>
      <c r="E340" t="s">
        <v>236</v>
      </c>
      <c r="G340" t="s">
        <v>2244</v>
      </c>
      <c r="I340" s="10"/>
      <c r="J340" s="107">
        <f>SUMIF(Data!C:C,G340,Data!Q:Q)</f>
        <v>10000</v>
      </c>
      <c r="K340" s="107">
        <f>SUMIF(Comprometidos!A:A,'Cost Report'!G340,Comprometidos!E:E)</f>
        <v>0</v>
      </c>
      <c r="L340" s="107">
        <f t="shared" si="120"/>
        <v>10000</v>
      </c>
      <c r="M340" s="107">
        <f t="shared" si="121"/>
        <v>0</v>
      </c>
      <c r="N340" s="107">
        <f t="shared" si="122"/>
        <v>10000</v>
      </c>
      <c r="O340" s="107">
        <f>VLOOKUP(G340,Budget!$E$3:$G$2474,3,0)</f>
        <v>10000</v>
      </c>
      <c r="P340" s="107">
        <f t="shared" si="123"/>
        <v>0</v>
      </c>
      <c r="Q340" s="107"/>
      <c r="R340" s="10"/>
      <c r="S340" s="107">
        <v>10000</v>
      </c>
      <c r="T340" s="107">
        <f t="shared" si="125"/>
        <v>0</v>
      </c>
      <c r="U340" s="107"/>
      <c r="V340" s="175"/>
      <c r="W340" s="10"/>
      <c r="X340" s="10"/>
      <c r="Y340" t="str">
        <f t="shared" si="124"/>
        <v>1411</v>
      </c>
      <c r="AB340" s="10"/>
      <c r="AC340" s="10"/>
      <c r="AD340" s="10"/>
      <c r="AE340" s="10"/>
      <c r="AF340" s="10"/>
      <c r="AG340" s="10"/>
      <c r="AH340" s="10"/>
      <c r="AI340" s="10"/>
    </row>
    <row r="341" spans="1:35">
      <c r="A341" s="10"/>
      <c r="B341" s="10" t="str">
        <f t="shared" si="119"/>
        <v>Above the LineSHOOT</v>
      </c>
      <c r="C341" t="s">
        <v>7</v>
      </c>
      <c r="D341" t="s">
        <v>19</v>
      </c>
      <c r="E341" t="s">
        <v>236</v>
      </c>
      <c r="G341" t="s">
        <v>2245</v>
      </c>
      <c r="I341" s="10"/>
      <c r="J341" s="107">
        <f>SUMIF(Data!C:C,G341,Data!Q:Q)</f>
        <v>10000</v>
      </c>
      <c r="K341" s="107">
        <f>SUMIF(Comprometidos!A:A,'Cost Report'!G341,Comprometidos!E:E)</f>
        <v>0</v>
      </c>
      <c r="L341" s="107">
        <f t="shared" si="120"/>
        <v>10000</v>
      </c>
      <c r="M341" s="107">
        <f t="shared" si="121"/>
        <v>0</v>
      </c>
      <c r="N341" s="107">
        <f t="shared" si="122"/>
        <v>10000</v>
      </c>
      <c r="O341" s="107">
        <f>VLOOKUP(G341,Budget!$E$3:$G$2474,3,0)</f>
        <v>10000</v>
      </c>
      <c r="P341" s="107">
        <f t="shared" si="123"/>
        <v>0</v>
      </c>
      <c r="Q341" s="107"/>
      <c r="R341" s="10"/>
      <c r="S341" s="107">
        <v>10000</v>
      </c>
      <c r="T341" s="107">
        <f t="shared" si="125"/>
        <v>0</v>
      </c>
      <c r="U341" s="107"/>
      <c r="V341" s="175"/>
      <c r="W341" s="10"/>
      <c r="X341" s="10"/>
      <c r="Y341" t="str">
        <f t="shared" si="124"/>
        <v>1411</v>
      </c>
      <c r="AB341" s="10"/>
      <c r="AC341" s="10"/>
      <c r="AD341" s="10"/>
      <c r="AE341" s="10"/>
      <c r="AF341" s="10"/>
      <c r="AG341" s="10"/>
      <c r="AH341" s="10"/>
      <c r="AI341" s="10"/>
    </row>
    <row r="342" spans="1:35">
      <c r="A342" s="10"/>
      <c r="B342" s="10" t="str">
        <f t="shared" si="119"/>
        <v>Above the LineSHOOT</v>
      </c>
      <c r="C342" t="s">
        <v>7</v>
      </c>
      <c r="D342" t="s">
        <v>19</v>
      </c>
      <c r="E342" t="s">
        <v>236</v>
      </c>
      <c r="G342" t="s">
        <v>2246</v>
      </c>
      <c r="I342" s="10"/>
      <c r="J342" s="107">
        <f>SUMIF(Data!C:C,G342,Data!Q:Q)</f>
        <v>9026</v>
      </c>
      <c r="K342" s="107">
        <f>SUMIF(Comprometidos!A:A,'Cost Report'!G342,Comprometidos!E:E)</f>
        <v>0</v>
      </c>
      <c r="L342" s="107">
        <f t="shared" si="120"/>
        <v>9026</v>
      </c>
      <c r="M342" s="107">
        <v>0</v>
      </c>
      <c r="N342" s="107">
        <f t="shared" si="122"/>
        <v>9026</v>
      </c>
      <c r="O342" s="107">
        <f>VLOOKUP(G342,Budget!$E$3:$G$2474,3,0)</f>
        <v>7922</v>
      </c>
      <c r="P342" s="107">
        <f t="shared" si="123"/>
        <v>-1104</v>
      </c>
      <c r="Q342" s="107"/>
      <c r="R342" s="10"/>
      <c r="S342" s="107">
        <v>9026</v>
      </c>
      <c r="T342" s="107">
        <f t="shared" si="125"/>
        <v>0</v>
      </c>
      <c r="U342" s="107"/>
      <c r="V342" s="175"/>
      <c r="W342" s="10"/>
      <c r="X342" s="10"/>
      <c r="Y342" t="str">
        <f t="shared" si="124"/>
        <v>1411</v>
      </c>
      <c r="AB342" s="10"/>
      <c r="AC342" s="10"/>
      <c r="AD342" s="10"/>
      <c r="AE342" s="10"/>
      <c r="AF342" s="10"/>
      <c r="AG342" s="10"/>
      <c r="AH342" s="10"/>
      <c r="AI342" s="10"/>
    </row>
    <row r="343" spans="1:35">
      <c r="A343" s="10"/>
      <c r="B343" s="10" t="str">
        <f t="shared" si="119"/>
        <v>Above the LineSHOOT</v>
      </c>
      <c r="C343" t="s">
        <v>7</v>
      </c>
      <c r="D343" t="s">
        <v>19</v>
      </c>
      <c r="E343" t="s">
        <v>236</v>
      </c>
      <c r="F343" s="171" t="s">
        <v>355</v>
      </c>
      <c r="G343" t="s">
        <v>2247</v>
      </c>
      <c r="I343" s="10"/>
      <c r="J343" s="107">
        <f>SUMIF(Data!C:C,G343,Data!Q:Q)</f>
        <v>14721.36</v>
      </c>
      <c r="K343" s="107">
        <f>SUMIF(Comprometidos!A:A,'Cost Report'!G343,Comprometidos!E:E)</f>
        <v>0</v>
      </c>
      <c r="L343" s="107">
        <f t="shared" si="120"/>
        <v>14721.36</v>
      </c>
      <c r="M343" s="107">
        <v>0</v>
      </c>
      <c r="N343" s="107">
        <f t="shared" si="122"/>
        <v>14721.36</v>
      </c>
      <c r="O343" s="107">
        <f>VLOOKUP(G343,Budget!$E$3:$G$2474,3,0)</f>
        <v>6564</v>
      </c>
      <c r="P343" s="107">
        <f t="shared" si="123"/>
        <v>-8157.3600000000006</v>
      </c>
      <c r="Q343" s="107"/>
      <c r="R343" s="10"/>
      <c r="S343" s="107">
        <v>14721.36</v>
      </c>
      <c r="T343" s="107">
        <f t="shared" si="125"/>
        <v>0</v>
      </c>
      <c r="U343" s="107"/>
      <c r="V343" s="175"/>
      <c r="W343" s="10"/>
      <c r="X343" s="10"/>
      <c r="Y343" t="str">
        <f t="shared" si="124"/>
        <v>1411</v>
      </c>
      <c r="AB343" s="10"/>
      <c r="AC343" s="10"/>
      <c r="AD343" s="10"/>
      <c r="AE343" s="10"/>
      <c r="AF343" s="10"/>
      <c r="AG343" s="10"/>
      <c r="AH343" s="10"/>
      <c r="AI343" s="10"/>
    </row>
    <row r="344" spans="1:35">
      <c r="A344" s="10"/>
      <c r="B344" s="10" t="str">
        <f t="shared" si="119"/>
        <v>Above the LineSHOOT</v>
      </c>
      <c r="C344" t="s">
        <v>7</v>
      </c>
      <c r="D344" t="s">
        <v>19</v>
      </c>
      <c r="E344" t="s">
        <v>236</v>
      </c>
      <c r="F344" t="s">
        <v>355</v>
      </c>
      <c r="G344" t="s">
        <v>2248</v>
      </c>
      <c r="I344" s="10"/>
      <c r="J344" s="107">
        <f>SUMIF(Data!C:C,G344,Data!Q:Q)</f>
        <v>9846</v>
      </c>
      <c r="K344" s="107">
        <f>SUMIF(Comprometidos!A:A,'Cost Report'!G344,Comprometidos!E:E)</f>
        <v>0</v>
      </c>
      <c r="L344" s="107">
        <f t="shared" si="120"/>
        <v>9846</v>
      </c>
      <c r="M344" s="107">
        <v>0</v>
      </c>
      <c r="N344" s="107">
        <f t="shared" si="122"/>
        <v>9846</v>
      </c>
      <c r="O344" s="107">
        <f>VLOOKUP(G344,Budget!$E$3:$G$2474,3,0)</f>
        <v>0</v>
      </c>
      <c r="P344" s="107">
        <f t="shared" si="123"/>
        <v>-9846</v>
      </c>
      <c r="Q344" s="107"/>
      <c r="R344" s="10"/>
      <c r="S344" s="107">
        <v>9846</v>
      </c>
      <c r="T344" s="107">
        <f t="shared" si="125"/>
        <v>0</v>
      </c>
      <c r="U344" s="107"/>
      <c r="V344" s="175"/>
      <c r="W344" s="10"/>
      <c r="X344" s="10"/>
      <c r="Y344" t="str">
        <f t="shared" si="124"/>
        <v>1411</v>
      </c>
      <c r="AB344" s="10"/>
      <c r="AC344" s="10"/>
      <c r="AD344" s="10"/>
      <c r="AE344" s="10"/>
      <c r="AF344" s="10"/>
      <c r="AG344" s="10"/>
      <c r="AH344" s="10"/>
      <c r="AI344" s="10"/>
    </row>
    <row r="345" spans="1:35">
      <c r="A345" s="10"/>
      <c r="B345" s="10" t="str">
        <f t="shared" si="119"/>
        <v>Above the LineSHOOT</v>
      </c>
      <c r="C345" t="s">
        <v>7</v>
      </c>
      <c r="D345" t="s">
        <v>19</v>
      </c>
      <c r="E345" t="s">
        <v>236</v>
      </c>
      <c r="F345" t="s">
        <v>355</v>
      </c>
      <c r="G345" t="s">
        <v>2249</v>
      </c>
      <c r="I345" s="10"/>
      <c r="J345" s="107">
        <f>SUMIF(Data!C:C,G345,Data!Q:Q)</f>
        <v>0</v>
      </c>
      <c r="K345" s="107">
        <f>SUMIF(Comprometidos!A:A,'Cost Report'!G345,Comprometidos!E:E)</f>
        <v>0</v>
      </c>
      <c r="L345" s="107">
        <f t="shared" si="120"/>
        <v>0</v>
      </c>
      <c r="M345" s="107">
        <v>0</v>
      </c>
      <c r="N345" s="107">
        <f t="shared" si="122"/>
        <v>0</v>
      </c>
      <c r="O345" s="107">
        <f>VLOOKUP(G345,Budget!$E$3:$G$2474,3,0)</f>
        <v>1800</v>
      </c>
      <c r="P345" s="107">
        <f t="shared" si="123"/>
        <v>1800</v>
      </c>
      <c r="Q345" s="107"/>
      <c r="R345" s="10"/>
      <c r="S345" s="107">
        <v>0</v>
      </c>
      <c r="T345" s="107">
        <f t="shared" si="125"/>
        <v>0</v>
      </c>
      <c r="U345" s="107"/>
      <c r="V345" s="175"/>
      <c r="W345" s="10"/>
      <c r="X345" s="10"/>
      <c r="Y345" t="str">
        <f t="shared" si="124"/>
        <v>1411</v>
      </c>
      <c r="AB345" s="10"/>
      <c r="AC345" s="10"/>
      <c r="AD345" s="10"/>
      <c r="AE345" s="10"/>
      <c r="AF345" s="10"/>
      <c r="AG345" s="10"/>
      <c r="AH345" s="10"/>
      <c r="AI345" s="10"/>
    </row>
    <row r="346" spans="1:35">
      <c r="A346" s="10"/>
      <c r="B346" s="10" t="str">
        <f t="shared" si="119"/>
        <v>Above the Line</v>
      </c>
      <c r="C346" t="s">
        <v>7</v>
      </c>
      <c r="D346" t="s">
        <v>19</v>
      </c>
      <c r="E346" t="s">
        <v>214</v>
      </c>
      <c r="G346" t="s">
        <v>2250</v>
      </c>
      <c r="I346" s="10"/>
      <c r="J346" s="107">
        <f>SUMIF(Data!C:C,G346,Data!Q:Q)</f>
        <v>0</v>
      </c>
      <c r="K346" s="107">
        <f>SUMIF(Comprometidos!A:A,'Cost Report'!G346,Comprometidos!E:E)</f>
        <v>0</v>
      </c>
      <c r="L346" s="107">
        <f t="shared" si="120"/>
        <v>0</v>
      </c>
      <c r="M346" s="107">
        <f t="shared" si="121"/>
        <v>0</v>
      </c>
      <c r="N346" s="107">
        <f t="shared" si="122"/>
        <v>0</v>
      </c>
      <c r="O346" s="107">
        <f>VLOOKUP(G346,Budget!$E$3:$G$2474,3,0)</f>
        <v>0</v>
      </c>
      <c r="P346" s="107">
        <f t="shared" si="123"/>
        <v>0</v>
      </c>
      <c r="Q346" s="107"/>
      <c r="R346" s="10"/>
      <c r="S346" s="107">
        <v>0</v>
      </c>
      <c r="T346" s="107">
        <f t="shared" si="125"/>
        <v>0</v>
      </c>
      <c r="U346" s="107"/>
      <c r="V346" s="175"/>
      <c r="W346" s="10"/>
      <c r="X346" s="10"/>
      <c r="Y346" t="str">
        <f t="shared" si="124"/>
        <v>1411</v>
      </c>
      <c r="AB346" s="10"/>
      <c r="AC346" s="10"/>
      <c r="AD346" s="10"/>
      <c r="AE346" s="10"/>
      <c r="AF346" s="10"/>
      <c r="AG346" s="10"/>
      <c r="AH346" s="10"/>
      <c r="AI346" s="10"/>
    </row>
    <row r="347" spans="1:35">
      <c r="A347" s="10"/>
      <c r="B347" s="10" t="str">
        <f t="shared" si="119"/>
        <v>Above the Line</v>
      </c>
      <c r="C347" t="s">
        <v>7</v>
      </c>
      <c r="D347" t="s">
        <v>19</v>
      </c>
      <c r="E347" t="s">
        <v>214</v>
      </c>
      <c r="G347" t="s">
        <v>2251</v>
      </c>
      <c r="I347" s="10"/>
      <c r="J347" s="107">
        <f>SUMIF(Data!C:C,G347,Data!Q:Q)</f>
        <v>0</v>
      </c>
      <c r="K347" s="107">
        <f>SUMIF(Comprometidos!A:A,'Cost Report'!G347,Comprometidos!E:E)</f>
        <v>0</v>
      </c>
      <c r="L347" s="107">
        <f t="shared" si="120"/>
        <v>0</v>
      </c>
      <c r="M347" s="107">
        <f t="shared" si="121"/>
        <v>0</v>
      </c>
      <c r="N347" s="107">
        <f t="shared" si="122"/>
        <v>0</v>
      </c>
      <c r="O347" s="107">
        <f>VLOOKUP(G347,Budget!$E$3:$G$2474,3,0)</f>
        <v>0</v>
      </c>
      <c r="P347" s="107">
        <f t="shared" si="123"/>
        <v>0</v>
      </c>
      <c r="Q347" s="107"/>
      <c r="R347" s="10"/>
      <c r="S347" s="107">
        <v>0</v>
      </c>
      <c r="T347" s="107">
        <f t="shared" si="125"/>
        <v>0</v>
      </c>
      <c r="U347" s="107"/>
      <c r="V347" s="175"/>
      <c r="W347" s="10"/>
      <c r="X347" s="10"/>
      <c r="Y347" t="str">
        <f t="shared" si="124"/>
        <v>1411</v>
      </c>
      <c r="AB347" s="10"/>
      <c r="AC347" s="10"/>
      <c r="AD347" s="10"/>
      <c r="AE347" s="10"/>
      <c r="AF347" s="10"/>
      <c r="AG347" s="10"/>
      <c r="AH347" s="10"/>
      <c r="AI347" s="10"/>
    </row>
    <row r="348" spans="1:35">
      <c r="A348" s="10"/>
      <c r="B348" s="10" t="str">
        <f t="shared" si="119"/>
        <v>Above the LinePREP</v>
      </c>
      <c r="C348" t="s">
        <v>7</v>
      </c>
      <c r="D348" t="s">
        <v>19</v>
      </c>
      <c r="E348" t="s">
        <v>234</v>
      </c>
      <c r="F348" t="s">
        <v>5396</v>
      </c>
      <c r="G348" t="s">
        <v>2252</v>
      </c>
      <c r="I348" s="10"/>
      <c r="J348" s="107">
        <f>SUMIF(Data!C:C,G348,Data!Q:Q)</f>
        <v>12244</v>
      </c>
      <c r="K348" s="107">
        <f>SUMIF(Comprometidos!A:A,'Cost Report'!G348,Comprometidos!E:E)</f>
        <v>0</v>
      </c>
      <c r="L348" s="107">
        <f t="shared" si="120"/>
        <v>12244</v>
      </c>
      <c r="M348" s="107">
        <v>0</v>
      </c>
      <c r="N348" s="107">
        <f t="shared" si="122"/>
        <v>12244</v>
      </c>
      <c r="O348" s="107">
        <f>VLOOKUP(G348,Budget!$E$3:$G$2474,3,0)</f>
        <v>14000</v>
      </c>
      <c r="P348" s="107">
        <f t="shared" si="123"/>
        <v>1756</v>
      </c>
      <c r="Q348" s="107"/>
      <c r="R348" s="10"/>
      <c r="S348" s="107">
        <v>12244</v>
      </c>
      <c r="T348" s="107">
        <f t="shared" si="125"/>
        <v>0</v>
      </c>
      <c r="U348" s="107"/>
      <c r="V348" s="175"/>
      <c r="W348" s="10"/>
      <c r="X348" s="10"/>
      <c r="Y348" t="str">
        <f t="shared" si="124"/>
        <v>1411</v>
      </c>
      <c r="AB348" s="10"/>
      <c r="AC348" s="10"/>
      <c r="AD348" s="10"/>
      <c r="AE348" s="10"/>
      <c r="AF348" s="10"/>
      <c r="AG348" s="10"/>
      <c r="AH348" s="10"/>
      <c r="AI348" s="10"/>
    </row>
    <row r="349" spans="1:35">
      <c r="A349" s="10"/>
      <c r="B349" s="10" t="str">
        <f t="shared" si="119"/>
        <v>Above the LineSHOOT</v>
      </c>
      <c r="C349" t="s">
        <v>7</v>
      </c>
      <c r="D349" t="s">
        <v>19</v>
      </c>
      <c r="E349" t="s">
        <v>236</v>
      </c>
      <c r="F349" t="s">
        <v>5396</v>
      </c>
      <c r="G349" t="s">
        <v>2253</v>
      </c>
      <c r="I349" s="10"/>
      <c r="J349" s="107">
        <f>SUMIF(Data!C:C,G349,Data!Q:Q)</f>
        <v>0</v>
      </c>
      <c r="K349" s="107">
        <f>SUMIF(Comprometidos!A:A,'Cost Report'!G349,Comprometidos!E:E)</f>
        <v>0</v>
      </c>
      <c r="L349" s="107">
        <f t="shared" si="120"/>
        <v>0</v>
      </c>
      <c r="M349" s="107">
        <v>0</v>
      </c>
      <c r="N349" s="107">
        <f t="shared" si="122"/>
        <v>0</v>
      </c>
      <c r="O349" s="107">
        <f>VLOOKUP(G349,Budget!$E$3:$G$2474,3,0)</f>
        <v>1844</v>
      </c>
      <c r="P349" s="107">
        <f t="shared" si="123"/>
        <v>1844</v>
      </c>
      <c r="Q349" s="107"/>
      <c r="R349" s="10"/>
      <c r="S349" s="107">
        <v>0</v>
      </c>
      <c r="T349" s="107">
        <f t="shared" si="125"/>
        <v>0</v>
      </c>
      <c r="U349" s="107"/>
      <c r="V349" s="175"/>
      <c r="W349" s="10"/>
      <c r="X349" s="10"/>
      <c r="Y349" t="str">
        <f t="shared" si="124"/>
        <v>1411</v>
      </c>
      <c r="AB349" s="10"/>
      <c r="AC349" s="10"/>
      <c r="AD349" s="10"/>
      <c r="AE349" s="10"/>
      <c r="AF349" s="10"/>
      <c r="AG349" s="10"/>
      <c r="AH349" s="10"/>
      <c r="AI349" s="10"/>
    </row>
    <row r="350" spans="1:35">
      <c r="A350" s="10"/>
      <c r="B350" s="10" t="str">
        <f t="shared" si="119"/>
        <v>Above the LineSHOOT</v>
      </c>
      <c r="C350" t="s">
        <v>7</v>
      </c>
      <c r="D350" t="s">
        <v>19</v>
      </c>
      <c r="E350" t="s">
        <v>236</v>
      </c>
      <c r="F350" s="171" t="s">
        <v>355</v>
      </c>
      <c r="G350" t="s">
        <v>2254</v>
      </c>
      <c r="I350" s="10"/>
      <c r="J350" s="107">
        <f>SUMIF(Data!C:C,G350,Data!Q:Q)</f>
        <v>0</v>
      </c>
      <c r="K350" s="107">
        <f>SUMIF(Comprometidos!A:A,'Cost Report'!G350,Comprometidos!E:E)</f>
        <v>0</v>
      </c>
      <c r="L350" s="107">
        <f t="shared" si="120"/>
        <v>0</v>
      </c>
      <c r="M350" s="107">
        <v>0</v>
      </c>
      <c r="N350" s="107">
        <f t="shared" si="122"/>
        <v>0</v>
      </c>
      <c r="O350" s="107">
        <f>VLOOKUP(G350,Budget!$E$3:$G$2474,3,0)</f>
        <v>13128</v>
      </c>
      <c r="P350" s="107">
        <f t="shared" si="123"/>
        <v>13128</v>
      </c>
      <c r="Q350" s="107"/>
      <c r="R350" s="10"/>
      <c r="S350" s="107">
        <v>0</v>
      </c>
      <c r="T350" s="107">
        <f t="shared" si="125"/>
        <v>0</v>
      </c>
      <c r="U350" s="107"/>
      <c r="V350" s="175"/>
      <c r="W350" s="10"/>
      <c r="X350" s="10"/>
      <c r="Y350" t="str">
        <f t="shared" si="124"/>
        <v>1411</v>
      </c>
      <c r="AB350" s="10"/>
      <c r="AC350" s="10"/>
      <c r="AD350" s="10"/>
      <c r="AE350" s="10"/>
      <c r="AF350" s="10"/>
      <c r="AG350" s="10"/>
      <c r="AH350" s="10"/>
      <c r="AI350" s="10"/>
    </row>
    <row r="351" spans="1:35">
      <c r="A351" s="10"/>
      <c r="B351" s="10" t="str">
        <f t="shared" si="119"/>
        <v>Above the LineSHOOT</v>
      </c>
      <c r="C351" t="s">
        <v>7</v>
      </c>
      <c r="D351" t="s">
        <v>19</v>
      </c>
      <c r="E351" t="s">
        <v>236</v>
      </c>
      <c r="G351" t="s">
        <v>2255</v>
      </c>
      <c r="I351" s="10"/>
      <c r="J351" s="107">
        <f>SUMIF(Data!C:C,G351,Data!Q:Q)</f>
        <v>0</v>
      </c>
      <c r="K351" s="107">
        <f>SUMIF(Comprometidos!A:A,'Cost Report'!G351,Comprometidos!E:E)</f>
        <v>0</v>
      </c>
      <c r="L351" s="107">
        <f t="shared" si="120"/>
        <v>0</v>
      </c>
      <c r="M351" s="107">
        <f t="shared" si="121"/>
        <v>0</v>
      </c>
      <c r="N351" s="107">
        <f t="shared" si="122"/>
        <v>0</v>
      </c>
      <c r="O351" s="107">
        <f>VLOOKUP(G351,Budget!$E$3:$G$2474,3,0)</f>
        <v>0</v>
      </c>
      <c r="P351" s="107">
        <f t="shared" si="123"/>
        <v>0</v>
      </c>
      <c r="Q351" s="107"/>
      <c r="R351" s="10"/>
      <c r="S351" s="107">
        <v>0</v>
      </c>
      <c r="T351" s="107">
        <f t="shared" si="125"/>
        <v>0</v>
      </c>
      <c r="U351" s="107"/>
      <c r="V351" s="175"/>
      <c r="W351" s="10"/>
      <c r="X351" s="10"/>
      <c r="Y351" t="str">
        <f t="shared" si="124"/>
        <v>1411</v>
      </c>
      <c r="AB351" s="10"/>
      <c r="AC351" s="10"/>
      <c r="AD351" s="10"/>
      <c r="AE351" s="10"/>
      <c r="AF351" s="10"/>
      <c r="AG351" s="10"/>
      <c r="AH351" s="10"/>
      <c r="AI351" s="10"/>
    </row>
    <row r="352" spans="1:35">
      <c r="A352" s="10"/>
      <c r="B352" s="10" t="str">
        <f t="shared" si="119"/>
        <v>Above the LineSHOOT</v>
      </c>
      <c r="C352" t="s">
        <v>7</v>
      </c>
      <c r="D352" t="s">
        <v>19</v>
      </c>
      <c r="E352" t="s">
        <v>236</v>
      </c>
      <c r="G352" t="s">
        <v>2256</v>
      </c>
      <c r="I352" s="10"/>
      <c r="J352" s="107">
        <f>SUMIF(Data!C:C,G352,Data!Q:Q)</f>
        <v>0</v>
      </c>
      <c r="K352" s="107">
        <f>SUMIF(Comprometidos!A:A,'Cost Report'!G352,Comprometidos!E:E)</f>
        <v>0</v>
      </c>
      <c r="L352" s="107">
        <f t="shared" si="120"/>
        <v>0</v>
      </c>
      <c r="M352" s="107">
        <f t="shared" si="121"/>
        <v>0</v>
      </c>
      <c r="N352" s="107">
        <f t="shared" si="122"/>
        <v>0</v>
      </c>
      <c r="O352" s="107">
        <f>VLOOKUP(G352,Budget!$E$3:$G$2474,3,0)</f>
        <v>0</v>
      </c>
      <c r="P352" s="107">
        <f t="shared" si="123"/>
        <v>0</v>
      </c>
      <c r="Q352" s="107"/>
      <c r="R352" s="10"/>
      <c r="S352" s="107">
        <v>0</v>
      </c>
      <c r="T352" s="107">
        <f t="shared" si="125"/>
        <v>0</v>
      </c>
      <c r="U352" s="107"/>
      <c r="V352" s="175"/>
      <c r="W352" s="10"/>
      <c r="X352" s="10"/>
      <c r="Y352" t="str">
        <f t="shared" si="124"/>
        <v>1411</v>
      </c>
      <c r="AB352" s="10"/>
      <c r="AC352" s="10"/>
      <c r="AD352" s="10"/>
      <c r="AE352" s="10"/>
      <c r="AF352" s="10"/>
      <c r="AG352" s="10"/>
      <c r="AH352" s="10"/>
      <c r="AI352" s="10"/>
    </row>
    <row r="353" spans="1:35">
      <c r="A353" s="10"/>
      <c r="B353" s="10" t="str">
        <f t="shared" si="119"/>
        <v>Above the LineSHOOT</v>
      </c>
      <c r="C353" t="s">
        <v>7</v>
      </c>
      <c r="D353" t="s">
        <v>19</v>
      </c>
      <c r="E353" t="s">
        <v>236</v>
      </c>
      <c r="F353" t="s">
        <v>5396</v>
      </c>
      <c r="G353" t="s">
        <v>2257</v>
      </c>
      <c r="I353" s="10"/>
      <c r="J353" s="107">
        <f>SUMIF(Data!C:C,G353,Data!Q:Q)</f>
        <v>7654</v>
      </c>
      <c r="K353" s="107">
        <f>SUMIF(Comprometidos!A:A,'Cost Report'!G353,Comprometidos!E:E)</f>
        <v>0</v>
      </c>
      <c r="L353" s="107">
        <f t="shared" si="120"/>
        <v>7654</v>
      </c>
      <c r="M353" s="107">
        <v>0</v>
      </c>
      <c r="N353" s="107">
        <f t="shared" si="122"/>
        <v>7654</v>
      </c>
      <c r="O353" s="107">
        <f>VLOOKUP(G353,Budget!$E$3:$G$2474,3,0)</f>
        <v>7922</v>
      </c>
      <c r="P353" s="107">
        <f t="shared" si="123"/>
        <v>268</v>
      </c>
      <c r="Q353" s="107"/>
      <c r="R353" s="10"/>
      <c r="S353" s="107">
        <v>7654</v>
      </c>
      <c r="T353" s="107">
        <f t="shared" si="125"/>
        <v>0</v>
      </c>
      <c r="U353" s="107"/>
      <c r="V353" s="175"/>
      <c r="W353" s="10"/>
      <c r="X353" s="10"/>
      <c r="Y353" t="str">
        <f t="shared" si="124"/>
        <v>1411</v>
      </c>
      <c r="AB353" s="10"/>
      <c r="AC353" s="10"/>
      <c r="AD353" s="10"/>
      <c r="AE353" s="10"/>
      <c r="AF353" s="10"/>
      <c r="AG353" s="10"/>
      <c r="AH353" s="10"/>
      <c r="AI353" s="10"/>
    </row>
    <row r="354" spans="1:35">
      <c r="A354" s="10"/>
      <c r="B354" s="10" t="str">
        <f t="shared" si="119"/>
        <v>Above the LineSHOOT</v>
      </c>
      <c r="C354" t="s">
        <v>7</v>
      </c>
      <c r="D354" t="s">
        <v>19</v>
      </c>
      <c r="E354" t="s">
        <v>236</v>
      </c>
      <c r="F354" s="171" t="s">
        <v>355</v>
      </c>
      <c r="G354" t="s">
        <v>2258</v>
      </c>
      <c r="I354" s="10"/>
      <c r="J354" s="107">
        <f>SUMIF(Data!C:C,G354,Data!Q:Q)</f>
        <v>0</v>
      </c>
      <c r="K354" s="107">
        <f>SUMIF(Comprometidos!A:A,'Cost Report'!G354,Comprometidos!E:E)</f>
        <v>0</v>
      </c>
      <c r="L354" s="107">
        <f t="shared" si="120"/>
        <v>0</v>
      </c>
      <c r="M354" s="107">
        <v>0</v>
      </c>
      <c r="N354" s="107">
        <f t="shared" si="122"/>
        <v>0</v>
      </c>
      <c r="O354" s="107">
        <f>VLOOKUP(G354,Budget!$E$3:$G$2474,3,0)</f>
        <v>6564</v>
      </c>
      <c r="P354" s="107">
        <f t="shared" si="123"/>
        <v>6564</v>
      </c>
      <c r="Q354" s="107"/>
      <c r="R354" s="10"/>
      <c r="S354" s="107">
        <v>0</v>
      </c>
      <c r="T354" s="107">
        <f t="shared" si="125"/>
        <v>0</v>
      </c>
      <c r="U354" s="107"/>
      <c r="V354" s="175"/>
      <c r="W354" s="10"/>
      <c r="X354" s="10"/>
      <c r="Y354" t="str">
        <f t="shared" si="124"/>
        <v>1411</v>
      </c>
      <c r="AB354" s="10"/>
      <c r="AC354" s="10"/>
      <c r="AD354" s="10"/>
      <c r="AE354" s="10"/>
      <c r="AF354" s="10"/>
      <c r="AG354" s="10"/>
      <c r="AH354" s="10"/>
      <c r="AI354" s="10"/>
    </row>
    <row r="355" spans="1:35">
      <c r="A355" s="10"/>
      <c r="B355" s="10" t="str">
        <f t="shared" si="119"/>
        <v>Above the LineSHOOT</v>
      </c>
      <c r="C355" t="s">
        <v>7</v>
      </c>
      <c r="D355" t="s">
        <v>19</v>
      </c>
      <c r="E355" t="s">
        <v>236</v>
      </c>
      <c r="F355" s="171" t="s">
        <v>355</v>
      </c>
      <c r="G355" t="s">
        <v>2259</v>
      </c>
      <c r="I355" s="10"/>
      <c r="J355" s="107">
        <f>SUMIF(Data!C:C,G355,Data!Q:Q)</f>
        <v>0</v>
      </c>
      <c r="K355" s="107">
        <f>SUMIF(Comprometidos!A:A,'Cost Report'!G355,Comprometidos!E:E)</f>
        <v>0</v>
      </c>
      <c r="L355" s="107">
        <f t="shared" si="120"/>
        <v>0</v>
      </c>
      <c r="M355" s="107">
        <f t="shared" si="121"/>
        <v>0</v>
      </c>
      <c r="N355" s="107">
        <f t="shared" si="122"/>
        <v>0</v>
      </c>
      <c r="O355" s="107">
        <f>VLOOKUP(G355,Budget!$E$3:$G$2474,3,0)</f>
        <v>0</v>
      </c>
      <c r="P355" s="107">
        <f t="shared" si="123"/>
        <v>0</v>
      </c>
      <c r="Q355" s="107"/>
      <c r="R355" s="10"/>
      <c r="S355" s="107">
        <v>0</v>
      </c>
      <c r="T355" s="107">
        <f t="shared" si="125"/>
        <v>0</v>
      </c>
      <c r="U355" s="107"/>
      <c r="V355" s="175"/>
      <c r="W355" s="10"/>
      <c r="X355" s="10"/>
      <c r="Y355" t="str">
        <f t="shared" si="124"/>
        <v>1411</v>
      </c>
      <c r="AB355" s="10"/>
      <c r="AC355" s="10"/>
      <c r="AD355" s="10"/>
      <c r="AE355" s="10"/>
      <c r="AF355" s="10"/>
      <c r="AG355" s="10"/>
      <c r="AH355" s="10"/>
      <c r="AI355" s="10"/>
    </row>
    <row r="356" spans="1:35">
      <c r="A356" s="10"/>
      <c r="B356" s="10" t="str">
        <f t="shared" si="119"/>
        <v>Above the LineSHOOT</v>
      </c>
      <c r="C356" t="s">
        <v>7</v>
      </c>
      <c r="D356" t="s">
        <v>19</v>
      </c>
      <c r="E356" t="s">
        <v>236</v>
      </c>
      <c r="F356" t="s">
        <v>355</v>
      </c>
      <c r="G356" t="s">
        <v>2260</v>
      </c>
      <c r="I356" s="10"/>
      <c r="J356" s="107">
        <f>SUMIF(Data!C:C,G356,Data!Q:Q)</f>
        <v>0</v>
      </c>
      <c r="K356" s="107">
        <f>SUMIF(Comprometidos!A:A,'Cost Report'!G356,Comprometidos!E:E)</f>
        <v>0</v>
      </c>
      <c r="L356" s="107">
        <f t="shared" si="120"/>
        <v>0</v>
      </c>
      <c r="M356" s="107">
        <v>0</v>
      </c>
      <c r="N356" s="107">
        <f t="shared" si="122"/>
        <v>0</v>
      </c>
      <c r="O356" s="107">
        <f>VLOOKUP(G356,Budget!$E$3:$G$2474,3,0)</f>
        <v>1200</v>
      </c>
      <c r="P356" s="107">
        <f t="shared" si="123"/>
        <v>1200</v>
      </c>
      <c r="Q356" s="107"/>
      <c r="R356" s="10"/>
      <c r="S356" s="107">
        <v>0</v>
      </c>
      <c r="T356" s="107">
        <f t="shared" si="125"/>
        <v>0</v>
      </c>
      <c r="U356" s="107"/>
      <c r="V356" s="175"/>
      <c r="W356" s="10"/>
      <c r="X356" s="10"/>
      <c r="Y356" t="str">
        <f t="shared" si="124"/>
        <v>1411</v>
      </c>
      <c r="AB356" s="10"/>
      <c r="AC356" s="10"/>
      <c r="AD356" s="10"/>
      <c r="AE356" s="10"/>
      <c r="AF356" s="10"/>
      <c r="AG356" s="10"/>
      <c r="AH356" s="10"/>
      <c r="AI356" s="10"/>
    </row>
    <row r="357" spans="1:35">
      <c r="A357" s="10"/>
      <c r="B357" s="10" t="str">
        <f t="shared" si="119"/>
        <v>Above the Line</v>
      </c>
      <c r="C357" t="s">
        <v>7</v>
      </c>
      <c r="D357" t="s">
        <v>19</v>
      </c>
      <c r="E357" t="s">
        <v>214</v>
      </c>
      <c r="G357" t="s">
        <v>2261</v>
      </c>
      <c r="I357" s="10"/>
      <c r="J357" s="107">
        <f>SUMIF(Data!C:C,G357,Data!Q:Q)</f>
        <v>0</v>
      </c>
      <c r="K357" s="107">
        <f>SUMIF(Comprometidos!A:A,'Cost Report'!G357,Comprometidos!E:E)</f>
        <v>0</v>
      </c>
      <c r="L357" s="107">
        <f t="shared" si="120"/>
        <v>0</v>
      </c>
      <c r="M357" s="107">
        <f t="shared" si="121"/>
        <v>0</v>
      </c>
      <c r="N357" s="107">
        <f t="shared" si="122"/>
        <v>0</v>
      </c>
      <c r="O357" s="107">
        <f>VLOOKUP(G357,Budget!$E$3:$G$2474,3,0)</f>
        <v>0</v>
      </c>
      <c r="P357" s="107">
        <f t="shared" si="123"/>
        <v>0</v>
      </c>
      <c r="Q357" s="107"/>
      <c r="R357" s="10"/>
      <c r="S357" s="107">
        <v>0</v>
      </c>
      <c r="T357" s="107">
        <f t="shared" si="125"/>
        <v>0</v>
      </c>
      <c r="U357" s="107"/>
      <c r="V357" s="175"/>
      <c r="W357" s="10"/>
      <c r="X357" s="10"/>
      <c r="Y357" t="str">
        <f t="shared" si="124"/>
        <v>1411</v>
      </c>
      <c r="AB357" s="10"/>
      <c r="AC357" s="10"/>
      <c r="AD357" s="10"/>
      <c r="AE357" s="10"/>
      <c r="AF357" s="10"/>
      <c r="AG357" s="10"/>
      <c r="AH357" s="10"/>
      <c r="AI357" s="10"/>
    </row>
    <row r="358" spans="1:35">
      <c r="A358" s="10"/>
      <c r="B358" s="10" t="str">
        <f t="shared" si="119"/>
        <v>Above the Line</v>
      </c>
      <c r="C358" t="s">
        <v>7</v>
      </c>
      <c r="D358" t="s">
        <v>19</v>
      </c>
      <c r="E358" t="s">
        <v>214</v>
      </c>
      <c r="G358" t="s">
        <v>2262</v>
      </c>
      <c r="I358" s="10"/>
      <c r="J358" s="107">
        <f>SUMIF(Data!C:C,G358,Data!Q:Q)</f>
        <v>0</v>
      </c>
      <c r="K358" s="107">
        <f>SUMIF(Comprometidos!A:A,'Cost Report'!G358,Comprometidos!E:E)</f>
        <v>0</v>
      </c>
      <c r="L358" s="107">
        <f t="shared" si="120"/>
        <v>0</v>
      </c>
      <c r="M358" s="107">
        <f t="shared" si="121"/>
        <v>0</v>
      </c>
      <c r="N358" s="107">
        <f t="shared" si="122"/>
        <v>0</v>
      </c>
      <c r="O358" s="107">
        <f>VLOOKUP(G358,Budget!$E$3:$G$2474,3,0)</f>
        <v>0</v>
      </c>
      <c r="P358" s="107">
        <f t="shared" si="123"/>
        <v>0</v>
      </c>
      <c r="Q358" s="107"/>
      <c r="R358" s="10"/>
      <c r="S358" s="107">
        <v>0</v>
      </c>
      <c r="T358" s="107">
        <f t="shared" si="125"/>
        <v>0</v>
      </c>
      <c r="U358" s="107"/>
      <c r="V358" s="175"/>
      <c r="W358" s="10"/>
      <c r="X358" s="10"/>
      <c r="Y358" t="str">
        <f t="shared" si="124"/>
        <v>1411</v>
      </c>
      <c r="AB358" s="10"/>
      <c r="AC358" s="10"/>
      <c r="AD358" s="10"/>
      <c r="AE358" s="10"/>
      <c r="AF358" s="10"/>
      <c r="AG358" s="10"/>
      <c r="AH358" s="10"/>
      <c r="AI358" s="10"/>
    </row>
    <row r="359" spans="1:35">
      <c r="A359" s="10"/>
      <c r="B359" s="10" t="str">
        <f t="shared" si="119"/>
        <v>Above the LinePREP</v>
      </c>
      <c r="C359" t="s">
        <v>7</v>
      </c>
      <c r="D359" t="s">
        <v>19</v>
      </c>
      <c r="E359" t="s">
        <v>234</v>
      </c>
      <c r="G359" t="s">
        <v>2263</v>
      </c>
      <c r="I359" s="10"/>
      <c r="J359" s="107">
        <f>SUMIF(Data!C:C,G359,Data!Q:Q)</f>
        <v>0</v>
      </c>
      <c r="K359" s="107">
        <f>SUMIF(Comprometidos!A:A,'Cost Report'!G359,Comprometidos!E:E)</f>
        <v>0</v>
      </c>
      <c r="L359" s="107">
        <f t="shared" si="120"/>
        <v>0</v>
      </c>
      <c r="M359" s="107">
        <v>0</v>
      </c>
      <c r="N359" s="107">
        <f t="shared" si="122"/>
        <v>0</v>
      </c>
      <c r="O359" s="107">
        <f>VLOOKUP(G359,Budget!$E$3:$G$2474,3,0)</f>
        <v>6000</v>
      </c>
      <c r="P359" s="107">
        <f t="shared" si="123"/>
        <v>6000</v>
      </c>
      <c r="Q359" s="107"/>
      <c r="R359" s="10"/>
      <c r="S359" s="107">
        <v>0</v>
      </c>
      <c r="T359" s="107">
        <f t="shared" si="125"/>
        <v>0</v>
      </c>
      <c r="U359" s="107"/>
      <c r="V359" s="175"/>
      <c r="W359" s="10"/>
      <c r="X359" s="10"/>
      <c r="Y359" t="str">
        <f t="shared" si="124"/>
        <v>1411</v>
      </c>
      <c r="AB359" s="10"/>
      <c r="AC359" s="10"/>
      <c r="AD359" s="10"/>
      <c r="AE359" s="10"/>
      <c r="AF359" s="10"/>
      <c r="AG359" s="10"/>
      <c r="AH359" s="10"/>
      <c r="AI359" s="10"/>
    </row>
    <row r="360" spans="1:35">
      <c r="A360" s="10"/>
      <c r="B360" s="10" t="str">
        <f t="shared" si="119"/>
        <v>Above the LineSHOOT</v>
      </c>
      <c r="C360" t="s">
        <v>7</v>
      </c>
      <c r="D360" t="s">
        <v>19</v>
      </c>
      <c r="E360" t="s">
        <v>236</v>
      </c>
      <c r="F360" t="s">
        <v>5396</v>
      </c>
      <c r="G360" t="s">
        <v>2264</v>
      </c>
      <c r="I360" s="10"/>
      <c r="J360" s="107">
        <f>SUMIF(Data!C:C,G360,Data!Q:Q)</f>
        <v>35552</v>
      </c>
      <c r="K360" s="107">
        <f>SUMIF(Comprometidos!A:A,'Cost Report'!G360,Comprometidos!E:E)</f>
        <v>0</v>
      </c>
      <c r="L360" s="107">
        <f t="shared" si="120"/>
        <v>35552</v>
      </c>
      <c r="M360" s="107">
        <v>0</v>
      </c>
      <c r="N360" s="107">
        <f t="shared" si="122"/>
        <v>35552</v>
      </c>
      <c r="O360" s="107">
        <f>VLOOKUP(G360,Budget!$E$3:$G$2474,3,0)</f>
        <v>36000</v>
      </c>
      <c r="P360" s="107">
        <f t="shared" si="123"/>
        <v>448</v>
      </c>
      <c r="Q360" s="107"/>
      <c r="R360" s="10"/>
      <c r="S360" s="107">
        <v>35552</v>
      </c>
      <c r="T360" s="107">
        <f t="shared" si="125"/>
        <v>0</v>
      </c>
      <c r="U360" s="107"/>
      <c r="V360" s="175"/>
      <c r="W360" s="10"/>
      <c r="X360" s="10"/>
      <c r="Y360" t="str">
        <f t="shared" si="124"/>
        <v>1411</v>
      </c>
      <c r="AB360" s="10"/>
      <c r="AC360" s="10"/>
      <c r="AD360" s="10"/>
      <c r="AE360" s="10"/>
      <c r="AF360" s="10"/>
      <c r="AG360" s="10"/>
      <c r="AH360" s="10"/>
      <c r="AI360" s="10"/>
    </row>
    <row r="361" spans="1:35">
      <c r="A361" s="10"/>
      <c r="B361" s="10" t="str">
        <f t="shared" si="119"/>
        <v>Above the LineSHOOT</v>
      </c>
      <c r="C361" t="s">
        <v>7</v>
      </c>
      <c r="D361" t="s">
        <v>19</v>
      </c>
      <c r="E361" t="s">
        <v>236</v>
      </c>
      <c r="F361" t="s">
        <v>355</v>
      </c>
      <c r="G361" t="s">
        <v>2265</v>
      </c>
      <c r="I361" s="10"/>
      <c r="J361" s="107">
        <f>SUMIF(Data!C:C,G361,Data!Q:Q)</f>
        <v>0</v>
      </c>
      <c r="K361" s="107">
        <f>SUMIF(Comprometidos!A:A,'Cost Report'!G361,Comprometidos!E:E)</f>
        <v>0</v>
      </c>
      <c r="L361" s="107">
        <f t="shared" si="120"/>
        <v>0</v>
      </c>
      <c r="M361" s="107">
        <v>0</v>
      </c>
      <c r="N361" s="107">
        <f t="shared" si="122"/>
        <v>0</v>
      </c>
      <c r="O361" s="107">
        <f>VLOOKUP(G361,Budget!$E$3:$G$2474,3,0)</f>
        <v>19692</v>
      </c>
      <c r="P361" s="107">
        <f t="shared" si="123"/>
        <v>19692</v>
      </c>
      <c r="Q361" s="107"/>
      <c r="R361" s="10"/>
      <c r="S361" s="107">
        <v>0</v>
      </c>
      <c r="T361" s="107">
        <f t="shared" si="125"/>
        <v>0</v>
      </c>
      <c r="U361" s="107"/>
      <c r="V361" s="175"/>
      <c r="W361" s="10"/>
      <c r="X361" s="10"/>
      <c r="Y361" t="str">
        <f t="shared" si="124"/>
        <v>1411</v>
      </c>
      <c r="AB361" s="10"/>
      <c r="AC361" s="10"/>
      <c r="AD361" s="10"/>
      <c r="AE361" s="10"/>
      <c r="AF361" s="10"/>
      <c r="AG361" s="10"/>
      <c r="AH361" s="10"/>
      <c r="AI361" s="10"/>
    </row>
    <row r="362" spans="1:35">
      <c r="A362" s="10"/>
      <c r="B362" s="10" t="str">
        <f t="shared" si="119"/>
        <v>Above the Line</v>
      </c>
      <c r="C362" t="s">
        <v>7</v>
      </c>
      <c r="D362" t="s">
        <v>19</v>
      </c>
      <c r="E362" t="s">
        <v>214</v>
      </c>
      <c r="G362" t="s">
        <v>2266</v>
      </c>
      <c r="I362" s="10"/>
      <c r="J362" s="107">
        <f>SUMIF(Data!C:C,G362,Data!Q:Q)</f>
        <v>0</v>
      </c>
      <c r="K362" s="107">
        <f>SUMIF(Comprometidos!A:A,'Cost Report'!G362,Comprometidos!E:E)</f>
        <v>0</v>
      </c>
      <c r="L362" s="107">
        <f t="shared" si="120"/>
        <v>0</v>
      </c>
      <c r="M362" s="107">
        <f t="shared" si="121"/>
        <v>0</v>
      </c>
      <c r="N362" s="107">
        <f t="shared" si="122"/>
        <v>0</v>
      </c>
      <c r="O362" s="107">
        <f>VLOOKUP(G362,Budget!$E$3:$G$2474,3,0)</f>
        <v>0</v>
      </c>
      <c r="P362" s="107">
        <f t="shared" si="123"/>
        <v>0</v>
      </c>
      <c r="Q362" s="107"/>
      <c r="R362" s="10"/>
      <c r="S362" s="107">
        <v>0</v>
      </c>
      <c r="T362" s="107">
        <f t="shared" si="125"/>
        <v>0</v>
      </c>
      <c r="U362" s="107"/>
      <c r="V362" s="175"/>
      <c r="W362" s="10"/>
      <c r="X362" s="10"/>
      <c r="Y362" t="str">
        <f t="shared" si="124"/>
        <v>1411</v>
      </c>
      <c r="AB362" s="10"/>
      <c r="AC362" s="10"/>
      <c r="AD362" s="10"/>
      <c r="AE362" s="10"/>
      <c r="AF362" s="10"/>
      <c r="AG362" s="10"/>
      <c r="AH362" s="10"/>
      <c r="AI362" s="10"/>
    </row>
    <row r="363" spans="1:35">
      <c r="A363" s="10"/>
      <c r="B363" s="10" t="str">
        <f t="shared" si="119"/>
        <v>Above the Line</v>
      </c>
      <c r="C363" t="s">
        <v>7</v>
      </c>
      <c r="D363" t="s">
        <v>19</v>
      </c>
      <c r="E363" t="s">
        <v>214</v>
      </c>
      <c r="G363" t="s">
        <v>2267</v>
      </c>
      <c r="I363" s="10"/>
      <c r="J363" s="107">
        <f>SUMIF(Data!C:C,G363,Data!Q:Q)</f>
        <v>0</v>
      </c>
      <c r="K363" s="107">
        <f>SUMIF(Comprometidos!A:A,'Cost Report'!G363,Comprometidos!E:E)</f>
        <v>0</v>
      </c>
      <c r="L363" s="107">
        <f t="shared" si="120"/>
        <v>0</v>
      </c>
      <c r="M363" s="107">
        <f t="shared" si="121"/>
        <v>0</v>
      </c>
      <c r="N363" s="107">
        <f t="shared" si="122"/>
        <v>0</v>
      </c>
      <c r="O363" s="107">
        <f>VLOOKUP(G363,Budget!$E$3:$G$2474,3,0)</f>
        <v>0</v>
      </c>
      <c r="P363" s="107">
        <f t="shared" si="123"/>
        <v>0</v>
      </c>
      <c r="Q363" s="107"/>
      <c r="R363" s="10"/>
      <c r="S363" s="107">
        <v>0</v>
      </c>
      <c r="T363" s="107">
        <f t="shared" si="125"/>
        <v>0</v>
      </c>
      <c r="U363" s="107"/>
      <c r="V363" s="175"/>
      <c r="W363" s="10"/>
      <c r="X363" s="10"/>
      <c r="Y363" t="str">
        <f t="shared" si="124"/>
        <v>1411</v>
      </c>
      <c r="AB363" s="10"/>
      <c r="AC363" s="10"/>
      <c r="AD363" s="10"/>
      <c r="AE363" s="10"/>
      <c r="AF363" s="10"/>
      <c r="AG363" s="10"/>
      <c r="AH363" s="10"/>
      <c r="AI363" s="10"/>
    </row>
    <row r="364" spans="1:35">
      <c r="A364" s="10"/>
      <c r="B364" s="10" t="str">
        <f t="shared" si="119"/>
        <v>Above the LinePREP</v>
      </c>
      <c r="C364" t="s">
        <v>7</v>
      </c>
      <c r="D364" t="s">
        <v>19</v>
      </c>
      <c r="E364" t="s">
        <v>234</v>
      </c>
      <c r="G364" t="s">
        <v>2268</v>
      </c>
      <c r="I364" s="10"/>
      <c r="J364" s="107">
        <f>SUMIF(Data!C:C,G364,Data!Q:Q)</f>
        <v>0</v>
      </c>
      <c r="K364" s="107">
        <f>SUMIF(Comprometidos!A:A,'Cost Report'!G364,Comprometidos!E:E)</f>
        <v>0</v>
      </c>
      <c r="L364" s="107">
        <f t="shared" si="120"/>
        <v>0</v>
      </c>
      <c r="M364" s="107">
        <v>0</v>
      </c>
      <c r="N364" s="107">
        <f t="shared" si="122"/>
        <v>0</v>
      </c>
      <c r="O364" s="107">
        <f>VLOOKUP(G364,Budget!$E$3:$G$2474,3,0)</f>
        <v>7000</v>
      </c>
      <c r="P364" s="107">
        <f t="shared" si="123"/>
        <v>7000</v>
      </c>
      <c r="Q364" s="107"/>
      <c r="R364" s="10"/>
      <c r="S364" s="107">
        <v>0</v>
      </c>
      <c r="T364" s="107">
        <f t="shared" si="125"/>
        <v>0</v>
      </c>
      <c r="U364" s="107"/>
      <c r="V364" s="175"/>
      <c r="W364" s="10"/>
      <c r="X364" s="10"/>
      <c r="Y364" t="str">
        <f t="shared" si="124"/>
        <v>1411</v>
      </c>
      <c r="AB364" s="10"/>
      <c r="AC364" s="10"/>
      <c r="AD364" s="10"/>
      <c r="AE364" s="10"/>
      <c r="AF364" s="10"/>
      <c r="AG364" s="10"/>
      <c r="AH364" s="10"/>
      <c r="AI364" s="10"/>
    </row>
    <row r="365" spans="1:35">
      <c r="A365" s="10"/>
      <c r="B365" s="10" t="str">
        <f t="shared" si="119"/>
        <v>Above the LineSHOOT</v>
      </c>
      <c r="C365" t="s">
        <v>7</v>
      </c>
      <c r="D365" t="s">
        <v>19</v>
      </c>
      <c r="E365" t="s">
        <v>236</v>
      </c>
      <c r="F365" t="s">
        <v>5396</v>
      </c>
      <c r="G365" t="s">
        <v>2269</v>
      </c>
      <c r="I365" s="10"/>
      <c r="J365" s="107">
        <f>SUMIF(Data!C:C,G365,Data!Q:Q)</f>
        <v>0</v>
      </c>
      <c r="K365" s="107">
        <f>SUMIF(Comprometidos!A:A,'Cost Report'!G365,Comprometidos!E:E)</f>
        <v>0</v>
      </c>
      <c r="L365" s="107">
        <f t="shared" si="120"/>
        <v>0</v>
      </c>
      <c r="M365" s="107">
        <v>0</v>
      </c>
      <c r="N365" s="107">
        <f t="shared" si="122"/>
        <v>0</v>
      </c>
      <c r="O365" s="107">
        <f>VLOOKUP(G365,Budget!$E$3:$G$2474,3,0)</f>
        <v>1844</v>
      </c>
      <c r="P365" s="107">
        <f t="shared" si="123"/>
        <v>1844</v>
      </c>
      <c r="Q365" s="107"/>
      <c r="R365" s="10"/>
      <c r="S365" s="107">
        <v>0</v>
      </c>
      <c r="T365" s="107">
        <f t="shared" si="125"/>
        <v>0</v>
      </c>
      <c r="U365" s="107"/>
      <c r="V365" s="175"/>
      <c r="W365" s="10"/>
      <c r="X365" s="10"/>
      <c r="Y365" t="str">
        <f t="shared" si="124"/>
        <v>1411</v>
      </c>
      <c r="AB365" s="10"/>
      <c r="AC365" s="10"/>
      <c r="AD365" s="10"/>
      <c r="AE365" s="10"/>
      <c r="AF365" s="10"/>
      <c r="AG365" s="10"/>
      <c r="AH365" s="10"/>
      <c r="AI365" s="10"/>
    </row>
    <row r="366" spans="1:35">
      <c r="A366" s="10"/>
      <c r="B366" s="10" t="str">
        <f t="shared" si="119"/>
        <v>Above the LineSHOOT</v>
      </c>
      <c r="C366" t="s">
        <v>7</v>
      </c>
      <c r="D366" t="s">
        <v>19</v>
      </c>
      <c r="E366" t="s">
        <v>236</v>
      </c>
      <c r="F366" s="171" t="s">
        <v>355</v>
      </c>
      <c r="G366" t="s">
        <v>2270</v>
      </c>
      <c r="I366" s="10"/>
      <c r="J366" s="107">
        <f>SUMIF(Data!C:C,G366,Data!Q:Q)</f>
        <v>0</v>
      </c>
      <c r="K366" s="107">
        <f>SUMIF(Comprometidos!A:A,'Cost Report'!G366,Comprometidos!E:E)</f>
        <v>0</v>
      </c>
      <c r="L366" s="107">
        <f t="shared" si="120"/>
        <v>0</v>
      </c>
      <c r="M366" s="107">
        <v>0</v>
      </c>
      <c r="N366" s="107">
        <f t="shared" si="122"/>
        <v>0</v>
      </c>
      <c r="O366" s="107">
        <f>VLOOKUP(G366,Budget!$E$3:$G$2474,3,0)</f>
        <v>12156</v>
      </c>
      <c r="P366" s="107">
        <f t="shared" si="123"/>
        <v>12156</v>
      </c>
      <c r="Q366" s="107"/>
      <c r="R366" s="10"/>
      <c r="S366" s="107">
        <v>0</v>
      </c>
      <c r="T366" s="107">
        <f t="shared" si="125"/>
        <v>0</v>
      </c>
      <c r="U366" s="107"/>
      <c r="V366" s="175"/>
      <c r="W366" s="10"/>
      <c r="X366" s="10"/>
      <c r="Y366" t="str">
        <f t="shared" si="124"/>
        <v>1411</v>
      </c>
      <c r="AB366" s="10"/>
      <c r="AC366" s="10"/>
      <c r="AD366" s="10"/>
      <c r="AE366" s="10"/>
      <c r="AF366" s="10"/>
      <c r="AG366" s="10"/>
      <c r="AH366" s="10"/>
      <c r="AI366" s="10"/>
    </row>
    <row r="367" spans="1:35">
      <c r="A367" s="10"/>
      <c r="B367" s="10" t="str">
        <f t="shared" si="119"/>
        <v>Above the LineSHOOT</v>
      </c>
      <c r="C367" t="s">
        <v>7</v>
      </c>
      <c r="D367" t="s">
        <v>19</v>
      </c>
      <c r="E367" t="s">
        <v>236</v>
      </c>
      <c r="G367" t="s">
        <v>2271</v>
      </c>
      <c r="I367" s="10"/>
      <c r="J367" s="107">
        <f>SUMIF(Data!C:C,G367,Data!Q:Q)</f>
        <v>0</v>
      </c>
      <c r="K367" s="107">
        <f>SUMIF(Comprometidos!A:A,'Cost Report'!G367,Comprometidos!E:E)</f>
        <v>0</v>
      </c>
      <c r="L367" s="107">
        <f t="shared" si="120"/>
        <v>0</v>
      </c>
      <c r="M367" s="107">
        <f t="shared" si="121"/>
        <v>0</v>
      </c>
      <c r="N367" s="107">
        <f t="shared" si="122"/>
        <v>0</v>
      </c>
      <c r="O367" s="107">
        <f>VLOOKUP(G367,Budget!$E$3:$G$2474,3,0)</f>
        <v>0</v>
      </c>
      <c r="P367" s="107">
        <f t="shared" si="123"/>
        <v>0</v>
      </c>
      <c r="Q367" s="107"/>
      <c r="R367" s="10"/>
      <c r="S367" s="107">
        <v>0</v>
      </c>
      <c r="T367" s="107">
        <f t="shared" si="125"/>
        <v>0</v>
      </c>
      <c r="U367" s="107"/>
      <c r="V367" s="175"/>
      <c r="W367" s="10"/>
      <c r="X367" s="10"/>
      <c r="Y367" t="str">
        <f t="shared" si="124"/>
        <v>1411</v>
      </c>
      <c r="AB367" s="10"/>
      <c r="AC367" s="10"/>
      <c r="AD367" s="10"/>
      <c r="AE367" s="10"/>
      <c r="AF367" s="10"/>
      <c r="AG367" s="10"/>
      <c r="AH367" s="10"/>
      <c r="AI367" s="10"/>
    </row>
    <row r="368" spans="1:35">
      <c r="A368" s="10"/>
      <c r="B368" s="10" t="str">
        <f t="shared" si="119"/>
        <v>Above the LineSHOOT</v>
      </c>
      <c r="C368" t="s">
        <v>7</v>
      </c>
      <c r="D368" t="s">
        <v>19</v>
      </c>
      <c r="E368" t="s">
        <v>236</v>
      </c>
      <c r="G368" t="s">
        <v>2272</v>
      </c>
      <c r="I368" s="10"/>
      <c r="J368" s="107">
        <f>SUMIF(Data!C:C,G368,Data!Q:Q)</f>
        <v>0</v>
      </c>
      <c r="K368" s="107">
        <f>SUMIF(Comprometidos!A:A,'Cost Report'!G368,Comprometidos!E:E)</f>
        <v>0</v>
      </c>
      <c r="L368" s="107">
        <f t="shared" si="120"/>
        <v>0</v>
      </c>
      <c r="M368" s="107">
        <f t="shared" si="121"/>
        <v>0</v>
      </c>
      <c r="N368" s="107">
        <f t="shared" si="122"/>
        <v>0</v>
      </c>
      <c r="O368" s="107">
        <f>VLOOKUP(G368,Budget!$E$3:$G$2474,3,0)</f>
        <v>0</v>
      </c>
      <c r="P368" s="107">
        <f t="shared" si="123"/>
        <v>0</v>
      </c>
      <c r="Q368" s="107"/>
      <c r="R368" s="10"/>
      <c r="S368" s="107">
        <v>0</v>
      </c>
      <c r="T368" s="107">
        <f t="shared" si="125"/>
        <v>0</v>
      </c>
      <c r="U368" s="107"/>
      <c r="V368" s="175"/>
      <c r="W368" s="10"/>
      <c r="X368" s="10"/>
      <c r="Y368" t="str">
        <f t="shared" si="124"/>
        <v>1411</v>
      </c>
      <c r="AB368" s="10"/>
      <c r="AC368" s="10"/>
      <c r="AD368" s="10"/>
      <c r="AE368" s="10"/>
      <c r="AF368" s="10"/>
      <c r="AG368" s="10"/>
      <c r="AH368" s="10"/>
      <c r="AI368" s="10"/>
    </row>
    <row r="369" spans="1:35">
      <c r="A369" s="10"/>
      <c r="B369" s="10" t="str">
        <f t="shared" si="119"/>
        <v>Above the LineSHOOT</v>
      </c>
      <c r="C369" t="s">
        <v>7</v>
      </c>
      <c r="D369" t="s">
        <v>19</v>
      </c>
      <c r="E369" t="s">
        <v>236</v>
      </c>
      <c r="F369" t="s">
        <v>5396</v>
      </c>
      <c r="G369" t="s">
        <v>2273</v>
      </c>
      <c r="I369" s="10"/>
      <c r="J369" s="107">
        <f>SUMIF(Data!C:C,G369,Data!Q:Q)</f>
        <v>4154</v>
      </c>
      <c r="K369" s="107">
        <f>SUMIF(Comprometidos!A:A,'Cost Report'!G369,Comprometidos!E:E)</f>
        <v>0</v>
      </c>
      <c r="L369" s="107">
        <f t="shared" si="120"/>
        <v>4154</v>
      </c>
      <c r="M369" s="107">
        <v>0</v>
      </c>
      <c r="N369" s="107">
        <f t="shared" si="122"/>
        <v>4154</v>
      </c>
      <c r="O369" s="107">
        <f>VLOOKUP(G369,Budget!$E$3:$G$2474,3,0)</f>
        <v>7922</v>
      </c>
      <c r="P369" s="107">
        <f t="shared" si="123"/>
        <v>3768</v>
      </c>
      <c r="Q369" s="107"/>
      <c r="R369" s="10"/>
      <c r="S369" s="107">
        <v>4154</v>
      </c>
      <c r="T369" s="107">
        <f t="shared" si="125"/>
        <v>0</v>
      </c>
      <c r="U369" s="107"/>
      <c r="V369" s="175"/>
      <c r="W369" s="10"/>
      <c r="X369" s="10"/>
      <c r="Y369" t="str">
        <f t="shared" si="124"/>
        <v>1411</v>
      </c>
      <c r="AB369" s="10"/>
      <c r="AC369" s="10"/>
      <c r="AD369" s="10"/>
      <c r="AE369" s="10"/>
      <c r="AF369" s="10"/>
      <c r="AG369" s="10"/>
      <c r="AH369" s="10"/>
      <c r="AI369" s="10"/>
    </row>
    <row r="370" spans="1:35">
      <c r="A370" s="10"/>
      <c r="B370" s="10" t="str">
        <f t="shared" si="119"/>
        <v>Above the LineSHOOT</v>
      </c>
      <c r="C370" t="s">
        <v>7</v>
      </c>
      <c r="D370" t="s">
        <v>19</v>
      </c>
      <c r="E370" t="s">
        <v>236</v>
      </c>
      <c r="F370" s="171" t="s">
        <v>355</v>
      </c>
      <c r="G370" t="s">
        <v>2274</v>
      </c>
      <c r="I370" s="10"/>
      <c r="J370" s="107">
        <f>SUMIF(Data!C:C,G370,Data!Q:Q)</f>
        <v>0</v>
      </c>
      <c r="K370" s="107">
        <f>SUMIF(Comprometidos!A:A,'Cost Report'!G370,Comprometidos!E:E)</f>
        <v>0</v>
      </c>
      <c r="L370" s="107">
        <f t="shared" si="120"/>
        <v>0</v>
      </c>
      <c r="M370" s="107">
        <v>0</v>
      </c>
      <c r="N370" s="107">
        <f t="shared" si="122"/>
        <v>0</v>
      </c>
      <c r="O370" s="107">
        <f>VLOOKUP(G370,Budget!$E$3:$G$2474,3,0)</f>
        <v>6078</v>
      </c>
      <c r="P370" s="107">
        <f t="shared" si="123"/>
        <v>6078</v>
      </c>
      <c r="Q370" s="107"/>
      <c r="R370" s="10"/>
      <c r="S370" s="107">
        <v>0</v>
      </c>
      <c r="T370" s="107">
        <f t="shared" si="125"/>
        <v>0</v>
      </c>
      <c r="U370" s="107"/>
      <c r="V370" s="175"/>
      <c r="W370" s="10"/>
      <c r="X370" s="10"/>
      <c r="Y370" t="str">
        <f t="shared" si="124"/>
        <v>1411</v>
      </c>
      <c r="AB370" s="10"/>
      <c r="AC370" s="10"/>
      <c r="AD370" s="10"/>
      <c r="AE370" s="10"/>
      <c r="AF370" s="10"/>
      <c r="AG370" s="10"/>
      <c r="AH370" s="10"/>
      <c r="AI370" s="10"/>
    </row>
    <row r="371" spans="1:35">
      <c r="A371" s="10"/>
      <c r="B371" s="10" t="str">
        <f t="shared" si="119"/>
        <v>Above the LineSHOOT</v>
      </c>
      <c r="C371" t="s">
        <v>7</v>
      </c>
      <c r="D371" t="s">
        <v>19</v>
      </c>
      <c r="E371" t="s">
        <v>236</v>
      </c>
      <c r="F371" s="171" t="s">
        <v>355</v>
      </c>
      <c r="G371" t="s">
        <v>2275</v>
      </c>
      <c r="I371" s="10"/>
      <c r="J371" s="107">
        <f>SUMIF(Data!C:C,G371,Data!Q:Q)</f>
        <v>0</v>
      </c>
      <c r="K371" s="107">
        <f>SUMIF(Comprometidos!A:A,'Cost Report'!G371,Comprometidos!E:E)</f>
        <v>0</v>
      </c>
      <c r="L371" s="107">
        <f t="shared" si="120"/>
        <v>0</v>
      </c>
      <c r="M371" s="107">
        <v>0</v>
      </c>
      <c r="N371" s="107">
        <f t="shared" si="122"/>
        <v>0</v>
      </c>
      <c r="O371" s="107">
        <f>VLOOKUP(G371,Budget!$E$3:$G$2474,3,0)</f>
        <v>6078</v>
      </c>
      <c r="P371" s="107">
        <f t="shared" si="123"/>
        <v>6078</v>
      </c>
      <c r="Q371" s="107"/>
      <c r="R371" s="10"/>
      <c r="S371" s="107">
        <v>0</v>
      </c>
      <c r="T371" s="107">
        <f t="shared" si="125"/>
        <v>0</v>
      </c>
      <c r="U371" s="107"/>
      <c r="V371" s="175"/>
      <c r="W371" s="10"/>
      <c r="X371" s="10"/>
      <c r="Y371" t="str">
        <f t="shared" si="124"/>
        <v>1411</v>
      </c>
      <c r="AB371" s="10"/>
      <c r="AC371" s="10"/>
      <c r="AD371" s="10"/>
      <c r="AE371" s="10"/>
      <c r="AF371" s="10"/>
      <c r="AG371" s="10"/>
      <c r="AH371" s="10"/>
      <c r="AI371" s="10"/>
    </row>
    <row r="372" spans="1:35">
      <c r="A372" s="10"/>
      <c r="B372" s="10" t="str">
        <f t="shared" si="119"/>
        <v>Above the LineSHOOT</v>
      </c>
      <c r="C372" t="s">
        <v>7</v>
      </c>
      <c r="D372" t="s">
        <v>19</v>
      </c>
      <c r="E372" t="s">
        <v>236</v>
      </c>
      <c r="F372" t="s">
        <v>355</v>
      </c>
      <c r="G372" t="s">
        <v>2276</v>
      </c>
      <c r="I372" s="10"/>
      <c r="J372" s="107">
        <f>SUMIF(Data!C:C,G372,Data!Q:Q)</f>
        <v>0</v>
      </c>
      <c r="K372" s="107">
        <f>SUMIF(Comprometidos!A:A,'Cost Report'!G372,Comprometidos!E:E)</f>
        <v>0</v>
      </c>
      <c r="L372" s="107">
        <f t="shared" si="120"/>
        <v>0</v>
      </c>
      <c r="M372" s="107">
        <v>0</v>
      </c>
      <c r="N372" s="107">
        <f t="shared" si="122"/>
        <v>0</v>
      </c>
      <c r="O372" s="107">
        <f>VLOOKUP(G372,Budget!$E$3:$G$2474,3,0)</f>
        <v>900</v>
      </c>
      <c r="P372" s="107">
        <f t="shared" si="123"/>
        <v>900</v>
      </c>
      <c r="Q372" s="107"/>
      <c r="R372" s="10"/>
      <c r="S372" s="107">
        <v>0</v>
      </c>
      <c r="T372" s="107">
        <f t="shared" si="125"/>
        <v>0</v>
      </c>
      <c r="U372" s="107"/>
      <c r="V372" s="175"/>
      <c r="W372" s="10"/>
      <c r="X372" s="10"/>
      <c r="Y372" t="str">
        <f t="shared" si="124"/>
        <v>1411</v>
      </c>
      <c r="AB372" s="10"/>
      <c r="AC372" s="10"/>
      <c r="AD372" s="10"/>
      <c r="AE372" s="10"/>
      <c r="AF372" s="10"/>
      <c r="AG372" s="10"/>
      <c r="AH372" s="10"/>
      <c r="AI372" s="10"/>
    </row>
    <row r="373" spans="1:35">
      <c r="A373" s="10"/>
      <c r="B373" s="10" t="str">
        <f t="shared" si="119"/>
        <v>Above the Line</v>
      </c>
      <c r="C373" t="s">
        <v>7</v>
      </c>
      <c r="D373" t="s">
        <v>19</v>
      </c>
      <c r="E373" t="s">
        <v>214</v>
      </c>
      <c r="G373" t="s">
        <v>2277</v>
      </c>
      <c r="I373" s="10"/>
      <c r="J373" s="107">
        <f>SUMIF(Data!C:C,G373,Data!Q:Q)</f>
        <v>0</v>
      </c>
      <c r="K373" s="107">
        <f>SUMIF(Comprometidos!A:A,'Cost Report'!G373,Comprometidos!E:E)</f>
        <v>0</v>
      </c>
      <c r="L373" s="107">
        <f t="shared" si="120"/>
        <v>0</v>
      </c>
      <c r="M373" s="107">
        <f t="shared" si="121"/>
        <v>0</v>
      </c>
      <c r="N373" s="107">
        <f t="shared" si="122"/>
        <v>0</v>
      </c>
      <c r="O373" s="107">
        <f>VLOOKUP(G373,Budget!$E$3:$G$2474,3,0)</f>
        <v>0</v>
      </c>
      <c r="P373" s="107">
        <f t="shared" si="123"/>
        <v>0</v>
      </c>
      <c r="Q373" s="107"/>
      <c r="R373" s="10"/>
      <c r="S373" s="107">
        <v>0</v>
      </c>
      <c r="T373" s="107">
        <f t="shared" si="125"/>
        <v>0</v>
      </c>
      <c r="U373" s="107"/>
      <c r="V373" s="175"/>
      <c r="W373" s="10"/>
      <c r="X373" s="10"/>
      <c r="Y373" t="str">
        <f t="shared" si="124"/>
        <v>1411</v>
      </c>
      <c r="AB373" s="10"/>
      <c r="AC373" s="10"/>
      <c r="AD373" s="10"/>
      <c r="AE373" s="10"/>
      <c r="AF373" s="10"/>
      <c r="AG373" s="10"/>
      <c r="AH373" s="10"/>
      <c r="AI373" s="10"/>
    </row>
    <row r="374" spans="1:35">
      <c r="A374" s="10"/>
      <c r="B374" s="10" t="str">
        <f t="shared" si="119"/>
        <v>Above the Line</v>
      </c>
      <c r="C374" t="s">
        <v>7</v>
      </c>
      <c r="D374" t="s">
        <v>19</v>
      </c>
      <c r="E374" t="s">
        <v>214</v>
      </c>
      <c r="G374" t="s">
        <v>2278</v>
      </c>
      <c r="I374" s="10"/>
      <c r="J374" s="107">
        <f>SUMIF(Data!C:C,G374,Data!Q:Q)</f>
        <v>0</v>
      </c>
      <c r="K374" s="107">
        <f>SUMIF(Comprometidos!A:A,'Cost Report'!G374,Comprometidos!E:E)</f>
        <v>0</v>
      </c>
      <c r="L374" s="107">
        <f t="shared" si="120"/>
        <v>0</v>
      </c>
      <c r="M374" s="107">
        <f t="shared" si="121"/>
        <v>0</v>
      </c>
      <c r="N374" s="107">
        <f t="shared" si="122"/>
        <v>0</v>
      </c>
      <c r="O374" s="107">
        <f>VLOOKUP(G374,Budget!$E$3:$G$2474,3,0)</f>
        <v>0</v>
      </c>
      <c r="P374" s="107">
        <f t="shared" si="123"/>
        <v>0</v>
      </c>
      <c r="Q374" s="107"/>
      <c r="R374" s="10"/>
      <c r="S374" s="107">
        <v>0</v>
      </c>
      <c r="T374" s="107">
        <f t="shared" si="125"/>
        <v>0</v>
      </c>
      <c r="U374" s="107"/>
      <c r="V374" s="175"/>
      <c r="W374" s="10"/>
      <c r="X374" s="10"/>
      <c r="Y374" t="str">
        <f t="shared" si="124"/>
        <v>1411</v>
      </c>
      <c r="AB374" s="10"/>
      <c r="AC374" s="10"/>
      <c r="AD374" s="10"/>
      <c r="AE374" s="10"/>
      <c r="AF374" s="10"/>
      <c r="AG374" s="10"/>
      <c r="AH374" s="10"/>
      <c r="AI374" s="10"/>
    </row>
    <row r="375" spans="1:35">
      <c r="A375" s="10"/>
      <c r="B375" s="10" t="str">
        <f t="shared" si="119"/>
        <v>Above the LinePREP</v>
      </c>
      <c r="C375" t="s">
        <v>7</v>
      </c>
      <c r="D375" t="s">
        <v>19</v>
      </c>
      <c r="E375" t="s">
        <v>234</v>
      </c>
      <c r="G375" t="s">
        <v>2279</v>
      </c>
      <c r="I375" s="10"/>
      <c r="J375" s="107">
        <f>SUMIF(Data!C:C,G375,Data!Q:Q)</f>
        <v>0</v>
      </c>
      <c r="K375" s="107">
        <f>SUMIF(Comprometidos!A:A,'Cost Report'!G375,Comprometidos!E:E)</f>
        <v>0</v>
      </c>
      <c r="L375" s="107">
        <f t="shared" si="120"/>
        <v>0</v>
      </c>
      <c r="M375" s="107">
        <v>0</v>
      </c>
      <c r="N375" s="107">
        <f t="shared" si="122"/>
        <v>0</v>
      </c>
      <c r="O375" s="107">
        <f>VLOOKUP(G375,Budget!$E$3:$G$2474,3,0)</f>
        <v>7000</v>
      </c>
      <c r="P375" s="107">
        <f t="shared" si="123"/>
        <v>7000</v>
      </c>
      <c r="Q375" s="107"/>
      <c r="R375" s="10"/>
      <c r="S375" s="107">
        <v>0</v>
      </c>
      <c r="T375" s="107">
        <f t="shared" si="125"/>
        <v>0</v>
      </c>
      <c r="U375" s="107"/>
      <c r="V375" s="175"/>
      <c r="W375" s="10"/>
      <c r="X375" s="10"/>
      <c r="Y375" t="str">
        <f t="shared" si="124"/>
        <v>1411</v>
      </c>
      <c r="AB375" s="10"/>
      <c r="AC375" s="10"/>
      <c r="AD375" s="10"/>
      <c r="AE375" s="10"/>
      <c r="AF375" s="10"/>
      <c r="AG375" s="10"/>
      <c r="AH375" s="10"/>
      <c r="AI375" s="10"/>
    </row>
    <row r="376" spans="1:35">
      <c r="A376" s="10"/>
      <c r="B376" s="10" t="str">
        <f t="shared" si="119"/>
        <v>Above the LineSHOOT</v>
      </c>
      <c r="C376" t="s">
        <v>7</v>
      </c>
      <c r="D376" t="s">
        <v>19</v>
      </c>
      <c r="E376" t="s">
        <v>236</v>
      </c>
      <c r="F376" t="s">
        <v>5396</v>
      </c>
      <c r="G376" t="s">
        <v>2280</v>
      </c>
      <c r="I376" s="10"/>
      <c r="J376" s="107">
        <f>SUMIF(Data!C:C,G376,Data!Q:Q)</f>
        <v>0</v>
      </c>
      <c r="K376" s="107">
        <f>SUMIF(Comprometidos!A:A,'Cost Report'!G376,Comprometidos!E:E)</f>
        <v>0</v>
      </c>
      <c r="L376" s="107">
        <f t="shared" si="120"/>
        <v>0</v>
      </c>
      <c r="M376" s="107">
        <v>0</v>
      </c>
      <c r="N376" s="107">
        <f t="shared" si="122"/>
        <v>0</v>
      </c>
      <c r="O376" s="107">
        <f>VLOOKUP(G376,Budget!$E$3:$G$2474,3,0)</f>
        <v>1844</v>
      </c>
      <c r="P376" s="107">
        <f t="shared" si="123"/>
        <v>1844</v>
      </c>
      <c r="Q376" s="107"/>
      <c r="R376" s="10"/>
      <c r="S376" s="107">
        <v>0</v>
      </c>
      <c r="T376" s="107">
        <f t="shared" si="125"/>
        <v>0</v>
      </c>
      <c r="U376" s="107"/>
      <c r="V376" s="175"/>
      <c r="W376" s="10"/>
      <c r="X376" s="10"/>
      <c r="Y376" t="str">
        <f t="shared" si="124"/>
        <v>1411</v>
      </c>
      <c r="AB376" s="10"/>
      <c r="AC376" s="10"/>
      <c r="AD376" s="10"/>
      <c r="AE376" s="10"/>
      <c r="AF376" s="10"/>
      <c r="AG376" s="10"/>
      <c r="AH376" s="10"/>
      <c r="AI376" s="10"/>
    </row>
    <row r="377" spans="1:35">
      <c r="A377" s="10"/>
      <c r="B377" s="10" t="str">
        <f t="shared" si="119"/>
        <v>Above the LineSHOOT</v>
      </c>
      <c r="C377" t="s">
        <v>7</v>
      </c>
      <c r="D377" t="s">
        <v>19</v>
      </c>
      <c r="E377" t="s">
        <v>236</v>
      </c>
      <c r="F377" s="171" t="s">
        <v>355</v>
      </c>
      <c r="G377" t="s">
        <v>2281</v>
      </c>
      <c r="I377" s="10"/>
      <c r="J377" s="107">
        <f>SUMIF(Data!C:C,G377,Data!Q:Q)</f>
        <v>0</v>
      </c>
      <c r="K377" s="107">
        <f>SUMIF(Comprometidos!A:A,'Cost Report'!G377,Comprometidos!E:E)</f>
        <v>0</v>
      </c>
      <c r="L377" s="107">
        <f t="shared" si="120"/>
        <v>0</v>
      </c>
      <c r="M377" s="107">
        <v>0</v>
      </c>
      <c r="N377" s="107">
        <f t="shared" si="122"/>
        <v>0</v>
      </c>
      <c r="O377" s="107">
        <f>VLOOKUP(G377,Budget!$E$3:$G$2474,3,0)</f>
        <v>12156</v>
      </c>
      <c r="P377" s="107">
        <f t="shared" si="123"/>
        <v>12156</v>
      </c>
      <c r="Q377" s="107"/>
      <c r="R377" s="10"/>
      <c r="S377" s="107">
        <v>0</v>
      </c>
      <c r="T377" s="107">
        <f t="shared" si="125"/>
        <v>0</v>
      </c>
      <c r="U377" s="107"/>
      <c r="V377" s="175"/>
      <c r="W377" s="10"/>
      <c r="X377" s="10"/>
      <c r="Y377" t="str">
        <f t="shared" si="124"/>
        <v>1411</v>
      </c>
      <c r="AB377" s="10"/>
      <c r="AC377" s="10"/>
      <c r="AD377" s="10"/>
      <c r="AE377" s="10"/>
      <c r="AF377" s="10"/>
      <c r="AG377" s="10"/>
      <c r="AH377" s="10"/>
      <c r="AI377" s="10"/>
    </row>
    <row r="378" spans="1:35">
      <c r="A378" s="10"/>
      <c r="B378" s="10" t="str">
        <f t="shared" si="119"/>
        <v>Above the LineSHOOT</v>
      </c>
      <c r="C378" t="s">
        <v>7</v>
      </c>
      <c r="D378" t="s">
        <v>19</v>
      </c>
      <c r="E378" t="s">
        <v>236</v>
      </c>
      <c r="G378" t="s">
        <v>2282</v>
      </c>
      <c r="I378" s="10"/>
      <c r="J378" s="107">
        <f>SUMIF(Data!C:C,G378,Data!Q:Q)</f>
        <v>0</v>
      </c>
      <c r="K378" s="107">
        <f>SUMIF(Comprometidos!A:A,'Cost Report'!G378,Comprometidos!E:E)</f>
        <v>0</v>
      </c>
      <c r="L378" s="107">
        <f t="shared" si="120"/>
        <v>0</v>
      </c>
      <c r="M378" s="107">
        <f t="shared" si="121"/>
        <v>0</v>
      </c>
      <c r="N378" s="107">
        <f t="shared" si="122"/>
        <v>0</v>
      </c>
      <c r="O378" s="107">
        <f>VLOOKUP(G378,Budget!$E$3:$G$2474,3,0)</f>
        <v>0</v>
      </c>
      <c r="P378" s="107">
        <f t="shared" si="123"/>
        <v>0</v>
      </c>
      <c r="Q378" s="107"/>
      <c r="R378" s="10"/>
      <c r="S378" s="107">
        <v>0</v>
      </c>
      <c r="T378" s="107">
        <f t="shared" si="125"/>
        <v>0</v>
      </c>
      <c r="U378" s="107"/>
      <c r="V378" s="175"/>
      <c r="W378" s="10"/>
      <c r="X378" s="10"/>
      <c r="Y378" t="str">
        <f t="shared" si="124"/>
        <v>1411</v>
      </c>
      <c r="AB378" s="10"/>
      <c r="AC378" s="10"/>
      <c r="AD378" s="10"/>
      <c r="AE378" s="10"/>
      <c r="AF378" s="10"/>
      <c r="AG378" s="10"/>
      <c r="AH378" s="10"/>
      <c r="AI378" s="10"/>
    </row>
    <row r="379" spans="1:35">
      <c r="A379" s="10"/>
      <c r="B379" s="10" t="str">
        <f t="shared" si="119"/>
        <v>Above the LineSHOOT</v>
      </c>
      <c r="C379" t="s">
        <v>7</v>
      </c>
      <c r="D379" t="s">
        <v>19</v>
      </c>
      <c r="E379" t="s">
        <v>236</v>
      </c>
      <c r="G379" t="s">
        <v>2283</v>
      </c>
      <c r="I379" s="10"/>
      <c r="J379" s="107">
        <f>SUMIF(Data!C:C,G379,Data!Q:Q)</f>
        <v>0</v>
      </c>
      <c r="K379" s="107">
        <f>SUMIF(Comprometidos!A:A,'Cost Report'!G379,Comprometidos!E:E)</f>
        <v>0</v>
      </c>
      <c r="L379" s="107">
        <f t="shared" si="120"/>
        <v>0</v>
      </c>
      <c r="M379" s="107">
        <f t="shared" si="121"/>
        <v>0</v>
      </c>
      <c r="N379" s="107">
        <f t="shared" si="122"/>
        <v>0</v>
      </c>
      <c r="O379" s="107">
        <f>VLOOKUP(G379,Budget!$E$3:$G$2474,3,0)</f>
        <v>0</v>
      </c>
      <c r="P379" s="107">
        <f t="shared" si="123"/>
        <v>0</v>
      </c>
      <c r="Q379" s="107"/>
      <c r="R379" s="10"/>
      <c r="S379" s="107">
        <v>0</v>
      </c>
      <c r="T379" s="107">
        <f t="shared" si="125"/>
        <v>0</v>
      </c>
      <c r="U379" s="107"/>
      <c r="V379" s="175"/>
      <c r="W379" s="10"/>
      <c r="X379" s="10"/>
      <c r="Y379" t="str">
        <f t="shared" si="124"/>
        <v>1411</v>
      </c>
      <c r="AB379" s="10"/>
      <c r="AC379" s="10"/>
      <c r="AD379" s="10"/>
      <c r="AE379" s="10"/>
      <c r="AF379" s="10"/>
      <c r="AG379" s="10"/>
      <c r="AH379" s="10"/>
      <c r="AI379" s="10"/>
    </row>
    <row r="380" spans="1:35">
      <c r="A380" s="10"/>
      <c r="B380" s="10" t="str">
        <f t="shared" si="119"/>
        <v>Above the LineSHOOT</v>
      </c>
      <c r="C380" t="s">
        <v>7</v>
      </c>
      <c r="D380" t="s">
        <v>19</v>
      </c>
      <c r="E380" t="s">
        <v>236</v>
      </c>
      <c r="F380" t="s">
        <v>5396</v>
      </c>
      <c r="G380" t="s">
        <v>2284</v>
      </c>
      <c r="I380" s="10"/>
      <c r="J380" s="107">
        <f>SUMIF(Data!C:C,G380,Data!Q:Q)</f>
        <v>0</v>
      </c>
      <c r="K380" s="107">
        <f>SUMIF(Comprometidos!A:A,'Cost Report'!G380,Comprometidos!E:E)</f>
        <v>0</v>
      </c>
      <c r="L380" s="107">
        <f t="shared" si="120"/>
        <v>0</v>
      </c>
      <c r="M380" s="107">
        <v>0</v>
      </c>
      <c r="N380" s="107">
        <f t="shared" si="122"/>
        <v>0</v>
      </c>
      <c r="O380" s="107">
        <f>VLOOKUP(G380,Budget!$E$3:$G$2474,3,0)</f>
        <v>7922</v>
      </c>
      <c r="P380" s="107">
        <f t="shared" si="123"/>
        <v>7922</v>
      </c>
      <c r="Q380" s="107"/>
      <c r="R380" s="10"/>
      <c r="S380" s="107">
        <v>0</v>
      </c>
      <c r="T380" s="107">
        <f t="shared" si="125"/>
        <v>0</v>
      </c>
      <c r="U380" s="107"/>
      <c r="V380" s="175"/>
      <c r="W380" s="10"/>
      <c r="X380" s="10"/>
      <c r="Y380" t="str">
        <f t="shared" si="124"/>
        <v>1411</v>
      </c>
      <c r="AB380" s="10"/>
      <c r="AC380" s="10"/>
      <c r="AD380" s="10"/>
      <c r="AE380" s="10"/>
      <c r="AF380" s="10"/>
      <c r="AG380" s="10"/>
      <c r="AH380" s="10"/>
      <c r="AI380" s="10"/>
    </row>
    <row r="381" spans="1:35">
      <c r="A381" s="10"/>
      <c r="B381" s="10" t="str">
        <f t="shared" si="119"/>
        <v>Above the LineSHOOT</v>
      </c>
      <c r="C381" t="s">
        <v>7</v>
      </c>
      <c r="D381" t="s">
        <v>19</v>
      </c>
      <c r="E381" t="s">
        <v>236</v>
      </c>
      <c r="F381" s="171" t="s">
        <v>355</v>
      </c>
      <c r="G381" t="s">
        <v>2285</v>
      </c>
      <c r="I381" s="10"/>
      <c r="J381" s="107">
        <f>SUMIF(Data!C:C,G381,Data!Q:Q)</f>
        <v>0</v>
      </c>
      <c r="K381" s="107">
        <f>SUMIF(Comprometidos!A:A,'Cost Report'!G381,Comprometidos!E:E)</f>
        <v>0</v>
      </c>
      <c r="L381" s="107">
        <f t="shared" si="120"/>
        <v>0</v>
      </c>
      <c r="M381" s="107">
        <v>0</v>
      </c>
      <c r="N381" s="107">
        <f t="shared" si="122"/>
        <v>0</v>
      </c>
      <c r="O381" s="107">
        <f>VLOOKUP(G381,Budget!$E$3:$G$2474,3,0)</f>
        <v>6078</v>
      </c>
      <c r="P381" s="107">
        <f t="shared" si="123"/>
        <v>6078</v>
      </c>
      <c r="Q381" s="107"/>
      <c r="R381" s="10"/>
      <c r="S381" s="107">
        <v>0</v>
      </c>
      <c r="T381" s="107">
        <f t="shared" si="125"/>
        <v>0</v>
      </c>
      <c r="U381" s="107"/>
      <c r="V381" s="175"/>
      <c r="W381" s="10"/>
      <c r="X381" s="10"/>
      <c r="Y381" t="str">
        <f t="shared" si="124"/>
        <v>1411</v>
      </c>
      <c r="AB381" s="10"/>
      <c r="AC381" s="10"/>
      <c r="AD381" s="10"/>
      <c r="AE381" s="10"/>
      <c r="AF381" s="10"/>
      <c r="AG381" s="10"/>
      <c r="AH381" s="10"/>
      <c r="AI381" s="10"/>
    </row>
    <row r="382" spans="1:35">
      <c r="A382" s="10"/>
      <c r="B382" s="10" t="str">
        <f t="shared" si="119"/>
        <v>Above the LineSHOOT</v>
      </c>
      <c r="C382" t="s">
        <v>7</v>
      </c>
      <c r="D382" t="s">
        <v>19</v>
      </c>
      <c r="E382" t="s">
        <v>236</v>
      </c>
      <c r="F382" s="171" t="s">
        <v>355</v>
      </c>
      <c r="G382" t="s">
        <v>2286</v>
      </c>
      <c r="I382" s="10"/>
      <c r="J382" s="107">
        <f>SUMIF(Data!C:C,G382,Data!Q:Q)</f>
        <v>0</v>
      </c>
      <c r="K382" s="107">
        <f>SUMIF(Comprometidos!A:A,'Cost Report'!G382,Comprometidos!E:E)</f>
        <v>0</v>
      </c>
      <c r="L382" s="107">
        <f t="shared" ref="L382:L388" si="126">+J382+K382</f>
        <v>0</v>
      </c>
      <c r="M382" s="107">
        <v>0</v>
      </c>
      <c r="N382" s="107">
        <f t="shared" ref="N382:N388" si="127">+L382+M382</f>
        <v>0</v>
      </c>
      <c r="O382" s="107">
        <f>VLOOKUP(G382,Budget!$E$3:$G$2474,3,0)</f>
        <v>6078</v>
      </c>
      <c r="P382" s="107">
        <f t="shared" ref="P382:P388" si="128">+O382-N382</f>
        <v>6078</v>
      </c>
      <c r="Q382" s="107"/>
      <c r="R382" s="10"/>
      <c r="S382" s="107">
        <v>0</v>
      </c>
      <c r="T382" s="107">
        <f t="shared" si="125"/>
        <v>0</v>
      </c>
      <c r="U382" s="107"/>
      <c r="V382" s="175"/>
      <c r="W382" s="10"/>
      <c r="X382" s="10"/>
      <c r="Y382" t="str">
        <f t="shared" si="124"/>
        <v>1411</v>
      </c>
      <c r="AB382" s="10"/>
      <c r="AC382" s="10"/>
      <c r="AD382" s="10"/>
      <c r="AE382" s="10"/>
      <c r="AF382" s="10"/>
      <c r="AG382" s="10"/>
      <c r="AH382" s="10"/>
      <c r="AI382" s="10"/>
    </row>
    <row r="383" spans="1:35">
      <c r="A383" s="10"/>
      <c r="B383" s="10" t="str">
        <f t="shared" si="119"/>
        <v>Above the LineSHOOT</v>
      </c>
      <c r="C383" t="s">
        <v>7</v>
      </c>
      <c r="D383" t="s">
        <v>19</v>
      </c>
      <c r="E383" t="s">
        <v>236</v>
      </c>
      <c r="F383" t="s">
        <v>355</v>
      </c>
      <c r="G383" t="s">
        <v>2287</v>
      </c>
      <c r="I383" s="10"/>
      <c r="J383" s="107">
        <f>SUMIF(Data!C:C,G383,Data!Q:Q)</f>
        <v>0</v>
      </c>
      <c r="K383" s="107">
        <f>SUMIF(Comprometidos!A:A,'Cost Report'!G383,Comprometidos!E:E)</f>
        <v>0</v>
      </c>
      <c r="L383" s="107">
        <f t="shared" si="126"/>
        <v>0</v>
      </c>
      <c r="M383" s="107">
        <v>0</v>
      </c>
      <c r="N383" s="107">
        <f t="shared" si="127"/>
        <v>0</v>
      </c>
      <c r="O383" s="107">
        <f>VLOOKUP(G383,Budget!$E$3:$G$2474,3,0)</f>
        <v>900</v>
      </c>
      <c r="P383" s="107">
        <f t="shared" si="128"/>
        <v>900</v>
      </c>
      <c r="Q383" s="107"/>
      <c r="R383" s="10"/>
      <c r="S383" s="107">
        <v>0</v>
      </c>
      <c r="T383" s="107">
        <f t="shared" si="125"/>
        <v>0</v>
      </c>
      <c r="U383" s="107"/>
      <c r="V383" s="175"/>
      <c r="W383" s="10"/>
      <c r="X383" s="10"/>
      <c r="Y383" t="str">
        <f t="shared" si="124"/>
        <v>1411</v>
      </c>
      <c r="AB383" s="10"/>
      <c r="AC383" s="10"/>
      <c r="AD383" s="10"/>
      <c r="AE383" s="10"/>
      <c r="AF383" s="10"/>
      <c r="AG383" s="10"/>
      <c r="AH383" s="10"/>
      <c r="AI383" s="10"/>
    </row>
    <row r="384" spans="1:35">
      <c r="A384" s="10"/>
      <c r="B384" s="10" t="str">
        <f t="shared" si="119"/>
        <v>Above the Line</v>
      </c>
      <c r="C384" t="s">
        <v>7</v>
      </c>
      <c r="D384" t="s">
        <v>19</v>
      </c>
      <c r="E384" t="s">
        <v>214</v>
      </c>
      <c r="G384" t="s">
        <v>2288</v>
      </c>
      <c r="I384" s="10"/>
      <c r="J384" s="107">
        <f>SUMIF(Data!C:C,G384,Data!Q:Q)</f>
        <v>0</v>
      </c>
      <c r="K384" s="107">
        <f>SUMIF(Comprometidos!A:A,'Cost Report'!G384,Comprometidos!E:E)</f>
        <v>0</v>
      </c>
      <c r="L384" s="107">
        <f t="shared" si="126"/>
        <v>0</v>
      </c>
      <c r="M384" s="107">
        <f t="shared" ref="M384:M385" si="129">+O384-L384</f>
        <v>0</v>
      </c>
      <c r="N384" s="107">
        <f t="shared" si="127"/>
        <v>0</v>
      </c>
      <c r="O384" s="107">
        <f>VLOOKUP(G384,Budget!$E$3:$G$2474,3,0)</f>
        <v>0</v>
      </c>
      <c r="P384" s="107">
        <f t="shared" si="128"/>
        <v>0</v>
      </c>
      <c r="Q384" s="107"/>
      <c r="R384" s="10"/>
      <c r="S384" s="107">
        <v>0</v>
      </c>
      <c r="T384" s="107">
        <f t="shared" si="125"/>
        <v>0</v>
      </c>
      <c r="U384" s="107"/>
      <c r="V384" s="175"/>
      <c r="W384" s="10"/>
      <c r="X384" s="10"/>
      <c r="Y384" t="str">
        <f t="shared" si="124"/>
        <v>1411</v>
      </c>
      <c r="AB384" s="10"/>
      <c r="AC384" s="10"/>
      <c r="AD384" s="10"/>
      <c r="AE384" s="10"/>
      <c r="AF384" s="10"/>
      <c r="AG384" s="10"/>
      <c r="AH384" s="10"/>
      <c r="AI384" s="10"/>
    </row>
    <row r="385" spans="1:35">
      <c r="A385" s="10"/>
      <c r="B385" s="10" t="str">
        <f t="shared" si="119"/>
        <v>Above the Line</v>
      </c>
      <c r="C385" t="s">
        <v>7</v>
      </c>
      <c r="D385" t="s">
        <v>19</v>
      </c>
      <c r="E385" t="s">
        <v>214</v>
      </c>
      <c r="G385" t="s">
        <v>2289</v>
      </c>
      <c r="I385" s="10"/>
      <c r="J385" s="107">
        <f>SUMIF(Data!C:C,G385,Data!Q:Q)</f>
        <v>0</v>
      </c>
      <c r="K385" s="107">
        <f>SUMIF(Comprometidos!A:A,'Cost Report'!G385,Comprometidos!E:E)</f>
        <v>0</v>
      </c>
      <c r="L385" s="107">
        <f t="shared" si="126"/>
        <v>0</v>
      </c>
      <c r="M385" s="107">
        <f t="shared" si="129"/>
        <v>0</v>
      </c>
      <c r="N385" s="107">
        <f t="shared" si="127"/>
        <v>0</v>
      </c>
      <c r="O385" s="107">
        <f>VLOOKUP(G385,Budget!$E$3:$G$2474,3,0)</f>
        <v>0</v>
      </c>
      <c r="P385" s="107">
        <f t="shared" si="128"/>
        <v>0</v>
      </c>
      <c r="Q385" s="107"/>
      <c r="R385" s="10"/>
      <c r="S385" s="107">
        <v>0</v>
      </c>
      <c r="T385" s="107">
        <f t="shared" si="125"/>
        <v>0</v>
      </c>
      <c r="U385" s="107"/>
      <c r="V385" s="175"/>
      <c r="W385" s="10"/>
      <c r="X385" s="10"/>
      <c r="Y385" t="str">
        <f t="shared" si="124"/>
        <v>1411</v>
      </c>
      <c r="AB385" s="10"/>
      <c r="AC385" s="10"/>
      <c r="AD385" s="10"/>
      <c r="AE385" s="10"/>
      <c r="AF385" s="10"/>
      <c r="AG385" s="10"/>
      <c r="AH385" s="10"/>
      <c r="AI385" s="10"/>
    </row>
    <row r="386" spans="1:35">
      <c r="A386" s="10"/>
      <c r="B386" s="10" t="str">
        <f t="shared" si="119"/>
        <v>Above the LinePREP</v>
      </c>
      <c r="C386" t="s">
        <v>7</v>
      </c>
      <c r="D386" t="s">
        <v>19</v>
      </c>
      <c r="E386" t="s">
        <v>234</v>
      </c>
      <c r="G386" t="s">
        <v>2290</v>
      </c>
      <c r="I386" s="10"/>
      <c r="J386" s="107">
        <f>SUMIF(Data!C:C,G386,Data!Q:Q)</f>
        <v>0</v>
      </c>
      <c r="K386" s="107">
        <f>SUMIF(Comprometidos!A:A,'Cost Report'!G386,Comprometidos!E:E)</f>
        <v>0</v>
      </c>
      <c r="L386" s="107">
        <f t="shared" si="126"/>
        <v>0</v>
      </c>
      <c r="M386" s="107">
        <v>0</v>
      </c>
      <c r="N386" s="107">
        <f t="shared" si="127"/>
        <v>0</v>
      </c>
      <c r="O386" s="107">
        <f>VLOOKUP(G386,Budget!$E$3:$G$2474,3,0)</f>
        <v>3000</v>
      </c>
      <c r="P386" s="107">
        <f t="shared" si="128"/>
        <v>3000</v>
      </c>
      <c r="Q386" s="107"/>
      <c r="R386" s="10"/>
      <c r="S386" s="107">
        <v>0</v>
      </c>
      <c r="T386" s="107">
        <f t="shared" si="125"/>
        <v>0</v>
      </c>
      <c r="U386" s="107"/>
      <c r="V386" s="175"/>
      <c r="W386" s="10"/>
      <c r="X386" s="10"/>
      <c r="Y386" t="str">
        <f t="shared" si="124"/>
        <v>1411</v>
      </c>
      <c r="AB386" s="10"/>
      <c r="AC386" s="10"/>
      <c r="AD386" s="10"/>
      <c r="AE386" s="10"/>
      <c r="AF386" s="10"/>
      <c r="AG386" s="10"/>
      <c r="AH386" s="10"/>
      <c r="AI386" s="10"/>
    </row>
    <row r="387" spans="1:35">
      <c r="A387" s="10"/>
      <c r="B387" s="10" t="str">
        <f t="shared" si="119"/>
        <v>Above the LineSHOOT</v>
      </c>
      <c r="C387" t="s">
        <v>7</v>
      </c>
      <c r="D387" t="s">
        <v>19</v>
      </c>
      <c r="E387" t="s">
        <v>236</v>
      </c>
      <c r="F387" t="s">
        <v>5396</v>
      </c>
      <c r="G387" t="s">
        <v>2291</v>
      </c>
      <c r="I387" s="10"/>
      <c r="J387" s="107">
        <f>SUMIF(Data!C:C,G387,Data!Q:Q)</f>
        <v>0</v>
      </c>
      <c r="K387" s="107">
        <f>SUMIF(Comprometidos!A:A,'Cost Report'!G387,Comprometidos!E:E)</f>
        <v>0</v>
      </c>
      <c r="L387" s="107">
        <f t="shared" si="126"/>
        <v>0</v>
      </c>
      <c r="M387" s="107">
        <v>0</v>
      </c>
      <c r="N387" s="107">
        <f t="shared" si="127"/>
        <v>0</v>
      </c>
      <c r="O387" s="107">
        <f>VLOOKUP(G387,Budget!$E$3:$G$2474,3,0)</f>
        <v>6000</v>
      </c>
      <c r="P387" s="107">
        <f t="shared" si="128"/>
        <v>6000</v>
      </c>
      <c r="Q387" s="107"/>
      <c r="R387" s="10"/>
      <c r="S387" s="107">
        <v>0</v>
      </c>
      <c r="T387" s="107">
        <f t="shared" si="125"/>
        <v>0</v>
      </c>
      <c r="U387" s="107"/>
      <c r="V387" s="175"/>
      <c r="W387" s="10"/>
      <c r="X387" s="10"/>
      <c r="Y387" t="str">
        <f t="shared" si="124"/>
        <v>1411</v>
      </c>
      <c r="AB387" s="10"/>
      <c r="AC387" s="10"/>
      <c r="AD387" s="10"/>
      <c r="AE387" s="10"/>
      <c r="AF387" s="10"/>
      <c r="AG387" s="10"/>
      <c r="AH387" s="10"/>
      <c r="AI387" s="10"/>
    </row>
    <row r="388" spans="1:35">
      <c r="A388" s="10"/>
      <c r="B388" s="10" t="str">
        <f t="shared" ref="B388" si="130">+C388&amp;E388</f>
        <v>Above the LineSHOOT</v>
      </c>
      <c r="C388" t="s">
        <v>7</v>
      </c>
      <c r="D388" t="s">
        <v>19</v>
      </c>
      <c r="E388" t="s">
        <v>236</v>
      </c>
      <c r="F388" t="s">
        <v>355</v>
      </c>
      <c r="G388" t="s">
        <v>2292</v>
      </c>
      <c r="I388" s="10"/>
      <c r="J388" s="107">
        <f>SUMIF(Data!C:C,G388,Data!Q:Q)</f>
        <v>0</v>
      </c>
      <c r="K388" s="107">
        <f>SUMIF(Comprometidos!A:A,'Cost Report'!G388,Comprometidos!E:E)</f>
        <v>0</v>
      </c>
      <c r="L388" s="107">
        <f t="shared" si="126"/>
        <v>0</v>
      </c>
      <c r="M388" s="107">
        <v>0</v>
      </c>
      <c r="N388" s="107">
        <f t="shared" si="127"/>
        <v>0</v>
      </c>
      <c r="O388" s="107">
        <f>VLOOKUP(G388,Budget!$E$3:$G$2474,3,0)</f>
        <v>3282</v>
      </c>
      <c r="P388" s="107">
        <f t="shared" si="128"/>
        <v>3282</v>
      </c>
      <c r="Q388" s="107"/>
      <c r="R388" s="10"/>
      <c r="S388" s="107">
        <v>0</v>
      </c>
      <c r="T388" s="107">
        <f t="shared" si="125"/>
        <v>0</v>
      </c>
      <c r="U388" s="107"/>
      <c r="V388" s="175"/>
      <c r="W388" s="10"/>
      <c r="X388" s="10"/>
      <c r="Y388" t="str">
        <f t="shared" ref="Y388" si="131">LEFT(G388,4)</f>
        <v>1411</v>
      </c>
      <c r="AB388" s="10"/>
      <c r="AC388" s="10"/>
      <c r="AD388" s="10"/>
      <c r="AE388" s="10"/>
      <c r="AF388" s="10"/>
      <c r="AG388" s="10"/>
      <c r="AH388" s="10"/>
      <c r="AI388" s="10"/>
    </row>
    <row r="389" spans="1:35">
      <c r="A389" s="10"/>
      <c r="B389" s="10" t="str">
        <f>+C389</f>
        <v>Above the Line</v>
      </c>
      <c r="C389" s="128" t="s">
        <v>7</v>
      </c>
      <c r="D389" s="128" t="s">
        <v>2117</v>
      </c>
      <c r="E389" s="128"/>
      <c r="F389" s="128"/>
      <c r="G389" s="128" t="s">
        <v>2293</v>
      </c>
      <c r="H389" s="128"/>
      <c r="I389" s="10"/>
      <c r="J389" s="129">
        <f>SUMIF($Y$11:$Y$2484,G389,J$11:J$2484)</f>
        <v>0</v>
      </c>
      <c r="K389" s="129">
        <f>SUMIF($Y$11:$Y$2484,G389,K$11:K$2484)</f>
        <v>0</v>
      </c>
      <c r="L389" s="129">
        <f>SUMIF($Y$11:$Y$2484,G389,L$11:L$2484)</f>
        <v>0</v>
      </c>
      <c r="M389" s="129">
        <f>SUMIF($Y$11:$Y$2484,G389,M$11:M$2484)</f>
        <v>0</v>
      </c>
      <c r="N389" s="129">
        <f>SUMIF($Y$11:$Y$2484,G389,N$11:N$2484)</f>
        <v>0</v>
      </c>
      <c r="O389" s="129">
        <f>SUMIF($Y$11:$Y$2484,G389,O$11:O$2484)</f>
        <v>78000</v>
      </c>
      <c r="P389" s="129">
        <f>SUMIF($Y$11:$Y$2484,G389,P$11:P$2484)</f>
        <v>78000</v>
      </c>
      <c r="Q389" s="129"/>
      <c r="R389" s="10"/>
      <c r="S389" s="129">
        <v>0</v>
      </c>
      <c r="T389" s="129">
        <f t="shared" si="125"/>
        <v>0</v>
      </c>
      <c r="U389" s="128"/>
      <c r="V389" s="175"/>
      <c r="W389" s="10"/>
      <c r="X389" s="10"/>
      <c r="Z389" t="str">
        <f>LEFT(G389,2)</f>
        <v>14</v>
      </c>
      <c r="AA389" t="str">
        <f>+Z389&amp;"00"</f>
        <v>1400</v>
      </c>
      <c r="AB389" s="10"/>
      <c r="AC389" s="10"/>
      <c r="AD389" s="10"/>
      <c r="AE389" s="10"/>
      <c r="AF389" s="10"/>
      <c r="AG389" s="10"/>
      <c r="AH389" s="10"/>
      <c r="AI389" s="10"/>
    </row>
    <row r="390" spans="1:35">
      <c r="A390" s="10"/>
      <c r="B390" s="10" t="str">
        <f t="shared" ref="B390:B406" si="132">+C390&amp;E390</f>
        <v>Above the Line</v>
      </c>
      <c r="C390" t="s">
        <v>7</v>
      </c>
      <c r="D390" t="s">
        <v>19</v>
      </c>
      <c r="E390" t="s">
        <v>214</v>
      </c>
      <c r="G390" t="s">
        <v>2294</v>
      </c>
      <c r="I390" s="10"/>
      <c r="J390" s="107">
        <f>SUMIF(Data!C:C,G390,Data!Q:Q)</f>
        <v>0</v>
      </c>
      <c r="K390" s="107">
        <f>SUMIF(Comprometidos!A:A,'Cost Report'!G390,Comprometidos!E:E)</f>
        <v>0</v>
      </c>
      <c r="L390" s="107">
        <f t="shared" ref="L390:L405" si="133">+J390+K390</f>
        <v>0</v>
      </c>
      <c r="M390" s="107">
        <f t="shared" ref="M390:M404" si="134">+O390-L390</f>
        <v>0</v>
      </c>
      <c r="N390" s="107">
        <f t="shared" ref="N390:N405" si="135">+L390+M390</f>
        <v>0</v>
      </c>
      <c r="O390" s="107">
        <f>VLOOKUP(G390,Budget!$E$3:$G$2474,3,0)</f>
        <v>0</v>
      </c>
      <c r="P390" s="107">
        <f t="shared" ref="P390:P405" si="136">+O390-N390</f>
        <v>0</v>
      </c>
      <c r="Q390" s="107"/>
      <c r="R390" s="10"/>
      <c r="S390" s="107">
        <v>0</v>
      </c>
      <c r="T390" s="107">
        <f t="shared" si="125"/>
        <v>0</v>
      </c>
      <c r="U390" s="107"/>
      <c r="V390" s="175"/>
      <c r="W390" s="10"/>
      <c r="X390" s="10"/>
      <c r="Y390" t="str">
        <f t="shared" ref="Y390:Y405" si="137">LEFT(G390,4)</f>
        <v>1412</v>
      </c>
      <c r="AB390" s="10"/>
      <c r="AC390" s="10"/>
      <c r="AD390" s="10"/>
      <c r="AE390" s="10"/>
      <c r="AF390" s="10"/>
      <c r="AG390" s="10"/>
      <c r="AH390" s="10"/>
      <c r="AI390" s="10"/>
    </row>
    <row r="391" spans="1:35">
      <c r="A391" s="10"/>
      <c r="B391" s="10" t="str">
        <f t="shared" si="132"/>
        <v>Above the LineSHOOT</v>
      </c>
      <c r="C391" t="s">
        <v>7</v>
      </c>
      <c r="D391" t="s">
        <v>19</v>
      </c>
      <c r="E391" t="s">
        <v>236</v>
      </c>
      <c r="G391" t="s">
        <v>2295</v>
      </c>
      <c r="I391" s="10"/>
      <c r="J391" s="107">
        <f>SUMIF(Data!C:C,G391,Data!Q:Q)</f>
        <v>0</v>
      </c>
      <c r="K391" s="107">
        <f>SUMIF(Comprometidos!A:A,'Cost Report'!G391,Comprometidos!E:E)</f>
        <v>0</v>
      </c>
      <c r="L391" s="107">
        <f t="shared" si="133"/>
        <v>0</v>
      </c>
      <c r="M391" s="107">
        <v>0</v>
      </c>
      <c r="N391" s="107">
        <f t="shared" si="135"/>
        <v>0</v>
      </c>
      <c r="O391" s="107">
        <f>VLOOKUP(G391,Budget!$E$3:$G$2474,3,0)</f>
        <v>42000</v>
      </c>
      <c r="P391" s="107">
        <f t="shared" si="136"/>
        <v>42000</v>
      </c>
      <c r="Q391" s="107"/>
      <c r="R391" s="10"/>
      <c r="S391" s="107">
        <v>0</v>
      </c>
      <c r="T391" s="107">
        <f t="shared" si="125"/>
        <v>0</v>
      </c>
      <c r="U391" s="107"/>
      <c r="V391" s="175"/>
      <c r="W391" s="10"/>
      <c r="X391" s="10"/>
      <c r="Y391" t="str">
        <f t="shared" si="137"/>
        <v>1412</v>
      </c>
      <c r="AB391" s="10"/>
      <c r="AC391" s="10"/>
      <c r="AD391" s="10"/>
      <c r="AE391" s="10"/>
      <c r="AF391" s="10"/>
      <c r="AG391" s="10"/>
      <c r="AH391" s="10"/>
      <c r="AI391" s="10"/>
    </row>
    <row r="392" spans="1:35">
      <c r="A392" s="10"/>
      <c r="B392" s="10" t="str">
        <f t="shared" si="132"/>
        <v>Above the Line</v>
      </c>
      <c r="C392" t="s">
        <v>7</v>
      </c>
      <c r="D392" t="s">
        <v>19</v>
      </c>
      <c r="E392" t="s">
        <v>214</v>
      </c>
      <c r="G392" t="s">
        <v>2296</v>
      </c>
      <c r="I392" s="10"/>
      <c r="J392" s="107">
        <f>SUMIF(Data!C:C,G392,Data!Q:Q)</f>
        <v>0</v>
      </c>
      <c r="K392" s="107">
        <f>SUMIF(Comprometidos!A:A,'Cost Report'!G392,Comprometidos!E:E)</f>
        <v>0</v>
      </c>
      <c r="L392" s="107">
        <f t="shared" si="133"/>
        <v>0</v>
      </c>
      <c r="M392" s="107">
        <f t="shared" si="134"/>
        <v>0</v>
      </c>
      <c r="N392" s="107">
        <f t="shared" si="135"/>
        <v>0</v>
      </c>
      <c r="O392" s="107">
        <f>VLOOKUP(G392,Budget!$E$3:$G$2474,3,0)</f>
        <v>0</v>
      </c>
      <c r="P392" s="107">
        <f t="shared" si="136"/>
        <v>0</v>
      </c>
      <c r="Q392" s="107"/>
      <c r="R392" s="10"/>
      <c r="S392" s="107">
        <v>0</v>
      </c>
      <c r="T392" s="107">
        <f t="shared" si="125"/>
        <v>0</v>
      </c>
      <c r="U392" s="107"/>
      <c r="V392" s="175"/>
      <c r="W392" s="10"/>
      <c r="X392" s="10"/>
      <c r="Y392" t="str">
        <f t="shared" si="137"/>
        <v>1412</v>
      </c>
      <c r="AB392" s="10"/>
      <c r="AC392" s="10"/>
      <c r="AD392" s="10"/>
      <c r="AE392" s="10"/>
      <c r="AF392" s="10"/>
      <c r="AG392" s="10"/>
      <c r="AH392" s="10"/>
      <c r="AI392" s="10"/>
    </row>
    <row r="393" spans="1:35">
      <c r="A393" s="10"/>
      <c r="B393" s="10" t="str">
        <f t="shared" si="132"/>
        <v>Above the LineSHOOT</v>
      </c>
      <c r="C393" t="s">
        <v>7</v>
      </c>
      <c r="D393" t="s">
        <v>19</v>
      </c>
      <c r="E393" t="s">
        <v>236</v>
      </c>
      <c r="G393" t="s">
        <v>2297</v>
      </c>
      <c r="I393" s="10"/>
      <c r="J393" s="107">
        <f>SUMIF(Data!C:C,G393,Data!Q:Q)</f>
        <v>0</v>
      </c>
      <c r="K393" s="107">
        <f>SUMIF(Comprometidos!A:A,'Cost Report'!G393,Comprometidos!E:E)</f>
        <v>0</v>
      </c>
      <c r="L393" s="107">
        <f t="shared" si="133"/>
        <v>0</v>
      </c>
      <c r="M393" s="107">
        <v>0</v>
      </c>
      <c r="N393" s="107">
        <f t="shared" si="135"/>
        <v>0</v>
      </c>
      <c r="O393" s="107">
        <f>VLOOKUP(G393,Budget!$E$3:$G$2474,3,0)</f>
        <v>8000</v>
      </c>
      <c r="P393" s="107">
        <f t="shared" si="136"/>
        <v>8000</v>
      </c>
      <c r="Q393" s="107"/>
      <c r="R393" s="10"/>
      <c r="S393" s="107">
        <v>0</v>
      </c>
      <c r="T393" s="107">
        <f t="shared" si="125"/>
        <v>0</v>
      </c>
      <c r="U393" s="107"/>
      <c r="V393" s="175"/>
      <c r="W393" s="10"/>
      <c r="X393" s="10"/>
      <c r="Y393" t="str">
        <f t="shared" si="137"/>
        <v>1412</v>
      </c>
      <c r="AB393" s="10"/>
      <c r="AC393" s="10"/>
      <c r="AD393" s="10"/>
      <c r="AE393" s="10"/>
      <c r="AF393" s="10"/>
      <c r="AG393" s="10"/>
      <c r="AH393" s="10"/>
      <c r="AI393" s="10"/>
    </row>
    <row r="394" spans="1:35">
      <c r="A394" s="10"/>
      <c r="B394" s="10" t="str">
        <f t="shared" si="132"/>
        <v>Above the Line</v>
      </c>
      <c r="C394" t="s">
        <v>7</v>
      </c>
      <c r="D394" t="s">
        <v>19</v>
      </c>
      <c r="E394" t="s">
        <v>214</v>
      </c>
      <c r="G394" t="s">
        <v>2298</v>
      </c>
      <c r="I394" s="10"/>
      <c r="J394" s="107">
        <f>SUMIF(Data!C:C,G394,Data!Q:Q)</f>
        <v>0</v>
      </c>
      <c r="K394" s="107">
        <f>SUMIF(Comprometidos!A:A,'Cost Report'!G394,Comprometidos!E:E)</f>
        <v>0</v>
      </c>
      <c r="L394" s="107">
        <f t="shared" si="133"/>
        <v>0</v>
      </c>
      <c r="M394" s="107">
        <f t="shared" si="134"/>
        <v>0</v>
      </c>
      <c r="N394" s="107">
        <f t="shared" si="135"/>
        <v>0</v>
      </c>
      <c r="O394" s="107">
        <f>VLOOKUP(G394,Budget!$E$3:$G$2474,3,0)</f>
        <v>0</v>
      </c>
      <c r="P394" s="107">
        <f t="shared" si="136"/>
        <v>0</v>
      </c>
      <c r="Q394" s="107"/>
      <c r="R394" s="10"/>
      <c r="S394" s="107">
        <v>0</v>
      </c>
      <c r="T394" s="107">
        <f t="shared" si="125"/>
        <v>0</v>
      </c>
      <c r="U394" s="107"/>
      <c r="V394" s="175"/>
      <c r="W394" s="10"/>
      <c r="X394" s="10"/>
      <c r="Y394" t="str">
        <f t="shared" si="137"/>
        <v>1412</v>
      </c>
      <c r="AB394" s="10"/>
      <c r="AC394" s="10"/>
      <c r="AD394" s="10"/>
      <c r="AE394" s="10"/>
      <c r="AF394" s="10"/>
      <c r="AG394" s="10"/>
      <c r="AH394" s="10"/>
      <c r="AI394" s="10"/>
    </row>
    <row r="395" spans="1:35">
      <c r="A395" s="10"/>
      <c r="B395" s="10" t="str">
        <f t="shared" si="132"/>
        <v>Above the LineSHOOT</v>
      </c>
      <c r="C395" t="s">
        <v>7</v>
      </c>
      <c r="D395" t="s">
        <v>19</v>
      </c>
      <c r="E395" t="s">
        <v>236</v>
      </c>
      <c r="G395" t="s">
        <v>2299</v>
      </c>
      <c r="I395" s="10"/>
      <c r="J395" s="107">
        <f>SUMIF(Data!C:C,G395,Data!Q:Q)</f>
        <v>0</v>
      </c>
      <c r="K395" s="107">
        <f>SUMIF(Comprometidos!A:A,'Cost Report'!G395,Comprometidos!E:E)</f>
        <v>0</v>
      </c>
      <c r="L395" s="107">
        <f t="shared" si="133"/>
        <v>0</v>
      </c>
      <c r="M395" s="107">
        <v>0</v>
      </c>
      <c r="N395" s="107">
        <f t="shared" si="135"/>
        <v>0</v>
      </c>
      <c r="O395" s="107">
        <f>VLOOKUP(G395,Budget!$E$3:$G$2474,3,0)</f>
        <v>8000</v>
      </c>
      <c r="P395" s="107">
        <f t="shared" si="136"/>
        <v>8000</v>
      </c>
      <c r="Q395" s="107"/>
      <c r="R395" s="10"/>
      <c r="S395" s="107">
        <v>0</v>
      </c>
      <c r="T395" s="107">
        <f t="shared" ref="T395:T459" si="138">+S395-N395</f>
        <v>0</v>
      </c>
      <c r="U395" s="107"/>
      <c r="V395" s="175"/>
      <c r="W395" s="10"/>
      <c r="X395" s="10"/>
      <c r="Y395" t="str">
        <f t="shared" si="137"/>
        <v>1412</v>
      </c>
      <c r="AB395" s="10"/>
      <c r="AC395" s="10"/>
      <c r="AD395" s="10"/>
      <c r="AE395" s="10"/>
      <c r="AF395" s="10"/>
      <c r="AG395" s="10"/>
      <c r="AH395" s="10"/>
      <c r="AI395" s="10"/>
    </row>
    <row r="396" spans="1:35">
      <c r="A396" s="10"/>
      <c r="B396" s="10" t="str">
        <f t="shared" si="132"/>
        <v>Above the Line</v>
      </c>
      <c r="C396" t="s">
        <v>7</v>
      </c>
      <c r="D396" t="s">
        <v>19</v>
      </c>
      <c r="E396" t="s">
        <v>214</v>
      </c>
      <c r="G396" t="s">
        <v>2300</v>
      </c>
      <c r="I396" s="10"/>
      <c r="J396" s="107">
        <f>SUMIF(Data!C:C,G396,Data!Q:Q)</f>
        <v>0</v>
      </c>
      <c r="K396" s="107">
        <f>SUMIF(Comprometidos!A:A,'Cost Report'!G396,Comprometidos!E:E)</f>
        <v>0</v>
      </c>
      <c r="L396" s="107">
        <f t="shared" si="133"/>
        <v>0</v>
      </c>
      <c r="M396" s="107">
        <f t="shared" si="134"/>
        <v>0</v>
      </c>
      <c r="N396" s="107">
        <f t="shared" si="135"/>
        <v>0</v>
      </c>
      <c r="O396" s="107">
        <f>VLOOKUP(G396,Budget!$E$3:$G$2474,3,0)</f>
        <v>0</v>
      </c>
      <c r="P396" s="107">
        <f t="shared" si="136"/>
        <v>0</v>
      </c>
      <c r="Q396" s="107"/>
      <c r="R396" s="10"/>
      <c r="S396" s="107">
        <v>0</v>
      </c>
      <c r="T396" s="107">
        <f t="shared" si="138"/>
        <v>0</v>
      </c>
      <c r="U396" s="107"/>
      <c r="V396" s="175"/>
      <c r="W396" s="10"/>
      <c r="X396" s="10"/>
      <c r="Y396" t="str">
        <f t="shared" si="137"/>
        <v>1412</v>
      </c>
      <c r="AB396" s="10"/>
      <c r="AC396" s="10"/>
      <c r="AD396" s="10"/>
      <c r="AE396" s="10"/>
      <c r="AF396" s="10"/>
      <c r="AG396" s="10"/>
      <c r="AH396" s="10"/>
      <c r="AI396" s="10"/>
    </row>
    <row r="397" spans="1:35">
      <c r="A397" s="10"/>
      <c r="B397" s="10" t="str">
        <f t="shared" si="132"/>
        <v>Above the LineSHOOT</v>
      </c>
      <c r="C397" t="s">
        <v>7</v>
      </c>
      <c r="D397" t="s">
        <v>19</v>
      </c>
      <c r="E397" t="s">
        <v>236</v>
      </c>
      <c r="G397" t="s">
        <v>2301</v>
      </c>
      <c r="I397" s="10"/>
      <c r="J397" s="107">
        <f>SUMIF(Data!C:C,G397,Data!Q:Q)</f>
        <v>0</v>
      </c>
      <c r="K397" s="107">
        <f>SUMIF(Comprometidos!A:A,'Cost Report'!G397,Comprometidos!E:E)</f>
        <v>0</v>
      </c>
      <c r="L397" s="107">
        <f t="shared" si="133"/>
        <v>0</v>
      </c>
      <c r="M397" s="107">
        <v>0</v>
      </c>
      <c r="N397" s="107">
        <f t="shared" si="135"/>
        <v>0</v>
      </c>
      <c r="O397" s="107">
        <f>VLOOKUP(G397,Budget!$E$3:$G$2474,3,0)</f>
        <v>4000</v>
      </c>
      <c r="P397" s="107">
        <f t="shared" si="136"/>
        <v>4000</v>
      </c>
      <c r="Q397" s="107"/>
      <c r="R397" s="10"/>
      <c r="S397" s="107">
        <v>0</v>
      </c>
      <c r="T397" s="107">
        <f t="shared" si="138"/>
        <v>0</v>
      </c>
      <c r="U397" s="107"/>
      <c r="V397" s="175"/>
      <c r="W397" s="10"/>
      <c r="X397" s="10"/>
      <c r="Y397" t="str">
        <f t="shared" si="137"/>
        <v>1412</v>
      </c>
      <c r="AB397" s="10"/>
      <c r="AC397" s="10"/>
      <c r="AD397" s="10"/>
      <c r="AE397" s="10"/>
      <c r="AF397" s="10"/>
      <c r="AG397" s="10"/>
      <c r="AH397" s="10"/>
      <c r="AI397" s="10"/>
    </row>
    <row r="398" spans="1:35">
      <c r="A398" s="10"/>
      <c r="B398" s="10" t="str">
        <f t="shared" si="132"/>
        <v>Above the Line</v>
      </c>
      <c r="C398" t="s">
        <v>7</v>
      </c>
      <c r="D398" t="s">
        <v>19</v>
      </c>
      <c r="E398" t="s">
        <v>214</v>
      </c>
      <c r="G398" t="s">
        <v>2302</v>
      </c>
      <c r="I398" s="10"/>
      <c r="J398" s="107">
        <f>SUMIF(Data!C:C,G398,Data!Q:Q)</f>
        <v>0</v>
      </c>
      <c r="K398" s="107">
        <f>SUMIF(Comprometidos!A:A,'Cost Report'!G398,Comprometidos!E:E)</f>
        <v>0</v>
      </c>
      <c r="L398" s="107">
        <f t="shared" si="133"/>
        <v>0</v>
      </c>
      <c r="M398" s="107">
        <f t="shared" si="134"/>
        <v>0</v>
      </c>
      <c r="N398" s="107">
        <f t="shared" si="135"/>
        <v>0</v>
      </c>
      <c r="O398" s="107">
        <f>VLOOKUP(G398,Budget!$E$3:$G$2474,3,0)</f>
        <v>0</v>
      </c>
      <c r="P398" s="107">
        <f t="shared" si="136"/>
        <v>0</v>
      </c>
      <c r="Q398" s="107"/>
      <c r="R398" s="10"/>
      <c r="S398" s="107">
        <v>0</v>
      </c>
      <c r="T398" s="107">
        <f t="shared" si="138"/>
        <v>0</v>
      </c>
      <c r="U398" s="107"/>
      <c r="V398" s="175"/>
      <c r="W398" s="10"/>
      <c r="X398" s="10"/>
      <c r="Y398" t="str">
        <f t="shared" si="137"/>
        <v>1412</v>
      </c>
      <c r="AB398" s="10"/>
      <c r="AC398" s="10"/>
      <c r="AD398" s="10"/>
      <c r="AE398" s="10"/>
      <c r="AF398" s="10"/>
      <c r="AG398" s="10"/>
      <c r="AH398" s="10"/>
      <c r="AI398" s="10"/>
    </row>
    <row r="399" spans="1:35">
      <c r="A399" s="10"/>
      <c r="B399" s="10" t="str">
        <f t="shared" si="132"/>
        <v>Above the LineSHOOT</v>
      </c>
      <c r="C399" t="s">
        <v>7</v>
      </c>
      <c r="D399" t="s">
        <v>19</v>
      </c>
      <c r="E399" t="s">
        <v>236</v>
      </c>
      <c r="G399" t="s">
        <v>2303</v>
      </c>
      <c r="I399" s="10"/>
      <c r="J399" s="107">
        <f>SUMIF(Data!C:C,G399,Data!Q:Q)</f>
        <v>0</v>
      </c>
      <c r="K399" s="107">
        <f>SUMIF(Comprometidos!A:A,'Cost Report'!G399,Comprometidos!E:E)</f>
        <v>0</v>
      </c>
      <c r="L399" s="107">
        <f t="shared" si="133"/>
        <v>0</v>
      </c>
      <c r="M399" s="107">
        <v>0</v>
      </c>
      <c r="N399" s="107">
        <f t="shared" si="135"/>
        <v>0</v>
      </c>
      <c r="O399" s="107">
        <f>VLOOKUP(G399,Budget!$E$3:$G$2474,3,0)</f>
        <v>6000</v>
      </c>
      <c r="P399" s="107">
        <f t="shared" si="136"/>
        <v>6000</v>
      </c>
      <c r="Q399" s="107"/>
      <c r="R399" s="10"/>
      <c r="S399" s="107">
        <v>0</v>
      </c>
      <c r="T399" s="107">
        <f t="shared" si="138"/>
        <v>0</v>
      </c>
      <c r="U399" s="107"/>
      <c r="V399" s="175"/>
      <c r="W399" s="10"/>
      <c r="X399" s="10"/>
      <c r="Y399" t="str">
        <f t="shared" si="137"/>
        <v>1412</v>
      </c>
      <c r="AB399" s="10"/>
      <c r="AC399" s="10"/>
      <c r="AD399" s="10"/>
      <c r="AE399" s="10"/>
      <c r="AF399" s="10"/>
      <c r="AG399" s="10"/>
      <c r="AH399" s="10"/>
      <c r="AI399" s="10"/>
    </row>
    <row r="400" spans="1:35">
      <c r="A400" s="10"/>
      <c r="B400" s="10" t="str">
        <f t="shared" si="132"/>
        <v>Above the Line</v>
      </c>
      <c r="C400" t="s">
        <v>7</v>
      </c>
      <c r="D400" t="s">
        <v>19</v>
      </c>
      <c r="E400" t="s">
        <v>214</v>
      </c>
      <c r="G400" t="s">
        <v>2304</v>
      </c>
      <c r="I400" s="10"/>
      <c r="J400" s="107">
        <f>SUMIF(Data!C:C,G400,Data!Q:Q)</f>
        <v>0</v>
      </c>
      <c r="K400" s="107">
        <f>SUMIF(Comprometidos!A:A,'Cost Report'!G400,Comprometidos!E:E)</f>
        <v>0</v>
      </c>
      <c r="L400" s="107">
        <f t="shared" si="133"/>
        <v>0</v>
      </c>
      <c r="M400" s="107">
        <f t="shared" si="134"/>
        <v>0</v>
      </c>
      <c r="N400" s="107">
        <f t="shared" si="135"/>
        <v>0</v>
      </c>
      <c r="O400" s="107">
        <f>VLOOKUP(G400,Budget!$E$3:$G$2474,3,0)</f>
        <v>0</v>
      </c>
      <c r="P400" s="107">
        <f t="shared" si="136"/>
        <v>0</v>
      </c>
      <c r="Q400" s="107"/>
      <c r="R400" s="10"/>
      <c r="S400" s="107">
        <v>0</v>
      </c>
      <c r="T400" s="107">
        <f t="shared" si="138"/>
        <v>0</v>
      </c>
      <c r="U400" s="107"/>
      <c r="V400" s="175"/>
      <c r="W400" s="10"/>
      <c r="X400" s="10"/>
      <c r="Y400" t="str">
        <f t="shared" si="137"/>
        <v>1412</v>
      </c>
      <c r="AB400" s="10"/>
      <c r="AC400" s="10"/>
      <c r="AD400" s="10"/>
      <c r="AE400" s="10"/>
      <c r="AF400" s="10"/>
      <c r="AG400" s="10"/>
      <c r="AH400" s="10"/>
      <c r="AI400" s="10"/>
    </row>
    <row r="401" spans="1:35">
      <c r="A401" s="10"/>
      <c r="B401" s="10" t="str">
        <f t="shared" si="132"/>
        <v>Above the LineSHOOT</v>
      </c>
      <c r="C401" t="s">
        <v>7</v>
      </c>
      <c r="D401" t="s">
        <v>19</v>
      </c>
      <c r="E401" t="s">
        <v>236</v>
      </c>
      <c r="G401" t="s">
        <v>2305</v>
      </c>
      <c r="I401" s="10"/>
      <c r="J401" s="107">
        <f>SUMIF(Data!C:C,G401,Data!Q:Q)</f>
        <v>0</v>
      </c>
      <c r="K401" s="107">
        <f>SUMIF(Comprometidos!A:A,'Cost Report'!G401,Comprometidos!E:E)</f>
        <v>0</v>
      </c>
      <c r="L401" s="107">
        <f t="shared" si="133"/>
        <v>0</v>
      </c>
      <c r="M401" s="107">
        <v>0</v>
      </c>
      <c r="N401" s="107">
        <f t="shared" si="135"/>
        <v>0</v>
      </c>
      <c r="O401" s="107">
        <f>VLOOKUP(G401,Budget!$E$3:$G$2474,3,0)</f>
        <v>2000</v>
      </c>
      <c r="P401" s="107">
        <f t="shared" si="136"/>
        <v>2000</v>
      </c>
      <c r="Q401" s="107"/>
      <c r="R401" s="10"/>
      <c r="S401" s="107">
        <v>0</v>
      </c>
      <c r="T401" s="107">
        <f t="shared" si="138"/>
        <v>0</v>
      </c>
      <c r="U401" s="107"/>
      <c r="V401" s="175"/>
      <c r="W401" s="10"/>
      <c r="X401" s="10"/>
      <c r="Y401" t="str">
        <f t="shared" si="137"/>
        <v>1412</v>
      </c>
      <c r="AB401" s="10"/>
      <c r="AC401" s="10"/>
      <c r="AD401" s="10"/>
      <c r="AE401" s="10"/>
      <c r="AF401" s="10"/>
      <c r="AG401" s="10"/>
      <c r="AH401" s="10"/>
      <c r="AI401" s="10"/>
    </row>
    <row r="402" spans="1:35">
      <c r="A402" s="10"/>
      <c r="B402" s="10" t="str">
        <f t="shared" si="132"/>
        <v>Above the Line</v>
      </c>
      <c r="C402" t="s">
        <v>7</v>
      </c>
      <c r="D402" t="s">
        <v>19</v>
      </c>
      <c r="E402" t="s">
        <v>214</v>
      </c>
      <c r="G402" t="s">
        <v>2306</v>
      </c>
      <c r="I402" s="10"/>
      <c r="J402" s="107">
        <f>SUMIF(Data!C:C,G402,Data!Q:Q)</f>
        <v>0</v>
      </c>
      <c r="K402" s="107">
        <f>SUMIF(Comprometidos!A:A,'Cost Report'!G402,Comprometidos!E:E)</f>
        <v>0</v>
      </c>
      <c r="L402" s="107">
        <f t="shared" si="133"/>
        <v>0</v>
      </c>
      <c r="M402" s="107">
        <f t="shared" si="134"/>
        <v>0</v>
      </c>
      <c r="N402" s="107">
        <f t="shared" si="135"/>
        <v>0</v>
      </c>
      <c r="O402" s="107">
        <f>VLOOKUP(G402,Budget!$E$3:$G$2474,3,0)</f>
        <v>0</v>
      </c>
      <c r="P402" s="107">
        <f t="shared" si="136"/>
        <v>0</v>
      </c>
      <c r="Q402" s="107"/>
      <c r="R402" s="10"/>
      <c r="S402" s="107">
        <v>0</v>
      </c>
      <c r="T402" s="107">
        <f t="shared" si="138"/>
        <v>0</v>
      </c>
      <c r="U402" s="107"/>
      <c r="V402" s="175"/>
      <c r="W402" s="10"/>
      <c r="X402" s="10"/>
      <c r="Y402" t="str">
        <f t="shared" si="137"/>
        <v>1412</v>
      </c>
      <c r="AB402" s="10"/>
      <c r="AC402" s="10"/>
      <c r="AD402" s="10"/>
      <c r="AE402" s="10"/>
      <c r="AF402" s="10"/>
      <c r="AG402" s="10"/>
      <c r="AH402" s="10"/>
      <c r="AI402" s="10"/>
    </row>
    <row r="403" spans="1:35">
      <c r="A403" s="10"/>
      <c r="B403" s="10" t="str">
        <f t="shared" si="132"/>
        <v>Above the LineSHOOT</v>
      </c>
      <c r="C403" t="s">
        <v>7</v>
      </c>
      <c r="D403" t="s">
        <v>19</v>
      </c>
      <c r="E403" t="s">
        <v>236</v>
      </c>
      <c r="G403" t="s">
        <v>2307</v>
      </c>
      <c r="I403" s="10"/>
      <c r="J403" s="107">
        <f>SUMIF(Data!C:C,G403,Data!Q:Q)</f>
        <v>0</v>
      </c>
      <c r="K403" s="107">
        <f>SUMIF(Comprometidos!A:A,'Cost Report'!G403,Comprometidos!E:E)</f>
        <v>0</v>
      </c>
      <c r="L403" s="107">
        <f t="shared" si="133"/>
        <v>0</v>
      </c>
      <c r="M403" s="107">
        <v>0</v>
      </c>
      <c r="N403" s="107">
        <f t="shared" si="135"/>
        <v>0</v>
      </c>
      <c r="O403" s="107">
        <f>VLOOKUP(G403,Budget!$E$3:$G$2474,3,0)</f>
        <v>2000</v>
      </c>
      <c r="P403" s="107">
        <f t="shared" si="136"/>
        <v>2000</v>
      </c>
      <c r="Q403" s="107"/>
      <c r="R403" s="10"/>
      <c r="S403" s="107">
        <v>0</v>
      </c>
      <c r="T403" s="107">
        <f t="shared" si="138"/>
        <v>0</v>
      </c>
      <c r="U403" s="107"/>
      <c r="V403" s="175"/>
      <c r="W403" s="10"/>
      <c r="X403" s="10"/>
      <c r="Y403" t="str">
        <f t="shared" si="137"/>
        <v>1412</v>
      </c>
      <c r="AB403" s="10"/>
      <c r="AC403" s="10"/>
      <c r="AD403" s="10"/>
      <c r="AE403" s="10"/>
      <c r="AF403" s="10"/>
      <c r="AG403" s="10"/>
      <c r="AH403" s="10"/>
      <c r="AI403" s="10"/>
    </row>
    <row r="404" spans="1:35">
      <c r="A404" s="10"/>
      <c r="B404" s="10" t="str">
        <f t="shared" si="132"/>
        <v>Above the Line</v>
      </c>
      <c r="C404" t="s">
        <v>7</v>
      </c>
      <c r="D404" t="s">
        <v>19</v>
      </c>
      <c r="E404" t="s">
        <v>214</v>
      </c>
      <c r="G404" t="s">
        <v>2308</v>
      </c>
      <c r="I404" s="10"/>
      <c r="J404" s="107">
        <f>SUMIF(Data!C:C,G404,Data!Q:Q)</f>
        <v>0</v>
      </c>
      <c r="K404" s="107">
        <f>SUMIF(Comprometidos!A:A,'Cost Report'!G404,Comprometidos!E:E)</f>
        <v>0</v>
      </c>
      <c r="L404" s="107">
        <f t="shared" si="133"/>
        <v>0</v>
      </c>
      <c r="M404" s="107">
        <f t="shared" si="134"/>
        <v>0</v>
      </c>
      <c r="N404" s="107">
        <f t="shared" si="135"/>
        <v>0</v>
      </c>
      <c r="O404" s="107">
        <f>VLOOKUP(G404,Budget!$E$3:$G$2474,3,0)</f>
        <v>0</v>
      </c>
      <c r="P404" s="107">
        <f t="shared" si="136"/>
        <v>0</v>
      </c>
      <c r="Q404" s="107"/>
      <c r="R404" s="10"/>
      <c r="S404" s="107">
        <v>0</v>
      </c>
      <c r="T404" s="107">
        <f t="shared" si="138"/>
        <v>0</v>
      </c>
      <c r="U404" s="107"/>
      <c r="V404" s="175"/>
      <c r="W404" s="10"/>
      <c r="X404" s="10"/>
      <c r="Y404" t="str">
        <f t="shared" si="137"/>
        <v>1412</v>
      </c>
      <c r="AB404" s="10"/>
      <c r="AC404" s="10"/>
      <c r="AD404" s="10"/>
      <c r="AE404" s="10"/>
      <c r="AF404" s="10"/>
      <c r="AG404" s="10"/>
      <c r="AH404" s="10"/>
      <c r="AI404" s="10"/>
    </row>
    <row r="405" spans="1:35">
      <c r="A405" s="10"/>
      <c r="B405" s="10" t="str">
        <f t="shared" si="132"/>
        <v>Above the LineSHOOT</v>
      </c>
      <c r="C405" t="s">
        <v>7</v>
      </c>
      <c r="D405" t="s">
        <v>19</v>
      </c>
      <c r="E405" t="s">
        <v>236</v>
      </c>
      <c r="G405" t="s">
        <v>2309</v>
      </c>
      <c r="I405" s="10"/>
      <c r="J405" s="107">
        <f>SUMIF(Data!C:C,G405,Data!Q:Q)</f>
        <v>0</v>
      </c>
      <c r="K405" s="107">
        <f>SUMIF(Comprometidos!A:A,'Cost Report'!G405,Comprometidos!E:E)</f>
        <v>0</v>
      </c>
      <c r="L405" s="107">
        <f t="shared" si="133"/>
        <v>0</v>
      </c>
      <c r="M405" s="107">
        <v>0</v>
      </c>
      <c r="N405" s="107">
        <f t="shared" si="135"/>
        <v>0</v>
      </c>
      <c r="O405" s="107">
        <f>VLOOKUP(G405,Budget!$E$3:$G$2474,3,0)</f>
        <v>6000</v>
      </c>
      <c r="P405" s="107">
        <f t="shared" si="136"/>
        <v>6000</v>
      </c>
      <c r="Q405" s="107"/>
      <c r="R405" s="10"/>
      <c r="S405" s="107">
        <v>0</v>
      </c>
      <c r="T405" s="107">
        <f t="shared" si="138"/>
        <v>0</v>
      </c>
      <c r="U405" s="107"/>
      <c r="V405" s="175"/>
      <c r="W405" s="10"/>
      <c r="X405" s="10"/>
      <c r="Y405" t="str">
        <f t="shared" si="137"/>
        <v>1412</v>
      </c>
      <c r="AB405" s="10"/>
      <c r="AC405" s="10"/>
      <c r="AD405" s="10"/>
      <c r="AE405" s="10"/>
      <c r="AF405" s="10"/>
      <c r="AG405" s="10"/>
      <c r="AH405" s="10"/>
      <c r="AI405" s="10"/>
    </row>
    <row r="406" spans="1:35">
      <c r="A406" s="10"/>
      <c r="B406" s="10" t="str">
        <f t="shared" si="132"/>
        <v>Above the LineSHOOT</v>
      </c>
      <c r="C406" t="s">
        <v>7</v>
      </c>
      <c r="D406" t="s">
        <v>19</v>
      </c>
      <c r="E406" t="s">
        <v>236</v>
      </c>
      <c r="G406" t="s">
        <v>3695</v>
      </c>
      <c r="I406" s="10"/>
      <c r="J406" s="107">
        <f>SUMIF(Data!C:C,G406,Data!Q:Q)</f>
        <v>0</v>
      </c>
      <c r="K406" s="107">
        <f>SUMIF(Comprometidos!A:A,'Cost Report'!G406,Comprometidos!E:E)</f>
        <v>0</v>
      </c>
      <c r="L406" s="107">
        <f t="shared" ref="L406" si="139">+J406+K406</f>
        <v>0</v>
      </c>
      <c r="M406" s="107">
        <v>0</v>
      </c>
      <c r="N406" s="107">
        <f t="shared" ref="N406" si="140">+L406+M406</f>
        <v>0</v>
      </c>
      <c r="O406" s="107">
        <f>VLOOKUP(G406,Budget!$E$3:$G$2474,3,0)</f>
        <v>0</v>
      </c>
      <c r="P406" s="107">
        <f t="shared" ref="P406" si="141">+O406-N406</f>
        <v>0</v>
      </c>
      <c r="Q406" s="107"/>
      <c r="R406" s="10"/>
      <c r="S406" s="107">
        <v>0</v>
      </c>
      <c r="T406" s="107">
        <f t="shared" ref="T406" si="142">+S406-N406</f>
        <v>0</v>
      </c>
      <c r="U406" s="107"/>
      <c r="V406" s="175"/>
      <c r="W406" s="10"/>
      <c r="X406" s="10"/>
      <c r="Y406" t="str">
        <f t="shared" ref="Y406" si="143">LEFT(G406,4)</f>
        <v>1412</v>
      </c>
      <c r="AB406" s="10"/>
      <c r="AC406" s="10"/>
      <c r="AD406" s="10"/>
      <c r="AE406" s="10"/>
      <c r="AF406" s="10"/>
      <c r="AG406" s="10"/>
      <c r="AH406" s="10"/>
      <c r="AI406" s="10"/>
    </row>
    <row r="407" spans="1:35">
      <c r="A407" s="10"/>
      <c r="B407" s="10" t="str">
        <f>+C407</f>
        <v>Above the Line</v>
      </c>
      <c r="C407" s="128" t="s">
        <v>7</v>
      </c>
      <c r="D407" s="128" t="s">
        <v>2117</v>
      </c>
      <c r="E407" s="128"/>
      <c r="F407" s="128"/>
      <c r="G407" s="128" t="s">
        <v>378</v>
      </c>
      <c r="H407" s="128"/>
      <c r="I407" s="10"/>
      <c r="J407" s="129">
        <f>SUMIF($Y$11:$Y$2484,G407,J$11:J$2484)</f>
        <v>232300</v>
      </c>
      <c r="K407" s="129">
        <f>SUMIF($Y$11:$Y$2484,G407,K$11:K$2484)</f>
        <v>0</v>
      </c>
      <c r="L407" s="129">
        <f>SUMIF($Y$11:$Y$2484,G407,L$11:L$2484)</f>
        <v>232300</v>
      </c>
      <c r="M407" s="129">
        <f>SUMIF($Y$11:$Y$2484,G407,M$11:M$2484)</f>
        <v>0</v>
      </c>
      <c r="N407" s="129">
        <f>SUMIF($Y$11:$Y$2484,G407,N$11:N$2484)</f>
        <v>232300</v>
      </c>
      <c r="O407" s="129">
        <f>SUMIF($Y$11:$Y$2484,G407,O$11:O$2484)</f>
        <v>309100</v>
      </c>
      <c r="P407" s="129">
        <f>SUMIF($Y$11:$Y$2484,G407,P$11:P$2484)</f>
        <v>76800</v>
      </c>
      <c r="Q407" s="129"/>
      <c r="R407" s="10"/>
      <c r="S407" s="129">
        <v>232300</v>
      </c>
      <c r="T407" s="129">
        <f t="shared" si="138"/>
        <v>0</v>
      </c>
      <c r="U407" s="128"/>
      <c r="V407" s="175"/>
      <c r="W407" s="10"/>
      <c r="X407" s="10"/>
      <c r="Z407" t="str">
        <f>LEFT(G407,2)</f>
        <v>14</v>
      </c>
      <c r="AA407" t="str">
        <f>+Z407&amp;"00"</f>
        <v>1400</v>
      </c>
      <c r="AB407" s="10"/>
      <c r="AC407" s="10"/>
      <c r="AD407" s="10"/>
      <c r="AE407" s="10"/>
      <c r="AF407" s="10"/>
      <c r="AG407" s="10"/>
      <c r="AH407" s="10"/>
      <c r="AI407" s="10"/>
    </row>
    <row r="408" spans="1:35">
      <c r="A408" s="10"/>
      <c r="B408" s="10" t="str">
        <f t="shared" ref="B408:B424" si="144">+C408&amp;E408</f>
        <v>Above the Line</v>
      </c>
      <c r="C408" t="s">
        <v>7</v>
      </c>
      <c r="D408" t="s">
        <v>19</v>
      </c>
      <c r="E408" t="s">
        <v>214</v>
      </c>
      <c r="G408" t="s">
        <v>379</v>
      </c>
      <c r="I408" s="10"/>
      <c r="J408" s="107">
        <f>SUMIF(Data!C:C,G408,Data!Q:Q)</f>
        <v>0</v>
      </c>
      <c r="K408" s="107">
        <f>SUMIF(Comprometidos!A:A,'Cost Report'!G408,Comprometidos!E:E)</f>
        <v>0</v>
      </c>
      <c r="L408" s="107">
        <f t="shared" ref="L408:L424" si="145">+J408+K408</f>
        <v>0</v>
      </c>
      <c r="M408" s="107">
        <f t="shared" ref="M408:M423" si="146">+O408-L408</f>
        <v>0</v>
      </c>
      <c r="N408" s="107">
        <f t="shared" ref="N408:N424" si="147">+L408+M408</f>
        <v>0</v>
      </c>
      <c r="O408" s="107">
        <f>VLOOKUP(G408,Budget!$E$3:$G$2474,3,0)</f>
        <v>0</v>
      </c>
      <c r="P408" s="107">
        <f t="shared" ref="P408:P424" si="148">+O408-N408</f>
        <v>0</v>
      </c>
      <c r="Q408" s="107"/>
      <c r="R408" s="10"/>
      <c r="S408" s="107">
        <v>0</v>
      </c>
      <c r="T408" s="107">
        <f t="shared" si="138"/>
        <v>0</v>
      </c>
      <c r="U408" s="107"/>
      <c r="V408" s="175"/>
      <c r="W408" s="10"/>
      <c r="X408" s="10"/>
      <c r="Y408" t="str">
        <f t="shared" ref="Y408:Y424" si="149">LEFT(G408,4)</f>
        <v>1413</v>
      </c>
      <c r="AB408" s="10"/>
      <c r="AC408" s="10"/>
      <c r="AD408" s="10"/>
      <c r="AE408" s="10"/>
      <c r="AF408" s="10"/>
      <c r="AG408" s="10"/>
      <c r="AH408" s="10"/>
      <c r="AI408" s="10"/>
    </row>
    <row r="409" spans="1:35">
      <c r="A409" s="10"/>
      <c r="B409" s="10" t="str">
        <f t="shared" si="144"/>
        <v>Above the LinePREP</v>
      </c>
      <c r="C409" t="s">
        <v>7</v>
      </c>
      <c r="D409" t="s">
        <v>19</v>
      </c>
      <c r="E409" t="s">
        <v>234</v>
      </c>
      <c r="G409" t="s">
        <v>380</v>
      </c>
      <c r="I409" s="10"/>
      <c r="J409" s="107">
        <f>SUMIF(Data!C:C,G409,Data!Q:Q)</f>
        <v>63000</v>
      </c>
      <c r="K409" s="107">
        <f>SUMIF(Comprometidos!A:A,'Cost Report'!G409,Comprometidos!E:E)</f>
        <v>0</v>
      </c>
      <c r="L409" s="107">
        <f t="shared" si="145"/>
        <v>63000</v>
      </c>
      <c r="M409" s="107">
        <f t="shared" si="146"/>
        <v>0</v>
      </c>
      <c r="N409" s="107">
        <f t="shared" si="147"/>
        <v>63000</v>
      </c>
      <c r="O409" s="107">
        <f>VLOOKUP(G409,Budget!$E$3:$G$2474,3,0)</f>
        <v>63000</v>
      </c>
      <c r="P409" s="107">
        <f t="shared" si="148"/>
        <v>0</v>
      </c>
      <c r="Q409" s="107"/>
      <c r="R409" s="10"/>
      <c r="S409" s="107">
        <v>63000</v>
      </c>
      <c r="T409" s="107">
        <f t="shared" si="138"/>
        <v>0</v>
      </c>
      <c r="U409" s="107"/>
      <c r="V409" s="175"/>
      <c r="W409" s="10"/>
      <c r="X409" s="10"/>
      <c r="Y409" t="str">
        <f t="shared" si="149"/>
        <v>1413</v>
      </c>
      <c r="AB409" s="10"/>
      <c r="AC409" s="10"/>
      <c r="AD409" s="10"/>
      <c r="AE409" s="10"/>
      <c r="AF409" s="10"/>
      <c r="AG409" s="10"/>
      <c r="AH409" s="10"/>
      <c r="AI409" s="10"/>
    </row>
    <row r="410" spans="1:35">
      <c r="A410" s="10"/>
      <c r="B410" s="10" t="str">
        <f t="shared" si="144"/>
        <v>Above the LineSHOOT</v>
      </c>
      <c r="C410" t="s">
        <v>7</v>
      </c>
      <c r="D410" t="s">
        <v>19</v>
      </c>
      <c r="E410" t="s">
        <v>236</v>
      </c>
      <c r="G410" t="s">
        <v>381</v>
      </c>
      <c r="I410" s="10"/>
      <c r="J410" s="107">
        <f>SUMIF(Data!C:C,G410,Data!Q:Q)</f>
        <v>140000</v>
      </c>
      <c r="K410" s="107">
        <f>SUMIF(Comprometidos!A:A,'Cost Report'!G410,Comprometidos!E:E)</f>
        <v>0</v>
      </c>
      <c r="L410" s="107">
        <f t="shared" si="145"/>
        <v>140000</v>
      </c>
      <c r="M410" s="107">
        <f t="shared" si="146"/>
        <v>0</v>
      </c>
      <c r="N410" s="107">
        <f t="shared" si="147"/>
        <v>140000</v>
      </c>
      <c r="O410" s="107">
        <f>VLOOKUP(G410,Budget!$E$3:$G$2474,3,0)</f>
        <v>140000</v>
      </c>
      <c r="P410" s="107">
        <f t="shared" si="148"/>
        <v>0</v>
      </c>
      <c r="Q410" s="107"/>
      <c r="R410" s="10"/>
      <c r="S410" s="107">
        <v>140000</v>
      </c>
      <c r="T410" s="107">
        <f t="shared" si="138"/>
        <v>0</v>
      </c>
      <c r="U410" s="107"/>
      <c r="V410" s="175"/>
      <c r="W410" s="10"/>
      <c r="X410" s="10"/>
      <c r="Y410" t="str">
        <f t="shared" si="149"/>
        <v>1413</v>
      </c>
      <c r="AB410" s="10"/>
      <c r="AC410" s="10"/>
      <c r="AD410" s="10"/>
      <c r="AE410" s="10"/>
      <c r="AF410" s="10"/>
      <c r="AG410" s="10"/>
      <c r="AH410" s="10"/>
      <c r="AI410" s="10"/>
    </row>
    <row r="411" spans="1:35">
      <c r="A411" s="10"/>
      <c r="B411" s="10" t="str">
        <f t="shared" si="144"/>
        <v>Above the Line</v>
      </c>
      <c r="C411" t="s">
        <v>7</v>
      </c>
      <c r="D411" t="s">
        <v>19</v>
      </c>
      <c r="E411" t="s">
        <v>214</v>
      </c>
      <c r="G411" t="s">
        <v>382</v>
      </c>
      <c r="I411" s="10"/>
      <c r="J411" s="107">
        <f>SUMIF(Data!C:C,G411,Data!Q:Q)</f>
        <v>0</v>
      </c>
      <c r="K411" s="107">
        <f>SUMIF(Comprometidos!A:A,'Cost Report'!G411,Comprometidos!E:E)</f>
        <v>0</v>
      </c>
      <c r="L411" s="107">
        <f t="shared" si="145"/>
        <v>0</v>
      </c>
      <c r="M411" s="107">
        <f t="shared" si="146"/>
        <v>0</v>
      </c>
      <c r="N411" s="107">
        <f t="shared" si="147"/>
        <v>0</v>
      </c>
      <c r="O411" s="107">
        <f>VLOOKUP(G411,Budget!$E$3:$G$2474,3,0)</f>
        <v>0</v>
      </c>
      <c r="P411" s="107">
        <f t="shared" si="148"/>
        <v>0</v>
      </c>
      <c r="Q411" s="107"/>
      <c r="R411" s="10"/>
      <c r="S411" s="107">
        <v>0</v>
      </c>
      <c r="T411" s="107">
        <f t="shared" si="138"/>
        <v>0</v>
      </c>
      <c r="U411" s="107"/>
      <c r="V411" s="175"/>
      <c r="W411" s="10"/>
      <c r="X411" s="10"/>
      <c r="Y411" t="str">
        <f t="shared" si="149"/>
        <v>1413</v>
      </c>
      <c r="AB411" s="10"/>
      <c r="AC411" s="10"/>
      <c r="AD411" s="10"/>
      <c r="AE411" s="10"/>
      <c r="AF411" s="10"/>
      <c r="AG411" s="10"/>
      <c r="AH411" s="10"/>
      <c r="AI411" s="10"/>
    </row>
    <row r="412" spans="1:35">
      <c r="A412" s="10"/>
      <c r="B412" s="10" t="str">
        <f t="shared" si="144"/>
        <v>Above the LinePREP</v>
      </c>
      <c r="C412" t="s">
        <v>7</v>
      </c>
      <c r="D412" t="s">
        <v>19</v>
      </c>
      <c r="E412" t="s">
        <v>234</v>
      </c>
      <c r="F412" t="s">
        <v>5396</v>
      </c>
      <c r="G412" t="s">
        <v>383</v>
      </c>
      <c r="I412" s="10"/>
      <c r="J412" s="107">
        <f>SUMIF(Data!C:C,G412,Data!Q:Q)</f>
        <v>10500</v>
      </c>
      <c r="K412" s="107">
        <f>SUMIF(Comprometidos!A:A,'Cost Report'!G412,Comprometidos!E:E)</f>
        <v>0</v>
      </c>
      <c r="L412" s="107">
        <f t="shared" si="145"/>
        <v>10500</v>
      </c>
      <c r="M412" s="107">
        <v>0</v>
      </c>
      <c r="N412" s="107">
        <f t="shared" si="147"/>
        <v>10500</v>
      </c>
      <c r="O412" s="107">
        <f>VLOOKUP(G412,Budget!$E$3:$G$2474,3,0)</f>
        <v>3500</v>
      </c>
      <c r="P412" s="107">
        <f t="shared" si="148"/>
        <v>-7000</v>
      </c>
      <c r="Q412" s="107"/>
      <c r="R412" s="10"/>
      <c r="S412" s="107">
        <v>10500</v>
      </c>
      <c r="T412" s="107">
        <f t="shared" si="138"/>
        <v>0</v>
      </c>
      <c r="U412" s="107"/>
      <c r="V412" s="175"/>
      <c r="W412" s="10"/>
      <c r="X412" s="10"/>
      <c r="Y412" t="str">
        <f t="shared" si="149"/>
        <v>1413</v>
      </c>
      <c r="AB412" s="10"/>
      <c r="AC412" s="10"/>
      <c r="AD412" s="10"/>
      <c r="AE412" s="10"/>
      <c r="AF412" s="10"/>
      <c r="AG412" s="10"/>
      <c r="AH412" s="10"/>
      <c r="AI412" s="10"/>
    </row>
    <row r="413" spans="1:35">
      <c r="A413" s="10"/>
      <c r="B413" s="10" t="str">
        <f t="shared" si="144"/>
        <v>Above the Line</v>
      </c>
      <c r="C413" t="s">
        <v>7</v>
      </c>
      <c r="D413" t="s">
        <v>19</v>
      </c>
      <c r="E413" t="s">
        <v>214</v>
      </c>
      <c r="G413" t="s">
        <v>384</v>
      </c>
      <c r="I413" s="10"/>
      <c r="J413" s="107">
        <f>SUMIF(Data!C:C,G413,Data!Q:Q)</f>
        <v>0</v>
      </c>
      <c r="K413" s="107">
        <f>SUMIF(Comprometidos!A:A,'Cost Report'!G413,Comprometidos!E:E)</f>
        <v>0</v>
      </c>
      <c r="L413" s="107">
        <f t="shared" si="145"/>
        <v>0</v>
      </c>
      <c r="M413" s="107">
        <f t="shared" si="146"/>
        <v>0</v>
      </c>
      <c r="N413" s="107">
        <f t="shared" si="147"/>
        <v>0</v>
      </c>
      <c r="O413" s="107">
        <f>VLOOKUP(G413,Budget!$E$3:$G$2474,3,0)</f>
        <v>0</v>
      </c>
      <c r="P413" s="107">
        <f t="shared" si="148"/>
        <v>0</v>
      </c>
      <c r="Q413" s="107"/>
      <c r="R413" s="10"/>
      <c r="S413" s="107">
        <v>0</v>
      </c>
      <c r="T413" s="107">
        <f t="shared" si="138"/>
        <v>0</v>
      </c>
      <c r="U413" s="107"/>
      <c r="V413" s="175"/>
      <c r="W413" s="10"/>
      <c r="X413" s="10"/>
      <c r="Y413" t="str">
        <f t="shared" si="149"/>
        <v>1413</v>
      </c>
      <c r="AB413" s="10"/>
      <c r="AC413" s="10"/>
      <c r="AD413" s="10"/>
      <c r="AE413" s="10"/>
      <c r="AF413" s="10"/>
      <c r="AG413" s="10"/>
      <c r="AH413" s="10"/>
      <c r="AI413" s="10"/>
    </row>
    <row r="414" spans="1:35">
      <c r="A414" s="10"/>
      <c r="B414" s="10" t="str">
        <f t="shared" si="144"/>
        <v>Above the LinePREP</v>
      </c>
      <c r="C414" t="s">
        <v>7</v>
      </c>
      <c r="D414" t="s">
        <v>19</v>
      </c>
      <c r="E414" t="s">
        <v>234</v>
      </c>
      <c r="G414" t="s">
        <v>2310</v>
      </c>
      <c r="I414" s="10"/>
      <c r="J414" s="107">
        <f>SUMIF(Data!C:C,G414,Data!Q:Q)</f>
        <v>0</v>
      </c>
      <c r="K414" s="107">
        <f>SUMIF(Comprometidos!A:A,'Cost Report'!G414,Comprometidos!E:E)</f>
        <v>0</v>
      </c>
      <c r="L414" s="107">
        <f t="shared" si="145"/>
        <v>0</v>
      </c>
      <c r="M414" s="107">
        <v>0</v>
      </c>
      <c r="N414" s="107">
        <f t="shared" si="147"/>
        <v>0</v>
      </c>
      <c r="O414" s="107">
        <f>VLOOKUP(G414,Budget!$E$3:$G$2474,3,0)</f>
        <v>37500</v>
      </c>
      <c r="P414" s="107">
        <f t="shared" si="148"/>
        <v>37500</v>
      </c>
      <c r="Q414" s="107"/>
      <c r="R414" s="10"/>
      <c r="S414" s="107">
        <v>0</v>
      </c>
      <c r="T414" s="107">
        <f t="shared" si="138"/>
        <v>0</v>
      </c>
      <c r="U414" s="107"/>
      <c r="V414" s="175"/>
      <c r="W414" s="10"/>
      <c r="X414" s="10"/>
      <c r="Y414" t="str">
        <f t="shared" si="149"/>
        <v>1413</v>
      </c>
      <c r="AB414" s="10"/>
      <c r="AC414" s="10"/>
      <c r="AD414" s="10"/>
      <c r="AE414" s="10"/>
      <c r="AF414" s="10"/>
      <c r="AG414" s="10"/>
      <c r="AH414" s="10"/>
      <c r="AI414" s="10"/>
    </row>
    <row r="415" spans="1:35">
      <c r="A415" s="10"/>
      <c r="B415" s="10" t="str">
        <f t="shared" si="144"/>
        <v>Above the Line</v>
      </c>
      <c r="C415" t="s">
        <v>7</v>
      </c>
      <c r="D415" t="s">
        <v>19</v>
      </c>
      <c r="E415" t="s">
        <v>214</v>
      </c>
      <c r="G415" t="s">
        <v>2311</v>
      </c>
      <c r="I415" s="10"/>
      <c r="J415" s="107">
        <f>SUMIF(Data!C:C,G415,Data!Q:Q)</f>
        <v>0</v>
      </c>
      <c r="K415" s="107">
        <f>SUMIF(Comprometidos!A:A,'Cost Report'!G415,Comprometidos!E:E)</f>
        <v>0</v>
      </c>
      <c r="L415" s="107">
        <f t="shared" si="145"/>
        <v>0</v>
      </c>
      <c r="M415" s="107">
        <f t="shared" si="146"/>
        <v>0</v>
      </c>
      <c r="N415" s="107">
        <f t="shared" si="147"/>
        <v>0</v>
      </c>
      <c r="O415" s="107">
        <f>VLOOKUP(G415,Budget!$E$3:$G$2474,3,0)</f>
        <v>0</v>
      </c>
      <c r="P415" s="107">
        <f t="shared" si="148"/>
        <v>0</v>
      </c>
      <c r="Q415" s="107"/>
      <c r="R415" s="10"/>
      <c r="S415" s="107">
        <v>0</v>
      </c>
      <c r="T415" s="107">
        <f t="shared" si="138"/>
        <v>0</v>
      </c>
      <c r="U415" s="107"/>
      <c r="V415" s="175"/>
      <c r="W415" s="10"/>
      <c r="X415" s="10"/>
      <c r="Y415" t="str">
        <f t="shared" si="149"/>
        <v>1413</v>
      </c>
      <c r="AB415" s="10"/>
      <c r="AC415" s="10"/>
      <c r="AD415" s="10"/>
      <c r="AE415" s="10"/>
      <c r="AF415" s="10"/>
      <c r="AG415" s="10"/>
      <c r="AH415" s="10"/>
      <c r="AI415" s="10"/>
    </row>
    <row r="416" spans="1:35">
      <c r="A416" s="10"/>
      <c r="B416" s="10" t="str">
        <f t="shared" si="144"/>
        <v>Above the LinePREP</v>
      </c>
      <c r="C416" t="s">
        <v>7</v>
      </c>
      <c r="D416" t="s">
        <v>19</v>
      </c>
      <c r="E416" t="s">
        <v>234</v>
      </c>
      <c r="G416" t="s">
        <v>2312</v>
      </c>
      <c r="I416" s="10"/>
      <c r="J416" s="107">
        <f>SUMIF(Data!C:C,G416,Data!Q:Q)</f>
        <v>2100</v>
      </c>
      <c r="K416" s="107">
        <f>SUMIF(Comprometidos!A:A,'Cost Report'!G416,Comprometidos!E:E)</f>
        <v>0</v>
      </c>
      <c r="L416" s="107">
        <f t="shared" si="145"/>
        <v>2100</v>
      </c>
      <c r="M416" s="107">
        <f t="shared" si="146"/>
        <v>0</v>
      </c>
      <c r="N416" s="107">
        <f t="shared" si="147"/>
        <v>2100</v>
      </c>
      <c r="O416" s="107">
        <f>VLOOKUP(G416,Budget!$E$3:$G$2474,3,0)</f>
        <v>2100</v>
      </c>
      <c r="P416" s="107">
        <f t="shared" si="148"/>
        <v>0</v>
      </c>
      <c r="Q416" s="107"/>
      <c r="R416" s="10"/>
      <c r="S416" s="107">
        <v>2100</v>
      </c>
      <c r="T416" s="107">
        <f t="shared" si="138"/>
        <v>0</v>
      </c>
      <c r="U416" s="107"/>
      <c r="V416" s="175"/>
      <c r="W416" s="10"/>
      <c r="X416" s="10"/>
      <c r="Y416" t="str">
        <f t="shared" si="149"/>
        <v>1413</v>
      </c>
      <c r="AB416" s="10"/>
      <c r="AC416" s="10"/>
      <c r="AD416" s="10"/>
      <c r="AE416" s="10"/>
      <c r="AF416" s="10"/>
      <c r="AG416" s="10"/>
      <c r="AH416" s="10"/>
      <c r="AI416" s="10"/>
    </row>
    <row r="417" spans="1:35">
      <c r="A417" s="10"/>
      <c r="B417" s="10" t="str">
        <f t="shared" si="144"/>
        <v>Above the Line</v>
      </c>
      <c r="C417" t="s">
        <v>7</v>
      </c>
      <c r="D417" t="s">
        <v>19</v>
      </c>
      <c r="E417" t="s">
        <v>214</v>
      </c>
      <c r="G417" t="s">
        <v>2313</v>
      </c>
      <c r="I417" s="10"/>
      <c r="J417" s="107">
        <f>SUMIF(Data!C:C,G417,Data!Q:Q)</f>
        <v>0</v>
      </c>
      <c r="K417" s="107">
        <f>SUMIF(Comprometidos!A:A,'Cost Report'!G417,Comprometidos!E:E)</f>
        <v>0</v>
      </c>
      <c r="L417" s="107">
        <f t="shared" si="145"/>
        <v>0</v>
      </c>
      <c r="M417" s="107">
        <f t="shared" si="146"/>
        <v>0</v>
      </c>
      <c r="N417" s="107">
        <f t="shared" si="147"/>
        <v>0</v>
      </c>
      <c r="O417" s="107">
        <f>VLOOKUP(G417,Budget!$E$3:$G$2474,3,0)</f>
        <v>0</v>
      </c>
      <c r="P417" s="107">
        <f t="shared" si="148"/>
        <v>0</v>
      </c>
      <c r="Q417" s="107"/>
      <c r="R417" s="10"/>
      <c r="S417" s="107">
        <v>0</v>
      </c>
      <c r="T417" s="107">
        <f t="shared" si="138"/>
        <v>0</v>
      </c>
      <c r="U417" s="107"/>
      <c r="V417" s="175"/>
      <c r="W417" s="10"/>
      <c r="X417" s="10"/>
      <c r="Y417" t="str">
        <f t="shared" si="149"/>
        <v>1413</v>
      </c>
      <c r="AB417" s="10"/>
      <c r="AC417" s="10"/>
      <c r="AD417" s="10"/>
      <c r="AE417" s="10"/>
      <c r="AF417" s="10"/>
      <c r="AG417" s="10"/>
      <c r="AH417" s="10"/>
      <c r="AI417" s="10"/>
    </row>
    <row r="418" spans="1:35">
      <c r="A418" s="10"/>
      <c r="B418" s="10" t="str">
        <f t="shared" si="144"/>
        <v>Above the LinePREP</v>
      </c>
      <c r="C418" t="s">
        <v>7</v>
      </c>
      <c r="D418" t="s">
        <v>19</v>
      </c>
      <c r="E418" t="s">
        <v>234</v>
      </c>
      <c r="G418" t="s">
        <v>2314</v>
      </c>
      <c r="I418" s="10"/>
      <c r="J418" s="107">
        <f>SUMIF(Data!C:C,G418,Data!Q:Q)</f>
        <v>2100</v>
      </c>
      <c r="K418" s="107">
        <f>SUMIF(Comprometidos!A:A,'Cost Report'!G418,Comprometidos!E:E)</f>
        <v>0</v>
      </c>
      <c r="L418" s="107">
        <f t="shared" si="145"/>
        <v>2100</v>
      </c>
      <c r="M418" s="107">
        <f t="shared" si="146"/>
        <v>0</v>
      </c>
      <c r="N418" s="107">
        <f t="shared" si="147"/>
        <v>2100</v>
      </c>
      <c r="O418" s="107">
        <f>VLOOKUP(G418,Budget!$E$3:$G$2474,3,0)</f>
        <v>2100</v>
      </c>
      <c r="P418" s="107">
        <f t="shared" si="148"/>
        <v>0</v>
      </c>
      <c r="Q418" s="107"/>
      <c r="R418" s="10"/>
      <c r="S418" s="107">
        <v>2100</v>
      </c>
      <c r="T418" s="107">
        <f t="shared" si="138"/>
        <v>0</v>
      </c>
      <c r="U418" s="107"/>
      <c r="V418" s="175"/>
      <c r="W418" s="10"/>
      <c r="X418" s="10"/>
      <c r="Y418" t="str">
        <f t="shared" si="149"/>
        <v>1413</v>
      </c>
      <c r="AB418" s="10"/>
      <c r="AC418" s="10"/>
      <c r="AD418" s="10"/>
      <c r="AE418" s="10"/>
      <c r="AF418" s="10"/>
      <c r="AG418" s="10"/>
      <c r="AH418" s="10"/>
      <c r="AI418" s="10"/>
    </row>
    <row r="419" spans="1:35">
      <c r="A419" s="10"/>
      <c r="B419" s="10" t="str">
        <f t="shared" si="144"/>
        <v>Above the Line</v>
      </c>
      <c r="C419" t="s">
        <v>7</v>
      </c>
      <c r="D419" t="s">
        <v>19</v>
      </c>
      <c r="E419" t="s">
        <v>214</v>
      </c>
      <c r="G419" t="s">
        <v>2315</v>
      </c>
      <c r="I419" s="10"/>
      <c r="J419" s="107">
        <f>SUMIF(Data!C:C,G419,Data!Q:Q)</f>
        <v>0</v>
      </c>
      <c r="K419" s="107">
        <f>SUMIF(Comprometidos!A:A,'Cost Report'!G419,Comprometidos!E:E)</f>
        <v>0</v>
      </c>
      <c r="L419" s="107">
        <f t="shared" si="145"/>
        <v>0</v>
      </c>
      <c r="M419" s="107">
        <f t="shared" si="146"/>
        <v>0</v>
      </c>
      <c r="N419" s="107">
        <f t="shared" si="147"/>
        <v>0</v>
      </c>
      <c r="O419" s="107">
        <f>VLOOKUP(G419,Budget!$E$3:$G$2474,3,0)</f>
        <v>0</v>
      </c>
      <c r="P419" s="107">
        <f t="shared" si="148"/>
        <v>0</v>
      </c>
      <c r="Q419" s="107"/>
      <c r="R419" s="10"/>
      <c r="S419" s="107">
        <v>0</v>
      </c>
      <c r="T419" s="107">
        <f t="shared" si="138"/>
        <v>0</v>
      </c>
      <c r="U419" s="107"/>
      <c r="V419" s="175"/>
      <c r="W419" s="10"/>
      <c r="X419" s="10"/>
      <c r="Y419" t="str">
        <f t="shared" si="149"/>
        <v>1413</v>
      </c>
      <c r="AB419" s="10"/>
      <c r="AC419" s="10"/>
      <c r="AD419" s="10"/>
      <c r="AE419" s="10"/>
      <c r="AF419" s="10"/>
      <c r="AG419" s="10"/>
      <c r="AH419" s="10"/>
      <c r="AI419" s="10"/>
    </row>
    <row r="420" spans="1:35">
      <c r="A420" s="10"/>
      <c r="B420" s="10" t="str">
        <f t="shared" si="144"/>
        <v>Above the LinePREP</v>
      </c>
      <c r="C420" t="s">
        <v>7</v>
      </c>
      <c r="D420" t="s">
        <v>19</v>
      </c>
      <c r="E420" t="s">
        <v>234</v>
      </c>
      <c r="G420" t="s">
        <v>2316</v>
      </c>
      <c r="I420" s="10"/>
      <c r="J420" s="107">
        <f>SUMIF(Data!C:C,G420,Data!Q:Q)</f>
        <v>9200</v>
      </c>
      <c r="K420" s="107">
        <f>SUMIF(Comprometidos!A:A,'Cost Report'!G420,Comprometidos!E:E)</f>
        <v>0</v>
      </c>
      <c r="L420" s="107">
        <f t="shared" si="145"/>
        <v>9200</v>
      </c>
      <c r="M420" s="107">
        <v>0</v>
      </c>
      <c r="N420" s="107">
        <f t="shared" si="147"/>
        <v>9200</v>
      </c>
      <c r="O420" s="107">
        <f>VLOOKUP(G420,Budget!$E$3:$G$2474,3,0)</f>
        <v>2800</v>
      </c>
      <c r="P420" s="107">
        <f t="shared" si="148"/>
        <v>-6400</v>
      </c>
      <c r="Q420" s="107"/>
      <c r="R420" s="10"/>
      <c r="S420" s="107">
        <v>9200</v>
      </c>
      <c r="T420" s="107">
        <f t="shared" si="138"/>
        <v>0</v>
      </c>
      <c r="U420" s="107"/>
      <c r="V420" s="175"/>
      <c r="W420" s="10"/>
      <c r="X420" s="10"/>
      <c r="Y420" t="str">
        <f t="shared" si="149"/>
        <v>1413</v>
      </c>
      <c r="AB420" s="10"/>
      <c r="AC420" s="10"/>
      <c r="AD420" s="10"/>
      <c r="AE420" s="10"/>
      <c r="AF420" s="10"/>
      <c r="AG420" s="10"/>
      <c r="AH420" s="10"/>
      <c r="AI420" s="10"/>
    </row>
    <row r="421" spans="1:35">
      <c r="A421" s="10"/>
      <c r="B421" s="10" t="str">
        <f t="shared" si="144"/>
        <v>Above the Line</v>
      </c>
      <c r="C421" t="s">
        <v>7</v>
      </c>
      <c r="D421" t="s">
        <v>19</v>
      </c>
      <c r="E421" t="s">
        <v>214</v>
      </c>
      <c r="G421" t="s">
        <v>2317</v>
      </c>
      <c r="I421" s="10"/>
      <c r="J421" s="107">
        <f>SUMIF(Data!C:C,G421,Data!Q:Q)</f>
        <v>0</v>
      </c>
      <c r="K421" s="107">
        <f>SUMIF(Comprometidos!A:A,'Cost Report'!G421,Comprometidos!E:E)</f>
        <v>0</v>
      </c>
      <c r="L421" s="107">
        <f t="shared" si="145"/>
        <v>0</v>
      </c>
      <c r="M421" s="107">
        <f t="shared" si="146"/>
        <v>0</v>
      </c>
      <c r="N421" s="107">
        <f t="shared" si="147"/>
        <v>0</v>
      </c>
      <c r="O421" s="107">
        <f>VLOOKUP(G421,Budget!$E$3:$G$2474,3,0)</f>
        <v>0</v>
      </c>
      <c r="P421" s="107">
        <f t="shared" si="148"/>
        <v>0</v>
      </c>
      <c r="Q421" s="107"/>
      <c r="R421" s="10"/>
      <c r="S421" s="107">
        <v>0</v>
      </c>
      <c r="T421" s="107">
        <f t="shared" si="138"/>
        <v>0</v>
      </c>
      <c r="U421" s="107"/>
      <c r="V421" s="175"/>
      <c r="W421" s="10"/>
      <c r="X421" s="10"/>
      <c r="Y421" t="str">
        <f t="shared" si="149"/>
        <v>1413</v>
      </c>
      <c r="AB421" s="10"/>
      <c r="AC421" s="10"/>
      <c r="AD421" s="10"/>
      <c r="AE421" s="10"/>
      <c r="AF421" s="10"/>
      <c r="AG421" s="10"/>
      <c r="AH421" s="10"/>
      <c r="AI421" s="10"/>
    </row>
    <row r="422" spans="1:35">
      <c r="A422" s="10"/>
      <c r="B422" s="10" t="str">
        <f t="shared" si="144"/>
        <v>Above the LinePREP</v>
      </c>
      <c r="C422" t="s">
        <v>7</v>
      </c>
      <c r="D422" t="s">
        <v>19</v>
      </c>
      <c r="E422" t="s">
        <v>234</v>
      </c>
      <c r="G422" t="s">
        <v>2318</v>
      </c>
      <c r="I422" s="10"/>
      <c r="J422" s="107">
        <f>SUMIF(Data!C:C,G422,Data!Q:Q)</f>
        <v>2100</v>
      </c>
      <c r="K422" s="107">
        <f>SUMIF(Comprometidos!A:A,'Cost Report'!G422,Comprometidos!E:E)</f>
        <v>0</v>
      </c>
      <c r="L422" s="107">
        <f t="shared" si="145"/>
        <v>2100</v>
      </c>
      <c r="M422" s="107">
        <f t="shared" si="146"/>
        <v>0</v>
      </c>
      <c r="N422" s="107">
        <f t="shared" si="147"/>
        <v>2100</v>
      </c>
      <c r="O422" s="107">
        <f>VLOOKUP(G422,Budget!$E$3:$G$2474,3,0)</f>
        <v>2100</v>
      </c>
      <c r="P422" s="107">
        <f t="shared" si="148"/>
        <v>0</v>
      </c>
      <c r="Q422" s="107"/>
      <c r="R422" s="10"/>
      <c r="S422" s="107">
        <v>2100</v>
      </c>
      <c r="T422" s="107">
        <f t="shared" si="138"/>
        <v>0</v>
      </c>
      <c r="U422" s="107"/>
      <c r="V422" s="175"/>
      <c r="W422" s="10"/>
      <c r="X422" s="10"/>
      <c r="Y422" t="str">
        <f t="shared" si="149"/>
        <v>1413</v>
      </c>
      <c r="AB422" s="10"/>
      <c r="AC422" s="10"/>
      <c r="AD422" s="10"/>
      <c r="AE422" s="10"/>
      <c r="AF422" s="10"/>
      <c r="AG422" s="10"/>
      <c r="AH422" s="10"/>
      <c r="AI422" s="10"/>
    </row>
    <row r="423" spans="1:35">
      <c r="A423" s="10"/>
      <c r="B423" s="10" t="str">
        <f t="shared" si="144"/>
        <v>Above the Line</v>
      </c>
      <c r="C423" t="s">
        <v>7</v>
      </c>
      <c r="D423" t="s">
        <v>19</v>
      </c>
      <c r="E423" t="s">
        <v>214</v>
      </c>
      <c r="G423" t="s">
        <v>2319</v>
      </c>
      <c r="I423" s="10"/>
      <c r="J423" s="107">
        <f>SUMIF(Data!C:C,G423,Data!Q:Q)</f>
        <v>0</v>
      </c>
      <c r="K423" s="107">
        <f>SUMIF(Comprometidos!A:A,'Cost Report'!G423,Comprometidos!E:E)</f>
        <v>0</v>
      </c>
      <c r="L423" s="107">
        <f t="shared" si="145"/>
        <v>0</v>
      </c>
      <c r="M423" s="107">
        <f t="shared" si="146"/>
        <v>0</v>
      </c>
      <c r="N423" s="107">
        <f t="shared" si="147"/>
        <v>0</v>
      </c>
      <c r="O423" s="107">
        <f>VLOOKUP(G423,Budget!$E$3:$G$2474,3,0)</f>
        <v>0</v>
      </c>
      <c r="P423" s="107">
        <f t="shared" si="148"/>
        <v>0</v>
      </c>
      <c r="Q423" s="107"/>
      <c r="R423" s="10"/>
      <c r="S423" s="107">
        <v>0</v>
      </c>
      <c r="T423" s="107">
        <f t="shared" si="138"/>
        <v>0</v>
      </c>
      <c r="U423" s="107"/>
      <c r="V423" s="175"/>
      <c r="W423" s="10"/>
      <c r="X423" s="10"/>
      <c r="Y423" t="str">
        <f t="shared" si="149"/>
        <v>1413</v>
      </c>
      <c r="AB423" s="10"/>
      <c r="AC423" s="10"/>
      <c r="AD423" s="10"/>
      <c r="AE423" s="10"/>
      <c r="AF423" s="10"/>
      <c r="AG423" s="10"/>
      <c r="AH423" s="10"/>
      <c r="AI423" s="10"/>
    </row>
    <row r="424" spans="1:35">
      <c r="A424" s="10"/>
      <c r="B424" s="10" t="str">
        <f t="shared" si="144"/>
        <v>Above the LineSHOOT</v>
      </c>
      <c r="C424" t="s">
        <v>7</v>
      </c>
      <c r="D424" t="s">
        <v>19</v>
      </c>
      <c r="E424" t="s">
        <v>236</v>
      </c>
      <c r="G424" t="s">
        <v>2320</v>
      </c>
      <c r="I424" s="10"/>
      <c r="J424" s="107">
        <f>SUMIF(Data!C:C,G424,Data!Q:Q)</f>
        <v>3300</v>
      </c>
      <c r="K424" s="107">
        <f>SUMIF(Comprometidos!A:A,'Cost Report'!G424,Comprometidos!E:E)</f>
        <v>0</v>
      </c>
      <c r="L424" s="107">
        <f t="shared" si="145"/>
        <v>3300</v>
      </c>
      <c r="M424" s="107">
        <v>0</v>
      </c>
      <c r="N424" s="107">
        <f t="shared" si="147"/>
        <v>3300</v>
      </c>
      <c r="O424" s="107">
        <f>VLOOKUP(G424,Budget!$E$3:$G$2474,3,0)</f>
        <v>56000</v>
      </c>
      <c r="P424" s="107">
        <f t="shared" si="148"/>
        <v>52700</v>
      </c>
      <c r="Q424" s="107"/>
      <c r="R424" s="10"/>
      <c r="S424" s="107">
        <v>3300</v>
      </c>
      <c r="T424" s="107">
        <f t="shared" si="138"/>
        <v>0</v>
      </c>
      <c r="U424" s="107"/>
      <c r="V424" s="175"/>
      <c r="W424" s="10"/>
      <c r="X424" s="10"/>
      <c r="Y424" t="str">
        <f t="shared" si="149"/>
        <v>1413</v>
      </c>
      <c r="AB424" s="10"/>
      <c r="AC424" s="10"/>
      <c r="AD424" s="10"/>
      <c r="AE424" s="10"/>
      <c r="AF424" s="10"/>
      <c r="AG424" s="10"/>
      <c r="AH424" s="10"/>
      <c r="AI424" s="10"/>
    </row>
    <row r="425" spans="1:35">
      <c r="A425" s="10"/>
      <c r="B425" s="10" t="str">
        <f>+C425</f>
        <v>Above the Line</v>
      </c>
      <c r="C425" s="128" t="s">
        <v>7</v>
      </c>
      <c r="D425" s="128" t="s">
        <v>2117</v>
      </c>
      <c r="E425" s="128"/>
      <c r="F425" s="128"/>
      <c r="G425" s="128" t="s">
        <v>385</v>
      </c>
      <c r="H425" s="128"/>
      <c r="I425" s="10"/>
      <c r="J425" s="129">
        <f>SUMIF($Y$11:$Y$2484,G425,J$11:J$2484)</f>
        <v>381243</v>
      </c>
      <c r="K425" s="129">
        <f>SUMIF($Y$11:$Y$2484,G425,K$11:K$2484)</f>
        <v>0</v>
      </c>
      <c r="L425" s="129">
        <f>SUMIF($Y$11:$Y$2484,G425,L$11:L$2484)</f>
        <v>381243</v>
      </c>
      <c r="M425" s="129">
        <f>SUMIF($Y$11:$Y$2484,G425,M$11:M$2484)</f>
        <v>0</v>
      </c>
      <c r="N425" s="129">
        <f>SUMIF($Y$11:$Y$2484,G425,N$11:N$2484)</f>
        <v>381243</v>
      </c>
      <c r="O425" s="129">
        <f>SUMIF($Y$11:$Y$2484,G425,O$11:O$2484)</f>
        <v>381225</v>
      </c>
      <c r="P425" s="129">
        <f>SUMIF($Y$11:$Y$2484,G425,P$11:P$2484)</f>
        <v>-18</v>
      </c>
      <c r="Q425" s="129"/>
      <c r="R425" s="10"/>
      <c r="S425" s="129">
        <v>381243</v>
      </c>
      <c r="T425" s="129">
        <f t="shared" si="138"/>
        <v>0</v>
      </c>
      <c r="U425" s="128"/>
      <c r="V425" s="175"/>
      <c r="W425" s="10"/>
      <c r="X425" s="10"/>
      <c r="Z425" t="str">
        <f>LEFT(G425,2)</f>
        <v>14</v>
      </c>
      <c r="AA425" t="str">
        <f>+Z425&amp;"00"</f>
        <v>1400</v>
      </c>
      <c r="AB425" s="10"/>
      <c r="AC425" s="10"/>
      <c r="AD425" s="10"/>
      <c r="AE425" s="10"/>
      <c r="AF425" s="10"/>
      <c r="AG425" s="10"/>
      <c r="AH425" s="10"/>
      <c r="AI425" s="10"/>
    </row>
    <row r="426" spans="1:35">
      <c r="A426" s="10"/>
      <c r="B426" s="10" t="str">
        <f t="shared" ref="B426:B427" si="150">+C426&amp;E426</f>
        <v>Above the Line</v>
      </c>
      <c r="C426" t="s">
        <v>7</v>
      </c>
      <c r="D426" t="s">
        <v>19</v>
      </c>
      <c r="E426" t="s">
        <v>214</v>
      </c>
      <c r="G426" t="s">
        <v>177</v>
      </c>
      <c r="I426" s="10"/>
      <c r="J426" s="107">
        <f>SUMIF(Data!C:C,G426,Data!Q:Q)</f>
        <v>0</v>
      </c>
      <c r="K426" s="107">
        <f>SUMIF(Comprometidos!A:A,'Cost Report'!G426,Comprometidos!E:E)</f>
        <v>0</v>
      </c>
      <c r="L426" s="107">
        <f t="shared" ref="L426:L437" si="151">+J426+K426</f>
        <v>0</v>
      </c>
      <c r="M426" s="107">
        <f t="shared" ref="M426:M436" si="152">+O426-L426</f>
        <v>0</v>
      </c>
      <c r="N426" s="107">
        <f t="shared" ref="N426:N437" si="153">+L426+M426</f>
        <v>0</v>
      </c>
      <c r="O426" s="107">
        <f>VLOOKUP(G426,Budget!$E$3:$G$2474,3,0)</f>
        <v>0</v>
      </c>
      <c r="P426" s="107">
        <f t="shared" ref="P426:P437" si="154">+O426-N426</f>
        <v>0</v>
      </c>
      <c r="Q426" s="107"/>
      <c r="R426" s="10"/>
      <c r="S426" s="107">
        <v>0</v>
      </c>
      <c r="T426" s="107">
        <f t="shared" si="138"/>
        <v>0</v>
      </c>
      <c r="U426" s="107"/>
      <c r="V426" s="175"/>
      <c r="W426" s="10"/>
      <c r="X426" s="10"/>
      <c r="Y426" t="str">
        <f t="shared" ref="Y426:Y427" si="155">LEFT(G426,4)</f>
        <v>1420</v>
      </c>
      <c r="AB426" s="10"/>
      <c r="AC426" s="10"/>
      <c r="AD426" s="10"/>
      <c r="AE426" s="10"/>
      <c r="AF426" s="10"/>
      <c r="AG426" s="10"/>
      <c r="AH426" s="10"/>
      <c r="AI426" s="10"/>
    </row>
    <row r="427" spans="1:35">
      <c r="A427" s="10"/>
      <c r="B427" s="10" t="str">
        <f t="shared" si="150"/>
        <v>Above the LineALL SHOW</v>
      </c>
      <c r="C427" t="s">
        <v>7</v>
      </c>
      <c r="D427" t="s">
        <v>19</v>
      </c>
      <c r="E427" t="s">
        <v>227</v>
      </c>
      <c r="G427" t="s">
        <v>2321</v>
      </c>
      <c r="I427" s="10"/>
      <c r="J427" s="107">
        <f>SUMIF(Data!C:C,G427,Data!Q:Q)</f>
        <v>381243</v>
      </c>
      <c r="K427" s="107">
        <f>SUMIF(Comprometidos!A:A,'Cost Report'!G427,Comprometidos!E:E)</f>
        <v>0</v>
      </c>
      <c r="L427" s="107">
        <f t="shared" si="151"/>
        <v>381243</v>
      </c>
      <c r="M427" s="107">
        <v>0</v>
      </c>
      <c r="N427" s="107">
        <f t="shared" si="153"/>
        <v>381243</v>
      </c>
      <c r="O427" s="107">
        <f>VLOOKUP(G427,Budget!$E$3:$G$2474,3,0)</f>
        <v>381225</v>
      </c>
      <c r="P427" s="107">
        <f t="shared" si="154"/>
        <v>-18</v>
      </c>
      <c r="Q427" s="107"/>
      <c r="R427" s="10"/>
      <c r="S427" s="107">
        <v>381243</v>
      </c>
      <c r="T427" s="107">
        <f t="shared" si="138"/>
        <v>0</v>
      </c>
      <c r="U427" s="107"/>
      <c r="V427" s="175"/>
      <c r="W427" s="10"/>
      <c r="X427" s="10"/>
      <c r="Y427" t="str">
        <f t="shared" si="155"/>
        <v>1420</v>
      </c>
      <c r="AB427" s="10"/>
      <c r="AC427" s="10"/>
      <c r="AD427" s="10"/>
      <c r="AE427" s="10"/>
      <c r="AF427" s="10"/>
      <c r="AG427" s="10"/>
      <c r="AH427" s="10"/>
      <c r="AI427" s="10"/>
    </row>
    <row r="428" spans="1:35">
      <c r="A428" s="10"/>
      <c r="B428" s="10" t="str">
        <f>+C428</f>
        <v>Above the Line</v>
      </c>
      <c r="C428" s="128" t="s">
        <v>7</v>
      </c>
      <c r="D428" s="128" t="s">
        <v>2117</v>
      </c>
      <c r="E428" s="128"/>
      <c r="F428" s="128"/>
      <c r="G428" s="128" t="s">
        <v>386</v>
      </c>
      <c r="H428" s="128"/>
      <c r="I428" s="10"/>
      <c r="J428" s="129">
        <f>SUMIF($Y$11:$Y$2484,G428,J$11:J$2484)</f>
        <v>24858.656999999999</v>
      </c>
      <c r="K428" s="129">
        <f>SUMIF($Y$11:$Y$2484,G428,K$11:K$2484)</f>
        <v>0</v>
      </c>
      <c r="L428" s="129">
        <f>SUMIF($Y$11:$Y$2484,G428,L$11:L$2484)</f>
        <v>24858.656999999999</v>
      </c>
      <c r="M428" s="129">
        <f>SUMIF($Y$11:$Y$2484,G428,M$11:M$2484)</f>
        <v>0</v>
      </c>
      <c r="N428" s="129">
        <f>SUMIF($Y$11:$Y$2484,G428,N$11:N$2484)</f>
        <v>24858.656999999999</v>
      </c>
      <c r="O428" s="129">
        <f>SUMIF($Y$11:$Y$2484,G428,O$11:O$2484)</f>
        <v>33868</v>
      </c>
      <c r="P428" s="129">
        <f>SUMIF($Y$11:$Y$2484,G428,P$11:P$2484)</f>
        <v>9009.3430000000008</v>
      </c>
      <c r="Q428" s="129"/>
      <c r="R428" s="10"/>
      <c r="S428" s="129">
        <v>23513.460000000003</v>
      </c>
      <c r="T428" s="129">
        <f t="shared" si="138"/>
        <v>-1345.1969999999965</v>
      </c>
      <c r="U428" s="128"/>
      <c r="V428" s="175"/>
      <c r="W428" s="10"/>
      <c r="X428" s="10"/>
      <c r="Z428" t="str">
        <f>LEFT(G428,2)</f>
        <v>14</v>
      </c>
      <c r="AA428" t="str">
        <f>+Z428&amp;"00"</f>
        <v>1400</v>
      </c>
      <c r="AB428" s="10"/>
      <c r="AC428" s="10"/>
      <c r="AD428" s="10"/>
      <c r="AE428" s="10"/>
      <c r="AF428" s="10"/>
      <c r="AG428" s="10"/>
      <c r="AH428" s="10"/>
      <c r="AI428" s="10"/>
    </row>
    <row r="429" spans="1:35">
      <c r="A429" s="10"/>
      <c r="B429" s="10" t="str">
        <f t="shared" ref="B429:B437" si="156">+C429&amp;E429</f>
        <v>Above the Line</v>
      </c>
      <c r="C429" t="s">
        <v>7</v>
      </c>
      <c r="D429" t="s">
        <v>19</v>
      </c>
      <c r="E429" t="s">
        <v>214</v>
      </c>
      <c r="G429" t="s">
        <v>387</v>
      </c>
      <c r="I429" s="10"/>
      <c r="J429" s="107">
        <f>SUMIF(Data!C:C,G429,Data!Q:Q)</f>
        <v>0</v>
      </c>
      <c r="K429" s="107">
        <f>SUMIF(Comprometidos!A:A,'Cost Report'!G429,Comprometidos!E:E)</f>
        <v>0</v>
      </c>
      <c r="L429" s="107">
        <f t="shared" si="151"/>
        <v>0</v>
      </c>
      <c r="M429" s="107">
        <f t="shared" si="152"/>
        <v>0</v>
      </c>
      <c r="N429" s="107">
        <f t="shared" si="153"/>
        <v>0</v>
      </c>
      <c r="O429" s="107">
        <f>VLOOKUP(G429,Budget!$E$3:$G$2474,3,0)</f>
        <v>0</v>
      </c>
      <c r="P429" s="107">
        <f t="shared" si="154"/>
        <v>0</v>
      </c>
      <c r="Q429" s="107"/>
      <c r="R429" s="10"/>
      <c r="S429" s="107">
        <v>0</v>
      </c>
      <c r="T429" s="107">
        <f t="shared" si="138"/>
        <v>0</v>
      </c>
      <c r="U429" s="107"/>
      <c r="V429" s="175"/>
      <c r="W429" s="10"/>
      <c r="X429" s="10"/>
      <c r="Y429" t="str">
        <f t="shared" ref="Y429:Y437" si="157">LEFT(G429,4)</f>
        <v>1426</v>
      </c>
      <c r="AB429" s="10"/>
      <c r="AC429" s="10"/>
      <c r="AD429" s="10"/>
      <c r="AE429" s="10"/>
      <c r="AF429" s="10"/>
      <c r="AG429" s="10"/>
      <c r="AH429" s="10"/>
      <c r="AI429" s="10"/>
    </row>
    <row r="430" spans="1:35">
      <c r="A430" s="10"/>
      <c r="B430" s="10" t="str">
        <f t="shared" si="156"/>
        <v>Above the LinePREP</v>
      </c>
      <c r="C430" t="s">
        <v>7</v>
      </c>
      <c r="D430" t="s">
        <v>19</v>
      </c>
      <c r="E430" t="s">
        <v>234</v>
      </c>
      <c r="G430" t="s">
        <v>1714</v>
      </c>
      <c r="I430" s="10"/>
      <c r="J430" s="107">
        <f>SUMIF(Data!C:C,G430,Data!Q:Q)</f>
        <v>7661.39</v>
      </c>
      <c r="K430" s="107">
        <f>SUMIF(Comprometidos!A:A,'Cost Report'!G430,Comprometidos!E:E)</f>
        <v>0</v>
      </c>
      <c r="L430" s="107">
        <f t="shared" si="151"/>
        <v>7661.39</v>
      </c>
      <c r="M430" s="107">
        <v>0</v>
      </c>
      <c r="N430" s="107">
        <f t="shared" si="153"/>
        <v>7661.39</v>
      </c>
      <c r="O430" s="107">
        <f>VLOOKUP(G430,Budget!$E$3:$G$2474,3,0)</f>
        <v>6384</v>
      </c>
      <c r="P430" s="107">
        <f t="shared" si="154"/>
        <v>-1277.3900000000003</v>
      </c>
      <c r="Q430" s="107"/>
      <c r="R430" s="10"/>
      <c r="S430" s="107">
        <v>7131.29</v>
      </c>
      <c r="T430" s="107">
        <f t="shared" si="138"/>
        <v>-530.10000000000036</v>
      </c>
      <c r="U430" s="107"/>
      <c r="V430" s="175"/>
      <c r="W430" s="10"/>
      <c r="X430" s="10"/>
      <c r="Y430" t="str">
        <f t="shared" si="157"/>
        <v>1426</v>
      </c>
      <c r="AB430" s="10"/>
      <c r="AC430" s="10"/>
      <c r="AD430" s="10"/>
      <c r="AE430" s="10"/>
      <c r="AF430" s="10"/>
      <c r="AG430" s="10"/>
      <c r="AH430" s="10"/>
      <c r="AI430" s="10"/>
    </row>
    <row r="431" spans="1:35">
      <c r="A431" s="10"/>
      <c r="B431" s="10" t="str">
        <f t="shared" si="156"/>
        <v>Above the Line</v>
      </c>
      <c r="C431" t="s">
        <v>7</v>
      </c>
      <c r="D431" t="s">
        <v>19</v>
      </c>
      <c r="E431" t="s">
        <v>214</v>
      </c>
      <c r="G431" t="s">
        <v>1715</v>
      </c>
      <c r="I431" s="10"/>
      <c r="J431" s="107">
        <f>SUMIF(Data!C:C,G431,Data!Q:Q)</f>
        <v>0</v>
      </c>
      <c r="K431" s="107">
        <f>SUMIF(Comprometidos!A:A,'Cost Report'!G431,Comprometidos!E:E)</f>
        <v>0</v>
      </c>
      <c r="L431" s="107">
        <f t="shared" si="151"/>
        <v>0</v>
      </c>
      <c r="M431" s="107">
        <v>0</v>
      </c>
      <c r="N431" s="107">
        <f t="shared" si="153"/>
        <v>0</v>
      </c>
      <c r="O431" s="107">
        <f>VLOOKUP(G431,Budget!$E$3:$G$2474,3,0)</f>
        <v>0</v>
      </c>
      <c r="P431" s="107">
        <f t="shared" si="154"/>
        <v>0</v>
      </c>
      <c r="Q431" s="107"/>
      <c r="R431" s="10"/>
      <c r="S431" s="107">
        <v>0</v>
      </c>
      <c r="T431" s="107">
        <f t="shared" si="138"/>
        <v>0</v>
      </c>
      <c r="U431" s="107"/>
      <c r="V431" s="175"/>
      <c r="W431" s="10"/>
      <c r="X431" s="10"/>
      <c r="Y431" t="str">
        <f t="shared" si="157"/>
        <v>1426</v>
      </c>
      <c r="AB431" s="10"/>
      <c r="AC431" s="10"/>
      <c r="AD431" s="10"/>
      <c r="AE431" s="10"/>
      <c r="AF431" s="10"/>
      <c r="AG431" s="10"/>
      <c r="AH431" s="10"/>
      <c r="AI431" s="10"/>
    </row>
    <row r="432" spans="1:35">
      <c r="A432" s="10"/>
      <c r="B432" s="10" t="str">
        <f t="shared" si="156"/>
        <v>Above the LinePREP</v>
      </c>
      <c r="C432" t="s">
        <v>7</v>
      </c>
      <c r="D432" t="s">
        <v>19</v>
      </c>
      <c r="E432" t="s">
        <v>234</v>
      </c>
      <c r="G432" t="s">
        <v>2322</v>
      </c>
      <c r="I432" s="10"/>
      <c r="J432" s="107">
        <f>SUMIF(Data!C:C,G432,Data!Q:Q)</f>
        <v>5681</v>
      </c>
      <c r="K432" s="107">
        <f>SUMIF(Comprometidos!A:A,'Cost Report'!G432,Comprometidos!E:E)</f>
        <v>0</v>
      </c>
      <c r="L432" s="107">
        <f t="shared" si="151"/>
        <v>5681</v>
      </c>
      <c r="M432" s="107">
        <v>0</v>
      </c>
      <c r="N432" s="107">
        <f t="shared" si="153"/>
        <v>5681</v>
      </c>
      <c r="O432" s="107">
        <f>VLOOKUP(G432,Budget!$E$3:$G$2474,3,0)</f>
        <v>6477</v>
      </c>
      <c r="P432" s="107">
        <f t="shared" si="154"/>
        <v>796</v>
      </c>
      <c r="Q432" s="107"/>
      <c r="R432" s="10"/>
      <c r="S432" s="107">
        <v>5681</v>
      </c>
      <c r="T432" s="107">
        <f t="shared" si="138"/>
        <v>0</v>
      </c>
      <c r="U432" s="107"/>
      <c r="V432" s="175"/>
      <c r="W432" s="10"/>
      <c r="X432" s="10"/>
      <c r="Y432" t="str">
        <f t="shared" si="157"/>
        <v>1426</v>
      </c>
      <c r="AB432" s="10"/>
      <c r="AC432" s="10"/>
      <c r="AD432" s="10"/>
      <c r="AE432" s="10"/>
      <c r="AF432" s="10"/>
      <c r="AG432" s="10"/>
      <c r="AH432" s="10"/>
      <c r="AI432" s="10"/>
    </row>
    <row r="433" spans="1:35">
      <c r="A433" s="10"/>
      <c r="B433" s="10" t="str">
        <f t="shared" si="156"/>
        <v>Above the LinePREP</v>
      </c>
      <c r="C433" t="s">
        <v>7</v>
      </c>
      <c r="D433" t="s">
        <v>19</v>
      </c>
      <c r="E433" t="s">
        <v>234</v>
      </c>
      <c r="G433" t="s">
        <v>2323</v>
      </c>
      <c r="I433" s="10"/>
      <c r="J433" s="107">
        <f>SUMIF(Data!C:C,G433,Data!Q:Q)</f>
        <v>969.923</v>
      </c>
      <c r="K433" s="107">
        <f>SUMIF(Comprometidos!A:A,'Cost Report'!G433,Comprometidos!E:E)</f>
        <v>0</v>
      </c>
      <c r="L433" s="107">
        <f t="shared" si="151"/>
        <v>969.923</v>
      </c>
      <c r="M433" s="107">
        <v>0</v>
      </c>
      <c r="N433" s="107">
        <f t="shared" si="153"/>
        <v>969.923</v>
      </c>
      <c r="O433" s="107">
        <f>VLOOKUP(G433,Budget!$E$3:$G$2474,3,0)</f>
        <v>1218</v>
      </c>
      <c r="P433" s="107">
        <f t="shared" si="154"/>
        <v>248.077</v>
      </c>
      <c r="Q433" s="107"/>
      <c r="R433" s="10"/>
      <c r="S433" s="107">
        <v>916.19</v>
      </c>
      <c r="T433" s="107">
        <f t="shared" si="138"/>
        <v>-53.732999999999947</v>
      </c>
      <c r="U433" s="107"/>
      <c r="V433" s="175"/>
      <c r="W433" s="10"/>
      <c r="X433" s="10"/>
      <c r="Y433" t="str">
        <f t="shared" si="157"/>
        <v>1426</v>
      </c>
      <c r="AB433" s="10"/>
      <c r="AC433" s="10"/>
      <c r="AD433" s="10"/>
      <c r="AE433" s="10"/>
      <c r="AF433" s="10"/>
      <c r="AG433" s="10"/>
      <c r="AH433" s="10"/>
      <c r="AI433" s="10"/>
    </row>
    <row r="434" spans="1:35">
      <c r="A434" s="10"/>
      <c r="B434" s="10" t="str">
        <f t="shared" si="156"/>
        <v>Above the LinePREP</v>
      </c>
      <c r="C434" t="s">
        <v>7</v>
      </c>
      <c r="D434" t="s">
        <v>19</v>
      </c>
      <c r="E434" t="s">
        <v>234</v>
      </c>
      <c r="G434" t="s">
        <v>2324</v>
      </c>
      <c r="I434" s="10"/>
      <c r="J434" s="107">
        <f>SUMIF(Data!C:C,G434,Data!Q:Q)</f>
        <v>870</v>
      </c>
      <c r="K434" s="107">
        <f>SUMIF(Comprometidos!A:A,'Cost Report'!G434,Comprometidos!E:E)</f>
        <v>0</v>
      </c>
      <c r="L434" s="107">
        <f t="shared" si="151"/>
        <v>870</v>
      </c>
      <c r="M434" s="107">
        <f t="shared" si="152"/>
        <v>0</v>
      </c>
      <c r="N434" s="107">
        <f t="shared" si="153"/>
        <v>870</v>
      </c>
      <c r="O434" s="107">
        <f>VLOOKUP(G434,Budget!$E$3:$G$2474,3,0)</f>
        <v>870</v>
      </c>
      <c r="P434" s="107">
        <f t="shared" si="154"/>
        <v>0</v>
      </c>
      <c r="Q434" s="107"/>
      <c r="R434" s="10"/>
      <c r="S434" s="107">
        <v>870</v>
      </c>
      <c r="T434" s="107">
        <f t="shared" si="138"/>
        <v>0</v>
      </c>
      <c r="U434" s="107"/>
      <c r="V434" s="175"/>
      <c r="W434" s="10"/>
      <c r="X434" s="10"/>
      <c r="Y434" t="str">
        <f t="shared" si="157"/>
        <v>1426</v>
      </c>
      <c r="AB434" s="10"/>
      <c r="AC434" s="10"/>
      <c r="AD434" s="10"/>
      <c r="AE434" s="10"/>
      <c r="AF434" s="10"/>
      <c r="AG434" s="10"/>
      <c r="AH434" s="10"/>
      <c r="AI434" s="10"/>
    </row>
    <row r="435" spans="1:35">
      <c r="A435" s="10"/>
      <c r="B435" s="10" t="str">
        <f t="shared" si="156"/>
        <v>Above the LinePREP</v>
      </c>
      <c r="C435" t="s">
        <v>7</v>
      </c>
      <c r="D435" t="s">
        <v>19</v>
      </c>
      <c r="E435" t="s">
        <v>234</v>
      </c>
      <c r="G435" t="s">
        <v>2325</v>
      </c>
      <c r="I435" s="10"/>
      <c r="J435" s="107">
        <f>SUMIF(Data!C:C,G435,Data!Q:Q)</f>
        <v>2030.3040000000001</v>
      </c>
      <c r="K435" s="107">
        <f>SUMIF(Comprometidos!A:A,'Cost Report'!G435,Comprometidos!E:E)</f>
        <v>0</v>
      </c>
      <c r="L435" s="107">
        <f t="shared" si="151"/>
        <v>2030.3040000000001</v>
      </c>
      <c r="M435" s="107">
        <v>0</v>
      </c>
      <c r="N435" s="107">
        <f t="shared" si="153"/>
        <v>2030.3040000000001</v>
      </c>
      <c r="O435" s="107">
        <f>VLOOKUP(G435,Budget!$E$3:$G$2474,3,0)</f>
        <v>11419</v>
      </c>
      <c r="P435" s="107">
        <f t="shared" si="154"/>
        <v>9388.6959999999999</v>
      </c>
      <c r="Q435" s="107"/>
      <c r="R435" s="10"/>
      <c r="S435" s="107">
        <v>1268.94</v>
      </c>
      <c r="T435" s="107">
        <f t="shared" si="138"/>
        <v>-761.36400000000003</v>
      </c>
      <c r="U435" s="107"/>
      <c r="V435" s="175"/>
      <c r="W435" s="10"/>
      <c r="X435" s="10"/>
      <c r="Y435" t="str">
        <f t="shared" si="157"/>
        <v>1426</v>
      </c>
      <c r="AB435" s="10"/>
      <c r="AC435" s="10"/>
      <c r="AD435" s="10"/>
      <c r="AE435" s="10"/>
      <c r="AF435" s="10"/>
      <c r="AG435" s="10"/>
      <c r="AH435" s="10"/>
      <c r="AI435" s="10"/>
    </row>
    <row r="436" spans="1:35">
      <c r="A436" s="10"/>
      <c r="B436" s="10" t="str">
        <f t="shared" si="156"/>
        <v>Above the Line</v>
      </c>
      <c r="C436" t="s">
        <v>7</v>
      </c>
      <c r="D436" t="s">
        <v>19</v>
      </c>
      <c r="E436" t="s">
        <v>214</v>
      </c>
      <c r="G436" t="s">
        <v>2326</v>
      </c>
      <c r="I436" s="10"/>
      <c r="J436" s="107">
        <f>SUMIF(Data!C:C,G436,Data!Q:Q)</f>
        <v>0</v>
      </c>
      <c r="K436" s="107">
        <f>SUMIF(Comprometidos!A:A,'Cost Report'!G436,Comprometidos!E:E)</f>
        <v>0</v>
      </c>
      <c r="L436" s="107">
        <f t="shared" si="151"/>
        <v>0</v>
      </c>
      <c r="M436" s="107">
        <f t="shared" si="152"/>
        <v>0</v>
      </c>
      <c r="N436" s="107">
        <f t="shared" si="153"/>
        <v>0</v>
      </c>
      <c r="O436" s="107">
        <f>VLOOKUP(G436,Budget!$E$3:$G$2474,3,0)</f>
        <v>0</v>
      </c>
      <c r="P436" s="107">
        <f t="shared" si="154"/>
        <v>0</v>
      </c>
      <c r="Q436" s="107"/>
      <c r="R436" s="10"/>
      <c r="S436" s="107">
        <v>0</v>
      </c>
      <c r="T436" s="107">
        <f t="shared" si="138"/>
        <v>0</v>
      </c>
      <c r="U436" s="107"/>
      <c r="V436" s="175"/>
      <c r="W436" s="10"/>
      <c r="X436" s="10"/>
      <c r="Y436" t="str">
        <f t="shared" si="157"/>
        <v>1426</v>
      </c>
      <c r="AB436" s="10"/>
      <c r="AC436" s="10"/>
      <c r="AD436" s="10"/>
      <c r="AE436" s="10"/>
      <c r="AF436" s="10"/>
      <c r="AG436" s="10"/>
      <c r="AH436" s="10"/>
      <c r="AI436" s="10"/>
    </row>
    <row r="437" spans="1:35">
      <c r="A437" s="10"/>
      <c r="B437" s="10" t="str">
        <f t="shared" si="156"/>
        <v>Above the LinePREP</v>
      </c>
      <c r="C437" t="s">
        <v>7</v>
      </c>
      <c r="D437" t="s">
        <v>19</v>
      </c>
      <c r="E437" t="s">
        <v>234</v>
      </c>
      <c r="G437" t="s">
        <v>2327</v>
      </c>
      <c r="I437" s="10"/>
      <c r="J437" s="107">
        <f>SUMIF(Data!C:C,G437,Data!Q:Q)</f>
        <v>7646.04</v>
      </c>
      <c r="K437" s="107">
        <f>SUMIF(Comprometidos!A:A,'Cost Report'!G437,Comprometidos!E:E)</f>
        <v>0</v>
      </c>
      <c r="L437" s="107">
        <f t="shared" si="151"/>
        <v>7646.04</v>
      </c>
      <c r="M437" s="107">
        <v>0</v>
      </c>
      <c r="N437" s="107">
        <f t="shared" si="153"/>
        <v>7646.04</v>
      </c>
      <c r="O437" s="107">
        <f>VLOOKUP(G437,Budget!$E$3:$G$2474,3,0)</f>
        <v>7500</v>
      </c>
      <c r="P437" s="107">
        <f t="shared" si="154"/>
        <v>-146.03999999999996</v>
      </c>
      <c r="Q437" s="107"/>
      <c r="R437" s="10"/>
      <c r="S437" s="107">
        <v>7646.04</v>
      </c>
      <c r="T437" s="107">
        <f t="shared" si="138"/>
        <v>0</v>
      </c>
      <c r="U437" s="107"/>
      <c r="V437" s="175"/>
      <c r="W437" s="10"/>
      <c r="X437" s="10"/>
      <c r="Y437" t="str">
        <f t="shared" si="157"/>
        <v>1426</v>
      </c>
      <c r="AB437" s="10"/>
      <c r="AC437" s="10"/>
      <c r="AD437" s="10"/>
      <c r="AE437" s="10"/>
      <c r="AF437" s="10"/>
      <c r="AG437" s="10"/>
      <c r="AH437" s="10"/>
      <c r="AI437" s="10"/>
    </row>
    <row r="438" spans="1:35">
      <c r="A438" s="10"/>
      <c r="B438" s="10" t="str">
        <f>+C438</f>
        <v>Above the Line</v>
      </c>
      <c r="C438" s="128" t="s">
        <v>7</v>
      </c>
      <c r="D438" s="128" t="s">
        <v>2117</v>
      </c>
      <c r="E438" s="128"/>
      <c r="F438" s="128"/>
      <c r="G438" s="128" t="s">
        <v>2328</v>
      </c>
      <c r="H438" s="128"/>
      <c r="I438" s="10"/>
      <c r="J438" s="129">
        <f>SUMIF($Y$11:$Y$2484,G438,J$11:J$2484)</f>
        <v>70000</v>
      </c>
      <c r="K438" s="129">
        <f>SUMIF($Y$11:$Y$2484,G438,K$11:K$2484)</f>
        <v>0</v>
      </c>
      <c r="L438" s="129">
        <f>SUMIF($Y$11:$Y$2484,G438,L$11:L$2484)</f>
        <v>70000</v>
      </c>
      <c r="M438" s="129">
        <f>SUMIF($Y$11:$Y$2484,G438,M$11:M$2484)</f>
        <v>0</v>
      </c>
      <c r="N438" s="129">
        <f>SUMIF($Y$11:$Y$2484,G438,N$11:N$2484)</f>
        <v>70000</v>
      </c>
      <c r="O438" s="129">
        <f>SUMIF($Y$11:$Y$2484,G438,O$11:O$2484)</f>
        <v>170000</v>
      </c>
      <c r="P438" s="129">
        <f>SUMIF($Y$11:$Y$2484,G438,P$11:P$2484)</f>
        <v>100000</v>
      </c>
      <c r="Q438" s="129"/>
      <c r="R438" s="10"/>
      <c r="S438" s="129">
        <v>70000</v>
      </c>
      <c r="T438" s="129">
        <f t="shared" si="138"/>
        <v>0</v>
      </c>
      <c r="U438" s="128"/>
      <c r="V438" s="175"/>
      <c r="W438" s="10"/>
      <c r="X438" s="10"/>
      <c r="Z438" t="str">
        <f>LEFT(G438,2)</f>
        <v>14</v>
      </c>
      <c r="AA438" t="str">
        <f>+Z438&amp;"00"</f>
        <v>1400</v>
      </c>
      <c r="AB438" s="10"/>
      <c r="AC438" s="10"/>
      <c r="AD438" s="10"/>
      <c r="AE438" s="10"/>
      <c r="AF438" s="10"/>
      <c r="AG438" s="10"/>
      <c r="AH438" s="10"/>
      <c r="AI438" s="10"/>
    </row>
    <row r="439" spans="1:35">
      <c r="A439" s="10"/>
      <c r="B439" s="10" t="str">
        <f t="shared" ref="B439:B444" si="158">+C439&amp;E439</f>
        <v>Above the Line</v>
      </c>
      <c r="C439" t="s">
        <v>7</v>
      </c>
      <c r="D439" t="s">
        <v>19</v>
      </c>
      <c r="E439" t="s">
        <v>214</v>
      </c>
      <c r="G439" t="s">
        <v>2329</v>
      </c>
      <c r="I439" s="10"/>
      <c r="J439" s="107">
        <f>SUMIF(Data!C:C,G439,Data!Q:Q)</f>
        <v>0</v>
      </c>
      <c r="K439" s="107">
        <f>SUMIF(Comprometidos!A:A,'Cost Report'!G439,Comprometidos!E:E)</f>
        <v>0</v>
      </c>
      <c r="L439" s="107">
        <f t="shared" ref="L439:L444" si="159">+J439+K439</f>
        <v>0</v>
      </c>
      <c r="M439" s="107">
        <f t="shared" ref="M439:M443" si="160">+O439-L439</f>
        <v>0</v>
      </c>
      <c r="N439" s="107">
        <f t="shared" ref="N439:N444" si="161">+L439+M439</f>
        <v>0</v>
      </c>
      <c r="O439" s="107">
        <f>VLOOKUP(G439,Budget!$E$3:$G$2474,3,0)</f>
        <v>0</v>
      </c>
      <c r="P439" s="107">
        <f t="shared" ref="P439:P444" si="162">+O439-N439</f>
        <v>0</v>
      </c>
      <c r="Q439" s="107"/>
      <c r="R439" s="10"/>
      <c r="S439" s="107">
        <v>0</v>
      </c>
      <c r="T439" s="107">
        <f t="shared" si="138"/>
        <v>0</v>
      </c>
      <c r="U439" s="107"/>
      <c r="V439" s="175"/>
      <c r="W439" s="10"/>
      <c r="X439" s="10"/>
      <c r="Y439" t="str">
        <f t="shared" ref="Y439:Y444" si="163">LEFT(G439,4)</f>
        <v>1480</v>
      </c>
      <c r="AB439" s="10"/>
      <c r="AC439" s="10"/>
      <c r="AD439" s="10"/>
      <c r="AE439" s="10"/>
      <c r="AF439" s="10"/>
      <c r="AG439" s="10"/>
      <c r="AH439" s="10"/>
      <c r="AI439" s="10"/>
    </row>
    <row r="440" spans="1:35">
      <c r="A440" s="10"/>
      <c r="B440" s="10" t="str">
        <f t="shared" si="158"/>
        <v>Above the LineALL SHOW</v>
      </c>
      <c r="C440" t="s">
        <v>7</v>
      </c>
      <c r="D440" t="s">
        <v>19</v>
      </c>
      <c r="E440" t="s">
        <v>227</v>
      </c>
      <c r="F440" t="s">
        <v>355</v>
      </c>
      <c r="G440" t="s">
        <v>2330</v>
      </c>
      <c r="I440" s="10"/>
      <c r="J440" s="107">
        <f>SUMIF(Data!C:C,G440,Data!Q:Q)</f>
        <v>70000</v>
      </c>
      <c r="K440" s="107">
        <f>SUMIF(Comprometidos!A:A,'Cost Report'!G440,Comprometidos!E:E)</f>
        <v>0</v>
      </c>
      <c r="L440" s="107">
        <f t="shared" si="159"/>
        <v>70000</v>
      </c>
      <c r="M440" s="107">
        <v>0</v>
      </c>
      <c r="N440" s="107">
        <f t="shared" si="161"/>
        <v>70000</v>
      </c>
      <c r="O440" s="107">
        <f>VLOOKUP(G440,Budget!$E$3:$G$2474,3,0)</f>
        <v>70000</v>
      </c>
      <c r="P440" s="107">
        <f t="shared" si="162"/>
        <v>0</v>
      </c>
      <c r="Q440" s="107"/>
      <c r="R440" s="10"/>
      <c r="S440" s="107">
        <v>70000</v>
      </c>
      <c r="T440" s="107">
        <f t="shared" si="138"/>
        <v>0</v>
      </c>
      <c r="U440" s="107"/>
      <c r="V440" s="175"/>
      <c r="W440" s="10"/>
      <c r="X440" s="10"/>
      <c r="Y440" t="str">
        <f t="shared" si="163"/>
        <v>1480</v>
      </c>
      <c r="AB440" s="10"/>
      <c r="AC440" s="10"/>
      <c r="AD440" s="10"/>
      <c r="AE440" s="10"/>
      <c r="AF440" s="10"/>
      <c r="AG440" s="10"/>
      <c r="AH440" s="10"/>
      <c r="AI440" s="10"/>
    </row>
    <row r="441" spans="1:35">
      <c r="A441" s="10"/>
      <c r="B441" s="10" t="str">
        <f t="shared" si="158"/>
        <v>Above the Line</v>
      </c>
      <c r="C441" t="s">
        <v>7</v>
      </c>
      <c r="D441" t="s">
        <v>19</v>
      </c>
      <c r="E441" t="s">
        <v>214</v>
      </c>
      <c r="G441" t="s">
        <v>2331</v>
      </c>
      <c r="I441" s="10"/>
      <c r="J441" s="107">
        <f>SUMIF(Data!C:C,G441,Data!Q:Q)</f>
        <v>0</v>
      </c>
      <c r="K441" s="107">
        <f>SUMIF(Comprometidos!A:A,'Cost Report'!G441,Comprometidos!E:E)</f>
        <v>0</v>
      </c>
      <c r="L441" s="107">
        <f t="shared" si="159"/>
        <v>0</v>
      </c>
      <c r="M441" s="107">
        <f t="shared" si="160"/>
        <v>0</v>
      </c>
      <c r="N441" s="107">
        <f t="shared" si="161"/>
        <v>0</v>
      </c>
      <c r="O441" s="107">
        <f>VLOOKUP(G441,Budget!$E$3:$G$2474,3,0)</f>
        <v>0</v>
      </c>
      <c r="P441" s="107">
        <f t="shared" si="162"/>
        <v>0</v>
      </c>
      <c r="Q441" s="107"/>
      <c r="R441" s="10"/>
      <c r="S441" s="107">
        <v>0</v>
      </c>
      <c r="T441" s="107">
        <f t="shared" si="138"/>
        <v>0</v>
      </c>
      <c r="U441" s="107"/>
      <c r="V441" s="175"/>
      <c r="W441" s="10"/>
      <c r="X441" s="10"/>
      <c r="Y441" t="str">
        <f t="shared" si="163"/>
        <v>1480</v>
      </c>
      <c r="AB441" s="10"/>
      <c r="AC441" s="10"/>
      <c r="AD441" s="10"/>
      <c r="AE441" s="10"/>
      <c r="AF441" s="10"/>
      <c r="AG441" s="10"/>
      <c r="AH441" s="10"/>
      <c r="AI441" s="10"/>
    </row>
    <row r="442" spans="1:35">
      <c r="A442" s="10"/>
      <c r="B442" s="10" t="str">
        <f t="shared" si="158"/>
        <v>Above the LinePREP</v>
      </c>
      <c r="C442" t="s">
        <v>7</v>
      </c>
      <c r="D442" t="s">
        <v>19</v>
      </c>
      <c r="E442" t="s">
        <v>234</v>
      </c>
      <c r="G442" t="s">
        <v>2332</v>
      </c>
      <c r="I442" s="10"/>
      <c r="J442" s="107">
        <f>SUMIF(Data!C:C,G442,Data!Q:Q)</f>
        <v>0</v>
      </c>
      <c r="K442" s="107">
        <f>SUMIF(Comprometidos!A:A,'Cost Report'!G442,Comprometidos!E:E)</f>
        <v>0</v>
      </c>
      <c r="L442" s="107">
        <f t="shared" si="159"/>
        <v>0</v>
      </c>
      <c r="M442" s="107">
        <v>0</v>
      </c>
      <c r="N442" s="107">
        <f t="shared" si="161"/>
        <v>0</v>
      </c>
      <c r="O442" s="107">
        <f>VLOOKUP(G442,Budget!$E$3:$G$2474,3,0)</f>
        <v>40000</v>
      </c>
      <c r="P442" s="107">
        <f t="shared" si="162"/>
        <v>40000</v>
      </c>
      <c r="Q442" s="107"/>
      <c r="R442" s="10"/>
      <c r="S442" s="107">
        <v>0</v>
      </c>
      <c r="T442" s="107">
        <f t="shared" si="138"/>
        <v>0</v>
      </c>
      <c r="U442" s="107"/>
      <c r="V442" s="175"/>
      <c r="W442" s="10"/>
      <c r="X442" s="10"/>
      <c r="Y442" t="str">
        <f t="shared" si="163"/>
        <v>1480</v>
      </c>
      <c r="AB442" s="10"/>
      <c r="AC442" s="10"/>
      <c r="AD442" s="10"/>
      <c r="AE442" s="10"/>
      <c r="AF442" s="10"/>
      <c r="AG442" s="10"/>
      <c r="AH442" s="10"/>
      <c r="AI442" s="10"/>
    </row>
    <row r="443" spans="1:35">
      <c r="A443" s="10"/>
      <c r="B443" s="10" t="str">
        <f t="shared" si="158"/>
        <v>Above the Line</v>
      </c>
      <c r="C443" t="s">
        <v>7</v>
      </c>
      <c r="D443" t="s">
        <v>19</v>
      </c>
      <c r="E443" t="s">
        <v>214</v>
      </c>
      <c r="G443" t="s">
        <v>2333</v>
      </c>
      <c r="I443" s="10"/>
      <c r="J443" s="107">
        <f>SUMIF(Data!C:C,G443,Data!Q:Q)</f>
        <v>0</v>
      </c>
      <c r="K443" s="107">
        <f>SUMIF(Comprometidos!A:A,'Cost Report'!G443,Comprometidos!E:E)</f>
        <v>0</v>
      </c>
      <c r="L443" s="107">
        <f t="shared" si="159"/>
        <v>0</v>
      </c>
      <c r="M443" s="107">
        <f t="shared" si="160"/>
        <v>0</v>
      </c>
      <c r="N443" s="107">
        <f t="shared" si="161"/>
        <v>0</v>
      </c>
      <c r="O443" s="107">
        <f>VLOOKUP(G443,Budget!$E$3:$G$2474,3,0)</f>
        <v>0</v>
      </c>
      <c r="P443" s="107">
        <f t="shared" si="162"/>
        <v>0</v>
      </c>
      <c r="Q443" s="107"/>
      <c r="R443" s="10"/>
      <c r="S443" s="107">
        <v>0</v>
      </c>
      <c r="T443" s="107">
        <f t="shared" si="138"/>
        <v>0</v>
      </c>
      <c r="U443" s="107"/>
      <c r="V443" s="175"/>
      <c r="W443" s="10"/>
      <c r="X443" s="10"/>
      <c r="Y443" t="str">
        <f t="shared" si="163"/>
        <v>1480</v>
      </c>
      <c r="AB443" s="10"/>
      <c r="AC443" s="10"/>
      <c r="AD443" s="10"/>
      <c r="AE443" s="10"/>
      <c r="AF443" s="10"/>
      <c r="AG443" s="10"/>
      <c r="AH443" s="10"/>
      <c r="AI443" s="10"/>
    </row>
    <row r="444" spans="1:35">
      <c r="A444" s="10"/>
      <c r="B444" s="10" t="str">
        <f t="shared" si="158"/>
        <v>Above the LinePREP</v>
      </c>
      <c r="C444" t="s">
        <v>7</v>
      </c>
      <c r="D444" t="s">
        <v>19</v>
      </c>
      <c r="E444" t="s">
        <v>234</v>
      </c>
      <c r="G444" t="s">
        <v>2334</v>
      </c>
      <c r="I444" s="10"/>
      <c r="J444" s="107">
        <f>SUMIF(Data!C:C,G444,Data!Q:Q)</f>
        <v>0</v>
      </c>
      <c r="K444" s="107">
        <f>SUMIF(Comprometidos!A:A,'Cost Report'!G444,Comprometidos!E:E)</f>
        <v>0</v>
      </c>
      <c r="L444" s="107">
        <f t="shared" si="159"/>
        <v>0</v>
      </c>
      <c r="M444" s="107">
        <v>0</v>
      </c>
      <c r="N444" s="107">
        <f t="shared" si="161"/>
        <v>0</v>
      </c>
      <c r="O444" s="107">
        <f>VLOOKUP(G444,Budget!$E$3:$G$2474,3,0)</f>
        <v>60000</v>
      </c>
      <c r="P444" s="107">
        <f t="shared" si="162"/>
        <v>60000</v>
      </c>
      <c r="Q444" s="107"/>
      <c r="R444" s="10"/>
      <c r="S444" s="107">
        <v>0</v>
      </c>
      <c r="T444" s="107">
        <f t="shared" si="138"/>
        <v>0</v>
      </c>
      <c r="U444" s="107"/>
      <c r="V444" s="175"/>
      <c r="W444" s="10"/>
      <c r="X444" s="10"/>
      <c r="Y444" t="str">
        <f t="shared" si="163"/>
        <v>1480</v>
      </c>
      <c r="AB444" s="10"/>
      <c r="AC444" s="10"/>
      <c r="AD444" s="10"/>
      <c r="AE444" s="10"/>
      <c r="AF444" s="10"/>
      <c r="AG444" s="10"/>
      <c r="AH444" s="10"/>
      <c r="AI444" s="10"/>
    </row>
    <row r="445" spans="1:35">
      <c r="A445" s="10"/>
      <c r="B445" s="10" t="str">
        <f>+C445</f>
        <v>Above the Line</v>
      </c>
      <c r="C445" s="128" t="s">
        <v>7</v>
      </c>
      <c r="D445" s="128" t="s">
        <v>2117</v>
      </c>
      <c r="E445" s="128"/>
      <c r="F445" s="128"/>
      <c r="G445" s="128" t="s">
        <v>389</v>
      </c>
      <c r="H445" s="128"/>
      <c r="I445" s="10"/>
      <c r="J445" s="129">
        <f>SUMIF($Y$11:$Y$2484,G445,J$11:J$2484)</f>
        <v>7577.1399999999985</v>
      </c>
      <c r="K445" s="129">
        <f>SUMIF($Y$11:$Y$2484,G445,K$11:K$2484)</f>
        <v>0</v>
      </c>
      <c r="L445" s="129">
        <f>SUMIF($Y$11:$Y$2484,G445,L$11:L$2484)</f>
        <v>7577.1399999999985</v>
      </c>
      <c r="M445" s="129">
        <f>SUMIF($Y$11:$Y$2484,G445,M$11:M$2484)</f>
        <v>0</v>
      </c>
      <c r="N445" s="129">
        <f>SUMIF($Y$11:$Y$2484,G445,N$11:N$2484)</f>
        <v>7577.1399999999985</v>
      </c>
      <c r="O445" s="129">
        <f>SUMIF($Y$11:$Y$2484,G445,O$11:O$2484)</f>
        <v>8000</v>
      </c>
      <c r="P445" s="129">
        <f>SUMIF($Y$11:$Y$2484,G445,P$11:P$2484)</f>
        <v>422.86000000000149</v>
      </c>
      <c r="Q445" s="129"/>
      <c r="R445" s="10"/>
      <c r="S445" s="129">
        <v>6165.1299999999983</v>
      </c>
      <c r="T445" s="129">
        <f t="shared" si="138"/>
        <v>-1412.0100000000002</v>
      </c>
      <c r="U445" s="128"/>
      <c r="V445" s="175"/>
      <c r="W445" s="10"/>
      <c r="X445" s="10"/>
      <c r="Z445" t="str">
        <f>LEFT(G445,2)</f>
        <v>14</v>
      </c>
      <c r="AA445" t="str">
        <f>+Z445&amp;"00"</f>
        <v>1400</v>
      </c>
      <c r="AB445" s="10"/>
      <c r="AC445" s="10"/>
      <c r="AD445" s="10"/>
      <c r="AE445" s="10"/>
      <c r="AF445" s="10"/>
      <c r="AG445" s="10"/>
      <c r="AH445" s="10"/>
      <c r="AI445" s="10"/>
    </row>
    <row r="446" spans="1:35">
      <c r="A446" s="10"/>
      <c r="B446" s="10" t="str">
        <f t="shared" ref="B446:B447" si="164">+C446&amp;E446</f>
        <v>Above the Line</v>
      </c>
      <c r="C446" t="s">
        <v>7</v>
      </c>
      <c r="D446" t="s">
        <v>19</v>
      </c>
      <c r="E446" t="s">
        <v>214</v>
      </c>
      <c r="G446" t="s">
        <v>390</v>
      </c>
      <c r="I446" s="10"/>
      <c r="J446" s="107">
        <f>SUMIF(Data!C:C,G446,Data!Q:Q)</f>
        <v>0</v>
      </c>
      <c r="K446" s="107">
        <f>SUMIF(Comprometidos!A:A,'Cost Report'!G446,Comprometidos!E:E)</f>
        <v>0</v>
      </c>
      <c r="L446" s="107">
        <f t="shared" ref="L446:L454" si="165">+J446+K446</f>
        <v>0</v>
      </c>
      <c r="M446" s="107">
        <f t="shared" ref="M446:M452" si="166">+O446-L446</f>
        <v>0</v>
      </c>
      <c r="N446" s="107">
        <f t="shared" ref="N446:N454" si="167">+L446+M446</f>
        <v>0</v>
      </c>
      <c r="O446" s="107">
        <f>VLOOKUP(G446,Budget!$E$3:$G$2474,3,0)</f>
        <v>0</v>
      </c>
      <c r="P446" s="107">
        <f t="shared" ref="P446:P454" si="168">+O446-N446</f>
        <v>0</v>
      </c>
      <c r="Q446" s="107"/>
      <c r="R446" s="10"/>
      <c r="S446" s="107">
        <v>0</v>
      </c>
      <c r="T446" s="107">
        <f t="shared" si="138"/>
        <v>0</v>
      </c>
      <c r="U446" s="107"/>
      <c r="V446" s="175"/>
      <c r="W446" s="10"/>
      <c r="X446" s="10"/>
      <c r="Y446" t="str">
        <f t="shared" ref="Y446:Y447" si="169">LEFT(G446,4)</f>
        <v>1487</v>
      </c>
      <c r="AB446" s="10"/>
      <c r="AC446" s="10"/>
      <c r="AD446" s="10"/>
      <c r="AE446" s="10"/>
      <c r="AF446" s="10"/>
      <c r="AG446" s="10"/>
      <c r="AH446" s="10"/>
      <c r="AI446" s="10"/>
    </row>
    <row r="447" spans="1:35">
      <c r="A447" s="10"/>
      <c r="B447" s="10" t="str">
        <f t="shared" si="164"/>
        <v>Above the LinePREP</v>
      </c>
      <c r="C447" t="s">
        <v>7</v>
      </c>
      <c r="D447" t="s">
        <v>19</v>
      </c>
      <c r="E447" t="s">
        <v>234</v>
      </c>
      <c r="G447" t="s">
        <v>2335</v>
      </c>
      <c r="I447" s="10"/>
      <c r="J447" s="107">
        <f>SUMIF(Data!C:C,G447,Data!Q:Q)</f>
        <v>7577.1399999999985</v>
      </c>
      <c r="K447" s="107">
        <f>SUMIF(Comprometidos!A:A,'Cost Report'!G447,Comprometidos!E:E)</f>
        <v>0</v>
      </c>
      <c r="L447" s="107">
        <f t="shared" si="165"/>
        <v>7577.1399999999985</v>
      </c>
      <c r="M447" s="107">
        <v>0</v>
      </c>
      <c r="N447" s="107">
        <f t="shared" si="167"/>
        <v>7577.1399999999985</v>
      </c>
      <c r="O447" s="107">
        <f>VLOOKUP(G447,Budget!$E$3:$G$2474,3,0)</f>
        <v>8000</v>
      </c>
      <c r="P447" s="107">
        <f t="shared" si="168"/>
        <v>422.86000000000149</v>
      </c>
      <c r="Q447" s="107"/>
      <c r="R447" s="10"/>
      <c r="S447" s="107">
        <v>6165.1299999999983</v>
      </c>
      <c r="T447" s="107">
        <f t="shared" si="138"/>
        <v>-1412.0100000000002</v>
      </c>
      <c r="U447" s="107"/>
      <c r="V447" s="175"/>
      <c r="W447" s="10"/>
      <c r="X447" s="10"/>
      <c r="Y447" t="str">
        <f t="shared" si="169"/>
        <v>1487</v>
      </c>
      <c r="AB447" s="10"/>
      <c r="AC447" s="10"/>
      <c r="AD447" s="10"/>
      <c r="AE447" s="10"/>
      <c r="AF447" s="10"/>
      <c r="AG447" s="10"/>
      <c r="AH447" s="10"/>
      <c r="AI447" s="10"/>
    </row>
    <row r="448" spans="1:35">
      <c r="A448" s="10"/>
      <c r="B448" s="10" t="str">
        <f>+C448</f>
        <v>Above the Line</v>
      </c>
      <c r="C448" s="128" t="s">
        <v>7</v>
      </c>
      <c r="D448" s="128" t="s">
        <v>2117</v>
      </c>
      <c r="E448" s="128"/>
      <c r="F448" s="128"/>
      <c r="G448" s="128" t="s">
        <v>391</v>
      </c>
      <c r="H448" s="128"/>
      <c r="I448" s="10"/>
      <c r="J448" s="129">
        <f>SUMIF($Y$11:$Y$2484,G448,J$11:J$2484)</f>
        <v>1649770.7080000003</v>
      </c>
      <c r="K448" s="129">
        <f>SUMIF($Y$11:$Y$2484,G448,K$11:K$2484)</f>
        <v>0</v>
      </c>
      <c r="L448" s="129">
        <f>SUMIF($Y$11:$Y$2484,G448,L$11:L$2484)</f>
        <v>1649770.7080000003</v>
      </c>
      <c r="M448" s="129">
        <f>SUMIF($Y$11:$Y$2484,G448,M$11:M$2484)</f>
        <v>0</v>
      </c>
      <c r="N448" s="129">
        <f>SUMIF($Y$11:$Y$2484,G448,N$11:N$2484)</f>
        <v>1649770.7080000003</v>
      </c>
      <c r="O448" s="129">
        <f>SUMIF($Y$11:$Y$2484,G448,O$11:O$2484)</f>
        <v>818091.03000000014</v>
      </c>
      <c r="P448" s="129">
        <f>SUMIF($Y$11:$Y$2484,G448,P$11:P$2484)</f>
        <v>-831679.67800000019</v>
      </c>
      <c r="Q448" s="129"/>
      <c r="R448" s="10"/>
      <c r="S448" s="129">
        <v>1649770.7080000003</v>
      </c>
      <c r="T448" s="129">
        <f t="shared" si="138"/>
        <v>0</v>
      </c>
      <c r="U448" s="128"/>
      <c r="V448" s="175"/>
      <c r="W448" s="10"/>
      <c r="X448" s="10"/>
      <c r="Z448" t="str">
        <f>LEFT(G448,2)</f>
        <v>14</v>
      </c>
      <c r="AA448" t="str">
        <f>+Z448&amp;"00"</f>
        <v>1400</v>
      </c>
      <c r="AB448" s="10"/>
      <c r="AC448" s="10"/>
      <c r="AD448" s="10"/>
      <c r="AE448" s="10"/>
      <c r="AF448" s="10"/>
      <c r="AG448" s="10"/>
      <c r="AH448" s="10"/>
      <c r="AI448" s="10"/>
    </row>
    <row r="449" spans="1:35">
      <c r="A449" s="10"/>
      <c r="B449" s="10" t="str">
        <f>+C449&amp;E449</f>
        <v>Above the LineFringes</v>
      </c>
      <c r="C449" t="s">
        <v>7</v>
      </c>
      <c r="D449" t="s">
        <v>19</v>
      </c>
      <c r="E449" t="s">
        <v>1898</v>
      </c>
      <c r="F449" s="171" t="s">
        <v>355</v>
      </c>
      <c r="G449" t="s">
        <v>1416</v>
      </c>
      <c r="I449" s="10"/>
      <c r="J449" s="107">
        <f>SUMIF(Data!C:C,G449,Data!Q:Q)</f>
        <v>1649770.7080000003</v>
      </c>
      <c r="K449" s="107">
        <f>SUMIF(Comprometidos!A:A,'Cost Report'!G449,Comprometidos!E:E)</f>
        <v>0</v>
      </c>
      <c r="L449" s="107">
        <f>+J449+K449</f>
        <v>1649770.7080000003</v>
      </c>
      <c r="M449" s="107">
        <v>0</v>
      </c>
      <c r="N449" s="107">
        <f>+L449+M449</f>
        <v>1649770.7080000003</v>
      </c>
      <c r="O449" s="107">
        <f>VLOOKUP(G449,Budget!$E$3:$G$2474,3,0)</f>
        <v>818091.03000000014</v>
      </c>
      <c r="P449" s="107">
        <f t="shared" si="168"/>
        <v>-831679.67800000019</v>
      </c>
      <c r="Q449" s="107"/>
      <c r="R449" s="10"/>
      <c r="S449" s="107">
        <v>1649770.7080000003</v>
      </c>
      <c r="T449" s="107">
        <f t="shared" si="138"/>
        <v>0</v>
      </c>
      <c r="U449" s="107"/>
      <c r="V449" s="175"/>
      <c r="W449" s="10"/>
      <c r="X449" s="10"/>
      <c r="Y449" t="str">
        <f>LEFT(G449,4)</f>
        <v>1499</v>
      </c>
      <c r="AB449" s="10"/>
      <c r="AC449" s="10"/>
      <c r="AD449" s="10"/>
      <c r="AE449" s="10"/>
      <c r="AF449" s="10"/>
      <c r="AG449" s="10"/>
      <c r="AH449" s="10"/>
      <c r="AI449" s="10"/>
    </row>
    <row r="450" spans="1:35">
      <c r="A450" s="10"/>
      <c r="B450" s="10"/>
      <c r="C450" s="170" t="s">
        <v>7</v>
      </c>
      <c r="D450" s="170" t="s">
        <v>8</v>
      </c>
      <c r="E450" s="170"/>
      <c r="F450" s="170"/>
      <c r="G450" s="170" t="s">
        <v>392</v>
      </c>
      <c r="H450" s="170"/>
      <c r="I450" s="10"/>
      <c r="J450" s="169">
        <f>SUMIF($AA$10:$AA$2484,G450,J$10:J$2484)</f>
        <v>1188979.7649999999</v>
      </c>
      <c r="K450" s="169">
        <f>SUMIF($AA$10:$AA$2484,G450,K$10:K$2484)</f>
        <v>0</v>
      </c>
      <c r="L450" s="169">
        <f>SUMIF($AA$10:$AA$2484,G450,L$10:L$2484)</f>
        <v>1188979.7649999999</v>
      </c>
      <c r="M450" s="169">
        <f>SUMIF($AA$10:$AA$2484,G450,M$10:M$2484)</f>
        <v>0</v>
      </c>
      <c r="N450" s="169">
        <f>SUMIF($AA$10:$AA$2484,G450,N$10:N$2484)</f>
        <v>1188979.7649999999</v>
      </c>
      <c r="O450" s="169">
        <f>SUMIF($AA$10:$AA$2484,G450,O$10:O$2484)</f>
        <v>1416167.22</v>
      </c>
      <c r="P450" s="168">
        <f>SUMIF($AA$10:$AA$2484,G450,P$10:P$2484)</f>
        <v>227187.45500000007</v>
      </c>
      <c r="Q450" s="169"/>
      <c r="R450" s="10"/>
      <c r="S450" s="164">
        <v>1175903.6200000001</v>
      </c>
      <c r="T450" s="164">
        <f t="shared" si="138"/>
        <v>-13076.144999999786</v>
      </c>
      <c r="U450" s="163"/>
      <c r="V450" s="175"/>
      <c r="W450" s="10"/>
      <c r="X450" s="10"/>
      <c r="AB450" s="10"/>
      <c r="AC450" s="10"/>
      <c r="AD450" s="10"/>
      <c r="AE450" s="10"/>
      <c r="AF450" s="10"/>
      <c r="AG450" s="10"/>
      <c r="AH450" s="10"/>
      <c r="AI450" s="10"/>
    </row>
    <row r="451" spans="1:35">
      <c r="A451" s="10"/>
      <c r="B451" s="10" t="str">
        <f>+C451</f>
        <v>Above the Line</v>
      </c>
      <c r="C451" s="128" t="s">
        <v>7</v>
      </c>
      <c r="D451" s="128" t="s">
        <v>2117</v>
      </c>
      <c r="E451" s="128"/>
      <c r="F451" s="128"/>
      <c r="G451" s="128" t="s">
        <v>393</v>
      </c>
      <c r="H451" s="128"/>
      <c r="I451" s="10"/>
      <c r="J451" s="129">
        <f>SUMIF($Y$11:$Y$2484,G451,J$11:J$2484)</f>
        <v>96760.18</v>
      </c>
      <c r="K451" s="129">
        <f>SUMIF($Y$11:$Y$2484,G451,K$11:K$2484)</f>
        <v>0</v>
      </c>
      <c r="L451" s="129">
        <f>SUMIF($Y$11:$Y$2484,G451,L$11:L$2484)</f>
        <v>96760.18</v>
      </c>
      <c r="M451" s="129">
        <f>SUMIF($Y$11:$Y$2484,G451,M$11:M$2484)</f>
        <v>0</v>
      </c>
      <c r="N451" s="129">
        <f>SUMIF($Y$11:$Y$2484,G451,N$11:N$2484)</f>
        <v>96760.18</v>
      </c>
      <c r="O451" s="129">
        <f>SUMIF($Y$11:$Y$2484,G451,O$11:O$2484)</f>
        <v>108000</v>
      </c>
      <c r="P451" s="129">
        <f>SUMIF($Y$11:$Y$2484,G451,P$11:P$2484)</f>
        <v>11239.820000000007</v>
      </c>
      <c r="Q451" s="129"/>
      <c r="R451" s="10"/>
      <c r="S451" s="129">
        <v>96760.18</v>
      </c>
      <c r="T451" s="129">
        <f t="shared" si="138"/>
        <v>0</v>
      </c>
      <c r="U451" s="128"/>
      <c r="V451" s="175"/>
      <c r="W451" s="10"/>
      <c r="X451" s="10"/>
      <c r="Z451" t="str">
        <f>LEFT(G451,2)</f>
        <v>16</v>
      </c>
      <c r="AA451" t="str">
        <f>+Z451&amp;"00"</f>
        <v>1600</v>
      </c>
      <c r="AB451" s="10"/>
      <c r="AC451" s="10"/>
      <c r="AD451" s="10"/>
      <c r="AE451" s="10"/>
      <c r="AF451" s="10"/>
      <c r="AG451" s="10"/>
      <c r="AH451" s="10"/>
      <c r="AI451" s="10"/>
    </row>
    <row r="452" spans="1:35">
      <c r="A452" s="10"/>
      <c r="B452" s="10" t="str">
        <f t="shared" ref="B452:B454" si="170">+C452&amp;E452</f>
        <v>Above the Line</v>
      </c>
      <c r="C452" t="s">
        <v>7</v>
      </c>
      <c r="D452" t="s">
        <v>19</v>
      </c>
      <c r="E452" t="s">
        <v>214</v>
      </c>
      <c r="G452" t="s">
        <v>394</v>
      </c>
      <c r="I452" s="10"/>
      <c r="J452" s="107">
        <f>SUMIF(Data!C:C,G452,Data!Q:Q)</f>
        <v>0</v>
      </c>
      <c r="K452" s="107">
        <f>SUMIF(Comprometidos!A:A,'Cost Report'!G452,Comprometidos!E:E)</f>
        <v>0</v>
      </c>
      <c r="L452" s="107">
        <f t="shared" si="165"/>
        <v>0</v>
      </c>
      <c r="M452" s="107">
        <f t="shared" si="166"/>
        <v>0</v>
      </c>
      <c r="N452" s="107">
        <f t="shared" si="167"/>
        <v>0</v>
      </c>
      <c r="O452" s="107">
        <f>VLOOKUP(G452,Budget!$E$3:$G$2474,3,0)</f>
        <v>0</v>
      </c>
      <c r="P452" s="107">
        <f t="shared" si="168"/>
        <v>0</v>
      </c>
      <c r="Q452" s="107"/>
      <c r="R452" s="10"/>
      <c r="S452" s="107">
        <v>0</v>
      </c>
      <c r="T452" s="107">
        <f t="shared" si="138"/>
        <v>0</v>
      </c>
      <c r="U452" s="107"/>
      <c r="V452" s="175"/>
      <c r="W452" s="10"/>
      <c r="X452" s="10"/>
      <c r="Y452" t="str">
        <f t="shared" ref="Y452:Y454" si="171">LEFT(G452,4)</f>
        <v>1620</v>
      </c>
      <c r="AB452" s="10"/>
      <c r="AC452" s="10"/>
      <c r="AD452" s="10"/>
      <c r="AE452" s="10"/>
      <c r="AF452" s="10"/>
      <c r="AG452" s="10"/>
      <c r="AH452" s="10"/>
      <c r="AI452" s="10"/>
    </row>
    <row r="453" spans="1:35">
      <c r="A453" s="10"/>
      <c r="B453" s="10" t="str">
        <f t="shared" si="170"/>
        <v>Above the LineALL SHOW</v>
      </c>
      <c r="C453" t="s">
        <v>7</v>
      </c>
      <c r="D453" t="s">
        <v>19</v>
      </c>
      <c r="E453" t="s">
        <v>227</v>
      </c>
      <c r="G453" t="s">
        <v>395</v>
      </c>
      <c r="I453" s="10"/>
      <c r="J453" s="107">
        <f>SUMIF(Data!C:C,G453,Data!Q:Q)</f>
        <v>58308.34</v>
      </c>
      <c r="K453" s="107">
        <f>SUMIF(Comprometidos!A:A,'Cost Report'!G453,Comprometidos!E:E)</f>
        <v>0</v>
      </c>
      <c r="L453" s="107">
        <f t="shared" si="165"/>
        <v>58308.34</v>
      </c>
      <c r="M453" s="107">
        <v>0</v>
      </c>
      <c r="N453" s="107">
        <f t="shared" si="167"/>
        <v>58308.34</v>
      </c>
      <c r="O453" s="107">
        <f>VLOOKUP(G453,Budget!$E$3:$G$2474,3,0)</f>
        <v>54000</v>
      </c>
      <c r="P453" s="107">
        <f t="shared" si="168"/>
        <v>-4308.3399999999965</v>
      </c>
      <c r="Q453" s="107"/>
      <c r="R453" s="10"/>
      <c r="S453" s="107">
        <v>58308.34</v>
      </c>
      <c r="T453" s="107">
        <f t="shared" si="138"/>
        <v>0</v>
      </c>
      <c r="U453" s="107"/>
      <c r="V453" s="175"/>
      <c r="W453" s="10"/>
      <c r="X453" s="10"/>
      <c r="Y453" t="str">
        <f t="shared" si="171"/>
        <v>1620</v>
      </c>
      <c r="AB453" s="10"/>
      <c r="AC453" s="10"/>
      <c r="AD453" s="10"/>
      <c r="AE453" s="10"/>
      <c r="AF453" s="10"/>
      <c r="AG453" s="10"/>
      <c r="AH453" s="10"/>
      <c r="AI453" s="10"/>
    </row>
    <row r="454" spans="1:35">
      <c r="A454" s="10"/>
      <c r="B454" s="10" t="str">
        <f t="shared" si="170"/>
        <v>Above the LineALL SHOW</v>
      </c>
      <c r="C454" t="s">
        <v>7</v>
      </c>
      <c r="D454" t="s">
        <v>19</v>
      </c>
      <c r="E454" t="s">
        <v>227</v>
      </c>
      <c r="G454" t="s">
        <v>396</v>
      </c>
      <c r="I454" s="10"/>
      <c r="J454" s="107">
        <f>SUMIF(Data!C:C,G454,Data!Q:Q)</f>
        <v>38451.839999999997</v>
      </c>
      <c r="K454" s="107">
        <f>SUMIF(Comprometidos!A:A,'Cost Report'!G454,Comprometidos!E:E)</f>
        <v>0</v>
      </c>
      <c r="L454" s="107">
        <f t="shared" si="165"/>
        <v>38451.839999999997</v>
      </c>
      <c r="M454" s="107">
        <v>0</v>
      </c>
      <c r="N454" s="107">
        <f t="shared" si="167"/>
        <v>38451.839999999997</v>
      </c>
      <c r="O454" s="107">
        <f>VLOOKUP(G454,Budget!$E$3:$G$2474,3,0)</f>
        <v>54000</v>
      </c>
      <c r="P454" s="107">
        <f t="shared" si="168"/>
        <v>15548.160000000003</v>
      </c>
      <c r="Q454" s="107"/>
      <c r="R454" s="10"/>
      <c r="S454" s="107">
        <v>38451.839999999997</v>
      </c>
      <c r="T454" s="107">
        <f t="shared" si="138"/>
        <v>0</v>
      </c>
      <c r="U454" s="107"/>
      <c r="V454" s="175"/>
      <c r="W454" s="10"/>
      <c r="X454" s="10"/>
      <c r="Y454" t="str">
        <f t="shared" si="171"/>
        <v>1620</v>
      </c>
      <c r="AB454" s="10"/>
      <c r="AC454" s="10"/>
      <c r="AD454" s="10"/>
      <c r="AE454" s="10"/>
      <c r="AF454" s="10"/>
      <c r="AG454" s="10"/>
      <c r="AH454" s="10"/>
      <c r="AI454" s="10"/>
    </row>
    <row r="455" spans="1:35">
      <c r="A455" s="10"/>
      <c r="B455" s="10" t="str">
        <f>+C455</f>
        <v>Above the Line</v>
      </c>
      <c r="C455" s="128" t="s">
        <v>7</v>
      </c>
      <c r="D455" s="128" t="s">
        <v>2117</v>
      </c>
      <c r="E455" s="128"/>
      <c r="F455" s="128"/>
      <c r="G455" s="128" t="s">
        <v>397</v>
      </c>
      <c r="H455" s="128"/>
      <c r="I455" s="10"/>
      <c r="J455" s="129">
        <f>SUMIF($Y$11:$Y$2484,G455,J$11:J$2484)</f>
        <v>351513.03</v>
      </c>
      <c r="K455" s="129">
        <f>SUMIF($Y$11:$Y$2484,G455,K$11:K$2484)</f>
        <v>0</v>
      </c>
      <c r="L455" s="129">
        <f>SUMIF($Y$11:$Y$2484,G455,L$11:L$2484)</f>
        <v>351513.03</v>
      </c>
      <c r="M455" s="129">
        <f>SUMIF($Y$11:$Y$2484,G455,M$11:M$2484)</f>
        <v>0</v>
      </c>
      <c r="N455" s="129">
        <f>SUMIF($Y$11:$Y$2484,G455,N$11:N$2484)</f>
        <v>351513.03</v>
      </c>
      <c r="O455" s="129">
        <f>SUMIF($Y$11:$Y$2484,G455,O$11:O$2484)</f>
        <v>229344.44</v>
      </c>
      <c r="P455" s="129">
        <f>SUMIF($Y$11:$Y$2484,G455,P$11:P$2484)</f>
        <v>-122168.59</v>
      </c>
      <c r="Q455" s="129"/>
      <c r="R455" s="10"/>
      <c r="S455" s="129">
        <v>348513.03</v>
      </c>
      <c r="T455" s="129">
        <f t="shared" si="138"/>
        <v>-3000</v>
      </c>
      <c r="U455" s="128"/>
      <c r="V455" s="175"/>
      <c r="W455" s="10"/>
      <c r="X455" s="10"/>
      <c r="Z455" t="str">
        <f>LEFT(G455,2)</f>
        <v>16</v>
      </c>
      <c r="AA455" t="str">
        <f>+Z455&amp;"00"</f>
        <v>1600</v>
      </c>
      <c r="AB455" s="10"/>
      <c r="AC455" s="10"/>
      <c r="AD455" s="10"/>
      <c r="AE455" s="10"/>
      <c r="AF455" s="10"/>
      <c r="AG455" s="10"/>
      <c r="AH455" s="10"/>
      <c r="AI455" s="10"/>
    </row>
    <row r="456" spans="1:35">
      <c r="A456" s="10"/>
      <c r="B456" s="10" t="str">
        <f t="shared" ref="B456:B463" si="172">+C456&amp;E456</f>
        <v>Above the LineALL SHOW</v>
      </c>
      <c r="C456" t="s">
        <v>7</v>
      </c>
      <c r="D456" t="s">
        <v>19</v>
      </c>
      <c r="E456" t="s">
        <v>227</v>
      </c>
      <c r="G456" t="s">
        <v>398</v>
      </c>
      <c r="I456" s="10"/>
      <c r="J456" s="107">
        <f>SUMIF(Data!C:C,G456,Data!Q:Q)</f>
        <v>0</v>
      </c>
      <c r="K456" s="107">
        <f>SUMIF(Comprometidos!A:A,'Cost Report'!G456,Comprometidos!E:E)</f>
        <v>0</v>
      </c>
      <c r="L456" s="107">
        <f t="shared" ref="L456:L463" si="173">+J456+K456</f>
        <v>0</v>
      </c>
      <c r="M456" s="107">
        <v>0</v>
      </c>
      <c r="N456" s="107">
        <f t="shared" ref="N456:N463" si="174">+L456+M456</f>
        <v>0</v>
      </c>
      <c r="O456" s="107">
        <f>VLOOKUP(G456,Budget!$E$3:$G$2474,3,0)</f>
        <v>0</v>
      </c>
      <c r="P456" s="107">
        <f t="shared" ref="P456:P463" si="175">+O456-N456</f>
        <v>0</v>
      </c>
      <c r="Q456" s="107"/>
      <c r="R456" s="10"/>
      <c r="S456" s="107">
        <v>0</v>
      </c>
      <c r="T456" s="107">
        <f t="shared" si="138"/>
        <v>0</v>
      </c>
      <c r="U456" s="107"/>
      <c r="V456" s="175"/>
      <c r="W456" s="10"/>
      <c r="X456" s="10"/>
      <c r="Y456" t="str">
        <f t="shared" ref="Y456:Y463" si="176">LEFT(G456,4)</f>
        <v>1621</v>
      </c>
      <c r="AB456" s="10"/>
      <c r="AC456" s="10"/>
      <c r="AD456" s="10"/>
      <c r="AE456" s="10"/>
      <c r="AF456" s="10"/>
      <c r="AG456" s="10"/>
      <c r="AH456" s="10"/>
      <c r="AI456" s="10"/>
    </row>
    <row r="457" spans="1:35">
      <c r="A457" s="10"/>
      <c r="B457" s="10" t="str">
        <f t="shared" si="172"/>
        <v>Above the LineALL SHOW</v>
      </c>
      <c r="C457" t="s">
        <v>7</v>
      </c>
      <c r="D457" t="s">
        <v>19</v>
      </c>
      <c r="E457" t="s">
        <v>227</v>
      </c>
      <c r="G457" t="s">
        <v>399</v>
      </c>
      <c r="I457" s="10"/>
      <c r="J457" s="107">
        <f>SUMIF(Data!C:C,G457,Data!Q:Q)</f>
        <v>105526.82</v>
      </c>
      <c r="K457" s="107">
        <f>SUMIF(Comprometidos!A:A,'Cost Report'!G457,Comprometidos!E:E)</f>
        <v>0</v>
      </c>
      <c r="L457" s="107">
        <f t="shared" si="173"/>
        <v>105526.82</v>
      </c>
      <c r="M457" s="107">
        <v>0</v>
      </c>
      <c r="N457" s="107">
        <f t="shared" si="174"/>
        <v>105526.82</v>
      </c>
      <c r="O457" s="107">
        <f>VLOOKUP(G457,Budget!$E$3:$G$2474,3,0)</f>
        <v>80000</v>
      </c>
      <c r="P457" s="107">
        <f t="shared" si="175"/>
        <v>-25526.820000000007</v>
      </c>
      <c r="Q457" s="107"/>
      <c r="R457" s="10"/>
      <c r="S457" s="107">
        <v>102526.82</v>
      </c>
      <c r="T457" s="107">
        <f t="shared" si="138"/>
        <v>-3000</v>
      </c>
      <c r="U457" s="107"/>
      <c r="V457" s="175"/>
      <c r="W457" s="10"/>
      <c r="X457" s="10"/>
      <c r="Y457" t="str">
        <f t="shared" si="176"/>
        <v>1621</v>
      </c>
      <c r="AB457" s="10"/>
      <c r="AC457" s="10"/>
      <c r="AD457" s="10"/>
      <c r="AE457" s="10"/>
      <c r="AF457" s="10"/>
      <c r="AG457" s="10"/>
      <c r="AH457" s="10"/>
      <c r="AI457" s="10"/>
    </row>
    <row r="458" spans="1:35">
      <c r="A458" s="10"/>
      <c r="B458" s="10" t="str">
        <f t="shared" si="172"/>
        <v>Above the LineALL SHOW</v>
      </c>
      <c r="C458" t="s">
        <v>7</v>
      </c>
      <c r="D458" t="s">
        <v>19</v>
      </c>
      <c r="E458" t="s">
        <v>227</v>
      </c>
      <c r="G458" t="s">
        <v>400</v>
      </c>
      <c r="I458" s="10"/>
      <c r="J458" s="107">
        <f>SUMIF(Data!C:C,G458,Data!Q:Q)</f>
        <v>8400</v>
      </c>
      <c r="K458" s="107">
        <f>SUMIF(Comprometidos!A:A,'Cost Report'!G458,Comprometidos!E:E)</f>
        <v>0</v>
      </c>
      <c r="L458" s="107">
        <f t="shared" si="173"/>
        <v>8400</v>
      </c>
      <c r="M458" s="107">
        <v>0</v>
      </c>
      <c r="N458" s="107">
        <f t="shared" si="174"/>
        <v>8400</v>
      </c>
      <c r="O458" s="107">
        <f>VLOOKUP(G458,Budget!$E$3:$G$2474,3,0)</f>
        <v>20000</v>
      </c>
      <c r="P458" s="107">
        <f t="shared" si="175"/>
        <v>11600</v>
      </c>
      <c r="Q458" s="107"/>
      <c r="R458" s="10"/>
      <c r="S458" s="107">
        <v>8400</v>
      </c>
      <c r="T458" s="107">
        <f t="shared" si="138"/>
        <v>0</v>
      </c>
      <c r="U458" s="107"/>
      <c r="V458" s="175"/>
      <c r="W458" s="10"/>
      <c r="X458" s="10"/>
      <c r="Y458" t="str">
        <f t="shared" si="176"/>
        <v>1621</v>
      </c>
      <c r="AB458" s="10"/>
      <c r="AC458" s="10"/>
      <c r="AD458" s="10"/>
      <c r="AE458" s="10"/>
      <c r="AF458" s="10"/>
      <c r="AG458" s="10"/>
      <c r="AH458" s="10"/>
      <c r="AI458" s="10"/>
    </row>
    <row r="459" spans="1:35">
      <c r="A459" s="10"/>
      <c r="B459" s="10" t="str">
        <f t="shared" si="172"/>
        <v>Above the Line</v>
      </c>
      <c r="C459" t="s">
        <v>7</v>
      </c>
      <c r="D459" t="s">
        <v>19</v>
      </c>
      <c r="E459" t="s">
        <v>214</v>
      </c>
      <c r="G459" t="s">
        <v>1716</v>
      </c>
      <c r="I459" s="10"/>
      <c r="J459" s="107">
        <f>SUMIF(Data!C:C,G459,Data!Q:Q)</f>
        <v>0</v>
      </c>
      <c r="K459" s="107">
        <f>SUMIF(Comprometidos!A:A,'Cost Report'!G459,Comprometidos!E:E)</f>
        <v>0</v>
      </c>
      <c r="L459" s="107">
        <f t="shared" si="173"/>
        <v>0</v>
      </c>
      <c r="M459" s="107">
        <f t="shared" ref="M459:M462" si="177">+O459-L459</f>
        <v>0</v>
      </c>
      <c r="N459" s="107">
        <f t="shared" si="174"/>
        <v>0</v>
      </c>
      <c r="O459" s="107">
        <f>VLOOKUP(G459,Budget!$E$3:$G$2474,3,0)</f>
        <v>0</v>
      </c>
      <c r="P459" s="107">
        <f t="shared" si="175"/>
        <v>0</v>
      </c>
      <c r="Q459" s="107"/>
      <c r="R459" s="10"/>
      <c r="S459" s="107">
        <v>0</v>
      </c>
      <c r="T459" s="107">
        <f t="shared" si="138"/>
        <v>0</v>
      </c>
      <c r="U459" s="107"/>
      <c r="V459" s="175"/>
      <c r="W459" s="10"/>
      <c r="X459" s="10"/>
      <c r="Y459" t="str">
        <f t="shared" si="176"/>
        <v>1621</v>
      </c>
      <c r="AB459" s="10"/>
      <c r="AC459" s="10"/>
      <c r="AD459" s="10"/>
      <c r="AE459" s="10"/>
      <c r="AF459" s="10"/>
      <c r="AG459" s="10"/>
      <c r="AH459" s="10"/>
      <c r="AI459" s="10"/>
    </row>
    <row r="460" spans="1:35">
      <c r="A460" s="10"/>
      <c r="B460" s="10" t="str">
        <f t="shared" si="172"/>
        <v>Above the LineALL SHOW</v>
      </c>
      <c r="C460" t="s">
        <v>7</v>
      </c>
      <c r="D460" t="s">
        <v>19</v>
      </c>
      <c r="E460" t="s">
        <v>227</v>
      </c>
      <c r="G460" t="s">
        <v>1717</v>
      </c>
      <c r="I460" s="10"/>
      <c r="J460" s="107">
        <f>SUMIF(Data!C:C,G460,Data!Q:Q)</f>
        <v>100000</v>
      </c>
      <c r="K460" s="107">
        <f>SUMIF(Comprometidos!A:A,'Cost Report'!G460,Comprometidos!E:E)</f>
        <v>0</v>
      </c>
      <c r="L460" s="107">
        <f t="shared" si="173"/>
        <v>100000</v>
      </c>
      <c r="M460" s="107">
        <f>+O460-L460+20000</f>
        <v>0</v>
      </c>
      <c r="N460" s="107">
        <f t="shared" si="174"/>
        <v>100000</v>
      </c>
      <c r="O460" s="107">
        <f>VLOOKUP(G460,Budget!$E$3:$G$2474,3,0)</f>
        <v>80000</v>
      </c>
      <c r="P460" s="107">
        <f t="shared" si="175"/>
        <v>-20000</v>
      </c>
      <c r="Q460" s="107"/>
      <c r="R460" s="10"/>
      <c r="S460" s="107">
        <v>100000</v>
      </c>
      <c r="T460" s="107">
        <f t="shared" ref="T460:T523" si="178">+S460-N460</f>
        <v>0</v>
      </c>
      <c r="U460" s="107"/>
      <c r="V460" s="175"/>
      <c r="W460" s="10"/>
      <c r="X460" s="10"/>
      <c r="Y460" t="str">
        <f t="shared" si="176"/>
        <v>1621</v>
      </c>
      <c r="AB460" s="10"/>
      <c r="AC460" s="10"/>
      <c r="AD460" s="10"/>
      <c r="AE460" s="10"/>
      <c r="AF460" s="10"/>
      <c r="AG460" s="10"/>
      <c r="AH460" s="10"/>
      <c r="AI460" s="10"/>
    </row>
    <row r="461" spans="1:35">
      <c r="A461" s="10"/>
      <c r="B461" s="10" t="str">
        <f t="shared" si="172"/>
        <v>Above the LineALL SHOW</v>
      </c>
      <c r="C461" t="s">
        <v>7</v>
      </c>
      <c r="D461" t="s">
        <v>19</v>
      </c>
      <c r="E461" t="s">
        <v>227</v>
      </c>
      <c r="G461" t="s">
        <v>1718</v>
      </c>
      <c r="I461" s="10"/>
      <c r="J461" s="107">
        <f>SUMIF(Data!C:C,G461,Data!Q:Q)</f>
        <v>0</v>
      </c>
      <c r="K461" s="107">
        <f>SUMIF(Comprometidos!A:A,'Cost Report'!G461,Comprometidos!E:E)</f>
        <v>0</v>
      </c>
      <c r="L461" s="107">
        <f t="shared" si="173"/>
        <v>0</v>
      </c>
      <c r="M461" s="107">
        <v>0</v>
      </c>
      <c r="N461" s="107">
        <f t="shared" si="174"/>
        <v>0</v>
      </c>
      <c r="O461" s="107">
        <f>VLOOKUP(G461,Budget!$E$3:$G$2474,3,0)</f>
        <v>20000</v>
      </c>
      <c r="P461" s="107">
        <f t="shared" si="175"/>
        <v>20000</v>
      </c>
      <c r="Q461" s="107"/>
      <c r="R461" s="10"/>
      <c r="S461" s="107">
        <v>0</v>
      </c>
      <c r="T461" s="107">
        <f t="shared" si="178"/>
        <v>0</v>
      </c>
      <c r="U461" s="107"/>
      <c r="V461" s="175"/>
      <c r="W461" s="10"/>
      <c r="X461" s="10"/>
      <c r="Y461" t="str">
        <f t="shared" si="176"/>
        <v>1621</v>
      </c>
      <c r="AB461" s="10"/>
      <c r="AC461" s="10"/>
      <c r="AD461" s="10"/>
      <c r="AE461" s="10"/>
      <c r="AF461" s="10"/>
      <c r="AG461" s="10"/>
      <c r="AH461" s="10"/>
      <c r="AI461" s="10"/>
    </row>
    <row r="462" spans="1:35">
      <c r="A462" s="10"/>
      <c r="B462" s="10" t="str">
        <f t="shared" si="172"/>
        <v>Above the Line</v>
      </c>
      <c r="C462" t="s">
        <v>7</v>
      </c>
      <c r="D462" t="s">
        <v>19</v>
      </c>
      <c r="E462" t="s">
        <v>214</v>
      </c>
      <c r="G462" t="s">
        <v>2336</v>
      </c>
      <c r="I462" s="10"/>
      <c r="J462" s="107">
        <f>SUMIF(Data!C:C,G462,Data!Q:Q)</f>
        <v>0</v>
      </c>
      <c r="K462" s="107">
        <f>SUMIF(Comprometidos!A:A,'Cost Report'!G462,Comprometidos!E:E)</f>
        <v>0</v>
      </c>
      <c r="L462" s="107">
        <f t="shared" si="173"/>
        <v>0</v>
      </c>
      <c r="M462" s="107">
        <f t="shared" si="177"/>
        <v>0</v>
      </c>
      <c r="N462" s="107">
        <f t="shared" si="174"/>
        <v>0</v>
      </c>
      <c r="O462" s="107">
        <f>VLOOKUP(G462,Budget!$E$3:$G$2474,3,0)</f>
        <v>0</v>
      </c>
      <c r="P462" s="107">
        <f t="shared" si="175"/>
        <v>0</v>
      </c>
      <c r="Q462" s="107"/>
      <c r="R462" s="10"/>
      <c r="S462" s="107">
        <v>0</v>
      </c>
      <c r="T462" s="107">
        <f t="shared" si="178"/>
        <v>0</v>
      </c>
      <c r="U462" s="107"/>
      <c r="V462" s="175"/>
      <c r="W462" s="10"/>
      <c r="X462" s="10"/>
      <c r="Y462" t="str">
        <f t="shared" si="176"/>
        <v>1621</v>
      </c>
      <c r="AB462" s="10"/>
      <c r="AC462" s="10"/>
      <c r="AD462" s="10"/>
      <c r="AE462" s="10"/>
      <c r="AF462" s="10"/>
      <c r="AG462" s="10"/>
      <c r="AH462" s="10"/>
      <c r="AI462" s="10"/>
    </row>
    <row r="463" spans="1:35">
      <c r="A463" s="10"/>
      <c r="B463" s="10" t="str">
        <f t="shared" si="172"/>
        <v>Above the LineALL SHOW</v>
      </c>
      <c r="C463" t="s">
        <v>7</v>
      </c>
      <c r="D463" t="s">
        <v>19</v>
      </c>
      <c r="E463" t="s">
        <v>227</v>
      </c>
      <c r="G463" t="s">
        <v>2337</v>
      </c>
      <c r="I463" s="10"/>
      <c r="J463" s="107">
        <f>SUMIF(Data!C:C,G463,Data!Q:Q)</f>
        <v>137586.21</v>
      </c>
      <c r="K463" s="107">
        <f>SUMIF(Comprometidos!A:A,'Cost Report'!G463,Comprometidos!E:E)</f>
        <v>0</v>
      </c>
      <c r="L463" s="107">
        <f t="shared" si="173"/>
        <v>137586.21</v>
      </c>
      <c r="M463" s="107">
        <v>0</v>
      </c>
      <c r="N463" s="107">
        <f t="shared" si="174"/>
        <v>137586.21</v>
      </c>
      <c r="O463" s="107">
        <f>VLOOKUP(G463,Budget!$E$3:$G$2474,3,0)</f>
        <v>29344.44</v>
      </c>
      <c r="P463" s="107">
        <f t="shared" si="175"/>
        <v>-108241.76999999999</v>
      </c>
      <c r="Q463" s="107"/>
      <c r="R463" s="10"/>
      <c r="S463" s="107">
        <v>137586.21</v>
      </c>
      <c r="T463" s="107">
        <f t="shared" si="178"/>
        <v>0</v>
      </c>
      <c r="U463" s="107"/>
      <c r="V463" s="175"/>
      <c r="W463" s="10"/>
      <c r="X463" s="10"/>
      <c r="Y463" t="str">
        <f t="shared" si="176"/>
        <v>1621</v>
      </c>
      <c r="AB463" s="10"/>
      <c r="AC463" s="10"/>
      <c r="AD463" s="10"/>
      <c r="AE463" s="10"/>
      <c r="AF463" s="10"/>
      <c r="AG463" s="10"/>
      <c r="AH463" s="10"/>
      <c r="AI463" s="10"/>
    </row>
    <row r="464" spans="1:35">
      <c r="A464" s="10"/>
      <c r="B464" s="10" t="str">
        <f>+C464</f>
        <v>Above the Line</v>
      </c>
      <c r="C464" s="128" t="s">
        <v>7</v>
      </c>
      <c r="D464" s="128" t="s">
        <v>2117</v>
      </c>
      <c r="E464" s="128"/>
      <c r="F464" s="128"/>
      <c r="G464" s="128" t="s">
        <v>401</v>
      </c>
      <c r="H464" s="128"/>
      <c r="I464" s="10"/>
      <c r="J464" s="129">
        <f>SUMIF($Y$11:$Y$2484,G464,J$11:J$2484)</f>
        <v>29006.69</v>
      </c>
      <c r="K464" s="129">
        <f>SUMIF($Y$11:$Y$2484,G464,K$11:K$2484)</f>
        <v>0</v>
      </c>
      <c r="L464" s="129">
        <f>SUMIF($Y$11:$Y$2484,G464,L$11:L$2484)</f>
        <v>29006.69</v>
      </c>
      <c r="M464" s="129">
        <f>SUMIF($Y$11:$Y$2484,G464,M$11:M$2484)</f>
        <v>0</v>
      </c>
      <c r="N464" s="129">
        <f>SUMIF($Y$11:$Y$2484,G464,N$11:N$2484)</f>
        <v>29006.69</v>
      </c>
      <c r="O464" s="129">
        <f>SUMIF($Y$11:$Y$2484,G464,O$11:O$2484)</f>
        <v>50000</v>
      </c>
      <c r="P464" s="129">
        <f>SUMIF($Y$11:$Y$2484,G464,P$11:P$2484)</f>
        <v>20993.309999999998</v>
      </c>
      <c r="Q464" s="129"/>
      <c r="R464" s="10"/>
      <c r="S464" s="129">
        <v>29006.69</v>
      </c>
      <c r="T464" s="129">
        <f t="shared" si="178"/>
        <v>0</v>
      </c>
      <c r="U464" s="128"/>
      <c r="V464" s="175"/>
      <c r="W464" s="10"/>
      <c r="X464" s="10"/>
      <c r="Z464" t="str">
        <f>LEFT(G464,2)</f>
        <v>16</v>
      </c>
      <c r="AA464" t="str">
        <f>+Z464&amp;"00"</f>
        <v>1600</v>
      </c>
      <c r="AB464" s="10"/>
      <c r="AC464" s="10"/>
      <c r="AD464" s="10"/>
      <c r="AE464" s="10"/>
      <c r="AF464" s="10"/>
      <c r="AG464" s="10"/>
      <c r="AH464" s="10"/>
      <c r="AI464" s="10"/>
    </row>
    <row r="465" spans="1:35">
      <c r="A465" s="10"/>
      <c r="B465" s="10" t="str">
        <f t="shared" ref="B465:B480" si="179">+C465&amp;E465</f>
        <v>Above the Line</v>
      </c>
      <c r="C465" t="s">
        <v>7</v>
      </c>
      <c r="D465" t="s">
        <v>19</v>
      </c>
      <c r="E465" t="s">
        <v>214</v>
      </c>
      <c r="G465" t="s">
        <v>402</v>
      </c>
      <c r="I465" s="10"/>
      <c r="J465" s="107">
        <f>SUMIF(Data!C:C,G465,Data!Q:Q)</f>
        <v>0</v>
      </c>
      <c r="K465" s="107">
        <f>SUMIF(Comprometidos!A:A,'Cost Report'!G465,Comprometidos!E:E)</f>
        <v>0</v>
      </c>
      <c r="L465" s="107">
        <f t="shared" ref="L465:L480" si="180">+J465+K465</f>
        <v>0</v>
      </c>
      <c r="M465" s="107">
        <f t="shared" ref="M465:M478" si="181">+O465-L465</f>
        <v>0</v>
      </c>
      <c r="N465" s="107">
        <f t="shared" ref="N465:N480" si="182">+L465+M465</f>
        <v>0</v>
      </c>
      <c r="O465" s="107">
        <f>VLOOKUP(G465,Budget!$E$3:$G$2474,3,0)</f>
        <v>0</v>
      </c>
      <c r="P465" s="107">
        <f t="shared" ref="P465:P480" si="183">+O465-N465</f>
        <v>0</v>
      </c>
      <c r="Q465" s="107"/>
      <c r="R465" s="10"/>
      <c r="S465" s="107">
        <v>0</v>
      </c>
      <c r="T465" s="107">
        <f t="shared" si="178"/>
        <v>0</v>
      </c>
      <c r="U465" s="107"/>
      <c r="V465" s="175"/>
      <c r="W465" s="10"/>
      <c r="X465" s="10"/>
      <c r="Y465" t="str">
        <f t="shared" ref="Y465:Y480" si="184">LEFT(G465,4)</f>
        <v>1630</v>
      </c>
      <c r="AB465" s="10"/>
      <c r="AC465" s="10"/>
      <c r="AD465" s="10"/>
      <c r="AE465" s="10"/>
      <c r="AF465" s="10"/>
      <c r="AG465" s="10"/>
      <c r="AH465" s="10"/>
      <c r="AI465" s="10"/>
    </row>
    <row r="466" spans="1:35">
      <c r="A466" s="10"/>
      <c r="B466" s="10" t="str">
        <f t="shared" si="179"/>
        <v>Above the Line</v>
      </c>
      <c r="C466" t="s">
        <v>7</v>
      </c>
      <c r="D466" t="s">
        <v>19</v>
      </c>
      <c r="E466" t="s">
        <v>214</v>
      </c>
      <c r="G466" t="s">
        <v>403</v>
      </c>
      <c r="I466" s="10"/>
      <c r="J466" s="107">
        <f>SUMIF(Data!C:C,G466,Data!Q:Q)</f>
        <v>0</v>
      </c>
      <c r="K466" s="107">
        <f>SUMIF(Comprometidos!A:A,'Cost Report'!G466,Comprometidos!E:E)</f>
        <v>0</v>
      </c>
      <c r="L466" s="107">
        <f t="shared" si="180"/>
        <v>0</v>
      </c>
      <c r="M466" s="107">
        <f t="shared" si="181"/>
        <v>0</v>
      </c>
      <c r="N466" s="107">
        <f t="shared" si="182"/>
        <v>0</v>
      </c>
      <c r="O466" s="107">
        <f>VLOOKUP(G466,Budget!$E$3:$G$2474,3,0)</f>
        <v>0</v>
      </c>
      <c r="P466" s="107">
        <f t="shared" si="183"/>
        <v>0</v>
      </c>
      <c r="Q466" s="107"/>
      <c r="R466" s="10"/>
      <c r="S466" s="107">
        <v>0</v>
      </c>
      <c r="T466" s="107">
        <f t="shared" si="178"/>
        <v>0</v>
      </c>
      <c r="U466" s="107"/>
      <c r="V466" s="175"/>
      <c r="W466" s="10"/>
      <c r="X466" s="10"/>
      <c r="Y466" t="str">
        <f t="shared" si="184"/>
        <v>1630</v>
      </c>
      <c r="AB466" s="10"/>
      <c r="AC466" s="10"/>
      <c r="AD466" s="10"/>
      <c r="AE466" s="10"/>
      <c r="AF466" s="10"/>
      <c r="AG466" s="10"/>
      <c r="AH466" s="10"/>
      <c r="AI466" s="10"/>
    </row>
    <row r="467" spans="1:35">
      <c r="A467" s="10"/>
      <c r="B467" s="10" t="str">
        <f t="shared" si="179"/>
        <v>Above the LineALL SHOW</v>
      </c>
      <c r="C467" t="s">
        <v>7</v>
      </c>
      <c r="D467" t="s">
        <v>19</v>
      </c>
      <c r="E467" t="s">
        <v>227</v>
      </c>
      <c r="G467" t="s">
        <v>404</v>
      </c>
      <c r="I467" s="10"/>
      <c r="J467" s="107">
        <f>SUMIF(Data!C:C,G467,Data!Q:Q)</f>
        <v>3696.57</v>
      </c>
      <c r="K467" s="107">
        <f>SUMIF(Comprometidos!A:A,'Cost Report'!G467,Comprometidos!E:E)</f>
        <v>0</v>
      </c>
      <c r="L467" s="107">
        <f t="shared" si="180"/>
        <v>3696.57</v>
      </c>
      <c r="M467" s="107">
        <v>0</v>
      </c>
      <c r="N467" s="107">
        <f t="shared" si="182"/>
        <v>3696.57</v>
      </c>
      <c r="O467" s="107">
        <f>VLOOKUP(G467,Budget!$E$3:$G$2474,3,0)</f>
        <v>5000</v>
      </c>
      <c r="P467" s="107">
        <f t="shared" si="183"/>
        <v>1303.4299999999998</v>
      </c>
      <c r="Q467" s="107"/>
      <c r="R467" s="10"/>
      <c r="S467" s="107">
        <v>3696.57</v>
      </c>
      <c r="T467" s="107">
        <f t="shared" si="178"/>
        <v>0</v>
      </c>
      <c r="U467" s="107"/>
      <c r="V467" s="175"/>
      <c r="W467" s="10"/>
      <c r="X467" s="10"/>
      <c r="Y467" t="str">
        <f t="shared" si="184"/>
        <v>1630</v>
      </c>
      <c r="AB467" s="10"/>
      <c r="AC467" s="10"/>
      <c r="AD467" s="10"/>
      <c r="AE467" s="10"/>
      <c r="AF467" s="10"/>
      <c r="AG467" s="10"/>
      <c r="AH467" s="10"/>
      <c r="AI467" s="10"/>
    </row>
    <row r="468" spans="1:35">
      <c r="A468" s="10"/>
      <c r="B468" s="10" t="str">
        <f t="shared" si="179"/>
        <v>Above the LineALL SHOW</v>
      </c>
      <c r="C468" t="s">
        <v>7</v>
      </c>
      <c r="D468" t="s">
        <v>19</v>
      </c>
      <c r="E468" t="s">
        <v>227</v>
      </c>
      <c r="G468" t="s">
        <v>405</v>
      </c>
      <c r="I468" s="10"/>
      <c r="J468" s="107">
        <f>SUMIF(Data!C:C,G468,Data!Q:Q)</f>
        <v>2877.6</v>
      </c>
      <c r="K468" s="107">
        <f>SUMIF(Comprometidos!A:A,'Cost Report'!G468,Comprometidos!E:E)</f>
        <v>0</v>
      </c>
      <c r="L468" s="107">
        <f t="shared" si="180"/>
        <v>2877.6</v>
      </c>
      <c r="M468" s="107">
        <v>0</v>
      </c>
      <c r="N468" s="107">
        <f t="shared" si="182"/>
        <v>2877.6</v>
      </c>
      <c r="O468" s="107">
        <f>VLOOKUP(G468,Budget!$E$3:$G$2474,3,0)</f>
        <v>5000</v>
      </c>
      <c r="P468" s="107">
        <f t="shared" si="183"/>
        <v>2122.4</v>
      </c>
      <c r="Q468" s="107"/>
      <c r="R468" s="10"/>
      <c r="S468" s="107">
        <v>2877.6</v>
      </c>
      <c r="T468" s="107">
        <f t="shared" si="178"/>
        <v>0</v>
      </c>
      <c r="U468" s="107"/>
      <c r="V468" s="175"/>
      <c r="W468" s="10"/>
      <c r="X468" s="10"/>
      <c r="Y468" t="str">
        <f t="shared" si="184"/>
        <v>1630</v>
      </c>
      <c r="AB468" s="10"/>
      <c r="AC468" s="10"/>
      <c r="AD468" s="10"/>
      <c r="AE468" s="10"/>
      <c r="AF468" s="10"/>
      <c r="AG468" s="10"/>
      <c r="AH468" s="10"/>
      <c r="AI468" s="10"/>
    </row>
    <row r="469" spans="1:35">
      <c r="A469" s="10"/>
      <c r="B469" s="10" t="str">
        <f t="shared" si="179"/>
        <v>Above the Line</v>
      </c>
      <c r="C469" t="s">
        <v>7</v>
      </c>
      <c r="D469" t="s">
        <v>19</v>
      </c>
      <c r="E469" t="s">
        <v>214</v>
      </c>
      <c r="G469" t="s">
        <v>406</v>
      </c>
      <c r="I469" s="10"/>
      <c r="J469" s="107">
        <f>SUMIF(Data!C:C,G469,Data!Q:Q)</f>
        <v>0</v>
      </c>
      <c r="K469" s="107">
        <f>SUMIF(Comprometidos!A:A,'Cost Report'!G469,Comprometidos!E:E)</f>
        <v>0</v>
      </c>
      <c r="L469" s="107">
        <f t="shared" si="180"/>
        <v>0</v>
      </c>
      <c r="M469" s="107">
        <f t="shared" si="181"/>
        <v>0</v>
      </c>
      <c r="N469" s="107">
        <f t="shared" si="182"/>
        <v>0</v>
      </c>
      <c r="O469" s="107">
        <f>VLOOKUP(G469,Budget!$E$3:$G$2474,3,0)</f>
        <v>0</v>
      </c>
      <c r="P469" s="107">
        <f t="shared" si="183"/>
        <v>0</v>
      </c>
      <c r="Q469" s="107"/>
      <c r="R469" s="10"/>
      <c r="S469" s="107">
        <v>0</v>
      </c>
      <c r="T469" s="107">
        <f t="shared" si="178"/>
        <v>0</v>
      </c>
      <c r="U469" s="107"/>
      <c r="V469" s="175"/>
      <c r="W469" s="10"/>
      <c r="X469" s="10"/>
      <c r="Y469" t="str">
        <f t="shared" si="184"/>
        <v>1630</v>
      </c>
      <c r="AB469" s="10"/>
      <c r="AC469" s="10"/>
      <c r="AD469" s="10"/>
      <c r="AE469" s="10"/>
      <c r="AF469" s="10"/>
      <c r="AG469" s="10"/>
      <c r="AH469" s="10"/>
      <c r="AI469" s="10"/>
    </row>
    <row r="470" spans="1:35">
      <c r="A470" s="10"/>
      <c r="B470" s="10" t="str">
        <f t="shared" si="179"/>
        <v>Above the LineALL SHOW</v>
      </c>
      <c r="C470" t="s">
        <v>7</v>
      </c>
      <c r="D470" t="s">
        <v>19</v>
      </c>
      <c r="E470" t="s">
        <v>227</v>
      </c>
      <c r="G470" t="s">
        <v>407</v>
      </c>
      <c r="I470" s="10"/>
      <c r="J470" s="107">
        <f>SUMIF(Data!C:C,G470,Data!Q:Q)</f>
        <v>0</v>
      </c>
      <c r="K470" s="107">
        <f>SUMIF(Comprometidos!A:A,'Cost Report'!G470,Comprometidos!E:E)</f>
        <v>0</v>
      </c>
      <c r="L470" s="107">
        <f t="shared" si="180"/>
        <v>0</v>
      </c>
      <c r="M470" s="107">
        <v>0</v>
      </c>
      <c r="N470" s="107">
        <f t="shared" si="182"/>
        <v>0</v>
      </c>
      <c r="O470" s="107">
        <f>VLOOKUP(G470,Budget!$E$3:$G$2474,3,0)</f>
        <v>5000</v>
      </c>
      <c r="P470" s="107">
        <f t="shared" si="183"/>
        <v>5000</v>
      </c>
      <c r="Q470" s="107"/>
      <c r="R470" s="10"/>
      <c r="S470" s="107">
        <v>0</v>
      </c>
      <c r="T470" s="107">
        <f t="shared" si="178"/>
        <v>0</v>
      </c>
      <c r="U470" s="107"/>
      <c r="V470" s="175"/>
      <c r="W470" s="10"/>
      <c r="X470" s="10"/>
      <c r="Y470" t="str">
        <f t="shared" si="184"/>
        <v>1630</v>
      </c>
      <c r="AB470" s="10"/>
      <c r="AC470" s="10"/>
      <c r="AD470" s="10"/>
      <c r="AE470" s="10"/>
      <c r="AF470" s="10"/>
      <c r="AG470" s="10"/>
      <c r="AH470" s="10"/>
      <c r="AI470" s="10"/>
    </row>
    <row r="471" spans="1:35">
      <c r="A471" s="10"/>
      <c r="B471" s="10" t="str">
        <f t="shared" si="179"/>
        <v>Above the LineALL SHOW</v>
      </c>
      <c r="C471" t="s">
        <v>7</v>
      </c>
      <c r="D471" t="s">
        <v>19</v>
      </c>
      <c r="E471" t="s">
        <v>227</v>
      </c>
      <c r="G471" t="s">
        <v>408</v>
      </c>
      <c r="I471" s="10"/>
      <c r="J471" s="107">
        <f>SUMIF(Data!C:C,G471,Data!Q:Q)</f>
        <v>5510.81</v>
      </c>
      <c r="K471" s="107">
        <f>SUMIF(Comprometidos!A:A,'Cost Report'!G471,Comprometidos!E:E)</f>
        <v>0</v>
      </c>
      <c r="L471" s="107">
        <f t="shared" si="180"/>
        <v>5510.81</v>
      </c>
      <c r="M471" s="107">
        <v>0</v>
      </c>
      <c r="N471" s="107">
        <f t="shared" si="182"/>
        <v>5510.81</v>
      </c>
      <c r="O471" s="107">
        <f>VLOOKUP(G471,Budget!$E$3:$G$2474,3,0)</f>
        <v>5000</v>
      </c>
      <c r="P471" s="107">
        <f t="shared" si="183"/>
        <v>-510.8100000000004</v>
      </c>
      <c r="Q471" s="107"/>
      <c r="R471" s="10"/>
      <c r="S471" s="107">
        <v>5510.81</v>
      </c>
      <c r="T471" s="107">
        <f t="shared" si="178"/>
        <v>0</v>
      </c>
      <c r="U471" s="107"/>
      <c r="V471" s="175"/>
      <c r="W471" s="10"/>
      <c r="X471" s="10"/>
      <c r="Y471" t="str">
        <f t="shared" si="184"/>
        <v>1630</v>
      </c>
      <c r="AB471" s="10"/>
      <c r="AC471" s="10"/>
      <c r="AD471" s="10"/>
      <c r="AE471" s="10"/>
      <c r="AF471" s="10"/>
      <c r="AG471" s="10"/>
      <c r="AH471" s="10"/>
      <c r="AI471" s="10"/>
    </row>
    <row r="472" spans="1:35">
      <c r="A472" s="10"/>
      <c r="B472" s="10" t="str">
        <f t="shared" si="179"/>
        <v>Above the Line</v>
      </c>
      <c r="C472" t="s">
        <v>7</v>
      </c>
      <c r="D472" t="s">
        <v>19</v>
      </c>
      <c r="E472" t="s">
        <v>214</v>
      </c>
      <c r="G472" t="s">
        <v>2338</v>
      </c>
      <c r="I472" s="10"/>
      <c r="J472" s="107">
        <f>SUMIF(Data!C:C,G472,Data!Q:Q)</f>
        <v>0</v>
      </c>
      <c r="K472" s="107">
        <f>SUMIF(Comprometidos!A:A,'Cost Report'!G472,Comprometidos!E:E)</f>
        <v>0</v>
      </c>
      <c r="L472" s="107">
        <f t="shared" si="180"/>
        <v>0</v>
      </c>
      <c r="M472" s="107">
        <f t="shared" si="181"/>
        <v>0</v>
      </c>
      <c r="N472" s="107">
        <f t="shared" si="182"/>
        <v>0</v>
      </c>
      <c r="O472" s="107">
        <f>VLOOKUP(G472,Budget!$E$3:$G$2474,3,0)</f>
        <v>0</v>
      </c>
      <c r="P472" s="107">
        <f t="shared" si="183"/>
        <v>0</v>
      </c>
      <c r="Q472" s="107"/>
      <c r="R472" s="10"/>
      <c r="S472" s="107">
        <v>0</v>
      </c>
      <c r="T472" s="107">
        <f t="shared" si="178"/>
        <v>0</v>
      </c>
      <c r="U472" s="107"/>
      <c r="V472" s="175"/>
      <c r="W472" s="10"/>
      <c r="X472" s="10"/>
      <c r="Y472" t="str">
        <f t="shared" si="184"/>
        <v>1630</v>
      </c>
      <c r="AB472" s="10"/>
      <c r="AC472" s="10"/>
      <c r="AD472" s="10"/>
      <c r="AE472" s="10"/>
      <c r="AF472" s="10"/>
      <c r="AG472" s="10"/>
      <c r="AH472" s="10"/>
      <c r="AI472" s="10"/>
    </row>
    <row r="473" spans="1:35">
      <c r="A473" s="10"/>
      <c r="B473" s="10" t="str">
        <f t="shared" si="179"/>
        <v>Above the LineALL SHOW</v>
      </c>
      <c r="C473" t="s">
        <v>7</v>
      </c>
      <c r="D473" t="s">
        <v>19</v>
      </c>
      <c r="E473" t="s">
        <v>227</v>
      </c>
      <c r="G473" t="s">
        <v>2339</v>
      </c>
      <c r="I473" s="10"/>
      <c r="J473" s="107">
        <f>SUMIF(Data!C:C,G473,Data!Q:Q)</f>
        <v>3707.7400000000002</v>
      </c>
      <c r="K473" s="107">
        <f>SUMIF(Comprometidos!A:A,'Cost Report'!G473,Comprometidos!E:E)</f>
        <v>0</v>
      </c>
      <c r="L473" s="107">
        <f t="shared" si="180"/>
        <v>3707.7400000000002</v>
      </c>
      <c r="M473" s="107">
        <v>0</v>
      </c>
      <c r="N473" s="107">
        <f t="shared" si="182"/>
        <v>3707.7400000000002</v>
      </c>
      <c r="O473" s="107">
        <f>VLOOKUP(G473,Budget!$E$3:$G$2474,3,0)</f>
        <v>5000</v>
      </c>
      <c r="P473" s="107">
        <f t="shared" si="183"/>
        <v>1292.2599999999998</v>
      </c>
      <c r="Q473" s="107"/>
      <c r="R473" s="10"/>
      <c r="S473" s="107">
        <v>3707.7400000000002</v>
      </c>
      <c r="T473" s="107">
        <f t="shared" si="178"/>
        <v>0</v>
      </c>
      <c r="U473" s="107"/>
      <c r="V473" s="175"/>
      <c r="W473" s="10"/>
      <c r="X473" s="10"/>
      <c r="Y473" t="str">
        <f t="shared" si="184"/>
        <v>1630</v>
      </c>
      <c r="AB473" s="10"/>
      <c r="AC473" s="10"/>
      <c r="AD473" s="10"/>
      <c r="AE473" s="10"/>
      <c r="AF473" s="10"/>
      <c r="AG473" s="10"/>
      <c r="AH473" s="10"/>
      <c r="AI473" s="10"/>
    </row>
    <row r="474" spans="1:35">
      <c r="A474" s="10"/>
      <c r="B474" s="10" t="str">
        <f t="shared" si="179"/>
        <v>Above the LineALL SHOW</v>
      </c>
      <c r="C474" t="s">
        <v>7</v>
      </c>
      <c r="D474" t="s">
        <v>19</v>
      </c>
      <c r="E474" t="s">
        <v>227</v>
      </c>
      <c r="G474" t="s">
        <v>2340</v>
      </c>
      <c r="I474" s="10"/>
      <c r="J474" s="107">
        <f>SUMIF(Data!C:C,G474,Data!Q:Q)</f>
        <v>0</v>
      </c>
      <c r="K474" s="107">
        <f>SUMIF(Comprometidos!A:A,'Cost Report'!G474,Comprometidos!E:E)</f>
        <v>0</v>
      </c>
      <c r="L474" s="107">
        <f t="shared" si="180"/>
        <v>0</v>
      </c>
      <c r="M474" s="107">
        <v>0</v>
      </c>
      <c r="N474" s="107">
        <f t="shared" si="182"/>
        <v>0</v>
      </c>
      <c r="O474" s="107">
        <f>VLOOKUP(G474,Budget!$E$3:$G$2474,3,0)</f>
        <v>5000</v>
      </c>
      <c r="P474" s="107">
        <f t="shared" si="183"/>
        <v>5000</v>
      </c>
      <c r="Q474" s="107"/>
      <c r="R474" s="10"/>
      <c r="S474" s="107">
        <v>0</v>
      </c>
      <c r="T474" s="107">
        <f t="shared" si="178"/>
        <v>0</v>
      </c>
      <c r="U474" s="107"/>
      <c r="V474" s="175"/>
      <c r="W474" s="10"/>
      <c r="X474" s="10"/>
      <c r="Y474" t="str">
        <f t="shared" si="184"/>
        <v>1630</v>
      </c>
      <c r="AB474" s="10"/>
      <c r="AC474" s="10"/>
      <c r="AD474" s="10"/>
      <c r="AE474" s="10"/>
      <c r="AF474" s="10"/>
      <c r="AG474" s="10"/>
      <c r="AH474" s="10"/>
      <c r="AI474" s="10"/>
    </row>
    <row r="475" spans="1:35">
      <c r="A475" s="10"/>
      <c r="B475" s="10" t="str">
        <f t="shared" si="179"/>
        <v>Above the Line</v>
      </c>
      <c r="C475" t="s">
        <v>7</v>
      </c>
      <c r="D475" t="s">
        <v>19</v>
      </c>
      <c r="E475" t="s">
        <v>214</v>
      </c>
      <c r="G475" t="s">
        <v>2341</v>
      </c>
      <c r="I475" s="10"/>
      <c r="J475" s="107">
        <f>SUMIF(Data!C:C,G475,Data!Q:Q)</f>
        <v>0</v>
      </c>
      <c r="K475" s="107">
        <f>SUMIF(Comprometidos!A:A,'Cost Report'!G475,Comprometidos!E:E)</f>
        <v>0</v>
      </c>
      <c r="L475" s="107">
        <f t="shared" si="180"/>
        <v>0</v>
      </c>
      <c r="M475" s="107">
        <f t="shared" si="181"/>
        <v>0</v>
      </c>
      <c r="N475" s="107">
        <f t="shared" si="182"/>
        <v>0</v>
      </c>
      <c r="O475" s="107">
        <f>VLOOKUP(G475,Budget!$E$3:$G$2474,3,0)</f>
        <v>0</v>
      </c>
      <c r="P475" s="107">
        <f t="shared" si="183"/>
        <v>0</v>
      </c>
      <c r="Q475" s="107"/>
      <c r="R475" s="10"/>
      <c r="S475" s="107">
        <v>0</v>
      </c>
      <c r="T475" s="107">
        <f t="shared" si="178"/>
        <v>0</v>
      </c>
      <c r="U475" s="107"/>
      <c r="V475" s="175"/>
      <c r="W475" s="10"/>
      <c r="X475" s="10"/>
      <c r="Y475" t="str">
        <f t="shared" si="184"/>
        <v>1630</v>
      </c>
      <c r="AB475" s="10"/>
      <c r="AC475" s="10"/>
      <c r="AD475" s="10"/>
      <c r="AE475" s="10"/>
      <c r="AF475" s="10"/>
      <c r="AG475" s="10"/>
      <c r="AH475" s="10"/>
      <c r="AI475" s="10"/>
    </row>
    <row r="476" spans="1:35">
      <c r="A476" s="10"/>
      <c r="B476" s="10" t="str">
        <f t="shared" si="179"/>
        <v>Above the LineALL SHOW</v>
      </c>
      <c r="C476" t="s">
        <v>7</v>
      </c>
      <c r="D476" t="s">
        <v>19</v>
      </c>
      <c r="E476" t="s">
        <v>227</v>
      </c>
      <c r="G476" t="s">
        <v>2342</v>
      </c>
      <c r="I476" s="10"/>
      <c r="J476" s="107">
        <f>SUMIF(Data!C:C,G476,Data!Q:Q)</f>
        <v>9070.41</v>
      </c>
      <c r="K476" s="107">
        <f>SUMIF(Comprometidos!A:A,'Cost Report'!G476,Comprometidos!E:E)</f>
        <v>0</v>
      </c>
      <c r="L476" s="107">
        <f t="shared" si="180"/>
        <v>9070.41</v>
      </c>
      <c r="M476" s="107">
        <v>0</v>
      </c>
      <c r="N476" s="107">
        <f t="shared" si="182"/>
        <v>9070.41</v>
      </c>
      <c r="O476" s="107">
        <f>VLOOKUP(G476,Budget!$E$3:$G$2474,3,0)</f>
        <v>5000</v>
      </c>
      <c r="P476" s="107">
        <f t="shared" si="183"/>
        <v>-4070.41</v>
      </c>
      <c r="Q476" s="107"/>
      <c r="R476" s="10"/>
      <c r="S476" s="107">
        <v>9070.41</v>
      </c>
      <c r="T476" s="107">
        <f t="shared" si="178"/>
        <v>0</v>
      </c>
      <c r="U476" s="107"/>
      <c r="V476" s="175"/>
      <c r="W476" s="10"/>
      <c r="X476" s="10"/>
      <c r="Y476" t="str">
        <f t="shared" si="184"/>
        <v>1630</v>
      </c>
      <c r="AB476" s="10"/>
      <c r="AC476" s="10"/>
      <c r="AD476" s="10"/>
      <c r="AE476" s="10"/>
      <c r="AF476" s="10"/>
      <c r="AG476" s="10"/>
      <c r="AH476" s="10"/>
      <c r="AI476" s="10"/>
    </row>
    <row r="477" spans="1:35">
      <c r="A477" s="10"/>
      <c r="B477" s="10" t="str">
        <f t="shared" si="179"/>
        <v>Above the LineALL SHOW</v>
      </c>
      <c r="C477" t="s">
        <v>7</v>
      </c>
      <c r="D477" t="s">
        <v>19</v>
      </c>
      <c r="E477" t="s">
        <v>227</v>
      </c>
      <c r="G477" t="s">
        <v>2343</v>
      </c>
      <c r="I477" s="10"/>
      <c r="J477" s="107">
        <f>SUMIF(Data!C:C,G477,Data!Q:Q)</f>
        <v>0</v>
      </c>
      <c r="K477" s="107">
        <f>SUMIF(Comprometidos!A:A,'Cost Report'!G477,Comprometidos!E:E)</f>
        <v>0</v>
      </c>
      <c r="L477" s="107">
        <f t="shared" si="180"/>
        <v>0</v>
      </c>
      <c r="M477" s="107">
        <v>0</v>
      </c>
      <c r="N477" s="107">
        <f t="shared" si="182"/>
        <v>0</v>
      </c>
      <c r="O477" s="107">
        <f>VLOOKUP(G477,Budget!$E$3:$G$2474,3,0)</f>
        <v>5000</v>
      </c>
      <c r="P477" s="107">
        <f t="shared" si="183"/>
        <v>5000</v>
      </c>
      <c r="Q477" s="107"/>
      <c r="R477" s="10"/>
      <c r="S477" s="107">
        <v>0</v>
      </c>
      <c r="T477" s="107">
        <f t="shared" si="178"/>
        <v>0</v>
      </c>
      <c r="U477" s="107"/>
      <c r="V477" s="175"/>
      <c r="W477" s="10"/>
      <c r="X477" s="10"/>
      <c r="Y477" t="str">
        <f t="shared" si="184"/>
        <v>1630</v>
      </c>
      <c r="AB477" s="10"/>
      <c r="AC477" s="10"/>
      <c r="AD477" s="10"/>
      <c r="AE477" s="10"/>
      <c r="AF477" s="10"/>
      <c r="AG477" s="10"/>
      <c r="AH477" s="10"/>
      <c r="AI477" s="10"/>
    </row>
    <row r="478" spans="1:35">
      <c r="A478" s="10"/>
      <c r="B478" s="10" t="str">
        <f t="shared" si="179"/>
        <v>Above the Line</v>
      </c>
      <c r="C478" t="s">
        <v>7</v>
      </c>
      <c r="D478" t="s">
        <v>19</v>
      </c>
      <c r="E478" t="s">
        <v>214</v>
      </c>
      <c r="G478" t="s">
        <v>2344</v>
      </c>
      <c r="I478" s="10"/>
      <c r="J478" s="107">
        <f>SUMIF(Data!C:C,G478,Data!Q:Q)</f>
        <v>0</v>
      </c>
      <c r="K478" s="107">
        <f>SUMIF(Comprometidos!A:A,'Cost Report'!G478,Comprometidos!E:E)</f>
        <v>0</v>
      </c>
      <c r="L478" s="107">
        <f t="shared" si="180"/>
        <v>0</v>
      </c>
      <c r="M478" s="107">
        <f t="shared" si="181"/>
        <v>0</v>
      </c>
      <c r="N478" s="107">
        <f t="shared" si="182"/>
        <v>0</v>
      </c>
      <c r="O478" s="107">
        <f>VLOOKUP(G478,Budget!$E$3:$G$2474,3,0)</f>
        <v>0</v>
      </c>
      <c r="P478" s="107">
        <f t="shared" si="183"/>
        <v>0</v>
      </c>
      <c r="Q478" s="107"/>
      <c r="R478" s="10"/>
      <c r="S478" s="107">
        <v>0</v>
      </c>
      <c r="T478" s="107">
        <f t="shared" si="178"/>
        <v>0</v>
      </c>
      <c r="U478" s="107"/>
      <c r="V478" s="175"/>
      <c r="W478" s="10"/>
      <c r="X478" s="10"/>
      <c r="Y478" t="str">
        <f t="shared" si="184"/>
        <v>1630</v>
      </c>
      <c r="AB478" s="10"/>
      <c r="AC478" s="10"/>
      <c r="AD478" s="10"/>
      <c r="AE478" s="10"/>
      <c r="AF478" s="10"/>
      <c r="AG478" s="10"/>
      <c r="AH478" s="10"/>
      <c r="AI478" s="10"/>
    </row>
    <row r="479" spans="1:35">
      <c r="A479" s="10"/>
      <c r="B479" s="10" t="str">
        <f t="shared" si="179"/>
        <v>Above the Line2nd Unit</v>
      </c>
      <c r="C479" t="s">
        <v>7</v>
      </c>
      <c r="D479" t="s">
        <v>19</v>
      </c>
      <c r="E479" t="s">
        <v>1419</v>
      </c>
      <c r="G479" t="s">
        <v>2345</v>
      </c>
      <c r="I479" s="10"/>
      <c r="J479" s="107">
        <f>SUMIF(Data!C:C,G479,Data!Q:Q)</f>
        <v>4143.5600000000004</v>
      </c>
      <c r="K479" s="107">
        <f>SUMIF(Comprometidos!A:A,'Cost Report'!G479,Comprometidos!E:E)</f>
        <v>0</v>
      </c>
      <c r="L479" s="107">
        <f t="shared" si="180"/>
        <v>4143.5600000000004</v>
      </c>
      <c r="M479" s="107">
        <v>0</v>
      </c>
      <c r="N479" s="107">
        <f t="shared" si="182"/>
        <v>4143.5600000000004</v>
      </c>
      <c r="O479" s="107">
        <f>VLOOKUP(G479,Budget!$E$3:$G$2474,3,0)</f>
        <v>5000</v>
      </c>
      <c r="P479" s="107">
        <f t="shared" si="183"/>
        <v>856.4399999999996</v>
      </c>
      <c r="Q479" s="107"/>
      <c r="R479" s="10"/>
      <c r="S479" s="107">
        <v>4143.5600000000004</v>
      </c>
      <c r="T479" s="107">
        <f t="shared" si="178"/>
        <v>0</v>
      </c>
      <c r="U479" s="107"/>
      <c r="V479" s="175"/>
      <c r="W479" s="10"/>
      <c r="X479" s="10"/>
      <c r="Y479" t="str">
        <f t="shared" si="184"/>
        <v>1630</v>
      </c>
      <c r="AB479" s="10"/>
      <c r="AC479" s="10"/>
      <c r="AD479" s="10"/>
      <c r="AE479" s="10"/>
      <c r="AF479" s="10"/>
      <c r="AG479" s="10"/>
      <c r="AH479" s="10"/>
      <c r="AI479" s="10"/>
    </row>
    <row r="480" spans="1:35">
      <c r="A480" s="10"/>
      <c r="B480" s="10" t="str">
        <f t="shared" si="179"/>
        <v>Above the Line2nd Unit</v>
      </c>
      <c r="C480" t="s">
        <v>7</v>
      </c>
      <c r="D480" t="s">
        <v>19</v>
      </c>
      <c r="E480" t="s">
        <v>1419</v>
      </c>
      <c r="G480" t="s">
        <v>2346</v>
      </c>
      <c r="I480" s="10"/>
      <c r="J480" s="107">
        <f>SUMIF(Data!C:C,G480,Data!Q:Q)</f>
        <v>0</v>
      </c>
      <c r="K480" s="107">
        <f>SUMIF(Comprometidos!A:A,'Cost Report'!G480,Comprometidos!E:E)</f>
        <v>0</v>
      </c>
      <c r="L480" s="107">
        <f t="shared" si="180"/>
        <v>0</v>
      </c>
      <c r="M480" s="107">
        <v>0</v>
      </c>
      <c r="N480" s="107">
        <f t="shared" si="182"/>
        <v>0</v>
      </c>
      <c r="O480" s="107">
        <f>VLOOKUP(G480,Budget!$E$3:$G$2474,3,0)</f>
        <v>5000</v>
      </c>
      <c r="P480" s="107">
        <f t="shared" si="183"/>
        <v>5000</v>
      </c>
      <c r="Q480" s="107"/>
      <c r="R480" s="10"/>
      <c r="S480" s="107">
        <v>0</v>
      </c>
      <c r="T480" s="107">
        <f t="shared" si="178"/>
        <v>0</v>
      </c>
      <c r="U480" s="107"/>
      <c r="V480" s="175"/>
      <c r="W480" s="10"/>
      <c r="X480" s="10"/>
      <c r="Y480" t="str">
        <f t="shared" si="184"/>
        <v>1630</v>
      </c>
      <c r="AB480" s="10"/>
      <c r="AC480" s="10"/>
      <c r="AD480" s="10"/>
      <c r="AE480" s="10"/>
      <c r="AF480" s="10"/>
      <c r="AG480" s="10"/>
      <c r="AH480" s="10"/>
      <c r="AI480" s="10"/>
    </row>
    <row r="481" spans="1:35">
      <c r="A481" s="10"/>
      <c r="B481" s="10" t="str">
        <f>+C481</f>
        <v>Above the Line</v>
      </c>
      <c r="C481" s="128" t="s">
        <v>7</v>
      </c>
      <c r="D481" s="128" t="s">
        <v>2117</v>
      </c>
      <c r="E481" s="128"/>
      <c r="F481" s="128"/>
      <c r="G481" s="128" t="s">
        <v>409</v>
      </c>
      <c r="H481" s="128"/>
      <c r="I481" s="10"/>
      <c r="J481" s="129">
        <f>SUMIF($Y$11:$Y$2484,G481,J$11:J$2484)</f>
        <v>25745.03</v>
      </c>
      <c r="K481" s="129">
        <f>SUMIF($Y$11:$Y$2484,G481,K$11:K$2484)</f>
        <v>0</v>
      </c>
      <c r="L481" s="129">
        <f>SUMIF($Y$11:$Y$2484,G481,L$11:L$2484)</f>
        <v>25745.03</v>
      </c>
      <c r="M481" s="129">
        <f>SUMIF($Y$11:$Y$2484,G481,M$11:M$2484)</f>
        <v>0</v>
      </c>
      <c r="N481" s="129">
        <f>SUMIF($Y$11:$Y$2484,G481,N$11:N$2484)</f>
        <v>25745.03</v>
      </c>
      <c r="O481" s="129">
        <f>SUMIF($Y$11:$Y$2484,G481,O$11:O$2484)</f>
        <v>95072.22</v>
      </c>
      <c r="P481" s="129">
        <f>SUMIF($Y$11:$Y$2484,G481,P$11:P$2484)</f>
        <v>69327.19</v>
      </c>
      <c r="Q481" s="129"/>
      <c r="R481" s="10"/>
      <c r="S481" s="129">
        <v>25745.03</v>
      </c>
      <c r="T481" s="129">
        <f t="shared" si="178"/>
        <v>0</v>
      </c>
      <c r="U481" s="128"/>
      <c r="V481" s="175"/>
      <c r="W481" s="10"/>
      <c r="X481" s="10"/>
      <c r="Z481" t="str">
        <f>LEFT(G481,2)</f>
        <v>16</v>
      </c>
      <c r="AA481" t="str">
        <f>+Z481&amp;"00"</f>
        <v>1600</v>
      </c>
      <c r="AB481" s="10"/>
      <c r="AC481" s="10"/>
      <c r="AD481" s="10"/>
      <c r="AE481" s="10"/>
      <c r="AF481" s="10"/>
      <c r="AG481" s="10"/>
      <c r="AH481" s="10"/>
      <c r="AI481" s="10"/>
    </row>
    <row r="482" spans="1:35">
      <c r="A482" s="10"/>
      <c r="B482" s="10" t="str">
        <f t="shared" ref="B482:B491" si="185">+C482&amp;E482</f>
        <v>Above the Line</v>
      </c>
      <c r="C482" t="s">
        <v>7</v>
      </c>
      <c r="D482" t="s">
        <v>19</v>
      </c>
      <c r="E482" t="s">
        <v>214</v>
      </c>
      <c r="G482" t="s">
        <v>410</v>
      </c>
      <c r="I482" s="10"/>
      <c r="J482" s="107">
        <f>SUMIF(Data!C:C,G482,Data!Q:Q)</f>
        <v>0</v>
      </c>
      <c r="K482" s="107">
        <f>SUMIF(Comprometidos!A:A,'Cost Report'!G482,Comprometidos!E:E)</f>
        <v>0</v>
      </c>
      <c r="L482" s="107">
        <f t="shared" ref="L482:L510" si="186">+J482+K482</f>
        <v>0</v>
      </c>
      <c r="M482" s="107">
        <f t="shared" ref="M482:M509" si="187">+O482-L482</f>
        <v>0</v>
      </c>
      <c r="N482" s="107">
        <f t="shared" ref="N482:N510" si="188">+L482+M482</f>
        <v>0</v>
      </c>
      <c r="O482" s="107">
        <f>VLOOKUP(G482,Budget!$E$3:$G$2474,3,0)</f>
        <v>0</v>
      </c>
      <c r="P482" s="107">
        <f t="shared" ref="P482:P510" si="189">+O482-N482</f>
        <v>0</v>
      </c>
      <c r="Q482" s="107"/>
      <c r="R482" s="10"/>
      <c r="S482" s="107">
        <v>0</v>
      </c>
      <c r="T482" s="107">
        <f t="shared" si="178"/>
        <v>0</v>
      </c>
      <c r="U482" s="107"/>
      <c r="V482" s="175"/>
      <c r="W482" s="10"/>
      <c r="X482" s="10"/>
      <c r="Y482" t="str">
        <f t="shared" ref="Y482:Y491" si="190">LEFT(G482,4)</f>
        <v>1631</v>
      </c>
      <c r="AB482" s="10"/>
      <c r="AC482" s="10"/>
      <c r="AD482" s="10"/>
      <c r="AE482" s="10"/>
      <c r="AF482" s="10"/>
      <c r="AG482" s="10"/>
      <c r="AH482" s="10"/>
      <c r="AI482" s="10"/>
    </row>
    <row r="483" spans="1:35">
      <c r="A483" s="10"/>
      <c r="B483" s="10" t="str">
        <f t="shared" si="185"/>
        <v>Above the LinePREP</v>
      </c>
      <c r="C483" t="s">
        <v>7</v>
      </c>
      <c r="D483" t="s">
        <v>19</v>
      </c>
      <c r="E483" t="s">
        <v>234</v>
      </c>
      <c r="G483" t="s">
        <v>411</v>
      </c>
      <c r="I483" s="10"/>
      <c r="J483" s="107">
        <f>SUMIF(Data!C:C,G483,Data!Q:Q)</f>
        <v>0</v>
      </c>
      <c r="K483" s="107">
        <f>SUMIF(Comprometidos!A:A,'Cost Report'!G483,Comprometidos!E:E)</f>
        <v>0</v>
      </c>
      <c r="L483" s="107">
        <f t="shared" si="186"/>
        <v>0</v>
      </c>
      <c r="M483" s="107">
        <v>0</v>
      </c>
      <c r="N483" s="107">
        <f t="shared" si="188"/>
        <v>0</v>
      </c>
      <c r="O483" s="107">
        <f>VLOOKUP(G483,Budget!$E$3:$G$2474,3,0)</f>
        <v>12600</v>
      </c>
      <c r="P483" s="107">
        <f t="shared" si="189"/>
        <v>12600</v>
      </c>
      <c r="Q483" s="107"/>
      <c r="R483" s="10"/>
      <c r="S483" s="107">
        <v>0</v>
      </c>
      <c r="T483" s="107">
        <f t="shared" si="178"/>
        <v>0</v>
      </c>
      <c r="U483" s="107"/>
      <c r="V483" s="175"/>
      <c r="W483" s="10"/>
      <c r="X483" s="10"/>
      <c r="Y483" t="str">
        <f t="shared" si="190"/>
        <v>1631</v>
      </c>
      <c r="AB483" s="10"/>
      <c r="AC483" s="10"/>
      <c r="AD483" s="10"/>
      <c r="AE483" s="10"/>
      <c r="AF483" s="10"/>
      <c r="AG483" s="10"/>
      <c r="AH483" s="10"/>
      <c r="AI483" s="10"/>
    </row>
    <row r="484" spans="1:35">
      <c r="A484" s="10"/>
      <c r="B484" s="10" t="str">
        <f t="shared" si="185"/>
        <v>Above the LineSHOOT</v>
      </c>
      <c r="C484" t="s">
        <v>7</v>
      </c>
      <c r="D484" t="s">
        <v>19</v>
      </c>
      <c r="E484" t="s">
        <v>236</v>
      </c>
      <c r="G484" t="s">
        <v>412</v>
      </c>
      <c r="I484" s="10"/>
      <c r="J484" s="107">
        <f>SUMIF(Data!C:C,G484,Data!Q:Q)</f>
        <v>5745.03</v>
      </c>
      <c r="K484" s="107">
        <f>SUMIF(Comprometidos!A:A,'Cost Report'!G484,Comprometidos!E:E)</f>
        <v>0</v>
      </c>
      <c r="L484" s="107">
        <f t="shared" si="186"/>
        <v>5745.03</v>
      </c>
      <c r="M484" s="107">
        <v>0</v>
      </c>
      <c r="N484" s="107">
        <f t="shared" si="188"/>
        <v>5745.03</v>
      </c>
      <c r="O484" s="107">
        <f>VLOOKUP(G484,Budget!$E$3:$G$2474,3,0)</f>
        <v>44100</v>
      </c>
      <c r="P484" s="107">
        <f t="shared" si="189"/>
        <v>38354.97</v>
      </c>
      <c r="Q484" s="107"/>
      <c r="R484" s="10"/>
      <c r="S484" s="107">
        <v>5745.03</v>
      </c>
      <c r="T484" s="107">
        <f t="shared" si="178"/>
        <v>0</v>
      </c>
      <c r="U484" s="107"/>
      <c r="V484" s="175"/>
      <c r="W484" s="10"/>
      <c r="X484" s="10"/>
      <c r="Y484" t="str">
        <f t="shared" si="190"/>
        <v>1631</v>
      </c>
      <c r="AB484" s="10"/>
      <c r="AC484" s="10"/>
      <c r="AD484" s="10"/>
      <c r="AE484" s="10"/>
      <c r="AF484" s="10"/>
      <c r="AG484" s="10"/>
      <c r="AH484" s="10"/>
      <c r="AI484" s="10"/>
    </row>
    <row r="485" spans="1:35">
      <c r="A485" s="10"/>
      <c r="B485" s="10" t="str">
        <f t="shared" si="185"/>
        <v>Above the Line</v>
      </c>
      <c r="C485" t="s">
        <v>7</v>
      </c>
      <c r="D485" t="s">
        <v>19</v>
      </c>
      <c r="E485" t="s">
        <v>214</v>
      </c>
      <c r="G485" t="s">
        <v>1719</v>
      </c>
      <c r="I485" s="10"/>
      <c r="J485" s="107">
        <f>SUMIF(Data!C:C,G485,Data!Q:Q)</f>
        <v>0</v>
      </c>
      <c r="K485" s="107">
        <f>SUMIF(Comprometidos!A:A,'Cost Report'!G485,Comprometidos!E:E)</f>
        <v>0</v>
      </c>
      <c r="L485" s="107">
        <f t="shared" si="186"/>
        <v>0</v>
      </c>
      <c r="M485" s="107">
        <f t="shared" si="187"/>
        <v>0</v>
      </c>
      <c r="N485" s="107">
        <f t="shared" si="188"/>
        <v>0</v>
      </c>
      <c r="O485" s="107">
        <f>VLOOKUP(G485,Budget!$E$3:$G$2474,3,0)</f>
        <v>0</v>
      </c>
      <c r="P485" s="107">
        <f t="shared" si="189"/>
        <v>0</v>
      </c>
      <c r="Q485" s="107"/>
      <c r="R485" s="10"/>
      <c r="S485" s="107">
        <v>0</v>
      </c>
      <c r="T485" s="107">
        <f t="shared" si="178"/>
        <v>0</v>
      </c>
      <c r="U485" s="107"/>
      <c r="V485" s="175"/>
      <c r="W485" s="10"/>
      <c r="X485" s="10"/>
      <c r="Y485" t="str">
        <f t="shared" si="190"/>
        <v>1631</v>
      </c>
      <c r="AB485" s="10"/>
      <c r="AC485" s="10"/>
      <c r="AD485" s="10"/>
      <c r="AE485" s="10"/>
      <c r="AF485" s="10"/>
      <c r="AG485" s="10"/>
      <c r="AH485" s="10"/>
      <c r="AI485" s="10"/>
    </row>
    <row r="486" spans="1:35">
      <c r="A486" s="10"/>
      <c r="B486" s="10" t="str">
        <f t="shared" si="185"/>
        <v>Above the Line2nd Unit</v>
      </c>
      <c r="C486" t="s">
        <v>7</v>
      </c>
      <c r="D486" t="s">
        <v>19</v>
      </c>
      <c r="E486" t="s">
        <v>1419</v>
      </c>
      <c r="G486" t="s">
        <v>1720</v>
      </c>
      <c r="I486" s="10"/>
      <c r="J486" s="107">
        <f>SUMIF(Data!C:C,G486,Data!Q:Q)</f>
        <v>0</v>
      </c>
      <c r="K486" s="107">
        <f>SUMIF(Comprometidos!A:A,'Cost Report'!G486,Comprometidos!E:E)</f>
        <v>0</v>
      </c>
      <c r="L486" s="107">
        <f t="shared" si="186"/>
        <v>0</v>
      </c>
      <c r="M486" s="107">
        <v>0</v>
      </c>
      <c r="N486" s="107">
        <f t="shared" si="188"/>
        <v>0</v>
      </c>
      <c r="O486" s="107">
        <f>VLOOKUP(G486,Budget!$E$3:$G$2474,3,0)</f>
        <v>6300</v>
      </c>
      <c r="P486" s="107">
        <f t="shared" si="189"/>
        <v>6300</v>
      </c>
      <c r="Q486" s="107"/>
      <c r="R486" s="10"/>
      <c r="S486" s="107">
        <v>0</v>
      </c>
      <c r="T486" s="107">
        <f t="shared" si="178"/>
        <v>0</v>
      </c>
      <c r="U486" s="107"/>
      <c r="V486" s="175"/>
      <c r="W486" s="10"/>
      <c r="X486" s="10"/>
      <c r="Y486" t="str">
        <f t="shared" si="190"/>
        <v>1631</v>
      </c>
      <c r="AB486" s="10"/>
      <c r="AC486" s="10"/>
      <c r="AD486" s="10"/>
      <c r="AE486" s="10"/>
      <c r="AF486" s="10"/>
      <c r="AG486" s="10"/>
      <c r="AH486" s="10"/>
      <c r="AI486" s="10"/>
    </row>
    <row r="487" spans="1:35">
      <c r="A487" s="10"/>
      <c r="B487" s="10" t="str">
        <f t="shared" si="185"/>
        <v>Above the Line2nd Unit</v>
      </c>
      <c r="C487" t="s">
        <v>7</v>
      </c>
      <c r="D487" t="s">
        <v>19</v>
      </c>
      <c r="E487" t="s">
        <v>1419</v>
      </c>
      <c r="G487" t="s">
        <v>1721</v>
      </c>
      <c r="I487" s="10"/>
      <c r="J487" s="107">
        <f>SUMIF(Data!C:C,G487,Data!Q:Q)</f>
        <v>0</v>
      </c>
      <c r="K487" s="107">
        <f>SUMIF(Comprometidos!A:A,'Cost Report'!G487,Comprometidos!E:E)</f>
        <v>0</v>
      </c>
      <c r="L487" s="107">
        <f t="shared" si="186"/>
        <v>0</v>
      </c>
      <c r="M487" s="107">
        <v>0</v>
      </c>
      <c r="N487" s="107">
        <f t="shared" si="188"/>
        <v>0</v>
      </c>
      <c r="O487" s="107">
        <f>VLOOKUP(G487,Budget!$E$3:$G$2474,3,0)</f>
        <v>12600</v>
      </c>
      <c r="P487" s="107">
        <f t="shared" si="189"/>
        <v>12600</v>
      </c>
      <c r="Q487" s="107"/>
      <c r="R487" s="10"/>
      <c r="S487" s="107">
        <v>0</v>
      </c>
      <c r="T487" s="107">
        <f t="shared" si="178"/>
        <v>0</v>
      </c>
      <c r="U487" s="107"/>
      <c r="V487" s="175"/>
      <c r="W487" s="10"/>
      <c r="X487" s="10"/>
      <c r="Y487" t="str">
        <f t="shared" si="190"/>
        <v>1631</v>
      </c>
      <c r="AB487" s="10"/>
      <c r="AC487" s="10"/>
      <c r="AD487" s="10"/>
      <c r="AE487" s="10"/>
      <c r="AF487" s="10"/>
      <c r="AG487" s="10"/>
      <c r="AH487" s="10"/>
      <c r="AI487" s="10"/>
    </row>
    <row r="488" spans="1:35">
      <c r="A488" s="10"/>
      <c r="B488" s="10" t="str">
        <f t="shared" si="185"/>
        <v>Above the Line</v>
      </c>
      <c r="C488" t="s">
        <v>7</v>
      </c>
      <c r="D488" t="s">
        <v>19</v>
      </c>
      <c r="E488" t="s">
        <v>214</v>
      </c>
      <c r="G488" t="s">
        <v>2347</v>
      </c>
      <c r="I488" s="10"/>
      <c r="J488" s="107">
        <f>SUMIF(Data!C:C,G488,Data!Q:Q)</f>
        <v>0</v>
      </c>
      <c r="K488" s="107">
        <f>SUMIF(Comprometidos!A:A,'Cost Report'!G488,Comprometidos!E:E)</f>
        <v>0</v>
      </c>
      <c r="L488" s="107">
        <f t="shared" si="186"/>
        <v>0</v>
      </c>
      <c r="M488" s="107">
        <f t="shared" si="187"/>
        <v>0</v>
      </c>
      <c r="N488" s="107">
        <f t="shared" si="188"/>
        <v>0</v>
      </c>
      <c r="O488" s="107">
        <f>VLOOKUP(G488,Budget!$E$3:$G$2474,3,0)</f>
        <v>0</v>
      </c>
      <c r="P488" s="107">
        <f t="shared" si="189"/>
        <v>0</v>
      </c>
      <c r="Q488" s="107"/>
      <c r="R488" s="10"/>
      <c r="S488" s="107">
        <v>0</v>
      </c>
      <c r="T488" s="107">
        <f t="shared" si="178"/>
        <v>0</v>
      </c>
      <c r="U488" s="107"/>
      <c r="V488" s="175"/>
      <c r="W488" s="10"/>
      <c r="X488" s="10"/>
      <c r="Y488" t="str">
        <f t="shared" si="190"/>
        <v>1631</v>
      </c>
      <c r="AB488" s="10"/>
      <c r="AC488" s="10"/>
      <c r="AD488" s="10"/>
      <c r="AE488" s="10"/>
      <c r="AF488" s="10"/>
      <c r="AG488" s="10"/>
      <c r="AH488" s="10"/>
      <c r="AI488" s="10"/>
    </row>
    <row r="489" spans="1:35">
      <c r="A489" s="10"/>
      <c r="B489" s="10" t="str">
        <f t="shared" si="185"/>
        <v>Above the LineALL SHOW</v>
      </c>
      <c r="C489" t="s">
        <v>7</v>
      </c>
      <c r="D489" t="s">
        <v>19</v>
      </c>
      <c r="E489" t="s">
        <v>227</v>
      </c>
      <c r="G489" t="s">
        <v>2348</v>
      </c>
      <c r="I489" s="10"/>
      <c r="J489" s="107">
        <f>SUMIF(Data!C:C,G489,Data!Q:Q)</f>
        <v>20000</v>
      </c>
      <c r="K489" s="107">
        <f>SUMIF(Comprometidos!A:A,'Cost Report'!G489,Comprometidos!E:E)</f>
        <v>0</v>
      </c>
      <c r="L489" s="107">
        <f t="shared" si="186"/>
        <v>20000</v>
      </c>
      <c r="M489" s="107">
        <v>0</v>
      </c>
      <c r="N489" s="107">
        <f t="shared" si="188"/>
        <v>20000</v>
      </c>
      <c r="O489" s="107">
        <f>VLOOKUP(G489,Budget!$E$3:$G$2474,3,0)</f>
        <v>14672.22</v>
      </c>
      <c r="P489" s="107">
        <f t="shared" si="189"/>
        <v>-5327.7800000000007</v>
      </c>
      <c r="Q489" s="107"/>
      <c r="R489" s="10"/>
      <c r="S489" s="107">
        <v>20000</v>
      </c>
      <c r="T489" s="107">
        <f t="shared" si="178"/>
        <v>0</v>
      </c>
      <c r="U489" s="107"/>
      <c r="V489" s="175"/>
      <c r="W489" s="10"/>
      <c r="X489" s="10"/>
      <c r="Y489" t="str">
        <f t="shared" si="190"/>
        <v>1631</v>
      </c>
      <c r="AB489" s="10"/>
      <c r="AC489" s="10"/>
      <c r="AD489" s="10"/>
      <c r="AE489" s="10"/>
      <c r="AF489" s="10"/>
      <c r="AG489" s="10"/>
      <c r="AH489" s="10"/>
      <c r="AI489" s="10"/>
    </row>
    <row r="490" spans="1:35">
      <c r="A490" s="10"/>
      <c r="B490" s="10" t="str">
        <f t="shared" si="185"/>
        <v>Above the Line</v>
      </c>
      <c r="C490" t="s">
        <v>7</v>
      </c>
      <c r="D490" t="s">
        <v>19</v>
      </c>
      <c r="E490" t="s">
        <v>214</v>
      </c>
      <c r="G490" t="s">
        <v>2349</v>
      </c>
      <c r="I490" s="10"/>
      <c r="J490" s="107">
        <f>SUMIF(Data!C:C,G490,Data!Q:Q)</f>
        <v>0</v>
      </c>
      <c r="K490" s="107">
        <f>SUMIF(Comprometidos!A:A,'Cost Report'!G490,Comprometidos!E:E)</f>
        <v>0</v>
      </c>
      <c r="L490" s="107">
        <f t="shared" si="186"/>
        <v>0</v>
      </c>
      <c r="M490" s="107">
        <f t="shared" si="187"/>
        <v>0</v>
      </c>
      <c r="N490" s="107">
        <f t="shared" si="188"/>
        <v>0</v>
      </c>
      <c r="O490" s="107">
        <f>VLOOKUP(G490,Budget!$E$3:$G$2474,3,0)</f>
        <v>0</v>
      </c>
      <c r="P490" s="107">
        <f t="shared" si="189"/>
        <v>0</v>
      </c>
      <c r="Q490" s="107"/>
      <c r="R490" s="10"/>
      <c r="S490" s="107">
        <v>0</v>
      </c>
      <c r="T490" s="107">
        <f t="shared" si="178"/>
        <v>0</v>
      </c>
      <c r="U490" s="107"/>
      <c r="V490" s="175"/>
      <c r="W490" s="10"/>
      <c r="X490" s="10"/>
      <c r="Y490" t="str">
        <f t="shared" si="190"/>
        <v>1631</v>
      </c>
      <c r="AB490" s="10"/>
      <c r="AC490" s="10"/>
      <c r="AD490" s="10"/>
      <c r="AE490" s="10"/>
      <c r="AF490" s="10"/>
      <c r="AG490" s="10"/>
      <c r="AH490" s="10"/>
      <c r="AI490" s="10"/>
    </row>
    <row r="491" spans="1:35">
      <c r="A491" s="10"/>
      <c r="B491" s="10" t="str">
        <f t="shared" si="185"/>
        <v>Above the LineALL SHOW</v>
      </c>
      <c r="C491" t="s">
        <v>7</v>
      </c>
      <c r="D491" t="s">
        <v>19</v>
      </c>
      <c r="E491" t="s">
        <v>227</v>
      </c>
      <c r="G491" t="s">
        <v>2350</v>
      </c>
      <c r="I491" s="10"/>
      <c r="J491" s="107">
        <f>SUMIF(Data!C:C,G491,Data!Q:Q)</f>
        <v>0</v>
      </c>
      <c r="K491" s="107">
        <f>SUMIF(Comprometidos!A:A,'Cost Report'!G491,Comprometidos!E:E)</f>
        <v>0</v>
      </c>
      <c r="L491" s="107">
        <f t="shared" si="186"/>
        <v>0</v>
      </c>
      <c r="M491" s="107">
        <v>0</v>
      </c>
      <c r="N491" s="107">
        <f t="shared" si="188"/>
        <v>0</v>
      </c>
      <c r="O491" s="107">
        <f>VLOOKUP(G491,Budget!$E$3:$G$2474,3,0)</f>
        <v>4800</v>
      </c>
      <c r="P491" s="107">
        <f t="shared" si="189"/>
        <v>4800</v>
      </c>
      <c r="Q491" s="107"/>
      <c r="R491" s="10"/>
      <c r="S491" s="107">
        <v>0</v>
      </c>
      <c r="T491" s="107">
        <f t="shared" si="178"/>
        <v>0</v>
      </c>
      <c r="U491" s="107"/>
      <c r="V491" s="175"/>
      <c r="W491" s="10"/>
      <c r="X491" s="10"/>
      <c r="Y491" t="str">
        <f t="shared" si="190"/>
        <v>1631</v>
      </c>
      <c r="AB491" s="10"/>
      <c r="AC491" s="10"/>
      <c r="AD491" s="10"/>
      <c r="AE491" s="10"/>
      <c r="AF491" s="10"/>
      <c r="AG491" s="10"/>
      <c r="AH491" s="10"/>
      <c r="AI491" s="10"/>
    </row>
    <row r="492" spans="1:35">
      <c r="A492" s="10"/>
      <c r="B492" s="10" t="str">
        <f>+C492</f>
        <v>Above the Line</v>
      </c>
      <c r="C492" s="128" t="s">
        <v>7</v>
      </c>
      <c r="D492" s="128" t="s">
        <v>2117</v>
      </c>
      <c r="E492" s="128"/>
      <c r="F492" s="128"/>
      <c r="G492" s="128" t="s">
        <v>413</v>
      </c>
      <c r="H492" s="128"/>
      <c r="I492" s="10"/>
      <c r="J492" s="129">
        <f>SUMIF($Y$11:$Y$2484,G492,J$11:J$2484)</f>
        <v>176920.02299999996</v>
      </c>
      <c r="K492" s="129">
        <f>SUMIF($Y$11:$Y$2484,G492,K$11:K$2484)</f>
        <v>0</v>
      </c>
      <c r="L492" s="129">
        <f>SUMIF($Y$11:$Y$2484,G492,L$11:L$2484)</f>
        <v>176920.02299999996</v>
      </c>
      <c r="M492" s="129">
        <f>SUMIF($Y$11:$Y$2484,G492,M$11:M$2484)</f>
        <v>0</v>
      </c>
      <c r="N492" s="129">
        <f>SUMIF($Y$11:$Y$2484,G492,N$11:N$2484)</f>
        <v>176920.02299999996</v>
      </c>
      <c r="O492" s="129">
        <f>SUMIF($Y$11:$Y$2484,G492,O$11:O$2484)</f>
        <v>209441.63</v>
      </c>
      <c r="P492" s="129">
        <f>SUMIF($Y$11:$Y$2484,G492,P$11:P$2484)</f>
        <v>32521.60700000004</v>
      </c>
      <c r="Q492" s="129"/>
      <c r="R492" s="10"/>
      <c r="S492" s="129">
        <v>166921.22999999998</v>
      </c>
      <c r="T492" s="129">
        <f t="shared" si="178"/>
        <v>-9998.792999999976</v>
      </c>
      <c r="U492" s="128"/>
      <c r="V492" s="175"/>
      <c r="W492" s="10"/>
      <c r="X492" s="10"/>
      <c r="Z492" t="str">
        <f>LEFT(G492,2)</f>
        <v>16</v>
      </c>
      <c r="AA492" t="str">
        <f>+Z492&amp;"00"</f>
        <v>1600</v>
      </c>
      <c r="AB492" s="10"/>
      <c r="AC492" s="10"/>
      <c r="AD492" s="10"/>
      <c r="AE492" s="10"/>
      <c r="AF492" s="10"/>
      <c r="AG492" s="10"/>
      <c r="AH492" s="10"/>
      <c r="AI492" s="10"/>
    </row>
    <row r="493" spans="1:35">
      <c r="A493" s="10"/>
      <c r="B493" s="10" t="str">
        <f t="shared" ref="B493:B498" si="191">+C493&amp;E493</f>
        <v>Above the Line</v>
      </c>
      <c r="C493" t="s">
        <v>7</v>
      </c>
      <c r="D493" t="s">
        <v>19</v>
      </c>
      <c r="E493" t="s">
        <v>214</v>
      </c>
      <c r="G493" t="s">
        <v>414</v>
      </c>
      <c r="I493" s="10"/>
      <c r="J493" s="107">
        <f>SUMIF(Data!C:C,G493,Data!Q:Q)</f>
        <v>0</v>
      </c>
      <c r="K493" s="107">
        <f>SUMIF(Comprometidos!A:A,'Cost Report'!G493,Comprometidos!E:E)</f>
        <v>0</v>
      </c>
      <c r="L493" s="107">
        <f t="shared" si="186"/>
        <v>0</v>
      </c>
      <c r="M493" s="107">
        <f t="shared" si="187"/>
        <v>0</v>
      </c>
      <c r="N493" s="107">
        <f t="shared" si="188"/>
        <v>0</v>
      </c>
      <c r="O493" s="107">
        <f>VLOOKUP(G493,Budget!$E$3:$G$2474,3,0)</f>
        <v>0</v>
      </c>
      <c r="P493" s="107">
        <f t="shared" si="189"/>
        <v>0</v>
      </c>
      <c r="Q493" s="107"/>
      <c r="R493" s="10"/>
      <c r="S493" s="107">
        <v>0</v>
      </c>
      <c r="T493" s="107">
        <f t="shared" si="178"/>
        <v>0</v>
      </c>
      <c r="U493" s="107"/>
      <c r="V493" s="175"/>
      <c r="W493" s="10"/>
      <c r="X493" s="10"/>
      <c r="Y493" t="str">
        <f t="shared" ref="Y493:Y498" si="192">LEFT(G493,4)</f>
        <v>1640</v>
      </c>
      <c r="AB493" s="10"/>
      <c r="AC493" s="10"/>
      <c r="AD493" s="10"/>
      <c r="AE493" s="10"/>
      <c r="AF493" s="10"/>
      <c r="AG493" s="10"/>
      <c r="AH493" s="10"/>
      <c r="AI493" s="10"/>
    </row>
    <row r="494" spans="1:35">
      <c r="A494" s="10"/>
      <c r="B494" s="10" t="str">
        <f t="shared" si="191"/>
        <v>Above the LineALL SHOW</v>
      </c>
      <c r="C494" t="s">
        <v>7</v>
      </c>
      <c r="D494" t="s">
        <v>19</v>
      </c>
      <c r="E494" t="s">
        <v>227</v>
      </c>
      <c r="G494" t="s">
        <v>415</v>
      </c>
      <c r="I494" s="10"/>
      <c r="J494" s="107">
        <f>SUMIF(Data!C:C,G494,Data!Q:Q)</f>
        <v>28789.510000000002</v>
      </c>
      <c r="K494" s="107">
        <f>SUMIF(Comprometidos!A:A,'Cost Report'!G494,Comprometidos!E:E)</f>
        <v>0</v>
      </c>
      <c r="L494" s="107">
        <f t="shared" si="186"/>
        <v>28789.510000000002</v>
      </c>
      <c r="M494" s="107">
        <v>0</v>
      </c>
      <c r="N494" s="107">
        <f t="shared" si="188"/>
        <v>28789.510000000002</v>
      </c>
      <c r="O494" s="107">
        <f>VLOOKUP(G494,Budget!$E$3:$G$2474,3,0)</f>
        <v>24000</v>
      </c>
      <c r="P494" s="107">
        <f t="shared" si="189"/>
        <v>-4789.510000000002</v>
      </c>
      <c r="Q494" s="107"/>
      <c r="R494" s="10"/>
      <c r="S494" s="107">
        <v>28789.510000000002</v>
      </c>
      <c r="T494" s="107">
        <f t="shared" si="178"/>
        <v>0</v>
      </c>
      <c r="U494" s="107"/>
      <c r="V494" s="175"/>
      <c r="W494" s="10"/>
      <c r="X494" s="10"/>
      <c r="Y494" t="str">
        <f t="shared" si="192"/>
        <v>1640</v>
      </c>
      <c r="AB494" s="10"/>
      <c r="AC494" s="10"/>
      <c r="AD494" s="10"/>
      <c r="AE494" s="10"/>
      <c r="AF494" s="10"/>
      <c r="AG494" s="10"/>
      <c r="AH494" s="10"/>
      <c r="AI494" s="10"/>
    </row>
    <row r="495" spans="1:35">
      <c r="A495" s="10"/>
      <c r="B495" s="10" t="str">
        <f t="shared" si="191"/>
        <v>Above the LineALL SHOW</v>
      </c>
      <c r="C495" t="s">
        <v>7</v>
      </c>
      <c r="D495" t="s">
        <v>19</v>
      </c>
      <c r="E495" t="s">
        <v>227</v>
      </c>
      <c r="G495" t="s">
        <v>416</v>
      </c>
      <c r="I495" s="10"/>
      <c r="J495" s="107">
        <f>SUMIF(Data!C:C,G495,Data!Q:Q)</f>
        <v>1682.75</v>
      </c>
      <c r="K495" s="107">
        <f>SUMIF(Comprometidos!A:A,'Cost Report'!G495,Comprometidos!E:E)</f>
        <v>0</v>
      </c>
      <c r="L495" s="107">
        <f t="shared" si="186"/>
        <v>1682.75</v>
      </c>
      <c r="M495" s="107">
        <v>0</v>
      </c>
      <c r="N495" s="107">
        <f t="shared" si="188"/>
        <v>1682.75</v>
      </c>
      <c r="O495" s="107">
        <f>VLOOKUP(G495,Budget!$E$3:$G$2474,3,0)</f>
        <v>24000</v>
      </c>
      <c r="P495" s="107">
        <f t="shared" si="189"/>
        <v>22317.25</v>
      </c>
      <c r="Q495" s="107"/>
      <c r="R495" s="10"/>
      <c r="S495" s="107">
        <v>1682.75</v>
      </c>
      <c r="T495" s="107">
        <f t="shared" si="178"/>
        <v>0</v>
      </c>
      <c r="U495" s="107"/>
      <c r="V495" s="175"/>
      <c r="W495" s="10"/>
      <c r="X495" s="10"/>
      <c r="Y495" t="str">
        <f t="shared" si="192"/>
        <v>1640</v>
      </c>
      <c r="AB495" s="10"/>
      <c r="AC495" s="10"/>
      <c r="AD495" s="10"/>
      <c r="AE495" s="10"/>
      <c r="AF495" s="10"/>
      <c r="AG495" s="10"/>
      <c r="AH495" s="10"/>
      <c r="AI495" s="10"/>
    </row>
    <row r="496" spans="1:35">
      <c r="A496" s="10"/>
      <c r="B496" s="10" t="str">
        <f t="shared" si="191"/>
        <v>Above the LineALL SHOW</v>
      </c>
      <c r="C496" t="s">
        <v>7</v>
      </c>
      <c r="D496" t="s">
        <v>19</v>
      </c>
      <c r="E496" t="s">
        <v>227</v>
      </c>
      <c r="G496" t="s">
        <v>417</v>
      </c>
      <c r="I496" s="10"/>
      <c r="J496" s="107">
        <f>SUMIF(Data!C:C,G496,Data!Q:Q)</f>
        <v>27874.119000000002</v>
      </c>
      <c r="K496" s="107">
        <f>SUMIF(Comprometidos!A:A,'Cost Report'!G496,Comprometidos!E:E)</f>
        <v>0</v>
      </c>
      <c r="L496" s="107">
        <f t="shared" si="186"/>
        <v>27874.119000000002</v>
      </c>
      <c r="M496" s="107">
        <v>0</v>
      </c>
      <c r="N496" s="107">
        <f t="shared" si="188"/>
        <v>27874.119000000002</v>
      </c>
      <c r="O496" s="107">
        <f>VLOOKUP(G496,Budget!$E$3:$G$2474,3,0)</f>
        <v>21441.63</v>
      </c>
      <c r="P496" s="107">
        <f t="shared" si="189"/>
        <v>-6432.4890000000014</v>
      </c>
      <c r="Q496" s="107"/>
      <c r="R496" s="10"/>
      <c r="S496" s="107">
        <v>21441.63</v>
      </c>
      <c r="T496" s="107">
        <f t="shared" si="178"/>
        <v>-6432.4890000000014</v>
      </c>
      <c r="U496" s="107"/>
      <c r="V496" s="175"/>
      <c r="W496" s="10"/>
      <c r="X496" s="10"/>
      <c r="Y496" t="str">
        <f t="shared" si="192"/>
        <v>1640</v>
      </c>
      <c r="AB496" s="10"/>
      <c r="AC496" s="10"/>
      <c r="AD496" s="10"/>
      <c r="AE496" s="10"/>
      <c r="AF496" s="10"/>
      <c r="AG496" s="10"/>
      <c r="AH496" s="10"/>
      <c r="AI496" s="10"/>
    </row>
    <row r="497" spans="1:35">
      <c r="A497" s="10"/>
      <c r="B497" s="10" t="str">
        <f t="shared" si="191"/>
        <v>Above the Line</v>
      </c>
      <c r="C497" t="s">
        <v>7</v>
      </c>
      <c r="D497" t="s">
        <v>19</v>
      </c>
      <c r="E497" t="s">
        <v>214</v>
      </c>
      <c r="G497" t="s">
        <v>2351</v>
      </c>
      <c r="I497" s="10"/>
      <c r="J497" s="107">
        <f>SUMIF(Data!C:C,G497,Data!Q:Q)</f>
        <v>0</v>
      </c>
      <c r="K497" s="107">
        <f>SUMIF(Comprometidos!A:A,'Cost Report'!G497,Comprometidos!E:E)</f>
        <v>0</v>
      </c>
      <c r="L497" s="107">
        <f t="shared" si="186"/>
        <v>0</v>
      </c>
      <c r="M497" s="107">
        <f t="shared" si="187"/>
        <v>0</v>
      </c>
      <c r="N497" s="107">
        <f t="shared" si="188"/>
        <v>0</v>
      </c>
      <c r="O497" s="107">
        <f>VLOOKUP(G497,Budget!$E$3:$G$2474,3,0)</f>
        <v>0</v>
      </c>
      <c r="P497" s="107">
        <f t="shared" si="189"/>
        <v>0</v>
      </c>
      <c r="Q497" s="107"/>
      <c r="R497" s="10"/>
      <c r="S497" s="107">
        <v>0</v>
      </c>
      <c r="T497" s="107">
        <f t="shared" si="178"/>
        <v>0</v>
      </c>
      <c r="U497" s="107"/>
      <c r="V497" s="175"/>
      <c r="W497" s="10"/>
      <c r="X497" s="10"/>
      <c r="Y497" t="str">
        <f t="shared" si="192"/>
        <v>1640</v>
      </c>
      <c r="AB497" s="10"/>
      <c r="AC497" s="10"/>
      <c r="AD497" s="10"/>
      <c r="AE497" s="10"/>
      <c r="AF497" s="10"/>
      <c r="AG497" s="10"/>
      <c r="AH497" s="10"/>
      <c r="AI497" s="10"/>
    </row>
    <row r="498" spans="1:35">
      <c r="A498" s="10"/>
      <c r="B498" s="10" t="str">
        <f t="shared" si="191"/>
        <v>Above the LineALL SHOW</v>
      </c>
      <c r="C498" t="s">
        <v>7</v>
      </c>
      <c r="D498" t="s">
        <v>19</v>
      </c>
      <c r="E498" t="s">
        <v>227</v>
      </c>
      <c r="G498" t="s">
        <v>2352</v>
      </c>
      <c r="I498" s="10"/>
      <c r="J498" s="107">
        <f>SUMIF(Data!C:C,G498,Data!Q:Q)</f>
        <v>118573.64399999996</v>
      </c>
      <c r="K498" s="107">
        <f>SUMIF(Comprometidos!A:A,'Cost Report'!G498,Comprometidos!E:E)</f>
        <v>0</v>
      </c>
      <c r="L498" s="107">
        <f t="shared" si="186"/>
        <v>118573.64399999996</v>
      </c>
      <c r="M498" s="107">
        <v>0</v>
      </c>
      <c r="N498" s="107">
        <f t="shared" si="188"/>
        <v>118573.64399999996</v>
      </c>
      <c r="O498" s="107">
        <f>VLOOKUP(G498,Budget!$E$3:$G$2474,3,0)</f>
        <v>140000</v>
      </c>
      <c r="P498" s="107">
        <f t="shared" si="189"/>
        <v>21426.356000000043</v>
      </c>
      <c r="Q498" s="107"/>
      <c r="R498" s="10"/>
      <c r="S498" s="107">
        <v>115007.33999999997</v>
      </c>
      <c r="T498" s="107">
        <f t="shared" si="178"/>
        <v>-3566.3039999999892</v>
      </c>
      <c r="U498" s="107"/>
      <c r="V498" s="175"/>
      <c r="W498" s="10"/>
      <c r="X498" s="10"/>
      <c r="Y498" t="str">
        <f t="shared" si="192"/>
        <v>1640</v>
      </c>
      <c r="AB498" s="10"/>
      <c r="AC498" s="10"/>
      <c r="AD498" s="10"/>
      <c r="AE498" s="10"/>
      <c r="AF498" s="10"/>
      <c r="AG498" s="10"/>
      <c r="AH498" s="10"/>
      <c r="AI498" s="10"/>
    </row>
    <row r="499" spans="1:35">
      <c r="A499" s="10"/>
      <c r="B499" s="10" t="str">
        <f>+C499</f>
        <v>Above the Line</v>
      </c>
      <c r="C499" s="128" t="s">
        <v>7</v>
      </c>
      <c r="D499" s="128" t="s">
        <v>2117</v>
      </c>
      <c r="E499" s="128"/>
      <c r="F499" s="128"/>
      <c r="G499" s="128" t="s">
        <v>418</v>
      </c>
      <c r="H499" s="128"/>
      <c r="I499" s="10"/>
      <c r="J499" s="129">
        <f>SUMIF($Y$11:$Y$2484,G499,J$11:J$2484)</f>
        <v>436616.11999999994</v>
      </c>
      <c r="K499" s="129">
        <f>SUMIF($Y$11:$Y$2484,G499,K$11:K$2484)</f>
        <v>0</v>
      </c>
      <c r="L499" s="129">
        <f>SUMIF($Y$11:$Y$2484,G499,L$11:L$2484)</f>
        <v>436616.11999999994</v>
      </c>
      <c r="M499" s="129">
        <f>SUMIF($Y$11:$Y$2484,G499,M$11:M$2484)</f>
        <v>0</v>
      </c>
      <c r="N499" s="129">
        <f>SUMIF($Y$11:$Y$2484,G499,N$11:N$2484)</f>
        <v>436616.11999999994</v>
      </c>
      <c r="O499" s="129">
        <f>SUMIF($Y$11:$Y$2484,G499,O$11:O$2484)</f>
        <v>560513.39999999991</v>
      </c>
      <c r="P499" s="129">
        <f>SUMIF($Y$11:$Y$2484,G499,P$11:P$2484)</f>
        <v>123897.28</v>
      </c>
      <c r="Q499" s="129"/>
      <c r="R499" s="10"/>
      <c r="S499" s="129">
        <v>436616.11999999994</v>
      </c>
      <c r="T499" s="129">
        <f t="shared" si="178"/>
        <v>0</v>
      </c>
      <c r="U499" s="128"/>
      <c r="V499" s="175"/>
      <c r="W499" s="10"/>
      <c r="X499" s="10"/>
      <c r="Z499" t="str">
        <f>LEFT(G499,2)</f>
        <v>16</v>
      </c>
      <c r="AA499" t="str">
        <f>+Z499&amp;"00"</f>
        <v>1600</v>
      </c>
      <c r="AB499" s="10"/>
      <c r="AC499" s="10"/>
      <c r="AD499" s="10"/>
      <c r="AE499" s="10"/>
      <c r="AF499" s="10"/>
      <c r="AG499" s="10"/>
      <c r="AH499" s="10"/>
      <c r="AI499" s="10"/>
    </row>
    <row r="500" spans="1:35">
      <c r="A500" s="10"/>
      <c r="B500" s="10" t="str">
        <f t="shared" ref="B500:B510" si="193">+C500&amp;E500</f>
        <v>Above the Line</v>
      </c>
      <c r="C500" t="s">
        <v>7</v>
      </c>
      <c r="D500" t="s">
        <v>19</v>
      </c>
      <c r="E500" t="s">
        <v>214</v>
      </c>
      <c r="G500" t="s">
        <v>419</v>
      </c>
      <c r="I500" s="10"/>
      <c r="J500" s="107">
        <f>SUMIF(Data!C:C,G500,Data!Q:Q)</f>
        <v>0</v>
      </c>
      <c r="K500" s="107">
        <f>SUMIF(Comprometidos!A:A,'Cost Report'!G500,Comprometidos!E:E)</f>
        <v>0</v>
      </c>
      <c r="L500" s="107">
        <f t="shared" si="186"/>
        <v>0</v>
      </c>
      <c r="M500" s="107">
        <f t="shared" si="187"/>
        <v>0</v>
      </c>
      <c r="N500" s="107">
        <f t="shared" si="188"/>
        <v>0</v>
      </c>
      <c r="O500" s="107">
        <f>VLOOKUP(G500,Budget!$E$3:$G$2474,3,0)</f>
        <v>0</v>
      </c>
      <c r="P500" s="107">
        <f t="shared" si="189"/>
        <v>0</v>
      </c>
      <c r="Q500" s="107"/>
      <c r="R500" s="10"/>
      <c r="S500" s="107">
        <v>0</v>
      </c>
      <c r="T500" s="107">
        <f t="shared" si="178"/>
        <v>0</v>
      </c>
      <c r="U500" s="107"/>
      <c r="V500" s="175"/>
      <c r="W500" s="10"/>
      <c r="X500" s="10"/>
      <c r="Y500" t="str">
        <f t="shared" ref="Y500:Y510" si="194">LEFT(G500,4)</f>
        <v>1641</v>
      </c>
      <c r="AB500" s="10"/>
      <c r="AC500" s="10"/>
      <c r="AD500" s="10"/>
      <c r="AE500" s="10"/>
      <c r="AF500" s="10"/>
      <c r="AG500" s="10"/>
      <c r="AH500" s="10"/>
      <c r="AI500" s="10"/>
    </row>
    <row r="501" spans="1:35">
      <c r="A501" s="10"/>
      <c r="B501" s="10" t="str">
        <f t="shared" si="193"/>
        <v>Above the LineALL SHOW</v>
      </c>
      <c r="C501" t="s">
        <v>7</v>
      </c>
      <c r="D501" t="s">
        <v>19</v>
      </c>
      <c r="E501" t="s">
        <v>227</v>
      </c>
      <c r="G501" t="s">
        <v>420</v>
      </c>
      <c r="I501" s="10"/>
      <c r="J501" s="107">
        <f>SUMIF(Data!C:C,G501,Data!Q:Q)</f>
        <v>232790.33</v>
      </c>
      <c r="K501" s="107">
        <f>SUMIF(Comprometidos!A:A,'Cost Report'!G501,Comprometidos!E:E)</f>
        <v>0</v>
      </c>
      <c r="L501" s="107">
        <f t="shared" si="186"/>
        <v>232790.33</v>
      </c>
      <c r="M501" s="107">
        <v>0</v>
      </c>
      <c r="N501" s="107">
        <f t="shared" si="188"/>
        <v>232790.33</v>
      </c>
      <c r="O501" s="107">
        <f>VLOOKUP(G501,Budget!$E$3:$G$2474,3,0)</f>
        <v>208000</v>
      </c>
      <c r="P501" s="107">
        <f t="shared" si="189"/>
        <v>-24790.329999999987</v>
      </c>
      <c r="Q501" s="107"/>
      <c r="R501" s="10"/>
      <c r="S501" s="107">
        <v>232790.33</v>
      </c>
      <c r="T501" s="107">
        <f t="shared" si="178"/>
        <v>0</v>
      </c>
      <c r="U501" s="107"/>
      <c r="V501" s="175"/>
      <c r="W501" s="10"/>
      <c r="X501" s="10"/>
      <c r="Y501" t="str">
        <f t="shared" si="194"/>
        <v>1641</v>
      </c>
      <c r="AB501" s="10"/>
      <c r="AC501" s="10"/>
      <c r="AD501" s="10"/>
      <c r="AE501" s="10"/>
      <c r="AF501" s="10"/>
      <c r="AG501" s="10"/>
      <c r="AH501" s="10"/>
      <c r="AI501" s="10"/>
    </row>
    <row r="502" spans="1:35">
      <c r="A502" s="10"/>
      <c r="B502" s="10" t="str">
        <f t="shared" si="193"/>
        <v>Above the LineALL SHOW</v>
      </c>
      <c r="C502" t="s">
        <v>7</v>
      </c>
      <c r="D502" t="s">
        <v>19</v>
      </c>
      <c r="E502" t="s">
        <v>227</v>
      </c>
      <c r="G502" t="s">
        <v>1722</v>
      </c>
      <c r="I502" s="10"/>
      <c r="J502" s="107">
        <f>SUMIF(Data!C:C,G502,Data!Q:Q)</f>
        <v>39900</v>
      </c>
      <c r="K502" s="107">
        <f>SUMIF(Comprometidos!A:A,'Cost Report'!G502,Comprometidos!E:E)</f>
        <v>0</v>
      </c>
      <c r="L502" s="107">
        <f t="shared" si="186"/>
        <v>39900</v>
      </c>
      <c r="M502" s="107">
        <f>+O502-L502-50900+5000+5200+600</f>
        <v>0</v>
      </c>
      <c r="N502" s="107">
        <f t="shared" si="188"/>
        <v>39900</v>
      </c>
      <c r="O502" s="107">
        <f>VLOOKUP(G502,Budget!$E$3:$G$2474,3,0)</f>
        <v>80000</v>
      </c>
      <c r="P502" s="107">
        <f t="shared" si="189"/>
        <v>40100</v>
      </c>
      <c r="Q502" s="107"/>
      <c r="R502" s="10"/>
      <c r="S502" s="107">
        <v>39900</v>
      </c>
      <c r="T502" s="107">
        <f t="shared" si="178"/>
        <v>0</v>
      </c>
      <c r="U502" s="107"/>
      <c r="V502" s="175"/>
      <c r="W502" s="10"/>
      <c r="X502" s="10"/>
      <c r="Y502" t="str">
        <f t="shared" si="194"/>
        <v>1641</v>
      </c>
      <c r="AB502" s="10"/>
      <c r="AC502" s="10"/>
      <c r="AD502" s="10"/>
      <c r="AE502" s="10"/>
      <c r="AF502" s="10"/>
      <c r="AG502" s="10"/>
      <c r="AH502" s="10"/>
      <c r="AI502" s="10"/>
    </row>
    <row r="503" spans="1:35">
      <c r="A503" s="10"/>
      <c r="B503" s="10" t="str">
        <f t="shared" si="193"/>
        <v>Above the Line</v>
      </c>
      <c r="C503" t="s">
        <v>7</v>
      </c>
      <c r="D503" t="s">
        <v>19</v>
      </c>
      <c r="E503" t="s">
        <v>214</v>
      </c>
      <c r="G503" t="s">
        <v>1723</v>
      </c>
      <c r="I503" s="10"/>
      <c r="J503" s="107">
        <f>SUMIF(Data!C:C,G503,Data!Q:Q)</f>
        <v>0</v>
      </c>
      <c r="K503" s="107">
        <f>SUMIF(Comprometidos!A:A,'Cost Report'!G503,Comprometidos!E:E)</f>
        <v>0</v>
      </c>
      <c r="L503" s="107">
        <f t="shared" si="186"/>
        <v>0</v>
      </c>
      <c r="M503" s="107">
        <f t="shared" si="187"/>
        <v>0</v>
      </c>
      <c r="N503" s="107">
        <f t="shared" si="188"/>
        <v>0</v>
      </c>
      <c r="O503" s="107">
        <f>VLOOKUP(G503,Budget!$E$3:$G$2474,3,0)</f>
        <v>0</v>
      </c>
      <c r="P503" s="107">
        <f t="shared" si="189"/>
        <v>0</v>
      </c>
      <c r="Q503" s="107"/>
      <c r="R503" s="10"/>
      <c r="S503" s="107">
        <v>0</v>
      </c>
      <c r="T503" s="107">
        <f t="shared" si="178"/>
        <v>0</v>
      </c>
      <c r="U503" s="107"/>
      <c r="V503" s="175"/>
      <c r="W503" s="10"/>
      <c r="X503" s="10"/>
      <c r="Y503" t="str">
        <f t="shared" si="194"/>
        <v>1641</v>
      </c>
      <c r="AB503" s="10"/>
      <c r="AC503" s="10"/>
      <c r="AD503" s="10"/>
      <c r="AE503" s="10"/>
      <c r="AF503" s="10"/>
      <c r="AG503" s="10"/>
      <c r="AH503" s="10"/>
      <c r="AI503" s="10"/>
    </row>
    <row r="504" spans="1:35">
      <c r="A504" s="10"/>
      <c r="B504" s="10" t="str">
        <f t="shared" si="193"/>
        <v>Above the LineALL SHOW</v>
      </c>
      <c r="C504" t="s">
        <v>7</v>
      </c>
      <c r="D504" t="s">
        <v>19</v>
      </c>
      <c r="E504" t="s">
        <v>227</v>
      </c>
      <c r="G504" t="s">
        <v>1724</v>
      </c>
      <c r="I504" s="10"/>
      <c r="J504" s="107">
        <f>SUMIF(Data!C:C,G504,Data!Q:Q)</f>
        <v>106770.72</v>
      </c>
      <c r="K504" s="107">
        <f>SUMIF(Comprometidos!A:A,'Cost Report'!G504,Comprometidos!E:E)</f>
        <v>0</v>
      </c>
      <c r="L504" s="107">
        <f t="shared" si="186"/>
        <v>106770.72</v>
      </c>
      <c r="M504" s="107">
        <v>0</v>
      </c>
      <c r="N504" s="107">
        <f t="shared" si="188"/>
        <v>106770.72</v>
      </c>
      <c r="O504" s="107">
        <f>VLOOKUP(G504,Budget!$E$3:$G$2474,3,0)</f>
        <v>100800</v>
      </c>
      <c r="P504" s="107">
        <f t="shared" si="189"/>
        <v>-5970.7200000000012</v>
      </c>
      <c r="Q504" s="107"/>
      <c r="R504" s="10"/>
      <c r="S504" s="107">
        <v>106770.72</v>
      </c>
      <c r="T504" s="107">
        <f t="shared" si="178"/>
        <v>0</v>
      </c>
      <c r="U504" s="107"/>
      <c r="V504" s="175"/>
      <c r="W504" s="10"/>
      <c r="X504" s="10"/>
      <c r="Y504" t="str">
        <f t="shared" si="194"/>
        <v>1641</v>
      </c>
      <c r="AB504" s="10"/>
      <c r="AC504" s="10"/>
      <c r="AD504" s="10"/>
      <c r="AE504" s="10"/>
      <c r="AF504" s="10"/>
      <c r="AG504" s="10"/>
      <c r="AH504" s="10"/>
      <c r="AI504" s="10"/>
    </row>
    <row r="505" spans="1:35">
      <c r="A505" s="10"/>
      <c r="B505" s="10" t="str">
        <f t="shared" si="193"/>
        <v>Above the Line</v>
      </c>
      <c r="C505" t="s">
        <v>7</v>
      </c>
      <c r="D505" t="s">
        <v>19</v>
      </c>
      <c r="E505" t="s">
        <v>214</v>
      </c>
      <c r="G505" t="s">
        <v>2353</v>
      </c>
      <c r="I505" s="10"/>
      <c r="J505" s="107">
        <f>SUMIF(Data!C:C,G505,Data!Q:Q)</f>
        <v>0</v>
      </c>
      <c r="K505" s="107">
        <f>SUMIF(Comprometidos!A:A,'Cost Report'!G505,Comprometidos!E:E)</f>
        <v>0</v>
      </c>
      <c r="L505" s="107">
        <f t="shared" si="186"/>
        <v>0</v>
      </c>
      <c r="M505" s="107">
        <f t="shared" si="187"/>
        <v>0</v>
      </c>
      <c r="N505" s="107">
        <f t="shared" si="188"/>
        <v>0</v>
      </c>
      <c r="O505" s="107">
        <f>VLOOKUP(G505,Budget!$E$3:$G$2474,3,0)</f>
        <v>0</v>
      </c>
      <c r="P505" s="107">
        <f t="shared" si="189"/>
        <v>0</v>
      </c>
      <c r="Q505" s="107"/>
      <c r="R505" s="10"/>
      <c r="S505" s="107">
        <v>0</v>
      </c>
      <c r="T505" s="107">
        <f t="shared" si="178"/>
        <v>0</v>
      </c>
      <c r="U505" s="107"/>
      <c r="V505" s="175"/>
      <c r="W505" s="10"/>
      <c r="X505" s="10"/>
      <c r="Y505" t="str">
        <f t="shared" si="194"/>
        <v>1641</v>
      </c>
      <c r="AB505" s="10"/>
      <c r="AC505" s="10"/>
      <c r="AD505" s="10"/>
      <c r="AE505" s="10"/>
      <c r="AF505" s="10"/>
      <c r="AG505" s="10"/>
      <c r="AH505" s="10"/>
      <c r="AI505" s="10"/>
    </row>
    <row r="506" spans="1:35">
      <c r="A506" s="10"/>
      <c r="B506" s="10" t="str">
        <f t="shared" si="193"/>
        <v>Above the LineALL SHOW</v>
      </c>
      <c r="C506" t="s">
        <v>7</v>
      </c>
      <c r="D506" t="s">
        <v>19</v>
      </c>
      <c r="E506" t="s">
        <v>227</v>
      </c>
      <c r="G506" t="s">
        <v>2354</v>
      </c>
      <c r="I506" s="10"/>
      <c r="J506" s="107">
        <f>SUMIF(Data!C:C,G506,Data!Q:Q)</f>
        <v>10963.88</v>
      </c>
      <c r="K506" s="107">
        <f>SUMIF(Comprometidos!A:A,'Cost Report'!G506,Comprometidos!E:E)</f>
        <v>0</v>
      </c>
      <c r="L506" s="107">
        <f t="shared" si="186"/>
        <v>10963.88</v>
      </c>
      <c r="M506" s="107">
        <v>0</v>
      </c>
      <c r="N506" s="107">
        <f t="shared" si="188"/>
        <v>10963.88</v>
      </c>
      <c r="O506" s="107">
        <f>VLOOKUP(G506,Budget!$E$3:$G$2474,3,0)</f>
        <v>12000</v>
      </c>
      <c r="P506" s="107">
        <f t="shared" si="189"/>
        <v>1036.1200000000008</v>
      </c>
      <c r="Q506" s="107"/>
      <c r="R506" s="10"/>
      <c r="S506" s="107">
        <v>10963.88</v>
      </c>
      <c r="T506" s="107">
        <f t="shared" si="178"/>
        <v>0</v>
      </c>
      <c r="U506" s="107"/>
      <c r="V506" s="175"/>
      <c r="W506" s="10"/>
      <c r="X506" s="10"/>
      <c r="Y506" t="str">
        <f t="shared" si="194"/>
        <v>1641</v>
      </c>
      <c r="AB506" s="10"/>
      <c r="AC506" s="10"/>
      <c r="AD506" s="10"/>
      <c r="AE506" s="10"/>
      <c r="AF506" s="10"/>
      <c r="AG506" s="10"/>
      <c r="AH506" s="10"/>
      <c r="AI506" s="10"/>
    </row>
    <row r="507" spans="1:35">
      <c r="A507" s="10"/>
      <c r="B507" s="10" t="str">
        <f t="shared" si="193"/>
        <v>Above the Line</v>
      </c>
      <c r="C507" t="s">
        <v>7</v>
      </c>
      <c r="D507" t="s">
        <v>19</v>
      </c>
      <c r="E507" t="s">
        <v>214</v>
      </c>
      <c r="G507" t="s">
        <v>2355</v>
      </c>
      <c r="I507" s="10"/>
      <c r="J507" s="107">
        <f>SUMIF(Data!C:C,G507,Data!Q:Q)</f>
        <v>0</v>
      </c>
      <c r="K507" s="107">
        <f>SUMIF(Comprometidos!A:A,'Cost Report'!G507,Comprometidos!E:E)</f>
        <v>0</v>
      </c>
      <c r="L507" s="107">
        <f t="shared" si="186"/>
        <v>0</v>
      </c>
      <c r="M507" s="107">
        <f t="shared" si="187"/>
        <v>0</v>
      </c>
      <c r="N507" s="107">
        <f t="shared" si="188"/>
        <v>0</v>
      </c>
      <c r="O507" s="107">
        <f>VLOOKUP(G507,Budget!$E$3:$G$2474,3,0)</f>
        <v>0</v>
      </c>
      <c r="P507" s="107">
        <f t="shared" si="189"/>
        <v>0</v>
      </c>
      <c r="Q507" s="107"/>
      <c r="R507" s="10"/>
      <c r="S507" s="107">
        <v>0</v>
      </c>
      <c r="T507" s="107">
        <f t="shared" si="178"/>
        <v>0</v>
      </c>
      <c r="U507" s="107"/>
      <c r="V507" s="175"/>
      <c r="W507" s="10"/>
      <c r="X507" s="10"/>
      <c r="Y507" t="str">
        <f t="shared" si="194"/>
        <v>1641</v>
      </c>
      <c r="AB507" s="10"/>
      <c r="AC507" s="10"/>
      <c r="AD507" s="10"/>
      <c r="AE507" s="10"/>
      <c r="AF507" s="10"/>
      <c r="AG507" s="10"/>
      <c r="AH507" s="10"/>
      <c r="AI507" s="10"/>
    </row>
    <row r="508" spans="1:35">
      <c r="A508" s="10"/>
      <c r="B508" s="10" t="str">
        <f t="shared" si="193"/>
        <v>Above the LineALL SHOW</v>
      </c>
      <c r="C508" t="s">
        <v>7</v>
      </c>
      <c r="D508" t="s">
        <v>19</v>
      </c>
      <c r="E508" t="s">
        <v>227</v>
      </c>
      <c r="G508" t="s">
        <v>2356</v>
      </c>
      <c r="I508" s="10"/>
      <c r="J508" s="107">
        <f>SUMIF(Data!C:C,G508,Data!Q:Q)</f>
        <v>23537.37</v>
      </c>
      <c r="K508" s="107">
        <f>SUMIF(Comprometidos!A:A,'Cost Report'!G508,Comprometidos!E:E)</f>
        <v>0</v>
      </c>
      <c r="L508" s="107">
        <f t="shared" si="186"/>
        <v>23537.37</v>
      </c>
      <c r="M508" s="107">
        <v>0</v>
      </c>
      <c r="N508" s="107">
        <f t="shared" si="188"/>
        <v>23537.37</v>
      </c>
      <c r="O508" s="107">
        <f>VLOOKUP(G508,Budget!$E$3:$G$2474,3,0)</f>
        <v>134117.57999999999</v>
      </c>
      <c r="P508" s="107">
        <f t="shared" si="189"/>
        <v>110580.20999999999</v>
      </c>
      <c r="Q508" s="107"/>
      <c r="R508" s="10"/>
      <c r="S508" s="107">
        <v>23537.37</v>
      </c>
      <c r="T508" s="107">
        <f t="shared" si="178"/>
        <v>0</v>
      </c>
      <c r="U508" s="107"/>
      <c r="V508" s="175"/>
      <c r="W508" s="10"/>
      <c r="X508" s="10"/>
      <c r="Y508" t="str">
        <f t="shared" si="194"/>
        <v>1641</v>
      </c>
      <c r="AB508" s="10"/>
      <c r="AC508" s="10"/>
      <c r="AD508" s="10"/>
      <c r="AE508" s="10"/>
      <c r="AF508" s="10"/>
      <c r="AG508" s="10"/>
      <c r="AH508" s="10"/>
      <c r="AI508" s="10"/>
    </row>
    <row r="509" spans="1:35">
      <c r="A509" s="10"/>
      <c r="B509" s="10" t="str">
        <f t="shared" si="193"/>
        <v>Above the Line</v>
      </c>
      <c r="C509" t="s">
        <v>7</v>
      </c>
      <c r="D509" t="s">
        <v>19</v>
      </c>
      <c r="E509" t="s">
        <v>214</v>
      </c>
      <c r="G509" t="s">
        <v>2357</v>
      </c>
      <c r="I509" s="10"/>
      <c r="J509" s="107">
        <f>SUMIF(Data!C:C,G509,Data!Q:Q)</f>
        <v>0</v>
      </c>
      <c r="K509" s="107">
        <f>SUMIF(Comprometidos!A:A,'Cost Report'!G509,Comprometidos!E:E)</f>
        <v>0</v>
      </c>
      <c r="L509" s="107">
        <f t="shared" si="186"/>
        <v>0</v>
      </c>
      <c r="M509" s="107">
        <f t="shared" si="187"/>
        <v>0</v>
      </c>
      <c r="N509" s="107">
        <f t="shared" si="188"/>
        <v>0</v>
      </c>
      <c r="O509" s="107">
        <f>VLOOKUP(G509,Budget!$E$3:$G$2474,3,0)</f>
        <v>0</v>
      </c>
      <c r="P509" s="107">
        <f t="shared" si="189"/>
        <v>0</v>
      </c>
      <c r="Q509" s="107"/>
      <c r="R509" s="10"/>
      <c r="S509" s="107">
        <v>0</v>
      </c>
      <c r="T509" s="107">
        <f t="shared" si="178"/>
        <v>0</v>
      </c>
      <c r="U509" s="107"/>
      <c r="V509" s="175"/>
      <c r="W509" s="10"/>
      <c r="X509" s="10"/>
      <c r="Y509" t="str">
        <f t="shared" si="194"/>
        <v>1641</v>
      </c>
      <c r="AB509" s="10"/>
      <c r="AC509" s="10"/>
      <c r="AD509" s="10"/>
      <c r="AE509" s="10"/>
      <c r="AF509" s="10"/>
      <c r="AG509" s="10"/>
      <c r="AH509" s="10"/>
      <c r="AI509" s="10"/>
    </row>
    <row r="510" spans="1:35">
      <c r="A510" s="10"/>
      <c r="B510" s="10" t="str">
        <f t="shared" si="193"/>
        <v>Above the LineALL SHOW</v>
      </c>
      <c r="C510" t="s">
        <v>7</v>
      </c>
      <c r="D510" t="s">
        <v>19</v>
      </c>
      <c r="E510" t="s">
        <v>227</v>
      </c>
      <c r="G510" t="s">
        <v>2358</v>
      </c>
      <c r="I510" s="10"/>
      <c r="J510" s="107">
        <f>SUMIF(Data!C:C,G510,Data!Q:Q)</f>
        <v>22653.82</v>
      </c>
      <c r="K510" s="107">
        <f>SUMIF(Comprometidos!A:A,'Cost Report'!G510,Comprometidos!E:E)</f>
        <v>0</v>
      </c>
      <c r="L510" s="107">
        <f t="shared" si="186"/>
        <v>22653.82</v>
      </c>
      <c r="M510" s="107">
        <v>0</v>
      </c>
      <c r="N510" s="107">
        <f t="shared" si="188"/>
        <v>22653.82</v>
      </c>
      <c r="O510" s="107">
        <f>VLOOKUP(G510,Budget!$E$3:$G$2474,3,0)</f>
        <v>25595.82</v>
      </c>
      <c r="P510" s="107">
        <f t="shared" si="189"/>
        <v>2942</v>
      </c>
      <c r="Q510" s="107"/>
      <c r="R510" s="10"/>
      <c r="S510" s="107">
        <v>22653.82</v>
      </c>
      <c r="T510" s="107">
        <f t="shared" si="178"/>
        <v>0</v>
      </c>
      <c r="U510" s="107"/>
      <c r="V510" s="175"/>
      <c r="W510" s="10"/>
      <c r="X510" s="10"/>
      <c r="Y510" t="str">
        <f t="shared" si="194"/>
        <v>1641</v>
      </c>
      <c r="AB510" s="10"/>
      <c r="AC510" s="10"/>
      <c r="AD510" s="10"/>
      <c r="AE510" s="10"/>
      <c r="AF510" s="10"/>
      <c r="AG510" s="10"/>
      <c r="AH510" s="10"/>
      <c r="AI510" s="10"/>
    </row>
    <row r="511" spans="1:35">
      <c r="A511" s="10"/>
      <c r="B511" s="10" t="str">
        <f>+C511</f>
        <v>Above the Line</v>
      </c>
      <c r="C511" s="128" t="s">
        <v>7</v>
      </c>
      <c r="D511" s="128" t="s">
        <v>2117</v>
      </c>
      <c r="E511" s="128"/>
      <c r="F511" s="128"/>
      <c r="G511" s="128" t="s">
        <v>421</v>
      </c>
      <c r="H511" s="128"/>
      <c r="I511" s="10"/>
      <c r="J511" s="129">
        <f>SUMIF($Y$11:$Y$2484,G511,J$11:J$2484)</f>
        <v>71091.59</v>
      </c>
      <c r="K511" s="129">
        <f>SUMIF($Y$11:$Y$2484,G511,K$11:K$2484)</f>
        <v>0</v>
      </c>
      <c r="L511" s="129">
        <f>SUMIF($Y$11:$Y$2484,G511,L$11:L$2484)</f>
        <v>71091.59</v>
      </c>
      <c r="M511" s="129">
        <f>SUMIF($Y$11:$Y$2484,G511,M$11:M$2484)</f>
        <v>0</v>
      </c>
      <c r="N511" s="129">
        <f>SUMIF($Y$11:$Y$2484,G511,N$11:N$2484)</f>
        <v>71091.59</v>
      </c>
      <c r="O511" s="129">
        <f>SUMIF($Y$11:$Y$2484,G511,O$11:O$2484)</f>
        <v>146500</v>
      </c>
      <c r="P511" s="129">
        <f>SUMIF($Y$11:$Y$2484,G511,P$11:P$2484)</f>
        <v>75408.41</v>
      </c>
      <c r="Q511" s="129"/>
      <c r="R511" s="10"/>
      <c r="S511" s="129">
        <v>71091.59</v>
      </c>
      <c r="T511" s="129">
        <f t="shared" si="178"/>
        <v>0</v>
      </c>
      <c r="U511" s="128"/>
      <c r="V511" s="175"/>
      <c r="W511" s="10"/>
      <c r="X511" s="10"/>
      <c r="Z511" t="str">
        <f>LEFT(G511,2)</f>
        <v>16</v>
      </c>
      <c r="AA511" t="str">
        <f>+Z511&amp;"00"</f>
        <v>1600</v>
      </c>
      <c r="AB511" s="10"/>
      <c r="AC511" s="10"/>
      <c r="AD511" s="10"/>
      <c r="AE511" s="10"/>
      <c r="AF511" s="10"/>
      <c r="AG511" s="10"/>
      <c r="AH511" s="10"/>
      <c r="AI511" s="10"/>
    </row>
    <row r="512" spans="1:35">
      <c r="A512" s="10"/>
      <c r="B512" s="10" t="str">
        <f t="shared" ref="B512:B528" si="195">+C512&amp;E512</f>
        <v>Above the Line</v>
      </c>
      <c r="C512" t="s">
        <v>7</v>
      </c>
      <c r="D512" t="s">
        <v>19</v>
      </c>
      <c r="E512" t="s">
        <v>214</v>
      </c>
      <c r="G512" t="s">
        <v>422</v>
      </c>
      <c r="I512" s="10"/>
      <c r="J512" s="107">
        <f>SUMIF(Data!C:C,G512,Data!Q:Q)</f>
        <v>0</v>
      </c>
      <c r="K512" s="107">
        <f>SUMIF(Comprometidos!A:A,'Cost Report'!G512,Comprometidos!E:E)</f>
        <v>0</v>
      </c>
      <c r="L512" s="107">
        <f t="shared" ref="L512:L528" si="196">+J512+K512</f>
        <v>0</v>
      </c>
      <c r="M512" s="107">
        <f t="shared" ref="M512:M525" si="197">+O512-L512</f>
        <v>0</v>
      </c>
      <c r="N512" s="107">
        <f t="shared" ref="N512:N528" si="198">+L512+M512</f>
        <v>0</v>
      </c>
      <c r="O512" s="107">
        <f>VLOOKUP(G512,Budget!$E$3:$G$2474,3,0)</f>
        <v>0</v>
      </c>
      <c r="P512" s="107">
        <f t="shared" ref="P512:P528" si="199">+O512-N512</f>
        <v>0</v>
      </c>
      <c r="Q512" s="107"/>
      <c r="R512" s="10"/>
      <c r="S512" s="107">
        <v>0</v>
      </c>
      <c r="T512" s="107">
        <f t="shared" si="178"/>
        <v>0</v>
      </c>
      <c r="U512" s="107"/>
      <c r="V512" s="175"/>
      <c r="W512" s="10"/>
      <c r="X512" s="10"/>
      <c r="Y512" t="str">
        <f t="shared" ref="Y512:Y528" si="200">LEFT(G512,4)</f>
        <v>1642</v>
      </c>
      <c r="AB512" s="10"/>
      <c r="AC512" s="10"/>
      <c r="AD512" s="10"/>
      <c r="AE512" s="10"/>
      <c r="AF512" s="10"/>
      <c r="AG512" s="10"/>
      <c r="AH512" s="10"/>
      <c r="AI512" s="10"/>
    </row>
    <row r="513" spans="1:35">
      <c r="A513" s="10"/>
      <c r="B513" s="10" t="str">
        <f t="shared" si="195"/>
        <v>Above the LineSHOOT</v>
      </c>
      <c r="C513" t="s">
        <v>7</v>
      </c>
      <c r="D513" t="s">
        <v>19</v>
      </c>
      <c r="E513" t="s">
        <v>236</v>
      </c>
      <c r="G513" t="s">
        <v>424</v>
      </c>
      <c r="I513" s="10"/>
      <c r="J513" s="107">
        <f>SUMIF(Data!C:C,G513,Data!Q:Q)</f>
        <v>32091.59</v>
      </c>
      <c r="K513" s="107">
        <f>SUMIF(Comprometidos!A:A,'Cost Report'!G513,Comprometidos!E:E)</f>
        <v>0</v>
      </c>
      <c r="L513" s="107">
        <f t="shared" si="196"/>
        <v>32091.59</v>
      </c>
      <c r="M513" s="107">
        <v>0</v>
      </c>
      <c r="N513" s="107">
        <f t="shared" si="198"/>
        <v>32091.59</v>
      </c>
      <c r="O513" s="107">
        <f>VLOOKUP(G513,Budget!$E$3:$G$2474,3,0)</f>
        <v>60000</v>
      </c>
      <c r="P513" s="107">
        <f t="shared" si="199"/>
        <v>27908.41</v>
      </c>
      <c r="Q513" s="107"/>
      <c r="R513" s="10"/>
      <c r="S513" s="107">
        <v>32091.59</v>
      </c>
      <c r="T513" s="107">
        <f t="shared" si="178"/>
        <v>0</v>
      </c>
      <c r="U513" s="107"/>
      <c r="V513" s="175"/>
      <c r="W513" s="10"/>
      <c r="X513" s="10"/>
      <c r="Y513" t="str">
        <f t="shared" si="200"/>
        <v>1642</v>
      </c>
      <c r="AB513" s="10"/>
      <c r="AC513" s="10"/>
      <c r="AD513" s="10"/>
      <c r="AE513" s="10"/>
      <c r="AF513" s="10"/>
      <c r="AG513" s="10"/>
      <c r="AH513" s="10"/>
      <c r="AI513" s="10"/>
    </row>
    <row r="514" spans="1:35">
      <c r="A514" s="10"/>
      <c r="B514" s="10" t="str">
        <f t="shared" si="195"/>
        <v>Above the Line</v>
      </c>
      <c r="C514" t="s">
        <v>7</v>
      </c>
      <c r="D514" t="s">
        <v>19</v>
      </c>
      <c r="E514" t="s">
        <v>214</v>
      </c>
      <c r="G514" t="s">
        <v>425</v>
      </c>
      <c r="I514" s="10"/>
      <c r="J514" s="107">
        <f>SUMIF(Data!C:C,G514,Data!Q:Q)</f>
        <v>0</v>
      </c>
      <c r="K514" s="107">
        <f>SUMIF(Comprometidos!A:A,'Cost Report'!G514,Comprometidos!E:E)</f>
        <v>0</v>
      </c>
      <c r="L514" s="107">
        <f t="shared" si="196"/>
        <v>0</v>
      </c>
      <c r="M514" s="107">
        <f t="shared" si="197"/>
        <v>0</v>
      </c>
      <c r="N514" s="107">
        <f t="shared" si="198"/>
        <v>0</v>
      </c>
      <c r="O514" s="107">
        <f>VLOOKUP(G514,Budget!$E$3:$G$2474,3,0)</f>
        <v>0</v>
      </c>
      <c r="P514" s="107">
        <f t="shared" si="199"/>
        <v>0</v>
      </c>
      <c r="Q514" s="107"/>
      <c r="R514" s="10"/>
      <c r="S514" s="107">
        <v>0</v>
      </c>
      <c r="T514" s="107">
        <f t="shared" si="178"/>
        <v>0</v>
      </c>
      <c r="U514" s="107"/>
      <c r="V514" s="175"/>
      <c r="W514" s="10"/>
      <c r="X514" s="10"/>
      <c r="Y514" t="str">
        <f t="shared" si="200"/>
        <v>1642</v>
      </c>
      <c r="AB514" s="10"/>
      <c r="AC514" s="10"/>
      <c r="AD514" s="10"/>
      <c r="AE514" s="10"/>
      <c r="AF514" s="10"/>
      <c r="AG514" s="10"/>
      <c r="AH514" s="10"/>
      <c r="AI514" s="10"/>
    </row>
    <row r="515" spans="1:35">
      <c r="A515" s="10"/>
      <c r="B515" s="10" t="str">
        <f t="shared" si="195"/>
        <v>Above the LineSHOOT</v>
      </c>
      <c r="C515" t="s">
        <v>7</v>
      </c>
      <c r="D515" t="s">
        <v>19</v>
      </c>
      <c r="E515" t="s">
        <v>236</v>
      </c>
      <c r="G515" t="s">
        <v>426</v>
      </c>
      <c r="I515" s="10"/>
      <c r="J515" s="107">
        <f>SUMIF(Data!C:C,G515,Data!Q:Q)</f>
        <v>10500</v>
      </c>
      <c r="K515" s="107">
        <f>SUMIF(Comprometidos!A:A,'Cost Report'!G515,Comprometidos!E:E)</f>
        <v>0</v>
      </c>
      <c r="L515" s="107">
        <f t="shared" si="196"/>
        <v>10500</v>
      </c>
      <c r="M515" s="107">
        <f t="shared" si="197"/>
        <v>0</v>
      </c>
      <c r="N515" s="107">
        <f t="shared" si="198"/>
        <v>10500</v>
      </c>
      <c r="O515" s="107">
        <f>VLOOKUP(G515,Budget!$E$3:$G$2474,3,0)</f>
        <v>10500</v>
      </c>
      <c r="P515" s="107">
        <f t="shared" si="199"/>
        <v>0</v>
      </c>
      <c r="Q515" s="107"/>
      <c r="R515" s="10"/>
      <c r="S515" s="107">
        <v>10500</v>
      </c>
      <c r="T515" s="107">
        <f t="shared" si="178"/>
        <v>0</v>
      </c>
      <c r="U515" s="107"/>
      <c r="V515" s="175"/>
      <c r="W515" s="10"/>
      <c r="X515" s="10"/>
      <c r="Y515" t="str">
        <f t="shared" si="200"/>
        <v>1642</v>
      </c>
      <c r="AB515" s="10"/>
      <c r="AC515" s="10"/>
      <c r="AD515" s="10"/>
      <c r="AE515" s="10"/>
      <c r="AF515" s="10"/>
      <c r="AG515" s="10"/>
      <c r="AH515" s="10"/>
      <c r="AI515" s="10"/>
    </row>
    <row r="516" spans="1:35">
      <c r="A516" s="10"/>
      <c r="B516" s="10" t="str">
        <f t="shared" si="195"/>
        <v>Above the LineSHOOT</v>
      </c>
      <c r="C516" t="s">
        <v>7</v>
      </c>
      <c r="D516" t="s">
        <v>19</v>
      </c>
      <c r="E516" t="s">
        <v>236</v>
      </c>
      <c r="G516" t="s">
        <v>427</v>
      </c>
      <c r="I516" s="10"/>
      <c r="J516" s="107">
        <f>SUMIF(Data!C:C,G516,Data!Q:Q)</f>
        <v>9000</v>
      </c>
      <c r="K516" s="107">
        <f>SUMIF(Comprometidos!A:A,'Cost Report'!G516,Comprometidos!E:E)</f>
        <v>0</v>
      </c>
      <c r="L516" s="107">
        <f t="shared" si="196"/>
        <v>9000</v>
      </c>
      <c r="M516" s="107">
        <v>0</v>
      </c>
      <c r="N516" s="107">
        <f t="shared" si="198"/>
        <v>9000</v>
      </c>
      <c r="O516" s="107">
        <f>VLOOKUP(G516,Budget!$E$3:$G$2474,3,0)</f>
        <v>5250</v>
      </c>
      <c r="P516" s="107">
        <f t="shared" si="199"/>
        <v>-3750</v>
      </c>
      <c r="Q516" s="107"/>
      <c r="R516" s="10"/>
      <c r="S516" s="107">
        <v>9000</v>
      </c>
      <c r="T516" s="107">
        <f t="shared" si="178"/>
        <v>0</v>
      </c>
      <c r="U516" s="107"/>
      <c r="V516" s="175"/>
      <c r="W516" s="10"/>
      <c r="X516" s="10"/>
      <c r="Y516" t="str">
        <f t="shared" si="200"/>
        <v>1642</v>
      </c>
      <c r="AB516" s="10"/>
      <c r="AC516" s="10"/>
      <c r="AD516" s="10"/>
      <c r="AE516" s="10"/>
      <c r="AF516" s="10"/>
      <c r="AG516" s="10"/>
      <c r="AH516" s="10"/>
      <c r="AI516" s="10"/>
    </row>
    <row r="517" spans="1:35">
      <c r="A517" s="10"/>
      <c r="B517" s="10" t="str">
        <f t="shared" si="195"/>
        <v>Above the Line</v>
      </c>
      <c r="C517" t="s">
        <v>7</v>
      </c>
      <c r="D517" t="s">
        <v>19</v>
      </c>
      <c r="E517" t="s">
        <v>214</v>
      </c>
      <c r="G517" t="s">
        <v>2359</v>
      </c>
      <c r="I517" s="10"/>
      <c r="J517" s="107">
        <f>SUMIF(Data!C:C,G517,Data!Q:Q)</f>
        <v>0</v>
      </c>
      <c r="K517" s="107">
        <f>SUMIF(Comprometidos!A:A,'Cost Report'!G517,Comprometidos!E:E)</f>
        <v>0</v>
      </c>
      <c r="L517" s="107">
        <f t="shared" si="196"/>
        <v>0</v>
      </c>
      <c r="M517" s="107">
        <f t="shared" si="197"/>
        <v>0</v>
      </c>
      <c r="N517" s="107">
        <f t="shared" si="198"/>
        <v>0</v>
      </c>
      <c r="O517" s="107">
        <f>VLOOKUP(G517,Budget!$E$3:$G$2474,3,0)</f>
        <v>0</v>
      </c>
      <c r="P517" s="107">
        <f t="shared" si="199"/>
        <v>0</v>
      </c>
      <c r="Q517" s="107"/>
      <c r="R517" s="10"/>
      <c r="S517" s="107">
        <v>0</v>
      </c>
      <c r="T517" s="107">
        <f t="shared" si="178"/>
        <v>0</v>
      </c>
      <c r="U517" s="107"/>
      <c r="V517" s="175"/>
      <c r="W517" s="10"/>
      <c r="X517" s="10"/>
      <c r="Y517" t="str">
        <f t="shared" si="200"/>
        <v>1642</v>
      </c>
      <c r="AB517" s="10"/>
      <c r="AC517" s="10"/>
      <c r="AD517" s="10"/>
      <c r="AE517" s="10"/>
      <c r="AF517" s="10"/>
      <c r="AG517" s="10"/>
      <c r="AH517" s="10"/>
      <c r="AI517" s="10"/>
    </row>
    <row r="518" spans="1:35">
      <c r="A518" s="10"/>
      <c r="B518" s="10" t="str">
        <f t="shared" si="195"/>
        <v>Above the LineSHOOT</v>
      </c>
      <c r="C518" t="s">
        <v>7</v>
      </c>
      <c r="D518" t="s">
        <v>19</v>
      </c>
      <c r="E518" t="s">
        <v>236</v>
      </c>
      <c r="G518" t="s">
        <v>2360</v>
      </c>
      <c r="I518" s="10"/>
      <c r="J518" s="107">
        <f>SUMIF(Data!C:C,G518,Data!Q:Q)</f>
        <v>10500</v>
      </c>
      <c r="K518" s="107">
        <f>SUMIF(Comprometidos!A:A,'Cost Report'!G518,Comprometidos!E:E)</f>
        <v>0</v>
      </c>
      <c r="L518" s="107">
        <f t="shared" si="196"/>
        <v>10500</v>
      </c>
      <c r="M518" s="107">
        <f t="shared" si="197"/>
        <v>0</v>
      </c>
      <c r="N518" s="107">
        <f t="shared" si="198"/>
        <v>10500</v>
      </c>
      <c r="O518" s="107">
        <f>VLOOKUP(G518,Budget!$E$3:$G$2474,3,0)</f>
        <v>10500</v>
      </c>
      <c r="P518" s="107">
        <f t="shared" si="199"/>
        <v>0</v>
      </c>
      <c r="Q518" s="107"/>
      <c r="R518" s="10"/>
      <c r="S518" s="107">
        <v>10500</v>
      </c>
      <c r="T518" s="107">
        <f t="shared" si="178"/>
        <v>0</v>
      </c>
      <c r="U518" s="107"/>
      <c r="V518" s="175"/>
      <c r="W518" s="10"/>
      <c r="X518" s="10"/>
      <c r="Y518" t="str">
        <f t="shared" si="200"/>
        <v>1642</v>
      </c>
      <c r="AB518" s="10"/>
      <c r="AC518" s="10"/>
      <c r="AD518" s="10"/>
      <c r="AE518" s="10"/>
      <c r="AF518" s="10"/>
      <c r="AG518" s="10"/>
      <c r="AH518" s="10"/>
      <c r="AI518" s="10"/>
    </row>
    <row r="519" spans="1:35">
      <c r="A519" s="10"/>
      <c r="B519" s="10" t="str">
        <f t="shared" si="195"/>
        <v>Above the LineSHOOT</v>
      </c>
      <c r="C519" t="s">
        <v>7</v>
      </c>
      <c r="D519" t="s">
        <v>19</v>
      </c>
      <c r="E519" t="s">
        <v>236</v>
      </c>
      <c r="G519" t="s">
        <v>2361</v>
      </c>
      <c r="I519" s="10"/>
      <c r="J519" s="107">
        <f>SUMIF(Data!C:C,G519,Data!Q:Q)</f>
        <v>9000</v>
      </c>
      <c r="K519" s="107">
        <f>SUMIF(Comprometidos!A:A,'Cost Report'!G519,Comprometidos!E:E)</f>
        <v>0</v>
      </c>
      <c r="L519" s="107">
        <f t="shared" si="196"/>
        <v>9000</v>
      </c>
      <c r="M519" s="107">
        <v>0</v>
      </c>
      <c r="N519" s="107">
        <f t="shared" si="198"/>
        <v>9000</v>
      </c>
      <c r="O519" s="107">
        <f>VLOOKUP(G519,Budget!$E$3:$G$2474,3,0)</f>
        <v>5250</v>
      </c>
      <c r="P519" s="107">
        <f t="shared" si="199"/>
        <v>-3750</v>
      </c>
      <c r="Q519" s="107"/>
      <c r="R519" s="10"/>
      <c r="S519" s="107">
        <v>9000</v>
      </c>
      <c r="T519" s="107">
        <f t="shared" si="178"/>
        <v>0</v>
      </c>
      <c r="U519" s="107"/>
      <c r="V519" s="175"/>
      <c r="W519" s="10"/>
      <c r="X519" s="10"/>
      <c r="Y519" t="str">
        <f t="shared" si="200"/>
        <v>1642</v>
      </c>
      <c r="AB519" s="10"/>
      <c r="AC519" s="10"/>
      <c r="AD519" s="10"/>
      <c r="AE519" s="10"/>
      <c r="AF519" s="10"/>
      <c r="AG519" s="10"/>
      <c r="AH519" s="10"/>
      <c r="AI519" s="10"/>
    </row>
    <row r="520" spans="1:35">
      <c r="A520" s="10"/>
      <c r="B520" s="10" t="str">
        <f t="shared" si="195"/>
        <v>Above the Line</v>
      </c>
      <c r="C520" t="s">
        <v>7</v>
      </c>
      <c r="D520" t="s">
        <v>19</v>
      </c>
      <c r="E520" t="s">
        <v>214</v>
      </c>
      <c r="G520" t="s">
        <v>2362</v>
      </c>
      <c r="I520" s="10"/>
      <c r="J520" s="107">
        <f>SUMIF(Data!C:C,G520,Data!Q:Q)</f>
        <v>0</v>
      </c>
      <c r="K520" s="107">
        <f>SUMIF(Comprometidos!A:A,'Cost Report'!G520,Comprometidos!E:E)</f>
        <v>0</v>
      </c>
      <c r="L520" s="107">
        <f t="shared" si="196"/>
        <v>0</v>
      </c>
      <c r="M520" s="107">
        <f t="shared" si="197"/>
        <v>0</v>
      </c>
      <c r="N520" s="107">
        <f t="shared" si="198"/>
        <v>0</v>
      </c>
      <c r="O520" s="107">
        <f>VLOOKUP(G520,Budget!$E$3:$G$2474,3,0)</f>
        <v>0</v>
      </c>
      <c r="P520" s="107">
        <f t="shared" si="199"/>
        <v>0</v>
      </c>
      <c r="Q520" s="107"/>
      <c r="R520" s="10"/>
      <c r="S520" s="107">
        <v>0</v>
      </c>
      <c r="T520" s="107">
        <f t="shared" si="178"/>
        <v>0</v>
      </c>
      <c r="U520" s="107"/>
      <c r="V520" s="175"/>
      <c r="W520" s="10"/>
      <c r="X520" s="10"/>
      <c r="Y520" t="str">
        <f t="shared" si="200"/>
        <v>1642</v>
      </c>
      <c r="AB520" s="10"/>
      <c r="AC520" s="10"/>
      <c r="AD520" s="10"/>
      <c r="AE520" s="10"/>
      <c r="AF520" s="10"/>
      <c r="AG520" s="10"/>
      <c r="AH520" s="10"/>
      <c r="AI520" s="10"/>
    </row>
    <row r="521" spans="1:35">
      <c r="A521" s="10"/>
      <c r="B521" s="10" t="str">
        <f t="shared" si="195"/>
        <v>Above the LinePREP</v>
      </c>
      <c r="C521" t="s">
        <v>7</v>
      </c>
      <c r="D521" t="s">
        <v>19</v>
      </c>
      <c r="E521" t="s">
        <v>234</v>
      </c>
      <c r="G521" t="s">
        <v>2363</v>
      </c>
      <c r="I521" s="10"/>
      <c r="J521" s="107">
        <f>SUMIF(Data!C:C,G521,Data!Q:Q)</f>
        <v>0</v>
      </c>
      <c r="K521" s="107">
        <f>SUMIF(Comprometidos!A:A,'Cost Report'!G521,Comprometidos!E:E)</f>
        <v>0</v>
      </c>
      <c r="L521" s="107">
        <f t="shared" si="196"/>
        <v>0</v>
      </c>
      <c r="M521" s="107">
        <v>0</v>
      </c>
      <c r="N521" s="107">
        <f t="shared" si="198"/>
        <v>0</v>
      </c>
      <c r="O521" s="107">
        <f>VLOOKUP(G521,Budget!$E$3:$G$2474,3,0)</f>
        <v>5000</v>
      </c>
      <c r="P521" s="107">
        <f t="shared" si="199"/>
        <v>5000</v>
      </c>
      <c r="Q521" s="107"/>
      <c r="R521" s="10"/>
      <c r="S521" s="107">
        <v>0</v>
      </c>
      <c r="T521" s="107">
        <f t="shared" si="178"/>
        <v>0</v>
      </c>
      <c r="U521" s="107"/>
      <c r="V521" s="175"/>
      <c r="W521" s="10"/>
      <c r="X521" s="10"/>
      <c r="Y521" t="str">
        <f t="shared" si="200"/>
        <v>1642</v>
      </c>
      <c r="AB521" s="10"/>
      <c r="AC521" s="10"/>
      <c r="AD521" s="10"/>
      <c r="AE521" s="10"/>
      <c r="AF521" s="10"/>
      <c r="AG521" s="10"/>
      <c r="AH521" s="10"/>
      <c r="AI521" s="10"/>
    </row>
    <row r="522" spans="1:35">
      <c r="A522" s="10"/>
      <c r="B522" s="10" t="str">
        <f t="shared" si="195"/>
        <v>Above the LineSHOOT</v>
      </c>
      <c r="C522" t="s">
        <v>7</v>
      </c>
      <c r="D522" t="s">
        <v>19</v>
      </c>
      <c r="E522" t="s">
        <v>236</v>
      </c>
      <c r="G522" t="s">
        <v>2364</v>
      </c>
      <c r="I522" s="10"/>
      <c r="J522" s="107">
        <f>SUMIF(Data!C:C,G522,Data!Q:Q)</f>
        <v>0</v>
      </c>
      <c r="K522" s="107">
        <f>SUMIF(Comprometidos!A:A,'Cost Report'!G522,Comprometidos!E:E)</f>
        <v>0</v>
      </c>
      <c r="L522" s="107">
        <f t="shared" si="196"/>
        <v>0</v>
      </c>
      <c r="M522" s="107">
        <v>0</v>
      </c>
      <c r="N522" s="107">
        <f t="shared" si="198"/>
        <v>0</v>
      </c>
      <c r="O522" s="107">
        <f>VLOOKUP(G522,Budget!$E$3:$G$2474,3,0)</f>
        <v>6500</v>
      </c>
      <c r="P522" s="107">
        <f t="shared" si="199"/>
        <v>6500</v>
      </c>
      <c r="Q522" s="107"/>
      <c r="R522" s="10"/>
      <c r="S522" s="107">
        <v>0</v>
      </c>
      <c r="T522" s="107">
        <f t="shared" si="178"/>
        <v>0</v>
      </c>
      <c r="U522" s="107"/>
      <c r="V522" s="175"/>
      <c r="W522" s="10"/>
      <c r="X522" s="10"/>
      <c r="Y522" t="str">
        <f t="shared" si="200"/>
        <v>1642</v>
      </c>
      <c r="AB522" s="10"/>
      <c r="AC522" s="10"/>
      <c r="AD522" s="10"/>
      <c r="AE522" s="10"/>
      <c r="AF522" s="10"/>
      <c r="AG522" s="10"/>
      <c r="AH522" s="10"/>
      <c r="AI522" s="10"/>
    </row>
    <row r="523" spans="1:35">
      <c r="A523" s="10"/>
      <c r="B523" s="10" t="str">
        <f t="shared" si="195"/>
        <v>Above the LineSHOOT</v>
      </c>
      <c r="C523" t="s">
        <v>7</v>
      </c>
      <c r="D523" t="s">
        <v>19</v>
      </c>
      <c r="E523" t="s">
        <v>236</v>
      </c>
      <c r="G523" t="s">
        <v>2365</v>
      </c>
      <c r="I523" s="10"/>
      <c r="J523" s="107">
        <f>SUMIF(Data!C:C,G523,Data!Q:Q)</f>
        <v>0</v>
      </c>
      <c r="K523" s="107">
        <f>SUMIF(Comprometidos!A:A,'Cost Report'!G523,Comprometidos!E:E)</f>
        <v>0</v>
      </c>
      <c r="L523" s="107">
        <f t="shared" si="196"/>
        <v>0</v>
      </c>
      <c r="M523" s="107">
        <v>0</v>
      </c>
      <c r="N523" s="107">
        <f t="shared" si="198"/>
        <v>0</v>
      </c>
      <c r="O523" s="107">
        <f>VLOOKUP(G523,Budget!$E$3:$G$2474,3,0)</f>
        <v>12000</v>
      </c>
      <c r="P523" s="107">
        <f t="shared" si="199"/>
        <v>12000</v>
      </c>
      <c r="Q523" s="107"/>
      <c r="R523" s="10"/>
      <c r="S523" s="107">
        <v>0</v>
      </c>
      <c r="T523" s="107">
        <f t="shared" si="178"/>
        <v>0</v>
      </c>
      <c r="U523" s="107"/>
      <c r="V523" s="175"/>
      <c r="W523" s="10"/>
      <c r="X523" s="10"/>
      <c r="Y523" t="str">
        <f t="shared" si="200"/>
        <v>1642</v>
      </c>
      <c r="AB523" s="10"/>
      <c r="AC523" s="10"/>
      <c r="AD523" s="10"/>
      <c r="AE523" s="10"/>
      <c r="AF523" s="10"/>
      <c r="AG523" s="10"/>
      <c r="AH523" s="10"/>
      <c r="AI523" s="10"/>
    </row>
    <row r="524" spans="1:35">
      <c r="A524" s="10"/>
      <c r="B524" s="10" t="str">
        <f t="shared" si="195"/>
        <v>Above the LineSHOOT</v>
      </c>
      <c r="C524" t="s">
        <v>7</v>
      </c>
      <c r="D524" t="s">
        <v>19</v>
      </c>
      <c r="E524" t="s">
        <v>236</v>
      </c>
      <c r="G524" t="s">
        <v>2366</v>
      </c>
      <c r="I524" s="10"/>
      <c r="J524" s="107">
        <f>SUMIF(Data!C:C,G524,Data!Q:Q)</f>
        <v>0</v>
      </c>
      <c r="K524" s="107">
        <f>SUMIF(Comprometidos!A:A,'Cost Report'!G524,Comprometidos!E:E)</f>
        <v>0</v>
      </c>
      <c r="L524" s="107">
        <f t="shared" si="196"/>
        <v>0</v>
      </c>
      <c r="M524" s="107">
        <v>0</v>
      </c>
      <c r="N524" s="107">
        <f t="shared" si="198"/>
        <v>0</v>
      </c>
      <c r="O524" s="107">
        <f>VLOOKUP(G524,Budget!$E$3:$G$2474,3,0)</f>
        <v>5250</v>
      </c>
      <c r="P524" s="107">
        <f t="shared" si="199"/>
        <v>5250</v>
      </c>
      <c r="Q524" s="107"/>
      <c r="R524" s="10"/>
      <c r="S524" s="107">
        <v>0</v>
      </c>
      <c r="T524" s="107">
        <f t="shared" ref="T524:T589" si="201">+S524-N524</f>
        <v>0</v>
      </c>
      <c r="U524" s="107"/>
      <c r="V524" s="175"/>
      <c r="W524" s="10"/>
      <c r="X524" s="10"/>
      <c r="Y524" t="str">
        <f t="shared" si="200"/>
        <v>1642</v>
      </c>
      <c r="AB524" s="10"/>
      <c r="AC524" s="10"/>
      <c r="AD524" s="10"/>
      <c r="AE524" s="10"/>
      <c r="AF524" s="10"/>
      <c r="AG524" s="10"/>
      <c r="AH524" s="10"/>
      <c r="AI524" s="10"/>
    </row>
    <row r="525" spans="1:35">
      <c r="A525" s="10"/>
      <c r="B525" s="10" t="str">
        <f t="shared" si="195"/>
        <v>Above the Line</v>
      </c>
      <c r="C525" t="s">
        <v>7</v>
      </c>
      <c r="D525" t="s">
        <v>19</v>
      </c>
      <c r="E525" t="s">
        <v>214</v>
      </c>
      <c r="G525" t="s">
        <v>2367</v>
      </c>
      <c r="I525" s="10"/>
      <c r="J525" s="107">
        <f>SUMIF(Data!C:C,G525,Data!Q:Q)</f>
        <v>0</v>
      </c>
      <c r="K525" s="107">
        <f>SUMIF(Comprometidos!A:A,'Cost Report'!G525,Comprometidos!E:E)</f>
        <v>0</v>
      </c>
      <c r="L525" s="107">
        <f t="shared" si="196"/>
        <v>0</v>
      </c>
      <c r="M525" s="107">
        <f t="shared" si="197"/>
        <v>0</v>
      </c>
      <c r="N525" s="107">
        <f t="shared" si="198"/>
        <v>0</v>
      </c>
      <c r="O525" s="107">
        <f>VLOOKUP(G525,Budget!$E$3:$G$2474,3,0)</f>
        <v>0</v>
      </c>
      <c r="P525" s="107">
        <f t="shared" si="199"/>
        <v>0</v>
      </c>
      <c r="Q525" s="107"/>
      <c r="R525" s="10"/>
      <c r="S525" s="107">
        <v>0</v>
      </c>
      <c r="T525" s="107">
        <f t="shared" si="201"/>
        <v>0</v>
      </c>
      <c r="U525" s="107"/>
      <c r="V525" s="175"/>
      <c r="W525" s="10"/>
      <c r="X525" s="10"/>
      <c r="Y525" t="str">
        <f t="shared" si="200"/>
        <v>1642</v>
      </c>
      <c r="AB525" s="10"/>
      <c r="AC525" s="10"/>
      <c r="AD525" s="10"/>
      <c r="AE525" s="10"/>
      <c r="AF525" s="10"/>
      <c r="AG525" s="10"/>
      <c r="AH525" s="10"/>
      <c r="AI525" s="10"/>
    </row>
    <row r="526" spans="1:35">
      <c r="A526" s="10"/>
      <c r="B526" s="10" t="str">
        <f t="shared" si="195"/>
        <v>Above the LineSHOOT</v>
      </c>
      <c r="C526" t="s">
        <v>7</v>
      </c>
      <c r="D526" t="s">
        <v>19</v>
      </c>
      <c r="E526" t="s">
        <v>236</v>
      </c>
      <c r="G526" t="s">
        <v>2368</v>
      </c>
      <c r="I526" s="10"/>
      <c r="J526" s="107">
        <f>SUMIF(Data!C:C,G526,Data!Q:Q)</f>
        <v>0</v>
      </c>
      <c r="K526" s="107">
        <f>SUMIF(Comprometidos!A:A,'Cost Report'!G526,Comprometidos!E:E)</f>
        <v>0</v>
      </c>
      <c r="L526" s="107">
        <f t="shared" si="196"/>
        <v>0</v>
      </c>
      <c r="M526" s="107">
        <v>0</v>
      </c>
      <c r="N526" s="107">
        <f t="shared" si="198"/>
        <v>0</v>
      </c>
      <c r="O526" s="107">
        <f>VLOOKUP(G526,Budget!$E$3:$G$2474,3,0)</f>
        <v>5250</v>
      </c>
      <c r="P526" s="107">
        <f t="shared" si="199"/>
        <v>5250</v>
      </c>
      <c r="Q526" s="107"/>
      <c r="R526" s="10"/>
      <c r="S526" s="107">
        <v>0</v>
      </c>
      <c r="T526" s="107">
        <f t="shared" si="201"/>
        <v>0</v>
      </c>
      <c r="U526" s="107"/>
      <c r="V526" s="175"/>
      <c r="W526" s="10"/>
      <c r="X526" s="10"/>
      <c r="Y526" t="str">
        <f t="shared" si="200"/>
        <v>1642</v>
      </c>
      <c r="AB526" s="10"/>
      <c r="AC526" s="10"/>
      <c r="AD526" s="10"/>
      <c r="AE526" s="10"/>
      <c r="AF526" s="10"/>
      <c r="AG526" s="10"/>
      <c r="AH526" s="10"/>
      <c r="AI526" s="10"/>
    </row>
    <row r="527" spans="1:35">
      <c r="A527" s="10"/>
      <c r="B527" s="10" t="str">
        <f t="shared" si="195"/>
        <v>Above the LineSHOOT</v>
      </c>
      <c r="C527" t="s">
        <v>7</v>
      </c>
      <c r="D527" t="s">
        <v>19</v>
      </c>
      <c r="E527" t="s">
        <v>236</v>
      </c>
      <c r="G527" t="s">
        <v>2369</v>
      </c>
      <c r="I527" s="10"/>
      <c r="J527" s="107">
        <f>SUMIF(Data!C:C,G527,Data!Q:Q)</f>
        <v>0</v>
      </c>
      <c r="K527" s="107">
        <f>SUMIF(Comprometidos!A:A,'Cost Report'!G527,Comprometidos!E:E)</f>
        <v>0</v>
      </c>
      <c r="L527" s="107">
        <f t="shared" si="196"/>
        <v>0</v>
      </c>
      <c r="M527" s="107">
        <v>0</v>
      </c>
      <c r="N527" s="107">
        <f t="shared" si="198"/>
        <v>0</v>
      </c>
      <c r="O527" s="107">
        <f>VLOOKUP(G527,Budget!$E$3:$G$2474,3,0)</f>
        <v>15750</v>
      </c>
      <c r="P527" s="107">
        <f t="shared" si="199"/>
        <v>15750</v>
      </c>
      <c r="Q527" s="107"/>
      <c r="R527" s="10"/>
      <c r="S527" s="107">
        <v>0</v>
      </c>
      <c r="T527" s="107">
        <f t="shared" si="201"/>
        <v>0</v>
      </c>
      <c r="U527" s="107"/>
      <c r="V527" s="175"/>
      <c r="W527" s="10"/>
      <c r="X527" s="10"/>
      <c r="Y527" t="str">
        <f t="shared" si="200"/>
        <v>1642</v>
      </c>
      <c r="AB527" s="10"/>
      <c r="AC527" s="10"/>
      <c r="AD527" s="10"/>
      <c r="AE527" s="10"/>
      <c r="AF527" s="10"/>
      <c r="AG527" s="10"/>
      <c r="AH527" s="10"/>
      <c r="AI527" s="10"/>
    </row>
    <row r="528" spans="1:35">
      <c r="A528" s="10"/>
      <c r="B528" s="10" t="str">
        <f t="shared" si="195"/>
        <v>Above the LineSHOOT</v>
      </c>
      <c r="C528" t="s">
        <v>7</v>
      </c>
      <c r="D528" t="s">
        <v>19</v>
      </c>
      <c r="E528" t="s">
        <v>236</v>
      </c>
      <c r="G528" t="s">
        <v>2370</v>
      </c>
      <c r="I528" s="10"/>
      <c r="J528" s="107">
        <f>SUMIF(Data!C:C,G528,Data!Q:Q)</f>
        <v>0</v>
      </c>
      <c r="K528" s="107">
        <f>SUMIF(Comprometidos!A:A,'Cost Report'!G528,Comprometidos!E:E)</f>
        <v>0</v>
      </c>
      <c r="L528" s="107">
        <f t="shared" si="196"/>
        <v>0</v>
      </c>
      <c r="M528" s="107">
        <v>0</v>
      </c>
      <c r="N528" s="107">
        <f t="shared" si="198"/>
        <v>0</v>
      </c>
      <c r="O528" s="107">
        <f>VLOOKUP(G528,Budget!$E$3:$G$2474,3,0)</f>
        <v>5250</v>
      </c>
      <c r="P528" s="107">
        <f t="shared" si="199"/>
        <v>5250</v>
      </c>
      <c r="Q528" s="107"/>
      <c r="R528" s="10"/>
      <c r="S528" s="107">
        <v>0</v>
      </c>
      <c r="T528" s="107">
        <f t="shared" si="201"/>
        <v>0</v>
      </c>
      <c r="U528" s="107"/>
      <c r="V528" s="175"/>
      <c r="W528" s="10"/>
      <c r="X528" s="10"/>
      <c r="Y528" t="str">
        <f t="shared" si="200"/>
        <v>1642</v>
      </c>
      <c r="AB528" s="10"/>
      <c r="AC528" s="10"/>
      <c r="AD528" s="10"/>
      <c r="AE528" s="10"/>
      <c r="AF528" s="10"/>
      <c r="AG528" s="10"/>
      <c r="AH528" s="10"/>
      <c r="AI528" s="10"/>
    </row>
    <row r="529" spans="1:35">
      <c r="A529" s="10"/>
      <c r="B529" s="10" t="str">
        <f>+C529</f>
        <v>Above the Line</v>
      </c>
      <c r="C529" s="128" t="s">
        <v>7</v>
      </c>
      <c r="D529" s="128" t="s">
        <v>2117</v>
      </c>
      <c r="E529" s="128"/>
      <c r="F529" s="128"/>
      <c r="G529" s="128" t="s">
        <v>428</v>
      </c>
      <c r="H529" s="128"/>
      <c r="I529" s="10"/>
      <c r="J529" s="129">
        <f>SUMIF($Y$11:$Y$2484,G529,J$11:J$2484)</f>
        <v>770.2120000000001</v>
      </c>
      <c r="K529" s="129">
        <f>SUMIF($Y$11:$Y$2484,G529,K$11:K$2484)</f>
        <v>0</v>
      </c>
      <c r="L529" s="129">
        <f>SUMIF($Y$11:$Y$2484,G529,L$11:L$2484)</f>
        <v>770.2120000000001</v>
      </c>
      <c r="M529" s="129">
        <f>SUMIF($Y$11:$Y$2484,G529,M$11:M$2484)</f>
        <v>0</v>
      </c>
      <c r="N529" s="129">
        <f>SUMIF($Y$11:$Y$2484,G529,N$11:N$2484)</f>
        <v>770.2120000000001</v>
      </c>
      <c r="O529" s="129">
        <f>SUMIF($Y$11:$Y$2484,G529,O$11:O$2484)</f>
        <v>10500</v>
      </c>
      <c r="P529" s="129">
        <f>SUMIF($Y$11:$Y$2484,G529,P$11:P$2484)</f>
        <v>9729.7880000000005</v>
      </c>
      <c r="Q529" s="129"/>
      <c r="R529" s="10"/>
      <c r="S529" s="129">
        <v>692.86000000000013</v>
      </c>
      <c r="T529" s="129">
        <f t="shared" si="201"/>
        <v>-77.351999999999975</v>
      </c>
      <c r="U529" s="128"/>
      <c r="V529" s="175"/>
      <c r="W529" s="10"/>
      <c r="X529" s="10"/>
      <c r="Z529" t="str">
        <f>LEFT(G529,2)</f>
        <v>16</v>
      </c>
      <c r="AA529" t="str">
        <f>+Z529&amp;"00"</f>
        <v>1600</v>
      </c>
      <c r="AB529" s="10"/>
      <c r="AC529" s="10"/>
      <c r="AD529" s="10"/>
      <c r="AE529" s="10"/>
      <c r="AF529" s="10"/>
      <c r="AG529" s="10"/>
      <c r="AH529" s="10"/>
      <c r="AI529" s="10"/>
    </row>
    <row r="530" spans="1:35">
      <c r="A530" s="10"/>
      <c r="B530" s="10" t="str">
        <f t="shared" ref="B530:B531" si="202">+C530&amp;E530</f>
        <v>Above the Line</v>
      </c>
      <c r="C530" t="s">
        <v>7</v>
      </c>
      <c r="D530" t="s">
        <v>19</v>
      </c>
      <c r="E530" t="s">
        <v>214</v>
      </c>
      <c r="G530" t="s">
        <v>429</v>
      </c>
      <c r="I530" s="10"/>
      <c r="J530" s="107">
        <f>SUMIF(Data!C:C,G530,Data!Q:Q)</f>
        <v>0</v>
      </c>
      <c r="K530" s="107">
        <f>SUMIF(Comprometidos!A:A,'Cost Report'!G530,Comprometidos!E:E)</f>
        <v>0</v>
      </c>
      <c r="L530" s="107">
        <f t="shared" ref="L530:L531" si="203">+J530+K530</f>
        <v>0</v>
      </c>
      <c r="M530" s="107">
        <f t="shared" ref="M530" si="204">+O530-L530</f>
        <v>0</v>
      </c>
      <c r="N530" s="107">
        <f t="shared" ref="N530:N531" si="205">+L530+M530</f>
        <v>0</v>
      </c>
      <c r="O530" s="107">
        <f>VLOOKUP(G530,Budget!$E$3:$G$2474,3,0)</f>
        <v>0</v>
      </c>
      <c r="P530" s="107">
        <f t="shared" ref="P530:P533" si="206">+O530-N530</f>
        <v>0</v>
      </c>
      <c r="Q530" s="107"/>
      <c r="R530" s="10"/>
      <c r="S530" s="107">
        <v>0</v>
      </c>
      <c r="T530" s="107">
        <f t="shared" si="201"/>
        <v>0</v>
      </c>
      <c r="U530" s="107"/>
      <c r="V530" s="175"/>
      <c r="W530" s="10"/>
      <c r="X530" s="10"/>
      <c r="Y530" t="str">
        <f t="shared" ref="Y530:Y531" si="207">LEFT(G530,4)</f>
        <v>1643</v>
      </c>
      <c r="AB530" s="10"/>
      <c r="AC530" s="10"/>
      <c r="AD530" s="10"/>
      <c r="AE530" s="10"/>
      <c r="AF530" s="10"/>
      <c r="AG530" s="10"/>
      <c r="AH530" s="10"/>
      <c r="AI530" s="10"/>
    </row>
    <row r="531" spans="1:35">
      <c r="A531" s="10"/>
      <c r="B531" s="10" t="str">
        <f t="shared" si="202"/>
        <v>Above the LineALL SHOW</v>
      </c>
      <c r="C531" t="s">
        <v>7</v>
      </c>
      <c r="D531" t="s">
        <v>19</v>
      </c>
      <c r="E531" t="s">
        <v>227</v>
      </c>
      <c r="G531" t="s">
        <v>2371</v>
      </c>
      <c r="I531" s="10"/>
      <c r="J531" s="107">
        <f>SUMIF(Data!C:C,G531,Data!Q:Q)</f>
        <v>770.2120000000001</v>
      </c>
      <c r="K531" s="107">
        <f>SUMIF(Comprometidos!A:A,'Cost Report'!G531,Comprometidos!E:E)</f>
        <v>0</v>
      </c>
      <c r="L531" s="107">
        <f t="shared" si="203"/>
        <v>770.2120000000001</v>
      </c>
      <c r="M531" s="107">
        <v>0</v>
      </c>
      <c r="N531" s="107">
        <f t="shared" si="205"/>
        <v>770.2120000000001</v>
      </c>
      <c r="O531" s="107">
        <f>VLOOKUP(G531,Budget!$E$3:$G$2474,3,0)</f>
        <v>10500</v>
      </c>
      <c r="P531" s="107">
        <f t="shared" si="206"/>
        <v>9729.7880000000005</v>
      </c>
      <c r="Q531" s="107"/>
      <c r="R531" s="10"/>
      <c r="S531" s="107">
        <v>692.86000000000013</v>
      </c>
      <c r="T531" s="107">
        <f t="shared" si="201"/>
        <v>-77.351999999999975</v>
      </c>
      <c r="U531" s="107"/>
      <c r="V531" s="175"/>
      <c r="W531" s="10"/>
      <c r="X531" s="10"/>
      <c r="Y531" t="str">
        <f t="shared" si="207"/>
        <v>1643</v>
      </c>
      <c r="AB531" s="10"/>
      <c r="AC531" s="10"/>
      <c r="AD531" s="10"/>
      <c r="AE531" s="10"/>
      <c r="AF531" s="10"/>
      <c r="AG531" s="10"/>
      <c r="AH531" s="10"/>
      <c r="AI531" s="10"/>
    </row>
    <row r="532" spans="1:35">
      <c r="A532" s="10"/>
      <c r="B532" s="10" t="str">
        <f>+C532</f>
        <v>Above the Line</v>
      </c>
      <c r="C532" s="128" t="s">
        <v>7</v>
      </c>
      <c r="D532" s="128" t="s">
        <v>2117</v>
      </c>
      <c r="E532" s="128"/>
      <c r="F532" s="128"/>
      <c r="G532" s="128" t="s">
        <v>430</v>
      </c>
      <c r="H532" s="128"/>
      <c r="I532" s="10"/>
      <c r="J532" s="129">
        <f>SUMIF($Y$11:$Y$2484,G532,J$11:J$2484)</f>
        <v>556.89</v>
      </c>
      <c r="K532" s="129">
        <f>SUMIF($Y$11:$Y$2484,G532,K$11:K$2484)</f>
        <v>0</v>
      </c>
      <c r="L532" s="129">
        <f>SUMIF($Y$11:$Y$2484,G532,L$11:L$2484)</f>
        <v>556.89</v>
      </c>
      <c r="M532" s="129">
        <f>SUMIF($Y$11:$Y$2484,G532,M$11:M$2484)</f>
        <v>0</v>
      </c>
      <c r="N532" s="129">
        <f>SUMIF($Y$11:$Y$2484,G532,N$11:N$2484)</f>
        <v>556.89</v>
      </c>
      <c r="O532" s="129">
        <f>SUMIF($Y$11:$Y$2484,G532,O$11:O$2484)</f>
        <v>6795.5300000000007</v>
      </c>
      <c r="P532" s="129">
        <f>SUMIF($Y$11:$Y$2484,G532,P$11:P$2484)</f>
        <v>6238.64</v>
      </c>
      <c r="Q532" s="129"/>
      <c r="R532" s="10"/>
      <c r="S532" s="129">
        <v>556.89</v>
      </c>
      <c r="T532" s="129">
        <f t="shared" si="201"/>
        <v>0</v>
      </c>
      <c r="U532" s="128"/>
      <c r="V532" s="175"/>
      <c r="W532" s="10"/>
      <c r="X532" s="10"/>
      <c r="Z532" t="str">
        <f>LEFT(G532,2)</f>
        <v>16</v>
      </c>
      <c r="AA532" t="str">
        <f>+Z532&amp;"00"</f>
        <v>1600</v>
      </c>
      <c r="AB532" s="10"/>
      <c r="AC532" s="10"/>
      <c r="AD532" s="10"/>
      <c r="AE532" s="10"/>
      <c r="AF532" s="10"/>
      <c r="AG532" s="10"/>
      <c r="AH532" s="10"/>
      <c r="AI532" s="10"/>
    </row>
    <row r="533" spans="1:35">
      <c r="A533" s="10"/>
      <c r="B533" s="10" t="str">
        <f>+C533&amp;E533</f>
        <v>Above the LineFringes</v>
      </c>
      <c r="C533" t="s">
        <v>7</v>
      </c>
      <c r="D533" t="s">
        <v>19</v>
      </c>
      <c r="E533" t="s">
        <v>1898</v>
      </c>
      <c r="G533" t="s">
        <v>1418</v>
      </c>
      <c r="I533" s="10"/>
      <c r="J533" s="107">
        <f>SUMIF(Data!C:C,G533,Data!Q:Q)</f>
        <v>556.89</v>
      </c>
      <c r="K533" s="107">
        <f>SUMIF(Comprometidos!A:A,'Cost Report'!G533,Comprometidos!E:E)</f>
        <v>0</v>
      </c>
      <c r="L533" s="107">
        <f>+J533+K533</f>
        <v>556.89</v>
      </c>
      <c r="M533" s="107">
        <v>0</v>
      </c>
      <c r="N533" s="107">
        <f>+L533+M533</f>
        <v>556.89</v>
      </c>
      <c r="O533" s="107">
        <f>VLOOKUP(G533,Budget!$E$3:$G$2474,3,0)</f>
        <v>6795.5300000000007</v>
      </c>
      <c r="P533" s="107">
        <f t="shared" si="206"/>
        <v>6238.64</v>
      </c>
      <c r="Q533" s="107"/>
      <c r="R533" s="10"/>
      <c r="S533" s="107">
        <v>556.89</v>
      </c>
      <c r="T533" s="107">
        <f t="shared" si="201"/>
        <v>0</v>
      </c>
      <c r="U533" s="107"/>
      <c r="V533" s="175"/>
      <c r="W533" s="10"/>
      <c r="X533" s="10"/>
      <c r="Y533" t="str">
        <f>LEFT(G533,4)</f>
        <v>1699</v>
      </c>
      <c r="AB533" s="10"/>
      <c r="AC533" s="10"/>
      <c r="AD533" s="10"/>
      <c r="AE533" s="10"/>
      <c r="AF533" s="10"/>
      <c r="AG533" s="10"/>
      <c r="AH533" s="10"/>
      <c r="AI533" s="10"/>
    </row>
    <row r="534" spans="1:35">
      <c r="A534" s="10"/>
      <c r="B534" s="10"/>
      <c r="C534" s="170" t="s">
        <v>20</v>
      </c>
      <c r="D534" s="170" t="s">
        <v>8</v>
      </c>
      <c r="E534" s="170"/>
      <c r="F534" s="170"/>
      <c r="G534" s="170" t="s">
        <v>431</v>
      </c>
      <c r="H534" s="170"/>
      <c r="I534" s="10"/>
      <c r="J534" s="169">
        <f>SUMIF($AA$10:$AA$2484,G534,J$10:J$2484)</f>
        <v>7144077.9819999998</v>
      </c>
      <c r="K534" s="169">
        <f>SUMIF($AA$10:$AA$2484,G534,K$10:K$2484)</f>
        <v>0</v>
      </c>
      <c r="L534" s="169">
        <f>SUMIF($AA$10:$AA$2484,G534,L$10:L$2484)</f>
        <v>7144077.9819999998</v>
      </c>
      <c r="M534" s="169">
        <f>SUMIF($AA$10:$AA$2484,G534,M$10:M$2484)</f>
        <v>0</v>
      </c>
      <c r="N534" s="169">
        <f>SUMIF($AA$10:$AA$2484,G534,N$10:N$2484)</f>
        <v>7144077.9819999998</v>
      </c>
      <c r="O534" s="169">
        <f>SUMIF($AA$10:$AA$2484,G534,O$10:O$2484)</f>
        <v>6668300</v>
      </c>
      <c r="P534" s="168">
        <f>SUMIF($AA$10:$AA$2484,G534,P$10:P$2484)</f>
        <v>-475777.98199999996</v>
      </c>
      <c r="Q534" s="169"/>
      <c r="R534" s="10"/>
      <c r="S534" s="164">
        <v>7134206.7699999996</v>
      </c>
      <c r="T534" s="164">
        <f t="shared" si="201"/>
        <v>-9871.2120000002906</v>
      </c>
      <c r="U534" s="163"/>
      <c r="V534" s="175"/>
      <c r="W534" s="10"/>
      <c r="X534" s="10"/>
      <c r="AB534" s="10"/>
      <c r="AC534" s="10"/>
      <c r="AD534" s="10"/>
      <c r="AE534" s="10"/>
      <c r="AF534" s="10"/>
      <c r="AG534" s="10"/>
      <c r="AH534" s="10"/>
      <c r="AI534" s="10"/>
    </row>
    <row r="535" spans="1:35">
      <c r="A535" s="10"/>
      <c r="B535" s="10" t="str">
        <f>+C535</f>
        <v>Below the Line</v>
      </c>
      <c r="C535" s="128" t="s">
        <v>20</v>
      </c>
      <c r="D535" s="128" t="s">
        <v>2117</v>
      </c>
      <c r="E535" s="128"/>
      <c r="F535" s="128"/>
      <c r="G535" s="128" t="s">
        <v>432</v>
      </c>
      <c r="H535" s="128"/>
      <c r="I535" s="10"/>
      <c r="J535" s="129">
        <f>SUMIF($Y$11:$Y$2484,G535,J$11:J$2484)</f>
        <v>520000</v>
      </c>
      <c r="K535" s="129">
        <f>SUMIF($Y$11:$Y$2484,G535,K$11:K$2484)</f>
        <v>0</v>
      </c>
      <c r="L535" s="129">
        <f>SUMIF($Y$11:$Y$2484,G535,L$11:L$2484)</f>
        <v>520000</v>
      </c>
      <c r="M535" s="129">
        <f>SUMIF($Y$11:$Y$2484,G535,M$11:M$2484)</f>
        <v>0</v>
      </c>
      <c r="N535" s="129">
        <f>SUMIF($Y$11:$Y$2484,G535,N$11:N$2484)</f>
        <v>520000</v>
      </c>
      <c r="O535" s="129">
        <f>SUMIF($Y$11:$Y$2484,G535,O$11:O$2484)</f>
        <v>520000</v>
      </c>
      <c r="P535" s="129">
        <f>SUMIF($Y$11:$Y$2484,G535,P$11:P$2484)</f>
        <v>0</v>
      </c>
      <c r="Q535" s="129"/>
      <c r="R535" s="10"/>
      <c r="S535" s="129">
        <v>520000</v>
      </c>
      <c r="T535" s="129">
        <f t="shared" si="201"/>
        <v>0</v>
      </c>
      <c r="U535" s="128"/>
      <c r="V535" s="175"/>
      <c r="W535" s="10"/>
      <c r="X535" s="10"/>
      <c r="Z535" t="str">
        <f>LEFT(G535,2)</f>
        <v>20</v>
      </c>
      <c r="AA535" t="str">
        <f>+Z535&amp;"00"</f>
        <v>2000</v>
      </c>
      <c r="AB535" s="10"/>
      <c r="AC535" s="10"/>
      <c r="AD535" s="10"/>
      <c r="AE535" s="10"/>
      <c r="AF535" s="10"/>
      <c r="AG535" s="10"/>
      <c r="AH535" s="10"/>
      <c r="AI535" s="10"/>
    </row>
    <row r="536" spans="1:35">
      <c r="A536" s="10"/>
      <c r="B536" s="10" t="str">
        <f t="shared" ref="B536:B544" si="208">+C536&amp;E536</f>
        <v>Below the Line</v>
      </c>
      <c r="C536" t="s">
        <v>20</v>
      </c>
      <c r="D536" t="s">
        <v>19</v>
      </c>
      <c r="E536" t="s">
        <v>214</v>
      </c>
      <c r="G536" t="s">
        <v>178</v>
      </c>
      <c r="I536" s="10"/>
      <c r="J536" s="107">
        <f>SUMIF(Data!C:C,G536,Data!Q:Q)</f>
        <v>0</v>
      </c>
      <c r="K536" s="107">
        <f>SUMIF(Comprometidos!A:A,'Cost Report'!G536,Comprometidos!E:E)</f>
        <v>0</v>
      </c>
      <c r="L536" s="107">
        <f t="shared" ref="L536:L574" si="209">+J536+K536</f>
        <v>0</v>
      </c>
      <c r="M536" s="107">
        <f t="shared" ref="M536:M572" si="210">+O536-L536</f>
        <v>0</v>
      </c>
      <c r="N536" s="107">
        <f t="shared" ref="N536:N574" si="211">+L536+M536</f>
        <v>0</v>
      </c>
      <c r="O536" s="107">
        <f>VLOOKUP(G536,Budget!$E$3:$G$2474,3,0)</f>
        <v>0</v>
      </c>
      <c r="P536" s="107">
        <f t="shared" ref="P536:P574" si="212">+O536-N536</f>
        <v>0</v>
      </c>
      <c r="Q536" s="107"/>
      <c r="R536" s="10"/>
      <c r="S536" s="107">
        <v>0</v>
      </c>
      <c r="T536" s="107">
        <f t="shared" si="201"/>
        <v>0</v>
      </c>
      <c r="U536" s="107"/>
      <c r="V536" s="175"/>
      <c r="W536" s="10"/>
      <c r="X536" s="10"/>
      <c r="Y536" t="str">
        <f t="shared" ref="Y536:Y544" si="213">LEFT(G536,4)</f>
        <v>2001</v>
      </c>
      <c r="AB536" s="10"/>
      <c r="AC536" s="10"/>
      <c r="AD536" s="10"/>
      <c r="AE536" s="10"/>
      <c r="AF536" s="10"/>
      <c r="AG536" s="10"/>
      <c r="AH536" s="10"/>
      <c r="AI536" s="10"/>
    </row>
    <row r="537" spans="1:35">
      <c r="A537" s="10"/>
      <c r="B537" s="10" t="str">
        <f t="shared" si="208"/>
        <v>Below the LineSOFT</v>
      </c>
      <c r="C537" t="s">
        <v>20</v>
      </c>
      <c r="D537" t="s">
        <v>19</v>
      </c>
      <c r="E537" t="s">
        <v>233</v>
      </c>
      <c r="G537" t="s">
        <v>433</v>
      </c>
      <c r="I537" s="10"/>
      <c r="J537" s="107">
        <f>SUMIF(Data!C:C,G537,Data!Q:Q)</f>
        <v>60000</v>
      </c>
      <c r="K537" s="107">
        <f>SUMIF(Comprometidos!A:A,'Cost Report'!G537,Comprometidos!E:E)</f>
        <v>0</v>
      </c>
      <c r="L537" s="107">
        <f t="shared" si="209"/>
        <v>60000</v>
      </c>
      <c r="M537" s="107">
        <f t="shared" si="210"/>
        <v>0</v>
      </c>
      <c r="N537" s="107">
        <f t="shared" si="211"/>
        <v>60000</v>
      </c>
      <c r="O537" s="107">
        <f>VLOOKUP(G537,Budget!$E$3:$G$2474,3,0)</f>
        <v>60000</v>
      </c>
      <c r="P537" s="107">
        <f t="shared" si="212"/>
        <v>0</v>
      </c>
      <c r="Q537" s="107"/>
      <c r="R537" s="10"/>
      <c r="S537" s="107">
        <v>60000</v>
      </c>
      <c r="T537" s="107">
        <f t="shared" si="201"/>
        <v>0</v>
      </c>
      <c r="U537" s="107"/>
      <c r="V537" s="175"/>
      <c r="W537" s="10"/>
      <c r="X537" s="10"/>
      <c r="Y537" t="str">
        <f t="shared" si="213"/>
        <v>2001</v>
      </c>
      <c r="AB537" s="10"/>
      <c r="AC537" s="10"/>
      <c r="AD537" s="10"/>
      <c r="AE537" s="10"/>
      <c r="AF537" s="10"/>
      <c r="AG537" s="10"/>
      <c r="AH537" s="10"/>
      <c r="AI537" s="10"/>
    </row>
    <row r="538" spans="1:35">
      <c r="A538" s="10"/>
      <c r="B538" s="10" t="str">
        <f t="shared" si="208"/>
        <v>Below the LinePREP</v>
      </c>
      <c r="C538" t="s">
        <v>20</v>
      </c>
      <c r="D538" t="s">
        <v>19</v>
      </c>
      <c r="E538" t="s">
        <v>234</v>
      </c>
      <c r="G538" t="s">
        <v>434</v>
      </c>
      <c r="I538" s="10"/>
      <c r="J538" s="107">
        <f>SUMIF(Data!C:C,G538,Data!Q:Q)</f>
        <v>180000</v>
      </c>
      <c r="K538" s="107">
        <f>SUMIF(Comprometidos!A:A,'Cost Report'!G538,Comprometidos!E:E)</f>
        <v>0</v>
      </c>
      <c r="L538" s="107">
        <f t="shared" si="209"/>
        <v>180000</v>
      </c>
      <c r="M538" s="107">
        <f t="shared" si="210"/>
        <v>0</v>
      </c>
      <c r="N538" s="107">
        <f t="shared" si="211"/>
        <v>180000</v>
      </c>
      <c r="O538" s="107">
        <f>VLOOKUP(G538,Budget!$E$3:$G$2474,3,0)</f>
        <v>180000</v>
      </c>
      <c r="P538" s="107">
        <f t="shared" si="212"/>
        <v>0</v>
      </c>
      <c r="Q538" s="107"/>
      <c r="R538" s="10"/>
      <c r="S538" s="107">
        <v>180000</v>
      </c>
      <c r="T538" s="107">
        <f t="shared" si="201"/>
        <v>0</v>
      </c>
      <c r="U538" s="107"/>
      <c r="V538" s="175"/>
      <c r="W538" s="10"/>
      <c r="X538" s="10"/>
      <c r="Y538" t="str">
        <f t="shared" si="213"/>
        <v>2001</v>
      </c>
      <c r="AB538" s="10"/>
      <c r="AC538" s="10"/>
      <c r="AD538" s="10"/>
      <c r="AE538" s="10"/>
      <c r="AF538" s="10"/>
      <c r="AG538" s="10"/>
      <c r="AH538" s="10"/>
      <c r="AI538" s="10"/>
    </row>
    <row r="539" spans="1:35">
      <c r="A539" s="10"/>
      <c r="B539" s="10" t="str">
        <f t="shared" si="208"/>
        <v>Below the LineSHOOT</v>
      </c>
      <c r="C539" t="s">
        <v>20</v>
      </c>
      <c r="D539" t="s">
        <v>19</v>
      </c>
      <c r="E539" t="s">
        <v>236</v>
      </c>
      <c r="G539" t="s">
        <v>435</v>
      </c>
      <c r="I539" s="10"/>
      <c r="J539" s="107">
        <f>SUMIF(Data!C:C,G539,Data!Q:Q)</f>
        <v>140000</v>
      </c>
      <c r="K539" s="107">
        <f>SUMIF(Comprometidos!A:A,'Cost Report'!G539,Comprometidos!E:E)</f>
        <v>0</v>
      </c>
      <c r="L539" s="107">
        <f t="shared" si="209"/>
        <v>140000</v>
      </c>
      <c r="M539" s="107">
        <f t="shared" si="210"/>
        <v>0</v>
      </c>
      <c r="N539" s="107">
        <f t="shared" si="211"/>
        <v>140000</v>
      </c>
      <c r="O539" s="107">
        <f>VLOOKUP(G539,Budget!$E$3:$G$2474,3,0)</f>
        <v>140000</v>
      </c>
      <c r="P539" s="107">
        <f t="shared" si="212"/>
        <v>0</v>
      </c>
      <c r="Q539" s="107"/>
      <c r="R539" s="10"/>
      <c r="S539" s="107">
        <v>140000</v>
      </c>
      <c r="T539" s="107">
        <f t="shared" si="201"/>
        <v>0</v>
      </c>
      <c r="U539" s="107"/>
      <c r="V539" s="175"/>
      <c r="W539" s="10"/>
      <c r="X539" s="10"/>
      <c r="Y539" t="str">
        <f t="shared" si="213"/>
        <v>2001</v>
      </c>
      <c r="AB539" s="10"/>
      <c r="AC539" s="10"/>
      <c r="AD539" s="10"/>
      <c r="AE539" s="10"/>
      <c r="AF539" s="10"/>
      <c r="AG539" s="10"/>
      <c r="AH539" s="10"/>
      <c r="AI539" s="10"/>
    </row>
    <row r="540" spans="1:35">
      <c r="A540" s="10"/>
      <c r="B540" s="10" t="str">
        <f t="shared" si="208"/>
        <v>Below the LineWRAP</v>
      </c>
      <c r="C540" t="s">
        <v>20</v>
      </c>
      <c r="D540" t="s">
        <v>19</v>
      </c>
      <c r="E540" t="s">
        <v>238</v>
      </c>
      <c r="G540" t="s">
        <v>436</v>
      </c>
      <c r="I540" s="10"/>
      <c r="J540" s="107">
        <f>SUMIF(Data!C:C,G540,Data!Q:Q)</f>
        <v>60000</v>
      </c>
      <c r="K540" s="107">
        <f>SUMIF(Comprometidos!A:A,'Cost Report'!G540,Comprometidos!E:E)</f>
        <v>0</v>
      </c>
      <c r="L540" s="107">
        <f t="shared" si="209"/>
        <v>60000</v>
      </c>
      <c r="M540" s="107">
        <f t="shared" si="210"/>
        <v>0</v>
      </c>
      <c r="N540" s="107">
        <f t="shared" si="211"/>
        <v>60000</v>
      </c>
      <c r="O540" s="107">
        <f>VLOOKUP(G540,Budget!$E$3:$G$2474,3,0)</f>
        <v>60000</v>
      </c>
      <c r="P540" s="107">
        <f t="shared" si="212"/>
        <v>0</v>
      </c>
      <c r="Q540" s="107"/>
      <c r="R540" s="10"/>
      <c r="S540" s="107">
        <v>60000</v>
      </c>
      <c r="T540" s="107">
        <f t="shared" si="201"/>
        <v>0</v>
      </c>
      <c r="U540" s="107"/>
      <c r="V540" s="175"/>
      <c r="W540" s="10"/>
      <c r="X540" s="10"/>
      <c r="Y540" t="str">
        <f t="shared" si="213"/>
        <v>2001</v>
      </c>
      <c r="AB540" s="10"/>
      <c r="AC540" s="10"/>
      <c r="AD540" s="10"/>
      <c r="AE540" s="10"/>
      <c r="AF540" s="10"/>
      <c r="AG540" s="10"/>
      <c r="AH540" s="10"/>
      <c r="AI540" s="10"/>
    </row>
    <row r="541" spans="1:35">
      <c r="A541" s="10"/>
      <c r="B541" s="10" t="str">
        <f t="shared" si="208"/>
        <v>Below the Line</v>
      </c>
      <c r="C541" t="s">
        <v>20</v>
      </c>
      <c r="D541" t="s">
        <v>19</v>
      </c>
      <c r="E541" t="s">
        <v>214</v>
      </c>
      <c r="G541" t="s">
        <v>437</v>
      </c>
      <c r="I541" s="10"/>
      <c r="J541" s="107">
        <f>SUMIF(Data!C:C,G541,Data!Q:Q)</f>
        <v>0</v>
      </c>
      <c r="K541" s="107">
        <f>SUMIF(Comprometidos!A:A,'Cost Report'!G541,Comprometidos!E:E)</f>
        <v>0</v>
      </c>
      <c r="L541" s="107">
        <f t="shared" si="209"/>
        <v>0</v>
      </c>
      <c r="M541" s="107">
        <f t="shared" si="210"/>
        <v>0</v>
      </c>
      <c r="N541" s="107">
        <f t="shared" si="211"/>
        <v>0</v>
      </c>
      <c r="O541" s="107">
        <f>VLOOKUP(G541,Budget!$E$3:$G$2474,3,0)</f>
        <v>0</v>
      </c>
      <c r="P541" s="107">
        <f t="shared" si="212"/>
        <v>0</v>
      </c>
      <c r="Q541" s="107"/>
      <c r="R541" s="10"/>
      <c r="S541" s="107">
        <v>0</v>
      </c>
      <c r="T541" s="107">
        <f t="shared" si="201"/>
        <v>0</v>
      </c>
      <c r="U541" s="107"/>
      <c r="V541" s="175"/>
      <c r="W541" s="10"/>
      <c r="X541" s="10"/>
      <c r="Y541" t="str">
        <f t="shared" si="213"/>
        <v>2001</v>
      </c>
      <c r="AB541" s="10"/>
      <c r="AC541" s="10"/>
      <c r="AD541" s="10"/>
      <c r="AE541" s="10"/>
      <c r="AF541" s="10"/>
      <c r="AG541" s="10"/>
      <c r="AH541" s="10"/>
      <c r="AI541" s="10"/>
    </row>
    <row r="542" spans="1:35">
      <c r="A542" s="10"/>
      <c r="B542" s="10" t="str">
        <f t="shared" si="208"/>
        <v>Below the Line2nd Unit</v>
      </c>
      <c r="C542" t="s">
        <v>20</v>
      </c>
      <c r="D542" t="s">
        <v>19</v>
      </c>
      <c r="E542" t="s">
        <v>1419</v>
      </c>
      <c r="G542" t="s">
        <v>2372</v>
      </c>
      <c r="I542" s="10"/>
      <c r="J542" s="107">
        <f>SUMIF(Data!C:C,G542,Data!Q:Q)</f>
        <v>20000</v>
      </c>
      <c r="K542" s="107">
        <f>SUMIF(Comprometidos!A:A,'Cost Report'!G542,Comprometidos!E:E)</f>
        <v>0</v>
      </c>
      <c r="L542" s="107">
        <f t="shared" si="209"/>
        <v>20000</v>
      </c>
      <c r="M542" s="107">
        <f t="shared" si="210"/>
        <v>0</v>
      </c>
      <c r="N542" s="107">
        <f t="shared" si="211"/>
        <v>20000</v>
      </c>
      <c r="O542" s="107">
        <f>VLOOKUP(G542,Budget!$E$3:$G$2474,3,0)</f>
        <v>20000</v>
      </c>
      <c r="P542" s="107">
        <f t="shared" si="212"/>
        <v>0</v>
      </c>
      <c r="Q542" s="107"/>
      <c r="R542" s="10"/>
      <c r="S542" s="107">
        <v>20000</v>
      </c>
      <c r="T542" s="107">
        <f t="shared" si="201"/>
        <v>0</v>
      </c>
      <c r="U542" s="107"/>
      <c r="V542" s="175"/>
      <c r="W542" s="10"/>
      <c r="X542" s="10"/>
      <c r="Y542" t="str">
        <f t="shared" si="213"/>
        <v>2001</v>
      </c>
      <c r="AB542" s="10"/>
      <c r="AC542" s="10"/>
      <c r="AD542" s="10"/>
      <c r="AE542" s="10"/>
      <c r="AF542" s="10"/>
      <c r="AG542" s="10"/>
      <c r="AH542" s="10"/>
      <c r="AI542" s="10"/>
    </row>
    <row r="543" spans="1:35">
      <c r="A543" s="10"/>
      <c r="B543" s="10" t="str">
        <f t="shared" si="208"/>
        <v>Below the Line2nd Unit</v>
      </c>
      <c r="C543" t="s">
        <v>20</v>
      </c>
      <c r="D543" t="s">
        <v>19</v>
      </c>
      <c r="E543" t="s">
        <v>1419</v>
      </c>
      <c r="G543" t="s">
        <v>2373</v>
      </c>
      <c r="I543" s="10"/>
      <c r="J543" s="107">
        <f>SUMIF(Data!C:C,G543,Data!Q:Q)</f>
        <v>40000</v>
      </c>
      <c r="K543" s="107">
        <f>SUMIF(Comprometidos!A:A,'Cost Report'!G543,Comprometidos!E:E)</f>
        <v>0</v>
      </c>
      <c r="L543" s="107">
        <f t="shared" si="209"/>
        <v>40000</v>
      </c>
      <c r="M543" s="107">
        <f t="shared" si="210"/>
        <v>0</v>
      </c>
      <c r="N543" s="107">
        <f t="shared" si="211"/>
        <v>40000</v>
      </c>
      <c r="O543" s="107">
        <f>VLOOKUP(G543,Budget!$E$3:$G$2474,3,0)</f>
        <v>40000</v>
      </c>
      <c r="P543" s="107">
        <f t="shared" si="212"/>
        <v>0</v>
      </c>
      <c r="Q543" s="107"/>
      <c r="R543" s="10"/>
      <c r="S543" s="107">
        <v>40000</v>
      </c>
      <c r="T543" s="107">
        <f t="shared" si="201"/>
        <v>0</v>
      </c>
      <c r="U543" s="107"/>
      <c r="V543" s="175"/>
      <c r="W543" s="10"/>
      <c r="X543" s="10"/>
      <c r="Y543" t="str">
        <f t="shared" si="213"/>
        <v>2001</v>
      </c>
      <c r="AB543" s="10"/>
      <c r="AC543" s="10"/>
      <c r="AD543" s="10"/>
      <c r="AE543" s="10"/>
      <c r="AF543" s="10"/>
      <c r="AG543" s="10"/>
      <c r="AH543" s="10"/>
      <c r="AI543" s="10"/>
    </row>
    <row r="544" spans="1:35">
      <c r="A544" s="10"/>
      <c r="B544" s="10" t="str">
        <f t="shared" si="208"/>
        <v>Below the Line2nd Unit</v>
      </c>
      <c r="C544" t="s">
        <v>20</v>
      </c>
      <c r="D544" t="s">
        <v>19</v>
      </c>
      <c r="E544" t="s">
        <v>1419</v>
      </c>
      <c r="G544" t="s">
        <v>2374</v>
      </c>
      <c r="I544" s="10"/>
      <c r="J544" s="107">
        <f>SUMIF(Data!C:C,G544,Data!Q:Q)</f>
        <v>20000</v>
      </c>
      <c r="K544" s="107">
        <f>SUMIF(Comprometidos!A:A,'Cost Report'!G544,Comprometidos!E:E)</f>
        <v>0</v>
      </c>
      <c r="L544" s="107">
        <f t="shared" si="209"/>
        <v>20000</v>
      </c>
      <c r="M544" s="107">
        <f t="shared" si="210"/>
        <v>0</v>
      </c>
      <c r="N544" s="107">
        <f t="shared" si="211"/>
        <v>20000</v>
      </c>
      <c r="O544" s="107">
        <f>VLOOKUP(G544,Budget!$E$3:$G$2474,3,0)</f>
        <v>20000</v>
      </c>
      <c r="P544" s="107">
        <f t="shared" si="212"/>
        <v>0</v>
      </c>
      <c r="Q544" s="107"/>
      <c r="R544" s="10"/>
      <c r="S544" s="107">
        <v>20000</v>
      </c>
      <c r="T544" s="107">
        <f t="shared" si="201"/>
        <v>0</v>
      </c>
      <c r="U544" s="107"/>
      <c r="V544" s="175"/>
      <c r="W544" s="10"/>
      <c r="X544" s="10"/>
      <c r="Y544" t="str">
        <f t="shared" si="213"/>
        <v>2001</v>
      </c>
      <c r="AB544" s="10"/>
      <c r="AC544" s="10"/>
      <c r="AD544" s="10"/>
      <c r="AE544" s="10"/>
      <c r="AF544" s="10"/>
      <c r="AG544" s="10"/>
      <c r="AH544" s="10"/>
      <c r="AI544" s="10"/>
    </row>
    <row r="545" spans="1:35">
      <c r="A545" s="10"/>
      <c r="B545" s="10" t="str">
        <f>+C545</f>
        <v>Below the Line</v>
      </c>
      <c r="C545" s="128" t="s">
        <v>20</v>
      </c>
      <c r="D545" s="128" t="s">
        <v>2117</v>
      </c>
      <c r="E545" s="128"/>
      <c r="F545" s="128"/>
      <c r="G545" s="128" t="s">
        <v>438</v>
      </c>
      <c r="H545" s="128"/>
      <c r="I545" s="10"/>
      <c r="J545" s="129">
        <f>SUMIF($Y$11:$Y$2484,G545,J$11:J$2484)</f>
        <v>785134</v>
      </c>
      <c r="K545" s="129">
        <f>SUMIF($Y$11:$Y$2484,G545,K$11:K$2484)</f>
        <v>0</v>
      </c>
      <c r="L545" s="129">
        <f>SUMIF($Y$11:$Y$2484,G545,L$11:L$2484)</f>
        <v>785134</v>
      </c>
      <c r="M545" s="129">
        <f>SUMIF($Y$11:$Y$2484,G545,M$11:M$2484)</f>
        <v>0</v>
      </c>
      <c r="N545" s="129">
        <f>SUMIF($Y$11:$Y$2484,G545,N$11:N$2484)</f>
        <v>785134</v>
      </c>
      <c r="O545" s="129">
        <f>SUMIF($Y$11:$Y$2484,G545,O$11:O$2484)</f>
        <v>742500</v>
      </c>
      <c r="P545" s="129">
        <f>SUMIF($Y$11:$Y$2484,G545,P$11:P$2484)</f>
        <v>-42634</v>
      </c>
      <c r="Q545" s="129"/>
      <c r="R545" s="10"/>
      <c r="S545" s="129">
        <v>785134</v>
      </c>
      <c r="T545" s="129">
        <f t="shared" si="201"/>
        <v>0</v>
      </c>
      <c r="U545" s="128"/>
      <c r="V545" s="175"/>
      <c r="W545" s="10"/>
      <c r="X545" s="10"/>
      <c r="Z545" t="str">
        <f>LEFT(G545,2)</f>
        <v>20</v>
      </c>
      <c r="AA545" t="str">
        <f>+Z545&amp;"00"</f>
        <v>2000</v>
      </c>
      <c r="AB545" s="10"/>
      <c r="AC545" s="10"/>
      <c r="AD545" s="10"/>
      <c r="AE545" s="10"/>
      <c r="AF545" s="10"/>
      <c r="AG545" s="10"/>
      <c r="AH545" s="10"/>
      <c r="AI545" s="10"/>
    </row>
    <row r="546" spans="1:35">
      <c r="A546" s="10"/>
      <c r="B546" s="10" t="str">
        <f t="shared" ref="B546:B555" si="214">+C546&amp;E546</f>
        <v>Below the Line</v>
      </c>
      <c r="C546" t="s">
        <v>20</v>
      </c>
      <c r="D546" t="s">
        <v>19</v>
      </c>
      <c r="E546" t="s">
        <v>214</v>
      </c>
      <c r="G546" t="s">
        <v>439</v>
      </c>
      <c r="I546" s="10"/>
      <c r="J546" s="107">
        <f>SUMIF(Data!C:C,G546,Data!Q:Q)</f>
        <v>0</v>
      </c>
      <c r="K546" s="107">
        <f>SUMIF(Comprometidos!A:A,'Cost Report'!G546,Comprometidos!E:E)</f>
        <v>0</v>
      </c>
      <c r="L546" s="107">
        <f t="shared" si="209"/>
        <v>0</v>
      </c>
      <c r="M546" s="107">
        <f t="shared" si="210"/>
        <v>0</v>
      </c>
      <c r="N546" s="107">
        <f t="shared" si="211"/>
        <v>0</v>
      </c>
      <c r="O546" s="107">
        <f>VLOOKUP(G546,Budget!$E$3:$G$2474,3,0)</f>
        <v>0</v>
      </c>
      <c r="P546" s="107">
        <f t="shared" si="212"/>
        <v>0</v>
      </c>
      <c r="Q546" s="107"/>
      <c r="R546" s="10"/>
      <c r="S546" s="107">
        <v>0</v>
      </c>
      <c r="T546" s="107">
        <f t="shared" si="201"/>
        <v>0</v>
      </c>
      <c r="U546" s="107"/>
      <c r="V546" s="175"/>
      <c r="W546" s="10"/>
      <c r="X546" s="10"/>
      <c r="Y546" t="str">
        <f t="shared" ref="Y546:Y554" si="215">LEFT(G546,4)</f>
        <v>2003</v>
      </c>
      <c r="AB546" s="10"/>
      <c r="AC546" s="10"/>
      <c r="AD546" s="10"/>
      <c r="AE546" s="10"/>
      <c r="AF546" s="10"/>
      <c r="AG546" s="10"/>
      <c r="AH546" s="10"/>
      <c r="AI546" s="10"/>
    </row>
    <row r="547" spans="1:35">
      <c r="A547" s="10"/>
      <c r="B547" s="10" t="str">
        <f t="shared" si="214"/>
        <v>Below the LinePREP</v>
      </c>
      <c r="C547" t="s">
        <v>20</v>
      </c>
      <c r="D547" t="s">
        <v>19</v>
      </c>
      <c r="E547" t="s">
        <v>234</v>
      </c>
      <c r="G547" t="s">
        <v>440</v>
      </c>
      <c r="I547" s="10"/>
      <c r="J547" s="107">
        <f>SUMIF(Data!C:C,G547,Data!Q:Q)</f>
        <v>236250</v>
      </c>
      <c r="K547" s="107">
        <f>SUMIF(Comprometidos!A:A,'Cost Report'!G547,Comprometidos!E:E)</f>
        <v>0</v>
      </c>
      <c r="L547" s="107">
        <f t="shared" si="209"/>
        <v>236250</v>
      </c>
      <c r="M547" s="107">
        <f t="shared" si="210"/>
        <v>0</v>
      </c>
      <c r="N547" s="107">
        <f t="shared" si="211"/>
        <v>236250</v>
      </c>
      <c r="O547" s="107">
        <f>VLOOKUP(G547,Budget!$E$3:$G$2474,3,0)</f>
        <v>236250</v>
      </c>
      <c r="P547" s="107">
        <f t="shared" si="212"/>
        <v>0</v>
      </c>
      <c r="Q547" s="107"/>
      <c r="R547" s="10"/>
      <c r="S547" s="107">
        <v>236250</v>
      </c>
      <c r="T547" s="107">
        <f t="shared" si="201"/>
        <v>0</v>
      </c>
      <c r="U547" s="107"/>
      <c r="V547" s="175"/>
      <c r="W547" s="10"/>
      <c r="X547" s="10"/>
      <c r="Y547" t="str">
        <f t="shared" si="215"/>
        <v>2003</v>
      </c>
      <c r="AB547" s="10"/>
      <c r="AC547" s="10"/>
      <c r="AD547" s="10"/>
      <c r="AE547" s="10"/>
      <c r="AF547" s="10"/>
      <c r="AG547" s="10"/>
      <c r="AH547" s="10"/>
      <c r="AI547" s="10"/>
    </row>
    <row r="548" spans="1:35">
      <c r="A548" s="10"/>
      <c r="B548" s="10" t="str">
        <f t="shared" si="214"/>
        <v>Below the LineSHOOT</v>
      </c>
      <c r="C548" t="s">
        <v>20</v>
      </c>
      <c r="D548" t="s">
        <v>19</v>
      </c>
      <c r="E548" t="s">
        <v>236</v>
      </c>
      <c r="G548" t="s">
        <v>441</v>
      </c>
      <c r="I548" s="10"/>
      <c r="J548" s="107">
        <f>SUMIF(Data!C:C,G548,Data!Q:Q)</f>
        <v>148750</v>
      </c>
      <c r="K548" s="107">
        <f>SUMIF(Comprometidos!A:A,'Cost Report'!G548,Comprometidos!E:E)</f>
        <v>0</v>
      </c>
      <c r="L548" s="107">
        <f t="shared" si="209"/>
        <v>148750</v>
      </c>
      <c r="M548" s="107">
        <v>0</v>
      </c>
      <c r="N548" s="107">
        <f t="shared" si="211"/>
        <v>148750</v>
      </c>
      <c r="O548" s="107">
        <f>VLOOKUP(G548,Budget!$E$3:$G$2474,3,0)</f>
        <v>131250</v>
      </c>
      <c r="P548" s="107">
        <f t="shared" si="212"/>
        <v>-17500</v>
      </c>
      <c r="Q548" s="107"/>
      <c r="R548" s="10"/>
      <c r="S548" s="107">
        <v>148750</v>
      </c>
      <c r="T548" s="107">
        <f t="shared" si="201"/>
        <v>0</v>
      </c>
      <c r="U548" s="107"/>
      <c r="V548" s="175"/>
      <c r="W548" s="10"/>
      <c r="X548" s="10"/>
      <c r="Y548" t="str">
        <f t="shared" si="215"/>
        <v>2003</v>
      </c>
      <c r="AB548" s="10"/>
      <c r="AC548" s="10"/>
      <c r="AD548" s="10"/>
      <c r="AE548" s="10"/>
      <c r="AF548" s="10"/>
      <c r="AG548" s="10"/>
      <c r="AH548" s="10"/>
      <c r="AI548" s="10"/>
    </row>
    <row r="549" spans="1:35">
      <c r="A549" s="10"/>
      <c r="B549" s="10" t="str">
        <f t="shared" si="214"/>
        <v>Below the Line</v>
      </c>
      <c r="C549" t="s">
        <v>20</v>
      </c>
      <c r="D549" t="s">
        <v>19</v>
      </c>
      <c r="E549" t="s">
        <v>214</v>
      </c>
      <c r="G549" t="s">
        <v>1798</v>
      </c>
      <c r="I549" s="10"/>
      <c r="J549" s="107">
        <f>SUMIF(Data!C:C,G549,Data!Q:Q)</f>
        <v>0</v>
      </c>
      <c r="K549" s="107">
        <f>SUMIF(Comprometidos!A:A,'Cost Report'!G549,Comprometidos!E:E)</f>
        <v>0</v>
      </c>
      <c r="L549" s="107">
        <f t="shared" si="209"/>
        <v>0</v>
      </c>
      <c r="M549" s="107">
        <f t="shared" si="210"/>
        <v>0</v>
      </c>
      <c r="N549" s="107">
        <f t="shared" si="211"/>
        <v>0</v>
      </c>
      <c r="O549" s="107">
        <f>VLOOKUP(G549,Budget!$E$3:$G$2474,3,0)</f>
        <v>0</v>
      </c>
      <c r="P549" s="107">
        <f t="shared" si="212"/>
        <v>0</v>
      </c>
      <c r="Q549" s="107"/>
      <c r="R549" s="10"/>
      <c r="S549" s="107">
        <v>0</v>
      </c>
      <c r="T549" s="107">
        <f t="shared" si="201"/>
        <v>0</v>
      </c>
      <c r="U549" s="107"/>
      <c r="V549" s="175"/>
      <c r="W549" s="10"/>
      <c r="X549" s="10"/>
      <c r="Y549" t="str">
        <f t="shared" si="215"/>
        <v>2003</v>
      </c>
      <c r="AB549" s="10"/>
      <c r="AC549" s="10"/>
      <c r="AD549" s="10"/>
      <c r="AE549" s="10"/>
      <c r="AF549" s="10"/>
      <c r="AG549" s="10"/>
      <c r="AH549" s="10"/>
      <c r="AI549" s="10"/>
    </row>
    <row r="550" spans="1:35">
      <c r="A550" s="10"/>
      <c r="B550" s="10" t="str">
        <f t="shared" si="214"/>
        <v>Below the Line2nd Unit</v>
      </c>
      <c r="C550" t="s">
        <v>20</v>
      </c>
      <c r="D550" t="s">
        <v>19</v>
      </c>
      <c r="E550" t="s">
        <v>1419</v>
      </c>
      <c r="G550" t="s">
        <v>1799</v>
      </c>
      <c r="I550" s="10"/>
      <c r="J550" s="107">
        <f>SUMIF(Data!C:C,G550,Data!Q:Q)</f>
        <v>25000</v>
      </c>
      <c r="K550" s="107">
        <f>SUMIF(Comprometidos!A:A,'Cost Report'!G550,Comprometidos!E:E)</f>
        <v>0</v>
      </c>
      <c r="L550" s="107">
        <f t="shared" si="209"/>
        <v>25000</v>
      </c>
      <c r="M550" s="107">
        <f t="shared" si="210"/>
        <v>0</v>
      </c>
      <c r="N550" s="107">
        <f t="shared" si="211"/>
        <v>25000</v>
      </c>
      <c r="O550" s="107">
        <f>VLOOKUP(G550,Budget!$E$3:$G$2474,3,0)</f>
        <v>25000</v>
      </c>
      <c r="P550" s="107">
        <f t="shared" si="212"/>
        <v>0</v>
      </c>
      <c r="Q550" s="107"/>
      <c r="R550" s="10"/>
      <c r="S550" s="107">
        <v>25000</v>
      </c>
      <c r="T550" s="107">
        <f t="shared" si="201"/>
        <v>0</v>
      </c>
      <c r="U550" s="107"/>
      <c r="V550" s="175"/>
      <c r="W550" s="10"/>
      <c r="X550" s="10"/>
      <c r="Y550" t="str">
        <f t="shared" si="215"/>
        <v>2003</v>
      </c>
      <c r="AB550" s="10"/>
      <c r="AC550" s="10"/>
      <c r="AD550" s="10"/>
      <c r="AE550" s="10"/>
      <c r="AF550" s="10"/>
      <c r="AG550" s="10"/>
      <c r="AH550" s="10"/>
      <c r="AI550" s="10"/>
    </row>
    <row r="551" spans="1:35">
      <c r="A551" s="10"/>
      <c r="B551" s="10" t="str">
        <f t="shared" si="214"/>
        <v>Below the Line2nd Unit</v>
      </c>
      <c r="C551" t="s">
        <v>20</v>
      </c>
      <c r="D551" t="s">
        <v>19</v>
      </c>
      <c r="E551" t="s">
        <v>1419</v>
      </c>
      <c r="G551" t="s">
        <v>1800</v>
      </c>
      <c r="I551" s="10"/>
      <c r="J551" s="107">
        <f>SUMIF(Data!C:C,G551,Data!Q:Q)</f>
        <v>58334</v>
      </c>
      <c r="K551" s="107">
        <f>SUMIF(Comprometidos!A:A,'Cost Report'!G551,Comprometidos!E:E)</f>
        <v>0</v>
      </c>
      <c r="L551" s="107">
        <f t="shared" si="209"/>
        <v>58334</v>
      </c>
      <c r="M551" s="107">
        <v>0</v>
      </c>
      <c r="N551" s="107">
        <f t="shared" si="211"/>
        <v>58334</v>
      </c>
      <c r="O551" s="107">
        <f>VLOOKUP(G551,Budget!$E$3:$G$2474,3,0)</f>
        <v>50000</v>
      </c>
      <c r="P551" s="107">
        <f t="shared" si="212"/>
        <v>-8334</v>
      </c>
      <c r="Q551" s="107"/>
      <c r="R551" s="10"/>
      <c r="S551" s="107">
        <v>58334</v>
      </c>
      <c r="T551" s="107">
        <f t="shared" si="201"/>
        <v>0</v>
      </c>
      <c r="U551" s="107"/>
      <c r="V551" s="175"/>
      <c r="W551" s="10"/>
      <c r="X551" s="10"/>
      <c r="Y551" t="str">
        <f t="shared" si="215"/>
        <v>2003</v>
      </c>
      <c r="AB551" s="10"/>
      <c r="AC551" s="10"/>
      <c r="AD551" s="10"/>
      <c r="AE551" s="10"/>
      <c r="AF551" s="10"/>
      <c r="AG551" s="10"/>
      <c r="AH551" s="10"/>
      <c r="AI551" s="10"/>
    </row>
    <row r="552" spans="1:35">
      <c r="A552" s="10"/>
      <c r="B552" s="10" t="str">
        <f t="shared" si="214"/>
        <v>Below the Line</v>
      </c>
      <c r="C552" t="s">
        <v>20</v>
      </c>
      <c r="D552" t="s">
        <v>19</v>
      </c>
      <c r="E552" t="s">
        <v>214</v>
      </c>
      <c r="G552" t="s">
        <v>2375</v>
      </c>
      <c r="I552" s="10"/>
      <c r="J552" s="107">
        <f>SUMIF(Data!C:C,G552,Data!Q:Q)</f>
        <v>0</v>
      </c>
      <c r="K552" s="107">
        <f>SUMIF(Comprometidos!A:A,'Cost Report'!G552,Comprometidos!E:E)</f>
        <v>0</v>
      </c>
      <c r="L552" s="107">
        <f t="shared" si="209"/>
        <v>0</v>
      </c>
      <c r="M552" s="107">
        <f t="shared" si="210"/>
        <v>0</v>
      </c>
      <c r="N552" s="107">
        <f t="shared" si="211"/>
        <v>0</v>
      </c>
      <c r="O552" s="107">
        <f>VLOOKUP(G552,Budget!$E$3:$G$2474,3,0)</f>
        <v>0</v>
      </c>
      <c r="P552" s="107">
        <f t="shared" si="212"/>
        <v>0</v>
      </c>
      <c r="Q552" s="107"/>
      <c r="R552" s="10"/>
      <c r="S552" s="107">
        <v>0</v>
      </c>
      <c r="T552" s="107">
        <f t="shared" si="201"/>
        <v>0</v>
      </c>
      <c r="U552" s="107"/>
      <c r="V552" s="175"/>
      <c r="W552" s="10"/>
      <c r="X552" s="10"/>
      <c r="Y552" t="str">
        <f t="shared" si="215"/>
        <v>2003</v>
      </c>
      <c r="AB552" s="10"/>
      <c r="AC552" s="10"/>
      <c r="AD552" s="10"/>
      <c r="AE552" s="10"/>
      <c r="AF552" s="10"/>
      <c r="AG552" s="10"/>
      <c r="AH552" s="10"/>
      <c r="AI552" s="10"/>
    </row>
    <row r="553" spans="1:35">
      <c r="A553" s="10"/>
      <c r="B553" s="10" t="str">
        <f t="shared" si="214"/>
        <v>Below the LinePREP</v>
      </c>
      <c r="C553" t="s">
        <v>20</v>
      </c>
      <c r="D553" t="s">
        <v>19</v>
      </c>
      <c r="E553" t="s">
        <v>234</v>
      </c>
      <c r="G553" t="s">
        <v>2376</v>
      </c>
      <c r="I553" s="10"/>
      <c r="J553" s="107">
        <f>SUMIF(Data!C:C,G553,Data!Q:Q)</f>
        <v>125000</v>
      </c>
      <c r="K553" s="107">
        <f>SUMIF(Comprometidos!A:A,'Cost Report'!G553,Comprometidos!E:E)</f>
        <v>0</v>
      </c>
      <c r="L553" s="107">
        <f t="shared" si="209"/>
        <v>125000</v>
      </c>
      <c r="M553" s="107">
        <f t="shared" si="210"/>
        <v>0</v>
      </c>
      <c r="N553" s="107">
        <f t="shared" si="211"/>
        <v>125000</v>
      </c>
      <c r="O553" s="107">
        <f>VLOOKUP(G553,Budget!$E$3:$G$2474,3,0)</f>
        <v>125000</v>
      </c>
      <c r="P553" s="107">
        <f t="shared" si="212"/>
        <v>0</v>
      </c>
      <c r="Q553" s="107"/>
      <c r="R553" s="10"/>
      <c r="S553" s="107">
        <v>125000</v>
      </c>
      <c r="T553" s="107">
        <f t="shared" si="201"/>
        <v>0</v>
      </c>
      <c r="U553" s="107"/>
      <c r="V553" s="175"/>
      <c r="W553" s="10"/>
      <c r="X553" s="10"/>
      <c r="Y553" t="str">
        <f t="shared" si="215"/>
        <v>2003</v>
      </c>
      <c r="AB553" s="10"/>
      <c r="AC553" s="10"/>
      <c r="AD553" s="10"/>
      <c r="AE553" s="10"/>
      <c r="AF553" s="10"/>
      <c r="AG553" s="10"/>
      <c r="AH553" s="10"/>
      <c r="AI553" s="10"/>
    </row>
    <row r="554" spans="1:35">
      <c r="A554" s="10"/>
      <c r="B554" s="10" t="str">
        <f t="shared" si="214"/>
        <v>Below the LineSHOOT</v>
      </c>
      <c r="C554" t="s">
        <v>20</v>
      </c>
      <c r="D554" t="s">
        <v>19</v>
      </c>
      <c r="E554" t="s">
        <v>236</v>
      </c>
      <c r="G554" t="s">
        <v>2377</v>
      </c>
      <c r="I554" s="10"/>
      <c r="J554" s="107">
        <f>SUMIF(Data!C:C,G554,Data!Q:Q)</f>
        <v>175000</v>
      </c>
      <c r="K554" s="107">
        <f>SUMIF(Comprometidos!A:A,'Cost Report'!G554,Comprometidos!E:E)</f>
        <v>0</v>
      </c>
      <c r="L554" s="107">
        <f t="shared" si="209"/>
        <v>175000</v>
      </c>
      <c r="M554" s="107">
        <f t="shared" si="210"/>
        <v>0</v>
      </c>
      <c r="N554" s="107">
        <f t="shared" si="211"/>
        <v>175000</v>
      </c>
      <c r="O554" s="107">
        <f>VLOOKUP(G554,Budget!$E$3:$G$2474,3,0)</f>
        <v>175000</v>
      </c>
      <c r="P554" s="107">
        <f t="shared" si="212"/>
        <v>0</v>
      </c>
      <c r="Q554" s="107"/>
      <c r="R554" s="10"/>
      <c r="S554" s="107">
        <v>175000</v>
      </c>
      <c r="T554" s="107">
        <f t="shared" si="201"/>
        <v>0</v>
      </c>
      <c r="U554" s="107"/>
      <c r="V554" s="175"/>
      <c r="W554" s="10"/>
      <c r="X554" s="10"/>
      <c r="Y554" t="str">
        <f t="shared" si="215"/>
        <v>2003</v>
      </c>
      <c r="AB554" s="10"/>
      <c r="AC554" s="10"/>
      <c r="AD554" s="10"/>
      <c r="AE554" s="10"/>
      <c r="AF554" s="10"/>
      <c r="AG554" s="10"/>
      <c r="AH554" s="10"/>
      <c r="AI554" s="10"/>
    </row>
    <row r="555" spans="1:35">
      <c r="A555" s="10"/>
      <c r="B555" s="10" t="str">
        <f t="shared" si="214"/>
        <v>Below the LineSHOOT</v>
      </c>
      <c r="C555" t="s">
        <v>20</v>
      </c>
      <c r="D555" t="s">
        <v>19</v>
      </c>
      <c r="E555" t="s">
        <v>236</v>
      </c>
      <c r="G555" t="s">
        <v>3401</v>
      </c>
      <c r="I555" s="10"/>
      <c r="J555" s="107">
        <f>SUMIF(Data!C:C,G555,Data!Q:Q)</f>
        <v>16800</v>
      </c>
      <c r="K555" s="107">
        <f>SUMIF(Comprometidos!A:A,'Cost Report'!G555,Comprometidos!E:E)</f>
        <v>0</v>
      </c>
      <c r="L555" s="107">
        <f t="shared" ref="L555" si="216">+J555+K555</f>
        <v>16800</v>
      </c>
      <c r="M555" s="107">
        <v>0</v>
      </c>
      <c r="N555" s="107">
        <f t="shared" ref="N555" si="217">+L555+M555</f>
        <v>16800</v>
      </c>
      <c r="O555" s="107">
        <f>VLOOKUP(G555,Budget!$E$3:$G$2474,3,0)</f>
        <v>0</v>
      </c>
      <c r="P555" s="107">
        <f t="shared" ref="P555" si="218">+O555-N555</f>
        <v>-16800</v>
      </c>
      <c r="Q555" s="107" t="s">
        <v>3804</v>
      </c>
      <c r="R555" s="10"/>
      <c r="S555" s="107">
        <v>16800</v>
      </c>
      <c r="T555" s="107">
        <f t="shared" si="201"/>
        <v>0</v>
      </c>
      <c r="U555" s="107"/>
      <c r="V555" s="175"/>
      <c r="W555" s="10"/>
      <c r="X555" s="10"/>
      <c r="Y555" t="str">
        <f t="shared" ref="Y555" si="219">LEFT(G555,4)</f>
        <v>2003</v>
      </c>
      <c r="AB555" s="10"/>
      <c r="AC555" s="10"/>
      <c r="AD555" s="10"/>
      <c r="AE555" s="10"/>
      <c r="AF555" s="10"/>
      <c r="AG555" s="10"/>
      <c r="AH555" s="10"/>
      <c r="AI555" s="10"/>
    </row>
    <row r="556" spans="1:35">
      <c r="A556" s="10"/>
      <c r="B556" s="10" t="str">
        <f>+C556</f>
        <v>Below the Line</v>
      </c>
      <c r="C556" s="128" t="s">
        <v>20</v>
      </c>
      <c r="D556" s="128" t="s">
        <v>2117</v>
      </c>
      <c r="E556" s="128"/>
      <c r="F556" s="128"/>
      <c r="G556" s="128" t="s">
        <v>442</v>
      </c>
      <c r="H556" s="128"/>
      <c r="I556" s="10"/>
      <c r="J556" s="129">
        <f>SUMIF($Y$11:$Y$2484,G556,J$11:J$2484)</f>
        <v>577500</v>
      </c>
      <c r="K556" s="129">
        <f>SUMIF($Y$11:$Y$2484,G556,K$11:K$2484)</f>
        <v>0</v>
      </c>
      <c r="L556" s="129">
        <f>SUMIF($Y$11:$Y$2484,G556,L$11:L$2484)</f>
        <v>577500</v>
      </c>
      <c r="M556" s="129">
        <f>SUMIF($Y$11:$Y$2484,G556,M$11:M$2484)</f>
        <v>0</v>
      </c>
      <c r="N556" s="129">
        <f>SUMIF($Y$11:$Y$2484,G556,N$11:N$2484)</f>
        <v>577500</v>
      </c>
      <c r="O556" s="129">
        <f>SUMIF($Y$11:$Y$2484,G556,O$11:O$2484)</f>
        <v>551250</v>
      </c>
      <c r="P556" s="129">
        <f>SUMIF($Y$11:$Y$2484,G556,P$11:P$2484)</f>
        <v>-26250</v>
      </c>
      <c r="Q556" s="129"/>
      <c r="R556" s="10"/>
      <c r="S556" s="129">
        <v>577500</v>
      </c>
      <c r="T556" s="129">
        <f t="shared" si="201"/>
        <v>0</v>
      </c>
      <c r="U556" s="128"/>
      <c r="V556" s="175"/>
      <c r="W556" s="10"/>
      <c r="X556" s="10"/>
      <c r="Z556" t="str">
        <f>LEFT(G556,2)</f>
        <v>20</v>
      </c>
      <c r="AA556" t="str">
        <f>+Z556&amp;"00"</f>
        <v>2000</v>
      </c>
      <c r="AB556" s="10"/>
      <c r="AC556" s="10"/>
      <c r="AD556" s="10"/>
      <c r="AE556" s="10"/>
      <c r="AF556" s="10"/>
      <c r="AG556" s="10"/>
      <c r="AH556" s="10"/>
      <c r="AI556" s="10"/>
    </row>
    <row r="557" spans="1:35">
      <c r="A557" s="10"/>
      <c r="B557" s="10" t="str">
        <f t="shared" ref="B557:B560" si="220">+C557&amp;E557</f>
        <v>Below the Line</v>
      </c>
      <c r="C557" t="s">
        <v>20</v>
      </c>
      <c r="D557" t="s">
        <v>19</v>
      </c>
      <c r="E557" t="s">
        <v>214</v>
      </c>
      <c r="G557" t="s">
        <v>209</v>
      </c>
      <c r="I557" s="10"/>
      <c r="J557" s="107">
        <f>SUMIF(Data!C:C,G557,Data!Q:Q)</f>
        <v>0</v>
      </c>
      <c r="K557" s="107">
        <f>SUMIF(Comprometidos!A:A,'Cost Report'!G557,Comprometidos!E:E)</f>
        <v>0</v>
      </c>
      <c r="L557" s="107">
        <f t="shared" si="209"/>
        <v>0</v>
      </c>
      <c r="M557" s="107">
        <f t="shared" si="210"/>
        <v>0</v>
      </c>
      <c r="N557" s="107">
        <f t="shared" si="211"/>
        <v>0</v>
      </c>
      <c r="O557" s="107">
        <f>VLOOKUP(G557,Budget!$E$3:$G$2474,3,0)</f>
        <v>0</v>
      </c>
      <c r="P557" s="107">
        <f t="shared" si="212"/>
        <v>0</v>
      </c>
      <c r="Q557" s="107"/>
      <c r="R557" s="10"/>
      <c r="S557" s="107">
        <v>0</v>
      </c>
      <c r="T557" s="107">
        <f t="shared" si="201"/>
        <v>0</v>
      </c>
      <c r="U557" s="107"/>
      <c r="V557" s="175"/>
      <c r="W557" s="10"/>
      <c r="X557" s="10"/>
      <c r="Y557" t="str">
        <f t="shared" ref="Y557:Y560" si="221">LEFT(G557,4)</f>
        <v>2004</v>
      </c>
      <c r="AB557" s="10"/>
      <c r="AC557" s="10"/>
      <c r="AD557" s="10"/>
      <c r="AE557" s="10"/>
      <c r="AF557" s="10"/>
      <c r="AG557" s="10"/>
      <c r="AH557" s="10"/>
      <c r="AI557" s="10"/>
    </row>
    <row r="558" spans="1:35">
      <c r="A558" s="10"/>
      <c r="B558" s="10" t="str">
        <f t="shared" si="220"/>
        <v>Below the LineSOFT</v>
      </c>
      <c r="C558" t="s">
        <v>20</v>
      </c>
      <c r="D558" t="s">
        <v>19</v>
      </c>
      <c r="E558" t="s">
        <v>233</v>
      </c>
      <c r="G558" t="s">
        <v>443</v>
      </c>
      <c r="I558" s="10"/>
      <c r="J558" s="107">
        <f>SUMIF(Data!C:C,G558,Data!Q:Q)</f>
        <v>131250</v>
      </c>
      <c r="K558" s="107">
        <f>SUMIF(Comprometidos!A:A,'Cost Report'!G558,Comprometidos!E:E)</f>
        <v>0</v>
      </c>
      <c r="L558" s="107">
        <f t="shared" si="209"/>
        <v>131250</v>
      </c>
      <c r="M558" s="107">
        <f t="shared" si="210"/>
        <v>0</v>
      </c>
      <c r="N558" s="107">
        <f t="shared" si="211"/>
        <v>131250</v>
      </c>
      <c r="O558" s="107">
        <f>VLOOKUP(G558,Budget!$E$3:$G$2474,3,0)</f>
        <v>131250</v>
      </c>
      <c r="P558" s="107">
        <f t="shared" si="212"/>
        <v>0</v>
      </c>
      <c r="Q558" s="107"/>
      <c r="R558" s="10"/>
      <c r="S558" s="107">
        <v>131250</v>
      </c>
      <c r="T558" s="107">
        <f t="shared" si="201"/>
        <v>0</v>
      </c>
      <c r="U558" s="107"/>
      <c r="V558" s="175"/>
      <c r="W558" s="10"/>
      <c r="X558" s="10"/>
      <c r="Y558" t="str">
        <f t="shared" si="221"/>
        <v>2004</v>
      </c>
      <c r="AB558" s="10"/>
      <c r="AC558" s="10"/>
      <c r="AD558" s="10"/>
      <c r="AE558" s="10"/>
      <c r="AF558" s="10"/>
      <c r="AG558" s="10"/>
      <c r="AH558" s="10"/>
      <c r="AI558" s="10"/>
    </row>
    <row r="559" spans="1:35">
      <c r="A559" s="10"/>
      <c r="B559" s="10" t="str">
        <f t="shared" si="220"/>
        <v>Below the LinePREP</v>
      </c>
      <c r="C559" t="s">
        <v>20</v>
      </c>
      <c r="D559" t="s">
        <v>19</v>
      </c>
      <c r="E559" t="s">
        <v>234</v>
      </c>
      <c r="G559" t="s">
        <v>444</v>
      </c>
      <c r="I559" s="10"/>
      <c r="J559" s="107">
        <f>SUMIF(Data!C:C,G559,Data!Q:Q)</f>
        <v>236250</v>
      </c>
      <c r="K559" s="107">
        <f>SUMIF(Comprometidos!A:A,'Cost Report'!G559,Comprometidos!E:E)</f>
        <v>0</v>
      </c>
      <c r="L559" s="107">
        <f t="shared" si="209"/>
        <v>236250</v>
      </c>
      <c r="M559" s="107">
        <f t="shared" si="210"/>
        <v>0</v>
      </c>
      <c r="N559" s="107">
        <f t="shared" si="211"/>
        <v>236250</v>
      </c>
      <c r="O559" s="107">
        <f>VLOOKUP(G559,Budget!$E$3:$G$2474,3,0)</f>
        <v>236250</v>
      </c>
      <c r="P559" s="107">
        <f t="shared" si="212"/>
        <v>0</v>
      </c>
      <c r="Q559" s="107"/>
      <c r="R559" s="10"/>
      <c r="S559" s="107">
        <v>236250</v>
      </c>
      <c r="T559" s="107">
        <f t="shared" si="201"/>
        <v>0</v>
      </c>
      <c r="U559" s="107"/>
      <c r="V559" s="175"/>
      <c r="W559" s="10"/>
      <c r="X559" s="10"/>
      <c r="Y559" t="str">
        <f t="shared" si="221"/>
        <v>2004</v>
      </c>
      <c r="AB559" s="10"/>
      <c r="AC559" s="10"/>
      <c r="AD559" s="10"/>
      <c r="AE559" s="10"/>
      <c r="AF559" s="10"/>
      <c r="AG559" s="10"/>
      <c r="AH559" s="10"/>
      <c r="AI559" s="10"/>
    </row>
    <row r="560" spans="1:35">
      <c r="A560" s="10"/>
      <c r="B560" s="10" t="str">
        <f t="shared" si="220"/>
        <v>Below the LineSHOOT</v>
      </c>
      <c r="C560" t="s">
        <v>20</v>
      </c>
      <c r="D560" t="s">
        <v>19</v>
      </c>
      <c r="E560" t="s">
        <v>236</v>
      </c>
      <c r="G560" t="s">
        <v>2378</v>
      </c>
      <c r="I560" s="10"/>
      <c r="J560" s="107">
        <f>SUMIF(Data!C:C,G560,Data!Q:Q)</f>
        <v>210000</v>
      </c>
      <c r="K560" s="107">
        <f>SUMIF(Comprometidos!A:A,'Cost Report'!G560,Comprometidos!E:E)</f>
        <v>0</v>
      </c>
      <c r="L560" s="107">
        <f t="shared" si="209"/>
        <v>210000</v>
      </c>
      <c r="M560" s="107">
        <f>+O560-L560+26250</f>
        <v>0</v>
      </c>
      <c r="N560" s="107">
        <f t="shared" si="211"/>
        <v>210000</v>
      </c>
      <c r="O560" s="107">
        <f>VLOOKUP(G560,Budget!$E$3:$G$2474,3,0)</f>
        <v>183750</v>
      </c>
      <c r="P560" s="107">
        <f t="shared" si="212"/>
        <v>-26250</v>
      </c>
      <c r="Q560" s="107"/>
      <c r="R560" s="10"/>
      <c r="S560" s="107">
        <v>210000</v>
      </c>
      <c r="T560" s="107">
        <f t="shared" si="201"/>
        <v>0</v>
      </c>
      <c r="U560" s="107"/>
      <c r="V560" s="175"/>
      <c r="W560" s="10"/>
      <c r="X560" s="10"/>
      <c r="Y560" t="str">
        <f t="shared" si="221"/>
        <v>2004</v>
      </c>
      <c r="AB560" s="10"/>
      <c r="AC560" s="10"/>
      <c r="AD560" s="10"/>
      <c r="AE560" s="10"/>
      <c r="AF560" s="10"/>
      <c r="AG560" s="10"/>
      <c r="AH560" s="10"/>
      <c r="AI560" s="10"/>
    </row>
    <row r="561" spans="1:35">
      <c r="A561" s="10"/>
      <c r="B561" s="10" t="str">
        <f>+C561</f>
        <v>Below the Line</v>
      </c>
      <c r="C561" s="128" t="s">
        <v>20</v>
      </c>
      <c r="D561" s="128" t="s">
        <v>2117</v>
      </c>
      <c r="E561" s="128"/>
      <c r="F561" s="128"/>
      <c r="G561" s="128" t="s">
        <v>445</v>
      </c>
      <c r="H561" s="128"/>
      <c r="I561" s="10"/>
      <c r="J561" s="129">
        <f>SUMIF($Y$11:$Y$2484,G561,J$11:J$2484)</f>
        <v>683500</v>
      </c>
      <c r="K561" s="129">
        <f>SUMIF($Y$11:$Y$2484,G561,K$11:K$2484)</f>
        <v>0</v>
      </c>
      <c r="L561" s="129">
        <f>SUMIF($Y$11:$Y$2484,G561,L$11:L$2484)</f>
        <v>683500</v>
      </c>
      <c r="M561" s="129">
        <f>SUMIF($Y$11:$Y$2484,G561,M$11:M$2484)</f>
        <v>0</v>
      </c>
      <c r="N561" s="129">
        <f>SUMIF($Y$11:$Y$2484,G561,N$11:N$2484)</f>
        <v>683500</v>
      </c>
      <c r="O561" s="129">
        <f>SUMIF($Y$11:$Y$2484,G561,O$11:O$2484)</f>
        <v>673500</v>
      </c>
      <c r="P561" s="129">
        <f>SUMIF($Y$11:$Y$2484,G561,P$11:P$2484)</f>
        <v>-10000</v>
      </c>
      <c r="Q561" s="129"/>
      <c r="R561" s="10"/>
      <c r="S561" s="129">
        <v>683500</v>
      </c>
      <c r="T561" s="129">
        <f t="shared" si="201"/>
        <v>0</v>
      </c>
      <c r="U561" s="128"/>
      <c r="V561" s="175"/>
      <c r="W561" s="10"/>
      <c r="X561" s="10"/>
      <c r="Z561" t="str">
        <f>LEFT(G561,2)</f>
        <v>20</v>
      </c>
      <c r="AA561" t="str">
        <f>+Z561&amp;"00"</f>
        <v>2000</v>
      </c>
      <c r="AB561" s="10"/>
      <c r="AC561" s="10"/>
      <c r="AD561" s="10"/>
      <c r="AE561" s="10"/>
      <c r="AF561" s="10"/>
      <c r="AG561" s="10"/>
      <c r="AH561" s="10"/>
      <c r="AI561" s="10"/>
    </row>
    <row r="562" spans="1:35">
      <c r="A562" s="10"/>
      <c r="B562" s="10" t="str">
        <f t="shared" ref="B562:B574" si="222">+C562&amp;E562</f>
        <v>Below the Line</v>
      </c>
      <c r="C562" t="s">
        <v>20</v>
      </c>
      <c r="D562" t="s">
        <v>19</v>
      </c>
      <c r="E562" t="s">
        <v>214</v>
      </c>
      <c r="G562" t="s">
        <v>179</v>
      </c>
      <c r="I562" s="10"/>
      <c r="J562" s="107">
        <f>SUMIF(Data!C:C,G562,Data!Q:Q)</f>
        <v>0</v>
      </c>
      <c r="K562" s="107">
        <f>SUMIF(Comprometidos!A:A,'Cost Report'!G562,Comprometidos!E:E)</f>
        <v>0</v>
      </c>
      <c r="L562" s="107">
        <f t="shared" si="209"/>
        <v>0</v>
      </c>
      <c r="M562" s="107">
        <f t="shared" si="210"/>
        <v>0</v>
      </c>
      <c r="N562" s="107">
        <f t="shared" si="211"/>
        <v>0</v>
      </c>
      <c r="O562" s="107">
        <f>VLOOKUP(G562,Budget!$E$3:$G$2474,3,0)</f>
        <v>0</v>
      </c>
      <c r="P562" s="107">
        <f t="shared" si="212"/>
        <v>0</v>
      </c>
      <c r="Q562" s="107"/>
      <c r="R562" s="10"/>
      <c r="S562" s="107">
        <v>0</v>
      </c>
      <c r="T562" s="107">
        <f t="shared" si="201"/>
        <v>0</v>
      </c>
      <c r="U562" s="107"/>
      <c r="V562" s="175"/>
      <c r="W562" s="10"/>
      <c r="X562" s="10"/>
      <c r="Y562" t="str">
        <f t="shared" ref="Y562:Y574" si="223">LEFT(G562,4)</f>
        <v>2005</v>
      </c>
      <c r="AB562" s="10"/>
      <c r="AC562" s="10"/>
      <c r="AD562" s="10"/>
      <c r="AE562" s="10"/>
      <c r="AF562" s="10"/>
      <c r="AG562" s="10"/>
      <c r="AH562" s="10"/>
      <c r="AI562" s="10"/>
    </row>
    <row r="563" spans="1:35">
      <c r="A563" s="10"/>
      <c r="B563" s="10" t="str">
        <f t="shared" si="222"/>
        <v>Below the LineSOFT</v>
      </c>
      <c r="C563" t="s">
        <v>20</v>
      </c>
      <c r="D563" t="s">
        <v>19</v>
      </c>
      <c r="E563" t="s">
        <v>233</v>
      </c>
      <c r="G563" t="s">
        <v>446</v>
      </c>
      <c r="I563" s="10"/>
      <c r="J563" s="107">
        <f>SUMIF(Data!C:C,G563,Data!Q:Q)</f>
        <v>31500</v>
      </c>
      <c r="K563" s="107">
        <f>SUMIF(Comprometidos!A:A,'Cost Report'!G563,Comprometidos!E:E)</f>
        <v>0</v>
      </c>
      <c r="L563" s="107">
        <f t="shared" si="209"/>
        <v>31500</v>
      </c>
      <c r="M563" s="107">
        <f t="shared" si="210"/>
        <v>0</v>
      </c>
      <c r="N563" s="107">
        <f t="shared" si="211"/>
        <v>31500</v>
      </c>
      <c r="O563" s="107">
        <f>VLOOKUP(G563,Budget!$E$3:$G$2474,3,0)</f>
        <v>31500</v>
      </c>
      <c r="P563" s="107">
        <f t="shared" si="212"/>
        <v>0</v>
      </c>
      <c r="Q563" s="107"/>
      <c r="R563" s="10"/>
      <c r="S563" s="107">
        <v>31500</v>
      </c>
      <c r="T563" s="107">
        <f t="shared" si="201"/>
        <v>0</v>
      </c>
      <c r="U563" s="107"/>
      <c r="V563" s="175"/>
      <c r="W563" s="10"/>
      <c r="X563" s="10"/>
      <c r="Y563" t="str">
        <f t="shared" si="223"/>
        <v>2005</v>
      </c>
      <c r="AB563" s="10"/>
      <c r="AC563" s="10"/>
      <c r="AD563" s="10"/>
      <c r="AE563" s="10"/>
      <c r="AF563" s="10"/>
      <c r="AG563" s="10"/>
      <c r="AH563" s="10"/>
      <c r="AI563" s="10"/>
    </row>
    <row r="564" spans="1:35">
      <c r="A564" s="10"/>
      <c r="B564" s="10" t="str">
        <f t="shared" si="222"/>
        <v>Below the LinePREP</v>
      </c>
      <c r="C564" t="s">
        <v>20</v>
      </c>
      <c r="D564" t="s">
        <v>19</v>
      </c>
      <c r="E564" t="s">
        <v>234</v>
      </c>
      <c r="G564" t="s">
        <v>447</v>
      </c>
      <c r="I564" s="10"/>
      <c r="J564" s="107">
        <f>SUMIF(Data!C:C,G564,Data!Q:Q)</f>
        <v>141750</v>
      </c>
      <c r="K564" s="107">
        <f>SUMIF(Comprometidos!A:A,'Cost Report'!G564,Comprometidos!E:E)</f>
        <v>0</v>
      </c>
      <c r="L564" s="107">
        <f t="shared" si="209"/>
        <v>141750</v>
      </c>
      <c r="M564" s="107">
        <f t="shared" si="210"/>
        <v>0</v>
      </c>
      <c r="N564" s="107">
        <f t="shared" si="211"/>
        <v>141750</v>
      </c>
      <c r="O564" s="107">
        <f>VLOOKUP(G564,Budget!$E$3:$G$2474,3,0)</f>
        <v>141750</v>
      </c>
      <c r="P564" s="107">
        <f t="shared" si="212"/>
        <v>0</v>
      </c>
      <c r="Q564" s="107"/>
      <c r="R564" s="10"/>
      <c r="S564" s="107">
        <v>141750</v>
      </c>
      <c r="T564" s="107">
        <f t="shared" si="201"/>
        <v>0</v>
      </c>
      <c r="U564" s="107"/>
      <c r="V564" s="175"/>
      <c r="W564" s="10"/>
      <c r="X564" s="10"/>
      <c r="Y564" t="str">
        <f t="shared" si="223"/>
        <v>2005</v>
      </c>
      <c r="AB564" s="10"/>
      <c r="AC564" s="10"/>
      <c r="AD564" s="10"/>
      <c r="AE564" s="10"/>
      <c r="AF564" s="10"/>
      <c r="AG564" s="10"/>
      <c r="AH564" s="10"/>
      <c r="AI564" s="10"/>
    </row>
    <row r="565" spans="1:35">
      <c r="A565" s="10"/>
      <c r="B565" s="10" t="str">
        <f t="shared" si="222"/>
        <v>Below the LineSHOOT</v>
      </c>
      <c r="C565" t="s">
        <v>20</v>
      </c>
      <c r="D565" t="s">
        <v>19</v>
      </c>
      <c r="E565" t="s">
        <v>236</v>
      </c>
      <c r="G565" t="s">
        <v>448</v>
      </c>
      <c r="I565" s="10"/>
      <c r="J565" s="107">
        <f>SUMIF(Data!C:C,G565,Data!Q:Q)</f>
        <v>110250</v>
      </c>
      <c r="K565" s="107">
        <f>SUMIF(Comprometidos!A:A,'Cost Report'!G565,Comprometidos!E:E)</f>
        <v>0</v>
      </c>
      <c r="L565" s="107">
        <f t="shared" si="209"/>
        <v>110250</v>
      </c>
      <c r="M565" s="107">
        <f t="shared" si="210"/>
        <v>0</v>
      </c>
      <c r="N565" s="107">
        <f t="shared" si="211"/>
        <v>110250</v>
      </c>
      <c r="O565" s="107">
        <f>VLOOKUP(G565,Budget!$E$3:$G$2474,3,0)</f>
        <v>110250</v>
      </c>
      <c r="P565" s="107">
        <f t="shared" si="212"/>
        <v>0</v>
      </c>
      <c r="Q565" s="107"/>
      <c r="R565" s="10"/>
      <c r="S565" s="107">
        <v>110250</v>
      </c>
      <c r="T565" s="107">
        <f t="shared" si="201"/>
        <v>0</v>
      </c>
      <c r="U565" s="107"/>
      <c r="V565" s="175"/>
      <c r="W565" s="10"/>
      <c r="X565" s="10"/>
      <c r="Y565" t="str">
        <f t="shared" si="223"/>
        <v>2005</v>
      </c>
      <c r="AB565" s="10"/>
      <c r="AC565" s="10"/>
      <c r="AD565" s="10"/>
      <c r="AE565" s="10"/>
      <c r="AF565" s="10"/>
      <c r="AG565" s="10"/>
      <c r="AH565" s="10"/>
      <c r="AI565" s="10"/>
    </row>
    <row r="566" spans="1:35">
      <c r="A566" s="10"/>
      <c r="B566" s="10" t="str">
        <f t="shared" si="222"/>
        <v>Below the Line</v>
      </c>
      <c r="C566" t="s">
        <v>20</v>
      </c>
      <c r="D566" t="s">
        <v>19</v>
      </c>
      <c r="E566" t="s">
        <v>214</v>
      </c>
      <c r="G566" t="s">
        <v>449</v>
      </c>
      <c r="I566" s="10"/>
      <c r="J566" s="107">
        <f>SUMIF(Data!C:C,G566,Data!Q:Q)</f>
        <v>0</v>
      </c>
      <c r="K566" s="107">
        <f>SUMIF(Comprometidos!A:A,'Cost Report'!G566,Comprometidos!E:E)</f>
        <v>0</v>
      </c>
      <c r="L566" s="107">
        <f t="shared" si="209"/>
        <v>0</v>
      </c>
      <c r="M566" s="107">
        <f t="shared" si="210"/>
        <v>0</v>
      </c>
      <c r="N566" s="107">
        <f t="shared" si="211"/>
        <v>0</v>
      </c>
      <c r="O566" s="107">
        <f>VLOOKUP(G566,Budget!$E$3:$G$2474,3,0)</f>
        <v>0</v>
      </c>
      <c r="P566" s="107">
        <f t="shared" si="212"/>
        <v>0</v>
      </c>
      <c r="Q566" s="107"/>
      <c r="R566" s="10"/>
      <c r="S566" s="107">
        <v>0</v>
      </c>
      <c r="T566" s="107">
        <f t="shared" si="201"/>
        <v>0</v>
      </c>
      <c r="U566" s="107"/>
      <c r="V566" s="175"/>
      <c r="W566" s="10"/>
      <c r="X566" s="10"/>
      <c r="Y566" t="str">
        <f t="shared" si="223"/>
        <v>2005</v>
      </c>
      <c r="AB566" s="10"/>
      <c r="AC566" s="10"/>
      <c r="AD566" s="10"/>
      <c r="AE566" s="10"/>
      <c r="AF566" s="10"/>
      <c r="AG566" s="10"/>
      <c r="AH566" s="10"/>
      <c r="AI566" s="10"/>
    </row>
    <row r="567" spans="1:35">
      <c r="A567" s="10"/>
      <c r="B567" s="10" t="str">
        <f t="shared" si="222"/>
        <v>Below the LinePREP</v>
      </c>
      <c r="C567" t="s">
        <v>20</v>
      </c>
      <c r="D567" t="s">
        <v>19</v>
      </c>
      <c r="E567" t="s">
        <v>234</v>
      </c>
      <c r="G567" t="s">
        <v>450</v>
      </c>
      <c r="I567" s="10"/>
      <c r="J567" s="107">
        <f>SUMIF(Data!C:C,G567,Data!Q:Q)</f>
        <v>105000</v>
      </c>
      <c r="K567" s="107">
        <f>SUMIF(Comprometidos!A:A,'Cost Report'!G567,Comprometidos!E:E)</f>
        <v>0</v>
      </c>
      <c r="L567" s="107">
        <f t="shared" si="209"/>
        <v>105000</v>
      </c>
      <c r="M567" s="107">
        <f t="shared" si="210"/>
        <v>0</v>
      </c>
      <c r="N567" s="107">
        <f t="shared" si="211"/>
        <v>105000</v>
      </c>
      <c r="O567" s="107">
        <f>VLOOKUP(G567,Budget!$E$3:$G$2474,3,0)</f>
        <v>105000</v>
      </c>
      <c r="P567" s="107">
        <f t="shared" si="212"/>
        <v>0</v>
      </c>
      <c r="Q567" s="107"/>
      <c r="R567" s="10"/>
      <c r="S567" s="107">
        <v>105000</v>
      </c>
      <c r="T567" s="107">
        <f t="shared" si="201"/>
        <v>0</v>
      </c>
      <c r="U567" s="107"/>
      <c r="V567" s="175"/>
      <c r="W567" s="10"/>
      <c r="X567" s="10"/>
      <c r="Y567" t="str">
        <f t="shared" si="223"/>
        <v>2005</v>
      </c>
      <c r="AB567" s="10"/>
      <c r="AC567" s="10"/>
      <c r="AD567" s="10"/>
      <c r="AE567" s="10"/>
      <c r="AF567" s="10"/>
      <c r="AG567" s="10"/>
      <c r="AH567" s="10"/>
      <c r="AI567" s="10"/>
    </row>
    <row r="568" spans="1:35">
      <c r="A568" s="10"/>
      <c r="B568" s="10" t="str">
        <f t="shared" si="222"/>
        <v>Below the LineSHOOT</v>
      </c>
      <c r="C568" t="s">
        <v>20</v>
      </c>
      <c r="D568" t="s">
        <v>19</v>
      </c>
      <c r="E568" t="s">
        <v>236</v>
      </c>
      <c r="G568" t="s">
        <v>451</v>
      </c>
      <c r="I568" s="10"/>
      <c r="J568" s="107">
        <f>SUMIF(Data!C:C,G568,Data!Q:Q)</f>
        <v>85000</v>
      </c>
      <c r="K568" s="107">
        <f>SUMIF(Comprometidos!A:A,'Cost Report'!G568,Comprometidos!E:E)</f>
        <v>0</v>
      </c>
      <c r="L568" s="107">
        <f t="shared" si="209"/>
        <v>85000</v>
      </c>
      <c r="M568" s="107">
        <v>0</v>
      </c>
      <c r="N568" s="107">
        <f t="shared" si="211"/>
        <v>85000</v>
      </c>
      <c r="O568" s="107">
        <f>VLOOKUP(G568,Budget!$E$3:$G$2474,3,0)</f>
        <v>75000</v>
      </c>
      <c r="P568" s="107">
        <f t="shared" si="212"/>
        <v>-10000</v>
      </c>
      <c r="Q568" s="107"/>
      <c r="R568" s="10"/>
      <c r="S568" s="107">
        <v>85000</v>
      </c>
      <c r="T568" s="107">
        <f t="shared" si="201"/>
        <v>0</v>
      </c>
      <c r="U568" s="107"/>
      <c r="V568" s="175"/>
      <c r="W568" s="10"/>
      <c r="X568" s="10"/>
      <c r="Y568" t="str">
        <f t="shared" si="223"/>
        <v>2005</v>
      </c>
      <c r="AB568" s="10"/>
      <c r="AC568" s="10"/>
      <c r="AD568" s="10"/>
      <c r="AE568" s="10"/>
      <c r="AF568" s="10"/>
      <c r="AG568" s="10"/>
      <c r="AH568" s="10"/>
      <c r="AI568" s="10"/>
    </row>
    <row r="569" spans="1:35">
      <c r="A569" s="10"/>
      <c r="B569" s="10" t="str">
        <f t="shared" si="222"/>
        <v>Below the Line</v>
      </c>
      <c r="C569" t="s">
        <v>20</v>
      </c>
      <c r="D569" t="s">
        <v>19</v>
      </c>
      <c r="E569" t="s">
        <v>214</v>
      </c>
      <c r="G569" t="s">
        <v>452</v>
      </c>
      <c r="I569" s="10"/>
      <c r="J569" s="107">
        <f>SUMIF(Data!C:C,G569,Data!Q:Q)</f>
        <v>0</v>
      </c>
      <c r="K569" s="107">
        <f>SUMIF(Comprometidos!A:A,'Cost Report'!G569,Comprometidos!E:E)</f>
        <v>0</v>
      </c>
      <c r="L569" s="107">
        <f t="shared" si="209"/>
        <v>0</v>
      </c>
      <c r="M569" s="107">
        <f t="shared" si="210"/>
        <v>0</v>
      </c>
      <c r="N569" s="107">
        <f t="shared" si="211"/>
        <v>0</v>
      </c>
      <c r="O569" s="107">
        <f>VLOOKUP(G569,Budget!$E$3:$G$2474,3,0)</f>
        <v>0</v>
      </c>
      <c r="P569" s="107">
        <f t="shared" si="212"/>
        <v>0</v>
      </c>
      <c r="Q569" s="107"/>
      <c r="R569" s="10"/>
      <c r="S569" s="107">
        <v>0</v>
      </c>
      <c r="T569" s="107">
        <f t="shared" si="201"/>
        <v>0</v>
      </c>
      <c r="U569" s="107"/>
      <c r="V569" s="175"/>
      <c r="W569" s="10"/>
      <c r="X569" s="10"/>
      <c r="Y569" t="str">
        <f t="shared" si="223"/>
        <v>2005</v>
      </c>
      <c r="AB569" s="10"/>
      <c r="AC569" s="10"/>
      <c r="AD569" s="10"/>
      <c r="AE569" s="10"/>
      <c r="AF569" s="10"/>
      <c r="AG569" s="10"/>
      <c r="AH569" s="10"/>
      <c r="AI569" s="10"/>
    </row>
    <row r="570" spans="1:35">
      <c r="A570" s="10"/>
      <c r="B570" s="10" t="str">
        <f t="shared" si="222"/>
        <v>Below the LinePREP</v>
      </c>
      <c r="C570" t="s">
        <v>20</v>
      </c>
      <c r="D570" t="s">
        <v>19</v>
      </c>
      <c r="E570" t="s">
        <v>234</v>
      </c>
      <c r="G570" t="s">
        <v>2379</v>
      </c>
      <c r="I570" s="10"/>
      <c r="J570" s="107">
        <f>SUMIF(Data!C:C,G570,Data!Q:Q)</f>
        <v>60000</v>
      </c>
      <c r="K570" s="107">
        <f>SUMIF(Comprometidos!A:A,'Cost Report'!G570,Comprometidos!E:E)</f>
        <v>0</v>
      </c>
      <c r="L570" s="107">
        <f t="shared" si="209"/>
        <v>60000</v>
      </c>
      <c r="M570" s="107">
        <f t="shared" si="210"/>
        <v>0</v>
      </c>
      <c r="N570" s="107">
        <f t="shared" si="211"/>
        <v>60000</v>
      </c>
      <c r="O570" s="107">
        <f>VLOOKUP(G570,Budget!$E$3:$G$2474,3,0)</f>
        <v>60000</v>
      </c>
      <c r="P570" s="107">
        <f t="shared" si="212"/>
        <v>0</v>
      </c>
      <c r="Q570" s="107"/>
      <c r="R570" s="10"/>
      <c r="S570" s="107">
        <v>60000</v>
      </c>
      <c r="T570" s="107">
        <f t="shared" si="201"/>
        <v>0</v>
      </c>
      <c r="U570" s="107"/>
      <c r="V570" s="175"/>
      <c r="W570" s="10"/>
      <c r="X570" s="10"/>
      <c r="Y570" t="str">
        <f t="shared" si="223"/>
        <v>2005</v>
      </c>
      <c r="AB570" s="10"/>
      <c r="AC570" s="10"/>
      <c r="AD570" s="10"/>
      <c r="AE570" s="10"/>
      <c r="AF570" s="10"/>
      <c r="AG570" s="10"/>
      <c r="AH570" s="10"/>
      <c r="AI570" s="10"/>
    </row>
    <row r="571" spans="1:35">
      <c r="A571" s="10"/>
      <c r="B571" s="10" t="str">
        <f t="shared" si="222"/>
        <v>Below the LineSHOOT</v>
      </c>
      <c r="C571" t="s">
        <v>20</v>
      </c>
      <c r="D571" t="s">
        <v>19</v>
      </c>
      <c r="E571" t="s">
        <v>236</v>
      </c>
      <c r="G571" t="s">
        <v>2380</v>
      </c>
      <c r="I571" s="10"/>
      <c r="J571" s="107">
        <f>SUMIF(Data!C:C,G571,Data!Q:Q)</f>
        <v>105000</v>
      </c>
      <c r="K571" s="107">
        <f>SUMIF(Comprometidos!A:A,'Cost Report'!G571,Comprometidos!E:E)</f>
        <v>0</v>
      </c>
      <c r="L571" s="107">
        <f t="shared" si="209"/>
        <v>105000</v>
      </c>
      <c r="M571" s="107">
        <f t="shared" si="210"/>
        <v>0</v>
      </c>
      <c r="N571" s="107">
        <f t="shared" si="211"/>
        <v>105000</v>
      </c>
      <c r="O571" s="107">
        <f>VLOOKUP(G571,Budget!$E$3:$G$2474,3,0)</f>
        <v>105000</v>
      </c>
      <c r="P571" s="107">
        <f t="shared" si="212"/>
        <v>0</v>
      </c>
      <c r="Q571" s="107"/>
      <c r="R571" s="10"/>
      <c r="S571" s="107">
        <v>105000</v>
      </c>
      <c r="T571" s="107">
        <f t="shared" si="201"/>
        <v>0</v>
      </c>
      <c r="U571" s="107"/>
      <c r="V571" s="175"/>
      <c r="W571" s="10"/>
      <c r="X571" s="10"/>
      <c r="Y571" t="str">
        <f t="shared" si="223"/>
        <v>2005</v>
      </c>
      <c r="AB571" s="10"/>
      <c r="AC571" s="10"/>
      <c r="AD571" s="10"/>
      <c r="AE571" s="10"/>
      <c r="AF571" s="10"/>
      <c r="AG571" s="10"/>
      <c r="AH571" s="10"/>
      <c r="AI571" s="10"/>
    </row>
    <row r="572" spans="1:35">
      <c r="A572" s="10"/>
      <c r="B572" s="10" t="str">
        <f t="shared" si="222"/>
        <v>Below the Line</v>
      </c>
      <c r="C572" t="s">
        <v>20</v>
      </c>
      <c r="D572" t="s">
        <v>19</v>
      </c>
      <c r="E572" t="s">
        <v>214</v>
      </c>
      <c r="G572" t="s">
        <v>2381</v>
      </c>
      <c r="I572" s="10"/>
      <c r="J572" s="107">
        <f>SUMIF(Data!C:C,G572,Data!Q:Q)</f>
        <v>0</v>
      </c>
      <c r="K572" s="107">
        <f>SUMIF(Comprometidos!A:A,'Cost Report'!G572,Comprometidos!E:E)</f>
        <v>0</v>
      </c>
      <c r="L572" s="107">
        <f t="shared" si="209"/>
        <v>0</v>
      </c>
      <c r="M572" s="107">
        <f t="shared" si="210"/>
        <v>0</v>
      </c>
      <c r="N572" s="107">
        <f t="shared" si="211"/>
        <v>0</v>
      </c>
      <c r="O572" s="107">
        <f>VLOOKUP(G572,Budget!$E$3:$G$2474,3,0)</f>
        <v>0</v>
      </c>
      <c r="P572" s="107">
        <f t="shared" si="212"/>
        <v>0</v>
      </c>
      <c r="Q572" s="107"/>
      <c r="R572" s="10"/>
      <c r="S572" s="107">
        <v>0</v>
      </c>
      <c r="T572" s="107">
        <f t="shared" si="201"/>
        <v>0</v>
      </c>
      <c r="U572" s="107"/>
      <c r="V572" s="175"/>
      <c r="W572" s="10"/>
      <c r="X572" s="10"/>
      <c r="Y572" t="str">
        <f t="shared" si="223"/>
        <v>2005</v>
      </c>
      <c r="AB572" s="10"/>
      <c r="AC572" s="10"/>
      <c r="AD572" s="10"/>
      <c r="AE572" s="10"/>
      <c r="AF572" s="10"/>
      <c r="AG572" s="10"/>
      <c r="AH572" s="10"/>
      <c r="AI572" s="10"/>
    </row>
    <row r="573" spans="1:35">
      <c r="A573" s="10"/>
      <c r="B573" s="10" t="str">
        <f t="shared" si="222"/>
        <v>Below the Line2nd Unit</v>
      </c>
      <c r="C573" t="s">
        <v>20</v>
      </c>
      <c r="D573" t="s">
        <v>19</v>
      </c>
      <c r="E573" t="s">
        <v>1419</v>
      </c>
      <c r="G573" t="s">
        <v>2382</v>
      </c>
      <c r="I573" s="10"/>
      <c r="J573" s="107">
        <f>SUMIF(Data!C:C,G573,Data!Q:Q)</f>
        <v>0</v>
      </c>
      <c r="K573" s="107">
        <f>SUMIF(Comprometidos!A:A,'Cost Report'!G573,Comprometidos!E:E)</f>
        <v>0</v>
      </c>
      <c r="L573" s="107">
        <f t="shared" si="209"/>
        <v>0</v>
      </c>
      <c r="M573" s="107">
        <v>0</v>
      </c>
      <c r="N573" s="107">
        <f t="shared" si="211"/>
        <v>0</v>
      </c>
      <c r="O573" s="107">
        <f>VLOOKUP(G573,Budget!$E$3:$G$2474,3,0)</f>
        <v>15000</v>
      </c>
      <c r="P573" s="107">
        <f t="shared" si="212"/>
        <v>15000</v>
      </c>
      <c r="Q573" s="107"/>
      <c r="R573" s="10"/>
      <c r="S573" s="107">
        <v>0</v>
      </c>
      <c r="T573" s="107">
        <f t="shared" si="201"/>
        <v>0</v>
      </c>
      <c r="U573" s="107"/>
      <c r="V573" s="175"/>
      <c r="W573" s="10"/>
      <c r="X573" s="10"/>
      <c r="Y573" t="str">
        <f t="shared" si="223"/>
        <v>2005</v>
      </c>
      <c r="AB573" s="10"/>
      <c r="AC573" s="10"/>
      <c r="AD573" s="10"/>
      <c r="AE573" s="10"/>
      <c r="AF573" s="10"/>
      <c r="AG573" s="10"/>
      <c r="AH573" s="10"/>
      <c r="AI573" s="10"/>
    </row>
    <row r="574" spans="1:35">
      <c r="A574" s="10"/>
      <c r="B574" s="10" t="str">
        <f t="shared" si="222"/>
        <v>Below the Line2nd Unit</v>
      </c>
      <c r="C574" t="s">
        <v>20</v>
      </c>
      <c r="D574" t="s">
        <v>19</v>
      </c>
      <c r="E574" t="s">
        <v>1419</v>
      </c>
      <c r="G574" t="s">
        <v>2383</v>
      </c>
      <c r="I574" s="10"/>
      <c r="J574" s="107">
        <f>SUMIF(Data!C:C,G574,Data!Q:Q)</f>
        <v>45000</v>
      </c>
      <c r="K574" s="107">
        <f>SUMIF(Comprometidos!A:A,'Cost Report'!G574,Comprometidos!E:E)</f>
        <v>0</v>
      </c>
      <c r="L574" s="107">
        <f t="shared" si="209"/>
        <v>45000</v>
      </c>
      <c r="M574" s="107">
        <v>0</v>
      </c>
      <c r="N574" s="107">
        <f t="shared" si="211"/>
        <v>45000</v>
      </c>
      <c r="O574" s="107">
        <f>VLOOKUP(G574,Budget!$E$3:$G$2474,3,0)</f>
        <v>30000</v>
      </c>
      <c r="P574" s="107">
        <f t="shared" si="212"/>
        <v>-15000</v>
      </c>
      <c r="Q574" s="107"/>
      <c r="R574" s="10"/>
      <c r="S574" s="107">
        <v>45000</v>
      </c>
      <c r="T574" s="107">
        <f t="shared" si="201"/>
        <v>0</v>
      </c>
      <c r="U574" s="107"/>
      <c r="V574" s="175"/>
      <c r="W574" s="10"/>
      <c r="X574" s="10"/>
      <c r="Y574" t="str">
        <f t="shared" si="223"/>
        <v>2005</v>
      </c>
      <c r="AB574" s="10"/>
      <c r="AC574" s="10"/>
      <c r="AD574" s="10"/>
      <c r="AE574" s="10"/>
      <c r="AF574" s="10"/>
      <c r="AG574" s="10"/>
      <c r="AH574" s="10"/>
      <c r="AI574" s="10"/>
    </row>
    <row r="575" spans="1:35">
      <c r="A575" s="10"/>
      <c r="B575" s="10" t="str">
        <f>+C575</f>
        <v>Below the Line</v>
      </c>
      <c r="C575" s="128" t="s">
        <v>20</v>
      </c>
      <c r="D575" s="128" t="s">
        <v>2117</v>
      </c>
      <c r="E575" s="128"/>
      <c r="F575" s="128"/>
      <c r="G575" s="128" t="s">
        <v>453</v>
      </c>
      <c r="H575" s="128"/>
      <c r="I575" s="10"/>
      <c r="J575" s="129">
        <f>SUMIF($Y$11:$Y$2484,G575,J$11:J$2484)</f>
        <v>93750</v>
      </c>
      <c r="K575" s="129">
        <f>SUMIF($Y$11:$Y$2484,G575,K$11:K$2484)</f>
        <v>0</v>
      </c>
      <c r="L575" s="129">
        <f>SUMIF($Y$11:$Y$2484,G575,L$11:L$2484)</f>
        <v>93750</v>
      </c>
      <c r="M575" s="129">
        <f>SUMIF($Y$11:$Y$2484,G575,M$11:M$2484)</f>
        <v>0</v>
      </c>
      <c r="N575" s="129">
        <f>SUMIF($Y$11:$Y$2484,G575,N$11:N$2484)</f>
        <v>93750</v>
      </c>
      <c r="O575" s="129">
        <f>SUMIF($Y$11:$Y$2484,G575,O$11:O$2484)</f>
        <v>90000</v>
      </c>
      <c r="P575" s="129">
        <f>SUMIF($Y$11:$Y$2484,G575,P$11:P$2484)</f>
        <v>-3750</v>
      </c>
      <c r="Q575" s="129"/>
      <c r="R575" s="10"/>
      <c r="S575" s="129">
        <v>93750</v>
      </c>
      <c r="T575" s="129">
        <f t="shared" si="201"/>
        <v>0</v>
      </c>
      <c r="U575" s="128"/>
      <c r="V575" s="175"/>
      <c r="W575" s="10"/>
      <c r="X575" s="10"/>
      <c r="Z575" t="str">
        <f>LEFT(G575,2)</f>
        <v>20</v>
      </c>
      <c r="AA575" t="str">
        <f>+Z575&amp;"00"</f>
        <v>2000</v>
      </c>
      <c r="AB575" s="10"/>
      <c r="AC575" s="10"/>
      <c r="AD575" s="10"/>
      <c r="AE575" s="10"/>
      <c r="AF575" s="10"/>
      <c r="AG575" s="10"/>
      <c r="AH575" s="10"/>
      <c r="AI575" s="10"/>
    </row>
    <row r="576" spans="1:35">
      <c r="A576" s="10"/>
      <c r="B576" s="10" t="str">
        <f t="shared" ref="B576:B582" si="224">+C576&amp;E576</f>
        <v>Below the Line</v>
      </c>
      <c r="C576" t="s">
        <v>20</v>
      </c>
      <c r="D576" t="s">
        <v>19</v>
      </c>
      <c r="E576" t="s">
        <v>214</v>
      </c>
      <c r="G576" t="s">
        <v>454</v>
      </c>
      <c r="I576" s="10"/>
      <c r="J576" s="107">
        <f>SUMIF(Data!C:C,G576,Data!Q:Q)</f>
        <v>0</v>
      </c>
      <c r="K576" s="107">
        <f>SUMIF(Comprometidos!A:A,'Cost Report'!G576,Comprometidos!E:E)</f>
        <v>0</v>
      </c>
      <c r="L576" s="107">
        <f t="shared" ref="L576:L581" si="225">+J576+K576</f>
        <v>0</v>
      </c>
      <c r="M576" s="107">
        <f t="shared" ref="M576:M580" si="226">+O576-L576</f>
        <v>0</v>
      </c>
      <c r="N576" s="107">
        <f t="shared" ref="N576:N581" si="227">+L576+M576</f>
        <v>0</v>
      </c>
      <c r="O576" s="107">
        <f>VLOOKUP(G576,Budget!$E$3:$G$2474,3,0)</f>
        <v>0</v>
      </c>
      <c r="P576" s="107">
        <f t="shared" ref="P576:P581" si="228">+O576-N576</f>
        <v>0</v>
      </c>
      <c r="Q576" s="107"/>
      <c r="R576" s="10"/>
      <c r="S576" s="107">
        <v>0</v>
      </c>
      <c r="T576" s="107">
        <f t="shared" si="201"/>
        <v>0</v>
      </c>
      <c r="U576" s="107"/>
      <c r="V576" s="175"/>
      <c r="W576" s="10"/>
      <c r="X576" s="10"/>
      <c r="Y576" t="str">
        <f t="shared" ref="Y576:Y582" si="229">LEFT(G576,4)</f>
        <v>2006</v>
      </c>
      <c r="AB576" s="10"/>
      <c r="AC576" s="10"/>
      <c r="AD576" s="10"/>
      <c r="AE576" s="10"/>
      <c r="AF576" s="10"/>
      <c r="AG576" s="10"/>
      <c r="AH576" s="10"/>
      <c r="AI576" s="10"/>
    </row>
    <row r="577" spans="1:35">
      <c r="A577" s="10"/>
      <c r="B577" s="10" t="str">
        <f t="shared" si="224"/>
        <v>Below the LinePREP</v>
      </c>
      <c r="C577" t="s">
        <v>20</v>
      </c>
      <c r="D577" t="s">
        <v>19</v>
      </c>
      <c r="E577" t="s">
        <v>234</v>
      </c>
      <c r="G577" t="s">
        <v>455</v>
      </c>
      <c r="I577" s="10"/>
      <c r="J577" s="107">
        <f>SUMIF(Data!C:C,G577,Data!Q:Q)</f>
        <v>15000</v>
      </c>
      <c r="K577" s="107">
        <f>SUMIF(Comprometidos!A:A,'Cost Report'!G577,Comprometidos!E:E)</f>
        <v>0</v>
      </c>
      <c r="L577" s="107">
        <f t="shared" si="225"/>
        <v>15000</v>
      </c>
      <c r="M577" s="107">
        <f t="shared" si="226"/>
        <v>0</v>
      </c>
      <c r="N577" s="107">
        <f t="shared" si="227"/>
        <v>15000</v>
      </c>
      <c r="O577" s="107">
        <f>VLOOKUP(G577,Budget!$E$3:$G$2474,3,0)</f>
        <v>15000</v>
      </c>
      <c r="P577" s="107">
        <f t="shared" si="228"/>
        <v>0</v>
      </c>
      <c r="Q577" s="107"/>
      <c r="R577" s="10"/>
      <c r="S577" s="107">
        <v>15000</v>
      </c>
      <c r="T577" s="107">
        <f t="shared" si="201"/>
        <v>0</v>
      </c>
      <c r="U577" s="107"/>
      <c r="V577" s="175"/>
      <c r="W577" s="10"/>
      <c r="X577" s="10"/>
      <c r="Y577" t="str">
        <f t="shared" si="229"/>
        <v>2006</v>
      </c>
      <c r="AB577" s="10"/>
      <c r="AC577" s="10"/>
      <c r="AD577" s="10"/>
      <c r="AE577" s="10"/>
      <c r="AF577" s="10"/>
      <c r="AG577" s="10"/>
      <c r="AH577" s="10"/>
      <c r="AI577" s="10"/>
    </row>
    <row r="578" spans="1:35">
      <c r="A578" s="10"/>
      <c r="B578" s="10" t="str">
        <f t="shared" si="224"/>
        <v>Below the LineSHOOT</v>
      </c>
      <c r="C578" t="s">
        <v>20</v>
      </c>
      <c r="D578" t="s">
        <v>19</v>
      </c>
      <c r="E578" t="s">
        <v>236</v>
      </c>
      <c r="F578" t="s">
        <v>5396</v>
      </c>
      <c r="G578" t="s">
        <v>456</v>
      </c>
      <c r="I578" s="10"/>
      <c r="J578" s="107">
        <f>SUMIF(Data!C:C,G578,Data!Q:Q)</f>
        <v>52500</v>
      </c>
      <c r="K578" s="107">
        <f>SUMIF(Comprometidos!A:A,'Cost Report'!G578,Comprometidos!E:E)</f>
        <v>0</v>
      </c>
      <c r="L578" s="107">
        <f t="shared" si="225"/>
        <v>52500</v>
      </c>
      <c r="M578" s="107">
        <v>0</v>
      </c>
      <c r="N578" s="107">
        <f t="shared" si="227"/>
        <v>52500</v>
      </c>
      <c r="O578" s="107">
        <f>VLOOKUP(G578,Budget!$E$3:$G$2474,3,0)</f>
        <v>52500</v>
      </c>
      <c r="P578" s="107">
        <f t="shared" si="228"/>
        <v>0</v>
      </c>
      <c r="Q578" s="107"/>
      <c r="R578" s="10"/>
      <c r="S578" s="107">
        <v>52500</v>
      </c>
      <c r="T578" s="107">
        <f t="shared" si="201"/>
        <v>0</v>
      </c>
      <c r="U578" s="107"/>
      <c r="V578" s="175"/>
      <c r="W578" s="10"/>
      <c r="X578" s="10"/>
      <c r="Y578" t="str">
        <f t="shared" si="229"/>
        <v>2006</v>
      </c>
      <c r="AB578" s="10"/>
      <c r="AC578" s="10"/>
      <c r="AD578" s="10"/>
      <c r="AE578" s="10"/>
      <c r="AF578" s="10"/>
      <c r="AG578" s="10"/>
      <c r="AH578" s="10"/>
      <c r="AI578" s="10"/>
    </row>
    <row r="579" spans="1:35">
      <c r="A579" s="10"/>
      <c r="B579" s="10" t="str">
        <f t="shared" si="224"/>
        <v>Below the Line</v>
      </c>
      <c r="C579" t="s">
        <v>20</v>
      </c>
      <c r="D579" t="s">
        <v>19</v>
      </c>
      <c r="E579" t="s">
        <v>214</v>
      </c>
      <c r="G579" t="s">
        <v>2384</v>
      </c>
      <c r="I579" s="10"/>
      <c r="J579" s="107">
        <f>SUMIF(Data!C:C,G579,Data!Q:Q)</f>
        <v>0</v>
      </c>
      <c r="K579" s="107">
        <f>SUMIF(Comprometidos!A:A,'Cost Report'!G579,Comprometidos!E:E)</f>
        <v>0</v>
      </c>
      <c r="L579" s="107">
        <f t="shared" si="225"/>
        <v>0</v>
      </c>
      <c r="M579" s="107">
        <f t="shared" si="226"/>
        <v>0</v>
      </c>
      <c r="N579" s="107">
        <f t="shared" si="227"/>
        <v>0</v>
      </c>
      <c r="O579" s="107">
        <f>VLOOKUP(G579,Budget!$E$3:$G$2474,3,0)</f>
        <v>0</v>
      </c>
      <c r="P579" s="107">
        <f t="shared" si="228"/>
        <v>0</v>
      </c>
      <c r="Q579" s="107"/>
      <c r="R579" s="10"/>
      <c r="S579" s="107">
        <v>0</v>
      </c>
      <c r="T579" s="107">
        <f t="shared" si="201"/>
        <v>0</v>
      </c>
      <c r="U579" s="107"/>
      <c r="V579" s="175"/>
      <c r="W579" s="10"/>
      <c r="X579" s="10"/>
      <c r="Y579" t="str">
        <f t="shared" si="229"/>
        <v>2006</v>
      </c>
      <c r="AB579" s="10"/>
      <c r="AC579" s="10"/>
      <c r="AD579" s="10"/>
      <c r="AE579" s="10"/>
      <c r="AF579" s="10"/>
      <c r="AG579" s="10"/>
      <c r="AH579" s="10"/>
      <c r="AI579" s="10"/>
    </row>
    <row r="580" spans="1:35">
      <c r="A580" s="10"/>
      <c r="B580" s="10" t="str">
        <f t="shared" si="224"/>
        <v>Below the Line2nd Unit</v>
      </c>
      <c r="C580" t="s">
        <v>20</v>
      </c>
      <c r="D580" t="s">
        <v>19</v>
      </c>
      <c r="E580" t="s">
        <v>1419</v>
      </c>
      <c r="G580" t="s">
        <v>2385</v>
      </c>
      <c r="I580" s="10"/>
      <c r="J580" s="107">
        <f>SUMIF(Data!C:C,G580,Data!Q:Q)</f>
        <v>7500</v>
      </c>
      <c r="K580" s="107">
        <f>SUMIF(Comprometidos!A:A,'Cost Report'!G580,Comprometidos!E:E)</f>
        <v>0</v>
      </c>
      <c r="L580" s="107">
        <f t="shared" si="225"/>
        <v>7500</v>
      </c>
      <c r="M580" s="107">
        <f t="shared" si="226"/>
        <v>0</v>
      </c>
      <c r="N580" s="107">
        <f t="shared" si="227"/>
        <v>7500</v>
      </c>
      <c r="O580" s="107">
        <f>VLOOKUP(G580,Budget!$E$3:$G$2474,3,0)</f>
        <v>7500</v>
      </c>
      <c r="P580" s="107">
        <f t="shared" si="228"/>
        <v>0</v>
      </c>
      <c r="Q580" s="107"/>
      <c r="R580" s="10"/>
      <c r="S580" s="107">
        <v>7500</v>
      </c>
      <c r="T580" s="107">
        <f t="shared" si="201"/>
        <v>0</v>
      </c>
      <c r="U580" s="107"/>
      <c r="V580" s="175"/>
      <c r="W580" s="10"/>
      <c r="X580" s="10"/>
      <c r="Y580" t="str">
        <f t="shared" si="229"/>
        <v>2006</v>
      </c>
      <c r="AB580" s="10"/>
      <c r="AC580" s="10"/>
      <c r="AD580" s="10"/>
      <c r="AE580" s="10"/>
      <c r="AF580" s="10"/>
      <c r="AG580" s="10"/>
      <c r="AH580" s="10"/>
      <c r="AI580" s="10"/>
    </row>
    <row r="581" spans="1:35">
      <c r="A581" s="10"/>
      <c r="B581" s="10" t="str">
        <f t="shared" si="224"/>
        <v>Below the Line2nd Unit</v>
      </c>
      <c r="C581" t="s">
        <v>20</v>
      </c>
      <c r="D581" t="s">
        <v>19</v>
      </c>
      <c r="E581" t="s">
        <v>1419</v>
      </c>
      <c r="F581" t="s">
        <v>5396</v>
      </c>
      <c r="G581" t="s">
        <v>2386</v>
      </c>
      <c r="I581" s="10"/>
      <c r="J581" s="107">
        <f>SUMIF(Data!C:C,G581,Data!Q:Q)</f>
        <v>13750</v>
      </c>
      <c r="K581" s="107">
        <f>SUMIF(Comprometidos!A:A,'Cost Report'!G581,Comprometidos!E:E)</f>
        <v>0</v>
      </c>
      <c r="L581" s="107">
        <f t="shared" si="225"/>
        <v>13750</v>
      </c>
      <c r="M581" s="107">
        <v>0</v>
      </c>
      <c r="N581" s="107">
        <f t="shared" si="227"/>
        <v>13750</v>
      </c>
      <c r="O581" s="107">
        <f>VLOOKUP(G581,Budget!$E$3:$G$2474,3,0)</f>
        <v>15000</v>
      </c>
      <c r="P581" s="107">
        <f t="shared" si="228"/>
        <v>1250</v>
      </c>
      <c r="Q581" s="107"/>
      <c r="R581" s="10"/>
      <c r="S581" s="107">
        <v>13750</v>
      </c>
      <c r="T581" s="107">
        <f t="shared" si="201"/>
        <v>0</v>
      </c>
      <c r="U581" s="107"/>
      <c r="V581" s="175"/>
      <c r="W581" s="10"/>
      <c r="X581" s="10"/>
      <c r="Y581" t="str">
        <f t="shared" si="229"/>
        <v>2006</v>
      </c>
      <c r="AB581" s="10"/>
      <c r="AC581" s="10"/>
      <c r="AD581" s="10"/>
      <c r="AE581" s="10"/>
      <c r="AF581" s="10"/>
      <c r="AG581" s="10"/>
      <c r="AH581" s="10"/>
      <c r="AI581" s="10"/>
    </row>
    <row r="582" spans="1:35">
      <c r="A582" s="10"/>
      <c r="B582" s="10" t="str">
        <f t="shared" si="224"/>
        <v>Below the Line2nd Unit</v>
      </c>
      <c r="C582" t="s">
        <v>20</v>
      </c>
      <c r="D582" t="s">
        <v>19</v>
      </c>
      <c r="E582" t="s">
        <v>1419</v>
      </c>
      <c r="G582" t="s">
        <v>3402</v>
      </c>
      <c r="I582" s="10"/>
      <c r="J582" s="107">
        <f>SUMIF(Data!C:C,G582,Data!Q:Q)</f>
        <v>5000</v>
      </c>
      <c r="K582" s="107">
        <f>SUMIF(Comprometidos!A:A,'Cost Report'!G582,Comprometidos!E:E)</f>
        <v>0</v>
      </c>
      <c r="L582" s="107">
        <f t="shared" ref="L582" si="230">+J582+K582</f>
        <v>5000</v>
      </c>
      <c r="M582" s="107">
        <v>0</v>
      </c>
      <c r="N582" s="107">
        <f t="shared" ref="N582" si="231">+L582+M582</f>
        <v>5000</v>
      </c>
      <c r="O582" s="107">
        <f>VLOOKUP(G582,Budget!$E$3:$G$2474,3,0)</f>
        <v>0</v>
      </c>
      <c r="P582" s="107">
        <f t="shared" ref="P582" si="232">+O582-N582</f>
        <v>-5000</v>
      </c>
      <c r="Q582" s="107"/>
      <c r="R582" s="10"/>
      <c r="S582" s="107">
        <v>5000</v>
      </c>
      <c r="T582" s="107">
        <f t="shared" si="201"/>
        <v>0</v>
      </c>
      <c r="U582" s="107"/>
      <c r="V582" s="175"/>
      <c r="W582" s="10"/>
      <c r="X582" s="10"/>
      <c r="Y582" t="str">
        <f t="shared" si="229"/>
        <v>2006</v>
      </c>
      <c r="AB582" s="10"/>
      <c r="AC582" s="10"/>
      <c r="AD582" s="10"/>
      <c r="AE582" s="10"/>
      <c r="AF582" s="10"/>
      <c r="AG582" s="10"/>
      <c r="AH582" s="10"/>
      <c r="AI582" s="10"/>
    </row>
    <row r="583" spans="1:35">
      <c r="A583" s="10"/>
      <c r="B583" s="10" t="str">
        <f>+C583</f>
        <v>Below the Line</v>
      </c>
      <c r="C583" s="128" t="s">
        <v>20</v>
      </c>
      <c r="D583" s="128" t="s">
        <v>2117</v>
      </c>
      <c r="E583" s="128"/>
      <c r="F583" s="128"/>
      <c r="G583" s="128" t="s">
        <v>457</v>
      </c>
      <c r="H583" s="128"/>
      <c r="I583" s="10"/>
      <c r="J583" s="129">
        <f>SUMIF($Y$11:$Y$2484,G583,J$11:J$2484)</f>
        <v>209633.33</v>
      </c>
      <c r="K583" s="129">
        <f>SUMIF($Y$11:$Y$2484,G583,K$11:K$2484)</f>
        <v>0</v>
      </c>
      <c r="L583" s="129">
        <f>SUMIF($Y$11:$Y$2484,G583,L$11:L$2484)</f>
        <v>209633.33</v>
      </c>
      <c r="M583" s="129">
        <f>SUMIF($Y$11:$Y$2484,G583,M$11:M$2484)</f>
        <v>0</v>
      </c>
      <c r="N583" s="129">
        <f>SUMIF($Y$11:$Y$2484,G583,N$11:N$2484)</f>
        <v>209633.33</v>
      </c>
      <c r="O583" s="129">
        <f>SUMIF($Y$11:$Y$2484,G583,O$11:O$2484)</f>
        <v>198200</v>
      </c>
      <c r="P583" s="129">
        <f>SUMIF($Y$11:$Y$2484,G583,P$11:P$2484)</f>
        <v>-11433.33</v>
      </c>
      <c r="Q583" s="129"/>
      <c r="R583" s="10"/>
      <c r="S583" s="129">
        <v>209633.33</v>
      </c>
      <c r="T583" s="129">
        <f t="shared" si="201"/>
        <v>0</v>
      </c>
      <c r="U583" s="128"/>
      <c r="V583" s="175"/>
      <c r="W583" s="10"/>
      <c r="X583" s="10"/>
      <c r="Z583" t="str">
        <f>LEFT(G583,2)</f>
        <v>20</v>
      </c>
      <c r="AA583" t="str">
        <f>+Z583&amp;"00"</f>
        <v>2000</v>
      </c>
      <c r="AB583" s="10"/>
      <c r="AC583" s="10"/>
      <c r="AD583" s="10"/>
      <c r="AE583" s="10"/>
      <c r="AF583" s="10"/>
      <c r="AG583" s="10"/>
      <c r="AH583" s="10"/>
      <c r="AI583" s="10"/>
    </row>
    <row r="584" spans="1:35">
      <c r="A584" s="10"/>
      <c r="B584" s="10" t="str">
        <f t="shared" ref="B584:B593" si="233">+C584&amp;E584</f>
        <v>Below the Line</v>
      </c>
      <c r="C584" t="s">
        <v>20</v>
      </c>
      <c r="D584" t="s">
        <v>19</v>
      </c>
      <c r="E584" t="s">
        <v>214</v>
      </c>
      <c r="G584" t="s">
        <v>458</v>
      </c>
      <c r="I584" s="10"/>
      <c r="J584" s="107">
        <f>SUMIF(Data!C:C,G584,Data!Q:Q)</f>
        <v>0</v>
      </c>
      <c r="K584" s="107">
        <f>SUMIF(Comprometidos!A:A,'Cost Report'!G584,Comprometidos!E:E)</f>
        <v>0</v>
      </c>
      <c r="L584" s="107">
        <f t="shared" ref="L584:L593" si="234">+J584+K584</f>
        <v>0</v>
      </c>
      <c r="M584" s="107">
        <f t="shared" ref="M584:M591" si="235">+O584-L584</f>
        <v>0</v>
      </c>
      <c r="N584" s="107">
        <f t="shared" ref="N584:N593" si="236">+L584+M584</f>
        <v>0</v>
      </c>
      <c r="O584" s="107">
        <f>VLOOKUP(G584,Budget!$E$3:$G$2474,3,0)</f>
        <v>0</v>
      </c>
      <c r="P584" s="107">
        <f t="shared" ref="P584:P593" si="237">+O584-N584</f>
        <v>0</v>
      </c>
      <c r="Q584" s="107"/>
      <c r="R584" s="10"/>
      <c r="S584" s="107">
        <v>0</v>
      </c>
      <c r="T584" s="107">
        <f t="shared" si="201"/>
        <v>0</v>
      </c>
      <c r="U584" s="107"/>
      <c r="V584" s="175"/>
      <c r="W584" s="10"/>
      <c r="X584" s="10"/>
      <c r="Y584" t="str">
        <f t="shared" ref="Y584:Y593" si="238">LEFT(G584,4)</f>
        <v>2009</v>
      </c>
      <c r="AB584" s="10"/>
      <c r="AC584" s="10"/>
      <c r="AD584" s="10"/>
      <c r="AE584" s="10"/>
      <c r="AF584" s="10"/>
      <c r="AG584" s="10"/>
      <c r="AH584" s="10"/>
      <c r="AI584" s="10"/>
    </row>
    <row r="585" spans="1:35">
      <c r="A585" s="10"/>
      <c r="B585" s="10" t="str">
        <f t="shared" si="233"/>
        <v>Below the LinePREP</v>
      </c>
      <c r="C585" t="s">
        <v>20</v>
      </c>
      <c r="D585" t="s">
        <v>19</v>
      </c>
      <c r="E585" t="s">
        <v>234</v>
      </c>
      <c r="G585" t="s">
        <v>459</v>
      </c>
      <c r="I585" s="10"/>
      <c r="J585" s="107">
        <f>SUMIF(Data!C:C,G585,Data!Q:Q)</f>
        <v>17000</v>
      </c>
      <c r="K585" s="107">
        <f>SUMIF(Comprometidos!A:A,'Cost Report'!G585,Comprometidos!E:E)</f>
        <v>0</v>
      </c>
      <c r="L585" s="107">
        <f t="shared" si="234"/>
        <v>17000</v>
      </c>
      <c r="M585" s="107">
        <f t="shared" si="235"/>
        <v>0</v>
      </c>
      <c r="N585" s="107">
        <f t="shared" si="236"/>
        <v>17000</v>
      </c>
      <c r="O585" s="107">
        <f>VLOOKUP(G585,Budget!$E$3:$G$2474,3,0)</f>
        <v>17000</v>
      </c>
      <c r="P585" s="107">
        <f t="shared" si="237"/>
        <v>0</v>
      </c>
      <c r="Q585" s="107"/>
      <c r="R585" s="10"/>
      <c r="S585" s="107">
        <v>17000</v>
      </c>
      <c r="T585" s="107">
        <f t="shared" si="201"/>
        <v>0</v>
      </c>
      <c r="U585" s="107"/>
      <c r="V585" s="175"/>
      <c r="W585" s="10"/>
      <c r="X585" s="10"/>
      <c r="Y585" t="str">
        <f t="shared" si="238"/>
        <v>2009</v>
      </c>
      <c r="AB585" s="10"/>
      <c r="AC585" s="10"/>
      <c r="AD585" s="10"/>
      <c r="AE585" s="10"/>
      <c r="AF585" s="10"/>
      <c r="AG585" s="10"/>
      <c r="AH585" s="10"/>
      <c r="AI585" s="10"/>
    </row>
    <row r="586" spans="1:35">
      <c r="A586" s="10"/>
      <c r="B586" s="10" t="str">
        <f t="shared" si="233"/>
        <v>Below the LineSHOOT</v>
      </c>
      <c r="C586" t="s">
        <v>20</v>
      </c>
      <c r="D586" t="s">
        <v>19</v>
      </c>
      <c r="E586" t="s">
        <v>236</v>
      </c>
      <c r="G586" t="s">
        <v>460</v>
      </c>
      <c r="I586" s="10"/>
      <c r="J586" s="107">
        <f>SUMIF(Data!C:C,G586,Data!Q:Q)</f>
        <v>119000</v>
      </c>
      <c r="K586" s="107">
        <f>SUMIF(Comprometidos!A:A,'Cost Report'!G586,Comprometidos!E:E)</f>
        <v>0</v>
      </c>
      <c r="L586" s="107">
        <f t="shared" si="234"/>
        <v>119000</v>
      </c>
      <c r="M586" s="107">
        <f t="shared" si="235"/>
        <v>0</v>
      </c>
      <c r="N586" s="107">
        <f t="shared" si="236"/>
        <v>119000</v>
      </c>
      <c r="O586" s="107">
        <f>VLOOKUP(G586,Budget!$E$3:$G$2474,3,0)</f>
        <v>119000</v>
      </c>
      <c r="P586" s="107">
        <f t="shared" si="237"/>
        <v>0</v>
      </c>
      <c r="Q586" s="107"/>
      <c r="R586" s="10"/>
      <c r="S586" s="107">
        <v>119000</v>
      </c>
      <c r="T586" s="107">
        <f t="shared" si="201"/>
        <v>0</v>
      </c>
      <c r="U586" s="107"/>
      <c r="V586" s="175"/>
      <c r="W586" s="10"/>
      <c r="X586" s="10"/>
      <c r="Y586" t="str">
        <f t="shared" si="238"/>
        <v>2009</v>
      </c>
      <c r="AB586" s="10"/>
      <c r="AC586" s="10"/>
      <c r="AD586" s="10"/>
      <c r="AE586" s="10"/>
      <c r="AF586" s="10"/>
      <c r="AG586" s="10"/>
      <c r="AH586" s="10"/>
      <c r="AI586" s="10"/>
    </row>
    <row r="587" spans="1:35">
      <c r="A587" s="10"/>
      <c r="B587" s="10" t="str">
        <f t="shared" si="233"/>
        <v>Below the Line</v>
      </c>
      <c r="C587" t="s">
        <v>20</v>
      </c>
      <c r="D587" t="s">
        <v>19</v>
      </c>
      <c r="E587" t="s">
        <v>214</v>
      </c>
      <c r="G587" t="s">
        <v>461</v>
      </c>
      <c r="I587" s="10"/>
      <c r="J587" s="107">
        <f>SUMIF(Data!C:C,G587,Data!Q:Q)</f>
        <v>0</v>
      </c>
      <c r="K587" s="107">
        <f>SUMIF(Comprometidos!A:A,'Cost Report'!G587,Comprometidos!E:E)</f>
        <v>0</v>
      </c>
      <c r="L587" s="107">
        <f t="shared" si="234"/>
        <v>0</v>
      </c>
      <c r="M587" s="107">
        <f t="shared" si="235"/>
        <v>0</v>
      </c>
      <c r="N587" s="107">
        <f t="shared" si="236"/>
        <v>0</v>
      </c>
      <c r="O587" s="107">
        <f>VLOOKUP(G587,Budget!$E$3:$G$2474,3,0)</f>
        <v>0</v>
      </c>
      <c r="P587" s="107">
        <f t="shared" si="237"/>
        <v>0</v>
      </c>
      <c r="Q587" s="107"/>
      <c r="R587" s="10"/>
      <c r="S587" s="107">
        <v>0</v>
      </c>
      <c r="T587" s="107">
        <f t="shared" si="201"/>
        <v>0</v>
      </c>
      <c r="U587" s="107"/>
      <c r="V587" s="175"/>
      <c r="W587" s="10"/>
      <c r="X587" s="10"/>
      <c r="Y587" t="str">
        <f t="shared" si="238"/>
        <v>2009</v>
      </c>
      <c r="AB587" s="10"/>
      <c r="AC587" s="10"/>
      <c r="AD587" s="10"/>
      <c r="AE587" s="10"/>
      <c r="AF587" s="10"/>
      <c r="AG587" s="10"/>
      <c r="AH587" s="10"/>
      <c r="AI587" s="10"/>
    </row>
    <row r="588" spans="1:35">
      <c r="A588" s="10"/>
      <c r="B588" s="10" t="str">
        <f t="shared" si="233"/>
        <v>Below the LinePREP</v>
      </c>
      <c r="C588" t="s">
        <v>20</v>
      </c>
      <c r="D588" t="s">
        <v>19</v>
      </c>
      <c r="E588" t="s">
        <v>234</v>
      </c>
      <c r="G588" t="s">
        <v>462</v>
      </c>
      <c r="I588" s="10"/>
      <c r="J588" s="107">
        <f>SUMIF(Data!C:C,G588,Data!Q:Q)</f>
        <v>8400</v>
      </c>
      <c r="K588" s="107">
        <f>SUMIF(Comprometidos!A:A,'Cost Report'!G588,Comprometidos!E:E)</f>
        <v>0</v>
      </c>
      <c r="L588" s="107">
        <f t="shared" si="234"/>
        <v>8400</v>
      </c>
      <c r="M588" s="107">
        <f t="shared" si="235"/>
        <v>0</v>
      </c>
      <c r="N588" s="107">
        <f t="shared" si="236"/>
        <v>8400</v>
      </c>
      <c r="O588" s="107">
        <f>VLOOKUP(G588,Budget!$E$3:$G$2474,3,0)</f>
        <v>8400</v>
      </c>
      <c r="P588" s="107">
        <f t="shared" si="237"/>
        <v>0</v>
      </c>
      <c r="Q588" s="107"/>
      <c r="R588" s="10"/>
      <c r="S588" s="107">
        <v>8400</v>
      </c>
      <c r="T588" s="107">
        <f t="shared" si="201"/>
        <v>0</v>
      </c>
      <c r="U588" s="107"/>
      <c r="V588" s="175"/>
      <c r="W588" s="10"/>
      <c r="X588" s="10"/>
      <c r="Y588" t="str">
        <f t="shared" si="238"/>
        <v>2009</v>
      </c>
      <c r="AB588" s="10"/>
      <c r="AC588" s="10"/>
      <c r="AD588" s="10"/>
      <c r="AE588" s="10"/>
      <c r="AF588" s="10"/>
      <c r="AG588" s="10"/>
      <c r="AH588" s="10"/>
      <c r="AI588" s="10"/>
    </row>
    <row r="589" spans="1:35">
      <c r="A589" s="10"/>
      <c r="B589" s="10" t="str">
        <f t="shared" si="233"/>
        <v>Below the LineSHOOT</v>
      </c>
      <c r="C589" t="s">
        <v>20</v>
      </c>
      <c r="D589" t="s">
        <v>19</v>
      </c>
      <c r="E589" t="s">
        <v>236</v>
      </c>
      <c r="G589" t="s">
        <v>1725</v>
      </c>
      <c r="I589" s="10"/>
      <c r="J589" s="107">
        <f>SUMIF(Data!C:C,G589,Data!Q:Q)</f>
        <v>14233.33</v>
      </c>
      <c r="K589" s="107">
        <f>SUMIF(Comprometidos!A:A,'Cost Report'!G589,Comprometidos!E:E)</f>
        <v>0</v>
      </c>
      <c r="L589" s="107">
        <f t="shared" si="234"/>
        <v>14233.33</v>
      </c>
      <c r="M589" s="107">
        <v>0</v>
      </c>
      <c r="N589" s="107">
        <f t="shared" si="236"/>
        <v>14233.33</v>
      </c>
      <c r="O589" s="107">
        <f>VLOOKUP(G589,Budget!$E$3:$G$2474,3,0)</f>
        <v>2800</v>
      </c>
      <c r="P589" s="107">
        <f t="shared" si="237"/>
        <v>-11433.33</v>
      </c>
      <c r="Q589" s="107" t="s">
        <v>3803</v>
      </c>
      <c r="R589" s="10"/>
      <c r="S589" s="107">
        <v>14233.33</v>
      </c>
      <c r="T589" s="107">
        <f t="shared" si="201"/>
        <v>0</v>
      </c>
      <c r="U589" s="107"/>
      <c r="V589" s="175"/>
      <c r="W589" s="10"/>
      <c r="X589" s="10"/>
      <c r="Y589" t="str">
        <f t="shared" si="238"/>
        <v>2009</v>
      </c>
      <c r="AB589" s="10"/>
      <c r="AC589" s="10"/>
      <c r="AD589" s="10"/>
      <c r="AE589" s="10"/>
      <c r="AF589" s="10"/>
      <c r="AG589" s="10"/>
      <c r="AH589" s="10"/>
      <c r="AI589" s="10"/>
    </row>
    <row r="590" spans="1:35">
      <c r="A590" s="10"/>
      <c r="B590" s="10" t="str">
        <f t="shared" si="233"/>
        <v>Below the Line</v>
      </c>
      <c r="C590" t="s">
        <v>20</v>
      </c>
      <c r="D590" t="s">
        <v>19</v>
      </c>
      <c r="E590" t="s">
        <v>214</v>
      </c>
      <c r="G590" t="s">
        <v>2387</v>
      </c>
      <c r="I590" s="10"/>
      <c r="J590" s="107">
        <f>SUMIF(Data!C:C,G590,Data!Q:Q)</f>
        <v>0</v>
      </c>
      <c r="K590" s="107">
        <f>SUMIF(Comprometidos!A:A,'Cost Report'!G590,Comprometidos!E:E)</f>
        <v>0</v>
      </c>
      <c r="L590" s="107">
        <f t="shared" si="234"/>
        <v>0</v>
      </c>
      <c r="M590" s="107">
        <f t="shared" si="235"/>
        <v>0</v>
      </c>
      <c r="N590" s="107">
        <f t="shared" si="236"/>
        <v>0</v>
      </c>
      <c r="O590" s="107">
        <f>VLOOKUP(G590,Budget!$E$3:$G$2474,3,0)</f>
        <v>0</v>
      </c>
      <c r="P590" s="107">
        <f t="shared" si="237"/>
        <v>0</v>
      </c>
      <c r="Q590" s="107"/>
      <c r="R590" s="10"/>
      <c r="S590" s="107">
        <v>0</v>
      </c>
      <c r="T590" s="107">
        <f t="shared" ref="T590:T653" si="239">+S590-N590</f>
        <v>0</v>
      </c>
      <c r="U590" s="107"/>
      <c r="V590" s="175"/>
      <c r="W590" s="10"/>
      <c r="X590" s="10"/>
      <c r="Y590" t="str">
        <f t="shared" si="238"/>
        <v>2009</v>
      </c>
      <c r="AB590" s="10"/>
      <c r="AC590" s="10"/>
      <c r="AD590" s="10"/>
      <c r="AE590" s="10"/>
      <c r="AF590" s="10"/>
      <c r="AG590" s="10"/>
      <c r="AH590" s="10"/>
      <c r="AI590" s="10"/>
    </row>
    <row r="591" spans="1:35">
      <c r="A591" s="10"/>
      <c r="B591" s="10" t="str">
        <f t="shared" si="233"/>
        <v>Below the Line2nd Unit</v>
      </c>
      <c r="C591" t="s">
        <v>20</v>
      </c>
      <c r="D591" t="s">
        <v>19</v>
      </c>
      <c r="E591" t="s">
        <v>1419</v>
      </c>
      <c r="G591" t="s">
        <v>2388</v>
      </c>
      <c r="I591" s="10"/>
      <c r="J591" s="107">
        <f>SUMIF(Data!C:C,G591,Data!Q:Q)</f>
        <v>17000</v>
      </c>
      <c r="K591" s="107">
        <f>SUMIF(Comprometidos!A:A,'Cost Report'!G591,Comprometidos!E:E)</f>
        <v>0</v>
      </c>
      <c r="L591" s="107">
        <f t="shared" si="234"/>
        <v>17000</v>
      </c>
      <c r="M591" s="107">
        <f t="shared" si="235"/>
        <v>0</v>
      </c>
      <c r="N591" s="107">
        <f t="shared" si="236"/>
        <v>17000</v>
      </c>
      <c r="O591" s="107">
        <f>VLOOKUP(G591,Budget!$E$3:$G$2474,3,0)</f>
        <v>17000</v>
      </c>
      <c r="P591" s="107">
        <f t="shared" si="237"/>
        <v>0</v>
      </c>
      <c r="Q591" s="107"/>
      <c r="R591" s="10"/>
      <c r="S591" s="107">
        <v>17000</v>
      </c>
      <c r="T591" s="107">
        <f t="shared" si="239"/>
        <v>0</v>
      </c>
      <c r="U591" s="107"/>
      <c r="V591" s="175"/>
      <c r="W591" s="10"/>
      <c r="X591" s="10"/>
      <c r="Y591" t="str">
        <f t="shared" si="238"/>
        <v>2009</v>
      </c>
      <c r="AB591" s="10"/>
      <c r="AC591" s="10"/>
      <c r="AD591" s="10"/>
      <c r="AE591" s="10"/>
      <c r="AF591" s="10"/>
      <c r="AG591" s="10"/>
      <c r="AH591" s="10"/>
      <c r="AI591" s="10"/>
    </row>
    <row r="592" spans="1:35">
      <c r="A592" s="10"/>
      <c r="B592" s="10" t="str">
        <f t="shared" si="233"/>
        <v>Below the Line2nd Unit</v>
      </c>
      <c r="C592" t="s">
        <v>20</v>
      </c>
      <c r="D592" t="s">
        <v>19</v>
      </c>
      <c r="E592" t="s">
        <v>1419</v>
      </c>
      <c r="F592" t="s">
        <v>5396</v>
      </c>
      <c r="G592" t="s">
        <v>2389</v>
      </c>
      <c r="I592" s="10"/>
      <c r="J592" s="107">
        <f>SUMIF(Data!C:C,G592,Data!Q:Q)</f>
        <v>34000</v>
      </c>
      <c r="K592" s="107">
        <f>SUMIF(Comprometidos!A:A,'Cost Report'!G592,Comprometidos!E:E)</f>
        <v>0</v>
      </c>
      <c r="L592" s="107">
        <f t="shared" si="234"/>
        <v>34000</v>
      </c>
      <c r="M592" s="107">
        <v>0</v>
      </c>
      <c r="N592" s="107">
        <f t="shared" si="236"/>
        <v>34000</v>
      </c>
      <c r="O592" s="107">
        <f>VLOOKUP(G592,Budget!$E$3:$G$2474,3,0)</f>
        <v>34000</v>
      </c>
      <c r="P592" s="107">
        <f t="shared" si="237"/>
        <v>0</v>
      </c>
      <c r="Q592" s="107"/>
      <c r="R592" s="10"/>
      <c r="S592" s="107">
        <v>34000</v>
      </c>
      <c r="T592" s="107">
        <f t="shared" si="239"/>
        <v>0</v>
      </c>
      <c r="U592" s="107"/>
      <c r="V592" s="175"/>
      <c r="W592" s="10"/>
      <c r="X592" s="10"/>
      <c r="Y592" t="str">
        <f t="shared" si="238"/>
        <v>2009</v>
      </c>
      <c r="AB592" s="10"/>
      <c r="AC592" s="10"/>
      <c r="AD592" s="10"/>
      <c r="AE592" s="10"/>
      <c r="AF592" s="10"/>
      <c r="AG592" s="10"/>
      <c r="AH592" s="10"/>
      <c r="AI592" s="10"/>
    </row>
    <row r="593" spans="1:35">
      <c r="A593" s="10"/>
      <c r="B593" s="10" t="str">
        <f t="shared" si="233"/>
        <v>Below the Line2nd Unit</v>
      </c>
      <c r="C593" t="s">
        <v>20</v>
      </c>
      <c r="D593" t="s">
        <v>19</v>
      </c>
      <c r="E593" t="s">
        <v>1419</v>
      </c>
      <c r="F593" t="s">
        <v>5396</v>
      </c>
      <c r="G593" t="s">
        <v>2390</v>
      </c>
      <c r="I593" s="10"/>
      <c r="J593" s="107">
        <f>SUMIF(Data!C:C,G593,Data!Q:Q)</f>
        <v>0</v>
      </c>
      <c r="K593" s="107">
        <f>SUMIF(Comprometidos!A:A,'Cost Report'!G593,Comprometidos!E:E)</f>
        <v>0</v>
      </c>
      <c r="L593" s="107">
        <f t="shared" si="234"/>
        <v>0</v>
      </c>
      <c r="M593" s="107">
        <v>0</v>
      </c>
      <c r="N593" s="107">
        <f t="shared" si="236"/>
        <v>0</v>
      </c>
      <c r="O593" s="107">
        <f>VLOOKUP(G593,Budget!$E$3:$G$2474,3,0)</f>
        <v>0</v>
      </c>
      <c r="P593" s="107">
        <f t="shared" si="237"/>
        <v>0</v>
      </c>
      <c r="Q593" s="107"/>
      <c r="R593" s="10"/>
      <c r="S593" s="107">
        <v>0</v>
      </c>
      <c r="T593" s="107">
        <f t="shared" si="239"/>
        <v>0</v>
      </c>
      <c r="U593" s="107"/>
      <c r="V593" s="175"/>
      <c r="W593" s="10"/>
      <c r="X593" s="10"/>
      <c r="Y593" t="str">
        <f t="shared" si="238"/>
        <v>2009</v>
      </c>
      <c r="AB593" s="10"/>
      <c r="AC593" s="10"/>
      <c r="AD593" s="10"/>
      <c r="AE593" s="10"/>
      <c r="AF593" s="10"/>
      <c r="AG593" s="10"/>
      <c r="AH593" s="10"/>
      <c r="AI593" s="10"/>
    </row>
    <row r="594" spans="1:35">
      <c r="A594" s="10"/>
      <c r="B594" s="10" t="str">
        <f>+C594</f>
        <v>Below the Line</v>
      </c>
      <c r="C594" s="128" t="s">
        <v>20</v>
      </c>
      <c r="D594" s="128" t="s">
        <v>2117</v>
      </c>
      <c r="E594" s="128"/>
      <c r="F594" s="128"/>
      <c r="G594" s="128" t="s">
        <v>463</v>
      </c>
      <c r="H594" s="128"/>
      <c r="I594" s="10"/>
      <c r="J594" s="129">
        <f>SUMIF($Y$11:$Y$2484,G594,J$11:J$2484)</f>
        <v>726750</v>
      </c>
      <c r="K594" s="129">
        <f>SUMIF($Y$11:$Y$2484,G594,K$11:K$2484)</f>
        <v>0</v>
      </c>
      <c r="L594" s="129">
        <f>SUMIF($Y$11:$Y$2484,G594,L$11:L$2484)</f>
        <v>726750</v>
      </c>
      <c r="M594" s="129">
        <f>SUMIF($Y$11:$Y$2484,G594,M$11:M$2484)</f>
        <v>0</v>
      </c>
      <c r="N594" s="129">
        <f>SUMIF($Y$11:$Y$2484,G594,N$11:N$2484)</f>
        <v>726750</v>
      </c>
      <c r="O594" s="129">
        <f>SUMIF($Y$11:$Y$2484,G594,O$11:O$2484)</f>
        <v>726750</v>
      </c>
      <c r="P594" s="129">
        <f>SUMIF($Y$11:$Y$2484,G594,P$11:P$2484)</f>
        <v>0</v>
      </c>
      <c r="Q594" s="129"/>
      <c r="R594" s="10"/>
      <c r="S594" s="129">
        <v>726750</v>
      </c>
      <c r="T594" s="129">
        <f t="shared" si="239"/>
        <v>0</v>
      </c>
      <c r="U594" s="128"/>
      <c r="V594" s="175"/>
      <c r="W594" s="10"/>
      <c r="X594" s="10"/>
      <c r="Z594" t="str">
        <f>LEFT(G594,2)</f>
        <v>20</v>
      </c>
      <c r="AA594" t="str">
        <f>+Z594&amp;"00"</f>
        <v>2000</v>
      </c>
      <c r="AB594" s="10"/>
      <c r="AC594" s="10"/>
      <c r="AD594" s="10"/>
      <c r="AE594" s="10"/>
      <c r="AF594" s="10"/>
      <c r="AG594" s="10"/>
      <c r="AH594" s="10"/>
      <c r="AI594" s="10"/>
    </row>
    <row r="595" spans="1:35">
      <c r="A595" s="10"/>
      <c r="B595" s="10" t="str">
        <f t="shared" ref="B595:B604" si="240">+C595&amp;E595</f>
        <v>Below the Line</v>
      </c>
      <c r="C595" t="s">
        <v>20</v>
      </c>
      <c r="D595" t="s">
        <v>19</v>
      </c>
      <c r="E595" t="s">
        <v>214</v>
      </c>
      <c r="G595" t="s">
        <v>102</v>
      </c>
      <c r="I595" s="10"/>
      <c r="J595" s="107">
        <f>SUMIF(Data!C:C,G595,Data!Q:Q)</f>
        <v>0</v>
      </c>
      <c r="K595" s="107">
        <f>SUMIF(Comprometidos!A:A,'Cost Report'!G595,Comprometidos!E:E)</f>
        <v>0</v>
      </c>
      <c r="L595" s="107">
        <f t="shared" ref="L595:L604" si="241">+J595+K595</f>
        <v>0</v>
      </c>
      <c r="M595" s="107">
        <f t="shared" ref="M595:M604" si="242">+O595-L595</f>
        <v>0</v>
      </c>
      <c r="N595" s="107">
        <f t="shared" ref="N595:N604" si="243">+L595+M595</f>
        <v>0</v>
      </c>
      <c r="O595" s="107">
        <f>VLOOKUP(G595,Budget!$E$3:$G$2474,3,0)</f>
        <v>0</v>
      </c>
      <c r="P595" s="107">
        <f t="shared" ref="P595:P604" si="244">+O595-N595</f>
        <v>0</v>
      </c>
      <c r="Q595" s="107"/>
      <c r="R595" s="10"/>
      <c r="S595" s="107">
        <v>0</v>
      </c>
      <c r="T595" s="107">
        <f t="shared" si="239"/>
        <v>0</v>
      </c>
      <c r="U595" s="107"/>
      <c r="V595" s="175"/>
      <c r="W595" s="10"/>
      <c r="X595" s="10"/>
      <c r="Y595" t="str">
        <f t="shared" ref="Y595:Y604" si="245">LEFT(G595,4)</f>
        <v>2010</v>
      </c>
      <c r="AB595" s="10"/>
      <c r="AC595" s="10"/>
      <c r="AD595" s="10"/>
      <c r="AE595" s="10"/>
      <c r="AF595" s="10"/>
      <c r="AG595" s="10"/>
      <c r="AH595" s="10"/>
      <c r="AI595" s="10"/>
    </row>
    <row r="596" spans="1:35">
      <c r="A596" s="10"/>
      <c r="B596" s="10" t="str">
        <f t="shared" si="240"/>
        <v>Below the Line</v>
      </c>
      <c r="C596" t="s">
        <v>20</v>
      </c>
      <c r="D596" t="s">
        <v>19</v>
      </c>
      <c r="E596" t="s">
        <v>214</v>
      </c>
      <c r="G596" t="s">
        <v>149</v>
      </c>
      <c r="I596" s="10"/>
      <c r="J596" s="107">
        <f>SUMIF(Data!C:C,G596,Data!Q:Q)</f>
        <v>0</v>
      </c>
      <c r="K596" s="107">
        <f>SUMIF(Comprometidos!A:A,'Cost Report'!G596,Comprometidos!E:E)</f>
        <v>0</v>
      </c>
      <c r="L596" s="107">
        <f t="shared" si="241"/>
        <v>0</v>
      </c>
      <c r="M596" s="107">
        <f t="shared" si="242"/>
        <v>0</v>
      </c>
      <c r="N596" s="107">
        <f t="shared" si="243"/>
        <v>0</v>
      </c>
      <c r="O596" s="107">
        <f>VLOOKUP(G596,Budget!$E$3:$G$2474,3,0)</f>
        <v>0</v>
      </c>
      <c r="P596" s="107">
        <f t="shared" si="244"/>
        <v>0</v>
      </c>
      <c r="Q596" s="107"/>
      <c r="R596" s="10"/>
      <c r="S596" s="107">
        <v>0</v>
      </c>
      <c r="T596" s="107">
        <f t="shared" si="239"/>
        <v>0</v>
      </c>
      <c r="U596" s="107"/>
      <c r="V596" s="175"/>
      <c r="W596" s="10"/>
      <c r="X596" s="10"/>
      <c r="Y596" t="str">
        <f t="shared" si="245"/>
        <v>2010</v>
      </c>
      <c r="AB596" s="10"/>
      <c r="AC596" s="10"/>
      <c r="AD596" s="10"/>
      <c r="AE596" s="10"/>
      <c r="AF596" s="10"/>
      <c r="AG596" s="10"/>
      <c r="AH596" s="10"/>
      <c r="AI596" s="10"/>
    </row>
    <row r="597" spans="1:35">
      <c r="A597" s="10"/>
      <c r="B597" s="10" t="str">
        <f t="shared" si="240"/>
        <v>Below the LineDEVELOPMENT</v>
      </c>
      <c r="C597" t="s">
        <v>20</v>
      </c>
      <c r="D597" t="s">
        <v>19</v>
      </c>
      <c r="E597" t="s">
        <v>215</v>
      </c>
      <c r="G597" t="s">
        <v>180</v>
      </c>
      <c r="I597" s="10"/>
      <c r="J597" s="107">
        <f>SUMIF(Data!C:C,G597,Data!Q:Q)</f>
        <v>50000</v>
      </c>
      <c r="K597" s="107">
        <f>SUMIF(Comprometidos!A:A,'Cost Report'!G597,Comprometidos!E:E)</f>
        <v>0</v>
      </c>
      <c r="L597" s="107">
        <f t="shared" si="241"/>
        <v>50000</v>
      </c>
      <c r="M597" s="107">
        <f t="shared" si="242"/>
        <v>0</v>
      </c>
      <c r="N597" s="107">
        <f t="shared" si="243"/>
        <v>50000</v>
      </c>
      <c r="O597" s="107">
        <f>VLOOKUP(G597,Budget!$E$3:$G$2474,3,0)</f>
        <v>50000</v>
      </c>
      <c r="P597" s="107">
        <f t="shared" si="244"/>
        <v>0</v>
      </c>
      <c r="Q597" s="107"/>
      <c r="R597" s="10"/>
      <c r="S597" s="107">
        <v>50000</v>
      </c>
      <c r="T597" s="107">
        <f t="shared" si="239"/>
        <v>0</v>
      </c>
      <c r="U597" s="107"/>
      <c r="V597" s="175"/>
      <c r="W597" s="10"/>
      <c r="X597" s="10"/>
      <c r="Y597" t="str">
        <f t="shared" si="245"/>
        <v>2010</v>
      </c>
      <c r="AB597" s="10"/>
      <c r="AC597" s="10"/>
      <c r="AD597" s="10"/>
      <c r="AE597" s="10"/>
      <c r="AF597" s="10"/>
      <c r="AG597" s="10"/>
      <c r="AH597" s="10"/>
      <c r="AI597" s="10"/>
    </row>
    <row r="598" spans="1:35">
      <c r="A598" s="10"/>
      <c r="B598" s="10" t="str">
        <f t="shared" si="240"/>
        <v>Below the LineDEVELOPMENT</v>
      </c>
      <c r="C598" t="s">
        <v>20</v>
      </c>
      <c r="D598" t="s">
        <v>19</v>
      </c>
      <c r="E598" t="s">
        <v>215</v>
      </c>
      <c r="G598" t="s">
        <v>464</v>
      </c>
      <c r="I598" s="10"/>
      <c r="J598" s="107">
        <f>SUMIF(Data!C:C,G598,Data!Q:Q)</f>
        <v>50000</v>
      </c>
      <c r="K598" s="107">
        <f>SUMIF(Comprometidos!A:A,'Cost Report'!G598,Comprometidos!E:E)</f>
        <v>0</v>
      </c>
      <c r="L598" s="107">
        <f t="shared" si="241"/>
        <v>50000</v>
      </c>
      <c r="M598" s="107">
        <f t="shared" si="242"/>
        <v>0</v>
      </c>
      <c r="N598" s="107">
        <f t="shared" si="243"/>
        <v>50000</v>
      </c>
      <c r="O598" s="107">
        <f>VLOOKUP(G598,Budget!$E$3:$G$2474,3,0)</f>
        <v>50000</v>
      </c>
      <c r="P598" s="107">
        <f t="shared" si="244"/>
        <v>0</v>
      </c>
      <c r="Q598" s="107"/>
      <c r="R598" s="10"/>
      <c r="S598" s="107">
        <v>50000</v>
      </c>
      <c r="T598" s="107">
        <f t="shared" si="239"/>
        <v>0</v>
      </c>
      <c r="U598" s="107"/>
      <c r="V598" s="175"/>
      <c r="W598" s="10"/>
      <c r="X598" s="10"/>
      <c r="Y598" t="str">
        <f t="shared" si="245"/>
        <v>2010</v>
      </c>
      <c r="AB598" s="10"/>
      <c r="AC598" s="10"/>
      <c r="AD598" s="10"/>
      <c r="AE598" s="10"/>
      <c r="AF598" s="10"/>
      <c r="AG598" s="10"/>
      <c r="AH598" s="10"/>
      <c r="AI598" s="10"/>
    </row>
    <row r="599" spans="1:35">
      <c r="A599" s="10"/>
      <c r="B599" s="10" t="str">
        <f t="shared" si="240"/>
        <v>Below the Line</v>
      </c>
      <c r="C599" t="s">
        <v>20</v>
      </c>
      <c r="D599" t="s">
        <v>19</v>
      </c>
      <c r="E599" t="s">
        <v>214</v>
      </c>
      <c r="G599" t="s">
        <v>465</v>
      </c>
      <c r="I599" s="10"/>
      <c r="J599" s="107">
        <f>SUMIF(Data!C:C,G599,Data!Q:Q)</f>
        <v>0</v>
      </c>
      <c r="K599" s="107">
        <f>SUMIF(Comprometidos!A:A,'Cost Report'!G599,Comprometidos!E:E)</f>
        <v>0</v>
      </c>
      <c r="L599" s="107">
        <f t="shared" si="241"/>
        <v>0</v>
      </c>
      <c r="M599" s="107">
        <f t="shared" si="242"/>
        <v>0</v>
      </c>
      <c r="N599" s="107">
        <f t="shared" si="243"/>
        <v>0</v>
      </c>
      <c r="O599" s="107">
        <f>VLOOKUP(G599,Budget!$E$3:$G$2474,3,0)</f>
        <v>0</v>
      </c>
      <c r="P599" s="107">
        <f t="shared" si="244"/>
        <v>0</v>
      </c>
      <c r="Q599" s="107"/>
      <c r="R599" s="10"/>
      <c r="S599" s="107">
        <v>0</v>
      </c>
      <c r="T599" s="107">
        <f t="shared" si="239"/>
        <v>0</v>
      </c>
      <c r="U599" s="107"/>
      <c r="V599" s="175"/>
      <c r="W599" s="10"/>
      <c r="X599" s="10"/>
      <c r="Y599" t="str">
        <f t="shared" si="245"/>
        <v>2010</v>
      </c>
      <c r="AB599" s="10"/>
      <c r="AC599" s="10"/>
      <c r="AD599" s="10"/>
      <c r="AE599" s="10"/>
      <c r="AF599" s="10"/>
      <c r="AG599" s="10"/>
      <c r="AH599" s="10"/>
      <c r="AI599" s="10"/>
    </row>
    <row r="600" spans="1:35">
      <c r="A600" s="10"/>
      <c r="B600" s="10" t="str">
        <f t="shared" si="240"/>
        <v>Below the LineSOFT</v>
      </c>
      <c r="C600" t="s">
        <v>20</v>
      </c>
      <c r="D600" t="s">
        <v>19</v>
      </c>
      <c r="E600" t="s">
        <v>233</v>
      </c>
      <c r="G600" t="s">
        <v>466</v>
      </c>
      <c r="I600" s="10"/>
      <c r="J600" s="107">
        <f>SUMIF(Data!C:C,G600,Data!Q:Q)</f>
        <v>28750</v>
      </c>
      <c r="K600" s="107">
        <f>SUMIF(Comprometidos!A:A,'Cost Report'!G600,Comprometidos!E:E)</f>
        <v>0</v>
      </c>
      <c r="L600" s="107">
        <f t="shared" si="241"/>
        <v>28750</v>
      </c>
      <c r="M600" s="107">
        <f t="shared" si="242"/>
        <v>0</v>
      </c>
      <c r="N600" s="107">
        <f t="shared" si="243"/>
        <v>28750</v>
      </c>
      <c r="O600" s="107">
        <f>VLOOKUP(G600,Budget!$E$3:$G$2474,3,0)</f>
        <v>28750</v>
      </c>
      <c r="P600" s="107">
        <f t="shared" si="244"/>
        <v>0</v>
      </c>
      <c r="Q600" s="107"/>
      <c r="R600" s="10"/>
      <c r="S600" s="107">
        <v>28750</v>
      </c>
      <c r="T600" s="107">
        <f t="shared" si="239"/>
        <v>0</v>
      </c>
      <c r="U600" s="107"/>
      <c r="V600" s="175"/>
      <c r="W600" s="10"/>
      <c r="X600" s="10"/>
      <c r="Y600" t="str">
        <f t="shared" si="245"/>
        <v>2010</v>
      </c>
      <c r="AB600" s="10"/>
      <c r="AC600" s="10"/>
      <c r="AD600" s="10"/>
      <c r="AE600" s="10"/>
      <c r="AF600" s="10"/>
      <c r="AG600" s="10"/>
      <c r="AH600" s="10"/>
      <c r="AI600" s="10"/>
    </row>
    <row r="601" spans="1:35">
      <c r="A601" s="10"/>
      <c r="B601" s="10" t="str">
        <f t="shared" si="240"/>
        <v>Below the LinePREP</v>
      </c>
      <c r="C601" t="s">
        <v>20</v>
      </c>
      <c r="D601" t="s">
        <v>19</v>
      </c>
      <c r="E601" t="s">
        <v>234</v>
      </c>
      <c r="G601" t="s">
        <v>467</v>
      </c>
      <c r="I601" s="10"/>
      <c r="J601" s="107">
        <f>SUMIF(Data!C:C,G601,Data!Q:Q)</f>
        <v>207000</v>
      </c>
      <c r="K601" s="107">
        <f>SUMIF(Comprometidos!A:A,'Cost Report'!G601,Comprometidos!E:E)</f>
        <v>0</v>
      </c>
      <c r="L601" s="107">
        <f t="shared" si="241"/>
        <v>207000</v>
      </c>
      <c r="M601" s="107">
        <f t="shared" si="242"/>
        <v>0</v>
      </c>
      <c r="N601" s="107">
        <f t="shared" si="243"/>
        <v>207000</v>
      </c>
      <c r="O601" s="107">
        <f>VLOOKUP(G601,Budget!$E$3:$G$2474,3,0)</f>
        <v>207000</v>
      </c>
      <c r="P601" s="107">
        <f t="shared" si="244"/>
        <v>0</v>
      </c>
      <c r="Q601" s="107"/>
      <c r="R601" s="10"/>
      <c r="S601" s="107">
        <v>207000</v>
      </c>
      <c r="T601" s="107">
        <f t="shared" si="239"/>
        <v>0</v>
      </c>
      <c r="U601" s="107"/>
      <c r="V601" s="175"/>
      <c r="W601" s="10"/>
      <c r="X601" s="10"/>
      <c r="Y601" t="str">
        <f t="shared" si="245"/>
        <v>2010</v>
      </c>
      <c r="AB601" s="10"/>
      <c r="AC601" s="10"/>
      <c r="AD601" s="10"/>
      <c r="AE601" s="10"/>
      <c r="AF601" s="10"/>
      <c r="AG601" s="10"/>
      <c r="AH601" s="10"/>
      <c r="AI601" s="10"/>
    </row>
    <row r="602" spans="1:35">
      <c r="A602" s="10"/>
      <c r="B602" s="10" t="str">
        <f t="shared" si="240"/>
        <v>Below the LineSHOOT</v>
      </c>
      <c r="C602" t="s">
        <v>20</v>
      </c>
      <c r="D602" t="s">
        <v>19</v>
      </c>
      <c r="E602" t="s">
        <v>236</v>
      </c>
      <c r="G602" t="s">
        <v>469</v>
      </c>
      <c r="I602" s="10"/>
      <c r="J602" s="107">
        <f>SUMIF(Data!C:C,G602,Data!Q:Q)</f>
        <v>161000</v>
      </c>
      <c r="K602" s="107">
        <f>SUMIF(Comprometidos!A:A,'Cost Report'!G602,Comprometidos!E:E)</f>
        <v>0</v>
      </c>
      <c r="L602" s="107">
        <f t="shared" si="241"/>
        <v>161000</v>
      </c>
      <c r="M602" s="107">
        <f t="shared" si="242"/>
        <v>0</v>
      </c>
      <c r="N602" s="107">
        <f t="shared" si="243"/>
        <v>161000</v>
      </c>
      <c r="O602" s="107">
        <f>VLOOKUP(G602,Budget!$E$3:$G$2474,3,0)</f>
        <v>161000</v>
      </c>
      <c r="P602" s="107">
        <f t="shared" si="244"/>
        <v>0</v>
      </c>
      <c r="Q602" s="107"/>
      <c r="R602" s="10"/>
      <c r="S602" s="107">
        <v>161000</v>
      </c>
      <c r="T602" s="107">
        <f t="shared" si="239"/>
        <v>0</v>
      </c>
      <c r="U602" s="107"/>
      <c r="V602" s="175"/>
      <c r="W602" s="10"/>
      <c r="X602" s="10"/>
      <c r="Y602" t="str">
        <f t="shared" si="245"/>
        <v>2010</v>
      </c>
      <c r="AB602" s="10"/>
      <c r="AC602" s="10"/>
      <c r="AD602" s="10"/>
      <c r="AE602" s="10"/>
      <c r="AF602" s="10"/>
      <c r="AG602" s="10"/>
      <c r="AH602" s="10"/>
      <c r="AI602" s="10"/>
    </row>
    <row r="603" spans="1:35">
      <c r="A603" s="10"/>
      <c r="B603" s="10" t="str">
        <f t="shared" si="240"/>
        <v>Below the LineWRAP</v>
      </c>
      <c r="C603" t="s">
        <v>20</v>
      </c>
      <c r="D603" t="s">
        <v>19</v>
      </c>
      <c r="E603" t="s">
        <v>238</v>
      </c>
      <c r="G603" t="s">
        <v>470</v>
      </c>
      <c r="I603" s="10"/>
      <c r="J603" s="107">
        <f>SUMIF(Data!C:C,G603,Data!Q:Q)</f>
        <v>92000</v>
      </c>
      <c r="K603" s="107">
        <f>SUMIF(Comprometidos!A:A,'Cost Report'!G603,Comprometidos!E:E)</f>
        <v>0</v>
      </c>
      <c r="L603" s="107">
        <f t="shared" si="241"/>
        <v>92000</v>
      </c>
      <c r="M603" s="107">
        <f t="shared" si="242"/>
        <v>0</v>
      </c>
      <c r="N603" s="107">
        <f t="shared" si="243"/>
        <v>92000</v>
      </c>
      <c r="O603" s="107">
        <f>VLOOKUP(G603,Budget!$E$3:$G$2474,3,0)</f>
        <v>92000</v>
      </c>
      <c r="P603" s="107">
        <f t="shared" si="244"/>
        <v>0</v>
      </c>
      <c r="Q603" s="107"/>
      <c r="R603" s="10"/>
      <c r="S603" s="107">
        <v>92000</v>
      </c>
      <c r="T603" s="107">
        <f t="shared" si="239"/>
        <v>0</v>
      </c>
      <c r="U603" s="107"/>
      <c r="V603" s="175"/>
      <c r="W603" s="10"/>
      <c r="X603" s="10"/>
      <c r="Y603" t="str">
        <f t="shared" si="245"/>
        <v>2010</v>
      </c>
      <c r="AB603" s="10"/>
      <c r="AC603" s="10"/>
      <c r="AD603" s="10"/>
      <c r="AE603" s="10"/>
      <c r="AF603" s="10"/>
      <c r="AG603" s="10"/>
      <c r="AH603" s="10"/>
      <c r="AI603" s="10"/>
    </row>
    <row r="604" spans="1:35">
      <c r="A604" s="10"/>
      <c r="B604" s="10" t="str">
        <f t="shared" si="240"/>
        <v>Below the LinePOST</v>
      </c>
      <c r="C604" t="s">
        <v>20</v>
      </c>
      <c r="D604" t="s">
        <v>19</v>
      </c>
      <c r="E604" t="s">
        <v>468</v>
      </c>
      <c r="G604" t="s">
        <v>471</v>
      </c>
      <c r="I604" s="10"/>
      <c r="J604" s="107">
        <f>SUMIF(Data!C:C,G604,Data!Q:Q)</f>
        <v>138000</v>
      </c>
      <c r="K604" s="107">
        <f>SUMIF(Comprometidos!A:A,'Cost Report'!G604,Comprometidos!E:E)</f>
        <v>0</v>
      </c>
      <c r="L604" s="107">
        <f t="shared" si="241"/>
        <v>138000</v>
      </c>
      <c r="M604" s="107">
        <f t="shared" si="242"/>
        <v>0</v>
      </c>
      <c r="N604" s="107">
        <f t="shared" si="243"/>
        <v>138000</v>
      </c>
      <c r="O604" s="107">
        <f>VLOOKUP(G604,Budget!$E$3:$G$2474,3,0)</f>
        <v>138000</v>
      </c>
      <c r="P604" s="107">
        <f t="shared" si="244"/>
        <v>0</v>
      </c>
      <c r="Q604" s="107"/>
      <c r="R604" s="10"/>
      <c r="S604" s="107">
        <v>138000</v>
      </c>
      <c r="T604" s="107">
        <f t="shared" si="239"/>
        <v>0</v>
      </c>
      <c r="U604" s="107"/>
      <c r="V604" s="175"/>
      <c r="W604" s="10"/>
      <c r="X604" s="10"/>
      <c r="Y604" t="str">
        <f t="shared" si="245"/>
        <v>2010</v>
      </c>
      <c r="AB604" s="10"/>
      <c r="AC604" s="10"/>
      <c r="AD604" s="10"/>
      <c r="AE604" s="10"/>
      <c r="AF604" s="10"/>
      <c r="AG604" s="10"/>
      <c r="AH604" s="10"/>
      <c r="AI604" s="10"/>
    </row>
    <row r="605" spans="1:35">
      <c r="A605" s="10"/>
      <c r="B605" s="10" t="str">
        <f>+C605</f>
        <v>Below the Line</v>
      </c>
      <c r="C605" s="128" t="s">
        <v>20</v>
      </c>
      <c r="D605" s="128" t="s">
        <v>2117</v>
      </c>
      <c r="E605" s="128"/>
      <c r="F605" s="128"/>
      <c r="G605" s="128" t="s">
        <v>2391</v>
      </c>
      <c r="H605" s="128"/>
      <c r="I605" s="10"/>
      <c r="J605" s="129">
        <f>SUMIF($Y$11:$Y$2484,G605,J$11:J$2484)</f>
        <v>749500</v>
      </c>
      <c r="K605" s="129">
        <f>SUMIF($Y$11:$Y$2484,G605,K$11:K$2484)</f>
        <v>0</v>
      </c>
      <c r="L605" s="129">
        <f>SUMIF($Y$11:$Y$2484,G605,L$11:L$2484)</f>
        <v>749500</v>
      </c>
      <c r="M605" s="129">
        <f>SUMIF($Y$11:$Y$2484,G605,M$11:M$2484)</f>
        <v>0</v>
      </c>
      <c r="N605" s="129">
        <f>SUMIF($Y$11:$Y$2484,G605,N$11:N$2484)</f>
        <v>749500</v>
      </c>
      <c r="O605" s="129">
        <f>SUMIF($Y$11:$Y$2484,G605,O$11:O$2484)</f>
        <v>749500</v>
      </c>
      <c r="P605" s="129">
        <f>SUMIF($Y$11:$Y$2484,G605,P$11:P$2484)</f>
        <v>0</v>
      </c>
      <c r="Q605" s="129"/>
      <c r="R605" s="10"/>
      <c r="S605" s="129">
        <v>749500</v>
      </c>
      <c r="T605" s="129">
        <f t="shared" si="239"/>
        <v>0</v>
      </c>
      <c r="U605" s="128"/>
      <c r="V605" s="175"/>
      <c r="W605" s="10"/>
      <c r="X605" s="10"/>
      <c r="Z605" t="str">
        <f>LEFT(G605,2)</f>
        <v>20</v>
      </c>
      <c r="AA605" t="str">
        <f>+Z605&amp;"00"</f>
        <v>2000</v>
      </c>
      <c r="AB605" s="10"/>
      <c r="AC605" s="10"/>
      <c r="AD605" s="10"/>
      <c r="AE605" s="10"/>
      <c r="AF605" s="10"/>
      <c r="AG605" s="10"/>
      <c r="AH605" s="10"/>
      <c r="AI605" s="10"/>
    </row>
    <row r="606" spans="1:35">
      <c r="A606" s="10"/>
      <c r="B606" s="10" t="str">
        <f t="shared" ref="B606:B623" si="246">+C606&amp;E606</f>
        <v>Below the Line</v>
      </c>
      <c r="C606" t="s">
        <v>20</v>
      </c>
      <c r="D606" t="s">
        <v>19</v>
      </c>
      <c r="E606" t="s">
        <v>214</v>
      </c>
      <c r="G606" t="s">
        <v>2392</v>
      </c>
      <c r="I606" s="10"/>
      <c r="J606" s="107">
        <f>SUMIF(Data!C:C,G606,Data!Q:Q)</f>
        <v>0</v>
      </c>
      <c r="K606" s="107">
        <f>SUMIF(Comprometidos!A:A,'Cost Report'!G606,Comprometidos!E:E)</f>
        <v>0</v>
      </c>
      <c r="L606" s="107">
        <f t="shared" ref="L606:L623" si="247">+J606+K606</f>
        <v>0</v>
      </c>
      <c r="M606" s="107">
        <f t="shared" ref="M606:M623" si="248">+O606-L606</f>
        <v>0</v>
      </c>
      <c r="N606" s="107">
        <f t="shared" ref="N606:N623" si="249">+L606+M606</f>
        <v>0</v>
      </c>
      <c r="O606" s="107">
        <f>VLOOKUP(G606,Budget!$E$3:$G$2474,3,0)</f>
        <v>0</v>
      </c>
      <c r="P606" s="107">
        <f t="shared" ref="P606:P623" si="250">+O606-N606</f>
        <v>0</v>
      </c>
      <c r="Q606" s="107"/>
      <c r="R606" s="10"/>
      <c r="S606" s="107">
        <v>0</v>
      </c>
      <c r="T606" s="107">
        <f t="shared" si="239"/>
        <v>0</v>
      </c>
      <c r="U606" s="107"/>
      <c r="V606" s="175"/>
      <c r="W606" s="10"/>
      <c r="X606" s="10"/>
      <c r="Y606" t="str">
        <f t="shared" ref="Y606:Y623" si="251">LEFT(G606,4)</f>
        <v>2011</v>
      </c>
      <c r="AB606" s="10"/>
      <c r="AC606" s="10"/>
      <c r="AD606" s="10"/>
      <c r="AE606" s="10"/>
      <c r="AF606" s="10"/>
      <c r="AG606" s="10"/>
      <c r="AH606" s="10"/>
      <c r="AI606" s="10"/>
    </row>
    <row r="607" spans="1:35">
      <c r="A607" s="10"/>
      <c r="B607" s="10" t="str">
        <f t="shared" si="246"/>
        <v>Below the LineSOFT</v>
      </c>
      <c r="C607" t="s">
        <v>20</v>
      </c>
      <c r="D607" t="s">
        <v>19</v>
      </c>
      <c r="E607" t="s">
        <v>233</v>
      </c>
      <c r="G607" t="s">
        <v>2393</v>
      </c>
      <c r="I607" s="10"/>
      <c r="J607" s="107">
        <f>SUMIF(Data!C:C,G607,Data!Q:Q)</f>
        <v>15000</v>
      </c>
      <c r="K607" s="107">
        <f>SUMIF(Comprometidos!A:A,'Cost Report'!G607,Comprometidos!E:E)</f>
        <v>0</v>
      </c>
      <c r="L607" s="107">
        <f t="shared" si="247"/>
        <v>15000</v>
      </c>
      <c r="M607" s="107">
        <f t="shared" si="248"/>
        <v>0</v>
      </c>
      <c r="N607" s="107">
        <f t="shared" si="249"/>
        <v>15000</v>
      </c>
      <c r="O607" s="107">
        <f>VLOOKUP(G607,Budget!$E$3:$G$2474,3,0)</f>
        <v>15000</v>
      </c>
      <c r="P607" s="107">
        <f t="shared" si="250"/>
        <v>0</v>
      </c>
      <c r="Q607" s="107"/>
      <c r="R607" s="10"/>
      <c r="S607" s="107">
        <v>15000</v>
      </c>
      <c r="T607" s="107">
        <f t="shared" si="239"/>
        <v>0</v>
      </c>
      <c r="U607" s="107"/>
      <c r="V607" s="175"/>
      <c r="W607" s="10"/>
      <c r="X607" s="10"/>
      <c r="Y607" t="str">
        <f t="shared" si="251"/>
        <v>2011</v>
      </c>
      <c r="AB607" s="10"/>
      <c r="AC607" s="10"/>
      <c r="AD607" s="10"/>
      <c r="AE607" s="10"/>
      <c r="AF607" s="10"/>
      <c r="AG607" s="10"/>
      <c r="AH607" s="10"/>
      <c r="AI607" s="10"/>
    </row>
    <row r="608" spans="1:35">
      <c r="A608" s="10"/>
      <c r="B608" s="10" t="str">
        <f t="shared" si="246"/>
        <v>Below the LinePREP</v>
      </c>
      <c r="C608" t="s">
        <v>20</v>
      </c>
      <c r="D608" t="s">
        <v>19</v>
      </c>
      <c r="E608" t="s">
        <v>234</v>
      </c>
      <c r="G608" t="s">
        <v>2394</v>
      </c>
      <c r="I608" s="10"/>
      <c r="J608" s="107">
        <f>SUMIF(Data!C:C,G608,Data!Q:Q)</f>
        <v>108000</v>
      </c>
      <c r="K608" s="107">
        <f>SUMIF(Comprometidos!A:A,'Cost Report'!G608,Comprometidos!E:E)</f>
        <v>0</v>
      </c>
      <c r="L608" s="107">
        <f t="shared" si="247"/>
        <v>108000</v>
      </c>
      <c r="M608" s="107">
        <f t="shared" si="248"/>
        <v>0</v>
      </c>
      <c r="N608" s="107">
        <f t="shared" si="249"/>
        <v>108000</v>
      </c>
      <c r="O608" s="107">
        <f>VLOOKUP(G608,Budget!$E$3:$G$2474,3,0)</f>
        <v>108000</v>
      </c>
      <c r="P608" s="107">
        <f t="shared" si="250"/>
        <v>0</v>
      </c>
      <c r="Q608" s="107"/>
      <c r="R608" s="10"/>
      <c r="S608" s="107">
        <v>108000</v>
      </c>
      <c r="T608" s="107">
        <f t="shared" si="239"/>
        <v>0</v>
      </c>
      <c r="U608" s="107"/>
      <c r="V608" s="175"/>
      <c r="W608" s="10"/>
      <c r="X608" s="10"/>
      <c r="Y608" t="str">
        <f t="shared" si="251"/>
        <v>2011</v>
      </c>
      <c r="AB608" s="10"/>
      <c r="AC608" s="10"/>
      <c r="AD608" s="10"/>
      <c r="AE608" s="10"/>
      <c r="AF608" s="10"/>
      <c r="AG608" s="10"/>
      <c r="AH608" s="10"/>
      <c r="AI608" s="10"/>
    </row>
    <row r="609" spans="1:35">
      <c r="A609" s="10"/>
      <c r="B609" s="10" t="str">
        <f t="shared" si="246"/>
        <v>Below the LineSHOOT</v>
      </c>
      <c r="C609" t="s">
        <v>20</v>
      </c>
      <c r="D609" t="s">
        <v>19</v>
      </c>
      <c r="E609" t="s">
        <v>236</v>
      </c>
      <c r="G609" t="s">
        <v>2395</v>
      </c>
      <c r="I609" s="10"/>
      <c r="J609" s="107">
        <f>SUMIF(Data!C:C,G609,Data!Q:Q)</f>
        <v>84000</v>
      </c>
      <c r="K609" s="107">
        <f>SUMIF(Comprometidos!A:A,'Cost Report'!G609,Comprometidos!E:E)</f>
        <v>0</v>
      </c>
      <c r="L609" s="107">
        <f t="shared" si="247"/>
        <v>84000</v>
      </c>
      <c r="M609" s="107">
        <f t="shared" si="248"/>
        <v>0</v>
      </c>
      <c r="N609" s="107">
        <f t="shared" si="249"/>
        <v>84000</v>
      </c>
      <c r="O609" s="107">
        <f>VLOOKUP(G609,Budget!$E$3:$G$2474,3,0)</f>
        <v>84000</v>
      </c>
      <c r="P609" s="107">
        <f t="shared" si="250"/>
        <v>0</v>
      </c>
      <c r="Q609" s="107"/>
      <c r="R609" s="10"/>
      <c r="S609" s="107">
        <v>84000</v>
      </c>
      <c r="T609" s="107">
        <f t="shared" si="239"/>
        <v>0</v>
      </c>
      <c r="U609" s="107"/>
      <c r="V609" s="175"/>
      <c r="W609" s="10"/>
      <c r="X609" s="10"/>
      <c r="Y609" t="str">
        <f t="shared" si="251"/>
        <v>2011</v>
      </c>
      <c r="AB609" s="10"/>
      <c r="AC609" s="10"/>
      <c r="AD609" s="10"/>
      <c r="AE609" s="10"/>
      <c r="AF609" s="10"/>
      <c r="AG609" s="10"/>
      <c r="AH609" s="10"/>
      <c r="AI609" s="10"/>
    </row>
    <row r="610" spans="1:35">
      <c r="A610" s="10"/>
      <c r="B610" s="10" t="str">
        <f t="shared" si="246"/>
        <v>Below the LineWRAP</v>
      </c>
      <c r="C610" t="s">
        <v>20</v>
      </c>
      <c r="D610" t="s">
        <v>19</v>
      </c>
      <c r="E610" t="s">
        <v>238</v>
      </c>
      <c r="G610" t="s">
        <v>2396</v>
      </c>
      <c r="I610" s="10"/>
      <c r="J610" s="107">
        <f>SUMIF(Data!C:C,G610,Data!Q:Q)</f>
        <v>48000</v>
      </c>
      <c r="K610" s="107">
        <f>SUMIF(Comprometidos!A:A,'Cost Report'!G610,Comprometidos!E:E)</f>
        <v>0</v>
      </c>
      <c r="L610" s="107">
        <f t="shared" si="247"/>
        <v>48000</v>
      </c>
      <c r="M610" s="107">
        <f t="shared" si="248"/>
        <v>0</v>
      </c>
      <c r="N610" s="107">
        <f t="shared" si="249"/>
        <v>48000</v>
      </c>
      <c r="O610" s="107">
        <f>VLOOKUP(G610,Budget!$E$3:$G$2474,3,0)</f>
        <v>48000</v>
      </c>
      <c r="P610" s="107">
        <f t="shared" si="250"/>
        <v>0</v>
      </c>
      <c r="Q610" s="107"/>
      <c r="R610" s="10"/>
      <c r="S610" s="107">
        <v>48000</v>
      </c>
      <c r="T610" s="107">
        <f t="shared" si="239"/>
        <v>0</v>
      </c>
      <c r="U610" s="107"/>
      <c r="V610" s="175"/>
      <c r="W610" s="10"/>
      <c r="X610" s="10"/>
      <c r="Y610" t="str">
        <f t="shared" si="251"/>
        <v>2011</v>
      </c>
      <c r="AB610" s="10"/>
      <c r="AC610" s="10"/>
      <c r="AD610" s="10"/>
      <c r="AE610" s="10"/>
      <c r="AF610" s="10"/>
      <c r="AG610" s="10"/>
      <c r="AH610" s="10"/>
      <c r="AI610" s="10"/>
    </row>
    <row r="611" spans="1:35">
      <c r="A611" s="10"/>
      <c r="B611" s="10" t="str">
        <f t="shared" si="246"/>
        <v>Below the LinePOST</v>
      </c>
      <c r="C611" t="s">
        <v>20</v>
      </c>
      <c r="D611" t="s">
        <v>19</v>
      </c>
      <c r="E611" t="s">
        <v>468</v>
      </c>
      <c r="G611" t="s">
        <v>2397</v>
      </c>
      <c r="I611" s="10"/>
      <c r="J611" s="107">
        <f>SUMIF(Data!C:C,G611,Data!Q:Q)</f>
        <v>72000</v>
      </c>
      <c r="K611" s="107">
        <f>SUMIF(Comprometidos!A:A,'Cost Report'!G611,Comprometidos!E:E)</f>
        <v>0</v>
      </c>
      <c r="L611" s="107">
        <f t="shared" si="247"/>
        <v>72000</v>
      </c>
      <c r="M611" s="107">
        <f t="shared" si="248"/>
        <v>0</v>
      </c>
      <c r="N611" s="107">
        <f t="shared" si="249"/>
        <v>72000</v>
      </c>
      <c r="O611" s="107">
        <f>VLOOKUP(G611,Budget!$E$3:$G$2474,3,0)</f>
        <v>72000</v>
      </c>
      <c r="P611" s="107">
        <f t="shared" si="250"/>
        <v>0</v>
      </c>
      <c r="Q611" s="107"/>
      <c r="R611" s="10"/>
      <c r="S611" s="107">
        <v>72000</v>
      </c>
      <c r="T611" s="107">
        <f t="shared" si="239"/>
        <v>0</v>
      </c>
      <c r="U611" s="107"/>
      <c r="V611" s="175"/>
      <c r="W611" s="10"/>
      <c r="X611" s="10"/>
      <c r="Y611" t="str">
        <f t="shared" si="251"/>
        <v>2011</v>
      </c>
      <c r="AB611" s="10"/>
      <c r="AC611" s="10"/>
      <c r="AD611" s="10"/>
      <c r="AE611" s="10"/>
      <c r="AF611" s="10"/>
      <c r="AG611" s="10"/>
      <c r="AH611" s="10"/>
      <c r="AI611" s="10"/>
    </row>
    <row r="612" spans="1:35">
      <c r="A612" s="10"/>
      <c r="B612" s="10" t="str">
        <f t="shared" si="246"/>
        <v>Below the Line</v>
      </c>
      <c r="C612" t="s">
        <v>20</v>
      </c>
      <c r="D612" t="s">
        <v>19</v>
      </c>
      <c r="E612" t="s">
        <v>214</v>
      </c>
      <c r="G612" t="s">
        <v>2398</v>
      </c>
      <c r="I612" s="10"/>
      <c r="J612" s="107">
        <f>SUMIF(Data!C:C,G612,Data!Q:Q)</f>
        <v>0</v>
      </c>
      <c r="K612" s="107">
        <f>SUMIF(Comprometidos!A:A,'Cost Report'!G612,Comprometidos!E:E)</f>
        <v>0</v>
      </c>
      <c r="L612" s="107">
        <f t="shared" si="247"/>
        <v>0</v>
      </c>
      <c r="M612" s="107">
        <f t="shared" si="248"/>
        <v>0</v>
      </c>
      <c r="N612" s="107">
        <f t="shared" si="249"/>
        <v>0</v>
      </c>
      <c r="O612" s="107">
        <f>VLOOKUP(G612,Budget!$E$3:$G$2474,3,0)</f>
        <v>0</v>
      </c>
      <c r="P612" s="107">
        <f t="shared" si="250"/>
        <v>0</v>
      </c>
      <c r="Q612" s="107"/>
      <c r="R612" s="10"/>
      <c r="S612" s="107">
        <v>0</v>
      </c>
      <c r="T612" s="107">
        <f t="shared" si="239"/>
        <v>0</v>
      </c>
      <c r="U612" s="107"/>
      <c r="V612" s="175"/>
      <c r="W612" s="10"/>
      <c r="X612" s="10"/>
      <c r="Y612" t="str">
        <f t="shared" si="251"/>
        <v>2011</v>
      </c>
      <c r="AB612" s="10"/>
      <c r="AC612" s="10"/>
      <c r="AD612" s="10"/>
      <c r="AE612" s="10"/>
      <c r="AF612" s="10"/>
      <c r="AG612" s="10"/>
      <c r="AH612" s="10"/>
      <c r="AI612" s="10"/>
    </row>
    <row r="613" spans="1:35">
      <c r="A613" s="10"/>
      <c r="B613" s="10" t="str">
        <f t="shared" si="246"/>
        <v>Below the LineSOFT</v>
      </c>
      <c r="C613" t="s">
        <v>20</v>
      </c>
      <c r="D613" t="s">
        <v>19</v>
      </c>
      <c r="E613" t="s">
        <v>233</v>
      </c>
      <c r="G613" t="s">
        <v>2399</v>
      </c>
      <c r="I613" s="10"/>
      <c r="J613" s="107">
        <f>SUMIF(Data!C:C,G613,Data!Q:Q)</f>
        <v>12500</v>
      </c>
      <c r="K613" s="107">
        <f>SUMIF(Comprometidos!A:A,'Cost Report'!G613,Comprometidos!E:E)</f>
        <v>0</v>
      </c>
      <c r="L613" s="107">
        <f t="shared" si="247"/>
        <v>12500</v>
      </c>
      <c r="M613" s="107">
        <f t="shared" si="248"/>
        <v>0</v>
      </c>
      <c r="N613" s="107">
        <f t="shared" si="249"/>
        <v>12500</v>
      </c>
      <c r="O613" s="107">
        <f>VLOOKUP(G613,Budget!$E$3:$G$2474,3,0)</f>
        <v>12500</v>
      </c>
      <c r="P613" s="107">
        <f t="shared" si="250"/>
        <v>0</v>
      </c>
      <c r="Q613" s="107"/>
      <c r="R613" s="10"/>
      <c r="S613" s="107">
        <v>12500</v>
      </c>
      <c r="T613" s="107">
        <f t="shared" si="239"/>
        <v>0</v>
      </c>
      <c r="U613" s="107"/>
      <c r="V613" s="175"/>
      <c r="W613" s="10"/>
      <c r="X613" s="10"/>
      <c r="Y613" t="str">
        <f t="shared" si="251"/>
        <v>2011</v>
      </c>
      <c r="AB613" s="10"/>
      <c r="AC613" s="10"/>
      <c r="AD613" s="10"/>
      <c r="AE613" s="10"/>
      <c r="AF613" s="10"/>
      <c r="AG613" s="10"/>
      <c r="AH613" s="10"/>
      <c r="AI613" s="10"/>
    </row>
    <row r="614" spans="1:35">
      <c r="A614" s="10"/>
      <c r="B614" s="10" t="str">
        <f t="shared" si="246"/>
        <v>Below the LinePREP</v>
      </c>
      <c r="C614" t="s">
        <v>20</v>
      </c>
      <c r="D614" t="s">
        <v>19</v>
      </c>
      <c r="E614" t="s">
        <v>234</v>
      </c>
      <c r="G614" t="s">
        <v>2400</v>
      </c>
      <c r="I614" s="10"/>
      <c r="J614" s="107">
        <f>SUMIF(Data!C:C,G614,Data!Q:Q)</f>
        <v>90000</v>
      </c>
      <c r="K614" s="107">
        <f>SUMIF(Comprometidos!A:A,'Cost Report'!G614,Comprometidos!E:E)</f>
        <v>0</v>
      </c>
      <c r="L614" s="107">
        <f t="shared" si="247"/>
        <v>90000</v>
      </c>
      <c r="M614" s="107">
        <f t="shared" si="248"/>
        <v>0</v>
      </c>
      <c r="N614" s="107">
        <f t="shared" si="249"/>
        <v>90000</v>
      </c>
      <c r="O614" s="107">
        <f>VLOOKUP(G614,Budget!$E$3:$G$2474,3,0)</f>
        <v>90000</v>
      </c>
      <c r="P614" s="107">
        <f t="shared" si="250"/>
        <v>0</v>
      </c>
      <c r="Q614" s="107"/>
      <c r="R614" s="10"/>
      <c r="S614" s="107">
        <v>90000</v>
      </c>
      <c r="T614" s="107">
        <f t="shared" si="239"/>
        <v>0</v>
      </c>
      <c r="U614" s="107"/>
      <c r="V614" s="175"/>
      <c r="W614" s="10"/>
      <c r="X614" s="10"/>
      <c r="Y614" t="str">
        <f t="shared" si="251"/>
        <v>2011</v>
      </c>
      <c r="AB614" s="10"/>
      <c r="AC614" s="10"/>
      <c r="AD614" s="10"/>
      <c r="AE614" s="10"/>
      <c r="AF614" s="10"/>
      <c r="AG614" s="10"/>
      <c r="AH614" s="10"/>
      <c r="AI614" s="10"/>
    </row>
    <row r="615" spans="1:35">
      <c r="A615" s="10"/>
      <c r="B615" s="10" t="str">
        <f t="shared" si="246"/>
        <v>Below the LineSHOOT</v>
      </c>
      <c r="C615" t="s">
        <v>20</v>
      </c>
      <c r="D615" t="s">
        <v>19</v>
      </c>
      <c r="E615" t="s">
        <v>236</v>
      </c>
      <c r="G615" t="s">
        <v>2401</v>
      </c>
      <c r="I615" s="10"/>
      <c r="J615" s="107">
        <f>SUMIF(Data!C:C,G615,Data!Q:Q)</f>
        <v>70000</v>
      </c>
      <c r="K615" s="107">
        <f>SUMIF(Comprometidos!A:A,'Cost Report'!G615,Comprometidos!E:E)</f>
        <v>0</v>
      </c>
      <c r="L615" s="107">
        <f t="shared" si="247"/>
        <v>70000</v>
      </c>
      <c r="M615" s="107">
        <f t="shared" si="248"/>
        <v>0</v>
      </c>
      <c r="N615" s="107">
        <f t="shared" si="249"/>
        <v>70000</v>
      </c>
      <c r="O615" s="107">
        <f>VLOOKUP(G615,Budget!$E$3:$G$2474,3,0)</f>
        <v>70000</v>
      </c>
      <c r="P615" s="107">
        <f t="shared" si="250"/>
        <v>0</v>
      </c>
      <c r="Q615" s="107"/>
      <c r="R615" s="10"/>
      <c r="S615" s="107">
        <v>70000</v>
      </c>
      <c r="T615" s="107">
        <f t="shared" si="239"/>
        <v>0</v>
      </c>
      <c r="U615" s="107"/>
      <c r="V615" s="175"/>
      <c r="W615" s="10"/>
      <c r="X615" s="10"/>
      <c r="Y615" t="str">
        <f t="shared" si="251"/>
        <v>2011</v>
      </c>
      <c r="AB615" s="10"/>
      <c r="AC615" s="10"/>
      <c r="AD615" s="10"/>
      <c r="AE615" s="10"/>
      <c r="AF615" s="10"/>
      <c r="AG615" s="10"/>
      <c r="AH615" s="10"/>
      <c r="AI615" s="10"/>
    </row>
    <row r="616" spans="1:35">
      <c r="A616" s="10"/>
      <c r="B616" s="10" t="str">
        <f t="shared" si="246"/>
        <v>Below the LineWRAP</v>
      </c>
      <c r="C616" t="s">
        <v>20</v>
      </c>
      <c r="D616" t="s">
        <v>19</v>
      </c>
      <c r="E616" t="s">
        <v>238</v>
      </c>
      <c r="G616" t="s">
        <v>2402</v>
      </c>
      <c r="I616" s="10"/>
      <c r="J616" s="107">
        <f>SUMIF(Data!C:C,G616,Data!Q:Q)</f>
        <v>40000</v>
      </c>
      <c r="K616" s="107">
        <f>SUMIF(Comprometidos!A:A,'Cost Report'!G616,Comprometidos!E:E)</f>
        <v>0</v>
      </c>
      <c r="L616" s="107">
        <f t="shared" si="247"/>
        <v>40000</v>
      </c>
      <c r="M616" s="107">
        <f t="shared" si="248"/>
        <v>0</v>
      </c>
      <c r="N616" s="107">
        <f t="shared" si="249"/>
        <v>40000</v>
      </c>
      <c r="O616" s="107">
        <f>VLOOKUP(G616,Budget!$E$3:$G$2474,3,0)</f>
        <v>40000</v>
      </c>
      <c r="P616" s="107">
        <f t="shared" si="250"/>
        <v>0</v>
      </c>
      <c r="Q616" s="107"/>
      <c r="R616" s="10"/>
      <c r="S616" s="107">
        <v>40000</v>
      </c>
      <c r="T616" s="107">
        <f t="shared" si="239"/>
        <v>0</v>
      </c>
      <c r="U616" s="107"/>
      <c r="V616" s="175"/>
      <c r="W616" s="10"/>
      <c r="X616" s="10"/>
      <c r="Y616" t="str">
        <f t="shared" si="251"/>
        <v>2011</v>
      </c>
      <c r="AB616" s="10"/>
      <c r="AC616" s="10"/>
      <c r="AD616" s="10"/>
      <c r="AE616" s="10"/>
      <c r="AF616" s="10"/>
      <c r="AG616" s="10"/>
      <c r="AH616" s="10"/>
      <c r="AI616" s="10"/>
    </row>
    <row r="617" spans="1:35">
      <c r="A617" s="10"/>
      <c r="B617" s="10" t="str">
        <f t="shared" si="246"/>
        <v>Below the LinePOST</v>
      </c>
      <c r="C617" t="s">
        <v>20</v>
      </c>
      <c r="D617" t="s">
        <v>19</v>
      </c>
      <c r="E617" t="s">
        <v>468</v>
      </c>
      <c r="G617" t="s">
        <v>2403</v>
      </c>
      <c r="I617" s="10"/>
      <c r="J617" s="107">
        <f>SUMIF(Data!C:C,G617,Data!Q:Q)</f>
        <v>60000</v>
      </c>
      <c r="K617" s="107">
        <f>SUMIF(Comprometidos!A:A,'Cost Report'!G617,Comprometidos!E:E)</f>
        <v>0</v>
      </c>
      <c r="L617" s="107">
        <f t="shared" si="247"/>
        <v>60000</v>
      </c>
      <c r="M617" s="107">
        <f t="shared" si="248"/>
        <v>0</v>
      </c>
      <c r="N617" s="107">
        <f t="shared" si="249"/>
        <v>60000</v>
      </c>
      <c r="O617" s="107">
        <f>VLOOKUP(G617,Budget!$E$3:$G$2474,3,0)</f>
        <v>60000</v>
      </c>
      <c r="P617" s="107">
        <f t="shared" si="250"/>
        <v>0</v>
      </c>
      <c r="Q617" s="107"/>
      <c r="R617" s="10"/>
      <c r="S617" s="107">
        <v>60000</v>
      </c>
      <c r="T617" s="107">
        <f t="shared" si="239"/>
        <v>0</v>
      </c>
      <c r="U617" s="107"/>
      <c r="V617" s="175"/>
      <c r="W617" s="10"/>
      <c r="X617" s="10"/>
      <c r="Y617" t="str">
        <f t="shared" si="251"/>
        <v>2011</v>
      </c>
      <c r="AB617" s="10"/>
      <c r="AC617" s="10"/>
      <c r="AD617" s="10"/>
      <c r="AE617" s="10"/>
      <c r="AF617" s="10"/>
      <c r="AG617" s="10"/>
      <c r="AH617" s="10"/>
      <c r="AI617" s="10"/>
    </row>
    <row r="618" spans="1:35">
      <c r="A618" s="10"/>
      <c r="B618" s="10" t="str">
        <f t="shared" si="246"/>
        <v>Below the Line</v>
      </c>
      <c r="C618" t="s">
        <v>20</v>
      </c>
      <c r="D618" t="s">
        <v>19</v>
      </c>
      <c r="E618" t="s">
        <v>214</v>
      </c>
      <c r="G618" t="s">
        <v>2404</v>
      </c>
      <c r="I618" s="10"/>
      <c r="J618" s="107">
        <f>SUMIF(Data!C:C,G618,Data!Q:Q)</f>
        <v>0</v>
      </c>
      <c r="K618" s="107">
        <f>SUMIF(Comprometidos!A:A,'Cost Report'!G618,Comprometidos!E:E)</f>
        <v>0</v>
      </c>
      <c r="L618" s="107">
        <f t="shared" si="247"/>
        <v>0</v>
      </c>
      <c r="M618" s="107">
        <f t="shared" si="248"/>
        <v>0</v>
      </c>
      <c r="N618" s="107">
        <f t="shared" si="249"/>
        <v>0</v>
      </c>
      <c r="O618" s="107">
        <f>VLOOKUP(G618,Budget!$E$3:$G$2474,3,0)</f>
        <v>0</v>
      </c>
      <c r="P618" s="107">
        <f t="shared" si="250"/>
        <v>0</v>
      </c>
      <c r="Q618" s="107"/>
      <c r="R618" s="10"/>
      <c r="S618" s="107">
        <v>0</v>
      </c>
      <c r="T618" s="107">
        <f t="shared" si="239"/>
        <v>0</v>
      </c>
      <c r="U618" s="107"/>
      <c r="V618" s="175"/>
      <c r="W618" s="10"/>
      <c r="X618" s="10"/>
      <c r="Y618" t="str">
        <f t="shared" si="251"/>
        <v>2011</v>
      </c>
      <c r="AB618" s="10"/>
      <c r="AC618" s="10"/>
      <c r="AD618" s="10"/>
      <c r="AE618" s="10"/>
      <c r="AF618" s="10"/>
      <c r="AG618" s="10"/>
      <c r="AH618" s="10"/>
      <c r="AI618" s="10"/>
    </row>
    <row r="619" spans="1:35">
      <c r="A619" s="10"/>
      <c r="B619" s="10" t="str">
        <f t="shared" si="246"/>
        <v>Below the LineSOFT</v>
      </c>
      <c r="C619" t="s">
        <v>20</v>
      </c>
      <c r="D619" t="s">
        <v>19</v>
      </c>
      <c r="E619" t="s">
        <v>233</v>
      </c>
      <c r="G619" t="s">
        <v>2405</v>
      </c>
      <c r="I619" s="10"/>
      <c r="J619" s="107">
        <f>SUMIF(Data!C:C,G619,Data!Q:Q)</f>
        <v>18000</v>
      </c>
      <c r="K619" s="107">
        <f>SUMIF(Comprometidos!A:A,'Cost Report'!G619,Comprometidos!E:E)</f>
        <v>0</v>
      </c>
      <c r="L619" s="107">
        <f t="shared" si="247"/>
        <v>18000</v>
      </c>
      <c r="M619" s="107">
        <f t="shared" si="248"/>
        <v>0</v>
      </c>
      <c r="N619" s="107">
        <f t="shared" si="249"/>
        <v>18000</v>
      </c>
      <c r="O619" s="107">
        <f>VLOOKUP(G619,Budget!$E$3:$G$2474,3,0)</f>
        <v>18000</v>
      </c>
      <c r="P619" s="107">
        <f t="shared" si="250"/>
        <v>0</v>
      </c>
      <c r="Q619" s="107"/>
      <c r="R619" s="10"/>
      <c r="S619" s="107">
        <v>18000</v>
      </c>
      <c r="T619" s="107">
        <f t="shared" si="239"/>
        <v>0</v>
      </c>
      <c r="U619" s="107"/>
      <c r="V619" s="175"/>
      <c r="W619" s="10"/>
      <c r="X619" s="10"/>
      <c r="Y619" t="str">
        <f t="shared" si="251"/>
        <v>2011</v>
      </c>
      <c r="AB619" s="10"/>
      <c r="AC619" s="10"/>
      <c r="AD619" s="10"/>
      <c r="AE619" s="10"/>
      <c r="AF619" s="10"/>
      <c r="AG619" s="10"/>
      <c r="AH619" s="10"/>
      <c r="AI619" s="10"/>
    </row>
    <row r="620" spans="1:35">
      <c r="A620" s="10"/>
      <c r="B620" s="10" t="str">
        <f t="shared" si="246"/>
        <v>Below the LinePREP</v>
      </c>
      <c r="C620" t="s">
        <v>20</v>
      </c>
      <c r="D620" t="s">
        <v>19</v>
      </c>
      <c r="E620" t="s">
        <v>234</v>
      </c>
      <c r="G620" t="s">
        <v>2406</v>
      </c>
      <c r="I620" s="10"/>
      <c r="J620" s="107">
        <f>SUMIF(Data!C:C,G620,Data!Q:Q)</f>
        <v>49500</v>
      </c>
      <c r="K620" s="107">
        <f>SUMIF(Comprometidos!A:A,'Cost Report'!G620,Comprometidos!E:E)</f>
        <v>0</v>
      </c>
      <c r="L620" s="107">
        <f t="shared" si="247"/>
        <v>49500</v>
      </c>
      <c r="M620" s="107">
        <f t="shared" si="248"/>
        <v>0</v>
      </c>
      <c r="N620" s="107">
        <f t="shared" si="249"/>
        <v>49500</v>
      </c>
      <c r="O620" s="107">
        <f>VLOOKUP(G620,Budget!$E$3:$G$2474,3,0)</f>
        <v>49500</v>
      </c>
      <c r="P620" s="107">
        <f t="shared" si="250"/>
        <v>0</v>
      </c>
      <c r="Q620" s="107"/>
      <c r="R620" s="10"/>
      <c r="S620" s="107">
        <v>49500</v>
      </c>
      <c r="T620" s="107">
        <f t="shared" si="239"/>
        <v>0</v>
      </c>
      <c r="U620" s="107"/>
      <c r="V620" s="175"/>
      <c r="W620" s="10"/>
      <c r="X620" s="10"/>
      <c r="Y620" t="str">
        <f t="shared" si="251"/>
        <v>2011</v>
      </c>
      <c r="AB620" s="10"/>
      <c r="AC620" s="10"/>
      <c r="AD620" s="10"/>
      <c r="AE620" s="10"/>
      <c r="AF620" s="10"/>
      <c r="AG620" s="10"/>
      <c r="AH620" s="10"/>
      <c r="AI620" s="10"/>
    </row>
    <row r="621" spans="1:35">
      <c r="A621" s="10"/>
      <c r="B621" s="10" t="str">
        <f t="shared" si="246"/>
        <v>Below the LineSHOOT</v>
      </c>
      <c r="C621" t="s">
        <v>20</v>
      </c>
      <c r="D621" t="s">
        <v>19</v>
      </c>
      <c r="E621" t="s">
        <v>236</v>
      </c>
      <c r="G621" t="s">
        <v>2407</v>
      </c>
      <c r="I621" s="10"/>
      <c r="J621" s="107">
        <f>SUMIF(Data!C:C,G621,Data!Q:Q)</f>
        <v>38500</v>
      </c>
      <c r="K621" s="107">
        <f>SUMIF(Comprometidos!A:A,'Cost Report'!G621,Comprometidos!E:E)</f>
        <v>0</v>
      </c>
      <c r="L621" s="107">
        <f t="shared" si="247"/>
        <v>38500</v>
      </c>
      <c r="M621" s="107">
        <f t="shared" si="248"/>
        <v>0</v>
      </c>
      <c r="N621" s="107">
        <f t="shared" si="249"/>
        <v>38500</v>
      </c>
      <c r="O621" s="107">
        <f>VLOOKUP(G621,Budget!$E$3:$G$2474,3,0)</f>
        <v>38500</v>
      </c>
      <c r="P621" s="107">
        <f t="shared" si="250"/>
        <v>0</v>
      </c>
      <c r="Q621" s="107"/>
      <c r="R621" s="10"/>
      <c r="S621" s="107">
        <v>38500</v>
      </c>
      <c r="T621" s="107">
        <f t="shared" si="239"/>
        <v>0</v>
      </c>
      <c r="U621" s="107"/>
      <c r="V621" s="175"/>
      <c r="W621" s="10"/>
      <c r="X621" s="10"/>
      <c r="Y621" t="str">
        <f t="shared" si="251"/>
        <v>2011</v>
      </c>
      <c r="AB621" s="10"/>
      <c r="AC621" s="10"/>
      <c r="AD621" s="10"/>
      <c r="AE621" s="10"/>
      <c r="AF621" s="10"/>
      <c r="AG621" s="10"/>
      <c r="AH621" s="10"/>
      <c r="AI621" s="10"/>
    </row>
    <row r="622" spans="1:35">
      <c r="A622" s="10"/>
      <c r="B622" s="10" t="str">
        <f t="shared" si="246"/>
        <v>Below the LineWRAP</v>
      </c>
      <c r="C622" t="s">
        <v>20</v>
      </c>
      <c r="D622" t="s">
        <v>19</v>
      </c>
      <c r="E622" t="s">
        <v>238</v>
      </c>
      <c r="G622" t="s">
        <v>2408</v>
      </c>
      <c r="I622" s="10"/>
      <c r="J622" s="107">
        <f>SUMIF(Data!C:C,G622,Data!Q:Q)</f>
        <v>22000</v>
      </c>
      <c r="K622" s="107">
        <f>SUMIF(Comprometidos!A:A,'Cost Report'!G622,Comprometidos!E:E)</f>
        <v>0</v>
      </c>
      <c r="L622" s="107">
        <f t="shared" si="247"/>
        <v>22000</v>
      </c>
      <c r="M622" s="107">
        <f t="shared" si="248"/>
        <v>0</v>
      </c>
      <c r="N622" s="107">
        <f t="shared" si="249"/>
        <v>22000</v>
      </c>
      <c r="O622" s="107">
        <f>VLOOKUP(G622,Budget!$E$3:$G$2474,3,0)</f>
        <v>22000</v>
      </c>
      <c r="P622" s="107">
        <f t="shared" si="250"/>
        <v>0</v>
      </c>
      <c r="Q622" s="107"/>
      <c r="R622" s="10"/>
      <c r="S622" s="107">
        <v>22000</v>
      </c>
      <c r="T622" s="107">
        <f t="shared" si="239"/>
        <v>0</v>
      </c>
      <c r="U622" s="107"/>
      <c r="V622" s="175"/>
      <c r="W622" s="10"/>
      <c r="X622" s="10"/>
      <c r="Y622" t="str">
        <f t="shared" si="251"/>
        <v>2011</v>
      </c>
      <c r="AB622" s="10"/>
      <c r="AC622" s="10"/>
      <c r="AD622" s="10"/>
      <c r="AE622" s="10"/>
      <c r="AF622" s="10"/>
      <c r="AG622" s="10"/>
      <c r="AH622" s="10"/>
      <c r="AI622" s="10"/>
    </row>
    <row r="623" spans="1:35">
      <c r="A623" s="10"/>
      <c r="B623" s="10" t="str">
        <f t="shared" si="246"/>
        <v>Below the LinePOST</v>
      </c>
      <c r="C623" t="s">
        <v>20</v>
      </c>
      <c r="D623" t="s">
        <v>19</v>
      </c>
      <c r="E623" t="s">
        <v>468</v>
      </c>
      <c r="G623" t="s">
        <v>2409</v>
      </c>
      <c r="I623" s="10"/>
      <c r="J623" s="107">
        <f>SUMIF(Data!C:C,G623,Data!Q:Q)</f>
        <v>22000</v>
      </c>
      <c r="K623" s="107">
        <f>SUMIF(Comprometidos!A:A,'Cost Report'!G623,Comprometidos!E:E)</f>
        <v>0</v>
      </c>
      <c r="L623" s="107">
        <f t="shared" si="247"/>
        <v>22000</v>
      </c>
      <c r="M623" s="107">
        <f t="shared" si="248"/>
        <v>0</v>
      </c>
      <c r="N623" s="107">
        <f t="shared" si="249"/>
        <v>22000</v>
      </c>
      <c r="O623" s="107">
        <f>VLOOKUP(G623,Budget!$E$3:$G$2474,3,0)</f>
        <v>22000</v>
      </c>
      <c r="P623" s="107">
        <f t="shared" si="250"/>
        <v>0</v>
      </c>
      <c r="Q623" s="107"/>
      <c r="R623" s="10"/>
      <c r="S623" s="107">
        <v>22000</v>
      </c>
      <c r="T623" s="107">
        <f t="shared" si="239"/>
        <v>0</v>
      </c>
      <c r="U623" s="107"/>
      <c r="V623" s="175"/>
      <c r="W623" s="10"/>
      <c r="X623" s="10"/>
      <c r="Y623" t="str">
        <f t="shared" si="251"/>
        <v>2011</v>
      </c>
      <c r="AB623" s="10"/>
      <c r="AC623" s="10"/>
      <c r="AD623" s="10"/>
      <c r="AE623" s="10"/>
      <c r="AF623" s="10"/>
      <c r="AG623" s="10"/>
      <c r="AH623" s="10"/>
      <c r="AI623" s="10"/>
    </row>
    <row r="624" spans="1:35">
      <c r="A624" s="10"/>
      <c r="B624" s="10" t="str">
        <f>+C624</f>
        <v>Below the Line</v>
      </c>
      <c r="C624" s="128" t="s">
        <v>20</v>
      </c>
      <c r="D624" s="128" t="s">
        <v>2117</v>
      </c>
      <c r="E624" s="128"/>
      <c r="F624" s="128"/>
      <c r="G624" s="128" t="s">
        <v>472</v>
      </c>
      <c r="H624" s="128"/>
      <c r="I624" s="10"/>
      <c r="J624" s="129">
        <f>SUMIF($Y$11:$Y$2484,G624,J$11:J$2484)</f>
        <v>567000</v>
      </c>
      <c r="K624" s="129">
        <f>SUMIF($Y$11:$Y$2484,G624,K$11:K$2484)</f>
        <v>0</v>
      </c>
      <c r="L624" s="129">
        <f>SUMIF($Y$11:$Y$2484,G624,L$11:L$2484)</f>
        <v>567000</v>
      </c>
      <c r="M624" s="129">
        <f>SUMIF($Y$11:$Y$2484,G624,M$11:M$2484)</f>
        <v>0</v>
      </c>
      <c r="N624" s="129">
        <f>SUMIF($Y$11:$Y$2484,G624,N$11:N$2484)</f>
        <v>567000</v>
      </c>
      <c r="O624" s="129">
        <f>SUMIF($Y$11:$Y$2484,G624,O$11:O$2484)</f>
        <v>491400</v>
      </c>
      <c r="P624" s="129">
        <f>SUMIF($Y$11:$Y$2484,G624,P$11:P$2484)</f>
        <v>-75600</v>
      </c>
      <c r="Q624" s="129"/>
      <c r="R624" s="10"/>
      <c r="S624" s="129">
        <v>567000</v>
      </c>
      <c r="T624" s="129">
        <f t="shared" si="239"/>
        <v>0</v>
      </c>
      <c r="U624" s="128"/>
      <c r="V624" s="175"/>
      <c r="W624" s="10"/>
      <c r="X624" s="10"/>
      <c r="Z624" t="str">
        <f>LEFT(G624,2)</f>
        <v>20</v>
      </c>
      <c r="AA624" t="str">
        <f>+Z624&amp;"00"</f>
        <v>2000</v>
      </c>
      <c r="AB624" s="10"/>
      <c r="AC624" s="10"/>
      <c r="AD624" s="10"/>
      <c r="AE624" s="10"/>
      <c r="AF624" s="10"/>
      <c r="AG624" s="10"/>
      <c r="AH624" s="10"/>
      <c r="AI624" s="10"/>
    </row>
    <row r="625" spans="1:35">
      <c r="A625" s="10"/>
      <c r="B625" s="10" t="str">
        <f t="shared" ref="B625:B629" si="252">+C625&amp;E625</f>
        <v>Below the Line</v>
      </c>
      <c r="C625" t="s">
        <v>20</v>
      </c>
      <c r="D625" t="s">
        <v>19</v>
      </c>
      <c r="E625" t="s">
        <v>214</v>
      </c>
      <c r="G625" t="s">
        <v>181</v>
      </c>
      <c r="I625" s="10"/>
      <c r="J625" s="107">
        <f>SUMIF(Data!C:C,G625,Data!Q:Q)</f>
        <v>0</v>
      </c>
      <c r="K625" s="107">
        <f>SUMIF(Comprometidos!A:A,'Cost Report'!G625,Comprometidos!E:E)</f>
        <v>0</v>
      </c>
      <c r="L625" s="107">
        <f t="shared" ref="L625:L641" si="253">+J625+K625</f>
        <v>0</v>
      </c>
      <c r="M625" s="107">
        <f t="shared" ref="M625:M639" si="254">+O625-L625</f>
        <v>0</v>
      </c>
      <c r="N625" s="107">
        <f t="shared" ref="N625:N641" si="255">+L625+M625</f>
        <v>0</v>
      </c>
      <c r="O625" s="107">
        <f>VLOOKUP(G625,Budget!$E$3:$G$2474,3,0)</f>
        <v>0</v>
      </c>
      <c r="P625" s="107">
        <f t="shared" ref="P625:P641" si="256">+O625-N625</f>
        <v>0</v>
      </c>
      <c r="Q625" s="107"/>
      <c r="R625" s="10"/>
      <c r="S625" s="107">
        <v>0</v>
      </c>
      <c r="T625" s="107">
        <f t="shared" si="239"/>
        <v>0</v>
      </c>
      <c r="U625" s="107"/>
      <c r="V625" s="175"/>
      <c r="W625" s="10"/>
      <c r="X625" s="10"/>
      <c r="Y625" t="str">
        <f t="shared" ref="Y625:Y629" si="257">LEFT(G625,4)</f>
        <v>2013</v>
      </c>
      <c r="AB625" s="10"/>
      <c r="AC625" s="10"/>
      <c r="AD625" s="10"/>
      <c r="AE625" s="10"/>
      <c r="AF625" s="10"/>
      <c r="AG625" s="10"/>
      <c r="AH625" s="10"/>
      <c r="AI625" s="10"/>
    </row>
    <row r="626" spans="1:35">
      <c r="A626" s="10"/>
      <c r="B626" s="10" t="str">
        <f t="shared" si="252"/>
        <v>Below the LineSOFT</v>
      </c>
      <c r="C626" t="s">
        <v>20</v>
      </c>
      <c r="D626" t="s">
        <v>19</v>
      </c>
      <c r="E626" t="s">
        <v>233</v>
      </c>
      <c r="G626" t="s">
        <v>473</v>
      </c>
      <c r="I626" s="10"/>
      <c r="J626" s="107">
        <f>SUMIF(Data!C:C,G626,Data!Q:Q)</f>
        <v>94500</v>
      </c>
      <c r="K626" s="107">
        <f>SUMIF(Comprometidos!A:A,'Cost Report'!G626,Comprometidos!E:E)</f>
        <v>0</v>
      </c>
      <c r="L626" s="107">
        <f t="shared" si="253"/>
        <v>94500</v>
      </c>
      <c r="M626" s="107">
        <f t="shared" si="254"/>
        <v>0</v>
      </c>
      <c r="N626" s="107">
        <f t="shared" si="255"/>
        <v>94500</v>
      </c>
      <c r="O626" s="107">
        <f>VLOOKUP(G626,Budget!$E$3:$G$2474,3,0)</f>
        <v>94500</v>
      </c>
      <c r="P626" s="107">
        <f t="shared" si="256"/>
        <v>0</v>
      </c>
      <c r="Q626" s="107"/>
      <c r="R626" s="10"/>
      <c r="S626" s="107">
        <v>94500</v>
      </c>
      <c r="T626" s="107">
        <f t="shared" si="239"/>
        <v>0</v>
      </c>
      <c r="U626" s="107"/>
      <c r="V626" s="175"/>
      <c r="W626" s="10"/>
      <c r="X626" s="10"/>
      <c r="Y626" t="str">
        <f t="shared" si="257"/>
        <v>2013</v>
      </c>
      <c r="AB626" s="10"/>
      <c r="AC626" s="10"/>
      <c r="AD626" s="10"/>
      <c r="AE626" s="10"/>
      <c r="AF626" s="10"/>
      <c r="AG626" s="10"/>
      <c r="AH626" s="10"/>
      <c r="AI626" s="10"/>
    </row>
    <row r="627" spans="1:35">
      <c r="A627" s="10"/>
      <c r="B627" s="10" t="str">
        <f t="shared" si="252"/>
        <v>Below the LinePREP</v>
      </c>
      <c r="C627" t="s">
        <v>20</v>
      </c>
      <c r="D627" t="s">
        <v>19</v>
      </c>
      <c r="E627" t="s">
        <v>234</v>
      </c>
      <c r="G627" t="s">
        <v>474</v>
      </c>
      <c r="I627" s="10"/>
      <c r="J627" s="107">
        <f>SUMIF(Data!C:C,G627,Data!Q:Q)</f>
        <v>170100</v>
      </c>
      <c r="K627" s="107">
        <f>SUMIF(Comprometidos!A:A,'Cost Report'!G627,Comprometidos!E:E)</f>
        <v>0</v>
      </c>
      <c r="L627" s="107">
        <f t="shared" si="253"/>
        <v>170100</v>
      </c>
      <c r="M627" s="107">
        <f t="shared" si="254"/>
        <v>0</v>
      </c>
      <c r="N627" s="107">
        <f t="shared" si="255"/>
        <v>170100</v>
      </c>
      <c r="O627" s="107">
        <f>VLOOKUP(G627,Budget!$E$3:$G$2474,3,0)</f>
        <v>170100</v>
      </c>
      <c r="P627" s="107">
        <f t="shared" si="256"/>
        <v>0</v>
      </c>
      <c r="Q627" s="107"/>
      <c r="R627" s="10"/>
      <c r="S627" s="107">
        <v>170100</v>
      </c>
      <c r="T627" s="107">
        <f t="shared" si="239"/>
        <v>0</v>
      </c>
      <c r="U627" s="107"/>
      <c r="V627" s="175"/>
      <c r="W627" s="10"/>
      <c r="X627" s="10"/>
      <c r="Y627" t="str">
        <f t="shared" si="257"/>
        <v>2013</v>
      </c>
      <c r="AB627" s="10"/>
      <c r="AC627" s="10"/>
      <c r="AD627" s="10"/>
      <c r="AE627" s="10"/>
      <c r="AF627" s="10"/>
      <c r="AG627" s="10"/>
      <c r="AH627" s="10"/>
      <c r="AI627" s="10"/>
    </row>
    <row r="628" spans="1:35">
      <c r="A628" s="10"/>
      <c r="B628" s="10" t="str">
        <f t="shared" si="252"/>
        <v>Below the LineSHOOT</v>
      </c>
      <c r="C628" t="s">
        <v>20</v>
      </c>
      <c r="D628" t="s">
        <v>19</v>
      </c>
      <c r="E628" t="s">
        <v>236</v>
      </c>
      <c r="G628" t="s">
        <v>475</v>
      </c>
      <c r="I628" s="10"/>
      <c r="J628" s="107">
        <f>SUMIF(Data!C:C,G628,Data!Q:Q)</f>
        <v>132300</v>
      </c>
      <c r="K628" s="107">
        <f>SUMIF(Comprometidos!A:A,'Cost Report'!G628,Comprometidos!E:E)</f>
        <v>0</v>
      </c>
      <c r="L628" s="107">
        <f t="shared" si="253"/>
        <v>132300</v>
      </c>
      <c r="M628" s="107">
        <f t="shared" si="254"/>
        <v>0</v>
      </c>
      <c r="N628" s="107">
        <f t="shared" si="255"/>
        <v>132300</v>
      </c>
      <c r="O628" s="107">
        <f>VLOOKUP(G628,Budget!$E$3:$G$2474,3,0)</f>
        <v>132300</v>
      </c>
      <c r="P628" s="107">
        <f t="shared" si="256"/>
        <v>0</v>
      </c>
      <c r="Q628" s="107"/>
      <c r="R628" s="10"/>
      <c r="S628" s="107">
        <v>132300</v>
      </c>
      <c r="T628" s="107">
        <f t="shared" si="239"/>
        <v>0</v>
      </c>
      <c r="U628" s="107"/>
      <c r="V628" s="175"/>
      <c r="W628" s="10"/>
      <c r="X628" s="10"/>
      <c r="Y628" t="str">
        <f t="shared" si="257"/>
        <v>2013</v>
      </c>
      <c r="AB628" s="10"/>
      <c r="AC628" s="10"/>
      <c r="AD628" s="10"/>
      <c r="AE628" s="10"/>
      <c r="AF628" s="10"/>
      <c r="AG628" s="10"/>
      <c r="AH628" s="10"/>
      <c r="AI628" s="10"/>
    </row>
    <row r="629" spans="1:35">
      <c r="A629" s="10"/>
      <c r="B629" s="10" t="str">
        <f t="shared" si="252"/>
        <v>Below the LineWRAP</v>
      </c>
      <c r="C629" t="s">
        <v>20</v>
      </c>
      <c r="D629" t="s">
        <v>19</v>
      </c>
      <c r="E629" t="s">
        <v>238</v>
      </c>
      <c r="G629" t="s">
        <v>2410</v>
      </c>
      <c r="I629" s="10"/>
      <c r="J629" s="107">
        <f>SUMIF(Data!C:C,G629,Data!Q:Q)</f>
        <v>170100</v>
      </c>
      <c r="K629" s="107">
        <f>SUMIF(Comprometidos!A:A,'Cost Report'!G629,Comprometidos!E:E)</f>
        <v>0</v>
      </c>
      <c r="L629" s="107">
        <f t="shared" si="253"/>
        <v>170100</v>
      </c>
      <c r="M629" s="107">
        <f>+O629-L629+75600</f>
        <v>0</v>
      </c>
      <c r="N629" s="107">
        <f t="shared" si="255"/>
        <v>170100</v>
      </c>
      <c r="O629" s="107">
        <f>VLOOKUP(G629,Budget!$E$3:$G$2474,3,0)</f>
        <v>94500</v>
      </c>
      <c r="P629" s="107">
        <f t="shared" si="256"/>
        <v>-75600</v>
      </c>
      <c r="Q629" s="107"/>
      <c r="R629" s="10"/>
      <c r="S629" s="107">
        <v>170100</v>
      </c>
      <c r="T629" s="107">
        <f t="shared" si="239"/>
        <v>0</v>
      </c>
      <c r="U629" s="107"/>
      <c r="V629" s="175"/>
      <c r="W629" s="10"/>
      <c r="X629" s="10"/>
      <c r="Y629" t="str">
        <f t="shared" si="257"/>
        <v>2013</v>
      </c>
      <c r="AB629" s="10"/>
      <c r="AC629" s="10"/>
      <c r="AD629" s="10"/>
      <c r="AE629" s="10"/>
      <c r="AF629" s="10"/>
      <c r="AG629" s="10"/>
      <c r="AH629" s="10"/>
      <c r="AI629" s="10"/>
    </row>
    <row r="630" spans="1:35">
      <c r="A630" s="10"/>
      <c r="B630" s="10" t="str">
        <f>+C630</f>
        <v>Below the Line</v>
      </c>
      <c r="C630" s="128" t="s">
        <v>20</v>
      </c>
      <c r="D630" s="128" t="s">
        <v>2117</v>
      </c>
      <c r="E630" s="128"/>
      <c r="F630" s="128"/>
      <c r="G630" s="128" t="s">
        <v>476</v>
      </c>
      <c r="H630" s="128"/>
      <c r="I630" s="10"/>
      <c r="J630" s="129">
        <f>SUMIF($Y$11:$Y$2484,G630,J$11:J$2484)</f>
        <v>443000</v>
      </c>
      <c r="K630" s="129">
        <f>SUMIF($Y$11:$Y$2484,G630,K$11:K$2484)</f>
        <v>0</v>
      </c>
      <c r="L630" s="129">
        <f>SUMIF($Y$11:$Y$2484,G630,L$11:L$2484)</f>
        <v>443000</v>
      </c>
      <c r="M630" s="129">
        <f>SUMIF($Y$11:$Y$2484,G630,M$11:M$2484)</f>
        <v>0</v>
      </c>
      <c r="N630" s="129">
        <f>SUMIF($Y$11:$Y$2484,G630,N$11:N$2484)</f>
        <v>443000</v>
      </c>
      <c r="O630" s="129">
        <f>SUMIF($Y$11:$Y$2484,G630,O$11:O$2484)</f>
        <v>429000</v>
      </c>
      <c r="P630" s="129">
        <f>SUMIF($Y$11:$Y$2484,G630,P$11:P$2484)</f>
        <v>-14000</v>
      </c>
      <c r="Q630" s="129"/>
      <c r="R630" s="10"/>
      <c r="S630" s="129">
        <v>443000</v>
      </c>
      <c r="T630" s="129">
        <f t="shared" si="239"/>
        <v>0</v>
      </c>
      <c r="U630" s="128"/>
      <c r="V630" s="175"/>
      <c r="W630" s="10"/>
      <c r="X630" s="10"/>
      <c r="Z630" t="str">
        <f>LEFT(G630,2)</f>
        <v>20</v>
      </c>
      <c r="AA630" t="str">
        <f>+Z630&amp;"00"</f>
        <v>2000</v>
      </c>
      <c r="AB630" s="10"/>
      <c r="AC630" s="10"/>
      <c r="AD630" s="10"/>
      <c r="AE630" s="10"/>
      <c r="AF630" s="10"/>
      <c r="AG630" s="10"/>
      <c r="AH630" s="10"/>
      <c r="AI630" s="10"/>
    </row>
    <row r="631" spans="1:35">
      <c r="A631" s="10"/>
      <c r="B631" s="10" t="str">
        <f t="shared" ref="B631:B641" si="258">+C631&amp;E631</f>
        <v>Below the Line</v>
      </c>
      <c r="C631" t="s">
        <v>20</v>
      </c>
      <c r="D631" t="s">
        <v>19</v>
      </c>
      <c r="E631" t="s">
        <v>214</v>
      </c>
      <c r="G631" t="s">
        <v>182</v>
      </c>
      <c r="I631" s="10"/>
      <c r="J631" s="107">
        <f>SUMIF(Data!C:C,G631,Data!Q:Q)</f>
        <v>0</v>
      </c>
      <c r="K631" s="107">
        <f>SUMIF(Comprometidos!A:A,'Cost Report'!G631,Comprometidos!E:E)</f>
        <v>0</v>
      </c>
      <c r="L631" s="107">
        <f t="shared" si="253"/>
        <v>0</v>
      </c>
      <c r="M631" s="107">
        <f t="shared" si="254"/>
        <v>0</v>
      </c>
      <c r="N631" s="107">
        <f t="shared" si="255"/>
        <v>0</v>
      </c>
      <c r="O631" s="107">
        <f>VLOOKUP(G631,Budget!$E$3:$G$2474,3,0)</f>
        <v>0</v>
      </c>
      <c r="P631" s="107">
        <f t="shared" si="256"/>
        <v>0</v>
      </c>
      <c r="Q631" s="107"/>
      <c r="R631" s="10"/>
      <c r="S631" s="107">
        <v>0</v>
      </c>
      <c r="T631" s="107">
        <f t="shared" si="239"/>
        <v>0</v>
      </c>
      <c r="U631" s="107"/>
      <c r="V631" s="175"/>
      <c r="W631" s="10"/>
      <c r="X631" s="10"/>
      <c r="Y631" t="str">
        <f t="shared" ref="Y631:Y641" si="259">LEFT(G631,4)</f>
        <v>2014</v>
      </c>
      <c r="AB631" s="10"/>
      <c r="AC631" s="10"/>
      <c r="AD631" s="10"/>
      <c r="AE631" s="10"/>
      <c r="AF631" s="10"/>
      <c r="AG631" s="10"/>
      <c r="AH631" s="10"/>
      <c r="AI631" s="10"/>
    </row>
    <row r="632" spans="1:35">
      <c r="A632" s="10"/>
      <c r="B632" s="10" t="str">
        <f t="shared" si="258"/>
        <v>Below the LinePREP</v>
      </c>
      <c r="C632" t="s">
        <v>20</v>
      </c>
      <c r="D632" t="s">
        <v>19</v>
      </c>
      <c r="E632" t="s">
        <v>234</v>
      </c>
      <c r="G632" t="s">
        <v>477</v>
      </c>
      <c r="I632" s="10"/>
      <c r="J632" s="107">
        <f>SUMIF(Data!C:C,G632,Data!Q:Q)</f>
        <v>72000</v>
      </c>
      <c r="K632" s="107">
        <f>SUMIF(Comprometidos!A:A,'Cost Report'!G632,Comprometidos!E:E)</f>
        <v>0</v>
      </c>
      <c r="L632" s="107">
        <f t="shared" si="253"/>
        <v>72000</v>
      </c>
      <c r="M632" s="107">
        <v>0</v>
      </c>
      <c r="N632" s="107">
        <f t="shared" si="255"/>
        <v>72000</v>
      </c>
      <c r="O632" s="107">
        <f>VLOOKUP(G632,Budget!$E$3:$G$2474,3,0)</f>
        <v>81000</v>
      </c>
      <c r="P632" s="107">
        <f t="shared" si="256"/>
        <v>9000</v>
      </c>
      <c r="Q632" s="107"/>
      <c r="R632" s="10"/>
      <c r="S632" s="107">
        <v>72000</v>
      </c>
      <c r="T632" s="107">
        <f t="shared" si="239"/>
        <v>0</v>
      </c>
      <c r="U632" s="107"/>
      <c r="V632" s="175"/>
      <c r="W632" s="10"/>
      <c r="X632" s="10"/>
      <c r="Y632" t="str">
        <f t="shared" si="259"/>
        <v>2014</v>
      </c>
      <c r="AB632" s="10"/>
      <c r="AC632" s="10"/>
      <c r="AD632" s="10"/>
      <c r="AE632" s="10"/>
      <c r="AF632" s="10"/>
      <c r="AG632" s="10"/>
      <c r="AH632" s="10"/>
      <c r="AI632" s="10"/>
    </row>
    <row r="633" spans="1:35">
      <c r="A633" s="10"/>
      <c r="B633" s="10" t="str">
        <f t="shared" si="258"/>
        <v>Below the LineSHOOT</v>
      </c>
      <c r="C633" t="s">
        <v>20</v>
      </c>
      <c r="D633" t="s">
        <v>19</v>
      </c>
      <c r="E633" t="s">
        <v>236</v>
      </c>
      <c r="G633" t="s">
        <v>478</v>
      </c>
      <c r="I633" s="10"/>
      <c r="J633" s="107">
        <f>SUMIF(Data!C:C,G633,Data!Q:Q)</f>
        <v>56000</v>
      </c>
      <c r="K633" s="107">
        <f>SUMIF(Comprometidos!A:A,'Cost Report'!G633,Comprometidos!E:E)</f>
        <v>0</v>
      </c>
      <c r="L633" s="107">
        <f t="shared" si="253"/>
        <v>56000</v>
      </c>
      <c r="M633" s="107">
        <f>+O633-L633-7000</f>
        <v>0</v>
      </c>
      <c r="N633" s="107">
        <f t="shared" si="255"/>
        <v>56000</v>
      </c>
      <c r="O633" s="107">
        <f>VLOOKUP(G633,Budget!$E$3:$G$2474,3,0)</f>
        <v>63000</v>
      </c>
      <c r="P633" s="107">
        <f t="shared" si="256"/>
        <v>7000</v>
      </c>
      <c r="Q633" s="107"/>
      <c r="R633" s="10"/>
      <c r="S633" s="107">
        <v>56000</v>
      </c>
      <c r="T633" s="107">
        <f t="shared" si="239"/>
        <v>0</v>
      </c>
      <c r="U633" s="107"/>
      <c r="V633" s="175"/>
      <c r="W633" s="10"/>
      <c r="X633" s="10"/>
      <c r="Y633" t="str">
        <f t="shared" si="259"/>
        <v>2014</v>
      </c>
      <c r="AB633" s="10"/>
      <c r="AC633" s="10"/>
      <c r="AD633" s="10"/>
      <c r="AE633" s="10"/>
      <c r="AF633" s="10"/>
      <c r="AG633" s="10"/>
      <c r="AH633" s="10"/>
      <c r="AI633" s="10"/>
    </row>
    <row r="634" spans="1:35">
      <c r="A634" s="10"/>
      <c r="B634" s="10" t="str">
        <f t="shared" si="258"/>
        <v>Below the LineWRAP</v>
      </c>
      <c r="C634" t="s">
        <v>20</v>
      </c>
      <c r="D634" t="s">
        <v>19</v>
      </c>
      <c r="E634" t="s">
        <v>238</v>
      </c>
      <c r="G634" t="s">
        <v>479</v>
      </c>
      <c r="I634" s="10"/>
      <c r="J634" s="107">
        <f>SUMIF(Data!C:C,G634,Data!Q:Q)</f>
        <v>48000</v>
      </c>
      <c r="K634" s="107">
        <f>SUMIF(Comprometidos!A:A,'Cost Report'!G634,Comprometidos!E:E)</f>
        <v>0</v>
      </c>
      <c r="L634" s="107">
        <f t="shared" si="253"/>
        <v>48000</v>
      </c>
      <c r="M634" s="107">
        <f>+O634-L634+8000-5000</f>
        <v>0</v>
      </c>
      <c r="N634" s="107">
        <f t="shared" si="255"/>
        <v>48000</v>
      </c>
      <c r="O634" s="107">
        <f>VLOOKUP(G634,Budget!$E$3:$G$2474,3,0)</f>
        <v>45000</v>
      </c>
      <c r="P634" s="107">
        <f t="shared" si="256"/>
        <v>-3000</v>
      </c>
      <c r="Q634" s="107"/>
      <c r="R634" s="10"/>
      <c r="S634" s="107">
        <v>48000</v>
      </c>
      <c r="T634" s="107">
        <f t="shared" si="239"/>
        <v>0</v>
      </c>
      <c r="U634" s="107"/>
      <c r="V634" s="175"/>
      <c r="W634" s="10"/>
      <c r="X634" s="10"/>
      <c r="Y634" t="str">
        <f t="shared" si="259"/>
        <v>2014</v>
      </c>
      <c r="AB634" s="10"/>
      <c r="AC634" s="10"/>
      <c r="AD634" s="10"/>
      <c r="AE634" s="10"/>
      <c r="AF634" s="10"/>
      <c r="AG634" s="10"/>
      <c r="AH634" s="10"/>
      <c r="AI634" s="10"/>
    </row>
    <row r="635" spans="1:35">
      <c r="A635" s="10"/>
      <c r="B635" s="10" t="str">
        <f t="shared" si="258"/>
        <v>Below the Line</v>
      </c>
      <c r="C635" t="s">
        <v>20</v>
      </c>
      <c r="D635" t="s">
        <v>19</v>
      </c>
      <c r="E635" t="s">
        <v>214</v>
      </c>
      <c r="G635" t="s">
        <v>480</v>
      </c>
      <c r="I635" s="10"/>
      <c r="J635" s="107">
        <f>SUMIF(Data!C:C,G635,Data!Q:Q)</f>
        <v>0</v>
      </c>
      <c r="K635" s="107">
        <f>SUMIF(Comprometidos!A:A,'Cost Report'!G635,Comprometidos!E:E)</f>
        <v>0</v>
      </c>
      <c r="L635" s="107">
        <f t="shared" si="253"/>
        <v>0</v>
      </c>
      <c r="M635" s="107">
        <f t="shared" si="254"/>
        <v>0</v>
      </c>
      <c r="N635" s="107">
        <f t="shared" si="255"/>
        <v>0</v>
      </c>
      <c r="O635" s="107">
        <f>VLOOKUP(G635,Budget!$E$3:$G$2474,3,0)</f>
        <v>0</v>
      </c>
      <c r="P635" s="107">
        <f t="shared" si="256"/>
        <v>0</v>
      </c>
      <c r="Q635" s="107"/>
      <c r="R635" s="10"/>
      <c r="S635" s="107">
        <v>0</v>
      </c>
      <c r="T635" s="107">
        <f t="shared" si="239"/>
        <v>0</v>
      </c>
      <c r="U635" s="107"/>
      <c r="V635" s="175"/>
      <c r="W635" s="10"/>
      <c r="X635" s="10"/>
      <c r="Y635" t="str">
        <f t="shared" si="259"/>
        <v>2014</v>
      </c>
      <c r="AB635" s="10"/>
      <c r="AC635" s="10"/>
      <c r="AD635" s="10"/>
      <c r="AE635" s="10"/>
      <c r="AF635" s="10"/>
      <c r="AG635" s="10"/>
      <c r="AH635" s="10"/>
      <c r="AI635" s="10"/>
    </row>
    <row r="636" spans="1:35">
      <c r="A636" s="10"/>
      <c r="B636" s="10" t="str">
        <f t="shared" si="258"/>
        <v>Below the LinePREP</v>
      </c>
      <c r="C636" t="s">
        <v>20</v>
      </c>
      <c r="D636" t="s">
        <v>19</v>
      </c>
      <c r="E636" t="s">
        <v>234</v>
      </c>
      <c r="G636" t="s">
        <v>481</v>
      </c>
      <c r="I636" s="10"/>
      <c r="J636" s="107">
        <f>SUMIF(Data!C:C,G636,Data!Q:Q)</f>
        <v>63000</v>
      </c>
      <c r="K636" s="107">
        <f>SUMIF(Comprometidos!A:A,'Cost Report'!G636,Comprometidos!E:E)</f>
        <v>0</v>
      </c>
      <c r="L636" s="107">
        <f t="shared" si="253"/>
        <v>63000</v>
      </c>
      <c r="M636" s="107">
        <v>0</v>
      </c>
      <c r="N636" s="107">
        <f t="shared" si="255"/>
        <v>63000</v>
      </c>
      <c r="O636" s="107">
        <f>VLOOKUP(G636,Budget!$E$3:$G$2474,3,0)</f>
        <v>56000</v>
      </c>
      <c r="P636" s="107">
        <f t="shared" si="256"/>
        <v>-7000</v>
      </c>
      <c r="Q636" s="107"/>
      <c r="R636" s="10"/>
      <c r="S636" s="107">
        <v>63000</v>
      </c>
      <c r="T636" s="107">
        <f t="shared" si="239"/>
        <v>0</v>
      </c>
      <c r="U636" s="107"/>
      <c r="V636" s="175"/>
      <c r="W636" s="10"/>
      <c r="X636" s="10"/>
      <c r="Y636" t="str">
        <f t="shared" si="259"/>
        <v>2014</v>
      </c>
      <c r="AB636" s="10"/>
      <c r="AC636" s="10"/>
      <c r="AD636" s="10"/>
      <c r="AE636" s="10"/>
      <c r="AF636" s="10"/>
      <c r="AG636" s="10"/>
      <c r="AH636" s="10"/>
      <c r="AI636" s="10"/>
    </row>
    <row r="637" spans="1:35">
      <c r="A637" s="10"/>
      <c r="B637" s="10" t="str">
        <f t="shared" si="258"/>
        <v>Below the LineSHOOT</v>
      </c>
      <c r="C637" t="s">
        <v>20</v>
      </c>
      <c r="D637" t="s">
        <v>19</v>
      </c>
      <c r="E637" t="s">
        <v>236</v>
      </c>
      <c r="G637" t="s">
        <v>1726</v>
      </c>
      <c r="I637" s="10"/>
      <c r="J637" s="107">
        <f>SUMIF(Data!C:C,G637,Data!Q:Q)</f>
        <v>63000</v>
      </c>
      <c r="K637" s="107">
        <f>SUMIF(Comprometidos!A:A,'Cost Report'!G637,Comprometidos!E:E)</f>
        <v>0</v>
      </c>
      <c r="L637" s="107">
        <f t="shared" si="253"/>
        <v>63000</v>
      </c>
      <c r="M637" s="107">
        <f>+O637-L637+7000</f>
        <v>0</v>
      </c>
      <c r="N637" s="107">
        <f t="shared" si="255"/>
        <v>63000</v>
      </c>
      <c r="O637" s="107">
        <f>VLOOKUP(G637,Budget!$E$3:$G$2474,3,0)</f>
        <v>56000</v>
      </c>
      <c r="P637" s="107">
        <f t="shared" si="256"/>
        <v>-7000</v>
      </c>
      <c r="Q637" s="107"/>
      <c r="R637" s="10"/>
      <c r="S637" s="107">
        <v>63000</v>
      </c>
      <c r="T637" s="107">
        <f t="shared" si="239"/>
        <v>0</v>
      </c>
      <c r="U637" s="107"/>
      <c r="V637" s="175"/>
      <c r="W637" s="10"/>
      <c r="X637" s="10"/>
      <c r="Y637" t="str">
        <f t="shared" si="259"/>
        <v>2014</v>
      </c>
      <c r="AB637" s="10"/>
      <c r="AC637" s="10"/>
      <c r="AD637" s="10"/>
      <c r="AE637" s="10"/>
      <c r="AF637" s="10"/>
      <c r="AG637" s="10"/>
      <c r="AH637" s="10"/>
      <c r="AI637" s="10"/>
    </row>
    <row r="638" spans="1:35">
      <c r="A638" s="10"/>
      <c r="B638" s="10" t="str">
        <f t="shared" si="258"/>
        <v>Below the LineWRAP</v>
      </c>
      <c r="C638" t="s">
        <v>20</v>
      </c>
      <c r="D638" t="s">
        <v>19</v>
      </c>
      <c r="E638" t="s">
        <v>238</v>
      </c>
      <c r="F638" t="s">
        <v>5396</v>
      </c>
      <c r="G638" t="s">
        <v>1727</v>
      </c>
      <c r="I638" s="10"/>
      <c r="J638" s="107">
        <f>SUMIF(Data!C:C,G638,Data!Q:Q)</f>
        <v>45000</v>
      </c>
      <c r="K638" s="107">
        <f>SUMIF(Comprometidos!A:A,'Cost Report'!G638,Comprometidos!E:E)</f>
        <v>0</v>
      </c>
      <c r="L638" s="107">
        <f t="shared" si="253"/>
        <v>45000</v>
      </c>
      <c r="M638" s="107">
        <v>0</v>
      </c>
      <c r="N638" s="107">
        <f t="shared" si="255"/>
        <v>45000</v>
      </c>
      <c r="O638" s="107">
        <f>VLOOKUP(G638,Budget!$E$3:$G$2474,3,0)</f>
        <v>32000</v>
      </c>
      <c r="P638" s="107">
        <f t="shared" si="256"/>
        <v>-13000</v>
      </c>
      <c r="Q638" s="107"/>
      <c r="R638" s="10"/>
      <c r="S638" s="107">
        <v>45000</v>
      </c>
      <c r="T638" s="107">
        <f t="shared" si="239"/>
        <v>0</v>
      </c>
      <c r="U638" s="107"/>
      <c r="V638" s="175"/>
      <c r="W638" s="10"/>
      <c r="X638" s="10"/>
      <c r="Y638" t="str">
        <f t="shared" si="259"/>
        <v>2014</v>
      </c>
      <c r="AB638" s="10"/>
      <c r="AC638" s="10"/>
      <c r="AD638" s="10"/>
      <c r="AE638" s="10"/>
      <c r="AF638" s="10"/>
      <c r="AG638" s="10"/>
      <c r="AH638" s="10"/>
      <c r="AI638" s="10"/>
    </row>
    <row r="639" spans="1:35">
      <c r="A639" s="10"/>
      <c r="B639" s="10" t="str">
        <f t="shared" si="258"/>
        <v>Below the Line</v>
      </c>
      <c r="C639" t="s">
        <v>20</v>
      </c>
      <c r="D639" t="s">
        <v>19</v>
      </c>
      <c r="E639" t="s">
        <v>214</v>
      </c>
      <c r="G639" t="s">
        <v>2411</v>
      </c>
      <c r="I639" s="10"/>
      <c r="J639" s="107">
        <f>SUMIF(Data!C:C,G639,Data!Q:Q)</f>
        <v>0</v>
      </c>
      <c r="K639" s="107">
        <f>SUMIF(Comprometidos!A:A,'Cost Report'!G639,Comprometidos!E:E)</f>
        <v>0</v>
      </c>
      <c r="L639" s="107">
        <f t="shared" si="253"/>
        <v>0</v>
      </c>
      <c r="M639" s="107">
        <f t="shared" si="254"/>
        <v>0</v>
      </c>
      <c r="N639" s="107">
        <f t="shared" si="255"/>
        <v>0</v>
      </c>
      <c r="O639" s="107">
        <f>VLOOKUP(G639,Budget!$E$3:$G$2474,3,0)</f>
        <v>0</v>
      </c>
      <c r="P639" s="107">
        <f t="shared" si="256"/>
        <v>0</v>
      </c>
      <c r="Q639" s="107"/>
      <c r="R639" s="10"/>
      <c r="S639" s="107">
        <v>0</v>
      </c>
      <c r="T639" s="107">
        <f t="shared" si="239"/>
        <v>0</v>
      </c>
      <c r="U639" s="107"/>
      <c r="V639" s="175"/>
      <c r="W639" s="10"/>
      <c r="X639" s="10"/>
      <c r="Y639" t="str">
        <f t="shared" si="259"/>
        <v>2014</v>
      </c>
      <c r="AB639" s="10"/>
      <c r="AC639" s="10"/>
      <c r="AD639" s="10"/>
      <c r="AE639" s="10"/>
      <c r="AF639" s="10"/>
      <c r="AG639" s="10"/>
      <c r="AH639" s="10"/>
      <c r="AI639" s="10"/>
    </row>
    <row r="640" spans="1:35">
      <c r="A640" s="10"/>
      <c r="B640" s="10" t="str">
        <f t="shared" si="258"/>
        <v>Below the LineSHOOT</v>
      </c>
      <c r="C640" t="s">
        <v>20</v>
      </c>
      <c r="D640" t="s">
        <v>19</v>
      </c>
      <c r="E640" t="s">
        <v>236</v>
      </c>
      <c r="G640" t="s">
        <v>2412</v>
      </c>
      <c r="I640" s="10"/>
      <c r="J640" s="107">
        <f>SUMIF(Data!C:C,G640,Data!Q:Q)</f>
        <v>24000</v>
      </c>
      <c r="K640" s="107">
        <f>SUMIF(Comprometidos!A:A,'Cost Report'!G640,Comprometidos!E:E)</f>
        <v>0</v>
      </c>
      <c r="L640" s="107">
        <f t="shared" si="253"/>
        <v>24000</v>
      </c>
      <c r="M640" s="107">
        <v>0</v>
      </c>
      <c r="N640" s="107">
        <f t="shared" si="255"/>
        <v>24000</v>
      </c>
      <c r="O640" s="107">
        <f>VLOOKUP(G640,Budget!$E$3:$G$2474,3,0)</f>
        <v>32000</v>
      </c>
      <c r="P640" s="107">
        <f t="shared" si="256"/>
        <v>8000</v>
      </c>
      <c r="Q640" s="107"/>
      <c r="R640" s="10"/>
      <c r="S640" s="107">
        <v>24000</v>
      </c>
      <c r="T640" s="107">
        <f t="shared" si="239"/>
        <v>0</v>
      </c>
      <c r="U640" s="107"/>
      <c r="V640" s="175"/>
      <c r="W640" s="10"/>
      <c r="X640" s="10"/>
      <c r="Y640" t="str">
        <f t="shared" si="259"/>
        <v>2014</v>
      </c>
      <c r="AB640" s="10"/>
      <c r="AC640" s="10"/>
      <c r="AD640" s="10"/>
      <c r="AE640" s="10"/>
      <c r="AF640" s="10"/>
      <c r="AG640" s="10"/>
      <c r="AH640" s="10"/>
      <c r="AI640" s="10"/>
    </row>
    <row r="641" spans="1:35">
      <c r="A641" s="10"/>
      <c r="B641" s="10" t="str">
        <f t="shared" si="258"/>
        <v>Below the LineWRAP</v>
      </c>
      <c r="C641" t="s">
        <v>20</v>
      </c>
      <c r="D641" t="s">
        <v>19</v>
      </c>
      <c r="E641" t="s">
        <v>238</v>
      </c>
      <c r="G641" t="s">
        <v>2413</v>
      </c>
      <c r="I641" s="10"/>
      <c r="J641" s="107">
        <f>SUMIF(Data!C:C,G641,Data!Q:Q)</f>
        <v>72000</v>
      </c>
      <c r="K641" s="107">
        <f>SUMIF(Comprometidos!A:A,'Cost Report'!G641,Comprometidos!E:E)</f>
        <v>0</v>
      </c>
      <c r="L641" s="107">
        <f t="shared" si="253"/>
        <v>72000</v>
      </c>
      <c r="M641" s="107">
        <v>0</v>
      </c>
      <c r="N641" s="107">
        <f t="shared" si="255"/>
        <v>72000</v>
      </c>
      <c r="O641" s="107">
        <f>VLOOKUP(G641,Budget!$E$3:$G$2474,3,0)</f>
        <v>64000</v>
      </c>
      <c r="P641" s="107">
        <f t="shared" si="256"/>
        <v>-8000</v>
      </c>
      <c r="Q641" s="107"/>
      <c r="R641" s="10"/>
      <c r="S641" s="107">
        <v>72000</v>
      </c>
      <c r="T641" s="107">
        <f t="shared" si="239"/>
        <v>0</v>
      </c>
      <c r="U641" s="107"/>
      <c r="V641" s="175"/>
      <c r="W641" s="10"/>
      <c r="X641" s="10"/>
      <c r="Y641" t="str">
        <f t="shared" si="259"/>
        <v>2014</v>
      </c>
      <c r="AB641" s="10"/>
      <c r="AC641" s="10"/>
      <c r="AD641" s="10"/>
      <c r="AE641" s="10"/>
      <c r="AF641" s="10"/>
      <c r="AG641" s="10"/>
      <c r="AH641" s="10"/>
      <c r="AI641" s="10"/>
    </row>
    <row r="642" spans="1:35">
      <c r="A642" s="10"/>
      <c r="B642" s="10" t="str">
        <f>+C642</f>
        <v>Below the Line</v>
      </c>
      <c r="C642" s="128" t="s">
        <v>20</v>
      </c>
      <c r="D642" s="128" t="s">
        <v>2117</v>
      </c>
      <c r="E642" s="128"/>
      <c r="F642" s="128"/>
      <c r="G642" s="128" t="s">
        <v>2414</v>
      </c>
      <c r="H642" s="128"/>
      <c r="I642" s="10"/>
      <c r="J642" s="129">
        <f>SUMIF($Y$11:$Y$2484,G642,J$11:J$2484)</f>
        <v>253500</v>
      </c>
      <c r="K642" s="129">
        <f>SUMIF($Y$11:$Y$2484,G642,K$11:K$2484)</f>
        <v>0</v>
      </c>
      <c r="L642" s="129">
        <f>SUMIF($Y$11:$Y$2484,G642,L$11:L$2484)</f>
        <v>253500</v>
      </c>
      <c r="M642" s="129">
        <f>SUMIF($Y$11:$Y$2484,G642,M$11:M$2484)</f>
        <v>0</v>
      </c>
      <c r="N642" s="129">
        <f>SUMIF($Y$11:$Y$2484,G642,N$11:N$2484)</f>
        <v>253500</v>
      </c>
      <c r="O642" s="129">
        <f>SUMIF($Y$11:$Y$2484,G642,O$11:O$2484)</f>
        <v>237500</v>
      </c>
      <c r="P642" s="129">
        <f>SUMIF($Y$11:$Y$2484,G642,P$11:P$2484)</f>
        <v>-16000</v>
      </c>
      <c r="Q642" s="129"/>
      <c r="R642" s="10"/>
      <c r="S642" s="129">
        <v>253500</v>
      </c>
      <c r="T642" s="129">
        <f t="shared" si="239"/>
        <v>0</v>
      </c>
      <c r="U642" s="128"/>
      <c r="V642" s="175"/>
      <c r="W642" s="10"/>
      <c r="X642" s="10"/>
      <c r="Z642" t="str">
        <f>LEFT(G642,2)</f>
        <v>20</v>
      </c>
      <c r="AA642" t="str">
        <f>+Z642&amp;"00"</f>
        <v>2000</v>
      </c>
      <c r="AB642" s="10"/>
      <c r="AC642" s="10"/>
      <c r="AD642" s="10"/>
      <c r="AE642" s="10"/>
      <c r="AF642" s="10"/>
      <c r="AG642" s="10"/>
      <c r="AH642" s="10"/>
      <c r="AI642" s="10"/>
    </row>
    <row r="643" spans="1:35">
      <c r="A643" s="10"/>
      <c r="B643" s="10" t="str">
        <f t="shared" ref="B643:B650" si="260">+C643&amp;E643</f>
        <v>Below the Line</v>
      </c>
      <c r="C643" t="s">
        <v>20</v>
      </c>
      <c r="D643" t="s">
        <v>19</v>
      </c>
      <c r="E643" t="s">
        <v>214</v>
      </c>
      <c r="G643" t="s">
        <v>2415</v>
      </c>
      <c r="I643" s="10"/>
      <c r="J643" s="107">
        <f>SUMIF(Data!C:C,G643,Data!Q:Q)</f>
        <v>0</v>
      </c>
      <c r="K643" s="107">
        <f>SUMIF(Comprometidos!A:A,'Cost Report'!G643,Comprometidos!E:E)</f>
        <v>0</v>
      </c>
      <c r="L643" s="107">
        <f t="shared" ref="L643:L650" si="261">+J643+K643</f>
        <v>0</v>
      </c>
      <c r="M643" s="107">
        <f t="shared" ref="M643:M650" si="262">+O643-L643</f>
        <v>0</v>
      </c>
      <c r="N643" s="107">
        <f t="shared" ref="N643:N650" si="263">+L643+M643</f>
        <v>0</v>
      </c>
      <c r="O643" s="107">
        <f>VLOOKUP(G643,Budget!$E$3:$G$2474,3,0)</f>
        <v>0</v>
      </c>
      <c r="P643" s="107">
        <f t="shared" ref="P643:P650" si="264">+O643-N643</f>
        <v>0</v>
      </c>
      <c r="Q643" s="107"/>
      <c r="R643" s="10"/>
      <c r="S643" s="107">
        <v>0</v>
      </c>
      <c r="T643" s="107">
        <f t="shared" si="239"/>
        <v>0</v>
      </c>
      <c r="U643" s="107"/>
      <c r="V643" s="175"/>
      <c r="W643" s="10"/>
      <c r="X643" s="10"/>
      <c r="Y643" t="str">
        <f t="shared" ref="Y643:Y650" si="265">LEFT(G643,4)</f>
        <v>2017</v>
      </c>
      <c r="AB643" s="10"/>
      <c r="AC643" s="10"/>
      <c r="AD643" s="10"/>
      <c r="AE643" s="10"/>
      <c r="AF643" s="10"/>
      <c r="AG643" s="10"/>
      <c r="AH643" s="10"/>
      <c r="AI643" s="10"/>
    </row>
    <row r="644" spans="1:35">
      <c r="A644" s="10"/>
      <c r="B644" s="10" t="str">
        <f t="shared" si="260"/>
        <v>Below the LinePREP</v>
      </c>
      <c r="C644" t="s">
        <v>20</v>
      </c>
      <c r="D644" t="s">
        <v>19</v>
      </c>
      <c r="E644" t="s">
        <v>234</v>
      </c>
      <c r="G644" t="s">
        <v>2416</v>
      </c>
      <c r="I644" s="10"/>
      <c r="J644" s="107">
        <f>SUMIF(Data!C:C,G644,Data!Q:Q)</f>
        <v>75000</v>
      </c>
      <c r="K644" s="107">
        <f>SUMIF(Comprometidos!A:A,'Cost Report'!G644,Comprometidos!E:E)</f>
        <v>0</v>
      </c>
      <c r="L644" s="107">
        <f t="shared" si="261"/>
        <v>75000</v>
      </c>
      <c r="M644" s="107">
        <v>0</v>
      </c>
      <c r="N644" s="107">
        <f t="shared" si="263"/>
        <v>75000</v>
      </c>
      <c r="O644" s="107">
        <f>VLOOKUP(G644,Budget!$E$3:$G$2474,3,0)</f>
        <v>87500</v>
      </c>
      <c r="P644" s="107">
        <f t="shared" si="264"/>
        <v>12500</v>
      </c>
      <c r="Q644" s="107"/>
      <c r="R644" s="10"/>
      <c r="S644" s="107">
        <v>75000</v>
      </c>
      <c r="T644" s="107">
        <f t="shared" si="239"/>
        <v>0</v>
      </c>
      <c r="U644" s="107"/>
      <c r="V644" s="175"/>
      <c r="W644" s="10"/>
      <c r="X644" s="10"/>
      <c r="Y644" t="str">
        <f t="shared" si="265"/>
        <v>2017</v>
      </c>
      <c r="AB644" s="10"/>
      <c r="AC644" s="10"/>
      <c r="AD644" s="10"/>
      <c r="AE644" s="10"/>
      <c r="AF644" s="10"/>
      <c r="AG644" s="10"/>
      <c r="AH644" s="10"/>
      <c r="AI644" s="10"/>
    </row>
    <row r="645" spans="1:35">
      <c r="A645" s="10"/>
      <c r="B645" s="10" t="str">
        <f t="shared" si="260"/>
        <v>Below the LineSHOOT</v>
      </c>
      <c r="C645" t="s">
        <v>20</v>
      </c>
      <c r="D645" t="s">
        <v>19</v>
      </c>
      <c r="E645" t="s">
        <v>236</v>
      </c>
      <c r="G645" t="s">
        <v>2417</v>
      </c>
      <c r="I645" s="10"/>
      <c r="J645" s="107">
        <f>SUMIF(Data!C:C,G645,Data!Q:Q)</f>
        <v>87500</v>
      </c>
      <c r="K645" s="107">
        <f>SUMIF(Comprometidos!A:A,'Cost Report'!G645,Comprometidos!E:E)</f>
        <v>0</v>
      </c>
      <c r="L645" s="107">
        <f t="shared" si="261"/>
        <v>87500</v>
      </c>
      <c r="M645" s="107">
        <f t="shared" si="262"/>
        <v>0</v>
      </c>
      <c r="N645" s="107">
        <f t="shared" si="263"/>
        <v>87500</v>
      </c>
      <c r="O645" s="107">
        <f>VLOOKUP(G645,Budget!$E$3:$G$2474,3,0)</f>
        <v>87500</v>
      </c>
      <c r="P645" s="107">
        <f t="shared" si="264"/>
        <v>0</v>
      </c>
      <c r="Q645" s="107"/>
      <c r="R645" s="10"/>
      <c r="S645" s="107">
        <v>87500</v>
      </c>
      <c r="T645" s="107">
        <f t="shared" si="239"/>
        <v>0</v>
      </c>
      <c r="U645" s="107"/>
      <c r="V645" s="175"/>
      <c r="W645" s="10"/>
      <c r="X645" s="10"/>
      <c r="Y645" t="str">
        <f t="shared" si="265"/>
        <v>2017</v>
      </c>
      <c r="AB645" s="10"/>
      <c r="AC645" s="10"/>
      <c r="AD645" s="10"/>
      <c r="AE645" s="10"/>
      <c r="AF645" s="10"/>
      <c r="AG645" s="10"/>
      <c r="AH645" s="10"/>
      <c r="AI645" s="10"/>
    </row>
    <row r="646" spans="1:35">
      <c r="A646" s="10"/>
      <c r="B646" s="10" t="str">
        <f t="shared" si="260"/>
        <v>Below the LineWRAP</v>
      </c>
      <c r="C646" t="s">
        <v>20</v>
      </c>
      <c r="D646" t="s">
        <v>19</v>
      </c>
      <c r="E646" t="s">
        <v>238</v>
      </c>
      <c r="F646" t="s">
        <v>5396</v>
      </c>
      <c r="G646" t="s">
        <v>2418</v>
      </c>
      <c r="I646" s="10"/>
      <c r="J646" s="107">
        <f>SUMIF(Data!C:C,G646,Data!Q:Q)</f>
        <v>41000</v>
      </c>
      <c r="K646" s="107">
        <f>SUMIF(Comprometidos!A:A,'Cost Report'!G646,Comprometidos!E:E)</f>
        <v>0</v>
      </c>
      <c r="L646" s="107">
        <f t="shared" si="261"/>
        <v>41000</v>
      </c>
      <c r="M646" s="107">
        <v>0</v>
      </c>
      <c r="N646" s="107">
        <f t="shared" si="263"/>
        <v>41000</v>
      </c>
      <c r="O646" s="107">
        <f>VLOOKUP(G646,Budget!$E$3:$G$2474,3,0)</f>
        <v>12500</v>
      </c>
      <c r="P646" s="107">
        <f t="shared" si="264"/>
        <v>-28500</v>
      </c>
      <c r="Q646" s="107"/>
      <c r="R646" s="10"/>
      <c r="S646" s="107">
        <v>41000</v>
      </c>
      <c r="T646" s="107">
        <f t="shared" si="239"/>
        <v>0</v>
      </c>
      <c r="U646" s="107"/>
      <c r="V646" s="175"/>
      <c r="W646" s="10"/>
      <c r="X646" s="10"/>
      <c r="Y646" t="str">
        <f t="shared" si="265"/>
        <v>2017</v>
      </c>
      <c r="AB646" s="10"/>
      <c r="AC646" s="10"/>
      <c r="AD646" s="10"/>
      <c r="AE646" s="10"/>
      <c r="AF646" s="10"/>
      <c r="AG646" s="10"/>
      <c r="AH646" s="10"/>
      <c r="AI646" s="10"/>
    </row>
    <row r="647" spans="1:35">
      <c r="A647" s="10"/>
      <c r="B647" s="10" t="str">
        <f t="shared" si="260"/>
        <v>Below the Line</v>
      </c>
      <c r="C647" t="s">
        <v>20</v>
      </c>
      <c r="D647" t="s">
        <v>19</v>
      </c>
      <c r="E647" t="s">
        <v>214</v>
      </c>
      <c r="G647" t="s">
        <v>2419</v>
      </c>
      <c r="I647" s="10"/>
      <c r="J647" s="107">
        <f>SUMIF(Data!C:C,G647,Data!Q:Q)</f>
        <v>0</v>
      </c>
      <c r="K647" s="107">
        <f>SUMIF(Comprometidos!A:A,'Cost Report'!G647,Comprometidos!E:E)</f>
        <v>0</v>
      </c>
      <c r="L647" s="107">
        <f t="shared" si="261"/>
        <v>0</v>
      </c>
      <c r="M647" s="107">
        <f t="shared" si="262"/>
        <v>0</v>
      </c>
      <c r="N647" s="107">
        <f t="shared" si="263"/>
        <v>0</v>
      </c>
      <c r="O647" s="107">
        <f>VLOOKUP(G647,Budget!$E$3:$G$2474,3,0)</f>
        <v>0</v>
      </c>
      <c r="P647" s="107">
        <f t="shared" si="264"/>
        <v>0</v>
      </c>
      <c r="Q647" s="107"/>
      <c r="R647" s="10"/>
      <c r="S647" s="107">
        <v>0</v>
      </c>
      <c r="T647" s="107">
        <f t="shared" si="239"/>
        <v>0</v>
      </c>
      <c r="U647" s="107"/>
      <c r="V647" s="175"/>
      <c r="W647" s="10"/>
      <c r="X647" s="10"/>
      <c r="Y647" t="str">
        <f t="shared" si="265"/>
        <v>2017</v>
      </c>
      <c r="AB647" s="10"/>
      <c r="AC647" s="10"/>
      <c r="AD647" s="10"/>
      <c r="AE647" s="10"/>
      <c r="AF647" s="10"/>
      <c r="AG647" s="10"/>
      <c r="AH647" s="10"/>
      <c r="AI647" s="10"/>
    </row>
    <row r="648" spans="1:35">
      <c r="A648" s="10"/>
      <c r="B648" s="10" t="str">
        <f t="shared" si="260"/>
        <v>Below the Line2nd Unit</v>
      </c>
      <c r="C648" t="s">
        <v>20</v>
      </c>
      <c r="D648" t="s">
        <v>19</v>
      </c>
      <c r="E648" t="s">
        <v>1419</v>
      </c>
      <c r="G648" t="s">
        <v>2420</v>
      </c>
      <c r="I648" s="10"/>
      <c r="J648" s="107">
        <f>SUMIF(Data!C:C,G648,Data!Q:Q)</f>
        <v>12500</v>
      </c>
      <c r="K648" s="107">
        <f>SUMIF(Comprometidos!A:A,'Cost Report'!G648,Comprometidos!E:E)</f>
        <v>0</v>
      </c>
      <c r="L648" s="107">
        <f t="shared" si="261"/>
        <v>12500</v>
      </c>
      <c r="M648" s="107">
        <f t="shared" si="262"/>
        <v>0</v>
      </c>
      <c r="N648" s="107">
        <f t="shared" si="263"/>
        <v>12500</v>
      </c>
      <c r="O648" s="107">
        <f>VLOOKUP(G648,Budget!$E$3:$G$2474,3,0)</f>
        <v>12500</v>
      </c>
      <c r="P648" s="107">
        <f t="shared" si="264"/>
        <v>0</v>
      </c>
      <c r="Q648" s="107"/>
      <c r="R648" s="10"/>
      <c r="S648" s="107">
        <v>12500</v>
      </c>
      <c r="T648" s="107">
        <f t="shared" si="239"/>
        <v>0</v>
      </c>
      <c r="U648" s="107"/>
      <c r="V648" s="175"/>
      <c r="W648" s="10"/>
      <c r="X648" s="10"/>
      <c r="Y648" t="str">
        <f t="shared" si="265"/>
        <v>2017</v>
      </c>
      <c r="AB648" s="10"/>
      <c r="AC648" s="10"/>
      <c r="AD648" s="10"/>
      <c r="AE648" s="10"/>
      <c r="AF648" s="10"/>
      <c r="AG648" s="10"/>
      <c r="AH648" s="10"/>
      <c r="AI648" s="10"/>
    </row>
    <row r="649" spans="1:35">
      <c r="A649" s="10"/>
      <c r="B649" s="10" t="str">
        <f t="shared" si="260"/>
        <v>Below the Line2nd Unit</v>
      </c>
      <c r="C649" t="s">
        <v>20</v>
      </c>
      <c r="D649" t="s">
        <v>19</v>
      </c>
      <c r="E649" t="s">
        <v>1419</v>
      </c>
      <c r="G649" t="s">
        <v>2421</v>
      </c>
      <c r="I649" s="10"/>
      <c r="J649" s="107">
        <f>SUMIF(Data!C:C,G649,Data!Q:Q)</f>
        <v>25000</v>
      </c>
      <c r="K649" s="107">
        <f>SUMIF(Comprometidos!A:A,'Cost Report'!G649,Comprometidos!E:E)</f>
        <v>0</v>
      </c>
      <c r="L649" s="107">
        <f t="shared" si="261"/>
        <v>25000</v>
      </c>
      <c r="M649" s="107">
        <f t="shared" si="262"/>
        <v>0</v>
      </c>
      <c r="N649" s="107">
        <f t="shared" si="263"/>
        <v>25000</v>
      </c>
      <c r="O649" s="107">
        <f>VLOOKUP(G649,Budget!$E$3:$G$2474,3,0)</f>
        <v>25000</v>
      </c>
      <c r="P649" s="107">
        <f t="shared" si="264"/>
        <v>0</v>
      </c>
      <c r="Q649" s="107"/>
      <c r="R649" s="10"/>
      <c r="S649" s="107">
        <v>25000</v>
      </c>
      <c r="T649" s="107">
        <f t="shared" si="239"/>
        <v>0</v>
      </c>
      <c r="U649" s="107"/>
      <c r="V649" s="175"/>
      <c r="W649" s="10"/>
      <c r="X649" s="10"/>
      <c r="Y649" t="str">
        <f t="shared" si="265"/>
        <v>2017</v>
      </c>
      <c r="AB649" s="10"/>
      <c r="AC649" s="10"/>
      <c r="AD649" s="10"/>
      <c r="AE649" s="10"/>
      <c r="AF649" s="10"/>
      <c r="AG649" s="10"/>
      <c r="AH649" s="10"/>
      <c r="AI649" s="10"/>
    </row>
    <row r="650" spans="1:35">
      <c r="A650" s="10"/>
      <c r="B650" s="10" t="str">
        <f t="shared" si="260"/>
        <v>Below the Line2nd Unit</v>
      </c>
      <c r="C650" t="s">
        <v>20</v>
      </c>
      <c r="D650" t="s">
        <v>19</v>
      </c>
      <c r="E650" t="s">
        <v>1419</v>
      </c>
      <c r="G650" t="s">
        <v>2422</v>
      </c>
      <c r="I650" s="10"/>
      <c r="J650" s="107">
        <f>SUMIF(Data!C:C,G650,Data!Q:Q)</f>
        <v>12500</v>
      </c>
      <c r="K650" s="107">
        <f>SUMIF(Comprometidos!A:A,'Cost Report'!G650,Comprometidos!E:E)</f>
        <v>0</v>
      </c>
      <c r="L650" s="107">
        <f t="shared" si="261"/>
        <v>12500</v>
      </c>
      <c r="M650" s="107">
        <f t="shared" si="262"/>
        <v>0</v>
      </c>
      <c r="N650" s="107">
        <f t="shared" si="263"/>
        <v>12500</v>
      </c>
      <c r="O650" s="107">
        <f>VLOOKUP(G650,Budget!$E$3:$G$2474,3,0)</f>
        <v>12500</v>
      </c>
      <c r="P650" s="107">
        <f t="shared" si="264"/>
        <v>0</v>
      </c>
      <c r="Q650" s="107"/>
      <c r="R650" s="10"/>
      <c r="S650" s="107">
        <v>12500</v>
      </c>
      <c r="T650" s="107">
        <f t="shared" si="239"/>
        <v>0</v>
      </c>
      <c r="U650" s="107"/>
      <c r="V650" s="175"/>
      <c r="W650" s="10"/>
      <c r="X650" s="10"/>
      <c r="Y650" t="str">
        <f t="shared" si="265"/>
        <v>2017</v>
      </c>
      <c r="AB650" s="10"/>
      <c r="AC650" s="10"/>
      <c r="AD650" s="10"/>
      <c r="AE650" s="10"/>
      <c r="AF650" s="10"/>
      <c r="AG650" s="10"/>
      <c r="AH650" s="10"/>
      <c r="AI650" s="10"/>
    </row>
    <row r="651" spans="1:35">
      <c r="A651" s="10"/>
      <c r="B651" s="10" t="str">
        <f>+C651</f>
        <v>Below the Line</v>
      </c>
      <c r="C651" s="128" t="s">
        <v>20</v>
      </c>
      <c r="D651" s="128" t="s">
        <v>2117</v>
      </c>
      <c r="E651" s="128"/>
      <c r="F651" s="128"/>
      <c r="G651" s="128" t="s">
        <v>482</v>
      </c>
      <c r="H651" s="128"/>
      <c r="I651" s="10"/>
      <c r="J651" s="129">
        <f>SUMIF($Y$11:$Y$2484,G651,J$11:J$2484)</f>
        <v>142600</v>
      </c>
      <c r="K651" s="129">
        <f>SUMIF($Y$11:$Y$2484,G651,K$11:K$2484)</f>
        <v>0</v>
      </c>
      <c r="L651" s="129">
        <f>SUMIF($Y$11:$Y$2484,G651,L$11:L$2484)</f>
        <v>142600</v>
      </c>
      <c r="M651" s="129">
        <f>SUMIF($Y$11:$Y$2484,G651,M$11:M$2484)</f>
        <v>0</v>
      </c>
      <c r="N651" s="129">
        <f>SUMIF($Y$11:$Y$2484,G651,N$11:N$2484)</f>
        <v>142600</v>
      </c>
      <c r="O651" s="129">
        <f>SUMIF($Y$11:$Y$2484,G651,O$11:O$2484)</f>
        <v>119000</v>
      </c>
      <c r="P651" s="129">
        <f>SUMIF($Y$11:$Y$2484,G651,P$11:P$2484)</f>
        <v>-23600</v>
      </c>
      <c r="Q651" s="129"/>
      <c r="R651" s="10"/>
      <c r="S651" s="129">
        <v>142600</v>
      </c>
      <c r="T651" s="129">
        <f t="shared" si="239"/>
        <v>0</v>
      </c>
      <c r="U651" s="128"/>
      <c r="V651" s="175"/>
      <c r="W651" s="10"/>
      <c r="X651" s="10"/>
      <c r="Z651" t="str">
        <f>LEFT(G651,2)</f>
        <v>20</v>
      </c>
      <c r="AA651" t="str">
        <f>+Z651&amp;"00"</f>
        <v>2000</v>
      </c>
      <c r="AB651" s="10"/>
      <c r="AC651" s="10"/>
      <c r="AD651" s="10"/>
      <c r="AE651" s="10"/>
      <c r="AF651" s="10"/>
      <c r="AG651" s="10"/>
      <c r="AH651" s="10"/>
      <c r="AI651" s="10"/>
    </row>
    <row r="652" spans="1:35">
      <c r="A652" s="10"/>
      <c r="B652" s="10" t="str">
        <f t="shared" ref="B652:B659" si="266">+C652&amp;E652</f>
        <v>Below the Line</v>
      </c>
      <c r="C652" t="s">
        <v>20</v>
      </c>
      <c r="D652" t="s">
        <v>19</v>
      </c>
      <c r="E652" t="s">
        <v>214</v>
      </c>
      <c r="G652" t="s">
        <v>483</v>
      </c>
      <c r="I652" s="10"/>
      <c r="J652" s="107">
        <f>SUMIF(Data!C:C,G652,Data!Q:Q)</f>
        <v>0</v>
      </c>
      <c r="K652" s="107">
        <f>SUMIF(Comprometidos!A:A,'Cost Report'!G652,Comprometidos!E:E)</f>
        <v>0</v>
      </c>
      <c r="L652" s="107">
        <f t="shared" ref="L652:L700" si="267">+J652+K652</f>
        <v>0</v>
      </c>
      <c r="M652" s="107">
        <f t="shared" ref="M652:M700" si="268">+O652-L652</f>
        <v>0</v>
      </c>
      <c r="N652" s="107">
        <f t="shared" ref="N652:N700" si="269">+L652+M652</f>
        <v>0</v>
      </c>
      <c r="O652" s="107">
        <f>VLOOKUP(G652,Budget!$E$3:$G$2474,3,0)</f>
        <v>0</v>
      </c>
      <c r="P652" s="107">
        <f t="shared" ref="P652:P700" si="270">+O652-N652</f>
        <v>0</v>
      </c>
      <c r="Q652" s="107"/>
      <c r="R652" s="10"/>
      <c r="S652" s="107">
        <v>0</v>
      </c>
      <c r="T652" s="107">
        <f t="shared" si="239"/>
        <v>0</v>
      </c>
      <c r="U652" s="107"/>
      <c r="V652" s="175"/>
      <c r="W652" s="10"/>
      <c r="X652" s="10"/>
      <c r="Y652" t="str">
        <f t="shared" ref="Y652:Y659" si="271">LEFT(G652,4)</f>
        <v>2019</v>
      </c>
      <c r="AB652" s="10"/>
      <c r="AC652" s="10"/>
      <c r="AD652" s="10"/>
      <c r="AE652" s="10"/>
      <c r="AF652" s="10"/>
      <c r="AG652" s="10"/>
      <c r="AH652" s="10"/>
      <c r="AI652" s="10"/>
    </row>
    <row r="653" spans="1:35">
      <c r="A653" s="10"/>
      <c r="B653" s="10" t="str">
        <f t="shared" si="266"/>
        <v>Below the LinePREP</v>
      </c>
      <c r="C653" t="s">
        <v>20</v>
      </c>
      <c r="D653" t="s">
        <v>19</v>
      </c>
      <c r="E653" t="s">
        <v>234</v>
      </c>
      <c r="G653" t="s">
        <v>484</v>
      </c>
      <c r="I653" s="10"/>
      <c r="J653" s="107">
        <f>SUMIF(Data!C:C,G653,Data!Q:Q)</f>
        <v>12400</v>
      </c>
      <c r="K653" s="107">
        <f>SUMIF(Comprometidos!A:A,'Cost Report'!G653,Comprometidos!E:E)</f>
        <v>0</v>
      </c>
      <c r="L653" s="107">
        <f t="shared" si="267"/>
        <v>12400</v>
      </c>
      <c r="M653" s="107">
        <v>0</v>
      </c>
      <c r="N653" s="107">
        <f t="shared" si="269"/>
        <v>12400</v>
      </c>
      <c r="O653" s="107">
        <f>VLOOKUP(G653,Budget!$E$3:$G$2474,3,0)</f>
        <v>12000</v>
      </c>
      <c r="P653" s="107">
        <f t="shared" si="270"/>
        <v>-400</v>
      </c>
      <c r="Q653" s="107"/>
      <c r="R653" s="10"/>
      <c r="S653" s="107">
        <v>12400</v>
      </c>
      <c r="T653" s="107">
        <f t="shared" si="239"/>
        <v>0</v>
      </c>
      <c r="U653" s="107"/>
      <c r="V653" s="175"/>
      <c r="W653" s="10"/>
      <c r="X653" s="10"/>
      <c r="Y653" t="str">
        <f t="shared" si="271"/>
        <v>2019</v>
      </c>
      <c r="AB653" s="10"/>
      <c r="AC653" s="10"/>
      <c r="AD653" s="10"/>
      <c r="AE653" s="10"/>
      <c r="AF653" s="10"/>
      <c r="AG653" s="10"/>
      <c r="AH653" s="10"/>
      <c r="AI653" s="10"/>
    </row>
    <row r="654" spans="1:35">
      <c r="A654" s="10"/>
      <c r="B654" s="10" t="str">
        <f t="shared" si="266"/>
        <v>Below the LineSHOOT</v>
      </c>
      <c r="C654" t="s">
        <v>20</v>
      </c>
      <c r="D654" t="s">
        <v>19</v>
      </c>
      <c r="E654" t="s">
        <v>236</v>
      </c>
      <c r="G654" t="s">
        <v>485</v>
      </c>
      <c r="I654" s="10"/>
      <c r="J654" s="107">
        <f>SUMIF(Data!C:C,G654,Data!Q:Q)</f>
        <v>43400</v>
      </c>
      <c r="K654" s="107">
        <f>SUMIF(Comprometidos!A:A,'Cost Report'!G654,Comprometidos!E:E)</f>
        <v>0</v>
      </c>
      <c r="L654" s="107">
        <f t="shared" si="267"/>
        <v>43400</v>
      </c>
      <c r="M654" s="107">
        <f>+O654-L654+1400</f>
        <v>0</v>
      </c>
      <c r="N654" s="107">
        <f t="shared" si="269"/>
        <v>43400</v>
      </c>
      <c r="O654" s="107">
        <f>VLOOKUP(G654,Budget!$E$3:$G$2474,3,0)</f>
        <v>42000</v>
      </c>
      <c r="P654" s="107">
        <f t="shared" si="270"/>
        <v>-1400</v>
      </c>
      <c r="Q654" s="107"/>
      <c r="R654" s="10"/>
      <c r="S654" s="107">
        <v>43400</v>
      </c>
      <c r="T654" s="107">
        <f t="shared" ref="T654:T718" si="272">+S654-N654</f>
        <v>0</v>
      </c>
      <c r="U654" s="107"/>
      <c r="V654" s="175"/>
      <c r="W654" s="10"/>
      <c r="X654" s="10"/>
      <c r="Y654" t="str">
        <f t="shared" si="271"/>
        <v>2019</v>
      </c>
      <c r="AB654" s="10"/>
      <c r="AC654" s="10"/>
      <c r="AD654" s="10"/>
      <c r="AE654" s="10"/>
      <c r="AF654" s="10"/>
      <c r="AG654" s="10"/>
      <c r="AH654" s="10"/>
      <c r="AI654" s="10"/>
    </row>
    <row r="655" spans="1:35">
      <c r="A655" s="10"/>
      <c r="B655" s="10" t="str">
        <f t="shared" si="266"/>
        <v>Below the LineWRAP</v>
      </c>
      <c r="C655" t="s">
        <v>20</v>
      </c>
      <c r="D655" t="s">
        <v>19</v>
      </c>
      <c r="E655" t="s">
        <v>238</v>
      </c>
      <c r="F655" t="s">
        <v>5396</v>
      </c>
      <c r="G655" t="s">
        <v>486</v>
      </c>
      <c r="I655" s="10"/>
      <c r="J655" s="107">
        <f>SUMIF(Data!C:C,G655,Data!Q:Q)</f>
        <v>18600</v>
      </c>
      <c r="K655" s="107">
        <f>SUMIF(Comprometidos!A:A,'Cost Report'!G655,Comprometidos!E:E)</f>
        <v>0</v>
      </c>
      <c r="L655" s="107">
        <f t="shared" si="267"/>
        <v>18600</v>
      </c>
      <c r="M655" s="107">
        <v>0</v>
      </c>
      <c r="N655" s="107">
        <f t="shared" si="269"/>
        <v>18600</v>
      </c>
      <c r="O655" s="107">
        <f>VLOOKUP(G655,Budget!$E$3:$G$2474,3,0)</f>
        <v>6000</v>
      </c>
      <c r="P655" s="107">
        <f t="shared" si="270"/>
        <v>-12600</v>
      </c>
      <c r="Q655" s="107"/>
      <c r="R655" s="10"/>
      <c r="S655" s="107">
        <v>18600</v>
      </c>
      <c r="T655" s="107">
        <f t="shared" si="272"/>
        <v>0</v>
      </c>
      <c r="U655" s="107"/>
      <c r="V655" s="175"/>
      <c r="W655" s="10"/>
      <c r="X655" s="10"/>
      <c r="Y655" t="str">
        <f t="shared" si="271"/>
        <v>2019</v>
      </c>
      <c r="AB655" s="10"/>
      <c r="AC655" s="10"/>
      <c r="AD655" s="10"/>
      <c r="AE655" s="10"/>
      <c r="AF655" s="10"/>
      <c r="AG655" s="10"/>
      <c r="AH655" s="10"/>
      <c r="AI655" s="10"/>
    </row>
    <row r="656" spans="1:35">
      <c r="A656" s="10"/>
      <c r="B656" s="10" t="str">
        <f t="shared" si="266"/>
        <v>Below the Line</v>
      </c>
      <c r="C656" t="s">
        <v>20</v>
      </c>
      <c r="D656" t="s">
        <v>19</v>
      </c>
      <c r="E656" t="s">
        <v>214</v>
      </c>
      <c r="G656" t="s">
        <v>487</v>
      </c>
      <c r="I656" s="10"/>
      <c r="J656" s="107">
        <f>SUMIF(Data!C:C,G656,Data!Q:Q)</f>
        <v>0</v>
      </c>
      <c r="K656" s="107">
        <f>SUMIF(Comprometidos!A:A,'Cost Report'!G656,Comprometidos!E:E)</f>
        <v>0</v>
      </c>
      <c r="L656" s="107">
        <f t="shared" si="267"/>
        <v>0</v>
      </c>
      <c r="M656" s="107">
        <f t="shared" si="268"/>
        <v>0</v>
      </c>
      <c r="N656" s="107">
        <f t="shared" si="269"/>
        <v>0</v>
      </c>
      <c r="O656" s="107">
        <f>VLOOKUP(G656,Budget!$E$3:$G$2474,3,0)</f>
        <v>0</v>
      </c>
      <c r="P656" s="107">
        <f t="shared" si="270"/>
        <v>0</v>
      </c>
      <c r="Q656" s="107"/>
      <c r="R656" s="10"/>
      <c r="S656" s="107">
        <v>0</v>
      </c>
      <c r="T656" s="107">
        <f t="shared" si="272"/>
        <v>0</v>
      </c>
      <c r="U656" s="107"/>
      <c r="V656" s="175"/>
      <c r="W656" s="10"/>
      <c r="X656" s="10"/>
      <c r="Y656" t="str">
        <f t="shared" si="271"/>
        <v>2019</v>
      </c>
      <c r="AB656" s="10"/>
      <c r="AC656" s="10"/>
      <c r="AD656" s="10"/>
      <c r="AE656" s="10"/>
      <c r="AF656" s="10"/>
      <c r="AG656" s="10"/>
      <c r="AH656" s="10"/>
      <c r="AI656" s="10"/>
    </row>
    <row r="657" spans="1:35">
      <c r="A657" s="10"/>
      <c r="B657" s="10" t="str">
        <f t="shared" si="266"/>
        <v>Below the LinePREP</v>
      </c>
      <c r="C657" t="s">
        <v>20</v>
      </c>
      <c r="D657" t="s">
        <v>19</v>
      </c>
      <c r="E657" t="s">
        <v>234</v>
      </c>
      <c r="G657" t="s">
        <v>2423</v>
      </c>
      <c r="I657" s="10"/>
      <c r="J657" s="107">
        <f>SUMIF(Data!C:C,G657,Data!Q:Q)</f>
        <v>12400</v>
      </c>
      <c r="K657" s="107">
        <f>SUMIF(Comprometidos!A:A,'Cost Report'!G657,Comprometidos!E:E)</f>
        <v>0</v>
      </c>
      <c r="L657" s="107">
        <f t="shared" si="267"/>
        <v>12400</v>
      </c>
      <c r="M657" s="107">
        <v>0</v>
      </c>
      <c r="N657" s="107">
        <f t="shared" si="269"/>
        <v>12400</v>
      </c>
      <c r="O657" s="107">
        <f>VLOOKUP(G657,Budget!$E$3:$G$2474,3,0)</f>
        <v>11800</v>
      </c>
      <c r="P657" s="107">
        <f t="shared" si="270"/>
        <v>-600</v>
      </c>
      <c r="Q657" s="107"/>
      <c r="R657" s="10"/>
      <c r="S657" s="107">
        <v>12400</v>
      </c>
      <c r="T657" s="107">
        <f t="shared" si="272"/>
        <v>0</v>
      </c>
      <c r="U657" s="107"/>
      <c r="V657" s="175"/>
      <c r="W657" s="10"/>
      <c r="X657" s="10"/>
      <c r="Y657" t="str">
        <f t="shared" si="271"/>
        <v>2019</v>
      </c>
      <c r="AB657" s="10"/>
      <c r="AC657" s="10"/>
      <c r="AD657" s="10"/>
      <c r="AE657" s="10"/>
      <c r="AF657" s="10"/>
      <c r="AG657" s="10"/>
      <c r="AH657" s="10"/>
      <c r="AI657" s="10"/>
    </row>
    <row r="658" spans="1:35">
      <c r="A658" s="10"/>
      <c r="B658" s="10" t="str">
        <f t="shared" si="266"/>
        <v>Below the LineSHOOT</v>
      </c>
      <c r="C658" t="s">
        <v>20</v>
      </c>
      <c r="D658" t="s">
        <v>19</v>
      </c>
      <c r="E658" t="s">
        <v>236</v>
      </c>
      <c r="G658" t="s">
        <v>2424</v>
      </c>
      <c r="I658" s="10"/>
      <c r="J658" s="107">
        <f>SUMIF(Data!C:C,G658,Data!Q:Q)</f>
        <v>43400</v>
      </c>
      <c r="K658" s="107">
        <f>SUMIF(Comprometidos!A:A,'Cost Report'!G658,Comprometidos!E:E)</f>
        <v>0</v>
      </c>
      <c r="L658" s="107">
        <f t="shared" si="267"/>
        <v>43400</v>
      </c>
      <c r="M658" s="107">
        <f>+O658-L658+2100</f>
        <v>0</v>
      </c>
      <c r="N658" s="107">
        <f t="shared" si="269"/>
        <v>43400</v>
      </c>
      <c r="O658" s="107">
        <f>VLOOKUP(G658,Budget!$E$3:$G$2474,3,0)</f>
        <v>41300</v>
      </c>
      <c r="P658" s="107">
        <f t="shared" si="270"/>
        <v>-2100</v>
      </c>
      <c r="Q658" s="107"/>
      <c r="R658" s="10"/>
      <c r="S658" s="107">
        <v>43400</v>
      </c>
      <c r="T658" s="107">
        <f t="shared" si="272"/>
        <v>0</v>
      </c>
      <c r="U658" s="107"/>
      <c r="V658" s="175"/>
      <c r="W658" s="10"/>
      <c r="X658" s="10"/>
      <c r="Y658" t="str">
        <f t="shared" si="271"/>
        <v>2019</v>
      </c>
      <c r="AB658" s="10"/>
      <c r="AC658" s="10"/>
      <c r="AD658" s="10"/>
      <c r="AE658" s="10"/>
      <c r="AF658" s="10"/>
      <c r="AG658" s="10"/>
      <c r="AH658" s="10"/>
      <c r="AI658" s="10"/>
    </row>
    <row r="659" spans="1:35">
      <c r="A659" s="10"/>
      <c r="B659" s="10" t="str">
        <f t="shared" si="266"/>
        <v>Below the LineWRAP</v>
      </c>
      <c r="C659" t="s">
        <v>20</v>
      </c>
      <c r="D659" t="s">
        <v>19</v>
      </c>
      <c r="E659" t="s">
        <v>238</v>
      </c>
      <c r="F659" t="s">
        <v>5396</v>
      </c>
      <c r="G659" t="s">
        <v>2425</v>
      </c>
      <c r="I659" s="10"/>
      <c r="J659" s="107">
        <f>SUMIF(Data!C:C,G659,Data!Q:Q)</f>
        <v>12400</v>
      </c>
      <c r="K659" s="107">
        <f>SUMIF(Comprometidos!A:A,'Cost Report'!G659,Comprometidos!E:E)</f>
        <v>0</v>
      </c>
      <c r="L659" s="107">
        <f t="shared" si="267"/>
        <v>12400</v>
      </c>
      <c r="M659" s="107">
        <v>0</v>
      </c>
      <c r="N659" s="107">
        <f t="shared" si="269"/>
        <v>12400</v>
      </c>
      <c r="O659" s="107">
        <f>VLOOKUP(G659,Budget!$E$3:$G$2474,3,0)</f>
        <v>5900</v>
      </c>
      <c r="P659" s="107">
        <f t="shared" si="270"/>
        <v>-6500</v>
      </c>
      <c r="Q659" s="107"/>
      <c r="R659" s="10"/>
      <c r="S659" s="107">
        <v>12400</v>
      </c>
      <c r="T659" s="107">
        <f t="shared" si="272"/>
        <v>0</v>
      </c>
      <c r="U659" s="107"/>
      <c r="V659" s="175"/>
      <c r="W659" s="10"/>
      <c r="X659" s="10"/>
      <c r="Y659" t="str">
        <f t="shared" si="271"/>
        <v>2019</v>
      </c>
      <c r="AB659" s="10"/>
      <c r="AC659" s="10"/>
      <c r="AD659" s="10"/>
      <c r="AE659" s="10"/>
      <c r="AF659" s="10"/>
      <c r="AG659" s="10"/>
      <c r="AH659" s="10"/>
      <c r="AI659" s="10"/>
    </row>
    <row r="660" spans="1:35">
      <c r="A660" s="10"/>
      <c r="B660" s="10" t="str">
        <f>+C660</f>
        <v>Below the Line</v>
      </c>
      <c r="C660" s="128" t="s">
        <v>20</v>
      </c>
      <c r="D660" s="128" t="s">
        <v>2117</v>
      </c>
      <c r="E660" s="128"/>
      <c r="F660" s="128"/>
      <c r="G660" s="128" t="s">
        <v>488</v>
      </c>
      <c r="H660" s="128"/>
      <c r="I660" s="10"/>
      <c r="J660" s="129">
        <f>SUMIF($Y$11:$Y$2484,G660,J$11:J$2484)</f>
        <v>698220.55</v>
      </c>
      <c r="K660" s="129">
        <f>SUMIF($Y$11:$Y$2484,G660,K$11:K$2484)</f>
        <v>0</v>
      </c>
      <c r="L660" s="129">
        <f>SUMIF($Y$11:$Y$2484,G660,L$11:L$2484)</f>
        <v>698220.55</v>
      </c>
      <c r="M660" s="129">
        <f>SUMIF($Y$11:$Y$2484,G660,M$11:M$2484)</f>
        <v>0</v>
      </c>
      <c r="N660" s="129">
        <f>SUMIF($Y$11:$Y$2484,G660,N$11:N$2484)</f>
        <v>698220.55</v>
      </c>
      <c r="O660" s="129">
        <f>SUMIF($Y$11:$Y$2484,G660,O$11:O$2484)</f>
        <v>619000</v>
      </c>
      <c r="P660" s="129">
        <f>SUMIF($Y$11:$Y$2484,G660,P$11:P$2484)</f>
        <v>-79220.55</v>
      </c>
      <c r="Q660" s="129"/>
      <c r="R660" s="10"/>
      <c r="S660" s="129">
        <v>698220.55</v>
      </c>
      <c r="T660" s="129">
        <f t="shared" si="272"/>
        <v>0</v>
      </c>
      <c r="U660" s="128"/>
      <c r="V660" s="175"/>
      <c r="W660" s="10"/>
      <c r="X660" s="10"/>
      <c r="Z660" t="str">
        <f>LEFT(G660,2)</f>
        <v>20</v>
      </c>
      <c r="AA660" t="str">
        <f>+Z660&amp;"00"</f>
        <v>2000</v>
      </c>
      <c r="AB660" s="10"/>
      <c r="AC660" s="10"/>
      <c r="AD660" s="10"/>
      <c r="AE660" s="10"/>
      <c r="AF660" s="10"/>
      <c r="AG660" s="10"/>
      <c r="AH660" s="10"/>
      <c r="AI660" s="10"/>
    </row>
    <row r="661" spans="1:35">
      <c r="A661" s="10"/>
      <c r="B661" s="10" t="str">
        <f t="shared" ref="B661:B691" si="273">+C661&amp;E661</f>
        <v>Below the Line</v>
      </c>
      <c r="C661" t="s">
        <v>20</v>
      </c>
      <c r="D661" t="s">
        <v>19</v>
      </c>
      <c r="E661" t="s">
        <v>214</v>
      </c>
      <c r="G661" t="s">
        <v>489</v>
      </c>
      <c r="I661" s="10"/>
      <c r="J661" s="107">
        <f>SUMIF(Data!C:C,G661,Data!Q:Q)</f>
        <v>0</v>
      </c>
      <c r="K661" s="107">
        <f>SUMIF(Comprometidos!A:A,'Cost Report'!G661,Comprometidos!E:E)</f>
        <v>0</v>
      </c>
      <c r="L661" s="107">
        <f t="shared" si="267"/>
        <v>0</v>
      </c>
      <c r="M661" s="107">
        <f t="shared" si="268"/>
        <v>0</v>
      </c>
      <c r="N661" s="107">
        <f t="shared" si="269"/>
        <v>0</v>
      </c>
      <c r="O661" s="107">
        <f>VLOOKUP(G661,Budget!$E$3:$G$2474,3,0)</f>
        <v>0</v>
      </c>
      <c r="P661" s="107">
        <f t="shared" si="270"/>
        <v>0</v>
      </c>
      <c r="Q661" s="107"/>
      <c r="R661" s="10"/>
      <c r="S661" s="107">
        <v>0</v>
      </c>
      <c r="T661" s="107">
        <f t="shared" si="272"/>
        <v>0</v>
      </c>
      <c r="U661" s="107"/>
      <c r="V661" s="175"/>
      <c r="W661" s="10"/>
      <c r="X661" s="10"/>
      <c r="Y661" t="str">
        <f t="shared" ref="Y661:Y690" si="274">LEFT(G661,4)</f>
        <v>2020</v>
      </c>
      <c r="AB661" s="10"/>
      <c r="AC661" s="10"/>
      <c r="AD661" s="10"/>
      <c r="AE661" s="10"/>
      <c r="AF661" s="10"/>
      <c r="AG661" s="10"/>
      <c r="AH661" s="10"/>
      <c r="AI661" s="10"/>
    </row>
    <row r="662" spans="1:35">
      <c r="A662" s="10"/>
      <c r="B662" s="10" t="str">
        <f t="shared" si="273"/>
        <v>Below the LinePREP</v>
      </c>
      <c r="C662" t="s">
        <v>20</v>
      </c>
      <c r="D662" t="s">
        <v>19</v>
      </c>
      <c r="E662" t="s">
        <v>234</v>
      </c>
      <c r="G662" t="s">
        <v>490</v>
      </c>
      <c r="I662" s="10"/>
      <c r="J662" s="107">
        <f>SUMIF(Data!C:C,G662,Data!Q:Q)</f>
        <v>113400</v>
      </c>
      <c r="K662" s="107">
        <f>SUMIF(Comprometidos!A:A,'Cost Report'!G662,Comprometidos!E:E)</f>
        <v>0</v>
      </c>
      <c r="L662" s="107">
        <f t="shared" si="267"/>
        <v>113400</v>
      </c>
      <c r="M662" s="107">
        <v>0</v>
      </c>
      <c r="N662" s="107">
        <f t="shared" si="269"/>
        <v>113400</v>
      </c>
      <c r="O662" s="107">
        <f>VLOOKUP(G662,Budget!$E$3:$G$2474,3,0)</f>
        <v>108000</v>
      </c>
      <c r="P662" s="107">
        <f t="shared" si="270"/>
        <v>-5400</v>
      </c>
      <c r="Q662" s="107"/>
      <c r="R662" s="10"/>
      <c r="S662" s="107">
        <v>113400</v>
      </c>
      <c r="T662" s="107">
        <f t="shared" si="272"/>
        <v>0</v>
      </c>
      <c r="U662" s="107"/>
      <c r="V662" s="175"/>
      <c r="W662" s="10"/>
      <c r="X662" s="10"/>
      <c r="Y662" t="str">
        <f t="shared" si="274"/>
        <v>2020</v>
      </c>
      <c r="AB662" s="10"/>
      <c r="AC662" s="10"/>
      <c r="AD662" s="10"/>
      <c r="AE662" s="10"/>
      <c r="AF662" s="10"/>
      <c r="AG662" s="10"/>
      <c r="AH662" s="10"/>
      <c r="AI662" s="10"/>
    </row>
    <row r="663" spans="1:35">
      <c r="A663" s="10"/>
      <c r="B663" s="10" t="str">
        <f t="shared" si="273"/>
        <v>Below the LineSHOOT</v>
      </c>
      <c r="C663" t="s">
        <v>20</v>
      </c>
      <c r="D663" t="s">
        <v>19</v>
      </c>
      <c r="E663" t="s">
        <v>236</v>
      </c>
      <c r="G663" t="s">
        <v>491</v>
      </c>
      <c r="I663" s="10"/>
      <c r="J663" s="107">
        <f>SUMIF(Data!C:C,G663,Data!Q:Q)</f>
        <v>132300</v>
      </c>
      <c r="K663" s="107">
        <f>SUMIF(Comprometidos!A:A,'Cost Report'!G663,Comprometidos!E:E)</f>
        <v>0</v>
      </c>
      <c r="L663" s="107">
        <f t="shared" si="267"/>
        <v>132300</v>
      </c>
      <c r="M663" s="107">
        <f>+O663-L663+6300</f>
        <v>0</v>
      </c>
      <c r="N663" s="107">
        <f t="shared" si="269"/>
        <v>132300</v>
      </c>
      <c r="O663" s="107">
        <f>VLOOKUP(G663,Budget!$E$3:$G$2474,3,0)</f>
        <v>126000</v>
      </c>
      <c r="P663" s="107">
        <f t="shared" si="270"/>
        <v>-6300</v>
      </c>
      <c r="Q663" s="107"/>
      <c r="R663" s="10"/>
      <c r="S663" s="107">
        <v>132300</v>
      </c>
      <c r="T663" s="107">
        <f t="shared" si="272"/>
        <v>0</v>
      </c>
      <c r="U663" s="107"/>
      <c r="V663" s="175"/>
      <c r="W663" s="10"/>
      <c r="X663" s="10"/>
      <c r="Y663" t="str">
        <f t="shared" si="274"/>
        <v>2020</v>
      </c>
      <c r="AB663" s="10"/>
      <c r="AC663" s="10"/>
      <c r="AD663" s="10"/>
      <c r="AE663" s="10"/>
      <c r="AF663" s="10"/>
      <c r="AG663" s="10"/>
      <c r="AH663" s="10"/>
      <c r="AI663" s="10"/>
    </row>
    <row r="664" spans="1:35">
      <c r="A664" s="10"/>
      <c r="B664" s="10" t="str">
        <f t="shared" si="273"/>
        <v>Below the LineWRAP</v>
      </c>
      <c r="C664" t="s">
        <v>20</v>
      </c>
      <c r="D664" t="s">
        <v>19</v>
      </c>
      <c r="E664" t="s">
        <v>238</v>
      </c>
      <c r="G664" t="s">
        <v>492</v>
      </c>
      <c r="I664" s="10"/>
      <c r="J664" s="107">
        <f>SUMIF(Data!C:C,G664,Data!Q:Q)</f>
        <v>18900</v>
      </c>
      <c r="K664" s="107">
        <f>SUMIF(Comprometidos!A:A,'Cost Report'!G664,Comprometidos!E:E)</f>
        <v>0</v>
      </c>
      <c r="L664" s="107">
        <f t="shared" si="267"/>
        <v>18900</v>
      </c>
      <c r="M664" s="107">
        <f>+O664-L664+900</f>
        <v>0</v>
      </c>
      <c r="N664" s="107">
        <f t="shared" si="269"/>
        <v>18900</v>
      </c>
      <c r="O664" s="107">
        <f>VLOOKUP(G664,Budget!$E$3:$G$2474,3,0)</f>
        <v>18000</v>
      </c>
      <c r="P664" s="107">
        <f t="shared" si="270"/>
        <v>-900</v>
      </c>
      <c r="Q664" s="107"/>
      <c r="R664" s="10"/>
      <c r="S664" s="107">
        <v>18900</v>
      </c>
      <c r="T664" s="107">
        <f t="shared" si="272"/>
        <v>0</v>
      </c>
      <c r="U664" s="107"/>
      <c r="V664" s="175"/>
      <c r="W664" s="10"/>
      <c r="X664" s="10"/>
      <c r="Y664" t="str">
        <f t="shared" si="274"/>
        <v>2020</v>
      </c>
      <c r="AB664" s="10"/>
      <c r="AC664" s="10"/>
      <c r="AD664" s="10"/>
      <c r="AE664" s="10"/>
      <c r="AF664" s="10"/>
      <c r="AG664" s="10"/>
      <c r="AH664" s="10"/>
      <c r="AI664" s="10"/>
    </row>
    <row r="665" spans="1:35">
      <c r="A665" s="10"/>
      <c r="B665" s="10" t="str">
        <f t="shared" si="273"/>
        <v>Below the Line</v>
      </c>
      <c r="C665" t="s">
        <v>20</v>
      </c>
      <c r="D665" t="s">
        <v>19</v>
      </c>
      <c r="E665" t="s">
        <v>214</v>
      </c>
      <c r="G665" t="s">
        <v>493</v>
      </c>
      <c r="I665" s="10"/>
      <c r="J665" s="107">
        <f>SUMIF(Data!C:C,G665,Data!Q:Q)</f>
        <v>0</v>
      </c>
      <c r="K665" s="107">
        <f>SUMIF(Comprometidos!A:A,'Cost Report'!G665,Comprometidos!E:E)</f>
        <v>0</v>
      </c>
      <c r="L665" s="107">
        <f t="shared" si="267"/>
        <v>0</v>
      </c>
      <c r="M665" s="107">
        <f t="shared" si="268"/>
        <v>0</v>
      </c>
      <c r="N665" s="107">
        <f t="shared" si="269"/>
        <v>0</v>
      </c>
      <c r="O665" s="107">
        <f>VLOOKUP(G665,Budget!$E$3:$G$2474,3,0)</f>
        <v>0</v>
      </c>
      <c r="P665" s="107">
        <f t="shared" si="270"/>
        <v>0</v>
      </c>
      <c r="Q665" s="107"/>
      <c r="R665" s="10"/>
      <c r="S665" s="107">
        <v>0</v>
      </c>
      <c r="T665" s="107">
        <f t="shared" si="272"/>
        <v>0</v>
      </c>
      <c r="U665" s="107"/>
      <c r="V665" s="175"/>
      <c r="W665" s="10"/>
      <c r="X665" s="10"/>
      <c r="Y665" t="str">
        <f t="shared" si="274"/>
        <v>2020</v>
      </c>
      <c r="AB665" s="10"/>
      <c r="AC665" s="10"/>
      <c r="AD665" s="10"/>
      <c r="AE665" s="10"/>
      <c r="AF665" s="10"/>
      <c r="AG665" s="10"/>
      <c r="AH665" s="10"/>
      <c r="AI665" s="10"/>
    </row>
    <row r="666" spans="1:35">
      <c r="A666" s="10"/>
      <c r="B666" s="10" t="str">
        <f t="shared" si="273"/>
        <v>Below the LinePREP</v>
      </c>
      <c r="C666" t="s">
        <v>20</v>
      </c>
      <c r="D666" t="s">
        <v>19</v>
      </c>
      <c r="E666" t="s">
        <v>234</v>
      </c>
      <c r="G666" t="s">
        <v>494</v>
      </c>
      <c r="I666" s="10"/>
      <c r="J666" s="107">
        <f>SUMIF(Data!C:C,G666,Data!Q:Q)</f>
        <v>36000</v>
      </c>
      <c r="K666" s="107">
        <f>SUMIF(Comprometidos!A:A,'Cost Report'!G666,Comprometidos!E:E)</f>
        <v>0</v>
      </c>
      <c r="L666" s="107">
        <f t="shared" si="267"/>
        <v>36000</v>
      </c>
      <c r="M666" s="107">
        <v>0</v>
      </c>
      <c r="N666" s="107">
        <f t="shared" si="269"/>
        <v>36000</v>
      </c>
      <c r="O666" s="107">
        <f>VLOOKUP(G666,Budget!$E$3:$G$2474,3,0)</f>
        <v>54000</v>
      </c>
      <c r="P666" s="107">
        <f t="shared" si="270"/>
        <v>18000</v>
      </c>
      <c r="Q666" s="107"/>
      <c r="R666" s="10"/>
      <c r="S666" s="107">
        <v>36000</v>
      </c>
      <c r="T666" s="107">
        <f t="shared" si="272"/>
        <v>0</v>
      </c>
      <c r="U666" s="107"/>
      <c r="V666" s="175"/>
      <c r="W666" s="10"/>
      <c r="X666" s="10"/>
      <c r="Y666" t="str">
        <f t="shared" si="274"/>
        <v>2020</v>
      </c>
      <c r="AB666" s="10"/>
      <c r="AC666" s="10"/>
      <c r="AD666" s="10"/>
      <c r="AE666" s="10"/>
      <c r="AF666" s="10"/>
      <c r="AG666" s="10"/>
      <c r="AH666" s="10"/>
      <c r="AI666" s="10"/>
    </row>
    <row r="667" spans="1:35">
      <c r="A667" s="10"/>
      <c r="B667" s="10" t="str">
        <f t="shared" si="273"/>
        <v>Below the LineSHOOT</v>
      </c>
      <c r="C667" t="s">
        <v>20</v>
      </c>
      <c r="D667" t="s">
        <v>19</v>
      </c>
      <c r="E667" t="s">
        <v>236</v>
      </c>
      <c r="G667" t="s">
        <v>495</v>
      </c>
      <c r="I667" s="10"/>
      <c r="J667" s="107">
        <f>SUMIF(Data!C:C,G667,Data!Q:Q)</f>
        <v>63000</v>
      </c>
      <c r="K667" s="107">
        <f>SUMIF(Comprometidos!A:A,'Cost Report'!G667,Comprometidos!E:E)</f>
        <v>0</v>
      </c>
      <c r="L667" s="107">
        <f t="shared" si="267"/>
        <v>63000</v>
      </c>
      <c r="M667" s="107">
        <f t="shared" si="268"/>
        <v>0</v>
      </c>
      <c r="N667" s="107">
        <f t="shared" si="269"/>
        <v>63000</v>
      </c>
      <c r="O667" s="107">
        <f>VLOOKUP(G667,Budget!$E$3:$G$2474,3,0)</f>
        <v>63000</v>
      </c>
      <c r="P667" s="107">
        <f t="shared" si="270"/>
        <v>0</v>
      </c>
      <c r="Q667" s="107"/>
      <c r="R667" s="10"/>
      <c r="S667" s="107">
        <v>63000</v>
      </c>
      <c r="T667" s="107">
        <f t="shared" si="272"/>
        <v>0</v>
      </c>
      <c r="U667" s="107"/>
      <c r="V667" s="175"/>
      <c r="W667" s="10"/>
      <c r="X667" s="10"/>
      <c r="Y667" t="str">
        <f t="shared" si="274"/>
        <v>2020</v>
      </c>
      <c r="AB667" s="10"/>
      <c r="AC667" s="10"/>
      <c r="AD667" s="10"/>
      <c r="AE667" s="10"/>
      <c r="AF667" s="10"/>
      <c r="AG667" s="10"/>
      <c r="AH667" s="10"/>
      <c r="AI667" s="10"/>
    </row>
    <row r="668" spans="1:35">
      <c r="A668" s="10"/>
      <c r="B668" s="10" t="str">
        <f t="shared" si="273"/>
        <v>Below the LineWRAP</v>
      </c>
      <c r="C668" t="s">
        <v>20</v>
      </c>
      <c r="D668" t="s">
        <v>19</v>
      </c>
      <c r="E668" t="s">
        <v>238</v>
      </c>
      <c r="F668" t="s">
        <v>5396</v>
      </c>
      <c r="G668" t="s">
        <v>496</v>
      </c>
      <c r="I668" s="10"/>
      <c r="J668" s="107">
        <f>SUMIF(Data!C:C,G668,Data!Q:Q)</f>
        <v>27000</v>
      </c>
      <c r="K668" s="107">
        <f>SUMIF(Comprometidos!A:A,'Cost Report'!G668,Comprometidos!E:E)</f>
        <v>0</v>
      </c>
      <c r="L668" s="107">
        <f t="shared" si="267"/>
        <v>27000</v>
      </c>
      <c r="M668" s="107">
        <v>0</v>
      </c>
      <c r="N668" s="107">
        <f t="shared" si="269"/>
        <v>27000</v>
      </c>
      <c r="O668" s="107">
        <f>VLOOKUP(G668,Budget!$E$3:$G$2474,3,0)</f>
        <v>18000</v>
      </c>
      <c r="P668" s="107">
        <f t="shared" si="270"/>
        <v>-9000</v>
      </c>
      <c r="Q668" s="107"/>
      <c r="R668" s="10"/>
      <c r="S668" s="107">
        <v>27000</v>
      </c>
      <c r="T668" s="107">
        <f t="shared" si="272"/>
        <v>0</v>
      </c>
      <c r="U668" s="107"/>
      <c r="V668" s="175"/>
      <c r="W668" s="10"/>
      <c r="X668" s="10"/>
      <c r="Y668" t="str">
        <f t="shared" si="274"/>
        <v>2020</v>
      </c>
      <c r="AB668" s="10"/>
      <c r="AC668" s="10"/>
      <c r="AD668" s="10"/>
      <c r="AE668" s="10"/>
      <c r="AF668" s="10"/>
      <c r="AG668" s="10"/>
      <c r="AH668" s="10"/>
      <c r="AI668" s="10"/>
    </row>
    <row r="669" spans="1:35">
      <c r="A669" s="10"/>
      <c r="B669" s="10" t="str">
        <f t="shared" si="273"/>
        <v>Below the Line</v>
      </c>
      <c r="C669" t="s">
        <v>20</v>
      </c>
      <c r="D669" t="s">
        <v>19</v>
      </c>
      <c r="E669" t="s">
        <v>214</v>
      </c>
      <c r="G669" t="s">
        <v>497</v>
      </c>
      <c r="I669" s="10"/>
      <c r="J669" s="107">
        <f>SUMIF(Data!C:C,G669,Data!Q:Q)</f>
        <v>0</v>
      </c>
      <c r="K669" s="107">
        <f>SUMIF(Comprometidos!A:A,'Cost Report'!G669,Comprometidos!E:E)</f>
        <v>0</v>
      </c>
      <c r="L669" s="107">
        <f t="shared" si="267"/>
        <v>0</v>
      </c>
      <c r="M669" s="107">
        <f t="shared" si="268"/>
        <v>0</v>
      </c>
      <c r="N669" s="107">
        <f t="shared" si="269"/>
        <v>0</v>
      </c>
      <c r="O669" s="107">
        <f>VLOOKUP(G669,Budget!$E$3:$G$2474,3,0)</f>
        <v>0</v>
      </c>
      <c r="P669" s="107">
        <f t="shared" si="270"/>
        <v>0</v>
      </c>
      <c r="Q669" s="107"/>
      <c r="R669" s="10"/>
      <c r="S669" s="107">
        <v>0</v>
      </c>
      <c r="T669" s="107">
        <f t="shared" si="272"/>
        <v>0</v>
      </c>
      <c r="U669" s="107"/>
      <c r="V669" s="175"/>
      <c r="W669" s="10"/>
      <c r="X669" s="10"/>
      <c r="Y669" t="str">
        <f t="shared" si="274"/>
        <v>2020</v>
      </c>
      <c r="AB669" s="10"/>
      <c r="AC669" s="10"/>
      <c r="AD669" s="10"/>
      <c r="AE669" s="10"/>
      <c r="AF669" s="10"/>
      <c r="AG669" s="10"/>
      <c r="AH669" s="10"/>
      <c r="AI669" s="10"/>
    </row>
    <row r="670" spans="1:35">
      <c r="A670" s="10"/>
      <c r="B670" s="10" t="str">
        <f t="shared" si="273"/>
        <v>Below the LinePREP</v>
      </c>
      <c r="C670" t="s">
        <v>20</v>
      </c>
      <c r="D670" t="s">
        <v>19</v>
      </c>
      <c r="E670" t="s">
        <v>234</v>
      </c>
      <c r="G670" t="s">
        <v>498</v>
      </c>
      <c r="I670" s="10"/>
      <c r="J670" s="107">
        <f>SUMIF(Data!C:C,G670,Data!Q:Q)</f>
        <v>14000</v>
      </c>
      <c r="K670" s="107">
        <f>SUMIF(Comprometidos!A:A,'Cost Report'!G670,Comprometidos!E:E)</f>
        <v>0</v>
      </c>
      <c r="L670" s="107">
        <f t="shared" si="267"/>
        <v>14000</v>
      </c>
      <c r="M670" s="107">
        <f t="shared" si="268"/>
        <v>0</v>
      </c>
      <c r="N670" s="107">
        <f t="shared" si="269"/>
        <v>14000</v>
      </c>
      <c r="O670" s="107">
        <f>VLOOKUP(G670,Budget!$E$3:$G$2474,3,0)</f>
        <v>14000</v>
      </c>
      <c r="P670" s="107">
        <f t="shared" si="270"/>
        <v>0</v>
      </c>
      <c r="Q670" s="107"/>
      <c r="R670" s="10"/>
      <c r="S670" s="107">
        <v>14000</v>
      </c>
      <c r="T670" s="107">
        <f t="shared" si="272"/>
        <v>0</v>
      </c>
      <c r="U670" s="107"/>
      <c r="V670" s="175"/>
      <c r="W670" s="10"/>
      <c r="X670" s="10"/>
      <c r="Y670" t="str">
        <f t="shared" si="274"/>
        <v>2020</v>
      </c>
      <c r="AB670" s="10"/>
      <c r="AC670" s="10"/>
      <c r="AD670" s="10"/>
      <c r="AE670" s="10"/>
      <c r="AF670" s="10"/>
      <c r="AG670" s="10"/>
      <c r="AH670" s="10"/>
      <c r="AI670" s="10"/>
    </row>
    <row r="671" spans="1:35">
      <c r="A671" s="10"/>
      <c r="B671" s="10" t="str">
        <f t="shared" si="273"/>
        <v>Below the LineSHOOT</v>
      </c>
      <c r="C671" t="s">
        <v>20</v>
      </c>
      <c r="D671" t="s">
        <v>19</v>
      </c>
      <c r="E671" t="s">
        <v>236</v>
      </c>
      <c r="G671" t="s">
        <v>499</v>
      </c>
      <c r="I671" s="10"/>
      <c r="J671" s="107">
        <f>SUMIF(Data!C:C,G671,Data!Q:Q)</f>
        <v>49000</v>
      </c>
      <c r="K671" s="107">
        <f>SUMIF(Comprometidos!A:A,'Cost Report'!G671,Comprometidos!E:E)</f>
        <v>0</v>
      </c>
      <c r="L671" s="107">
        <f t="shared" si="267"/>
        <v>49000</v>
      </c>
      <c r="M671" s="107">
        <f t="shared" si="268"/>
        <v>0</v>
      </c>
      <c r="N671" s="107">
        <f t="shared" si="269"/>
        <v>49000</v>
      </c>
      <c r="O671" s="107">
        <f>VLOOKUP(G671,Budget!$E$3:$G$2474,3,0)</f>
        <v>49000</v>
      </c>
      <c r="P671" s="107">
        <f t="shared" si="270"/>
        <v>0</v>
      </c>
      <c r="Q671" s="107"/>
      <c r="R671" s="10"/>
      <c r="S671" s="107">
        <v>49000</v>
      </c>
      <c r="T671" s="107">
        <f t="shared" si="272"/>
        <v>0</v>
      </c>
      <c r="U671" s="107"/>
      <c r="V671" s="175"/>
      <c r="W671" s="10"/>
      <c r="X671" s="10"/>
      <c r="Y671" t="str">
        <f t="shared" si="274"/>
        <v>2020</v>
      </c>
      <c r="AB671" s="10"/>
      <c r="AC671" s="10"/>
      <c r="AD671" s="10"/>
      <c r="AE671" s="10"/>
      <c r="AF671" s="10"/>
      <c r="AG671" s="10"/>
      <c r="AH671" s="10"/>
      <c r="AI671" s="10"/>
    </row>
    <row r="672" spans="1:35">
      <c r="A672" s="10"/>
      <c r="B672" s="10" t="str">
        <f t="shared" si="273"/>
        <v>Below the LineWRAP</v>
      </c>
      <c r="C672" t="s">
        <v>20</v>
      </c>
      <c r="D672" t="s">
        <v>19</v>
      </c>
      <c r="E672" t="s">
        <v>238</v>
      </c>
      <c r="F672" t="s">
        <v>5396</v>
      </c>
      <c r="G672" t="s">
        <v>500</v>
      </c>
      <c r="I672" s="10"/>
      <c r="J672" s="107">
        <f>SUMIF(Data!C:C,G672,Data!Q:Q)</f>
        <v>14000</v>
      </c>
      <c r="K672" s="107">
        <f>SUMIF(Comprometidos!A:A,'Cost Report'!G672,Comprometidos!E:E)</f>
        <v>0</v>
      </c>
      <c r="L672" s="107">
        <f t="shared" si="267"/>
        <v>14000</v>
      </c>
      <c r="M672" s="107">
        <v>0</v>
      </c>
      <c r="N672" s="107">
        <f t="shared" si="269"/>
        <v>14000</v>
      </c>
      <c r="O672" s="107">
        <f>VLOOKUP(G672,Budget!$E$3:$G$2474,3,0)</f>
        <v>7000</v>
      </c>
      <c r="P672" s="107">
        <f t="shared" si="270"/>
        <v>-7000</v>
      </c>
      <c r="Q672" s="107"/>
      <c r="R672" s="10"/>
      <c r="S672" s="107">
        <v>14000</v>
      </c>
      <c r="T672" s="107">
        <f t="shared" si="272"/>
        <v>0</v>
      </c>
      <c r="U672" s="107"/>
      <c r="V672" s="175"/>
      <c r="W672" s="10"/>
      <c r="X672" s="10"/>
      <c r="Y672" t="str">
        <f t="shared" si="274"/>
        <v>2020</v>
      </c>
      <c r="AB672" s="10"/>
      <c r="AC672" s="10"/>
      <c r="AD672" s="10"/>
      <c r="AE672" s="10"/>
      <c r="AF672" s="10"/>
      <c r="AG672" s="10"/>
      <c r="AH672" s="10"/>
      <c r="AI672" s="10"/>
    </row>
    <row r="673" spans="1:35">
      <c r="A673" s="10"/>
      <c r="B673" s="10" t="str">
        <f t="shared" si="273"/>
        <v>Below the Line</v>
      </c>
      <c r="C673" t="s">
        <v>20</v>
      </c>
      <c r="D673" t="s">
        <v>19</v>
      </c>
      <c r="E673" t="s">
        <v>214</v>
      </c>
      <c r="G673" t="s">
        <v>501</v>
      </c>
      <c r="I673" s="10"/>
      <c r="J673" s="107">
        <f>SUMIF(Data!C:C,G673,Data!Q:Q)</f>
        <v>0</v>
      </c>
      <c r="K673" s="107">
        <f>SUMIF(Comprometidos!A:A,'Cost Report'!G673,Comprometidos!E:E)</f>
        <v>0</v>
      </c>
      <c r="L673" s="107">
        <f t="shared" si="267"/>
        <v>0</v>
      </c>
      <c r="M673" s="107">
        <f t="shared" si="268"/>
        <v>0</v>
      </c>
      <c r="N673" s="107">
        <f t="shared" si="269"/>
        <v>0</v>
      </c>
      <c r="O673" s="107">
        <f>VLOOKUP(G673,Budget!$E$3:$G$2474,3,0)</f>
        <v>0</v>
      </c>
      <c r="P673" s="107">
        <f t="shared" si="270"/>
        <v>0</v>
      </c>
      <c r="Q673" s="107"/>
      <c r="R673" s="10"/>
      <c r="S673" s="107">
        <v>0</v>
      </c>
      <c r="T673" s="107">
        <f t="shared" si="272"/>
        <v>0</v>
      </c>
      <c r="U673" s="107"/>
      <c r="V673" s="175"/>
      <c r="W673" s="10"/>
      <c r="X673" s="10"/>
      <c r="Y673" t="str">
        <f t="shared" si="274"/>
        <v>2020</v>
      </c>
      <c r="AB673" s="10"/>
      <c r="AC673" s="10"/>
      <c r="AD673" s="10"/>
      <c r="AE673" s="10"/>
      <c r="AF673" s="10"/>
      <c r="AG673" s="10"/>
      <c r="AH673" s="10"/>
      <c r="AI673" s="10"/>
    </row>
    <row r="674" spans="1:35">
      <c r="A674" s="10"/>
      <c r="B674" s="10" t="str">
        <f t="shared" si="273"/>
        <v>Below the LinePREP</v>
      </c>
      <c r="C674" t="s">
        <v>20</v>
      </c>
      <c r="D674" t="s">
        <v>19</v>
      </c>
      <c r="E674" t="s">
        <v>234</v>
      </c>
      <c r="G674" t="s">
        <v>502</v>
      </c>
      <c r="I674" s="10"/>
      <c r="J674" s="107">
        <f>SUMIF(Data!C:C,G674,Data!Q:Q)</f>
        <v>16333</v>
      </c>
      <c r="K674" s="107">
        <f>SUMIF(Comprometidos!A:A,'Cost Report'!G674,Comprometidos!E:E)</f>
        <v>0</v>
      </c>
      <c r="L674" s="107">
        <f t="shared" si="267"/>
        <v>16333</v>
      </c>
      <c r="M674" s="107">
        <v>0</v>
      </c>
      <c r="N674" s="107">
        <f t="shared" si="269"/>
        <v>16333</v>
      </c>
      <c r="O674" s="107">
        <f>VLOOKUP(G674,Budget!$E$3:$G$2474,3,0)</f>
        <v>14000</v>
      </c>
      <c r="P674" s="107">
        <f t="shared" si="270"/>
        <v>-2333</v>
      </c>
      <c r="Q674" s="107"/>
      <c r="R674" s="10"/>
      <c r="S674" s="107">
        <v>16333</v>
      </c>
      <c r="T674" s="107">
        <f t="shared" si="272"/>
        <v>0</v>
      </c>
      <c r="U674" s="107"/>
      <c r="V674" s="175"/>
      <c r="W674" s="10"/>
      <c r="X674" s="10"/>
      <c r="Y674" t="str">
        <f t="shared" si="274"/>
        <v>2020</v>
      </c>
      <c r="AB674" s="10"/>
      <c r="AC674" s="10"/>
      <c r="AD674" s="10"/>
      <c r="AE674" s="10"/>
      <c r="AF674" s="10"/>
      <c r="AG674" s="10"/>
      <c r="AH674" s="10"/>
      <c r="AI674" s="10"/>
    </row>
    <row r="675" spans="1:35">
      <c r="A675" s="10"/>
      <c r="B675" s="10" t="str">
        <f t="shared" si="273"/>
        <v>Below the LineSHOOT</v>
      </c>
      <c r="C675" t="s">
        <v>20</v>
      </c>
      <c r="D675" t="s">
        <v>19</v>
      </c>
      <c r="E675" t="s">
        <v>236</v>
      </c>
      <c r="G675" t="s">
        <v>503</v>
      </c>
      <c r="I675" s="10"/>
      <c r="J675" s="107">
        <f>SUMIF(Data!C:C,G675,Data!Q:Q)</f>
        <v>49000</v>
      </c>
      <c r="K675" s="107">
        <f>SUMIF(Comprometidos!A:A,'Cost Report'!G675,Comprometidos!E:E)</f>
        <v>0</v>
      </c>
      <c r="L675" s="107">
        <f t="shared" si="267"/>
        <v>49000</v>
      </c>
      <c r="M675" s="107">
        <f t="shared" si="268"/>
        <v>0</v>
      </c>
      <c r="N675" s="107">
        <f t="shared" si="269"/>
        <v>49000</v>
      </c>
      <c r="O675" s="107">
        <f>VLOOKUP(G675,Budget!$E$3:$G$2474,3,0)</f>
        <v>49000</v>
      </c>
      <c r="P675" s="107">
        <f t="shared" si="270"/>
        <v>0</v>
      </c>
      <c r="Q675" s="107"/>
      <c r="R675" s="10"/>
      <c r="S675" s="107">
        <v>49000</v>
      </c>
      <c r="T675" s="107">
        <f t="shared" si="272"/>
        <v>0</v>
      </c>
      <c r="U675" s="107"/>
      <c r="V675" s="175"/>
      <c r="W675" s="10"/>
      <c r="X675" s="10"/>
      <c r="Y675" t="str">
        <f t="shared" si="274"/>
        <v>2020</v>
      </c>
      <c r="AB675" s="10"/>
      <c r="AC675" s="10"/>
      <c r="AD675" s="10"/>
      <c r="AE675" s="10"/>
      <c r="AF675" s="10"/>
      <c r="AG675" s="10"/>
      <c r="AH675" s="10"/>
      <c r="AI675" s="10"/>
    </row>
    <row r="676" spans="1:35">
      <c r="A676" s="10"/>
      <c r="B676" s="10" t="str">
        <f t="shared" si="273"/>
        <v>Below the LineWRAP</v>
      </c>
      <c r="C676" t="s">
        <v>20</v>
      </c>
      <c r="D676" t="s">
        <v>19</v>
      </c>
      <c r="E676" t="s">
        <v>238</v>
      </c>
      <c r="G676" t="s">
        <v>504</v>
      </c>
      <c r="I676" s="10"/>
      <c r="J676" s="107">
        <f>SUMIF(Data!C:C,G676,Data!Q:Q)</f>
        <v>14000</v>
      </c>
      <c r="K676" s="107">
        <f>SUMIF(Comprometidos!A:A,'Cost Report'!G676,Comprometidos!E:E)</f>
        <v>0</v>
      </c>
      <c r="L676" s="107">
        <f t="shared" si="267"/>
        <v>14000</v>
      </c>
      <c r="M676" s="107">
        <f>+O676-L676+7000</f>
        <v>0</v>
      </c>
      <c r="N676" s="107">
        <f t="shared" si="269"/>
        <v>14000</v>
      </c>
      <c r="O676" s="107">
        <f>VLOOKUP(G676,Budget!$E$3:$G$2474,3,0)</f>
        <v>7000</v>
      </c>
      <c r="P676" s="107">
        <f t="shared" si="270"/>
        <v>-7000</v>
      </c>
      <c r="Q676" s="107"/>
      <c r="R676" s="10"/>
      <c r="S676" s="107">
        <v>14000</v>
      </c>
      <c r="T676" s="107">
        <f t="shared" si="272"/>
        <v>0</v>
      </c>
      <c r="U676" s="107"/>
      <c r="V676" s="175"/>
      <c r="W676" s="10"/>
      <c r="X676" s="10"/>
      <c r="Y676" t="str">
        <f t="shared" si="274"/>
        <v>2020</v>
      </c>
      <c r="AB676" s="10"/>
      <c r="AC676" s="10"/>
      <c r="AD676" s="10"/>
      <c r="AE676" s="10"/>
      <c r="AF676" s="10"/>
      <c r="AG676" s="10"/>
      <c r="AH676" s="10"/>
      <c r="AI676" s="10"/>
    </row>
    <row r="677" spans="1:35">
      <c r="A677" s="10"/>
      <c r="B677" s="10" t="str">
        <f t="shared" si="273"/>
        <v>Below the Line</v>
      </c>
      <c r="C677" t="s">
        <v>20</v>
      </c>
      <c r="D677" t="s">
        <v>19</v>
      </c>
      <c r="E677" t="s">
        <v>214</v>
      </c>
      <c r="G677" t="s">
        <v>505</v>
      </c>
      <c r="I677" s="10"/>
      <c r="J677" s="107">
        <f>SUMIF(Data!C:C,G677,Data!Q:Q)</f>
        <v>0</v>
      </c>
      <c r="K677" s="107">
        <f>SUMIF(Comprometidos!A:A,'Cost Report'!G677,Comprometidos!E:E)</f>
        <v>0</v>
      </c>
      <c r="L677" s="107">
        <f t="shared" si="267"/>
        <v>0</v>
      </c>
      <c r="M677" s="107">
        <f t="shared" si="268"/>
        <v>0</v>
      </c>
      <c r="N677" s="107">
        <f t="shared" si="269"/>
        <v>0</v>
      </c>
      <c r="O677" s="107">
        <f>VLOOKUP(G677,Budget!$E$3:$G$2474,3,0)</f>
        <v>0</v>
      </c>
      <c r="P677" s="107">
        <f t="shared" si="270"/>
        <v>0</v>
      </c>
      <c r="Q677" s="107"/>
      <c r="R677" s="10"/>
      <c r="S677" s="107">
        <v>0</v>
      </c>
      <c r="T677" s="107">
        <f t="shared" si="272"/>
        <v>0</v>
      </c>
      <c r="U677" s="107"/>
      <c r="V677" s="175"/>
      <c r="W677" s="10"/>
      <c r="X677" s="10"/>
      <c r="Y677" t="str">
        <f t="shared" si="274"/>
        <v>2020</v>
      </c>
      <c r="AB677" s="10"/>
      <c r="AC677" s="10"/>
      <c r="AD677" s="10"/>
      <c r="AE677" s="10"/>
      <c r="AF677" s="10"/>
      <c r="AG677" s="10"/>
      <c r="AH677" s="10"/>
      <c r="AI677" s="10"/>
    </row>
    <row r="678" spans="1:35">
      <c r="A678" s="10"/>
      <c r="B678" s="10" t="str">
        <f t="shared" si="273"/>
        <v>Below the LineSHOOT</v>
      </c>
      <c r="C678" t="s">
        <v>20</v>
      </c>
      <c r="D678" t="s">
        <v>19</v>
      </c>
      <c r="E678" t="s">
        <v>236</v>
      </c>
      <c r="F678" t="s">
        <v>5396</v>
      </c>
      <c r="G678" t="s">
        <v>506</v>
      </c>
      <c r="I678" s="10"/>
      <c r="J678" s="107">
        <f>SUMIF(Data!C:C,G678,Data!Q:Q)</f>
        <v>98000</v>
      </c>
      <c r="K678" s="107">
        <f>SUMIF(Comprometidos!A:A,'Cost Report'!G678,Comprometidos!E:E)</f>
        <v>0</v>
      </c>
      <c r="L678" s="107">
        <f t="shared" si="267"/>
        <v>98000</v>
      </c>
      <c r="M678" s="107">
        <v>0</v>
      </c>
      <c r="N678" s="107">
        <f t="shared" si="269"/>
        <v>98000</v>
      </c>
      <c r="O678" s="107">
        <f>VLOOKUP(G678,Budget!$E$3:$G$2474,3,0)</f>
        <v>49000</v>
      </c>
      <c r="P678" s="107">
        <f t="shared" si="270"/>
        <v>-49000</v>
      </c>
      <c r="Q678" s="107"/>
      <c r="R678" s="10"/>
      <c r="S678" s="107">
        <v>98000</v>
      </c>
      <c r="T678" s="107">
        <f t="shared" si="272"/>
        <v>0</v>
      </c>
      <c r="U678" s="107"/>
      <c r="V678" s="175"/>
      <c r="W678" s="10"/>
      <c r="X678" s="10"/>
      <c r="Y678" t="str">
        <f t="shared" si="274"/>
        <v>2020</v>
      </c>
      <c r="AB678" s="10"/>
      <c r="AC678" s="10"/>
      <c r="AD678" s="10"/>
      <c r="AE678" s="10"/>
      <c r="AF678" s="10"/>
      <c r="AG678" s="10"/>
      <c r="AH678" s="10"/>
      <c r="AI678" s="10"/>
    </row>
    <row r="679" spans="1:35">
      <c r="A679" s="10"/>
      <c r="B679" s="10" t="str">
        <f t="shared" si="273"/>
        <v>Below the Line</v>
      </c>
      <c r="C679" t="s">
        <v>20</v>
      </c>
      <c r="D679" t="s">
        <v>19</v>
      </c>
      <c r="E679" t="s">
        <v>214</v>
      </c>
      <c r="G679" t="s">
        <v>507</v>
      </c>
      <c r="I679" s="10"/>
      <c r="J679" s="107">
        <f>SUMIF(Data!C:C,G679,Data!Q:Q)</f>
        <v>0</v>
      </c>
      <c r="K679" s="107">
        <f>SUMIF(Comprometidos!A:A,'Cost Report'!G679,Comprometidos!E:E)</f>
        <v>0</v>
      </c>
      <c r="L679" s="107">
        <f t="shared" si="267"/>
        <v>0</v>
      </c>
      <c r="M679" s="107">
        <f t="shared" si="268"/>
        <v>0</v>
      </c>
      <c r="N679" s="107">
        <f t="shared" si="269"/>
        <v>0</v>
      </c>
      <c r="O679" s="107">
        <f>VLOOKUP(G679,Budget!$E$3:$G$2474,3,0)</f>
        <v>0</v>
      </c>
      <c r="P679" s="107">
        <f t="shared" si="270"/>
        <v>0</v>
      </c>
      <c r="Q679" s="107"/>
      <c r="R679" s="10"/>
      <c r="S679" s="107">
        <v>0</v>
      </c>
      <c r="T679" s="107">
        <f t="shared" si="272"/>
        <v>0</v>
      </c>
      <c r="U679" s="107"/>
      <c r="V679" s="175"/>
      <c r="W679" s="10"/>
      <c r="X679" s="10"/>
      <c r="Y679" t="str">
        <f t="shared" si="274"/>
        <v>2020</v>
      </c>
      <c r="AB679" s="10"/>
      <c r="AC679" s="10"/>
      <c r="AD679" s="10"/>
      <c r="AE679" s="10"/>
      <c r="AF679" s="10"/>
      <c r="AG679" s="10"/>
      <c r="AH679" s="10"/>
      <c r="AI679" s="10"/>
    </row>
    <row r="680" spans="1:35">
      <c r="A680" s="10"/>
      <c r="B680" s="10" t="str">
        <f t="shared" si="273"/>
        <v>Below the Line2nd Unit</v>
      </c>
      <c r="C680" t="s">
        <v>20</v>
      </c>
      <c r="D680" t="s">
        <v>19</v>
      </c>
      <c r="E680" t="s">
        <v>1419</v>
      </c>
      <c r="G680" t="s">
        <v>508</v>
      </c>
      <c r="I680" s="10"/>
      <c r="J680" s="107">
        <f>SUMIF(Data!C:C,G680,Data!Q:Q)</f>
        <v>3500</v>
      </c>
      <c r="K680" s="107">
        <f>SUMIF(Comprometidos!A:A,'Cost Report'!G680,Comprometidos!E:E)</f>
        <v>0</v>
      </c>
      <c r="L680" s="107">
        <f t="shared" si="267"/>
        <v>3500</v>
      </c>
      <c r="M680" s="107">
        <v>0</v>
      </c>
      <c r="N680" s="107">
        <f t="shared" si="269"/>
        <v>3500</v>
      </c>
      <c r="O680" s="107">
        <f>VLOOKUP(G680,Budget!$E$3:$G$2474,3,0)</f>
        <v>7000</v>
      </c>
      <c r="P680" s="107">
        <f t="shared" si="270"/>
        <v>3500</v>
      </c>
      <c r="Q680" s="107"/>
      <c r="R680" s="10"/>
      <c r="S680" s="107">
        <v>3500</v>
      </c>
      <c r="T680" s="107">
        <f t="shared" si="272"/>
        <v>0</v>
      </c>
      <c r="U680" s="107"/>
      <c r="V680" s="175"/>
      <c r="W680" s="10"/>
      <c r="X680" s="10"/>
      <c r="Y680" t="str">
        <f t="shared" si="274"/>
        <v>2020</v>
      </c>
      <c r="AB680" s="10"/>
      <c r="AC680" s="10"/>
      <c r="AD680" s="10"/>
      <c r="AE680" s="10"/>
      <c r="AF680" s="10"/>
      <c r="AG680" s="10"/>
      <c r="AH680" s="10"/>
      <c r="AI680" s="10"/>
    </row>
    <row r="681" spans="1:35">
      <c r="A681" s="10"/>
      <c r="B681" s="10" t="str">
        <f t="shared" si="273"/>
        <v>Below the Line2nd Unit</v>
      </c>
      <c r="C681" t="s">
        <v>20</v>
      </c>
      <c r="D681" t="s">
        <v>19</v>
      </c>
      <c r="E681" t="s">
        <v>1419</v>
      </c>
      <c r="G681" t="s">
        <v>509</v>
      </c>
      <c r="I681" s="10"/>
      <c r="J681" s="107">
        <f>SUMIF(Data!C:C,G681,Data!Q:Q)</f>
        <v>14000</v>
      </c>
      <c r="K681" s="107">
        <f>SUMIF(Comprometidos!A:A,'Cost Report'!G681,Comprometidos!E:E)</f>
        <v>0</v>
      </c>
      <c r="L681" s="107">
        <f t="shared" si="267"/>
        <v>14000</v>
      </c>
      <c r="M681" s="107">
        <f t="shared" si="268"/>
        <v>0</v>
      </c>
      <c r="N681" s="107">
        <f t="shared" si="269"/>
        <v>14000</v>
      </c>
      <c r="O681" s="107">
        <f>VLOOKUP(G681,Budget!$E$3:$G$2474,3,0)</f>
        <v>14000</v>
      </c>
      <c r="P681" s="107">
        <f t="shared" si="270"/>
        <v>0</v>
      </c>
      <c r="Q681" s="107"/>
      <c r="R681" s="10"/>
      <c r="S681" s="107">
        <v>14000</v>
      </c>
      <c r="T681" s="107">
        <f t="shared" si="272"/>
        <v>0</v>
      </c>
      <c r="U681" s="107"/>
      <c r="V681" s="175"/>
      <c r="W681" s="10"/>
      <c r="X681" s="10"/>
      <c r="Y681" t="str">
        <f t="shared" si="274"/>
        <v>2020</v>
      </c>
      <c r="AB681" s="10"/>
      <c r="AC681" s="10"/>
      <c r="AD681" s="10"/>
      <c r="AE681" s="10"/>
      <c r="AF681" s="10"/>
      <c r="AG681" s="10"/>
      <c r="AH681" s="10"/>
      <c r="AI681" s="10"/>
    </row>
    <row r="682" spans="1:35">
      <c r="A682" s="10"/>
      <c r="B682" s="10" t="str">
        <f t="shared" si="273"/>
        <v>Below the Line2nd Unit</v>
      </c>
      <c r="C682" t="s">
        <v>20</v>
      </c>
      <c r="D682" t="s">
        <v>19</v>
      </c>
      <c r="E682" t="s">
        <v>1419</v>
      </c>
      <c r="G682" t="s">
        <v>510</v>
      </c>
      <c r="I682" s="10"/>
      <c r="J682" s="107">
        <f>SUMIF(Data!C:C,G682,Data!Q:Q)</f>
        <v>3500</v>
      </c>
      <c r="K682" s="107">
        <f>SUMIF(Comprometidos!A:A,'Cost Report'!G682,Comprometidos!E:E)</f>
        <v>0</v>
      </c>
      <c r="L682" s="107">
        <f t="shared" si="267"/>
        <v>3500</v>
      </c>
      <c r="M682" s="107">
        <v>0</v>
      </c>
      <c r="N682" s="107">
        <f t="shared" si="269"/>
        <v>3500</v>
      </c>
      <c r="O682" s="107">
        <f>VLOOKUP(G682,Budget!$E$3:$G$2474,3,0)</f>
        <v>0</v>
      </c>
      <c r="P682" s="107">
        <f t="shared" si="270"/>
        <v>-3500</v>
      </c>
      <c r="Q682" s="107"/>
      <c r="R682" s="10"/>
      <c r="S682" s="107">
        <v>3500</v>
      </c>
      <c r="T682" s="107">
        <f t="shared" si="272"/>
        <v>0</v>
      </c>
      <c r="U682" s="107"/>
      <c r="V682" s="175"/>
      <c r="W682" s="10"/>
      <c r="X682" s="10"/>
      <c r="Y682" t="str">
        <f t="shared" si="274"/>
        <v>2020</v>
      </c>
      <c r="AB682" s="10"/>
      <c r="AC682" s="10"/>
      <c r="AD682" s="10"/>
      <c r="AE682" s="10"/>
      <c r="AF682" s="10"/>
      <c r="AG682" s="10"/>
      <c r="AH682" s="10"/>
      <c r="AI682" s="10"/>
    </row>
    <row r="683" spans="1:35">
      <c r="A683" s="10"/>
      <c r="B683" s="10" t="str">
        <f t="shared" si="273"/>
        <v>Below the Line</v>
      </c>
      <c r="C683" t="s">
        <v>20</v>
      </c>
      <c r="D683" t="s">
        <v>19</v>
      </c>
      <c r="E683" t="s">
        <v>214</v>
      </c>
      <c r="G683" t="s">
        <v>511</v>
      </c>
      <c r="I683" s="10"/>
      <c r="J683" s="107">
        <f>SUMIF(Data!C:C,G683,Data!Q:Q)</f>
        <v>0</v>
      </c>
      <c r="K683" s="107">
        <f>SUMIF(Comprometidos!A:A,'Cost Report'!G683,Comprometidos!E:E)</f>
        <v>0</v>
      </c>
      <c r="L683" s="107">
        <f t="shared" si="267"/>
        <v>0</v>
      </c>
      <c r="M683" s="107">
        <f t="shared" si="268"/>
        <v>0</v>
      </c>
      <c r="N683" s="107">
        <f t="shared" si="269"/>
        <v>0</v>
      </c>
      <c r="O683" s="107">
        <f>VLOOKUP(G683,Budget!$E$3:$G$2474,3,0)</f>
        <v>0</v>
      </c>
      <c r="P683" s="107">
        <f t="shared" si="270"/>
        <v>0</v>
      </c>
      <c r="Q683" s="107"/>
      <c r="R683" s="10"/>
      <c r="S683" s="107">
        <v>0</v>
      </c>
      <c r="T683" s="107">
        <f t="shared" si="272"/>
        <v>0</v>
      </c>
      <c r="U683" s="107"/>
      <c r="V683" s="175"/>
      <c r="W683" s="10"/>
      <c r="X683" s="10"/>
      <c r="Y683" t="str">
        <f t="shared" si="274"/>
        <v>2020</v>
      </c>
      <c r="AB683" s="10"/>
      <c r="AC683" s="10"/>
      <c r="AD683" s="10"/>
      <c r="AE683" s="10"/>
      <c r="AF683" s="10"/>
      <c r="AG683" s="10"/>
      <c r="AH683" s="10"/>
      <c r="AI683" s="10"/>
    </row>
    <row r="684" spans="1:35">
      <c r="A684" s="10"/>
      <c r="B684" s="10" t="str">
        <f t="shared" si="273"/>
        <v>Below the Line2nd Unit</v>
      </c>
      <c r="C684" t="s">
        <v>20</v>
      </c>
      <c r="D684" t="s">
        <v>19</v>
      </c>
      <c r="E684" t="s">
        <v>1419</v>
      </c>
      <c r="G684" t="s">
        <v>512</v>
      </c>
      <c r="I684" s="10"/>
      <c r="J684" s="107">
        <f>SUMIF(Data!C:C,G684,Data!Q:Q)</f>
        <v>0</v>
      </c>
      <c r="K684" s="107">
        <f>SUMIF(Comprometidos!A:A,'Cost Report'!G684,Comprometidos!E:E)</f>
        <v>0</v>
      </c>
      <c r="L684" s="107">
        <f t="shared" si="267"/>
        <v>0</v>
      </c>
      <c r="M684" s="107">
        <f t="shared" si="268"/>
        <v>0</v>
      </c>
      <c r="N684" s="107">
        <f t="shared" si="269"/>
        <v>0</v>
      </c>
      <c r="O684" s="107">
        <f>VLOOKUP(G684,Budget!$E$3:$G$2474,3,0)</f>
        <v>0</v>
      </c>
      <c r="P684" s="107">
        <f t="shared" si="270"/>
        <v>0</v>
      </c>
      <c r="Q684" s="107"/>
      <c r="R684" s="10"/>
      <c r="S684" s="107">
        <v>0</v>
      </c>
      <c r="T684" s="107">
        <f t="shared" si="272"/>
        <v>0</v>
      </c>
      <c r="U684" s="107"/>
      <c r="V684" s="175"/>
      <c r="W684" s="10"/>
      <c r="X684" s="10"/>
      <c r="Y684" t="str">
        <f t="shared" si="274"/>
        <v>2020</v>
      </c>
      <c r="AB684" s="10"/>
      <c r="AC684" s="10"/>
      <c r="AD684" s="10"/>
      <c r="AE684" s="10"/>
      <c r="AF684" s="10"/>
      <c r="AG684" s="10"/>
      <c r="AH684" s="10"/>
      <c r="AI684" s="10"/>
    </row>
    <row r="685" spans="1:35">
      <c r="A685" s="10"/>
      <c r="B685" s="10" t="str">
        <f t="shared" si="273"/>
        <v>Below the Line2nd Unit</v>
      </c>
      <c r="C685" t="s">
        <v>20</v>
      </c>
      <c r="D685" t="s">
        <v>19</v>
      </c>
      <c r="E685" t="s">
        <v>1419</v>
      </c>
      <c r="F685" t="s">
        <v>5396</v>
      </c>
      <c r="G685" t="s">
        <v>513</v>
      </c>
      <c r="I685" s="10"/>
      <c r="J685" s="107">
        <f>SUMIF(Data!C:C,G685,Data!Q:Q)</f>
        <v>16287.55</v>
      </c>
      <c r="K685" s="107">
        <f>SUMIF(Comprometidos!A:A,'Cost Report'!G685,Comprometidos!E:E)</f>
        <v>0</v>
      </c>
      <c r="L685" s="107">
        <f t="shared" si="267"/>
        <v>16287.55</v>
      </c>
      <c r="M685" s="107">
        <v>0</v>
      </c>
      <c r="N685" s="107">
        <f t="shared" si="269"/>
        <v>16287.55</v>
      </c>
      <c r="O685" s="107">
        <f>VLOOKUP(G685,Budget!$E$3:$G$2474,3,0)</f>
        <v>14000</v>
      </c>
      <c r="P685" s="107">
        <f t="shared" si="270"/>
        <v>-2287.5499999999993</v>
      </c>
      <c r="Q685" s="107"/>
      <c r="R685" s="10"/>
      <c r="S685" s="107">
        <v>16287.55</v>
      </c>
      <c r="T685" s="107">
        <f t="shared" si="272"/>
        <v>0</v>
      </c>
      <c r="U685" s="107"/>
      <c r="V685" s="175"/>
      <c r="W685" s="10"/>
      <c r="X685" s="10"/>
      <c r="Y685" t="str">
        <f t="shared" si="274"/>
        <v>2020</v>
      </c>
      <c r="AB685" s="10"/>
      <c r="AC685" s="10"/>
      <c r="AD685" s="10"/>
      <c r="AE685" s="10"/>
      <c r="AF685" s="10"/>
      <c r="AG685" s="10"/>
      <c r="AH685" s="10"/>
      <c r="AI685" s="10"/>
    </row>
    <row r="686" spans="1:35">
      <c r="A686" s="10"/>
      <c r="B686" s="10" t="str">
        <f t="shared" si="273"/>
        <v>Below the Line2nd Unit</v>
      </c>
      <c r="C686" t="s">
        <v>20</v>
      </c>
      <c r="D686" t="s">
        <v>19</v>
      </c>
      <c r="E686" t="s">
        <v>1419</v>
      </c>
      <c r="G686" t="s">
        <v>2426</v>
      </c>
      <c r="I686" s="10"/>
      <c r="J686" s="107">
        <f>SUMIF(Data!C:C,G686,Data!Q:Q)</f>
        <v>0</v>
      </c>
      <c r="K686" s="107">
        <f>SUMIF(Comprometidos!A:A,'Cost Report'!G686,Comprometidos!E:E)</f>
        <v>0</v>
      </c>
      <c r="L686" s="107">
        <f t="shared" si="267"/>
        <v>0</v>
      </c>
      <c r="M686" s="107">
        <f t="shared" si="268"/>
        <v>0</v>
      </c>
      <c r="N686" s="107">
        <f t="shared" si="269"/>
        <v>0</v>
      </c>
      <c r="O686" s="107">
        <f>VLOOKUP(G686,Budget!$E$3:$G$2474,3,0)</f>
        <v>0</v>
      </c>
      <c r="P686" s="107">
        <f t="shared" si="270"/>
        <v>0</v>
      </c>
      <c r="Q686" s="107"/>
      <c r="R686" s="10"/>
      <c r="S686" s="107">
        <v>0</v>
      </c>
      <c r="T686" s="107">
        <f t="shared" si="272"/>
        <v>0</v>
      </c>
      <c r="U686" s="107"/>
      <c r="V686" s="175"/>
      <c r="W686" s="10"/>
      <c r="X686" s="10"/>
      <c r="Y686" t="str">
        <f t="shared" si="274"/>
        <v>2020</v>
      </c>
      <c r="AB686" s="10"/>
      <c r="AC686" s="10"/>
      <c r="AD686" s="10"/>
      <c r="AE686" s="10"/>
      <c r="AF686" s="10"/>
      <c r="AG686" s="10"/>
      <c r="AH686" s="10"/>
      <c r="AI686" s="10"/>
    </row>
    <row r="687" spans="1:35">
      <c r="A687" s="10"/>
      <c r="B687" s="10" t="str">
        <f t="shared" si="273"/>
        <v>Below the Line</v>
      </c>
      <c r="C687" t="s">
        <v>20</v>
      </c>
      <c r="D687" t="s">
        <v>19</v>
      </c>
      <c r="E687" t="s">
        <v>214</v>
      </c>
      <c r="G687" t="s">
        <v>2427</v>
      </c>
      <c r="I687" s="10"/>
      <c r="J687" s="107">
        <f>SUMIF(Data!C:C,G687,Data!Q:Q)</f>
        <v>0</v>
      </c>
      <c r="K687" s="107">
        <f>SUMIF(Comprometidos!A:A,'Cost Report'!G687,Comprometidos!E:E)</f>
        <v>0</v>
      </c>
      <c r="L687" s="107">
        <f t="shared" si="267"/>
        <v>0</v>
      </c>
      <c r="M687" s="107">
        <f t="shared" si="268"/>
        <v>0</v>
      </c>
      <c r="N687" s="107">
        <f t="shared" si="269"/>
        <v>0</v>
      </c>
      <c r="O687" s="107">
        <f>VLOOKUP(G687,Budget!$E$3:$G$2474,3,0)</f>
        <v>0</v>
      </c>
      <c r="P687" s="107">
        <f t="shared" si="270"/>
        <v>0</v>
      </c>
      <c r="Q687" s="107"/>
      <c r="R687" s="10"/>
      <c r="S687" s="107">
        <v>0</v>
      </c>
      <c r="T687" s="107">
        <f t="shared" si="272"/>
        <v>0</v>
      </c>
      <c r="U687" s="107"/>
      <c r="V687" s="175"/>
      <c r="W687" s="10"/>
      <c r="X687" s="10"/>
      <c r="Y687" t="str">
        <f t="shared" si="274"/>
        <v>2020</v>
      </c>
      <c r="AB687" s="10"/>
      <c r="AC687" s="10"/>
      <c r="AD687" s="10"/>
      <c r="AE687" s="10"/>
      <c r="AF687" s="10"/>
      <c r="AG687" s="10"/>
      <c r="AH687" s="10"/>
      <c r="AI687" s="10"/>
    </row>
    <row r="688" spans="1:35">
      <c r="A688" s="10"/>
      <c r="B688" s="10" t="str">
        <f t="shared" si="273"/>
        <v>Below the Line2nd Unit</v>
      </c>
      <c r="C688" t="s">
        <v>20</v>
      </c>
      <c r="D688" t="s">
        <v>19</v>
      </c>
      <c r="E688" t="s">
        <v>1419</v>
      </c>
      <c r="G688" t="s">
        <v>2428</v>
      </c>
      <c r="I688" s="10"/>
      <c r="J688" s="107">
        <f>SUMIF(Data!C:C,G688,Data!Q:Q)</f>
        <v>0</v>
      </c>
      <c r="K688" s="107">
        <f>SUMIF(Comprometidos!A:A,'Cost Report'!G688,Comprometidos!E:E)</f>
        <v>0</v>
      </c>
      <c r="L688" s="107">
        <f t="shared" si="267"/>
        <v>0</v>
      </c>
      <c r="M688" s="107">
        <f t="shared" si="268"/>
        <v>0</v>
      </c>
      <c r="N688" s="107">
        <f t="shared" si="269"/>
        <v>0</v>
      </c>
      <c r="O688" s="107">
        <f>VLOOKUP(G688,Budget!$E$3:$G$2474,3,0)</f>
        <v>0</v>
      </c>
      <c r="P688" s="107">
        <f t="shared" si="270"/>
        <v>0</v>
      </c>
      <c r="Q688" s="107"/>
      <c r="R688" s="10"/>
      <c r="S688" s="107">
        <v>0</v>
      </c>
      <c r="T688" s="107">
        <f t="shared" si="272"/>
        <v>0</v>
      </c>
      <c r="U688" s="107"/>
      <c r="V688" s="175"/>
      <c r="W688" s="10"/>
      <c r="X688" s="10"/>
      <c r="Y688" t="str">
        <f t="shared" si="274"/>
        <v>2020</v>
      </c>
      <c r="AB688" s="10"/>
      <c r="AC688" s="10"/>
      <c r="AD688" s="10"/>
      <c r="AE688" s="10"/>
      <c r="AF688" s="10"/>
      <c r="AG688" s="10"/>
      <c r="AH688" s="10"/>
      <c r="AI688" s="10"/>
    </row>
    <row r="689" spans="1:35">
      <c r="A689" s="10"/>
      <c r="B689" s="10" t="str">
        <f t="shared" si="273"/>
        <v>Below the Line2nd Unit</v>
      </c>
      <c r="C689" t="s">
        <v>20</v>
      </c>
      <c r="D689" t="s">
        <v>19</v>
      </c>
      <c r="E689" t="s">
        <v>1419</v>
      </c>
      <c r="G689" t="s">
        <v>2429</v>
      </c>
      <c r="I689" s="10"/>
      <c r="J689" s="107">
        <f>SUMIF(Data!C:C,G689,Data!Q:Q)</f>
        <v>8000</v>
      </c>
      <c r="K689" s="107">
        <f>SUMIF(Comprometidos!A:A,'Cost Report'!G689,Comprometidos!E:E)</f>
        <v>0</v>
      </c>
      <c r="L689" s="107">
        <f t="shared" si="267"/>
        <v>8000</v>
      </c>
      <c r="M689" s="107">
        <f t="shared" si="268"/>
        <v>0</v>
      </c>
      <c r="N689" s="107">
        <f t="shared" si="269"/>
        <v>8000</v>
      </c>
      <c r="O689" s="107">
        <f>VLOOKUP(G689,Budget!$E$3:$G$2474,3,0)</f>
        <v>8000</v>
      </c>
      <c r="P689" s="107">
        <f t="shared" si="270"/>
        <v>0</v>
      </c>
      <c r="Q689" s="107"/>
      <c r="R689" s="10"/>
      <c r="S689" s="107">
        <v>8000</v>
      </c>
      <c r="T689" s="107">
        <f t="shared" si="272"/>
        <v>0</v>
      </c>
      <c r="U689" s="107"/>
      <c r="V689" s="175"/>
      <c r="W689" s="10"/>
      <c r="X689" s="10"/>
      <c r="Y689" t="str">
        <f t="shared" si="274"/>
        <v>2020</v>
      </c>
      <c r="AB689" s="10"/>
      <c r="AC689" s="10"/>
      <c r="AD689" s="10"/>
      <c r="AE689" s="10"/>
      <c r="AF689" s="10"/>
      <c r="AG689" s="10"/>
      <c r="AH689" s="10"/>
      <c r="AI689" s="10"/>
    </row>
    <row r="690" spans="1:35">
      <c r="A690" s="10"/>
      <c r="B690" s="10" t="str">
        <f t="shared" si="273"/>
        <v>Below the Line2nd Unit</v>
      </c>
      <c r="C690" t="s">
        <v>20</v>
      </c>
      <c r="D690" t="s">
        <v>19</v>
      </c>
      <c r="E690" t="s">
        <v>1419</v>
      </c>
      <c r="G690" t="s">
        <v>2430</v>
      </c>
      <c r="I690" s="10"/>
      <c r="J690" s="107">
        <f>SUMIF(Data!C:C,G690,Data!Q:Q)</f>
        <v>0</v>
      </c>
      <c r="K690" s="107">
        <f>SUMIF(Comprometidos!A:A,'Cost Report'!G690,Comprometidos!E:E)</f>
        <v>0</v>
      </c>
      <c r="L690" s="107">
        <f t="shared" si="267"/>
        <v>0</v>
      </c>
      <c r="M690" s="107">
        <f t="shared" si="268"/>
        <v>0</v>
      </c>
      <c r="N690" s="107">
        <f t="shared" si="269"/>
        <v>0</v>
      </c>
      <c r="O690" s="107">
        <f>VLOOKUP(G690,Budget!$E$3:$G$2474,3,0)</f>
        <v>0</v>
      </c>
      <c r="P690" s="107">
        <f t="shared" si="270"/>
        <v>0</v>
      </c>
      <c r="Q690" s="107"/>
      <c r="R690" s="10"/>
      <c r="S690" s="107">
        <v>0</v>
      </c>
      <c r="T690" s="107">
        <f t="shared" si="272"/>
        <v>0</v>
      </c>
      <c r="U690" s="107"/>
      <c r="V690" s="175"/>
      <c r="W690" s="10"/>
      <c r="X690" s="10"/>
      <c r="Y690" t="str">
        <f t="shared" si="274"/>
        <v>2020</v>
      </c>
      <c r="AB690" s="10"/>
      <c r="AC690" s="10"/>
      <c r="AD690" s="10"/>
      <c r="AE690" s="10"/>
      <c r="AF690" s="10"/>
      <c r="AG690" s="10"/>
      <c r="AH690" s="10"/>
      <c r="AI690" s="10"/>
    </row>
    <row r="691" spans="1:35">
      <c r="A691" s="10"/>
      <c r="B691" s="10" t="str">
        <f t="shared" si="273"/>
        <v>Below the Line2nd Unit</v>
      </c>
      <c r="C691" t="s">
        <v>20</v>
      </c>
      <c r="D691" t="s">
        <v>19</v>
      </c>
      <c r="E691" t="s">
        <v>1419</v>
      </c>
      <c r="F691" t="s">
        <v>5396</v>
      </c>
      <c r="G691" t="s">
        <v>3400</v>
      </c>
      <c r="I691" s="10"/>
      <c r="J691" s="107">
        <f>SUMIF(Data!C:C,G691,Data!Q:Q)</f>
        <v>8000</v>
      </c>
      <c r="K691" s="107">
        <f>SUMIF(Comprometidos!A:A,'Cost Report'!G691,Comprometidos!E:E)</f>
        <v>0</v>
      </c>
      <c r="L691" s="107">
        <f t="shared" ref="L691" si="275">+J691+K691</f>
        <v>8000</v>
      </c>
      <c r="M691" s="107">
        <v>0</v>
      </c>
      <c r="N691" s="107">
        <f t="shared" ref="N691" si="276">+L691+M691</f>
        <v>8000</v>
      </c>
      <c r="O691" s="107">
        <f>VLOOKUP(G691,Budget!$E$3:$G$2474,3,0)</f>
        <v>0</v>
      </c>
      <c r="P691" s="107">
        <f t="shared" ref="P691" si="277">+O691-N691</f>
        <v>-8000</v>
      </c>
      <c r="Q691" s="107"/>
      <c r="R691" s="10"/>
      <c r="S691" s="107">
        <v>8000</v>
      </c>
      <c r="T691" s="107">
        <f t="shared" ref="T691" si="278">+S691-N691</f>
        <v>0</v>
      </c>
      <c r="U691" s="107"/>
      <c r="V691" s="175"/>
      <c r="W691" s="10"/>
      <c r="X691" s="10"/>
      <c r="Y691" t="str">
        <f t="shared" ref="Y691" si="279">LEFT(G691,4)</f>
        <v>2020</v>
      </c>
      <c r="AB691" s="10"/>
      <c r="AC691" s="10"/>
      <c r="AD691" s="10"/>
      <c r="AE691" s="10"/>
      <c r="AF691" s="10"/>
      <c r="AG691" s="10"/>
      <c r="AH691" s="10"/>
      <c r="AI691" s="10"/>
    </row>
    <row r="692" spans="1:35">
      <c r="A692" s="10"/>
      <c r="B692" s="10" t="str">
        <f>+C692</f>
        <v>Below the Line</v>
      </c>
      <c r="C692" s="128" t="s">
        <v>20</v>
      </c>
      <c r="D692" s="128" t="s">
        <v>2117</v>
      </c>
      <c r="E692" s="128"/>
      <c r="F692" s="128"/>
      <c r="G692" s="128" t="s">
        <v>514</v>
      </c>
      <c r="H692" s="128"/>
      <c r="I692" s="10"/>
      <c r="J692" s="129">
        <f>SUMIF($Y$11:$Y$2484,G692,J$11:J$2484)</f>
        <v>335700</v>
      </c>
      <c r="K692" s="129">
        <f>SUMIF($Y$11:$Y$2484,G692,K$11:K$2484)</f>
        <v>0</v>
      </c>
      <c r="L692" s="129">
        <f>SUMIF($Y$11:$Y$2484,G692,L$11:L$2484)</f>
        <v>335700</v>
      </c>
      <c r="M692" s="129">
        <f>SUMIF($Y$11:$Y$2484,G692,M$11:M$2484)</f>
        <v>0</v>
      </c>
      <c r="N692" s="129">
        <f>SUMIF($Y$11:$Y$2484,G692,N$11:N$2484)</f>
        <v>335700</v>
      </c>
      <c r="O692" s="129">
        <f>SUMIF($Y$11:$Y$2484,G692,O$11:O$2484)</f>
        <v>307700</v>
      </c>
      <c r="P692" s="129">
        <f>SUMIF($Y$11:$Y$2484,G692,P$11:P$2484)</f>
        <v>-28000</v>
      </c>
      <c r="Q692" s="129"/>
      <c r="R692" s="10"/>
      <c r="S692" s="129">
        <v>335700</v>
      </c>
      <c r="T692" s="129">
        <f t="shared" si="272"/>
        <v>0</v>
      </c>
      <c r="U692" s="128"/>
      <c r="V692" s="175"/>
      <c r="W692" s="10"/>
      <c r="X692" s="10"/>
      <c r="Z692" t="str">
        <f>LEFT(G692,2)</f>
        <v>20</v>
      </c>
      <c r="AA692" t="str">
        <f>+Z692&amp;"00"</f>
        <v>2000</v>
      </c>
      <c r="AB692" s="10"/>
      <c r="AC692" s="10"/>
      <c r="AD692" s="10"/>
      <c r="AE692" s="10"/>
      <c r="AF692" s="10"/>
      <c r="AG692" s="10"/>
      <c r="AH692" s="10"/>
      <c r="AI692" s="10"/>
    </row>
    <row r="693" spans="1:35">
      <c r="A693" s="10"/>
      <c r="B693" s="10" t="str">
        <f t="shared" ref="B693:B700" si="280">+C693&amp;E693</f>
        <v>Below the Line</v>
      </c>
      <c r="C693" t="s">
        <v>20</v>
      </c>
      <c r="D693" t="s">
        <v>19</v>
      </c>
      <c r="E693" t="s">
        <v>214</v>
      </c>
      <c r="G693" t="s">
        <v>515</v>
      </c>
      <c r="I693" s="10"/>
      <c r="J693" s="107">
        <f>SUMIF(Data!C:C,G693,Data!Q:Q)</f>
        <v>0</v>
      </c>
      <c r="K693" s="107">
        <f>SUMIF(Comprometidos!A:A,'Cost Report'!G693,Comprometidos!E:E)</f>
        <v>0</v>
      </c>
      <c r="L693" s="107">
        <f t="shared" si="267"/>
        <v>0</v>
      </c>
      <c r="M693" s="107">
        <f t="shared" si="268"/>
        <v>0</v>
      </c>
      <c r="N693" s="107">
        <f t="shared" si="269"/>
        <v>0</v>
      </c>
      <c r="O693" s="107">
        <f>VLOOKUP(G693,Budget!$E$3:$G$2474,3,0)</f>
        <v>0</v>
      </c>
      <c r="P693" s="107">
        <f t="shared" si="270"/>
        <v>0</v>
      </c>
      <c r="Q693" s="107"/>
      <c r="R693" s="10"/>
      <c r="S693" s="107">
        <v>0</v>
      </c>
      <c r="T693" s="107">
        <f t="shared" si="272"/>
        <v>0</v>
      </c>
      <c r="U693" s="107"/>
      <c r="V693" s="175"/>
      <c r="W693" s="10"/>
      <c r="X693" s="10"/>
      <c r="Y693" t="str">
        <f t="shared" ref="Y693:Y700" si="281">LEFT(G693,4)</f>
        <v>2030</v>
      </c>
      <c r="AB693" s="10"/>
      <c r="AC693" s="10"/>
      <c r="AD693" s="10"/>
      <c r="AE693" s="10"/>
      <c r="AF693" s="10"/>
      <c r="AG693" s="10"/>
      <c r="AH693" s="10"/>
      <c r="AI693" s="10"/>
    </row>
    <row r="694" spans="1:35">
      <c r="A694" s="10"/>
      <c r="B694" s="10" t="str">
        <f t="shared" si="280"/>
        <v>Below the LinePREP</v>
      </c>
      <c r="C694" t="s">
        <v>20</v>
      </c>
      <c r="D694" t="s">
        <v>19</v>
      </c>
      <c r="E694" t="s">
        <v>234</v>
      </c>
      <c r="G694" t="s">
        <v>516</v>
      </c>
      <c r="I694" s="10"/>
      <c r="J694" s="107">
        <f>SUMIF(Data!C:C,G694,Data!Q:Q)</f>
        <v>16000</v>
      </c>
      <c r="K694" s="107">
        <f>SUMIF(Comprometidos!A:A,'Cost Report'!G694,Comprometidos!E:E)</f>
        <v>0</v>
      </c>
      <c r="L694" s="107">
        <f t="shared" si="267"/>
        <v>16000</v>
      </c>
      <c r="M694" s="107">
        <v>0</v>
      </c>
      <c r="N694" s="107">
        <f t="shared" si="269"/>
        <v>16000</v>
      </c>
      <c r="O694" s="107">
        <f>VLOOKUP(G694,Budget!$E$3:$G$2474,3,0)</f>
        <v>16000</v>
      </c>
      <c r="P694" s="107">
        <f t="shared" si="270"/>
        <v>0</v>
      </c>
      <c r="Q694" s="107"/>
      <c r="R694" s="10"/>
      <c r="S694" s="107">
        <v>16000</v>
      </c>
      <c r="T694" s="107">
        <f t="shared" si="272"/>
        <v>0</v>
      </c>
      <c r="U694" s="107"/>
      <c r="V694" s="175"/>
      <c r="W694" s="10"/>
      <c r="X694" s="10"/>
      <c r="Y694" t="str">
        <f t="shared" si="281"/>
        <v>2030</v>
      </c>
      <c r="AB694" s="10"/>
      <c r="AC694" s="10"/>
      <c r="AD694" s="10"/>
      <c r="AE694" s="10"/>
      <c r="AF694" s="10"/>
      <c r="AG694" s="10"/>
      <c r="AH694" s="10"/>
      <c r="AI694" s="10"/>
    </row>
    <row r="695" spans="1:35">
      <c r="A695" s="10"/>
      <c r="B695" s="10" t="str">
        <f t="shared" si="280"/>
        <v>Below the LineSHOOT</v>
      </c>
      <c r="C695" t="s">
        <v>20</v>
      </c>
      <c r="D695" t="s">
        <v>19</v>
      </c>
      <c r="E695" t="s">
        <v>236</v>
      </c>
      <c r="G695" t="s">
        <v>517</v>
      </c>
      <c r="I695" s="10"/>
      <c r="J695" s="107">
        <f>SUMIF(Data!C:C,G695,Data!Q:Q)</f>
        <v>92000</v>
      </c>
      <c r="K695" s="107">
        <f>SUMIF(Comprometidos!A:A,'Cost Report'!G695,Comprometidos!E:E)</f>
        <v>0</v>
      </c>
      <c r="L695" s="107">
        <f t="shared" si="267"/>
        <v>92000</v>
      </c>
      <c r="M695" s="107">
        <v>0</v>
      </c>
      <c r="N695" s="107">
        <f t="shared" si="269"/>
        <v>92000</v>
      </c>
      <c r="O695" s="107">
        <f>VLOOKUP(G695,Budget!$E$3:$G$2474,3,0)</f>
        <v>56000</v>
      </c>
      <c r="P695" s="107">
        <f t="shared" si="270"/>
        <v>-36000</v>
      </c>
      <c r="Q695" s="107"/>
      <c r="R695" s="10"/>
      <c r="S695" s="107">
        <v>92000</v>
      </c>
      <c r="T695" s="107">
        <f t="shared" si="272"/>
        <v>0</v>
      </c>
      <c r="U695" s="107"/>
      <c r="V695" s="175"/>
      <c r="W695" s="10"/>
      <c r="X695" s="10"/>
      <c r="Y695" t="str">
        <f t="shared" si="281"/>
        <v>2030</v>
      </c>
      <c r="AB695" s="10"/>
      <c r="AC695" s="10"/>
      <c r="AD695" s="10"/>
      <c r="AE695" s="10"/>
      <c r="AF695" s="10"/>
      <c r="AG695" s="10"/>
      <c r="AH695" s="10"/>
      <c r="AI695" s="10"/>
    </row>
    <row r="696" spans="1:35">
      <c r="A696" s="10"/>
      <c r="B696" s="10" t="str">
        <f t="shared" si="280"/>
        <v>Below the LineWRAP</v>
      </c>
      <c r="C696" t="s">
        <v>20</v>
      </c>
      <c r="D696" t="s">
        <v>19</v>
      </c>
      <c r="E696" t="s">
        <v>238</v>
      </c>
      <c r="G696" t="s">
        <v>518</v>
      </c>
      <c r="I696" s="10"/>
      <c r="J696" s="107">
        <f>SUMIF(Data!C:C,G696,Data!Q:Q)</f>
        <v>0</v>
      </c>
      <c r="K696" s="107">
        <f>SUMIF(Comprometidos!A:A,'Cost Report'!G696,Comprometidos!E:E)</f>
        <v>0</v>
      </c>
      <c r="L696" s="107">
        <f t="shared" si="267"/>
        <v>0</v>
      </c>
      <c r="M696" s="107">
        <v>0</v>
      </c>
      <c r="N696" s="107">
        <f t="shared" si="269"/>
        <v>0</v>
      </c>
      <c r="O696" s="107">
        <f>VLOOKUP(G696,Budget!$E$3:$G$2474,3,0)</f>
        <v>8000</v>
      </c>
      <c r="P696" s="107">
        <f t="shared" si="270"/>
        <v>8000</v>
      </c>
      <c r="Q696" s="107"/>
      <c r="R696" s="10"/>
      <c r="S696" s="107">
        <v>0</v>
      </c>
      <c r="T696" s="107">
        <f t="shared" si="272"/>
        <v>0</v>
      </c>
      <c r="U696" s="107"/>
      <c r="V696" s="175"/>
      <c r="W696" s="10"/>
      <c r="X696" s="10"/>
      <c r="Y696" t="str">
        <f t="shared" si="281"/>
        <v>2030</v>
      </c>
      <c r="AB696" s="10"/>
      <c r="AC696" s="10"/>
      <c r="AD696" s="10"/>
      <c r="AE696" s="10"/>
      <c r="AF696" s="10"/>
      <c r="AG696" s="10"/>
      <c r="AH696" s="10"/>
      <c r="AI696" s="10"/>
    </row>
    <row r="697" spans="1:35">
      <c r="A697" s="10"/>
      <c r="B697" s="10" t="str">
        <f t="shared" si="280"/>
        <v>Below the Line</v>
      </c>
      <c r="C697" t="s">
        <v>20</v>
      </c>
      <c r="D697" t="s">
        <v>19</v>
      </c>
      <c r="E697" t="s">
        <v>214</v>
      </c>
      <c r="G697" t="s">
        <v>519</v>
      </c>
      <c r="I697" s="10"/>
      <c r="J697" s="107">
        <f>SUMIF(Data!C:C,G697,Data!Q:Q)</f>
        <v>0</v>
      </c>
      <c r="K697" s="107">
        <f>SUMIF(Comprometidos!A:A,'Cost Report'!G697,Comprometidos!E:E)</f>
        <v>0</v>
      </c>
      <c r="L697" s="107">
        <f t="shared" si="267"/>
        <v>0</v>
      </c>
      <c r="M697" s="107">
        <f t="shared" si="268"/>
        <v>0</v>
      </c>
      <c r="N697" s="107">
        <f t="shared" si="269"/>
        <v>0</v>
      </c>
      <c r="O697" s="107">
        <f>VLOOKUP(G697,Budget!$E$3:$G$2474,3,0)</f>
        <v>0</v>
      </c>
      <c r="P697" s="107">
        <f t="shared" si="270"/>
        <v>0</v>
      </c>
      <c r="Q697" s="107"/>
      <c r="R697" s="10"/>
      <c r="S697" s="107">
        <v>0</v>
      </c>
      <c r="T697" s="107">
        <f t="shared" si="272"/>
        <v>0</v>
      </c>
      <c r="U697" s="107"/>
      <c r="V697" s="175"/>
      <c r="W697" s="10"/>
      <c r="X697" s="10"/>
      <c r="Y697" t="str">
        <f t="shared" si="281"/>
        <v>2030</v>
      </c>
      <c r="AB697" s="10"/>
      <c r="AC697" s="10"/>
      <c r="AD697" s="10"/>
      <c r="AE697" s="10"/>
      <c r="AF697" s="10"/>
      <c r="AG697" s="10"/>
      <c r="AH697" s="10"/>
      <c r="AI697" s="10"/>
    </row>
    <row r="698" spans="1:35">
      <c r="A698" s="10"/>
      <c r="B698" s="10" t="str">
        <f t="shared" si="280"/>
        <v>Below the LinePREP</v>
      </c>
      <c r="C698" t="s">
        <v>20</v>
      </c>
      <c r="D698" t="s">
        <v>19</v>
      </c>
      <c r="E698" t="s">
        <v>234</v>
      </c>
      <c r="G698" t="s">
        <v>2431</v>
      </c>
      <c r="I698" s="10"/>
      <c r="J698" s="107">
        <f>SUMIF(Data!C:C,G698,Data!Q:Q)</f>
        <v>50600</v>
      </c>
      <c r="K698" s="107">
        <f>SUMIF(Comprometidos!A:A,'Cost Report'!G698,Comprometidos!E:E)</f>
        <v>0</v>
      </c>
      <c r="L698" s="107">
        <f t="shared" si="267"/>
        <v>50600</v>
      </c>
      <c r="M698" s="107">
        <f t="shared" si="268"/>
        <v>0</v>
      </c>
      <c r="N698" s="107">
        <f t="shared" si="269"/>
        <v>50600</v>
      </c>
      <c r="O698" s="107">
        <f>VLOOKUP(G698,Budget!$E$3:$G$2474,3,0)</f>
        <v>50600</v>
      </c>
      <c r="P698" s="107">
        <f t="shared" si="270"/>
        <v>0</v>
      </c>
      <c r="Q698" s="107"/>
      <c r="R698" s="10"/>
      <c r="S698" s="107">
        <v>50600</v>
      </c>
      <c r="T698" s="107">
        <f t="shared" si="272"/>
        <v>0</v>
      </c>
      <c r="U698" s="107"/>
      <c r="V698" s="175"/>
      <c r="W698" s="10"/>
      <c r="X698" s="10"/>
      <c r="Y698" t="str">
        <f t="shared" si="281"/>
        <v>2030</v>
      </c>
      <c r="AB698" s="10"/>
      <c r="AC698" s="10"/>
      <c r="AD698" s="10"/>
      <c r="AE698" s="10"/>
      <c r="AF698" s="10"/>
      <c r="AG698" s="10"/>
      <c r="AH698" s="10"/>
      <c r="AI698" s="10"/>
    </row>
    <row r="699" spans="1:35">
      <c r="A699" s="10"/>
      <c r="B699" s="10" t="str">
        <f t="shared" si="280"/>
        <v>Below the LineSHOOT</v>
      </c>
      <c r="C699" t="s">
        <v>20</v>
      </c>
      <c r="D699" t="s">
        <v>19</v>
      </c>
      <c r="E699" t="s">
        <v>236</v>
      </c>
      <c r="G699" t="s">
        <v>2432</v>
      </c>
      <c r="I699" s="10"/>
      <c r="J699" s="107">
        <f>SUMIF(Data!C:C,G699,Data!Q:Q)</f>
        <v>177100</v>
      </c>
      <c r="K699" s="107">
        <f>SUMIF(Comprometidos!A:A,'Cost Report'!G699,Comprometidos!E:E)</f>
        <v>0</v>
      </c>
      <c r="L699" s="107">
        <f t="shared" si="267"/>
        <v>177100</v>
      </c>
      <c r="M699" s="107">
        <f t="shared" si="268"/>
        <v>0</v>
      </c>
      <c r="N699" s="107">
        <f t="shared" si="269"/>
        <v>177100</v>
      </c>
      <c r="O699" s="107">
        <f>VLOOKUP(G699,Budget!$E$3:$G$2474,3,0)</f>
        <v>177100</v>
      </c>
      <c r="P699" s="107">
        <f t="shared" si="270"/>
        <v>0</v>
      </c>
      <c r="Q699" s="107"/>
      <c r="R699" s="10"/>
      <c r="S699" s="107">
        <v>177100</v>
      </c>
      <c r="T699" s="107">
        <f t="shared" si="272"/>
        <v>0</v>
      </c>
      <c r="U699" s="107"/>
      <c r="V699" s="175"/>
      <c r="W699" s="10"/>
      <c r="X699" s="10"/>
      <c r="Y699" t="str">
        <f t="shared" si="281"/>
        <v>2030</v>
      </c>
      <c r="AB699" s="10"/>
      <c r="AC699" s="10"/>
      <c r="AD699" s="10"/>
      <c r="AE699" s="10"/>
      <c r="AF699" s="10"/>
      <c r="AG699" s="10"/>
      <c r="AH699" s="10"/>
      <c r="AI699" s="10"/>
    </row>
    <row r="700" spans="1:35">
      <c r="A700" s="10"/>
      <c r="B700" s="10" t="str">
        <f t="shared" si="280"/>
        <v>Below the LineWRAP</v>
      </c>
      <c r="C700" t="s">
        <v>20</v>
      </c>
      <c r="D700" t="s">
        <v>19</v>
      </c>
      <c r="E700" t="s">
        <v>238</v>
      </c>
      <c r="G700" t="s">
        <v>2433</v>
      </c>
      <c r="I700" s="10"/>
      <c r="J700" s="107">
        <f>SUMIF(Data!C:C,G700,Data!Q:Q)</f>
        <v>0</v>
      </c>
      <c r="K700" s="107">
        <f>SUMIF(Comprometidos!A:A,'Cost Report'!G700,Comprometidos!E:E)</f>
        <v>0</v>
      </c>
      <c r="L700" s="107">
        <f t="shared" si="267"/>
        <v>0</v>
      </c>
      <c r="M700" s="107">
        <f t="shared" si="268"/>
        <v>0</v>
      </c>
      <c r="N700" s="107">
        <f t="shared" si="269"/>
        <v>0</v>
      </c>
      <c r="O700" s="107">
        <f>VLOOKUP(G700,Budget!$E$3:$G$2474,3,0)</f>
        <v>0</v>
      </c>
      <c r="P700" s="107">
        <f t="shared" si="270"/>
        <v>0</v>
      </c>
      <c r="Q700" s="107"/>
      <c r="R700" s="10"/>
      <c r="S700" s="107">
        <v>0</v>
      </c>
      <c r="T700" s="107">
        <f t="shared" si="272"/>
        <v>0</v>
      </c>
      <c r="U700" s="107"/>
      <c r="V700" s="175"/>
      <c r="W700" s="10"/>
      <c r="X700" s="10"/>
      <c r="Y700" t="str">
        <f t="shared" si="281"/>
        <v>2030</v>
      </c>
      <c r="AB700" s="10"/>
      <c r="AC700" s="10"/>
      <c r="AD700" s="10"/>
      <c r="AE700" s="10"/>
      <c r="AF700" s="10"/>
      <c r="AG700" s="10"/>
      <c r="AH700" s="10"/>
      <c r="AI700" s="10"/>
    </row>
    <row r="701" spans="1:35">
      <c r="A701" s="10"/>
      <c r="B701" s="10" t="str">
        <f>+C701</f>
        <v>Below the Line</v>
      </c>
      <c r="C701" s="128" t="s">
        <v>20</v>
      </c>
      <c r="D701" s="128" t="s">
        <v>2117</v>
      </c>
      <c r="E701" s="128"/>
      <c r="F701" s="128"/>
      <c r="G701" s="128" t="s">
        <v>2434</v>
      </c>
      <c r="H701" s="128"/>
      <c r="I701" s="10"/>
      <c r="J701" s="129">
        <f>SUMIF($Y$11:$Y$2484,G701,J$11:J$2484)</f>
        <v>9054.2849999999999</v>
      </c>
      <c r="K701" s="129">
        <f>SUMIF($Y$11:$Y$2484,G701,K$11:K$2484)</f>
        <v>0</v>
      </c>
      <c r="L701" s="129">
        <f>SUMIF($Y$11:$Y$2484,G701,L$11:L$2484)</f>
        <v>9054.2849999999999</v>
      </c>
      <c r="M701" s="129">
        <f>SUMIF($Y$11:$Y$2484,G701,M$11:M$2484)</f>
        <v>0</v>
      </c>
      <c r="N701" s="129">
        <f>SUMIF($Y$11:$Y$2484,G701,N$11:N$2484)</f>
        <v>9054.2849999999999</v>
      </c>
      <c r="O701" s="129">
        <f>SUMIF($Y$11:$Y$2484,G701,O$11:O$2484)</f>
        <v>5000</v>
      </c>
      <c r="P701" s="129">
        <f>SUMIF($Y$11:$Y$2484,G701,P$11:P$2484)</f>
        <v>-4054.2849999999999</v>
      </c>
      <c r="Q701" s="129"/>
      <c r="R701" s="10"/>
      <c r="S701" s="129">
        <v>7350.0599999999995</v>
      </c>
      <c r="T701" s="129">
        <f t="shared" si="272"/>
        <v>-1704.2250000000004</v>
      </c>
      <c r="U701" s="128"/>
      <c r="V701" s="175"/>
      <c r="W701" s="10"/>
      <c r="X701" s="10"/>
      <c r="Z701" t="str">
        <f>LEFT(G701,2)</f>
        <v>20</v>
      </c>
      <c r="AA701" t="str">
        <f>+Z701&amp;"00"</f>
        <v>2000</v>
      </c>
      <c r="AB701" s="10"/>
      <c r="AC701" s="10"/>
      <c r="AD701" s="10"/>
      <c r="AE701" s="10"/>
      <c r="AF701" s="10"/>
      <c r="AG701" s="10"/>
      <c r="AH701" s="10"/>
      <c r="AI701" s="10"/>
    </row>
    <row r="702" spans="1:35">
      <c r="A702" s="10"/>
      <c r="B702" s="10" t="str">
        <f t="shared" ref="B702:B703" si="282">+C702&amp;E702</f>
        <v>Below the Line</v>
      </c>
      <c r="C702" t="s">
        <v>20</v>
      </c>
      <c r="D702" t="s">
        <v>19</v>
      </c>
      <c r="E702" t="s">
        <v>214</v>
      </c>
      <c r="G702" t="s">
        <v>2435</v>
      </c>
      <c r="I702" s="10"/>
      <c r="J702" s="107">
        <f>SUMIF(Data!C:C,G702,Data!Q:Q)</f>
        <v>0</v>
      </c>
      <c r="K702" s="107">
        <f>SUMIF(Comprometidos!A:A,'Cost Report'!G702,Comprometidos!E:E)</f>
        <v>0</v>
      </c>
      <c r="L702" s="107">
        <f t="shared" ref="L702:L703" si="283">+J702+K702</f>
        <v>0</v>
      </c>
      <c r="M702" s="107">
        <f t="shared" ref="M702" si="284">+O702-L702</f>
        <v>0</v>
      </c>
      <c r="N702" s="107">
        <f t="shared" ref="N702:N703" si="285">+L702+M702</f>
        <v>0</v>
      </c>
      <c r="O702" s="107">
        <f>VLOOKUP(G702,Budget!$E$3:$G$2474,3,0)</f>
        <v>0</v>
      </c>
      <c r="P702" s="107">
        <f t="shared" ref="P702:P703" si="286">+O702-N702</f>
        <v>0</v>
      </c>
      <c r="Q702" s="107"/>
      <c r="R702" s="10"/>
      <c r="S702" s="107">
        <v>0</v>
      </c>
      <c r="T702" s="107">
        <f t="shared" si="272"/>
        <v>0</v>
      </c>
      <c r="U702" s="107"/>
      <c r="V702" s="175"/>
      <c r="W702" s="10"/>
      <c r="X702" s="10"/>
      <c r="Y702" t="str">
        <f t="shared" ref="Y702:Y703" si="287">LEFT(G702,4)</f>
        <v>2042</v>
      </c>
      <c r="AB702" s="10"/>
      <c r="AC702" s="10"/>
      <c r="AD702" s="10"/>
      <c r="AE702" s="10"/>
      <c r="AF702" s="10"/>
      <c r="AG702" s="10"/>
      <c r="AH702" s="10"/>
      <c r="AI702" s="10"/>
    </row>
    <row r="703" spans="1:35">
      <c r="A703" s="10"/>
      <c r="B703" s="10" t="str">
        <f t="shared" si="282"/>
        <v>Below the LineALL SHOW</v>
      </c>
      <c r="C703" t="s">
        <v>20</v>
      </c>
      <c r="D703" t="s">
        <v>19</v>
      </c>
      <c r="E703" t="s">
        <v>227</v>
      </c>
      <c r="G703" t="s">
        <v>2436</v>
      </c>
      <c r="I703" s="10"/>
      <c r="J703" s="107">
        <f>SUMIF(Data!C:C,G703,Data!Q:Q)</f>
        <v>9054.2849999999999</v>
      </c>
      <c r="K703" s="107">
        <f>SUMIF(Comprometidos!A:A,'Cost Report'!G703,Comprometidos!E:E)</f>
        <v>0</v>
      </c>
      <c r="L703" s="107">
        <f t="shared" si="283"/>
        <v>9054.2849999999999</v>
      </c>
      <c r="M703" s="107">
        <v>0</v>
      </c>
      <c r="N703" s="107">
        <f t="shared" si="285"/>
        <v>9054.2849999999999</v>
      </c>
      <c r="O703" s="107">
        <f>VLOOKUP(G703,Budget!$E$3:$G$2474,3,0)</f>
        <v>5000</v>
      </c>
      <c r="P703" s="107">
        <f t="shared" si="286"/>
        <v>-4054.2849999999999</v>
      </c>
      <c r="Q703" s="107"/>
      <c r="R703" s="10"/>
      <c r="S703" s="107">
        <v>7350.0599999999995</v>
      </c>
      <c r="T703" s="107">
        <f t="shared" si="272"/>
        <v>-1704.2250000000004</v>
      </c>
      <c r="U703" s="107"/>
      <c r="V703" s="175"/>
      <c r="W703" s="10"/>
      <c r="X703" s="10"/>
      <c r="Y703" t="str">
        <f t="shared" si="287"/>
        <v>2042</v>
      </c>
      <c r="AB703" s="10"/>
      <c r="AC703" s="10"/>
      <c r="AD703" s="10"/>
      <c r="AE703" s="10"/>
      <c r="AF703" s="10"/>
      <c r="AG703" s="10"/>
      <c r="AH703" s="10"/>
      <c r="AI703" s="10"/>
    </row>
    <row r="704" spans="1:35">
      <c r="A704" s="10"/>
      <c r="B704" s="10" t="str">
        <f>+C704</f>
        <v>Below the Line</v>
      </c>
      <c r="C704" s="128" t="s">
        <v>20</v>
      </c>
      <c r="D704" s="128" t="s">
        <v>2117</v>
      </c>
      <c r="E704" s="128"/>
      <c r="F704" s="128"/>
      <c r="G704" s="128" t="s">
        <v>520</v>
      </c>
      <c r="H704" s="128"/>
      <c r="I704" s="10"/>
      <c r="J704" s="129">
        <f>SUMIF($Y$11:$Y$2484,G704,J$11:J$2484)</f>
        <v>148500</v>
      </c>
      <c r="K704" s="129">
        <f>SUMIF($Y$11:$Y$2484,G704,K$11:K$2484)</f>
        <v>0</v>
      </c>
      <c r="L704" s="129">
        <f>SUMIF($Y$11:$Y$2484,G704,L$11:L$2484)</f>
        <v>148500</v>
      </c>
      <c r="M704" s="129">
        <f>SUMIF($Y$11:$Y$2484,G704,M$11:M$2484)</f>
        <v>0</v>
      </c>
      <c r="N704" s="129">
        <f>SUMIF($Y$11:$Y$2484,G704,N$11:N$2484)</f>
        <v>148500</v>
      </c>
      <c r="O704" s="129">
        <f>SUMIF($Y$11:$Y$2484,G704,O$11:O$2484)</f>
        <v>148000</v>
      </c>
      <c r="P704" s="129">
        <f>SUMIF($Y$11:$Y$2484,G704,P$11:P$2484)</f>
        <v>-500</v>
      </c>
      <c r="Q704" s="129"/>
      <c r="R704" s="10"/>
      <c r="S704" s="129">
        <v>148500</v>
      </c>
      <c r="T704" s="129">
        <f t="shared" si="272"/>
        <v>0</v>
      </c>
      <c r="U704" s="128"/>
      <c r="V704" s="175"/>
      <c r="W704" s="10"/>
      <c r="X704" s="10"/>
      <c r="Z704" t="str">
        <f>LEFT(G704,2)</f>
        <v>20</v>
      </c>
      <c r="AA704" t="str">
        <f>+Z704&amp;"00"</f>
        <v>2000</v>
      </c>
      <c r="AB704" s="10"/>
      <c r="AC704" s="10"/>
      <c r="AD704" s="10"/>
      <c r="AE704" s="10"/>
      <c r="AF704" s="10"/>
      <c r="AG704" s="10"/>
      <c r="AH704" s="10"/>
      <c r="AI704" s="10"/>
    </row>
    <row r="705" spans="1:35">
      <c r="A705" s="10"/>
      <c r="B705" s="10" t="str">
        <f t="shared" ref="B705:B711" si="288">+C705&amp;E705</f>
        <v>Below the Line</v>
      </c>
      <c r="C705" t="s">
        <v>20</v>
      </c>
      <c r="D705" t="s">
        <v>19</v>
      </c>
      <c r="E705" t="s">
        <v>214</v>
      </c>
      <c r="G705" t="s">
        <v>521</v>
      </c>
      <c r="I705" s="10"/>
      <c r="J705" s="107">
        <f>SUMIF(Data!C:C,G705,Data!Q:Q)</f>
        <v>0</v>
      </c>
      <c r="K705" s="107">
        <f>SUMIF(Comprometidos!A:A,'Cost Report'!G705,Comprometidos!E:E)</f>
        <v>0</v>
      </c>
      <c r="L705" s="107">
        <f t="shared" ref="L705:L711" si="289">+J705+K705</f>
        <v>0</v>
      </c>
      <c r="M705" s="107">
        <f t="shared" ref="M705:M710" si="290">+O705-L705</f>
        <v>0</v>
      </c>
      <c r="N705" s="107">
        <f t="shared" ref="N705:N711" si="291">+L705+M705</f>
        <v>0</v>
      </c>
      <c r="O705" s="107">
        <f>VLOOKUP(G705,Budget!$E$3:$G$2474,3,0)</f>
        <v>0</v>
      </c>
      <c r="P705" s="107">
        <f t="shared" ref="P705:P711" si="292">+O705-N705</f>
        <v>0</v>
      </c>
      <c r="Q705" s="107"/>
      <c r="R705" s="10"/>
      <c r="S705" s="107">
        <v>0</v>
      </c>
      <c r="T705" s="107">
        <f t="shared" si="272"/>
        <v>0</v>
      </c>
      <c r="U705" s="107"/>
      <c r="V705" s="175"/>
      <c r="W705" s="10"/>
      <c r="X705" s="10"/>
      <c r="Y705" t="str">
        <f t="shared" ref="Y705:Y711" si="293">LEFT(G705,4)</f>
        <v>2045</v>
      </c>
      <c r="AB705" s="10"/>
      <c r="AC705" s="10"/>
      <c r="AD705" s="10"/>
      <c r="AE705" s="10"/>
      <c r="AF705" s="10"/>
      <c r="AG705" s="10"/>
      <c r="AH705" s="10"/>
      <c r="AI705" s="10"/>
    </row>
    <row r="706" spans="1:35">
      <c r="A706" s="10"/>
      <c r="B706" s="10" t="str">
        <f t="shared" si="288"/>
        <v>Below the LinePREP</v>
      </c>
      <c r="C706" t="s">
        <v>20</v>
      </c>
      <c r="D706" t="s">
        <v>19</v>
      </c>
      <c r="E706" t="s">
        <v>234</v>
      </c>
      <c r="G706" t="s">
        <v>522</v>
      </c>
      <c r="I706" s="10"/>
      <c r="J706" s="107">
        <f>SUMIF(Data!C:C,G706,Data!Q:Q)</f>
        <v>24000</v>
      </c>
      <c r="K706" s="107">
        <f>SUMIF(Comprometidos!A:A,'Cost Report'!G706,Comprometidos!E:E)</f>
        <v>0</v>
      </c>
      <c r="L706" s="107">
        <f t="shared" si="289"/>
        <v>24000</v>
      </c>
      <c r="M706" s="107">
        <f t="shared" si="290"/>
        <v>0</v>
      </c>
      <c r="N706" s="107">
        <f t="shared" si="291"/>
        <v>24000</v>
      </c>
      <c r="O706" s="107">
        <f>VLOOKUP(G706,Budget!$E$3:$G$2474,3,0)</f>
        <v>24000</v>
      </c>
      <c r="P706" s="107">
        <f t="shared" si="292"/>
        <v>0</v>
      </c>
      <c r="Q706" s="107"/>
      <c r="R706" s="10"/>
      <c r="S706" s="107">
        <v>24000</v>
      </c>
      <c r="T706" s="107">
        <f t="shared" si="272"/>
        <v>0</v>
      </c>
      <c r="U706" s="107"/>
      <c r="V706" s="175"/>
      <c r="W706" s="10"/>
      <c r="X706" s="10"/>
      <c r="Y706" t="str">
        <f t="shared" si="293"/>
        <v>2045</v>
      </c>
      <c r="AB706" s="10"/>
      <c r="AC706" s="10"/>
      <c r="AD706" s="10"/>
      <c r="AE706" s="10"/>
      <c r="AF706" s="10"/>
      <c r="AG706" s="10"/>
      <c r="AH706" s="10"/>
      <c r="AI706" s="10"/>
    </row>
    <row r="707" spans="1:35">
      <c r="A707" s="10"/>
      <c r="B707" s="10" t="str">
        <f t="shared" si="288"/>
        <v>Below the LineSHOOT</v>
      </c>
      <c r="C707" t="s">
        <v>20</v>
      </c>
      <c r="D707" t="s">
        <v>19</v>
      </c>
      <c r="E707" t="s">
        <v>236</v>
      </c>
      <c r="G707" t="s">
        <v>523</v>
      </c>
      <c r="I707" s="10"/>
      <c r="J707" s="107">
        <f>SUMIF(Data!C:C,G707,Data!Q:Q)</f>
        <v>56000</v>
      </c>
      <c r="K707" s="107">
        <f>SUMIF(Comprometidos!A:A,'Cost Report'!G707,Comprometidos!E:E)</f>
        <v>0</v>
      </c>
      <c r="L707" s="107">
        <f t="shared" si="289"/>
        <v>56000</v>
      </c>
      <c r="M707" s="107">
        <f t="shared" si="290"/>
        <v>0</v>
      </c>
      <c r="N707" s="107">
        <f t="shared" si="291"/>
        <v>56000</v>
      </c>
      <c r="O707" s="107">
        <f>VLOOKUP(G707,Budget!$E$3:$G$2474,3,0)</f>
        <v>56000</v>
      </c>
      <c r="P707" s="107">
        <f t="shared" si="292"/>
        <v>0</v>
      </c>
      <c r="Q707" s="107"/>
      <c r="R707" s="10"/>
      <c r="S707" s="107">
        <v>56000</v>
      </c>
      <c r="T707" s="107">
        <f t="shared" si="272"/>
        <v>0</v>
      </c>
      <c r="U707" s="107"/>
      <c r="V707" s="175"/>
      <c r="W707" s="10"/>
      <c r="X707" s="10"/>
      <c r="Y707" t="str">
        <f t="shared" si="293"/>
        <v>2045</v>
      </c>
      <c r="AB707" s="10"/>
      <c r="AC707" s="10"/>
      <c r="AD707" s="10"/>
      <c r="AE707" s="10"/>
      <c r="AF707" s="10"/>
      <c r="AG707" s="10"/>
      <c r="AH707" s="10"/>
      <c r="AI707" s="10"/>
    </row>
    <row r="708" spans="1:35">
      <c r="A708" s="10"/>
      <c r="B708" s="10" t="str">
        <f t="shared" si="288"/>
        <v>Below the LineWRAP</v>
      </c>
      <c r="C708" t="s">
        <v>20</v>
      </c>
      <c r="D708" t="s">
        <v>19</v>
      </c>
      <c r="E708" t="s">
        <v>238</v>
      </c>
      <c r="F708" t="s">
        <v>5396</v>
      </c>
      <c r="G708" t="s">
        <v>2437</v>
      </c>
      <c r="I708" s="10"/>
      <c r="J708" s="107">
        <f>SUMIF(Data!C:C,G708,Data!Q:Q)</f>
        <v>16000</v>
      </c>
      <c r="K708" s="107">
        <f>SUMIF(Comprometidos!A:A,'Cost Report'!G708,Comprometidos!E:E)</f>
        <v>0</v>
      </c>
      <c r="L708" s="107">
        <f t="shared" si="289"/>
        <v>16000</v>
      </c>
      <c r="M708" s="107">
        <f>+O708-L708+8000</f>
        <v>0</v>
      </c>
      <c r="N708" s="107">
        <f t="shared" si="291"/>
        <v>16000</v>
      </c>
      <c r="O708" s="107">
        <f>VLOOKUP(G708,Budget!$E$3:$G$2474,3,0)</f>
        <v>8000</v>
      </c>
      <c r="P708" s="107">
        <f t="shared" si="292"/>
        <v>-8000</v>
      </c>
      <c r="Q708" s="107"/>
      <c r="R708" s="10"/>
      <c r="S708" s="107">
        <v>16000</v>
      </c>
      <c r="T708" s="107">
        <f t="shared" si="272"/>
        <v>0</v>
      </c>
      <c r="U708" s="107"/>
      <c r="V708" s="175"/>
      <c r="W708" s="10"/>
      <c r="X708" s="10"/>
      <c r="Y708" t="str">
        <f t="shared" si="293"/>
        <v>2045</v>
      </c>
      <c r="AB708" s="10"/>
      <c r="AC708" s="10"/>
      <c r="AD708" s="10"/>
      <c r="AE708" s="10"/>
      <c r="AF708" s="10"/>
      <c r="AG708" s="10"/>
      <c r="AH708" s="10"/>
      <c r="AI708" s="10"/>
    </row>
    <row r="709" spans="1:35">
      <c r="A709" s="10"/>
      <c r="B709" s="10" t="str">
        <f t="shared" si="288"/>
        <v>Below the Line</v>
      </c>
      <c r="C709" t="s">
        <v>20</v>
      </c>
      <c r="D709" t="s">
        <v>19</v>
      </c>
      <c r="E709" t="s">
        <v>214</v>
      </c>
      <c r="G709" t="s">
        <v>2438</v>
      </c>
      <c r="I709" s="10"/>
      <c r="J709" s="107">
        <f>SUMIF(Data!C:C,G709,Data!Q:Q)</f>
        <v>0</v>
      </c>
      <c r="K709" s="107">
        <f>SUMIF(Comprometidos!A:A,'Cost Report'!G709,Comprometidos!E:E)</f>
        <v>0</v>
      </c>
      <c r="L709" s="107">
        <f t="shared" si="289"/>
        <v>0</v>
      </c>
      <c r="M709" s="107">
        <f t="shared" si="290"/>
        <v>0</v>
      </c>
      <c r="N709" s="107">
        <f t="shared" si="291"/>
        <v>0</v>
      </c>
      <c r="O709" s="107">
        <f>VLOOKUP(G709,Budget!$E$3:$G$2474,3,0)</f>
        <v>0</v>
      </c>
      <c r="P709" s="107">
        <f t="shared" si="292"/>
        <v>0</v>
      </c>
      <c r="Q709" s="107"/>
      <c r="R709" s="10"/>
      <c r="S709" s="107">
        <v>0</v>
      </c>
      <c r="T709" s="107">
        <f t="shared" si="272"/>
        <v>0</v>
      </c>
      <c r="U709" s="107"/>
      <c r="V709" s="175"/>
      <c r="W709" s="10"/>
      <c r="X709" s="10"/>
      <c r="Y709" t="str">
        <f t="shared" si="293"/>
        <v>2045</v>
      </c>
      <c r="AB709" s="10"/>
      <c r="AC709" s="10"/>
      <c r="AD709" s="10"/>
      <c r="AE709" s="10"/>
      <c r="AF709" s="10"/>
      <c r="AG709" s="10"/>
      <c r="AH709" s="10"/>
      <c r="AI709" s="10"/>
    </row>
    <row r="710" spans="1:35">
      <c r="A710" s="10"/>
      <c r="B710" s="10" t="str">
        <f t="shared" si="288"/>
        <v>Below the LineSHOOT</v>
      </c>
      <c r="C710" t="s">
        <v>20</v>
      </c>
      <c r="D710" t="s">
        <v>19</v>
      </c>
      <c r="E710" t="s">
        <v>236</v>
      </c>
      <c r="G710" t="s">
        <v>2439</v>
      </c>
      <c r="I710" s="10"/>
      <c r="J710" s="107">
        <f>SUMIF(Data!C:C,G710,Data!Q:Q)</f>
        <v>52500</v>
      </c>
      <c r="K710" s="107">
        <f>SUMIF(Comprometidos!A:A,'Cost Report'!G710,Comprometidos!E:E)</f>
        <v>0</v>
      </c>
      <c r="L710" s="107">
        <f t="shared" si="289"/>
        <v>52500</v>
      </c>
      <c r="M710" s="107">
        <f t="shared" si="290"/>
        <v>0</v>
      </c>
      <c r="N710" s="107">
        <f t="shared" si="291"/>
        <v>52500</v>
      </c>
      <c r="O710" s="107">
        <f>VLOOKUP(G710,Budget!$E$3:$G$2474,3,0)</f>
        <v>52500</v>
      </c>
      <c r="P710" s="107">
        <f t="shared" si="292"/>
        <v>0</v>
      </c>
      <c r="Q710" s="107"/>
      <c r="R710" s="10"/>
      <c r="S710" s="107">
        <v>52500</v>
      </c>
      <c r="T710" s="107">
        <f t="shared" si="272"/>
        <v>0</v>
      </c>
      <c r="U710" s="107"/>
      <c r="V710" s="175"/>
      <c r="W710" s="10"/>
      <c r="X710" s="10"/>
      <c r="Y710" t="str">
        <f t="shared" si="293"/>
        <v>2045</v>
      </c>
      <c r="AB710" s="10"/>
      <c r="AC710" s="10"/>
      <c r="AD710" s="10"/>
      <c r="AE710" s="10"/>
      <c r="AF710" s="10"/>
      <c r="AG710" s="10"/>
      <c r="AH710" s="10"/>
      <c r="AI710" s="10"/>
    </row>
    <row r="711" spans="1:35">
      <c r="A711" s="10"/>
      <c r="B711" s="10" t="str">
        <f t="shared" si="288"/>
        <v>Below the LineWRAP</v>
      </c>
      <c r="C711" t="s">
        <v>20</v>
      </c>
      <c r="D711" t="s">
        <v>19</v>
      </c>
      <c r="E711" t="s">
        <v>238</v>
      </c>
      <c r="G711" t="s">
        <v>2440</v>
      </c>
      <c r="I711" s="10"/>
      <c r="J711" s="107">
        <f>SUMIF(Data!C:C,G711,Data!Q:Q)</f>
        <v>0</v>
      </c>
      <c r="K711" s="107">
        <f>SUMIF(Comprometidos!A:A,'Cost Report'!G711,Comprometidos!E:E)</f>
        <v>0</v>
      </c>
      <c r="L711" s="107">
        <f t="shared" si="289"/>
        <v>0</v>
      </c>
      <c r="M711" s="107">
        <v>0</v>
      </c>
      <c r="N711" s="107">
        <f t="shared" si="291"/>
        <v>0</v>
      </c>
      <c r="O711" s="107">
        <f>VLOOKUP(G711,Budget!$E$3:$G$2474,3,0)</f>
        <v>7500</v>
      </c>
      <c r="P711" s="107">
        <f t="shared" si="292"/>
        <v>7500</v>
      </c>
      <c r="Q711" s="107"/>
      <c r="R711" s="10"/>
      <c r="S711" s="107">
        <v>0</v>
      </c>
      <c r="T711" s="107">
        <f t="shared" si="272"/>
        <v>0</v>
      </c>
      <c r="U711" s="107"/>
      <c r="V711" s="175"/>
      <c r="W711" s="10"/>
      <c r="X711" s="10"/>
      <c r="Y711" t="str">
        <f t="shared" si="293"/>
        <v>2045</v>
      </c>
      <c r="AB711" s="10"/>
      <c r="AC711" s="10"/>
      <c r="AD711" s="10"/>
      <c r="AE711" s="10"/>
      <c r="AF711" s="10"/>
      <c r="AG711" s="10"/>
      <c r="AH711" s="10"/>
      <c r="AI711" s="10"/>
    </row>
    <row r="712" spans="1:35">
      <c r="A712" s="10"/>
      <c r="B712" s="10" t="str">
        <f>+C712</f>
        <v>Below the Line</v>
      </c>
      <c r="C712" s="128" t="s">
        <v>20</v>
      </c>
      <c r="D712" s="128" t="s">
        <v>2117</v>
      </c>
      <c r="E712" s="128"/>
      <c r="F712" s="128"/>
      <c r="G712" s="128" t="s">
        <v>2441</v>
      </c>
      <c r="H712" s="128"/>
      <c r="I712" s="10"/>
      <c r="J712" s="129">
        <f>SUMIF($Y$11:$Y$2484,G712,J$11:J$2484)</f>
        <v>200735.81699999998</v>
      </c>
      <c r="K712" s="129">
        <f>SUMIF($Y$11:$Y$2484,G712,K$11:K$2484)</f>
        <v>0</v>
      </c>
      <c r="L712" s="129">
        <f>SUMIF($Y$11:$Y$2484,G712,L$11:L$2484)</f>
        <v>200735.81699999998</v>
      </c>
      <c r="M712" s="129">
        <f>SUMIF($Y$11:$Y$2484,G712,M$11:M$2484)</f>
        <v>0</v>
      </c>
      <c r="N712" s="129">
        <f>SUMIF($Y$11:$Y$2484,G712,N$11:N$2484)</f>
        <v>200735.81699999998</v>
      </c>
      <c r="O712" s="129">
        <f>SUMIF($Y$11:$Y$2484,G712,O$11:O$2484)</f>
        <v>60000</v>
      </c>
      <c r="P712" s="129">
        <f>SUMIF($Y$11:$Y$2484,G712,P$11:P$2484)</f>
        <v>-140735.81699999998</v>
      </c>
      <c r="Q712" s="129"/>
      <c r="R712" s="10"/>
      <c r="S712" s="129">
        <v>192568.83</v>
      </c>
      <c r="T712" s="129">
        <f t="shared" si="272"/>
        <v>-8166.9869999999937</v>
      </c>
      <c r="U712" s="128"/>
      <c r="V712" s="175"/>
      <c r="W712" s="10"/>
      <c r="X712" s="10"/>
      <c r="Z712" t="str">
        <f>LEFT(G712,2)</f>
        <v>20</v>
      </c>
      <c r="AA712" t="str">
        <f>+Z712&amp;"00"</f>
        <v>2000</v>
      </c>
      <c r="AB712" s="10"/>
      <c r="AC712" s="10"/>
      <c r="AD712" s="10"/>
      <c r="AE712" s="10"/>
      <c r="AF712" s="10"/>
      <c r="AG712" s="10"/>
      <c r="AH712" s="10"/>
      <c r="AI712" s="10"/>
    </row>
    <row r="713" spans="1:35">
      <c r="A713" s="10"/>
      <c r="B713" s="10" t="str">
        <f t="shared" ref="B713:B714" si="294">+C713&amp;E713</f>
        <v>Below the Line</v>
      </c>
      <c r="C713" t="s">
        <v>20</v>
      </c>
      <c r="D713" t="s">
        <v>19</v>
      </c>
      <c r="E713" t="s">
        <v>214</v>
      </c>
      <c r="G713" t="s">
        <v>2442</v>
      </c>
      <c r="I713" s="10"/>
      <c r="J713" s="107">
        <f>SUMIF(Data!C:C,G713,Data!Q:Q)</f>
        <v>0</v>
      </c>
      <c r="K713" s="107">
        <f>SUMIF(Comprometidos!A:A,'Cost Report'!G713,Comprometidos!E:E)</f>
        <v>0</v>
      </c>
      <c r="L713" s="107">
        <f t="shared" ref="L713:L735" si="295">+J713+K713</f>
        <v>0</v>
      </c>
      <c r="M713" s="107">
        <f t="shared" ref="M713:M735" si="296">+O713-L713</f>
        <v>0</v>
      </c>
      <c r="N713" s="107">
        <f t="shared" ref="N713:N735" si="297">+L713+M713</f>
        <v>0</v>
      </c>
      <c r="O713" s="107">
        <f>VLOOKUP(G713,Budget!$E$3:$G$2474,3,0)</f>
        <v>0</v>
      </c>
      <c r="P713" s="107">
        <f t="shared" ref="P713:P735" si="298">+O713-N713</f>
        <v>0</v>
      </c>
      <c r="Q713" s="107"/>
      <c r="R713" s="10"/>
      <c r="S713" s="107">
        <v>0</v>
      </c>
      <c r="T713" s="107">
        <f t="shared" si="272"/>
        <v>0</v>
      </c>
      <c r="U713" s="107"/>
      <c r="V713" s="175"/>
      <c r="W713" s="10"/>
      <c r="X713" s="10"/>
      <c r="Y713" t="str">
        <f t="shared" ref="Y713:Y714" si="299">LEFT(G713,4)</f>
        <v>2080</v>
      </c>
      <c r="AB713" s="10"/>
      <c r="AC713" s="10"/>
      <c r="AD713" s="10"/>
      <c r="AE713" s="10"/>
      <c r="AF713" s="10"/>
      <c r="AG713" s="10"/>
      <c r="AH713" s="10"/>
      <c r="AI713" s="10"/>
    </row>
    <row r="714" spans="1:35">
      <c r="A714" s="10"/>
      <c r="B714" s="10" t="str">
        <f t="shared" si="294"/>
        <v>Below the LineSHOOT</v>
      </c>
      <c r="C714" t="s">
        <v>20</v>
      </c>
      <c r="D714" t="s">
        <v>19</v>
      </c>
      <c r="E714" t="s">
        <v>236</v>
      </c>
      <c r="G714" t="s">
        <v>2443</v>
      </c>
      <c r="I714" s="10"/>
      <c r="J714" s="107">
        <f>SUMIF(Data!C:C,G714,Data!Q:Q)</f>
        <v>200735.81699999998</v>
      </c>
      <c r="K714" s="107">
        <f>SUMIF(Comprometidos!A:A,'Cost Report'!G714,Comprometidos!E:E)</f>
        <v>0</v>
      </c>
      <c r="L714" s="107">
        <f t="shared" si="295"/>
        <v>200735.81699999998</v>
      </c>
      <c r="M714" s="107">
        <v>0</v>
      </c>
      <c r="N714" s="107">
        <f t="shared" si="297"/>
        <v>200735.81699999998</v>
      </c>
      <c r="O714" s="107">
        <f>VLOOKUP(G714,Budget!$E$3:$G$2474,3,0)</f>
        <v>60000</v>
      </c>
      <c r="P714" s="107">
        <f t="shared" si="298"/>
        <v>-140735.81699999998</v>
      </c>
      <c r="Q714" s="107"/>
      <c r="R714" s="10"/>
      <c r="S714" s="107">
        <v>192568.83</v>
      </c>
      <c r="T714" s="107">
        <f t="shared" si="272"/>
        <v>-8166.9869999999937</v>
      </c>
      <c r="U714" s="107"/>
      <c r="V714" s="175"/>
      <c r="W714" s="10"/>
      <c r="X714" s="10"/>
      <c r="Y714" t="str">
        <f t="shared" si="299"/>
        <v>2080</v>
      </c>
      <c r="AB714" s="10"/>
      <c r="AC714" s="10"/>
      <c r="AD714" s="10"/>
      <c r="AE714" s="10"/>
      <c r="AF714" s="10"/>
      <c r="AG714" s="10"/>
      <c r="AH714" s="10"/>
      <c r="AI714" s="10"/>
    </row>
    <row r="715" spans="1:35">
      <c r="A715" s="10"/>
      <c r="B715" s="10"/>
      <c r="C715" s="170" t="s">
        <v>20</v>
      </c>
      <c r="D715" s="170" t="s">
        <v>8</v>
      </c>
      <c r="E715" s="170"/>
      <c r="F715" s="170"/>
      <c r="G715" s="170" t="s">
        <v>524</v>
      </c>
      <c r="H715" s="170"/>
      <c r="I715" s="10"/>
      <c r="J715" s="169">
        <f>SUMIF($AA$10:$AA$2484,G715,J$10:J$2484)</f>
        <v>2041865.6</v>
      </c>
      <c r="K715" s="169">
        <f>SUMIF($AA$10:$AA$2484,G715,K$10:K$2484)</f>
        <v>0</v>
      </c>
      <c r="L715" s="169">
        <f>SUMIF($AA$10:$AA$2484,G715,L$10:L$2484)</f>
        <v>2041865.6</v>
      </c>
      <c r="M715" s="169">
        <f>SUMIF($AA$10:$AA$2484,G715,M$10:M$2484)</f>
        <v>0</v>
      </c>
      <c r="N715" s="169">
        <f>SUMIF($AA$10:$AA$2484,G715,N$10:N$2484)</f>
        <v>2041865.6</v>
      </c>
      <c r="O715" s="169">
        <f>SUMIF($AA$10:$AA$2484,G715,O$10:O$2484)</f>
        <v>1614000</v>
      </c>
      <c r="P715" s="168">
        <f>SUMIF($AA$10:$AA$2484,G715,P$10:P$2484)</f>
        <v>-427865.60000000009</v>
      </c>
      <c r="Q715" s="169"/>
      <c r="R715" s="10"/>
      <c r="S715" s="164">
        <v>2041865.6</v>
      </c>
      <c r="T715" s="164">
        <f t="shared" si="272"/>
        <v>0</v>
      </c>
      <c r="U715" s="163"/>
      <c r="V715" s="175"/>
      <c r="W715" s="10"/>
      <c r="X715" s="10"/>
      <c r="AB715" s="10"/>
      <c r="AC715" s="10"/>
      <c r="AD715" s="10"/>
      <c r="AE715" s="10"/>
      <c r="AF715" s="10"/>
      <c r="AG715" s="10"/>
      <c r="AH715" s="10"/>
      <c r="AI715" s="10"/>
    </row>
    <row r="716" spans="1:35">
      <c r="A716" s="10"/>
      <c r="B716" s="10" t="str">
        <f>+C716</f>
        <v>Below the Line</v>
      </c>
      <c r="C716" s="128" t="s">
        <v>20</v>
      </c>
      <c r="D716" s="128" t="s">
        <v>2117</v>
      </c>
      <c r="E716" s="128"/>
      <c r="F716" s="128"/>
      <c r="G716" s="128" t="s">
        <v>525</v>
      </c>
      <c r="H716" s="128"/>
      <c r="I716" s="10"/>
      <c r="J716" s="129">
        <f>SUMIF($Y$11:$Y$2484,G716,J$11:J$2484)</f>
        <v>2041865.6</v>
      </c>
      <c r="K716" s="129">
        <f>SUMIF($Y$11:$Y$2484,G716,K$11:K$2484)</f>
        <v>0</v>
      </c>
      <c r="L716" s="129">
        <f>SUMIF($Y$11:$Y$2484,G716,L$11:L$2484)</f>
        <v>2041865.6</v>
      </c>
      <c r="M716" s="129">
        <f>SUMIF($Y$11:$Y$2484,G716,M$11:M$2484)</f>
        <v>0</v>
      </c>
      <c r="N716" s="129">
        <f>SUMIF($Y$11:$Y$2484,G716,N$11:N$2484)</f>
        <v>2041865.6</v>
      </c>
      <c r="O716" s="129">
        <f>SUMIF($Y$11:$Y$2484,G716,O$11:O$2484)</f>
        <v>1322000</v>
      </c>
      <c r="P716" s="129">
        <f>SUMIF($Y$11:$Y$2484,G716,P$11:P$2484)</f>
        <v>-719865.60000000009</v>
      </c>
      <c r="Q716" s="129"/>
      <c r="R716" s="10"/>
      <c r="S716" s="129">
        <v>2041865.6</v>
      </c>
      <c r="T716" s="129">
        <f t="shared" si="272"/>
        <v>0</v>
      </c>
      <c r="U716" s="128"/>
      <c r="V716" s="175"/>
      <c r="W716" s="10"/>
      <c r="X716" s="10"/>
      <c r="Z716" t="str">
        <f>LEFT(G716,2)</f>
        <v>21</v>
      </c>
      <c r="AA716" t="str">
        <f>+Z716&amp;"00"</f>
        <v>2100</v>
      </c>
      <c r="AB716" s="10"/>
      <c r="AC716" s="10"/>
      <c r="AD716" s="10"/>
      <c r="AE716" s="10"/>
      <c r="AF716" s="10"/>
      <c r="AG716" s="10"/>
      <c r="AH716" s="10"/>
      <c r="AI716" s="10"/>
    </row>
    <row r="717" spans="1:35">
      <c r="A717" s="10"/>
      <c r="B717" s="10" t="str">
        <f t="shared" ref="B717:B720" si="300">+C717&amp;E717</f>
        <v>Below the Line</v>
      </c>
      <c r="C717" t="s">
        <v>20</v>
      </c>
      <c r="D717" t="s">
        <v>19</v>
      </c>
      <c r="E717" t="s">
        <v>214</v>
      </c>
      <c r="G717" t="s">
        <v>526</v>
      </c>
      <c r="I717" s="10"/>
      <c r="J717" s="107">
        <f>SUMIF(Data!C:C,G717,Data!Q:Q)</f>
        <v>0</v>
      </c>
      <c r="K717" s="107">
        <f>SUMIF(Comprometidos!A:A,'Cost Report'!G717,Comprometidos!E:E)</f>
        <v>0</v>
      </c>
      <c r="L717" s="107">
        <f t="shared" si="295"/>
        <v>0</v>
      </c>
      <c r="M717" s="107">
        <f t="shared" si="296"/>
        <v>0</v>
      </c>
      <c r="N717" s="107">
        <f t="shared" si="297"/>
        <v>0</v>
      </c>
      <c r="O717" s="107">
        <f>VLOOKUP(G717,Budget!$E$3:$G$2474,3,0)</f>
        <v>0</v>
      </c>
      <c r="P717" s="107">
        <f t="shared" si="298"/>
        <v>0</v>
      </c>
      <c r="Q717" s="107"/>
      <c r="R717" s="10"/>
      <c r="S717" s="107">
        <v>0</v>
      </c>
      <c r="T717" s="107">
        <f t="shared" si="272"/>
        <v>0</v>
      </c>
      <c r="U717" s="107"/>
      <c r="V717" s="175"/>
      <c r="W717" s="10"/>
      <c r="X717" s="10"/>
      <c r="Y717" t="str">
        <f t="shared" ref="Y717:Y720" si="301">LEFT(G717,4)</f>
        <v>2103</v>
      </c>
      <c r="AB717" s="10"/>
      <c r="AC717" s="10"/>
      <c r="AD717" s="10"/>
      <c r="AE717" s="10"/>
      <c r="AF717" s="10"/>
      <c r="AG717" s="10"/>
      <c r="AH717" s="10"/>
      <c r="AI717" s="10"/>
    </row>
    <row r="718" spans="1:35">
      <c r="A718" s="10"/>
      <c r="B718" s="10" t="str">
        <f t="shared" si="300"/>
        <v>Below the Line</v>
      </c>
      <c r="C718" t="s">
        <v>20</v>
      </c>
      <c r="D718" t="s">
        <v>19</v>
      </c>
      <c r="E718" t="s">
        <v>214</v>
      </c>
      <c r="G718" t="s">
        <v>527</v>
      </c>
      <c r="I718" s="10"/>
      <c r="J718" s="107">
        <f>SUMIF(Data!C:C,G718,Data!Q:Q)</f>
        <v>0</v>
      </c>
      <c r="K718" s="107">
        <f>SUMIF(Comprometidos!A:A,'Cost Report'!G718,Comprometidos!E:E)</f>
        <v>0</v>
      </c>
      <c r="L718" s="107">
        <f t="shared" si="295"/>
        <v>0</v>
      </c>
      <c r="M718" s="107">
        <f t="shared" si="296"/>
        <v>0</v>
      </c>
      <c r="N718" s="107">
        <f t="shared" si="297"/>
        <v>0</v>
      </c>
      <c r="O718" s="107">
        <f>VLOOKUP(G718,Budget!$E$3:$G$2474,3,0)</f>
        <v>0</v>
      </c>
      <c r="P718" s="107">
        <f t="shared" si="298"/>
        <v>0</v>
      </c>
      <c r="Q718" s="107"/>
      <c r="R718" s="10"/>
      <c r="S718" s="107">
        <v>0</v>
      </c>
      <c r="T718" s="107">
        <f t="shared" si="272"/>
        <v>0</v>
      </c>
      <c r="U718" s="107"/>
      <c r="V718" s="175"/>
      <c r="W718" s="10"/>
      <c r="X718" s="10"/>
      <c r="Y718" t="str">
        <f t="shared" si="301"/>
        <v>2103</v>
      </c>
      <c r="AB718" s="10"/>
      <c r="AC718" s="10"/>
      <c r="AD718" s="10"/>
      <c r="AE718" s="10"/>
      <c r="AF718" s="10"/>
      <c r="AG718" s="10"/>
      <c r="AH718" s="10"/>
      <c r="AI718" s="10"/>
    </row>
    <row r="719" spans="1:35">
      <c r="A719" s="10"/>
      <c r="B719" s="10" t="str">
        <f t="shared" si="300"/>
        <v>Below the LineSHOOT</v>
      </c>
      <c r="C719" t="s">
        <v>20</v>
      </c>
      <c r="D719" t="s">
        <v>19</v>
      </c>
      <c r="E719" t="s">
        <v>236</v>
      </c>
      <c r="G719" t="s">
        <v>1728</v>
      </c>
      <c r="I719" s="10"/>
      <c r="J719" s="107">
        <f>SUMIF(Data!C:C,G719,Data!Q:Q)</f>
        <v>2041865.6</v>
      </c>
      <c r="K719" s="107">
        <f>SUMIF(Comprometidos!A:A,'Cost Report'!G719,Comprometidos!E:E)</f>
        <v>0</v>
      </c>
      <c r="L719" s="107">
        <f t="shared" si="295"/>
        <v>2041865.6</v>
      </c>
      <c r="M719" s="107">
        <v>0</v>
      </c>
      <c r="N719" s="107">
        <f t="shared" si="297"/>
        <v>2041865.6</v>
      </c>
      <c r="O719" s="107">
        <f>VLOOKUP(G719,Budget!$E$3:$G$2474,3,0)</f>
        <v>1250000</v>
      </c>
      <c r="P719" s="107">
        <f t="shared" si="298"/>
        <v>-791865.60000000009</v>
      </c>
      <c r="Q719" s="107"/>
      <c r="R719" s="10"/>
      <c r="S719" s="107">
        <v>2041865.6</v>
      </c>
      <c r="T719" s="107">
        <f t="shared" ref="T719:T779" si="302">+S719-N719</f>
        <v>0</v>
      </c>
      <c r="U719" s="107"/>
      <c r="V719" s="175"/>
      <c r="W719" s="10"/>
      <c r="X719" s="10"/>
      <c r="Y719" t="str">
        <f t="shared" si="301"/>
        <v>2103</v>
      </c>
      <c r="AB719" s="10"/>
      <c r="AC719" s="10"/>
      <c r="AD719" s="10"/>
      <c r="AE719" s="10"/>
      <c r="AF719" s="10"/>
      <c r="AG719" s="10"/>
      <c r="AH719" s="10"/>
      <c r="AI719" s="10"/>
    </row>
    <row r="720" spans="1:35">
      <c r="A720" s="10"/>
      <c r="B720" s="10" t="str">
        <f t="shared" si="300"/>
        <v>Below the LineSHOOT</v>
      </c>
      <c r="C720" t="s">
        <v>20</v>
      </c>
      <c r="D720" t="s">
        <v>19</v>
      </c>
      <c r="E720" t="s">
        <v>236</v>
      </c>
      <c r="G720" t="s">
        <v>1729</v>
      </c>
      <c r="I720" s="10"/>
      <c r="J720" s="107">
        <f>SUMIF(Data!C:C,G720,Data!Q:Q)</f>
        <v>0</v>
      </c>
      <c r="K720" s="107">
        <f>SUMIF(Comprometidos!A:A,'Cost Report'!G720,Comprometidos!E:E)</f>
        <v>0</v>
      </c>
      <c r="L720" s="107">
        <f t="shared" si="295"/>
        <v>0</v>
      </c>
      <c r="M720" s="107">
        <v>0</v>
      </c>
      <c r="N720" s="107">
        <f t="shared" si="297"/>
        <v>0</v>
      </c>
      <c r="O720" s="107">
        <f>VLOOKUP(G720,Budget!$E$3:$G$2474,3,0)</f>
        <v>72000</v>
      </c>
      <c r="P720" s="107">
        <f t="shared" si="298"/>
        <v>72000</v>
      </c>
      <c r="Q720" s="107"/>
      <c r="R720" s="10"/>
      <c r="S720" s="107">
        <v>0</v>
      </c>
      <c r="T720" s="107">
        <f t="shared" si="302"/>
        <v>0</v>
      </c>
      <c r="U720" s="107"/>
      <c r="V720" s="175"/>
      <c r="W720" s="10"/>
      <c r="X720" s="10"/>
      <c r="Y720" t="str">
        <f t="shared" si="301"/>
        <v>2103</v>
      </c>
      <c r="AB720" s="10"/>
      <c r="AC720" s="10"/>
      <c r="AD720" s="10"/>
      <c r="AE720" s="10"/>
      <c r="AF720" s="10"/>
      <c r="AG720" s="10"/>
      <c r="AH720" s="10"/>
      <c r="AI720" s="10"/>
    </row>
    <row r="721" spans="1:35">
      <c r="A721" s="10"/>
      <c r="B721" s="10" t="str">
        <f>+C721</f>
        <v>Below the Line</v>
      </c>
      <c r="C721" s="128" t="s">
        <v>20</v>
      </c>
      <c r="D721" s="128" t="s">
        <v>2117</v>
      </c>
      <c r="E721" s="128"/>
      <c r="F721" s="128"/>
      <c r="G721" s="128" t="s">
        <v>528</v>
      </c>
      <c r="H721" s="128"/>
      <c r="I721" s="10"/>
      <c r="J721" s="129">
        <f>SUMIF($Y$11:$Y$2484,G721,J$11:J$2484)</f>
        <v>0</v>
      </c>
      <c r="K721" s="129">
        <f>SUMIF($Y$11:$Y$2484,G721,K$11:K$2484)</f>
        <v>0</v>
      </c>
      <c r="L721" s="129">
        <f>SUMIF($Y$11:$Y$2484,G721,L$11:L$2484)</f>
        <v>0</v>
      </c>
      <c r="M721" s="129">
        <f>SUMIF($Y$11:$Y$2484,G721,M$11:M$2484)</f>
        <v>0</v>
      </c>
      <c r="N721" s="129">
        <f>SUMIF($Y$11:$Y$2484,G721,N$11:N$2484)</f>
        <v>0</v>
      </c>
      <c r="O721" s="129">
        <f>SUMIF($Y$11:$Y$2484,G721,O$11:O$2484)</f>
        <v>292000</v>
      </c>
      <c r="P721" s="129">
        <f>SUMIF($Y$11:$Y$2484,G721,P$11:P$2484)</f>
        <v>292000</v>
      </c>
      <c r="Q721" s="129"/>
      <c r="R721" s="10"/>
      <c r="S721" s="129">
        <v>0</v>
      </c>
      <c r="T721" s="129">
        <f t="shared" si="302"/>
        <v>0</v>
      </c>
      <c r="U721" s="128"/>
      <c r="V721" s="175"/>
      <c r="W721" s="10"/>
      <c r="X721" s="10"/>
      <c r="Z721" t="str">
        <f>LEFT(G721,2)</f>
        <v>21</v>
      </c>
      <c r="AA721" t="str">
        <f>+Z721&amp;"00"</f>
        <v>2100</v>
      </c>
      <c r="AB721" s="10"/>
      <c r="AC721" s="10"/>
      <c r="AD721" s="10"/>
      <c r="AE721" s="10"/>
      <c r="AF721" s="10"/>
      <c r="AG721" s="10"/>
      <c r="AH721" s="10"/>
      <c r="AI721" s="10"/>
    </row>
    <row r="722" spans="1:35">
      <c r="A722" s="10"/>
      <c r="B722" s="10" t="str">
        <f t="shared" ref="B722:B728" si="303">+C722&amp;E722</f>
        <v>Below the Line</v>
      </c>
      <c r="C722" t="s">
        <v>20</v>
      </c>
      <c r="D722" t="s">
        <v>19</v>
      </c>
      <c r="E722" t="s">
        <v>214</v>
      </c>
      <c r="G722" t="s">
        <v>529</v>
      </c>
      <c r="I722" s="10"/>
      <c r="J722" s="107">
        <f>SUMIF(Data!C:C,G722,Data!Q:Q)</f>
        <v>0</v>
      </c>
      <c r="K722" s="107">
        <f>SUMIF(Comprometidos!A:A,'Cost Report'!G722,Comprometidos!E:E)</f>
        <v>0</v>
      </c>
      <c r="L722" s="107">
        <f t="shared" si="295"/>
        <v>0</v>
      </c>
      <c r="M722" s="107">
        <f t="shared" si="296"/>
        <v>0</v>
      </c>
      <c r="N722" s="107">
        <f t="shared" si="297"/>
        <v>0</v>
      </c>
      <c r="O722" s="107">
        <f>VLOOKUP(G722,Budget!$E$3:$G$2474,3,0)</f>
        <v>0</v>
      </c>
      <c r="P722" s="107">
        <f t="shared" si="298"/>
        <v>0</v>
      </c>
      <c r="Q722" s="107"/>
      <c r="R722" s="10"/>
      <c r="S722" s="107">
        <v>0</v>
      </c>
      <c r="T722" s="107">
        <f t="shared" si="302"/>
        <v>0</v>
      </c>
      <c r="U722" s="107"/>
      <c r="V722" s="175"/>
      <c r="W722" s="10"/>
      <c r="X722" s="10"/>
      <c r="Y722" t="str">
        <f t="shared" ref="Y722:Y728" si="304">LEFT(G722,4)</f>
        <v>2110</v>
      </c>
      <c r="AB722" s="10"/>
      <c r="AC722" s="10"/>
      <c r="AD722" s="10"/>
      <c r="AE722" s="10"/>
      <c r="AF722" s="10"/>
      <c r="AG722" s="10"/>
      <c r="AH722" s="10"/>
      <c r="AI722" s="10"/>
    </row>
    <row r="723" spans="1:35">
      <c r="A723" s="10"/>
      <c r="B723" s="10" t="str">
        <f t="shared" si="303"/>
        <v>Below the LinePREP</v>
      </c>
      <c r="C723" t="s">
        <v>20</v>
      </c>
      <c r="D723" t="s">
        <v>19</v>
      </c>
      <c r="E723" t="s">
        <v>234</v>
      </c>
      <c r="G723" t="s">
        <v>530</v>
      </c>
      <c r="I723" s="10"/>
      <c r="J723" s="107">
        <f>SUMIF(Data!C:C,G723,Data!Q:Q)</f>
        <v>0</v>
      </c>
      <c r="K723" s="107">
        <f>SUMIF(Comprometidos!A:A,'Cost Report'!G723,Comprometidos!E:E)</f>
        <v>0</v>
      </c>
      <c r="L723" s="107">
        <f t="shared" si="295"/>
        <v>0</v>
      </c>
      <c r="M723" s="107">
        <v>0</v>
      </c>
      <c r="N723" s="107">
        <f t="shared" si="297"/>
        <v>0</v>
      </c>
      <c r="O723" s="107">
        <f>VLOOKUP(G723,Budget!$E$3:$G$2474,3,0)</f>
        <v>20000</v>
      </c>
      <c r="P723" s="107">
        <f t="shared" si="298"/>
        <v>20000</v>
      </c>
      <c r="Q723" s="107"/>
      <c r="R723" s="10"/>
      <c r="S723" s="107">
        <v>0</v>
      </c>
      <c r="T723" s="107">
        <f t="shared" si="302"/>
        <v>0</v>
      </c>
      <c r="U723" s="107"/>
      <c r="V723" s="175"/>
      <c r="W723" s="10"/>
      <c r="X723" s="10"/>
      <c r="Y723" t="str">
        <f t="shared" si="304"/>
        <v>2110</v>
      </c>
      <c r="AB723" s="10"/>
      <c r="AC723" s="10"/>
      <c r="AD723" s="10"/>
      <c r="AE723" s="10"/>
      <c r="AF723" s="10"/>
      <c r="AG723" s="10"/>
      <c r="AH723" s="10"/>
      <c r="AI723" s="10"/>
    </row>
    <row r="724" spans="1:35">
      <c r="A724" s="10"/>
      <c r="B724" s="10" t="str">
        <f t="shared" si="303"/>
        <v>Below the LineSHOOT</v>
      </c>
      <c r="C724" t="s">
        <v>20</v>
      </c>
      <c r="D724" t="s">
        <v>19</v>
      </c>
      <c r="E724" t="s">
        <v>236</v>
      </c>
      <c r="G724" t="s">
        <v>531</v>
      </c>
      <c r="I724" s="10"/>
      <c r="J724" s="107">
        <f>SUMIF(Data!C:C,G724,Data!Q:Q)</f>
        <v>0</v>
      </c>
      <c r="K724" s="107">
        <f>SUMIF(Comprometidos!A:A,'Cost Report'!G724,Comprometidos!E:E)</f>
        <v>0</v>
      </c>
      <c r="L724" s="107">
        <f t="shared" si="295"/>
        <v>0</v>
      </c>
      <c r="M724" s="107">
        <v>0</v>
      </c>
      <c r="N724" s="107">
        <f t="shared" si="297"/>
        <v>0</v>
      </c>
      <c r="O724" s="107">
        <f>VLOOKUP(G724,Budget!$E$3:$G$2474,3,0)</f>
        <v>140000</v>
      </c>
      <c r="P724" s="107">
        <f t="shared" si="298"/>
        <v>140000</v>
      </c>
      <c r="Q724" s="107"/>
      <c r="R724" s="10"/>
      <c r="S724" s="107">
        <v>0</v>
      </c>
      <c r="T724" s="107">
        <f t="shared" si="302"/>
        <v>0</v>
      </c>
      <c r="U724" s="107"/>
      <c r="V724" s="175"/>
      <c r="W724" s="10"/>
      <c r="X724" s="10"/>
      <c r="Y724" t="str">
        <f t="shared" si="304"/>
        <v>2110</v>
      </c>
      <c r="AB724" s="10"/>
      <c r="AC724" s="10"/>
      <c r="AD724" s="10"/>
      <c r="AE724" s="10"/>
      <c r="AF724" s="10"/>
      <c r="AG724" s="10"/>
      <c r="AH724" s="10"/>
      <c r="AI724" s="10"/>
    </row>
    <row r="725" spans="1:35">
      <c r="A725" s="10"/>
      <c r="B725" s="10" t="str">
        <f t="shared" si="303"/>
        <v>Below the Line</v>
      </c>
      <c r="C725" t="s">
        <v>20</v>
      </c>
      <c r="D725" t="s">
        <v>19</v>
      </c>
      <c r="E725" t="s">
        <v>214</v>
      </c>
      <c r="G725" t="s">
        <v>532</v>
      </c>
      <c r="I725" s="10"/>
      <c r="J725" s="107">
        <f>SUMIF(Data!C:C,G725,Data!Q:Q)</f>
        <v>0</v>
      </c>
      <c r="K725" s="107">
        <f>SUMIF(Comprometidos!A:A,'Cost Report'!G725,Comprometidos!E:E)</f>
        <v>0</v>
      </c>
      <c r="L725" s="107">
        <f t="shared" si="295"/>
        <v>0</v>
      </c>
      <c r="M725" s="107">
        <f t="shared" si="296"/>
        <v>0</v>
      </c>
      <c r="N725" s="107">
        <f t="shared" si="297"/>
        <v>0</v>
      </c>
      <c r="O725" s="107">
        <f>VLOOKUP(G725,Budget!$E$3:$G$2474,3,0)</f>
        <v>0</v>
      </c>
      <c r="P725" s="107">
        <f t="shared" si="298"/>
        <v>0</v>
      </c>
      <c r="Q725" s="107"/>
      <c r="R725" s="10"/>
      <c r="S725" s="107">
        <v>0</v>
      </c>
      <c r="T725" s="107">
        <f t="shared" si="302"/>
        <v>0</v>
      </c>
      <c r="U725" s="107"/>
      <c r="V725" s="175"/>
      <c r="W725" s="10"/>
      <c r="X725" s="10"/>
      <c r="Y725" t="str">
        <f t="shared" si="304"/>
        <v>2110</v>
      </c>
      <c r="AB725" s="10"/>
      <c r="AC725" s="10"/>
      <c r="AD725" s="10"/>
      <c r="AE725" s="10"/>
      <c r="AF725" s="10"/>
      <c r="AG725" s="10"/>
      <c r="AH725" s="10"/>
      <c r="AI725" s="10"/>
    </row>
    <row r="726" spans="1:35">
      <c r="A726" s="10"/>
      <c r="B726" s="10" t="str">
        <f t="shared" si="303"/>
        <v>Below the LineSHOOT</v>
      </c>
      <c r="C726" t="s">
        <v>20</v>
      </c>
      <c r="D726" t="s">
        <v>19</v>
      </c>
      <c r="E726" t="s">
        <v>236</v>
      </c>
      <c r="G726" t="s">
        <v>2444</v>
      </c>
      <c r="I726" s="10"/>
      <c r="J726" s="107">
        <f>SUMIF(Data!C:C,G726,Data!Q:Q)</f>
        <v>0</v>
      </c>
      <c r="K726" s="107">
        <f>SUMIF(Comprometidos!A:A,'Cost Report'!G726,Comprometidos!E:E)</f>
        <v>0</v>
      </c>
      <c r="L726" s="107">
        <f t="shared" si="295"/>
        <v>0</v>
      </c>
      <c r="M726" s="107">
        <v>0</v>
      </c>
      <c r="N726" s="107">
        <f t="shared" si="297"/>
        <v>0</v>
      </c>
      <c r="O726" s="107">
        <f>VLOOKUP(G726,Budget!$E$3:$G$2474,3,0)</f>
        <v>105000</v>
      </c>
      <c r="P726" s="107">
        <f t="shared" si="298"/>
        <v>105000</v>
      </c>
      <c r="Q726" s="107"/>
      <c r="R726" s="10"/>
      <c r="S726" s="107">
        <v>0</v>
      </c>
      <c r="T726" s="107">
        <f t="shared" si="302"/>
        <v>0</v>
      </c>
      <c r="U726" s="107"/>
      <c r="V726" s="175"/>
      <c r="W726" s="10"/>
      <c r="X726" s="10"/>
      <c r="Y726" t="str">
        <f t="shared" si="304"/>
        <v>2110</v>
      </c>
      <c r="AB726" s="10"/>
      <c r="AC726" s="10"/>
      <c r="AD726" s="10"/>
      <c r="AE726" s="10"/>
      <c r="AF726" s="10"/>
      <c r="AG726" s="10"/>
      <c r="AH726" s="10"/>
      <c r="AI726" s="10"/>
    </row>
    <row r="727" spans="1:35">
      <c r="A727" s="10"/>
      <c r="B727" s="10" t="str">
        <f t="shared" si="303"/>
        <v>Below the Line</v>
      </c>
      <c r="C727" t="s">
        <v>20</v>
      </c>
      <c r="D727" t="s">
        <v>19</v>
      </c>
      <c r="E727" t="s">
        <v>214</v>
      </c>
      <c r="G727" t="s">
        <v>2445</v>
      </c>
      <c r="I727" s="10"/>
      <c r="J727" s="107">
        <f>SUMIF(Data!C:C,G727,Data!Q:Q)</f>
        <v>0</v>
      </c>
      <c r="K727" s="107">
        <f>SUMIF(Comprometidos!A:A,'Cost Report'!G727,Comprometidos!E:E)</f>
        <v>0</v>
      </c>
      <c r="L727" s="107">
        <f t="shared" si="295"/>
        <v>0</v>
      </c>
      <c r="M727" s="107">
        <f t="shared" si="296"/>
        <v>0</v>
      </c>
      <c r="N727" s="107">
        <f t="shared" si="297"/>
        <v>0</v>
      </c>
      <c r="O727" s="107">
        <f>VLOOKUP(G727,Budget!$E$3:$G$2474,3,0)</f>
        <v>0</v>
      </c>
      <c r="P727" s="107">
        <f t="shared" si="298"/>
        <v>0</v>
      </c>
      <c r="Q727" s="107"/>
      <c r="R727" s="10"/>
      <c r="S727" s="107">
        <v>0</v>
      </c>
      <c r="T727" s="107">
        <f t="shared" si="302"/>
        <v>0</v>
      </c>
      <c r="U727" s="107"/>
      <c r="V727" s="175"/>
      <c r="W727" s="10"/>
      <c r="X727" s="10"/>
      <c r="Y727" t="str">
        <f t="shared" si="304"/>
        <v>2110</v>
      </c>
      <c r="AB727" s="10"/>
      <c r="AC727" s="10"/>
      <c r="AD727" s="10"/>
      <c r="AE727" s="10"/>
      <c r="AF727" s="10"/>
      <c r="AG727" s="10"/>
      <c r="AH727" s="10"/>
      <c r="AI727" s="10"/>
    </row>
    <row r="728" spans="1:35">
      <c r="A728" s="10"/>
      <c r="B728" s="10" t="str">
        <f t="shared" si="303"/>
        <v>Below the LineSHOOT</v>
      </c>
      <c r="C728" t="s">
        <v>20</v>
      </c>
      <c r="D728" t="s">
        <v>19</v>
      </c>
      <c r="E728" t="s">
        <v>236</v>
      </c>
      <c r="G728" t="s">
        <v>2446</v>
      </c>
      <c r="I728" s="10"/>
      <c r="J728" s="107">
        <f>SUMIF(Data!C:C,G728,Data!Q:Q)</f>
        <v>0</v>
      </c>
      <c r="K728" s="107">
        <f>SUMIF(Comprometidos!A:A,'Cost Report'!G728,Comprometidos!E:E)</f>
        <v>0</v>
      </c>
      <c r="L728" s="107">
        <f t="shared" si="295"/>
        <v>0</v>
      </c>
      <c r="M728" s="107">
        <v>0</v>
      </c>
      <c r="N728" s="107">
        <f t="shared" si="297"/>
        <v>0</v>
      </c>
      <c r="O728" s="107">
        <f>VLOOKUP(G728,Budget!$E$3:$G$2474,3,0)</f>
        <v>27000</v>
      </c>
      <c r="P728" s="107">
        <f t="shared" si="298"/>
        <v>27000</v>
      </c>
      <c r="Q728" s="107"/>
      <c r="R728" s="10"/>
      <c r="S728" s="107">
        <v>0</v>
      </c>
      <c r="T728" s="107">
        <f t="shared" si="302"/>
        <v>0</v>
      </c>
      <c r="U728" s="107"/>
      <c r="V728" s="175"/>
      <c r="W728" s="10"/>
      <c r="X728" s="10"/>
      <c r="Y728" t="str">
        <f t="shared" si="304"/>
        <v>2110</v>
      </c>
      <c r="AB728" s="10"/>
      <c r="AC728" s="10"/>
      <c r="AD728" s="10"/>
      <c r="AE728" s="10"/>
      <c r="AF728" s="10"/>
      <c r="AG728" s="10"/>
      <c r="AH728" s="10"/>
      <c r="AI728" s="10"/>
    </row>
    <row r="729" spans="1:35">
      <c r="A729" s="10"/>
      <c r="B729" s="10"/>
      <c r="C729" s="170" t="s">
        <v>20</v>
      </c>
      <c r="D729" s="170" t="s">
        <v>8</v>
      </c>
      <c r="E729" s="170"/>
      <c r="F729" s="170"/>
      <c r="G729" s="170" t="s">
        <v>533</v>
      </c>
      <c r="H729" s="170"/>
      <c r="I729" s="10"/>
      <c r="J729" s="169">
        <f>SUMIF($AA$10:$AA$2484,G729,J$10:J$2484)</f>
        <v>1857793.179</v>
      </c>
      <c r="K729" s="169">
        <f>SUMIF($AA$10:$AA$2484,G729,K$10:K$2484)</f>
        <v>0</v>
      </c>
      <c r="L729" s="169">
        <f>SUMIF($AA$10:$AA$2484,G729,L$10:L$2484)</f>
        <v>1857793.179</v>
      </c>
      <c r="M729" s="169">
        <f>SUMIF($AA$10:$AA$2484,G729,M$10:M$2484)</f>
        <v>0</v>
      </c>
      <c r="N729" s="169">
        <f>SUMIF($AA$10:$AA$2484,G729,N$10:N$2484)</f>
        <v>1857793.179</v>
      </c>
      <c r="O729" s="169">
        <f>SUMIF($AA$10:$AA$2484,G729,O$10:O$2484)</f>
        <v>1825740</v>
      </c>
      <c r="P729" s="168">
        <f>SUMIF($AA$10:$AA$2484,G729,P$10:P$2484)</f>
        <v>-32053.178999999993</v>
      </c>
      <c r="Q729" s="169"/>
      <c r="R729" s="10"/>
      <c r="S729" s="164">
        <v>1855094.8800000001</v>
      </c>
      <c r="T729" s="164">
        <f t="shared" si="302"/>
        <v>-2698.2989999998827</v>
      </c>
      <c r="U729" s="163"/>
      <c r="V729" s="175"/>
      <c r="W729" s="10"/>
      <c r="X729" s="10"/>
      <c r="AB729" s="10"/>
      <c r="AC729" s="10"/>
      <c r="AD729" s="10"/>
      <c r="AE729" s="10"/>
      <c r="AF729" s="10"/>
      <c r="AG729" s="10"/>
      <c r="AH729" s="10"/>
      <c r="AI729" s="10"/>
    </row>
    <row r="730" spans="1:35">
      <c r="A730" s="10"/>
      <c r="B730" s="10" t="str">
        <f>+C730</f>
        <v>Below the Line</v>
      </c>
      <c r="C730" s="128" t="s">
        <v>20</v>
      </c>
      <c r="D730" s="128" t="s">
        <v>2117</v>
      </c>
      <c r="E730" s="128"/>
      <c r="F730" s="128"/>
      <c r="G730" s="128" t="s">
        <v>534</v>
      </c>
      <c r="H730" s="128"/>
      <c r="I730" s="10"/>
      <c r="J730" s="129">
        <f>SUMIF($Y$11:$Y$2484,G730,J$11:J$2484)</f>
        <v>598290</v>
      </c>
      <c r="K730" s="129">
        <f>SUMIF($Y$11:$Y$2484,G730,K$11:K$2484)</f>
        <v>0</v>
      </c>
      <c r="L730" s="129">
        <f>SUMIF($Y$11:$Y$2484,G730,L$11:L$2484)</f>
        <v>598290</v>
      </c>
      <c r="M730" s="129">
        <f>SUMIF($Y$11:$Y$2484,G730,M$11:M$2484)</f>
        <v>0</v>
      </c>
      <c r="N730" s="129">
        <f>SUMIF($Y$11:$Y$2484,G730,N$11:N$2484)</f>
        <v>598290</v>
      </c>
      <c r="O730" s="129">
        <f>SUMIF($Y$11:$Y$2484,G730,O$11:O$2484)</f>
        <v>598290</v>
      </c>
      <c r="P730" s="129">
        <f>SUMIF($Y$11:$Y$2484,G730,P$11:P$2484)</f>
        <v>0</v>
      </c>
      <c r="Q730" s="129"/>
      <c r="R730" s="10"/>
      <c r="S730" s="129">
        <v>598290</v>
      </c>
      <c r="T730" s="129">
        <f t="shared" si="302"/>
        <v>0</v>
      </c>
      <c r="U730" s="128"/>
      <c r="V730" s="175"/>
      <c r="W730" s="10"/>
      <c r="X730" s="10"/>
      <c r="Z730" t="str">
        <f>LEFT(G730,2)</f>
        <v>22</v>
      </c>
      <c r="AA730" t="str">
        <f>+Z730&amp;"00"</f>
        <v>2200</v>
      </c>
      <c r="AB730" s="10"/>
      <c r="AC730" s="10"/>
      <c r="AD730" s="10"/>
      <c r="AE730" s="10"/>
      <c r="AF730" s="10"/>
      <c r="AG730" s="10"/>
      <c r="AH730" s="10"/>
      <c r="AI730" s="10"/>
    </row>
    <row r="731" spans="1:35">
      <c r="A731" s="10"/>
      <c r="B731" s="10" t="str">
        <f t="shared" ref="B731:B735" si="305">+C731&amp;E731</f>
        <v>Below the Line</v>
      </c>
      <c r="C731" t="s">
        <v>20</v>
      </c>
      <c r="D731" t="s">
        <v>19</v>
      </c>
      <c r="E731" t="s">
        <v>214</v>
      </c>
      <c r="G731" t="s">
        <v>210</v>
      </c>
      <c r="I731" s="10"/>
      <c r="J731" s="107">
        <f>SUMIF(Data!C:C,G731,Data!Q:Q)</f>
        <v>0</v>
      </c>
      <c r="K731" s="107">
        <f>SUMIF(Comprometidos!A:A,'Cost Report'!G731,Comprometidos!E:E)</f>
        <v>0</v>
      </c>
      <c r="L731" s="107">
        <f t="shared" si="295"/>
        <v>0</v>
      </c>
      <c r="M731" s="107">
        <f t="shared" si="296"/>
        <v>0</v>
      </c>
      <c r="N731" s="107">
        <f t="shared" si="297"/>
        <v>0</v>
      </c>
      <c r="O731" s="107">
        <f>VLOOKUP(G731,Budget!$E$3:$G$2474,3,0)</f>
        <v>0</v>
      </c>
      <c r="P731" s="107">
        <f t="shared" si="298"/>
        <v>0</v>
      </c>
      <c r="Q731" s="107"/>
      <c r="R731" s="10"/>
      <c r="S731" s="107">
        <v>0</v>
      </c>
      <c r="T731" s="107">
        <f t="shared" si="302"/>
        <v>0</v>
      </c>
      <c r="U731" s="107"/>
      <c r="V731" s="175"/>
      <c r="W731" s="10"/>
      <c r="X731" s="10"/>
      <c r="Y731" t="str">
        <f t="shared" ref="Y731:Y735" si="306">LEFT(G731,4)</f>
        <v>2201</v>
      </c>
      <c r="AB731" s="10"/>
      <c r="AC731" s="10"/>
      <c r="AD731" s="10"/>
      <c r="AE731" s="10"/>
      <c r="AF731" s="10"/>
      <c r="AG731" s="10"/>
      <c r="AH731" s="10"/>
      <c r="AI731" s="10"/>
    </row>
    <row r="732" spans="1:35">
      <c r="A732" s="10"/>
      <c r="B732" s="10" t="str">
        <f t="shared" si="305"/>
        <v>Below the LineSOFT</v>
      </c>
      <c r="C732" t="s">
        <v>20</v>
      </c>
      <c r="D732" t="s">
        <v>19</v>
      </c>
      <c r="E732" t="s">
        <v>233</v>
      </c>
      <c r="G732" t="s">
        <v>535</v>
      </c>
      <c r="I732" s="10"/>
      <c r="J732" s="107">
        <f>SUMIF(Data!C:C,G732,Data!Q:Q)</f>
        <v>16170</v>
      </c>
      <c r="K732" s="107">
        <f>SUMIF(Comprometidos!A:A,'Cost Report'!G732,Comprometidos!E:E)</f>
        <v>0</v>
      </c>
      <c r="L732" s="107">
        <f t="shared" si="295"/>
        <v>16170</v>
      </c>
      <c r="M732" s="107">
        <f t="shared" si="296"/>
        <v>0</v>
      </c>
      <c r="N732" s="107">
        <f t="shared" si="297"/>
        <v>16170</v>
      </c>
      <c r="O732" s="107">
        <f>VLOOKUP(G732,Budget!$E$3:$G$2474,3,0)</f>
        <v>16170</v>
      </c>
      <c r="P732" s="107">
        <f t="shared" si="298"/>
        <v>0</v>
      </c>
      <c r="Q732" s="107"/>
      <c r="R732" s="10"/>
      <c r="S732" s="107">
        <v>16170</v>
      </c>
      <c r="T732" s="107">
        <f t="shared" si="302"/>
        <v>0</v>
      </c>
      <c r="U732" s="107"/>
      <c r="V732" s="175"/>
      <c r="W732" s="10"/>
      <c r="X732" s="10"/>
      <c r="Y732" t="str">
        <f t="shared" si="306"/>
        <v>2201</v>
      </c>
      <c r="AB732" s="10"/>
      <c r="AC732" s="10"/>
      <c r="AD732" s="10"/>
      <c r="AE732" s="10"/>
      <c r="AF732" s="10"/>
      <c r="AG732" s="10"/>
      <c r="AH732" s="10"/>
      <c r="AI732" s="10"/>
    </row>
    <row r="733" spans="1:35">
      <c r="A733" s="10"/>
      <c r="B733" s="10" t="str">
        <f t="shared" si="305"/>
        <v>Below the LinePREP</v>
      </c>
      <c r="C733" t="s">
        <v>20</v>
      </c>
      <c r="D733" t="s">
        <v>19</v>
      </c>
      <c r="E733" t="s">
        <v>234</v>
      </c>
      <c r="G733" t="s">
        <v>536</v>
      </c>
      <c r="I733" s="10"/>
      <c r="J733" s="107">
        <f>SUMIF(Data!C:C,G733,Data!Q:Q)</f>
        <v>291060</v>
      </c>
      <c r="K733" s="107">
        <f>SUMIF(Comprometidos!A:A,'Cost Report'!G733,Comprometidos!E:E)</f>
        <v>0</v>
      </c>
      <c r="L733" s="107">
        <f t="shared" si="295"/>
        <v>291060</v>
      </c>
      <c r="M733" s="107">
        <f t="shared" si="296"/>
        <v>0</v>
      </c>
      <c r="N733" s="107">
        <f t="shared" si="297"/>
        <v>291060</v>
      </c>
      <c r="O733" s="107">
        <f>VLOOKUP(G733,Budget!$E$3:$G$2474,3,0)</f>
        <v>291060</v>
      </c>
      <c r="P733" s="107">
        <f t="shared" si="298"/>
        <v>0</v>
      </c>
      <c r="Q733" s="107"/>
      <c r="R733" s="10"/>
      <c r="S733" s="107">
        <v>291060</v>
      </c>
      <c r="T733" s="107">
        <f t="shared" si="302"/>
        <v>0</v>
      </c>
      <c r="U733" s="107"/>
      <c r="V733" s="175"/>
      <c r="W733" s="10"/>
      <c r="X733" s="10"/>
      <c r="Y733" t="str">
        <f t="shared" si="306"/>
        <v>2201</v>
      </c>
      <c r="AB733" s="10"/>
      <c r="AC733" s="10"/>
      <c r="AD733" s="10"/>
      <c r="AE733" s="10"/>
      <c r="AF733" s="10"/>
      <c r="AG733" s="10"/>
      <c r="AH733" s="10"/>
      <c r="AI733" s="10"/>
    </row>
    <row r="734" spans="1:35">
      <c r="A734" s="10"/>
      <c r="B734" s="10" t="str">
        <f t="shared" si="305"/>
        <v>Below the LineSHOOT</v>
      </c>
      <c r="C734" t="s">
        <v>20</v>
      </c>
      <c r="D734" t="s">
        <v>19</v>
      </c>
      <c r="E734" t="s">
        <v>236</v>
      </c>
      <c r="G734" t="s">
        <v>537</v>
      </c>
      <c r="I734" s="10"/>
      <c r="J734" s="107">
        <f>SUMIF(Data!C:C,G734,Data!Q:Q)</f>
        <v>226380</v>
      </c>
      <c r="K734" s="107">
        <f>SUMIF(Comprometidos!A:A,'Cost Report'!G734,Comprometidos!E:E)</f>
        <v>0</v>
      </c>
      <c r="L734" s="107">
        <f t="shared" si="295"/>
        <v>226380</v>
      </c>
      <c r="M734" s="107">
        <f t="shared" si="296"/>
        <v>0</v>
      </c>
      <c r="N734" s="107">
        <f t="shared" si="297"/>
        <v>226380</v>
      </c>
      <c r="O734" s="107">
        <f>VLOOKUP(G734,Budget!$E$3:$G$2474,3,0)</f>
        <v>226380</v>
      </c>
      <c r="P734" s="107">
        <f t="shared" si="298"/>
        <v>0</v>
      </c>
      <c r="Q734" s="107"/>
      <c r="R734" s="10"/>
      <c r="S734" s="107">
        <v>226380</v>
      </c>
      <c r="T734" s="107">
        <f t="shared" si="302"/>
        <v>0</v>
      </c>
      <c r="U734" s="107"/>
      <c r="V734" s="175"/>
      <c r="W734" s="10"/>
      <c r="X734" s="10"/>
      <c r="Y734" t="str">
        <f t="shared" si="306"/>
        <v>2201</v>
      </c>
      <c r="AB734" s="10"/>
      <c r="AC734" s="10"/>
      <c r="AD734" s="10"/>
      <c r="AE734" s="10"/>
      <c r="AF734" s="10"/>
      <c r="AG734" s="10"/>
      <c r="AH734" s="10"/>
      <c r="AI734" s="10"/>
    </row>
    <row r="735" spans="1:35">
      <c r="A735" s="10"/>
      <c r="B735" s="10" t="str">
        <f t="shared" si="305"/>
        <v>Below the LineWRAP</v>
      </c>
      <c r="C735" t="s">
        <v>20</v>
      </c>
      <c r="D735" t="s">
        <v>19</v>
      </c>
      <c r="E735" t="s">
        <v>238</v>
      </c>
      <c r="G735" t="s">
        <v>2447</v>
      </c>
      <c r="I735" s="10"/>
      <c r="J735" s="107">
        <f>SUMIF(Data!C:C,G735,Data!Q:Q)</f>
        <v>64680</v>
      </c>
      <c r="K735" s="107">
        <f>SUMIF(Comprometidos!A:A,'Cost Report'!G735,Comprometidos!E:E)</f>
        <v>0</v>
      </c>
      <c r="L735" s="107">
        <f t="shared" si="295"/>
        <v>64680</v>
      </c>
      <c r="M735" s="107">
        <f t="shared" si="296"/>
        <v>0</v>
      </c>
      <c r="N735" s="107">
        <f t="shared" si="297"/>
        <v>64680</v>
      </c>
      <c r="O735" s="107">
        <f>VLOOKUP(G735,Budget!$E$3:$G$2474,3,0)</f>
        <v>64680</v>
      </c>
      <c r="P735" s="107">
        <f t="shared" si="298"/>
        <v>0</v>
      </c>
      <c r="Q735" s="107"/>
      <c r="R735" s="10"/>
      <c r="S735" s="107">
        <v>64680</v>
      </c>
      <c r="T735" s="107">
        <f t="shared" si="302"/>
        <v>0</v>
      </c>
      <c r="U735" s="107"/>
      <c r="V735" s="175"/>
      <c r="W735" s="10"/>
      <c r="X735" s="10"/>
      <c r="Y735" t="str">
        <f t="shared" si="306"/>
        <v>2201</v>
      </c>
      <c r="AB735" s="10"/>
      <c r="AC735" s="10"/>
      <c r="AD735" s="10"/>
      <c r="AE735" s="10"/>
      <c r="AF735" s="10"/>
      <c r="AG735" s="10"/>
      <c r="AH735" s="10"/>
      <c r="AI735" s="10"/>
    </row>
    <row r="736" spans="1:35">
      <c r="A736" s="10"/>
      <c r="B736" s="10" t="str">
        <f>+C736</f>
        <v>Below the Line</v>
      </c>
      <c r="C736" s="128" t="s">
        <v>20</v>
      </c>
      <c r="D736" s="128" t="s">
        <v>2117</v>
      </c>
      <c r="E736" s="128"/>
      <c r="F736" s="128"/>
      <c r="G736" s="128" t="s">
        <v>538</v>
      </c>
      <c r="H736" s="128"/>
      <c r="I736" s="10"/>
      <c r="J736" s="129">
        <f>SUMIF($Y$11:$Y$2484,G736,J$11:J$2484)</f>
        <v>387450</v>
      </c>
      <c r="K736" s="129">
        <f>SUMIF($Y$11:$Y$2484,G736,K$11:K$2484)</f>
        <v>0</v>
      </c>
      <c r="L736" s="129">
        <f>SUMIF($Y$11:$Y$2484,G736,L$11:L$2484)</f>
        <v>387450</v>
      </c>
      <c r="M736" s="129">
        <f>SUMIF($Y$11:$Y$2484,G736,M$11:M$2484)</f>
        <v>0</v>
      </c>
      <c r="N736" s="129">
        <f>SUMIF($Y$11:$Y$2484,G736,N$11:N$2484)</f>
        <v>387450</v>
      </c>
      <c r="O736" s="129">
        <f>SUMIF($Y$11:$Y$2484,G736,O$11:O$2484)</f>
        <v>387450</v>
      </c>
      <c r="P736" s="129">
        <f>SUMIF($Y$11:$Y$2484,G736,P$11:P$2484)</f>
        <v>0</v>
      </c>
      <c r="Q736" s="129"/>
      <c r="R736" s="10"/>
      <c r="S736" s="129">
        <v>387450</v>
      </c>
      <c r="T736" s="129">
        <f t="shared" si="302"/>
        <v>0</v>
      </c>
      <c r="U736" s="128"/>
      <c r="V736" s="175"/>
      <c r="W736" s="10"/>
      <c r="X736" s="10"/>
      <c r="Z736" t="str">
        <f>LEFT(G736,2)</f>
        <v>22</v>
      </c>
      <c r="AA736" t="str">
        <f>+Z736&amp;"00"</f>
        <v>2200</v>
      </c>
      <c r="AB736" s="10"/>
      <c r="AC736" s="10"/>
      <c r="AD736" s="10"/>
      <c r="AE736" s="10"/>
      <c r="AF736" s="10"/>
      <c r="AG736" s="10"/>
      <c r="AH736" s="10"/>
      <c r="AI736" s="10"/>
    </row>
    <row r="737" spans="1:35">
      <c r="A737" s="10"/>
      <c r="B737" s="10" t="str">
        <f t="shared" ref="B737:B740" si="307">+C737&amp;E737</f>
        <v>Below the Line</v>
      </c>
      <c r="C737" t="s">
        <v>20</v>
      </c>
      <c r="D737" t="s">
        <v>19</v>
      </c>
      <c r="E737" t="s">
        <v>214</v>
      </c>
      <c r="G737" t="s">
        <v>539</v>
      </c>
      <c r="I737" s="10"/>
      <c r="J737" s="107">
        <f>SUMIF(Data!C:C,G737,Data!Q:Q)</f>
        <v>0</v>
      </c>
      <c r="K737" s="107">
        <f>SUMIF(Comprometidos!A:A,'Cost Report'!G737,Comprometidos!E:E)</f>
        <v>0</v>
      </c>
      <c r="L737" s="107">
        <f t="shared" ref="L737:L740" si="308">+J737+K737</f>
        <v>0</v>
      </c>
      <c r="M737" s="107">
        <f t="shared" ref="M737:M740" si="309">+O737-L737</f>
        <v>0</v>
      </c>
      <c r="N737" s="107">
        <f t="shared" ref="N737:N740" si="310">+L737+M737</f>
        <v>0</v>
      </c>
      <c r="O737" s="107">
        <f>VLOOKUP(G737,Budget!$E$3:$G$2474,3,0)</f>
        <v>0</v>
      </c>
      <c r="P737" s="107">
        <f t="shared" ref="P737:P740" si="311">+O737-N737</f>
        <v>0</v>
      </c>
      <c r="Q737" s="107"/>
      <c r="R737" s="10"/>
      <c r="S737" s="107">
        <v>0</v>
      </c>
      <c r="T737" s="107">
        <f t="shared" si="302"/>
        <v>0</v>
      </c>
      <c r="U737" s="107"/>
      <c r="V737" s="175"/>
      <c r="W737" s="10"/>
      <c r="X737" s="10"/>
      <c r="Y737" t="str">
        <f t="shared" ref="Y737:Y740" si="312">LEFT(G737,4)</f>
        <v>2202</v>
      </c>
      <c r="AB737" s="10"/>
      <c r="AC737" s="10"/>
      <c r="AD737" s="10"/>
      <c r="AE737" s="10"/>
      <c r="AF737" s="10"/>
      <c r="AG737" s="10"/>
      <c r="AH737" s="10"/>
      <c r="AI737" s="10"/>
    </row>
    <row r="738" spans="1:35">
      <c r="A738" s="10"/>
      <c r="B738" s="10" t="str">
        <f t="shared" si="307"/>
        <v>Below the LinePREP</v>
      </c>
      <c r="C738" t="s">
        <v>20</v>
      </c>
      <c r="D738" t="s">
        <v>19</v>
      </c>
      <c r="E738" t="s">
        <v>234</v>
      </c>
      <c r="G738" t="s">
        <v>540</v>
      </c>
      <c r="I738" s="10"/>
      <c r="J738" s="107">
        <f>SUMIF(Data!C:C,G738,Data!Q:Q)</f>
        <v>193725</v>
      </c>
      <c r="K738" s="107">
        <f>SUMIF(Comprometidos!A:A,'Cost Report'!G738,Comprometidos!E:E)</f>
        <v>0</v>
      </c>
      <c r="L738" s="107">
        <f t="shared" si="308"/>
        <v>193725</v>
      </c>
      <c r="M738" s="107">
        <f t="shared" si="309"/>
        <v>0</v>
      </c>
      <c r="N738" s="107">
        <f t="shared" si="310"/>
        <v>193725</v>
      </c>
      <c r="O738" s="107">
        <f>VLOOKUP(G738,Budget!$E$3:$G$2474,3,0)</f>
        <v>193725</v>
      </c>
      <c r="P738" s="107">
        <f t="shared" si="311"/>
        <v>0</v>
      </c>
      <c r="Q738" s="107"/>
      <c r="R738" s="10"/>
      <c r="S738" s="107">
        <v>193725</v>
      </c>
      <c r="T738" s="107">
        <f t="shared" si="302"/>
        <v>0</v>
      </c>
      <c r="U738" s="107"/>
      <c r="V738" s="175"/>
      <c r="W738" s="10"/>
      <c r="X738" s="10"/>
      <c r="Y738" t="str">
        <f t="shared" si="312"/>
        <v>2202</v>
      </c>
      <c r="AB738" s="10"/>
      <c r="AC738" s="10"/>
      <c r="AD738" s="10"/>
      <c r="AE738" s="10"/>
      <c r="AF738" s="10"/>
      <c r="AG738" s="10"/>
      <c r="AH738" s="10"/>
      <c r="AI738" s="10"/>
    </row>
    <row r="739" spans="1:35">
      <c r="A739" s="10"/>
      <c r="B739" s="10" t="str">
        <f t="shared" si="307"/>
        <v>Below the LineSHOOT</v>
      </c>
      <c r="C739" t="s">
        <v>20</v>
      </c>
      <c r="D739" t="s">
        <v>19</v>
      </c>
      <c r="E739" t="s">
        <v>236</v>
      </c>
      <c r="G739" t="s">
        <v>541</v>
      </c>
      <c r="I739" s="10"/>
      <c r="J739" s="107">
        <f>SUMIF(Data!C:C,G739,Data!Q:Q)</f>
        <v>150675</v>
      </c>
      <c r="K739" s="107">
        <f>SUMIF(Comprometidos!A:A,'Cost Report'!G739,Comprometidos!E:E)</f>
        <v>0</v>
      </c>
      <c r="L739" s="107">
        <f t="shared" si="308"/>
        <v>150675</v>
      </c>
      <c r="M739" s="107">
        <f t="shared" si="309"/>
        <v>0</v>
      </c>
      <c r="N739" s="107">
        <f t="shared" si="310"/>
        <v>150675</v>
      </c>
      <c r="O739" s="107">
        <f>VLOOKUP(G739,Budget!$E$3:$G$2474,3,0)</f>
        <v>150675</v>
      </c>
      <c r="P739" s="107">
        <f t="shared" si="311"/>
        <v>0</v>
      </c>
      <c r="Q739" s="107"/>
      <c r="R739" s="10"/>
      <c r="S739" s="107">
        <v>150675</v>
      </c>
      <c r="T739" s="107">
        <f t="shared" si="302"/>
        <v>0</v>
      </c>
      <c r="U739" s="107"/>
      <c r="V739" s="175"/>
      <c r="W739" s="10"/>
      <c r="X739" s="10"/>
      <c r="Y739" t="str">
        <f t="shared" si="312"/>
        <v>2202</v>
      </c>
      <c r="AB739" s="10"/>
      <c r="AC739" s="10"/>
      <c r="AD739" s="10"/>
      <c r="AE739" s="10"/>
      <c r="AF739" s="10"/>
      <c r="AG739" s="10"/>
      <c r="AH739" s="10"/>
      <c r="AI739" s="10"/>
    </row>
    <row r="740" spans="1:35">
      <c r="A740" s="10"/>
      <c r="B740" s="10" t="str">
        <f t="shared" si="307"/>
        <v>Below the LineWRAP</v>
      </c>
      <c r="C740" t="s">
        <v>20</v>
      </c>
      <c r="D740" t="s">
        <v>19</v>
      </c>
      <c r="E740" t="s">
        <v>238</v>
      </c>
      <c r="G740" t="s">
        <v>2448</v>
      </c>
      <c r="I740" s="10"/>
      <c r="J740" s="107">
        <f>SUMIF(Data!C:C,G740,Data!Q:Q)</f>
        <v>43050</v>
      </c>
      <c r="K740" s="107">
        <f>SUMIF(Comprometidos!A:A,'Cost Report'!G740,Comprometidos!E:E)</f>
        <v>0</v>
      </c>
      <c r="L740" s="107">
        <f t="shared" si="308"/>
        <v>43050</v>
      </c>
      <c r="M740" s="107">
        <f t="shared" si="309"/>
        <v>0</v>
      </c>
      <c r="N740" s="107">
        <f t="shared" si="310"/>
        <v>43050</v>
      </c>
      <c r="O740" s="107">
        <f>VLOOKUP(G740,Budget!$E$3:$G$2474,3,0)</f>
        <v>43050</v>
      </c>
      <c r="P740" s="107">
        <f t="shared" si="311"/>
        <v>0</v>
      </c>
      <c r="Q740" s="107"/>
      <c r="R740" s="10"/>
      <c r="S740" s="107">
        <v>43050</v>
      </c>
      <c r="T740" s="107">
        <f t="shared" si="302"/>
        <v>0</v>
      </c>
      <c r="U740" s="107"/>
      <c r="V740" s="175"/>
      <c r="W740" s="10"/>
      <c r="X740" s="10"/>
      <c r="Y740" t="str">
        <f t="shared" si="312"/>
        <v>2202</v>
      </c>
      <c r="AB740" s="10"/>
      <c r="AC740" s="10"/>
      <c r="AD740" s="10"/>
      <c r="AE740" s="10"/>
      <c r="AF740" s="10"/>
      <c r="AG740" s="10"/>
      <c r="AH740" s="10"/>
      <c r="AI740" s="10"/>
    </row>
    <row r="741" spans="1:35">
      <c r="A741" s="10"/>
      <c r="B741" s="10" t="str">
        <f>+C741</f>
        <v>Below the Line</v>
      </c>
      <c r="C741" s="128" t="s">
        <v>20</v>
      </c>
      <c r="D741" s="128" t="s">
        <v>2117</v>
      </c>
      <c r="E741" s="128"/>
      <c r="F741" s="128"/>
      <c r="G741" s="128" t="s">
        <v>542</v>
      </c>
      <c r="H741" s="128"/>
      <c r="I741" s="10"/>
      <c r="J741" s="129">
        <f>SUMIF($Y$11:$Y$2484,G741,J$11:J$2484)</f>
        <v>151200</v>
      </c>
      <c r="K741" s="129">
        <f>SUMIF($Y$11:$Y$2484,G741,K$11:K$2484)</f>
        <v>0</v>
      </c>
      <c r="L741" s="129">
        <f>SUMIF($Y$11:$Y$2484,G741,L$11:L$2484)</f>
        <v>151200</v>
      </c>
      <c r="M741" s="129">
        <f>SUMIF($Y$11:$Y$2484,G741,M$11:M$2484)</f>
        <v>0</v>
      </c>
      <c r="N741" s="129">
        <f>SUMIF($Y$11:$Y$2484,G741,N$11:N$2484)</f>
        <v>151200</v>
      </c>
      <c r="O741" s="129">
        <f>SUMIF($Y$11:$Y$2484,G741,O$11:O$2484)</f>
        <v>151200</v>
      </c>
      <c r="P741" s="129">
        <f>SUMIF($Y$11:$Y$2484,G741,P$11:P$2484)</f>
        <v>0</v>
      </c>
      <c r="Q741" s="129"/>
      <c r="R741" s="10"/>
      <c r="S741" s="129">
        <v>151200</v>
      </c>
      <c r="T741" s="129">
        <f t="shared" si="302"/>
        <v>0</v>
      </c>
      <c r="U741" s="128"/>
      <c r="V741" s="175"/>
      <c r="W741" s="10"/>
      <c r="X741" s="10"/>
      <c r="Z741" t="str">
        <f>LEFT(G741,2)</f>
        <v>22</v>
      </c>
      <c r="AA741" t="str">
        <f>+Z741&amp;"00"</f>
        <v>2200</v>
      </c>
      <c r="AB741" s="10"/>
      <c r="AC741" s="10"/>
      <c r="AD741" s="10"/>
      <c r="AE741" s="10"/>
      <c r="AF741" s="10"/>
      <c r="AG741" s="10"/>
      <c r="AH741" s="10"/>
      <c r="AI741" s="10"/>
    </row>
    <row r="742" spans="1:35">
      <c r="A742" s="10"/>
      <c r="B742" s="10" t="str">
        <f t="shared" ref="B742:B745" si="313">+C742&amp;E742</f>
        <v>Below the Line</v>
      </c>
      <c r="C742" t="s">
        <v>20</v>
      </c>
      <c r="D742" t="s">
        <v>19</v>
      </c>
      <c r="E742" t="s">
        <v>214</v>
      </c>
      <c r="G742" t="s">
        <v>543</v>
      </c>
      <c r="I742" s="10"/>
      <c r="J742" s="107">
        <f>SUMIF(Data!C:C,G742,Data!Q:Q)</f>
        <v>0</v>
      </c>
      <c r="K742" s="107">
        <f>SUMIF(Comprometidos!A:A,'Cost Report'!G742,Comprometidos!E:E)</f>
        <v>0</v>
      </c>
      <c r="L742" s="107">
        <f t="shared" ref="L742:L745" si="314">+J742+K742</f>
        <v>0</v>
      </c>
      <c r="M742" s="107">
        <f t="shared" ref="M742:M745" si="315">+O742-L742</f>
        <v>0</v>
      </c>
      <c r="N742" s="107">
        <f t="shared" ref="N742:N745" si="316">+L742+M742</f>
        <v>0</v>
      </c>
      <c r="O742" s="107">
        <f>VLOOKUP(G742,Budget!$E$3:$G$2474,3,0)</f>
        <v>0</v>
      </c>
      <c r="P742" s="107">
        <f t="shared" ref="P742:P745" si="317">+O742-N742</f>
        <v>0</v>
      </c>
      <c r="Q742" s="107"/>
      <c r="R742" s="10"/>
      <c r="S742" s="107">
        <v>0</v>
      </c>
      <c r="T742" s="107">
        <f t="shared" si="302"/>
        <v>0</v>
      </c>
      <c r="U742" s="107"/>
      <c r="V742" s="175"/>
      <c r="W742" s="10"/>
      <c r="X742" s="10"/>
      <c r="Y742" t="str">
        <f t="shared" ref="Y742:Y745" si="318">LEFT(G742,4)</f>
        <v>2203</v>
      </c>
      <c r="AB742" s="10"/>
      <c r="AC742" s="10"/>
      <c r="AD742" s="10"/>
      <c r="AE742" s="10"/>
      <c r="AF742" s="10"/>
      <c r="AG742" s="10"/>
      <c r="AH742" s="10"/>
      <c r="AI742" s="10"/>
    </row>
    <row r="743" spans="1:35">
      <c r="A743" s="10"/>
      <c r="B743" s="10" t="str">
        <f t="shared" si="313"/>
        <v>Below the LinePREP</v>
      </c>
      <c r="C743" t="s">
        <v>20</v>
      </c>
      <c r="D743" t="s">
        <v>19</v>
      </c>
      <c r="E743" t="s">
        <v>234</v>
      </c>
      <c r="G743" t="s">
        <v>544</v>
      </c>
      <c r="I743" s="10"/>
      <c r="J743" s="107">
        <f>SUMIF(Data!C:C,G743,Data!Q:Q)</f>
        <v>50400</v>
      </c>
      <c r="K743" s="107">
        <f>SUMIF(Comprometidos!A:A,'Cost Report'!G743,Comprometidos!E:E)</f>
        <v>0</v>
      </c>
      <c r="L743" s="107">
        <f t="shared" si="314"/>
        <v>50400</v>
      </c>
      <c r="M743" s="107">
        <f t="shared" si="315"/>
        <v>0</v>
      </c>
      <c r="N743" s="107">
        <f t="shared" si="316"/>
        <v>50400</v>
      </c>
      <c r="O743" s="107">
        <f>VLOOKUP(G743,Budget!$E$3:$G$2474,3,0)</f>
        <v>50400</v>
      </c>
      <c r="P743" s="107">
        <f t="shared" si="317"/>
        <v>0</v>
      </c>
      <c r="Q743" s="107"/>
      <c r="R743" s="10"/>
      <c r="S743" s="107">
        <v>50400</v>
      </c>
      <c r="T743" s="107">
        <f t="shared" si="302"/>
        <v>0</v>
      </c>
      <c r="U743" s="107"/>
      <c r="V743" s="175"/>
      <c r="W743" s="10"/>
      <c r="X743" s="10"/>
      <c r="Y743" t="str">
        <f t="shared" si="318"/>
        <v>2203</v>
      </c>
      <c r="AB743" s="10"/>
      <c r="AC743" s="10"/>
      <c r="AD743" s="10"/>
      <c r="AE743" s="10"/>
      <c r="AF743" s="10"/>
      <c r="AG743" s="10"/>
      <c r="AH743" s="10"/>
      <c r="AI743" s="10"/>
    </row>
    <row r="744" spans="1:35">
      <c r="A744" s="10"/>
      <c r="B744" s="10" t="str">
        <f t="shared" si="313"/>
        <v>Below the LineSHOOT</v>
      </c>
      <c r="C744" t="s">
        <v>20</v>
      </c>
      <c r="D744" t="s">
        <v>19</v>
      </c>
      <c r="E744" t="s">
        <v>236</v>
      </c>
      <c r="G744" t="s">
        <v>545</v>
      </c>
      <c r="I744" s="10"/>
      <c r="J744" s="107">
        <f>SUMIF(Data!C:C,G744,Data!Q:Q)</f>
        <v>88200</v>
      </c>
      <c r="K744" s="107">
        <f>SUMIF(Comprometidos!A:A,'Cost Report'!G744,Comprometidos!E:E)</f>
        <v>0</v>
      </c>
      <c r="L744" s="107">
        <f t="shared" si="314"/>
        <v>88200</v>
      </c>
      <c r="M744" s="107">
        <f t="shared" si="315"/>
        <v>0</v>
      </c>
      <c r="N744" s="107">
        <f t="shared" si="316"/>
        <v>88200</v>
      </c>
      <c r="O744" s="107">
        <f>VLOOKUP(G744,Budget!$E$3:$G$2474,3,0)</f>
        <v>88200</v>
      </c>
      <c r="P744" s="107">
        <f t="shared" si="317"/>
        <v>0</v>
      </c>
      <c r="Q744" s="107"/>
      <c r="R744" s="10"/>
      <c r="S744" s="107">
        <v>88200</v>
      </c>
      <c r="T744" s="107">
        <f t="shared" si="302"/>
        <v>0</v>
      </c>
      <c r="U744" s="107"/>
      <c r="V744" s="175"/>
      <c r="W744" s="10"/>
      <c r="X744" s="10"/>
      <c r="Y744" t="str">
        <f t="shared" si="318"/>
        <v>2203</v>
      </c>
      <c r="AB744" s="10"/>
      <c r="AC744" s="10"/>
      <c r="AD744" s="10"/>
      <c r="AE744" s="10"/>
      <c r="AF744" s="10"/>
      <c r="AG744" s="10"/>
      <c r="AH744" s="10"/>
      <c r="AI744" s="10"/>
    </row>
    <row r="745" spans="1:35">
      <c r="A745" s="10"/>
      <c r="B745" s="10" t="str">
        <f t="shared" si="313"/>
        <v>Below the LineWRAP</v>
      </c>
      <c r="C745" t="s">
        <v>20</v>
      </c>
      <c r="D745" t="s">
        <v>19</v>
      </c>
      <c r="E745" t="s">
        <v>238</v>
      </c>
      <c r="G745" t="s">
        <v>2449</v>
      </c>
      <c r="I745" s="10"/>
      <c r="J745" s="107">
        <f>SUMIF(Data!C:C,G745,Data!Q:Q)</f>
        <v>12600</v>
      </c>
      <c r="K745" s="107">
        <f>SUMIF(Comprometidos!A:A,'Cost Report'!G745,Comprometidos!E:E)</f>
        <v>0</v>
      </c>
      <c r="L745" s="107">
        <f t="shared" si="314"/>
        <v>12600</v>
      </c>
      <c r="M745" s="107">
        <f t="shared" si="315"/>
        <v>0</v>
      </c>
      <c r="N745" s="107">
        <f t="shared" si="316"/>
        <v>12600</v>
      </c>
      <c r="O745" s="107">
        <f>VLOOKUP(G745,Budget!$E$3:$G$2474,3,0)</f>
        <v>12600</v>
      </c>
      <c r="P745" s="107">
        <f t="shared" si="317"/>
        <v>0</v>
      </c>
      <c r="Q745" s="107"/>
      <c r="R745" s="10"/>
      <c r="S745" s="107">
        <v>12600</v>
      </c>
      <c r="T745" s="107">
        <f t="shared" si="302"/>
        <v>0</v>
      </c>
      <c r="U745" s="107"/>
      <c r="V745" s="175"/>
      <c r="W745" s="10"/>
      <c r="X745" s="10"/>
      <c r="Y745" t="str">
        <f t="shared" si="318"/>
        <v>2203</v>
      </c>
      <c r="AB745" s="10"/>
      <c r="AC745" s="10"/>
      <c r="AD745" s="10"/>
      <c r="AE745" s="10"/>
      <c r="AF745" s="10"/>
      <c r="AG745" s="10"/>
      <c r="AH745" s="10"/>
      <c r="AI745" s="10"/>
    </row>
    <row r="746" spans="1:35">
      <c r="A746" s="10"/>
      <c r="B746" s="10" t="str">
        <f>+C746</f>
        <v>Below the Line</v>
      </c>
      <c r="C746" s="128" t="s">
        <v>20</v>
      </c>
      <c r="D746" s="128" t="s">
        <v>2117</v>
      </c>
      <c r="E746" s="128"/>
      <c r="F746" s="128"/>
      <c r="G746" s="128" t="s">
        <v>546</v>
      </c>
      <c r="H746" s="128"/>
      <c r="I746" s="10"/>
      <c r="J746" s="129">
        <f>SUMIF($Y$11:$Y$2484,G746,J$11:J$2484)</f>
        <v>511630</v>
      </c>
      <c r="K746" s="129">
        <f>SUMIF($Y$11:$Y$2484,G746,K$11:K$2484)</f>
        <v>0</v>
      </c>
      <c r="L746" s="129">
        <f>SUMIF($Y$11:$Y$2484,G746,L$11:L$2484)</f>
        <v>511630</v>
      </c>
      <c r="M746" s="129">
        <f>SUMIF($Y$11:$Y$2484,G746,M$11:M$2484)</f>
        <v>0</v>
      </c>
      <c r="N746" s="129">
        <f>SUMIF($Y$11:$Y$2484,G746,N$11:N$2484)</f>
        <v>511630</v>
      </c>
      <c r="O746" s="129">
        <f>SUMIF($Y$11:$Y$2484,G746,O$11:O$2484)</f>
        <v>490000</v>
      </c>
      <c r="P746" s="129">
        <f>SUMIF($Y$11:$Y$2484,G746,P$11:P$2484)</f>
        <v>-21630</v>
      </c>
      <c r="Q746" s="129"/>
      <c r="R746" s="10"/>
      <c r="S746" s="129">
        <v>511630</v>
      </c>
      <c r="T746" s="129">
        <f t="shared" si="302"/>
        <v>0</v>
      </c>
      <c r="U746" s="128"/>
      <c r="V746" s="175"/>
      <c r="W746" s="10"/>
      <c r="X746" s="10"/>
      <c r="Z746" t="str">
        <f>LEFT(G746,2)</f>
        <v>22</v>
      </c>
      <c r="AA746" t="str">
        <f>+Z746&amp;"00"</f>
        <v>2200</v>
      </c>
      <c r="AB746" s="10"/>
      <c r="AC746" s="10"/>
      <c r="AD746" s="10"/>
      <c r="AE746" s="10"/>
      <c r="AF746" s="10"/>
      <c r="AG746" s="10"/>
      <c r="AH746" s="10"/>
      <c r="AI746" s="10"/>
    </row>
    <row r="747" spans="1:35">
      <c r="A747" s="10"/>
      <c r="B747" s="10" t="str">
        <f t="shared" ref="B747:B758" si="319">+C747&amp;E747</f>
        <v>Below the Line</v>
      </c>
      <c r="C747" t="s">
        <v>20</v>
      </c>
      <c r="D747" t="s">
        <v>19</v>
      </c>
      <c r="E747" t="s">
        <v>214</v>
      </c>
      <c r="G747" t="s">
        <v>547</v>
      </c>
      <c r="I747" s="10"/>
      <c r="J747" s="107">
        <f>SUMIF(Data!C:C,G747,Data!Q:Q)</f>
        <v>0</v>
      </c>
      <c r="K747" s="107">
        <f>SUMIF(Comprometidos!A:A,'Cost Report'!G747,Comprometidos!E:E)</f>
        <v>0</v>
      </c>
      <c r="L747" s="107">
        <f t="shared" ref="L747:L765" si="320">+J747+K747</f>
        <v>0</v>
      </c>
      <c r="M747" s="107">
        <f t="shared" ref="M747:M764" si="321">+O747-L747</f>
        <v>0</v>
      </c>
      <c r="N747" s="107">
        <f t="shared" ref="N747:N765" si="322">+L747+M747</f>
        <v>0</v>
      </c>
      <c r="O747" s="107">
        <f>VLOOKUP(G747,Budget!$E$3:$G$2474,3,0)</f>
        <v>0</v>
      </c>
      <c r="P747" s="107">
        <f t="shared" ref="P747:P765" si="323">+O747-N747</f>
        <v>0</v>
      </c>
      <c r="Q747" s="107"/>
      <c r="R747" s="10"/>
      <c r="S747" s="107">
        <v>0</v>
      </c>
      <c r="T747" s="107">
        <f t="shared" si="302"/>
        <v>0</v>
      </c>
      <c r="U747" s="107"/>
      <c r="V747" s="175"/>
      <c r="W747" s="10"/>
      <c r="X747" s="10"/>
      <c r="Y747" t="str">
        <f t="shared" ref="Y747:Y758" si="324">LEFT(G747,4)</f>
        <v>2206</v>
      </c>
      <c r="AB747" s="10"/>
      <c r="AC747" s="10"/>
      <c r="AD747" s="10"/>
      <c r="AE747" s="10"/>
      <c r="AF747" s="10"/>
      <c r="AG747" s="10"/>
      <c r="AH747" s="10"/>
      <c r="AI747" s="10"/>
    </row>
    <row r="748" spans="1:35">
      <c r="A748" s="10"/>
      <c r="B748" s="10" t="str">
        <f t="shared" si="319"/>
        <v>Below the LinePREP</v>
      </c>
      <c r="C748" t="s">
        <v>20</v>
      </c>
      <c r="D748" t="s">
        <v>19</v>
      </c>
      <c r="E748" t="s">
        <v>234</v>
      </c>
      <c r="G748" t="s">
        <v>548</v>
      </c>
      <c r="I748" s="10"/>
      <c r="J748" s="107">
        <f>SUMIF(Data!C:C,G748,Data!Q:Q)</f>
        <v>141750</v>
      </c>
      <c r="K748" s="107">
        <f>SUMIF(Comprometidos!A:A,'Cost Report'!G748,Comprometidos!E:E)</f>
        <v>0</v>
      </c>
      <c r="L748" s="107">
        <f t="shared" si="320"/>
        <v>141750</v>
      </c>
      <c r="M748" s="107">
        <f t="shared" si="321"/>
        <v>0</v>
      </c>
      <c r="N748" s="107">
        <f t="shared" si="322"/>
        <v>141750</v>
      </c>
      <c r="O748" s="107">
        <f>VLOOKUP(G748,Budget!$E$3:$G$2474,3,0)</f>
        <v>141750</v>
      </c>
      <c r="P748" s="107">
        <f t="shared" si="323"/>
        <v>0</v>
      </c>
      <c r="Q748" s="107"/>
      <c r="R748" s="10"/>
      <c r="S748" s="107">
        <v>141750</v>
      </c>
      <c r="T748" s="107">
        <f t="shared" si="302"/>
        <v>0</v>
      </c>
      <c r="U748" s="107"/>
      <c r="V748" s="175"/>
      <c r="W748" s="10"/>
      <c r="X748" s="10"/>
      <c r="Y748" t="str">
        <f t="shared" si="324"/>
        <v>2206</v>
      </c>
      <c r="AB748" s="10"/>
      <c r="AC748" s="10"/>
      <c r="AD748" s="10"/>
      <c r="AE748" s="10"/>
      <c r="AF748" s="10"/>
      <c r="AG748" s="10"/>
      <c r="AH748" s="10"/>
      <c r="AI748" s="10"/>
    </row>
    <row r="749" spans="1:35">
      <c r="A749" s="10"/>
      <c r="B749" s="10" t="str">
        <f t="shared" si="319"/>
        <v>Below the LineSHOOT</v>
      </c>
      <c r="C749" t="s">
        <v>20</v>
      </c>
      <c r="D749" t="s">
        <v>19</v>
      </c>
      <c r="E749" t="s">
        <v>236</v>
      </c>
      <c r="G749" t="s">
        <v>549</v>
      </c>
      <c r="I749" s="10"/>
      <c r="J749" s="107">
        <f>SUMIF(Data!C:C,G749,Data!Q:Q)</f>
        <v>110250</v>
      </c>
      <c r="K749" s="107">
        <f>SUMIF(Comprometidos!A:A,'Cost Report'!G749,Comprometidos!E:E)</f>
        <v>0</v>
      </c>
      <c r="L749" s="107">
        <f t="shared" si="320"/>
        <v>110250</v>
      </c>
      <c r="M749" s="107">
        <f t="shared" si="321"/>
        <v>0</v>
      </c>
      <c r="N749" s="107">
        <f t="shared" si="322"/>
        <v>110250</v>
      </c>
      <c r="O749" s="107">
        <f>VLOOKUP(G749,Budget!$E$3:$G$2474,3,0)</f>
        <v>110250</v>
      </c>
      <c r="P749" s="107">
        <f t="shared" si="323"/>
        <v>0</v>
      </c>
      <c r="Q749" s="107"/>
      <c r="R749" s="10"/>
      <c r="S749" s="107">
        <v>110250</v>
      </c>
      <c r="T749" s="107">
        <f t="shared" si="302"/>
        <v>0</v>
      </c>
      <c r="U749" s="107"/>
      <c r="V749" s="175"/>
      <c r="W749" s="10"/>
      <c r="X749" s="10"/>
      <c r="Y749" t="str">
        <f t="shared" si="324"/>
        <v>2206</v>
      </c>
      <c r="AB749" s="10"/>
      <c r="AC749" s="10"/>
      <c r="AD749" s="10"/>
      <c r="AE749" s="10"/>
      <c r="AF749" s="10"/>
      <c r="AG749" s="10"/>
      <c r="AH749" s="10"/>
      <c r="AI749" s="10"/>
    </row>
    <row r="750" spans="1:35">
      <c r="A750" s="10"/>
      <c r="B750" s="10" t="str">
        <f t="shared" si="319"/>
        <v>Below the LineWRAP</v>
      </c>
      <c r="C750" t="s">
        <v>20</v>
      </c>
      <c r="D750" t="s">
        <v>19</v>
      </c>
      <c r="E750" t="s">
        <v>238</v>
      </c>
      <c r="G750" t="s">
        <v>550</v>
      </c>
      <c r="I750" s="10"/>
      <c r="J750" s="107">
        <f>SUMIF(Data!C:C,G750,Data!Q:Q)</f>
        <v>47250</v>
      </c>
      <c r="K750" s="107">
        <f>SUMIF(Comprometidos!A:A,'Cost Report'!G750,Comprometidos!E:E)</f>
        <v>0</v>
      </c>
      <c r="L750" s="107">
        <f t="shared" si="320"/>
        <v>47250</v>
      </c>
      <c r="M750" s="107">
        <v>0</v>
      </c>
      <c r="N750" s="107">
        <f t="shared" si="322"/>
        <v>47250</v>
      </c>
      <c r="O750" s="107">
        <f>VLOOKUP(G750,Budget!$E$3:$G$2474,3,0)</f>
        <v>31500</v>
      </c>
      <c r="P750" s="107">
        <f t="shared" si="323"/>
        <v>-15750</v>
      </c>
      <c r="Q750" s="107"/>
      <c r="R750" s="10"/>
      <c r="S750" s="107">
        <v>47250</v>
      </c>
      <c r="T750" s="107">
        <f t="shared" si="302"/>
        <v>0</v>
      </c>
      <c r="U750" s="107"/>
      <c r="V750" s="175"/>
      <c r="W750" s="10"/>
      <c r="X750" s="10"/>
      <c r="Y750" t="str">
        <f t="shared" si="324"/>
        <v>2206</v>
      </c>
      <c r="AB750" s="10"/>
      <c r="AC750" s="10"/>
      <c r="AD750" s="10"/>
      <c r="AE750" s="10"/>
      <c r="AF750" s="10"/>
      <c r="AG750" s="10"/>
      <c r="AH750" s="10"/>
      <c r="AI750" s="10"/>
    </row>
    <row r="751" spans="1:35">
      <c r="A751" s="10"/>
      <c r="B751" s="10" t="str">
        <f t="shared" si="319"/>
        <v>Below the Line</v>
      </c>
      <c r="C751" t="s">
        <v>20</v>
      </c>
      <c r="D751" t="s">
        <v>19</v>
      </c>
      <c r="E751" t="s">
        <v>214</v>
      </c>
      <c r="G751" t="s">
        <v>551</v>
      </c>
      <c r="I751" s="10"/>
      <c r="J751" s="107">
        <f>SUMIF(Data!C:C,G751,Data!Q:Q)</f>
        <v>0</v>
      </c>
      <c r="K751" s="107">
        <f>SUMIF(Comprometidos!A:A,'Cost Report'!G751,Comprometidos!E:E)</f>
        <v>0</v>
      </c>
      <c r="L751" s="107">
        <f t="shared" si="320"/>
        <v>0</v>
      </c>
      <c r="M751" s="107">
        <f t="shared" si="321"/>
        <v>0</v>
      </c>
      <c r="N751" s="107">
        <f t="shared" si="322"/>
        <v>0</v>
      </c>
      <c r="O751" s="107">
        <f>VLOOKUP(G751,Budget!$E$3:$G$2474,3,0)</f>
        <v>0</v>
      </c>
      <c r="P751" s="107">
        <f t="shared" si="323"/>
        <v>0</v>
      </c>
      <c r="Q751" s="107"/>
      <c r="R751" s="10"/>
      <c r="S751" s="107">
        <v>0</v>
      </c>
      <c r="T751" s="107">
        <f t="shared" si="302"/>
        <v>0</v>
      </c>
      <c r="U751" s="107"/>
      <c r="V751" s="175"/>
      <c r="W751" s="10"/>
      <c r="X751" s="10"/>
      <c r="Y751" t="str">
        <f t="shared" si="324"/>
        <v>2206</v>
      </c>
      <c r="AB751" s="10"/>
      <c r="AC751" s="10"/>
      <c r="AD751" s="10"/>
      <c r="AE751" s="10"/>
      <c r="AF751" s="10"/>
      <c r="AG751" s="10"/>
      <c r="AH751" s="10"/>
      <c r="AI751" s="10"/>
    </row>
    <row r="752" spans="1:35">
      <c r="A752" s="10"/>
      <c r="B752" s="10" t="str">
        <f t="shared" si="319"/>
        <v>Below the LinePREP</v>
      </c>
      <c r="C752" t="s">
        <v>20</v>
      </c>
      <c r="D752" t="s">
        <v>19</v>
      </c>
      <c r="E752" t="s">
        <v>234</v>
      </c>
      <c r="G752" t="s">
        <v>552</v>
      </c>
      <c r="I752" s="10"/>
      <c r="J752" s="107">
        <f>SUMIF(Data!C:C,G752,Data!Q:Q)</f>
        <v>38500</v>
      </c>
      <c r="K752" s="107">
        <f>SUMIF(Comprometidos!A:A,'Cost Report'!G752,Comprometidos!E:E)</f>
        <v>0</v>
      </c>
      <c r="L752" s="107">
        <f t="shared" si="320"/>
        <v>38500</v>
      </c>
      <c r="M752" s="107">
        <v>0</v>
      </c>
      <c r="N752" s="107">
        <f t="shared" si="322"/>
        <v>38500</v>
      </c>
      <c r="O752" s="107">
        <f>VLOOKUP(G752,Budget!$E$3:$G$2474,3,0)</f>
        <v>28000</v>
      </c>
      <c r="P752" s="107">
        <f t="shared" si="323"/>
        <v>-10500</v>
      </c>
      <c r="Q752" s="107"/>
      <c r="R752" s="10"/>
      <c r="S752" s="107">
        <v>38500</v>
      </c>
      <c r="T752" s="107">
        <f t="shared" si="302"/>
        <v>0</v>
      </c>
      <c r="U752" s="107"/>
      <c r="V752" s="175"/>
      <c r="W752" s="10"/>
      <c r="X752" s="10"/>
      <c r="Y752" t="str">
        <f t="shared" si="324"/>
        <v>2206</v>
      </c>
      <c r="AB752" s="10"/>
      <c r="AC752" s="10"/>
      <c r="AD752" s="10"/>
      <c r="AE752" s="10"/>
      <c r="AF752" s="10"/>
      <c r="AG752" s="10"/>
      <c r="AH752" s="10"/>
      <c r="AI752" s="10"/>
    </row>
    <row r="753" spans="1:35">
      <c r="A753" s="10"/>
      <c r="B753" s="10" t="str">
        <f t="shared" si="319"/>
        <v>Below the LineSHOOT</v>
      </c>
      <c r="C753" t="s">
        <v>20</v>
      </c>
      <c r="D753" t="s">
        <v>19</v>
      </c>
      <c r="E753" t="s">
        <v>236</v>
      </c>
      <c r="G753" t="s">
        <v>553</v>
      </c>
      <c r="I753" s="10"/>
      <c r="J753" s="107">
        <f>SUMIF(Data!C:C,G753,Data!Q:Q)</f>
        <v>53900</v>
      </c>
      <c r="K753" s="107">
        <f>SUMIF(Comprometidos!A:A,'Cost Report'!G753,Comprometidos!E:E)</f>
        <v>0</v>
      </c>
      <c r="L753" s="107">
        <f t="shared" si="320"/>
        <v>53900</v>
      </c>
      <c r="M753" s="107">
        <f>+O753-L753+4900</f>
        <v>0</v>
      </c>
      <c r="N753" s="107">
        <f t="shared" si="322"/>
        <v>53900</v>
      </c>
      <c r="O753" s="107">
        <f>VLOOKUP(G753,Budget!$E$3:$G$2474,3,0)</f>
        <v>49000</v>
      </c>
      <c r="P753" s="107">
        <f t="shared" si="323"/>
        <v>-4900</v>
      </c>
      <c r="Q753" s="107"/>
      <c r="R753" s="10"/>
      <c r="S753" s="107">
        <v>53900</v>
      </c>
      <c r="T753" s="107">
        <f t="shared" si="302"/>
        <v>0</v>
      </c>
      <c r="U753" s="107"/>
      <c r="V753" s="175"/>
      <c r="W753" s="10"/>
      <c r="X753" s="10"/>
      <c r="Y753" t="str">
        <f t="shared" si="324"/>
        <v>2206</v>
      </c>
      <c r="AB753" s="10"/>
      <c r="AC753" s="10"/>
      <c r="AD753" s="10"/>
      <c r="AE753" s="10"/>
      <c r="AF753" s="10"/>
      <c r="AG753" s="10"/>
      <c r="AH753" s="10"/>
      <c r="AI753" s="10"/>
    </row>
    <row r="754" spans="1:35">
      <c r="A754" s="10"/>
      <c r="B754" s="10" t="str">
        <f t="shared" si="319"/>
        <v>Below the LineWRAP</v>
      </c>
      <c r="C754" t="s">
        <v>20</v>
      </c>
      <c r="D754" t="s">
        <v>19</v>
      </c>
      <c r="E754" t="s">
        <v>238</v>
      </c>
      <c r="G754" t="s">
        <v>554</v>
      </c>
      <c r="I754" s="10"/>
      <c r="J754" s="107">
        <f>SUMIF(Data!C:C,G754,Data!Q:Q)</f>
        <v>23100</v>
      </c>
      <c r="K754" s="107">
        <f>SUMIF(Comprometidos!A:A,'Cost Report'!G754,Comprometidos!E:E)</f>
        <v>0</v>
      </c>
      <c r="L754" s="107">
        <f t="shared" si="320"/>
        <v>23100</v>
      </c>
      <c r="M754" s="107">
        <f>+O754-L754+9100</f>
        <v>0</v>
      </c>
      <c r="N754" s="107">
        <f t="shared" si="322"/>
        <v>23100</v>
      </c>
      <c r="O754" s="107">
        <f>VLOOKUP(G754,Budget!$E$3:$G$2474,3,0)</f>
        <v>14000</v>
      </c>
      <c r="P754" s="107">
        <f t="shared" si="323"/>
        <v>-9100</v>
      </c>
      <c r="Q754" s="107"/>
      <c r="R754" s="10"/>
      <c r="S754" s="107">
        <v>23100</v>
      </c>
      <c r="T754" s="107">
        <f t="shared" si="302"/>
        <v>0</v>
      </c>
      <c r="U754" s="107"/>
      <c r="V754" s="175"/>
      <c r="W754" s="10"/>
      <c r="X754" s="10"/>
      <c r="Y754" t="str">
        <f t="shared" si="324"/>
        <v>2206</v>
      </c>
      <c r="AB754" s="10"/>
      <c r="AC754" s="10"/>
      <c r="AD754" s="10"/>
      <c r="AE754" s="10"/>
      <c r="AF754" s="10"/>
      <c r="AG754" s="10"/>
      <c r="AH754" s="10"/>
      <c r="AI754" s="10"/>
    </row>
    <row r="755" spans="1:35">
      <c r="A755" s="10"/>
      <c r="B755" s="10" t="str">
        <f t="shared" si="319"/>
        <v>Below the Line</v>
      </c>
      <c r="C755" t="s">
        <v>20</v>
      </c>
      <c r="D755" t="s">
        <v>19</v>
      </c>
      <c r="E755" t="s">
        <v>214</v>
      </c>
      <c r="G755" t="s">
        <v>2450</v>
      </c>
      <c r="I755" s="10"/>
      <c r="J755" s="107">
        <f>SUMIF(Data!C:C,G755,Data!Q:Q)</f>
        <v>0</v>
      </c>
      <c r="K755" s="107">
        <f>SUMIF(Comprometidos!A:A,'Cost Report'!G755,Comprometidos!E:E)</f>
        <v>0</v>
      </c>
      <c r="L755" s="107">
        <f t="shared" si="320"/>
        <v>0</v>
      </c>
      <c r="M755" s="107">
        <f t="shared" si="321"/>
        <v>0</v>
      </c>
      <c r="N755" s="107">
        <f t="shared" si="322"/>
        <v>0</v>
      </c>
      <c r="O755" s="107">
        <f>VLOOKUP(G755,Budget!$E$3:$G$2474,3,0)</f>
        <v>0</v>
      </c>
      <c r="P755" s="107">
        <f t="shared" si="323"/>
        <v>0</v>
      </c>
      <c r="Q755" s="107"/>
      <c r="R755" s="10"/>
      <c r="S755" s="107">
        <v>0</v>
      </c>
      <c r="T755" s="107">
        <f t="shared" si="302"/>
        <v>0</v>
      </c>
      <c r="U755" s="107"/>
      <c r="V755" s="175"/>
      <c r="W755" s="10"/>
      <c r="X755" s="10"/>
      <c r="Y755" t="str">
        <f t="shared" si="324"/>
        <v>2206</v>
      </c>
      <c r="AB755" s="10"/>
      <c r="AC755" s="10"/>
      <c r="AD755" s="10"/>
      <c r="AE755" s="10"/>
      <c r="AF755" s="10"/>
      <c r="AG755" s="10"/>
      <c r="AH755" s="10"/>
      <c r="AI755" s="10"/>
    </row>
    <row r="756" spans="1:35">
      <c r="A756" s="10"/>
      <c r="B756" s="10" t="str">
        <f t="shared" si="319"/>
        <v>Below the LinePREP</v>
      </c>
      <c r="C756" t="s">
        <v>20</v>
      </c>
      <c r="D756" t="s">
        <v>19</v>
      </c>
      <c r="E756" t="s">
        <v>234</v>
      </c>
      <c r="G756" t="s">
        <v>2451</v>
      </c>
      <c r="I756" s="10"/>
      <c r="J756" s="107">
        <f>SUMIF(Data!C:C,G756,Data!Q:Q)</f>
        <v>28000</v>
      </c>
      <c r="K756" s="107">
        <f>SUMIF(Comprometidos!A:A,'Cost Report'!G756,Comprometidos!E:E)</f>
        <v>0</v>
      </c>
      <c r="L756" s="107">
        <f t="shared" si="320"/>
        <v>28000</v>
      </c>
      <c r="M756" s="107">
        <f>+O756-L756-10500</f>
        <v>0</v>
      </c>
      <c r="N756" s="107">
        <f t="shared" si="322"/>
        <v>28000</v>
      </c>
      <c r="O756" s="107">
        <f>VLOOKUP(G756,Budget!$E$3:$G$2474,3,0)</f>
        <v>38500</v>
      </c>
      <c r="P756" s="107">
        <f t="shared" si="323"/>
        <v>10500</v>
      </c>
      <c r="Q756" s="107"/>
      <c r="R756" s="10"/>
      <c r="S756" s="107">
        <v>28000</v>
      </c>
      <c r="T756" s="107">
        <f t="shared" si="302"/>
        <v>0</v>
      </c>
      <c r="U756" s="107"/>
      <c r="V756" s="175"/>
      <c r="W756" s="10"/>
      <c r="X756" s="10"/>
      <c r="Y756" t="str">
        <f t="shared" si="324"/>
        <v>2206</v>
      </c>
      <c r="AB756" s="10"/>
      <c r="AC756" s="10"/>
      <c r="AD756" s="10"/>
      <c r="AE756" s="10"/>
      <c r="AF756" s="10"/>
      <c r="AG756" s="10"/>
      <c r="AH756" s="10"/>
      <c r="AI756" s="10"/>
    </row>
    <row r="757" spans="1:35">
      <c r="A757" s="10"/>
      <c r="B757" s="10" t="str">
        <f t="shared" si="319"/>
        <v>Below the LineSHOOT</v>
      </c>
      <c r="C757" t="s">
        <v>20</v>
      </c>
      <c r="D757" t="s">
        <v>19</v>
      </c>
      <c r="E757" t="s">
        <v>236</v>
      </c>
      <c r="G757" t="s">
        <v>2452</v>
      </c>
      <c r="I757" s="10"/>
      <c r="J757" s="107">
        <f>SUMIF(Data!C:C,G757,Data!Q:Q)</f>
        <v>49000</v>
      </c>
      <c r="K757" s="107">
        <f>SUMIF(Comprometidos!A:A,'Cost Report'!G757,Comprometidos!E:E)</f>
        <v>0</v>
      </c>
      <c r="L757" s="107">
        <f t="shared" si="320"/>
        <v>49000</v>
      </c>
      <c r="M757" s="107">
        <f>+O757-L757-4900</f>
        <v>0</v>
      </c>
      <c r="N757" s="107">
        <f t="shared" si="322"/>
        <v>49000</v>
      </c>
      <c r="O757" s="107">
        <f>VLOOKUP(G757,Budget!$E$3:$G$2474,3,0)</f>
        <v>53900</v>
      </c>
      <c r="P757" s="107">
        <f t="shared" si="323"/>
        <v>4900</v>
      </c>
      <c r="Q757" s="107"/>
      <c r="R757" s="10"/>
      <c r="S757" s="107">
        <v>49000</v>
      </c>
      <c r="T757" s="107">
        <f t="shared" si="302"/>
        <v>0</v>
      </c>
      <c r="U757" s="107"/>
      <c r="V757" s="175"/>
      <c r="W757" s="10"/>
      <c r="X757" s="10"/>
      <c r="Y757" t="str">
        <f t="shared" si="324"/>
        <v>2206</v>
      </c>
      <c r="AB757" s="10"/>
      <c r="AC757" s="10"/>
      <c r="AD757" s="10"/>
      <c r="AE757" s="10"/>
      <c r="AF757" s="10"/>
      <c r="AG757" s="10"/>
      <c r="AH757" s="10"/>
      <c r="AI757" s="10"/>
    </row>
    <row r="758" spans="1:35">
      <c r="A758" s="10"/>
      <c r="B758" s="10" t="str">
        <f t="shared" si="319"/>
        <v>Below the LineWRAP</v>
      </c>
      <c r="C758" t="s">
        <v>20</v>
      </c>
      <c r="D758" t="s">
        <v>19</v>
      </c>
      <c r="E758" t="s">
        <v>238</v>
      </c>
      <c r="F758" t="s">
        <v>5396</v>
      </c>
      <c r="G758" t="s">
        <v>2453</v>
      </c>
      <c r="I758" s="10"/>
      <c r="J758" s="107">
        <f>SUMIF(Data!C:C,G758,Data!Q:Q)</f>
        <v>19880</v>
      </c>
      <c r="K758" s="107">
        <f>SUMIF(Comprometidos!A:A,'Cost Report'!G758,Comprometidos!E:E)</f>
        <v>0</v>
      </c>
      <c r="L758" s="107">
        <f t="shared" si="320"/>
        <v>19880</v>
      </c>
      <c r="M758" s="107">
        <v>0</v>
      </c>
      <c r="N758" s="107">
        <f t="shared" si="322"/>
        <v>19880</v>
      </c>
      <c r="O758" s="107">
        <f>VLOOKUP(G758,Budget!$E$3:$G$2474,3,0)</f>
        <v>23100</v>
      </c>
      <c r="P758" s="107">
        <f t="shared" si="323"/>
        <v>3220</v>
      </c>
      <c r="Q758" s="107"/>
      <c r="R758" s="10"/>
      <c r="S758" s="107">
        <v>19880</v>
      </c>
      <c r="T758" s="107">
        <f t="shared" si="302"/>
        <v>0</v>
      </c>
      <c r="U758" s="107"/>
      <c r="V758" s="175"/>
      <c r="W758" s="10"/>
      <c r="X758" s="10"/>
      <c r="Y758" t="str">
        <f t="shared" si="324"/>
        <v>2206</v>
      </c>
      <c r="AB758" s="10"/>
      <c r="AC758" s="10"/>
      <c r="AD758" s="10"/>
      <c r="AE758" s="10"/>
      <c r="AF758" s="10"/>
      <c r="AG758" s="10"/>
      <c r="AH758" s="10"/>
      <c r="AI758" s="10"/>
    </row>
    <row r="759" spans="1:35">
      <c r="A759" s="10"/>
      <c r="B759" s="10" t="str">
        <f>+C759</f>
        <v>Below the Line</v>
      </c>
      <c r="C759" s="128" t="s">
        <v>20</v>
      </c>
      <c r="D759" s="128" t="s">
        <v>2117</v>
      </c>
      <c r="E759" s="128"/>
      <c r="F759" s="128"/>
      <c r="G759" s="128" t="s">
        <v>555</v>
      </c>
      <c r="H759" s="128"/>
      <c r="I759" s="10"/>
      <c r="J759" s="129">
        <f>SUMIF($Y$11:$Y$2484,G759,J$11:J$2484)</f>
        <v>180400</v>
      </c>
      <c r="K759" s="129">
        <f>SUMIF($Y$11:$Y$2484,G759,K$11:K$2484)</f>
        <v>0</v>
      </c>
      <c r="L759" s="129">
        <f>SUMIF($Y$11:$Y$2484,G759,L$11:L$2484)</f>
        <v>180400</v>
      </c>
      <c r="M759" s="129">
        <f>SUMIF($Y$11:$Y$2484,G759,M$11:M$2484)</f>
        <v>0</v>
      </c>
      <c r="N759" s="129">
        <f>SUMIF($Y$11:$Y$2484,G759,N$11:N$2484)</f>
        <v>180400</v>
      </c>
      <c r="O759" s="129">
        <f>SUMIF($Y$11:$Y$2484,G759,O$11:O$2484)</f>
        <v>163800</v>
      </c>
      <c r="P759" s="129">
        <f>SUMIF($Y$11:$Y$2484,G759,P$11:P$2484)</f>
        <v>-16600</v>
      </c>
      <c r="Q759" s="129"/>
      <c r="R759" s="10"/>
      <c r="S759" s="129">
        <v>180400</v>
      </c>
      <c r="T759" s="129">
        <f t="shared" si="302"/>
        <v>0</v>
      </c>
      <c r="U759" s="128"/>
      <c r="V759" s="175"/>
      <c r="W759" s="10"/>
      <c r="X759" s="10"/>
      <c r="Z759" t="str">
        <f>LEFT(G759,2)</f>
        <v>22</v>
      </c>
      <c r="AA759" t="str">
        <f>+Z759&amp;"00"</f>
        <v>2200</v>
      </c>
      <c r="AB759" s="10"/>
      <c r="AC759" s="10"/>
      <c r="AD759" s="10"/>
      <c r="AE759" s="10"/>
      <c r="AF759" s="10"/>
      <c r="AG759" s="10"/>
      <c r="AH759" s="10"/>
      <c r="AI759" s="10"/>
    </row>
    <row r="760" spans="1:35">
      <c r="A760" s="10"/>
      <c r="B760" s="10" t="str">
        <f t="shared" ref="B760:B762" si="325">+C760&amp;E760</f>
        <v>Below the Line</v>
      </c>
      <c r="C760" t="s">
        <v>20</v>
      </c>
      <c r="D760" t="s">
        <v>19</v>
      </c>
      <c r="E760" t="s">
        <v>214</v>
      </c>
      <c r="G760" t="s">
        <v>556</v>
      </c>
      <c r="I760" s="10"/>
      <c r="J760" s="107">
        <f>SUMIF(Data!C:C,G760,Data!Q:Q)</f>
        <v>0</v>
      </c>
      <c r="K760" s="107">
        <f>SUMIF(Comprometidos!A:A,'Cost Report'!G760,Comprometidos!E:E)</f>
        <v>0</v>
      </c>
      <c r="L760" s="107">
        <f t="shared" si="320"/>
        <v>0</v>
      </c>
      <c r="M760" s="107">
        <f t="shared" si="321"/>
        <v>0</v>
      </c>
      <c r="N760" s="107">
        <f t="shared" si="322"/>
        <v>0</v>
      </c>
      <c r="O760" s="107">
        <f>VLOOKUP(G760,Budget!$E$3:$G$2474,3,0)</f>
        <v>0</v>
      </c>
      <c r="P760" s="107">
        <f t="shared" si="323"/>
        <v>0</v>
      </c>
      <c r="Q760" s="107"/>
      <c r="R760" s="10"/>
      <c r="S760" s="107">
        <v>0</v>
      </c>
      <c r="T760" s="107">
        <f t="shared" si="302"/>
        <v>0</v>
      </c>
      <c r="U760" s="107"/>
      <c r="V760" s="175"/>
      <c r="W760" s="10"/>
      <c r="X760" s="10"/>
      <c r="Y760" t="str">
        <f t="shared" ref="Y760:Y762" si="326">LEFT(G760,4)</f>
        <v>2213</v>
      </c>
      <c r="AB760" s="10"/>
      <c r="AC760" s="10"/>
      <c r="AD760" s="10"/>
      <c r="AE760" s="10"/>
      <c r="AF760" s="10"/>
      <c r="AG760" s="10"/>
      <c r="AH760" s="10"/>
      <c r="AI760" s="10"/>
    </row>
    <row r="761" spans="1:35">
      <c r="A761" s="10"/>
      <c r="B761" s="10" t="str">
        <f t="shared" si="325"/>
        <v>Below the LinePREP</v>
      </c>
      <c r="C761" t="s">
        <v>20</v>
      </c>
      <c r="D761" t="s">
        <v>19</v>
      </c>
      <c r="E761" t="s">
        <v>234</v>
      </c>
      <c r="G761" t="s">
        <v>557</v>
      </c>
      <c r="I761" s="10"/>
      <c r="J761" s="107">
        <f>SUMIF(Data!C:C,G761,Data!Q:Q)</f>
        <v>75600</v>
      </c>
      <c r="K761" s="107">
        <f>SUMIF(Comprometidos!A:A,'Cost Report'!G761,Comprometidos!E:E)</f>
        <v>0</v>
      </c>
      <c r="L761" s="107">
        <f t="shared" si="320"/>
        <v>75600</v>
      </c>
      <c r="M761" s="107">
        <f t="shared" si="321"/>
        <v>0</v>
      </c>
      <c r="N761" s="107">
        <f t="shared" si="322"/>
        <v>75600</v>
      </c>
      <c r="O761" s="107">
        <f>VLOOKUP(G761,Budget!$E$3:$G$2474,3,0)</f>
        <v>75600</v>
      </c>
      <c r="P761" s="107">
        <f t="shared" si="323"/>
        <v>0</v>
      </c>
      <c r="Q761" s="107"/>
      <c r="R761" s="10"/>
      <c r="S761" s="107">
        <v>75600</v>
      </c>
      <c r="T761" s="107">
        <f t="shared" si="302"/>
        <v>0</v>
      </c>
      <c r="U761" s="107"/>
      <c r="V761" s="175"/>
      <c r="W761" s="10"/>
      <c r="X761" s="10"/>
      <c r="Y761" t="str">
        <f t="shared" si="326"/>
        <v>2213</v>
      </c>
      <c r="AB761" s="10"/>
      <c r="AC761" s="10"/>
      <c r="AD761" s="10"/>
      <c r="AE761" s="10"/>
      <c r="AF761" s="10"/>
      <c r="AG761" s="10"/>
      <c r="AH761" s="10"/>
      <c r="AI761" s="10"/>
    </row>
    <row r="762" spans="1:35">
      <c r="A762" s="10"/>
      <c r="B762" s="10" t="str">
        <f t="shared" si="325"/>
        <v>Below the LineSHOOT</v>
      </c>
      <c r="C762" t="s">
        <v>20</v>
      </c>
      <c r="D762" t="s">
        <v>19</v>
      </c>
      <c r="E762" t="s">
        <v>236</v>
      </c>
      <c r="G762" t="s">
        <v>2454</v>
      </c>
      <c r="I762" s="10"/>
      <c r="J762" s="107">
        <f>SUMIF(Data!C:C,G762,Data!Q:Q)</f>
        <v>104800</v>
      </c>
      <c r="K762" s="107">
        <f>SUMIF(Comprometidos!A:A,'Cost Report'!G762,Comprometidos!E:E)</f>
        <v>0</v>
      </c>
      <c r="L762" s="107">
        <f t="shared" si="320"/>
        <v>104800</v>
      </c>
      <c r="M762" s="107">
        <v>0</v>
      </c>
      <c r="N762" s="107">
        <f t="shared" si="322"/>
        <v>104800</v>
      </c>
      <c r="O762" s="107">
        <f>VLOOKUP(G762,Budget!$E$3:$G$2474,3,0)</f>
        <v>88200</v>
      </c>
      <c r="P762" s="107">
        <f t="shared" si="323"/>
        <v>-16600</v>
      </c>
      <c r="Q762" s="107"/>
      <c r="R762" s="10"/>
      <c r="S762" s="107">
        <v>104800</v>
      </c>
      <c r="T762" s="107">
        <f t="shared" si="302"/>
        <v>0</v>
      </c>
      <c r="U762" s="107"/>
      <c r="V762" s="175"/>
      <c r="W762" s="10"/>
      <c r="X762" s="10"/>
      <c r="Y762" t="str">
        <f t="shared" si="326"/>
        <v>2213</v>
      </c>
      <c r="AB762" s="10"/>
      <c r="AC762" s="10"/>
      <c r="AD762" s="10"/>
      <c r="AE762" s="10"/>
      <c r="AF762" s="10"/>
      <c r="AG762" s="10"/>
      <c r="AH762" s="10"/>
      <c r="AI762" s="10"/>
    </row>
    <row r="763" spans="1:35">
      <c r="A763" s="10"/>
      <c r="B763" s="10" t="str">
        <f>+C763</f>
        <v>Below the Line</v>
      </c>
      <c r="C763" s="128" t="s">
        <v>20</v>
      </c>
      <c r="D763" s="128" t="s">
        <v>2117</v>
      </c>
      <c r="E763" s="128"/>
      <c r="F763" s="128"/>
      <c r="G763" s="128" t="s">
        <v>1801</v>
      </c>
      <c r="H763" s="128"/>
      <c r="I763" s="10"/>
      <c r="J763" s="129">
        <f>SUMIF($Y$11:$Y$2484,G763,J$11:J$2484)</f>
        <v>28823.178999999993</v>
      </c>
      <c r="K763" s="129">
        <f>SUMIF($Y$11:$Y$2484,G763,K$11:K$2484)</f>
        <v>0</v>
      </c>
      <c r="L763" s="129">
        <f>SUMIF($Y$11:$Y$2484,G763,L$11:L$2484)</f>
        <v>28823.178999999993</v>
      </c>
      <c r="M763" s="129">
        <f>SUMIF($Y$11:$Y$2484,G763,M$11:M$2484)</f>
        <v>0</v>
      </c>
      <c r="N763" s="129">
        <f>SUMIF($Y$11:$Y$2484,G763,N$11:N$2484)</f>
        <v>28823.178999999993</v>
      </c>
      <c r="O763" s="129">
        <f>SUMIF($Y$11:$Y$2484,G763,O$11:O$2484)</f>
        <v>35000</v>
      </c>
      <c r="P763" s="129">
        <f>SUMIF($Y$11:$Y$2484,G763,P$11:P$2484)</f>
        <v>6176.8210000000072</v>
      </c>
      <c r="Q763" s="129"/>
      <c r="R763" s="10"/>
      <c r="S763" s="129">
        <v>26124.880000000008</v>
      </c>
      <c r="T763" s="129">
        <f t="shared" si="302"/>
        <v>-2698.2989999999845</v>
      </c>
      <c r="U763" s="128"/>
      <c r="V763" s="175"/>
      <c r="W763" s="10"/>
      <c r="X763" s="10"/>
      <c r="Z763" t="str">
        <f>LEFT(G763,2)</f>
        <v>22</v>
      </c>
      <c r="AA763" t="str">
        <f>+Z763&amp;"00"</f>
        <v>2200</v>
      </c>
      <c r="AB763" s="10"/>
      <c r="AC763" s="10"/>
      <c r="AD763" s="10"/>
      <c r="AE763" s="10"/>
      <c r="AF763" s="10"/>
      <c r="AG763" s="10"/>
      <c r="AH763" s="10"/>
      <c r="AI763" s="10"/>
    </row>
    <row r="764" spans="1:35">
      <c r="A764" s="10"/>
      <c r="B764" s="10" t="str">
        <f t="shared" ref="B764:B765" si="327">+C764&amp;E764</f>
        <v>Below the Line</v>
      </c>
      <c r="C764" t="s">
        <v>20</v>
      </c>
      <c r="D764" t="s">
        <v>19</v>
      </c>
      <c r="E764" t="s">
        <v>214</v>
      </c>
      <c r="G764" t="s">
        <v>1802</v>
      </c>
      <c r="I764" s="10"/>
      <c r="J764" s="107">
        <f>SUMIF(Data!C:C,G764,Data!Q:Q)</f>
        <v>0</v>
      </c>
      <c r="K764" s="107">
        <f>SUMIF(Comprometidos!A:A,'Cost Report'!G764,Comprometidos!E:E)</f>
        <v>0</v>
      </c>
      <c r="L764" s="107">
        <f t="shared" si="320"/>
        <v>0</v>
      </c>
      <c r="M764" s="107">
        <f t="shared" si="321"/>
        <v>0</v>
      </c>
      <c r="N764" s="107">
        <f t="shared" si="322"/>
        <v>0</v>
      </c>
      <c r="O764" s="107">
        <f>VLOOKUP(G764,Budget!$E$3:$G$2474,3,0)</f>
        <v>0</v>
      </c>
      <c r="P764" s="107">
        <f t="shared" si="323"/>
        <v>0</v>
      </c>
      <c r="Q764" s="107"/>
      <c r="R764" s="10"/>
      <c r="S764" s="107">
        <v>0</v>
      </c>
      <c r="T764" s="107">
        <f t="shared" si="302"/>
        <v>0</v>
      </c>
      <c r="U764" s="107"/>
      <c r="V764" s="175"/>
      <c r="W764" s="10"/>
      <c r="X764" s="10"/>
      <c r="Y764" t="str">
        <f t="shared" ref="Y764:Y765" si="328">LEFT(G764,4)</f>
        <v>2285</v>
      </c>
      <c r="AB764" s="10"/>
      <c r="AC764" s="10"/>
      <c r="AD764" s="10"/>
      <c r="AE764" s="10"/>
      <c r="AF764" s="10"/>
      <c r="AG764" s="10"/>
      <c r="AH764" s="10"/>
      <c r="AI764" s="10"/>
    </row>
    <row r="765" spans="1:35">
      <c r="A765" s="10"/>
      <c r="B765" s="10" t="str">
        <f t="shared" si="327"/>
        <v>Below the LineALL SHOW</v>
      </c>
      <c r="C765" t="s">
        <v>20</v>
      </c>
      <c r="D765" t="s">
        <v>19</v>
      </c>
      <c r="E765" t="s">
        <v>227</v>
      </c>
      <c r="F765" t="s">
        <v>4318</v>
      </c>
      <c r="G765" t="s">
        <v>2455</v>
      </c>
      <c r="I765" s="10"/>
      <c r="J765" s="107">
        <f>SUMIF(Data!C:C,G765,Data!Q:Q)</f>
        <v>28823.178999999993</v>
      </c>
      <c r="K765" s="107">
        <f>SUMIF(Comprometidos!A:A,'Cost Report'!G765,Comprometidos!E:E)</f>
        <v>0</v>
      </c>
      <c r="L765" s="107">
        <f t="shared" si="320"/>
        <v>28823.178999999993</v>
      </c>
      <c r="M765" s="107">
        <v>0</v>
      </c>
      <c r="N765" s="107">
        <f t="shared" si="322"/>
        <v>28823.178999999993</v>
      </c>
      <c r="O765" s="107">
        <f>VLOOKUP(G765,Budget!$E$3:$G$2474,3,0)</f>
        <v>35000</v>
      </c>
      <c r="P765" s="107">
        <f t="shared" si="323"/>
        <v>6176.8210000000072</v>
      </c>
      <c r="Q765" s="107"/>
      <c r="R765" s="10"/>
      <c r="S765" s="107">
        <v>26124.880000000008</v>
      </c>
      <c r="T765" s="107">
        <f t="shared" si="302"/>
        <v>-2698.2989999999845</v>
      </c>
      <c r="U765" s="107"/>
      <c r="V765" s="175"/>
      <c r="W765" s="10"/>
      <c r="X765" s="10"/>
      <c r="Y765" t="str">
        <f t="shared" si="328"/>
        <v>2285</v>
      </c>
      <c r="AB765" s="10"/>
      <c r="AC765" s="10"/>
      <c r="AD765" s="10"/>
      <c r="AE765" s="10"/>
      <c r="AF765" s="10"/>
      <c r="AG765" s="10"/>
      <c r="AH765" s="10"/>
      <c r="AI765" s="10"/>
    </row>
    <row r="766" spans="1:35">
      <c r="A766" s="10"/>
      <c r="B766" s="10"/>
      <c r="C766" s="170" t="s">
        <v>20</v>
      </c>
      <c r="D766" s="170" t="s">
        <v>8</v>
      </c>
      <c r="E766" s="170"/>
      <c r="F766" s="170"/>
      <c r="G766" s="170" t="s">
        <v>558</v>
      </c>
      <c r="H766" s="170"/>
      <c r="I766" s="10"/>
      <c r="J766" s="169">
        <f>SUMIF($AA$10:$AA$2484,G766,J$10:J$2484)</f>
        <v>951190.56599999999</v>
      </c>
      <c r="K766" s="169">
        <f>SUMIF($AA$10:$AA$2484,G766,K$10:K$2484)</f>
        <v>0</v>
      </c>
      <c r="L766" s="169">
        <f>SUMIF($AA$10:$AA$2484,G766,L$10:L$2484)</f>
        <v>951190.56599999999</v>
      </c>
      <c r="M766" s="169">
        <f>SUMIF($AA$10:$AA$2484,G766,M$10:M$2484)</f>
        <v>0</v>
      </c>
      <c r="N766" s="169">
        <f>SUMIF($AA$10:$AA$2484,G766,N$10:N$2484)</f>
        <v>951190.56599999999</v>
      </c>
      <c r="O766" s="169">
        <f>SUMIF($AA$10:$AA$2484,G766,O$10:O$2484)</f>
        <v>1427550</v>
      </c>
      <c r="P766" s="168">
        <f>SUMIF($AA$10:$AA$2484,G766,P$10:P$2484)</f>
        <v>476359.43400000001</v>
      </c>
      <c r="Q766" s="169"/>
      <c r="R766" s="10"/>
      <c r="S766" s="164">
        <v>951085.38</v>
      </c>
      <c r="T766" s="164">
        <f t="shared" si="302"/>
        <v>-105.18599999998696</v>
      </c>
      <c r="U766" s="163"/>
      <c r="V766" s="175"/>
      <c r="W766" s="10"/>
      <c r="X766" s="10"/>
      <c r="AB766" s="10"/>
      <c r="AC766" s="10"/>
      <c r="AD766" s="10"/>
      <c r="AE766" s="10"/>
      <c r="AF766" s="10"/>
      <c r="AG766" s="10"/>
      <c r="AH766" s="10"/>
      <c r="AI766" s="10"/>
    </row>
    <row r="767" spans="1:35">
      <c r="A767" s="10"/>
      <c r="B767" s="10" t="str">
        <f>+C767</f>
        <v>Below the Line</v>
      </c>
      <c r="C767" s="128" t="s">
        <v>20</v>
      </c>
      <c r="D767" s="128" t="s">
        <v>2117</v>
      </c>
      <c r="E767" s="128"/>
      <c r="F767" s="128"/>
      <c r="G767" s="128" t="s">
        <v>559</v>
      </c>
      <c r="H767" s="128"/>
      <c r="I767" s="10"/>
      <c r="J767" s="129">
        <f>SUMIF($Y$11:$Y$2484,G767,J$11:J$2484)</f>
        <v>129150</v>
      </c>
      <c r="K767" s="129">
        <f>SUMIF($Y$11:$Y$2484,G767,K$11:K$2484)</f>
        <v>0</v>
      </c>
      <c r="L767" s="129">
        <f>SUMIF($Y$11:$Y$2484,G767,L$11:L$2484)</f>
        <v>129150</v>
      </c>
      <c r="M767" s="129">
        <f>SUMIF($Y$11:$Y$2484,G767,M$11:M$2484)</f>
        <v>0</v>
      </c>
      <c r="N767" s="129">
        <f>SUMIF($Y$11:$Y$2484,G767,N$11:N$2484)</f>
        <v>129150</v>
      </c>
      <c r="O767" s="129">
        <f>SUMIF($Y$11:$Y$2484,G767,O$11:O$2484)</f>
        <v>116550</v>
      </c>
      <c r="P767" s="129">
        <f>SUMIF($Y$11:$Y$2484,G767,P$11:P$2484)</f>
        <v>-12600</v>
      </c>
      <c r="Q767" s="129"/>
      <c r="R767" s="10"/>
      <c r="S767" s="129">
        <v>129150</v>
      </c>
      <c r="T767" s="129">
        <f t="shared" si="302"/>
        <v>0</v>
      </c>
      <c r="U767" s="128"/>
      <c r="V767" s="175"/>
      <c r="W767" s="10"/>
      <c r="X767" s="10"/>
      <c r="Z767" t="str">
        <f>LEFT(G767,2)</f>
        <v>23</v>
      </c>
      <c r="AA767" t="str">
        <f>+Z767&amp;"00"</f>
        <v>2300</v>
      </c>
      <c r="AB767" s="10"/>
      <c r="AC767" s="10"/>
      <c r="AD767" s="10"/>
      <c r="AE767" s="10"/>
      <c r="AF767" s="10"/>
      <c r="AG767" s="10"/>
      <c r="AH767" s="10"/>
      <c r="AI767" s="10"/>
    </row>
    <row r="768" spans="1:35">
      <c r="A768" s="10"/>
      <c r="B768" s="10" t="str">
        <f t="shared" ref="B768:B775" si="329">+C768&amp;E768</f>
        <v>Below the Line</v>
      </c>
      <c r="C768" t="s">
        <v>20</v>
      </c>
      <c r="D768" t="s">
        <v>19</v>
      </c>
      <c r="E768" t="s">
        <v>214</v>
      </c>
      <c r="G768" t="s">
        <v>560</v>
      </c>
      <c r="I768" s="10"/>
      <c r="J768" s="107">
        <f>SUMIF(Data!C:C,G768,Data!Q:Q)</f>
        <v>0</v>
      </c>
      <c r="K768" s="107">
        <f>SUMIF(Comprometidos!A:A,'Cost Report'!G768,Comprometidos!E:E)</f>
        <v>0</v>
      </c>
      <c r="L768" s="107">
        <f t="shared" ref="L768:L783" si="330">+J768+K768</f>
        <v>0</v>
      </c>
      <c r="M768" s="107">
        <f t="shared" ref="M768:M782" si="331">+O768-L768</f>
        <v>0</v>
      </c>
      <c r="N768" s="107">
        <f t="shared" ref="N768:N783" si="332">+L768+M768</f>
        <v>0</v>
      </c>
      <c r="O768" s="107">
        <f>VLOOKUP(G768,Budget!$E$3:$G$2474,3,0)</f>
        <v>0</v>
      </c>
      <c r="P768" s="107">
        <f t="shared" ref="P768:P783" si="333">+O768-N768</f>
        <v>0</v>
      </c>
      <c r="Q768" s="107"/>
      <c r="R768" s="10"/>
      <c r="S768" s="107">
        <v>0</v>
      </c>
      <c r="T768" s="107">
        <f t="shared" si="302"/>
        <v>0</v>
      </c>
      <c r="U768" s="107"/>
      <c r="V768" s="175"/>
      <c r="W768" s="10"/>
      <c r="X768" s="10"/>
      <c r="Y768" t="str">
        <f t="shared" ref="Y768:Y775" si="334">LEFT(G768,4)</f>
        <v>2310</v>
      </c>
      <c r="AB768" s="10"/>
      <c r="AC768" s="10"/>
      <c r="AD768" s="10"/>
      <c r="AE768" s="10"/>
      <c r="AF768" s="10"/>
      <c r="AG768" s="10"/>
      <c r="AH768" s="10"/>
      <c r="AI768" s="10"/>
    </row>
    <row r="769" spans="1:35">
      <c r="A769" s="10"/>
      <c r="B769" s="10" t="str">
        <f t="shared" si="329"/>
        <v>Below the LinePREP</v>
      </c>
      <c r="C769" t="s">
        <v>20</v>
      </c>
      <c r="D769" t="s">
        <v>19</v>
      </c>
      <c r="E769" t="s">
        <v>234</v>
      </c>
      <c r="G769" t="s">
        <v>561</v>
      </c>
      <c r="I769" s="10"/>
      <c r="J769" s="107">
        <f>SUMIF(Data!C:C,G769,Data!Q:Q)</f>
        <v>14700</v>
      </c>
      <c r="K769" s="107">
        <f>SUMIF(Comprometidos!A:A,'Cost Report'!G769,Comprometidos!E:E)</f>
        <v>0</v>
      </c>
      <c r="L769" s="107">
        <f t="shared" si="330"/>
        <v>14700</v>
      </c>
      <c r="M769" s="107">
        <f t="shared" si="331"/>
        <v>0</v>
      </c>
      <c r="N769" s="107">
        <f t="shared" si="332"/>
        <v>14700</v>
      </c>
      <c r="O769" s="107">
        <f>VLOOKUP(G769,Budget!$E$3:$G$2474,3,0)</f>
        <v>14700</v>
      </c>
      <c r="P769" s="107">
        <f t="shared" si="333"/>
        <v>0</v>
      </c>
      <c r="Q769" s="107"/>
      <c r="R769" s="10"/>
      <c r="S769" s="107">
        <v>14700</v>
      </c>
      <c r="T769" s="107">
        <f t="shared" si="302"/>
        <v>0</v>
      </c>
      <c r="U769" s="107"/>
      <c r="V769" s="175"/>
      <c r="W769" s="10"/>
      <c r="X769" s="10"/>
      <c r="Y769" t="str">
        <f t="shared" si="334"/>
        <v>2310</v>
      </c>
      <c r="AB769" s="10"/>
      <c r="AC769" s="10"/>
      <c r="AD769" s="10"/>
      <c r="AE769" s="10"/>
      <c r="AF769" s="10"/>
      <c r="AG769" s="10"/>
      <c r="AH769" s="10"/>
      <c r="AI769" s="10"/>
    </row>
    <row r="770" spans="1:35">
      <c r="A770" s="10"/>
      <c r="B770" s="10" t="str">
        <f t="shared" si="329"/>
        <v>Below the LineSHOOT</v>
      </c>
      <c r="C770" t="s">
        <v>20</v>
      </c>
      <c r="D770" t="s">
        <v>19</v>
      </c>
      <c r="E770" t="s">
        <v>236</v>
      </c>
      <c r="G770" t="s">
        <v>562</v>
      </c>
      <c r="I770" s="10"/>
      <c r="J770" s="107">
        <f>SUMIF(Data!C:C,G770,Data!Q:Q)</f>
        <v>50400</v>
      </c>
      <c r="K770" s="107">
        <f>SUMIF(Comprometidos!A:A,'Cost Report'!G770,Comprometidos!E:E)</f>
        <v>0</v>
      </c>
      <c r="L770" s="107">
        <f t="shared" si="330"/>
        <v>50400</v>
      </c>
      <c r="M770" s="107">
        <v>0</v>
      </c>
      <c r="N770" s="107">
        <f t="shared" si="332"/>
        <v>50400</v>
      </c>
      <c r="O770" s="107">
        <f>VLOOKUP(G770,Budget!$E$3:$G$2474,3,0)</f>
        <v>51450</v>
      </c>
      <c r="P770" s="107">
        <f t="shared" si="333"/>
        <v>1050</v>
      </c>
      <c r="Q770" s="107"/>
      <c r="R770" s="10"/>
      <c r="S770" s="107">
        <v>50400</v>
      </c>
      <c r="T770" s="107">
        <f t="shared" si="302"/>
        <v>0</v>
      </c>
      <c r="U770" s="107"/>
      <c r="V770" s="175"/>
      <c r="W770" s="10"/>
      <c r="X770" s="10"/>
      <c r="Y770" t="str">
        <f t="shared" si="334"/>
        <v>2310</v>
      </c>
      <c r="AB770" s="10"/>
      <c r="AC770" s="10"/>
      <c r="AD770" s="10"/>
      <c r="AE770" s="10"/>
      <c r="AF770" s="10"/>
      <c r="AG770" s="10"/>
      <c r="AH770" s="10"/>
      <c r="AI770" s="10"/>
    </row>
    <row r="771" spans="1:35">
      <c r="A771" s="10"/>
      <c r="B771" s="10" t="str">
        <f t="shared" si="329"/>
        <v>Below the LineWRAP</v>
      </c>
      <c r="C771" t="s">
        <v>20</v>
      </c>
      <c r="D771" t="s">
        <v>19</v>
      </c>
      <c r="E771" t="s">
        <v>238</v>
      </c>
      <c r="G771" t="s">
        <v>563</v>
      </c>
      <c r="I771" s="10"/>
      <c r="J771" s="107">
        <f>SUMIF(Data!C:C,G771,Data!Q:Q)</f>
        <v>7350</v>
      </c>
      <c r="K771" s="107">
        <f>SUMIF(Comprometidos!A:A,'Cost Report'!G771,Comprometidos!E:E)</f>
        <v>0</v>
      </c>
      <c r="L771" s="107">
        <f t="shared" si="330"/>
        <v>7350</v>
      </c>
      <c r="M771" s="107">
        <v>0</v>
      </c>
      <c r="N771" s="107">
        <f t="shared" si="332"/>
        <v>7350</v>
      </c>
      <c r="O771" s="107">
        <f>VLOOKUP(G771,Budget!$E$3:$G$2474,3,0)</f>
        <v>0</v>
      </c>
      <c r="P771" s="107">
        <f t="shared" si="333"/>
        <v>-7350</v>
      </c>
      <c r="Q771" s="107"/>
      <c r="R771" s="10"/>
      <c r="S771" s="107">
        <v>7350</v>
      </c>
      <c r="T771" s="107">
        <f t="shared" si="302"/>
        <v>0</v>
      </c>
      <c r="U771" s="107"/>
      <c r="V771" s="175"/>
      <c r="W771" s="10"/>
      <c r="X771" s="10"/>
      <c r="Y771" t="str">
        <f t="shared" si="334"/>
        <v>2310</v>
      </c>
      <c r="AB771" s="10"/>
      <c r="AC771" s="10"/>
      <c r="AD771" s="10"/>
      <c r="AE771" s="10"/>
      <c r="AF771" s="10"/>
      <c r="AG771" s="10"/>
      <c r="AH771" s="10"/>
      <c r="AI771" s="10"/>
    </row>
    <row r="772" spans="1:35">
      <c r="A772" s="10"/>
      <c r="B772" s="10" t="str">
        <f t="shared" si="329"/>
        <v>Below the Line</v>
      </c>
      <c r="C772" t="s">
        <v>20</v>
      </c>
      <c r="D772" t="s">
        <v>19</v>
      </c>
      <c r="E772" t="s">
        <v>214</v>
      </c>
      <c r="G772" t="s">
        <v>564</v>
      </c>
      <c r="I772" s="10"/>
      <c r="J772" s="107">
        <f>SUMIF(Data!C:C,G772,Data!Q:Q)</f>
        <v>0</v>
      </c>
      <c r="K772" s="107">
        <f>SUMIF(Comprometidos!A:A,'Cost Report'!G772,Comprometidos!E:E)</f>
        <v>0</v>
      </c>
      <c r="L772" s="107">
        <f t="shared" si="330"/>
        <v>0</v>
      </c>
      <c r="M772" s="107">
        <f t="shared" si="331"/>
        <v>0</v>
      </c>
      <c r="N772" s="107">
        <f t="shared" si="332"/>
        <v>0</v>
      </c>
      <c r="O772" s="107">
        <f>VLOOKUP(G772,Budget!$E$3:$G$2474,3,0)</f>
        <v>0</v>
      </c>
      <c r="P772" s="107">
        <f t="shared" si="333"/>
        <v>0</v>
      </c>
      <c r="Q772" s="107"/>
      <c r="R772" s="10"/>
      <c r="S772" s="107">
        <v>0</v>
      </c>
      <c r="T772" s="107">
        <f t="shared" si="302"/>
        <v>0</v>
      </c>
      <c r="U772" s="107"/>
      <c r="V772" s="175"/>
      <c r="W772" s="10"/>
      <c r="X772" s="10"/>
      <c r="Y772" t="str">
        <f t="shared" si="334"/>
        <v>2310</v>
      </c>
      <c r="AB772" s="10"/>
      <c r="AC772" s="10"/>
      <c r="AD772" s="10"/>
      <c r="AE772" s="10"/>
      <c r="AF772" s="10"/>
      <c r="AG772" s="10"/>
      <c r="AH772" s="10"/>
      <c r="AI772" s="10"/>
    </row>
    <row r="773" spans="1:35">
      <c r="A773" s="10"/>
      <c r="B773" s="10" t="str">
        <f t="shared" si="329"/>
        <v>Below the LinePREP</v>
      </c>
      <c r="C773" t="s">
        <v>20</v>
      </c>
      <c r="D773" t="s">
        <v>19</v>
      </c>
      <c r="E773" t="s">
        <v>234</v>
      </c>
      <c r="G773" t="s">
        <v>565</v>
      </c>
      <c r="I773" s="10"/>
      <c r="J773" s="107">
        <f>SUMIF(Data!C:C,G773,Data!Q:Q)</f>
        <v>6300</v>
      </c>
      <c r="K773" s="107">
        <f>SUMIF(Comprometidos!A:A,'Cost Report'!G773,Comprometidos!E:E)</f>
        <v>0</v>
      </c>
      <c r="L773" s="107">
        <f t="shared" si="330"/>
        <v>6300</v>
      </c>
      <c r="M773" s="107">
        <f t="shared" si="331"/>
        <v>0</v>
      </c>
      <c r="N773" s="107">
        <f t="shared" si="332"/>
        <v>6300</v>
      </c>
      <c r="O773" s="107">
        <f>VLOOKUP(G773,Budget!$E$3:$G$2474,3,0)</f>
        <v>6300</v>
      </c>
      <c r="P773" s="107">
        <f t="shared" si="333"/>
        <v>0</v>
      </c>
      <c r="Q773" s="107"/>
      <c r="R773" s="10"/>
      <c r="S773" s="107">
        <v>6300</v>
      </c>
      <c r="T773" s="107">
        <f t="shared" si="302"/>
        <v>0</v>
      </c>
      <c r="U773" s="107"/>
      <c r="V773" s="175"/>
      <c r="W773" s="10"/>
      <c r="X773" s="10"/>
      <c r="Y773" t="str">
        <f t="shared" si="334"/>
        <v>2310</v>
      </c>
      <c r="AB773" s="10"/>
      <c r="AC773" s="10"/>
      <c r="AD773" s="10"/>
      <c r="AE773" s="10"/>
      <c r="AF773" s="10"/>
      <c r="AG773" s="10"/>
      <c r="AH773" s="10"/>
      <c r="AI773" s="10"/>
    </row>
    <row r="774" spans="1:35">
      <c r="A774" s="10"/>
      <c r="B774" s="10" t="str">
        <f t="shared" si="329"/>
        <v>Below the LineSHOOT</v>
      </c>
      <c r="C774" t="s">
        <v>20</v>
      </c>
      <c r="D774" t="s">
        <v>19</v>
      </c>
      <c r="E774" t="s">
        <v>236</v>
      </c>
      <c r="G774" t="s">
        <v>566</v>
      </c>
      <c r="I774" s="10"/>
      <c r="J774" s="107">
        <f>SUMIF(Data!C:C,G774,Data!Q:Q)</f>
        <v>44100</v>
      </c>
      <c r="K774" s="107">
        <f>SUMIF(Comprometidos!A:A,'Cost Report'!G774,Comprometidos!E:E)</f>
        <v>0</v>
      </c>
      <c r="L774" s="107">
        <f t="shared" si="330"/>
        <v>44100</v>
      </c>
      <c r="M774" s="107">
        <f t="shared" si="331"/>
        <v>0</v>
      </c>
      <c r="N774" s="107">
        <f t="shared" si="332"/>
        <v>44100</v>
      </c>
      <c r="O774" s="107">
        <f>VLOOKUP(G774,Budget!$E$3:$G$2474,3,0)</f>
        <v>44100</v>
      </c>
      <c r="P774" s="107">
        <f t="shared" si="333"/>
        <v>0</v>
      </c>
      <c r="Q774" s="107"/>
      <c r="R774" s="10"/>
      <c r="S774" s="107">
        <v>44100</v>
      </c>
      <c r="T774" s="107">
        <f t="shared" si="302"/>
        <v>0</v>
      </c>
      <c r="U774" s="107"/>
      <c r="V774" s="175"/>
      <c r="W774" s="10"/>
      <c r="X774" s="10"/>
      <c r="Y774" t="str">
        <f t="shared" si="334"/>
        <v>2310</v>
      </c>
      <c r="AB774" s="10"/>
      <c r="AC774" s="10"/>
      <c r="AD774" s="10"/>
      <c r="AE774" s="10"/>
      <c r="AF774" s="10"/>
      <c r="AG774" s="10"/>
      <c r="AH774" s="10"/>
      <c r="AI774" s="10"/>
    </row>
    <row r="775" spans="1:35">
      <c r="A775" s="10"/>
      <c r="B775" s="10" t="str">
        <f t="shared" si="329"/>
        <v>Below the LineWRAP</v>
      </c>
      <c r="C775" t="s">
        <v>20</v>
      </c>
      <c r="D775" t="s">
        <v>19</v>
      </c>
      <c r="E775" t="s">
        <v>238</v>
      </c>
      <c r="G775" t="s">
        <v>567</v>
      </c>
      <c r="I775" s="10"/>
      <c r="J775" s="107">
        <f>SUMIF(Data!C:C,G775,Data!Q:Q)</f>
        <v>6300</v>
      </c>
      <c r="K775" s="107">
        <f>SUMIF(Comprometidos!A:A,'Cost Report'!G775,Comprometidos!E:E)</f>
        <v>0</v>
      </c>
      <c r="L775" s="107">
        <f t="shared" si="330"/>
        <v>6300</v>
      </c>
      <c r="M775" s="107">
        <v>0</v>
      </c>
      <c r="N775" s="107">
        <f t="shared" si="332"/>
        <v>6300</v>
      </c>
      <c r="O775" s="107">
        <f>VLOOKUP(G775,Budget!$E$3:$G$2474,3,0)</f>
        <v>0</v>
      </c>
      <c r="P775" s="107">
        <f t="shared" si="333"/>
        <v>-6300</v>
      </c>
      <c r="Q775" s="107"/>
      <c r="R775" s="10"/>
      <c r="S775" s="107">
        <v>6300</v>
      </c>
      <c r="T775" s="107">
        <f t="shared" si="302"/>
        <v>0</v>
      </c>
      <c r="U775" s="107"/>
      <c r="V775" s="175"/>
      <c r="W775" s="10"/>
      <c r="X775" s="10"/>
      <c r="Y775" t="str">
        <f t="shared" si="334"/>
        <v>2310</v>
      </c>
      <c r="AB775" s="10"/>
      <c r="AC775" s="10"/>
      <c r="AD775" s="10"/>
      <c r="AE775" s="10"/>
      <c r="AF775" s="10"/>
      <c r="AG775" s="10"/>
      <c r="AH775" s="10"/>
      <c r="AI775" s="10"/>
    </row>
    <row r="776" spans="1:35">
      <c r="A776" s="10"/>
      <c r="B776" s="10" t="str">
        <f>+C776</f>
        <v>Below the Line</v>
      </c>
      <c r="C776" s="128" t="s">
        <v>20</v>
      </c>
      <c r="D776" s="128" t="s">
        <v>2117</v>
      </c>
      <c r="E776" s="128"/>
      <c r="F776" s="128"/>
      <c r="G776" s="128" t="s">
        <v>2456</v>
      </c>
      <c r="H776" s="128"/>
      <c r="I776" s="10"/>
      <c r="J776" s="129">
        <f>SUMIF($Y$11:$Y$2484,G776,J$11:J$2484)</f>
        <v>112566.20000000001</v>
      </c>
      <c r="K776" s="129">
        <f>SUMIF($Y$11:$Y$2484,G776,K$11:K$2484)</f>
        <v>0</v>
      </c>
      <c r="L776" s="129">
        <f>SUMIF($Y$11:$Y$2484,G776,L$11:L$2484)</f>
        <v>112566.20000000001</v>
      </c>
      <c r="M776" s="129">
        <f>SUMIF($Y$11:$Y$2484,G776,M$11:M$2484)</f>
        <v>0</v>
      </c>
      <c r="N776" s="129">
        <f>SUMIF($Y$11:$Y$2484,G776,N$11:N$2484)</f>
        <v>112566.20000000001</v>
      </c>
      <c r="O776" s="129">
        <f>SUMIF($Y$11:$Y$2484,G776,O$11:O$2484)</f>
        <v>125000</v>
      </c>
      <c r="P776" s="129">
        <f>SUMIF($Y$11:$Y$2484,G776,P$11:P$2484)</f>
        <v>12433.799999999981</v>
      </c>
      <c r="Q776" s="129"/>
      <c r="R776" s="10"/>
      <c r="S776" s="129">
        <v>112566.20000000001</v>
      </c>
      <c r="T776" s="129">
        <f t="shared" si="302"/>
        <v>0</v>
      </c>
      <c r="U776" s="128"/>
      <c r="V776" s="175"/>
      <c r="W776" s="10"/>
      <c r="X776" s="10"/>
      <c r="Z776" t="str">
        <f>LEFT(G776,2)</f>
        <v>23</v>
      </c>
      <c r="AA776" t="str">
        <f>+Z776&amp;"00"</f>
        <v>2300</v>
      </c>
      <c r="AB776" s="10"/>
      <c r="AC776" s="10"/>
      <c r="AD776" s="10"/>
      <c r="AE776" s="10"/>
      <c r="AF776" s="10"/>
      <c r="AG776" s="10"/>
      <c r="AH776" s="10"/>
      <c r="AI776" s="10"/>
    </row>
    <row r="777" spans="1:35">
      <c r="A777" s="10"/>
      <c r="B777" s="10" t="str">
        <f t="shared" ref="B777:B780" si="335">+C777&amp;E777</f>
        <v>Below the Line</v>
      </c>
      <c r="C777" t="s">
        <v>20</v>
      </c>
      <c r="D777" t="s">
        <v>19</v>
      </c>
      <c r="E777" t="s">
        <v>214</v>
      </c>
      <c r="G777" t="s">
        <v>2457</v>
      </c>
      <c r="I777" s="10"/>
      <c r="J777" s="107">
        <f>SUMIF(Data!C:C,G777,Data!Q:Q)</f>
        <v>0</v>
      </c>
      <c r="K777" s="107">
        <f>SUMIF(Comprometidos!A:A,'Cost Report'!G777,Comprometidos!E:E)</f>
        <v>0</v>
      </c>
      <c r="L777" s="107">
        <f t="shared" si="330"/>
        <v>0</v>
      </c>
      <c r="M777" s="107">
        <f t="shared" si="331"/>
        <v>0</v>
      </c>
      <c r="N777" s="107">
        <f t="shared" si="332"/>
        <v>0</v>
      </c>
      <c r="O777" s="107">
        <f>VLOOKUP(G777,Budget!$E$3:$G$2474,3,0)</f>
        <v>0</v>
      </c>
      <c r="P777" s="107">
        <f t="shared" si="333"/>
        <v>0</v>
      </c>
      <c r="Q777" s="107"/>
      <c r="R777" s="10"/>
      <c r="S777" s="107">
        <v>0</v>
      </c>
      <c r="T777" s="107">
        <f t="shared" si="302"/>
        <v>0</v>
      </c>
      <c r="U777" s="107"/>
      <c r="V777" s="175"/>
      <c r="W777" s="10"/>
      <c r="X777" s="10"/>
      <c r="Y777" t="str">
        <f t="shared" ref="Y777:Y780" si="336">LEFT(G777,4)</f>
        <v>2311</v>
      </c>
      <c r="AB777" s="10"/>
      <c r="AC777" s="10"/>
      <c r="AD777" s="10"/>
      <c r="AE777" s="10"/>
      <c r="AF777" s="10"/>
      <c r="AG777" s="10"/>
      <c r="AH777" s="10"/>
      <c r="AI777" s="10"/>
    </row>
    <row r="778" spans="1:35">
      <c r="A778" s="10"/>
      <c r="B778" s="10" t="str">
        <f t="shared" si="335"/>
        <v>Below the LineALL SHOW</v>
      </c>
      <c r="C778" t="s">
        <v>20</v>
      </c>
      <c r="D778" t="s">
        <v>19</v>
      </c>
      <c r="E778" t="s">
        <v>227</v>
      </c>
      <c r="F778" t="s">
        <v>4318</v>
      </c>
      <c r="G778" t="s">
        <v>2458</v>
      </c>
      <c r="I778" s="10"/>
      <c r="J778" s="107">
        <f>SUMIF(Data!C:C,G778,Data!Q:Q)</f>
        <v>48636.200000000019</v>
      </c>
      <c r="K778" s="107">
        <f>SUMIF(Comprometidos!A:A,'Cost Report'!G778,Comprometidos!E:E)</f>
        <v>0</v>
      </c>
      <c r="L778" s="107">
        <f t="shared" si="330"/>
        <v>48636.200000000019</v>
      </c>
      <c r="M778" s="107">
        <v>0</v>
      </c>
      <c r="N778" s="107">
        <f t="shared" si="332"/>
        <v>48636.200000000019</v>
      </c>
      <c r="O778" s="107">
        <f>VLOOKUP(G778,Budget!$E$3:$G$2474,3,0)</f>
        <v>60000</v>
      </c>
      <c r="P778" s="107">
        <f t="shared" si="333"/>
        <v>11363.799999999981</v>
      </c>
      <c r="Q778" s="107"/>
      <c r="R778" s="10"/>
      <c r="S778" s="107">
        <v>48636.200000000019</v>
      </c>
      <c r="T778" s="107">
        <f t="shared" si="302"/>
        <v>0</v>
      </c>
      <c r="U778" s="107"/>
      <c r="V778" s="175"/>
      <c r="W778" s="10"/>
      <c r="X778" s="10"/>
      <c r="Y778" t="str">
        <f t="shared" si="336"/>
        <v>2311</v>
      </c>
      <c r="AB778" s="10"/>
      <c r="AC778" s="10"/>
      <c r="AD778" s="10"/>
      <c r="AE778" s="10"/>
      <c r="AF778" s="10"/>
      <c r="AG778" s="10"/>
      <c r="AH778" s="10"/>
      <c r="AI778" s="10"/>
    </row>
    <row r="779" spans="1:35">
      <c r="A779" s="10"/>
      <c r="B779" s="10" t="str">
        <f t="shared" si="335"/>
        <v>Below the LineALL SHOW</v>
      </c>
      <c r="C779" t="s">
        <v>20</v>
      </c>
      <c r="D779" t="s">
        <v>19</v>
      </c>
      <c r="E779" t="s">
        <v>227</v>
      </c>
      <c r="F779" t="s">
        <v>4318</v>
      </c>
      <c r="G779" t="s">
        <v>2459</v>
      </c>
      <c r="I779" s="10"/>
      <c r="J779" s="107">
        <f>SUMIF(Data!C:C,G779,Data!Q:Q)</f>
        <v>1130</v>
      </c>
      <c r="K779" s="107">
        <f>SUMIF(Comprometidos!A:A,'Cost Report'!G779,Comprometidos!E:E)</f>
        <v>0</v>
      </c>
      <c r="L779" s="107">
        <f t="shared" si="330"/>
        <v>1130</v>
      </c>
      <c r="M779" s="107">
        <v>0</v>
      </c>
      <c r="N779" s="107">
        <f t="shared" si="332"/>
        <v>1130</v>
      </c>
      <c r="O779" s="107">
        <f>VLOOKUP(G779,Budget!$E$3:$G$2474,3,0)</f>
        <v>5000</v>
      </c>
      <c r="P779" s="107">
        <f t="shared" si="333"/>
        <v>3870</v>
      </c>
      <c r="Q779" s="107"/>
      <c r="R779" s="10"/>
      <c r="S779" s="107">
        <v>1130</v>
      </c>
      <c r="T779" s="107">
        <f t="shared" si="302"/>
        <v>0</v>
      </c>
      <c r="U779" s="107"/>
      <c r="V779" s="175"/>
      <c r="W779" s="10"/>
      <c r="X779" s="10"/>
      <c r="Y779" t="str">
        <f t="shared" si="336"/>
        <v>2311</v>
      </c>
      <c r="AB779" s="10"/>
      <c r="AC779" s="10"/>
      <c r="AD779" s="10"/>
      <c r="AE779" s="10"/>
      <c r="AF779" s="10"/>
      <c r="AG779" s="10"/>
      <c r="AH779" s="10"/>
      <c r="AI779" s="10"/>
    </row>
    <row r="780" spans="1:35">
      <c r="A780" s="10"/>
      <c r="B780" s="10" t="str">
        <f t="shared" si="335"/>
        <v>Below the LineALL SHOW</v>
      </c>
      <c r="C780" t="s">
        <v>20</v>
      </c>
      <c r="D780" t="s">
        <v>19</v>
      </c>
      <c r="E780" t="s">
        <v>227</v>
      </c>
      <c r="F780" t="s">
        <v>4318</v>
      </c>
      <c r="G780" t="s">
        <v>2460</v>
      </c>
      <c r="I780" s="10"/>
      <c r="J780" s="107">
        <f>SUMIF(Data!C:C,G780,Data!Q:Q)</f>
        <v>62800</v>
      </c>
      <c r="K780" s="107">
        <f>SUMIF(Comprometidos!A:A,'Cost Report'!G780,Comprometidos!E:E)</f>
        <v>0</v>
      </c>
      <c r="L780" s="107">
        <f t="shared" si="330"/>
        <v>62800</v>
      </c>
      <c r="M780" s="107">
        <v>0</v>
      </c>
      <c r="N780" s="107">
        <f t="shared" si="332"/>
        <v>62800</v>
      </c>
      <c r="O780" s="107">
        <f>VLOOKUP(G780,Budget!$E$3:$G$2474,3,0)</f>
        <v>60000</v>
      </c>
      <c r="P780" s="107">
        <f t="shared" si="333"/>
        <v>-2800</v>
      </c>
      <c r="Q780" s="107"/>
      <c r="R780" s="10"/>
      <c r="S780" s="107">
        <v>62800</v>
      </c>
      <c r="T780" s="107">
        <f>+S780-N780</f>
        <v>0</v>
      </c>
      <c r="U780" s="107"/>
      <c r="V780" s="175"/>
      <c r="W780" s="10"/>
      <c r="X780" s="10"/>
      <c r="Y780" t="str">
        <f t="shared" si="336"/>
        <v>2311</v>
      </c>
      <c r="AB780" s="10"/>
      <c r="AC780" s="10"/>
      <c r="AD780" s="10"/>
      <c r="AE780" s="10"/>
      <c r="AF780" s="10"/>
      <c r="AG780" s="10"/>
      <c r="AH780" s="10"/>
      <c r="AI780" s="10"/>
    </row>
    <row r="781" spans="1:35">
      <c r="A781" s="10"/>
      <c r="B781" s="10" t="str">
        <f>+C781</f>
        <v>Below the Line</v>
      </c>
      <c r="C781" s="128" t="s">
        <v>20</v>
      </c>
      <c r="D781" s="128" t="s">
        <v>2117</v>
      </c>
      <c r="E781" s="128"/>
      <c r="F781" s="128"/>
      <c r="G781" s="128" t="s">
        <v>568</v>
      </c>
      <c r="H781" s="128"/>
      <c r="I781" s="10"/>
      <c r="J781" s="129">
        <f>SUMIF($Y$11:$Y$2484,G781,J$11:J$2484)</f>
        <v>91213.206000000006</v>
      </c>
      <c r="K781" s="129">
        <f>SUMIF($Y$11:$Y$2484,G781,K$11:K$2484)</f>
        <v>0</v>
      </c>
      <c r="L781" s="129">
        <f>SUMIF($Y$11:$Y$2484,G781,L$11:L$2484)</f>
        <v>91213.206000000006</v>
      </c>
      <c r="M781" s="129">
        <f>SUMIF($Y$11:$Y$2484,G781,M$11:M$2484)</f>
        <v>0</v>
      </c>
      <c r="N781" s="129">
        <f>SUMIF($Y$11:$Y$2484,G781,N$11:N$2484)</f>
        <v>91213.206000000006</v>
      </c>
      <c r="O781" s="129">
        <f>SUMIF($Y$11:$Y$2484,G781,O$11:O$2484)</f>
        <v>60000</v>
      </c>
      <c r="P781" s="129">
        <f>SUMIF($Y$11:$Y$2484,G781,P$11:P$2484)</f>
        <v>-31213.206000000006</v>
      </c>
      <c r="Q781" s="129"/>
      <c r="R781" s="10"/>
      <c r="S781" s="129">
        <v>91108.02</v>
      </c>
      <c r="T781" s="129">
        <f>+S781-N781</f>
        <v>-105.18600000000151</v>
      </c>
      <c r="U781" s="128"/>
      <c r="V781" s="175"/>
      <c r="W781" s="10"/>
      <c r="X781" s="10"/>
      <c r="Z781" t="str">
        <f>LEFT(G781,2)</f>
        <v>23</v>
      </c>
      <c r="AA781" t="str">
        <f>+Z781&amp;"00"</f>
        <v>2300</v>
      </c>
      <c r="AB781" s="10"/>
      <c r="AC781" s="10"/>
      <c r="AD781" s="10"/>
      <c r="AE781" s="10"/>
      <c r="AF781" s="10"/>
      <c r="AG781" s="10"/>
      <c r="AH781" s="10"/>
      <c r="AI781" s="10"/>
    </row>
    <row r="782" spans="1:35">
      <c r="A782" s="10"/>
      <c r="B782" s="10" t="str">
        <f t="shared" ref="B782:B783" si="337">+C782&amp;E782</f>
        <v>Below the Line</v>
      </c>
      <c r="C782" t="s">
        <v>20</v>
      </c>
      <c r="D782" t="s">
        <v>19</v>
      </c>
      <c r="E782" t="s">
        <v>214</v>
      </c>
      <c r="G782" t="s">
        <v>569</v>
      </c>
      <c r="I782" s="10"/>
      <c r="J782" s="107">
        <f>SUMIF(Data!C:C,G782,Data!Q:Q)</f>
        <v>0</v>
      </c>
      <c r="K782" s="107">
        <f>SUMIF(Comprometidos!A:A,'Cost Report'!G782,Comprometidos!E:E)</f>
        <v>0</v>
      </c>
      <c r="L782" s="107">
        <f t="shared" si="330"/>
        <v>0</v>
      </c>
      <c r="M782" s="107">
        <f t="shared" si="331"/>
        <v>0</v>
      </c>
      <c r="N782" s="107">
        <f t="shared" si="332"/>
        <v>0</v>
      </c>
      <c r="O782" s="107">
        <f>VLOOKUP(G782,Budget!$E$3:$G$2474,3,0)</f>
        <v>0</v>
      </c>
      <c r="P782" s="107">
        <f t="shared" si="333"/>
        <v>0</v>
      </c>
      <c r="Q782" s="107"/>
      <c r="R782" s="10"/>
      <c r="S782" s="107">
        <v>0</v>
      </c>
      <c r="T782" s="107">
        <f>+S782-N782</f>
        <v>0</v>
      </c>
      <c r="U782" s="107"/>
      <c r="V782" s="175"/>
      <c r="W782" s="10"/>
      <c r="X782" s="10"/>
      <c r="Y782" t="str">
        <f t="shared" ref="Y782:Y783" si="338">LEFT(G782,4)</f>
        <v>2385</v>
      </c>
      <c r="AB782" s="10"/>
      <c r="AC782" s="10"/>
      <c r="AD782" s="10"/>
      <c r="AE782" s="10"/>
      <c r="AF782" s="10"/>
      <c r="AG782" s="10"/>
      <c r="AH782" s="10"/>
      <c r="AI782" s="10"/>
    </row>
    <row r="783" spans="1:35">
      <c r="A783" s="10"/>
      <c r="B783" s="10" t="str">
        <f t="shared" si="337"/>
        <v>Below the LineALL SHOW</v>
      </c>
      <c r="C783" t="s">
        <v>20</v>
      </c>
      <c r="D783" t="s">
        <v>19</v>
      </c>
      <c r="E783" t="s">
        <v>227</v>
      </c>
      <c r="F783" t="s">
        <v>4318</v>
      </c>
      <c r="G783" t="s">
        <v>2461</v>
      </c>
      <c r="I783" s="10"/>
      <c r="J783" s="107">
        <f>SUMIF(Data!C:C,G783,Data!Q:Q)</f>
        <v>91213.206000000006</v>
      </c>
      <c r="K783" s="107">
        <f>SUMIF(Comprometidos!A:A,'Cost Report'!G783,Comprometidos!E:E)</f>
        <v>0</v>
      </c>
      <c r="L783" s="107">
        <f t="shared" si="330"/>
        <v>91213.206000000006</v>
      </c>
      <c r="M783" s="107">
        <v>0</v>
      </c>
      <c r="N783" s="107">
        <f t="shared" si="332"/>
        <v>91213.206000000006</v>
      </c>
      <c r="O783" s="107">
        <f>VLOOKUP(G783,Budget!$E$3:$G$2474,3,0)</f>
        <v>60000</v>
      </c>
      <c r="P783" s="107">
        <f t="shared" si="333"/>
        <v>-31213.206000000006</v>
      </c>
      <c r="Q783" s="107"/>
      <c r="R783" s="10"/>
      <c r="S783" s="107">
        <v>91108.02</v>
      </c>
      <c r="T783" s="107">
        <f t="shared" ref="T783:T846" si="339">+S783-N783</f>
        <v>-105.18600000000151</v>
      </c>
      <c r="U783" s="107"/>
      <c r="V783" s="175"/>
      <c r="W783" s="10"/>
      <c r="X783" s="10"/>
      <c r="Y783" t="str">
        <f t="shared" si="338"/>
        <v>2385</v>
      </c>
      <c r="AB783" s="10"/>
      <c r="AC783" s="10"/>
      <c r="AD783" s="10"/>
      <c r="AE783" s="10"/>
      <c r="AF783" s="10"/>
      <c r="AG783" s="10"/>
      <c r="AH783" s="10"/>
      <c r="AI783" s="10"/>
    </row>
    <row r="784" spans="1:35">
      <c r="A784" s="10"/>
      <c r="B784" s="10" t="str">
        <f>+C784</f>
        <v>Below the Line</v>
      </c>
      <c r="C784" s="128" t="s">
        <v>20</v>
      </c>
      <c r="D784" s="128" t="s">
        <v>2117</v>
      </c>
      <c r="E784" s="128"/>
      <c r="F784" s="128"/>
      <c r="G784" s="128" t="s">
        <v>1493</v>
      </c>
      <c r="H784" s="128"/>
      <c r="I784" s="10"/>
      <c r="J784" s="129">
        <f>SUMIF($Y$11:$Y$2484,G784,J$11:J$2484)</f>
        <v>62840</v>
      </c>
      <c r="K784" s="129">
        <f>SUMIF($Y$11:$Y$2484,G784,K$11:K$2484)</f>
        <v>0</v>
      </c>
      <c r="L784" s="129">
        <f>SUMIF($Y$11:$Y$2484,G784,L$11:L$2484)</f>
        <v>62840</v>
      </c>
      <c r="M784" s="129">
        <f>SUMIF($Y$11:$Y$2484,G784,M$11:M$2484)</f>
        <v>0</v>
      </c>
      <c r="N784" s="129">
        <f>SUMIF($Y$11:$Y$2484,G784,N$11:N$2484)</f>
        <v>62840</v>
      </c>
      <c r="O784" s="129">
        <f>SUMIF($Y$11:$Y$2484,G784,O$11:O$2484)</f>
        <v>66000</v>
      </c>
      <c r="P784" s="129">
        <f>SUMIF($Y$11:$Y$2484,G784,P$11:P$2484)</f>
        <v>3160</v>
      </c>
      <c r="Q784" s="129"/>
      <c r="R784" s="10"/>
      <c r="S784" s="129">
        <v>62840</v>
      </c>
      <c r="T784" s="129">
        <f t="shared" si="339"/>
        <v>0</v>
      </c>
      <c r="U784" s="128"/>
      <c r="V784" s="175"/>
      <c r="W784" s="10"/>
      <c r="X784" s="10"/>
      <c r="Z784" t="str">
        <f>LEFT(G784,2)</f>
        <v>23</v>
      </c>
      <c r="AA784" t="str">
        <f>+Z784&amp;"00"</f>
        <v>2300</v>
      </c>
      <c r="AB784" s="10"/>
      <c r="AC784" s="10"/>
      <c r="AD784" s="10"/>
      <c r="AE784" s="10"/>
      <c r="AF784" s="10"/>
      <c r="AG784" s="10"/>
      <c r="AH784" s="10"/>
      <c r="AI784" s="10"/>
    </row>
    <row r="785" spans="1:35">
      <c r="A785" s="10"/>
      <c r="B785" s="10" t="str">
        <f t="shared" ref="B785:B788" si="340">+C785&amp;E785</f>
        <v>Below the Line</v>
      </c>
      <c r="C785" t="s">
        <v>20</v>
      </c>
      <c r="D785" t="s">
        <v>19</v>
      </c>
      <c r="E785" t="s">
        <v>214</v>
      </c>
      <c r="G785" t="s">
        <v>1494</v>
      </c>
      <c r="I785" s="10"/>
      <c r="J785" s="107">
        <f>SUMIF(Data!C:C,G785,Data!Q:Q)</f>
        <v>0</v>
      </c>
      <c r="K785" s="107">
        <f>SUMIF(Comprometidos!A:A,'Cost Report'!G785,Comprometidos!E:E)</f>
        <v>0</v>
      </c>
      <c r="L785" s="107">
        <f t="shared" ref="L785:L788" si="341">+J785+K785</f>
        <v>0</v>
      </c>
      <c r="M785" s="107">
        <f t="shared" ref="M785" si="342">+O785-L785</f>
        <v>0</v>
      </c>
      <c r="N785" s="107">
        <f t="shared" ref="N785:N788" si="343">+L785+M785</f>
        <v>0</v>
      </c>
      <c r="O785" s="107">
        <f>VLOOKUP(G785,Budget!$E$3:$G$2474,3,0)</f>
        <v>0</v>
      </c>
      <c r="P785" s="107">
        <f t="shared" ref="P785:P788" si="344">+O785-N785</f>
        <v>0</v>
      </c>
      <c r="Q785" s="107"/>
      <c r="R785" s="10"/>
      <c r="S785" s="107">
        <v>0</v>
      </c>
      <c r="T785" s="107">
        <f t="shared" si="339"/>
        <v>0</v>
      </c>
      <c r="U785" s="107"/>
      <c r="V785" s="175"/>
      <c r="W785" s="10"/>
      <c r="X785" s="10"/>
      <c r="Y785" t="str">
        <f t="shared" ref="Y785:Y788" si="345">LEFT(G785,4)</f>
        <v>2390</v>
      </c>
      <c r="AB785" s="10"/>
      <c r="AC785" s="10"/>
      <c r="AD785" s="10"/>
      <c r="AE785" s="10"/>
      <c r="AF785" s="10"/>
      <c r="AG785" s="10"/>
      <c r="AH785" s="10"/>
      <c r="AI785" s="10"/>
    </row>
    <row r="786" spans="1:35">
      <c r="A786" s="10"/>
      <c r="B786" s="10" t="str">
        <f t="shared" si="340"/>
        <v>Below the LinePREP</v>
      </c>
      <c r="C786" t="s">
        <v>20</v>
      </c>
      <c r="D786" t="s">
        <v>19</v>
      </c>
      <c r="E786" t="s">
        <v>234</v>
      </c>
      <c r="F786" t="s">
        <v>4318</v>
      </c>
      <c r="G786" t="s">
        <v>1495</v>
      </c>
      <c r="I786" s="10"/>
      <c r="J786" s="107">
        <f>SUMIF(Data!C:C,G786,Data!Q:Q)</f>
        <v>0</v>
      </c>
      <c r="K786" s="107">
        <f>SUMIF(Comprometidos!A:A,'Cost Report'!G786,Comprometidos!E:E)</f>
        <v>0</v>
      </c>
      <c r="L786" s="107">
        <f t="shared" si="341"/>
        <v>0</v>
      </c>
      <c r="M786" s="107">
        <v>0</v>
      </c>
      <c r="N786" s="107">
        <f t="shared" si="343"/>
        <v>0</v>
      </c>
      <c r="O786" s="107">
        <f>VLOOKUP(G786,Budget!$E$3:$G$2474,3,0)</f>
        <v>18000</v>
      </c>
      <c r="P786" s="107">
        <f t="shared" si="344"/>
        <v>18000</v>
      </c>
      <c r="Q786" s="107"/>
      <c r="R786" s="10"/>
      <c r="S786" s="107">
        <v>0</v>
      </c>
      <c r="T786" s="107">
        <f t="shared" si="339"/>
        <v>0</v>
      </c>
      <c r="U786" s="107"/>
      <c r="V786" s="175"/>
      <c r="W786" s="10"/>
      <c r="X786" s="10"/>
      <c r="Y786" t="str">
        <f t="shared" si="345"/>
        <v>2390</v>
      </c>
      <c r="AB786" s="10"/>
      <c r="AC786" s="10"/>
      <c r="AD786" s="10"/>
      <c r="AE786" s="10"/>
      <c r="AF786" s="10"/>
      <c r="AG786" s="10"/>
      <c r="AH786" s="10"/>
      <c r="AI786" s="10"/>
    </row>
    <row r="787" spans="1:35">
      <c r="A787" s="10"/>
      <c r="B787" s="10" t="str">
        <f t="shared" si="340"/>
        <v>Below the LineSHOOT</v>
      </c>
      <c r="C787" t="s">
        <v>20</v>
      </c>
      <c r="D787" t="s">
        <v>19</v>
      </c>
      <c r="E787" t="s">
        <v>236</v>
      </c>
      <c r="F787" t="s">
        <v>4318</v>
      </c>
      <c r="G787" t="s">
        <v>1496</v>
      </c>
      <c r="I787" s="10"/>
      <c r="J787" s="107">
        <f>SUMIF(Data!C:C,G787,Data!Q:Q)</f>
        <v>60840</v>
      </c>
      <c r="K787" s="107">
        <f>SUMIF(Comprometidos!A:A,'Cost Report'!G787,Comprometidos!E:E)</f>
        <v>0</v>
      </c>
      <c r="L787" s="107">
        <f t="shared" si="341"/>
        <v>60840</v>
      </c>
      <c r="M787" s="107">
        <v>0</v>
      </c>
      <c r="N787" s="107">
        <f t="shared" si="343"/>
        <v>60840</v>
      </c>
      <c r="O787" s="107">
        <f>VLOOKUP(G787,Budget!$E$3:$G$2474,3,0)</f>
        <v>42000</v>
      </c>
      <c r="P787" s="107">
        <f t="shared" si="344"/>
        <v>-18840</v>
      </c>
      <c r="Q787" s="107"/>
      <c r="R787" s="10"/>
      <c r="S787" s="107">
        <v>60840</v>
      </c>
      <c r="T787" s="107">
        <f t="shared" si="339"/>
        <v>0</v>
      </c>
      <c r="U787" s="107"/>
      <c r="V787" s="175"/>
      <c r="W787" s="10"/>
      <c r="X787" s="10"/>
      <c r="Y787" t="str">
        <f t="shared" si="345"/>
        <v>2390</v>
      </c>
      <c r="AB787" s="10"/>
      <c r="AC787" s="10"/>
      <c r="AD787" s="10"/>
      <c r="AE787" s="10"/>
      <c r="AF787" s="10"/>
      <c r="AG787" s="10"/>
      <c r="AH787" s="10"/>
      <c r="AI787" s="10"/>
    </row>
    <row r="788" spans="1:35">
      <c r="A788" s="10"/>
      <c r="B788" s="10" t="str">
        <f t="shared" si="340"/>
        <v>Below the LineWRAP</v>
      </c>
      <c r="C788" t="s">
        <v>20</v>
      </c>
      <c r="D788" t="s">
        <v>19</v>
      </c>
      <c r="E788" t="s">
        <v>238</v>
      </c>
      <c r="F788" t="s">
        <v>4318</v>
      </c>
      <c r="G788" t="s">
        <v>2462</v>
      </c>
      <c r="I788" s="10"/>
      <c r="J788" s="107">
        <f>SUMIF(Data!C:C,G788,Data!Q:Q)</f>
        <v>2000</v>
      </c>
      <c r="K788" s="107">
        <f>SUMIF(Comprometidos!A:A,'Cost Report'!G788,Comprometidos!E:E)</f>
        <v>0</v>
      </c>
      <c r="L788" s="107">
        <f t="shared" si="341"/>
        <v>2000</v>
      </c>
      <c r="M788" s="107">
        <v>0</v>
      </c>
      <c r="N788" s="107">
        <f t="shared" si="343"/>
        <v>2000</v>
      </c>
      <c r="O788" s="107">
        <f>VLOOKUP(G788,Budget!$E$3:$G$2474,3,0)</f>
        <v>6000</v>
      </c>
      <c r="P788" s="107">
        <f t="shared" si="344"/>
        <v>4000</v>
      </c>
      <c r="Q788" s="107"/>
      <c r="R788" s="10"/>
      <c r="S788" s="107">
        <v>2000</v>
      </c>
      <c r="T788" s="107">
        <f t="shared" si="339"/>
        <v>0</v>
      </c>
      <c r="U788" s="107"/>
      <c r="V788" s="175"/>
      <c r="W788" s="10"/>
      <c r="X788" s="10"/>
      <c r="Y788" t="str">
        <f t="shared" si="345"/>
        <v>2390</v>
      </c>
      <c r="AB788" s="10"/>
      <c r="AC788" s="10"/>
      <c r="AD788" s="10"/>
      <c r="AE788" s="10"/>
      <c r="AF788" s="10"/>
      <c r="AG788" s="10"/>
      <c r="AH788" s="10"/>
      <c r="AI788" s="10"/>
    </row>
    <row r="789" spans="1:35">
      <c r="A789" s="10"/>
      <c r="B789" s="10" t="str">
        <f>+C789</f>
        <v>Below the Line</v>
      </c>
      <c r="C789" s="128" t="s">
        <v>20</v>
      </c>
      <c r="D789" s="128" t="s">
        <v>2117</v>
      </c>
      <c r="E789" s="128"/>
      <c r="F789" s="128"/>
      <c r="G789" s="128" t="s">
        <v>2463</v>
      </c>
      <c r="H789" s="128"/>
      <c r="I789" s="10"/>
      <c r="J789" s="129">
        <f>SUMIF($Y$11:$Y$2484,G789,J$11:J$2484)</f>
        <v>497019.69</v>
      </c>
      <c r="K789" s="129">
        <f>SUMIF($Y$11:$Y$2484,G789,K$11:K$2484)</f>
        <v>0</v>
      </c>
      <c r="L789" s="129">
        <f>SUMIF($Y$11:$Y$2484,G789,L$11:L$2484)</f>
        <v>497019.69</v>
      </c>
      <c r="M789" s="129">
        <f>SUMIF($Y$11:$Y$2484,G789,M$11:M$2484)</f>
        <v>0</v>
      </c>
      <c r="N789" s="129">
        <f>SUMIF($Y$11:$Y$2484,G789,N$11:N$2484)</f>
        <v>497019.69</v>
      </c>
      <c r="O789" s="129">
        <f>SUMIF($Y$11:$Y$2484,G789,O$11:O$2484)</f>
        <v>1000000</v>
      </c>
      <c r="P789" s="129">
        <f>SUMIF($Y$11:$Y$2484,G789,P$11:P$2484)</f>
        <v>502980.31</v>
      </c>
      <c r="Q789" s="129"/>
      <c r="R789" s="10"/>
      <c r="S789" s="129">
        <v>497019.69</v>
      </c>
      <c r="T789" s="129">
        <f t="shared" si="339"/>
        <v>0</v>
      </c>
      <c r="U789" s="128"/>
      <c r="V789" s="175"/>
      <c r="W789" s="10"/>
      <c r="X789" s="10"/>
      <c r="Z789" t="str">
        <f>LEFT(G789,2)</f>
        <v>23</v>
      </c>
      <c r="AA789" t="str">
        <f>+Z789&amp;"00"</f>
        <v>2300</v>
      </c>
      <c r="AB789" s="10"/>
      <c r="AC789" s="10"/>
      <c r="AD789" s="10"/>
      <c r="AE789" s="10"/>
      <c r="AF789" s="10"/>
      <c r="AG789" s="10"/>
      <c r="AH789" s="10"/>
      <c r="AI789" s="10"/>
    </row>
    <row r="790" spans="1:35">
      <c r="A790" s="10"/>
      <c r="B790" s="10" t="str">
        <f t="shared" ref="B790:B826" si="346">+C790&amp;E790</f>
        <v>Below the Line</v>
      </c>
      <c r="C790" t="s">
        <v>20</v>
      </c>
      <c r="D790" t="s">
        <v>19</v>
      </c>
      <c r="E790" t="s">
        <v>214</v>
      </c>
      <c r="F790" t="s">
        <v>4318</v>
      </c>
      <c r="G790" t="s">
        <v>2464</v>
      </c>
      <c r="I790" s="10"/>
      <c r="J790" s="107">
        <f>SUMIF(Data!C:C,G790,Data!Q:Q)</f>
        <v>0</v>
      </c>
      <c r="K790" s="107">
        <f>SUMIF(Comprometidos!A:A,'Cost Report'!G790,Comprometidos!E:E)</f>
        <v>0</v>
      </c>
      <c r="L790" s="107">
        <f t="shared" ref="L790:L826" si="347">+J790+K790</f>
        <v>0</v>
      </c>
      <c r="M790" s="107">
        <f t="shared" ref="M790:M825" si="348">+O790-L790</f>
        <v>0</v>
      </c>
      <c r="N790" s="107">
        <f t="shared" ref="N790:N826" si="349">+L790+M790</f>
        <v>0</v>
      </c>
      <c r="O790" s="107">
        <f>VLOOKUP(G790,Budget!$E$3:$G$2474,3,0)</f>
        <v>0</v>
      </c>
      <c r="P790" s="107">
        <f t="shared" ref="P790:P826" si="350">+O790-N790</f>
        <v>0</v>
      </c>
      <c r="Q790" s="107"/>
      <c r="R790" s="10"/>
      <c r="S790" s="107">
        <v>0</v>
      </c>
      <c r="T790" s="107">
        <f t="shared" si="339"/>
        <v>0</v>
      </c>
      <c r="U790" s="107"/>
      <c r="V790" s="175"/>
      <c r="W790" s="10"/>
      <c r="X790" s="10"/>
      <c r="Y790" t="str">
        <f t="shared" ref="Y790:Y826" si="351">LEFT(G790,4)</f>
        <v>2394</v>
      </c>
      <c r="AB790" s="10"/>
      <c r="AC790" s="10"/>
      <c r="AD790" s="10"/>
      <c r="AE790" s="10"/>
      <c r="AF790" s="10"/>
      <c r="AG790" s="10"/>
      <c r="AH790" s="10"/>
      <c r="AI790" s="10"/>
    </row>
    <row r="791" spans="1:35">
      <c r="A791" s="10"/>
      <c r="B791" s="10" t="str">
        <f t="shared" si="346"/>
        <v>Below the Line</v>
      </c>
      <c r="C791" t="s">
        <v>20</v>
      </c>
      <c r="D791" t="s">
        <v>19</v>
      </c>
      <c r="E791" t="s">
        <v>214</v>
      </c>
      <c r="F791" t="s">
        <v>4318</v>
      </c>
      <c r="G791" t="s">
        <v>2465</v>
      </c>
      <c r="I791" s="10"/>
      <c r="J791" s="107">
        <f>SUMIF(Data!C:C,G791,Data!Q:Q)</f>
        <v>0</v>
      </c>
      <c r="K791" s="107">
        <f>SUMIF(Comprometidos!A:A,'Cost Report'!G791,Comprometidos!E:E)</f>
        <v>0</v>
      </c>
      <c r="L791" s="107">
        <f t="shared" si="347"/>
        <v>0</v>
      </c>
      <c r="M791" s="107">
        <f t="shared" si="348"/>
        <v>0</v>
      </c>
      <c r="N791" s="107">
        <f t="shared" si="349"/>
        <v>0</v>
      </c>
      <c r="O791" s="107">
        <f>VLOOKUP(G791,Budget!$E$3:$G$2474,3,0)</f>
        <v>0</v>
      </c>
      <c r="P791" s="107">
        <f t="shared" si="350"/>
        <v>0</v>
      </c>
      <c r="Q791" s="107"/>
      <c r="R791" s="10"/>
      <c r="S791" s="107">
        <v>0</v>
      </c>
      <c r="T791" s="107">
        <f t="shared" si="339"/>
        <v>0</v>
      </c>
      <c r="U791" s="107"/>
      <c r="V791" s="175"/>
      <c r="W791" s="10"/>
      <c r="X791" s="10"/>
      <c r="Y791" t="str">
        <f t="shared" si="351"/>
        <v>2394</v>
      </c>
      <c r="AB791" s="10"/>
      <c r="AC791" s="10"/>
      <c r="AD791" s="10"/>
      <c r="AE791" s="10"/>
      <c r="AF791" s="10"/>
      <c r="AG791" s="10"/>
      <c r="AH791" s="10"/>
      <c r="AI791" s="10"/>
    </row>
    <row r="792" spans="1:35">
      <c r="A792" s="10"/>
      <c r="B792" s="10" t="str">
        <f t="shared" si="346"/>
        <v>Below the LineSHOOT</v>
      </c>
      <c r="C792" t="s">
        <v>20</v>
      </c>
      <c r="D792" t="s">
        <v>19</v>
      </c>
      <c r="E792" t="s">
        <v>236</v>
      </c>
      <c r="F792" t="s">
        <v>4318</v>
      </c>
      <c r="G792" t="s">
        <v>2466</v>
      </c>
      <c r="I792" s="10"/>
      <c r="J792" s="107">
        <f>SUMIF(Data!C:C,G792,Data!Q:Q)</f>
        <v>123028.77</v>
      </c>
      <c r="K792" s="107">
        <f>SUMIF(Comprometidos!A:A,'Cost Report'!G792,Comprometidos!E:E)</f>
        <v>0</v>
      </c>
      <c r="L792" s="107">
        <f t="shared" si="347"/>
        <v>123028.77</v>
      </c>
      <c r="M792" s="107">
        <v>0</v>
      </c>
      <c r="N792" s="107">
        <f t="shared" si="349"/>
        <v>123028.77</v>
      </c>
      <c r="O792" s="107">
        <f>VLOOKUP(G792,Budget!$E$3:$G$2474,3,0)</f>
        <v>450000</v>
      </c>
      <c r="P792" s="107">
        <f t="shared" si="350"/>
        <v>326971.23</v>
      </c>
      <c r="Q792" s="107"/>
      <c r="R792" s="10"/>
      <c r="S792" s="107">
        <v>123028.77</v>
      </c>
      <c r="T792" s="107">
        <f t="shared" si="339"/>
        <v>0</v>
      </c>
      <c r="U792" s="107"/>
      <c r="V792" s="175"/>
      <c r="W792" s="10"/>
      <c r="X792" s="10"/>
      <c r="Y792" t="str">
        <f t="shared" si="351"/>
        <v>2394</v>
      </c>
      <c r="AB792" s="10"/>
      <c r="AC792" s="10"/>
      <c r="AD792" s="10"/>
      <c r="AE792" s="10"/>
      <c r="AF792" s="10"/>
      <c r="AG792" s="10"/>
      <c r="AH792" s="10"/>
      <c r="AI792" s="10"/>
    </row>
    <row r="793" spans="1:35">
      <c r="A793" s="10"/>
      <c r="B793" s="10" t="str">
        <f t="shared" si="346"/>
        <v>Below the Line</v>
      </c>
      <c r="C793" t="s">
        <v>20</v>
      </c>
      <c r="D793" t="s">
        <v>19</v>
      </c>
      <c r="E793" t="s">
        <v>214</v>
      </c>
      <c r="F793" t="s">
        <v>4318</v>
      </c>
      <c r="G793" t="s">
        <v>2467</v>
      </c>
      <c r="I793" s="10"/>
      <c r="J793" s="107">
        <f>SUMIF(Data!C:C,G793,Data!Q:Q)</f>
        <v>0</v>
      </c>
      <c r="K793" s="107">
        <f>SUMIF(Comprometidos!A:A,'Cost Report'!G793,Comprometidos!E:E)</f>
        <v>0</v>
      </c>
      <c r="L793" s="107">
        <f t="shared" si="347"/>
        <v>0</v>
      </c>
      <c r="M793" s="107">
        <f t="shared" si="348"/>
        <v>0</v>
      </c>
      <c r="N793" s="107">
        <f t="shared" si="349"/>
        <v>0</v>
      </c>
      <c r="O793" s="107">
        <f>VLOOKUP(G793,Budget!$E$3:$G$2474,3,0)</f>
        <v>0</v>
      </c>
      <c r="P793" s="107">
        <f t="shared" si="350"/>
        <v>0</v>
      </c>
      <c r="Q793" s="107"/>
      <c r="R793" s="10"/>
      <c r="S793" s="107">
        <v>0</v>
      </c>
      <c r="T793" s="107">
        <f t="shared" si="339"/>
        <v>0</v>
      </c>
      <c r="U793" s="107"/>
      <c r="V793" s="175"/>
      <c r="W793" s="10"/>
      <c r="X793" s="10"/>
      <c r="Y793" t="str">
        <f t="shared" si="351"/>
        <v>2394</v>
      </c>
      <c r="AB793" s="10"/>
      <c r="AC793" s="10"/>
      <c r="AD793" s="10"/>
      <c r="AE793" s="10"/>
      <c r="AF793" s="10"/>
      <c r="AG793" s="10"/>
      <c r="AH793" s="10"/>
      <c r="AI793" s="10"/>
    </row>
    <row r="794" spans="1:35">
      <c r="A794" s="10"/>
      <c r="B794" s="10" t="str">
        <f t="shared" si="346"/>
        <v>Below the LineSHOOT</v>
      </c>
      <c r="C794" t="s">
        <v>20</v>
      </c>
      <c r="D794" t="s">
        <v>19</v>
      </c>
      <c r="E794" t="s">
        <v>236</v>
      </c>
      <c r="F794" t="s">
        <v>4318</v>
      </c>
      <c r="G794" t="s">
        <v>2468</v>
      </c>
      <c r="I794" s="10"/>
      <c r="J794" s="107">
        <f>SUMIF(Data!C:C,G794,Data!Q:Q)</f>
        <v>134658.88</v>
      </c>
      <c r="K794" s="107">
        <f>SUMIF(Comprometidos!A:A,'Cost Report'!G794,Comprometidos!E:E)</f>
        <v>0</v>
      </c>
      <c r="L794" s="107">
        <f t="shared" si="347"/>
        <v>134658.88</v>
      </c>
      <c r="M794" s="107">
        <v>0</v>
      </c>
      <c r="N794" s="107">
        <f t="shared" si="349"/>
        <v>134658.88</v>
      </c>
      <c r="O794" s="107">
        <f>VLOOKUP(G794,Budget!$E$3:$G$2474,3,0)</f>
        <v>70000</v>
      </c>
      <c r="P794" s="107">
        <f t="shared" si="350"/>
        <v>-64658.880000000005</v>
      </c>
      <c r="Q794" s="107"/>
      <c r="R794" s="10"/>
      <c r="S794" s="107">
        <v>134658.88</v>
      </c>
      <c r="T794" s="107">
        <f t="shared" si="339"/>
        <v>0</v>
      </c>
      <c r="U794" s="107"/>
      <c r="V794" s="175"/>
      <c r="W794" s="10"/>
      <c r="X794" s="10"/>
      <c r="Y794" t="str">
        <f t="shared" si="351"/>
        <v>2394</v>
      </c>
      <c r="AB794" s="10"/>
      <c r="AC794" s="10"/>
      <c r="AD794" s="10"/>
      <c r="AE794" s="10"/>
      <c r="AF794" s="10"/>
      <c r="AG794" s="10"/>
      <c r="AH794" s="10"/>
      <c r="AI794" s="10"/>
    </row>
    <row r="795" spans="1:35">
      <c r="A795" s="10"/>
      <c r="B795" s="10" t="str">
        <f t="shared" si="346"/>
        <v>Below the Line</v>
      </c>
      <c r="C795" t="s">
        <v>20</v>
      </c>
      <c r="D795" t="s">
        <v>19</v>
      </c>
      <c r="E795" t="s">
        <v>214</v>
      </c>
      <c r="F795" t="s">
        <v>4318</v>
      </c>
      <c r="G795" t="s">
        <v>2469</v>
      </c>
      <c r="I795" s="10"/>
      <c r="J795" s="107">
        <f>SUMIF(Data!C:C,G795,Data!Q:Q)</f>
        <v>0</v>
      </c>
      <c r="K795" s="107">
        <f>SUMIF(Comprometidos!A:A,'Cost Report'!G795,Comprometidos!E:E)</f>
        <v>0</v>
      </c>
      <c r="L795" s="107">
        <f t="shared" si="347"/>
        <v>0</v>
      </c>
      <c r="M795" s="107">
        <f t="shared" si="348"/>
        <v>0</v>
      </c>
      <c r="N795" s="107">
        <f t="shared" si="349"/>
        <v>0</v>
      </c>
      <c r="O795" s="107">
        <f>VLOOKUP(G795,Budget!$E$3:$G$2474,3,0)</f>
        <v>0</v>
      </c>
      <c r="P795" s="107">
        <f t="shared" si="350"/>
        <v>0</v>
      </c>
      <c r="Q795" s="107"/>
      <c r="R795" s="10"/>
      <c r="S795" s="107">
        <v>0</v>
      </c>
      <c r="T795" s="107">
        <f t="shared" si="339"/>
        <v>0</v>
      </c>
      <c r="U795" s="107"/>
      <c r="V795" s="175"/>
      <c r="W795" s="10"/>
      <c r="X795" s="10"/>
      <c r="Y795" t="str">
        <f t="shared" si="351"/>
        <v>2394</v>
      </c>
      <c r="AB795" s="10"/>
      <c r="AC795" s="10"/>
      <c r="AD795" s="10"/>
      <c r="AE795" s="10"/>
      <c r="AF795" s="10"/>
      <c r="AG795" s="10"/>
      <c r="AH795" s="10"/>
      <c r="AI795" s="10"/>
    </row>
    <row r="796" spans="1:35">
      <c r="A796" s="10"/>
      <c r="B796" s="10" t="str">
        <f t="shared" si="346"/>
        <v>Below the LineSHOOT</v>
      </c>
      <c r="C796" t="s">
        <v>20</v>
      </c>
      <c r="D796" t="s">
        <v>19</v>
      </c>
      <c r="E796" t="s">
        <v>236</v>
      </c>
      <c r="F796" t="s">
        <v>4318</v>
      </c>
      <c r="G796" t="s">
        <v>2470</v>
      </c>
      <c r="I796" s="10"/>
      <c r="J796" s="107">
        <f>SUMIF(Data!C:C,G796,Data!Q:Q)</f>
        <v>32178.6</v>
      </c>
      <c r="K796" s="107">
        <f>SUMIF(Comprometidos!A:A,'Cost Report'!G796,Comprometidos!E:E)</f>
        <v>0</v>
      </c>
      <c r="L796" s="107">
        <f t="shared" si="347"/>
        <v>32178.6</v>
      </c>
      <c r="M796" s="107">
        <v>0</v>
      </c>
      <c r="N796" s="107">
        <f t="shared" si="349"/>
        <v>32178.6</v>
      </c>
      <c r="O796" s="107">
        <f>VLOOKUP(G796,Budget!$E$3:$G$2474,3,0)</f>
        <v>40000</v>
      </c>
      <c r="P796" s="107">
        <f t="shared" si="350"/>
        <v>7821.4000000000015</v>
      </c>
      <c r="Q796" s="107"/>
      <c r="R796" s="10"/>
      <c r="S796" s="107">
        <v>32178.6</v>
      </c>
      <c r="T796" s="107">
        <f t="shared" si="339"/>
        <v>0</v>
      </c>
      <c r="U796" s="107"/>
      <c r="V796" s="175"/>
      <c r="W796" s="10"/>
      <c r="X796" s="10"/>
      <c r="Y796" t="str">
        <f t="shared" si="351"/>
        <v>2394</v>
      </c>
      <c r="AB796" s="10"/>
      <c r="AC796" s="10"/>
      <c r="AD796" s="10"/>
      <c r="AE796" s="10"/>
      <c r="AF796" s="10"/>
      <c r="AG796" s="10"/>
      <c r="AH796" s="10"/>
      <c r="AI796" s="10"/>
    </row>
    <row r="797" spans="1:35">
      <c r="A797" s="10"/>
      <c r="B797" s="10" t="str">
        <f t="shared" si="346"/>
        <v>Below the Line</v>
      </c>
      <c r="C797" t="s">
        <v>20</v>
      </c>
      <c r="D797" t="s">
        <v>19</v>
      </c>
      <c r="E797" t="s">
        <v>214</v>
      </c>
      <c r="F797" t="s">
        <v>4318</v>
      </c>
      <c r="G797" t="s">
        <v>2471</v>
      </c>
      <c r="I797" s="10"/>
      <c r="J797" s="107">
        <f>SUMIF(Data!C:C,G797,Data!Q:Q)</f>
        <v>0</v>
      </c>
      <c r="K797" s="107">
        <f>SUMIF(Comprometidos!A:A,'Cost Report'!G797,Comprometidos!E:E)</f>
        <v>0</v>
      </c>
      <c r="L797" s="107">
        <f t="shared" si="347"/>
        <v>0</v>
      </c>
      <c r="M797" s="107">
        <f t="shared" si="348"/>
        <v>0</v>
      </c>
      <c r="N797" s="107">
        <f t="shared" si="349"/>
        <v>0</v>
      </c>
      <c r="O797" s="107">
        <f>VLOOKUP(G797,Budget!$E$3:$G$2474,3,0)</f>
        <v>0</v>
      </c>
      <c r="P797" s="107">
        <f t="shared" si="350"/>
        <v>0</v>
      </c>
      <c r="Q797" s="107"/>
      <c r="R797" s="10"/>
      <c r="S797" s="107">
        <v>0</v>
      </c>
      <c r="T797" s="107">
        <f t="shared" si="339"/>
        <v>0</v>
      </c>
      <c r="U797" s="107"/>
      <c r="V797" s="175"/>
      <c r="W797" s="10"/>
      <c r="X797" s="10"/>
      <c r="Y797" t="str">
        <f t="shared" si="351"/>
        <v>2394</v>
      </c>
      <c r="AB797" s="10"/>
      <c r="AC797" s="10"/>
      <c r="AD797" s="10"/>
      <c r="AE797" s="10"/>
      <c r="AF797" s="10"/>
      <c r="AG797" s="10"/>
      <c r="AH797" s="10"/>
      <c r="AI797" s="10"/>
    </row>
    <row r="798" spans="1:35">
      <c r="A798" s="10"/>
      <c r="B798" s="10" t="str">
        <f t="shared" si="346"/>
        <v>Below the LineSHOOT</v>
      </c>
      <c r="C798" t="s">
        <v>20</v>
      </c>
      <c r="D798" t="s">
        <v>19</v>
      </c>
      <c r="E798" t="s">
        <v>236</v>
      </c>
      <c r="F798" t="s">
        <v>4318</v>
      </c>
      <c r="G798" t="s">
        <v>2472</v>
      </c>
      <c r="I798" s="10"/>
      <c r="J798" s="107">
        <f>SUMIF(Data!C:C,G798,Data!Q:Q)</f>
        <v>0</v>
      </c>
      <c r="K798" s="107">
        <f>SUMIF(Comprometidos!A:A,'Cost Report'!G798,Comprometidos!E:E)</f>
        <v>0</v>
      </c>
      <c r="L798" s="107">
        <f t="shared" si="347"/>
        <v>0</v>
      </c>
      <c r="M798" s="107">
        <v>0</v>
      </c>
      <c r="N798" s="107">
        <f t="shared" si="349"/>
        <v>0</v>
      </c>
      <c r="O798" s="107">
        <f>VLOOKUP(G798,Budget!$E$3:$G$2474,3,0)</f>
        <v>20000</v>
      </c>
      <c r="P798" s="107">
        <f t="shared" si="350"/>
        <v>20000</v>
      </c>
      <c r="Q798" s="107"/>
      <c r="R798" s="10"/>
      <c r="S798" s="107">
        <v>0</v>
      </c>
      <c r="T798" s="107">
        <f t="shared" si="339"/>
        <v>0</v>
      </c>
      <c r="U798" s="107"/>
      <c r="V798" s="175"/>
      <c r="W798" s="10"/>
      <c r="X798" s="10"/>
      <c r="Y798" t="str">
        <f t="shared" si="351"/>
        <v>2394</v>
      </c>
      <c r="AB798" s="10"/>
      <c r="AC798" s="10"/>
      <c r="AD798" s="10"/>
      <c r="AE798" s="10"/>
      <c r="AF798" s="10"/>
      <c r="AG798" s="10"/>
      <c r="AH798" s="10"/>
      <c r="AI798" s="10"/>
    </row>
    <row r="799" spans="1:35">
      <c r="A799" s="10"/>
      <c r="B799" s="10" t="str">
        <f t="shared" si="346"/>
        <v>Below the Line</v>
      </c>
      <c r="C799" t="s">
        <v>20</v>
      </c>
      <c r="D799" t="s">
        <v>19</v>
      </c>
      <c r="E799" t="s">
        <v>214</v>
      </c>
      <c r="F799" t="s">
        <v>4318</v>
      </c>
      <c r="G799" t="s">
        <v>2473</v>
      </c>
      <c r="I799" s="10"/>
      <c r="J799" s="107">
        <f>SUMIF(Data!C:C,G799,Data!Q:Q)</f>
        <v>0</v>
      </c>
      <c r="K799" s="107">
        <f>SUMIF(Comprometidos!A:A,'Cost Report'!G799,Comprometidos!E:E)</f>
        <v>0</v>
      </c>
      <c r="L799" s="107">
        <f t="shared" si="347"/>
        <v>0</v>
      </c>
      <c r="M799" s="107">
        <f t="shared" si="348"/>
        <v>0</v>
      </c>
      <c r="N799" s="107">
        <f t="shared" si="349"/>
        <v>0</v>
      </c>
      <c r="O799" s="107">
        <f>VLOOKUP(G799,Budget!$E$3:$G$2474,3,0)</f>
        <v>0</v>
      </c>
      <c r="P799" s="107">
        <f t="shared" si="350"/>
        <v>0</v>
      </c>
      <c r="Q799" s="107"/>
      <c r="R799" s="10"/>
      <c r="S799" s="107">
        <v>0</v>
      </c>
      <c r="T799" s="107">
        <f t="shared" si="339"/>
        <v>0</v>
      </c>
      <c r="U799" s="107"/>
      <c r="V799" s="175"/>
      <c r="W799" s="10"/>
      <c r="X799" s="10"/>
      <c r="Y799" t="str">
        <f t="shared" si="351"/>
        <v>2394</v>
      </c>
      <c r="AB799" s="10"/>
      <c r="AC799" s="10"/>
      <c r="AD799" s="10"/>
      <c r="AE799" s="10"/>
      <c r="AF799" s="10"/>
      <c r="AG799" s="10"/>
      <c r="AH799" s="10"/>
      <c r="AI799" s="10"/>
    </row>
    <row r="800" spans="1:35">
      <c r="A800" s="10"/>
      <c r="B800" s="10" t="str">
        <f t="shared" si="346"/>
        <v>Below the LineSHOOT</v>
      </c>
      <c r="C800" t="s">
        <v>20</v>
      </c>
      <c r="D800" t="s">
        <v>19</v>
      </c>
      <c r="E800" t="s">
        <v>236</v>
      </c>
      <c r="F800" t="s">
        <v>4318</v>
      </c>
      <c r="G800" t="s">
        <v>2474</v>
      </c>
      <c r="I800" s="10"/>
      <c r="J800" s="107">
        <f>SUMIF(Data!C:C,G800,Data!Q:Q)</f>
        <v>68048.569999999992</v>
      </c>
      <c r="K800" s="107">
        <f>SUMIF(Comprometidos!A:A,'Cost Report'!G800,Comprometidos!E:E)</f>
        <v>0</v>
      </c>
      <c r="L800" s="107">
        <f t="shared" si="347"/>
        <v>68048.569999999992</v>
      </c>
      <c r="M800" s="107">
        <v>0</v>
      </c>
      <c r="N800" s="107">
        <f t="shared" si="349"/>
        <v>68048.569999999992</v>
      </c>
      <c r="O800" s="107">
        <f>VLOOKUP(G800,Budget!$E$3:$G$2474,3,0)</f>
        <v>100000</v>
      </c>
      <c r="P800" s="107">
        <f t="shared" si="350"/>
        <v>31951.430000000008</v>
      </c>
      <c r="Q800" s="107"/>
      <c r="R800" s="10"/>
      <c r="S800" s="107">
        <v>68048.569999999992</v>
      </c>
      <c r="T800" s="107">
        <f t="shared" si="339"/>
        <v>0</v>
      </c>
      <c r="U800" s="107"/>
      <c r="V800" s="175"/>
      <c r="W800" s="10"/>
      <c r="X800" s="10"/>
      <c r="Y800" t="str">
        <f t="shared" si="351"/>
        <v>2394</v>
      </c>
      <c r="AB800" s="10"/>
      <c r="AC800" s="10"/>
      <c r="AD800" s="10"/>
      <c r="AE800" s="10"/>
      <c r="AF800" s="10"/>
      <c r="AG800" s="10"/>
      <c r="AH800" s="10"/>
      <c r="AI800" s="10"/>
    </row>
    <row r="801" spans="1:35">
      <c r="A801" s="10"/>
      <c r="B801" s="10" t="str">
        <f t="shared" si="346"/>
        <v>Below the Line</v>
      </c>
      <c r="C801" t="s">
        <v>20</v>
      </c>
      <c r="D801" t="s">
        <v>19</v>
      </c>
      <c r="E801" t="s">
        <v>214</v>
      </c>
      <c r="F801" t="s">
        <v>4318</v>
      </c>
      <c r="G801" t="s">
        <v>2475</v>
      </c>
      <c r="I801" s="10"/>
      <c r="J801" s="107">
        <f>SUMIF(Data!C:C,G801,Data!Q:Q)</f>
        <v>0</v>
      </c>
      <c r="K801" s="107">
        <f>SUMIF(Comprometidos!A:A,'Cost Report'!G801,Comprometidos!E:E)</f>
        <v>0</v>
      </c>
      <c r="L801" s="107">
        <f t="shared" si="347"/>
        <v>0</v>
      </c>
      <c r="M801" s="107">
        <f t="shared" si="348"/>
        <v>0</v>
      </c>
      <c r="N801" s="107">
        <f t="shared" si="349"/>
        <v>0</v>
      </c>
      <c r="O801" s="107">
        <f>VLOOKUP(G801,Budget!$E$3:$G$2474,3,0)</f>
        <v>0</v>
      </c>
      <c r="P801" s="107">
        <f t="shared" si="350"/>
        <v>0</v>
      </c>
      <c r="Q801" s="107"/>
      <c r="R801" s="10"/>
      <c r="S801" s="107">
        <v>0</v>
      </c>
      <c r="T801" s="107">
        <f t="shared" si="339"/>
        <v>0</v>
      </c>
      <c r="U801" s="107"/>
      <c r="V801" s="175"/>
      <c r="W801" s="10"/>
      <c r="X801" s="10"/>
      <c r="Y801" t="str">
        <f t="shared" si="351"/>
        <v>2394</v>
      </c>
      <c r="AB801" s="10"/>
      <c r="AC801" s="10"/>
      <c r="AD801" s="10"/>
      <c r="AE801" s="10"/>
      <c r="AF801" s="10"/>
      <c r="AG801" s="10"/>
      <c r="AH801" s="10"/>
      <c r="AI801" s="10"/>
    </row>
    <row r="802" spans="1:35">
      <c r="A802" s="10"/>
      <c r="B802" s="10" t="str">
        <f t="shared" si="346"/>
        <v>Below the LineSHOOT</v>
      </c>
      <c r="C802" t="s">
        <v>20</v>
      </c>
      <c r="D802" t="s">
        <v>19</v>
      </c>
      <c r="E802" t="s">
        <v>236</v>
      </c>
      <c r="F802" t="s">
        <v>4318</v>
      </c>
      <c r="G802" t="s">
        <v>2476</v>
      </c>
      <c r="I802" s="10"/>
      <c r="J802" s="107">
        <f>SUMIF(Data!C:C,G802,Data!Q:Q)</f>
        <v>8980.86</v>
      </c>
      <c r="K802" s="107">
        <f>SUMIF(Comprometidos!A:A,'Cost Report'!G802,Comprometidos!E:E)</f>
        <v>0</v>
      </c>
      <c r="L802" s="107">
        <f t="shared" si="347"/>
        <v>8980.86</v>
      </c>
      <c r="M802" s="107">
        <v>0</v>
      </c>
      <c r="N802" s="107">
        <f t="shared" si="349"/>
        <v>8980.86</v>
      </c>
      <c r="O802" s="107">
        <f>VLOOKUP(G802,Budget!$E$3:$G$2474,3,0)</f>
        <v>15000</v>
      </c>
      <c r="P802" s="107">
        <f t="shared" si="350"/>
        <v>6019.1399999999994</v>
      </c>
      <c r="Q802" s="107"/>
      <c r="R802" s="10"/>
      <c r="S802" s="107">
        <v>8980.86</v>
      </c>
      <c r="T802" s="107">
        <f t="shared" si="339"/>
        <v>0</v>
      </c>
      <c r="U802" s="107"/>
      <c r="V802" s="175"/>
      <c r="W802" s="10"/>
      <c r="X802" s="10"/>
      <c r="Y802" t="str">
        <f t="shared" si="351"/>
        <v>2394</v>
      </c>
      <c r="AB802" s="10"/>
      <c r="AC802" s="10"/>
      <c r="AD802" s="10"/>
      <c r="AE802" s="10"/>
      <c r="AF802" s="10"/>
      <c r="AG802" s="10"/>
      <c r="AH802" s="10"/>
      <c r="AI802" s="10"/>
    </row>
    <row r="803" spans="1:35">
      <c r="A803" s="10"/>
      <c r="B803" s="10" t="str">
        <f t="shared" si="346"/>
        <v>Below the Line</v>
      </c>
      <c r="C803" t="s">
        <v>20</v>
      </c>
      <c r="D803" t="s">
        <v>19</v>
      </c>
      <c r="E803" t="s">
        <v>214</v>
      </c>
      <c r="F803" t="s">
        <v>4318</v>
      </c>
      <c r="G803" t="s">
        <v>2477</v>
      </c>
      <c r="I803" s="10"/>
      <c r="J803" s="107">
        <f>SUMIF(Data!C:C,G803,Data!Q:Q)</f>
        <v>0</v>
      </c>
      <c r="K803" s="107">
        <f>SUMIF(Comprometidos!A:A,'Cost Report'!G803,Comprometidos!E:E)</f>
        <v>0</v>
      </c>
      <c r="L803" s="107">
        <f t="shared" si="347"/>
        <v>0</v>
      </c>
      <c r="M803" s="107">
        <f t="shared" si="348"/>
        <v>0</v>
      </c>
      <c r="N803" s="107">
        <f t="shared" si="349"/>
        <v>0</v>
      </c>
      <c r="O803" s="107">
        <f>VLOOKUP(G803,Budget!$E$3:$G$2474,3,0)</f>
        <v>0</v>
      </c>
      <c r="P803" s="107">
        <f t="shared" si="350"/>
        <v>0</v>
      </c>
      <c r="Q803" s="107"/>
      <c r="R803" s="10"/>
      <c r="S803" s="107">
        <v>0</v>
      </c>
      <c r="T803" s="107">
        <f t="shared" si="339"/>
        <v>0</v>
      </c>
      <c r="U803" s="107"/>
      <c r="V803" s="175"/>
      <c r="W803" s="10"/>
      <c r="X803" s="10"/>
      <c r="Y803" t="str">
        <f t="shared" si="351"/>
        <v>2394</v>
      </c>
      <c r="AB803" s="10"/>
      <c r="AC803" s="10"/>
      <c r="AD803" s="10"/>
      <c r="AE803" s="10"/>
      <c r="AF803" s="10"/>
      <c r="AG803" s="10"/>
      <c r="AH803" s="10"/>
      <c r="AI803" s="10"/>
    </row>
    <row r="804" spans="1:35">
      <c r="A804" s="10"/>
      <c r="B804" s="10" t="str">
        <f t="shared" si="346"/>
        <v>Below the LineSHOOT</v>
      </c>
      <c r="C804" t="s">
        <v>20</v>
      </c>
      <c r="D804" t="s">
        <v>19</v>
      </c>
      <c r="E804" t="s">
        <v>236</v>
      </c>
      <c r="F804" t="s">
        <v>4318</v>
      </c>
      <c r="G804" t="s">
        <v>2478</v>
      </c>
      <c r="I804" s="10"/>
      <c r="J804" s="107">
        <f>SUMIF(Data!C:C,G804,Data!Q:Q)</f>
        <v>662.07</v>
      </c>
      <c r="K804" s="107">
        <f>SUMIF(Comprometidos!A:A,'Cost Report'!G804,Comprometidos!E:E)</f>
        <v>0</v>
      </c>
      <c r="L804" s="107">
        <f t="shared" si="347"/>
        <v>662.07</v>
      </c>
      <c r="M804" s="107">
        <v>0</v>
      </c>
      <c r="N804" s="107">
        <f t="shared" si="349"/>
        <v>662.07</v>
      </c>
      <c r="O804" s="107">
        <f>VLOOKUP(G804,Budget!$E$3:$G$2474,3,0)</f>
        <v>25000</v>
      </c>
      <c r="P804" s="107">
        <f t="shared" si="350"/>
        <v>24337.93</v>
      </c>
      <c r="Q804" s="107"/>
      <c r="R804" s="10"/>
      <c r="S804" s="107">
        <v>662.07</v>
      </c>
      <c r="T804" s="107">
        <f t="shared" si="339"/>
        <v>0</v>
      </c>
      <c r="U804" s="107"/>
      <c r="V804" s="175"/>
      <c r="W804" s="10"/>
      <c r="X804" s="10"/>
      <c r="Y804" t="str">
        <f t="shared" si="351"/>
        <v>2394</v>
      </c>
      <c r="AB804" s="10"/>
      <c r="AC804" s="10"/>
      <c r="AD804" s="10"/>
      <c r="AE804" s="10"/>
      <c r="AF804" s="10"/>
      <c r="AG804" s="10"/>
      <c r="AH804" s="10"/>
      <c r="AI804" s="10"/>
    </row>
    <row r="805" spans="1:35">
      <c r="A805" s="10"/>
      <c r="B805" s="10" t="str">
        <f t="shared" si="346"/>
        <v>Below the Line</v>
      </c>
      <c r="C805" t="s">
        <v>20</v>
      </c>
      <c r="D805" t="s">
        <v>19</v>
      </c>
      <c r="E805" t="s">
        <v>214</v>
      </c>
      <c r="F805" t="s">
        <v>4318</v>
      </c>
      <c r="G805" t="s">
        <v>2479</v>
      </c>
      <c r="I805" s="10"/>
      <c r="J805" s="107">
        <f>SUMIF(Data!C:C,G805,Data!Q:Q)</f>
        <v>0</v>
      </c>
      <c r="K805" s="107">
        <f>SUMIF(Comprometidos!A:A,'Cost Report'!G805,Comprometidos!E:E)</f>
        <v>0</v>
      </c>
      <c r="L805" s="107">
        <f t="shared" si="347"/>
        <v>0</v>
      </c>
      <c r="M805" s="107">
        <f t="shared" si="348"/>
        <v>0</v>
      </c>
      <c r="N805" s="107">
        <f t="shared" si="349"/>
        <v>0</v>
      </c>
      <c r="O805" s="107">
        <f>VLOOKUP(G805,Budget!$E$3:$G$2474,3,0)</f>
        <v>0</v>
      </c>
      <c r="P805" s="107">
        <f t="shared" si="350"/>
        <v>0</v>
      </c>
      <c r="Q805" s="107"/>
      <c r="R805" s="10"/>
      <c r="S805" s="107">
        <v>0</v>
      </c>
      <c r="T805" s="107">
        <f t="shared" si="339"/>
        <v>0</v>
      </c>
      <c r="U805" s="107"/>
      <c r="V805" s="175"/>
      <c r="W805" s="10"/>
      <c r="X805" s="10"/>
      <c r="Y805" t="str">
        <f t="shared" si="351"/>
        <v>2394</v>
      </c>
      <c r="AB805" s="10"/>
      <c r="AC805" s="10"/>
      <c r="AD805" s="10"/>
      <c r="AE805" s="10"/>
      <c r="AF805" s="10"/>
      <c r="AG805" s="10"/>
      <c r="AH805" s="10"/>
      <c r="AI805" s="10"/>
    </row>
    <row r="806" spans="1:35">
      <c r="A806" s="10"/>
      <c r="B806" s="10" t="str">
        <f t="shared" si="346"/>
        <v>Below the LineSHOOT</v>
      </c>
      <c r="C806" t="s">
        <v>20</v>
      </c>
      <c r="D806" t="s">
        <v>19</v>
      </c>
      <c r="E806" t="s">
        <v>236</v>
      </c>
      <c r="F806" t="s">
        <v>4318</v>
      </c>
      <c r="G806" t="s">
        <v>2480</v>
      </c>
      <c r="I806" s="10"/>
      <c r="J806" s="107">
        <f>SUMIF(Data!C:C,G806,Data!Q:Q)</f>
        <v>24794</v>
      </c>
      <c r="K806" s="107">
        <f>SUMIF(Comprometidos!A:A,'Cost Report'!G806,Comprometidos!E:E)</f>
        <v>0</v>
      </c>
      <c r="L806" s="107">
        <f t="shared" si="347"/>
        <v>24794</v>
      </c>
      <c r="M806" s="107">
        <v>0</v>
      </c>
      <c r="N806" s="107">
        <f t="shared" si="349"/>
        <v>24794</v>
      </c>
      <c r="O806" s="107">
        <f>VLOOKUP(G806,Budget!$E$3:$G$2474,3,0)</f>
        <v>20000</v>
      </c>
      <c r="P806" s="107">
        <f t="shared" si="350"/>
        <v>-4794</v>
      </c>
      <c r="Q806" s="107"/>
      <c r="R806" s="10"/>
      <c r="S806" s="107">
        <v>24794</v>
      </c>
      <c r="T806" s="107">
        <f t="shared" si="339"/>
        <v>0</v>
      </c>
      <c r="U806" s="107"/>
      <c r="V806" s="175"/>
      <c r="W806" s="10"/>
      <c r="X806" s="10"/>
      <c r="Y806" t="str">
        <f t="shared" si="351"/>
        <v>2394</v>
      </c>
      <c r="AB806" s="10"/>
      <c r="AC806" s="10"/>
      <c r="AD806" s="10"/>
      <c r="AE806" s="10"/>
      <c r="AF806" s="10"/>
      <c r="AG806" s="10"/>
      <c r="AH806" s="10"/>
      <c r="AI806" s="10"/>
    </row>
    <row r="807" spans="1:35">
      <c r="A807" s="10"/>
      <c r="B807" s="10" t="str">
        <f t="shared" si="346"/>
        <v>Below the Line</v>
      </c>
      <c r="C807" t="s">
        <v>20</v>
      </c>
      <c r="D807" t="s">
        <v>19</v>
      </c>
      <c r="E807" t="s">
        <v>214</v>
      </c>
      <c r="F807" t="s">
        <v>4318</v>
      </c>
      <c r="G807" t="s">
        <v>2481</v>
      </c>
      <c r="I807" s="10"/>
      <c r="J807" s="107">
        <f>SUMIF(Data!C:C,G807,Data!Q:Q)</f>
        <v>0</v>
      </c>
      <c r="K807" s="107">
        <f>SUMIF(Comprometidos!A:A,'Cost Report'!G807,Comprometidos!E:E)</f>
        <v>0</v>
      </c>
      <c r="L807" s="107">
        <f t="shared" si="347"/>
        <v>0</v>
      </c>
      <c r="M807" s="107">
        <f t="shared" si="348"/>
        <v>0</v>
      </c>
      <c r="N807" s="107">
        <f t="shared" si="349"/>
        <v>0</v>
      </c>
      <c r="O807" s="107">
        <f>VLOOKUP(G807,Budget!$E$3:$G$2474,3,0)</f>
        <v>0</v>
      </c>
      <c r="P807" s="107">
        <f t="shared" si="350"/>
        <v>0</v>
      </c>
      <c r="Q807" s="107"/>
      <c r="R807" s="10"/>
      <c r="S807" s="107">
        <v>0</v>
      </c>
      <c r="T807" s="107">
        <f t="shared" si="339"/>
        <v>0</v>
      </c>
      <c r="U807" s="107"/>
      <c r="V807" s="175"/>
      <c r="W807" s="10"/>
      <c r="X807" s="10"/>
      <c r="Y807" t="str">
        <f t="shared" si="351"/>
        <v>2394</v>
      </c>
      <c r="AB807" s="10"/>
      <c r="AC807" s="10"/>
      <c r="AD807" s="10"/>
      <c r="AE807" s="10"/>
      <c r="AF807" s="10"/>
      <c r="AG807" s="10"/>
      <c r="AH807" s="10"/>
      <c r="AI807" s="10"/>
    </row>
    <row r="808" spans="1:35">
      <c r="A808" s="10"/>
      <c r="B808" s="10" t="str">
        <f t="shared" si="346"/>
        <v>Below the LineSHOOT</v>
      </c>
      <c r="C808" t="s">
        <v>20</v>
      </c>
      <c r="D808" t="s">
        <v>19</v>
      </c>
      <c r="E808" t="s">
        <v>236</v>
      </c>
      <c r="F808" t="s">
        <v>4318</v>
      </c>
      <c r="G808" t="s">
        <v>2482</v>
      </c>
      <c r="I808" s="10"/>
      <c r="J808" s="107">
        <f>SUMIF(Data!C:C,G808,Data!Q:Q)</f>
        <v>874.34</v>
      </c>
      <c r="K808" s="107">
        <f>SUMIF(Comprometidos!A:A,'Cost Report'!G808,Comprometidos!E:E)</f>
        <v>0</v>
      </c>
      <c r="L808" s="107">
        <f t="shared" si="347"/>
        <v>874.34</v>
      </c>
      <c r="M808" s="107">
        <v>0</v>
      </c>
      <c r="N808" s="107">
        <f t="shared" si="349"/>
        <v>874.34</v>
      </c>
      <c r="O808" s="107">
        <f>VLOOKUP(G808,Budget!$E$3:$G$2474,3,0)</f>
        <v>30000</v>
      </c>
      <c r="P808" s="107">
        <f t="shared" si="350"/>
        <v>29125.66</v>
      </c>
      <c r="Q808" s="107"/>
      <c r="R808" s="10"/>
      <c r="S808" s="107">
        <v>874.34</v>
      </c>
      <c r="T808" s="107">
        <f t="shared" si="339"/>
        <v>0</v>
      </c>
      <c r="U808" s="107"/>
      <c r="V808" s="175"/>
      <c r="W808" s="10"/>
      <c r="X808" s="10"/>
      <c r="Y808" t="str">
        <f t="shared" si="351"/>
        <v>2394</v>
      </c>
      <c r="AB808" s="10"/>
      <c r="AC808" s="10"/>
      <c r="AD808" s="10"/>
      <c r="AE808" s="10"/>
      <c r="AF808" s="10"/>
      <c r="AG808" s="10"/>
      <c r="AH808" s="10"/>
      <c r="AI808" s="10"/>
    </row>
    <row r="809" spans="1:35">
      <c r="A809" s="10"/>
      <c r="B809" s="10" t="str">
        <f t="shared" si="346"/>
        <v>Below the Line</v>
      </c>
      <c r="C809" t="s">
        <v>20</v>
      </c>
      <c r="D809" t="s">
        <v>19</v>
      </c>
      <c r="E809" t="s">
        <v>214</v>
      </c>
      <c r="F809" t="s">
        <v>4318</v>
      </c>
      <c r="G809" t="s">
        <v>2483</v>
      </c>
      <c r="I809" s="10"/>
      <c r="J809" s="107">
        <f>SUMIF(Data!C:C,G809,Data!Q:Q)</f>
        <v>0</v>
      </c>
      <c r="K809" s="107">
        <f>SUMIF(Comprometidos!A:A,'Cost Report'!G809,Comprometidos!E:E)</f>
        <v>0</v>
      </c>
      <c r="L809" s="107">
        <f t="shared" si="347"/>
        <v>0</v>
      </c>
      <c r="M809" s="107">
        <f t="shared" si="348"/>
        <v>0</v>
      </c>
      <c r="N809" s="107">
        <f t="shared" si="349"/>
        <v>0</v>
      </c>
      <c r="O809" s="107">
        <f>VLOOKUP(G809,Budget!$E$3:$G$2474,3,0)</f>
        <v>0</v>
      </c>
      <c r="P809" s="107">
        <f t="shared" si="350"/>
        <v>0</v>
      </c>
      <c r="Q809" s="107"/>
      <c r="R809" s="10"/>
      <c r="S809" s="107">
        <v>0</v>
      </c>
      <c r="T809" s="107">
        <f t="shared" si="339"/>
        <v>0</v>
      </c>
      <c r="U809" s="107"/>
      <c r="V809" s="175"/>
      <c r="W809" s="10"/>
      <c r="X809" s="10"/>
      <c r="Y809" t="str">
        <f t="shared" si="351"/>
        <v>2394</v>
      </c>
      <c r="AB809" s="10"/>
      <c r="AC809" s="10"/>
      <c r="AD809" s="10"/>
      <c r="AE809" s="10"/>
      <c r="AF809" s="10"/>
      <c r="AG809" s="10"/>
      <c r="AH809" s="10"/>
      <c r="AI809" s="10"/>
    </row>
    <row r="810" spans="1:35">
      <c r="A810" s="10"/>
      <c r="B810" s="10" t="str">
        <f t="shared" si="346"/>
        <v>Below the LineSHOOT</v>
      </c>
      <c r="C810" t="s">
        <v>20</v>
      </c>
      <c r="D810" t="s">
        <v>19</v>
      </c>
      <c r="E810" t="s">
        <v>236</v>
      </c>
      <c r="F810" t="s">
        <v>4318</v>
      </c>
      <c r="G810" t="s">
        <v>2484</v>
      </c>
      <c r="I810" s="10"/>
      <c r="J810" s="107">
        <f>SUMIF(Data!C:C,G810,Data!Q:Q)</f>
        <v>46200</v>
      </c>
      <c r="K810" s="107">
        <f>SUMIF(Comprometidos!A:A,'Cost Report'!G810,Comprometidos!E:E)</f>
        <v>0</v>
      </c>
      <c r="L810" s="107">
        <f t="shared" si="347"/>
        <v>46200</v>
      </c>
      <c r="M810" s="107">
        <f>+O810-L810+40000-13000-800</f>
        <v>0</v>
      </c>
      <c r="N810" s="107">
        <f t="shared" si="349"/>
        <v>46200</v>
      </c>
      <c r="O810" s="107">
        <f>VLOOKUP(G810,Budget!$E$3:$G$2474,3,0)</f>
        <v>20000</v>
      </c>
      <c r="P810" s="107">
        <f t="shared" si="350"/>
        <v>-26200</v>
      </c>
      <c r="Q810" s="107"/>
      <c r="R810" s="10"/>
      <c r="S810" s="107">
        <v>46200</v>
      </c>
      <c r="T810" s="107">
        <f t="shared" si="339"/>
        <v>0</v>
      </c>
      <c r="U810" s="107"/>
      <c r="V810" s="175"/>
      <c r="W810" s="10"/>
      <c r="X810" s="10"/>
      <c r="Y810" t="str">
        <f t="shared" si="351"/>
        <v>2394</v>
      </c>
      <c r="AB810" s="10"/>
      <c r="AC810" s="10"/>
      <c r="AD810" s="10"/>
      <c r="AE810" s="10"/>
      <c r="AF810" s="10"/>
      <c r="AG810" s="10"/>
      <c r="AH810" s="10"/>
      <c r="AI810" s="10"/>
    </row>
    <row r="811" spans="1:35">
      <c r="A811" s="10"/>
      <c r="B811" s="10" t="str">
        <f t="shared" si="346"/>
        <v>Below the Line</v>
      </c>
      <c r="C811" t="s">
        <v>20</v>
      </c>
      <c r="D811" t="s">
        <v>19</v>
      </c>
      <c r="E811" t="s">
        <v>214</v>
      </c>
      <c r="F811" t="s">
        <v>4318</v>
      </c>
      <c r="G811" t="s">
        <v>2485</v>
      </c>
      <c r="I811" s="10"/>
      <c r="J811" s="107">
        <f>SUMIF(Data!C:C,G811,Data!Q:Q)</f>
        <v>0</v>
      </c>
      <c r="K811" s="107">
        <f>SUMIF(Comprometidos!A:A,'Cost Report'!G811,Comprometidos!E:E)</f>
        <v>0</v>
      </c>
      <c r="L811" s="107">
        <f t="shared" si="347"/>
        <v>0</v>
      </c>
      <c r="M811" s="107">
        <f t="shared" si="348"/>
        <v>0</v>
      </c>
      <c r="N811" s="107">
        <f t="shared" si="349"/>
        <v>0</v>
      </c>
      <c r="O811" s="107">
        <f>VLOOKUP(G811,Budget!$E$3:$G$2474,3,0)</f>
        <v>0</v>
      </c>
      <c r="P811" s="107">
        <f t="shared" si="350"/>
        <v>0</v>
      </c>
      <c r="Q811" s="107"/>
      <c r="R811" s="10"/>
      <c r="S811" s="107">
        <v>0</v>
      </c>
      <c r="T811" s="107">
        <f t="shared" si="339"/>
        <v>0</v>
      </c>
      <c r="U811" s="107"/>
      <c r="V811" s="175"/>
      <c r="W811" s="10"/>
      <c r="X811" s="10"/>
      <c r="Y811" t="str">
        <f t="shared" si="351"/>
        <v>2394</v>
      </c>
      <c r="AB811" s="10"/>
      <c r="AC811" s="10"/>
      <c r="AD811" s="10"/>
      <c r="AE811" s="10"/>
      <c r="AF811" s="10"/>
      <c r="AG811" s="10"/>
      <c r="AH811" s="10"/>
      <c r="AI811" s="10"/>
    </row>
    <row r="812" spans="1:35">
      <c r="A812" s="10"/>
      <c r="B812" s="10" t="str">
        <f t="shared" si="346"/>
        <v>Below the LineSHOOT</v>
      </c>
      <c r="C812" t="s">
        <v>20</v>
      </c>
      <c r="D812" t="s">
        <v>19</v>
      </c>
      <c r="E812" t="s">
        <v>236</v>
      </c>
      <c r="F812" t="s">
        <v>4318</v>
      </c>
      <c r="G812" t="s">
        <v>2486</v>
      </c>
      <c r="I812" s="10"/>
      <c r="J812" s="107">
        <f>SUMIF(Data!C:C,G812,Data!Q:Q)</f>
        <v>20600</v>
      </c>
      <c r="K812" s="107">
        <f>SUMIF(Comprometidos!A:A,'Cost Report'!G812,Comprometidos!E:E)</f>
        <v>0</v>
      </c>
      <c r="L812" s="107">
        <f t="shared" si="347"/>
        <v>20600</v>
      </c>
      <c r="M812" s="107">
        <v>0</v>
      </c>
      <c r="N812" s="107">
        <f t="shared" si="349"/>
        <v>20600</v>
      </c>
      <c r="O812" s="107">
        <f>VLOOKUP(G812,Budget!$E$3:$G$2474,3,0)</f>
        <v>20000</v>
      </c>
      <c r="P812" s="107">
        <f t="shared" si="350"/>
        <v>-600</v>
      </c>
      <c r="Q812" s="107"/>
      <c r="R812" s="10"/>
      <c r="S812" s="107">
        <v>20600</v>
      </c>
      <c r="T812" s="107">
        <f t="shared" si="339"/>
        <v>0</v>
      </c>
      <c r="U812" s="107"/>
      <c r="V812" s="175"/>
      <c r="W812" s="10"/>
      <c r="X812" s="10"/>
      <c r="Y812" t="str">
        <f t="shared" si="351"/>
        <v>2394</v>
      </c>
      <c r="AB812" s="10"/>
      <c r="AC812" s="10"/>
      <c r="AD812" s="10"/>
      <c r="AE812" s="10"/>
      <c r="AF812" s="10"/>
      <c r="AG812" s="10"/>
      <c r="AH812" s="10"/>
      <c r="AI812" s="10"/>
    </row>
    <row r="813" spans="1:35">
      <c r="A813" s="10"/>
      <c r="B813" s="10" t="str">
        <f t="shared" si="346"/>
        <v>Below the Line</v>
      </c>
      <c r="C813" t="s">
        <v>20</v>
      </c>
      <c r="D813" t="s">
        <v>19</v>
      </c>
      <c r="E813" t="s">
        <v>214</v>
      </c>
      <c r="F813" t="s">
        <v>4318</v>
      </c>
      <c r="G813" t="s">
        <v>2487</v>
      </c>
      <c r="I813" s="10"/>
      <c r="J813" s="107">
        <f>SUMIF(Data!C:C,G813,Data!Q:Q)</f>
        <v>0</v>
      </c>
      <c r="K813" s="107">
        <f>SUMIF(Comprometidos!A:A,'Cost Report'!G813,Comprometidos!E:E)</f>
        <v>0</v>
      </c>
      <c r="L813" s="107">
        <f t="shared" si="347"/>
        <v>0</v>
      </c>
      <c r="M813" s="107">
        <f t="shared" si="348"/>
        <v>0</v>
      </c>
      <c r="N813" s="107">
        <f t="shared" si="349"/>
        <v>0</v>
      </c>
      <c r="O813" s="107">
        <f>VLOOKUP(G813,Budget!$E$3:$G$2474,3,0)</f>
        <v>0</v>
      </c>
      <c r="P813" s="107">
        <f t="shared" si="350"/>
        <v>0</v>
      </c>
      <c r="Q813" s="107"/>
      <c r="R813" s="10"/>
      <c r="S813" s="107">
        <v>0</v>
      </c>
      <c r="T813" s="107">
        <f t="shared" si="339"/>
        <v>0</v>
      </c>
      <c r="U813" s="107"/>
      <c r="V813" s="175"/>
      <c r="W813" s="10"/>
      <c r="X813" s="10"/>
      <c r="Y813" t="str">
        <f t="shared" si="351"/>
        <v>2394</v>
      </c>
      <c r="AB813" s="10"/>
      <c r="AC813" s="10"/>
      <c r="AD813" s="10"/>
      <c r="AE813" s="10"/>
      <c r="AF813" s="10"/>
      <c r="AG813" s="10"/>
      <c r="AH813" s="10"/>
      <c r="AI813" s="10"/>
    </row>
    <row r="814" spans="1:35">
      <c r="A814" s="10"/>
      <c r="B814" s="10" t="str">
        <f t="shared" si="346"/>
        <v>Below the LineSHOOT</v>
      </c>
      <c r="C814" t="s">
        <v>20</v>
      </c>
      <c r="D814" t="s">
        <v>19</v>
      </c>
      <c r="E814" t="s">
        <v>236</v>
      </c>
      <c r="F814" t="s">
        <v>4318</v>
      </c>
      <c r="G814" t="s">
        <v>2488</v>
      </c>
      <c r="I814" s="10"/>
      <c r="J814" s="107">
        <f>SUMIF(Data!C:C,G814,Data!Q:Q)</f>
        <v>0</v>
      </c>
      <c r="K814" s="107">
        <f>SUMIF(Comprometidos!A:A,'Cost Report'!G814,Comprometidos!E:E)</f>
        <v>0</v>
      </c>
      <c r="L814" s="107">
        <f t="shared" si="347"/>
        <v>0</v>
      </c>
      <c r="M814" s="107">
        <v>0</v>
      </c>
      <c r="N814" s="107">
        <f t="shared" si="349"/>
        <v>0</v>
      </c>
      <c r="O814" s="107">
        <f>VLOOKUP(G814,Budget!$E$3:$G$2474,3,0)</f>
        <v>30000</v>
      </c>
      <c r="P814" s="107">
        <f t="shared" si="350"/>
        <v>30000</v>
      </c>
      <c r="Q814" s="107"/>
      <c r="R814" s="10"/>
      <c r="S814" s="107">
        <v>0</v>
      </c>
      <c r="T814" s="107">
        <f t="shared" si="339"/>
        <v>0</v>
      </c>
      <c r="U814" s="107"/>
      <c r="V814" s="175"/>
      <c r="W814" s="10"/>
      <c r="X814" s="10"/>
      <c r="Y814" t="str">
        <f t="shared" si="351"/>
        <v>2394</v>
      </c>
      <c r="AB814" s="10"/>
      <c r="AC814" s="10"/>
      <c r="AD814" s="10"/>
      <c r="AE814" s="10"/>
      <c r="AF814" s="10"/>
      <c r="AG814" s="10"/>
      <c r="AH814" s="10"/>
      <c r="AI814" s="10"/>
    </row>
    <row r="815" spans="1:35">
      <c r="A815" s="10"/>
      <c r="B815" s="10" t="str">
        <f t="shared" si="346"/>
        <v>Below the Line</v>
      </c>
      <c r="C815" t="s">
        <v>20</v>
      </c>
      <c r="D815" t="s">
        <v>19</v>
      </c>
      <c r="E815" t="s">
        <v>214</v>
      </c>
      <c r="F815" t="s">
        <v>4318</v>
      </c>
      <c r="G815" t="s">
        <v>2489</v>
      </c>
      <c r="I815" s="10"/>
      <c r="J815" s="107">
        <f>SUMIF(Data!C:C,G815,Data!Q:Q)</f>
        <v>0</v>
      </c>
      <c r="K815" s="107">
        <f>SUMIF(Comprometidos!A:A,'Cost Report'!G815,Comprometidos!E:E)</f>
        <v>0</v>
      </c>
      <c r="L815" s="107">
        <f t="shared" si="347"/>
        <v>0</v>
      </c>
      <c r="M815" s="107">
        <f t="shared" si="348"/>
        <v>0</v>
      </c>
      <c r="N815" s="107">
        <f t="shared" si="349"/>
        <v>0</v>
      </c>
      <c r="O815" s="107">
        <f>VLOOKUP(G815,Budget!$E$3:$G$2474,3,0)</f>
        <v>0</v>
      </c>
      <c r="P815" s="107">
        <f t="shared" si="350"/>
        <v>0</v>
      </c>
      <c r="Q815" s="107"/>
      <c r="R815" s="10"/>
      <c r="S815" s="107">
        <v>0</v>
      </c>
      <c r="T815" s="107">
        <f t="shared" si="339"/>
        <v>0</v>
      </c>
      <c r="U815" s="107"/>
      <c r="V815" s="175"/>
      <c r="W815" s="10"/>
      <c r="X815" s="10"/>
      <c r="Y815" t="str">
        <f t="shared" si="351"/>
        <v>2394</v>
      </c>
      <c r="AB815" s="10"/>
      <c r="AC815" s="10"/>
      <c r="AD815" s="10"/>
      <c r="AE815" s="10"/>
      <c r="AF815" s="10"/>
      <c r="AG815" s="10"/>
      <c r="AH815" s="10"/>
      <c r="AI815" s="10"/>
    </row>
    <row r="816" spans="1:35">
      <c r="A816" s="10"/>
      <c r="B816" s="10" t="str">
        <f t="shared" si="346"/>
        <v>Below the LineSHOOT</v>
      </c>
      <c r="C816" t="s">
        <v>20</v>
      </c>
      <c r="D816" t="s">
        <v>19</v>
      </c>
      <c r="E816" t="s">
        <v>236</v>
      </c>
      <c r="F816" t="s">
        <v>4318</v>
      </c>
      <c r="G816" t="s">
        <v>2490</v>
      </c>
      <c r="I816" s="10"/>
      <c r="J816" s="107">
        <f>SUMIF(Data!C:C,G816,Data!Q:Q)</f>
        <v>0</v>
      </c>
      <c r="K816" s="107">
        <f>SUMIF(Comprometidos!A:A,'Cost Report'!G816,Comprometidos!E:E)</f>
        <v>0</v>
      </c>
      <c r="L816" s="107">
        <f t="shared" si="347"/>
        <v>0</v>
      </c>
      <c r="M816" s="107">
        <v>0</v>
      </c>
      <c r="N816" s="107">
        <f t="shared" si="349"/>
        <v>0</v>
      </c>
      <c r="O816" s="107">
        <f>VLOOKUP(G816,Budget!$E$3:$G$2474,3,0)</f>
        <v>15000</v>
      </c>
      <c r="P816" s="107">
        <f t="shared" si="350"/>
        <v>15000</v>
      </c>
      <c r="Q816" s="107"/>
      <c r="R816" s="10"/>
      <c r="S816" s="107">
        <v>0</v>
      </c>
      <c r="T816" s="107">
        <f t="shared" si="339"/>
        <v>0</v>
      </c>
      <c r="U816" s="107"/>
      <c r="V816" s="175"/>
      <c r="W816" s="10"/>
      <c r="X816" s="10"/>
      <c r="Y816" t="str">
        <f t="shared" si="351"/>
        <v>2394</v>
      </c>
      <c r="AB816" s="10"/>
      <c r="AC816" s="10"/>
      <c r="AD816" s="10"/>
      <c r="AE816" s="10"/>
      <c r="AF816" s="10"/>
      <c r="AG816" s="10"/>
      <c r="AH816" s="10"/>
      <c r="AI816" s="10"/>
    </row>
    <row r="817" spans="1:35">
      <c r="A817" s="10"/>
      <c r="B817" s="10" t="str">
        <f t="shared" si="346"/>
        <v>Below the Line</v>
      </c>
      <c r="C817" t="s">
        <v>20</v>
      </c>
      <c r="D817" t="s">
        <v>19</v>
      </c>
      <c r="E817" t="s">
        <v>214</v>
      </c>
      <c r="F817" t="s">
        <v>4318</v>
      </c>
      <c r="G817" t="s">
        <v>2491</v>
      </c>
      <c r="I817" s="10"/>
      <c r="J817" s="107">
        <f>SUMIF(Data!C:C,G817,Data!Q:Q)</f>
        <v>0</v>
      </c>
      <c r="K817" s="107">
        <f>SUMIF(Comprometidos!A:A,'Cost Report'!G817,Comprometidos!E:E)</f>
        <v>0</v>
      </c>
      <c r="L817" s="107">
        <f t="shared" si="347"/>
        <v>0</v>
      </c>
      <c r="M817" s="107">
        <f t="shared" si="348"/>
        <v>0</v>
      </c>
      <c r="N817" s="107">
        <f t="shared" si="349"/>
        <v>0</v>
      </c>
      <c r="O817" s="107">
        <f>VLOOKUP(G817,Budget!$E$3:$G$2474,3,0)</f>
        <v>0</v>
      </c>
      <c r="P817" s="107">
        <f t="shared" si="350"/>
        <v>0</v>
      </c>
      <c r="Q817" s="107"/>
      <c r="R817" s="10"/>
      <c r="S817" s="107">
        <v>0</v>
      </c>
      <c r="T817" s="107">
        <f t="shared" si="339"/>
        <v>0</v>
      </c>
      <c r="U817" s="107"/>
      <c r="V817" s="175"/>
      <c r="W817" s="10"/>
      <c r="X817" s="10"/>
      <c r="Y817" t="str">
        <f t="shared" si="351"/>
        <v>2394</v>
      </c>
      <c r="AB817" s="10"/>
      <c r="AC817" s="10"/>
      <c r="AD817" s="10"/>
      <c r="AE817" s="10"/>
      <c r="AF817" s="10"/>
      <c r="AG817" s="10"/>
      <c r="AH817" s="10"/>
      <c r="AI817" s="10"/>
    </row>
    <row r="818" spans="1:35">
      <c r="A818" s="10"/>
      <c r="B818" s="10" t="str">
        <f t="shared" si="346"/>
        <v>Below the LineSHOOT</v>
      </c>
      <c r="C818" t="s">
        <v>20</v>
      </c>
      <c r="D818" t="s">
        <v>19</v>
      </c>
      <c r="E818" t="s">
        <v>236</v>
      </c>
      <c r="F818" t="s">
        <v>4318</v>
      </c>
      <c r="G818" t="s">
        <v>2492</v>
      </c>
      <c r="I818" s="10"/>
      <c r="J818" s="107">
        <f>SUMIF(Data!C:C,G818,Data!Q:Q)</f>
        <v>0</v>
      </c>
      <c r="K818" s="107">
        <f>SUMIF(Comprometidos!A:A,'Cost Report'!G818,Comprometidos!E:E)</f>
        <v>0</v>
      </c>
      <c r="L818" s="107">
        <f t="shared" si="347"/>
        <v>0</v>
      </c>
      <c r="M818" s="107">
        <v>0</v>
      </c>
      <c r="N818" s="107">
        <f t="shared" si="349"/>
        <v>0</v>
      </c>
      <c r="O818" s="107">
        <f>VLOOKUP(G818,Budget!$E$3:$G$2474,3,0)</f>
        <v>10000</v>
      </c>
      <c r="P818" s="107">
        <f t="shared" si="350"/>
        <v>10000</v>
      </c>
      <c r="Q818" s="107"/>
      <c r="R818" s="10"/>
      <c r="S818" s="107">
        <v>0</v>
      </c>
      <c r="T818" s="107">
        <f t="shared" si="339"/>
        <v>0</v>
      </c>
      <c r="U818" s="107"/>
      <c r="V818" s="175"/>
      <c r="W818" s="10"/>
      <c r="X818" s="10"/>
      <c r="Y818" t="str">
        <f t="shared" si="351"/>
        <v>2394</v>
      </c>
      <c r="AB818" s="10"/>
      <c r="AC818" s="10"/>
      <c r="AD818" s="10"/>
      <c r="AE818" s="10"/>
      <c r="AF818" s="10"/>
      <c r="AG818" s="10"/>
      <c r="AH818" s="10"/>
      <c r="AI818" s="10"/>
    </row>
    <row r="819" spans="1:35">
      <c r="A819" s="10"/>
      <c r="B819" s="10" t="str">
        <f t="shared" si="346"/>
        <v>Below the Line</v>
      </c>
      <c r="C819" t="s">
        <v>20</v>
      </c>
      <c r="D819" t="s">
        <v>19</v>
      </c>
      <c r="E819" t="s">
        <v>214</v>
      </c>
      <c r="F819" t="s">
        <v>4318</v>
      </c>
      <c r="G819" t="s">
        <v>2493</v>
      </c>
      <c r="I819" s="10"/>
      <c r="J819" s="107">
        <f>SUMIF(Data!C:C,G819,Data!Q:Q)</f>
        <v>0</v>
      </c>
      <c r="K819" s="107">
        <f>SUMIF(Comprometidos!A:A,'Cost Report'!G819,Comprometidos!E:E)</f>
        <v>0</v>
      </c>
      <c r="L819" s="107">
        <f t="shared" si="347"/>
        <v>0</v>
      </c>
      <c r="M819" s="107">
        <f t="shared" si="348"/>
        <v>0</v>
      </c>
      <c r="N819" s="107">
        <f t="shared" si="349"/>
        <v>0</v>
      </c>
      <c r="O819" s="107">
        <f>VLOOKUP(G819,Budget!$E$3:$G$2474,3,0)</f>
        <v>0</v>
      </c>
      <c r="P819" s="107">
        <f t="shared" si="350"/>
        <v>0</v>
      </c>
      <c r="Q819" s="107"/>
      <c r="R819" s="10"/>
      <c r="S819" s="107">
        <v>0</v>
      </c>
      <c r="T819" s="107">
        <f t="shared" si="339"/>
        <v>0</v>
      </c>
      <c r="U819" s="107"/>
      <c r="V819" s="175"/>
      <c r="W819" s="10"/>
      <c r="X819" s="10"/>
      <c r="Y819" t="str">
        <f t="shared" si="351"/>
        <v>2394</v>
      </c>
      <c r="AB819" s="10"/>
      <c r="AC819" s="10"/>
      <c r="AD819" s="10"/>
      <c r="AE819" s="10"/>
      <c r="AF819" s="10"/>
      <c r="AG819" s="10"/>
      <c r="AH819" s="10"/>
      <c r="AI819" s="10"/>
    </row>
    <row r="820" spans="1:35">
      <c r="A820" s="10"/>
      <c r="B820" s="10" t="str">
        <f t="shared" si="346"/>
        <v>Below the LineSHOOT</v>
      </c>
      <c r="C820" t="s">
        <v>20</v>
      </c>
      <c r="D820" t="s">
        <v>19</v>
      </c>
      <c r="E820" t="s">
        <v>236</v>
      </c>
      <c r="F820" t="s">
        <v>4318</v>
      </c>
      <c r="G820" t="s">
        <v>2494</v>
      </c>
      <c r="I820" s="10"/>
      <c r="J820" s="107">
        <f>SUMIF(Data!C:C,G820,Data!Q:Q)</f>
        <v>31507.91</v>
      </c>
      <c r="K820" s="107">
        <f>SUMIF(Comprometidos!A:A,'Cost Report'!G820,Comprometidos!E:E)</f>
        <v>0</v>
      </c>
      <c r="L820" s="107">
        <f t="shared" si="347"/>
        <v>31507.91</v>
      </c>
      <c r="M820" s="107">
        <v>0</v>
      </c>
      <c r="N820" s="107">
        <f t="shared" si="349"/>
        <v>31507.91</v>
      </c>
      <c r="O820" s="107">
        <f>VLOOKUP(G820,Budget!$E$3:$G$2474,3,0)</f>
        <v>20000</v>
      </c>
      <c r="P820" s="107">
        <f t="shared" si="350"/>
        <v>-11507.91</v>
      </c>
      <c r="Q820" s="107"/>
      <c r="R820" s="10"/>
      <c r="S820" s="107">
        <v>31507.91</v>
      </c>
      <c r="T820" s="107">
        <f t="shared" si="339"/>
        <v>0</v>
      </c>
      <c r="U820" s="107"/>
      <c r="V820" s="175"/>
      <c r="W820" s="10"/>
      <c r="X820" s="10"/>
      <c r="Y820" t="str">
        <f t="shared" si="351"/>
        <v>2394</v>
      </c>
      <c r="AB820" s="10"/>
      <c r="AC820" s="10"/>
      <c r="AD820" s="10"/>
      <c r="AE820" s="10"/>
      <c r="AF820" s="10"/>
      <c r="AG820" s="10"/>
      <c r="AH820" s="10"/>
      <c r="AI820" s="10"/>
    </row>
    <row r="821" spans="1:35">
      <c r="A821" s="10"/>
      <c r="B821" s="10" t="str">
        <f t="shared" si="346"/>
        <v>Below the Line</v>
      </c>
      <c r="C821" t="s">
        <v>20</v>
      </c>
      <c r="D821" t="s">
        <v>19</v>
      </c>
      <c r="E821" t="s">
        <v>214</v>
      </c>
      <c r="F821" t="s">
        <v>4318</v>
      </c>
      <c r="G821" t="s">
        <v>2495</v>
      </c>
      <c r="I821" s="10"/>
      <c r="J821" s="107">
        <f>SUMIF(Data!C:C,G821,Data!Q:Q)</f>
        <v>0</v>
      </c>
      <c r="K821" s="107">
        <f>SUMIF(Comprometidos!A:A,'Cost Report'!G821,Comprometidos!E:E)</f>
        <v>0</v>
      </c>
      <c r="L821" s="107">
        <f t="shared" si="347"/>
        <v>0</v>
      </c>
      <c r="M821" s="107">
        <f t="shared" si="348"/>
        <v>0</v>
      </c>
      <c r="N821" s="107">
        <f t="shared" si="349"/>
        <v>0</v>
      </c>
      <c r="O821" s="107">
        <f>VLOOKUP(G821,Budget!$E$3:$G$2474,3,0)</f>
        <v>0</v>
      </c>
      <c r="P821" s="107">
        <f t="shared" si="350"/>
        <v>0</v>
      </c>
      <c r="Q821" s="107"/>
      <c r="R821" s="10"/>
      <c r="S821" s="107">
        <v>0</v>
      </c>
      <c r="T821" s="107">
        <f t="shared" si="339"/>
        <v>0</v>
      </c>
      <c r="U821" s="107"/>
      <c r="V821" s="175"/>
      <c r="W821" s="10"/>
      <c r="X821" s="10"/>
      <c r="Y821" t="str">
        <f t="shared" si="351"/>
        <v>2394</v>
      </c>
      <c r="AB821" s="10"/>
      <c r="AC821" s="10"/>
      <c r="AD821" s="10"/>
      <c r="AE821" s="10"/>
      <c r="AF821" s="10"/>
      <c r="AG821" s="10"/>
      <c r="AH821" s="10"/>
      <c r="AI821" s="10"/>
    </row>
    <row r="822" spans="1:35">
      <c r="A822" s="10"/>
      <c r="B822" s="10" t="str">
        <f t="shared" si="346"/>
        <v>Below the LineSHOOT</v>
      </c>
      <c r="C822" t="s">
        <v>20</v>
      </c>
      <c r="D822" t="s">
        <v>19</v>
      </c>
      <c r="E822" t="s">
        <v>236</v>
      </c>
      <c r="F822" t="s">
        <v>4318</v>
      </c>
      <c r="G822" t="s">
        <v>2496</v>
      </c>
      <c r="I822" s="10"/>
      <c r="J822" s="107">
        <f>SUMIF(Data!C:C,G822,Data!Q:Q)</f>
        <v>0</v>
      </c>
      <c r="K822" s="107">
        <f>SUMIF(Comprometidos!A:A,'Cost Report'!G822,Comprometidos!E:E)</f>
        <v>0</v>
      </c>
      <c r="L822" s="107">
        <f t="shared" si="347"/>
        <v>0</v>
      </c>
      <c r="M822" s="107">
        <v>0</v>
      </c>
      <c r="N822" s="107">
        <f t="shared" si="349"/>
        <v>0</v>
      </c>
      <c r="O822" s="107">
        <f>VLOOKUP(G822,Budget!$E$3:$G$2474,3,0)</f>
        <v>10000</v>
      </c>
      <c r="P822" s="107">
        <f t="shared" si="350"/>
        <v>10000</v>
      </c>
      <c r="Q822" s="107"/>
      <c r="R822" s="10"/>
      <c r="S822" s="107">
        <v>0</v>
      </c>
      <c r="T822" s="107">
        <f t="shared" si="339"/>
        <v>0</v>
      </c>
      <c r="U822" s="107"/>
      <c r="V822" s="175"/>
      <c r="W822" s="10"/>
      <c r="X822" s="10"/>
      <c r="Y822" t="str">
        <f t="shared" si="351"/>
        <v>2394</v>
      </c>
      <c r="AB822" s="10"/>
      <c r="AC822" s="10"/>
      <c r="AD822" s="10"/>
      <c r="AE822" s="10"/>
      <c r="AF822" s="10"/>
      <c r="AG822" s="10"/>
      <c r="AH822" s="10"/>
      <c r="AI822" s="10"/>
    </row>
    <row r="823" spans="1:35">
      <c r="A823" s="10"/>
      <c r="B823" s="10" t="str">
        <f t="shared" si="346"/>
        <v>Below the Line</v>
      </c>
      <c r="C823" t="s">
        <v>20</v>
      </c>
      <c r="D823" t="s">
        <v>19</v>
      </c>
      <c r="E823" t="s">
        <v>214</v>
      </c>
      <c r="F823" t="s">
        <v>4318</v>
      </c>
      <c r="G823" t="s">
        <v>2497</v>
      </c>
      <c r="I823" s="10"/>
      <c r="J823" s="107">
        <f>SUMIF(Data!C:C,G823,Data!Q:Q)</f>
        <v>0</v>
      </c>
      <c r="K823" s="107">
        <f>SUMIF(Comprometidos!A:A,'Cost Report'!G823,Comprometidos!E:E)</f>
        <v>0</v>
      </c>
      <c r="L823" s="107">
        <f t="shared" si="347"/>
        <v>0</v>
      </c>
      <c r="M823" s="107">
        <f t="shared" si="348"/>
        <v>0</v>
      </c>
      <c r="N823" s="107">
        <f t="shared" si="349"/>
        <v>0</v>
      </c>
      <c r="O823" s="107">
        <f>VLOOKUP(G823,Budget!$E$3:$G$2474,3,0)</f>
        <v>0</v>
      </c>
      <c r="P823" s="107">
        <f t="shared" si="350"/>
        <v>0</v>
      </c>
      <c r="Q823" s="107"/>
      <c r="R823" s="10"/>
      <c r="S823" s="107">
        <v>0</v>
      </c>
      <c r="T823" s="107">
        <f t="shared" si="339"/>
        <v>0</v>
      </c>
      <c r="U823" s="107"/>
      <c r="V823" s="175"/>
      <c r="W823" s="10"/>
      <c r="X823" s="10"/>
      <c r="Y823" t="str">
        <f t="shared" si="351"/>
        <v>2394</v>
      </c>
      <c r="AB823" s="10"/>
      <c r="AC823" s="10"/>
      <c r="AD823" s="10"/>
      <c r="AE823" s="10"/>
      <c r="AF823" s="10"/>
      <c r="AG823" s="10"/>
      <c r="AH823" s="10"/>
      <c r="AI823" s="10"/>
    </row>
    <row r="824" spans="1:35">
      <c r="A824" s="10"/>
      <c r="B824" s="10" t="str">
        <f t="shared" si="346"/>
        <v>Below the LineSHOOT</v>
      </c>
      <c r="C824" t="s">
        <v>20</v>
      </c>
      <c r="D824" t="s">
        <v>19</v>
      </c>
      <c r="E824" t="s">
        <v>236</v>
      </c>
      <c r="F824" t="s">
        <v>4318</v>
      </c>
      <c r="G824" t="s">
        <v>2498</v>
      </c>
      <c r="I824" s="10"/>
      <c r="J824" s="107">
        <f>SUMIF(Data!C:C,G824,Data!Q:Q)</f>
        <v>0</v>
      </c>
      <c r="K824" s="107">
        <f>SUMIF(Comprometidos!A:A,'Cost Report'!G824,Comprometidos!E:E)</f>
        <v>0</v>
      </c>
      <c r="L824" s="107">
        <f t="shared" si="347"/>
        <v>0</v>
      </c>
      <c r="M824" s="107">
        <v>0</v>
      </c>
      <c r="N824" s="107">
        <f t="shared" si="349"/>
        <v>0</v>
      </c>
      <c r="O824" s="107">
        <f>VLOOKUP(G824,Budget!$E$3:$G$2474,3,0)</f>
        <v>40000</v>
      </c>
      <c r="P824" s="107">
        <f t="shared" si="350"/>
        <v>40000</v>
      </c>
      <c r="Q824" s="107"/>
      <c r="R824" s="10"/>
      <c r="S824" s="107">
        <v>0</v>
      </c>
      <c r="T824" s="107">
        <f t="shared" si="339"/>
        <v>0</v>
      </c>
      <c r="U824" s="107"/>
      <c r="V824" s="175"/>
      <c r="W824" s="10"/>
      <c r="X824" s="10"/>
      <c r="Y824" t="str">
        <f t="shared" si="351"/>
        <v>2394</v>
      </c>
      <c r="AB824" s="10"/>
      <c r="AC824" s="10"/>
      <c r="AD824" s="10"/>
      <c r="AE824" s="10"/>
      <c r="AF824" s="10"/>
      <c r="AG824" s="10"/>
      <c r="AH824" s="10"/>
      <c r="AI824" s="10"/>
    </row>
    <row r="825" spans="1:35">
      <c r="A825" s="10"/>
      <c r="B825" s="10" t="str">
        <f t="shared" si="346"/>
        <v>Below the Line</v>
      </c>
      <c r="C825" t="s">
        <v>20</v>
      </c>
      <c r="D825" t="s">
        <v>19</v>
      </c>
      <c r="E825" t="s">
        <v>214</v>
      </c>
      <c r="F825" t="s">
        <v>4318</v>
      </c>
      <c r="G825" t="s">
        <v>2499</v>
      </c>
      <c r="I825" s="10"/>
      <c r="J825" s="107">
        <f>SUMIF(Data!C:C,G825,Data!Q:Q)</f>
        <v>0</v>
      </c>
      <c r="K825" s="107">
        <f>SUMIF(Comprometidos!A:A,'Cost Report'!G825,Comprometidos!E:E)</f>
        <v>0</v>
      </c>
      <c r="L825" s="107">
        <f t="shared" si="347"/>
        <v>0</v>
      </c>
      <c r="M825" s="107">
        <f t="shared" si="348"/>
        <v>0</v>
      </c>
      <c r="N825" s="107">
        <f t="shared" si="349"/>
        <v>0</v>
      </c>
      <c r="O825" s="107">
        <f>VLOOKUP(G825,Budget!$E$3:$G$2474,3,0)</f>
        <v>0</v>
      </c>
      <c r="P825" s="107">
        <f t="shared" si="350"/>
        <v>0</v>
      </c>
      <c r="Q825" s="107"/>
      <c r="R825" s="10"/>
      <c r="S825" s="107">
        <v>0</v>
      </c>
      <c r="T825" s="107">
        <f t="shared" si="339"/>
        <v>0</v>
      </c>
      <c r="U825" s="107"/>
      <c r="V825" s="175"/>
      <c r="W825" s="10"/>
      <c r="X825" s="10"/>
      <c r="Y825" t="str">
        <f t="shared" si="351"/>
        <v>2394</v>
      </c>
      <c r="AB825" s="10"/>
      <c r="AC825" s="10"/>
      <c r="AD825" s="10"/>
      <c r="AE825" s="10"/>
      <c r="AF825" s="10"/>
      <c r="AG825" s="10"/>
      <c r="AH825" s="10"/>
      <c r="AI825" s="10"/>
    </row>
    <row r="826" spans="1:35">
      <c r="A826" s="10"/>
      <c r="B826" s="10" t="str">
        <f t="shared" si="346"/>
        <v>Below the LineSHOOT</v>
      </c>
      <c r="C826" t="s">
        <v>20</v>
      </c>
      <c r="D826" t="s">
        <v>19</v>
      </c>
      <c r="E826" t="s">
        <v>236</v>
      </c>
      <c r="F826" t="s">
        <v>4318</v>
      </c>
      <c r="G826" t="s">
        <v>2500</v>
      </c>
      <c r="I826" s="10"/>
      <c r="J826" s="107">
        <f>SUMIF(Data!C:C,G826,Data!Q:Q)</f>
        <v>5485.6900000000005</v>
      </c>
      <c r="K826" s="107">
        <f>SUMIF(Comprometidos!A:A,'Cost Report'!G826,Comprometidos!E:E)</f>
        <v>0</v>
      </c>
      <c r="L826" s="107">
        <f t="shared" si="347"/>
        <v>5485.6900000000005</v>
      </c>
      <c r="M826" s="107">
        <v>0</v>
      </c>
      <c r="N826" s="107">
        <f t="shared" si="349"/>
        <v>5485.6900000000005</v>
      </c>
      <c r="O826" s="107">
        <f>VLOOKUP(G826,Budget!$E$3:$G$2474,3,0)</f>
        <v>65000</v>
      </c>
      <c r="P826" s="107">
        <f t="shared" si="350"/>
        <v>59514.31</v>
      </c>
      <c r="Q826" s="107"/>
      <c r="R826" s="10"/>
      <c r="S826" s="107">
        <v>5485.6900000000005</v>
      </c>
      <c r="T826" s="107">
        <f t="shared" si="339"/>
        <v>0</v>
      </c>
      <c r="U826" s="107"/>
      <c r="V826" s="175"/>
      <c r="W826" s="10"/>
      <c r="X826" s="10"/>
      <c r="Y826" t="str">
        <f t="shared" si="351"/>
        <v>2394</v>
      </c>
      <c r="AB826" s="10"/>
      <c r="AC826" s="10"/>
      <c r="AD826" s="10"/>
      <c r="AE826" s="10"/>
      <c r="AF826" s="10"/>
      <c r="AG826" s="10"/>
      <c r="AH826" s="10"/>
      <c r="AI826" s="10"/>
    </row>
    <row r="827" spans="1:35">
      <c r="A827" s="10"/>
      <c r="B827" s="10" t="str">
        <f>+C827</f>
        <v>Below the Line</v>
      </c>
      <c r="C827" s="128" t="s">
        <v>20</v>
      </c>
      <c r="D827" s="128" t="s">
        <v>2117</v>
      </c>
      <c r="E827" s="128"/>
      <c r="F827" s="128"/>
      <c r="G827" s="128" t="s">
        <v>570</v>
      </c>
      <c r="H827" s="128"/>
      <c r="I827" s="10"/>
      <c r="J827" s="129">
        <f>SUMIF($Y$11:$Y$2484,G827,J$11:J$2484)</f>
        <v>58401.47</v>
      </c>
      <c r="K827" s="129">
        <f>SUMIF($Y$11:$Y$2484,G827,K$11:K$2484)</f>
        <v>0</v>
      </c>
      <c r="L827" s="129">
        <f>SUMIF($Y$11:$Y$2484,G827,L$11:L$2484)</f>
        <v>58401.47</v>
      </c>
      <c r="M827" s="129">
        <f>SUMIF($Y$11:$Y$2484,G827,M$11:M$2484)</f>
        <v>0</v>
      </c>
      <c r="N827" s="129">
        <f>SUMIF($Y$11:$Y$2484,G827,N$11:N$2484)</f>
        <v>58401.47</v>
      </c>
      <c r="O827" s="129">
        <f>SUMIF($Y$11:$Y$2484,G827,O$11:O$2484)</f>
        <v>60000</v>
      </c>
      <c r="P827" s="129">
        <f>SUMIF($Y$11:$Y$2484,G827,P$11:P$2484)</f>
        <v>1598.5299999999988</v>
      </c>
      <c r="Q827" s="129"/>
      <c r="R827" s="10"/>
      <c r="S827" s="129">
        <v>58401.47</v>
      </c>
      <c r="T827" s="129">
        <f t="shared" si="339"/>
        <v>0</v>
      </c>
      <c r="U827" s="128"/>
      <c r="V827" s="175"/>
      <c r="W827" s="10"/>
      <c r="X827" s="10"/>
      <c r="Z827" t="str">
        <f>LEFT(G827,2)</f>
        <v>23</v>
      </c>
      <c r="AA827" t="str">
        <f>+Z827&amp;"00"</f>
        <v>2300</v>
      </c>
      <c r="AB827" s="10"/>
      <c r="AC827" s="10"/>
      <c r="AD827" s="10"/>
      <c r="AE827" s="10"/>
      <c r="AF827" s="10"/>
      <c r="AG827" s="10"/>
      <c r="AH827" s="10"/>
      <c r="AI827" s="10"/>
    </row>
    <row r="828" spans="1:35">
      <c r="A828" s="10"/>
      <c r="B828" s="10" t="str">
        <f t="shared" ref="B828:B829" si="352">+C828&amp;E828</f>
        <v>Below the Line</v>
      </c>
      <c r="C828" t="s">
        <v>20</v>
      </c>
      <c r="D828" t="s">
        <v>19</v>
      </c>
      <c r="E828" t="s">
        <v>214</v>
      </c>
      <c r="G828" t="s">
        <v>571</v>
      </c>
      <c r="I828" s="10"/>
      <c r="J828" s="107">
        <f>SUMIF(Data!C:C,G828,Data!Q:Q)</f>
        <v>0</v>
      </c>
      <c r="K828" s="107">
        <f>SUMIF(Comprometidos!A:A,'Cost Report'!G828,Comprometidos!E:E)</f>
        <v>0</v>
      </c>
      <c r="L828" s="107">
        <f t="shared" ref="L828:L829" si="353">+J828+K828</f>
        <v>0</v>
      </c>
      <c r="M828" s="107">
        <f t="shared" ref="M828" si="354">+O828-L828</f>
        <v>0</v>
      </c>
      <c r="N828" s="107">
        <f t="shared" ref="N828:N829" si="355">+L828+M828</f>
        <v>0</v>
      </c>
      <c r="O828" s="107">
        <f>VLOOKUP(G828,Budget!$E$3:$G$2474,3,0)</f>
        <v>0</v>
      </c>
      <c r="P828" s="107">
        <f t="shared" ref="P828:P829" si="356">+O828-N828</f>
        <v>0</v>
      </c>
      <c r="Q828" s="107"/>
      <c r="R828" s="10"/>
      <c r="S828" s="107">
        <v>0</v>
      </c>
      <c r="T828" s="107">
        <f t="shared" si="339"/>
        <v>0</v>
      </c>
      <c r="U828" s="107"/>
      <c r="V828" s="175"/>
      <c r="W828" s="10"/>
      <c r="X828" s="10"/>
      <c r="Y828" t="str">
        <f t="shared" ref="Y828:Y829" si="357">LEFT(G828,4)</f>
        <v>2398</v>
      </c>
      <c r="AB828" s="10"/>
      <c r="AC828" s="10"/>
      <c r="AD828" s="10"/>
      <c r="AE828" s="10"/>
      <c r="AF828" s="10"/>
      <c r="AG828" s="10"/>
      <c r="AH828" s="10"/>
      <c r="AI828" s="10"/>
    </row>
    <row r="829" spans="1:35">
      <c r="A829" s="10"/>
      <c r="B829" s="10" t="str">
        <f t="shared" si="352"/>
        <v>Below the LineSHOOT</v>
      </c>
      <c r="C829" t="s">
        <v>20</v>
      </c>
      <c r="D829" t="s">
        <v>19</v>
      </c>
      <c r="E829" t="s">
        <v>236</v>
      </c>
      <c r="F829" t="s">
        <v>4318</v>
      </c>
      <c r="G829" t="s">
        <v>2501</v>
      </c>
      <c r="I829" s="10"/>
      <c r="J829" s="107">
        <f>SUMIF(Data!C:C,G829,Data!Q:Q)</f>
        <v>58401.47</v>
      </c>
      <c r="K829" s="107">
        <f>SUMIF(Comprometidos!A:A,'Cost Report'!G829,Comprometidos!E:E)</f>
        <v>0</v>
      </c>
      <c r="L829" s="107">
        <f t="shared" si="353"/>
        <v>58401.47</v>
      </c>
      <c r="M829" s="107">
        <v>0</v>
      </c>
      <c r="N829" s="107">
        <f t="shared" si="355"/>
        <v>58401.47</v>
      </c>
      <c r="O829" s="107">
        <f>VLOOKUP(G829,Budget!$E$3:$G$2474,3,0)</f>
        <v>60000</v>
      </c>
      <c r="P829" s="107">
        <f t="shared" si="356"/>
        <v>1598.5299999999988</v>
      </c>
      <c r="Q829" s="107"/>
      <c r="R829" s="10"/>
      <c r="S829" s="107">
        <v>58401.47</v>
      </c>
      <c r="T829" s="107">
        <f t="shared" si="339"/>
        <v>0</v>
      </c>
      <c r="U829" s="107"/>
      <c r="V829" s="175"/>
      <c r="W829" s="10"/>
      <c r="X829" s="10"/>
      <c r="Y829" t="str">
        <f t="shared" si="357"/>
        <v>2398</v>
      </c>
      <c r="AB829" s="10"/>
      <c r="AC829" s="10"/>
      <c r="AD829" s="10"/>
      <c r="AE829" s="10"/>
      <c r="AF829" s="10"/>
      <c r="AG829" s="10"/>
      <c r="AH829" s="10"/>
      <c r="AI829" s="10"/>
    </row>
    <row r="830" spans="1:35">
      <c r="A830" s="10"/>
      <c r="B830" s="10"/>
      <c r="C830" s="170" t="s">
        <v>20</v>
      </c>
      <c r="D830" s="170" t="s">
        <v>8</v>
      </c>
      <c r="E830" s="170"/>
      <c r="F830" s="170"/>
      <c r="G830" s="170" t="s">
        <v>572</v>
      </c>
      <c r="H830" s="170"/>
      <c r="I830" s="10"/>
      <c r="J830" s="169">
        <f>SUMIF($AA$10:$AA$2484,G830,J$10:J$2484)</f>
        <v>5254387.1569999997</v>
      </c>
      <c r="K830" s="169">
        <f>SUMIF($AA$10:$AA$2484,G830,K$10:K$2484)</f>
        <v>0</v>
      </c>
      <c r="L830" s="169">
        <f>SUMIF($AA$10:$AA$2484,G830,L$10:L$2484)</f>
        <v>5254387.1569999997</v>
      </c>
      <c r="M830" s="169">
        <f>SUMIF($AA$10:$AA$2484,G830,M$10:M$2484)</f>
        <v>0</v>
      </c>
      <c r="N830" s="169">
        <f>SUMIF($AA$10:$AA$2484,G830,N$10:N$2484)</f>
        <v>5254387.1569999997</v>
      </c>
      <c r="O830" s="169">
        <f>SUMIF($AA$10:$AA$2484,G830,O$10:O$2484)</f>
        <v>5268025</v>
      </c>
      <c r="P830" s="168">
        <f>SUMIF($AA$10:$AA$2484,G830,P$10:P$2484)</f>
        <v>13637.842999999877</v>
      </c>
      <c r="Q830" s="169"/>
      <c r="R830" s="10"/>
      <c r="S830" s="164">
        <v>5245329.5900000008</v>
      </c>
      <c r="T830" s="164">
        <f t="shared" si="339"/>
        <v>-9057.566999998875</v>
      </c>
      <c r="U830" s="163"/>
      <c r="V830" s="175"/>
      <c r="W830" s="10"/>
      <c r="X830" s="10"/>
      <c r="AB830" s="10"/>
      <c r="AC830" s="10"/>
      <c r="AD830" s="10"/>
      <c r="AE830" s="10"/>
      <c r="AF830" s="10"/>
      <c r="AG830" s="10"/>
      <c r="AH830" s="10"/>
      <c r="AI830" s="10"/>
    </row>
    <row r="831" spans="1:35">
      <c r="A831" s="10"/>
      <c r="B831" s="10" t="str">
        <f>+C831</f>
        <v>Below the Line</v>
      </c>
      <c r="C831" s="128" t="s">
        <v>20</v>
      </c>
      <c r="D831" s="128" t="s">
        <v>2117</v>
      </c>
      <c r="E831" s="128"/>
      <c r="F831" s="128"/>
      <c r="G831" s="128" t="s">
        <v>573</v>
      </c>
      <c r="H831" s="128"/>
      <c r="I831" s="10"/>
      <c r="J831" s="129">
        <f>SUMIF($Y$11:$Y$2484,G831,J$11:J$2484)</f>
        <v>810743.33</v>
      </c>
      <c r="K831" s="129">
        <f>SUMIF($Y$11:$Y$2484,G831,K$11:K$2484)</f>
        <v>0</v>
      </c>
      <c r="L831" s="129">
        <f>SUMIF($Y$11:$Y$2484,G831,L$11:L$2484)</f>
        <v>810743.33</v>
      </c>
      <c r="M831" s="129">
        <f>SUMIF($Y$11:$Y$2484,G831,M$11:M$2484)</f>
        <v>0</v>
      </c>
      <c r="N831" s="129">
        <f>SUMIF($Y$11:$Y$2484,G831,N$11:N$2484)</f>
        <v>810743.33</v>
      </c>
      <c r="O831" s="129">
        <f>SUMIF($Y$11:$Y$2484,G831,O$11:O$2484)</f>
        <v>788425</v>
      </c>
      <c r="P831" s="129">
        <f>SUMIF($Y$11:$Y$2484,G831,P$11:P$2484)</f>
        <v>-22318.329999999998</v>
      </c>
      <c r="Q831" s="129"/>
      <c r="R831" s="10"/>
      <c r="S831" s="129">
        <v>810743.33</v>
      </c>
      <c r="T831" s="129">
        <f t="shared" si="339"/>
        <v>0</v>
      </c>
      <c r="U831" s="128"/>
      <c r="V831" s="175"/>
      <c r="W831" s="10"/>
      <c r="X831" s="10"/>
      <c r="Z831" t="str">
        <f>LEFT(G831,2)</f>
        <v>24</v>
      </c>
      <c r="AA831" t="str">
        <f>+Z831&amp;"00"</f>
        <v>2400</v>
      </c>
      <c r="AB831" s="10"/>
      <c r="AC831" s="10"/>
      <c r="AD831" s="10"/>
      <c r="AE831" s="10"/>
      <c r="AF831" s="10"/>
      <c r="AG831" s="10"/>
      <c r="AH831" s="10"/>
      <c r="AI831" s="10"/>
    </row>
    <row r="832" spans="1:35">
      <c r="A832" s="10"/>
      <c r="B832" s="10" t="str">
        <f t="shared" ref="B832:B861" si="358">+C832&amp;E832</f>
        <v>Below the Line</v>
      </c>
      <c r="C832" t="s">
        <v>20</v>
      </c>
      <c r="D832" t="s">
        <v>19</v>
      </c>
      <c r="E832" t="s">
        <v>214</v>
      </c>
      <c r="F832" t="s">
        <v>5396</v>
      </c>
      <c r="G832" t="s">
        <v>574</v>
      </c>
      <c r="I832" s="10"/>
      <c r="J832" s="107">
        <f>SUMIF(Data!C:C,G832,Data!Q:Q)</f>
        <v>0</v>
      </c>
      <c r="K832" s="107">
        <f>SUMIF(Comprometidos!A:A,'Cost Report'!G832,Comprometidos!E:E)</f>
        <v>0</v>
      </c>
      <c r="L832" s="107">
        <f t="shared" ref="L832:L861" si="359">+J832+K832</f>
        <v>0</v>
      </c>
      <c r="M832" s="107">
        <f t="shared" ref="M832:M861" si="360">+O832-L832</f>
        <v>0</v>
      </c>
      <c r="N832" s="107">
        <f t="shared" ref="N832:N861" si="361">+L832+M832</f>
        <v>0</v>
      </c>
      <c r="O832" s="107">
        <f>VLOOKUP(G832,Budget!$E$3:$G$2474,3,0)</f>
        <v>0</v>
      </c>
      <c r="P832" s="107">
        <f t="shared" ref="P832:P861" si="362">+O832-N832</f>
        <v>0</v>
      </c>
      <c r="Q832" s="107"/>
      <c r="R832" s="10"/>
      <c r="S832" s="107">
        <v>0</v>
      </c>
      <c r="T832" s="107">
        <f t="shared" si="339"/>
        <v>0</v>
      </c>
      <c r="U832" s="107"/>
      <c r="V832" s="175"/>
      <c r="W832" s="10"/>
      <c r="X832" s="10"/>
      <c r="Y832" t="str">
        <f t="shared" ref="Y832:Y861" si="363">LEFT(G832,4)</f>
        <v>2401</v>
      </c>
      <c r="AB832" s="10"/>
      <c r="AC832" s="10"/>
      <c r="AD832" s="10"/>
      <c r="AE832" s="10"/>
      <c r="AF832" s="10"/>
      <c r="AG832" s="10"/>
      <c r="AH832" s="10"/>
      <c r="AI832" s="10"/>
    </row>
    <row r="833" spans="1:35">
      <c r="A833" s="10"/>
      <c r="B833" s="10" t="str">
        <f t="shared" si="358"/>
        <v>Below the LinePREP</v>
      </c>
      <c r="C833" t="s">
        <v>20</v>
      </c>
      <c r="D833" t="s">
        <v>19</v>
      </c>
      <c r="E833" t="s">
        <v>234</v>
      </c>
      <c r="F833" t="s">
        <v>5396</v>
      </c>
      <c r="G833" t="s">
        <v>575</v>
      </c>
      <c r="I833" s="10"/>
      <c r="J833" s="107">
        <f>SUMIF(Data!C:C,G833,Data!Q:Q)</f>
        <v>124950</v>
      </c>
      <c r="K833" s="107">
        <f>SUMIF(Comprometidos!A:A,'Cost Report'!G833,Comprometidos!E:E)</f>
        <v>0</v>
      </c>
      <c r="L833" s="107">
        <f t="shared" si="359"/>
        <v>124950</v>
      </c>
      <c r="M833" s="107">
        <f t="shared" si="360"/>
        <v>0</v>
      </c>
      <c r="N833" s="107">
        <f t="shared" si="361"/>
        <v>124950</v>
      </c>
      <c r="O833" s="107">
        <f>VLOOKUP(G833,Budget!$E$3:$G$2474,3,0)</f>
        <v>124950</v>
      </c>
      <c r="P833" s="107">
        <f t="shared" si="362"/>
        <v>0</v>
      </c>
      <c r="Q833" s="107"/>
      <c r="R833" s="10"/>
      <c r="S833" s="107">
        <v>124950</v>
      </c>
      <c r="T833" s="107">
        <f t="shared" si="339"/>
        <v>0</v>
      </c>
      <c r="U833" s="107"/>
      <c r="V833" s="175"/>
      <c r="W833" s="10"/>
      <c r="X833" s="10"/>
      <c r="Y833" t="str">
        <f t="shared" si="363"/>
        <v>2401</v>
      </c>
      <c r="AB833" s="10"/>
      <c r="AC833" s="10"/>
      <c r="AD833" s="10"/>
      <c r="AE833" s="10"/>
      <c r="AF833" s="10"/>
      <c r="AG833" s="10"/>
      <c r="AH833" s="10"/>
      <c r="AI833" s="10"/>
    </row>
    <row r="834" spans="1:35">
      <c r="A834" s="10"/>
      <c r="B834" s="10" t="str">
        <f t="shared" si="358"/>
        <v>Below the LineSHOOT</v>
      </c>
      <c r="C834" t="s">
        <v>20</v>
      </c>
      <c r="D834" t="s">
        <v>19</v>
      </c>
      <c r="E834" t="s">
        <v>236</v>
      </c>
      <c r="F834" t="s">
        <v>5396</v>
      </c>
      <c r="G834" t="s">
        <v>576</v>
      </c>
      <c r="I834" s="10"/>
      <c r="J834" s="107">
        <f>SUMIF(Data!C:C,G834,Data!Q:Q)</f>
        <v>124950</v>
      </c>
      <c r="K834" s="107">
        <f>SUMIF(Comprometidos!A:A,'Cost Report'!G834,Comprometidos!E:E)</f>
        <v>0</v>
      </c>
      <c r="L834" s="107">
        <f t="shared" si="359"/>
        <v>124950</v>
      </c>
      <c r="M834" s="107">
        <f t="shared" si="360"/>
        <v>0</v>
      </c>
      <c r="N834" s="107">
        <f t="shared" si="361"/>
        <v>124950</v>
      </c>
      <c r="O834" s="107">
        <f>VLOOKUP(G834,Budget!$E$3:$G$2474,3,0)</f>
        <v>124950</v>
      </c>
      <c r="P834" s="107">
        <f t="shared" si="362"/>
        <v>0</v>
      </c>
      <c r="Q834" s="107"/>
      <c r="R834" s="10"/>
      <c r="S834" s="107">
        <v>124950</v>
      </c>
      <c r="T834" s="107">
        <f t="shared" si="339"/>
        <v>0</v>
      </c>
      <c r="U834" s="107"/>
      <c r="V834" s="175"/>
      <c r="W834" s="10"/>
      <c r="X834" s="10"/>
      <c r="Y834" t="str">
        <f t="shared" si="363"/>
        <v>2401</v>
      </c>
      <c r="AB834" s="10"/>
      <c r="AC834" s="10"/>
      <c r="AD834" s="10"/>
      <c r="AE834" s="10"/>
      <c r="AF834" s="10"/>
      <c r="AG834" s="10"/>
      <c r="AH834" s="10"/>
      <c r="AI834" s="10"/>
    </row>
    <row r="835" spans="1:35">
      <c r="A835" s="10"/>
      <c r="B835" s="10" t="str">
        <f t="shared" si="358"/>
        <v>Below the LineWRAP</v>
      </c>
      <c r="C835" t="s">
        <v>20</v>
      </c>
      <c r="D835" t="s">
        <v>19</v>
      </c>
      <c r="E835" t="s">
        <v>238</v>
      </c>
      <c r="F835" t="s">
        <v>5396</v>
      </c>
      <c r="G835" t="s">
        <v>577</v>
      </c>
      <c r="I835" s="10"/>
      <c r="J835" s="107">
        <f>SUMIF(Data!C:C,G835,Data!Q:Q)</f>
        <v>53550</v>
      </c>
      <c r="K835" s="107">
        <f>SUMIF(Comprometidos!A:A,'Cost Report'!G835,Comprometidos!E:E)</f>
        <v>0</v>
      </c>
      <c r="L835" s="107">
        <f t="shared" si="359"/>
        <v>53550</v>
      </c>
      <c r="M835" s="107">
        <v>0</v>
      </c>
      <c r="N835" s="107">
        <f t="shared" si="361"/>
        <v>53550</v>
      </c>
      <c r="O835" s="107">
        <f>VLOOKUP(G835,Budget!$E$3:$G$2474,3,0)</f>
        <v>35700</v>
      </c>
      <c r="P835" s="107">
        <f t="shared" si="362"/>
        <v>-17850</v>
      </c>
      <c r="Q835" s="107"/>
      <c r="R835" s="10"/>
      <c r="S835" s="107">
        <v>53550</v>
      </c>
      <c r="T835" s="107">
        <f t="shared" si="339"/>
        <v>0</v>
      </c>
      <c r="U835" s="107"/>
      <c r="V835" s="175"/>
      <c r="W835" s="10"/>
      <c r="X835" s="10"/>
      <c r="Y835" t="str">
        <f t="shared" si="363"/>
        <v>2401</v>
      </c>
      <c r="AB835" s="10"/>
      <c r="AC835" s="10"/>
      <c r="AD835" s="10"/>
      <c r="AE835" s="10"/>
      <c r="AF835" s="10"/>
      <c r="AG835" s="10"/>
      <c r="AH835" s="10"/>
      <c r="AI835" s="10"/>
    </row>
    <row r="836" spans="1:35">
      <c r="A836" s="10"/>
      <c r="B836" s="10" t="str">
        <f t="shared" si="358"/>
        <v>Below the Line</v>
      </c>
      <c r="C836" t="s">
        <v>20</v>
      </c>
      <c r="D836" t="s">
        <v>19</v>
      </c>
      <c r="E836" t="s">
        <v>214</v>
      </c>
      <c r="F836" t="s">
        <v>5396</v>
      </c>
      <c r="G836" t="s">
        <v>578</v>
      </c>
      <c r="I836" s="10"/>
      <c r="J836" s="107">
        <f>SUMIF(Data!C:C,G836,Data!Q:Q)</f>
        <v>0</v>
      </c>
      <c r="K836" s="107">
        <f>SUMIF(Comprometidos!A:A,'Cost Report'!G836,Comprometidos!E:E)</f>
        <v>0</v>
      </c>
      <c r="L836" s="107">
        <f t="shared" si="359"/>
        <v>0</v>
      </c>
      <c r="M836" s="107">
        <f t="shared" si="360"/>
        <v>0</v>
      </c>
      <c r="N836" s="107">
        <f t="shared" si="361"/>
        <v>0</v>
      </c>
      <c r="O836" s="107">
        <f>VLOOKUP(G836,Budget!$E$3:$G$2474,3,0)</f>
        <v>0</v>
      </c>
      <c r="P836" s="107">
        <f t="shared" si="362"/>
        <v>0</v>
      </c>
      <c r="Q836" s="107"/>
      <c r="R836" s="10"/>
      <c r="S836" s="107">
        <v>0</v>
      </c>
      <c r="T836" s="107">
        <f t="shared" si="339"/>
        <v>0</v>
      </c>
      <c r="U836" s="107"/>
      <c r="V836" s="175"/>
      <c r="W836" s="10"/>
      <c r="X836" s="10"/>
      <c r="Y836" t="str">
        <f t="shared" si="363"/>
        <v>2401</v>
      </c>
      <c r="AB836" s="10"/>
      <c r="AC836" s="10"/>
      <c r="AD836" s="10"/>
      <c r="AE836" s="10"/>
      <c r="AF836" s="10"/>
      <c r="AG836" s="10"/>
      <c r="AH836" s="10"/>
      <c r="AI836" s="10"/>
    </row>
    <row r="837" spans="1:35">
      <c r="A837" s="10"/>
      <c r="B837" s="10" t="str">
        <f t="shared" si="358"/>
        <v>Below the LinePREP</v>
      </c>
      <c r="C837" t="s">
        <v>20</v>
      </c>
      <c r="D837" t="s">
        <v>19</v>
      </c>
      <c r="E837" t="s">
        <v>234</v>
      </c>
      <c r="F837" t="s">
        <v>5396</v>
      </c>
      <c r="G837" t="s">
        <v>579</v>
      </c>
      <c r="I837" s="10"/>
      <c r="J837" s="107">
        <f>SUMIF(Data!C:C,G837,Data!Q:Q)</f>
        <v>40000</v>
      </c>
      <c r="K837" s="107">
        <f>SUMIF(Comprometidos!A:A,'Cost Report'!G837,Comprometidos!E:E)</f>
        <v>0</v>
      </c>
      <c r="L837" s="107">
        <f t="shared" si="359"/>
        <v>40000</v>
      </c>
      <c r="M837" s="107">
        <f t="shared" si="360"/>
        <v>0</v>
      </c>
      <c r="N837" s="107">
        <f t="shared" si="361"/>
        <v>40000</v>
      </c>
      <c r="O837" s="107">
        <f>VLOOKUP(G837,Budget!$E$3:$G$2474,3,0)</f>
        <v>40000</v>
      </c>
      <c r="P837" s="107">
        <f t="shared" si="362"/>
        <v>0</v>
      </c>
      <c r="Q837" s="107"/>
      <c r="R837" s="10"/>
      <c r="S837" s="107">
        <v>40000</v>
      </c>
      <c r="T837" s="107">
        <f t="shared" si="339"/>
        <v>0</v>
      </c>
      <c r="U837" s="107"/>
      <c r="V837" s="175"/>
      <c r="W837" s="10"/>
      <c r="X837" s="10"/>
      <c r="Y837" t="str">
        <f t="shared" si="363"/>
        <v>2401</v>
      </c>
      <c r="AB837" s="10"/>
      <c r="AC837" s="10"/>
      <c r="AD837" s="10"/>
      <c r="AE837" s="10"/>
      <c r="AF837" s="10"/>
      <c r="AG837" s="10"/>
      <c r="AH837" s="10"/>
      <c r="AI837" s="10"/>
    </row>
    <row r="838" spans="1:35">
      <c r="A838" s="10"/>
      <c r="B838" s="10" t="str">
        <f t="shared" si="358"/>
        <v>Below the LineWRAP</v>
      </c>
      <c r="C838" t="s">
        <v>20</v>
      </c>
      <c r="D838" t="s">
        <v>19</v>
      </c>
      <c r="E838" t="s">
        <v>238</v>
      </c>
      <c r="F838" t="s">
        <v>5396</v>
      </c>
      <c r="G838" t="s">
        <v>580</v>
      </c>
      <c r="I838" s="10"/>
      <c r="J838" s="107">
        <f>SUMIF(Data!C:C,G838,Data!Q:Q)</f>
        <v>6301.63</v>
      </c>
      <c r="K838" s="107">
        <f>SUMIF(Comprometidos!A:A,'Cost Report'!G838,Comprometidos!E:E)</f>
        <v>0</v>
      </c>
      <c r="L838" s="107">
        <f t="shared" si="359"/>
        <v>6301.63</v>
      </c>
      <c r="M838" s="107">
        <v>0</v>
      </c>
      <c r="N838" s="107">
        <f t="shared" si="361"/>
        <v>6301.63</v>
      </c>
      <c r="O838" s="107">
        <f>VLOOKUP(G838,Budget!$E$3:$G$2474,3,0)</f>
        <v>10000</v>
      </c>
      <c r="P838" s="107">
        <f t="shared" si="362"/>
        <v>3698.37</v>
      </c>
      <c r="Q838" s="107"/>
      <c r="R838" s="10"/>
      <c r="S838" s="107">
        <v>6301.63</v>
      </c>
      <c r="T838" s="107">
        <f t="shared" si="339"/>
        <v>0</v>
      </c>
      <c r="U838" s="107"/>
      <c r="V838" s="175"/>
      <c r="W838" s="10"/>
      <c r="X838" s="10"/>
      <c r="Y838" t="str">
        <f t="shared" si="363"/>
        <v>2401</v>
      </c>
      <c r="AB838" s="10"/>
      <c r="AC838" s="10"/>
      <c r="AD838" s="10"/>
      <c r="AE838" s="10"/>
      <c r="AF838" s="10"/>
      <c r="AG838" s="10"/>
      <c r="AH838" s="10"/>
      <c r="AI838" s="10"/>
    </row>
    <row r="839" spans="1:35">
      <c r="A839" s="10"/>
      <c r="B839" s="10" t="str">
        <f t="shared" si="358"/>
        <v>Below the Line</v>
      </c>
      <c r="C839" t="s">
        <v>20</v>
      </c>
      <c r="D839" t="s">
        <v>19</v>
      </c>
      <c r="E839" t="s">
        <v>214</v>
      </c>
      <c r="F839" t="s">
        <v>5396</v>
      </c>
      <c r="G839" t="s">
        <v>581</v>
      </c>
      <c r="I839" s="10"/>
      <c r="J839" s="107">
        <f>SUMIF(Data!C:C,G839,Data!Q:Q)</f>
        <v>0</v>
      </c>
      <c r="K839" s="107">
        <f>SUMIF(Comprometidos!A:A,'Cost Report'!G839,Comprometidos!E:E)</f>
        <v>0</v>
      </c>
      <c r="L839" s="107">
        <f t="shared" si="359"/>
        <v>0</v>
      </c>
      <c r="M839" s="107">
        <f t="shared" si="360"/>
        <v>0</v>
      </c>
      <c r="N839" s="107">
        <f t="shared" si="361"/>
        <v>0</v>
      </c>
      <c r="O839" s="107">
        <f>VLOOKUP(G839,Budget!$E$3:$G$2474,3,0)</f>
        <v>0</v>
      </c>
      <c r="P839" s="107">
        <f t="shared" si="362"/>
        <v>0</v>
      </c>
      <c r="Q839" s="107"/>
      <c r="R839" s="10"/>
      <c r="S839" s="107">
        <v>0</v>
      </c>
      <c r="T839" s="107">
        <f t="shared" si="339"/>
        <v>0</v>
      </c>
      <c r="U839" s="107"/>
      <c r="V839" s="175"/>
      <c r="W839" s="10"/>
      <c r="X839" s="10"/>
      <c r="Y839" t="str">
        <f t="shared" si="363"/>
        <v>2401</v>
      </c>
      <c r="AB839" s="10"/>
      <c r="AC839" s="10"/>
      <c r="AD839" s="10"/>
      <c r="AE839" s="10"/>
      <c r="AF839" s="10"/>
      <c r="AG839" s="10"/>
      <c r="AH839" s="10"/>
      <c r="AI839" s="10"/>
    </row>
    <row r="840" spans="1:35">
      <c r="A840" s="10"/>
      <c r="B840" s="10" t="str">
        <f t="shared" si="358"/>
        <v>Below the LinePREP</v>
      </c>
      <c r="C840" t="s">
        <v>20</v>
      </c>
      <c r="D840" t="s">
        <v>19</v>
      </c>
      <c r="E840" t="s">
        <v>234</v>
      </c>
      <c r="F840" t="s">
        <v>5396</v>
      </c>
      <c r="G840" t="s">
        <v>582</v>
      </c>
      <c r="I840" s="10"/>
      <c r="J840" s="107">
        <f>SUMIF(Data!C:C,G840,Data!Q:Q)</f>
        <v>44625</v>
      </c>
      <c r="K840" s="107">
        <f>SUMIF(Comprometidos!A:A,'Cost Report'!G840,Comprometidos!E:E)</f>
        <v>0</v>
      </c>
      <c r="L840" s="107">
        <f t="shared" si="359"/>
        <v>44625</v>
      </c>
      <c r="M840" s="107">
        <f t="shared" si="360"/>
        <v>0</v>
      </c>
      <c r="N840" s="107">
        <f t="shared" si="361"/>
        <v>44625</v>
      </c>
      <c r="O840" s="107">
        <f>VLOOKUP(G840,Budget!$E$3:$G$2474,3,0)</f>
        <v>44625</v>
      </c>
      <c r="P840" s="107">
        <f t="shared" si="362"/>
        <v>0</v>
      </c>
      <c r="Q840" s="107"/>
      <c r="R840" s="10"/>
      <c r="S840" s="107">
        <v>44625</v>
      </c>
      <c r="T840" s="107">
        <f t="shared" si="339"/>
        <v>0</v>
      </c>
      <c r="U840" s="107"/>
      <c r="V840" s="175"/>
      <c r="W840" s="10"/>
      <c r="X840" s="10"/>
      <c r="Y840" t="str">
        <f t="shared" si="363"/>
        <v>2401</v>
      </c>
      <c r="AB840" s="10"/>
      <c r="AC840" s="10"/>
      <c r="AD840" s="10"/>
      <c r="AE840" s="10"/>
      <c r="AF840" s="10"/>
      <c r="AG840" s="10"/>
      <c r="AH840" s="10"/>
      <c r="AI840" s="10"/>
    </row>
    <row r="841" spans="1:35">
      <c r="A841" s="10"/>
      <c r="B841" s="10" t="str">
        <f t="shared" si="358"/>
        <v>Below the LineSHOOT</v>
      </c>
      <c r="C841" t="s">
        <v>20</v>
      </c>
      <c r="D841" t="s">
        <v>19</v>
      </c>
      <c r="E841" t="s">
        <v>236</v>
      </c>
      <c r="F841" t="s">
        <v>5396</v>
      </c>
      <c r="G841" t="s">
        <v>583</v>
      </c>
      <c r="I841" s="10"/>
      <c r="J841" s="107">
        <f>SUMIF(Data!C:C,G841,Data!Q:Q)</f>
        <v>62475</v>
      </c>
      <c r="K841" s="107">
        <f>SUMIF(Comprometidos!A:A,'Cost Report'!G841,Comprometidos!E:E)</f>
        <v>0</v>
      </c>
      <c r="L841" s="107">
        <f t="shared" si="359"/>
        <v>62475</v>
      </c>
      <c r="M841" s="107">
        <f t="shared" si="360"/>
        <v>0</v>
      </c>
      <c r="N841" s="107">
        <f t="shared" si="361"/>
        <v>62475</v>
      </c>
      <c r="O841" s="107">
        <f>VLOOKUP(G841,Budget!$E$3:$G$2474,3,0)</f>
        <v>62475</v>
      </c>
      <c r="P841" s="107">
        <f t="shared" si="362"/>
        <v>0</v>
      </c>
      <c r="Q841" s="107"/>
      <c r="R841" s="10"/>
      <c r="S841" s="107">
        <v>62475</v>
      </c>
      <c r="T841" s="107">
        <f t="shared" si="339"/>
        <v>0</v>
      </c>
      <c r="U841" s="107"/>
      <c r="V841" s="175"/>
      <c r="W841" s="10"/>
      <c r="X841" s="10"/>
      <c r="Y841" t="str">
        <f t="shared" si="363"/>
        <v>2401</v>
      </c>
      <c r="AB841" s="10"/>
      <c r="AC841" s="10"/>
      <c r="AD841" s="10"/>
      <c r="AE841" s="10"/>
      <c r="AF841" s="10"/>
      <c r="AG841" s="10"/>
      <c r="AH841" s="10"/>
      <c r="AI841" s="10"/>
    </row>
    <row r="842" spans="1:35">
      <c r="A842" s="10"/>
      <c r="B842" s="10" t="str">
        <f t="shared" si="358"/>
        <v>Below the LineWRAP</v>
      </c>
      <c r="C842" t="s">
        <v>20</v>
      </c>
      <c r="D842" t="s">
        <v>19</v>
      </c>
      <c r="E842" t="s">
        <v>238</v>
      </c>
      <c r="F842" t="s">
        <v>5396</v>
      </c>
      <c r="G842" t="s">
        <v>584</v>
      </c>
      <c r="I842" s="10"/>
      <c r="J842" s="107">
        <f>SUMIF(Data!C:C,G842,Data!Q:Q)</f>
        <v>17258.349999999999</v>
      </c>
      <c r="K842" s="107">
        <f>SUMIF(Comprometidos!A:A,'Cost Report'!G842,Comprometidos!E:E)</f>
        <v>0</v>
      </c>
      <c r="L842" s="107">
        <f t="shared" si="359"/>
        <v>17258.349999999999</v>
      </c>
      <c r="M842" s="107">
        <v>0</v>
      </c>
      <c r="N842" s="107">
        <f t="shared" si="361"/>
        <v>17258.349999999999</v>
      </c>
      <c r="O842" s="107">
        <f>VLOOKUP(G842,Budget!$E$3:$G$2474,3,0)</f>
        <v>8925</v>
      </c>
      <c r="P842" s="107">
        <f t="shared" si="362"/>
        <v>-8333.3499999999985</v>
      </c>
      <c r="Q842" s="107"/>
      <c r="R842" s="10"/>
      <c r="S842" s="107">
        <v>17258.349999999999</v>
      </c>
      <c r="T842" s="107">
        <f t="shared" si="339"/>
        <v>0</v>
      </c>
      <c r="U842" s="107"/>
      <c r="V842" s="175"/>
      <c r="W842" s="10"/>
      <c r="X842" s="10"/>
      <c r="Y842" t="str">
        <f t="shared" si="363"/>
        <v>2401</v>
      </c>
      <c r="AB842" s="10"/>
      <c r="AC842" s="10"/>
      <c r="AD842" s="10"/>
      <c r="AE842" s="10"/>
      <c r="AF842" s="10"/>
      <c r="AG842" s="10"/>
      <c r="AH842" s="10"/>
      <c r="AI842" s="10"/>
    </row>
    <row r="843" spans="1:35">
      <c r="A843" s="10"/>
      <c r="B843" s="10" t="str">
        <f t="shared" si="358"/>
        <v>Below the Line</v>
      </c>
      <c r="C843" t="s">
        <v>20</v>
      </c>
      <c r="D843" t="s">
        <v>19</v>
      </c>
      <c r="E843" t="s">
        <v>214</v>
      </c>
      <c r="F843" t="s">
        <v>5396</v>
      </c>
      <c r="G843" t="s">
        <v>585</v>
      </c>
      <c r="I843" s="10"/>
      <c r="J843" s="107">
        <f>SUMIF(Data!C:C,G843,Data!Q:Q)</f>
        <v>0</v>
      </c>
      <c r="K843" s="107">
        <f>SUMIF(Comprometidos!A:A,'Cost Report'!G843,Comprometidos!E:E)</f>
        <v>0</v>
      </c>
      <c r="L843" s="107">
        <f t="shared" si="359"/>
        <v>0</v>
      </c>
      <c r="M843" s="107">
        <f t="shared" si="360"/>
        <v>0</v>
      </c>
      <c r="N843" s="107">
        <f t="shared" si="361"/>
        <v>0</v>
      </c>
      <c r="O843" s="107">
        <f>VLOOKUP(G843,Budget!$E$3:$G$2474,3,0)</f>
        <v>0</v>
      </c>
      <c r="P843" s="107">
        <f t="shared" si="362"/>
        <v>0</v>
      </c>
      <c r="Q843" s="107"/>
      <c r="R843" s="10"/>
      <c r="S843" s="107">
        <v>0</v>
      </c>
      <c r="T843" s="107">
        <f t="shared" si="339"/>
        <v>0</v>
      </c>
      <c r="U843" s="107"/>
      <c r="V843" s="175"/>
      <c r="W843" s="10"/>
      <c r="X843" s="10"/>
      <c r="Y843" t="str">
        <f t="shared" si="363"/>
        <v>2401</v>
      </c>
      <c r="AB843" s="10"/>
      <c r="AC843" s="10"/>
      <c r="AD843" s="10"/>
      <c r="AE843" s="10"/>
      <c r="AF843" s="10"/>
      <c r="AG843" s="10"/>
      <c r="AH843" s="10"/>
      <c r="AI843" s="10"/>
    </row>
    <row r="844" spans="1:35">
      <c r="A844" s="10"/>
      <c r="B844" s="10" t="str">
        <f t="shared" si="358"/>
        <v>Below the LinePREP</v>
      </c>
      <c r="C844" t="s">
        <v>20</v>
      </c>
      <c r="D844" t="s">
        <v>19</v>
      </c>
      <c r="E844" t="s">
        <v>234</v>
      </c>
      <c r="F844" t="s">
        <v>5396</v>
      </c>
      <c r="G844" t="s">
        <v>586</v>
      </c>
      <c r="I844" s="10"/>
      <c r="J844" s="107">
        <f>SUMIF(Data!C:C,G844,Data!Q:Q)</f>
        <v>35700</v>
      </c>
      <c r="K844" s="107">
        <f>SUMIF(Comprometidos!A:A,'Cost Report'!G844,Comprometidos!E:E)</f>
        <v>0</v>
      </c>
      <c r="L844" s="107">
        <f t="shared" si="359"/>
        <v>35700</v>
      </c>
      <c r="M844" s="107">
        <f t="shared" si="360"/>
        <v>0</v>
      </c>
      <c r="N844" s="107">
        <f t="shared" si="361"/>
        <v>35700</v>
      </c>
      <c r="O844" s="107">
        <f>VLOOKUP(G844,Budget!$E$3:$G$2474,3,0)</f>
        <v>35700</v>
      </c>
      <c r="P844" s="107">
        <f t="shared" si="362"/>
        <v>0</v>
      </c>
      <c r="Q844" s="107"/>
      <c r="R844" s="10"/>
      <c r="S844" s="107">
        <v>35700</v>
      </c>
      <c r="T844" s="107">
        <f t="shared" si="339"/>
        <v>0</v>
      </c>
      <c r="U844" s="107"/>
      <c r="V844" s="175"/>
      <c r="W844" s="10"/>
      <c r="X844" s="10"/>
      <c r="Y844" t="str">
        <f t="shared" si="363"/>
        <v>2401</v>
      </c>
      <c r="AB844" s="10"/>
      <c r="AC844" s="10"/>
      <c r="AD844" s="10"/>
      <c r="AE844" s="10"/>
      <c r="AF844" s="10"/>
      <c r="AG844" s="10"/>
      <c r="AH844" s="10"/>
      <c r="AI844" s="10"/>
    </row>
    <row r="845" spans="1:35">
      <c r="A845" s="10"/>
      <c r="B845" s="10" t="str">
        <f t="shared" si="358"/>
        <v>Below the LineSHOOT</v>
      </c>
      <c r="C845" t="s">
        <v>20</v>
      </c>
      <c r="D845" t="s">
        <v>19</v>
      </c>
      <c r="E845" t="s">
        <v>236</v>
      </c>
      <c r="F845" t="s">
        <v>5396</v>
      </c>
      <c r="G845" t="s">
        <v>587</v>
      </c>
      <c r="I845" s="10"/>
      <c r="J845" s="107">
        <f>SUMIF(Data!C:C,G845,Data!Q:Q)</f>
        <v>62475</v>
      </c>
      <c r="K845" s="107">
        <f>SUMIF(Comprometidos!A:A,'Cost Report'!G845,Comprometidos!E:E)</f>
        <v>0</v>
      </c>
      <c r="L845" s="107">
        <f t="shared" si="359"/>
        <v>62475</v>
      </c>
      <c r="M845" s="107">
        <f t="shared" si="360"/>
        <v>0</v>
      </c>
      <c r="N845" s="107">
        <f t="shared" si="361"/>
        <v>62475</v>
      </c>
      <c r="O845" s="107">
        <f>VLOOKUP(G845,Budget!$E$3:$G$2474,3,0)</f>
        <v>62475</v>
      </c>
      <c r="P845" s="107">
        <f t="shared" si="362"/>
        <v>0</v>
      </c>
      <c r="Q845" s="107"/>
      <c r="R845" s="10"/>
      <c r="S845" s="107">
        <v>62475</v>
      </c>
      <c r="T845" s="107">
        <f t="shared" si="339"/>
        <v>0</v>
      </c>
      <c r="U845" s="107"/>
      <c r="V845" s="175"/>
      <c r="W845" s="10"/>
      <c r="X845" s="10"/>
      <c r="Y845" t="str">
        <f t="shared" si="363"/>
        <v>2401</v>
      </c>
      <c r="AB845" s="10"/>
      <c r="AC845" s="10"/>
      <c r="AD845" s="10"/>
      <c r="AE845" s="10"/>
      <c r="AF845" s="10"/>
      <c r="AG845" s="10"/>
      <c r="AH845" s="10"/>
      <c r="AI845" s="10"/>
    </row>
    <row r="846" spans="1:35">
      <c r="A846" s="10"/>
      <c r="B846" s="10" t="str">
        <f t="shared" si="358"/>
        <v>Below the LineWRAP</v>
      </c>
      <c r="C846" t="s">
        <v>20</v>
      </c>
      <c r="D846" t="s">
        <v>19</v>
      </c>
      <c r="E846" t="s">
        <v>238</v>
      </c>
      <c r="F846" t="s">
        <v>5396</v>
      </c>
      <c r="G846" t="s">
        <v>588</v>
      </c>
      <c r="I846" s="10"/>
      <c r="J846" s="107">
        <f>SUMIF(Data!C:C,G846,Data!Q:Q)</f>
        <v>8925</v>
      </c>
      <c r="K846" s="107">
        <f>SUMIF(Comprometidos!A:A,'Cost Report'!G846,Comprometidos!E:E)</f>
        <v>0</v>
      </c>
      <c r="L846" s="107">
        <f t="shared" si="359"/>
        <v>8925</v>
      </c>
      <c r="M846" s="107">
        <f t="shared" si="360"/>
        <v>0</v>
      </c>
      <c r="N846" s="107">
        <f t="shared" si="361"/>
        <v>8925</v>
      </c>
      <c r="O846" s="107">
        <f>VLOOKUP(G846,Budget!$E$3:$G$2474,3,0)</f>
        <v>8925</v>
      </c>
      <c r="P846" s="107">
        <f t="shared" si="362"/>
        <v>0</v>
      </c>
      <c r="Q846" s="107"/>
      <c r="R846" s="10"/>
      <c r="S846" s="107">
        <v>8925</v>
      </c>
      <c r="T846" s="107">
        <f t="shared" si="339"/>
        <v>0</v>
      </c>
      <c r="U846" s="107"/>
      <c r="V846" s="175"/>
      <c r="W846" s="10"/>
      <c r="X846" s="10"/>
      <c r="Y846" t="str">
        <f t="shared" si="363"/>
        <v>2401</v>
      </c>
      <c r="AB846" s="10"/>
      <c r="AC846" s="10"/>
      <c r="AD846" s="10"/>
      <c r="AE846" s="10"/>
      <c r="AF846" s="10"/>
      <c r="AG846" s="10"/>
      <c r="AH846" s="10"/>
      <c r="AI846" s="10"/>
    </row>
    <row r="847" spans="1:35">
      <c r="A847" s="10"/>
      <c r="B847" s="10" t="str">
        <f t="shared" si="358"/>
        <v>Below the Line</v>
      </c>
      <c r="C847" t="s">
        <v>20</v>
      </c>
      <c r="D847" t="s">
        <v>19</v>
      </c>
      <c r="E847" t="s">
        <v>214</v>
      </c>
      <c r="F847" t="s">
        <v>5396</v>
      </c>
      <c r="G847" t="s">
        <v>589</v>
      </c>
      <c r="I847" s="10"/>
      <c r="J847" s="107">
        <f>SUMIF(Data!C:C,G847,Data!Q:Q)</f>
        <v>0</v>
      </c>
      <c r="K847" s="107">
        <f>SUMIF(Comprometidos!A:A,'Cost Report'!G847,Comprometidos!E:E)</f>
        <v>0</v>
      </c>
      <c r="L847" s="107">
        <f t="shared" si="359"/>
        <v>0</v>
      </c>
      <c r="M847" s="107">
        <f t="shared" si="360"/>
        <v>0</v>
      </c>
      <c r="N847" s="107">
        <f t="shared" si="361"/>
        <v>0</v>
      </c>
      <c r="O847" s="107">
        <f>VLOOKUP(G847,Budget!$E$3:$G$2474,3,0)</f>
        <v>0</v>
      </c>
      <c r="P847" s="107">
        <f t="shared" si="362"/>
        <v>0</v>
      </c>
      <c r="Q847" s="107"/>
      <c r="R847" s="10"/>
      <c r="S847" s="107">
        <v>0</v>
      </c>
      <c r="T847" s="107">
        <f t="shared" ref="T847:T910" si="364">+S847-N847</f>
        <v>0</v>
      </c>
      <c r="U847" s="107"/>
      <c r="V847" s="175"/>
      <c r="W847" s="10"/>
      <c r="X847" s="10"/>
      <c r="Y847" t="str">
        <f t="shared" si="363"/>
        <v>2401</v>
      </c>
      <c r="AB847" s="10"/>
      <c r="AC847" s="10"/>
      <c r="AD847" s="10"/>
      <c r="AE847" s="10"/>
      <c r="AF847" s="10"/>
      <c r="AG847" s="10"/>
      <c r="AH847" s="10"/>
      <c r="AI847" s="10"/>
    </row>
    <row r="848" spans="1:35">
      <c r="A848" s="10"/>
      <c r="B848" s="10" t="str">
        <f t="shared" si="358"/>
        <v>Below the LinePREP</v>
      </c>
      <c r="C848" t="s">
        <v>20</v>
      </c>
      <c r="D848" t="s">
        <v>19</v>
      </c>
      <c r="E848" t="s">
        <v>234</v>
      </c>
      <c r="F848" t="s">
        <v>5396</v>
      </c>
      <c r="G848" t="s">
        <v>590</v>
      </c>
      <c r="I848" s="10"/>
      <c r="J848" s="107">
        <f>SUMIF(Data!C:C,G848,Data!Q:Q)</f>
        <v>29400</v>
      </c>
      <c r="K848" s="107">
        <f>SUMIF(Comprometidos!A:A,'Cost Report'!G848,Comprometidos!E:E)</f>
        <v>0</v>
      </c>
      <c r="L848" s="107">
        <f t="shared" si="359"/>
        <v>29400</v>
      </c>
      <c r="M848" s="107">
        <f t="shared" si="360"/>
        <v>0</v>
      </c>
      <c r="N848" s="107">
        <f t="shared" si="361"/>
        <v>29400</v>
      </c>
      <c r="O848" s="107">
        <f>VLOOKUP(G848,Budget!$E$3:$G$2474,3,0)</f>
        <v>29400</v>
      </c>
      <c r="P848" s="107">
        <f t="shared" si="362"/>
        <v>0</v>
      </c>
      <c r="Q848" s="107"/>
      <c r="R848" s="10"/>
      <c r="S848" s="107">
        <v>29400</v>
      </c>
      <c r="T848" s="107">
        <f t="shared" si="364"/>
        <v>0</v>
      </c>
      <c r="U848" s="107"/>
      <c r="V848" s="175"/>
      <c r="W848" s="10"/>
      <c r="X848" s="10"/>
      <c r="Y848" t="str">
        <f t="shared" si="363"/>
        <v>2401</v>
      </c>
      <c r="AB848" s="10"/>
      <c r="AC848" s="10"/>
      <c r="AD848" s="10"/>
      <c r="AE848" s="10"/>
      <c r="AF848" s="10"/>
      <c r="AG848" s="10"/>
      <c r="AH848" s="10"/>
      <c r="AI848" s="10"/>
    </row>
    <row r="849" spans="1:35">
      <c r="A849" s="10"/>
      <c r="B849" s="10" t="str">
        <f t="shared" si="358"/>
        <v>Below the LineSHOOT</v>
      </c>
      <c r="C849" t="s">
        <v>20</v>
      </c>
      <c r="D849" t="s">
        <v>19</v>
      </c>
      <c r="E849" t="s">
        <v>236</v>
      </c>
      <c r="F849" t="s">
        <v>5396</v>
      </c>
      <c r="G849" t="s">
        <v>591</v>
      </c>
      <c r="I849" s="10"/>
      <c r="J849" s="107">
        <f>SUMIF(Data!C:C,G849,Data!Q:Q)</f>
        <v>51450</v>
      </c>
      <c r="K849" s="107">
        <f>SUMIF(Comprometidos!A:A,'Cost Report'!G849,Comprometidos!E:E)</f>
        <v>0</v>
      </c>
      <c r="L849" s="107">
        <f t="shared" si="359"/>
        <v>51450</v>
      </c>
      <c r="M849" s="107">
        <f t="shared" si="360"/>
        <v>0</v>
      </c>
      <c r="N849" s="107">
        <f t="shared" si="361"/>
        <v>51450</v>
      </c>
      <c r="O849" s="107">
        <f>VLOOKUP(G849,Budget!$E$3:$G$2474,3,0)</f>
        <v>51450</v>
      </c>
      <c r="P849" s="107">
        <f t="shared" si="362"/>
        <v>0</v>
      </c>
      <c r="Q849" s="107"/>
      <c r="R849" s="10"/>
      <c r="S849" s="107">
        <v>51450</v>
      </c>
      <c r="T849" s="107">
        <f t="shared" si="364"/>
        <v>0</v>
      </c>
      <c r="U849" s="107"/>
      <c r="V849" s="175"/>
      <c r="W849" s="10"/>
      <c r="X849" s="10"/>
      <c r="Y849" t="str">
        <f t="shared" si="363"/>
        <v>2401</v>
      </c>
      <c r="AB849" s="10"/>
      <c r="AC849" s="10"/>
      <c r="AD849" s="10"/>
      <c r="AE849" s="10"/>
      <c r="AF849" s="10"/>
      <c r="AG849" s="10"/>
      <c r="AH849" s="10"/>
      <c r="AI849" s="10"/>
    </row>
    <row r="850" spans="1:35">
      <c r="A850" s="10"/>
      <c r="B850" s="10" t="str">
        <f t="shared" si="358"/>
        <v>Below the LineWRAP</v>
      </c>
      <c r="C850" t="s">
        <v>20</v>
      </c>
      <c r="D850" t="s">
        <v>19</v>
      </c>
      <c r="E850" t="s">
        <v>238</v>
      </c>
      <c r="F850" t="s">
        <v>5396</v>
      </c>
      <c r="G850" t="s">
        <v>1730</v>
      </c>
      <c r="I850" s="10"/>
      <c r="J850" s="107">
        <f>SUMIF(Data!C:C,G850,Data!Q:Q)</f>
        <v>7350</v>
      </c>
      <c r="K850" s="107">
        <f>SUMIF(Comprometidos!A:A,'Cost Report'!G850,Comprometidos!E:E)</f>
        <v>0</v>
      </c>
      <c r="L850" s="107">
        <f t="shared" si="359"/>
        <v>7350</v>
      </c>
      <c r="M850" s="107">
        <f t="shared" si="360"/>
        <v>0</v>
      </c>
      <c r="N850" s="107">
        <f t="shared" si="361"/>
        <v>7350</v>
      </c>
      <c r="O850" s="107">
        <f>VLOOKUP(G850,Budget!$E$3:$G$2474,3,0)</f>
        <v>7350</v>
      </c>
      <c r="P850" s="107">
        <f t="shared" si="362"/>
        <v>0</v>
      </c>
      <c r="Q850" s="107"/>
      <c r="R850" s="10"/>
      <c r="S850" s="107">
        <v>7350</v>
      </c>
      <c r="T850" s="107">
        <f t="shared" si="364"/>
        <v>0</v>
      </c>
      <c r="U850" s="107"/>
      <c r="V850" s="175"/>
      <c r="W850" s="10"/>
      <c r="X850" s="10"/>
      <c r="Y850" t="str">
        <f t="shared" si="363"/>
        <v>2401</v>
      </c>
      <c r="AB850" s="10"/>
      <c r="AC850" s="10"/>
      <c r="AD850" s="10"/>
      <c r="AE850" s="10"/>
      <c r="AF850" s="10"/>
      <c r="AG850" s="10"/>
      <c r="AH850" s="10"/>
      <c r="AI850" s="10"/>
    </row>
    <row r="851" spans="1:35">
      <c r="A851" s="10"/>
      <c r="B851" s="10" t="str">
        <f t="shared" si="358"/>
        <v>Below the Line</v>
      </c>
      <c r="C851" t="s">
        <v>20</v>
      </c>
      <c r="D851" t="s">
        <v>19</v>
      </c>
      <c r="E851" t="s">
        <v>214</v>
      </c>
      <c r="F851" t="s">
        <v>5396</v>
      </c>
      <c r="G851" t="s">
        <v>2502</v>
      </c>
      <c r="I851" s="10"/>
      <c r="J851" s="107">
        <f>SUMIF(Data!C:C,G851,Data!Q:Q)</f>
        <v>0</v>
      </c>
      <c r="K851" s="107">
        <f>SUMIF(Comprometidos!A:A,'Cost Report'!G851,Comprometidos!E:E)</f>
        <v>0</v>
      </c>
      <c r="L851" s="107">
        <f t="shared" si="359"/>
        <v>0</v>
      </c>
      <c r="M851" s="107">
        <f t="shared" si="360"/>
        <v>0</v>
      </c>
      <c r="N851" s="107">
        <f t="shared" si="361"/>
        <v>0</v>
      </c>
      <c r="O851" s="107">
        <f>VLOOKUP(G851,Budget!$E$3:$G$2474,3,0)</f>
        <v>0</v>
      </c>
      <c r="P851" s="107">
        <f t="shared" si="362"/>
        <v>0</v>
      </c>
      <c r="Q851" s="107"/>
      <c r="R851" s="10"/>
      <c r="S851" s="107">
        <v>0</v>
      </c>
      <c r="T851" s="107">
        <f t="shared" si="364"/>
        <v>0</v>
      </c>
      <c r="U851" s="107"/>
      <c r="V851" s="175"/>
      <c r="W851" s="10"/>
      <c r="X851" s="10"/>
      <c r="Y851" t="str">
        <f t="shared" si="363"/>
        <v>2401</v>
      </c>
      <c r="AB851" s="10"/>
      <c r="AC851" s="10"/>
      <c r="AD851" s="10"/>
      <c r="AE851" s="10"/>
      <c r="AF851" s="10"/>
      <c r="AG851" s="10"/>
      <c r="AH851" s="10"/>
      <c r="AI851" s="10"/>
    </row>
    <row r="852" spans="1:35">
      <c r="A852" s="10"/>
      <c r="B852" s="10" t="str">
        <f t="shared" si="358"/>
        <v>Below the LinePREP</v>
      </c>
      <c r="C852" t="s">
        <v>20</v>
      </c>
      <c r="D852" t="s">
        <v>19</v>
      </c>
      <c r="E852" t="s">
        <v>234</v>
      </c>
      <c r="F852" t="s">
        <v>5396</v>
      </c>
      <c r="G852" t="s">
        <v>2503</v>
      </c>
      <c r="I852" s="10"/>
      <c r="J852" s="107">
        <f>SUMIF(Data!C:C,G852,Data!Q:Q)</f>
        <v>22050</v>
      </c>
      <c r="K852" s="107">
        <f>SUMIF(Comprometidos!A:A,'Cost Report'!G852,Comprometidos!E:E)</f>
        <v>0</v>
      </c>
      <c r="L852" s="107">
        <f t="shared" si="359"/>
        <v>22050</v>
      </c>
      <c r="M852" s="107">
        <v>0</v>
      </c>
      <c r="N852" s="107">
        <f t="shared" si="361"/>
        <v>22050</v>
      </c>
      <c r="O852" s="107">
        <f>VLOOKUP(G852,Budget!$E$3:$G$2474,3,0)</f>
        <v>22050</v>
      </c>
      <c r="P852" s="107">
        <f t="shared" si="362"/>
        <v>0</v>
      </c>
      <c r="Q852" s="107"/>
      <c r="R852" s="10"/>
      <c r="S852" s="107">
        <v>22050</v>
      </c>
      <c r="T852" s="107">
        <f t="shared" si="364"/>
        <v>0</v>
      </c>
      <c r="U852" s="107"/>
      <c r="V852" s="175"/>
      <c r="W852" s="10"/>
      <c r="X852" s="10"/>
      <c r="Y852" t="str">
        <f t="shared" si="363"/>
        <v>2401</v>
      </c>
      <c r="AB852" s="10"/>
      <c r="AC852" s="10"/>
      <c r="AD852" s="10"/>
      <c r="AE852" s="10"/>
      <c r="AF852" s="10"/>
      <c r="AG852" s="10"/>
      <c r="AH852" s="10"/>
      <c r="AI852" s="10"/>
    </row>
    <row r="853" spans="1:35">
      <c r="A853" s="10"/>
      <c r="B853" s="10" t="str">
        <f t="shared" si="358"/>
        <v>Below the LineSHOOT</v>
      </c>
      <c r="C853" t="s">
        <v>20</v>
      </c>
      <c r="D853" t="s">
        <v>19</v>
      </c>
      <c r="E853" t="s">
        <v>236</v>
      </c>
      <c r="F853" t="s">
        <v>5396</v>
      </c>
      <c r="G853" t="s">
        <v>2504</v>
      </c>
      <c r="I853" s="10"/>
      <c r="J853" s="107">
        <f>SUMIF(Data!C:C,G853,Data!Q:Q)</f>
        <v>51450</v>
      </c>
      <c r="K853" s="107">
        <f>SUMIF(Comprometidos!A:A,'Cost Report'!G853,Comprometidos!E:E)</f>
        <v>0</v>
      </c>
      <c r="L853" s="107">
        <f t="shared" si="359"/>
        <v>51450</v>
      </c>
      <c r="M853" s="107">
        <v>0</v>
      </c>
      <c r="N853" s="107">
        <f t="shared" si="361"/>
        <v>51450</v>
      </c>
      <c r="O853" s="107">
        <f>VLOOKUP(G853,Budget!$E$3:$G$2474,3,0)</f>
        <v>51450</v>
      </c>
      <c r="P853" s="107">
        <f t="shared" si="362"/>
        <v>0</v>
      </c>
      <c r="Q853" s="107"/>
      <c r="R853" s="10"/>
      <c r="S853" s="107">
        <v>51450</v>
      </c>
      <c r="T853" s="107">
        <f t="shared" si="364"/>
        <v>0</v>
      </c>
      <c r="U853" s="107"/>
      <c r="V853" s="175"/>
      <c r="W853" s="10"/>
      <c r="X853" s="10"/>
      <c r="Y853" t="str">
        <f t="shared" si="363"/>
        <v>2401</v>
      </c>
      <c r="AB853" s="10"/>
      <c r="AC853" s="10"/>
      <c r="AD853" s="10"/>
      <c r="AE853" s="10"/>
      <c r="AF853" s="10"/>
      <c r="AG853" s="10"/>
      <c r="AH853" s="10"/>
      <c r="AI853" s="10"/>
    </row>
    <row r="854" spans="1:35">
      <c r="A854" s="10"/>
      <c r="B854" s="10" t="str">
        <f t="shared" si="358"/>
        <v>Below the Line</v>
      </c>
      <c r="C854" t="s">
        <v>20</v>
      </c>
      <c r="D854" t="s">
        <v>19</v>
      </c>
      <c r="E854" t="s">
        <v>214</v>
      </c>
      <c r="F854" t="s">
        <v>5396</v>
      </c>
      <c r="G854" t="s">
        <v>2505</v>
      </c>
      <c r="I854" s="10"/>
      <c r="J854" s="107">
        <f>SUMIF(Data!C:C,G854,Data!Q:Q)</f>
        <v>0</v>
      </c>
      <c r="K854" s="107">
        <f>SUMIF(Comprometidos!A:A,'Cost Report'!G854,Comprometidos!E:E)</f>
        <v>0</v>
      </c>
      <c r="L854" s="107">
        <f t="shared" si="359"/>
        <v>0</v>
      </c>
      <c r="M854" s="107">
        <f t="shared" si="360"/>
        <v>0</v>
      </c>
      <c r="N854" s="107">
        <f t="shared" si="361"/>
        <v>0</v>
      </c>
      <c r="O854" s="107">
        <f>VLOOKUP(G854,Budget!$E$3:$G$2474,3,0)</f>
        <v>0</v>
      </c>
      <c r="P854" s="107">
        <f t="shared" si="362"/>
        <v>0</v>
      </c>
      <c r="Q854" s="107"/>
      <c r="R854" s="10"/>
      <c r="S854" s="107">
        <v>0</v>
      </c>
      <c r="T854" s="107">
        <f t="shared" si="364"/>
        <v>0</v>
      </c>
      <c r="U854" s="107"/>
      <c r="V854" s="175"/>
      <c r="W854" s="10"/>
      <c r="X854" s="10"/>
      <c r="Y854" t="str">
        <f t="shared" si="363"/>
        <v>2401</v>
      </c>
      <c r="AB854" s="10"/>
      <c r="AC854" s="10"/>
      <c r="AD854" s="10"/>
      <c r="AE854" s="10"/>
      <c r="AF854" s="10"/>
      <c r="AG854" s="10"/>
      <c r="AH854" s="10"/>
      <c r="AI854" s="10"/>
    </row>
    <row r="855" spans="1:35">
      <c r="A855" s="10"/>
      <c r="B855" s="10" t="str">
        <f t="shared" si="358"/>
        <v>Below the Line2nd Unit</v>
      </c>
      <c r="C855" t="s">
        <v>20</v>
      </c>
      <c r="D855" t="s">
        <v>19</v>
      </c>
      <c r="E855" t="s">
        <v>1419</v>
      </c>
      <c r="F855" t="s">
        <v>5396</v>
      </c>
      <c r="G855" t="s">
        <v>2506</v>
      </c>
      <c r="I855" s="10"/>
      <c r="J855" s="107">
        <f>SUMIF(Data!C:C,G855,Data!Q:Q)</f>
        <v>0</v>
      </c>
      <c r="K855" s="107">
        <f>SUMIF(Comprometidos!A:A,'Cost Report'!G855,Comprometidos!E:E)</f>
        <v>0</v>
      </c>
      <c r="L855" s="107">
        <f t="shared" si="359"/>
        <v>0</v>
      </c>
      <c r="M855" s="107">
        <v>0</v>
      </c>
      <c r="N855" s="107">
        <f t="shared" si="361"/>
        <v>0</v>
      </c>
      <c r="O855" s="107">
        <f>VLOOKUP(G855,Budget!$E$3:$G$2474,3,0)</f>
        <v>8500</v>
      </c>
      <c r="P855" s="107">
        <f t="shared" si="362"/>
        <v>8500</v>
      </c>
      <c r="Q855" s="107"/>
      <c r="R855" s="10"/>
      <c r="S855" s="107">
        <v>0</v>
      </c>
      <c r="T855" s="107">
        <f t="shared" si="364"/>
        <v>0</v>
      </c>
      <c r="U855" s="107"/>
      <c r="V855" s="175"/>
      <c r="W855" s="10"/>
      <c r="X855" s="10"/>
      <c r="Y855" t="str">
        <f t="shared" si="363"/>
        <v>2401</v>
      </c>
      <c r="AB855" s="10"/>
      <c r="AC855" s="10"/>
      <c r="AD855" s="10"/>
      <c r="AE855" s="10"/>
      <c r="AF855" s="10"/>
      <c r="AG855" s="10"/>
      <c r="AH855" s="10"/>
      <c r="AI855" s="10"/>
    </row>
    <row r="856" spans="1:35">
      <c r="A856" s="10"/>
      <c r="B856" s="10" t="str">
        <f t="shared" si="358"/>
        <v>Below the Line2nd Unit</v>
      </c>
      <c r="C856" t="s">
        <v>20</v>
      </c>
      <c r="D856" t="s">
        <v>19</v>
      </c>
      <c r="E856" t="s">
        <v>1419</v>
      </c>
      <c r="F856" t="s">
        <v>5396</v>
      </c>
      <c r="G856" t="s">
        <v>2507</v>
      </c>
      <c r="I856" s="10"/>
      <c r="J856" s="107">
        <f>SUMIF(Data!C:C,G856,Data!Q:Q)</f>
        <v>17000</v>
      </c>
      <c r="K856" s="107">
        <f>SUMIF(Comprometidos!A:A,'Cost Report'!G856,Comprometidos!E:E)</f>
        <v>0</v>
      </c>
      <c r="L856" s="107">
        <f t="shared" si="359"/>
        <v>17000</v>
      </c>
      <c r="M856" s="107">
        <f t="shared" si="360"/>
        <v>0</v>
      </c>
      <c r="N856" s="107">
        <f t="shared" si="361"/>
        <v>17000</v>
      </c>
      <c r="O856" s="107">
        <f>VLOOKUP(G856,Budget!$E$3:$G$2474,3,0)</f>
        <v>17000</v>
      </c>
      <c r="P856" s="107">
        <f t="shared" si="362"/>
        <v>0</v>
      </c>
      <c r="Q856" s="107"/>
      <c r="R856" s="10"/>
      <c r="S856" s="107">
        <v>17000</v>
      </c>
      <c r="T856" s="107">
        <f t="shared" si="364"/>
        <v>0</v>
      </c>
      <c r="U856" s="107"/>
      <c r="V856" s="175"/>
      <c r="W856" s="10"/>
      <c r="X856" s="10"/>
      <c r="Y856" t="str">
        <f t="shared" si="363"/>
        <v>2401</v>
      </c>
      <c r="AB856" s="10"/>
      <c r="AC856" s="10"/>
      <c r="AD856" s="10"/>
      <c r="AE856" s="10"/>
      <c r="AF856" s="10"/>
      <c r="AG856" s="10"/>
      <c r="AH856" s="10"/>
      <c r="AI856" s="10"/>
    </row>
    <row r="857" spans="1:35">
      <c r="A857" s="10"/>
      <c r="B857" s="10" t="str">
        <f t="shared" si="358"/>
        <v>Below the Line2nd Unit</v>
      </c>
      <c r="C857" t="s">
        <v>20</v>
      </c>
      <c r="D857" t="s">
        <v>19</v>
      </c>
      <c r="E857" t="s">
        <v>1419</v>
      </c>
      <c r="F857" t="s">
        <v>5396</v>
      </c>
      <c r="G857" t="s">
        <v>2508</v>
      </c>
      <c r="I857" s="10"/>
      <c r="J857" s="107">
        <f>SUMIF(Data!C:C,G857,Data!Q:Q)</f>
        <v>16833.349999999999</v>
      </c>
      <c r="K857" s="107">
        <f>SUMIF(Comprometidos!A:A,'Cost Report'!G857,Comprometidos!E:E)</f>
        <v>0</v>
      </c>
      <c r="L857" s="107">
        <f t="shared" si="359"/>
        <v>16833.349999999999</v>
      </c>
      <c r="M857" s="107">
        <v>0</v>
      </c>
      <c r="N857" s="107">
        <f t="shared" si="361"/>
        <v>16833.349999999999</v>
      </c>
      <c r="O857" s="107">
        <f>VLOOKUP(G857,Budget!$E$3:$G$2474,3,0)</f>
        <v>8500</v>
      </c>
      <c r="P857" s="107">
        <f t="shared" si="362"/>
        <v>-8333.3499999999985</v>
      </c>
      <c r="Q857" s="107"/>
      <c r="R857" s="10"/>
      <c r="S857" s="107">
        <v>16833.349999999999</v>
      </c>
      <c r="T857" s="107">
        <f t="shared" si="364"/>
        <v>0</v>
      </c>
      <c r="U857" s="107"/>
      <c r="V857" s="175"/>
      <c r="W857" s="10"/>
      <c r="X857" s="10"/>
      <c r="Y857" t="str">
        <f t="shared" si="363"/>
        <v>2401</v>
      </c>
      <c r="AB857" s="10"/>
      <c r="AC857" s="10"/>
      <c r="AD857" s="10"/>
      <c r="AE857" s="10"/>
      <c r="AF857" s="10"/>
      <c r="AG857" s="10"/>
      <c r="AH857" s="10"/>
      <c r="AI857" s="10"/>
    </row>
    <row r="858" spans="1:35">
      <c r="A858" s="10"/>
      <c r="B858" s="10" t="str">
        <f t="shared" si="358"/>
        <v>Below the Line</v>
      </c>
      <c r="C858" t="s">
        <v>20</v>
      </c>
      <c r="D858" t="s">
        <v>19</v>
      </c>
      <c r="E858" t="s">
        <v>214</v>
      </c>
      <c r="F858" t="s">
        <v>5396</v>
      </c>
      <c r="G858" t="s">
        <v>2509</v>
      </c>
      <c r="I858" s="10"/>
      <c r="J858" s="107">
        <f>SUMIF(Data!C:C,G858,Data!Q:Q)</f>
        <v>0</v>
      </c>
      <c r="K858" s="107">
        <f>SUMIF(Comprometidos!A:A,'Cost Report'!G858,Comprometidos!E:E)</f>
        <v>0</v>
      </c>
      <c r="L858" s="107">
        <f t="shared" si="359"/>
        <v>0</v>
      </c>
      <c r="M858" s="107">
        <f t="shared" si="360"/>
        <v>0</v>
      </c>
      <c r="N858" s="107">
        <f t="shared" si="361"/>
        <v>0</v>
      </c>
      <c r="O858" s="107">
        <f>VLOOKUP(G858,Budget!$E$3:$G$2474,3,0)</f>
        <v>0</v>
      </c>
      <c r="P858" s="107">
        <f t="shared" si="362"/>
        <v>0</v>
      </c>
      <c r="Q858" s="107"/>
      <c r="R858" s="10"/>
      <c r="S858" s="107">
        <v>0</v>
      </c>
      <c r="T858" s="107">
        <f t="shared" si="364"/>
        <v>0</v>
      </c>
      <c r="U858" s="107"/>
      <c r="V858" s="175"/>
      <c r="W858" s="10"/>
      <c r="X858" s="10"/>
      <c r="Y858" t="str">
        <f t="shared" si="363"/>
        <v>2401</v>
      </c>
      <c r="AB858" s="10"/>
      <c r="AC858" s="10"/>
      <c r="AD858" s="10"/>
      <c r="AE858" s="10"/>
      <c r="AF858" s="10"/>
      <c r="AG858" s="10"/>
      <c r="AH858" s="10"/>
      <c r="AI858" s="10"/>
    </row>
    <row r="859" spans="1:35">
      <c r="A859" s="10"/>
      <c r="B859" s="10" t="str">
        <f t="shared" si="358"/>
        <v>Below the Line2nd Unit</v>
      </c>
      <c r="C859" t="s">
        <v>20</v>
      </c>
      <c r="D859" t="s">
        <v>19</v>
      </c>
      <c r="E859" t="s">
        <v>1419</v>
      </c>
      <c r="F859" t="s">
        <v>5396</v>
      </c>
      <c r="G859" t="s">
        <v>2510</v>
      </c>
      <c r="I859" s="10"/>
      <c r="J859" s="107">
        <f>SUMIF(Data!C:C,G859,Data!Q:Q)</f>
        <v>8500</v>
      </c>
      <c r="K859" s="107">
        <f>SUMIF(Comprometidos!A:A,'Cost Report'!G859,Comprometidos!E:E)</f>
        <v>0</v>
      </c>
      <c r="L859" s="107">
        <f t="shared" si="359"/>
        <v>8500</v>
      </c>
      <c r="M859" s="107">
        <f t="shared" si="360"/>
        <v>0</v>
      </c>
      <c r="N859" s="107">
        <f t="shared" si="361"/>
        <v>8500</v>
      </c>
      <c r="O859" s="107">
        <f>VLOOKUP(G859,Budget!$E$3:$G$2474,3,0)</f>
        <v>8500</v>
      </c>
      <c r="P859" s="107">
        <f t="shared" si="362"/>
        <v>0</v>
      </c>
      <c r="Q859" s="107"/>
      <c r="R859" s="10"/>
      <c r="S859" s="107">
        <v>8500</v>
      </c>
      <c r="T859" s="107">
        <f t="shared" si="364"/>
        <v>0</v>
      </c>
      <c r="U859" s="107"/>
      <c r="V859" s="175"/>
      <c r="W859" s="10"/>
      <c r="X859" s="10"/>
      <c r="Y859" t="str">
        <f t="shared" si="363"/>
        <v>2401</v>
      </c>
      <c r="AB859" s="10"/>
      <c r="AC859" s="10"/>
      <c r="AD859" s="10"/>
      <c r="AE859" s="10"/>
      <c r="AF859" s="10"/>
      <c r="AG859" s="10"/>
      <c r="AH859" s="10"/>
      <c r="AI859" s="10"/>
    </row>
    <row r="860" spans="1:35">
      <c r="A860" s="10"/>
      <c r="B860" s="10" t="str">
        <f t="shared" si="358"/>
        <v>Below the Line2nd Unit</v>
      </c>
      <c r="C860" t="s">
        <v>20</v>
      </c>
      <c r="D860" t="s">
        <v>19</v>
      </c>
      <c r="E860" t="s">
        <v>1419</v>
      </c>
      <c r="F860" t="s">
        <v>5396</v>
      </c>
      <c r="G860" t="s">
        <v>2511</v>
      </c>
      <c r="I860" s="10"/>
      <c r="J860" s="107">
        <f>SUMIF(Data!C:C,G860,Data!Q:Q)</f>
        <v>17000</v>
      </c>
      <c r="K860" s="107">
        <f>SUMIF(Comprometidos!A:A,'Cost Report'!G860,Comprometidos!E:E)</f>
        <v>0</v>
      </c>
      <c r="L860" s="107">
        <f t="shared" si="359"/>
        <v>17000</v>
      </c>
      <c r="M860" s="107">
        <f t="shared" si="360"/>
        <v>0</v>
      </c>
      <c r="N860" s="107">
        <f t="shared" si="361"/>
        <v>17000</v>
      </c>
      <c r="O860" s="107">
        <f>VLOOKUP(G860,Budget!$E$3:$G$2474,3,0)</f>
        <v>17000</v>
      </c>
      <c r="P860" s="107">
        <f t="shared" si="362"/>
        <v>0</v>
      </c>
      <c r="Q860" s="107"/>
      <c r="R860" s="10"/>
      <c r="S860" s="107">
        <v>17000</v>
      </c>
      <c r="T860" s="107">
        <f t="shared" si="364"/>
        <v>0</v>
      </c>
      <c r="U860" s="107"/>
      <c r="V860" s="175"/>
      <c r="W860" s="10"/>
      <c r="X860" s="10"/>
      <c r="Y860" t="str">
        <f t="shared" si="363"/>
        <v>2401</v>
      </c>
      <c r="AB860" s="10"/>
      <c r="AC860" s="10"/>
      <c r="AD860" s="10"/>
      <c r="AE860" s="10"/>
      <c r="AF860" s="10"/>
      <c r="AG860" s="10"/>
      <c r="AH860" s="10"/>
      <c r="AI860" s="10"/>
    </row>
    <row r="861" spans="1:35">
      <c r="A861" s="10"/>
      <c r="B861" s="10" t="str">
        <f t="shared" si="358"/>
        <v>Below the Line2nd Unit</v>
      </c>
      <c r="C861" t="s">
        <v>20</v>
      </c>
      <c r="D861" t="s">
        <v>19</v>
      </c>
      <c r="E861" t="s">
        <v>1419</v>
      </c>
      <c r="F861" t="s">
        <v>5396</v>
      </c>
      <c r="G861" t="s">
        <v>2512</v>
      </c>
      <c r="I861" s="10"/>
      <c r="J861" s="107">
        <f>SUMIF(Data!C:C,G861,Data!Q:Q)</f>
        <v>8500</v>
      </c>
      <c r="K861" s="107">
        <f>SUMIF(Comprometidos!A:A,'Cost Report'!G861,Comprometidos!E:E)</f>
        <v>0</v>
      </c>
      <c r="L861" s="107">
        <f t="shared" si="359"/>
        <v>8500</v>
      </c>
      <c r="M861" s="107">
        <f t="shared" si="360"/>
        <v>0</v>
      </c>
      <c r="N861" s="107">
        <f t="shared" si="361"/>
        <v>8500</v>
      </c>
      <c r="O861" s="107">
        <f>VLOOKUP(G861,Budget!$E$3:$G$2474,3,0)</f>
        <v>8500</v>
      </c>
      <c r="P861" s="107">
        <f t="shared" si="362"/>
        <v>0</v>
      </c>
      <c r="Q861" s="107"/>
      <c r="R861" s="10"/>
      <c r="S861" s="107">
        <v>8500</v>
      </c>
      <c r="T861" s="107">
        <f t="shared" si="364"/>
        <v>0</v>
      </c>
      <c r="U861" s="107"/>
      <c r="V861" s="175"/>
      <c r="W861" s="10"/>
      <c r="X861" s="10"/>
      <c r="Y861" t="str">
        <f t="shared" si="363"/>
        <v>2401</v>
      </c>
      <c r="AB861" s="10"/>
      <c r="AC861" s="10"/>
      <c r="AD861" s="10"/>
      <c r="AE861" s="10"/>
      <c r="AF861" s="10"/>
      <c r="AG861" s="10"/>
      <c r="AH861" s="10"/>
      <c r="AI861" s="10"/>
    </row>
    <row r="862" spans="1:35">
      <c r="A862" s="10"/>
      <c r="B862" s="10" t="str">
        <f>+C862</f>
        <v>Below the Line</v>
      </c>
      <c r="C862" s="128" t="s">
        <v>20</v>
      </c>
      <c r="D862" s="128" t="s">
        <v>2117</v>
      </c>
      <c r="E862" s="128"/>
      <c r="F862" s="128"/>
      <c r="G862" s="128" t="s">
        <v>1497</v>
      </c>
      <c r="H862" s="128"/>
      <c r="I862" s="10"/>
      <c r="J862" s="129">
        <f>SUMIF($Y$11:$Y$2484,G862,J$11:J$2484)</f>
        <v>75600</v>
      </c>
      <c r="K862" s="129">
        <f>SUMIF($Y$11:$Y$2484,G862,K$11:K$2484)</f>
        <v>0</v>
      </c>
      <c r="L862" s="129">
        <f>SUMIF($Y$11:$Y$2484,G862,L$11:L$2484)</f>
        <v>75600</v>
      </c>
      <c r="M862" s="129">
        <f>SUMIF($Y$11:$Y$2484,G862,M$11:M$2484)</f>
        <v>0</v>
      </c>
      <c r="N862" s="129">
        <f>SUMIF($Y$11:$Y$2484,G862,N$11:N$2484)</f>
        <v>75600</v>
      </c>
      <c r="O862" s="129">
        <f>SUMIF($Y$11:$Y$2484,G862,O$11:O$2484)</f>
        <v>88200</v>
      </c>
      <c r="P862" s="129">
        <f>SUMIF($Y$11:$Y$2484,G862,P$11:P$2484)</f>
        <v>12600</v>
      </c>
      <c r="Q862" s="129"/>
      <c r="R862" s="10"/>
      <c r="S862" s="129">
        <v>75600</v>
      </c>
      <c r="T862" s="129">
        <f t="shared" si="364"/>
        <v>0</v>
      </c>
      <c r="U862" s="128"/>
      <c r="V862" s="175"/>
      <c r="W862" s="10"/>
      <c r="X862" s="10"/>
      <c r="Z862" t="str">
        <f>LEFT(G862,2)</f>
        <v>24</v>
      </c>
      <c r="AA862" t="str">
        <f>+Z862&amp;"00"</f>
        <v>2400</v>
      </c>
      <c r="AB862" s="10"/>
      <c r="AC862" s="10"/>
      <c r="AD862" s="10"/>
      <c r="AE862" s="10"/>
      <c r="AF862" s="10"/>
      <c r="AG862" s="10"/>
      <c r="AH862" s="10"/>
      <c r="AI862" s="10"/>
    </row>
    <row r="863" spans="1:35">
      <c r="A863" s="10"/>
      <c r="B863" s="10" t="str">
        <f t="shared" ref="B863:B866" si="365">+C863&amp;E863</f>
        <v>Below the Line</v>
      </c>
      <c r="C863" t="s">
        <v>20</v>
      </c>
      <c r="D863" t="s">
        <v>19</v>
      </c>
      <c r="E863" t="s">
        <v>214</v>
      </c>
      <c r="F863" t="s">
        <v>5396</v>
      </c>
      <c r="G863" t="s">
        <v>1498</v>
      </c>
      <c r="I863" s="10"/>
      <c r="J863" s="107">
        <f>SUMIF(Data!C:C,G863,Data!Q:Q)</f>
        <v>0</v>
      </c>
      <c r="K863" s="107">
        <f>SUMIF(Comprometidos!A:A,'Cost Report'!G863,Comprometidos!E:E)</f>
        <v>0</v>
      </c>
      <c r="L863" s="107">
        <f t="shared" ref="L863:L866" si="366">+J863+K863</f>
        <v>0</v>
      </c>
      <c r="M863" s="107">
        <f t="shared" ref="M863:M865" si="367">+O863-L863</f>
        <v>0</v>
      </c>
      <c r="N863" s="107">
        <f t="shared" ref="N863:N866" si="368">+L863+M863</f>
        <v>0</v>
      </c>
      <c r="O863" s="107">
        <f>VLOOKUP(G863,Budget!$E$3:$G$2474,3,0)</f>
        <v>0</v>
      </c>
      <c r="P863" s="107">
        <f t="shared" ref="P863:P866" si="369">+O863-N863</f>
        <v>0</v>
      </c>
      <c r="Q863" s="107"/>
      <c r="R863" s="10"/>
      <c r="S863" s="107">
        <v>0</v>
      </c>
      <c r="T863" s="107">
        <f t="shared" si="364"/>
        <v>0</v>
      </c>
      <c r="U863" s="107"/>
      <c r="V863" s="175"/>
      <c r="W863" s="10"/>
      <c r="X863" s="10"/>
      <c r="Y863" t="str">
        <f t="shared" ref="Y863:Y866" si="370">LEFT(G863,4)</f>
        <v>2402</v>
      </c>
      <c r="AB863" s="10"/>
      <c r="AC863" s="10"/>
      <c r="AD863" s="10"/>
      <c r="AE863" s="10"/>
      <c r="AF863" s="10"/>
      <c r="AG863" s="10"/>
      <c r="AH863" s="10"/>
      <c r="AI863" s="10"/>
    </row>
    <row r="864" spans="1:35">
      <c r="A864" s="10"/>
      <c r="B864" s="10" t="str">
        <f t="shared" si="365"/>
        <v>Below the LinePREP</v>
      </c>
      <c r="C864" t="s">
        <v>20</v>
      </c>
      <c r="D864" t="s">
        <v>19</v>
      </c>
      <c r="E864" t="s">
        <v>234</v>
      </c>
      <c r="F864" t="s">
        <v>5396</v>
      </c>
      <c r="G864" t="s">
        <v>1499</v>
      </c>
      <c r="I864" s="10"/>
      <c r="J864" s="107">
        <f>SUMIF(Data!C:C,G864,Data!Q:Q)</f>
        <v>16800</v>
      </c>
      <c r="K864" s="107">
        <f>SUMIF(Comprometidos!A:A,'Cost Report'!G864,Comprometidos!E:E)</f>
        <v>0</v>
      </c>
      <c r="L864" s="107">
        <f t="shared" si="366"/>
        <v>16800</v>
      </c>
      <c r="M864" s="107">
        <v>0</v>
      </c>
      <c r="N864" s="107">
        <f t="shared" si="368"/>
        <v>16800</v>
      </c>
      <c r="O864" s="107">
        <f>VLOOKUP(G864,Budget!$E$3:$G$2474,3,0)</f>
        <v>21000</v>
      </c>
      <c r="P864" s="107">
        <f t="shared" si="369"/>
        <v>4200</v>
      </c>
      <c r="Q864" s="107"/>
      <c r="R864" s="10"/>
      <c r="S864" s="107">
        <v>16800</v>
      </c>
      <c r="T864" s="107">
        <f t="shared" si="364"/>
        <v>0</v>
      </c>
      <c r="U864" s="107"/>
      <c r="V864" s="175"/>
      <c r="W864" s="10"/>
      <c r="X864" s="10"/>
      <c r="Y864" t="str">
        <f t="shared" si="370"/>
        <v>2402</v>
      </c>
      <c r="AB864" s="10"/>
      <c r="AC864" s="10"/>
      <c r="AD864" s="10"/>
      <c r="AE864" s="10"/>
      <c r="AF864" s="10"/>
      <c r="AG864" s="10"/>
      <c r="AH864" s="10"/>
      <c r="AI864" s="10"/>
    </row>
    <row r="865" spans="1:35">
      <c r="A865" s="10"/>
      <c r="B865" s="10" t="str">
        <f t="shared" si="365"/>
        <v>Below the LineSHOOT</v>
      </c>
      <c r="C865" t="s">
        <v>20</v>
      </c>
      <c r="D865" t="s">
        <v>19</v>
      </c>
      <c r="E865" t="s">
        <v>236</v>
      </c>
      <c r="F865" t="s">
        <v>5396</v>
      </c>
      <c r="G865" t="s">
        <v>1500</v>
      </c>
      <c r="I865" s="10"/>
      <c r="J865" s="107">
        <f>SUMIF(Data!C:C,G865,Data!Q:Q)</f>
        <v>58800</v>
      </c>
      <c r="K865" s="107">
        <f>SUMIF(Comprometidos!A:A,'Cost Report'!G865,Comprometidos!E:E)</f>
        <v>0</v>
      </c>
      <c r="L865" s="107">
        <f t="shared" si="366"/>
        <v>58800</v>
      </c>
      <c r="M865" s="107">
        <f t="shared" si="367"/>
        <v>0</v>
      </c>
      <c r="N865" s="107">
        <f t="shared" si="368"/>
        <v>58800</v>
      </c>
      <c r="O865" s="107">
        <f>VLOOKUP(G865,Budget!$E$3:$G$2474,3,0)</f>
        <v>58800</v>
      </c>
      <c r="P865" s="107">
        <f t="shared" si="369"/>
        <v>0</v>
      </c>
      <c r="Q865" s="107"/>
      <c r="R865" s="10"/>
      <c r="S865" s="107">
        <v>58800</v>
      </c>
      <c r="T865" s="107">
        <f t="shared" si="364"/>
        <v>0</v>
      </c>
      <c r="U865" s="107"/>
      <c r="V865" s="175"/>
      <c r="W865" s="10"/>
      <c r="X865" s="10"/>
      <c r="Y865" t="str">
        <f t="shared" si="370"/>
        <v>2402</v>
      </c>
      <c r="AB865" s="10"/>
      <c r="AC865" s="10"/>
      <c r="AD865" s="10"/>
      <c r="AE865" s="10"/>
      <c r="AF865" s="10"/>
      <c r="AG865" s="10"/>
      <c r="AH865" s="10"/>
      <c r="AI865" s="10"/>
    </row>
    <row r="866" spans="1:35">
      <c r="A866" s="10"/>
      <c r="B866" s="10" t="str">
        <f t="shared" si="365"/>
        <v>Below the LineWRAP</v>
      </c>
      <c r="C866" t="s">
        <v>20</v>
      </c>
      <c r="D866" t="s">
        <v>19</v>
      </c>
      <c r="E866" t="s">
        <v>238</v>
      </c>
      <c r="F866" t="s">
        <v>5396</v>
      </c>
      <c r="G866" t="s">
        <v>2513</v>
      </c>
      <c r="I866" s="10"/>
      <c r="J866" s="107">
        <f>SUMIF(Data!C:C,G866,Data!Q:Q)</f>
        <v>0</v>
      </c>
      <c r="K866" s="107">
        <f>SUMIF(Comprometidos!A:A,'Cost Report'!G866,Comprometidos!E:E)</f>
        <v>0</v>
      </c>
      <c r="L866" s="107">
        <f t="shared" si="366"/>
        <v>0</v>
      </c>
      <c r="M866" s="107">
        <v>0</v>
      </c>
      <c r="N866" s="107">
        <f t="shared" si="368"/>
        <v>0</v>
      </c>
      <c r="O866" s="107">
        <f>VLOOKUP(G866,Budget!$E$3:$G$2474,3,0)</f>
        <v>8400</v>
      </c>
      <c r="P866" s="107">
        <f t="shared" si="369"/>
        <v>8400</v>
      </c>
      <c r="Q866" s="107"/>
      <c r="R866" s="10"/>
      <c r="S866" s="107">
        <v>0</v>
      </c>
      <c r="T866" s="107">
        <f t="shared" si="364"/>
        <v>0</v>
      </c>
      <c r="U866" s="107"/>
      <c r="V866" s="175"/>
      <c r="W866" s="10"/>
      <c r="X866" s="10"/>
      <c r="Y866" t="str">
        <f t="shared" si="370"/>
        <v>2402</v>
      </c>
      <c r="AB866" s="10"/>
      <c r="AC866" s="10"/>
      <c r="AD866" s="10"/>
      <c r="AE866" s="10"/>
      <c r="AF866" s="10"/>
      <c r="AG866" s="10"/>
      <c r="AH866" s="10"/>
      <c r="AI866" s="10"/>
    </row>
    <row r="867" spans="1:35">
      <c r="A867" s="10"/>
      <c r="B867" s="10" t="str">
        <f>+C867</f>
        <v>Below the Line</v>
      </c>
      <c r="C867" s="128" t="s">
        <v>20</v>
      </c>
      <c r="D867" s="128" t="s">
        <v>2117</v>
      </c>
      <c r="E867" s="128"/>
      <c r="F867" s="128"/>
      <c r="G867" s="128" t="s">
        <v>592</v>
      </c>
      <c r="H867" s="128"/>
      <c r="I867" s="10"/>
      <c r="J867" s="129">
        <f>SUMIF($Y$11:$Y$2484,G867,J$11:J$2484)</f>
        <v>416746.66</v>
      </c>
      <c r="K867" s="129">
        <f>SUMIF($Y$11:$Y$2484,G867,K$11:K$2484)</f>
        <v>0</v>
      </c>
      <c r="L867" s="129">
        <f>SUMIF($Y$11:$Y$2484,G867,L$11:L$2484)</f>
        <v>416746.66</v>
      </c>
      <c r="M867" s="129">
        <f>SUMIF($Y$11:$Y$2484,G867,M$11:M$2484)</f>
        <v>0</v>
      </c>
      <c r="N867" s="129">
        <f>SUMIF($Y$11:$Y$2484,G867,N$11:N$2484)</f>
        <v>416746.66</v>
      </c>
      <c r="O867" s="129">
        <f>SUMIF($Y$11:$Y$2484,G867,O$11:O$2484)</f>
        <v>358650</v>
      </c>
      <c r="P867" s="129">
        <f>SUMIF($Y$11:$Y$2484,G867,P$11:P$2484)</f>
        <v>-58096.66</v>
      </c>
      <c r="Q867" s="129"/>
      <c r="R867" s="10"/>
      <c r="S867" s="129">
        <v>416746.66</v>
      </c>
      <c r="T867" s="129">
        <f t="shared" si="364"/>
        <v>0</v>
      </c>
      <c r="U867" s="128"/>
      <c r="V867" s="175"/>
      <c r="W867" s="10"/>
      <c r="X867" s="10"/>
      <c r="Z867" t="str">
        <f>LEFT(G867,2)</f>
        <v>24</v>
      </c>
      <c r="AA867" t="str">
        <f>+Z867&amp;"00"</f>
        <v>2400</v>
      </c>
      <c r="AB867" s="10"/>
      <c r="AC867" s="10"/>
      <c r="AD867" s="10"/>
      <c r="AE867" s="10"/>
      <c r="AF867" s="10"/>
      <c r="AG867" s="10"/>
      <c r="AH867" s="10"/>
      <c r="AI867" s="10"/>
    </row>
    <row r="868" spans="1:35">
      <c r="A868" s="10"/>
      <c r="B868" s="10" t="str">
        <f t="shared" ref="B868:B890" si="371">+C868&amp;E868</f>
        <v>Below the Line</v>
      </c>
      <c r="C868" t="s">
        <v>20</v>
      </c>
      <c r="D868" t="s">
        <v>19</v>
      </c>
      <c r="E868" t="s">
        <v>214</v>
      </c>
      <c r="F868" t="s">
        <v>5396</v>
      </c>
      <c r="G868" t="s">
        <v>593</v>
      </c>
      <c r="I868" s="10"/>
      <c r="J868" s="107">
        <f>SUMIF(Data!C:C,G868,Data!Q:Q)</f>
        <v>0</v>
      </c>
      <c r="K868" s="107">
        <f>SUMIF(Comprometidos!A:A,'Cost Report'!G868,Comprometidos!E:E)</f>
        <v>0</v>
      </c>
      <c r="L868" s="107">
        <f t="shared" ref="L868:L890" si="372">+J868+K868</f>
        <v>0</v>
      </c>
      <c r="M868" s="107">
        <f t="shared" ref="M868:M890" si="373">+O868-L868</f>
        <v>0</v>
      </c>
      <c r="N868" s="107">
        <f t="shared" ref="N868:N890" si="374">+L868+M868</f>
        <v>0</v>
      </c>
      <c r="O868" s="107">
        <f>VLOOKUP(G868,Budget!$E$3:$G$2474,3,0)</f>
        <v>0</v>
      </c>
      <c r="P868" s="107">
        <f t="shared" ref="P868:P890" si="375">+O868-N868</f>
        <v>0</v>
      </c>
      <c r="Q868" s="107"/>
      <c r="R868" s="10"/>
      <c r="S868" s="107">
        <v>0</v>
      </c>
      <c r="T868" s="107">
        <f t="shared" si="364"/>
        <v>0</v>
      </c>
      <c r="U868" s="107"/>
      <c r="V868" s="175"/>
      <c r="W868" s="10"/>
      <c r="X868" s="10"/>
      <c r="Y868" t="str">
        <f t="shared" ref="Y868:Y890" si="376">LEFT(G868,4)</f>
        <v>2403</v>
      </c>
      <c r="AB868" s="10"/>
      <c r="AC868" s="10"/>
      <c r="AD868" s="10"/>
      <c r="AE868" s="10"/>
      <c r="AF868" s="10"/>
      <c r="AG868" s="10"/>
      <c r="AH868" s="10"/>
      <c r="AI868" s="10"/>
    </row>
    <row r="869" spans="1:35">
      <c r="A869" s="10"/>
      <c r="B869" s="10" t="str">
        <f t="shared" si="371"/>
        <v>Below the LinePREP</v>
      </c>
      <c r="C869" t="s">
        <v>20</v>
      </c>
      <c r="D869" t="s">
        <v>19</v>
      </c>
      <c r="E869" t="s">
        <v>234</v>
      </c>
      <c r="F869" t="s">
        <v>5396</v>
      </c>
      <c r="G869" t="s">
        <v>594</v>
      </c>
      <c r="I869" s="10"/>
      <c r="J869" s="107">
        <f>SUMIF(Data!C:C,G869,Data!Q:Q)</f>
        <v>15750</v>
      </c>
      <c r="K869" s="107">
        <f>SUMIF(Comprometidos!A:A,'Cost Report'!G869,Comprometidos!E:E)</f>
        <v>0</v>
      </c>
      <c r="L869" s="107">
        <f t="shared" si="372"/>
        <v>15750</v>
      </c>
      <c r="M869" s="107">
        <v>0</v>
      </c>
      <c r="N869" s="107">
        <f t="shared" si="374"/>
        <v>15750</v>
      </c>
      <c r="O869" s="107">
        <f>VLOOKUP(G869,Budget!$E$3:$G$2474,3,0)</f>
        <v>23625</v>
      </c>
      <c r="P869" s="107">
        <f t="shared" si="375"/>
        <v>7875</v>
      </c>
      <c r="Q869" s="107"/>
      <c r="R869" s="10"/>
      <c r="S869" s="107">
        <v>15750</v>
      </c>
      <c r="T869" s="107">
        <f t="shared" si="364"/>
        <v>0</v>
      </c>
      <c r="U869" s="107"/>
      <c r="V869" s="175"/>
      <c r="W869" s="10"/>
      <c r="X869" s="10"/>
      <c r="Y869" t="str">
        <f t="shared" si="376"/>
        <v>2403</v>
      </c>
      <c r="AB869" s="10"/>
      <c r="AC869" s="10"/>
      <c r="AD869" s="10"/>
      <c r="AE869" s="10"/>
      <c r="AF869" s="10"/>
      <c r="AG869" s="10"/>
      <c r="AH869" s="10"/>
      <c r="AI869" s="10"/>
    </row>
    <row r="870" spans="1:35">
      <c r="A870" s="10"/>
      <c r="B870" s="10" t="str">
        <f t="shared" si="371"/>
        <v>Below the LineSHOOT</v>
      </c>
      <c r="C870" t="s">
        <v>20</v>
      </c>
      <c r="D870" t="s">
        <v>19</v>
      </c>
      <c r="E870" t="s">
        <v>236</v>
      </c>
      <c r="F870" t="s">
        <v>5396</v>
      </c>
      <c r="G870" t="s">
        <v>595</v>
      </c>
      <c r="I870" s="10"/>
      <c r="J870" s="107">
        <f>SUMIF(Data!C:C,G870,Data!Q:Q)</f>
        <v>55125</v>
      </c>
      <c r="K870" s="107">
        <f>SUMIF(Comprometidos!A:A,'Cost Report'!G870,Comprometidos!E:E)</f>
        <v>0</v>
      </c>
      <c r="L870" s="107">
        <f t="shared" si="372"/>
        <v>55125</v>
      </c>
      <c r="M870" s="107">
        <f t="shared" si="373"/>
        <v>0</v>
      </c>
      <c r="N870" s="107">
        <f t="shared" si="374"/>
        <v>55125</v>
      </c>
      <c r="O870" s="107">
        <f>VLOOKUP(G870,Budget!$E$3:$G$2474,3,0)</f>
        <v>55125</v>
      </c>
      <c r="P870" s="107">
        <f t="shared" si="375"/>
        <v>0</v>
      </c>
      <c r="Q870" s="107"/>
      <c r="R870" s="10"/>
      <c r="S870" s="107">
        <v>55125</v>
      </c>
      <c r="T870" s="107">
        <f t="shared" si="364"/>
        <v>0</v>
      </c>
      <c r="U870" s="107"/>
      <c r="V870" s="175"/>
      <c r="W870" s="10"/>
      <c r="X870" s="10"/>
      <c r="Y870" t="str">
        <f t="shared" si="376"/>
        <v>2403</v>
      </c>
      <c r="AB870" s="10"/>
      <c r="AC870" s="10"/>
      <c r="AD870" s="10"/>
      <c r="AE870" s="10"/>
      <c r="AF870" s="10"/>
      <c r="AG870" s="10"/>
      <c r="AH870" s="10"/>
      <c r="AI870" s="10"/>
    </row>
    <row r="871" spans="1:35">
      <c r="A871" s="10"/>
      <c r="B871" s="10" t="str">
        <f t="shared" si="371"/>
        <v>Below the LineWRAP</v>
      </c>
      <c r="C871" t="s">
        <v>20</v>
      </c>
      <c r="D871" t="s">
        <v>19</v>
      </c>
      <c r="E871" t="s">
        <v>238</v>
      </c>
      <c r="F871" t="s">
        <v>5396</v>
      </c>
      <c r="G871" t="s">
        <v>596</v>
      </c>
      <c r="I871" s="10"/>
      <c r="J871" s="107">
        <f>SUMIF(Data!C:C,G871,Data!Q:Q)</f>
        <v>41700</v>
      </c>
      <c r="K871" s="107">
        <f>SUMIF(Comprometidos!A:A,'Cost Report'!G871,Comprometidos!E:E)</f>
        <v>0</v>
      </c>
      <c r="L871" s="107">
        <f t="shared" si="372"/>
        <v>41700</v>
      </c>
      <c r="M871" s="107">
        <v>0</v>
      </c>
      <c r="N871" s="107">
        <f t="shared" si="374"/>
        <v>41700</v>
      </c>
      <c r="O871" s="107">
        <f>VLOOKUP(G871,Budget!$E$3:$G$2474,3,0)</f>
        <v>7875</v>
      </c>
      <c r="P871" s="107">
        <f t="shared" si="375"/>
        <v>-33825</v>
      </c>
      <c r="Q871" s="107"/>
      <c r="R871" s="10"/>
      <c r="S871" s="107">
        <v>41700</v>
      </c>
      <c r="T871" s="107">
        <f t="shared" si="364"/>
        <v>0</v>
      </c>
      <c r="U871" s="107"/>
      <c r="V871" s="175"/>
      <c r="W871" s="10"/>
      <c r="X871" s="10"/>
      <c r="Y871" t="str">
        <f t="shared" si="376"/>
        <v>2403</v>
      </c>
      <c r="AB871" s="10"/>
      <c r="AC871" s="10"/>
      <c r="AD871" s="10"/>
      <c r="AE871" s="10"/>
      <c r="AF871" s="10"/>
      <c r="AG871" s="10"/>
      <c r="AH871" s="10"/>
      <c r="AI871" s="10"/>
    </row>
    <row r="872" spans="1:35">
      <c r="A872" s="10"/>
      <c r="B872" s="10" t="str">
        <f t="shared" si="371"/>
        <v>Below the Line</v>
      </c>
      <c r="C872" t="s">
        <v>20</v>
      </c>
      <c r="D872" t="s">
        <v>19</v>
      </c>
      <c r="E872" t="s">
        <v>214</v>
      </c>
      <c r="F872" t="s">
        <v>5396</v>
      </c>
      <c r="G872" t="s">
        <v>597</v>
      </c>
      <c r="I872" s="10"/>
      <c r="J872" s="107">
        <f>SUMIF(Data!C:C,G872,Data!Q:Q)</f>
        <v>0</v>
      </c>
      <c r="K872" s="107">
        <f>SUMIF(Comprometidos!A:A,'Cost Report'!G872,Comprometidos!E:E)</f>
        <v>0</v>
      </c>
      <c r="L872" s="107">
        <f t="shared" si="372"/>
        <v>0</v>
      </c>
      <c r="M872" s="107">
        <f t="shared" si="373"/>
        <v>0</v>
      </c>
      <c r="N872" s="107">
        <f t="shared" si="374"/>
        <v>0</v>
      </c>
      <c r="O872" s="107">
        <f>VLOOKUP(G872,Budget!$E$3:$G$2474,3,0)</f>
        <v>0</v>
      </c>
      <c r="P872" s="107">
        <f t="shared" si="375"/>
        <v>0</v>
      </c>
      <c r="Q872" s="107"/>
      <c r="R872" s="10"/>
      <c r="S872" s="107">
        <v>0</v>
      </c>
      <c r="T872" s="107">
        <f t="shared" si="364"/>
        <v>0</v>
      </c>
      <c r="U872" s="107"/>
      <c r="V872" s="175"/>
      <c r="W872" s="10"/>
      <c r="X872" s="10"/>
      <c r="Y872" t="str">
        <f t="shared" si="376"/>
        <v>2403</v>
      </c>
      <c r="AB872" s="10"/>
      <c r="AC872" s="10"/>
      <c r="AD872" s="10"/>
      <c r="AE872" s="10"/>
      <c r="AF872" s="10"/>
      <c r="AG872" s="10"/>
      <c r="AH872" s="10"/>
      <c r="AI872" s="10"/>
    </row>
    <row r="873" spans="1:35">
      <c r="A873" s="10"/>
      <c r="B873" s="10" t="str">
        <f t="shared" si="371"/>
        <v>Below the LinePREP</v>
      </c>
      <c r="C873" t="s">
        <v>20</v>
      </c>
      <c r="D873" t="s">
        <v>19</v>
      </c>
      <c r="E873" t="s">
        <v>234</v>
      </c>
      <c r="F873" t="s">
        <v>5396</v>
      </c>
      <c r="G873" t="s">
        <v>598</v>
      </c>
      <c r="I873" s="10"/>
      <c r="J873" s="107">
        <f>SUMIF(Data!C:C,G873,Data!Q:Q)</f>
        <v>15750</v>
      </c>
      <c r="K873" s="107">
        <f>SUMIF(Comprometidos!A:A,'Cost Report'!G873,Comprometidos!E:E)</f>
        <v>0</v>
      </c>
      <c r="L873" s="107">
        <f t="shared" si="372"/>
        <v>15750</v>
      </c>
      <c r="M873" s="107">
        <f t="shared" si="373"/>
        <v>0</v>
      </c>
      <c r="N873" s="107">
        <f t="shared" si="374"/>
        <v>15750</v>
      </c>
      <c r="O873" s="107">
        <f>VLOOKUP(G873,Budget!$E$3:$G$2474,3,0)</f>
        <v>15750</v>
      </c>
      <c r="P873" s="107">
        <f t="shared" si="375"/>
        <v>0</v>
      </c>
      <c r="Q873" s="107"/>
      <c r="R873" s="10"/>
      <c r="S873" s="107">
        <v>15750</v>
      </c>
      <c r="T873" s="107">
        <f t="shared" si="364"/>
        <v>0</v>
      </c>
      <c r="U873" s="107"/>
      <c r="V873" s="175"/>
      <c r="W873" s="10"/>
      <c r="X873" s="10"/>
      <c r="Y873" t="str">
        <f t="shared" si="376"/>
        <v>2403</v>
      </c>
      <c r="AB873" s="10"/>
      <c r="AC873" s="10"/>
      <c r="AD873" s="10"/>
      <c r="AE873" s="10"/>
      <c r="AF873" s="10"/>
      <c r="AG873" s="10"/>
      <c r="AH873" s="10"/>
      <c r="AI873" s="10"/>
    </row>
    <row r="874" spans="1:35">
      <c r="A874" s="10"/>
      <c r="B874" s="10" t="str">
        <f t="shared" si="371"/>
        <v>Below the LineSHOOT</v>
      </c>
      <c r="C874" t="s">
        <v>20</v>
      </c>
      <c r="D874" t="s">
        <v>19</v>
      </c>
      <c r="E874" t="s">
        <v>236</v>
      </c>
      <c r="F874" t="s">
        <v>5396</v>
      </c>
      <c r="G874" t="s">
        <v>599</v>
      </c>
      <c r="I874" s="10"/>
      <c r="J874" s="107">
        <f>SUMIF(Data!C:C,G874,Data!Q:Q)</f>
        <v>55125</v>
      </c>
      <c r="K874" s="107">
        <f>SUMIF(Comprometidos!A:A,'Cost Report'!G874,Comprometidos!E:E)</f>
        <v>0</v>
      </c>
      <c r="L874" s="107">
        <f t="shared" si="372"/>
        <v>55125</v>
      </c>
      <c r="M874" s="107">
        <f t="shared" si="373"/>
        <v>0</v>
      </c>
      <c r="N874" s="107">
        <f t="shared" si="374"/>
        <v>55125</v>
      </c>
      <c r="O874" s="107">
        <f>VLOOKUP(G874,Budget!$E$3:$G$2474,3,0)</f>
        <v>55125</v>
      </c>
      <c r="P874" s="107">
        <f t="shared" si="375"/>
        <v>0</v>
      </c>
      <c r="Q874" s="107"/>
      <c r="R874" s="10"/>
      <c r="S874" s="107">
        <v>55125</v>
      </c>
      <c r="T874" s="107">
        <f t="shared" si="364"/>
        <v>0</v>
      </c>
      <c r="U874" s="107"/>
      <c r="V874" s="175"/>
      <c r="W874" s="10"/>
      <c r="X874" s="10"/>
      <c r="Y874" t="str">
        <f t="shared" si="376"/>
        <v>2403</v>
      </c>
      <c r="AB874" s="10"/>
      <c r="AC874" s="10"/>
      <c r="AD874" s="10"/>
      <c r="AE874" s="10"/>
      <c r="AF874" s="10"/>
      <c r="AG874" s="10"/>
      <c r="AH874" s="10"/>
      <c r="AI874" s="10"/>
    </row>
    <row r="875" spans="1:35">
      <c r="A875" s="10"/>
      <c r="B875" s="10" t="str">
        <f t="shared" si="371"/>
        <v>Below the LineWRAP</v>
      </c>
      <c r="C875" t="s">
        <v>20</v>
      </c>
      <c r="D875" t="s">
        <v>19</v>
      </c>
      <c r="E875" t="s">
        <v>238</v>
      </c>
      <c r="F875" t="s">
        <v>5396</v>
      </c>
      <c r="G875" t="s">
        <v>600</v>
      </c>
      <c r="I875" s="10"/>
      <c r="J875" s="107">
        <f>SUMIF(Data!C:C,G875,Data!Q:Q)</f>
        <v>7875</v>
      </c>
      <c r="K875" s="107">
        <f>SUMIF(Comprometidos!A:A,'Cost Report'!G875,Comprometidos!E:E)</f>
        <v>0</v>
      </c>
      <c r="L875" s="107">
        <f t="shared" si="372"/>
        <v>7875</v>
      </c>
      <c r="M875" s="107">
        <f t="shared" si="373"/>
        <v>0</v>
      </c>
      <c r="N875" s="107">
        <f t="shared" si="374"/>
        <v>7875</v>
      </c>
      <c r="O875" s="107">
        <f>VLOOKUP(G875,Budget!$E$3:$G$2474,3,0)</f>
        <v>7875</v>
      </c>
      <c r="P875" s="107">
        <f t="shared" si="375"/>
        <v>0</v>
      </c>
      <c r="Q875" s="107"/>
      <c r="R875" s="10"/>
      <c r="S875" s="107">
        <v>7875</v>
      </c>
      <c r="T875" s="107">
        <f t="shared" si="364"/>
        <v>0</v>
      </c>
      <c r="U875" s="107"/>
      <c r="V875" s="175"/>
      <c r="W875" s="10"/>
      <c r="X875" s="10"/>
      <c r="Y875" t="str">
        <f t="shared" si="376"/>
        <v>2403</v>
      </c>
      <c r="AB875" s="10"/>
      <c r="AC875" s="10"/>
      <c r="AD875" s="10"/>
      <c r="AE875" s="10"/>
      <c r="AF875" s="10"/>
      <c r="AG875" s="10"/>
      <c r="AH875" s="10"/>
      <c r="AI875" s="10"/>
    </row>
    <row r="876" spans="1:35">
      <c r="A876" s="10"/>
      <c r="B876" s="10" t="str">
        <f t="shared" si="371"/>
        <v>Below the Line</v>
      </c>
      <c r="C876" t="s">
        <v>20</v>
      </c>
      <c r="D876" t="s">
        <v>19</v>
      </c>
      <c r="E876" t="s">
        <v>214</v>
      </c>
      <c r="F876" t="s">
        <v>5396</v>
      </c>
      <c r="G876" t="s">
        <v>601</v>
      </c>
      <c r="I876" s="10"/>
      <c r="J876" s="107">
        <f>SUMIF(Data!C:C,G876,Data!Q:Q)</f>
        <v>0</v>
      </c>
      <c r="K876" s="107">
        <f>SUMIF(Comprometidos!A:A,'Cost Report'!G876,Comprometidos!E:E)</f>
        <v>0</v>
      </c>
      <c r="L876" s="107">
        <f t="shared" si="372"/>
        <v>0</v>
      </c>
      <c r="M876" s="107">
        <f t="shared" si="373"/>
        <v>0</v>
      </c>
      <c r="N876" s="107">
        <f t="shared" si="374"/>
        <v>0</v>
      </c>
      <c r="O876" s="107">
        <f>VLOOKUP(G876,Budget!$E$3:$G$2474,3,0)</f>
        <v>0</v>
      </c>
      <c r="P876" s="107">
        <f t="shared" si="375"/>
        <v>0</v>
      </c>
      <c r="Q876" s="107"/>
      <c r="R876" s="10"/>
      <c r="S876" s="107">
        <v>0</v>
      </c>
      <c r="T876" s="107">
        <f t="shared" si="364"/>
        <v>0</v>
      </c>
      <c r="U876" s="107"/>
      <c r="V876" s="175"/>
      <c r="W876" s="10"/>
      <c r="X876" s="10"/>
      <c r="Y876" t="str">
        <f t="shared" si="376"/>
        <v>2403</v>
      </c>
      <c r="AB876" s="10"/>
      <c r="AC876" s="10"/>
      <c r="AD876" s="10"/>
      <c r="AE876" s="10"/>
      <c r="AF876" s="10"/>
      <c r="AG876" s="10"/>
      <c r="AH876" s="10"/>
      <c r="AI876" s="10"/>
    </row>
    <row r="877" spans="1:35">
      <c r="A877" s="10"/>
      <c r="B877" s="10" t="str">
        <f t="shared" si="371"/>
        <v>Below the LinePREP</v>
      </c>
      <c r="C877" t="s">
        <v>20</v>
      </c>
      <c r="D877" t="s">
        <v>19</v>
      </c>
      <c r="E877" t="s">
        <v>234</v>
      </c>
      <c r="F877" t="s">
        <v>5396</v>
      </c>
      <c r="G877" t="s">
        <v>602</v>
      </c>
      <c r="I877" s="10"/>
      <c r="J877" s="107">
        <f>SUMIF(Data!C:C,G877,Data!Q:Q)</f>
        <v>7875</v>
      </c>
      <c r="K877" s="107">
        <f>SUMIF(Comprometidos!A:A,'Cost Report'!G877,Comprometidos!E:E)</f>
        <v>0</v>
      </c>
      <c r="L877" s="107">
        <f t="shared" si="372"/>
        <v>7875</v>
      </c>
      <c r="M877" s="107">
        <f t="shared" si="373"/>
        <v>0</v>
      </c>
      <c r="N877" s="107">
        <f t="shared" si="374"/>
        <v>7875</v>
      </c>
      <c r="O877" s="107">
        <f>VLOOKUP(G877,Budget!$E$3:$G$2474,3,0)</f>
        <v>7875</v>
      </c>
      <c r="P877" s="107">
        <f t="shared" si="375"/>
        <v>0</v>
      </c>
      <c r="Q877" s="107"/>
      <c r="R877" s="10"/>
      <c r="S877" s="107">
        <v>7875</v>
      </c>
      <c r="T877" s="107">
        <f t="shared" si="364"/>
        <v>0</v>
      </c>
      <c r="U877" s="107"/>
      <c r="V877" s="175"/>
      <c r="W877" s="10"/>
      <c r="X877" s="10"/>
      <c r="Y877" t="str">
        <f t="shared" si="376"/>
        <v>2403</v>
      </c>
      <c r="AB877" s="10"/>
      <c r="AC877" s="10"/>
      <c r="AD877" s="10"/>
      <c r="AE877" s="10"/>
      <c r="AF877" s="10"/>
      <c r="AG877" s="10"/>
      <c r="AH877" s="10"/>
      <c r="AI877" s="10"/>
    </row>
    <row r="878" spans="1:35">
      <c r="A878" s="10"/>
      <c r="B878" s="10" t="str">
        <f t="shared" si="371"/>
        <v>Below the LineSHOOT</v>
      </c>
      <c r="C878" t="s">
        <v>20</v>
      </c>
      <c r="D878" t="s">
        <v>19</v>
      </c>
      <c r="E878" t="s">
        <v>236</v>
      </c>
      <c r="F878" t="s">
        <v>5396</v>
      </c>
      <c r="G878" t="s">
        <v>603</v>
      </c>
      <c r="I878" s="10"/>
      <c r="J878" s="107">
        <f>SUMIF(Data!C:C,G878,Data!Q:Q)</f>
        <v>55125</v>
      </c>
      <c r="K878" s="107">
        <f>SUMIF(Comprometidos!A:A,'Cost Report'!G878,Comprometidos!E:E)</f>
        <v>0</v>
      </c>
      <c r="L878" s="107">
        <f t="shared" si="372"/>
        <v>55125</v>
      </c>
      <c r="M878" s="107">
        <f t="shared" si="373"/>
        <v>0</v>
      </c>
      <c r="N878" s="107">
        <f t="shared" si="374"/>
        <v>55125</v>
      </c>
      <c r="O878" s="107">
        <f>VLOOKUP(G878,Budget!$E$3:$G$2474,3,0)</f>
        <v>55125</v>
      </c>
      <c r="P878" s="107">
        <f t="shared" si="375"/>
        <v>0</v>
      </c>
      <c r="Q878" s="107"/>
      <c r="R878" s="10"/>
      <c r="S878" s="107">
        <v>55125</v>
      </c>
      <c r="T878" s="107">
        <f t="shared" si="364"/>
        <v>0</v>
      </c>
      <c r="U878" s="107"/>
      <c r="V878" s="175"/>
      <c r="W878" s="10"/>
      <c r="X878" s="10"/>
      <c r="Y878" t="str">
        <f t="shared" si="376"/>
        <v>2403</v>
      </c>
      <c r="AB878" s="10"/>
      <c r="AC878" s="10"/>
      <c r="AD878" s="10"/>
      <c r="AE878" s="10"/>
      <c r="AF878" s="10"/>
      <c r="AG878" s="10"/>
      <c r="AH878" s="10"/>
      <c r="AI878" s="10"/>
    </row>
    <row r="879" spans="1:35">
      <c r="A879" s="10"/>
      <c r="B879" s="10" t="str">
        <f t="shared" si="371"/>
        <v>Below the LineWRAP</v>
      </c>
      <c r="C879" t="s">
        <v>20</v>
      </c>
      <c r="D879" t="s">
        <v>19</v>
      </c>
      <c r="E879" t="s">
        <v>238</v>
      </c>
      <c r="F879" t="s">
        <v>5396</v>
      </c>
      <c r="G879" t="s">
        <v>604</v>
      </c>
      <c r="I879" s="10"/>
      <c r="J879" s="107">
        <f>SUMIF(Data!C:C,G879,Data!Q:Q)</f>
        <v>7875</v>
      </c>
      <c r="K879" s="107">
        <f>SUMIF(Comprometidos!A:A,'Cost Report'!G879,Comprometidos!E:E)</f>
        <v>0</v>
      </c>
      <c r="L879" s="107">
        <f t="shared" si="372"/>
        <v>7875</v>
      </c>
      <c r="M879" s="107">
        <f t="shared" si="373"/>
        <v>0</v>
      </c>
      <c r="N879" s="107">
        <f t="shared" si="374"/>
        <v>7875</v>
      </c>
      <c r="O879" s="107">
        <f>VLOOKUP(G879,Budget!$E$3:$G$2474,3,0)</f>
        <v>7875</v>
      </c>
      <c r="P879" s="107">
        <f t="shared" si="375"/>
        <v>0</v>
      </c>
      <c r="Q879" s="107"/>
      <c r="R879" s="10"/>
      <c r="S879" s="107">
        <v>7875</v>
      </c>
      <c r="T879" s="107">
        <f t="shared" si="364"/>
        <v>0</v>
      </c>
      <c r="U879" s="107"/>
      <c r="V879" s="175"/>
      <c r="W879" s="10"/>
      <c r="X879" s="10"/>
      <c r="Y879" t="str">
        <f t="shared" si="376"/>
        <v>2403</v>
      </c>
      <c r="AB879" s="10"/>
      <c r="AC879" s="10"/>
      <c r="AD879" s="10"/>
      <c r="AE879" s="10"/>
      <c r="AF879" s="10"/>
      <c r="AG879" s="10"/>
      <c r="AH879" s="10"/>
      <c r="AI879" s="10"/>
    </row>
    <row r="880" spans="1:35">
      <c r="A880" s="10"/>
      <c r="B880" s="10" t="str">
        <f t="shared" si="371"/>
        <v>Below the Line</v>
      </c>
      <c r="C880" t="s">
        <v>20</v>
      </c>
      <c r="D880" t="s">
        <v>19</v>
      </c>
      <c r="E880" t="s">
        <v>214</v>
      </c>
      <c r="F880" t="s">
        <v>5396</v>
      </c>
      <c r="G880" t="s">
        <v>605</v>
      </c>
      <c r="I880" s="10"/>
      <c r="J880" s="107">
        <f>SUMIF(Data!C:C,G880,Data!Q:Q)</f>
        <v>0</v>
      </c>
      <c r="K880" s="107">
        <f>SUMIF(Comprometidos!A:A,'Cost Report'!G880,Comprometidos!E:E)</f>
        <v>0</v>
      </c>
      <c r="L880" s="107">
        <f t="shared" si="372"/>
        <v>0</v>
      </c>
      <c r="M880" s="107">
        <f t="shared" si="373"/>
        <v>0</v>
      </c>
      <c r="N880" s="107">
        <f t="shared" si="374"/>
        <v>0</v>
      </c>
      <c r="O880" s="107">
        <f>VLOOKUP(G880,Budget!$E$3:$G$2474,3,0)</f>
        <v>0</v>
      </c>
      <c r="P880" s="107">
        <f t="shared" si="375"/>
        <v>0</v>
      </c>
      <c r="Q880" s="107"/>
      <c r="R880" s="10"/>
      <c r="S880" s="107">
        <v>0</v>
      </c>
      <c r="T880" s="107">
        <f t="shared" si="364"/>
        <v>0</v>
      </c>
      <c r="U880" s="107"/>
      <c r="V880" s="175"/>
      <c r="W880" s="10"/>
      <c r="X880" s="10"/>
      <c r="Y880" t="str">
        <f t="shared" si="376"/>
        <v>2403</v>
      </c>
      <c r="AB880" s="10"/>
      <c r="AC880" s="10"/>
      <c r="AD880" s="10"/>
      <c r="AE880" s="10"/>
      <c r="AF880" s="10"/>
      <c r="AG880" s="10"/>
      <c r="AH880" s="10"/>
      <c r="AI880" s="10"/>
    </row>
    <row r="881" spans="1:35">
      <c r="A881" s="10"/>
      <c r="B881" s="10" t="str">
        <f t="shared" si="371"/>
        <v>Below the LinePREP</v>
      </c>
      <c r="C881" t="s">
        <v>20</v>
      </c>
      <c r="D881" t="s">
        <v>19</v>
      </c>
      <c r="E881" t="s">
        <v>234</v>
      </c>
      <c r="F881" t="s">
        <v>5396</v>
      </c>
      <c r="G881" t="s">
        <v>606</v>
      </c>
      <c r="I881" s="10"/>
      <c r="J881" s="107">
        <f>SUMIF(Data!C:C,G881,Data!Q:Q)</f>
        <v>39000</v>
      </c>
      <c r="K881" s="107">
        <f>SUMIF(Comprometidos!A:A,'Cost Report'!G881,Comprometidos!E:E)</f>
        <v>0</v>
      </c>
      <c r="L881" s="107">
        <f t="shared" si="372"/>
        <v>39000</v>
      </c>
      <c r="M881" s="107">
        <v>0</v>
      </c>
      <c r="N881" s="107">
        <f t="shared" si="374"/>
        <v>39000</v>
      </c>
      <c r="O881" s="107">
        <f>VLOOKUP(G881,Budget!$E$3:$G$2474,3,0)</f>
        <v>31200</v>
      </c>
      <c r="P881" s="107">
        <f t="shared" si="375"/>
        <v>-7800</v>
      </c>
      <c r="Q881" s="107"/>
      <c r="R881" s="10"/>
      <c r="S881" s="107">
        <v>39000</v>
      </c>
      <c r="T881" s="107">
        <f t="shared" si="364"/>
        <v>0</v>
      </c>
      <c r="U881" s="107"/>
      <c r="V881" s="175"/>
      <c r="W881" s="10"/>
      <c r="X881" s="10"/>
      <c r="Y881" t="str">
        <f t="shared" si="376"/>
        <v>2403</v>
      </c>
      <c r="AB881" s="10"/>
      <c r="AC881" s="10"/>
      <c r="AD881" s="10"/>
      <c r="AE881" s="10"/>
      <c r="AF881" s="10"/>
      <c r="AG881" s="10"/>
      <c r="AH881" s="10"/>
      <c r="AI881" s="10"/>
    </row>
    <row r="882" spans="1:35">
      <c r="A882" s="10"/>
      <c r="B882" s="10" t="str">
        <f t="shared" si="371"/>
        <v>Below the LineWRAP</v>
      </c>
      <c r="C882" t="s">
        <v>20</v>
      </c>
      <c r="D882" t="s">
        <v>19</v>
      </c>
      <c r="E882" t="s">
        <v>238</v>
      </c>
      <c r="F882" t="s">
        <v>5396</v>
      </c>
      <c r="G882" t="s">
        <v>607</v>
      </c>
      <c r="I882" s="10"/>
      <c r="J882" s="107">
        <f>SUMIF(Data!C:C,G882,Data!Q:Q)</f>
        <v>54780</v>
      </c>
      <c r="K882" s="107">
        <f>SUMIF(Comprometidos!A:A,'Cost Report'!G882,Comprometidos!E:E)</f>
        <v>0</v>
      </c>
      <c r="L882" s="107">
        <f t="shared" si="372"/>
        <v>54780</v>
      </c>
      <c r="M882" s="107">
        <v>0</v>
      </c>
      <c r="N882" s="107">
        <f t="shared" si="374"/>
        <v>54780</v>
      </c>
      <c r="O882" s="107">
        <f>VLOOKUP(G882,Budget!$E$3:$G$2474,3,0)</f>
        <v>31200</v>
      </c>
      <c r="P882" s="107">
        <f t="shared" si="375"/>
        <v>-23580</v>
      </c>
      <c r="Q882" s="107"/>
      <c r="R882" s="10"/>
      <c r="S882" s="107">
        <v>54780</v>
      </c>
      <c r="T882" s="107">
        <f t="shared" si="364"/>
        <v>0</v>
      </c>
      <c r="U882" s="107"/>
      <c r="V882" s="175"/>
      <c r="W882" s="10"/>
      <c r="X882" s="10"/>
      <c r="Y882" t="str">
        <f t="shared" si="376"/>
        <v>2403</v>
      </c>
      <c r="AB882" s="10"/>
      <c r="AC882" s="10"/>
      <c r="AD882" s="10"/>
      <c r="AE882" s="10"/>
      <c r="AF882" s="10"/>
      <c r="AG882" s="10"/>
      <c r="AH882" s="10"/>
      <c r="AI882" s="10"/>
    </row>
    <row r="883" spans="1:35">
      <c r="A883" s="10"/>
      <c r="B883" s="10" t="str">
        <f t="shared" si="371"/>
        <v>Below the Line</v>
      </c>
      <c r="C883" t="s">
        <v>20</v>
      </c>
      <c r="D883" t="s">
        <v>19</v>
      </c>
      <c r="E883" t="s">
        <v>214</v>
      </c>
      <c r="F883" t="s">
        <v>5396</v>
      </c>
      <c r="G883" t="s">
        <v>2514</v>
      </c>
      <c r="I883" s="10"/>
      <c r="J883" s="107">
        <f>SUMIF(Data!C:C,G883,Data!Q:Q)</f>
        <v>0</v>
      </c>
      <c r="K883" s="107">
        <f>SUMIF(Comprometidos!A:A,'Cost Report'!G883,Comprometidos!E:E)</f>
        <v>0</v>
      </c>
      <c r="L883" s="107">
        <f t="shared" si="372"/>
        <v>0</v>
      </c>
      <c r="M883" s="107">
        <f t="shared" si="373"/>
        <v>0</v>
      </c>
      <c r="N883" s="107">
        <f t="shared" si="374"/>
        <v>0</v>
      </c>
      <c r="O883" s="107">
        <f>VLOOKUP(G883,Budget!$E$3:$G$2474,3,0)</f>
        <v>0</v>
      </c>
      <c r="P883" s="107">
        <f t="shared" si="375"/>
        <v>0</v>
      </c>
      <c r="Q883" s="107"/>
      <c r="R883" s="10"/>
      <c r="S883" s="107">
        <v>0</v>
      </c>
      <c r="T883" s="107">
        <f t="shared" si="364"/>
        <v>0</v>
      </c>
      <c r="U883" s="107"/>
      <c r="V883" s="175"/>
      <c r="W883" s="10"/>
      <c r="X883" s="10"/>
      <c r="Y883" t="str">
        <f t="shared" si="376"/>
        <v>2403</v>
      </c>
      <c r="AB883" s="10"/>
      <c r="AC883" s="10"/>
      <c r="AD883" s="10"/>
      <c r="AE883" s="10"/>
      <c r="AF883" s="10"/>
      <c r="AG883" s="10"/>
      <c r="AH883" s="10"/>
      <c r="AI883" s="10"/>
    </row>
    <row r="884" spans="1:35">
      <c r="A884" s="10"/>
      <c r="B884" s="10" t="str">
        <f t="shared" si="371"/>
        <v>Below the Line2nd Unit</v>
      </c>
      <c r="C884" t="s">
        <v>20</v>
      </c>
      <c r="D884" t="s">
        <v>19</v>
      </c>
      <c r="E884" t="s">
        <v>1419</v>
      </c>
      <c r="F884" t="s">
        <v>5396</v>
      </c>
      <c r="G884" t="s">
        <v>2515</v>
      </c>
      <c r="I884" s="10"/>
      <c r="J884" s="107">
        <f>SUMIF(Data!C:C,G884,Data!Q:Q)</f>
        <v>7500</v>
      </c>
      <c r="K884" s="107">
        <f>SUMIF(Comprometidos!A:A,'Cost Report'!G884,Comprometidos!E:E)</f>
        <v>0</v>
      </c>
      <c r="L884" s="107">
        <f t="shared" si="372"/>
        <v>7500</v>
      </c>
      <c r="M884" s="107">
        <f t="shared" si="373"/>
        <v>0</v>
      </c>
      <c r="N884" s="107">
        <f t="shared" si="374"/>
        <v>7500</v>
      </c>
      <c r="O884" s="107">
        <f>VLOOKUP(G884,Budget!$E$3:$G$2474,3,0)</f>
        <v>7500</v>
      </c>
      <c r="P884" s="107">
        <f t="shared" si="375"/>
        <v>0</v>
      </c>
      <c r="Q884" s="107"/>
      <c r="R884" s="10"/>
      <c r="S884" s="107">
        <v>7500</v>
      </c>
      <c r="T884" s="107">
        <f t="shared" si="364"/>
        <v>0</v>
      </c>
      <c r="U884" s="107"/>
      <c r="V884" s="175"/>
      <c r="W884" s="10"/>
      <c r="X884" s="10"/>
      <c r="Y884" t="str">
        <f t="shared" si="376"/>
        <v>2403</v>
      </c>
      <c r="AB884" s="10"/>
      <c r="AC884" s="10"/>
      <c r="AD884" s="10"/>
      <c r="AE884" s="10"/>
      <c r="AF884" s="10"/>
      <c r="AG884" s="10"/>
      <c r="AH884" s="10"/>
      <c r="AI884" s="10"/>
    </row>
    <row r="885" spans="1:35">
      <c r="A885" s="10"/>
      <c r="B885" s="10" t="str">
        <f t="shared" si="371"/>
        <v>Below the Line2nd Unit</v>
      </c>
      <c r="C885" t="s">
        <v>20</v>
      </c>
      <c r="D885" t="s">
        <v>19</v>
      </c>
      <c r="E885" t="s">
        <v>1419</v>
      </c>
      <c r="F885" t="s">
        <v>5396</v>
      </c>
      <c r="G885" t="s">
        <v>2516</v>
      </c>
      <c r="I885" s="10"/>
      <c r="J885" s="107">
        <f>SUMIF(Data!C:C,G885,Data!Q:Q)</f>
        <v>15000</v>
      </c>
      <c r="K885" s="107">
        <f>SUMIF(Comprometidos!A:A,'Cost Report'!G885,Comprometidos!E:E)</f>
        <v>0</v>
      </c>
      <c r="L885" s="107">
        <f t="shared" si="372"/>
        <v>15000</v>
      </c>
      <c r="M885" s="107">
        <f t="shared" si="373"/>
        <v>0</v>
      </c>
      <c r="N885" s="107">
        <f t="shared" si="374"/>
        <v>15000</v>
      </c>
      <c r="O885" s="107">
        <f>VLOOKUP(G885,Budget!$E$3:$G$2474,3,0)</f>
        <v>15000</v>
      </c>
      <c r="P885" s="107">
        <f t="shared" si="375"/>
        <v>0</v>
      </c>
      <c r="Q885" s="107"/>
      <c r="R885" s="10"/>
      <c r="S885" s="107">
        <v>15000</v>
      </c>
      <c r="T885" s="107">
        <f t="shared" si="364"/>
        <v>0</v>
      </c>
      <c r="U885" s="107"/>
      <c r="V885" s="175"/>
      <c r="W885" s="10"/>
      <c r="X885" s="10"/>
      <c r="Y885" t="str">
        <f t="shared" si="376"/>
        <v>2403</v>
      </c>
      <c r="AB885" s="10"/>
      <c r="AC885" s="10"/>
      <c r="AD885" s="10"/>
      <c r="AE885" s="10"/>
      <c r="AF885" s="10"/>
      <c r="AG885" s="10"/>
      <c r="AH885" s="10"/>
      <c r="AI885" s="10"/>
    </row>
    <row r="886" spans="1:35">
      <c r="A886" s="10"/>
      <c r="B886" s="10" t="str">
        <f t="shared" si="371"/>
        <v>Below the Line2nd Unit</v>
      </c>
      <c r="C886" t="s">
        <v>20</v>
      </c>
      <c r="D886" t="s">
        <v>19</v>
      </c>
      <c r="E886" t="s">
        <v>1419</v>
      </c>
      <c r="F886" t="s">
        <v>5396</v>
      </c>
      <c r="G886" t="s">
        <v>2517</v>
      </c>
      <c r="I886" s="10"/>
      <c r="J886" s="107">
        <f>SUMIF(Data!C:C,G886,Data!Q:Q)</f>
        <v>7500</v>
      </c>
      <c r="K886" s="107">
        <f>SUMIF(Comprometidos!A:A,'Cost Report'!G886,Comprometidos!E:E)</f>
        <v>0</v>
      </c>
      <c r="L886" s="107">
        <f t="shared" si="372"/>
        <v>7500</v>
      </c>
      <c r="M886" s="107">
        <f t="shared" si="373"/>
        <v>0</v>
      </c>
      <c r="N886" s="107">
        <f t="shared" si="374"/>
        <v>7500</v>
      </c>
      <c r="O886" s="107">
        <f>VLOOKUP(G886,Budget!$E$3:$G$2474,3,0)</f>
        <v>7500</v>
      </c>
      <c r="P886" s="107">
        <f t="shared" si="375"/>
        <v>0</v>
      </c>
      <c r="Q886" s="107"/>
      <c r="R886" s="10"/>
      <c r="S886" s="107">
        <v>7500</v>
      </c>
      <c r="T886" s="107">
        <f t="shared" si="364"/>
        <v>0</v>
      </c>
      <c r="U886" s="107"/>
      <c r="V886" s="175"/>
      <c r="W886" s="10"/>
      <c r="X886" s="10"/>
      <c r="Y886" t="str">
        <f t="shared" si="376"/>
        <v>2403</v>
      </c>
      <c r="AB886" s="10"/>
      <c r="AC886" s="10"/>
      <c r="AD886" s="10"/>
      <c r="AE886" s="10"/>
      <c r="AF886" s="10"/>
      <c r="AG886" s="10"/>
      <c r="AH886" s="10"/>
      <c r="AI886" s="10"/>
    </row>
    <row r="887" spans="1:35">
      <c r="A887" s="10"/>
      <c r="B887" s="10" t="str">
        <f t="shared" si="371"/>
        <v>Below the Line</v>
      </c>
      <c r="C887" t="s">
        <v>20</v>
      </c>
      <c r="D887" t="s">
        <v>19</v>
      </c>
      <c r="E887" t="s">
        <v>214</v>
      </c>
      <c r="F887" t="s">
        <v>5396</v>
      </c>
      <c r="G887" t="s">
        <v>2518</v>
      </c>
      <c r="I887" s="10"/>
      <c r="J887" s="107">
        <f>SUMIF(Data!C:C,G887,Data!Q:Q)</f>
        <v>0</v>
      </c>
      <c r="K887" s="107">
        <f>SUMIF(Comprometidos!A:A,'Cost Report'!G887,Comprometidos!E:E)</f>
        <v>0</v>
      </c>
      <c r="L887" s="107">
        <f t="shared" si="372"/>
        <v>0</v>
      </c>
      <c r="M887" s="107">
        <f t="shared" si="373"/>
        <v>0</v>
      </c>
      <c r="N887" s="107">
        <f t="shared" si="374"/>
        <v>0</v>
      </c>
      <c r="O887" s="107">
        <f>VLOOKUP(G887,Budget!$E$3:$G$2474,3,0)</f>
        <v>0</v>
      </c>
      <c r="P887" s="107">
        <f t="shared" si="375"/>
        <v>0</v>
      </c>
      <c r="Q887" s="107"/>
      <c r="R887" s="10"/>
      <c r="S887" s="107">
        <v>0</v>
      </c>
      <c r="T887" s="107">
        <f t="shared" si="364"/>
        <v>0</v>
      </c>
      <c r="U887" s="107"/>
      <c r="V887" s="175"/>
      <c r="W887" s="10"/>
      <c r="X887" s="10"/>
      <c r="Y887" t="str">
        <f t="shared" si="376"/>
        <v>2403</v>
      </c>
      <c r="AB887" s="10"/>
      <c r="AC887" s="10"/>
      <c r="AD887" s="10"/>
      <c r="AE887" s="10"/>
      <c r="AF887" s="10"/>
      <c r="AG887" s="10"/>
      <c r="AH887" s="10"/>
      <c r="AI887" s="10"/>
    </row>
    <row r="888" spans="1:35">
      <c r="A888" s="10"/>
      <c r="B888" s="10" t="str">
        <f t="shared" si="371"/>
        <v>Below the Line2nd Unit</v>
      </c>
      <c r="C888" t="s">
        <v>20</v>
      </c>
      <c r="D888" t="s">
        <v>19</v>
      </c>
      <c r="E888" t="s">
        <v>1419</v>
      </c>
      <c r="F888" t="s">
        <v>5396</v>
      </c>
      <c r="G888" t="s">
        <v>2519</v>
      </c>
      <c r="I888" s="10"/>
      <c r="J888" s="107">
        <f>SUMIF(Data!C:C,G888,Data!Q:Q)</f>
        <v>3266.66</v>
      </c>
      <c r="K888" s="107">
        <f>SUMIF(Comprometidos!A:A,'Cost Report'!G888,Comprometidos!E:E)</f>
        <v>0</v>
      </c>
      <c r="L888" s="107">
        <f t="shared" si="372"/>
        <v>3266.66</v>
      </c>
      <c r="M888" s="107">
        <v>0</v>
      </c>
      <c r="N888" s="107">
        <f t="shared" si="374"/>
        <v>3266.66</v>
      </c>
      <c r="O888" s="107">
        <f>VLOOKUP(G888,Budget!$E$3:$G$2474,3,0)</f>
        <v>7500</v>
      </c>
      <c r="P888" s="107">
        <f t="shared" si="375"/>
        <v>4233.34</v>
      </c>
      <c r="Q888" s="107"/>
      <c r="R888" s="10"/>
      <c r="S888" s="107">
        <v>3266.66</v>
      </c>
      <c r="T888" s="107">
        <f t="shared" si="364"/>
        <v>0</v>
      </c>
      <c r="U888" s="107"/>
      <c r="V888" s="175"/>
      <c r="W888" s="10"/>
      <c r="X888" s="10"/>
      <c r="Y888" t="str">
        <f t="shared" si="376"/>
        <v>2403</v>
      </c>
      <c r="AB888" s="10"/>
      <c r="AC888" s="10"/>
      <c r="AD888" s="10"/>
      <c r="AE888" s="10"/>
      <c r="AF888" s="10"/>
      <c r="AG888" s="10"/>
      <c r="AH888" s="10"/>
      <c r="AI888" s="10"/>
    </row>
    <row r="889" spans="1:35">
      <c r="A889" s="10"/>
      <c r="B889" s="10" t="str">
        <f t="shared" si="371"/>
        <v>Below the Line2nd Unit</v>
      </c>
      <c r="C889" t="s">
        <v>20</v>
      </c>
      <c r="D889" t="s">
        <v>19</v>
      </c>
      <c r="E889" t="s">
        <v>1419</v>
      </c>
      <c r="F889" t="s">
        <v>5396</v>
      </c>
      <c r="G889" t="s">
        <v>2520</v>
      </c>
      <c r="I889" s="10"/>
      <c r="J889" s="107">
        <f>SUMIF(Data!C:C,G889,Data!Q:Q)</f>
        <v>20000</v>
      </c>
      <c r="K889" s="107">
        <f>SUMIF(Comprometidos!A:A,'Cost Report'!G889,Comprometidos!E:E)</f>
        <v>0</v>
      </c>
      <c r="L889" s="107">
        <f t="shared" si="372"/>
        <v>20000</v>
      </c>
      <c r="M889" s="107">
        <v>0</v>
      </c>
      <c r="N889" s="107">
        <f t="shared" si="374"/>
        <v>20000</v>
      </c>
      <c r="O889" s="107">
        <f>VLOOKUP(G889,Budget!$E$3:$G$2474,3,0)</f>
        <v>15000</v>
      </c>
      <c r="P889" s="107">
        <f t="shared" si="375"/>
        <v>-5000</v>
      </c>
      <c r="Q889" s="107"/>
      <c r="R889" s="10"/>
      <c r="S889" s="107">
        <v>20000</v>
      </c>
      <c r="T889" s="107">
        <f t="shared" si="364"/>
        <v>0</v>
      </c>
      <c r="U889" s="107"/>
      <c r="V889" s="175"/>
      <c r="W889" s="10"/>
      <c r="X889" s="10"/>
      <c r="Y889" t="str">
        <f t="shared" si="376"/>
        <v>2403</v>
      </c>
      <c r="AB889" s="10"/>
      <c r="AC889" s="10"/>
      <c r="AD889" s="10"/>
      <c r="AE889" s="10"/>
      <c r="AF889" s="10"/>
      <c r="AG889" s="10"/>
      <c r="AH889" s="10"/>
      <c r="AI889" s="10"/>
    </row>
    <row r="890" spans="1:35">
      <c r="A890" s="10"/>
      <c r="B890" s="10" t="str">
        <f t="shared" si="371"/>
        <v>Below the Line2nd Unit</v>
      </c>
      <c r="C890" t="s">
        <v>20</v>
      </c>
      <c r="D890" t="s">
        <v>19</v>
      </c>
      <c r="E890" t="s">
        <v>1419</v>
      </c>
      <c r="F890" t="s">
        <v>5396</v>
      </c>
      <c r="G890" t="s">
        <v>2521</v>
      </c>
      <c r="I890" s="10"/>
      <c r="J890" s="107">
        <f>SUMIF(Data!C:C,G890,Data!Q:Q)</f>
        <v>7500</v>
      </c>
      <c r="K890" s="107">
        <f>SUMIF(Comprometidos!A:A,'Cost Report'!G890,Comprometidos!E:E)</f>
        <v>0</v>
      </c>
      <c r="L890" s="107">
        <f t="shared" si="372"/>
        <v>7500</v>
      </c>
      <c r="M890" s="107">
        <f t="shared" si="373"/>
        <v>0</v>
      </c>
      <c r="N890" s="107">
        <f t="shared" si="374"/>
        <v>7500</v>
      </c>
      <c r="O890" s="107">
        <f>VLOOKUP(G890,Budget!$E$3:$G$2474,3,0)</f>
        <v>7500</v>
      </c>
      <c r="P890" s="107">
        <f t="shared" si="375"/>
        <v>0</v>
      </c>
      <c r="Q890" s="107"/>
      <c r="R890" s="10"/>
      <c r="S890" s="107">
        <v>7500</v>
      </c>
      <c r="T890" s="107">
        <f t="shared" si="364"/>
        <v>0</v>
      </c>
      <c r="U890" s="107"/>
      <c r="V890" s="175"/>
      <c r="W890" s="10"/>
      <c r="X890" s="10"/>
      <c r="Y890" t="str">
        <f t="shared" si="376"/>
        <v>2403</v>
      </c>
      <c r="AB890" s="10"/>
      <c r="AC890" s="10"/>
      <c r="AD890" s="10"/>
      <c r="AE890" s="10"/>
      <c r="AF890" s="10"/>
      <c r="AG890" s="10"/>
      <c r="AH890" s="10"/>
      <c r="AI890" s="10"/>
    </row>
    <row r="891" spans="1:35">
      <c r="A891" s="10"/>
      <c r="B891" s="10" t="str">
        <f>+C891</f>
        <v>Below the Line</v>
      </c>
      <c r="C891" s="128" t="s">
        <v>20</v>
      </c>
      <c r="D891" s="128" t="s">
        <v>2117</v>
      </c>
      <c r="E891" s="128"/>
      <c r="F891" s="128"/>
      <c r="G891" s="128" t="s">
        <v>1803</v>
      </c>
      <c r="H891" s="128"/>
      <c r="I891" s="10"/>
      <c r="J891" s="129">
        <f>SUMIF($Y$11:$Y$2484,G891,J$11:J$2484)</f>
        <v>507605.83</v>
      </c>
      <c r="K891" s="129">
        <f>SUMIF($Y$11:$Y$2484,G891,K$11:K$2484)</f>
        <v>0</v>
      </c>
      <c r="L891" s="129">
        <f>SUMIF($Y$11:$Y$2484,G891,L$11:L$2484)</f>
        <v>507605.83</v>
      </c>
      <c r="M891" s="129">
        <f>SUMIF($Y$11:$Y$2484,G891,M$11:M$2484)</f>
        <v>0</v>
      </c>
      <c r="N891" s="129">
        <f>SUMIF($Y$11:$Y$2484,G891,N$11:N$2484)</f>
        <v>507605.83</v>
      </c>
      <c r="O891" s="129">
        <f>SUMIF($Y$11:$Y$2484,G891,O$11:O$2484)</f>
        <v>301020</v>
      </c>
      <c r="P891" s="129">
        <f>SUMIF($Y$11:$Y$2484,G891,P$11:P$2484)</f>
        <v>-206585.83000000002</v>
      </c>
      <c r="Q891" s="129"/>
      <c r="R891" s="10"/>
      <c r="S891" s="129">
        <v>507605.83</v>
      </c>
      <c r="T891" s="129">
        <f t="shared" si="364"/>
        <v>0</v>
      </c>
      <c r="U891" s="128"/>
      <c r="V891" s="175"/>
      <c r="W891" s="10"/>
      <c r="X891" s="10"/>
      <c r="Z891" t="str">
        <f>LEFT(G891,2)</f>
        <v>24</v>
      </c>
      <c r="AA891" t="str">
        <f>+Z891&amp;"00"</f>
        <v>2400</v>
      </c>
      <c r="AB891" s="10"/>
      <c r="AC891" s="10"/>
      <c r="AD891" s="10"/>
      <c r="AE891" s="10"/>
      <c r="AF891" s="10"/>
      <c r="AG891" s="10"/>
      <c r="AH891" s="10"/>
      <c r="AI891" s="10"/>
    </row>
    <row r="892" spans="1:35">
      <c r="A892" s="10"/>
      <c r="B892" s="10" t="str">
        <f t="shared" ref="B892:B907" si="377">+C892&amp;E892</f>
        <v>Below the Line</v>
      </c>
      <c r="C892" t="s">
        <v>20</v>
      </c>
      <c r="D892" t="s">
        <v>19</v>
      </c>
      <c r="E892" t="s">
        <v>214</v>
      </c>
      <c r="F892" t="s">
        <v>5396</v>
      </c>
      <c r="G892" t="s">
        <v>1804</v>
      </c>
      <c r="I892" s="10"/>
      <c r="J892" s="107">
        <f>SUMIF(Data!C:C,G892,Data!Q:Q)</f>
        <v>0</v>
      </c>
      <c r="K892" s="107">
        <f>SUMIF(Comprometidos!A:A,'Cost Report'!G892,Comprometidos!E:E)</f>
        <v>0</v>
      </c>
      <c r="L892" s="107">
        <f t="shared" ref="L892:L907" si="378">+J892+K892</f>
        <v>0</v>
      </c>
      <c r="M892" s="107">
        <f t="shared" ref="M892:M906" si="379">+O892-L892</f>
        <v>0</v>
      </c>
      <c r="N892" s="107">
        <f t="shared" ref="N892:N907" si="380">+L892+M892</f>
        <v>0</v>
      </c>
      <c r="O892" s="107">
        <f>VLOOKUP(G892,Budget!$E$3:$G$2474,3,0)</f>
        <v>0</v>
      </c>
      <c r="P892" s="107">
        <f t="shared" ref="P892:P907" si="381">+O892-N892</f>
        <v>0</v>
      </c>
      <c r="Q892" s="107"/>
      <c r="R892" s="10"/>
      <c r="S892" s="107">
        <v>0</v>
      </c>
      <c r="T892" s="107">
        <f t="shared" si="364"/>
        <v>0</v>
      </c>
      <c r="U892" s="107"/>
      <c r="V892" s="175"/>
      <c r="W892" s="10"/>
      <c r="X892" s="10"/>
      <c r="Y892" t="str">
        <f t="shared" ref="Y892:Y907" si="382">LEFT(G892,4)</f>
        <v>2405</v>
      </c>
      <c r="AB892" s="10"/>
      <c r="AC892" s="10"/>
      <c r="AD892" s="10"/>
      <c r="AE892" s="10"/>
      <c r="AF892" s="10"/>
      <c r="AG892" s="10"/>
      <c r="AH892" s="10"/>
      <c r="AI892" s="10"/>
    </row>
    <row r="893" spans="1:35">
      <c r="A893" s="10"/>
      <c r="B893" s="10" t="str">
        <f t="shared" si="377"/>
        <v>Below the LinePREP</v>
      </c>
      <c r="C893" t="s">
        <v>20</v>
      </c>
      <c r="D893" t="s">
        <v>19</v>
      </c>
      <c r="E893" t="s">
        <v>234</v>
      </c>
      <c r="F893" t="s">
        <v>5396</v>
      </c>
      <c r="G893" t="s">
        <v>1805</v>
      </c>
      <c r="I893" s="10"/>
      <c r="J893" s="107">
        <f>SUMIF(Data!C:C,G893,Data!Q:Q)</f>
        <v>10290</v>
      </c>
      <c r="K893" s="107">
        <f>SUMIF(Comprometidos!A:A,'Cost Report'!G893,Comprometidos!E:E)</f>
        <v>0</v>
      </c>
      <c r="L893" s="107">
        <f t="shared" si="378"/>
        <v>10290</v>
      </c>
      <c r="M893" s="107">
        <f t="shared" si="379"/>
        <v>0</v>
      </c>
      <c r="N893" s="107">
        <f t="shared" si="380"/>
        <v>10290</v>
      </c>
      <c r="O893" s="107">
        <f>VLOOKUP(G893,Budget!$E$3:$G$2474,3,0)</f>
        <v>10290</v>
      </c>
      <c r="P893" s="107">
        <f t="shared" si="381"/>
        <v>0</v>
      </c>
      <c r="Q893" s="107"/>
      <c r="R893" s="10"/>
      <c r="S893" s="107">
        <v>10290</v>
      </c>
      <c r="T893" s="107">
        <f t="shared" si="364"/>
        <v>0</v>
      </c>
      <c r="U893" s="107"/>
      <c r="V893" s="175"/>
      <c r="W893" s="10"/>
      <c r="X893" s="10"/>
      <c r="Y893" t="str">
        <f t="shared" si="382"/>
        <v>2405</v>
      </c>
      <c r="AB893" s="10"/>
      <c r="AC893" s="10"/>
      <c r="AD893" s="10"/>
      <c r="AE893" s="10"/>
      <c r="AF893" s="10"/>
      <c r="AG893" s="10"/>
      <c r="AH893" s="10"/>
      <c r="AI893" s="10"/>
    </row>
    <row r="894" spans="1:35">
      <c r="A894" s="10"/>
      <c r="B894" s="10" t="str">
        <f t="shared" si="377"/>
        <v>Below the LineSHOOT</v>
      </c>
      <c r="C894" t="s">
        <v>20</v>
      </c>
      <c r="D894" t="s">
        <v>19</v>
      </c>
      <c r="E894" t="s">
        <v>236</v>
      </c>
      <c r="F894" t="s">
        <v>5396</v>
      </c>
      <c r="G894" t="s">
        <v>1806</v>
      </c>
      <c r="I894" s="10"/>
      <c r="J894" s="107">
        <f>SUMIF(Data!C:C,G894,Data!Q:Q)</f>
        <v>77910</v>
      </c>
      <c r="K894" s="107">
        <f>SUMIF(Comprometidos!A:A,'Cost Report'!G894,Comprometidos!E:E)</f>
        <v>0</v>
      </c>
      <c r="L894" s="107">
        <f t="shared" si="378"/>
        <v>77910</v>
      </c>
      <c r="M894" s="107">
        <v>0</v>
      </c>
      <c r="N894" s="107">
        <f t="shared" si="380"/>
        <v>77910</v>
      </c>
      <c r="O894" s="107">
        <f>VLOOKUP(G894,Budget!$E$3:$G$2474,3,0)</f>
        <v>72030</v>
      </c>
      <c r="P894" s="107">
        <f t="shared" si="381"/>
        <v>-5880</v>
      </c>
      <c r="Q894" s="107"/>
      <c r="R894" s="10"/>
      <c r="S894" s="107">
        <v>77910</v>
      </c>
      <c r="T894" s="107">
        <f t="shared" si="364"/>
        <v>0</v>
      </c>
      <c r="U894" s="107"/>
      <c r="V894" s="175"/>
      <c r="W894" s="10"/>
      <c r="X894" s="10"/>
      <c r="Y894" t="str">
        <f t="shared" si="382"/>
        <v>2405</v>
      </c>
      <c r="AB894" s="10"/>
      <c r="AC894" s="10"/>
      <c r="AD894" s="10"/>
      <c r="AE894" s="10"/>
      <c r="AF894" s="10"/>
      <c r="AG894" s="10"/>
      <c r="AH894" s="10"/>
      <c r="AI894" s="10"/>
    </row>
    <row r="895" spans="1:35">
      <c r="A895" s="10"/>
      <c r="B895" s="10" t="str">
        <f t="shared" si="377"/>
        <v>Below the Line</v>
      </c>
      <c r="C895" t="s">
        <v>20</v>
      </c>
      <c r="D895" t="s">
        <v>19</v>
      </c>
      <c r="E895" t="s">
        <v>214</v>
      </c>
      <c r="F895" t="s">
        <v>5396</v>
      </c>
      <c r="G895" t="s">
        <v>1807</v>
      </c>
      <c r="I895" s="10"/>
      <c r="J895" s="107">
        <f>SUMIF(Data!C:C,G895,Data!Q:Q)</f>
        <v>0</v>
      </c>
      <c r="K895" s="107">
        <f>SUMIF(Comprometidos!A:A,'Cost Report'!G895,Comprometidos!E:E)</f>
        <v>0</v>
      </c>
      <c r="L895" s="107">
        <f t="shared" si="378"/>
        <v>0</v>
      </c>
      <c r="M895" s="107">
        <f t="shared" si="379"/>
        <v>0</v>
      </c>
      <c r="N895" s="107">
        <f t="shared" si="380"/>
        <v>0</v>
      </c>
      <c r="O895" s="107">
        <f>VLOOKUP(G895,Budget!$E$3:$G$2474,3,0)</f>
        <v>0</v>
      </c>
      <c r="P895" s="107">
        <f t="shared" si="381"/>
        <v>0</v>
      </c>
      <c r="Q895" s="107"/>
      <c r="R895" s="10"/>
      <c r="S895" s="107">
        <v>0</v>
      </c>
      <c r="T895" s="107">
        <f t="shared" si="364"/>
        <v>0</v>
      </c>
      <c r="U895" s="107"/>
      <c r="V895" s="175"/>
      <c r="W895" s="10"/>
      <c r="X895" s="10"/>
      <c r="Y895" t="str">
        <f t="shared" si="382"/>
        <v>2405</v>
      </c>
      <c r="AB895" s="10"/>
      <c r="AC895" s="10"/>
      <c r="AD895" s="10"/>
      <c r="AE895" s="10"/>
      <c r="AF895" s="10"/>
      <c r="AG895" s="10"/>
      <c r="AH895" s="10"/>
      <c r="AI895" s="10"/>
    </row>
    <row r="896" spans="1:35">
      <c r="A896" s="10"/>
      <c r="B896" s="10" t="str">
        <f t="shared" si="377"/>
        <v>Below the LinePREP</v>
      </c>
      <c r="C896" t="s">
        <v>20</v>
      </c>
      <c r="D896" t="s">
        <v>19</v>
      </c>
      <c r="E896" t="s">
        <v>234</v>
      </c>
      <c r="F896" t="s">
        <v>5396</v>
      </c>
      <c r="G896" t="s">
        <v>1808</v>
      </c>
      <c r="I896" s="10"/>
      <c r="J896" s="107">
        <f>SUMIF(Data!C:C,G896,Data!Q:Q)</f>
        <v>0</v>
      </c>
      <c r="K896" s="107">
        <f>SUMIF(Comprometidos!A:A,'Cost Report'!G896,Comprometidos!E:E)</f>
        <v>0</v>
      </c>
      <c r="L896" s="107">
        <f t="shared" si="378"/>
        <v>0</v>
      </c>
      <c r="M896" s="107">
        <v>0</v>
      </c>
      <c r="N896" s="107">
        <f t="shared" si="380"/>
        <v>0</v>
      </c>
      <c r="O896" s="107">
        <f>VLOOKUP(G896,Budget!$E$3:$G$2474,3,0)</f>
        <v>8400</v>
      </c>
      <c r="P896" s="107">
        <f t="shared" si="381"/>
        <v>8400</v>
      </c>
      <c r="Q896" s="107"/>
      <c r="R896" s="10"/>
      <c r="S896" s="107">
        <v>0</v>
      </c>
      <c r="T896" s="107">
        <f t="shared" si="364"/>
        <v>0</v>
      </c>
      <c r="U896" s="107"/>
      <c r="V896" s="175"/>
      <c r="W896" s="10"/>
      <c r="X896" s="10"/>
      <c r="Y896" t="str">
        <f t="shared" si="382"/>
        <v>2405</v>
      </c>
      <c r="AB896" s="10"/>
      <c r="AC896" s="10"/>
      <c r="AD896" s="10"/>
      <c r="AE896" s="10"/>
      <c r="AF896" s="10"/>
      <c r="AG896" s="10"/>
      <c r="AH896" s="10"/>
      <c r="AI896" s="10"/>
    </row>
    <row r="897" spans="1:35">
      <c r="A897" s="10"/>
      <c r="B897" s="10" t="str">
        <f t="shared" si="377"/>
        <v>Below the LineSHOOT</v>
      </c>
      <c r="C897" t="s">
        <v>20</v>
      </c>
      <c r="D897" t="s">
        <v>19</v>
      </c>
      <c r="E897" t="s">
        <v>236</v>
      </c>
      <c r="F897" t="s">
        <v>5396</v>
      </c>
      <c r="G897" t="s">
        <v>1809</v>
      </c>
      <c r="I897" s="10"/>
      <c r="J897" s="107">
        <f>SUMIF(Data!C:C,G897,Data!Q:Q)</f>
        <v>58800</v>
      </c>
      <c r="K897" s="107">
        <f>SUMIF(Comprometidos!A:A,'Cost Report'!G897,Comprometidos!E:E)</f>
        <v>0</v>
      </c>
      <c r="L897" s="107">
        <f t="shared" si="378"/>
        <v>58800</v>
      </c>
      <c r="M897" s="107">
        <f t="shared" si="379"/>
        <v>0</v>
      </c>
      <c r="N897" s="107">
        <f t="shared" si="380"/>
        <v>58800</v>
      </c>
      <c r="O897" s="107">
        <f>VLOOKUP(G897,Budget!$E$3:$G$2474,3,0)</f>
        <v>58800</v>
      </c>
      <c r="P897" s="107">
        <f t="shared" si="381"/>
        <v>0</v>
      </c>
      <c r="Q897" s="107"/>
      <c r="R897" s="10"/>
      <c r="S897" s="107">
        <v>58800</v>
      </c>
      <c r="T897" s="107">
        <f t="shared" si="364"/>
        <v>0</v>
      </c>
      <c r="U897" s="107"/>
      <c r="V897" s="175"/>
      <c r="W897" s="10"/>
      <c r="X897" s="10"/>
      <c r="Y897" t="str">
        <f t="shared" si="382"/>
        <v>2405</v>
      </c>
      <c r="AB897" s="10"/>
      <c r="AC897" s="10"/>
      <c r="AD897" s="10"/>
      <c r="AE897" s="10"/>
      <c r="AF897" s="10"/>
      <c r="AG897" s="10"/>
      <c r="AH897" s="10"/>
      <c r="AI897" s="10"/>
    </row>
    <row r="898" spans="1:35">
      <c r="A898" s="10"/>
      <c r="B898" s="10" t="str">
        <f t="shared" si="377"/>
        <v>Below the Line</v>
      </c>
      <c r="C898" t="s">
        <v>20</v>
      </c>
      <c r="D898" t="s">
        <v>19</v>
      </c>
      <c r="E898" t="s">
        <v>214</v>
      </c>
      <c r="F898" t="s">
        <v>5396</v>
      </c>
      <c r="G898" t="s">
        <v>1810</v>
      </c>
      <c r="I898" s="10"/>
      <c r="J898" s="107">
        <f>SUMIF(Data!C:C,G898,Data!Q:Q)</f>
        <v>0</v>
      </c>
      <c r="K898" s="107">
        <f>SUMIF(Comprometidos!A:A,'Cost Report'!G898,Comprometidos!E:E)</f>
        <v>0</v>
      </c>
      <c r="L898" s="107">
        <f t="shared" si="378"/>
        <v>0</v>
      </c>
      <c r="M898" s="107">
        <f t="shared" si="379"/>
        <v>0</v>
      </c>
      <c r="N898" s="107">
        <f t="shared" si="380"/>
        <v>0</v>
      </c>
      <c r="O898" s="107">
        <f>VLOOKUP(G898,Budget!$E$3:$G$2474,3,0)</f>
        <v>0</v>
      </c>
      <c r="P898" s="107">
        <f t="shared" si="381"/>
        <v>0</v>
      </c>
      <c r="Q898" s="107"/>
      <c r="R898" s="10"/>
      <c r="S898" s="107">
        <v>0</v>
      </c>
      <c r="T898" s="107">
        <f t="shared" si="364"/>
        <v>0</v>
      </c>
      <c r="U898" s="107"/>
      <c r="V898" s="175"/>
      <c r="W898" s="10"/>
      <c r="X898" s="10"/>
      <c r="Y898" t="str">
        <f t="shared" si="382"/>
        <v>2405</v>
      </c>
      <c r="AB898" s="10"/>
      <c r="AC898" s="10"/>
      <c r="AD898" s="10"/>
      <c r="AE898" s="10"/>
      <c r="AF898" s="10"/>
      <c r="AG898" s="10"/>
      <c r="AH898" s="10"/>
      <c r="AI898" s="10"/>
    </row>
    <row r="899" spans="1:35">
      <c r="A899" s="10"/>
      <c r="B899" s="10" t="str">
        <f t="shared" si="377"/>
        <v>Below the Line2nd Unit</v>
      </c>
      <c r="C899" t="s">
        <v>20</v>
      </c>
      <c r="D899" t="s">
        <v>19</v>
      </c>
      <c r="E899" t="s">
        <v>1419</v>
      </c>
      <c r="F899" t="s">
        <v>5396</v>
      </c>
      <c r="G899" t="s">
        <v>1811</v>
      </c>
      <c r="I899" s="10"/>
      <c r="J899" s="107">
        <f>SUMIF(Data!C:C,G899,Data!Q:Q)</f>
        <v>0</v>
      </c>
      <c r="K899" s="107">
        <f>SUMIF(Comprometidos!A:A,'Cost Report'!G899,Comprometidos!E:E)</f>
        <v>0</v>
      </c>
      <c r="L899" s="107">
        <f t="shared" si="378"/>
        <v>0</v>
      </c>
      <c r="M899" s="107">
        <v>0</v>
      </c>
      <c r="N899" s="107">
        <f t="shared" si="380"/>
        <v>0</v>
      </c>
      <c r="O899" s="107">
        <f>VLOOKUP(G899,Budget!$E$3:$G$2474,3,0)</f>
        <v>8000</v>
      </c>
      <c r="P899" s="107">
        <f t="shared" si="381"/>
        <v>8000</v>
      </c>
      <c r="Q899" s="107"/>
      <c r="R899" s="10"/>
      <c r="S899" s="107">
        <v>0</v>
      </c>
      <c r="T899" s="107">
        <f t="shared" si="364"/>
        <v>0</v>
      </c>
      <c r="U899" s="107"/>
      <c r="V899" s="175"/>
      <c r="W899" s="10"/>
      <c r="X899" s="10"/>
      <c r="Y899" t="str">
        <f t="shared" si="382"/>
        <v>2405</v>
      </c>
      <c r="AB899" s="10"/>
      <c r="AC899" s="10"/>
      <c r="AD899" s="10"/>
      <c r="AE899" s="10"/>
      <c r="AF899" s="10"/>
      <c r="AG899" s="10"/>
      <c r="AH899" s="10"/>
      <c r="AI899" s="10"/>
    </row>
    <row r="900" spans="1:35">
      <c r="A900" s="10"/>
      <c r="B900" s="10" t="str">
        <f t="shared" si="377"/>
        <v>Below the Line2nd Unit</v>
      </c>
      <c r="C900" t="s">
        <v>20</v>
      </c>
      <c r="D900" t="s">
        <v>19</v>
      </c>
      <c r="E900" t="s">
        <v>1419</v>
      </c>
      <c r="F900" t="s">
        <v>5396</v>
      </c>
      <c r="G900" t="s">
        <v>1812</v>
      </c>
      <c r="I900" s="10"/>
      <c r="J900" s="107">
        <f>SUMIF(Data!C:C,G900,Data!Q:Q)</f>
        <v>0</v>
      </c>
      <c r="K900" s="107">
        <f>SUMIF(Comprometidos!A:A,'Cost Report'!G900,Comprometidos!E:E)</f>
        <v>0</v>
      </c>
      <c r="L900" s="107">
        <f t="shared" si="378"/>
        <v>0</v>
      </c>
      <c r="M900" s="107">
        <v>0</v>
      </c>
      <c r="N900" s="107">
        <f t="shared" si="380"/>
        <v>0</v>
      </c>
      <c r="O900" s="107">
        <f>VLOOKUP(G900,Budget!$E$3:$G$2474,3,0)</f>
        <v>16000</v>
      </c>
      <c r="P900" s="107">
        <f t="shared" si="381"/>
        <v>16000</v>
      </c>
      <c r="Q900" s="107"/>
      <c r="R900" s="10"/>
      <c r="S900" s="107">
        <v>0</v>
      </c>
      <c r="T900" s="107">
        <f t="shared" si="364"/>
        <v>0</v>
      </c>
      <c r="U900" s="107"/>
      <c r="V900" s="175"/>
      <c r="W900" s="10"/>
      <c r="X900" s="10"/>
      <c r="Y900" t="str">
        <f t="shared" si="382"/>
        <v>2405</v>
      </c>
      <c r="AB900" s="10"/>
      <c r="AC900" s="10"/>
      <c r="AD900" s="10"/>
      <c r="AE900" s="10"/>
      <c r="AF900" s="10"/>
      <c r="AG900" s="10"/>
      <c r="AH900" s="10"/>
      <c r="AI900" s="10"/>
    </row>
    <row r="901" spans="1:35">
      <c r="A901" s="10"/>
      <c r="B901" s="10" t="str">
        <f t="shared" si="377"/>
        <v>Below the Line2nd Unit</v>
      </c>
      <c r="C901" t="s">
        <v>20</v>
      </c>
      <c r="D901" t="s">
        <v>19</v>
      </c>
      <c r="E901" t="s">
        <v>1419</v>
      </c>
      <c r="F901" t="s">
        <v>5396</v>
      </c>
      <c r="G901" t="s">
        <v>1813</v>
      </c>
      <c r="I901" s="10"/>
      <c r="J901" s="107">
        <f>SUMIF(Data!C:C,G901,Data!Q:Q)</f>
        <v>0</v>
      </c>
      <c r="K901" s="107">
        <f>SUMIF(Comprometidos!A:A,'Cost Report'!G901,Comprometidos!E:E)</f>
        <v>0</v>
      </c>
      <c r="L901" s="107">
        <f t="shared" si="378"/>
        <v>0</v>
      </c>
      <c r="M901" s="107">
        <f t="shared" si="379"/>
        <v>0</v>
      </c>
      <c r="N901" s="107">
        <f t="shared" si="380"/>
        <v>0</v>
      </c>
      <c r="O901" s="107">
        <f>VLOOKUP(G901,Budget!$E$3:$G$2474,3,0)</f>
        <v>0</v>
      </c>
      <c r="P901" s="107">
        <f t="shared" si="381"/>
        <v>0</v>
      </c>
      <c r="Q901" s="107"/>
      <c r="R901" s="10"/>
      <c r="S901" s="107">
        <v>0</v>
      </c>
      <c r="T901" s="107">
        <f t="shared" si="364"/>
        <v>0</v>
      </c>
      <c r="U901" s="107"/>
      <c r="V901" s="175"/>
      <c r="W901" s="10"/>
      <c r="X901" s="10"/>
      <c r="Y901" t="str">
        <f t="shared" si="382"/>
        <v>2405</v>
      </c>
      <c r="AB901" s="10"/>
      <c r="AC901" s="10"/>
      <c r="AD901" s="10"/>
      <c r="AE901" s="10"/>
      <c r="AF901" s="10"/>
      <c r="AG901" s="10"/>
      <c r="AH901" s="10"/>
      <c r="AI901" s="10"/>
    </row>
    <row r="902" spans="1:35">
      <c r="A902" s="10"/>
      <c r="B902" s="10" t="str">
        <f t="shared" si="377"/>
        <v>Below the Line</v>
      </c>
      <c r="C902" t="s">
        <v>20</v>
      </c>
      <c r="D902" t="s">
        <v>19</v>
      </c>
      <c r="E902" t="s">
        <v>214</v>
      </c>
      <c r="F902" t="s">
        <v>5396</v>
      </c>
      <c r="G902" t="s">
        <v>2522</v>
      </c>
      <c r="I902" s="10"/>
      <c r="J902" s="107">
        <f>SUMIF(Data!C:C,G902,Data!Q:Q)</f>
        <v>0</v>
      </c>
      <c r="K902" s="107">
        <f>SUMIF(Comprometidos!A:A,'Cost Report'!G902,Comprometidos!E:E)</f>
        <v>0</v>
      </c>
      <c r="L902" s="107">
        <f t="shared" si="378"/>
        <v>0</v>
      </c>
      <c r="M902" s="107">
        <f t="shared" si="379"/>
        <v>0</v>
      </c>
      <c r="N902" s="107">
        <f t="shared" si="380"/>
        <v>0</v>
      </c>
      <c r="O902" s="107">
        <f>VLOOKUP(G902,Budget!$E$3:$G$2474,3,0)</f>
        <v>0</v>
      </c>
      <c r="P902" s="107">
        <f t="shared" si="381"/>
        <v>0</v>
      </c>
      <c r="Q902" s="107"/>
      <c r="R902" s="10"/>
      <c r="S902" s="107">
        <v>0</v>
      </c>
      <c r="T902" s="107">
        <f t="shared" si="364"/>
        <v>0</v>
      </c>
      <c r="U902" s="107"/>
      <c r="V902" s="175"/>
      <c r="W902" s="10"/>
      <c r="X902" s="10"/>
      <c r="Y902" t="str">
        <f t="shared" si="382"/>
        <v>2405</v>
      </c>
      <c r="AB902" s="10"/>
      <c r="AC902" s="10"/>
      <c r="AD902" s="10"/>
      <c r="AE902" s="10"/>
      <c r="AF902" s="10"/>
      <c r="AG902" s="10"/>
      <c r="AH902" s="10"/>
      <c r="AI902" s="10"/>
    </row>
    <row r="903" spans="1:35">
      <c r="A903" s="10"/>
      <c r="B903" s="10" t="str">
        <f t="shared" si="377"/>
        <v>Below the Line2nd Unit</v>
      </c>
      <c r="C903" t="s">
        <v>20</v>
      </c>
      <c r="D903" t="s">
        <v>19</v>
      </c>
      <c r="E903" t="s">
        <v>1419</v>
      </c>
      <c r="F903" t="s">
        <v>5396</v>
      </c>
      <c r="G903" t="s">
        <v>2523</v>
      </c>
      <c r="I903" s="10"/>
      <c r="J903" s="107">
        <f>SUMIF(Data!C:C,G903,Data!Q:Q)</f>
        <v>7500</v>
      </c>
      <c r="K903" s="107">
        <f>SUMIF(Comprometidos!A:A,'Cost Report'!G903,Comprometidos!E:E)</f>
        <v>0</v>
      </c>
      <c r="L903" s="107">
        <f t="shared" si="378"/>
        <v>7500</v>
      </c>
      <c r="M903" s="107">
        <f t="shared" si="379"/>
        <v>0</v>
      </c>
      <c r="N903" s="107">
        <f t="shared" si="380"/>
        <v>7500</v>
      </c>
      <c r="O903" s="107">
        <f>VLOOKUP(G903,Budget!$E$3:$G$2474,3,0)</f>
        <v>7500</v>
      </c>
      <c r="P903" s="107">
        <f t="shared" si="381"/>
        <v>0</v>
      </c>
      <c r="Q903" s="107"/>
      <c r="R903" s="10"/>
      <c r="S903" s="107">
        <v>7500</v>
      </c>
      <c r="T903" s="107">
        <f t="shared" si="364"/>
        <v>0</v>
      </c>
      <c r="U903" s="107"/>
      <c r="V903" s="175"/>
      <c r="W903" s="10"/>
      <c r="X903" s="10"/>
      <c r="Y903" t="str">
        <f t="shared" si="382"/>
        <v>2405</v>
      </c>
      <c r="AB903" s="10"/>
      <c r="AC903" s="10"/>
      <c r="AD903" s="10"/>
      <c r="AE903" s="10"/>
      <c r="AF903" s="10"/>
      <c r="AG903" s="10"/>
      <c r="AH903" s="10"/>
      <c r="AI903" s="10"/>
    </row>
    <row r="904" spans="1:35">
      <c r="A904" s="10"/>
      <c r="B904" s="10" t="str">
        <f t="shared" si="377"/>
        <v>Below the Line2nd Unit</v>
      </c>
      <c r="C904" t="s">
        <v>20</v>
      </c>
      <c r="D904" t="s">
        <v>19</v>
      </c>
      <c r="E904" t="s">
        <v>1419</v>
      </c>
      <c r="F904" t="s">
        <v>5396</v>
      </c>
      <c r="G904" t="s">
        <v>2524</v>
      </c>
      <c r="I904" s="10"/>
      <c r="J904" s="107">
        <f>SUMIF(Data!C:C,G904,Data!Q:Q)</f>
        <v>30000</v>
      </c>
      <c r="K904" s="107">
        <f>SUMIF(Comprometidos!A:A,'Cost Report'!G904,Comprometidos!E:E)</f>
        <v>0</v>
      </c>
      <c r="L904" s="107">
        <f t="shared" si="378"/>
        <v>30000</v>
      </c>
      <c r="M904" s="107">
        <v>0</v>
      </c>
      <c r="N904" s="107">
        <f t="shared" si="380"/>
        <v>30000</v>
      </c>
      <c r="O904" s="107">
        <f>VLOOKUP(G904,Budget!$E$3:$G$2474,3,0)</f>
        <v>15000</v>
      </c>
      <c r="P904" s="107">
        <f t="shared" si="381"/>
        <v>-15000</v>
      </c>
      <c r="Q904" s="107"/>
      <c r="R904" s="10"/>
      <c r="S904" s="107">
        <v>30000</v>
      </c>
      <c r="T904" s="107">
        <f t="shared" si="364"/>
        <v>0</v>
      </c>
      <c r="U904" s="107"/>
      <c r="V904" s="175"/>
      <c r="W904" s="10"/>
      <c r="X904" s="10"/>
      <c r="Y904" t="str">
        <f t="shared" si="382"/>
        <v>2405</v>
      </c>
      <c r="AB904" s="10"/>
      <c r="AC904" s="10"/>
      <c r="AD904" s="10"/>
      <c r="AE904" s="10"/>
      <c r="AF904" s="10"/>
      <c r="AG904" s="10"/>
      <c r="AH904" s="10"/>
      <c r="AI904" s="10"/>
    </row>
    <row r="905" spans="1:35">
      <c r="A905" s="10"/>
      <c r="B905" s="10" t="str">
        <f t="shared" si="377"/>
        <v>Below the Line2nd Unit</v>
      </c>
      <c r="C905" t="s">
        <v>20</v>
      </c>
      <c r="D905" t="s">
        <v>19</v>
      </c>
      <c r="E905" t="s">
        <v>1419</v>
      </c>
      <c r="F905" t="s">
        <v>5396</v>
      </c>
      <c r="G905" t="s">
        <v>2525</v>
      </c>
      <c r="I905" s="10"/>
      <c r="J905" s="107">
        <f>SUMIF(Data!C:C,G905,Data!Q:Q)</f>
        <v>0</v>
      </c>
      <c r="K905" s="107">
        <f>SUMIF(Comprometidos!A:A,'Cost Report'!G905,Comprometidos!E:E)</f>
        <v>0</v>
      </c>
      <c r="L905" s="107">
        <f t="shared" si="378"/>
        <v>0</v>
      </c>
      <c r="M905" s="107">
        <f t="shared" si="379"/>
        <v>0</v>
      </c>
      <c r="N905" s="107">
        <f t="shared" si="380"/>
        <v>0</v>
      </c>
      <c r="O905" s="107">
        <f>VLOOKUP(G905,Budget!$E$3:$G$2474,3,0)</f>
        <v>0</v>
      </c>
      <c r="P905" s="107">
        <f t="shared" si="381"/>
        <v>0</v>
      </c>
      <c r="Q905" s="107"/>
      <c r="R905" s="10"/>
      <c r="S905" s="107">
        <v>0</v>
      </c>
      <c r="T905" s="107">
        <f t="shared" si="364"/>
        <v>0</v>
      </c>
      <c r="U905" s="107"/>
      <c r="V905" s="175"/>
      <c r="W905" s="10"/>
      <c r="X905" s="10"/>
      <c r="Y905" t="str">
        <f t="shared" si="382"/>
        <v>2405</v>
      </c>
      <c r="AB905" s="10"/>
      <c r="AC905" s="10"/>
      <c r="AD905" s="10"/>
      <c r="AE905" s="10"/>
      <c r="AF905" s="10"/>
      <c r="AG905" s="10"/>
      <c r="AH905" s="10"/>
      <c r="AI905" s="10"/>
    </row>
    <row r="906" spans="1:35">
      <c r="A906" s="10"/>
      <c r="B906" s="10" t="str">
        <f t="shared" si="377"/>
        <v>Below the Line</v>
      </c>
      <c r="C906" t="s">
        <v>20</v>
      </c>
      <c r="D906" t="s">
        <v>19</v>
      </c>
      <c r="E906" t="s">
        <v>214</v>
      </c>
      <c r="F906" t="s">
        <v>5396</v>
      </c>
      <c r="G906" t="s">
        <v>2526</v>
      </c>
      <c r="I906" s="10"/>
      <c r="J906" s="107">
        <f>SUMIF(Data!C:C,G906,Data!Q:Q)</f>
        <v>0</v>
      </c>
      <c r="K906" s="107">
        <f>SUMIF(Comprometidos!A:A,'Cost Report'!G906,Comprometidos!E:E)</f>
        <v>0</v>
      </c>
      <c r="L906" s="107">
        <f t="shared" si="378"/>
        <v>0</v>
      </c>
      <c r="M906" s="107">
        <f t="shared" si="379"/>
        <v>0</v>
      </c>
      <c r="N906" s="107">
        <f t="shared" si="380"/>
        <v>0</v>
      </c>
      <c r="O906" s="107">
        <f>VLOOKUP(G906,Budget!$E$3:$G$2474,3,0)</f>
        <v>0</v>
      </c>
      <c r="P906" s="107">
        <f t="shared" si="381"/>
        <v>0</v>
      </c>
      <c r="Q906" s="107"/>
      <c r="R906" s="10"/>
      <c r="S906" s="107">
        <v>0</v>
      </c>
      <c r="T906" s="107">
        <f t="shared" si="364"/>
        <v>0</v>
      </c>
      <c r="U906" s="107"/>
      <c r="V906" s="175"/>
      <c r="W906" s="10"/>
      <c r="X906" s="10"/>
      <c r="Y906" t="str">
        <f t="shared" si="382"/>
        <v>2405</v>
      </c>
      <c r="AB906" s="10"/>
      <c r="AC906" s="10"/>
      <c r="AD906" s="10"/>
      <c r="AE906" s="10"/>
      <c r="AF906" s="10"/>
      <c r="AG906" s="10"/>
      <c r="AH906" s="10"/>
      <c r="AI906" s="10"/>
    </row>
    <row r="907" spans="1:35">
      <c r="A907" s="10"/>
      <c r="B907" s="10" t="str">
        <f t="shared" si="377"/>
        <v>Below the LineSHOOT</v>
      </c>
      <c r="C907" t="s">
        <v>20</v>
      </c>
      <c r="D907" t="s">
        <v>19</v>
      </c>
      <c r="E907" t="s">
        <v>236</v>
      </c>
      <c r="F907" t="s">
        <v>4318</v>
      </c>
      <c r="G907" t="s">
        <v>2527</v>
      </c>
      <c r="I907" s="10"/>
      <c r="J907" s="107">
        <f>SUMIF(Data!C:C,G907,Data!Q:Q)</f>
        <v>323105.83</v>
      </c>
      <c r="K907" s="107">
        <f>SUMIF(Comprometidos!A:A,'Cost Report'!G907,Comprometidos!E:E)</f>
        <v>0</v>
      </c>
      <c r="L907" s="107">
        <f t="shared" si="378"/>
        <v>323105.83</v>
      </c>
      <c r="M907" s="107">
        <v>0</v>
      </c>
      <c r="N907" s="107">
        <f t="shared" si="380"/>
        <v>323105.83</v>
      </c>
      <c r="O907" s="107">
        <f>VLOOKUP(G907,Budget!$E$3:$G$2474,3,0)</f>
        <v>105000</v>
      </c>
      <c r="P907" s="107">
        <f t="shared" si="381"/>
        <v>-218105.83000000002</v>
      </c>
      <c r="Q907" s="107"/>
      <c r="R907" s="10"/>
      <c r="S907" s="107">
        <v>323105.83</v>
      </c>
      <c r="T907" s="107">
        <f t="shared" si="364"/>
        <v>0</v>
      </c>
      <c r="U907" s="107"/>
      <c r="V907" s="175"/>
      <c r="W907" s="10"/>
      <c r="X907" s="10"/>
      <c r="Y907" t="str">
        <f t="shared" si="382"/>
        <v>2405</v>
      </c>
      <c r="AB907" s="10"/>
      <c r="AC907" s="10"/>
      <c r="AD907" s="10"/>
      <c r="AE907" s="10"/>
      <c r="AF907" s="10"/>
      <c r="AG907" s="10"/>
      <c r="AH907" s="10"/>
      <c r="AI907" s="10"/>
    </row>
    <row r="908" spans="1:35">
      <c r="A908" s="10"/>
      <c r="B908" s="10" t="str">
        <f>+C908</f>
        <v>Below the Line</v>
      </c>
      <c r="C908" s="128" t="s">
        <v>20</v>
      </c>
      <c r="D908" s="128" t="s">
        <v>2117</v>
      </c>
      <c r="E908" s="128"/>
      <c r="F908" s="128"/>
      <c r="G908" s="128" t="s">
        <v>608</v>
      </c>
      <c r="H908" s="128"/>
      <c r="I908" s="10"/>
      <c r="J908" s="129">
        <f>SUMIF($Y$11:$Y$2484,G908,J$11:J$2484)</f>
        <v>114287.72000000003</v>
      </c>
      <c r="K908" s="129">
        <f>SUMIF($Y$11:$Y$2484,G908,K$11:K$2484)</f>
        <v>0</v>
      </c>
      <c r="L908" s="129">
        <f>SUMIF($Y$11:$Y$2484,G908,L$11:L$2484)</f>
        <v>114287.72000000003</v>
      </c>
      <c r="M908" s="129">
        <f>SUMIF($Y$11:$Y$2484,G908,M$11:M$2484)</f>
        <v>0</v>
      </c>
      <c r="N908" s="129">
        <f>SUMIF($Y$11:$Y$2484,G908,N$11:N$2484)</f>
        <v>114287.72000000003</v>
      </c>
      <c r="O908" s="129">
        <f>SUMIF($Y$11:$Y$2484,G908,O$11:O$2484)</f>
        <v>144000</v>
      </c>
      <c r="P908" s="129">
        <f>SUMIF($Y$11:$Y$2484,G908,P$11:P$2484)</f>
        <v>29712.27999999997</v>
      </c>
      <c r="Q908" s="129"/>
      <c r="R908" s="10"/>
      <c r="S908" s="129">
        <v>114113.42000000003</v>
      </c>
      <c r="T908" s="129">
        <f t="shared" si="364"/>
        <v>-174.30000000000291</v>
      </c>
      <c r="U908" s="128"/>
      <c r="V908" s="175"/>
      <c r="W908" s="10"/>
      <c r="X908" s="10"/>
      <c r="Z908" t="str">
        <f>LEFT(G908,2)</f>
        <v>24</v>
      </c>
      <c r="AA908" t="str">
        <f>+Z908&amp;"00"</f>
        <v>2400</v>
      </c>
      <c r="AB908" s="10"/>
      <c r="AC908" s="10"/>
      <c r="AD908" s="10"/>
      <c r="AE908" s="10"/>
      <c r="AF908" s="10"/>
      <c r="AG908" s="10"/>
      <c r="AH908" s="10"/>
      <c r="AI908" s="10"/>
    </row>
    <row r="909" spans="1:35">
      <c r="A909" s="10"/>
      <c r="B909" s="10" t="str">
        <f t="shared" ref="B909:B911" si="383">+C909&amp;E909</f>
        <v>Below the Line</v>
      </c>
      <c r="C909" t="s">
        <v>20</v>
      </c>
      <c r="D909" t="s">
        <v>19</v>
      </c>
      <c r="E909" t="s">
        <v>214</v>
      </c>
      <c r="G909" t="s">
        <v>609</v>
      </c>
      <c r="I909" s="10"/>
      <c r="J909" s="107">
        <f>SUMIF(Data!C:C,G909,Data!Q:Q)</f>
        <v>0</v>
      </c>
      <c r="K909" s="107">
        <f>SUMIF(Comprometidos!A:A,'Cost Report'!G909,Comprometidos!E:E)</f>
        <v>0</v>
      </c>
      <c r="L909" s="107">
        <f t="shared" ref="L909:L955" si="384">+J909+K909</f>
        <v>0</v>
      </c>
      <c r="M909" s="107">
        <f t="shared" ref="M909:M955" si="385">+O909-L909</f>
        <v>0</v>
      </c>
      <c r="N909" s="107">
        <f t="shared" ref="N909:N955" si="386">+L909+M909</f>
        <v>0</v>
      </c>
      <c r="O909" s="107">
        <f>VLOOKUP(G909,Budget!$E$3:$G$2474,3,0)</f>
        <v>0</v>
      </c>
      <c r="P909" s="107">
        <f t="shared" ref="P909:P955" si="387">+O909-N909</f>
        <v>0</v>
      </c>
      <c r="Q909" s="107"/>
      <c r="R909" s="10"/>
      <c r="S909" s="107">
        <v>0</v>
      </c>
      <c r="T909" s="107">
        <f t="shared" si="364"/>
        <v>0</v>
      </c>
      <c r="U909" s="107"/>
      <c r="V909" s="175"/>
      <c r="W909" s="10"/>
      <c r="X909" s="10"/>
      <c r="Y909" t="str">
        <f t="shared" ref="Y909:Y911" si="388">LEFT(G909,4)</f>
        <v>2485</v>
      </c>
      <c r="AB909" s="10"/>
      <c r="AC909" s="10"/>
      <c r="AD909" s="10"/>
      <c r="AE909" s="10"/>
      <c r="AF909" s="10"/>
      <c r="AG909" s="10"/>
      <c r="AH909" s="10"/>
      <c r="AI909" s="10"/>
    </row>
    <row r="910" spans="1:35">
      <c r="A910" s="10"/>
      <c r="B910" s="10" t="str">
        <f t="shared" si="383"/>
        <v>Below the LineALL SHOW</v>
      </c>
      <c r="C910" t="s">
        <v>20</v>
      </c>
      <c r="D910" t="s">
        <v>19</v>
      </c>
      <c r="E910" t="s">
        <v>227</v>
      </c>
      <c r="F910" t="s">
        <v>4318</v>
      </c>
      <c r="G910" t="s">
        <v>610</v>
      </c>
      <c r="I910" s="10"/>
      <c r="J910" s="107">
        <f>SUMIF(Data!C:C,G910,Data!Q:Q)</f>
        <v>106037.72000000003</v>
      </c>
      <c r="K910" s="107">
        <f>SUMIF(Comprometidos!A:A,'Cost Report'!G910,Comprometidos!E:E)</f>
        <v>0</v>
      </c>
      <c r="L910" s="107">
        <f t="shared" si="384"/>
        <v>106037.72000000003</v>
      </c>
      <c r="M910" s="107">
        <v>0</v>
      </c>
      <c r="N910" s="107">
        <f t="shared" si="386"/>
        <v>106037.72000000003</v>
      </c>
      <c r="O910" s="107">
        <f>VLOOKUP(G910,Budget!$E$3:$G$2474,3,0)</f>
        <v>100000</v>
      </c>
      <c r="P910" s="107">
        <f t="shared" si="387"/>
        <v>-6037.7200000000303</v>
      </c>
      <c r="Q910" s="107"/>
      <c r="R910" s="10"/>
      <c r="S910" s="107">
        <v>105863.42000000003</v>
      </c>
      <c r="T910" s="107">
        <f t="shared" si="364"/>
        <v>-174.30000000000291</v>
      </c>
      <c r="U910" s="107"/>
      <c r="V910" s="175"/>
      <c r="W910" s="10"/>
      <c r="X910" s="10"/>
      <c r="Y910" t="str">
        <f t="shared" si="388"/>
        <v>2485</v>
      </c>
      <c r="AB910" s="10"/>
      <c r="AC910" s="10"/>
      <c r="AD910" s="10"/>
      <c r="AE910" s="10"/>
      <c r="AF910" s="10"/>
      <c r="AG910" s="10"/>
      <c r="AH910" s="10"/>
      <c r="AI910" s="10"/>
    </row>
    <row r="911" spans="1:35">
      <c r="A911" s="10"/>
      <c r="B911" s="10" t="str">
        <f t="shared" si="383"/>
        <v>Below the LineALL SHOW</v>
      </c>
      <c r="C911" t="s">
        <v>20</v>
      </c>
      <c r="D911" t="s">
        <v>19</v>
      </c>
      <c r="E911" t="s">
        <v>227</v>
      </c>
      <c r="F911" t="s">
        <v>4318</v>
      </c>
      <c r="G911" t="s">
        <v>2528</v>
      </c>
      <c r="I911" s="10"/>
      <c r="J911" s="107">
        <f>SUMIF(Data!C:C,G911,Data!Q:Q)</f>
        <v>8250</v>
      </c>
      <c r="K911" s="107">
        <f>SUMIF(Comprometidos!A:A,'Cost Report'!G911,Comprometidos!E:E)</f>
        <v>0</v>
      </c>
      <c r="L911" s="107">
        <f t="shared" si="384"/>
        <v>8250</v>
      </c>
      <c r="M911" s="107">
        <v>0</v>
      </c>
      <c r="N911" s="107">
        <f t="shared" si="386"/>
        <v>8250</v>
      </c>
      <c r="O911" s="107">
        <f>VLOOKUP(G911,Budget!$E$3:$G$2474,3,0)</f>
        <v>44000</v>
      </c>
      <c r="P911" s="107">
        <f t="shared" si="387"/>
        <v>35750</v>
      </c>
      <c r="Q911" s="107"/>
      <c r="R911" s="10"/>
      <c r="S911" s="107">
        <v>8250</v>
      </c>
      <c r="T911" s="107">
        <f t="shared" ref="T911:T974" si="389">+S911-N911</f>
        <v>0</v>
      </c>
      <c r="U911" s="107"/>
      <c r="V911" s="175"/>
      <c r="W911" s="10"/>
      <c r="X911" s="10"/>
      <c r="Y911" t="str">
        <f t="shared" si="388"/>
        <v>2485</v>
      </c>
      <c r="AB911" s="10"/>
      <c r="AC911" s="10"/>
      <c r="AD911" s="10"/>
      <c r="AE911" s="10"/>
      <c r="AF911" s="10"/>
      <c r="AG911" s="10"/>
      <c r="AH911" s="10"/>
      <c r="AI911" s="10"/>
    </row>
    <row r="912" spans="1:35">
      <c r="A912" s="10"/>
      <c r="B912" s="10" t="str">
        <f>+C912</f>
        <v>Below the Line</v>
      </c>
      <c r="C912" s="128" t="s">
        <v>20</v>
      </c>
      <c r="D912" s="128" t="s">
        <v>2117</v>
      </c>
      <c r="E912" s="128"/>
      <c r="F912" s="128"/>
      <c r="G912" s="128" t="s">
        <v>1501</v>
      </c>
      <c r="H912" s="128"/>
      <c r="I912" s="10"/>
      <c r="J912" s="129">
        <f>SUMIF($Y$11:$Y$2484,G912,J$11:J$2484)</f>
        <v>114000</v>
      </c>
      <c r="K912" s="129">
        <f>SUMIF($Y$11:$Y$2484,G912,K$11:K$2484)</f>
        <v>0</v>
      </c>
      <c r="L912" s="129">
        <f>SUMIF($Y$11:$Y$2484,G912,L$11:L$2484)</f>
        <v>114000</v>
      </c>
      <c r="M912" s="129">
        <f>SUMIF($Y$11:$Y$2484,G912,M$11:M$2484)</f>
        <v>0</v>
      </c>
      <c r="N912" s="129">
        <f>SUMIF($Y$11:$Y$2484,G912,N$11:N$2484)</f>
        <v>114000</v>
      </c>
      <c r="O912" s="129">
        <f>SUMIF($Y$11:$Y$2484,G912,O$11:O$2484)</f>
        <v>120000</v>
      </c>
      <c r="P912" s="129">
        <f>SUMIF($Y$11:$Y$2484,G912,P$11:P$2484)</f>
        <v>6000</v>
      </c>
      <c r="Q912" s="129"/>
      <c r="R912" s="10"/>
      <c r="S912" s="129">
        <v>114000</v>
      </c>
      <c r="T912" s="129">
        <f t="shared" si="389"/>
        <v>0</v>
      </c>
      <c r="U912" s="128"/>
      <c r="V912" s="175"/>
      <c r="W912" s="10"/>
      <c r="X912" s="10"/>
      <c r="Z912" t="str">
        <f>LEFT(G912,2)</f>
        <v>24</v>
      </c>
      <c r="AA912" t="str">
        <f>+Z912&amp;"00"</f>
        <v>2400</v>
      </c>
      <c r="AB912" s="10"/>
      <c r="AC912" s="10"/>
      <c r="AD912" s="10"/>
      <c r="AE912" s="10"/>
      <c r="AF912" s="10"/>
      <c r="AG912" s="10"/>
      <c r="AH912" s="10"/>
      <c r="AI912" s="10"/>
    </row>
    <row r="913" spans="1:35">
      <c r="A913" s="10"/>
      <c r="B913" s="10" t="str">
        <f t="shared" ref="B913:B916" si="390">+C913&amp;E913</f>
        <v>Below the Line</v>
      </c>
      <c r="C913" t="s">
        <v>20</v>
      </c>
      <c r="D913" t="s">
        <v>19</v>
      </c>
      <c r="E913" t="s">
        <v>214</v>
      </c>
      <c r="G913" t="s">
        <v>1502</v>
      </c>
      <c r="I913" s="10"/>
      <c r="J913" s="107">
        <f>SUMIF(Data!C:C,G913,Data!Q:Q)</f>
        <v>0</v>
      </c>
      <c r="K913" s="107">
        <f>SUMIF(Comprometidos!A:A,'Cost Report'!G913,Comprometidos!E:E)</f>
        <v>0</v>
      </c>
      <c r="L913" s="107">
        <f t="shared" si="384"/>
        <v>0</v>
      </c>
      <c r="M913" s="107">
        <f t="shared" si="385"/>
        <v>0</v>
      </c>
      <c r="N913" s="107">
        <f t="shared" si="386"/>
        <v>0</v>
      </c>
      <c r="O913" s="107">
        <f>VLOOKUP(G913,Budget!$E$3:$G$2474,3,0)</f>
        <v>0</v>
      </c>
      <c r="P913" s="107">
        <f t="shared" si="387"/>
        <v>0</v>
      </c>
      <c r="Q913" s="107"/>
      <c r="R913" s="10"/>
      <c r="S913" s="107">
        <v>0</v>
      </c>
      <c r="T913" s="107">
        <f t="shared" si="389"/>
        <v>0</v>
      </c>
      <c r="U913" s="107"/>
      <c r="V913" s="175"/>
      <c r="W913" s="10"/>
      <c r="X913" s="10"/>
      <c r="Y913" t="str">
        <f t="shared" ref="Y913:Y916" si="391">LEFT(G913,4)</f>
        <v>2490</v>
      </c>
      <c r="AB913" s="10"/>
      <c r="AC913" s="10"/>
      <c r="AD913" s="10"/>
      <c r="AE913" s="10"/>
      <c r="AF913" s="10"/>
      <c r="AG913" s="10"/>
      <c r="AH913" s="10"/>
      <c r="AI913" s="10"/>
    </row>
    <row r="914" spans="1:35">
      <c r="A914" s="10"/>
      <c r="B914" s="10" t="str">
        <f t="shared" si="390"/>
        <v>Below the LinePREP</v>
      </c>
      <c r="C914" t="s">
        <v>20</v>
      </c>
      <c r="D914" t="s">
        <v>19</v>
      </c>
      <c r="E914" t="s">
        <v>234</v>
      </c>
      <c r="F914" t="s">
        <v>4318</v>
      </c>
      <c r="G914" t="s">
        <v>1503</v>
      </c>
      <c r="I914" s="10"/>
      <c r="J914" s="107">
        <f>SUMIF(Data!C:C,G914,Data!Q:Q)</f>
        <v>34000</v>
      </c>
      <c r="K914" s="107">
        <f>SUMIF(Comprometidos!A:A,'Cost Report'!G914,Comprometidos!E:E)</f>
        <v>0</v>
      </c>
      <c r="L914" s="107">
        <f t="shared" si="384"/>
        <v>34000</v>
      </c>
      <c r="M914" s="107">
        <v>0</v>
      </c>
      <c r="N914" s="107">
        <f t="shared" si="386"/>
        <v>34000</v>
      </c>
      <c r="O914" s="107">
        <f>VLOOKUP(G914,Budget!$E$3:$G$2474,3,0)</f>
        <v>45000</v>
      </c>
      <c r="P914" s="107">
        <f t="shared" si="387"/>
        <v>11000</v>
      </c>
      <c r="Q914" s="107"/>
      <c r="R914" s="10"/>
      <c r="S914" s="107">
        <v>34000</v>
      </c>
      <c r="T914" s="107">
        <f t="shared" si="389"/>
        <v>0</v>
      </c>
      <c r="U914" s="107"/>
      <c r="V914" s="175"/>
      <c r="W914" s="10"/>
      <c r="X914" s="10"/>
      <c r="Y914" t="str">
        <f t="shared" si="391"/>
        <v>2490</v>
      </c>
      <c r="AB914" s="10"/>
      <c r="AC914" s="10"/>
      <c r="AD914" s="10"/>
      <c r="AE914" s="10"/>
      <c r="AF914" s="10"/>
      <c r="AG914" s="10"/>
      <c r="AH914" s="10"/>
      <c r="AI914" s="10"/>
    </row>
    <row r="915" spans="1:35">
      <c r="A915" s="10"/>
      <c r="B915" s="10" t="str">
        <f t="shared" si="390"/>
        <v>Below the LineSHOOT</v>
      </c>
      <c r="C915" t="s">
        <v>20</v>
      </c>
      <c r="D915" t="s">
        <v>19</v>
      </c>
      <c r="E915" t="s">
        <v>236</v>
      </c>
      <c r="F915" t="s">
        <v>4318</v>
      </c>
      <c r="G915" t="s">
        <v>1504</v>
      </c>
      <c r="I915" s="10"/>
      <c r="J915" s="107">
        <f>SUMIF(Data!C:C,G915,Data!Q:Q)</f>
        <v>70000</v>
      </c>
      <c r="K915" s="107">
        <f>SUMIF(Comprometidos!A:A,'Cost Report'!G915,Comprometidos!E:E)</f>
        <v>0</v>
      </c>
      <c r="L915" s="107">
        <f t="shared" si="384"/>
        <v>70000</v>
      </c>
      <c r="M915" s="107">
        <v>0</v>
      </c>
      <c r="N915" s="107">
        <f t="shared" si="386"/>
        <v>70000</v>
      </c>
      <c r="O915" s="107">
        <f>VLOOKUP(G915,Budget!$E$3:$G$2474,3,0)</f>
        <v>63000</v>
      </c>
      <c r="P915" s="107">
        <f t="shared" si="387"/>
        <v>-7000</v>
      </c>
      <c r="Q915" s="107"/>
      <c r="R915" s="10"/>
      <c r="S915" s="107">
        <v>70000</v>
      </c>
      <c r="T915" s="107">
        <f t="shared" si="389"/>
        <v>0</v>
      </c>
      <c r="U915" s="107"/>
      <c r="V915" s="175"/>
      <c r="W915" s="10"/>
      <c r="X915" s="10"/>
      <c r="Y915" t="str">
        <f t="shared" si="391"/>
        <v>2490</v>
      </c>
      <c r="AB915" s="10"/>
      <c r="AC915" s="10"/>
      <c r="AD915" s="10"/>
      <c r="AE915" s="10"/>
      <c r="AF915" s="10"/>
      <c r="AG915" s="10"/>
      <c r="AH915" s="10"/>
      <c r="AI915" s="10"/>
    </row>
    <row r="916" spans="1:35">
      <c r="A916" s="10"/>
      <c r="B916" s="10" t="str">
        <f t="shared" si="390"/>
        <v>Below the LineWRAP</v>
      </c>
      <c r="C916" t="s">
        <v>20</v>
      </c>
      <c r="D916" t="s">
        <v>19</v>
      </c>
      <c r="E916" t="s">
        <v>238</v>
      </c>
      <c r="F916" t="s">
        <v>4318</v>
      </c>
      <c r="G916" t="s">
        <v>2529</v>
      </c>
      <c r="I916" s="10"/>
      <c r="J916" s="107">
        <f>SUMIF(Data!C:C,G916,Data!Q:Q)</f>
        <v>10000</v>
      </c>
      <c r="K916" s="107">
        <f>SUMIF(Comprometidos!A:A,'Cost Report'!G916,Comprometidos!E:E)</f>
        <v>0</v>
      </c>
      <c r="L916" s="107">
        <f t="shared" si="384"/>
        <v>10000</v>
      </c>
      <c r="M916" s="107">
        <v>0</v>
      </c>
      <c r="N916" s="107">
        <f t="shared" si="386"/>
        <v>10000</v>
      </c>
      <c r="O916" s="107">
        <f>VLOOKUP(G916,Budget!$E$3:$G$2474,3,0)</f>
        <v>12000</v>
      </c>
      <c r="P916" s="107">
        <f t="shared" si="387"/>
        <v>2000</v>
      </c>
      <c r="Q916" s="107"/>
      <c r="R916" s="10"/>
      <c r="S916" s="107">
        <v>10000</v>
      </c>
      <c r="T916" s="107">
        <f t="shared" si="389"/>
        <v>0</v>
      </c>
      <c r="U916" s="107"/>
      <c r="V916" s="175"/>
      <c r="W916" s="10"/>
      <c r="X916" s="10"/>
      <c r="Y916" t="str">
        <f t="shared" si="391"/>
        <v>2490</v>
      </c>
      <c r="AB916" s="10"/>
      <c r="AC916" s="10"/>
      <c r="AD916" s="10"/>
      <c r="AE916" s="10"/>
      <c r="AF916" s="10"/>
      <c r="AG916" s="10"/>
      <c r="AH916" s="10"/>
      <c r="AI916" s="10"/>
    </row>
    <row r="917" spans="1:35">
      <c r="A917" s="10"/>
      <c r="B917" s="10" t="str">
        <f>+C917</f>
        <v>Below the Line</v>
      </c>
      <c r="C917" s="128" t="s">
        <v>20</v>
      </c>
      <c r="D917" s="128" t="s">
        <v>2117</v>
      </c>
      <c r="E917" s="128"/>
      <c r="F917" s="128"/>
      <c r="G917" s="128" t="s">
        <v>611</v>
      </c>
      <c r="H917" s="128"/>
      <c r="I917" s="10"/>
      <c r="J917" s="129">
        <f>SUMIF($Y$11:$Y$2484,G917,J$11:J$2484)</f>
        <v>2814999.5669999998</v>
      </c>
      <c r="K917" s="129">
        <f>SUMIF($Y$11:$Y$2484,G917,K$11:K$2484)</f>
        <v>0</v>
      </c>
      <c r="L917" s="129">
        <f>SUMIF($Y$11:$Y$2484,G917,L$11:L$2484)</f>
        <v>2814999.5669999998</v>
      </c>
      <c r="M917" s="129">
        <f>SUMIF($Y$11:$Y$2484,G917,M$11:M$2484)</f>
        <v>0</v>
      </c>
      <c r="N917" s="129">
        <f>SUMIF($Y$11:$Y$2484,G917,N$11:N$2484)</f>
        <v>2814999.5669999998</v>
      </c>
      <c r="O917" s="129">
        <f>SUMIF($Y$11:$Y$2484,G917,O$11:O$2484)</f>
        <v>3001630</v>
      </c>
      <c r="P917" s="129">
        <f>SUMIF($Y$11:$Y$2484,G917,P$11:P$2484)</f>
        <v>186630.43299999993</v>
      </c>
      <c r="Q917" s="129"/>
      <c r="R917" s="10"/>
      <c r="S917" s="129">
        <v>2807284.08</v>
      </c>
      <c r="T917" s="129">
        <f t="shared" si="389"/>
        <v>-7715.4869999997318</v>
      </c>
      <c r="U917" s="128"/>
      <c r="V917" s="175"/>
      <c r="W917" s="10"/>
      <c r="X917" s="10"/>
      <c r="Z917" t="str">
        <f>LEFT(G917,2)</f>
        <v>24</v>
      </c>
      <c r="AA917" t="str">
        <f>+Z917&amp;"00"</f>
        <v>2400</v>
      </c>
      <c r="AB917" s="10"/>
      <c r="AC917" s="10"/>
      <c r="AD917" s="10"/>
      <c r="AE917" s="10"/>
      <c r="AF917" s="10"/>
      <c r="AG917" s="10"/>
      <c r="AH917" s="10"/>
      <c r="AI917" s="10"/>
    </row>
    <row r="918" spans="1:35">
      <c r="A918" s="10"/>
      <c r="B918" s="10" t="str">
        <f t="shared" ref="B918:B955" si="392">+C918&amp;E918</f>
        <v>Below the Line</v>
      </c>
      <c r="C918" t="s">
        <v>20</v>
      </c>
      <c r="D918" t="s">
        <v>19</v>
      </c>
      <c r="E918" t="s">
        <v>214</v>
      </c>
      <c r="F918" t="s">
        <v>4318</v>
      </c>
      <c r="G918" t="s">
        <v>612</v>
      </c>
      <c r="I918" s="10"/>
      <c r="J918" s="107">
        <f>SUMIF(Data!C:C,G918,Data!Q:Q)</f>
        <v>0</v>
      </c>
      <c r="K918" s="107">
        <f>SUMIF(Comprometidos!A:A,'Cost Report'!G918,Comprometidos!E:E)</f>
        <v>0</v>
      </c>
      <c r="L918" s="107">
        <f t="shared" si="384"/>
        <v>0</v>
      </c>
      <c r="M918" s="107">
        <f t="shared" si="385"/>
        <v>0</v>
      </c>
      <c r="N918" s="107">
        <f t="shared" si="386"/>
        <v>0</v>
      </c>
      <c r="O918" s="107">
        <f>VLOOKUP(G918,Budget!$E$3:$G$2474,3,0)</f>
        <v>0</v>
      </c>
      <c r="P918" s="107">
        <f t="shared" si="387"/>
        <v>0</v>
      </c>
      <c r="Q918" s="107"/>
      <c r="R918" s="10"/>
      <c r="S918" s="107">
        <v>0</v>
      </c>
      <c r="T918" s="107">
        <f t="shared" si="389"/>
        <v>0</v>
      </c>
      <c r="U918" s="107"/>
      <c r="V918" s="175"/>
      <c r="W918" s="10"/>
      <c r="X918" s="10"/>
      <c r="Y918" t="str">
        <f t="shared" ref="Y918:Y955" si="393">LEFT(G918,4)</f>
        <v>2494</v>
      </c>
      <c r="AB918" s="10"/>
      <c r="AC918" s="10"/>
      <c r="AD918" s="10"/>
      <c r="AE918" s="10"/>
      <c r="AF918" s="10"/>
      <c r="AG918" s="10"/>
      <c r="AH918" s="10"/>
      <c r="AI918" s="10"/>
    </row>
    <row r="919" spans="1:35">
      <c r="A919" s="10"/>
      <c r="B919" s="10" t="str">
        <f t="shared" si="392"/>
        <v>Below the LineSHOOT</v>
      </c>
      <c r="C919" t="s">
        <v>20</v>
      </c>
      <c r="D919" t="s">
        <v>19</v>
      </c>
      <c r="E919" t="s">
        <v>236</v>
      </c>
      <c r="F919" t="s">
        <v>4318</v>
      </c>
      <c r="G919" t="s">
        <v>1505</v>
      </c>
      <c r="I919" s="10"/>
      <c r="J919" s="107">
        <f>SUMIF(Data!C:C,G919,Data!Q:Q)</f>
        <v>745427.147</v>
      </c>
      <c r="K919" s="107">
        <f>SUMIF(Comprometidos!A:A,'Cost Report'!G919,Comprometidos!E:E)</f>
        <v>0</v>
      </c>
      <c r="L919" s="107">
        <f t="shared" si="384"/>
        <v>745427.147</v>
      </c>
      <c r="M919" s="107">
        <v>0</v>
      </c>
      <c r="N919" s="107">
        <f t="shared" si="386"/>
        <v>745427.147</v>
      </c>
      <c r="O919" s="107">
        <f>VLOOKUP(G919,Budget!$E$3:$G$2474,3,0)</f>
        <v>978000</v>
      </c>
      <c r="P919" s="107">
        <f t="shared" si="387"/>
        <v>232572.853</v>
      </c>
      <c r="Q919" s="107"/>
      <c r="R919" s="10"/>
      <c r="S919" s="107">
        <v>740384.81</v>
      </c>
      <c r="T919" s="107">
        <f t="shared" si="389"/>
        <v>-5042.3369999999413</v>
      </c>
      <c r="U919" s="107"/>
      <c r="V919" s="175"/>
      <c r="W919" s="10"/>
      <c r="X919" s="10"/>
      <c r="Y919" t="str">
        <f t="shared" si="393"/>
        <v>2494</v>
      </c>
      <c r="AB919" s="10"/>
      <c r="AC919" s="10"/>
      <c r="AD919" s="10"/>
      <c r="AE919" s="10"/>
      <c r="AF919" s="10"/>
      <c r="AG919" s="10"/>
      <c r="AH919" s="10"/>
      <c r="AI919" s="10"/>
    </row>
    <row r="920" spans="1:35">
      <c r="A920" s="10"/>
      <c r="B920" s="10" t="str">
        <f t="shared" si="392"/>
        <v>Below the Line</v>
      </c>
      <c r="C920" t="s">
        <v>20</v>
      </c>
      <c r="D920" t="s">
        <v>19</v>
      </c>
      <c r="E920" t="s">
        <v>214</v>
      </c>
      <c r="F920" t="s">
        <v>4318</v>
      </c>
      <c r="G920" t="s">
        <v>1506</v>
      </c>
      <c r="I920" s="10"/>
      <c r="J920" s="107">
        <f>SUMIF(Data!C:C,G920,Data!Q:Q)</f>
        <v>0</v>
      </c>
      <c r="K920" s="107">
        <f>SUMIF(Comprometidos!A:A,'Cost Report'!G920,Comprometidos!E:E)</f>
        <v>0</v>
      </c>
      <c r="L920" s="107">
        <f t="shared" si="384"/>
        <v>0</v>
      </c>
      <c r="M920" s="107">
        <f t="shared" si="385"/>
        <v>0</v>
      </c>
      <c r="N920" s="107">
        <f t="shared" si="386"/>
        <v>0</v>
      </c>
      <c r="O920" s="107">
        <f>VLOOKUP(G920,Budget!$E$3:$G$2474,3,0)</f>
        <v>0</v>
      </c>
      <c r="P920" s="107">
        <f t="shared" si="387"/>
        <v>0</v>
      </c>
      <c r="Q920" s="107"/>
      <c r="R920" s="10"/>
      <c r="S920" s="107">
        <v>0</v>
      </c>
      <c r="T920" s="107">
        <f t="shared" si="389"/>
        <v>0</v>
      </c>
      <c r="U920" s="107"/>
      <c r="V920" s="175"/>
      <c r="W920" s="10"/>
      <c r="X920" s="10"/>
      <c r="Y920" t="str">
        <f t="shared" si="393"/>
        <v>2494</v>
      </c>
      <c r="AB920" s="10"/>
      <c r="AC920" s="10"/>
      <c r="AD920" s="10"/>
      <c r="AE920" s="10"/>
      <c r="AF920" s="10"/>
      <c r="AG920" s="10"/>
      <c r="AH920" s="10"/>
      <c r="AI920" s="10"/>
    </row>
    <row r="921" spans="1:35">
      <c r="A921" s="10"/>
      <c r="B921" s="10" t="str">
        <f t="shared" si="392"/>
        <v>Below the LineSHOOT</v>
      </c>
      <c r="C921" t="s">
        <v>20</v>
      </c>
      <c r="D921" t="s">
        <v>19</v>
      </c>
      <c r="E921" t="s">
        <v>236</v>
      </c>
      <c r="F921" t="s">
        <v>4318</v>
      </c>
      <c r="G921" t="s">
        <v>1507</v>
      </c>
      <c r="I921" s="10"/>
      <c r="J921" s="107">
        <f>SUMIF(Data!C:C,G921,Data!Q:Q)</f>
        <v>266867.15999999992</v>
      </c>
      <c r="K921" s="107">
        <f>SUMIF(Comprometidos!A:A,'Cost Report'!G921,Comprometidos!E:E)</f>
        <v>0</v>
      </c>
      <c r="L921" s="107">
        <f t="shared" si="384"/>
        <v>266867.15999999992</v>
      </c>
      <c r="M921" s="107">
        <v>0</v>
      </c>
      <c r="N921" s="107">
        <f t="shared" si="386"/>
        <v>266867.15999999992</v>
      </c>
      <c r="O921" s="107">
        <f>VLOOKUP(G921,Budget!$E$3:$G$2474,3,0)</f>
        <v>350000</v>
      </c>
      <c r="P921" s="107">
        <f t="shared" si="387"/>
        <v>83132.840000000084</v>
      </c>
      <c r="Q921" s="107"/>
      <c r="R921" s="10"/>
      <c r="S921" s="107">
        <v>266867.15999999992</v>
      </c>
      <c r="T921" s="107">
        <f t="shared" si="389"/>
        <v>0</v>
      </c>
      <c r="U921" s="107"/>
      <c r="V921" s="175"/>
      <c r="W921" s="10"/>
      <c r="X921" s="10"/>
      <c r="Y921" t="str">
        <f t="shared" si="393"/>
        <v>2494</v>
      </c>
      <c r="AB921" s="10"/>
      <c r="AC921" s="10"/>
      <c r="AD921" s="10"/>
      <c r="AE921" s="10"/>
      <c r="AF921" s="10"/>
      <c r="AG921" s="10"/>
      <c r="AH921" s="10"/>
      <c r="AI921" s="10"/>
    </row>
    <row r="922" spans="1:35">
      <c r="A922" s="10"/>
      <c r="B922" s="10" t="str">
        <f t="shared" si="392"/>
        <v>Below the Line</v>
      </c>
      <c r="C922" t="s">
        <v>20</v>
      </c>
      <c r="D922" t="s">
        <v>19</v>
      </c>
      <c r="E922" t="s">
        <v>214</v>
      </c>
      <c r="F922" t="s">
        <v>4318</v>
      </c>
      <c r="G922" t="s">
        <v>1508</v>
      </c>
      <c r="I922" s="10"/>
      <c r="J922" s="107">
        <f>SUMIF(Data!C:C,G922,Data!Q:Q)</f>
        <v>0</v>
      </c>
      <c r="K922" s="107">
        <f>SUMIF(Comprometidos!A:A,'Cost Report'!G922,Comprometidos!E:E)</f>
        <v>0</v>
      </c>
      <c r="L922" s="107">
        <f t="shared" si="384"/>
        <v>0</v>
      </c>
      <c r="M922" s="107">
        <f t="shared" si="385"/>
        <v>0</v>
      </c>
      <c r="N922" s="107">
        <f t="shared" si="386"/>
        <v>0</v>
      </c>
      <c r="O922" s="107">
        <f>VLOOKUP(G922,Budget!$E$3:$G$2474,3,0)</f>
        <v>0</v>
      </c>
      <c r="P922" s="107">
        <f t="shared" si="387"/>
        <v>0</v>
      </c>
      <c r="Q922" s="107"/>
      <c r="R922" s="10"/>
      <c r="S922" s="107">
        <v>0</v>
      </c>
      <c r="T922" s="107">
        <f t="shared" si="389"/>
        <v>0</v>
      </c>
      <c r="U922" s="107"/>
      <c r="V922" s="175"/>
      <c r="W922" s="10"/>
      <c r="X922" s="10"/>
      <c r="Y922" t="str">
        <f t="shared" si="393"/>
        <v>2494</v>
      </c>
      <c r="AB922" s="10"/>
      <c r="AC922" s="10"/>
      <c r="AD922" s="10"/>
      <c r="AE922" s="10"/>
      <c r="AF922" s="10"/>
      <c r="AG922" s="10"/>
      <c r="AH922" s="10"/>
      <c r="AI922" s="10"/>
    </row>
    <row r="923" spans="1:35">
      <c r="A923" s="10"/>
      <c r="B923" s="10" t="str">
        <f t="shared" si="392"/>
        <v>Below the LineSHOOT</v>
      </c>
      <c r="C923" t="s">
        <v>20</v>
      </c>
      <c r="D923" t="s">
        <v>19</v>
      </c>
      <c r="E923" t="s">
        <v>236</v>
      </c>
      <c r="F923" t="s">
        <v>4318</v>
      </c>
      <c r="G923" t="s">
        <v>1509</v>
      </c>
      <c r="I923" s="10"/>
      <c r="J923" s="107">
        <f>SUMIF(Data!C:C,G923,Data!Q:Q)</f>
        <v>9340.3000000000011</v>
      </c>
      <c r="K923" s="107">
        <f>SUMIF(Comprometidos!A:A,'Cost Report'!G923,Comprometidos!E:E)</f>
        <v>0</v>
      </c>
      <c r="L923" s="107">
        <f t="shared" si="384"/>
        <v>9340.3000000000011</v>
      </c>
      <c r="M923" s="107">
        <v>0</v>
      </c>
      <c r="N923" s="107">
        <f t="shared" si="386"/>
        <v>9340.3000000000011</v>
      </c>
      <c r="O923" s="107">
        <f>VLOOKUP(G923,Budget!$E$3:$G$2474,3,0)</f>
        <v>60000</v>
      </c>
      <c r="P923" s="107">
        <f t="shared" si="387"/>
        <v>50659.7</v>
      </c>
      <c r="Q923" s="107"/>
      <c r="R923" s="10"/>
      <c r="S923" s="107">
        <v>9340.3000000000011</v>
      </c>
      <c r="T923" s="107">
        <f t="shared" si="389"/>
        <v>0</v>
      </c>
      <c r="U923" s="107"/>
      <c r="V923" s="175"/>
      <c r="W923" s="10"/>
      <c r="X923" s="10"/>
      <c r="Y923" t="str">
        <f t="shared" si="393"/>
        <v>2494</v>
      </c>
      <c r="AB923" s="10"/>
      <c r="AC923" s="10"/>
      <c r="AD923" s="10"/>
      <c r="AE923" s="10"/>
      <c r="AF923" s="10"/>
      <c r="AG923" s="10"/>
      <c r="AH923" s="10"/>
      <c r="AI923" s="10"/>
    </row>
    <row r="924" spans="1:35">
      <c r="A924" s="10"/>
      <c r="B924" s="10" t="str">
        <f t="shared" si="392"/>
        <v>Below the Line</v>
      </c>
      <c r="C924" t="s">
        <v>20</v>
      </c>
      <c r="D924" t="s">
        <v>19</v>
      </c>
      <c r="E924" t="s">
        <v>214</v>
      </c>
      <c r="F924" t="s">
        <v>4318</v>
      </c>
      <c r="G924" t="s">
        <v>1510</v>
      </c>
      <c r="I924" s="10"/>
      <c r="J924" s="107">
        <f>SUMIF(Data!C:C,G924,Data!Q:Q)</f>
        <v>0</v>
      </c>
      <c r="K924" s="107">
        <f>SUMIF(Comprometidos!A:A,'Cost Report'!G924,Comprometidos!E:E)</f>
        <v>0</v>
      </c>
      <c r="L924" s="107">
        <f t="shared" si="384"/>
        <v>0</v>
      </c>
      <c r="M924" s="107">
        <f t="shared" si="385"/>
        <v>0</v>
      </c>
      <c r="N924" s="107">
        <f t="shared" si="386"/>
        <v>0</v>
      </c>
      <c r="O924" s="107">
        <f>VLOOKUP(G924,Budget!$E$3:$G$2474,3,0)</f>
        <v>0</v>
      </c>
      <c r="P924" s="107">
        <f t="shared" si="387"/>
        <v>0</v>
      </c>
      <c r="Q924" s="107"/>
      <c r="R924" s="10"/>
      <c r="S924" s="107">
        <v>0</v>
      </c>
      <c r="T924" s="107">
        <f t="shared" si="389"/>
        <v>0</v>
      </c>
      <c r="U924" s="107"/>
      <c r="V924" s="175"/>
      <c r="W924" s="10"/>
      <c r="X924" s="10"/>
      <c r="Y924" t="str">
        <f t="shared" si="393"/>
        <v>2494</v>
      </c>
      <c r="AB924" s="10"/>
      <c r="AC924" s="10"/>
      <c r="AD924" s="10"/>
      <c r="AE924" s="10"/>
      <c r="AF924" s="10"/>
      <c r="AG924" s="10"/>
      <c r="AH924" s="10"/>
      <c r="AI924" s="10"/>
    </row>
    <row r="925" spans="1:35">
      <c r="A925" s="10"/>
      <c r="B925" s="10" t="str">
        <f t="shared" si="392"/>
        <v>Below the LineSHOOT</v>
      </c>
      <c r="C925" t="s">
        <v>20</v>
      </c>
      <c r="D925" t="s">
        <v>19</v>
      </c>
      <c r="E925" t="s">
        <v>236</v>
      </c>
      <c r="F925" t="s">
        <v>4318</v>
      </c>
      <c r="G925" t="s">
        <v>1511</v>
      </c>
      <c r="I925" s="10"/>
      <c r="J925" s="107">
        <f>SUMIF(Data!C:C,G925,Data!Q:Q)</f>
        <v>38566.519999999997</v>
      </c>
      <c r="K925" s="107">
        <f>SUMIF(Comprometidos!A:A,'Cost Report'!G925,Comprometidos!E:E)</f>
        <v>0</v>
      </c>
      <c r="L925" s="107">
        <f t="shared" si="384"/>
        <v>38566.519999999997</v>
      </c>
      <c r="M925" s="107">
        <v>0</v>
      </c>
      <c r="N925" s="107">
        <f t="shared" si="386"/>
        <v>38566.519999999997</v>
      </c>
      <c r="O925" s="107">
        <f>VLOOKUP(G925,Budget!$E$3:$G$2474,3,0)</f>
        <v>40000</v>
      </c>
      <c r="P925" s="107">
        <f t="shared" si="387"/>
        <v>1433.4800000000032</v>
      </c>
      <c r="Q925" s="107"/>
      <c r="R925" s="10"/>
      <c r="S925" s="107">
        <v>38566.519999999997</v>
      </c>
      <c r="T925" s="107">
        <f t="shared" si="389"/>
        <v>0</v>
      </c>
      <c r="U925" s="107"/>
      <c r="V925" s="175"/>
      <c r="W925" s="10"/>
      <c r="X925" s="10"/>
      <c r="Y925" t="str">
        <f t="shared" si="393"/>
        <v>2494</v>
      </c>
      <c r="AB925" s="10"/>
      <c r="AC925" s="10"/>
      <c r="AD925" s="10"/>
      <c r="AE925" s="10"/>
      <c r="AF925" s="10"/>
      <c r="AG925" s="10"/>
      <c r="AH925" s="10"/>
      <c r="AI925" s="10"/>
    </row>
    <row r="926" spans="1:35">
      <c r="A926" s="10"/>
      <c r="B926" s="10" t="str">
        <f t="shared" si="392"/>
        <v>Below the Line</v>
      </c>
      <c r="C926" t="s">
        <v>20</v>
      </c>
      <c r="D926" t="s">
        <v>19</v>
      </c>
      <c r="E926" t="s">
        <v>214</v>
      </c>
      <c r="F926" t="s">
        <v>4318</v>
      </c>
      <c r="G926" t="s">
        <v>1512</v>
      </c>
      <c r="I926" s="10"/>
      <c r="J926" s="107">
        <f>SUMIF(Data!C:C,G926,Data!Q:Q)</f>
        <v>0</v>
      </c>
      <c r="K926" s="107">
        <f>SUMIF(Comprometidos!A:A,'Cost Report'!G926,Comprometidos!E:E)</f>
        <v>0</v>
      </c>
      <c r="L926" s="107">
        <f t="shared" si="384"/>
        <v>0</v>
      </c>
      <c r="M926" s="107">
        <f t="shared" si="385"/>
        <v>0</v>
      </c>
      <c r="N926" s="107">
        <f t="shared" si="386"/>
        <v>0</v>
      </c>
      <c r="O926" s="107">
        <f>VLOOKUP(G926,Budget!$E$3:$G$2474,3,0)</f>
        <v>0</v>
      </c>
      <c r="P926" s="107">
        <f t="shared" si="387"/>
        <v>0</v>
      </c>
      <c r="Q926" s="107"/>
      <c r="R926" s="10"/>
      <c r="S926" s="107">
        <v>0</v>
      </c>
      <c r="T926" s="107">
        <f t="shared" si="389"/>
        <v>0</v>
      </c>
      <c r="U926" s="107"/>
      <c r="V926" s="175"/>
      <c r="W926" s="10"/>
      <c r="X926" s="10"/>
      <c r="Y926" t="str">
        <f t="shared" si="393"/>
        <v>2494</v>
      </c>
      <c r="AB926" s="10"/>
      <c r="AC926" s="10"/>
      <c r="AD926" s="10"/>
      <c r="AE926" s="10"/>
      <c r="AF926" s="10"/>
      <c r="AG926" s="10"/>
      <c r="AH926" s="10"/>
      <c r="AI926" s="10"/>
    </row>
    <row r="927" spans="1:35">
      <c r="A927" s="10"/>
      <c r="B927" s="10" t="str">
        <f t="shared" si="392"/>
        <v>Below the LineSHOOT</v>
      </c>
      <c r="C927" t="s">
        <v>20</v>
      </c>
      <c r="D927" t="s">
        <v>19</v>
      </c>
      <c r="E927" t="s">
        <v>236</v>
      </c>
      <c r="F927" t="s">
        <v>4318</v>
      </c>
      <c r="G927" t="s">
        <v>1513</v>
      </c>
      <c r="I927" s="10"/>
      <c r="J927" s="107">
        <f>SUMIF(Data!C:C,G927,Data!Q:Q)</f>
        <v>17435.640000000003</v>
      </c>
      <c r="K927" s="107">
        <f>SUMIF(Comprometidos!A:A,'Cost Report'!G927,Comprometidos!E:E)</f>
        <v>0</v>
      </c>
      <c r="L927" s="107">
        <f t="shared" si="384"/>
        <v>17435.640000000003</v>
      </c>
      <c r="M927" s="167">
        <v>0</v>
      </c>
      <c r="N927" s="107">
        <f t="shared" si="386"/>
        <v>17435.640000000003</v>
      </c>
      <c r="O927" s="107">
        <f>VLOOKUP(G927,Budget!$E$3:$G$2474,3,0)</f>
        <v>30000</v>
      </c>
      <c r="P927" s="107">
        <f t="shared" si="387"/>
        <v>12564.359999999997</v>
      </c>
      <c r="Q927" s="107"/>
      <c r="R927" s="10"/>
      <c r="S927" s="107">
        <v>17435.640000000003</v>
      </c>
      <c r="T927" s="107">
        <f t="shared" si="389"/>
        <v>0</v>
      </c>
      <c r="U927" s="107"/>
      <c r="V927" s="175"/>
      <c r="W927" s="10"/>
      <c r="X927" s="10"/>
      <c r="Y927" t="str">
        <f t="shared" si="393"/>
        <v>2494</v>
      </c>
      <c r="AB927" s="10"/>
      <c r="AC927" s="10"/>
      <c r="AD927" s="10"/>
      <c r="AE927" s="10"/>
      <c r="AF927" s="10"/>
      <c r="AG927" s="10"/>
      <c r="AH927" s="10"/>
      <c r="AI927" s="10"/>
    </row>
    <row r="928" spans="1:35">
      <c r="A928" s="10"/>
      <c r="B928" s="10" t="str">
        <f t="shared" si="392"/>
        <v>Below the Line</v>
      </c>
      <c r="C928" t="s">
        <v>20</v>
      </c>
      <c r="D928" t="s">
        <v>19</v>
      </c>
      <c r="E928" t="s">
        <v>214</v>
      </c>
      <c r="F928" t="s">
        <v>4318</v>
      </c>
      <c r="G928" t="s">
        <v>1514</v>
      </c>
      <c r="I928" s="10"/>
      <c r="J928" s="107">
        <f>SUMIF(Data!C:C,G928,Data!Q:Q)</f>
        <v>0</v>
      </c>
      <c r="K928" s="107">
        <f>SUMIF(Comprometidos!A:A,'Cost Report'!G928,Comprometidos!E:E)</f>
        <v>0</v>
      </c>
      <c r="L928" s="107">
        <f t="shared" si="384"/>
        <v>0</v>
      </c>
      <c r="M928" s="107">
        <f t="shared" si="385"/>
        <v>0</v>
      </c>
      <c r="N928" s="107">
        <f t="shared" si="386"/>
        <v>0</v>
      </c>
      <c r="O928" s="107">
        <f>VLOOKUP(G928,Budget!$E$3:$G$2474,3,0)</f>
        <v>0</v>
      </c>
      <c r="P928" s="107">
        <f t="shared" si="387"/>
        <v>0</v>
      </c>
      <c r="Q928" s="107"/>
      <c r="R928" s="10"/>
      <c r="S928" s="107">
        <v>0</v>
      </c>
      <c r="T928" s="107">
        <f t="shared" si="389"/>
        <v>0</v>
      </c>
      <c r="U928" s="107"/>
      <c r="V928" s="175"/>
      <c r="W928" s="10"/>
      <c r="X928" s="10"/>
      <c r="Y928" t="str">
        <f t="shared" si="393"/>
        <v>2494</v>
      </c>
      <c r="AB928" s="10"/>
      <c r="AC928" s="10"/>
      <c r="AD928" s="10"/>
      <c r="AE928" s="10"/>
      <c r="AF928" s="10"/>
      <c r="AG928" s="10"/>
      <c r="AH928" s="10"/>
      <c r="AI928" s="10"/>
    </row>
    <row r="929" spans="1:35">
      <c r="A929" s="10"/>
      <c r="B929" s="10" t="str">
        <f t="shared" si="392"/>
        <v>Below the LineSHOOT</v>
      </c>
      <c r="C929" t="s">
        <v>20</v>
      </c>
      <c r="D929" t="s">
        <v>19</v>
      </c>
      <c r="E929" t="s">
        <v>236</v>
      </c>
      <c r="F929" t="s">
        <v>4318</v>
      </c>
      <c r="G929" t="s">
        <v>1515</v>
      </c>
      <c r="I929" s="10"/>
      <c r="J929" s="107">
        <f>SUMIF(Data!C:C,G929,Data!Q:Q)</f>
        <v>74339.34</v>
      </c>
      <c r="K929" s="107">
        <f>SUMIF(Comprometidos!A:A,'Cost Report'!G929,Comprometidos!E:E)</f>
        <v>0</v>
      </c>
      <c r="L929" s="107">
        <f t="shared" si="384"/>
        <v>74339.34</v>
      </c>
      <c r="M929" s="107">
        <v>0</v>
      </c>
      <c r="N929" s="107">
        <f t="shared" si="386"/>
        <v>74339.34</v>
      </c>
      <c r="O929" s="107">
        <f>VLOOKUP(G929,Budget!$E$3:$G$2474,3,0)</f>
        <v>100000</v>
      </c>
      <c r="P929" s="107">
        <f t="shared" si="387"/>
        <v>25660.660000000003</v>
      </c>
      <c r="Q929" s="107"/>
      <c r="R929" s="10"/>
      <c r="S929" s="107">
        <v>74339.34</v>
      </c>
      <c r="T929" s="107">
        <f t="shared" si="389"/>
        <v>0</v>
      </c>
      <c r="U929" s="107"/>
      <c r="V929" s="175"/>
      <c r="W929" s="10"/>
      <c r="X929" s="10"/>
      <c r="Y929" t="str">
        <f t="shared" si="393"/>
        <v>2494</v>
      </c>
      <c r="AB929" s="10"/>
      <c r="AC929" s="10"/>
      <c r="AD929" s="10"/>
      <c r="AE929" s="10"/>
      <c r="AF929" s="10"/>
      <c r="AG929" s="10"/>
      <c r="AH929" s="10"/>
      <c r="AI929" s="10"/>
    </row>
    <row r="930" spans="1:35">
      <c r="A930" s="10"/>
      <c r="B930" s="10" t="str">
        <f t="shared" si="392"/>
        <v>Below the Line</v>
      </c>
      <c r="C930" t="s">
        <v>20</v>
      </c>
      <c r="D930" t="s">
        <v>19</v>
      </c>
      <c r="E930" t="s">
        <v>214</v>
      </c>
      <c r="F930" t="s">
        <v>4318</v>
      </c>
      <c r="G930" t="s">
        <v>1516</v>
      </c>
      <c r="I930" s="10"/>
      <c r="J930" s="107">
        <f>SUMIF(Data!C:C,G930,Data!Q:Q)</f>
        <v>0</v>
      </c>
      <c r="K930" s="107">
        <f>SUMIF(Comprometidos!A:A,'Cost Report'!G930,Comprometidos!E:E)</f>
        <v>0</v>
      </c>
      <c r="L930" s="107">
        <f t="shared" si="384"/>
        <v>0</v>
      </c>
      <c r="M930" s="107">
        <f t="shared" si="385"/>
        <v>0</v>
      </c>
      <c r="N930" s="107">
        <f t="shared" si="386"/>
        <v>0</v>
      </c>
      <c r="O930" s="107">
        <f>VLOOKUP(G930,Budget!$E$3:$G$2474,3,0)</f>
        <v>0</v>
      </c>
      <c r="P930" s="107">
        <f t="shared" si="387"/>
        <v>0</v>
      </c>
      <c r="Q930" s="107"/>
      <c r="R930" s="10"/>
      <c r="S930" s="107">
        <v>0</v>
      </c>
      <c r="T930" s="107">
        <f t="shared" si="389"/>
        <v>0</v>
      </c>
      <c r="U930" s="107"/>
      <c r="V930" s="175"/>
      <c r="W930" s="10"/>
      <c r="X930" s="10"/>
      <c r="Y930" t="str">
        <f t="shared" si="393"/>
        <v>2494</v>
      </c>
      <c r="AB930" s="10"/>
      <c r="AC930" s="10"/>
      <c r="AD930" s="10"/>
      <c r="AE930" s="10"/>
      <c r="AF930" s="10"/>
      <c r="AG930" s="10"/>
      <c r="AH930" s="10"/>
      <c r="AI930" s="10"/>
    </row>
    <row r="931" spans="1:35">
      <c r="A931" s="10"/>
      <c r="B931" s="10" t="str">
        <f t="shared" si="392"/>
        <v>Below the LineSHOOT</v>
      </c>
      <c r="C931" t="s">
        <v>20</v>
      </c>
      <c r="D931" t="s">
        <v>19</v>
      </c>
      <c r="E931" t="s">
        <v>236</v>
      </c>
      <c r="F931" t="s">
        <v>4318</v>
      </c>
      <c r="G931" t="s">
        <v>1517</v>
      </c>
      <c r="I931" s="10"/>
      <c r="J931" s="107">
        <f>SUMIF(Data!C:C,G931,Data!Q:Q)</f>
        <v>81881.130000000019</v>
      </c>
      <c r="K931" s="107">
        <f>SUMIF(Comprometidos!A:A,'Cost Report'!G931,Comprometidos!E:E)</f>
        <v>0</v>
      </c>
      <c r="L931" s="107">
        <f t="shared" si="384"/>
        <v>81881.130000000019</v>
      </c>
      <c r="M931" s="107">
        <v>0</v>
      </c>
      <c r="N931" s="107">
        <f t="shared" si="386"/>
        <v>81881.130000000019</v>
      </c>
      <c r="O931" s="107">
        <f>VLOOKUP(G931,Budget!$E$3:$G$2474,3,0)</f>
        <v>60000</v>
      </c>
      <c r="P931" s="107">
        <f t="shared" si="387"/>
        <v>-21881.130000000019</v>
      </c>
      <c r="Q931" s="107"/>
      <c r="R931" s="10"/>
      <c r="S931" s="107">
        <v>81050.73000000001</v>
      </c>
      <c r="T931" s="107">
        <f t="shared" si="389"/>
        <v>-830.40000000000873</v>
      </c>
      <c r="U931" s="107"/>
      <c r="V931" s="175"/>
      <c r="W931" s="10"/>
      <c r="X931" s="10"/>
      <c r="Y931" t="str">
        <f t="shared" si="393"/>
        <v>2494</v>
      </c>
      <c r="AB931" s="10"/>
      <c r="AC931" s="10"/>
      <c r="AD931" s="10"/>
      <c r="AE931" s="10"/>
      <c r="AF931" s="10"/>
      <c r="AG931" s="10"/>
      <c r="AH931" s="10"/>
      <c r="AI931" s="10"/>
    </row>
    <row r="932" spans="1:35">
      <c r="A932" s="10"/>
      <c r="B932" s="10" t="str">
        <f t="shared" si="392"/>
        <v>Below the Line</v>
      </c>
      <c r="C932" t="s">
        <v>20</v>
      </c>
      <c r="D932" t="s">
        <v>19</v>
      </c>
      <c r="E932" t="s">
        <v>214</v>
      </c>
      <c r="F932" t="s">
        <v>4318</v>
      </c>
      <c r="G932" t="s">
        <v>1518</v>
      </c>
      <c r="I932" s="10"/>
      <c r="J932" s="107">
        <f>SUMIF(Data!C:C,G932,Data!Q:Q)</f>
        <v>0</v>
      </c>
      <c r="K932" s="107">
        <f>SUMIF(Comprometidos!A:A,'Cost Report'!G932,Comprometidos!E:E)</f>
        <v>0</v>
      </c>
      <c r="L932" s="107">
        <f t="shared" si="384"/>
        <v>0</v>
      </c>
      <c r="M932" s="107">
        <f t="shared" si="385"/>
        <v>0</v>
      </c>
      <c r="N932" s="107">
        <f t="shared" si="386"/>
        <v>0</v>
      </c>
      <c r="O932" s="107">
        <f>VLOOKUP(G932,Budget!$E$3:$G$2474,3,0)</f>
        <v>0</v>
      </c>
      <c r="P932" s="107">
        <f t="shared" si="387"/>
        <v>0</v>
      </c>
      <c r="Q932" s="107"/>
      <c r="R932" s="10"/>
      <c r="S932" s="107">
        <v>0</v>
      </c>
      <c r="T932" s="107">
        <f t="shared" si="389"/>
        <v>0</v>
      </c>
      <c r="U932" s="107"/>
      <c r="V932" s="175"/>
      <c r="W932" s="10"/>
      <c r="X932" s="10"/>
      <c r="Y932" t="str">
        <f t="shared" si="393"/>
        <v>2494</v>
      </c>
      <c r="AB932" s="10"/>
      <c r="AC932" s="10"/>
      <c r="AD932" s="10"/>
      <c r="AE932" s="10"/>
      <c r="AF932" s="10"/>
      <c r="AG932" s="10"/>
      <c r="AH932" s="10"/>
      <c r="AI932" s="10"/>
    </row>
    <row r="933" spans="1:35">
      <c r="A933" s="10"/>
      <c r="B933" s="10" t="str">
        <f t="shared" si="392"/>
        <v>Below the LineSHOOT</v>
      </c>
      <c r="C933" t="s">
        <v>20</v>
      </c>
      <c r="D933" t="s">
        <v>19</v>
      </c>
      <c r="E933" t="s">
        <v>236</v>
      </c>
      <c r="F933" t="s">
        <v>4318</v>
      </c>
      <c r="G933" t="s">
        <v>1519</v>
      </c>
      <c r="I933" s="10"/>
      <c r="J933" s="107">
        <f>SUMIF(Data!C:C,G933,Data!Q:Q)</f>
        <v>74499.520000000004</v>
      </c>
      <c r="K933" s="107">
        <f>SUMIF(Comprometidos!A:A,'Cost Report'!G933,Comprometidos!E:E)</f>
        <v>0</v>
      </c>
      <c r="L933" s="107">
        <f t="shared" si="384"/>
        <v>74499.520000000004</v>
      </c>
      <c r="M933" s="107">
        <v>0</v>
      </c>
      <c r="N933" s="107">
        <f t="shared" si="386"/>
        <v>74499.520000000004</v>
      </c>
      <c r="O933" s="107">
        <f>VLOOKUP(G933,Budget!$E$3:$G$2474,3,0)</f>
        <v>90000</v>
      </c>
      <c r="P933" s="107">
        <f t="shared" si="387"/>
        <v>15500.479999999996</v>
      </c>
      <c r="Q933" s="107"/>
      <c r="R933" s="10"/>
      <c r="S933" s="107">
        <v>74439.520000000004</v>
      </c>
      <c r="T933" s="107">
        <f t="shared" si="389"/>
        <v>-60</v>
      </c>
      <c r="U933" s="107"/>
      <c r="V933" s="175"/>
      <c r="W933" s="10"/>
      <c r="X933" s="10"/>
      <c r="Y933" t="str">
        <f t="shared" si="393"/>
        <v>2494</v>
      </c>
      <c r="AB933" s="10"/>
      <c r="AC933" s="10"/>
      <c r="AD933" s="10"/>
      <c r="AE933" s="10"/>
      <c r="AF933" s="10"/>
      <c r="AG933" s="10"/>
      <c r="AH933" s="10"/>
      <c r="AI933" s="10"/>
    </row>
    <row r="934" spans="1:35">
      <c r="A934" s="10"/>
      <c r="B934" s="10" t="str">
        <f t="shared" si="392"/>
        <v>Below the Line</v>
      </c>
      <c r="C934" t="s">
        <v>20</v>
      </c>
      <c r="D934" t="s">
        <v>19</v>
      </c>
      <c r="E934" t="s">
        <v>214</v>
      </c>
      <c r="F934" t="s">
        <v>4318</v>
      </c>
      <c r="G934" t="s">
        <v>1731</v>
      </c>
      <c r="I934" s="10"/>
      <c r="J934" s="107">
        <f>SUMIF(Data!C:C,G934,Data!Q:Q)</f>
        <v>0</v>
      </c>
      <c r="K934" s="107">
        <f>SUMIF(Comprometidos!A:A,'Cost Report'!G934,Comprometidos!E:E)</f>
        <v>0</v>
      </c>
      <c r="L934" s="107">
        <f t="shared" si="384"/>
        <v>0</v>
      </c>
      <c r="M934" s="107">
        <f t="shared" si="385"/>
        <v>0</v>
      </c>
      <c r="N934" s="107">
        <f t="shared" si="386"/>
        <v>0</v>
      </c>
      <c r="O934" s="107">
        <f>VLOOKUP(G934,Budget!$E$3:$G$2474,3,0)</f>
        <v>0</v>
      </c>
      <c r="P934" s="107">
        <f t="shared" si="387"/>
        <v>0</v>
      </c>
      <c r="Q934" s="107"/>
      <c r="R934" s="10"/>
      <c r="S934" s="107">
        <v>0</v>
      </c>
      <c r="T934" s="107">
        <f t="shared" si="389"/>
        <v>0</v>
      </c>
      <c r="U934" s="107"/>
      <c r="V934" s="175"/>
      <c r="W934" s="10"/>
      <c r="X934" s="10"/>
      <c r="Y934" t="str">
        <f t="shared" si="393"/>
        <v>2494</v>
      </c>
      <c r="AB934" s="10"/>
      <c r="AC934" s="10"/>
      <c r="AD934" s="10"/>
      <c r="AE934" s="10"/>
      <c r="AF934" s="10"/>
      <c r="AG934" s="10"/>
      <c r="AH934" s="10"/>
      <c r="AI934" s="10"/>
    </row>
    <row r="935" spans="1:35">
      <c r="A935" s="10"/>
      <c r="B935" s="10" t="str">
        <f t="shared" si="392"/>
        <v>Below the LineSHOOT</v>
      </c>
      <c r="C935" t="s">
        <v>20</v>
      </c>
      <c r="D935" t="s">
        <v>19</v>
      </c>
      <c r="E935" t="s">
        <v>236</v>
      </c>
      <c r="F935" t="s">
        <v>4318</v>
      </c>
      <c r="G935" t="s">
        <v>1732</v>
      </c>
      <c r="I935" s="10"/>
      <c r="J935" s="107">
        <f>SUMIF(Data!C:C,G935,Data!Q:Q)</f>
        <v>215168.86999999997</v>
      </c>
      <c r="K935" s="107">
        <f>SUMIF(Comprometidos!A:A,'Cost Report'!G935,Comprometidos!E:E)</f>
        <v>0</v>
      </c>
      <c r="L935" s="107">
        <f t="shared" si="384"/>
        <v>215168.86999999997</v>
      </c>
      <c r="M935" s="107">
        <v>0</v>
      </c>
      <c r="N935" s="107">
        <f t="shared" si="386"/>
        <v>215168.86999999997</v>
      </c>
      <c r="O935" s="107">
        <f>VLOOKUP(G935,Budget!$E$3:$G$2474,3,0)</f>
        <v>87000</v>
      </c>
      <c r="P935" s="107">
        <f t="shared" si="387"/>
        <v>-128168.86999999997</v>
      </c>
      <c r="Q935" s="107"/>
      <c r="R935" s="10"/>
      <c r="S935" s="107">
        <v>213639.77</v>
      </c>
      <c r="T935" s="107">
        <f t="shared" si="389"/>
        <v>-1529.0999999999767</v>
      </c>
      <c r="U935" s="107"/>
      <c r="V935" s="175"/>
      <c r="W935" s="10"/>
      <c r="X935" s="10"/>
      <c r="Y935" t="str">
        <f t="shared" si="393"/>
        <v>2494</v>
      </c>
      <c r="AB935" s="10"/>
      <c r="AC935" s="10"/>
      <c r="AD935" s="10"/>
      <c r="AE935" s="10"/>
      <c r="AF935" s="10"/>
      <c r="AG935" s="10"/>
      <c r="AH935" s="10"/>
      <c r="AI935" s="10"/>
    </row>
    <row r="936" spans="1:35">
      <c r="A936" s="10"/>
      <c r="B936" s="10" t="str">
        <f t="shared" si="392"/>
        <v>Below the Line</v>
      </c>
      <c r="C936" t="s">
        <v>20</v>
      </c>
      <c r="D936" t="s">
        <v>19</v>
      </c>
      <c r="E936" t="s">
        <v>214</v>
      </c>
      <c r="F936" t="s">
        <v>4318</v>
      </c>
      <c r="G936" t="s">
        <v>1733</v>
      </c>
      <c r="I936" s="10"/>
      <c r="J936" s="107">
        <f>SUMIF(Data!C:C,G936,Data!Q:Q)</f>
        <v>0</v>
      </c>
      <c r="K936" s="107">
        <f>SUMIF(Comprometidos!A:A,'Cost Report'!G936,Comprometidos!E:E)</f>
        <v>0</v>
      </c>
      <c r="L936" s="107">
        <f t="shared" si="384"/>
        <v>0</v>
      </c>
      <c r="M936" s="107">
        <f t="shared" si="385"/>
        <v>0</v>
      </c>
      <c r="N936" s="107">
        <f t="shared" si="386"/>
        <v>0</v>
      </c>
      <c r="O936" s="107">
        <f>VLOOKUP(G936,Budget!$E$3:$G$2474,3,0)</f>
        <v>0</v>
      </c>
      <c r="P936" s="107">
        <f t="shared" si="387"/>
        <v>0</v>
      </c>
      <c r="Q936" s="107"/>
      <c r="R936" s="10"/>
      <c r="S936" s="107">
        <v>0</v>
      </c>
      <c r="T936" s="107">
        <f t="shared" si="389"/>
        <v>0</v>
      </c>
      <c r="U936" s="107"/>
      <c r="V936" s="175"/>
      <c r="W936" s="10"/>
      <c r="X936" s="10"/>
      <c r="Y936" t="str">
        <f t="shared" si="393"/>
        <v>2494</v>
      </c>
      <c r="AB936" s="10"/>
      <c r="AC936" s="10"/>
      <c r="AD936" s="10"/>
      <c r="AE936" s="10"/>
      <c r="AF936" s="10"/>
      <c r="AG936" s="10"/>
      <c r="AH936" s="10"/>
      <c r="AI936" s="10"/>
    </row>
    <row r="937" spans="1:35">
      <c r="A937" s="10"/>
      <c r="B937" s="10" t="str">
        <f t="shared" si="392"/>
        <v>Below the LineSHOOT</v>
      </c>
      <c r="C937" t="s">
        <v>20</v>
      </c>
      <c r="D937" t="s">
        <v>19</v>
      </c>
      <c r="E937" t="s">
        <v>236</v>
      </c>
      <c r="F937" t="s">
        <v>4318</v>
      </c>
      <c r="G937" t="s">
        <v>2530</v>
      </c>
      <c r="I937" s="10"/>
      <c r="J937" s="107">
        <f>SUMIF(Data!C:C,G937,Data!Q:Q)</f>
        <v>28775.27</v>
      </c>
      <c r="K937" s="107">
        <f>SUMIF(Comprometidos!A:A,'Cost Report'!G937,Comprometidos!E:E)</f>
        <v>0</v>
      </c>
      <c r="L937" s="107">
        <f t="shared" si="384"/>
        <v>28775.27</v>
      </c>
      <c r="M937" s="107">
        <f>+O937-L937-35000+10000-6224.73</f>
        <v>0</v>
      </c>
      <c r="N937" s="107">
        <f t="shared" si="386"/>
        <v>28775.27</v>
      </c>
      <c r="O937" s="107">
        <f>VLOOKUP(G937,Budget!$E$3:$G$2474,3,0)</f>
        <v>60000</v>
      </c>
      <c r="P937" s="107">
        <f t="shared" si="387"/>
        <v>31224.73</v>
      </c>
      <c r="Q937" s="107"/>
      <c r="R937" s="10"/>
      <c r="S937" s="107">
        <v>28775.27</v>
      </c>
      <c r="T937" s="107">
        <f t="shared" si="389"/>
        <v>0</v>
      </c>
      <c r="U937" s="107"/>
      <c r="V937" s="175"/>
      <c r="W937" s="10"/>
      <c r="X937" s="10"/>
      <c r="Y937" t="str">
        <f t="shared" si="393"/>
        <v>2494</v>
      </c>
      <c r="AB937" s="10"/>
      <c r="AC937" s="10"/>
      <c r="AD937" s="10"/>
      <c r="AE937" s="10"/>
      <c r="AF937" s="10"/>
      <c r="AG937" s="10"/>
      <c r="AH937" s="10"/>
      <c r="AI937" s="10"/>
    </row>
    <row r="938" spans="1:35">
      <c r="A938" s="10"/>
      <c r="B938" s="10" t="str">
        <f t="shared" si="392"/>
        <v>Below the Line</v>
      </c>
      <c r="C938" t="s">
        <v>20</v>
      </c>
      <c r="D938" t="s">
        <v>19</v>
      </c>
      <c r="E938" t="s">
        <v>214</v>
      </c>
      <c r="F938" t="s">
        <v>4318</v>
      </c>
      <c r="G938" t="s">
        <v>2531</v>
      </c>
      <c r="I938" s="10"/>
      <c r="J938" s="107">
        <f>SUMIF(Data!C:C,G938,Data!Q:Q)</f>
        <v>0</v>
      </c>
      <c r="K938" s="107">
        <f>SUMIF(Comprometidos!A:A,'Cost Report'!G938,Comprometidos!E:E)</f>
        <v>0</v>
      </c>
      <c r="L938" s="107">
        <f t="shared" si="384"/>
        <v>0</v>
      </c>
      <c r="M938" s="107">
        <f t="shared" si="385"/>
        <v>0</v>
      </c>
      <c r="N938" s="107">
        <f t="shared" si="386"/>
        <v>0</v>
      </c>
      <c r="O938" s="107">
        <f>VLOOKUP(G938,Budget!$E$3:$G$2474,3,0)</f>
        <v>0</v>
      </c>
      <c r="P938" s="107">
        <f t="shared" si="387"/>
        <v>0</v>
      </c>
      <c r="Q938" s="107"/>
      <c r="R938" s="10"/>
      <c r="S938" s="107">
        <v>0</v>
      </c>
      <c r="T938" s="107">
        <f t="shared" si="389"/>
        <v>0</v>
      </c>
      <c r="U938" s="107"/>
      <c r="V938" s="175"/>
      <c r="W938" s="10"/>
      <c r="X938" s="10"/>
      <c r="Y938" t="str">
        <f t="shared" si="393"/>
        <v>2494</v>
      </c>
      <c r="AB938" s="10"/>
      <c r="AC938" s="10"/>
      <c r="AD938" s="10"/>
      <c r="AE938" s="10"/>
      <c r="AF938" s="10"/>
      <c r="AG938" s="10"/>
      <c r="AH938" s="10"/>
      <c r="AI938" s="10"/>
    </row>
    <row r="939" spans="1:35">
      <c r="A939" s="10"/>
      <c r="B939" s="10" t="str">
        <f t="shared" si="392"/>
        <v>Below the LineSHOOT</v>
      </c>
      <c r="C939" t="s">
        <v>20</v>
      </c>
      <c r="D939" t="s">
        <v>19</v>
      </c>
      <c r="E939" t="s">
        <v>236</v>
      </c>
      <c r="F939" t="s">
        <v>4318</v>
      </c>
      <c r="G939" t="s">
        <v>2532</v>
      </c>
      <c r="I939" s="10"/>
      <c r="J939" s="107">
        <f>SUMIF(Data!C:C,G939,Data!Q:Q)</f>
        <v>221221.21</v>
      </c>
      <c r="K939" s="107">
        <f>SUMIF(Comprometidos!A:A,'Cost Report'!G939,Comprometidos!E:E)</f>
        <v>0</v>
      </c>
      <c r="L939" s="107">
        <f t="shared" si="384"/>
        <v>221221.21</v>
      </c>
      <c r="M939" s="107">
        <v>0</v>
      </c>
      <c r="N939" s="107">
        <f t="shared" si="386"/>
        <v>221221.21</v>
      </c>
      <c r="O939" s="107">
        <f>VLOOKUP(G939,Budget!$E$3:$G$2474,3,0)</f>
        <v>90000</v>
      </c>
      <c r="P939" s="107">
        <f t="shared" si="387"/>
        <v>-131221.21</v>
      </c>
      <c r="Q939" s="107"/>
      <c r="R939" s="10"/>
      <c r="S939" s="107">
        <v>221221.21</v>
      </c>
      <c r="T939" s="107">
        <f t="shared" si="389"/>
        <v>0</v>
      </c>
      <c r="U939" s="107"/>
      <c r="V939" s="175"/>
      <c r="W939" s="10"/>
      <c r="X939" s="10"/>
      <c r="Y939" t="str">
        <f t="shared" si="393"/>
        <v>2494</v>
      </c>
      <c r="AB939" s="10"/>
      <c r="AC939" s="10"/>
      <c r="AD939" s="10"/>
      <c r="AE939" s="10"/>
      <c r="AF939" s="10"/>
      <c r="AG939" s="10"/>
      <c r="AH939" s="10"/>
      <c r="AI939" s="10"/>
    </row>
    <row r="940" spans="1:35">
      <c r="A940" s="10"/>
      <c r="B940" s="10" t="str">
        <f t="shared" si="392"/>
        <v>Below the Line</v>
      </c>
      <c r="C940" t="s">
        <v>20</v>
      </c>
      <c r="D940" t="s">
        <v>19</v>
      </c>
      <c r="E940" t="s">
        <v>214</v>
      </c>
      <c r="F940" t="s">
        <v>4318</v>
      </c>
      <c r="G940" t="s">
        <v>2533</v>
      </c>
      <c r="I940" s="10"/>
      <c r="J940" s="107">
        <f>SUMIF(Data!C:C,G940,Data!Q:Q)</f>
        <v>0</v>
      </c>
      <c r="K940" s="107">
        <f>SUMIF(Comprometidos!A:A,'Cost Report'!G940,Comprometidos!E:E)</f>
        <v>0</v>
      </c>
      <c r="L940" s="107">
        <f t="shared" si="384"/>
        <v>0</v>
      </c>
      <c r="M940" s="107">
        <f t="shared" si="385"/>
        <v>0</v>
      </c>
      <c r="N940" s="107">
        <f t="shared" si="386"/>
        <v>0</v>
      </c>
      <c r="O940" s="107">
        <f>VLOOKUP(G940,Budget!$E$3:$G$2474,3,0)</f>
        <v>0</v>
      </c>
      <c r="P940" s="107">
        <f t="shared" si="387"/>
        <v>0</v>
      </c>
      <c r="Q940" s="107"/>
      <c r="R940" s="10"/>
      <c r="S940" s="107">
        <v>0</v>
      </c>
      <c r="T940" s="107">
        <f t="shared" si="389"/>
        <v>0</v>
      </c>
      <c r="U940" s="107"/>
      <c r="V940" s="175"/>
      <c r="W940" s="10"/>
      <c r="X940" s="10"/>
      <c r="Y940" t="str">
        <f t="shared" si="393"/>
        <v>2494</v>
      </c>
      <c r="AB940" s="10"/>
      <c r="AC940" s="10"/>
      <c r="AD940" s="10"/>
      <c r="AE940" s="10"/>
      <c r="AF940" s="10"/>
      <c r="AG940" s="10"/>
      <c r="AH940" s="10"/>
      <c r="AI940" s="10"/>
    </row>
    <row r="941" spans="1:35">
      <c r="A941" s="10"/>
      <c r="B941" s="10" t="str">
        <f t="shared" si="392"/>
        <v>Below the LineSHOOT</v>
      </c>
      <c r="C941" t="s">
        <v>20</v>
      </c>
      <c r="D941" t="s">
        <v>19</v>
      </c>
      <c r="E941" t="s">
        <v>236</v>
      </c>
      <c r="F941" t="s">
        <v>4318</v>
      </c>
      <c r="G941" t="s">
        <v>2534</v>
      </c>
      <c r="I941" s="10"/>
      <c r="J941" s="107">
        <f>SUMIF(Data!C:C,G941,Data!Q:Q)</f>
        <v>90867.800000000017</v>
      </c>
      <c r="K941" s="107">
        <f>SUMIF(Comprometidos!A:A,'Cost Report'!G941,Comprometidos!E:E)</f>
        <v>0</v>
      </c>
      <c r="L941" s="107">
        <f t="shared" si="384"/>
        <v>90867.800000000017</v>
      </c>
      <c r="M941" s="107">
        <v>0</v>
      </c>
      <c r="N941" s="107">
        <f t="shared" si="386"/>
        <v>90867.800000000017</v>
      </c>
      <c r="O941" s="107">
        <f>VLOOKUP(G941,Budget!$E$3:$G$2474,3,0)</f>
        <v>90000</v>
      </c>
      <c r="P941" s="107">
        <f t="shared" si="387"/>
        <v>-867.80000000001746</v>
      </c>
      <c r="Q941" s="107"/>
      <c r="R941" s="10"/>
      <c r="S941" s="107">
        <v>90856.10000000002</v>
      </c>
      <c r="T941" s="107">
        <f t="shared" si="389"/>
        <v>-11.69999999999709</v>
      </c>
      <c r="U941" s="107"/>
      <c r="V941" s="175"/>
      <c r="W941" s="10"/>
      <c r="X941" s="10"/>
      <c r="Y941" t="str">
        <f t="shared" si="393"/>
        <v>2494</v>
      </c>
      <c r="AB941" s="10"/>
      <c r="AC941" s="10"/>
      <c r="AD941" s="10"/>
      <c r="AE941" s="10"/>
      <c r="AF941" s="10"/>
      <c r="AG941" s="10"/>
      <c r="AH941" s="10"/>
      <c r="AI941" s="10"/>
    </row>
    <row r="942" spans="1:35">
      <c r="A942" s="10"/>
      <c r="B942" s="10" t="str">
        <f t="shared" si="392"/>
        <v>Below the Line</v>
      </c>
      <c r="C942" t="s">
        <v>20</v>
      </c>
      <c r="D942" t="s">
        <v>19</v>
      </c>
      <c r="E942" t="s">
        <v>214</v>
      </c>
      <c r="F942" t="s">
        <v>4318</v>
      </c>
      <c r="G942" t="s">
        <v>2535</v>
      </c>
      <c r="I942" s="10"/>
      <c r="J942" s="107">
        <f>SUMIF(Data!C:C,G942,Data!Q:Q)</f>
        <v>0</v>
      </c>
      <c r="K942" s="107">
        <f>SUMIF(Comprometidos!A:A,'Cost Report'!G942,Comprometidos!E:E)</f>
        <v>0</v>
      </c>
      <c r="L942" s="107">
        <f t="shared" si="384"/>
        <v>0</v>
      </c>
      <c r="M942" s="107">
        <f t="shared" si="385"/>
        <v>0</v>
      </c>
      <c r="N942" s="107">
        <f t="shared" si="386"/>
        <v>0</v>
      </c>
      <c r="O942" s="107">
        <f>VLOOKUP(G942,Budget!$E$3:$G$2474,3,0)</f>
        <v>0</v>
      </c>
      <c r="P942" s="107">
        <f t="shared" si="387"/>
        <v>0</v>
      </c>
      <c r="Q942" s="107"/>
      <c r="R942" s="10"/>
      <c r="S942" s="107">
        <v>0</v>
      </c>
      <c r="T942" s="107">
        <f t="shared" si="389"/>
        <v>0</v>
      </c>
      <c r="U942" s="107"/>
      <c r="V942" s="175"/>
      <c r="W942" s="10"/>
      <c r="X942" s="10"/>
      <c r="Y942" t="str">
        <f t="shared" si="393"/>
        <v>2494</v>
      </c>
      <c r="AB942" s="10"/>
      <c r="AC942" s="10"/>
      <c r="AD942" s="10"/>
      <c r="AE942" s="10"/>
      <c r="AF942" s="10"/>
      <c r="AG942" s="10"/>
      <c r="AH942" s="10"/>
      <c r="AI942" s="10"/>
    </row>
    <row r="943" spans="1:35">
      <c r="A943" s="10"/>
      <c r="B943" s="10" t="str">
        <f t="shared" si="392"/>
        <v>Below the LineSHOOT</v>
      </c>
      <c r="C943" t="s">
        <v>20</v>
      </c>
      <c r="D943" t="s">
        <v>19</v>
      </c>
      <c r="E943" t="s">
        <v>236</v>
      </c>
      <c r="F943" t="s">
        <v>4318</v>
      </c>
      <c r="G943" t="s">
        <v>2536</v>
      </c>
      <c r="I943" s="10"/>
      <c r="J943" s="107">
        <f>SUMIF(Data!C:C,G943,Data!Q:Q)</f>
        <v>41196</v>
      </c>
      <c r="K943" s="107">
        <f>SUMIF(Comprometidos!A:A,'Cost Report'!G943,Comprometidos!E:E)</f>
        <v>0</v>
      </c>
      <c r="L943" s="107">
        <f t="shared" si="384"/>
        <v>41196</v>
      </c>
      <c r="M943" s="107">
        <v>0</v>
      </c>
      <c r="N943" s="107">
        <f t="shared" si="386"/>
        <v>41196</v>
      </c>
      <c r="O943" s="107">
        <f>VLOOKUP(G943,Budget!$E$3:$G$2474,3,0)</f>
        <v>30000</v>
      </c>
      <c r="P943" s="107">
        <f t="shared" si="387"/>
        <v>-11196</v>
      </c>
      <c r="Q943" s="107"/>
      <c r="R943" s="10"/>
      <c r="S943" s="107">
        <v>41196</v>
      </c>
      <c r="T943" s="107">
        <f t="shared" si="389"/>
        <v>0</v>
      </c>
      <c r="U943" s="107"/>
      <c r="V943" s="175"/>
      <c r="W943" s="10"/>
      <c r="X943" s="10"/>
      <c r="Y943" t="str">
        <f t="shared" si="393"/>
        <v>2494</v>
      </c>
      <c r="AB943" s="10"/>
      <c r="AC943" s="10"/>
      <c r="AD943" s="10"/>
      <c r="AE943" s="10"/>
      <c r="AF943" s="10"/>
      <c r="AG943" s="10"/>
      <c r="AH943" s="10"/>
      <c r="AI943" s="10"/>
    </row>
    <row r="944" spans="1:35">
      <c r="A944" s="10"/>
      <c r="B944" s="10" t="str">
        <f t="shared" si="392"/>
        <v>Below the Line</v>
      </c>
      <c r="C944" t="s">
        <v>20</v>
      </c>
      <c r="D944" t="s">
        <v>19</v>
      </c>
      <c r="E944" t="s">
        <v>214</v>
      </c>
      <c r="F944" t="s">
        <v>4318</v>
      </c>
      <c r="G944" t="s">
        <v>2537</v>
      </c>
      <c r="I944" s="10"/>
      <c r="J944" s="107">
        <f>SUMIF(Data!C:C,G944,Data!Q:Q)</f>
        <v>0</v>
      </c>
      <c r="K944" s="107">
        <f>SUMIF(Comprometidos!A:A,'Cost Report'!G944,Comprometidos!E:E)</f>
        <v>0</v>
      </c>
      <c r="L944" s="107">
        <f t="shared" si="384"/>
        <v>0</v>
      </c>
      <c r="M944" s="107">
        <f t="shared" si="385"/>
        <v>0</v>
      </c>
      <c r="N944" s="107">
        <f t="shared" si="386"/>
        <v>0</v>
      </c>
      <c r="O944" s="107">
        <f>VLOOKUP(G944,Budget!$E$3:$G$2474,3,0)</f>
        <v>0</v>
      </c>
      <c r="P944" s="107">
        <f t="shared" si="387"/>
        <v>0</v>
      </c>
      <c r="Q944" s="107"/>
      <c r="R944" s="10"/>
      <c r="S944" s="107">
        <v>0</v>
      </c>
      <c r="T944" s="107">
        <f t="shared" si="389"/>
        <v>0</v>
      </c>
      <c r="U944" s="107"/>
      <c r="V944" s="175"/>
      <c r="W944" s="10"/>
      <c r="X944" s="10"/>
      <c r="Y944" t="str">
        <f t="shared" si="393"/>
        <v>2494</v>
      </c>
      <c r="AB944" s="10"/>
      <c r="AC944" s="10"/>
      <c r="AD944" s="10"/>
      <c r="AE944" s="10"/>
      <c r="AF944" s="10"/>
      <c r="AG944" s="10"/>
      <c r="AH944" s="10"/>
      <c r="AI944" s="10"/>
    </row>
    <row r="945" spans="1:35">
      <c r="A945" s="10"/>
      <c r="B945" s="10" t="str">
        <f t="shared" si="392"/>
        <v>Below the LineSHOOT</v>
      </c>
      <c r="C945" t="s">
        <v>20</v>
      </c>
      <c r="D945" t="s">
        <v>19</v>
      </c>
      <c r="E945" t="s">
        <v>236</v>
      </c>
      <c r="F945" t="s">
        <v>4318</v>
      </c>
      <c r="G945" t="s">
        <v>2538</v>
      </c>
      <c r="I945" s="10"/>
      <c r="J945" s="107">
        <f>SUMIF(Data!C:C,G945,Data!Q:Q)</f>
        <v>23178.39</v>
      </c>
      <c r="K945" s="107">
        <f>SUMIF(Comprometidos!A:A,'Cost Report'!G945,Comprometidos!E:E)</f>
        <v>0</v>
      </c>
      <c r="L945" s="107">
        <f t="shared" si="384"/>
        <v>23178.39</v>
      </c>
      <c r="M945" s="107">
        <v>0</v>
      </c>
      <c r="N945" s="107">
        <f t="shared" si="386"/>
        <v>23178.39</v>
      </c>
      <c r="O945" s="107">
        <f>VLOOKUP(G945,Budget!$E$3:$G$2474,3,0)</f>
        <v>65000</v>
      </c>
      <c r="P945" s="107">
        <f t="shared" si="387"/>
        <v>41821.61</v>
      </c>
      <c r="Q945" s="107"/>
      <c r="R945" s="10"/>
      <c r="S945" s="107">
        <v>23178.39</v>
      </c>
      <c r="T945" s="107">
        <f t="shared" si="389"/>
        <v>0</v>
      </c>
      <c r="U945" s="107"/>
      <c r="V945" s="175"/>
      <c r="W945" s="10"/>
      <c r="X945" s="10"/>
      <c r="Y945" t="str">
        <f t="shared" si="393"/>
        <v>2494</v>
      </c>
      <c r="AB945" s="10"/>
      <c r="AC945" s="10"/>
      <c r="AD945" s="10"/>
      <c r="AE945" s="10"/>
      <c r="AF945" s="10"/>
      <c r="AG945" s="10"/>
      <c r="AH945" s="10"/>
      <c r="AI945" s="10"/>
    </row>
    <row r="946" spans="1:35">
      <c r="A946" s="10"/>
      <c r="B946" s="10" t="str">
        <f t="shared" si="392"/>
        <v>Below the Line</v>
      </c>
      <c r="C946" t="s">
        <v>20</v>
      </c>
      <c r="D946" t="s">
        <v>19</v>
      </c>
      <c r="E946" t="s">
        <v>214</v>
      </c>
      <c r="F946" t="s">
        <v>4318</v>
      </c>
      <c r="G946" t="s">
        <v>2539</v>
      </c>
      <c r="I946" s="10"/>
      <c r="J946" s="107">
        <f>SUMIF(Data!C:C,G946,Data!Q:Q)</f>
        <v>0</v>
      </c>
      <c r="K946" s="107">
        <f>SUMIF(Comprometidos!A:A,'Cost Report'!G946,Comprometidos!E:E)</f>
        <v>0</v>
      </c>
      <c r="L946" s="107">
        <f t="shared" si="384"/>
        <v>0</v>
      </c>
      <c r="M946" s="107">
        <f t="shared" si="385"/>
        <v>0</v>
      </c>
      <c r="N946" s="107">
        <f t="shared" si="386"/>
        <v>0</v>
      </c>
      <c r="O946" s="107">
        <f>VLOOKUP(G946,Budget!$E$3:$G$2474,3,0)</f>
        <v>0</v>
      </c>
      <c r="P946" s="107">
        <f t="shared" si="387"/>
        <v>0</v>
      </c>
      <c r="Q946" s="107"/>
      <c r="R946" s="10"/>
      <c r="S946" s="107">
        <v>0</v>
      </c>
      <c r="T946" s="107">
        <f t="shared" si="389"/>
        <v>0</v>
      </c>
      <c r="U946" s="107"/>
      <c r="V946" s="175"/>
      <c r="W946" s="10"/>
      <c r="X946" s="10"/>
      <c r="Y946" t="str">
        <f t="shared" si="393"/>
        <v>2494</v>
      </c>
      <c r="AB946" s="10"/>
      <c r="AC946" s="10"/>
      <c r="AD946" s="10"/>
      <c r="AE946" s="10"/>
      <c r="AF946" s="10"/>
      <c r="AG946" s="10"/>
      <c r="AH946" s="10"/>
      <c r="AI946" s="10"/>
    </row>
    <row r="947" spans="1:35">
      <c r="A947" s="10"/>
      <c r="B947" s="10" t="str">
        <f t="shared" si="392"/>
        <v>Below the LineSHOOT</v>
      </c>
      <c r="C947" t="s">
        <v>20</v>
      </c>
      <c r="D947" t="s">
        <v>19</v>
      </c>
      <c r="E947" t="s">
        <v>236</v>
      </c>
      <c r="F947" t="s">
        <v>4318</v>
      </c>
      <c r="G947" t="s">
        <v>2540</v>
      </c>
      <c r="I947" s="10"/>
      <c r="J947" s="107">
        <f>SUMIF(Data!C:C,G947,Data!Q:Q)</f>
        <v>123249.12</v>
      </c>
      <c r="K947" s="107">
        <f>SUMIF(Comprometidos!A:A,'Cost Report'!G947,Comprometidos!E:E)</f>
        <v>0</v>
      </c>
      <c r="L947" s="107">
        <f t="shared" si="384"/>
        <v>123249.12</v>
      </c>
      <c r="M947" s="107">
        <v>0</v>
      </c>
      <c r="N947" s="107">
        <f t="shared" si="386"/>
        <v>123249.12</v>
      </c>
      <c r="O947" s="107">
        <f>VLOOKUP(G947,Budget!$E$3:$G$2474,3,0)</f>
        <v>100000</v>
      </c>
      <c r="P947" s="107">
        <f t="shared" si="387"/>
        <v>-23249.119999999995</v>
      </c>
      <c r="Q947" s="107"/>
      <c r="R947" s="10"/>
      <c r="S947" s="107">
        <v>123249.12</v>
      </c>
      <c r="T947" s="107">
        <f t="shared" si="389"/>
        <v>0</v>
      </c>
      <c r="U947" s="107"/>
      <c r="V947" s="175"/>
      <c r="W947" s="10"/>
      <c r="X947" s="10"/>
      <c r="Y947" t="str">
        <f t="shared" si="393"/>
        <v>2494</v>
      </c>
      <c r="AB947" s="10"/>
      <c r="AC947" s="10"/>
      <c r="AD947" s="10"/>
      <c r="AE947" s="10"/>
      <c r="AF947" s="10"/>
      <c r="AG947" s="10"/>
      <c r="AH947" s="10"/>
      <c r="AI947" s="10"/>
    </row>
    <row r="948" spans="1:35">
      <c r="A948" s="10"/>
      <c r="B948" s="10" t="str">
        <f t="shared" si="392"/>
        <v>Below the Line</v>
      </c>
      <c r="C948" t="s">
        <v>20</v>
      </c>
      <c r="D948" t="s">
        <v>19</v>
      </c>
      <c r="E948" t="s">
        <v>214</v>
      </c>
      <c r="F948" t="s">
        <v>4318</v>
      </c>
      <c r="G948" t="s">
        <v>2541</v>
      </c>
      <c r="I948" s="10"/>
      <c r="J948" s="107">
        <f>SUMIF(Data!C:C,G948,Data!Q:Q)</f>
        <v>0</v>
      </c>
      <c r="K948" s="107">
        <f>SUMIF(Comprometidos!A:A,'Cost Report'!G948,Comprometidos!E:E)</f>
        <v>0</v>
      </c>
      <c r="L948" s="107">
        <f t="shared" si="384"/>
        <v>0</v>
      </c>
      <c r="M948" s="107">
        <f t="shared" si="385"/>
        <v>0</v>
      </c>
      <c r="N948" s="107">
        <f t="shared" si="386"/>
        <v>0</v>
      </c>
      <c r="O948" s="107">
        <f>VLOOKUP(G948,Budget!$E$3:$G$2474,3,0)</f>
        <v>0</v>
      </c>
      <c r="P948" s="107">
        <f t="shared" si="387"/>
        <v>0</v>
      </c>
      <c r="Q948" s="107"/>
      <c r="R948" s="10"/>
      <c r="S948" s="107">
        <v>0</v>
      </c>
      <c r="T948" s="107">
        <f t="shared" si="389"/>
        <v>0</v>
      </c>
      <c r="U948" s="107"/>
      <c r="V948" s="175"/>
      <c r="W948" s="10"/>
      <c r="X948" s="10"/>
      <c r="Y948" t="str">
        <f t="shared" si="393"/>
        <v>2494</v>
      </c>
      <c r="AB948" s="10"/>
      <c r="AC948" s="10"/>
      <c r="AD948" s="10"/>
      <c r="AE948" s="10"/>
      <c r="AF948" s="10"/>
      <c r="AG948" s="10"/>
      <c r="AH948" s="10"/>
      <c r="AI948" s="10"/>
    </row>
    <row r="949" spans="1:35">
      <c r="A949" s="10"/>
      <c r="B949" s="10" t="str">
        <f t="shared" si="392"/>
        <v>Below the LineSHOOT</v>
      </c>
      <c r="C949" t="s">
        <v>20</v>
      </c>
      <c r="D949" t="s">
        <v>19</v>
      </c>
      <c r="E949" t="s">
        <v>236</v>
      </c>
      <c r="F949" t="s">
        <v>4318</v>
      </c>
      <c r="G949" t="s">
        <v>2542</v>
      </c>
      <c r="I949" s="10"/>
      <c r="J949" s="107">
        <f>SUMIF(Data!C:C,G949,Data!Q:Q)</f>
        <v>24882.959999999999</v>
      </c>
      <c r="K949" s="107">
        <f>SUMIF(Comprometidos!A:A,'Cost Report'!G949,Comprometidos!E:E)</f>
        <v>0</v>
      </c>
      <c r="L949" s="107">
        <f t="shared" si="384"/>
        <v>24882.959999999999</v>
      </c>
      <c r="M949" s="107"/>
      <c r="N949" s="107">
        <f t="shared" si="386"/>
        <v>24882.959999999999</v>
      </c>
      <c r="O949" s="107">
        <f>VLOOKUP(G949,Budget!$E$3:$G$2474,3,0)</f>
        <v>50000</v>
      </c>
      <c r="P949" s="107">
        <f t="shared" si="387"/>
        <v>25117.040000000001</v>
      </c>
      <c r="Q949" s="107"/>
      <c r="R949" s="10"/>
      <c r="S949" s="107">
        <v>24838.11</v>
      </c>
      <c r="T949" s="107">
        <f t="shared" si="389"/>
        <v>-44.849999999998545</v>
      </c>
      <c r="U949" s="107"/>
      <c r="V949" s="175"/>
      <c r="W949" s="10"/>
      <c r="X949" s="10"/>
      <c r="Y949" t="str">
        <f t="shared" si="393"/>
        <v>2494</v>
      </c>
      <c r="AB949" s="10"/>
      <c r="AC949" s="10"/>
      <c r="AD949" s="10"/>
      <c r="AE949" s="10"/>
      <c r="AF949" s="10"/>
      <c r="AG949" s="10"/>
      <c r="AH949" s="10"/>
      <c r="AI949" s="10"/>
    </row>
    <row r="950" spans="1:35">
      <c r="A950" s="10"/>
      <c r="B950" s="10" t="str">
        <f t="shared" si="392"/>
        <v>Below the Line</v>
      </c>
      <c r="C950" t="s">
        <v>20</v>
      </c>
      <c r="D950" t="s">
        <v>19</v>
      </c>
      <c r="E950" t="s">
        <v>214</v>
      </c>
      <c r="F950" t="s">
        <v>4318</v>
      </c>
      <c r="G950" t="s">
        <v>2543</v>
      </c>
      <c r="I950" s="10"/>
      <c r="J950" s="107">
        <f>SUMIF(Data!C:C,G950,Data!Q:Q)</f>
        <v>0</v>
      </c>
      <c r="K950" s="107">
        <f>SUMIF(Comprometidos!A:A,'Cost Report'!G950,Comprometidos!E:E)</f>
        <v>0</v>
      </c>
      <c r="L950" s="107">
        <f t="shared" si="384"/>
        <v>0</v>
      </c>
      <c r="M950" s="107">
        <f t="shared" si="385"/>
        <v>0</v>
      </c>
      <c r="N950" s="107">
        <f t="shared" si="386"/>
        <v>0</v>
      </c>
      <c r="O950" s="107">
        <f>VLOOKUP(G950,Budget!$E$3:$G$2474,3,0)</f>
        <v>0</v>
      </c>
      <c r="P950" s="107">
        <f t="shared" si="387"/>
        <v>0</v>
      </c>
      <c r="Q950" s="107"/>
      <c r="R950" s="10"/>
      <c r="S950" s="107">
        <v>0</v>
      </c>
      <c r="T950" s="107">
        <f t="shared" si="389"/>
        <v>0</v>
      </c>
      <c r="U950" s="107"/>
      <c r="V950" s="175"/>
      <c r="W950" s="10"/>
      <c r="X950" s="10"/>
      <c r="Y950" t="str">
        <f t="shared" si="393"/>
        <v>2494</v>
      </c>
      <c r="AB950" s="10"/>
      <c r="AC950" s="10"/>
      <c r="AD950" s="10"/>
      <c r="AE950" s="10"/>
      <c r="AF950" s="10"/>
      <c r="AG950" s="10"/>
      <c r="AH950" s="10"/>
      <c r="AI950" s="10"/>
    </row>
    <row r="951" spans="1:35">
      <c r="A951" s="10"/>
      <c r="B951" s="10" t="str">
        <f t="shared" si="392"/>
        <v>Below the LineSHOOT</v>
      </c>
      <c r="C951" t="s">
        <v>20</v>
      </c>
      <c r="D951" t="s">
        <v>19</v>
      </c>
      <c r="E951" t="s">
        <v>236</v>
      </c>
      <c r="F951" t="s">
        <v>4318</v>
      </c>
      <c r="G951" t="s">
        <v>2544</v>
      </c>
      <c r="I951" s="10"/>
      <c r="J951" s="107">
        <f>SUMIF(Data!C:C,G951,Data!Q:Q)</f>
        <v>413459.91000000003</v>
      </c>
      <c r="K951" s="107">
        <f>SUMIF(Comprometidos!A:A,'Cost Report'!G951,Comprometidos!E:E)</f>
        <v>0</v>
      </c>
      <c r="L951" s="107">
        <f t="shared" si="384"/>
        <v>413459.91000000003</v>
      </c>
      <c r="M951" s="107">
        <v>0</v>
      </c>
      <c r="N951" s="107">
        <f t="shared" si="386"/>
        <v>413459.91000000003</v>
      </c>
      <c r="O951" s="107">
        <f>VLOOKUP(G951,Budget!$E$3:$G$2474,3,0)</f>
        <v>400000</v>
      </c>
      <c r="P951" s="107">
        <f t="shared" si="387"/>
        <v>-13459.910000000033</v>
      </c>
      <c r="Q951" s="107"/>
      <c r="R951" s="10"/>
      <c r="S951" s="107">
        <v>413459.91000000003</v>
      </c>
      <c r="T951" s="107">
        <f t="shared" si="389"/>
        <v>0</v>
      </c>
      <c r="U951" s="107"/>
      <c r="V951" s="175"/>
      <c r="W951" s="10"/>
      <c r="X951" s="10"/>
      <c r="Y951" t="str">
        <f t="shared" si="393"/>
        <v>2494</v>
      </c>
      <c r="AB951" s="10"/>
      <c r="AC951" s="10"/>
      <c r="AD951" s="10"/>
      <c r="AE951" s="10"/>
      <c r="AF951" s="10"/>
      <c r="AG951" s="10"/>
      <c r="AH951" s="10"/>
      <c r="AI951" s="10"/>
    </row>
    <row r="952" spans="1:35">
      <c r="A952" s="10"/>
      <c r="B952" s="10" t="str">
        <f t="shared" si="392"/>
        <v>Below the Line</v>
      </c>
      <c r="C952" t="s">
        <v>20</v>
      </c>
      <c r="D952" t="s">
        <v>19</v>
      </c>
      <c r="E952" t="s">
        <v>214</v>
      </c>
      <c r="F952" t="s">
        <v>4318</v>
      </c>
      <c r="G952" t="s">
        <v>2545</v>
      </c>
      <c r="I952" s="10"/>
      <c r="J952" s="107">
        <f>SUMIF(Data!C:C,G952,Data!Q:Q)</f>
        <v>0</v>
      </c>
      <c r="K952" s="107">
        <f>SUMIF(Comprometidos!A:A,'Cost Report'!G952,Comprometidos!E:E)</f>
        <v>0</v>
      </c>
      <c r="L952" s="107">
        <f t="shared" si="384"/>
        <v>0</v>
      </c>
      <c r="M952" s="107">
        <f t="shared" si="385"/>
        <v>0</v>
      </c>
      <c r="N952" s="107">
        <f t="shared" si="386"/>
        <v>0</v>
      </c>
      <c r="O952" s="107">
        <f>VLOOKUP(G952,Budget!$E$3:$G$2474,3,0)</f>
        <v>0</v>
      </c>
      <c r="P952" s="107">
        <f t="shared" si="387"/>
        <v>0</v>
      </c>
      <c r="Q952" s="107"/>
      <c r="R952" s="10"/>
      <c r="S952" s="107">
        <v>0</v>
      </c>
      <c r="T952" s="107">
        <f t="shared" si="389"/>
        <v>0</v>
      </c>
      <c r="U952" s="107"/>
      <c r="V952" s="175"/>
      <c r="W952" s="10"/>
      <c r="X952" s="10"/>
      <c r="Y952" t="str">
        <f t="shared" si="393"/>
        <v>2494</v>
      </c>
      <c r="AB952" s="10"/>
      <c r="AC952" s="10"/>
      <c r="AD952" s="10"/>
      <c r="AE952" s="10"/>
      <c r="AF952" s="10"/>
      <c r="AG952" s="10"/>
      <c r="AH952" s="10"/>
      <c r="AI952" s="10"/>
    </row>
    <row r="953" spans="1:35">
      <c r="A953" s="10"/>
      <c r="B953" s="10" t="str">
        <f t="shared" si="392"/>
        <v>Below the LineSHOOT</v>
      </c>
      <c r="C953" t="s">
        <v>20</v>
      </c>
      <c r="D953" t="s">
        <v>19</v>
      </c>
      <c r="E953" t="s">
        <v>236</v>
      </c>
      <c r="F953" t="s">
        <v>4318</v>
      </c>
      <c r="G953" t="s">
        <v>2546</v>
      </c>
      <c r="I953" s="10"/>
      <c r="J953" s="107">
        <f>SUMIF(Data!C:C,G953,Data!Q:Q)</f>
        <v>217013.28000000003</v>
      </c>
      <c r="K953" s="107">
        <f>SUMIF(Comprometidos!A:A,'Cost Report'!G953,Comprometidos!E:E)</f>
        <v>0</v>
      </c>
      <c r="L953" s="107">
        <f t="shared" si="384"/>
        <v>217013.28000000003</v>
      </c>
      <c r="M953" s="107">
        <v>0</v>
      </c>
      <c r="N953" s="107">
        <f t="shared" si="386"/>
        <v>217013.28000000003</v>
      </c>
      <c r="O953" s="107">
        <f>VLOOKUP(G953,Budget!$E$3:$G$2474,3,0)</f>
        <v>214000</v>
      </c>
      <c r="P953" s="107">
        <f t="shared" si="387"/>
        <v>-3013.2800000000279</v>
      </c>
      <c r="Q953" s="107"/>
      <c r="R953" s="10"/>
      <c r="S953" s="107">
        <v>216816.18000000002</v>
      </c>
      <c r="T953" s="107">
        <f t="shared" si="389"/>
        <v>-197.10000000000582</v>
      </c>
      <c r="U953" s="107"/>
      <c r="V953" s="175"/>
      <c r="W953" s="10"/>
      <c r="X953" s="10"/>
      <c r="Y953" t="str">
        <f t="shared" si="393"/>
        <v>2494</v>
      </c>
      <c r="AB953" s="10"/>
      <c r="AC953" s="10"/>
      <c r="AD953" s="10"/>
      <c r="AE953" s="10"/>
      <c r="AF953" s="10"/>
      <c r="AG953" s="10"/>
      <c r="AH953" s="10"/>
      <c r="AI953" s="10"/>
    </row>
    <row r="954" spans="1:35">
      <c r="A954" s="10"/>
      <c r="B954" s="10" t="str">
        <f t="shared" si="392"/>
        <v>Below the Line</v>
      </c>
      <c r="C954" t="s">
        <v>20</v>
      </c>
      <c r="D954" t="s">
        <v>19</v>
      </c>
      <c r="E954" t="s">
        <v>214</v>
      </c>
      <c r="G954" t="s">
        <v>2547</v>
      </c>
      <c r="I954" s="10"/>
      <c r="J954" s="107">
        <f>SUMIF(Data!C:C,G954,Data!Q:Q)</f>
        <v>0</v>
      </c>
      <c r="K954" s="107">
        <f>SUMIF(Comprometidos!A:A,'Cost Report'!G954,Comprometidos!E:E)</f>
        <v>0</v>
      </c>
      <c r="L954" s="107">
        <f t="shared" si="384"/>
        <v>0</v>
      </c>
      <c r="M954" s="107">
        <f t="shared" si="385"/>
        <v>0</v>
      </c>
      <c r="N954" s="107">
        <f t="shared" si="386"/>
        <v>0</v>
      </c>
      <c r="O954" s="107">
        <f>VLOOKUP(G954,Budget!$E$3:$G$2474,3,0)</f>
        <v>0</v>
      </c>
      <c r="P954" s="107">
        <f t="shared" si="387"/>
        <v>0</v>
      </c>
      <c r="Q954" s="107"/>
      <c r="R954" s="10"/>
      <c r="S954" s="107">
        <v>0</v>
      </c>
      <c r="T954" s="107">
        <f t="shared" si="389"/>
        <v>0</v>
      </c>
      <c r="U954" s="107"/>
      <c r="V954" s="175"/>
      <c r="W954" s="10"/>
      <c r="X954" s="10"/>
      <c r="Y954" t="str">
        <f t="shared" si="393"/>
        <v>2494</v>
      </c>
      <c r="AB954" s="10"/>
      <c r="AC954" s="10"/>
      <c r="AD954" s="10"/>
      <c r="AE954" s="10"/>
      <c r="AF954" s="10"/>
      <c r="AG954" s="10"/>
      <c r="AH954" s="10"/>
      <c r="AI954" s="10"/>
    </row>
    <row r="955" spans="1:35">
      <c r="A955" s="10"/>
      <c r="B955" s="10" t="str">
        <f t="shared" si="392"/>
        <v>Below the LineALL SHOW</v>
      </c>
      <c r="C955" t="s">
        <v>20</v>
      </c>
      <c r="D955" t="s">
        <v>19</v>
      </c>
      <c r="E955" t="s">
        <v>227</v>
      </c>
      <c r="G955" t="s">
        <v>2548</v>
      </c>
      <c r="I955" s="10"/>
      <c r="J955" s="107">
        <f>SUMIF(Data!C:C,G955,Data!Q:Q)</f>
        <v>107630</v>
      </c>
      <c r="K955" s="107">
        <f>SUMIF(Comprometidos!A:A,'Cost Report'!G955,Comprometidos!E:E)</f>
        <v>0</v>
      </c>
      <c r="L955" s="107">
        <f t="shared" si="384"/>
        <v>107630</v>
      </c>
      <c r="M955" s="107">
        <f t="shared" si="385"/>
        <v>0</v>
      </c>
      <c r="N955" s="107">
        <f t="shared" si="386"/>
        <v>107630</v>
      </c>
      <c r="O955" s="107">
        <f>VLOOKUP(G955,Budget!$E$3:$G$2474,3,0)</f>
        <v>107630</v>
      </c>
      <c r="P955" s="107">
        <f t="shared" si="387"/>
        <v>0</v>
      </c>
      <c r="Q955" s="107"/>
      <c r="R955" s="10"/>
      <c r="S955" s="107">
        <v>107630</v>
      </c>
      <c r="T955" s="107">
        <f t="shared" si="389"/>
        <v>0</v>
      </c>
      <c r="U955" s="107"/>
      <c r="V955" s="175"/>
      <c r="W955" s="10"/>
      <c r="X955" s="10"/>
      <c r="Y955" t="str">
        <f t="shared" si="393"/>
        <v>2494</v>
      </c>
      <c r="AB955" s="10"/>
      <c r="AC955" s="10"/>
      <c r="AD955" s="10"/>
      <c r="AE955" s="10"/>
      <c r="AF955" s="10"/>
      <c r="AG955" s="10"/>
      <c r="AH955" s="10"/>
      <c r="AI955" s="10"/>
    </row>
    <row r="956" spans="1:35">
      <c r="A956" s="10"/>
      <c r="B956" s="10" t="str">
        <f>+C956</f>
        <v>Below the Line</v>
      </c>
      <c r="C956" s="128" t="s">
        <v>20</v>
      </c>
      <c r="D956" s="128" t="s">
        <v>2117</v>
      </c>
      <c r="E956" s="128"/>
      <c r="F956" s="128"/>
      <c r="G956" s="128" t="s">
        <v>613</v>
      </c>
      <c r="H956" s="128"/>
      <c r="I956" s="10"/>
      <c r="J956" s="129">
        <f>SUMIF($Y$11:$Y$2484,G956,J$11:J$2484)</f>
        <v>274470.2</v>
      </c>
      <c r="K956" s="129">
        <f>SUMIF($Y$11:$Y$2484,G956,K$11:K$2484)</f>
        <v>0</v>
      </c>
      <c r="L956" s="129">
        <f>SUMIF($Y$11:$Y$2484,G956,L$11:L$2484)</f>
        <v>274470.2</v>
      </c>
      <c r="M956" s="129">
        <f>SUMIF($Y$11:$Y$2484,G956,M$11:M$2484)</f>
        <v>0</v>
      </c>
      <c r="N956" s="129">
        <f>SUMIF($Y$11:$Y$2484,G956,N$11:N$2484)</f>
        <v>274470.2</v>
      </c>
      <c r="O956" s="129">
        <f>SUMIF($Y$11:$Y$2484,G956,O$11:O$2484)</f>
        <v>366100</v>
      </c>
      <c r="P956" s="129">
        <f>SUMIF($Y$11:$Y$2484,G956,P$11:P$2484)</f>
        <v>91629.799999999988</v>
      </c>
      <c r="Q956" s="129"/>
      <c r="R956" s="10"/>
      <c r="S956" s="129">
        <v>274144.82</v>
      </c>
      <c r="T956" s="129">
        <f t="shared" si="389"/>
        <v>-325.38000000000466</v>
      </c>
      <c r="U956" s="128"/>
      <c r="V956" s="175"/>
      <c r="W956" s="10"/>
      <c r="X956" s="10"/>
      <c r="Z956" t="str">
        <f>LEFT(G956,2)</f>
        <v>24</v>
      </c>
      <c r="AA956" t="str">
        <f>+Z956&amp;"00"</f>
        <v>2400</v>
      </c>
      <c r="AB956" s="10"/>
      <c r="AC956" s="10"/>
      <c r="AD956" s="10"/>
      <c r="AE956" s="10"/>
      <c r="AF956" s="10"/>
      <c r="AG956" s="10"/>
      <c r="AH956" s="10"/>
      <c r="AI956" s="10"/>
    </row>
    <row r="957" spans="1:35">
      <c r="A957" s="10"/>
      <c r="B957" s="10" t="str">
        <f t="shared" ref="B957:B968" si="394">+C957&amp;E957</f>
        <v>Below the Line</v>
      </c>
      <c r="C957" t="s">
        <v>20</v>
      </c>
      <c r="D957" t="s">
        <v>19</v>
      </c>
      <c r="E957" t="s">
        <v>214</v>
      </c>
      <c r="G957" t="s">
        <v>614</v>
      </c>
      <c r="I957" s="10"/>
      <c r="J957" s="107">
        <f>SUMIF(Data!C:C,G957,Data!Q:Q)</f>
        <v>0</v>
      </c>
      <c r="K957" s="107">
        <f>SUMIF(Comprometidos!A:A,'Cost Report'!G957,Comprometidos!E:E)</f>
        <v>0</v>
      </c>
      <c r="L957" s="107">
        <f t="shared" ref="L957:L968" si="395">+J957+K957</f>
        <v>0</v>
      </c>
      <c r="M957" s="107">
        <f t="shared" ref="M957:M967" si="396">+O957-L957</f>
        <v>0</v>
      </c>
      <c r="N957" s="107">
        <f t="shared" ref="N957:N968" si="397">+L957+M957</f>
        <v>0</v>
      </c>
      <c r="O957" s="107">
        <f>VLOOKUP(G957,Budget!$E$3:$G$2474,3,0)</f>
        <v>0</v>
      </c>
      <c r="P957" s="107">
        <f t="shared" ref="P957:P968" si="398">+O957-N957</f>
        <v>0</v>
      </c>
      <c r="Q957" s="107"/>
      <c r="R957" s="10"/>
      <c r="S957" s="107">
        <v>0</v>
      </c>
      <c r="T957" s="107">
        <f t="shared" si="389"/>
        <v>0</v>
      </c>
      <c r="U957" s="107"/>
      <c r="V957" s="175"/>
      <c r="W957" s="10"/>
      <c r="X957" s="10"/>
      <c r="Y957" t="str">
        <f t="shared" ref="Y957:Y968" si="399">LEFT(G957,4)</f>
        <v>2495</v>
      </c>
      <c r="AB957" s="10"/>
      <c r="AC957" s="10"/>
      <c r="AD957" s="10"/>
      <c r="AE957" s="10"/>
      <c r="AF957" s="10"/>
      <c r="AG957" s="10"/>
      <c r="AH957" s="10"/>
      <c r="AI957" s="10"/>
    </row>
    <row r="958" spans="1:35">
      <c r="A958" s="10"/>
      <c r="B958" s="10" t="str">
        <f t="shared" si="394"/>
        <v>Below the LineALL SHOW</v>
      </c>
      <c r="C958" t="s">
        <v>20</v>
      </c>
      <c r="D958" t="s">
        <v>19</v>
      </c>
      <c r="E958" t="s">
        <v>227</v>
      </c>
      <c r="G958" t="s">
        <v>615</v>
      </c>
      <c r="I958" s="10"/>
      <c r="J958" s="107">
        <f>SUMIF(Data!C:C,G958,Data!Q:Q)</f>
        <v>142099.33000000002</v>
      </c>
      <c r="K958" s="107">
        <f>SUMIF(Comprometidos!A:A,'Cost Report'!G958,Comprometidos!E:E)</f>
        <v>0</v>
      </c>
      <c r="L958" s="107">
        <f t="shared" si="395"/>
        <v>142099.33000000002</v>
      </c>
      <c r="M958" s="107">
        <v>0</v>
      </c>
      <c r="N958" s="107">
        <f t="shared" si="397"/>
        <v>142099.33000000002</v>
      </c>
      <c r="O958" s="107">
        <f>VLOOKUP(G958,Budget!$E$3:$G$2474,3,0)</f>
        <v>225000</v>
      </c>
      <c r="P958" s="107">
        <f t="shared" si="398"/>
        <v>82900.669999999984</v>
      </c>
      <c r="Q958" s="107"/>
      <c r="R958" s="10"/>
      <c r="S958" s="107">
        <v>141773.95000000001</v>
      </c>
      <c r="T958" s="107">
        <f t="shared" si="389"/>
        <v>-325.38000000000466</v>
      </c>
      <c r="U958" s="107"/>
      <c r="V958" s="175"/>
      <c r="W958" s="10"/>
      <c r="X958" s="10"/>
      <c r="Y958" t="str">
        <f t="shared" si="399"/>
        <v>2495</v>
      </c>
      <c r="AB958" s="10"/>
      <c r="AC958" s="10"/>
      <c r="AD958" s="10"/>
      <c r="AE958" s="10"/>
      <c r="AF958" s="10"/>
      <c r="AG958" s="10"/>
      <c r="AH958" s="10"/>
      <c r="AI958" s="10"/>
    </row>
    <row r="959" spans="1:35">
      <c r="A959" s="10"/>
      <c r="B959" s="10" t="str">
        <f t="shared" si="394"/>
        <v>Below the Line</v>
      </c>
      <c r="C959" t="s">
        <v>20</v>
      </c>
      <c r="D959" t="s">
        <v>19</v>
      </c>
      <c r="E959" t="s">
        <v>214</v>
      </c>
      <c r="G959" t="s">
        <v>616</v>
      </c>
      <c r="I959" s="10"/>
      <c r="J959" s="107">
        <f>SUMIF(Data!C:C,G959,Data!Q:Q)</f>
        <v>0</v>
      </c>
      <c r="K959" s="107">
        <f>SUMIF(Comprometidos!A:A,'Cost Report'!G959,Comprometidos!E:E)</f>
        <v>0</v>
      </c>
      <c r="L959" s="107">
        <f t="shared" si="395"/>
        <v>0</v>
      </c>
      <c r="M959" s="107">
        <f t="shared" si="396"/>
        <v>0</v>
      </c>
      <c r="N959" s="107">
        <f t="shared" si="397"/>
        <v>0</v>
      </c>
      <c r="O959" s="107">
        <f>VLOOKUP(G959,Budget!$E$3:$G$2474,3,0)</f>
        <v>0</v>
      </c>
      <c r="P959" s="107">
        <f t="shared" si="398"/>
        <v>0</v>
      </c>
      <c r="Q959" s="107"/>
      <c r="R959" s="10"/>
      <c r="S959" s="107">
        <v>0</v>
      </c>
      <c r="T959" s="107">
        <f t="shared" si="389"/>
        <v>0</v>
      </c>
      <c r="U959" s="107"/>
      <c r="V959" s="175"/>
      <c r="W959" s="10"/>
      <c r="X959" s="10"/>
      <c r="Y959" t="str">
        <f t="shared" si="399"/>
        <v>2495</v>
      </c>
      <c r="AB959" s="10"/>
      <c r="AC959" s="10"/>
      <c r="AD959" s="10"/>
      <c r="AE959" s="10"/>
      <c r="AF959" s="10"/>
      <c r="AG959" s="10"/>
      <c r="AH959" s="10"/>
      <c r="AI959" s="10"/>
    </row>
    <row r="960" spans="1:35">
      <c r="A960" s="10"/>
      <c r="B960" s="10" t="str">
        <f t="shared" si="394"/>
        <v>Below the LinePREP</v>
      </c>
      <c r="C960" t="s">
        <v>20</v>
      </c>
      <c r="D960" t="s">
        <v>19</v>
      </c>
      <c r="E960" t="s">
        <v>234</v>
      </c>
      <c r="G960" t="s">
        <v>617</v>
      </c>
      <c r="I960" s="10"/>
      <c r="J960" s="107">
        <f>SUMIF(Data!C:C,G960,Data!Q:Q)</f>
        <v>0</v>
      </c>
      <c r="K960" s="107">
        <f>SUMIF(Comprometidos!A:A,'Cost Report'!G960,Comprometidos!E:E)</f>
        <v>0</v>
      </c>
      <c r="L960" s="107">
        <f t="shared" si="395"/>
        <v>0</v>
      </c>
      <c r="M960" s="107">
        <v>0</v>
      </c>
      <c r="N960" s="107">
        <f t="shared" si="397"/>
        <v>0</v>
      </c>
      <c r="O960" s="107">
        <f>VLOOKUP(G960,Budget!$E$3:$G$2474,3,0)</f>
        <v>30000</v>
      </c>
      <c r="P960" s="107">
        <f t="shared" si="398"/>
        <v>30000</v>
      </c>
      <c r="Q960" s="107"/>
      <c r="R960" s="10"/>
      <c r="S960" s="107">
        <v>0</v>
      </c>
      <c r="T960" s="107">
        <f t="shared" si="389"/>
        <v>0</v>
      </c>
      <c r="U960" s="107"/>
      <c r="V960" s="175"/>
      <c r="W960" s="10"/>
      <c r="X960" s="10"/>
      <c r="Y960" t="str">
        <f t="shared" si="399"/>
        <v>2495</v>
      </c>
      <c r="AB960" s="10"/>
      <c r="AC960" s="10"/>
      <c r="AD960" s="10"/>
      <c r="AE960" s="10"/>
      <c r="AF960" s="10"/>
      <c r="AG960" s="10"/>
      <c r="AH960" s="10"/>
      <c r="AI960" s="10"/>
    </row>
    <row r="961" spans="1:35">
      <c r="A961" s="10"/>
      <c r="B961" s="10" t="str">
        <f t="shared" si="394"/>
        <v>Below the Line</v>
      </c>
      <c r="C961" t="s">
        <v>20</v>
      </c>
      <c r="D961" t="s">
        <v>19</v>
      </c>
      <c r="E961" t="s">
        <v>214</v>
      </c>
      <c r="G961" t="s">
        <v>618</v>
      </c>
      <c r="I961" s="10"/>
      <c r="J961" s="107">
        <f>SUMIF(Data!C:C,G961,Data!Q:Q)</f>
        <v>0</v>
      </c>
      <c r="K961" s="107">
        <f>SUMIF(Comprometidos!A:A,'Cost Report'!G961,Comprometidos!E:E)</f>
        <v>0</v>
      </c>
      <c r="L961" s="107">
        <f t="shared" si="395"/>
        <v>0</v>
      </c>
      <c r="M961" s="107">
        <f t="shared" si="396"/>
        <v>0</v>
      </c>
      <c r="N961" s="107">
        <f t="shared" si="397"/>
        <v>0</v>
      </c>
      <c r="O961" s="107">
        <f>VLOOKUP(G961,Budget!$E$3:$G$2474,3,0)</f>
        <v>0</v>
      </c>
      <c r="P961" s="107">
        <f t="shared" si="398"/>
        <v>0</v>
      </c>
      <c r="Q961" s="107"/>
      <c r="R961" s="10"/>
      <c r="S961" s="107">
        <v>0</v>
      </c>
      <c r="T961" s="107">
        <f t="shared" si="389"/>
        <v>0</v>
      </c>
      <c r="U961" s="107"/>
      <c r="V961" s="175"/>
      <c r="W961" s="10"/>
      <c r="X961" s="10"/>
      <c r="Y961" t="str">
        <f t="shared" si="399"/>
        <v>2495</v>
      </c>
      <c r="AB961" s="10"/>
      <c r="AC961" s="10"/>
      <c r="AD961" s="10"/>
      <c r="AE961" s="10"/>
      <c r="AF961" s="10"/>
      <c r="AG961" s="10"/>
      <c r="AH961" s="10"/>
      <c r="AI961" s="10"/>
    </row>
    <row r="962" spans="1:35">
      <c r="A962" s="10"/>
      <c r="B962" s="10" t="str">
        <f t="shared" si="394"/>
        <v>Below the LinePREP</v>
      </c>
      <c r="C962" t="s">
        <v>20</v>
      </c>
      <c r="D962" t="s">
        <v>19</v>
      </c>
      <c r="E962" t="s">
        <v>234</v>
      </c>
      <c r="G962" t="s">
        <v>2549</v>
      </c>
      <c r="I962" s="10"/>
      <c r="J962" s="107">
        <f>SUMIF(Data!C:C,G962,Data!Q:Q)</f>
        <v>18900</v>
      </c>
      <c r="K962" s="107">
        <f>SUMIF(Comprometidos!A:A,'Cost Report'!G962,Comprometidos!E:E)</f>
        <v>0</v>
      </c>
      <c r="L962" s="107">
        <f t="shared" si="395"/>
        <v>18900</v>
      </c>
      <c r="M962" s="107">
        <f t="shared" si="396"/>
        <v>0</v>
      </c>
      <c r="N962" s="107">
        <f t="shared" si="397"/>
        <v>18900</v>
      </c>
      <c r="O962" s="107">
        <f>VLOOKUP(G962,Budget!$E$3:$G$2474,3,0)</f>
        <v>18900</v>
      </c>
      <c r="P962" s="107">
        <f t="shared" si="398"/>
        <v>0</v>
      </c>
      <c r="Q962" s="107"/>
      <c r="R962" s="10"/>
      <c r="S962" s="107">
        <v>18900</v>
      </c>
      <c r="T962" s="107">
        <f t="shared" si="389"/>
        <v>0</v>
      </c>
      <c r="U962" s="107"/>
      <c r="V962" s="175"/>
      <c r="W962" s="10"/>
      <c r="X962" s="10"/>
      <c r="Y962" t="str">
        <f t="shared" si="399"/>
        <v>2495</v>
      </c>
      <c r="AB962" s="10"/>
      <c r="AC962" s="10"/>
      <c r="AD962" s="10"/>
      <c r="AE962" s="10"/>
      <c r="AF962" s="10"/>
      <c r="AG962" s="10"/>
      <c r="AH962" s="10"/>
      <c r="AI962" s="10"/>
    </row>
    <row r="963" spans="1:35">
      <c r="A963" s="10"/>
      <c r="B963" s="10" t="str">
        <f t="shared" si="394"/>
        <v>Below the LineSHOOT</v>
      </c>
      <c r="C963" t="s">
        <v>20</v>
      </c>
      <c r="D963" t="s">
        <v>19</v>
      </c>
      <c r="E963" t="s">
        <v>236</v>
      </c>
      <c r="G963" t="s">
        <v>2550</v>
      </c>
      <c r="I963" s="10"/>
      <c r="J963" s="107">
        <f>SUMIF(Data!C:C,G963,Data!Q:Q)</f>
        <v>44100</v>
      </c>
      <c r="K963" s="107">
        <f>SUMIF(Comprometidos!A:A,'Cost Report'!G963,Comprometidos!E:E)</f>
        <v>0</v>
      </c>
      <c r="L963" s="107">
        <f t="shared" si="395"/>
        <v>44100</v>
      </c>
      <c r="M963" s="107">
        <f t="shared" si="396"/>
        <v>0</v>
      </c>
      <c r="N963" s="107">
        <f t="shared" si="397"/>
        <v>44100</v>
      </c>
      <c r="O963" s="107">
        <f>VLOOKUP(G963,Budget!$E$3:$G$2474,3,0)</f>
        <v>44100</v>
      </c>
      <c r="P963" s="107">
        <f t="shared" si="398"/>
        <v>0</v>
      </c>
      <c r="Q963" s="107"/>
      <c r="R963" s="10"/>
      <c r="S963" s="107">
        <v>44100</v>
      </c>
      <c r="T963" s="107">
        <f t="shared" si="389"/>
        <v>0</v>
      </c>
      <c r="U963" s="107"/>
      <c r="V963" s="175"/>
      <c r="W963" s="10"/>
      <c r="X963" s="10"/>
      <c r="Y963" t="str">
        <f t="shared" si="399"/>
        <v>2495</v>
      </c>
      <c r="AB963" s="10"/>
      <c r="AC963" s="10"/>
      <c r="AD963" s="10"/>
      <c r="AE963" s="10"/>
      <c r="AF963" s="10"/>
      <c r="AG963" s="10"/>
      <c r="AH963" s="10"/>
      <c r="AI963" s="10"/>
    </row>
    <row r="964" spans="1:35">
      <c r="A964" s="10"/>
      <c r="B964" s="10" t="str">
        <f t="shared" si="394"/>
        <v>Below the LineWRAP</v>
      </c>
      <c r="C964" t="s">
        <v>20</v>
      </c>
      <c r="D964" t="s">
        <v>19</v>
      </c>
      <c r="E964" t="s">
        <v>238</v>
      </c>
      <c r="G964" t="s">
        <v>2551</v>
      </c>
      <c r="I964" s="10"/>
      <c r="J964" s="107">
        <f>SUMIF(Data!C:C,G964,Data!Q:Q)</f>
        <v>21420</v>
      </c>
      <c r="K964" s="107">
        <f>SUMIF(Comprometidos!A:A,'Cost Report'!G964,Comprometidos!E:E)</f>
        <v>0</v>
      </c>
      <c r="L964" s="107">
        <f t="shared" si="395"/>
        <v>21420</v>
      </c>
      <c r="M964" s="107">
        <v>0</v>
      </c>
      <c r="N964" s="107">
        <f t="shared" si="397"/>
        <v>21420</v>
      </c>
      <c r="O964" s="107">
        <f>VLOOKUP(G964,Budget!$E$3:$G$2474,3,0)</f>
        <v>12600</v>
      </c>
      <c r="P964" s="107">
        <f t="shared" si="398"/>
        <v>-8820</v>
      </c>
      <c r="Q964" s="107"/>
      <c r="R964" s="10"/>
      <c r="S964" s="107">
        <v>21420</v>
      </c>
      <c r="T964" s="107">
        <f t="shared" si="389"/>
        <v>0</v>
      </c>
      <c r="U964" s="107"/>
      <c r="V964" s="175"/>
      <c r="W964" s="10"/>
      <c r="X964" s="10"/>
      <c r="Y964" t="str">
        <f t="shared" si="399"/>
        <v>2495</v>
      </c>
      <c r="AB964" s="10"/>
      <c r="AC964" s="10"/>
      <c r="AD964" s="10"/>
      <c r="AE964" s="10"/>
      <c r="AF964" s="10"/>
      <c r="AG964" s="10"/>
      <c r="AH964" s="10"/>
      <c r="AI964" s="10"/>
    </row>
    <row r="965" spans="1:35">
      <c r="A965" s="10"/>
      <c r="B965" s="10" t="str">
        <f t="shared" si="394"/>
        <v>Below the Line</v>
      </c>
      <c r="C965" t="s">
        <v>20</v>
      </c>
      <c r="D965" t="s">
        <v>19</v>
      </c>
      <c r="E965" t="s">
        <v>214</v>
      </c>
      <c r="G965" t="s">
        <v>2552</v>
      </c>
      <c r="I965" s="10"/>
      <c r="J965" s="107">
        <f>SUMIF(Data!C:C,G965,Data!Q:Q)</f>
        <v>0</v>
      </c>
      <c r="K965" s="107">
        <f>SUMIF(Comprometidos!A:A,'Cost Report'!G965,Comprometidos!E:E)</f>
        <v>0</v>
      </c>
      <c r="L965" s="107">
        <f t="shared" si="395"/>
        <v>0</v>
      </c>
      <c r="M965" s="107">
        <f t="shared" si="396"/>
        <v>0</v>
      </c>
      <c r="N965" s="107">
        <f t="shared" si="397"/>
        <v>0</v>
      </c>
      <c r="O965" s="107">
        <f>VLOOKUP(G965,Budget!$E$3:$G$2474,3,0)</f>
        <v>0</v>
      </c>
      <c r="P965" s="107">
        <f t="shared" si="398"/>
        <v>0</v>
      </c>
      <c r="Q965" s="107"/>
      <c r="R965" s="10"/>
      <c r="S965" s="107">
        <v>0</v>
      </c>
      <c r="T965" s="107">
        <f t="shared" si="389"/>
        <v>0</v>
      </c>
      <c r="U965" s="107"/>
      <c r="V965" s="175"/>
      <c r="W965" s="10"/>
      <c r="X965" s="10"/>
      <c r="Y965" t="str">
        <f t="shared" si="399"/>
        <v>2495</v>
      </c>
      <c r="AB965" s="10"/>
      <c r="AC965" s="10"/>
      <c r="AD965" s="10"/>
      <c r="AE965" s="10"/>
      <c r="AF965" s="10"/>
      <c r="AG965" s="10"/>
      <c r="AH965" s="10"/>
      <c r="AI965" s="10"/>
    </row>
    <row r="966" spans="1:35">
      <c r="A966" s="10"/>
      <c r="B966" s="10" t="str">
        <f t="shared" si="394"/>
        <v>Below the LineALL SHOW</v>
      </c>
      <c r="C966" t="s">
        <v>20</v>
      </c>
      <c r="D966" t="s">
        <v>19</v>
      </c>
      <c r="E966" t="s">
        <v>227</v>
      </c>
      <c r="G966" t="s">
        <v>2553</v>
      </c>
      <c r="I966" s="10"/>
      <c r="J966" s="107">
        <f>SUMIF(Data!C:C,G966,Data!Q:Q)</f>
        <v>25000</v>
      </c>
      <c r="K966" s="107">
        <f>SUMIF(Comprometidos!A:A,'Cost Report'!G966,Comprometidos!E:E)</f>
        <v>0</v>
      </c>
      <c r="L966" s="107">
        <f t="shared" si="395"/>
        <v>25000</v>
      </c>
      <c r="M966" s="107">
        <v>0</v>
      </c>
      <c r="N966" s="107">
        <f t="shared" si="397"/>
        <v>25000</v>
      </c>
      <c r="O966" s="107">
        <f>VLOOKUP(G966,Budget!$E$3:$G$2474,3,0)</f>
        <v>30000</v>
      </c>
      <c r="P966" s="107">
        <f t="shared" si="398"/>
        <v>5000</v>
      </c>
      <c r="Q966" s="107"/>
      <c r="R966" s="10"/>
      <c r="S966" s="107">
        <v>25000</v>
      </c>
      <c r="T966" s="107">
        <f t="shared" si="389"/>
        <v>0</v>
      </c>
      <c r="U966" s="107"/>
      <c r="V966" s="175"/>
      <c r="W966" s="10"/>
      <c r="X966" s="10"/>
      <c r="Y966" t="str">
        <f t="shared" si="399"/>
        <v>2495</v>
      </c>
      <c r="AB966" s="10"/>
      <c r="AC966" s="10"/>
      <c r="AD966" s="10"/>
      <c r="AE966" s="10"/>
      <c r="AF966" s="10"/>
      <c r="AG966" s="10"/>
      <c r="AH966" s="10"/>
      <c r="AI966" s="10"/>
    </row>
    <row r="967" spans="1:35">
      <c r="A967" s="10"/>
      <c r="B967" s="10" t="str">
        <f t="shared" si="394"/>
        <v>Below the Line</v>
      </c>
      <c r="C967" t="s">
        <v>20</v>
      </c>
      <c r="D967" t="s">
        <v>19</v>
      </c>
      <c r="E967" t="s">
        <v>214</v>
      </c>
      <c r="G967" t="s">
        <v>2554</v>
      </c>
      <c r="I967" s="10"/>
      <c r="J967" s="107">
        <f>SUMIF(Data!C:C,G967,Data!Q:Q)</f>
        <v>0</v>
      </c>
      <c r="K967" s="107">
        <f>SUMIF(Comprometidos!A:A,'Cost Report'!G967,Comprometidos!E:E)</f>
        <v>0</v>
      </c>
      <c r="L967" s="107">
        <f t="shared" si="395"/>
        <v>0</v>
      </c>
      <c r="M967" s="107">
        <f t="shared" si="396"/>
        <v>0</v>
      </c>
      <c r="N967" s="107">
        <f t="shared" si="397"/>
        <v>0</v>
      </c>
      <c r="O967" s="107">
        <f>VLOOKUP(G967,Budget!$E$3:$G$2474,3,0)</f>
        <v>0</v>
      </c>
      <c r="P967" s="107">
        <f t="shared" si="398"/>
        <v>0</v>
      </c>
      <c r="Q967" s="107"/>
      <c r="R967" s="10"/>
      <c r="S967" s="107">
        <v>0</v>
      </c>
      <c r="T967" s="107">
        <f t="shared" si="389"/>
        <v>0</v>
      </c>
      <c r="U967" s="107"/>
      <c r="V967" s="175"/>
      <c r="W967" s="10"/>
      <c r="X967" s="10"/>
      <c r="Y967" t="str">
        <f t="shared" si="399"/>
        <v>2495</v>
      </c>
      <c r="AB967" s="10"/>
      <c r="AC967" s="10"/>
      <c r="AD967" s="10"/>
      <c r="AE967" s="10"/>
      <c r="AF967" s="10"/>
      <c r="AG967" s="10"/>
      <c r="AH967" s="10"/>
      <c r="AI967" s="10"/>
    </row>
    <row r="968" spans="1:35">
      <c r="A968" s="10"/>
      <c r="B968" s="10" t="str">
        <f t="shared" si="394"/>
        <v>Below the LineALL SHOW</v>
      </c>
      <c r="C968" t="s">
        <v>20</v>
      </c>
      <c r="D968" t="s">
        <v>19</v>
      </c>
      <c r="E968" t="s">
        <v>227</v>
      </c>
      <c r="G968" t="s">
        <v>2555</v>
      </c>
      <c r="I968" s="10"/>
      <c r="J968" s="107">
        <f>SUMIF(Data!C:C,G968,Data!Q:Q)</f>
        <v>22950.87</v>
      </c>
      <c r="K968" s="107">
        <f>SUMIF(Comprometidos!A:A,'Cost Report'!G968,Comprometidos!E:E)</f>
        <v>0</v>
      </c>
      <c r="L968" s="107">
        <f t="shared" si="395"/>
        <v>22950.87</v>
      </c>
      <c r="M968" s="107">
        <v>0</v>
      </c>
      <c r="N968" s="107">
        <f t="shared" si="397"/>
        <v>22950.87</v>
      </c>
      <c r="O968" s="107">
        <f>VLOOKUP(G968,Budget!$E$3:$G$2474,3,0)</f>
        <v>5500</v>
      </c>
      <c r="P968" s="107">
        <f t="shared" si="398"/>
        <v>-17450.87</v>
      </c>
      <c r="Q968" s="107"/>
      <c r="R968" s="10"/>
      <c r="S968" s="107">
        <v>22950.87</v>
      </c>
      <c r="T968" s="107">
        <f t="shared" si="389"/>
        <v>0</v>
      </c>
      <c r="U968" s="107"/>
      <c r="V968" s="175"/>
      <c r="W968" s="10"/>
      <c r="X968" s="10"/>
      <c r="Y968" t="str">
        <f t="shared" si="399"/>
        <v>2495</v>
      </c>
      <c r="AB968" s="10"/>
      <c r="AC968" s="10"/>
      <c r="AD968" s="10"/>
      <c r="AE968" s="10"/>
      <c r="AF968" s="10"/>
      <c r="AG968" s="10"/>
      <c r="AH968" s="10"/>
      <c r="AI968" s="10"/>
    </row>
    <row r="969" spans="1:35">
      <c r="A969" s="10"/>
      <c r="B969" s="10" t="str">
        <f>+C969</f>
        <v>Below the Line</v>
      </c>
      <c r="C969" s="128" t="s">
        <v>20</v>
      </c>
      <c r="D969" s="128" t="s">
        <v>2117</v>
      </c>
      <c r="E969" s="128"/>
      <c r="F969" s="128"/>
      <c r="G969" s="128" t="s">
        <v>619</v>
      </c>
      <c r="H969" s="128"/>
      <c r="I969" s="10"/>
      <c r="J969" s="129">
        <f>SUMIF($Y$11:$Y$2484,G969,J$11:J$2484)</f>
        <v>125933.85</v>
      </c>
      <c r="K969" s="129">
        <f>SUMIF($Y$11:$Y$2484,G969,K$11:K$2484)</f>
        <v>0</v>
      </c>
      <c r="L969" s="129">
        <f>SUMIF($Y$11:$Y$2484,G969,L$11:L$2484)</f>
        <v>125933.85</v>
      </c>
      <c r="M969" s="129">
        <f>SUMIF($Y$11:$Y$2484,G969,M$11:M$2484)</f>
        <v>0</v>
      </c>
      <c r="N969" s="129">
        <f>SUMIF($Y$11:$Y$2484,G969,N$11:N$2484)</f>
        <v>125933.85</v>
      </c>
      <c r="O969" s="129">
        <f>SUMIF($Y$11:$Y$2484,G969,O$11:O$2484)</f>
        <v>100000</v>
      </c>
      <c r="P969" s="129">
        <f>SUMIF($Y$11:$Y$2484,G969,P$11:P$2484)</f>
        <v>-25933.850000000006</v>
      </c>
      <c r="Q969" s="129"/>
      <c r="R969" s="10"/>
      <c r="S969" s="129">
        <v>125091.45</v>
      </c>
      <c r="T969" s="129">
        <f t="shared" si="389"/>
        <v>-842.40000000000873</v>
      </c>
      <c r="U969" s="128"/>
      <c r="V969" s="175"/>
      <c r="W969" s="10"/>
      <c r="X969" s="10"/>
      <c r="Z969" t="str">
        <f>LEFT(G969,2)</f>
        <v>24</v>
      </c>
      <c r="AA969" t="str">
        <f>+Z969&amp;"00"</f>
        <v>2400</v>
      </c>
      <c r="AB969" s="10"/>
      <c r="AC969" s="10"/>
      <c r="AD969" s="10"/>
      <c r="AE969" s="10"/>
      <c r="AF969" s="10"/>
      <c r="AG969" s="10"/>
      <c r="AH969" s="10"/>
      <c r="AI969" s="10"/>
    </row>
    <row r="970" spans="1:35">
      <c r="A970" s="10"/>
      <c r="B970" s="10" t="str">
        <f t="shared" ref="B970:B971" si="400">+C970&amp;E970</f>
        <v>Below the Line</v>
      </c>
      <c r="C970" t="s">
        <v>20</v>
      </c>
      <c r="D970" t="s">
        <v>19</v>
      </c>
      <c r="E970" t="s">
        <v>214</v>
      </c>
      <c r="G970" t="s">
        <v>620</v>
      </c>
      <c r="I970" s="10"/>
      <c r="J970" s="107">
        <f>SUMIF(Data!C:C,G970,Data!Q:Q)</f>
        <v>0</v>
      </c>
      <c r="K970" s="107">
        <f>SUMIF(Comprometidos!A:A,'Cost Report'!G970,Comprometidos!E:E)</f>
        <v>0</v>
      </c>
      <c r="L970" s="107">
        <f t="shared" ref="L970:L981" si="401">+J970+K970</f>
        <v>0</v>
      </c>
      <c r="M970" s="107">
        <f t="shared" ref="M970:M981" si="402">+O970-L970</f>
        <v>0</v>
      </c>
      <c r="N970" s="107">
        <f t="shared" ref="N970:N981" si="403">+L970+M970</f>
        <v>0</v>
      </c>
      <c r="O970" s="107">
        <f>VLOOKUP(G970,Budget!$E$3:$G$2474,3,0)</f>
        <v>0</v>
      </c>
      <c r="P970" s="107">
        <f t="shared" ref="P970:P981" si="404">+O970-N970</f>
        <v>0</v>
      </c>
      <c r="Q970" s="107"/>
      <c r="R970" s="10"/>
      <c r="S970" s="107">
        <v>0</v>
      </c>
      <c r="T970" s="107">
        <f t="shared" si="389"/>
        <v>0</v>
      </c>
      <c r="U970" s="107"/>
      <c r="V970" s="175"/>
      <c r="W970" s="10"/>
      <c r="X970" s="10"/>
      <c r="Y970" t="str">
        <f t="shared" ref="Y970:Y971" si="405">LEFT(G970,4)</f>
        <v>2498</v>
      </c>
      <c r="AB970" s="10"/>
      <c r="AC970" s="10"/>
      <c r="AD970" s="10"/>
      <c r="AE970" s="10"/>
      <c r="AF970" s="10"/>
      <c r="AG970" s="10"/>
      <c r="AH970" s="10"/>
      <c r="AI970" s="10"/>
    </row>
    <row r="971" spans="1:35">
      <c r="A971" s="10"/>
      <c r="B971" s="10" t="str">
        <f t="shared" si="400"/>
        <v>Below the LineALL SHOW</v>
      </c>
      <c r="C971" t="s">
        <v>20</v>
      </c>
      <c r="D971" t="s">
        <v>19</v>
      </c>
      <c r="E971" t="s">
        <v>227</v>
      </c>
      <c r="F971" t="s">
        <v>4318</v>
      </c>
      <c r="G971" t="s">
        <v>2556</v>
      </c>
      <c r="I971" s="10"/>
      <c r="J971" s="107">
        <f>SUMIF(Data!C:C,G971,Data!Q:Q)</f>
        <v>125933.85</v>
      </c>
      <c r="K971" s="107">
        <f>SUMIF(Comprometidos!A:A,'Cost Report'!G971,Comprometidos!E:E)</f>
        <v>0</v>
      </c>
      <c r="L971" s="107">
        <f t="shared" si="401"/>
        <v>125933.85</v>
      </c>
      <c r="M971" s="107">
        <v>0</v>
      </c>
      <c r="N971" s="107">
        <f t="shared" si="403"/>
        <v>125933.85</v>
      </c>
      <c r="O971" s="107">
        <f>VLOOKUP(G971,Budget!$E$3:$G$2474,3,0)</f>
        <v>100000</v>
      </c>
      <c r="P971" s="107">
        <f t="shared" si="404"/>
        <v>-25933.850000000006</v>
      </c>
      <c r="Q971" s="107"/>
      <c r="R971" s="10"/>
      <c r="S971" s="107">
        <v>125091.45</v>
      </c>
      <c r="T971" s="107">
        <f t="shared" si="389"/>
        <v>-842.40000000000873</v>
      </c>
      <c r="U971" s="107"/>
      <c r="V971" s="175"/>
      <c r="W971" s="10"/>
      <c r="X971" s="10"/>
      <c r="Y971" t="str">
        <f t="shared" si="405"/>
        <v>2498</v>
      </c>
      <c r="AB971" s="10"/>
      <c r="AC971" s="10"/>
      <c r="AD971" s="10"/>
      <c r="AE971" s="10"/>
      <c r="AF971" s="10"/>
      <c r="AG971" s="10"/>
      <c r="AH971" s="10"/>
      <c r="AI971" s="10"/>
    </row>
    <row r="972" spans="1:35">
      <c r="A972" s="10"/>
      <c r="B972" s="10"/>
      <c r="C972" s="170" t="s">
        <v>20</v>
      </c>
      <c r="D972" s="170" t="s">
        <v>8</v>
      </c>
      <c r="E972" s="170"/>
      <c r="F972" s="170"/>
      <c r="G972" s="170" t="s">
        <v>621</v>
      </c>
      <c r="H972" s="170"/>
      <c r="I972" s="10"/>
      <c r="J972" s="169">
        <f>SUMIF($AA$10:$AA$2484,G972,J$10:J$2484)</f>
        <v>1098245.0209999997</v>
      </c>
      <c r="K972" s="169">
        <f>SUMIF($AA$10:$AA$2484,G972,K$10:K$2484)</f>
        <v>0</v>
      </c>
      <c r="L972" s="169">
        <f>SUMIF($AA$10:$AA$2484,G972,L$10:L$2484)</f>
        <v>1098245.0209999997</v>
      </c>
      <c r="M972" s="169">
        <f>SUMIF($AA$10:$AA$2484,G972,M$10:M$2484)</f>
        <v>0</v>
      </c>
      <c r="N972" s="169">
        <f>SUMIF($AA$10:$AA$2484,G972,N$10:N$2484)</f>
        <v>1098245.0209999997</v>
      </c>
      <c r="O972" s="169">
        <f>SUMIF($AA$10:$AA$2484,G972,O$10:O$2484)</f>
        <v>1009000</v>
      </c>
      <c r="P972" s="168">
        <f>SUMIF($AA$10:$AA$2484,G972,P$10:P$2484)</f>
        <v>-89245.020999999833</v>
      </c>
      <c r="Q972" s="169"/>
      <c r="R972" s="10"/>
      <c r="S972" s="164">
        <v>1095075.9199999997</v>
      </c>
      <c r="T972" s="164">
        <f t="shared" si="389"/>
        <v>-3169.1010000000242</v>
      </c>
      <c r="U972" s="163"/>
      <c r="V972" s="175"/>
      <c r="W972" s="10"/>
      <c r="X972" s="10"/>
      <c r="AB972" s="10"/>
      <c r="AC972" s="10"/>
      <c r="AD972" s="10"/>
      <c r="AE972" s="10"/>
      <c r="AF972" s="10"/>
      <c r="AG972" s="10"/>
      <c r="AH972" s="10"/>
      <c r="AI972" s="10"/>
    </row>
    <row r="973" spans="1:35">
      <c r="A973" s="10"/>
      <c r="B973" s="10" t="str">
        <f>+C973</f>
        <v>Below the Line</v>
      </c>
      <c r="C973" s="128" t="s">
        <v>20</v>
      </c>
      <c r="D973" s="128" t="s">
        <v>2117</v>
      </c>
      <c r="E973" s="128"/>
      <c r="F973" s="128"/>
      <c r="G973" s="128" t="s">
        <v>622</v>
      </c>
      <c r="H973" s="128"/>
      <c r="I973" s="10"/>
      <c r="J973" s="129">
        <f>SUMIF($Y$11:$Y$2484,G973,J$11:J$2484)</f>
        <v>360500</v>
      </c>
      <c r="K973" s="129">
        <f>SUMIF($Y$11:$Y$2484,G973,K$11:K$2484)</f>
        <v>0</v>
      </c>
      <c r="L973" s="129">
        <f>SUMIF($Y$11:$Y$2484,G973,L$11:L$2484)</f>
        <v>360500</v>
      </c>
      <c r="M973" s="129">
        <f>SUMIF($Y$11:$Y$2484,G973,M$11:M$2484)</f>
        <v>0</v>
      </c>
      <c r="N973" s="129">
        <f>SUMIF($Y$11:$Y$2484,G973,N$11:N$2484)</f>
        <v>360500</v>
      </c>
      <c r="O973" s="129">
        <f>SUMIF($Y$11:$Y$2484,G973,O$11:O$2484)</f>
        <v>360500</v>
      </c>
      <c r="P973" s="129">
        <f>SUMIF($Y$11:$Y$2484,G973,P$11:P$2484)</f>
        <v>0</v>
      </c>
      <c r="Q973" s="129"/>
      <c r="R973" s="10"/>
      <c r="S973" s="129">
        <v>360500</v>
      </c>
      <c r="T973" s="129">
        <f t="shared" si="389"/>
        <v>0</v>
      </c>
      <c r="U973" s="128"/>
      <c r="V973" s="175"/>
      <c r="W973" s="10"/>
      <c r="X973" s="10"/>
      <c r="Z973" t="str">
        <f>LEFT(G973,2)</f>
        <v>25</v>
      </c>
      <c r="AA973" t="str">
        <f>+Z973&amp;"00"</f>
        <v>2500</v>
      </c>
      <c r="AB973" s="10"/>
      <c r="AC973" s="10"/>
      <c r="AD973" s="10"/>
      <c r="AE973" s="10"/>
      <c r="AF973" s="10"/>
      <c r="AG973" s="10"/>
      <c r="AH973" s="10"/>
      <c r="AI973" s="10"/>
    </row>
    <row r="974" spans="1:35">
      <c r="A974" s="10"/>
      <c r="B974" s="10" t="str">
        <f t="shared" ref="B974:B981" si="406">+C974&amp;E974</f>
        <v>Below the Line</v>
      </c>
      <c r="C974" t="s">
        <v>20</v>
      </c>
      <c r="D974" t="s">
        <v>19</v>
      </c>
      <c r="E974" t="s">
        <v>214</v>
      </c>
      <c r="F974" t="s">
        <v>5396</v>
      </c>
      <c r="G974" t="s">
        <v>623</v>
      </c>
      <c r="I974" s="10"/>
      <c r="J974" s="107">
        <f>SUMIF(Data!C:C,G974,Data!Q:Q)</f>
        <v>0</v>
      </c>
      <c r="K974" s="107">
        <f>SUMIF(Comprometidos!A:A,'Cost Report'!G974,Comprometidos!E:E)</f>
        <v>0</v>
      </c>
      <c r="L974" s="107">
        <f t="shared" si="401"/>
        <v>0</v>
      </c>
      <c r="M974" s="107">
        <f t="shared" si="402"/>
        <v>0</v>
      </c>
      <c r="N974" s="107">
        <f t="shared" si="403"/>
        <v>0</v>
      </c>
      <c r="O974" s="107">
        <f>VLOOKUP(G974,Budget!$E$3:$G$2474,3,0)</f>
        <v>0</v>
      </c>
      <c r="P974" s="107">
        <f t="shared" si="404"/>
        <v>0</v>
      </c>
      <c r="Q974" s="107"/>
      <c r="R974" s="10"/>
      <c r="S974" s="107">
        <v>0</v>
      </c>
      <c r="T974" s="107">
        <f t="shared" si="389"/>
        <v>0</v>
      </c>
      <c r="U974" s="107"/>
      <c r="V974" s="175"/>
      <c r="W974" s="10"/>
      <c r="X974" s="10"/>
      <c r="Y974" t="str">
        <f t="shared" ref="Y974:Y981" si="407">LEFT(G974,4)</f>
        <v>2501</v>
      </c>
      <c r="AB974" s="10"/>
      <c r="AC974" s="10"/>
      <c r="AD974" s="10"/>
      <c r="AE974" s="10"/>
      <c r="AF974" s="10"/>
      <c r="AG974" s="10"/>
      <c r="AH974" s="10"/>
      <c r="AI974" s="10"/>
    </row>
    <row r="975" spans="1:35">
      <c r="A975" s="10"/>
      <c r="B975" s="10" t="str">
        <f t="shared" si="406"/>
        <v>Below the LinePREP</v>
      </c>
      <c r="C975" t="s">
        <v>20</v>
      </c>
      <c r="D975" t="s">
        <v>19</v>
      </c>
      <c r="E975" t="s">
        <v>234</v>
      </c>
      <c r="F975" t="s">
        <v>5396</v>
      </c>
      <c r="G975" t="s">
        <v>624</v>
      </c>
      <c r="I975" s="10"/>
      <c r="J975" s="107">
        <f>SUMIF(Data!C:C,G975,Data!Q:Q)</f>
        <v>85000</v>
      </c>
      <c r="K975" s="107">
        <f>SUMIF(Comprometidos!A:A,'Cost Report'!G975,Comprometidos!E:E)</f>
        <v>0</v>
      </c>
      <c r="L975" s="107">
        <f t="shared" si="401"/>
        <v>85000</v>
      </c>
      <c r="M975" s="107">
        <f t="shared" si="402"/>
        <v>0</v>
      </c>
      <c r="N975" s="107">
        <f t="shared" si="403"/>
        <v>85000</v>
      </c>
      <c r="O975" s="107">
        <f>VLOOKUP(G975,Budget!$E$3:$G$2474,3,0)</f>
        <v>85000</v>
      </c>
      <c r="P975" s="107">
        <f t="shared" si="404"/>
        <v>0</v>
      </c>
      <c r="Q975" s="107"/>
      <c r="R975" s="10"/>
      <c r="S975" s="107">
        <v>85000</v>
      </c>
      <c r="T975" s="107">
        <f t="shared" ref="T975:T1039" si="408">+S975-N975</f>
        <v>0</v>
      </c>
      <c r="U975" s="107"/>
      <c r="V975" s="175"/>
      <c r="W975" s="10"/>
      <c r="X975" s="10"/>
      <c r="Y975" t="str">
        <f t="shared" si="407"/>
        <v>2501</v>
      </c>
      <c r="AB975" s="10"/>
      <c r="AC975" s="10"/>
      <c r="AD975" s="10"/>
      <c r="AE975" s="10"/>
      <c r="AF975" s="10"/>
      <c r="AG975" s="10"/>
      <c r="AH975" s="10"/>
      <c r="AI975" s="10"/>
    </row>
    <row r="976" spans="1:35">
      <c r="A976" s="10"/>
      <c r="B976" s="10" t="str">
        <f t="shared" si="406"/>
        <v>Below the LineSHOOT</v>
      </c>
      <c r="C976" t="s">
        <v>20</v>
      </c>
      <c r="D976" t="s">
        <v>19</v>
      </c>
      <c r="E976" t="s">
        <v>236</v>
      </c>
      <c r="F976" t="s">
        <v>5396</v>
      </c>
      <c r="G976" t="s">
        <v>625</v>
      </c>
      <c r="I976" s="10"/>
      <c r="J976" s="107">
        <f>SUMIF(Data!C:C,G976,Data!Q:Q)</f>
        <v>119000</v>
      </c>
      <c r="K976" s="107">
        <f>SUMIF(Comprometidos!A:A,'Cost Report'!G976,Comprometidos!E:E)</f>
        <v>0</v>
      </c>
      <c r="L976" s="107">
        <f t="shared" si="401"/>
        <v>119000</v>
      </c>
      <c r="M976" s="107">
        <f t="shared" si="402"/>
        <v>0</v>
      </c>
      <c r="N976" s="107">
        <f t="shared" si="403"/>
        <v>119000</v>
      </c>
      <c r="O976" s="107">
        <f>VLOOKUP(G976,Budget!$E$3:$G$2474,3,0)</f>
        <v>119000</v>
      </c>
      <c r="P976" s="107">
        <f t="shared" si="404"/>
        <v>0</v>
      </c>
      <c r="Q976" s="107"/>
      <c r="R976" s="10"/>
      <c r="S976" s="107">
        <v>119000</v>
      </c>
      <c r="T976" s="107">
        <f t="shared" si="408"/>
        <v>0</v>
      </c>
      <c r="U976" s="107"/>
      <c r="V976" s="175"/>
      <c r="W976" s="10"/>
      <c r="X976" s="10"/>
      <c r="Y976" t="str">
        <f t="shared" si="407"/>
        <v>2501</v>
      </c>
      <c r="AB976" s="10"/>
      <c r="AC976" s="10"/>
      <c r="AD976" s="10"/>
      <c r="AE976" s="10"/>
      <c r="AF976" s="10"/>
      <c r="AG976" s="10"/>
      <c r="AH976" s="10"/>
      <c r="AI976" s="10"/>
    </row>
    <row r="977" spans="1:35">
      <c r="A977" s="10"/>
      <c r="B977" s="10" t="str">
        <f t="shared" si="406"/>
        <v>Below the LineWRAP</v>
      </c>
      <c r="C977" t="s">
        <v>20</v>
      </c>
      <c r="D977" t="s">
        <v>19</v>
      </c>
      <c r="E977" t="s">
        <v>238</v>
      </c>
      <c r="F977" t="s">
        <v>5396</v>
      </c>
      <c r="G977" t="s">
        <v>626</v>
      </c>
      <c r="I977" s="10"/>
      <c r="J977" s="107">
        <f>SUMIF(Data!C:C,G977,Data!Q:Q)</f>
        <v>34000</v>
      </c>
      <c r="K977" s="107">
        <f>SUMIF(Comprometidos!A:A,'Cost Report'!G977,Comprometidos!E:E)</f>
        <v>0</v>
      </c>
      <c r="L977" s="107">
        <f t="shared" si="401"/>
        <v>34000</v>
      </c>
      <c r="M977" s="107">
        <f t="shared" si="402"/>
        <v>0</v>
      </c>
      <c r="N977" s="107">
        <f t="shared" si="403"/>
        <v>34000</v>
      </c>
      <c r="O977" s="107">
        <f>VLOOKUP(G977,Budget!$E$3:$G$2474,3,0)</f>
        <v>34000</v>
      </c>
      <c r="P977" s="107">
        <f t="shared" si="404"/>
        <v>0</v>
      </c>
      <c r="Q977" s="107"/>
      <c r="R977" s="10"/>
      <c r="S977" s="107">
        <v>34000</v>
      </c>
      <c r="T977" s="107">
        <f t="shared" si="408"/>
        <v>0</v>
      </c>
      <c r="U977" s="107"/>
      <c r="V977" s="175"/>
      <c r="W977" s="10"/>
      <c r="X977" s="10"/>
      <c r="Y977" t="str">
        <f t="shared" si="407"/>
        <v>2501</v>
      </c>
      <c r="AB977" s="10"/>
      <c r="AC977" s="10"/>
      <c r="AD977" s="10"/>
      <c r="AE977" s="10"/>
      <c r="AF977" s="10"/>
      <c r="AG977" s="10"/>
      <c r="AH977" s="10"/>
      <c r="AI977" s="10"/>
    </row>
    <row r="978" spans="1:35">
      <c r="A978" s="10"/>
      <c r="B978" s="10" t="str">
        <f t="shared" si="406"/>
        <v>Below the Line</v>
      </c>
      <c r="C978" t="s">
        <v>20</v>
      </c>
      <c r="D978" t="s">
        <v>19</v>
      </c>
      <c r="E978" t="s">
        <v>214</v>
      </c>
      <c r="F978" t="s">
        <v>5396</v>
      </c>
      <c r="G978" t="s">
        <v>627</v>
      </c>
      <c r="I978" s="10"/>
      <c r="J978" s="107">
        <f>SUMIF(Data!C:C,G978,Data!Q:Q)</f>
        <v>0</v>
      </c>
      <c r="K978" s="107">
        <f>SUMIF(Comprometidos!A:A,'Cost Report'!G978,Comprometidos!E:E)</f>
        <v>0</v>
      </c>
      <c r="L978" s="107">
        <f t="shared" si="401"/>
        <v>0</v>
      </c>
      <c r="M978" s="107">
        <f t="shared" si="402"/>
        <v>0</v>
      </c>
      <c r="N978" s="107">
        <f t="shared" si="403"/>
        <v>0</v>
      </c>
      <c r="O978" s="107">
        <f>VLOOKUP(G978,Budget!$E$3:$G$2474,3,0)</f>
        <v>0</v>
      </c>
      <c r="P978" s="107">
        <f t="shared" si="404"/>
        <v>0</v>
      </c>
      <c r="Q978" s="107"/>
      <c r="R978" s="10"/>
      <c r="S978" s="107">
        <v>0</v>
      </c>
      <c r="T978" s="107">
        <f t="shared" si="408"/>
        <v>0</v>
      </c>
      <c r="U978" s="107"/>
      <c r="V978" s="175"/>
      <c r="W978" s="10"/>
      <c r="X978" s="10"/>
      <c r="Y978" t="str">
        <f t="shared" si="407"/>
        <v>2501</v>
      </c>
      <c r="AB978" s="10"/>
      <c r="AC978" s="10"/>
      <c r="AD978" s="10"/>
      <c r="AE978" s="10"/>
      <c r="AF978" s="10"/>
      <c r="AG978" s="10"/>
      <c r="AH978" s="10"/>
      <c r="AI978" s="10"/>
    </row>
    <row r="979" spans="1:35">
      <c r="A979" s="10"/>
      <c r="B979" s="10" t="str">
        <f t="shared" si="406"/>
        <v>Below the LinePREP</v>
      </c>
      <c r="C979" t="s">
        <v>20</v>
      </c>
      <c r="D979" t="s">
        <v>19</v>
      </c>
      <c r="E979" t="s">
        <v>234</v>
      </c>
      <c r="F979" t="s">
        <v>5396</v>
      </c>
      <c r="G979" t="s">
        <v>2557</v>
      </c>
      <c r="I979" s="10"/>
      <c r="J979" s="107">
        <f>SUMIF(Data!C:C,G979,Data!Q:Q)</f>
        <v>39200</v>
      </c>
      <c r="K979" s="107">
        <f>SUMIF(Comprometidos!A:A,'Cost Report'!G979,Comprometidos!E:E)</f>
        <v>0</v>
      </c>
      <c r="L979" s="107">
        <f t="shared" si="401"/>
        <v>39200</v>
      </c>
      <c r="M979" s="107">
        <f t="shared" si="402"/>
        <v>0</v>
      </c>
      <c r="N979" s="107">
        <f t="shared" si="403"/>
        <v>39200</v>
      </c>
      <c r="O979" s="107">
        <f>VLOOKUP(G979,Budget!$E$3:$G$2474,3,0)</f>
        <v>39200</v>
      </c>
      <c r="P979" s="107">
        <f t="shared" si="404"/>
        <v>0</v>
      </c>
      <c r="Q979" s="107"/>
      <c r="R979" s="10"/>
      <c r="S979" s="107">
        <v>39200</v>
      </c>
      <c r="T979" s="107">
        <f t="shared" si="408"/>
        <v>0</v>
      </c>
      <c r="U979" s="107"/>
      <c r="V979" s="175"/>
      <c r="W979" s="10"/>
      <c r="X979" s="10"/>
      <c r="Y979" t="str">
        <f t="shared" si="407"/>
        <v>2501</v>
      </c>
      <c r="AB979" s="10"/>
      <c r="AC979" s="10"/>
      <c r="AD979" s="10"/>
      <c r="AE979" s="10"/>
      <c r="AF979" s="10"/>
      <c r="AG979" s="10"/>
      <c r="AH979" s="10"/>
      <c r="AI979" s="10"/>
    </row>
    <row r="980" spans="1:35">
      <c r="A980" s="10"/>
      <c r="B980" s="10" t="str">
        <f t="shared" si="406"/>
        <v>Below the LineSHOOT</v>
      </c>
      <c r="C980" t="s">
        <v>20</v>
      </c>
      <c r="D980" t="s">
        <v>19</v>
      </c>
      <c r="E980" t="s">
        <v>236</v>
      </c>
      <c r="F980" t="s">
        <v>5396</v>
      </c>
      <c r="G980" t="s">
        <v>2558</v>
      </c>
      <c r="I980" s="10"/>
      <c r="J980" s="107">
        <f>SUMIF(Data!C:C,G980,Data!Q:Q)</f>
        <v>68600</v>
      </c>
      <c r="K980" s="107">
        <f>SUMIF(Comprometidos!A:A,'Cost Report'!G980,Comprometidos!E:E)</f>
        <v>0</v>
      </c>
      <c r="L980" s="107">
        <f t="shared" si="401"/>
        <v>68600</v>
      </c>
      <c r="M980" s="107">
        <f t="shared" si="402"/>
        <v>0</v>
      </c>
      <c r="N980" s="107">
        <f t="shared" si="403"/>
        <v>68600</v>
      </c>
      <c r="O980" s="107">
        <f>VLOOKUP(G980,Budget!$E$3:$G$2474,3,0)</f>
        <v>68600</v>
      </c>
      <c r="P980" s="107">
        <f t="shared" si="404"/>
        <v>0</v>
      </c>
      <c r="Q980" s="107"/>
      <c r="R980" s="10"/>
      <c r="S980" s="107">
        <v>68600</v>
      </c>
      <c r="T980" s="107">
        <f t="shared" si="408"/>
        <v>0</v>
      </c>
      <c r="U980" s="107"/>
      <c r="V980" s="175"/>
      <c r="W980" s="10"/>
      <c r="X980" s="10"/>
      <c r="Y980" t="str">
        <f t="shared" si="407"/>
        <v>2501</v>
      </c>
      <c r="AB980" s="10"/>
      <c r="AC980" s="10"/>
      <c r="AD980" s="10"/>
      <c r="AE980" s="10"/>
      <c r="AF980" s="10"/>
      <c r="AG980" s="10"/>
      <c r="AH980" s="10"/>
      <c r="AI980" s="10"/>
    </row>
    <row r="981" spans="1:35">
      <c r="A981" s="10"/>
      <c r="B981" s="10" t="str">
        <f t="shared" si="406"/>
        <v>Below the LineWRAP</v>
      </c>
      <c r="C981" t="s">
        <v>20</v>
      </c>
      <c r="D981" t="s">
        <v>19</v>
      </c>
      <c r="E981" t="s">
        <v>238</v>
      </c>
      <c r="F981" t="s">
        <v>5396</v>
      </c>
      <c r="G981" t="s">
        <v>2559</v>
      </c>
      <c r="I981" s="10"/>
      <c r="J981" s="107">
        <f>SUMIF(Data!C:C,G981,Data!Q:Q)</f>
        <v>14700</v>
      </c>
      <c r="K981" s="107">
        <f>SUMIF(Comprometidos!A:A,'Cost Report'!G981,Comprometidos!E:E)</f>
        <v>0</v>
      </c>
      <c r="L981" s="107">
        <f t="shared" si="401"/>
        <v>14700</v>
      </c>
      <c r="M981" s="107">
        <f t="shared" si="402"/>
        <v>0</v>
      </c>
      <c r="N981" s="107">
        <f t="shared" si="403"/>
        <v>14700</v>
      </c>
      <c r="O981" s="107">
        <f>VLOOKUP(G981,Budget!$E$3:$G$2474,3,0)</f>
        <v>14700</v>
      </c>
      <c r="P981" s="107">
        <f t="shared" si="404"/>
        <v>0</v>
      </c>
      <c r="Q981" s="107"/>
      <c r="R981" s="10"/>
      <c r="S981" s="107">
        <v>14700</v>
      </c>
      <c r="T981" s="107">
        <f t="shared" si="408"/>
        <v>0</v>
      </c>
      <c r="U981" s="107"/>
      <c r="V981" s="175"/>
      <c r="W981" s="10"/>
      <c r="X981" s="10"/>
      <c r="Y981" t="str">
        <f t="shared" si="407"/>
        <v>2501</v>
      </c>
      <c r="AB981" s="10"/>
      <c r="AC981" s="10"/>
      <c r="AD981" s="10"/>
      <c r="AE981" s="10"/>
      <c r="AF981" s="10"/>
      <c r="AG981" s="10"/>
      <c r="AH981" s="10"/>
      <c r="AI981" s="10"/>
    </row>
    <row r="982" spans="1:35">
      <c r="A982" s="10"/>
      <c r="B982" s="10" t="str">
        <f>+C982</f>
        <v>Below the Line</v>
      </c>
      <c r="C982" s="128" t="s">
        <v>20</v>
      </c>
      <c r="D982" s="128" t="s">
        <v>2117</v>
      </c>
      <c r="E982" s="128"/>
      <c r="F982" s="128"/>
      <c r="G982" s="128" t="s">
        <v>628</v>
      </c>
      <c r="H982" s="128"/>
      <c r="I982" s="10"/>
      <c r="J982" s="129">
        <f>SUMIF($Y$11:$Y$2484,G982,J$11:J$2484)</f>
        <v>105800</v>
      </c>
      <c r="K982" s="129">
        <f>SUMIF($Y$11:$Y$2484,G982,K$11:K$2484)</f>
        <v>0</v>
      </c>
      <c r="L982" s="129">
        <f>SUMIF($Y$11:$Y$2484,G982,L$11:L$2484)</f>
        <v>105800</v>
      </c>
      <c r="M982" s="129">
        <f>SUMIF($Y$11:$Y$2484,G982,M$11:M$2484)</f>
        <v>0</v>
      </c>
      <c r="N982" s="129">
        <f>SUMIF($Y$11:$Y$2484,G982,N$11:N$2484)</f>
        <v>105800</v>
      </c>
      <c r="O982" s="129">
        <f>SUMIF($Y$11:$Y$2484,G982,O$11:O$2484)</f>
        <v>111000</v>
      </c>
      <c r="P982" s="129">
        <f>SUMIF($Y$11:$Y$2484,G982,P$11:P$2484)</f>
        <v>5200</v>
      </c>
      <c r="Q982" s="129"/>
      <c r="R982" s="10"/>
      <c r="S982" s="129">
        <v>105800</v>
      </c>
      <c r="T982" s="129">
        <f t="shared" si="408"/>
        <v>0</v>
      </c>
      <c r="U982" s="128"/>
      <c r="V982" s="175"/>
      <c r="W982" s="10"/>
      <c r="X982" s="10"/>
      <c r="Z982" t="str">
        <f>LEFT(G982,2)</f>
        <v>25</v>
      </c>
      <c r="AA982" t="str">
        <f>+Z982&amp;"00"</f>
        <v>2500</v>
      </c>
      <c r="AB982" s="10"/>
      <c r="AC982" s="10"/>
      <c r="AD982" s="10"/>
      <c r="AE982" s="10"/>
      <c r="AF982" s="10"/>
      <c r="AG982" s="10"/>
      <c r="AH982" s="10"/>
      <c r="AI982" s="10"/>
    </row>
    <row r="983" spans="1:35">
      <c r="A983" s="10"/>
      <c r="B983" s="10" t="str">
        <f t="shared" ref="B983:B989" si="409">+C983&amp;E983</f>
        <v>Below the Line</v>
      </c>
      <c r="C983" t="s">
        <v>20</v>
      </c>
      <c r="D983" t="s">
        <v>19</v>
      </c>
      <c r="E983" t="s">
        <v>214</v>
      </c>
      <c r="F983" t="s">
        <v>5396</v>
      </c>
      <c r="G983" t="s">
        <v>629</v>
      </c>
      <c r="I983" s="10"/>
      <c r="J983" s="107">
        <f>SUMIF(Data!C:C,G983,Data!Q:Q)</f>
        <v>0</v>
      </c>
      <c r="K983" s="107">
        <f>SUMIF(Comprometidos!A:A,'Cost Report'!G983,Comprometidos!E:E)</f>
        <v>0</v>
      </c>
      <c r="L983" s="107">
        <f t="shared" ref="L983:L989" si="410">+J983+K983</f>
        <v>0</v>
      </c>
      <c r="M983" s="107">
        <f t="shared" ref="M983:M988" si="411">+O983-L983</f>
        <v>0</v>
      </c>
      <c r="N983" s="107">
        <f t="shared" ref="N983:N989" si="412">+L983+M983</f>
        <v>0</v>
      </c>
      <c r="O983" s="107">
        <f>VLOOKUP(G983,Budget!$E$3:$G$2474,3,0)</f>
        <v>0</v>
      </c>
      <c r="P983" s="107">
        <f t="shared" ref="P983:P989" si="413">+O983-N983</f>
        <v>0</v>
      </c>
      <c r="Q983" s="107"/>
      <c r="R983" s="10"/>
      <c r="S983" s="107">
        <v>0</v>
      </c>
      <c r="T983" s="107">
        <f t="shared" si="408"/>
        <v>0</v>
      </c>
      <c r="U983" s="107"/>
      <c r="V983" s="175"/>
      <c r="W983" s="10"/>
      <c r="X983" s="10"/>
      <c r="Y983" t="str">
        <f t="shared" ref="Y983:Y989" si="414">LEFT(G983,4)</f>
        <v>2502</v>
      </c>
      <c r="AB983" s="10"/>
      <c r="AC983" s="10"/>
      <c r="AD983" s="10"/>
      <c r="AE983" s="10"/>
      <c r="AF983" s="10"/>
      <c r="AG983" s="10"/>
      <c r="AH983" s="10"/>
      <c r="AI983" s="10"/>
    </row>
    <row r="984" spans="1:35">
      <c r="A984" s="10"/>
      <c r="B984" s="10" t="str">
        <f t="shared" si="409"/>
        <v>Below the LinePREP</v>
      </c>
      <c r="C984" t="s">
        <v>20</v>
      </c>
      <c r="D984" t="s">
        <v>19</v>
      </c>
      <c r="E984" t="s">
        <v>234</v>
      </c>
      <c r="F984" t="s">
        <v>5396</v>
      </c>
      <c r="G984" t="s">
        <v>630</v>
      </c>
      <c r="I984" s="10"/>
      <c r="J984" s="107">
        <f>SUMIF(Data!C:C,G984,Data!Q:Q)</f>
        <v>24000</v>
      </c>
      <c r="K984" s="107">
        <f>SUMIF(Comprometidos!A:A,'Cost Report'!G984,Comprometidos!E:E)</f>
        <v>0</v>
      </c>
      <c r="L984" s="107">
        <f t="shared" si="410"/>
        <v>24000</v>
      </c>
      <c r="M984" s="107">
        <f t="shared" si="411"/>
        <v>0</v>
      </c>
      <c r="N984" s="107">
        <f t="shared" si="412"/>
        <v>24000</v>
      </c>
      <c r="O984" s="107">
        <f>VLOOKUP(G984,Budget!$E$3:$G$2474,3,0)</f>
        <v>24000</v>
      </c>
      <c r="P984" s="107">
        <f t="shared" si="413"/>
        <v>0</v>
      </c>
      <c r="Q984" s="107"/>
      <c r="R984" s="10"/>
      <c r="S984" s="107">
        <v>24000</v>
      </c>
      <c r="T984" s="107">
        <f t="shared" si="408"/>
        <v>0</v>
      </c>
      <c r="U984" s="107"/>
      <c r="V984" s="175"/>
      <c r="W984" s="10"/>
      <c r="X984" s="10"/>
      <c r="Y984" t="str">
        <f t="shared" si="414"/>
        <v>2502</v>
      </c>
      <c r="AB984" s="10"/>
      <c r="AC984" s="10"/>
      <c r="AD984" s="10"/>
      <c r="AE984" s="10"/>
      <c r="AF984" s="10"/>
      <c r="AG984" s="10"/>
      <c r="AH984" s="10"/>
      <c r="AI984" s="10"/>
    </row>
    <row r="985" spans="1:35">
      <c r="A985" s="10"/>
      <c r="B985" s="10" t="str">
        <f t="shared" si="409"/>
        <v>Below the LineSHOOT</v>
      </c>
      <c r="C985" t="s">
        <v>20</v>
      </c>
      <c r="D985" t="s">
        <v>19</v>
      </c>
      <c r="E985" t="s">
        <v>236</v>
      </c>
      <c r="F985" t="s">
        <v>5396</v>
      </c>
      <c r="G985" t="s">
        <v>631</v>
      </c>
      <c r="I985" s="10"/>
      <c r="J985" s="107">
        <f>SUMIF(Data!C:C,G985,Data!Q:Q)</f>
        <v>56000</v>
      </c>
      <c r="K985" s="107">
        <f>SUMIF(Comprometidos!A:A,'Cost Report'!G985,Comprometidos!E:E)</f>
        <v>0</v>
      </c>
      <c r="L985" s="107">
        <f t="shared" si="410"/>
        <v>56000</v>
      </c>
      <c r="M985" s="107">
        <f t="shared" si="411"/>
        <v>0</v>
      </c>
      <c r="N985" s="107">
        <f t="shared" si="412"/>
        <v>56000</v>
      </c>
      <c r="O985" s="107">
        <f>VLOOKUP(G985,Budget!$E$3:$G$2474,3,0)</f>
        <v>56000</v>
      </c>
      <c r="P985" s="107">
        <f t="shared" si="413"/>
        <v>0</v>
      </c>
      <c r="Q985" s="107"/>
      <c r="R985" s="10"/>
      <c r="S985" s="107">
        <v>56000</v>
      </c>
      <c r="T985" s="107">
        <f t="shared" si="408"/>
        <v>0</v>
      </c>
      <c r="U985" s="107"/>
      <c r="V985" s="175"/>
      <c r="W985" s="10"/>
      <c r="X985" s="10"/>
      <c r="Y985" t="str">
        <f t="shared" si="414"/>
        <v>2502</v>
      </c>
      <c r="AB985" s="10"/>
      <c r="AC985" s="10"/>
      <c r="AD985" s="10"/>
      <c r="AE985" s="10"/>
      <c r="AF985" s="10"/>
      <c r="AG985" s="10"/>
      <c r="AH985" s="10"/>
      <c r="AI985" s="10"/>
    </row>
    <row r="986" spans="1:35">
      <c r="A986" s="10"/>
      <c r="B986" s="10" t="str">
        <f t="shared" si="409"/>
        <v>Below the Line</v>
      </c>
      <c r="C986" t="s">
        <v>20</v>
      </c>
      <c r="D986" t="s">
        <v>19</v>
      </c>
      <c r="E986" t="s">
        <v>214</v>
      </c>
      <c r="F986" t="s">
        <v>5396</v>
      </c>
      <c r="G986" t="s">
        <v>632</v>
      </c>
      <c r="I986" s="10"/>
      <c r="J986" s="107">
        <f>SUMIF(Data!C:C,G986,Data!Q:Q)</f>
        <v>0</v>
      </c>
      <c r="K986" s="107">
        <f>SUMIF(Comprometidos!A:A,'Cost Report'!G986,Comprometidos!E:E)</f>
        <v>0</v>
      </c>
      <c r="L986" s="107">
        <f t="shared" si="410"/>
        <v>0</v>
      </c>
      <c r="M986" s="107">
        <f t="shared" si="411"/>
        <v>0</v>
      </c>
      <c r="N986" s="107">
        <f t="shared" si="412"/>
        <v>0</v>
      </c>
      <c r="O986" s="107">
        <f>VLOOKUP(G986,Budget!$E$3:$G$2474,3,0)</f>
        <v>0</v>
      </c>
      <c r="P986" s="107">
        <f t="shared" si="413"/>
        <v>0</v>
      </c>
      <c r="Q986" s="107"/>
      <c r="R986" s="10"/>
      <c r="S986" s="107">
        <v>0</v>
      </c>
      <c r="T986" s="107">
        <f t="shared" si="408"/>
        <v>0</v>
      </c>
      <c r="U986" s="107"/>
      <c r="V986" s="175"/>
      <c r="W986" s="10"/>
      <c r="X986" s="10"/>
      <c r="Y986" t="str">
        <f t="shared" si="414"/>
        <v>2502</v>
      </c>
      <c r="AB986" s="10"/>
      <c r="AC986" s="10"/>
      <c r="AD986" s="10"/>
      <c r="AE986" s="10"/>
      <c r="AF986" s="10"/>
      <c r="AG986" s="10"/>
      <c r="AH986" s="10"/>
      <c r="AI986" s="10"/>
    </row>
    <row r="987" spans="1:35">
      <c r="A987" s="10"/>
      <c r="B987" s="10" t="str">
        <f t="shared" si="409"/>
        <v>Below the Line2nd Unit</v>
      </c>
      <c r="C987" t="s">
        <v>20</v>
      </c>
      <c r="D987" t="s">
        <v>19</v>
      </c>
      <c r="E987" t="s">
        <v>1419</v>
      </c>
      <c r="F987" t="s">
        <v>5396</v>
      </c>
      <c r="G987" t="s">
        <v>2560</v>
      </c>
      <c r="I987" s="10"/>
      <c r="J987" s="107">
        <f>SUMIF(Data!C:C,G987,Data!Q:Q)</f>
        <v>16000</v>
      </c>
      <c r="K987" s="107">
        <f>SUMIF(Comprometidos!A:A,'Cost Report'!G987,Comprometidos!E:E)</f>
        <v>0</v>
      </c>
      <c r="L987" s="107">
        <f t="shared" si="410"/>
        <v>16000</v>
      </c>
      <c r="M987" s="107">
        <f t="shared" si="411"/>
        <v>0</v>
      </c>
      <c r="N987" s="107">
        <f t="shared" si="412"/>
        <v>16000</v>
      </c>
      <c r="O987" s="107">
        <f>VLOOKUP(G987,Budget!$E$3:$G$2474,3,0)</f>
        <v>16000</v>
      </c>
      <c r="P987" s="107">
        <f t="shared" si="413"/>
        <v>0</v>
      </c>
      <c r="Q987" s="107"/>
      <c r="R987" s="10"/>
      <c r="S987" s="107">
        <v>16000</v>
      </c>
      <c r="T987" s="107">
        <f t="shared" si="408"/>
        <v>0</v>
      </c>
      <c r="U987" s="107"/>
      <c r="V987" s="175"/>
      <c r="W987" s="10"/>
      <c r="X987" s="10"/>
      <c r="Y987" t="str">
        <f t="shared" si="414"/>
        <v>2502</v>
      </c>
      <c r="AB987" s="10"/>
      <c r="AC987" s="10"/>
      <c r="AD987" s="10"/>
      <c r="AE987" s="10"/>
      <c r="AF987" s="10"/>
      <c r="AG987" s="10"/>
      <c r="AH987" s="10"/>
      <c r="AI987" s="10"/>
    </row>
    <row r="988" spans="1:35">
      <c r="A988" s="10"/>
      <c r="B988" s="10" t="str">
        <f t="shared" si="409"/>
        <v>Below the Line</v>
      </c>
      <c r="C988" t="s">
        <v>20</v>
      </c>
      <c r="D988" t="s">
        <v>19</v>
      </c>
      <c r="E988" t="s">
        <v>214</v>
      </c>
      <c r="F988" t="s">
        <v>5396</v>
      </c>
      <c r="G988" t="s">
        <v>2561</v>
      </c>
      <c r="I988" s="10"/>
      <c r="J988" s="107">
        <f>SUMIF(Data!C:C,G988,Data!Q:Q)</f>
        <v>0</v>
      </c>
      <c r="K988" s="107">
        <f>SUMIF(Comprometidos!A:A,'Cost Report'!G988,Comprometidos!E:E)</f>
        <v>0</v>
      </c>
      <c r="L988" s="107">
        <f t="shared" si="410"/>
        <v>0</v>
      </c>
      <c r="M988" s="107">
        <f t="shared" si="411"/>
        <v>0</v>
      </c>
      <c r="N988" s="107">
        <f t="shared" si="412"/>
        <v>0</v>
      </c>
      <c r="O988" s="107">
        <f>VLOOKUP(G988,Budget!$E$3:$G$2474,3,0)</f>
        <v>0</v>
      </c>
      <c r="P988" s="107">
        <f t="shared" si="413"/>
        <v>0</v>
      </c>
      <c r="Q988" s="107"/>
      <c r="R988" s="10"/>
      <c r="S988" s="107">
        <v>0</v>
      </c>
      <c r="T988" s="107">
        <f t="shared" si="408"/>
        <v>0</v>
      </c>
      <c r="U988" s="107"/>
      <c r="V988" s="175"/>
      <c r="W988" s="10"/>
      <c r="X988" s="10"/>
      <c r="Y988" t="str">
        <f t="shared" si="414"/>
        <v>2502</v>
      </c>
      <c r="AB988" s="10"/>
      <c r="AC988" s="10"/>
      <c r="AD988" s="10"/>
      <c r="AE988" s="10"/>
      <c r="AF988" s="10"/>
      <c r="AG988" s="10"/>
      <c r="AH988" s="10"/>
      <c r="AI988" s="10"/>
    </row>
    <row r="989" spans="1:35">
      <c r="A989" s="10"/>
      <c r="B989" s="10" t="str">
        <f t="shared" si="409"/>
        <v>Below the Line2nd Unit</v>
      </c>
      <c r="C989" t="s">
        <v>20</v>
      </c>
      <c r="D989" t="s">
        <v>19</v>
      </c>
      <c r="E989" t="s">
        <v>1419</v>
      </c>
      <c r="F989" t="s">
        <v>5396</v>
      </c>
      <c r="G989" t="s">
        <v>2562</v>
      </c>
      <c r="I989" s="10"/>
      <c r="J989" s="107">
        <f>SUMIF(Data!C:C,G989,Data!Q:Q)</f>
        <v>9800</v>
      </c>
      <c r="K989" s="107">
        <f>SUMIF(Comprometidos!A:A,'Cost Report'!G989,Comprometidos!E:E)</f>
        <v>0</v>
      </c>
      <c r="L989" s="107">
        <f t="shared" si="410"/>
        <v>9800</v>
      </c>
      <c r="M989" s="107">
        <v>0</v>
      </c>
      <c r="N989" s="107">
        <f t="shared" si="412"/>
        <v>9800</v>
      </c>
      <c r="O989" s="107">
        <f>VLOOKUP(G989,Budget!$E$3:$G$2474,3,0)</f>
        <v>15000</v>
      </c>
      <c r="P989" s="107">
        <f t="shared" si="413"/>
        <v>5200</v>
      </c>
      <c r="Q989" s="107"/>
      <c r="R989" s="10"/>
      <c r="S989" s="107">
        <v>9800</v>
      </c>
      <c r="T989" s="107">
        <f t="shared" si="408"/>
        <v>0</v>
      </c>
      <c r="U989" s="107"/>
      <c r="V989" s="175"/>
      <c r="W989" s="10"/>
      <c r="X989" s="10"/>
      <c r="Y989" t="str">
        <f t="shared" si="414"/>
        <v>2502</v>
      </c>
      <c r="AB989" s="10"/>
      <c r="AC989" s="10"/>
      <c r="AD989" s="10"/>
      <c r="AE989" s="10"/>
      <c r="AF989" s="10"/>
      <c r="AG989" s="10"/>
      <c r="AH989" s="10"/>
      <c r="AI989" s="10"/>
    </row>
    <row r="990" spans="1:35">
      <c r="A990" s="10"/>
      <c r="B990" s="10" t="str">
        <f>+C990</f>
        <v>Below the Line</v>
      </c>
      <c r="C990" s="128" t="s">
        <v>20</v>
      </c>
      <c r="D990" s="128" t="s">
        <v>2117</v>
      </c>
      <c r="E990" s="128"/>
      <c r="F990" s="128"/>
      <c r="G990" s="128" t="s">
        <v>633</v>
      </c>
      <c r="H990" s="128"/>
      <c r="I990" s="10"/>
      <c r="J990" s="129">
        <f>SUMIF($Y$11:$Y$2484,G990,J$11:J$2484)</f>
        <v>67840.75</v>
      </c>
      <c r="K990" s="129">
        <f>SUMIF($Y$11:$Y$2484,G990,K$11:K$2484)</f>
        <v>0</v>
      </c>
      <c r="L990" s="129">
        <f>SUMIF($Y$11:$Y$2484,G990,L$11:L$2484)</f>
        <v>67840.75</v>
      </c>
      <c r="M990" s="129">
        <f>SUMIF($Y$11:$Y$2484,G990,M$11:M$2484)</f>
        <v>0</v>
      </c>
      <c r="N990" s="129">
        <f>SUMIF($Y$11:$Y$2484,G990,N$11:N$2484)</f>
        <v>67840.75</v>
      </c>
      <c r="O990" s="129">
        <f>SUMIF($Y$11:$Y$2484,G990,O$11:O$2484)</f>
        <v>102500</v>
      </c>
      <c r="P990" s="129">
        <f>SUMIF($Y$11:$Y$2484,G990,P$11:P$2484)</f>
        <v>34659.25</v>
      </c>
      <c r="Q990" s="129"/>
      <c r="R990" s="10"/>
      <c r="S990" s="129">
        <v>67840.75</v>
      </c>
      <c r="T990" s="129">
        <f t="shared" si="408"/>
        <v>0</v>
      </c>
      <c r="U990" s="128"/>
      <c r="V990" s="175"/>
      <c r="W990" s="10"/>
      <c r="X990" s="10"/>
      <c r="Z990" t="str">
        <f>LEFT(G990,2)</f>
        <v>25</v>
      </c>
      <c r="AA990" t="str">
        <f>+Z990&amp;"00"</f>
        <v>2500</v>
      </c>
      <c r="AB990" s="10"/>
      <c r="AC990" s="10"/>
      <c r="AD990" s="10"/>
      <c r="AE990" s="10"/>
      <c r="AF990" s="10"/>
      <c r="AG990" s="10"/>
      <c r="AH990" s="10"/>
      <c r="AI990" s="10"/>
    </row>
    <row r="991" spans="1:35">
      <c r="A991" s="10"/>
      <c r="B991" s="10" t="str">
        <f t="shared" ref="B991:B994" si="415">+C991&amp;E991</f>
        <v>Below the Line</v>
      </c>
      <c r="C991" t="s">
        <v>20</v>
      </c>
      <c r="D991" t="s">
        <v>19</v>
      </c>
      <c r="E991" t="s">
        <v>214</v>
      </c>
      <c r="F991" t="s">
        <v>5396</v>
      </c>
      <c r="G991" t="s">
        <v>634</v>
      </c>
      <c r="I991" s="10"/>
      <c r="J991" s="107">
        <f>SUMIF(Data!C:C,G991,Data!Q:Q)</f>
        <v>0</v>
      </c>
      <c r="K991" s="107">
        <f>SUMIF(Comprometidos!A:A,'Cost Report'!G991,Comprometidos!E:E)</f>
        <v>0</v>
      </c>
      <c r="L991" s="107">
        <f t="shared" ref="L991:L1003" si="416">+J991+K991</f>
        <v>0</v>
      </c>
      <c r="M991" s="107">
        <f t="shared" ref="M991:M1002" si="417">+O991-L991</f>
        <v>0</v>
      </c>
      <c r="N991" s="107">
        <f t="shared" ref="N991:N1003" si="418">+L991+M991</f>
        <v>0</v>
      </c>
      <c r="O991" s="107">
        <f>VLOOKUP(G991,Budget!$E$3:$G$2474,3,0)</f>
        <v>0</v>
      </c>
      <c r="P991" s="107">
        <f t="shared" ref="P991:P1003" si="419">+O991-N991</f>
        <v>0</v>
      </c>
      <c r="Q991" s="107"/>
      <c r="R991" s="10"/>
      <c r="S991" s="107">
        <v>0</v>
      </c>
      <c r="T991" s="107">
        <f t="shared" si="408"/>
        <v>0</v>
      </c>
      <c r="U991" s="107"/>
      <c r="V991" s="175"/>
      <c r="W991" s="10"/>
      <c r="X991" s="10"/>
      <c r="Y991" t="str">
        <f t="shared" ref="Y991:Y994" si="420">LEFT(G991,4)</f>
        <v>2508</v>
      </c>
      <c r="AB991" s="10"/>
      <c r="AC991" s="10"/>
      <c r="AD991" s="10"/>
      <c r="AE991" s="10"/>
      <c r="AF991" s="10"/>
      <c r="AG991" s="10"/>
      <c r="AH991" s="10"/>
      <c r="AI991" s="10"/>
    </row>
    <row r="992" spans="1:35">
      <c r="A992" s="10"/>
      <c r="B992" s="10" t="str">
        <f t="shared" si="415"/>
        <v>Below the LineSHOOT</v>
      </c>
      <c r="C992" t="s">
        <v>20</v>
      </c>
      <c r="D992" t="s">
        <v>19</v>
      </c>
      <c r="E992" t="s">
        <v>236</v>
      </c>
      <c r="F992" t="s">
        <v>5396</v>
      </c>
      <c r="G992" t="s">
        <v>635</v>
      </c>
      <c r="I992" s="10"/>
      <c r="J992" s="107">
        <f>SUMIF(Data!C:C,G992,Data!Q:Q)</f>
        <v>50500</v>
      </c>
      <c r="K992" s="107">
        <f>SUMIF(Comprometidos!A:A,'Cost Report'!G992,Comprometidos!E:E)</f>
        <v>0</v>
      </c>
      <c r="L992" s="107">
        <f t="shared" si="416"/>
        <v>50500</v>
      </c>
      <c r="M992" s="107">
        <v>0</v>
      </c>
      <c r="N992" s="107">
        <f t="shared" si="418"/>
        <v>50500</v>
      </c>
      <c r="O992" s="107">
        <f>VLOOKUP(G992,Budget!$E$3:$G$2474,3,0)</f>
        <v>52500</v>
      </c>
      <c r="P992" s="107">
        <f t="shared" si="419"/>
        <v>2000</v>
      </c>
      <c r="Q992" s="107"/>
      <c r="R992" s="10"/>
      <c r="S992" s="107">
        <v>50500</v>
      </c>
      <c r="T992" s="107">
        <f t="shared" si="408"/>
        <v>0</v>
      </c>
      <c r="U992" s="107"/>
      <c r="V992" s="175"/>
      <c r="W992" s="10"/>
      <c r="X992" s="10"/>
      <c r="Y992" t="str">
        <f t="shared" si="420"/>
        <v>2508</v>
      </c>
      <c r="AB992" s="10"/>
      <c r="AC992" s="10"/>
      <c r="AD992" s="10"/>
      <c r="AE992" s="10"/>
      <c r="AF992" s="10"/>
      <c r="AG992" s="10"/>
      <c r="AH992" s="10"/>
      <c r="AI992" s="10"/>
    </row>
    <row r="993" spans="1:35">
      <c r="A993" s="10"/>
      <c r="B993" s="10" t="str">
        <f t="shared" si="415"/>
        <v>Below the Line</v>
      </c>
      <c r="C993" t="s">
        <v>20</v>
      </c>
      <c r="D993" t="s">
        <v>19</v>
      </c>
      <c r="E993" t="s">
        <v>214</v>
      </c>
      <c r="F993" t="s">
        <v>5396</v>
      </c>
      <c r="G993" t="s">
        <v>2563</v>
      </c>
      <c r="I993" s="10"/>
      <c r="J993" s="107">
        <f>SUMIF(Data!C:C,G993,Data!Q:Q)</f>
        <v>0</v>
      </c>
      <c r="K993" s="107">
        <f>SUMIF(Comprometidos!A:A,'Cost Report'!G993,Comprometidos!E:E)</f>
        <v>0</v>
      </c>
      <c r="L993" s="107">
        <f t="shared" si="416"/>
        <v>0</v>
      </c>
      <c r="M993" s="107">
        <f t="shared" si="417"/>
        <v>0</v>
      </c>
      <c r="N993" s="107">
        <f t="shared" si="418"/>
        <v>0</v>
      </c>
      <c r="O993" s="107">
        <f>VLOOKUP(G993,Budget!$E$3:$G$2474,3,0)</f>
        <v>0</v>
      </c>
      <c r="P993" s="107">
        <f t="shared" si="419"/>
        <v>0</v>
      </c>
      <c r="Q993" s="107"/>
      <c r="R993" s="10"/>
      <c r="S993" s="107">
        <v>0</v>
      </c>
      <c r="T993" s="107">
        <f t="shared" si="408"/>
        <v>0</v>
      </c>
      <c r="U993" s="107"/>
      <c r="V993" s="175"/>
      <c r="W993" s="10"/>
      <c r="X993" s="10"/>
      <c r="Y993" t="str">
        <f t="shared" si="420"/>
        <v>2508</v>
      </c>
      <c r="AB993" s="10"/>
      <c r="AC993" s="10"/>
      <c r="AD993" s="10"/>
      <c r="AE993" s="10"/>
      <c r="AF993" s="10"/>
      <c r="AG993" s="10"/>
      <c r="AH993" s="10"/>
      <c r="AI993" s="10"/>
    </row>
    <row r="994" spans="1:35">
      <c r="A994" s="10"/>
      <c r="B994" s="10" t="str">
        <f t="shared" si="415"/>
        <v>Below the LineALL SHOW</v>
      </c>
      <c r="C994" t="s">
        <v>20</v>
      </c>
      <c r="D994" t="s">
        <v>19</v>
      </c>
      <c r="E994" t="s">
        <v>227</v>
      </c>
      <c r="F994" t="s">
        <v>4318</v>
      </c>
      <c r="G994" t="s">
        <v>2564</v>
      </c>
      <c r="I994" s="10"/>
      <c r="J994" s="107">
        <f>SUMIF(Data!C:C,G994,Data!Q:Q)</f>
        <v>17340.75</v>
      </c>
      <c r="K994" s="107">
        <f>SUMIF(Comprometidos!A:A,'Cost Report'!G994,Comprometidos!E:E)</f>
        <v>0</v>
      </c>
      <c r="L994" s="107">
        <f t="shared" si="416"/>
        <v>17340.75</v>
      </c>
      <c r="M994" s="107">
        <v>0</v>
      </c>
      <c r="N994" s="107">
        <f t="shared" si="418"/>
        <v>17340.75</v>
      </c>
      <c r="O994" s="107">
        <f>VLOOKUP(G994,Budget!$E$3:$G$2474,3,0)</f>
        <v>50000</v>
      </c>
      <c r="P994" s="107">
        <f t="shared" si="419"/>
        <v>32659.25</v>
      </c>
      <c r="Q994" s="107">
        <v>17340.75</v>
      </c>
      <c r="R994" s="10"/>
      <c r="S994" s="107">
        <v>17340.75</v>
      </c>
      <c r="T994" s="107">
        <f t="shared" si="408"/>
        <v>0</v>
      </c>
      <c r="U994" s="107"/>
      <c r="V994" s="175"/>
      <c r="W994" s="10"/>
      <c r="X994" s="10"/>
      <c r="Y994" t="str">
        <f t="shared" si="420"/>
        <v>2508</v>
      </c>
      <c r="AB994" s="10"/>
      <c r="AC994" s="10"/>
      <c r="AD994" s="10"/>
      <c r="AE994" s="10"/>
      <c r="AF994" s="10"/>
      <c r="AG994" s="10"/>
      <c r="AH994" s="10"/>
      <c r="AI994" s="10"/>
    </row>
    <row r="995" spans="1:35">
      <c r="A995" s="10"/>
      <c r="B995" s="10" t="str">
        <f>+C995</f>
        <v>Below the Line</v>
      </c>
      <c r="C995" s="128" t="s">
        <v>20</v>
      </c>
      <c r="D995" s="128" t="s">
        <v>2117</v>
      </c>
      <c r="E995" s="128"/>
      <c r="F995" s="128"/>
      <c r="G995" s="128" t="s">
        <v>636</v>
      </c>
      <c r="H995" s="128"/>
      <c r="I995" s="10"/>
      <c r="J995" s="129">
        <f>SUMIF($Y$11:$Y$2484,G995,J$11:J$2484)</f>
        <v>87729.116999999984</v>
      </c>
      <c r="K995" s="129">
        <f>SUMIF($Y$11:$Y$2484,G995,K$11:K$2484)</f>
        <v>0</v>
      </c>
      <c r="L995" s="129">
        <f>SUMIF($Y$11:$Y$2484,G995,L$11:L$2484)</f>
        <v>87729.116999999984</v>
      </c>
      <c r="M995" s="129">
        <f>SUMIF($Y$11:$Y$2484,G995,M$11:M$2484)</f>
        <v>0</v>
      </c>
      <c r="N995" s="129">
        <f>SUMIF($Y$11:$Y$2484,G995,N$11:N$2484)</f>
        <v>87729.116999999984</v>
      </c>
      <c r="O995" s="129">
        <f>SUMIF($Y$11:$Y$2484,G995,O$11:O$2484)</f>
        <v>85000</v>
      </c>
      <c r="P995" s="129">
        <f>SUMIF($Y$11:$Y$2484,G995,P$11:P$2484)</f>
        <v>-2729.1169999999838</v>
      </c>
      <c r="Q995" s="129"/>
      <c r="R995" s="10"/>
      <c r="S995" s="129">
        <v>86743.319999999992</v>
      </c>
      <c r="T995" s="129">
        <f t="shared" si="408"/>
        <v>-985.79699999999139</v>
      </c>
      <c r="U995" s="128"/>
      <c r="V995" s="175"/>
      <c r="W995" s="10"/>
      <c r="X995" s="10"/>
      <c r="Z995" t="str">
        <f>LEFT(G995,2)</f>
        <v>25</v>
      </c>
      <c r="AA995" t="str">
        <f>+Z995&amp;"00"</f>
        <v>2500</v>
      </c>
      <c r="AB995" s="10"/>
      <c r="AC995" s="10"/>
      <c r="AD995" s="10"/>
      <c r="AE995" s="10"/>
      <c r="AF995" s="10"/>
      <c r="AG995" s="10"/>
      <c r="AH995" s="10"/>
      <c r="AI995" s="10"/>
    </row>
    <row r="996" spans="1:35">
      <c r="A996" s="10"/>
      <c r="B996" s="10" t="str">
        <f t="shared" ref="B996:B997" si="421">+C996&amp;E996</f>
        <v>Below the Line</v>
      </c>
      <c r="C996" t="s">
        <v>20</v>
      </c>
      <c r="D996" t="s">
        <v>19</v>
      </c>
      <c r="E996" t="s">
        <v>214</v>
      </c>
      <c r="G996" t="s">
        <v>637</v>
      </c>
      <c r="I996" s="10"/>
      <c r="J996" s="107">
        <f>SUMIF(Data!C:C,G996,Data!Q:Q)</f>
        <v>0</v>
      </c>
      <c r="K996" s="107">
        <f>SUMIF(Comprometidos!A:A,'Cost Report'!G996,Comprometidos!E:E)</f>
        <v>0</v>
      </c>
      <c r="L996" s="107">
        <f t="shared" si="416"/>
        <v>0</v>
      </c>
      <c r="M996" s="107">
        <f t="shared" si="417"/>
        <v>0</v>
      </c>
      <c r="N996" s="107">
        <f t="shared" si="418"/>
        <v>0</v>
      </c>
      <c r="O996" s="107">
        <f>VLOOKUP(G996,Budget!$E$3:$G$2474,3,0)</f>
        <v>0</v>
      </c>
      <c r="P996" s="107">
        <f t="shared" si="419"/>
        <v>0</v>
      </c>
      <c r="Q996" s="107"/>
      <c r="R996" s="10"/>
      <c r="S996" s="107">
        <v>0</v>
      </c>
      <c r="T996" s="107">
        <f t="shared" si="408"/>
        <v>0</v>
      </c>
      <c r="U996" s="107"/>
      <c r="V996" s="175"/>
      <c r="W996" s="10"/>
      <c r="X996" s="10"/>
      <c r="Y996" t="str">
        <f t="shared" ref="Y996:Y997" si="422">LEFT(G996,4)</f>
        <v>2585</v>
      </c>
      <c r="AB996" s="10"/>
      <c r="AC996" s="10"/>
      <c r="AD996" s="10"/>
      <c r="AE996" s="10"/>
      <c r="AF996" s="10"/>
      <c r="AG996" s="10"/>
      <c r="AH996" s="10"/>
      <c r="AI996" s="10"/>
    </row>
    <row r="997" spans="1:35">
      <c r="A997" s="10"/>
      <c r="B997" s="10" t="str">
        <f t="shared" si="421"/>
        <v>Below the LineALL SHOW</v>
      </c>
      <c r="C997" t="s">
        <v>20</v>
      </c>
      <c r="D997" t="s">
        <v>19</v>
      </c>
      <c r="E997" t="s">
        <v>227</v>
      </c>
      <c r="F997" t="s">
        <v>4318</v>
      </c>
      <c r="G997" t="s">
        <v>2565</v>
      </c>
      <c r="I997" s="10"/>
      <c r="J997" s="107">
        <f>SUMIF(Data!C:C,G997,Data!Q:Q)</f>
        <v>87729.116999999984</v>
      </c>
      <c r="K997" s="107">
        <f>SUMIF(Comprometidos!A:A,'Cost Report'!G997,Comprometidos!E:E)</f>
        <v>0</v>
      </c>
      <c r="L997" s="107">
        <f t="shared" si="416"/>
        <v>87729.116999999984</v>
      </c>
      <c r="M997" s="107">
        <v>0</v>
      </c>
      <c r="N997" s="107">
        <f t="shared" si="418"/>
        <v>87729.116999999984</v>
      </c>
      <c r="O997" s="107">
        <f>VLOOKUP(G997,Budget!$E$3:$G$2474,3,0)</f>
        <v>85000</v>
      </c>
      <c r="P997" s="107">
        <f t="shared" si="419"/>
        <v>-2729.1169999999838</v>
      </c>
      <c r="Q997" s="107"/>
      <c r="R997" s="10"/>
      <c r="S997" s="107">
        <v>86743.319999999992</v>
      </c>
      <c r="T997" s="107">
        <f t="shared" si="408"/>
        <v>-985.79699999999139</v>
      </c>
      <c r="U997" s="107"/>
      <c r="V997" s="175"/>
      <c r="W997" s="10"/>
      <c r="X997" s="10"/>
      <c r="Y997" t="str">
        <f t="shared" si="422"/>
        <v>2585</v>
      </c>
      <c r="AB997" s="10"/>
      <c r="AC997" s="10"/>
      <c r="AD997" s="10"/>
      <c r="AE997" s="10"/>
      <c r="AF997" s="10"/>
      <c r="AG997" s="10"/>
      <c r="AH997" s="10"/>
      <c r="AI997" s="10"/>
    </row>
    <row r="998" spans="1:35">
      <c r="A998" s="10"/>
      <c r="B998" s="10" t="str">
        <f>+C998</f>
        <v>Below the Line</v>
      </c>
      <c r="C998" s="128" t="s">
        <v>20</v>
      </c>
      <c r="D998" s="128" t="s">
        <v>2117</v>
      </c>
      <c r="E998" s="128"/>
      <c r="F998" s="128"/>
      <c r="G998" s="128" t="s">
        <v>638</v>
      </c>
      <c r="H998" s="128"/>
      <c r="I998" s="10"/>
      <c r="J998" s="129">
        <f>SUMIF($Y$11:$Y$2484,G998,J$11:J$2484)</f>
        <v>469634.52399999986</v>
      </c>
      <c r="K998" s="129">
        <f>SUMIF($Y$11:$Y$2484,G998,K$11:K$2484)</f>
        <v>0</v>
      </c>
      <c r="L998" s="129">
        <f>SUMIF($Y$11:$Y$2484,G998,L$11:L$2484)</f>
        <v>469634.52399999986</v>
      </c>
      <c r="M998" s="129">
        <f>SUMIF($Y$11:$Y$2484,G998,M$11:M$2484)</f>
        <v>0</v>
      </c>
      <c r="N998" s="129">
        <f>SUMIF($Y$11:$Y$2484,G998,N$11:N$2484)</f>
        <v>469634.52399999986</v>
      </c>
      <c r="O998" s="129">
        <f>SUMIF($Y$11:$Y$2484,G998,O$11:O$2484)</f>
        <v>310000</v>
      </c>
      <c r="P998" s="129">
        <f>SUMIF($Y$11:$Y$2484,G998,P$11:P$2484)</f>
        <v>-159634.52399999986</v>
      </c>
      <c r="Q998" s="129"/>
      <c r="R998" s="10"/>
      <c r="S998" s="129">
        <v>467451.21999999991</v>
      </c>
      <c r="T998" s="129">
        <f t="shared" si="408"/>
        <v>-2183.3039999999455</v>
      </c>
      <c r="U998" s="128"/>
      <c r="V998" s="175"/>
      <c r="W998" s="10"/>
      <c r="X998" s="10"/>
      <c r="Z998" t="str">
        <f>LEFT(G998,2)</f>
        <v>25</v>
      </c>
      <c r="AA998" t="str">
        <f>+Z998&amp;"00"</f>
        <v>2500</v>
      </c>
      <c r="AB998" s="10"/>
      <c r="AC998" s="10"/>
      <c r="AD998" s="10"/>
      <c r="AE998" s="10"/>
      <c r="AF998" s="10"/>
      <c r="AG998" s="10"/>
      <c r="AH998" s="10"/>
      <c r="AI998" s="10"/>
    </row>
    <row r="999" spans="1:35">
      <c r="A999" s="10"/>
      <c r="B999" s="10" t="str">
        <f t="shared" ref="B999:B1000" si="423">+C999&amp;E999</f>
        <v>Below the Line</v>
      </c>
      <c r="C999" t="s">
        <v>20</v>
      </c>
      <c r="D999" t="s">
        <v>19</v>
      </c>
      <c r="E999" t="s">
        <v>214</v>
      </c>
      <c r="G999" t="s">
        <v>639</v>
      </c>
      <c r="I999" s="10"/>
      <c r="J999" s="107">
        <f>SUMIF(Data!C:C,G999,Data!Q:Q)</f>
        <v>0</v>
      </c>
      <c r="K999" s="107">
        <f>SUMIF(Comprometidos!A:A,'Cost Report'!G999,Comprometidos!E:E)</f>
        <v>0</v>
      </c>
      <c r="L999" s="107">
        <f t="shared" si="416"/>
        <v>0</v>
      </c>
      <c r="M999" s="107">
        <f t="shared" si="417"/>
        <v>0</v>
      </c>
      <c r="N999" s="107">
        <f t="shared" si="418"/>
        <v>0</v>
      </c>
      <c r="O999" s="107">
        <f>VLOOKUP(G999,Budget!$E$3:$G$2474,3,0)</f>
        <v>0</v>
      </c>
      <c r="P999" s="107">
        <f t="shared" si="419"/>
        <v>0</v>
      </c>
      <c r="Q999" s="107"/>
      <c r="R999" s="10"/>
      <c r="S999" s="107">
        <v>0</v>
      </c>
      <c r="T999" s="107">
        <f t="shared" si="408"/>
        <v>0</v>
      </c>
      <c r="U999" s="107"/>
      <c r="V999" s="175"/>
      <c r="W999" s="10"/>
      <c r="X999" s="10"/>
      <c r="Y999" t="str">
        <f t="shared" ref="Y999:Y1000" si="424">LEFT(G999,4)</f>
        <v>2594</v>
      </c>
      <c r="AB999" s="10"/>
      <c r="AC999" s="10"/>
      <c r="AD999" s="10"/>
      <c r="AE999" s="10"/>
      <c r="AF999" s="10"/>
      <c r="AG999" s="10"/>
      <c r="AH999" s="10"/>
      <c r="AI999" s="10"/>
    </row>
    <row r="1000" spans="1:35">
      <c r="A1000" s="10"/>
      <c r="B1000" s="10" t="str">
        <f t="shared" si="423"/>
        <v>Below the LineALL SHOW</v>
      </c>
      <c r="C1000" t="s">
        <v>20</v>
      </c>
      <c r="D1000" t="s">
        <v>19</v>
      </c>
      <c r="E1000" t="s">
        <v>227</v>
      </c>
      <c r="F1000" t="s">
        <v>4318</v>
      </c>
      <c r="G1000" t="s">
        <v>2566</v>
      </c>
      <c r="I1000" s="10"/>
      <c r="J1000" s="107">
        <f>SUMIF(Data!C:C,G1000,Data!Q:Q)</f>
        <v>469634.52399999986</v>
      </c>
      <c r="K1000" s="107">
        <f>SUMIF(Comprometidos!A:A,'Cost Report'!G1000,Comprometidos!E:E)</f>
        <v>0</v>
      </c>
      <c r="L1000" s="107">
        <f t="shared" si="416"/>
        <v>469634.52399999986</v>
      </c>
      <c r="M1000" s="107">
        <v>0</v>
      </c>
      <c r="N1000" s="107">
        <f t="shared" si="418"/>
        <v>469634.52399999986</v>
      </c>
      <c r="O1000" s="107">
        <f>VLOOKUP(G1000,Budget!$E$3:$G$2474,3,0)</f>
        <v>310000</v>
      </c>
      <c r="P1000" s="107">
        <f t="shared" si="419"/>
        <v>-159634.52399999986</v>
      </c>
      <c r="Q1000" s="107"/>
      <c r="R1000" s="10"/>
      <c r="S1000" s="107">
        <v>467451.21999999991</v>
      </c>
      <c r="T1000" s="107">
        <f t="shared" si="408"/>
        <v>-2183.3039999999455</v>
      </c>
      <c r="U1000" s="107"/>
      <c r="V1000" s="175"/>
      <c r="W1000" s="10"/>
      <c r="X1000" s="10"/>
      <c r="Y1000" t="str">
        <f t="shared" si="424"/>
        <v>2594</v>
      </c>
      <c r="AB1000" s="10"/>
      <c r="AC1000" s="10"/>
      <c r="AD1000" s="10"/>
      <c r="AE1000" s="10"/>
      <c r="AF1000" s="10"/>
      <c r="AG1000" s="10"/>
      <c r="AH1000" s="10"/>
      <c r="AI1000" s="10"/>
    </row>
    <row r="1001" spans="1:35">
      <c r="A1001" s="10"/>
      <c r="B1001" s="10" t="str">
        <f>+C1001</f>
        <v>Below the Line</v>
      </c>
      <c r="C1001" s="128" t="s">
        <v>20</v>
      </c>
      <c r="D1001" s="128" t="s">
        <v>2117</v>
      </c>
      <c r="E1001" s="128"/>
      <c r="F1001" s="128"/>
      <c r="G1001" s="128" t="s">
        <v>640</v>
      </c>
      <c r="H1001" s="128"/>
      <c r="I1001" s="10"/>
      <c r="J1001" s="129">
        <f>SUMIF($Y$11:$Y$2484,G1001,J$11:J$2484)</f>
        <v>6740.63</v>
      </c>
      <c r="K1001" s="129">
        <f>SUMIF($Y$11:$Y$2484,G1001,K$11:K$2484)</f>
        <v>0</v>
      </c>
      <c r="L1001" s="129">
        <f>SUMIF($Y$11:$Y$2484,G1001,L$11:L$2484)</f>
        <v>6740.63</v>
      </c>
      <c r="M1001" s="129">
        <f>SUMIF($Y$11:$Y$2484,G1001,M$11:M$2484)</f>
        <v>0</v>
      </c>
      <c r="N1001" s="129">
        <f>SUMIF($Y$11:$Y$2484,G1001,N$11:N$2484)</f>
        <v>6740.63</v>
      </c>
      <c r="O1001" s="129">
        <f>SUMIF($Y$11:$Y$2484,G1001,O$11:O$2484)</f>
        <v>40000</v>
      </c>
      <c r="P1001" s="129">
        <f>SUMIF($Y$11:$Y$2484,G1001,P$11:P$2484)</f>
        <v>33259.370000000003</v>
      </c>
      <c r="Q1001" s="129"/>
      <c r="R1001" s="10"/>
      <c r="S1001" s="129">
        <v>6740.63</v>
      </c>
      <c r="T1001" s="129">
        <f t="shared" si="408"/>
        <v>0</v>
      </c>
      <c r="U1001" s="128"/>
      <c r="V1001" s="175"/>
      <c r="W1001" s="10"/>
      <c r="X1001" s="10"/>
      <c r="Z1001" t="str">
        <f>LEFT(G1001,2)</f>
        <v>25</v>
      </c>
      <c r="AA1001" t="str">
        <f>+Z1001&amp;"00"</f>
        <v>2500</v>
      </c>
      <c r="AB1001" s="10"/>
      <c r="AC1001" s="10"/>
      <c r="AD1001" s="10"/>
      <c r="AE1001" s="10"/>
      <c r="AF1001" s="10"/>
      <c r="AG1001" s="10"/>
      <c r="AH1001" s="10"/>
      <c r="AI1001" s="10"/>
    </row>
    <row r="1002" spans="1:35">
      <c r="A1002" s="10"/>
      <c r="B1002" s="10" t="str">
        <f t="shared" ref="B1002:B1003" si="425">+C1002&amp;E1002</f>
        <v>Below the Line</v>
      </c>
      <c r="C1002" t="s">
        <v>20</v>
      </c>
      <c r="D1002" t="s">
        <v>19</v>
      </c>
      <c r="E1002" t="s">
        <v>214</v>
      </c>
      <c r="G1002" t="s">
        <v>641</v>
      </c>
      <c r="I1002" s="10"/>
      <c r="J1002" s="107">
        <f>SUMIF(Data!C:C,G1002,Data!Q:Q)</f>
        <v>0</v>
      </c>
      <c r="K1002" s="107">
        <f>SUMIF(Comprometidos!A:A,'Cost Report'!G1002,Comprometidos!E:E)</f>
        <v>0</v>
      </c>
      <c r="L1002" s="107">
        <f t="shared" si="416"/>
        <v>0</v>
      </c>
      <c r="M1002" s="107">
        <f t="shared" si="417"/>
        <v>0</v>
      </c>
      <c r="N1002" s="107">
        <f t="shared" si="418"/>
        <v>0</v>
      </c>
      <c r="O1002" s="107">
        <f>VLOOKUP(G1002,Budget!$E$3:$G$2474,3,0)</f>
        <v>0</v>
      </c>
      <c r="P1002" s="107">
        <f t="shared" si="419"/>
        <v>0</v>
      </c>
      <c r="Q1002" s="107"/>
      <c r="R1002" s="10"/>
      <c r="S1002" s="107">
        <v>0</v>
      </c>
      <c r="T1002" s="107">
        <f t="shared" si="408"/>
        <v>0</v>
      </c>
      <c r="U1002" s="107"/>
      <c r="V1002" s="175"/>
      <c r="W1002" s="10"/>
      <c r="X1002" s="10"/>
      <c r="Y1002" t="str">
        <f t="shared" ref="Y1002:Y1003" si="426">LEFT(G1002,4)</f>
        <v>2598</v>
      </c>
      <c r="AB1002" s="10"/>
      <c r="AC1002" s="10"/>
      <c r="AD1002" s="10"/>
      <c r="AE1002" s="10"/>
      <c r="AF1002" s="10"/>
      <c r="AG1002" s="10"/>
      <c r="AH1002" s="10"/>
      <c r="AI1002" s="10"/>
    </row>
    <row r="1003" spans="1:35">
      <c r="A1003" s="10"/>
      <c r="B1003" s="10" t="str">
        <f t="shared" si="425"/>
        <v>Below the LineALL SHOW</v>
      </c>
      <c r="C1003" t="s">
        <v>20</v>
      </c>
      <c r="D1003" t="s">
        <v>19</v>
      </c>
      <c r="E1003" t="s">
        <v>227</v>
      </c>
      <c r="F1003" t="s">
        <v>4318</v>
      </c>
      <c r="G1003" t="s">
        <v>2567</v>
      </c>
      <c r="I1003" s="10"/>
      <c r="J1003" s="107">
        <f>SUMIF(Data!C:C,G1003,Data!Q:Q)</f>
        <v>6740.63</v>
      </c>
      <c r="K1003" s="107">
        <f>SUMIF(Comprometidos!A:A,'Cost Report'!G1003,Comprometidos!E:E)</f>
        <v>0</v>
      </c>
      <c r="L1003" s="107">
        <f t="shared" si="416"/>
        <v>6740.63</v>
      </c>
      <c r="M1003" s="107">
        <v>0</v>
      </c>
      <c r="N1003" s="107">
        <f t="shared" si="418"/>
        <v>6740.63</v>
      </c>
      <c r="O1003" s="107">
        <f>VLOOKUP(G1003,Budget!$E$3:$G$2474,3,0)</f>
        <v>40000</v>
      </c>
      <c r="P1003" s="107">
        <f t="shared" si="419"/>
        <v>33259.370000000003</v>
      </c>
      <c r="Q1003" s="107"/>
      <c r="R1003" s="10"/>
      <c r="S1003" s="107">
        <v>6740.63</v>
      </c>
      <c r="T1003" s="107">
        <f t="shared" si="408"/>
        <v>0</v>
      </c>
      <c r="U1003" s="107"/>
      <c r="V1003" s="175"/>
      <c r="W1003" s="10"/>
      <c r="X1003" s="10"/>
      <c r="Y1003" t="str">
        <f t="shared" si="426"/>
        <v>2598</v>
      </c>
      <c r="AB1003" s="10"/>
      <c r="AC1003" s="10"/>
      <c r="AD1003" s="10"/>
      <c r="AE1003" s="10"/>
      <c r="AF1003" s="10"/>
      <c r="AG1003" s="10"/>
      <c r="AH1003" s="10"/>
      <c r="AI1003" s="10"/>
    </row>
    <row r="1004" spans="1:35">
      <c r="A1004" s="10"/>
      <c r="B1004" s="10"/>
      <c r="C1004" s="170" t="s">
        <v>20</v>
      </c>
      <c r="D1004" s="170" t="s">
        <v>8</v>
      </c>
      <c r="E1004" s="170"/>
      <c r="F1004" s="170"/>
      <c r="G1004" s="170" t="s">
        <v>642</v>
      </c>
      <c r="H1004" s="170"/>
      <c r="I1004" s="10"/>
      <c r="J1004" s="169">
        <f>SUMIF($AA$10:$AA$2484,G1004,J$10:J$2484)</f>
        <v>1298282</v>
      </c>
      <c r="K1004" s="169">
        <f>SUMIF($AA$10:$AA$2484,G1004,K$10:K$2484)</f>
        <v>0</v>
      </c>
      <c r="L1004" s="169">
        <f>SUMIF($AA$10:$AA$2484,G1004,L$10:L$2484)</f>
        <v>1298282</v>
      </c>
      <c r="M1004" s="169">
        <f>SUMIF($AA$10:$AA$2484,G1004,M$10:M$2484)</f>
        <v>0</v>
      </c>
      <c r="N1004" s="169">
        <f>SUMIF($AA$10:$AA$2484,G1004,N$10:N$2484)</f>
        <v>1298282</v>
      </c>
      <c r="O1004" s="169">
        <f>SUMIF($AA$10:$AA$2484,G1004,O$10:O$2484)</f>
        <v>1115250</v>
      </c>
      <c r="P1004" s="168">
        <f>SUMIF($AA$10:$AA$2484,G1004,P$10:P$2484)</f>
        <v>-183032</v>
      </c>
      <c r="Q1004" s="169"/>
      <c r="R1004" s="10"/>
      <c r="S1004" s="164">
        <v>1298162</v>
      </c>
      <c r="T1004" s="164">
        <f t="shared" si="408"/>
        <v>-120</v>
      </c>
      <c r="U1004" s="163"/>
      <c r="V1004" s="175"/>
      <c r="W1004" s="10"/>
      <c r="X1004" s="10"/>
      <c r="AB1004" s="10"/>
      <c r="AC1004" s="10"/>
      <c r="AD1004" s="10"/>
      <c r="AE1004" s="10"/>
      <c r="AF1004" s="10"/>
      <c r="AG1004" s="10"/>
      <c r="AH1004" s="10"/>
      <c r="AI1004" s="10"/>
    </row>
    <row r="1005" spans="1:35">
      <c r="A1005" s="10"/>
      <c r="B1005" s="10" t="str">
        <f>+C1005</f>
        <v>Below the Line</v>
      </c>
      <c r="C1005" s="128" t="s">
        <v>20</v>
      </c>
      <c r="D1005" s="128" t="s">
        <v>2117</v>
      </c>
      <c r="E1005" s="128"/>
      <c r="F1005" s="128"/>
      <c r="G1005" s="128" t="s">
        <v>2568</v>
      </c>
      <c r="H1005" s="128"/>
      <c r="I1005" s="10"/>
      <c r="J1005" s="129">
        <f>SUMIF($Y$11:$Y$2484,G1005,J$11:J$2484)</f>
        <v>82878.25</v>
      </c>
      <c r="K1005" s="129">
        <f>SUMIF($Y$11:$Y$2484,G1005,K$11:K$2484)</f>
        <v>0</v>
      </c>
      <c r="L1005" s="129">
        <f>SUMIF($Y$11:$Y$2484,G1005,L$11:L$2484)</f>
        <v>82878.25</v>
      </c>
      <c r="M1005" s="129">
        <f>SUMIF($Y$11:$Y$2484,G1005,M$11:M$2484)</f>
        <v>0</v>
      </c>
      <c r="N1005" s="129">
        <f>SUMIF($Y$11:$Y$2484,G1005,N$11:N$2484)</f>
        <v>82878.25</v>
      </c>
      <c r="O1005" s="129">
        <f>SUMIF($Y$11:$Y$2484,G1005,O$11:O$2484)</f>
        <v>61900</v>
      </c>
      <c r="P1005" s="129">
        <f>SUMIF($Y$11:$Y$2484,G1005,P$11:P$2484)</f>
        <v>-20978.25</v>
      </c>
      <c r="Q1005" s="129"/>
      <c r="R1005" s="10"/>
      <c r="S1005" s="129">
        <v>82878.25</v>
      </c>
      <c r="T1005" s="129">
        <f t="shared" si="408"/>
        <v>0</v>
      </c>
      <c r="U1005" s="128"/>
      <c r="V1005" s="175"/>
      <c r="W1005" s="10"/>
      <c r="X1005" s="10"/>
      <c r="Z1005" t="str">
        <f>LEFT(G1005,2)</f>
        <v>26</v>
      </c>
      <c r="AA1005" t="str">
        <f>+Z1005&amp;"00"</f>
        <v>2600</v>
      </c>
      <c r="AB1005" s="10"/>
      <c r="AC1005" s="10"/>
      <c r="AD1005" s="10"/>
      <c r="AE1005" s="10"/>
      <c r="AF1005" s="10"/>
      <c r="AG1005" s="10"/>
      <c r="AH1005" s="10"/>
      <c r="AI1005" s="10"/>
    </row>
    <row r="1006" spans="1:35">
      <c r="A1006" s="10"/>
      <c r="B1006" s="10" t="str">
        <f t="shared" ref="B1006:B1009" si="427">+C1006&amp;E1006</f>
        <v>Below the Line</v>
      </c>
      <c r="C1006" t="s">
        <v>20</v>
      </c>
      <c r="D1006" t="s">
        <v>19</v>
      </c>
      <c r="E1006" t="s">
        <v>214</v>
      </c>
      <c r="G1006" t="s">
        <v>2569</v>
      </c>
      <c r="I1006" s="10"/>
      <c r="J1006" s="107">
        <f>SUMIF(Data!C:C,G1006,Data!Q:Q)</f>
        <v>0</v>
      </c>
      <c r="K1006" s="107">
        <f>SUMIF(Comprometidos!A:A,'Cost Report'!G1006,Comprometidos!E:E)</f>
        <v>0</v>
      </c>
      <c r="L1006" s="107">
        <f t="shared" ref="L1006:L1031" si="428">+J1006+K1006</f>
        <v>0</v>
      </c>
      <c r="M1006" s="107">
        <f t="shared" ref="M1006:M1025" si="429">+O1006-L1006</f>
        <v>0</v>
      </c>
      <c r="N1006" s="107">
        <f t="shared" ref="N1006:N1031" si="430">+L1006+M1006</f>
        <v>0</v>
      </c>
      <c r="O1006" s="107">
        <f>VLOOKUP(G1006,Budget!$E$3:$G$2474,3,0)</f>
        <v>0</v>
      </c>
      <c r="P1006" s="107">
        <f t="shared" ref="P1006:P1031" si="431">+O1006-N1006</f>
        <v>0</v>
      </c>
      <c r="Q1006" s="107"/>
      <c r="R1006" s="10"/>
      <c r="S1006" s="107">
        <v>0</v>
      </c>
      <c r="T1006" s="107">
        <f t="shared" si="408"/>
        <v>0</v>
      </c>
      <c r="U1006" s="107"/>
      <c r="V1006" s="175"/>
      <c r="W1006" s="10"/>
      <c r="X1006" s="10"/>
      <c r="Y1006" t="str">
        <f t="shared" ref="Y1006:Y1009" si="432">LEFT(G1006,4)</f>
        <v>2601</v>
      </c>
      <c r="AB1006" s="10"/>
      <c r="AC1006" s="10"/>
      <c r="AD1006" s="10"/>
      <c r="AE1006" s="10"/>
      <c r="AF1006" s="10"/>
      <c r="AG1006" s="10"/>
      <c r="AH1006" s="10"/>
      <c r="AI1006" s="10"/>
    </row>
    <row r="1007" spans="1:35">
      <c r="A1007" s="10"/>
      <c r="B1007" s="10" t="str">
        <f t="shared" si="427"/>
        <v>Below the LineSHOOT</v>
      </c>
      <c r="C1007" t="s">
        <v>20</v>
      </c>
      <c r="D1007" t="s">
        <v>19</v>
      </c>
      <c r="E1007" t="s">
        <v>236</v>
      </c>
      <c r="G1007" t="s">
        <v>2570</v>
      </c>
      <c r="I1007" s="10"/>
      <c r="J1007" s="107">
        <f>SUMIF(Data!C:C,G1007,Data!Q:Q)</f>
        <v>63598.01</v>
      </c>
      <c r="K1007" s="107">
        <f>SUMIF(Comprometidos!A:A,'Cost Report'!G1007,Comprometidos!E:E)</f>
        <v>0</v>
      </c>
      <c r="L1007" s="107">
        <f t="shared" si="428"/>
        <v>63598.01</v>
      </c>
      <c r="M1007" s="107">
        <v>0</v>
      </c>
      <c r="N1007" s="107">
        <f t="shared" si="430"/>
        <v>63598.01</v>
      </c>
      <c r="O1007" s="107">
        <f>VLOOKUP(G1007,Budget!$E$3:$G$2474,3,0)</f>
        <v>47500</v>
      </c>
      <c r="P1007" s="107">
        <f t="shared" si="431"/>
        <v>-16098.010000000002</v>
      </c>
      <c r="Q1007" s="107"/>
      <c r="R1007" s="10"/>
      <c r="S1007" s="107">
        <v>63598.01</v>
      </c>
      <c r="T1007" s="107">
        <f t="shared" si="408"/>
        <v>0</v>
      </c>
      <c r="U1007" s="107"/>
      <c r="V1007" s="175"/>
      <c r="W1007" s="10"/>
      <c r="X1007" s="10"/>
      <c r="Y1007" t="str">
        <f t="shared" si="432"/>
        <v>2601</v>
      </c>
      <c r="AB1007" s="10"/>
      <c r="AC1007" s="10"/>
      <c r="AD1007" s="10"/>
      <c r="AE1007" s="10"/>
      <c r="AF1007" s="10"/>
      <c r="AG1007" s="10"/>
      <c r="AH1007" s="10"/>
      <c r="AI1007" s="10"/>
    </row>
    <row r="1008" spans="1:35">
      <c r="A1008" s="10"/>
      <c r="B1008" s="10" t="str">
        <f t="shared" si="427"/>
        <v>Below the Line</v>
      </c>
      <c r="C1008" t="s">
        <v>20</v>
      </c>
      <c r="D1008" t="s">
        <v>19</v>
      </c>
      <c r="E1008" t="s">
        <v>214</v>
      </c>
      <c r="G1008" t="s">
        <v>2571</v>
      </c>
      <c r="I1008" s="10"/>
      <c r="J1008" s="107">
        <f>SUMIF(Data!C:C,G1008,Data!Q:Q)</f>
        <v>0</v>
      </c>
      <c r="K1008" s="107">
        <f>SUMIF(Comprometidos!A:A,'Cost Report'!G1008,Comprometidos!E:E)</f>
        <v>0</v>
      </c>
      <c r="L1008" s="107">
        <f t="shared" si="428"/>
        <v>0</v>
      </c>
      <c r="M1008" s="107">
        <f t="shared" si="429"/>
        <v>0</v>
      </c>
      <c r="N1008" s="107">
        <f t="shared" si="430"/>
        <v>0</v>
      </c>
      <c r="O1008" s="107">
        <f>VLOOKUP(G1008,Budget!$E$3:$G$2474,3,0)</f>
        <v>0</v>
      </c>
      <c r="P1008" s="107">
        <f t="shared" si="431"/>
        <v>0</v>
      </c>
      <c r="Q1008" s="107"/>
      <c r="R1008" s="10"/>
      <c r="S1008" s="107">
        <v>0</v>
      </c>
      <c r="T1008" s="107">
        <f t="shared" si="408"/>
        <v>0</v>
      </c>
      <c r="U1008" s="107"/>
      <c r="V1008" s="175"/>
      <c r="W1008" s="10"/>
      <c r="X1008" s="10"/>
      <c r="Y1008" t="str">
        <f t="shared" si="432"/>
        <v>2601</v>
      </c>
      <c r="AB1008" s="10"/>
      <c r="AC1008" s="10"/>
      <c r="AD1008" s="10"/>
      <c r="AE1008" s="10"/>
      <c r="AF1008" s="10"/>
      <c r="AG1008" s="10"/>
      <c r="AH1008" s="10"/>
      <c r="AI1008" s="10"/>
    </row>
    <row r="1009" spans="1:35">
      <c r="A1009" s="10"/>
      <c r="B1009" s="10" t="str">
        <f t="shared" si="427"/>
        <v>Below the LineSHOOT</v>
      </c>
      <c r="C1009" t="s">
        <v>20</v>
      </c>
      <c r="D1009" t="s">
        <v>19</v>
      </c>
      <c r="E1009" t="s">
        <v>236</v>
      </c>
      <c r="G1009" t="s">
        <v>2572</v>
      </c>
      <c r="I1009" s="10"/>
      <c r="J1009" s="107">
        <f>SUMIF(Data!C:C,G1009,Data!Q:Q)</f>
        <v>19280.239999999998</v>
      </c>
      <c r="K1009" s="107">
        <f>SUMIF(Comprometidos!A:A,'Cost Report'!G1009,Comprometidos!E:E)</f>
        <v>0</v>
      </c>
      <c r="L1009" s="107">
        <f t="shared" si="428"/>
        <v>19280.239999999998</v>
      </c>
      <c r="M1009" s="107">
        <v>0</v>
      </c>
      <c r="N1009" s="107">
        <f t="shared" si="430"/>
        <v>19280.239999999998</v>
      </c>
      <c r="O1009" s="107">
        <f>VLOOKUP(G1009,Budget!$E$3:$G$2474,3,0)</f>
        <v>14400</v>
      </c>
      <c r="P1009" s="107">
        <f t="shared" si="431"/>
        <v>-4880.239999999998</v>
      </c>
      <c r="Q1009" s="107"/>
      <c r="R1009" s="10"/>
      <c r="S1009" s="107">
        <v>19280.239999999998</v>
      </c>
      <c r="T1009" s="107">
        <f t="shared" si="408"/>
        <v>0</v>
      </c>
      <c r="U1009" s="107"/>
      <c r="V1009" s="175"/>
      <c r="W1009" s="10"/>
      <c r="X1009" s="10"/>
      <c r="Y1009" t="str">
        <f t="shared" si="432"/>
        <v>2601</v>
      </c>
      <c r="AB1009" s="10"/>
      <c r="AC1009" s="10"/>
      <c r="AD1009" s="10"/>
      <c r="AE1009" s="10"/>
      <c r="AF1009" s="10"/>
      <c r="AG1009" s="10"/>
      <c r="AH1009" s="10"/>
      <c r="AI1009" s="10"/>
    </row>
    <row r="1010" spans="1:35">
      <c r="A1010" s="10"/>
      <c r="B1010" s="10" t="str">
        <f>+C1010</f>
        <v>Below the Line</v>
      </c>
      <c r="C1010" s="128" t="s">
        <v>20</v>
      </c>
      <c r="D1010" s="128" t="s">
        <v>2117</v>
      </c>
      <c r="E1010" s="128"/>
      <c r="F1010" s="128"/>
      <c r="G1010" s="128" t="s">
        <v>643</v>
      </c>
      <c r="H1010" s="128"/>
      <c r="I1010" s="10"/>
      <c r="J1010" s="129">
        <f>SUMIF($Y$11:$Y$2484,G1010,J$11:J$2484)</f>
        <v>706353.75</v>
      </c>
      <c r="K1010" s="129">
        <f>SUMIF($Y$11:$Y$2484,G1010,K$11:K$2484)</f>
        <v>0</v>
      </c>
      <c r="L1010" s="129">
        <f>SUMIF($Y$11:$Y$2484,G1010,L$11:L$2484)</f>
        <v>706353.75</v>
      </c>
      <c r="M1010" s="129">
        <f>SUMIF($Y$11:$Y$2484,G1010,M$11:M$2484)</f>
        <v>0</v>
      </c>
      <c r="N1010" s="129">
        <f>SUMIF($Y$11:$Y$2484,G1010,N$11:N$2484)</f>
        <v>706353.75</v>
      </c>
      <c r="O1010" s="129">
        <f>SUMIF($Y$11:$Y$2484,G1010,O$11:O$2484)</f>
        <v>660900</v>
      </c>
      <c r="P1010" s="129">
        <f>SUMIF($Y$11:$Y$2484,G1010,P$11:P$2484)</f>
        <v>-45453.750000000015</v>
      </c>
      <c r="Q1010" s="129"/>
      <c r="R1010" s="10"/>
      <c r="S1010" s="129">
        <v>706353.75</v>
      </c>
      <c r="T1010" s="129">
        <f t="shared" si="408"/>
        <v>0</v>
      </c>
      <c r="U1010" s="128"/>
      <c r="V1010" s="175"/>
      <c r="W1010" s="10"/>
      <c r="X1010" s="10"/>
      <c r="Z1010" t="str">
        <f>LEFT(G1010,2)</f>
        <v>26</v>
      </c>
      <c r="AA1010" t="str">
        <f>+Z1010&amp;"00"</f>
        <v>2600</v>
      </c>
      <c r="AB1010" s="10"/>
      <c r="AC1010" s="10"/>
      <c r="AD1010" s="10"/>
      <c r="AE1010" s="10"/>
      <c r="AF1010" s="10"/>
      <c r="AG1010" s="10"/>
      <c r="AH1010" s="10"/>
      <c r="AI1010" s="10"/>
    </row>
    <row r="1011" spans="1:35">
      <c r="A1011" s="10"/>
      <c r="B1011" s="10" t="str">
        <f t="shared" ref="B1011:B1032" si="433">+C1011&amp;E1011</f>
        <v>Below the Line</v>
      </c>
      <c r="C1011" t="s">
        <v>20</v>
      </c>
      <c r="D1011" t="s">
        <v>19</v>
      </c>
      <c r="E1011" t="s">
        <v>214</v>
      </c>
      <c r="G1011" t="s">
        <v>644</v>
      </c>
      <c r="I1011" s="10"/>
      <c r="J1011" s="107">
        <f>SUMIF(Data!C:C,G1011,Data!Q:Q)</f>
        <v>0</v>
      </c>
      <c r="K1011" s="107">
        <f>SUMIF(Comprometidos!A:A,'Cost Report'!G1011,Comprometidos!E:E)</f>
        <v>0</v>
      </c>
      <c r="L1011" s="107">
        <f t="shared" si="428"/>
        <v>0</v>
      </c>
      <c r="M1011" s="107">
        <f t="shared" si="429"/>
        <v>0</v>
      </c>
      <c r="N1011" s="107">
        <f t="shared" si="430"/>
        <v>0</v>
      </c>
      <c r="O1011" s="107">
        <f>VLOOKUP(G1011,Budget!$E$3:$G$2474,3,0)</f>
        <v>0</v>
      </c>
      <c r="P1011" s="107">
        <f t="shared" si="431"/>
        <v>0</v>
      </c>
      <c r="Q1011" s="107"/>
      <c r="R1011" s="10"/>
      <c r="S1011" s="107">
        <v>0</v>
      </c>
      <c r="T1011" s="107">
        <f t="shared" si="408"/>
        <v>0</v>
      </c>
      <c r="U1011" s="107"/>
      <c r="V1011" s="175"/>
      <c r="W1011" s="10"/>
      <c r="X1011" s="10"/>
      <c r="Y1011" t="str">
        <f t="shared" ref="Y1011:Y1032" si="434">LEFT(G1011,4)</f>
        <v>2602</v>
      </c>
      <c r="AB1011" s="10"/>
      <c r="AC1011" s="10"/>
      <c r="AD1011" s="10"/>
      <c r="AE1011" s="10"/>
      <c r="AF1011" s="10"/>
      <c r="AG1011" s="10"/>
      <c r="AH1011" s="10"/>
      <c r="AI1011" s="10"/>
    </row>
    <row r="1012" spans="1:35">
      <c r="A1012" s="10"/>
      <c r="B1012" s="10" t="str">
        <f t="shared" si="433"/>
        <v>Below the LineSHOOT</v>
      </c>
      <c r="C1012" t="s">
        <v>20</v>
      </c>
      <c r="D1012" t="s">
        <v>19</v>
      </c>
      <c r="E1012" t="s">
        <v>236</v>
      </c>
      <c r="G1012" t="s">
        <v>1734</v>
      </c>
      <c r="I1012" s="10"/>
      <c r="J1012" s="107">
        <f>SUMIF(Data!C:C,G1012,Data!Q:Q)</f>
        <v>45000</v>
      </c>
      <c r="K1012" s="107">
        <f>SUMIF(Comprometidos!A:A,'Cost Report'!G1012,Comprometidos!E:E)</f>
        <v>0</v>
      </c>
      <c r="L1012" s="107">
        <f t="shared" si="428"/>
        <v>45000</v>
      </c>
      <c r="M1012" s="107">
        <f t="shared" si="429"/>
        <v>0</v>
      </c>
      <c r="N1012" s="107">
        <f t="shared" si="430"/>
        <v>45000</v>
      </c>
      <c r="O1012" s="107">
        <f>VLOOKUP(G1012,Budget!$E$3:$G$2474,3,0)</f>
        <v>45000</v>
      </c>
      <c r="P1012" s="107">
        <f t="shared" si="431"/>
        <v>0</v>
      </c>
      <c r="Q1012" s="107"/>
      <c r="R1012" s="10"/>
      <c r="S1012" s="107">
        <v>45000</v>
      </c>
      <c r="T1012" s="107">
        <f t="shared" si="408"/>
        <v>0</v>
      </c>
      <c r="U1012" s="107"/>
      <c r="V1012" s="175"/>
      <c r="W1012" s="10"/>
      <c r="X1012" s="10"/>
      <c r="Y1012" t="str">
        <f t="shared" si="434"/>
        <v>2602</v>
      </c>
      <c r="AB1012" s="10"/>
      <c r="AC1012" s="10"/>
      <c r="AD1012" s="10"/>
      <c r="AE1012" s="10"/>
      <c r="AF1012" s="10"/>
      <c r="AG1012" s="10"/>
      <c r="AH1012" s="10"/>
      <c r="AI1012" s="10"/>
    </row>
    <row r="1013" spans="1:35">
      <c r="A1013" s="10"/>
      <c r="B1013" s="10" t="str">
        <f t="shared" si="433"/>
        <v>Below the LineSHOOT</v>
      </c>
      <c r="C1013" t="s">
        <v>20</v>
      </c>
      <c r="D1013" t="s">
        <v>19</v>
      </c>
      <c r="E1013" t="s">
        <v>236</v>
      </c>
      <c r="G1013" t="s">
        <v>1735</v>
      </c>
      <c r="I1013" s="10"/>
      <c r="J1013" s="107">
        <f>SUMIF(Data!C:C,G1013,Data!Q:Q)</f>
        <v>51800</v>
      </c>
      <c r="K1013" s="107">
        <f>SUMIF(Comprometidos!A:A,'Cost Report'!G1013,Comprometidos!E:E)</f>
        <v>0</v>
      </c>
      <c r="L1013" s="107">
        <f t="shared" si="428"/>
        <v>51800</v>
      </c>
      <c r="M1013" s="107">
        <v>0</v>
      </c>
      <c r="N1013" s="107">
        <f t="shared" si="430"/>
        <v>51800</v>
      </c>
      <c r="O1013" s="107">
        <f>VLOOKUP(G1013,Budget!$E$3:$G$2474,3,0)</f>
        <v>36000</v>
      </c>
      <c r="P1013" s="107">
        <f t="shared" si="431"/>
        <v>-15800</v>
      </c>
      <c r="Q1013" s="107"/>
      <c r="R1013" s="10"/>
      <c r="S1013" s="107">
        <v>51800</v>
      </c>
      <c r="T1013" s="107">
        <f t="shared" si="408"/>
        <v>0</v>
      </c>
      <c r="U1013" s="107"/>
      <c r="V1013" s="175"/>
      <c r="W1013" s="10"/>
      <c r="X1013" s="10"/>
      <c r="Y1013" t="str">
        <f t="shared" si="434"/>
        <v>2602</v>
      </c>
      <c r="AB1013" s="10"/>
      <c r="AC1013" s="10"/>
      <c r="AD1013" s="10"/>
      <c r="AE1013" s="10"/>
      <c r="AF1013" s="10"/>
      <c r="AG1013" s="10"/>
      <c r="AH1013" s="10"/>
      <c r="AI1013" s="10"/>
    </row>
    <row r="1014" spans="1:35">
      <c r="A1014" s="10"/>
      <c r="B1014" s="10" t="str">
        <f t="shared" si="433"/>
        <v>Below the LineSHOOT</v>
      </c>
      <c r="C1014" t="s">
        <v>20</v>
      </c>
      <c r="D1014" t="s">
        <v>19</v>
      </c>
      <c r="E1014" t="s">
        <v>236</v>
      </c>
      <c r="G1014" t="s">
        <v>1736</v>
      </c>
      <c r="I1014" s="10"/>
      <c r="J1014" s="107">
        <f>SUMIF(Data!C:C,G1014,Data!Q:Q)</f>
        <v>96000</v>
      </c>
      <c r="K1014" s="107">
        <f>SUMIF(Comprometidos!A:A,'Cost Report'!G1014,Comprometidos!E:E)</f>
        <v>0</v>
      </c>
      <c r="L1014" s="107">
        <f t="shared" si="428"/>
        <v>96000</v>
      </c>
      <c r="M1014" s="107">
        <v>0</v>
      </c>
      <c r="N1014" s="107">
        <f t="shared" si="430"/>
        <v>96000</v>
      </c>
      <c r="O1014" s="107">
        <f>VLOOKUP(G1014,Budget!$E$3:$G$2474,3,0)</f>
        <v>96000</v>
      </c>
      <c r="P1014" s="107">
        <f t="shared" si="431"/>
        <v>0</v>
      </c>
      <c r="Q1014" s="107"/>
      <c r="R1014" s="10"/>
      <c r="S1014" s="107">
        <v>96000</v>
      </c>
      <c r="T1014" s="107">
        <f t="shared" si="408"/>
        <v>0</v>
      </c>
      <c r="U1014" s="107"/>
      <c r="V1014" s="175"/>
      <c r="W1014" s="10"/>
      <c r="X1014" s="10"/>
      <c r="Y1014" t="str">
        <f t="shared" si="434"/>
        <v>2602</v>
      </c>
      <c r="AB1014" s="10"/>
      <c r="AC1014" s="10"/>
      <c r="AD1014" s="10"/>
      <c r="AE1014" s="10"/>
      <c r="AF1014" s="10"/>
      <c r="AG1014" s="10"/>
      <c r="AH1014" s="10"/>
      <c r="AI1014" s="10"/>
    </row>
    <row r="1015" spans="1:35">
      <c r="A1015" s="10"/>
      <c r="B1015" s="10" t="str">
        <f t="shared" si="433"/>
        <v>Below the LineSHOOT</v>
      </c>
      <c r="C1015" t="s">
        <v>20</v>
      </c>
      <c r="D1015" t="s">
        <v>19</v>
      </c>
      <c r="E1015" t="s">
        <v>236</v>
      </c>
      <c r="G1015" t="s">
        <v>1737</v>
      </c>
      <c r="I1015" s="10"/>
      <c r="J1015" s="107">
        <f>SUMIF(Data!C:C,G1015,Data!Q:Q)</f>
        <v>67200</v>
      </c>
      <c r="K1015" s="107">
        <f>SUMIF(Comprometidos!A:A,'Cost Report'!G1015,Comprometidos!E:E)</f>
        <v>0</v>
      </c>
      <c r="L1015" s="107">
        <f t="shared" si="428"/>
        <v>67200</v>
      </c>
      <c r="M1015" s="107">
        <f t="shared" si="429"/>
        <v>0</v>
      </c>
      <c r="N1015" s="107">
        <f t="shared" si="430"/>
        <v>67200</v>
      </c>
      <c r="O1015" s="107">
        <f>VLOOKUP(G1015,Budget!$E$3:$G$2474,3,0)</f>
        <v>67200</v>
      </c>
      <c r="P1015" s="107">
        <f t="shared" si="431"/>
        <v>0</v>
      </c>
      <c r="Q1015" s="107"/>
      <c r="R1015" s="10"/>
      <c r="S1015" s="107">
        <v>67200</v>
      </c>
      <c r="T1015" s="107">
        <f t="shared" si="408"/>
        <v>0</v>
      </c>
      <c r="U1015" s="107"/>
      <c r="V1015" s="175"/>
      <c r="W1015" s="10"/>
      <c r="X1015" s="10"/>
      <c r="Y1015" t="str">
        <f t="shared" si="434"/>
        <v>2602</v>
      </c>
      <c r="AB1015" s="10"/>
      <c r="AC1015" s="10"/>
      <c r="AD1015" s="10"/>
      <c r="AE1015" s="10"/>
      <c r="AF1015" s="10"/>
      <c r="AG1015" s="10"/>
      <c r="AH1015" s="10"/>
      <c r="AI1015" s="10"/>
    </row>
    <row r="1016" spans="1:35">
      <c r="A1016" s="10"/>
      <c r="B1016" s="10" t="str">
        <f t="shared" si="433"/>
        <v>Below the LineSHOOT</v>
      </c>
      <c r="C1016" t="s">
        <v>20</v>
      </c>
      <c r="D1016" t="s">
        <v>19</v>
      </c>
      <c r="E1016" t="s">
        <v>236</v>
      </c>
      <c r="G1016" t="s">
        <v>1738</v>
      </c>
      <c r="I1016" s="10"/>
      <c r="J1016" s="107">
        <f>SUMIF(Data!C:C,G1016,Data!Q:Q)</f>
        <v>24000</v>
      </c>
      <c r="K1016" s="107">
        <f>SUMIF(Comprometidos!A:A,'Cost Report'!G1016,Comprometidos!E:E)</f>
        <v>0</v>
      </c>
      <c r="L1016" s="107">
        <f t="shared" si="428"/>
        <v>24000</v>
      </c>
      <c r="M1016" s="107">
        <v>0</v>
      </c>
      <c r="N1016" s="107">
        <f t="shared" si="430"/>
        <v>24000</v>
      </c>
      <c r="O1016" s="107">
        <f>VLOOKUP(G1016,Budget!$E$3:$G$2474,3,0)</f>
        <v>24000</v>
      </c>
      <c r="P1016" s="107">
        <f t="shared" si="431"/>
        <v>0</v>
      </c>
      <c r="Q1016" s="107"/>
      <c r="R1016" s="10"/>
      <c r="S1016" s="107">
        <v>24000</v>
      </c>
      <c r="T1016" s="107">
        <f t="shared" si="408"/>
        <v>0</v>
      </c>
      <c r="U1016" s="107"/>
      <c r="V1016" s="175"/>
      <c r="W1016" s="10"/>
      <c r="X1016" s="10"/>
      <c r="Y1016" t="str">
        <f t="shared" si="434"/>
        <v>2602</v>
      </c>
      <c r="AB1016" s="10"/>
      <c r="AC1016" s="10"/>
      <c r="AD1016" s="10"/>
      <c r="AE1016" s="10"/>
      <c r="AF1016" s="10"/>
      <c r="AG1016" s="10"/>
      <c r="AH1016" s="10"/>
      <c r="AI1016" s="10"/>
    </row>
    <row r="1017" spans="1:35">
      <c r="A1017" s="10"/>
      <c r="B1017" s="10" t="str">
        <f t="shared" si="433"/>
        <v>Below the LineSHOOT</v>
      </c>
      <c r="C1017" t="s">
        <v>20</v>
      </c>
      <c r="D1017" t="s">
        <v>19</v>
      </c>
      <c r="E1017" t="s">
        <v>236</v>
      </c>
      <c r="G1017" t="s">
        <v>1739</v>
      </c>
      <c r="I1017" s="10"/>
      <c r="J1017" s="107">
        <f>SUMIF(Data!C:C,G1017,Data!Q:Q)</f>
        <v>16000</v>
      </c>
      <c r="K1017" s="107">
        <f>SUMIF(Comprometidos!A:A,'Cost Report'!G1017,Comprometidos!E:E)</f>
        <v>0</v>
      </c>
      <c r="L1017" s="107">
        <f t="shared" si="428"/>
        <v>16000</v>
      </c>
      <c r="M1017" s="107">
        <f t="shared" si="429"/>
        <v>0</v>
      </c>
      <c r="N1017" s="107">
        <f t="shared" si="430"/>
        <v>16000</v>
      </c>
      <c r="O1017" s="107">
        <f>VLOOKUP(G1017,Budget!$E$3:$G$2474,3,0)</f>
        <v>16000</v>
      </c>
      <c r="P1017" s="107">
        <f t="shared" si="431"/>
        <v>0</v>
      </c>
      <c r="Q1017" s="107"/>
      <c r="R1017" s="10"/>
      <c r="S1017" s="107">
        <v>16000</v>
      </c>
      <c r="T1017" s="107">
        <f t="shared" si="408"/>
        <v>0</v>
      </c>
      <c r="U1017" s="107"/>
      <c r="V1017" s="175"/>
      <c r="W1017" s="10"/>
      <c r="X1017" s="10"/>
      <c r="Y1017" t="str">
        <f t="shared" si="434"/>
        <v>2602</v>
      </c>
      <c r="AB1017" s="10"/>
      <c r="AC1017" s="10"/>
      <c r="AD1017" s="10"/>
      <c r="AE1017" s="10"/>
      <c r="AF1017" s="10"/>
      <c r="AG1017" s="10"/>
      <c r="AH1017" s="10"/>
      <c r="AI1017" s="10"/>
    </row>
    <row r="1018" spans="1:35">
      <c r="A1018" s="10"/>
      <c r="B1018" s="10" t="str">
        <f t="shared" si="433"/>
        <v>Below the LineSHOOT</v>
      </c>
      <c r="C1018" t="s">
        <v>20</v>
      </c>
      <c r="D1018" t="s">
        <v>19</v>
      </c>
      <c r="E1018" t="s">
        <v>236</v>
      </c>
      <c r="G1018" t="s">
        <v>1740</v>
      </c>
      <c r="I1018" s="10"/>
      <c r="J1018" s="107">
        <f>SUMIF(Data!C:C,G1018,Data!Q:Q)</f>
        <v>28066.87</v>
      </c>
      <c r="K1018" s="107">
        <f>SUMIF(Comprometidos!A:A,'Cost Report'!G1018,Comprometidos!E:E)</f>
        <v>0</v>
      </c>
      <c r="L1018" s="107">
        <f t="shared" si="428"/>
        <v>28066.87</v>
      </c>
      <c r="M1018" s="107">
        <v>0</v>
      </c>
      <c r="N1018" s="107">
        <f t="shared" si="430"/>
        <v>28066.87</v>
      </c>
      <c r="O1018" s="107">
        <f>VLOOKUP(G1018,Budget!$E$3:$G$2474,3,0)</f>
        <v>12000</v>
      </c>
      <c r="P1018" s="107">
        <f t="shared" si="431"/>
        <v>-16066.869999999999</v>
      </c>
      <c r="Q1018" s="107"/>
      <c r="R1018" s="10"/>
      <c r="S1018" s="107">
        <v>28066.87</v>
      </c>
      <c r="T1018" s="107">
        <f t="shared" si="408"/>
        <v>0</v>
      </c>
      <c r="U1018" s="107"/>
      <c r="V1018" s="175"/>
      <c r="W1018" s="10"/>
      <c r="X1018" s="10"/>
      <c r="Y1018" t="str">
        <f t="shared" si="434"/>
        <v>2602</v>
      </c>
      <c r="AB1018" s="10"/>
      <c r="AC1018" s="10"/>
      <c r="AD1018" s="10"/>
      <c r="AE1018" s="10"/>
      <c r="AF1018" s="10"/>
      <c r="AG1018" s="10"/>
      <c r="AH1018" s="10"/>
      <c r="AI1018" s="10"/>
    </row>
    <row r="1019" spans="1:35">
      <c r="A1019" s="10"/>
      <c r="B1019" s="10" t="str">
        <f t="shared" si="433"/>
        <v>Below the LineSHOOT</v>
      </c>
      <c r="C1019" t="s">
        <v>20</v>
      </c>
      <c r="D1019" t="s">
        <v>19</v>
      </c>
      <c r="E1019" t="s">
        <v>236</v>
      </c>
      <c r="G1019" t="s">
        <v>1741</v>
      </c>
      <c r="I1019" s="10"/>
      <c r="J1019" s="107">
        <f>SUMIF(Data!C:C,G1019,Data!Q:Q)</f>
        <v>9500</v>
      </c>
      <c r="K1019" s="107">
        <f>SUMIF(Comprometidos!A:A,'Cost Report'!G1019,Comprometidos!E:E)</f>
        <v>0</v>
      </c>
      <c r="L1019" s="107">
        <f t="shared" si="428"/>
        <v>9500</v>
      </c>
      <c r="M1019" s="107">
        <f t="shared" si="429"/>
        <v>0</v>
      </c>
      <c r="N1019" s="107">
        <f t="shared" si="430"/>
        <v>9500</v>
      </c>
      <c r="O1019" s="107">
        <f>VLOOKUP(G1019,Budget!$E$3:$G$2474,3,0)</f>
        <v>9500</v>
      </c>
      <c r="P1019" s="107">
        <f t="shared" si="431"/>
        <v>0</v>
      </c>
      <c r="Q1019" s="107"/>
      <c r="R1019" s="10"/>
      <c r="S1019" s="107">
        <v>9500</v>
      </c>
      <c r="T1019" s="107">
        <f t="shared" si="408"/>
        <v>0</v>
      </c>
      <c r="U1019" s="107"/>
      <c r="V1019" s="175"/>
      <c r="W1019" s="10"/>
      <c r="X1019" s="10"/>
      <c r="Y1019" t="str">
        <f t="shared" si="434"/>
        <v>2602</v>
      </c>
      <c r="AB1019" s="10"/>
      <c r="AC1019" s="10"/>
      <c r="AD1019" s="10"/>
      <c r="AE1019" s="10"/>
      <c r="AF1019" s="10"/>
      <c r="AG1019" s="10"/>
      <c r="AH1019" s="10"/>
      <c r="AI1019" s="10"/>
    </row>
    <row r="1020" spans="1:35">
      <c r="A1020" s="10"/>
      <c r="B1020" s="10" t="str">
        <f t="shared" si="433"/>
        <v>Below the LineSHOOT</v>
      </c>
      <c r="C1020" t="s">
        <v>20</v>
      </c>
      <c r="D1020" t="s">
        <v>19</v>
      </c>
      <c r="E1020" t="s">
        <v>236</v>
      </c>
      <c r="G1020" t="s">
        <v>1742</v>
      </c>
      <c r="I1020" s="10"/>
      <c r="J1020" s="107">
        <f>SUMIF(Data!C:C,G1020,Data!Q:Q)</f>
        <v>14271.12</v>
      </c>
      <c r="K1020" s="107">
        <f>SUMIF(Comprometidos!A:A,'Cost Report'!G1020,Comprometidos!E:E)</f>
        <v>0</v>
      </c>
      <c r="L1020" s="107">
        <f t="shared" si="428"/>
        <v>14271.12</v>
      </c>
      <c r="M1020" s="107">
        <v>0</v>
      </c>
      <c r="N1020" s="107">
        <f t="shared" si="430"/>
        <v>14271.12</v>
      </c>
      <c r="O1020" s="107">
        <f>VLOOKUP(G1020,Budget!$E$3:$G$2474,3,0)</f>
        <v>14000</v>
      </c>
      <c r="P1020" s="107">
        <f t="shared" si="431"/>
        <v>-271.1200000000008</v>
      </c>
      <c r="Q1020" s="107"/>
      <c r="R1020" s="10"/>
      <c r="S1020" s="107">
        <v>14271.12</v>
      </c>
      <c r="T1020" s="107">
        <f t="shared" si="408"/>
        <v>0</v>
      </c>
      <c r="U1020" s="107"/>
      <c r="V1020" s="175"/>
      <c r="W1020" s="10"/>
      <c r="X1020" s="10"/>
      <c r="Y1020" t="str">
        <f t="shared" si="434"/>
        <v>2602</v>
      </c>
      <c r="AB1020" s="10"/>
      <c r="AC1020" s="10"/>
      <c r="AD1020" s="10"/>
      <c r="AE1020" s="10"/>
      <c r="AF1020" s="10"/>
      <c r="AG1020" s="10"/>
      <c r="AH1020" s="10"/>
      <c r="AI1020" s="10"/>
    </row>
    <row r="1021" spans="1:35">
      <c r="A1021" s="10"/>
      <c r="B1021" s="10" t="str">
        <f t="shared" si="433"/>
        <v>Below the LineSHOOT</v>
      </c>
      <c r="C1021" t="s">
        <v>20</v>
      </c>
      <c r="D1021" t="s">
        <v>19</v>
      </c>
      <c r="E1021" t="s">
        <v>236</v>
      </c>
      <c r="G1021" t="s">
        <v>1743</v>
      </c>
      <c r="I1021" s="10"/>
      <c r="J1021" s="107">
        <f>SUMIF(Data!C:C,G1021,Data!Q:Q)</f>
        <v>0</v>
      </c>
      <c r="K1021" s="107">
        <f>SUMIF(Comprometidos!A:A,'Cost Report'!G1021,Comprometidos!E:E)</f>
        <v>0</v>
      </c>
      <c r="L1021" s="107">
        <f t="shared" si="428"/>
        <v>0</v>
      </c>
      <c r="M1021" s="107">
        <v>0</v>
      </c>
      <c r="N1021" s="107">
        <f t="shared" si="430"/>
        <v>0</v>
      </c>
      <c r="O1021" s="107">
        <f>VLOOKUP(G1021,Budget!$E$3:$G$2474,3,0)</f>
        <v>12000</v>
      </c>
      <c r="P1021" s="107">
        <f t="shared" si="431"/>
        <v>12000</v>
      </c>
      <c r="Q1021" s="107" t="s">
        <v>3694</v>
      </c>
      <c r="R1021" s="10"/>
      <c r="S1021" s="107">
        <v>0</v>
      </c>
      <c r="T1021" s="107">
        <f t="shared" si="408"/>
        <v>0</v>
      </c>
      <c r="U1021" s="107"/>
      <c r="V1021" s="175"/>
      <c r="W1021" s="10"/>
      <c r="X1021" s="10"/>
      <c r="Y1021" t="str">
        <f t="shared" si="434"/>
        <v>2602</v>
      </c>
      <c r="AB1021" s="10"/>
      <c r="AC1021" s="10"/>
      <c r="AD1021" s="10"/>
      <c r="AE1021" s="10"/>
      <c r="AF1021" s="10"/>
      <c r="AG1021" s="10"/>
      <c r="AH1021" s="10"/>
      <c r="AI1021" s="10"/>
    </row>
    <row r="1022" spans="1:35">
      <c r="A1022" s="10"/>
      <c r="B1022" s="10" t="str">
        <f t="shared" si="433"/>
        <v>Below the LineSHOOT</v>
      </c>
      <c r="C1022" t="s">
        <v>20</v>
      </c>
      <c r="D1022" t="s">
        <v>19</v>
      </c>
      <c r="E1022" t="s">
        <v>236</v>
      </c>
      <c r="G1022" t="s">
        <v>1744</v>
      </c>
      <c r="I1022" s="10"/>
      <c r="J1022" s="107">
        <f>SUMIF(Data!C:C,G1022,Data!Q:Q)</f>
        <v>12000</v>
      </c>
      <c r="K1022" s="107">
        <f>SUMIF(Comprometidos!A:A,'Cost Report'!G1022,Comprometidos!E:E)</f>
        <v>0</v>
      </c>
      <c r="L1022" s="107">
        <f t="shared" si="428"/>
        <v>12000</v>
      </c>
      <c r="M1022" s="107">
        <f t="shared" si="429"/>
        <v>0</v>
      </c>
      <c r="N1022" s="107">
        <f t="shared" si="430"/>
        <v>12000</v>
      </c>
      <c r="O1022" s="107">
        <f>VLOOKUP(G1022,Budget!$E$3:$G$2474,3,0)</f>
        <v>12000</v>
      </c>
      <c r="P1022" s="107">
        <f t="shared" si="431"/>
        <v>0</v>
      </c>
      <c r="Q1022" s="107"/>
      <c r="R1022" s="10"/>
      <c r="S1022" s="107">
        <v>12000</v>
      </c>
      <c r="T1022" s="107">
        <f t="shared" si="408"/>
        <v>0</v>
      </c>
      <c r="U1022" s="107"/>
      <c r="V1022" s="175"/>
      <c r="W1022" s="10"/>
      <c r="X1022" s="10"/>
      <c r="Y1022" t="str">
        <f t="shared" si="434"/>
        <v>2602</v>
      </c>
      <c r="AB1022" s="10"/>
      <c r="AC1022" s="10"/>
      <c r="AD1022" s="10"/>
      <c r="AE1022" s="10"/>
      <c r="AF1022" s="10"/>
      <c r="AG1022" s="10"/>
      <c r="AH1022" s="10"/>
      <c r="AI1022" s="10"/>
    </row>
    <row r="1023" spans="1:35">
      <c r="A1023" s="10"/>
      <c r="B1023" s="10" t="str">
        <f t="shared" si="433"/>
        <v>Below the LineSHOOT</v>
      </c>
      <c r="C1023" t="s">
        <v>20</v>
      </c>
      <c r="D1023" t="s">
        <v>19</v>
      </c>
      <c r="E1023" t="s">
        <v>236</v>
      </c>
      <c r="G1023" t="s">
        <v>1745</v>
      </c>
      <c r="I1023" s="10"/>
      <c r="J1023" s="107">
        <f>SUMIF(Data!C:C,G1023,Data!Q:Q)</f>
        <v>14400</v>
      </c>
      <c r="K1023" s="107">
        <f>SUMIF(Comprometidos!A:A,'Cost Report'!G1023,Comprometidos!E:E)</f>
        <v>0</v>
      </c>
      <c r="L1023" s="107">
        <f t="shared" si="428"/>
        <v>14400</v>
      </c>
      <c r="M1023" s="107">
        <f t="shared" si="429"/>
        <v>0</v>
      </c>
      <c r="N1023" s="107">
        <f t="shared" si="430"/>
        <v>14400</v>
      </c>
      <c r="O1023" s="107">
        <f>VLOOKUP(G1023,Budget!$E$3:$G$2474,3,0)</f>
        <v>14400</v>
      </c>
      <c r="P1023" s="107">
        <f t="shared" si="431"/>
        <v>0</v>
      </c>
      <c r="Q1023" s="107"/>
      <c r="R1023" s="10"/>
      <c r="S1023" s="107">
        <v>14400</v>
      </c>
      <c r="T1023" s="107">
        <f t="shared" si="408"/>
        <v>0</v>
      </c>
      <c r="U1023" s="107"/>
      <c r="V1023" s="175"/>
      <c r="W1023" s="10"/>
      <c r="X1023" s="10"/>
      <c r="Y1023" t="str">
        <f t="shared" si="434"/>
        <v>2602</v>
      </c>
      <c r="AB1023" s="10"/>
      <c r="AC1023" s="10"/>
      <c r="AD1023" s="10"/>
      <c r="AE1023" s="10"/>
      <c r="AF1023" s="10"/>
      <c r="AG1023" s="10"/>
      <c r="AH1023" s="10"/>
      <c r="AI1023" s="10"/>
    </row>
    <row r="1024" spans="1:35">
      <c r="A1024" s="10"/>
      <c r="B1024" s="10" t="str">
        <f t="shared" si="433"/>
        <v>Below the LineSHOOT</v>
      </c>
      <c r="C1024" t="s">
        <v>20</v>
      </c>
      <c r="D1024" t="s">
        <v>19</v>
      </c>
      <c r="E1024" t="s">
        <v>236</v>
      </c>
      <c r="G1024" t="s">
        <v>1746</v>
      </c>
      <c r="I1024" s="10"/>
      <c r="J1024" s="107">
        <f>SUMIF(Data!C:C,G1024,Data!Q:Q)</f>
        <v>24000</v>
      </c>
      <c r="K1024" s="107">
        <f>SUMIF(Comprometidos!A:A,'Cost Report'!G1024,Comprometidos!E:E)</f>
        <v>0</v>
      </c>
      <c r="L1024" s="107">
        <f t="shared" si="428"/>
        <v>24000</v>
      </c>
      <c r="M1024" s="107">
        <f>+O1024-L1024+12000</f>
        <v>0</v>
      </c>
      <c r="N1024" s="107">
        <f t="shared" si="430"/>
        <v>24000</v>
      </c>
      <c r="O1024" s="107">
        <f>VLOOKUP(G1024,Budget!$E$3:$G$2474,3,0)</f>
        <v>12000</v>
      </c>
      <c r="P1024" s="107">
        <f t="shared" si="431"/>
        <v>-12000</v>
      </c>
      <c r="Q1024" s="107"/>
      <c r="R1024" s="10"/>
      <c r="S1024" s="107">
        <v>24000</v>
      </c>
      <c r="T1024" s="107">
        <f t="shared" si="408"/>
        <v>0</v>
      </c>
      <c r="U1024" s="107"/>
      <c r="V1024" s="175"/>
      <c r="W1024" s="10"/>
      <c r="X1024" s="10"/>
      <c r="Y1024" t="str">
        <f t="shared" si="434"/>
        <v>2602</v>
      </c>
      <c r="AB1024" s="10"/>
      <c r="AC1024" s="10"/>
      <c r="AD1024" s="10"/>
      <c r="AE1024" s="10"/>
      <c r="AF1024" s="10"/>
      <c r="AG1024" s="10"/>
      <c r="AH1024" s="10"/>
      <c r="AI1024" s="10"/>
    </row>
    <row r="1025" spans="1:35">
      <c r="A1025" s="10"/>
      <c r="B1025" s="10" t="str">
        <f t="shared" si="433"/>
        <v>Below the LineSHOOT</v>
      </c>
      <c r="C1025" t="s">
        <v>20</v>
      </c>
      <c r="D1025" t="s">
        <v>19</v>
      </c>
      <c r="E1025" t="s">
        <v>236</v>
      </c>
      <c r="G1025" t="s">
        <v>1747</v>
      </c>
      <c r="I1025" s="10"/>
      <c r="J1025" s="107">
        <f>SUMIF(Data!C:C,G1025,Data!Q:Q)</f>
        <v>25200</v>
      </c>
      <c r="K1025" s="107">
        <f>SUMIF(Comprometidos!A:A,'Cost Report'!G1025,Comprometidos!E:E)</f>
        <v>0</v>
      </c>
      <c r="L1025" s="107">
        <f t="shared" si="428"/>
        <v>25200</v>
      </c>
      <c r="M1025" s="107">
        <f t="shared" si="429"/>
        <v>0</v>
      </c>
      <c r="N1025" s="107">
        <f t="shared" si="430"/>
        <v>25200</v>
      </c>
      <c r="O1025" s="107">
        <f>VLOOKUP(G1025,Budget!$E$3:$G$2474,3,0)</f>
        <v>25200</v>
      </c>
      <c r="P1025" s="107">
        <f t="shared" si="431"/>
        <v>0</v>
      </c>
      <c r="Q1025" s="107"/>
      <c r="R1025" s="10"/>
      <c r="S1025" s="107">
        <v>25200</v>
      </c>
      <c r="T1025" s="107">
        <f t="shared" si="408"/>
        <v>0</v>
      </c>
      <c r="U1025" s="107"/>
      <c r="V1025" s="175"/>
      <c r="W1025" s="10"/>
      <c r="X1025" s="10"/>
      <c r="Y1025" t="str">
        <f t="shared" si="434"/>
        <v>2602</v>
      </c>
      <c r="AB1025" s="10"/>
      <c r="AC1025" s="10"/>
      <c r="AD1025" s="10"/>
      <c r="AE1025" s="10"/>
      <c r="AF1025" s="10"/>
      <c r="AG1025" s="10"/>
      <c r="AH1025" s="10"/>
      <c r="AI1025" s="10"/>
    </row>
    <row r="1026" spans="1:35">
      <c r="A1026" s="10"/>
      <c r="B1026" s="10" t="str">
        <f t="shared" si="433"/>
        <v>Below the LineSHOOT</v>
      </c>
      <c r="C1026" t="s">
        <v>20</v>
      </c>
      <c r="D1026" t="s">
        <v>19</v>
      </c>
      <c r="E1026" t="s">
        <v>236</v>
      </c>
      <c r="G1026" t="s">
        <v>1748</v>
      </c>
      <c r="I1026" s="10"/>
      <c r="J1026" s="107">
        <f>SUMIF(Data!C:C,G1026,Data!Q:Q)</f>
        <v>0</v>
      </c>
      <c r="K1026" s="107">
        <f>SUMIF(Comprometidos!A:A,'Cost Report'!G1026,Comprometidos!E:E)</f>
        <v>0</v>
      </c>
      <c r="L1026" s="107">
        <f t="shared" si="428"/>
        <v>0</v>
      </c>
      <c r="M1026" s="107">
        <v>0</v>
      </c>
      <c r="N1026" s="107">
        <f t="shared" si="430"/>
        <v>0</v>
      </c>
      <c r="O1026" s="107">
        <f>VLOOKUP(G1026,Budget!$E$3:$G$2474,3,0)</f>
        <v>24000</v>
      </c>
      <c r="P1026" s="107">
        <f t="shared" si="431"/>
        <v>24000</v>
      </c>
      <c r="Q1026" s="107"/>
      <c r="R1026" s="10"/>
      <c r="S1026" s="107">
        <v>0</v>
      </c>
      <c r="T1026" s="107">
        <f t="shared" si="408"/>
        <v>0</v>
      </c>
      <c r="U1026" s="107"/>
      <c r="V1026" s="175"/>
      <c r="W1026" s="10"/>
      <c r="X1026" s="10"/>
      <c r="Y1026" t="str">
        <f t="shared" si="434"/>
        <v>2602</v>
      </c>
      <c r="AB1026" s="10"/>
      <c r="AC1026" s="10"/>
      <c r="AD1026" s="10"/>
      <c r="AE1026" s="10"/>
      <c r="AF1026" s="10"/>
      <c r="AG1026" s="10"/>
      <c r="AH1026" s="10"/>
      <c r="AI1026" s="10"/>
    </row>
    <row r="1027" spans="1:35">
      <c r="A1027" s="10"/>
      <c r="B1027" s="10" t="str">
        <f t="shared" si="433"/>
        <v>Below the LineSHOOT</v>
      </c>
      <c r="C1027" t="s">
        <v>20</v>
      </c>
      <c r="D1027" t="s">
        <v>19</v>
      </c>
      <c r="E1027" t="s">
        <v>236</v>
      </c>
      <c r="G1027" t="s">
        <v>1749</v>
      </c>
      <c r="I1027" s="10"/>
      <c r="J1027" s="107">
        <f>SUMIF(Data!C:C,G1027,Data!Q:Q)</f>
        <v>0</v>
      </c>
      <c r="K1027" s="107">
        <f>SUMIF(Comprometidos!A:A,'Cost Report'!G1027,Comprometidos!E:E)</f>
        <v>0</v>
      </c>
      <c r="L1027" s="107">
        <f t="shared" si="428"/>
        <v>0</v>
      </c>
      <c r="M1027" s="107">
        <v>0</v>
      </c>
      <c r="N1027" s="107">
        <f t="shared" si="430"/>
        <v>0</v>
      </c>
      <c r="O1027" s="107">
        <f>VLOOKUP(G1027,Budget!$E$3:$G$2474,3,0)</f>
        <v>56000</v>
      </c>
      <c r="P1027" s="107">
        <f t="shared" si="431"/>
        <v>56000</v>
      </c>
      <c r="Q1027" s="107" t="s">
        <v>3694</v>
      </c>
      <c r="R1027" s="10"/>
      <c r="S1027" s="107">
        <v>0</v>
      </c>
      <c r="T1027" s="107">
        <f t="shared" si="408"/>
        <v>0</v>
      </c>
      <c r="U1027" s="107"/>
      <c r="V1027" s="175"/>
      <c r="W1027" s="10"/>
      <c r="X1027" s="10"/>
      <c r="Y1027" t="str">
        <f t="shared" si="434"/>
        <v>2602</v>
      </c>
      <c r="AB1027" s="10"/>
      <c r="AC1027" s="10"/>
      <c r="AD1027" s="10"/>
      <c r="AE1027" s="10"/>
      <c r="AF1027" s="10"/>
      <c r="AG1027" s="10"/>
      <c r="AH1027" s="10"/>
      <c r="AI1027" s="10"/>
    </row>
    <row r="1028" spans="1:35">
      <c r="A1028" s="10"/>
      <c r="B1028" s="10" t="str">
        <f t="shared" si="433"/>
        <v>Below the LineSHOOT</v>
      </c>
      <c r="C1028" t="s">
        <v>20</v>
      </c>
      <c r="D1028" t="s">
        <v>19</v>
      </c>
      <c r="E1028" t="s">
        <v>236</v>
      </c>
      <c r="G1028" t="s">
        <v>1750</v>
      </c>
      <c r="I1028" s="10"/>
      <c r="J1028" s="107">
        <f>SUMIF(Data!C:C,G1028,Data!Q:Q)</f>
        <v>72234.490000000005</v>
      </c>
      <c r="K1028" s="107">
        <f>SUMIF(Comprometidos!A:A,'Cost Report'!G1028,Comprometidos!E:E)</f>
        <v>0</v>
      </c>
      <c r="L1028" s="107">
        <f t="shared" si="428"/>
        <v>72234.490000000005</v>
      </c>
      <c r="M1028" s="107">
        <v>0</v>
      </c>
      <c r="N1028" s="107">
        <f t="shared" si="430"/>
        <v>72234.490000000005</v>
      </c>
      <c r="O1028" s="107">
        <f>VLOOKUP(G1028,Budget!$E$3:$G$2474,3,0)</f>
        <v>48000</v>
      </c>
      <c r="P1028" s="107">
        <f t="shared" si="431"/>
        <v>-24234.490000000005</v>
      </c>
      <c r="Q1028" s="107"/>
      <c r="R1028" s="10"/>
      <c r="S1028" s="107">
        <v>72234.490000000005</v>
      </c>
      <c r="T1028" s="107">
        <f t="shared" si="408"/>
        <v>0</v>
      </c>
      <c r="U1028" s="107"/>
      <c r="V1028" s="175"/>
      <c r="W1028" s="10"/>
      <c r="X1028" s="10"/>
      <c r="Y1028" t="str">
        <f t="shared" si="434"/>
        <v>2602</v>
      </c>
      <c r="AB1028" s="10"/>
      <c r="AC1028" s="10"/>
      <c r="AD1028" s="10"/>
      <c r="AE1028" s="10"/>
      <c r="AF1028" s="10"/>
      <c r="AG1028" s="10"/>
      <c r="AH1028" s="10"/>
      <c r="AI1028" s="10"/>
    </row>
    <row r="1029" spans="1:35">
      <c r="A1029" s="10"/>
      <c r="B1029" s="10" t="str">
        <f t="shared" si="433"/>
        <v>Below the LineSHOOT</v>
      </c>
      <c r="C1029" t="s">
        <v>20</v>
      </c>
      <c r="D1029" t="s">
        <v>19</v>
      </c>
      <c r="E1029" t="s">
        <v>236</v>
      </c>
      <c r="G1029" t="s">
        <v>1751</v>
      </c>
      <c r="I1029" s="10"/>
      <c r="J1029" s="107">
        <f>SUMIF(Data!C:C,G1029,Data!Q:Q)</f>
        <v>0</v>
      </c>
      <c r="K1029" s="107">
        <f>SUMIF(Comprometidos!A:A,'Cost Report'!G1029,Comprometidos!E:E)</f>
        <v>0</v>
      </c>
      <c r="L1029" s="107">
        <f t="shared" si="428"/>
        <v>0</v>
      </c>
      <c r="M1029" s="107">
        <v>0</v>
      </c>
      <c r="N1029" s="107">
        <f t="shared" si="430"/>
        <v>0</v>
      </c>
      <c r="O1029" s="107">
        <f>VLOOKUP(G1029,Budget!$E$3:$G$2474,3,0)</f>
        <v>70000</v>
      </c>
      <c r="P1029" s="107">
        <f t="shared" si="431"/>
        <v>70000</v>
      </c>
      <c r="Q1029" s="107" t="s">
        <v>3694</v>
      </c>
      <c r="R1029" s="10"/>
      <c r="S1029" s="107">
        <v>0</v>
      </c>
      <c r="T1029" s="107">
        <f t="shared" si="408"/>
        <v>0</v>
      </c>
      <c r="U1029" s="107"/>
      <c r="V1029" s="175"/>
      <c r="W1029" s="10"/>
      <c r="X1029" s="10"/>
      <c r="Y1029" t="str">
        <f t="shared" si="434"/>
        <v>2602</v>
      </c>
      <c r="AB1029" s="10"/>
      <c r="AC1029" s="10"/>
      <c r="AD1029" s="10"/>
      <c r="AE1029" s="10"/>
      <c r="AF1029" s="10"/>
      <c r="AG1029" s="10"/>
      <c r="AH1029" s="10"/>
      <c r="AI1029" s="10"/>
    </row>
    <row r="1030" spans="1:35">
      <c r="A1030" s="10"/>
      <c r="B1030" s="10" t="str">
        <f t="shared" si="433"/>
        <v>Below the LineSHOOT</v>
      </c>
      <c r="C1030" t="s">
        <v>20</v>
      </c>
      <c r="D1030" t="s">
        <v>19</v>
      </c>
      <c r="E1030" t="s">
        <v>236</v>
      </c>
      <c r="G1030" t="s">
        <v>2573</v>
      </c>
      <c r="I1030" s="10"/>
      <c r="J1030" s="107">
        <f>SUMIF(Data!C:C,G1030,Data!Q:Q)</f>
        <v>48987.22</v>
      </c>
      <c r="K1030" s="107">
        <f>SUMIF(Comprometidos!A:A,'Cost Report'!G1030,Comprometidos!E:E)</f>
        <v>0</v>
      </c>
      <c r="L1030" s="107">
        <f t="shared" si="428"/>
        <v>48987.22</v>
      </c>
      <c r="M1030" s="107">
        <v>0</v>
      </c>
      <c r="N1030" s="107">
        <f t="shared" si="430"/>
        <v>48987.22</v>
      </c>
      <c r="O1030" s="107">
        <f>VLOOKUP(G1030,Budget!$E$3:$G$2474,3,0)</f>
        <v>33600</v>
      </c>
      <c r="P1030" s="107">
        <f t="shared" si="431"/>
        <v>-15387.220000000001</v>
      </c>
      <c r="Q1030" s="107"/>
      <c r="R1030" s="10"/>
      <c r="S1030" s="107">
        <v>48987.22</v>
      </c>
      <c r="T1030" s="107">
        <f t="shared" si="408"/>
        <v>0</v>
      </c>
      <c r="U1030" s="107"/>
      <c r="V1030" s="175"/>
      <c r="W1030" s="10"/>
      <c r="X1030" s="10"/>
      <c r="Y1030" t="str">
        <f t="shared" si="434"/>
        <v>2602</v>
      </c>
      <c r="AB1030" s="10"/>
      <c r="AC1030" s="10"/>
      <c r="AD1030" s="10"/>
      <c r="AE1030" s="10"/>
      <c r="AF1030" s="10"/>
      <c r="AG1030" s="10"/>
      <c r="AH1030" s="10"/>
      <c r="AI1030" s="10"/>
    </row>
    <row r="1031" spans="1:35">
      <c r="A1031" s="10"/>
      <c r="B1031" s="10" t="str">
        <f t="shared" si="433"/>
        <v>Below the LineSHOOT</v>
      </c>
      <c r="C1031" t="s">
        <v>20</v>
      </c>
      <c r="D1031" t="s">
        <v>19</v>
      </c>
      <c r="E1031" t="s">
        <v>236</v>
      </c>
      <c r="G1031" t="s">
        <v>2574</v>
      </c>
      <c r="I1031" s="10"/>
      <c r="J1031" s="107">
        <f>SUMIF(Data!C:C,G1031,Data!Q:Q)</f>
        <v>102694.05</v>
      </c>
      <c r="K1031" s="107">
        <f>SUMIF(Comprometidos!A:A,'Cost Report'!G1031,Comprometidos!E:E)</f>
        <v>0</v>
      </c>
      <c r="L1031" s="107">
        <f t="shared" si="428"/>
        <v>102694.05</v>
      </c>
      <c r="M1031" s="107">
        <v>0</v>
      </c>
      <c r="N1031" s="107">
        <f t="shared" si="430"/>
        <v>102694.05</v>
      </c>
      <c r="O1031" s="107">
        <f>VLOOKUP(G1031,Budget!$E$3:$G$2474,3,0)</f>
        <v>34000</v>
      </c>
      <c r="P1031" s="107">
        <f t="shared" si="431"/>
        <v>-68694.05</v>
      </c>
      <c r="Q1031" s="107"/>
      <c r="R1031" s="10"/>
      <c r="S1031" s="107">
        <v>102694.05</v>
      </c>
      <c r="T1031" s="107">
        <f t="shared" si="408"/>
        <v>0</v>
      </c>
      <c r="U1031" s="107"/>
      <c r="V1031" s="175"/>
      <c r="W1031" s="10"/>
      <c r="X1031" s="10"/>
      <c r="Y1031" t="str">
        <f t="shared" si="434"/>
        <v>2602</v>
      </c>
      <c r="AB1031" s="10"/>
      <c r="AC1031" s="10"/>
      <c r="AD1031" s="10"/>
      <c r="AE1031" s="10"/>
      <c r="AF1031" s="10"/>
      <c r="AG1031" s="10"/>
      <c r="AH1031" s="10"/>
      <c r="AI1031" s="10"/>
    </row>
    <row r="1032" spans="1:35">
      <c r="A1032" s="10"/>
      <c r="B1032" s="10" t="str">
        <f t="shared" si="433"/>
        <v>Below the LineSHOOT</v>
      </c>
      <c r="C1032" t="s">
        <v>20</v>
      </c>
      <c r="D1032" t="s">
        <v>19</v>
      </c>
      <c r="E1032" t="s">
        <v>236</v>
      </c>
      <c r="G1032" t="s">
        <v>5469</v>
      </c>
      <c r="I1032" s="10"/>
      <c r="J1032" s="107">
        <f>SUMIF(Data!C:C,G1032,Data!Q:Q)</f>
        <v>55000</v>
      </c>
      <c r="K1032" s="107">
        <f>SUMIF(Comprometidos!A:A,'Cost Report'!G1032,Comprometidos!E:E)</f>
        <v>0</v>
      </c>
      <c r="L1032" s="107">
        <f t="shared" ref="L1032" si="435">+J1032+K1032</f>
        <v>55000</v>
      </c>
      <c r="M1032" s="107">
        <v>0</v>
      </c>
      <c r="N1032" s="107">
        <f t="shared" ref="N1032" si="436">+L1032+M1032</f>
        <v>55000</v>
      </c>
      <c r="O1032" s="107">
        <f>VLOOKUP(G1032,Budget!$E$3:$G$2474,3,0)</f>
        <v>0</v>
      </c>
      <c r="P1032" s="107">
        <f t="shared" ref="P1032" si="437">+O1032-N1032</f>
        <v>-55000</v>
      </c>
      <c r="Q1032" s="107"/>
      <c r="R1032" s="10"/>
      <c r="S1032" s="107">
        <v>55000</v>
      </c>
      <c r="T1032" s="107">
        <f t="shared" ref="T1032" si="438">+S1032-N1032</f>
        <v>0</v>
      </c>
      <c r="U1032" s="107"/>
      <c r="V1032" s="175"/>
      <c r="W1032" s="10"/>
      <c r="X1032" s="10"/>
      <c r="Y1032" t="str">
        <f t="shared" si="434"/>
        <v>2602</v>
      </c>
      <c r="AB1032" s="10"/>
      <c r="AC1032" s="10"/>
      <c r="AD1032" s="10"/>
      <c r="AE1032" s="10"/>
      <c r="AF1032" s="10"/>
      <c r="AG1032" s="10"/>
      <c r="AH1032" s="10"/>
      <c r="AI1032" s="10"/>
    </row>
    <row r="1033" spans="1:35">
      <c r="A1033" s="10"/>
      <c r="B1033" s="10" t="str">
        <f>+C1033</f>
        <v>Below the Line</v>
      </c>
      <c r="C1033" s="128" t="s">
        <v>20</v>
      </c>
      <c r="D1033" s="128" t="s">
        <v>2117</v>
      </c>
      <c r="E1033" s="128"/>
      <c r="F1033" s="128"/>
      <c r="G1033" s="128" t="s">
        <v>645</v>
      </c>
      <c r="H1033" s="128"/>
      <c r="I1033" s="10"/>
      <c r="J1033" s="129">
        <f>SUMIF($Y$11:$Y$2484,G1033,J$11:J$2484)</f>
        <v>98000</v>
      </c>
      <c r="K1033" s="129">
        <f>SUMIF($Y$11:$Y$2484,G1033,K$11:K$2484)</f>
        <v>0</v>
      </c>
      <c r="L1033" s="129">
        <f>SUMIF($Y$11:$Y$2484,G1033,L$11:L$2484)</f>
        <v>98000</v>
      </c>
      <c r="M1033" s="129">
        <f>SUMIF($Y$11:$Y$2484,G1033,M$11:M$2484)</f>
        <v>0</v>
      </c>
      <c r="N1033" s="129">
        <f>SUMIF($Y$11:$Y$2484,G1033,N$11:N$2484)</f>
        <v>98000</v>
      </c>
      <c r="O1033" s="129">
        <f>SUMIF($Y$11:$Y$2484,G1033,O$11:O$2484)</f>
        <v>63600</v>
      </c>
      <c r="P1033" s="129">
        <f>SUMIF($Y$11:$Y$2484,G1033,P$11:P$2484)</f>
        <v>-34400</v>
      </c>
      <c r="Q1033" s="129"/>
      <c r="R1033" s="10"/>
      <c r="S1033" s="129">
        <v>98000</v>
      </c>
      <c r="T1033" s="129">
        <f t="shared" si="408"/>
        <v>0</v>
      </c>
      <c r="U1033" s="128"/>
      <c r="V1033" s="175"/>
      <c r="W1033" s="10"/>
      <c r="X1033" s="10"/>
      <c r="Z1033" t="str">
        <f>LEFT(G1033,2)</f>
        <v>26</v>
      </c>
      <c r="AA1033" t="str">
        <f>+Z1033&amp;"00"</f>
        <v>2600</v>
      </c>
      <c r="AB1033" s="10"/>
      <c r="AC1033" s="10"/>
      <c r="AD1033" s="10"/>
      <c r="AE1033" s="10"/>
      <c r="AF1033" s="10"/>
      <c r="AG1033" s="10"/>
      <c r="AH1033" s="10"/>
      <c r="AI1033" s="10"/>
    </row>
    <row r="1034" spans="1:35">
      <c r="A1034" s="10"/>
      <c r="B1034" s="10" t="str">
        <f t="shared" ref="B1034:B1036" si="439">+C1034&amp;E1034</f>
        <v>Below the Line</v>
      </c>
      <c r="C1034" t="s">
        <v>20</v>
      </c>
      <c r="D1034" t="s">
        <v>19</v>
      </c>
      <c r="E1034" t="s">
        <v>214</v>
      </c>
      <c r="G1034" t="s">
        <v>646</v>
      </c>
      <c r="I1034" s="10"/>
      <c r="J1034" s="107">
        <f>SUMIF(Data!C:C,G1034,Data!Q:Q)</f>
        <v>0</v>
      </c>
      <c r="K1034" s="107">
        <f>SUMIF(Comprometidos!A:A,'Cost Report'!G1034,Comprometidos!E:E)</f>
        <v>0</v>
      </c>
      <c r="L1034" s="107">
        <f t="shared" ref="L1034:L1053" si="440">+J1034+K1034</f>
        <v>0</v>
      </c>
      <c r="M1034" s="107">
        <f t="shared" ref="M1034:M1050" si="441">+O1034-L1034</f>
        <v>0</v>
      </c>
      <c r="N1034" s="107">
        <f t="shared" ref="N1034:N1053" si="442">+L1034+M1034</f>
        <v>0</v>
      </c>
      <c r="O1034" s="107">
        <f>VLOOKUP(G1034,Budget!$E$3:$G$2474,3,0)</f>
        <v>0</v>
      </c>
      <c r="P1034" s="107">
        <f t="shared" ref="P1034:P1053" si="443">+O1034-N1034</f>
        <v>0</v>
      </c>
      <c r="Q1034" s="107"/>
      <c r="R1034" s="10"/>
      <c r="S1034" s="107">
        <v>0</v>
      </c>
      <c r="T1034" s="107">
        <f t="shared" si="408"/>
        <v>0</v>
      </c>
      <c r="U1034" s="107"/>
      <c r="V1034" s="175"/>
      <c r="W1034" s="10"/>
      <c r="X1034" s="10"/>
      <c r="Y1034" t="str">
        <f t="shared" ref="Y1034:Y1036" si="444">LEFT(G1034,4)</f>
        <v>2621</v>
      </c>
      <c r="AB1034" s="10"/>
      <c r="AC1034" s="10"/>
      <c r="AD1034" s="10"/>
      <c r="AE1034" s="10"/>
      <c r="AF1034" s="10"/>
      <c r="AG1034" s="10"/>
      <c r="AH1034" s="10"/>
      <c r="AI1034" s="10"/>
    </row>
    <row r="1035" spans="1:35">
      <c r="A1035" s="10"/>
      <c r="B1035" s="10" t="str">
        <f t="shared" si="439"/>
        <v>Below the LinePREP</v>
      </c>
      <c r="C1035" t="s">
        <v>20</v>
      </c>
      <c r="D1035" t="s">
        <v>19</v>
      </c>
      <c r="E1035" t="s">
        <v>234</v>
      </c>
      <c r="G1035" t="s">
        <v>647</v>
      </c>
      <c r="I1035" s="10"/>
      <c r="J1035" s="107">
        <f>SUMIF(Data!C:C,G1035,Data!Q:Q)</f>
        <v>10000</v>
      </c>
      <c r="K1035" s="107">
        <f>SUMIF(Comprometidos!A:A,'Cost Report'!G1035,Comprometidos!E:E)</f>
        <v>0</v>
      </c>
      <c r="L1035" s="107">
        <f t="shared" si="440"/>
        <v>10000</v>
      </c>
      <c r="M1035" s="107">
        <f t="shared" si="441"/>
        <v>0</v>
      </c>
      <c r="N1035" s="107">
        <f t="shared" si="442"/>
        <v>10000</v>
      </c>
      <c r="O1035" s="107">
        <f>VLOOKUP(G1035,Budget!$E$3:$G$2474,3,0)</f>
        <v>10000</v>
      </c>
      <c r="P1035" s="107">
        <f t="shared" si="443"/>
        <v>0</v>
      </c>
      <c r="Q1035" s="107"/>
      <c r="R1035" s="10"/>
      <c r="S1035" s="107">
        <v>10000</v>
      </c>
      <c r="T1035" s="107">
        <f t="shared" si="408"/>
        <v>0</v>
      </c>
      <c r="U1035" s="107"/>
      <c r="V1035" s="175"/>
      <c r="W1035" s="10"/>
      <c r="X1035" s="10"/>
      <c r="Y1035" t="str">
        <f t="shared" si="444"/>
        <v>2621</v>
      </c>
      <c r="AB1035" s="10"/>
      <c r="AC1035" s="10"/>
      <c r="AD1035" s="10"/>
      <c r="AE1035" s="10"/>
      <c r="AF1035" s="10"/>
      <c r="AG1035" s="10"/>
      <c r="AH1035" s="10"/>
      <c r="AI1035" s="10"/>
    </row>
    <row r="1036" spans="1:35">
      <c r="A1036" s="10"/>
      <c r="B1036" s="10" t="str">
        <f t="shared" si="439"/>
        <v>Below the LineSHOOT</v>
      </c>
      <c r="C1036" t="s">
        <v>20</v>
      </c>
      <c r="D1036" t="s">
        <v>19</v>
      </c>
      <c r="E1036" t="s">
        <v>236</v>
      </c>
      <c r="G1036" t="s">
        <v>2575</v>
      </c>
      <c r="I1036" s="10"/>
      <c r="J1036" s="107">
        <f>SUMIF(Data!C:C,G1036,Data!Q:Q)</f>
        <v>88000</v>
      </c>
      <c r="K1036" s="107">
        <f>SUMIF(Comprometidos!A:A,'Cost Report'!G1036,Comprometidos!E:E)</f>
        <v>0</v>
      </c>
      <c r="L1036" s="107">
        <f t="shared" si="440"/>
        <v>88000</v>
      </c>
      <c r="M1036" s="107">
        <v>0</v>
      </c>
      <c r="N1036" s="107">
        <f t="shared" si="442"/>
        <v>88000</v>
      </c>
      <c r="O1036" s="107">
        <f>VLOOKUP(G1036,Budget!$E$3:$G$2474,3,0)</f>
        <v>53600</v>
      </c>
      <c r="P1036" s="107">
        <f t="shared" si="443"/>
        <v>-34400</v>
      </c>
      <c r="Q1036" s="107"/>
      <c r="R1036" s="10"/>
      <c r="S1036" s="107">
        <v>88000</v>
      </c>
      <c r="T1036" s="107">
        <f t="shared" si="408"/>
        <v>0</v>
      </c>
      <c r="U1036" s="107"/>
      <c r="V1036" s="175"/>
      <c r="W1036" s="10"/>
      <c r="X1036" s="10"/>
      <c r="Y1036" t="str">
        <f t="shared" si="444"/>
        <v>2621</v>
      </c>
      <c r="AB1036" s="10"/>
      <c r="AC1036" s="10"/>
      <c r="AD1036" s="10"/>
      <c r="AE1036" s="10"/>
      <c r="AF1036" s="10"/>
      <c r="AG1036" s="10"/>
      <c r="AH1036" s="10"/>
      <c r="AI1036" s="10"/>
    </row>
    <row r="1037" spans="1:35">
      <c r="A1037" s="10"/>
      <c r="B1037" s="10" t="str">
        <f>+C1037</f>
        <v>Below the Line</v>
      </c>
      <c r="C1037" s="128" t="s">
        <v>20</v>
      </c>
      <c r="D1037" s="128" t="s">
        <v>2117</v>
      </c>
      <c r="E1037" s="128"/>
      <c r="F1037" s="128"/>
      <c r="G1037" s="128" t="s">
        <v>648</v>
      </c>
      <c r="H1037" s="128"/>
      <c r="I1037" s="10"/>
      <c r="J1037" s="129">
        <f>SUMIF($Y$11:$Y$2484,G1037,J$11:J$2484)</f>
        <v>411050</v>
      </c>
      <c r="K1037" s="129">
        <f>SUMIF($Y$11:$Y$2484,G1037,K$11:K$2484)</f>
        <v>0</v>
      </c>
      <c r="L1037" s="129">
        <f>SUMIF($Y$11:$Y$2484,G1037,L$11:L$2484)</f>
        <v>411050</v>
      </c>
      <c r="M1037" s="129">
        <f>SUMIF($Y$11:$Y$2484,G1037,M$11:M$2484)</f>
        <v>0</v>
      </c>
      <c r="N1037" s="129">
        <f>SUMIF($Y$11:$Y$2484,G1037,N$11:N$2484)</f>
        <v>411050</v>
      </c>
      <c r="O1037" s="129">
        <f>SUMIF($Y$11:$Y$2484,G1037,O$11:O$2484)</f>
        <v>303850</v>
      </c>
      <c r="P1037" s="129">
        <f>SUMIF($Y$11:$Y$2484,G1037,P$11:P$2484)</f>
        <v>-107200</v>
      </c>
      <c r="Q1037" s="129"/>
      <c r="R1037" s="10"/>
      <c r="S1037" s="129">
        <v>410930</v>
      </c>
      <c r="T1037" s="129">
        <f t="shared" si="408"/>
        <v>-120</v>
      </c>
      <c r="U1037" s="128"/>
      <c r="V1037" s="175"/>
      <c r="W1037" s="10"/>
      <c r="X1037" s="10"/>
      <c r="Z1037" t="str">
        <f>LEFT(G1037,2)</f>
        <v>26</v>
      </c>
      <c r="AA1037" t="str">
        <f>+Z1037&amp;"00"</f>
        <v>2600</v>
      </c>
      <c r="AB1037" s="10"/>
      <c r="AC1037" s="10"/>
      <c r="AD1037" s="10"/>
      <c r="AE1037" s="10"/>
      <c r="AF1037" s="10"/>
      <c r="AG1037" s="10"/>
      <c r="AH1037" s="10"/>
      <c r="AI1037" s="10"/>
    </row>
    <row r="1038" spans="1:35">
      <c r="A1038" s="10"/>
      <c r="B1038" s="10" t="str">
        <f t="shared" ref="B1038:B1053" si="445">+C1038&amp;E1038</f>
        <v>Below the Line</v>
      </c>
      <c r="C1038" t="s">
        <v>20</v>
      </c>
      <c r="D1038" t="s">
        <v>19</v>
      </c>
      <c r="E1038" t="s">
        <v>214</v>
      </c>
      <c r="G1038" t="s">
        <v>649</v>
      </c>
      <c r="I1038" s="10"/>
      <c r="J1038" s="107">
        <f>SUMIF(Data!C:C,G1038,Data!Q:Q)</f>
        <v>0</v>
      </c>
      <c r="K1038" s="107">
        <f>SUMIF(Comprometidos!A:A,'Cost Report'!G1038,Comprometidos!E:E)</f>
        <v>0</v>
      </c>
      <c r="L1038" s="107">
        <f t="shared" si="440"/>
        <v>0</v>
      </c>
      <c r="M1038" s="107">
        <f t="shared" si="441"/>
        <v>0</v>
      </c>
      <c r="N1038" s="107">
        <f t="shared" si="442"/>
        <v>0</v>
      </c>
      <c r="O1038" s="107">
        <f>VLOOKUP(G1038,Budget!$E$3:$G$2474,3,0)</f>
        <v>0</v>
      </c>
      <c r="P1038" s="107">
        <f t="shared" si="443"/>
        <v>0</v>
      </c>
      <c r="Q1038" s="107"/>
      <c r="R1038" s="10"/>
      <c r="S1038" s="107">
        <v>0</v>
      </c>
      <c r="T1038" s="107">
        <f t="shared" si="408"/>
        <v>0</v>
      </c>
      <c r="U1038" s="107"/>
      <c r="V1038" s="175"/>
      <c r="W1038" s="10"/>
      <c r="X1038" s="10"/>
      <c r="Y1038" t="str">
        <f t="shared" ref="Y1038:Y1053" si="446">LEFT(G1038,4)</f>
        <v>2623</v>
      </c>
      <c r="AB1038" s="10"/>
      <c r="AC1038" s="10"/>
      <c r="AD1038" s="10"/>
      <c r="AE1038" s="10"/>
      <c r="AF1038" s="10"/>
      <c r="AG1038" s="10"/>
      <c r="AH1038" s="10"/>
      <c r="AI1038" s="10"/>
    </row>
    <row r="1039" spans="1:35">
      <c r="A1039" s="10"/>
      <c r="B1039" s="10" t="str">
        <f t="shared" si="445"/>
        <v>Below the LineSHOOT</v>
      </c>
      <c r="C1039" t="s">
        <v>20</v>
      </c>
      <c r="D1039" t="s">
        <v>19</v>
      </c>
      <c r="E1039" t="s">
        <v>236</v>
      </c>
      <c r="G1039" t="s">
        <v>1520</v>
      </c>
      <c r="I1039" s="10"/>
      <c r="J1039" s="107">
        <f>SUMIF(Data!C:C,G1039,Data!Q:Q)</f>
        <v>58120</v>
      </c>
      <c r="K1039" s="107">
        <f>SUMIF(Comprometidos!A:A,'Cost Report'!G1039,Comprometidos!E:E)</f>
        <v>0</v>
      </c>
      <c r="L1039" s="107">
        <f t="shared" si="440"/>
        <v>58120</v>
      </c>
      <c r="M1039" s="107"/>
      <c r="N1039" s="107">
        <f t="shared" si="442"/>
        <v>58120</v>
      </c>
      <c r="O1039" s="107">
        <f>VLOOKUP(G1039,Budget!$E$3:$G$2474,3,0)</f>
        <v>30000</v>
      </c>
      <c r="P1039" s="107">
        <f t="shared" si="443"/>
        <v>-28120</v>
      </c>
      <c r="Q1039" s="107"/>
      <c r="R1039" s="10"/>
      <c r="S1039" s="107">
        <v>58000</v>
      </c>
      <c r="T1039" s="107">
        <f t="shared" si="408"/>
        <v>-120</v>
      </c>
      <c r="U1039" s="107"/>
      <c r="V1039" s="175"/>
      <c r="W1039" s="10"/>
      <c r="X1039" s="10"/>
      <c r="Y1039" t="str">
        <f t="shared" si="446"/>
        <v>2623</v>
      </c>
      <c r="AB1039" s="10"/>
      <c r="AC1039" s="10"/>
      <c r="AD1039" s="10"/>
      <c r="AE1039" s="10"/>
      <c r="AF1039" s="10"/>
      <c r="AG1039" s="10"/>
      <c r="AH1039" s="10"/>
      <c r="AI1039" s="10"/>
    </row>
    <row r="1040" spans="1:35">
      <c r="A1040" s="10"/>
      <c r="B1040" s="10" t="str">
        <f t="shared" si="445"/>
        <v>Below the LineSHOOT</v>
      </c>
      <c r="C1040" t="s">
        <v>20</v>
      </c>
      <c r="D1040" t="s">
        <v>19</v>
      </c>
      <c r="E1040" t="s">
        <v>236</v>
      </c>
      <c r="G1040" t="s">
        <v>1521</v>
      </c>
      <c r="I1040" s="10"/>
      <c r="J1040" s="107">
        <f>SUMIF(Data!C:C,G1040,Data!Q:Q)</f>
        <v>57600</v>
      </c>
      <c r="K1040" s="107">
        <f>SUMIF(Comprometidos!A:A,'Cost Report'!G1040,Comprometidos!E:E)</f>
        <v>0</v>
      </c>
      <c r="L1040" s="107">
        <f t="shared" si="440"/>
        <v>57600</v>
      </c>
      <c r="M1040" s="107">
        <v>0</v>
      </c>
      <c r="N1040" s="107">
        <f t="shared" si="442"/>
        <v>57600</v>
      </c>
      <c r="O1040" s="107">
        <f>VLOOKUP(G1040,Budget!$E$3:$G$2474,3,0)</f>
        <v>30000</v>
      </c>
      <c r="P1040" s="107">
        <f t="shared" si="443"/>
        <v>-27600</v>
      </c>
      <c r="Q1040" s="107"/>
      <c r="R1040" s="10"/>
      <c r="S1040" s="107">
        <v>57600</v>
      </c>
      <c r="T1040" s="107">
        <f t="shared" ref="T1040:T1103" si="447">+S1040-N1040</f>
        <v>0</v>
      </c>
      <c r="U1040" s="107"/>
      <c r="V1040" s="175"/>
      <c r="W1040" s="10"/>
      <c r="X1040" s="10"/>
      <c r="Y1040" t="str">
        <f t="shared" si="446"/>
        <v>2623</v>
      </c>
      <c r="AB1040" s="10"/>
      <c r="AC1040" s="10"/>
      <c r="AD1040" s="10"/>
      <c r="AE1040" s="10"/>
      <c r="AF1040" s="10"/>
      <c r="AG1040" s="10"/>
      <c r="AH1040" s="10"/>
      <c r="AI1040" s="10"/>
    </row>
    <row r="1041" spans="1:35">
      <c r="A1041" s="10"/>
      <c r="B1041" s="10" t="str">
        <f t="shared" si="445"/>
        <v>Below the LineSHOOT</v>
      </c>
      <c r="C1041" t="s">
        <v>20</v>
      </c>
      <c r="D1041" t="s">
        <v>19</v>
      </c>
      <c r="E1041" t="s">
        <v>236</v>
      </c>
      <c r="G1041" t="s">
        <v>1522</v>
      </c>
      <c r="I1041" s="10"/>
      <c r="J1041" s="107">
        <f>SUMIF(Data!C:C,G1041,Data!Q:Q)</f>
        <v>76800</v>
      </c>
      <c r="K1041" s="107">
        <f>SUMIF(Comprometidos!A:A,'Cost Report'!G1041,Comprometidos!E:E)</f>
        <v>0</v>
      </c>
      <c r="L1041" s="107">
        <f t="shared" si="440"/>
        <v>76800</v>
      </c>
      <c r="M1041" s="107">
        <v>0</v>
      </c>
      <c r="N1041" s="107">
        <f t="shared" si="442"/>
        <v>76800</v>
      </c>
      <c r="O1041" s="107">
        <f>VLOOKUP(G1041,Budget!$E$3:$G$2474,3,0)</f>
        <v>40000</v>
      </c>
      <c r="P1041" s="107">
        <f t="shared" si="443"/>
        <v>-36800</v>
      </c>
      <c r="Q1041" s="107"/>
      <c r="R1041" s="10"/>
      <c r="S1041" s="107">
        <v>76800</v>
      </c>
      <c r="T1041" s="107">
        <f t="shared" si="447"/>
        <v>0</v>
      </c>
      <c r="U1041" s="107"/>
      <c r="V1041" s="175"/>
      <c r="W1041" s="10"/>
      <c r="X1041" s="10"/>
      <c r="Y1041" t="str">
        <f t="shared" si="446"/>
        <v>2623</v>
      </c>
      <c r="AB1041" s="10"/>
      <c r="AC1041" s="10"/>
      <c r="AD1041" s="10"/>
      <c r="AE1041" s="10"/>
      <c r="AF1041" s="10"/>
      <c r="AG1041" s="10"/>
      <c r="AH1041" s="10"/>
      <c r="AI1041" s="10"/>
    </row>
    <row r="1042" spans="1:35">
      <c r="A1042" s="10"/>
      <c r="B1042" s="10" t="str">
        <f t="shared" si="445"/>
        <v>Below the LineSHOOT</v>
      </c>
      <c r="C1042" t="s">
        <v>20</v>
      </c>
      <c r="D1042" t="s">
        <v>19</v>
      </c>
      <c r="E1042" t="s">
        <v>236</v>
      </c>
      <c r="G1042" t="s">
        <v>1752</v>
      </c>
      <c r="I1042" s="10"/>
      <c r="J1042" s="107">
        <f>SUMIF(Data!C:C,G1042,Data!Q:Q)</f>
        <v>67800</v>
      </c>
      <c r="K1042" s="107">
        <f>SUMIF(Comprometidos!A:A,'Cost Report'!G1042,Comprometidos!E:E)</f>
        <v>0</v>
      </c>
      <c r="L1042" s="107">
        <f t="shared" si="440"/>
        <v>67800</v>
      </c>
      <c r="M1042" s="107">
        <v>0</v>
      </c>
      <c r="N1042" s="107">
        <f t="shared" si="442"/>
        <v>67800</v>
      </c>
      <c r="O1042" s="107">
        <f>VLOOKUP(G1042,Budget!$E$3:$G$2474,3,0)</f>
        <v>40000</v>
      </c>
      <c r="P1042" s="107">
        <f t="shared" si="443"/>
        <v>-27800</v>
      </c>
      <c r="Q1042" s="107"/>
      <c r="R1042" s="10"/>
      <c r="S1042" s="107">
        <v>67800</v>
      </c>
      <c r="T1042" s="107">
        <f t="shared" si="447"/>
        <v>0</v>
      </c>
      <c r="U1042" s="107"/>
      <c r="V1042" s="175"/>
      <c r="W1042" s="10"/>
      <c r="X1042" s="10"/>
      <c r="Y1042" t="str">
        <f t="shared" si="446"/>
        <v>2623</v>
      </c>
      <c r="AB1042" s="10"/>
      <c r="AC1042" s="10"/>
      <c r="AD1042" s="10"/>
      <c r="AE1042" s="10"/>
      <c r="AF1042" s="10"/>
      <c r="AG1042" s="10"/>
      <c r="AH1042" s="10"/>
      <c r="AI1042" s="10"/>
    </row>
    <row r="1043" spans="1:35">
      <c r="A1043" s="10"/>
      <c r="B1043" s="10" t="str">
        <f t="shared" si="445"/>
        <v>Below the LineSHOOT</v>
      </c>
      <c r="C1043" t="s">
        <v>20</v>
      </c>
      <c r="D1043" t="s">
        <v>19</v>
      </c>
      <c r="E1043" t="s">
        <v>236</v>
      </c>
      <c r="G1043" t="s">
        <v>1753</v>
      </c>
      <c r="I1043" s="10"/>
      <c r="J1043" s="107">
        <f>SUMIF(Data!C:C,G1043,Data!Q:Q)</f>
        <v>68000</v>
      </c>
      <c r="K1043" s="107">
        <f>SUMIF(Comprometidos!A:A,'Cost Report'!G1043,Comprometidos!E:E)</f>
        <v>0</v>
      </c>
      <c r="L1043" s="107">
        <f t="shared" si="440"/>
        <v>68000</v>
      </c>
      <c r="M1043" s="107">
        <v>0</v>
      </c>
      <c r="N1043" s="107">
        <f t="shared" si="442"/>
        <v>68000</v>
      </c>
      <c r="O1043" s="107">
        <f>VLOOKUP(G1043,Budget!$E$3:$G$2474,3,0)</f>
        <v>36000</v>
      </c>
      <c r="P1043" s="107">
        <f t="shared" si="443"/>
        <v>-32000</v>
      </c>
      <c r="Q1043" s="107"/>
      <c r="R1043" s="10"/>
      <c r="S1043" s="107">
        <v>68000</v>
      </c>
      <c r="T1043" s="107">
        <f t="shared" si="447"/>
        <v>0</v>
      </c>
      <c r="U1043" s="107"/>
      <c r="V1043" s="175"/>
      <c r="W1043" s="10"/>
      <c r="X1043" s="10"/>
      <c r="Y1043" t="str">
        <f t="shared" si="446"/>
        <v>2623</v>
      </c>
      <c r="AB1043" s="10"/>
      <c r="AC1043" s="10"/>
      <c r="AD1043" s="10"/>
      <c r="AE1043" s="10"/>
      <c r="AF1043" s="10"/>
      <c r="AG1043" s="10"/>
      <c r="AH1043" s="10"/>
      <c r="AI1043" s="10"/>
    </row>
    <row r="1044" spans="1:35">
      <c r="A1044" s="10"/>
      <c r="B1044" s="10" t="str">
        <f t="shared" si="445"/>
        <v>Below the LineSHOOT</v>
      </c>
      <c r="C1044" t="s">
        <v>20</v>
      </c>
      <c r="D1044" t="s">
        <v>19</v>
      </c>
      <c r="E1044" t="s">
        <v>236</v>
      </c>
      <c r="G1044" t="s">
        <v>1754</v>
      </c>
      <c r="I1044" s="10"/>
      <c r="J1044" s="107">
        <f>SUMIF(Data!C:C,G1044,Data!Q:Q)</f>
        <v>18000</v>
      </c>
      <c r="K1044" s="107">
        <f>SUMIF(Comprometidos!A:A,'Cost Report'!G1044,Comprometidos!E:E)</f>
        <v>0</v>
      </c>
      <c r="L1044" s="107">
        <f t="shared" si="440"/>
        <v>18000</v>
      </c>
      <c r="M1044" s="107">
        <v>0</v>
      </c>
      <c r="N1044" s="107">
        <f t="shared" si="442"/>
        <v>18000</v>
      </c>
      <c r="O1044" s="107">
        <f>VLOOKUP(G1044,Budget!$E$3:$G$2474,3,0)</f>
        <v>10000</v>
      </c>
      <c r="P1044" s="107">
        <f t="shared" si="443"/>
        <v>-8000</v>
      </c>
      <c r="Q1044" s="107"/>
      <c r="R1044" s="10"/>
      <c r="S1044" s="107">
        <v>18000</v>
      </c>
      <c r="T1044" s="107">
        <f t="shared" si="447"/>
        <v>0</v>
      </c>
      <c r="U1044" s="107"/>
      <c r="V1044" s="175"/>
      <c r="W1044" s="10"/>
      <c r="X1044" s="10"/>
      <c r="Y1044" t="str">
        <f t="shared" si="446"/>
        <v>2623</v>
      </c>
      <c r="AB1044" s="10"/>
      <c r="AC1044" s="10"/>
      <c r="AD1044" s="10"/>
      <c r="AE1044" s="10"/>
      <c r="AF1044" s="10"/>
      <c r="AG1044" s="10"/>
      <c r="AH1044" s="10"/>
      <c r="AI1044" s="10"/>
    </row>
    <row r="1045" spans="1:35">
      <c r="A1045" s="10"/>
      <c r="B1045" s="10" t="str">
        <f t="shared" si="445"/>
        <v>Below the Line</v>
      </c>
      <c r="C1045" t="s">
        <v>20</v>
      </c>
      <c r="D1045" t="s">
        <v>19</v>
      </c>
      <c r="E1045" t="s">
        <v>214</v>
      </c>
      <c r="G1045" t="s">
        <v>1755</v>
      </c>
      <c r="I1045" s="10"/>
      <c r="J1045" s="107">
        <f>SUMIF(Data!C:C,G1045,Data!Q:Q)</f>
        <v>0</v>
      </c>
      <c r="K1045" s="107">
        <f>SUMIF(Comprometidos!A:A,'Cost Report'!G1045,Comprometidos!E:E)</f>
        <v>0</v>
      </c>
      <c r="L1045" s="107">
        <f t="shared" si="440"/>
        <v>0</v>
      </c>
      <c r="M1045" s="107">
        <f t="shared" si="441"/>
        <v>0</v>
      </c>
      <c r="N1045" s="107">
        <f t="shared" si="442"/>
        <v>0</v>
      </c>
      <c r="O1045" s="107">
        <f>VLOOKUP(G1045,Budget!$E$3:$G$2474,3,0)</f>
        <v>0</v>
      </c>
      <c r="P1045" s="107">
        <f t="shared" si="443"/>
        <v>0</v>
      </c>
      <c r="Q1045" s="107"/>
      <c r="R1045" s="10"/>
      <c r="S1045" s="107">
        <v>0</v>
      </c>
      <c r="T1045" s="107">
        <f t="shared" si="447"/>
        <v>0</v>
      </c>
      <c r="U1045" s="107"/>
      <c r="V1045" s="175"/>
      <c r="W1045" s="10"/>
      <c r="X1045" s="10"/>
      <c r="Y1045" t="str">
        <f t="shared" si="446"/>
        <v>2623</v>
      </c>
      <c r="AB1045" s="10"/>
      <c r="AC1045" s="10"/>
      <c r="AD1045" s="10"/>
      <c r="AE1045" s="10"/>
      <c r="AF1045" s="10"/>
      <c r="AG1045" s="10"/>
      <c r="AH1045" s="10"/>
      <c r="AI1045" s="10"/>
    </row>
    <row r="1046" spans="1:35">
      <c r="A1046" s="10"/>
      <c r="B1046" s="10" t="str">
        <f t="shared" si="445"/>
        <v>Below the LineSHOOT</v>
      </c>
      <c r="C1046" t="s">
        <v>20</v>
      </c>
      <c r="D1046" t="s">
        <v>19</v>
      </c>
      <c r="E1046" t="s">
        <v>236</v>
      </c>
      <c r="G1046" t="s">
        <v>1756</v>
      </c>
      <c r="I1046" s="10"/>
      <c r="J1046" s="107">
        <f>SUMIF(Data!C:C,G1046,Data!Q:Q)</f>
        <v>6250</v>
      </c>
      <c r="K1046" s="107">
        <f>SUMIF(Comprometidos!A:A,'Cost Report'!G1046,Comprometidos!E:E)</f>
        <v>0</v>
      </c>
      <c r="L1046" s="107">
        <f t="shared" si="440"/>
        <v>6250</v>
      </c>
      <c r="M1046" s="107">
        <v>0</v>
      </c>
      <c r="N1046" s="107">
        <f t="shared" si="442"/>
        <v>6250</v>
      </c>
      <c r="O1046" s="107">
        <f>VLOOKUP(G1046,Budget!$E$3:$G$2474,3,0)</f>
        <v>5250</v>
      </c>
      <c r="P1046" s="107">
        <f t="shared" si="443"/>
        <v>-1000</v>
      </c>
      <c r="Q1046" s="107"/>
      <c r="R1046" s="10"/>
      <c r="S1046" s="107">
        <v>6250</v>
      </c>
      <c r="T1046" s="107">
        <f t="shared" si="447"/>
        <v>0</v>
      </c>
      <c r="U1046" s="107"/>
      <c r="V1046" s="175"/>
      <c r="W1046" s="10"/>
      <c r="X1046" s="10"/>
      <c r="Y1046" t="str">
        <f t="shared" si="446"/>
        <v>2623</v>
      </c>
      <c r="AB1046" s="10"/>
      <c r="AC1046" s="10"/>
      <c r="AD1046" s="10"/>
      <c r="AE1046" s="10"/>
      <c r="AF1046" s="10"/>
      <c r="AG1046" s="10"/>
      <c r="AH1046" s="10"/>
      <c r="AI1046" s="10"/>
    </row>
    <row r="1047" spans="1:35">
      <c r="A1047" s="10"/>
      <c r="B1047" s="10" t="str">
        <f t="shared" si="445"/>
        <v>Below the LineSHOOT</v>
      </c>
      <c r="C1047" t="s">
        <v>20</v>
      </c>
      <c r="D1047" t="s">
        <v>19</v>
      </c>
      <c r="E1047" t="s">
        <v>236</v>
      </c>
      <c r="G1047" t="s">
        <v>1757</v>
      </c>
      <c r="I1047" s="10"/>
      <c r="J1047" s="107">
        <f>SUMIF(Data!C:C,G1047,Data!Q:Q)</f>
        <v>6080</v>
      </c>
      <c r="K1047" s="107">
        <f>SUMIF(Comprometidos!A:A,'Cost Report'!G1047,Comprometidos!E:E)</f>
        <v>0</v>
      </c>
      <c r="L1047" s="107">
        <f t="shared" si="440"/>
        <v>6080</v>
      </c>
      <c r="M1047" s="107">
        <v>0</v>
      </c>
      <c r="N1047" s="107">
        <f t="shared" si="442"/>
        <v>6080</v>
      </c>
      <c r="O1047" s="107">
        <f>VLOOKUP(G1047,Budget!$E$3:$G$2474,3,0)</f>
        <v>15200</v>
      </c>
      <c r="P1047" s="107">
        <f t="shared" si="443"/>
        <v>9120</v>
      </c>
      <c r="Q1047" s="107"/>
      <c r="R1047" s="10"/>
      <c r="S1047" s="107">
        <v>6080</v>
      </c>
      <c r="T1047" s="107">
        <f t="shared" si="447"/>
        <v>0</v>
      </c>
      <c r="U1047" s="107"/>
      <c r="V1047" s="175"/>
      <c r="W1047" s="10"/>
      <c r="X1047" s="10"/>
      <c r="Y1047" t="str">
        <f t="shared" si="446"/>
        <v>2623</v>
      </c>
      <c r="AB1047" s="10"/>
      <c r="AC1047" s="10"/>
      <c r="AD1047" s="10"/>
      <c r="AE1047" s="10"/>
      <c r="AF1047" s="10"/>
      <c r="AG1047" s="10"/>
      <c r="AH1047" s="10"/>
      <c r="AI1047" s="10"/>
    </row>
    <row r="1048" spans="1:35">
      <c r="A1048" s="10"/>
      <c r="B1048" s="10" t="str">
        <f t="shared" si="445"/>
        <v>Below the LineSHOOT</v>
      </c>
      <c r="C1048" t="s">
        <v>20</v>
      </c>
      <c r="D1048" t="s">
        <v>19</v>
      </c>
      <c r="E1048" t="s">
        <v>236</v>
      </c>
      <c r="G1048" t="s">
        <v>1758</v>
      </c>
      <c r="I1048" s="10"/>
      <c r="J1048" s="107">
        <f>SUMIF(Data!C:C,G1048,Data!Q:Q)</f>
        <v>0</v>
      </c>
      <c r="K1048" s="107">
        <f>SUMIF(Comprometidos!A:A,'Cost Report'!G1048,Comprometidos!E:E)</f>
        <v>0</v>
      </c>
      <c r="L1048" s="107">
        <f t="shared" si="440"/>
        <v>0</v>
      </c>
      <c r="M1048" s="107">
        <v>0</v>
      </c>
      <c r="N1048" s="107">
        <f t="shared" si="442"/>
        <v>0</v>
      </c>
      <c r="O1048" s="107">
        <f>VLOOKUP(G1048,Budget!$E$3:$G$2474,3,0)</f>
        <v>21000</v>
      </c>
      <c r="P1048" s="107">
        <f t="shared" si="443"/>
        <v>21000</v>
      </c>
      <c r="Q1048" s="107"/>
      <c r="R1048" s="10"/>
      <c r="S1048" s="107">
        <v>0</v>
      </c>
      <c r="T1048" s="107">
        <f t="shared" si="447"/>
        <v>0</v>
      </c>
      <c r="U1048" s="107"/>
      <c r="V1048" s="175"/>
      <c r="W1048" s="10"/>
      <c r="X1048" s="10"/>
      <c r="Y1048" t="str">
        <f t="shared" si="446"/>
        <v>2623</v>
      </c>
      <c r="AB1048" s="10"/>
      <c r="AC1048" s="10"/>
      <c r="AD1048" s="10"/>
      <c r="AE1048" s="10"/>
      <c r="AF1048" s="10"/>
      <c r="AG1048" s="10"/>
      <c r="AH1048" s="10"/>
      <c r="AI1048" s="10"/>
    </row>
    <row r="1049" spans="1:35">
      <c r="A1049" s="10"/>
      <c r="B1049" s="10" t="str">
        <f t="shared" si="445"/>
        <v>Below the LineSHOOT</v>
      </c>
      <c r="C1049" t="s">
        <v>20</v>
      </c>
      <c r="D1049" t="s">
        <v>19</v>
      </c>
      <c r="E1049" t="s">
        <v>236</v>
      </c>
      <c r="G1049" t="s">
        <v>1759</v>
      </c>
      <c r="I1049" s="10"/>
      <c r="J1049" s="107">
        <f>SUMIF(Data!C:C,G1049,Data!Q:Q)</f>
        <v>0</v>
      </c>
      <c r="K1049" s="107">
        <f>SUMIF(Comprometidos!A:A,'Cost Report'!G1049,Comprometidos!E:E)</f>
        <v>0</v>
      </c>
      <c r="L1049" s="107">
        <f t="shared" si="440"/>
        <v>0</v>
      </c>
      <c r="M1049" s="107">
        <v>0</v>
      </c>
      <c r="N1049" s="107">
        <f t="shared" si="442"/>
        <v>0</v>
      </c>
      <c r="O1049" s="107">
        <f>VLOOKUP(G1049,Budget!$E$3:$G$2474,3,0)</f>
        <v>14400</v>
      </c>
      <c r="P1049" s="107">
        <f t="shared" si="443"/>
        <v>14400</v>
      </c>
      <c r="Q1049" s="107"/>
      <c r="R1049" s="10"/>
      <c r="S1049" s="107">
        <v>0</v>
      </c>
      <c r="T1049" s="107">
        <f t="shared" si="447"/>
        <v>0</v>
      </c>
      <c r="U1049" s="107"/>
      <c r="V1049" s="175"/>
      <c r="W1049" s="10"/>
      <c r="X1049" s="10"/>
      <c r="Y1049" t="str">
        <f t="shared" si="446"/>
        <v>2623</v>
      </c>
      <c r="AB1049" s="10"/>
      <c r="AC1049" s="10"/>
      <c r="AD1049" s="10"/>
      <c r="AE1049" s="10"/>
      <c r="AF1049" s="10"/>
      <c r="AG1049" s="10"/>
      <c r="AH1049" s="10"/>
      <c r="AI1049" s="10"/>
    </row>
    <row r="1050" spans="1:35">
      <c r="A1050" s="10"/>
      <c r="B1050" s="10" t="str">
        <f t="shared" si="445"/>
        <v>Below the LineSHOOT</v>
      </c>
      <c r="C1050" t="s">
        <v>20</v>
      </c>
      <c r="D1050" t="s">
        <v>19</v>
      </c>
      <c r="E1050" t="s">
        <v>236</v>
      </c>
      <c r="G1050" t="s">
        <v>2576</v>
      </c>
      <c r="I1050" s="10"/>
      <c r="J1050" s="107">
        <f>SUMIF(Data!C:C,G1050,Data!Q:Q)</f>
        <v>5200</v>
      </c>
      <c r="K1050" s="107">
        <f>SUMIF(Comprometidos!A:A,'Cost Report'!G1050,Comprometidos!E:E)</f>
        <v>0</v>
      </c>
      <c r="L1050" s="107">
        <f t="shared" si="440"/>
        <v>5200</v>
      </c>
      <c r="M1050" s="107">
        <f t="shared" si="441"/>
        <v>0</v>
      </c>
      <c r="N1050" s="107">
        <f t="shared" si="442"/>
        <v>5200</v>
      </c>
      <c r="O1050" s="107">
        <f>VLOOKUP(G1050,Budget!$E$3:$G$2474,3,0)</f>
        <v>5200</v>
      </c>
      <c r="P1050" s="107">
        <f t="shared" si="443"/>
        <v>0</v>
      </c>
      <c r="Q1050" s="107"/>
      <c r="R1050" s="10"/>
      <c r="S1050" s="107">
        <v>5200</v>
      </c>
      <c r="T1050" s="107">
        <f t="shared" si="447"/>
        <v>0</v>
      </c>
      <c r="U1050" s="107"/>
      <c r="V1050" s="175"/>
      <c r="W1050" s="10"/>
      <c r="X1050" s="10"/>
      <c r="Y1050" t="str">
        <f t="shared" si="446"/>
        <v>2623</v>
      </c>
      <c r="AB1050" s="10"/>
      <c r="AC1050" s="10"/>
      <c r="AD1050" s="10"/>
      <c r="AE1050" s="10"/>
      <c r="AF1050" s="10"/>
      <c r="AG1050" s="10"/>
      <c r="AH1050" s="10"/>
      <c r="AI1050" s="10"/>
    </row>
    <row r="1051" spans="1:35">
      <c r="A1051" s="10"/>
      <c r="B1051" s="10" t="str">
        <f t="shared" si="445"/>
        <v>Below the LineSHOOT</v>
      </c>
      <c r="C1051" t="s">
        <v>20</v>
      </c>
      <c r="D1051" t="s">
        <v>19</v>
      </c>
      <c r="E1051" t="s">
        <v>236</v>
      </c>
      <c r="G1051" t="s">
        <v>2577</v>
      </c>
      <c r="I1051" s="10"/>
      <c r="J1051" s="107">
        <f>SUMIF(Data!C:C,G1051,Data!Q:Q)</f>
        <v>10400</v>
      </c>
      <c r="K1051" s="107">
        <f>SUMIF(Comprometidos!A:A,'Cost Report'!G1051,Comprometidos!E:E)</f>
        <v>0</v>
      </c>
      <c r="L1051" s="107">
        <f t="shared" si="440"/>
        <v>10400</v>
      </c>
      <c r="M1051" s="107">
        <f>+O1051-L1051-5200</f>
        <v>0</v>
      </c>
      <c r="N1051" s="107">
        <f t="shared" si="442"/>
        <v>10400</v>
      </c>
      <c r="O1051" s="107">
        <f>VLOOKUP(G1051,Budget!$E$3:$G$2474,3,0)</f>
        <v>15600</v>
      </c>
      <c r="P1051" s="107">
        <f t="shared" si="443"/>
        <v>5200</v>
      </c>
      <c r="Q1051" s="107"/>
      <c r="R1051" s="10"/>
      <c r="S1051" s="107">
        <v>10400</v>
      </c>
      <c r="T1051" s="107">
        <f t="shared" si="447"/>
        <v>0</v>
      </c>
      <c r="U1051" s="107"/>
      <c r="V1051" s="175"/>
      <c r="W1051" s="10"/>
      <c r="X1051" s="10"/>
      <c r="Y1051" t="str">
        <f t="shared" si="446"/>
        <v>2623</v>
      </c>
      <c r="AB1051" s="10"/>
      <c r="AC1051" s="10"/>
      <c r="AD1051" s="10"/>
      <c r="AE1051" s="10"/>
      <c r="AF1051" s="10"/>
      <c r="AG1051" s="10"/>
      <c r="AH1051" s="10"/>
      <c r="AI1051" s="10"/>
    </row>
    <row r="1052" spans="1:35">
      <c r="A1052" s="10"/>
      <c r="B1052" s="10" t="str">
        <f t="shared" si="445"/>
        <v>Below the LineSHOOT</v>
      </c>
      <c r="C1052" t="s">
        <v>20</v>
      </c>
      <c r="D1052" t="s">
        <v>19</v>
      </c>
      <c r="E1052" t="s">
        <v>236</v>
      </c>
      <c r="G1052" t="s">
        <v>2578</v>
      </c>
      <c r="I1052" s="10"/>
      <c r="J1052" s="107">
        <f>SUMIF(Data!C:C,G1052,Data!Q:Q)</f>
        <v>30400</v>
      </c>
      <c r="K1052" s="107">
        <f>SUMIF(Comprometidos!A:A,'Cost Report'!G1052,Comprometidos!E:E)</f>
        <v>0</v>
      </c>
      <c r="L1052" s="107">
        <f t="shared" si="440"/>
        <v>30400</v>
      </c>
      <c r="M1052" s="107">
        <v>0</v>
      </c>
      <c r="N1052" s="107">
        <f t="shared" si="442"/>
        <v>30400</v>
      </c>
      <c r="O1052" s="107">
        <f>VLOOKUP(G1052,Budget!$E$3:$G$2474,3,0)</f>
        <v>38000</v>
      </c>
      <c r="P1052" s="107">
        <f t="shared" si="443"/>
        <v>7600</v>
      </c>
      <c r="Q1052" s="107"/>
      <c r="R1052" s="10"/>
      <c r="S1052" s="107">
        <v>30400</v>
      </c>
      <c r="T1052" s="107">
        <f t="shared" si="447"/>
        <v>0</v>
      </c>
      <c r="U1052" s="107"/>
      <c r="V1052" s="175"/>
      <c r="W1052" s="10"/>
      <c r="X1052" s="10"/>
      <c r="Y1052" t="str">
        <f t="shared" si="446"/>
        <v>2623</v>
      </c>
      <c r="AB1052" s="10"/>
      <c r="AC1052" s="10"/>
      <c r="AD1052" s="10"/>
      <c r="AE1052" s="10"/>
      <c r="AF1052" s="10"/>
      <c r="AG1052" s="10"/>
      <c r="AH1052" s="10"/>
      <c r="AI1052" s="10"/>
    </row>
    <row r="1053" spans="1:35">
      <c r="A1053" s="10"/>
      <c r="B1053" s="10" t="str">
        <f t="shared" si="445"/>
        <v>Below the LineSHOOT</v>
      </c>
      <c r="C1053" t="s">
        <v>20</v>
      </c>
      <c r="D1053" t="s">
        <v>19</v>
      </c>
      <c r="E1053" t="s">
        <v>236</v>
      </c>
      <c r="G1053" t="s">
        <v>2579</v>
      </c>
      <c r="I1053" s="10"/>
      <c r="J1053" s="107">
        <f>SUMIF(Data!C:C,G1053,Data!Q:Q)</f>
        <v>6400</v>
      </c>
      <c r="K1053" s="107">
        <f>SUMIF(Comprometidos!A:A,'Cost Report'!G1053,Comprometidos!E:E)</f>
        <v>0</v>
      </c>
      <c r="L1053" s="107">
        <f t="shared" si="440"/>
        <v>6400</v>
      </c>
      <c r="M1053" s="107">
        <f>+O1053-L1053+3200</f>
        <v>0</v>
      </c>
      <c r="N1053" s="107">
        <f t="shared" si="442"/>
        <v>6400</v>
      </c>
      <c r="O1053" s="107">
        <f>VLOOKUP(G1053,Budget!$E$3:$G$2474,3,0)</f>
        <v>3200</v>
      </c>
      <c r="P1053" s="107">
        <f t="shared" si="443"/>
        <v>-3200</v>
      </c>
      <c r="Q1053" s="107"/>
      <c r="R1053" s="10"/>
      <c r="S1053" s="107">
        <v>6400</v>
      </c>
      <c r="T1053" s="107">
        <f t="shared" si="447"/>
        <v>0</v>
      </c>
      <c r="U1053" s="107"/>
      <c r="V1053" s="175"/>
      <c r="W1053" s="10"/>
      <c r="X1053" s="10"/>
      <c r="Y1053" t="str">
        <f t="shared" si="446"/>
        <v>2623</v>
      </c>
      <c r="AB1053" s="10"/>
      <c r="AC1053" s="10"/>
      <c r="AD1053" s="10"/>
      <c r="AE1053" s="10"/>
      <c r="AF1053" s="10"/>
      <c r="AG1053" s="10"/>
      <c r="AH1053" s="10"/>
      <c r="AI1053" s="10"/>
    </row>
    <row r="1054" spans="1:35">
      <c r="A1054" s="10"/>
      <c r="B1054" s="10" t="str">
        <f>+C1054</f>
        <v>Below the Line</v>
      </c>
      <c r="C1054" s="128" t="s">
        <v>20</v>
      </c>
      <c r="D1054" s="128" t="s">
        <v>2117</v>
      </c>
      <c r="E1054" s="128"/>
      <c r="F1054" s="128"/>
      <c r="G1054" s="128" t="s">
        <v>2580</v>
      </c>
      <c r="H1054" s="128"/>
      <c r="I1054" s="10"/>
      <c r="J1054" s="129">
        <f>SUMIF($Y$11:$Y$2484,G1054,J$11:J$2484)</f>
        <v>0</v>
      </c>
      <c r="K1054" s="129">
        <f>SUMIF($Y$11:$Y$2484,G1054,K$11:K$2484)</f>
        <v>0</v>
      </c>
      <c r="L1054" s="129">
        <f>SUMIF($Y$11:$Y$2484,G1054,L$11:L$2484)</f>
        <v>0</v>
      </c>
      <c r="M1054" s="129">
        <f>SUMIF($Y$11:$Y$2484,G1054,M$11:M$2484)</f>
        <v>0</v>
      </c>
      <c r="N1054" s="129">
        <f>SUMIF($Y$11:$Y$2484,G1054,N$11:N$2484)</f>
        <v>0</v>
      </c>
      <c r="O1054" s="129">
        <f>SUMIF($Y$11:$Y$2484,G1054,O$11:O$2484)</f>
        <v>25000</v>
      </c>
      <c r="P1054" s="129">
        <f>SUMIF($Y$11:$Y$2484,G1054,P$11:P$2484)</f>
        <v>25000</v>
      </c>
      <c r="Q1054" s="129"/>
      <c r="R1054" s="10"/>
      <c r="S1054" s="129">
        <v>0</v>
      </c>
      <c r="T1054" s="129">
        <f t="shared" si="447"/>
        <v>0</v>
      </c>
      <c r="U1054" s="128"/>
      <c r="V1054" s="175"/>
      <c r="W1054" s="10"/>
      <c r="X1054" s="10"/>
      <c r="Z1054" t="str">
        <f>LEFT(G1054,2)</f>
        <v>26</v>
      </c>
      <c r="AA1054" t="str">
        <f>+Z1054&amp;"00"</f>
        <v>2600</v>
      </c>
      <c r="AB1054" s="10"/>
      <c r="AC1054" s="10"/>
      <c r="AD1054" s="10"/>
      <c r="AE1054" s="10"/>
      <c r="AF1054" s="10"/>
      <c r="AG1054" s="10"/>
      <c r="AH1054" s="10"/>
      <c r="AI1054" s="10"/>
    </row>
    <row r="1055" spans="1:35">
      <c r="A1055" s="10"/>
      <c r="B1055" s="10" t="str">
        <f t="shared" ref="B1055:B1056" si="448">+C1055&amp;E1055</f>
        <v>Below the Line</v>
      </c>
      <c r="C1055" t="s">
        <v>20</v>
      </c>
      <c r="D1055" t="s">
        <v>19</v>
      </c>
      <c r="E1055" t="s">
        <v>214</v>
      </c>
      <c r="G1055" t="s">
        <v>2581</v>
      </c>
      <c r="I1055" s="10"/>
      <c r="J1055" s="107">
        <f>SUMIF(Data!C:C,G1055,Data!Q:Q)</f>
        <v>0</v>
      </c>
      <c r="K1055" s="107">
        <f>SUMIF(Comprometidos!A:A,'Cost Report'!G1055,Comprometidos!E:E)</f>
        <v>0</v>
      </c>
      <c r="L1055" s="107">
        <f t="shared" ref="L1055:L1056" si="449">+J1055+K1055</f>
        <v>0</v>
      </c>
      <c r="M1055" s="107">
        <f t="shared" ref="M1055" si="450">+O1055-L1055</f>
        <v>0</v>
      </c>
      <c r="N1055" s="107">
        <f t="shared" ref="N1055:N1056" si="451">+L1055+M1055</f>
        <v>0</v>
      </c>
      <c r="O1055" s="107">
        <f>VLOOKUP(G1055,Budget!$E$3:$G$2474,3,0)</f>
        <v>0</v>
      </c>
      <c r="P1055" s="107">
        <f t="shared" ref="P1055:P1056" si="452">+O1055-N1055</f>
        <v>0</v>
      </c>
      <c r="Q1055" s="107"/>
      <c r="R1055" s="10"/>
      <c r="S1055" s="107">
        <v>0</v>
      </c>
      <c r="T1055" s="107">
        <f t="shared" si="447"/>
        <v>0</v>
      </c>
      <c r="U1055" s="107"/>
      <c r="V1055" s="175"/>
      <c r="W1055" s="10"/>
      <c r="X1055" s="10"/>
      <c r="Y1055" t="str">
        <f t="shared" ref="Y1055:Y1056" si="453">LEFT(G1055,4)</f>
        <v>2693</v>
      </c>
      <c r="AB1055" s="10"/>
      <c r="AC1055" s="10"/>
      <c r="AD1055" s="10"/>
      <c r="AE1055" s="10"/>
      <c r="AF1055" s="10"/>
      <c r="AG1055" s="10"/>
      <c r="AH1055" s="10"/>
      <c r="AI1055" s="10"/>
    </row>
    <row r="1056" spans="1:35">
      <c r="A1056" s="10"/>
      <c r="B1056" s="10" t="str">
        <f t="shared" si="448"/>
        <v>Below the LineALL SHOW</v>
      </c>
      <c r="C1056" t="s">
        <v>20</v>
      </c>
      <c r="D1056" t="s">
        <v>19</v>
      </c>
      <c r="E1056" t="s">
        <v>227</v>
      </c>
      <c r="G1056" t="s">
        <v>2582</v>
      </c>
      <c r="I1056" s="10"/>
      <c r="J1056" s="107">
        <f>SUMIF(Data!C:C,G1056,Data!Q:Q)</f>
        <v>0</v>
      </c>
      <c r="K1056" s="107">
        <f>SUMIF(Comprometidos!A:A,'Cost Report'!G1056,Comprometidos!E:E)</f>
        <v>0</v>
      </c>
      <c r="L1056" s="107">
        <f t="shared" si="449"/>
        <v>0</v>
      </c>
      <c r="M1056" s="107">
        <v>0</v>
      </c>
      <c r="N1056" s="107">
        <f t="shared" si="451"/>
        <v>0</v>
      </c>
      <c r="O1056" s="107">
        <f>VLOOKUP(G1056,Budget!$E$3:$G$2474,3,0)</f>
        <v>25000</v>
      </c>
      <c r="P1056" s="107">
        <f t="shared" si="452"/>
        <v>25000</v>
      </c>
      <c r="Q1056" s="107"/>
      <c r="R1056" s="10"/>
      <c r="S1056" s="107">
        <v>0</v>
      </c>
      <c r="T1056" s="107">
        <f t="shared" si="447"/>
        <v>0</v>
      </c>
      <c r="U1056" s="107"/>
      <c r="V1056" s="175"/>
      <c r="W1056" s="10"/>
      <c r="X1056" s="10"/>
      <c r="Y1056" t="str">
        <f t="shared" si="453"/>
        <v>2693</v>
      </c>
      <c r="AB1056" s="10"/>
      <c r="AC1056" s="10"/>
      <c r="AD1056" s="10"/>
      <c r="AE1056" s="10"/>
      <c r="AF1056" s="10"/>
      <c r="AG1056" s="10"/>
      <c r="AH1056" s="10"/>
      <c r="AI1056" s="10"/>
    </row>
    <row r="1057" spans="1:35">
      <c r="A1057" s="10"/>
      <c r="B1057" s="10"/>
      <c r="C1057" s="170" t="s">
        <v>20</v>
      </c>
      <c r="D1057" s="170" t="s">
        <v>8</v>
      </c>
      <c r="E1057" s="170"/>
      <c r="F1057" s="170"/>
      <c r="G1057" s="170" t="s">
        <v>650</v>
      </c>
      <c r="H1057" s="170"/>
      <c r="I1057" s="10"/>
      <c r="J1057" s="169">
        <f>SUMIF($AA$10:$AA$2484,G1057,J$10:J$2484)</f>
        <v>2967066.1469999989</v>
      </c>
      <c r="K1057" s="169">
        <f>SUMIF($AA$10:$AA$2484,G1057,K$10:K$2484)</f>
        <v>0</v>
      </c>
      <c r="L1057" s="169">
        <f>SUMIF($AA$10:$AA$2484,G1057,L$10:L$2484)</f>
        <v>2967066.1469999989</v>
      </c>
      <c r="M1057" s="169">
        <f>SUMIF($AA$10:$AA$2484,G1057,M$10:M$2484)</f>
        <v>0</v>
      </c>
      <c r="N1057" s="169">
        <f>SUMIF($AA$10:$AA$2484,G1057,N$10:N$2484)</f>
        <v>2967066.1469999989</v>
      </c>
      <c r="O1057" s="169">
        <f>SUMIF($AA$10:$AA$2484,G1057,O$10:O$2484)</f>
        <v>2972500</v>
      </c>
      <c r="P1057" s="168">
        <f>SUMIF($AA$10:$AA$2484,G1057,P$10:P$2484)</f>
        <v>5433.8530000008177</v>
      </c>
      <c r="Q1057" s="169"/>
      <c r="R1057" s="10"/>
      <c r="S1057" s="164">
        <v>2962725.3599999985</v>
      </c>
      <c r="T1057" s="164">
        <f t="shared" si="447"/>
        <v>-4340.7870000004768</v>
      </c>
      <c r="U1057" s="163"/>
      <c r="V1057" s="175"/>
      <c r="W1057" s="10"/>
      <c r="X1057" s="10"/>
      <c r="AB1057" s="10"/>
      <c r="AC1057" s="10"/>
      <c r="AD1057" s="10"/>
      <c r="AE1057" s="10"/>
      <c r="AF1057" s="10"/>
      <c r="AG1057" s="10"/>
      <c r="AH1057" s="10"/>
      <c r="AI1057" s="10"/>
    </row>
    <row r="1058" spans="1:35">
      <c r="A1058" s="10"/>
      <c r="B1058" s="10" t="str">
        <f>+C1058</f>
        <v>Below the Line</v>
      </c>
      <c r="C1058" s="128" t="s">
        <v>20</v>
      </c>
      <c r="D1058" s="128" t="s">
        <v>2117</v>
      </c>
      <c r="E1058" s="128"/>
      <c r="F1058" s="128"/>
      <c r="G1058" s="128" t="s">
        <v>651</v>
      </c>
      <c r="H1058" s="128"/>
      <c r="I1058" s="10"/>
      <c r="J1058" s="129">
        <f>SUMIF($Y$11:$Y$2484,G1058,J$11:J$2484)</f>
        <v>382500</v>
      </c>
      <c r="K1058" s="129">
        <f>SUMIF($Y$11:$Y$2484,G1058,K$11:K$2484)</f>
        <v>0</v>
      </c>
      <c r="L1058" s="129">
        <f>SUMIF($Y$11:$Y$2484,G1058,L$11:L$2484)</f>
        <v>382500</v>
      </c>
      <c r="M1058" s="129">
        <f>SUMIF($Y$11:$Y$2484,G1058,M$11:M$2484)</f>
        <v>0</v>
      </c>
      <c r="N1058" s="129">
        <f>SUMIF($Y$11:$Y$2484,G1058,N$11:N$2484)</f>
        <v>382500</v>
      </c>
      <c r="O1058" s="129">
        <f>SUMIF($Y$11:$Y$2484,G1058,O$11:O$2484)</f>
        <v>382500</v>
      </c>
      <c r="P1058" s="129">
        <f>SUMIF($Y$11:$Y$2484,G1058,P$11:P$2484)</f>
        <v>0</v>
      </c>
      <c r="Q1058" s="129"/>
      <c r="R1058" s="10"/>
      <c r="S1058" s="129">
        <v>382500</v>
      </c>
      <c r="T1058" s="129">
        <f t="shared" si="447"/>
        <v>0</v>
      </c>
      <c r="U1058" s="128"/>
      <c r="V1058" s="175"/>
      <c r="W1058" s="10"/>
      <c r="X1058" s="10"/>
      <c r="Z1058" t="str">
        <f>LEFT(G1058,2)</f>
        <v>27</v>
      </c>
      <c r="AA1058" t="str">
        <f>+Z1058&amp;"00"</f>
        <v>2700</v>
      </c>
      <c r="AB1058" s="10"/>
      <c r="AC1058" s="10"/>
      <c r="AD1058" s="10"/>
      <c r="AE1058" s="10"/>
      <c r="AF1058" s="10"/>
      <c r="AG1058" s="10"/>
      <c r="AH1058" s="10"/>
      <c r="AI1058" s="10"/>
    </row>
    <row r="1059" spans="1:35">
      <c r="A1059" s="10"/>
      <c r="B1059" s="10" t="str">
        <f t="shared" ref="B1059:B1062" si="454">+C1059&amp;E1059</f>
        <v>Below the Line</v>
      </c>
      <c r="C1059" t="s">
        <v>20</v>
      </c>
      <c r="D1059" t="s">
        <v>19</v>
      </c>
      <c r="E1059" t="s">
        <v>214</v>
      </c>
      <c r="G1059" t="s">
        <v>652</v>
      </c>
      <c r="I1059" s="10"/>
      <c r="J1059" s="107">
        <f>SUMIF(Data!C:C,G1059,Data!Q:Q)</f>
        <v>0</v>
      </c>
      <c r="K1059" s="107">
        <f>SUMIF(Comprometidos!A:A,'Cost Report'!G1059,Comprometidos!E:E)</f>
        <v>0</v>
      </c>
      <c r="L1059" s="107">
        <f t="shared" ref="L1059:L1072" si="455">+J1059+K1059</f>
        <v>0</v>
      </c>
      <c r="M1059" s="107">
        <f t="shared" ref="M1059:M1072" si="456">+O1059-L1059</f>
        <v>0</v>
      </c>
      <c r="N1059" s="107">
        <f t="shared" ref="N1059:N1072" si="457">+L1059+M1059</f>
        <v>0</v>
      </c>
      <c r="O1059" s="107">
        <f>VLOOKUP(G1059,Budget!$E$3:$G$2474,3,0)</f>
        <v>0</v>
      </c>
      <c r="P1059" s="107">
        <f t="shared" ref="P1059:P1072" si="458">+O1059-N1059</f>
        <v>0</v>
      </c>
      <c r="Q1059" s="107"/>
      <c r="R1059" s="10"/>
      <c r="S1059" s="107">
        <v>0</v>
      </c>
      <c r="T1059" s="107">
        <f t="shared" si="447"/>
        <v>0</v>
      </c>
      <c r="U1059" s="107"/>
      <c r="V1059" s="175"/>
      <c r="W1059" s="10"/>
      <c r="X1059" s="10"/>
      <c r="Y1059" t="str">
        <f t="shared" ref="Y1059:Y1062" si="459">LEFT(G1059,4)</f>
        <v>2701</v>
      </c>
      <c r="AB1059" s="10"/>
      <c r="AC1059" s="10"/>
      <c r="AD1059" s="10"/>
      <c r="AE1059" s="10"/>
      <c r="AF1059" s="10"/>
      <c r="AG1059" s="10"/>
      <c r="AH1059" s="10"/>
      <c r="AI1059" s="10"/>
    </row>
    <row r="1060" spans="1:35">
      <c r="A1060" s="10"/>
      <c r="B1060" s="10" t="str">
        <f t="shared" si="454"/>
        <v>Below the LinePREP</v>
      </c>
      <c r="C1060" t="s">
        <v>20</v>
      </c>
      <c r="D1060" t="s">
        <v>19</v>
      </c>
      <c r="E1060" t="s">
        <v>234</v>
      </c>
      <c r="G1060" t="s">
        <v>653</v>
      </c>
      <c r="I1060" s="10"/>
      <c r="J1060" s="107">
        <f>SUMIF(Data!C:C,G1060,Data!Q:Q)</f>
        <v>202500</v>
      </c>
      <c r="K1060" s="107">
        <f>SUMIF(Comprometidos!A:A,'Cost Report'!G1060,Comprometidos!E:E)</f>
        <v>0</v>
      </c>
      <c r="L1060" s="107">
        <f t="shared" si="455"/>
        <v>202500</v>
      </c>
      <c r="M1060" s="107">
        <f t="shared" si="456"/>
        <v>0</v>
      </c>
      <c r="N1060" s="107">
        <f t="shared" si="457"/>
        <v>202500</v>
      </c>
      <c r="O1060" s="107">
        <f>VLOOKUP(G1060,Budget!$E$3:$G$2474,3,0)</f>
        <v>202500</v>
      </c>
      <c r="P1060" s="107">
        <f t="shared" si="458"/>
        <v>0</v>
      </c>
      <c r="Q1060" s="107"/>
      <c r="R1060" s="10"/>
      <c r="S1060" s="107">
        <v>202500</v>
      </c>
      <c r="T1060" s="107">
        <f t="shared" si="447"/>
        <v>0</v>
      </c>
      <c r="U1060" s="107"/>
      <c r="V1060" s="175"/>
      <c r="W1060" s="10"/>
      <c r="X1060" s="10"/>
      <c r="Y1060" t="str">
        <f t="shared" si="459"/>
        <v>2701</v>
      </c>
      <c r="AB1060" s="10"/>
      <c r="AC1060" s="10"/>
      <c r="AD1060" s="10"/>
      <c r="AE1060" s="10"/>
      <c r="AF1060" s="10"/>
      <c r="AG1060" s="10"/>
      <c r="AH1060" s="10"/>
      <c r="AI1060" s="10"/>
    </row>
    <row r="1061" spans="1:35">
      <c r="A1061" s="10"/>
      <c r="B1061" s="10" t="str">
        <f t="shared" si="454"/>
        <v>Below the LineSHOOT</v>
      </c>
      <c r="C1061" t="s">
        <v>20</v>
      </c>
      <c r="D1061" t="s">
        <v>19</v>
      </c>
      <c r="E1061" t="s">
        <v>236</v>
      </c>
      <c r="G1061" t="s">
        <v>654</v>
      </c>
      <c r="I1061" s="10"/>
      <c r="J1061" s="107">
        <f>SUMIF(Data!C:C,G1061,Data!Q:Q)</f>
        <v>157500</v>
      </c>
      <c r="K1061" s="107">
        <f>SUMIF(Comprometidos!A:A,'Cost Report'!G1061,Comprometidos!E:E)</f>
        <v>0</v>
      </c>
      <c r="L1061" s="107">
        <f t="shared" si="455"/>
        <v>157500</v>
      </c>
      <c r="M1061" s="107">
        <f t="shared" si="456"/>
        <v>0</v>
      </c>
      <c r="N1061" s="107">
        <f t="shared" si="457"/>
        <v>157500</v>
      </c>
      <c r="O1061" s="107">
        <f>VLOOKUP(G1061,Budget!$E$3:$G$2474,3,0)</f>
        <v>157500</v>
      </c>
      <c r="P1061" s="107">
        <f t="shared" si="458"/>
        <v>0</v>
      </c>
      <c r="Q1061" s="107"/>
      <c r="R1061" s="10"/>
      <c r="S1061" s="107">
        <v>157500</v>
      </c>
      <c r="T1061" s="107">
        <f t="shared" si="447"/>
        <v>0</v>
      </c>
      <c r="U1061" s="107"/>
      <c r="V1061" s="175"/>
      <c r="W1061" s="10"/>
      <c r="X1061" s="10"/>
      <c r="Y1061" t="str">
        <f t="shared" si="459"/>
        <v>2701</v>
      </c>
      <c r="AB1061" s="10"/>
      <c r="AC1061" s="10"/>
      <c r="AD1061" s="10"/>
      <c r="AE1061" s="10"/>
      <c r="AF1061" s="10"/>
      <c r="AG1061" s="10"/>
      <c r="AH1061" s="10"/>
      <c r="AI1061" s="10"/>
    </row>
    <row r="1062" spans="1:35">
      <c r="A1062" s="10"/>
      <c r="B1062" s="10" t="str">
        <f t="shared" si="454"/>
        <v>Below the LineWRAP</v>
      </c>
      <c r="C1062" t="s">
        <v>20</v>
      </c>
      <c r="D1062" t="s">
        <v>19</v>
      </c>
      <c r="E1062" t="s">
        <v>238</v>
      </c>
      <c r="G1062" t="s">
        <v>2583</v>
      </c>
      <c r="I1062" s="10"/>
      <c r="J1062" s="107">
        <f>SUMIF(Data!C:C,G1062,Data!Q:Q)</f>
        <v>22500</v>
      </c>
      <c r="K1062" s="107">
        <f>SUMIF(Comprometidos!A:A,'Cost Report'!G1062,Comprometidos!E:E)</f>
        <v>0</v>
      </c>
      <c r="L1062" s="107">
        <f t="shared" si="455"/>
        <v>22500</v>
      </c>
      <c r="M1062" s="107">
        <f t="shared" si="456"/>
        <v>0</v>
      </c>
      <c r="N1062" s="107">
        <f t="shared" si="457"/>
        <v>22500</v>
      </c>
      <c r="O1062" s="107">
        <f>VLOOKUP(G1062,Budget!$E$3:$G$2474,3,0)</f>
        <v>22500</v>
      </c>
      <c r="P1062" s="107">
        <f t="shared" si="458"/>
        <v>0</v>
      </c>
      <c r="Q1062" s="107"/>
      <c r="R1062" s="10"/>
      <c r="S1062" s="107">
        <v>22500</v>
      </c>
      <c r="T1062" s="107">
        <f t="shared" si="447"/>
        <v>0</v>
      </c>
      <c r="U1062" s="107"/>
      <c r="V1062" s="175"/>
      <c r="W1062" s="10"/>
      <c r="X1062" s="10"/>
      <c r="Y1062" t="str">
        <f t="shared" si="459"/>
        <v>2701</v>
      </c>
      <c r="AB1062" s="10"/>
      <c r="AC1062" s="10"/>
      <c r="AD1062" s="10"/>
      <c r="AE1062" s="10"/>
      <c r="AF1062" s="10"/>
      <c r="AG1062" s="10"/>
      <c r="AH1062" s="10"/>
      <c r="AI1062" s="10"/>
    </row>
    <row r="1063" spans="1:35">
      <c r="A1063" s="10"/>
      <c r="B1063" s="10" t="str">
        <f>+C1063</f>
        <v>Below the Line</v>
      </c>
      <c r="C1063" s="128" t="s">
        <v>20</v>
      </c>
      <c r="D1063" s="128" t="s">
        <v>2117</v>
      </c>
      <c r="E1063" s="128"/>
      <c r="F1063" s="128"/>
      <c r="G1063" s="128" t="s">
        <v>655</v>
      </c>
      <c r="H1063" s="128"/>
      <c r="I1063" s="10"/>
      <c r="J1063" s="129">
        <f>SUMIF($Y$11:$Y$2484,G1063,J$11:J$2484)</f>
        <v>160000</v>
      </c>
      <c r="K1063" s="129">
        <f>SUMIF($Y$11:$Y$2484,G1063,K$11:K$2484)</f>
        <v>0</v>
      </c>
      <c r="L1063" s="129">
        <f>SUMIF($Y$11:$Y$2484,G1063,L$11:L$2484)</f>
        <v>160000</v>
      </c>
      <c r="M1063" s="129">
        <f>SUMIF($Y$11:$Y$2484,G1063,M$11:M$2484)</f>
        <v>0</v>
      </c>
      <c r="N1063" s="129">
        <f>SUMIF($Y$11:$Y$2484,G1063,N$11:N$2484)</f>
        <v>160000</v>
      </c>
      <c r="O1063" s="129">
        <f>SUMIF($Y$11:$Y$2484,G1063,O$11:O$2484)</f>
        <v>160000</v>
      </c>
      <c r="P1063" s="129">
        <f>SUMIF($Y$11:$Y$2484,G1063,P$11:P$2484)</f>
        <v>0</v>
      </c>
      <c r="Q1063" s="129"/>
      <c r="R1063" s="10"/>
      <c r="S1063" s="129">
        <v>160000</v>
      </c>
      <c r="T1063" s="129">
        <f t="shared" si="447"/>
        <v>0</v>
      </c>
      <c r="U1063" s="128"/>
      <c r="V1063" s="175"/>
      <c r="W1063" s="10"/>
      <c r="X1063" s="10"/>
      <c r="Z1063" t="str">
        <f>LEFT(G1063,2)</f>
        <v>27</v>
      </c>
      <c r="AA1063" t="str">
        <f>+Z1063&amp;"00"</f>
        <v>2700</v>
      </c>
      <c r="AB1063" s="10"/>
      <c r="AC1063" s="10"/>
      <c r="AD1063" s="10"/>
      <c r="AE1063" s="10"/>
      <c r="AF1063" s="10"/>
      <c r="AG1063" s="10"/>
      <c r="AH1063" s="10"/>
      <c r="AI1063" s="10"/>
    </row>
    <row r="1064" spans="1:35">
      <c r="A1064" s="10"/>
      <c r="B1064" s="10" t="str">
        <f t="shared" ref="B1064:B1067" si="460">+C1064&amp;E1064</f>
        <v>Below the Line</v>
      </c>
      <c r="C1064" t="s">
        <v>20</v>
      </c>
      <c r="D1064" t="s">
        <v>19</v>
      </c>
      <c r="E1064" t="s">
        <v>214</v>
      </c>
      <c r="G1064" t="s">
        <v>656</v>
      </c>
      <c r="I1064" s="10"/>
      <c r="J1064" s="107">
        <f>SUMIF(Data!C:C,G1064,Data!Q:Q)</f>
        <v>0</v>
      </c>
      <c r="K1064" s="107">
        <f>SUMIF(Comprometidos!A:A,'Cost Report'!G1064,Comprometidos!E:E)</f>
        <v>0</v>
      </c>
      <c r="L1064" s="107">
        <f t="shared" si="455"/>
        <v>0</v>
      </c>
      <c r="M1064" s="107">
        <f t="shared" si="456"/>
        <v>0</v>
      </c>
      <c r="N1064" s="107">
        <f t="shared" si="457"/>
        <v>0</v>
      </c>
      <c r="O1064" s="107">
        <f>VLOOKUP(G1064,Budget!$E$3:$G$2474,3,0)</f>
        <v>0</v>
      </c>
      <c r="P1064" s="107">
        <f t="shared" si="458"/>
        <v>0</v>
      </c>
      <c r="Q1064" s="107"/>
      <c r="R1064" s="10"/>
      <c r="S1064" s="107">
        <v>0</v>
      </c>
      <c r="T1064" s="107">
        <f t="shared" si="447"/>
        <v>0</v>
      </c>
      <c r="U1064" s="107"/>
      <c r="V1064" s="175"/>
      <c r="W1064" s="10"/>
      <c r="X1064" s="10"/>
      <c r="Y1064" t="str">
        <f t="shared" ref="Y1064:Y1067" si="461">LEFT(G1064,4)</f>
        <v>2703</v>
      </c>
      <c r="AB1064" s="10"/>
      <c r="AC1064" s="10"/>
      <c r="AD1064" s="10"/>
      <c r="AE1064" s="10"/>
      <c r="AF1064" s="10"/>
      <c r="AG1064" s="10"/>
      <c r="AH1064" s="10"/>
      <c r="AI1064" s="10"/>
    </row>
    <row r="1065" spans="1:35">
      <c r="A1065" s="10"/>
      <c r="B1065" s="10" t="str">
        <f t="shared" si="460"/>
        <v>Below the LinePREP</v>
      </c>
      <c r="C1065" t="s">
        <v>20</v>
      </c>
      <c r="D1065" t="s">
        <v>19</v>
      </c>
      <c r="E1065" t="s">
        <v>234</v>
      </c>
      <c r="G1065" t="s">
        <v>657</v>
      </c>
      <c r="I1065" s="10"/>
      <c r="J1065" s="107">
        <f>SUMIF(Data!C:C,G1065,Data!Q:Q)</f>
        <v>70000</v>
      </c>
      <c r="K1065" s="107">
        <f>SUMIF(Comprometidos!A:A,'Cost Report'!G1065,Comprometidos!E:E)</f>
        <v>0</v>
      </c>
      <c r="L1065" s="107">
        <f t="shared" si="455"/>
        <v>70000</v>
      </c>
      <c r="M1065" s="107">
        <f t="shared" si="456"/>
        <v>0</v>
      </c>
      <c r="N1065" s="107">
        <f t="shared" si="457"/>
        <v>70000</v>
      </c>
      <c r="O1065" s="107">
        <f>VLOOKUP(G1065,Budget!$E$3:$G$2474,3,0)</f>
        <v>70000</v>
      </c>
      <c r="P1065" s="107">
        <f t="shared" si="458"/>
        <v>0</v>
      </c>
      <c r="Q1065" s="107"/>
      <c r="R1065" s="10"/>
      <c r="S1065" s="107">
        <v>70000</v>
      </c>
      <c r="T1065" s="107">
        <f t="shared" si="447"/>
        <v>0</v>
      </c>
      <c r="U1065" s="107"/>
      <c r="V1065" s="175"/>
      <c r="W1065" s="10"/>
      <c r="X1065" s="10"/>
      <c r="Y1065" t="str">
        <f t="shared" si="461"/>
        <v>2703</v>
      </c>
      <c r="AB1065" s="10"/>
      <c r="AC1065" s="10"/>
      <c r="AD1065" s="10"/>
      <c r="AE1065" s="10"/>
      <c r="AF1065" s="10"/>
      <c r="AG1065" s="10"/>
      <c r="AH1065" s="10"/>
      <c r="AI1065" s="10"/>
    </row>
    <row r="1066" spans="1:35">
      <c r="A1066" s="10"/>
      <c r="B1066" s="10" t="str">
        <f t="shared" si="460"/>
        <v>Below the LineSHOOT</v>
      </c>
      <c r="C1066" t="s">
        <v>20</v>
      </c>
      <c r="D1066" t="s">
        <v>19</v>
      </c>
      <c r="E1066" t="s">
        <v>236</v>
      </c>
      <c r="G1066" t="s">
        <v>658</v>
      </c>
      <c r="I1066" s="10"/>
      <c r="J1066" s="107">
        <f>SUMIF(Data!C:C,G1066,Data!Q:Q)</f>
        <v>70000</v>
      </c>
      <c r="K1066" s="107">
        <f>SUMIF(Comprometidos!A:A,'Cost Report'!G1066,Comprometidos!E:E)</f>
        <v>0</v>
      </c>
      <c r="L1066" s="107">
        <f t="shared" si="455"/>
        <v>70000</v>
      </c>
      <c r="M1066" s="107">
        <f t="shared" si="456"/>
        <v>0</v>
      </c>
      <c r="N1066" s="107">
        <f t="shared" si="457"/>
        <v>70000</v>
      </c>
      <c r="O1066" s="107">
        <f>VLOOKUP(G1066,Budget!$E$3:$G$2474,3,0)</f>
        <v>70000</v>
      </c>
      <c r="P1066" s="107">
        <f t="shared" si="458"/>
        <v>0</v>
      </c>
      <c r="Q1066" s="107"/>
      <c r="R1066" s="10"/>
      <c r="S1066" s="107">
        <v>70000</v>
      </c>
      <c r="T1066" s="107">
        <f t="shared" si="447"/>
        <v>0</v>
      </c>
      <c r="U1066" s="107"/>
      <c r="V1066" s="175"/>
      <c r="W1066" s="10"/>
      <c r="X1066" s="10"/>
      <c r="Y1066" t="str">
        <f t="shared" si="461"/>
        <v>2703</v>
      </c>
      <c r="AB1066" s="10"/>
      <c r="AC1066" s="10"/>
      <c r="AD1066" s="10"/>
      <c r="AE1066" s="10"/>
      <c r="AF1066" s="10"/>
      <c r="AG1066" s="10"/>
      <c r="AH1066" s="10"/>
      <c r="AI1066" s="10"/>
    </row>
    <row r="1067" spans="1:35">
      <c r="A1067" s="10"/>
      <c r="B1067" s="10" t="str">
        <f t="shared" si="460"/>
        <v>Below the LineWRAP</v>
      </c>
      <c r="C1067" t="s">
        <v>20</v>
      </c>
      <c r="D1067" t="s">
        <v>19</v>
      </c>
      <c r="E1067" t="s">
        <v>238</v>
      </c>
      <c r="G1067" t="s">
        <v>2584</v>
      </c>
      <c r="I1067" s="10"/>
      <c r="J1067" s="107">
        <f>SUMIF(Data!C:C,G1067,Data!Q:Q)</f>
        <v>20000</v>
      </c>
      <c r="K1067" s="107">
        <f>SUMIF(Comprometidos!A:A,'Cost Report'!G1067,Comprometidos!E:E)</f>
        <v>0</v>
      </c>
      <c r="L1067" s="107">
        <f t="shared" si="455"/>
        <v>20000</v>
      </c>
      <c r="M1067" s="107">
        <f t="shared" si="456"/>
        <v>0</v>
      </c>
      <c r="N1067" s="107">
        <f t="shared" si="457"/>
        <v>20000</v>
      </c>
      <c r="O1067" s="107">
        <f>VLOOKUP(G1067,Budget!$E$3:$G$2474,3,0)</f>
        <v>20000</v>
      </c>
      <c r="P1067" s="107">
        <f t="shared" si="458"/>
        <v>0</v>
      </c>
      <c r="Q1067" s="107"/>
      <c r="R1067" s="10"/>
      <c r="S1067" s="107">
        <v>20000</v>
      </c>
      <c r="T1067" s="107">
        <f t="shared" si="447"/>
        <v>0</v>
      </c>
      <c r="U1067" s="107"/>
      <c r="V1067" s="175"/>
      <c r="W1067" s="10"/>
      <c r="X1067" s="10"/>
      <c r="Y1067" t="str">
        <f t="shared" si="461"/>
        <v>2703</v>
      </c>
      <c r="AB1067" s="10"/>
      <c r="AC1067" s="10"/>
      <c r="AD1067" s="10"/>
      <c r="AE1067" s="10"/>
      <c r="AF1067" s="10"/>
      <c r="AG1067" s="10"/>
      <c r="AH1067" s="10"/>
      <c r="AI1067" s="10"/>
    </row>
    <row r="1068" spans="1:35">
      <c r="A1068" s="10"/>
      <c r="B1068" s="10" t="str">
        <f>+C1068</f>
        <v>Below the Line</v>
      </c>
      <c r="C1068" s="128" t="s">
        <v>20</v>
      </c>
      <c r="D1068" s="128" t="s">
        <v>2117</v>
      </c>
      <c r="E1068" s="128"/>
      <c r="F1068" s="128"/>
      <c r="G1068" s="128" t="s">
        <v>1814</v>
      </c>
      <c r="H1068" s="128"/>
      <c r="I1068" s="10"/>
      <c r="J1068" s="129">
        <f>SUMIF($Y$11:$Y$2484,G1068,J$11:J$2484)</f>
        <v>252000</v>
      </c>
      <c r="K1068" s="129">
        <f>SUMIF($Y$11:$Y$2484,G1068,K$11:K$2484)</f>
        <v>0</v>
      </c>
      <c r="L1068" s="129">
        <f>SUMIF($Y$11:$Y$2484,G1068,L$11:L$2484)</f>
        <v>252000</v>
      </c>
      <c r="M1068" s="129">
        <f>SUMIF($Y$11:$Y$2484,G1068,M$11:M$2484)</f>
        <v>0</v>
      </c>
      <c r="N1068" s="129">
        <f>SUMIF($Y$11:$Y$2484,G1068,N$11:N$2484)</f>
        <v>252000</v>
      </c>
      <c r="O1068" s="129">
        <f>SUMIF($Y$11:$Y$2484,G1068,O$11:O$2484)</f>
        <v>252000</v>
      </c>
      <c r="P1068" s="129">
        <f>SUMIF($Y$11:$Y$2484,G1068,P$11:P$2484)</f>
        <v>0</v>
      </c>
      <c r="Q1068" s="129"/>
      <c r="R1068" s="10"/>
      <c r="S1068" s="129">
        <v>252000</v>
      </c>
      <c r="T1068" s="129">
        <f t="shared" si="447"/>
        <v>0</v>
      </c>
      <c r="U1068" s="128"/>
      <c r="V1068" s="175"/>
      <c r="W1068" s="10"/>
      <c r="X1068" s="10"/>
      <c r="Z1068" t="str">
        <f>LEFT(G1068,2)</f>
        <v>27</v>
      </c>
      <c r="AA1068" t="str">
        <f>+Z1068&amp;"00"</f>
        <v>2700</v>
      </c>
      <c r="AB1068" s="10"/>
      <c r="AC1068" s="10"/>
      <c r="AD1068" s="10"/>
      <c r="AE1068" s="10"/>
      <c r="AF1068" s="10"/>
      <c r="AG1068" s="10"/>
      <c r="AH1068" s="10"/>
      <c r="AI1068" s="10"/>
    </row>
    <row r="1069" spans="1:35">
      <c r="A1069" s="10"/>
      <c r="B1069" s="10" t="str">
        <f t="shared" ref="B1069:B1072" si="462">+C1069&amp;E1069</f>
        <v>Below the Line</v>
      </c>
      <c r="C1069" t="s">
        <v>20</v>
      </c>
      <c r="D1069" t="s">
        <v>19</v>
      </c>
      <c r="E1069" t="s">
        <v>214</v>
      </c>
      <c r="G1069" t="s">
        <v>1815</v>
      </c>
      <c r="I1069" s="10"/>
      <c r="J1069" s="107">
        <f>SUMIF(Data!C:C,G1069,Data!Q:Q)</f>
        <v>0</v>
      </c>
      <c r="K1069" s="107">
        <f>SUMIF(Comprometidos!A:A,'Cost Report'!G1069,Comprometidos!E:E)</f>
        <v>0</v>
      </c>
      <c r="L1069" s="107">
        <f t="shared" si="455"/>
        <v>0</v>
      </c>
      <c r="M1069" s="107">
        <f t="shared" si="456"/>
        <v>0</v>
      </c>
      <c r="N1069" s="107">
        <f t="shared" si="457"/>
        <v>0</v>
      </c>
      <c r="O1069" s="107">
        <f>VLOOKUP(G1069,Budget!$E$3:$G$2474,3,0)</f>
        <v>0</v>
      </c>
      <c r="P1069" s="107">
        <f t="shared" si="458"/>
        <v>0</v>
      </c>
      <c r="Q1069" s="107"/>
      <c r="R1069" s="10"/>
      <c r="S1069" s="107">
        <v>0</v>
      </c>
      <c r="T1069" s="107">
        <f t="shared" si="447"/>
        <v>0</v>
      </c>
      <c r="U1069" s="107"/>
      <c r="V1069" s="175"/>
      <c r="W1069" s="10"/>
      <c r="X1069" s="10"/>
      <c r="Y1069" t="str">
        <f t="shared" ref="Y1069:Y1072" si="463">LEFT(G1069,4)</f>
        <v>2705</v>
      </c>
      <c r="AB1069" s="10"/>
      <c r="AC1069" s="10"/>
      <c r="AD1069" s="10"/>
      <c r="AE1069" s="10"/>
      <c r="AF1069" s="10"/>
      <c r="AG1069" s="10"/>
      <c r="AH1069" s="10"/>
      <c r="AI1069" s="10"/>
    </row>
    <row r="1070" spans="1:35">
      <c r="A1070" s="10"/>
      <c r="B1070" s="10" t="str">
        <f t="shared" si="462"/>
        <v>Below the LinePREP</v>
      </c>
      <c r="C1070" t="s">
        <v>20</v>
      </c>
      <c r="D1070" t="s">
        <v>19</v>
      </c>
      <c r="E1070" t="s">
        <v>234</v>
      </c>
      <c r="G1070" t="s">
        <v>1816</v>
      </c>
      <c r="I1070" s="10"/>
      <c r="J1070" s="107">
        <f>SUMIF(Data!C:C,G1070,Data!Q:Q)</f>
        <v>126000</v>
      </c>
      <c r="K1070" s="107">
        <f>SUMIF(Comprometidos!A:A,'Cost Report'!G1070,Comprometidos!E:E)</f>
        <v>0</v>
      </c>
      <c r="L1070" s="107">
        <f t="shared" si="455"/>
        <v>126000</v>
      </c>
      <c r="M1070" s="107">
        <f t="shared" si="456"/>
        <v>0</v>
      </c>
      <c r="N1070" s="107">
        <f t="shared" si="457"/>
        <v>126000</v>
      </c>
      <c r="O1070" s="107">
        <f>VLOOKUP(G1070,Budget!$E$3:$G$2474,3,0)</f>
        <v>126000</v>
      </c>
      <c r="P1070" s="107">
        <f t="shared" si="458"/>
        <v>0</v>
      </c>
      <c r="Q1070" s="107"/>
      <c r="R1070" s="10"/>
      <c r="S1070" s="107">
        <v>126000</v>
      </c>
      <c r="T1070" s="107">
        <f t="shared" si="447"/>
        <v>0</v>
      </c>
      <c r="U1070" s="107"/>
      <c r="V1070" s="175"/>
      <c r="W1070" s="10"/>
      <c r="X1070" s="10"/>
      <c r="Y1070" t="str">
        <f t="shared" si="463"/>
        <v>2705</v>
      </c>
      <c r="AB1070" s="10"/>
      <c r="AC1070" s="10"/>
      <c r="AD1070" s="10"/>
      <c r="AE1070" s="10"/>
      <c r="AF1070" s="10"/>
      <c r="AG1070" s="10"/>
      <c r="AH1070" s="10"/>
      <c r="AI1070" s="10"/>
    </row>
    <row r="1071" spans="1:35">
      <c r="A1071" s="10"/>
      <c r="B1071" s="10" t="str">
        <f t="shared" si="462"/>
        <v>Below the LineSHOOT</v>
      </c>
      <c r="C1071" t="s">
        <v>20</v>
      </c>
      <c r="D1071" t="s">
        <v>19</v>
      </c>
      <c r="E1071" t="s">
        <v>236</v>
      </c>
      <c r="G1071" t="s">
        <v>1817</v>
      </c>
      <c r="I1071" s="10"/>
      <c r="J1071" s="107">
        <f>SUMIF(Data!C:C,G1071,Data!Q:Q)</f>
        <v>98000</v>
      </c>
      <c r="K1071" s="107">
        <f>SUMIF(Comprometidos!A:A,'Cost Report'!G1071,Comprometidos!E:E)</f>
        <v>0</v>
      </c>
      <c r="L1071" s="107">
        <f t="shared" si="455"/>
        <v>98000</v>
      </c>
      <c r="M1071" s="107">
        <f t="shared" si="456"/>
        <v>0</v>
      </c>
      <c r="N1071" s="107">
        <f t="shared" si="457"/>
        <v>98000</v>
      </c>
      <c r="O1071" s="107">
        <f>VLOOKUP(G1071,Budget!$E$3:$G$2474,3,0)</f>
        <v>98000</v>
      </c>
      <c r="P1071" s="107">
        <f t="shared" si="458"/>
        <v>0</v>
      </c>
      <c r="Q1071" s="107"/>
      <c r="R1071" s="10"/>
      <c r="S1071" s="107">
        <v>98000</v>
      </c>
      <c r="T1071" s="107">
        <f t="shared" si="447"/>
        <v>0</v>
      </c>
      <c r="U1071" s="107"/>
      <c r="V1071" s="175"/>
      <c r="W1071" s="10"/>
      <c r="X1071" s="10"/>
      <c r="Y1071" t="str">
        <f t="shared" si="463"/>
        <v>2705</v>
      </c>
      <c r="AB1071" s="10"/>
      <c r="AC1071" s="10"/>
      <c r="AD1071" s="10"/>
      <c r="AE1071" s="10"/>
      <c r="AF1071" s="10"/>
      <c r="AG1071" s="10"/>
      <c r="AH1071" s="10"/>
      <c r="AI1071" s="10"/>
    </row>
    <row r="1072" spans="1:35">
      <c r="A1072" s="10"/>
      <c r="B1072" s="10" t="str">
        <f t="shared" si="462"/>
        <v>Below the LineWRAP</v>
      </c>
      <c r="C1072" t="s">
        <v>20</v>
      </c>
      <c r="D1072" t="s">
        <v>19</v>
      </c>
      <c r="E1072" t="s">
        <v>238</v>
      </c>
      <c r="G1072" t="s">
        <v>2585</v>
      </c>
      <c r="I1072" s="10"/>
      <c r="J1072" s="107">
        <f>SUMIF(Data!C:C,G1072,Data!Q:Q)</f>
        <v>28000</v>
      </c>
      <c r="K1072" s="107">
        <f>SUMIF(Comprometidos!A:A,'Cost Report'!G1072,Comprometidos!E:E)</f>
        <v>0</v>
      </c>
      <c r="L1072" s="107">
        <f t="shared" si="455"/>
        <v>28000</v>
      </c>
      <c r="M1072" s="107">
        <f t="shared" si="456"/>
        <v>0</v>
      </c>
      <c r="N1072" s="107">
        <f t="shared" si="457"/>
        <v>28000</v>
      </c>
      <c r="O1072" s="107">
        <f>VLOOKUP(G1072,Budget!$E$3:$G$2474,3,0)</f>
        <v>28000</v>
      </c>
      <c r="P1072" s="107">
        <f t="shared" si="458"/>
        <v>0</v>
      </c>
      <c r="Q1072" s="107"/>
      <c r="R1072" s="10"/>
      <c r="S1072" s="107">
        <v>28000</v>
      </c>
      <c r="T1072" s="107">
        <f t="shared" si="447"/>
        <v>0</v>
      </c>
      <c r="U1072" s="107"/>
      <c r="V1072" s="175"/>
      <c r="W1072" s="10"/>
      <c r="X1072" s="10"/>
      <c r="Y1072" t="str">
        <f t="shared" si="463"/>
        <v>2705</v>
      </c>
      <c r="AB1072" s="10"/>
      <c r="AC1072" s="10"/>
      <c r="AD1072" s="10"/>
      <c r="AE1072" s="10"/>
      <c r="AF1072" s="10"/>
      <c r="AG1072" s="10"/>
      <c r="AH1072" s="10"/>
      <c r="AI1072" s="10"/>
    </row>
    <row r="1073" spans="1:35">
      <c r="A1073" s="10"/>
      <c r="B1073" s="10" t="str">
        <f>+C1073</f>
        <v>Below the Line</v>
      </c>
      <c r="C1073" s="128" t="s">
        <v>20</v>
      </c>
      <c r="D1073" s="128" t="s">
        <v>2117</v>
      </c>
      <c r="E1073" s="128"/>
      <c r="F1073" s="128"/>
      <c r="G1073" s="128" t="s">
        <v>1523</v>
      </c>
      <c r="H1073" s="128"/>
      <c r="I1073" s="10"/>
      <c r="J1073" s="129">
        <f>SUMIF($Y$11:$Y$2484,G1073,J$11:J$2484)</f>
        <v>121500</v>
      </c>
      <c r="K1073" s="129">
        <f>SUMIF($Y$11:$Y$2484,G1073,K$11:K$2484)</f>
        <v>0</v>
      </c>
      <c r="L1073" s="129">
        <f>SUMIF($Y$11:$Y$2484,G1073,L$11:L$2484)</f>
        <v>121500</v>
      </c>
      <c r="M1073" s="129">
        <f>SUMIF($Y$11:$Y$2484,G1073,M$11:M$2484)</f>
        <v>0</v>
      </c>
      <c r="N1073" s="129">
        <f>SUMIF($Y$11:$Y$2484,G1073,N$11:N$2484)</f>
        <v>121500</v>
      </c>
      <c r="O1073" s="129">
        <f>SUMIF($Y$11:$Y$2484,G1073,O$11:O$2484)</f>
        <v>120000</v>
      </c>
      <c r="P1073" s="129">
        <f>SUMIF($Y$11:$Y$2484,G1073,P$11:P$2484)</f>
        <v>-1500</v>
      </c>
      <c r="Q1073" s="129"/>
      <c r="R1073" s="10"/>
      <c r="S1073" s="129">
        <v>121500</v>
      </c>
      <c r="T1073" s="129">
        <f t="shared" si="447"/>
        <v>0</v>
      </c>
      <c r="U1073" s="128"/>
      <c r="V1073" s="175"/>
      <c r="W1073" s="10"/>
      <c r="X1073" s="10"/>
      <c r="Z1073" t="str">
        <f>LEFT(G1073,2)</f>
        <v>27</v>
      </c>
      <c r="AA1073" t="str">
        <f>+Z1073&amp;"00"</f>
        <v>2700</v>
      </c>
      <c r="AB1073" s="10"/>
      <c r="AC1073" s="10"/>
      <c r="AD1073" s="10"/>
      <c r="AE1073" s="10"/>
      <c r="AF1073" s="10"/>
      <c r="AG1073" s="10"/>
      <c r="AH1073" s="10"/>
      <c r="AI1073" s="10"/>
    </row>
    <row r="1074" spans="1:35">
      <c r="A1074" s="10"/>
      <c r="B1074" s="10" t="str">
        <f t="shared" ref="B1074:B1081" si="464">+C1074&amp;E1074</f>
        <v>Below the Line</v>
      </c>
      <c r="C1074" t="s">
        <v>20</v>
      </c>
      <c r="D1074" t="s">
        <v>19</v>
      </c>
      <c r="E1074" t="s">
        <v>214</v>
      </c>
      <c r="G1074" t="s">
        <v>1524</v>
      </c>
      <c r="I1074" s="10"/>
      <c r="J1074" s="107">
        <f>SUMIF(Data!C:C,G1074,Data!Q:Q)</f>
        <v>0</v>
      </c>
      <c r="K1074" s="107">
        <f>SUMIF(Comprometidos!A:A,'Cost Report'!G1074,Comprometidos!E:E)</f>
        <v>0</v>
      </c>
      <c r="L1074" s="107">
        <f t="shared" ref="L1074:L1098" si="465">+J1074+K1074</f>
        <v>0</v>
      </c>
      <c r="M1074" s="107">
        <f t="shared" ref="M1074:M1097" si="466">+O1074-L1074</f>
        <v>0</v>
      </c>
      <c r="N1074" s="107">
        <f t="shared" ref="N1074:N1098" si="467">+L1074+M1074</f>
        <v>0</v>
      </c>
      <c r="O1074" s="107">
        <f>VLOOKUP(G1074,Budget!$E$3:$G$2474,3,0)</f>
        <v>0</v>
      </c>
      <c r="P1074" s="107">
        <f t="shared" ref="P1074:P1098" si="468">+O1074-N1074</f>
        <v>0</v>
      </c>
      <c r="Q1074" s="107"/>
      <c r="R1074" s="10"/>
      <c r="S1074" s="107">
        <v>0</v>
      </c>
      <c r="T1074" s="107">
        <f t="shared" si="447"/>
        <v>0</v>
      </c>
      <c r="U1074" s="107"/>
      <c r="V1074" s="175"/>
      <c r="W1074" s="10"/>
      <c r="X1074" s="10"/>
      <c r="Y1074" t="str">
        <f t="shared" ref="Y1074:Y1081" si="469">LEFT(G1074,4)</f>
        <v>2706</v>
      </c>
      <c r="AB1074" s="10"/>
      <c r="AC1074" s="10"/>
      <c r="AD1074" s="10"/>
      <c r="AE1074" s="10"/>
      <c r="AF1074" s="10"/>
      <c r="AG1074" s="10"/>
      <c r="AH1074" s="10"/>
      <c r="AI1074" s="10"/>
    </row>
    <row r="1075" spans="1:35">
      <c r="A1075" s="10"/>
      <c r="B1075" s="10" t="str">
        <f t="shared" si="464"/>
        <v>Below the LinePREP</v>
      </c>
      <c r="C1075" t="s">
        <v>20</v>
      </c>
      <c r="D1075" t="s">
        <v>19</v>
      </c>
      <c r="E1075" t="s">
        <v>234</v>
      </c>
      <c r="G1075" t="s">
        <v>1525</v>
      </c>
      <c r="I1075" s="10"/>
      <c r="J1075" s="107">
        <f>SUMIF(Data!C:C,G1075,Data!Q:Q)</f>
        <v>24000</v>
      </c>
      <c r="K1075" s="107">
        <f>SUMIF(Comprometidos!A:A,'Cost Report'!G1075,Comprometidos!E:E)</f>
        <v>0</v>
      </c>
      <c r="L1075" s="107">
        <f t="shared" si="465"/>
        <v>24000</v>
      </c>
      <c r="M1075" s="107">
        <f t="shared" si="466"/>
        <v>0</v>
      </c>
      <c r="N1075" s="107">
        <f t="shared" si="467"/>
        <v>24000</v>
      </c>
      <c r="O1075" s="107">
        <f>VLOOKUP(G1075,Budget!$E$3:$G$2474,3,0)</f>
        <v>24000</v>
      </c>
      <c r="P1075" s="107">
        <f t="shared" si="468"/>
        <v>0</v>
      </c>
      <c r="Q1075" s="107"/>
      <c r="R1075" s="10"/>
      <c r="S1075" s="107">
        <v>24000</v>
      </c>
      <c r="T1075" s="107">
        <f t="shared" si="447"/>
        <v>0</v>
      </c>
      <c r="U1075" s="107"/>
      <c r="V1075" s="175"/>
      <c r="W1075" s="10"/>
      <c r="X1075" s="10"/>
      <c r="Y1075" t="str">
        <f t="shared" si="469"/>
        <v>2706</v>
      </c>
      <c r="AB1075" s="10"/>
      <c r="AC1075" s="10"/>
      <c r="AD1075" s="10"/>
      <c r="AE1075" s="10"/>
      <c r="AF1075" s="10"/>
      <c r="AG1075" s="10"/>
      <c r="AH1075" s="10"/>
      <c r="AI1075" s="10"/>
    </row>
    <row r="1076" spans="1:35">
      <c r="A1076" s="10"/>
      <c r="B1076" s="10" t="str">
        <f t="shared" si="464"/>
        <v>Below the LineSHOOT</v>
      </c>
      <c r="C1076" t="s">
        <v>20</v>
      </c>
      <c r="D1076" t="s">
        <v>19</v>
      </c>
      <c r="E1076" t="s">
        <v>236</v>
      </c>
      <c r="G1076" t="s">
        <v>1526</v>
      </c>
      <c r="I1076" s="10"/>
      <c r="J1076" s="107">
        <f>SUMIF(Data!C:C,G1076,Data!Q:Q)</f>
        <v>56000</v>
      </c>
      <c r="K1076" s="107">
        <f>SUMIF(Comprometidos!A:A,'Cost Report'!G1076,Comprometidos!E:E)</f>
        <v>0</v>
      </c>
      <c r="L1076" s="107">
        <f t="shared" si="465"/>
        <v>56000</v>
      </c>
      <c r="M1076" s="107">
        <f t="shared" si="466"/>
        <v>0</v>
      </c>
      <c r="N1076" s="107">
        <f t="shared" si="467"/>
        <v>56000</v>
      </c>
      <c r="O1076" s="107">
        <f>VLOOKUP(G1076,Budget!$E$3:$G$2474,3,0)</f>
        <v>56000</v>
      </c>
      <c r="P1076" s="107">
        <f t="shared" si="468"/>
        <v>0</v>
      </c>
      <c r="Q1076" s="107"/>
      <c r="R1076" s="10"/>
      <c r="S1076" s="107">
        <v>56000</v>
      </c>
      <c r="T1076" s="107">
        <f t="shared" si="447"/>
        <v>0</v>
      </c>
      <c r="U1076" s="107"/>
      <c r="V1076" s="175"/>
      <c r="W1076" s="10"/>
      <c r="X1076" s="10"/>
      <c r="Y1076" t="str">
        <f t="shared" si="469"/>
        <v>2706</v>
      </c>
      <c r="AB1076" s="10"/>
      <c r="AC1076" s="10"/>
      <c r="AD1076" s="10"/>
      <c r="AE1076" s="10"/>
      <c r="AF1076" s="10"/>
      <c r="AG1076" s="10"/>
      <c r="AH1076" s="10"/>
      <c r="AI1076" s="10"/>
    </row>
    <row r="1077" spans="1:35">
      <c r="A1077" s="10"/>
      <c r="B1077" s="10" t="str">
        <f t="shared" si="464"/>
        <v>Below the LineWRAP</v>
      </c>
      <c r="C1077" t="s">
        <v>20</v>
      </c>
      <c r="D1077" t="s">
        <v>19</v>
      </c>
      <c r="E1077" t="s">
        <v>238</v>
      </c>
      <c r="G1077" t="s">
        <v>1527</v>
      </c>
      <c r="I1077" s="10"/>
      <c r="J1077" s="107">
        <f>SUMIF(Data!C:C,G1077,Data!Q:Q)</f>
        <v>16000</v>
      </c>
      <c r="K1077" s="107">
        <f>SUMIF(Comprometidos!A:A,'Cost Report'!G1077,Comprometidos!E:E)</f>
        <v>0</v>
      </c>
      <c r="L1077" s="107">
        <f t="shared" si="465"/>
        <v>16000</v>
      </c>
      <c r="M1077" s="107">
        <f t="shared" si="466"/>
        <v>0</v>
      </c>
      <c r="N1077" s="107">
        <f t="shared" si="467"/>
        <v>16000</v>
      </c>
      <c r="O1077" s="107">
        <f>VLOOKUP(G1077,Budget!$E$3:$G$2474,3,0)</f>
        <v>16000</v>
      </c>
      <c r="P1077" s="107">
        <f t="shared" si="468"/>
        <v>0</v>
      </c>
      <c r="Q1077" s="107"/>
      <c r="R1077" s="10"/>
      <c r="S1077" s="107">
        <v>16000</v>
      </c>
      <c r="T1077" s="107">
        <f t="shared" si="447"/>
        <v>0</v>
      </c>
      <c r="U1077" s="107"/>
      <c r="V1077" s="175"/>
      <c r="W1077" s="10"/>
      <c r="X1077" s="10"/>
      <c r="Y1077" t="str">
        <f t="shared" si="469"/>
        <v>2706</v>
      </c>
      <c r="AB1077" s="10"/>
      <c r="AC1077" s="10"/>
      <c r="AD1077" s="10"/>
      <c r="AE1077" s="10"/>
      <c r="AF1077" s="10"/>
      <c r="AG1077" s="10"/>
      <c r="AH1077" s="10"/>
      <c r="AI1077" s="10"/>
    </row>
    <row r="1078" spans="1:35">
      <c r="A1078" s="10"/>
      <c r="B1078" s="10" t="str">
        <f t="shared" si="464"/>
        <v>Below the Line</v>
      </c>
      <c r="C1078" t="s">
        <v>20</v>
      </c>
      <c r="D1078" t="s">
        <v>19</v>
      </c>
      <c r="E1078" t="s">
        <v>214</v>
      </c>
      <c r="G1078" t="s">
        <v>1528</v>
      </c>
      <c r="I1078" s="10"/>
      <c r="J1078" s="107">
        <f>SUMIF(Data!C:C,G1078,Data!Q:Q)</f>
        <v>0</v>
      </c>
      <c r="K1078" s="107">
        <f>SUMIF(Comprometidos!A:A,'Cost Report'!G1078,Comprometidos!E:E)</f>
        <v>0</v>
      </c>
      <c r="L1078" s="107">
        <f t="shared" si="465"/>
        <v>0</v>
      </c>
      <c r="M1078" s="107">
        <f t="shared" si="466"/>
        <v>0</v>
      </c>
      <c r="N1078" s="107">
        <f t="shared" si="467"/>
        <v>0</v>
      </c>
      <c r="O1078" s="107">
        <f>VLOOKUP(G1078,Budget!$E$3:$G$2474,3,0)</f>
        <v>0</v>
      </c>
      <c r="P1078" s="107">
        <f t="shared" si="468"/>
        <v>0</v>
      </c>
      <c r="Q1078" s="107"/>
      <c r="R1078" s="10"/>
      <c r="S1078" s="107">
        <v>0</v>
      </c>
      <c r="T1078" s="107">
        <f t="shared" si="447"/>
        <v>0</v>
      </c>
      <c r="U1078" s="107"/>
      <c r="V1078" s="175"/>
      <c r="W1078" s="10"/>
      <c r="X1078" s="10"/>
      <c r="Y1078" t="str">
        <f t="shared" si="469"/>
        <v>2706</v>
      </c>
      <c r="AB1078" s="10"/>
      <c r="AC1078" s="10"/>
      <c r="AD1078" s="10"/>
      <c r="AE1078" s="10"/>
      <c r="AF1078" s="10"/>
      <c r="AG1078" s="10"/>
      <c r="AH1078" s="10"/>
      <c r="AI1078" s="10"/>
    </row>
    <row r="1079" spans="1:35">
      <c r="A1079" s="10"/>
      <c r="B1079" s="10" t="str">
        <f t="shared" si="464"/>
        <v>Below the Line2nd Unit</v>
      </c>
      <c r="C1079" t="s">
        <v>20</v>
      </c>
      <c r="D1079" t="s">
        <v>19</v>
      </c>
      <c r="E1079" t="s">
        <v>1419</v>
      </c>
      <c r="G1079" t="s">
        <v>2586</v>
      </c>
      <c r="I1079" s="10"/>
      <c r="J1079" s="107">
        <f>SUMIF(Data!C:C,G1079,Data!Q:Q)</f>
        <v>8000</v>
      </c>
      <c r="K1079" s="107">
        <f>SUMIF(Comprometidos!A:A,'Cost Report'!G1079,Comprometidos!E:E)</f>
        <v>0</v>
      </c>
      <c r="L1079" s="107">
        <f t="shared" si="465"/>
        <v>8000</v>
      </c>
      <c r="M1079" s="107">
        <f t="shared" si="466"/>
        <v>0</v>
      </c>
      <c r="N1079" s="107">
        <f t="shared" si="467"/>
        <v>8000</v>
      </c>
      <c r="O1079" s="107">
        <f>VLOOKUP(G1079,Budget!$E$3:$G$2474,3,0)</f>
        <v>8000</v>
      </c>
      <c r="P1079" s="107">
        <f t="shared" si="468"/>
        <v>0</v>
      </c>
      <c r="Q1079" s="107"/>
      <c r="R1079" s="10"/>
      <c r="S1079" s="107">
        <v>8000</v>
      </c>
      <c r="T1079" s="107">
        <f t="shared" si="447"/>
        <v>0</v>
      </c>
      <c r="U1079" s="107"/>
      <c r="V1079" s="175"/>
      <c r="W1079" s="10"/>
      <c r="X1079" s="10"/>
      <c r="Y1079" t="str">
        <f t="shared" si="469"/>
        <v>2706</v>
      </c>
      <c r="AB1079" s="10"/>
      <c r="AC1079" s="10"/>
      <c r="AD1079" s="10"/>
      <c r="AE1079" s="10"/>
      <c r="AF1079" s="10"/>
      <c r="AG1079" s="10"/>
      <c r="AH1079" s="10"/>
      <c r="AI1079" s="10"/>
    </row>
    <row r="1080" spans="1:35">
      <c r="A1080" s="10"/>
      <c r="B1080" s="10" t="str">
        <f t="shared" si="464"/>
        <v>Below the Line2nd Unit</v>
      </c>
      <c r="C1080" t="s">
        <v>20</v>
      </c>
      <c r="D1080" t="s">
        <v>19</v>
      </c>
      <c r="E1080" t="s">
        <v>1419</v>
      </c>
      <c r="G1080" t="s">
        <v>2587</v>
      </c>
      <c r="I1080" s="10"/>
      <c r="J1080" s="107">
        <f>SUMIF(Data!C:C,G1080,Data!Q:Q)</f>
        <v>17500</v>
      </c>
      <c r="K1080" s="107">
        <f>SUMIF(Comprometidos!A:A,'Cost Report'!G1080,Comprometidos!E:E)</f>
        <v>0</v>
      </c>
      <c r="L1080" s="107">
        <f t="shared" si="465"/>
        <v>17500</v>
      </c>
      <c r="M1080" s="107">
        <v>0</v>
      </c>
      <c r="N1080" s="107">
        <f t="shared" si="467"/>
        <v>17500</v>
      </c>
      <c r="O1080" s="107">
        <f>VLOOKUP(G1080,Budget!$E$3:$G$2474,3,0)</f>
        <v>16000</v>
      </c>
      <c r="P1080" s="107">
        <f t="shared" si="468"/>
        <v>-1500</v>
      </c>
      <c r="Q1080" s="107"/>
      <c r="R1080" s="10"/>
      <c r="S1080" s="107">
        <v>17500</v>
      </c>
      <c r="T1080" s="107">
        <f t="shared" si="447"/>
        <v>0</v>
      </c>
      <c r="U1080" s="107"/>
      <c r="V1080" s="175"/>
      <c r="W1080" s="10"/>
      <c r="X1080" s="10"/>
      <c r="Y1080" t="str">
        <f t="shared" si="469"/>
        <v>2706</v>
      </c>
      <c r="AB1080" s="10"/>
      <c r="AC1080" s="10"/>
      <c r="AD1080" s="10"/>
      <c r="AE1080" s="10"/>
      <c r="AF1080" s="10"/>
      <c r="AG1080" s="10"/>
      <c r="AH1080" s="10"/>
      <c r="AI1080" s="10"/>
    </row>
    <row r="1081" spans="1:35">
      <c r="A1081" s="10"/>
      <c r="B1081" s="10" t="str">
        <f t="shared" si="464"/>
        <v>Below the Line2nd Unit</v>
      </c>
      <c r="C1081" t="s">
        <v>20</v>
      </c>
      <c r="D1081" t="s">
        <v>19</v>
      </c>
      <c r="E1081" t="s">
        <v>1419</v>
      </c>
      <c r="G1081" t="s">
        <v>2588</v>
      </c>
      <c r="I1081" s="10"/>
      <c r="J1081" s="107">
        <f>SUMIF(Data!C:C,G1081,Data!Q:Q)</f>
        <v>0</v>
      </c>
      <c r="K1081" s="107">
        <f>SUMIF(Comprometidos!A:A,'Cost Report'!G1081,Comprometidos!E:E)</f>
        <v>0</v>
      </c>
      <c r="L1081" s="107">
        <f t="shared" si="465"/>
        <v>0</v>
      </c>
      <c r="M1081" s="107">
        <f t="shared" si="466"/>
        <v>0</v>
      </c>
      <c r="N1081" s="107">
        <f t="shared" si="467"/>
        <v>0</v>
      </c>
      <c r="O1081" s="107">
        <f>VLOOKUP(G1081,Budget!$E$3:$G$2474,3,0)</f>
        <v>0</v>
      </c>
      <c r="P1081" s="107">
        <f t="shared" si="468"/>
        <v>0</v>
      </c>
      <c r="Q1081" s="107"/>
      <c r="R1081" s="10"/>
      <c r="S1081" s="107">
        <v>0</v>
      </c>
      <c r="T1081" s="107">
        <f t="shared" si="447"/>
        <v>0</v>
      </c>
      <c r="U1081" s="107"/>
      <c r="V1081" s="175"/>
      <c r="W1081" s="10"/>
      <c r="X1081" s="10"/>
      <c r="Y1081" t="str">
        <f t="shared" si="469"/>
        <v>2706</v>
      </c>
      <c r="AB1081" s="10"/>
      <c r="AC1081" s="10"/>
      <c r="AD1081" s="10"/>
      <c r="AE1081" s="10"/>
      <c r="AF1081" s="10"/>
      <c r="AG1081" s="10"/>
      <c r="AH1081" s="10"/>
      <c r="AI1081" s="10"/>
    </row>
    <row r="1082" spans="1:35">
      <c r="A1082" s="10"/>
      <c r="B1082" s="10" t="str">
        <f>+C1082</f>
        <v>Below the Line</v>
      </c>
      <c r="C1082" s="128" t="s">
        <v>20</v>
      </c>
      <c r="D1082" s="128" t="s">
        <v>2117</v>
      </c>
      <c r="E1082" s="128"/>
      <c r="F1082" s="128"/>
      <c r="G1082" s="128" t="s">
        <v>659</v>
      </c>
      <c r="H1082" s="128"/>
      <c r="I1082" s="10"/>
      <c r="J1082" s="129">
        <f>SUMIF($Y$11:$Y$2484,G1082,J$11:J$2484)</f>
        <v>318640</v>
      </c>
      <c r="K1082" s="129">
        <f>SUMIF($Y$11:$Y$2484,G1082,K$11:K$2484)</f>
        <v>0</v>
      </c>
      <c r="L1082" s="129">
        <f>SUMIF($Y$11:$Y$2484,G1082,L$11:L$2484)</f>
        <v>318640</v>
      </c>
      <c r="M1082" s="129">
        <f>SUMIF($Y$11:$Y$2484,G1082,M$11:M$2484)</f>
        <v>0</v>
      </c>
      <c r="N1082" s="129">
        <f>SUMIF($Y$11:$Y$2484,G1082,N$11:N$2484)</f>
        <v>318640</v>
      </c>
      <c r="O1082" s="129">
        <f>SUMIF($Y$11:$Y$2484,G1082,O$11:O$2484)</f>
        <v>229000</v>
      </c>
      <c r="P1082" s="129">
        <f>SUMIF($Y$11:$Y$2484,G1082,P$11:P$2484)</f>
        <v>-89640</v>
      </c>
      <c r="Q1082" s="129"/>
      <c r="R1082" s="10"/>
      <c r="S1082" s="129">
        <v>318640</v>
      </c>
      <c r="T1082" s="129">
        <f t="shared" si="447"/>
        <v>0</v>
      </c>
      <c r="U1082" s="128"/>
      <c r="V1082" s="175"/>
      <c r="W1082" s="10"/>
      <c r="X1082" s="10"/>
      <c r="Z1082" t="str">
        <f>LEFT(G1082,2)</f>
        <v>27</v>
      </c>
      <c r="AA1082" t="str">
        <f>+Z1082&amp;"00"</f>
        <v>2700</v>
      </c>
      <c r="AB1082" s="10"/>
      <c r="AC1082" s="10"/>
      <c r="AD1082" s="10"/>
      <c r="AE1082" s="10"/>
      <c r="AF1082" s="10"/>
      <c r="AG1082" s="10"/>
      <c r="AH1082" s="10"/>
      <c r="AI1082" s="10"/>
    </row>
    <row r="1083" spans="1:35">
      <c r="A1083" s="10"/>
      <c r="B1083" s="10" t="str">
        <f t="shared" ref="B1083:B1098" si="470">+C1083&amp;E1083</f>
        <v>Below the Line</v>
      </c>
      <c r="C1083" t="s">
        <v>20</v>
      </c>
      <c r="D1083" t="s">
        <v>19</v>
      </c>
      <c r="E1083" t="s">
        <v>214</v>
      </c>
      <c r="G1083" t="s">
        <v>660</v>
      </c>
      <c r="I1083" s="10"/>
      <c r="J1083" s="107">
        <f>SUMIF(Data!C:C,G1083,Data!Q:Q)</f>
        <v>0</v>
      </c>
      <c r="K1083" s="107">
        <f>SUMIF(Comprometidos!A:A,'Cost Report'!G1083,Comprometidos!E:E)</f>
        <v>0</v>
      </c>
      <c r="L1083" s="107">
        <f t="shared" si="465"/>
        <v>0</v>
      </c>
      <c r="M1083" s="107">
        <f t="shared" si="466"/>
        <v>0</v>
      </c>
      <c r="N1083" s="107">
        <f t="shared" si="467"/>
        <v>0</v>
      </c>
      <c r="O1083" s="107">
        <f>VLOOKUP(G1083,Budget!$E$3:$G$2474,3,0)</f>
        <v>0</v>
      </c>
      <c r="P1083" s="107">
        <f t="shared" si="468"/>
        <v>0</v>
      </c>
      <c r="Q1083" s="107"/>
      <c r="R1083" s="10"/>
      <c r="S1083" s="107">
        <v>0</v>
      </c>
      <c r="T1083" s="107">
        <f t="shared" si="447"/>
        <v>0</v>
      </c>
      <c r="U1083" s="107"/>
      <c r="V1083" s="175"/>
      <c r="W1083" s="10"/>
      <c r="X1083" s="10"/>
      <c r="Y1083" t="str">
        <f t="shared" ref="Y1083:Y1098" si="471">LEFT(G1083,4)</f>
        <v>2707</v>
      </c>
      <c r="AB1083" s="10"/>
      <c r="AC1083" s="10"/>
      <c r="AD1083" s="10"/>
      <c r="AE1083" s="10"/>
      <c r="AF1083" s="10"/>
      <c r="AG1083" s="10"/>
      <c r="AH1083" s="10"/>
      <c r="AI1083" s="10"/>
    </row>
    <row r="1084" spans="1:35">
      <c r="A1084" s="10"/>
      <c r="B1084" s="10" t="str">
        <f t="shared" si="470"/>
        <v>Below the LinePREP</v>
      </c>
      <c r="C1084" t="s">
        <v>20</v>
      </c>
      <c r="D1084" t="s">
        <v>19</v>
      </c>
      <c r="E1084" t="s">
        <v>234</v>
      </c>
      <c r="G1084" t="s">
        <v>661</v>
      </c>
      <c r="I1084" s="10"/>
      <c r="J1084" s="107">
        <f>SUMIF(Data!C:C,G1084,Data!Q:Q)</f>
        <v>22500</v>
      </c>
      <c r="K1084" s="107">
        <f>SUMIF(Comprometidos!A:A,'Cost Report'!G1084,Comprometidos!E:E)</f>
        <v>0</v>
      </c>
      <c r="L1084" s="107">
        <f t="shared" si="465"/>
        <v>22500</v>
      </c>
      <c r="M1084" s="107">
        <f t="shared" si="466"/>
        <v>0</v>
      </c>
      <c r="N1084" s="107">
        <f t="shared" si="467"/>
        <v>22500</v>
      </c>
      <c r="O1084" s="107">
        <f>VLOOKUP(G1084,Budget!$E$3:$G$2474,3,0)</f>
        <v>22500</v>
      </c>
      <c r="P1084" s="107">
        <f t="shared" si="468"/>
        <v>0</v>
      </c>
      <c r="Q1084" s="107"/>
      <c r="R1084" s="10"/>
      <c r="S1084" s="107">
        <v>22500</v>
      </c>
      <c r="T1084" s="107">
        <f t="shared" si="447"/>
        <v>0</v>
      </c>
      <c r="U1084" s="107"/>
      <c r="V1084" s="175"/>
      <c r="W1084" s="10"/>
      <c r="X1084" s="10"/>
      <c r="Y1084" t="str">
        <f t="shared" si="471"/>
        <v>2707</v>
      </c>
      <c r="AB1084" s="10"/>
      <c r="AC1084" s="10"/>
      <c r="AD1084" s="10"/>
      <c r="AE1084" s="10"/>
      <c r="AF1084" s="10"/>
      <c r="AG1084" s="10"/>
      <c r="AH1084" s="10"/>
      <c r="AI1084" s="10"/>
    </row>
    <row r="1085" spans="1:35">
      <c r="A1085" s="10"/>
      <c r="B1085" s="10" t="str">
        <f t="shared" si="470"/>
        <v>Below the LineSHOOT</v>
      </c>
      <c r="C1085" t="s">
        <v>20</v>
      </c>
      <c r="D1085" t="s">
        <v>19</v>
      </c>
      <c r="E1085" t="s">
        <v>236</v>
      </c>
      <c r="G1085" t="s">
        <v>662</v>
      </c>
      <c r="I1085" s="10"/>
      <c r="J1085" s="107">
        <f>SUMIF(Data!C:C,G1085,Data!Q:Q)</f>
        <v>52500</v>
      </c>
      <c r="K1085" s="107">
        <f>SUMIF(Comprometidos!A:A,'Cost Report'!G1085,Comprometidos!E:E)</f>
        <v>0</v>
      </c>
      <c r="L1085" s="107">
        <f t="shared" si="465"/>
        <v>52500</v>
      </c>
      <c r="M1085" s="107">
        <f t="shared" si="466"/>
        <v>0</v>
      </c>
      <c r="N1085" s="107">
        <f t="shared" si="467"/>
        <v>52500</v>
      </c>
      <c r="O1085" s="107">
        <f>VLOOKUP(G1085,Budget!$E$3:$G$2474,3,0)</f>
        <v>52500</v>
      </c>
      <c r="P1085" s="107">
        <f t="shared" si="468"/>
        <v>0</v>
      </c>
      <c r="Q1085" s="107"/>
      <c r="R1085" s="10"/>
      <c r="S1085" s="107">
        <v>52500</v>
      </c>
      <c r="T1085" s="107">
        <f t="shared" si="447"/>
        <v>0</v>
      </c>
      <c r="U1085" s="107"/>
      <c r="V1085" s="175"/>
      <c r="W1085" s="10"/>
      <c r="X1085" s="10"/>
      <c r="Y1085" t="str">
        <f t="shared" si="471"/>
        <v>2707</v>
      </c>
      <c r="AB1085" s="10"/>
      <c r="AC1085" s="10"/>
      <c r="AD1085" s="10"/>
      <c r="AE1085" s="10"/>
      <c r="AF1085" s="10"/>
      <c r="AG1085" s="10"/>
      <c r="AH1085" s="10"/>
      <c r="AI1085" s="10"/>
    </row>
    <row r="1086" spans="1:35">
      <c r="A1086" s="10"/>
      <c r="B1086" s="10" t="str">
        <f t="shared" si="470"/>
        <v>Below the LineWRAP</v>
      </c>
      <c r="C1086" t="s">
        <v>20</v>
      </c>
      <c r="D1086" t="s">
        <v>19</v>
      </c>
      <c r="E1086" t="s">
        <v>238</v>
      </c>
      <c r="F1086" t="s">
        <v>5396</v>
      </c>
      <c r="G1086" t="s">
        <v>663</v>
      </c>
      <c r="I1086" s="10"/>
      <c r="J1086" s="107">
        <f>SUMIF(Data!C:C,G1086,Data!Q:Q)</f>
        <v>22500</v>
      </c>
      <c r="K1086" s="107">
        <f>SUMIF(Comprometidos!A:A,'Cost Report'!G1086,Comprometidos!E:E)</f>
        <v>0</v>
      </c>
      <c r="L1086" s="107">
        <f t="shared" si="465"/>
        <v>22500</v>
      </c>
      <c r="M1086" s="107">
        <v>0</v>
      </c>
      <c r="N1086" s="107">
        <f t="shared" si="467"/>
        <v>22500</v>
      </c>
      <c r="O1086" s="107">
        <f>VLOOKUP(G1086,Budget!$E$3:$G$2474,3,0)</f>
        <v>15000</v>
      </c>
      <c r="P1086" s="107">
        <f t="shared" si="468"/>
        <v>-7500</v>
      </c>
      <c r="Q1086" s="107"/>
      <c r="R1086" s="10"/>
      <c r="S1086" s="107">
        <v>22500</v>
      </c>
      <c r="T1086" s="107">
        <f t="shared" si="447"/>
        <v>0</v>
      </c>
      <c r="U1086" s="107"/>
      <c r="V1086" s="175"/>
      <c r="W1086" s="10"/>
      <c r="X1086" s="10"/>
      <c r="Y1086" t="str">
        <f t="shared" si="471"/>
        <v>2707</v>
      </c>
      <c r="AB1086" s="10"/>
      <c r="AC1086" s="10"/>
      <c r="AD1086" s="10"/>
      <c r="AE1086" s="10"/>
      <c r="AF1086" s="10"/>
      <c r="AG1086" s="10"/>
      <c r="AH1086" s="10"/>
      <c r="AI1086" s="10"/>
    </row>
    <row r="1087" spans="1:35">
      <c r="A1087" s="10"/>
      <c r="B1087" s="10" t="str">
        <f t="shared" si="470"/>
        <v>Below the Line</v>
      </c>
      <c r="C1087" t="s">
        <v>20</v>
      </c>
      <c r="D1087" t="s">
        <v>19</v>
      </c>
      <c r="E1087" t="s">
        <v>214</v>
      </c>
      <c r="G1087" t="s">
        <v>664</v>
      </c>
      <c r="I1087" s="10"/>
      <c r="J1087" s="107">
        <f>SUMIF(Data!C:C,G1087,Data!Q:Q)</f>
        <v>0</v>
      </c>
      <c r="K1087" s="107">
        <f>SUMIF(Comprometidos!A:A,'Cost Report'!G1087,Comprometidos!E:E)</f>
        <v>0</v>
      </c>
      <c r="L1087" s="107">
        <f t="shared" si="465"/>
        <v>0</v>
      </c>
      <c r="M1087" s="107">
        <f t="shared" si="466"/>
        <v>0</v>
      </c>
      <c r="N1087" s="107">
        <f t="shared" si="467"/>
        <v>0</v>
      </c>
      <c r="O1087" s="107">
        <f>VLOOKUP(G1087,Budget!$E$3:$G$2474,3,0)</f>
        <v>0</v>
      </c>
      <c r="P1087" s="107">
        <f t="shared" si="468"/>
        <v>0</v>
      </c>
      <c r="Q1087" s="107"/>
      <c r="R1087" s="10"/>
      <c r="S1087" s="107">
        <v>0</v>
      </c>
      <c r="T1087" s="107">
        <f t="shared" si="447"/>
        <v>0</v>
      </c>
      <c r="U1087" s="107"/>
      <c r="V1087" s="175"/>
      <c r="W1087" s="10"/>
      <c r="X1087" s="10"/>
      <c r="Y1087" t="str">
        <f t="shared" si="471"/>
        <v>2707</v>
      </c>
      <c r="AB1087" s="10"/>
      <c r="AC1087" s="10"/>
      <c r="AD1087" s="10"/>
      <c r="AE1087" s="10"/>
      <c r="AF1087" s="10"/>
      <c r="AG1087" s="10"/>
      <c r="AH1087" s="10"/>
      <c r="AI1087" s="10"/>
    </row>
    <row r="1088" spans="1:35">
      <c r="A1088" s="10"/>
      <c r="B1088" s="10" t="str">
        <f t="shared" si="470"/>
        <v>Below the LinePREP</v>
      </c>
      <c r="C1088" t="s">
        <v>20</v>
      </c>
      <c r="D1088" t="s">
        <v>19</v>
      </c>
      <c r="E1088" t="s">
        <v>234</v>
      </c>
      <c r="G1088" t="s">
        <v>665</v>
      </c>
      <c r="I1088" s="10"/>
      <c r="J1088" s="107">
        <f>SUMIF(Data!C:C,G1088,Data!Q:Q)</f>
        <v>34500</v>
      </c>
      <c r="K1088" s="107">
        <f>SUMIF(Comprometidos!A:A,'Cost Report'!G1088,Comprometidos!E:E)</f>
        <v>0</v>
      </c>
      <c r="L1088" s="107">
        <f t="shared" si="465"/>
        <v>34500</v>
      </c>
      <c r="M1088" s="107">
        <f t="shared" si="466"/>
        <v>0</v>
      </c>
      <c r="N1088" s="107">
        <f t="shared" si="467"/>
        <v>34500</v>
      </c>
      <c r="O1088" s="107">
        <f>VLOOKUP(G1088,Budget!$E$3:$G$2474,3,0)</f>
        <v>34500</v>
      </c>
      <c r="P1088" s="107">
        <f t="shared" si="468"/>
        <v>0</v>
      </c>
      <c r="Q1088" s="107"/>
      <c r="R1088" s="10"/>
      <c r="S1088" s="107">
        <v>34500</v>
      </c>
      <c r="T1088" s="107">
        <f t="shared" si="447"/>
        <v>0</v>
      </c>
      <c r="U1088" s="107"/>
      <c r="V1088" s="175"/>
      <c r="W1088" s="10"/>
      <c r="X1088" s="10"/>
      <c r="Y1088" t="str">
        <f t="shared" si="471"/>
        <v>2707</v>
      </c>
      <c r="AB1088" s="10"/>
      <c r="AC1088" s="10"/>
      <c r="AD1088" s="10"/>
      <c r="AE1088" s="10"/>
      <c r="AF1088" s="10"/>
      <c r="AG1088" s="10"/>
      <c r="AH1088" s="10"/>
      <c r="AI1088" s="10"/>
    </row>
    <row r="1089" spans="1:35">
      <c r="A1089" s="10"/>
      <c r="B1089" s="10" t="str">
        <f t="shared" si="470"/>
        <v>Below the Line</v>
      </c>
      <c r="C1089" t="s">
        <v>20</v>
      </c>
      <c r="D1089" t="s">
        <v>19</v>
      </c>
      <c r="E1089" t="s">
        <v>214</v>
      </c>
      <c r="G1089" t="s">
        <v>666</v>
      </c>
      <c r="I1089" s="10"/>
      <c r="J1089" s="107">
        <f>SUMIF(Data!C:C,G1089,Data!Q:Q)</f>
        <v>0</v>
      </c>
      <c r="K1089" s="107">
        <f>SUMIF(Comprometidos!A:A,'Cost Report'!G1089,Comprometidos!E:E)</f>
        <v>0</v>
      </c>
      <c r="L1089" s="107">
        <f t="shared" si="465"/>
        <v>0</v>
      </c>
      <c r="M1089" s="107">
        <f t="shared" si="466"/>
        <v>0</v>
      </c>
      <c r="N1089" s="107">
        <f t="shared" si="467"/>
        <v>0</v>
      </c>
      <c r="O1089" s="107">
        <f>VLOOKUP(G1089,Budget!$E$3:$G$2474,3,0)</f>
        <v>0</v>
      </c>
      <c r="P1089" s="107">
        <f t="shared" si="468"/>
        <v>0</v>
      </c>
      <c r="Q1089" s="107"/>
      <c r="R1089" s="10"/>
      <c r="S1089" s="107">
        <v>0</v>
      </c>
      <c r="T1089" s="107">
        <f t="shared" si="447"/>
        <v>0</v>
      </c>
      <c r="U1089" s="107"/>
      <c r="V1089" s="175"/>
      <c r="W1089" s="10"/>
      <c r="X1089" s="10"/>
      <c r="Y1089" t="str">
        <f t="shared" si="471"/>
        <v>2707</v>
      </c>
      <c r="AB1089" s="10"/>
      <c r="AC1089" s="10"/>
      <c r="AD1089" s="10"/>
      <c r="AE1089" s="10"/>
      <c r="AF1089" s="10"/>
      <c r="AG1089" s="10"/>
      <c r="AH1089" s="10"/>
      <c r="AI1089" s="10"/>
    </row>
    <row r="1090" spans="1:35">
      <c r="A1090" s="10"/>
      <c r="B1090" s="10" t="str">
        <f t="shared" si="470"/>
        <v>Below the Line2nd Unit</v>
      </c>
      <c r="C1090" t="s">
        <v>20</v>
      </c>
      <c r="D1090" t="s">
        <v>19</v>
      </c>
      <c r="E1090" t="s">
        <v>1419</v>
      </c>
      <c r="G1090" t="s">
        <v>667</v>
      </c>
      <c r="I1090" s="10"/>
      <c r="J1090" s="107">
        <f>SUMIF(Data!C:C,G1090,Data!Q:Q)</f>
        <v>10000</v>
      </c>
      <c r="K1090" s="107">
        <f>SUMIF(Comprometidos!A:A,'Cost Report'!G1090,Comprometidos!E:E)</f>
        <v>0</v>
      </c>
      <c r="L1090" s="107">
        <f t="shared" si="465"/>
        <v>10000</v>
      </c>
      <c r="M1090" s="107">
        <f t="shared" si="466"/>
        <v>0</v>
      </c>
      <c r="N1090" s="107">
        <f t="shared" si="467"/>
        <v>10000</v>
      </c>
      <c r="O1090" s="107">
        <f>VLOOKUP(G1090,Budget!$E$3:$G$2474,3,0)</f>
        <v>10000</v>
      </c>
      <c r="P1090" s="107">
        <f t="shared" si="468"/>
        <v>0</v>
      </c>
      <c r="Q1090" s="107"/>
      <c r="R1090" s="10"/>
      <c r="S1090" s="107">
        <v>10000</v>
      </c>
      <c r="T1090" s="107">
        <f t="shared" si="447"/>
        <v>0</v>
      </c>
      <c r="U1090" s="107"/>
      <c r="V1090" s="175"/>
      <c r="W1090" s="10"/>
      <c r="X1090" s="10"/>
      <c r="Y1090" t="str">
        <f t="shared" si="471"/>
        <v>2707</v>
      </c>
      <c r="AB1090" s="10"/>
      <c r="AC1090" s="10"/>
      <c r="AD1090" s="10"/>
      <c r="AE1090" s="10"/>
      <c r="AF1090" s="10"/>
      <c r="AG1090" s="10"/>
      <c r="AH1090" s="10"/>
      <c r="AI1090" s="10"/>
    </row>
    <row r="1091" spans="1:35">
      <c r="A1091" s="10"/>
      <c r="B1091" s="10" t="str">
        <f t="shared" si="470"/>
        <v>Below the Line2nd Unit</v>
      </c>
      <c r="C1091" t="s">
        <v>20</v>
      </c>
      <c r="D1091" t="s">
        <v>19</v>
      </c>
      <c r="E1091" t="s">
        <v>1419</v>
      </c>
      <c r="G1091" t="s">
        <v>668</v>
      </c>
      <c r="I1091" s="10"/>
      <c r="J1091" s="107">
        <f>SUMIF(Data!C:C,G1091,Data!Q:Q)</f>
        <v>20000</v>
      </c>
      <c r="K1091" s="107">
        <f>SUMIF(Comprometidos!A:A,'Cost Report'!G1091,Comprometidos!E:E)</f>
        <v>0</v>
      </c>
      <c r="L1091" s="107">
        <f t="shared" si="465"/>
        <v>20000</v>
      </c>
      <c r="M1091" s="107">
        <f t="shared" si="466"/>
        <v>0</v>
      </c>
      <c r="N1091" s="107">
        <f t="shared" si="467"/>
        <v>20000</v>
      </c>
      <c r="O1091" s="107">
        <f>VLOOKUP(G1091,Budget!$E$3:$G$2474,3,0)</f>
        <v>20000</v>
      </c>
      <c r="P1091" s="107">
        <f t="shared" si="468"/>
        <v>0</v>
      </c>
      <c r="Q1091" s="107"/>
      <c r="R1091" s="10"/>
      <c r="S1091" s="107">
        <v>20000</v>
      </c>
      <c r="T1091" s="107">
        <f t="shared" si="447"/>
        <v>0</v>
      </c>
      <c r="U1091" s="107"/>
      <c r="V1091" s="175"/>
      <c r="W1091" s="10"/>
      <c r="X1091" s="10"/>
      <c r="Y1091" t="str">
        <f t="shared" si="471"/>
        <v>2707</v>
      </c>
      <c r="AB1091" s="10"/>
      <c r="AC1091" s="10"/>
      <c r="AD1091" s="10"/>
      <c r="AE1091" s="10"/>
      <c r="AF1091" s="10"/>
      <c r="AG1091" s="10"/>
      <c r="AH1091" s="10"/>
      <c r="AI1091" s="10"/>
    </row>
    <row r="1092" spans="1:35">
      <c r="A1092" s="10"/>
      <c r="B1092" s="10" t="str">
        <f t="shared" si="470"/>
        <v>Below the Line2nd Unit</v>
      </c>
      <c r="C1092" t="s">
        <v>20</v>
      </c>
      <c r="D1092" t="s">
        <v>19</v>
      </c>
      <c r="E1092" t="s">
        <v>1419</v>
      </c>
      <c r="G1092" t="s">
        <v>669</v>
      </c>
      <c r="I1092" s="10"/>
      <c r="J1092" s="107">
        <f>SUMIF(Data!C:C,G1092,Data!Q:Q)</f>
        <v>10000</v>
      </c>
      <c r="K1092" s="107">
        <f>SUMIF(Comprometidos!A:A,'Cost Report'!G1092,Comprometidos!E:E)</f>
        <v>0</v>
      </c>
      <c r="L1092" s="107">
        <f t="shared" si="465"/>
        <v>10000</v>
      </c>
      <c r="M1092" s="107">
        <f t="shared" si="466"/>
        <v>0</v>
      </c>
      <c r="N1092" s="107">
        <f t="shared" si="467"/>
        <v>10000</v>
      </c>
      <c r="O1092" s="107">
        <f>VLOOKUP(G1092,Budget!$E$3:$G$2474,3,0)</f>
        <v>10000</v>
      </c>
      <c r="P1092" s="107">
        <f t="shared" si="468"/>
        <v>0</v>
      </c>
      <c r="Q1092" s="107"/>
      <c r="R1092" s="10"/>
      <c r="S1092" s="107">
        <v>10000</v>
      </c>
      <c r="T1092" s="107">
        <f t="shared" si="447"/>
        <v>0</v>
      </c>
      <c r="U1092" s="107"/>
      <c r="V1092" s="175"/>
      <c r="W1092" s="10"/>
      <c r="X1092" s="10"/>
      <c r="Y1092" t="str">
        <f t="shared" si="471"/>
        <v>2707</v>
      </c>
      <c r="AB1092" s="10"/>
      <c r="AC1092" s="10"/>
      <c r="AD1092" s="10"/>
      <c r="AE1092" s="10"/>
      <c r="AF1092" s="10"/>
      <c r="AG1092" s="10"/>
      <c r="AH1092" s="10"/>
      <c r="AI1092" s="10"/>
    </row>
    <row r="1093" spans="1:35">
      <c r="A1093" s="10"/>
      <c r="B1093" s="10" t="str">
        <f t="shared" si="470"/>
        <v>Below the Line</v>
      </c>
      <c r="C1093" t="s">
        <v>20</v>
      </c>
      <c r="D1093" t="s">
        <v>19</v>
      </c>
      <c r="E1093" t="s">
        <v>214</v>
      </c>
      <c r="G1093" t="s">
        <v>2589</v>
      </c>
      <c r="I1093" s="10"/>
      <c r="J1093" s="107">
        <f>SUMIF(Data!C:C,G1093,Data!Q:Q)</f>
        <v>0</v>
      </c>
      <c r="K1093" s="107">
        <f>SUMIF(Comprometidos!A:A,'Cost Report'!G1093,Comprometidos!E:E)</f>
        <v>0</v>
      </c>
      <c r="L1093" s="107">
        <f t="shared" si="465"/>
        <v>0</v>
      </c>
      <c r="M1093" s="107">
        <f t="shared" si="466"/>
        <v>0</v>
      </c>
      <c r="N1093" s="107">
        <f t="shared" si="467"/>
        <v>0</v>
      </c>
      <c r="O1093" s="107">
        <f>VLOOKUP(G1093,Budget!$E$3:$G$2474,3,0)</f>
        <v>0</v>
      </c>
      <c r="P1093" s="107">
        <f t="shared" si="468"/>
        <v>0</v>
      </c>
      <c r="Q1093" s="107"/>
      <c r="R1093" s="10"/>
      <c r="S1093" s="107">
        <v>0</v>
      </c>
      <c r="T1093" s="107">
        <f t="shared" si="447"/>
        <v>0</v>
      </c>
      <c r="U1093" s="107"/>
      <c r="V1093" s="175"/>
      <c r="W1093" s="10"/>
      <c r="X1093" s="10"/>
      <c r="Y1093" t="str">
        <f t="shared" si="471"/>
        <v>2707</v>
      </c>
      <c r="AB1093" s="10"/>
      <c r="AC1093" s="10"/>
      <c r="AD1093" s="10"/>
      <c r="AE1093" s="10"/>
      <c r="AF1093" s="10"/>
      <c r="AG1093" s="10"/>
      <c r="AH1093" s="10"/>
      <c r="AI1093" s="10"/>
    </row>
    <row r="1094" spans="1:35">
      <c r="A1094" s="10"/>
      <c r="B1094" s="10" t="str">
        <f t="shared" si="470"/>
        <v>Below the Line2nd Unit</v>
      </c>
      <c r="C1094" t="s">
        <v>20</v>
      </c>
      <c r="D1094" t="s">
        <v>19</v>
      </c>
      <c r="E1094" t="s">
        <v>1419</v>
      </c>
      <c r="G1094" t="s">
        <v>2590</v>
      </c>
      <c r="I1094" s="10"/>
      <c r="J1094" s="107">
        <f>SUMIF(Data!C:C,G1094,Data!Q:Q)</f>
        <v>7500</v>
      </c>
      <c r="K1094" s="107">
        <f>SUMIF(Comprometidos!A:A,'Cost Report'!G1094,Comprometidos!E:E)</f>
        <v>0</v>
      </c>
      <c r="L1094" s="107">
        <f t="shared" si="465"/>
        <v>7500</v>
      </c>
      <c r="M1094" s="107">
        <f t="shared" si="466"/>
        <v>0</v>
      </c>
      <c r="N1094" s="107">
        <f t="shared" si="467"/>
        <v>7500</v>
      </c>
      <c r="O1094" s="107">
        <f>VLOOKUP(G1094,Budget!$E$3:$G$2474,3,0)</f>
        <v>7500</v>
      </c>
      <c r="P1094" s="107">
        <f t="shared" si="468"/>
        <v>0</v>
      </c>
      <c r="Q1094" s="107"/>
      <c r="R1094" s="10"/>
      <c r="S1094" s="107">
        <v>7500</v>
      </c>
      <c r="T1094" s="107">
        <f t="shared" si="447"/>
        <v>0</v>
      </c>
      <c r="U1094" s="107"/>
      <c r="V1094" s="175"/>
      <c r="W1094" s="10"/>
      <c r="X1094" s="10"/>
      <c r="Y1094" t="str">
        <f t="shared" si="471"/>
        <v>2707</v>
      </c>
      <c r="AB1094" s="10"/>
      <c r="AC1094" s="10"/>
      <c r="AD1094" s="10"/>
      <c r="AE1094" s="10"/>
      <c r="AF1094" s="10"/>
      <c r="AG1094" s="10"/>
      <c r="AH1094" s="10"/>
      <c r="AI1094" s="10"/>
    </row>
    <row r="1095" spans="1:35">
      <c r="A1095" s="10"/>
      <c r="B1095" s="10" t="str">
        <f t="shared" si="470"/>
        <v>Below the Line2nd Unit</v>
      </c>
      <c r="C1095" t="s">
        <v>20</v>
      </c>
      <c r="D1095" t="s">
        <v>19</v>
      </c>
      <c r="E1095" t="s">
        <v>1419</v>
      </c>
      <c r="G1095" t="s">
        <v>2591</v>
      </c>
      <c r="I1095" s="10"/>
      <c r="J1095" s="107">
        <f>SUMIF(Data!C:C,G1095,Data!Q:Q)</f>
        <v>15000</v>
      </c>
      <c r="K1095" s="107">
        <f>SUMIF(Comprometidos!A:A,'Cost Report'!G1095,Comprometidos!E:E)</f>
        <v>0</v>
      </c>
      <c r="L1095" s="107">
        <f t="shared" si="465"/>
        <v>15000</v>
      </c>
      <c r="M1095" s="107">
        <f t="shared" si="466"/>
        <v>0</v>
      </c>
      <c r="N1095" s="107">
        <f t="shared" si="467"/>
        <v>15000</v>
      </c>
      <c r="O1095" s="107">
        <f>VLOOKUP(G1095,Budget!$E$3:$G$2474,3,0)</f>
        <v>15000</v>
      </c>
      <c r="P1095" s="107">
        <f t="shared" si="468"/>
        <v>0</v>
      </c>
      <c r="Q1095" s="107"/>
      <c r="R1095" s="10"/>
      <c r="S1095" s="107">
        <v>15000</v>
      </c>
      <c r="T1095" s="107">
        <f t="shared" si="447"/>
        <v>0</v>
      </c>
      <c r="U1095" s="107"/>
      <c r="V1095" s="175"/>
      <c r="W1095" s="10"/>
      <c r="X1095" s="10"/>
      <c r="Y1095" t="str">
        <f t="shared" si="471"/>
        <v>2707</v>
      </c>
      <c r="AB1095" s="10"/>
      <c r="AC1095" s="10"/>
      <c r="AD1095" s="10"/>
      <c r="AE1095" s="10"/>
      <c r="AF1095" s="10"/>
      <c r="AG1095" s="10"/>
      <c r="AH1095" s="10"/>
      <c r="AI1095" s="10"/>
    </row>
    <row r="1096" spans="1:35">
      <c r="A1096" s="10"/>
      <c r="B1096" s="10" t="str">
        <f t="shared" si="470"/>
        <v>Below the Line2nd Unit</v>
      </c>
      <c r="C1096" t="s">
        <v>20</v>
      </c>
      <c r="D1096" t="s">
        <v>19</v>
      </c>
      <c r="E1096" t="s">
        <v>1419</v>
      </c>
      <c r="G1096" t="s">
        <v>2592</v>
      </c>
      <c r="I1096" s="10"/>
      <c r="J1096" s="107">
        <f>SUMIF(Data!C:C,G1096,Data!Q:Q)</f>
        <v>7500</v>
      </c>
      <c r="K1096" s="107">
        <f>SUMIF(Comprometidos!A:A,'Cost Report'!G1096,Comprometidos!E:E)</f>
        <v>0</v>
      </c>
      <c r="L1096" s="107">
        <f t="shared" si="465"/>
        <v>7500</v>
      </c>
      <c r="M1096" s="107">
        <f t="shared" si="466"/>
        <v>0</v>
      </c>
      <c r="N1096" s="107">
        <f t="shared" si="467"/>
        <v>7500</v>
      </c>
      <c r="O1096" s="107">
        <f>VLOOKUP(G1096,Budget!$E$3:$G$2474,3,0)</f>
        <v>7500</v>
      </c>
      <c r="P1096" s="107">
        <f t="shared" si="468"/>
        <v>0</v>
      </c>
      <c r="Q1096" s="107"/>
      <c r="R1096" s="10"/>
      <c r="S1096" s="107">
        <v>7500</v>
      </c>
      <c r="T1096" s="107">
        <f t="shared" si="447"/>
        <v>0</v>
      </c>
      <c r="U1096" s="107"/>
      <c r="V1096" s="175"/>
      <c r="W1096" s="10"/>
      <c r="X1096" s="10"/>
      <c r="Y1096" t="str">
        <f t="shared" si="471"/>
        <v>2707</v>
      </c>
      <c r="AB1096" s="10"/>
      <c r="AC1096" s="10"/>
      <c r="AD1096" s="10"/>
      <c r="AE1096" s="10"/>
      <c r="AF1096" s="10"/>
      <c r="AG1096" s="10"/>
      <c r="AH1096" s="10"/>
      <c r="AI1096" s="10"/>
    </row>
    <row r="1097" spans="1:35">
      <c r="A1097" s="10"/>
      <c r="B1097" s="10" t="str">
        <f t="shared" si="470"/>
        <v>Below the Line</v>
      </c>
      <c r="C1097" t="s">
        <v>20</v>
      </c>
      <c r="D1097" t="s">
        <v>19</v>
      </c>
      <c r="E1097" t="s">
        <v>214</v>
      </c>
      <c r="G1097" t="s">
        <v>2593</v>
      </c>
      <c r="I1097" s="10"/>
      <c r="J1097" s="107">
        <f>SUMIF(Data!C:C,G1097,Data!Q:Q)</f>
        <v>0</v>
      </c>
      <c r="K1097" s="107">
        <f>SUMIF(Comprometidos!A:A,'Cost Report'!G1097,Comprometidos!E:E)</f>
        <v>0</v>
      </c>
      <c r="L1097" s="107">
        <f t="shared" si="465"/>
        <v>0</v>
      </c>
      <c r="M1097" s="107">
        <f t="shared" si="466"/>
        <v>0</v>
      </c>
      <c r="N1097" s="107">
        <f t="shared" si="467"/>
        <v>0</v>
      </c>
      <c r="O1097" s="107">
        <f>VLOOKUP(G1097,Budget!$E$3:$G$2474,3,0)</f>
        <v>0</v>
      </c>
      <c r="P1097" s="107">
        <f t="shared" si="468"/>
        <v>0</v>
      </c>
      <c r="Q1097" s="107"/>
      <c r="R1097" s="10"/>
      <c r="S1097" s="107">
        <v>0</v>
      </c>
      <c r="T1097" s="107">
        <f t="shared" si="447"/>
        <v>0</v>
      </c>
      <c r="U1097" s="107"/>
      <c r="V1097" s="175"/>
      <c r="W1097" s="10"/>
      <c r="X1097" s="10"/>
      <c r="Y1097" t="str">
        <f t="shared" si="471"/>
        <v>2707</v>
      </c>
      <c r="AB1097" s="10"/>
      <c r="AC1097" s="10"/>
      <c r="AD1097" s="10"/>
      <c r="AE1097" s="10"/>
      <c r="AF1097" s="10"/>
      <c r="AG1097" s="10"/>
      <c r="AH1097" s="10"/>
      <c r="AI1097" s="10"/>
    </row>
    <row r="1098" spans="1:35">
      <c r="A1098" s="10"/>
      <c r="B1098" s="10" t="str">
        <f t="shared" si="470"/>
        <v>Below the LineSHOOT</v>
      </c>
      <c r="C1098" t="s">
        <v>20</v>
      </c>
      <c r="D1098" t="s">
        <v>19</v>
      </c>
      <c r="E1098" t="s">
        <v>236</v>
      </c>
      <c r="F1098" t="s">
        <v>5396</v>
      </c>
      <c r="G1098" t="s">
        <v>2594</v>
      </c>
      <c r="I1098" s="10"/>
      <c r="J1098" s="107">
        <f>SUMIF(Data!C:C,G1098,Data!Q:Q)</f>
        <v>116640</v>
      </c>
      <c r="K1098" s="107">
        <f>SUMIF(Comprometidos!A:A,'Cost Report'!G1098,Comprometidos!E:E)</f>
        <v>0</v>
      </c>
      <c r="L1098" s="107">
        <f t="shared" si="465"/>
        <v>116640</v>
      </c>
      <c r="M1098" s="107">
        <v>0</v>
      </c>
      <c r="N1098" s="107">
        <f t="shared" si="467"/>
        <v>116640</v>
      </c>
      <c r="O1098" s="107">
        <f>VLOOKUP(G1098,Budget!$E$3:$G$2474,3,0)</f>
        <v>34500</v>
      </c>
      <c r="P1098" s="107">
        <f t="shared" si="468"/>
        <v>-82140</v>
      </c>
      <c r="Q1098" s="107"/>
      <c r="R1098" s="10"/>
      <c r="S1098" s="107">
        <v>116640</v>
      </c>
      <c r="T1098" s="107">
        <f t="shared" si="447"/>
        <v>0</v>
      </c>
      <c r="U1098" s="107"/>
      <c r="V1098" s="175"/>
      <c r="W1098" s="10"/>
      <c r="X1098" s="10"/>
      <c r="Y1098" t="str">
        <f t="shared" si="471"/>
        <v>2707</v>
      </c>
      <c r="AB1098" s="10"/>
      <c r="AC1098" s="10"/>
      <c r="AD1098" s="10"/>
      <c r="AE1098" s="10"/>
      <c r="AF1098" s="10"/>
      <c r="AG1098" s="10"/>
      <c r="AH1098" s="10"/>
      <c r="AI1098" s="10"/>
    </row>
    <row r="1099" spans="1:35">
      <c r="A1099" s="10"/>
      <c r="B1099" s="10" t="str">
        <f>+C1099</f>
        <v>Below the Line</v>
      </c>
      <c r="C1099" s="128" t="s">
        <v>20</v>
      </c>
      <c r="D1099" s="128" t="s">
        <v>2117</v>
      </c>
      <c r="E1099" s="128"/>
      <c r="F1099" s="128"/>
      <c r="G1099" s="128" t="s">
        <v>1818</v>
      </c>
      <c r="H1099" s="128"/>
      <c r="I1099" s="10"/>
      <c r="J1099" s="129">
        <f>SUMIF($Y$11:$Y$2484,G1099,J$11:J$2484)</f>
        <v>0</v>
      </c>
      <c r="K1099" s="129">
        <f>SUMIF($Y$11:$Y$2484,G1099,K$11:K$2484)</f>
        <v>0</v>
      </c>
      <c r="L1099" s="129">
        <f>SUMIF($Y$11:$Y$2484,G1099,L$11:L$2484)</f>
        <v>0</v>
      </c>
      <c r="M1099" s="129">
        <f>SUMIF($Y$11:$Y$2484,G1099,M$11:M$2484)</f>
        <v>0</v>
      </c>
      <c r="N1099" s="129">
        <f>SUMIF($Y$11:$Y$2484,G1099,N$11:N$2484)</f>
        <v>0</v>
      </c>
      <c r="O1099" s="129">
        <f>SUMIF($Y$11:$Y$2484,G1099,O$11:O$2484)</f>
        <v>10000</v>
      </c>
      <c r="P1099" s="129">
        <f>SUMIF($Y$11:$Y$2484,G1099,P$11:P$2484)</f>
        <v>10000</v>
      </c>
      <c r="Q1099" s="129"/>
      <c r="R1099" s="10"/>
      <c r="S1099" s="129">
        <v>0</v>
      </c>
      <c r="T1099" s="129">
        <f t="shared" si="447"/>
        <v>0</v>
      </c>
      <c r="U1099" s="128"/>
      <c r="V1099" s="175"/>
      <c r="W1099" s="10"/>
      <c r="X1099" s="10"/>
      <c r="Z1099" t="str">
        <f>LEFT(G1099,2)</f>
        <v>27</v>
      </c>
      <c r="AA1099" t="str">
        <f>+Z1099&amp;"00"</f>
        <v>2700</v>
      </c>
      <c r="AB1099" s="10"/>
      <c r="AC1099" s="10"/>
      <c r="AD1099" s="10"/>
      <c r="AE1099" s="10"/>
      <c r="AF1099" s="10"/>
      <c r="AG1099" s="10"/>
      <c r="AH1099" s="10"/>
      <c r="AI1099" s="10"/>
    </row>
    <row r="1100" spans="1:35">
      <c r="A1100" s="10"/>
      <c r="B1100" s="10" t="str">
        <f t="shared" ref="B1100:B1101" si="472">+C1100&amp;E1100</f>
        <v>Below the Line</v>
      </c>
      <c r="C1100" t="s">
        <v>20</v>
      </c>
      <c r="D1100" t="s">
        <v>19</v>
      </c>
      <c r="E1100" t="s">
        <v>214</v>
      </c>
      <c r="G1100" t="s">
        <v>1819</v>
      </c>
      <c r="I1100" s="10"/>
      <c r="J1100" s="107">
        <f>SUMIF(Data!C:C,G1100,Data!Q:Q)</f>
        <v>0</v>
      </c>
      <c r="K1100" s="107">
        <f>SUMIF(Comprometidos!A:A,'Cost Report'!G1100,Comprometidos!E:E)</f>
        <v>0</v>
      </c>
      <c r="L1100" s="107">
        <f t="shared" ref="L1100:L1142" si="473">+J1100+K1100</f>
        <v>0</v>
      </c>
      <c r="M1100" s="107">
        <f t="shared" ref="M1100:M1142" si="474">+O1100-L1100</f>
        <v>0</v>
      </c>
      <c r="N1100" s="107">
        <f t="shared" ref="N1100:N1142" si="475">+L1100+M1100</f>
        <v>0</v>
      </c>
      <c r="O1100" s="107">
        <f>VLOOKUP(G1100,Budget!$E$3:$G$2474,3,0)</f>
        <v>0</v>
      </c>
      <c r="P1100" s="107">
        <f t="shared" ref="P1100:P1142" si="476">+O1100-N1100</f>
        <v>0</v>
      </c>
      <c r="Q1100" s="107"/>
      <c r="R1100" s="10"/>
      <c r="S1100" s="107">
        <v>0</v>
      </c>
      <c r="T1100" s="107">
        <f t="shared" si="447"/>
        <v>0</v>
      </c>
      <c r="U1100" s="107"/>
      <c r="V1100" s="175"/>
      <c r="W1100" s="10"/>
      <c r="X1100" s="10"/>
      <c r="Y1100" t="str">
        <f t="shared" ref="Y1100:Y1101" si="477">LEFT(G1100,4)</f>
        <v>2709</v>
      </c>
      <c r="AB1100" s="10"/>
      <c r="AC1100" s="10"/>
      <c r="AD1100" s="10"/>
      <c r="AE1100" s="10"/>
      <c r="AF1100" s="10"/>
      <c r="AG1100" s="10"/>
      <c r="AH1100" s="10"/>
      <c r="AI1100" s="10"/>
    </row>
    <row r="1101" spans="1:35">
      <c r="A1101" s="10"/>
      <c r="B1101" s="10" t="str">
        <f t="shared" si="472"/>
        <v>Below the LinePREP</v>
      </c>
      <c r="C1101" t="s">
        <v>20</v>
      </c>
      <c r="D1101" t="s">
        <v>19</v>
      </c>
      <c r="E1101" t="s">
        <v>234</v>
      </c>
      <c r="G1101" t="s">
        <v>2595</v>
      </c>
      <c r="I1101" s="10"/>
      <c r="J1101" s="107">
        <f>SUMIF(Data!C:C,G1101,Data!Q:Q)</f>
        <v>0</v>
      </c>
      <c r="K1101" s="107">
        <f>SUMIF(Comprometidos!A:A,'Cost Report'!G1101,Comprometidos!E:E)</f>
        <v>0</v>
      </c>
      <c r="L1101" s="107">
        <f t="shared" si="473"/>
        <v>0</v>
      </c>
      <c r="M1101" s="107">
        <v>0</v>
      </c>
      <c r="N1101" s="107">
        <f t="shared" si="475"/>
        <v>0</v>
      </c>
      <c r="O1101" s="107">
        <f>VLOOKUP(G1101,Budget!$E$3:$G$2474,3,0)</f>
        <v>10000</v>
      </c>
      <c r="P1101" s="107">
        <f t="shared" si="476"/>
        <v>10000</v>
      </c>
      <c r="Q1101" s="107"/>
      <c r="R1101" s="10"/>
      <c r="S1101" s="107">
        <v>0</v>
      </c>
      <c r="T1101" s="107">
        <f t="shared" si="447"/>
        <v>0</v>
      </c>
      <c r="U1101" s="107"/>
      <c r="V1101" s="175"/>
      <c r="W1101" s="10"/>
      <c r="X1101" s="10"/>
      <c r="Y1101" t="str">
        <f t="shared" si="477"/>
        <v>2709</v>
      </c>
      <c r="AB1101" s="10"/>
      <c r="AC1101" s="10"/>
      <c r="AD1101" s="10"/>
      <c r="AE1101" s="10"/>
      <c r="AF1101" s="10"/>
      <c r="AG1101" s="10"/>
      <c r="AH1101" s="10"/>
      <c r="AI1101" s="10"/>
    </row>
    <row r="1102" spans="1:35">
      <c r="A1102" s="10"/>
      <c r="B1102" s="10" t="str">
        <f>+C1102</f>
        <v>Below the Line</v>
      </c>
      <c r="C1102" s="128" t="s">
        <v>20</v>
      </c>
      <c r="D1102" s="128" t="s">
        <v>2117</v>
      </c>
      <c r="E1102" s="128"/>
      <c r="F1102" s="128"/>
      <c r="G1102" s="128" t="s">
        <v>670</v>
      </c>
      <c r="H1102" s="128"/>
      <c r="I1102" s="10"/>
      <c r="J1102" s="129">
        <f>SUMIF($Y$11:$Y$2484,G1102,J$11:J$2484)</f>
        <v>1488476.1469999992</v>
      </c>
      <c r="K1102" s="129">
        <f>SUMIF($Y$11:$Y$2484,G1102,K$11:K$2484)</f>
        <v>0</v>
      </c>
      <c r="L1102" s="129">
        <f>SUMIF($Y$11:$Y$2484,G1102,L$11:L$2484)</f>
        <v>1488476.1469999992</v>
      </c>
      <c r="M1102" s="129">
        <f>SUMIF($Y$11:$Y$2484,G1102,M$11:M$2484)</f>
        <v>0</v>
      </c>
      <c r="N1102" s="129">
        <f>SUMIF($Y$11:$Y$2484,G1102,N$11:N$2484)</f>
        <v>1488476.1469999992</v>
      </c>
      <c r="O1102" s="129">
        <f>SUMIF($Y$11:$Y$2484,G1102,O$11:O$2484)</f>
        <v>1500000</v>
      </c>
      <c r="P1102" s="129">
        <f>SUMIF($Y$11:$Y$2484,G1102,P$11:P$2484)</f>
        <v>11523.853000000818</v>
      </c>
      <c r="Q1102" s="129"/>
      <c r="R1102" s="10"/>
      <c r="S1102" s="129">
        <v>1484135.3599999987</v>
      </c>
      <c r="T1102" s="129">
        <f t="shared" si="447"/>
        <v>-4340.7870000004768</v>
      </c>
      <c r="U1102" s="128"/>
      <c r="V1102" s="175"/>
      <c r="W1102" s="10"/>
      <c r="X1102" s="10"/>
      <c r="Z1102" t="str">
        <f>LEFT(G1102,2)</f>
        <v>27</v>
      </c>
      <c r="AA1102" t="str">
        <f>+Z1102&amp;"00"</f>
        <v>2700</v>
      </c>
      <c r="AB1102" s="10"/>
      <c r="AC1102" s="10"/>
      <c r="AD1102" s="10"/>
      <c r="AE1102" s="10"/>
      <c r="AF1102" s="10"/>
      <c r="AG1102" s="10"/>
      <c r="AH1102" s="10"/>
      <c r="AI1102" s="10"/>
    </row>
    <row r="1103" spans="1:35">
      <c r="A1103" s="10"/>
      <c r="B1103" s="10" t="str">
        <f t="shared" ref="B1103:B1104" si="478">+C1103&amp;E1103</f>
        <v>Below the Line</v>
      </c>
      <c r="C1103" t="s">
        <v>20</v>
      </c>
      <c r="D1103" t="s">
        <v>19</v>
      </c>
      <c r="E1103" t="s">
        <v>214</v>
      </c>
      <c r="G1103" t="s">
        <v>671</v>
      </c>
      <c r="I1103" s="10"/>
      <c r="J1103" s="107">
        <f>SUMIF(Data!C:C,G1103,Data!Q:Q)</f>
        <v>0</v>
      </c>
      <c r="K1103" s="107">
        <f>SUMIF(Comprometidos!A:A,'Cost Report'!G1103,Comprometidos!E:E)</f>
        <v>0</v>
      </c>
      <c r="L1103" s="107">
        <f t="shared" si="473"/>
        <v>0</v>
      </c>
      <c r="M1103" s="107">
        <f t="shared" si="474"/>
        <v>0</v>
      </c>
      <c r="N1103" s="107">
        <f t="shared" si="475"/>
        <v>0</v>
      </c>
      <c r="O1103" s="107">
        <f>VLOOKUP(G1103,Budget!$E$3:$G$2474,3,0)</f>
        <v>0</v>
      </c>
      <c r="P1103" s="107">
        <f t="shared" si="476"/>
        <v>0</v>
      </c>
      <c r="Q1103" s="107"/>
      <c r="R1103" s="10"/>
      <c r="S1103" s="107">
        <v>0</v>
      </c>
      <c r="T1103" s="107">
        <f t="shared" si="447"/>
        <v>0</v>
      </c>
      <c r="U1103" s="107"/>
      <c r="V1103" s="175"/>
      <c r="W1103" s="10"/>
      <c r="X1103" s="10"/>
      <c r="Y1103" t="str">
        <f t="shared" ref="Y1103:Y1104" si="479">LEFT(G1103,4)</f>
        <v>2794</v>
      </c>
      <c r="AB1103" s="10"/>
      <c r="AC1103" s="10"/>
      <c r="AD1103" s="10"/>
      <c r="AE1103" s="10"/>
      <c r="AF1103" s="10"/>
      <c r="AG1103" s="10"/>
      <c r="AH1103" s="10"/>
      <c r="AI1103" s="10"/>
    </row>
    <row r="1104" spans="1:35">
      <c r="A1104" s="10"/>
      <c r="B1104" s="10" t="str">
        <f t="shared" si="478"/>
        <v>Below the LineSHOOT</v>
      </c>
      <c r="C1104" t="s">
        <v>20</v>
      </c>
      <c r="D1104" t="s">
        <v>19</v>
      </c>
      <c r="E1104" t="s">
        <v>236</v>
      </c>
      <c r="G1104" t="s">
        <v>2596</v>
      </c>
      <c r="I1104" s="10"/>
      <c r="J1104" s="107">
        <f>SUMIF(Data!C:C,G1104,Data!Q:Q)</f>
        <v>1488476.1469999992</v>
      </c>
      <c r="K1104" s="107">
        <f>SUMIF(Comprometidos!A:A,'Cost Report'!G1104,Comprometidos!E:E)</f>
        <v>0</v>
      </c>
      <c r="L1104" s="107">
        <f t="shared" si="473"/>
        <v>1488476.1469999992</v>
      </c>
      <c r="M1104" s="107">
        <v>0</v>
      </c>
      <c r="N1104" s="107">
        <f t="shared" si="475"/>
        <v>1488476.1469999992</v>
      </c>
      <c r="O1104" s="107">
        <f>VLOOKUP(G1104,Budget!$E$3:$G$2474,3,0)</f>
        <v>1500000</v>
      </c>
      <c r="P1104" s="107">
        <f t="shared" si="476"/>
        <v>11523.853000000818</v>
      </c>
      <c r="Q1104" s="107"/>
      <c r="R1104" s="10"/>
      <c r="S1104" s="107">
        <v>1484135.3599999987</v>
      </c>
      <c r="T1104" s="107">
        <f t="shared" ref="T1104:T1167" si="480">+S1104-N1104</f>
        <v>-4340.7870000004768</v>
      </c>
      <c r="U1104" s="107"/>
      <c r="V1104" s="175"/>
      <c r="W1104" s="10"/>
      <c r="X1104" s="10"/>
      <c r="Y1104" t="str">
        <f t="shared" si="479"/>
        <v>2794</v>
      </c>
      <c r="AB1104" s="10"/>
      <c r="AC1104" s="10"/>
      <c r="AD1104" s="10"/>
      <c r="AE1104" s="10"/>
      <c r="AF1104" s="10"/>
      <c r="AG1104" s="10"/>
      <c r="AH1104" s="10"/>
      <c r="AI1104" s="10"/>
    </row>
    <row r="1105" spans="1:35">
      <c r="A1105" s="10"/>
      <c r="B1105" s="10" t="str">
        <f>+C1105</f>
        <v>Below the Line</v>
      </c>
      <c r="C1105" s="128" t="s">
        <v>20</v>
      </c>
      <c r="D1105" s="128" t="s">
        <v>2117</v>
      </c>
      <c r="E1105" s="128"/>
      <c r="F1105" s="128"/>
      <c r="G1105" s="128" t="s">
        <v>672</v>
      </c>
      <c r="H1105" s="128"/>
      <c r="I1105" s="10"/>
      <c r="J1105" s="129">
        <f>SUMIF($Y$11:$Y$2484,G1105,J$11:J$2484)</f>
        <v>243950</v>
      </c>
      <c r="K1105" s="129">
        <f>SUMIF($Y$11:$Y$2484,G1105,K$11:K$2484)</f>
        <v>0</v>
      </c>
      <c r="L1105" s="129">
        <f>SUMIF($Y$11:$Y$2484,G1105,L$11:L$2484)</f>
        <v>243950</v>
      </c>
      <c r="M1105" s="129">
        <f>SUMIF($Y$11:$Y$2484,G1105,M$11:M$2484)</f>
        <v>0</v>
      </c>
      <c r="N1105" s="129">
        <f>SUMIF($Y$11:$Y$2484,G1105,N$11:N$2484)</f>
        <v>243950</v>
      </c>
      <c r="O1105" s="129">
        <f>SUMIF($Y$11:$Y$2484,G1105,O$11:O$2484)</f>
        <v>299000</v>
      </c>
      <c r="P1105" s="129">
        <f>SUMIF($Y$11:$Y$2484,G1105,P$11:P$2484)</f>
        <v>55050</v>
      </c>
      <c r="Q1105" s="129"/>
      <c r="R1105" s="10"/>
      <c r="S1105" s="129">
        <v>243950</v>
      </c>
      <c r="T1105" s="129">
        <f t="shared" si="480"/>
        <v>0</v>
      </c>
      <c r="U1105" s="128"/>
      <c r="V1105" s="175"/>
      <c r="W1105" s="10"/>
      <c r="X1105" s="10"/>
      <c r="Z1105" t="str">
        <f>LEFT(G1105,2)</f>
        <v>27</v>
      </c>
      <c r="AA1105" t="str">
        <f>+Z1105&amp;"00"</f>
        <v>2700</v>
      </c>
      <c r="AB1105" s="10"/>
      <c r="AC1105" s="10"/>
      <c r="AD1105" s="10"/>
      <c r="AE1105" s="10"/>
      <c r="AF1105" s="10"/>
      <c r="AG1105" s="10"/>
      <c r="AH1105" s="10"/>
      <c r="AI1105" s="10"/>
    </row>
    <row r="1106" spans="1:35">
      <c r="A1106" s="10"/>
      <c r="B1106" s="10" t="str">
        <f t="shared" ref="B1106:B1113" si="481">+C1106&amp;E1106</f>
        <v>Below the Line</v>
      </c>
      <c r="C1106" t="s">
        <v>20</v>
      </c>
      <c r="D1106" t="s">
        <v>19</v>
      </c>
      <c r="E1106" t="s">
        <v>214</v>
      </c>
      <c r="G1106" t="s">
        <v>673</v>
      </c>
      <c r="I1106" s="10"/>
      <c r="J1106" s="107">
        <f>SUMIF(Data!C:C,G1106,Data!Q:Q)</f>
        <v>0</v>
      </c>
      <c r="K1106" s="107">
        <f>SUMIF(Comprometidos!A:A,'Cost Report'!G1106,Comprometidos!E:E)</f>
        <v>0</v>
      </c>
      <c r="L1106" s="107">
        <f t="shared" si="473"/>
        <v>0</v>
      </c>
      <c r="M1106" s="107">
        <f t="shared" si="474"/>
        <v>0</v>
      </c>
      <c r="N1106" s="107">
        <f t="shared" si="475"/>
        <v>0</v>
      </c>
      <c r="O1106" s="107">
        <f>VLOOKUP(G1106,Budget!$E$3:$G$2474,3,0)</f>
        <v>0</v>
      </c>
      <c r="P1106" s="107">
        <f t="shared" si="476"/>
        <v>0</v>
      </c>
      <c r="Q1106" s="107"/>
      <c r="R1106" s="10"/>
      <c r="S1106" s="107">
        <v>0</v>
      </c>
      <c r="T1106" s="107">
        <f t="shared" si="480"/>
        <v>0</v>
      </c>
      <c r="U1106" s="107"/>
      <c r="V1106" s="175"/>
      <c r="W1106" s="10"/>
      <c r="X1106" s="10"/>
      <c r="Y1106" t="str">
        <f t="shared" ref="Y1106:Y1113" si="482">LEFT(G1106,4)</f>
        <v>2795</v>
      </c>
      <c r="AB1106" s="10"/>
      <c r="AC1106" s="10"/>
      <c r="AD1106" s="10"/>
      <c r="AE1106" s="10"/>
      <c r="AF1106" s="10"/>
      <c r="AG1106" s="10"/>
      <c r="AH1106" s="10"/>
      <c r="AI1106" s="10"/>
    </row>
    <row r="1107" spans="1:35">
      <c r="A1107" s="10"/>
      <c r="B1107" s="10" t="str">
        <f t="shared" si="481"/>
        <v>Below the LineALL SHOW</v>
      </c>
      <c r="C1107" t="s">
        <v>20</v>
      </c>
      <c r="D1107" t="s">
        <v>19</v>
      </c>
      <c r="E1107" t="s">
        <v>227</v>
      </c>
      <c r="G1107" t="s">
        <v>674</v>
      </c>
      <c r="I1107" s="10"/>
      <c r="J1107" s="107">
        <f>SUMIF(Data!C:C,G1107,Data!Q:Q)</f>
        <v>99950</v>
      </c>
      <c r="K1107" s="107">
        <f>SUMIF(Comprometidos!A:A,'Cost Report'!G1107,Comprometidos!E:E)</f>
        <v>0</v>
      </c>
      <c r="L1107" s="107">
        <f t="shared" si="473"/>
        <v>99950</v>
      </c>
      <c r="M1107" s="107">
        <v>0</v>
      </c>
      <c r="N1107" s="107">
        <f t="shared" si="475"/>
        <v>99950</v>
      </c>
      <c r="O1107" s="107">
        <f>VLOOKUP(G1107,Budget!$E$3:$G$2474,3,0)</f>
        <v>140000</v>
      </c>
      <c r="P1107" s="107">
        <f t="shared" si="476"/>
        <v>40050</v>
      </c>
      <c r="Q1107" s="107"/>
      <c r="R1107" s="10"/>
      <c r="S1107" s="107">
        <v>99950</v>
      </c>
      <c r="T1107" s="107">
        <f t="shared" si="480"/>
        <v>0</v>
      </c>
      <c r="U1107" s="107"/>
      <c r="V1107" s="175"/>
      <c r="W1107" s="10"/>
      <c r="X1107" s="10"/>
      <c r="Y1107" t="str">
        <f t="shared" si="482"/>
        <v>2795</v>
      </c>
      <c r="AB1107" s="10"/>
      <c r="AC1107" s="10"/>
      <c r="AD1107" s="10"/>
      <c r="AE1107" s="10"/>
      <c r="AF1107" s="10"/>
      <c r="AG1107" s="10"/>
      <c r="AH1107" s="10"/>
      <c r="AI1107" s="10"/>
    </row>
    <row r="1108" spans="1:35">
      <c r="A1108" s="10"/>
      <c r="B1108" s="10" t="str">
        <f t="shared" si="481"/>
        <v>Below the Line</v>
      </c>
      <c r="C1108" t="s">
        <v>20</v>
      </c>
      <c r="D1108" t="s">
        <v>19</v>
      </c>
      <c r="E1108" t="s">
        <v>214</v>
      </c>
      <c r="G1108" t="s">
        <v>1529</v>
      </c>
      <c r="I1108" s="10"/>
      <c r="J1108" s="107">
        <f>SUMIF(Data!C:C,G1108,Data!Q:Q)</f>
        <v>0</v>
      </c>
      <c r="K1108" s="107">
        <f>SUMIF(Comprometidos!A:A,'Cost Report'!G1108,Comprometidos!E:E)</f>
        <v>0</v>
      </c>
      <c r="L1108" s="107">
        <f t="shared" si="473"/>
        <v>0</v>
      </c>
      <c r="M1108" s="107">
        <f t="shared" si="474"/>
        <v>0</v>
      </c>
      <c r="N1108" s="107">
        <f t="shared" si="475"/>
        <v>0</v>
      </c>
      <c r="O1108" s="107">
        <f>VLOOKUP(G1108,Budget!$E$3:$G$2474,3,0)</f>
        <v>0</v>
      </c>
      <c r="P1108" s="107">
        <f t="shared" si="476"/>
        <v>0</v>
      </c>
      <c r="Q1108" s="107"/>
      <c r="R1108" s="10"/>
      <c r="S1108" s="107">
        <v>0</v>
      </c>
      <c r="T1108" s="107">
        <f t="shared" si="480"/>
        <v>0</v>
      </c>
      <c r="U1108" s="107"/>
      <c r="V1108" s="175"/>
      <c r="W1108" s="10"/>
      <c r="X1108" s="10"/>
      <c r="Y1108" t="str">
        <f t="shared" si="482"/>
        <v>2795</v>
      </c>
      <c r="AB1108" s="10"/>
      <c r="AC1108" s="10"/>
      <c r="AD1108" s="10"/>
      <c r="AE1108" s="10"/>
      <c r="AF1108" s="10"/>
      <c r="AG1108" s="10"/>
      <c r="AH1108" s="10"/>
      <c r="AI1108" s="10"/>
    </row>
    <row r="1109" spans="1:35">
      <c r="A1109" s="10"/>
      <c r="B1109" s="10" t="str">
        <f t="shared" si="481"/>
        <v>Below the LineALL SHOW</v>
      </c>
      <c r="C1109" t="s">
        <v>20</v>
      </c>
      <c r="D1109" t="s">
        <v>19</v>
      </c>
      <c r="E1109" t="s">
        <v>227</v>
      </c>
      <c r="G1109" t="s">
        <v>1530</v>
      </c>
      <c r="I1109" s="10"/>
      <c r="J1109" s="107">
        <f>SUMIF(Data!C:C,G1109,Data!Q:Q)</f>
        <v>0</v>
      </c>
      <c r="K1109" s="107">
        <f>SUMIF(Comprometidos!A:A,'Cost Report'!G1109,Comprometidos!E:E)</f>
        <v>0</v>
      </c>
      <c r="L1109" s="107">
        <f t="shared" si="473"/>
        <v>0</v>
      </c>
      <c r="M1109" s="107">
        <v>0</v>
      </c>
      <c r="N1109" s="107">
        <f t="shared" si="475"/>
        <v>0</v>
      </c>
      <c r="O1109" s="107">
        <f>VLOOKUP(G1109,Budget!$E$3:$G$2474,3,0)</f>
        <v>15000</v>
      </c>
      <c r="P1109" s="107">
        <f t="shared" si="476"/>
        <v>15000</v>
      </c>
      <c r="Q1109" s="107"/>
      <c r="R1109" s="10"/>
      <c r="S1109" s="107">
        <v>0</v>
      </c>
      <c r="T1109" s="107">
        <f t="shared" si="480"/>
        <v>0</v>
      </c>
      <c r="U1109" s="107"/>
      <c r="V1109" s="175"/>
      <c r="W1109" s="10"/>
      <c r="X1109" s="10"/>
      <c r="Y1109" t="str">
        <f t="shared" si="482"/>
        <v>2795</v>
      </c>
      <c r="AB1109" s="10"/>
      <c r="AC1109" s="10"/>
      <c r="AD1109" s="10"/>
      <c r="AE1109" s="10"/>
      <c r="AF1109" s="10"/>
      <c r="AG1109" s="10"/>
      <c r="AH1109" s="10"/>
      <c r="AI1109" s="10"/>
    </row>
    <row r="1110" spans="1:35">
      <c r="A1110" s="10"/>
      <c r="B1110" s="10" t="str">
        <f t="shared" si="481"/>
        <v>Below the Line</v>
      </c>
      <c r="C1110" t="s">
        <v>20</v>
      </c>
      <c r="D1110" t="s">
        <v>19</v>
      </c>
      <c r="E1110" t="s">
        <v>214</v>
      </c>
      <c r="G1110" t="s">
        <v>2597</v>
      </c>
      <c r="I1110" s="10"/>
      <c r="J1110" s="107">
        <f>SUMIF(Data!C:C,G1110,Data!Q:Q)</f>
        <v>0</v>
      </c>
      <c r="K1110" s="107">
        <f>SUMIF(Comprometidos!A:A,'Cost Report'!G1110,Comprometidos!E:E)</f>
        <v>0</v>
      </c>
      <c r="L1110" s="107">
        <f t="shared" si="473"/>
        <v>0</v>
      </c>
      <c r="M1110" s="107">
        <f t="shared" si="474"/>
        <v>0</v>
      </c>
      <c r="N1110" s="107">
        <f t="shared" si="475"/>
        <v>0</v>
      </c>
      <c r="O1110" s="107">
        <f>VLOOKUP(G1110,Budget!$E$3:$G$2474,3,0)</f>
        <v>0</v>
      </c>
      <c r="P1110" s="107">
        <f t="shared" si="476"/>
        <v>0</v>
      </c>
      <c r="Q1110" s="107"/>
      <c r="R1110" s="10"/>
      <c r="S1110" s="107">
        <v>0</v>
      </c>
      <c r="T1110" s="107">
        <f t="shared" si="480"/>
        <v>0</v>
      </c>
      <c r="U1110" s="107"/>
      <c r="V1110" s="175"/>
      <c r="W1110" s="10"/>
      <c r="X1110" s="10"/>
      <c r="Y1110" t="str">
        <f t="shared" si="482"/>
        <v>2795</v>
      </c>
      <c r="AB1110" s="10"/>
      <c r="AC1110" s="10"/>
      <c r="AD1110" s="10"/>
      <c r="AE1110" s="10"/>
      <c r="AF1110" s="10"/>
      <c r="AG1110" s="10"/>
      <c r="AH1110" s="10"/>
      <c r="AI1110" s="10"/>
    </row>
    <row r="1111" spans="1:35">
      <c r="A1111" s="10"/>
      <c r="B1111" s="10" t="str">
        <f t="shared" si="481"/>
        <v>Below the LinePREP</v>
      </c>
      <c r="C1111" t="s">
        <v>20</v>
      </c>
      <c r="D1111" t="s">
        <v>19</v>
      </c>
      <c r="E1111" t="s">
        <v>234</v>
      </c>
      <c r="G1111" t="s">
        <v>2598</v>
      </c>
      <c r="I1111" s="10"/>
      <c r="J1111" s="107">
        <f>SUMIF(Data!C:C,G1111,Data!Q:Q)</f>
        <v>63000</v>
      </c>
      <c r="K1111" s="107">
        <f>SUMIF(Comprometidos!A:A,'Cost Report'!G1111,Comprometidos!E:E)</f>
        <v>0</v>
      </c>
      <c r="L1111" s="107">
        <f t="shared" si="473"/>
        <v>63000</v>
      </c>
      <c r="M1111" s="107">
        <f t="shared" si="474"/>
        <v>0</v>
      </c>
      <c r="N1111" s="107">
        <f t="shared" si="475"/>
        <v>63000</v>
      </c>
      <c r="O1111" s="107">
        <f>VLOOKUP(G1111,Budget!$E$3:$G$2474,3,0)</f>
        <v>63000</v>
      </c>
      <c r="P1111" s="107">
        <f t="shared" si="476"/>
        <v>0</v>
      </c>
      <c r="Q1111" s="107"/>
      <c r="R1111" s="10"/>
      <c r="S1111" s="107">
        <v>63000</v>
      </c>
      <c r="T1111" s="107">
        <f t="shared" si="480"/>
        <v>0</v>
      </c>
      <c r="U1111" s="107"/>
      <c r="V1111" s="175"/>
      <c r="W1111" s="10"/>
      <c r="X1111" s="10"/>
      <c r="Y1111" t="str">
        <f t="shared" si="482"/>
        <v>2795</v>
      </c>
      <c r="AB1111" s="10"/>
      <c r="AC1111" s="10"/>
      <c r="AD1111" s="10"/>
      <c r="AE1111" s="10"/>
      <c r="AF1111" s="10"/>
      <c r="AG1111" s="10"/>
      <c r="AH1111" s="10"/>
      <c r="AI1111" s="10"/>
    </row>
    <row r="1112" spans="1:35">
      <c r="A1112" s="10"/>
      <c r="B1112" s="10" t="str">
        <f t="shared" si="481"/>
        <v>Below the LineSHOOT</v>
      </c>
      <c r="C1112" t="s">
        <v>20</v>
      </c>
      <c r="D1112" t="s">
        <v>19</v>
      </c>
      <c r="E1112" t="s">
        <v>236</v>
      </c>
      <c r="G1112" t="s">
        <v>2599</v>
      </c>
      <c r="I1112" s="10"/>
      <c r="J1112" s="107">
        <f>SUMIF(Data!C:C,G1112,Data!Q:Q)</f>
        <v>63000</v>
      </c>
      <c r="K1112" s="107">
        <f>SUMIF(Comprometidos!A:A,'Cost Report'!G1112,Comprometidos!E:E)</f>
        <v>0</v>
      </c>
      <c r="L1112" s="107">
        <f t="shared" si="473"/>
        <v>63000</v>
      </c>
      <c r="M1112" s="107">
        <f t="shared" si="474"/>
        <v>0</v>
      </c>
      <c r="N1112" s="107">
        <f t="shared" si="475"/>
        <v>63000</v>
      </c>
      <c r="O1112" s="107">
        <f>VLOOKUP(G1112,Budget!$E$3:$G$2474,3,0)</f>
        <v>63000</v>
      </c>
      <c r="P1112" s="107">
        <f t="shared" si="476"/>
        <v>0</v>
      </c>
      <c r="Q1112" s="107"/>
      <c r="R1112" s="10"/>
      <c r="S1112" s="107">
        <v>63000</v>
      </c>
      <c r="T1112" s="107">
        <f t="shared" si="480"/>
        <v>0</v>
      </c>
      <c r="U1112" s="107"/>
      <c r="V1112" s="175"/>
      <c r="W1112" s="10"/>
      <c r="X1112" s="10"/>
      <c r="Y1112" t="str">
        <f t="shared" si="482"/>
        <v>2795</v>
      </c>
      <c r="AB1112" s="10"/>
      <c r="AC1112" s="10"/>
      <c r="AD1112" s="10"/>
      <c r="AE1112" s="10"/>
      <c r="AF1112" s="10"/>
      <c r="AG1112" s="10"/>
      <c r="AH1112" s="10"/>
      <c r="AI1112" s="10"/>
    </row>
    <row r="1113" spans="1:35">
      <c r="A1113" s="10"/>
      <c r="B1113" s="10" t="str">
        <f t="shared" si="481"/>
        <v>Below the LineWRAP</v>
      </c>
      <c r="C1113" t="s">
        <v>20</v>
      </c>
      <c r="D1113" t="s">
        <v>19</v>
      </c>
      <c r="E1113" t="s">
        <v>238</v>
      </c>
      <c r="G1113" t="s">
        <v>2600</v>
      </c>
      <c r="I1113" s="10"/>
      <c r="J1113" s="107">
        <f>SUMIF(Data!C:C,G1113,Data!Q:Q)</f>
        <v>18000</v>
      </c>
      <c r="K1113" s="107">
        <f>SUMIF(Comprometidos!A:A,'Cost Report'!G1113,Comprometidos!E:E)</f>
        <v>0</v>
      </c>
      <c r="L1113" s="107">
        <f t="shared" si="473"/>
        <v>18000</v>
      </c>
      <c r="M1113" s="107">
        <f t="shared" si="474"/>
        <v>0</v>
      </c>
      <c r="N1113" s="107">
        <f t="shared" si="475"/>
        <v>18000</v>
      </c>
      <c r="O1113" s="107">
        <f>VLOOKUP(G1113,Budget!$E$3:$G$2474,3,0)</f>
        <v>18000</v>
      </c>
      <c r="P1113" s="107">
        <f t="shared" si="476"/>
        <v>0</v>
      </c>
      <c r="Q1113" s="107"/>
      <c r="R1113" s="10"/>
      <c r="S1113" s="107">
        <v>18000</v>
      </c>
      <c r="T1113" s="107">
        <f t="shared" si="480"/>
        <v>0</v>
      </c>
      <c r="U1113" s="107"/>
      <c r="V1113" s="175"/>
      <c r="W1113" s="10"/>
      <c r="X1113" s="10"/>
      <c r="Y1113" t="str">
        <f t="shared" si="482"/>
        <v>2795</v>
      </c>
      <c r="AB1113" s="10"/>
      <c r="AC1113" s="10"/>
      <c r="AD1113" s="10"/>
      <c r="AE1113" s="10"/>
      <c r="AF1113" s="10"/>
      <c r="AG1113" s="10"/>
      <c r="AH1113" s="10"/>
      <c r="AI1113" s="10"/>
    </row>
    <row r="1114" spans="1:35">
      <c r="A1114" s="10"/>
      <c r="B1114" s="10" t="str">
        <f>+C1114</f>
        <v>Below the Line</v>
      </c>
      <c r="C1114" s="128" t="s">
        <v>20</v>
      </c>
      <c r="D1114" s="128" t="s">
        <v>2117</v>
      </c>
      <c r="E1114" s="128"/>
      <c r="F1114" s="128"/>
      <c r="G1114" s="128" t="s">
        <v>675</v>
      </c>
      <c r="H1114" s="128"/>
      <c r="I1114" s="10"/>
      <c r="J1114" s="129">
        <f>SUMIF($Y$11:$Y$2484,G1114,J$11:J$2484)</f>
        <v>0</v>
      </c>
      <c r="K1114" s="129">
        <f>SUMIF($Y$11:$Y$2484,G1114,K$11:K$2484)</f>
        <v>0</v>
      </c>
      <c r="L1114" s="129">
        <f>SUMIF($Y$11:$Y$2484,G1114,L$11:L$2484)</f>
        <v>0</v>
      </c>
      <c r="M1114" s="129">
        <f>SUMIF($Y$11:$Y$2484,G1114,M$11:M$2484)</f>
        <v>0</v>
      </c>
      <c r="N1114" s="129">
        <f>SUMIF($Y$11:$Y$2484,G1114,N$11:N$2484)</f>
        <v>0</v>
      </c>
      <c r="O1114" s="129">
        <f>SUMIF($Y$11:$Y$2484,G1114,O$11:O$2484)</f>
        <v>20000</v>
      </c>
      <c r="P1114" s="129">
        <f>SUMIF($Y$11:$Y$2484,G1114,P$11:P$2484)</f>
        <v>20000</v>
      </c>
      <c r="Q1114" s="129"/>
      <c r="R1114" s="10"/>
      <c r="S1114" s="129">
        <v>0</v>
      </c>
      <c r="T1114" s="129">
        <f t="shared" si="480"/>
        <v>0</v>
      </c>
      <c r="U1114" s="128"/>
      <c r="V1114" s="175"/>
      <c r="W1114" s="10"/>
      <c r="X1114" s="10"/>
      <c r="Z1114" t="str">
        <f>LEFT(G1114,2)</f>
        <v>27</v>
      </c>
      <c r="AA1114" t="str">
        <f>+Z1114&amp;"00"</f>
        <v>2700</v>
      </c>
      <c r="AB1114" s="10"/>
      <c r="AC1114" s="10"/>
      <c r="AD1114" s="10"/>
      <c r="AE1114" s="10"/>
      <c r="AF1114" s="10"/>
      <c r="AG1114" s="10"/>
      <c r="AH1114" s="10"/>
      <c r="AI1114" s="10"/>
    </row>
    <row r="1115" spans="1:35">
      <c r="A1115" s="10"/>
      <c r="B1115" s="10" t="str">
        <f t="shared" ref="B1115:B1116" si="483">+C1115&amp;E1115</f>
        <v>Below the Line</v>
      </c>
      <c r="C1115" t="s">
        <v>20</v>
      </c>
      <c r="D1115" t="s">
        <v>19</v>
      </c>
      <c r="E1115" t="s">
        <v>214</v>
      </c>
      <c r="G1115" t="s">
        <v>676</v>
      </c>
      <c r="I1115" s="10"/>
      <c r="J1115" s="107">
        <f>SUMIF(Data!C:C,G1115,Data!Q:Q)</f>
        <v>0</v>
      </c>
      <c r="K1115" s="107">
        <f>SUMIF(Comprometidos!A:A,'Cost Report'!G1115,Comprometidos!E:E)</f>
        <v>0</v>
      </c>
      <c r="L1115" s="107">
        <f t="shared" si="473"/>
        <v>0</v>
      </c>
      <c r="M1115" s="107">
        <f t="shared" si="474"/>
        <v>0</v>
      </c>
      <c r="N1115" s="107">
        <f t="shared" si="475"/>
        <v>0</v>
      </c>
      <c r="O1115" s="107">
        <f>VLOOKUP(G1115,Budget!$E$3:$G$2474,3,0)</f>
        <v>0</v>
      </c>
      <c r="P1115" s="107">
        <f t="shared" si="476"/>
        <v>0</v>
      </c>
      <c r="Q1115" s="107"/>
      <c r="R1115" s="10"/>
      <c r="S1115" s="107">
        <v>0</v>
      </c>
      <c r="T1115" s="107">
        <f t="shared" si="480"/>
        <v>0</v>
      </c>
      <c r="U1115" s="107"/>
      <c r="V1115" s="175"/>
      <c r="W1115" s="10"/>
      <c r="X1115" s="10"/>
      <c r="Y1115" t="str">
        <f t="shared" ref="Y1115:Y1116" si="484">LEFT(G1115,4)</f>
        <v>2798</v>
      </c>
      <c r="AB1115" s="10"/>
      <c r="AC1115" s="10"/>
      <c r="AD1115" s="10"/>
      <c r="AE1115" s="10"/>
      <c r="AF1115" s="10"/>
      <c r="AG1115" s="10"/>
      <c r="AH1115" s="10"/>
      <c r="AI1115" s="10"/>
    </row>
    <row r="1116" spans="1:35">
      <c r="A1116" s="10"/>
      <c r="B1116" s="10" t="str">
        <f t="shared" si="483"/>
        <v>Below the LineALL SHOW</v>
      </c>
      <c r="C1116" t="s">
        <v>20</v>
      </c>
      <c r="D1116" t="s">
        <v>19</v>
      </c>
      <c r="E1116" t="s">
        <v>227</v>
      </c>
      <c r="G1116" t="s">
        <v>2601</v>
      </c>
      <c r="I1116" s="10"/>
      <c r="J1116" s="107">
        <f>SUMIF(Data!C:C,G1116,Data!Q:Q)</f>
        <v>0</v>
      </c>
      <c r="K1116" s="107">
        <f>SUMIF(Comprometidos!A:A,'Cost Report'!G1116,Comprometidos!E:E)</f>
        <v>0</v>
      </c>
      <c r="L1116" s="107">
        <f t="shared" si="473"/>
        <v>0</v>
      </c>
      <c r="M1116" s="107">
        <v>0</v>
      </c>
      <c r="N1116" s="107">
        <f t="shared" si="475"/>
        <v>0</v>
      </c>
      <c r="O1116" s="107">
        <f>VLOOKUP(G1116,Budget!$E$3:$G$2474,3,0)</f>
        <v>20000</v>
      </c>
      <c r="P1116" s="107">
        <f t="shared" si="476"/>
        <v>20000</v>
      </c>
      <c r="Q1116" s="107"/>
      <c r="R1116" s="10"/>
      <c r="S1116" s="107">
        <v>0</v>
      </c>
      <c r="T1116" s="107">
        <f t="shared" si="480"/>
        <v>0</v>
      </c>
      <c r="U1116" s="107"/>
      <c r="V1116" s="175"/>
      <c r="W1116" s="10"/>
      <c r="X1116" s="10"/>
      <c r="Y1116" t="str">
        <f t="shared" si="484"/>
        <v>2798</v>
      </c>
      <c r="AB1116" s="10"/>
      <c r="AC1116" s="10"/>
      <c r="AD1116" s="10"/>
      <c r="AE1116" s="10"/>
      <c r="AF1116" s="10"/>
      <c r="AG1116" s="10"/>
      <c r="AH1116" s="10"/>
      <c r="AI1116" s="10"/>
    </row>
    <row r="1117" spans="1:35">
      <c r="A1117" s="10"/>
      <c r="B1117" s="10"/>
      <c r="C1117" s="170" t="s">
        <v>20</v>
      </c>
      <c r="D1117" s="170" t="s">
        <v>8</v>
      </c>
      <c r="E1117" s="170"/>
      <c r="F1117" s="170"/>
      <c r="G1117" s="170" t="s">
        <v>677</v>
      </c>
      <c r="H1117" s="170"/>
      <c r="I1117" s="10"/>
      <c r="J1117" s="169">
        <f>SUMIF($AA$10:$AA$2484,G1117,J$10:J$2484)</f>
        <v>1159295.102</v>
      </c>
      <c r="K1117" s="169">
        <f>SUMIF($AA$10:$AA$2484,G1117,K$10:K$2484)</f>
        <v>0</v>
      </c>
      <c r="L1117" s="169">
        <f>SUMIF($AA$10:$AA$2484,G1117,L$10:L$2484)</f>
        <v>1159295.102</v>
      </c>
      <c r="M1117" s="169">
        <f>SUMIF($AA$10:$AA$2484,G1117,M$10:M$2484)</f>
        <v>0</v>
      </c>
      <c r="N1117" s="169">
        <f>SUMIF($AA$10:$AA$2484,G1117,N$10:N$2484)</f>
        <v>1159295.102</v>
      </c>
      <c r="O1117" s="169">
        <f>SUMIF($AA$10:$AA$2484,G1117,O$10:O$2484)</f>
        <v>1208200</v>
      </c>
      <c r="P1117" s="168">
        <f>SUMIF($AA$10:$AA$2484,G1117,P$10:P$2484)</f>
        <v>48904.898000000045</v>
      </c>
      <c r="Q1117" s="169"/>
      <c r="R1117" s="10"/>
      <c r="S1117" s="164">
        <v>1159255.8799999999</v>
      </c>
      <c r="T1117" s="164">
        <f t="shared" si="480"/>
        <v>-39.222000000067055</v>
      </c>
      <c r="U1117" s="163"/>
      <c r="V1117" s="175"/>
      <c r="W1117" s="10"/>
      <c r="X1117" s="10"/>
      <c r="AB1117" s="10"/>
      <c r="AC1117" s="10"/>
      <c r="AD1117" s="10"/>
      <c r="AE1117" s="10"/>
      <c r="AF1117" s="10"/>
      <c r="AG1117" s="10"/>
      <c r="AH1117" s="10"/>
      <c r="AI1117" s="10"/>
    </row>
    <row r="1118" spans="1:35">
      <c r="A1118" s="10"/>
      <c r="B1118" s="10" t="str">
        <f>+C1118</f>
        <v>Below the Line</v>
      </c>
      <c r="C1118" s="128" t="s">
        <v>20</v>
      </c>
      <c r="D1118" s="128" t="s">
        <v>2117</v>
      </c>
      <c r="E1118" s="128"/>
      <c r="F1118" s="128"/>
      <c r="G1118" s="128" t="s">
        <v>678</v>
      </c>
      <c r="H1118" s="128"/>
      <c r="I1118" s="10"/>
      <c r="J1118" s="129">
        <f>SUMIF($Y$11:$Y$2484,G1118,J$11:J$2484)</f>
        <v>488100</v>
      </c>
      <c r="K1118" s="129">
        <f>SUMIF($Y$11:$Y$2484,G1118,K$11:K$2484)</f>
        <v>0</v>
      </c>
      <c r="L1118" s="129">
        <f>SUMIF($Y$11:$Y$2484,G1118,L$11:L$2484)</f>
        <v>488100</v>
      </c>
      <c r="M1118" s="129">
        <f>SUMIF($Y$11:$Y$2484,G1118,M$11:M$2484)</f>
        <v>0</v>
      </c>
      <c r="N1118" s="129">
        <f>SUMIF($Y$11:$Y$2484,G1118,N$11:N$2484)</f>
        <v>488100</v>
      </c>
      <c r="O1118" s="129">
        <f>SUMIF($Y$11:$Y$2484,G1118,O$11:O$2484)</f>
        <v>474900</v>
      </c>
      <c r="P1118" s="129">
        <f>SUMIF($Y$11:$Y$2484,G1118,P$11:P$2484)</f>
        <v>-13200</v>
      </c>
      <c r="Q1118" s="129"/>
      <c r="R1118" s="10"/>
      <c r="S1118" s="129">
        <v>488100</v>
      </c>
      <c r="T1118" s="129">
        <f t="shared" si="480"/>
        <v>0</v>
      </c>
      <c r="U1118" s="128"/>
      <c r="V1118" s="175"/>
      <c r="W1118" s="10"/>
      <c r="X1118" s="10"/>
      <c r="Z1118" t="str">
        <f>LEFT(G1118,2)</f>
        <v>28</v>
      </c>
      <c r="AA1118" t="str">
        <f>+Z1118&amp;"00"</f>
        <v>2800</v>
      </c>
      <c r="AB1118" s="10"/>
      <c r="AC1118" s="10"/>
      <c r="AD1118" s="10"/>
      <c r="AE1118" s="10"/>
      <c r="AF1118" s="10"/>
      <c r="AG1118" s="10"/>
      <c r="AH1118" s="10"/>
      <c r="AI1118" s="10"/>
    </row>
    <row r="1119" spans="1:35">
      <c r="A1119" s="10"/>
      <c r="B1119" s="10" t="str">
        <f t="shared" ref="B1119:B1126" si="485">+C1119&amp;E1119</f>
        <v>Below the Line</v>
      </c>
      <c r="C1119" t="s">
        <v>20</v>
      </c>
      <c r="D1119" t="s">
        <v>19</v>
      </c>
      <c r="E1119" t="s">
        <v>214</v>
      </c>
      <c r="G1119" t="s">
        <v>679</v>
      </c>
      <c r="I1119" s="10"/>
      <c r="J1119" s="107">
        <f>SUMIF(Data!C:C,G1119,Data!Q:Q)</f>
        <v>0</v>
      </c>
      <c r="K1119" s="107">
        <f>SUMIF(Comprometidos!A:A,'Cost Report'!G1119,Comprometidos!E:E)</f>
        <v>0</v>
      </c>
      <c r="L1119" s="107">
        <f t="shared" si="473"/>
        <v>0</v>
      </c>
      <c r="M1119" s="107">
        <f t="shared" si="474"/>
        <v>0</v>
      </c>
      <c r="N1119" s="107">
        <f t="shared" si="475"/>
        <v>0</v>
      </c>
      <c r="O1119" s="107">
        <f>VLOOKUP(G1119,Budget!$E$3:$G$2474,3,0)</f>
        <v>0</v>
      </c>
      <c r="P1119" s="107">
        <f t="shared" si="476"/>
        <v>0</v>
      </c>
      <c r="Q1119" s="107"/>
      <c r="R1119" s="10"/>
      <c r="S1119" s="107">
        <v>0</v>
      </c>
      <c r="T1119" s="107">
        <f t="shared" si="480"/>
        <v>0</v>
      </c>
      <c r="U1119" s="107"/>
      <c r="V1119" s="175"/>
      <c r="W1119" s="10"/>
      <c r="X1119" s="10"/>
      <c r="Y1119" t="str">
        <f t="shared" ref="Y1119:Y1126" si="486">LEFT(G1119,4)</f>
        <v>2801</v>
      </c>
      <c r="AB1119" s="10"/>
      <c r="AC1119" s="10"/>
      <c r="AD1119" s="10"/>
      <c r="AE1119" s="10"/>
      <c r="AF1119" s="10"/>
      <c r="AG1119" s="10"/>
      <c r="AH1119" s="10"/>
      <c r="AI1119" s="10"/>
    </row>
    <row r="1120" spans="1:35">
      <c r="A1120" s="10"/>
      <c r="B1120" s="10" t="str">
        <f t="shared" si="485"/>
        <v>Below the LinePREP</v>
      </c>
      <c r="C1120" t="s">
        <v>20</v>
      </c>
      <c r="D1120" t="s">
        <v>19</v>
      </c>
      <c r="E1120" t="s">
        <v>234</v>
      </c>
      <c r="G1120" t="s">
        <v>680</v>
      </c>
      <c r="I1120" s="10"/>
      <c r="J1120" s="107">
        <f>SUMIF(Data!C:C,G1120,Data!Q:Q)</f>
        <v>147000</v>
      </c>
      <c r="K1120" s="107">
        <f>SUMIF(Comprometidos!A:A,'Cost Report'!G1120,Comprometidos!E:E)</f>
        <v>0</v>
      </c>
      <c r="L1120" s="107">
        <f t="shared" si="473"/>
        <v>147000</v>
      </c>
      <c r="M1120" s="107">
        <f t="shared" si="474"/>
        <v>0</v>
      </c>
      <c r="N1120" s="107">
        <f t="shared" si="475"/>
        <v>147000</v>
      </c>
      <c r="O1120" s="107">
        <f>VLOOKUP(G1120,Budget!$E$3:$G$2474,3,0)</f>
        <v>147000</v>
      </c>
      <c r="P1120" s="107">
        <f t="shared" si="476"/>
        <v>0</v>
      </c>
      <c r="Q1120" s="107"/>
      <c r="R1120" s="10"/>
      <c r="S1120" s="107">
        <v>147000</v>
      </c>
      <c r="T1120" s="107">
        <f t="shared" si="480"/>
        <v>0</v>
      </c>
      <c r="U1120" s="107"/>
      <c r="V1120" s="175"/>
      <c r="W1120" s="10"/>
      <c r="X1120" s="10"/>
      <c r="Y1120" t="str">
        <f t="shared" si="486"/>
        <v>2801</v>
      </c>
      <c r="AB1120" s="10"/>
      <c r="AC1120" s="10"/>
      <c r="AD1120" s="10"/>
      <c r="AE1120" s="10"/>
      <c r="AF1120" s="10"/>
      <c r="AG1120" s="10"/>
      <c r="AH1120" s="10"/>
      <c r="AI1120" s="10"/>
    </row>
    <row r="1121" spans="1:35">
      <c r="A1121" s="10"/>
      <c r="B1121" s="10" t="str">
        <f t="shared" si="485"/>
        <v>Below the LineSHOOT</v>
      </c>
      <c r="C1121" t="s">
        <v>20</v>
      </c>
      <c r="D1121" t="s">
        <v>19</v>
      </c>
      <c r="E1121" t="s">
        <v>236</v>
      </c>
      <c r="G1121" t="s">
        <v>681</v>
      </c>
      <c r="I1121" s="10"/>
      <c r="J1121" s="107">
        <f>SUMIF(Data!C:C,G1121,Data!Q:Q)</f>
        <v>147000</v>
      </c>
      <c r="K1121" s="107">
        <f>SUMIF(Comprometidos!A:A,'Cost Report'!G1121,Comprometidos!E:E)</f>
        <v>0</v>
      </c>
      <c r="L1121" s="107">
        <f t="shared" si="473"/>
        <v>147000</v>
      </c>
      <c r="M1121" s="107">
        <f t="shared" si="474"/>
        <v>0</v>
      </c>
      <c r="N1121" s="107">
        <f t="shared" si="475"/>
        <v>147000</v>
      </c>
      <c r="O1121" s="107">
        <f>VLOOKUP(G1121,Budget!$E$3:$G$2474,3,0)</f>
        <v>147000</v>
      </c>
      <c r="P1121" s="107">
        <f t="shared" si="476"/>
        <v>0</v>
      </c>
      <c r="Q1121" s="107"/>
      <c r="R1121" s="10"/>
      <c r="S1121" s="107">
        <v>147000</v>
      </c>
      <c r="T1121" s="107">
        <f t="shared" si="480"/>
        <v>0</v>
      </c>
      <c r="U1121" s="107"/>
      <c r="V1121" s="175"/>
      <c r="W1121" s="10"/>
      <c r="X1121" s="10"/>
      <c r="Y1121" t="str">
        <f t="shared" si="486"/>
        <v>2801</v>
      </c>
      <c r="AB1121" s="10"/>
      <c r="AC1121" s="10"/>
      <c r="AD1121" s="10"/>
      <c r="AE1121" s="10"/>
      <c r="AF1121" s="10"/>
      <c r="AG1121" s="10"/>
      <c r="AH1121" s="10"/>
      <c r="AI1121" s="10"/>
    </row>
    <row r="1122" spans="1:35">
      <c r="A1122" s="10"/>
      <c r="B1122" s="10" t="str">
        <f t="shared" si="485"/>
        <v>Below the LineWRAP</v>
      </c>
      <c r="C1122" t="s">
        <v>20</v>
      </c>
      <c r="D1122" t="s">
        <v>19</v>
      </c>
      <c r="E1122" t="s">
        <v>238</v>
      </c>
      <c r="G1122" t="s">
        <v>682</v>
      </c>
      <c r="I1122" s="10"/>
      <c r="J1122" s="107">
        <f>SUMIF(Data!C:C,G1122,Data!Q:Q)</f>
        <v>34200</v>
      </c>
      <c r="K1122" s="107">
        <f>SUMIF(Comprometidos!A:A,'Cost Report'!G1122,Comprometidos!E:E)</f>
        <v>0</v>
      </c>
      <c r="L1122" s="107">
        <f t="shared" si="473"/>
        <v>34200</v>
      </c>
      <c r="M1122" s="107">
        <v>0</v>
      </c>
      <c r="N1122" s="107">
        <f t="shared" si="475"/>
        <v>34200</v>
      </c>
      <c r="O1122" s="107">
        <f>VLOOKUP(G1122,Budget!$E$3:$G$2474,3,0)</f>
        <v>21000</v>
      </c>
      <c r="P1122" s="107">
        <f t="shared" si="476"/>
        <v>-13200</v>
      </c>
      <c r="Q1122" s="107"/>
      <c r="R1122" s="10"/>
      <c r="S1122" s="107">
        <v>34200</v>
      </c>
      <c r="T1122" s="107">
        <f t="shared" si="480"/>
        <v>0</v>
      </c>
      <c r="U1122" s="107"/>
      <c r="V1122" s="175"/>
      <c r="W1122" s="10"/>
      <c r="X1122" s="10"/>
      <c r="Y1122" t="str">
        <f t="shared" si="486"/>
        <v>2801</v>
      </c>
      <c r="AB1122" s="10"/>
      <c r="AC1122" s="10"/>
      <c r="AD1122" s="10"/>
      <c r="AE1122" s="10"/>
      <c r="AF1122" s="10"/>
      <c r="AG1122" s="10"/>
      <c r="AH1122" s="10"/>
      <c r="AI1122" s="10"/>
    </row>
    <row r="1123" spans="1:35">
      <c r="A1123" s="10"/>
      <c r="B1123" s="10" t="str">
        <f t="shared" si="485"/>
        <v>Below the Line</v>
      </c>
      <c r="C1123" t="s">
        <v>20</v>
      </c>
      <c r="D1123" t="s">
        <v>19</v>
      </c>
      <c r="E1123" t="s">
        <v>214</v>
      </c>
      <c r="G1123" t="s">
        <v>683</v>
      </c>
      <c r="I1123" s="10"/>
      <c r="J1123" s="107">
        <f>SUMIF(Data!C:C,G1123,Data!Q:Q)</f>
        <v>0</v>
      </c>
      <c r="K1123" s="107">
        <f>SUMIF(Comprometidos!A:A,'Cost Report'!G1123,Comprometidos!E:E)</f>
        <v>0</v>
      </c>
      <c r="L1123" s="107">
        <f t="shared" si="473"/>
        <v>0</v>
      </c>
      <c r="M1123" s="107">
        <f t="shared" si="474"/>
        <v>0</v>
      </c>
      <c r="N1123" s="107">
        <f t="shared" si="475"/>
        <v>0</v>
      </c>
      <c r="O1123" s="107">
        <f>VLOOKUP(G1123,Budget!$E$3:$G$2474,3,0)</f>
        <v>0</v>
      </c>
      <c r="P1123" s="107">
        <f t="shared" si="476"/>
        <v>0</v>
      </c>
      <c r="Q1123" s="107"/>
      <c r="R1123" s="10"/>
      <c r="S1123" s="107">
        <v>0</v>
      </c>
      <c r="T1123" s="107">
        <f t="shared" si="480"/>
        <v>0</v>
      </c>
      <c r="U1123" s="107"/>
      <c r="V1123" s="175"/>
      <c r="W1123" s="10"/>
      <c r="X1123" s="10"/>
      <c r="Y1123" t="str">
        <f t="shared" si="486"/>
        <v>2801</v>
      </c>
      <c r="AB1123" s="10"/>
      <c r="AC1123" s="10"/>
      <c r="AD1123" s="10"/>
      <c r="AE1123" s="10"/>
      <c r="AF1123" s="10"/>
      <c r="AG1123" s="10"/>
      <c r="AH1123" s="10"/>
      <c r="AI1123" s="10"/>
    </row>
    <row r="1124" spans="1:35">
      <c r="A1124" s="10"/>
      <c r="B1124" s="10" t="str">
        <f t="shared" si="485"/>
        <v>Below the LinePREP</v>
      </c>
      <c r="C1124" t="s">
        <v>20</v>
      </c>
      <c r="D1124" t="s">
        <v>19</v>
      </c>
      <c r="E1124" t="s">
        <v>234</v>
      </c>
      <c r="G1124" t="s">
        <v>2602</v>
      </c>
      <c r="I1124" s="10"/>
      <c r="J1124" s="107">
        <f>SUMIF(Data!C:C,G1124,Data!Q:Q)</f>
        <v>61500</v>
      </c>
      <c r="K1124" s="107">
        <f>SUMIF(Comprometidos!A:A,'Cost Report'!G1124,Comprometidos!E:E)</f>
        <v>0</v>
      </c>
      <c r="L1124" s="107">
        <f t="shared" si="473"/>
        <v>61500</v>
      </c>
      <c r="M1124" s="107">
        <f t="shared" si="474"/>
        <v>0</v>
      </c>
      <c r="N1124" s="107">
        <f t="shared" si="475"/>
        <v>61500</v>
      </c>
      <c r="O1124" s="107">
        <f>VLOOKUP(G1124,Budget!$E$3:$G$2474,3,0)</f>
        <v>61500</v>
      </c>
      <c r="P1124" s="107">
        <f t="shared" si="476"/>
        <v>0</v>
      </c>
      <c r="Q1124" s="107"/>
      <c r="R1124" s="10"/>
      <c r="S1124" s="107">
        <v>61500</v>
      </c>
      <c r="T1124" s="107">
        <f t="shared" si="480"/>
        <v>0</v>
      </c>
      <c r="U1124" s="107"/>
      <c r="V1124" s="175"/>
      <c r="W1124" s="10"/>
      <c r="X1124" s="10"/>
      <c r="Y1124" t="str">
        <f t="shared" si="486"/>
        <v>2801</v>
      </c>
      <c r="AB1124" s="10"/>
      <c r="AC1124" s="10"/>
      <c r="AD1124" s="10"/>
      <c r="AE1124" s="10"/>
      <c r="AF1124" s="10"/>
      <c r="AG1124" s="10"/>
      <c r="AH1124" s="10"/>
      <c r="AI1124" s="10"/>
    </row>
    <row r="1125" spans="1:35">
      <c r="A1125" s="10"/>
      <c r="B1125" s="10" t="str">
        <f t="shared" si="485"/>
        <v>Below the LineSHOOT</v>
      </c>
      <c r="C1125" t="s">
        <v>20</v>
      </c>
      <c r="D1125" t="s">
        <v>19</v>
      </c>
      <c r="E1125" t="s">
        <v>236</v>
      </c>
      <c r="G1125" t="s">
        <v>2603</v>
      </c>
      <c r="I1125" s="10"/>
      <c r="J1125" s="107">
        <f>SUMIF(Data!C:C,G1125,Data!Q:Q)</f>
        <v>86100</v>
      </c>
      <c r="K1125" s="107">
        <f>SUMIF(Comprometidos!A:A,'Cost Report'!G1125,Comprometidos!E:E)</f>
        <v>0</v>
      </c>
      <c r="L1125" s="107">
        <f t="shared" si="473"/>
        <v>86100</v>
      </c>
      <c r="M1125" s="107">
        <f t="shared" si="474"/>
        <v>0</v>
      </c>
      <c r="N1125" s="107">
        <f t="shared" si="475"/>
        <v>86100</v>
      </c>
      <c r="O1125" s="107">
        <f>VLOOKUP(G1125,Budget!$E$3:$G$2474,3,0)</f>
        <v>86100</v>
      </c>
      <c r="P1125" s="107">
        <f t="shared" si="476"/>
        <v>0</v>
      </c>
      <c r="Q1125" s="107"/>
      <c r="R1125" s="10"/>
      <c r="S1125" s="107">
        <v>86100</v>
      </c>
      <c r="T1125" s="107">
        <f t="shared" si="480"/>
        <v>0</v>
      </c>
      <c r="U1125" s="107"/>
      <c r="V1125" s="175"/>
      <c r="W1125" s="10"/>
      <c r="X1125" s="10"/>
      <c r="Y1125" t="str">
        <f t="shared" si="486"/>
        <v>2801</v>
      </c>
      <c r="AB1125" s="10"/>
      <c r="AC1125" s="10"/>
      <c r="AD1125" s="10"/>
      <c r="AE1125" s="10"/>
      <c r="AF1125" s="10"/>
      <c r="AG1125" s="10"/>
      <c r="AH1125" s="10"/>
      <c r="AI1125" s="10"/>
    </row>
    <row r="1126" spans="1:35">
      <c r="A1126" s="10"/>
      <c r="B1126" s="10" t="str">
        <f t="shared" si="485"/>
        <v>Below the LineWRAP</v>
      </c>
      <c r="C1126" t="s">
        <v>20</v>
      </c>
      <c r="D1126" t="s">
        <v>19</v>
      </c>
      <c r="E1126" t="s">
        <v>238</v>
      </c>
      <c r="G1126" t="s">
        <v>2604</v>
      </c>
      <c r="I1126" s="10"/>
      <c r="J1126" s="107">
        <f>SUMIF(Data!C:C,G1126,Data!Q:Q)</f>
        <v>12300</v>
      </c>
      <c r="K1126" s="107">
        <f>SUMIF(Comprometidos!A:A,'Cost Report'!G1126,Comprometidos!E:E)</f>
        <v>0</v>
      </c>
      <c r="L1126" s="107">
        <f t="shared" si="473"/>
        <v>12300</v>
      </c>
      <c r="M1126" s="107">
        <f t="shared" si="474"/>
        <v>0</v>
      </c>
      <c r="N1126" s="107">
        <f t="shared" si="475"/>
        <v>12300</v>
      </c>
      <c r="O1126" s="107">
        <f>VLOOKUP(G1126,Budget!$E$3:$G$2474,3,0)</f>
        <v>12300</v>
      </c>
      <c r="P1126" s="107">
        <f t="shared" si="476"/>
        <v>0</v>
      </c>
      <c r="Q1126" s="107"/>
      <c r="R1126" s="10"/>
      <c r="S1126" s="107">
        <v>12300</v>
      </c>
      <c r="T1126" s="107">
        <f t="shared" si="480"/>
        <v>0</v>
      </c>
      <c r="U1126" s="107"/>
      <c r="V1126" s="175"/>
      <c r="W1126" s="10"/>
      <c r="X1126" s="10"/>
      <c r="Y1126" t="str">
        <f t="shared" si="486"/>
        <v>2801</v>
      </c>
      <c r="AB1126" s="10"/>
      <c r="AC1126" s="10"/>
      <c r="AD1126" s="10"/>
      <c r="AE1126" s="10"/>
      <c r="AF1126" s="10"/>
      <c r="AG1126" s="10"/>
      <c r="AH1126" s="10"/>
      <c r="AI1126" s="10"/>
    </row>
    <row r="1127" spans="1:35">
      <c r="A1127" s="10"/>
      <c r="B1127" s="10" t="str">
        <f>+C1127</f>
        <v>Below the Line</v>
      </c>
      <c r="C1127" s="128" t="s">
        <v>20</v>
      </c>
      <c r="D1127" s="128" t="s">
        <v>2117</v>
      </c>
      <c r="E1127" s="128"/>
      <c r="F1127" s="128"/>
      <c r="G1127" s="128" t="s">
        <v>684</v>
      </c>
      <c r="H1127" s="128"/>
      <c r="I1127" s="10"/>
      <c r="J1127" s="129">
        <f>SUMIF($Y$11:$Y$2484,G1127,J$11:J$2484)</f>
        <v>253400</v>
      </c>
      <c r="K1127" s="129">
        <f>SUMIF($Y$11:$Y$2484,G1127,K$11:K$2484)</f>
        <v>0</v>
      </c>
      <c r="L1127" s="129">
        <f>SUMIF($Y$11:$Y$2484,G1127,L$11:L$2484)</f>
        <v>253400</v>
      </c>
      <c r="M1127" s="129">
        <f>SUMIF($Y$11:$Y$2484,G1127,M$11:M$2484)</f>
        <v>0</v>
      </c>
      <c r="N1127" s="129">
        <f>SUMIF($Y$11:$Y$2484,G1127,N$11:N$2484)</f>
        <v>253400</v>
      </c>
      <c r="O1127" s="129">
        <f>SUMIF($Y$11:$Y$2484,G1127,O$11:O$2484)</f>
        <v>253400</v>
      </c>
      <c r="P1127" s="129">
        <f>SUMIF($Y$11:$Y$2484,G1127,P$11:P$2484)</f>
        <v>0</v>
      </c>
      <c r="Q1127" s="129"/>
      <c r="R1127" s="10"/>
      <c r="S1127" s="129">
        <v>253400</v>
      </c>
      <c r="T1127" s="129">
        <f t="shared" si="480"/>
        <v>0</v>
      </c>
      <c r="U1127" s="128"/>
      <c r="V1127" s="175"/>
      <c r="W1127" s="10"/>
      <c r="X1127" s="10"/>
      <c r="Z1127" t="str">
        <f>LEFT(G1127,2)</f>
        <v>28</v>
      </c>
      <c r="AA1127" t="str">
        <f>+Z1127&amp;"00"</f>
        <v>2800</v>
      </c>
      <c r="AB1127" s="10"/>
      <c r="AC1127" s="10"/>
      <c r="AD1127" s="10"/>
      <c r="AE1127" s="10"/>
      <c r="AF1127" s="10"/>
      <c r="AG1127" s="10"/>
      <c r="AH1127" s="10"/>
      <c r="AI1127" s="10"/>
    </row>
    <row r="1128" spans="1:35">
      <c r="A1128" s="10"/>
      <c r="B1128" s="10" t="str">
        <f t="shared" ref="B1128:B1142" si="487">+C1128&amp;E1128</f>
        <v>Below the Line</v>
      </c>
      <c r="C1128" t="s">
        <v>20</v>
      </c>
      <c r="D1128" t="s">
        <v>19</v>
      </c>
      <c r="E1128" t="s">
        <v>214</v>
      </c>
      <c r="F1128" t="s">
        <v>5396</v>
      </c>
      <c r="G1128" t="s">
        <v>685</v>
      </c>
      <c r="I1128" s="10"/>
      <c r="J1128" s="107">
        <f>SUMIF(Data!C:C,G1128,Data!Q:Q)</f>
        <v>0</v>
      </c>
      <c r="K1128" s="107">
        <f>SUMIF(Comprometidos!A:A,'Cost Report'!G1128,Comprometidos!E:E)</f>
        <v>0</v>
      </c>
      <c r="L1128" s="107">
        <f t="shared" si="473"/>
        <v>0</v>
      </c>
      <c r="M1128" s="107">
        <f t="shared" si="474"/>
        <v>0</v>
      </c>
      <c r="N1128" s="107">
        <f t="shared" si="475"/>
        <v>0</v>
      </c>
      <c r="O1128" s="107">
        <f>VLOOKUP(G1128,Budget!$E$3:$G$2474,3,0)</f>
        <v>0</v>
      </c>
      <c r="P1128" s="107">
        <f t="shared" si="476"/>
        <v>0</v>
      </c>
      <c r="Q1128" s="107"/>
      <c r="R1128" s="10"/>
      <c r="S1128" s="107">
        <v>0</v>
      </c>
      <c r="T1128" s="107">
        <f t="shared" si="480"/>
        <v>0</v>
      </c>
      <c r="U1128" s="107"/>
      <c r="V1128" s="175"/>
      <c r="W1128" s="10"/>
      <c r="X1128" s="10"/>
      <c r="Y1128" t="str">
        <f t="shared" ref="Y1128:Y1142" si="488">LEFT(G1128,4)</f>
        <v>2802</v>
      </c>
      <c r="AB1128" s="10"/>
      <c r="AC1128" s="10"/>
      <c r="AD1128" s="10"/>
      <c r="AE1128" s="10"/>
      <c r="AF1128" s="10"/>
      <c r="AG1128" s="10"/>
      <c r="AH1128" s="10"/>
      <c r="AI1128" s="10"/>
    </row>
    <row r="1129" spans="1:35">
      <c r="A1129" s="10"/>
      <c r="B1129" s="10" t="str">
        <f t="shared" si="487"/>
        <v>Below the LinePREP</v>
      </c>
      <c r="C1129" t="s">
        <v>20</v>
      </c>
      <c r="D1129" t="s">
        <v>19</v>
      </c>
      <c r="E1129" t="s">
        <v>234</v>
      </c>
      <c r="F1129" t="s">
        <v>5396</v>
      </c>
      <c r="G1129" t="s">
        <v>686</v>
      </c>
      <c r="I1129" s="10"/>
      <c r="J1129" s="107">
        <f>SUMIF(Data!C:C,G1129,Data!Q:Q)</f>
        <v>36000</v>
      </c>
      <c r="K1129" s="107">
        <f>SUMIF(Comprometidos!A:A,'Cost Report'!G1129,Comprometidos!E:E)</f>
        <v>0</v>
      </c>
      <c r="L1129" s="107">
        <f t="shared" si="473"/>
        <v>36000</v>
      </c>
      <c r="M1129" s="107">
        <f t="shared" si="474"/>
        <v>0</v>
      </c>
      <c r="N1129" s="107">
        <f t="shared" si="475"/>
        <v>36000</v>
      </c>
      <c r="O1129" s="107">
        <f>VLOOKUP(G1129,Budget!$E$3:$G$2474,3,0)</f>
        <v>36000</v>
      </c>
      <c r="P1129" s="107">
        <f t="shared" si="476"/>
        <v>0</v>
      </c>
      <c r="Q1129" s="107"/>
      <c r="R1129" s="10"/>
      <c r="S1129" s="107">
        <v>36000</v>
      </c>
      <c r="T1129" s="107">
        <f t="shared" si="480"/>
        <v>0</v>
      </c>
      <c r="U1129" s="107"/>
      <c r="V1129" s="175"/>
      <c r="W1129" s="10"/>
      <c r="X1129" s="10"/>
      <c r="Y1129" t="str">
        <f t="shared" si="488"/>
        <v>2802</v>
      </c>
      <c r="AB1129" s="10"/>
      <c r="AC1129" s="10"/>
      <c r="AD1129" s="10"/>
      <c r="AE1129" s="10"/>
      <c r="AF1129" s="10"/>
      <c r="AG1129" s="10"/>
      <c r="AH1129" s="10"/>
      <c r="AI1129" s="10"/>
    </row>
    <row r="1130" spans="1:35">
      <c r="A1130" s="10"/>
      <c r="B1130" s="10" t="str">
        <f t="shared" si="487"/>
        <v>Below the LineSHOOT</v>
      </c>
      <c r="C1130" t="s">
        <v>20</v>
      </c>
      <c r="D1130" t="s">
        <v>19</v>
      </c>
      <c r="E1130" t="s">
        <v>236</v>
      </c>
      <c r="F1130" t="s">
        <v>5396</v>
      </c>
      <c r="G1130" t="s">
        <v>687</v>
      </c>
      <c r="I1130" s="10"/>
      <c r="J1130" s="107">
        <f>SUMIF(Data!C:C,G1130,Data!Q:Q)</f>
        <v>84000</v>
      </c>
      <c r="K1130" s="107">
        <f>SUMIF(Comprometidos!A:A,'Cost Report'!G1130,Comprometidos!E:E)</f>
        <v>0</v>
      </c>
      <c r="L1130" s="107">
        <f t="shared" si="473"/>
        <v>84000</v>
      </c>
      <c r="M1130" s="107">
        <f t="shared" si="474"/>
        <v>0</v>
      </c>
      <c r="N1130" s="107">
        <f t="shared" si="475"/>
        <v>84000</v>
      </c>
      <c r="O1130" s="107">
        <f>VLOOKUP(G1130,Budget!$E$3:$G$2474,3,0)</f>
        <v>84000</v>
      </c>
      <c r="P1130" s="107">
        <f t="shared" si="476"/>
        <v>0</v>
      </c>
      <c r="Q1130" s="107"/>
      <c r="R1130" s="10"/>
      <c r="S1130" s="107">
        <v>84000</v>
      </c>
      <c r="T1130" s="107">
        <f t="shared" si="480"/>
        <v>0</v>
      </c>
      <c r="U1130" s="107"/>
      <c r="V1130" s="175"/>
      <c r="W1130" s="10"/>
      <c r="X1130" s="10"/>
      <c r="Y1130" t="str">
        <f t="shared" si="488"/>
        <v>2802</v>
      </c>
      <c r="AB1130" s="10"/>
      <c r="AC1130" s="10"/>
      <c r="AD1130" s="10"/>
      <c r="AE1130" s="10"/>
      <c r="AF1130" s="10"/>
      <c r="AG1130" s="10"/>
      <c r="AH1130" s="10"/>
      <c r="AI1130" s="10"/>
    </row>
    <row r="1131" spans="1:35">
      <c r="A1131" s="10"/>
      <c r="B1131" s="10" t="str">
        <f t="shared" si="487"/>
        <v>Below the LineWRAP</v>
      </c>
      <c r="C1131" t="s">
        <v>20</v>
      </c>
      <c r="D1131" t="s">
        <v>19</v>
      </c>
      <c r="E1131" t="s">
        <v>238</v>
      </c>
      <c r="F1131" t="s">
        <v>5396</v>
      </c>
      <c r="G1131" t="s">
        <v>688</v>
      </c>
      <c r="I1131" s="10"/>
      <c r="J1131" s="107">
        <f>SUMIF(Data!C:C,G1131,Data!Q:Q)</f>
        <v>0</v>
      </c>
      <c r="K1131" s="107">
        <f>SUMIF(Comprometidos!A:A,'Cost Report'!G1131,Comprometidos!E:E)</f>
        <v>0</v>
      </c>
      <c r="L1131" s="107">
        <f t="shared" si="473"/>
        <v>0</v>
      </c>
      <c r="M1131" s="107">
        <f t="shared" si="474"/>
        <v>0</v>
      </c>
      <c r="N1131" s="107">
        <f t="shared" si="475"/>
        <v>0</v>
      </c>
      <c r="O1131" s="107">
        <f>VLOOKUP(G1131,Budget!$E$3:$G$2474,3,0)</f>
        <v>0</v>
      </c>
      <c r="P1131" s="107">
        <f t="shared" si="476"/>
        <v>0</v>
      </c>
      <c r="Q1131" s="107"/>
      <c r="R1131" s="10"/>
      <c r="S1131" s="107">
        <v>0</v>
      </c>
      <c r="T1131" s="107">
        <f t="shared" si="480"/>
        <v>0</v>
      </c>
      <c r="U1131" s="107"/>
      <c r="V1131" s="175"/>
      <c r="W1131" s="10"/>
      <c r="X1131" s="10"/>
      <c r="Y1131" t="str">
        <f t="shared" si="488"/>
        <v>2802</v>
      </c>
      <c r="AB1131" s="10"/>
      <c r="AC1131" s="10"/>
      <c r="AD1131" s="10"/>
      <c r="AE1131" s="10"/>
      <c r="AF1131" s="10"/>
      <c r="AG1131" s="10"/>
      <c r="AH1131" s="10"/>
      <c r="AI1131" s="10"/>
    </row>
    <row r="1132" spans="1:35">
      <c r="A1132" s="10"/>
      <c r="B1132" s="10" t="str">
        <f t="shared" si="487"/>
        <v>Below the Line</v>
      </c>
      <c r="C1132" t="s">
        <v>20</v>
      </c>
      <c r="D1132" t="s">
        <v>19</v>
      </c>
      <c r="E1132" t="s">
        <v>214</v>
      </c>
      <c r="F1132" t="s">
        <v>5396</v>
      </c>
      <c r="G1132" t="s">
        <v>689</v>
      </c>
      <c r="I1132" s="10"/>
      <c r="J1132" s="107">
        <f>SUMIF(Data!C:C,G1132,Data!Q:Q)</f>
        <v>0</v>
      </c>
      <c r="K1132" s="107">
        <f>SUMIF(Comprometidos!A:A,'Cost Report'!G1132,Comprometidos!E:E)</f>
        <v>0</v>
      </c>
      <c r="L1132" s="107">
        <f t="shared" si="473"/>
        <v>0</v>
      </c>
      <c r="M1132" s="107">
        <f t="shared" si="474"/>
        <v>0</v>
      </c>
      <c r="N1132" s="107">
        <f t="shared" si="475"/>
        <v>0</v>
      </c>
      <c r="O1132" s="107">
        <f>VLOOKUP(G1132,Budget!$E$3:$G$2474,3,0)</f>
        <v>0</v>
      </c>
      <c r="P1132" s="107">
        <f t="shared" si="476"/>
        <v>0</v>
      </c>
      <c r="Q1132" s="107"/>
      <c r="R1132" s="10"/>
      <c r="S1132" s="107">
        <v>0</v>
      </c>
      <c r="T1132" s="107">
        <f t="shared" si="480"/>
        <v>0</v>
      </c>
      <c r="U1132" s="107"/>
      <c r="V1132" s="175"/>
      <c r="W1132" s="10"/>
      <c r="X1132" s="10"/>
      <c r="Y1132" t="str">
        <f t="shared" si="488"/>
        <v>2802</v>
      </c>
      <c r="AB1132" s="10"/>
      <c r="AC1132" s="10"/>
      <c r="AD1132" s="10"/>
      <c r="AE1132" s="10"/>
      <c r="AF1132" s="10"/>
      <c r="AG1132" s="10"/>
      <c r="AH1132" s="10"/>
      <c r="AI1132" s="10"/>
    </row>
    <row r="1133" spans="1:35">
      <c r="A1133" s="10"/>
      <c r="B1133" s="10" t="str">
        <f t="shared" si="487"/>
        <v>Below the LinePREP</v>
      </c>
      <c r="C1133" t="s">
        <v>20</v>
      </c>
      <c r="D1133" t="s">
        <v>19</v>
      </c>
      <c r="E1133" t="s">
        <v>234</v>
      </c>
      <c r="F1133" t="s">
        <v>5396</v>
      </c>
      <c r="G1133" t="s">
        <v>690</v>
      </c>
      <c r="I1133" s="10"/>
      <c r="J1133" s="107">
        <f>SUMIF(Data!C:C,G1133,Data!Q:Q)</f>
        <v>10500</v>
      </c>
      <c r="K1133" s="107">
        <f>SUMIF(Comprometidos!A:A,'Cost Report'!G1133,Comprometidos!E:E)</f>
        <v>0</v>
      </c>
      <c r="L1133" s="107">
        <f t="shared" si="473"/>
        <v>10500</v>
      </c>
      <c r="M1133" s="107">
        <v>0</v>
      </c>
      <c r="N1133" s="107">
        <f t="shared" si="475"/>
        <v>10500</v>
      </c>
      <c r="O1133" s="107">
        <f>VLOOKUP(G1133,Budget!$E$3:$G$2474,3,0)</f>
        <v>10300</v>
      </c>
      <c r="P1133" s="107">
        <f t="shared" si="476"/>
        <v>-200</v>
      </c>
      <c r="Q1133" s="107"/>
      <c r="R1133" s="10"/>
      <c r="S1133" s="107">
        <v>10500</v>
      </c>
      <c r="T1133" s="107">
        <f t="shared" si="480"/>
        <v>0</v>
      </c>
      <c r="U1133" s="107"/>
      <c r="V1133" s="175"/>
      <c r="W1133" s="10"/>
      <c r="X1133" s="10"/>
      <c r="Y1133" t="str">
        <f t="shared" si="488"/>
        <v>2802</v>
      </c>
      <c r="AB1133" s="10"/>
      <c r="AC1133" s="10"/>
      <c r="AD1133" s="10"/>
      <c r="AE1133" s="10"/>
      <c r="AF1133" s="10"/>
      <c r="AG1133" s="10"/>
      <c r="AH1133" s="10"/>
      <c r="AI1133" s="10"/>
    </row>
    <row r="1134" spans="1:35">
      <c r="A1134" s="10"/>
      <c r="B1134" s="10" t="str">
        <f t="shared" si="487"/>
        <v>Below the LineSHOOT</v>
      </c>
      <c r="C1134" t="s">
        <v>20</v>
      </c>
      <c r="D1134" t="s">
        <v>19</v>
      </c>
      <c r="E1134" t="s">
        <v>236</v>
      </c>
      <c r="F1134" t="s">
        <v>5396</v>
      </c>
      <c r="G1134" t="s">
        <v>691</v>
      </c>
      <c r="I1134" s="10"/>
      <c r="J1134" s="107">
        <f>SUMIF(Data!C:C,G1134,Data!Q:Q)</f>
        <v>71900</v>
      </c>
      <c r="K1134" s="107">
        <f>SUMIF(Comprometidos!A:A,'Cost Report'!G1134,Comprometidos!E:E)</f>
        <v>0</v>
      </c>
      <c r="L1134" s="107">
        <f t="shared" si="473"/>
        <v>71900</v>
      </c>
      <c r="M1134" s="107">
        <v>0</v>
      </c>
      <c r="N1134" s="107">
        <f t="shared" si="475"/>
        <v>71900</v>
      </c>
      <c r="O1134" s="107">
        <f>VLOOKUP(G1134,Budget!$E$3:$G$2474,3,0)</f>
        <v>72100</v>
      </c>
      <c r="P1134" s="107">
        <f t="shared" si="476"/>
        <v>200</v>
      </c>
      <c r="Q1134" s="107"/>
      <c r="R1134" s="10"/>
      <c r="S1134" s="107">
        <v>71900</v>
      </c>
      <c r="T1134" s="107">
        <f t="shared" si="480"/>
        <v>0</v>
      </c>
      <c r="U1134" s="107"/>
      <c r="V1134" s="175"/>
      <c r="W1134" s="10"/>
      <c r="X1134" s="10"/>
      <c r="Y1134" t="str">
        <f t="shared" si="488"/>
        <v>2802</v>
      </c>
      <c r="AB1134" s="10"/>
      <c r="AC1134" s="10"/>
      <c r="AD1134" s="10"/>
      <c r="AE1134" s="10"/>
      <c r="AF1134" s="10"/>
      <c r="AG1134" s="10"/>
      <c r="AH1134" s="10"/>
      <c r="AI1134" s="10"/>
    </row>
    <row r="1135" spans="1:35">
      <c r="A1135" s="10"/>
      <c r="B1135" s="10" t="str">
        <f t="shared" si="487"/>
        <v>Below the Line</v>
      </c>
      <c r="C1135" t="s">
        <v>20</v>
      </c>
      <c r="D1135" t="s">
        <v>19</v>
      </c>
      <c r="E1135" t="s">
        <v>214</v>
      </c>
      <c r="F1135" t="s">
        <v>5396</v>
      </c>
      <c r="G1135" t="s">
        <v>1531</v>
      </c>
      <c r="I1135" s="10"/>
      <c r="J1135" s="107">
        <f>SUMIF(Data!C:C,G1135,Data!Q:Q)</f>
        <v>0</v>
      </c>
      <c r="K1135" s="107">
        <f>SUMIF(Comprometidos!A:A,'Cost Report'!G1135,Comprometidos!E:E)</f>
        <v>0</v>
      </c>
      <c r="L1135" s="107">
        <f t="shared" si="473"/>
        <v>0</v>
      </c>
      <c r="M1135" s="107">
        <f t="shared" si="474"/>
        <v>0</v>
      </c>
      <c r="N1135" s="107">
        <f t="shared" si="475"/>
        <v>0</v>
      </c>
      <c r="O1135" s="107">
        <f>VLOOKUP(G1135,Budget!$E$3:$G$2474,3,0)</f>
        <v>0</v>
      </c>
      <c r="P1135" s="107">
        <f t="shared" si="476"/>
        <v>0</v>
      </c>
      <c r="Q1135" s="107"/>
      <c r="R1135" s="10"/>
      <c r="S1135" s="107">
        <v>0</v>
      </c>
      <c r="T1135" s="107">
        <f t="shared" si="480"/>
        <v>0</v>
      </c>
      <c r="U1135" s="107"/>
      <c r="V1135" s="175"/>
      <c r="W1135" s="10"/>
      <c r="X1135" s="10"/>
      <c r="Y1135" t="str">
        <f t="shared" si="488"/>
        <v>2802</v>
      </c>
      <c r="AB1135" s="10"/>
      <c r="AC1135" s="10"/>
      <c r="AD1135" s="10"/>
      <c r="AE1135" s="10"/>
      <c r="AF1135" s="10"/>
      <c r="AG1135" s="10"/>
      <c r="AH1135" s="10"/>
      <c r="AI1135" s="10"/>
    </row>
    <row r="1136" spans="1:35">
      <c r="A1136" s="10"/>
      <c r="B1136" s="10" t="str">
        <f t="shared" si="487"/>
        <v>Below the Line2nd Unit</v>
      </c>
      <c r="C1136" t="s">
        <v>20</v>
      </c>
      <c r="D1136" t="s">
        <v>19</v>
      </c>
      <c r="E1136" t="s">
        <v>1419</v>
      </c>
      <c r="F1136" t="s">
        <v>5396</v>
      </c>
      <c r="G1136" t="s">
        <v>1532</v>
      </c>
      <c r="I1136" s="10"/>
      <c r="J1136" s="107">
        <f>SUMIF(Data!C:C,G1136,Data!Q:Q)</f>
        <v>8000</v>
      </c>
      <c r="K1136" s="107">
        <f>SUMIF(Comprometidos!A:A,'Cost Report'!G1136,Comprometidos!E:E)</f>
        <v>0</v>
      </c>
      <c r="L1136" s="107">
        <f t="shared" si="473"/>
        <v>8000</v>
      </c>
      <c r="M1136" s="107">
        <v>0</v>
      </c>
      <c r="N1136" s="107">
        <f t="shared" si="475"/>
        <v>8000</v>
      </c>
      <c r="O1136" s="107">
        <f>VLOOKUP(G1136,Budget!$E$3:$G$2474,3,0)</f>
        <v>9000</v>
      </c>
      <c r="P1136" s="107">
        <f t="shared" si="476"/>
        <v>1000</v>
      </c>
      <c r="Q1136" s="107"/>
      <c r="R1136" s="10"/>
      <c r="S1136" s="107">
        <v>8000</v>
      </c>
      <c r="T1136" s="107">
        <f t="shared" si="480"/>
        <v>0</v>
      </c>
      <c r="U1136" s="107"/>
      <c r="V1136" s="175"/>
      <c r="W1136" s="10"/>
      <c r="X1136" s="10"/>
      <c r="Y1136" t="str">
        <f t="shared" si="488"/>
        <v>2802</v>
      </c>
      <c r="AB1136" s="10"/>
      <c r="AC1136" s="10"/>
      <c r="AD1136" s="10"/>
      <c r="AE1136" s="10"/>
      <c r="AF1136" s="10"/>
      <c r="AG1136" s="10"/>
      <c r="AH1136" s="10"/>
      <c r="AI1136" s="10"/>
    </row>
    <row r="1137" spans="1:35">
      <c r="A1137" s="10"/>
      <c r="B1137" s="10" t="str">
        <f t="shared" si="487"/>
        <v>Below the Line2nd Unit</v>
      </c>
      <c r="C1137" t="s">
        <v>20</v>
      </c>
      <c r="D1137" t="s">
        <v>19</v>
      </c>
      <c r="E1137" t="s">
        <v>1419</v>
      </c>
      <c r="F1137" t="s">
        <v>5396</v>
      </c>
      <c r="G1137" t="s">
        <v>1533</v>
      </c>
      <c r="I1137" s="10"/>
      <c r="J1137" s="107">
        <f>SUMIF(Data!C:C,G1137,Data!Q:Q)</f>
        <v>16000</v>
      </c>
      <c r="K1137" s="107">
        <f>SUMIF(Comprometidos!A:A,'Cost Report'!G1137,Comprometidos!E:E)</f>
        <v>0</v>
      </c>
      <c r="L1137" s="107">
        <f t="shared" si="473"/>
        <v>16000</v>
      </c>
      <c r="M1137" s="107">
        <v>0</v>
      </c>
      <c r="N1137" s="107">
        <f t="shared" si="475"/>
        <v>16000</v>
      </c>
      <c r="O1137" s="107">
        <f>VLOOKUP(G1137,Budget!$E$3:$G$2474,3,0)</f>
        <v>18000</v>
      </c>
      <c r="P1137" s="107">
        <f t="shared" si="476"/>
        <v>2000</v>
      </c>
      <c r="Q1137" s="107"/>
      <c r="R1137" s="10"/>
      <c r="S1137" s="107">
        <v>16000</v>
      </c>
      <c r="T1137" s="107">
        <f t="shared" si="480"/>
        <v>0</v>
      </c>
      <c r="U1137" s="107"/>
      <c r="V1137" s="175"/>
      <c r="W1137" s="10"/>
      <c r="X1137" s="10"/>
      <c r="Y1137" t="str">
        <f t="shared" si="488"/>
        <v>2802</v>
      </c>
      <c r="AB1137" s="10"/>
      <c r="AC1137" s="10"/>
      <c r="AD1137" s="10"/>
      <c r="AE1137" s="10"/>
      <c r="AF1137" s="10"/>
      <c r="AG1137" s="10"/>
      <c r="AH1137" s="10"/>
      <c r="AI1137" s="10"/>
    </row>
    <row r="1138" spans="1:35">
      <c r="A1138" s="10"/>
      <c r="B1138" s="10" t="str">
        <f t="shared" si="487"/>
        <v>Below the Line2nd Unit</v>
      </c>
      <c r="C1138" t="s">
        <v>20</v>
      </c>
      <c r="D1138" t="s">
        <v>19</v>
      </c>
      <c r="E1138" t="s">
        <v>1419</v>
      </c>
      <c r="F1138" t="s">
        <v>5396</v>
      </c>
      <c r="G1138" t="s">
        <v>2605</v>
      </c>
      <c r="I1138" s="10"/>
      <c r="J1138" s="107">
        <f>SUMIF(Data!C:C,G1138,Data!Q:Q)</f>
        <v>0</v>
      </c>
      <c r="K1138" s="107">
        <f>SUMIF(Comprometidos!A:A,'Cost Report'!G1138,Comprometidos!E:E)</f>
        <v>0</v>
      </c>
      <c r="L1138" s="107">
        <f t="shared" si="473"/>
        <v>0</v>
      </c>
      <c r="M1138" s="107">
        <f t="shared" si="474"/>
        <v>0</v>
      </c>
      <c r="N1138" s="107">
        <f t="shared" si="475"/>
        <v>0</v>
      </c>
      <c r="O1138" s="107">
        <f>VLOOKUP(G1138,Budget!$E$3:$G$2474,3,0)</f>
        <v>0</v>
      </c>
      <c r="P1138" s="107">
        <f t="shared" si="476"/>
        <v>0</v>
      </c>
      <c r="Q1138" s="107"/>
      <c r="R1138" s="10"/>
      <c r="S1138" s="107">
        <v>0</v>
      </c>
      <c r="T1138" s="107">
        <f t="shared" si="480"/>
        <v>0</v>
      </c>
      <c r="U1138" s="107"/>
      <c r="V1138" s="175"/>
      <c r="W1138" s="10"/>
      <c r="X1138" s="10"/>
      <c r="Y1138" t="str">
        <f t="shared" si="488"/>
        <v>2802</v>
      </c>
      <c r="AB1138" s="10"/>
      <c r="AC1138" s="10"/>
      <c r="AD1138" s="10"/>
      <c r="AE1138" s="10"/>
      <c r="AF1138" s="10"/>
      <c r="AG1138" s="10"/>
      <c r="AH1138" s="10"/>
      <c r="AI1138" s="10"/>
    </row>
    <row r="1139" spans="1:35">
      <c r="A1139" s="10"/>
      <c r="B1139" s="10" t="str">
        <f t="shared" si="487"/>
        <v>Below the Line</v>
      </c>
      <c r="C1139" t="s">
        <v>20</v>
      </c>
      <c r="D1139" t="s">
        <v>19</v>
      </c>
      <c r="E1139" t="s">
        <v>214</v>
      </c>
      <c r="F1139" t="s">
        <v>5396</v>
      </c>
      <c r="G1139" t="s">
        <v>2606</v>
      </c>
      <c r="I1139" s="10"/>
      <c r="J1139" s="107">
        <f>SUMIF(Data!C:C,G1139,Data!Q:Q)</f>
        <v>0</v>
      </c>
      <c r="K1139" s="107">
        <f>SUMIF(Comprometidos!A:A,'Cost Report'!G1139,Comprometidos!E:E)</f>
        <v>0</v>
      </c>
      <c r="L1139" s="107">
        <f t="shared" si="473"/>
        <v>0</v>
      </c>
      <c r="M1139" s="107">
        <f t="shared" si="474"/>
        <v>0</v>
      </c>
      <c r="N1139" s="107">
        <f t="shared" si="475"/>
        <v>0</v>
      </c>
      <c r="O1139" s="107">
        <f>VLOOKUP(G1139,Budget!$E$3:$G$2474,3,0)</f>
        <v>0</v>
      </c>
      <c r="P1139" s="107">
        <f t="shared" si="476"/>
        <v>0</v>
      </c>
      <c r="Q1139" s="107"/>
      <c r="R1139" s="10"/>
      <c r="S1139" s="107">
        <v>0</v>
      </c>
      <c r="T1139" s="107">
        <f t="shared" si="480"/>
        <v>0</v>
      </c>
      <c r="U1139" s="107"/>
      <c r="V1139" s="175"/>
      <c r="W1139" s="10"/>
      <c r="X1139" s="10"/>
      <c r="Y1139" t="str">
        <f t="shared" si="488"/>
        <v>2802</v>
      </c>
      <c r="AB1139" s="10"/>
      <c r="AC1139" s="10"/>
      <c r="AD1139" s="10"/>
      <c r="AE1139" s="10"/>
      <c r="AF1139" s="10"/>
      <c r="AG1139" s="10"/>
      <c r="AH1139" s="10"/>
      <c r="AI1139" s="10"/>
    </row>
    <row r="1140" spans="1:35">
      <c r="A1140" s="10"/>
      <c r="B1140" s="10" t="str">
        <f t="shared" si="487"/>
        <v>Below the Line2nd Unit</v>
      </c>
      <c r="C1140" t="s">
        <v>20</v>
      </c>
      <c r="D1140" t="s">
        <v>19</v>
      </c>
      <c r="E1140" t="s">
        <v>1419</v>
      </c>
      <c r="F1140" t="s">
        <v>5396</v>
      </c>
      <c r="G1140" t="s">
        <v>2607</v>
      </c>
      <c r="I1140" s="10"/>
      <c r="J1140" s="107">
        <f>SUMIF(Data!C:C,G1140,Data!Q:Q)</f>
        <v>9000</v>
      </c>
      <c r="K1140" s="107">
        <f>SUMIF(Comprometidos!A:A,'Cost Report'!G1140,Comprometidos!E:E)</f>
        <v>0</v>
      </c>
      <c r="L1140" s="107">
        <f t="shared" si="473"/>
        <v>9000</v>
      </c>
      <c r="M1140" s="107">
        <v>0</v>
      </c>
      <c r="N1140" s="107">
        <f t="shared" si="475"/>
        <v>9000</v>
      </c>
      <c r="O1140" s="107">
        <f>VLOOKUP(G1140,Budget!$E$3:$G$2474,3,0)</f>
        <v>8000</v>
      </c>
      <c r="P1140" s="107">
        <f t="shared" si="476"/>
        <v>-1000</v>
      </c>
      <c r="Q1140" s="107"/>
      <c r="R1140" s="10"/>
      <c r="S1140" s="107">
        <v>9000</v>
      </c>
      <c r="T1140" s="107">
        <f t="shared" si="480"/>
        <v>0</v>
      </c>
      <c r="U1140" s="107"/>
      <c r="V1140" s="175"/>
      <c r="W1140" s="10"/>
      <c r="X1140" s="10"/>
      <c r="Y1140" t="str">
        <f t="shared" si="488"/>
        <v>2802</v>
      </c>
      <c r="AB1140" s="10"/>
      <c r="AC1140" s="10"/>
      <c r="AD1140" s="10"/>
      <c r="AE1140" s="10"/>
      <c r="AF1140" s="10"/>
      <c r="AG1140" s="10"/>
      <c r="AH1140" s="10"/>
      <c r="AI1140" s="10"/>
    </row>
    <row r="1141" spans="1:35">
      <c r="A1141" s="10"/>
      <c r="B1141" s="10" t="str">
        <f t="shared" si="487"/>
        <v>Below the Line2nd Unit</v>
      </c>
      <c r="C1141" t="s">
        <v>20</v>
      </c>
      <c r="D1141" t="s">
        <v>19</v>
      </c>
      <c r="E1141" t="s">
        <v>1419</v>
      </c>
      <c r="F1141" t="s">
        <v>5396</v>
      </c>
      <c r="G1141" t="s">
        <v>2608</v>
      </c>
      <c r="I1141" s="10"/>
      <c r="J1141" s="107">
        <f>SUMIF(Data!C:C,G1141,Data!Q:Q)</f>
        <v>18000</v>
      </c>
      <c r="K1141" s="107">
        <f>SUMIF(Comprometidos!A:A,'Cost Report'!G1141,Comprometidos!E:E)</f>
        <v>0</v>
      </c>
      <c r="L1141" s="107">
        <f t="shared" si="473"/>
        <v>18000</v>
      </c>
      <c r="M1141" s="107">
        <v>0</v>
      </c>
      <c r="N1141" s="107">
        <f t="shared" si="475"/>
        <v>18000</v>
      </c>
      <c r="O1141" s="107">
        <f>VLOOKUP(G1141,Budget!$E$3:$G$2474,3,0)</f>
        <v>16000</v>
      </c>
      <c r="P1141" s="107">
        <f t="shared" si="476"/>
        <v>-2000</v>
      </c>
      <c r="Q1141" s="107"/>
      <c r="R1141" s="10"/>
      <c r="S1141" s="107">
        <v>18000</v>
      </c>
      <c r="T1141" s="107">
        <f t="shared" si="480"/>
        <v>0</v>
      </c>
      <c r="U1141" s="107"/>
      <c r="V1141" s="175"/>
      <c r="W1141" s="10"/>
      <c r="X1141" s="10"/>
      <c r="Y1141" t="str">
        <f t="shared" si="488"/>
        <v>2802</v>
      </c>
      <c r="AB1141" s="10"/>
      <c r="AC1141" s="10"/>
      <c r="AD1141" s="10"/>
      <c r="AE1141" s="10"/>
      <c r="AF1141" s="10"/>
      <c r="AG1141" s="10"/>
      <c r="AH1141" s="10"/>
      <c r="AI1141" s="10"/>
    </row>
    <row r="1142" spans="1:35">
      <c r="A1142" s="10"/>
      <c r="B1142" s="10" t="str">
        <f t="shared" si="487"/>
        <v>Below the Line2nd Unit</v>
      </c>
      <c r="C1142" t="s">
        <v>20</v>
      </c>
      <c r="D1142" t="s">
        <v>19</v>
      </c>
      <c r="E1142" t="s">
        <v>1419</v>
      </c>
      <c r="F1142" t="s">
        <v>5396</v>
      </c>
      <c r="G1142" t="s">
        <v>2609</v>
      </c>
      <c r="I1142" s="10"/>
      <c r="J1142" s="107">
        <f>SUMIF(Data!C:C,G1142,Data!Q:Q)</f>
        <v>0</v>
      </c>
      <c r="K1142" s="107">
        <f>SUMIF(Comprometidos!A:A,'Cost Report'!G1142,Comprometidos!E:E)</f>
        <v>0</v>
      </c>
      <c r="L1142" s="107">
        <f t="shared" si="473"/>
        <v>0</v>
      </c>
      <c r="M1142" s="107">
        <f t="shared" si="474"/>
        <v>0</v>
      </c>
      <c r="N1142" s="107">
        <f t="shared" si="475"/>
        <v>0</v>
      </c>
      <c r="O1142" s="107">
        <f>VLOOKUP(G1142,Budget!$E$3:$G$2474,3,0)</f>
        <v>0</v>
      </c>
      <c r="P1142" s="107">
        <f t="shared" si="476"/>
        <v>0</v>
      </c>
      <c r="Q1142" s="107"/>
      <c r="R1142" s="10"/>
      <c r="S1142" s="107">
        <v>0</v>
      </c>
      <c r="T1142" s="107">
        <f t="shared" si="480"/>
        <v>0</v>
      </c>
      <c r="U1142" s="107"/>
      <c r="V1142" s="175"/>
      <c r="W1142" s="10"/>
      <c r="X1142" s="10"/>
      <c r="Y1142" t="str">
        <f t="shared" si="488"/>
        <v>2802</v>
      </c>
      <c r="AB1142" s="10"/>
      <c r="AC1142" s="10"/>
      <c r="AD1142" s="10"/>
      <c r="AE1142" s="10"/>
      <c r="AF1142" s="10"/>
      <c r="AG1142" s="10"/>
      <c r="AH1142" s="10"/>
      <c r="AI1142" s="10"/>
    </row>
    <row r="1143" spans="1:35">
      <c r="A1143" s="10"/>
      <c r="B1143" s="10" t="str">
        <f>+C1143</f>
        <v>Below the Line</v>
      </c>
      <c r="C1143" s="128" t="s">
        <v>20</v>
      </c>
      <c r="D1143" s="128" t="s">
        <v>2117</v>
      </c>
      <c r="E1143" s="128"/>
      <c r="F1143" s="128"/>
      <c r="G1143" s="128" t="s">
        <v>692</v>
      </c>
      <c r="H1143" s="128"/>
      <c r="I1143" s="10"/>
      <c r="J1143" s="129">
        <f>SUMIF($Y$11:$Y$2484,G1143,J$11:J$2484)</f>
        <v>120000</v>
      </c>
      <c r="K1143" s="129">
        <f>SUMIF($Y$11:$Y$2484,G1143,K$11:K$2484)</f>
        <v>0</v>
      </c>
      <c r="L1143" s="129">
        <f>SUMIF($Y$11:$Y$2484,G1143,L$11:L$2484)</f>
        <v>120000</v>
      </c>
      <c r="M1143" s="129">
        <f>SUMIF($Y$11:$Y$2484,G1143,M$11:M$2484)</f>
        <v>0</v>
      </c>
      <c r="N1143" s="129">
        <f>SUMIF($Y$11:$Y$2484,G1143,N$11:N$2484)</f>
        <v>120000</v>
      </c>
      <c r="O1143" s="129">
        <f>SUMIF($Y$11:$Y$2484,G1143,O$11:O$2484)</f>
        <v>120000</v>
      </c>
      <c r="P1143" s="129">
        <f>SUMIF($Y$11:$Y$2484,G1143,P$11:P$2484)</f>
        <v>0</v>
      </c>
      <c r="Q1143" s="129"/>
      <c r="R1143" s="10"/>
      <c r="S1143" s="129">
        <v>120000</v>
      </c>
      <c r="T1143" s="129">
        <f t="shared" si="480"/>
        <v>0</v>
      </c>
      <c r="U1143" s="128"/>
      <c r="V1143" s="175"/>
      <c r="W1143" s="10"/>
      <c r="X1143" s="10"/>
      <c r="Z1143" t="str">
        <f>LEFT(G1143,2)</f>
        <v>28</v>
      </c>
      <c r="AA1143" t="str">
        <f>+Z1143&amp;"00"</f>
        <v>2800</v>
      </c>
      <c r="AB1143" s="10"/>
      <c r="AC1143" s="10"/>
      <c r="AD1143" s="10"/>
      <c r="AE1143" s="10"/>
      <c r="AF1143" s="10"/>
      <c r="AG1143" s="10"/>
      <c r="AH1143" s="10"/>
      <c r="AI1143" s="10"/>
    </row>
    <row r="1144" spans="1:35">
      <c r="A1144" s="10"/>
      <c r="B1144" s="10" t="str">
        <f t="shared" ref="B1144:B1147" si="489">+C1144&amp;E1144</f>
        <v>Below the Line</v>
      </c>
      <c r="C1144" t="s">
        <v>20</v>
      </c>
      <c r="D1144" t="s">
        <v>19</v>
      </c>
      <c r="E1144" t="s">
        <v>214</v>
      </c>
      <c r="G1144" t="s">
        <v>693</v>
      </c>
      <c r="I1144" s="10"/>
      <c r="J1144" s="107">
        <f>SUMIF(Data!C:C,G1144,Data!Q:Q)</f>
        <v>0</v>
      </c>
      <c r="K1144" s="107">
        <f>SUMIF(Comprometidos!A:A,'Cost Report'!G1144,Comprometidos!E:E)</f>
        <v>0</v>
      </c>
      <c r="L1144" s="107">
        <f t="shared" ref="L1144:L1160" si="490">+J1144+K1144</f>
        <v>0</v>
      </c>
      <c r="M1144" s="107">
        <f t="shared" ref="M1144:M1159" si="491">+O1144-L1144</f>
        <v>0</v>
      </c>
      <c r="N1144" s="107">
        <f t="shared" ref="N1144:N1160" si="492">+L1144+M1144</f>
        <v>0</v>
      </c>
      <c r="O1144" s="107">
        <f>VLOOKUP(G1144,Budget!$E$3:$G$2474,3,0)</f>
        <v>0</v>
      </c>
      <c r="P1144" s="107">
        <f t="shared" ref="P1144:P1160" si="493">+O1144-N1144</f>
        <v>0</v>
      </c>
      <c r="Q1144" s="107"/>
      <c r="R1144" s="10"/>
      <c r="S1144" s="107">
        <v>0</v>
      </c>
      <c r="T1144" s="107">
        <f t="shared" si="480"/>
        <v>0</v>
      </c>
      <c r="U1144" s="107"/>
      <c r="V1144" s="175"/>
      <c r="W1144" s="10"/>
      <c r="X1144" s="10"/>
      <c r="Y1144" t="str">
        <f t="shared" ref="Y1144:Y1147" si="494">LEFT(G1144,4)</f>
        <v>2804</v>
      </c>
      <c r="AB1144" s="10"/>
      <c r="AC1144" s="10"/>
      <c r="AD1144" s="10"/>
      <c r="AE1144" s="10"/>
      <c r="AF1144" s="10"/>
      <c r="AG1144" s="10"/>
      <c r="AH1144" s="10"/>
      <c r="AI1144" s="10"/>
    </row>
    <row r="1145" spans="1:35">
      <c r="A1145" s="10"/>
      <c r="B1145" s="10" t="str">
        <f t="shared" si="489"/>
        <v>Below the LinePREP</v>
      </c>
      <c r="C1145" t="s">
        <v>20</v>
      </c>
      <c r="D1145" t="s">
        <v>19</v>
      </c>
      <c r="E1145" t="s">
        <v>234</v>
      </c>
      <c r="G1145" t="s">
        <v>694</v>
      </c>
      <c r="I1145" s="10"/>
      <c r="J1145" s="107">
        <f>SUMIF(Data!C:C,G1145,Data!Q:Q)</f>
        <v>36000</v>
      </c>
      <c r="K1145" s="107">
        <f>SUMIF(Comprometidos!A:A,'Cost Report'!G1145,Comprometidos!E:E)</f>
        <v>0</v>
      </c>
      <c r="L1145" s="107">
        <f t="shared" si="490"/>
        <v>36000</v>
      </c>
      <c r="M1145" s="107">
        <f t="shared" si="491"/>
        <v>0</v>
      </c>
      <c r="N1145" s="107">
        <f t="shared" si="492"/>
        <v>36000</v>
      </c>
      <c r="O1145" s="107">
        <f>VLOOKUP(G1145,Budget!$E$3:$G$2474,3,0)</f>
        <v>36000</v>
      </c>
      <c r="P1145" s="107">
        <f t="shared" si="493"/>
        <v>0</v>
      </c>
      <c r="Q1145" s="107"/>
      <c r="R1145" s="10"/>
      <c r="S1145" s="107">
        <v>36000</v>
      </c>
      <c r="T1145" s="107">
        <f t="shared" si="480"/>
        <v>0</v>
      </c>
      <c r="U1145" s="107"/>
      <c r="V1145" s="175"/>
      <c r="W1145" s="10"/>
      <c r="X1145" s="10"/>
      <c r="Y1145" t="str">
        <f t="shared" si="494"/>
        <v>2804</v>
      </c>
      <c r="AB1145" s="10"/>
      <c r="AC1145" s="10"/>
      <c r="AD1145" s="10"/>
      <c r="AE1145" s="10"/>
      <c r="AF1145" s="10"/>
      <c r="AG1145" s="10"/>
      <c r="AH1145" s="10"/>
      <c r="AI1145" s="10"/>
    </row>
    <row r="1146" spans="1:35">
      <c r="A1146" s="10"/>
      <c r="B1146" s="10" t="str">
        <f t="shared" si="489"/>
        <v>Below the LineSHOOT</v>
      </c>
      <c r="C1146" t="s">
        <v>20</v>
      </c>
      <c r="D1146" t="s">
        <v>19</v>
      </c>
      <c r="E1146" t="s">
        <v>236</v>
      </c>
      <c r="G1146" t="s">
        <v>695</v>
      </c>
      <c r="I1146" s="10"/>
      <c r="J1146" s="107">
        <f>SUMIF(Data!C:C,G1146,Data!Q:Q)</f>
        <v>84000</v>
      </c>
      <c r="K1146" s="107">
        <f>SUMIF(Comprometidos!A:A,'Cost Report'!G1146,Comprometidos!E:E)</f>
        <v>0</v>
      </c>
      <c r="L1146" s="107">
        <f t="shared" si="490"/>
        <v>84000</v>
      </c>
      <c r="M1146" s="107">
        <f t="shared" si="491"/>
        <v>0</v>
      </c>
      <c r="N1146" s="107">
        <f t="shared" si="492"/>
        <v>84000</v>
      </c>
      <c r="O1146" s="107">
        <f>VLOOKUP(G1146,Budget!$E$3:$G$2474,3,0)</f>
        <v>84000</v>
      </c>
      <c r="P1146" s="107">
        <f t="shared" si="493"/>
        <v>0</v>
      </c>
      <c r="Q1146" s="107"/>
      <c r="R1146" s="10"/>
      <c r="S1146" s="107">
        <v>84000</v>
      </c>
      <c r="T1146" s="107">
        <f t="shared" si="480"/>
        <v>0</v>
      </c>
      <c r="U1146" s="107"/>
      <c r="V1146" s="175"/>
      <c r="W1146" s="10"/>
      <c r="X1146" s="10"/>
      <c r="Y1146" t="str">
        <f t="shared" si="494"/>
        <v>2804</v>
      </c>
      <c r="AB1146" s="10"/>
      <c r="AC1146" s="10"/>
      <c r="AD1146" s="10"/>
      <c r="AE1146" s="10"/>
      <c r="AF1146" s="10"/>
      <c r="AG1146" s="10"/>
      <c r="AH1146" s="10"/>
      <c r="AI1146" s="10"/>
    </row>
    <row r="1147" spans="1:35">
      <c r="A1147" s="10"/>
      <c r="B1147" s="10" t="str">
        <f t="shared" si="489"/>
        <v>Below the LineWRAP</v>
      </c>
      <c r="C1147" t="s">
        <v>20</v>
      </c>
      <c r="D1147" t="s">
        <v>19</v>
      </c>
      <c r="E1147" t="s">
        <v>238</v>
      </c>
      <c r="G1147" t="s">
        <v>2610</v>
      </c>
      <c r="I1147" s="10"/>
      <c r="J1147" s="107">
        <f>SUMIF(Data!C:C,G1147,Data!Q:Q)</f>
        <v>0</v>
      </c>
      <c r="K1147" s="107">
        <f>SUMIF(Comprometidos!A:A,'Cost Report'!G1147,Comprometidos!E:E)</f>
        <v>0</v>
      </c>
      <c r="L1147" s="107">
        <f t="shared" si="490"/>
        <v>0</v>
      </c>
      <c r="M1147" s="107">
        <f t="shared" si="491"/>
        <v>0</v>
      </c>
      <c r="N1147" s="107">
        <f t="shared" si="492"/>
        <v>0</v>
      </c>
      <c r="O1147" s="107">
        <f>VLOOKUP(G1147,Budget!$E$3:$G$2474,3,0)</f>
        <v>0</v>
      </c>
      <c r="P1147" s="107">
        <f t="shared" si="493"/>
        <v>0</v>
      </c>
      <c r="Q1147" s="107"/>
      <c r="R1147" s="10"/>
      <c r="S1147" s="107">
        <v>0</v>
      </c>
      <c r="T1147" s="107">
        <f t="shared" si="480"/>
        <v>0</v>
      </c>
      <c r="U1147" s="107"/>
      <c r="V1147" s="175"/>
      <c r="W1147" s="10"/>
      <c r="X1147" s="10"/>
      <c r="Y1147" t="str">
        <f t="shared" si="494"/>
        <v>2804</v>
      </c>
      <c r="AB1147" s="10"/>
      <c r="AC1147" s="10"/>
      <c r="AD1147" s="10"/>
      <c r="AE1147" s="10"/>
      <c r="AF1147" s="10"/>
      <c r="AG1147" s="10"/>
      <c r="AH1147" s="10"/>
      <c r="AI1147" s="10"/>
    </row>
    <row r="1148" spans="1:35">
      <c r="A1148" s="10"/>
      <c r="B1148" s="10" t="str">
        <f>+C1148</f>
        <v>Below the Line</v>
      </c>
      <c r="C1148" s="128" t="s">
        <v>20</v>
      </c>
      <c r="D1148" s="128" t="s">
        <v>2117</v>
      </c>
      <c r="E1148" s="128"/>
      <c r="F1148" s="128"/>
      <c r="G1148" s="128" t="s">
        <v>696</v>
      </c>
      <c r="H1148" s="128"/>
      <c r="I1148" s="10"/>
      <c r="J1148" s="129">
        <f>SUMIF($Y$11:$Y$2484,G1148,J$11:J$2484)</f>
        <v>149400</v>
      </c>
      <c r="K1148" s="129">
        <f>SUMIF($Y$11:$Y$2484,G1148,K$11:K$2484)</f>
        <v>0</v>
      </c>
      <c r="L1148" s="129">
        <f>SUMIF($Y$11:$Y$2484,G1148,L$11:L$2484)</f>
        <v>149400</v>
      </c>
      <c r="M1148" s="129">
        <f>SUMIF($Y$11:$Y$2484,G1148,M$11:M$2484)</f>
        <v>0</v>
      </c>
      <c r="N1148" s="129">
        <f>SUMIF($Y$11:$Y$2484,G1148,N$11:N$2484)</f>
        <v>149400</v>
      </c>
      <c r="O1148" s="129">
        <f>SUMIF($Y$11:$Y$2484,G1148,O$11:O$2484)</f>
        <v>159900</v>
      </c>
      <c r="P1148" s="129">
        <f>SUMIF($Y$11:$Y$2484,G1148,P$11:P$2484)</f>
        <v>10500</v>
      </c>
      <c r="Q1148" s="129"/>
      <c r="R1148" s="10"/>
      <c r="S1148" s="129">
        <v>149400</v>
      </c>
      <c r="T1148" s="129">
        <f t="shared" si="480"/>
        <v>0</v>
      </c>
      <c r="U1148" s="128"/>
      <c r="V1148" s="175"/>
      <c r="W1148" s="10"/>
      <c r="X1148" s="10"/>
      <c r="Z1148" t="str">
        <f>LEFT(G1148,2)</f>
        <v>28</v>
      </c>
      <c r="AA1148" t="str">
        <f>+Z1148&amp;"00"</f>
        <v>2800</v>
      </c>
      <c r="AB1148" s="10"/>
      <c r="AC1148" s="10"/>
      <c r="AD1148" s="10"/>
      <c r="AE1148" s="10"/>
      <c r="AF1148" s="10"/>
      <c r="AG1148" s="10"/>
      <c r="AH1148" s="10"/>
      <c r="AI1148" s="10"/>
    </row>
    <row r="1149" spans="1:35">
      <c r="A1149" s="10"/>
      <c r="B1149" s="10" t="str">
        <f t="shared" ref="B1149:B1160" si="495">+C1149&amp;E1149</f>
        <v>Below the Line</v>
      </c>
      <c r="C1149" t="s">
        <v>20</v>
      </c>
      <c r="D1149" t="s">
        <v>19</v>
      </c>
      <c r="E1149" t="s">
        <v>214</v>
      </c>
      <c r="G1149" t="s">
        <v>697</v>
      </c>
      <c r="I1149" s="10"/>
      <c r="J1149" s="107">
        <f>SUMIF(Data!C:C,G1149,Data!Q:Q)</f>
        <v>0</v>
      </c>
      <c r="K1149" s="107">
        <f>SUMIF(Comprometidos!A:A,'Cost Report'!G1149,Comprometidos!E:E)</f>
        <v>0</v>
      </c>
      <c r="L1149" s="107">
        <f t="shared" si="490"/>
        <v>0</v>
      </c>
      <c r="M1149" s="107">
        <f t="shared" si="491"/>
        <v>0</v>
      </c>
      <c r="N1149" s="107">
        <f t="shared" si="492"/>
        <v>0</v>
      </c>
      <c r="O1149" s="107">
        <f>VLOOKUP(G1149,Budget!$E$3:$G$2474,3,0)</f>
        <v>0</v>
      </c>
      <c r="P1149" s="107">
        <f t="shared" si="493"/>
        <v>0</v>
      </c>
      <c r="Q1149" s="107"/>
      <c r="R1149" s="10"/>
      <c r="S1149" s="107">
        <v>0</v>
      </c>
      <c r="T1149" s="107">
        <f t="shared" si="480"/>
        <v>0</v>
      </c>
      <c r="U1149" s="107"/>
      <c r="V1149" s="175"/>
      <c r="W1149" s="10"/>
      <c r="X1149" s="10"/>
      <c r="Y1149" t="str">
        <f t="shared" ref="Y1149:Y1160" si="496">LEFT(G1149,4)</f>
        <v>2805</v>
      </c>
      <c r="AB1149" s="10"/>
      <c r="AC1149" s="10"/>
      <c r="AD1149" s="10"/>
      <c r="AE1149" s="10"/>
      <c r="AF1149" s="10"/>
      <c r="AG1149" s="10"/>
      <c r="AH1149" s="10"/>
      <c r="AI1149" s="10"/>
    </row>
    <row r="1150" spans="1:35">
      <c r="A1150" s="10"/>
      <c r="B1150" s="10" t="str">
        <f t="shared" si="495"/>
        <v>Below the LinePREP</v>
      </c>
      <c r="C1150" t="s">
        <v>20</v>
      </c>
      <c r="D1150" t="s">
        <v>19</v>
      </c>
      <c r="E1150" t="s">
        <v>234</v>
      </c>
      <c r="G1150" t="s">
        <v>698</v>
      </c>
      <c r="I1150" s="10"/>
      <c r="J1150" s="107">
        <f>SUMIF(Data!C:C,G1150,Data!Q:Q)</f>
        <v>9300</v>
      </c>
      <c r="K1150" s="107">
        <f>SUMIF(Comprometidos!A:A,'Cost Report'!G1150,Comprometidos!E:E)</f>
        <v>0</v>
      </c>
      <c r="L1150" s="107">
        <f t="shared" si="490"/>
        <v>9300</v>
      </c>
      <c r="M1150" s="107">
        <f t="shared" si="491"/>
        <v>0</v>
      </c>
      <c r="N1150" s="107">
        <f t="shared" si="492"/>
        <v>9300</v>
      </c>
      <c r="O1150" s="107">
        <f>VLOOKUP(G1150,Budget!$E$3:$G$2474,3,0)</f>
        <v>9300</v>
      </c>
      <c r="P1150" s="107">
        <f t="shared" si="493"/>
        <v>0</v>
      </c>
      <c r="Q1150" s="107"/>
      <c r="R1150" s="10"/>
      <c r="S1150" s="107">
        <v>9300</v>
      </c>
      <c r="T1150" s="107">
        <f t="shared" si="480"/>
        <v>0</v>
      </c>
      <c r="U1150" s="107"/>
      <c r="V1150" s="175"/>
      <c r="W1150" s="10"/>
      <c r="X1150" s="10"/>
      <c r="Y1150" t="str">
        <f t="shared" si="496"/>
        <v>2805</v>
      </c>
      <c r="AB1150" s="10"/>
      <c r="AC1150" s="10"/>
      <c r="AD1150" s="10"/>
      <c r="AE1150" s="10"/>
      <c r="AF1150" s="10"/>
      <c r="AG1150" s="10"/>
      <c r="AH1150" s="10"/>
      <c r="AI1150" s="10"/>
    </row>
    <row r="1151" spans="1:35">
      <c r="A1151" s="10"/>
      <c r="B1151" s="10" t="str">
        <f t="shared" si="495"/>
        <v>Below the LineSHOOT</v>
      </c>
      <c r="C1151" t="s">
        <v>20</v>
      </c>
      <c r="D1151" t="s">
        <v>19</v>
      </c>
      <c r="E1151" t="s">
        <v>236</v>
      </c>
      <c r="G1151" t="s">
        <v>699</v>
      </c>
      <c r="I1151" s="10"/>
      <c r="J1151" s="107">
        <f>SUMIF(Data!C:C,G1151,Data!Q:Q)</f>
        <v>65100</v>
      </c>
      <c r="K1151" s="107">
        <f>SUMIF(Comprometidos!A:A,'Cost Report'!G1151,Comprometidos!E:E)</f>
        <v>0</v>
      </c>
      <c r="L1151" s="107">
        <f t="shared" si="490"/>
        <v>65100</v>
      </c>
      <c r="M1151" s="107">
        <f t="shared" si="491"/>
        <v>0</v>
      </c>
      <c r="N1151" s="107">
        <f t="shared" si="492"/>
        <v>65100</v>
      </c>
      <c r="O1151" s="107">
        <f>VLOOKUP(G1151,Budget!$E$3:$G$2474,3,0)</f>
        <v>65100</v>
      </c>
      <c r="P1151" s="107">
        <f t="shared" si="493"/>
        <v>0</v>
      </c>
      <c r="Q1151" s="107"/>
      <c r="R1151" s="10"/>
      <c r="S1151" s="107">
        <v>65100</v>
      </c>
      <c r="T1151" s="107">
        <f t="shared" si="480"/>
        <v>0</v>
      </c>
      <c r="U1151" s="107"/>
      <c r="V1151" s="175"/>
      <c r="W1151" s="10"/>
      <c r="X1151" s="10"/>
      <c r="Y1151" t="str">
        <f t="shared" si="496"/>
        <v>2805</v>
      </c>
      <c r="AB1151" s="10"/>
      <c r="AC1151" s="10"/>
      <c r="AD1151" s="10"/>
      <c r="AE1151" s="10"/>
      <c r="AF1151" s="10"/>
      <c r="AG1151" s="10"/>
      <c r="AH1151" s="10"/>
      <c r="AI1151" s="10"/>
    </row>
    <row r="1152" spans="1:35">
      <c r="A1152" s="10"/>
      <c r="B1152" s="10" t="str">
        <f t="shared" si="495"/>
        <v>Below the LineWRAP</v>
      </c>
      <c r="C1152" t="s">
        <v>20</v>
      </c>
      <c r="D1152" t="s">
        <v>19</v>
      </c>
      <c r="E1152" t="s">
        <v>238</v>
      </c>
      <c r="G1152" t="s">
        <v>700</v>
      </c>
      <c r="I1152" s="10"/>
      <c r="J1152" s="107">
        <f>SUMIF(Data!C:C,G1152,Data!Q:Q)</f>
        <v>0</v>
      </c>
      <c r="K1152" s="107">
        <f>SUMIF(Comprometidos!A:A,'Cost Report'!G1152,Comprometidos!E:E)</f>
        <v>0</v>
      </c>
      <c r="L1152" s="107">
        <f t="shared" si="490"/>
        <v>0</v>
      </c>
      <c r="M1152" s="107">
        <f t="shared" si="491"/>
        <v>0</v>
      </c>
      <c r="N1152" s="107">
        <f t="shared" si="492"/>
        <v>0</v>
      </c>
      <c r="O1152" s="107">
        <f>VLOOKUP(G1152,Budget!$E$3:$G$2474,3,0)</f>
        <v>0</v>
      </c>
      <c r="P1152" s="107">
        <f t="shared" si="493"/>
        <v>0</v>
      </c>
      <c r="Q1152" s="107"/>
      <c r="R1152" s="10"/>
      <c r="S1152" s="107">
        <v>0</v>
      </c>
      <c r="T1152" s="107">
        <f t="shared" si="480"/>
        <v>0</v>
      </c>
      <c r="U1152" s="107"/>
      <c r="V1152" s="175"/>
      <c r="W1152" s="10"/>
      <c r="X1152" s="10"/>
      <c r="Y1152" t="str">
        <f t="shared" si="496"/>
        <v>2805</v>
      </c>
      <c r="AB1152" s="10"/>
      <c r="AC1152" s="10"/>
      <c r="AD1152" s="10"/>
      <c r="AE1152" s="10"/>
      <c r="AF1152" s="10"/>
      <c r="AG1152" s="10"/>
      <c r="AH1152" s="10"/>
      <c r="AI1152" s="10"/>
    </row>
    <row r="1153" spans="1:35">
      <c r="A1153" s="10"/>
      <c r="B1153" s="10" t="str">
        <f t="shared" si="495"/>
        <v>Below the Line</v>
      </c>
      <c r="C1153" t="s">
        <v>20</v>
      </c>
      <c r="D1153" t="s">
        <v>19</v>
      </c>
      <c r="E1153" t="s">
        <v>214</v>
      </c>
      <c r="G1153" t="s">
        <v>701</v>
      </c>
      <c r="I1153" s="10"/>
      <c r="J1153" s="107">
        <f>SUMIF(Data!C:C,G1153,Data!Q:Q)</f>
        <v>0</v>
      </c>
      <c r="K1153" s="107">
        <f>SUMIF(Comprometidos!A:A,'Cost Report'!G1153,Comprometidos!E:E)</f>
        <v>0</v>
      </c>
      <c r="L1153" s="107">
        <f t="shared" si="490"/>
        <v>0</v>
      </c>
      <c r="M1153" s="107">
        <f t="shared" si="491"/>
        <v>0</v>
      </c>
      <c r="N1153" s="107">
        <f t="shared" si="492"/>
        <v>0</v>
      </c>
      <c r="O1153" s="107">
        <f>VLOOKUP(G1153,Budget!$E$3:$G$2474,3,0)</f>
        <v>0</v>
      </c>
      <c r="P1153" s="107">
        <f t="shared" si="493"/>
        <v>0</v>
      </c>
      <c r="Q1153" s="107"/>
      <c r="R1153" s="10"/>
      <c r="S1153" s="107">
        <v>0</v>
      </c>
      <c r="T1153" s="107">
        <f t="shared" si="480"/>
        <v>0</v>
      </c>
      <c r="U1153" s="107"/>
      <c r="V1153" s="175"/>
      <c r="W1153" s="10"/>
      <c r="X1153" s="10"/>
      <c r="Y1153" t="str">
        <f t="shared" si="496"/>
        <v>2805</v>
      </c>
      <c r="AB1153" s="10"/>
      <c r="AC1153" s="10"/>
      <c r="AD1153" s="10"/>
      <c r="AE1153" s="10"/>
      <c r="AF1153" s="10"/>
      <c r="AG1153" s="10"/>
      <c r="AH1153" s="10"/>
      <c r="AI1153" s="10"/>
    </row>
    <row r="1154" spans="1:35">
      <c r="A1154" s="10"/>
      <c r="B1154" s="10" t="str">
        <f t="shared" si="495"/>
        <v>Below the Line2nd Unit</v>
      </c>
      <c r="C1154" t="s">
        <v>20</v>
      </c>
      <c r="D1154" t="s">
        <v>19</v>
      </c>
      <c r="E1154" t="s">
        <v>1419</v>
      </c>
      <c r="G1154" t="s">
        <v>702</v>
      </c>
      <c r="I1154" s="10"/>
      <c r="J1154" s="107">
        <f>SUMIF(Data!C:C,G1154,Data!Q:Q)</f>
        <v>8000</v>
      </c>
      <c r="K1154" s="107">
        <f>SUMIF(Comprometidos!A:A,'Cost Report'!G1154,Comprometidos!E:E)</f>
        <v>0</v>
      </c>
      <c r="L1154" s="107">
        <f t="shared" si="490"/>
        <v>8000</v>
      </c>
      <c r="M1154" s="107">
        <f t="shared" si="491"/>
        <v>0</v>
      </c>
      <c r="N1154" s="107">
        <f t="shared" si="492"/>
        <v>8000</v>
      </c>
      <c r="O1154" s="107">
        <f>VLOOKUP(G1154,Budget!$E$3:$G$2474,3,0)</f>
        <v>8000</v>
      </c>
      <c r="P1154" s="107">
        <f t="shared" si="493"/>
        <v>0</v>
      </c>
      <c r="Q1154" s="107"/>
      <c r="R1154" s="10"/>
      <c r="S1154" s="107">
        <v>8000</v>
      </c>
      <c r="T1154" s="107">
        <f t="shared" si="480"/>
        <v>0</v>
      </c>
      <c r="U1154" s="107"/>
      <c r="V1154" s="175"/>
      <c r="W1154" s="10"/>
      <c r="X1154" s="10"/>
      <c r="Y1154" t="str">
        <f t="shared" si="496"/>
        <v>2805</v>
      </c>
      <c r="AB1154" s="10"/>
      <c r="AC1154" s="10"/>
      <c r="AD1154" s="10"/>
      <c r="AE1154" s="10"/>
      <c r="AF1154" s="10"/>
      <c r="AG1154" s="10"/>
      <c r="AH1154" s="10"/>
      <c r="AI1154" s="10"/>
    </row>
    <row r="1155" spans="1:35">
      <c r="A1155" s="10"/>
      <c r="B1155" s="10" t="str">
        <f t="shared" si="495"/>
        <v>Below the Line2nd Unit</v>
      </c>
      <c r="C1155" t="s">
        <v>20</v>
      </c>
      <c r="D1155" t="s">
        <v>19</v>
      </c>
      <c r="E1155" t="s">
        <v>1419</v>
      </c>
      <c r="G1155" t="s">
        <v>703</v>
      </c>
      <c r="I1155" s="10"/>
      <c r="J1155" s="107">
        <f>SUMIF(Data!C:C,G1155,Data!Q:Q)</f>
        <v>16000</v>
      </c>
      <c r="K1155" s="107">
        <f>SUMIF(Comprometidos!A:A,'Cost Report'!G1155,Comprometidos!E:E)</f>
        <v>0</v>
      </c>
      <c r="L1155" s="107">
        <f t="shared" si="490"/>
        <v>16000</v>
      </c>
      <c r="M1155" s="107">
        <f t="shared" si="491"/>
        <v>0</v>
      </c>
      <c r="N1155" s="107">
        <f t="shared" si="492"/>
        <v>16000</v>
      </c>
      <c r="O1155" s="107">
        <f>VLOOKUP(G1155,Budget!$E$3:$G$2474,3,0)</f>
        <v>16000</v>
      </c>
      <c r="P1155" s="107">
        <f t="shared" si="493"/>
        <v>0</v>
      </c>
      <c r="Q1155" s="107"/>
      <c r="R1155" s="10"/>
      <c r="S1155" s="107">
        <v>16000</v>
      </c>
      <c r="T1155" s="107">
        <f t="shared" si="480"/>
        <v>0</v>
      </c>
      <c r="U1155" s="107"/>
      <c r="V1155" s="175"/>
      <c r="W1155" s="10"/>
      <c r="X1155" s="10"/>
      <c r="Y1155" t="str">
        <f t="shared" si="496"/>
        <v>2805</v>
      </c>
      <c r="AB1155" s="10"/>
      <c r="AC1155" s="10"/>
      <c r="AD1155" s="10"/>
      <c r="AE1155" s="10"/>
      <c r="AF1155" s="10"/>
      <c r="AG1155" s="10"/>
      <c r="AH1155" s="10"/>
      <c r="AI1155" s="10"/>
    </row>
    <row r="1156" spans="1:35">
      <c r="A1156" s="10"/>
      <c r="B1156" s="10" t="str">
        <f t="shared" si="495"/>
        <v>Below the Line</v>
      </c>
      <c r="C1156" t="s">
        <v>20</v>
      </c>
      <c r="D1156" t="s">
        <v>19</v>
      </c>
      <c r="E1156" t="s">
        <v>214</v>
      </c>
      <c r="G1156" t="s">
        <v>2611</v>
      </c>
      <c r="I1156" s="10"/>
      <c r="J1156" s="107">
        <f>SUMIF(Data!C:C,G1156,Data!Q:Q)</f>
        <v>0</v>
      </c>
      <c r="K1156" s="107">
        <f>SUMIF(Comprometidos!A:A,'Cost Report'!G1156,Comprometidos!E:E)</f>
        <v>0</v>
      </c>
      <c r="L1156" s="107">
        <f t="shared" si="490"/>
        <v>0</v>
      </c>
      <c r="M1156" s="107">
        <f t="shared" si="491"/>
        <v>0</v>
      </c>
      <c r="N1156" s="107">
        <f t="shared" si="492"/>
        <v>0</v>
      </c>
      <c r="O1156" s="107">
        <f>VLOOKUP(G1156,Budget!$E$3:$G$2474,3,0)</f>
        <v>0</v>
      </c>
      <c r="P1156" s="107">
        <f t="shared" si="493"/>
        <v>0</v>
      </c>
      <c r="Q1156" s="107"/>
      <c r="R1156" s="10"/>
      <c r="S1156" s="107">
        <v>0</v>
      </c>
      <c r="T1156" s="107">
        <f t="shared" si="480"/>
        <v>0</v>
      </c>
      <c r="U1156" s="107"/>
      <c r="V1156" s="175"/>
      <c r="W1156" s="10"/>
      <c r="X1156" s="10"/>
      <c r="Y1156" t="str">
        <f t="shared" si="496"/>
        <v>2805</v>
      </c>
      <c r="AB1156" s="10"/>
      <c r="AC1156" s="10"/>
      <c r="AD1156" s="10"/>
      <c r="AE1156" s="10"/>
      <c r="AF1156" s="10"/>
      <c r="AG1156" s="10"/>
      <c r="AH1156" s="10"/>
      <c r="AI1156" s="10"/>
    </row>
    <row r="1157" spans="1:35">
      <c r="A1157" s="10"/>
      <c r="B1157" s="10" t="str">
        <f t="shared" si="495"/>
        <v>Below the Line2nd Unit</v>
      </c>
      <c r="C1157" t="s">
        <v>20</v>
      </c>
      <c r="D1157" t="s">
        <v>19</v>
      </c>
      <c r="E1157" t="s">
        <v>1419</v>
      </c>
      <c r="G1157" t="s">
        <v>2612</v>
      </c>
      <c r="I1157" s="10"/>
      <c r="J1157" s="107">
        <f>SUMIF(Data!C:C,G1157,Data!Q:Q)</f>
        <v>8000</v>
      </c>
      <c r="K1157" s="107">
        <f>SUMIF(Comprometidos!A:A,'Cost Report'!G1157,Comprometidos!E:E)</f>
        <v>0</v>
      </c>
      <c r="L1157" s="107">
        <f t="shared" si="490"/>
        <v>8000</v>
      </c>
      <c r="M1157" s="107">
        <f t="shared" si="491"/>
        <v>0</v>
      </c>
      <c r="N1157" s="107">
        <f t="shared" si="492"/>
        <v>8000</v>
      </c>
      <c r="O1157" s="107">
        <f>VLOOKUP(G1157,Budget!$E$3:$G$2474,3,0)</f>
        <v>8000</v>
      </c>
      <c r="P1157" s="107">
        <f t="shared" si="493"/>
        <v>0</v>
      </c>
      <c r="Q1157" s="107"/>
      <c r="R1157" s="10"/>
      <c r="S1157" s="107">
        <v>8000</v>
      </c>
      <c r="T1157" s="107">
        <f t="shared" si="480"/>
        <v>0</v>
      </c>
      <c r="U1157" s="107"/>
      <c r="V1157" s="175"/>
      <c r="W1157" s="10"/>
      <c r="X1157" s="10"/>
      <c r="Y1157" t="str">
        <f t="shared" si="496"/>
        <v>2805</v>
      </c>
      <c r="AB1157" s="10"/>
      <c r="AC1157" s="10"/>
      <c r="AD1157" s="10"/>
      <c r="AE1157" s="10"/>
      <c r="AF1157" s="10"/>
      <c r="AG1157" s="10"/>
      <c r="AH1157" s="10"/>
      <c r="AI1157" s="10"/>
    </row>
    <row r="1158" spans="1:35">
      <c r="A1158" s="10"/>
      <c r="B1158" s="10" t="str">
        <f t="shared" si="495"/>
        <v>Below the Line2nd Unit</v>
      </c>
      <c r="C1158" t="s">
        <v>20</v>
      </c>
      <c r="D1158" t="s">
        <v>19</v>
      </c>
      <c r="E1158" t="s">
        <v>1419</v>
      </c>
      <c r="G1158" t="s">
        <v>2613</v>
      </c>
      <c r="I1158" s="10"/>
      <c r="J1158" s="107">
        <f>SUMIF(Data!C:C,G1158,Data!Q:Q)</f>
        <v>16000</v>
      </c>
      <c r="K1158" s="107">
        <f>SUMIF(Comprometidos!A:A,'Cost Report'!G1158,Comprometidos!E:E)</f>
        <v>0</v>
      </c>
      <c r="L1158" s="107">
        <f t="shared" si="490"/>
        <v>16000</v>
      </c>
      <c r="M1158" s="107">
        <f t="shared" si="491"/>
        <v>0</v>
      </c>
      <c r="N1158" s="107">
        <f t="shared" si="492"/>
        <v>16000</v>
      </c>
      <c r="O1158" s="107">
        <f>VLOOKUP(G1158,Budget!$E$3:$G$2474,3,0)</f>
        <v>16000</v>
      </c>
      <c r="P1158" s="107">
        <f t="shared" si="493"/>
        <v>0</v>
      </c>
      <c r="Q1158" s="107"/>
      <c r="R1158" s="10"/>
      <c r="S1158" s="107">
        <v>16000</v>
      </c>
      <c r="T1158" s="107">
        <f t="shared" si="480"/>
        <v>0</v>
      </c>
      <c r="U1158" s="107"/>
      <c r="V1158" s="175"/>
      <c r="W1158" s="10"/>
      <c r="X1158" s="10"/>
      <c r="Y1158" t="str">
        <f t="shared" si="496"/>
        <v>2805</v>
      </c>
      <c r="AB1158" s="10"/>
      <c r="AC1158" s="10"/>
      <c r="AD1158" s="10"/>
      <c r="AE1158" s="10"/>
      <c r="AF1158" s="10"/>
      <c r="AG1158" s="10"/>
      <c r="AH1158" s="10"/>
      <c r="AI1158" s="10"/>
    </row>
    <row r="1159" spans="1:35">
      <c r="A1159" s="10"/>
      <c r="B1159" s="10" t="str">
        <f t="shared" si="495"/>
        <v>Below the Line</v>
      </c>
      <c r="C1159" t="s">
        <v>20</v>
      </c>
      <c r="D1159" t="s">
        <v>19</v>
      </c>
      <c r="E1159" t="s">
        <v>214</v>
      </c>
      <c r="G1159" t="s">
        <v>2614</v>
      </c>
      <c r="I1159" s="10"/>
      <c r="J1159" s="107">
        <f>SUMIF(Data!C:C,G1159,Data!Q:Q)</f>
        <v>0</v>
      </c>
      <c r="K1159" s="107">
        <f>SUMIF(Comprometidos!A:A,'Cost Report'!G1159,Comprometidos!E:E)</f>
        <v>0</v>
      </c>
      <c r="L1159" s="107">
        <f t="shared" si="490"/>
        <v>0</v>
      </c>
      <c r="M1159" s="107">
        <f t="shared" si="491"/>
        <v>0</v>
      </c>
      <c r="N1159" s="107">
        <f t="shared" si="492"/>
        <v>0</v>
      </c>
      <c r="O1159" s="107">
        <f>VLOOKUP(G1159,Budget!$E$3:$G$2474,3,0)</f>
        <v>0</v>
      </c>
      <c r="P1159" s="107">
        <f t="shared" si="493"/>
        <v>0</v>
      </c>
      <c r="Q1159" s="107"/>
      <c r="R1159" s="10"/>
      <c r="S1159" s="107">
        <v>0</v>
      </c>
      <c r="T1159" s="107">
        <f t="shared" si="480"/>
        <v>0</v>
      </c>
      <c r="U1159" s="107"/>
      <c r="V1159" s="175"/>
      <c r="W1159" s="10"/>
      <c r="X1159" s="10"/>
      <c r="Y1159" t="str">
        <f t="shared" si="496"/>
        <v>2805</v>
      </c>
      <c r="AB1159" s="10"/>
      <c r="AC1159" s="10"/>
      <c r="AD1159" s="10"/>
      <c r="AE1159" s="10"/>
      <c r="AF1159" s="10"/>
      <c r="AG1159" s="10"/>
      <c r="AH1159" s="10"/>
      <c r="AI1159" s="10"/>
    </row>
    <row r="1160" spans="1:35">
      <c r="A1160" s="10"/>
      <c r="B1160" s="10" t="str">
        <f t="shared" si="495"/>
        <v>Below the LineSHOOT</v>
      </c>
      <c r="C1160" t="s">
        <v>20</v>
      </c>
      <c r="D1160" t="s">
        <v>19</v>
      </c>
      <c r="E1160" t="s">
        <v>236</v>
      </c>
      <c r="F1160" t="s">
        <v>5396</v>
      </c>
      <c r="G1160" t="s">
        <v>2615</v>
      </c>
      <c r="I1160" s="10"/>
      <c r="J1160" s="107">
        <f>SUMIF(Data!C:C,G1160,Data!Q:Q)</f>
        <v>27000</v>
      </c>
      <c r="K1160" s="107">
        <f>SUMIF(Comprometidos!A:A,'Cost Report'!G1160,Comprometidos!E:E)</f>
        <v>0</v>
      </c>
      <c r="L1160" s="107">
        <f t="shared" si="490"/>
        <v>27000</v>
      </c>
      <c r="M1160" s="107">
        <v>0</v>
      </c>
      <c r="N1160" s="107">
        <f t="shared" si="492"/>
        <v>27000</v>
      </c>
      <c r="O1160" s="107">
        <f>VLOOKUP(G1160,Budget!$E$3:$G$2474,3,0)</f>
        <v>37500</v>
      </c>
      <c r="P1160" s="107">
        <f t="shared" si="493"/>
        <v>10500</v>
      </c>
      <c r="Q1160" s="107"/>
      <c r="R1160" s="10"/>
      <c r="S1160" s="107">
        <v>27000</v>
      </c>
      <c r="T1160" s="107">
        <f t="shared" si="480"/>
        <v>0</v>
      </c>
      <c r="U1160" s="107"/>
      <c r="V1160" s="175"/>
      <c r="W1160" s="10"/>
      <c r="X1160" s="10"/>
      <c r="Y1160" t="str">
        <f t="shared" si="496"/>
        <v>2805</v>
      </c>
      <c r="AB1160" s="10"/>
      <c r="AC1160" s="10"/>
      <c r="AD1160" s="10"/>
      <c r="AE1160" s="10"/>
      <c r="AF1160" s="10"/>
      <c r="AG1160" s="10"/>
      <c r="AH1160" s="10"/>
      <c r="AI1160" s="10"/>
    </row>
    <row r="1161" spans="1:35">
      <c r="A1161" s="10"/>
      <c r="B1161" s="10" t="str">
        <f>+C1161</f>
        <v>Below the Line</v>
      </c>
      <c r="C1161" s="128" t="s">
        <v>20</v>
      </c>
      <c r="D1161" s="128" t="s">
        <v>2117</v>
      </c>
      <c r="E1161" s="128"/>
      <c r="F1161" s="128"/>
      <c r="G1161" s="128" t="s">
        <v>704</v>
      </c>
      <c r="H1161" s="128"/>
      <c r="I1161" s="10"/>
      <c r="J1161" s="129">
        <f>SUMIF($Y$11:$Y$2484,G1161,J$11:J$2484)</f>
        <v>135637.14199999996</v>
      </c>
      <c r="K1161" s="129">
        <f>SUMIF($Y$11:$Y$2484,G1161,K$11:K$2484)</f>
        <v>0</v>
      </c>
      <c r="L1161" s="129">
        <f>SUMIF($Y$11:$Y$2484,G1161,L$11:L$2484)</f>
        <v>135637.14199999996</v>
      </c>
      <c r="M1161" s="129">
        <f>SUMIF($Y$11:$Y$2484,G1161,M$11:M$2484)</f>
        <v>0</v>
      </c>
      <c r="N1161" s="129">
        <f>SUMIF($Y$11:$Y$2484,G1161,N$11:N$2484)</f>
        <v>135637.14199999996</v>
      </c>
      <c r="O1161" s="129">
        <f>SUMIF($Y$11:$Y$2484,G1161,O$11:O$2484)</f>
        <v>120000</v>
      </c>
      <c r="P1161" s="129">
        <f>SUMIF($Y$11:$Y$2484,G1161,P$11:P$2484)</f>
        <v>-15637.141999999963</v>
      </c>
      <c r="Q1161" s="129"/>
      <c r="R1161" s="10"/>
      <c r="S1161" s="129">
        <v>135597.91999999995</v>
      </c>
      <c r="T1161" s="129">
        <f t="shared" si="480"/>
        <v>-39.222000000008848</v>
      </c>
      <c r="U1161" s="128"/>
      <c r="V1161" s="175"/>
      <c r="W1161" s="10"/>
      <c r="X1161" s="10"/>
      <c r="Z1161" t="str">
        <f>LEFT(G1161,2)</f>
        <v>28</v>
      </c>
      <c r="AA1161" t="str">
        <f>+Z1161&amp;"00"</f>
        <v>2800</v>
      </c>
      <c r="AB1161" s="10"/>
      <c r="AC1161" s="10"/>
      <c r="AD1161" s="10"/>
      <c r="AE1161" s="10"/>
      <c r="AF1161" s="10"/>
      <c r="AG1161" s="10"/>
      <c r="AH1161" s="10"/>
      <c r="AI1161" s="10"/>
    </row>
    <row r="1162" spans="1:35">
      <c r="A1162" s="10"/>
      <c r="B1162" s="10" t="str">
        <f t="shared" ref="B1162:B1163" si="497">+C1162&amp;E1162</f>
        <v>Below the Line</v>
      </c>
      <c r="C1162" t="s">
        <v>20</v>
      </c>
      <c r="D1162" t="s">
        <v>19</v>
      </c>
      <c r="E1162" t="s">
        <v>214</v>
      </c>
      <c r="G1162" t="s">
        <v>705</v>
      </c>
      <c r="I1162" s="10"/>
      <c r="J1162" s="107">
        <f>SUMIF(Data!C:C,G1162,Data!Q:Q)</f>
        <v>0</v>
      </c>
      <c r="K1162" s="107">
        <f>SUMIF(Comprometidos!A:A,'Cost Report'!G1162,Comprometidos!E:E)</f>
        <v>0</v>
      </c>
      <c r="L1162" s="107">
        <f t="shared" ref="L1162:L1166" si="498">+J1162+K1162</f>
        <v>0</v>
      </c>
      <c r="M1162" s="107">
        <f t="shared" ref="M1162:M1165" si="499">+O1162-L1162</f>
        <v>0</v>
      </c>
      <c r="N1162" s="107">
        <f t="shared" ref="N1162:N1166" si="500">+L1162+M1162</f>
        <v>0</v>
      </c>
      <c r="O1162" s="107">
        <f>VLOOKUP(G1162,Budget!$E$3:$G$2474,3,0)</f>
        <v>0</v>
      </c>
      <c r="P1162" s="107">
        <f t="shared" ref="P1162:P1166" si="501">+O1162-N1162</f>
        <v>0</v>
      </c>
      <c r="Q1162" s="107"/>
      <c r="R1162" s="10"/>
      <c r="S1162" s="107">
        <v>0</v>
      </c>
      <c r="T1162" s="107">
        <f t="shared" si="480"/>
        <v>0</v>
      </c>
      <c r="U1162" s="107"/>
      <c r="V1162" s="175"/>
      <c r="W1162" s="10"/>
      <c r="X1162" s="10"/>
      <c r="Y1162" t="str">
        <f t="shared" ref="Y1162:Y1163" si="502">LEFT(G1162,4)</f>
        <v>2808</v>
      </c>
      <c r="AB1162" s="10"/>
      <c r="AC1162" s="10"/>
      <c r="AD1162" s="10"/>
      <c r="AE1162" s="10"/>
      <c r="AF1162" s="10"/>
      <c r="AG1162" s="10"/>
      <c r="AH1162" s="10"/>
      <c r="AI1162" s="10"/>
    </row>
    <row r="1163" spans="1:35">
      <c r="A1163" s="10"/>
      <c r="B1163" s="10" t="str">
        <f t="shared" si="497"/>
        <v>Below the LineALL SHOW</v>
      </c>
      <c r="C1163" t="s">
        <v>20</v>
      </c>
      <c r="D1163" t="s">
        <v>19</v>
      </c>
      <c r="E1163" t="s">
        <v>227</v>
      </c>
      <c r="G1163" t="s">
        <v>2616</v>
      </c>
      <c r="I1163" s="10"/>
      <c r="J1163" s="107">
        <f>SUMIF(Data!C:C,G1163,Data!Q:Q)</f>
        <v>135637.14199999996</v>
      </c>
      <c r="K1163" s="107">
        <f>SUMIF(Comprometidos!A:A,'Cost Report'!G1163,Comprometidos!E:E)</f>
        <v>0</v>
      </c>
      <c r="L1163" s="107">
        <f t="shared" si="498"/>
        <v>135637.14199999996</v>
      </c>
      <c r="M1163" s="107">
        <v>0</v>
      </c>
      <c r="N1163" s="107">
        <f t="shared" si="500"/>
        <v>135637.14199999996</v>
      </c>
      <c r="O1163" s="107">
        <f>VLOOKUP(G1163,Budget!$E$3:$G$2474,3,0)</f>
        <v>120000</v>
      </c>
      <c r="P1163" s="107">
        <f t="shared" si="501"/>
        <v>-15637.141999999963</v>
      </c>
      <c r="Q1163" s="107"/>
      <c r="R1163" s="10"/>
      <c r="S1163" s="107">
        <v>135597.91999999995</v>
      </c>
      <c r="T1163" s="107">
        <f t="shared" si="480"/>
        <v>-39.222000000008848</v>
      </c>
      <c r="U1163" s="107"/>
      <c r="V1163" s="175"/>
      <c r="W1163" s="10"/>
      <c r="X1163" s="10"/>
      <c r="Y1163" t="str">
        <f t="shared" si="502"/>
        <v>2808</v>
      </c>
      <c r="AB1163" s="10"/>
      <c r="AC1163" s="10"/>
      <c r="AD1163" s="10"/>
      <c r="AE1163" s="10"/>
      <c r="AF1163" s="10"/>
      <c r="AG1163" s="10"/>
      <c r="AH1163" s="10"/>
      <c r="AI1163" s="10"/>
    </row>
    <row r="1164" spans="1:35">
      <c r="A1164" s="10"/>
      <c r="B1164" s="10" t="str">
        <f>+C1164</f>
        <v>Below the Line</v>
      </c>
      <c r="C1164" s="128" t="s">
        <v>20</v>
      </c>
      <c r="D1164" s="128" t="s">
        <v>2117</v>
      </c>
      <c r="E1164" s="128"/>
      <c r="F1164" s="128"/>
      <c r="G1164" s="128" t="s">
        <v>706</v>
      </c>
      <c r="H1164" s="128"/>
      <c r="I1164" s="10"/>
      <c r="J1164" s="129">
        <f>SUMIF($Y$11:$Y$2484,G1164,J$11:J$2484)</f>
        <v>12757.96</v>
      </c>
      <c r="K1164" s="129">
        <f>SUMIF($Y$11:$Y$2484,G1164,K$11:K$2484)</f>
        <v>0</v>
      </c>
      <c r="L1164" s="129">
        <f>SUMIF($Y$11:$Y$2484,G1164,L$11:L$2484)</f>
        <v>12757.96</v>
      </c>
      <c r="M1164" s="129">
        <f>SUMIF($Y$11:$Y$2484,G1164,M$11:M$2484)</f>
        <v>0</v>
      </c>
      <c r="N1164" s="129">
        <f>SUMIF($Y$11:$Y$2484,G1164,N$11:N$2484)</f>
        <v>12757.96</v>
      </c>
      <c r="O1164" s="129">
        <f>SUMIF($Y$11:$Y$2484,G1164,O$11:O$2484)</f>
        <v>80000</v>
      </c>
      <c r="P1164" s="129">
        <f>SUMIF($Y$11:$Y$2484,G1164,P$11:P$2484)</f>
        <v>67242.040000000008</v>
      </c>
      <c r="Q1164" s="129"/>
      <c r="R1164" s="10"/>
      <c r="S1164" s="129">
        <v>12757.96</v>
      </c>
      <c r="T1164" s="129">
        <f t="shared" si="480"/>
        <v>0</v>
      </c>
      <c r="U1164" s="128"/>
      <c r="V1164" s="175"/>
      <c r="W1164" s="10"/>
      <c r="X1164" s="10"/>
      <c r="Z1164" t="str">
        <f>LEFT(G1164,2)</f>
        <v>28</v>
      </c>
      <c r="AA1164" t="str">
        <f>+Z1164&amp;"00"</f>
        <v>2800</v>
      </c>
      <c r="AB1164" s="10"/>
      <c r="AC1164" s="10"/>
      <c r="AD1164" s="10"/>
      <c r="AE1164" s="10"/>
      <c r="AF1164" s="10"/>
      <c r="AG1164" s="10"/>
      <c r="AH1164" s="10"/>
      <c r="AI1164" s="10"/>
    </row>
    <row r="1165" spans="1:35">
      <c r="A1165" s="10"/>
      <c r="B1165" s="10" t="str">
        <f t="shared" ref="B1165:B1166" si="503">+C1165&amp;E1165</f>
        <v>Below the Line</v>
      </c>
      <c r="C1165" t="s">
        <v>20</v>
      </c>
      <c r="D1165" t="s">
        <v>19</v>
      </c>
      <c r="E1165" t="s">
        <v>214</v>
      </c>
      <c r="G1165" t="s">
        <v>707</v>
      </c>
      <c r="I1165" s="10"/>
      <c r="J1165" s="107">
        <f>SUMIF(Data!C:C,G1165,Data!Q:Q)</f>
        <v>0</v>
      </c>
      <c r="K1165" s="107">
        <f>SUMIF(Comprometidos!A:A,'Cost Report'!G1165,Comprometidos!E:E)</f>
        <v>0</v>
      </c>
      <c r="L1165" s="107">
        <f t="shared" si="498"/>
        <v>0</v>
      </c>
      <c r="M1165" s="107">
        <f t="shared" si="499"/>
        <v>0</v>
      </c>
      <c r="N1165" s="107">
        <f t="shared" si="500"/>
        <v>0</v>
      </c>
      <c r="O1165" s="107">
        <f>VLOOKUP(G1165,Budget!$E$3:$G$2474,3,0)</f>
        <v>0</v>
      </c>
      <c r="P1165" s="107">
        <f t="shared" si="501"/>
        <v>0</v>
      </c>
      <c r="Q1165" s="107"/>
      <c r="R1165" s="10"/>
      <c r="S1165" s="107">
        <v>0</v>
      </c>
      <c r="T1165" s="107">
        <f t="shared" si="480"/>
        <v>0</v>
      </c>
      <c r="U1165" s="107"/>
      <c r="V1165" s="175"/>
      <c r="W1165" s="10"/>
      <c r="X1165" s="10"/>
      <c r="Y1165" t="str">
        <f t="shared" ref="Y1165:Y1166" si="504">LEFT(G1165,4)</f>
        <v>2885</v>
      </c>
      <c r="AB1165" s="10"/>
      <c r="AC1165" s="10"/>
      <c r="AD1165" s="10"/>
      <c r="AE1165" s="10"/>
      <c r="AF1165" s="10"/>
      <c r="AG1165" s="10"/>
      <c r="AH1165" s="10"/>
      <c r="AI1165" s="10"/>
    </row>
    <row r="1166" spans="1:35">
      <c r="A1166" s="10"/>
      <c r="B1166" s="10" t="str">
        <f t="shared" si="503"/>
        <v>Below the LineALL SHOW</v>
      </c>
      <c r="C1166" t="s">
        <v>20</v>
      </c>
      <c r="D1166" t="s">
        <v>19</v>
      </c>
      <c r="E1166" t="s">
        <v>227</v>
      </c>
      <c r="G1166" t="s">
        <v>2617</v>
      </c>
      <c r="I1166" s="10"/>
      <c r="J1166" s="107">
        <f>SUMIF(Data!C:C,G1166,Data!Q:Q)</f>
        <v>12757.96</v>
      </c>
      <c r="K1166" s="107">
        <f>SUMIF(Comprometidos!A:A,'Cost Report'!G1166,Comprometidos!E:E)</f>
        <v>0</v>
      </c>
      <c r="L1166" s="107">
        <f t="shared" si="498"/>
        <v>12757.96</v>
      </c>
      <c r="M1166" s="107">
        <v>0</v>
      </c>
      <c r="N1166" s="107">
        <f t="shared" si="500"/>
        <v>12757.96</v>
      </c>
      <c r="O1166" s="107">
        <f>VLOOKUP(G1166,Budget!$E$3:$G$2474,3,0)</f>
        <v>80000</v>
      </c>
      <c r="P1166" s="107">
        <f t="shared" si="501"/>
        <v>67242.040000000008</v>
      </c>
      <c r="Q1166" s="107"/>
      <c r="R1166" s="10"/>
      <c r="S1166" s="107">
        <v>12757.96</v>
      </c>
      <c r="T1166" s="107">
        <f t="shared" si="480"/>
        <v>0</v>
      </c>
      <c r="U1166" s="107"/>
      <c r="V1166" s="175"/>
      <c r="W1166" s="10"/>
      <c r="X1166" s="10"/>
      <c r="Y1166" t="str">
        <f t="shared" si="504"/>
        <v>2885</v>
      </c>
      <c r="AB1166" s="10"/>
      <c r="AC1166" s="10"/>
      <c r="AD1166" s="10"/>
      <c r="AE1166" s="10"/>
      <c r="AF1166" s="10"/>
      <c r="AG1166" s="10"/>
      <c r="AH1166" s="10"/>
      <c r="AI1166" s="10"/>
    </row>
    <row r="1167" spans="1:35">
      <c r="A1167" s="10"/>
      <c r="B1167" s="10"/>
      <c r="C1167" s="170" t="s">
        <v>20</v>
      </c>
      <c r="D1167" s="170" t="s">
        <v>8</v>
      </c>
      <c r="E1167" s="170"/>
      <c r="F1167" s="170"/>
      <c r="G1167" s="170" t="s">
        <v>708</v>
      </c>
      <c r="H1167" s="170"/>
      <c r="I1167" s="10"/>
      <c r="J1167" s="169">
        <f>SUMIF($AA$10:$AA$2484,G1167,J$10:J$2484)</f>
        <v>363183.2</v>
      </c>
      <c r="K1167" s="169">
        <f>SUMIF($AA$10:$AA$2484,G1167,K$10:K$2484)</f>
        <v>0</v>
      </c>
      <c r="L1167" s="169">
        <f>SUMIF($AA$10:$AA$2484,G1167,L$10:L$2484)</f>
        <v>363183.2</v>
      </c>
      <c r="M1167" s="169">
        <f>SUMIF($AA$10:$AA$2484,G1167,M$10:M$2484)</f>
        <v>0</v>
      </c>
      <c r="N1167" s="169">
        <f>SUMIF($AA$10:$AA$2484,G1167,N$10:N$2484)</f>
        <v>363183.2</v>
      </c>
      <c r="O1167" s="169">
        <f>SUMIF($AA$10:$AA$2484,G1167,O$10:O$2484)</f>
        <v>630386.75</v>
      </c>
      <c r="P1167" s="168">
        <f>SUMIF($AA$10:$AA$2484,G1167,P$10:P$2484)</f>
        <v>267203.55000000005</v>
      </c>
      <c r="Q1167" s="169"/>
      <c r="R1167" s="10"/>
      <c r="S1167" s="164">
        <v>363183.2</v>
      </c>
      <c r="T1167" s="164">
        <f t="shared" si="480"/>
        <v>0</v>
      </c>
      <c r="U1167" s="163"/>
      <c r="V1167" s="175"/>
      <c r="W1167" s="10"/>
      <c r="X1167" s="10"/>
      <c r="AB1167" s="10"/>
      <c r="AC1167" s="10"/>
      <c r="AD1167" s="10"/>
      <c r="AE1167" s="10"/>
      <c r="AF1167" s="10"/>
      <c r="AG1167" s="10"/>
      <c r="AH1167" s="10"/>
      <c r="AI1167" s="10"/>
    </row>
    <row r="1168" spans="1:35">
      <c r="A1168" s="10"/>
      <c r="B1168" s="10" t="str">
        <f>+C1168</f>
        <v>Below the Line</v>
      </c>
      <c r="C1168" s="128" t="s">
        <v>20</v>
      </c>
      <c r="D1168" s="128" t="s">
        <v>2117</v>
      </c>
      <c r="E1168" s="128"/>
      <c r="F1168" s="128"/>
      <c r="G1168" s="128" t="s">
        <v>709</v>
      </c>
      <c r="H1168" s="128"/>
      <c r="I1168" s="10"/>
      <c r="J1168" s="129">
        <f>SUMIF($Y$11:$Y$2484,G1168,J$11:J$2484)</f>
        <v>345940</v>
      </c>
      <c r="K1168" s="129">
        <f>SUMIF($Y$11:$Y$2484,G1168,K$11:K$2484)</f>
        <v>0</v>
      </c>
      <c r="L1168" s="129">
        <f>SUMIF($Y$11:$Y$2484,G1168,L$11:L$2484)</f>
        <v>345940</v>
      </c>
      <c r="M1168" s="129">
        <f>SUMIF($Y$11:$Y$2484,G1168,M$11:M$2484)</f>
        <v>0</v>
      </c>
      <c r="N1168" s="129">
        <f>SUMIF($Y$11:$Y$2484,G1168,N$11:N$2484)</f>
        <v>345940</v>
      </c>
      <c r="O1168" s="129">
        <f>SUMIF($Y$11:$Y$2484,G1168,O$11:O$2484)</f>
        <v>411636.75000000006</v>
      </c>
      <c r="P1168" s="129">
        <f>SUMIF($Y$11:$Y$2484,G1168,P$11:P$2484)</f>
        <v>65696.750000000044</v>
      </c>
      <c r="Q1168" s="129"/>
      <c r="R1168" s="10"/>
      <c r="S1168" s="129">
        <v>345940</v>
      </c>
      <c r="T1168" s="129">
        <f t="shared" ref="T1168:T1231" si="505">+S1168-N1168</f>
        <v>0</v>
      </c>
      <c r="U1168" s="128"/>
      <c r="V1168" s="175"/>
      <c r="W1168" s="10"/>
      <c r="X1168" s="10"/>
      <c r="Z1168" t="str">
        <f>LEFT(G1168,2)</f>
        <v>29</v>
      </c>
      <c r="AA1168" t="str">
        <f>+Z1168&amp;"00"</f>
        <v>2900</v>
      </c>
      <c r="AB1168" s="10"/>
      <c r="AC1168" s="10"/>
      <c r="AD1168" s="10"/>
      <c r="AE1168" s="10"/>
      <c r="AF1168" s="10"/>
      <c r="AG1168" s="10"/>
      <c r="AH1168" s="10"/>
      <c r="AI1168" s="10"/>
    </row>
    <row r="1169" spans="1:35">
      <c r="A1169" s="10"/>
      <c r="B1169" s="10" t="str">
        <f t="shared" ref="B1169:B1188" si="506">+C1169&amp;E1169</f>
        <v>Below the Line</v>
      </c>
      <c r="C1169" t="s">
        <v>20</v>
      </c>
      <c r="D1169" t="s">
        <v>19</v>
      </c>
      <c r="E1169" t="s">
        <v>214</v>
      </c>
      <c r="F1169" t="s">
        <v>5396</v>
      </c>
      <c r="G1169" t="s">
        <v>710</v>
      </c>
      <c r="I1169" s="10"/>
      <c r="J1169" s="107">
        <f>SUMIF(Data!C:C,G1169,Data!Q:Q)</f>
        <v>0</v>
      </c>
      <c r="K1169" s="107">
        <f>SUMIF(Comprometidos!A:A,'Cost Report'!G1169,Comprometidos!E:E)</f>
        <v>0</v>
      </c>
      <c r="L1169" s="107">
        <f t="shared" ref="L1169:L1188" si="507">+J1169+K1169</f>
        <v>0</v>
      </c>
      <c r="M1169" s="107">
        <f t="shared" ref="M1169:M1185" si="508">+O1169-L1169</f>
        <v>0</v>
      </c>
      <c r="N1169" s="107">
        <f t="shared" ref="N1169:N1188" si="509">+L1169+M1169</f>
        <v>0</v>
      </c>
      <c r="O1169" s="107">
        <f>VLOOKUP(G1169,Budget!$E$3:$G$2474,3,0)</f>
        <v>0</v>
      </c>
      <c r="P1169" s="107">
        <f t="shared" ref="P1169:P1188" si="510">+O1169-N1169</f>
        <v>0</v>
      </c>
      <c r="Q1169" s="107"/>
      <c r="R1169" s="10"/>
      <c r="S1169" s="107">
        <v>0</v>
      </c>
      <c r="T1169" s="107">
        <f t="shared" si="505"/>
        <v>0</v>
      </c>
      <c r="U1169" s="107"/>
      <c r="V1169" s="175"/>
      <c r="W1169" s="10"/>
      <c r="X1169" s="10"/>
      <c r="Y1169" t="str">
        <f t="shared" ref="Y1169:Y1188" si="511">LEFT(G1169,4)</f>
        <v>2902</v>
      </c>
      <c r="AB1169" s="10"/>
      <c r="AC1169" s="10"/>
      <c r="AD1169" s="10"/>
      <c r="AE1169" s="10"/>
      <c r="AF1169" s="10"/>
      <c r="AG1169" s="10"/>
      <c r="AH1169" s="10"/>
      <c r="AI1169" s="10"/>
    </row>
    <row r="1170" spans="1:35">
      <c r="A1170" s="10"/>
      <c r="B1170" s="10" t="str">
        <f t="shared" si="506"/>
        <v>Below the LinePREP</v>
      </c>
      <c r="C1170" t="s">
        <v>20</v>
      </c>
      <c r="D1170" t="s">
        <v>19</v>
      </c>
      <c r="E1170" t="s">
        <v>234</v>
      </c>
      <c r="F1170" t="s">
        <v>5396</v>
      </c>
      <c r="G1170" t="s">
        <v>711</v>
      </c>
      <c r="I1170" s="10"/>
      <c r="J1170" s="107">
        <f>SUMIF(Data!C:C,G1170,Data!Q:Q)</f>
        <v>0</v>
      </c>
      <c r="K1170" s="107">
        <f>SUMIF(Comprometidos!A:A,'Cost Report'!G1170,Comprometidos!E:E)</f>
        <v>0</v>
      </c>
      <c r="L1170" s="107">
        <f t="shared" si="507"/>
        <v>0</v>
      </c>
      <c r="M1170" s="107">
        <v>0</v>
      </c>
      <c r="N1170" s="107">
        <f t="shared" si="509"/>
        <v>0</v>
      </c>
      <c r="O1170" s="107">
        <f>VLOOKUP(G1170,Budget!$E$3:$G$2474,3,0)</f>
        <v>3579.45</v>
      </c>
      <c r="P1170" s="107">
        <f t="shared" si="510"/>
        <v>3579.45</v>
      </c>
      <c r="Q1170" s="107"/>
      <c r="R1170" s="10"/>
      <c r="S1170" s="107">
        <v>0</v>
      </c>
      <c r="T1170" s="107">
        <f t="shared" si="505"/>
        <v>0</v>
      </c>
      <c r="U1170" s="107"/>
      <c r="V1170" s="175"/>
      <c r="W1170" s="10"/>
      <c r="X1170" s="10"/>
      <c r="Y1170" t="str">
        <f t="shared" si="511"/>
        <v>2902</v>
      </c>
      <c r="AB1170" s="10"/>
      <c r="AC1170" s="10"/>
      <c r="AD1170" s="10"/>
      <c r="AE1170" s="10"/>
      <c r="AF1170" s="10"/>
      <c r="AG1170" s="10"/>
      <c r="AH1170" s="10"/>
      <c r="AI1170" s="10"/>
    </row>
    <row r="1171" spans="1:35">
      <c r="A1171" s="10"/>
      <c r="B1171" s="10" t="str">
        <f t="shared" si="506"/>
        <v>Below the LineSHOOT</v>
      </c>
      <c r="C1171" t="s">
        <v>20</v>
      </c>
      <c r="D1171" t="s">
        <v>19</v>
      </c>
      <c r="E1171" t="s">
        <v>236</v>
      </c>
      <c r="F1171" t="s">
        <v>5396</v>
      </c>
      <c r="G1171" t="s">
        <v>712</v>
      </c>
      <c r="I1171" s="10"/>
      <c r="J1171" s="107">
        <f>SUMIF(Data!C:C,G1171,Data!Q:Q)</f>
        <v>100203.59999999999</v>
      </c>
      <c r="K1171" s="107">
        <f>SUMIF(Comprometidos!A:A,'Cost Report'!G1171,Comprometidos!E:E)</f>
        <v>0</v>
      </c>
      <c r="L1171" s="107">
        <f t="shared" si="507"/>
        <v>100203.59999999999</v>
      </c>
      <c r="M1171" s="107">
        <v>0</v>
      </c>
      <c r="N1171" s="107">
        <f t="shared" si="509"/>
        <v>100203.59999999999</v>
      </c>
      <c r="O1171" s="107">
        <f>VLOOKUP(G1171,Budget!$E$3:$G$2474,3,0)</f>
        <v>100224.6</v>
      </c>
      <c r="P1171" s="107">
        <f t="shared" si="510"/>
        <v>21.000000000014552</v>
      </c>
      <c r="Q1171" s="107"/>
      <c r="R1171" s="10"/>
      <c r="S1171" s="107">
        <v>100203.59999999999</v>
      </c>
      <c r="T1171" s="107">
        <f t="shared" si="505"/>
        <v>0</v>
      </c>
      <c r="U1171" s="107"/>
      <c r="V1171" s="175"/>
      <c r="W1171" s="10"/>
      <c r="X1171" s="10"/>
      <c r="Y1171" t="str">
        <f t="shared" si="511"/>
        <v>2902</v>
      </c>
      <c r="AB1171" s="10"/>
      <c r="AC1171" s="10"/>
      <c r="AD1171" s="10"/>
      <c r="AE1171" s="10"/>
      <c r="AF1171" s="10"/>
      <c r="AG1171" s="10"/>
      <c r="AH1171" s="10"/>
      <c r="AI1171" s="10"/>
    </row>
    <row r="1172" spans="1:35">
      <c r="A1172" s="10"/>
      <c r="B1172" s="10" t="str">
        <f t="shared" si="506"/>
        <v>Below the LineWRAP</v>
      </c>
      <c r="C1172" t="s">
        <v>20</v>
      </c>
      <c r="D1172" t="s">
        <v>19</v>
      </c>
      <c r="E1172" t="s">
        <v>238</v>
      </c>
      <c r="F1172" t="s">
        <v>5396</v>
      </c>
      <c r="G1172" t="s">
        <v>713</v>
      </c>
      <c r="I1172" s="10"/>
      <c r="J1172" s="107">
        <f>SUMIF(Data!C:C,G1172,Data!Q:Q)</f>
        <v>0</v>
      </c>
      <c r="K1172" s="107">
        <f>SUMIF(Comprometidos!A:A,'Cost Report'!G1172,Comprometidos!E:E)</f>
        <v>0</v>
      </c>
      <c r="L1172" s="107">
        <f t="shared" si="507"/>
        <v>0</v>
      </c>
      <c r="M1172" s="107">
        <v>0</v>
      </c>
      <c r="N1172" s="107">
        <f t="shared" si="509"/>
        <v>0</v>
      </c>
      <c r="O1172" s="107">
        <f>VLOOKUP(G1172,Budget!$E$3:$G$2474,3,0)</f>
        <v>7158.9</v>
      </c>
      <c r="P1172" s="107">
        <f t="shared" si="510"/>
        <v>7158.9</v>
      </c>
      <c r="Q1172" s="107"/>
      <c r="R1172" s="10"/>
      <c r="S1172" s="107">
        <v>0</v>
      </c>
      <c r="T1172" s="107">
        <f t="shared" si="505"/>
        <v>0</v>
      </c>
      <c r="U1172" s="107"/>
      <c r="V1172" s="175"/>
      <c r="W1172" s="10"/>
      <c r="X1172" s="10"/>
      <c r="Y1172" t="str">
        <f t="shared" si="511"/>
        <v>2902</v>
      </c>
      <c r="AB1172" s="10"/>
      <c r="AC1172" s="10"/>
      <c r="AD1172" s="10"/>
      <c r="AE1172" s="10"/>
      <c r="AF1172" s="10"/>
      <c r="AG1172" s="10"/>
      <c r="AH1172" s="10"/>
      <c r="AI1172" s="10"/>
    </row>
    <row r="1173" spans="1:35">
      <c r="A1173" s="10"/>
      <c r="B1173" s="10" t="str">
        <f t="shared" si="506"/>
        <v>Below the Line</v>
      </c>
      <c r="C1173" t="s">
        <v>20</v>
      </c>
      <c r="D1173" t="s">
        <v>19</v>
      </c>
      <c r="E1173" t="s">
        <v>214</v>
      </c>
      <c r="F1173" t="s">
        <v>5396</v>
      </c>
      <c r="G1173" t="s">
        <v>714</v>
      </c>
      <c r="I1173" s="10"/>
      <c r="J1173" s="107">
        <f>SUMIF(Data!C:C,G1173,Data!Q:Q)</f>
        <v>0</v>
      </c>
      <c r="K1173" s="107">
        <f>SUMIF(Comprometidos!A:A,'Cost Report'!G1173,Comprometidos!E:E)</f>
        <v>0</v>
      </c>
      <c r="L1173" s="107">
        <f t="shared" si="507"/>
        <v>0</v>
      </c>
      <c r="M1173" s="107">
        <f t="shared" si="508"/>
        <v>0</v>
      </c>
      <c r="N1173" s="107">
        <f t="shared" si="509"/>
        <v>0</v>
      </c>
      <c r="O1173" s="107">
        <f>VLOOKUP(G1173,Budget!$E$3:$G$2474,3,0)</f>
        <v>0</v>
      </c>
      <c r="P1173" s="107">
        <f t="shared" si="510"/>
        <v>0</v>
      </c>
      <c r="Q1173" s="107"/>
      <c r="R1173" s="10"/>
      <c r="S1173" s="107">
        <v>0</v>
      </c>
      <c r="T1173" s="107">
        <f t="shared" si="505"/>
        <v>0</v>
      </c>
      <c r="U1173" s="107"/>
      <c r="V1173" s="175"/>
      <c r="W1173" s="10"/>
      <c r="X1173" s="10"/>
      <c r="Y1173" t="str">
        <f t="shared" si="511"/>
        <v>2902</v>
      </c>
      <c r="AB1173" s="10"/>
      <c r="AC1173" s="10"/>
      <c r="AD1173" s="10"/>
      <c r="AE1173" s="10"/>
      <c r="AF1173" s="10"/>
      <c r="AG1173" s="10"/>
      <c r="AH1173" s="10"/>
      <c r="AI1173" s="10"/>
    </row>
    <row r="1174" spans="1:35">
      <c r="A1174" s="10"/>
      <c r="B1174" s="10" t="str">
        <f t="shared" si="506"/>
        <v>Below the LinePREP</v>
      </c>
      <c r="C1174" t="s">
        <v>20</v>
      </c>
      <c r="D1174" t="s">
        <v>19</v>
      </c>
      <c r="E1174" t="s">
        <v>234</v>
      </c>
      <c r="F1174" t="s">
        <v>5396</v>
      </c>
      <c r="G1174" t="s">
        <v>715</v>
      </c>
      <c r="I1174" s="10"/>
      <c r="J1174" s="107">
        <f>SUMIF(Data!C:C,G1174,Data!Q:Q)</f>
        <v>0</v>
      </c>
      <c r="K1174" s="107">
        <f>SUMIF(Comprometidos!A:A,'Cost Report'!G1174,Comprometidos!E:E)</f>
        <v>0</v>
      </c>
      <c r="L1174" s="107">
        <f t="shared" si="507"/>
        <v>0</v>
      </c>
      <c r="M1174" s="107">
        <f t="shared" si="508"/>
        <v>0</v>
      </c>
      <c r="N1174" s="107">
        <f t="shared" si="509"/>
        <v>0</v>
      </c>
      <c r="O1174" s="107">
        <f>VLOOKUP(G1174,Budget!$E$3:$G$2474,3,0)</f>
        <v>0</v>
      </c>
      <c r="P1174" s="107">
        <f t="shared" si="510"/>
        <v>0</v>
      </c>
      <c r="Q1174" s="107"/>
      <c r="R1174" s="10"/>
      <c r="S1174" s="107">
        <v>0</v>
      </c>
      <c r="T1174" s="107">
        <f t="shared" si="505"/>
        <v>0</v>
      </c>
      <c r="U1174" s="107"/>
      <c r="V1174" s="175"/>
      <c r="W1174" s="10"/>
      <c r="X1174" s="10"/>
      <c r="Y1174" t="str">
        <f t="shared" si="511"/>
        <v>2902</v>
      </c>
      <c r="AB1174" s="10"/>
      <c r="AC1174" s="10"/>
      <c r="AD1174" s="10"/>
      <c r="AE1174" s="10"/>
      <c r="AF1174" s="10"/>
      <c r="AG1174" s="10"/>
      <c r="AH1174" s="10"/>
      <c r="AI1174" s="10"/>
    </row>
    <row r="1175" spans="1:35">
      <c r="A1175" s="10"/>
      <c r="B1175" s="10" t="str">
        <f t="shared" si="506"/>
        <v>Below the LineSHOOT</v>
      </c>
      <c r="C1175" t="s">
        <v>20</v>
      </c>
      <c r="D1175" t="s">
        <v>19</v>
      </c>
      <c r="E1175" t="s">
        <v>236</v>
      </c>
      <c r="F1175" t="s">
        <v>5396</v>
      </c>
      <c r="G1175" t="s">
        <v>716</v>
      </c>
      <c r="I1175" s="10"/>
      <c r="J1175" s="107">
        <f>SUMIF(Data!C:C,G1175,Data!Q:Q)</f>
        <v>100203.59999999999</v>
      </c>
      <c r="K1175" s="107">
        <f>SUMIF(Comprometidos!A:A,'Cost Report'!G1175,Comprometidos!E:E)</f>
        <v>0</v>
      </c>
      <c r="L1175" s="107">
        <f t="shared" si="507"/>
        <v>100203.59999999999</v>
      </c>
      <c r="M1175" s="107">
        <v>0</v>
      </c>
      <c r="N1175" s="107">
        <f t="shared" si="509"/>
        <v>100203.59999999999</v>
      </c>
      <c r="O1175" s="107">
        <f>VLOOKUP(G1175,Budget!$E$3:$G$2474,3,0)</f>
        <v>100224.6</v>
      </c>
      <c r="P1175" s="107">
        <f t="shared" si="510"/>
        <v>21.000000000014552</v>
      </c>
      <c r="Q1175" s="107"/>
      <c r="R1175" s="10"/>
      <c r="S1175" s="107">
        <v>100203.59999999999</v>
      </c>
      <c r="T1175" s="107">
        <f t="shared" si="505"/>
        <v>0</v>
      </c>
      <c r="U1175" s="107"/>
      <c r="V1175" s="175"/>
      <c r="W1175" s="10"/>
      <c r="X1175" s="10"/>
      <c r="Y1175" t="str">
        <f t="shared" si="511"/>
        <v>2902</v>
      </c>
      <c r="AB1175" s="10"/>
      <c r="AC1175" s="10"/>
      <c r="AD1175" s="10"/>
      <c r="AE1175" s="10"/>
      <c r="AF1175" s="10"/>
      <c r="AG1175" s="10"/>
      <c r="AH1175" s="10"/>
      <c r="AI1175" s="10"/>
    </row>
    <row r="1176" spans="1:35">
      <c r="A1176" s="10"/>
      <c r="B1176" s="10" t="str">
        <f t="shared" si="506"/>
        <v>Below the LineWRAP</v>
      </c>
      <c r="C1176" t="s">
        <v>20</v>
      </c>
      <c r="D1176" t="s">
        <v>19</v>
      </c>
      <c r="E1176" t="s">
        <v>238</v>
      </c>
      <c r="F1176" t="s">
        <v>5396</v>
      </c>
      <c r="G1176" t="s">
        <v>717</v>
      </c>
      <c r="I1176" s="10"/>
      <c r="J1176" s="107">
        <f>SUMIF(Data!C:C,G1176,Data!Q:Q)</f>
        <v>7157.4</v>
      </c>
      <c r="K1176" s="107">
        <f>SUMIF(Comprometidos!A:A,'Cost Report'!G1176,Comprometidos!E:E)</f>
        <v>0</v>
      </c>
      <c r="L1176" s="107">
        <f t="shared" si="507"/>
        <v>7157.4</v>
      </c>
      <c r="M1176" s="107">
        <v>0</v>
      </c>
      <c r="N1176" s="107">
        <f t="shared" si="509"/>
        <v>7157.4</v>
      </c>
      <c r="O1176" s="107">
        <f>VLOOKUP(G1176,Budget!$E$3:$G$2474,3,0)</f>
        <v>7158.9</v>
      </c>
      <c r="P1176" s="107">
        <f t="shared" si="510"/>
        <v>1.5</v>
      </c>
      <c r="Q1176" s="107"/>
      <c r="R1176" s="10"/>
      <c r="S1176" s="107">
        <v>7157.4</v>
      </c>
      <c r="T1176" s="107">
        <f t="shared" si="505"/>
        <v>0</v>
      </c>
      <c r="U1176" s="107"/>
      <c r="V1176" s="175"/>
      <c r="W1176" s="10"/>
      <c r="X1176" s="10"/>
      <c r="Y1176" t="str">
        <f t="shared" si="511"/>
        <v>2902</v>
      </c>
      <c r="AB1176" s="10"/>
      <c r="AC1176" s="10"/>
      <c r="AD1176" s="10"/>
      <c r="AE1176" s="10"/>
      <c r="AF1176" s="10"/>
      <c r="AG1176" s="10"/>
      <c r="AH1176" s="10"/>
      <c r="AI1176" s="10"/>
    </row>
    <row r="1177" spans="1:35">
      <c r="A1177" s="10"/>
      <c r="B1177" s="10" t="str">
        <f t="shared" si="506"/>
        <v>Below the Line</v>
      </c>
      <c r="C1177" t="s">
        <v>20</v>
      </c>
      <c r="D1177" t="s">
        <v>19</v>
      </c>
      <c r="E1177" t="s">
        <v>214</v>
      </c>
      <c r="F1177" t="s">
        <v>5396</v>
      </c>
      <c r="G1177" t="s">
        <v>718</v>
      </c>
      <c r="I1177" s="10"/>
      <c r="J1177" s="107">
        <f>SUMIF(Data!C:C,G1177,Data!Q:Q)</f>
        <v>0</v>
      </c>
      <c r="K1177" s="107">
        <f>SUMIF(Comprometidos!A:A,'Cost Report'!G1177,Comprometidos!E:E)</f>
        <v>0</v>
      </c>
      <c r="L1177" s="107">
        <f t="shared" si="507"/>
        <v>0</v>
      </c>
      <c r="M1177" s="107">
        <f t="shared" si="508"/>
        <v>0</v>
      </c>
      <c r="N1177" s="107">
        <f t="shared" si="509"/>
        <v>0</v>
      </c>
      <c r="O1177" s="107">
        <f>VLOOKUP(G1177,Budget!$E$3:$G$2474,3,0)</f>
        <v>0</v>
      </c>
      <c r="P1177" s="107">
        <f t="shared" si="510"/>
        <v>0</v>
      </c>
      <c r="Q1177" s="107"/>
      <c r="R1177" s="10"/>
      <c r="S1177" s="107">
        <v>0</v>
      </c>
      <c r="T1177" s="107">
        <f t="shared" si="505"/>
        <v>0</v>
      </c>
      <c r="U1177" s="107"/>
      <c r="V1177" s="175"/>
      <c r="W1177" s="10"/>
      <c r="X1177" s="10"/>
      <c r="Y1177" t="str">
        <f t="shared" si="511"/>
        <v>2902</v>
      </c>
      <c r="AB1177" s="10"/>
      <c r="AC1177" s="10"/>
      <c r="AD1177" s="10"/>
      <c r="AE1177" s="10"/>
      <c r="AF1177" s="10"/>
      <c r="AG1177" s="10"/>
      <c r="AH1177" s="10"/>
      <c r="AI1177" s="10"/>
    </row>
    <row r="1178" spans="1:35">
      <c r="A1178" s="10"/>
      <c r="B1178" s="10" t="str">
        <f t="shared" si="506"/>
        <v>Below the LinePREP</v>
      </c>
      <c r="C1178" t="s">
        <v>20</v>
      </c>
      <c r="D1178" t="s">
        <v>19</v>
      </c>
      <c r="E1178" t="s">
        <v>234</v>
      </c>
      <c r="F1178" t="s">
        <v>5396</v>
      </c>
      <c r="G1178" t="s">
        <v>719</v>
      </c>
      <c r="I1178" s="10"/>
      <c r="J1178" s="107">
        <f>SUMIF(Data!C:C,G1178,Data!Q:Q)</f>
        <v>0</v>
      </c>
      <c r="K1178" s="107">
        <f>SUMIF(Comprometidos!A:A,'Cost Report'!G1178,Comprometidos!E:E)</f>
        <v>0</v>
      </c>
      <c r="L1178" s="107">
        <f t="shared" si="507"/>
        <v>0</v>
      </c>
      <c r="M1178" s="107">
        <f t="shared" si="508"/>
        <v>0</v>
      </c>
      <c r="N1178" s="107">
        <f t="shared" si="509"/>
        <v>0</v>
      </c>
      <c r="O1178" s="107">
        <f>VLOOKUP(G1178,Budget!$E$3:$G$2474,3,0)</f>
        <v>0</v>
      </c>
      <c r="P1178" s="107">
        <f t="shared" si="510"/>
        <v>0</v>
      </c>
      <c r="Q1178" s="107"/>
      <c r="R1178" s="10"/>
      <c r="S1178" s="107">
        <v>0</v>
      </c>
      <c r="T1178" s="107">
        <f t="shared" si="505"/>
        <v>0</v>
      </c>
      <c r="U1178" s="107"/>
      <c r="V1178" s="175"/>
      <c r="W1178" s="10"/>
      <c r="X1178" s="10"/>
      <c r="Y1178" t="str">
        <f t="shared" si="511"/>
        <v>2902</v>
      </c>
      <c r="AB1178" s="10"/>
      <c r="AC1178" s="10"/>
      <c r="AD1178" s="10"/>
      <c r="AE1178" s="10"/>
      <c r="AF1178" s="10"/>
      <c r="AG1178" s="10"/>
      <c r="AH1178" s="10"/>
      <c r="AI1178" s="10"/>
    </row>
    <row r="1179" spans="1:35">
      <c r="A1179" s="10"/>
      <c r="B1179" s="10" t="str">
        <f t="shared" si="506"/>
        <v>Below the LineSHOOT</v>
      </c>
      <c r="C1179" t="s">
        <v>20</v>
      </c>
      <c r="D1179" t="s">
        <v>19</v>
      </c>
      <c r="E1179" t="s">
        <v>236</v>
      </c>
      <c r="F1179" t="s">
        <v>5396</v>
      </c>
      <c r="G1179" t="s">
        <v>720</v>
      </c>
      <c r="I1179" s="10"/>
      <c r="J1179" s="107">
        <f>SUMIF(Data!C:C,G1179,Data!Q:Q)</f>
        <v>100198.2</v>
      </c>
      <c r="K1179" s="107">
        <f>SUMIF(Comprometidos!A:A,'Cost Report'!G1179,Comprometidos!E:E)</f>
        <v>0</v>
      </c>
      <c r="L1179" s="107">
        <f t="shared" si="507"/>
        <v>100198.2</v>
      </c>
      <c r="M1179" s="107">
        <v>0</v>
      </c>
      <c r="N1179" s="107">
        <f t="shared" si="509"/>
        <v>100198.2</v>
      </c>
      <c r="O1179" s="107">
        <f>VLOOKUP(G1179,Budget!$E$3:$G$2474,3,0)</f>
        <v>100224.6</v>
      </c>
      <c r="P1179" s="107">
        <f t="shared" si="510"/>
        <v>26.400000000008731</v>
      </c>
      <c r="Q1179" s="107"/>
      <c r="R1179" s="10"/>
      <c r="S1179" s="107">
        <v>100198.2</v>
      </c>
      <c r="T1179" s="107">
        <f t="shared" si="505"/>
        <v>0</v>
      </c>
      <c r="U1179" s="107"/>
      <c r="V1179" s="175"/>
      <c r="W1179" s="10"/>
      <c r="X1179" s="10"/>
      <c r="Y1179" t="str">
        <f t="shared" si="511"/>
        <v>2902</v>
      </c>
      <c r="AB1179" s="10"/>
      <c r="AC1179" s="10"/>
      <c r="AD1179" s="10"/>
      <c r="AE1179" s="10"/>
      <c r="AF1179" s="10"/>
      <c r="AG1179" s="10"/>
      <c r="AH1179" s="10"/>
      <c r="AI1179" s="10"/>
    </row>
    <row r="1180" spans="1:35">
      <c r="A1180" s="10"/>
      <c r="B1180" s="10" t="str">
        <f t="shared" si="506"/>
        <v>Below the LineWRAP</v>
      </c>
      <c r="C1180" t="s">
        <v>20</v>
      </c>
      <c r="D1180" t="s">
        <v>19</v>
      </c>
      <c r="E1180" t="s">
        <v>238</v>
      </c>
      <c r="F1180" t="s">
        <v>5396</v>
      </c>
      <c r="G1180" t="s">
        <v>721</v>
      </c>
      <c r="I1180" s="10"/>
      <c r="J1180" s="107">
        <f>SUMIF(Data!C:C,G1180,Data!Q:Q)</f>
        <v>7157.4</v>
      </c>
      <c r="K1180" s="107">
        <f>SUMIF(Comprometidos!A:A,'Cost Report'!G1180,Comprometidos!E:E)</f>
        <v>0</v>
      </c>
      <c r="L1180" s="107">
        <f t="shared" si="507"/>
        <v>7157.4</v>
      </c>
      <c r="M1180" s="107">
        <v>0</v>
      </c>
      <c r="N1180" s="107">
        <f t="shared" si="509"/>
        <v>7157.4</v>
      </c>
      <c r="O1180" s="107">
        <f>VLOOKUP(G1180,Budget!$E$3:$G$2474,3,0)</f>
        <v>7158.9</v>
      </c>
      <c r="P1180" s="107">
        <f t="shared" si="510"/>
        <v>1.5</v>
      </c>
      <c r="Q1180" s="107"/>
      <c r="R1180" s="10"/>
      <c r="S1180" s="107">
        <v>7157.4</v>
      </c>
      <c r="T1180" s="107">
        <f t="shared" si="505"/>
        <v>0</v>
      </c>
      <c r="U1180" s="107"/>
      <c r="V1180" s="175"/>
      <c r="W1180" s="10"/>
      <c r="X1180" s="10"/>
      <c r="Y1180" t="str">
        <f t="shared" si="511"/>
        <v>2902</v>
      </c>
      <c r="AB1180" s="10"/>
      <c r="AC1180" s="10"/>
      <c r="AD1180" s="10"/>
      <c r="AE1180" s="10"/>
      <c r="AF1180" s="10"/>
      <c r="AG1180" s="10"/>
      <c r="AH1180" s="10"/>
      <c r="AI1180" s="10"/>
    </row>
    <row r="1181" spans="1:35">
      <c r="A1181" s="10"/>
      <c r="B1181" s="10" t="str">
        <f t="shared" si="506"/>
        <v>Below the Line</v>
      </c>
      <c r="C1181" t="s">
        <v>20</v>
      </c>
      <c r="D1181" t="s">
        <v>19</v>
      </c>
      <c r="E1181" t="s">
        <v>214</v>
      </c>
      <c r="F1181" t="s">
        <v>5396</v>
      </c>
      <c r="G1181" t="s">
        <v>722</v>
      </c>
      <c r="I1181" s="10"/>
      <c r="J1181" s="107">
        <f>SUMIF(Data!C:C,G1181,Data!Q:Q)</f>
        <v>0</v>
      </c>
      <c r="K1181" s="107">
        <f>SUMIF(Comprometidos!A:A,'Cost Report'!G1181,Comprometidos!E:E)</f>
        <v>0</v>
      </c>
      <c r="L1181" s="107">
        <f t="shared" si="507"/>
        <v>0</v>
      </c>
      <c r="M1181" s="107">
        <f t="shared" si="508"/>
        <v>0</v>
      </c>
      <c r="N1181" s="107">
        <f t="shared" si="509"/>
        <v>0</v>
      </c>
      <c r="O1181" s="107">
        <f>VLOOKUP(G1181,Budget!$E$3:$G$2474,3,0)</f>
        <v>0</v>
      </c>
      <c r="P1181" s="107">
        <f t="shared" si="510"/>
        <v>0</v>
      </c>
      <c r="Q1181" s="107"/>
      <c r="R1181" s="10"/>
      <c r="S1181" s="107">
        <v>0</v>
      </c>
      <c r="T1181" s="107">
        <f t="shared" si="505"/>
        <v>0</v>
      </c>
      <c r="U1181" s="107"/>
      <c r="V1181" s="175"/>
      <c r="W1181" s="10"/>
      <c r="X1181" s="10"/>
      <c r="Y1181" t="str">
        <f t="shared" si="511"/>
        <v>2902</v>
      </c>
      <c r="AB1181" s="10"/>
      <c r="AC1181" s="10"/>
      <c r="AD1181" s="10"/>
      <c r="AE1181" s="10"/>
      <c r="AF1181" s="10"/>
      <c r="AG1181" s="10"/>
      <c r="AH1181" s="10"/>
      <c r="AI1181" s="10"/>
    </row>
    <row r="1182" spans="1:35">
      <c r="A1182" s="10"/>
      <c r="B1182" s="10" t="str">
        <f t="shared" si="506"/>
        <v>Below the Line2nd Unit</v>
      </c>
      <c r="C1182" t="s">
        <v>20</v>
      </c>
      <c r="D1182" t="s">
        <v>19</v>
      </c>
      <c r="E1182" t="s">
        <v>1419</v>
      </c>
      <c r="F1182" t="s">
        <v>5396</v>
      </c>
      <c r="G1182" t="s">
        <v>2618</v>
      </c>
      <c r="I1182" s="10"/>
      <c r="J1182" s="107">
        <f>SUMIF(Data!C:C,G1182,Data!Q:Q)</f>
        <v>0</v>
      </c>
      <c r="K1182" s="107">
        <f>SUMIF(Comprometidos!A:A,'Cost Report'!G1182,Comprometidos!E:E)</f>
        <v>0</v>
      </c>
      <c r="L1182" s="107">
        <f t="shared" si="507"/>
        <v>0</v>
      </c>
      <c r="M1182" s="107">
        <v>0</v>
      </c>
      <c r="N1182" s="107">
        <f t="shared" si="509"/>
        <v>0</v>
      </c>
      <c r="O1182" s="107">
        <f>VLOOKUP(G1182,Budget!$E$3:$G$2474,3,0)</f>
        <v>7158.9</v>
      </c>
      <c r="P1182" s="107">
        <f t="shared" si="510"/>
        <v>7158.9</v>
      </c>
      <c r="Q1182" s="107"/>
      <c r="R1182" s="10"/>
      <c r="S1182" s="107">
        <v>0</v>
      </c>
      <c r="T1182" s="107">
        <f t="shared" si="505"/>
        <v>0</v>
      </c>
      <c r="U1182" s="107"/>
      <c r="V1182" s="175"/>
      <c r="W1182" s="10"/>
      <c r="X1182" s="10"/>
      <c r="Y1182" t="str">
        <f t="shared" si="511"/>
        <v>2902</v>
      </c>
      <c r="AB1182" s="10"/>
      <c r="AC1182" s="10"/>
      <c r="AD1182" s="10"/>
      <c r="AE1182" s="10"/>
      <c r="AF1182" s="10"/>
      <c r="AG1182" s="10"/>
      <c r="AH1182" s="10"/>
      <c r="AI1182" s="10"/>
    </row>
    <row r="1183" spans="1:35">
      <c r="A1183" s="10"/>
      <c r="B1183" s="10" t="str">
        <f t="shared" si="506"/>
        <v>Below the Line2nd Unit</v>
      </c>
      <c r="C1183" t="s">
        <v>20</v>
      </c>
      <c r="D1183" t="s">
        <v>19</v>
      </c>
      <c r="E1183" t="s">
        <v>1419</v>
      </c>
      <c r="F1183" t="s">
        <v>5396</v>
      </c>
      <c r="G1183" t="s">
        <v>2619</v>
      </c>
      <c r="I1183" s="10"/>
      <c r="J1183" s="107">
        <f>SUMIF(Data!C:C,G1183,Data!Q:Q)</f>
        <v>2385.8000000000002</v>
      </c>
      <c r="K1183" s="107">
        <f>SUMIF(Comprometidos!A:A,'Cost Report'!G1183,Comprometidos!E:E)</f>
        <v>0</v>
      </c>
      <c r="L1183" s="107">
        <f t="shared" si="507"/>
        <v>2385.8000000000002</v>
      </c>
      <c r="M1183" s="107">
        <v>0</v>
      </c>
      <c r="N1183" s="107">
        <f t="shared" si="509"/>
        <v>2385.8000000000002</v>
      </c>
      <c r="O1183" s="107">
        <f>VLOOKUP(G1183,Budget!$E$3:$G$2474,3,0)</f>
        <v>28635.599999999999</v>
      </c>
      <c r="P1183" s="107">
        <f t="shared" si="510"/>
        <v>26249.8</v>
      </c>
      <c r="Q1183" s="107"/>
      <c r="R1183" s="10"/>
      <c r="S1183" s="107">
        <v>2385.8000000000002</v>
      </c>
      <c r="T1183" s="107">
        <f t="shared" si="505"/>
        <v>0</v>
      </c>
      <c r="U1183" s="107"/>
      <c r="V1183" s="175"/>
      <c r="W1183" s="10"/>
      <c r="X1183" s="10"/>
      <c r="Y1183" t="str">
        <f t="shared" si="511"/>
        <v>2902</v>
      </c>
      <c r="AB1183" s="10"/>
      <c r="AC1183" s="10"/>
      <c r="AD1183" s="10"/>
      <c r="AE1183" s="10"/>
      <c r="AF1183" s="10"/>
      <c r="AG1183" s="10"/>
      <c r="AH1183" s="10"/>
      <c r="AI1183" s="10"/>
    </row>
    <row r="1184" spans="1:35">
      <c r="A1184" s="10"/>
      <c r="B1184" s="10" t="str">
        <f t="shared" si="506"/>
        <v>Below the Line2nd Unit</v>
      </c>
      <c r="C1184" t="s">
        <v>20</v>
      </c>
      <c r="D1184" t="s">
        <v>19</v>
      </c>
      <c r="E1184" t="s">
        <v>1419</v>
      </c>
      <c r="F1184" t="s">
        <v>5396</v>
      </c>
      <c r="G1184" t="s">
        <v>2620</v>
      </c>
      <c r="I1184" s="10"/>
      <c r="J1184" s="107">
        <f>SUMIF(Data!C:C,G1184,Data!Q:Q)</f>
        <v>0</v>
      </c>
      <c r="K1184" s="107">
        <f>SUMIF(Comprometidos!A:A,'Cost Report'!G1184,Comprometidos!E:E)</f>
        <v>0</v>
      </c>
      <c r="L1184" s="107">
        <f t="shared" si="507"/>
        <v>0</v>
      </c>
      <c r="M1184" s="107">
        <v>0</v>
      </c>
      <c r="N1184" s="107">
        <f t="shared" si="509"/>
        <v>0</v>
      </c>
      <c r="O1184" s="107">
        <f>VLOOKUP(G1184,Budget!$E$3:$G$2474,3,0)</f>
        <v>7158.9</v>
      </c>
      <c r="P1184" s="107">
        <f t="shared" si="510"/>
        <v>7158.9</v>
      </c>
      <c r="Q1184" s="107"/>
      <c r="R1184" s="10"/>
      <c r="S1184" s="107">
        <v>0</v>
      </c>
      <c r="T1184" s="107">
        <f t="shared" si="505"/>
        <v>0</v>
      </c>
      <c r="U1184" s="107"/>
      <c r="V1184" s="175"/>
      <c r="W1184" s="10"/>
      <c r="X1184" s="10"/>
      <c r="Y1184" t="str">
        <f t="shared" si="511"/>
        <v>2902</v>
      </c>
      <c r="AB1184" s="10"/>
      <c r="AC1184" s="10"/>
      <c r="AD1184" s="10"/>
      <c r="AE1184" s="10"/>
      <c r="AF1184" s="10"/>
      <c r="AG1184" s="10"/>
      <c r="AH1184" s="10"/>
      <c r="AI1184" s="10"/>
    </row>
    <row r="1185" spans="1:35">
      <c r="A1185" s="10"/>
      <c r="B1185" s="10" t="str">
        <f t="shared" si="506"/>
        <v>Below the Line</v>
      </c>
      <c r="C1185" t="s">
        <v>20</v>
      </c>
      <c r="D1185" t="s">
        <v>19</v>
      </c>
      <c r="E1185" t="s">
        <v>214</v>
      </c>
      <c r="F1185" t="s">
        <v>5396</v>
      </c>
      <c r="G1185" t="s">
        <v>2621</v>
      </c>
      <c r="I1185" s="10"/>
      <c r="J1185" s="107">
        <f>SUMIF(Data!C:C,G1185,Data!Q:Q)</f>
        <v>0</v>
      </c>
      <c r="K1185" s="107">
        <f>SUMIF(Comprometidos!A:A,'Cost Report'!G1185,Comprometidos!E:E)</f>
        <v>0</v>
      </c>
      <c r="L1185" s="107">
        <f t="shared" si="507"/>
        <v>0</v>
      </c>
      <c r="M1185" s="107">
        <f t="shared" si="508"/>
        <v>0</v>
      </c>
      <c r="N1185" s="107">
        <f t="shared" si="509"/>
        <v>0</v>
      </c>
      <c r="O1185" s="107">
        <f>VLOOKUP(G1185,Budget!$E$3:$G$2474,3,0)</f>
        <v>0</v>
      </c>
      <c r="P1185" s="107">
        <f t="shared" si="510"/>
        <v>0</v>
      </c>
      <c r="Q1185" s="107"/>
      <c r="R1185" s="10"/>
      <c r="S1185" s="107">
        <v>0</v>
      </c>
      <c r="T1185" s="107">
        <f t="shared" si="505"/>
        <v>0</v>
      </c>
      <c r="U1185" s="107"/>
      <c r="V1185" s="175"/>
      <c r="W1185" s="10"/>
      <c r="X1185" s="10"/>
      <c r="Y1185" t="str">
        <f t="shared" si="511"/>
        <v>2902</v>
      </c>
      <c r="AB1185" s="10"/>
      <c r="AC1185" s="10"/>
      <c r="AD1185" s="10"/>
      <c r="AE1185" s="10"/>
      <c r="AF1185" s="10"/>
      <c r="AG1185" s="10"/>
      <c r="AH1185" s="10"/>
      <c r="AI1185" s="10"/>
    </row>
    <row r="1186" spans="1:35">
      <c r="A1186" s="10"/>
      <c r="B1186" s="10" t="str">
        <f t="shared" si="506"/>
        <v>Below the Line2nd Unit</v>
      </c>
      <c r="C1186" t="s">
        <v>20</v>
      </c>
      <c r="D1186" t="s">
        <v>19</v>
      </c>
      <c r="E1186" t="s">
        <v>1419</v>
      </c>
      <c r="F1186" t="s">
        <v>5396</v>
      </c>
      <c r="G1186" t="s">
        <v>2622</v>
      </c>
      <c r="I1186" s="10"/>
      <c r="J1186" s="107">
        <f>SUMIF(Data!C:C,G1186,Data!Q:Q)</f>
        <v>0</v>
      </c>
      <c r="K1186" s="107">
        <f>SUMIF(Comprometidos!A:A,'Cost Report'!G1186,Comprometidos!E:E)</f>
        <v>0</v>
      </c>
      <c r="L1186" s="107">
        <f t="shared" si="507"/>
        <v>0</v>
      </c>
      <c r="M1186" s="107">
        <v>0</v>
      </c>
      <c r="N1186" s="107">
        <f t="shared" si="509"/>
        <v>0</v>
      </c>
      <c r="O1186" s="107">
        <f>VLOOKUP(G1186,Budget!$E$3:$G$2474,3,0)</f>
        <v>7158.9</v>
      </c>
      <c r="P1186" s="107">
        <f t="shared" si="510"/>
        <v>7158.9</v>
      </c>
      <c r="Q1186" s="107"/>
      <c r="R1186" s="10"/>
      <c r="S1186" s="107">
        <v>0</v>
      </c>
      <c r="T1186" s="107">
        <f t="shared" si="505"/>
        <v>0</v>
      </c>
      <c r="U1186" s="107"/>
      <c r="V1186" s="175"/>
      <c r="W1186" s="10"/>
      <c r="X1186" s="10"/>
      <c r="Y1186" t="str">
        <f t="shared" si="511"/>
        <v>2902</v>
      </c>
      <c r="AB1186" s="10"/>
      <c r="AC1186" s="10"/>
      <c r="AD1186" s="10"/>
      <c r="AE1186" s="10"/>
      <c r="AF1186" s="10"/>
      <c r="AG1186" s="10"/>
      <c r="AH1186" s="10"/>
      <c r="AI1186" s="10"/>
    </row>
    <row r="1187" spans="1:35">
      <c r="A1187" s="10"/>
      <c r="B1187" s="10" t="str">
        <f t="shared" si="506"/>
        <v>Below the Line2nd Unit</v>
      </c>
      <c r="C1187" t="s">
        <v>20</v>
      </c>
      <c r="D1187" t="s">
        <v>19</v>
      </c>
      <c r="E1187" t="s">
        <v>1419</v>
      </c>
      <c r="F1187" t="s">
        <v>5396</v>
      </c>
      <c r="G1187" t="s">
        <v>2623</v>
      </c>
      <c r="I1187" s="10"/>
      <c r="J1187" s="107">
        <f>SUMIF(Data!C:C,G1187,Data!Q:Q)</f>
        <v>28634</v>
      </c>
      <c r="K1187" s="107">
        <f>SUMIF(Comprometidos!A:A,'Cost Report'!G1187,Comprometidos!E:E)</f>
        <v>0</v>
      </c>
      <c r="L1187" s="107">
        <f t="shared" si="507"/>
        <v>28634</v>
      </c>
      <c r="M1187" s="107">
        <v>0</v>
      </c>
      <c r="N1187" s="107">
        <f t="shared" si="509"/>
        <v>28634</v>
      </c>
      <c r="O1187" s="107">
        <f>VLOOKUP(G1187,Budget!$E$3:$G$2474,3,0)</f>
        <v>28635.599999999999</v>
      </c>
      <c r="P1187" s="107">
        <f t="shared" si="510"/>
        <v>1.5999999999985448</v>
      </c>
      <c r="Q1187" s="107"/>
      <c r="R1187" s="10"/>
      <c r="S1187" s="107">
        <v>28634</v>
      </c>
      <c r="T1187" s="107">
        <f t="shared" si="505"/>
        <v>0</v>
      </c>
      <c r="U1187" s="107"/>
      <c r="V1187" s="175"/>
      <c r="W1187" s="10"/>
      <c r="X1187" s="10"/>
      <c r="Y1187" t="str">
        <f t="shared" si="511"/>
        <v>2902</v>
      </c>
      <c r="AB1187" s="10"/>
      <c r="AC1187" s="10"/>
      <c r="AD1187" s="10"/>
      <c r="AE1187" s="10"/>
      <c r="AF1187" s="10"/>
      <c r="AG1187" s="10"/>
      <c r="AH1187" s="10"/>
      <c r="AI1187" s="10"/>
    </row>
    <row r="1188" spans="1:35">
      <c r="A1188" s="10"/>
      <c r="B1188" s="10" t="str">
        <f t="shared" si="506"/>
        <v>Below the Line2nd Unit</v>
      </c>
      <c r="C1188" t="s">
        <v>20</v>
      </c>
      <c r="D1188" t="s">
        <v>19</v>
      </c>
      <c r="E1188" t="s">
        <v>1419</v>
      </c>
      <c r="F1188" t="s">
        <v>5396</v>
      </c>
      <c r="G1188" t="s">
        <v>2624</v>
      </c>
      <c r="I1188" s="10"/>
      <c r="J1188" s="107">
        <f>SUMIF(Data!C:C,G1188,Data!Q:Q)</f>
        <v>0</v>
      </c>
      <c r="K1188" s="107">
        <f>SUMIF(Comprometidos!A:A,'Cost Report'!G1188,Comprometidos!E:E)</f>
        <v>0</v>
      </c>
      <c r="L1188" s="107">
        <f t="shared" si="507"/>
        <v>0</v>
      </c>
      <c r="M1188" s="107">
        <v>0</v>
      </c>
      <c r="N1188" s="107">
        <f t="shared" si="509"/>
        <v>0</v>
      </c>
      <c r="O1188" s="107">
        <f>VLOOKUP(G1188,Budget!$E$3:$G$2474,3,0)</f>
        <v>7158.9</v>
      </c>
      <c r="P1188" s="107">
        <f t="shared" si="510"/>
        <v>7158.9</v>
      </c>
      <c r="Q1188" s="107"/>
      <c r="R1188" s="10"/>
      <c r="S1188" s="107">
        <v>0</v>
      </c>
      <c r="T1188" s="107">
        <f t="shared" si="505"/>
        <v>0</v>
      </c>
      <c r="U1188" s="107"/>
      <c r="V1188" s="175"/>
      <c r="W1188" s="10"/>
      <c r="X1188" s="10"/>
      <c r="Y1188" t="str">
        <f t="shared" si="511"/>
        <v>2902</v>
      </c>
      <c r="AB1188" s="10"/>
      <c r="AC1188" s="10"/>
      <c r="AD1188" s="10"/>
      <c r="AE1188" s="10"/>
      <c r="AF1188" s="10"/>
      <c r="AG1188" s="10"/>
      <c r="AH1188" s="10"/>
      <c r="AI1188" s="10"/>
    </row>
    <row r="1189" spans="1:35">
      <c r="A1189" s="10"/>
      <c r="B1189" s="10" t="str">
        <f>+C1189</f>
        <v>Below the Line</v>
      </c>
      <c r="C1189" s="128" t="s">
        <v>20</v>
      </c>
      <c r="D1189" s="128" t="s">
        <v>2117</v>
      </c>
      <c r="E1189" s="128"/>
      <c r="F1189" s="128"/>
      <c r="G1189" s="128" t="s">
        <v>723</v>
      </c>
      <c r="H1189" s="128"/>
      <c r="I1189" s="10"/>
      <c r="J1189" s="129">
        <f>SUMIF($Y$11:$Y$2484,G1189,J$11:J$2484)</f>
        <v>9543.2000000000007</v>
      </c>
      <c r="K1189" s="129">
        <f>SUMIF($Y$11:$Y$2484,G1189,K$11:K$2484)</f>
        <v>0</v>
      </c>
      <c r="L1189" s="129">
        <f>SUMIF($Y$11:$Y$2484,G1189,L$11:L$2484)</f>
        <v>9543.2000000000007</v>
      </c>
      <c r="M1189" s="129">
        <f>SUMIF($Y$11:$Y$2484,G1189,M$11:M$2484)</f>
        <v>0</v>
      </c>
      <c r="N1189" s="129">
        <f>SUMIF($Y$11:$Y$2484,G1189,N$11:N$2484)</f>
        <v>9543.2000000000007</v>
      </c>
      <c r="O1189" s="129">
        <f>SUMIF($Y$11:$Y$2484,G1189,O$11:O$2484)</f>
        <v>60000</v>
      </c>
      <c r="P1189" s="129">
        <f>SUMIF($Y$11:$Y$2484,G1189,P$11:P$2484)</f>
        <v>50456.800000000003</v>
      </c>
      <c r="Q1189" s="129"/>
      <c r="R1189" s="10"/>
      <c r="S1189" s="129">
        <v>9543.2000000000007</v>
      </c>
      <c r="T1189" s="129">
        <f t="shared" si="505"/>
        <v>0</v>
      </c>
      <c r="U1189" s="128"/>
      <c r="V1189" s="175"/>
      <c r="W1189" s="10"/>
      <c r="X1189" s="10"/>
      <c r="Z1189" t="str">
        <f>LEFT(G1189,2)</f>
        <v>29</v>
      </c>
      <c r="AA1189" t="str">
        <f>+Z1189&amp;"00"</f>
        <v>2900</v>
      </c>
      <c r="AB1189" s="10"/>
      <c r="AC1189" s="10"/>
      <c r="AD1189" s="10"/>
      <c r="AE1189" s="10"/>
      <c r="AF1189" s="10"/>
      <c r="AG1189" s="10"/>
      <c r="AH1189" s="10"/>
      <c r="AI1189" s="10"/>
    </row>
    <row r="1190" spans="1:35">
      <c r="A1190" s="10"/>
      <c r="B1190" s="10" t="str">
        <f t="shared" ref="B1190:B1191" si="512">+C1190&amp;E1190</f>
        <v>Below the Line</v>
      </c>
      <c r="C1190" t="s">
        <v>20</v>
      </c>
      <c r="D1190" t="s">
        <v>19</v>
      </c>
      <c r="E1190" t="s">
        <v>214</v>
      </c>
      <c r="G1190" t="s">
        <v>724</v>
      </c>
      <c r="I1190" s="10"/>
      <c r="J1190" s="107">
        <f>SUMIF(Data!C:C,G1190,Data!Q:Q)</f>
        <v>0</v>
      </c>
      <c r="K1190" s="107">
        <f>SUMIF(Comprometidos!A:A,'Cost Report'!G1190,Comprometidos!E:E)</f>
        <v>0</v>
      </c>
      <c r="L1190" s="107">
        <f t="shared" ref="L1190:L1208" si="513">+J1190+K1190</f>
        <v>0</v>
      </c>
      <c r="M1190" s="107">
        <f t="shared" ref="M1190:M1205" si="514">+O1190-L1190</f>
        <v>0</v>
      </c>
      <c r="N1190" s="107">
        <f t="shared" ref="N1190:N1208" si="515">+L1190+M1190</f>
        <v>0</v>
      </c>
      <c r="O1190" s="107">
        <f>VLOOKUP(G1190,Budget!$E$3:$G$2474,3,0)</f>
        <v>0</v>
      </c>
      <c r="P1190" s="107">
        <f t="shared" ref="P1190:P1208" si="516">+O1190-N1190</f>
        <v>0</v>
      </c>
      <c r="Q1190" s="107"/>
      <c r="R1190" s="10"/>
      <c r="S1190" s="107">
        <v>0</v>
      </c>
      <c r="T1190" s="107">
        <f t="shared" si="505"/>
        <v>0</v>
      </c>
      <c r="U1190" s="107"/>
      <c r="V1190" s="175"/>
      <c r="W1190" s="10"/>
      <c r="X1190" s="10"/>
      <c r="Y1190" t="str">
        <f t="shared" ref="Y1190:Y1191" si="517">LEFT(G1190,4)</f>
        <v>2911</v>
      </c>
      <c r="AB1190" s="10"/>
      <c r="AC1190" s="10"/>
      <c r="AD1190" s="10"/>
      <c r="AE1190" s="10"/>
      <c r="AF1190" s="10"/>
      <c r="AG1190" s="10"/>
      <c r="AH1190" s="10"/>
      <c r="AI1190" s="10"/>
    </row>
    <row r="1191" spans="1:35">
      <c r="A1191" s="10"/>
      <c r="B1191" s="10" t="str">
        <f t="shared" si="512"/>
        <v>Below the LineSHOOT</v>
      </c>
      <c r="C1191" t="s">
        <v>20</v>
      </c>
      <c r="D1191" t="s">
        <v>19</v>
      </c>
      <c r="E1191" t="s">
        <v>236</v>
      </c>
      <c r="F1191" t="s">
        <v>5396</v>
      </c>
      <c r="G1191" t="s">
        <v>2625</v>
      </c>
      <c r="I1191" s="10"/>
      <c r="J1191" s="107">
        <f>SUMIF(Data!C:C,G1191,Data!Q:Q)</f>
        <v>9543.2000000000007</v>
      </c>
      <c r="K1191" s="107">
        <f>SUMIF(Comprometidos!A:A,'Cost Report'!G1191,Comprometidos!E:E)</f>
        <v>0</v>
      </c>
      <c r="L1191" s="107">
        <f t="shared" si="513"/>
        <v>9543.2000000000007</v>
      </c>
      <c r="M1191" s="107">
        <v>0</v>
      </c>
      <c r="N1191" s="107">
        <f t="shared" si="515"/>
        <v>9543.2000000000007</v>
      </c>
      <c r="O1191" s="107">
        <f>VLOOKUP(G1191,Budget!$E$3:$G$2474,3,0)</f>
        <v>60000</v>
      </c>
      <c r="P1191" s="107">
        <f t="shared" si="516"/>
        <v>50456.800000000003</v>
      </c>
      <c r="Q1191" s="107"/>
      <c r="R1191" s="10"/>
      <c r="S1191" s="107">
        <v>9543.2000000000007</v>
      </c>
      <c r="T1191" s="107">
        <f t="shared" si="505"/>
        <v>0</v>
      </c>
      <c r="U1191" s="107"/>
      <c r="V1191" s="175"/>
      <c r="W1191" s="10"/>
      <c r="X1191" s="10"/>
      <c r="Y1191" t="str">
        <f t="shared" si="517"/>
        <v>2911</v>
      </c>
      <c r="AB1191" s="10"/>
      <c r="AC1191" s="10"/>
      <c r="AD1191" s="10"/>
      <c r="AE1191" s="10"/>
      <c r="AF1191" s="10"/>
      <c r="AG1191" s="10"/>
      <c r="AH1191" s="10"/>
      <c r="AI1191" s="10"/>
    </row>
    <row r="1192" spans="1:35">
      <c r="A1192" s="10"/>
      <c r="B1192" s="10" t="str">
        <f>+C1192</f>
        <v>Below the Line</v>
      </c>
      <c r="C1192" s="128" t="s">
        <v>20</v>
      </c>
      <c r="D1192" s="128" t="s">
        <v>2117</v>
      </c>
      <c r="E1192" s="128"/>
      <c r="F1192" s="128"/>
      <c r="G1192" s="128" t="s">
        <v>725</v>
      </c>
      <c r="H1192" s="128"/>
      <c r="I1192" s="10"/>
      <c r="J1192" s="129">
        <f>SUMIF($Y$11:$Y$2484,G1192,J$11:J$2484)</f>
        <v>7700</v>
      </c>
      <c r="K1192" s="129">
        <f>SUMIF($Y$11:$Y$2484,G1192,K$11:K$2484)</f>
        <v>0</v>
      </c>
      <c r="L1192" s="129">
        <f>SUMIF($Y$11:$Y$2484,G1192,L$11:L$2484)</f>
        <v>7700</v>
      </c>
      <c r="M1192" s="129">
        <f>SUMIF($Y$11:$Y$2484,G1192,M$11:M$2484)</f>
        <v>0</v>
      </c>
      <c r="N1192" s="129">
        <f>SUMIF($Y$11:$Y$2484,G1192,N$11:N$2484)</f>
        <v>7700</v>
      </c>
      <c r="O1192" s="129">
        <f>SUMIF($Y$11:$Y$2484,G1192,O$11:O$2484)</f>
        <v>78750</v>
      </c>
      <c r="P1192" s="129">
        <f>SUMIF($Y$11:$Y$2484,G1192,P$11:P$2484)</f>
        <v>71050</v>
      </c>
      <c r="Q1192" s="129"/>
      <c r="R1192" s="10"/>
      <c r="S1192" s="129">
        <v>7700</v>
      </c>
      <c r="T1192" s="129">
        <f t="shared" si="505"/>
        <v>0</v>
      </c>
      <c r="U1192" s="128"/>
      <c r="V1192" s="175"/>
      <c r="W1192" s="10"/>
      <c r="X1192" s="10"/>
      <c r="Z1192" t="str">
        <f>LEFT(G1192,2)</f>
        <v>29</v>
      </c>
      <c r="AA1192" t="str">
        <f>+Z1192&amp;"00"</f>
        <v>2900</v>
      </c>
      <c r="AB1192" s="10"/>
      <c r="AC1192" s="10"/>
      <c r="AD1192" s="10"/>
      <c r="AE1192" s="10"/>
      <c r="AF1192" s="10"/>
      <c r="AG1192" s="10"/>
      <c r="AH1192" s="10"/>
      <c r="AI1192" s="10"/>
    </row>
    <row r="1193" spans="1:35">
      <c r="A1193" s="10"/>
      <c r="B1193" s="10" t="str">
        <f t="shared" ref="B1193:B1194" si="518">+C1193&amp;E1193</f>
        <v>Below the Line</v>
      </c>
      <c r="C1193" t="s">
        <v>20</v>
      </c>
      <c r="D1193" t="s">
        <v>19</v>
      </c>
      <c r="E1193" t="s">
        <v>214</v>
      </c>
      <c r="G1193" t="s">
        <v>726</v>
      </c>
      <c r="I1193" s="10"/>
      <c r="J1193" s="107">
        <f>SUMIF(Data!C:C,G1193,Data!Q:Q)</f>
        <v>0</v>
      </c>
      <c r="K1193" s="107">
        <f>SUMIF(Comprometidos!A:A,'Cost Report'!G1193,Comprometidos!E:E)</f>
        <v>0</v>
      </c>
      <c r="L1193" s="107">
        <f t="shared" si="513"/>
        <v>0</v>
      </c>
      <c r="M1193" s="107">
        <f t="shared" si="514"/>
        <v>0</v>
      </c>
      <c r="N1193" s="107">
        <f t="shared" si="515"/>
        <v>0</v>
      </c>
      <c r="O1193" s="107">
        <f>VLOOKUP(G1193,Budget!$E$3:$G$2474,3,0)</f>
        <v>0</v>
      </c>
      <c r="P1193" s="107">
        <f t="shared" si="516"/>
        <v>0</v>
      </c>
      <c r="Q1193" s="107"/>
      <c r="R1193" s="10"/>
      <c r="S1193" s="107">
        <v>0</v>
      </c>
      <c r="T1193" s="107">
        <f t="shared" si="505"/>
        <v>0</v>
      </c>
      <c r="U1193" s="107"/>
      <c r="V1193" s="175"/>
      <c r="W1193" s="10"/>
      <c r="X1193" s="10"/>
      <c r="Y1193" t="str">
        <f t="shared" ref="Y1193:Y1194" si="519">LEFT(G1193,4)</f>
        <v>2985</v>
      </c>
      <c r="AB1193" s="10"/>
      <c r="AC1193" s="10"/>
      <c r="AD1193" s="10"/>
      <c r="AE1193" s="10"/>
      <c r="AF1193" s="10"/>
      <c r="AG1193" s="10"/>
      <c r="AH1193" s="10"/>
      <c r="AI1193" s="10"/>
    </row>
    <row r="1194" spans="1:35">
      <c r="A1194" s="10"/>
      <c r="B1194" s="10" t="str">
        <f t="shared" si="518"/>
        <v>Below the LineALL SHOW</v>
      </c>
      <c r="C1194" t="s">
        <v>20</v>
      </c>
      <c r="D1194" t="s">
        <v>19</v>
      </c>
      <c r="E1194" t="s">
        <v>227</v>
      </c>
      <c r="G1194" t="s">
        <v>2626</v>
      </c>
      <c r="I1194" s="10"/>
      <c r="J1194" s="107">
        <f>SUMIF(Data!C:C,G1194,Data!Q:Q)</f>
        <v>7700</v>
      </c>
      <c r="K1194" s="107">
        <f>SUMIF(Comprometidos!A:A,'Cost Report'!G1194,Comprometidos!E:E)</f>
        <v>0</v>
      </c>
      <c r="L1194" s="107">
        <f t="shared" si="513"/>
        <v>7700</v>
      </c>
      <c r="M1194" s="107">
        <v>0</v>
      </c>
      <c r="N1194" s="107">
        <f t="shared" si="515"/>
        <v>7700</v>
      </c>
      <c r="O1194" s="107">
        <f>VLOOKUP(G1194,Budget!$E$3:$G$2474,3,0)</f>
        <v>78750</v>
      </c>
      <c r="P1194" s="107">
        <f t="shared" si="516"/>
        <v>71050</v>
      </c>
      <c r="Q1194" s="107"/>
      <c r="R1194" s="10"/>
      <c r="S1194" s="107">
        <v>7700</v>
      </c>
      <c r="T1194" s="107">
        <f t="shared" si="505"/>
        <v>0</v>
      </c>
      <c r="U1194" s="107"/>
      <c r="V1194" s="175"/>
      <c r="W1194" s="10"/>
      <c r="X1194" s="10"/>
      <c r="Y1194" t="str">
        <f t="shared" si="519"/>
        <v>2985</v>
      </c>
      <c r="AB1194" s="10"/>
      <c r="AC1194" s="10"/>
      <c r="AD1194" s="10"/>
      <c r="AE1194" s="10"/>
      <c r="AF1194" s="10"/>
      <c r="AG1194" s="10"/>
      <c r="AH1194" s="10"/>
      <c r="AI1194" s="10"/>
    </row>
    <row r="1195" spans="1:35">
      <c r="A1195" s="10"/>
      <c r="B1195" s="10" t="str">
        <f>+C1195</f>
        <v>Below the Line</v>
      </c>
      <c r="C1195" s="128" t="s">
        <v>20</v>
      </c>
      <c r="D1195" s="128" t="s">
        <v>2117</v>
      </c>
      <c r="E1195" s="128"/>
      <c r="F1195" s="128"/>
      <c r="G1195" s="128" t="s">
        <v>727</v>
      </c>
      <c r="H1195" s="128"/>
      <c r="I1195" s="10"/>
      <c r="J1195" s="129">
        <f>SUMIF($Y$11:$Y$2484,G1195,J$11:J$2484)</f>
        <v>0</v>
      </c>
      <c r="K1195" s="129">
        <f>SUMIF($Y$11:$Y$2484,G1195,K$11:K$2484)</f>
        <v>0</v>
      </c>
      <c r="L1195" s="129">
        <f>SUMIF($Y$11:$Y$2484,G1195,L$11:L$2484)</f>
        <v>0</v>
      </c>
      <c r="M1195" s="129">
        <f>SUMIF($Y$11:$Y$2484,G1195,M$11:M$2484)</f>
        <v>0</v>
      </c>
      <c r="N1195" s="129">
        <f>SUMIF($Y$11:$Y$2484,G1195,N$11:N$2484)</f>
        <v>0</v>
      </c>
      <c r="O1195" s="129">
        <f>SUMIF($Y$11:$Y$2484,G1195,O$11:O$2484)</f>
        <v>80000</v>
      </c>
      <c r="P1195" s="129">
        <f>SUMIF($Y$11:$Y$2484,G1195,P$11:P$2484)</f>
        <v>80000</v>
      </c>
      <c r="Q1195" s="129"/>
      <c r="R1195" s="10"/>
      <c r="S1195" s="129">
        <v>0</v>
      </c>
      <c r="T1195" s="129">
        <f t="shared" si="505"/>
        <v>0</v>
      </c>
      <c r="U1195" s="128"/>
      <c r="V1195" s="175"/>
      <c r="W1195" s="10"/>
      <c r="X1195" s="10"/>
      <c r="Z1195" t="str">
        <f>LEFT(G1195,2)</f>
        <v>29</v>
      </c>
      <c r="AA1195" t="str">
        <f>+Z1195&amp;"00"</f>
        <v>2900</v>
      </c>
      <c r="AB1195" s="10"/>
      <c r="AC1195" s="10"/>
      <c r="AD1195" s="10"/>
      <c r="AE1195" s="10"/>
      <c r="AF1195" s="10"/>
      <c r="AG1195" s="10"/>
      <c r="AH1195" s="10"/>
      <c r="AI1195" s="10"/>
    </row>
    <row r="1196" spans="1:35">
      <c r="A1196" s="10"/>
      <c r="B1196" s="10" t="str">
        <f t="shared" ref="B1196:B1198" si="520">+C1196&amp;E1196</f>
        <v>Below the LineFringes</v>
      </c>
      <c r="C1196" t="s">
        <v>20</v>
      </c>
      <c r="D1196" t="s">
        <v>19</v>
      </c>
      <c r="E1196" t="s">
        <v>1898</v>
      </c>
      <c r="G1196" t="s">
        <v>728</v>
      </c>
      <c r="I1196" s="10"/>
      <c r="J1196" s="107">
        <f>SUMIF(Data!C:C,G1196,Data!Q:Q)</f>
        <v>0</v>
      </c>
      <c r="K1196" s="107">
        <f>SUMIF(Comprometidos!A:A,'Cost Report'!G1196,Comprometidos!E:E)</f>
        <v>0</v>
      </c>
      <c r="L1196" s="107">
        <f t="shared" si="513"/>
        <v>0</v>
      </c>
      <c r="M1196" s="107">
        <f t="shared" si="514"/>
        <v>0</v>
      </c>
      <c r="N1196" s="107">
        <f t="shared" si="515"/>
        <v>0</v>
      </c>
      <c r="O1196" s="107">
        <f>VLOOKUP(G1196,Budget!$E$3:$G$2474,3,0)</f>
        <v>0</v>
      </c>
      <c r="P1196" s="107">
        <f t="shared" si="516"/>
        <v>0</v>
      </c>
      <c r="Q1196" s="107"/>
      <c r="R1196" s="10"/>
      <c r="S1196" s="107">
        <v>0</v>
      </c>
      <c r="T1196" s="107">
        <f t="shared" si="505"/>
        <v>0</v>
      </c>
      <c r="U1196" s="107"/>
      <c r="V1196" s="175"/>
      <c r="W1196" s="10"/>
      <c r="X1196" s="10"/>
      <c r="Y1196" t="str">
        <f t="shared" ref="Y1196:Y1198" si="521">LEFT(G1196,4)</f>
        <v>2998</v>
      </c>
      <c r="AB1196" s="10"/>
      <c r="AC1196" s="10"/>
      <c r="AD1196" s="10"/>
      <c r="AE1196" s="10"/>
      <c r="AF1196" s="10"/>
      <c r="AG1196" s="10"/>
      <c r="AH1196" s="10"/>
      <c r="AI1196" s="10"/>
    </row>
    <row r="1197" spans="1:35">
      <c r="A1197" s="10"/>
      <c r="B1197" s="10" t="str">
        <f t="shared" si="520"/>
        <v>Below the Line</v>
      </c>
      <c r="C1197" t="s">
        <v>20</v>
      </c>
      <c r="D1197" t="s">
        <v>19</v>
      </c>
      <c r="E1197" t="s">
        <v>214</v>
      </c>
      <c r="G1197" t="s">
        <v>729</v>
      </c>
      <c r="I1197" s="10"/>
      <c r="J1197" s="107">
        <f>SUMIF(Data!C:C,G1197,Data!Q:Q)</f>
        <v>0</v>
      </c>
      <c r="K1197" s="107">
        <f>SUMIF(Comprometidos!A:A,'Cost Report'!G1197,Comprometidos!E:E)</f>
        <v>0</v>
      </c>
      <c r="L1197" s="107">
        <f t="shared" si="513"/>
        <v>0</v>
      </c>
      <c r="M1197" s="107">
        <f t="shared" si="514"/>
        <v>0</v>
      </c>
      <c r="N1197" s="107">
        <f t="shared" si="515"/>
        <v>0</v>
      </c>
      <c r="O1197" s="107">
        <f>VLOOKUP(G1197,Budget!$E$3:$G$2474,3,0)</f>
        <v>0</v>
      </c>
      <c r="P1197" s="107">
        <f t="shared" si="516"/>
        <v>0</v>
      </c>
      <c r="Q1197" s="107"/>
      <c r="R1197" s="10"/>
      <c r="S1197" s="107">
        <v>0</v>
      </c>
      <c r="T1197" s="107">
        <f t="shared" si="505"/>
        <v>0</v>
      </c>
      <c r="U1197" s="107"/>
      <c r="V1197" s="175"/>
      <c r="W1197" s="10"/>
      <c r="X1197" s="10"/>
      <c r="Y1197" t="str">
        <f t="shared" si="521"/>
        <v>2998</v>
      </c>
      <c r="AB1197" s="10"/>
      <c r="AC1197" s="10"/>
      <c r="AD1197" s="10"/>
      <c r="AE1197" s="10"/>
      <c r="AF1197" s="10"/>
      <c r="AG1197" s="10"/>
      <c r="AH1197" s="10"/>
      <c r="AI1197" s="10"/>
    </row>
    <row r="1198" spans="1:35">
      <c r="A1198" s="10"/>
      <c r="B1198" s="10" t="str">
        <f t="shared" si="520"/>
        <v>Below the LineALL SHOW</v>
      </c>
      <c r="C1198" t="s">
        <v>20</v>
      </c>
      <c r="D1198" t="s">
        <v>19</v>
      </c>
      <c r="E1198" t="s">
        <v>227</v>
      </c>
      <c r="G1198" t="s">
        <v>2627</v>
      </c>
      <c r="I1198" s="10"/>
      <c r="J1198" s="107">
        <f>SUMIF(Data!C:C,G1198,Data!Q:Q)</f>
        <v>0</v>
      </c>
      <c r="K1198" s="107">
        <f>SUMIF(Comprometidos!A:A,'Cost Report'!G1198,Comprometidos!E:E)</f>
        <v>0</v>
      </c>
      <c r="L1198" s="107">
        <f t="shared" si="513"/>
        <v>0</v>
      </c>
      <c r="M1198" s="107">
        <v>0</v>
      </c>
      <c r="N1198" s="107">
        <f t="shared" si="515"/>
        <v>0</v>
      </c>
      <c r="O1198" s="107">
        <f>VLOOKUP(G1198,Budget!$E$3:$G$2474,3,0)</f>
        <v>80000</v>
      </c>
      <c r="P1198" s="107">
        <f t="shared" si="516"/>
        <v>80000</v>
      </c>
      <c r="Q1198" s="107"/>
      <c r="R1198" s="10"/>
      <c r="S1198" s="107">
        <v>0</v>
      </c>
      <c r="T1198" s="107">
        <f t="shared" si="505"/>
        <v>0</v>
      </c>
      <c r="U1198" s="107"/>
      <c r="V1198" s="175"/>
      <c r="W1198" s="10"/>
      <c r="X1198" s="10"/>
      <c r="Y1198" t="str">
        <f t="shared" si="521"/>
        <v>2998</v>
      </c>
      <c r="AB1198" s="10"/>
      <c r="AC1198" s="10"/>
      <c r="AD1198" s="10"/>
      <c r="AE1198" s="10"/>
      <c r="AF1198" s="10"/>
      <c r="AG1198" s="10"/>
      <c r="AH1198" s="10"/>
      <c r="AI1198" s="10"/>
    </row>
    <row r="1199" spans="1:35">
      <c r="A1199" s="10"/>
      <c r="B1199" s="10"/>
      <c r="C1199" s="170" t="s">
        <v>20</v>
      </c>
      <c r="D1199" s="170" t="s">
        <v>8</v>
      </c>
      <c r="E1199" s="170"/>
      <c r="F1199" s="170"/>
      <c r="G1199" s="170" t="s">
        <v>730</v>
      </c>
      <c r="H1199" s="170"/>
      <c r="I1199" s="10"/>
      <c r="J1199" s="169">
        <f>SUMIF($AA$10:$AA$2484,G1199,J$10:J$2484)</f>
        <v>1170276.94</v>
      </c>
      <c r="K1199" s="169">
        <f>SUMIF($AA$10:$AA$2484,G1199,K$10:K$2484)</f>
        <v>0</v>
      </c>
      <c r="L1199" s="169">
        <f>SUMIF($AA$10:$AA$2484,G1199,L$10:L$2484)</f>
        <v>1170276.94</v>
      </c>
      <c r="M1199" s="169">
        <f>SUMIF($AA$10:$AA$2484,G1199,M$10:M$2484)</f>
        <v>9.0949470177292824E-12</v>
      </c>
      <c r="N1199" s="169">
        <f>SUMIF($AA$10:$AA$2484,G1199,N$10:N$2484)</f>
        <v>1170276.94</v>
      </c>
      <c r="O1199" s="169">
        <f>SUMIF($AA$10:$AA$2484,G1199,O$10:O$2484)</f>
        <v>1624361.46</v>
      </c>
      <c r="P1199" s="168">
        <f>SUMIF($AA$10:$AA$2484,G1199,P$10:P$2484)</f>
        <v>454084.52</v>
      </c>
      <c r="Q1199" s="169"/>
      <c r="R1199" s="10"/>
      <c r="S1199" s="164">
        <v>1170276.94</v>
      </c>
      <c r="T1199" s="164">
        <f t="shared" si="505"/>
        <v>0</v>
      </c>
      <c r="U1199" s="163"/>
      <c r="V1199" s="175"/>
      <c r="W1199" s="10"/>
      <c r="X1199" s="10"/>
      <c r="AB1199" s="10"/>
      <c r="AC1199" s="10"/>
      <c r="AD1199" s="10"/>
      <c r="AE1199" s="10"/>
      <c r="AF1199" s="10"/>
      <c r="AG1199" s="10"/>
      <c r="AH1199" s="10"/>
      <c r="AI1199" s="10"/>
    </row>
    <row r="1200" spans="1:35">
      <c r="A1200" s="10"/>
      <c r="B1200" s="10" t="str">
        <f>+C1200</f>
        <v>Below the Line</v>
      </c>
      <c r="C1200" s="128" t="s">
        <v>20</v>
      </c>
      <c r="D1200" s="128" t="s">
        <v>2117</v>
      </c>
      <c r="E1200" s="128"/>
      <c r="F1200" s="128"/>
      <c r="G1200" s="128" t="s">
        <v>731</v>
      </c>
      <c r="H1200" s="128"/>
      <c r="I1200" s="10"/>
      <c r="J1200" s="129">
        <f>SUMIF($Y$11:$Y$2484,G1200,J$11:J$2484)</f>
        <v>179527.93</v>
      </c>
      <c r="K1200" s="129">
        <f>SUMIF($Y$11:$Y$2484,G1200,K$11:K$2484)</f>
        <v>0</v>
      </c>
      <c r="L1200" s="129">
        <f>SUMIF($Y$11:$Y$2484,G1200,L$11:L$2484)</f>
        <v>179527.93</v>
      </c>
      <c r="M1200" s="129">
        <f>SUMIF($Y$11:$Y$2484,G1200,M$11:M$2484)</f>
        <v>0</v>
      </c>
      <c r="N1200" s="129">
        <f>SUMIF($Y$11:$Y$2484,G1200,N$11:N$2484)</f>
        <v>179527.93</v>
      </c>
      <c r="O1200" s="129">
        <f>SUMIF($Y$11:$Y$2484,G1200,O$11:O$2484)</f>
        <v>211465.80999999997</v>
      </c>
      <c r="P1200" s="129">
        <f>SUMIF($Y$11:$Y$2484,G1200,P$11:P$2484)</f>
        <v>31937.880000000019</v>
      </c>
      <c r="Q1200" s="129"/>
      <c r="R1200" s="10"/>
      <c r="S1200" s="129">
        <v>179527.93</v>
      </c>
      <c r="T1200" s="129">
        <f t="shared" si="505"/>
        <v>0</v>
      </c>
      <c r="U1200" s="128"/>
      <c r="V1200" s="175"/>
      <c r="W1200" s="10"/>
      <c r="X1200" s="10"/>
      <c r="Z1200" t="str">
        <f>LEFT(G1200,2)</f>
        <v>30</v>
      </c>
      <c r="AA1200" t="str">
        <f>+Z1200&amp;"00"</f>
        <v>3000</v>
      </c>
      <c r="AB1200" s="10"/>
      <c r="AC1200" s="10"/>
      <c r="AD1200" s="10"/>
      <c r="AE1200" s="10"/>
      <c r="AF1200" s="10"/>
      <c r="AG1200" s="10"/>
      <c r="AH1200" s="10"/>
      <c r="AI1200" s="10"/>
    </row>
    <row r="1201" spans="1:35">
      <c r="A1201" s="10"/>
      <c r="B1201" s="10" t="str">
        <f t="shared" ref="B1201:B1208" si="522">+C1201&amp;E1201</f>
        <v>Below the Line</v>
      </c>
      <c r="C1201" t="s">
        <v>20</v>
      </c>
      <c r="D1201" t="s">
        <v>19</v>
      </c>
      <c r="E1201" t="s">
        <v>214</v>
      </c>
      <c r="F1201" t="s">
        <v>5396</v>
      </c>
      <c r="G1201" t="s">
        <v>732</v>
      </c>
      <c r="I1201" s="10"/>
      <c r="J1201" s="107">
        <f>SUMIF(Data!C:C,G1201,Data!Q:Q)</f>
        <v>0</v>
      </c>
      <c r="K1201" s="107">
        <f>SUMIF(Comprometidos!A:A,'Cost Report'!G1201,Comprometidos!E:E)</f>
        <v>0</v>
      </c>
      <c r="L1201" s="107">
        <f t="shared" si="513"/>
        <v>0</v>
      </c>
      <c r="M1201" s="107">
        <f t="shared" si="514"/>
        <v>0</v>
      </c>
      <c r="N1201" s="107">
        <f t="shared" si="515"/>
        <v>0</v>
      </c>
      <c r="O1201" s="107">
        <f>VLOOKUP(G1201,Budget!$E$3:$G$2474,3,0)</f>
        <v>0</v>
      </c>
      <c r="P1201" s="107">
        <f t="shared" si="516"/>
        <v>0</v>
      </c>
      <c r="Q1201" s="107"/>
      <c r="R1201" s="10"/>
      <c r="S1201" s="107">
        <v>0</v>
      </c>
      <c r="T1201" s="107">
        <f t="shared" si="505"/>
        <v>0</v>
      </c>
      <c r="U1201" s="107"/>
      <c r="V1201" s="175"/>
      <c r="W1201" s="10"/>
      <c r="X1201" s="10"/>
      <c r="Y1201" t="str">
        <f t="shared" ref="Y1201:Y1208" si="523">LEFT(G1201,4)</f>
        <v>3001</v>
      </c>
      <c r="AB1201" s="10"/>
      <c r="AC1201" s="10"/>
      <c r="AD1201" s="10"/>
      <c r="AE1201" s="10"/>
      <c r="AF1201" s="10"/>
      <c r="AG1201" s="10"/>
      <c r="AH1201" s="10"/>
      <c r="AI1201" s="10"/>
    </row>
    <row r="1202" spans="1:35">
      <c r="A1202" s="10"/>
      <c r="B1202" s="10" t="str">
        <f t="shared" si="522"/>
        <v>Below the LinePREP</v>
      </c>
      <c r="C1202" t="s">
        <v>20</v>
      </c>
      <c r="D1202" t="s">
        <v>19</v>
      </c>
      <c r="E1202" t="s">
        <v>234</v>
      </c>
      <c r="F1202" t="s">
        <v>5396</v>
      </c>
      <c r="G1202" t="s">
        <v>733</v>
      </c>
      <c r="I1202" s="10"/>
      <c r="J1202" s="107">
        <f>SUMIF(Data!C:C,G1202,Data!Q:Q)</f>
        <v>17622.150000000001</v>
      </c>
      <c r="K1202" s="107">
        <f>SUMIF(Comprometidos!A:A,'Cost Report'!G1202,Comprometidos!E:E)</f>
        <v>0</v>
      </c>
      <c r="L1202" s="107">
        <f t="shared" si="513"/>
        <v>17622.150000000001</v>
      </c>
      <c r="M1202" s="107">
        <v>0</v>
      </c>
      <c r="N1202" s="107">
        <f t="shared" si="515"/>
        <v>17622.150000000001</v>
      </c>
      <c r="O1202" s="107">
        <f>VLOOKUP(G1202,Budget!$E$3:$G$2474,3,0)</f>
        <v>17622.150000000001</v>
      </c>
      <c r="P1202" s="107">
        <f t="shared" si="516"/>
        <v>0</v>
      </c>
      <c r="Q1202" s="107"/>
      <c r="R1202" s="10"/>
      <c r="S1202" s="107">
        <v>17622.150000000001</v>
      </c>
      <c r="T1202" s="107">
        <f t="shared" si="505"/>
        <v>0</v>
      </c>
      <c r="U1202" s="107"/>
      <c r="V1202" s="175"/>
      <c r="W1202" s="10"/>
      <c r="X1202" s="10"/>
      <c r="Y1202" t="str">
        <f t="shared" si="523"/>
        <v>3001</v>
      </c>
      <c r="AB1202" s="10"/>
      <c r="AC1202" s="10"/>
      <c r="AD1202" s="10"/>
      <c r="AE1202" s="10"/>
      <c r="AF1202" s="10"/>
      <c r="AG1202" s="10"/>
      <c r="AH1202" s="10"/>
      <c r="AI1202" s="10"/>
    </row>
    <row r="1203" spans="1:35">
      <c r="A1203" s="10"/>
      <c r="B1203" s="10" t="str">
        <f t="shared" si="522"/>
        <v>Below the LineSHOOT</v>
      </c>
      <c r="C1203" t="s">
        <v>20</v>
      </c>
      <c r="D1203" t="s">
        <v>19</v>
      </c>
      <c r="E1203" t="s">
        <v>236</v>
      </c>
      <c r="F1203" t="s">
        <v>5396</v>
      </c>
      <c r="G1203" t="s">
        <v>734</v>
      </c>
      <c r="I1203" s="10"/>
      <c r="J1203" s="107">
        <f>SUMIF(Data!C:C,G1203,Data!Q:Q)</f>
        <v>123354.12999999999</v>
      </c>
      <c r="K1203" s="107">
        <f>SUMIF(Comprometidos!A:A,'Cost Report'!G1203,Comprometidos!E:E)</f>
        <v>0</v>
      </c>
      <c r="L1203" s="107">
        <f t="shared" si="513"/>
        <v>123354.12999999999</v>
      </c>
      <c r="M1203" s="107">
        <v>0</v>
      </c>
      <c r="N1203" s="107">
        <f t="shared" si="515"/>
        <v>123354.12999999999</v>
      </c>
      <c r="O1203" s="107">
        <f>VLOOKUP(G1203,Budget!$E$3:$G$2474,3,0)</f>
        <v>123355.05</v>
      </c>
      <c r="P1203" s="107">
        <f t="shared" si="516"/>
        <v>0.92000000001280569</v>
      </c>
      <c r="Q1203" s="107"/>
      <c r="R1203" s="10"/>
      <c r="S1203" s="107">
        <v>123354.12999999999</v>
      </c>
      <c r="T1203" s="107">
        <f t="shared" si="505"/>
        <v>0</v>
      </c>
      <c r="U1203" s="107"/>
      <c r="V1203" s="175"/>
      <c r="W1203" s="10"/>
      <c r="X1203" s="10"/>
      <c r="Y1203" t="str">
        <f t="shared" si="523"/>
        <v>3001</v>
      </c>
      <c r="AB1203" s="10"/>
      <c r="AC1203" s="10"/>
      <c r="AD1203" s="10"/>
      <c r="AE1203" s="10"/>
      <c r="AF1203" s="10"/>
      <c r="AG1203" s="10"/>
      <c r="AH1203" s="10"/>
      <c r="AI1203" s="10"/>
    </row>
    <row r="1204" spans="1:35">
      <c r="A1204" s="10"/>
      <c r="B1204" s="10" t="str">
        <f t="shared" si="522"/>
        <v>Below the LineWRAP</v>
      </c>
      <c r="C1204" t="s">
        <v>20</v>
      </c>
      <c r="D1204" t="s">
        <v>19</v>
      </c>
      <c r="E1204" t="s">
        <v>238</v>
      </c>
      <c r="F1204" t="s">
        <v>5396</v>
      </c>
      <c r="G1204" t="s">
        <v>735</v>
      </c>
      <c r="I1204" s="10"/>
      <c r="J1204" s="107">
        <f>SUMIF(Data!C:C,G1204,Data!Q:Q)</f>
        <v>0</v>
      </c>
      <c r="K1204" s="107">
        <f>SUMIF(Comprometidos!A:A,'Cost Report'!G1204,Comprometidos!E:E)</f>
        <v>0</v>
      </c>
      <c r="L1204" s="107">
        <f t="shared" si="513"/>
        <v>0</v>
      </c>
      <c r="M1204" s="107">
        <v>0</v>
      </c>
      <c r="N1204" s="107">
        <f t="shared" si="515"/>
        <v>0</v>
      </c>
      <c r="O1204" s="107">
        <f>VLOOKUP(G1204,Budget!$E$3:$G$2474,3,0)</f>
        <v>17622.150000000001</v>
      </c>
      <c r="P1204" s="107">
        <f t="shared" si="516"/>
        <v>17622.150000000001</v>
      </c>
      <c r="Q1204" s="107"/>
      <c r="R1204" s="10"/>
      <c r="S1204" s="107">
        <v>0</v>
      </c>
      <c r="T1204" s="107">
        <f t="shared" si="505"/>
        <v>0</v>
      </c>
      <c r="U1204" s="107"/>
      <c r="V1204" s="175"/>
      <c r="W1204" s="10"/>
      <c r="X1204" s="10"/>
      <c r="Y1204" t="str">
        <f t="shared" si="523"/>
        <v>3001</v>
      </c>
      <c r="AB1204" s="10"/>
      <c r="AC1204" s="10"/>
      <c r="AD1204" s="10"/>
      <c r="AE1204" s="10"/>
      <c r="AF1204" s="10"/>
      <c r="AG1204" s="10"/>
      <c r="AH1204" s="10"/>
      <c r="AI1204" s="10"/>
    </row>
    <row r="1205" spans="1:35">
      <c r="A1205" s="10"/>
      <c r="B1205" s="10" t="str">
        <f t="shared" si="522"/>
        <v>Below the Line</v>
      </c>
      <c r="C1205" t="s">
        <v>20</v>
      </c>
      <c r="D1205" t="s">
        <v>19</v>
      </c>
      <c r="E1205" t="s">
        <v>214</v>
      </c>
      <c r="F1205" t="s">
        <v>5396</v>
      </c>
      <c r="G1205" t="s">
        <v>736</v>
      </c>
      <c r="I1205" s="10"/>
      <c r="J1205" s="107">
        <f>SUMIF(Data!C:C,G1205,Data!Q:Q)</f>
        <v>0</v>
      </c>
      <c r="K1205" s="107">
        <f>SUMIF(Comprometidos!A:A,'Cost Report'!G1205,Comprometidos!E:E)</f>
        <v>0</v>
      </c>
      <c r="L1205" s="107">
        <f t="shared" si="513"/>
        <v>0</v>
      </c>
      <c r="M1205" s="107">
        <f t="shared" si="514"/>
        <v>0</v>
      </c>
      <c r="N1205" s="107">
        <f t="shared" si="515"/>
        <v>0</v>
      </c>
      <c r="O1205" s="107">
        <f>VLOOKUP(G1205,Budget!$E$3:$G$2474,3,0)</f>
        <v>0</v>
      </c>
      <c r="P1205" s="107">
        <f t="shared" si="516"/>
        <v>0</v>
      </c>
      <c r="Q1205" s="107"/>
      <c r="R1205" s="10"/>
      <c r="S1205" s="107">
        <v>0</v>
      </c>
      <c r="T1205" s="107">
        <f t="shared" si="505"/>
        <v>0</v>
      </c>
      <c r="U1205" s="107"/>
      <c r="V1205" s="175"/>
      <c r="W1205" s="10"/>
      <c r="X1205" s="10"/>
      <c r="Y1205" t="str">
        <f t="shared" si="523"/>
        <v>3001</v>
      </c>
      <c r="AB1205" s="10"/>
      <c r="AC1205" s="10"/>
      <c r="AD1205" s="10"/>
      <c r="AE1205" s="10"/>
      <c r="AF1205" s="10"/>
      <c r="AG1205" s="10"/>
      <c r="AH1205" s="10"/>
      <c r="AI1205" s="10"/>
    </row>
    <row r="1206" spans="1:35">
      <c r="A1206" s="10"/>
      <c r="B1206" s="10" t="str">
        <f t="shared" si="522"/>
        <v>Below the Line2nd Unit</v>
      </c>
      <c r="C1206" t="s">
        <v>20</v>
      </c>
      <c r="D1206" t="s">
        <v>19</v>
      </c>
      <c r="E1206" t="s">
        <v>1419</v>
      </c>
      <c r="F1206" t="s">
        <v>5396</v>
      </c>
      <c r="G1206" t="s">
        <v>2628</v>
      </c>
      <c r="I1206" s="10"/>
      <c r="J1206" s="107">
        <f>SUMIF(Data!C:C,G1206,Data!Q:Q)</f>
        <v>0</v>
      </c>
      <c r="K1206" s="107">
        <f>SUMIF(Comprometidos!A:A,'Cost Report'!G1206,Comprometidos!E:E)</f>
        <v>0</v>
      </c>
      <c r="L1206" s="107">
        <f t="shared" si="513"/>
        <v>0</v>
      </c>
      <c r="M1206" s="107">
        <v>0</v>
      </c>
      <c r="N1206" s="107">
        <f t="shared" si="515"/>
        <v>0</v>
      </c>
      <c r="O1206" s="107">
        <f>VLOOKUP(G1206,Budget!$E$3:$G$2474,3,0)</f>
        <v>8811.08</v>
      </c>
      <c r="P1206" s="107">
        <f t="shared" si="516"/>
        <v>8811.08</v>
      </c>
      <c r="Q1206" s="107"/>
      <c r="R1206" s="10"/>
      <c r="S1206" s="107">
        <v>0</v>
      </c>
      <c r="T1206" s="107">
        <f t="shared" si="505"/>
        <v>0</v>
      </c>
      <c r="U1206" s="107"/>
      <c r="V1206" s="175"/>
      <c r="W1206" s="10"/>
      <c r="X1206" s="10"/>
      <c r="Y1206" t="str">
        <f t="shared" si="523"/>
        <v>3001</v>
      </c>
      <c r="AB1206" s="10"/>
      <c r="AC1206" s="10"/>
      <c r="AD1206" s="10"/>
      <c r="AE1206" s="10"/>
      <c r="AF1206" s="10"/>
      <c r="AG1206" s="10"/>
      <c r="AH1206" s="10"/>
      <c r="AI1206" s="10"/>
    </row>
    <row r="1207" spans="1:35">
      <c r="A1207" s="10"/>
      <c r="B1207" s="10" t="str">
        <f t="shared" si="522"/>
        <v>Below the Line2nd Unit</v>
      </c>
      <c r="C1207" t="s">
        <v>20</v>
      </c>
      <c r="D1207" t="s">
        <v>19</v>
      </c>
      <c r="E1207" t="s">
        <v>1419</v>
      </c>
      <c r="F1207" t="s">
        <v>5396</v>
      </c>
      <c r="G1207" t="s">
        <v>2629</v>
      </c>
      <c r="I1207" s="10"/>
      <c r="J1207" s="107">
        <f>SUMIF(Data!C:C,G1207,Data!Q:Q)</f>
        <v>38551.65</v>
      </c>
      <c r="K1207" s="107">
        <f>SUMIF(Comprometidos!A:A,'Cost Report'!G1207,Comprometidos!E:E)</f>
        <v>0</v>
      </c>
      <c r="L1207" s="107">
        <f t="shared" si="513"/>
        <v>38551.65</v>
      </c>
      <c r="M1207" s="107">
        <v>0</v>
      </c>
      <c r="N1207" s="107">
        <f t="shared" si="515"/>
        <v>38551.65</v>
      </c>
      <c r="O1207" s="107">
        <f>VLOOKUP(G1207,Budget!$E$3:$G$2474,3,0)</f>
        <v>35244.300000000003</v>
      </c>
      <c r="P1207" s="107">
        <f t="shared" si="516"/>
        <v>-3307.3499999999985</v>
      </c>
      <c r="Q1207" s="107"/>
      <c r="R1207" s="10"/>
      <c r="S1207" s="107">
        <v>38551.65</v>
      </c>
      <c r="T1207" s="107">
        <f t="shared" si="505"/>
        <v>0</v>
      </c>
      <c r="U1207" s="107"/>
      <c r="V1207" s="175"/>
      <c r="W1207" s="10"/>
      <c r="X1207" s="10"/>
      <c r="Y1207" t="str">
        <f t="shared" si="523"/>
        <v>3001</v>
      </c>
      <c r="AB1207" s="10"/>
      <c r="AC1207" s="10"/>
      <c r="AD1207" s="10"/>
      <c r="AE1207" s="10"/>
      <c r="AF1207" s="10"/>
      <c r="AG1207" s="10"/>
      <c r="AH1207" s="10"/>
      <c r="AI1207" s="10"/>
    </row>
    <row r="1208" spans="1:35">
      <c r="A1208" s="10"/>
      <c r="B1208" s="10" t="str">
        <f t="shared" si="522"/>
        <v>Below the Line2nd Unit</v>
      </c>
      <c r="C1208" t="s">
        <v>20</v>
      </c>
      <c r="D1208" t="s">
        <v>19</v>
      </c>
      <c r="E1208" t="s">
        <v>1419</v>
      </c>
      <c r="F1208" t="s">
        <v>5396</v>
      </c>
      <c r="G1208" t="s">
        <v>2630</v>
      </c>
      <c r="I1208" s="10"/>
      <c r="J1208" s="107">
        <f>SUMIF(Data!C:C,G1208,Data!Q:Q)</f>
        <v>0</v>
      </c>
      <c r="K1208" s="107">
        <f>SUMIF(Comprometidos!A:A,'Cost Report'!G1208,Comprometidos!E:E)</f>
        <v>0</v>
      </c>
      <c r="L1208" s="107">
        <f t="shared" si="513"/>
        <v>0</v>
      </c>
      <c r="M1208" s="107">
        <v>0</v>
      </c>
      <c r="N1208" s="107">
        <f t="shared" si="515"/>
        <v>0</v>
      </c>
      <c r="O1208" s="107">
        <f>VLOOKUP(G1208,Budget!$E$3:$G$2474,3,0)</f>
        <v>8811.08</v>
      </c>
      <c r="P1208" s="107">
        <f t="shared" si="516"/>
        <v>8811.08</v>
      </c>
      <c r="Q1208" s="107"/>
      <c r="R1208" s="10"/>
      <c r="S1208" s="107">
        <v>0</v>
      </c>
      <c r="T1208" s="107">
        <f t="shared" si="505"/>
        <v>0</v>
      </c>
      <c r="U1208" s="107"/>
      <c r="V1208" s="175"/>
      <c r="W1208" s="10"/>
      <c r="X1208" s="10"/>
      <c r="Y1208" t="str">
        <f t="shared" si="523"/>
        <v>3001</v>
      </c>
      <c r="AB1208" s="10"/>
      <c r="AC1208" s="10"/>
      <c r="AD1208" s="10"/>
      <c r="AE1208" s="10"/>
      <c r="AF1208" s="10"/>
      <c r="AG1208" s="10"/>
      <c r="AH1208" s="10"/>
      <c r="AI1208" s="10"/>
    </row>
    <row r="1209" spans="1:35">
      <c r="A1209" s="10"/>
      <c r="B1209" s="10" t="str">
        <f>+C1209</f>
        <v>Below the Line</v>
      </c>
      <c r="C1209" s="128" t="s">
        <v>20</v>
      </c>
      <c r="D1209" s="128" t="s">
        <v>2117</v>
      </c>
      <c r="E1209" s="128"/>
      <c r="F1209" s="128"/>
      <c r="G1209" s="128" t="s">
        <v>737</v>
      </c>
      <c r="H1209" s="128"/>
      <c r="I1209" s="10"/>
      <c r="J1209" s="129">
        <f>SUMIF($Y$11:$Y$2484,G1209,J$11:J$2484)</f>
        <v>420036.00999999989</v>
      </c>
      <c r="K1209" s="129">
        <f>SUMIF($Y$11:$Y$2484,G1209,K$11:K$2484)</f>
        <v>0</v>
      </c>
      <c r="L1209" s="129">
        <f>SUMIF($Y$11:$Y$2484,G1209,L$11:L$2484)</f>
        <v>420036.00999999989</v>
      </c>
      <c r="M1209" s="129">
        <f>SUMIF($Y$11:$Y$2484,G1209,M$11:M$2484)</f>
        <v>9.0949470177292824E-12</v>
      </c>
      <c r="N1209" s="129">
        <f>SUMIF($Y$11:$Y$2484,G1209,N$11:N$2484)</f>
        <v>420036.00999999989</v>
      </c>
      <c r="O1209" s="129">
        <f>SUMIF($Y$11:$Y$2484,G1209,O$11:O$2484)</f>
        <v>418795.64999999997</v>
      </c>
      <c r="P1209" s="129">
        <f>SUMIF($Y$11:$Y$2484,G1209,P$11:P$2484)</f>
        <v>-1240.359999999986</v>
      </c>
      <c r="Q1209" s="129"/>
      <c r="R1209" s="10"/>
      <c r="S1209" s="129">
        <v>420036.00999999989</v>
      </c>
      <c r="T1209" s="129">
        <f t="shared" si="505"/>
        <v>0</v>
      </c>
      <c r="U1209" s="128"/>
      <c r="V1209" s="175"/>
      <c r="W1209" s="10"/>
      <c r="X1209" s="10"/>
      <c r="Z1209" t="str">
        <f>LEFT(G1209,2)</f>
        <v>30</v>
      </c>
      <c r="AA1209" t="str">
        <f>+Z1209&amp;"00"</f>
        <v>3000</v>
      </c>
      <c r="AB1209" s="10"/>
      <c r="AC1209" s="10"/>
      <c r="AD1209" s="10"/>
      <c r="AE1209" s="10"/>
      <c r="AF1209" s="10"/>
      <c r="AG1209" s="10"/>
      <c r="AH1209" s="10"/>
      <c r="AI1209" s="10"/>
    </row>
    <row r="1210" spans="1:35">
      <c r="A1210" s="10"/>
      <c r="B1210" s="10" t="str">
        <f t="shared" ref="B1210:B1233" si="524">+C1210&amp;E1210</f>
        <v>Below the Line</v>
      </c>
      <c r="C1210" t="s">
        <v>20</v>
      </c>
      <c r="D1210" t="s">
        <v>19</v>
      </c>
      <c r="E1210" t="s">
        <v>214</v>
      </c>
      <c r="F1210" t="s">
        <v>5396</v>
      </c>
      <c r="G1210" t="s">
        <v>738</v>
      </c>
      <c r="I1210" s="10"/>
      <c r="J1210" s="107">
        <f>SUMIF(Data!C:C,G1210,Data!Q:Q)</f>
        <v>0</v>
      </c>
      <c r="K1210" s="107">
        <f>SUMIF(Comprometidos!A:A,'Cost Report'!G1210,Comprometidos!E:E)</f>
        <v>0</v>
      </c>
      <c r="L1210" s="107">
        <f t="shared" ref="L1210:L1233" si="525">+J1210+K1210</f>
        <v>0</v>
      </c>
      <c r="M1210" s="107">
        <f t="shared" ref="M1210:M1233" si="526">+O1210-L1210</f>
        <v>0</v>
      </c>
      <c r="N1210" s="107">
        <f t="shared" ref="N1210:N1233" si="527">+L1210+M1210</f>
        <v>0</v>
      </c>
      <c r="O1210" s="107">
        <f>VLOOKUP(G1210,Budget!$E$3:$G$2474,3,0)</f>
        <v>0</v>
      </c>
      <c r="P1210" s="107">
        <f t="shared" ref="P1210:P1233" si="528">+O1210-N1210</f>
        <v>0</v>
      </c>
      <c r="Q1210" s="107"/>
      <c r="R1210" s="10"/>
      <c r="S1210" s="107">
        <v>0</v>
      </c>
      <c r="T1210" s="107">
        <f t="shared" si="505"/>
        <v>0</v>
      </c>
      <c r="U1210" s="107"/>
      <c r="V1210" s="175"/>
      <c r="W1210" s="10"/>
      <c r="X1210" s="10"/>
      <c r="Y1210" t="str">
        <f t="shared" ref="Y1210:Y1233" si="529">LEFT(G1210,4)</f>
        <v>3002</v>
      </c>
      <c r="AB1210" s="10"/>
      <c r="AC1210" s="10"/>
      <c r="AD1210" s="10"/>
      <c r="AE1210" s="10"/>
      <c r="AF1210" s="10"/>
      <c r="AG1210" s="10"/>
      <c r="AH1210" s="10"/>
      <c r="AI1210" s="10"/>
    </row>
    <row r="1211" spans="1:35">
      <c r="A1211" s="10"/>
      <c r="B1211" s="10" t="str">
        <f t="shared" si="524"/>
        <v>Below the LinePREP</v>
      </c>
      <c r="C1211" t="s">
        <v>20</v>
      </c>
      <c r="D1211" t="s">
        <v>19</v>
      </c>
      <c r="E1211" t="s">
        <v>234</v>
      </c>
      <c r="F1211" t="s">
        <v>5396</v>
      </c>
      <c r="G1211" t="s">
        <v>739</v>
      </c>
      <c r="I1211" s="10"/>
      <c r="J1211" s="107">
        <f>SUMIF(Data!C:C,G1211,Data!Q:Q)</f>
        <v>7157.4</v>
      </c>
      <c r="K1211" s="107">
        <f>SUMIF(Comprometidos!A:A,'Cost Report'!G1211,Comprometidos!E:E)</f>
        <v>0</v>
      </c>
      <c r="L1211" s="107">
        <f t="shared" si="525"/>
        <v>7157.4</v>
      </c>
      <c r="M1211" s="107">
        <v>0</v>
      </c>
      <c r="N1211" s="107">
        <f t="shared" si="527"/>
        <v>7157.4</v>
      </c>
      <c r="O1211" s="107">
        <f>VLOOKUP(G1211,Budget!$E$3:$G$2474,3,0)</f>
        <v>3579.45</v>
      </c>
      <c r="P1211" s="107">
        <f t="shared" si="528"/>
        <v>-3577.95</v>
      </c>
      <c r="Q1211" s="107"/>
      <c r="R1211" s="10"/>
      <c r="S1211" s="107">
        <v>7157.4</v>
      </c>
      <c r="T1211" s="107">
        <f t="shared" si="505"/>
        <v>0</v>
      </c>
      <c r="U1211" s="107"/>
      <c r="V1211" s="175"/>
      <c r="W1211" s="10"/>
      <c r="X1211" s="10"/>
      <c r="Y1211" t="str">
        <f t="shared" si="529"/>
        <v>3002</v>
      </c>
      <c r="AB1211" s="10"/>
      <c r="AC1211" s="10"/>
      <c r="AD1211" s="10"/>
      <c r="AE1211" s="10"/>
      <c r="AF1211" s="10"/>
      <c r="AG1211" s="10"/>
      <c r="AH1211" s="10"/>
      <c r="AI1211" s="10"/>
    </row>
    <row r="1212" spans="1:35">
      <c r="A1212" s="10"/>
      <c r="B1212" s="10" t="str">
        <f t="shared" si="524"/>
        <v>Below the LineSHOOT</v>
      </c>
      <c r="C1212" t="s">
        <v>20</v>
      </c>
      <c r="D1212" t="s">
        <v>19</v>
      </c>
      <c r="E1212" t="s">
        <v>236</v>
      </c>
      <c r="F1212" t="s">
        <v>5396</v>
      </c>
      <c r="G1212" t="s">
        <v>740</v>
      </c>
      <c r="I1212" s="10"/>
      <c r="J1212" s="107">
        <f>SUMIF(Data!C:C,G1212,Data!Q:Q)</f>
        <v>100205.04</v>
      </c>
      <c r="K1212" s="107">
        <f>SUMIF(Comprometidos!A:A,'Cost Report'!G1212,Comprometidos!E:E)</f>
        <v>0</v>
      </c>
      <c r="L1212" s="107">
        <f t="shared" si="525"/>
        <v>100205.04</v>
      </c>
      <c r="M1212" s="107">
        <v>0</v>
      </c>
      <c r="N1212" s="107">
        <f t="shared" si="527"/>
        <v>100205.04</v>
      </c>
      <c r="O1212" s="107">
        <f>VLOOKUP(G1212,Budget!$E$3:$G$2474,3,0)</f>
        <v>100224.6</v>
      </c>
      <c r="P1212" s="107">
        <f t="shared" si="528"/>
        <v>19.560000000012224</v>
      </c>
      <c r="Q1212" s="107"/>
      <c r="R1212" s="10"/>
      <c r="S1212" s="107">
        <v>100205.04</v>
      </c>
      <c r="T1212" s="107">
        <f t="shared" si="505"/>
        <v>0</v>
      </c>
      <c r="U1212" s="107"/>
      <c r="V1212" s="175"/>
      <c r="W1212" s="10"/>
      <c r="X1212" s="10"/>
      <c r="Y1212" t="str">
        <f t="shared" si="529"/>
        <v>3002</v>
      </c>
      <c r="AB1212" s="10"/>
      <c r="AC1212" s="10"/>
      <c r="AD1212" s="10"/>
      <c r="AE1212" s="10"/>
      <c r="AF1212" s="10"/>
      <c r="AG1212" s="10"/>
      <c r="AH1212" s="10"/>
      <c r="AI1212" s="10"/>
    </row>
    <row r="1213" spans="1:35">
      <c r="A1213" s="10"/>
      <c r="B1213" s="10" t="str">
        <f t="shared" si="524"/>
        <v>Below the LineWRAP</v>
      </c>
      <c r="C1213" t="s">
        <v>20</v>
      </c>
      <c r="D1213" t="s">
        <v>19</v>
      </c>
      <c r="E1213" t="s">
        <v>238</v>
      </c>
      <c r="F1213" t="s">
        <v>5396</v>
      </c>
      <c r="G1213" t="s">
        <v>741</v>
      </c>
      <c r="I1213" s="10"/>
      <c r="J1213" s="107">
        <f>SUMIF(Data!C:C,G1213,Data!Q:Q)</f>
        <v>0</v>
      </c>
      <c r="K1213" s="107">
        <f>SUMIF(Comprometidos!A:A,'Cost Report'!G1213,Comprometidos!E:E)</f>
        <v>0</v>
      </c>
      <c r="L1213" s="107">
        <f t="shared" si="525"/>
        <v>0</v>
      </c>
      <c r="M1213" s="107">
        <v>0</v>
      </c>
      <c r="N1213" s="107">
        <f t="shared" si="527"/>
        <v>0</v>
      </c>
      <c r="O1213" s="107">
        <f>VLOOKUP(G1213,Budget!$E$3:$G$2474,3,0)</f>
        <v>7158.9</v>
      </c>
      <c r="P1213" s="107">
        <f t="shared" si="528"/>
        <v>7158.9</v>
      </c>
      <c r="Q1213" s="107"/>
      <c r="R1213" s="10"/>
      <c r="S1213" s="107">
        <v>0</v>
      </c>
      <c r="T1213" s="107">
        <f t="shared" si="505"/>
        <v>0</v>
      </c>
      <c r="U1213" s="107"/>
      <c r="V1213" s="175"/>
      <c r="W1213" s="10"/>
      <c r="X1213" s="10"/>
      <c r="Y1213" t="str">
        <f t="shared" si="529"/>
        <v>3002</v>
      </c>
      <c r="AB1213" s="10"/>
      <c r="AC1213" s="10"/>
      <c r="AD1213" s="10"/>
      <c r="AE1213" s="10"/>
      <c r="AF1213" s="10"/>
      <c r="AG1213" s="10"/>
      <c r="AH1213" s="10"/>
      <c r="AI1213" s="10"/>
    </row>
    <row r="1214" spans="1:35">
      <c r="A1214" s="10"/>
      <c r="B1214" s="10" t="str">
        <f t="shared" si="524"/>
        <v>Below the Line</v>
      </c>
      <c r="C1214" t="s">
        <v>20</v>
      </c>
      <c r="D1214" t="s">
        <v>19</v>
      </c>
      <c r="E1214" t="s">
        <v>214</v>
      </c>
      <c r="F1214" t="s">
        <v>5396</v>
      </c>
      <c r="G1214" t="s">
        <v>742</v>
      </c>
      <c r="I1214" s="10"/>
      <c r="J1214" s="107">
        <f>SUMIF(Data!C:C,G1214,Data!Q:Q)</f>
        <v>0</v>
      </c>
      <c r="K1214" s="107">
        <f>SUMIF(Comprometidos!A:A,'Cost Report'!G1214,Comprometidos!E:E)</f>
        <v>0</v>
      </c>
      <c r="L1214" s="107">
        <f t="shared" si="525"/>
        <v>0</v>
      </c>
      <c r="M1214" s="107">
        <f t="shared" si="526"/>
        <v>0</v>
      </c>
      <c r="N1214" s="107">
        <f t="shared" si="527"/>
        <v>0</v>
      </c>
      <c r="O1214" s="107">
        <f>VLOOKUP(G1214,Budget!$E$3:$G$2474,3,0)</f>
        <v>0</v>
      </c>
      <c r="P1214" s="107">
        <f t="shared" si="528"/>
        <v>0</v>
      </c>
      <c r="Q1214" s="107"/>
      <c r="R1214" s="10"/>
      <c r="S1214" s="107">
        <v>0</v>
      </c>
      <c r="T1214" s="107">
        <f t="shared" si="505"/>
        <v>0</v>
      </c>
      <c r="U1214" s="107"/>
      <c r="V1214" s="175"/>
      <c r="W1214" s="10"/>
      <c r="X1214" s="10"/>
      <c r="Y1214" t="str">
        <f t="shared" si="529"/>
        <v>3002</v>
      </c>
      <c r="AB1214" s="10"/>
      <c r="AC1214" s="10"/>
      <c r="AD1214" s="10"/>
      <c r="AE1214" s="10"/>
      <c r="AF1214" s="10"/>
      <c r="AG1214" s="10"/>
      <c r="AH1214" s="10"/>
      <c r="AI1214" s="10"/>
    </row>
    <row r="1215" spans="1:35">
      <c r="A1215" s="10"/>
      <c r="B1215" s="10" t="str">
        <f t="shared" si="524"/>
        <v>Below the LinePREP</v>
      </c>
      <c r="C1215" t="s">
        <v>20</v>
      </c>
      <c r="D1215" t="s">
        <v>19</v>
      </c>
      <c r="E1215" t="s">
        <v>234</v>
      </c>
      <c r="F1215" t="s">
        <v>5396</v>
      </c>
      <c r="G1215" t="s">
        <v>743</v>
      </c>
      <c r="I1215" s="10"/>
      <c r="J1215" s="107">
        <f>SUMIF(Data!C:C,G1215,Data!Q:Q)</f>
        <v>0</v>
      </c>
      <c r="K1215" s="107">
        <f>SUMIF(Comprometidos!A:A,'Cost Report'!G1215,Comprometidos!E:E)</f>
        <v>0</v>
      </c>
      <c r="L1215" s="107">
        <f t="shared" si="525"/>
        <v>0</v>
      </c>
      <c r="M1215" s="107">
        <v>0</v>
      </c>
      <c r="N1215" s="107">
        <f t="shared" si="527"/>
        <v>0</v>
      </c>
      <c r="O1215" s="107">
        <f>VLOOKUP(G1215,Budget!$E$3:$G$2474,3,0)</f>
        <v>3579.45</v>
      </c>
      <c r="P1215" s="107">
        <f t="shared" si="528"/>
        <v>3579.45</v>
      </c>
      <c r="Q1215" s="107"/>
      <c r="R1215" s="10"/>
      <c r="S1215" s="107">
        <v>0</v>
      </c>
      <c r="T1215" s="107">
        <f t="shared" si="505"/>
        <v>0</v>
      </c>
      <c r="U1215" s="107"/>
      <c r="V1215" s="175"/>
      <c r="W1215" s="10"/>
      <c r="X1215" s="10"/>
      <c r="Y1215" t="str">
        <f t="shared" si="529"/>
        <v>3002</v>
      </c>
      <c r="AB1215" s="10"/>
      <c r="AC1215" s="10"/>
      <c r="AD1215" s="10"/>
      <c r="AE1215" s="10"/>
      <c r="AF1215" s="10"/>
      <c r="AG1215" s="10"/>
      <c r="AH1215" s="10"/>
      <c r="AI1215" s="10"/>
    </row>
    <row r="1216" spans="1:35">
      <c r="A1216" s="10"/>
      <c r="B1216" s="10" t="str">
        <f t="shared" si="524"/>
        <v>Below the LineSHOOT</v>
      </c>
      <c r="C1216" t="s">
        <v>20</v>
      </c>
      <c r="D1216" t="s">
        <v>19</v>
      </c>
      <c r="E1216" t="s">
        <v>236</v>
      </c>
      <c r="F1216" t="s">
        <v>5396</v>
      </c>
      <c r="G1216" t="s">
        <v>744</v>
      </c>
      <c r="I1216" s="10"/>
      <c r="J1216" s="107">
        <f>SUMIF(Data!C:C,G1216,Data!Q:Q)</f>
        <v>78737.399999999994</v>
      </c>
      <c r="K1216" s="107">
        <f>SUMIF(Comprometidos!A:A,'Cost Report'!G1216,Comprometidos!E:E)</f>
        <v>0</v>
      </c>
      <c r="L1216" s="107">
        <f t="shared" si="525"/>
        <v>78737.399999999994</v>
      </c>
      <c r="M1216" s="107">
        <v>0</v>
      </c>
      <c r="N1216" s="107">
        <f t="shared" si="527"/>
        <v>78737.399999999994</v>
      </c>
      <c r="O1216" s="107">
        <f>VLOOKUP(G1216,Budget!$E$3:$G$2474,3,0)</f>
        <v>100224.6</v>
      </c>
      <c r="P1216" s="107">
        <f t="shared" si="528"/>
        <v>21487.200000000012</v>
      </c>
      <c r="Q1216" s="107"/>
      <c r="R1216" s="10"/>
      <c r="S1216" s="107">
        <v>78737.399999999994</v>
      </c>
      <c r="T1216" s="107">
        <f t="shared" si="505"/>
        <v>0</v>
      </c>
      <c r="U1216" s="107"/>
      <c r="V1216" s="175"/>
      <c r="W1216" s="10"/>
      <c r="X1216" s="10"/>
      <c r="Y1216" t="str">
        <f t="shared" si="529"/>
        <v>3002</v>
      </c>
      <c r="AB1216" s="10"/>
      <c r="AC1216" s="10"/>
      <c r="AD1216" s="10"/>
      <c r="AE1216" s="10"/>
      <c r="AF1216" s="10"/>
      <c r="AG1216" s="10"/>
      <c r="AH1216" s="10"/>
      <c r="AI1216" s="10"/>
    </row>
    <row r="1217" spans="1:35">
      <c r="A1217" s="10"/>
      <c r="B1217" s="10" t="str">
        <f t="shared" si="524"/>
        <v>Below the LineWRAP</v>
      </c>
      <c r="C1217" t="s">
        <v>20</v>
      </c>
      <c r="D1217" t="s">
        <v>19</v>
      </c>
      <c r="E1217" t="s">
        <v>238</v>
      </c>
      <c r="F1217" t="s">
        <v>5396</v>
      </c>
      <c r="G1217" t="s">
        <v>745</v>
      </c>
      <c r="I1217" s="10"/>
      <c r="J1217" s="107">
        <f>SUMIF(Data!C:C,G1217,Data!Q:Q)</f>
        <v>0</v>
      </c>
      <c r="K1217" s="107">
        <f>SUMIF(Comprometidos!A:A,'Cost Report'!G1217,Comprometidos!E:E)</f>
        <v>0</v>
      </c>
      <c r="L1217" s="107">
        <f t="shared" si="525"/>
        <v>0</v>
      </c>
      <c r="M1217" s="107">
        <v>0</v>
      </c>
      <c r="N1217" s="107">
        <f t="shared" si="527"/>
        <v>0</v>
      </c>
      <c r="O1217" s="107">
        <f>VLOOKUP(G1217,Budget!$E$3:$G$2474,3,0)</f>
        <v>7158.9</v>
      </c>
      <c r="P1217" s="107">
        <f t="shared" si="528"/>
        <v>7158.9</v>
      </c>
      <c r="Q1217" s="107"/>
      <c r="R1217" s="10"/>
      <c r="S1217" s="107">
        <v>0</v>
      </c>
      <c r="T1217" s="107">
        <f t="shared" si="505"/>
        <v>0</v>
      </c>
      <c r="U1217" s="107"/>
      <c r="V1217" s="175"/>
      <c r="W1217" s="10"/>
      <c r="X1217" s="10"/>
      <c r="Y1217" t="str">
        <f t="shared" si="529"/>
        <v>3002</v>
      </c>
      <c r="AB1217" s="10"/>
      <c r="AC1217" s="10"/>
      <c r="AD1217" s="10"/>
      <c r="AE1217" s="10"/>
      <c r="AF1217" s="10"/>
      <c r="AG1217" s="10"/>
      <c r="AH1217" s="10"/>
      <c r="AI1217" s="10"/>
    </row>
    <row r="1218" spans="1:35">
      <c r="A1218" s="10"/>
      <c r="B1218" s="10" t="str">
        <f t="shared" si="524"/>
        <v>Below the Line</v>
      </c>
      <c r="C1218" t="s">
        <v>20</v>
      </c>
      <c r="D1218" t="s">
        <v>19</v>
      </c>
      <c r="E1218" t="s">
        <v>214</v>
      </c>
      <c r="F1218" t="s">
        <v>5396</v>
      </c>
      <c r="G1218" t="s">
        <v>746</v>
      </c>
      <c r="I1218" s="10"/>
      <c r="J1218" s="107">
        <f>SUMIF(Data!C:C,G1218,Data!Q:Q)</f>
        <v>0</v>
      </c>
      <c r="K1218" s="107">
        <f>SUMIF(Comprometidos!A:A,'Cost Report'!G1218,Comprometidos!E:E)</f>
        <v>0</v>
      </c>
      <c r="L1218" s="107">
        <f t="shared" si="525"/>
        <v>0</v>
      </c>
      <c r="M1218" s="107">
        <f t="shared" si="526"/>
        <v>0</v>
      </c>
      <c r="N1218" s="107">
        <f t="shared" si="527"/>
        <v>0</v>
      </c>
      <c r="O1218" s="107">
        <f>VLOOKUP(G1218,Budget!$E$3:$G$2474,3,0)</f>
        <v>0</v>
      </c>
      <c r="P1218" s="107">
        <f t="shared" si="528"/>
        <v>0</v>
      </c>
      <c r="Q1218" s="107"/>
      <c r="R1218" s="10"/>
      <c r="S1218" s="107">
        <v>0</v>
      </c>
      <c r="T1218" s="107">
        <f t="shared" si="505"/>
        <v>0</v>
      </c>
      <c r="U1218" s="107"/>
      <c r="V1218" s="175"/>
      <c r="W1218" s="10"/>
      <c r="X1218" s="10"/>
      <c r="Y1218" t="str">
        <f t="shared" si="529"/>
        <v>3002</v>
      </c>
      <c r="AB1218" s="10"/>
      <c r="AC1218" s="10"/>
      <c r="AD1218" s="10"/>
      <c r="AE1218" s="10"/>
      <c r="AF1218" s="10"/>
      <c r="AG1218" s="10"/>
      <c r="AH1218" s="10"/>
      <c r="AI1218" s="10"/>
    </row>
    <row r="1219" spans="1:35">
      <c r="A1219" s="10"/>
      <c r="B1219" s="10" t="str">
        <f t="shared" si="524"/>
        <v>Below the LinePREP</v>
      </c>
      <c r="C1219" t="s">
        <v>20</v>
      </c>
      <c r="D1219" t="s">
        <v>19</v>
      </c>
      <c r="E1219" t="s">
        <v>234</v>
      </c>
      <c r="F1219" t="s">
        <v>5396</v>
      </c>
      <c r="G1219" t="s">
        <v>747</v>
      </c>
      <c r="I1219" s="10"/>
      <c r="J1219" s="107">
        <f>SUMIF(Data!C:C,G1219,Data!Q:Q)</f>
        <v>7157.4</v>
      </c>
      <c r="K1219" s="107">
        <f>SUMIF(Comprometidos!A:A,'Cost Report'!G1219,Comprometidos!E:E)</f>
        <v>0</v>
      </c>
      <c r="L1219" s="107">
        <f t="shared" si="525"/>
        <v>7157.4</v>
      </c>
      <c r="M1219" s="107">
        <v>0</v>
      </c>
      <c r="N1219" s="107">
        <f t="shared" si="527"/>
        <v>7157.4</v>
      </c>
      <c r="O1219" s="107">
        <f>VLOOKUP(G1219,Budget!$E$3:$G$2474,3,0)</f>
        <v>3579.45</v>
      </c>
      <c r="P1219" s="107">
        <f t="shared" si="528"/>
        <v>-3577.95</v>
      </c>
      <c r="Q1219" s="107"/>
      <c r="R1219" s="10"/>
      <c r="S1219" s="107">
        <v>7157.4</v>
      </c>
      <c r="T1219" s="107">
        <f t="shared" si="505"/>
        <v>0</v>
      </c>
      <c r="U1219" s="107"/>
      <c r="V1219" s="175"/>
      <c r="W1219" s="10"/>
      <c r="X1219" s="10"/>
      <c r="Y1219" t="str">
        <f t="shared" si="529"/>
        <v>3002</v>
      </c>
      <c r="AB1219" s="10"/>
      <c r="AC1219" s="10"/>
      <c r="AD1219" s="10"/>
      <c r="AE1219" s="10"/>
      <c r="AF1219" s="10"/>
      <c r="AG1219" s="10"/>
      <c r="AH1219" s="10"/>
      <c r="AI1219" s="10"/>
    </row>
    <row r="1220" spans="1:35">
      <c r="A1220" s="10"/>
      <c r="B1220" s="10" t="str">
        <f t="shared" si="524"/>
        <v>Below the LineSHOOT</v>
      </c>
      <c r="C1220" t="s">
        <v>20</v>
      </c>
      <c r="D1220" t="s">
        <v>19</v>
      </c>
      <c r="E1220" t="s">
        <v>236</v>
      </c>
      <c r="F1220" t="s">
        <v>5396</v>
      </c>
      <c r="G1220" t="s">
        <v>748</v>
      </c>
      <c r="I1220" s="10"/>
      <c r="J1220" s="107">
        <f>SUMIF(Data!C:C,G1220,Data!Q:Q)</f>
        <v>104975.2</v>
      </c>
      <c r="K1220" s="107">
        <f>SUMIF(Comprometidos!A:A,'Cost Report'!G1220,Comprometidos!E:E)</f>
        <v>0</v>
      </c>
      <c r="L1220" s="107">
        <f t="shared" si="525"/>
        <v>104975.2</v>
      </c>
      <c r="M1220" s="107">
        <f>+O1220-L1220+(2386.3*2)-22</f>
        <v>9.0949470177292824E-12</v>
      </c>
      <c r="N1220" s="107">
        <f t="shared" si="527"/>
        <v>104975.20000000001</v>
      </c>
      <c r="O1220" s="107">
        <f>VLOOKUP(G1220,Budget!$E$3:$G$2474,3,0)</f>
        <v>100224.6</v>
      </c>
      <c r="P1220" s="107">
        <f t="shared" si="528"/>
        <v>-4750.6000000000058</v>
      </c>
      <c r="Q1220" s="107" t="s">
        <v>3802</v>
      </c>
      <c r="R1220" s="10"/>
      <c r="S1220" s="107">
        <v>104975.20000000001</v>
      </c>
      <c r="T1220" s="107">
        <f t="shared" si="505"/>
        <v>0</v>
      </c>
      <c r="U1220" s="107"/>
      <c r="V1220" s="175"/>
      <c r="W1220" s="10"/>
      <c r="X1220" s="10"/>
      <c r="Y1220" t="str">
        <f t="shared" si="529"/>
        <v>3002</v>
      </c>
      <c r="AB1220" s="10"/>
      <c r="AC1220" s="10"/>
      <c r="AD1220" s="10"/>
      <c r="AE1220" s="10"/>
      <c r="AF1220" s="10"/>
      <c r="AG1220" s="10"/>
      <c r="AH1220" s="10"/>
      <c r="AI1220" s="10"/>
    </row>
    <row r="1221" spans="1:35">
      <c r="A1221" s="10"/>
      <c r="B1221" s="10" t="str">
        <f t="shared" si="524"/>
        <v>Below the LineWRAP</v>
      </c>
      <c r="C1221" t="s">
        <v>20</v>
      </c>
      <c r="D1221" t="s">
        <v>19</v>
      </c>
      <c r="E1221" t="s">
        <v>238</v>
      </c>
      <c r="F1221" t="s">
        <v>5396</v>
      </c>
      <c r="G1221" t="s">
        <v>749</v>
      </c>
      <c r="I1221" s="10"/>
      <c r="J1221" s="107">
        <f>SUMIF(Data!C:C,G1221,Data!Q:Q)</f>
        <v>0</v>
      </c>
      <c r="K1221" s="107">
        <f>SUMIF(Comprometidos!A:A,'Cost Report'!G1221,Comprometidos!E:E)</f>
        <v>0</v>
      </c>
      <c r="L1221" s="107">
        <f t="shared" si="525"/>
        <v>0</v>
      </c>
      <c r="M1221" s="107">
        <v>0</v>
      </c>
      <c r="N1221" s="107">
        <f t="shared" si="527"/>
        <v>0</v>
      </c>
      <c r="O1221" s="107">
        <f>VLOOKUP(G1221,Budget!$E$3:$G$2474,3,0)</f>
        <v>7158.9</v>
      </c>
      <c r="P1221" s="107">
        <f t="shared" si="528"/>
        <v>7158.9</v>
      </c>
      <c r="Q1221" s="107"/>
      <c r="R1221" s="10"/>
      <c r="S1221" s="107">
        <v>0</v>
      </c>
      <c r="T1221" s="107">
        <f t="shared" si="505"/>
        <v>0</v>
      </c>
      <c r="U1221" s="107"/>
      <c r="V1221" s="175"/>
      <c r="W1221" s="10"/>
      <c r="X1221" s="10"/>
      <c r="Y1221" t="str">
        <f t="shared" si="529"/>
        <v>3002</v>
      </c>
      <c r="AB1221" s="10"/>
      <c r="AC1221" s="10"/>
      <c r="AD1221" s="10"/>
      <c r="AE1221" s="10"/>
      <c r="AF1221" s="10"/>
      <c r="AG1221" s="10"/>
      <c r="AH1221" s="10"/>
      <c r="AI1221" s="10"/>
    </row>
    <row r="1222" spans="1:35">
      <c r="A1222" s="10"/>
      <c r="B1222" s="10" t="str">
        <f t="shared" si="524"/>
        <v>Below the Line</v>
      </c>
      <c r="C1222" t="s">
        <v>20</v>
      </c>
      <c r="D1222" t="s">
        <v>19</v>
      </c>
      <c r="E1222" t="s">
        <v>214</v>
      </c>
      <c r="F1222" t="s">
        <v>5396</v>
      </c>
      <c r="G1222" t="s">
        <v>750</v>
      </c>
      <c r="I1222" s="10"/>
      <c r="J1222" s="107">
        <f>SUMIF(Data!C:C,G1222,Data!Q:Q)</f>
        <v>0</v>
      </c>
      <c r="K1222" s="107">
        <f>SUMIF(Comprometidos!A:A,'Cost Report'!G1222,Comprometidos!E:E)</f>
        <v>0</v>
      </c>
      <c r="L1222" s="107">
        <f t="shared" si="525"/>
        <v>0</v>
      </c>
      <c r="M1222" s="107">
        <f t="shared" si="526"/>
        <v>0</v>
      </c>
      <c r="N1222" s="107">
        <f t="shared" si="527"/>
        <v>0</v>
      </c>
      <c r="O1222" s="107">
        <f>VLOOKUP(G1222,Budget!$E$3:$G$2474,3,0)</f>
        <v>0</v>
      </c>
      <c r="P1222" s="107">
        <f t="shared" si="528"/>
        <v>0</v>
      </c>
      <c r="Q1222" s="107"/>
      <c r="R1222" s="10"/>
      <c r="S1222" s="107">
        <v>0</v>
      </c>
      <c r="T1222" s="107">
        <f t="shared" si="505"/>
        <v>0</v>
      </c>
      <c r="U1222" s="107"/>
      <c r="V1222" s="175"/>
      <c r="W1222" s="10"/>
      <c r="X1222" s="10"/>
      <c r="Y1222" t="str">
        <f t="shared" si="529"/>
        <v>3002</v>
      </c>
      <c r="AB1222" s="10"/>
      <c r="AC1222" s="10"/>
      <c r="AD1222" s="10"/>
      <c r="AE1222" s="10"/>
      <c r="AF1222" s="10"/>
      <c r="AG1222" s="10"/>
      <c r="AH1222" s="10"/>
      <c r="AI1222" s="10"/>
    </row>
    <row r="1223" spans="1:35">
      <c r="A1223" s="10"/>
      <c r="B1223" s="10" t="str">
        <f t="shared" si="524"/>
        <v>Below the Line2nd Unit</v>
      </c>
      <c r="C1223" t="s">
        <v>20</v>
      </c>
      <c r="D1223" t="s">
        <v>19</v>
      </c>
      <c r="E1223" t="s">
        <v>1419</v>
      </c>
      <c r="F1223" t="s">
        <v>5396</v>
      </c>
      <c r="G1223" t="s">
        <v>751</v>
      </c>
      <c r="I1223" s="10"/>
      <c r="J1223" s="107">
        <f>SUMIF(Data!C:C,G1223,Data!Q:Q)</f>
        <v>0</v>
      </c>
      <c r="K1223" s="107">
        <f>SUMIF(Comprometidos!A:A,'Cost Report'!G1223,Comprometidos!E:E)</f>
        <v>0</v>
      </c>
      <c r="L1223" s="107">
        <f t="shared" si="525"/>
        <v>0</v>
      </c>
      <c r="M1223" s="107">
        <f t="shared" si="526"/>
        <v>0</v>
      </c>
      <c r="N1223" s="107">
        <f t="shared" si="527"/>
        <v>0</v>
      </c>
      <c r="O1223" s="107">
        <f>VLOOKUP(G1223,Budget!$E$3:$G$2474,3,0)</f>
        <v>0</v>
      </c>
      <c r="P1223" s="107">
        <f t="shared" si="528"/>
        <v>0</v>
      </c>
      <c r="Q1223" s="107"/>
      <c r="R1223" s="10"/>
      <c r="S1223" s="107">
        <v>0</v>
      </c>
      <c r="T1223" s="107">
        <f t="shared" si="505"/>
        <v>0</v>
      </c>
      <c r="U1223" s="107"/>
      <c r="V1223" s="175"/>
      <c r="W1223" s="10"/>
      <c r="X1223" s="10"/>
      <c r="Y1223" t="str">
        <f t="shared" si="529"/>
        <v>3002</v>
      </c>
      <c r="AB1223" s="10"/>
      <c r="AC1223" s="10"/>
      <c r="AD1223" s="10"/>
      <c r="AE1223" s="10"/>
      <c r="AF1223" s="10"/>
      <c r="AG1223" s="10"/>
      <c r="AH1223" s="10"/>
      <c r="AI1223" s="10"/>
    </row>
    <row r="1224" spans="1:35">
      <c r="A1224" s="10"/>
      <c r="B1224" s="10" t="str">
        <f t="shared" si="524"/>
        <v>Below the Line2nd Unit</v>
      </c>
      <c r="C1224" t="s">
        <v>20</v>
      </c>
      <c r="D1224" t="s">
        <v>19</v>
      </c>
      <c r="E1224" t="s">
        <v>1419</v>
      </c>
      <c r="F1224" t="s">
        <v>5396</v>
      </c>
      <c r="G1224" t="s">
        <v>752</v>
      </c>
      <c r="I1224" s="10"/>
      <c r="J1224" s="107">
        <f>SUMIF(Data!C:C,G1224,Data!Q:Q)</f>
        <v>57263.6</v>
      </c>
      <c r="K1224" s="107">
        <f>SUMIF(Comprometidos!A:A,'Cost Report'!G1224,Comprometidos!E:E)</f>
        <v>0</v>
      </c>
      <c r="L1224" s="107">
        <f t="shared" si="525"/>
        <v>57263.6</v>
      </c>
      <c r="M1224" s="107">
        <v>0</v>
      </c>
      <c r="N1224" s="107">
        <f t="shared" si="527"/>
        <v>57263.6</v>
      </c>
      <c r="O1224" s="107">
        <f>VLOOKUP(G1224,Budget!$E$3:$G$2474,3,0)</f>
        <v>28635.599999999999</v>
      </c>
      <c r="P1224" s="107">
        <f t="shared" si="528"/>
        <v>-28628</v>
      </c>
      <c r="Q1224" s="107"/>
      <c r="R1224" s="10"/>
      <c r="S1224" s="107">
        <v>57263.6</v>
      </c>
      <c r="T1224" s="107">
        <f t="shared" si="505"/>
        <v>0</v>
      </c>
      <c r="U1224" s="107"/>
      <c r="V1224" s="175"/>
      <c r="W1224" s="10"/>
      <c r="X1224" s="10"/>
      <c r="Y1224" t="str">
        <f t="shared" si="529"/>
        <v>3002</v>
      </c>
      <c r="AB1224" s="10"/>
      <c r="AC1224" s="10"/>
      <c r="AD1224" s="10"/>
      <c r="AE1224" s="10"/>
      <c r="AF1224" s="10"/>
      <c r="AG1224" s="10"/>
      <c r="AH1224" s="10"/>
      <c r="AI1224" s="10"/>
    </row>
    <row r="1225" spans="1:35">
      <c r="A1225" s="10"/>
      <c r="B1225" s="10" t="str">
        <f t="shared" si="524"/>
        <v>Below the Line2nd Unit</v>
      </c>
      <c r="C1225" t="s">
        <v>20</v>
      </c>
      <c r="D1225" t="s">
        <v>19</v>
      </c>
      <c r="E1225" t="s">
        <v>1419</v>
      </c>
      <c r="F1225" t="s">
        <v>5396</v>
      </c>
      <c r="G1225" t="s">
        <v>753</v>
      </c>
      <c r="I1225" s="10"/>
      <c r="J1225" s="107">
        <f>SUMIF(Data!C:C,G1225,Data!Q:Q)</f>
        <v>0</v>
      </c>
      <c r="K1225" s="107">
        <f>SUMIF(Comprometidos!A:A,'Cost Report'!G1225,Comprometidos!E:E)</f>
        <v>0</v>
      </c>
      <c r="L1225" s="107">
        <f t="shared" si="525"/>
        <v>0</v>
      </c>
      <c r="M1225" s="107">
        <f t="shared" si="526"/>
        <v>0</v>
      </c>
      <c r="N1225" s="107">
        <f t="shared" si="527"/>
        <v>0</v>
      </c>
      <c r="O1225" s="107">
        <f>VLOOKUP(G1225,Budget!$E$3:$G$2474,3,0)</f>
        <v>0</v>
      </c>
      <c r="P1225" s="107">
        <f t="shared" si="528"/>
        <v>0</v>
      </c>
      <c r="Q1225" s="107"/>
      <c r="R1225" s="10"/>
      <c r="S1225" s="107">
        <v>0</v>
      </c>
      <c r="T1225" s="107">
        <f t="shared" si="505"/>
        <v>0</v>
      </c>
      <c r="U1225" s="107"/>
      <c r="V1225" s="175"/>
      <c r="W1225" s="10"/>
      <c r="X1225" s="10"/>
      <c r="Y1225" t="str">
        <f t="shared" si="529"/>
        <v>3002</v>
      </c>
      <c r="AB1225" s="10"/>
      <c r="AC1225" s="10"/>
      <c r="AD1225" s="10"/>
      <c r="AE1225" s="10"/>
      <c r="AF1225" s="10"/>
      <c r="AG1225" s="10"/>
      <c r="AH1225" s="10"/>
      <c r="AI1225" s="10"/>
    </row>
    <row r="1226" spans="1:35">
      <c r="A1226" s="10"/>
      <c r="B1226" s="10" t="str">
        <f t="shared" si="524"/>
        <v>Below the Line</v>
      </c>
      <c r="C1226" t="s">
        <v>20</v>
      </c>
      <c r="D1226" t="s">
        <v>19</v>
      </c>
      <c r="E1226" t="s">
        <v>214</v>
      </c>
      <c r="F1226" t="s">
        <v>5396</v>
      </c>
      <c r="G1226" t="s">
        <v>2631</v>
      </c>
      <c r="I1226" s="10"/>
      <c r="J1226" s="107">
        <f>SUMIF(Data!C:C,G1226,Data!Q:Q)</f>
        <v>0</v>
      </c>
      <c r="K1226" s="107">
        <f>SUMIF(Comprometidos!A:A,'Cost Report'!G1226,Comprometidos!E:E)</f>
        <v>0</v>
      </c>
      <c r="L1226" s="107">
        <f t="shared" si="525"/>
        <v>0</v>
      </c>
      <c r="M1226" s="107">
        <f t="shared" si="526"/>
        <v>0</v>
      </c>
      <c r="N1226" s="107">
        <f t="shared" si="527"/>
        <v>0</v>
      </c>
      <c r="O1226" s="107">
        <f>VLOOKUP(G1226,Budget!$E$3:$G$2474,3,0)</f>
        <v>0</v>
      </c>
      <c r="P1226" s="107">
        <f t="shared" si="528"/>
        <v>0</v>
      </c>
      <c r="Q1226" s="107"/>
      <c r="R1226" s="10"/>
      <c r="S1226" s="107">
        <v>0</v>
      </c>
      <c r="T1226" s="107">
        <f t="shared" si="505"/>
        <v>0</v>
      </c>
      <c r="U1226" s="107"/>
      <c r="V1226" s="175"/>
      <c r="W1226" s="10"/>
      <c r="X1226" s="10"/>
      <c r="Y1226" t="str">
        <f t="shared" si="529"/>
        <v>3002</v>
      </c>
      <c r="AB1226" s="10"/>
      <c r="AC1226" s="10"/>
      <c r="AD1226" s="10"/>
      <c r="AE1226" s="10"/>
      <c r="AF1226" s="10"/>
      <c r="AG1226" s="10"/>
      <c r="AH1226" s="10"/>
      <c r="AI1226" s="10"/>
    </row>
    <row r="1227" spans="1:35">
      <c r="A1227" s="10"/>
      <c r="B1227" s="10" t="str">
        <f t="shared" si="524"/>
        <v>Below the Line2nd Unit</v>
      </c>
      <c r="C1227" t="s">
        <v>20</v>
      </c>
      <c r="D1227" t="s">
        <v>19</v>
      </c>
      <c r="E1227" t="s">
        <v>1419</v>
      </c>
      <c r="F1227" t="s">
        <v>5396</v>
      </c>
      <c r="G1227" t="s">
        <v>2632</v>
      </c>
      <c r="I1227" s="10"/>
      <c r="J1227" s="107">
        <f>SUMIF(Data!C:C,G1227,Data!Q:Q)</f>
        <v>0</v>
      </c>
      <c r="K1227" s="107">
        <f>SUMIF(Comprometidos!A:A,'Cost Report'!G1227,Comprometidos!E:E)</f>
        <v>0</v>
      </c>
      <c r="L1227" s="107">
        <f t="shared" si="525"/>
        <v>0</v>
      </c>
      <c r="M1227" s="107">
        <f t="shared" si="526"/>
        <v>0</v>
      </c>
      <c r="N1227" s="107">
        <f t="shared" si="527"/>
        <v>0</v>
      </c>
      <c r="O1227" s="107">
        <f>VLOOKUP(G1227,Budget!$E$3:$G$2474,3,0)</f>
        <v>0</v>
      </c>
      <c r="P1227" s="107">
        <f t="shared" si="528"/>
        <v>0</v>
      </c>
      <c r="Q1227" s="107"/>
      <c r="R1227" s="10"/>
      <c r="S1227" s="107">
        <v>0</v>
      </c>
      <c r="T1227" s="107">
        <f t="shared" si="505"/>
        <v>0</v>
      </c>
      <c r="U1227" s="107"/>
      <c r="V1227" s="175"/>
      <c r="W1227" s="10"/>
      <c r="X1227" s="10"/>
      <c r="Y1227" t="str">
        <f t="shared" si="529"/>
        <v>3002</v>
      </c>
      <c r="AB1227" s="10"/>
      <c r="AC1227" s="10"/>
      <c r="AD1227" s="10"/>
      <c r="AE1227" s="10"/>
      <c r="AF1227" s="10"/>
      <c r="AG1227" s="10"/>
      <c r="AH1227" s="10"/>
      <c r="AI1227" s="10"/>
    </row>
    <row r="1228" spans="1:35">
      <c r="A1228" s="10"/>
      <c r="B1228" s="10" t="str">
        <f t="shared" si="524"/>
        <v>Below the Line2nd Unit</v>
      </c>
      <c r="C1228" t="s">
        <v>20</v>
      </c>
      <c r="D1228" t="s">
        <v>19</v>
      </c>
      <c r="E1228" t="s">
        <v>1419</v>
      </c>
      <c r="F1228" t="s">
        <v>5396</v>
      </c>
      <c r="G1228" t="s">
        <v>2633</v>
      </c>
      <c r="I1228" s="10"/>
      <c r="J1228" s="107">
        <f>SUMIF(Data!C:C,G1228,Data!Q:Q)</f>
        <v>33405.97</v>
      </c>
      <c r="K1228" s="107">
        <f>SUMIF(Comprometidos!A:A,'Cost Report'!G1228,Comprometidos!E:E)</f>
        <v>0</v>
      </c>
      <c r="L1228" s="107">
        <f t="shared" si="525"/>
        <v>33405.97</v>
      </c>
      <c r="M1228" s="107">
        <v>0</v>
      </c>
      <c r="N1228" s="107">
        <f t="shared" si="527"/>
        <v>33405.97</v>
      </c>
      <c r="O1228" s="107">
        <f>VLOOKUP(G1228,Budget!$E$3:$G$2474,3,0)</f>
        <v>28635.599999999999</v>
      </c>
      <c r="P1228" s="107">
        <f t="shared" si="528"/>
        <v>-4770.3700000000026</v>
      </c>
      <c r="Q1228" s="107"/>
      <c r="R1228" s="10"/>
      <c r="S1228" s="107">
        <v>33405.97</v>
      </c>
      <c r="T1228" s="107">
        <f t="shared" si="505"/>
        <v>0</v>
      </c>
      <c r="U1228" s="107"/>
      <c r="V1228" s="175"/>
      <c r="W1228" s="10"/>
      <c r="X1228" s="10"/>
      <c r="Y1228" t="str">
        <f t="shared" si="529"/>
        <v>3002</v>
      </c>
      <c r="AB1228" s="10"/>
      <c r="AC1228" s="10"/>
      <c r="AD1228" s="10"/>
      <c r="AE1228" s="10"/>
      <c r="AF1228" s="10"/>
      <c r="AG1228" s="10"/>
      <c r="AH1228" s="10"/>
      <c r="AI1228" s="10"/>
    </row>
    <row r="1229" spans="1:35">
      <c r="A1229" s="10"/>
      <c r="B1229" s="10" t="str">
        <f t="shared" si="524"/>
        <v>Below the Line2nd Unit</v>
      </c>
      <c r="C1229" t="s">
        <v>20</v>
      </c>
      <c r="D1229" t="s">
        <v>19</v>
      </c>
      <c r="E1229" t="s">
        <v>1419</v>
      </c>
      <c r="F1229" t="s">
        <v>5396</v>
      </c>
      <c r="G1229" t="s">
        <v>2634</v>
      </c>
      <c r="I1229" s="10"/>
      <c r="J1229" s="107">
        <f>SUMIF(Data!C:C,G1229,Data!Q:Q)</f>
        <v>0</v>
      </c>
      <c r="K1229" s="107">
        <f>SUMIF(Comprometidos!A:A,'Cost Report'!G1229,Comprometidos!E:E)</f>
        <v>0</v>
      </c>
      <c r="L1229" s="107">
        <f t="shared" si="525"/>
        <v>0</v>
      </c>
      <c r="M1229" s="107">
        <f t="shared" si="526"/>
        <v>0</v>
      </c>
      <c r="N1229" s="107">
        <f t="shared" si="527"/>
        <v>0</v>
      </c>
      <c r="O1229" s="107">
        <f>VLOOKUP(G1229,Budget!$E$3:$G$2474,3,0)</f>
        <v>0</v>
      </c>
      <c r="P1229" s="107">
        <f t="shared" si="528"/>
        <v>0</v>
      </c>
      <c r="Q1229" s="107"/>
      <c r="R1229" s="10"/>
      <c r="S1229" s="107">
        <v>0</v>
      </c>
      <c r="T1229" s="107">
        <f t="shared" si="505"/>
        <v>0</v>
      </c>
      <c r="U1229" s="107"/>
      <c r="V1229" s="175"/>
      <c r="W1229" s="10"/>
      <c r="X1229" s="10"/>
      <c r="Y1229" t="str">
        <f t="shared" si="529"/>
        <v>3002</v>
      </c>
      <c r="AB1229" s="10"/>
      <c r="AC1229" s="10"/>
      <c r="AD1229" s="10"/>
      <c r="AE1229" s="10"/>
      <c r="AF1229" s="10"/>
      <c r="AG1229" s="10"/>
      <c r="AH1229" s="10"/>
      <c r="AI1229" s="10"/>
    </row>
    <row r="1230" spans="1:35">
      <c r="A1230" s="10"/>
      <c r="B1230" s="10" t="str">
        <f t="shared" si="524"/>
        <v>Below the Line</v>
      </c>
      <c r="C1230" t="s">
        <v>20</v>
      </c>
      <c r="D1230" t="s">
        <v>19</v>
      </c>
      <c r="E1230" t="s">
        <v>214</v>
      </c>
      <c r="F1230" t="s">
        <v>5396</v>
      </c>
      <c r="G1230" t="s">
        <v>2635</v>
      </c>
      <c r="I1230" s="10"/>
      <c r="J1230" s="107">
        <f>SUMIF(Data!C:C,G1230,Data!Q:Q)</f>
        <v>0</v>
      </c>
      <c r="K1230" s="107">
        <f>SUMIF(Comprometidos!A:A,'Cost Report'!G1230,Comprometidos!E:E)</f>
        <v>0</v>
      </c>
      <c r="L1230" s="107">
        <f t="shared" si="525"/>
        <v>0</v>
      </c>
      <c r="M1230" s="107">
        <f t="shared" si="526"/>
        <v>0</v>
      </c>
      <c r="N1230" s="107">
        <f t="shared" si="527"/>
        <v>0</v>
      </c>
      <c r="O1230" s="107">
        <f>VLOOKUP(G1230,Budget!$E$3:$G$2474,3,0)</f>
        <v>0</v>
      </c>
      <c r="P1230" s="107">
        <f t="shared" si="528"/>
        <v>0</v>
      </c>
      <c r="Q1230" s="107"/>
      <c r="R1230" s="10"/>
      <c r="S1230" s="107">
        <v>0</v>
      </c>
      <c r="T1230" s="107">
        <f t="shared" si="505"/>
        <v>0</v>
      </c>
      <c r="U1230" s="107"/>
      <c r="V1230" s="175"/>
      <c r="W1230" s="10"/>
      <c r="X1230" s="10"/>
      <c r="Y1230" t="str">
        <f t="shared" si="529"/>
        <v>3002</v>
      </c>
      <c r="AB1230" s="10"/>
      <c r="AC1230" s="10"/>
      <c r="AD1230" s="10"/>
      <c r="AE1230" s="10"/>
      <c r="AF1230" s="10"/>
      <c r="AG1230" s="10"/>
      <c r="AH1230" s="10"/>
      <c r="AI1230" s="10"/>
    </row>
    <row r="1231" spans="1:35">
      <c r="A1231" s="10"/>
      <c r="B1231" s="10" t="str">
        <f t="shared" si="524"/>
        <v>Below the Line2nd Unit</v>
      </c>
      <c r="C1231" t="s">
        <v>20</v>
      </c>
      <c r="D1231" t="s">
        <v>19</v>
      </c>
      <c r="E1231" t="s">
        <v>1419</v>
      </c>
      <c r="F1231" t="s">
        <v>5396</v>
      </c>
      <c r="G1231" t="s">
        <v>2636</v>
      </c>
      <c r="I1231" s="10"/>
      <c r="J1231" s="107">
        <f>SUMIF(Data!C:C,G1231,Data!Q:Q)</f>
        <v>0</v>
      </c>
      <c r="K1231" s="107">
        <f>SUMIF(Comprometidos!A:A,'Cost Report'!G1231,Comprometidos!E:E)</f>
        <v>0</v>
      </c>
      <c r="L1231" s="107">
        <f t="shared" si="525"/>
        <v>0</v>
      </c>
      <c r="M1231" s="107">
        <f t="shared" si="526"/>
        <v>0</v>
      </c>
      <c r="N1231" s="107">
        <f t="shared" si="527"/>
        <v>0</v>
      </c>
      <c r="O1231" s="107">
        <f>VLOOKUP(G1231,Budget!$E$3:$G$2474,3,0)</f>
        <v>0</v>
      </c>
      <c r="P1231" s="107">
        <f t="shared" si="528"/>
        <v>0</v>
      </c>
      <c r="Q1231" s="107"/>
      <c r="R1231" s="10"/>
      <c r="S1231" s="107">
        <v>0</v>
      </c>
      <c r="T1231" s="107">
        <f t="shared" si="505"/>
        <v>0</v>
      </c>
      <c r="U1231" s="107"/>
      <c r="V1231" s="175"/>
      <c r="W1231" s="10"/>
      <c r="X1231" s="10"/>
      <c r="Y1231" t="str">
        <f t="shared" si="529"/>
        <v>3002</v>
      </c>
      <c r="AB1231" s="10"/>
      <c r="AC1231" s="10"/>
      <c r="AD1231" s="10"/>
      <c r="AE1231" s="10"/>
      <c r="AF1231" s="10"/>
      <c r="AG1231" s="10"/>
      <c r="AH1231" s="10"/>
      <c r="AI1231" s="10"/>
    </row>
    <row r="1232" spans="1:35">
      <c r="A1232" s="10"/>
      <c r="B1232" s="10" t="str">
        <f t="shared" si="524"/>
        <v>Below the Line2nd Unit</v>
      </c>
      <c r="C1232" t="s">
        <v>20</v>
      </c>
      <c r="D1232" t="s">
        <v>19</v>
      </c>
      <c r="E1232" t="s">
        <v>1419</v>
      </c>
      <c r="F1232" t="s">
        <v>5396</v>
      </c>
      <c r="G1232" t="s">
        <v>2637</v>
      </c>
      <c r="I1232" s="10"/>
      <c r="J1232" s="107">
        <f>SUMIF(Data!C:C,G1232,Data!Q:Q)</f>
        <v>31134</v>
      </c>
      <c r="K1232" s="107">
        <f>SUMIF(Comprometidos!A:A,'Cost Report'!G1232,Comprometidos!E:E)</f>
        <v>0</v>
      </c>
      <c r="L1232" s="107">
        <f t="shared" si="525"/>
        <v>31134</v>
      </c>
      <c r="M1232" s="107">
        <v>0</v>
      </c>
      <c r="N1232" s="107">
        <f t="shared" si="527"/>
        <v>31134</v>
      </c>
      <c r="O1232" s="107">
        <f>VLOOKUP(G1232,Budget!$E$3:$G$2474,3,0)</f>
        <v>28635.599999999999</v>
      </c>
      <c r="P1232" s="107">
        <f t="shared" si="528"/>
        <v>-2498.4000000000015</v>
      </c>
      <c r="Q1232" s="107"/>
      <c r="R1232" s="10"/>
      <c r="S1232" s="107">
        <v>31134</v>
      </c>
      <c r="T1232" s="107">
        <f t="shared" ref="T1232:T1295" si="530">+S1232-N1232</f>
        <v>0</v>
      </c>
      <c r="U1232" s="107"/>
      <c r="V1232" s="175"/>
      <c r="W1232" s="10"/>
      <c r="X1232" s="10"/>
      <c r="Y1232" t="str">
        <f t="shared" si="529"/>
        <v>3002</v>
      </c>
      <c r="AB1232" s="10"/>
      <c r="AC1232" s="10"/>
      <c r="AD1232" s="10"/>
      <c r="AE1232" s="10"/>
      <c r="AF1232" s="10"/>
      <c r="AG1232" s="10"/>
      <c r="AH1232" s="10"/>
      <c r="AI1232" s="10"/>
    </row>
    <row r="1233" spans="1:35">
      <c r="A1233" s="10"/>
      <c r="B1233" s="10" t="str">
        <f t="shared" si="524"/>
        <v>Below the Line2nd Unit</v>
      </c>
      <c r="C1233" t="s">
        <v>20</v>
      </c>
      <c r="D1233" t="s">
        <v>19</v>
      </c>
      <c r="E1233" t="s">
        <v>1419</v>
      </c>
      <c r="F1233" t="s">
        <v>5396</v>
      </c>
      <c r="G1233" t="s">
        <v>2638</v>
      </c>
      <c r="I1233" s="10"/>
      <c r="J1233" s="107">
        <f>SUMIF(Data!C:C,G1233,Data!Q:Q)</f>
        <v>0</v>
      </c>
      <c r="K1233" s="107">
        <f>SUMIF(Comprometidos!A:A,'Cost Report'!G1233,Comprometidos!E:E)</f>
        <v>0</v>
      </c>
      <c r="L1233" s="107">
        <f t="shared" si="525"/>
        <v>0</v>
      </c>
      <c r="M1233" s="107">
        <f t="shared" si="526"/>
        <v>0</v>
      </c>
      <c r="N1233" s="107">
        <f t="shared" si="527"/>
        <v>0</v>
      </c>
      <c r="O1233" s="107">
        <f>VLOOKUP(G1233,Budget!$E$3:$G$2474,3,0)</f>
        <v>0</v>
      </c>
      <c r="P1233" s="107">
        <f t="shared" si="528"/>
        <v>0</v>
      </c>
      <c r="Q1233" s="107"/>
      <c r="R1233" s="10"/>
      <c r="S1233" s="107">
        <v>0</v>
      </c>
      <c r="T1233" s="107">
        <f t="shared" si="530"/>
        <v>0</v>
      </c>
      <c r="U1233" s="107"/>
      <c r="V1233" s="175"/>
      <c r="W1233" s="10"/>
      <c r="X1233" s="10"/>
      <c r="Y1233" t="str">
        <f t="shared" si="529"/>
        <v>3002</v>
      </c>
      <c r="AB1233" s="10"/>
      <c r="AC1233" s="10"/>
      <c r="AD1233" s="10"/>
      <c r="AE1233" s="10"/>
      <c r="AF1233" s="10"/>
      <c r="AG1233" s="10"/>
      <c r="AH1233" s="10"/>
      <c r="AI1233" s="10"/>
    </row>
    <row r="1234" spans="1:35">
      <c r="A1234" s="10"/>
      <c r="B1234" s="10" t="str">
        <f>+C1234</f>
        <v>Below the Line</v>
      </c>
      <c r="C1234" s="128" t="s">
        <v>20</v>
      </c>
      <c r="D1234" s="128" t="s">
        <v>2117</v>
      </c>
      <c r="E1234" s="128"/>
      <c r="F1234" s="128"/>
      <c r="G1234" s="128" t="s">
        <v>754</v>
      </c>
      <c r="H1234" s="128"/>
      <c r="I1234" s="10"/>
      <c r="J1234" s="129">
        <f>SUMIF($Y$11:$Y$2484,G1234,J$11:J$2484)</f>
        <v>354754.98</v>
      </c>
      <c r="K1234" s="129">
        <f>SUMIF($Y$11:$Y$2484,G1234,K$11:K$2484)</f>
        <v>0</v>
      </c>
      <c r="L1234" s="129">
        <f>SUMIF($Y$11:$Y$2484,G1234,L$11:L$2484)</f>
        <v>354754.98</v>
      </c>
      <c r="M1234" s="129">
        <f>SUMIF($Y$11:$Y$2484,G1234,M$11:M$2484)</f>
        <v>0</v>
      </c>
      <c r="N1234" s="129">
        <f>SUMIF($Y$11:$Y$2484,G1234,N$11:N$2484)</f>
        <v>354754.98</v>
      </c>
      <c r="O1234" s="129">
        <f>SUMIF($Y$11:$Y$2484,G1234,O$11:O$2484)</f>
        <v>468050</v>
      </c>
      <c r="P1234" s="129">
        <f>SUMIF($Y$11:$Y$2484,G1234,P$11:P$2484)</f>
        <v>113295.02</v>
      </c>
      <c r="Q1234" s="129"/>
      <c r="R1234" s="10"/>
      <c r="S1234" s="129">
        <v>354754.98</v>
      </c>
      <c r="T1234" s="129">
        <f t="shared" si="530"/>
        <v>0</v>
      </c>
      <c r="U1234" s="128"/>
      <c r="V1234" s="175"/>
      <c r="W1234" s="10"/>
      <c r="X1234" s="10"/>
      <c r="Z1234" t="str">
        <f>LEFT(G1234,2)</f>
        <v>30</v>
      </c>
      <c r="AA1234" t="str">
        <f>+Z1234&amp;"00"</f>
        <v>3000</v>
      </c>
      <c r="AB1234" s="10"/>
      <c r="AC1234" s="10"/>
      <c r="AD1234" s="10"/>
      <c r="AE1234" s="10"/>
      <c r="AF1234" s="10"/>
      <c r="AG1234" s="10"/>
      <c r="AH1234" s="10"/>
      <c r="AI1234" s="10"/>
    </row>
    <row r="1235" spans="1:35">
      <c r="A1235" s="10"/>
      <c r="B1235" s="10" t="str">
        <f t="shared" ref="B1235:B1266" si="531">+C1235&amp;E1235</f>
        <v>Below the Line</v>
      </c>
      <c r="C1235" t="s">
        <v>20</v>
      </c>
      <c r="D1235" t="s">
        <v>19</v>
      </c>
      <c r="E1235" t="s">
        <v>214</v>
      </c>
      <c r="F1235" t="s">
        <v>5396</v>
      </c>
      <c r="G1235" t="s">
        <v>755</v>
      </c>
      <c r="I1235" s="10"/>
      <c r="J1235" s="107">
        <f>SUMIF(Data!C:C,G1235,Data!Q:Q)</f>
        <v>0</v>
      </c>
      <c r="K1235" s="107">
        <f>SUMIF(Comprometidos!A:A,'Cost Report'!G1235,Comprometidos!E:E)</f>
        <v>0</v>
      </c>
      <c r="L1235" s="107">
        <f t="shared" ref="L1235:L1279" si="532">+J1235+K1235</f>
        <v>0</v>
      </c>
      <c r="M1235" s="107">
        <f t="shared" ref="M1235:M1279" si="533">+O1235-L1235</f>
        <v>0</v>
      </c>
      <c r="N1235" s="107">
        <f t="shared" ref="N1235:N1279" si="534">+L1235+M1235</f>
        <v>0</v>
      </c>
      <c r="O1235" s="107">
        <f>VLOOKUP(G1235,Budget!$E$3:$G$2474,3,0)</f>
        <v>0</v>
      </c>
      <c r="P1235" s="107">
        <f t="shared" ref="P1235:P1279" si="535">+O1235-N1235</f>
        <v>0</v>
      </c>
      <c r="Q1235" s="107"/>
      <c r="R1235" s="10"/>
      <c r="S1235" s="107">
        <v>0</v>
      </c>
      <c r="T1235" s="107">
        <f t="shared" si="530"/>
        <v>0</v>
      </c>
      <c r="U1235" s="107"/>
      <c r="V1235" s="175"/>
      <c r="W1235" s="10"/>
      <c r="X1235" s="10"/>
      <c r="Y1235" t="str">
        <f t="shared" ref="Y1235:Y1266" si="536">LEFT(G1235,4)</f>
        <v>3003</v>
      </c>
      <c r="AB1235" s="10"/>
      <c r="AC1235" s="10"/>
      <c r="AD1235" s="10"/>
      <c r="AE1235" s="10"/>
      <c r="AF1235" s="10"/>
      <c r="AG1235" s="10"/>
      <c r="AH1235" s="10"/>
      <c r="AI1235" s="10"/>
    </row>
    <row r="1236" spans="1:35">
      <c r="A1236" s="10"/>
      <c r="B1236" s="10" t="str">
        <f t="shared" si="531"/>
        <v>Below the LinePREP</v>
      </c>
      <c r="C1236" t="s">
        <v>20</v>
      </c>
      <c r="D1236" t="s">
        <v>19</v>
      </c>
      <c r="E1236" t="s">
        <v>234</v>
      </c>
      <c r="F1236" t="s">
        <v>5396</v>
      </c>
      <c r="G1236" t="s">
        <v>756</v>
      </c>
      <c r="I1236" s="10"/>
      <c r="J1236" s="107">
        <f>SUMIF(Data!C:C,G1236,Data!Q:Q)</f>
        <v>0</v>
      </c>
      <c r="K1236" s="107">
        <f>SUMIF(Comprometidos!A:A,'Cost Report'!G1236,Comprometidos!E:E)</f>
        <v>0</v>
      </c>
      <c r="L1236" s="107">
        <f t="shared" si="532"/>
        <v>0</v>
      </c>
      <c r="M1236" s="107">
        <v>0</v>
      </c>
      <c r="N1236" s="107">
        <f t="shared" si="534"/>
        <v>0</v>
      </c>
      <c r="O1236" s="107">
        <f>VLOOKUP(G1236,Budget!$E$3:$G$2474,3,0)</f>
        <v>6037.5</v>
      </c>
      <c r="P1236" s="107">
        <f t="shared" si="535"/>
        <v>6037.5</v>
      </c>
      <c r="Q1236" s="107"/>
      <c r="R1236" s="10"/>
      <c r="S1236" s="107">
        <v>0</v>
      </c>
      <c r="T1236" s="107">
        <f t="shared" si="530"/>
        <v>0</v>
      </c>
      <c r="U1236" s="107"/>
      <c r="V1236" s="175"/>
      <c r="W1236" s="10"/>
      <c r="X1236" s="10"/>
      <c r="Y1236" t="str">
        <f t="shared" si="536"/>
        <v>3003</v>
      </c>
      <c r="AB1236" s="10"/>
      <c r="AC1236" s="10"/>
      <c r="AD1236" s="10"/>
      <c r="AE1236" s="10"/>
      <c r="AF1236" s="10"/>
      <c r="AG1236" s="10"/>
      <c r="AH1236" s="10"/>
      <c r="AI1236" s="10"/>
    </row>
    <row r="1237" spans="1:35">
      <c r="A1237" s="10"/>
      <c r="B1237" s="10" t="str">
        <f t="shared" si="531"/>
        <v>Below the LineSHOOT</v>
      </c>
      <c r="C1237" t="s">
        <v>20</v>
      </c>
      <c r="D1237" t="s">
        <v>19</v>
      </c>
      <c r="E1237" t="s">
        <v>236</v>
      </c>
      <c r="F1237" t="s">
        <v>5396</v>
      </c>
      <c r="G1237" t="s">
        <v>757</v>
      </c>
      <c r="I1237" s="10"/>
      <c r="J1237" s="107">
        <f>SUMIF(Data!C:C,G1237,Data!Q:Q)</f>
        <v>84490</v>
      </c>
      <c r="K1237" s="107">
        <f>SUMIF(Comprometidos!A:A,'Cost Report'!G1237,Comprometidos!E:E)</f>
        <v>0</v>
      </c>
      <c r="L1237" s="107">
        <f t="shared" si="532"/>
        <v>84490</v>
      </c>
      <c r="M1237" s="107">
        <v>0</v>
      </c>
      <c r="N1237" s="107">
        <f t="shared" si="534"/>
        <v>84490</v>
      </c>
      <c r="O1237" s="107">
        <f>VLOOKUP(G1237,Budget!$E$3:$G$2474,3,0)</f>
        <v>84525</v>
      </c>
      <c r="P1237" s="107">
        <f t="shared" si="535"/>
        <v>35</v>
      </c>
      <c r="Q1237" s="107"/>
      <c r="R1237" s="10"/>
      <c r="S1237" s="107">
        <v>84490</v>
      </c>
      <c r="T1237" s="107">
        <f t="shared" si="530"/>
        <v>0</v>
      </c>
      <c r="U1237" s="107"/>
      <c r="V1237" s="175"/>
      <c r="W1237" s="10"/>
      <c r="X1237" s="10"/>
      <c r="Y1237" t="str">
        <f t="shared" si="536"/>
        <v>3003</v>
      </c>
      <c r="AB1237" s="10"/>
      <c r="AC1237" s="10"/>
      <c r="AD1237" s="10"/>
      <c r="AE1237" s="10"/>
      <c r="AF1237" s="10"/>
      <c r="AG1237" s="10"/>
      <c r="AH1237" s="10"/>
      <c r="AI1237" s="10"/>
    </row>
    <row r="1238" spans="1:35">
      <c r="A1238" s="10"/>
      <c r="B1238" s="10" t="str">
        <f t="shared" si="531"/>
        <v>Below the LineWRAP</v>
      </c>
      <c r="C1238" t="s">
        <v>20</v>
      </c>
      <c r="D1238" t="s">
        <v>19</v>
      </c>
      <c r="E1238" t="s">
        <v>238</v>
      </c>
      <c r="F1238" t="s">
        <v>5396</v>
      </c>
      <c r="G1238" t="s">
        <v>758</v>
      </c>
      <c r="I1238" s="10"/>
      <c r="J1238" s="107">
        <f>SUMIF(Data!C:C,G1238,Data!Q:Q)</f>
        <v>4023.32</v>
      </c>
      <c r="K1238" s="107">
        <f>SUMIF(Comprometidos!A:A,'Cost Report'!G1238,Comprometidos!E:E)</f>
        <v>0</v>
      </c>
      <c r="L1238" s="107">
        <f t="shared" si="532"/>
        <v>4023.32</v>
      </c>
      <c r="M1238" s="107">
        <v>0</v>
      </c>
      <c r="N1238" s="107">
        <f t="shared" si="534"/>
        <v>4023.32</v>
      </c>
      <c r="O1238" s="107">
        <f>VLOOKUP(G1238,Budget!$E$3:$G$2474,3,0)</f>
        <v>6037.5</v>
      </c>
      <c r="P1238" s="107">
        <f t="shared" si="535"/>
        <v>2014.1799999999998</v>
      </c>
      <c r="Q1238" s="107"/>
      <c r="R1238" s="10"/>
      <c r="S1238" s="107">
        <v>4023.32</v>
      </c>
      <c r="T1238" s="107">
        <f t="shared" si="530"/>
        <v>0</v>
      </c>
      <c r="U1238" s="107"/>
      <c r="V1238" s="175"/>
      <c r="W1238" s="10"/>
      <c r="X1238" s="10"/>
      <c r="Y1238" t="str">
        <f t="shared" si="536"/>
        <v>3003</v>
      </c>
      <c r="AB1238" s="10"/>
      <c r="AC1238" s="10"/>
      <c r="AD1238" s="10"/>
      <c r="AE1238" s="10"/>
      <c r="AF1238" s="10"/>
      <c r="AG1238" s="10"/>
      <c r="AH1238" s="10"/>
      <c r="AI1238" s="10"/>
    </row>
    <row r="1239" spans="1:35">
      <c r="A1239" s="10"/>
      <c r="B1239" s="10" t="str">
        <f t="shared" si="531"/>
        <v>Below the Line</v>
      </c>
      <c r="C1239" t="s">
        <v>20</v>
      </c>
      <c r="D1239" t="s">
        <v>19</v>
      </c>
      <c r="E1239" t="s">
        <v>214</v>
      </c>
      <c r="F1239" t="s">
        <v>5396</v>
      </c>
      <c r="G1239" t="s">
        <v>759</v>
      </c>
      <c r="I1239" s="10"/>
      <c r="J1239" s="107">
        <f>SUMIF(Data!C:C,G1239,Data!Q:Q)</f>
        <v>0</v>
      </c>
      <c r="K1239" s="107">
        <f>SUMIF(Comprometidos!A:A,'Cost Report'!G1239,Comprometidos!E:E)</f>
        <v>0</v>
      </c>
      <c r="L1239" s="107">
        <f t="shared" si="532"/>
        <v>0</v>
      </c>
      <c r="M1239" s="107">
        <f t="shared" si="533"/>
        <v>0</v>
      </c>
      <c r="N1239" s="107">
        <f t="shared" si="534"/>
        <v>0</v>
      </c>
      <c r="O1239" s="107">
        <f>VLOOKUP(G1239,Budget!$E$3:$G$2474,3,0)</f>
        <v>0</v>
      </c>
      <c r="P1239" s="107">
        <f t="shared" si="535"/>
        <v>0</v>
      </c>
      <c r="Q1239" s="107"/>
      <c r="R1239" s="10"/>
      <c r="S1239" s="107">
        <v>0</v>
      </c>
      <c r="T1239" s="107">
        <f t="shared" si="530"/>
        <v>0</v>
      </c>
      <c r="U1239" s="107"/>
      <c r="V1239" s="175"/>
      <c r="W1239" s="10"/>
      <c r="X1239" s="10"/>
      <c r="Y1239" t="str">
        <f t="shared" si="536"/>
        <v>3003</v>
      </c>
      <c r="AB1239" s="10"/>
      <c r="AC1239" s="10"/>
      <c r="AD1239" s="10"/>
      <c r="AE1239" s="10"/>
      <c r="AF1239" s="10"/>
      <c r="AG1239" s="10"/>
      <c r="AH1239" s="10"/>
      <c r="AI1239" s="10"/>
    </row>
    <row r="1240" spans="1:35">
      <c r="A1240" s="10"/>
      <c r="B1240" s="10" t="str">
        <f t="shared" si="531"/>
        <v>Below the LinePREP</v>
      </c>
      <c r="C1240" t="s">
        <v>20</v>
      </c>
      <c r="D1240" t="s">
        <v>19</v>
      </c>
      <c r="E1240" t="s">
        <v>234</v>
      </c>
      <c r="F1240" t="s">
        <v>5396</v>
      </c>
      <c r="G1240" t="s">
        <v>760</v>
      </c>
      <c r="I1240" s="10"/>
      <c r="J1240" s="107">
        <f>SUMIF(Data!C:C,G1240,Data!Q:Q)</f>
        <v>3258.33</v>
      </c>
      <c r="K1240" s="107">
        <f>SUMIF(Comprometidos!A:A,'Cost Report'!G1240,Comprometidos!E:E)</f>
        <v>0</v>
      </c>
      <c r="L1240" s="107">
        <f t="shared" si="532"/>
        <v>3258.33</v>
      </c>
      <c r="M1240" s="107">
        <v>0</v>
      </c>
      <c r="N1240" s="107">
        <f t="shared" si="534"/>
        <v>3258.33</v>
      </c>
      <c r="O1240" s="107">
        <f>VLOOKUP(G1240,Budget!$E$3:$G$2474,3,0)</f>
        <v>4887.5</v>
      </c>
      <c r="P1240" s="107">
        <f t="shared" si="535"/>
        <v>1629.17</v>
      </c>
      <c r="Q1240" s="107"/>
      <c r="R1240" s="10"/>
      <c r="S1240" s="107">
        <v>3258.33</v>
      </c>
      <c r="T1240" s="107">
        <f t="shared" si="530"/>
        <v>0</v>
      </c>
      <c r="U1240" s="107"/>
      <c r="V1240" s="175"/>
      <c r="W1240" s="10"/>
      <c r="X1240" s="10"/>
      <c r="Y1240" t="str">
        <f t="shared" si="536"/>
        <v>3003</v>
      </c>
      <c r="AB1240" s="10"/>
      <c r="AC1240" s="10"/>
      <c r="AD1240" s="10"/>
      <c r="AE1240" s="10"/>
      <c r="AF1240" s="10"/>
      <c r="AG1240" s="10"/>
      <c r="AH1240" s="10"/>
      <c r="AI1240" s="10"/>
    </row>
    <row r="1241" spans="1:35">
      <c r="A1241" s="10"/>
      <c r="B1241" s="10" t="str">
        <f t="shared" si="531"/>
        <v>Below the LineSHOOT</v>
      </c>
      <c r="C1241" t="s">
        <v>20</v>
      </c>
      <c r="D1241" t="s">
        <v>19</v>
      </c>
      <c r="E1241" t="s">
        <v>236</v>
      </c>
      <c r="F1241" t="s">
        <v>5396</v>
      </c>
      <c r="G1241" t="s">
        <v>761</v>
      </c>
      <c r="I1241" s="10"/>
      <c r="J1241" s="107">
        <f>SUMIF(Data!C:C,G1241,Data!Q:Q)</f>
        <v>68425</v>
      </c>
      <c r="K1241" s="107">
        <f>SUMIF(Comprometidos!A:A,'Cost Report'!G1241,Comprometidos!E:E)</f>
        <v>0</v>
      </c>
      <c r="L1241" s="107">
        <f t="shared" si="532"/>
        <v>68425</v>
      </c>
      <c r="M1241" s="107">
        <f t="shared" si="533"/>
        <v>0</v>
      </c>
      <c r="N1241" s="107">
        <f t="shared" si="534"/>
        <v>68425</v>
      </c>
      <c r="O1241" s="107">
        <f>VLOOKUP(G1241,Budget!$E$3:$G$2474,3,0)</f>
        <v>68425</v>
      </c>
      <c r="P1241" s="107">
        <f t="shared" si="535"/>
        <v>0</v>
      </c>
      <c r="Q1241" s="107"/>
      <c r="R1241" s="10"/>
      <c r="S1241" s="107">
        <v>68425</v>
      </c>
      <c r="T1241" s="107">
        <f t="shared" si="530"/>
        <v>0</v>
      </c>
      <c r="U1241" s="107"/>
      <c r="V1241" s="175"/>
      <c r="W1241" s="10"/>
      <c r="X1241" s="10"/>
      <c r="Y1241" t="str">
        <f t="shared" si="536"/>
        <v>3003</v>
      </c>
      <c r="AB1241" s="10"/>
      <c r="AC1241" s="10"/>
      <c r="AD1241" s="10"/>
      <c r="AE1241" s="10"/>
      <c r="AF1241" s="10"/>
      <c r="AG1241" s="10"/>
      <c r="AH1241" s="10"/>
      <c r="AI1241" s="10"/>
    </row>
    <row r="1242" spans="1:35">
      <c r="A1242" s="10"/>
      <c r="B1242" s="10" t="str">
        <f t="shared" si="531"/>
        <v>Below the LineWRAP</v>
      </c>
      <c r="C1242" t="s">
        <v>20</v>
      </c>
      <c r="D1242" t="s">
        <v>19</v>
      </c>
      <c r="E1242" t="s">
        <v>238</v>
      </c>
      <c r="F1242" t="s">
        <v>5396</v>
      </c>
      <c r="G1242" t="s">
        <v>762</v>
      </c>
      <c r="I1242" s="10"/>
      <c r="J1242" s="107">
        <f>SUMIF(Data!C:C,G1242,Data!Q:Q)</f>
        <v>3258.33</v>
      </c>
      <c r="K1242" s="107">
        <f>SUMIF(Comprometidos!A:A,'Cost Report'!G1242,Comprometidos!E:E)</f>
        <v>0</v>
      </c>
      <c r="L1242" s="107">
        <f t="shared" si="532"/>
        <v>3258.33</v>
      </c>
      <c r="M1242" s="107">
        <v>0</v>
      </c>
      <c r="N1242" s="107">
        <f t="shared" si="534"/>
        <v>3258.33</v>
      </c>
      <c r="O1242" s="107">
        <f>VLOOKUP(G1242,Budget!$E$3:$G$2474,3,0)</f>
        <v>4887.5</v>
      </c>
      <c r="P1242" s="107">
        <f t="shared" si="535"/>
        <v>1629.17</v>
      </c>
      <c r="Q1242" s="107"/>
      <c r="R1242" s="10"/>
      <c r="S1242" s="107">
        <v>3258.33</v>
      </c>
      <c r="T1242" s="107">
        <f t="shared" si="530"/>
        <v>0</v>
      </c>
      <c r="U1242" s="107"/>
      <c r="V1242" s="175"/>
      <c r="W1242" s="10"/>
      <c r="X1242" s="10"/>
      <c r="Y1242" t="str">
        <f t="shared" si="536"/>
        <v>3003</v>
      </c>
      <c r="AB1242" s="10"/>
      <c r="AC1242" s="10"/>
      <c r="AD1242" s="10"/>
      <c r="AE1242" s="10"/>
      <c r="AF1242" s="10"/>
      <c r="AG1242" s="10"/>
      <c r="AH1242" s="10"/>
      <c r="AI1242" s="10"/>
    </row>
    <row r="1243" spans="1:35">
      <c r="A1243" s="10"/>
      <c r="B1243" s="10" t="str">
        <f t="shared" si="531"/>
        <v>Below the Line</v>
      </c>
      <c r="C1243" t="s">
        <v>20</v>
      </c>
      <c r="D1243" t="s">
        <v>19</v>
      </c>
      <c r="E1243" t="s">
        <v>214</v>
      </c>
      <c r="F1243" t="s">
        <v>5396</v>
      </c>
      <c r="G1243" t="s">
        <v>763</v>
      </c>
      <c r="I1243" s="10"/>
      <c r="J1243" s="107">
        <f>SUMIF(Data!C:C,G1243,Data!Q:Q)</f>
        <v>0</v>
      </c>
      <c r="K1243" s="107">
        <f>SUMIF(Comprometidos!A:A,'Cost Report'!G1243,Comprometidos!E:E)</f>
        <v>0</v>
      </c>
      <c r="L1243" s="107">
        <f t="shared" si="532"/>
        <v>0</v>
      </c>
      <c r="M1243" s="107">
        <v>0</v>
      </c>
      <c r="N1243" s="107">
        <f t="shared" si="534"/>
        <v>0</v>
      </c>
      <c r="O1243" s="107">
        <f>VLOOKUP(G1243,Budget!$E$3:$G$2474,3,0)</f>
        <v>0</v>
      </c>
      <c r="P1243" s="107">
        <f t="shared" si="535"/>
        <v>0</v>
      </c>
      <c r="Q1243" s="107"/>
      <c r="R1243" s="10"/>
      <c r="S1243" s="107">
        <v>0</v>
      </c>
      <c r="T1243" s="107">
        <f t="shared" si="530"/>
        <v>0</v>
      </c>
      <c r="U1243" s="107"/>
      <c r="V1243" s="175"/>
      <c r="W1243" s="10"/>
      <c r="X1243" s="10"/>
      <c r="Y1243" t="str">
        <f t="shared" si="536"/>
        <v>3003</v>
      </c>
      <c r="AB1243" s="10"/>
      <c r="AC1243" s="10"/>
      <c r="AD1243" s="10"/>
      <c r="AE1243" s="10"/>
      <c r="AF1243" s="10"/>
      <c r="AG1243" s="10"/>
      <c r="AH1243" s="10"/>
      <c r="AI1243" s="10"/>
    </row>
    <row r="1244" spans="1:35">
      <c r="A1244" s="10"/>
      <c r="B1244" s="10" t="str">
        <f t="shared" si="531"/>
        <v>Below the LinePREP</v>
      </c>
      <c r="C1244" t="s">
        <v>20</v>
      </c>
      <c r="D1244" t="s">
        <v>19</v>
      </c>
      <c r="E1244" t="s">
        <v>234</v>
      </c>
      <c r="F1244" t="s">
        <v>5396</v>
      </c>
      <c r="G1244" t="s">
        <v>764</v>
      </c>
      <c r="I1244" s="10"/>
      <c r="J1244" s="107">
        <f>SUMIF(Data!C:C,G1244,Data!Q:Q)</f>
        <v>3450</v>
      </c>
      <c r="K1244" s="107">
        <f>SUMIF(Comprometidos!A:A,'Cost Report'!G1244,Comprometidos!E:E)</f>
        <v>0</v>
      </c>
      <c r="L1244" s="107">
        <f t="shared" si="532"/>
        <v>3450</v>
      </c>
      <c r="M1244" s="107">
        <v>0</v>
      </c>
      <c r="N1244" s="107">
        <f t="shared" si="534"/>
        <v>3450</v>
      </c>
      <c r="O1244" s="107">
        <f>VLOOKUP(G1244,Budget!$E$3:$G$2474,3,0)</f>
        <v>5175</v>
      </c>
      <c r="P1244" s="107">
        <f t="shared" si="535"/>
        <v>1725</v>
      </c>
      <c r="Q1244" s="107"/>
      <c r="R1244" s="10"/>
      <c r="S1244" s="107">
        <v>3450</v>
      </c>
      <c r="T1244" s="107">
        <f t="shared" si="530"/>
        <v>0</v>
      </c>
      <c r="U1244" s="107"/>
      <c r="V1244" s="175"/>
      <c r="W1244" s="10"/>
      <c r="X1244" s="10"/>
      <c r="Y1244" t="str">
        <f t="shared" si="536"/>
        <v>3003</v>
      </c>
      <c r="AB1244" s="10"/>
      <c r="AC1244" s="10"/>
      <c r="AD1244" s="10"/>
      <c r="AE1244" s="10"/>
      <c r="AF1244" s="10"/>
      <c r="AG1244" s="10"/>
      <c r="AH1244" s="10"/>
      <c r="AI1244" s="10"/>
    </row>
    <row r="1245" spans="1:35">
      <c r="A1245" s="10"/>
      <c r="B1245" s="10" t="str">
        <f t="shared" si="531"/>
        <v>Below the LineSHOOT</v>
      </c>
      <c r="C1245" t="s">
        <v>20</v>
      </c>
      <c r="D1245" t="s">
        <v>19</v>
      </c>
      <c r="E1245" t="s">
        <v>236</v>
      </c>
      <c r="F1245" t="s">
        <v>5396</v>
      </c>
      <c r="G1245" t="s">
        <v>765</v>
      </c>
      <c r="I1245" s="10"/>
      <c r="J1245" s="107">
        <f>SUMIF(Data!C:C,G1245,Data!Q:Q)</f>
        <v>72450</v>
      </c>
      <c r="K1245" s="107">
        <f>SUMIF(Comprometidos!A:A,'Cost Report'!G1245,Comprometidos!E:E)</f>
        <v>0</v>
      </c>
      <c r="L1245" s="107">
        <f t="shared" si="532"/>
        <v>72450</v>
      </c>
      <c r="M1245" s="107">
        <f t="shared" si="533"/>
        <v>0</v>
      </c>
      <c r="N1245" s="107">
        <f t="shared" si="534"/>
        <v>72450</v>
      </c>
      <c r="O1245" s="107">
        <f>VLOOKUP(G1245,Budget!$E$3:$G$2474,3,0)</f>
        <v>72450</v>
      </c>
      <c r="P1245" s="107">
        <f t="shared" si="535"/>
        <v>0</v>
      </c>
      <c r="Q1245" s="107"/>
      <c r="R1245" s="10"/>
      <c r="S1245" s="107">
        <v>72450</v>
      </c>
      <c r="T1245" s="107">
        <f t="shared" si="530"/>
        <v>0</v>
      </c>
      <c r="U1245" s="107"/>
      <c r="V1245" s="175"/>
      <c r="W1245" s="10"/>
      <c r="X1245" s="10"/>
      <c r="Y1245" t="str">
        <f t="shared" si="536"/>
        <v>3003</v>
      </c>
      <c r="AB1245" s="10"/>
      <c r="AC1245" s="10"/>
      <c r="AD1245" s="10"/>
      <c r="AE1245" s="10"/>
      <c r="AF1245" s="10"/>
      <c r="AG1245" s="10"/>
      <c r="AH1245" s="10"/>
      <c r="AI1245" s="10"/>
    </row>
    <row r="1246" spans="1:35">
      <c r="A1246" s="10"/>
      <c r="B1246" s="10" t="str">
        <f t="shared" si="531"/>
        <v>Below the LineWRAP</v>
      </c>
      <c r="C1246" t="s">
        <v>20</v>
      </c>
      <c r="D1246" t="s">
        <v>19</v>
      </c>
      <c r="E1246" t="s">
        <v>238</v>
      </c>
      <c r="F1246" t="s">
        <v>5396</v>
      </c>
      <c r="G1246" t="s">
        <v>766</v>
      </c>
      <c r="I1246" s="10"/>
      <c r="J1246" s="107">
        <f>SUMIF(Data!C:C,G1246,Data!Q:Q)</f>
        <v>3450</v>
      </c>
      <c r="K1246" s="107">
        <f>SUMIF(Comprometidos!A:A,'Cost Report'!G1246,Comprometidos!E:E)</f>
        <v>0</v>
      </c>
      <c r="L1246" s="107">
        <f t="shared" si="532"/>
        <v>3450</v>
      </c>
      <c r="M1246" s="107">
        <v>0</v>
      </c>
      <c r="N1246" s="107">
        <f t="shared" si="534"/>
        <v>3450</v>
      </c>
      <c r="O1246" s="107">
        <f>VLOOKUP(G1246,Budget!$E$3:$G$2474,3,0)</f>
        <v>5175</v>
      </c>
      <c r="P1246" s="107">
        <f t="shared" si="535"/>
        <v>1725</v>
      </c>
      <c r="Q1246" s="107"/>
      <c r="R1246" s="10"/>
      <c r="S1246" s="107">
        <v>3450</v>
      </c>
      <c r="T1246" s="107">
        <f t="shared" si="530"/>
        <v>0</v>
      </c>
      <c r="U1246" s="107"/>
      <c r="V1246" s="175"/>
      <c r="W1246" s="10"/>
      <c r="X1246" s="10"/>
      <c r="Y1246" t="str">
        <f t="shared" si="536"/>
        <v>3003</v>
      </c>
      <c r="AB1246" s="10"/>
      <c r="AC1246" s="10"/>
      <c r="AD1246" s="10"/>
      <c r="AE1246" s="10"/>
      <c r="AF1246" s="10"/>
      <c r="AG1246" s="10"/>
      <c r="AH1246" s="10"/>
      <c r="AI1246" s="10"/>
    </row>
    <row r="1247" spans="1:35">
      <c r="A1247" s="10"/>
      <c r="B1247" s="10" t="str">
        <f t="shared" si="531"/>
        <v>Below the Line</v>
      </c>
      <c r="C1247" t="s">
        <v>20</v>
      </c>
      <c r="D1247" t="s">
        <v>19</v>
      </c>
      <c r="E1247" t="s">
        <v>214</v>
      </c>
      <c r="F1247" t="s">
        <v>5396</v>
      </c>
      <c r="G1247" t="s">
        <v>767</v>
      </c>
      <c r="I1247" s="10"/>
      <c r="J1247" s="107">
        <f>SUMIF(Data!C:C,G1247,Data!Q:Q)</f>
        <v>0</v>
      </c>
      <c r="K1247" s="107">
        <f>SUMIF(Comprometidos!A:A,'Cost Report'!G1247,Comprometidos!E:E)</f>
        <v>0</v>
      </c>
      <c r="L1247" s="107">
        <f t="shared" si="532"/>
        <v>0</v>
      </c>
      <c r="M1247" s="107">
        <f t="shared" si="533"/>
        <v>0</v>
      </c>
      <c r="N1247" s="107">
        <f t="shared" si="534"/>
        <v>0</v>
      </c>
      <c r="O1247" s="107">
        <f>VLOOKUP(G1247,Budget!$E$3:$G$2474,3,0)</f>
        <v>0</v>
      </c>
      <c r="P1247" s="107">
        <f t="shared" si="535"/>
        <v>0</v>
      </c>
      <c r="Q1247" s="107"/>
      <c r="R1247" s="10"/>
      <c r="S1247" s="107">
        <v>0</v>
      </c>
      <c r="T1247" s="107">
        <f t="shared" si="530"/>
        <v>0</v>
      </c>
      <c r="U1247" s="107"/>
      <c r="V1247" s="175"/>
      <c r="W1247" s="10"/>
      <c r="X1247" s="10"/>
      <c r="Y1247" t="str">
        <f t="shared" si="536"/>
        <v>3003</v>
      </c>
      <c r="AB1247" s="10"/>
      <c r="AC1247" s="10"/>
      <c r="AD1247" s="10"/>
      <c r="AE1247" s="10"/>
      <c r="AF1247" s="10"/>
      <c r="AG1247" s="10"/>
      <c r="AH1247" s="10"/>
      <c r="AI1247" s="10"/>
    </row>
    <row r="1248" spans="1:35">
      <c r="A1248" s="10"/>
      <c r="B1248" s="10" t="str">
        <f t="shared" si="531"/>
        <v>Below the LinePREP</v>
      </c>
      <c r="C1248" t="s">
        <v>20</v>
      </c>
      <c r="D1248" t="s">
        <v>19</v>
      </c>
      <c r="E1248" t="s">
        <v>234</v>
      </c>
      <c r="F1248" t="s">
        <v>5396</v>
      </c>
      <c r="G1248" t="s">
        <v>768</v>
      </c>
      <c r="I1248" s="10"/>
      <c r="J1248" s="107">
        <f>SUMIF(Data!C:C,G1248,Data!Q:Q)</f>
        <v>3450</v>
      </c>
      <c r="K1248" s="107">
        <f>SUMIF(Comprometidos!A:A,'Cost Report'!G1248,Comprometidos!E:E)</f>
        <v>0</v>
      </c>
      <c r="L1248" s="107">
        <f t="shared" si="532"/>
        <v>3450</v>
      </c>
      <c r="M1248" s="107">
        <v>0</v>
      </c>
      <c r="N1248" s="107">
        <f t="shared" si="534"/>
        <v>3450</v>
      </c>
      <c r="O1248" s="107">
        <f>VLOOKUP(G1248,Budget!$E$3:$G$2474,3,0)</f>
        <v>5175</v>
      </c>
      <c r="P1248" s="107">
        <f t="shared" si="535"/>
        <v>1725</v>
      </c>
      <c r="Q1248" s="107"/>
      <c r="R1248" s="10"/>
      <c r="S1248" s="107">
        <v>3450</v>
      </c>
      <c r="T1248" s="107">
        <f t="shared" si="530"/>
        <v>0</v>
      </c>
      <c r="U1248" s="107"/>
      <c r="V1248" s="175"/>
      <c r="W1248" s="10"/>
      <c r="X1248" s="10"/>
      <c r="Y1248" t="str">
        <f t="shared" si="536"/>
        <v>3003</v>
      </c>
      <c r="AB1248" s="10"/>
      <c r="AC1248" s="10"/>
      <c r="AD1248" s="10"/>
      <c r="AE1248" s="10"/>
      <c r="AF1248" s="10"/>
      <c r="AG1248" s="10"/>
      <c r="AH1248" s="10"/>
      <c r="AI1248" s="10"/>
    </row>
    <row r="1249" spans="1:35">
      <c r="A1249" s="10"/>
      <c r="B1249" s="10" t="str">
        <f t="shared" si="531"/>
        <v>Below the LineSHOOT</v>
      </c>
      <c r="C1249" t="s">
        <v>20</v>
      </c>
      <c r="D1249" t="s">
        <v>19</v>
      </c>
      <c r="E1249" t="s">
        <v>236</v>
      </c>
      <c r="F1249" t="s">
        <v>5396</v>
      </c>
      <c r="G1249" t="s">
        <v>769</v>
      </c>
      <c r="I1249" s="10"/>
      <c r="J1249" s="107">
        <f>SUMIF(Data!C:C,G1249,Data!Q:Q)</f>
        <v>72450</v>
      </c>
      <c r="K1249" s="107">
        <f>SUMIF(Comprometidos!A:A,'Cost Report'!G1249,Comprometidos!E:E)</f>
        <v>0</v>
      </c>
      <c r="L1249" s="107">
        <f t="shared" si="532"/>
        <v>72450</v>
      </c>
      <c r="M1249" s="107">
        <f t="shared" si="533"/>
        <v>0</v>
      </c>
      <c r="N1249" s="107">
        <f t="shared" si="534"/>
        <v>72450</v>
      </c>
      <c r="O1249" s="107">
        <f>VLOOKUP(G1249,Budget!$E$3:$G$2474,3,0)</f>
        <v>72450</v>
      </c>
      <c r="P1249" s="107">
        <f t="shared" si="535"/>
        <v>0</v>
      </c>
      <c r="Q1249" s="107"/>
      <c r="R1249" s="10"/>
      <c r="S1249" s="107">
        <v>72450</v>
      </c>
      <c r="T1249" s="107">
        <f t="shared" si="530"/>
        <v>0</v>
      </c>
      <c r="U1249" s="107"/>
      <c r="V1249" s="175"/>
      <c r="W1249" s="10"/>
      <c r="X1249" s="10"/>
      <c r="Y1249" t="str">
        <f t="shared" si="536"/>
        <v>3003</v>
      </c>
      <c r="AB1249" s="10"/>
      <c r="AC1249" s="10"/>
      <c r="AD1249" s="10"/>
      <c r="AE1249" s="10"/>
      <c r="AF1249" s="10"/>
      <c r="AG1249" s="10"/>
      <c r="AH1249" s="10"/>
      <c r="AI1249" s="10"/>
    </row>
    <row r="1250" spans="1:35">
      <c r="A1250" s="10"/>
      <c r="B1250" s="10" t="str">
        <f t="shared" si="531"/>
        <v>Below the LineWRAP</v>
      </c>
      <c r="C1250" t="s">
        <v>20</v>
      </c>
      <c r="D1250" t="s">
        <v>19</v>
      </c>
      <c r="E1250" t="s">
        <v>238</v>
      </c>
      <c r="F1250" t="s">
        <v>5396</v>
      </c>
      <c r="G1250" t="s">
        <v>770</v>
      </c>
      <c r="I1250" s="10"/>
      <c r="J1250" s="107">
        <f>SUMIF(Data!C:C,G1250,Data!Q:Q)</f>
        <v>8450</v>
      </c>
      <c r="K1250" s="107">
        <f>SUMIF(Comprometidos!A:A,'Cost Report'!G1250,Comprometidos!E:E)</f>
        <v>0</v>
      </c>
      <c r="L1250" s="107">
        <f t="shared" si="532"/>
        <v>8450</v>
      </c>
      <c r="M1250" s="107">
        <v>0</v>
      </c>
      <c r="N1250" s="107">
        <f t="shared" si="534"/>
        <v>8450</v>
      </c>
      <c r="O1250" s="107">
        <f>VLOOKUP(G1250,Budget!$E$3:$G$2474,3,0)</f>
        <v>5175</v>
      </c>
      <c r="P1250" s="107">
        <f t="shared" si="535"/>
        <v>-3275</v>
      </c>
      <c r="Q1250" s="107"/>
      <c r="R1250" s="10"/>
      <c r="S1250" s="107">
        <v>8450</v>
      </c>
      <c r="T1250" s="107">
        <f t="shared" si="530"/>
        <v>0</v>
      </c>
      <c r="U1250" s="107"/>
      <c r="V1250" s="175"/>
      <c r="W1250" s="10"/>
      <c r="X1250" s="10"/>
      <c r="Y1250" t="str">
        <f t="shared" si="536"/>
        <v>3003</v>
      </c>
      <c r="AB1250" s="10"/>
      <c r="AC1250" s="10"/>
      <c r="AD1250" s="10"/>
      <c r="AE1250" s="10"/>
      <c r="AF1250" s="10"/>
      <c r="AG1250" s="10"/>
      <c r="AH1250" s="10"/>
      <c r="AI1250" s="10"/>
    </row>
    <row r="1251" spans="1:35">
      <c r="A1251" s="10"/>
      <c r="B1251" s="10" t="str">
        <f t="shared" si="531"/>
        <v>Below the Line</v>
      </c>
      <c r="C1251" t="s">
        <v>20</v>
      </c>
      <c r="D1251" t="s">
        <v>19</v>
      </c>
      <c r="E1251" t="s">
        <v>214</v>
      </c>
      <c r="F1251" t="s">
        <v>5396</v>
      </c>
      <c r="G1251" t="s">
        <v>771</v>
      </c>
      <c r="I1251" s="10"/>
      <c r="J1251" s="107">
        <f>SUMIF(Data!C:C,G1251,Data!Q:Q)</f>
        <v>0</v>
      </c>
      <c r="K1251" s="107">
        <f>SUMIF(Comprometidos!A:A,'Cost Report'!G1251,Comprometidos!E:E)</f>
        <v>0</v>
      </c>
      <c r="L1251" s="107">
        <f t="shared" si="532"/>
        <v>0</v>
      </c>
      <c r="M1251" s="107">
        <f t="shared" si="533"/>
        <v>0</v>
      </c>
      <c r="N1251" s="107">
        <f t="shared" si="534"/>
        <v>0</v>
      </c>
      <c r="O1251" s="107">
        <f>VLOOKUP(G1251,Budget!$E$3:$G$2474,3,0)</f>
        <v>0</v>
      </c>
      <c r="P1251" s="107">
        <f t="shared" si="535"/>
        <v>0</v>
      </c>
      <c r="Q1251" s="107"/>
      <c r="R1251" s="10"/>
      <c r="S1251" s="107">
        <v>0</v>
      </c>
      <c r="T1251" s="107">
        <f t="shared" si="530"/>
        <v>0</v>
      </c>
      <c r="U1251" s="107"/>
      <c r="V1251" s="175"/>
      <c r="W1251" s="10"/>
      <c r="X1251" s="10"/>
      <c r="Y1251" t="str">
        <f t="shared" si="536"/>
        <v>3003</v>
      </c>
      <c r="AB1251" s="10"/>
      <c r="AC1251" s="10"/>
      <c r="AD1251" s="10"/>
      <c r="AE1251" s="10"/>
      <c r="AF1251" s="10"/>
      <c r="AG1251" s="10"/>
      <c r="AH1251" s="10"/>
      <c r="AI1251" s="10"/>
    </row>
    <row r="1252" spans="1:35">
      <c r="A1252" s="10"/>
      <c r="B1252" s="10" t="str">
        <f t="shared" si="531"/>
        <v>Below the Line2nd Unit</v>
      </c>
      <c r="C1252" t="s">
        <v>20</v>
      </c>
      <c r="D1252" t="s">
        <v>19</v>
      </c>
      <c r="E1252" t="s">
        <v>1419</v>
      </c>
      <c r="F1252" t="s">
        <v>5396</v>
      </c>
      <c r="G1252" t="s">
        <v>772</v>
      </c>
      <c r="I1252" s="10"/>
      <c r="J1252" s="107">
        <f>SUMIF(Data!C:C,G1252,Data!Q:Q)</f>
        <v>0</v>
      </c>
      <c r="K1252" s="107">
        <f>SUMIF(Comprometidos!A:A,'Cost Report'!G1252,Comprometidos!E:E)</f>
        <v>0</v>
      </c>
      <c r="L1252" s="107">
        <f t="shared" si="532"/>
        <v>0</v>
      </c>
      <c r="M1252" s="107">
        <v>0</v>
      </c>
      <c r="N1252" s="107">
        <f t="shared" si="534"/>
        <v>0</v>
      </c>
      <c r="O1252" s="107">
        <f>VLOOKUP(G1252,Budget!$E$3:$G$2474,3,0)</f>
        <v>6037.5</v>
      </c>
      <c r="P1252" s="107">
        <f t="shared" si="535"/>
        <v>6037.5</v>
      </c>
      <c r="Q1252" s="107"/>
      <c r="R1252" s="10"/>
      <c r="S1252" s="107">
        <v>0</v>
      </c>
      <c r="T1252" s="107">
        <f t="shared" si="530"/>
        <v>0</v>
      </c>
      <c r="U1252" s="107"/>
      <c r="V1252" s="175"/>
      <c r="W1252" s="10"/>
      <c r="X1252" s="10"/>
      <c r="Y1252" t="str">
        <f t="shared" si="536"/>
        <v>3003</v>
      </c>
      <c r="AB1252" s="10"/>
      <c r="AC1252" s="10"/>
      <c r="AD1252" s="10"/>
      <c r="AE1252" s="10"/>
      <c r="AF1252" s="10"/>
      <c r="AG1252" s="10"/>
      <c r="AH1252" s="10"/>
      <c r="AI1252" s="10"/>
    </row>
    <row r="1253" spans="1:35">
      <c r="A1253" s="10"/>
      <c r="B1253" s="10" t="str">
        <f t="shared" si="531"/>
        <v>Below the Line2nd Unit</v>
      </c>
      <c r="C1253" t="s">
        <v>20</v>
      </c>
      <c r="D1253" t="s">
        <v>19</v>
      </c>
      <c r="E1253" t="s">
        <v>1419</v>
      </c>
      <c r="F1253" t="s">
        <v>5396</v>
      </c>
      <c r="G1253" t="s">
        <v>773</v>
      </c>
      <c r="I1253" s="10"/>
      <c r="J1253" s="107">
        <f>SUMIF(Data!C:C,G1253,Data!Q:Q)</f>
        <v>0</v>
      </c>
      <c r="K1253" s="107">
        <f>SUMIF(Comprometidos!A:A,'Cost Report'!G1253,Comprometidos!E:E)</f>
        <v>0</v>
      </c>
      <c r="L1253" s="107">
        <f t="shared" si="532"/>
        <v>0</v>
      </c>
      <c r="M1253" s="107">
        <v>0</v>
      </c>
      <c r="N1253" s="107">
        <f t="shared" si="534"/>
        <v>0</v>
      </c>
      <c r="O1253" s="107">
        <f>VLOOKUP(G1253,Budget!$E$3:$G$2474,3,0)</f>
        <v>24150</v>
      </c>
      <c r="P1253" s="107">
        <f t="shared" si="535"/>
        <v>24150</v>
      </c>
      <c r="Q1253" s="107"/>
      <c r="R1253" s="10"/>
      <c r="S1253" s="107">
        <v>0</v>
      </c>
      <c r="T1253" s="107">
        <f t="shared" si="530"/>
        <v>0</v>
      </c>
      <c r="U1253" s="107"/>
      <c r="V1253" s="175"/>
      <c r="W1253" s="10"/>
      <c r="X1253" s="10"/>
      <c r="Y1253" t="str">
        <f t="shared" si="536"/>
        <v>3003</v>
      </c>
      <c r="AB1253" s="10"/>
      <c r="AC1253" s="10"/>
      <c r="AD1253" s="10"/>
      <c r="AE1253" s="10"/>
      <c r="AF1253" s="10"/>
      <c r="AG1253" s="10"/>
      <c r="AH1253" s="10"/>
      <c r="AI1253" s="10"/>
    </row>
    <row r="1254" spans="1:35">
      <c r="A1254" s="10"/>
      <c r="B1254" s="10" t="str">
        <f t="shared" si="531"/>
        <v>Below the Line2nd Unit</v>
      </c>
      <c r="C1254" t="s">
        <v>20</v>
      </c>
      <c r="D1254" t="s">
        <v>19</v>
      </c>
      <c r="E1254" t="s">
        <v>1419</v>
      </c>
      <c r="F1254" t="s">
        <v>5396</v>
      </c>
      <c r="G1254" t="s">
        <v>774</v>
      </c>
      <c r="I1254" s="10"/>
      <c r="J1254" s="107">
        <f>SUMIF(Data!C:C,G1254,Data!Q:Q)</f>
        <v>0</v>
      </c>
      <c r="K1254" s="107">
        <f>SUMIF(Comprometidos!A:A,'Cost Report'!G1254,Comprometidos!E:E)</f>
        <v>0</v>
      </c>
      <c r="L1254" s="107">
        <f t="shared" si="532"/>
        <v>0</v>
      </c>
      <c r="M1254" s="107">
        <v>0</v>
      </c>
      <c r="N1254" s="107">
        <f t="shared" si="534"/>
        <v>0</v>
      </c>
      <c r="O1254" s="107">
        <f>VLOOKUP(G1254,Budget!$E$3:$G$2474,3,0)</f>
        <v>6037.5</v>
      </c>
      <c r="P1254" s="107">
        <f t="shared" si="535"/>
        <v>6037.5</v>
      </c>
      <c r="Q1254" s="107"/>
      <c r="R1254" s="10"/>
      <c r="S1254" s="107">
        <v>0</v>
      </c>
      <c r="T1254" s="107">
        <f t="shared" si="530"/>
        <v>0</v>
      </c>
      <c r="U1254" s="107"/>
      <c r="V1254" s="175"/>
      <c r="W1254" s="10"/>
      <c r="X1254" s="10"/>
      <c r="Y1254" t="str">
        <f t="shared" si="536"/>
        <v>3003</v>
      </c>
      <c r="AB1254" s="10"/>
      <c r="AC1254" s="10"/>
      <c r="AD1254" s="10"/>
      <c r="AE1254" s="10"/>
      <c r="AF1254" s="10"/>
      <c r="AG1254" s="10"/>
      <c r="AH1254" s="10"/>
      <c r="AI1254" s="10"/>
    </row>
    <row r="1255" spans="1:35">
      <c r="A1255" s="10"/>
      <c r="B1255" s="10" t="str">
        <f t="shared" si="531"/>
        <v>Below the Line</v>
      </c>
      <c r="C1255" t="s">
        <v>20</v>
      </c>
      <c r="D1255" t="s">
        <v>19</v>
      </c>
      <c r="E1255" t="s">
        <v>214</v>
      </c>
      <c r="F1255" t="s">
        <v>5396</v>
      </c>
      <c r="G1255" t="s">
        <v>775</v>
      </c>
      <c r="I1255" s="10"/>
      <c r="J1255" s="107">
        <f>SUMIF(Data!C:C,G1255,Data!Q:Q)</f>
        <v>0</v>
      </c>
      <c r="K1255" s="107">
        <f>SUMIF(Comprometidos!A:A,'Cost Report'!G1255,Comprometidos!E:E)</f>
        <v>0</v>
      </c>
      <c r="L1255" s="107">
        <f t="shared" si="532"/>
        <v>0</v>
      </c>
      <c r="M1255" s="107">
        <f t="shared" si="533"/>
        <v>0</v>
      </c>
      <c r="N1255" s="107">
        <f t="shared" si="534"/>
        <v>0</v>
      </c>
      <c r="O1255" s="107">
        <f>VLOOKUP(G1255,Budget!$E$3:$G$2474,3,0)</f>
        <v>0</v>
      </c>
      <c r="P1255" s="107">
        <f t="shared" si="535"/>
        <v>0</v>
      </c>
      <c r="Q1255" s="107"/>
      <c r="R1255" s="10"/>
      <c r="S1255" s="107">
        <v>0</v>
      </c>
      <c r="T1255" s="107">
        <f t="shared" si="530"/>
        <v>0</v>
      </c>
      <c r="U1255" s="107"/>
      <c r="V1255" s="175"/>
      <c r="W1255" s="10"/>
      <c r="X1255" s="10"/>
      <c r="Y1255" t="str">
        <f t="shared" si="536"/>
        <v>3003</v>
      </c>
      <c r="AB1255" s="10"/>
      <c r="AC1255" s="10"/>
      <c r="AD1255" s="10"/>
      <c r="AE1255" s="10"/>
      <c r="AF1255" s="10"/>
      <c r="AG1255" s="10"/>
      <c r="AH1255" s="10"/>
      <c r="AI1255" s="10"/>
    </row>
    <row r="1256" spans="1:35">
      <c r="A1256" s="10"/>
      <c r="B1256" s="10" t="str">
        <f t="shared" si="531"/>
        <v>Below the Line2nd Unit</v>
      </c>
      <c r="C1256" t="s">
        <v>20</v>
      </c>
      <c r="D1256" t="s">
        <v>19</v>
      </c>
      <c r="E1256" t="s">
        <v>1419</v>
      </c>
      <c r="F1256" t="s">
        <v>5396</v>
      </c>
      <c r="G1256" t="s">
        <v>2639</v>
      </c>
      <c r="I1256" s="10"/>
      <c r="J1256" s="107">
        <f>SUMIF(Data!C:C,G1256,Data!Q:Q)</f>
        <v>0</v>
      </c>
      <c r="K1256" s="107">
        <f>SUMIF(Comprometidos!A:A,'Cost Report'!G1256,Comprometidos!E:E)</f>
        <v>0</v>
      </c>
      <c r="L1256" s="107">
        <f t="shared" si="532"/>
        <v>0</v>
      </c>
      <c r="M1256" s="107">
        <v>0</v>
      </c>
      <c r="N1256" s="107">
        <f t="shared" si="534"/>
        <v>0</v>
      </c>
      <c r="O1256" s="107">
        <f>VLOOKUP(G1256,Budget!$E$3:$G$2474,3,0)</f>
        <v>4887.5</v>
      </c>
      <c r="P1256" s="107">
        <f t="shared" si="535"/>
        <v>4887.5</v>
      </c>
      <c r="Q1256" s="107"/>
      <c r="R1256" s="10"/>
      <c r="S1256" s="107">
        <v>0</v>
      </c>
      <c r="T1256" s="107">
        <f t="shared" si="530"/>
        <v>0</v>
      </c>
      <c r="U1256" s="107"/>
      <c r="V1256" s="175"/>
      <c r="W1256" s="10"/>
      <c r="X1256" s="10"/>
      <c r="Y1256" t="str">
        <f t="shared" si="536"/>
        <v>3003</v>
      </c>
      <c r="AB1256" s="10"/>
      <c r="AC1256" s="10"/>
      <c r="AD1256" s="10"/>
      <c r="AE1256" s="10"/>
      <c r="AF1256" s="10"/>
      <c r="AG1256" s="10"/>
      <c r="AH1256" s="10"/>
      <c r="AI1256" s="10"/>
    </row>
    <row r="1257" spans="1:35">
      <c r="A1257" s="10"/>
      <c r="B1257" s="10" t="str">
        <f t="shared" si="531"/>
        <v>Below the Line2nd Unit</v>
      </c>
      <c r="C1257" t="s">
        <v>20</v>
      </c>
      <c r="D1257" t="s">
        <v>19</v>
      </c>
      <c r="E1257" t="s">
        <v>1419</v>
      </c>
      <c r="F1257" t="s">
        <v>5396</v>
      </c>
      <c r="G1257" t="s">
        <v>2640</v>
      </c>
      <c r="I1257" s="10"/>
      <c r="J1257" s="107">
        <f>SUMIF(Data!C:C,G1257,Data!Q:Q)</f>
        <v>0</v>
      </c>
      <c r="K1257" s="107">
        <f>SUMIF(Comprometidos!A:A,'Cost Report'!G1257,Comprometidos!E:E)</f>
        <v>0</v>
      </c>
      <c r="L1257" s="107">
        <f t="shared" si="532"/>
        <v>0</v>
      </c>
      <c r="M1257" s="107">
        <v>0</v>
      </c>
      <c r="N1257" s="107">
        <f t="shared" si="534"/>
        <v>0</v>
      </c>
      <c r="O1257" s="107">
        <f>VLOOKUP(G1257,Budget!$E$3:$G$2474,3,0)</f>
        <v>19550</v>
      </c>
      <c r="P1257" s="107">
        <f t="shared" si="535"/>
        <v>19550</v>
      </c>
      <c r="Q1257" s="107"/>
      <c r="R1257" s="10"/>
      <c r="S1257" s="107">
        <v>0</v>
      </c>
      <c r="T1257" s="107">
        <f t="shared" si="530"/>
        <v>0</v>
      </c>
      <c r="U1257" s="107"/>
      <c r="V1257" s="175"/>
      <c r="W1257" s="10"/>
      <c r="X1257" s="10"/>
      <c r="Y1257" t="str">
        <f t="shared" si="536"/>
        <v>3003</v>
      </c>
      <c r="AB1257" s="10"/>
      <c r="AC1257" s="10"/>
      <c r="AD1257" s="10"/>
      <c r="AE1257" s="10"/>
      <c r="AF1257" s="10"/>
      <c r="AG1257" s="10"/>
      <c r="AH1257" s="10"/>
      <c r="AI1257" s="10"/>
    </row>
    <row r="1258" spans="1:35">
      <c r="A1258" s="10"/>
      <c r="B1258" s="10" t="str">
        <f t="shared" si="531"/>
        <v>Below the Line2nd Unit</v>
      </c>
      <c r="C1258" t="s">
        <v>20</v>
      </c>
      <c r="D1258" t="s">
        <v>19</v>
      </c>
      <c r="E1258" t="s">
        <v>1419</v>
      </c>
      <c r="F1258" t="s">
        <v>5396</v>
      </c>
      <c r="G1258" t="s">
        <v>2641</v>
      </c>
      <c r="I1258" s="10"/>
      <c r="J1258" s="107">
        <f>SUMIF(Data!C:C,G1258,Data!Q:Q)</f>
        <v>0</v>
      </c>
      <c r="K1258" s="107">
        <f>SUMIF(Comprometidos!A:A,'Cost Report'!G1258,Comprometidos!E:E)</f>
        <v>0</v>
      </c>
      <c r="L1258" s="107">
        <f t="shared" si="532"/>
        <v>0</v>
      </c>
      <c r="M1258" s="107">
        <v>0</v>
      </c>
      <c r="N1258" s="107">
        <f t="shared" si="534"/>
        <v>0</v>
      </c>
      <c r="O1258" s="107">
        <f>VLOOKUP(G1258,Budget!$E$3:$G$2474,3,0)</f>
        <v>4887.5</v>
      </c>
      <c r="P1258" s="107">
        <f t="shared" si="535"/>
        <v>4887.5</v>
      </c>
      <c r="Q1258" s="107"/>
      <c r="R1258" s="10"/>
      <c r="S1258" s="107">
        <v>0</v>
      </c>
      <c r="T1258" s="107">
        <f t="shared" si="530"/>
        <v>0</v>
      </c>
      <c r="U1258" s="107"/>
      <c r="V1258" s="175"/>
      <c r="W1258" s="10"/>
      <c r="X1258" s="10"/>
      <c r="Y1258" t="str">
        <f t="shared" si="536"/>
        <v>3003</v>
      </c>
      <c r="AB1258" s="10"/>
      <c r="AC1258" s="10"/>
      <c r="AD1258" s="10"/>
      <c r="AE1258" s="10"/>
      <c r="AF1258" s="10"/>
      <c r="AG1258" s="10"/>
      <c r="AH1258" s="10"/>
      <c r="AI1258" s="10"/>
    </row>
    <row r="1259" spans="1:35">
      <c r="A1259" s="10"/>
      <c r="B1259" s="10" t="str">
        <f t="shared" si="531"/>
        <v>Below the Line</v>
      </c>
      <c r="C1259" t="s">
        <v>20</v>
      </c>
      <c r="D1259" t="s">
        <v>19</v>
      </c>
      <c r="E1259" t="s">
        <v>214</v>
      </c>
      <c r="F1259" t="s">
        <v>5396</v>
      </c>
      <c r="G1259" t="s">
        <v>2642</v>
      </c>
      <c r="I1259" s="10"/>
      <c r="J1259" s="107">
        <f>SUMIF(Data!C:C,G1259,Data!Q:Q)</f>
        <v>0</v>
      </c>
      <c r="K1259" s="107">
        <f>SUMIF(Comprometidos!A:A,'Cost Report'!G1259,Comprometidos!E:E)</f>
        <v>0</v>
      </c>
      <c r="L1259" s="107">
        <f t="shared" si="532"/>
        <v>0</v>
      </c>
      <c r="M1259" s="107">
        <f t="shared" si="533"/>
        <v>0</v>
      </c>
      <c r="N1259" s="107">
        <f t="shared" si="534"/>
        <v>0</v>
      </c>
      <c r="O1259" s="107">
        <f>VLOOKUP(G1259,Budget!$E$3:$G$2474,3,0)</f>
        <v>0</v>
      </c>
      <c r="P1259" s="107">
        <f t="shared" si="535"/>
        <v>0</v>
      </c>
      <c r="Q1259" s="107"/>
      <c r="R1259" s="10"/>
      <c r="S1259" s="107">
        <v>0</v>
      </c>
      <c r="T1259" s="107">
        <f t="shared" si="530"/>
        <v>0</v>
      </c>
      <c r="U1259" s="107"/>
      <c r="V1259" s="175"/>
      <c r="W1259" s="10"/>
      <c r="X1259" s="10"/>
      <c r="Y1259" t="str">
        <f t="shared" si="536"/>
        <v>3003</v>
      </c>
      <c r="AB1259" s="10"/>
      <c r="AC1259" s="10"/>
      <c r="AD1259" s="10"/>
      <c r="AE1259" s="10"/>
      <c r="AF1259" s="10"/>
      <c r="AG1259" s="10"/>
      <c r="AH1259" s="10"/>
      <c r="AI1259" s="10"/>
    </row>
    <row r="1260" spans="1:35">
      <c r="A1260" s="10"/>
      <c r="B1260" s="10" t="str">
        <f t="shared" si="531"/>
        <v>Below the Line2nd Unit</v>
      </c>
      <c r="C1260" t="s">
        <v>20</v>
      </c>
      <c r="D1260" t="s">
        <v>19</v>
      </c>
      <c r="E1260" t="s">
        <v>1419</v>
      </c>
      <c r="F1260" t="s">
        <v>5396</v>
      </c>
      <c r="G1260" t="s">
        <v>2643</v>
      </c>
      <c r="I1260" s="10"/>
      <c r="J1260" s="107">
        <f>SUMIF(Data!C:C,G1260,Data!Q:Q)</f>
        <v>6900</v>
      </c>
      <c r="K1260" s="107">
        <f>SUMIF(Comprometidos!A:A,'Cost Report'!G1260,Comprometidos!E:E)</f>
        <v>0</v>
      </c>
      <c r="L1260" s="107">
        <f t="shared" si="532"/>
        <v>6900</v>
      </c>
      <c r="M1260" s="107">
        <v>0</v>
      </c>
      <c r="N1260" s="107">
        <f t="shared" si="534"/>
        <v>6900</v>
      </c>
      <c r="O1260" s="107">
        <f>VLOOKUP(G1260,Budget!$E$3:$G$2474,3,0)</f>
        <v>5175</v>
      </c>
      <c r="P1260" s="107">
        <f t="shared" si="535"/>
        <v>-1725</v>
      </c>
      <c r="Q1260" s="107"/>
      <c r="R1260" s="10"/>
      <c r="S1260" s="107">
        <v>6900</v>
      </c>
      <c r="T1260" s="107">
        <f t="shared" si="530"/>
        <v>0</v>
      </c>
      <c r="U1260" s="107"/>
      <c r="V1260" s="175"/>
      <c r="W1260" s="10"/>
      <c r="X1260" s="10"/>
      <c r="Y1260" t="str">
        <f t="shared" si="536"/>
        <v>3003</v>
      </c>
      <c r="AB1260" s="10"/>
      <c r="AC1260" s="10"/>
      <c r="AD1260" s="10"/>
      <c r="AE1260" s="10"/>
      <c r="AF1260" s="10"/>
      <c r="AG1260" s="10"/>
      <c r="AH1260" s="10"/>
      <c r="AI1260" s="10"/>
    </row>
    <row r="1261" spans="1:35">
      <c r="A1261" s="10"/>
      <c r="B1261" s="10" t="str">
        <f t="shared" si="531"/>
        <v>Below the Line2nd Unit</v>
      </c>
      <c r="C1261" t="s">
        <v>20</v>
      </c>
      <c r="D1261" t="s">
        <v>19</v>
      </c>
      <c r="E1261" t="s">
        <v>1419</v>
      </c>
      <c r="F1261" t="s">
        <v>5396</v>
      </c>
      <c r="G1261" t="s">
        <v>2644</v>
      </c>
      <c r="I1261" s="10"/>
      <c r="J1261" s="107">
        <f>SUMIF(Data!C:C,G1261,Data!Q:Q)</f>
        <v>20700</v>
      </c>
      <c r="K1261" s="107">
        <f>SUMIF(Comprometidos!A:A,'Cost Report'!G1261,Comprometidos!E:E)</f>
        <v>0</v>
      </c>
      <c r="L1261" s="107">
        <f t="shared" si="532"/>
        <v>20700</v>
      </c>
      <c r="M1261" s="107">
        <f t="shared" si="533"/>
        <v>0</v>
      </c>
      <c r="N1261" s="107">
        <f t="shared" si="534"/>
        <v>20700</v>
      </c>
      <c r="O1261" s="107">
        <f>VLOOKUP(G1261,Budget!$E$3:$G$2474,3,0)</f>
        <v>20700</v>
      </c>
      <c r="P1261" s="107">
        <f t="shared" si="535"/>
        <v>0</v>
      </c>
      <c r="Q1261" s="107"/>
      <c r="R1261" s="10"/>
      <c r="S1261" s="107">
        <v>20700</v>
      </c>
      <c r="T1261" s="107">
        <f t="shared" si="530"/>
        <v>0</v>
      </c>
      <c r="U1261" s="107"/>
      <c r="V1261" s="175"/>
      <c r="W1261" s="10"/>
      <c r="X1261" s="10"/>
      <c r="Y1261" t="str">
        <f t="shared" si="536"/>
        <v>3003</v>
      </c>
      <c r="AB1261" s="10"/>
      <c r="AC1261" s="10"/>
      <c r="AD1261" s="10"/>
      <c r="AE1261" s="10"/>
      <c r="AF1261" s="10"/>
      <c r="AG1261" s="10"/>
      <c r="AH1261" s="10"/>
      <c r="AI1261" s="10"/>
    </row>
    <row r="1262" spans="1:35">
      <c r="A1262" s="10"/>
      <c r="B1262" s="10" t="str">
        <f t="shared" si="531"/>
        <v>Below the Line2nd Unit</v>
      </c>
      <c r="C1262" t="s">
        <v>20</v>
      </c>
      <c r="D1262" t="s">
        <v>19</v>
      </c>
      <c r="E1262" t="s">
        <v>1419</v>
      </c>
      <c r="F1262" t="s">
        <v>5396</v>
      </c>
      <c r="G1262" t="s">
        <v>2645</v>
      </c>
      <c r="I1262" s="10"/>
      <c r="J1262" s="107">
        <f>SUMIF(Data!C:C,G1262,Data!Q:Q)</f>
        <v>0</v>
      </c>
      <c r="K1262" s="107">
        <f>SUMIF(Comprometidos!A:A,'Cost Report'!G1262,Comprometidos!E:E)</f>
        <v>0</v>
      </c>
      <c r="L1262" s="107">
        <f t="shared" si="532"/>
        <v>0</v>
      </c>
      <c r="M1262" s="107">
        <v>0</v>
      </c>
      <c r="N1262" s="107">
        <f t="shared" si="534"/>
        <v>0</v>
      </c>
      <c r="O1262" s="107">
        <f>VLOOKUP(G1262,Budget!$E$3:$G$2474,3,0)</f>
        <v>5175</v>
      </c>
      <c r="P1262" s="107">
        <f t="shared" si="535"/>
        <v>5175</v>
      </c>
      <c r="Q1262" s="107"/>
      <c r="R1262" s="10"/>
      <c r="S1262" s="107">
        <v>0</v>
      </c>
      <c r="T1262" s="107">
        <f t="shared" si="530"/>
        <v>0</v>
      </c>
      <c r="U1262" s="107"/>
      <c r="V1262" s="175"/>
      <c r="W1262" s="10"/>
      <c r="X1262" s="10"/>
      <c r="Y1262" t="str">
        <f t="shared" si="536"/>
        <v>3003</v>
      </c>
      <c r="AB1262" s="10"/>
      <c r="AC1262" s="10"/>
      <c r="AD1262" s="10"/>
      <c r="AE1262" s="10"/>
      <c r="AF1262" s="10"/>
      <c r="AG1262" s="10"/>
      <c r="AH1262" s="10"/>
      <c r="AI1262" s="10"/>
    </row>
    <row r="1263" spans="1:35">
      <c r="A1263" s="10"/>
      <c r="B1263" s="10" t="str">
        <f t="shared" si="531"/>
        <v>Below the Line</v>
      </c>
      <c r="C1263" t="s">
        <v>20</v>
      </c>
      <c r="D1263" t="s">
        <v>19</v>
      </c>
      <c r="E1263" t="s">
        <v>214</v>
      </c>
      <c r="F1263" t="s">
        <v>5396</v>
      </c>
      <c r="G1263" t="s">
        <v>2646</v>
      </c>
      <c r="I1263" s="10"/>
      <c r="J1263" s="107">
        <f>SUMIF(Data!C:C,G1263,Data!Q:Q)</f>
        <v>0</v>
      </c>
      <c r="K1263" s="107">
        <f>SUMIF(Comprometidos!A:A,'Cost Report'!G1263,Comprometidos!E:E)</f>
        <v>0</v>
      </c>
      <c r="L1263" s="107">
        <f t="shared" si="532"/>
        <v>0</v>
      </c>
      <c r="M1263" s="107">
        <f t="shared" si="533"/>
        <v>0</v>
      </c>
      <c r="N1263" s="107">
        <f t="shared" si="534"/>
        <v>0</v>
      </c>
      <c r="O1263" s="107">
        <f>VLOOKUP(G1263,Budget!$E$3:$G$2474,3,0)</f>
        <v>0</v>
      </c>
      <c r="P1263" s="107">
        <f t="shared" si="535"/>
        <v>0</v>
      </c>
      <c r="Q1263" s="107"/>
      <c r="R1263" s="10"/>
      <c r="S1263" s="107">
        <v>0</v>
      </c>
      <c r="T1263" s="107">
        <f t="shared" si="530"/>
        <v>0</v>
      </c>
      <c r="U1263" s="107"/>
      <c r="V1263" s="175"/>
      <c r="W1263" s="10"/>
      <c r="X1263" s="10"/>
      <c r="Y1263" t="str">
        <f t="shared" si="536"/>
        <v>3003</v>
      </c>
      <c r="AB1263" s="10"/>
      <c r="AC1263" s="10"/>
      <c r="AD1263" s="10"/>
      <c r="AE1263" s="10"/>
      <c r="AF1263" s="10"/>
      <c r="AG1263" s="10"/>
      <c r="AH1263" s="10"/>
      <c r="AI1263" s="10"/>
    </row>
    <row r="1264" spans="1:35">
      <c r="A1264" s="10"/>
      <c r="B1264" s="10" t="str">
        <f t="shared" si="531"/>
        <v>Below the Line2nd Unit</v>
      </c>
      <c r="C1264" t="s">
        <v>20</v>
      </c>
      <c r="D1264" t="s">
        <v>19</v>
      </c>
      <c r="E1264" t="s">
        <v>1419</v>
      </c>
      <c r="F1264" t="s">
        <v>5396</v>
      </c>
      <c r="G1264" t="s">
        <v>2647</v>
      </c>
      <c r="I1264" s="10"/>
      <c r="J1264" s="107">
        <f>SUMIF(Data!C:C,G1264,Data!Q:Q)</f>
        <v>0</v>
      </c>
      <c r="K1264" s="107">
        <f>SUMIF(Comprometidos!A:A,'Cost Report'!G1264,Comprometidos!E:E)</f>
        <v>0</v>
      </c>
      <c r="L1264" s="107">
        <f t="shared" si="532"/>
        <v>0</v>
      </c>
      <c r="M1264" s="107">
        <v>0</v>
      </c>
      <c r="N1264" s="107">
        <f t="shared" si="534"/>
        <v>0</v>
      </c>
      <c r="O1264" s="107">
        <f>VLOOKUP(G1264,Budget!$E$3:$G$2474,3,0)</f>
        <v>5175</v>
      </c>
      <c r="P1264" s="107">
        <f t="shared" si="535"/>
        <v>5175</v>
      </c>
      <c r="Q1264" s="107"/>
      <c r="R1264" s="10"/>
      <c r="S1264" s="107">
        <v>0</v>
      </c>
      <c r="T1264" s="107">
        <f t="shared" si="530"/>
        <v>0</v>
      </c>
      <c r="U1264" s="107"/>
      <c r="V1264" s="175"/>
      <c r="W1264" s="10"/>
      <c r="X1264" s="10"/>
      <c r="Y1264" t="str">
        <f t="shared" si="536"/>
        <v>3003</v>
      </c>
      <c r="AB1264" s="10"/>
      <c r="AC1264" s="10"/>
      <c r="AD1264" s="10"/>
      <c r="AE1264" s="10"/>
      <c r="AF1264" s="10"/>
      <c r="AG1264" s="10"/>
      <c r="AH1264" s="10"/>
      <c r="AI1264" s="10"/>
    </row>
    <row r="1265" spans="1:35">
      <c r="A1265" s="10"/>
      <c r="B1265" s="10" t="str">
        <f t="shared" si="531"/>
        <v>Below the Line2nd Unit</v>
      </c>
      <c r="C1265" t="s">
        <v>20</v>
      </c>
      <c r="D1265" t="s">
        <v>19</v>
      </c>
      <c r="E1265" t="s">
        <v>1419</v>
      </c>
      <c r="F1265" t="s">
        <v>5396</v>
      </c>
      <c r="G1265" t="s">
        <v>2648</v>
      </c>
      <c r="I1265" s="10"/>
      <c r="J1265" s="107">
        <f>SUMIF(Data!C:C,G1265,Data!Q:Q)</f>
        <v>0</v>
      </c>
      <c r="K1265" s="107">
        <f>SUMIF(Comprometidos!A:A,'Cost Report'!G1265,Comprometidos!E:E)</f>
        <v>0</v>
      </c>
      <c r="L1265" s="107">
        <f t="shared" si="532"/>
        <v>0</v>
      </c>
      <c r="M1265" s="107">
        <v>0</v>
      </c>
      <c r="N1265" s="107">
        <f t="shared" si="534"/>
        <v>0</v>
      </c>
      <c r="O1265" s="107">
        <f>VLOOKUP(G1265,Budget!$E$3:$G$2474,3,0)</f>
        <v>20700</v>
      </c>
      <c r="P1265" s="107">
        <f t="shared" si="535"/>
        <v>20700</v>
      </c>
      <c r="Q1265" s="107"/>
      <c r="R1265" s="10"/>
      <c r="S1265" s="107">
        <v>0</v>
      </c>
      <c r="T1265" s="107">
        <f t="shared" si="530"/>
        <v>0</v>
      </c>
      <c r="U1265" s="107"/>
      <c r="V1265" s="175"/>
      <c r="W1265" s="10"/>
      <c r="X1265" s="10"/>
      <c r="Y1265" t="str">
        <f t="shared" si="536"/>
        <v>3003</v>
      </c>
      <c r="AB1265" s="10"/>
      <c r="AC1265" s="10"/>
      <c r="AD1265" s="10"/>
      <c r="AE1265" s="10"/>
      <c r="AF1265" s="10"/>
      <c r="AG1265" s="10"/>
      <c r="AH1265" s="10"/>
      <c r="AI1265" s="10"/>
    </row>
    <row r="1266" spans="1:35">
      <c r="A1266" s="10"/>
      <c r="B1266" s="10" t="str">
        <f t="shared" si="531"/>
        <v>Below the Line2nd Unit</v>
      </c>
      <c r="C1266" t="s">
        <v>20</v>
      </c>
      <c r="D1266" t="s">
        <v>19</v>
      </c>
      <c r="E1266" t="s">
        <v>1419</v>
      </c>
      <c r="F1266" t="s">
        <v>5396</v>
      </c>
      <c r="G1266" t="s">
        <v>2649</v>
      </c>
      <c r="I1266" s="10"/>
      <c r="J1266" s="107">
        <f>SUMIF(Data!C:C,G1266,Data!Q:Q)</f>
        <v>0</v>
      </c>
      <c r="K1266" s="107">
        <f>SUMIF(Comprometidos!A:A,'Cost Report'!G1266,Comprometidos!E:E)</f>
        <v>0</v>
      </c>
      <c r="L1266" s="107">
        <f t="shared" si="532"/>
        <v>0</v>
      </c>
      <c r="M1266" s="107">
        <v>0</v>
      </c>
      <c r="N1266" s="107">
        <f t="shared" si="534"/>
        <v>0</v>
      </c>
      <c r="O1266" s="107">
        <f>VLOOKUP(G1266,Budget!$E$3:$G$2474,3,0)</f>
        <v>5175</v>
      </c>
      <c r="P1266" s="107">
        <f t="shared" si="535"/>
        <v>5175</v>
      </c>
      <c r="Q1266" s="107"/>
      <c r="R1266" s="10"/>
      <c r="S1266" s="107">
        <v>0</v>
      </c>
      <c r="T1266" s="107">
        <f t="shared" si="530"/>
        <v>0</v>
      </c>
      <c r="U1266" s="107"/>
      <c r="V1266" s="175"/>
      <c r="W1266" s="10"/>
      <c r="X1266" s="10"/>
      <c r="Y1266" t="str">
        <f t="shared" si="536"/>
        <v>3003</v>
      </c>
      <c r="AB1266" s="10"/>
      <c r="AC1266" s="10"/>
      <c r="AD1266" s="10"/>
      <c r="AE1266" s="10"/>
      <c r="AF1266" s="10"/>
      <c r="AG1266" s="10"/>
      <c r="AH1266" s="10"/>
      <c r="AI1266" s="10"/>
    </row>
    <row r="1267" spans="1:35">
      <c r="A1267" s="10"/>
      <c r="B1267" s="10" t="str">
        <f>+C1267</f>
        <v>Below the Line</v>
      </c>
      <c r="C1267" s="128" t="s">
        <v>20</v>
      </c>
      <c r="D1267" s="128" t="s">
        <v>2117</v>
      </c>
      <c r="E1267" s="128"/>
      <c r="F1267" s="128"/>
      <c r="G1267" s="128" t="s">
        <v>776</v>
      </c>
      <c r="H1267" s="128"/>
      <c r="I1267" s="10"/>
      <c r="J1267" s="129">
        <f>SUMIF($Y$11:$Y$2484,G1267,J$11:J$2484)</f>
        <v>71683.320000000007</v>
      </c>
      <c r="K1267" s="129">
        <f>SUMIF($Y$11:$Y$2484,G1267,K$11:K$2484)</f>
        <v>0</v>
      </c>
      <c r="L1267" s="129">
        <f>SUMIF($Y$11:$Y$2484,G1267,L$11:L$2484)</f>
        <v>71683.320000000007</v>
      </c>
      <c r="M1267" s="129">
        <f>SUMIF($Y$11:$Y$2484,G1267,M$11:M$2484)</f>
        <v>0</v>
      </c>
      <c r="N1267" s="129">
        <f>SUMIF($Y$11:$Y$2484,G1267,N$11:N$2484)</f>
        <v>71683.320000000007</v>
      </c>
      <c r="O1267" s="129">
        <f>SUMIF($Y$11:$Y$2484,G1267,O$11:O$2484)</f>
        <v>117300</v>
      </c>
      <c r="P1267" s="129">
        <f>SUMIF($Y$11:$Y$2484,G1267,P$11:P$2484)</f>
        <v>45616.68</v>
      </c>
      <c r="Q1267" s="129"/>
      <c r="R1267" s="10"/>
      <c r="S1267" s="129">
        <v>71683.320000000007</v>
      </c>
      <c r="T1267" s="129">
        <f t="shared" si="530"/>
        <v>0</v>
      </c>
      <c r="U1267" s="128"/>
      <c r="V1267" s="175"/>
      <c r="W1267" s="10"/>
      <c r="X1267" s="10"/>
      <c r="Z1267" t="str">
        <f>LEFT(G1267,2)</f>
        <v>30</v>
      </c>
      <c r="AA1267" t="str">
        <f>+Z1267&amp;"00"</f>
        <v>3000</v>
      </c>
      <c r="AB1267" s="10"/>
      <c r="AC1267" s="10"/>
      <c r="AD1267" s="10"/>
      <c r="AE1267" s="10"/>
      <c r="AF1267" s="10"/>
      <c r="AG1267" s="10"/>
      <c r="AH1267" s="10"/>
      <c r="AI1267" s="10"/>
    </row>
    <row r="1268" spans="1:35">
      <c r="A1268" s="10"/>
      <c r="B1268" s="10" t="str">
        <f t="shared" ref="B1268:B1279" si="537">+C1268&amp;E1268</f>
        <v>Below the Line</v>
      </c>
      <c r="C1268" t="s">
        <v>20</v>
      </c>
      <c r="D1268" t="s">
        <v>19</v>
      </c>
      <c r="E1268" t="s">
        <v>214</v>
      </c>
      <c r="G1268" t="s">
        <v>777</v>
      </c>
      <c r="I1268" s="10"/>
      <c r="J1268" s="107">
        <f>SUMIF(Data!C:C,G1268,Data!Q:Q)</f>
        <v>0</v>
      </c>
      <c r="K1268" s="107">
        <f>SUMIF(Comprometidos!A:A,'Cost Report'!G1268,Comprometidos!E:E)</f>
        <v>0</v>
      </c>
      <c r="L1268" s="107">
        <f t="shared" si="532"/>
        <v>0</v>
      </c>
      <c r="M1268" s="107">
        <f t="shared" si="533"/>
        <v>0</v>
      </c>
      <c r="N1268" s="107">
        <f t="shared" si="534"/>
        <v>0</v>
      </c>
      <c r="O1268" s="107">
        <f>VLOOKUP(G1268,Budget!$E$3:$G$2474,3,0)</f>
        <v>0</v>
      </c>
      <c r="P1268" s="107">
        <f t="shared" si="535"/>
        <v>0</v>
      </c>
      <c r="Q1268" s="107"/>
      <c r="R1268" s="10"/>
      <c r="S1268" s="107">
        <v>0</v>
      </c>
      <c r="T1268" s="107">
        <f t="shared" si="530"/>
        <v>0</v>
      </c>
      <c r="U1268" s="107"/>
      <c r="V1268" s="175"/>
      <c r="W1268" s="10"/>
      <c r="X1268" s="10"/>
      <c r="Y1268" t="str">
        <f t="shared" ref="Y1268:Y1279" si="538">LEFT(G1268,4)</f>
        <v>3004</v>
      </c>
      <c r="AB1268" s="10"/>
      <c r="AC1268" s="10"/>
      <c r="AD1268" s="10"/>
      <c r="AE1268" s="10"/>
      <c r="AF1268" s="10"/>
      <c r="AG1268" s="10"/>
      <c r="AH1268" s="10"/>
      <c r="AI1268" s="10"/>
    </row>
    <row r="1269" spans="1:35">
      <c r="A1269" s="10"/>
      <c r="B1269" s="10" t="str">
        <f t="shared" si="537"/>
        <v>Below the LinePREP</v>
      </c>
      <c r="C1269" t="s">
        <v>20</v>
      </c>
      <c r="D1269" t="s">
        <v>19</v>
      </c>
      <c r="E1269" t="s">
        <v>234</v>
      </c>
      <c r="G1269" t="s">
        <v>778</v>
      </c>
      <c r="I1269" s="10"/>
      <c r="J1269" s="107">
        <f>SUMIF(Data!C:C,G1269,Data!Q:Q)</f>
        <v>0</v>
      </c>
      <c r="K1269" s="107">
        <f>SUMIF(Comprometidos!A:A,'Cost Report'!G1269,Comprometidos!E:E)</f>
        <v>0</v>
      </c>
      <c r="L1269" s="107">
        <f t="shared" si="532"/>
        <v>0</v>
      </c>
      <c r="M1269" s="107">
        <f t="shared" si="533"/>
        <v>0</v>
      </c>
      <c r="N1269" s="107">
        <f t="shared" si="534"/>
        <v>0</v>
      </c>
      <c r="O1269" s="107">
        <f>VLOOKUP(G1269,Budget!$E$3:$G$2474,3,0)</f>
        <v>0</v>
      </c>
      <c r="P1269" s="107">
        <f t="shared" si="535"/>
        <v>0</v>
      </c>
      <c r="Q1269" s="107"/>
      <c r="R1269" s="10"/>
      <c r="S1269" s="107">
        <v>0</v>
      </c>
      <c r="T1269" s="107">
        <f t="shared" si="530"/>
        <v>0</v>
      </c>
      <c r="U1269" s="107"/>
      <c r="V1269" s="175"/>
      <c r="W1269" s="10"/>
      <c r="X1269" s="10"/>
      <c r="Y1269" t="str">
        <f t="shared" si="538"/>
        <v>3004</v>
      </c>
      <c r="AB1269" s="10"/>
      <c r="AC1269" s="10"/>
      <c r="AD1269" s="10"/>
      <c r="AE1269" s="10"/>
      <c r="AF1269" s="10"/>
      <c r="AG1269" s="10"/>
      <c r="AH1269" s="10"/>
      <c r="AI1269" s="10"/>
    </row>
    <row r="1270" spans="1:35">
      <c r="A1270" s="10"/>
      <c r="B1270" s="10" t="str">
        <f t="shared" si="537"/>
        <v>Below the LineSHOOT</v>
      </c>
      <c r="C1270" t="s">
        <v>20</v>
      </c>
      <c r="D1270" t="s">
        <v>19</v>
      </c>
      <c r="E1270" t="s">
        <v>236</v>
      </c>
      <c r="G1270" t="s">
        <v>779</v>
      </c>
      <c r="I1270" s="10"/>
      <c r="J1270" s="107">
        <f>SUMIF(Data!C:C,G1270,Data!Q:Q)</f>
        <v>68425</v>
      </c>
      <c r="K1270" s="107">
        <f>SUMIF(Comprometidos!A:A,'Cost Report'!G1270,Comprometidos!E:E)</f>
        <v>0</v>
      </c>
      <c r="L1270" s="107">
        <f t="shared" si="532"/>
        <v>68425</v>
      </c>
      <c r="M1270" s="107">
        <f t="shared" si="533"/>
        <v>0</v>
      </c>
      <c r="N1270" s="107">
        <f t="shared" si="534"/>
        <v>68425</v>
      </c>
      <c r="O1270" s="107">
        <f>VLOOKUP(G1270,Budget!$E$3:$G$2474,3,0)</f>
        <v>68425</v>
      </c>
      <c r="P1270" s="107">
        <f t="shared" si="535"/>
        <v>0</v>
      </c>
      <c r="Q1270" s="107"/>
      <c r="R1270" s="10"/>
      <c r="S1270" s="107">
        <v>68425</v>
      </c>
      <c r="T1270" s="107">
        <f t="shared" si="530"/>
        <v>0</v>
      </c>
      <c r="U1270" s="107"/>
      <c r="V1270" s="175"/>
      <c r="W1270" s="10"/>
      <c r="X1270" s="10"/>
      <c r="Y1270" t="str">
        <f t="shared" si="538"/>
        <v>3004</v>
      </c>
      <c r="AB1270" s="10"/>
      <c r="AC1270" s="10"/>
      <c r="AD1270" s="10"/>
      <c r="AE1270" s="10"/>
      <c r="AF1270" s="10"/>
      <c r="AG1270" s="10"/>
      <c r="AH1270" s="10"/>
      <c r="AI1270" s="10"/>
    </row>
    <row r="1271" spans="1:35">
      <c r="A1271" s="10"/>
      <c r="B1271" s="10" t="str">
        <f t="shared" si="537"/>
        <v>Below the LineWRAP</v>
      </c>
      <c r="C1271" t="s">
        <v>20</v>
      </c>
      <c r="D1271" t="s">
        <v>19</v>
      </c>
      <c r="E1271" t="s">
        <v>238</v>
      </c>
      <c r="F1271" t="s">
        <v>5396</v>
      </c>
      <c r="G1271" t="s">
        <v>780</v>
      </c>
      <c r="I1271" s="10"/>
      <c r="J1271" s="107">
        <f>SUMIF(Data!C:C,G1271,Data!Q:Q)</f>
        <v>3258.32</v>
      </c>
      <c r="K1271" s="107">
        <f>SUMIF(Comprometidos!A:A,'Cost Report'!G1271,Comprometidos!E:E)</f>
        <v>0</v>
      </c>
      <c r="L1271" s="107">
        <f t="shared" si="532"/>
        <v>3258.32</v>
      </c>
      <c r="M1271" s="107">
        <v>0</v>
      </c>
      <c r="N1271" s="107">
        <f t="shared" si="534"/>
        <v>3258.32</v>
      </c>
      <c r="O1271" s="107">
        <f>VLOOKUP(G1271,Budget!$E$3:$G$2474,3,0)</f>
        <v>4887.5</v>
      </c>
      <c r="P1271" s="107">
        <f t="shared" si="535"/>
        <v>1629.1799999999998</v>
      </c>
      <c r="Q1271" s="107"/>
      <c r="R1271" s="10"/>
      <c r="S1271" s="107">
        <v>3258.32</v>
      </c>
      <c r="T1271" s="107">
        <f t="shared" si="530"/>
        <v>0</v>
      </c>
      <c r="U1271" s="107"/>
      <c r="V1271" s="175"/>
      <c r="W1271" s="10"/>
      <c r="X1271" s="10"/>
      <c r="Y1271" t="str">
        <f t="shared" si="538"/>
        <v>3004</v>
      </c>
      <c r="AB1271" s="10"/>
      <c r="AC1271" s="10"/>
      <c r="AD1271" s="10"/>
      <c r="AE1271" s="10"/>
      <c r="AF1271" s="10"/>
      <c r="AG1271" s="10"/>
      <c r="AH1271" s="10"/>
      <c r="AI1271" s="10"/>
    </row>
    <row r="1272" spans="1:35">
      <c r="A1272" s="10"/>
      <c r="B1272" s="10" t="str">
        <f t="shared" si="537"/>
        <v>Below the Line</v>
      </c>
      <c r="C1272" t="s">
        <v>20</v>
      </c>
      <c r="D1272" t="s">
        <v>19</v>
      </c>
      <c r="E1272" t="s">
        <v>214</v>
      </c>
      <c r="G1272" t="s">
        <v>781</v>
      </c>
      <c r="I1272" s="10"/>
      <c r="J1272" s="107">
        <f>SUMIF(Data!C:C,G1272,Data!Q:Q)</f>
        <v>0</v>
      </c>
      <c r="K1272" s="107">
        <f>SUMIF(Comprometidos!A:A,'Cost Report'!G1272,Comprometidos!E:E)</f>
        <v>0</v>
      </c>
      <c r="L1272" s="107">
        <f t="shared" si="532"/>
        <v>0</v>
      </c>
      <c r="M1272" s="107">
        <f t="shared" si="533"/>
        <v>0</v>
      </c>
      <c r="N1272" s="107">
        <f t="shared" si="534"/>
        <v>0</v>
      </c>
      <c r="O1272" s="107">
        <f>VLOOKUP(G1272,Budget!$E$3:$G$2474,3,0)</f>
        <v>0</v>
      </c>
      <c r="P1272" s="107">
        <f t="shared" si="535"/>
        <v>0</v>
      </c>
      <c r="Q1272" s="107"/>
      <c r="R1272" s="10"/>
      <c r="S1272" s="107">
        <v>0</v>
      </c>
      <c r="T1272" s="107">
        <f t="shared" si="530"/>
        <v>0</v>
      </c>
      <c r="U1272" s="107"/>
      <c r="V1272" s="175"/>
      <c r="W1272" s="10"/>
      <c r="X1272" s="10"/>
      <c r="Y1272" t="str">
        <f t="shared" si="538"/>
        <v>3004</v>
      </c>
      <c r="AB1272" s="10"/>
      <c r="AC1272" s="10"/>
      <c r="AD1272" s="10"/>
      <c r="AE1272" s="10"/>
      <c r="AF1272" s="10"/>
      <c r="AG1272" s="10"/>
      <c r="AH1272" s="10"/>
      <c r="AI1272" s="10"/>
    </row>
    <row r="1273" spans="1:35">
      <c r="A1273" s="10"/>
      <c r="B1273" s="10" t="str">
        <f t="shared" si="537"/>
        <v>Below the LinePREP</v>
      </c>
      <c r="C1273" t="s">
        <v>20</v>
      </c>
      <c r="D1273" t="s">
        <v>19</v>
      </c>
      <c r="E1273" t="s">
        <v>234</v>
      </c>
      <c r="G1273" t="s">
        <v>1760</v>
      </c>
      <c r="I1273" s="10"/>
      <c r="J1273" s="107">
        <f>SUMIF(Data!C:C,G1273,Data!Q:Q)</f>
        <v>0</v>
      </c>
      <c r="K1273" s="107">
        <f>SUMIF(Comprometidos!A:A,'Cost Report'!G1273,Comprometidos!E:E)</f>
        <v>0</v>
      </c>
      <c r="L1273" s="107">
        <f t="shared" si="532"/>
        <v>0</v>
      </c>
      <c r="M1273" s="107">
        <f t="shared" si="533"/>
        <v>0</v>
      </c>
      <c r="N1273" s="107">
        <f t="shared" si="534"/>
        <v>0</v>
      </c>
      <c r="O1273" s="107">
        <f>VLOOKUP(G1273,Budget!$E$3:$G$2474,3,0)</f>
        <v>0</v>
      </c>
      <c r="P1273" s="107">
        <f t="shared" si="535"/>
        <v>0</v>
      </c>
      <c r="Q1273" s="107"/>
      <c r="R1273" s="10"/>
      <c r="S1273" s="107">
        <v>0</v>
      </c>
      <c r="T1273" s="107">
        <f t="shared" si="530"/>
        <v>0</v>
      </c>
      <c r="U1273" s="107"/>
      <c r="V1273" s="175"/>
      <c r="W1273" s="10"/>
      <c r="X1273" s="10"/>
      <c r="Y1273" t="str">
        <f t="shared" si="538"/>
        <v>3004</v>
      </c>
      <c r="AB1273" s="10"/>
      <c r="AC1273" s="10"/>
      <c r="AD1273" s="10"/>
      <c r="AE1273" s="10"/>
      <c r="AF1273" s="10"/>
      <c r="AG1273" s="10"/>
      <c r="AH1273" s="10"/>
      <c r="AI1273" s="10"/>
    </row>
    <row r="1274" spans="1:35">
      <c r="A1274" s="10"/>
      <c r="B1274" s="10" t="str">
        <f t="shared" si="537"/>
        <v>Below the LineSHOOT</v>
      </c>
      <c r="C1274" t="s">
        <v>20</v>
      </c>
      <c r="D1274" t="s">
        <v>19</v>
      </c>
      <c r="E1274" t="s">
        <v>236</v>
      </c>
      <c r="G1274" t="s">
        <v>1761</v>
      </c>
      <c r="I1274" s="10"/>
      <c r="J1274" s="107">
        <f>SUMIF(Data!C:C,G1274,Data!Q:Q)</f>
        <v>0</v>
      </c>
      <c r="K1274" s="107">
        <f>SUMIF(Comprometidos!A:A,'Cost Report'!G1274,Comprometidos!E:E)</f>
        <v>0</v>
      </c>
      <c r="L1274" s="107">
        <f t="shared" si="532"/>
        <v>0</v>
      </c>
      <c r="M1274" s="107">
        <v>0</v>
      </c>
      <c r="N1274" s="107">
        <f t="shared" si="534"/>
        <v>0</v>
      </c>
      <c r="O1274" s="107">
        <f>VLOOKUP(G1274,Budget!$E$3:$G$2474,3,0)</f>
        <v>19550</v>
      </c>
      <c r="P1274" s="107">
        <f t="shared" si="535"/>
        <v>19550</v>
      </c>
      <c r="Q1274" s="107"/>
      <c r="R1274" s="10"/>
      <c r="S1274" s="107">
        <v>0</v>
      </c>
      <c r="T1274" s="107">
        <f t="shared" si="530"/>
        <v>0</v>
      </c>
      <c r="U1274" s="107"/>
      <c r="V1274" s="175"/>
      <c r="W1274" s="10"/>
      <c r="X1274" s="10"/>
      <c r="Y1274" t="str">
        <f t="shared" si="538"/>
        <v>3004</v>
      </c>
      <c r="AB1274" s="10"/>
      <c r="AC1274" s="10"/>
      <c r="AD1274" s="10"/>
      <c r="AE1274" s="10"/>
      <c r="AF1274" s="10"/>
      <c r="AG1274" s="10"/>
      <c r="AH1274" s="10"/>
      <c r="AI1274" s="10"/>
    </row>
    <row r="1275" spans="1:35">
      <c r="A1275" s="10"/>
      <c r="B1275" s="10" t="str">
        <f t="shared" si="537"/>
        <v>Below the LineWRAP</v>
      </c>
      <c r="C1275" t="s">
        <v>20</v>
      </c>
      <c r="D1275" t="s">
        <v>19</v>
      </c>
      <c r="E1275" t="s">
        <v>238</v>
      </c>
      <c r="G1275" t="s">
        <v>1762</v>
      </c>
      <c r="I1275" s="10"/>
      <c r="J1275" s="107">
        <f>SUMIF(Data!C:C,G1275,Data!Q:Q)</f>
        <v>0</v>
      </c>
      <c r="K1275" s="107">
        <f>SUMIF(Comprometidos!A:A,'Cost Report'!G1275,Comprometidos!E:E)</f>
        <v>0</v>
      </c>
      <c r="L1275" s="107">
        <f t="shared" si="532"/>
        <v>0</v>
      </c>
      <c r="M1275" s="107">
        <v>0</v>
      </c>
      <c r="N1275" s="107">
        <f t="shared" si="534"/>
        <v>0</v>
      </c>
      <c r="O1275" s="107">
        <f>VLOOKUP(G1275,Budget!$E$3:$G$2474,3,0)</f>
        <v>4887.5</v>
      </c>
      <c r="P1275" s="107">
        <f t="shared" si="535"/>
        <v>4887.5</v>
      </c>
      <c r="Q1275" s="107"/>
      <c r="R1275" s="10"/>
      <c r="S1275" s="107">
        <v>0</v>
      </c>
      <c r="T1275" s="107">
        <f t="shared" si="530"/>
        <v>0</v>
      </c>
      <c r="U1275" s="107"/>
      <c r="V1275" s="175"/>
      <c r="W1275" s="10"/>
      <c r="X1275" s="10"/>
      <c r="Y1275" t="str">
        <f t="shared" si="538"/>
        <v>3004</v>
      </c>
      <c r="AB1275" s="10"/>
      <c r="AC1275" s="10"/>
      <c r="AD1275" s="10"/>
      <c r="AE1275" s="10"/>
      <c r="AF1275" s="10"/>
      <c r="AG1275" s="10"/>
      <c r="AH1275" s="10"/>
      <c r="AI1275" s="10"/>
    </row>
    <row r="1276" spans="1:35">
      <c r="A1276" s="10"/>
      <c r="B1276" s="10" t="str">
        <f t="shared" si="537"/>
        <v>Below the Line</v>
      </c>
      <c r="C1276" t="s">
        <v>20</v>
      </c>
      <c r="D1276" t="s">
        <v>19</v>
      </c>
      <c r="E1276" t="s">
        <v>214</v>
      </c>
      <c r="G1276" t="s">
        <v>2650</v>
      </c>
      <c r="I1276" s="10"/>
      <c r="J1276" s="107">
        <f>SUMIF(Data!C:C,G1276,Data!Q:Q)</f>
        <v>0</v>
      </c>
      <c r="K1276" s="107">
        <f>SUMIF(Comprometidos!A:A,'Cost Report'!G1276,Comprometidos!E:E)</f>
        <v>0</v>
      </c>
      <c r="L1276" s="107">
        <f t="shared" si="532"/>
        <v>0</v>
      </c>
      <c r="M1276" s="107">
        <f t="shared" si="533"/>
        <v>0</v>
      </c>
      <c r="N1276" s="107">
        <f t="shared" si="534"/>
        <v>0</v>
      </c>
      <c r="O1276" s="107">
        <f>VLOOKUP(G1276,Budget!$E$3:$G$2474,3,0)</f>
        <v>0</v>
      </c>
      <c r="P1276" s="107">
        <f t="shared" si="535"/>
        <v>0</v>
      </c>
      <c r="Q1276" s="107"/>
      <c r="R1276" s="10"/>
      <c r="S1276" s="107">
        <v>0</v>
      </c>
      <c r="T1276" s="107">
        <f t="shared" si="530"/>
        <v>0</v>
      </c>
      <c r="U1276" s="107"/>
      <c r="V1276" s="175"/>
      <c r="W1276" s="10"/>
      <c r="X1276" s="10"/>
      <c r="Y1276" t="str">
        <f t="shared" si="538"/>
        <v>3004</v>
      </c>
      <c r="AB1276" s="10"/>
      <c r="AC1276" s="10"/>
      <c r="AD1276" s="10"/>
      <c r="AE1276" s="10"/>
      <c r="AF1276" s="10"/>
      <c r="AG1276" s="10"/>
      <c r="AH1276" s="10"/>
      <c r="AI1276" s="10"/>
    </row>
    <row r="1277" spans="1:35">
      <c r="A1277" s="10"/>
      <c r="B1277" s="10" t="str">
        <f t="shared" si="537"/>
        <v>Below the Line2nd Unit</v>
      </c>
      <c r="C1277" t="s">
        <v>20</v>
      </c>
      <c r="D1277" t="s">
        <v>19</v>
      </c>
      <c r="E1277" t="s">
        <v>1419</v>
      </c>
      <c r="G1277" t="s">
        <v>2651</v>
      </c>
      <c r="I1277" s="10"/>
      <c r="J1277" s="107">
        <f>SUMIF(Data!C:C,G1277,Data!Q:Q)</f>
        <v>0</v>
      </c>
      <c r="K1277" s="107">
        <f>SUMIF(Comprometidos!A:A,'Cost Report'!G1277,Comprometidos!E:E)</f>
        <v>0</v>
      </c>
      <c r="L1277" s="107">
        <f t="shared" si="532"/>
        <v>0</v>
      </c>
      <c r="M1277" s="107">
        <f t="shared" si="533"/>
        <v>0</v>
      </c>
      <c r="N1277" s="107">
        <f t="shared" si="534"/>
        <v>0</v>
      </c>
      <c r="O1277" s="107">
        <f>VLOOKUP(G1277,Budget!$E$3:$G$2474,3,0)</f>
        <v>0</v>
      </c>
      <c r="P1277" s="107">
        <f t="shared" si="535"/>
        <v>0</v>
      </c>
      <c r="Q1277" s="107"/>
      <c r="R1277" s="10"/>
      <c r="S1277" s="107">
        <v>0</v>
      </c>
      <c r="T1277" s="107">
        <f t="shared" si="530"/>
        <v>0</v>
      </c>
      <c r="U1277" s="107"/>
      <c r="V1277" s="175"/>
      <c r="W1277" s="10"/>
      <c r="X1277" s="10"/>
      <c r="Y1277" t="str">
        <f t="shared" si="538"/>
        <v>3004</v>
      </c>
      <c r="AB1277" s="10"/>
      <c r="AC1277" s="10"/>
      <c r="AD1277" s="10"/>
      <c r="AE1277" s="10"/>
      <c r="AF1277" s="10"/>
      <c r="AG1277" s="10"/>
      <c r="AH1277" s="10"/>
      <c r="AI1277" s="10"/>
    </row>
    <row r="1278" spans="1:35">
      <c r="A1278" s="10"/>
      <c r="B1278" s="10" t="str">
        <f t="shared" si="537"/>
        <v>Below the Line2nd Unit</v>
      </c>
      <c r="C1278" t="s">
        <v>20</v>
      </c>
      <c r="D1278" t="s">
        <v>19</v>
      </c>
      <c r="E1278" t="s">
        <v>1419</v>
      </c>
      <c r="G1278" t="s">
        <v>2652</v>
      </c>
      <c r="I1278" s="10"/>
      <c r="J1278" s="107">
        <f>SUMIF(Data!C:C,G1278,Data!Q:Q)</f>
        <v>0</v>
      </c>
      <c r="K1278" s="107">
        <f>SUMIF(Comprometidos!A:A,'Cost Report'!G1278,Comprometidos!E:E)</f>
        <v>0</v>
      </c>
      <c r="L1278" s="107">
        <f t="shared" si="532"/>
        <v>0</v>
      </c>
      <c r="M1278" s="107">
        <v>0</v>
      </c>
      <c r="N1278" s="107">
        <f t="shared" si="534"/>
        <v>0</v>
      </c>
      <c r="O1278" s="107">
        <f>VLOOKUP(G1278,Budget!$E$3:$G$2474,3,0)</f>
        <v>19550</v>
      </c>
      <c r="P1278" s="107">
        <f t="shared" si="535"/>
        <v>19550</v>
      </c>
      <c r="Q1278" s="107"/>
      <c r="R1278" s="10"/>
      <c r="S1278" s="107">
        <v>0</v>
      </c>
      <c r="T1278" s="107">
        <f t="shared" si="530"/>
        <v>0</v>
      </c>
      <c r="U1278" s="107"/>
      <c r="V1278" s="175"/>
      <c r="W1278" s="10"/>
      <c r="X1278" s="10"/>
      <c r="Y1278" t="str">
        <f t="shared" si="538"/>
        <v>3004</v>
      </c>
      <c r="AB1278" s="10"/>
      <c r="AC1278" s="10"/>
      <c r="AD1278" s="10"/>
      <c r="AE1278" s="10"/>
      <c r="AF1278" s="10"/>
      <c r="AG1278" s="10"/>
      <c r="AH1278" s="10"/>
      <c r="AI1278" s="10"/>
    </row>
    <row r="1279" spans="1:35">
      <c r="A1279" s="10"/>
      <c r="B1279" s="10" t="str">
        <f t="shared" si="537"/>
        <v>Below the Line2nd Unit</v>
      </c>
      <c r="C1279" t="s">
        <v>20</v>
      </c>
      <c r="D1279" t="s">
        <v>19</v>
      </c>
      <c r="E1279" t="s">
        <v>1419</v>
      </c>
      <c r="G1279" t="s">
        <v>2653</v>
      </c>
      <c r="I1279" s="10"/>
      <c r="J1279" s="107">
        <f>SUMIF(Data!C:C,G1279,Data!Q:Q)</f>
        <v>0</v>
      </c>
      <c r="K1279" s="107">
        <f>SUMIF(Comprometidos!A:A,'Cost Report'!G1279,Comprometidos!E:E)</f>
        <v>0</v>
      </c>
      <c r="L1279" s="107">
        <f t="shared" si="532"/>
        <v>0</v>
      </c>
      <c r="M1279" s="107">
        <f t="shared" si="533"/>
        <v>0</v>
      </c>
      <c r="N1279" s="107">
        <f t="shared" si="534"/>
        <v>0</v>
      </c>
      <c r="O1279" s="107">
        <f>VLOOKUP(G1279,Budget!$E$3:$G$2474,3,0)</f>
        <v>0</v>
      </c>
      <c r="P1279" s="107">
        <f t="shared" si="535"/>
        <v>0</v>
      </c>
      <c r="Q1279" s="107"/>
      <c r="R1279" s="10"/>
      <c r="S1279" s="107">
        <v>0</v>
      </c>
      <c r="T1279" s="107">
        <f t="shared" si="530"/>
        <v>0</v>
      </c>
      <c r="U1279" s="107"/>
      <c r="V1279" s="175"/>
      <c r="W1279" s="10"/>
      <c r="X1279" s="10"/>
      <c r="Y1279" t="str">
        <f t="shared" si="538"/>
        <v>3004</v>
      </c>
      <c r="AB1279" s="10"/>
      <c r="AC1279" s="10"/>
      <c r="AD1279" s="10"/>
      <c r="AE1279" s="10"/>
      <c r="AF1279" s="10"/>
      <c r="AG1279" s="10"/>
      <c r="AH1279" s="10"/>
      <c r="AI1279" s="10"/>
    </row>
    <row r="1280" spans="1:35">
      <c r="A1280" s="10"/>
      <c r="B1280" s="10" t="str">
        <f>+C1280</f>
        <v>Below the Line</v>
      </c>
      <c r="C1280" s="128" t="s">
        <v>20</v>
      </c>
      <c r="D1280" s="128" t="s">
        <v>2117</v>
      </c>
      <c r="E1280" s="128"/>
      <c r="F1280" s="128"/>
      <c r="G1280" s="128" t="s">
        <v>782</v>
      </c>
      <c r="H1280" s="128"/>
      <c r="I1280" s="10"/>
      <c r="J1280" s="129">
        <f>SUMIF($Y$11:$Y$2484,G1280,J$11:J$2484)</f>
        <v>69141.37</v>
      </c>
      <c r="K1280" s="129">
        <f>SUMIF($Y$11:$Y$2484,G1280,K$11:K$2484)</f>
        <v>0</v>
      </c>
      <c r="L1280" s="129">
        <f>SUMIF($Y$11:$Y$2484,G1280,L$11:L$2484)</f>
        <v>69141.37</v>
      </c>
      <c r="M1280" s="129">
        <f>SUMIF($Y$11:$Y$2484,G1280,M$11:M$2484)</f>
        <v>0</v>
      </c>
      <c r="N1280" s="129">
        <f>SUMIF($Y$11:$Y$2484,G1280,N$11:N$2484)</f>
        <v>69141.37</v>
      </c>
      <c r="O1280" s="129">
        <f>SUMIF($Y$11:$Y$2484,G1280,O$11:O$2484)</f>
        <v>235000</v>
      </c>
      <c r="P1280" s="129">
        <f>SUMIF($Y$11:$Y$2484,G1280,P$11:P$2484)</f>
        <v>165858.63</v>
      </c>
      <c r="Q1280" s="129"/>
      <c r="R1280" s="10"/>
      <c r="S1280" s="129">
        <v>69141.37</v>
      </c>
      <c r="T1280" s="129">
        <f t="shared" si="530"/>
        <v>0</v>
      </c>
      <c r="U1280" s="128"/>
      <c r="V1280" s="175"/>
      <c r="W1280" s="10"/>
      <c r="X1280" s="10"/>
      <c r="Z1280" t="str">
        <f>LEFT(G1280,2)</f>
        <v>30</v>
      </c>
      <c r="AA1280" t="str">
        <f>+Z1280&amp;"00"</f>
        <v>3000</v>
      </c>
      <c r="AB1280" s="10"/>
      <c r="AC1280" s="10"/>
      <c r="AD1280" s="10"/>
      <c r="AE1280" s="10"/>
      <c r="AF1280" s="10"/>
      <c r="AG1280" s="10"/>
      <c r="AH1280" s="10"/>
      <c r="AI1280" s="10"/>
    </row>
    <row r="1281" spans="1:35">
      <c r="A1281" s="10"/>
      <c r="B1281" s="10" t="str">
        <f t="shared" ref="B1281:B1283" si="539">+C1281&amp;E1281</f>
        <v>Below the Line</v>
      </c>
      <c r="C1281" t="s">
        <v>20</v>
      </c>
      <c r="D1281" t="s">
        <v>19</v>
      </c>
      <c r="E1281" t="s">
        <v>214</v>
      </c>
      <c r="G1281" t="s">
        <v>783</v>
      </c>
      <c r="I1281" s="10"/>
      <c r="J1281" s="107">
        <f>SUMIF(Data!C:C,G1281,Data!Q:Q)</f>
        <v>0</v>
      </c>
      <c r="K1281" s="107">
        <f>SUMIF(Comprometidos!A:A,'Cost Report'!G1281,Comprometidos!E:E)</f>
        <v>0</v>
      </c>
      <c r="L1281" s="107">
        <f t="shared" ref="L1281:L1321" si="540">+J1281+K1281</f>
        <v>0</v>
      </c>
      <c r="M1281" s="107">
        <f t="shared" ref="M1281:M1320" si="541">+O1281-L1281</f>
        <v>0</v>
      </c>
      <c r="N1281" s="107">
        <f t="shared" ref="N1281:N1321" si="542">+L1281+M1281</f>
        <v>0</v>
      </c>
      <c r="O1281" s="107">
        <f>VLOOKUP(G1281,Budget!$E$3:$G$2474,3,0)</f>
        <v>0</v>
      </c>
      <c r="P1281" s="107">
        <f t="shared" ref="P1281:P1321" si="543">+O1281-N1281</f>
        <v>0</v>
      </c>
      <c r="Q1281" s="107"/>
      <c r="R1281" s="10"/>
      <c r="S1281" s="107">
        <v>0</v>
      </c>
      <c r="T1281" s="107">
        <f t="shared" si="530"/>
        <v>0</v>
      </c>
      <c r="U1281" s="107"/>
      <c r="V1281" s="175"/>
      <c r="W1281" s="10"/>
      <c r="X1281" s="10"/>
      <c r="Y1281" t="str">
        <f t="shared" ref="Y1281:Y1283" si="544">LEFT(G1281,4)</f>
        <v>3085</v>
      </c>
      <c r="AB1281" s="10"/>
      <c r="AC1281" s="10"/>
      <c r="AD1281" s="10"/>
      <c r="AE1281" s="10"/>
      <c r="AF1281" s="10"/>
      <c r="AG1281" s="10"/>
      <c r="AH1281" s="10"/>
      <c r="AI1281" s="10"/>
    </row>
    <row r="1282" spans="1:35">
      <c r="A1282" s="10"/>
      <c r="B1282" s="10" t="str">
        <f t="shared" si="539"/>
        <v>Below the LineALL SHOW</v>
      </c>
      <c r="C1282" t="s">
        <v>20</v>
      </c>
      <c r="D1282" t="s">
        <v>19</v>
      </c>
      <c r="E1282" t="s">
        <v>227</v>
      </c>
      <c r="G1282" t="s">
        <v>784</v>
      </c>
      <c r="I1282" s="10"/>
      <c r="J1282" s="107">
        <f>SUMIF(Data!C:C,G1282,Data!Q:Q)</f>
        <v>11296.55</v>
      </c>
      <c r="K1282" s="107">
        <f>SUMIF(Comprometidos!A:A,'Cost Report'!G1282,Comprometidos!E:E)</f>
        <v>0</v>
      </c>
      <c r="L1282" s="107">
        <f t="shared" si="540"/>
        <v>11296.55</v>
      </c>
      <c r="M1282" s="107">
        <v>0</v>
      </c>
      <c r="N1282" s="107">
        <f t="shared" si="542"/>
        <v>11296.55</v>
      </c>
      <c r="O1282" s="107">
        <f>VLOOKUP(G1282,Budget!$E$3:$G$2474,3,0)</f>
        <v>115000</v>
      </c>
      <c r="P1282" s="107">
        <f t="shared" si="543"/>
        <v>103703.45</v>
      </c>
      <c r="Q1282" s="107"/>
      <c r="R1282" s="10"/>
      <c r="S1282" s="107">
        <v>11296.55</v>
      </c>
      <c r="T1282" s="107">
        <f t="shared" si="530"/>
        <v>0</v>
      </c>
      <c r="U1282" s="107"/>
      <c r="V1282" s="175"/>
      <c r="W1282" s="10"/>
      <c r="X1282" s="10"/>
      <c r="Y1282" t="str">
        <f t="shared" si="544"/>
        <v>3085</v>
      </c>
      <c r="AB1282" s="10"/>
      <c r="AC1282" s="10"/>
      <c r="AD1282" s="10"/>
      <c r="AE1282" s="10"/>
      <c r="AF1282" s="10"/>
      <c r="AG1282" s="10"/>
      <c r="AH1282" s="10"/>
      <c r="AI1282" s="10"/>
    </row>
    <row r="1283" spans="1:35">
      <c r="A1283" s="10"/>
      <c r="B1283" s="10" t="str">
        <f t="shared" si="539"/>
        <v>Below the LineALL SHOW</v>
      </c>
      <c r="C1283" t="s">
        <v>20</v>
      </c>
      <c r="D1283" t="s">
        <v>19</v>
      </c>
      <c r="E1283" t="s">
        <v>227</v>
      </c>
      <c r="G1283" t="s">
        <v>2654</v>
      </c>
      <c r="I1283" s="10"/>
      <c r="J1283" s="107">
        <f>SUMIF(Data!C:C,G1283,Data!Q:Q)</f>
        <v>57844.82</v>
      </c>
      <c r="K1283" s="107">
        <f>SUMIF(Comprometidos!A:A,'Cost Report'!G1283,Comprometidos!E:E)</f>
        <v>0</v>
      </c>
      <c r="L1283" s="107">
        <f t="shared" si="540"/>
        <v>57844.82</v>
      </c>
      <c r="M1283" s="107">
        <v>0</v>
      </c>
      <c r="N1283" s="107">
        <f t="shared" si="542"/>
        <v>57844.82</v>
      </c>
      <c r="O1283" s="107">
        <f>VLOOKUP(G1283,Budget!$E$3:$G$2474,3,0)</f>
        <v>120000</v>
      </c>
      <c r="P1283" s="107">
        <f t="shared" si="543"/>
        <v>62155.18</v>
      </c>
      <c r="Q1283" s="107"/>
      <c r="R1283" s="10"/>
      <c r="S1283" s="107">
        <v>57844.82</v>
      </c>
      <c r="T1283" s="107">
        <f t="shared" si="530"/>
        <v>0</v>
      </c>
      <c r="U1283" s="107"/>
      <c r="V1283" s="175"/>
      <c r="W1283" s="10"/>
      <c r="X1283" s="10"/>
      <c r="Y1283" t="str">
        <f t="shared" si="544"/>
        <v>3085</v>
      </c>
      <c r="AB1283" s="10"/>
      <c r="AC1283" s="10"/>
      <c r="AD1283" s="10"/>
      <c r="AE1283" s="10"/>
      <c r="AF1283" s="10"/>
      <c r="AG1283" s="10"/>
      <c r="AH1283" s="10"/>
      <c r="AI1283" s="10"/>
    </row>
    <row r="1284" spans="1:35">
      <c r="A1284" s="10"/>
      <c r="B1284" s="10" t="str">
        <f>+C1284</f>
        <v>Below the Line</v>
      </c>
      <c r="C1284" s="128" t="s">
        <v>20</v>
      </c>
      <c r="D1284" s="128" t="s">
        <v>2117</v>
      </c>
      <c r="E1284" s="128"/>
      <c r="F1284" s="128"/>
      <c r="G1284" s="128" t="s">
        <v>785</v>
      </c>
      <c r="H1284" s="128"/>
      <c r="I1284" s="10"/>
      <c r="J1284" s="129">
        <f>SUMIF($Y$11:$Y$2484,G1284,J$11:J$2484)</f>
        <v>75133.33</v>
      </c>
      <c r="K1284" s="129">
        <f>SUMIF($Y$11:$Y$2484,G1284,K$11:K$2484)</f>
        <v>0</v>
      </c>
      <c r="L1284" s="129">
        <f>SUMIF($Y$11:$Y$2484,G1284,L$11:L$2484)</f>
        <v>75133.33</v>
      </c>
      <c r="M1284" s="129">
        <f>SUMIF($Y$11:$Y$2484,G1284,M$11:M$2484)</f>
        <v>0</v>
      </c>
      <c r="N1284" s="129">
        <f>SUMIF($Y$11:$Y$2484,G1284,N$11:N$2484)</f>
        <v>75133.33</v>
      </c>
      <c r="O1284" s="129">
        <f>SUMIF($Y$11:$Y$2484,G1284,O$11:O$2484)</f>
        <v>93750</v>
      </c>
      <c r="P1284" s="129">
        <f>SUMIF($Y$11:$Y$2484,G1284,P$11:P$2484)</f>
        <v>18616.669999999998</v>
      </c>
      <c r="Q1284" s="129"/>
      <c r="R1284" s="10"/>
      <c r="S1284" s="129">
        <v>75133.33</v>
      </c>
      <c r="T1284" s="129">
        <f t="shared" si="530"/>
        <v>0</v>
      </c>
      <c r="U1284" s="128"/>
      <c r="V1284" s="175"/>
      <c r="W1284" s="10"/>
      <c r="X1284" s="10"/>
      <c r="Z1284" t="str">
        <f>LEFT(G1284,2)</f>
        <v>30</v>
      </c>
      <c r="AA1284" t="str">
        <f>+Z1284&amp;"00"</f>
        <v>3000</v>
      </c>
      <c r="AB1284" s="10"/>
      <c r="AC1284" s="10"/>
      <c r="AD1284" s="10"/>
      <c r="AE1284" s="10"/>
      <c r="AF1284" s="10"/>
      <c r="AG1284" s="10"/>
      <c r="AH1284" s="10"/>
      <c r="AI1284" s="10"/>
    </row>
    <row r="1285" spans="1:35">
      <c r="A1285" s="10"/>
      <c r="B1285" s="10" t="str">
        <f t="shared" ref="B1285:B1288" si="545">+C1285&amp;E1285</f>
        <v>Below the Line</v>
      </c>
      <c r="C1285" t="s">
        <v>20</v>
      </c>
      <c r="D1285" t="s">
        <v>19</v>
      </c>
      <c r="E1285" t="s">
        <v>214</v>
      </c>
      <c r="G1285" t="s">
        <v>786</v>
      </c>
      <c r="I1285" s="10"/>
      <c r="J1285" s="107">
        <f>SUMIF(Data!C:C,G1285,Data!Q:Q)</f>
        <v>0</v>
      </c>
      <c r="K1285" s="107">
        <f>SUMIF(Comprometidos!A:A,'Cost Report'!G1285,Comprometidos!E:E)</f>
        <v>0</v>
      </c>
      <c r="L1285" s="107">
        <f t="shared" si="540"/>
        <v>0</v>
      </c>
      <c r="M1285" s="107">
        <f t="shared" si="541"/>
        <v>0</v>
      </c>
      <c r="N1285" s="107">
        <f t="shared" si="542"/>
        <v>0</v>
      </c>
      <c r="O1285" s="107">
        <f>VLOOKUP(G1285,Budget!$E$3:$G$2474,3,0)</f>
        <v>0</v>
      </c>
      <c r="P1285" s="107">
        <f t="shared" si="543"/>
        <v>0</v>
      </c>
      <c r="Q1285" s="107"/>
      <c r="R1285" s="10"/>
      <c r="S1285" s="107">
        <v>0</v>
      </c>
      <c r="T1285" s="107">
        <f t="shared" si="530"/>
        <v>0</v>
      </c>
      <c r="U1285" s="107"/>
      <c r="V1285" s="175"/>
      <c r="W1285" s="10"/>
      <c r="X1285" s="10"/>
      <c r="Y1285" t="str">
        <f t="shared" ref="Y1285:Y1288" si="546">LEFT(G1285,4)</f>
        <v>3091</v>
      </c>
      <c r="AB1285" s="10"/>
      <c r="AC1285" s="10"/>
      <c r="AD1285" s="10"/>
      <c r="AE1285" s="10"/>
      <c r="AF1285" s="10"/>
      <c r="AG1285" s="10"/>
      <c r="AH1285" s="10"/>
      <c r="AI1285" s="10"/>
    </row>
    <row r="1286" spans="1:35">
      <c r="A1286" s="10"/>
      <c r="B1286" s="10" t="str">
        <f t="shared" si="545"/>
        <v>Below the LineSHOOT</v>
      </c>
      <c r="C1286" t="s">
        <v>20</v>
      </c>
      <c r="D1286" t="s">
        <v>19</v>
      </c>
      <c r="E1286" t="s">
        <v>236</v>
      </c>
      <c r="F1286" t="s">
        <v>5116</v>
      </c>
      <c r="G1286" t="s">
        <v>787</v>
      </c>
      <c r="I1286" s="10"/>
      <c r="J1286" s="107">
        <f>SUMIF(Data!C:C,G1286,Data!Q:Q)</f>
        <v>20500</v>
      </c>
      <c r="K1286" s="107">
        <f>SUMIF(Comprometidos!A:A,'Cost Report'!G1286,Comprometidos!E:E)</f>
        <v>0</v>
      </c>
      <c r="L1286" s="107">
        <f t="shared" si="540"/>
        <v>20500</v>
      </c>
      <c r="M1286" s="107">
        <v>0</v>
      </c>
      <c r="N1286" s="107">
        <f t="shared" si="542"/>
        <v>20500</v>
      </c>
      <c r="O1286" s="107">
        <f>VLOOKUP(G1286,Budget!$E$3:$G$2474,3,0)</f>
        <v>60000</v>
      </c>
      <c r="P1286" s="107">
        <f t="shared" si="543"/>
        <v>39500</v>
      </c>
      <c r="Q1286" s="107"/>
      <c r="R1286" s="10"/>
      <c r="S1286" s="107">
        <v>20500</v>
      </c>
      <c r="T1286" s="107">
        <f t="shared" si="530"/>
        <v>0</v>
      </c>
      <c r="U1286" s="107"/>
      <c r="V1286" s="175"/>
      <c r="W1286" s="10"/>
      <c r="X1286" s="10"/>
      <c r="Y1286" t="str">
        <f t="shared" si="546"/>
        <v>3091</v>
      </c>
      <c r="AB1286" s="10"/>
      <c r="AC1286" s="10"/>
      <c r="AD1286" s="10"/>
      <c r="AE1286" s="10"/>
      <c r="AF1286" s="10"/>
      <c r="AG1286" s="10"/>
      <c r="AH1286" s="10"/>
      <c r="AI1286" s="10"/>
    </row>
    <row r="1287" spans="1:35">
      <c r="A1287" s="10"/>
      <c r="B1287" s="10" t="str">
        <f t="shared" si="545"/>
        <v>Below the Line</v>
      </c>
      <c r="C1287" t="s">
        <v>20</v>
      </c>
      <c r="D1287" t="s">
        <v>19</v>
      </c>
      <c r="E1287" t="s">
        <v>214</v>
      </c>
      <c r="G1287" t="s">
        <v>1763</v>
      </c>
      <c r="I1287" s="10"/>
      <c r="J1287" s="107">
        <f>SUMIF(Data!C:C,G1287,Data!Q:Q)</f>
        <v>0</v>
      </c>
      <c r="K1287" s="107">
        <f>SUMIF(Comprometidos!A:A,'Cost Report'!G1287,Comprometidos!E:E)</f>
        <v>0</v>
      </c>
      <c r="L1287" s="107">
        <f t="shared" si="540"/>
        <v>0</v>
      </c>
      <c r="M1287" s="107">
        <f t="shared" si="541"/>
        <v>0</v>
      </c>
      <c r="N1287" s="107">
        <f t="shared" si="542"/>
        <v>0</v>
      </c>
      <c r="O1287" s="107">
        <f>VLOOKUP(G1287,Budget!$E$3:$G$2474,3,0)</f>
        <v>0</v>
      </c>
      <c r="P1287" s="107">
        <f t="shared" si="543"/>
        <v>0</v>
      </c>
      <c r="Q1287" s="107"/>
      <c r="R1287" s="10"/>
      <c r="S1287" s="107">
        <v>0</v>
      </c>
      <c r="T1287" s="107">
        <f t="shared" si="530"/>
        <v>0</v>
      </c>
      <c r="U1287" s="107"/>
      <c r="V1287" s="175"/>
      <c r="W1287" s="10"/>
      <c r="X1287" s="10"/>
      <c r="Y1287" t="str">
        <f t="shared" si="546"/>
        <v>3091</v>
      </c>
      <c r="AB1287" s="10"/>
      <c r="AC1287" s="10"/>
      <c r="AD1287" s="10"/>
      <c r="AE1287" s="10"/>
      <c r="AF1287" s="10"/>
      <c r="AG1287" s="10"/>
      <c r="AH1287" s="10"/>
      <c r="AI1287" s="10"/>
    </row>
    <row r="1288" spans="1:35">
      <c r="A1288" s="10"/>
      <c r="B1288" s="10" t="str">
        <f t="shared" si="545"/>
        <v>Below the Line2nd Unit</v>
      </c>
      <c r="C1288" t="s">
        <v>20</v>
      </c>
      <c r="D1288" t="s">
        <v>19</v>
      </c>
      <c r="E1288" t="s">
        <v>1419</v>
      </c>
      <c r="G1288" t="s">
        <v>2655</v>
      </c>
      <c r="I1288" s="10"/>
      <c r="J1288" s="107">
        <f>SUMIF(Data!C:C,G1288,Data!Q:Q)</f>
        <v>54633.33</v>
      </c>
      <c r="K1288" s="107">
        <f>SUMIF(Comprometidos!A:A,'Cost Report'!G1288,Comprometidos!E:E)</f>
        <v>0</v>
      </c>
      <c r="L1288" s="107">
        <f t="shared" si="540"/>
        <v>54633.33</v>
      </c>
      <c r="M1288" s="107">
        <v>0</v>
      </c>
      <c r="N1288" s="107">
        <f t="shared" si="542"/>
        <v>54633.33</v>
      </c>
      <c r="O1288" s="107">
        <f>VLOOKUP(G1288,Budget!$E$3:$G$2474,3,0)</f>
        <v>33750</v>
      </c>
      <c r="P1288" s="107">
        <f t="shared" si="543"/>
        <v>-20883.330000000002</v>
      </c>
      <c r="Q1288" s="107"/>
      <c r="R1288" s="10"/>
      <c r="S1288" s="107">
        <v>54633.33</v>
      </c>
      <c r="T1288" s="107">
        <f t="shared" si="530"/>
        <v>0</v>
      </c>
      <c r="U1288" s="107"/>
      <c r="V1288" s="175"/>
      <c r="W1288" s="10"/>
      <c r="X1288" s="10"/>
      <c r="Y1288" t="str">
        <f t="shared" si="546"/>
        <v>3091</v>
      </c>
      <c r="AB1288" s="10"/>
      <c r="AC1288" s="10"/>
      <c r="AD1288" s="10"/>
      <c r="AE1288" s="10"/>
      <c r="AF1288" s="10"/>
      <c r="AG1288" s="10"/>
      <c r="AH1288" s="10"/>
      <c r="AI1288" s="10"/>
    </row>
    <row r="1289" spans="1:35">
      <c r="A1289" s="10"/>
      <c r="B1289" s="10" t="str">
        <f>+C1289</f>
        <v>Below the Line</v>
      </c>
      <c r="C1289" s="128" t="s">
        <v>20</v>
      </c>
      <c r="D1289" s="128" t="s">
        <v>2117</v>
      </c>
      <c r="E1289" s="128"/>
      <c r="F1289" s="128"/>
      <c r="G1289" s="128" t="s">
        <v>788</v>
      </c>
      <c r="H1289" s="128"/>
      <c r="I1289" s="10"/>
      <c r="J1289" s="129">
        <f>SUMIF($Y$11:$Y$2484,G1289,J$11:J$2484)</f>
        <v>0</v>
      </c>
      <c r="K1289" s="129">
        <f>SUMIF($Y$11:$Y$2484,G1289,K$11:K$2484)</f>
        <v>0</v>
      </c>
      <c r="L1289" s="129">
        <f>SUMIF($Y$11:$Y$2484,G1289,L$11:L$2484)</f>
        <v>0</v>
      </c>
      <c r="M1289" s="129">
        <f>SUMIF($Y$11:$Y$2484,G1289,M$11:M$2484)</f>
        <v>0</v>
      </c>
      <c r="N1289" s="129">
        <f>SUMIF($Y$11:$Y$2484,G1289,N$11:N$2484)</f>
        <v>0</v>
      </c>
      <c r="O1289" s="129">
        <f>SUMIF($Y$11:$Y$2484,G1289,O$11:O$2484)</f>
        <v>80000</v>
      </c>
      <c r="P1289" s="129">
        <f>SUMIF($Y$11:$Y$2484,G1289,P$11:P$2484)</f>
        <v>80000</v>
      </c>
      <c r="Q1289" s="129"/>
      <c r="R1289" s="10"/>
      <c r="S1289" s="129">
        <v>0</v>
      </c>
      <c r="T1289" s="129">
        <f t="shared" si="530"/>
        <v>0</v>
      </c>
      <c r="U1289" s="128"/>
      <c r="V1289" s="175"/>
      <c r="W1289" s="10"/>
      <c r="X1289" s="10"/>
      <c r="Z1289" t="str">
        <f>LEFT(G1289,2)</f>
        <v>30</v>
      </c>
      <c r="AA1289" t="str">
        <f>+Z1289&amp;"00"</f>
        <v>3000</v>
      </c>
      <c r="AB1289" s="10"/>
      <c r="AC1289" s="10"/>
      <c r="AD1289" s="10"/>
      <c r="AE1289" s="10"/>
      <c r="AF1289" s="10"/>
      <c r="AG1289" s="10"/>
      <c r="AH1289" s="10"/>
      <c r="AI1289" s="10"/>
    </row>
    <row r="1290" spans="1:35">
      <c r="A1290" s="10"/>
      <c r="B1290" s="10" t="str">
        <f t="shared" ref="B1290:B1291" si="547">+C1290&amp;E1290</f>
        <v>Below the Line</v>
      </c>
      <c r="C1290" t="s">
        <v>20</v>
      </c>
      <c r="D1290" t="s">
        <v>19</v>
      </c>
      <c r="E1290" t="s">
        <v>214</v>
      </c>
      <c r="G1290" t="s">
        <v>789</v>
      </c>
      <c r="I1290" s="10"/>
      <c r="J1290" s="107">
        <f>SUMIF(Data!C:C,G1290,Data!Q:Q)</f>
        <v>0</v>
      </c>
      <c r="K1290" s="107">
        <f>SUMIF(Comprometidos!A:A,'Cost Report'!G1290,Comprometidos!E:E)</f>
        <v>0</v>
      </c>
      <c r="L1290" s="107">
        <f t="shared" si="540"/>
        <v>0</v>
      </c>
      <c r="M1290" s="107">
        <f t="shared" si="541"/>
        <v>0</v>
      </c>
      <c r="N1290" s="107">
        <f t="shared" si="542"/>
        <v>0</v>
      </c>
      <c r="O1290" s="107">
        <f>VLOOKUP(G1290,Budget!$E$3:$G$2474,3,0)</f>
        <v>0</v>
      </c>
      <c r="P1290" s="107">
        <f t="shared" si="543"/>
        <v>0</v>
      </c>
      <c r="Q1290" s="107"/>
      <c r="R1290" s="10"/>
      <c r="S1290" s="107">
        <v>0</v>
      </c>
      <c r="T1290" s="107">
        <f t="shared" si="530"/>
        <v>0</v>
      </c>
      <c r="U1290" s="107"/>
      <c r="V1290" s="175"/>
      <c r="W1290" s="10"/>
      <c r="X1290" s="10"/>
      <c r="Y1290" t="str">
        <f t="shared" ref="Y1290:Y1291" si="548">LEFT(G1290,4)</f>
        <v>3098</v>
      </c>
      <c r="AB1290" s="10"/>
      <c r="AC1290" s="10"/>
      <c r="AD1290" s="10"/>
      <c r="AE1290" s="10"/>
      <c r="AF1290" s="10"/>
      <c r="AG1290" s="10"/>
      <c r="AH1290" s="10"/>
      <c r="AI1290" s="10"/>
    </row>
    <row r="1291" spans="1:35">
      <c r="A1291" s="10"/>
      <c r="B1291" s="10" t="str">
        <f t="shared" si="547"/>
        <v>Below the LineALL SHOW</v>
      </c>
      <c r="C1291" t="s">
        <v>20</v>
      </c>
      <c r="D1291" t="s">
        <v>19</v>
      </c>
      <c r="E1291" t="s">
        <v>227</v>
      </c>
      <c r="G1291" t="s">
        <v>2656</v>
      </c>
      <c r="I1291" s="10"/>
      <c r="J1291" s="107">
        <f>SUMIF(Data!C:C,G1291,Data!Q:Q)</f>
        <v>0</v>
      </c>
      <c r="K1291" s="107">
        <f>SUMIF(Comprometidos!A:A,'Cost Report'!G1291,Comprometidos!E:E)</f>
        <v>0</v>
      </c>
      <c r="L1291" s="107">
        <f t="shared" si="540"/>
        <v>0</v>
      </c>
      <c r="M1291" s="107">
        <v>0</v>
      </c>
      <c r="N1291" s="107">
        <f t="shared" si="542"/>
        <v>0</v>
      </c>
      <c r="O1291" s="107">
        <f>VLOOKUP(G1291,Budget!$E$3:$G$2474,3,0)</f>
        <v>80000</v>
      </c>
      <c r="P1291" s="107">
        <f t="shared" si="543"/>
        <v>80000</v>
      </c>
      <c r="Q1291" s="107"/>
      <c r="R1291" s="10"/>
      <c r="S1291" s="107">
        <v>0</v>
      </c>
      <c r="T1291" s="107">
        <f t="shared" si="530"/>
        <v>0</v>
      </c>
      <c r="U1291" s="107"/>
      <c r="V1291" s="175"/>
      <c r="W1291" s="10"/>
      <c r="X1291" s="10"/>
      <c r="Y1291" t="str">
        <f t="shared" si="548"/>
        <v>3098</v>
      </c>
      <c r="AB1291" s="10"/>
      <c r="AC1291" s="10"/>
      <c r="AD1291" s="10"/>
      <c r="AE1291" s="10"/>
      <c r="AF1291" s="10"/>
      <c r="AG1291" s="10"/>
      <c r="AH1291" s="10"/>
      <c r="AI1291" s="10"/>
    </row>
    <row r="1292" spans="1:35">
      <c r="A1292" s="10"/>
      <c r="B1292" s="10"/>
      <c r="C1292" s="170" t="s">
        <v>20</v>
      </c>
      <c r="D1292" s="170" t="s">
        <v>8</v>
      </c>
      <c r="E1292" s="170"/>
      <c r="F1292" s="170"/>
      <c r="G1292" s="170" t="s">
        <v>790</v>
      </c>
      <c r="H1292" s="170"/>
      <c r="I1292" s="10"/>
      <c r="J1292" s="169">
        <f>SUMIF($AA$10:$AA$2484,G1292,J$10:J$2484)</f>
        <v>11595695.200000001</v>
      </c>
      <c r="K1292" s="169">
        <f>SUMIF($AA$10:$AA$2484,G1292,K$10:K$2484)</f>
        <v>0</v>
      </c>
      <c r="L1292" s="169">
        <f>SUMIF($AA$10:$AA$2484,G1292,L$10:L$2484)</f>
        <v>11595695.200000001</v>
      </c>
      <c r="M1292" s="169">
        <f>SUMIF($AA$10:$AA$2484,G1292,M$10:M$2484)</f>
        <v>0</v>
      </c>
      <c r="N1292" s="169">
        <f>SUMIF($AA$10:$AA$2484,G1292,N$10:N$2484)</f>
        <v>11595695.200000001</v>
      </c>
      <c r="O1292" s="169">
        <f>SUMIF($AA$10:$AA$2484,G1292,O$10:O$2484)</f>
        <v>11484172.030000001</v>
      </c>
      <c r="P1292" s="168">
        <f>SUMIF($AA$10:$AA$2484,G1292,P$10:P$2484)</f>
        <v>-111523.16999999998</v>
      </c>
      <c r="Q1292" s="169"/>
      <c r="R1292" s="10"/>
      <c r="S1292" s="164">
        <v>11595695.200000001</v>
      </c>
      <c r="T1292" s="164">
        <f t="shared" si="530"/>
        <v>0</v>
      </c>
      <c r="U1292" s="163"/>
      <c r="V1292" s="175"/>
      <c r="W1292" s="10"/>
      <c r="X1292" s="10"/>
      <c r="AB1292" s="10"/>
      <c r="AC1292" s="10"/>
      <c r="AD1292" s="10"/>
      <c r="AE1292" s="10"/>
      <c r="AF1292" s="10"/>
      <c r="AG1292" s="10"/>
      <c r="AH1292" s="10"/>
      <c r="AI1292" s="10"/>
    </row>
    <row r="1293" spans="1:35">
      <c r="A1293" s="10"/>
      <c r="B1293" s="10" t="str">
        <f>+C1293</f>
        <v>Below the Line</v>
      </c>
      <c r="C1293" s="128" t="s">
        <v>20</v>
      </c>
      <c r="D1293" s="128" t="s">
        <v>2117</v>
      </c>
      <c r="E1293" s="128"/>
      <c r="F1293" s="128"/>
      <c r="G1293" s="128" t="s">
        <v>791</v>
      </c>
      <c r="H1293" s="128"/>
      <c r="I1293" s="10"/>
      <c r="J1293" s="129">
        <f>SUMIF($Y$11:$Y$2484,G1293,J$11:J$2484)</f>
        <v>1003000</v>
      </c>
      <c r="K1293" s="129">
        <f>SUMIF($Y$11:$Y$2484,G1293,K$11:K$2484)</f>
        <v>0</v>
      </c>
      <c r="L1293" s="129">
        <f>SUMIF($Y$11:$Y$2484,G1293,L$11:L$2484)</f>
        <v>1003000</v>
      </c>
      <c r="M1293" s="129">
        <f>SUMIF($Y$11:$Y$2484,G1293,M$11:M$2484)</f>
        <v>0</v>
      </c>
      <c r="N1293" s="129">
        <f>SUMIF($Y$11:$Y$2484,G1293,N$11:N$2484)</f>
        <v>1003000</v>
      </c>
      <c r="O1293" s="129">
        <f>SUMIF($Y$11:$Y$2484,G1293,O$11:O$2484)</f>
        <v>989000</v>
      </c>
      <c r="P1293" s="129">
        <f>SUMIF($Y$11:$Y$2484,G1293,P$11:P$2484)</f>
        <v>-14000</v>
      </c>
      <c r="Q1293" s="129"/>
      <c r="R1293" s="10"/>
      <c r="S1293" s="129">
        <v>1003000</v>
      </c>
      <c r="T1293" s="129">
        <f t="shared" si="530"/>
        <v>0</v>
      </c>
      <c r="U1293" s="128"/>
      <c r="V1293" s="175"/>
      <c r="W1293" s="10"/>
      <c r="X1293" s="10"/>
      <c r="Z1293" t="str">
        <f>LEFT(G1293,2)</f>
        <v>31</v>
      </c>
      <c r="AA1293" t="str">
        <f>+Z1293&amp;"00"</f>
        <v>3100</v>
      </c>
      <c r="AB1293" s="10"/>
      <c r="AC1293" s="10"/>
      <c r="AD1293" s="10"/>
      <c r="AE1293" s="10"/>
      <c r="AF1293" s="10"/>
      <c r="AG1293" s="10"/>
      <c r="AH1293" s="10"/>
      <c r="AI1293" s="10"/>
    </row>
    <row r="1294" spans="1:35">
      <c r="A1294" s="10"/>
      <c r="B1294" s="10" t="str">
        <f t="shared" ref="B1294:B1302" si="549">+C1294&amp;E1294</f>
        <v>Below the Line</v>
      </c>
      <c r="C1294" t="s">
        <v>20</v>
      </c>
      <c r="D1294" t="s">
        <v>19</v>
      </c>
      <c r="E1294" t="s">
        <v>214</v>
      </c>
      <c r="G1294" t="s">
        <v>211</v>
      </c>
      <c r="I1294" s="10"/>
      <c r="J1294" s="107">
        <f>SUMIF(Data!C:C,G1294,Data!Q:Q)</f>
        <v>0</v>
      </c>
      <c r="K1294" s="107">
        <f>SUMIF(Comprometidos!A:A,'Cost Report'!G1294,Comprometidos!E:E)</f>
        <v>0</v>
      </c>
      <c r="L1294" s="107">
        <f t="shared" si="540"/>
        <v>0</v>
      </c>
      <c r="M1294" s="107">
        <f t="shared" si="541"/>
        <v>0</v>
      </c>
      <c r="N1294" s="107">
        <f t="shared" si="542"/>
        <v>0</v>
      </c>
      <c r="O1294" s="107">
        <f>VLOOKUP(G1294,Budget!$E$3:$G$2474,3,0)</f>
        <v>0</v>
      </c>
      <c r="P1294" s="107">
        <f t="shared" si="543"/>
        <v>0</v>
      </c>
      <c r="Q1294" s="107"/>
      <c r="R1294" s="10"/>
      <c r="S1294" s="107">
        <v>0</v>
      </c>
      <c r="T1294" s="107">
        <f t="shared" si="530"/>
        <v>0</v>
      </c>
      <c r="U1294" s="107"/>
      <c r="V1294" s="175"/>
      <c r="W1294" s="10"/>
      <c r="X1294" s="10"/>
      <c r="Y1294" t="str">
        <f t="shared" ref="Y1294:Y1301" si="550">LEFT(G1294,4)</f>
        <v>3101</v>
      </c>
      <c r="AB1294" s="10"/>
      <c r="AC1294" s="10"/>
      <c r="AD1294" s="10"/>
      <c r="AE1294" s="10"/>
      <c r="AF1294" s="10"/>
      <c r="AG1294" s="10"/>
      <c r="AH1294" s="10"/>
      <c r="AI1294" s="10"/>
    </row>
    <row r="1295" spans="1:35">
      <c r="A1295" s="10"/>
      <c r="B1295" s="10" t="str">
        <f t="shared" si="549"/>
        <v>Below the LineSOFT</v>
      </c>
      <c r="C1295" t="s">
        <v>20</v>
      </c>
      <c r="D1295" t="s">
        <v>19</v>
      </c>
      <c r="E1295" t="s">
        <v>233</v>
      </c>
      <c r="G1295" t="s">
        <v>792</v>
      </c>
      <c r="I1295" s="10"/>
      <c r="J1295" s="107">
        <f>SUMIF(Data!C:C,G1295,Data!Q:Q)</f>
        <v>21000</v>
      </c>
      <c r="K1295" s="107">
        <f>SUMIF(Comprometidos!A:A,'Cost Report'!G1295,Comprometidos!E:E)</f>
        <v>0</v>
      </c>
      <c r="L1295" s="107">
        <f t="shared" si="540"/>
        <v>21000</v>
      </c>
      <c r="M1295" s="107">
        <f t="shared" si="541"/>
        <v>0</v>
      </c>
      <c r="N1295" s="107">
        <f t="shared" si="542"/>
        <v>21000</v>
      </c>
      <c r="O1295" s="107">
        <f>VLOOKUP(G1295,Budget!$E$3:$G$2474,3,0)</f>
        <v>21000</v>
      </c>
      <c r="P1295" s="107">
        <f t="shared" si="543"/>
        <v>0</v>
      </c>
      <c r="Q1295" s="107"/>
      <c r="R1295" s="10"/>
      <c r="S1295" s="107">
        <v>21000</v>
      </c>
      <c r="T1295" s="107">
        <f t="shared" si="530"/>
        <v>0</v>
      </c>
      <c r="U1295" s="107"/>
      <c r="V1295" s="175"/>
      <c r="W1295" s="10"/>
      <c r="X1295" s="10"/>
      <c r="Y1295" t="str">
        <f t="shared" si="550"/>
        <v>3101</v>
      </c>
      <c r="AB1295" s="10"/>
      <c r="AC1295" s="10"/>
      <c r="AD1295" s="10"/>
      <c r="AE1295" s="10"/>
      <c r="AF1295" s="10"/>
      <c r="AG1295" s="10"/>
      <c r="AH1295" s="10"/>
      <c r="AI1295" s="10"/>
    </row>
    <row r="1296" spans="1:35">
      <c r="A1296" s="10"/>
      <c r="B1296" s="10" t="str">
        <f t="shared" si="549"/>
        <v>Below the LinePREP</v>
      </c>
      <c r="C1296" t="s">
        <v>20</v>
      </c>
      <c r="D1296" t="s">
        <v>19</v>
      </c>
      <c r="E1296" t="s">
        <v>234</v>
      </c>
      <c r="G1296" t="s">
        <v>793</v>
      </c>
      <c r="I1296" s="10"/>
      <c r="J1296" s="107">
        <f>SUMIF(Data!C:C,G1296,Data!Q:Q)</f>
        <v>378000</v>
      </c>
      <c r="K1296" s="107">
        <f>SUMIF(Comprometidos!A:A,'Cost Report'!G1296,Comprometidos!E:E)</f>
        <v>0</v>
      </c>
      <c r="L1296" s="107">
        <f t="shared" si="540"/>
        <v>378000</v>
      </c>
      <c r="M1296" s="107">
        <f t="shared" si="541"/>
        <v>0</v>
      </c>
      <c r="N1296" s="107">
        <f t="shared" si="542"/>
        <v>378000</v>
      </c>
      <c r="O1296" s="107">
        <f>VLOOKUP(G1296,Budget!$E$3:$G$2474,3,0)</f>
        <v>378000</v>
      </c>
      <c r="P1296" s="107">
        <f t="shared" si="543"/>
        <v>0</v>
      </c>
      <c r="Q1296" s="107"/>
      <c r="R1296" s="10"/>
      <c r="S1296" s="107">
        <v>378000</v>
      </c>
      <c r="T1296" s="107">
        <f t="shared" ref="T1296:T1363" si="551">+S1296-N1296</f>
        <v>0</v>
      </c>
      <c r="U1296" s="107"/>
      <c r="V1296" s="175"/>
      <c r="W1296" s="10"/>
      <c r="X1296" s="10"/>
      <c r="Y1296" t="str">
        <f t="shared" si="550"/>
        <v>3101</v>
      </c>
      <c r="AB1296" s="10"/>
      <c r="AC1296" s="10"/>
      <c r="AD1296" s="10"/>
      <c r="AE1296" s="10"/>
      <c r="AF1296" s="10"/>
      <c r="AG1296" s="10"/>
      <c r="AH1296" s="10"/>
      <c r="AI1296" s="10"/>
    </row>
    <row r="1297" spans="1:35">
      <c r="A1297" s="10"/>
      <c r="B1297" s="10" t="str">
        <f t="shared" si="549"/>
        <v>Below the LineSHOOT</v>
      </c>
      <c r="C1297" t="s">
        <v>20</v>
      </c>
      <c r="D1297" t="s">
        <v>19</v>
      </c>
      <c r="E1297" t="s">
        <v>236</v>
      </c>
      <c r="G1297" t="s">
        <v>794</v>
      </c>
      <c r="I1297" s="10"/>
      <c r="J1297" s="107">
        <f>SUMIF(Data!C:C,G1297,Data!Q:Q)</f>
        <v>367500</v>
      </c>
      <c r="K1297" s="107">
        <f>SUMIF(Comprometidos!A:A,'Cost Report'!G1297,Comprometidos!E:E)</f>
        <v>0</v>
      </c>
      <c r="L1297" s="107">
        <f t="shared" si="540"/>
        <v>367500</v>
      </c>
      <c r="M1297" s="107">
        <f t="shared" si="541"/>
        <v>0</v>
      </c>
      <c r="N1297" s="107">
        <f t="shared" si="542"/>
        <v>367500</v>
      </c>
      <c r="O1297" s="107">
        <f>VLOOKUP(G1297,Budget!$E$3:$G$2474,3,0)</f>
        <v>367500</v>
      </c>
      <c r="P1297" s="107">
        <f t="shared" si="543"/>
        <v>0</v>
      </c>
      <c r="Q1297" s="107"/>
      <c r="R1297" s="10"/>
      <c r="S1297" s="107">
        <v>367500</v>
      </c>
      <c r="T1297" s="107">
        <f t="shared" si="551"/>
        <v>0</v>
      </c>
      <c r="U1297" s="107"/>
      <c r="V1297" s="175"/>
      <c r="W1297" s="10"/>
      <c r="X1297" s="10"/>
      <c r="Y1297" t="str">
        <f t="shared" si="550"/>
        <v>3101</v>
      </c>
      <c r="AB1297" s="10"/>
      <c r="AC1297" s="10"/>
      <c r="AD1297" s="10"/>
      <c r="AE1297" s="10"/>
      <c r="AF1297" s="10"/>
      <c r="AG1297" s="10"/>
      <c r="AH1297" s="10"/>
      <c r="AI1297" s="10"/>
    </row>
    <row r="1298" spans="1:35">
      <c r="A1298" s="10"/>
      <c r="B1298" s="10" t="str">
        <f t="shared" si="549"/>
        <v>Below the LineWRAP</v>
      </c>
      <c r="C1298" t="s">
        <v>20</v>
      </c>
      <c r="D1298" t="s">
        <v>19</v>
      </c>
      <c r="E1298" t="s">
        <v>238</v>
      </c>
      <c r="G1298" t="s">
        <v>795</v>
      </c>
      <c r="I1298" s="10"/>
      <c r="J1298" s="107">
        <f>SUMIF(Data!C:C,G1298,Data!Q:Q)</f>
        <v>100000</v>
      </c>
      <c r="K1298" s="107">
        <f>SUMIF(Comprometidos!A:A,'Cost Report'!G1298,Comprometidos!E:E)</f>
        <v>0</v>
      </c>
      <c r="L1298" s="107">
        <f t="shared" si="540"/>
        <v>100000</v>
      </c>
      <c r="M1298" s="107">
        <f t="shared" si="541"/>
        <v>0</v>
      </c>
      <c r="N1298" s="107">
        <f t="shared" si="542"/>
        <v>100000</v>
      </c>
      <c r="O1298" s="107">
        <f>VLOOKUP(G1298,Budget!$E$3:$G$2474,3,0)</f>
        <v>100000</v>
      </c>
      <c r="P1298" s="107">
        <f t="shared" si="543"/>
        <v>0</v>
      </c>
      <c r="Q1298" s="107"/>
      <c r="R1298" s="10"/>
      <c r="S1298" s="107">
        <v>100000</v>
      </c>
      <c r="T1298" s="107">
        <f t="shared" si="551"/>
        <v>0</v>
      </c>
      <c r="U1298" s="107"/>
      <c r="V1298" s="175"/>
      <c r="W1298" s="10"/>
      <c r="X1298" s="10"/>
      <c r="Y1298" t="str">
        <f t="shared" si="550"/>
        <v>3101</v>
      </c>
      <c r="AB1298" s="10"/>
      <c r="AC1298" s="10"/>
      <c r="AD1298" s="10"/>
      <c r="AE1298" s="10"/>
      <c r="AF1298" s="10"/>
      <c r="AG1298" s="10"/>
      <c r="AH1298" s="10"/>
      <c r="AI1298" s="10"/>
    </row>
    <row r="1299" spans="1:35">
      <c r="A1299" s="10"/>
      <c r="B1299" s="10" t="str">
        <f t="shared" si="549"/>
        <v>Below the Line</v>
      </c>
      <c r="C1299" t="s">
        <v>20</v>
      </c>
      <c r="D1299" t="s">
        <v>19</v>
      </c>
      <c r="E1299" t="s">
        <v>214</v>
      </c>
      <c r="G1299" t="s">
        <v>2657</v>
      </c>
      <c r="I1299" s="10"/>
      <c r="J1299" s="107">
        <f>SUMIF(Data!C:C,G1299,Data!Q:Q)</f>
        <v>0</v>
      </c>
      <c r="K1299" s="107">
        <f>SUMIF(Comprometidos!A:A,'Cost Report'!G1299,Comprometidos!E:E)</f>
        <v>0</v>
      </c>
      <c r="L1299" s="107">
        <f t="shared" si="540"/>
        <v>0</v>
      </c>
      <c r="M1299" s="107">
        <f t="shared" si="541"/>
        <v>0</v>
      </c>
      <c r="N1299" s="107">
        <f t="shared" si="542"/>
        <v>0</v>
      </c>
      <c r="O1299" s="107">
        <f>VLOOKUP(G1299,Budget!$E$3:$G$2474,3,0)</f>
        <v>0</v>
      </c>
      <c r="P1299" s="107">
        <f t="shared" si="543"/>
        <v>0</v>
      </c>
      <c r="Q1299" s="107"/>
      <c r="R1299" s="10"/>
      <c r="S1299" s="107">
        <v>0</v>
      </c>
      <c r="T1299" s="107">
        <f t="shared" si="551"/>
        <v>0</v>
      </c>
      <c r="U1299" s="107"/>
      <c r="V1299" s="175"/>
      <c r="W1299" s="10"/>
      <c r="X1299" s="10"/>
      <c r="Y1299" t="str">
        <f t="shared" si="550"/>
        <v>3101</v>
      </c>
      <c r="AB1299" s="10"/>
      <c r="AC1299" s="10"/>
      <c r="AD1299" s="10"/>
      <c r="AE1299" s="10"/>
      <c r="AF1299" s="10"/>
      <c r="AG1299" s="10"/>
      <c r="AH1299" s="10"/>
      <c r="AI1299" s="10"/>
    </row>
    <row r="1300" spans="1:35">
      <c r="A1300" s="10"/>
      <c r="B1300" s="10" t="str">
        <f t="shared" si="549"/>
        <v>Below the Line2nd Unit</v>
      </c>
      <c r="C1300" t="s">
        <v>20</v>
      </c>
      <c r="D1300" t="s">
        <v>19</v>
      </c>
      <c r="E1300" t="s">
        <v>1419</v>
      </c>
      <c r="G1300" t="s">
        <v>2658</v>
      </c>
      <c r="I1300" s="10"/>
      <c r="J1300" s="107">
        <f>SUMIF(Data!C:C,G1300,Data!Q:Q)</f>
        <v>52500</v>
      </c>
      <c r="K1300" s="107">
        <f>SUMIF(Comprometidos!A:A,'Cost Report'!G1300,Comprometidos!E:E)</f>
        <v>0</v>
      </c>
      <c r="L1300" s="107">
        <f t="shared" si="540"/>
        <v>52500</v>
      </c>
      <c r="M1300" s="107">
        <f t="shared" si="541"/>
        <v>0</v>
      </c>
      <c r="N1300" s="107">
        <f t="shared" si="542"/>
        <v>52500</v>
      </c>
      <c r="O1300" s="107">
        <f>VLOOKUP(G1300,Budget!$E$3:$G$2474,3,0)</f>
        <v>52500</v>
      </c>
      <c r="P1300" s="107">
        <f t="shared" si="543"/>
        <v>0</v>
      </c>
      <c r="Q1300" s="107"/>
      <c r="R1300" s="10"/>
      <c r="S1300" s="107">
        <v>52500</v>
      </c>
      <c r="T1300" s="107">
        <f t="shared" si="551"/>
        <v>0</v>
      </c>
      <c r="U1300" s="107"/>
      <c r="V1300" s="175"/>
      <c r="W1300" s="10"/>
      <c r="X1300" s="10"/>
      <c r="Y1300" t="str">
        <f t="shared" si="550"/>
        <v>3101</v>
      </c>
      <c r="AB1300" s="10"/>
      <c r="AC1300" s="10"/>
      <c r="AD1300" s="10"/>
      <c r="AE1300" s="10"/>
      <c r="AF1300" s="10"/>
      <c r="AG1300" s="10"/>
      <c r="AH1300" s="10"/>
      <c r="AI1300" s="10"/>
    </row>
    <row r="1301" spans="1:35">
      <c r="A1301" s="10"/>
      <c r="B1301" s="10" t="str">
        <f t="shared" si="549"/>
        <v>Below the Line2nd Unit</v>
      </c>
      <c r="C1301" t="s">
        <v>20</v>
      </c>
      <c r="D1301" t="s">
        <v>19</v>
      </c>
      <c r="E1301" t="s">
        <v>1419</v>
      </c>
      <c r="G1301" t="s">
        <v>2659</v>
      </c>
      <c r="I1301" s="10"/>
      <c r="J1301" s="107">
        <f>SUMIF(Data!C:C,G1301,Data!Q:Q)</f>
        <v>70000</v>
      </c>
      <c r="K1301" s="107">
        <f>SUMIF(Comprometidos!A:A,'Cost Report'!G1301,Comprometidos!E:E)</f>
        <v>0</v>
      </c>
      <c r="L1301" s="107">
        <f t="shared" si="540"/>
        <v>70000</v>
      </c>
      <c r="M1301" s="107">
        <f t="shared" si="541"/>
        <v>0</v>
      </c>
      <c r="N1301" s="107">
        <f t="shared" si="542"/>
        <v>70000</v>
      </c>
      <c r="O1301" s="107">
        <f>VLOOKUP(G1301,Budget!$E$3:$G$2474,3,0)</f>
        <v>70000</v>
      </c>
      <c r="P1301" s="107">
        <f t="shared" si="543"/>
        <v>0</v>
      </c>
      <c r="Q1301" s="107"/>
      <c r="R1301" s="10"/>
      <c r="S1301" s="107">
        <v>70000</v>
      </c>
      <c r="T1301" s="107">
        <f t="shared" si="551"/>
        <v>0</v>
      </c>
      <c r="U1301" s="107"/>
      <c r="V1301" s="175"/>
      <c r="W1301" s="10"/>
      <c r="X1301" s="10"/>
      <c r="Y1301" t="str">
        <f t="shared" si="550"/>
        <v>3101</v>
      </c>
      <c r="AB1301" s="10"/>
      <c r="AC1301" s="10"/>
      <c r="AD1301" s="10"/>
      <c r="AE1301" s="10"/>
      <c r="AF1301" s="10"/>
      <c r="AG1301" s="10"/>
      <c r="AH1301" s="10"/>
      <c r="AI1301" s="10"/>
    </row>
    <row r="1302" spans="1:35">
      <c r="A1302" s="10"/>
      <c r="B1302" s="10" t="str">
        <f t="shared" si="549"/>
        <v>Below the Line2nd Unit</v>
      </c>
      <c r="C1302" t="s">
        <v>20</v>
      </c>
      <c r="D1302" t="s">
        <v>19</v>
      </c>
      <c r="E1302" t="s">
        <v>1419</v>
      </c>
      <c r="F1302" t="s">
        <v>5396</v>
      </c>
      <c r="G1302" t="s">
        <v>3406</v>
      </c>
      <c r="I1302" s="10"/>
      <c r="J1302" s="107">
        <f>SUMIF(Data!C:C,G1302,Data!Q:Q)</f>
        <v>14000</v>
      </c>
      <c r="K1302" s="107">
        <f>SUMIF(Comprometidos!A:A,'Cost Report'!G1302,Comprometidos!E:E)</f>
        <v>0</v>
      </c>
      <c r="L1302" s="107">
        <f t="shared" ref="L1302" si="552">+J1302+K1302</f>
        <v>14000</v>
      </c>
      <c r="M1302" s="107">
        <v>0</v>
      </c>
      <c r="N1302" s="107">
        <f t="shared" ref="N1302" si="553">+L1302+M1302</f>
        <v>14000</v>
      </c>
      <c r="O1302" s="107">
        <f>VLOOKUP(G1302,Budget!$E$3:$G$2474,3,0)</f>
        <v>0</v>
      </c>
      <c r="P1302" s="107">
        <f t="shared" ref="P1302" si="554">+O1302-N1302</f>
        <v>-14000</v>
      </c>
      <c r="Q1302" s="107"/>
      <c r="R1302" s="10"/>
      <c r="S1302" s="107">
        <v>14000</v>
      </c>
      <c r="T1302" s="107">
        <f t="shared" ref="T1302" si="555">+S1302-N1302</f>
        <v>0</v>
      </c>
      <c r="U1302" s="107"/>
      <c r="V1302" s="175"/>
      <c r="W1302" s="10"/>
      <c r="X1302" s="10"/>
      <c r="Y1302" t="str">
        <f t="shared" ref="Y1302" si="556">LEFT(G1302,4)</f>
        <v>3101</v>
      </c>
      <c r="AB1302" s="10"/>
      <c r="AC1302" s="10"/>
      <c r="AD1302" s="10"/>
      <c r="AE1302" s="10"/>
      <c r="AF1302" s="10"/>
      <c r="AG1302" s="10"/>
      <c r="AH1302" s="10"/>
      <c r="AI1302" s="10"/>
    </row>
    <row r="1303" spans="1:35">
      <c r="A1303" s="10"/>
      <c r="B1303" s="10" t="str">
        <f>+C1303</f>
        <v>Below the Line</v>
      </c>
      <c r="C1303" s="128" t="s">
        <v>20</v>
      </c>
      <c r="D1303" s="128" t="s">
        <v>2117</v>
      </c>
      <c r="E1303" s="128"/>
      <c r="F1303" s="128"/>
      <c r="G1303" s="128" t="s">
        <v>796</v>
      </c>
      <c r="H1303" s="128"/>
      <c r="I1303" s="10"/>
      <c r="J1303" s="129">
        <f>SUMIF($Y$11:$Y$2484,G1303,J$11:J$2484)</f>
        <v>637583.30999999994</v>
      </c>
      <c r="K1303" s="129">
        <f>SUMIF($Y$11:$Y$2484,G1303,K$11:K$2484)</f>
        <v>0</v>
      </c>
      <c r="L1303" s="129">
        <f>SUMIF($Y$11:$Y$2484,G1303,L$11:L$2484)</f>
        <v>637583.30999999994</v>
      </c>
      <c r="M1303" s="129">
        <f>SUMIF($Y$11:$Y$2484,G1303,M$11:M$2484)</f>
        <v>0</v>
      </c>
      <c r="N1303" s="129">
        <f>SUMIF($Y$11:$Y$2484,G1303,N$11:N$2484)</f>
        <v>637583.30999999994</v>
      </c>
      <c r="O1303" s="129">
        <f>SUMIF($Y$11:$Y$2484,G1303,O$11:O$2484)</f>
        <v>605208.29</v>
      </c>
      <c r="P1303" s="129">
        <f>SUMIF($Y$11:$Y$2484,G1303,P$11:P$2484)</f>
        <v>-32375.020000000011</v>
      </c>
      <c r="Q1303" s="129"/>
      <c r="R1303" s="10"/>
      <c r="S1303" s="129">
        <v>637583.30999999994</v>
      </c>
      <c r="T1303" s="129">
        <f t="shared" si="551"/>
        <v>0</v>
      </c>
      <c r="U1303" s="128"/>
      <c r="V1303" s="175"/>
      <c r="W1303" s="10"/>
      <c r="X1303" s="10"/>
      <c r="Z1303" t="str">
        <f>LEFT(G1303,2)</f>
        <v>31</v>
      </c>
      <c r="AA1303" t="str">
        <f>+Z1303&amp;"00"</f>
        <v>3100</v>
      </c>
      <c r="AB1303" s="10"/>
      <c r="AC1303" s="10"/>
      <c r="AD1303" s="10"/>
      <c r="AE1303" s="10"/>
      <c r="AF1303" s="10"/>
      <c r="AG1303" s="10"/>
      <c r="AH1303" s="10"/>
      <c r="AI1303" s="10"/>
    </row>
    <row r="1304" spans="1:35">
      <c r="A1304" s="10"/>
      <c r="B1304" s="10" t="str">
        <f t="shared" ref="B1304:B1322" si="557">+C1304&amp;E1304</f>
        <v>Below the Line</v>
      </c>
      <c r="C1304" t="s">
        <v>20</v>
      </c>
      <c r="D1304" t="s">
        <v>19</v>
      </c>
      <c r="E1304" t="s">
        <v>214</v>
      </c>
      <c r="G1304" t="s">
        <v>797</v>
      </c>
      <c r="I1304" s="10"/>
      <c r="J1304" s="107">
        <f>SUMIF(Data!C:C,G1304,Data!Q:Q)</f>
        <v>0</v>
      </c>
      <c r="K1304" s="107">
        <f>SUMIF(Comprometidos!A:A,'Cost Report'!G1304,Comprometidos!E:E)</f>
        <v>0</v>
      </c>
      <c r="L1304" s="107">
        <f t="shared" si="540"/>
        <v>0</v>
      </c>
      <c r="M1304" s="107">
        <f t="shared" si="541"/>
        <v>0</v>
      </c>
      <c r="N1304" s="107">
        <f t="shared" si="542"/>
        <v>0</v>
      </c>
      <c r="O1304" s="107">
        <f>VLOOKUP(G1304,Budget!$E$3:$G$2474,3,0)</f>
        <v>0</v>
      </c>
      <c r="P1304" s="107">
        <f t="shared" si="543"/>
        <v>0</v>
      </c>
      <c r="Q1304" s="107"/>
      <c r="R1304" s="10"/>
      <c r="S1304" s="107">
        <v>0</v>
      </c>
      <c r="T1304" s="107">
        <f t="shared" si="551"/>
        <v>0</v>
      </c>
      <c r="U1304" s="107"/>
      <c r="V1304" s="175"/>
      <c r="W1304" s="10"/>
      <c r="X1304" s="10"/>
      <c r="Y1304" t="str">
        <f t="shared" ref="Y1304:Y1321" si="558">LEFT(G1304,4)</f>
        <v>3102</v>
      </c>
      <c r="AB1304" s="10"/>
      <c r="AC1304" s="10"/>
      <c r="AD1304" s="10"/>
      <c r="AE1304" s="10"/>
      <c r="AF1304" s="10"/>
      <c r="AG1304" s="10"/>
      <c r="AH1304" s="10"/>
      <c r="AI1304" s="10"/>
    </row>
    <row r="1305" spans="1:35">
      <c r="A1305" s="10"/>
      <c r="B1305" s="10" t="str">
        <f t="shared" si="557"/>
        <v>Below the LinePREP</v>
      </c>
      <c r="C1305" t="s">
        <v>20</v>
      </c>
      <c r="D1305" t="s">
        <v>19</v>
      </c>
      <c r="E1305" t="s">
        <v>234</v>
      </c>
      <c r="G1305" t="s">
        <v>798</v>
      </c>
      <c r="I1305" s="10"/>
      <c r="J1305" s="107">
        <f>SUMIF(Data!C:C,G1305,Data!Q:Q)</f>
        <v>4333.33</v>
      </c>
      <c r="K1305" s="107">
        <f>SUMIF(Comprometidos!A:A,'Cost Report'!G1305,Comprometidos!E:E)</f>
        <v>0</v>
      </c>
      <c r="L1305" s="107">
        <f t="shared" si="540"/>
        <v>4333.33</v>
      </c>
      <c r="M1305" s="107">
        <v>0</v>
      </c>
      <c r="N1305" s="107">
        <f t="shared" si="542"/>
        <v>4333.33</v>
      </c>
      <c r="O1305" s="107">
        <f>VLOOKUP(G1305,Budget!$E$3:$G$2474,3,0)</f>
        <v>13125</v>
      </c>
      <c r="P1305" s="107">
        <f t="shared" si="543"/>
        <v>8791.67</v>
      </c>
      <c r="Q1305" s="107"/>
      <c r="R1305" s="10"/>
      <c r="S1305" s="107">
        <v>4333.33</v>
      </c>
      <c r="T1305" s="107">
        <f t="shared" si="551"/>
        <v>0</v>
      </c>
      <c r="U1305" s="107"/>
      <c r="V1305" s="175"/>
      <c r="W1305" s="10"/>
      <c r="X1305" s="10"/>
      <c r="Y1305" t="str">
        <f t="shared" si="558"/>
        <v>3102</v>
      </c>
      <c r="AB1305" s="10"/>
      <c r="AC1305" s="10"/>
      <c r="AD1305" s="10"/>
      <c r="AE1305" s="10"/>
      <c r="AF1305" s="10"/>
      <c r="AG1305" s="10"/>
      <c r="AH1305" s="10"/>
      <c r="AI1305" s="10"/>
    </row>
    <row r="1306" spans="1:35">
      <c r="A1306" s="10"/>
      <c r="B1306" s="10" t="str">
        <f t="shared" si="557"/>
        <v>Below the LineSHOOT</v>
      </c>
      <c r="C1306" t="s">
        <v>20</v>
      </c>
      <c r="D1306" t="s">
        <v>19</v>
      </c>
      <c r="E1306" t="s">
        <v>236</v>
      </c>
      <c r="G1306" t="s">
        <v>799</v>
      </c>
      <c r="I1306" s="10"/>
      <c r="J1306" s="107">
        <f>SUMIF(Data!C:C,G1306,Data!Q:Q)</f>
        <v>182000</v>
      </c>
      <c r="K1306" s="107">
        <f>SUMIF(Comprometidos!A:A,'Cost Report'!G1306,Comprometidos!E:E)</f>
        <v>0</v>
      </c>
      <c r="L1306" s="107">
        <f t="shared" si="540"/>
        <v>182000</v>
      </c>
      <c r="M1306" s="107">
        <v>0</v>
      </c>
      <c r="N1306" s="107">
        <f t="shared" si="542"/>
        <v>182000</v>
      </c>
      <c r="O1306" s="107">
        <f>VLOOKUP(G1306,Budget!$E$3:$G$2474,3,0)</f>
        <v>183750</v>
      </c>
      <c r="P1306" s="107">
        <f t="shared" si="543"/>
        <v>1750</v>
      </c>
      <c r="Q1306" s="107"/>
      <c r="R1306" s="10"/>
      <c r="S1306" s="107">
        <v>182000</v>
      </c>
      <c r="T1306" s="107">
        <f t="shared" si="551"/>
        <v>0</v>
      </c>
      <c r="U1306" s="107"/>
      <c r="V1306" s="175"/>
      <c r="W1306" s="10"/>
      <c r="X1306" s="10"/>
      <c r="Y1306" t="str">
        <f t="shared" si="558"/>
        <v>3102</v>
      </c>
      <c r="AB1306" s="10"/>
      <c r="AC1306" s="10"/>
      <c r="AD1306" s="10"/>
      <c r="AE1306" s="10"/>
      <c r="AF1306" s="10"/>
      <c r="AG1306" s="10"/>
      <c r="AH1306" s="10"/>
      <c r="AI1306" s="10"/>
    </row>
    <row r="1307" spans="1:35">
      <c r="A1307" s="10"/>
      <c r="B1307" s="10" t="str">
        <f t="shared" si="557"/>
        <v>Below the LineWRAP</v>
      </c>
      <c r="C1307" t="s">
        <v>20</v>
      </c>
      <c r="D1307" t="s">
        <v>19</v>
      </c>
      <c r="E1307" t="s">
        <v>238</v>
      </c>
      <c r="G1307" t="s">
        <v>800</v>
      </c>
      <c r="I1307" s="10"/>
      <c r="J1307" s="107">
        <f>SUMIF(Data!C:C,G1307,Data!Q:Q)</f>
        <v>0</v>
      </c>
      <c r="K1307" s="107">
        <f>SUMIF(Comprometidos!A:A,'Cost Report'!G1307,Comprometidos!E:E)</f>
        <v>0</v>
      </c>
      <c r="L1307" s="107">
        <f t="shared" si="540"/>
        <v>0</v>
      </c>
      <c r="M1307" s="107">
        <f t="shared" si="541"/>
        <v>0</v>
      </c>
      <c r="N1307" s="107">
        <f t="shared" si="542"/>
        <v>0</v>
      </c>
      <c r="O1307" s="107">
        <f>VLOOKUP(G1307,Budget!$E$3:$G$2474,3,0)</f>
        <v>0</v>
      </c>
      <c r="P1307" s="107">
        <f t="shared" si="543"/>
        <v>0</v>
      </c>
      <c r="Q1307" s="107"/>
      <c r="R1307" s="10"/>
      <c r="S1307" s="107">
        <v>0</v>
      </c>
      <c r="T1307" s="107">
        <f t="shared" si="551"/>
        <v>0</v>
      </c>
      <c r="U1307" s="107"/>
      <c r="V1307" s="175"/>
      <c r="W1307" s="10"/>
      <c r="X1307" s="10"/>
      <c r="Y1307" t="str">
        <f t="shared" si="558"/>
        <v>3102</v>
      </c>
      <c r="AB1307" s="10"/>
      <c r="AC1307" s="10"/>
      <c r="AD1307" s="10"/>
      <c r="AE1307" s="10"/>
      <c r="AF1307" s="10"/>
      <c r="AG1307" s="10"/>
      <c r="AH1307" s="10"/>
      <c r="AI1307" s="10"/>
    </row>
    <row r="1308" spans="1:35">
      <c r="A1308" s="10"/>
      <c r="B1308" s="10" t="str">
        <f t="shared" si="557"/>
        <v>Below the Line</v>
      </c>
      <c r="C1308" t="s">
        <v>20</v>
      </c>
      <c r="D1308" t="s">
        <v>19</v>
      </c>
      <c r="E1308" t="s">
        <v>214</v>
      </c>
      <c r="G1308" t="s">
        <v>801</v>
      </c>
      <c r="I1308" s="10"/>
      <c r="J1308" s="107">
        <f>SUMIF(Data!C:C,G1308,Data!Q:Q)</f>
        <v>0</v>
      </c>
      <c r="K1308" s="107">
        <f>SUMIF(Comprometidos!A:A,'Cost Report'!G1308,Comprometidos!E:E)</f>
        <v>0</v>
      </c>
      <c r="L1308" s="107">
        <f t="shared" si="540"/>
        <v>0</v>
      </c>
      <c r="M1308" s="107">
        <f t="shared" si="541"/>
        <v>0</v>
      </c>
      <c r="N1308" s="107">
        <f t="shared" si="542"/>
        <v>0</v>
      </c>
      <c r="O1308" s="107">
        <f>VLOOKUP(G1308,Budget!$E$3:$G$2474,3,0)</f>
        <v>0</v>
      </c>
      <c r="P1308" s="107">
        <f t="shared" si="543"/>
        <v>0</v>
      </c>
      <c r="Q1308" s="107"/>
      <c r="R1308" s="10"/>
      <c r="S1308" s="107">
        <v>0</v>
      </c>
      <c r="T1308" s="107">
        <f t="shared" si="551"/>
        <v>0</v>
      </c>
      <c r="U1308" s="107"/>
      <c r="V1308" s="175"/>
      <c r="W1308" s="10"/>
      <c r="X1308" s="10"/>
      <c r="Y1308" t="str">
        <f t="shared" si="558"/>
        <v>3102</v>
      </c>
      <c r="AB1308" s="10"/>
      <c r="AC1308" s="10"/>
      <c r="AD1308" s="10"/>
      <c r="AE1308" s="10"/>
      <c r="AF1308" s="10"/>
      <c r="AG1308" s="10"/>
      <c r="AH1308" s="10"/>
      <c r="AI1308" s="10"/>
    </row>
    <row r="1309" spans="1:35">
      <c r="A1309" s="10"/>
      <c r="B1309" s="10" t="str">
        <f t="shared" si="557"/>
        <v>Below the LinePREP</v>
      </c>
      <c r="C1309" t="s">
        <v>20</v>
      </c>
      <c r="D1309" t="s">
        <v>19</v>
      </c>
      <c r="E1309" t="s">
        <v>234</v>
      </c>
      <c r="G1309" t="s">
        <v>802</v>
      </c>
      <c r="I1309" s="10"/>
      <c r="J1309" s="107">
        <f>SUMIF(Data!C:C,G1309,Data!Q:Q)</f>
        <v>13125</v>
      </c>
      <c r="K1309" s="107">
        <f>SUMIF(Comprometidos!A:A,'Cost Report'!G1309,Comprometidos!E:E)</f>
        <v>0</v>
      </c>
      <c r="L1309" s="107">
        <f t="shared" si="540"/>
        <v>13125</v>
      </c>
      <c r="M1309" s="107">
        <f t="shared" si="541"/>
        <v>0</v>
      </c>
      <c r="N1309" s="107">
        <f t="shared" si="542"/>
        <v>13125</v>
      </c>
      <c r="O1309" s="107">
        <f>VLOOKUP(G1309,Budget!$E$3:$G$2474,3,0)</f>
        <v>13125</v>
      </c>
      <c r="P1309" s="107">
        <f t="shared" si="543"/>
        <v>0</v>
      </c>
      <c r="Q1309" s="107"/>
      <c r="R1309" s="10"/>
      <c r="S1309" s="107">
        <v>13125</v>
      </c>
      <c r="T1309" s="107">
        <f t="shared" si="551"/>
        <v>0</v>
      </c>
      <c r="U1309" s="107"/>
      <c r="V1309" s="175"/>
      <c r="W1309" s="10"/>
      <c r="X1309" s="10"/>
      <c r="Y1309" t="str">
        <f t="shared" si="558"/>
        <v>3102</v>
      </c>
      <c r="AB1309" s="10"/>
      <c r="AC1309" s="10"/>
      <c r="AD1309" s="10"/>
      <c r="AE1309" s="10"/>
      <c r="AF1309" s="10"/>
      <c r="AG1309" s="10"/>
      <c r="AH1309" s="10"/>
      <c r="AI1309" s="10"/>
    </row>
    <row r="1310" spans="1:35">
      <c r="A1310" s="10"/>
      <c r="B1310" s="10" t="str">
        <f t="shared" si="557"/>
        <v>Below the LineSHOOT</v>
      </c>
      <c r="C1310" t="s">
        <v>20</v>
      </c>
      <c r="D1310" t="s">
        <v>19</v>
      </c>
      <c r="E1310" t="s">
        <v>236</v>
      </c>
      <c r="G1310" t="s">
        <v>803</v>
      </c>
      <c r="I1310" s="10"/>
      <c r="J1310" s="107">
        <f>SUMIF(Data!C:C,G1310,Data!Q:Q)</f>
        <v>183750</v>
      </c>
      <c r="K1310" s="107">
        <f>SUMIF(Comprometidos!A:A,'Cost Report'!G1310,Comprometidos!E:E)</f>
        <v>0</v>
      </c>
      <c r="L1310" s="107">
        <f t="shared" si="540"/>
        <v>183750</v>
      </c>
      <c r="M1310" s="107">
        <f t="shared" si="541"/>
        <v>0</v>
      </c>
      <c r="N1310" s="107">
        <f t="shared" si="542"/>
        <v>183750</v>
      </c>
      <c r="O1310" s="107">
        <f>VLOOKUP(G1310,Budget!$E$3:$G$2474,3,0)</f>
        <v>183750</v>
      </c>
      <c r="P1310" s="107">
        <f t="shared" si="543"/>
        <v>0</v>
      </c>
      <c r="Q1310" s="107"/>
      <c r="R1310" s="10"/>
      <c r="S1310" s="107">
        <v>183750</v>
      </c>
      <c r="T1310" s="107">
        <f t="shared" si="551"/>
        <v>0</v>
      </c>
      <c r="U1310" s="107"/>
      <c r="V1310" s="175"/>
      <c r="W1310" s="10"/>
      <c r="X1310" s="10"/>
      <c r="Y1310" t="str">
        <f t="shared" si="558"/>
        <v>3102</v>
      </c>
      <c r="AB1310" s="10"/>
      <c r="AC1310" s="10"/>
      <c r="AD1310" s="10"/>
      <c r="AE1310" s="10"/>
      <c r="AF1310" s="10"/>
      <c r="AG1310" s="10"/>
      <c r="AH1310" s="10"/>
      <c r="AI1310" s="10"/>
    </row>
    <row r="1311" spans="1:35">
      <c r="A1311" s="10"/>
      <c r="B1311" s="10" t="str">
        <f t="shared" si="557"/>
        <v>Below the LineWRAP</v>
      </c>
      <c r="C1311" t="s">
        <v>20</v>
      </c>
      <c r="D1311" t="s">
        <v>19</v>
      </c>
      <c r="E1311" t="s">
        <v>238</v>
      </c>
      <c r="G1311" t="s">
        <v>804</v>
      </c>
      <c r="I1311" s="10"/>
      <c r="J1311" s="107">
        <f>SUMIF(Data!C:C,G1311,Data!Q:Q)</f>
        <v>0</v>
      </c>
      <c r="K1311" s="107">
        <f>SUMIF(Comprometidos!A:A,'Cost Report'!G1311,Comprometidos!E:E)</f>
        <v>0</v>
      </c>
      <c r="L1311" s="107">
        <f t="shared" si="540"/>
        <v>0</v>
      </c>
      <c r="M1311" s="107">
        <f t="shared" si="541"/>
        <v>0</v>
      </c>
      <c r="N1311" s="107">
        <f t="shared" si="542"/>
        <v>0</v>
      </c>
      <c r="O1311" s="107">
        <f>VLOOKUP(G1311,Budget!$E$3:$G$2474,3,0)</f>
        <v>0</v>
      </c>
      <c r="P1311" s="107">
        <f t="shared" si="543"/>
        <v>0</v>
      </c>
      <c r="Q1311" s="107"/>
      <c r="R1311" s="10"/>
      <c r="S1311" s="107">
        <v>0</v>
      </c>
      <c r="T1311" s="107">
        <f t="shared" si="551"/>
        <v>0</v>
      </c>
      <c r="U1311" s="107"/>
      <c r="V1311" s="175"/>
      <c r="W1311" s="10"/>
      <c r="X1311" s="10"/>
      <c r="Y1311" t="str">
        <f t="shared" si="558"/>
        <v>3102</v>
      </c>
      <c r="AB1311" s="10"/>
      <c r="AC1311" s="10"/>
      <c r="AD1311" s="10"/>
      <c r="AE1311" s="10"/>
      <c r="AF1311" s="10"/>
      <c r="AG1311" s="10"/>
      <c r="AH1311" s="10"/>
      <c r="AI1311" s="10"/>
    </row>
    <row r="1312" spans="1:35">
      <c r="A1312" s="10"/>
      <c r="B1312" s="10" t="str">
        <f t="shared" si="557"/>
        <v>Below the Line</v>
      </c>
      <c r="C1312" t="s">
        <v>20</v>
      </c>
      <c r="D1312" t="s">
        <v>19</v>
      </c>
      <c r="E1312" t="s">
        <v>214</v>
      </c>
      <c r="G1312" t="s">
        <v>805</v>
      </c>
      <c r="I1312" s="10"/>
      <c r="J1312" s="107">
        <f>SUMIF(Data!C:C,G1312,Data!Q:Q)</f>
        <v>0</v>
      </c>
      <c r="K1312" s="107">
        <f>SUMIF(Comprometidos!A:A,'Cost Report'!G1312,Comprometidos!E:E)</f>
        <v>0</v>
      </c>
      <c r="L1312" s="107">
        <f t="shared" si="540"/>
        <v>0</v>
      </c>
      <c r="M1312" s="107">
        <f t="shared" si="541"/>
        <v>0</v>
      </c>
      <c r="N1312" s="107">
        <f t="shared" si="542"/>
        <v>0</v>
      </c>
      <c r="O1312" s="107">
        <f>VLOOKUP(G1312,Budget!$E$3:$G$2474,3,0)</f>
        <v>0</v>
      </c>
      <c r="P1312" s="107">
        <f t="shared" si="543"/>
        <v>0</v>
      </c>
      <c r="Q1312" s="107"/>
      <c r="R1312" s="10"/>
      <c r="S1312" s="107">
        <v>0</v>
      </c>
      <c r="T1312" s="107">
        <f t="shared" si="551"/>
        <v>0</v>
      </c>
      <c r="U1312" s="107"/>
      <c r="V1312" s="175"/>
      <c r="W1312" s="10"/>
      <c r="X1312" s="10"/>
      <c r="Y1312" t="str">
        <f t="shared" si="558"/>
        <v>3102</v>
      </c>
      <c r="AB1312" s="10"/>
      <c r="AC1312" s="10"/>
      <c r="AD1312" s="10"/>
      <c r="AE1312" s="10"/>
      <c r="AF1312" s="10"/>
      <c r="AG1312" s="10"/>
      <c r="AH1312" s="10"/>
      <c r="AI1312" s="10"/>
    </row>
    <row r="1313" spans="1:35">
      <c r="A1313" s="10"/>
      <c r="B1313" s="10" t="str">
        <f t="shared" si="557"/>
        <v>Below the Line2nd Unit</v>
      </c>
      <c r="C1313" t="s">
        <v>20</v>
      </c>
      <c r="D1313" t="s">
        <v>19</v>
      </c>
      <c r="E1313" t="s">
        <v>1419</v>
      </c>
      <c r="G1313" t="s">
        <v>1820</v>
      </c>
      <c r="I1313" s="10"/>
      <c r="J1313" s="107">
        <f>SUMIF(Data!C:C,G1313,Data!Q:Q)</f>
        <v>13000</v>
      </c>
      <c r="K1313" s="107">
        <f>SUMIF(Comprometidos!A:A,'Cost Report'!G1313,Comprometidos!E:E)</f>
        <v>0</v>
      </c>
      <c r="L1313" s="107">
        <f t="shared" si="540"/>
        <v>13000</v>
      </c>
      <c r="M1313" s="107">
        <v>0</v>
      </c>
      <c r="N1313" s="107">
        <f t="shared" si="542"/>
        <v>13000</v>
      </c>
      <c r="O1313" s="107">
        <f>VLOOKUP(G1313,Budget!$E$3:$G$2474,3,0)</f>
        <v>13125</v>
      </c>
      <c r="P1313" s="107">
        <f t="shared" si="543"/>
        <v>125</v>
      </c>
      <c r="Q1313" s="107"/>
      <c r="R1313" s="10"/>
      <c r="S1313" s="107">
        <v>13000</v>
      </c>
      <c r="T1313" s="107">
        <f t="shared" si="551"/>
        <v>0</v>
      </c>
      <c r="U1313" s="107"/>
      <c r="V1313" s="175"/>
      <c r="W1313" s="10"/>
      <c r="X1313" s="10"/>
      <c r="Y1313" t="str">
        <f t="shared" si="558"/>
        <v>3102</v>
      </c>
      <c r="AB1313" s="10"/>
      <c r="AC1313" s="10"/>
      <c r="AD1313" s="10"/>
      <c r="AE1313" s="10"/>
      <c r="AF1313" s="10"/>
      <c r="AG1313" s="10"/>
      <c r="AH1313" s="10"/>
      <c r="AI1313" s="10"/>
    </row>
    <row r="1314" spans="1:35">
      <c r="A1314" s="10"/>
      <c r="B1314" s="10" t="str">
        <f t="shared" si="557"/>
        <v>Below the Line2nd Unit</v>
      </c>
      <c r="C1314" t="s">
        <v>20</v>
      </c>
      <c r="D1314" t="s">
        <v>19</v>
      </c>
      <c r="E1314" t="s">
        <v>1419</v>
      </c>
      <c r="G1314" t="s">
        <v>1821</v>
      </c>
      <c r="I1314" s="10"/>
      <c r="J1314" s="107">
        <f>SUMIF(Data!C:C,G1314,Data!Q:Q)</f>
        <v>52000</v>
      </c>
      <c r="K1314" s="107">
        <f>SUMIF(Comprometidos!A:A,'Cost Report'!G1314,Comprometidos!E:E)</f>
        <v>0</v>
      </c>
      <c r="L1314" s="107">
        <f t="shared" si="540"/>
        <v>52000</v>
      </c>
      <c r="M1314" s="107">
        <v>0</v>
      </c>
      <c r="N1314" s="107">
        <f t="shared" si="542"/>
        <v>52000</v>
      </c>
      <c r="O1314" s="107">
        <f>VLOOKUP(G1314,Budget!$E$3:$G$2474,3,0)</f>
        <v>52500</v>
      </c>
      <c r="P1314" s="107">
        <f t="shared" si="543"/>
        <v>500</v>
      </c>
      <c r="Q1314" s="107"/>
      <c r="R1314" s="10"/>
      <c r="S1314" s="107">
        <v>52000</v>
      </c>
      <c r="T1314" s="107">
        <f t="shared" si="551"/>
        <v>0</v>
      </c>
      <c r="U1314" s="107"/>
      <c r="V1314" s="175"/>
      <c r="W1314" s="10"/>
      <c r="X1314" s="10"/>
      <c r="Y1314" t="str">
        <f t="shared" si="558"/>
        <v>3102</v>
      </c>
      <c r="AB1314" s="10"/>
      <c r="AC1314" s="10"/>
      <c r="AD1314" s="10"/>
      <c r="AE1314" s="10"/>
      <c r="AF1314" s="10"/>
      <c r="AG1314" s="10"/>
      <c r="AH1314" s="10"/>
      <c r="AI1314" s="10"/>
    </row>
    <row r="1315" spans="1:35">
      <c r="A1315" s="10"/>
      <c r="B1315" s="10" t="str">
        <f t="shared" si="557"/>
        <v>Below the Line</v>
      </c>
      <c r="C1315" t="s">
        <v>20</v>
      </c>
      <c r="D1315" t="s">
        <v>19</v>
      </c>
      <c r="E1315" t="s">
        <v>214</v>
      </c>
      <c r="G1315" t="s">
        <v>2660</v>
      </c>
      <c r="I1315" s="10"/>
      <c r="J1315" s="107">
        <f>SUMIF(Data!C:C,G1315,Data!Q:Q)</f>
        <v>0</v>
      </c>
      <c r="K1315" s="107">
        <f>SUMIF(Comprometidos!A:A,'Cost Report'!G1315,Comprometidos!E:E)</f>
        <v>0</v>
      </c>
      <c r="L1315" s="107">
        <f t="shared" si="540"/>
        <v>0</v>
      </c>
      <c r="M1315" s="107">
        <f t="shared" si="541"/>
        <v>0</v>
      </c>
      <c r="N1315" s="107">
        <f t="shared" si="542"/>
        <v>0</v>
      </c>
      <c r="O1315" s="107">
        <f>VLOOKUP(G1315,Budget!$E$3:$G$2474,3,0)</f>
        <v>0</v>
      </c>
      <c r="P1315" s="107">
        <f t="shared" si="543"/>
        <v>0</v>
      </c>
      <c r="Q1315" s="107"/>
      <c r="R1315" s="10"/>
      <c r="S1315" s="107">
        <v>0</v>
      </c>
      <c r="T1315" s="107">
        <f t="shared" si="551"/>
        <v>0</v>
      </c>
      <c r="U1315" s="107"/>
      <c r="V1315" s="175"/>
      <c r="W1315" s="10"/>
      <c r="X1315" s="10"/>
      <c r="Y1315" t="str">
        <f t="shared" si="558"/>
        <v>3102</v>
      </c>
      <c r="AB1315" s="10"/>
      <c r="AC1315" s="10"/>
      <c r="AD1315" s="10"/>
      <c r="AE1315" s="10"/>
      <c r="AF1315" s="10"/>
      <c r="AG1315" s="10"/>
      <c r="AH1315" s="10"/>
      <c r="AI1315" s="10"/>
    </row>
    <row r="1316" spans="1:35">
      <c r="A1316" s="10"/>
      <c r="B1316" s="10" t="str">
        <f t="shared" si="557"/>
        <v>Below the Line2nd Unit</v>
      </c>
      <c r="C1316" t="s">
        <v>20</v>
      </c>
      <c r="D1316" t="s">
        <v>19</v>
      </c>
      <c r="E1316" t="s">
        <v>1419</v>
      </c>
      <c r="G1316" t="s">
        <v>2661</v>
      </c>
      <c r="I1316" s="10"/>
      <c r="J1316" s="107">
        <f>SUMIF(Data!C:C,G1316,Data!Q:Q)</f>
        <v>17500</v>
      </c>
      <c r="K1316" s="107">
        <f>SUMIF(Comprometidos!A:A,'Cost Report'!G1316,Comprometidos!E:E)</f>
        <v>0</v>
      </c>
      <c r="L1316" s="107">
        <f t="shared" si="540"/>
        <v>17500</v>
      </c>
      <c r="M1316" s="107">
        <v>0</v>
      </c>
      <c r="N1316" s="107">
        <f t="shared" si="542"/>
        <v>17500</v>
      </c>
      <c r="O1316" s="107">
        <f>VLOOKUP(G1316,Budget!$E$3:$G$2474,3,0)</f>
        <v>13125</v>
      </c>
      <c r="P1316" s="107">
        <f t="shared" si="543"/>
        <v>-4375</v>
      </c>
      <c r="Q1316" s="107"/>
      <c r="R1316" s="10"/>
      <c r="S1316" s="107">
        <v>17500</v>
      </c>
      <c r="T1316" s="107">
        <f t="shared" si="551"/>
        <v>0</v>
      </c>
      <c r="U1316" s="107"/>
      <c r="V1316" s="175"/>
      <c r="W1316" s="10"/>
      <c r="X1316" s="10"/>
      <c r="Y1316" t="str">
        <f t="shared" si="558"/>
        <v>3102</v>
      </c>
      <c r="AB1316" s="10"/>
      <c r="AC1316" s="10"/>
      <c r="AD1316" s="10"/>
      <c r="AE1316" s="10"/>
      <c r="AF1316" s="10"/>
      <c r="AG1316" s="10"/>
      <c r="AH1316" s="10"/>
      <c r="AI1316" s="10"/>
    </row>
    <row r="1317" spans="1:35">
      <c r="A1317" s="10"/>
      <c r="B1317" s="10" t="str">
        <f t="shared" si="557"/>
        <v>Below the Line2nd Unit</v>
      </c>
      <c r="C1317" t="s">
        <v>20</v>
      </c>
      <c r="D1317" t="s">
        <v>19</v>
      </c>
      <c r="E1317" t="s">
        <v>1419</v>
      </c>
      <c r="G1317" t="s">
        <v>2662</v>
      </c>
      <c r="I1317" s="10"/>
      <c r="J1317" s="107">
        <f>SUMIF(Data!C:C,G1317,Data!Q:Q)</f>
        <v>52500</v>
      </c>
      <c r="K1317" s="107">
        <f>SUMIF(Comprometidos!A:A,'Cost Report'!G1317,Comprometidos!E:E)</f>
        <v>0</v>
      </c>
      <c r="L1317" s="107">
        <f t="shared" si="540"/>
        <v>52500</v>
      </c>
      <c r="M1317" s="107">
        <f t="shared" si="541"/>
        <v>0</v>
      </c>
      <c r="N1317" s="107">
        <f t="shared" si="542"/>
        <v>52500</v>
      </c>
      <c r="O1317" s="107">
        <f>VLOOKUP(G1317,Budget!$E$3:$G$2474,3,0)</f>
        <v>52500</v>
      </c>
      <c r="P1317" s="107">
        <f t="shared" si="543"/>
        <v>0</v>
      </c>
      <c r="Q1317" s="107"/>
      <c r="R1317" s="10"/>
      <c r="S1317" s="107">
        <v>52500</v>
      </c>
      <c r="T1317" s="107">
        <f t="shared" si="551"/>
        <v>0</v>
      </c>
      <c r="U1317" s="107"/>
      <c r="V1317" s="175"/>
      <c r="W1317" s="10"/>
      <c r="X1317" s="10"/>
      <c r="Y1317" t="str">
        <f t="shared" si="558"/>
        <v>3102</v>
      </c>
      <c r="AB1317" s="10"/>
      <c r="AC1317" s="10"/>
      <c r="AD1317" s="10"/>
      <c r="AE1317" s="10"/>
      <c r="AF1317" s="10"/>
      <c r="AG1317" s="10"/>
      <c r="AH1317" s="10"/>
      <c r="AI1317" s="10"/>
    </row>
    <row r="1318" spans="1:35">
      <c r="A1318" s="10"/>
      <c r="B1318" s="10" t="str">
        <f t="shared" si="557"/>
        <v>Below the Line</v>
      </c>
      <c r="C1318" t="s">
        <v>20</v>
      </c>
      <c r="D1318" t="s">
        <v>19</v>
      </c>
      <c r="E1318" t="s">
        <v>214</v>
      </c>
      <c r="G1318" t="s">
        <v>2663</v>
      </c>
      <c r="I1318" s="10"/>
      <c r="J1318" s="107">
        <f>SUMIF(Data!C:C,G1318,Data!Q:Q)</f>
        <v>0</v>
      </c>
      <c r="K1318" s="107">
        <f>SUMIF(Comprometidos!A:A,'Cost Report'!G1318,Comprometidos!E:E)</f>
        <v>0</v>
      </c>
      <c r="L1318" s="107">
        <f t="shared" si="540"/>
        <v>0</v>
      </c>
      <c r="M1318" s="107">
        <f t="shared" si="541"/>
        <v>0</v>
      </c>
      <c r="N1318" s="107">
        <f t="shared" si="542"/>
        <v>0</v>
      </c>
      <c r="O1318" s="107">
        <f>VLOOKUP(G1318,Budget!$E$3:$G$2474,3,0)</f>
        <v>0</v>
      </c>
      <c r="P1318" s="107">
        <f t="shared" si="543"/>
        <v>0</v>
      </c>
      <c r="Q1318" s="107"/>
      <c r="R1318" s="10"/>
      <c r="S1318" s="107">
        <v>0</v>
      </c>
      <c r="T1318" s="107">
        <f t="shared" si="551"/>
        <v>0</v>
      </c>
      <c r="U1318" s="107"/>
      <c r="V1318" s="175"/>
      <c r="W1318" s="10"/>
      <c r="X1318" s="10"/>
      <c r="Y1318" t="str">
        <f t="shared" si="558"/>
        <v>3102</v>
      </c>
      <c r="AB1318" s="10"/>
      <c r="AC1318" s="10"/>
      <c r="AD1318" s="10"/>
      <c r="AE1318" s="10"/>
      <c r="AF1318" s="10"/>
      <c r="AG1318" s="10"/>
      <c r="AH1318" s="10"/>
      <c r="AI1318" s="10"/>
    </row>
    <row r="1319" spans="1:35">
      <c r="A1319" s="10"/>
      <c r="B1319" s="10" t="str">
        <f t="shared" si="557"/>
        <v>Below the LineSHOOT</v>
      </c>
      <c r="C1319" t="s">
        <v>20</v>
      </c>
      <c r="D1319" t="s">
        <v>19</v>
      </c>
      <c r="E1319" t="s">
        <v>236</v>
      </c>
      <c r="G1319" t="s">
        <v>2664</v>
      </c>
      <c r="I1319" s="10"/>
      <c r="J1319" s="107">
        <f>SUMIF(Data!C:C,G1319,Data!Q:Q)</f>
        <v>93333.32</v>
      </c>
      <c r="K1319" s="107">
        <f>SUMIF(Comprometidos!A:A,'Cost Report'!G1319,Comprometidos!E:E)</f>
        <v>0</v>
      </c>
      <c r="L1319" s="107">
        <f t="shared" si="540"/>
        <v>93333.32</v>
      </c>
      <c r="M1319" s="107">
        <v>0</v>
      </c>
      <c r="N1319" s="107">
        <f t="shared" si="542"/>
        <v>93333.32</v>
      </c>
      <c r="O1319" s="107">
        <f>VLOOKUP(G1319,Budget!$E$3:$G$2474,3,0)</f>
        <v>75833.289999999994</v>
      </c>
      <c r="P1319" s="107">
        <f t="shared" si="543"/>
        <v>-17500.030000000013</v>
      </c>
      <c r="Q1319" s="107"/>
      <c r="R1319" s="10"/>
      <c r="S1319" s="107">
        <v>93333.32</v>
      </c>
      <c r="T1319" s="107">
        <f t="shared" si="551"/>
        <v>0</v>
      </c>
      <c r="U1319" s="107"/>
      <c r="V1319" s="175"/>
      <c r="W1319" s="10"/>
      <c r="X1319" s="10"/>
      <c r="Y1319" t="str">
        <f t="shared" si="558"/>
        <v>3102</v>
      </c>
      <c r="AB1319" s="10"/>
      <c r="AC1319" s="10"/>
      <c r="AD1319" s="10"/>
      <c r="AE1319" s="10"/>
      <c r="AF1319" s="10"/>
      <c r="AG1319" s="10"/>
      <c r="AH1319" s="10"/>
      <c r="AI1319" s="10"/>
    </row>
    <row r="1320" spans="1:35">
      <c r="A1320" s="10"/>
      <c r="B1320" s="10" t="str">
        <f t="shared" si="557"/>
        <v>Below the Line</v>
      </c>
      <c r="C1320" t="s">
        <v>20</v>
      </c>
      <c r="D1320" t="s">
        <v>19</v>
      </c>
      <c r="E1320" t="s">
        <v>214</v>
      </c>
      <c r="G1320" t="s">
        <v>2665</v>
      </c>
      <c r="I1320" s="10"/>
      <c r="J1320" s="107">
        <f>SUMIF(Data!C:C,G1320,Data!Q:Q)</f>
        <v>0</v>
      </c>
      <c r="K1320" s="107">
        <f>SUMIF(Comprometidos!A:A,'Cost Report'!G1320,Comprometidos!E:E)</f>
        <v>0</v>
      </c>
      <c r="L1320" s="107">
        <f t="shared" si="540"/>
        <v>0</v>
      </c>
      <c r="M1320" s="107">
        <f t="shared" si="541"/>
        <v>0</v>
      </c>
      <c r="N1320" s="107">
        <f t="shared" si="542"/>
        <v>0</v>
      </c>
      <c r="O1320" s="107">
        <f>VLOOKUP(G1320,Budget!$E$3:$G$2474,3,0)</f>
        <v>0</v>
      </c>
      <c r="P1320" s="107">
        <f t="shared" si="543"/>
        <v>0</v>
      </c>
      <c r="Q1320" s="107"/>
      <c r="R1320" s="10"/>
      <c r="S1320" s="107">
        <v>0</v>
      </c>
      <c r="T1320" s="107">
        <f t="shared" si="551"/>
        <v>0</v>
      </c>
      <c r="U1320" s="107"/>
      <c r="V1320" s="175"/>
      <c r="W1320" s="10"/>
      <c r="X1320" s="10"/>
      <c r="Y1320" t="str">
        <f t="shared" si="558"/>
        <v>3102</v>
      </c>
      <c r="AB1320" s="10"/>
      <c r="AC1320" s="10"/>
      <c r="AD1320" s="10"/>
      <c r="AE1320" s="10"/>
      <c r="AF1320" s="10"/>
      <c r="AG1320" s="10"/>
      <c r="AH1320" s="10"/>
      <c r="AI1320" s="10"/>
    </row>
    <row r="1321" spans="1:35">
      <c r="A1321" s="10"/>
      <c r="B1321" s="10" t="str">
        <f t="shared" si="557"/>
        <v>Below the LineSHOOT</v>
      </c>
      <c r="C1321" t="s">
        <v>20</v>
      </c>
      <c r="D1321" t="s">
        <v>19</v>
      </c>
      <c r="E1321" t="s">
        <v>236</v>
      </c>
      <c r="G1321" t="s">
        <v>2666</v>
      </c>
      <c r="I1321" s="10"/>
      <c r="J1321" s="107">
        <f>SUMIF(Data!C:C,G1321,Data!Q:Q)</f>
        <v>4375</v>
      </c>
      <c r="K1321" s="107">
        <f>SUMIF(Comprometidos!A:A,'Cost Report'!G1321,Comprometidos!E:E)</f>
        <v>0</v>
      </c>
      <c r="L1321" s="107">
        <f t="shared" si="540"/>
        <v>4375</v>
      </c>
      <c r="M1321" s="107">
        <v>0</v>
      </c>
      <c r="N1321" s="107">
        <f t="shared" si="542"/>
        <v>4375</v>
      </c>
      <c r="O1321" s="107">
        <f>VLOOKUP(G1321,Budget!$E$3:$G$2474,3,0)</f>
        <v>4375</v>
      </c>
      <c r="P1321" s="107">
        <f t="shared" si="543"/>
        <v>0</v>
      </c>
      <c r="Q1321" s="107"/>
      <c r="R1321" s="10"/>
      <c r="S1321" s="107">
        <v>4375</v>
      </c>
      <c r="T1321" s="107">
        <f t="shared" si="551"/>
        <v>0</v>
      </c>
      <c r="U1321" s="107"/>
      <c r="V1321" s="175"/>
      <c r="W1321" s="10"/>
      <c r="X1321" s="10"/>
      <c r="Y1321" t="str">
        <f t="shared" si="558"/>
        <v>3102</v>
      </c>
      <c r="AB1321" s="10"/>
      <c r="AC1321" s="10"/>
      <c r="AD1321" s="10"/>
      <c r="AE1321" s="10"/>
      <c r="AF1321" s="10"/>
      <c r="AG1321" s="10"/>
      <c r="AH1321" s="10"/>
      <c r="AI1321" s="10"/>
    </row>
    <row r="1322" spans="1:35">
      <c r="A1322" s="10"/>
      <c r="B1322" s="10" t="str">
        <f t="shared" si="557"/>
        <v>Below the LineSHOOT</v>
      </c>
      <c r="C1322" t="s">
        <v>20</v>
      </c>
      <c r="D1322" t="s">
        <v>19</v>
      </c>
      <c r="E1322" t="s">
        <v>236</v>
      </c>
      <c r="G1322" t="s">
        <v>3404</v>
      </c>
      <c r="I1322" s="10"/>
      <c r="J1322" s="107">
        <f>SUMIF(Data!C:C,G1322,Data!Q:Q)</f>
        <v>21666.66</v>
      </c>
      <c r="K1322" s="107">
        <f>SUMIF(Comprometidos!A:A,'Cost Report'!G1322,Comprometidos!E:E)</f>
        <v>0</v>
      </c>
      <c r="L1322" s="107">
        <f t="shared" ref="L1322" si="559">+J1322+K1322</f>
        <v>21666.66</v>
      </c>
      <c r="M1322" s="107">
        <v>0</v>
      </c>
      <c r="N1322" s="107">
        <f t="shared" ref="N1322" si="560">+L1322+M1322</f>
        <v>21666.66</v>
      </c>
      <c r="O1322" s="107">
        <f>VLOOKUP(G1322,Budget!$E$3:$G$2474,3,0)</f>
        <v>0</v>
      </c>
      <c r="P1322" s="107">
        <f t="shared" ref="P1322" si="561">+O1322-N1322</f>
        <v>-21666.66</v>
      </c>
      <c r="Q1322" s="107"/>
      <c r="R1322" s="10"/>
      <c r="S1322" s="107">
        <v>21666.66</v>
      </c>
      <c r="T1322" s="107">
        <f t="shared" ref="T1322" si="562">+S1322-N1322</f>
        <v>0</v>
      </c>
      <c r="U1322" s="107"/>
      <c r="V1322" s="175"/>
      <c r="W1322" s="10"/>
      <c r="X1322" s="10"/>
      <c r="Y1322" t="str">
        <f t="shared" ref="Y1322" si="563">LEFT(G1322,4)</f>
        <v>3102</v>
      </c>
      <c r="AB1322" s="10"/>
      <c r="AC1322" s="10"/>
      <c r="AD1322" s="10"/>
      <c r="AE1322" s="10"/>
      <c r="AF1322" s="10"/>
      <c r="AG1322" s="10"/>
      <c r="AH1322" s="10"/>
      <c r="AI1322" s="10"/>
    </row>
    <row r="1323" spans="1:35">
      <c r="A1323" s="10"/>
      <c r="B1323" s="10" t="str">
        <f>+C1323</f>
        <v>Below the Line</v>
      </c>
      <c r="C1323" s="128" t="s">
        <v>20</v>
      </c>
      <c r="D1323" s="128" t="s">
        <v>2117</v>
      </c>
      <c r="E1323" s="128"/>
      <c r="F1323" s="128"/>
      <c r="G1323" s="128" t="s">
        <v>806</v>
      </c>
      <c r="H1323" s="128"/>
      <c r="I1323" s="10"/>
      <c r="J1323" s="129">
        <f>SUMIF($Y$11:$Y$2484,G1323,J$11:J$2484)</f>
        <v>467123.12</v>
      </c>
      <c r="K1323" s="129">
        <f>SUMIF($Y$11:$Y$2484,G1323,K$11:K$2484)</f>
        <v>0</v>
      </c>
      <c r="L1323" s="129">
        <f>SUMIF($Y$11:$Y$2484,G1323,L$11:L$2484)</f>
        <v>467123.12</v>
      </c>
      <c r="M1323" s="129">
        <f>SUMIF($Y$11:$Y$2484,G1323,M$11:M$2484)</f>
        <v>0</v>
      </c>
      <c r="N1323" s="129">
        <f>SUMIF($Y$11:$Y$2484,G1323,N$11:N$2484)</f>
        <v>467123.12</v>
      </c>
      <c r="O1323" s="129">
        <f>SUMIF($Y$11:$Y$2484,G1323,O$11:O$2484)</f>
        <v>490916.62</v>
      </c>
      <c r="P1323" s="129">
        <f>SUMIF($Y$11:$Y$2484,G1323,P$11:P$2484)</f>
        <v>23793.5</v>
      </c>
      <c r="Q1323" s="129"/>
      <c r="R1323" s="10"/>
      <c r="S1323" s="129">
        <v>467123.12</v>
      </c>
      <c r="T1323" s="129">
        <f t="shared" si="551"/>
        <v>0</v>
      </c>
      <c r="U1323" s="128"/>
      <c r="V1323" s="175"/>
      <c r="W1323" s="10"/>
      <c r="X1323" s="10"/>
      <c r="Z1323" t="str">
        <f>LEFT(G1323,2)</f>
        <v>31</v>
      </c>
      <c r="AA1323" t="str">
        <f>+Z1323&amp;"00"</f>
        <v>3100</v>
      </c>
      <c r="AB1323" s="10"/>
      <c r="AC1323" s="10"/>
      <c r="AD1323" s="10"/>
      <c r="AE1323" s="10"/>
      <c r="AF1323" s="10"/>
      <c r="AG1323" s="10"/>
      <c r="AH1323" s="10"/>
      <c r="AI1323" s="10"/>
    </row>
    <row r="1324" spans="1:35">
      <c r="A1324" s="10"/>
      <c r="B1324" s="10" t="str">
        <f t="shared" ref="B1324:B1340" si="564">+C1324&amp;E1324</f>
        <v>Below the Line</v>
      </c>
      <c r="C1324" t="s">
        <v>20</v>
      </c>
      <c r="D1324" t="s">
        <v>19</v>
      </c>
      <c r="E1324" t="s">
        <v>214</v>
      </c>
      <c r="F1324" t="s">
        <v>5396</v>
      </c>
      <c r="G1324" t="s">
        <v>807</v>
      </c>
      <c r="I1324" s="10"/>
      <c r="J1324" s="107">
        <f>SUMIF(Data!C:C,G1324,Data!Q:Q)</f>
        <v>0</v>
      </c>
      <c r="K1324" s="107">
        <f>SUMIF(Comprometidos!A:A,'Cost Report'!G1324,Comprometidos!E:E)</f>
        <v>0</v>
      </c>
      <c r="L1324" s="107">
        <f t="shared" ref="L1324:L1378" si="565">+J1324+K1324</f>
        <v>0</v>
      </c>
      <c r="M1324" s="107">
        <f t="shared" ref="M1324:M1377" si="566">+O1324-L1324</f>
        <v>0</v>
      </c>
      <c r="N1324" s="107">
        <f t="shared" ref="N1324:N1378" si="567">+L1324+M1324</f>
        <v>0</v>
      </c>
      <c r="O1324" s="107">
        <f>VLOOKUP(G1324,Budget!$E$3:$G$2474,3,0)</f>
        <v>0</v>
      </c>
      <c r="P1324" s="107">
        <f t="shared" ref="P1324:P1378" si="568">+O1324-N1324</f>
        <v>0</v>
      </c>
      <c r="Q1324" s="107"/>
      <c r="R1324" s="10"/>
      <c r="S1324" s="107">
        <v>0</v>
      </c>
      <c r="T1324" s="107">
        <f t="shared" si="551"/>
        <v>0</v>
      </c>
      <c r="U1324" s="107"/>
      <c r="V1324" s="175"/>
      <c r="W1324" s="10"/>
      <c r="X1324" s="10"/>
      <c r="Y1324" t="str">
        <f t="shared" ref="Y1324:Y1339" si="569">LEFT(G1324,4)</f>
        <v>3104</v>
      </c>
      <c r="AB1324" s="10"/>
      <c r="AC1324" s="10"/>
      <c r="AD1324" s="10"/>
      <c r="AE1324" s="10"/>
      <c r="AF1324" s="10"/>
      <c r="AG1324" s="10"/>
      <c r="AH1324" s="10"/>
      <c r="AI1324" s="10"/>
    </row>
    <row r="1325" spans="1:35">
      <c r="A1325" s="10"/>
      <c r="B1325" s="10" t="str">
        <f t="shared" si="564"/>
        <v>Below the LinePREP</v>
      </c>
      <c r="C1325" t="s">
        <v>20</v>
      </c>
      <c r="D1325" t="s">
        <v>19</v>
      </c>
      <c r="E1325" t="s">
        <v>234</v>
      </c>
      <c r="F1325" t="s">
        <v>5396</v>
      </c>
      <c r="G1325" t="s">
        <v>808</v>
      </c>
      <c r="I1325" s="10"/>
      <c r="J1325" s="107">
        <f>SUMIF(Data!C:C,G1325,Data!Q:Q)</f>
        <v>19706.5</v>
      </c>
      <c r="K1325" s="107">
        <f>SUMIF(Comprometidos!A:A,'Cost Report'!G1325,Comprometidos!E:E)</f>
        <v>0</v>
      </c>
      <c r="L1325" s="107">
        <f t="shared" si="565"/>
        <v>19706.5</v>
      </c>
      <c r="M1325" s="107">
        <v>0</v>
      </c>
      <c r="N1325" s="107">
        <f t="shared" si="567"/>
        <v>19706.5</v>
      </c>
      <c r="O1325" s="107">
        <f>VLOOKUP(G1325,Budget!$E$3:$G$2474,3,0)</f>
        <v>21500</v>
      </c>
      <c r="P1325" s="107">
        <f t="shared" si="568"/>
        <v>1793.5</v>
      </c>
      <c r="Q1325" s="107"/>
      <c r="R1325" s="10"/>
      <c r="S1325" s="107">
        <v>19706.5</v>
      </c>
      <c r="T1325" s="107">
        <f t="shared" si="551"/>
        <v>0</v>
      </c>
      <c r="U1325" s="107"/>
      <c r="V1325" s="175"/>
      <c r="W1325" s="10"/>
      <c r="X1325" s="10"/>
      <c r="Y1325" t="str">
        <f t="shared" si="569"/>
        <v>3104</v>
      </c>
      <c r="AB1325" s="10"/>
      <c r="AC1325" s="10"/>
      <c r="AD1325" s="10"/>
      <c r="AE1325" s="10"/>
      <c r="AF1325" s="10"/>
      <c r="AG1325" s="10"/>
      <c r="AH1325" s="10"/>
      <c r="AI1325" s="10"/>
    </row>
    <row r="1326" spans="1:35">
      <c r="A1326" s="10"/>
      <c r="B1326" s="10" t="str">
        <f t="shared" si="564"/>
        <v>Below the LineSHOOT</v>
      </c>
      <c r="C1326" t="s">
        <v>20</v>
      </c>
      <c r="D1326" t="s">
        <v>19</v>
      </c>
      <c r="E1326" t="s">
        <v>236</v>
      </c>
      <c r="F1326" t="s">
        <v>5396</v>
      </c>
      <c r="G1326" t="s">
        <v>809</v>
      </c>
      <c r="I1326" s="10"/>
      <c r="J1326" s="107">
        <f>SUMIF(Data!C:C,G1326,Data!Q:Q)</f>
        <v>157666.66</v>
      </c>
      <c r="K1326" s="107">
        <f>SUMIF(Comprometidos!A:A,'Cost Report'!G1326,Comprometidos!E:E)</f>
        <v>0</v>
      </c>
      <c r="L1326" s="107">
        <f t="shared" si="565"/>
        <v>157666.66</v>
      </c>
      <c r="M1326" s="107">
        <v>0</v>
      </c>
      <c r="N1326" s="107">
        <f t="shared" si="567"/>
        <v>157666.66</v>
      </c>
      <c r="O1326" s="107">
        <f>VLOOKUP(G1326,Budget!$E$3:$G$2474,3,0)</f>
        <v>150500</v>
      </c>
      <c r="P1326" s="107">
        <f t="shared" si="568"/>
        <v>-7166.6600000000035</v>
      </c>
      <c r="Q1326" s="107"/>
      <c r="R1326" s="10"/>
      <c r="S1326" s="107">
        <v>157666.66</v>
      </c>
      <c r="T1326" s="107">
        <f t="shared" si="551"/>
        <v>0</v>
      </c>
      <c r="U1326" s="107"/>
      <c r="V1326" s="175"/>
      <c r="W1326" s="10"/>
      <c r="X1326" s="10"/>
      <c r="Y1326" t="str">
        <f t="shared" si="569"/>
        <v>3104</v>
      </c>
      <c r="AB1326" s="10"/>
      <c r="AC1326" s="10"/>
      <c r="AD1326" s="10"/>
      <c r="AE1326" s="10"/>
      <c r="AF1326" s="10"/>
      <c r="AG1326" s="10"/>
      <c r="AH1326" s="10"/>
      <c r="AI1326" s="10"/>
    </row>
    <row r="1327" spans="1:35">
      <c r="A1327" s="10"/>
      <c r="B1327" s="10" t="str">
        <f t="shared" si="564"/>
        <v>Below the Line</v>
      </c>
      <c r="C1327" t="s">
        <v>20</v>
      </c>
      <c r="D1327" t="s">
        <v>19</v>
      </c>
      <c r="E1327" t="s">
        <v>214</v>
      </c>
      <c r="F1327" t="s">
        <v>5396</v>
      </c>
      <c r="G1327" t="s">
        <v>810</v>
      </c>
      <c r="I1327" s="10"/>
      <c r="J1327" s="107">
        <f>SUMIF(Data!C:C,G1327,Data!Q:Q)</f>
        <v>0</v>
      </c>
      <c r="K1327" s="107">
        <f>SUMIF(Comprometidos!A:A,'Cost Report'!G1327,Comprometidos!E:E)</f>
        <v>0</v>
      </c>
      <c r="L1327" s="107">
        <f t="shared" si="565"/>
        <v>0</v>
      </c>
      <c r="M1327" s="107">
        <f t="shared" si="566"/>
        <v>0</v>
      </c>
      <c r="N1327" s="107">
        <f t="shared" si="567"/>
        <v>0</v>
      </c>
      <c r="O1327" s="107">
        <f>VLOOKUP(G1327,Budget!$E$3:$G$2474,3,0)</f>
        <v>0</v>
      </c>
      <c r="P1327" s="107">
        <f t="shared" si="568"/>
        <v>0</v>
      </c>
      <c r="Q1327" s="107"/>
      <c r="R1327" s="10"/>
      <c r="S1327" s="107">
        <v>0</v>
      </c>
      <c r="T1327" s="107">
        <f t="shared" si="551"/>
        <v>0</v>
      </c>
      <c r="U1327" s="107"/>
      <c r="V1327" s="175"/>
      <c r="W1327" s="10"/>
      <c r="X1327" s="10"/>
      <c r="Y1327" t="str">
        <f t="shared" si="569"/>
        <v>3104</v>
      </c>
      <c r="AB1327" s="10"/>
      <c r="AC1327" s="10"/>
      <c r="AD1327" s="10"/>
      <c r="AE1327" s="10"/>
      <c r="AF1327" s="10"/>
      <c r="AG1327" s="10"/>
      <c r="AH1327" s="10"/>
      <c r="AI1327" s="10"/>
    </row>
    <row r="1328" spans="1:35">
      <c r="A1328" s="10"/>
      <c r="B1328" s="10" t="str">
        <f t="shared" si="564"/>
        <v>Below the LinePREP</v>
      </c>
      <c r="C1328" t="s">
        <v>20</v>
      </c>
      <c r="D1328" t="s">
        <v>19</v>
      </c>
      <c r="E1328" t="s">
        <v>234</v>
      </c>
      <c r="F1328" t="s">
        <v>5396</v>
      </c>
      <c r="G1328" t="s">
        <v>811</v>
      </c>
      <c r="I1328" s="10"/>
      <c r="J1328" s="107">
        <f>SUMIF(Data!C:C,G1328,Data!Q:Q)</f>
        <v>3583.33</v>
      </c>
      <c r="K1328" s="107">
        <f>SUMIF(Comprometidos!A:A,'Cost Report'!G1328,Comprometidos!E:E)</f>
        <v>0</v>
      </c>
      <c r="L1328" s="107">
        <f t="shared" si="565"/>
        <v>3583.33</v>
      </c>
      <c r="M1328" s="107">
        <v>0</v>
      </c>
      <c r="N1328" s="107">
        <f t="shared" si="567"/>
        <v>3583.33</v>
      </c>
      <c r="O1328" s="107">
        <f>VLOOKUP(G1328,Budget!$E$3:$G$2474,3,0)</f>
        <v>10750</v>
      </c>
      <c r="P1328" s="107">
        <f t="shared" si="568"/>
        <v>7166.67</v>
      </c>
      <c r="Q1328" s="107"/>
      <c r="R1328" s="10"/>
      <c r="S1328" s="107">
        <v>3583.33</v>
      </c>
      <c r="T1328" s="107">
        <f t="shared" si="551"/>
        <v>0</v>
      </c>
      <c r="U1328" s="107"/>
      <c r="V1328" s="175"/>
      <c r="W1328" s="10"/>
      <c r="X1328" s="10"/>
      <c r="Y1328" t="str">
        <f t="shared" si="569"/>
        <v>3104</v>
      </c>
      <c r="AB1328" s="10"/>
      <c r="AC1328" s="10"/>
      <c r="AD1328" s="10"/>
      <c r="AE1328" s="10"/>
      <c r="AF1328" s="10"/>
      <c r="AG1328" s="10"/>
      <c r="AH1328" s="10"/>
      <c r="AI1328" s="10"/>
    </row>
    <row r="1329" spans="1:35">
      <c r="A1329" s="10"/>
      <c r="B1329" s="10" t="str">
        <f t="shared" si="564"/>
        <v>Below the LineSHOOT</v>
      </c>
      <c r="C1329" t="s">
        <v>20</v>
      </c>
      <c r="D1329" t="s">
        <v>19</v>
      </c>
      <c r="E1329" t="s">
        <v>236</v>
      </c>
      <c r="F1329" t="s">
        <v>5396</v>
      </c>
      <c r="G1329" t="s">
        <v>812</v>
      </c>
      <c r="I1329" s="10"/>
      <c r="J1329" s="107">
        <f>SUMIF(Data!C:C,G1329,Data!Q:Q)</f>
        <v>150500</v>
      </c>
      <c r="K1329" s="107">
        <f>SUMIF(Comprometidos!A:A,'Cost Report'!G1329,Comprometidos!E:E)</f>
        <v>0</v>
      </c>
      <c r="L1329" s="107">
        <f t="shared" si="565"/>
        <v>150500</v>
      </c>
      <c r="M1329" s="107">
        <f t="shared" si="566"/>
        <v>0</v>
      </c>
      <c r="N1329" s="107">
        <f t="shared" si="567"/>
        <v>150500</v>
      </c>
      <c r="O1329" s="107">
        <f>VLOOKUP(G1329,Budget!$E$3:$G$2474,3,0)</f>
        <v>150500</v>
      </c>
      <c r="P1329" s="107">
        <f t="shared" si="568"/>
        <v>0</v>
      </c>
      <c r="Q1329" s="107"/>
      <c r="R1329" s="10"/>
      <c r="S1329" s="107">
        <v>150500</v>
      </c>
      <c r="T1329" s="107">
        <f t="shared" si="551"/>
        <v>0</v>
      </c>
      <c r="U1329" s="107"/>
      <c r="V1329" s="175"/>
      <c r="W1329" s="10"/>
      <c r="X1329" s="10"/>
      <c r="Y1329" t="str">
        <f t="shared" si="569"/>
        <v>3104</v>
      </c>
      <c r="AB1329" s="10"/>
      <c r="AC1329" s="10"/>
      <c r="AD1329" s="10"/>
      <c r="AE1329" s="10"/>
      <c r="AF1329" s="10"/>
      <c r="AG1329" s="10"/>
      <c r="AH1329" s="10"/>
      <c r="AI1329" s="10"/>
    </row>
    <row r="1330" spans="1:35">
      <c r="A1330" s="10"/>
      <c r="B1330" s="10" t="str">
        <f t="shared" si="564"/>
        <v>Below the Line</v>
      </c>
      <c r="C1330" t="s">
        <v>20</v>
      </c>
      <c r="D1330" t="s">
        <v>19</v>
      </c>
      <c r="E1330" t="s">
        <v>214</v>
      </c>
      <c r="F1330" t="s">
        <v>5396</v>
      </c>
      <c r="G1330" t="s">
        <v>813</v>
      </c>
      <c r="I1330" s="10"/>
      <c r="J1330" s="107">
        <f>SUMIF(Data!C:C,G1330,Data!Q:Q)</f>
        <v>0</v>
      </c>
      <c r="K1330" s="107">
        <f>SUMIF(Comprometidos!A:A,'Cost Report'!G1330,Comprometidos!E:E)</f>
        <v>0</v>
      </c>
      <c r="L1330" s="107">
        <f t="shared" si="565"/>
        <v>0</v>
      </c>
      <c r="M1330" s="107">
        <f t="shared" si="566"/>
        <v>0</v>
      </c>
      <c r="N1330" s="107">
        <f t="shared" si="567"/>
        <v>0</v>
      </c>
      <c r="O1330" s="107">
        <f>VLOOKUP(G1330,Budget!$E$3:$G$2474,3,0)</f>
        <v>0</v>
      </c>
      <c r="P1330" s="107">
        <f t="shared" si="568"/>
        <v>0</v>
      </c>
      <c r="Q1330" s="107"/>
      <c r="R1330" s="10"/>
      <c r="S1330" s="107">
        <v>0</v>
      </c>
      <c r="T1330" s="107">
        <f t="shared" si="551"/>
        <v>0</v>
      </c>
      <c r="U1330" s="107"/>
      <c r="V1330" s="175"/>
      <c r="W1330" s="10"/>
      <c r="X1330" s="10"/>
      <c r="Y1330" t="str">
        <f t="shared" si="569"/>
        <v>3104</v>
      </c>
      <c r="AB1330" s="10"/>
      <c r="AC1330" s="10"/>
      <c r="AD1330" s="10"/>
      <c r="AE1330" s="10"/>
      <c r="AF1330" s="10"/>
      <c r="AG1330" s="10"/>
      <c r="AH1330" s="10"/>
      <c r="AI1330" s="10"/>
    </row>
    <row r="1331" spans="1:35">
      <c r="A1331" s="10"/>
      <c r="B1331" s="10" t="str">
        <f t="shared" si="564"/>
        <v>Below the Line2nd Unit</v>
      </c>
      <c r="C1331" t="s">
        <v>20</v>
      </c>
      <c r="D1331" t="s">
        <v>19</v>
      </c>
      <c r="E1331" t="s">
        <v>1419</v>
      </c>
      <c r="F1331" t="s">
        <v>5396</v>
      </c>
      <c r="G1331" t="s">
        <v>1822</v>
      </c>
      <c r="I1331" s="10"/>
      <c r="J1331" s="107">
        <f>SUMIF(Data!C:C,G1331,Data!Q:Q)</f>
        <v>10750</v>
      </c>
      <c r="K1331" s="107">
        <f>SUMIF(Comprometidos!A:A,'Cost Report'!G1331,Comprometidos!E:E)</f>
        <v>0</v>
      </c>
      <c r="L1331" s="107">
        <f t="shared" si="565"/>
        <v>10750</v>
      </c>
      <c r="M1331" s="107">
        <f t="shared" si="566"/>
        <v>0</v>
      </c>
      <c r="N1331" s="107">
        <f t="shared" si="567"/>
        <v>10750</v>
      </c>
      <c r="O1331" s="107">
        <f>VLOOKUP(G1331,Budget!$E$3:$G$2474,3,0)</f>
        <v>10750</v>
      </c>
      <c r="P1331" s="107">
        <f t="shared" si="568"/>
        <v>0</v>
      </c>
      <c r="Q1331" s="107"/>
      <c r="R1331" s="10"/>
      <c r="S1331" s="107">
        <v>10750</v>
      </c>
      <c r="T1331" s="107">
        <f t="shared" si="551"/>
        <v>0</v>
      </c>
      <c r="U1331" s="107"/>
      <c r="V1331" s="175"/>
      <c r="W1331" s="10"/>
      <c r="X1331" s="10"/>
      <c r="Y1331" t="str">
        <f t="shared" si="569"/>
        <v>3104</v>
      </c>
      <c r="AB1331" s="10"/>
      <c r="AC1331" s="10"/>
      <c r="AD1331" s="10"/>
      <c r="AE1331" s="10"/>
      <c r="AF1331" s="10"/>
      <c r="AG1331" s="10"/>
      <c r="AH1331" s="10"/>
      <c r="AI1331" s="10"/>
    </row>
    <row r="1332" spans="1:35">
      <c r="A1332" s="10"/>
      <c r="B1332" s="10" t="str">
        <f t="shared" si="564"/>
        <v>Below the Line2nd Unit</v>
      </c>
      <c r="C1332" t="s">
        <v>20</v>
      </c>
      <c r="D1332" t="s">
        <v>19</v>
      </c>
      <c r="E1332" t="s">
        <v>1419</v>
      </c>
      <c r="F1332" t="s">
        <v>5396</v>
      </c>
      <c r="G1332" t="s">
        <v>1823</v>
      </c>
      <c r="I1332" s="10"/>
      <c r="J1332" s="107">
        <f>SUMIF(Data!C:C,G1332,Data!Q:Q)</f>
        <v>50166.66</v>
      </c>
      <c r="K1332" s="107">
        <f>SUMIF(Comprometidos!A:A,'Cost Report'!G1332,Comprometidos!E:E)</f>
        <v>0</v>
      </c>
      <c r="L1332" s="107">
        <f t="shared" si="565"/>
        <v>50166.66</v>
      </c>
      <c r="M1332" s="107">
        <v>0</v>
      </c>
      <c r="N1332" s="107">
        <f t="shared" si="567"/>
        <v>50166.66</v>
      </c>
      <c r="O1332" s="107">
        <f>VLOOKUP(G1332,Budget!$E$3:$G$2474,3,0)</f>
        <v>43000</v>
      </c>
      <c r="P1332" s="107">
        <f t="shared" si="568"/>
        <v>-7166.6600000000035</v>
      </c>
      <c r="Q1332" s="107"/>
      <c r="R1332" s="10"/>
      <c r="S1332" s="107">
        <v>50166.66</v>
      </c>
      <c r="T1332" s="107">
        <f t="shared" si="551"/>
        <v>0</v>
      </c>
      <c r="U1332" s="107"/>
      <c r="V1332" s="175"/>
      <c r="W1332" s="10"/>
      <c r="X1332" s="10"/>
      <c r="Y1332" t="str">
        <f t="shared" si="569"/>
        <v>3104</v>
      </c>
      <c r="AB1332" s="10"/>
      <c r="AC1332" s="10"/>
      <c r="AD1332" s="10"/>
      <c r="AE1332" s="10"/>
      <c r="AF1332" s="10"/>
      <c r="AG1332" s="10"/>
      <c r="AH1332" s="10"/>
      <c r="AI1332" s="10"/>
    </row>
    <row r="1333" spans="1:35">
      <c r="A1333" s="10"/>
      <c r="B1333" s="10" t="str">
        <f t="shared" si="564"/>
        <v>Below the Line</v>
      </c>
      <c r="C1333" t="s">
        <v>20</v>
      </c>
      <c r="D1333" t="s">
        <v>19</v>
      </c>
      <c r="E1333" t="s">
        <v>214</v>
      </c>
      <c r="F1333" t="s">
        <v>5396</v>
      </c>
      <c r="G1333" t="s">
        <v>2667</v>
      </c>
      <c r="I1333" s="10"/>
      <c r="J1333" s="107">
        <f>SUMIF(Data!C:C,G1333,Data!Q:Q)</f>
        <v>0</v>
      </c>
      <c r="K1333" s="107">
        <f>SUMIF(Comprometidos!A:A,'Cost Report'!G1333,Comprometidos!E:E)</f>
        <v>0</v>
      </c>
      <c r="L1333" s="107">
        <f t="shared" si="565"/>
        <v>0</v>
      </c>
      <c r="M1333" s="107">
        <f t="shared" si="566"/>
        <v>0</v>
      </c>
      <c r="N1333" s="107">
        <f t="shared" si="567"/>
        <v>0</v>
      </c>
      <c r="O1333" s="107">
        <f>VLOOKUP(G1333,Budget!$E$3:$G$2474,3,0)</f>
        <v>0</v>
      </c>
      <c r="P1333" s="107">
        <f t="shared" si="568"/>
        <v>0</v>
      </c>
      <c r="Q1333" s="107"/>
      <c r="R1333" s="10"/>
      <c r="S1333" s="107">
        <v>0</v>
      </c>
      <c r="T1333" s="107">
        <f t="shared" si="551"/>
        <v>0</v>
      </c>
      <c r="U1333" s="107"/>
      <c r="V1333" s="175"/>
      <c r="W1333" s="10"/>
      <c r="X1333" s="10"/>
      <c r="Y1333" t="str">
        <f t="shared" si="569"/>
        <v>3104</v>
      </c>
      <c r="AB1333" s="10"/>
      <c r="AC1333" s="10"/>
      <c r="AD1333" s="10"/>
      <c r="AE1333" s="10"/>
      <c r="AF1333" s="10"/>
      <c r="AG1333" s="10"/>
      <c r="AH1333" s="10"/>
      <c r="AI1333" s="10"/>
    </row>
    <row r="1334" spans="1:35">
      <c r="A1334" s="10"/>
      <c r="B1334" s="10" t="str">
        <f t="shared" si="564"/>
        <v>Below the Line2nd Unit</v>
      </c>
      <c r="C1334" t="s">
        <v>20</v>
      </c>
      <c r="D1334" t="s">
        <v>19</v>
      </c>
      <c r="E1334" t="s">
        <v>1419</v>
      </c>
      <c r="F1334" t="s">
        <v>5396</v>
      </c>
      <c r="G1334" t="s">
        <v>2668</v>
      </c>
      <c r="I1334" s="10"/>
      <c r="J1334" s="107">
        <f>SUMIF(Data!C:C,G1334,Data!Q:Q)</f>
        <v>0</v>
      </c>
      <c r="K1334" s="107">
        <f>SUMIF(Comprometidos!A:A,'Cost Report'!G1334,Comprometidos!E:E)</f>
        <v>0</v>
      </c>
      <c r="L1334" s="107">
        <f t="shared" si="565"/>
        <v>0</v>
      </c>
      <c r="M1334" s="107">
        <v>0</v>
      </c>
      <c r="N1334" s="107">
        <f t="shared" si="567"/>
        <v>0</v>
      </c>
      <c r="O1334" s="107">
        <f>VLOOKUP(G1334,Budget!$E$3:$G$2474,3,0)</f>
        <v>10750</v>
      </c>
      <c r="P1334" s="107">
        <f t="shared" si="568"/>
        <v>10750</v>
      </c>
      <c r="Q1334" s="107"/>
      <c r="R1334" s="10"/>
      <c r="S1334" s="107">
        <v>0</v>
      </c>
      <c r="T1334" s="107">
        <f t="shared" si="551"/>
        <v>0</v>
      </c>
      <c r="U1334" s="107"/>
      <c r="V1334" s="175"/>
      <c r="W1334" s="10"/>
      <c r="X1334" s="10"/>
      <c r="Y1334" t="str">
        <f t="shared" si="569"/>
        <v>3104</v>
      </c>
      <c r="AB1334" s="10"/>
      <c r="AC1334" s="10"/>
      <c r="AD1334" s="10"/>
      <c r="AE1334" s="10"/>
      <c r="AF1334" s="10"/>
      <c r="AG1334" s="10"/>
      <c r="AH1334" s="10"/>
      <c r="AI1334" s="10"/>
    </row>
    <row r="1335" spans="1:35">
      <c r="A1335" s="10"/>
      <c r="B1335" s="10" t="str">
        <f t="shared" si="564"/>
        <v>Below the Line2nd Unit</v>
      </c>
      <c r="C1335" t="s">
        <v>20</v>
      </c>
      <c r="D1335" t="s">
        <v>19</v>
      </c>
      <c r="E1335" t="s">
        <v>1419</v>
      </c>
      <c r="F1335" t="s">
        <v>5396</v>
      </c>
      <c r="G1335" t="s">
        <v>2669</v>
      </c>
      <c r="I1335" s="10"/>
      <c r="J1335" s="107">
        <f>SUMIF(Data!C:C,G1335,Data!Q:Q)</f>
        <v>15000</v>
      </c>
      <c r="K1335" s="107">
        <f>SUMIF(Comprometidos!A:A,'Cost Report'!G1335,Comprometidos!E:E)</f>
        <v>0</v>
      </c>
      <c r="L1335" s="107">
        <f t="shared" si="565"/>
        <v>15000</v>
      </c>
      <c r="M1335" s="107">
        <v>0</v>
      </c>
      <c r="N1335" s="107">
        <f t="shared" si="567"/>
        <v>15000</v>
      </c>
      <c r="O1335" s="107">
        <f>VLOOKUP(G1335,Budget!$E$3:$G$2474,3,0)</f>
        <v>43000</v>
      </c>
      <c r="P1335" s="107">
        <f t="shared" si="568"/>
        <v>28000</v>
      </c>
      <c r="Q1335" s="107"/>
      <c r="R1335" s="10"/>
      <c r="S1335" s="107">
        <v>15000</v>
      </c>
      <c r="T1335" s="107">
        <f t="shared" si="551"/>
        <v>0</v>
      </c>
      <c r="U1335" s="107"/>
      <c r="V1335" s="175"/>
      <c r="W1335" s="10"/>
      <c r="X1335" s="10"/>
      <c r="Y1335" t="str">
        <f t="shared" si="569"/>
        <v>3104</v>
      </c>
      <c r="AB1335" s="10"/>
      <c r="AC1335" s="10"/>
      <c r="AD1335" s="10"/>
      <c r="AE1335" s="10"/>
      <c r="AF1335" s="10"/>
      <c r="AG1335" s="10"/>
      <c r="AH1335" s="10"/>
      <c r="AI1335" s="10"/>
    </row>
    <row r="1336" spans="1:35">
      <c r="A1336" s="10"/>
      <c r="B1336" s="10" t="str">
        <f t="shared" si="564"/>
        <v>Below the Line</v>
      </c>
      <c r="C1336" t="s">
        <v>20</v>
      </c>
      <c r="D1336" t="s">
        <v>19</v>
      </c>
      <c r="E1336" t="s">
        <v>214</v>
      </c>
      <c r="F1336" t="s">
        <v>5396</v>
      </c>
      <c r="G1336" t="s">
        <v>2670</v>
      </c>
      <c r="I1336" s="10"/>
      <c r="J1336" s="107">
        <f>SUMIF(Data!C:C,G1336,Data!Q:Q)</f>
        <v>0</v>
      </c>
      <c r="K1336" s="107">
        <f>SUMIF(Comprometidos!A:A,'Cost Report'!G1336,Comprometidos!E:E)</f>
        <v>0</v>
      </c>
      <c r="L1336" s="107">
        <f t="shared" si="565"/>
        <v>0</v>
      </c>
      <c r="M1336" s="107">
        <f t="shared" si="566"/>
        <v>0</v>
      </c>
      <c r="N1336" s="107">
        <f t="shared" si="567"/>
        <v>0</v>
      </c>
      <c r="O1336" s="107">
        <f>VLOOKUP(G1336,Budget!$E$3:$G$2474,3,0)</f>
        <v>0</v>
      </c>
      <c r="P1336" s="107">
        <f t="shared" si="568"/>
        <v>0</v>
      </c>
      <c r="Q1336" s="107"/>
      <c r="R1336" s="10"/>
      <c r="S1336" s="107">
        <v>0</v>
      </c>
      <c r="T1336" s="107">
        <f t="shared" si="551"/>
        <v>0</v>
      </c>
      <c r="U1336" s="107"/>
      <c r="V1336" s="175"/>
      <c r="W1336" s="10"/>
      <c r="X1336" s="10"/>
      <c r="Y1336" t="str">
        <f t="shared" si="569"/>
        <v>3104</v>
      </c>
      <c r="AB1336" s="10"/>
      <c r="AC1336" s="10"/>
      <c r="AD1336" s="10"/>
      <c r="AE1336" s="10"/>
      <c r="AF1336" s="10"/>
      <c r="AG1336" s="10"/>
      <c r="AH1336" s="10"/>
      <c r="AI1336" s="10"/>
    </row>
    <row r="1337" spans="1:35">
      <c r="A1337" s="10"/>
      <c r="B1337" s="10" t="str">
        <f t="shared" si="564"/>
        <v>Below the LineSHOOT</v>
      </c>
      <c r="C1337" t="s">
        <v>20</v>
      </c>
      <c r="D1337" t="s">
        <v>19</v>
      </c>
      <c r="E1337" t="s">
        <v>236</v>
      </c>
      <c r="F1337" t="s">
        <v>5396</v>
      </c>
      <c r="G1337" t="s">
        <v>2671</v>
      </c>
      <c r="I1337" s="10"/>
      <c r="J1337" s="107">
        <f>SUMIF(Data!C:C,G1337,Data!Q:Q)</f>
        <v>7166.66</v>
      </c>
      <c r="K1337" s="107">
        <f>SUMIF(Comprometidos!A:A,'Cost Report'!G1337,Comprometidos!E:E)</f>
        <v>0</v>
      </c>
      <c r="L1337" s="107">
        <f t="shared" si="565"/>
        <v>7166.66</v>
      </c>
      <c r="M1337" s="107">
        <v>0</v>
      </c>
      <c r="N1337" s="107">
        <f t="shared" si="567"/>
        <v>7166.66</v>
      </c>
      <c r="O1337" s="107">
        <f>VLOOKUP(G1337,Budget!$E$3:$G$2474,3,0)</f>
        <v>46583.29</v>
      </c>
      <c r="P1337" s="107">
        <f t="shared" si="568"/>
        <v>39416.630000000005</v>
      </c>
      <c r="Q1337" s="107"/>
      <c r="R1337" s="10"/>
      <c r="S1337" s="107">
        <v>7166.66</v>
      </c>
      <c r="T1337" s="107">
        <f t="shared" si="551"/>
        <v>0</v>
      </c>
      <c r="U1337" s="107"/>
      <c r="V1337" s="175"/>
      <c r="W1337" s="10"/>
      <c r="X1337" s="10"/>
      <c r="Y1337" t="str">
        <f t="shared" si="569"/>
        <v>3104</v>
      </c>
      <c r="AB1337" s="10"/>
      <c r="AC1337" s="10"/>
      <c r="AD1337" s="10"/>
      <c r="AE1337" s="10"/>
      <c r="AF1337" s="10"/>
      <c r="AG1337" s="10"/>
      <c r="AH1337" s="10"/>
      <c r="AI1337" s="10"/>
    </row>
    <row r="1338" spans="1:35">
      <c r="A1338" s="10"/>
      <c r="B1338" s="10" t="str">
        <f t="shared" si="564"/>
        <v>Below the Line</v>
      </c>
      <c r="C1338" t="s">
        <v>20</v>
      </c>
      <c r="D1338" t="s">
        <v>19</v>
      </c>
      <c r="E1338" t="s">
        <v>214</v>
      </c>
      <c r="F1338" t="s">
        <v>5396</v>
      </c>
      <c r="G1338" t="s">
        <v>2672</v>
      </c>
      <c r="I1338" s="10"/>
      <c r="J1338" s="107">
        <f>SUMIF(Data!C:C,G1338,Data!Q:Q)</f>
        <v>0</v>
      </c>
      <c r="K1338" s="107">
        <f>SUMIF(Comprometidos!A:A,'Cost Report'!G1338,Comprometidos!E:E)</f>
        <v>0</v>
      </c>
      <c r="L1338" s="107">
        <f t="shared" si="565"/>
        <v>0</v>
      </c>
      <c r="M1338" s="107">
        <f t="shared" si="566"/>
        <v>0</v>
      </c>
      <c r="N1338" s="107">
        <f t="shared" si="567"/>
        <v>0</v>
      </c>
      <c r="O1338" s="107">
        <f>VLOOKUP(G1338,Budget!$E$3:$G$2474,3,0)</f>
        <v>0</v>
      </c>
      <c r="P1338" s="107">
        <f t="shared" si="568"/>
        <v>0</v>
      </c>
      <c r="Q1338" s="107"/>
      <c r="R1338" s="10"/>
      <c r="S1338" s="107">
        <v>0</v>
      </c>
      <c r="T1338" s="107">
        <f t="shared" si="551"/>
        <v>0</v>
      </c>
      <c r="U1338" s="107"/>
      <c r="V1338" s="175"/>
      <c r="W1338" s="10"/>
      <c r="X1338" s="10"/>
      <c r="Y1338" t="str">
        <f t="shared" si="569"/>
        <v>3104</v>
      </c>
      <c r="AB1338" s="10"/>
      <c r="AC1338" s="10"/>
      <c r="AD1338" s="10"/>
      <c r="AE1338" s="10"/>
      <c r="AF1338" s="10"/>
      <c r="AG1338" s="10"/>
      <c r="AH1338" s="10"/>
      <c r="AI1338" s="10"/>
    </row>
    <row r="1339" spans="1:35">
      <c r="A1339" s="10"/>
      <c r="B1339" s="10" t="str">
        <f t="shared" si="564"/>
        <v>Below the LineSHOOT</v>
      </c>
      <c r="C1339" t="s">
        <v>20</v>
      </c>
      <c r="D1339" t="s">
        <v>19</v>
      </c>
      <c r="E1339" t="s">
        <v>236</v>
      </c>
      <c r="F1339" t="s">
        <v>5396</v>
      </c>
      <c r="G1339" t="s">
        <v>2673</v>
      </c>
      <c r="I1339" s="10"/>
      <c r="J1339" s="107">
        <f>SUMIF(Data!C:C,G1339,Data!Q:Q)</f>
        <v>17500</v>
      </c>
      <c r="K1339" s="107">
        <f>SUMIF(Comprometidos!A:A,'Cost Report'!G1339,Comprometidos!E:E)</f>
        <v>0</v>
      </c>
      <c r="L1339" s="107">
        <f t="shared" si="565"/>
        <v>17500</v>
      </c>
      <c r="M1339" s="107">
        <v>0</v>
      </c>
      <c r="N1339" s="107">
        <f t="shared" si="567"/>
        <v>17500</v>
      </c>
      <c r="O1339" s="107">
        <f>VLOOKUP(G1339,Budget!$E$3:$G$2474,3,0)</f>
        <v>3583.33</v>
      </c>
      <c r="P1339" s="107">
        <f t="shared" si="568"/>
        <v>-13916.67</v>
      </c>
      <c r="Q1339" s="107"/>
      <c r="R1339" s="10"/>
      <c r="S1339" s="107">
        <v>17500</v>
      </c>
      <c r="T1339" s="107">
        <f t="shared" si="551"/>
        <v>0</v>
      </c>
      <c r="U1339" s="107"/>
      <c r="V1339" s="175"/>
      <c r="W1339" s="10"/>
      <c r="X1339" s="10"/>
      <c r="Y1339" t="str">
        <f t="shared" si="569"/>
        <v>3104</v>
      </c>
      <c r="AB1339" s="10"/>
      <c r="AC1339" s="10"/>
      <c r="AD1339" s="10"/>
      <c r="AE1339" s="10"/>
      <c r="AF1339" s="10"/>
      <c r="AG1339" s="10"/>
      <c r="AH1339" s="10"/>
      <c r="AI1339" s="10"/>
    </row>
    <row r="1340" spans="1:35">
      <c r="A1340" s="10"/>
      <c r="B1340" s="10" t="str">
        <f t="shared" si="564"/>
        <v>Below the LineSHOOT</v>
      </c>
      <c r="C1340" t="s">
        <v>20</v>
      </c>
      <c r="D1340" t="s">
        <v>19</v>
      </c>
      <c r="E1340" t="s">
        <v>236</v>
      </c>
      <c r="F1340" t="s">
        <v>5396</v>
      </c>
      <c r="G1340" t="s">
        <v>3405</v>
      </c>
      <c r="I1340" s="10"/>
      <c r="J1340" s="107">
        <f>SUMIF(Data!C:C,G1340,Data!Q:Q)</f>
        <v>35083.31</v>
      </c>
      <c r="K1340" s="107">
        <f>SUMIF(Comprometidos!A:A,'Cost Report'!G1340,Comprometidos!E:E)</f>
        <v>0</v>
      </c>
      <c r="L1340" s="107">
        <f t="shared" ref="L1340" si="570">+J1340+K1340</f>
        <v>35083.31</v>
      </c>
      <c r="M1340" s="107">
        <v>0</v>
      </c>
      <c r="N1340" s="107">
        <f t="shared" ref="N1340" si="571">+L1340+M1340</f>
        <v>35083.31</v>
      </c>
      <c r="O1340" s="107">
        <f>VLOOKUP(G1340,Budget!$E$3:$G$2474,3,0)</f>
        <v>0</v>
      </c>
      <c r="P1340" s="107">
        <f t="shared" ref="P1340" si="572">+O1340-N1340</f>
        <v>-35083.31</v>
      </c>
      <c r="Q1340" s="107"/>
      <c r="R1340" s="10"/>
      <c r="S1340" s="107">
        <v>35083.31</v>
      </c>
      <c r="T1340" s="107">
        <f t="shared" ref="T1340" si="573">+S1340-N1340</f>
        <v>0</v>
      </c>
      <c r="U1340" s="107"/>
      <c r="V1340" s="175"/>
      <c r="W1340" s="10"/>
      <c r="X1340" s="10"/>
      <c r="Y1340" t="str">
        <f t="shared" ref="Y1340" si="574">LEFT(G1340,4)</f>
        <v>3104</v>
      </c>
      <c r="AB1340" s="10"/>
      <c r="AC1340" s="10"/>
      <c r="AD1340" s="10"/>
      <c r="AE1340" s="10"/>
      <c r="AF1340" s="10"/>
      <c r="AG1340" s="10"/>
      <c r="AH1340" s="10"/>
      <c r="AI1340" s="10"/>
    </row>
    <row r="1341" spans="1:35">
      <c r="A1341" s="10"/>
      <c r="B1341" s="10" t="str">
        <f>+C1341</f>
        <v>Below the Line</v>
      </c>
      <c r="C1341" s="128" t="s">
        <v>20</v>
      </c>
      <c r="D1341" s="128" t="s">
        <v>2117</v>
      </c>
      <c r="E1341" s="128"/>
      <c r="F1341" s="128"/>
      <c r="G1341" s="128" t="s">
        <v>2674</v>
      </c>
      <c r="H1341" s="128"/>
      <c r="I1341" s="10"/>
      <c r="J1341" s="129">
        <f>SUMIF($Y$11:$Y$2484,G1341,J$11:J$2484)</f>
        <v>126000</v>
      </c>
      <c r="K1341" s="129">
        <f>SUMIF($Y$11:$Y$2484,G1341,K$11:K$2484)</f>
        <v>0</v>
      </c>
      <c r="L1341" s="129">
        <f>SUMIF($Y$11:$Y$2484,G1341,L$11:L$2484)</f>
        <v>126000</v>
      </c>
      <c r="M1341" s="129">
        <f>SUMIF($Y$11:$Y$2484,G1341,M$11:M$2484)</f>
        <v>0</v>
      </c>
      <c r="N1341" s="129">
        <f>SUMIF($Y$11:$Y$2484,G1341,N$11:N$2484)</f>
        <v>126000</v>
      </c>
      <c r="O1341" s="129">
        <f>SUMIF($Y$11:$Y$2484,G1341,O$11:O$2484)</f>
        <v>126000</v>
      </c>
      <c r="P1341" s="129">
        <f>SUMIF($Y$11:$Y$2484,G1341,P$11:P$2484)</f>
        <v>0</v>
      </c>
      <c r="Q1341" s="129"/>
      <c r="R1341" s="10"/>
      <c r="S1341" s="129">
        <v>126000</v>
      </c>
      <c r="T1341" s="129">
        <f t="shared" si="551"/>
        <v>0</v>
      </c>
      <c r="U1341" s="128"/>
      <c r="V1341" s="175"/>
      <c r="W1341" s="10"/>
      <c r="X1341" s="10"/>
      <c r="Z1341" t="str">
        <f>LEFT(G1341,2)</f>
        <v>31</v>
      </c>
      <c r="AA1341" t="str">
        <f>+Z1341&amp;"00"</f>
        <v>3100</v>
      </c>
      <c r="AB1341" s="10"/>
      <c r="AC1341" s="10"/>
      <c r="AD1341" s="10"/>
      <c r="AE1341" s="10"/>
      <c r="AF1341" s="10"/>
      <c r="AG1341" s="10"/>
      <c r="AH1341" s="10"/>
      <c r="AI1341" s="10"/>
    </row>
    <row r="1342" spans="1:35">
      <c r="A1342" s="10"/>
      <c r="B1342" s="10" t="str">
        <f t="shared" ref="B1342:B1346" si="575">+C1342&amp;E1342</f>
        <v>Below the Line</v>
      </c>
      <c r="C1342" t="s">
        <v>20</v>
      </c>
      <c r="D1342" t="s">
        <v>19</v>
      </c>
      <c r="E1342" t="s">
        <v>214</v>
      </c>
      <c r="G1342" t="s">
        <v>2675</v>
      </c>
      <c r="I1342" s="10"/>
      <c r="J1342" s="107">
        <f>SUMIF(Data!C:C,G1342,Data!Q:Q)</f>
        <v>0</v>
      </c>
      <c r="K1342" s="107">
        <f>SUMIF(Comprometidos!A:A,'Cost Report'!G1342,Comprometidos!E:E)</f>
        <v>0</v>
      </c>
      <c r="L1342" s="107">
        <f t="shared" si="565"/>
        <v>0</v>
      </c>
      <c r="M1342" s="107">
        <f t="shared" si="566"/>
        <v>0</v>
      </c>
      <c r="N1342" s="107">
        <f t="shared" si="567"/>
        <v>0</v>
      </c>
      <c r="O1342" s="107">
        <f>VLOOKUP(G1342,Budget!$E$3:$G$2474,3,0)</f>
        <v>0</v>
      </c>
      <c r="P1342" s="107">
        <f t="shared" si="568"/>
        <v>0</v>
      </c>
      <c r="Q1342" s="107"/>
      <c r="R1342" s="10"/>
      <c r="S1342" s="107">
        <v>0</v>
      </c>
      <c r="T1342" s="107">
        <f t="shared" si="551"/>
        <v>0</v>
      </c>
      <c r="U1342" s="107"/>
      <c r="V1342" s="175"/>
      <c r="W1342" s="10"/>
      <c r="X1342" s="10"/>
      <c r="Y1342" t="str">
        <f t="shared" ref="Y1342:Y1346" si="576">LEFT(G1342,4)</f>
        <v>3108</v>
      </c>
      <c r="AB1342" s="10"/>
      <c r="AC1342" s="10"/>
      <c r="AD1342" s="10"/>
      <c r="AE1342" s="10"/>
      <c r="AF1342" s="10"/>
      <c r="AG1342" s="10"/>
      <c r="AH1342" s="10"/>
      <c r="AI1342" s="10"/>
    </row>
    <row r="1343" spans="1:35">
      <c r="A1343" s="10"/>
      <c r="B1343" s="10" t="str">
        <f t="shared" si="575"/>
        <v>Below the LinePREP</v>
      </c>
      <c r="C1343" t="s">
        <v>20</v>
      </c>
      <c r="D1343" t="s">
        <v>19</v>
      </c>
      <c r="E1343" t="s">
        <v>234</v>
      </c>
      <c r="G1343" t="s">
        <v>2676</v>
      </c>
      <c r="I1343" s="10"/>
      <c r="J1343" s="107">
        <f>SUMIF(Data!C:C,G1343,Data!Q:Q)</f>
        <v>0</v>
      </c>
      <c r="K1343" s="107">
        <f>SUMIF(Comprometidos!A:A,'Cost Report'!G1343,Comprometidos!E:E)</f>
        <v>0</v>
      </c>
      <c r="L1343" s="107">
        <f t="shared" si="565"/>
        <v>0</v>
      </c>
      <c r="M1343" s="107">
        <f t="shared" si="566"/>
        <v>0</v>
      </c>
      <c r="N1343" s="107">
        <f t="shared" si="567"/>
        <v>0</v>
      </c>
      <c r="O1343" s="107">
        <f>VLOOKUP(G1343,Budget!$E$3:$G$2474,3,0)</f>
        <v>0</v>
      </c>
      <c r="P1343" s="107">
        <f t="shared" si="568"/>
        <v>0</v>
      </c>
      <c r="Q1343" s="107"/>
      <c r="R1343" s="10"/>
      <c r="S1343" s="107">
        <v>0</v>
      </c>
      <c r="T1343" s="107">
        <f t="shared" si="551"/>
        <v>0</v>
      </c>
      <c r="U1343" s="107"/>
      <c r="V1343" s="175"/>
      <c r="W1343" s="10"/>
      <c r="X1343" s="10"/>
      <c r="Y1343" t="str">
        <f t="shared" si="576"/>
        <v>3108</v>
      </c>
      <c r="AB1343" s="10"/>
      <c r="AC1343" s="10"/>
      <c r="AD1343" s="10"/>
      <c r="AE1343" s="10"/>
      <c r="AF1343" s="10"/>
      <c r="AG1343" s="10"/>
      <c r="AH1343" s="10"/>
      <c r="AI1343" s="10"/>
    </row>
    <row r="1344" spans="1:35">
      <c r="A1344" s="10"/>
      <c r="B1344" s="10" t="str">
        <f t="shared" si="575"/>
        <v>Below the LineSHOOT</v>
      </c>
      <c r="C1344" t="s">
        <v>20</v>
      </c>
      <c r="D1344" t="s">
        <v>19</v>
      </c>
      <c r="E1344" t="s">
        <v>236</v>
      </c>
      <c r="F1344" t="s">
        <v>5396</v>
      </c>
      <c r="G1344" t="s">
        <v>2677</v>
      </c>
      <c r="I1344" s="10"/>
      <c r="J1344" s="107">
        <f>SUMIF(Data!C:C,G1344,Data!Q:Q)</f>
        <v>56000</v>
      </c>
      <c r="K1344" s="107">
        <f>SUMIF(Comprometidos!A:A,'Cost Report'!G1344,Comprometidos!E:E)</f>
        <v>0</v>
      </c>
      <c r="L1344" s="107">
        <f t="shared" si="565"/>
        <v>56000</v>
      </c>
      <c r="M1344" s="107">
        <v>0</v>
      </c>
      <c r="N1344" s="107">
        <f t="shared" si="567"/>
        <v>56000</v>
      </c>
      <c r="O1344" s="107">
        <f>VLOOKUP(G1344,Budget!$E$3:$G$2474,3,0)</f>
        <v>98000</v>
      </c>
      <c r="P1344" s="107">
        <f t="shared" si="568"/>
        <v>42000</v>
      </c>
      <c r="Q1344" s="107"/>
      <c r="R1344" s="10"/>
      <c r="S1344" s="107">
        <v>56000</v>
      </c>
      <c r="T1344" s="107">
        <f t="shared" si="551"/>
        <v>0</v>
      </c>
      <c r="U1344" s="107"/>
      <c r="V1344" s="175"/>
      <c r="W1344" s="10"/>
      <c r="X1344" s="10"/>
      <c r="Y1344" t="str">
        <f t="shared" si="576"/>
        <v>3108</v>
      </c>
      <c r="AB1344" s="10"/>
      <c r="AC1344" s="10"/>
      <c r="AD1344" s="10"/>
      <c r="AE1344" s="10"/>
      <c r="AF1344" s="10"/>
      <c r="AG1344" s="10"/>
      <c r="AH1344" s="10"/>
      <c r="AI1344" s="10"/>
    </row>
    <row r="1345" spans="1:35">
      <c r="A1345" s="10"/>
      <c r="B1345" s="10" t="str">
        <f t="shared" si="575"/>
        <v>Below the Line</v>
      </c>
      <c r="C1345" t="s">
        <v>20</v>
      </c>
      <c r="D1345" t="s">
        <v>19</v>
      </c>
      <c r="E1345" t="s">
        <v>214</v>
      </c>
      <c r="G1345" t="s">
        <v>2678</v>
      </c>
      <c r="I1345" s="10"/>
      <c r="J1345" s="107">
        <f>SUMIF(Data!C:C,G1345,Data!Q:Q)</f>
        <v>0</v>
      </c>
      <c r="K1345" s="107">
        <f>SUMIF(Comprometidos!A:A,'Cost Report'!G1345,Comprometidos!E:E)</f>
        <v>0</v>
      </c>
      <c r="L1345" s="107">
        <f t="shared" si="565"/>
        <v>0</v>
      </c>
      <c r="M1345" s="107">
        <f t="shared" si="566"/>
        <v>0</v>
      </c>
      <c r="N1345" s="107">
        <f t="shared" si="567"/>
        <v>0</v>
      </c>
      <c r="O1345" s="107">
        <f>VLOOKUP(G1345,Budget!$E$3:$G$2474,3,0)</f>
        <v>0</v>
      </c>
      <c r="P1345" s="107">
        <f t="shared" si="568"/>
        <v>0</v>
      </c>
      <c r="Q1345" s="107"/>
      <c r="R1345" s="10"/>
      <c r="S1345" s="107">
        <v>0</v>
      </c>
      <c r="T1345" s="107">
        <f t="shared" si="551"/>
        <v>0</v>
      </c>
      <c r="U1345" s="107"/>
      <c r="V1345" s="175"/>
      <c r="W1345" s="10"/>
      <c r="X1345" s="10"/>
      <c r="Y1345" t="str">
        <f t="shared" si="576"/>
        <v>3108</v>
      </c>
      <c r="AB1345" s="10"/>
      <c r="AC1345" s="10"/>
      <c r="AD1345" s="10"/>
      <c r="AE1345" s="10"/>
      <c r="AF1345" s="10"/>
      <c r="AG1345" s="10"/>
      <c r="AH1345" s="10"/>
      <c r="AI1345" s="10"/>
    </row>
    <row r="1346" spans="1:35">
      <c r="A1346" s="10"/>
      <c r="B1346" s="10" t="str">
        <f t="shared" si="575"/>
        <v>Below the Line2nd Unit</v>
      </c>
      <c r="C1346" t="s">
        <v>20</v>
      </c>
      <c r="D1346" t="s">
        <v>19</v>
      </c>
      <c r="E1346" t="s">
        <v>1419</v>
      </c>
      <c r="G1346" t="s">
        <v>2679</v>
      </c>
      <c r="I1346" s="10"/>
      <c r="J1346" s="107">
        <f>SUMIF(Data!C:C,G1346,Data!Q:Q)</f>
        <v>70000</v>
      </c>
      <c r="K1346" s="107">
        <f>SUMIF(Comprometidos!A:A,'Cost Report'!G1346,Comprometidos!E:E)</f>
        <v>0</v>
      </c>
      <c r="L1346" s="107">
        <f t="shared" si="565"/>
        <v>70000</v>
      </c>
      <c r="M1346" s="107">
        <v>0</v>
      </c>
      <c r="N1346" s="107">
        <f t="shared" si="567"/>
        <v>70000</v>
      </c>
      <c r="O1346" s="107">
        <f>VLOOKUP(G1346,Budget!$E$3:$G$2474,3,0)</f>
        <v>28000</v>
      </c>
      <c r="P1346" s="107">
        <f t="shared" si="568"/>
        <v>-42000</v>
      </c>
      <c r="Q1346" s="107"/>
      <c r="R1346" s="10"/>
      <c r="S1346" s="107">
        <v>70000</v>
      </c>
      <c r="T1346" s="107">
        <f t="shared" si="551"/>
        <v>0</v>
      </c>
      <c r="U1346" s="107"/>
      <c r="V1346" s="175"/>
      <c r="W1346" s="10"/>
      <c r="X1346" s="10"/>
      <c r="Y1346" t="str">
        <f t="shared" si="576"/>
        <v>3108</v>
      </c>
      <c r="AB1346" s="10"/>
      <c r="AC1346" s="10"/>
      <c r="AD1346" s="10"/>
      <c r="AE1346" s="10"/>
      <c r="AF1346" s="10"/>
      <c r="AG1346" s="10"/>
      <c r="AH1346" s="10"/>
      <c r="AI1346" s="10"/>
    </row>
    <row r="1347" spans="1:35">
      <c r="A1347" s="10"/>
      <c r="B1347" s="10" t="str">
        <f>+C1347</f>
        <v>Below the Line</v>
      </c>
      <c r="C1347" s="128" t="s">
        <v>20</v>
      </c>
      <c r="D1347" s="128" t="s">
        <v>2117</v>
      </c>
      <c r="E1347" s="128"/>
      <c r="F1347" s="128"/>
      <c r="G1347" s="128" t="s">
        <v>814</v>
      </c>
      <c r="H1347" s="128"/>
      <c r="I1347" s="10"/>
      <c r="J1347" s="129">
        <f>SUMIF($Y$11:$Y$2484,G1347,J$11:J$2484)</f>
        <v>203333</v>
      </c>
      <c r="K1347" s="129">
        <f>SUMIF($Y$11:$Y$2484,G1347,K$11:K$2484)</f>
        <v>0</v>
      </c>
      <c r="L1347" s="129">
        <f>SUMIF($Y$11:$Y$2484,G1347,L$11:L$2484)</f>
        <v>203333</v>
      </c>
      <c r="M1347" s="129">
        <f>SUMIF($Y$11:$Y$2484,G1347,M$11:M$2484)</f>
        <v>0</v>
      </c>
      <c r="N1347" s="129">
        <f>SUMIF($Y$11:$Y$2484,G1347,N$11:N$2484)</f>
        <v>203333</v>
      </c>
      <c r="O1347" s="129">
        <f>SUMIF($Y$11:$Y$2484,G1347,O$11:O$2484)</f>
        <v>174750</v>
      </c>
      <c r="P1347" s="129">
        <f>SUMIF($Y$11:$Y$2484,G1347,P$11:P$2484)</f>
        <v>-28583</v>
      </c>
      <c r="Q1347" s="129"/>
      <c r="R1347" s="10"/>
      <c r="S1347" s="129">
        <v>203333</v>
      </c>
      <c r="T1347" s="129">
        <f t="shared" si="551"/>
        <v>0</v>
      </c>
      <c r="U1347" s="128"/>
      <c r="V1347" s="175"/>
      <c r="W1347" s="10"/>
      <c r="X1347" s="10"/>
      <c r="Z1347" t="str">
        <f>LEFT(G1347,2)</f>
        <v>31</v>
      </c>
      <c r="AA1347" t="str">
        <f>+Z1347&amp;"00"</f>
        <v>3100</v>
      </c>
      <c r="AB1347" s="10"/>
      <c r="AC1347" s="10"/>
      <c r="AD1347" s="10"/>
      <c r="AE1347" s="10"/>
      <c r="AF1347" s="10"/>
      <c r="AG1347" s="10"/>
      <c r="AH1347" s="10"/>
      <c r="AI1347" s="10"/>
    </row>
    <row r="1348" spans="1:35">
      <c r="A1348" s="10"/>
      <c r="B1348" s="10" t="str">
        <f t="shared" ref="B1348:B1353" si="577">+C1348&amp;E1348</f>
        <v>Below the Line</v>
      </c>
      <c r="C1348" t="s">
        <v>20</v>
      </c>
      <c r="D1348" t="s">
        <v>19</v>
      </c>
      <c r="E1348" t="s">
        <v>214</v>
      </c>
      <c r="G1348" t="s">
        <v>815</v>
      </c>
      <c r="I1348" s="10"/>
      <c r="J1348" s="107">
        <f>SUMIF(Data!C:C,G1348,Data!Q:Q)</f>
        <v>0</v>
      </c>
      <c r="K1348" s="107">
        <f>SUMIF(Comprometidos!A:A,'Cost Report'!G1348,Comprometidos!E:E)</f>
        <v>0</v>
      </c>
      <c r="L1348" s="107">
        <f t="shared" si="565"/>
        <v>0</v>
      </c>
      <c r="M1348" s="107">
        <f t="shared" si="566"/>
        <v>0</v>
      </c>
      <c r="N1348" s="107">
        <f t="shared" si="567"/>
        <v>0</v>
      </c>
      <c r="O1348" s="107">
        <f>VLOOKUP(G1348,Budget!$E$3:$G$2474,3,0)</f>
        <v>0</v>
      </c>
      <c r="P1348" s="107">
        <f t="shared" si="568"/>
        <v>0</v>
      </c>
      <c r="Q1348" s="107"/>
      <c r="R1348" s="10"/>
      <c r="S1348" s="107">
        <v>0</v>
      </c>
      <c r="T1348" s="107">
        <f t="shared" si="551"/>
        <v>0</v>
      </c>
      <c r="U1348" s="107"/>
      <c r="V1348" s="175"/>
      <c r="W1348" s="10"/>
      <c r="X1348" s="10"/>
      <c r="Y1348" t="str">
        <f t="shared" ref="Y1348:Y1352" si="578">LEFT(G1348,4)</f>
        <v>3109</v>
      </c>
      <c r="AB1348" s="10"/>
      <c r="AC1348" s="10"/>
      <c r="AD1348" s="10"/>
      <c r="AE1348" s="10"/>
      <c r="AF1348" s="10"/>
      <c r="AG1348" s="10"/>
      <c r="AH1348" s="10"/>
      <c r="AI1348" s="10"/>
    </row>
    <row r="1349" spans="1:35">
      <c r="A1349" s="10"/>
      <c r="B1349" s="10" t="str">
        <f t="shared" si="577"/>
        <v>Below the LinePREP</v>
      </c>
      <c r="C1349" t="s">
        <v>20</v>
      </c>
      <c r="D1349" t="s">
        <v>19</v>
      </c>
      <c r="E1349" t="s">
        <v>234</v>
      </c>
      <c r="G1349" t="s">
        <v>816</v>
      </c>
      <c r="I1349" s="10"/>
      <c r="J1349" s="107">
        <f>SUMIF(Data!C:C,G1349,Data!Q:Q)</f>
        <v>0</v>
      </c>
      <c r="K1349" s="107">
        <f>SUMIF(Comprometidos!A:A,'Cost Report'!G1349,Comprometidos!E:E)</f>
        <v>0</v>
      </c>
      <c r="L1349" s="107">
        <f t="shared" si="565"/>
        <v>0</v>
      </c>
      <c r="M1349" s="107">
        <v>0</v>
      </c>
      <c r="N1349" s="107">
        <f t="shared" si="567"/>
        <v>0</v>
      </c>
      <c r="O1349" s="107">
        <f>VLOOKUP(G1349,Budget!$E$3:$G$2474,3,0)</f>
        <v>9250</v>
      </c>
      <c r="P1349" s="107">
        <f t="shared" si="568"/>
        <v>9250</v>
      </c>
      <c r="Q1349" s="107"/>
      <c r="R1349" s="10"/>
      <c r="S1349" s="107">
        <v>0</v>
      </c>
      <c r="T1349" s="107">
        <f t="shared" si="551"/>
        <v>0</v>
      </c>
      <c r="U1349" s="107"/>
      <c r="V1349" s="175"/>
      <c r="W1349" s="10"/>
      <c r="X1349" s="10"/>
      <c r="Y1349" t="str">
        <f t="shared" si="578"/>
        <v>3109</v>
      </c>
      <c r="AB1349" s="10"/>
      <c r="AC1349" s="10"/>
      <c r="AD1349" s="10"/>
      <c r="AE1349" s="10"/>
      <c r="AF1349" s="10"/>
      <c r="AG1349" s="10"/>
      <c r="AH1349" s="10"/>
      <c r="AI1349" s="10"/>
    </row>
    <row r="1350" spans="1:35">
      <c r="A1350" s="10"/>
      <c r="B1350" s="10" t="str">
        <f t="shared" si="577"/>
        <v>Below the LineSHOOT</v>
      </c>
      <c r="C1350" t="s">
        <v>20</v>
      </c>
      <c r="D1350" t="s">
        <v>19</v>
      </c>
      <c r="E1350" t="s">
        <v>236</v>
      </c>
      <c r="G1350" t="s">
        <v>817</v>
      </c>
      <c r="I1350" s="10"/>
      <c r="J1350" s="107">
        <f>SUMIF(Data!C:C,G1350,Data!Q:Q)</f>
        <v>140000</v>
      </c>
      <c r="K1350" s="107">
        <f>SUMIF(Comprometidos!A:A,'Cost Report'!G1350,Comprometidos!E:E)</f>
        <v>0</v>
      </c>
      <c r="L1350" s="107">
        <f t="shared" si="565"/>
        <v>140000</v>
      </c>
      <c r="M1350" s="107">
        <v>0</v>
      </c>
      <c r="N1350" s="107">
        <f t="shared" si="567"/>
        <v>140000</v>
      </c>
      <c r="O1350" s="107">
        <f>VLOOKUP(G1350,Budget!$E$3:$G$2474,3,0)</f>
        <v>129500</v>
      </c>
      <c r="P1350" s="107">
        <f t="shared" si="568"/>
        <v>-10500</v>
      </c>
      <c r="Q1350" s="107"/>
      <c r="R1350" s="10"/>
      <c r="S1350" s="107">
        <v>140000</v>
      </c>
      <c r="T1350" s="107">
        <f t="shared" si="551"/>
        <v>0</v>
      </c>
      <c r="U1350" s="107"/>
      <c r="V1350" s="175"/>
      <c r="W1350" s="10"/>
      <c r="X1350" s="10"/>
      <c r="Y1350" t="str">
        <f t="shared" si="578"/>
        <v>3109</v>
      </c>
      <c r="AB1350" s="10"/>
      <c r="AC1350" s="10"/>
      <c r="AD1350" s="10"/>
      <c r="AE1350" s="10"/>
      <c r="AF1350" s="10"/>
      <c r="AG1350" s="10"/>
      <c r="AH1350" s="10"/>
      <c r="AI1350" s="10"/>
    </row>
    <row r="1351" spans="1:35">
      <c r="A1351" s="10"/>
      <c r="B1351" s="10" t="str">
        <f t="shared" si="577"/>
        <v>Below the Line</v>
      </c>
      <c r="C1351" t="s">
        <v>20</v>
      </c>
      <c r="D1351" t="s">
        <v>19</v>
      </c>
      <c r="E1351" t="s">
        <v>214</v>
      </c>
      <c r="G1351" t="s">
        <v>818</v>
      </c>
      <c r="I1351" s="10"/>
      <c r="J1351" s="107">
        <f>SUMIF(Data!C:C,G1351,Data!Q:Q)</f>
        <v>0</v>
      </c>
      <c r="K1351" s="107">
        <f>SUMIF(Comprometidos!A:A,'Cost Report'!G1351,Comprometidos!E:E)</f>
        <v>0</v>
      </c>
      <c r="L1351" s="107">
        <f t="shared" si="565"/>
        <v>0</v>
      </c>
      <c r="M1351" s="107">
        <f t="shared" si="566"/>
        <v>0</v>
      </c>
      <c r="N1351" s="107">
        <f t="shared" si="567"/>
        <v>0</v>
      </c>
      <c r="O1351" s="107">
        <f>VLOOKUP(G1351,Budget!$E$3:$G$2474,3,0)</f>
        <v>0</v>
      </c>
      <c r="P1351" s="107">
        <f t="shared" si="568"/>
        <v>0</v>
      </c>
      <c r="Q1351" s="107"/>
      <c r="R1351" s="10"/>
      <c r="S1351" s="107">
        <v>0</v>
      </c>
      <c r="T1351" s="107">
        <f t="shared" si="551"/>
        <v>0</v>
      </c>
      <c r="U1351" s="107"/>
      <c r="V1351" s="175"/>
      <c r="W1351" s="10"/>
      <c r="X1351" s="10"/>
      <c r="Y1351" t="str">
        <f t="shared" si="578"/>
        <v>3109</v>
      </c>
      <c r="AB1351" s="10"/>
      <c r="AC1351" s="10"/>
      <c r="AD1351" s="10"/>
      <c r="AE1351" s="10"/>
      <c r="AF1351" s="10"/>
      <c r="AG1351" s="10"/>
      <c r="AH1351" s="10"/>
      <c r="AI1351" s="10"/>
    </row>
    <row r="1352" spans="1:35">
      <c r="A1352" s="10"/>
      <c r="B1352" s="10" t="str">
        <f t="shared" si="577"/>
        <v>Below the Line2nd Unit</v>
      </c>
      <c r="C1352" t="s">
        <v>20</v>
      </c>
      <c r="D1352" t="s">
        <v>19</v>
      </c>
      <c r="E1352" t="s">
        <v>1419</v>
      </c>
      <c r="G1352" t="s">
        <v>819</v>
      </c>
      <c r="I1352" s="10"/>
      <c r="J1352" s="107">
        <f>SUMIF(Data!C:C,G1352,Data!Q:Q)</f>
        <v>43333</v>
      </c>
      <c r="K1352" s="107">
        <f>SUMIF(Comprometidos!A:A,'Cost Report'!G1352,Comprometidos!E:E)</f>
        <v>0</v>
      </c>
      <c r="L1352" s="107">
        <f t="shared" si="565"/>
        <v>43333</v>
      </c>
      <c r="M1352" s="107">
        <v>0</v>
      </c>
      <c r="N1352" s="107">
        <f t="shared" si="567"/>
        <v>43333</v>
      </c>
      <c r="O1352" s="107">
        <f>VLOOKUP(G1352,Budget!$E$3:$G$2474,3,0)</f>
        <v>36000</v>
      </c>
      <c r="P1352" s="107">
        <f t="shared" si="568"/>
        <v>-7333</v>
      </c>
      <c r="Q1352" s="107"/>
      <c r="R1352" s="10"/>
      <c r="S1352" s="107">
        <v>43333</v>
      </c>
      <c r="T1352" s="107">
        <f t="shared" si="551"/>
        <v>0</v>
      </c>
      <c r="U1352" s="107"/>
      <c r="V1352" s="175"/>
      <c r="W1352" s="10"/>
      <c r="X1352" s="10"/>
      <c r="Y1352" t="str">
        <f t="shared" si="578"/>
        <v>3109</v>
      </c>
      <c r="AB1352" s="10"/>
      <c r="AC1352" s="10"/>
      <c r="AD1352" s="10"/>
      <c r="AE1352" s="10"/>
      <c r="AF1352" s="10"/>
      <c r="AG1352" s="10"/>
      <c r="AH1352" s="10"/>
      <c r="AI1352" s="10"/>
    </row>
    <row r="1353" spans="1:35">
      <c r="A1353" s="10"/>
      <c r="B1353" s="10" t="str">
        <f t="shared" si="577"/>
        <v>Below the Line2nd Unit</v>
      </c>
      <c r="C1353" t="s">
        <v>20</v>
      </c>
      <c r="D1353" t="s">
        <v>19</v>
      </c>
      <c r="E1353" t="s">
        <v>1419</v>
      </c>
      <c r="G1353" t="s">
        <v>3407</v>
      </c>
      <c r="I1353" s="10"/>
      <c r="J1353" s="107">
        <f>SUMIF(Data!C:C,G1353,Data!Q:Q)</f>
        <v>20000</v>
      </c>
      <c r="K1353" s="107">
        <f>SUMIF(Comprometidos!A:A,'Cost Report'!G1353,Comprometidos!E:E)</f>
        <v>0</v>
      </c>
      <c r="L1353" s="107">
        <f t="shared" ref="L1353" si="579">+J1353+K1353</f>
        <v>20000</v>
      </c>
      <c r="M1353" s="107">
        <v>0</v>
      </c>
      <c r="N1353" s="107">
        <f t="shared" ref="N1353" si="580">+L1353+M1353</f>
        <v>20000</v>
      </c>
      <c r="O1353" s="107">
        <f>VLOOKUP(G1353,Budget!$E$3:$G$2474,3,0)</f>
        <v>0</v>
      </c>
      <c r="P1353" s="107">
        <f t="shared" ref="P1353" si="581">+O1353-N1353</f>
        <v>-20000</v>
      </c>
      <c r="Q1353" s="107"/>
      <c r="R1353" s="10"/>
      <c r="S1353" s="107">
        <v>20000</v>
      </c>
      <c r="T1353" s="107">
        <f t="shared" ref="T1353" si="582">+S1353-N1353</f>
        <v>0</v>
      </c>
      <c r="U1353" s="107"/>
      <c r="V1353" s="175"/>
      <c r="W1353" s="10"/>
      <c r="X1353" s="10"/>
      <c r="Y1353" t="str">
        <f t="shared" ref="Y1353" si="583">LEFT(G1353,4)</f>
        <v>3109</v>
      </c>
      <c r="AB1353" s="10"/>
      <c r="AC1353" s="10"/>
      <c r="AD1353" s="10"/>
      <c r="AE1353" s="10"/>
      <c r="AF1353" s="10"/>
      <c r="AG1353" s="10"/>
      <c r="AH1353" s="10"/>
      <c r="AI1353" s="10"/>
    </row>
    <row r="1354" spans="1:35">
      <c r="A1354" s="10"/>
      <c r="B1354" s="10" t="str">
        <f>+C1354</f>
        <v>Below the Line</v>
      </c>
      <c r="C1354" s="128" t="s">
        <v>20</v>
      </c>
      <c r="D1354" s="128" t="s">
        <v>2117</v>
      </c>
      <c r="E1354" s="128"/>
      <c r="F1354" s="128"/>
      <c r="G1354" s="128" t="s">
        <v>820</v>
      </c>
      <c r="H1354" s="128"/>
      <c r="I1354" s="10"/>
      <c r="J1354" s="129">
        <f>SUMIF($Y$11:$Y$2484,G1354,J$11:J$2484)</f>
        <v>64700</v>
      </c>
      <c r="K1354" s="129">
        <f>SUMIF($Y$11:$Y$2484,G1354,K$11:K$2484)</f>
        <v>0</v>
      </c>
      <c r="L1354" s="129">
        <f>SUMIF($Y$11:$Y$2484,G1354,L$11:L$2484)</f>
        <v>64700</v>
      </c>
      <c r="M1354" s="129">
        <f>SUMIF($Y$11:$Y$2484,G1354,M$11:M$2484)</f>
        <v>0</v>
      </c>
      <c r="N1354" s="129">
        <f>SUMIF($Y$11:$Y$2484,G1354,N$11:N$2484)</f>
        <v>64700</v>
      </c>
      <c r="O1354" s="129">
        <f>SUMIF($Y$11:$Y$2484,G1354,O$11:O$2484)</f>
        <v>125000</v>
      </c>
      <c r="P1354" s="129">
        <f>SUMIF($Y$11:$Y$2484,G1354,P$11:P$2484)</f>
        <v>60300</v>
      </c>
      <c r="Q1354" s="129"/>
      <c r="R1354" s="10"/>
      <c r="S1354" s="129">
        <v>64700</v>
      </c>
      <c r="T1354" s="129">
        <f t="shared" si="551"/>
        <v>0</v>
      </c>
      <c r="U1354" s="128"/>
      <c r="V1354" s="175"/>
      <c r="W1354" s="10"/>
      <c r="X1354" s="10"/>
      <c r="Z1354" t="str">
        <f>LEFT(G1354,2)</f>
        <v>31</v>
      </c>
      <c r="AA1354" t="str">
        <f>+Z1354&amp;"00"</f>
        <v>3100</v>
      </c>
      <c r="AB1354" s="10"/>
      <c r="AC1354" s="10"/>
      <c r="AD1354" s="10"/>
      <c r="AE1354" s="10"/>
      <c r="AF1354" s="10"/>
      <c r="AG1354" s="10"/>
      <c r="AH1354" s="10"/>
      <c r="AI1354" s="10"/>
    </row>
    <row r="1355" spans="1:35">
      <c r="A1355" s="10"/>
      <c r="B1355" s="10" t="str">
        <f t="shared" ref="B1355:B1356" si="584">+C1355&amp;E1355</f>
        <v>Below the Line</v>
      </c>
      <c r="C1355" t="s">
        <v>20</v>
      </c>
      <c r="D1355" t="s">
        <v>19</v>
      </c>
      <c r="E1355" t="s">
        <v>214</v>
      </c>
      <c r="G1355" t="s">
        <v>821</v>
      </c>
      <c r="I1355" s="10"/>
      <c r="J1355" s="107">
        <f>SUMIF(Data!C:C,G1355,Data!Q:Q)</f>
        <v>0</v>
      </c>
      <c r="K1355" s="107">
        <f>SUMIF(Comprometidos!A:A,'Cost Report'!G1355,Comprometidos!E:E)</f>
        <v>0</v>
      </c>
      <c r="L1355" s="107">
        <f t="shared" si="565"/>
        <v>0</v>
      </c>
      <c r="M1355" s="107">
        <f t="shared" si="566"/>
        <v>0</v>
      </c>
      <c r="N1355" s="107">
        <f t="shared" si="567"/>
        <v>0</v>
      </c>
      <c r="O1355" s="107">
        <f>VLOOKUP(G1355,Budget!$E$3:$G$2474,3,0)</f>
        <v>0</v>
      </c>
      <c r="P1355" s="107">
        <f t="shared" si="568"/>
        <v>0</v>
      </c>
      <c r="Q1355" s="107"/>
      <c r="R1355" s="10"/>
      <c r="S1355" s="107">
        <v>0</v>
      </c>
      <c r="T1355" s="107">
        <f t="shared" si="551"/>
        <v>0</v>
      </c>
      <c r="U1355" s="107"/>
      <c r="V1355" s="175"/>
      <c r="W1355" s="10"/>
      <c r="X1355" s="10"/>
      <c r="Y1355" t="str">
        <f t="shared" ref="Y1355:Y1356" si="585">LEFT(G1355,4)</f>
        <v>3110</v>
      </c>
      <c r="AB1355" s="10"/>
      <c r="AC1355" s="10"/>
      <c r="AD1355" s="10"/>
      <c r="AE1355" s="10"/>
      <c r="AF1355" s="10"/>
      <c r="AG1355" s="10"/>
      <c r="AH1355" s="10"/>
      <c r="AI1355" s="10"/>
    </row>
    <row r="1356" spans="1:35">
      <c r="A1356" s="10"/>
      <c r="B1356" s="10" t="str">
        <f t="shared" si="584"/>
        <v>Below the LineSHOOT</v>
      </c>
      <c r="C1356" t="s">
        <v>20</v>
      </c>
      <c r="D1356" t="s">
        <v>19</v>
      </c>
      <c r="E1356" t="s">
        <v>236</v>
      </c>
      <c r="G1356" t="s">
        <v>2680</v>
      </c>
      <c r="I1356" s="10"/>
      <c r="J1356" s="107">
        <f>SUMIF(Data!C:C,G1356,Data!Q:Q)</f>
        <v>64700</v>
      </c>
      <c r="K1356" s="107">
        <f>SUMIF(Comprometidos!A:A,'Cost Report'!G1356,Comprometidos!E:E)</f>
        <v>0</v>
      </c>
      <c r="L1356" s="107">
        <f t="shared" si="565"/>
        <v>64700</v>
      </c>
      <c r="M1356" s="107">
        <v>0</v>
      </c>
      <c r="N1356" s="107">
        <f t="shared" si="567"/>
        <v>64700</v>
      </c>
      <c r="O1356" s="107">
        <f>VLOOKUP(G1356,Budget!$E$3:$G$2474,3,0)</f>
        <v>125000</v>
      </c>
      <c r="P1356" s="107">
        <f t="shared" si="568"/>
        <v>60300</v>
      </c>
      <c r="Q1356" s="107"/>
      <c r="R1356" s="10"/>
      <c r="S1356" s="107">
        <v>64700</v>
      </c>
      <c r="T1356" s="107">
        <f t="shared" si="551"/>
        <v>0</v>
      </c>
      <c r="U1356" s="107"/>
      <c r="V1356" s="175"/>
      <c r="W1356" s="10"/>
      <c r="X1356" s="10"/>
      <c r="Y1356" t="str">
        <f t="shared" si="585"/>
        <v>3110</v>
      </c>
      <c r="AB1356" s="10"/>
      <c r="AC1356" s="10"/>
      <c r="AD1356" s="10"/>
      <c r="AE1356" s="10"/>
      <c r="AF1356" s="10"/>
      <c r="AG1356" s="10"/>
      <c r="AH1356" s="10"/>
      <c r="AI1356" s="10"/>
    </row>
    <row r="1357" spans="1:35">
      <c r="A1357" s="10"/>
      <c r="B1357" s="10" t="str">
        <f>+C1357</f>
        <v>Below the Line</v>
      </c>
      <c r="C1357" s="128" t="s">
        <v>20</v>
      </c>
      <c r="D1357" s="128" t="s">
        <v>2117</v>
      </c>
      <c r="E1357" s="128"/>
      <c r="F1357" s="128"/>
      <c r="G1357" s="128" t="s">
        <v>822</v>
      </c>
      <c r="H1357" s="128"/>
      <c r="I1357" s="10"/>
      <c r="J1357" s="129">
        <f>SUMIF($Y$11:$Y$2484,G1357,J$11:J$2484)</f>
        <v>272000</v>
      </c>
      <c r="K1357" s="129">
        <f>SUMIF($Y$11:$Y$2484,G1357,K$11:K$2484)</f>
        <v>0</v>
      </c>
      <c r="L1357" s="129">
        <f>SUMIF($Y$11:$Y$2484,G1357,L$11:L$2484)</f>
        <v>272000</v>
      </c>
      <c r="M1357" s="129">
        <f>SUMIF($Y$11:$Y$2484,G1357,M$11:M$2484)</f>
        <v>0</v>
      </c>
      <c r="N1357" s="129">
        <f>SUMIF($Y$11:$Y$2484,G1357,N$11:N$2484)</f>
        <v>272000</v>
      </c>
      <c r="O1357" s="129">
        <f>SUMIF($Y$11:$Y$2484,G1357,O$11:O$2484)</f>
        <v>272000</v>
      </c>
      <c r="P1357" s="129">
        <f>SUMIF($Y$11:$Y$2484,G1357,P$11:P$2484)</f>
        <v>0</v>
      </c>
      <c r="Q1357" s="129"/>
      <c r="R1357" s="10"/>
      <c r="S1357" s="129">
        <v>272000</v>
      </c>
      <c r="T1357" s="129">
        <f t="shared" si="551"/>
        <v>0</v>
      </c>
      <c r="U1357" s="128"/>
      <c r="V1357" s="175"/>
      <c r="W1357" s="10"/>
      <c r="X1357" s="10"/>
      <c r="Z1357" t="str">
        <f>LEFT(G1357,2)</f>
        <v>31</v>
      </c>
      <c r="AA1357" t="str">
        <f>+Z1357&amp;"00"</f>
        <v>3100</v>
      </c>
      <c r="AB1357" s="10"/>
      <c r="AC1357" s="10"/>
      <c r="AD1357" s="10"/>
      <c r="AE1357" s="10"/>
      <c r="AF1357" s="10"/>
      <c r="AG1357" s="10"/>
      <c r="AH1357" s="10"/>
      <c r="AI1357" s="10"/>
    </row>
    <row r="1358" spans="1:35">
      <c r="A1358" s="10"/>
      <c r="B1358" s="10" t="str">
        <f t="shared" ref="B1358:B1361" si="586">+C1358&amp;E1358</f>
        <v>Below the Line</v>
      </c>
      <c r="C1358" t="s">
        <v>20</v>
      </c>
      <c r="D1358" t="s">
        <v>19</v>
      </c>
      <c r="E1358" t="s">
        <v>214</v>
      </c>
      <c r="G1358" t="s">
        <v>823</v>
      </c>
      <c r="I1358" s="10"/>
      <c r="J1358" s="107">
        <f>SUMIF(Data!C:C,G1358,Data!Q:Q)</f>
        <v>0</v>
      </c>
      <c r="K1358" s="107">
        <f>SUMIF(Comprometidos!A:A,'Cost Report'!G1358,Comprometidos!E:E)</f>
        <v>0</v>
      </c>
      <c r="L1358" s="107">
        <f t="shared" si="565"/>
        <v>0</v>
      </c>
      <c r="M1358" s="107">
        <f t="shared" si="566"/>
        <v>0</v>
      </c>
      <c r="N1358" s="107">
        <f t="shared" si="567"/>
        <v>0</v>
      </c>
      <c r="O1358" s="107">
        <f>VLOOKUP(G1358,Budget!$E$3:$G$2474,3,0)</f>
        <v>0</v>
      </c>
      <c r="P1358" s="107">
        <f t="shared" si="568"/>
        <v>0</v>
      </c>
      <c r="Q1358" s="107"/>
      <c r="R1358" s="10"/>
      <c r="S1358" s="107">
        <v>0</v>
      </c>
      <c r="T1358" s="107">
        <f t="shared" si="551"/>
        <v>0</v>
      </c>
      <c r="U1358" s="107"/>
      <c r="V1358" s="175"/>
      <c r="W1358" s="10"/>
      <c r="X1358" s="10"/>
      <c r="Y1358" t="str">
        <f t="shared" ref="Y1358:Y1361" si="587">LEFT(G1358,4)</f>
        <v>3112</v>
      </c>
      <c r="AB1358" s="10"/>
      <c r="AC1358" s="10"/>
      <c r="AD1358" s="10"/>
      <c r="AE1358" s="10"/>
      <c r="AF1358" s="10"/>
      <c r="AG1358" s="10"/>
      <c r="AH1358" s="10"/>
      <c r="AI1358" s="10"/>
    </row>
    <row r="1359" spans="1:35">
      <c r="A1359" s="10"/>
      <c r="B1359" s="10" t="str">
        <f t="shared" si="586"/>
        <v>Below the LineSHOOT</v>
      </c>
      <c r="C1359" t="s">
        <v>20</v>
      </c>
      <c r="D1359" t="s">
        <v>19</v>
      </c>
      <c r="E1359" t="s">
        <v>236</v>
      </c>
      <c r="G1359" t="s">
        <v>824</v>
      </c>
      <c r="I1359" s="10"/>
      <c r="J1359" s="107">
        <f>SUMIF(Data!C:C,G1359,Data!Q:Q)</f>
        <v>238000</v>
      </c>
      <c r="K1359" s="107">
        <f>SUMIF(Comprometidos!A:A,'Cost Report'!G1359,Comprometidos!E:E)</f>
        <v>0</v>
      </c>
      <c r="L1359" s="107">
        <f t="shared" si="565"/>
        <v>238000</v>
      </c>
      <c r="M1359" s="107">
        <v>0</v>
      </c>
      <c r="N1359" s="107">
        <f t="shared" si="567"/>
        <v>238000</v>
      </c>
      <c r="O1359" s="107">
        <f>VLOOKUP(G1359,Budget!$E$3:$G$2474,3,0)</f>
        <v>238000</v>
      </c>
      <c r="P1359" s="107">
        <f t="shared" si="568"/>
        <v>0</v>
      </c>
      <c r="Q1359" s="107"/>
      <c r="R1359" s="10"/>
      <c r="S1359" s="107">
        <v>238000</v>
      </c>
      <c r="T1359" s="107">
        <f t="shared" si="551"/>
        <v>0</v>
      </c>
      <c r="U1359" s="107"/>
      <c r="V1359" s="175"/>
      <c r="W1359" s="10"/>
      <c r="X1359" s="10"/>
      <c r="Y1359" t="str">
        <f t="shared" si="587"/>
        <v>3112</v>
      </c>
      <c r="AB1359" s="10"/>
      <c r="AC1359" s="10"/>
      <c r="AD1359" s="10"/>
      <c r="AE1359" s="10"/>
      <c r="AF1359" s="10"/>
      <c r="AG1359" s="10"/>
      <c r="AH1359" s="10"/>
      <c r="AI1359" s="10"/>
    </row>
    <row r="1360" spans="1:35">
      <c r="A1360" s="10"/>
      <c r="B1360" s="10" t="str">
        <f t="shared" si="586"/>
        <v>Below the Line</v>
      </c>
      <c r="C1360" t="s">
        <v>20</v>
      </c>
      <c r="D1360" t="s">
        <v>19</v>
      </c>
      <c r="E1360" t="s">
        <v>214</v>
      </c>
      <c r="G1360" t="s">
        <v>2681</v>
      </c>
      <c r="I1360" s="10"/>
      <c r="J1360" s="107">
        <f>SUMIF(Data!C:C,G1360,Data!Q:Q)</f>
        <v>0</v>
      </c>
      <c r="K1360" s="107">
        <f>SUMIF(Comprometidos!A:A,'Cost Report'!G1360,Comprometidos!E:E)</f>
        <v>0</v>
      </c>
      <c r="L1360" s="107">
        <f t="shared" si="565"/>
        <v>0</v>
      </c>
      <c r="M1360" s="107">
        <f t="shared" si="566"/>
        <v>0</v>
      </c>
      <c r="N1360" s="107">
        <f t="shared" si="567"/>
        <v>0</v>
      </c>
      <c r="O1360" s="107">
        <f>VLOOKUP(G1360,Budget!$E$3:$G$2474,3,0)</f>
        <v>0</v>
      </c>
      <c r="P1360" s="107">
        <f t="shared" si="568"/>
        <v>0</v>
      </c>
      <c r="Q1360" s="107"/>
      <c r="R1360" s="10"/>
      <c r="S1360" s="107">
        <v>0</v>
      </c>
      <c r="T1360" s="107">
        <f t="shared" si="551"/>
        <v>0</v>
      </c>
      <c r="U1360" s="107"/>
      <c r="V1360" s="175"/>
      <c r="W1360" s="10"/>
      <c r="X1360" s="10"/>
      <c r="Y1360" t="str">
        <f t="shared" si="587"/>
        <v>3112</v>
      </c>
      <c r="AB1360" s="10"/>
      <c r="AC1360" s="10"/>
      <c r="AD1360" s="10"/>
      <c r="AE1360" s="10"/>
      <c r="AF1360" s="10"/>
      <c r="AG1360" s="10"/>
      <c r="AH1360" s="10"/>
      <c r="AI1360" s="10"/>
    </row>
    <row r="1361" spans="1:35">
      <c r="A1361" s="10"/>
      <c r="B1361" s="10" t="str">
        <f t="shared" si="586"/>
        <v>Below the Line2nd Unit</v>
      </c>
      <c r="C1361" t="s">
        <v>20</v>
      </c>
      <c r="D1361" t="s">
        <v>19</v>
      </c>
      <c r="E1361" t="s">
        <v>1419</v>
      </c>
      <c r="G1361" t="s">
        <v>2682</v>
      </c>
      <c r="I1361" s="10"/>
      <c r="J1361" s="107">
        <f>SUMIF(Data!C:C,G1361,Data!Q:Q)</f>
        <v>34000</v>
      </c>
      <c r="K1361" s="107">
        <f>SUMIF(Comprometidos!A:A,'Cost Report'!G1361,Comprometidos!E:E)</f>
        <v>0</v>
      </c>
      <c r="L1361" s="107">
        <f t="shared" si="565"/>
        <v>34000</v>
      </c>
      <c r="M1361" s="107">
        <v>0</v>
      </c>
      <c r="N1361" s="107">
        <f t="shared" si="567"/>
        <v>34000</v>
      </c>
      <c r="O1361" s="107">
        <f>VLOOKUP(G1361,Budget!$E$3:$G$2474,3,0)</f>
        <v>34000</v>
      </c>
      <c r="P1361" s="107">
        <f t="shared" si="568"/>
        <v>0</v>
      </c>
      <c r="Q1361" s="107"/>
      <c r="R1361" s="10"/>
      <c r="S1361" s="107">
        <v>34000</v>
      </c>
      <c r="T1361" s="107">
        <f t="shared" si="551"/>
        <v>0</v>
      </c>
      <c r="U1361" s="107"/>
      <c r="V1361" s="175"/>
      <c r="W1361" s="10"/>
      <c r="X1361" s="10"/>
      <c r="Y1361" t="str">
        <f t="shared" si="587"/>
        <v>3112</v>
      </c>
      <c r="AB1361" s="10"/>
      <c r="AC1361" s="10"/>
      <c r="AD1361" s="10"/>
      <c r="AE1361" s="10"/>
      <c r="AF1361" s="10"/>
      <c r="AG1361" s="10"/>
      <c r="AH1361" s="10"/>
      <c r="AI1361" s="10"/>
    </row>
    <row r="1362" spans="1:35">
      <c r="A1362" s="10"/>
      <c r="B1362" s="10" t="str">
        <f>+C1362</f>
        <v>Below the Line</v>
      </c>
      <c r="C1362" s="128" t="s">
        <v>20</v>
      </c>
      <c r="D1362" s="128" t="s">
        <v>2117</v>
      </c>
      <c r="E1362" s="128"/>
      <c r="F1362" s="128"/>
      <c r="G1362" s="128" t="s">
        <v>1824</v>
      </c>
      <c r="H1362" s="128"/>
      <c r="I1362" s="10"/>
      <c r="J1362" s="129">
        <f>SUMIF($Y$11:$Y$2484,G1362,J$11:J$2484)</f>
        <v>835124.99</v>
      </c>
      <c r="K1362" s="129">
        <f>SUMIF($Y$11:$Y$2484,G1362,K$11:K$2484)</f>
        <v>0</v>
      </c>
      <c r="L1362" s="129">
        <f>SUMIF($Y$11:$Y$2484,G1362,L$11:L$2484)</f>
        <v>835124.99</v>
      </c>
      <c r="M1362" s="129">
        <f>SUMIF($Y$11:$Y$2484,G1362,M$11:M$2484)</f>
        <v>0</v>
      </c>
      <c r="N1362" s="129">
        <f>SUMIF($Y$11:$Y$2484,G1362,N$11:N$2484)</f>
        <v>835124.99</v>
      </c>
      <c r="O1362" s="129">
        <f>SUMIF($Y$11:$Y$2484,G1362,O$11:O$2484)</f>
        <v>837000</v>
      </c>
      <c r="P1362" s="129">
        <f>SUMIF($Y$11:$Y$2484,G1362,P$11:P$2484)</f>
        <v>1875.0099999999948</v>
      </c>
      <c r="Q1362" s="129"/>
      <c r="R1362" s="10"/>
      <c r="S1362" s="129">
        <v>835124.99</v>
      </c>
      <c r="T1362" s="129">
        <f t="shared" si="551"/>
        <v>0</v>
      </c>
      <c r="U1362" s="128"/>
      <c r="V1362" s="175"/>
      <c r="W1362" s="10"/>
      <c r="X1362" s="10"/>
      <c r="Z1362" t="str">
        <f>LEFT(G1362,2)</f>
        <v>31</v>
      </c>
      <c r="AA1362" t="str">
        <f>+Z1362&amp;"00"</f>
        <v>3100</v>
      </c>
      <c r="AB1362" s="10"/>
      <c r="AC1362" s="10"/>
      <c r="AD1362" s="10"/>
      <c r="AE1362" s="10"/>
      <c r="AF1362" s="10"/>
      <c r="AG1362" s="10"/>
      <c r="AH1362" s="10"/>
      <c r="AI1362" s="10"/>
    </row>
    <row r="1363" spans="1:35">
      <c r="A1363" s="10"/>
      <c r="B1363" s="10" t="str">
        <f t="shared" ref="B1363:B1404" si="588">+C1363&amp;E1363</f>
        <v>Below the Line</v>
      </c>
      <c r="C1363" t="s">
        <v>20</v>
      </c>
      <c r="D1363" t="s">
        <v>19</v>
      </c>
      <c r="E1363" t="s">
        <v>214</v>
      </c>
      <c r="F1363" t="s">
        <v>5396</v>
      </c>
      <c r="G1363" t="s">
        <v>1825</v>
      </c>
      <c r="I1363" s="10"/>
      <c r="J1363" s="107">
        <f>SUMIF(Data!C:C,G1363,Data!Q:Q)</f>
        <v>0</v>
      </c>
      <c r="K1363" s="107">
        <f>SUMIF(Comprometidos!A:A,'Cost Report'!G1363,Comprometidos!E:E)</f>
        <v>0</v>
      </c>
      <c r="L1363" s="107">
        <f t="shared" si="565"/>
        <v>0</v>
      </c>
      <c r="M1363" s="107">
        <f t="shared" si="566"/>
        <v>0</v>
      </c>
      <c r="N1363" s="107">
        <f t="shared" si="567"/>
        <v>0</v>
      </c>
      <c r="O1363" s="107">
        <f>VLOOKUP(G1363,Budget!$E$3:$G$2474,3,0)</f>
        <v>0</v>
      </c>
      <c r="P1363" s="107">
        <f t="shared" si="568"/>
        <v>0</v>
      </c>
      <c r="Q1363" s="107"/>
      <c r="R1363" s="10"/>
      <c r="S1363" s="107">
        <v>0</v>
      </c>
      <c r="T1363" s="107">
        <f t="shared" si="551"/>
        <v>0</v>
      </c>
      <c r="U1363" s="107"/>
      <c r="V1363" s="175"/>
      <c r="W1363" s="10"/>
      <c r="X1363" s="10"/>
      <c r="Y1363" t="str">
        <f t="shared" ref="Y1363:Y1401" si="589">LEFT(G1363,4)</f>
        <v>3145</v>
      </c>
      <c r="AB1363" s="10"/>
      <c r="AC1363" s="10"/>
      <c r="AD1363" s="10"/>
      <c r="AE1363" s="10"/>
      <c r="AF1363" s="10"/>
      <c r="AG1363" s="10"/>
      <c r="AH1363" s="10"/>
      <c r="AI1363" s="10"/>
    </row>
    <row r="1364" spans="1:35">
      <c r="A1364" s="10"/>
      <c r="B1364" s="10" t="str">
        <f t="shared" si="588"/>
        <v>Below the LinePREP</v>
      </c>
      <c r="C1364" t="s">
        <v>20</v>
      </c>
      <c r="D1364" t="s">
        <v>19</v>
      </c>
      <c r="E1364" t="s">
        <v>234</v>
      </c>
      <c r="F1364" t="s">
        <v>5396</v>
      </c>
      <c r="G1364" t="s">
        <v>1826</v>
      </c>
      <c r="I1364" s="10"/>
      <c r="J1364" s="107">
        <f>SUMIF(Data!C:C,G1364,Data!Q:Q)</f>
        <v>0</v>
      </c>
      <c r="K1364" s="107">
        <f>SUMIF(Comprometidos!A:A,'Cost Report'!G1364,Comprometidos!E:E)</f>
        <v>0</v>
      </c>
      <c r="L1364" s="107">
        <f t="shared" si="565"/>
        <v>0</v>
      </c>
      <c r="M1364" s="107">
        <v>0</v>
      </c>
      <c r="N1364" s="107">
        <f t="shared" si="567"/>
        <v>0</v>
      </c>
      <c r="O1364" s="107">
        <f>VLOOKUP(G1364,Budget!$E$3:$G$2474,3,0)</f>
        <v>8625</v>
      </c>
      <c r="P1364" s="107">
        <f t="shared" si="568"/>
        <v>8625</v>
      </c>
      <c r="Q1364" s="107"/>
      <c r="R1364" s="10"/>
      <c r="S1364" s="107">
        <v>0</v>
      </c>
      <c r="T1364" s="107">
        <f t="shared" ref="T1364:T1431" si="590">+S1364-N1364</f>
        <v>0</v>
      </c>
      <c r="U1364" s="107"/>
      <c r="V1364" s="175"/>
      <c r="W1364" s="10"/>
      <c r="X1364" s="10"/>
      <c r="Y1364" t="str">
        <f t="shared" si="589"/>
        <v>3145</v>
      </c>
      <c r="AB1364" s="10"/>
      <c r="AC1364" s="10"/>
      <c r="AD1364" s="10"/>
      <c r="AE1364" s="10"/>
      <c r="AF1364" s="10"/>
      <c r="AG1364" s="10"/>
      <c r="AH1364" s="10"/>
      <c r="AI1364" s="10"/>
    </row>
    <row r="1365" spans="1:35">
      <c r="A1365" s="10"/>
      <c r="B1365" s="10" t="str">
        <f t="shared" si="588"/>
        <v>Below the LineSHOOT</v>
      </c>
      <c r="C1365" t="s">
        <v>20</v>
      </c>
      <c r="D1365" t="s">
        <v>19</v>
      </c>
      <c r="E1365" t="s">
        <v>236</v>
      </c>
      <c r="F1365" t="s">
        <v>5396</v>
      </c>
      <c r="G1365" t="s">
        <v>1827</v>
      </c>
      <c r="I1365" s="10"/>
      <c r="J1365" s="107">
        <f>SUMIF(Data!C:C,G1365,Data!Q:Q)</f>
        <v>120750</v>
      </c>
      <c r="K1365" s="107">
        <f>SUMIF(Comprometidos!A:A,'Cost Report'!G1365,Comprometidos!E:E)</f>
        <v>0</v>
      </c>
      <c r="L1365" s="107">
        <f t="shared" si="565"/>
        <v>120750</v>
      </c>
      <c r="M1365" s="107">
        <f t="shared" si="566"/>
        <v>0</v>
      </c>
      <c r="N1365" s="107">
        <f t="shared" si="567"/>
        <v>120750</v>
      </c>
      <c r="O1365" s="107">
        <f>VLOOKUP(G1365,Budget!$E$3:$G$2474,3,0)</f>
        <v>120750</v>
      </c>
      <c r="P1365" s="107">
        <f t="shared" si="568"/>
        <v>0</v>
      </c>
      <c r="Q1365" s="107"/>
      <c r="R1365" s="10"/>
      <c r="S1365" s="107">
        <v>120750</v>
      </c>
      <c r="T1365" s="107">
        <f t="shared" si="590"/>
        <v>0</v>
      </c>
      <c r="U1365" s="107"/>
      <c r="V1365" s="175"/>
      <c r="W1365" s="10"/>
      <c r="X1365" s="10"/>
      <c r="Y1365" t="str">
        <f t="shared" si="589"/>
        <v>3145</v>
      </c>
      <c r="AB1365" s="10"/>
      <c r="AC1365" s="10"/>
      <c r="AD1365" s="10"/>
      <c r="AE1365" s="10"/>
      <c r="AF1365" s="10"/>
      <c r="AG1365" s="10"/>
      <c r="AH1365" s="10"/>
      <c r="AI1365" s="10"/>
    </row>
    <row r="1366" spans="1:35">
      <c r="A1366" s="10"/>
      <c r="B1366" s="10" t="str">
        <f t="shared" si="588"/>
        <v>Below the LineWRAP</v>
      </c>
      <c r="C1366" t="s">
        <v>20</v>
      </c>
      <c r="D1366" t="s">
        <v>19</v>
      </c>
      <c r="E1366" t="s">
        <v>238</v>
      </c>
      <c r="F1366" t="s">
        <v>5396</v>
      </c>
      <c r="G1366" t="s">
        <v>1828</v>
      </c>
      <c r="I1366" s="10"/>
      <c r="J1366" s="107">
        <f>SUMIF(Data!C:C,G1366,Data!Q:Q)</f>
        <v>5750</v>
      </c>
      <c r="K1366" s="107">
        <f>SUMIF(Comprometidos!A:A,'Cost Report'!G1366,Comprometidos!E:E)</f>
        <v>0</v>
      </c>
      <c r="L1366" s="107">
        <f t="shared" si="565"/>
        <v>5750</v>
      </c>
      <c r="M1366" s="107">
        <v>0</v>
      </c>
      <c r="N1366" s="107">
        <f t="shared" si="567"/>
        <v>5750</v>
      </c>
      <c r="O1366" s="107">
        <f>VLOOKUP(G1366,Budget!$E$3:$G$2474,3,0)</f>
        <v>8625</v>
      </c>
      <c r="P1366" s="107">
        <f t="shared" si="568"/>
        <v>2875</v>
      </c>
      <c r="Q1366" s="107"/>
      <c r="R1366" s="10"/>
      <c r="S1366" s="107">
        <v>5750</v>
      </c>
      <c r="T1366" s="107">
        <f t="shared" si="590"/>
        <v>0</v>
      </c>
      <c r="U1366" s="107"/>
      <c r="V1366" s="175"/>
      <c r="W1366" s="10"/>
      <c r="X1366" s="10"/>
      <c r="Y1366" t="str">
        <f t="shared" si="589"/>
        <v>3145</v>
      </c>
      <c r="AB1366" s="10"/>
      <c r="AC1366" s="10"/>
      <c r="AD1366" s="10"/>
      <c r="AE1366" s="10"/>
      <c r="AF1366" s="10"/>
      <c r="AG1366" s="10"/>
      <c r="AH1366" s="10"/>
      <c r="AI1366" s="10"/>
    </row>
    <row r="1367" spans="1:35">
      <c r="A1367" s="10"/>
      <c r="B1367" s="10" t="str">
        <f t="shared" si="588"/>
        <v>Below the Line</v>
      </c>
      <c r="C1367" t="s">
        <v>20</v>
      </c>
      <c r="D1367" t="s">
        <v>19</v>
      </c>
      <c r="E1367" t="s">
        <v>214</v>
      </c>
      <c r="F1367" t="s">
        <v>5396</v>
      </c>
      <c r="G1367" t="s">
        <v>1829</v>
      </c>
      <c r="I1367" s="10"/>
      <c r="J1367" s="107">
        <f>SUMIF(Data!C:C,G1367,Data!Q:Q)</f>
        <v>0</v>
      </c>
      <c r="K1367" s="107">
        <f>SUMIF(Comprometidos!A:A,'Cost Report'!G1367,Comprometidos!E:E)</f>
        <v>0</v>
      </c>
      <c r="L1367" s="107">
        <f t="shared" si="565"/>
        <v>0</v>
      </c>
      <c r="M1367" s="107">
        <f t="shared" si="566"/>
        <v>0</v>
      </c>
      <c r="N1367" s="107">
        <f t="shared" si="567"/>
        <v>0</v>
      </c>
      <c r="O1367" s="107">
        <f>VLOOKUP(G1367,Budget!$E$3:$G$2474,3,0)</f>
        <v>0</v>
      </c>
      <c r="P1367" s="107">
        <f t="shared" si="568"/>
        <v>0</v>
      </c>
      <c r="Q1367" s="107"/>
      <c r="R1367" s="10"/>
      <c r="S1367" s="107">
        <v>0</v>
      </c>
      <c r="T1367" s="107">
        <f t="shared" si="590"/>
        <v>0</v>
      </c>
      <c r="U1367" s="107"/>
      <c r="V1367" s="175"/>
      <c r="W1367" s="10"/>
      <c r="X1367" s="10"/>
      <c r="Y1367" t="str">
        <f t="shared" si="589"/>
        <v>3145</v>
      </c>
      <c r="AB1367" s="10"/>
      <c r="AC1367" s="10"/>
      <c r="AD1367" s="10"/>
      <c r="AE1367" s="10"/>
      <c r="AF1367" s="10"/>
      <c r="AG1367" s="10"/>
      <c r="AH1367" s="10"/>
      <c r="AI1367" s="10"/>
    </row>
    <row r="1368" spans="1:35">
      <c r="A1368" s="10"/>
      <c r="B1368" s="10" t="str">
        <f t="shared" si="588"/>
        <v>Below the LinePREP</v>
      </c>
      <c r="C1368" t="s">
        <v>20</v>
      </c>
      <c r="D1368" t="s">
        <v>19</v>
      </c>
      <c r="E1368" t="s">
        <v>234</v>
      </c>
      <c r="F1368" t="s">
        <v>5396</v>
      </c>
      <c r="G1368" t="s">
        <v>1830</v>
      </c>
      <c r="I1368" s="10"/>
      <c r="J1368" s="107">
        <f>SUMIF(Data!C:C,G1368,Data!Q:Q)</f>
        <v>5750</v>
      </c>
      <c r="K1368" s="107">
        <f>SUMIF(Comprometidos!A:A,'Cost Report'!G1368,Comprometidos!E:E)</f>
        <v>0</v>
      </c>
      <c r="L1368" s="107">
        <f t="shared" si="565"/>
        <v>5750</v>
      </c>
      <c r="M1368" s="107">
        <v>0</v>
      </c>
      <c r="N1368" s="107">
        <f t="shared" si="567"/>
        <v>5750</v>
      </c>
      <c r="O1368" s="107">
        <f>VLOOKUP(G1368,Budget!$E$3:$G$2474,3,0)</f>
        <v>8625</v>
      </c>
      <c r="P1368" s="107">
        <f t="shared" si="568"/>
        <v>2875</v>
      </c>
      <c r="Q1368" s="107"/>
      <c r="R1368" s="10"/>
      <c r="S1368" s="107">
        <v>5750</v>
      </c>
      <c r="T1368" s="107">
        <f t="shared" si="590"/>
        <v>0</v>
      </c>
      <c r="U1368" s="107"/>
      <c r="V1368" s="175"/>
      <c r="W1368" s="10"/>
      <c r="X1368" s="10"/>
      <c r="Y1368" t="str">
        <f t="shared" si="589"/>
        <v>3145</v>
      </c>
      <c r="AB1368" s="10"/>
      <c r="AC1368" s="10"/>
      <c r="AD1368" s="10"/>
      <c r="AE1368" s="10"/>
      <c r="AF1368" s="10"/>
      <c r="AG1368" s="10"/>
      <c r="AH1368" s="10"/>
      <c r="AI1368" s="10"/>
    </row>
    <row r="1369" spans="1:35">
      <c r="A1369" s="10"/>
      <c r="B1369" s="10" t="str">
        <f t="shared" si="588"/>
        <v>Below the LineSHOOT</v>
      </c>
      <c r="C1369" t="s">
        <v>20</v>
      </c>
      <c r="D1369" t="s">
        <v>19</v>
      </c>
      <c r="E1369" t="s">
        <v>236</v>
      </c>
      <c r="F1369" t="s">
        <v>5396</v>
      </c>
      <c r="G1369" t="s">
        <v>1831</v>
      </c>
      <c r="I1369" s="10"/>
      <c r="J1369" s="107">
        <f>SUMIF(Data!C:C,G1369,Data!Q:Q)</f>
        <v>120750</v>
      </c>
      <c r="K1369" s="107">
        <f>SUMIF(Comprometidos!A:A,'Cost Report'!G1369,Comprometidos!E:E)</f>
        <v>0</v>
      </c>
      <c r="L1369" s="107">
        <f t="shared" si="565"/>
        <v>120750</v>
      </c>
      <c r="M1369" s="107">
        <f t="shared" si="566"/>
        <v>0</v>
      </c>
      <c r="N1369" s="107">
        <f t="shared" si="567"/>
        <v>120750</v>
      </c>
      <c r="O1369" s="107">
        <f>VLOOKUP(G1369,Budget!$E$3:$G$2474,3,0)</f>
        <v>120750</v>
      </c>
      <c r="P1369" s="107">
        <f t="shared" si="568"/>
        <v>0</v>
      </c>
      <c r="Q1369" s="107"/>
      <c r="R1369" s="10"/>
      <c r="S1369" s="107">
        <v>120750</v>
      </c>
      <c r="T1369" s="107">
        <f t="shared" si="590"/>
        <v>0</v>
      </c>
      <c r="U1369" s="107"/>
      <c r="V1369" s="175"/>
      <c r="W1369" s="10"/>
      <c r="X1369" s="10"/>
      <c r="Y1369" t="str">
        <f t="shared" si="589"/>
        <v>3145</v>
      </c>
      <c r="AB1369" s="10"/>
      <c r="AC1369" s="10"/>
      <c r="AD1369" s="10"/>
      <c r="AE1369" s="10"/>
      <c r="AF1369" s="10"/>
      <c r="AG1369" s="10"/>
      <c r="AH1369" s="10"/>
      <c r="AI1369" s="10"/>
    </row>
    <row r="1370" spans="1:35">
      <c r="A1370" s="10"/>
      <c r="B1370" s="10" t="str">
        <f t="shared" si="588"/>
        <v>Below the LineWRAP</v>
      </c>
      <c r="C1370" t="s">
        <v>20</v>
      </c>
      <c r="D1370" t="s">
        <v>19</v>
      </c>
      <c r="E1370" t="s">
        <v>238</v>
      </c>
      <c r="F1370" t="s">
        <v>5396</v>
      </c>
      <c r="G1370" t="s">
        <v>1832</v>
      </c>
      <c r="I1370" s="10"/>
      <c r="J1370" s="107">
        <f>SUMIF(Data!C:C,G1370,Data!Q:Q)</f>
        <v>5750</v>
      </c>
      <c r="K1370" s="107">
        <f>SUMIF(Comprometidos!A:A,'Cost Report'!G1370,Comprometidos!E:E)</f>
        <v>0</v>
      </c>
      <c r="L1370" s="107">
        <f t="shared" si="565"/>
        <v>5750</v>
      </c>
      <c r="M1370" s="107">
        <v>0</v>
      </c>
      <c r="N1370" s="107">
        <f t="shared" si="567"/>
        <v>5750</v>
      </c>
      <c r="O1370" s="107">
        <f>VLOOKUP(G1370,Budget!$E$3:$G$2474,3,0)</f>
        <v>8625</v>
      </c>
      <c r="P1370" s="107">
        <f t="shared" si="568"/>
        <v>2875</v>
      </c>
      <c r="Q1370" s="107"/>
      <c r="R1370" s="10"/>
      <c r="S1370" s="107">
        <v>5750</v>
      </c>
      <c r="T1370" s="107">
        <f t="shared" si="590"/>
        <v>0</v>
      </c>
      <c r="U1370" s="107"/>
      <c r="V1370" s="175"/>
      <c r="W1370" s="10"/>
      <c r="X1370" s="10"/>
      <c r="Y1370" t="str">
        <f t="shared" si="589"/>
        <v>3145</v>
      </c>
      <c r="AB1370" s="10"/>
      <c r="AC1370" s="10"/>
      <c r="AD1370" s="10"/>
      <c r="AE1370" s="10"/>
      <c r="AF1370" s="10"/>
      <c r="AG1370" s="10"/>
      <c r="AH1370" s="10"/>
      <c r="AI1370" s="10"/>
    </row>
    <row r="1371" spans="1:35">
      <c r="A1371" s="10"/>
      <c r="B1371" s="10" t="str">
        <f t="shared" si="588"/>
        <v>Below the Line</v>
      </c>
      <c r="C1371" t="s">
        <v>20</v>
      </c>
      <c r="D1371" t="s">
        <v>19</v>
      </c>
      <c r="E1371" t="s">
        <v>214</v>
      </c>
      <c r="F1371" t="s">
        <v>5396</v>
      </c>
      <c r="G1371" t="s">
        <v>1833</v>
      </c>
      <c r="I1371" s="10"/>
      <c r="J1371" s="107">
        <f>SUMIF(Data!C:C,G1371,Data!Q:Q)</f>
        <v>0</v>
      </c>
      <c r="K1371" s="107">
        <f>SUMIF(Comprometidos!A:A,'Cost Report'!G1371,Comprometidos!E:E)</f>
        <v>0</v>
      </c>
      <c r="L1371" s="107">
        <f t="shared" si="565"/>
        <v>0</v>
      </c>
      <c r="M1371" s="107">
        <f t="shared" si="566"/>
        <v>0</v>
      </c>
      <c r="N1371" s="107">
        <f t="shared" si="567"/>
        <v>0</v>
      </c>
      <c r="O1371" s="107">
        <f>VLOOKUP(G1371,Budget!$E$3:$G$2474,3,0)</f>
        <v>0</v>
      </c>
      <c r="P1371" s="107">
        <f t="shared" si="568"/>
        <v>0</v>
      </c>
      <c r="Q1371" s="107"/>
      <c r="R1371" s="10"/>
      <c r="S1371" s="107">
        <v>0</v>
      </c>
      <c r="T1371" s="107">
        <f t="shared" si="590"/>
        <v>0</v>
      </c>
      <c r="U1371" s="107"/>
      <c r="V1371" s="175"/>
      <c r="W1371" s="10"/>
      <c r="X1371" s="10"/>
      <c r="Y1371" t="str">
        <f t="shared" si="589"/>
        <v>3145</v>
      </c>
      <c r="AB1371" s="10"/>
      <c r="AC1371" s="10"/>
      <c r="AD1371" s="10"/>
      <c r="AE1371" s="10"/>
      <c r="AF1371" s="10"/>
      <c r="AG1371" s="10"/>
      <c r="AH1371" s="10"/>
      <c r="AI1371" s="10"/>
    </row>
    <row r="1372" spans="1:35">
      <c r="A1372" s="10"/>
      <c r="B1372" s="10" t="str">
        <f t="shared" si="588"/>
        <v>Below the LinePREP</v>
      </c>
      <c r="C1372" t="s">
        <v>20</v>
      </c>
      <c r="D1372" t="s">
        <v>19</v>
      </c>
      <c r="E1372" t="s">
        <v>234</v>
      </c>
      <c r="F1372" t="s">
        <v>5396</v>
      </c>
      <c r="G1372" t="s">
        <v>1834</v>
      </c>
      <c r="I1372" s="10"/>
      <c r="J1372" s="107">
        <f>SUMIF(Data!C:C,G1372,Data!Q:Q)</f>
        <v>7500</v>
      </c>
      <c r="K1372" s="107">
        <f>SUMIF(Comprometidos!A:A,'Cost Report'!G1372,Comprometidos!E:E)</f>
        <v>0</v>
      </c>
      <c r="L1372" s="107">
        <f t="shared" si="565"/>
        <v>7500</v>
      </c>
      <c r="M1372" s="107">
        <f t="shared" si="566"/>
        <v>0</v>
      </c>
      <c r="N1372" s="107">
        <f t="shared" si="567"/>
        <v>7500</v>
      </c>
      <c r="O1372" s="107">
        <f>VLOOKUP(G1372,Budget!$E$3:$G$2474,3,0)</f>
        <v>7500</v>
      </c>
      <c r="P1372" s="107">
        <f t="shared" si="568"/>
        <v>0</v>
      </c>
      <c r="Q1372" s="107"/>
      <c r="R1372" s="10"/>
      <c r="S1372" s="107">
        <v>7500</v>
      </c>
      <c r="T1372" s="107">
        <f t="shared" si="590"/>
        <v>0</v>
      </c>
      <c r="U1372" s="107"/>
      <c r="V1372" s="175"/>
      <c r="W1372" s="10"/>
      <c r="X1372" s="10"/>
      <c r="Y1372" t="str">
        <f t="shared" si="589"/>
        <v>3145</v>
      </c>
      <c r="AB1372" s="10"/>
      <c r="AC1372" s="10"/>
      <c r="AD1372" s="10"/>
      <c r="AE1372" s="10"/>
      <c r="AF1372" s="10"/>
      <c r="AG1372" s="10"/>
      <c r="AH1372" s="10"/>
      <c r="AI1372" s="10"/>
    </row>
    <row r="1373" spans="1:35">
      <c r="A1373" s="10"/>
      <c r="B1373" s="10" t="str">
        <f t="shared" si="588"/>
        <v>Below the LineSHOOT</v>
      </c>
      <c r="C1373" t="s">
        <v>20</v>
      </c>
      <c r="D1373" t="s">
        <v>19</v>
      </c>
      <c r="E1373" t="s">
        <v>236</v>
      </c>
      <c r="F1373" t="s">
        <v>5396</v>
      </c>
      <c r="G1373" t="s">
        <v>1835</v>
      </c>
      <c r="I1373" s="10"/>
      <c r="J1373" s="107">
        <f>SUMIF(Data!C:C,G1373,Data!Q:Q)</f>
        <v>107500</v>
      </c>
      <c r="K1373" s="107">
        <f>SUMIF(Comprometidos!A:A,'Cost Report'!G1373,Comprometidos!E:E)</f>
        <v>0</v>
      </c>
      <c r="L1373" s="107">
        <f t="shared" si="565"/>
        <v>107500</v>
      </c>
      <c r="M1373" s="107">
        <v>0</v>
      </c>
      <c r="N1373" s="107">
        <f t="shared" si="567"/>
        <v>107500</v>
      </c>
      <c r="O1373" s="107">
        <f>VLOOKUP(G1373,Budget!$E$3:$G$2474,3,0)</f>
        <v>105000</v>
      </c>
      <c r="P1373" s="107">
        <f t="shared" si="568"/>
        <v>-2500</v>
      </c>
      <c r="Q1373" s="107"/>
      <c r="R1373" s="10"/>
      <c r="S1373" s="107">
        <v>107500</v>
      </c>
      <c r="T1373" s="107">
        <f t="shared" si="590"/>
        <v>0</v>
      </c>
      <c r="U1373" s="107"/>
      <c r="V1373" s="175"/>
      <c r="W1373" s="10"/>
      <c r="X1373" s="10"/>
      <c r="Y1373" t="str">
        <f t="shared" si="589"/>
        <v>3145</v>
      </c>
      <c r="AB1373" s="10"/>
      <c r="AC1373" s="10"/>
      <c r="AD1373" s="10"/>
      <c r="AE1373" s="10"/>
      <c r="AF1373" s="10"/>
      <c r="AG1373" s="10"/>
      <c r="AH1373" s="10"/>
      <c r="AI1373" s="10"/>
    </row>
    <row r="1374" spans="1:35">
      <c r="A1374" s="10"/>
      <c r="B1374" s="10" t="str">
        <f t="shared" si="588"/>
        <v>Below the Line</v>
      </c>
      <c r="C1374" t="s">
        <v>20</v>
      </c>
      <c r="D1374" t="s">
        <v>19</v>
      </c>
      <c r="E1374" t="s">
        <v>214</v>
      </c>
      <c r="F1374" t="s">
        <v>5396</v>
      </c>
      <c r="G1374" t="s">
        <v>1836</v>
      </c>
      <c r="I1374" s="10"/>
      <c r="J1374" s="107">
        <f>SUMIF(Data!C:C,G1374,Data!Q:Q)</f>
        <v>0</v>
      </c>
      <c r="K1374" s="107">
        <f>SUMIF(Comprometidos!A:A,'Cost Report'!G1374,Comprometidos!E:E)</f>
        <v>0</v>
      </c>
      <c r="L1374" s="107">
        <f t="shared" si="565"/>
        <v>0</v>
      </c>
      <c r="M1374" s="107">
        <f t="shared" si="566"/>
        <v>0</v>
      </c>
      <c r="N1374" s="107">
        <f t="shared" si="567"/>
        <v>0</v>
      </c>
      <c r="O1374" s="107">
        <f>VLOOKUP(G1374,Budget!$E$3:$G$2474,3,0)</f>
        <v>0</v>
      </c>
      <c r="P1374" s="107">
        <f t="shared" si="568"/>
        <v>0</v>
      </c>
      <c r="Q1374" s="107"/>
      <c r="R1374" s="10"/>
      <c r="S1374" s="107">
        <v>0</v>
      </c>
      <c r="T1374" s="107">
        <f t="shared" si="590"/>
        <v>0</v>
      </c>
      <c r="U1374" s="107"/>
      <c r="V1374" s="175"/>
      <c r="W1374" s="10"/>
      <c r="X1374" s="10"/>
      <c r="Y1374" t="str">
        <f t="shared" si="589"/>
        <v>3145</v>
      </c>
      <c r="AB1374" s="10"/>
      <c r="AC1374" s="10"/>
      <c r="AD1374" s="10"/>
      <c r="AE1374" s="10"/>
      <c r="AF1374" s="10"/>
      <c r="AG1374" s="10"/>
      <c r="AH1374" s="10"/>
      <c r="AI1374" s="10"/>
    </row>
    <row r="1375" spans="1:35">
      <c r="A1375" s="10"/>
      <c r="B1375" s="10" t="str">
        <f t="shared" si="588"/>
        <v>Below the LinePREP</v>
      </c>
      <c r="C1375" t="s">
        <v>20</v>
      </c>
      <c r="D1375" t="s">
        <v>19</v>
      </c>
      <c r="E1375" t="s">
        <v>234</v>
      </c>
      <c r="F1375" t="s">
        <v>5396</v>
      </c>
      <c r="G1375" t="s">
        <v>1837</v>
      </c>
      <c r="I1375" s="10"/>
      <c r="J1375" s="107">
        <f>SUMIF(Data!C:C,G1375,Data!Q:Q)</f>
        <v>7500</v>
      </c>
      <c r="K1375" s="107">
        <f>SUMIF(Comprometidos!A:A,'Cost Report'!G1375,Comprometidos!E:E)</f>
        <v>0</v>
      </c>
      <c r="L1375" s="107">
        <f t="shared" si="565"/>
        <v>7500</v>
      </c>
      <c r="M1375" s="107">
        <f t="shared" si="566"/>
        <v>0</v>
      </c>
      <c r="N1375" s="107">
        <f t="shared" si="567"/>
        <v>7500</v>
      </c>
      <c r="O1375" s="107">
        <f>VLOOKUP(G1375,Budget!$E$3:$G$2474,3,0)</f>
        <v>7500</v>
      </c>
      <c r="P1375" s="107">
        <f t="shared" si="568"/>
        <v>0</v>
      </c>
      <c r="Q1375" s="107"/>
      <c r="R1375" s="10"/>
      <c r="S1375" s="107">
        <v>7500</v>
      </c>
      <c r="T1375" s="107">
        <f t="shared" si="590"/>
        <v>0</v>
      </c>
      <c r="U1375" s="107"/>
      <c r="V1375" s="175"/>
      <c r="W1375" s="10"/>
      <c r="X1375" s="10"/>
      <c r="Y1375" t="str">
        <f t="shared" si="589"/>
        <v>3145</v>
      </c>
      <c r="AB1375" s="10"/>
      <c r="AC1375" s="10"/>
      <c r="AD1375" s="10"/>
      <c r="AE1375" s="10"/>
      <c r="AF1375" s="10"/>
      <c r="AG1375" s="10"/>
      <c r="AH1375" s="10"/>
      <c r="AI1375" s="10"/>
    </row>
    <row r="1376" spans="1:35">
      <c r="A1376" s="10"/>
      <c r="B1376" s="10" t="str">
        <f t="shared" si="588"/>
        <v>Below the LineSHOOT</v>
      </c>
      <c r="C1376" t="s">
        <v>20</v>
      </c>
      <c r="D1376" t="s">
        <v>19</v>
      </c>
      <c r="E1376" t="s">
        <v>236</v>
      </c>
      <c r="F1376" t="s">
        <v>5396</v>
      </c>
      <c r="G1376" t="s">
        <v>1838</v>
      </c>
      <c r="I1376" s="10"/>
      <c r="J1376" s="107">
        <f>SUMIF(Data!C:C,G1376,Data!Q:Q)</f>
        <v>77500</v>
      </c>
      <c r="K1376" s="107">
        <f>SUMIF(Comprometidos!A:A,'Cost Report'!G1376,Comprometidos!E:E)</f>
        <v>0</v>
      </c>
      <c r="L1376" s="107">
        <f t="shared" si="565"/>
        <v>77500</v>
      </c>
      <c r="M1376" s="107">
        <v>0</v>
      </c>
      <c r="N1376" s="107">
        <f t="shared" si="567"/>
        <v>77500</v>
      </c>
      <c r="O1376" s="107">
        <f>VLOOKUP(G1376,Budget!$E$3:$G$2474,3,0)</f>
        <v>105000</v>
      </c>
      <c r="P1376" s="107">
        <f t="shared" si="568"/>
        <v>27500</v>
      </c>
      <c r="Q1376" s="107"/>
      <c r="R1376" s="10"/>
      <c r="S1376" s="107">
        <v>77500</v>
      </c>
      <c r="T1376" s="107">
        <f t="shared" si="590"/>
        <v>0</v>
      </c>
      <c r="U1376" s="107"/>
      <c r="V1376" s="175"/>
      <c r="W1376" s="10"/>
      <c r="X1376" s="10"/>
      <c r="Y1376" t="str">
        <f t="shared" si="589"/>
        <v>3145</v>
      </c>
      <c r="AB1376" s="10"/>
      <c r="AC1376" s="10"/>
      <c r="AD1376" s="10"/>
      <c r="AE1376" s="10"/>
      <c r="AF1376" s="10"/>
      <c r="AG1376" s="10"/>
      <c r="AH1376" s="10"/>
      <c r="AI1376" s="10"/>
    </row>
    <row r="1377" spans="1:35">
      <c r="A1377" s="10"/>
      <c r="B1377" s="10" t="str">
        <f t="shared" si="588"/>
        <v>Below the Line</v>
      </c>
      <c r="C1377" t="s">
        <v>20</v>
      </c>
      <c r="D1377" t="s">
        <v>19</v>
      </c>
      <c r="E1377" t="s">
        <v>214</v>
      </c>
      <c r="F1377" t="s">
        <v>5396</v>
      </c>
      <c r="G1377" t="s">
        <v>1839</v>
      </c>
      <c r="I1377" s="10"/>
      <c r="J1377" s="107">
        <f>SUMIF(Data!C:C,G1377,Data!Q:Q)</f>
        <v>0</v>
      </c>
      <c r="K1377" s="107">
        <f>SUMIF(Comprometidos!A:A,'Cost Report'!G1377,Comprometidos!E:E)</f>
        <v>0</v>
      </c>
      <c r="L1377" s="107">
        <f t="shared" si="565"/>
        <v>0</v>
      </c>
      <c r="M1377" s="107">
        <f t="shared" si="566"/>
        <v>0</v>
      </c>
      <c r="N1377" s="107">
        <f t="shared" si="567"/>
        <v>0</v>
      </c>
      <c r="O1377" s="107">
        <f>VLOOKUP(G1377,Budget!$E$3:$G$2474,3,0)</f>
        <v>0</v>
      </c>
      <c r="P1377" s="107">
        <f t="shared" si="568"/>
        <v>0</v>
      </c>
      <c r="Q1377" s="107"/>
      <c r="R1377" s="10"/>
      <c r="S1377" s="107">
        <v>0</v>
      </c>
      <c r="T1377" s="107">
        <f t="shared" si="590"/>
        <v>0</v>
      </c>
      <c r="U1377" s="107"/>
      <c r="V1377" s="175"/>
      <c r="W1377" s="10"/>
      <c r="X1377" s="10"/>
      <c r="Y1377" t="str">
        <f t="shared" si="589"/>
        <v>3145</v>
      </c>
      <c r="AB1377" s="10"/>
      <c r="AC1377" s="10"/>
      <c r="AD1377" s="10"/>
      <c r="AE1377" s="10"/>
      <c r="AF1377" s="10"/>
      <c r="AG1377" s="10"/>
      <c r="AH1377" s="10"/>
      <c r="AI1377" s="10"/>
    </row>
    <row r="1378" spans="1:35">
      <c r="A1378" s="10"/>
      <c r="B1378" s="10" t="str">
        <f t="shared" si="588"/>
        <v>Below the LinePREP</v>
      </c>
      <c r="C1378" t="s">
        <v>20</v>
      </c>
      <c r="D1378" t="s">
        <v>19</v>
      </c>
      <c r="E1378" t="s">
        <v>234</v>
      </c>
      <c r="F1378" t="s">
        <v>5396</v>
      </c>
      <c r="G1378" t="s">
        <v>1840</v>
      </c>
      <c r="I1378" s="10"/>
      <c r="J1378" s="107">
        <f>SUMIF(Data!C:C,G1378,Data!Q:Q)</f>
        <v>5000</v>
      </c>
      <c r="K1378" s="107">
        <f>SUMIF(Comprometidos!A:A,'Cost Report'!G1378,Comprometidos!E:E)</f>
        <v>0</v>
      </c>
      <c r="L1378" s="107">
        <f t="shared" si="565"/>
        <v>5000</v>
      </c>
      <c r="M1378" s="107">
        <f>+O1378-L1378-2500</f>
        <v>0</v>
      </c>
      <c r="N1378" s="107">
        <f t="shared" si="567"/>
        <v>5000</v>
      </c>
      <c r="O1378" s="107">
        <f>VLOOKUP(G1378,Budget!$E$3:$G$2474,3,0)</f>
        <v>7500</v>
      </c>
      <c r="P1378" s="107">
        <f t="shared" si="568"/>
        <v>2500</v>
      </c>
      <c r="Q1378" s="107"/>
      <c r="R1378" s="10"/>
      <c r="S1378" s="107">
        <v>5000</v>
      </c>
      <c r="T1378" s="107">
        <f t="shared" si="590"/>
        <v>0</v>
      </c>
      <c r="U1378" s="107"/>
      <c r="V1378" s="175"/>
      <c r="W1378" s="10"/>
      <c r="X1378" s="10"/>
      <c r="Y1378" t="str">
        <f t="shared" si="589"/>
        <v>3145</v>
      </c>
      <c r="AB1378" s="10"/>
      <c r="AC1378" s="10"/>
      <c r="AD1378" s="10"/>
      <c r="AE1378" s="10"/>
      <c r="AF1378" s="10"/>
      <c r="AG1378" s="10"/>
      <c r="AH1378" s="10"/>
      <c r="AI1378" s="10"/>
    </row>
    <row r="1379" spans="1:35">
      <c r="A1379" s="10"/>
      <c r="B1379" s="10" t="str">
        <f t="shared" si="588"/>
        <v>Below the LineSHOOT</v>
      </c>
      <c r="C1379" t="s">
        <v>20</v>
      </c>
      <c r="D1379" t="s">
        <v>19</v>
      </c>
      <c r="E1379" t="s">
        <v>236</v>
      </c>
      <c r="F1379" t="s">
        <v>5396</v>
      </c>
      <c r="G1379" t="s">
        <v>1841</v>
      </c>
      <c r="I1379" s="10"/>
      <c r="J1379" s="107">
        <f>SUMIF(Data!C:C,G1379,Data!Q:Q)</f>
        <v>105000</v>
      </c>
      <c r="K1379" s="107">
        <f>SUMIF(Comprometidos!A:A,'Cost Report'!G1379,Comprometidos!E:E)</f>
        <v>0</v>
      </c>
      <c r="L1379" s="107">
        <f t="shared" ref="L1379:L1401" si="591">+J1379+K1379</f>
        <v>105000</v>
      </c>
      <c r="M1379" s="107">
        <f t="shared" ref="M1379:M1400" si="592">+O1379-L1379</f>
        <v>0</v>
      </c>
      <c r="N1379" s="107">
        <f t="shared" ref="N1379:N1401" si="593">+L1379+M1379</f>
        <v>105000</v>
      </c>
      <c r="O1379" s="107">
        <f>VLOOKUP(G1379,Budget!$E$3:$G$2474,3,0)</f>
        <v>105000</v>
      </c>
      <c r="P1379" s="107">
        <f t="shared" ref="P1379:P1401" si="594">+O1379-N1379</f>
        <v>0</v>
      </c>
      <c r="Q1379" s="107"/>
      <c r="R1379" s="10"/>
      <c r="S1379" s="107">
        <v>105000</v>
      </c>
      <c r="T1379" s="107">
        <f t="shared" si="590"/>
        <v>0</v>
      </c>
      <c r="U1379" s="107"/>
      <c r="V1379" s="175"/>
      <c r="W1379" s="10"/>
      <c r="X1379" s="10"/>
      <c r="Y1379" t="str">
        <f t="shared" si="589"/>
        <v>3145</v>
      </c>
      <c r="AB1379" s="10"/>
      <c r="AC1379" s="10"/>
      <c r="AD1379" s="10"/>
      <c r="AE1379" s="10"/>
      <c r="AF1379" s="10"/>
      <c r="AG1379" s="10"/>
      <c r="AH1379" s="10"/>
      <c r="AI1379" s="10"/>
    </row>
    <row r="1380" spans="1:35">
      <c r="A1380" s="10"/>
      <c r="B1380" s="10" t="str">
        <f t="shared" si="588"/>
        <v>Below the Line</v>
      </c>
      <c r="C1380" t="s">
        <v>20</v>
      </c>
      <c r="D1380" t="s">
        <v>19</v>
      </c>
      <c r="E1380" t="s">
        <v>214</v>
      </c>
      <c r="F1380" t="s">
        <v>5396</v>
      </c>
      <c r="G1380" t="s">
        <v>1842</v>
      </c>
      <c r="I1380" s="10"/>
      <c r="J1380" s="107">
        <f>SUMIF(Data!C:C,G1380,Data!Q:Q)</f>
        <v>0</v>
      </c>
      <c r="K1380" s="107">
        <f>SUMIF(Comprometidos!A:A,'Cost Report'!G1380,Comprometidos!E:E)</f>
        <v>0</v>
      </c>
      <c r="L1380" s="107">
        <f t="shared" si="591"/>
        <v>0</v>
      </c>
      <c r="M1380" s="107">
        <f t="shared" si="592"/>
        <v>0</v>
      </c>
      <c r="N1380" s="107">
        <f t="shared" si="593"/>
        <v>0</v>
      </c>
      <c r="O1380" s="107">
        <f>VLOOKUP(G1380,Budget!$E$3:$G$2474,3,0)</f>
        <v>0</v>
      </c>
      <c r="P1380" s="107">
        <f t="shared" si="594"/>
        <v>0</v>
      </c>
      <c r="Q1380" s="107"/>
      <c r="R1380" s="10"/>
      <c r="S1380" s="107">
        <v>0</v>
      </c>
      <c r="T1380" s="107">
        <f t="shared" si="590"/>
        <v>0</v>
      </c>
      <c r="U1380" s="107"/>
      <c r="V1380" s="175"/>
      <c r="W1380" s="10"/>
      <c r="X1380" s="10"/>
      <c r="Y1380" t="str">
        <f t="shared" si="589"/>
        <v>3145</v>
      </c>
      <c r="AB1380" s="10"/>
      <c r="AC1380" s="10"/>
      <c r="AD1380" s="10"/>
      <c r="AE1380" s="10"/>
      <c r="AF1380" s="10"/>
      <c r="AG1380" s="10"/>
      <c r="AH1380" s="10"/>
      <c r="AI1380" s="10"/>
    </row>
    <row r="1381" spans="1:35">
      <c r="A1381" s="10"/>
      <c r="B1381" s="10" t="str">
        <f t="shared" si="588"/>
        <v>Below the LinePREP</v>
      </c>
      <c r="C1381" t="s">
        <v>20</v>
      </c>
      <c r="D1381" t="s">
        <v>19</v>
      </c>
      <c r="E1381" t="s">
        <v>234</v>
      </c>
      <c r="F1381" t="s">
        <v>5396</v>
      </c>
      <c r="G1381" t="s">
        <v>1843</v>
      </c>
      <c r="I1381" s="10"/>
      <c r="J1381" s="107">
        <f>SUMIF(Data!C:C,G1381,Data!Q:Q)</f>
        <v>3750</v>
      </c>
      <c r="K1381" s="107">
        <f>SUMIF(Comprometidos!A:A,'Cost Report'!G1381,Comprometidos!E:E)</f>
        <v>0</v>
      </c>
      <c r="L1381" s="107">
        <f t="shared" si="591"/>
        <v>3750</v>
      </c>
      <c r="M1381" s="107">
        <f t="shared" si="592"/>
        <v>0</v>
      </c>
      <c r="N1381" s="107">
        <f t="shared" si="593"/>
        <v>3750</v>
      </c>
      <c r="O1381" s="107">
        <f>VLOOKUP(G1381,Budget!$E$3:$G$2474,3,0)</f>
        <v>3750</v>
      </c>
      <c r="P1381" s="107">
        <f t="shared" si="594"/>
        <v>0</v>
      </c>
      <c r="Q1381" s="107"/>
      <c r="R1381" s="10"/>
      <c r="S1381" s="107">
        <v>3750</v>
      </c>
      <c r="T1381" s="107">
        <f t="shared" si="590"/>
        <v>0</v>
      </c>
      <c r="U1381" s="107"/>
      <c r="V1381" s="175"/>
      <c r="W1381" s="10"/>
      <c r="X1381" s="10"/>
      <c r="Y1381" t="str">
        <f t="shared" si="589"/>
        <v>3145</v>
      </c>
      <c r="AB1381" s="10"/>
      <c r="AC1381" s="10"/>
      <c r="AD1381" s="10"/>
      <c r="AE1381" s="10"/>
      <c r="AF1381" s="10"/>
      <c r="AG1381" s="10"/>
      <c r="AH1381" s="10"/>
      <c r="AI1381" s="10"/>
    </row>
    <row r="1382" spans="1:35">
      <c r="A1382" s="10"/>
      <c r="B1382" s="10" t="str">
        <f t="shared" si="588"/>
        <v>Below the LineSHOOT</v>
      </c>
      <c r="C1382" t="s">
        <v>20</v>
      </c>
      <c r="D1382" t="s">
        <v>19</v>
      </c>
      <c r="E1382" t="s">
        <v>236</v>
      </c>
      <c r="F1382" t="s">
        <v>5396</v>
      </c>
      <c r="G1382" t="s">
        <v>1844</v>
      </c>
      <c r="I1382" s="10"/>
      <c r="J1382" s="107">
        <f>SUMIF(Data!C:C,G1382,Data!Q:Q)</f>
        <v>56250</v>
      </c>
      <c r="K1382" s="107">
        <f>SUMIF(Comprometidos!A:A,'Cost Report'!G1382,Comprometidos!E:E)</f>
        <v>0</v>
      </c>
      <c r="L1382" s="107">
        <f t="shared" si="591"/>
        <v>56250</v>
      </c>
      <c r="M1382" s="107">
        <v>0</v>
      </c>
      <c r="N1382" s="107">
        <f t="shared" si="593"/>
        <v>56250</v>
      </c>
      <c r="O1382" s="107">
        <f>VLOOKUP(G1382,Budget!$E$3:$G$2474,3,0)</f>
        <v>52500</v>
      </c>
      <c r="P1382" s="107">
        <f t="shared" si="594"/>
        <v>-3750</v>
      </c>
      <c r="Q1382" s="107"/>
      <c r="R1382" s="10"/>
      <c r="S1382" s="107">
        <v>56250</v>
      </c>
      <c r="T1382" s="107">
        <f t="shared" si="590"/>
        <v>0</v>
      </c>
      <c r="U1382" s="107"/>
      <c r="V1382" s="175"/>
      <c r="W1382" s="10"/>
      <c r="X1382" s="10"/>
      <c r="Y1382" t="str">
        <f t="shared" si="589"/>
        <v>3145</v>
      </c>
      <c r="AB1382" s="10"/>
      <c r="AC1382" s="10"/>
      <c r="AD1382" s="10"/>
      <c r="AE1382" s="10"/>
      <c r="AF1382" s="10"/>
      <c r="AG1382" s="10"/>
      <c r="AH1382" s="10"/>
      <c r="AI1382" s="10"/>
    </row>
    <row r="1383" spans="1:35">
      <c r="A1383" s="10"/>
      <c r="B1383" s="10" t="str">
        <f t="shared" si="588"/>
        <v>Below the Line</v>
      </c>
      <c r="C1383" t="s">
        <v>20</v>
      </c>
      <c r="D1383" t="s">
        <v>19</v>
      </c>
      <c r="E1383" t="s">
        <v>214</v>
      </c>
      <c r="F1383" t="s">
        <v>5396</v>
      </c>
      <c r="G1383" t="s">
        <v>1845</v>
      </c>
      <c r="I1383" s="10"/>
      <c r="J1383" s="107">
        <f>SUMIF(Data!C:C,G1383,Data!Q:Q)</f>
        <v>0</v>
      </c>
      <c r="K1383" s="107">
        <f>SUMIF(Comprometidos!A:A,'Cost Report'!G1383,Comprometidos!E:E)</f>
        <v>0</v>
      </c>
      <c r="L1383" s="107">
        <f t="shared" si="591"/>
        <v>0</v>
      </c>
      <c r="M1383" s="107">
        <f t="shared" si="592"/>
        <v>0</v>
      </c>
      <c r="N1383" s="107">
        <f t="shared" si="593"/>
        <v>0</v>
      </c>
      <c r="O1383" s="107">
        <f>VLOOKUP(G1383,Budget!$E$3:$G$2474,3,0)</f>
        <v>0</v>
      </c>
      <c r="P1383" s="107">
        <f t="shared" si="594"/>
        <v>0</v>
      </c>
      <c r="Q1383" s="107"/>
      <c r="R1383" s="10"/>
      <c r="S1383" s="107">
        <v>0</v>
      </c>
      <c r="T1383" s="107">
        <f t="shared" si="590"/>
        <v>0</v>
      </c>
      <c r="U1383" s="107"/>
      <c r="V1383" s="175"/>
      <c r="W1383" s="10"/>
      <c r="X1383" s="10"/>
      <c r="Y1383" t="str">
        <f t="shared" si="589"/>
        <v>3145</v>
      </c>
      <c r="AB1383" s="10"/>
      <c r="AC1383" s="10"/>
      <c r="AD1383" s="10"/>
      <c r="AE1383" s="10"/>
      <c r="AF1383" s="10"/>
      <c r="AG1383" s="10"/>
      <c r="AH1383" s="10"/>
      <c r="AI1383" s="10"/>
    </row>
    <row r="1384" spans="1:35">
      <c r="A1384" s="10"/>
      <c r="B1384" s="10" t="str">
        <f t="shared" si="588"/>
        <v>Below the LineSHOOT</v>
      </c>
      <c r="C1384" t="s">
        <v>20</v>
      </c>
      <c r="D1384" t="s">
        <v>19</v>
      </c>
      <c r="E1384" t="s">
        <v>236</v>
      </c>
      <c r="F1384" t="s">
        <v>5396</v>
      </c>
      <c r="G1384" t="s">
        <v>1846</v>
      </c>
      <c r="I1384" s="10"/>
      <c r="J1384" s="107">
        <f>SUMIF(Data!C:C,G1384,Data!Q:Q)</f>
        <v>0</v>
      </c>
      <c r="K1384" s="107">
        <f>SUMIF(Comprometidos!A:A,'Cost Report'!G1384,Comprometidos!E:E)</f>
        <v>0</v>
      </c>
      <c r="L1384" s="107">
        <f t="shared" si="591"/>
        <v>0</v>
      </c>
      <c r="M1384" s="107">
        <v>0</v>
      </c>
      <c r="N1384" s="107">
        <f t="shared" si="593"/>
        <v>0</v>
      </c>
      <c r="O1384" s="107">
        <f>VLOOKUP(G1384,Budget!$E$3:$G$2474,3,0)</f>
        <v>9000</v>
      </c>
      <c r="P1384" s="107">
        <f t="shared" si="594"/>
        <v>9000</v>
      </c>
      <c r="Q1384" s="107"/>
      <c r="R1384" s="10"/>
      <c r="S1384" s="107">
        <v>0</v>
      </c>
      <c r="T1384" s="107">
        <f t="shared" si="590"/>
        <v>0</v>
      </c>
      <c r="U1384" s="107"/>
      <c r="V1384" s="175"/>
      <c r="W1384" s="10"/>
      <c r="X1384" s="10"/>
      <c r="Y1384" t="str">
        <f t="shared" si="589"/>
        <v>3145</v>
      </c>
      <c r="AB1384" s="10"/>
      <c r="AC1384" s="10"/>
      <c r="AD1384" s="10"/>
      <c r="AE1384" s="10"/>
      <c r="AF1384" s="10"/>
      <c r="AG1384" s="10"/>
      <c r="AH1384" s="10"/>
      <c r="AI1384" s="10"/>
    </row>
    <row r="1385" spans="1:35">
      <c r="A1385" s="10"/>
      <c r="B1385" s="10" t="str">
        <f t="shared" si="588"/>
        <v>Below the Line</v>
      </c>
      <c r="C1385" t="s">
        <v>20</v>
      </c>
      <c r="D1385" t="s">
        <v>19</v>
      </c>
      <c r="E1385" t="s">
        <v>214</v>
      </c>
      <c r="F1385" t="s">
        <v>5396</v>
      </c>
      <c r="G1385" t="s">
        <v>2683</v>
      </c>
      <c r="I1385" s="10"/>
      <c r="J1385" s="107">
        <f>SUMIF(Data!C:C,G1385,Data!Q:Q)</f>
        <v>0</v>
      </c>
      <c r="K1385" s="107">
        <f>SUMIF(Comprometidos!A:A,'Cost Report'!G1385,Comprometidos!E:E)</f>
        <v>0</v>
      </c>
      <c r="L1385" s="107">
        <f t="shared" si="591"/>
        <v>0</v>
      </c>
      <c r="M1385" s="107">
        <f t="shared" si="592"/>
        <v>0</v>
      </c>
      <c r="N1385" s="107">
        <f t="shared" si="593"/>
        <v>0</v>
      </c>
      <c r="O1385" s="107">
        <f>VLOOKUP(G1385,Budget!$E$3:$G$2474,3,0)</f>
        <v>0</v>
      </c>
      <c r="P1385" s="107">
        <f t="shared" si="594"/>
        <v>0</v>
      </c>
      <c r="Q1385" s="107"/>
      <c r="R1385" s="10"/>
      <c r="S1385" s="107">
        <v>0</v>
      </c>
      <c r="T1385" s="107">
        <f t="shared" si="590"/>
        <v>0</v>
      </c>
      <c r="U1385" s="107"/>
      <c r="V1385" s="175"/>
      <c r="W1385" s="10"/>
      <c r="X1385" s="10"/>
      <c r="Y1385" t="str">
        <f t="shared" si="589"/>
        <v>3145</v>
      </c>
      <c r="AB1385" s="10"/>
      <c r="AC1385" s="10"/>
      <c r="AD1385" s="10"/>
      <c r="AE1385" s="10"/>
      <c r="AF1385" s="10"/>
      <c r="AG1385" s="10"/>
      <c r="AH1385" s="10"/>
      <c r="AI1385" s="10"/>
    </row>
    <row r="1386" spans="1:35">
      <c r="A1386" s="10"/>
      <c r="B1386" s="10" t="str">
        <f t="shared" si="588"/>
        <v>Below the Line2nd Unit</v>
      </c>
      <c r="C1386" t="s">
        <v>20</v>
      </c>
      <c r="D1386" t="s">
        <v>19</v>
      </c>
      <c r="E1386" t="s">
        <v>1419</v>
      </c>
      <c r="F1386" t="s">
        <v>5396</v>
      </c>
      <c r="G1386" t="s">
        <v>2684</v>
      </c>
      <c r="I1386" s="10"/>
      <c r="J1386" s="107">
        <f>SUMIF(Data!C:C,G1386,Data!Q:Q)</f>
        <v>0</v>
      </c>
      <c r="K1386" s="107">
        <f>SUMIF(Comprometidos!A:A,'Cost Report'!G1386,Comprometidos!E:E)</f>
        <v>0</v>
      </c>
      <c r="L1386" s="107">
        <f t="shared" si="591"/>
        <v>0</v>
      </c>
      <c r="M1386" s="107"/>
      <c r="N1386" s="107">
        <f t="shared" si="593"/>
        <v>0</v>
      </c>
      <c r="O1386" s="107">
        <f>VLOOKUP(G1386,Budget!$E$3:$G$2474,3,0)</f>
        <v>8625</v>
      </c>
      <c r="P1386" s="107">
        <f t="shared" si="594"/>
        <v>8625</v>
      </c>
      <c r="Q1386" s="107"/>
      <c r="R1386" s="10"/>
      <c r="S1386" s="107">
        <v>0</v>
      </c>
      <c r="T1386" s="107">
        <f t="shared" si="590"/>
        <v>0</v>
      </c>
      <c r="U1386" s="107"/>
      <c r="V1386" s="175"/>
      <c r="W1386" s="10"/>
      <c r="X1386" s="10"/>
      <c r="Y1386" t="str">
        <f t="shared" si="589"/>
        <v>3145</v>
      </c>
      <c r="AB1386" s="10"/>
      <c r="AC1386" s="10"/>
      <c r="AD1386" s="10"/>
      <c r="AE1386" s="10"/>
      <c r="AF1386" s="10"/>
      <c r="AG1386" s="10"/>
      <c r="AH1386" s="10"/>
      <c r="AI1386" s="10"/>
    </row>
    <row r="1387" spans="1:35">
      <c r="A1387" s="10"/>
      <c r="B1387" s="10" t="str">
        <f t="shared" si="588"/>
        <v>Below the Line2nd Unit</v>
      </c>
      <c r="C1387" t="s">
        <v>20</v>
      </c>
      <c r="D1387" t="s">
        <v>19</v>
      </c>
      <c r="E1387" t="s">
        <v>1419</v>
      </c>
      <c r="F1387" t="s">
        <v>5396</v>
      </c>
      <c r="G1387" t="s">
        <v>2685</v>
      </c>
      <c r="I1387" s="10"/>
      <c r="J1387" s="107">
        <f>SUMIF(Data!C:C,G1387,Data!Q:Q)</f>
        <v>63250</v>
      </c>
      <c r="K1387" s="107">
        <f>SUMIF(Comprometidos!A:A,'Cost Report'!G1387,Comprometidos!E:E)</f>
        <v>0</v>
      </c>
      <c r="L1387" s="107">
        <f t="shared" si="591"/>
        <v>63250</v>
      </c>
      <c r="M1387" s="107">
        <v>0</v>
      </c>
      <c r="N1387" s="107">
        <f t="shared" si="593"/>
        <v>63250</v>
      </c>
      <c r="O1387" s="107">
        <f>VLOOKUP(G1387,Budget!$E$3:$G$2474,3,0)</f>
        <v>34500</v>
      </c>
      <c r="P1387" s="107">
        <f t="shared" si="594"/>
        <v>-28750</v>
      </c>
      <c r="Q1387" s="107"/>
      <c r="R1387" s="10"/>
      <c r="S1387" s="107">
        <v>63250</v>
      </c>
      <c r="T1387" s="107">
        <f t="shared" si="590"/>
        <v>0</v>
      </c>
      <c r="U1387" s="107"/>
      <c r="V1387" s="175"/>
      <c r="W1387" s="10"/>
      <c r="X1387" s="10"/>
      <c r="Y1387" t="str">
        <f t="shared" si="589"/>
        <v>3145</v>
      </c>
      <c r="AB1387" s="10"/>
      <c r="AC1387" s="10"/>
      <c r="AD1387" s="10"/>
      <c r="AE1387" s="10"/>
      <c r="AF1387" s="10"/>
      <c r="AG1387" s="10"/>
      <c r="AH1387" s="10"/>
      <c r="AI1387" s="10"/>
    </row>
    <row r="1388" spans="1:35">
      <c r="A1388" s="10"/>
      <c r="B1388" s="10" t="str">
        <f t="shared" si="588"/>
        <v>Below the Line2nd Unit</v>
      </c>
      <c r="C1388" t="s">
        <v>20</v>
      </c>
      <c r="D1388" t="s">
        <v>19</v>
      </c>
      <c r="E1388" t="s">
        <v>1419</v>
      </c>
      <c r="F1388" t="s">
        <v>5396</v>
      </c>
      <c r="G1388" t="s">
        <v>2686</v>
      </c>
      <c r="I1388" s="10"/>
      <c r="J1388" s="107">
        <f>SUMIF(Data!C:C,G1388,Data!Q:Q)</f>
        <v>0</v>
      </c>
      <c r="K1388" s="107">
        <f>SUMIF(Comprometidos!A:A,'Cost Report'!G1388,Comprometidos!E:E)</f>
        <v>0</v>
      </c>
      <c r="L1388" s="107">
        <f t="shared" si="591"/>
        <v>0</v>
      </c>
      <c r="M1388" s="107"/>
      <c r="N1388" s="107">
        <f t="shared" si="593"/>
        <v>0</v>
      </c>
      <c r="O1388" s="107">
        <f>VLOOKUP(G1388,Budget!$E$3:$G$2474,3,0)</f>
        <v>8625</v>
      </c>
      <c r="P1388" s="107">
        <f t="shared" si="594"/>
        <v>8625</v>
      </c>
      <c r="Q1388" s="107"/>
      <c r="R1388" s="10"/>
      <c r="S1388" s="107">
        <v>0</v>
      </c>
      <c r="T1388" s="107">
        <f t="shared" si="590"/>
        <v>0</v>
      </c>
      <c r="U1388" s="107"/>
      <c r="V1388" s="175"/>
      <c r="W1388" s="10"/>
      <c r="X1388" s="10"/>
      <c r="Y1388" t="str">
        <f t="shared" si="589"/>
        <v>3145</v>
      </c>
      <c r="AB1388" s="10"/>
      <c r="AC1388" s="10"/>
      <c r="AD1388" s="10"/>
      <c r="AE1388" s="10"/>
      <c r="AF1388" s="10"/>
      <c r="AG1388" s="10"/>
      <c r="AH1388" s="10"/>
      <c r="AI1388" s="10"/>
    </row>
    <row r="1389" spans="1:35">
      <c r="A1389" s="10"/>
      <c r="B1389" s="10" t="str">
        <f t="shared" si="588"/>
        <v>Below the Line</v>
      </c>
      <c r="C1389" t="s">
        <v>20</v>
      </c>
      <c r="D1389" t="s">
        <v>19</v>
      </c>
      <c r="E1389" t="s">
        <v>214</v>
      </c>
      <c r="F1389" t="s">
        <v>5396</v>
      </c>
      <c r="G1389" t="s">
        <v>2687</v>
      </c>
      <c r="I1389" s="10"/>
      <c r="J1389" s="107">
        <f>SUMIF(Data!C:C,G1389,Data!Q:Q)</f>
        <v>0</v>
      </c>
      <c r="K1389" s="107">
        <f>SUMIF(Comprometidos!A:A,'Cost Report'!G1389,Comprometidos!E:E)</f>
        <v>0</v>
      </c>
      <c r="L1389" s="107">
        <f t="shared" si="591"/>
        <v>0</v>
      </c>
      <c r="M1389" s="107">
        <f t="shared" si="592"/>
        <v>0</v>
      </c>
      <c r="N1389" s="107">
        <f t="shared" si="593"/>
        <v>0</v>
      </c>
      <c r="O1389" s="107">
        <f>VLOOKUP(G1389,Budget!$E$3:$G$2474,3,0)</f>
        <v>0</v>
      </c>
      <c r="P1389" s="107">
        <f t="shared" si="594"/>
        <v>0</v>
      </c>
      <c r="Q1389" s="107"/>
      <c r="R1389" s="10"/>
      <c r="S1389" s="107">
        <v>0</v>
      </c>
      <c r="T1389" s="107">
        <f t="shared" si="590"/>
        <v>0</v>
      </c>
      <c r="U1389" s="107"/>
      <c r="V1389" s="175"/>
      <c r="W1389" s="10"/>
      <c r="X1389" s="10"/>
      <c r="Y1389" t="str">
        <f t="shared" si="589"/>
        <v>3145</v>
      </c>
      <c r="AB1389" s="10"/>
      <c r="AC1389" s="10"/>
      <c r="AD1389" s="10"/>
      <c r="AE1389" s="10"/>
      <c r="AF1389" s="10"/>
      <c r="AG1389" s="10"/>
      <c r="AH1389" s="10"/>
      <c r="AI1389" s="10"/>
    </row>
    <row r="1390" spans="1:35">
      <c r="A1390" s="10"/>
      <c r="B1390" s="10" t="str">
        <f t="shared" si="588"/>
        <v>Below the Line2nd Unit</v>
      </c>
      <c r="C1390" t="s">
        <v>20</v>
      </c>
      <c r="D1390" t="s">
        <v>19</v>
      </c>
      <c r="E1390" t="s">
        <v>1419</v>
      </c>
      <c r="F1390" t="s">
        <v>5396</v>
      </c>
      <c r="G1390" t="s">
        <v>2688</v>
      </c>
      <c r="I1390" s="10"/>
      <c r="J1390" s="107">
        <f>SUMIF(Data!C:C,G1390,Data!Q:Q)</f>
        <v>11500</v>
      </c>
      <c r="K1390" s="107">
        <f>SUMIF(Comprometidos!A:A,'Cost Report'!G1390,Comprometidos!E:E)</f>
        <v>0</v>
      </c>
      <c r="L1390" s="107">
        <f t="shared" si="591"/>
        <v>11500</v>
      </c>
      <c r="M1390" s="107">
        <v>0</v>
      </c>
      <c r="N1390" s="107">
        <f t="shared" si="593"/>
        <v>11500</v>
      </c>
      <c r="O1390" s="107">
        <f>VLOOKUP(G1390,Budget!$E$3:$G$2474,3,0)</f>
        <v>8625</v>
      </c>
      <c r="P1390" s="107">
        <f t="shared" si="594"/>
        <v>-2875</v>
      </c>
      <c r="Q1390" s="107"/>
      <c r="R1390" s="10"/>
      <c r="S1390" s="107">
        <v>11500</v>
      </c>
      <c r="T1390" s="107">
        <f t="shared" si="590"/>
        <v>0</v>
      </c>
      <c r="U1390" s="107"/>
      <c r="V1390" s="175"/>
      <c r="W1390" s="10"/>
      <c r="X1390" s="10"/>
      <c r="Y1390" t="str">
        <f t="shared" si="589"/>
        <v>3145</v>
      </c>
      <c r="AB1390" s="10"/>
      <c r="AC1390" s="10"/>
      <c r="AD1390" s="10"/>
      <c r="AE1390" s="10"/>
      <c r="AF1390" s="10"/>
      <c r="AG1390" s="10"/>
      <c r="AH1390" s="10"/>
      <c r="AI1390" s="10"/>
    </row>
    <row r="1391" spans="1:35">
      <c r="A1391" s="10"/>
      <c r="B1391" s="10" t="str">
        <f t="shared" si="588"/>
        <v>Below the Line2nd Unit</v>
      </c>
      <c r="C1391" t="s">
        <v>20</v>
      </c>
      <c r="D1391" t="s">
        <v>19</v>
      </c>
      <c r="E1391" t="s">
        <v>1419</v>
      </c>
      <c r="F1391" t="s">
        <v>5396</v>
      </c>
      <c r="G1391" t="s">
        <v>2689</v>
      </c>
      <c r="I1391" s="10"/>
      <c r="J1391" s="107">
        <f>SUMIF(Data!C:C,G1391,Data!Q:Q)</f>
        <v>34500</v>
      </c>
      <c r="K1391" s="107">
        <f>SUMIF(Comprometidos!A:A,'Cost Report'!G1391,Comprometidos!E:E)</f>
        <v>0</v>
      </c>
      <c r="L1391" s="107">
        <f t="shared" si="591"/>
        <v>34500</v>
      </c>
      <c r="M1391" s="107">
        <f t="shared" si="592"/>
        <v>0</v>
      </c>
      <c r="N1391" s="107">
        <f t="shared" si="593"/>
        <v>34500</v>
      </c>
      <c r="O1391" s="107">
        <f>VLOOKUP(G1391,Budget!$E$3:$G$2474,3,0)</f>
        <v>34500</v>
      </c>
      <c r="P1391" s="107">
        <f t="shared" si="594"/>
        <v>0</v>
      </c>
      <c r="Q1391" s="107"/>
      <c r="R1391" s="10"/>
      <c r="S1391" s="107">
        <v>34500</v>
      </c>
      <c r="T1391" s="107">
        <f t="shared" si="590"/>
        <v>0</v>
      </c>
      <c r="U1391" s="107"/>
      <c r="V1391" s="175"/>
      <c r="W1391" s="10"/>
      <c r="X1391" s="10"/>
      <c r="Y1391" t="str">
        <f t="shared" si="589"/>
        <v>3145</v>
      </c>
      <c r="AB1391" s="10"/>
      <c r="AC1391" s="10"/>
      <c r="AD1391" s="10"/>
      <c r="AE1391" s="10"/>
      <c r="AF1391" s="10"/>
      <c r="AG1391" s="10"/>
      <c r="AH1391" s="10"/>
      <c r="AI1391" s="10"/>
    </row>
    <row r="1392" spans="1:35">
      <c r="A1392" s="10"/>
      <c r="B1392" s="10" t="str">
        <f t="shared" si="588"/>
        <v>Below the Line2nd Unit</v>
      </c>
      <c r="C1392" t="s">
        <v>20</v>
      </c>
      <c r="D1392" t="s">
        <v>19</v>
      </c>
      <c r="E1392" t="s">
        <v>1419</v>
      </c>
      <c r="F1392" t="s">
        <v>5396</v>
      </c>
      <c r="G1392" t="s">
        <v>2690</v>
      </c>
      <c r="I1392" s="10"/>
      <c r="J1392" s="107">
        <f>SUMIF(Data!C:C,G1392,Data!Q:Q)</f>
        <v>0</v>
      </c>
      <c r="K1392" s="107">
        <f>SUMIF(Comprometidos!A:A,'Cost Report'!G1392,Comprometidos!E:E)</f>
        <v>0</v>
      </c>
      <c r="L1392" s="107">
        <f t="shared" si="591"/>
        <v>0</v>
      </c>
      <c r="M1392" s="107">
        <v>0</v>
      </c>
      <c r="N1392" s="107">
        <f t="shared" si="593"/>
        <v>0</v>
      </c>
      <c r="O1392" s="107">
        <f>VLOOKUP(G1392,Budget!$E$3:$G$2474,3,0)</f>
        <v>8625</v>
      </c>
      <c r="P1392" s="107">
        <f t="shared" si="594"/>
        <v>8625</v>
      </c>
      <c r="Q1392" s="107"/>
      <c r="R1392" s="10"/>
      <c r="S1392" s="107">
        <v>0</v>
      </c>
      <c r="T1392" s="107">
        <f t="shared" si="590"/>
        <v>0</v>
      </c>
      <c r="U1392" s="107"/>
      <c r="V1392" s="175"/>
      <c r="W1392" s="10"/>
      <c r="X1392" s="10"/>
      <c r="Y1392" t="str">
        <f t="shared" si="589"/>
        <v>3145</v>
      </c>
      <c r="AB1392" s="10"/>
      <c r="AC1392" s="10"/>
      <c r="AD1392" s="10"/>
      <c r="AE1392" s="10"/>
      <c r="AF1392" s="10"/>
      <c r="AG1392" s="10"/>
      <c r="AH1392" s="10"/>
      <c r="AI1392" s="10"/>
    </row>
    <row r="1393" spans="1:35">
      <c r="A1393" s="10"/>
      <c r="B1393" s="10" t="str">
        <f t="shared" si="588"/>
        <v>Below the Line</v>
      </c>
      <c r="C1393" t="s">
        <v>20</v>
      </c>
      <c r="D1393" t="s">
        <v>19</v>
      </c>
      <c r="E1393" t="s">
        <v>214</v>
      </c>
      <c r="F1393" t="s">
        <v>5396</v>
      </c>
      <c r="G1393" t="s">
        <v>2691</v>
      </c>
      <c r="I1393" s="10"/>
      <c r="J1393" s="107">
        <f>SUMIF(Data!C:C,G1393,Data!Q:Q)</f>
        <v>0</v>
      </c>
      <c r="K1393" s="107">
        <f>SUMIF(Comprometidos!A:A,'Cost Report'!G1393,Comprometidos!E:E)</f>
        <v>0</v>
      </c>
      <c r="L1393" s="107">
        <f t="shared" si="591"/>
        <v>0</v>
      </c>
      <c r="M1393" s="107">
        <f t="shared" si="592"/>
        <v>0</v>
      </c>
      <c r="N1393" s="107">
        <f t="shared" si="593"/>
        <v>0</v>
      </c>
      <c r="O1393" s="107">
        <f>VLOOKUP(G1393,Budget!$E$3:$G$2474,3,0)</f>
        <v>0</v>
      </c>
      <c r="P1393" s="107">
        <f t="shared" si="594"/>
        <v>0</v>
      </c>
      <c r="Q1393" s="107"/>
      <c r="R1393" s="10"/>
      <c r="S1393" s="107">
        <v>0</v>
      </c>
      <c r="T1393" s="107">
        <f t="shared" si="590"/>
        <v>0</v>
      </c>
      <c r="U1393" s="107"/>
      <c r="V1393" s="175"/>
      <c r="W1393" s="10"/>
      <c r="X1393" s="10"/>
      <c r="Y1393" t="str">
        <f t="shared" si="589"/>
        <v>3145</v>
      </c>
      <c r="AB1393" s="10"/>
      <c r="AC1393" s="10"/>
      <c r="AD1393" s="10"/>
      <c r="AE1393" s="10"/>
      <c r="AF1393" s="10"/>
      <c r="AG1393" s="10"/>
      <c r="AH1393" s="10"/>
      <c r="AI1393" s="10"/>
    </row>
    <row r="1394" spans="1:35">
      <c r="A1394" s="10"/>
      <c r="B1394" s="10" t="str">
        <f t="shared" si="588"/>
        <v>Below the Line2nd Unit</v>
      </c>
      <c r="C1394" t="s">
        <v>20</v>
      </c>
      <c r="D1394" t="s">
        <v>19</v>
      </c>
      <c r="E1394" t="s">
        <v>1419</v>
      </c>
      <c r="F1394" t="s">
        <v>5396</v>
      </c>
      <c r="G1394" t="s">
        <v>2692</v>
      </c>
      <c r="I1394" s="10"/>
      <c r="J1394" s="107">
        <f>SUMIF(Data!C:C,G1394,Data!Q:Q)</f>
        <v>7500</v>
      </c>
      <c r="K1394" s="107">
        <f>SUMIF(Comprometidos!A:A,'Cost Report'!G1394,Comprometidos!E:E)</f>
        <v>0</v>
      </c>
      <c r="L1394" s="107">
        <f t="shared" si="591"/>
        <v>7500</v>
      </c>
      <c r="M1394" s="107">
        <f t="shared" si="592"/>
        <v>0</v>
      </c>
      <c r="N1394" s="107">
        <f t="shared" si="593"/>
        <v>7500</v>
      </c>
      <c r="O1394" s="107">
        <f>VLOOKUP(G1394,Budget!$E$3:$G$2474,3,0)</f>
        <v>7500</v>
      </c>
      <c r="P1394" s="107">
        <f t="shared" si="594"/>
        <v>0</v>
      </c>
      <c r="Q1394" s="107"/>
      <c r="R1394" s="10"/>
      <c r="S1394" s="107">
        <v>7500</v>
      </c>
      <c r="T1394" s="107">
        <f t="shared" si="590"/>
        <v>0</v>
      </c>
      <c r="U1394" s="107"/>
      <c r="V1394" s="175"/>
      <c r="W1394" s="10"/>
      <c r="X1394" s="10"/>
      <c r="Y1394" t="str">
        <f t="shared" si="589"/>
        <v>3145</v>
      </c>
      <c r="AB1394" s="10"/>
      <c r="AC1394" s="10"/>
      <c r="AD1394" s="10"/>
      <c r="AE1394" s="10"/>
      <c r="AF1394" s="10"/>
      <c r="AG1394" s="10"/>
      <c r="AH1394" s="10"/>
      <c r="AI1394" s="10"/>
    </row>
    <row r="1395" spans="1:35">
      <c r="A1395" s="10"/>
      <c r="B1395" s="10" t="str">
        <f t="shared" si="588"/>
        <v>Below the Line2nd Unit</v>
      </c>
      <c r="C1395" t="s">
        <v>20</v>
      </c>
      <c r="D1395" t="s">
        <v>19</v>
      </c>
      <c r="E1395" t="s">
        <v>1419</v>
      </c>
      <c r="F1395" t="s">
        <v>5396</v>
      </c>
      <c r="G1395" t="s">
        <v>2693</v>
      </c>
      <c r="I1395" s="10"/>
      <c r="J1395" s="107">
        <f>SUMIF(Data!C:C,G1395,Data!Q:Q)</f>
        <v>45000</v>
      </c>
      <c r="K1395" s="107">
        <f>SUMIF(Comprometidos!A:A,'Cost Report'!G1395,Comprometidos!E:E)</f>
        <v>0</v>
      </c>
      <c r="L1395" s="107">
        <f t="shared" si="591"/>
        <v>45000</v>
      </c>
      <c r="M1395" s="107"/>
      <c r="N1395" s="107">
        <f t="shared" si="593"/>
        <v>45000</v>
      </c>
      <c r="O1395" s="107">
        <f>VLOOKUP(G1395,Budget!$E$3:$G$2474,3,0)</f>
        <v>30000</v>
      </c>
      <c r="P1395" s="107">
        <f t="shared" si="594"/>
        <v>-15000</v>
      </c>
      <c r="Q1395" s="107"/>
      <c r="R1395" s="10"/>
      <c r="S1395" s="107">
        <v>45000</v>
      </c>
      <c r="T1395" s="107">
        <f t="shared" si="590"/>
        <v>0</v>
      </c>
      <c r="U1395" s="107"/>
      <c r="V1395" s="175"/>
      <c r="W1395" s="10"/>
      <c r="X1395" s="10"/>
      <c r="Y1395" t="str">
        <f t="shared" si="589"/>
        <v>3145</v>
      </c>
      <c r="AB1395" s="10"/>
      <c r="AC1395" s="10"/>
      <c r="AD1395" s="10"/>
      <c r="AE1395" s="10"/>
      <c r="AF1395" s="10"/>
      <c r="AG1395" s="10"/>
      <c r="AH1395" s="10"/>
      <c r="AI1395" s="10"/>
    </row>
    <row r="1396" spans="1:35">
      <c r="A1396" s="10"/>
      <c r="B1396" s="10" t="str">
        <f t="shared" si="588"/>
        <v>Below the Line</v>
      </c>
      <c r="C1396" t="s">
        <v>20</v>
      </c>
      <c r="D1396" t="s">
        <v>19</v>
      </c>
      <c r="E1396" t="s">
        <v>214</v>
      </c>
      <c r="F1396" t="s">
        <v>5396</v>
      </c>
      <c r="G1396" t="s">
        <v>2694</v>
      </c>
      <c r="I1396" s="10"/>
      <c r="J1396" s="107">
        <f>SUMIF(Data!C:C,G1396,Data!Q:Q)</f>
        <v>0</v>
      </c>
      <c r="K1396" s="107">
        <f>SUMIF(Comprometidos!A:A,'Cost Report'!G1396,Comprometidos!E:E)</f>
        <v>0</v>
      </c>
      <c r="L1396" s="107">
        <f t="shared" si="591"/>
        <v>0</v>
      </c>
      <c r="M1396" s="107">
        <f t="shared" si="592"/>
        <v>0</v>
      </c>
      <c r="N1396" s="107">
        <f t="shared" si="593"/>
        <v>0</v>
      </c>
      <c r="O1396" s="107">
        <f>VLOOKUP(G1396,Budget!$E$3:$G$2474,3,0)</f>
        <v>0</v>
      </c>
      <c r="P1396" s="107">
        <f t="shared" si="594"/>
        <v>0</v>
      </c>
      <c r="Q1396" s="107"/>
      <c r="R1396" s="10"/>
      <c r="S1396" s="107">
        <v>0</v>
      </c>
      <c r="T1396" s="107">
        <f t="shared" si="590"/>
        <v>0</v>
      </c>
      <c r="U1396" s="107"/>
      <c r="V1396" s="175"/>
      <c r="W1396" s="10"/>
      <c r="X1396" s="10"/>
      <c r="Y1396" t="str">
        <f t="shared" si="589"/>
        <v>3145</v>
      </c>
      <c r="AB1396" s="10"/>
      <c r="AC1396" s="10"/>
      <c r="AD1396" s="10"/>
      <c r="AE1396" s="10"/>
      <c r="AF1396" s="10"/>
      <c r="AG1396" s="10"/>
      <c r="AH1396" s="10"/>
      <c r="AI1396" s="10"/>
    </row>
    <row r="1397" spans="1:35">
      <c r="A1397" s="10"/>
      <c r="B1397" s="10" t="str">
        <f t="shared" si="588"/>
        <v>Below the LineSHOOT</v>
      </c>
      <c r="C1397" t="s">
        <v>20</v>
      </c>
      <c r="D1397" t="s">
        <v>19</v>
      </c>
      <c r="E1397" t="s">
        <v>236</v>
      </c>
      <c r="F1397" t="s">
        <v>5396</v>
      </c>
      <c r="G1397" t="s">
        <v>2695</v>
      </c>
      <c r="I1397" s="10"/>
      <c r="J1397" s="107">
        <f>SUMIF(Data!C:C,G1397,Data!Q:Q)</f>
        <v>0</v>
      </c>
      <c r="K1397" s="107">
        <f>SUMIF(Comprometidos!A:A,'Cost Report'!G1397,Comprometidos!E:E)</f>
        <v>0</v>
      </c>
      <c r="L1397" s="107">
        <f t="shared" si="591"/>
        <v>0</v>
      </c>
      <c r="M1397" s="107">
        <f t="shared" si="592"/>
        <v>0</v>
      </c>
      <c r="N1397" s="107">
        <f t="shared" si="593"/>
        <v>0</v>
      </c>
      <c r="O1397" s="107">
        <f>VLOOKUP(G1397,Budget!$E$3:$G$2474,3,0)</f>
        <v>0</v>
      </c>
      <c r="P1397" s="107">
        <f t="shared" si="594"/>
        <v>0</v>
      </c>
      <c r="Q1397" s="107"/>
      <c r="R1397" s="10"/>
      <c r="S1397" s="107">
        <v>0</v>
      </c>
      <c r="T1397" s="107">
        <f t="shared" si="590"/>
        <v>0</v>
      </c>
      <c r="U1397" s="107"/>
      <c r="V1397" s="175"/>
      <c r="W1397" s="10"/>
      <c r="X1397" s="10"/>
      <c r="Y1397" t="str">
        <f t="shared" si="589"/>
        <v>3145</v>
      </c>
      <c r="AB1397" s="10"/>
      <c r="AC1397" s="10"/>
      <c r="AD1397" s="10"/>
      <c r="AE1397" s="10"/>
      <c r="AF1397" s="10"/>
      <c r="AG1397" s="10"/>
      <c r="AH1397" s="10"/>
      <c r="AI1397" s="10"/>
    </row>
    <row r="1398" spans="1:35">
      <c r="A1398" s="10"/>
      <c r="B1398" s="10" t="str">
        <f t="shared" si="588"/>
        <v>Below the Line</v>
      </c>
      <c r="C1398" t="s">
        <v>20</v>
      </c>
      <c r="D1398" t="s">
        <v>19</v>
      </c>
      <c r="E1398" t="s">
        <v>214</v>
      </c>
      <c r="F1398" t="s">
        <v>5396</v>
      </c>
      <c r="G1398" t="s">
        <v>2696</v>
      </c>
      <c r="I1398" s="10"/>
      <c r="J1398" s="107">
        <f>SUMIF(Data!C:C,G1398,Data!Q:Q)</f>
        <v>0</v>
      </c>
      <c r="K1398" s="107">
        <f>SUMIF(Comprometidos!A:A,'Cost Report'!G1398,Comprometidos!E:E)</f>
        <v>0</v>
      </c>
      <c r="L1398" s="107">
        <f t="shared" si="591"/>
        <v>0</v>
      </c>
      <c r="M1398" s="107">
        <f t="shared" si="592"/>
        <v>0</v>
      </c>
      <c r="N1398" s="107">
        <f t="shared" si="593"/>
        <v>0</v>
      </c>
      <c r="O1398" s="107">
        <f>VLOOKUP(G1398,Budget!$E$3:$G$2474,3,0)</f>
        <v>0</v>
      </c>
      <c r="P1398" s="107">
        <f t="shared" si="594"/>
        <v>0</v>
      </c>
      <c r="Q1398" s="107"/>
      <c r="R1398" s="10"/>
      <c r="S1398" s="107">
        <v>0</v>
      </c>
      <c r="T1398" s="107">
        <f t="shared" si="590"/>
        <v>0</v>
      </c>
      <c r="U1398" s="107"/>
      <c r="V1398" s="175"/>
      <c r="W1398" s="10"/>
      <c r="X1398" s="10"/>
      <c r="Y1398" t="str">
        <f t="shared" si="589"/>
        <v>3145</v>
      </c>
      <c r="AB1398" s="10"/>
      <c r="AC1398" s="10"/>
      <c r="AD1398" s="10"/>
      <c r="AE1398" s="10"/>
      <c r="AF1398" s="10"/>
      <c r="AG1398" s="10"/>
      <c r="AH1398" s="10"/>
      <c r="AI1398" s="10"/>
    </row>
    <row r="1399" spans="1:35">
      <c r="A1399" s="10"/>
      <c r="B1399" s="10" t="str">
        <f t="shared" si="588"/>
        <v>Below the LineSHOOT</v>
      </c>
      <c r="C1399" t="s">
        <v>20</v>
      </c>
      <c r="D1399" t="s">
        <v>19</v>
      </c>
      <c r="E1399" t="s">
        <v>236</v>
      </c>
      <c r="F1399" t="s">
        <v>5396</v>
      </c>
      <c r="G1399" t="s">
        <v>2697</v>
      </c>
      <c r="I1399" s="10"/>
      <c r="J1399" s="107">
        <f>SUMIF(Data!C:C,G1399,Data!Q:Q)</f>
        <v>0</v>
      </c>
      <c r="K1399" s="107">
        <f>SUMIF(Comprometidos!A:A,'Cost Report'!G1399,Comprometidos!E:E)</f>
        <v>0</v>
      </c>
      <c r="L1399" s="107">
        <f t="shared" si="591"/>
        <v>0</v>
      </c>
      <c r="M1399" s="107">
        <v>0</v>
      </c>
      <c r="N1399" s="107">
        <f t="shared" si="593"/>
        <v>0</v>
      </c>
      <c r="O1399" s="107">
        <f>VLOOKUP(G1399,Budget!$E$3:$G$2474,3,0)</f>
        <v>8625</v>
      </c>
      <c r="P1399" s="107">
        <f t="shared" si="594"/>
        <v>8625</v>
      </c>
      <c r="Q1399" s="107"/>
      <c r="R1399" s="10"/>
      <c r="S1399" s="107">
        <v>0</v>
      </c>
      <c r="T1399" s="107">
        <f t="shared" si="590"/>
        <v>0</v>
      </c>
      <c r="U1399" s="107"/>
      <c r="V1399" s="175"/>
      <c r="W1399" s="10"/>
      <c r="X1399" s="10"/>
      <c r="Y1399" t="str">
        <f t="shared" si="589"/>
        <v>3145</v>
      </c>
      <c r="AB1399" s="10"/>
      <c r="AC1399" s="10"/>
      <c r="AD1399" s="10"/>
      <c r="AE1399" s="10"/>
      <c r="AF1399" s="10"/>
      <c r="AG1399" s="10"/>
      <c r="AH1399" s="10"/>
      <c r="AI1399" s="10"/>
    </row>
    <row r="1400" spans="1:35">
      <c r="A1400" s="10"/>
      <c r="B1400" s="10" t="str">
        <f t="shared" si="588"/>
        <v>Below the Line</v>
      </c>
      <c r="C1400" t="s">
        <v>20</v>
      </c>
      <c r="D1400" t="s">
        <v>19</v>
      </c>
      <c r="E1400" t="s">
        <v>214</v>
      </c>
      <c r="F1400" t="s">
        <v>5396</v>
      </c>
      <c r="G1400" t="s">
        <v>2698</v>
      </c>
      <c r="I1400" s="10"/>
      <c r="J1400" s="107">
        <f>SUMIF(Data!C:C,G1400,Data!Q:Q)</f>
        <v>0</v>
      </c>
      <c r="K1400" s="107">
        <f>SUMIF(Comprometidos!A:A,'Cost Report'!G1400,Comprometidos!E:E)</f>
        <v>0</v>
      </c>
      <c r="L1400" s="107">
        <f t="shared" si="591"/>
        <v>0</v>
      </c>
      <c r="M1400" s="107">
        <f t="shared" si="592"/>
        <v>0</v>
      </c>
      <c r="N1400" s="107">
        <f t="shared" si="593"/>
        <v>0</v>
      </c>
      <c r="O1400" s="107">
        <f>VLOOKUP(G1400,Budget!$E$3:$G$2474,3,0)</f>
        <v>0</v>
      </c>
      <c r="P1400" s="107">
        <f t="shared" si="594"/>
        <v>0</v>
      </c>
      <c r="Q1400" s="107"/>
      <c r="R1400" s="10"/>
      <c r="S1400" s="107">
        <v>0</v>
      </c>
      <c r="T1400" s="107">
        <f t="shared" si="590"/>
        <v>0</v>
      </c>
      <c r="U1400" s="107"/>
      <c r="V1400" s="175"/>
      <c r="W1400" s="10"/>
      <c r="X1400" s="10"/>
      <c r="Y1400" t="str">
        <f t="shared" si="589"/>
        <v>3145</v>
      </c>
      <c r="AB1400" s="10"/>
      <c r="AC1400" s="10"/>
      <c r="AD1400" s="10"/>
      <c r="AE1400" s="10"/>
      <c r="AF1400" s="10"/>
      <c r="AG1400" s="10"/>
      <c r="AH1400" s="10"/>
      <c r="AI1400" s="10"/>
    </row>
    <row r="1401" spans="1:35">
      <c r="A1401" s="10"/>
      <c r="B1401" s="10" t="str">
        <f t="shared" si="588"/>
        <v>Below the LineSHOOT</v>
      </c>
      <c r="C1401" t="s">
        <v>20</v>
      </c>
      <c r="D1401" t="s">
        <v>19</v>
      </c>
      <c r="E1401" t="s">
        <v>236</v>
      </c>
      <c r="F1401" t="s">
        <v>5396</v>
      </c>
      <c r="G1401" t="s">
        <v>2699</v>
      </c>
      <c r="I1401" s="10"/>
      <c r="J1401" s="107">
        <f>SUMIF(Data!C:C,G1401,Data!Q:Q)</f>
        <v>9875</v>
      </c>
      <c r="K1401" s="107">
        <f>SUMIF(Comprometidos!A:A,'Cost Report'!G1401,Comprometidos!E:E)</f>
        <v>0</v>
      </c>
      <c r="L1401" s="107">
        <f t="shared" si="591"/>
        <v>9875</v>
      </c>
      <c r="M1401" s="107">
        <v>0</v>
      </c>
      <c r="N1401" s="107">
        <f t="shared" si="593"/>
        <v>9875</v>
      </c>
      <c r="O1401" s="107">
        <f>VLOOKUP(G1401,Budget!$E$3:$G$2474,3,0)</f>
        <v>8625</v>
      </c>
      <c r="P1401" s="107">
        <f t="shared" si="594"/>
        <v>-1250</v>
      </c>
      <c r="Q1401" s="107"/>
      <c r="R1401" s="10"/>
      <c r="S1401" s="107">
        <v>9875</v>
      </c>
      <c r="T1401" s="107">
        <f t="shared" si="590"/>
        <v>0</v>
      </c>
      <c r="U1401" s="107"/>
      <c r="V1401" s="175"/>
      <c r="W1401" s="10"/>
      <c r="X1401" s="10"/>
      <c r="Y1401" t="str">
        <f t="shared" si="589"/>
        <v>3145</v>
      </c>
      <c r="AB1401" s="10"/>
      <c r="AC1401" s="10"/>
      <c r="AD1401" s="10"/>
      <c r="AE1401" s="10"/>
      <c r="AF1401" s="10"/>
      <c r="AG1401" s="10"/>
      <c r="AH1401" s="10"/>
      <c r="AI1401" s="10"/>
    </row>
    <row r="1402" spans="1:35">
      <c r="A1402" s="10"/>
      <c r="B1402" s="10" t="str">
        <f t="shared" si="588"/>
        <v>Below the LineSHOOT</v>
      </c>
      <c r="C1402" t="s">
        <v>20</v>
      </c>
      <c r="D1402" t="s">
        <v>19</v>
      </c>
      <c r="E1402" t="s">
        <v>236</v>
      </c>
      <c r="F1402" t="s">
        <v>5396</v>
      </c>
      <c r="G1402" t="s">
        <v>3408</v>
      </c>
      <c r="I1402" s="10"/>
      <c r="J1402" s="107">
        <f>SUMIF(Data!C:C,G1402,Data!Q:Q)</f>
        <v>34749.990000000005</v>
      </c>
      <c r="K1402" s="107">
        <f>SUMIF(Comprometidos!A:A,'Cost Report'!G1402,Comprometidos!E:E)</f>
        <v>0</v>
      </c>
      <c r="L1402" s="107">
        <f t="shared" ref="L1402:L1403" si="595">+J1402+K1402</f>
        <v>34749.990000000005</v>
      </c>
      <c r="M1402" s="107">
        <v>0</v>
      </c>
      <c r="N1402" s="107">
        <f t="shared" ref="N1402:N1403" si="596">+L1402+M1402</f>
        <v>34749.990000000005</v>
      </c>
      <c r="O1402" s="107">
        <f>VLOOKUP(G1402,Budget!$E$3:$G$2474,3,0)</f>
        <v>0</v>
      </c>
      <c r="P1402" s="107">
        <f t="shared" ref="P1402:P1403" si="597">+O1402-N1402</f>
        <v>-34749.990000000005</v>
      </c>
      <c r="Q1402" s="107"/>
      <c r="R1402" s="10"/>
      <c r="S1402" s="107">
        <v>34749.990000000005</v>
      </c>
      <c r="T1402" s="107">
        <f t="shared" ref="T1402:T1403" si="598">+S1402-N1402</f>
        <v>0</v>
      </c>
      <c r="U1402" s="107"/>
      <c r="V1402" s="175"/>
      <c r="W1402" s="10"/>
      <c r="X1402" s="10"/>
      <c r="Y1402" t="str">
        <f t="shared" ref="Y1402:Y1403" si="599">LEFT(G1402,4)</f>
        <v>3145</v>
      </c>
      <c r="AB1402" s="10"/>
      <c r="AC1402" s="10"/>
      <c r="AD1402" s="10"/>
      <c r="AE1402" s="10"/>
      <c r="AF1402" s="10"/>
      <c r="AG1402" s="10"/>
      <c r="AH1402" s="10"/>
      <c r="AI1402" s="10"/>
    </row>
    <row r="1403" spans="1:35">
      <c r="A1403" s="10"/>
      <c r="B1403" s="10" t="str">
        <f t="shared" si="588"/>
        <v>Below the LineSHOOT</v>
      </c>
      <c r="C1403" t="s">
        <v>20</v>
      </c>
      <c r="D1403" t="s">
        <v>19</v>
      </c>
      <c r="E1403" t="s">
        <v>236</v>
      </c>
      <c r="F1403" t="s">
        <v>5396</v>
      </c>
      <c r="G1403" t="s">
        <v>3409</v>
      </c>
      <c r="I1403" s="10"/>
      <c r="J1403" s="107">
        <f>SUMIF(Data!C:C,G1403,Data!Q:Q)</f>
        <v>0</v>
      </c>
      <c r="K1403" s="107">
        <f>SUMIF(Comprometidos!A:A,'Cost Report'!G1403,Comprometidos!E:E)</f>
        <v>0</v>
      </c>
      <c r="L1403" s="107">
        <f t="shared" si="595"/>
        <v>0</v>
      </c>
      <c r="M1403" s="107">
        <v>0</v>
      </c>
      <c r="N1403" s="107">
        <f t="shared" si="596"/>
        <v>0</v>
      </c>
      <c r="O1403" s="107">
        <f>VLOOKUP(G1403,Budget!$E$3:$G$2474,3,0)</f>
        <v>0</v>
      </c>
      <c r="P1403" s="107">
        <f t="shared" si="597"/>
        <v>0</v>
      </c>
      <c r="Q1403" s="107"/>
      <c r="R1403" s="10"/>
      <c r="S1403" s="107">
        <v>0</v>
      </c>
      <c r="T1403" s="107">
        <f t="shared" si="598"/>
        <v>0</v>
      </c>
      <c r="U1403" s="107"/>
      <c r="V1403" s="175"/>
      <c r="W1403" s="10"/>
      <c r="X1403" s="10"/>
      <c r="Y1403" t="str">
        <f t="shared" si="599"/>
        <v>3145</v>
      </c>
      <c r="AB1403" s="10"/>
      <c r="AC1403" s="10"/>
      <c r="AD1403" s="10"/>
      <c r="AE1403" s="10"/>
      <c r="AF1403" s="10"/>
      <c r="AG1403" s="10"/>
      <c r="AH1403" s="10"/>
      <c r="AI1403" s="10"/>
    </row>
    <row r="1404" spans="1:35">
      <c r="A1404" s="10"/>
      <c r="B1404" s="10" t="str">
        <f t="shared" si="588"/>
        <v>Below the LineSHOOT</v>
      </c>
      <c r="C1404" t="s">
        <v>20</v>
      </c>
      <c r="D1404" t="s">
        <v>19</v>
      </c>
      <c r="E1404" t="s">
        <v>236</v>
      </c>
      <c r="F1404" t="s">
        <v>5396</v>
      </c>
      <c r="G1404" t="s">
        <v>3419</v>
      </c>
      <c r="I1404" s="10"/>
      <c r="J1404" s="107">
        <f>SUMIF(Data!C:C,G1404,Data!Q:Q)</f>
        <v>0</v>
      </c>
      <c r="K1404" s="107">
        <f>SUMIF(Comprometidos!A:A,'Cost Report'!G1404,Comprometidos!E:E)</f>
        <v>0</v>
      </c>
      <c r="L1404" s="107">
        <f t="shared" ref="L1404" si="600">+J1404+K1404</f>
        <v>0</v>
      </c>
      <c r="M1404" s="107">
        <v>0</v>
      </c>
      <c r="N1404" s="107">
        <f t="shared" ref="N1404" si="601">+L1404+M1404</f>
        <v>0</v>
      </c>
      <c r="O1404" s="107">
        <f>VLOOKUP(G1404,Budget!$E$3:$G$2474,3,0)</f>
        <v>0</v>
      </c>
      <c r="P1404" s="107">
        <f t="shared" ref="P1404" si="602">+O1404-N1404</f>
        <v>0</v>
      </c>
      <c r="Q1404" s="107"/>
      <c r="R1404" s="10"/>
      <c r="S1404" s="107">
        <v>0</v>
      </c>
      <c r="T1404" s="107">
        <f t="shared" ref="T1404" si="603">+S1404-N1404</f>
        <v>0</v>
      </c>
      <c r="U1404" s="107"/>
      <c r="V1404" s="175"/>
      <c r="W1404" s="10"/>
      <c r="X1404" s="10"/>
      <c r="Y1404" t="str">
        <f t="shared" ref="Y1404" si="604">LEFT(G1404,4)</f>
        <v>3145</v>
      </c>
      <c r="AB1404" s="10"/>
      <c r="AC1404" s="10"/>
      <c r="AD1404" s="10"/>
      <c r="AE1404" s="10"/>
      <c r="AF1404" s="10"/>
      <c r="AG1404" s="10"/>
      <c r="AH1404" s="10"/>
      <c r="AI1404" s="10"/>
    </row>
    <row r="1405" spans="1:35">
      <c r="A1405" s="10"/>
      <c r="B1405" s="10" t="str">
        <f>+C1405</f>
        <v>Below the Line</v>
      </c>
      <c r="C1405" s="128" t="s">
        <v>20</v>
      </c>
      <c r="D1405" s="128" t="s">
        <v>2117</v>
      </c>
      <c r="E1405" s="128"/>
      <c r="F1405" s="128"/>
      <c r="G1405" s="128" t="s">
        <v>825</v>
      </c>
      <c r="H1405" s="128"/>
      <c r="I1405" s="10"/>
      <c r="J1405" s="129">
        <f>SUMIF($Y$11:$Y$2484,G1405,J$11:J$2484)</f>
        <v>67265.440000000002</v>
      </c>
      <c r="K1405" s="129">
        <f>SUMIF($Y$11:$Y$2484,G1405,K$11:K$2484)</f>
        <v>0</v>
      </c>
      <c r="L1405" s="129">
        <f>SUMIF($Y$11:$Y$2484,G1405,L$11:L$2484)</f>
        <v>67265.440000000002</v>
      </c>
      <c r="M1405" s="129">
        <f>SUMIF($Y$11:$Y$2484,G1405,M$11:M$2484)</f>
        <v>0</v>
      </c>
      <c r="N1405" s="129">
        <f>SUMIF($Y$11:$Y$2484,G1405,N$11:N$2484)</f>
        <v>67265.440000000002</v>
      </c>
      <c r="O1405" s="129">
        <f>SUMIF($Y$11:$Y$2484,G1405,O$11:O$2484)</f>
        <v>120000</v>
      </c>
      <c r="P1405" s="129">
        <f>SUMIF($Y$11:$Y$2484,G1405,P$11:P$2484)</f>
        <v>52734.559999999998</v>
      </c>
      <c r="Q1405" s="129"/>
      <c r="R1405" s="10"/>
      <c r="S1405" s="129">
        <v>67265.440000000002</v>
      </c>
      <c r="T1405" s="129">
        <f t="shared" si="590"/>
        <v>0</v>
      </c>
      <c r="U1405" s="128"/>
      <c r="V1405" s="175"/>
      <c r="W1405" s="10"/>
      <c r="X1405" s="10"/>
      <c r="Z1405" t="str">
        <f>LEFT(G1405,2)</f>
        <v>31</v>
      </c>
      <c r="AA1405" t="str">
        <f>+Z1405&amp;"00"</f>
        <v>3100</v>
      </c>
      <c r="AB1405" s="10"/>
      <c r="AC1405" s="10"/>
      <c r="AD1405" s="10"/>
      <c r="AE1405" s="10"/>
      <c r="AF1405" s="10"/>
      <c r="AG1405" s="10"/>
      <c r="AH1405" s="10"/>
      <c r="AI1405" s="10"/>
    </row>
    <row r="1406" spans="1:35">
      <c r="A1406" s="10"/>
      <c r="B1406" s="10" t="str">
        <f t="shared" ref="B1406:B1407" si="605">+C1406&amp;E1406</f>
        <v>Below the Line</v>
      </c>
      <c r="C1406" t="s">
        <v>20</v>
      </c>
      <c r="D1406" t="s">
        <v>19</v>
      </c>
      <c r="E1406" t="s">
        <v>214</v>
      </c>
      <c r="G1406" t="s">
        <v>826</v>
      </c>
      <c r="I1406" s="10"/>
      <c r="J1406" s="107">
        <f>SUMIF(Data!C:C,G1406,Data!Q:Q)</f>
        <v>0</v>
      </c>
      <c r="K1406" s="107">
        <f>SUMIF(Comprometidos!A:A,'Cost Report'!G1406,Comprometidos!E:E)</f>
        <v>0</v>
      </c>
      <c r="L1406" s="107">
        <f t="shared" ref="L1406:L1468" si="606">+J1406+K1406</f>
        <v>0</v>
      </c>
      <c r="M1406" s="107">
        <f t="shared" ref="M1406:M1468" si="607">+O1406-L1406</f>
        <v>0</v>
      </c>
      <c r="N1406" s="107">
        <f t="shared" ref="N1406:N1468" si="608">+L1406+M1406</f>
        <v>0</v>
      </c>
      <c r="O1406" s="107">
        <f>VLOOKUP(G1406,Budget!$E$3:$G$2474,3,0)</f>
        <v>0</v>
      </c>
      <c r="P1406" s="107">
        <f t="shared" ref="P1406:P1468" si="609">+O1406-N1406</f>
        <v>0</v>
      </c>
      <c r="Q1406" s="107"/>
      <c r="R1406" s="10"/>
      <c r="S1406" s="107">
        <v>0</v>
      </c>
      <c r="T1406" s="107">
        <f t="shared" si="590"/>
        <v>0</v>
      </c>
      <c r="U1406" s="107"/>
      <c r="V1406" s="175"/>
      <c r="W1406" s="10"/>
      <c r="X1406" s="10"/>
      <c r="Y1406" t="str">
        <f t="shared" ref="Y1406:Y1407" si="610">LEFT(G1406,4)</f>
        <v>3185</v>
      </c>
      <c r="AB1406" s="10"/>
      <c r="AC1406" s="10"/>
      <c r="AD1406" s="10"/>
      <c r="AE1406" s="10"/>
      <c r="AF1406" s="10"/>
      <c r="AG1406" s="10"/>
      <c r="AH1406" s="10"/>
      <c r="AI1406" s="10"/>
    </row>
    <row r="1407" spans="1:35">
      <c r="A1407" s="10"/>
      <c r="B1407" s="10" t="str">
        <f t="shared" si="605"/>
        <v>Below the LineALL SHOW</v>
      </c>
      <c r="C1407" t="s">
        <v>20</v>
      </c>
      <c r="D1407" t="s">
        <v>19</v>
      </c>
      <c r="E1407" t="s">
        <v>227</v>
      </c>
      <c r="G1407" t="s">
        <v>2700</v>
      </c>
      <c r="I1407" s="10"/>
      <c r="J1407" s="107">
        <f>SUMIF(Data!C:C,G1407,Data!Q:Q)</f>
        <v>67265.440000000002</v>
      </c>
      <c r="K1407" s="107">
        <f>SUMIF(Comprometidos!A:A,'Cost Report'!G1407,Comprometidos!E:E)</f>
        <v>0</v>
      </c>
      <c r="L1407" s="107">
        <f t="shared" si="606"/>
        <v>67265.440000000002</v>
      </c>
      <c r="M1407" s="107">
        <v>0</v>
      </c>
      <c r="N1407" s="107">
        <f t="shared" si="608"/>
        <v>67265.440000000002</v>
      </c>
      <c r="O1407" s="107">
        <f>VLOOKUP(G1407,Budget!$E$3:$G$2474,3,0)</f>
        <v>120000</v>
      </c>
      <c r="P1407" s="107">
        <f t="shared" si="609"/>
        <v>52734.559999999998</v>
      </c>
      <c r="Q1407" s="107"/>
      <c r="R1407" s="10"/>
      <c r="S1407" s="107">
        <v>67265.440000000002</v>
      </c>
      <c r="T1407" s="107">
        <f t="shared" si="590"/>
        <v>0</v>
      </c>
      <c r="U1407" s="107"/>
      <c r="V1407" s="175"/>
      <c r="W1407" s="10"/>
      <c r="X1407" s="10"/>
      <c r="Y1407" t="str">
        <f t="shared" si="610"/>
        <v>3185</v>
      </c>
      <c r="AB1407" s="10"/>
      <c r="AC1407" s="10"/>
      <c r="AD1407" s="10"/>
      <c r="AE1407" s="10"/>
      <c r="AF1407" s="10"/>
      <c r="AG1407" s="10"/>
      <c r="AH1407" s="10"/>
      <c r="AI1407" s="10"/>
    </row>
    <row r="1408" spans="1:35">
      <c r="A1408" s="10"/>
      <c r="B1408" s="10" t="str">
        <f>+C1408</f>
        <v>Below the Line</v>
      </c>
      <c r="C1408" s="128" t="s">
        <v>20</v>
      </c>
      <c r="D1408" s="128" t="s">
        <v>2117</v>
      </c>
      <c r="E1408" s="128"/>
      <c r="F1408" s="128"/>
      <c r="G1408" s="128" t="s">
        <v>2701</v>
      </c>
      <c r="H1408" s="128"/>
      <c r="I1408" s="10"/>
      <c r="J1408" s="129">
        <f>SUMIF($Y$11:$Y$2484,G1408,J$11:J$2484)</f>
        <v>134000</v>
      </c>
      <c r="K1408" s="129">
        <f>SUMIF($Y$11:$Y$2484,G1408,K$11:K$2484)</f>
        <v>0</v>
      </c>
      <c r="L1408" s="129">
        <f>SUMIF($Y$11:$Y$2484,G1408,L$11:L$2484)</f>
        <v>134000</v>
      </c>
      <c r="M1408" s="129">
        <f>SUMIF($Y$11:$Y$2484,G1408,M$11:M$2484)</f>
        <v>0</v>
      </c>
      <c r="N1408" s="129">
        <f>SUMIF($Y$11:$Y$2484,G1408,N$11:N$2484)</f>
        <v>134000</v>
      </c>
      <c r="O1408" s="129">
        <f>SUMIF($Y$11:$Y$2484,G1408,O$11:O$2484)</f>
        <v>324000</v>
      </c>
      <c r="P1408" s="129">
        <f>SUMIF($Y$11:$Y$2484,G1408,P$11:P$2484)</f>
        <v>190000</v>
      </c>
      <c r="Q1408" s="129"/>
      <c r="R1408" s="10"/>
      <c r="S1408" s="129">
        <v>134000</v>
      </c>
      <c r="T1408" s="129">
        <f t="shared" si="590"/>
        <v>0</v>
      </c>
      <c r="U1408" s="128"/>
      <c r="V1408" s="175"/>
      <c r="W1408" s="10"/>
      <c r="X1408" s="10"/>
      <c r="Z1408" t="str">
        <f>LEFT(G1408,2)</f>
        <v>31</v>
      </c>
      <c r="AA1408" t="str">
        <f>+Z1408&amp;"00"</f>
        <v>3100</v>
      </c>
      <c r="AB1408" s="10"/>
      <c r="AC1408" s="10"/>
      <c r="AD1408" s="10"/>
      <c r="AE1408" s="10"/>
      <c r="AF1408" s="10"/>
      <c r="AG1408" s="10"/>
      <c r="AH1408" s="10"/>
      <c r="AI1408" s="10"/>
    </row>
    <row r="1409" spans="1:35">
      <c r="A1409" s="10"/>
      <c r="B1409" s="10" t="str">
        <f t="shared" ref="B1409:B1425" si="611">+C1409&amp;E1409</f>
        <v>Below the Line</v>
      </c>
      <c r="C1409" t="s">
        <v>20</v>
      </c>
      <c r="D1409" t="s">
        <v>19</v>
      </c>
      <c r="E1409" t="s">
        <v>214</v>
      </c>
      <c r="G1409" t="s">
        <v>2702</v>
      </c>
      <c r="I1409" s="10"/>
      <c r="J1409" s="107">
        <f>SUMIF(Data!C:C,G1409,Data!Q:Q)</f>
        <v>0</v>
      </c>
      <c r="K1409" s="107">
        <f>SUMIF(Comprometidos!A:A,'Cost Report'!G1409,Comprometidos!E:E)</f>
        <v>0</v>
      </c>
      <c r="L1409" s="107">
        <f t="shared" ref="L1409:L1424" si="612">+J1409+K1409</f>
        <v>0</v>
      </c>
      <c r="M1409" s="107">
        <f t="shared" ref="M1409:M1423" si="613">+O1409-L1409</f>
        <v>0</v>
      </c>
      <c r="N1409" s="107">
        <f t="shared" ref="N1409:N1424" si="614">+L1409+M1409</f>
        <v>0</v>
      </c>
      <c r="O1409" s="107">
        <f>VLOOKUP(G1409,Budget!$E$3:$G$2474,3,0)</f>
        <v>0</v>
      </c>
      <c r="P1409" s="107">
        <f t="shared" ref="P1409:P1424" si="615">+O1409-N1409</f>
        <v>0</v>
      </c>
      <c r="Q1409" s="107"/>
      <c r="R1409" s="10"/>
      <c r="S1409" s="107">
        <v>0</v>
      </c>
      <c r="T1409" s="107">
        <f t="shared" si="590"/>
        <v>0</v>
      </c>
      <c r="U1409" s="107"/>
      <c r="V1409" s="175"/>
      <c r="W1409" s="10"/>
      <c r="X1409" s="10"/>
      <c r="Y1409" t="str">
        <f t="shared" ref="Y1409:Y1424" si="616">LEFT(G1409,4)</f>
        <v>3192</v>
      </c>
      <c r="AB1409" s="10"/>
      <c r="AC1409" s="10"/>
      <c r="AD1409" s="10"/>
      <c r="AE1409" s="10"/>
      <c r="AF1409" s="10"/>
      <c r="AG1409" s="10"/>
      <c r="AH1409" s="10"/>
      <c r="AI1409" s="10"/>
    </row>
    <row r="1410" spans="1:35">
      <c r="A1410" s="10"/>
      <c r="B1410" s="10" t="str">
        <f t="shared" si="611"/>
        <v>Below the LineSHOOT</v>
      </c>
      <c r="C1410" t="s">
        <v>20</v>
      </c>
      <c r="D1410" t="s">
        <v>19</v>
      </c>
      <c r="E1410" t="s">
        <v>236</v>
      </c>
      <c r="G1410" t="s">
        <v>2703</v>
      </c>
      <c r="I1410" s="10"/>
      <c r="J1410" s="107">
        <f>SUMIF(Data!C:C,G1410,Data!Q:Q)</f>
        <v>0</v>
      </c>
      <c r="K1410" s="107">
        <f>SUMIF(Comprometidos!A:A,'Cost Report'!G1410,Comprometidos!E:E)</f>
        <v>0</v>
      </c>
      <c r="L1410" s="107">
        <f t="shared" si="612"/>
        <v>0</v>
      </c>
      <c r="M1410" s="107">
        <f t="shared" si="613"/>
        <v>0</v>
      </c>
      <c r="N1410" s="107">
        <f t="shared" si="614"/>
        <v>0</v>
      </c>
      <c r="O1410" s="107">
        <f>VLOOKUP(G1410,Budget!$E$3:$G$2474,3,0)</f>
        <v>0</v>
      </c>
      <c r="P1410" s="107">
        <f t="shared" si="615"/>
        <v>0</v>
      </c>
      <c r="Q1410" s="107"/>
      <c r="R1410" s="10"/>
      <c r="S1410" s="107">
        <v>0</v>
      </c>
      <c r="T1410" s="107">
        <f t="shared" si="590"/>
        <v>0</v>
      </c>
      <c r="U1410" s="107"/>
      <c r="V1410" s="175"/>
      <c r="W1410" s="10"/>
      <c r="X1410" s="10"/>
      <c r="Y1410" t="str">
        <f t="shared" si="616"/>
        <v>3192</v>
      </c>
      <c r="AB1410" s="10"/>
      <c r="AC1410" s="10"/>
      <c r="AD1410" s="10"/>
      <c r="AE1410" s="10"/>
      <c r="AF1410" s="10"/>
      <c r="AG1410" s="10"/>
      <c r="AH1410" s="10"/>
      <c r="AI1410" s="10"/>
    </row>
    <row r="1411" spans="1:35">
      <c r="A1411" s="10"/>
      <c r="B1411" s="10" t="str">
        <f t="shared" si="611"/>
        <v>Below the LineSHOOT</v>
      </c>
      <c r="C1411" t="s">
        <v>20</v>
      </c>
      <c r="D1411" t="s">
        <v>19</v>
      </c>
      <c r="E1411" t="s">
        <v>236</v>
      </c>
      <c r="G1411" t="s">
        <v>2704</v>
      </c>
      <c r="I1411" s="10"/>
      <c r="J1411" s="107">
        <f>SUMIF(Data!C:C,G1411,Data!Q:Q)</f>
        <v>0</v>
      </c>
      <c r="K1411" s="107">
        <f>SUMIF(Comprometidos!A:A,'Cost Report'!G1411,Comprometidos!E:E)</f>
        <v>0</v>
      </c>
      <c r="L1411" s="107">
        <f t="shared" si="612"/>
        <v>0</v>
      </c>
      <c r="M1411" s="107">
        <f t="shared" si="613"/>
        <v>0</v>
      </c>
      <c r="N1411" s="107">
        <f t="shared" si="614"/>
        <v>0</v>
      </c>
      <c r="O1411" s="107">
        <f>VLOOKUP(G1411,Budget!$E$3:$G$2474,3,0)</f>
        <v>0</v>
      </c>
      <c r="P1411" s="107">
        <f t="shared" si="615"/>
        <v>0</v>
      </c>
      <c r="Q1411" s="107"/>
      <c r="R1411" s="10"/>
      <c r="S1411" s="107">
        <v>0</v>
      </c>
      <c r="T1411" s="107">
        <f t="shared" si="590"/>
        <v>0</v>
      </c>
      <c r="U1411" s="107"/>
      <c r="V1411" s="175"/>
      <c r="W1411" s="10"/>
      <c r="X1411" s="10"/>
      <c r="Y1411" t="str">
        <f t="shared" si="616"/>
        <v>3192</v>
      </c>
      <c r="AB1411" s="10"/>
      <c r="AC1411" s="10"/>
      <c r="AD1411" s="10"/>
      <c r="AE1411" s="10"/>
      <c r="AF1411" s="10"/>
      <c r="AG1411" s="10"/>
      <c r="AH1411" s="10"/>
      <c r="AI1411" s="10"/>
    </row>
    <row r="1412" spans="1:35">
      <c r="A1412" s="10"/>
      <c r="B1412" s="10" t="str">
        <f t="shared" si="611"/>
        <v>Below the LineSHOOT</v>
      </c>
      <c r="C1412" t="s">
        <v>20</v>
      </c>
      <c r="D1412" t="s">
        <v>19</v>
      </c>
      <c r="E1412" t="s">
        <v>236</v>
      </c>
      <c r="G1412" t="s">
        <v>2705</v>
      </c>
      <c r="I1412" s="10"/>
      <c r="J1412" s="107">
        <f>SUMIF(Data!C:C,G1412,Data!Q:Q)</f>
        <v>0</v>
      </c>
      <c r="K1412" s="107">
        <f>SUMIF(Comprometidos!A:A,'Cost Report'!G1412,Comprometidos!E:E)</f>
        <v>0</v>
      </c>
      <c r="L1412" s="107">
        <f t="shared" si="612"/>
        <v>0</v>
      </c>
      <c r="M1412" s="107">
        <f t="shared" si="613"/>
        <v>0</v>
      </c>
      <c r="N1412" s="107">
        <f t="shared" si="614"/>
        <v>0</v>
      </c>
      <c r="O1412" s="107">
        <f>VLOOKUP(G1412,Budget!$E$3:$G$2474,3,0)</f>
        <v>0</v>
      </c>
      <c r="P1412" s="107">
        <f t="shared" si="615"/>
        <v>0</v>
      </c>
      <c r="Q1412" s="107"/>
      <c r="R1412" s="10"/>
      <c r="S1412" s="107">
        <v>0</v>
      </c>
      <c r="T1412" s="107">
        <f t="shared" si="590"/>
        <v>0</v>
      </c>
      <c r="U1412" s="107"/>
      <c r="V1412" s="175"/>
      <c r="W1412" s="10"/>
      <c r="X1412" s="10"/>
      <c r="Y1412" t="str">
        <f t="shared" si="616"/>
        <v>3192</v>
      </c>
      <c r="AB1412" s="10"/>
      <c r="AC1412" s="10"/>
      <c r="AD1412" s="10"/>
      <c r="AE1412" s="10"/>
      <c r="AF1412" s="10"/>
      <c r="AG1412" s="10"/>
      <c r="AH1412" s="10"/>
      <c r="AI1412" s="10"/>
    </row>
    <row r="1413" spans="1:35">
      <c r="A1413" s="10"/>
      <c r="B1413" s="10" t="str">
        <f t="shared" si="611"/>
        <v>Below the LineSHOOT</v>
      </c>
      <c r="C1413" t="s">
        <v>20</v>
      </c>
      <c r="D1413" t="s">
        <v>19</v>
      </c>
      <c r="E1413" t="s">
        <v>236</v>
      </c>
      <c r="G1413" t="s">
        <v>2706</v>
      </c>
      <c r="I1413" s="10"/>
      <c r="J1413" s="107">
        <f>SUMIF(Data!C:C,G1413,Data!Q:Q)</f>
        <v>0</v>
      </c>
      <c r="K1413" s="107">
        <f>SUMIF(Comprometidos!A:A,'Cost Report'!G1413,Comprometidos!E:E)</f>
        <v>0</v>
      </c>
      <c r="L1413" s="107">
        <f t="shared" si="612"/>
        <v>0</v>
      </c>
      <c r="M1413" s="107">
        <f t="shared" si="613"/>
        <v>0</v>
      </c>
      <c r="N1413" s="107">
        <f t="shared" si="614"/>
        <v>0</v>
      </c>
      <c r="O1413" s="107">
        <f>VLOOKUP(G1413,Budget!$E$3:$G$2474,3,0)</f>
        <v>0</v>
      </c>
      <c r="P1413" s="107">
        <f t="shared" si="615"/>
        <v>0</v>
      </c>
      <c r="Q1413" s="107"/>
      <c r="R1413" s="10"/>
      <c r="S1413" s="107">
        <v>0</v>
      </c>
      <c r="T1413" s="107">
        <f t="shared" si="590"/>
        <v>0</v>
      </c>
      <c r="U1413" s="107"/>
      <c r="V1413" s="175"/>
      <c r="W1413" s="10"/>
      <c r="X1413" s="10"/>
      <c r="Y1413" t="str">
        <f t="shared" si="616"/>
        <v>3192</v>
      </c>
      <c r="AB1413" s="10"/>
      <c r="AC1413" s="10"/>
      <c r="AD1413" s="10"/>
      <c r="AE1413" s="10"/>
      <c r="AF1413" s="10"/>
      <c r="AG1413" s="10"/>
      <c r="AH1413" s="10"/>
      <c r="AI1413" s="10"/>
    </row>
    <row r="1414" spans="1:35">
      <c r="A1414" s="10"/>
      <c r="B1414" s="10" t="str">
        <f t="shared" si="611"/>
        <v>Below the LineSHOOT</v>
      </c>
      <c r="C1414" t="s">
        <v>20</v>
      </c>
      <c r="D1414" t="s">
        <v>19</v>
      </c>
      <c r="E1414" t="s">
        <v>236</v>
      </c>
      <c r="G1414" t="s">
        <v>2707</v>
      </c>
      <c r="I1414" s="10"/>
      <c r="J1414" s="107">
        <f>SUMIF(Data!C:C,G1414,Data!Q:Q)</f>
        <v>0</v>
      </c>
      <c r="K1414" s="107">
        <f>SUMIF(Comprometidos!A:A,'Cost Report'!G1414,Comprometidos!E:E)</f>
        <v>0</v>
      </c>
      <c r="L1414" s="107">
        <f t="shared" si="612"/>
        <v>0</v>
      </c>
      <c r="M1414" s="107">
        <f t="shared" si="613"/>
        <v>0</v>
      </c>
      <c r="N1414" s="107">
        <f t="shared" si="614"/>
        <v>0</v>
      </c>
      <c r="O1414" s="107">
        <f>VLOOKUP(G1414,Budget!$E$3:$G$2474,3,0)</f>
        <v>0</v>
      </c>
      <c r="P1414" s="107">
        <f t="shared" si="615"/>
        <v>0</v>
      </c>
      <c r="Q1414" s="107"/>
      <c r="R1414" s="10"/>
      <c r="S1414" s="107">
        <v>0</v>
      </c>
      <c r="T1414" s="107">
        <f t="shared" si="590"/>
        <v>0</v>
      </c>
      <c r="U1414" s="107"/>
      <c r="V1414" s="175"/>
      <c r="W1414" s="10"/>
      <c r="X1414" s="10"/>
      <c r="Y1414" t="str">
        <f t="shared" si="616"/>
        <v>3192</v>
      </c>
      <c r="AB1414" s="10"/>
      <c r="AC1414" s="10"/>
      <c r="AD1414" s="10"/>
      <c r="AE1414" s="10"/>
      <c r="AF1414" s="10"/>
      <c r="AG1414" s="10"/>
      <c r="AH1414" s="10"/>
      <c r="AI1414" s="10"/>
    </row>
    <row r="1415" spans="1:35">
      <c r="A1415" s="10"/>
      <c r="B1415" s="10" t="str">
        <f t="shared" si="611"/>
        <v>Below the LineSHOOT</v>
      </c>
      <c r="C1415" t="s">
        <v>20</v>
      </c>
      <c r="D1415" t="s">
        <v>19</v>
      </c>
      <c r="E1415" t="s">
        <v>236</v>
      </c>
      <c r="G1415" t="s">
        <v>2708</v>
      </c>
      <c r="I1415" s="10"/>
      <c r="J1415" s="107">
        <f>SUMIF(Data!C:C,G1415,Data!Q:Q)</f>
        <v>0</v>
      </c>
      <c r="K1415" s="107">
        <f>SUMIF(Comprometidos!A:A,'Cost Report'!G1415,Comprometidos!E:E)</f>
        <v>0</v>
      </c>
      <c r="L1415" s="107">
        <f t="shared" si="612"/>
        <v>0</v>
      </c>
      <c r="M1415" s="107">
        <f t="shared" si="613"/>
        <v>0</v>
      </c>
      <c r="N1415" s="107">
        <f t="shared" si="614"/>
        <v>0</v>
      </c>
      <c r="O1415" s="107">
        <f>VLOOKUP(G1415,Budget!$E$3:$G$2474,3,0)</f>
        <v>0</v>
      </c>
      <c r="P1415" s="107">
        <f t="shared" si="615"/>
        <v>0</v>
      </c>
      <c r="Q1415" s="107"/>
      <c r="R1415" s="10"/>
      <c r="S1415" s="107">
        <v>0</v>
      </c>
      <c r="T1415" s="107">
        <f t="shared" si="590"/>
        <v>0</v>
      </c>
      <c r="U1415" s="107"/>
      <c r="V1415" s="175"/>
      <c r="W1415" s="10"/>
      <c r="X1415" s="10"/>
      <c r="Y1415" t="str">
        <f t="shared" si="616"/>
        <v>3192</v>
      </c>
      <c r="AB1415" s="10"/>
      <c r="AC1415" s="10"/>
      <c r="AD1415" s="10"/>
      <c r="AE1415" s="10"/>
      <c r="AF1415" s="10"/>
      <c r="AG1415" s="10"/>
      <c r="AH1415" s="10"/>
      <c r="AI1415" s="10"/>
    </row>
    <row r="1416" spans="1:35">
      <c r="A1416" s="10"/>
      <c r="B1416" s="10" t="str">
        <f t="shared" si="611"/>
        <v>Below the LineSHOOT</v>
      </c>
      <c r="C1416" t="s">
        <v>20</v>
      </c>
      <c r="D1416" t="s">
        <v>19</v>
      </c>
      <c r="E1416" t="s">
        <v>236</v>
      </c>
      <c r="G1416" t="s">
        <v>2709</v>
      </c>
      <c r="I1416" s="10"/>
      <c r="J1416" s="107">
        <f>SUMIF(Data!C:C,G1416,Data!Q:Q)</f>
        <v>0</v>
      </c>
      <c r="K1416" s="107">
        <f>SUMIF(Comprometidos!A:A,'Cost Report'!G1416,Comprometidos!E:E)</f>
        <v>0</v>
      </c>
      <c r="L1416" s="107">
        <f t="shared" si="612"/>
        <v>0</v>
      </c>
      <c r="M1416" s="107">
        <f t="shared" si="613"/>
        <v>0</v>
      </c>
      <c r="N1416" s="107">
        <f t="shared" si="614"/>
        <v>0</v>
      </c>
      <c r="O1416" s="107">
        <f>VLOOKUP(G1416,Budget!$E$3:$G$2474,3,0)</f>
        <v>0</v>
      </c>
      <c r="P1416" s="107">
        <f t="shared" si="615"/>
        <v>0</v>
      </c>
      <c r="Q1416" s="107"/>
      <c r="R1416" s="10"/>
      <c r="S1416" s="107">
        <v>0</v>
      </c>
      <c r="T1416" s="107">
        <f t="shared" si="590"/>
        <v>0</v>
      </c>
      <c r="U1416" s="107"/>
      <c r="V1416" s="175"/>
      <c r="W1416" s="10"/>
      <c r="X1416" s="10"/>
      <c r="Y1416" t="str">
        <f t="shared" si="616"/>
        <v>3192</v>
      </c>
      <c r="AB1416" s="10"/>
      <c r="AC1416" s="10"/>
      <c r="AD1416" s="10"/>
      <c r="AE1416" s="10"/>
      <c r="AF1416" s="10"/>
      <c r="AG1416" s="10"/>
      <c r="AH1416" s="10"/>
      <c r="AI1416" s="10"/>
    </row>
    <row r="1417" spans="1:35">
      <c r="A1417" s="10"/>
      <c r="B1417" s="10" t="str">
        <f t="shared" si="611"/>
        <v>Below the LineSHOOT</v>
      </c>
      <c r="C1417" t="s">
        <v>20</v>
      </c>
      <c r="D1417" t="s">
        <v>19</v>
      </c>
      <c r="E1417" t="s">
        <v>236</v>
      </c>
      <c r="G1417" t="s">
        <v>2710</v>
      </c>
      <c r="I1417" s="10"/>
      <c r="J1417" s="107">
        <f>SUMIF(Data!C:C,G1417,Data!Q:Q)</f>
        <v>0</v>
      </c>
      <c r="K1417" s="107">
        <f>SUMIF(Comprometidos!A:A,'Cost Report'!G1417,Comprometidos!E:E)</f>
        <v>0</v>
      </c>
      <c r="L1417" s="107">
        <f t="shared" si="612"/>
        <v>0</v>
      </c>
      <c r="M1417" s="107">
        <f t="shared" si="613"/>
        <v>0</v>
      </c>
      <c r="N1417" s="107">
        <f t="shared" si="614"/>
        <v>0</v>
      </c>
      <c r="O1417" s="107">
        <f>VLOOKUP(G1417,Budget!$E$3:$G$2474,3,0)</f>
        <v>0</v>
      </c>
      <c r="P1417" s="107">
        <f t="shared" si="615"/>
        <v>0</v>
      </c>
      <c r="Q1417" s="107"/>
      <c r="R1417" s="10"/>
      <c r="S1417" s="107">
        <v>0</v>
      </c>
      <c r="T1417" s="107">
        <f t="shared" si="590"/>
        <v>0</v>
      </c>
      <c r="U1417" s="107"/>
      <c r="V1417" s="175"/>
      <c r="W1417" s="10"/>
      <c r="X1417" s="10"/>
      <c r="Y1417" t="str">
        <f t="shared" si="616"/>
        <v>3192</v>
      </c>
      <c r="AB1417" s="10"/>
      <c r="AC1417" s="10"/>
      <c r="AD1417" s="10"/>
      <c r="AE1417" s="10"/>
      <c r="AF1417" s="10"/>
      <c r="AG1417" s="10"/>
      <c r="AH1417" s="10"/>
      <c r="AI1417" s="10"/>
    </row>
    <row r="1418" spans="1:35">
      <c r="A1418" s="10"/>
      <c r="B1418" s="10" t="str">
        <f t="shared" si="611"/>
        <v>Below the LineSHOOT</v>
      </c>
      <c r="C1418" t="s">
        <v>20</v>
      </c>
      <c r="D1418" t="s">
        <v>19</v>
      </c>
      <c r="E1418" t="s">
        <v>236</v>
      </c>
      <c r="G1418" t="s">
        <v>2711</v>
      </c>
      <c r="I1418" s="10"/>
      <c r="J1418" s="107">
        <f>SUMIF(Data!C:C,G1418,Data!Q:Q)</f>
        <v>0</v>
      </c>
      <c r="K1418" s="107">
        <f>SUMIF(Comprometidos!A:A,'Cost Report'!G1418,Comprometidos!E:E)</f>
        <v>0</v>
      </c>
      <c r="L1418" s="107">
        <f t="shared" si="612"/>
        <v>0</v>
      </c>
      <c r="M1418" s="107">
        <f t="shared" si="613"/>
        <v>0</v>
      </c>
      <c r="N1418" s="107">
        <f t="shared" si="614"/>
        <v>0</v>
      </c>
      <c r="O1418" s="107">
        <f>VLOOKUP(G1418,Budget!$E$3:$G$2474,3,0)</f>
        <v>0</v>
      </c>
      <c r="P1418" s="107">
        <f t="shared" si="615"/>
        <v>0</v>
      </c>
      <c r="Q1418" s="107"/>
      <c r="R1418" s="10"/>
      <c r="S1418" s="107">
        <v>0</v>
      </c>
      <c r="T1418" s="107">
        <f t="shared" si="590"/>
        <v>0</v>
      </c>
      <c r="U1418" s="107"/>
      <c r="V1418" s="175"/>
      <c r="W1418" s="10"/>
      <c r="X1418" s="10"/>
      <c r="Y1418" t="str">
        <f t="shared" si="616"/>
        <v>3192</v>
      </c>
      <c r="AB1418" s="10"/>
      <c r="AC1418" s="10"/>
      <c r="AD1418" s="10"/>
      <c r="AE1418" s="10"/>
      <c r="AF1418" s="10"/>
      <c r="AG1418" s="10"/>
      <c r="AH1418" s="10"/>
      <c r="AI1418" s="10"/>
    </row>
    <row r="1419" spans="1:35">
      <c r="A1419" s="10"/>
      <c r="B1419" s="10" t="str">
        <f t="shared" si="611"/>
        <v>Below the LineSHOOT</v>
      </c>
      <c r="C1419" t="s">
        <v>20</v>
      </c>
      <c r="D1419" t="s">
        <v>19</v>
      </c>
      <c r="E1419" t="s">
        <v>236</v>
      </c>
      <c r="G1419" t="s">
        <v>2712</v>
      </c>
      <c r="I1419" s="10"/>
      <c r="J1419" s="107">
        <f>SUMIF(Data!C:C,G1419,Data!Q:Q)</f>
        <v>0</v>
      </c>
      <c r="K1419" s="107">
        <f>SUMIF(Comprometidos!A:A,'Cost Report'!G1419,Comprometidos!E:E)</f>
        <v>0</v>
      </c>
      <c r="L1419" s="107">
        <f t="shared" si="612"/>
        <v>0</v>
      </c>
      <c r="M1419" s="107">
        <f t="shared" si="613"/>
        <v>0</v>
      </c>
      <c r="N1419" s="107">
        <f t="shared" si="614"/>
        <v>0</v>
      </c>
      <c r="O1419" s="107">
        <f>VLOOKUP(G1419,Budget!$E$3:$G$2474,3,0)</f>
        <v>0</v>
      </c>
      <c r="P1419" s="107">
        <f t="shared" si="615"/>
        <v>0</v>
      </c>
      <c r="Q1419" s="107"/>
      <c r="R1419" s="10"/>
      <c r="S1419" s="107">
        <v>0</v>
      </c>
      <c r="T1419" s="107">
        <f t="shared" si="590"/>
        <v>0</v>
      </c>
      <c r="U1419" s="107"/>
      <c r="V1419" s="175"/>
      <c r="W1419" s="10"/>
      <c r="X1419" s="10"/>
      <c r="Y1419" t="str">
        <f t="shared" si="616"/>
        <v>3192</v>
      </c>
      <c r="AB1419" s="10"/>
      <c r="AC1419" s="10"/>
      <c r="AD1419" s="10"/>
      <c r="AE1419" s="10"/>
      <c r="AF1419" s="10"/>
      <c r="AG1419" s="10"/>
      <c r="AH1419" s="10"/>
      <c r="AI1419" s="10"/>
    </row>
    <row r="1420" spans="1:35">
      <c r="A1420" s="10"/>
      <c r="B1420" s="10" t="str">
        <f t="shared" si="611"/>
        <v>Below the LineSHOOT</v>
      </c>
      <c r="C1420" t="s">
        <v>20</v>
      </c>
      <c r="D1420" t="s">
        <v>19</v>
      </c>
      <c r="E1420" t="s">
        <v>236</v>
      </c>
      <c r="G1420" t="s">
        <v>2713</v>
      </c>
      <c r="I1420" s="10"/>
      <c r="J1420" s="107">
        <f>SUMIF(Data!C:C,G1420,Data!Q:Q)</f>
        <v>0</v>
      </c>
      <c r="K1420" s="107">
        <f>SUMIF(Comprometidos!A:A,'Cost Report'!G1420,Comprometidos!E:E)</f>
        <v>0</v>
      </c>
      <c r="L1420" s="107">
        <f t="shared" si="612"/>
        <v>0</v>
      </c>
      <c r="M1420" s="107">
        <f t="shared" si="613"/>
        <v>0</v>
      </c>
      <c r="N1420" s="107">
        <f t="shared" si="614"/>
        <v>0</v>
      </c>
      <c r="O1420" s="107">
        <f>VLOOKUP(G1420,Budget!$E$3:$G$2474,3,0)</f>
        <v>0</v>
      </c>
      <c r="P1420" s="107">
        <f t="shared" si="615"/>
        <v>0</v>
      </c>
      <c r="Q1420" s="107"/>
      <c r="R1420" s="10"/>
      <c r="S1420" s="107">
        <v>0</v>
      </c>
      <c r="T1420" s="107">
        <f t="shared" si="590"/>
        <v>0</v>
      </c>
      <c r="U1420" s="107"/>
      <c r="V1420" s="175"/>
      <c r="W1420" s="10"/>
      <c r="X1420" s="10"/>
      <c r="Y1420" t="str">
        <f t="shared" si="616"/>
        <v>3192</v>
      </c>
      <c r="AB1420" s="10"/>
      <c r="AC1420" s="10"/>
      <c r="AD1420" s="10"/>
      <c r="AE1420" s="10"/>
      <c r="AF1420" s="10"/>
      <c r="AG1420" s="10"/>
      <c r="AH1420" s="10"/>
      <c r="AI1420" s="10"/>
    </row>
    <row r="1421" spans="1:35">
      <c r="A1421" s="10"/>
      <c r="B1421" s="10" t="str">
        <f t="shared" si="611"/>
        <v>Below the LineSHOOT</v>
      </c>
      <c r="C1421" t="s">
        <v>20</v>
      </c>
      <c r="D1421" t="s">
        <v>19</v>
      </c>
      <c r="E1421" t="s">
        <v>236</v>
      </c>
      <c r="G1421" t="s">
        <v>2714</v>
      </c>
      <c r="I1421" s="10"/>
      <c r="J1421" s="107">
        <f>SUMIF(Data!C:C,G1421,Data!Q:Q)</f>
        <v>0</v>
      </c>
      <c r="K1421" s="107">
        <f>SUMIF(Comprometidos!A:A,'Cost Report'!G1421,Comprometidos!E:E)</f>
        <v>0</v>
      </c>
      <c r="L1421" s="107">
        <f t="shared" si="612"/>
        <v>0</v>
      </c>
      <c r="M1421" s="107">
        <f t="shared" si="613"/>
        <v>0</v>
      </c>
      <c r="N1421" s="107">
        <f t="shared" si="614"/>
        <v>0</v>
      </c>
      <c r="O1421" s="107">
        <f>VLOOKUP(G1421,Budget!$E$3:$G$2474,3,0)</f>
        <v>0</v>
      </c>
      <c r="P1421" s="107">
        <f t="shared" si="615"/>
        <v>0</v>
      </c>
      <c r="Q1421" s="107"/>
      <c r="R1421" s="10"/>
      <c r="S1421" s="107">
        <v>0</v>
      </c>
      <c r="T1421" s="107">
        <f t="shared" si="590"/>
        <v>0</v>
      </c>
      <c r="U1421" s="107"/>
      <c r="V1421" s="175"/>
      <c r="W1421" s="10"/>
      <c r="X1421" s="10"/>
      <c r="Y1421" t="str">
        <f t="shared" si="616"/>
        <v>3192</v>
      </c>
      <c r="AB1421" s="10"/>
      <c r="AC1421" s="10"/>
      <c r="AD1421" s="10"/>
      <c r="AE1421" s="10"/>
      <c r="AF1421" s="10"/>
      <c r="AG1421" s="10"/>
      <c r="AH1421" s="10"/>
      <c r="AI1421" s="10"/>
    </row>
    <row r="1422" spans="1:35">
      <c r="A1422" s="10"/>
      <c r="B1422" s="10" t="str">
        <f t="shared" si="611"/>
        <v>Below the LineSHOOT</v>
      </c>
      <c r="C1422" t="s">
        <v>20</v>
      </c>
      <c r="D1422" t="s">
        <v>19</v>
      </c>
      <c r="E1422" t="s">
        <v>236</v>
      </c>
      <c r="G1422" t="s">
        <v>2715</v>
      </c>
      <c r="I1422" s="10"/>
      <c r="J1422" s="107">
        <f>SUMIF(Data!C:C,G1422,Data!Q:Q)</f>
        <v>134000</v>
      </c>
      <c r="K1422" s="107">
        <f>SUMIF(Comprometidos!A:A,'Cost Report'!G1422,Comprometidos!E:E)</f>
        <v>0</v>
      </c>
      <c r="L1422" s="107">
        <f t="shared" si="612"/>
        <v>134000</v>
      </c>
      <c r="M1422" s="107">
        <v>0</v>
      </c>
      <c r="N1422" s="107">
        <f t="shared" si="614"/>
        <v>134000</v>
      </c>
      <c r="O1422" s="107">
        <f>VLOOKUP(G1422,Budget!$E$3:$G$2474,3,0)</f>
        <v>252000</v>
      </c>
      <c r="P1422" s="107">
        <f t="shared" si="615"/>
        <v>118000</v>
      </c>
      <c r="Q1422" s="107"/>
      <c r="R1422" s="10"/>
      <c r="S1422" s="107">
        <v>134000</v>
      </c>
      <c r="T1422" s="107">
        <f t="shared" si="590"/>
        <v>0</v>
      </c>
      <c r="U1422" s="107"/>
      <c r="V1422" s="175"/>
      <c r="W1422" s="10"/>
      <c r="X1422" s="10"/>
      <c r="Y1422" t="str">
        <f t="shared" si="616"/>
        <v>3192</v>
      </c>
      <c r="AB1422" s="10"/>
      <c r="AC1422" s="10"/>
      <c r="AD1422" s="10"/>
      <c r="AE1422" s="10"/>
      <c r="AF1422" s="10"/>
      <c r="AG1422" s="10"/>
      <c r="AH1422" s="10"/>
      <c r="AI1422" s="10"/>
    </row>
    <row r="1423" spans="1:35">
      <c r="A1423" s="10"/>
      <c r="B1423" s="10" t="str">
        <f t="shared" si="611"/>
        <v>Below the Line</v>
      </c>
      <c r="C1423" t="s">
        <v>20</v>
      </c>
      <c r="D1423" t="s">
        <v>19</v>
      </c>
      <c r="E1423" t="s">
        <v>214</v>
      </c>
      <c r="G1423" t="s">
        <v>2716</v>
      </c>
      <c r="I1423" s="10"/>
      <c r="J1423" s="107">
        <f>SUMIF(Data!C:C,G1423,Data!Q:Q)</f>
        <v>0</v>
      </c>
      <c r="K1423" s="107">
        <f>SUMIF(Comprometidos!A:A,'Cost Report'!G1423,Comprometidos!E:E)</f>
        <v>0</v>
      </c>
      <c r="L1423" s="107">
        <f t="shared" si="612"/>
        <v>0</v>
      </c>
      <c r="M1423" s="107">
        <f t="shared" si="613"/>
        <v>0</v>
      </c>
      <c r="N1423" s="107">
        <f t="shared" si="614"/>
        <v>0</v>
      </c>
      <c r="O1423" s="107">
        <f>VLOOKUP(G1423,Budget!$E$3:$G$2474,3,0)</f>
        <v>0</v>
      </c>
      <c r="P1423" s="107">
        <f t="shared" si="615"/>
        <v>0</v>
      </c>
      <c r="Q1423" s="107"/>
      <c r="R1423" s="10"/>
      <c r="S1423" s="107">
        <v>0</v>
      </c>
      <c r="T1423" s="107">
        <f t="shared" si="590"/>
        <v>0</v>
      </c>
      <c r="U1423" s="107"/>
      <c r="V1423" s="175"/>
      <c r="W1423" s="10"/>
      <c r="X1423" s="10"/>
      <c r="Y1423" t="str">
        <f t="shared" si="616"/>
        <v>3192</v>
      </c>
      <c r="AB1423" s="10"/>
      <c r="AC1423" s="10"/>
      <c r="AD1423" s="10"/>
      <c r="AE1423" s="10"/>
      <c r="AF1423" s="10"/>
      <c r="AG1423" s="10"/>
      <c r="AH1423" s="10"/>
      <c r="AI1423" s="10"/>
    </row>
    <row r="1424" spans="1:35">
      <c r="A1424" s="10"/>
      <c r="B1424" s="10" t="str">
        <f t="shared" si="611"/>
        <v>Below the Line2nd Unit</v>
      </c>
      <c r="C1424" t="s">
        <v>20</v>
      </c>
      <c r="D1424" t="s">
        <v>19</v>
      </c>
      <c r="E1424" t="s">
        <v>1419</v>
      </c>
      <c r="G1424" t="s">
        <v>2717</v>
      </c>
      <c r="I1424" s="10"/>
      <c r="J1424" s="107">
        <f>SUMIF(Data!C:C,G1424,Data!Q:Q)</f>
        <v>0</v>
      </c>
      <c r="K1424" s="107">
        <f>SUMIF(Comprometidos!A:A,'Cost Report'!G1424,Comprometidos!E:E)</f>
        <v>0</v>
      </c>
      <c r="L1424" s="107">
        <f t="shared" si="612"/>
        <v>0</v>
      </c>
      <c r="M1424" s="107">
        <v>0</v>
      </c>
      <c r="N1424" s="107">
        <f t="shared" si="614"/>
        <v>0</v>
      </c>
      <c r="O1424" s="107">
        <f>VLOOKUP(G1424,Budget!$E$3:$G$2474,3,0)</f>
        <v>72000</v>
      </c>
      <c r="P1424" s="107">
        <f t="shared" si="615"/>
        <v>72000</v>
      </c>
      <c r="Q1424" s="107"/>
      <c r="R1424" s="10"/>
      <c r="S1424" s="107">
        <v>0</v>
      </c>
      <c r="T1424" s="107">
        <f t="shared" si="590"/>
        <v>0</v>
      </c>
      <c r="U1424" s="107"/>
      <c r="V1424" s="175"/>
      <c r="W1424" s="10"/>
      <c r="X1424" s="10"/>
      <c r="Y1424" t="str">
        <f t="shared" si="616"/>
        <v>3192</v>
      </c>
      <c r="AB1424" s="10"/>
      <c r="AC1424" s="10"/>
      <c r="AD1424" s="10"/>
      <c r="AE1424" s="10"/>
      <c r="AF1424" s="10"/>
      <c r="AG1424" s="10"/>
      <c r="AH1424" s="10"/>
      <c r="AI1424" s="10"/>
    </row>
    <row r="1425" spans="1:35">
      <c r="A1425" s="10"/>
      <c r="B1425" s="10" t="str">
        <f t="shared" si="611"/>
        <v>Below the Line2nd Unit</v>
      </c>
      <c r="C1425" t="s">
        <v>20</v>
      </c>
      <c r="D1425" t="s">
        <v>19</v>
      </c>
      <c r="E1425" t="s">
        <v>1419</v>
      </c>
      <c r="G1425" t="s">
        <v>3410</v>
      </c>
      <c r="I1425" s="10"/>
      <c r="J1425" s="107">
        <f>SUMIF(Data!C:C,G1425,Data!Q:Q)</f>
        <v>0</v>
      </c>
      <c r="K1425" s="107">
        <f>SUMIF(Comprometidos!A:A,'Cost Report'!G1425,Comprometidos!E:E)</f>
        <v>0</v>
      </c>
      <c r="L1425" s="107">
        <f t="shared" ref="L1425" si="617">+J1425+K1425</f>
        <v>0</v>
      </c>
      <c r="M1425" s="107">
        <v>0</v>
      </c>
      <c r="N1425" s="107">
        <f t="shared" ref="N1425" si="618">+L1425+M1425</f>
        <v>0</v>
      </c>
      <c r="O1425" s="107">
        <f>VLOOKUP(G1425,Budget!$E$3:$G$2474,3,0)</f>
        <v>0</v>
      </c>
      <c r="P1425" s="107">
        <f t="shared" ref="P1425" si="619">+O1425-N1425</f>
        <v>0</v>
      </c>
      <c r="Q1425" s="107"/>
      <c r="R1425" s="10"/>
      <c r="S1425" s="107">
        <v>0</v>
      </c>
      <c r="T1425" s="107">
        <f t="shared" ref="T1425" si="620">+S1425-N1425</f>
        <v>0</v>
      </c>
      <c r="U1425" s="107"/>
      <c r="V1425" s="175"/>
      <c r="W1425" s="10"/>
      <c r="X1425" s="10"/>
      <c r="Y1425" t="str">
        <f t="shared" ref="Y1425" si="621">LEFT(G1425,4)</f>
        <v>3192</v>
      </c>
      <c r="AB1425" s="10"/>
      <c r="AC1425" s="10"/>
      <c r="AD1425" s="10"/>
      <c r="AE1425" s="10"/>
      <c r="AF1425" s="10"/>
      <c r="AG1425" s="10"/>
      <c r="AH1425" s="10"/>
      <c r="AI1425" s="10"/>
    </row>
    <row r="1426" spans="1:35">
      <c r="A1426" s="10"/>
      <c r="B1426" s="10" t="str">
        <f>+C1426</f>
        <v>Below the Line</v>
      </c>
      <c r="C1426" s="128" t="s">
        <v>20</v>
      </c>
      <c r="D1426" s="128" t="s">
        <v>2117</v>
      </c>
      <c r="E1426" s="128"/>
      <c r="F1426" s="128"/>
      <c r="G1426" s="128" t="s">
        <v>827</v>
      </c>
      <c r="H1426" s="128"/>
      <c r="I1426" s="10"/>
      <c r="J1426" s="129">
        <f>SUMIF($Y$11:$Y$2484,G1426,J$11:J$2484)</f>
        <v>7755208.3400000008</v>
      </c>
      <c r="K1426" s="129">
        <f>SUMIF($Y$11:$Y$2484,G1426,K$11:K$2484)</f>
        <v>0</v>
      </c>
      <c r="L1426" s="129">
        <f>SUMIF($Y$11:$Y$2484,G1426,L$11:L$2484)</f>
        <v>7755208.3400000008</v>
      </c>
      <c r="M1426" s="129">
        <f>SUMIF($Y$11:$Y$2484,G1426,M$11:M$2484)</f>
        <v>0</v>
      </c>
      <c r="N1426" s="129">
        <f>SUMIF($Y$11:$Y$2484,G1426,N$11:N$2484)</f>
        <v>7755208.3400000008</v>
      </c>
      <c r="O1426" s="129">
        <f>SUMIF($Y$11:$Y$2484,G1426,O$11:O$2484)</f>
        <v>7120297.1200000001</v>
      </c>
      <c r="P1426" s="129">
        <f>SUMIF($Y$11:$Y$2484,G1426,P$11:P$2484)</f>
        <v>-634911.22</v>
      </c>
      <c r="Q1426" s="129"/>
      <c r="R1426" s="10"/>
      <c r="S1426" s="129">
        <v>7755208.3400000008</v>
      </c>
      <c r="T1426" s="129">
        <f t="shared" si="590"/>
        <v>0</v>
      </c>
      <c r="U1426" s="128"/>
      <c r="V1426" s="175"/>
      <c r="W1426" s="10"/>
      <c r="X1426" s="10"/>
      <c r="Z1426" t="str">
        <f>LEFT(G1426,2)</f>
        <v>31</v>
      </c>
      <c r="AA1426" t="str">
        <f>+Z1426&amp;"00"</f>
        <v>3100</v>
      </c>
      <c r="AB1426" s="10"/>
      <c r="AC1426" s="10"/>
      <c r="AD1426" s="10"/>
      <c r="AE1426" s="10"/>
      <c r="AF1426" s="10"/>
      <c r="AG1426" s="10"/>
      <c r="AH1426" s="10"/>
      <c r="AI1426" s="10"/>
    </row>
    <row r="1427" spans="1:35">
      <c r="A1427" s="10"/>
      <c r="B1427" s="10" t="str">
        <f t="shared" ref="B1427:B1490" si="622">+C1427&amp;E1427</f>
        <v>Below the Line</v>
      </c>
      <c r="C1427" t="s">
        <v>20</v>
      </c>
      <c r="D1427" t="s">
        <v>19</v>
      </c>
      <c r="E1427" t="s">
        <v>214</v>
      </c>
      <c r="G1427" t="s">
        <v>828</v>
      </c>
      <c r="I1427" s="10"/>
      <c r="J1427" s="107">
        <f>SUMIF(Data!C:C,G1427,Data!Q:Q)</f>
        <v>0</v>
      </c>
      <c r="K1427" s="107">
        <f>SUMIF(Comprometidos!A:A,'Cost Report'!G1427,Comprometidos!E:E)</f>
        <v>0</v>
      </c>
      <c r="L1427" s="107">
        <f t="shared" si="606"/>
        <v>0</v>
      </c>
      <c r="M1427" s="107">
        <f t="shared" si="607"/>
        <v>0</v>
      </c>
      <c r="N1427" s="107">
        <f t="shared" si="608"/>
        <v>0</v>
      </c>
      <c r="O1427" s="107">
        <f>VLOOKUP(G1427,Budget!$E$3:$G$2474,3,0)</f>
        <v>0</v>
      </c>
      <c r="P1427" s="107">
        <f t="shared" si="609"/>
        <v>0</v>
      </c>
      <c r="Q1427" s="107"/>
      <c r="R1427" s="10"/>
      <c r="S1427" s="107">
        <v>0</v>
      </c>
      <c r="T1427" s="107">
        <f t="shared" si="590"/>
        <v>0</v>
      </c>
      <c r="U1427" s="107"/>
      <c r="V1427" s="175"/>
      <c r="W1427" s="10"/>
      <c r="X1427" s="10"/>
      <c r="Y1427" t="str">
        <f t="shared" ref="Y1427:Y1490" si="623">LEFT(G1427,4)</f>
        <v>3193</v>
      </c>
      <c r="AB1427" s="10"/>
      <c r="AC1427" s="10"/>
      <c r="AD1427" s="10"/>
      <c r="AE1427" s="10"/>
      <c r="AF1427" s="10"/>
      <c r="AG1427" s="10"/>
      <c r="AH1427" s="10"/>
      <c r="AI1427" s="10"/>
    </row>
    <row r="1428" spans="1:35">
      <c r="A1428" s="10"/>
      <c r="B1428" s="10" t="str">
        <f t="shared" si="622"/>
        <v>Below the LineALL SHOW</v>
      </c>
      <c r="C1428" t="s">
        <v>20</v>
      </c>
      <c r="D1428" t="s">
        <v>19</v>
      </c>
      <c r="E1428" t="s">
        <v>227</v>
      </c>
      <c r="G1428" t="s">
        <v>829</v>
      </c>
      <c r="I1428" s="10"/>
      <c r="J1428" s="107">
        <f>SUMIF(Data!C:C,G1428,Data!Q:Q)</f>
        <v>0</v>
      </c>
      <c r="K1428" s="107">
        <f>SUMIF(Comprometidos!A:A,'Cost Report'!G1428,Comprometidos!E:E)</f>
        <v>0</v>
      </c>
      <c r="L1428" s="107">
        <f t="shared" si="606"/>
        <v>0</v>
      </c>
      <c r="M1428" s="107">
        <v>0</v>
      </c>
      <c r="N1428" s="107">
        <f t="shared" si="608"/>
        <v>0</v>
      </c>
      <c r="O1428" s="107">
        <f>VLOOKUP(G1428,Budget!$E$3:$G$2474,3,0)</f>
        <v>0</v>
      </c>
      <c r="P1428" s="107">
        <f t="shared" si="609"/>
        <v>0</v>
      </c>
      <c r="Q1428" s="107"/>
      <c r="R1428" s="10"/>
      <c r="S1428" s="107">
        <v>0</v>
      </c>
      <c r="T1428" s="107">
        <f t="shared" si="590"/>
        <v>0</v>
      </c>
      <c r="U1428" s="107"/>
      <c r="V1428" s="175"/>
      <c r="W1428" s="10"/>
      <c r="X1428" s="10"/>
      <c r="Y1428" t="str">
        <f t="shared" si="623"/>
        <v>3193</v>
      </c>
      <c r="AB1428" s="10"/>
      <c r="AC1428" s="10"/>
      <c r="AD1428" s="10"/>
      <c r="AE1428" s="10"/>
      <c r="AF1428" s="10"/>
      <c r="AG1428" s="10"/>
      <c r="AH1428" s="10"/>
      <c r="AI1428" s="10"/>
    </row>
    <row r="1429" spans="1:35">
      <c r="A1429" s="10"/>
      <c r="B1429" s="10" t="str">
        <f t="shared" si="622"/>
        <v>Below the LineSHOOT</v>
      </c>
      <c r="C1429" t="s">
        <v>20</v>
      </c>
      <c r="D1429" t="s">
        <v>19</v>
      </c>
      <c r="E1429" t="s">
        <v>236</v>
      </c>
      <c r="G1429" t="s">
        <v>830</v>
      </c>
      <c r="I1429" s="10"/>
      <c r="J1429" s="107">
        <f>SUMIF(Data!C:C,G1429,Data!Q:Q)</f>
        <v>0</v>
      </c>
      <c r="K1429" s="107">
        <f>SUMIF(Comprometidos!A:A,'Cost Report'!G1429,Comprometidos!E:E)</f>
        <v>0</v>
      </c>
      <c r="L1429" s="107">
        <f t="shared" si="606"/>
        <v>0</v>
      </c>
      <c r="M1429" s="107">
        <f t="shared" si="607"/>
        <v>0</v>
      </c>
      <c r="N1429" s="107">
        <f t="shared" si="608"/>
        <v>0</v>
      </c>
      <c r="O1429" s="107">
        <f>VLOOKUP(G1429,Budget!$E$3:$G$2474,3,0)</f>
        <v>0</v>
      </c>
      <c r="P1429" s="107">
        <f t="shared" si="609"/>
        <v>0</v>
      </c>
      <c r="Q1429" s="107"/>
      <c r="R1429" s="10"/>
      <c r="S1429" s="107">
        <v>0</v>
      </c>
      <c r="T1429" s="107">
        <f t="shared" si="590"/>
        <v>0</v>
      </c>
      <c r="U1429" s="107"/>
      <c r="V1429" s="175"/>
      <c r="W1429" s="10"/>
      <c r="X1429" s="10"/>
      <c r="Y1429" t="str">
        <f t="shared" si="623"/>
        <v>3193</v>
      </c>
      <c r="AB1429" s="10"/>
      <c r="AC1429" s="10"/>
      <c r="AD1429" s="10"/>
      <c r="AE1429" s="10"/>
      <c r="AF1429" s="10"/>
      <c r="AG1429" s="10"/>
      <c r="AH1429" s="10"/>
      <c r="AI1429" s="10"/>
    </row>
    <row r="1430" spans="1:35">
      <c r="A1430" s="10"/>
      <c r="B1430" s="10" t="str">
        <f t="shared" si="622"/>
        <v>Below the LineSHOOT</v>
      </c>
      <c r="C1430" t="s">
        <v>20</v>
      </c>
      <c r="D1430" t="s">
        <v>19</v>
      </c>
      <c r="E1430" t="s">
        <v>236</v>
      </c>
      <c r="G1430" t="s">
        <v>831</v>
      </c>
      <c r="I1430" s="10"/>
      <c r="J1430" s="107">
        <f>SUMIF(Data!C:C,G1430,Data!Q:Q)</f>
        <v>0</v>
      </c>
      <c r="K1430" s="107">
        <f>SUMIF(Comprometidos!A:A,'Cost Report'!G1430,Comprometidos!E:E)</f>
        <v>0</v>
      </c>
      <c r="L1430" s="107">
        <f t="shared" si="606"/>
        <v>0</v>
      </c>
      <c r="M1430" s="107">
        <f t="shared" si="607"/>
        <v>0</v>
      </c>
      <c r="N1430" s="107">
        <f t="shared" si="608"/>
        <v>0</v>
      </c>
      <c r="O1430" s="107">
        <f>VLOOKUP(G1430,Budget!$E$3:$G$2474,3,0)</f>
        <v>0</v>
      </c>
      <c r="P1430" s="107">
        <f t="shared" si="609"/>
        <v>0</v>
      </c>
      <c r="Q1430" s="107"/>
      <c r="R1430" s="10"/>
      <c r="S1430" s="107">
        <v>0</v>
      </c>
      <c r="T1430" s="107">
        <f t="shared" si="590"/>
        <v>0</v>
      </c>
      <c r="U1430" s="107"/>
      <c r="V1430" s="175"/>
      <c r="W1430" s="10"/>
      <c r="X1430" s="10"/>
      <c r="Y1430" t="str">
        <f t="shared" si="623"/>
        <v>3193</v>
      </c>
      <c r="AB1430" s="10"/>
      <c r="AC1430" s="10"/>
      <c r="AD1430" s="10"/>
      <c r="AE1430" s="10"/>
      <c r="AF1430" s="10"/>
      <c r="AG1430" s="10"/>
      <c r="AH1430" s="10"/>
      <c r="AI1430" s="10"/>
    </row>
    <row r="1431" spans="1:35">
      <c r="A1431" s="10"/>
      <c r="B1431" s="10" t="str">
        <f t="shared" si="622"/>
        <v>Below the LineSHOOT</v>
      </c>
      <c r="C1431" t="s">
        <v>20</v>
      </c>
      <c r="D1431" t="s">
        <v>19</v>
      </c>
      <c r="E1431" t="s">
        <v>236</v>
      </c>
      <c r="G1431" t="s">
        <v>832</v>
      </c>
      <c r="I1431" s="10"/>
      <c r="J1431" s="107">
        <f>SUMIF(Data!C:C,G1431,Data!Q:Q)</f>
        <v>0</v>
      </c>
      <c r="K1431" s="107">
        <f>SUMIF(Comprometidos!A:A,'Cost Report'!G1431,Comprometidos!E:E)</f>
        <v>0</v>
      </c>
      <c r="L1431" s="107">
        <f t="shared" si="606"/>
        <v>0</v>
      </c>
      <c r="M1431" s="107">
        <f t="shared" si="607"/>
        <v>0</v>
      </c>
      <c r="N1431" s="107">
        <f t="shared" si="608"/>
        <v>0</v>
      </c>
      <c r="O1431" s="107">
        <f>VLOOKUP(G1431,Budget!$E$3:$G$2474,3,0)</f>
        <v>0</v>
      </c>
      <c r="P1431" s="107">
        <f t="shared" si="609"/>
        <v>0</v>
      </c>
      <c r="Q1431" s="107"/>
      <c r="R1431" s="10"/>
      <c r="S1431" s="107">
        <v>0</v>
      </c>
      <c r="T1431" s="107">
        <f t="shared" si="590"/>
        <v>0</v>
      </c>
      <c r="U1431" s="107"/>
      <c r="V1431" s="175"/>
      <c r="W1431" s="10"/>
      <c r="X1431" s="10"/>
      <c r="Y1431" t="str">
        <f t="shared" si="623"/>
        <v>3193</v>
      </c>
      <c r="AB1431" s="10"/>
      <c r="AC1431" s="10"/>
      <c r="AD1431" s="10"/>
      <c r="AE1431" s="10"/>
      <c r="AF1431" s="10"/>
      <c r="AG1431" s="10"/>
      <c r="AH1431" s="10"/>
      <c r="AI1431" s="10"/>
    </row>
    <row r="1432" spans="1:35">
      <c r="A1432" s="10"/>
      <c r="B1432" s="10" t="str">
        <f t="shared" si="622"/>
        <v>Below the LineSHOOT</v>
      </c>
      <c r="C1432" t="s">
        <v>20</v>
      </c>
      <c r="D1432" t="s">
        <v>19</v>
      </c>
      <c r="E1432" t="s">
        <v>236</v>
      </c>
      <c r="G1432" t="s">
        <v>833</v>
      </c>
      <c r="I1432" s="10"/>
      <c r="J1432" s="107">
        <f>SUMIF(Data!C:C,G1432,Data!Q:Q)</f>
        <v>0</v>
      </c>
      <c r="K1432" s="107">
        <f>SUMIF(Comprometidos!A:A,'Cost Report'!G1432,Comprometidos!E:E)</f>
        <v>0</v>
      </c>
      <c r="L1432" s="107">
        <f t="shared" si="606"/>
        <v>0</v>
      </c>
      <c r="M1432" s="107">
        <f t="shared" si="607"/>
        <v>0</v>
      </c>
      <c r="N1432" s="107">
        <f t="shared" si="608"/>
        <v>0</v>
      </c>
      <c r="O1432" s="107">
        <f>VLOOKUP(G1432,Budget!$E$3:$G$2474,3,0)</f>
        <v>0</v>
      </c>
      <c r="P1432" s="107">
        <f t="shared" si="609"/>
        <v>0</v>
      </c>
      <c r="Q1432" s="107"/>
      <c r="R1432" s="10"/>
      <c r="S1432" s="107">
        <v>0</v>
      </c>
      <c r="T1432" s="107">
        <f t="shared" ref="T1432:T1495" si="624">+S1432-N1432</f>
        <v>0</v>
      </c>
      <c r="U1432" s="107"/>
      <c r="V1432" s="175"/>
      <c r="W1432" s="10"/>
      <c r="X1432" s="10"/>
      <c r="Y1432" t="str">
        <f t="shared" si="623"/>
        <v>3193</v>
      </c>
      <c r="AB1432" s="10"/>
      <c r="AC1432" s="10"/>
      <c r="AD1432" s="10"/>
      <c r="AE1432" s="10"/>
      <c r="AF1432" s="10"/>
      <c r="AG1432" s="10"/>
      <c r="AH1432" s="10"/>
      <c r="AI1432" s="10"/>
    </row>
    <row r="1433" spans="1:35">
      <c r="A1433" s="10"/>
      <c r="B1433" s="10" t="str">
        <f t="shared" si="622"/>
        <v>Below the LineSHOOT</v>
      </c>
      <c r="C1433" t="s">
        <v>20</v>
      </c>
      <c r="D1433" t="s">
        <v>19</v>
      </c>
      <c r="E1433" t="s">
        <v>236</v>
      </c>
      <c r="G1433" t="s">
        <v>834</v>
      </c>
      <c r="I1433" s="10"/>
      <c r="J1433" s="107">
        <f>SUMIF(Data!C:C,G1433,Data!Q:Q)</f>
        <v>0</v>
      </c>
      <c r="K1433" s="107">
        <f>SUMIF(Comprometidos!A:A,'Cost Report'!G1433,Comprometidos!E:E)</f>
        <v>0</v>
      </c>
      <c r="L1433" s="107">
        <f t="shared" si="606"/>
        <v>0</v>
      </c>
      <c r="M1433" s="107">
        <f t="shared" si="607"/>
        <v>0</v>
      </c>
      <c r="N1433" s="107">
        <f t="shared" si="608"/>
        <v>0</v>
      </c>
      <c r="O1433" s="107">
        <f>VLOOKUP(G1433,Budget!$E$3:$G$2474,3,0)</f>
        <v>0</v>
      </c>
      <c r="P1433" s="107">
        <f t="shared" si="609"/>
        <v>0</v>
      </c>
      <c r="Q1433" s="107"/>
      <c r="R1433" s="10"/>
      <c r="S1433" s="107">
        <v>0</v>
      </c>
      <c r="T1433" s="107">
        <f t="shared" si="624"/>
        <v>0</v>
      </c>
      <c r="U1433" s="107"/>
      <c r="V1433" s="175"/>
      <c r="W1433" s="10"/>
      <c r="X1433" s="10"/>
      <c r="Y1433" t="str">
        <f t="shared" si="623"/>
        <v>3193</v>
      </c>
      <c r="AB1433" s="10"/>
      <c r="AC1433" s="10"/>
      <c r="AD1433" s="10"/>
      <c r="AE1433" s="10"/>
      <c r="AF1433" s="10"/>
      <c r="AG1433" s="10"/>
      <c r="AH1433" s="10"/>
      <c r="AI1433" s="10"/>
    </row>
    <row r="1434" spans="1:35">
      <c r="A1434" s="10"/>
      <c r="B1434" s="10" t="str">
        <f t="shared" si="622"/>
        <v>Below the LineSHOOT</v>
      </c>
      <c r="C1434" t="s">
        <v>20</v>
      </c>
      <c r="D1434" t="s">
        <v>19</v>
      </c>
      <c r="E1434" t="s">
        <v>236</v>
      </c>
      <c r="G1434" t="s">
        <v>835</v>
      </c>
      <c r="I1434" s="10"/>
      <c r="J1434" s="107">
        <f>SUMIF(Data!C:C,G1434,Data!Q:Q)</f>
        <v>0</v>
      </c>
      <c r="K1434" s="107">
        <f>SUMIF(Comprometidos!A:A,'Cost Report'!G1434,Comprometidos!E:E)</f>
        <v>0</v>
      </c>
      <c r="L1434" s="107">
        <f t="shared" si="606"/>
        <v>0</v>
      </c>
      <c r="M1434" s="107">
        <f t="shared" si="607"/>
        <v>0</v>
      </c>
      <c r="N1434" s="107">
        <f t="shared" si="608"/>
        <v>0</v>
      </c>
      <c r="O1434" s="107">
        <f>VLOOKUP(G1434,Budget!$E$3:$G$2474,3,0)</f>
        <v>0</v>
      </c>
      <c r="P1434" s="107">
        <f t="shared" si="609"/>
        <v>0</v>
      </c>
      <c r="Q1434" s="107"/>
      <c r="R1434" s="10"/>
      <c r="S1434" s="107">
        <v>0</v>
      </c>
      <c r="T1434" s="107">
        <f t="shared" si="624"/>
        <v>0</v>
      </c>
      <c r="U1434" s="107"/>
      <c r="V1434" s="175"/>
      <c r="W1434" s="10"/>
      <c r="X1434" s="10"/>
      <c r="Y1434" t="str">
        <f t="shared" si="623"/>
        <v>3193</v>
      </c>
      <c r="AB1434" s="10"/>
      <c r="AC1434" s="10"/>
      <c r="AD1434" s="10"/>
      <c r="AE1434" s="10"/>
      <c r="AF1434" s="10"/>
      <c r="AG1434" s="10"/>
      <c r="AH1434" s="10"/>
      <c r="AI1434" s="10"/>
    </row>
    <row r="1435" spans="1:35">
      <c r="A1435" s="10"/>
      <c r="B1435" s="10" t="str">
        <f t="shared" si="622"/>
        <v>Below the LineSHOOT</v>
      </c>
      <c r="C1435" t="s">
        <v>20</v>
      </c>
      <c r="D1435" t="s">
        <v>19</v>
      </c>
      <c r="E1435" t="s">
        <v>236</v>
      </c>
      <c r="G1435" t="s">
        <v>836</v>
      </c>
      <c r="I1435" s="10"/>
      <c r="J1435" s="107">
        <f>SUMIF(Data!C:C,G1435,Data!Q:Q)</f>
        <v>0</v>
      </c>
      <c r="K1435" s="107">
        <f>SUMIF(Comprometidos!A:A,'Cost Report'!G1435,Comprometidos!E:E)</f>
        <v>0</v>
      </c>
      <c r="L1435" s="107">
        <f t="shared" si="606"/>
        <v>0</v>
      </c>
      <c r="M1435" s="107">
        <f t="shared" si="607"/>
        <v>0</v>
      </c>
      <c r="N1435" s="107">
        <f t="shared" si="608"/>
        <v>0</v>
      </c>
      <c r="O1435" s="107">
        <f>VLOOKUP(G1435,Budget!$E$3:$G$2474,3,0)</f>
        <v>0</v>
      </c>
      <c r="P1435" s="107">
        <f t="shared" si="609"/>
        <v>0</v>
      </c>
      <c r="Q1435" s="107"/>
      <c r="R1435" s="10"/>
      <c r="S1435" s="107">
        <v>0</v>
      </c>
      <c r="T1435" s="107">
        <f t="shared" si="624"/>
        <v>0</v>
      </c>
      <c r="U1435" s="107"/>
      <c r="V1435" s="175"/>
      <c r="W1435" s="10"/>
      <c r="X1435" s="10"/>
      <c r="Y1435" t="str">
        <f t="shared" si="623"/>
        <v>3193</v>
      </c>
      <c r="AB1435" s="10"/>
      <c r="AC1435" s="10"/>
      <c r="AD1435" s="10"/>
      <c r="AE1435" s="10"/>
      <c r="AF1435" s="10"/>
      <c r="AG1435" s="10"/>
      <c r="AH1435" s="10"/>
      <c r="AI1435" s="10"/>
    </row>
    <row r="1436" spans="1:35">
      <c r="A1436" s="10"/>
      <c r="B1436" s="10" t="str">
        <f t="shared" si="622"/>
        <v>Below the LineSHOOT</v>
      </c>
      <c r="C1436" t="s">
        <v>20</v>
      </c>
      <c r="D1436" t="s">
        <v>19</v>
      </c>
      <c r="E1436" t="s">
        <v>236</v>
      </c>
      <c r="G1436" t="s">
        <v>837</v>
      </c>
      <c r="I1436" s="10"/>
      <c r="J1436" s="107">
        <f>SUMIF(Data!C:C,G1436,Data!Q:Q)</f>
        <v>0</v>
      </c>
      <c r="K1436" s="107">
        <f>SUMIF(Comprometidos!A:A,'Cost Report'!G1436,Comprometidos!E:E)</f>
        <v>0</v>
      </c>
      <c r="L1436" s="107">
        <f t="shared" si="606"/>
        <v>0</v>
      </c>
      <c r="M1436" s="107">
        <f t="shared" si="607"/>
        <v>0</v>
      </c>
      <c r="N1436" s="107">
        <f t="shared" si="608"/>
        <v>0</v>
      </c>
      <c r="O1436" s="107">
        <f>VLOOKUP(G1436,Budget!$E$3:$G$2474,3,0)</f>
        <v>0</v>
      </c>
      <c r="P1436" s="107">
        <f t="shared" si="609"/>
        <v>0</v>
      </c>
      <c r="Q1436" s="107"/>
      <c r="R1436" s="10"/>
      <c r="S1436" s="107">
        <v>0</v>
      </c>
      <c r="T1436" s="107">
        <f t="shared" si="624"/>
        <v>0</v>
      </c>
      <c r="U1436" s="107"/>
      <c r="V1436" s="175"/>
      <c r="W1436" s="10"/>
      <c r="X1436" s="10"/>
      <c r="Y1436" t="str">
        <f t="shared" si="623"/>
        <v>3193</v>
      </c>
      <c r="AB1436" s="10"/>
      <c r="AC1436" s="10"/>
      <c r="AD1436" s="10"/>
      <c r="AE1436" s="10"/>
      <c r="AF1436" s="10"/>
      <c r="AG1436" s="10"/>
      <c r="AH1436" s="10"/>
      <c r="AI1436" s="10"/>
    </row>
    <row r="1437" spans="1:35">
      <c r="A1437" s="10"/>
      <c r="B1437" s="10" t="str">
        <f t="shared" si="622"/>
        <v>Below the LineSHOOT</v>
      </c>
      <c r="C1437" t="s">
        <v>20</v>
      </c>
      <c r="D1437" t="s">
        <v>19</v>
      </c>
      <c r="E1437" t="s">
        <v>236</v>
      </c>
      <c r="G1437" t="s">
        <v>838</v>
      </c>
      <c r="I1437" s="10"/>
      <c r="J1437" s="107">
        <f>SUMIF(Data!C:C,G1437,Data!Q:Q)</f>
        <v>0</v>
      </c>
      <c r="K1437" s="107">
        <f>SUMIF(Comprometidos!A:A,'Cost Report'!G1437,Comprometidos!E:E)</f>
        <v>0</v>
      </c>
      <c r="L1437" s="107">
        <f t="shared" si="606"/>
        <v>0</v>
      </c>
      <c r="M1437" s="107">
        <f t="shared" si="607"/>
        <v>0</v>
      </c>
      <c r="N1437" s="107">
        <f t="shared" si="608"/>
        <v>0</v>
      </c>
      <c r="O1437" s="107">
        <f>VLOOKUP(G1437,Budget!$E$3:$G$2474,3,0)</f>
        <v>0</v>
      </c>
      <c r="P1437" s="107">
        <f t="shared" si="609"/>
        <v>0</v>
      </c>
      <c r="Q1437" s="107"/>
      <c r="R1437" s="10"/>
      <c r="S1437" s="107">
        <v>0</v>
      </c>
      <c r="T1437" s="107">
        <f t="shared" si="624"/>
        <v>0</v>
      </c>
      <c r="U1437" s="107"/>
      <c r="V1437" s="175"/>
      <c r="W1437" s="10"/>
      <c r="X1437" s="10"/>
      <c r="Y1437" t="str">
        <f t="shared" si="623"/>
        <v>3193</v>
      </c>
      <c r="AB1437" s="10"/>
      <c r="AC1437" s="10"/>
      <c r="AD1437" s="10"/>
      <c r="AE1437" s="10"/>
      <c r="AF1437" s="10"/>
      <c r="AG1437" s="10"/>
      <c r="AH1437" s="10"/>
      <c r="AI1437" s="10"/>
    </row>
    <row r="1438" spans="1:35">
      <c r="A1438" s="10"/>
      <c r="B1438" s="10" t="str">
        <f t="shared" si="622"/>
        <v>Below the LineSHOOT</v>
      </c>
      <c r="C1438" t="s">
        <v>20</v>
      </c>
      <c r="D1438" t="s">
        <v>19</v>
      </c>
      <c r="E1438" t="s">
        <v>236</v>
      </c>
      <c r="G1438" t="s">
        <v>839</v>
      </c>
      <c r="I1438" s="10"/>
      <c r="J1438" s="107">
        <f>SUMIF(Data!C:C,G1438,Data!Q:Q)</f>
        <v>0</v>
      </c>
      <c r="K1438" s="107">
        <f>SUMIF(Comprometidos!A:A,'Cost Report'!G1438,Comprometidos!E:E)</f>
        <v>0</v>
      </c>
      <c r="L1438" s="107">
        <f t="shared" si="606"/>
        <v>0</v>
      </c>
      <c r="M1438" s="107">
        <f t="shared" si="607"/>
        <v>0</v>
      </c>
      <c r="N1438" s="107">
        <f t="shared" si="608"/>
        <v>0</v>
      </c>
      <c r="O1438" s="107">
        <f>VLOOKUP(G1438,Budget!$E$3:$G$2474,3,0)</f>
        <v>0</v>
      </c>
      <c r="P1438" s="107">
        <f t="shared" si="609"/>
        <v>0</v>
      </c>
      <c r="Q1438" s="107"/>
      <c r="R1438" s="10"/>
      <c r="S1438" s="107">
        <v>0</v>
      </c>
      <c r="T1438" s="107">
        <f t="shared" si="624"/>
        <v>0</v>
      </c>
      <c r="U1438" s="107"/>
      <c r="V1438" s="175"/>
      <c r="W1438" s="10"/>
      <c r="X1438" s="10"/>
      <c r="Y1438" t="str">
        <f t="shared" si="623"/>
        <v>3193</v>
      </c>
      <c r="AB1438" s="10"/>
      <c r="AC1438" s="10"/>
      <c r="AD1438" s="10"/>
      <c r="AE1438" s="10"/>
      <c r="AF1438" s="10"/>
      <c r="AG1438" s="10"/>
      <c r="AH1438" s="10"/>
      <c r="AI1438" s="10"/>
    </row>
    <row r="1439" spans="1:35">
      <c r="A1439" s="10"/>
      <c r="B1439" s="10" t="str">
        <f t="shared" si="622"/>
        <v>Below the LineSHOOT</v>
      </c>
      <c r="C1439" t="s">
        <v>20</v>
      </c>
      <c r="D1439" t="s">
        <v>19</v>
      </c>
      <c r="E1439" t="s">
        <v>236</v>
      </c>
      <c r="G1439" t="s">
        <v>840</v>
      </c>
      <c r="I1439" s="10"/>
      <c r="J1439" s="107">
        <f>SUMIF(Data!C:C,G1439,Data!Q:Q)</f>
        <v>0</v>
      </c>
      <c r="K1439" s="107">
        <f>SUMIF(Comprometidos!A:A,'Cost Report'!G1439,Comprometidos!E:E)</f>
        <v>0</v>
      </c>
      <c r="L1439" s="107">
        <f t="shared" si="606"/>
        <v>0</v>
      </c>
      <c r="M1439" s="107">
        <f t="shared" si="607"/>
        <v>0</v>
      </c>
      <c r="N1439" s="107">
        <f t="shared" si="608"/>
        <v>0</v>
      </c>
      <c r="O1439" s="107">
        <f>VLOOKUP(G1439,Budget!$E$3:$G$2474,3,0)</f>
        <v>0</v>
      </c>
      <c r="P1439" s="107">
        <f t="shared" si="609"/>
        <v>0</v>
      </c>
      <c r="Q1439" s="107"/>
      <c r="R1439" s="10"/>
      <c r="S1439" s="107">
        <v>0</v>
      </c>
      <c r="T1439" s="107">
        <f t="shared" si="624"/>
        <v>0</v>
      </c>
      <c r="U1439" s="107"/>
      <c r="V1439" s="175"/>
      <c r="W1439" s="10"/>
      <c r="X1439" s="10"/>
      <c r="Y1439" t="str">
        <f t="shared" si="623"/>
        <v>3193</v>
      </c>
      <c r="AB1439" s="10"/>
      <c r="AC1439" s="10"/>
      <c r="AD1439" s="10"/>
      <c r="AE1439" s="10"/>
      <c r="AF1439" s="10"/>
      <c r="AG1439" s="10"/>
      <c r="AH1439" s="10"/>
      <c r="AI1439" s="10"/>
    </row>
    <row r="1440" spans="1:35">
      <c r="A1440" s="10"/>
      <c r="B1440" s="10" t="str">
        <f t="shared" si="622"/>
        <v>Below the LineSHOOT</v>
      </c>
      <c r="C1440" t="s">
        <v>20</v>
      </c>
      <c r="D1440" t="s">
        <v>19</v>
      </c>
      <c r="E1440" t="s">
        <v>236</v>
      </c>
      <c r="G1440" t="s">
        <v>841</v>
      </c>
      <c r="I1440" s="10"/>
      <c r="J1440" s="107">
        <f>SUMIF(Data!C:C,G1440,Data!Q:Q)</f>
        <v>0</v>
      </c>
      <c r="K1440" s="107">
        <f>SUMIF(Comprometidos!A:A,'Cost Report'!G1440,Comprometidos!E:E)</f>
        <v>0</v>
      </c>
      <c r="L1440" s="107">
        <f t="shared" si="606"/>
        <v>0</v>
      </c>
      <c r="M1440" s="107">
        <f t="shared" si="607"/>
        <v>0</v>
      </c>
      <c r="N1440" s="107">
        <f t="shared" si="608"/>
        <v>0</v>
      </c>
      <c r="O1440" s="107">
        <f>VLOOKUP(G1440,Budget!$E$3:$G$2474,3,0)</f>
        <v>0</v>
      </c>
      <c r="P1440" s="107">
        <f t="shared" si="609"/>
        <v>0</v>
      </c>
      <c r="Q1440" s="107"/>
      <c r="R1440" s="10"/>
      <c r="S1440" s="107">
        <v>0</v>
      </c>
      <c r="T1440" s="107">
        <f t="shared" si="624"/>
        <v>0</v>
      </c>
      <c r="U1440" s="107"/>
      <c r="V1440" s="175"/>
      <c r="W1440" s="10"/>
      <c r="X1440" s="10"/>
      <c r="Y1440" t="str">
        <f t="shared" si="623"/>
        <v>3193</v>
      </c>
      <c r="AB1440" s="10"/>
      <c r="AC1440" s="10"/>
      <c r="AD1440" s="10"/>
      <c r="AE1440" s="10"/>
      <c r="AF1440" s="10"/>
      <c r="AG1440" s="10"/>
      <c r="AH1440" s="10"/>
      <c r="AI1440" s="10"/>
    </row>
    <row r="1441" spans="1:35">
      <c r="A1441" s="10"/>
      <c r="B1441" s="10" t="str">
        <f t="shared" si="622"/>
        <v>Below the LineSHOOT</v>
      </c>
      <c r="C1441" t="s">
        <v>20</v>
      </c>
      <c r="D1441" t="s">
        <v>19</v>
      </c>
      <c r="E1441" t="s">
        <v>236</v>
      </c>
      <c r="G1441" t="s">
        <v>842</v>
      </c>
      <c r="I1441" s="10"/>
      <c r="J1441" s="107">
        <f>SUMIF(Data!C:C,G1441,Data!Q:Q)</f>
        <v>0</v>
      </c>
      <c r="K1441" s="107">
        <f>SUMIF(Comprometidos!A:A,'Cost Report'!G1441,Comprometidos!E:E)</f>
        <v>0</v>
      </c>
      <c r="L1441" s="107">
        <f t="shared" si="606"/>
        <v>0</v>
      </c>
      <c r="M1441" s="107">
        <f t="shared" si="607"/>
        <v>0</v>
      </c>
      <c r="N1441" s="107">
        <f t="shared" si="608"/>
        <v>0</v>
      </c>
      <c r="O1441" s="107">
        <f>VLOOKUP(G1441,Budget!$E$3:$G$2474,3,0)</f>
        <v>0</v>
      </c>
      <c r="P1441" s="107">
        <f t="shared" si="609"/>
        <v>0</v>
      </c>
      <c r="Q1441" s="107"/>
      <c r="R1441" s="10"/>
      <c r="S1441" s="107">
        <v>0</v>
      </c>
      <c r="T1441" s="107">
        <f t="shared" si="624"/>
        <v>0</v>
      </c>
      <c r="U1441" s="107"/>
      <c r="V1441" s="175"/>
      <c r="W1441" s="10"/>
      <c r="X1441" s="10"/>
      <c r="Y1441" t="str">
        <f t="shared" si="623"/>
        <v>3193</v>
      </c>
      <c r="AB1441" s="10"/>
      <c r="AC1441" s="10"/>
      <c r="AD1441" s="10"/>
      <c r="AE1441" s="10"/>
      <c r="AF1441" s="10"/>
      <c r="AG1441" s="10"/>
      <c r="AH1441" s="10"/>
      <c r="AI1441" s="10"/>
    </row>
    <row r="1442" spans="1:35">
      <c r="A1442" s="10"/>
      <c r="B1442" s="10" t="str">
        <f t="shared" si="622"/>
        <v>Below the LineSHOOT</v>
      </c>
      <c r="C1442" t="s">
        <v>20</v>
      </c>
      <c r="D1442" t="s">
        <v>19</v>
      </c>
      <c r="E1442" t="s">
        <v>236</v>
      </c>
      <c r="G1442" t="s">
        <v>843</v>
      </c>
      <c r="I1442" s="10"/>
      <c r="J1442" s="107">
        <f>SUMIF(Data!C:C,G1442,Data!Q:Q)</f>
        <v>0</v>
      </c>
      <c r="K1442" s="107">
        <f>SUMIF(Comprometidos!A:A,'Cost Report'!G1442,Comprometidos!E:E)</f>
        <v>0</v>
      </c>
      <c r="L1442" s="107">
        <f t="shared" si="606"/>
        <v>0</v>
      </c>
      <c r="M1442" s="107">
        <f t="shared" si="607"/>
        <v>0</v>
      </c>
      <c r="N1442" s="107">
        <f t="shared" si="608"/>
        <v>0</v>
      </c>
      <c r="O1442" s="107">
        <f>VLOOKUP(G1442,Budget!$E$3:$G$2474,3,0)</f>
        <v>0</v>
      </c>
      <c r="P1442" s="107">
        <f t="shared" si="609"/>
        <v>0</v>
      </c>
      <c r="Q1442" s="107"/>
      <c r="R1442" s="10"/>
      <c r="S1442" s="107">
        <v>0</v>
      </c>
      <c r="T1442" s="107">
        <f t="shared" si="624"/>
        <v>0</v>
      </c>
      <c r="U1442" s="107"/>
      <c r="V1442" s="175"/>
      <c r="W1442" s="10"/>
      <c r="X1442" s="10"/>
      <c r="Y1442" t="str">
        <f t="shared" si="623"/>
        <v>3193</v>
      </c>
      <c r="AB1442" s="10"/>
      <c r="AC1442" s="10"/>
      <c r="AD1442" s="10"/>
      <c r="AE1442" s="10"/>
      <c r="AF1442" s="10"/>
      <c r="AG1442" s="10"/>
      <c r="AH1442" s="10"/>
      <c r="AI1442" s="10"/>
    </row>
    <row r="1443" spans="1:35">
      <c r="A1443" s="10"/>
      <c r="B1443" s="10" t="str">
        <f t="shared" si="622"/>
        <v>Below the LineSHOOT</v>
      </c>
      <c r="C1443" t="s">
        <v>20</v>
      </c>
      <c r="D1443" t="s">
        <v>19</v>
      </c>
      <c r="E1443" t="s">
        <v>236</v>
      </c>
      <c r="G1443" t="s">
        <v>844</v>
      </c>
      <c r="I1443" s="10"/>
      <c r="J1443" s="107">
        <f>SUMIF(Data!C:C,G1443,Data!Q:Q)</f>
        <v>0</v>
      </c>
      <c r="K1443" s="107">
        <f>SUMIF(Comprometidos!A:A,'Cost Report'!G1443,Comprometidos!E:E)</f>
        <v>0</v>
      </c>
      <c r="L1443" s="107">
        <f t="shared" si="606"/>
        <v>0</v>
      </c>
      <c r="M1443" s="107">
        <f t="shared" si="607"/>
        <v>0</v>
      </c>
      <c r="N1443" s="107">
        <f t="shared" si="608"/>
        <v>0</v>
      </c>
      <c r="O1443" s="107">
        <f>VLOOKUP(G1443,Budget!$E$3:$G$2474,3,0)</f>
        <v>0</v>
      </c>
      <c r="P1443" s="107">
        <f t="shared" si="609"/>
        <v>0</v>
      </c>
      <c r="Q1443" s="107"/>
      <c r="R1443" s="10"/>
      <c r="S1443" s="107">
        <v>0</v>
      </c>
      <c r="T1443" s="107">
        <f t="shared" si="624"/>
        <v>0</v>
      </c>
      <c r="U1443" s="107"/>
      <c r="V1443" s="175"/>
      <c r="W1443" s="10"/>
      <c r="X1443" s="10"/>
      <c r="Y1443" t="str">
        <f t="shared" si="623"/>
        <v>3193</v>
      </c>
      <c r="AB1443" s="10"/>
      <c r="AC1443" s="10"/>
      <c r="AD1443" s="10"/>
      <c r="AE1443" s="10"/>
      <c r="AF1443" s="10"/>
      <c r="AG1443" s="10"/>
      <c r="AH1443" s="10"/>
      <c r="AI1443" s="10"/>
    </row>
    <row r="1444" spans="1:35">
      <c r="A1444" s="10"/>
      <c r="B1444" s="10" t="str">
        <f t="shared" si="622"/>
        <v>Below the LineSHOOT</v>
      </c>
      <c r="C1444" t="s">
        <v>20</v>
      </c>
      <c r="D1444" t="s">
        <v>19</v>
      </c>
      <c r="E1444" t="s">
        <v>236</v>
      </c>
      <c r="G1444" t="s">
        <v>845</v>
      </c>
      <c r="I1444" s="10"/>
      <c r="J1444" s="107">
        <f>SUMIF(Data!C:C,G1444,Data!Q:Q)</f>
        <v>0</v>
      </c>
      <c r="K1444" s="107">
        <f>SUMIF(Comprometidos!A:A,'Cost Report'!G1444,Comprometidos!E:E)</f>
        <v>0</v>
      </c>
      <c r="L1444" s="107">
        <f t="shared" si="606"/>
        <v>0</v>
      </c>
      <c r="M1444" s="107">
        <f t="shared" si="607"/>
        <v>0</v>
      </c>
      <c r="N1444" s="107">
        <f t="shared" si="608"/>
        <v>0</v>
      </c>
      <c r="O1444" s="107">
        <f>VLOOKUP(G1444,Budget!$E$3:$G$2474,3,0)</f>
        <v>0</v>
      </c>
      <c r="P1444" s="107">
        <f t="shared" si="609"/>
        <v>0</v>
      </c>
      <c r="Q1444" s="107"/>
      <c r="R1444" s="10"/>
      <c r="S1444" s="107">
        <v>0</v>
      </c>
      <c r="T1444" s="107">
        <f t="shared" si="624"/>
        <v>0</v>
      </c>
      <c r="U1444" s="107"/>
      <c r="V1444" s="175"/>
      <c r="W1444" s="10"/>
      <c r="X1444" s="10"/>
      <c r="Y1444" t="str">
        <f t="shared" si="623"/>
        <v>3193</v>
      </c>
      <c r="AB1444" s="10"/>
      <c r="AC1444" s="10"/>
      <c r="AD1444" s="10"/>
      <c r="AE1444" s="10"/>
      <c r="AF1444" s="10"/>
      <c r="AG1444" s="10"/>
      <c r="AH1444" s="10"/>
      <c r="AI1444" s="10"/>
    </row>
    <row r="1445" spans="1:35">
      <c r="A1445" s="10"/>
      <c r="B1445" s="10" t="str">
        <f t="shared" si="622"/>
        <v>Below the LineSHOOT</v>
      </c>
      <c r="C1445" t="s">
        <v>20</v>
      </c>
      <c r="D1445" t="s">
        <v>19</v>
      </c>
      <c r="E1445" t="s">
        <v>236</v>
      </c>
      <c r="G1445" t="s">
        <v>846</v>
      </c>
      <c r="I1445" s="10"/>
      <c r="J1445" s="107">
        <f>SUMIF(Data!C:C,G1445,Data!Q:Q)</f>
        <v>0</v>
      </c>
      <c r="K1445" s="107">
        <f>SUMIF(Comprometidos!A:A,'Cost Report'!G1445,Comprometidos!E:E)</f>
        <v>0</v>
      </c>
      <c r="L1445" s="107">
        <f t="shared" si="606"/>
        <v>0</v>
      </c>
      <c r="M1445" s="107">
        <f t="shared" si="607"/>
        <v>0</v>
      </c>
      <c r="N1445" s="107">
        <f t="shared" si="608"/>
        <v>0</v>
      </c>
      <c r="O1445" s="107">
        <f>VLOOKUP(G1445,Budget!$E$3:$G$2474,3,0)</f>
        <v>0</v>
      </c>
      <c r="P1445" s="107">
        <f t="shared" si="609"/>
        <v>0</v>
      </c>
      <c r="Q1445" s="107"/>
      <c r="R1445" s="10"/>
      <c r="S1445" s="107">
        <v>0</v>
      </c>
      <c r="T1445" s="107">
        <f t="shared" si="624"/>
        <v>0</v>
      </c>
      <c r="U1445" s="107"/>
      <c r="V1445" s="175"/>
      <c r="W1445" s="10"/>
      <c r="X1445" s="10"/>
      <c r="Y1445" t="str">
        <f t="shared" si="623"/>
        <v>3193</v>
      </c>
      <c r="AB1445" s="10"/>
      <c r="AC1445" s="10"/>
      <c r="AD1445" s="10"/>
      <c r="AE1445" s="10"/>
      <c r="AF1445" s="10"/>
      <c r="AG1445" s="10"/>
      <c r="AH1445" s="10"/>
      <c r="AI1445" s="10"/>
    </row>
    <row r="1446" spans="1:35">
      <c r="A1446" s="10"/>
      <c r="B1446" s="10" t="str">
        <f t="shared" si="622"/>
        <v>Below the LineSHOOT</v>
      </c>
      <c r="C1446" t="s">
        <v>20</v>
      </c>
      <c r="D1446" t="s">
        <v>19</v>
      </c>
      <c r="E1446" t="s">
        <v>236</v>
      </c>
      <c r="G1446" t="s">
        <v>847</v>
      </c>
      <c r="I1446" s="10"/>
      <c r="J1446" s="107">
        <f>SUMIF(Data!C:C,G1446,Data!Q:Q)</f>
        <v>0</v>
      </c>
      <c r="K1446" s="107">
        <f>SUMIF(Comprometidos!A:A,'Cost Report'!G1446,Comprometidos!E:E)</f>
        <v>0</v>
      </c>
      <c r="L1446" s="107">
        <f t="shared" si="606"/>
        <v>0</v>
      </c>
      <c r="M1446" s="107">
        <f t="shared" si="607"/>
        <v>0</v>
      </c>
      <c r="N1446" s="107">
        <f t="shared" si="608"/>
        <v>0</v>
      </c>
      <c r="O1446" s="107">
        <f>VLOOKUP(G1446,Budget!$E$3:$G$2474,3,0)</f>
        <v>0</v>
      </c>
      <c r="P1446" s="107">
        <f t="shared" si="609"/>
        <v>0</v>
      </c>
      <c r="Q1446" s="107"/>
      <c r="R1446" s="10"/>
      <c r="S1446" s="107">
        <v>0</v>
      </c>
      <c r="T1446" s="107">
        <f t="shared" si="624"/>
        <v>0</v>
      </c>
      <c r="U1446" s="107"/>
      <c r="V1446" s="175"/>
      <c r="W1446" s="10"/>
      <c r="X1446" s="10"/>
      <c r="Y1446" t="str">
        <f t="shared" si="623"/>
        <v>3193</v>
      </c>
      <c r="AB1446" s="10"/>
      <c r="AC1446" s="10"/>
      <c r="AD1446" s="10"/>
      <c r="AE1446" s="10"/>
      <c r="AF1446" s="10"/>
      <c r="AG1446" s="10"/>
      <c r="AH1446" s="10"/>
      <c r="AI1446" s="10"/>
    </row>
    <row r="1447" spans="1:35">
      <c r="A1447" s="10"/>
      <c r="B1447" s="10" t="str">
        <f t="shared" si="622"/>
        <v>Below the LineSHOOT</v>
      </c>
      <c r="C1447" t="s">
        <v>20</v>
      </c>
      <c r="D1447" t="s">
        <v>19</v>
      </c>
      <c r="E1447" t="s">
        <v>236</v>
      </c>
      <c r="G1447" t="s">
        <v>848</v>
      </c>
      <c r="I1447" s="10"/>
      <c r="J1447" s="107">
        <f>SUMIF(Data!C:C,G1447,Data!Q:Q)</f>
        <v>0</v>
      </c>
      <c r="K1447" s="107">
        <f>SUMIF(Comprometidos!A:A,'Cost Report'!G1447,Comprometidos!E:E)</f>
        <v>0</v>
      </c>
      <c r="L1447" s="107">
        <f t="shared" si="606"/>
        <v>0</v>
      </c>
      <c r="M1447" s="107">
        <f t="shared" si="607"/>
        <v>0</v>
      </c>
      <c r="N1447" s="107">
        <f t="shared" si="608"/>
        <v>0</v>
      </c>
      <c r="O1447" s="107">
        <f>VLOOKUP(G1447,Budget!$E$3:$G$2474,3,0)</f>
        <v>0</v>
      </c>
      <c r="P1447" s="107">
        <f t="shared" si="609"/>
        <v>0</v>
      </c>
      <c r="Q1447" s="107"/>
      <c r="R1447" s="10"/>
      <c r="S1447" s="107">
        <v>0</v>
      </c>
      <c r="T1447" s="107">
        <f t="shared" si="624"/>
        <v>0</v>
      </c>
      <c r="U1447" s="107"/>
      <c r="V1447" s="175"/>
      <c r="W1447" s="10"/>
      <c r="X1447" s="10"/>
      <c r="Y1447" t="str">
        <f t="shared" si="623"/>
        <v>3193</v>
      </c>
      <c r="AB1447" s="10"/>
      <c r="AC1447" s="10"/>
      <c r="AD1447" s="10"/>
      <c r="AE1447" s="10"/>
      <c r="AF1447" s="10"/>
      <c r="AG1447" s="10"/>
      <c r="AH1447" s="10"/>
      <c r="AI1447" s="10"/>
    </row>
    <row r="1448" spans="1:35">
      <c r="A1448" s="10"/>
      <c r="B1448" s="10" t="str">
        <f t="shared" si="622"/>
        <v>Below the LineSHOOT</v>
      </c>
      <c r="C1448" t="s">
        <v>20</v>
      </c>
      <c r="D1448" t="s">
        <v>19</v>
      </c>
      <c r="E1448" t="s">
        <v>236</v>
      </c>
      <c r="G1448" t="s">
        <v>849</v>
      </c>
      <c r="I1448" s="10"/>
      <c r="J1448" s="107">
        <f>SUMIF(Data!C:C,G1448,Data!Q:Q)</f>
        <v>0</v>
      </c>
      <c r="K1448" s="107">
        <f>SUMIF(Comprometidos!A:A,'Cost Report'!G1448,Comprometidos!E:E)</f>
        <v>0</v>
      </c>
      <c r="L1448" s="107">
        <f t="shared" si="606"/>
        <v>0</v>
      </c>
      <c r="M1448" s="107">
        <f t="shared" si="607"/>
        <v>0</v>
      </c>
      <c r="N1448" s="107">
        <f t="shared" si="608"/>
        <v>0</v>
      </c>
      <c r="O1448" s="107">
        <f>VLOOKUP(G1448,Budget!$E$3:$G$2474,3,0)</f>
        <v>0</v>
      </c>
      <c r="P1448" s="107">
        <f t="shared" si="609"/>
        <v>0</v>
      </c>
      <c r="Q1448" s="107"/>
      <c r="R1448" s="10"/>
      <c r="S1448" s="107">
        <v>0</v>
      </c>
      <c r="T1448" s="107">
        <f t="shared" si="624"/>
        <v>0</v>
      </c>
      <c r="U1448" s="107"/>
      <c r="V1448" s="175"/>
      <c r="W1448" s="10"/>
      <c r="X1448" s="10"/>
      <c r="Y1448" t="str">
        <f t="shared" si="623"/>
        <v>3193</v>
      </c>
      <c r="AB1448" s="10"/>
      <c r="AC1448" s="10"/>
      <c r="AD1448" s="10"/>
      <c r="AE1448" s="10"/>
      <c r="AF1448" s="10"/>
      <c r="AG1448" s="10"/>
      <c r="AH1448" s="10"/>
      <c r="AI1448" s="10"/>
    </row>
    <row r="1449" spans="1:35">
      <c r="A1449" s="10"/>
      <c r="B1449" s="10" t="str">
        <f t="shared" si="622"/>
        <v>Below the LineSHOOT</v>
      </c>
      <c r="C1449" t="s">
        <v>20</v>
      </c>
      <c r="D1449" t="s">
        <v>19</v>
      </c>
      <c r="E1449" t="s">
        <v>236</v>
      </c>
      <c r="G1449" t="s">
        <v>850</v>
      </c>
      <c r="I1449" s="10"/>
      <c r="J1449" s="107">
        <f>SUMIF(Data!C:C,G1449,Data!Q:Q)</f>
        <v>0</v>
      </c>
      <c r="K1449" s="107">
        <f>SUMIF(Comprometidos!A:A,'Cost Report'!G1449,Comprometidos!E:E)</f>
        <v>0</v>
      </c>
      <c r="L1449" s="107">
        <f t="shared" si="606"/>
        <v>0</v>
      </c>
      <c r="M1449" s="107">
        <f t="shared" si="607"/>
        <v>0</v>
      </c>
      <c r="N1449" s="107">
        <f t="shared" si="608"/>
        <v>0</v>
      </c>
      <c r="O1449" s="107">
        <f>VLOOKUP(G1449,Budget!$E$3:$G$2474,3,0)</f>
        <v>0</v>
      </c>
      <c r="P1449" s="107">
        <f t="shared" si="609"/>
        <v>0</v>
      </c>
      <c r="Q1449" s="107"/>
      <c r="R1449" s="10"/>
      <c r="S1449" s="107">
        <v>0</v>
      </c>
      <c r="T1449" s="107">
        <f t="shared" si="624"/>
        <v>0</v>
      </c>
      <c r="U1449" s="107"/>
      <c r="V1449" s="175"/>
      <c r="W1449" s="10"/>
      <c r="X1449" s="10"/>
      <c r="Y1449" t="str">
        <f t="shared" si="623"/>
        <v>3193</v>
      </c>
      <c r="AB1449" s="10"/>
      <c r="AC1449" s="10"/>
      <c r="AD1449" s="10"/>
      <c r="AE1449" s="10"/>
      <c r="AF1449" s="10"/>
      <c r="AG1449" s="10"/>
      <c r="AH1449" s="10"/>
      <c r="AI1449" s="10"/>
    </row>
    <row r="1450" spans="1:35">
      <c r="A1450" s="10"/>
      <c r="B1450" s="10" t="str">
        <f t="shared" si="622"/>
        <v>Below the LineSHOOT</v>
      </c>
      <c r="C1450" t="s">
        <v>20</v>
      </c>
      <c r="D1450" t="s">
        <v>19</v>
      </c>
      <c r="E1450" t="s">
        <v>236</v>
      </c>
      <c r="G1450" t="s">
        <v>851</v>
      </c>
      <c r="I1450" s="10"/>
      <c r="J1450" s="107">
        <f>SUMIF(Data!C:C,G1450,Data!Q:Q)</f>
        <v>0</v>
      </c>
      <c r="K1450" s="107">
        <f>SUMIF(Comprometidos!A:A,'Cost Report'!G1450,Comprometidos!E:E)</f>
        <v>0</v>
      </c>
      <c r="L1450" s="107">
        <f t="shared" si="606"/>
        <v>0</v>
      </c>
      <c r="M1450" s="107">
        <f t="shared" si="607"/>
        <v>0</v>
      </c>
      <c r="N1450" s="107">
        <f t="shared" si="608"/>
        <v>0</v>
      </c>
      <c r="O1450" s="107">
        <f>VLOOKUP(G1450,Budget!$E$3:$G$2474,3,0)</f>
        <v>0</v>
      </c>
      <c r="P1450" s="107">
        <f t="shared" si="609"/>
        <v>0</v>
      </c>
      <c r="Q1450" s="107"/>
      <c r="R1450" s="10"/>
      <c r="S1450" s="107">
        <v>0</v>
      </c>
      <c r="T1450" s="107">
        <f t="shared" si="624"/>
        <v>0</v>
      </c>
      <c r="U1450" s="107"/>
      <c r="V1450" s="175"/>
      <c r="W1450" s="10"/>
      <c r="X1450" s="10"/>
      <c r="Y1450" t="str">
        <f t="shared" si="623"/>
        <v>3193</v>
      </c>
      <c r="AB1450" s="10"/>
      <c r="AC1450" s="10"/>
      <c r="AD1450" s="10"/>
      <c r="AE1450" s="10"/>
      <c r="AF1450" s="10"/>
      <c r="AG1450" s="10"/>
      <c r="AH1450" s="10"/>
      <c r="AI1450" s="10"/>
    </row>
    <row r="1451" spans="1:35">
      <c r="A1451" s="10"/>
      <c r="B1451" s="10" t="str">
        <f t="shared" si="622"/>
        <v>Below the LineSHOOT</v>
      </c>
      <c r="C1451" t="s">
        <v>20</v>
      </c>
      <c r="D1451" t="s">
        <v>19</v>
      </c>
      <c r="E1451" t="s">
        <v>236</v>
      </c>
      <c r="G1451" t="s">
        <v>852</v>
      </c>
      <c r="I1451" s="10"/>
      <c r="J1451" s="107">
        <f>SUMIF(Data!C:C,G1451,Data!Q:Q)</f>
        <v>0</v>
      </c>
      <c r="K1451" s="107">
        <f>SUMIF(Comprometidos!A:A,'Cost Report'!G1451,Comprometidos!E:E)</f>
        <v>0</v>
      </c>
      <c r="L1451" s="107">
        <f t="shared" si="606"/>
        <v>0</v>
      </c>
      <c r="M1451" s="107">
        <f t="shared" si="607"/>
        <v>0</v>
      </c>
      <c r="N1451" s="107">
        <f t="shared" si="608"/>
        <v>0</v>
      </c>
      <c r="O1451" s="107">
        <f>VLOOKUP(G1451,Budget!$E$3:$G$2474,3,0)</f>
        <v>0</v>
      </c>
      <c r="P1451" s="107">
        <f t="shared" si="609"/>
        <v>0</v>
      </c>
      <c r="Q1451" s="107"/>
      <c r="R1451" s="10"/>
      <c r="S1451" s="107">
        <v>0</v>
      </c>
      <c r="T1451" s="107">
        <f t="shared" si="624"/>
        <v>0</v>
      </c>
      <c r="U1451" s="107"/>
      <c r="V1451" s="175"/>
      <c r="W1451" s="10"/>
      <c r="X1451" s="10"/>
      <c r="Y1451" t="str">
        <f t="shared" si="623"/>
        <v>3193</v>
      </c>
      <c r="AB1451" s="10"/>
      <c r="AC1451" s="10"/>
      <c r="AD1451" s="10"/>
      <c r="AE1451" s="10"/>
      <c r="AF1451" s="10"/>
      <c r="AG1451" s="10"/>
      <c r="AH1451" s="10"/>
      <c r="AI1451" s="10"/>
    </row>
    <row r="1452" spans="1:35">
      <c r="A1452" s="10"/>
      <c r="B1452" s="10" t="str">
        <f t="shared" si="622"/>
        <v>Below the LineSHOOT</v>
      </c>
      <c r="C1452" t="s">
        <v>20</v>
      </c>
      <c r="D1452" t="s">
        <v>19</v>
      </c>
      <c r="E1452" t="s">
        <v>236</v>
      </c>
      <c r="G1452" t="s">
        <v>853</v>
      </c>
      <c r="I1452" s="10"/>
      <c r="J1452" s="107">
        <f>SUMIF(Data!C:C,G1452,Data!Q:Q)</f>
        <v>0</v>
      </c>
      <c r="K1452" s="107">
        <f>SUMIF(Comprometidos!A:A,'Cost Report'!G1452,Comprometidos!E:E)</f>
        <v>0</v>
      </c>
      <c r="L1452" s="107">
        <f t="shared" si="606"/>
        <v>0</v>
      </c>
      <c r="M1452" s="107">
        <f t="shared" si="607"/>
        <v>0</v>
      </c>
      <c r="N1452" s="107">
        <f t="shared" si="608"/>
        <v>0</v>
      </c>
      <c r="O1452" s="107">
        <f>VLOOKUP(G1452,Budget!$E$3:$G$2474,3,0)</f>
        <v>0</v>
      </c>
      <c r="P1452" s="107">
        <f t="shared" si="609"/>
        <v>0</v>
      </c>
      <c r="Q1452" s="107"/>
      <c r="R1452" s="10"/>
      <c r="S1452" s="107">
        <v>0</v>
      </c>
      <c r="T1452" s="107">
        <f t="shared" si="624"/>
        <v>0</v>
      </c>
      <c r="U1452" s="107"/>
      <c r="V1452" s="175"/>
      <c r="W1452" s="10"/>
      <c r="X1452" s="10"/>
      <c r="Y1452" t="str">
        <f t="shared" si="623"/>
        <v>3193</v>
      </c>
      <c r="AB1452" s="10"/>
      <c r="AC1452" s="10"/>
      <c r="AD1452" s="10"/>
      <c r="AE1452" s="10"/>
      <c r="AF1452" s="10"/>
      <c r="AG1452" s="10"/>
      <c r="AH1452" s="10"/>
      <c r="AI1452" s="10"/>
    </row>
    <row r="1453" spans="1:35">
      <c r="A1453" s="10"/>
      <c r="B1453" s="10" t="str">
        <f t="shared" si="622"/>
        <v>Below the LineSHOOT</v>
      </c>
      <c r="C1453" t="s">
        <v>20</v>
      </c>
      <c r="D1453" t="s">
        <v>19</v>
      </c>
      <c r="E1453" t="s">
        <v>236</v>
      </c>
      <c r="G1453" t="s">
        <v>854</v>
      </c>
      <c r="I1453" s="10"/>
      <c r="J1453" s="107">
        <f>SUMIF(Data!C:C,G1453,Data!Q:Q)</f>
        <v>0</v>
      </c>
      <c r="K1453" s="107">
        <f>SUMIF(Comprometidos!A:A,'Cost Report'!G1453,Comprometidos!E:E)</f>
        <v>0</v>
      </c>
      <c r="L1453" s="107">
        <f t="shared" si="606"/>
        <v>0</v>
      </c>
      <c r="M1453" s="107">
        <f t="shared" si="607"/>
        <v>0</v>
      </c>
      <c r="N1453" s="107">
        <f t="shared" si="608"/>
        <v>0</v>
      </c>
      <c r="O1453" s="107">
        <f>VLOOKUP(G1453,Budget!$E$3:$G$2474,3,0)</f>
        <v>0</v>
      </c>
      <c r="P1453" s="107">
        <f t="shared" si="609"/>
        <v>0</v>
      </c>
      <c r="Q1453" s="107"/>
      <c r="R1453" s="10"/>
      <c r="S1453" s="107">
        <v>0</v>
      </c>
      <c r="T1453" s="107">
        <f t="shared" si="624"/>
        <v>0</v>
      </c>
      <c r="U1453" s="107"/>
      <c r="V1453" s="175"/>
      <c r="W1453" s="10"/>
      <c r="X1453" s="10"/>
      <c r="Y1453" t="str">
        <f t="shared" si="623"/>
        <v>3193</v>
      </c>
      <c r="AB1453" s="10"/>
      <c r="AC1453" s="10"/>
      <c r="AD1453" s="10"/>
      <c r="AE1453" s="10"/>
      <c r="AF1453" s="10"/>
      <c r="AG1453" s="10"/>
      <c r="AH1453" s="10"/>
      <c r="AI1453" s="10"/>
    </row>
    <row r="1454" spans="1:35">
      <c r="A1454" s="10"/>
      <c r="B1454" s="10" t="str">
        <f t="shared" si="622"/>
        <v>Below the LineSHOOT</v>
      </c>
      <c r="C1454" t="s">
        <v>20</v>
      </c>
      <c r="D1454" t="s">
        <v>19</v>
      </c>
      <c r="E1454" t="s">
        <v>236</v>
      </c>
      <c r="G1454" t="s">
        <v>855</v>
      </c>
      <c r="I1454" s="10"/>
      <c r="J1454" s="107">
        <f>SUMIF(Data!C:C,G1454,Data!Q:Q)</f>
        <v>0</v>
      </c>
      <c r="K1454" s="107">
        <f>SUMIF(Comprometidos!A:A,'Cost Report'!G1454,Comprometidos!E:E)</f>
        <v>0</v>
      </c>
      <c r="L1454" s="107">
        <f t="shared" si="606"/>
        <v>0</v>
      </c>
      <c r="M1454" s="107">
        <f t="shared" si="607"/>
        <v>0</v>
      </c>
      <c r="N1454" s="107">
        <f t="shared" si="608"/>
        <v>0</v>
      </c>
      <c r="O1454" s="107">
        <f>VLOOKUP(G1454,Budget!$E$3:$G$2474,3,0)</f>
        <v>0</v>
      </c>
      <c r="P1454" s="107">
        <f t="shared" si="609"/>
        <v>0</v>
      </c>
      <c r="Q1454" s="107"/>
      <c r="R1454" s="10"/>
      <c r="S1454" s="107">
        <v>0</v>
      </c>
      <c r="T1454" s="107">
        <f t="shared" si="624"/>
        <v>0</v>
      </c>
      <c r="U1454" s="107"/>
      <c r="V1454" s="175"/>
      <c r="W1454" s="10"/>
      <c r="X1454" s="10"/>
      <c r="Y1454" t="str">
        <f t="shared" si="623"/>
        <v>3193</v>
      </c>
      <c r="AB1454" s="10"/>
      <c r="AC1454" s="10"/>
      <c r="AD1454" s="10"/>
      <c r="AE1454" s="10"/>
      <c r="AF1454" s="10"/>
      <c r="AG1454" s="10"/>
      <c r="AH1454" s="10"/>
      <c r="AI1454" s="10"/>
    </row>
    <row r="1455" spans="1:35">
      <c r="A1455" s="10"/>
      <c r="B1455" s="10" t="str">
        <f t="shared" si="622"/>
        <v>Below the LineSHOOT</v>
      </c>
      <c r="C1455" t="s">
        <v>20</v>
      </c>
      <c r="D1455" t="s">
        <v>19</v>
      </c>
      <c r="E1455" t="s">
        <v>236</v>
      </c>
      <c r="G1455" t="s">
        <v>856</v>
      </c>
      <c r="I1455" s="10"/>
      <c r="J1455" s="107">
        <f>SUMIF(Data!C:C,G1455,Data!Q:Q)</f>
        <v>0</v>
      </c>
      <c r="K1455" s="107">
        <f>SUMIF(Comprometidos!A:A,'Cost Report'!G1455,Comprometidos!E:E)</f>
        <v>0</v>
      </c>
      <c r="L1455" s="107">
        <f t="shared" si="606"/>
        <v>0</v>
      </c>
      <c r="M1455" s="107">
        <f t="shared" si="607"/>
        <v>0</v>
      </c>
      <c r="N1455" s="107">
        <f t="shared" si="608"/>
        <v>0</v>
      </c>
      <c r="O1455" s="107">
        <f>VLOOKUP(G1455,Budget!$E$3:$G$2474,3,0)</f>
        <v>0</v>
      </c>
      <c r="P1455" s="107">
        <f t="shared" si="609"/>
        <v>0</v>
      </c>
      <c r="Q1455" s="107"/>
      <c r="R1455" s="10"/>
      <c r="S1455" s="107">
        <v>0</v>
      </c>
      <c r="T1455" s="107">
        <f t="shared" si="624"/>
        <v>0</v>
      </c>
      <c r="U1455" s="107"/>
      <c r="V1455" s="175"/>
      <c r="W1455" s="10"/>
      <c r="X1455" s="10"/>
      <c r="Y1455" t="str">
        <f t="shared" si="623"/>
        <v>3193</v>
      </c>
      <c r="AB1455" s="10"/>
      <c r="AC1455" s="10"/>
      <c r="AD1455" s="10"/>
      <c r="AE1455" s="10"/>
      <c r="AF1455" s="10"/>
      <c r="AG1455" s="10"/>
      <c r="AH1455" s="10"/>
      <c r="AI1455" s="10"/>
    </row>
    <row r="1456" spans="1:35">
      <c r="A1456" s="10"/>
      <c r="B1456" s="10" t="str">
        <f t="shared" si="622"/>
        <v>Below the LineSHOOT</v>
      </c>
      <c r="C1456" t="s">
        <v>20</v>
      </c>
      <c r="D1456" t="s">
        <v>19</v>
      </c>
      <c r="E1456" t="s">
        <v>236</v>
      </c>
      <c r="G1456" t="s">
        <v>857</v>
      </c>
      <c r="I1456" s="10"/>
      <c r="J1456" s="107">
        <f>SUMIF(Data!C:C,G1456,Data!Q:Q)</f>
        <v>0</v>
      </c>
      <c r="K1456" s="107">
        <f>SUMIF(Comprometidos!A:A,'Cost Report'!G1456,Comprometidos!E:E)</f>
        <v>0</v>
      </c>
      <c r="L1456" s="107">
        <f t="shared" si="606"/>
        <v>0</v>
      </c>
      <c r="M1456" s="107">
        <f t="shared" si="607"/>
        <v>0</v>
      </c>
      <c r="N1456" s="107">
        <f t="shared" si="608"/>
        <v>0</v>
      </c>
      <c r="O1456" s="107">
        <f>VLOOKUP(G1456,Budget!$E$3:$G$2474,3,0)</f>
        <v>0</v>
      </c>
      <c r="P1456" s="107">
        <f t="shared" si="609"/>
        <v>0</v>
      </c>
      <c r="Q1456" s="107"/>
      <c r="R1456" s="10"/>
      <c r="S1456" s="107">
        <v>0</v>
      </c>
      <c r="T1456" s="107">
        <f t="shared" si="624"/>
        <v>0</v>
      </c>
      <c r="U1456" s="107"/>
      <c r="V1456" s="175"/>
      <c r="W1456" s="10"/>
      <c r="X1456" s="10"/>
      <c r="Y1456" t="str">
        <f t="shared" si="623"/>
        <v>3193</v>
      </c>
      <c r="AB1456" s="10"/>
      <c r="AC1456" s="10"/>
      <c r="AD1456" s="10"/>
      <c r="AE1456" s="10"/>
      <c r="AF1456" s="10"/>
      <c r="AG1456" s="10"/>
      <c r="AH1456" s="10"/>
      <c r="AI1456" s="10"/>
    </row>
    <row r="1457" spans="1:35">
      <c r="A1457" s="10"/>
      <c r="B1457" s="10" t="str">
        <f t="shared" si="622"/>
        <v>Below the LineSHOOT</v>
      </c>
      <c r="C1457" t="s">
        <v>20</v>
      </c>
      <c r="D1457" t="s">
        <v>19</v>
      </c>
      <c r="E1457" t="s">
        <v>236</v>
      </c>
      <c r="G1457" t="s">
        <v>858</v>
      </c>
      <c r="I1457" s="10"/>
      <c r="J1457" s="107">
        <f>SUMIF(Data!C:C,G1457,Data!Q:Q)</f>
        <v>0</v>
      </c>
      <c r="K1457" s="107">
        <f>SUMIF(Comprometidos!A:A,'Cost Report'!G1457,Comprometidos!E:E)</f>
        <v>0</v>
      </c>
      <c r="L1457" s="107">
        <f t="shared" si="606"/>
        <v>0</v>
      </c>
      <c r="M1457" s="107">
        <f t="shared" si="607"/>
        <v>0</v>
      </c>
      <c r="N1457" s="107">
        <f t="shared" si="608"/>
        <v>0</v>
      </c>
      <c r="O1457" s="107">
        <f>VLOOKUP(G1457,Budget!$E$3:$G$2474,3,0)</f>
        <v>0</v>
      </c>
      <c r="P1457" s="107">
        <f t="shared" si="609"/>
        <v>0</v>
      </c>
      <c r="Q1457" s="107"/>
      <c r="R1457" s="10"/>
      <c r="S1457" s="107">
        <v>0</v>
      </c>
      <c r="T1457" s="107">
        <f t="shared" si="624"/>
        <v>0</v>
      </c>
      <c r="U1457" s="107"/>
      <c r="V1457" s="175"/>
      <c r="W1457" s="10"/>
      <c r="X1457" s="10"/>
      <c r="Y1457" t="str">
        <f t="shared" si="623"/>
        <v>3193</v>
      </c>
      <c r="AB1457" s="10"/>
      <c r="AC1457" s="10"/>
      <c r="AD1457" s="10"/>
      <c r="AE1457" s="10"/>
      <c r="AF1457" s="10"/>
      <c r="AG1457" s="10"/>
      <c r="AH1457" s="10"/>
      <c r="AI1457" s="10"/>
    </row>
    <row r="1458" spans="1:35">
      <c r="A1458" s="10"/>
      <c r="B1458" s="10" t="str">
        <f t="shared" si="622"/>
        <v>Below the LineSHOOT</v>
      </c>
      <c r="C1458" t="s">
        <v>20</v>
      </c>
      <c r="D1458" t="s">
        <v>19</v>
      </c>
      <c r="E1458" t="s">
        <v>236</v>
      </c>
      <c r="G1458" t="s">
        <v>859</v>
      </c>
      <c r="I1458" s="10"/>
      <c r="J1458" s="107">
        <f>SUMIF(Data!C:C,G1458,Data!Q:Q)</f>
        <v>0</v>
      </c>
      <c r="K1458" s="107">
        <f>SUMIF(Comprometidos!A:A,'Cost Report'!G1458,Comprometidos!E:E)</f>
        <v>0</v>
      </c>
      <c r="L1458" s="107">
        <f t="shared" si="606"/>
        <v>0</v>
      </c>
      <c r="M1458" s="107">
        <f t="shared" si="607"/>
        <v>0</v>
      </c>
      <c r="N1458" s="107">
        <f t="shared" si="608"/>
        <v>0</v>
      </c>
      <c r="O1458" s="107">
        <f>VLOOKUP(G1458,Budget!$E$3:$G$2474,3,0)</f>
        <v>0</v>
      </c>
      <c r="P1458" s="107">
        <f t="shared" si="609"/>
        <v>0</v>
      </c>
      <c r="Q1458" s="107"/>
      <c r="R1458" s="10"/>
      <c r="S1458" s="107">
        <v>0</v>
      </c>
      <c r="T1458" s="107">
        <f t="shared" si="624"/>
        <v>0</v>
      </c>
      <c r="U1458" s="107"/>
      <c r="V1458" s="175"/>
      <c r="W1458" s="10"/>
      <c r="X1458" s="10"/>
      <c r="Y1458" t="str">
        <f t="shared" si="623"/>
        <v>3193</v>
      </c>
      <c r="AB1458" s="10"/>
      <c r="AC1458" s="10"/>
      <c r="AD1458" s="10"/>
      <c r="AE1458" s="10"/>
      <c r="AF1458" s="10"/>
      <c r="AG1458" s="10"/>
      <c r="AH1458" s="10"/>
      <c r="AI1458" s="10"/>
    </row>
    <row r="1459" spans="1:35">
      <c r="A1459" s="10"/>
      <c r="B1459" s="10" t="str">
        <f t="shared" si="622"/>
        <v>Below the LineSHOOT</v>
      </c>
      <c r="C1459" t="s">
        <v>20</v>
      </c>
      <c r="D1459" t="s">
        <v>19</v>
      </c>
      <c r="E1459" t="s">
        <v>236</v>
      </c>
      <c r="G1459" t="s">
        <v>860</v>
      </c>
      <c r="I1459" s="10"/>
      <c r="J1459" s="107">
        <f>SUMIF(Data!C:C,G1459,Data!Q:Q)</f>
        <v>0</v>
      </c>
      <c r="K1459" s="107">
        <f>SUMIF(Comprometidos!A:A,'Cost Report'!G1459,Comprometidos!E:E)</f>
        <v>0</v>
      </c>
      <c r="L1459" s="107">
        <f t="shared" si="606"/>
        <v>0</v>
      </c>
      <c r="M1459" s="107">
        <f t="shared" si="607"/>
        <v>0</v>
      </c>
      <c r="N1459" s="107">
        <f t="shared" si="608"/>
        <v>0</v>
      </c>
      <c r="O1459" s="107">
        <f>VLOOKUP(G1459,Budget!$E$3:$G$2474,3,0)</f>
        <v>0</v>
      </c>
      <c r="P1459" s="107">
        <f t="shared" si="609"/>
        <v>0</v>
      </c>
      <c r="Q1459" s="107"/>
      <c r="R1459" s="10"/>
      <c r="S1459" s="107">
        <v>0</v>
      </c>
      <c r="T1459" s="107">
        <f t="shared" si="624"/>
        <v>0</v>
      </c>
      <c r="U1459" s="107"/>
      <c r="V1459" s="175"/>
      <c r="W1459" s="10"/>
      <c r="X1459" s="10"/>
      <c r="Y1459" t="str">
        <f t="shared" si="623"/>
        <v>3193</v>
      </c>
      <c r="AB1459" s="10"/>
      <c r="AC1459" s="10"/>
      <c r="AD1459" s="10"/>
      <c r="AE1459" s="10"/>
      <c r="AF1459" s="10"/>
      <c r="AG1459" s="10"/>
      <c r="AH1459" s="10"/>
      <c r="AI1459" s="10"/>
    </row>
    <row r="1460" spans="1:35">
      <c r="A1460" s="10"/>
      <c r="B1460" s="10" t="str">
        <f t="shared" si="622"/>
        <v>Below the LineSHOOT</v>
      </c>
      <c r="C1460" t="s">
        <v>20</v>
      </c>
      <c r="D1460" t="s">
        <v>19</v>
      </c>
      <c r="E1460" t="s">
        <v>236</v>
      </c>
      <c r="G1460" t="s">
        <v>861</v>
      </c>
      <c r="I1460" s="10"/>
      <c r="J1460" s="107">
        <f>SUMIF(Data!C:C,G1460,Data!Q:Q)</f>
        <v>0</v>
      </c>
      <c r="K1460" s="107">
        <f>SUMIF(Comprometidos!A:A,'Cost Report'!G1460,Comprometidos!E:E)</f>
        <v>0</v>
      </c>
      <c r="L1460" s="107">
        <f t="shared" si="606"/>
        <v>0</v>
      </c>
      <c r="M1460" s="107">
        <f t="shared" si="607"/>
        <v>0</v>
      </c>
      <c r="N1460" s="107">
        <f t="shared" si="608"/>
        <v>0</v>
      </c>
      <c r="O1460" s="107">
        <f>VLOOKUP(G1460,Budget!$E$3:$G$2474,3,0)</f>
        <v>0</v>
      </c>
      <c r="P1460" s="107">
        <f t="shared" si="609"/>
        <v>0</v>
      </c>
      <c r="Q1460" s="107"/>
      <c r="R1460" s="10"/>
      <c r="S1460" s="107">
        <v>0</v>
      </c>
      <c r="T1460" s="107">
        <f t="shared" si="624"/>
        <v>0</v>
      </c>
      <c r="U1460" s="107"/>
      <c r="V1460" s="175"/>
      <c r="W1460" s="10"/>
      <c r="X1460" s="10"/>
      <c r="Y1460" t="str">
        <f t="shared" si="623"/>
        <v>3193</v>
      </c>
      <c r="AB1460" s="10"/>
      <c r="AC1460" s="10"/>
      <c r="AD1460" s="10"/>
      <c r="AE1460" s="10"/>
      <c r="AF1460" s="10"/>
      <c r="AG1460" s="10"/>
      <c r="AH1460" s="10"/>
      <c r="AI1460" s="10"/>
    </row>
    <row r="1461" spans="1:35">
      <c r="A1461" s="10"/>
      <c r="B1461" s="10" t="str">
        <f t="shared" si="622"/>
        <v>Below the LineSHOOT</v>
      </c>
      <c r="C1461" t="s">
        <v>20</v>
      </c>
      <c r="D1461" t="s">
        <v>19</v>
      </c>
      <c r="E1461" t="s">
        <v>236</v>
      </c>
      <c r="G1461" t="s">
        <v>862</v>
      </c>
      <c r="I1461" s="10"/>
      <c r="J1461" s="107">
        <f>SUMIF(Data!C:C,G1461,Data!Q:Q)</f>
        <v>0</v>
      </c>
      <c r="K1461" s="107">
        <f>SUMIF(Comprometidos!A:A,'Cost Report'!G1461,Comprometidos!E:E)</f>
        <v>0</v>
      </c>
      <c r="L1461" s="107">
        <f t="shared" si="606"/>
        <v>0</v>
      </c>
      <c r="M1461" s="107">
        <f t="shared" si="607"/>
        <v>0</v>
      </c>
      <c r="N1461" s="107">
        <f t="shared" si="608"/>
        <v>0</v>
      </c>
      <c r="O1461" s="107">
        <f>VLOOKUP(G1461,Budget!$E$3:$G$2474,3,0)</f>
        <v>0</v>
      </c>
      <c r="P1461" s="107">
        <f t="shared" si="609"/>
        <v>0</v>
      </c>
      <c r="Q1461" s="107"/>
      <c r="R1461" s="10"/>
      <c r="S1461" s="107">
        <v>0</v>
      </c>
      <c r="T1461" s="107">
        <f t="shared" si="624"/>
        <v>0</v>
      </c>
      <c r="U1461" s="107"/>
      <c r="V1461" s="175"/>
      <c r="W1461" s="10"/>
      <c r="X1461" s="10"/>
      <c r="Y1461" t="str">
        <f t="shared" si="623"/>
        <v>3193</v>
      </c>
      <c r="AB1461" s="10"/>
      <c r="AC1461" s="10"/>
      <c r="AD1461" s="10"/>
      <c r="AE1461" s="10"/>
      <c r="AF1461" s="10"/>
      <c r="AG1461" s="10"/>
      <c r="AH1461" s="10"/>
      <c r="AI1461" s="10"/>
    </row>
    <row r="1462" spans="1:35">
      <c r="A1462" s="10"/>
      <c r="B1462" s="10" t="str">
        <f t="shared" si="622"/>
        <v>Below the LineSHOOT</v>
      </c>
      <c r="C1462" t="s">
        <v>20</v>
      </c>
      <c r="D1462" t="s">
        <v>19</v>
      </c>
      <c r="E1462" t="s">
        <v>236</v>
      </c>
      <c r="G1462" t="s">
        <v>863</v>
      </c>
      <c r="I1462" s="10"/>
      <c r="J1462" s="107">
        <f>SUMIF(Data!C:C,G1462,Data!Q:Q)</f>
        <v>0</v>
      </c>
      <c r="K1462" s="107">
        <f>SUMIF(Comprometidos!A:A,'Cost Report'!G1462,Comprometidos!E:E)</f>
        <v>0</v>
      </c>
      <c r="L1462" s="107">
        <f t="shared" si="606"/>
        <v>0</v>
      </c>
      <c r="M1462" s="107">
        <f t="shared" si="607"/>
        <v>0</v>
      </c>
      <c r="N1462" s="107">
        <f t="shared" si="608"/>
        <v>0</v>
      </c>
      <c r="O1462" s="107">
        <f>VLOOKUP(G1462,Budget!$E$3:$G$2474,3,0)</f>
        <v>0</v>
      </c>
      <c r="P1462" s="107">
        <f t="shared" si="609"/>
        <v>0</v>
      </c>
      <c r="Q1462" s="107"/>
      <c r="R1462" s="10"/>
      <c r="S1462" s="107">
        <v>0</v>
      </c>
      <c r="T1462" s="107">
        <f t="shared" si="624"/>
        <v>0</v>
      </c>
      <c r="U1462" s="107"/>
      <c r="V1462" s="175"/>
      <c r="W1462" s="10"/>
      <c r="X1462" s="10"/>
      <c r="Y1462" t="str">
        <f t="shared" si="623"/>
        <v>3193</v>
      </c>
      <c r="AB1462" s="10"/>
      <c r="AC1462" s="10"/>
      <c r="AD1462" s="10"/>
      <c r="AE1462" s="10"/>
      <c r="AF1462" s="10"/>
      <c r="AG1462" s="10"/>
      <c r="AH1462" s="10"/>
      <c r="AI1462" s="10"/>
    </row>
    <row r="1463" spans="1:35">
      <c r="A1463" s="10"/>
      <c r="B1463" s="10" t="str">
        <f t="shared" si="622"/>
        <v>Below the LineSHOOT</v>
      </c>
      <c r="C1463" t="s">
        <v>20</v>
      </c>
      <c r="D1463" t="s">
        <v>19</v>
      </c>
      <c r="E1463" t="s">
        <v>236</v>
      </c>
      <c r="G1463" t="s">
        <v>864</v>
      </c>
      <c r="I1463" s="10"/>
      <c r="J1463" s="107">
        <f>SUMIF(Data!C:C,G1463,Data!Q:Q)</f>
        <v>0</v>
      </c>
      <c r="K1463" s="107">
        <f>SUMIF(Comprometidos!A:A,'Cost Report'!G1463,Comprometidos!E:E)</f>
        <v>0</v>
      </c>
      <c r="L1463" s="107">
        <f t="shared" si="606"/>
        <v>0</v>
      </c>
      <c r="M1463" s="107">
        <f t="shared" si="607"/>
        <v>0</v>
      </c>
      <c r="N1463" s="107">
        <f t="shared" si="608"/>
        <v>0</v>
      </c>
      <c r="O1463" s="107">
        <f>VLOOKUP(G1463,Budget!$E$3:$G$2474,3,0)</f>
        <v>0</v>
      </c>
      <c r="P1463" s="107">
        <f t="shared" si="609"/>
        <v>0</v>
      </c>
      <c r="Q1463" s="107"/>
      <c r="R1463" s="10"/>
      <c r="S1463" s="107">
        <v>0</v>
      </c>
      <c r="T1463" s="107">
        <f t="shared" si="624"/>
        <v>0</v>
      </c>
      <c r="U1463" s="107"/>
      <c r="V1463" s="175"/>
      <c r="W1463" s="10"/>
      <c r="X1463" s="10"/>
      <c r="Y1463" t="str">
        <f t="shared" si="623"/>
        <v>3193</v>
      </c>
      <c r="AB1463" s="10"/>
      <c r="AC1463" s="10"/>
      <c r="AD1463" s="10"/>
      <c r="AE1463" s="10"/>
      <c r="AF1463" s="10"/>
      <c r="AG1463" s="10"/>
      <c r="AH1463" s="10"/>
      <c r="AI1463" s="10"/>
    </row>
    <row r="1464" spans="1:35">
      <c r="A1464" s="10"/>
      <c r="B1464" s="10" t="str">
        <f t="shared" si="622"/>
        <v>Below the LineSHOOT</v>
      </c>
      <c r="C1464" t="s">
        <v>20</v>
      </c>
      <c r="D1464" t="s">
        <v>19</v>
      </c>
      <c r="E1464" t="s">
        <v>236</v>
      </c>
      <c r="G1464" t="s">
        <v>865</v>
      </c>
      <c r="I1464" s="10"/>
      <c r="J1464" s="107">
        <f>SUMIF(Data!C:C,G1464,Data!Q:Q)</f>
        <v>0</v>
      </c>
      <c r="K1464" s="107">
        <f>SUMIF(Comprometidos!A:A,'Cost Report'!G1464,Comprometidos!E:E)</f>
        <v>0</v>
      </c>
      <c r="L1464" s="107">
        <f t="shared" si="606"/>
        <v>0</v>
      </c>
      <c r="M1464" s="107">
        <f t="shared" si="607"/>
        <v>0</v>
      </c>
      <c r="N1464" s="107">
        <f t="shared" si="608"/>
        <v>0</v>
      </c>
      <c r="O1464" s="107">
        <f>VLOOKUP(G1464,Budget!$E$3:$G$2474,3,0)</f>
        <v>0</v>
      </c>
      <c r="P1464" s="107">
        <f t="shared" si="609"/>
        <v>0</v>
      </c>
      <c r="Q1464" s="107"/>
      <c r="R1464" s="10"/>
      <c r="S1464" s="107">
        <v>0</v>
      </c>
      <c r="T1464" s="107">
        <f t="shared" si="624"/>
        <v>0</v>
      </c>
      <c r="U1464" s="107"/>
      <c r="V1464" s="175"/>
      <c r="W1464" s="10"/>
      <c r="X1464" s="10"/>
      <c r="Y1464" t="str">
        <f t="shared" si="623"/>
        <v>3193</v>
      </c>
      <c r="AB1464" s="10"/>
      <c r="AC1464" s="10"/>
      <c r="AD1464" s="10"/>
      <c r="AE1464" s="10"/>
      <c r="AF1464" s="10"/>
      <c r="AG1464" s="10"/>
      <c r="AH1464" s="10"/>
      <c r="AI1464" s="10"/>
    </row>
    <row r="1465" spans="1:35">
      <c r="A1465" s="10"/>
      <c r="B1465" s="10" t="str">
        <f t="shared" si="622"/>
        <v>Below the LineSHOOT</v>
      </c>
      <c r="C1465" t="s">
        <v>20</v>
      </c>
      <c r="D1465" t="s">
        <v>19</v>
      </c>
      <c r="E1465" t="s">
        <v>236</v>
      </c>
      <c r="G1465" t="s">
        <v>866</v>
      </c>
      <c r="I1465" s="10"/>
      <c r="J1465" s="107">
        <f>SUMIF(Data!C:C,G1465,Data!Q:Q)</f>
        <v>2414076</v>
      </c>
      <c r="K1465" s="107">
        <f>SUMIF(Comprometidos!A:A,'Cost Report'!G1465,Comprometidos!E:E)</f>
        <v>0</v>
      </c>
      <c r="L1465" s="107">
        <f t="shared" si="606"/>
        <v>2414076</v>
      </c>
      <c r="M1465" s="107">
        <f t="shared" si="607"/>
        <v>0</v>
      </c>
      <c r="N1465" s="107">
        <f t="shared" si="608"/>
        <v>2414076</v>
      </c>
      <c r="O1465" s="107">
        <f>VLOOKUP(G1465,Budget!$E$3:$G$2474,3,0)</f>
        <v>2414076</v>
      </c>
      <c r="P1465" s="107">
        <f t="shared" si="609"/>
        <v>0</v>
      </c>
      <c r="Q1465" s="107"/>
      <c r="R1465" s="10"/>
      <c r="S1465" s="107">
        <v>2414076</v>
      </c>
      <c r="T1465" s="107">
        <f t="shared" si="624"/>
        <v>0</v>
      </c>
      <c r="U1465" s="107"/>
      <c r="V1465" s="175"/>
      <c r="W1465" s="10"/>
      <c r="X1465" s="10"/>
      <c r="Y1465" t="str">
        <f t="shared" si="623"/>
        <v>3193</v>
      </c>
      <c r="AB1465" s="10"/>
      <c r="AC1465" s="10"/>
      <c r="AD1465" s="10"/>
      <c r="AE1465" s="10"/>
      <c r="AF1465" s="10"/>
      <c r="AG1465" s="10"/>
      <c r="AH1465" s="10"/>
      <c r="AI1465" s="10"/>
    </row>
    <row r="1466" spans="1:35">
      <c r="A1466" s="10"/>
      <c r="B1466" s="10" t="str">
        <f t="shared" si="622"/>
        <v>Below the Line</v>
      </c>
      <c r="C1466" t="s">
        <v>20</v>
      </c>
      <c r="D1466" t="s">
        <v>19</v>
      </c>
      <c r="E1466" t="s">
        <v>214</v>
      </c>
      <c r="G1466" t="s">
        <v>867</v>
      </c>
      <c r="I1466" s="10"/>
      <c r="J1466" s="107">
        <f>SUMIF(Data!C:C,G1466,Data!Q:Q)</f>
        <v>0</v>
      </c>
      <c r="K1466" s="107">
        <f>SUMIF(Comprometidos!A:A,'Cost Report'!G1466,Comprometidos!E:E)</f>
        <v>0</v>
      </c>
      <c r="L1466" s="107">
        <f t="shared" si="606"/>
        <v>0</v>
      </c>
      <c r="M1466" s="107">
        <f t="shared" si="607"/>
        <v>0</v>
      </c>
      <c r="N1466" s="107">
        <f t="shared" si="608"/>
        <v>0</v>
      </c>
      <c r="O1466" s="107">
        <f>VLOOKUP(G1466,Budget!$E$3:$G$2474,3,0)</f>
        <v>0</v>
      </c>
      <c r="P1466" s="107">
        <f t="shared" si="609"/>
        <v>0</v>
      </c>
      <c r="Q1466" s="107"/>
      <c r="R1466" s="10"/>
      <c r="S1466" s="107">
        <v>0</v>
      </c>
      <c r="T1466" s="107">
        <f t="shared" si="624"/>
        <v>0</v>
      </c>
      <c r="U1466" s="107"/>
      <c r="V1466" s="175"/>
      <c r="W1466" s="10"/>
      <c r="X1466" s="10"/>
      <c r="Y1466" t="str">
        <f t="shared" si="623"/>
        <v>3193</v>
      </c>
      <c r="AB1466" s="10"/>
      <c r="AC1466" s="10"/>
      <c r="AD1466" s="10"/>
      <c r="AE1466" s="10"/>
      <c r="AF1466" s="10"/>
      <c r="AG1466" s="10"/>
      <c r="AH1466" s="10"/>
      <c r="AI1466" s="10"/>
    </row>
    <row r="1467" spans="1:35">
      <c r="A1467" s="10"/>
      <c r="B1467" s="10" t="str">
        <f t="shared" si="622"/>
        <v>Below the LineSHOOT</v>
      </c>
      <c r="C1467" t="s">
        <v>20</v>
      </c>
      <c r="D1467" t="s">
        <v>19</v>
      </c>
      <c r="E1467" t="s">
        <v>236</v>
      </c>
      <c r="G1467" t="s">
        <v>868</v>
      </c>
      <c r="I1467" s="10"/>
      <c r="J1467" s="107">
        <f>SUMIF(Data!C:C,G1467,Data!Q:Q)</f>
        <v>2110037.4</v>
      </c>
      <c r="K1467" s="107">
        <f>SUMIF(Comprometidos!A:A,'Cost Report'!G1467,Comprometidos!E:E)</f>
        <v>0</v>
      </c>
      <c r="L1467" s="107">
        <f t="shared" si="606"/>
        <v>2110037.4</v>
      </c>
      <c r="M1467" s="107">
        <f>+O1467-L1467</f>
        <v>0</v>
      </c>
      <c r="N1467" s="107">
        <f t="shared" si="608"/>
        <v>2110037.4</v>
      </c>
      <c r="O1467" s="107">
        <f>VLOOKUP(G1467,Budget!$E$3:$G$2474,3,0)</f>
        <v>2110037.4</v>
      </c>
      <c r="P1467" s="107">
        <f t="shared" si="609"/>
        <v>0</v>
      </c>
      <c r="Q1467" s="107"/>
      <c r="R1467" s="10"/>
      <c r="S1467" s="107">
        <v>2110037.4</v>
      </c>
      <c r="T1467" s="107">
        <f t="shared" si="624"/>
        <v>0</v>
      </c>
      <c r="U1467" s="107"/>
      <c r="V1467" s="175"/>
      <c r="W1467" s="10"/>
      <c r="X1467" s="10"/>
      <c r="Y1467" t="str">
        <f t="shared" si="623"/>
        <v>3193</v>
      </c>
      <c r="AB1467" s="10"/>
      <c r="AC1467" s="10"/>
      <c r="AD1467" s="10"/>
      <c r="AE1467" s="10"/>
      <c r="AF1467" s="10"/>
      <c r="AG1467" s="10"/>
      <c r="AH1467" s="10"/>
      <c r="AI1467" s="10"/>
    </row>
    <row r="1468" spans="1:35">
      <c r="A1468" s="10"/>
      <c r="B1468" s="10" t="str">
        <f t="shared" si="622"/>
        <v>Below the Line</v>
      </c>
      <c r="C1468" t="s">
        <v>20</v>
      </c>
      <c r="D1468" t="s">
        <v>19</v>
      </c>
      <c r="E1468" t="s">
        <v>214</v>
      </c>
      <c r="G1468" t="s">
        <v>869</v>
      </c>
      <c r="I1468" s="10"/>
      <c r="J1468" s="107">
        <f>SUMIF(Data!C:C,G1468,Data!Q:Q)</f>
        <v>0</v>
      </c>
      <c r="K1468" s="107">
        <f>SUMIF(Comprometidos!A:A,'Cost Report'!G1468,Comprometidos!E:E)</f>
        <v>0</v>
      </c>
      <c r="L1468" s="107">
        <f t="shared" si="606"/>
        <v>0</v>
      </c>
      <c r="M1468" s="107">
        <f t="shared" si="607"/>
        <v>0</v>
      </c>
      <c r="N1468" s="107">
        <f t="shared" si="608"/>
        <v>0</v>
      </c>
      <c r="O1468" s="107">
        <f>VLOOKUP(G1468,Budget!$E$3:$G$2474,3,0)</f>
        <v>0</v>
      </c>
      <c r="P1468" s="107">
        <f t="shared" si="609"/>
        <v>0</v>
      </c>
      <c r="Q1468" s="107"/>
      <c r="R1468" s="10"/>
      <c r="S1468" s="107">
        <v>0</v>
      </c>
      <c r="T1468" s="107">
        <f t="shared" si="624"/>
        <v>0</v>
      </c>
      <c r="U1468" s="107"/>
      <c r="V1468" s="175"/>
      <c r="W1468" s="10"/>
      <c r="X1468" s="10"/>
      <c r="Y1468" t="str">
        <f t="shared" si="623"/>
        <v>3193</v>
      </c>
      <c r="AB1468" s="10"/>
      <c r="AC1468" s="10"/>
      <c r="AD1468" s="10"/>
      <c r="AE1468" s="10"/>
      <c r="AF1468" s="10"/>
      <c r="AG1468" s="10"/>
      <c r="AH1468" s="10"/>
      <c r="AI1468" s="10"/>
    </row>
    <row r="1469" spans="1:35">
      <c r="A1469" s="10"/>
      <c r="B1469" s="10" t="str">
        <f t="shared" si="622"/>
        <v>Below the Line2nd Unit</v>
      </c>
      <c r="C1469" t="s">
        <v>20</v>
      </c>
      <c r="D1469" t="s">
        <v>19</v>
      </c>
      <c r="E1469" t="s">
        <v>1419</v>
      </c>
      <c r="G1469" t="s">
        <v>870</v>
      </c>
      <c r="I1469" s="10"/>
      <c r="J1469" s="107">
        <f>SUMIF(Data!C:C,G1469,Data!Q:Q)</f>
        <v>0</v>
      </c>
      <c r="K1469" s="107">
        <f>SUMIF(Comprometidos!A:A,'Cost Report'!G1469,Comprometidos!E:E)</f>
        <v>0</v>
      </c>
      <c r="L1469" s="107">
        <f t="shared" ref="L1469:L1523" si="625">+J1469+K1469</f>
        <v>0</v>
      </c>
      <c r="M1469" s="107">
        <f t="shared" ref="M1469:M1522" si="626">+O1469-L1469</f>
        <v>0</v>
      </c>
      <c r="N1469" s="107">
        <f t="shared" ref="N1469:N1523" si="627">+L1469+M1469</f>
        <v>0</v>
      </c>
      <c r="O1469" s="107">
        <f>VLOOKUP(G1469,Budget!$E$3:$G$2474,3,0)</f>
        <v>0</v>
      </c>
      <c r="P1469" s="107">
        <f t="shared" ref="P1469:P1523" si="628">+O1469-N1469</f>
        <v>0</v>
      </c>
      <c r="Q1469" s="107"/>
      <c r="R1469" s="10"/>
      <c r="S1469" s="107">
        <v>0</v>
      </c>
      <c r="T1469" s="107">
        <f t="shared" si="624"/>
        <v>0</v>
      </c>
      <c r="U1469" s="107"/>
      <c r="V1469" s="175"/>
      <c r="W1469" s="10"/>
      <c r="X1469" s="10"/>
      <c r="Y1469" t="str">
        <f t="shared" si="623"/>
        <v>3193</v>
      </c>
      <c r="AB1469" s="10"/>
      <c r="AC1469" s="10"/>
      <c r="AD1469" s="10"/>
      <c r="AE1469" s="10"/>
      <c r="AF1469" s="10"/>
      <c r="AG1469" s="10"/>
      <c r="AH1469" s="10"/>
      <c r="AI1469" s="10"/>
    </row>
    <row r="1470" spans="1:35">
      <c r="A1470" s="10"/>
      <c r="B1470" s="10" t="str">
        <f t="shared" si="622"/>
        <v>Below the Line2nd Unit</v>
      </c>
      <c r="C1470" t="s">
        <v>20</v>
      </c>
      <c r="D1470" t="s">
        <v>19</v>
      </c>
      <c r="E1470" t="s">
        <v>1419</v>
      </c>
      <c r="G1470" t="s">
        <v>871</v>
      </c>
      <c r="I1470" s="10"/>
      <c r="J1470" s="107">
        <f>SUMIF(Data!C:C,G1470,Data!Q:Q)</f>
        <v>0</v>
      </c>
      <c r="K1470" s="107">
        <f>SUMIF(Comprometidos!A:A,'Cost Report'!G1470,Comprometidos!E:E)</f>
        <v>0</v>
      </c>
      <c r="L1470" s="107">
        <f t="shared" si="625"/>
        <v>0</v>
      </c>
      <c r="M1470" s="107">
        <f t="shared" si="626"/>
        <v>0</v>
      </c>
      <c r="N1470" s="107">
        <f t="shared" si="627"/>
        <v>0</v>
      </c>
      <c r="O1470" s="107">
        <f>VLOOKUP(G1470,Budget!$E$3:$G$2474,3,0)</f>
        <v>0</v>
      </c>
      <c r="P1470" s="107">
        <f t="shared" si="628"/>
        <v>0</v>
      </c>
      <c r="Q1470" s="107"/>
      <c r="R1470" s="10"/>
      <c r="S1470" s="107">
        <v>0</v>
      </c>
      <c r="T1470" s="107">
        <f t="shared" si="624"/>
        <v>0</v>
      </c>
      <c r="U1470" s="107"/>
      <c r="V1470" s="175"/>
      <c r="W1470" s="10"/>
      <c r="X1470" s="10"/>
      <c r="Y1470" t="str">
        <f t="shared" si="623"/>
        <v>3193</v>
      </c>
      <c r="AB1470" s="10"/>
      <c r="AC1470" s="10"/>
      <c r="AD1470" s="10"/>
      <c r="AE1470" s="10"/>
      <c r="AF1470" s="10"/>
      <c r="AG1470" s="10"/>
      <c r="AH1470" s="10"/>
      <c r="AI1470" s="10"/>
    </row>
    <row r="1471" spans="1:35">
      <c r="A1471" s="10"/>
      <c r="B1471" s="10" t="str">
        <f t="shared" si="622"/>
        <v>Below the Line2nd Unit</v>
      </c>
      <c r="C1471" t="s">
        <v>20</v>
      </c>
      <c r="D1471" t="s">
        <v>19</v>
      </c>
      <c r="E1471" t="s">
        <v>1419</v>
      </c>
      <c r="G1471" t="s">
        <v>872</v>
      </c>
      <c r="I1471" s="10"/>
      <c r="J1471" s="107">
        <f>SUMIF(Data!C:C,G1471,Data!Q:Q)</f>
        <v>0</v>
      </c>
      <c r="K1471" s="107">
        <f>SUMIF(Comprometidos!A:A,'Cost Report'!G1471,Comprometidos!E:E)</f>
        <v>0</v>
      </c>
      <c r="L1471" s="107">
        <f t="shared" si="625"/>
        <v>0</v>
      </c>
      <c r="M1471" s="107">
        <f t="shared" si="626"/>
        <v>0</v>
      </c>
      <c r="N1471" s="107">
        <f t="shared" si="627"/>
        <v>0</v>
      </c>
      <c r="O1471" s="107">
        <f>VLOOKUP(G1471,Budget!$E$3:$G$2474,3,0)</f>
        <v>0</v>
      </c>
      <c r="P1471" s="107">
        <f t="shared" si="628"/>
        <v>0</v>
      </c>
      <c r="Q1471" s="107"/>
      <c r="R1471" s="10"/>
      <c r="S1471" s="107">
        <v>0</v>
      </c>
      <c r="T1471" s="107">
        <f t="shared" si="624"/>
        <v>0</v>
      </c>
      <c r="U1471" s="107"/>
      <c r="V1471" s="175"/>
      <c r="W1471" s="10"/>
      <c r="X1471" s="10"/>
      <c r="Y1471" t="str">
        <f t="shared" si="623"/>
        <v>3193</v>
      </c>
      <c r="AB1471" s="10"/>
      <c r="AC1471" s="10"/>
      <c r="AD1471" s="10"/>
      <c r="AE1471" s="10"/>
      <c r="AF1471" s="10"/>
      <c r="AG1471" s="10"/>
      <c r="AH1471" s="10"/>
      <c r="AI1471" s="10"/>
    </row>
    <row r="1472" spans="1:35">
      <c r="A1472" s="10"/>
      <c r="B1472" s="10" t="str">
        <f t="shared" si="622"/>
        <v>Below the Line2nd Unit</v>
      </c>
      <c r="C1472" t="s">
        <v>20</v>
      </c>
      <c r="D1472" t="s">
        <v>19</v>
      </c>
      <c r="E1472" t="s">
        <v>1419</v>
      </c>
      <c r="G1472" t="s">
        <v>873</v>
      </c>
      <c r="I1472" s="10"/>
      <c r="J1472" s="107">
        <f>SUMIF(Data!C:C,G1472,Data!Q:Q)</f>
        <v>0</v>
      </c>
      <c r="K1472" s="107">
        <f>SUMIF(Comprometidos!A:A,'Cost Report'!G1472,Comprometidos!E:E)</f>
        <v>0</v>
      </c>
      <c r="L1472" s="107">
        <f t="shared" si="625"/>
        <v>0</v>
      </c>
      <c r="M1472" s="107">
        <f t="shared" si="626"/>
        <v>0</v>
      </c>
      <c r="N1472" s="107">
        <f t="shared" si="627"/>
        <v>0</v>
      </c>
      <c r="O1472" s="107">
        <f>VLOOKUP(G1472,Budget!$E$3:$G$2474,3,0)</f>
        <v>0</v>
      </c>
      <c r="P1472" s="107">
        <f t="shared" si="628"/>
        <v>0</v>
      </c>
      <c r="Q1472" s="107"/>
      <c r="R1472" s="10"/>
      <c r="S1472" s="107">
        <v>0</v>
      </c>
      <c r="T1472" s="107">
        <f t="shared" si="624"/>
        <v>0</v>
      </c>
      <c r="U1472" s="107"/>
      <c r="V1472" s="175"/>
      <c r="W1472" s="10"/>
      <c r="X1472" s="10"/>
      <c r="Y1472" t="str">
        <f t="shared" si="623"/>
        <v>3193</v>
      </c>
      <c r="AB1472" s="10"/>
      <c r="AC1472" s="10"/>
      <c r="AD1472" s="10"/>
      <c r="AE1472" s="10"/>
      <c r="AF1472" s="10"/>
      <c r="AG1472" s="10"/>
      <c r="AH1472" s="10"/>
      <c r="AI1472" s="10"/>
    </row>
    <row r="1473" spans="1:35">
      <c r="A1473" s="10"/>
      <c r="B1473" s="10" t="str">
        <f t="shared" si="622"/>
        <v>Below the Line2nd Unit</v>
      </c>
      <c r="C1473" t="s">
        <v>20</v>
      </c>
      <c r="D1473" t="s">
        <v>19</v>
      </c>
      <c r="E1473" t="s">
        <v>1419</v>
      </c>
      <c r="G1473" t="s">
        <v>874</v>
      </c>
      <c r="I1473" s="10"/>
      <c r="J1473" s="107">
        <f>SUMIF(Data!C:C,G1473,Data!Q:Q)</f>
        <v>0</v>
      </c>
      <c r="K1473" s="107">
        <f>SUMIF(Comprometidos!A:A,'Cost Report'!G1473,Comprometidos!E:E)</f>
        <v>0</v>
      </c>
      <c r="L1473" s="107">
        <f t="shared" si="625"/>
        <v>0</v>
      </c>
      <c r="M1473" s="107">
        <f t="shared" si="626"/>
        <v>0</v>
      </c>
      <c r="N1473" s="107">
        <f t="shared" si="627"/>
        <v>0</v>
      </c>
      <c r="O1473" s="107">
        <f>VLOOKUP(G1473,Budget!$E$3:$G$2474,3,0)</f>
        <v>0</v>
      </c>
      <c r="P1473" s="107">
        <f t="shared" si="628"/>
        <v>0</v>
      </c>
      <c r="Q1473" s="107"/>
      <c r="R1473" s="10"/>
      <c r="S1473" s="107">
        <v>0</v>
      </c>
      <c r="T1473" s="107">
        <f t="shared" si="624"/>
        <v>0</v>
      </c>
      <c r="U1473" s="107"/>
      <c r="V1473" s="175"/>
      <c r="W1473" s="10"/>
      <c r="X1473" s="10"/>
      <c r="Y1473" t="str">
        <f t="shared" si="623"/>
        <v>3193</v>
      </c>
      <c r="AB1473" s="10"/>
      <c r="AC1473" s="10"/>
      <c r="AD1473" s="10"/>
      <c r="AE1473" s="10"/>
      <c r="AF1473" s="10"/>
      <c r="AG1473" s="10"/>
      <c r="AH1473" s="10"/>
      <c r="AI1473" s="10"/>
    </row>
    <row r="1474" spans="1:35">
      <c r="A1474" s="10"/>
      <c r="B1474" s="10" t="str">
        <f t="shared" si="622"/>
        <v>Below the Line2nd Unit</v>
      </c>
      <c r="C1474" t="s">
        <v>20</v>
      </c>
      <c r="D1474" t="s">
        <v>19</v>
      </c>
      <c r="E1474" t="s">
        <v>1419</v>
      </c>
      <c r="G1474" t="s">
        <v>875</v>
      </c>
      <c r="I1474" s="10"/>
      <c r="J1474" s="107">
        <f>SUMIF(Data!C:C,G1474,Data!Q:Q)</f>
        <v>0</v>
      </c>
      <c r="K1474" s="107">
        <f>SUMIF(Comprometidos!A:A,'Cost Report'!G1474,Comprometidos!E:E)</f>
        <v>0</v>
      </c>
      <c r="L1474" s="107">
        <f t="shared" si="625"/>
        <v>0</v>
      </c>
      <c r="M1474" s="107">
        <f t="shared" si="626"/>
        <v>0</v>
      </c>
      <c r="N1474" s="107">
        <f t="shared" si="627"/>
        <v>0</v>
      </c>
      <c r="O1474" s="107">
        <f>VLOOKUP(G1474,Budget!$E$3:$G$2474,3,0)</f>
        <v>0</v>
      </c>
      <c r="P1474" s="107">
        <f t="shared" si="628"/>
        <v>0</v>
      </c>
      <c r="Q1474" s="107"/>
      <c r="R1474" s="10"/>
      <c r="S1474" s="107">
        <v>0</v>
      </c>
      <c r="T1474" s="107">
        <f t="shared" si="624"/>
        <v>0</v>
      </c>
      <c r="U1474" s="107"/>
      <c r="V1474" s="175"/>
      <c r="W1474" s="10"/>
      <c r="X1474" s="10"/>
      <c r="Y1474" t="str">
        <f t="shared" si="623"/>
        <v>3193</v>
      </c>
      <c r="AB1474" s="10"/>
      <c r="AC1474" s="10"/>
      <c r="AD1474" s="10"/>
      <c r="AE1474" s="10"/>
      <c r="AF1474" s="10"/>
      <c r="AG1474" s="10"/>
      <c r="AH1474" s="10"/>
      <c r="AI1474" s="10"/>
    </row>
    <row r="1475" spans="1:35">
      <c r="A1475" s="10"/>
      <c r="B1475" s="10" t="str">
        <f t="shared" si="622"/>
        <v>Below the Line2nd Unit</v>
      </c>
      <c r="C1475" t="s">
        <v>20</v>
      </c>
      <c r="D1475" t="s">
        <v>19</v>
      </c>
      <c r="E1475" t="s">
        <v>1419</v>
      </c>
      <c r="G1475" t="s">
        <v>876</v>
      </c>
      <c r="I1475" s="10"/>
      <c r="J1475" s="107">
        <f>SUMIF(Data!C:C,G1475,Data!Q:Q)</f>
        <v>0</v>
      </c>
      <c r="K1475" s="107">
        <f>SUMIF(Comprometidos!A:A,'Cost Report'!G1475,Comprometidos!E:E)</f>
        <v>0</v>
      </c>
      <c r="L1475" s="107">
        <f t="shared" si="625"/>
        <v>0</v>
      </c>
      <c r="M1475" s="107">
        <f t="shared" si="626"/>
        <v>0</v>
      </c>
      <c r="N1475" s="107">
        <f t="shared" si="627"/>
        <v>0</v>
      </c>
      <c r="O1475" s="107">
        <f>VLOOKUP(G1475,Budget!$E$3:$G$2474,3,0)</f>
        <v>0</v>
      </c>
      <c r="P1475" s="107">
        <f t="shared" si="628"/>
        <v>0</v>
      </c>
      <c r="Q1475" s="107"/>
      <c r="R1475" s="10"/>
      <c r="S1475" s="107">
        <v>0</v>
      </c>
      <c r="T1475" s="107">
        <f t="shared" si="624"/>
        <v>0</v>
      </c>
      <c r="U1475" s="107"/>
      <c r="V1475" s="175"/>
      <c r="W1475" s="10"/>
      <c r="X1475" s="10"/>
      <c r="Y1475" t="str">
        <f t="shared" si="623"/>
        <v>3193</v>
      </c>
      <c r="AB1475" s="10"/>
      <c r="AC1475" s="10"/>
      <c r="AD1475" s="10"/>
      <c r="AE1475" s="10"/>
      <c r="AF1475" s="10"/>
      <c r="AG1475" s="10"/>
      <c r="AH1475" s="10"/>
      <c r="AI1475" s="10"/>
    </row>
    <row r="1476" spans="1:35">
      <c r="A1476" s="10"/>
      <c r="B1476" s="10" t="str">
        <f t="shared" si="622"/>
        <v>Below the Line2nd Unit</v>
      </c>
      <c r="C1476" t="s">
        <v>20</v>
      </c>
      <c r="D1476" t="s">
        <v>19</v>
      </c>
      <c r="E1476" t="s">
        <v>1419</v>
      </c>
      <c r="G1476" t="s">
        <v>877</v>
      </c>
      <c r="I1476" s="10"/>
      <c r="J1476" s="107">
        <f>SUMIF(Data!C:C,G1476,Data!Q:Q)</f>
        <v>0</v>
      </c>
      <c r="K1476" s="107">
        <f>SUMIF(Comprometidos!A:A,'Cost Report'!G1476,Comprometidos!E:E)</f>
        <v>0</v>
      </c>
      <c r="L1476" s="107">
        <f t="shared" si="625"/>
        <v>0</v>
      </c>
      <c r="M1476" s="107">
        <f t="shared" si="626"/>
        <v>0</v>
      </c>
      <c r="N1476" s="107">
        <f t="shared" si="627"/>
        <v>0</v>
      </c>
      <c r="O1476" s="107">
        <f>VLOOKUP(G1476,Budget!$E$3:$G$2474,3,0)</f>
        <v>0</v>
      </c>
      <c r="P1476" s="107">
        <f t="shared" si="628"/>
        <v>0</v>
      </c>
      <c r="Q1476" s="107"/>
      <c r="R1476" s="10"/>
      <c r="S1476" s="107">
        <v>0</v>
      </c>
      <c r="T1476" s="107">
        <f t="shared" si="624"/>
        <v>0</v>
      </c>
      <c r="U1476" s="107"/>
      <c r="V1476" s="175"/>
      <c r="W1476" s="10"/>
      <c r="X1476" s="10"/>
      <c r="Y1476" t="str">
        <f t="shared" si="623"/>
        <v>3193</v>
      </c>
      <c r="AB1476" s="10"/>
      <c r="AC1476" s="10"/>
      <c r="AD1476" s="10"/>
      <c r="AE1476" s="10"/>
      <c r="AF1476" s="10"/>
      <c r="AG1476" s="10"/>
      <c r="AH1476" s="10"/>
      <c r="AI1476" s="10"/>
    </row>
    <row r="1477" spans="1:35">
      <c r="A1477" s="10"/>
      <c r="B1477" s="10" t="str">
        <f t="shared" si="622"/>
        <v>Below the Line2nd Unit</v>
      </c>
      <c r="C1477" t="s">
        <v>20</v>
      </c>
      <c r="D1477" t="s">
        <v>19</v>
      </c>
      <c r="E1477" t="s">
        <v>1419</v>
      </c>
      <c r="G1477" t="s">
        <v>878</v>
      </c>
      <c r="I1477" s="10"/>
      <c r="J1477" s="107">
        <f>SUMIF(Data!C:C,G1477,Data!Q:Q)</f>
        <v>0</v>
      </c>
      <c r="K1477" s="107">
        <f>SUMIF(Comprometidos!A:A,'Cost Report'!G1477,Comprometidos!E:E)</f>
        <v>0</v>
      </c>
      <c r="L1477" s="107">
        <f t="shared" si="625"/>
        <v>0</v>
      </c>
      <c r="M1477" s="107">
        <f t="shared" si="626"/>
        <v>0</v>
      </c>
      <c r="N1477" s="107">
        <f t="shared" si="627"/>
        <v>0</v>
      </c>
      <c r="O1477" s="107">
        <f>VLOOKUP(G1477,Budget!$E$3:$G$2474,3,0)</f>
        <v>0</v>
      </c>
      <c r="P1477" s="107">
        <f t="shared" si="628"/>
        <v>0</v>
      </c>
      <c r="Q1477" s="107"/>
      <c r="R1477" s="10"/>
      <c r="S1477" s="107">
        <v>0</v>
      </c>
      <c r="T1477" s="107">
        <f t="shared" si="624"/>
        <v>0</v>
      </c>
      <c r="U1477" s="107"/>
      <c r="V1477" s="175"/>
      <c r="W1477" s="10"/>
      <c r="X1477" s="10"/>
      <c r="Y1477" t="str">
        <f t="shared" si="623"/>
        <v>3193</v>
      </c>
      <c r="AB1477" s="10"/>
      <c r="AC1477" s="10"/>
      <c r="AD1477" s="10"/>
      <c r="AE1477" s="10"/>
      <c r="AF1477" s="10"/>
      <c r="AG1477" s="10"/>
      <c r="AH1477" s="10"/>
      <c r="AI1477" s="10"/>
    </row>
    <row r="1478" spans="1:35">
      <c r="A1478" s="10"/>
      <c r="B1478" s="10" t="str">
        <f t="shared" si="622"/>
        <v>Below the Line2nd Unit</v>
      </c>
      <c r="C1478" t="s">
        <v>20</v>
      </c>
      <c r="D1478" t="s">
        <v>19</v>
      </c>
      <c r="E1478" t="s">
        <v>1419</v>
      </c>
      <c r="G1478" t="s">
        <v>879</v>
      </c>
      <c r="I1478" s="10"/>
      <c r="J1478" s="107">
        <f>SUMIF(Data!C:C,G1478,Data!Q:Q)</f>
        <v>0</v>
      </c>
      <c r="K1478" s="107">
        <f>SUMIF(Comprometidos!A:A,'Cost Report'!G1478,Comprometidos!E:E)</f>
        <v>0</v>
      </c>
      <c r="L1478" s="107">
        <f t="shared" si="625"/>
        <v>0</v>
      </c>
      <c r="M1478" s="107">
        <f t="shared" si="626"/>
        <v>0</v>
      </c>
      <c r="N1478" s="107">
        <f t="shared" si="627"/>
        <v>0</v>
      </c>
      <c r="O1478" s="107">
        <f>VLOOKUP(G1478,Budget!$E$3:$G$2474,3,0)</f>
        <v>0</v>
      </c>
      <c r="P1478" s="107">
        <f t="shared" si="628"/>
        <v>0</v>
      </c>
      <c r="Q1478" s="107"/>
      <c r="R1478" s="10"/>
      <c r="S1478" s="107">
        <v>0</v>
      </c>
      <c r="T1478" s="107">
        <f t="shared" si="624"/>
        <v>0</v>
      </c>
      <c r="U1478" s="107"/>
      <c r="V1478" s="175"/>
      <c r="W1478" s="10"/>
      <c r="X1478" s="10"/>
      <c r="Y1478" t="str">
        <f t="shared" si="623"/>
        <v>3193</v>
      </c>
      <c r="AB1478" s="10"/>
      <c r="AC1478" s="10"/>
      <c r="AD1478" s="10"/>
      <c r="AE1478" s="10"/>
      <c r="AF1478" s="10"/>
      <c r="AG1478" s="10"/>
      <c r="AH1478" s="10"/>
      <c r="AI1478" s="10"/>
    </row>
    <row r="1479" spans="1:35">
      <c r="A1479" s="10"/>
      <c r="B1479" s="10" t="str">
        <f t="shared" si="622"/>
        <v>Below the Line2nd Unit</v>
      </c>
      <c r="C1479" t="s">
        <v>20</v>
      </c>
      <c r="D1479" t="s">
        <v>19</v>
      </c>
      <c r="E1479" t="s">
        <v>1419</v>
      </c>
      <c r="G1479" t="s">
        <v>880</v>
      </c>
      <c r="I1479" s="10"/>
      <c r="J1479" s="107">
        <f>SUMIF(Data!C:C,G1479,Data!Q:Q)</f>
        <v>0</v>
      </c>
      <c r="K1479" s="107">
        <f>SUMIF(Comprometidos!A:A,'Cost Report'!G1479,Comprometidos!E:E)</f>
        <v>0</v>
      </c>
      <c r="L1479" s="107">
        <f t="shared" si="625"/>
        <v>0</v>
      </c>
      <c r="M1479" s="107">
        <f t="shared" si="626"/>
        <v>0</v>
      </c>
      <c r="N1479" s="107">
        <f t="shared" si="627"/>
        <v>0</v>
      </c>
      <c r="O1479" s="107">
        <f>VLOOKUP(G1479,Budget!$E$3:$G$2474,3,0)</f>
        <v>0</v>
      </c>
      <c r="P1479" s="107">
        <f t="shared" si="628"/>
        <v>0</v>
      </c>
      <c r="Q1479" s="107"/>
      <c r="R1479" s="10"/>
      <c r="S1479" s="107">
        <v>0</v>
      </c>
      <c r="T1479" s="107">
        <f t="shared" si="624"/>
        <v>0</v>
      </c>
      <c r="U1479" s="107"/>
      <c r="V1479" s="175"/>
      <c r="W1479" s="10"/>
      <c r="X1479" s="10"/>
      <c r="Y1479" t="str">
        <f t="shared" si="623"/>
        <v>3193</v>
      </c>
      <c r="AB1479" s="10"/>
      <c r="AC1479" s="10"/>
      <c r="AD1479" s="10"/>
      <c r="AE1479" s="10"/>
      <c r="AF1479" s="10"/>
      <c r="AG1479" s="10"/>
      <c r="AH1479" s="10"/>
      <c r="AI1479" s="10"/>
    </row>
    <row r="1480" spans="1:35">
      <c r="A1480" s="10"/>
      <c r="B1480" s="10" t="str">
        <f t="shared" si="622"/>
        <v>Below the Line2nd Unit</v>
      </c>
      <c r="C1480" t="s">
        <v>20</v>
      </c>
      <c r="D1480" t="s">
        <v>19</v>
      </c>
      <c r="E1480" t="s">
        <v>1419</v>
      </c>
      <c r="G1480" t="s">
        <v>881</v>
      </c>
      <c r="I1480" s="10"/>
      <c r="J1480" s="107">
        <f>SUMIF(Data!C:C,G1480,Data!Q:Q)</f>
        <v>0</v>
      </c>
      <c r="K1480" s="107">
        <f>SUMIF(Comprometidos!A:A,'Cost Report'!G1480,Comprometidos!E:E)</f>
        <v>0</v>
      </c>
      <c r="L1480" s="107">
        <f t="shared" si="625"/>
        <v>0</v>
      </c>
      <c r="M1480" s="107">
        <f t="shared" si="626"/>
        <v>0</v>
      </c>
      <c r="N1480" s="107">
        <f t="shared" si="627"/>
        <v>0</v>
      </c>
      <c r="O1480" s="107">
        <f>VLOOKUP(G1480,Budget!$E$3:$G$2474,3,0)</f>
        <v>0</v>
      </c>
      <c r="P1480" s="107">
        <f t="shared" si="628"/>
        <v>0</v>
      </c>
      <c r="Q1480" s="107"/>
      <c r="R1480" s="10"/>
      <c r="S1480" s="107">
        <v>0</v>
      </c>
      <c r="T1480" s="107">
        <f t="shared" si="624"/>
        <v>0</v>
      </c>
      <c r="U1480" s="107"/>
      <c r="V1480" s="175"/>
      <c r="W1480" s="10"/>
      <c r="X1480" s="10"/>
      <c r="Y1480" t="str">
        <f t="shared" si="623"/>
        <v>3193</v>
      </c>
      <c r="AB1480" s="10"/>
      <c r="AC1480" s="10"/>
      <c r="AD1480" s="10"/>
      <c r="AE1480" s="10"/>
      <c r="AF1480" s="10"/>
      <c r="AG1480" s="10"/>
      <c r="AH1480" s="10"/>
      <c r="AI1480" s="10"/>
    </row>
    <row r="1481" spans="1:35">
      <c r="A1481" s="10"/>
      <c r="B1481" s="10" t="str">
        <f t="shared" si="622"/>
        <v>Below the Line2nd Unit</v>
      </c>
      <c r="C1481" t="s">
        <v>20</v>
      </c>
      <c r="D1481" t="s">
        <v>19</v>
      </c>
      <c r="E1481" t="s">
        <v>1419</v>
      </c>
      <c r="G1481" t="s">
        <v>882</v>
      </c>
      <c r="I1481" s="10"/>
      <c r="J1481" s="107">
        <f>SUMIF(Data!C:C,G1481,Data!Q:Q)</f>
        <v>0</v>
      </c>
      <c r="K1481" s="107">
        <f>SUMIF(Comprometidos!A:A,'Cost Report'!G1481,Comprometidos!E:E)</f>
        <v>0</v>
      </c>
      <c r="L1481" s="107">
        <f t="shared" si="625"/>
        <v>0</v>
      </c>
      <c r="M1481" s="107">
        <f t="shared" si="626"/>
        <v>0</v>
      </c>
      <c r="N1481" s="107">
        <f t="shared" si="627"/>
        <v>0</v>
      </c>
      <c r="O1481" s="107">
        <f>VLOOKUP(G1481,Budget!$E$3:$G$2474,3,0)</f>
        <v>0</v>
      </c>
      <c r="P1481" s="107">
        <f t="shared" si="628"/>
        <v>0</v>
      </c>
      <c r="Q1481" s="107"/>
      <c r="R1481" s="10"/>
      <c r="S1481" s="107">
        <v>0</v>
      </c>
      <c r="T1481" s="107">
        <f t="shared" si="624"/>
        <v>0</v>
      </c>
      <c r="U1481" s="107"/>
      <c r="V1481" s="175"/>
      <c r="W1481" s="10"/>
      <c r="X1481" s="10"/>
      <c r="Y1481" t="str">
        <f t="shared" si="623"/>
        <v>3193</v>
      </c>
      <c r="AB1481" s="10"/>
      <c r="AC1481" s="10"/>
      <c r="AD1481" s="10"/>
      <c r="AE1481" s="10"/>
      <c r="AF1481" s="10"/>
      <c r="AG1481" s="10"/>
      <c r="AH1481" s="10"/>
      <c r="AI1481" s="10"/>
    </row>
    <row r="1482" spans="1:35">
      <c r="A1482" s="10"/>
      <c r="B1482" s="10" t="str">
        <f t="shared" si="622"/>
        <v>Below the Line2nd Unit</v>
      </c>
      <c r="C1482" t="s">
        <v>20</v>
      </c>
      <c r="D1482" t="s">
        <v>19</v>
      </c>
      <c r="E1482" t="s">
        <v>1419</v>
      </c>
      <c r="G1482" t="s">
        <v>883</v>
      </c>
      <c r="I1482" s="10"/>
      <c r="J1482" s="107">
        <f>SUMIF(Data!C:C,G1482,Data!Q:Q)</f>
        <v>0</v>
      </c>
      <c r="K1482" s="107">
        <f>SUMIF(Comprometidos!A:A,'Cost Report'!G1482,Comprometidos!E:E)</f>
        <v>0</v>
      </c>
      <c r="L1482" s="107">
        <f t="shared" si="625"/>
        <v>0</v>
      </c>
      <c r="M1482" s="107">
        <f t="shared" si="626"/>
        <v>0</v>
      </c>
      <c r="N1482" s="107">
        <f t="shared" si="627"/>
        <v>0</v>
      </c>
      <c r="O1482" s="107">
        <f>VLOOKUP(G1482,Budget!$E$3:$G$2474,3,0)</f>
        <v>0</v>
      </c>
      <c r="P1482" s="107">
        <f t="shared" si="628"/>
        <v>0</v>
      </c>
      <c r="Q1482" s="107"/>
      <c r="R1482" s="10"/>
      <c r="S1482" s="107">
        <v>0</v>
      </c>
      <c r="T1482" s="107">
        <f t="shared" si="624"/>
        <v>0</v>
      </c>
      <c r="U1482" s="107"/>
      <c r="V1482" s="175"/>
      <c r="W1482" s="10"/>
      <c r="X1482" s="10"/>
      <c r="Y1482" t="str">
        <f t="shared" si="623"/>
        <v>3193</v>
      </c>
      <c r="AB1482" s="10"/>
      <c r="AC1482" s="10"/>
      <c r="AD1482" s="10"/>
      <c r="AE1482" s="10"/>
      <c r="AF1482" s="10"/>
      <c r="AG1482" s="10"/>
      <c r="AH1482" s="10"/>
      <c r="AI1482" s="10"/>
    </row>
    <row r="1483" spans="1:35">
      <c r="A1483" s="10"/>
      <c r="B1483" s="10" t="str">
        <f t="shared" si="622"/>
        <v>Below the Line2nd Unit</v>
      </c>
      <c r="C1483" t="s">
        <v>20</v>
      </c>
      <c r="D1483" t="s">
        <v>19</v>
      </c>
      <c r="E1483" t="s">
        <v>1419</v>
      </c>
      <c r="G1483" t="s">
        <v>884</v>
      </c>
      <c r="I1483" s="10"/>
      <c r="J1483" s="107">
        <f>SUMIF(Data!C:C,G1483,Data!Q:Q)</f>
        <v>0</v>
      </c>
      <c r="K1483" s="107">
        <f>SUMIF(Comprometidos!A:A,'Cost Report'!G1483,Comprometidos!E:E)</f>
        <v>0</v>
      </c>
      <c r="L1483" s="107">
        <f t="shared" si="625"/>
        <v>0</v>
      </c>
      <c r="M1483" s="107">
        <f t="shared" si="626"/>
        <v>0</v>
      </c>
      <c r="N1483" s="107">
        <f t="shared" si="627"/>
        <v>0</v>
      </c>
      <c r="O1483" s="107">
        <f>VLOOKUP(G1483,Budget!$E$3:$G$2474,3,0)</f>
        <v>0</v>
      </c>
      <c r="P1483" s="107">
        <f t="shared" si="628"/>
        <v>0</v>
      </c>
      <c r="Q1483" s="107"/>
      <c r="R1483" s="10"/>
      <c r="S1483" s="107">
        <v>0</v>
      </c>
      <c r="T1483" s="107">
        <f t="shared" si="624"/>
        <v>0</v>
      </c>
      <c r="U1483" s="107"/>
      <c r="V1483" s="175"/>
      <c r="W1483" s="10"/>
      <c r="X1483" s="10"/>
      <c r="Y1483" t="str">
        <f t="shared" si="623"/>
        <v>3193</v>
      </c>
      <c r="AB1483" s="10"/>
      <c r="AC1483" s="10"/>
      <c r="AD1483" s="10"/>
      <c r="AE1483" s="10"/>
      <c r="AF1483" s="10"/>
      <c r="AG1483" s="10"/>
      <c r="AH1483" s="10"/>
      <c r="AI1483" s="10"/>
    </row>
    <row r="1484" spans="1:35">
      <c r="A1484" s="10"/>
      <c r="B1484" s="10" t="str">
        <f t="shared" si="622"/>
        <v>Below the Line2nd Unit</v>
      </c>
      <c r="C1484" t="s">
        <v>20</v>
      </c>
      <c r="D1484" t="s">
        <v>19</v>
      </c>
      <c r="E1484" t="s">
        <v>1419</v>
      </c>
      <c r="G1484" t="s">
        <v>885</v>
      </c>
      <c r="I1484" s="10"/>
      <c r="J1484" s="107">
        <f>SUMIF(Data!C:C,G1484,Data!Q:Q)</f>
        <v>0</v>
      </c>
      <c r="K1484" s="107">
        <f>SUMIF(Comprometidos!A:A,'Cost Report'!G1484,Comprometidos!E:E)</f>
        <v>0</v>
      </c>
      <c r="L1484" s="107">
        <f t="shared" si="625"/>
        <v>0</v>
      </c>
      <c r="M1484" s="107">
        <f t="shared" si="626"/>
        <v>0</v>
      </c>
      <c r="N1484" s="107">
        <f t="shared" si="627"/>
        <v>0</v>
      </c>
      <c r="O1484" s="107">
        <f>VLOOKUP(G1484,Budget!$E$3:$G$2474,3,0)</f>
        <v>0</v>
      </c>
      <c r="P1484" s="107">
        <f t="shared" si="628"/>
        <v>0</v>
      </c>
      <c r="Q1484" s="107"/>
      <c r="R1484" s="10"/>
      <c r="S1484" s="107">
        <v>0</v>
      </c>
      <c r="T1484" s="107">
        <f t="shared" si="624"/>
        <v>0</v>
      </c>
      <c r="U1484" s="107"/>
      <c r="V1484" s="175"/>
      <c r="W1484" s="10"/>
      <c r="X1484" s="10"/>
      <c r="Y1484" t="str">
        <f t="shared" si="623"/>
        <v>3193</v>
      </c>
      <c r="AB1484" s="10"/>
      <c r="AC1484" s="10"/>
      <c r="AD1484" s="10"/>
      <c r="AE1484" s="10"/>
      <c r="AF1484" s="10"/>
      <c r="AG1484" s="10"/>
      <c r="AH1484" s="10"/>
      <c r="AI1484" s="10"/>
    </row>
    <row r="1485" spans="1:35">
      <c r="A1485" s="10"/>
      <c r="B1485" s="10" t="str">
        <f t="shared" si="622"/>
        <v>Below the Line2nd Unit</v>
      </c>
      <c r="C1485" t="s">
        <v>20</v>
      </c>
      <c r="D1485" t="s">
        <v>19</v>
      </c>
      <c r="E1485" t="s">
        <v>1419</v>
      </c>
      <c r="G1485" t="s">
        <v>886</v>
      </c>
      <c r="I1485" s="10"/>
      <c r="J1485" s="107">
        <f>SUMIF(Data!C:C,G1485,Data!Q:Q)</f>
        <v>0</v>
      </c>
      <c r="K1485" s="107">
        <f>SUMIF(Comprometidos!A:A,'Cost Report'!G1485,Comprometidos!E:E)</f>
        <v>0</v>
      </c>
      <c r="L1485" s="107">
        <f t="shared" si="625"/>
        <v>0</v>
      </c>
      <c r="M1485" s="107">
        <f t="shared" si="626"/>
        <v>0</v>
      </c>
      <c r="N1485" s="107">
        <f t="shared" si="627"/>
        <v>0</v>
      </c>
      <c r="O1485" s="107">
        <f>VLOOKUP(G1485,Budget!$E$3:$G$2474,3,0)</f>
        <v>0</v>
      </c>
      <c r="P1485" s="107">
        <f t="shared" si="628"/>
        <v>0</v>
      </c>
      <c r="Q1485" s="107"/>
      <c r="R1485" s="10"/>
      <c r="S1485" s="107">
        <v>0</v>
      </c>
      <c r="T1485" s="107">
        <f t="shared" si="624"/>
        <v>0</v>
      </c>
      <c r="U1485" s="107"/>
      <c r="V1485" s="175"/>
      <c r="W1485" s="10"/>
      <c r="X1485" s="10"/>
      <c r="Y1485" t="str">
        <f t="shared" si="623"/>
        <v>3193</v>
      </c>
      <c r="AB1485" s="10"/>
      <c r="AC1485" s="10"/>
      <c r="AD1485" s="10"/>
      <c r="AE1485" s="10"/>
      <c r="AF1485" s="10"/>
      <c r="AG1485" s="10"/>
      <c r="AH1485" s="10"/>
      <c r="AI1485" s="10"/>
    </row>
    <row r="1486" spans="1:35">
      <c r="A1486" s="10"/>
      <c r="B1486" s="10" t="str">
        <f t="shared" si="622"/>
        <v>Below the Line2nd Unit</v>
      </c>
      <c r="C1486" t="s">
        <v>20</v>
      </c>
      <c r="D1486" t="s">
        <v>19</v>
      </c>
      <c r="E1486" t="s">
        <v>1419</v>
      </c>
      <c r="G1486" t="s">
        <v>887</v>
      </c>
      <c r="I1486" s="10"/>
      <c r="J1486" s="107">
        <f>SUMIF(Data!C:C,G1486,Data!Q:Q)</f>
        <v>0</v>
      </c>
      <c r="K1486" s="107">
        <f>SUMIF(Comprometidos!A:A,'Cost Report'!G1486,Comprometidos!E:E)</f>
        <v>0</v>
      </c>
      <c r="L1486" s="107">
        <f t="shared" si="625"/>
        <v>0</v>
      </c>
      <c r="M1486" s="107">
        <f t="shared" si="626"/>
        <v>0</v>
      </c>
      <c r="N1486" s="107">
        <f t="shared" si="627"/>
        <v>0</v>
      </c>
      <c r="O1486" s="107">
        <f>VLOOKUP(G1486,Budget!$E$3:$G$2474,3,0)</f>
        <v>0</v>
      </c>
      <c r="P1486" s="107">
        <f t="shared" si="628"/>
        <v>0</v>
      </c>
      <c r="Q1486" s="107"/>
      <c r="R1486" s="10"/>
      <c r="S1486" s="107">
        <v>0</v>
      </c>
      <c r="T1486" s="107">
        <f t="shared" si="624"/>
        <v>0</v>
      </c>
      <c r="U1486" s="107"/>
      <c r="V1486" s="175"/>
      <c r="W1486" s="10"/>
      <c r="X1486" s="10"/>
      <c r="Y1486" t="str">
        <f t="shared" si="623"/>
        <v>3193</v>
      </c>
      <c r="AB1486" s="10"/>
      <c r="AC1486" s="10"/>
      <c r="AD1486" s="10"/>
      <c r="AE1486" s="10"/>
      <c r="AF1486" s="10"/>
      <c r="AG1486" s="10"/>
      <c r="AH1486" s="10"/>
      <c r="AI1486" s="10"/>
    </row>
    <row r="1487" spans="1:35">
      <c r="A1487" s="10"/>
      <c r="B1487" s="10" t="str">
        <f t="shared" si="622"/>
        <v>Below the Line2nd Unit</v>
      </c>
      <c r="C1487" t="s">
        <v>20</v>
      </c>
      <c r="D1487" t="s">
        <v>19</v>
      </c>
      <c r="E1487" t="s">
        <v>1419</v>
      </c>
      <c r="G1487" t="s">
        <v>888</v>
      </c>
      <c r="I1487" s="10"/>
      <c r="J1487" s="107">
        <f>SUMIF(Data!C:C,G1487,Data!Q:Q)</f>
        <v>0</v>
      </c>
      <c r="K1487" s="107">
        <f>SUMIF(Comprometidos!A:A,'Cost Report'!G1487,Comprometidos!E:E)</f>
        <v>0</v>
      </c>
      <c r="L1487" s="107">
        <f t="shared" si="625"/>
        <v>0</v>
      </c>
      <c r="M1487" s="107">
        <f t="shared" si="626"/>
        <v>0</v>
      </c>
      <c r="N1487" s="107">
        <f t="shared" si="627"/>
        <v>0</v>
      </c>
      <c r="O1487" s="107">
        <f>VLOOKUP(G1487,Budget!$E$3:$G$2474,3,0)</f>
        <v>0</v>
      </c>
      <c r="P1487" s="107">
        <f t="shared" si="628"/>
        <v>0</v>
      </c>
      <c r="Q1487" s="107"/>
      <c r="R1487" s="10"/>
      <c r="S1487" s="107">
        <v>0</v>
      </c>
      <c r="T1487" s="107">
        <f t="shared" si="624"/>
        <v>0</v>
      </c>
      <c r="U1487" s="107"/>
      <c r="V1487" s="175"/>
      <c r="W1487" s="10"/>
      <c r="X1487" s="10"/>
      <c r="Y1487" t="str">
        <f t="shared" si="623"/>
        <v>3193</v>
      </c>
      <c r="AB1487" s="10"/>
      <c r="AC1487" s="10"/>
      <c r="AD1487" s="10"/>
      <c r="AE1487" s="10"/>
      <c r="AF1487" s="10"/>
      <c r="AG1487" s="10"/>
      <c r="AH1487" s="10"/>
      <c r="AI1487" s="10"/>
    </row>
    <row r="1488" spans="1:35">
      <c r="A1488" s="10"/>
      <c r="B1488" s="10" t="str">
        <f t="shared" si="622"/>
        <v>Below the Line2nd Unit</v>
      </c>
      <c r="C1488" t="s">
        <v>20</v>
      </c>
      <c r="D1488" t="s">
        <v>19</v>
      </c>
      <c r="E1488" t="s">
        <v>1419</v>
      </c>
      <c r="G1488" t="s">
        <v>889</v>
      </c>
      <c r="I1488" s="10"/>
      <c r="J1488" s="107">
        <f>SUMIF(Data!C:C,G1488,Data!Q:Q)</f>
        <v>0</v>
      </c>
      <c r="K1488" s="107">
        <f>SUMIF(Comprometidos!A:A,'Cost Report'!G1488,Comprometidos!E:E)</f>
        <v>0</v>
      </c>
      <c r="L1488" s="107">
        <f t="shared" si="625"/>
        <v>0</v>
      </c>
      <c r="M1488" s="107">
        <f t="shared" si="626"/>
        <v>0</v>
      </c>
      <c r="N1488" s="107">
        <f t="shared" si="627"/>
        <v>0</v>
      </c>
      <c r="O1488" s="107">
        <f>VLOOKUP(G1488,Budget!$E$3:$G$2474,3,0)</f>
        <v>0</v>
      </c>
      <c r="P1488" s="107">
        <f t="shared" si="628"/>
        <v>0</v>
      </c>
      <c r="Q1488" s="107"/>
      <c r="R1488" s="10"/>
      <c r="S1488" s="107">
        <v>0</v>
      </c>
      <c r="T1488" s="107">
        <f t="shared" si="624"/>
        <v>0</v>
      </c>
      <c r="U1488" s="107"/>
      <c r="V1488" s="175"/>
      <c r="W1488" s="10"/>
      <c r="X1488" s="10"/>
      <c r="Y1488" t="str">
        <f t="shared" si="623"/>
        <v>3193</v>
      </c>
      <c r="AB1488" s="10"/>
      <c r="AC1488" s="10"/>
      <c r="AD1488" s="10"/>
      <c r="AE1488" s="10"/>
      <c r="AF1488" s="10"/>
      <c r="AG1488" s="10"/>
      <c r="AH1488" s="10"/>
      <c r="AI1488" s="10"/>
    </row>
    <row r="1489" spans="1:35">
      <c r="A1489" s="10"/>
      <c r="B1489" s="10" t="str">
        <f t="shared" si="622"/>
        <v>Below the Line2nd Unit</v>
      </c>
      <c r="C1489" t="s">
        <v>20</v>
      </c>
      <c r="D1489" t="s">
        <v>19</v>
      </c>
      <c r="E1489" t="s">
        <v>1419</v>
      </c>
      <c r="G1489" t="s">
        <v>890</v>
      </c>
      <c r="I1489" s="10"/>
      <c r="J1489" s="107">
        <f>SUMIF(Data!C:C,G1489,Data!Q:Q)</f>
        <v>0</v>
      </c>
      <c r="K1489" s="107">
        <f>SUMIF(Comprometidos!A:A,'Cost Report'!G1489,Comprometidos!E:E)</f>
        <v>0</v>
      </c>
      <c r="L1489" s="107">
        <f t="shared" si="625"/>
        <v>0</v>
      </c>
      <c r="M1489" s="107">
        <f t="shared" si="626"/>
        <v>0</v>
      </c>
      <c r="N1489" s="107">
        <f t="shared" si="627"/>
        <v>0</v>
      </c>
      <c r="O1489" s="107">
        <f>VLOOKUP(G1489,Budget!$E$3:$G$2474,3,0)</f>
        <v>0</v>
      </c>
      <c r="P1489" s="107">
        <f t="shared" si="628"/>
        <v>0</v>
      </c>
      <c r="Q1489" s="107"/>
      <c r="R1489" s="10"/>
      <c r="S1489" s="107">
        <v>0</v>
      </c>
      <c r="T1489" s="107">
        <f t="shared" si="624"/>
        <v>0</v>
      </c>
      <c r="U1489" s="107"/>
      <c r="V1489" s="175"/>
      <c r="W1489" s="10"/>
      <c r="X1489" s="10"/>
      <c r="Y1489" t="str">
        <f t="shared" si="623"/>
        <v>3193</v>
      </c>
      <c r="AB1489" s="10"/>
      <c r="AC1489" s="10"/>
      <c r="AD1489" s="10"/>
      <c r="AE1489" s="10"/>
      <c r="AF1489" s="10"/>
      <c r="AG1489" s="10"/>
      <c r="AH1489" s="10"/>
      <c r="AI1489" s="10"/>
    </row>
    <row r="1490" spans="1:35">
      <c r="A1490" s="10"/>
      <c r="B1490" s="10" t="str">
        <f t="shared" si="622"/>
        <v>Below the Line2nd Unit</v>
      </c>
      <c r="C1490" t="s">
        <v>20</v>
      </c>
      <c r="D1490" t="s">
        <v>19</v>
      </c>
      <c r="E1490" t="s">
        <v>1419</v>
      </c>
      <c r="G1490" t="s">
        <v>891</v>
      </c>
      <c r="I1490" s="10"/>
      <c r="J1490" s="107">
        <f>SUMIF(Data!C:C,G1490,Data!Q:Q)</f>
        <v>0</v>
      </c>
      <c r="K1490" s="107">
        <f>SUMIF(Comprometidos!A:A,'Cost Report'!G1490,Comprometidos!E:E)</f>
        <v>0</v>
      </c>
      <c r="L1490" s="107">
        <f t="shared" si="625"/>
        <v>0</v>
      </c>
      <c r="M1490" s="107">
        <f t="shared" si="626"/>
        <v>0</v>
      </c>
      <c r="N1490" s="107">
        <f t="shared" si="627"/>
        <v>0</v>
      </c>
      <c r="O1490" s="107">
        <f>VLOOKUP(G1490,Budget!$E$3:$G$2474,3,0)</f>
        <v>0</v>
      </c>
      <c r="P1490" s="107">
        <f t="shared" si="628"/>
        <v>0</v>
      </c>
      <c r="Q1490" s="107"/>
      <c r="R1490" s="10"/>
      <c r="S1490" s="107">
        <v>0</v>
      </c>
      <c r="T1490" s="107">
        <f t="shared" si="624"/>
        <v>0</v>
      </c>
      <c r="U1490" s="107"/>
      <c r="V1490" s="175"/>
      <c r="W1490" s="10"/>
      <c r="X1490" s="10"/>
      <c r="Y1490" t="str">
        <f t="shared" si="623"/>
        <v>3193</v>
      </c>
      <c r="AB1490" s="10"/>
      <c r="AC1490" s="10"/>
      <c r="AD1490" s="10"/>
      <c r="AE1490" s="10"/>
      <c r="AF1490" s="10"/>
      <c r="AG1490" s="10"/>
      <c r="AH1490" s="10"/>
      <c r="AI1490" s="10"/>
    </row>
    <row r="1491" spans="1:35">
      <c r="A1491" s="10"/>
      <c r="B1491" s="10" t="str">
        <f t="shared" ref="B1491:B1525" si="629">+C1491&amp;E1491</f>
        <v>Below the Line2nd Unit</v>
      </c>
      <c r="C1491" t="s">
        <v>20</v>
      </c>
      <c r="D1491" t="s">
        <v>19</v>
      </c>
      <c r="E1491" t="s">
        <v>1419</v>
      </c>
      <c r="G1491" t="s">
        <v>892</v>
      </c>
      <c r="I1491" s="10"/>
      <c r="J1491" s="107">
        <f>SUMIF(Data!C:C,G1491,Data!Q:Q)</f>
        <v>0</v>
      </c>
      <c r="K1491" s="107">
        <f>SUMIF(Comprometidos!A:A,'Cost Report'!G1491,Comprometidos!E:E)</f>
        <v>0</v>
      </c>
      <c r="L1491" s="107">
        <f t="shared" si="625"/>
        <v>0</v>
      </c>
      <c r="M1491" s="107">
        <f t="shared" si="626"/>
        <v>0</v>
      </c>
      <c r="N1491" s="107">
        <f t="shared" si="627"/>
        <v>0</v>
      </c>
      <c r="O1491" s="107">
        <f>VLOOKUP(G1491,Budget!$E$3:$G$2474,3,0)</f>
        <v>0</v>
      </c>
      <c r="P1491" s="107">
        <f t="shared" si="628"/>
        <v>0</v>
      </c>
      <c r="Q1491" s="107"/>
      <c r="R1491" s="10"/>
      <c r="S1491" s="107">
        <v>0</v>
      </c>
      <c r="T1491" s="107">
        <f t="shared" si="624"/>
        <v>0</v>
      </c>
      <c r="U1491" s="107"/>
      <c r="V1491" s="175"/>
      <c r="W1491" s="10"/>
      <c r="X1491" s="10"/>
      <c r="Y1491" t="str">
        <f t="shared" ref="Y1491:Y1523" si="630">LEFT(G1491,4)</f>
        <v>3193</v>
      </c>
      <c r="AB1491" s="10"/>
      <c r="AC1491" s="10"/>
      <c r="AD1491" s="10"/>
      <c r="AE1491" s="10"/>
      <c r="AF1491" s="10"/>
      <c r="AG1491" s="10"/>
      <c r="AH1491" s="10"/>
      <c r="AI1491" s="10"/>
    </row>
    <row r="1492" spans="1:35">
      <c r="A1492" s="10"/>
      <c r="B1492" s="10" t="str">
        <f t="shared" si="629"/>
        <v>Below the Line2nd Unit</v>
      </c>
      <c r="C1492" t="s">
        <v>20</v>
      </c>
      <c r="D1492" t="s">
        <v>19</v>
      </c>
      <c r="E1492" t="s">
        <v>1419</v>
      </c>
      <c r="G1492" t="s">
        <v>893</v>
      </c>
      <c r="I1492" s="10"/>
      <c r="J1492" s="107">
        <f>SUMIF(Data!C:C,G1492,Data!Q:Q)</f>
        <v>0</v>
      </c>
      <c r="K1492" s="107">
        <f>SUMIF(Comprometidos!A:A,'Cost Report'!G1492,Comprometidos!E:E)</f>
        <v>0</v>
      </c>
      <c r="L1492" s="107">
        <f t="shared" si="625"/>
        <v>0</v>
      </c>
      <c r="M1492" s="107">
        <f t="shared" si="626"/>
        <v>0</v>
      </c>
      <c r="N1492" s="107">
        <f t="shared" si="627"/>
        <v>0</v>
      </c>
      <c r="O1492" s="107">
        <f>VLOOKUP(G1492,Budget!$E$3:$G$2474,3,0)</f>
        <v>0</v>
      </c>
      <c r="P1492" s="107">
        <f t="shared" si="628"/>
        <v>0</v>
      </c>
      <c r="Q1492" s="107"/>
      <c r="R1492" s="10"/>
      <c r="S1492" s="107">
        <v>0</v>
      </c>
      <c r="T1492" s="107">
        <f t="shared" si="624"/>
        <v>0</v>
      </c>
      <c r="U1492" s="107"/>
      <c r="V1492" s="175"/>
      <c r="W1492" s="10"/>
      <c r="X1492" s="10"/>
      <c r="Y1492" t="str">
        <f t="shared" si="630"/>
        <v>3193</v>
      </c>
      <c r="AB1492" s="10"/>
      <c r="AC1492" s="10"/>
      <c r="AD1492" s="10"/>
      <c r="AE1492" s="10"/>
      <c r="AF1492" s="10"/>
      <c r="AG1492" s="10"/>
      <c r="AH1492" s="10"/>
      <c r="AI1492" s="10"/>
    </row>
    <row r="1493" spans="1:35">
      <c r="A1493" s="10"/>
      <c r="B1493" s="10" t="str">
        <f t="shared" si="629"/>
        <v>Below the Line2nd Unit</v>
      </c>
      <c r="C1493" t="s">
        <v>20</v>
      </c>
      <c r="D1493" t="s">
        <v>19</v>
      </c>
      <c r="E1493" t="s">
        <v>1419</v>
      </c>
      <c r="G1493" t="s">
        <v>894</v>
      </c>
      <c r="I1493" s="10"/>
      <c r="J1493" s="107">
        <f>SUMIF(Data!C:C,G1493,Data!Q:Q)</f>
        <v>0</v>
      </c>
      <c r="K1493" s="107">
        <f>SUMIF(Comprometidos!A:A,'Cost Report'!G1493,Comprometidos!E:E)</f>
        <v>0</v>
      </c>
      <c r="L1493" s="107">
        <f t="shared" si="625"/>
        <v>0</v>
      </c>
      <c r="M1493" s="107">
        <f t="shared" si="626"/>
        <v>0</v>
      </c>
      <c r="N1493" s="107">
        <f t="shared" si="627"/>
        <v>0</v>
      </c>
      <c r="O1493" s="107">
        <f>VLOOKUP(G1493,Budget!$E$3:$G$2474,3,0)</f>
        <v>0</v>
      </c>
      <c r="P1493" s="107">
        <f t="shared" si="628"/>
        <v>0</v>
      </c>
      <c r="Q1493" s="107"/>
      <c r="R1493" s="10"/>
      <c r="S1493" s="107">
        <v>0</v>
      </c>
      <c r="T1493" s="107">
        <f t="shared" si="624"/>
        <v>0</v>
      </c>
      <c r="U1493" s="107"/>
      <c r="V1493" s="175"/>
      <c r="W1493" s="10"/>
      <c r="X1493" s="10"/>
      <c r="Y1493" t="str">
        <f t="shared" si="630"/>
        <v>3193</v>
      </c>
      <c r="AB1493" s="10"/>
      <c r="AC1493" s="10"/>
      <c r="AD1493" s="10"/>
      <c r="AE1493" s="10"/>
      <c r="AF1493" s="10"/>
      <c r="AG1493" s="10"/>
      <c r="AH1493" s="10"/>
      <c r="AI1493" s="10"/>
    </row>
    <row r="1494" spans="1:35">
      <c r="A1494" s="10"/>
      <c r="B1494" s="10" t="str">
        <f t="shared" si="629"/>
        <v>Below the Line2nd Unit</v>
      </c>
      <c r="C1494" t="s">
        <v>20</v>
      </c>
      <c r="D1494" t="s">
        <v>19</v>
      </c>
      <c r="E1494" t="s">
        <v>1419</v>
      </c>
      <c r="G1494" t="s">
        <v>895</v>
      </c>
      <c r="I1494" s="10"/>
      <c r="J1494" s="107">
        <f>SUMIF(Data!C:C,G1494,Data!Q:Q)</f>
        <v>0</v>
      </c>
      <c r="K1494" s="107">
        <f>SUMIF(Comprometidos!A:A,'Cost Report'!G1494,Comprometidos!E:E)</f>
        <v>0</v>
      </c>
      <c r="L1494" s="107">
        <f t="shared" si="625"/>
        <v>0</v>
      </c>
      <c r="M1494" s="107">
        <f t="shared" si="626"/>
        <v>0</v>
      </c>
      <c r="N1494" s="107">
        <f t="shared" si="627"/>
        <v>0</v>
      </c>
      <c r="O1494" s="107">
        <f>VLOOKUP(G1494,Budget!$E$3:$G$2474,3,0)</f>
        <v>0</v>
      </c>
      <c r="P1494" s="107">
        <f t="shared" si="628"/>
        <v>0</v>
      </c>
      <c r="Q1494" s="107"/>
      <c r="R1494" s="10"/>
      <c r="S1494" s="107">
        <v>0</v>
      </c>
      <c r="T1494" s="107">
        <f t="shared" si="624"/>
        <v>0</v>
      </c>
      <c r="U1494" s="107"/>
      <c r="V1494" s="175"/>
      <c r="W1494" s="10"/>
      <c r="X1494" s="10"/>
      <c r="Y1494" t="str">
        <f t="shared" si="630"/>
        <v>3193</v>
      </c>
      <c r="AB1494" s="10"/>
      <c r="AC1494" s="10"/>
      <c r="AD1494" s="10"/>
      <c r="AE1494" s="10"/>
      <c r="AF1494" s="10"/>
      <c r="AG1494" s="10"/>
      <c r="AH1494" s="10"/>
      <c r="AI1494" s="10"/>
    </row>
    <row r="1495" spans="1:35">
      <c r="A1495" s="10"/>
      <c r="B1495" s="10" t="str">
        <f t="shared" si="629"/>
        <v>Below the Line2nd Unit</v>
      </c>
      <c r="C1495" t="s">
        <v>20</v>
      </c>
      <c r="D1495" t="s">
        <v>19</v>
      </c>
      <c r="E1495" t="s">
        <v>1419</v>
      </c>
      <c r="G1495" t="s">
        <v>896</v>
      </c>
      <c r="I1495" s="10"/>
      <c r="J1495" s="107">
        <f>SUMIF(Data!C:C,G1495,Data!Q:Q)</f>
        <v>0</v>
      </c>
      <c r="K1495" s="107">
        <f>SUMIF(Comprometidos!A:A,'Cost Report'!G1495,Comprometidos!E:E)</f>
        <v>0</v>
      </c>
      <c r="L1495" s="107">
        <f t="shared" si="625"/>
        <v>0</v>
      </c>
      <c r="M1495" s="107">
        <f t="shared" si="626"/>
        <v>0</v>
      </c>
      <c r="N1495" s="107">
        <f t="shared" si="627"/>
        <v>0</v>
      </c>
      <c r="O1495" s="107">
        <f>VLOOKUP(G1495,Budget!$E$3:$G$2474,3,0)</f>
        <v>0</v>
      </c>
      <c r="P1495" s="107">
        <f t="shared" si="628"/>
        <v>0</v>
      </c>
      <c r="Q1495" s="107"/>
      <c r="R1495" s="10"/>
      <c r="S1495" s="107">
        <v>0</v>
      </c>
      <c r="T1495" s="107">
        <f t="shared" si="624"/>
        <v>0</v>
      </c>
      <c r="U1495" s="107"/>
      <c r="V1495" s="175"/>
      <c r="W1495" s="10"/>
      <c r="X1495" s="10"/>
      <c r="Y1495" t="str">
        <f t="shared" si="630"/>
        <v>3193</v>
      </c>
      <c r="AB1495" s="10"/>
      <c r="AC1495" s="10"/>
      <c r="AD1495" s="10"/>
      <c r="AE1495" s="10"/>
      <c r="AF1495" s="10"/>
      <c r="AG1495" s="10"/>
      <c r="AH1495" s="10"/>
      <c r="AI1495" s="10"/>
    </row>
    <row r="1496" spans="1:35">
      <c r="A1496" s="10"/>
      <c r="B1496" s="10" t="str">
        <f t="shared" si="629"/>
        <v>Below the Line2nd Unit</v>
      </c>
      <c r="C1496" t="s">
        <v>20</v>
      </c>
      <c r="D1496" t="s">
        <v>19</v>
      </c>
      <c r="E1496" t="s">
        <v>1419</v>
      </c>
      <c r="G1496" t="s">
        <v>897</v>
      </c>
      <c r="I1496" s="10"/>
      <c r="J1496" s="107">
        <f>SUMIF(Data!C:C,G1496,Data!Q:Q)</f>
        <v>0</v>
      </c>
      <c r="K1496" s="107">
        <f>SUMIF(Comprometidos!A:A,'Cost Report'!G1496,Comprometidos!E:E)</f>
        <v>0</v>
      </c>
      <c r="L1496" s="107">
        <f t="shared" si="625"/>
        <v>0</v>
      </c>
      <c r="M1496" s="107">
        <f t="shared" si="626"/>
        <v>0</v>
      </c>
      <c r="N1496" s="107">
        <f t="shared" si="627"/>
        <v>0</v>
      </c>
      <c r="O1496" s="107">
        <f>VLOOKUP(G1496,Budget!$E$3:$G$2474,3,0)</f>
        <v>0</v>
      </c>
      <c r="P1496" s="107">
        <f t="shared" si="628"/>
        <v>0</v>
      </c>
      <c r="Q1496" s="107"/>
      <c r="R1496" s="10"/>
      <c r="S1496" s="107">
        <v>0</v>
      </c>
      <c r="T1496" s="107">
        <f t="shared" ref="T1496:T1561" si="631">+S1496-N1496</f>
        <v>0</v>
      </c>
      <c r="U1496" s="107"/>
      <c r="V1496" s="175"/>
      <c r="W1496" s="10"/>
      <c r="X1496" s="10"/>
      <c r="Y1496" t="str">
        <f t="shared" si="630"/>
        <v>3193</v>
      </c>
      <c r="AB1496" s="10"/>
      <c r="AC1496" s="10"/>
      <c r="AD1496" s="10"/>
      <c r="AE1496" s="10"/>
      <c r="AF1496" s="10"/>
      <c r="AG1496" s="10"/>
      <c r="AH1496" s="10"/>
      <c r="AI1496" s="10"/>
    </row>
    <row r="1497" spans="1:35">
      <c r="A1497" s="10"/>
      <c r="B1497" s="10" t="str">
        <f t="shared" si="629"/>
        <v>Below the Line2nd Unit</v>
      </c>
      <c r="C1497" t="s">
        <v>20</v>
      </c>
      <c r="D1497" t="s">
        <v>19</v>
      </c>
      <c r="E1497" t="s">
        <v>1419</v>
      </c>
      <c r="G1497" t="s">
        <v>898</v>
      </c>
      <c r="I1497" s="10"/>
      <c r="J1497" s="107">
        <f>SUMIF(Data!C:C,G1497,Data!Q:Q)</f>
        <v>0</v>
      </c>
      <c r="K1497" s="107">
        <f>SUMIF(Comprometidos!A:A,'Cost Report'!G1497,Comprometidos!E:E)</f>
        <v>0</v>
      </c>
      <c r="L1497" s="107">
        <f t="shared" si="625"/>
        <v>0</v>
      </c>
      <c r="M1497" s="107">
        <f t="shared" si="626"/>
        <v>0</v>
      </c>
      <c r="N1497" s="107">
        <f t="shared" si="627"/>
        <v>0</v>
      </c>
      <c r="O1497" s="107">
        <f>VLOOKUP(G1497,Budget!$E$3:$G$2474,3,0)</f>
        <v>0</v>
      </c>
      <c r="P1497" s="107">
        <f t="shared" si="628"/>
        <v>0</v>
      </c>
      <c r="Q1497" s="107"/>
      <c r="R1497" s="10"/>
      <c r="S1497" s="107">
        <v>0</v>
      </c>
      <c r="T1497" s="107">
        <f t="shared" si="631"/>
        <v>0</v>
      </c>
      <c r="U1497" s="107"/>
      <c r="V1497" s="175"/>
      <c r="W1497" s="10"/>
      <c r="X1497" s="10"/>
      <c r="Y1497" t="str">
        <f t="shared" si="630"/>
        <v>3193</v>
      </c>
      <c r="AB1497" s="10"/>
      <c r="AC1497" s="10"/>
      <c r="AD1497" s="10"/>
      <c r="AE1497" s="10"/>
      <c r="AF1497" s="10"/>
      <c r="AG1497" s="10"/>
      <c r="AH1497" s="10"/>
      <c r="AI1497" s="10"/>
    </row>
    <row r="1498" spans="1:35">
      <c r="A1498" s="10"/>
      <c r="B1498" s="10" t="str">
        <f t="shared" si="629"/>
        <v>Below the Line2nd Unit</v>
      </c>
      <c r="C1498" t="s">
        <v>20</v>
      </c>
      <c r="D1498" t="s">
        <v>19</v>
      </c>
      <c r="E1498" t="s">
        <v>1419</v>
      </c>
      <c r="G1498" t="s">
        <v>899</v>
      </c>
      <c r="I1498" s="10"/>
      <c r="J1498" s="107">
        <f>SUMIF(Data!C:C,G1498,Data!Q:Q)</f>
        <v>0</v>
      </c>
      <c r="K1498" s="107">
        <f>SUMIF(Comprometidos!A:A,'Cost Report'!G1498,Comprometidos!E:E)</f>
        <v>0</v>
      </c>
      <c r="L1498" s="107">
        <f t="shared" si="625"/>
        <v>0</v>
      </c>
      <c r="M1498" s="107">
        <f t="shared" si="626"/>
        <v>0</v>
      </c>
      <c r="N1498" s="107">
        <f t="shared" si="627"/>
        <v>0</v>
      </c>
      <c r="O1498" s="107">
        <f>VLOOKUP(G1498,Budget!$E$3:$G$2474,3,0)</f>
        <v>0</v>
      </c>
      <c r="P1498" s="107">
        <f t="shared" si="628"/>
        <v>0</v>
      </c>
      <c r="Q1498" s="107"/>
      <c r="R1498" s="10"/>
      <c r="S1498" s="107">
        <v>0</v>
      </c>
      <c r="T1498" s="107">
        <f t="shared" si="631"/>
        <v>0</v>
      </c>
      <c r="U1498" s="107"/>
      <c r="V1498" s="175"/>
      <c r="W1498" s="10"/>
      <c r="X1498" s="10"/>
      <c r="Y1498" t="str">
        <f t="shared" si="630"/>
        <v>3193</v>
      </c>
      <c r="AB1498" s="10"/>
      <c r="AC1498" s="10"/>
      <c r="AD1498" s="10"/>
      <c r="AE1498" s="10"/>
      <c r="AF1498" s="10"/>
      <c r="AG1498" s="10"/>
      <c r="AH1498" s="10"/>
      <c r="AI1498" s="10"/>
    </row>
    <row r="1499" spans="1:35">
      <c r="A1499" s="10"/>
      <c r="B1499" s="10" t="str">
        <f t="shared" si="629"/>
        <v>Below the Line2nd Unit</v>
      </c>
      <c r="C1499" t="s">
        <v>20</v>
      </c>
      <c r="D1499" t="s">
        <v>19</v>
      </c>
      <c r="E1499" t="s">
        <v>1419</v>
      </c>
      <c r="G1499" t="s">
        <v>900</v>
      </c>
      <c r="I1499" s="10"/>
      <c r="J1499" s="107">
        <f>SUMIF(Data!C:C,G1499,Data!Q:Q)</f>
        <v>0</v>
      </c>
      <c r="K1499" s="107">
        <f>SUMIF(Comprometidos!A:A,'Cost Report'!G1499,Comprometidos!E:E)</f>
        <v>0</v>
      </c>
      <c r="L1499" s="107">
        <f t="shared" si="625"/>
        <v>0</v>
      </c>
      <c r="M1499" s="107">
        <f t="shared" si="626"/>
        <v>0</v>
      </c>
      <c r="N1499" s="107">
        <f t="shared" si="627"/>
        <v>0</v>
      </c>
      <c r="O1499" s="107">
        <f>VLOOKUP(G1499,Budget!$E$3:$G$2474,3,0)</f>
        <v>0</v>
      </c>
      <c r="P1499" s="107">
        <f t="shared" si="628"/>
        <v>0</v>
      </c>
      <c r="Q1499" s="107"/>
      <c r="R1499" s="10"/>
      <c r="S1499" s="107">
        <v>0</v>
      </c>
      <c r="T1499" s="107">
        <f t="shared" si="631"/>
        <v>0</v>
      </c>
      <c r="U1499" s="107"/>
      <c r="V1499" s="175"/>
      <c r="W1499" s="10"/>
      <c r="X1499" s="10"/>
      <c r="Y1499" t="str">
        <f t="shared" si="630"/>
        <v>3193</v>
      </c>
      <c r="AB1499" s="10"/>
      <c r="AC1499" s="10"/>
      <c r="AD1499" s="10"/>
      <c r="AE1499" s="10"/>
      <c r="AF1499" s="10"/>
      <c r="AG1499" s="10"/>
      <c r="AH1499" s="10"/>
      <c r="AI1499" s="10"/>
    </row>
    <row r="1500" spans="1:35">
      <c r="A1500" s="10"/>
      <c r="B1500" s="10" t="str">
        <f t="shared" si="629"/>
        <v>Below the Line2nd Unit</v>
      </c>
      <c r="C1500" t="s">
        <v>20</v>
      </c>
      <c r="D1500" t="s">
        <v>19</v>
      </c>
      <c r="E1500" t="s">
        <v>1419</v>
      </c>
      <c r="G1500" t="s">
        <v>901</v>
      </c>
      <c r="I1500" s="10"/>
      <c r="J1500" s="107">
        <f>SUMIF(Data!C:C,G1500,Data!Q:Q)</f>
        <v>0</v>
      </c>
      <c r="K1500" s="107">
        <f>SUMIF(Comprometidos!A:A,'Cost Report'!G1500,Comprometidos!E:E)</f>
        <v>0</v>
      </c>
      <c r="L1500" s="107">
        <f t="shared" si="625"/>
        <v>0</v>
      </c>
      <c r="M1500" s="107">
        <f t="shared" si="626"/>
        <v>0</v>
      </c>
      <c r="N1500" s="107">
        <f t="shared" si="627"/>
        <v>0</v>
      </c>
      <c r="O1500" s="107">
        <f>VLOOKUP(G1500,Budget!$E$3:$G$2474,3,0)</f>
        <v>0</v>
      </c>
      <c r="P1500" s="107">
        <f t="shared" si="628"/>
        <v>0</v>
      </c>
      <c r="Q1500" s="107"/>
      <c r="R1500" s="10"/>
      <c r="S1500" s="107">
        <v>0</v>
      </c>
      <c r="T1500" s="107">
        <f t="shared" si="631"/>
        <v>0</v>
      </c>
      <c r="U1500" s="107"/>
      <c r="V1500" s="175"/>
      <c r="W1500" s="10"/>
      <c r="X1500" s="10"/>
      <c r="Y1500" t="str">
        <f t="shared" si="630"/>
        <v>3193</v>
      </c>
      <c r="AB1500" s="10"/>
      <c r="AC1500" s="10"/>
      <c r="AD1500" s="10"/>
      <c r="AE1500" s="10"/>
      <c r="AF1500" s="10"/>
      <c r="AG1500" s="10"/>
      <c r="AH1500" s="10"/>
      <c r="AI1500" s="10"/>
    </row>
    <row r="1501" spans="1:35">
      <c r="A1501" s="10"/>
      <c r="B1501" s="10" t="str">
        <f t="shared" si="629"/>
        <v>Below the Line2nd Unit</v>
      </c>
      <c r="C1501" t="s">
        <v>20</v>
      </c>
      <c r="D1501" t="s">
        <v>19</v>
      </c>
      <c r="E1501" t="s">
        <v>1419</v>
      </c>
      <c r="G1501" t="s">
        <v>902</v>
      </c>
      <c r="I1501" s="10"/>
      <c r="J1501" s="107">
        <f>SUMIF(Data!C:C,G1501,Data!Q:Q)</f>
        <v>0</v>
      </c>
      <c r="K1501" s="107">
        <f>SUMIF(Comprometidos!A:A,'Cost Report'!G1501,Comprometidos!E:E)</f>
        <v>0</v>
      </c>
      <c r="L1501" s="107">
        <f t="shared" si="625"/>
        <v>0</v>
      </c>
      <c r="M1501" s="107">
        <f t="shared" si="626"/>
        <v>0</v>
      </c>
      <c r="N1501" s="107">
        <f t="shared" si="627"/>
        <v>0</v>
      </c>
      <c r="O1501" s="107">
        <f>VLOOKUP(G1501,Budget!$E$3:$G$2474,3,0)</f>
        <v>0</v>
      </c>
      <c r="P1501" s="107">
        <f t="shared" si="628"/>
        <v>0</v>
      </c>
      <c r="Q1501" s="107"/>
      <c r="R1501" s="10"/>
      <c r="S1501" s="107">
        <v>0</v>
      </c>
      <c r="T1501" s="107">
        <f t="shared" si="631"/>
        <v>0</v>
      </c>
      <c r="U1501" s="107"/>
      <c r="V1501" s="175"/>
      <c r="W1501" s="10"/>
      <c r="X1501" s="10"/>
      <c r="Y1501" t="str">
        <f t="shared" si="630"/>
        <v>3193</v>
      </c>
      <c r="AB1501" s="10"/>
      <c r="AC1501" s="10"/>
      <c r="AD1501" s="10"/>
      <c r="AE1501" s="10"/>
      <c r="AF1501" s="10"/>
      <c r="AG1501" s="10"/>
      <c r="AH1501" s="10"/>
      <c r="AI1501" s="10"/>
    </row>
    <row r="1502" spans="1:35">
      <c r="A1502" s="10"/>
      <c r="B1502" s="10" t="str">
        <f t="shared" si="629"/>
        <v>Below the Line2nd Unit</v>
      </c>
      <c r="C1502" t="s">
        <v>20</v>
      </c>
      <c r="D1502" t="s">
        <v>19</v>
      </c>
      <c r="E1502" t="s">
        <v>1419</v>
      </c>
      <c r="G1502" t="s">
        <v>903</v>
      </c>
      <c r="I1502" s="10"/>
      <c r="J1502" s="107">
        <f>SUMIF(Data!C:C,G1502,Data!Q:Q)</f>
        <v>764239</v>
      </c>
      <c r="K1502" s="107">
        <f>SUMIF(Comprometidos!A:A,'Cost Report'!G1502,Comprometidos!E:E)</f>
        <v>0</v>
      </c>
      <c r="L1502" s="107">
        <f t="shared" si="625"/>
        <v>764239</v>
      </c>
      <c r="M1502" s="107">
        <f>+O1502-L1502</f>
        <v>0</v>
      </c>
      <c r="N1502" s="107">
        <f t="shared" si="627"/>
        <v>764239</v>
      </c>
      <c r="O1502" s="107">
        <f>VLOOKUP(G1502,Budget!$E$3:$G$2474,3,0)</f>
        <v>764239</v>
      </c>
      <c r="P1502" s="107">
        <f t="shared" si="628"/>
        <v>0</v>
      </c>
      <c r="Q1502" s="107"/>
      <c r="R1502" s="10"/>
      <c r="S1502" s="107">
        <v>764239</v>
      </c>
      <c r="T1502" s="107">
        <f t="shared" si="631"/>
        <v>0</v>
      </c>
      <c r="U1502" s="107"/>
      <c r="V1502" s="175"/>
      <c r="W1502" s="10"/>
      <c r="X1502" s="10"/>
      <c r="Y1502" t="str">
        <f t="shared" si="630"/>
        <v>3193</v>
      </c>
      <c r="AB1502" s="10"/>
      <c r="AC1502" s="10"/>
      <c r="AD1502" s="10"/>
      <c r="AE1502" s="10"/>
      <c r="AF1502" s="10"/>
      <c r="AG1502" s="10"/>
      <c r="AH1502" s="10"/>
      <c r="AI1502" s="10"/>
    </row>
    <row r="1503" spans="1:35">
      <c r="A1503" s="10"/>
      <c r="B1503" s="10" t="str">
        <f t="shared" si="629"/>
        <v>Below the Line</v>
      </c>
      <c r="C1503" t="s">
        <v>20</v>
      </c>
      <c r="D1503" t="s">
        <v>19</v>
      </c>
      <c r="E1503" t="s">
        <v>214</v>
      </c>
      <c r="G1503" t="s">
        <v>904</v>
      </c>
      <c r="I1503" s="10"/>
      <c r="J1503" s="107">
        <f>SUMIF(Data!C:C,G1503,Data!Q:Q)</f>
        <v>0</v>
      </c>
      <c r="K1503" s="107">
        <f>SUMIF(Comprometidos!A:A,'Cost Report'!G1503,Comprometidos!E:E)</f>
        <v>0</v>
      </c>
      <c r="L1503" s="107">
        <f t="shared" si="625"/>
        <v>0</v>
      </c>
      <c r="M1503" s="107">
        <f t="shared" si="626"/>
        <v>0</v>
      </c>
      <c r="N1503" s="107">
        <f t="shared" si="627"/>
        <v>0</v>
      </c>
      <c r="O1503" s="107">
        <f>VLOOKUP(G1503,Budget!$E$3:$G$2474,3,0)</f>
        <v>0</v>
      </c>
      <c r="P1503" s="107">
        <f t="shared" si="628"/>
        <v>0</v>
      </c>
      <c r="Q1503" s="107"/>
      <c r="R1503" s="10"/>
      <c r="S1503" s="107">
        <v>0</v>
      </c>
      <c r="T1503" s="107">
        <f t="shared" si="631"/>
        <v>0</v>
      </c>
      <c r="U1503" s="107"/>
      <c r="V1503" s="175"/>
      <c r="W1503" s="10"/>
      <c r="X1503" s="10"/>
      <c r="Y1503" t="str">
        <f t="shared" si="630"/>
        <v>3193</v>
      </c>
      <c r="AB1503" s="10"/>
      <c r="AC1503" s="10"/>
      <c r="AD1503" s="10"/>
      <c r="AE1503" s="10"/>
      <c r="AF1503" s="10"/>
      <c r="AG1503" s="10"/>
      <c r="AH1503" s="10"/>
      <c r="AI1503" s="10"/>
    </row>
    <row r="1504" spans="1:35">
      <c r="A1504" s="10"/>
      <c r="B1504" s="10" t="str">
        <f t="shared" si="629"/>
        <v>Below the Line2nd Unit</v>
      </c>
      <c r="C1504" t="s">
        <v>20</v>
      </c>
      <c r="D1504" t="s">
        <v>19</v>
      </c>
      <c r="E1504" t="s">
        <v>1419</v>
      </c>
      <c r="G1504" t="s">
        <v>1534</v>
      </c>
      <c r="I1504" s="10"/>
      <c r="J1504" s="107">
        <f>SUMIF(Data!C:C,G1504,Data!Q:Q)</f>
        <v>253876</v>
      </c>
      <c r="K1504" s="107">
        <f>SUMIF(Comprometidos!A:A,'Cost Report'!G1504,Comprometidos!E:E)</f>
        <v>0</v>
      </c>
      <c r="L1504" s="107">
        <f t="shared" si="625"/>
        <v>253876</v>
      </c>
      <c r="M1504" s="107">
        <v>0</v>
      </c>
      <c r="N1504" s="107">
        <f t="shared" si="627"/>
        <v>253876</v>
      </c>
      <c r="O1504" s="107">
        <f>VLOOKUP(G1504,Budget!$E$3:$G$2474,3,0)</f>
        <v>253876</v>
      </c>
      <c r="P1504" s="107">
        <f t="shared" si="628"/>
        <v>0</v>
      </c>
      <c r="Q1504" s="107"/>
      <c r="R1504" s="10"/>
      <c r="S1504" s="107">
        <v>253876</v>
      </c>
      <c r="T1504" s="107">
        <f t="shared" si="631"/>
        <v>0</v>
      </c>
      <c r="U1504" s="107"/>
      <c r="V1504" s="175"/>
      <c r="W1504" s="10"/>
      <c r="X1504" s="10"/>
      <c r="Y1504" t="str">
        <f t="shared" si="630"/>
        <v>3193</v>
      </c>
      <c r="AB1504" s="10"/>
      <c r="AC1504" s="10"/>
      <c r="AD1504" s="10"/>
      <c r="AE1504" s="10"/>
      <c r="AF1504" s="10"/>
      <c r="AG1504" s="10"/>
      <c r="AH1504" s="10"/>
      <c r="AI1504" s="10"/>
    </row>
    <row r="1505" spans="1:35">
      <c r="A1505" s="10"/>
      <c r="B1505" s="10" t="str">
        <f t="shared" si="629"/>
        <v>Below the Line</v>
      </c>
      <c r="C1505" t="s">
        <v>20</v>
      </c>
      <c r="D1505" t="s">
        <v>19</v>
      </c>
      <c r="E1505" t="s">
        <v>214</v>
      </c>
      <c r="G1505" t="s">
        <v>1764</v>
      </c>
      <c r="I1505" s="10"/>
      <c r="J1505" s="107">
        <f>SUMIF(Data!C:C,G1505,Data!Q:Q)</f>
        <v>0</v>
      </c>
      <c r="K1505" s="107">
        <f>SUMIF(Comprometidos!A:A,'Cost Report'!G1505,Comprometidos!E:E)</f>
        <v>0</v>
      </c>
      <c r="L1505" s="107">
        <f t="shared" si="625"/>
        <v>0</v>
      </c>
      <c r="M1505" s="107">
        <f t="shared" si="626"/>
        <v>0</v>
      </c>
      <c r="N1505" s="107">
        <f t="shared" si="627"/>
        <v>0</v>
      </c>
      <c r="O1505" s="107">
        <f>VLOOKUP(G1505,Budget!$E$3:$G$2474,3,0)</f>
        <v>0</v>
      </c>
      <c r="P1505" s="107">
        <f t="shared" si="628"/>
        <v>0</v>
      </c>
      <c r="Q1505" s="107"/>
      <c r="R1505" s="10"/>
      <c r="S1505" s="107">
        <v>0</v>
      </c>
      <c r="T1505" s="107">
        <f t="shared" si="631"/>
        <v>0</v>
      </c>
      <c r="U1505" s="107"/>
      <c r="V1505" s="175"/>
      <c r="W1505" s="10"/>
      <c r="X1505" s="10"/>
      <c r="Y1505" t="str">
        <f t="shared" si="630"/>
        <v>3193</v>
      </c>
      <c r="AB1505" s="10"/>
      <c r="AC1505" s="10"/>
      <c r="AD1505" s="10"/>
      <c r="AE1505" s="10"/>
      <c r="AF1505" s="10"/>
      <c r="AG1505" s="10"/>
      <c r="AH1505" s="10"/>
      <c r="AI1505" s="10"/>
    </row>
    <row r="1506" spans="1:35">
      <c r="A1506" s="10"/>
      <c r="B1506" s="10" t="str">
        <f t="shared" si="629"/>
        <v>Below the LineSHOOT</v>
      </c>
      <c r="C1506" t="s">
        <v>20</v>
      </c>
      <c r="D1506" t="s">
        <v>19</v>
      </c>
      <c r="E1506" t="s">
        <v>236</v>
      </c>
      <c r="G1506" t="s">
        <v>1765</v>
      </c>
      <c r="I1506" s="10"/>
      <c r="J1506" s="107">
        <f>SUMIF(Data!C:C,G1506,Data!Q:Q)</f>
        <v>673533.87999999989</v>
      </c>
      <c r="K1506" s="107">
        <f>SUMIF(Comprometidos!A:A,'Cost Report'!G1506,Comprometidos!E:E)</f>
        <v>0</v>
      </c>
      <c r="L1506" s="107">
        <f t="shared" si="625"/>
        <v>673533.87999999989</v>
      </c>
      <c r="M1506" s="107">
        <v>0</v>
      </c>
      <c r="N1506" s="107">
        <f t="shared" si="627"/>
        <v>673533.87999999989</v>
      </c>
      <c r="O1506" s="107">
        <f>VLOOKUP(G1506,Budget!$E$3:$G$2474,3,0)</f>
        <v>286068.71999999997</v>
      </c>
      <c r="P1506" s="107">
        <f t="shared" si="628"/>
        <v>-387465.15999999992</v>
      </c>
      <c r="Q1506" s="107"/>
      <c r="R1506" s="10"/>
      <c r="S1506" s="107">
        <v>673533.87999999989</v>
      </c>
      <c r="T1506" s="107">
        <f t="shared" si="631"/>
        <v>0</v>
      </c>
      <c r="U1506" s="107"/>
      <c r="V1506" s="175"/>
      <c r="W1506" s="10"/>
      <c r="X1506" s="10"/>
      <c r="Y1506" t="str">
        <f t="shared" si="630"/>
        <v>3193</v>
      </c>
      <c r="AB1506" s="10"/>
      <c r="AC1506" s="10"/>
      <c r="AD1506" s="10"/>
      <c r="AE1506" s="10"/>
      <c r="AF1506" s="10"/>
      <c r="AG1506" s="10"/>
      <c r="AH1506" s="10"/>
      <c r="AI1506" s="10"/>
    </row>
    <row r="1507" spans="1:35">
      <c r="A1507" s="10"/>
      <c r="B1507" s="10" t="str">
        <f t="shared" si="629"/>
        <v>Below the Line</v>
      </c>
      <c r="C1507" t="s">
        <v>20</v>
      </c>
      <c r="D1507" t="s">
        <v>19</v>
      </c>
      <c r="E1507" t="s">
        <v>214</v>
      </c>
      <c r="G1507" t="s">
        <v>2718</v>
      </c>
      <c r="I1507" s="10"/>
      <c r="J1507" s="107">
        <f>SUMIF(Data!C:C,G1507,Data!Q:Q)</f>
        <v>0</v>
      </c>
      <c r="K1507" s="107">
        <f>SUMIF(Comprometidos!A:A,'Cost Report'!G1507,Comprometidos!E:E)</f>
        <v>0</v>
      </c>
      <c r="L1507" s="107">
        <f t="shared" si="625"/>
        <v>0</v>
      </c>
      <c r="M1507" s="107">
        <f t="shared" si="626"/>
        <v>0</v>
      </c>
      <c r="N1507" s="107">
        <f t="shared" si="627"/>
        <v>0</v>
      </c>
      <c r="O1507" s="107">
        <f>VLOOKUP(G1507,Budget!$E$3:$G$2474,3,0)</f>
        <v>0</v>
      </c>
      <c r="P1507" s="107">
        <f t="shared" si="628"/>
        <v>0</v>
      </c>
      <c r="Q1507" s="107"/>
      <c r="R1507" s="10"/>
      <c r="S1507" s="107">
        <v>0</v>
      </c>
      <c r="T1507" s="107">
        <f t="shared" si="631"/>
        <v>0</v>
      </c>
      <c r="U1507" s="107"/>
      <c r="V1507" s="175"/>
      <c r="W1507" s="10"/>
      <c r="X1507" s="10"/>
      <c r="Y1507" t="str">
        <f t="shared" si="630"/>
        <v>3193</v>
      </c>
      <c r="AB1507" s="10"/>
      <c r="AC1507" s="10"/>
      <c r="AD1507" s="10"/>
      <c r="AE1507" s="10"/>
      <c r="AF1507" s="10"/>
      <c r="AG1507" s="10"/>
      <c r="AH1507" s="10"/>
      <c r="AI1507" s="10"/>
    </row>
    <row r="1508" spans="1:35">
      <c r="A1508" s="10"/>
      <c r="B1508" s="10" t="str">
        <f t="shared" si="629"/>
        <v>Below the LineSHOOT</v>
      </c>
      <c r="C1508" t="s">
        <v>20</v>
      </c>
      <c r="D1508" t="s">
        <v>19</v>
      </c>
      <c r="E1508" t="s">
        <v>236</v>
      </c>
      <c r="G1508" t="s">
        <v>2719</v>
      </c>
      <c r="I1508" s="10"/>
      <c r="J1508" s="107">
        <f>SUMIF(Data!C:C,G1508,Data!Q:Q)</f>
        <v>183373.28000000003</v>
      </c>
      <c r="K1508" s="107">
        <f>SUMIF(Comprometidos!A:A,'Cost Report'!G1508,Comprometidos!E:E)</f>
        <v>0</v>
      </c>
      <c r="L1508" s="107">
        <f t="shared" si="625"/>
        <v>183373.28000000003</v>
      </c>
      <c r="M1508" s="107">
        <f>+O1508-L1508+5000+70500-64126.72</f>
        <v>0</v>
      </c>
      <c r="N1508" s="107">
        <f t="shared" si="627"/>
        <v>183373.28000000003</v>
      </c>
      <c r="O1508" s="107">
        <f>VLOOKUP(G1508,Budget!$E$3:$G$2474,3,0)</f>
        <v>172000</v>
      </c>
      <c r="P1508" s="107">
        <f t="shared" si="628"/>
        <v>-11373.280000000028</v>
      </c>
      <c r="Q1508" s="107"/>
      <c r="R1508" s="10"/>
      <c r="S1508" s="107">
        <v>183373.28000000003</v>
      </c>
      <c r="T1508" s="107">
        <f t="shared" si="631"/>
        <v>0</v>
      </c>
      <c r="U1508" s="107"/>
      <c r="V1508" s="175"/>
      <c r="W1508" s="10"/>
      <c r="X1508" s="10"/>
      <c r="Y1508" t="str">
        <f t="shared" si="630"/>
        <v>3193</v>
      </c>
      <c r="AB1508" s="10"/>
      <c r="AC1508" s="10"/>
      <c r="AD1508" s="10"/>
      <c r="AE1508" s="10"/>
      <c r="AF1508" s="10"/>
      <c r="AG1508" s="10"/>
      <c r="AH1508" s="10"/>
      <c r="AI1508" s="10"/>
    </row>
    <row r="1509" spans="1:35">
      <c r="A1509" s="10"/>
      <c r="B1509" s="10" t="str">
        <f t="shared" si="629"/>
        <v>Below the Line</v>
      </c>
      <c r="C1509" t="s">
        <v>20</v>
      </c>
      <c r="D1509" t="s">
        <v>19</v>
      </c>
      <c r="E1509" t="s">
        <v>214</v>
      </c>
      <c r="G1509" t="s">
        <v>2720</v>
      </c>
      <c r="I1509" s="10"/>
      <c r="J1509" s="107">
        <f>SUMIF(Data!C:C,G1509,Data!Q:Q)</f>
        <v>0</v>
      </c>
      <c r="K1509" s="107">
        <f>SUMIF(Comprometidos!A:A,'Cost Report'!G1509,Comprometidos!E:E)</f>
        <v>0</v>
      </c>
      <c r="L1509" s="107">
        <f t="shared" si="625"/>
        <v>0</v>
      </c>
      <c r="M1509" s="107">
        <f t="shared" si="626"/>
        <v>0</v>
      </c>
      <c r="N1509" s="107">
        <f t="shared" si="627"/>
        <v>0</v>
      </c>
      <c r="O1509" s="107">
        <f>VLOOKUP(G1509,Budget!$E$3:$G$2474,3,0)</f>
        <v>0</v>
      </c>
      <c r="P1509" s="107">
        <f t="shared" si="628"/>
        <v>0</v>
      </c>
      <c r="Q1509" s="107"/>
      <c r="R1509" s="10"/>
      <c r="S1509" s="107">
        <v>0</v>
      </c>
      <c r="T1509" s="107">
        <f t="shared" si="631"/>
        <v>0</v>
      </c>
      <c r="U1509" s="107"/>
      <c r="V1509" s="175"/>
      <c r="W1509" s="10"/>
      <c r="X1509" s="10"/>
      <c r="Y1509" t="str">
        <f t="shared" si="630"/>
        <v>3193</v>
      </c>
      <c r="AB1509" s="10"/>
      <c r="AC1509" s="10"/>
      <c r="AD1509" s="10"/>
      <c r="AE1509" s="10"/>
      <c r="AF1509" s="10"/>
      <c r="AG1509" s="10"/>
      <c r="AH1509" s="10"/>
      <c r="AI1509" s="10"/>
    </row>
    <row r="1510" spans="1:35">
      <c r="A1510" s="10"/>
      <c r="B1510" s="10" t="str">
        <f t="shared" si="629"/>
        <v>Below the LineSHOOT</v>
      </c>
      <c r="C1510" t="s">
        <v>20</v>
      </c>
      <c r="D1510" t="s">
        <v>19</v>
      </c>
      <c r="E1510" t="s">
        <v>236</v>
      </c>
      <c r="G1510" t="s">
        <v>2721</v>
      </c>
      <c r="I1510" s="10"/>
      <c r="J1510" s="107">
        <f>SUMIF(Data!C:C,G1510,Data!Q:Q)</f>
        <v>119000</v>
      </c>
      <c r="K1510" s="107">
        <f>SUMIF(Comprometidos!A:A,'Cost Report'!G1510,Comprometidos!E:E)</f>
        <v>0</v>
      </c>
      <c r="L1510" s="107">
        <f t="shared" si="625"/>
        <v>119000</v>
      </c>
      <c r="M1510" s="107">
        <f t="shared" si="626"/>
        <v>0</v>
      </c>
      <c r="N1510" s="107">
        <f t="shared" si="627"/>
        <v>119000</v>
      </c>
      <c r="O1510" s="107">
        <f>VLOOKUP(G1510,Budget!$E$3:$G$2474,3,0)</f>
        <v>119000</v>
      </c>
      <c r="P1510" s="107">
        <f t="shared" si="628"/>
        <v>0</v>
      </c>
      <c r="Q1510" s="107"/>
      <c r="R1510" s="10"/>
      <c r="S1510" s="107">
        <v>119000</v>
      </c>
      <c r="T1510" s="107">
        <f t="shared" si="631"/>
        <v>0</v>
      </c>
      <c r="U1510" s="107"/>
      <c r="V1510" s="175"/>
      <c r="W1510" s="10"/>
      <c r="X1510" s="10"/>
      <c r="Y1510" t="str">
        <f t="shared" si="630"/>
        <v>3193</v>
      </c>
      <c r="AB1510" s="10"/>
      <c r="AC1510" s="10"/>
      <c r="AD1510" s="10"/>
      <c r="AE1510" s="10"/>
      <c r="AF1510" s="10"/>
      <c r="AG1510" s="10"/>
      <c r="AH1510" s="10"/>
      <c r="AI1510" s="10"/>
    </row>
    <row r="1511" spans="1:35">
      <c r="A1511" s="10"/>
      <c r="B1511" s="10" t="str">
        <f t="shared" si="629"/>
        <v>Below the LineSHOOT</v>
      </c>
      <c r="C1511" t="s">
        <v>20</v>
      </c>
      <c r="D1511" t="s">
        <v>19</v>
      </c>
      <c r="E1511" t="s">
        <v>236</v>
      </c>
      <c r="G1511" t="s">
        <v>2722</v>
      </c>
      <c r="I1511" s="10"/>
      <c r="J1511" s="107">
        <f>SUMIF(Data!C:C,G1511,Data!Q:Q)</f>
        <v>61600</v>
      </c>
      <c r="K1511" s="107">
        <f>SUMIF(Comprometidos!A:A,'Cost Report'!G1511,Comprometidos!E:E)</f>
        <v>0</v>
      </c>
      <c r="L1511" s="107">
        <f t="shared" si="625"/>
        <v>61600</v>
      </c>
      <c r="M1511" s="107">
        <v>0</v>
      </c>
      <c r="N1511" s="107">
        <f t="shared" si="627"/>
        <v>61600</v>
      </c>
      <c r="O1511" s="107">
        <f>VLOOKUP(G1511,Budget!$E$3:$G$2474,3,0)</f>
        <v>94500</v>
      </c>
      <c r="P1511" s="107">
        <f t="shared" si="628"/>
        <v>32900</v>
      </c>
      <c r="Q1511" s="107"/>
      <c r="R1511" s="10"/>
      <c r="S1511" s="107">
        <v>61600</v>
      </c>
      <c r="T1511" s="107">
        <f t="shared" si="631"/>
        <v>0</v>
      </c>
      <c r="U1511" s="107"/>
      <c r="V1511" s="175"/>
      <c r="W1511" s="10"/>
      <c r="X1511" s="10"/>
      <c r="Y1511" t="str">
        <f t="shared" si="630"/>
        <v>3193</v>
      </c>
      <c r="AB1511" s="10"/>
      <c r="AC1511" s="10"/>
      <c r="AD1511" s="10"/>
      <c r="AE1511" s="10"/>
      <c r="AF1511" s="10"/>
      <c r="AG1511" s="10"/>
      <c r="AH1511" s="10"/>
      <c r="AI1511" s="10"/>
    </row>
    <row r="1512" spans="1:35">
      <c r="A1512" s="10"/>
      <c r="B1512" s="10" t="str">
        <f t="shared" si="629"/>
        <v>Below the LineSHOOT</v>
      </c>
      <c r="C1512" t="s">
        <v>20</v>
      </c>
      <c r="D1512" t="s">
        <v>19</v>
      </c>
      <c r="E1512" t="s">
        <v>236</v>
      </c>
      <c r="G1512" t="s">
        <v>2723</v>
      </c>
      <c r="I1512" s="10"/>
      <c r="J1512" s="107">
        <f>SUMIF(Data!C:C,G1512,Data!Q:Q)</f>
        <v>0</v>
      </c>
      <c r="K1512" s="107">
        <f>SUMIF(Comprometidos!A:A,'Cost Report'!G1512,Comprometidos!E:E)</f>
        <v>0</v>
      </c>
      <c r="L1512" s="107">
        <f t="shared" si="625"/>
        <v>0</v>
      </c>
      <c r="M1512" s="107">
        <f t="shared" si="626"/>
        <v>0</v>
      </c>
      <c r="N1512" s="107">
        <f t="shared" si="627"/>
        <v>0</v>
      </c>
      <c r="O1512" s="107">
        <f>VLOOKUP(G1512,Budget!$E$3:$G$2474,3,0)</f>
        <v>0</v>
      </c>
      <c r="P1512" s="107">
        <f t="shared" si="628"/>
        <v>0</v>
      </c>
      <c r="Q1512" s="107"/>
      <c r="R1512" s="10"/>
      <c r="S1512" s="107">
        <v>0</v>
      </c>
      <c r="T1512" s="107">
        <f t="shared" si="631"/>
        <v>0</v>
      </c>
      <c r="U1512" s="107"/>
      <c r="V1512" s="175"/>
      <c r="W1512" s="10"/>
      <c r="X1512" s="10"/>
      <c r="Y1512" t="str">
        <f t="shared" si="630"/>
        <v>3193</v>
      </c>
      <c r="AB1512" s="10"/>
      <c r="AC1512" s="10"/>
      <c r="AD1512" s="10"/>
      <c r="AE1512" s="10"/>
      <c r="AF1512" s="10"/>
      <c r="AG1512" s="10"/>
      <c r="AH1512" s="10"/>
      <c r="AI1512" s="10"/>
    </row>
    <row r="1513" spans="1:35">
      <c r="A1513" s="10"/>
      <c r="B1513" s="10" t="str">
        <f t="shared" si="629"/>
        <v>Below the LineSHOOT</v>
      </c>
      <c r="C1513" t="s">
        <v>20</v>
      </c>
      <c r="D1513" t="s">
        <v>19</v>
      </c>
      <c r="E1513" t="s">
        <v>236</v>
      </c>
      <c r="G1513" t="s">
        <v>2724</v>
      </c>
      <c r="I1513" s="10"/>
      <c r="J1513" s="107">
        <f>SUMIF(Data!C:C,G1513,Data!Q:Q)</f>
        <v>49000</v>
      </c>
      <c r="K1513" s="107">
        <f>SUMIF(Comprometidos!A:A,'Cost Report'!G1513,Comprometidos!E:E)</f>
        <v>0</v>
      </c>
      <c r="L1513" s="107">
        <f t="shared" si="625"/>
        <v>49000</v>
      </c>
      <c r="M1513" s="107">
        <f t="shared" si="626"/>
        <v>0</v>
      </c>
      <c r="N1513" s="107">
        <f t="shared" si="627"/>
        <v>49000</v>
      </c>
      <c r="O1513" s="107">
        <f>VLOOKUP(G1513,Budget!$E$3:$G$2474,3,0)</f>
        <v>49000</v>
      </c>
      <c r="P1513" s="107">
        <f t="shared" si="628"/>
        <v>0</v>
      </c>
      <c r="Q1513" s="107"/>
      <c r="R1513" s="10"/>
      <c r="S1513" s="107">
        <v>49000</v>
      </c>
      <c r="T1513" s="107">
        <f t="shared" si="631"/>
        <v>0</v>
      </c>
      <c r="U1513" s="107"/>
      <c r="V1513" s="175"/>
      <c r="W1513" s="10"/>
      <c r="X1513" s="10"/>
      <c r="Y1513" t="str">
        <f t="shared" si="630"/>
        <v>3193</v>
      </c>
      <c r="AB1513" s="10"/>
      <c r="AC1513" s="10"/>
      <c r="AD1513" s="10"/>
      <c r="AE1513" s="10"/>
      <c r="AF1513" s="10"/>
      <c r="AG1513" s="10"/>
      <c r="AH1513" s="10"/>
      <c r="AI1513" s="10"/>
    </row>
    <row r="1514" spans="1:35">
      <c r="A1514" s="10"/>
      <c r="B1514" s="10" t="str">
        <f t="shared" si="629"/>
        <v>Below the LineSHOOT</v>
      </c>
      <c r="C1514" t="s">
        <v>20</v>
      </c>
      <c r="D1514" t="s">
        <v>19</v>
      </c>
      <c r="E1514" t="s">
        <v>236</v>
      </c>
      <c r="G1514" t="s">
        <v>2725</v>
      </c>
      <c r="I1514" s="10"/>
      <c r="J1514" s="107">
        <f>SUMIF(Data!C:C,G1514,Data!Q:Q)</f>
        <v>0</v>
      </c>
      <c r="K1514" s="107">
        <f>SUMIF(Comprometidos!A:A,'Cost Report'!G1514,Comprometidos!E:E)</f>
        <v>0</v>
      </c>
      <c r="L1514" s="107">
        <f t="shared" si="625"/>
        <v>0</v>
      </c>
      <c r="M1514" s="107">
        <f t="shared" si="626"/>
        <v>0</v>
      </c>
      <c r="N1514" s="107">
        <f t="shared" si="627"/>
        <v>0</v>
      </c>
      <c r="O1514" s="107">
        <f>VLOOKUP(G1514,Budget!$E$3:$G$2474,3,0)</f>
        <v>0</v>
      </c>
      <c r="P1514" s="107">
        <f t="shared" si="628"/>
        <v>0</v>
      </c>
      <c r="Q1514" s="107"/>
      <c r="R1514" s="10"/>
      <c r="S1514" s="107">
        <v>0</v>
      </c>
      <c r="T1514" s="107">
        <f t="shared" si="631"/>
        <v>0</v>
      </c>
      <c r="U1514" s="107"/>
      <c r="V1514" s="175"/>
      <c r="W1514" s="10"/>
      <c r="X1514" s="10"/>
      <c r="Y1514" t="str">
        <f t="shared" si="630"/>
        <v>3193</v>
      </c>
      <c r="AB1514" s="10"/>
      <c r="AC1514" s="10"/>
      <c r="AD1514" s="10"/>
      <c r="AE1514" s="10"/>
      <c r="AF1514" s="10"/>
      <c r="AG1514" s="10"/>
      <c r="AH1514" s="10"/>
      <c r="AI1514" s="10"/>
    </row>
    <row r="1515" spans="1:35">
      <c r="A1515" s="10"/>
      <c r="B1515" s="10" t="str">
        <f t="shared" si="629"/>
        <v>Below the LineSHOOT</v>
      </c>
      <c r="C1515" t="s">
        <v>20</v>
      </c>
      <c r="D1515" t="s">
        <v>19</v>
      </c>
      <c r="E1515" t="s">
        <v>236</v>
      </c>
      <c r="G1515" t="s">
        <v>2726</v>
      </c>
      <c r="I1515" s="10"/>
      <c r="J1515" s="107">
        <f>SUMIF(Data!C:C,G1515,Data!Q:Q)</f>
        <v>52500</v>
      </c>
      <c r="K1515" s="107">
        <f>SUMIF(Comprometidos!A:A,'Cost Report'!G1515,Comprometidos!E:E)</f>
        <v>0</v>
      </c>
      <c r="L1515" s="107">
        <f t="shared" si="625"/>
        <v>52500</v>
      </c>
      <c r="M1515" s="107">
        <f t="shared" si="626"/>
        <v>0</v>
      </c>
      <c r="N1515" s="107">
        <f t="shared" si="627"/>
        <v>52500</v>
      </c>
      <c r="O1515" s="107">
        <f>VLOOKUP(G1515,Budget!$E$3:$G$2474,3,0)</f>
        <v>52500</v>
      </c>
      <c r="P1515" s="107">
        <f t="shared" si="628"/>
        <v>0</v>
      </c>
      <c r="Q1515" s="107"/>
      <c r="R1515" s="10"/>
      <c r="S1515" s="107">
        <v>52500</v>
      </c>
      <c r="T1515" s="107">
        <f t="shared" si="631"/>
        <v>0</v>
      </c>
      <c r="U1515" s="107"/>
      <c r="V1515" s="175"/>
      <c r="W1515" s="10"/>
      <c r="X1515" s="10"/>
      <c r="Y1515" t="str">
        <f t="shared" si="630"/>
        <v>3193</v>
      </c>
      <c r="AB1515" s="10"/>
      <c r="AC1515" s="10"/>
      <c r="AD1515" s="10"/>
      <c r="AE1515" s="10"/>
      <c r="AF1515" s="10"/>
      <c r="AG1515" s="10"/>
      <c r="AH1515" s="10"/>
      <c r="AI1515" s="10"/>
    </row>
    <row r="1516" spans="1:35">
      <c r="A1516" s="10"/>
      <c r="B1516" s="10" t="str">
        <f t="shared" si="629"/>
        <v>Below the LineSHOOT</v>
      </c>
      <c r="C1516" t="s">
        <v>20</v>
      </c>
      <c r="D1516" t="s">
        <v>19</v>
      </c>
      <c r="E1516" t="s">
        <v>236</v>
      </c>
      <c r="G1516" t="s">
        <v>2727</v>
      </c>
      <c r="I1516" s="10"/>
      <c r="J1516" s="107">
        <f>SUMIF(Data!C:C,G1516,Data!Q:Q)</f>
        <v>49000</v>
      </c>
      <c r="K1516" s="107">
        <f>SUMIF(Comprometidos!A:A,'Cost Report'!G1516,Comprometidos!E:E)</f>
        <v>0</v>
      </c>
      <c r="L1516" s="107">
        <f t="shared" si="625"/>
        <v>49000</v>
      </c>
      <c r="M1516" s="107">
        <f t="shared" si="626"/>
        <v>0</v>
      </c>
      <c r="N1516" s="107">
        <f t="shared" si="627"/>
        <v>49000</v>
      </c>
      <c r="O1516" s="107">
        <f>VLOOKUP(G1516,Budget!$E$3:$G$2474,3,0)</f>
        <v>49000</v>
      </c>
      <c r="P1516" s="107">
        <f t="shared" si="628"/>
        <v>0</v>
      </c>
      <c r="Q1516" s="107"/>
      <c r="R1516" s="10"/>
      <c r="S1516" s="107">
        <v>49000</v>
      </c>
      <c r="T1516" s="107">
        <f t="shared" si="631"/>
        <v>0</v>
      </c>
      <c r="U1516" s="107"/>
      <c r="V1516" s="175"/>
      <c r="W1516" s="10"/>
      <c r="X1516" s="10"/>
      <c r="Y1516" t="str">
        <f t="shared" si="630"/>
        <v>3193</v>
      </c>
      <c r="AB1516" s="10"/>
      <c r="AC1516" s="10"/>
      <c r="AD1516" s="10"/>
      <c r="AE1516" s="10"/>
      <c r="AF1516" s="10"/>
      <c r="AG1516" s="10"/>
      <c r="AH1516" s="10"/>
      <c r="AI1516" s="10"/>
    </row>
    <row r="1517" spans="1:35">
      <c r="A1517" s="10"/>
      <c r="B1517" s="10" t="str">
        <f t="shared" si="629"/>
        <v>Below the LineSHOOT</v>
      </c>
      <c r="C1517" t="s">
        <v>20</v>
      </c>
      <c r="D1517" t="s">
        <v>19</v>
      </c>
      <c r="E1517" t="s">
        <v>236</v>
      </c>
      <c r="G1517" t="s">
        <v>2728</v>
      </c>
      <c r="I1517" s="10"/>
      <c r="J1517" s="107">
        <f>SUMIF(Data!C:C,G1517,Data!Q:Q)</f>
        <v>196500</v>
      </c>
      <c r="K1517" s="107">
        <f>SUMIF(Comprometidos!A:A,'Cost Report'!G1517,Comprometidos!E:E)</f>
        <v>0</v>
      </c>
      <c r="L1517" s="107">
        <f t="shared" si="625"/>
        <v>196500</v>
      </c>
      <c r="M1517" s="107">
        <v>0</v>
      </c>
      <c r="N1517" s="107">
        <f t="shared" si="627"/>
        <v>196500</v>
      </c>
      <c r="O1517" s="107">
        <f>VLOOKUP(G1517,Budget!$E$3:$G$2474,3,0)</f>
        <v>189000</v>
      </c>
      <c r="P1517" s="107">
        <f t="shared" si="628"/>
        <v>-7500</v>
      </c>
      <c r="Q1517" s="107"/>
      <c r="R1517" s="10"/>
      <c r="S1517" s="107">
        <v>196500</v>
      </c>
      <c r="T1517" s="107">
        <f t="shared" si="631"/>
        <v>0</v>
      </c>
      <c r="U1517" s="107"/>
      <c r="V1517" s="175"/>
      <c r="W1517" s="10"/>
      <c r="X1517" s="10"/>
      <c r="Y1517" t="str">
        <f t="shared" si="630"/>
        <v>3193</v>
      </c>
      <c r="AB1517" s="10"/>
      <c r="AC1517" s="10"/>
      <c r="AD1517" s="10"/>
      <c r="AE1517" s="10"/>
      <c r="AF1517" s="10"/>
      <c r="AG1517" s="10"/>
      <c r="AH1517" s="10"/>
      <c r="AI1517" s="10"/>
    </row>
    <row r="1518" spans="1:35">
      <c r="A1518" s="10"/>
      <c r="B1518" s="10" t="str">
        <f t="shared" si="629"/>
        <v>Below the LineSHOOT</v>
      </c>
      <c r="C1518" t="s">
        <v>20</v>
      </c>
      <c r="D1518" t="s">
        <v>19</v>
      </c>
      <c r="E1518" t="s">
        <v>236</v>
      </c>
      <c r="G1518" t="s">
        <v>2729</v>
      </c>
      <c r="I1518" s="10"/>
      <c r="J1518" s="107">
        <f>SUMIF(Data!C:C,G1518,Data!Q:Q)</f>
        <v>146000</v>
      </c>
      <c r="K1518" s="107">
        <f>SUMIF(Comprometidos!A:A,'Cost Report'!G1518,Comprometidos!E:E)</f>
        <v>0</v>
      </c>
      <c r="L1518" s="107">
        <f t="shared" si="625"/>
        <v>146000</v>
      </c>
      <c r="M1518" s="107">
        <f>+O1518-L1518+26000</f>
        <v>0</v>
      </c>
      <c r="N1518" s="107">
        <f t="shared" si="627"/>
        <v>146000</v>
      </c>
      <c r="O1518" s="107">
        <f>VLOOKUP(G1518,Budget!$E$3:$G$2474,3,0)</f>
        <v>120000</v>
      </c>
      <c r="P1518" s="107">
        <f t="shared" si="628"/>
        <v>-26000</v>
      </c>
      <c r="Q1518" s="107"/>
      <c r="R1518" s="10"/>
      <c r="S1518" s="107">
        <v>146000</v>
      </c>
      <c r="T1518" s="107">
        <f t="shared" si="631"/>
        <v>0</v>
      </c>
      <c r="U1518" s="107"/>
      <c r="V1518" s="175"/>
      <c r="W1518" s="10"/>
      <c r="X1518" s="10"/>
      <c r="Y1518" t="str">
        <f t="shared" si="630"/>
        <v>3193</v>
      </c>
      <c r="AB1518" s="10"/>
      <c r="AC1518" s="10"/>
      <c r="AD1518" s="10"/>
      <c r="AE1518" s="10"/>
      <c r="AF1518" s="10"/>
      <c r="AG1518" s="10"/>
      <c r="AH1518" s="10"/>
      <c r="AI1518" s="10"/>
    </row>
    <row r="1519" spans="1:35">
      <c r="A1519" s="10"/>
      <c r="B1519" s="10" t="str">
        <f t="shared" si="629"/>
        <v>Below the LineSHOOT</v>
      </c>
      <c r="C1519" t="s">
        <v>20</v>
      </c>
      <c r="D1519" t="s">
        <v>19</v>
      </c>
      <c r="E1519" t="s">
        <v>236</v>
      </c>
      <c r="G1519" t="s">
        <v>2730</v>
      </c>
      <c r="I1519" s="10"/>
      <c r="J1519" s="107">
        <f>SUMIF(Data!C:C,G1519,Data!Q:Q)</f>
        <v>63400</v>
      </c>
      <c r="K1519" s="107">
        <f>SUMIF(Comprometidos!A:A,'Cost Report'!G1519,Comprometidos!E:E)</f>
        <v>0</v>
      </c>
      <c r="L1519" s="107">
        <f t="shared" si="625"/>
        <v>63400</v>
      </c>
      <c r="M1519" s="107">
        <v>0</v>
      </c>
      <c r="N1519" s="107">
        <f t="shared" si="627"/>
        <v>63400</v>
      </c>
      <c r="O1519" s="107">
        <f>VLOOKUP(G1519,Budget!$E$3:$G$2474,3,0)</f>
        <v>63000</v>
      </c>
      <c r="P1519" s="107">
        <f t="shared" si="628"/>
        <v>-400</v>
      </c>
      <c r="Q1519" s="107"/>
      <c r="R1519" s="10"/>
      <c r="S1519" s="107">
        <v>63400</v>
      </c>
      <c r="T1519" s="107">
        <f t="shared" si="631"/>
        <v>0</v>
      </c>
      <c r="U1519" s="107"/>
      <c r="V1519" s="175"/>
      <c r="W1519" s="10"/>
      <c r="X1519" s="10"/>
      <c r="Y1519" t="str">
        <f t="shared" si="630"/>
        <v>3193</v>
      </c>
      <c r="AB1519" s="10"/>
      <c r="AC1519" s="10"/>
      <c r="AD1519" s="10"/>
      <c r="AE1519" s="10"/>
      <c r="AF1519" s="10"/>
      <c r="AG1519" s="10"/>
      <c r="AH1519" s="10"/>
      <c r="AI1519" s="10"/>
    </row>
    <row r="1520" spans="1:35">
      <c r="A1520" s="10"/>
      <c r="B1520" s="10" t="str">
        <f t="shared" si="629"/>
        <v>Below the Line</v>
      </c>
      <c r="C1520" t="s">
        <v>20</v>
      </c>
      <c r="D1520" t="s">
        <v>19</v>
      </c>
      <c r="E1520" t="s">
        <v>214</v>
      </c>
      <c r="G1520" t="s">
        <v>2731</v>
      </c>
      <c r="I1520" s="10"/>
      <c r="J1520" s="107">
        <f>SUMIF(Data!C:C,G1520,Data!Q:Q)</f>
        <v>0</v>
      </c>
      <c r="K1520" s="107">
        <f>SUMIF(Comprometidos!A:A,'Cost Report'!G1520,Comprometidos!E:E)</f>
        <v>0</v>
      </c>
      <c r="L1520" s="107">
        <f t="shared" si="625"/>
        <v>0</v>
      </c>
      <c r="M1520" s="107">
        <f t="shared" si="626"/>
        <v>0</v>
      </c>
      <c r="N1520" s="107">
        <f t="shared" si="627"/>
        <v>0</v>
      </c>
      <c r="O1520" s="107">
        <f>VLOOKUP(G1520,Budget!$E$3:$G$2474,3,0)</f>
        <v>0</v>
      </c>
      <c r="P1520" s="107">
        <f t="shared" si="628"/>
        <v>0</v>
      </c>
      <c r="Q1520" s="107"/>
      <c r="R1520" s="10"/>
      <c r="S1520" s="107">
        <v>0</v>
      </c>
      <c r="T1520" s="107">
        <f t="shared" si="631"/>
        <v>0</v>
      </c>
      <c r="U1520" s="107"/>
      <c r="V1520" s="175"/>
      <c r="W1520" s="10"/>
      <c r="X1520" s="10"/>
      <c r="Y1520" t="str">
        <f t="shared" si="630"/>
        <v>3193</v>
      </c>
      <c r="AB1520" s="10"/>
      <c r="AC1520" s="10"/>
      <c r="AD1520" s="10"/>
      <c r="AE1520" s="10"/>
      <c r="AF1520" s="10"/>
      <c r="AG1520" s="10"/>
      <c r="AH1520" s="10"/>
      <c r="AI1520" s="10"/>
    </row>
    <row r="1521" spans="1:35">
      <c r="A1521" s="10"/>
      <c r="B1521" s="10" t="str">
        <f t="shared" si="629"/>
        <v>Below the LineSHOOT</v>
      </c>
      <c r="C1521" t="s">
        <v>20</v>
      </c>
      <c r="D1521" t="s">
        <v>19</v>
      </c>
      <c r="E1521" t="s">
        <v>236</v>
      </c>
      <c r="G1521" t="s">
        <v>2732</v>
      </c>
      <c r="I1521" s="10"/>
      <c r="J1521" s="107">
        <f>SUMIF(Data!C:C,G1521,Data!Q:Q)</f>
        <v>91800</v>
      </c>
      <c r="K1521" s="107">
        <f>SUMIF(Comprometidos!A:A,'Cost Report'!G1521,Comprometidos!E:E)</f>
        <v>0</v>
      </c>
      <c r="L1521" s="107">
        <f t="shared" si="625"/>
        <v>91800</v>
      </c>
      <c r="M1521" s="107">
        <v>0</v>
      </c>
      <c r="N1521" s="107">
        <f t="shared" si="627"/>
        <v>91800</v>
      </c>
      <c r="O1521" s="107">
        <f>VLOOKUP(G1521,Budget!$E$3:$G$2474,3,0)</f>
        <v>90000</v>
      </c>
      <c r="P1521" s="107">
        <f t="shared" si="628"/>
        <v>-1800</v>
      </c>
      <c r="Q1521" s="107"/>
      <c r="R1521" s="10"/>
      <c r="S1521" s="107">
        <v>91800</v>
      </c>
      <c r="T1521" s="107">
        <f t="shared" si="631"/>
        <v>0</v>
      </c>
      <c r="U1521" s="107"/>
      <c r="V1521" s="175"/>
      <c r="W1521" s="10"/>
      <c r="X1521" s="10"/>
      <c r="Y1521" t="str">
        <f t="shared" si="630"/>
        <v>3193</v>
      </c>
      <c r="AB1521" s="10"/>
      <c r="AC1521" s="10"/>
      <c r="AD1521" s="10"/>
      <c r="AE1521" s="10"/>
      <c r="AF1521" s="10"/>
      <c r="AG1521" s="10"/>
      <c r="AH1521" s="10"/>
      <c r="AI1521" s="10"/>
    </row>
    <row r="1522" spans="1:35">
      <c r="A1522" s="10"/>
      <c r="B1522" s="10" t="str">
        <f t="shared" si="629"/>
        <v>Below the Line</v>
      </c>
      <c r="C1522" t="s">
        <v>20</v>
      </c>
      <c r="D1522" t="s">
        <v>19</v>
      </c>
      <c r="E1522" t="s">
        <v>214</v>
      </c>
      <c r="G1522" t="s">
        <v>2733</v>
      </c>
      <c r="I1522" s="10"/>
      <c r="J1522" s="107">
        <f>SUMIF(Data!C:C,G1522,Data!Q:Q)</f>
        <v>0</v>
      </c>
      <c r="K1522" s="107">
        <f>SUMIF(Comprometidos!A:A,'Cost Report'!G1522,Comprometidos!E:E)</f>
        <v>0</v>
      </c>
      <c r="L1522" s="107">
        <f t="shared" si="625"/>
        <v>0</v>
      </c>
      <c r="M1522" s="107">
        <f t="shared" si="626"/>
        <v>0</v>
      </c>
      <c r="N1522" s="107">
        <f t="shared" si="627"/>
        <v>0</v>
      </c>
      <c r="O1522" s="107">
        <f>VLOOKUP(G1522,Budget!$E$3:$G$2474,3,0)</f>
        <v>0</v>
      </c>
      <c r="P1522" s="107">
        <f t="shared" si="628"/>
        <v>0</v>
      </c>
      <c r="Q1522" s="107"/>
      <c r="R1522" s="10"/>
      <c r="S1522" s="107">
        <v>0</v>
      </c>
      <c r="T1522" s="107">
        <f t="shared" si="631"/>
        <v>0</v>
      </c>
      <c r="U1522" s="107"/>
      <c r="V1522" s="175"/>
      <c r="W1522" s="10"/>
      <c r="X1522" s="10"/>
      <c r="Y1522" t="str">
        <f t="shared" si="630"/>
        <v>3193</v>
      </c>
      <c r="AB1522" s="10"/>
      <c r="AC1522" s="10"/>
      <c r="AD1522" s="10"/>
      <c r="AE1522" s="10"/>
      <c r="AF1522" s="10"/>
      <c r="AG1522" s="10"/>
      <c r="AH1522" s="10"/>
      <c r="AI1522" s="10"/>
    </row>
    <row r="1523" spans="1:35">
      <c r="A1523" s="10"/>
      <c r="B1523" s="10" t="str">
        <f t="shared" si="629"/>
        <v>Below the Line2nd Unit</v>
      </c>
      <c r="C1523" t="s">
        <v>20</v>
      </c>
      <c r="D1523" t="s">
        <v>19</v>
      </c>
      <c r="E1523" t="s">
        <v>1419</v>
      </c>
      <c r="G1523" t="s">
        <v>2734</v>
      </c>
      <c r="I1523" s="10"/>
      <c r="J1523" s="107">
        <f>SUMIF(Data!C:C,G1523,Data!Q:Q)</f>
        <v>366172.77999999997</v>
      </c>
      <c r="K1523" s="107">
        <f>SUMIF(Comprometidos!A:A,'Cost Report'!G1523,Comprometidos!E:E)</f>
        <v>0</v>
      </c>
      <c r="L1523" s="107">
        <f t="shared" si="625"/>
        <v>366172.77999999997</v>
      </c>
      <c r="M1523" s="107">
        <v>0</v>
      </c>
      <c r="N1523" s="107">
        <f t="shared" si="627"/>
        <v>366172.77999999997</v>
      </c>
      <c r="O1523" s="107">
        <f>VLOOKUP(G1523,Budget!$E$3:$G$2474,3,0)</f>
        <v>294000</v>
      </c>
      <c r="P1523" s="107">
        <f t="shared" si="628"/>
        <v>-72172.77999999997</v>
      </c>
      <c r="Q1523" s="107"/>
      <c r="R1523" s="10"/>
      <c r="S1523" s="107">
        <v>366172.77999999997</v>
      </c>
      <c r="T1523" s="107">
        <f t="shared" si="631"/>
        <v>0</v>
      </c>
      <c r="U1523" s="107"/>
      <c r="V1523" s="175"/>
      <c r="W1523" s="10"/>
      <c r="X1523" s="10"/>
      <c r="Y1523" t="str">
        <f t="shared" si="630"/>
        <v>3193</v>
      </c>
      <c r="AB1523" s="10"/>
      <c r="AC1523" s="10"/>
      <c r="AD1523" s="10"/>
      <c r="AE1523" s="10"/>
      <c r="AF1523" s="10"/>
      <c r="AG1523" s="10"/>
      <c r="AH1523" s="10"/>
      <c r="AI1523" s="10"/>
    </row>
    <row r="1524" spans="1:35">
      <c r="A1524" s="10"/>
      <c r="B1524" s="10" t="str">
        <f t="shared" si="629"/>
        <v>Below the Line2nd Unit</v>
      </c>
      <c r="C1524" t="s">
        <v>20</v>
      </c>
      <c r="D1524" t="s">
        <v>19</v>
      </c>
      <c r="E1524" t="s">
        <v>1419</v>
      </c>
      <c r="G1524" t="s">
        <v>3412</v>
      </c>
      <c r="I1524" s="10"/>
      <c r="J1524" s="107">
        <f>SUMIF(Data!C:C,G1524,Data!Q:Q)</f>
        <v>112500</v>
      </c>
      <c r="K1524" s="107">
        <f>SUMIF(Comprometidos!A:A,'Cost Report'!G1524,Comprometidos!E:E)</f>
        <v>0</v>
      </c>
      <c r="L1524" s="107">
        <f t="shared" ref="L1524:L1525" si="632">+J1524+K1524</f>
        <v>112500</v>
      </c>
      <c r="M1524" s="107">
        <v>0</v>
      </c>
      <c r="N1524" s="107">
        <f t="shared" ref="N1524:N1525" si="633">+L1524+M1524</f>
        <v>112500</v>
      </c>
      <c r="O1524" s="107">
        <f>VLOOKUP(G1524,Budget!$E$3:$G$2474,3,0)</f>
        <v>0</v>
      </c>
      <c r="P1524" s="107">
        <f t="shared" ref="P1524:P1525" si="634">+O1524-N1524</f>
        <v>-112500</v>
      </c>
      <c r="Q1524" s="107"/>
      <c r="R1524" s="10"/>
      <c r="S1524" s="107">
        <v>112500</v>
      </c>
      <c r="T1524" s="107">
        <f t="shared" ref="T1524:T1525" si="635">+S1524-N1524</f>
        <v>0</v>
      </c>
      <c r="U1524" s="107"/>
      <c r="V1524" s="175"/>
      <c r="W1524" s="10"/>
      <c r="X1524" s="10"/>
      <c r="Y1524" t="str">
        <f t="shared" ref="Y1524:Y1525" si="636">LEFT(G1524,4)</f>
        <v>3193</v>
      </c>
      <c r="AB1524" s="10"/>
      <c r="AC1524" s="10"/>
      <c r="AD1524" s="10"/>
      <c r="AE1524" s="10"/>
      <c r="AF1524" s="10"/>
      <c r="AG1524" s="10"/>
      <c r="AH1524" s="10"/>
      <c r="AI1524" s="10"/>
    </row>
    <row r="1525" spans="1:35">
      <c r="A1525" s="10"/>
      <c r="B1525" s="10" t="str">
        <f t="shared" si="629"/>
        <v>Below the Line2nd Unit</v>
      </c>
      <c r="C1525" t="s">
        <v>20</v>
      </c>
      <c r="D1525" t="s">
        <v>19</v>
      </c>
      <c r="E1525" t="s">
        <v>1419</v>
      </c>
      <c r="G1525" t="s">
        <v>3411</v>
      </c>
      <c r="I1525" s="10"/>
      <c r="J1525" s="107">
        <f>SUMIF(Data!C:C,G1525,Data!Q:Q)</f>
        <v>48600</v>
      </c>
      <c r="K1525" s="107">
        <f>SUMIF(Comprometidos!A:A,'Cost Report'!G1525,Comprometidos!E:E)</f>
        <v>0</v>
      </c>
      <c r="L1525" s="107">
        <f t="shared" si="632"/>
        <v>48600</v>
      </c>
      <c r="M1525" s="107">
        <v>0</v>
      </c>
      <c r="N1525" s="107">
        <f t="shared" si="633"/>
        <v>48600</v>
      </c>
      <c r="O1525" s="107">
        <f>VLOOKUP(G1525,Budget!$E$3:$G$2474,3,0)</f>
        <v>0</v>
      </c>
      <c r="P1525" s="107">
        <f t="shared" si="634"/>
        <v>-48600</v>
      </c>
      <c r="Q1525" s="107"/>
      <c r="R1525" s="10"/>
      <c r="S1525" s="107">
        <v>48600</v>
      </c>
      <c r="T1525" s="107">
        <f t="shared" si="635"/>
        <v>0</v>
      </c>
      <c r="U1525" s="107"/>
      <c r="V1525" s="175"/>
      <c r="W1525" s="10"/>
      <c r="X1525" s="10"/>
      <c r="Y1525" t="str">
        <f t="shared" si="636"/>
        <v>3193</v>
      </c>
      <c r="AB1525" s="10"/>
      <c r="AC1525" s="10"/>
      <c r="AD1525" s="10"/>
      <c r="AE1525" s="10"/>
      <c r="AF1525" s="10"/>
      <c r="AG1525" s="10"/>
      <c r="AH1525" s="10"/>
      <c r="AI1525" s="10"/>
    </row>
    <row r="1526" spans="1:35">
      <c r="A1526" s="10"/>
      <c r="B1526" s="10" t="str">
        <f>+C1526</f>
        <v>Below the Line</v>
      </c>
      <c r="C1526" s="128" t="s">
        <v>20</v>
      </c>
      <c r="D1526" s="128" t="s">
        <v>2117</v>
      </c>
      <c r="E1526" s="128"/>
      <c r="F1526" s="128"/>
      <c r="G1526" s="128" t="s">
        <v>905</v>
      </c>
      <c r="H1526" s="128"/>
      <c r="I1526" s="10"/>
      <c r="J1526" s="129">
        <f>SUMIF($Y$11:$Y$2484,G1526,J$11:J$2484)</f>
        <v>30357</v>
      </c>
      <c r="K1526" s="129">
        <f>SUMIF($Y$11:$Y$2484,G1526,K$11:K$2484)</f>
        <v>0</v>
      </c>
      <c r="L1526" s="129">
        <f>SUMIF($Y$11:$Y$2484,G1526,L$11:L$2484)</f>
        <v>30357</v>
      </c>
      <c r="M1526" s="129">
        <f>SUMIF($Y$11:$Y$2484,G1526,M$11:M$2484)</f>
        <v>0</v>
      </c>
      <c r="N1526" s="129">
        <f>SUMIF($Y$11:$Y$2484,G1526,N$11:N$2484)</f>
        <v>30357</v>
      </c>
      <c r="O1526" s="129">
        <f>SUMIF($Y$11:$Y$2484,G1526,O$11:O$2484)</f>
        <v>300000</v>
      </c>
      <c r="P1526" s="129">
        <f>SUMIF($Y$11:$Y$2484,G1526,P$11:P$2484)</f>
        <v>269643</v>
      </c>
      <c r="Q1526" s="129"/>
      <c r="R1526" s="10"/>
      <c r="S1526" s="129">
        <v>30357</v>
      </c>
      <c r="T1526" s="129">
        <f t="shared" si="631"/>
        <v>0</v>
      </c>
      <c r="U1526" s="128"/>
      <c r="V1526" s="175"/>
      <c r="W1526" s="10"/>
      <c r="X1526" s="10"/>
      <c r="Z1526" t="str">
        <f>LEFT(G1526,2)</f>
        <v>31</v>
      </c>
      <c r="AA1526" t="str">
        <f>+Z1526&amp;"00"</f>
        <v>3100</v>
      </c>
      <c r="AB1526" s="10"/>
      <c r="AC1526" s="10"/>
      <c r="AD1526" s="10"/>
      <c r="AE1526" s="10"/>
      <c r="AF1526" s="10"/>
      <c r="AG1526" s="10"/>
      <c r="AH1526" s="10"/>
      <c r="AI1526" s="10"/>
    </row>
    <row r="1527" spans="1:35">
      <c r="A1527" s="10"/>
      <c r="B1527" s="10" t="str">
        <f t="shared" ref="B1527:B1528" si="637">+C1527&amp;E1527</f>
        <v>Below the Line</v>
      </c>
      <c r="C1527" t="s">
        <v>20</v>
      </c>
      <c r="D1527" t="s">
        <v>19</v>
      </c>
      <c r="E1527" t="s">
        <v>214</v>
      </c>
      <c r="G1527" t="s">
        <v>906</v>
      </c>
      <c r="I1527" s="10"/>
      <c r="J1527" s="107">
        <f>SUMIF(Data!C:C,G1527,Data!Q:Q)</f>
        <v>0</v>
      </c>
      <c r="K1527" s="107">
        <f>SUMIF(Comprometidos!A:A,'Cost Report'!G1527,Comprometidos!E:E)</f>
        <v>0</v>
      </c>
      <c r="L1527" s="107">
        <f t="shared" ref="L1527:L1559" si="638">+J1527+K1527</f>
        <v>0</v>
      </c>
      <c r="M1527" s="107">
        <f t="shared" ref="M1527:M1558" si="639">+O1527-L1527</f>
        <v>0</v>
      </c>
      <c r="N1527" s="107">
        <f t="shared" ref="N1527:N1559" si="640">+L1527+M1527</f>
        <v>0</v>
      </c>
      <c r="O1527" s="107">
        <f>VLOOKUP(G1527,Budget!$E$3:$G$2474,3,0)</f>
        <v>0</v>
      </c>
      <c r="P1527" s="107">
        <f t="shared" ref="P1527:P1559" si="641">+O1527-N1527</f>
        <v>0</v>
      </c>
      <c r="Q1527" s="107"/>
      <c r="R1527" s="10"/>
      <c r="S1527" s="107">
        <v>0</v>
      </c>
      <c r="T1527" s="107">
        <f t="shared" si="631"/>
        <v>0</v>
      </c>
      <c r="U1527" s="107"/>
      <c r="V1527" s="175"/>
      <c r="W1527" s="10"/>
      <c r="X1527" s="10"/>
      <c r="Y1527" t="str">
        <f t="shared" ref="Y1527:Y1528" si="642">LEFT(G1527,4)</f>
        <v>3198</v>
      </c>
      <c r="AB1527" s="10"/>
      <c r="AC1527" s="10"/>
      <c r="AD1527" s="10"/>
      <c r="AE1527" s="10"/>
      <c r="AF1527" s="10"/>
      <c r="AG1527" s="10"/>
      <c r="AH1527" s="10"/>
      <c r="AI1527" s="10"/>
    </row>
    <row r="1528" spans="1:35">
      <c r="A1528" s="10"/>
      <c r="B1528" s="10" t="str">
        <f t="shared" si="637"/>
        <v>Below the LineSHOOT</v>
      </c>
      <c r="C1528" t="s">
        <v>20</v>
      </c>
      <c r="D1528" t="s">
        <v>19</v>
      </c>
      <c r="E1528" t="s">
        <v>236</v>
      </c>
      <c r="G1528" t="s">
        <v>2735</v>
      </c>
      <c r="I1528" s="10"/>
      <c r="J1528" s="107">
        <f>SUMIF(Data!C:C,G1528,Data!Q:Q)</f>
        <v>30357</v>
      </c>
      <c r="K1528" s="107">
        <f>SUMIF(Comprometidos!A:A,'Cost Report'!G1528,Comprometidos!E:E)</f>
        <v>0</v>
      </c>
      <c r="L1528" s="107">
        <f t="shared" si="638"/>
        <v>30357</v>
      </c>
      <c r="M1528" s="107">
        <f>+O1528-L1528-150000-120000+357</f>
        <v>0</v>
      </c>
      <c r="N1528" s="107">
        <f t="shared" si="640"/>
        <v>30357</v>
      </c>
      <c r="O1528" s="107">
        <f>VLOOKUP(G1528,Budget!$E$3:$G$2474,3,0)</f>
        <v>300000</v>
      </c>
      <c r="P1528" s="107">
        <f t="shared" si="641"/>
        <v>269643</v>
      </c>
      <c r="Q1528" s="107"/>
      <c r="R1528" s="10"/>
      <c r="S1528" s="107">
        <v>30357</v>
      </c>
      <c r="T1528" s="107">
        <f t="shared" si="631"/>
        <v>0</v>
      </c>
      <c r="U1528" s="107"/>
      <c r="V1528" s="175"/>
      <c r="W1528" s="10"/>
      <c r="X1528" s="10"/>
      <c r="Y1528" t="str">
        <f t="shared" si="642"/>
        <v>3198</v>
      </c>
      <c r="AB1528" s="10"/>
      <c r="AC1528" s="10"/>
      <c r="AD1528" s="10"/>
      <c r="AE1528" s="10"/>
      <c r="AF1528" s="10"/>
      <c r="AG1528" s="10"/>
      <c r="AH1528" s="10"/>
      <c r="AI1528" s="10"/>
    </row>
    <row r="1529" spans="1:35">
      <c r="A1529" s="10"/>
      <c r="B1529" s="10"/>
      <c r="C1529" s="170" t="s">
        <v>20</v>
      </c>
      <c r="D1529" s="170" t="s">
        <v>8</v>
      </c>
      <c r="E1529" s="170"/>
      <c r="F1529" s="170"/>
      <c r="G1529" s="170" t="s">
        <v>907</v>
      </c>
      <c r="H1529" s="170"/>
      <c r="I1529" s="10"/>
      <c r="J1529" s="169">
        <f>SUMIF($AA$10:$AA$2484,G1529,J$10:J$2484)</f>
        <v>1472577.4100000001</v>
      </c>
      <c r="K1529" s="169">
        <f>SUMIF($AA$10:$AA$2484,G1529,K$10:K$2484)</f>
        <v>0</v>
      </c>
      <c r="L1529" s="169">
        <f>SUMIF($AA$10:$AA$2484,G1529,L$10:L$2484)</f>
        <v>1472577.4100000001</v>
      </c>
      <c r="M1529" s="169">
        <f>SUMIF($AA$10:$AA$2484,G1529,M$10:M$2484)</f>
        <v>3.637978807091713E-12</v>
      </c>
      <c r="N1529" s="169">
        <f>SUMIF($AA$10:$AA$2484,G1529,N$10:N$2484)</f>
        <v>1472577.4100000001</v>
      </c>
      <c r="O1529" s="169">
        <f>SUMIF($AA$10:$AA$2484,G1529,O$10:O$2484)</f>
        <v>1139000</v>
      </c>
      <c r="P1529" s="168">
        <f>SUMIF($AA$10:$AA$2484,G1529,P$10:P$2484)</f>
        <v>-333577.41000000003</v>
      </c>
      <c r="Q1529" s="169"/>
      <c r="R1529" s="10"/>
      <c r="S1529" s="164">
        <v>1472577.4100000001</v>
      </c>
      <c r="T1529" s="164">
        <f t="shared" si="631"/>
        <v>0</v>
      </c>
      <c r="U1529" s="163"/>
      <c r="V1529" s="175"/>
      <c r="W1529" s="10"/>
      <c r="X1529" s="10"/>
      <c r="AB1529" s="10"/>
      <c r="AC1529" s="10"/>
      <c r="AD1529" s="10"/>
      <c r="AE1529" s="10"/>
      <c r="AF1529" s="10"/>
      <c r="AG1529" s="10"/>
      <c r="AH1529" s="10"/>
      <c r="AI1529" s="10"/>
    </row>
    <row r="1530" spans="1:35">
      <c r="A1530" s="10"/>
      <c r="B1530" s="10" t="str">
        <f>+C1530</f>
        <v>Below the Line</v>
      </c>
      <c r="C1530" s="128" t="s">
        <v>20</v>
      </c>
      <c r="D1530" s="128" t="s">
        <v>2117</v>
      </c>
      <c r="E1530" s="128"/>
      <c r="F1530" s="128"/>
      <c r="G1530" s="128" t="s">
        <v>908</v>
      </c>
      <c r="H1530" s="128"/>
      <c r="I1530" s="10"/>
      <c r="J1530" s="129">
        <f>SUMIF($Y$11:$Y$2484,G1530,J$11:J$2484)</f>
        <v>519733.33</v>
      </c>
      <c r="K1530" s="129">
        <f>SUMIF($Y$11:$Y$2484,G1530,K$11:K$2484)</f>
        <v>0</v>
      </c>
      <c r="L1530" s="129">
        <f>SUMIF($Y$11:$Y$2484,G1530,L$11:L$2484)</f>
        <v>519733.33</v>
      </c>
      <c r="M1530" s="129">
        <f>SUMIF($Y$11:$Y$2484,G1530,M$11:M$2484)</f>
        <v>0</v>
      </c>
      <c r="N1530" s="129">
        <f>SUMIF($Y$11:$Y$2484,G1530,N$11:N$2484)</f>
        <v>519733.33</v>
      </c>
      <c r="O1530" s="129">
        <f>SUMIF($Y$11:$Y$2484,G1530,O$11:O$2484)</f>
        <v>483500</v>
      </c>
      <c r="P1530" s="129">
        <f>SUMIF($Y$11:$Y$2484,G1530,P$11:P$2484)</f>
        <v>-36233.33</v>
      </c>
      <c r="Q1530" s="129"/>
      <c r="R1530" s="10"/>
      <c r="S1530" s="129">
        <v>519733.33</v>
      </c>
      <c r="T1530" s="129">
        <f t="shared" si="631"/>
        <v>0</v>
      </c>
      <c r="U1530" s="128"/>
      <c r="V1530" s="175"/>
      <c r="W1530" s="10"/>
      <c r="X1530" s="10"/>
      <c r="Z1530" t="str">
        <f>LEFT(G1530,2)</f>
        <v>32</v>
      </c>
      <c r="AA1530" t="str">
        <f>+Z1530&amp;"00"</f>
        <v>3200</v>
      </c>
      <c r="AB1530" s="10"/>
      <c r="AC1530" s="10"/>
      <c r="AD1530" s="10"/>
      <c r="AE1530" s="10"/>
      <c r="AF1530" s="10"/>
      <c r="AG1530" s="10"/>
      <c r="AH1530" s="10"/>
      <c r="AI1530" s="10"/>
    </row>
    <row r="1531" spans="1:35">
      <c r="A1531" s="10"/>
      <c r="B1531" s="10" t="str">
        <f t="shared" ref="B1531:B1542" si="643">+C1531&amp;E1531</f>
        <v>Below the Line</v>
      </c>
      <c r="C1531" t="s">
        <v>20</v>
      </c>
      <c r="D1531" t="s">
        <v>19</v>
      </c>
      <c r="E1531" t="s">
        <v>214</v>
      </c>
      <c r="G1531" t="s">
        <v>909</v>
      </c>
      <c r="I1531" s="10"/>
      <c r="J1531" s="107">
        <f>SUMIF(Data!C:C,G1531,Data!Q:Q)</f>
        <v>0</v>
      </c>
      <c r="K1531" s="107">
        <f>SUMIF(Comprometidos!A:A,'Cost Report'!G1531,Comprometidos!E:E)</f>
        <v>0</v>
      </c>
      <c r="L1531" s="107">
        <f t="shared" si="638"/>
        <v>0</v>
      </c>
      <c r="M1531" s="107">
        <f t="shared" si="639"/>
        <v>0</v>
      </c>
      <c r="N1531" s="107">
        <f t="shared" si="640"/>
        <v>0</v>
      </c>
      <c r="O1531" s="107">
        <f>VLOOKUP(G1531,Budget!$E$3:$G$2474,3,0)</f>
        <v>0</v>
      </c>
      <c r="P1531" s="107">
        <f t="shared" si="641"/>
        <v>0</v>
      </c>
      <c r="Q1531" s="107"/>
      <c r="R1531" s="10"/>
      <c r="S1531" s="107">
        <v>0</v>
      </c>
      <c r="T1531" s="107">
        <f t="shared" si="631"/>
        <v>0</v>
      </c>
      <c r="U1531" s="107"/>
      <c r="V1531" s="175"/>
      <c r="W1531" s="10"/>
      <c r="X1531" s="10"/>
      <c r="Y1531" t="str">
        <f t="shared" ref="Y1531:Y1542" si="644">LEFT(G1531,4)</f>
        <v>3201</v>
      </c>
      <c r="AB1531" s="10"/>
      <c r="AC1531" s="10"/>
      <c r="AD1531" s="10"/>
      <c r="AE1531" s="10"/>
      <c r="AF1531" s="10"/>
      <c r="AG1531" s="10"/>
      <c r="AH1531" s="10"/>
      <c r="AI1531" s="10"/>
    </row>
    <row r="1532" spans="1:35">
      <c r="A1532" s="10"/>
      <c r="B1532" s="10" t="str">
        <f t="shared" si="643"/>
        <v>Below the LinePREP</v>
      </c>
      <c r="C1532" t="s">
        <v>20</v>
      </c>
      <c r="D1532" t="s">
        <v>19</v>
      </c>
      <c r="E1532" t="s">
        <v>234</v>
      </c>
      <c r="G1532" t="s">
        <v>910</v>
      </c>
      <c r="I1532" s="10"/>
      <c r="J1532" s="107">
        <f>SUMIF(Data!C:C,G1532,Data!Q:Q)</f>
        <v>16000</v>
      </c>
      <c r="K1532" s="107">
        <f>SUMIF(Comprometidos!A:A,'Cost Report'!G1532,Comprometidos!E:E)</f>
        <v>0</v>
      </c>
      <c r="L1532" s="107">
        <f t="shared" si="638"/>
        <v>16000</v>
      </c>
      <c r="M1532" s="107">
        <f t="shared" si="639"/>
        <v>0</v>
      </c>
      <c r="N1532" s="107">
        <f t="shared" si="640"/>
        <v>16000</v>
      </c>
      <c r="O1532" s="107">
        <f>VLOOKUP(G1532,Budget!$E$3:$G$2474,3,0)</f>
        <v>16000</v>
      </c>
      <c r="P1532" s="107">
        <f t="shared" si="641"/>
        <v>0</v>
      </c>
      <c r="Q1532" s="107"/>
      <c r="R1532" s="10"/>
      <c r="S1532" s="107">
        <v>16000</v>
      </c>
      <c r="T1532" s="107">
        <f t="shared" si="631"/>
        <v>0</v>
      </c>
      <c r="U1532" s="107"/>
      <c r="V1532" s="175"/>
      <c r="W1532" s="10"/>
      <c r="X1532" s="10"/>
      <c r="Y1532" t="str">
        <f t="shared" si="644"/>
        <v>3201</v>
      </c>
      <c r="AB1532" s="10"/>
      <c r="AC1532" s="10"/>
      <c r="AD1532" s="10"/>
      <c r="AE1532" s="10"/>
      <c r="AF1532" s="10"/>
      <c r="AG1532" s="10"/>
      <c r="AH1532" s="10"/>
      <c r="AI1532" s="10"/>
    </row>
    <row r="1533" spans="1:35">
      <c r="A1533" s="10"/>
      <c r="B1533" s="10" t="str">
        <f t="shared" si="643"/>
        <v>Below the LineSHOOT</v>
      </c>
      <c r="C1533" t="s">
        <v>20</v>
      </c>
      <c r="D1533" t="s">
        <v>19</v>
      </c>
      <c r="E1533" t="s">
        <v>236</v>
      </c>
      <c r="G1533" t="s">
        <v>911</v>
      </c>
      <c r="I1533" s="10"/>
      <c r="J1533" s="107">
        <f>SUMIF(Data!C:C,G1533,Data!Q:Q)</f>
        <v>120700</v>
      </c>
      <c r="K1533" s="107">
        <f>SUMIF(Comprometidos!A:A,'Cost Report'!G1533,Comprometidos!E:E)</f>
        <v>0</v>
      </c>
      <c r="L1533" s="107">
        <f t="shared" si="638"/>
        <v>120700</v>
      </c>
      <c r="M1533" s="107">
        <v>0</v>
      </c>
      <c r="N1533" s="107">
        <f t="shared" si="640"/>
        <v>120700</v>
      </c>
      <c r="O1533" s="107">
        <f>VLOOKUP(G1533,Budget!$E$3:$G$2474,3,0)</f>
        <v>112000</v>
      </c>
      <c r="P1533" s="107">
        <f t="shared" si="641"/>
        <v>-8700</v>
      </c>
      <c r="Q1533" s="107"/>
      <c r="R1533" s="10"/>
      <c r="S1533" s="107">
        <v>120700</v>
      </c>
      <c r="T1533" s="107">
        <f t="shared" si="631"/>
        <v>0</v>
      </c>
      <c r="U1533" s="107"/>
      <c r="V1533" s="175"/>
      <c r="W1533" s="10"/>
      <c r="X1533" s="10"/>
      <c r="Y1533" t="str">
        <f t="shared" si="644"/>
        <v>3201</v>
      </c>
      <c r="AB1533" s="10"/>
      <c r="AC1533" s="10"/>
      <c r="AD1533" s="10"/>
      <c r="AE1533" s="10"/>
      <c r="AF1533" s="10"/>
      <c r="AG1533" s="10"/>
      <c r="AH1533" s="10"/>
      <c r="AI1533" s="10"/>
    </row>
    <row r="1534" spans="1:35">
      <c r="A1534" s="10"/>
      <c r="B1534" s="10" t="str">
        <f t="shared" si="643"/>
        <v>Below the LineSHOOT</v>
      </c>
      <c r="C1534" t="s">
        <v>20</v>
      </c>
      <c r="D1534" t="s">
        <v>19</v>
      </c>
      <c r="E1534" t="s">
        <v>236</v>
      </c>
      <c r="G1534" t="s">
        <v>912</v>
      </c>
      <c r="I1534" s="10"/>
      <c r="J1534" s="107">
        <f>SUMIF(Data!C:C,G1534,Data!Q:Q)</f>
        <v>120500</v>
      </c>
      <c r="K1534" s="107">
        <f>SUMIF(Comprometidos!A:A,'Cost Report'!G1534,Comprometidos!E:E)</f>
        <v>0</v>
      </c>
      <c r="L1534" s="107">
        <f t="shared" si="638"/>
        <v>120500</v>
      </c>
      <c r="M1534" s="107">
        <v>0</v>
      </c>
      <c r="N1534" s="107">
        <f t="shared" si="640"/>
        <v>120500</v>
      </c>
      <c r="O1534" s="107">
        <f>VLOOKUP(G1534,Budget!$E$3:$G$2474,3,0)</f>
        <v>84000</v>
      </c>
      <c r="P1534" s="107">
        <f t="shared" si="641"/>
        <v>-36500</v>
      </c>
      <c r="Q1534" s="107"/>
      <c r="R1534" s="10"/>
      <c r="S1534" s="107">
        <v>120500</v>
      </c>
      <c r="T1534" s="107">
        <f t="shared" si="631"/>
        <v>0</v>
      </c>
      <c r="U1534" s="107"/>
      <c r="V1534" s="175"/>
      <c r="W1534" s="10"/>
      <c r="X1534" s="10"/>
      <c r="Y1534" t="str">
        <f t="shared" si="644"/>
        <v>3201</v>
      </c>
      <c r="AB1534" s="10"/>
      <c r="AC1534" s="10"/>
      <c r="AD1534" s="10"/>
      <c r="AE1534" s="10"/>
      <c r="AF1534" s="10"/>
      <c r="AG1534" s="10"/>
      <c r="AH1534" s="10"/>
      <c r="AI1534" s="10"/>
    </row>
    <row r="1535" spans="1:35">
      <c r="A1535" s="10"/>
      <c r="B1535" s="10" t="str">
        <f t="shared" si="643"/>
        <v>Below the LineSHOOT</v>
      </c>
      <c r="C1535" t="s">
        <v>20</v>
      </c>
      <c r="D1535" t="s">
        <v>19</v>
      </c>
      <c r="E1535" t="s">
        <v>236</v>
      </c>
      <c r="G1535" t="s">
        <v>913</v>
      </c>
      <c r="I1535" s="10"/>
      <c r="J1535" s="107">
        <f>SUMIF(Data!C:C,G1535,Data!Q:Q)</f>
        <v>63000</v>
      </c>
      <c r="K1535" s="107">
        <f>SUMIF(Comprometidos!A:A,'Cost Report'!G1535,Comprometidos!E:E)</f>
        <v>0</v>
      </c>
      <c r="L1535" s="107">
        <f t="shared" si="638"/>
        <v>63000</v>
      </c>
      <c r="M1535" s="107">
        <f t="shared" si="639"/>
        <v>0</v>
      </c>
      <c r="N1535" s="107">
        <f t="shared" si="640"/>
        <v>63000</v>
      </c>
      <c r="O1535" s="107">
        <f>VLOOKUP(G1535,Budget!$E$3:$G$2474,3,0)</f>
        <v>63000</v>
      </c>
      <c r="P1535" s="107">
        <f t="shared" si="641"/>
        <v>0</v>
      </c>
      <c r="Q1535" s="107"/>
      <c r="R1535" s="10"/>
      <c r="S1535" s="107">
        <v>63000</v>
      </c>
      <c r="T1535" s="107">
        <f t="shared" si="631"/>
        <v>0</v>
      </c>
      <c r="U1535" s="107"/>
      <c r="V1535" s="175"/>
      <c r="W1535" s="10"/>
      <c r="X1535" s="10"/>
      <c r="Y1535" t="str">
        <f t="shared" si="644"/>
        <v>3201</v>
      </c>
      <c r="AB1535" s="10"/>
      <c r="AC1535" s="10"/>
      <c r="AD1535" s="10"/>
      <c r="AE1535" s="10"/>
      <c r="AF1535" s="10"/>
      <c r="AG1535" s="10"/>
      <c r="AH1535" s="10"/>
      <c r="AI1535" s="10"/>
    </row>
    <row r="1536" spans="1:35">
      <c r="A1536" s="10"/>
      <c r="B1536" s="10" t="str">
        <f t="shared" si="643"/>
        <v>Below the LineSHOOT</v>
      </c>
      <c r="C1536" t="s">
        <v>20</v>
      </c>
      <c r="D1536" t="s">
        <v>19</v>
      </c>
      <c r="E1536" t="s">
        <v>236</v>
      </c>
      <c r="G1536" t="s">
        <v>914</v>
      </c>
      <c r="I1536" s="10"/>
      <c r="J1536" s="107">
        <f>SUMIF(Data!C:C,G1536,Data!Q:Q)</f>
        <v>98000</v>
      </c>
      <c r="K1536" s="107">
        <f>SUMIF(Comprometidos!A:A,'Cost Report'!G1536,Comprometidos!E:E)</f>
        <v>0</v>
      </c>
      <c r="L1536" s="107">
        <f t="shared" si="638"/>
        <v>98000</v>
      </c>
      <c r="M1536" s="107">
        <f t="shared" si="639"/>
        <v>0</v>
      </c>
      <c r="N1536" s="107">
        <f t="shared" si="640"/>
        <v>98000</v>
      </c>
      <c r="O1536" s="107">
        <f>VLOOKUP(G1536,Budget!$E$3:$G$2474,3,0)</f>
        <v>98000</v>
      </c>
      <c r="P1536" s="107">
        <f t="shared" si="641"/>
        <v>0</v>
      </c>
      <c r="Q1536" s="107"/>
      <c r="R1536" s="10"/>
      <c r="S1536" s="107">
        <v>98000</v>
      </c>
      <c r="T1536" s="107">
        <f t="shared" si="631"/>
        <v>0</v>
      </c>
      <c r="U1536" s="107"/>
      <c r="V1536" s="175"/>
      <c r="W1536" s="10"/>
      <c r="X1536" s="10"/>
      <c r="Y1536" t="str">
        <f t="shared" si="644"/>
        <v>3201</v>
      </c>
      <c r="AB1536" s="10"/>
      <c r="AC1536" s="10"/>
      <c r="AD1536" s="10"/>
      <c r="AE1536" s="10"/>
      <c r="AF1536" s="10"/>
      <c r="AG1536" s="10"/>
      <c r="AH1536" s="10"/>
      <c r="AI1536" s="10"/>
    </row>
    <row r="1537" spans="1:35">
      <c r="A1537" s="10"/>
      <c r="B1537" s="10" t="str">
        <f t="shared" si="643"/>
        <v>Below the LineSHOOT</v>
      </c>
      <c r="C1537" t="s">
        <v>20</v>
      </c>
      <c r="D1537" t="s">
        <v>19</v>
      </c>
      <c r="E1537" t="s">
        <v>236</v>
      </c>
      <c r="G1537" t="s">
        <v>915</v>
      </c>
      <c r="I1537" s="10"/>
      <c r="J1537" s="107">
        <f>SUMIF(Data!C:C,G1537,Data!Q:Q)</f>
        <v>14533.33</v>
      </c>
      <c r="K1537" s="107">
        <f>SUMIF(Comprometidos!A:A,'Cost Report'!G1537,Comprometidos!E:E)</f>
        <v>0</v>
      </c>
      <c r="L1537" s="107">
        <f t="shared" si="638"/>
        <v>14533.33</v>
      </c>
      <c r="M1537" s="107">
        <v>0</v>
      </c>
      <c r="N1537" s="107">
        <f t="shared" si="640"/>
        <v>14533.33</v>
      </c>
      <c r="O1537" s="107">
        <f>VLOOKUP(G1537,Budget!$E$3:$G$2474,3,0)</f>
        <v>8500</v>
      </c>
      <c r="P1537" s="107">
        <f t="shared" si="641"/>
        <v>-6033.33</v>
      </c>
      <c r="Q1537" s="107"/>
      <c r="R1537" s="10"/>
      <c r="S1537" s="107">
        <v>14533.33</v>
      </c>
      <c r="T1537" s="107">
        <f t="shared" si="631"/>
        <v>0</v>
      </c>
      <c r="U1537" s="107"/>
      <c r="V1537" s="175"/>
      <c r="W1537" s="10"/>
      <c r="X1537" s="10"/>
      <c r="Y1537" t="str">
        <f t="shared" si="644"/>
        <v>3201</v>
      </c>
      <c r="AB1537" s="10"/>
      <c r="AC1537" s="10"/>
      <c r="AD1537" s="10"/>
      <c r="AE1537" s="10"/>
      <c r="AF1537" s="10"/>
      <c r="AG1537" s="10"/>
      <c r="AH1537" s="10"/>
      <c r="AI1537" s="10"/>
    </row>
    <row r="1538" spans="1:35">
      <c r="A1538" s="10"/>
      <c r="B1538" s="10" t="str">
        <f t="shared" si="643"/>
        <v>Below the Line</v>
      </c>
      <c r="C1538" t="s">
        <v>20</v>
      </c>
      <c r="D1538" t="s">
        <v>19</v>
      </c>
      <c r="E1538" t="s">
        <v>214</v>
      </c>
      <c r="G1538" t="s">
        <v>916</v>
      </c>
      <c r="I1538" s="10"/>
      <c r="J1538" s="107">
        <f>SUMIF(Data!C:C,G1538,Data!Q:Q)</f>
        <v>0</v>
      </c>
      <c r="K1538" s="107">
        <f>SUMIF(Comprometidos!A:A,'Cost Report'!G1538,Comprometidos!E:E)</f>
        <v>0</v>
      </c>
      <c r="L1538" s="107">
        <f t="shared" si="638"/>
        <v>0</v>
      </c>
      <c r="M1538" s="107">
        <f t="shared" si="639"/>
        <v>0</v>
      </c>
      <c r="N1538" s="107">
        <f t="shared" si="640"/>
        <v>0</v>
      </c>
      <c r="O1538" s="107">
        <f>VLOOKUP(G1538,Budget!$E$3:$G$2474,3,0)</f>
        <v>0</v>
      </c>
      <c r="P1538" s="107">
        <f t="shared" si="641"/>
        <v>0</v>
      </c>
      <c r="Q1538" s="107"/>
      <c r="R1538" s="10"/>
      <c r="S1538" s="107">
        <v>0</v>
      </c>
      <c r="T1538" s="107">
        <f t="shared" si="631"/>
        <v>0</v>
      </c>
      <c r="U1538" s="107"/>
      <c r="V1538" s="175"/>
      <c r="W1538" s="10"/>
      <c r="X1538" s="10"/>
      <c r="Y1538" t="str">
        <f t="shared" si="644"/>
        <v>3201</v>
      </c>
      <c r="AB1538" s="10"/>
      <c r="AC1538" s="10"/>
      <c r="AD1538" s="10"/>
      <c r="AE1538" s="10"/>
      <c r="AF1538" s="10"/>
      <c r="AG1538" s="10"/>
      <c r="AH1538" s="10"/>
      <c r="AI1538" s="10"/>
    </row>
    <row r="1539" spans="1:35">
      <c r="A1539" s="10"/>
      <c r="B1539" s="10" t="str">
        <f t="shared" si="643"/>
        <v>Below the Line2nd Unit</v>
      </c>
      <c r="C1539" t="s">
        <v>20</v>
      </c>
      <c r="D1539" t="s">
        <v>19</v>
      </c>
      <c r="E1539" t="s">
        <v>1419</v>
      </c>
      <c r="G1539" t="s">
        <v>917</v>
      </c>
      <c r="I1539" s="10"/>
      <c r="J1539" s="107">
        <f>SUMIF(Data!C:C,G1539,Data!Q:Q)</f>
        <v>11000</v>
      </c>
      <c r="K1539" s="107">
        <f>SUMIF(Comprometidos!A:A,'Cost Report'!G1539,Comprometidos!E:E)</f>
        <v>0</v>
      </c>
      <c r="L1539" s="107">
        <f t="shared" si="638"/>
        <v>11000</v>
      </c>
      <c r="M1539" s="107">
        <v>0</v>
      </c>
      <c r="N1539" s="107">
        <f t="shared" si="640"/>
        <v>11000</v>
      </c>
      <c r="O1539" s="107">
        <f>VLOOKUP(G1539,Budget!$E$3:$G$2474,3,0)</f>
        <v>32000</v>
      </c>
      <c r="P1539" s="107">
        <f t="shared" si="641"/>
        <v>21000</v>
      </c>
      <c r="Q1539" s="107"/>
      <c r="R1539" s="10"/>
      <c r="S1539" s="107">
        <v>11000</v>
      </c>
      <c r="T1539" s="107">
        <f t="shared" si="631"/>
        <v>0</v>
      </c>
      <c r="U1539" s="107"/>
      <c r="V1539" s="175"/>
      <c r="W1539" s="10"/>
      <c r="X1539" s="10"/>
      <c r="Y1539" t="str">
        <f t="shared" si="644"/>
        <v>3201</v>
      </c>
      <c r="AB1539" s="10"/>
      <c r="AC1539" s="10"/>
      <c r="AD1539" s="10"/>
      <c r="AE1539" s="10"/>
      <c r="AF1539" s="10"/>
      <c r="AG1539" s="10"/>
      <c r="AH1539" s="10"/>
      <c r="AI1539" s="10"/>
    </row>
    <row r="1540" spans="1:35">
      <c r="A1540" s="10"/>
      <c r="B1540" s="10" t="str">
        <f t="shared" si="643"/>
        <v>Below the Line2nd Unit</v>
      </c>
      <c r="C1540" t="s">
        <v>20</v>
      </c>
      <c r="D1540" t="s">
        <v>19</v>
      </c>
      <c r="E1540" t="s">
        <v>1419</v>
      </c>
      <c r="G1540" t="s">
        <v>2736</v>
      </c>
      <c r="I1540" s="10"/>
      <c r="J1540" s="107">
        <f>SUMIF(Data!C:C,G1540,Data!Q:Q)</f>
        <v>24000</v>
      </c>
      <c r="K1540" s="107">
        <f>SUMIF(Comprometidos!A:A,'Cost Report'!G1540,Comprometidos!E:E)</f>
        <v>0</v>
      </c>
      <c r="L1540" s="107">
        <f t="shared" si="638"/>
        <v>24000</v>
      </c>
      <c r="M1540" s="107">
        <f t="shared" si="639"/>
        <v>0</v>
      </c>
      <c r="N1540" s="107">
        <f t="shared" si="640"/>
        <v>24000</v>
      </c>
      <c r="O1540" s="107">
        <f>VLOOKUP(G1540,Budget!$E$3:$G$2474,3,0)</f>
        <v>24000</v>
      </c>
      <c r="P1540" s="107">
        <f t="shared" si="641"/>
        <v>0</v>
      </c>
      <c r="Q1540" s="107"/>
      <c r="R1540" s="10"/>
      <c r="S1540" s="107">
        <v>24000</v>
      </c>
      <c r="T1540" s="107">
        <f t="shared" si="631"/>
        <v>0</v>
      </c>
      <c r="U1540" s="107"/>
      <c r="V1540" s="175"/>
      <c r="W1540" s="10"/>
      <c r="X1540" s="10"/>
      <c r="Y1540" t="str">
        <f t="shared" si="644"/>
        <v>3201</v>
      </c>
      <c r="AB1540" s="10"/>
      <c r="AC1540" s="10"/>
      <c r="AD1540" s="10"/>
      <c r="AE1540" s="10"/>
      <c r="AF1540" s="10"/>
      <c r="AG1540" s="10"/>
      <c r="AH1540" s="10"/>
      <c r="AI1540" s="10"/>
    </row>
    <row r="1541" spans="1:35">
      <c r="A1541" s="10"/>
      <c r="B1541" s="10" t="str">
        <f t="shared" si="643"/>
        <v>Below the Line2nd Unit</v>
      </c>
      <c r="C1541" t="s">
        <v>20</v>
      </c>
      <c r="D1541" t="s">
        <v>19</v>
      </c>
      <c r="E1541" t="s">
        <v>1419</v>
      </c>
      <c r="G1541" t="s">
        <v>2737</v>
      </c>
      <c r="I1541" s="10"/>
      <c r="J1541" s="107">
        <f>SUMIF(Data!C:C,G1541,Data!Q:Q)</f>
        <v>24000</v>
      </c>
      <c r="K1541" s="107">
        <f>SUMIF(Comprometidos!A:A,'Cost Report'!G1541,Comprometidos!E:E)</f>
        <v>0</v>
      </c>
      <c r="L1541" s="107">
        <f t="shared" si="638"/>
        <v>24000</v>
      </c>
      <c r="M1541" s="107">
        <v>0</v>
      </c>
      <c r="N1541" s="107">
        <f t="shared" si="640"/>
        <v>24000</v>
      </c>
      <c r="O1541" s="107">
        <f>VLOOKUP(G1541,Budget!$E$3:$G$2474,3,0)</f>
        <v>18000</v>
      </c>
      <c r="P1541" s="107">
        <f t="shared" si="641"/>
        <v>-6000</v>
      </c>
      <c r="Q1541" s="107"/>
      <c r="R1541" s="10"/>
      <c r="S1541" s="107">
        <v>24000</v>
      </c>
      <c r="T1541" s="107">
        <f t="shared" si="631"/>
        <v>0</v>
      </c>
      <c r="U1541" s="107"/>
      <c r="V1541" s="175"/>
      <c r="W1541" s="10"/>
      <c r="X1541" s="10"/>
      <c r="Y1541" t="str">
        <f t="shared" si="644"/>
        <v>3201</v>
      </c>
      <c r="AB1541" s="10"/>
      <c r="AC1541" s="10"/>
      <c r="AD1541" s="10"/>
      <c r="AE1541" s="10"/>
      <c r="AF1541" s="10"/>
      <c r="AG1541" s="10"/>
      <c r="AH1541" s="10"/>
      <c r="AI1541" s="10"/>
    </row>
    <row r="1542" spans="1:35">
      <c r="A1542" s="10"/>
      <c r="B1542" s="10" t="str">
        <f t="shared" si="643"/>
        <v>Below the Line2nd Unit</v>
      </c>
      <c r="C1542" t="s">
        <v>20</v>
      </c>
      <c r="D1542" t="s">
        <v>19</v>
      </c>
      <c r="E1542" t="s">
        <v>1419</v>
      </c>
      <c r="G1542" t="s">
        <v>2738</v>
      </c>
      <c r="I1542" s="10"/>
      <c r="J1542" s="107">
        <f>SUMIF(Data!C:C,G1542,Data!Q:Q)</f>
        <v>28000</v>
      </c>
      <c r="K1542" s="107">
        <f>SUMIF(Comprometidos!A:A,'Cost Report'!G1542,Comprometidos!E:E)</f>
        <v>0</v>
      </c>
      <c r="L1542" s="107">
        <f t="shared" si="638"/>
        <v>28000</v>
      </c>
      <c r="M1542" s="107">
        <f t="shared" si="639"/>
        <v>0</v>
      </c>
      <c r="N1542" s="107">
        <f t="shared" si="640"/>
        <v>28000</v>
      </c>
      <c r="O1542" s="107">
        <f>VLOOKUP(G1542,Budget!$E$3:$G$2474,3,0)</f>
        <v>28000</v>
      </c>
      <c r="P1542" s="107">
        <f t="shared" si="641"/>
        <v>0</v>
      </c>
      <c r="Q1542" s="107"/>
      <c r="R1542" s="10"/>
      <c r="S1542" s="107">
        <v>28000</v>
      </c>
      <c r="T1542" s="107">
        <f t="shared" si="631"/>
        <v>0</v>
      </c>
      <c r="U1542" s="107"/>
      <c r="V1542" s="175"/>
      <c r="W1542" s="10"/>
      <c r="X1542" s="10"/>
      <c r="Y1542" t="str">
        <f t="shared" si="644"/>
        <v>3201</v>
      </c>
      <c r="AB1542" s="10"/>
      <c r="AC1542" s="10"/>
      <c r="AD1542" s="10"/>
      <c r="AE1542" s="10"/>
      <c r="AF1542" s="10"/>
      <c r="AG1542" s="10"/>
      <c r="AH1542" s="10"/>
      <c r="AI1542" s="10"/>
    </row>
    <row r="1543" spans="1:35">
      <c r="A1543" s="10"/>
      <c r="B1543" s="10" t="str">
        <f>+C1543</f>
        <v>Below the Line</v>
      </c>
      <c r="C1543" s="128" t="s">
        <v>20</v>
      </c>
      <c r="D1543" s="128" t="s">
        <v>2117</v>
      </c>
      <c r="E1543" s="128"/>
      <c r="F1543" s="128"/>
      <c r="G1543" s="128" t="s">
        <v>918</v>
      </c>
      <c r="H1543" s="128"/>
      <c r="I1543" s="10"/>
      <c r="J1543" s="129">
        <f>SUMIF($Y$11:$Y$2484,G1543,J$11:J$2484)</f>
        <v>746450.76</v>
      </c>
      <c r="K1543" s="129">
        <f>SUMIF($Y$11:$Y$2484,G1543,K$11:K$2484)</f>
        <v>0</v>
      </c>
      <c r="L1543" s="129">
        <f>SUMIF($Y$11:$Y$2484,G1543,L$11:L$2484)</f>
        <v>746450.76</v>
      </c>
      <c r="M1543" s="129">
        <f>SUMIF($Y$11:$Y$2484,G1543,M$11:M$2484)</f>
        <v>0</v>
      </c>
      <c r="N1543" s="129">
        <f>SUMIF($Y$11:$Y$2484,G1543,N$11:N$2484)</f>
        <v>746450.76</v>
      </c>
      <c r="O1543" s="129">
        <f>SUMIF($Y$11:$Y$2484,G1543,O$11:O$2484)</f>
        <v>462500</v>
      </c>
      <c r="P1543" s="129">
        <f>SUMIF($Y$11:$Y$2484,G1543,P$11:P$2484)</f>
        <v>-283950.76</v>
      </c>
      <c r="Q1543" s="129"/>
      <c r="R1543" s="10"/>
      <c r="S1543" s="129">
        <v>746450.76</v>
      </c>
      <c r="T1543" s="129">
        <f t="shared" si="631"/>
        <v>0</v>
      </c>
      <c r="U1543" s="128"/>
      <c r="V1543" s="175"/>
      <c r="W1543" s="10"/>
      <c r="X1543" s="10"/>
      <c r="Z1543" t="str">
        <f>LEFT(G1543,2)</f>
        <v>32</v>
      </c>
      <c r="AA1543" t="str">
        <f>+Z1543&amp;"00"</f>
        <v>3200</v>
      </c>
      <c r="AB1543" s="10"/>
      <c r="AC1543" s="10"/>
      <c r="AD1543" s="10"/>
      <c r="AE1543" s="10"/>
      <c r="AF1543" s="10"/>
      <c r="AG1543" s="10"/>
      <c r="AH1543" s="10"/>
      <c r="AI1543" s="10"/>
    </row>
    <row r="1544" spans="1:35">
      <c r="A1544" s="10"/>
      <c r="B1544" s="10" t="str">
        <f t="shared" ref="B1544:B1554" si="645">+C1544&amp;E1544</f>
        <v>Below the Line</v>
      </c>
      <c r="C1544" t="s">
        <v>20</v>
      </c>
      <c r="D1544" t="s">
        <v>19</v>
      </c>
      <c r="E1544" t="s">
        <v>214</v>
      </c>
      <c r="G1544" t="s">
        <v>919</v>
      </c>
      <c r="I1544" s="10"/>
      <c r="J1544" s="107">
        <f>SUMIF(Data!C:C,G1544,Data!Q:Q)</f>
        <v>0</v>
      </c>
      <c r="K1544" s="107">
        <f>SUMIF(Comprometidos!A:A,'Cost Report'!G1544,Comprometidos!E:E)</f>
        <v>0</v>
      </c>
      <c r="L1544" s="107">
        <f t="shared" si="638"/>
        <v>0</v>
      </c>
      <c r="M1544" s="107">
        <f t="shared" si="639"/>
        <v>0</v>
      </c>
      <c r="N1544" s="107">
        <f t="shared" si="640"/>
        <v>0</v>
      </c>
      <c r="O1544" s="107">
        <f>VLOOKUP(G1544,Budget!$E$3:$G$2474,3,0)</f>
        <v>0</v>
      </c>
      <c r="P1544" s="107">
        <f t="shared" si="641"/>
        <v>0</v>
      </c>
      <c r="Q1544" s="107"/>
      <c r="R1544" s="10"/>
      <c r="S1544" s="107">
        <v>0</v>
      </c>
      <c r="T1544" s="107">
        <f t="shared" si="631"/>
        <v>0</v>
      </c>
      <c r="U1544" s="107"/>
      <c r="V1544" s="175"/>
      <c r="W1544" s="10"/>
      <c r="X1544" s="10"/>
      <c r="Y1544" t="str">
        <f t="shared" ref="Y1544:Y1554" si="646">LEFT(G1544,4)</f>
        <v>3220</v>
      </c>
      <c r="AB1544" s="10"/>
      <c r="AC1544" s="10"/>
      <c r="AD1544" s="10"/>
      <c r="AE1544" s="10"/>
      <c r="AF1544" s="10"/>
      <c r="AG1544" s="10"/>
      <c r="AH1544" s="10"/>
      <c r="AI1544" s="10"/>
    </row>
    <row r="1545" spans="1:35">
      <c r="A1545" s="10"/>
      <c r="B1545" s="10" t="str">
        <f t="shared" si="645"/>
        <v>Below the LineSHOOT</v>
      </c>
      <c r="C1545" t="s">
        <v>20</v>
      </c>
      <c r="D1545" t="s">
        <v>19</v>
      </c>
      <c r="E1545" t="s">
        <v>236</v>
      </c>
      <c r="G1545" t="s">
        <v>920</v>
      </c>
      <c r="I1545" s="10"/>
      <c r="J1545" s="107">
        <f>SUMIF(Data!C:C,G1545,Data!Q:Q)</f>
        <v>517000</v>
      </c>
      <c r="K1545" s="107">
        <f>SUMIF(Comprometidos!A:A,'Cost Report'!G1545,Comprometidos!E:E)</f>
        <v>0</v>
      </c>
      <c r="L1545" s="107">
        <f t="shared" si="638"/>
        <v>517000</v>
      </c>
      <c r="M1545" s="107">
        <v>0</v>
      </c>
      <c r="N1545" s="107">
        <f t="shared" si="640"/>
        <v>517000</v>
      </c>
      <c r="O1545" s="107">
        <f>VLOOKUP(G1545,Budget!$E$3:$G$2474,3,0)</f>
        <v>294000</v>
      </c>
      <c r="P1545" s="107">
        <f t="shared" si="641"/>
        <v>-223000</v>
      </c>
      <c r="Q1545" s="107"/>
      <c r="R1545" s="10"/>
      <c r="S1545" s="107">
        <v>517000</v>
      </c>
      <c r="T1545" s="107">
        <f t="shared" si="631"/>
        <v>0</v>
      </c>
      <c r="U1545" s="107"/>
      <c r="V1545" s="175"/>
      <c r="W1545" s="10"/>
      <c r="X1545" s="10"/>
      <c r="Y1545" t="str">
        <f t="shared" si="646"/>
        <v>3220</v>
      </c>
      <c r="AB1545" s="10"/>
      <c r="AC1545" s="10"/>
      <c r="AD1545" s="10"/>
      <c r="AE1545" s="10"/>
      <c r="AF1545" s="10"/>
      <c r="AG1545" s="10"/>
      <c r="AH1545" s="10"/>
      <c r="AI1545" s="10"/>
    </row>
    <row r="1546" spans="1:35">
      <c r="A1546" s="10"/>
      <c r="B1546" s="10" t="str">
        <f t="shared" si="645"/>
        <v>Below the Line</v>
      </c>
      <c r="C1546" t="s">
        <v>20</v>
      </c>
      <c r="D1546" t="s">
        <v>19</v>
      </c>
      <c r="E1546" t="s">
        <v>214</v>
      </c>
      <c r="G1546" t="s">
        <v>921</v>
      </c>
      <c r="I1546" s="10"/>
      <c r="J1546" s="107">
        <f>SUMIF(Data!C:C,G1546,Data!Q:Q)</f>
        <v>0</v>
      </c>
      <c r="K1546" s="107">
        <f>SUMIF(Comprometidos!A:A,'Cost Report'!G1546,Comprometidos!E:E)</f>
        <v>0</v>
      </c>
      <c r="L1546" s="107">
        <f t="shared" si="638"/>
        <v>0</v>
      </c>
      <c r="M1546" s="107">
        <f t="shared" si="639"/>
        <v>0</v>
      </c>
      <c r="N1546" s="107">
        <f t="shared" si="640"/>
        <v>0</v>
      </c>
      <c r="O1546" s="107">
        <f>VLOOKUP(G1546,Budget!$E$3:$G$2474,3,0)</f>
        <v>0</v>
      </c>
      <c r="P1546" s="107">
        <f t="shared" si="641"/>
        <v>0</v>
      </c>
      <c r="Q1546" s="107"/>
      <c r="R1546" s="10"/>
      <c r="S1546" s="107">
        <v>0</v>
      </c>
      <c r="T1546" s="107">
        <f t="shared" si="631"/>
        <v>0</v>
      </c>
      <c r="U1546" s="107"/>
      <c r="V1546" s="175"/>
      <c r="W1546" s="10"/>
      <c r="X1546" s="10"/>
      <c r="Y1546" t="str">
        <f t="shared" si="646"/>
        <v>3220</v>
      </c>
      <c r="AB1546" s="10"/>
      <c r="AC1546" s="10"/>
      <c r="AD1546" s="10"/>
      <c r="AE1546" s="10"/>
      <c r="AF1546" s="10"/>
      <c r="AG1546" s="10"/>
      <c r="AH1546" s="10"/>
      <c r="AI1546" s="10"/>
    </row>
    <row r="1547" spans="1:35">
      <c r="A1547" s="10"/>
      <c r="B1547" s="10" t="str">
        <f t="shared" si="645"/>
        <v>Below the Line2nd Unit</v>
      </c>
      <c r="C1547" t="s">
        <v>20</v>
      </c>
      <c r="D1547" t="s">
        <v>19</v>
      </c>
      <c r="E1547" t="s">
        <v>1419</v>
      </c>
      <c r="G1547" t="s">
        <v>922</v>
      </c>
      <c r="I1547" s="10"/>
      <c r="J1547" s="107">
        <f>SUMIF(Data!C:C,G1547,Data!Q:Q)</f>
        <v>165450.76</v>
      </c>
      <c r="K1547" s="107">
        <f>SUMIF(Comprometidos!A:A,'Cost Report'!G1547,Comprometidos!E:E)</f>
        <v>0</v>
      </c>
      <c r="L1547" s="107">
        <f t="shared" si="638"/>
        <v>165450.76</v>
      </c>
      <c r="M1547" s="107">
        <v>0</v>
      </c>
      <c r="N1547" s="107">
        <f t="shared" si="640"/>
        <v>165450.76</v>
      </c>
      <c r="O1547" s="107">
        <f>VLOOKUP(G1547,Budget!$E$3:$G$2474,3,0)</f>
        <v>84000</v>
      </c>
      <c r="P1547" s="107">
        <f t="shared" si="641"/>
        <v>-81450.760000000009</v>
      </c>
      <c r="Q1547" s="107"/>
      <c r="R1547" s="10"/>
      <c r="S1547" s="107">
        <v>165450.76</v>
      </c>
      <c r="T1547" s="107">
        <f t="shared" si="631"/>
        <v>0</v>
      </c>
      <c r="U1547" s="107"/>
      <c r="V1547" s="175"/>
      <c r="W1547" s="10"/>
      <c r="X1547" s="10"/>
      <c r="Y1547" t="str">
        <f t="shared" si="646"/>
        <v>3220</v>
      </c>
      <c r="AB1547" s="10"/>
      <c r="AC1547" s="10"/>
      <c r="AD1547" s="10"/>
      <c r="AE1547" s="10"/>
      <c r="AF1547" s="10"/>
      <c r="AG1547" s="10"/>
      <c r="AH1547" s="10"/>
      <c r="AI1547" s="10"/>
    </row>
    <row r="1548" spans="1:35">
      <c r="A1548" s="10"/>
      <c r="B1548" s="10" t="str">
        <f t="shared" si="645"/>
        <v>Below the Line</v>
      </c>
      <c r="C1548" t="s">
        <v>20</v>
      </c>
      <c r="D1548" t="s">
        <v>19</v>
      </c>
      <c r="E1548" t="s">
        <v>214</v>
      </c>
      <c r="G1548" t="s">
        <v>923</v>
      </c>
      <c r="I1548" s="10"/>
      <c r="J1548" s="107">
        <f>SUMIF(Data!C:C,G1548,Data!Q:Q)</f>
        <v>0</v>
      </c>
      <c r="K1548" s="107">
        <f>SUMIF(Comprometidos!A:A,'Cost Report'!G1548,Comprometidos!E:E)</f>
        <v>0</v>
      </c>
      <c r="L1548" s="107">
        <f t="shared" si="638"/>
        <v>0</v>
      </c>
      <c r="M1548" s="107">
        <f t="shared" si="639"/>
        <v>0</v>
      </c>
      <c r="N1548" s="107">
        <f t="shared" si="640"/>
        <v>0</v>
      </c>
      <c r="O1548" s="107">
        <f>VLOOKUP(G1548,Budget!$E$3:$G$2474,3,0)</f>
        <v>0</v>
      </c>
      <c r="P1548" s="107">
        <f t="shared" si="641"/>
        <v>0</v>
      </c>
      <c r="Q1548" s="107"/>
      <c r="R1548" s="10"/>
      <c r="S1548" s="107">
        <v>0</v>
      </c>
      <c r="T1548" s="107">
        <f t="shared" si="631"/>
        <v>0</v>
      </c>
      <c r="U1548" s="107"/>
      <c r="V1548" s="175"/>
      <c r="W1548" s="10"/>
      <c r="X1548" s="10"/>
      <c r="Y1548" t="str">
        <f t="shared" si="646"/>
        <v>3220</v>
      </c>
      <c r="AB1548" s="10"/>
      <c r="AC1548" s="10"/>
      <c r="AD1548" s="10"/>
      <c r="AE1548" s="10"/>
      <c r="AF1548" s="10"/>
      <c r="AG1548" s="10"/>
      <c r="AH1548" s="10"/>
      <c r="AI1548" s="10"/>
    </row>
    <row r="1549" spans="1:35">
      <c r="A1549" s="10"/>
      <c r="B1549" s="10" t="str">
        <f t="shared" si="645"/>
        <v>Below the LineSHOOT</v>
      </c>
      <c r="C1549" t="s">
        <v>20</v>
      </c>
      <c r="D1549" t="s">
        <v>19</v>
      </c>
      <c r="E1549" t="s">
        <v>236</v>
      </c>
      <c r="G1549" t="s">
        <v>924</v>
      </c>
      <c r="I1549" s="10"/>
      <c r="J1549" s="107">
        <f>SUMIF(Data!C:C,G1549,Data!Q:Q)</f>
        <v>0</v>
      </c>
      <c r="K1549" s="107">
        <f>SUMIF(Comprometidos!A:A,'Cost Report'!G1549,Comprometidos!E:E)</f>
        <v>0</v>
      </c>
      <c r="L1549" s="107">
        <f t="shared" si="638"/>
        <v>0</v>
      </c>
      <c r="M1549" s="107">
        <v>0</v>
      </c>
      <c r="N1549" s="107">
        <f t="shared" si="640"/>
        <v>0</v>
      </c>
      <c r="O1549" s="107">
        <f>VLOOKUP(G1549,Budget!$E$3:$G$2474,3,0)</f>
        <v>42000</v>
      </c>
      <c r="P1549" s="107">
        <f t="shared" si="641"/>
        <v>42000</v>
      </c>
      <c r="Q1549" s="107"/>
      <c r="R1549" s="10"/>
      <c r="S1549" s="107">
        <v>0</v>
      </c>
      <c r="T1549" s="107">
        <f t="shared" si="631"/>
        <v>0</v>
      </c>
      <c r="U1549" s="107"/>
      <c r="V1549" s="175"/>
      <c r="W1549" s="10"/>
      <c r="X1549" s="10"/>
      <c r="Y1549" t="str">
        <f t="shared" si="646"/>
        <v>3220</v>
      </c>
      <c r="AB1549" s="10"/>
      <c r="AC1549" s="10"/>
      <c r="AD1549" s="10"/>
      <c r="AE1549" s="10"/>
      <c r="AF1549" s="10"/>
      <c r="AG1549" s="10"/>
      <c r="AH1549" s="10"/>
      <c r="AI1549" s="10"/>
    </row>
    <row r="1550" spans="1:35">
      <c r="A1550" s="10"/>
      <c r="B1550" s="10" t="str">
        <f t="shared" si="645"/>
        <v>Below the Line</v>
      </c>
      <c r="C1550" t="s">
        <v>20</v>
      </c>
      <c r="D1550" t="s">
        <v>19</v>
      </c>
      <c r="E1550" t="s">
        <v>214</v>
      </c>
      <c r="G1550" t="s">
        <v>2739</v>
      </c>
      <c r="I1550" s="10"/>
      <c r="J1550" s="107">
        <f>SUMIF(Data!C:C,G1550,Data!Q:Q)</f>
        <v>0</v>
      </c>
      <c r="K1550" s="107">
        <f>SUMIF(Comprometidos!A:A,'Cost Report'!G1550,Comprometidos!E:E)</f>
        <v>0</v>
      </c>
      <c r="L1550" s="107">
        <f t="shared" si="638"/>
        <v>0</v>
      </c>
      <c r="M1550" s="107">
        <f t="shared" si="639"/>
        <v>0</v>
      </c>
      <c r="N1550" s="107">
        <f t="shared" si="640"/>
        <v>0</v>
      </c>
      <c r="O1550" s="107">
        <f>VLOOKUP(G1550,Budget!$E$3:$G$2474,3,0)</f>
        <v>0</v>
      </c>
      <c r="P1550" s="107">
        <f t="shared" si="641"/>
        <v>0</v>
      </c>
      <c r="Q1550" s="107"/>
      <c r="R1550" s="10"/>
      <c r="S1550" s="107">
        <v>0</v>
      </c>
      <c r="T1550" s="107">
        <f t="shared" si="631"/>
        <v>0</v>
      </c>
      <c r="U1550" s="107"/>
      <c r="V1550" s="175"/>
      <c r="W1550" s="10"/>
      <c r="X1550" s="10"/>
      <c r="Y1550" t="str">
        <f t="shared" si="646"/>
        <v>3220</v>
      </c>
      <c r="AB1550" s="10"/>
      <c r="AC1550" s="10"/>
      <c r="AD1550" s="10"/>
      <c r="AE1550" s="10"/>
      <c r="AF1550" s="10"/>
      <c r="AG1550" s="10"/>
      <c r="AH1550" s="10"/>
      <c r="AI1550" s="10"/>
    </row>
    <row r="1551" spans="1:35">
      <c r="A1551" s="10"/>
      <c r="B1551" s="10" t="str">
        <f t="shared" si="645"/>
        <v>Below the Line2nd Unit</v>
      </c>
      <c r="C1551" t="s">
        <v>20</v>
      </c>
      <c r="D1551" t="s">
        <v>19</v>
      </c>
      <c r="E1551" t="s">
        <v>1419</v>
      </c>
      <c r="G1551" t="s">
        <v>2740</v>
      </c>
      <c r="I1551" s="10"/>
      <c r="J1551" s="107">
        <f>SUMIF(Data!C:C,G1551,Data!Q:Q)</f>
        <v>28000</v>
      </c>
      <c r="K1551" s="107">
        <f>SUMIF(Comprometidos!A:A,'Cost Report'!G1551,Comprometidos!E:E)</f>
        <v>0</v>
      </c>
      <c r="L1551" s="107">
        <f t="shared" si="638"/>
        <v>28000</v>
      </c>
      <c r="M1551" s="107">
        <v>0</v>
      </c>
      <c r="N1551" s="107">
        <f t="shared" si="640"/>
        <v>28000</v>
      </c>
      <c r="O1551" s="107">
        <f>VLOOKUP(G1551,Budget!$E$3:$G$2474,3,0)</f>
        <v>12000</v>
      </c>
      <c r="P1551" s="107">
        <f t="shared" si="641"/>
        <v>-16000</v>
      </c>
      <c r="Q1551" s="107"/>
      <c r="R1551" s="10"/>
      <c r="S1551" s="107">
        <v>28000</v>
      </c>
      <c r="T1551" s="107">
        <f t="shared" si="631"/>
        <v>0</v>
      </c>
      <c r="U1551" s="107"/>
      <c r="V1551" s="175"/>
      <c r="W1551" s="10"/>
      <c r="X1551" s="10"/>
      <c r="Y1551" t="str">
        <f t="shared" si="646"/>
        <v>3220</v>
      </c>
      <c r="AB1551" s="10"/>
      <c r="AC1551" s="10"/>
      <c r="AD1551" s="10"/>
      <c r="AE1551" s="10"/>
      <c r="AF1551" s="10"/>
      <c r="AG1551" s="10"/>
      <c r="AH1551" s="10"/>
      <c r="AI1551" s="10"/>
    </row>
    <row r="1552" spans="1:35">
      <c r="A1552" s="10"/>
      <c r="B1552" s="10" t="str">
        <f t="shared" si="645"/>
        <v>Below the Line</v>
      </c>
      <c r="C1552" t="s">
        <v>20</v>
      </c>
      <c r="D1552" t="s">
        <v>19</v>
      </c>
      <c r="E1552" t="s">
        <v>214</v>
      </c>
      <c r="G1552" t="s">
        <v>2741</v>
      </c>
      <c r="I1552" s="10"/>
      <c r="J1552" s="107">
        <f>SUMIF(Data!C:C,G1552,Data!Q:Q)</f>
        <v>0</v>
      </c>
      <c r="K1552" s="107">
        <f>SUMIF(Comprometidos!A:A,'Cost Report'!G1552,Comprometidos!E:E)</f>
        <v>0</v>
      </c>
      <c r="L1552" s="107">
        <f t="shared" si="638"/>
        <v>0</v>
      </c>
      <c r="M1552" s="107">
        <f t="shared" si="639"/>
        <v>0</v>
      </c>
      <c r="N1552" s="107">
        <f t="shared" si="640"/>
        <v>0</v>
      </c>
      <c r="O1552" s="107">
        <f>VLOOKUP(G1552,Budget!$E$3:$G$2474,3,0)</f>
        <v>0</v>
      </c>
      <c r="P1552" s="107">
        <f t="shared" si="641"/>
        <v>0</v>
      </c>
      <c r="Q1552" s="107"/>
      <c r="R1552" s="10"/>
      <c r="S1552" s="107">
        <v>0</v>
      </c>
      <c r="T1552" s="107">
        <f t="shared" si="631"/>
        <v>0</v>
      </c>
      <c r="U1552" s="107"/>
      <c r="V1552" s="175"/>
      <c r="W1552" s="10"/>
      <c r="X1552" s="10"/>
      <c r="Y1552" t="str">
        <f t="shared" si="646"/>
        <v>3220</v>
      </c>
      <c r="AB1552" s="10"/>
      <c r="AC1552" s="10"/>
      <c r="AD1552" s="10"/>
      <c r="AE1552" s="10"/>
      <c r="AF1552" s="10"/>
      <c r="AG1552" s="10"/>
      <c r="AH1552" s="10"/>
      <c r="AI1552" s="10"/>
    </row>
    <row r="1553" spans="1:35">
      <c r="A1553" s="10"/>
      <c r="B1553" s="10" t="str">
        <f t="shared" si="645"/>
        <v>Below the LineSHOOT</v>
      </c>
      <c r="C1553" t="s">
        <v>20</v>
      </c>
      <c r="D1553" t="s">
        <v>19</v>
      </c>
      <c r="E1553" t="s">
        <v>236</v>
      </c>
      <c r="G1553" t="s">
        <v>2742</v>
      </c>
      <c r="I1553" s="10"/>
      <c r="J1553" s="107">
        <f>SUMIF(Data!C:C,G1553,Data!Q:Q)</f>
        <v>36000</v>
      </c>
      <c r="K1553" s="107">
        <f>SUMIF(Comprometidos!A:A,'Cost Report'!G1553,Comprometidos!E:E)</f>
        <v>0</v>
      </c>
      <c r="L1553" s="107">
        <f t="shared" si="638"/>
        <v>36000</v>
      </c>
      <c r="M1553" s="107">
        <v>0</v>
      </c>
      <c r="N1553" s="107">
        <f t="shared" si="640"/>
        <v>36000</v>
      </c>
      <c r="O1553" s="107">
        <f>VLOOKUP(G1553,Budget!$E$3:$G$2474,3,0)</f>
        <v>28000</v>
      </c>
      <c r="P1553" s="107">
        <f t="shared" si="641"/>
        <v>-8000</v>
      </c>
      <c r="Q1553" s="107"/>
      <c r="R1553" s="10"/>
      <c r="S1553" s="107">
        <v>36000</v>
      </c>
      <c r="T1553" s="107">
        <f t="shared" si="631"/>
        <v>0</v>
      </c>
      <c r="U1553" s="107"/>
      <c r="V1553" s="175"/>
      <c r="W1553" s="10"/>
      <c r="X1553" s="10"/>
      <c r="Y1553" t="str">
        <f t="shared" si="646"/>
        <v>3220</v>
      </c>
      <c r="AB1553" s="10"/>
      <c r="AC1553" s="10"/>
      <c r="AD1553" s="10"/>
      <c r="AE1553" s="10"/>
      <c r="AF1553" s="10"/>
      <c r="AG1553" s="10"/>
      <c r="AH1553" s="10"/>
      <c r="AI1553" s="10"/>
    </row>
    <row r="1554" spans="1:35">
      <c r="A1554" s="10"/>
      <c r="B1554" s="10" t="str">
        <f t="shared" si="645"/>
        <v>Below the LineSHOOT</v>
      </c>
      <c r="C1554" t="s">
        <v>20</v>
      </c>
      <c r="D1554" t="s">
        <v>19</v>
      </c>
      <c r="E1554" t="s">
        <v>236</v>
      </c>
      <c r="G1554" t="s">
        <v>2743</v>
      </c>
      <c r="I1554" s="10"/>
      <c r="J1554" s="107">
        <f>SUMIF(Data!C:C,G1554,Data!Q:Q)</f>
        <v>0</v>
      </c>
      <c r="K1554" s="107">
        <f>SUMIF(Comprometidos!A:A,'Cost Report'!G1554,Comprometidos!E:E)</f>
        <v>0</v>
      </c>
      <c r="L1554" s="107">
        <f t="shared" si="638"/>
        <v>0</v>
      </c>
      <c r="M1554" s="107">
        <v>0</v>
      </c>
      <c r="N1554" s="107">
        <f t="shared" si="640"/>
        <v>0</v>
      </c>
      <c r="O1554" s="107">
        <f>VLOOKUP(G1554,Budget!$E$3:$G$2474,3,0)</f>
        <v>2500</v>
      </c>
      <c r="P1554" s="107">
        <f t="shared" si="641"/>
        <v>2500</v>
      </c>
      <c r="Q1554" s="107"/>
      <c r="R1554" s="10"/>
      <c r="S1554" s="107">
        <v>0</v>
      </c>
      <c r="T1554" s="107">
        <f t="shared" si="631"/>
        <v>0</v>
      </c>
      <c r="U1554" s="107"/>
      <c r="V1554" s="175"/>
      <c r="W1554" s="10"/>
      <c r="X1554" s="10"/>
      <c r="Y1554" t="str">
        <f t="shared" si="646"/>
        <v>3220</v>
      </c>
      <c r="AB1554" s="10"/>
      <c r="AC1554" s="10"/>
      <c r="AD1554" s="10"/>
      <c r="AE1554" s="10"/>
      <c r="AF1554" s="10"/>
      <c r="AG1554" s="10"/>
      <c r="AH1554" s="10"/>
      <c r="AI1554" s="10"/>
    </row>
    <row r="1555" spans="1:35">
      <c r="A1555" s="10"/>
      <c r="B1555" s="10" t="str">
        <f>+C1555</f>
        <v>Below the Line</v>
      </c>
      <c r="C1555" s="128" t="s">
        <v>20</v>
      </c>
      <c r="D1555" s="128" t="s">
        <v>2117</v>
      </c>
      <c r="E1555" s="128"/>
      <c r="F1555" s="128"/>
      <c r="G1555" s="128" t="s">
        <v>925</v>
      </c>
      <c r="H1555" s="128"/>
      <c r="I1555" s="10"/>
      <c r="J1555" s="129">
        <f>SUMIF($Y$11:$Y$2484,G1555,J$11:J$2484)</f>
        <v>158250</v>
      </c>
      <c r="K1555" s="129">
        <f>SUMIF($Y$11:$Y$2484,G1555,K$11:K$2484)</f>
        <v>0</v>
      </c>
      <c r="L1555" s="129">
        <f>SUMIF($Y$11:$Y$2484,G1555,L$11:L$2484)</f>
        <v>158250</v>
      </c>
      <c r="M1555" s="129">
        <f>SUMIF($Y$11:$Y$2484,G1555,M$11:M$2484)</f>
        <v>0</v>
      </c>
      <c r="N1555" s="129">
        <f>SUMIF($Y$11:$Y$2484,G1555,N$11:N$2484)</f>
        <v>158250</v>
      </c>
      <c r="O1555" s="129">
        <f>SUMIF($Y$11:$Y$2484,G1555,O$11:O$2484)</f>
        <v>153000</v>
      </c>
      <c r="P1555" s="129">
        <f>SUMIF($Y$11:$Y$2484,G1555,P$11:P$2484)</f>
        <v>-5250</v>
      </c>
      <c r="Q1555" s="129"/>
      <c r="R1555" s="10"/>
      <c r="S1555" s="129">
        <v>158250</v>
      </c>
      <c r="T1555" s="129">
        <f t="shared" si="631"/>
        <v>0</v>
      </c>
      <c r="U1555" s="128"/>
      <c r="V1555" s="175"/>
      <c r="W1555" s="10"/>
      <c r="X1555" s="10"/>
      <c r="Z1555" t="str">
        <f>LEFT(G1555,2)</f>
        <v>32</v>
      </c>
      <c r="AA1555" t="str">
        <f>+Z1555&amp;"00"</f>
        <v>3200</v>
      </c>
      <c r="AB1555" s="10"/>
      <c r="AC1555" s="10"/>
      <c r="AD1555" s="10"/>
      <c r="AE1555" s="10"/>
      <c r="AF1555" s="10"/>
      <c r="AG1555" s="10"/>
      <c r="AH1555" s="10"/>
      <c r="AI1555" s="10"/>
    </row>
    <row r="1556" spans="1:35">
      <c r="A1556" s="10"/>
      <c r="B1556" s="10" t="str">
        <f t="shared" ref="B1556:B1559" si="647">+C1556&amp;E1556</f>
        <v>Below the Line</v>
      </c>
      <c r="C1556" t="s">
        <v>20</v>
      </c>
      <c r="D1556" t="s">
        <v>19</v>
      </c>
      <c r="E1556" t="s">
        <v>214</v>
      </c>
      <c r="G1556" t="s">
        <v>926</v>
      </c>
      <c r="I1556" s="10"/>
      <c r="J1556" s="107">
        <f>SUMIF(Data!C:C,G1556,Data!Q:Q)</f>
        <v>0</v>
      </c>
      <c r="K1556" s="107">
        <f>SUMIF(Comprometidos!A:A,'Cost Report'!G1556,Comprometidos!E:E)</f>
        <v>0</v>
      </c>
      <c r="L1556" s="107">
        <f t="shared" si="638"/>
        <v>0</v>
      </c>
      <c r="M1556" s="107">
        <f t="shared" si="639"/>
        <v>0</v>
      </c>
      <c r="N1556" s="107">
        <f t="shared" si="640"/>
        <v>0</v>
      </c>
      <c r="O1556" s="107">
        <f>VLOOKUP(G1556,Budget!$E$3:$G$2474,3,0)</f>
        <v>0</v>
      </c>
      <c r="P1556" s="107">
        <f t="shared" si="641"/>
        <v>0</v>
      </c>
      <c r="Q1556" s="107"/>
      <c r="R1556" s="10"/>
      <c r="S1556" s="107">
        <v>0</v>
      </c>
      <c r="T1556" s="107">
        <f t="shared" si="631"/>
        <v>0</v>
      </c>
      <c r="U1556" s="107"/>
      <c r="V1556" s="175"/>
      <c r="W1556" s="10"/>
      <c r="X1556" s="10"/>
      <c r="Y1556" t="str">
        <f t="shared" ref="Y1556:Y1559" si="648">LEFT(G1556,4)</f>
        <v>3292</v>
      </c>
      <c r="AB1556" s="10"/>
      <c r="AC1556" s="10"/>
      <c r="AD1556" s="10"/>
      <c r="AE1556" s="10"/>
      <c r="AF1556" s="10"/>
      <c r="AG1556" s="10"/>
      <c r="AH1556" s="10"/>
      <c r="AI1556" s="10"/>
    </row>
    <row r="1557" spans="1:35">
      <c r="A1557" s="10"/>
      <c r="B1557" s="10" t="str">
        <f t="shared" si="647"/>
        <v>Below the LineSHOOT</v>
      </c>
      <c r="C1557" t="s">
        <v>20</v>
      </c>
      <c r="D1557" t="s">
        <v>19</v>
      </c>
      <c r="E1557" t="s">
        <v>236</v>
      </c>
      <c r="G1557" t="s">
        <v>927</v>
      </c>
      <c r="I1557" s="10"/>
      <c r="J1557" s="107">
        <f>SUMIF(Data!C:C,G1557,Data!Q:Q)</f>
        <v>126000</v>
      </c>
      <c r="K1557" s="107">
        <f>SUMIF(Comprometidos!A:A,'Cost Report'!G1557,Comprometidos!E:E)</f>
        <v>0</v>
      </c>
      <c r="L1557" s="107">
        <f t="shared" si="638"/>
        <v>126000</v>
      </c>
      <c r="M1557" s="107">
        <f t="shared" si="639"/>
        <v>0</v>
      </c>
      <c r="N1557" s="107">
        <f t="shared" si="640"/>
        <v>126000</v>
      </c>
      <c r="O1557" s="107">
        <f>VLOOKUP(G1557,Budget!$E$3:$G$2474,3,0)</f>
        <v>126000</v>
      </c>
      <c r="P1557" s="107">
        <f t="shared" si="641"/>
        <v>0</v>
      </c>
      <c r="Q1557" s="107"/>
      <c r="R1557" s="10"/>
      <c r="S1557" s="107">
        <v>126000</v>
      </c>
      <c r="T1557" s="107">
        <f t="shared" si="631"/>
        <v>0</v>
      </c>
      <c r="U1557" s="107"/>
      <c r="V1557" s="175"/>
      <c r="W1557" s="10"/>
      <c r="X1557" s="10"/>
      <c r="Y1557" t="str">
        <f t="shared" si="648"/>
        <v>3292</v>
      </c>
      <c r="AB1557" s="10"/>
      <c r="AC1557" s="10"/>
      <c r="AD1557" s="10"/>
      <c r="AE1557" s="10"/>
      <c r="AF1557" s="10"/>
      <c r="AG1557" s="10"/>
      <c r="AH1557" s="10"/>
      <c r="AI1557" s="10"/>
    </row>
    <row r="1558" spans="1:35">
      <c r="A1558" s="10"/>
      <c r="B1558" s="10" t="str">
        <f t="shared" si="647"/>
        <v>Below the Line</v>
      </c>
      <c r="C1558" t="s">
        <v>20</v>
      </c>
      <c r="D1558" t="s">
        <v>19</v>
      </c>
      <c r="E1558" t="s">
        <v>214</v>
      </c>
      <c r="G1558" t="s">
        <v>2744</v>
      </c>
      <c r="I1558" s="10"/>
      <c r="J1558" s="107">
        <f>SUMIF(Data!C:C,G1558,Data!Q:Q)</f>
        <v>0</v>
      </c>
      <c r="K1558" s="107">
        <f>SUMIF(Comprometidos!A:A,'Cost Report'!G1558,Comprometidos!E:E)</f>
        <v>0</v>
      </c>
      <c r="L1558" s="107">
        <f t="shared" si="638"/>
        <v>0</v>
      </c>
      <c r="M1558" s="107">
        <f t="shared" si="639"/>
        <v>0</v>
      </c>
      <c r="N1558" s="107">
        <f t="shared" si="640"/>
        <v>0</v>
      </c>
      <c r="O1558" s="107">
        <f>VLOOKUP(G1558,Budget!$E$3:$G$2474,3,0)</f>
        <v>0</v>
      </c>
      <c r="P1558" s="107">
        <f t="shared" si="641"/>
        <v>0</v>
      </c>
      <c r="Q1558" s="107"/>
      <c r="R1558" s="10"/>
      <c r="S1558" s="107">
        <v>0</v>
      </c>
      <c r="T1558" s="107">
        <f t="shared" si="631"/>
        <v>0</v>
      </c>
      <c r="U1558" s="107"/>
      <c r="V1558" s="175"/>
      <c r="W1558" s="10"/>
      <c r="X1558" s="10"/>
      <c r="Y1558" t="str">
        <f t="shared" si="648"/>
        <v>3292</v>
      </c>
      <c r="AB1558" s="10"/>
      <c r="AC1558" s="10"/>
      <c r="AD1558" s="10"/>
      <c r="AE1558" s="10"/>
      <c r="AF1558" s="10"/>
      <c r="AG1558" s="10"/>
      <c r="AH1558" s="10"/>
      <c r="AI1558" s="10"/>
    </row>
    <row r="1559" spans="1:35">
      <c r="A1559" s="10"/>
      <c r="B1559" s="10" t="str">
        <f t="shared" si="647"/>
        <v>Below the Line2nd Unit</v>
      </c>
      <c r="C1559" t="s">
        <v>20</v>
      </c>
      <c r="D1559" t="s">
        <v>19</v>
      </c>
      <c r="E1559" t="s">
        <v>1419</v>
      </c>
      <c r="G1559" t="s">
        <v>2745</v>
      </c>
      <c r="I1559" s="10"/>
      <c r="J1559" s="107">
        <f>SUMIF(Data!C:C,G1559,Data!Q:Q)</f>
        <v>32250</v>
      </c>
      <c r="K1559" s="107">
        <f>SUMIF(Comprometidos!A:A,'Cost Report'!G1559,Comprometidos!E:E)</f>
        <v>0</v>
      </c>
      <c r="L1559" s="107">
        <f t="shared" si="638"/>
        <v>32250</v>
      </c>
      <c r="M1559" s="107">
        <v>0</v>
      </c>
      <c r="N1559" s="107">
        <f t="shared" si="640"/>
        <v>32250</v>
      </c>
      <c r="O1559" s="107">
        <f>VLOOKUP(G1559,Budget!$E$3:$G$2474,3,0)</f>
        <v>27000</v>
      </c>
      <c r="P1559" s="107">
        <f t="shared" si="641"/>
        <v>-5250</v>
      </c>
      <c r="Q1559" s="107"/>
      <c r="R1559" s="10"/>
      <c r="S1559" s="107">
        <v>32250</v>
      </c>
      <c r="T1559" s="107">
        <f t="shared" si="631"/>
        <v>0</v>
      </c>
      <c r="U1559" s="107"/>
      <c r="V1559" s="175"/>
      <c r="W1559" s="10"/>
      <c r="X1559" s="10"/>
      <c r="Y1559" t="str">
        <f t="shared" si="648"/>
        <v>3292</v>
      </c>
      <c r="AB1559" s="10"/>
      <c r="AC1559" s="10"/>
      <c r="AD1559" s="10"/>
      <c r="AE1559" s="10"/>
      <c r="AF1559" s="10"/>
      <c r="AG1559" s="10"/>
      <c r="AH1559" s="10"/>
      <c r="AI1559" s="10"/>
    </row>
    <row r="1560" spans="1:35">
      <c r="A1560" s="10"/>
      <c r="B1560" s="10" t="str">
        <f>+C1560</f>
        <v>Below the Line</v>
      </c>
      <c r="C1560" s="128" t="s">
        <v>20</v>
      </c>
      <c r="D1560" s="128" t="s">
        <v>2117</v>
      </c>
      <c r="E1560" s="128"/>
      <c r="F1560" s="128"/>
      <c r="G1560" s="128" t="s">
        <v>928</v>
      </c>
      <c r="H1560" s="128"/>
      <c r="I1560" s="10"/>
      <c r="J1560" s="129">
        <f>SUMIF($Y$11:$Y$2484,G1560,J$11:J$2484)</f>
        <v>13125.76</v>
      </c>
      <c r="K1560" s="129">
        <f>SUMIF($Y$11:$Y$2484,G1560,K$11:K$2484)</f>
        <v>0</v>
      </c>
      <c r="L1560" s="129">
        <f>SUMIF($Y$11:$Y$2484,G1560,L$11:L$2484)</f>
        <v>13125.76</v>
      </c>
      <c r="M1560" s="129">
        <f>SUMIF($Y$11:$Y$2484,G1560,M$11:M$2484)</f>
        <v>0</v>
      </c>
      <c r="N1560" s="129">
        <f>SUMIF($Y$11:$Y$2484,G1560,N$11:N$2484)</f>
        <v>13125.76</v>
      </c>
      <c r="O1560" s="129">
        <f>SUMIF($Y$11:$Y$2484,G1560,O$11:O$2484)</f>
        <v>20000</v>
      </c>
      <c r="P1560" s="129">
        <f>SUMIF($Y$11:$Y$2484,G1560,P$11:P$2484)</f>
        <v>6874.24</v>
      </c>
      <c r="Q1560" s="129"/>
      <c r="R1560" s="10"/>
      <c r="S1560" s="129">
        <v>13125.76</v>
      </c>
      <c r="T1560" s="129">
        <f t="shared" si="631"/>
        <v>0</v>
      </c>
      <c r="U1560" s="128"/>
      <c r="V1560" s="175"/>
      <c r="W1560" s="10"/>
      <c r="X1560" s="10"/>
      <c r="Z1560" t="str">
        <f>LEFT(G1560,2)</f>
        <v>32</v>
      </c>
      <c r="AA1560" t="str">
        <f>+Z1560&amp;"00"</f>
        <v>3200</v>
      </c>
      <c r="AB1560" s="10"/>
      <c r="AC1560" s="10"/>
      <c r="AD1560" s="10"/>
      <c r="AE1560" s="10"/>
      <c r="AF1560" s="10"/>
      <c r="AG1560" s="10"/>
      <c r="AH1560" s="10"/>
      <c r="AI1560" s="10"/>
    </row>
    <row r="1561" spans="1:35">
      <c r="A1561" s="10"/>
      <c r="B1561" s="10" t="str">
        <f t="shared" ref="B1561:B1562" si="649">+C1561&amp;E1561</f>
        <v>Below the Line</v>
      </c>
      <c r="C1561" t="s">
        <v>20</v>
      </c>
      <c r="D1561" t="s">
        <v>19</v>
      </c>
      <c r="E1561" t="s">
        <v>214</v>
      </c>
      <c r="G1561" t="s">
        <v>929</v>
      </c>
      <c r="I1561" s="10"/>
      <c r="J1561" s="107">
        <f>SUMIF(Data!C:C,G1561,Data!Q:Q)</f>
        <v>0</v>
      </c>
      <c r="K1561" s="107">
        <f>SUMIF(Comprometidos!A:A,'Cost Report'!G1561,Comprometidos!E:E)</f>
        <v>0</v>
      </c>
      <c r="L1561" s="107">
        <f t="shared" ref="L1561:L1575" si="650">+J1561+K1561</f>
        <v>0</v>
      </c>
      <c r="M1561" s="107">
        <f t="shared" ref="M1561:M1575" si="651">+O1561-L1561</f>
        <v>0</v>
      </c>
      <c r="N1561" s="107">
        <f t="shared" ref="N1561:N1575" si="652">+L1561+M1561</f>
        <v>0</v>
      </c>
      <c r="O1561" s="107">
        <f>VLOOKUP(G1561,Budget!$E$3:$G$2474,3,0)</f>
        <v>0</v>
      </c>
      <c r="P1561" s="107">
        <f t="shared" ref="P1561:P1575" si="653">+O1561-N1561</f>
        <v>0</v>
      </c>
      <c r="Q1561" s="107"/>
      <c r="R1561" s="10"/>
      <c r="S1561" s="107">
        <v>0</v>
      </c>
      <c r="T1561" s="107">
        <f t="shared" si="631"/>
        <v>0</v>
      </c>
      <c r="U1561" s="107"/>
      <c r="V1561" s="175"/>
      <c r="W1561" s="10"/>
      <c r="X1561" s="10"/>
      <c r="Y1561" t="str">
        <f t="shared" ref="Y1561:Y1562" si="654">LEFT(G1561,4)</f>
        <v>3294</v>
      </c>
      <c r="AB1561" s="10"/>
      <c r="AC1561" s="10"/>
      <c r="AD1561" s="10"/>
      <c r="AE1561" s="10"/>
      <c r="AF1561" s="10"/>
      <c r="AG1561" s="10"/>
      <c r="AH1561" s="10"/>
      <c r="AI1561" s="10"/>
    </row>
    <row r="1562" spans="1:35">
      <c r="A1562" s="10"/>
      <c r="B1562" s="10" t="str">
        <f t="shared" si="649"/>
        <v>Below the LineALL SHOW</v>
      </c>
      <c r="C1562" t="s">
        <v>20</v>
      </c>
      <c r="D1562" t="s">
        <v>19</v>
      </c>
      <c r="E1562" t="s">
        <v>227</v>
      </c>
      <c r="G1562" t="s">
        <v>2746</v>
      </c>
      <c r="I1562" s="10"/>
      <c r="J1562" s="107">
        <f>SUMIF(Data!C:C,G1562,Data!Q:Q)</f>
        <v>13125.76</v>
      </c>
      <c r="K1562" s="107">
        <f>SUMIF(Comprometidos!A:A,'Cost Report'!G1562,Comprometidos!E:E)</f>
        <v>0</v>
      </c>
      <c r="L1562" s="107">
        <f t="shared" si="650"/>
        <v>13125.76</v>
      </c>
      <c r="M1562" s="107">
        <v>0</v>
      </c>
      <c r="N1562" s="107">
        <f t="shared" si="652"/>
        <v>13125.76</v>
      </c>
      <c r="O1562" s="107">
        <f>VLOOKUP(G1562,Budget!$E$3:$G$2474,3,0)</f>
        <v>20000</v>
      </c>
      <c r="P1562" s="107">
        <f t="shared" si="653"/>
        <v>6874.24</v>
      </c>
      <c r="Q1562" s="107"/>
      <c r="R1562" s="10"/>
      <c r="S1562" s="107">
        <v>13125.76</v>
      </c>
      <c r="T1562" s="107">
        <f t="shared" ref="T1562:T1625" si="655">+S1562-N1562</f>
        <v>0</v>
      </c>
      <c r="U1562" s="107"/>
      <c r="V1562" s="175"/>
      <c r="W1562" s="10"/>
      <c r="X1562" s="10"/>
      <c r="Y1562" t="str">
        <f t="shared" si="654"/>
        <v>3294</v>
      </c>
      <c r="AB1562" s="10"/>
      <c r="AC1562" s="10"/>
      <c r="AD1562" s="10"/>
      <c r="AE1562" s="10"/>
      <c r="AF1562" s="10"/>
      <c r="AG1562" s="10"/>
      <c r="AH1562" s="10"/>
      <c r="AI1562" s="10"/>
    </row>
    <row r="1563" spans="1:35">
      <c r="A1563" s="10"/>
      <c r="B1563" s="10" t="str">
        <f>+C1563</f>
        <v>Below the Line</v>
      </c>
      <c r="C1563" s="128" t="s">
        <v>20</v>
      </c>
      <c r="D1563" s="128" t="s">
        <v>2117</v>
      </c>
      <c r="E1563" s="128"/>
      <c r="F1563" s="128"/>
      <c r="G1563" s="128" t="s">
        <v>930</v>
      </c>
      <c r="H1563" s="128"/>
      <c r="I1563" s="10"/>
      <c r="J1563" s="129">
        <f>SUMIF($Y$11:$Y$2484,G1563,J$11:J$2484)</f>
        <v>35017.56</v>
      </c>
      <c r="K1563" s="129">
        <f>SUMIF($Y$11:$Y$2484,G1563,K$11:K$2484)</f>
        <v>0</v>
      </c>
      <c r="L1563" s="129">
        <f>SUMIF($Y$11:$Y$2484,G1563,L$11:L$2484)</f>
        <v>35017.56</v>
      </c>
      <c r="M1563" s="129">
        <f>SUMIF($Y$11:$Y$2484,G1563,M$11:M$2484)</f>
        <v>3.637978807091713E-12</v>
      </c>
      <c r="N1563" s="129">
        <f>SUMIF($Y$11:$Y$2484,G1563,N$11:N$2484)</f>
        <v>35017.56</v>
      </c>
      <c r="O1563" s="129">
        <f>SUMIF($Y$11:$Y$2484,G1563,O$11:O$2484)</f>
        <v>20000</v>
      </c>
      <c r="P1563" s="129">
        <f>SUMIF($Y$11:$Y$2484,G1563,P$11:P$2484)</f>
        <v>-15017.559999999998</v>
      </c>
      <c r="Q1563" s="129"/>
      <c r="R1563" s="10"/>
      <c r="S1563" s="129">
        <v>35017.56</v>
      </c>
      <c r="T1563" s="129">
        <f t="shared" si="655"/>
        <v>0</v>
      </c>
      <c r="U1563" s="128"/>
      <c r="V1563" s="175"/>
      <c r="W1563" s="10"/>
      <c r="X1563" s="10"/>
      <c r="Z1563" t="str">
        <f>LEFT(G1563,2)</f>
        <v>32</v>
      </c>
      <c r="AA1563" t="str">
        <f>+Z1563&amp;"00"</f>
        <v>3200</v>
      </c>
      <c r="AB1563" s="10"/>
      <c r="AC1563" s="10"/>
      <c r="AD1563" s="10"/>
      <c r="AE1563" s="10"/>
      <c r="AF1563" s="10"/>
      <c r="AG1563" s="10"/>
      <c r="AH1563" s="10"/>
      <c r="AI1563" s="10"/>
    </row>
    <row r="1564" spans="1:35">
      <c r="A1564" s="10"/>
      <c r="B1564" s="10" t="str">
        <f t="shared" ref="B1564:B1565" si="656">+C1564&amp;E1564</f>
        <v>Below the Line</v>
      </c>
      <c r="C1564" t="s">
        <v>20</v>
      </c>
      <c r="D1564" t="s">
        <v>19</v>
      </c>
      <c r="E1564" t="s">
        <v>214</v>
      </c>
      <c r="G1564" t="s">
        <v>931</v>
      </c>
      <c r="I1564" s="10"/>
      <c r="J1564" s="107">
        <f>SUMIF(Data!C:C,G1564,Data!Q:Q)</f>
        <v>0</v>
      </c>
      <c r="K1564" s="107">
        <f>SUMIF(Comprometidos!A:A,'Cost Report'!G1564,Comprometidos!E:E)</f>
        <v>0</v>
      </c>
      <c r="L1564" s="107">
        <f t="shared" si="650"/>
        <v>0</v>
      </c>
      <c r="M1564" s="107">
        <f t="shared" si="651"/>
        <v>0</v>
      </c>
      <c r="N1564" s="107">
        <f t="shared" si="652"/>
        <v>0</v>
      </c>
      <c r="O1564" s="107">
        <f>VLOOKUP(G1564,Budget!$E$3:$G$2474,3,0)</f>
        <v>0</v>
      </c>
      <c r="P1564" s="107">
        <f t="shared" si="653"/>
        <v>0</v>
      </c>
      <c r="Q1564" s="107"/>
      <c r="R1564" s="10"/>
      <c r="S1564" s="107">
        <v>0</v>
      </c>
      <c r="T1564" s="107">
        <f t="shared" si="655"/>
        <v>0</v>
      </c>
      <c r="U1564" s="107"/>
      <c r="V1564" s="175"/>
      <c r="W1564" s="10"/>
      <c r="X1564" s="10"/>
      <c r="Y1564" t="str">
        <f t="shared" ref="Y1564:Y1565" si="657">LEFT(G1564,4)</f>
        <v>3298</v>
      </c>
      <c r="AB1564" s="10"/>
      <c r="AC1564" s="10"/>
      <c r="AD1564" s="10"/>
      <c r="AE1564" s="10"/>
      <c r="AF1564" s="10"/>
      <c r="AG1564" s="10"/>
      <c r="AH1564" s="10"/>
      <c r="AI1564" s="10"/>
    </row>
    <row r="1565" spans="1:35">
      <c r="A1565" s="10"/>
      <c r="B1565" s="10" t="str">
        <f t="shared" si="656"/>
        <v>Below the LineALL SHOW</v>
      </c>
      <c r="C1565" t="s">
        <v>20</v>
      </c>
      <c r="D1565" t="s">
        <v>19</v>
      </c>
      <c r="E1565" t="s">
        <v>227</v>
      </c>
      <c r="G1565" t="s">
        <v>2747</v>
      </c>
      <c r="I1565" s="10"/>
      <c r="J1565" s="107">
        <f>SUMIF(Data!C:C,G1565,Data!Q:Q)</f>
        <v>35017.56</v>
      </c>
      <c r="K1565" s="107">
        <f>SUMIF(Comprometidos!A:A,'Cost Report'!G1565,Comprometidos!E:E)</f>
        <v>0</v>
      </c>
      <c r="L1565" s="107">
        <f t="shared" si="650"/>
        <v>35017.56</v>
      </c>
      <c r="M1565" s="107">
        <f>+O1565-L1565+19967.56-5000+50</f>
        <v>3.637978807091713E-12</v>
      </c>
      <c r="N1565" s="107">
        <f t="shared" si="652"/>
        <v>35017.56</v>
      </c>
      <c r="O1565" s="107">
        <f>VLOOKUP(G1565,Budget!$E$3:$G$2474,3,0)</f>
        <v>20000</v>
      </c>
      <c r="P1565" s="107">
        <f t="shared" si="653"/>
        <v>-15017.559999999998</v>
      </c>
      <c r="Q1565" s="107"/>
      <c r="R1565" s="10"/>
      <c r="S1565" s="107">
        <v>35017.56</v>
      </c>
      <c r="T1565" s="107">
        <f t="shared" si="655"/>
        <v>0</v>
      </c>
      <c r="U1565" s="107"/>
      <c r="V1565" s="175"/>
      <c r="W1565" s="10"/>
      <c r="X1565" s="10"/>
      <c r="Y1565" t="str">
        <f t="shared" si="657"/>
        <v>3298</v>
      </c>
      <c r="AB1565" s="10"/>
      <c r="AC1565" s="10"/>
      <c r="AD1565" s="10"/>
      <c r="AE1565" s="10"/>
      <c r="AF1565" s="10"/>
      <c r="AG1565" s="10"/>
      <c r="AH1565" s="10"/>
      <c r="AI1565" s="10"/>
    </row>
    <row r="1566" spans="1:35">
      <c r="A1566" s="10"/>
      <c r="B1566" s="10"/>
      <c r="C1566" s="170" t="s">
        <v>20</v>
      </c>
      <c r="D1566" s="170" t="s">
        <v>8</v>
      </c>
      <c r="E1566" s="170"/>
      <c r="F1566" s="170"/>
      <c r="G1566" s="170" t="s">
        <v>932</v>
      </c>
      <c r="H1566" s="170"/>
      <c r="I1566" s="10"/>
      <c r="J1566" s="169">
        <f>SUMIF($AA$10:$AA$2484,G1566,J$10:J$2484)</f>
        <v>408200</v>
      </c>
      <c r="K1566" s="169">
        <f>SUMIF($AA$10:$AA$2484,G1566,K$10:K$2484)</f>
        <v>0</v>
      </c>
      <c r="L1566" s="169">
        <f>SUMIF($AA$10:$AA$2484,G1566,L$10:L$2484)</f>
        <v>408200</v>
      </c>
      <c r="M1566" s="169">
        <f>SUMIF($AA$10:$AA$2484,G1566,M$10:M$2484)</f>
        <v>0</v>
      </c>
      <c r="N1566" s="169">
        <f>SUMIF($AA$10:$AA$2484,G1566,N$10:N$2484)</f>
        <v>408200</v>
      </c>
      <c r="O1566" s="169">
        <f>SUMIF($AA$10:$AA$2484,G1566,O$10:O$2484)</f>
        <v>165500</v>
      </c>
      <c r="P1566" s="168">
        <f>SUMIF($AA$10:$AA$2484,G1566,P$10:P$2484)</f>
        <v>-242700</v>
      </c>
      <c r="Q1566" s="169"/>
      <c r="R1566" s="10"/>
      <c r="S1566" s="164">
        <v>408200</v>
      </c>
      <c r="T1566" s="164">
        <f t="shared" si="655"/>
        <v>0</v>
      </c>
      <c r="U1566" s="163"/>
      <c r="V1566" s="175"/>
      <c r="W1566" s="10"/>
      <c r="X1566" s="10"/>
      <c r="AB1566" s="10"/>
      <c r="AC1566" s="10"/>
      <c r="AD1566" s="10"/>
      <c r="AE1566" s="10"/>
      <c r="AF1566" s="10"/>
      <c r="AG1566" s="10"/>
      <c r="AH1566" s="10"/>
      <c r="AI1566" s="10"/>
    </row>
    <row r="1567" spans="1:35">
      <c r="A1567" s="10"/>
      <c r="B1567" s="10" t="str">
        <f>+C1567</f>
        <v>Below the Line</v>
      </c>
      <c r="C1567" s="128" t="s">
        <v>20</v>
      </c>
      <c r="D1567" s="128" t="s">
        <v>2117</v>
      </c>
      <c r="E1567" s="128"/>
      <c r="F1567" s="128"/>
      <c r="G1567" s="128" t="s">
        <v>1847</v>
      </c>
      <c r="H1567" s="128"/>
      <c r="I1567" s="10"/>
      <c r="J1567" s="129">
        <f>SUMIF($Y$11:$Y$2484,G1567,J$11:J$2484)</f>
        <v>408200</v>
      </c>
      <c r="K1567" s="129">
        <f>SUMIF($Y$11:$Y$2484,G1567,K$11:K$2484)</f>
        <v>0</v>
      </c>
      <c r="L1567" s="129">
        <f>SUMIF($Y$11:$Y$2484,G1567,L$11:L$2484)</f>
        <v>408200</v>
      </c>
      <c r="M1567" s="129">
        <f>SUMIF($Y$11:$Y$2484,G1567,M$11:M$2484)</f>
        <v>0</v>
      </c>
      <c r="N1567" s="129">
        <f>SUMIF($Y$11:$Y$2484,G1567,N$11:N$2484)</f>
        <v>408200</v>
      </c>
      <c r="O1567" s="129">
        <f>SUMIF($Y$11:$Y$2484,G1567,O$11:O$2484)</f>
        <v>165500</v>
      </c>
      <c r="P1567" s="129">
        <f>SUMIF($Y$11:$Y$2484,G1567,P$11:P$2484)</f>
        <v>-242700</v>
      </c>
      <c r="Q1567" s="129"/>
      <c r="R1567" s="10"/>
      <c r="S1567" s="129">
        <v>408200</v>
      </c>
      <c r="T1567" s="129">
        <f t="shared" si="655"/>
        <v>0</v>
      </c>
      <c r="U1567" s="128"/>
      <c r="V1567" s="175"/>
      <c r="W1567" s="10"/>
      <c r="X1567" s="10"/>
      <c r="Z1567" t="str">
        <f>LEFT(G1567,2)</f>
        <v>33</v>
      </c>
      <c r="AA1567" t="str">
        <f>+Z1567&amp;"00"</f>
        <v>3300</v>
      </c>
      <c r="AB1567" s="10"/>
      <c r="AC1567" s="10"/>
      <c r="AD1567" s="10"/>
      <c r="AE1567" s="10"/>
      <c r="AF1567" s="10"/>
      <c r="AG1567" s="10"/>
      <c r="AH1567" s="10"/>
      <c r="AI1567" s="10"/>
    </row>
    <row r="1568" spans="1:35">
      <c r="A1568" s="10"/>
      <c r="B1568" s="10" t="str">
        <f t="shared" ref="B1568:B1575" si="658">+C1568&amp;E1568</f>
        <v>Below the Line</v>
      </c>
      <c r="C1568" t="s">
        <v>20</v>
      </c>
      <c r="D1568" t="s">
        <v>19</v>
      </c>
      <c r="E1568" t="s">
        <v>214</v>
      </c>
      <c r="G1568" t="s">
        <v>1848</v>
      </c>
      <c r="I1568" s="10"/>
      <c r="J1568" s="107">
        <f>SUMIF(Data!C:C,G1568,Data!Q:Q)</f>
        <v>0</v>
      </c>
      <c r="K1568" s="107">
        <f>SUMIF(Comprometidos!A:A,'Cost Report'!G1568,Comprometidos!E:E)</f>
        <v>0</v>
      </c>
      <c r="L1568" s="107">
        <f t="shared" si="650"/>
        <v>0</v>
      </c>
      <c r="M1568" s="107">
        <f t="shared" si="651"/>
        <v>0</v>
      </c>
      <c r="N1568" s="107">
        <f t="shared" si="652"/>
        <v>0</v>
      </c>
      <c r="O1568" s="107">
        <f>VLOOKUP(G1568,Budget!$E$3:$G$2474,3,0)</f>
        <v>0</v>
      </c>
      <c r="P1568" s="107">
        <f t="shared" si="653"/>
        <v>0</v>
      </c>
      <c r="Q1568" s="107"/>
      <c r="R1568" s="10"/>
      <c r="S1568" s="107">
        <v>0</v>
      </c>
      <c r="T1568" s="107">
        <f t="shared" si="655"/>
        <v>0</v>
      </c>
      <c r="U1568" s="107"/>
      <c r="V1568" s="175"/>
      <c r="W1568" s="10"/>
      <c r="X1568" s="10"/>
      <c r="Y1568" t="str">
        <f t="shared" ref="Y1568:Y1575" si="659">LEFT(G1568,4)</f>
        <v>3305</v>
      </c>
      <c r="AB1568" s="10"/>
      <c r="AC1568" s="10"/>
      <c r="AD1568" s="10"/>
      <c r="AE1568" s="10"/>
      <c r="AF1568" s="10"/>
      <c r="AG1568" s="10"/>
      <c r="AH1568" s="10"/>
      <c r="AI1568" s="10"/>
    </row>
    <row r="1569" spans="1:35">
      <c r="A1569" s="10"/>
      <c r="B1569" s="10" t="str">
        <f t="shared" si="658"/>
        <v>Below the LineSHOOT</v>
      </c>
      <c r="C1569" t="s">
        <v>20</v>
      </c>
      <c r="D1569" t="s">
        <v>19</v>
      </c>
      <c r="E1569" t="s">
        <v>236</v>
      </c>
      <c r="G1569" t="s">
        <v>1849</v>
      </c>
      <c r="I1569" s="10"/>
      <c r="J1569" s="107">
        <f>SUMIF(Data!C:C,G1569,Data!Q:Q)</f>
        <v>19000</v>
      </c>
      <c r="K1569" s="107">
        <f>SUMIF(Comprometidos!A:A,'Cost Report'!G1569,Comprometidos!E:E)</f>
        <v>0</v>
      </c>
      <c r="L1569" s="107">
        <f t="shared" si="650"/>
        <v>19000</v>
      </c>
      <c r="M1569" s="107">
        <f t="shared" si="651"/>
        <v>0</v>
      </c>
      <c r="N1569" s="107">
        <f t="shared" si="652"/>
        <v>19000</v>
      </c>
      <c r="O1569" s="107">
        <f>VLOOKUP(G1569,Budget!$E$3:$G$2474,3,0)</f>
        <v>19000</v>
      </c>
      <c r="P1569" s="107">
        <f t="shared" si="653"/>
        <v>0</v>
      </c>
      <c r="Q1569" s="107"/>
      <c r="R1569" s="10"/>
      <c r="S1569" s="107">
        <v>19000</v>
      </c>
      <c r="T1569" s="107">
        <f t="shared" si="655"/>
        <v>0</v>
      </c>
      <c r="U1569" s="107"/>
      <c r="V1569" s="175"/>
      <c r="W1569" s="10"/>
      <c r="X1569" s="10"/>
      <c r="Y1569" t="str">
        <f t="shared" si="659"/>
        <v>3305</v>
      </c>
      <c r="AB1569" s="10"/>
      <c r="AC1569" s="10"/>
      <c r="AD1569" s="10"/>
      <c r="AE1569" s="10"/>
      <c r="AF1569" s="10"/>
      <c r="AG1569" s="10"/>
      <c r="AH1569" s="10"/>
      <c r="AI1569" s="10"/>
    </row>
    <row r="1570" spans="1:35">
      <c r="A1570" s="10"/>
      <c r="B1570" s="10" t="str">
        <f t="shared" si="658"/>
        <v>Below the LineSHOOT</v>
      </c>
      <c r="C1570" t="s">
        <v>20</v>
      </c>
      <c r="D1570" t="s">
        <v>19</v>
      </c>
      <c r="E1570" t="s">
        <v>236</v>
      </c>
      <c r="G1570" t="s">
        <v>1850</v>
      </c>
      <c r="I1570" s="10"/>
      <c r="J1570" s="107">
        <f>SUMIF(Data!C:C,G1570,Data!Q:Q)</f>
        <v>20000</v>
      </c>
      <c r="K1570" s="107">
        <f>SUMIF(Comprometidos!A:A,'Cost Report'!G1570,Comprometidos!E:E)</f>
        <v>0</v>
      </c>
      <c r="L1570" s="107">
        <f t="shared" si="650"/>
        <v>20000</v>
      </c>
      <c r="M1570" s="107">
        <f t="shared" si="651"/>
        <v>0</v>
      </c>
      <c r="N1570" s="107">
        <f t="shared" si="652"/>
        <v>20000</v>
      </c>
      <c r="O1570" s="107">
        <f>VLOOKUP(G1570,Budget!$E$3:$G$2474,3,0)</f>
        <v>20000</v>
      </c>
      <c r="P1570" s="107">
        <f t="shared" si="653"/>
        <v>0</v>
      </c>
      <c r="Q1570" s="107"/>
      <c r="R1570" s="10"/>
      <c r="S1570" s="107">
        <v>20000</v>
      </c>
      <c r="T1570" s="107">
        <f t="shared" si="655"/>
        <v>0</v>
      </c>
      <c r="U1570" s="107"/>
      <c r="V1570" s="175"/>
      <c r="W1570" s="10"/>
      <c r="X1570" s="10"/>
      <c r="Y1570" t="str">
        <f t="shared" si="659"/>
        <v>3305</v>
      </c>
      <c r="AB1570" s="10"/>
      <c r="AC1570" s="10"/>
      <c r="AD1570" s="10"/>
      <c r="AE1570" s="10"/>
      <c r="AF1570" s="10"/>
      <c r="AG1570" s="10"/>
      <c r="AH1570" s="10"/>
      <c r="AI1570" s="10"/>
    </row>
    <row r="1571" spans="1:35">
      <c r="A1571" s="10"/>
      <c r="B1571" s="10" t="str">
        <f t="shared" si="658"/>
        <v>Below the LineSHOOT</v>
      </c>
      <c r="C1571" t="s">
        <v>20</v>
      </c>
      <c r="D1571" t="s">
        <v>19</v>
      </c>
      <c r="E1571" t="s">
        <v>236</v>
      </c>
      <c r="G1571" t="s">
        <v>1851</v>
      </c>
      <c r="I1571" s="10"/>
      <c r="J1571" s="107">
        <f>SUMIF(Data!C:C,G1571,Data!Q:Q)</f>
        <v>4500</v>
      </c>
      <c r="K1571" s="107">
        <f>SUMIF(Comprometidos!A:A,'Cost Report'!G1571,Comprometidos!E:E)</f>
        <v>0</v>
      </c>
      <c r="L1571" s="107">
        <f t="shared" si="650"/>
        <v>4500</v>
      </c>
      <c r="M1571" s="107">
        <f t="shared" si="651"/>
        <v>0</v>
      </c>
      <c r="N1571" s="107">
        <f t="shared" si="652"/>
        <v>4500</v>
      </c>
      <c r="O1571" s="107">
        <f>VLOOKUP(G1571,Budget!$E$3:$G$2474,3,0)</f>
        <v>4500</v>
      </c>
      <c r="P1571" s="107">
        <f t="shared" si="653"/>
        <v>0</v>
      </c>
      <c r="Q1571" s="107"/>
      <c r="R1571" s="10"/>
      <c r="S1571" s="107">
        <v>4500</v>
      </c>
      <c r="T1571" s="107">
        <f t="shared" si="655"/>
        <v>0</v>
      </c>
      <c r="U1571" s="107"/>
      <c r="V1571" s="175"/>
      <c r="W1571" s="10"/>
      <c r="X1571" s="10"/>
      <c r="Y1571" t="str">
        <f t="shared" si="659"/>
        <v>3305</v>
      </c>
      <c r="AB1571" s="10"/>
      <c r="AC1571" s="10"/>
      <c r="AD1571" s="10"/>
      <c r="AE1571" s="10"/>
      <c r="AF1571" s="10"/>
      <c r="AG1571" s="10"/>
      <c r="AH1571" s="10"/>
      <c r="AI1571" s="10"/>
    </row>
    <row r="1572" spans="1:35">
      <c r="A1572" s="10"/>
      <c r="B1572" s="10" t="str">
        <f t="shared" si="658"/>
        <v>Below the LineSHOOT</v>
      </c>
      <c r="C1572" t="s">
        <v>20</v>
      </c>
      <c r="D1572" t="s">
        <v>19</v>
      </c>
      <c r="E1572" t="s">
        <v>236</v>
      </c>
      <c r="G1572" t="s">
        <v>1852</v>
      </c>
      <c r="I1572" s="10"/>
      <c r="J1572" s="107">
        <f>SUMIF(Data!C:C,G1572,Data!Q:Q)</f>
        <v>12000</v>
      </c>
      <c r="K1572" s="107">
        <f>SUMIF(Comprometidos!A:A,'Cost Report'!G1572,Comprometidos!E:E)</f>
        <v>0</v>
      </c>
      <c r="L1572" s="107">
        <f t="shared" si="650"/>
        <v>12000</v>
      </c>
      <c r="M1572" s="107">
        <f t="shared" si="651"/>
        <v>0</v>
      </c>
      <c r="N1572" s="107">
        <f t="shared" si="652"/>
        <v>12000</v>
      </c>
      <c r="O1572" s="107">
        <f>VLOOKUP(G1572,Budget!$E$3:$G$2474,3,0)</f>
        <v>12000</v>
      </c>
      <c r="P1572" s="107">
        <f t="shared" si="653"/>
        <v>0</v>
      </c>
      <c r="Q1572" s="107"/>
      <c r="R1572" s="10"/>
      <c r="S1572" s="107">
        <v>12000</v>
      </c>
      <c r="T1572" s="107">
        <f t="shared" si="655"/>
        <v>0</v>
      </c>
      <c r="U1572" s="107"/>
      <c r="V1572" s="175"/>
      <c r="W1572" s="10"/>
      <c r="X1572" s="10"/>
      <c r="Y1572" t="str">
        <f t="shared" si="659"/>
        <v>3305</v>
      </c>
      <c r="AB1572" s="10"/>
      <c r="AC1572" s="10"/>
      <c r="AD1572" s="10"/>
      <c r="AE1572" s="10"/>
      <c r="AF1572" s="10"/>
      <c r="AG1572" s="10"/>
      <c r="AH1572" s="10"/>
      <c r="AI1572" s="10"/>
    </row>
    <row r="1573" spans="1:35">
      <c r="A1573" s="10"/>
      <c r="B1573" s="10" t="str">
        <f t="shared" si="658"/>
        <v>Below the LineSHOOT</v>
      </c>
      <c r="C1573" t="s">
        <v>20</v>
      </c>
      <c r="D1573" t="s">
        <v>19</v>
      </c>
      <c r="E1573" t="s">
        <v>236</v>
      </c>
      <c r="G1573" t="s">
        <v>1853</v>
      </c>
      <c r="I1573" s="10"/>
      <c r="J1573" s="107">
        <f>SUMIF(Data!C:C,G1573,Data!Q:Q)</f>
        <v>320700</v>
      </c>
      <c r="K1573" s="107">
        <f>SUMIF(Comprometidos!A:A,'Cost Report'!G1573,Comprometidos!E:E)</f>
        <v>0</v>
      </c>
      <c r="L1573" s="107">
        <f t="shared" si="650"/>
        <v>320700</v>
      </c>
      <c r="M1573" s="107">
        <v>0</v>
      </c>
      <c r="N1573" s="107">
        <f t="shared" si="652"/>
        <v>320700</v>
      </c>
      <c r="O1573" s="107">
        <f>VLOOKUP(G1573,Budget!$E$3:$G$2474,3,0)</f>
        <v>78000</v>
      </c>
      <c r="P1573" s="107">
        <f t="shared" si="653"/>
        <v>-242700</v>
      </c>
      <c r="Q1573" s="107"/>
      <c r="R1573" s="10"/>
      <c r="S1573" s="107">
        <v>320700</v>
      </c>
      <c r="T1573" s="107">
        <f t="shared" si="655"/>
        <v>0</v>
      </c>
      <c r="U1573" s="107"/>
      <c r="V1573" s="175"/>
      <c r="W1573" s="10"/>
      <c r="X1573" s="10"/>
      <c r="Y1573" t="str">
        <f t="shared" si="659"/>
        <v>3305</v>
      </c>
      <c r="AB1573" s="10"/>
      <c r="AC1573" s="10"/>
      <c r="AD1573" s="10"/>
      <c r="AE1573" s="10"/>
      <c r="AF1573" s="10"/>
      <c r="AG1573" s="10"/>
      <c r="AH1573" s="10"/>
      <c r="AI1573" s="10"/>
    </row>
    <row r="1574" spans="1:35">
      <c r="A1574" s="10"/>
      <c r="B1574" s="10" t="str">
        <f t="shared" si="658"/>
        <v>Below the Line</v>
      </c>
      <c r="C1574" t="s">
        <v>20</v>
      </c>
      <c r="D1574" t="s">
        <v>19</v>
      </c>
      <c r="E1574" t="s">
        <v>214</v>
      </c>
      <c r="G1574" t="s">
        <v>1854</v>
      </c>
      <c r="I1574" s="10"/>
      <c r="J1574" s="107">
        <f>SUMIF(Data!C:C,G1574,Data!Q:Q)</f>
        <v>0</v>
      </c>
      <c r="K1574" s="107">
        <f>SUMIF(Comprometidos!A:A,'Cost Report'!G1574,Comprometidos!E:E)</f>
        <v>0</v>
      </c>
      <c r="L1574" s="107">
        <f t="shared" si="650"/>
        <v>0</v>
      </c>
      <c r="M1574" s="107">
        <f t="shared" si="651"/>
        <v>0</v>
      </c>
      <c r="N1574" s="107">
        <f t="shared" si="652"/>
        <v>0</v>
      </c>
      <c r="O1574" s="107">
        <f>VLOOKUP(G1574,Budget!$E$3:$G$2474,3,0)</f>
        <v>0</v>
      </c>
      <c r="P1574" s="107">
        <f t="shared" si="653"/>
        <v>0</v>
      </c>
      <c r="Q1574" s="107"/>
      <c r="R1574" s="10"/>
      <c r="S1574" s="107">
        <v>0</v>
      </c>
      <c r="T1574" s="107">
        <f t="shared" si="655"/>
        <v>0</v>
      </c>
      <c r="U1574" s="107"/>
      <c r="V1574" s="175"/>
      <c r="W1574" s="10"/>
      <c r="X1574" s="10"/>
      <c r="Y1574" t="str">
        <f t="shared" si="659"/>
        <v>3305</v>
      </c>
      <c r="AB1574" s="10"/>
      <c r="AC1574" s="10"/>
      <c r="AD1574" s="10"/>
      <c r="AE1574" s="10"/>
      <c r="AF1574" s="10"/>
      <c r="AG1574" s="10"/>
      <c r="AH1574" s="10"/>
      <c r="AI1574" s="10"/>
    </row>
    <row r="1575" spans="1:35">
      <c r="A1575" s="10"/>
      <c r="B1575" s="10" t="str">
        <f t="shared" si="658"/>
        <v>Below the LineSHOOT</v>
      </c>
      <c r="C1575" t="s">
        <v>20</v>
      </c>
      <c r="D1575" t="s">
        <v>19</v>
      </c>
      <c r="E1575" t="s">
        <v>236</v>
      </c>
      <c r="G1575" t="s">
        <v>2748</v>
      </c>
      <c r="I1575" s="10"/>
      <c r="J1575" s="107">
        <f>SUMIF(Data!C:C,G1575,Data!Q:Q)</f>
        <v>32000</v>
      </c>
      <c r="K1575" s="107">
        <f>SUMIF(Comprometidos!A:A,'Cost Report'!G1575,Comprometidos!E:E)</f>
        <v>0</v>
      </c>
      <c r="L1575" s="107">
        <f t="shared" si="650"/>
        <v>32000</v>
      </c>
      <c r="M1575" s="107">
        <f t="shared" si="651"/>
        <v>0</v>
      </c>
      <c r="N1575" s="107">
        <f t="shared" si="652"/>
        <v>32000</v>
      </c>
      <c r="O1575" s="107">
        <f>VLOOKUP(G1575,Budget!$E$3:$G$2474,3,0)</f>
        <v>32000</v>
      </c>
      <c r="P1575" s="107">
        <f t="shared" si="653"/>
        <v>0</v>
      </c>
      <c r="Q1575" s="107"/>
      <c r="R1575" s="10"/>
      <c r="S1575" s="107">
        <v>32000</v>
      </c>
      <c r="T1575" s="107">
        <f t="shared" si="655"/>
        <v>0</v>
      </c>
      <c r="U1575" s="107"/>
      <c r="V1575" s="175"/>
      <c r="W1575" s="10"/>
      <c r="X1575" s="10"/>
      <c r="Y1575" t="str">
        <f t="shared" si="659"/>
        <v>3305</v>
      </c>
      <c r="AB1575" s="10"/>
      <c r="AC1575" s="10"/>
      <c r="AD1575" s="10"/>
      <c r="AE1575" s="10"/>
      <c r="AF1575" s="10"/>
      <c r="AG1575" s="10"/>
      <c r="AH1575" s="10"/>
      <c r="AI1575" s="10"/>
    </row>
    <row r="1576" spans="1:35">
      <c r="A1576" s="10"/>
      <c r="B1576" s="10"/>
      <c r="C1576" s="170" t="s">
        <v>20</v>
      </c>
      <c r="D1576" s="170" t="s">
        <v>8</v>
      </c>
      <c r="E1576" s="170"/>
      <c r="F1576" s="170"/>
      <c r="G1576" s="170" t="s">
        <v>933</v>
      </c>
      <c r="H1576" s="170"/>
      <c r="I1576" s="10"/>
      <c r="J1576" s="169">
        <f>SUMIF($AA$10:$AA$2484,G1576,J$10:J$2484)</f>
        <v>12724039.844999999</v>
      </c>
      <c r="K1576" s="169">
        <f>SUMIF($AA$10:$AA$2484,G1576,K$10:K$2484)</f>
        <v>0</v>
      </c>
      <c r="L1576" s="169">
        <f>SUMIF($AA$10:$AA$2484,G1576,L$10:L$2484)</f>
        <v>12724039.844999999</v>
      </c>
      <c r="M1576" s="169">
        <f>SUMIF($AA$10:$AA$2484,G1576,M$10:M$2484)</f>
        <v>0</v>
      </c>
      <c r="N1576" s="169">
        <f>SUMIF($AA$10:$AA$2484,G1576,N$10:N$2484)</f>
        <v>12724039.844999999</v>
      </c>
      <c r="O1576" s="169">
        <f>SUMIF($AA$10:$AA$2484,G1576,O$10:O$2484)</f>
        <v>15001515.109999999</v>
      </c>
      <c r="P1576" s="168">
        <f>SUMIF($AA$10:$AA$2484,G1576,P$10:P$2484)</f>
        <v>2277475.2650000001</v>
      </c>
      <c r="Q1576" s="169"/>
      <c r="R1576" s="10"/>
      <c r="S1576" s="164">
        <v>12712302.216</v>
      </c>
      <c r="T1576" s="164">
        <f t="shared" si="655"/>
        <v>-11737.628999998793</v>
      </c>
      <c r="U1576" s="163"/>
      <c r="V1576" s="175"/>
      <c r="W1576" s="10"/>
      <c r="X1576" s="10"/>
      <c r="AB1576" s="10"/>
      <c r="AC1576" s="10"/>
      <c r="AD1576" s="10"/>
      <c r="AE1576" s="10"/>
      <c r="AF1576" s="10"/>
      <c r="AG1576" s="10"/>
      <c r="AH1576" s="10"/>
      <c r="AI1576" s="10"/>
    </row>
    <row r="1577" spans="1:35">
      <c r="A1577" s="10"/>
      <c r="B1577" s="10" t="str">
        <f>+C1577</f>
        <v>Below the Line</v>
      </c>
      <c r="C1577" s="128" t="s">
        <v>20</v>
      </c>
      <c r="D1577" s="128" t="s">
        <v>2117</v>
      </c>
      <c r="E1577" s="128"/>
      <c r="F1577" s="128"/>
      <c r="G1577" s="128" t="s">
        <v>934</v>
      </c>
      <c r="H1577" s="128"/>
      <c r="I1577" s="10"/>
      <c r="J1577" s="129">
        <f>SUMIF($Y$11:$Y$2484,G1577,J$11:J$2484)</f>
        <v>356865.22900000005</v>
      </c>
      <c r="K1577" s="129">
        <f>SUMIF($Y$11:$Y$2484,G1577,K$11:K$2484)</f>
        <v>0</v>
      </c>
      <c r="L1577" s="129">
        <f>SUMIF($Y$11:$Y$2484,G1577,L$11:L$2484)</f>
        <v>356865.22900000005</v>
      </c>
      <c r="M1577" s="129">
        <f>SUMIF($Y$11:$Y$2484,G1577,M$11:M$2484)</f>
        <v>0</v>
      </c>
      <c r="N1577" s="129">
        <f>SUMIF($Y$11:$Y$2484,G1577,N$11:N$2484)</f>
        <v>356865.22900000005</v>
      </c>
      <c r="O1577" s="129">
        <f>SUMIF($Y$11:$Y$2484,G1577,O$11:O$2484)</f>
        <v>271779.74</v>
      </c>
      <c r="P1577" s="129">
        <f>SUMIF($Y$11:$Y$2484,G1577,P$11:P$2484)</f>
        <v>-85085.489000000031</v>
      </c>
      <c r="Q1577" s="129"/>
      <c r="R1577" s="10"/>
      <c r="S1577" s="129">
        <v>350293.24000000005</v>
      </c>
      <c r="T1577" s="129">
        <f t="shared" si="655"/>
        <v>-6571.9890000000014</v>
      </c>
      <c r="U1577" s="128"/>
      <c r="V1577" s="175"/>
      <c r="W1577" s="10"/>
      <c r="X1577" s="10"/>
      <c r="Z1577" t="str">
        <f>LEFT(G1577,2)</f>
        <v>34</v>
      </c>
      <c r="AA1577" t="str">
        <f>+Z1577&amp;"00"</f>
        <v>3400</v>
      </c>
      <c r="AB1577" s="10"/>
      <c r="AC1577" s="10"/>
      <c r="AD1577" s="10"/>
      <c r="AE1577" s="10"/>
      <c r="AF1577" s="10"/>
      <c r="AG1577" s="10"/>
      <c r="AH1577" s="10"/>
      <c r="AI1577" s="10"/>
    </row>
    <row r="1578" spans="1:35">
      <c r="A1578" s="10"/>
      <c r="B1578" s="10" t="str">
        <f t="shared" ref="B1578:B1610" si="660">+C1578&amp;E1578</f>
        <v>Below the Line</v>
      </c>
      <c r="C1578" t="s">
        <v>20</v>
      </c>
      <c r="D1578" t="s">
        <v>19</v>
      </c>
      <c r="E1578" t="s">
        <v>214</v>
      </c>
      <c r="G1578" t="s">
        <v>935</v>
      </c>
      <c r="I1578" s="10"/>
      <c r="J1578" s="107">
        <f>SUMIF(Data!C:C,G1578,Data!Q:Q)</f>
        <v>0</v>
      </c>
      <c r="K1578" s="107">
        <f>SUMIF(Comprometidos!A:A,'Cost Report'!G1578,Comprometidos!E:E)</f>
        <v>0</v>
      </c>
      <c r="L1578" s="107">
        <f t="shared" ref="L1578:L1610" si="661">+J1578+K1578</f>
        <v>0</v>
      </c>
      <c r="M1578" s="107">
        <f t="shared" ref="M1578:M1609" si="662">+O1578-L1578</f>
        <v>0</v>
      </c>
      <c r="N1578" s="107">
        <f t="shared" ref="N1578:N1610" si="663">+L1578+M1578</f>
        <v>0</v>
      </c>
      <c r="O1578" s="107">
        <f>VLOOKUP(G1578,Budget!$E$3:$G$2474,3,0)</f>
        <v>0</v>
      </c>
      <c r="P1578" s="107">
        <f t="shared" ref="P1578:P1610" si="664">+O1578-N1578</f>
        <v>0</v>
      </c>
      <c r="Q1578" s="107"/>
      <c r="R1578" s="10"/>
      <c r="S1578" s="107">
        <v>0</v>
      </c>
      <c r="T1578" s="107">
        <f t="shared" si="655"/>
        <v>0</v>
      </c>
      <c r="U1578" s="107"/>
      <c r="V1578" s="175"/>
      <c r="W1578" s="10"/>
      <c r="X1578" s="10"/>
      <c r="Y1578" t="str">
        <f t="shared" ref="Y1578:Y1610" si="665">LEFT(G1578,4)</f>
        <v>3401</v>
      </c>
      <c r="AB1578" s="10"/>
      <c r="AC1578" s="10"/>
      <c r="AD1578" s="10"/>
      <c r="AE1578" s="10"/>
      <c r="AF1578" s="10"/>
      <c r="AG1578" s="10"/>
      <c r="AH1578" s="10"/>
      <c r="AI1578" s="10"/>
    </row>
    <row r="1579" spans="1:35">
      <c r="A1579" s="10"/>
      <c r="B1579" s="10" t="str">
        <f t="shared" si="660"/>
        <v>Below the LinePREP</v>
      </c>
      <c r="C1579" t="s">
        <v>20</v>
      </c>
      <c r="D1579" t="s">
        <v>19</v>
      </c>
      <c r="E1579" t="s">
        <v>234</v>
      </c>
      <c r="G1579" t="s">
        <v>936</v>
      </c>
      <c r="I1579" s="10"/>
      <c r="J1579" s="107">
        <f>SUMIF(Data!C:C,G1579,Data!Q:Q)</f>
        <v>23187.046999999991</v>
      </c>
      <c r="K1579" s="107">
        <f>SUMIF(Comprometidos!A:A,'Cost Report'!G1579,Comprometidos!E:E)</f>
        <v>0</v>
      </c>
      <c r="L1579" s="107">
        <f t="shared" si="661"/>
        <v>23187.046999999991</v>
      </c>
      <c r="M1579" s="107">
        <v>0</v>
      </c>
      <c r="N1579" s="107">
        <f t="shared" si="663"/>
        <v>23187.046999999991</v>
      </c>
      <c r="O1579" s="107">
        <f>VLOOKUP(G1579,Budget!$E$3:$G$2474,3,0)</f>
        <v>4400</v>
      </c>
      <c r="P1579" s="107">
        <f t="shared" si="664"/>
        <v>-18787.046999999991</v>
      </c>
      <c r="Q1579" s="107"/>
      <c r="R1579" s="10"/>
      <c r="S1579" s="107">
        <v>22552.219999999998</v>
      </c>
      <c r="T1579" s="107">
        <f t="shared" si="655"/>
        <v>-634.82699999999386</v>
      </c>
      <c r="U1579" s="107"/>
      <c r="V1579" s="175"/>
      <c r="W1579" s="10"/>
      <c r="X1579" s="10"/>
      <c r="Y1579" t="str">
        <f t="shared" si="665"/>
        <v>3401</v>
      </c>
      <c r="AB1579" s="10"/>
      <c r="AC1579" s="10"/>
      <c r="AD1579" s="10"/>
      <c r="AE1579" s="10"/>
      <c r="AF1579" s="10"/>
      <c r="AG1579" s="10"/>
      <c r="AH1579" s="10"/>
      <c r="AI1579" s="10"/>
    </row>
    <row r="1580" spans="1:35">
      <c r="A1580" s="10"/>
      <c r="B1580" s="10" t="str">
        <f t="shared" si="660"/>
        <v>Below the LinePREP</v>
      </c>
      <c r="C1580" t="s">
        <v>20</v>
      </c>
      <c r="D1580" t="s">
        <v>19</v>
      </c>
      <c r="E1580" t="s">
        <v>234</v>
      </c>
      <c r="G1580" t="s">
        <v>937</v>
      </c>
      <c r="I1580" s="10"/>
      <c r="J1580" s="107">
        <f>SUMIF(Data!C:C,G1580,Data!Q:Q)</f>
        <v>22226.89</v>
      </c>
      <c r="K1580" s="107">
        <f>SUMIF(Comprometidos!A:A,'Cost Report'!G1580,Comprometidos!E:E)</f>
        <v>0</v>
      </c>
      <c r="L1580" s="107">
        <f t="shared" si="661"/>
        <v>22226.89</v>
      </c>
      <c r="M1580" s="107">
        <v>0</v>
      </c>
      <c r="N1580" s="107">
        <f t="shared" si="663"/>
        <v>22226.89</v>
      </c>
      <c r="O1580" s="107">
        <f>VLOOKUP(G1580,Budget!$E$3:$G$2474,3,0)</f>
        <v>22356</v>
      </c>
      <c r="P1580" s="107">
        <f t="shared" si="664"/>
        <v>129.11000000000058</v>
      </c>
      <c r="Q1580" s="107"/>
      <c r="R1580" s="10"/>
      <c r="S1580" s="107">
        <v>22226.89</v>
      </c>
      <c r="T1580" s="107">
        <f t="shared" si="655"/>
        <v>0</v>
      </c>
      <c r="U1580" s="107"/>
      <c r="V1580" s="175"/>
      <c r="W1580" s="10"/>
      <c r="X1580" s="10"/>
      <c r="Y1580" t="str">
        <f t="shared" si="665"/>
        <v>3401</v>
      </c>
      <c r="AB1580" s="10"/>
      <c r="AC1580" s="10"/>
      <c r="AD1580" s="10"/>
      <c r="AE1580" s="10"/>
      <c r="AF1580" s="10"/>
      <c r="AG1580" s="10"/>
      <c r="AH1580" s="10"/>
      <c r="AI1580" s="10"/>
    </row>
    <row r="1581" spans="1:35">
      <c r="A1581" s="10"/>
      <c r="B1581" s="10" t="str">
        <f t="shared" si="660"/>
        <v>Below the LinePREP</v>
      </c>
      <c r="C1581" t="s">
        <v>20</v>
      </c>
      <c r="D1581" t="s">
        <v>19</v>
      </c>
      <c r="E1581" t="s">
        <v>234</v>
      </c>
      <c r="G1581" t="s">
        <v>938</v>
      </c>
      <c r="I1581" s="10"/>
      <c r="J1581" s="107">
        <f>SUMIF(Data!C:C,G1581,Data!Q:Q)</f>
        <v>2013.45</v>
      </c>
      <c r="K1581" s="107">
        <f>SUMIF(Comprometidos!A:A,'Cost Report'!G1581,Comprometidos!E:E)</f>
        <v>0</v>
      </c>
      <c r="L1581" s="107">
        <f t="shared" si="661"/>
        <v>2013.45</v>
      </c>
      <c r="M1581" s="107">
        <v>0</v>
      </c>
      <c r="N1581" s="107">
        <f t="shared" si="663"/>
        <v>2013.45</v>
      </c>
      <c r="O1581" s="107">
        <f>VLOOKUP(G1581,Budget!$E$3:$G$2474,3,0)</f>
        <v>3876.45</v>
      </c>
      <c r="P1581" s="107">
        <f t="shared" si="664"/>
        <v>1862.9999999999998</v>
      </c>
      <c r="Q1581" s="107"/>
      <c r="R1581" s="10"/>
      <c r="S1581" s="107">
        <v>2013.45</v>
      </c>
      <c r="T1581" s="107">
        <f t="shared" si="655"/>
        <v>0</v>
      </c>
      <c r="U1581" s="107"/>
      <c r="V1581" s="175"/>
      <c r="W1581" s="10"/>
      <c r="X1581" s="10"/>
      <c r="Y1581" t="str">
        <f t="shared" si="665"/>
        <v>3401</v>
      </c>
      <c r="AB1581" s="10"/>
      <c r="AC1581" s="10"/>
      <c r="AD1581" s="10"/>
      <c r="AE1581" s="10"/>
      <c r="AF1581" s="10"/>
      <c r="AG1581" s="10"/>
      <c r="AH1581" s="10"/>
      <c r="AI1581" s="10"/>
    </row>
    <row r="1582" spans="1:35">
      <c r="A1582" s="10"/>
      <c r="B1582" s="10" t="str">
        <f t="shared" si="660"/>
        <v>Below the Line</v>
      </c>
      <c r="C1582" t="s">
        <v>20</v>
      </c>
      <c r="D1582" t="s">
        <v>19</v>
      </c>
      <c r="E1582" t="s">
        <v>214</v>
      </c>
      <c r="G1582" t="s">
        <v>939</v>
      </c>
      <c r="I1582" s="10"/>
      <c r="J1582" s="107">
        <f>SUMIF(Data!C:C,G1582,Data!Q:Q)</f>
        <v>0</v>
      </c>
      <c r="K1582" s="107">
        <f>SUMIF(Comprometidos!A:A,'Cost Report'!G1582,Comprometidos!E:E)</f>
        <v>0</v>
      </c>
      <c r="L1582" s="107">
        <f t="shared" si="661"/>
        <v>0</v>
      </c>
      <c r="M1582" s="107">
        <f t="shared" si="662"/>
        <v>0</v>
      </c>
      <c r="N1582" s="107">
        <f t="shared" si="663"/>
        <v>0</v>
      </c>
      <c r="O1582" s="107">
        <f>VLOOKUP(G1582,Budget!$E$3:$G$2474,3,0)</f>
        <v>0</v>
      </c>
      <c r="P1582" s="107">
        <f t="shared" si="664"/>
        <v>0</v>
      </c>
      <c r="Q1582" s="107"/>
      <c r="R1582" s="10"/>
      <c r="S1582" s="107">
        <v>0</v>
      </c>
      <c r="T1582" s="107">
        <f t="shared" si="655"/>
        <v>0</v>
      </c>
      <c r="U1582" s="107"/>
      <c r="V1582" s="175"/>
      <c r="W1582" s="10"/>
      <c r="X1582" s="10"/>
      <c r="Y1582" t="str">
        <f t="shared" si="665"/>
        <v>3401</v>
      </c>
      <c r="AB1582" s="10"/>
      <c r="AC1582" s="10"/>
      <c r="AD1582" s="10"/>
      <c r="AE1582" s="10"/>
      <c r="AF1582" s="10"/>
      <c r="AG1582" s="10"/>
      <c r="AH1582" s="10"/>
      <c r="AI1582" s="10"/>
    </row>
    <row r="1583" spans="1:35">
      <c r="A1583" s="10"/>
      <c r="B1583" s="10" t="str">
        <f t="shared" si="660"/>
        <v>Below the LinePREP</v>
      </c>
      <c r="C1583" t="s">
        <v>20</v>
      </c>
      <c r="D1583" t="s">
        <v>19</v>
      </c>
      <c r="E1583" t="s">
        <v>234</v>
      </c>
      <c r="G1583" t="s">
        <v>940</v>
      </c>
      <c r="I1583" s="10"/>
      <c r="J1583" s="107">
        <f>SUMIF(Data!C:C,G1583,Data!Q:Q)</f>
        <v>1355.5</v>
      </c>
      <c r="K1583" s="107">
        <f>SUMIF(Comprometidos!A:A,'Cost Report'!G1583,Comprometidos!E:E)</f>
        <v>0</v>
      </c>
      <c r="L1583" s="107">
        <f t="shared" si="661"/>
        <v>1355.5</v>
      </c>
      <c r="M1583" s="107">
        <v>0</v>
      </c>
      <c r="N1583" s="107">
        <f t="shared" si="663"/>
        <v>1355.5</v>
      </c>
      <c r="O1583" s="107">
        <f>VLOOKUP(G1583,Budget!$E$3:$G$2474,3,0)</f>
        <v>1504.68</v>
      </c>
      <c r="P1583" s="107">
        <f t="shared" si="664"/>
        <v>149.18000000000006</v>
      </c>
      <c r="Q1583" s="107"/>
      <c r="R1583" s="10"/>
      <c r="S1583" s="107">
        <v>1355.5</v>
      </c>
      <c r="T1583" s="107">
        <f t="shared" si="655"/>
        <v>0</v>
      </c>
      <c r="U1583" s="107"/>
      <c r="V1583" s="175"/>
      <c r="W1583" s="10"/>
      <c r="X1583" s="10"/>
      <c r="Y1583" t="str">
        <f t="shared" si="665"/>
        <v>3401</v>
      </c>
      <c r="AB1583" s="10"/>
      <c r="AC1583" s="10"/>
      <c r="AD1583" s="10"/>
      <c r="AE1583" s="10"/>
      <c r="AF1583" s="10"/>
      <c r="AG1583" s="10"/>
      <c r="AH1583" s="10"/>
      <c r="AI1583" s="10"/>
    </row>
    <row r="1584" spans="1:35">
      <c r="A1584" s="10"/>
      <c r="B1584" s="10" t="str">
        <f t="shared" si="660"/>
        <v>Below the LinePREP</v>
      </c>
      <c r="C1584" t="s">
        <v>20</v>
      </c>
      <c r="D1584" t="s">
        <v>19</v>
      </c>
      <c r="E1584" t="s">
        <v>234</v>
      </c>
      <c r="G1584" t="s">
        <v>941</v>
      </c>
      <c r="I1584" s="10"/>
      <c r="J1584" s="107">
        <f>SUMIF(Data!C:C,G1584,Data!Q:Q)</f>
        <v>6659.33</v>
      </c>
      <c r="K1584" s="107">
        <f>SUMIF(Comprometidos!A:A,'Cost Report'!G1584,Comprometidos!E:E)</f>
        <v>0</v>
      </c>
      <c r="L1584" s="107">
        <f t="shared" si="661"/>
        <v>6659.33</v>
      </c>
      <c r="M1584" s="107">
        <v>0</v>
      </c>
      <c r="N1584" s="107">
        <f t="shared" si="663"/>
        <v>6659.33</v>
      </c>
      <c r="O1584" s="107">
        <f>VLOOKUP(G1584,Budget!$E$3:$G$2474,3,0)</f>
        <v>1809.6</v>
      </c>
      <c r="P1584" s="107">
        <f t="shared" si="664"/>
        <v>-4849.7299999999996</v>
      </c>
      <c r="Q1584" s="107"/>
      <c r="R1584" s="10"/>
      <c r="S1584" s="107">
        <v>6659.33</v>
      </c>
      <c r="T1584" s="107">
        <f t="shared" si="655"/>
        <v>0</v>
      </c>
      <c r="U1584" s="107"/>
      <c r="V1584" s="175"/>
      <c r="W1584" s="10"/>
      <c r="X1584" s="10"/>
      <c r="Y1584" t="str">
        <f t="shared" si="665"/>
        <v>3401</v>
      </c>
      <c r="AB1584" s="10"/>
      <c r="AC1584" s="10"/>
      <c r="AD1584" s="10"/>
      <c r="AE1584" s="10"/>
      <c r="AF1584" s="10"/>
      <c r="AG1584" s="10"/>
      <c r="AH1584" s="10"/>
      <c r="AI1584" s="10"/>
    </row>
    <row r="1585" spans="1:35">
      <c r="A1585" s="10"/>
      <c r="B1585" s="10" t="str">
        <f t="shared" si="660"/>
        <v>Below the LinePREP</v>
      </c>
      <c r="C1585" t="s">
        <v>20</v>
      </c>
      <c r="D1585" t="s">
        <v>19</v>
      </c>
      <c r="E1585" t="s">
        <v>234</v>
      </c>
      <c r="G1585" t="s">
        <v>2749</v>
      </c>
      <c r="I1585" s="10"/>
      <c r="J1585" s="107">
        <f>SUMIF(Data!C:C,G1585,Data!Q:Q)</f>
        <v>18153.448000000011</v>
      </c>
      <c r="K1585" s="107">
        <f>SUMIF(Comprometidos!A:A,'Cost Report'!G1585,Comprometidos!E:E)</f>
        <v>0</v>
      </c>
      <c r="L1585" s="107">
        <f t="shared" si="661"/>
        <v>18153.448000000011</v>
      </c>
      <c r="M1585" s="107">
        <v>0</v>
      </c>
      <c r="N1585" s="107">
        <f t="shared" si="663"/>
        <v>18153.448000000011</v>
      </c>
      <c r="O1585" s="107">
        <f>VLOOKUP(G1585,Budget!$E$3:$G$2474,3,0)</f>
        <v>11948.76</v>
      </c>
      <c r="P1585" s="107">
        <f t="shared" si="664"/>
        <v>-6204.688000000011</v>
      </c>
      <c r="Q1585" s="107"/>
      <c r="R1585" s="10"/>
      <c r="S1585" s="107">
        <v>17443.420000000002</v>
      </c>
      <c r="T1585" s="107">
        <f t="shared" si="655"/>
        <v>-710.02800000000934</v>
      </c>
      <c r="U1585" s="107"/>
      <c r="V1585" s="175"/>
      <c r="W1585" s="10"/>
      <c r="X1585" s="10"/>
      <c r="Y1585" t="str">
        <f t="shared" si="665"/>
        <v>3401</v>
      </c>
      <c r="AB1585" s="10"/>
      <c r="AC1585" s="10"/>
      <c r="AD1585" s="10"/>
      <c r="AE1585" s="10"/>
      <c r="AF1585" s="10"/>
      <c r="AG1585" s="10"/>
      <c r="AH1585" s="10"/>
      <c r="AI1585" s="10"/>
    </row>
    <row r="1586" spans="1:35">
      <c r="A1586" s="10"/>
      <c r="B1586" s="10" t="str">
        <f t="shared" si="660"/>
        <v>Below the LinePREP</v>
      </c>
      <c r="C1586" t="s">
        <v>20</v>
      </c>
      <c r="D1586" t="s">
        <v>19</v>
      </c>
      <c r="E1586" t="s">
        <v>234</v>
      </c>
      <c r="G1586" t="s">
        <v>2750</v>
      </c>
      <c r="I1586" s="10"/>
      <c r="J1586" s="107">
        <f>SUMIF(Data!C:C,G1586,Data!Q:Q)</f>
        <v>2860</v>
      </c>
      <c r="K1586" s="107">
        <f>SUMIF(Comprometidos!A:A,'Cost Report'!G1586,Comprometidos!E:E)</f>
        <v>0</v>
      </c>
      <c r="L1586" s="107">
        <f t="shared" si="661"/>
        <v>2860</v>
      </c>
      <c r="M1586" s="107">
        <v>0</v>
      </c>
      <c r="N1586" s="107">
        <f t="shared" si="663"/>
        <v>2860</v>
      </c>
      <c r="O1586" s="107">
        <f>VLOOKUP(G1586,Budget!$E$3:$G$2474,3,0)</f>
        <v>1787.5</v>
      </c>
      <c r="P1586" s="107">
        <f t="shared" si="664"/>
        <v>-1072.5</v>
      </c>
      <c r="Q1586" s="107"/>
      <c r="R1586" s="10"/>
      <c r="S1586" s="107">
        <v>1787.5</v>
      </c>
      <c r="T1586" s="107">
        <f t="shared" si="655"/>
        <v>-1072.5</v>
      </c>
      <c r="U1586" s="107"/>
      <c r="V1586" s="175"/>
      <c r="W1586" s="10"/>
      <c r="X1586" s="10"/>
      <c r="Y1586" t="str">
        <f t="shared" si="665"/>
        <v>3401</v>
      </c>
      <c r="AB1586" s="10"/>
      <c r="AC1586" s="10"/>
      <c r="AD1586" s="10"/>
      <c r="AE1586" s="10"/>
      <c r="AF1586" s="10"/>
      <c r="AG1586" s="10"/>
      <c r="AH1586" s="10"/>
      <c r="AI1586" s="10"/>
    </row>
    <row r="1587" spans="1:35">
      <c r="A1587" s="10"/>
      <c r="B1587" s="10" t="str">
        <f t="shared" si="660"/>
        <v>Below the LinePREP</v>
      </c>
      <c r="C1587" t="s">
        <v>20</v>
      </c>
      <c r="D1587" t="s">
        <v>19</v>
      </c>
      <c r="E1587" t="s">
        <v>234</v>
      </c>
      <c r="G1587" t="s">
        <v>2751</v>
      </c>
      <c r="I1587" s="10"/>
      <c r="J1587" s="107">
        <f>SUMIF(Data!C:C,G1587,Data!Q:Q)</f>
        <v>4353.4500000000007</v>
      </c>
      <c r="K1587" s="107">
        <f>SUMIF(Comprometidos!A:A,'Cost Report'!G1587,Comprometidos!E:E)</f>
        <v>0</v>
      </c>
      <c r="L1587" s="107">
        <f t="shared" si="661"/>
        <v>4353.4500000000007</v>
      </c>
      <c r="M1587" s="107">
        <v>0</v>
      </c>
      <c r="N1587" s="107">
        <f t="shared" si="663"/>
        <v>4353.4500000000007</v>
      </c>
      <c r="O1587" s="107">
        <f>VLOOKUP(G1587,Budget!$E$3:$G$2474,3,0)</f>
        <v>4353.4399999999996</v>
      </c>
      <c r="P1587" s="107">
        <f t="shared" si="664"/>
        <v>-1.0000000001127773E-2</v>
      </c>
      <c r="Q1587" s="107"/>
      <c r="R1587" s="10"/>
      <c r="S1587" s="107">
        <v>4353.4500000000007</v>
      </c>
      <c r="T1587" s="107">
        <f t="shared" si="655"/>
        <v>0</v>
      </c>
      <c r="U1587" s="107"/>
      <c r="V1587" s="175"/>
      <c r="W1587" s="10"/>
      <c r="X1587" s="10"/>
      <c r="Y1587" t="str">
        <f t="shared" si="665"/>
        <v>3401</v>
      </c>
      <c r="AB1587" s="10"/>
      <c r="AC1587" s="10"/>
      <c r="AD1587" s="10"/>
      <c r="AE1587" s="10"/>
      <c r="AF1587" s="10"/>
      <c r="AG1587" s="10"/>
      <c r="AH1587" s="10"/>
      <c r="AI1587" s="10"/>
    </row>
    <row r="1588" spans="1:35">
      <c r="A1588" s="10"/>
      <c r="B1588" s="10" t="str">
        <f t="shared" si="660"/>
        <v>Below the LinePREP</v>
      </c>
      <c r="C1588" t="s">
        <v>20</v>
      </c>
      <c r="D1588" t="s">
        <v>19</v>
      </c>
      <c r="E1588" t="s">
        <v>234</v>
      </c>
      <c r="G1588" t="s">
        <v>2752</v>
      </c>
      <c r="I1588" s="10"/>
      <c r="J1588" s="107">
        <f>SUMIF(Data!C:C,G1588,Data!Q:Q)</f>
        <v>17202.640000000003</v>
      </c>
      <c r="K1588" s="107">
        <f>SUMIF(Comprometidos!A:A,'Cost Report'!G1588,Comprometidos!E:E)</f>
        <v>0</v>
      </c>
      <c r="L1588" s="107">
        <f t="shared" si="661"/>
        <v>17202.640000000003</v>
      </c>
      <c r="M1588" s="107">
        <v>0</v>
      </c>
      <c r="N1588" s="107">
        <f t="shared" si="663"/>
        <v>17202.640000000003</v>
      </c>
      <c r="O1588" s="107">
        <f>VLOOKUP(G1588,Budget!$E$3:$G$2474,3,0)</f>
        <v>17333.47</v>
      </c>
      <c r="P1588" s="107">
        <f t="shared" si="664"/>
        <v>130.82999999999811</v>
      </c>
      <c r="Q1588" s="107"/>
      <c r="R1588" s="10"/>
      <c r="S1588" s="107">
        <v>17022.640000000003</v>
      </c>
      <c r="T1588" s="107">
        <f t="shared" si="655"/>
        <v>-180</v>
      </c>
      <c r="U1588" s="107"/>
      <c r="V1588" s="175"/>
      <c r="W1588" s="10"/>
      <c r="X1588" s="10"/>
      <c r="Y1588" t="str">
        <f t="shared" si="665"/>
        <v>3401</v>
      </c>
      <c r="AB1588" s="10"/>
      <c r="AC1588" s="10"/>
      <c r="AD1588" s="10"/>
      <c r="AE1588" s="10"/>
      <c r="AF1588" s="10"/>
      <c r="AG1588" s="10"/>
      <c r="AH1588" s="10"/>
      <c r="AI1588" s="10"/>
    </row>
    <row r="1589" spans="1:35">
      <c r="A1589" s="10"/>
      <c r="B1589" s="10" t="str">
        <f t="shared" si="660"/>
        <v>Below the LinePREP</v>
      </c>
      <c r="C1589" t="s">
        <v>20</v>
      </c>
      <c r="D1589" t="s">
        <v>19</v>
      </c>
      <c r="E1589" t="s">
        <v>234</v>
      </c>
      <c r="G1589" t="s">
        <v>2753</v>
      </c>
      <c r="I1589" s="10"/>
      <c r="J1589" s="107">
        <f>SUMIF(Data!C:C,G1589,Data!Q:Q)</f>
        <v>563.48</v>
      </c>
      <c r="K1589" s="107">
        <f>SUMIF(Comprometidos!A:A,'Cost Report'!G1589,Comprometidos!E:E)</f>
        <v>0</v>
      </c>
      <c r="L1589" s="107">
        <f t="shared" si="661"/>
        <v>563.48</v>
      </c>
      <c r="M1589" s="107">
        <v>0</v>
      </c>
      <c r="N1589" s="107">
        <f t="shared" si="663"/>
        <v>563.48</v>
      </c>
      <c r="O1589" s="107">
        <f>VLOOKUP(G1589,Budget!$E$3:$G$2474,3,0)</f>
        <v>251</v>
      </c>
      <c r="P1589" s="107">
        <f t="shared" si="664"/>
        <v>-312.48</v>
      </c>
      <c r="Q1589" s="107"/>
      <c r="R1589" s="10"/>
      <c r="S1589" s="107">
        <v>563.48</v>
      </c>
      <c r="T1589" s="107">
        <f t="shared" si="655"/>
        <v>0</v>
      </c>
      <c r="U1589" s="107"/>
      <c r="V1589" s="175"/>
      <c r="W1589" s="10"/>
      <c r="X1589" s="10"/>
      <c r="Y1589" t="str">
        <f t="shared" si="665"/>
        <v>3401</v>
      </c>
      <c r="AB1589" s="10"/>
      <c r="AC1589" s="10"/>
      <c r="AD1589" s="10"/>
      <c r="AE1589" s="10"/>
      <c r="AF1589" s="10"/>
      <c r="AG1589" s="10"/>
      <c r="AH1589" s="10"/>
      <c r="AI1589" s="10"/>
    </row>
    <row r="1590" spans="1:35">
      <c r="A1590" s="10"/>
      <c r="B1590" s="10" t="str">
        <f t="shared" si="660"/>
        <v>Below the LinePREP</v>
      </c>
      <c r="C1590" t="s">
        <v>20</v>
      </c>
      <c r="D1590" t="s">
        <v>19</v>
      </c>
      <c r="E1590" t="s">
        <v>234</v>
      </c>
      <c r="G1590" t="s">
        <v>2754</v>
      </c>
      <c r="I1590" s="10"/>
      <c r="J1590" s="107">
        <f>SUMIF(Data!C:C,G1590,Data!Q:Q)</f>
        <v>0</v>
      </c>
      <c r="K1590" s="107">
        <f>SUMIF(Comprometidos!A:A,'Cost Report'!G1590,Comprometidos!E:E)</f>
        <v>0</v>
      </c>
      <c r="L1590" s="107">
        <f t="shared" si="661"/>
        <v>0</v>
      </c>
      <c r="M1590" s="107">
        <f t="shared" si="662"/>
        <v>0</v>
      </c>
      <c r="N1590" s="107">
        <f t="shared" si="663"/>
        <v>0</v>
      </c>
      <c r="O1590" s="107">
        <f>VLOOKUP(G1590,Budget!$E$3:$G$2474,3,0)</f>
        <v>0</v>
      </c>
      <c r="P1590" s="107">
        <f t="shared" si="664"/>
        <v>0</v>
      </c>
      <c r="Q1590" s="107"/>
      <c r="R1590" s="10"/>
      <c r="S1590" s="107">
        <v>0</v>
      </c>
      <c r="T1590" s="107">
        <f t="shared" si="655"/>
        <v>0</v>
      </c>
      <c r="U1590" s="107"/>
      <c r="V1590" s="175"/>
      <c r="W1590" s="10"/>
      <c r="X1590" s="10"/>
      <c r="Y1590" t="str">
        <f t="shared" si="665"/>
        <v>3401</v>
      </c>
      <c r="AB1590" s="10"/>
      <c r="AC1590" s="10"/>
      <c r="AD1590" s="10"/>
      <c r="AE1590" s="10"/>
      <c r="AF1590" s="10"/>
      <c r="AG1590" s="10"/>
      <c r="AH1590" s="10"/>
      <c r="AI1590" s="10"/>
    </row>
    <row r="1591" spans="1:35">
      <c r="A1591" s="10"/>
      <c r="B1591" s="10" t="str">
        <f t="shared" si="660"/>
        <v>Below the LinePREP</v>
      </c>
      <c r="C1591" t="s">
        <v>20</v>
      </c>
      <c r="D1591" t="s">
        <v>19</v>
      </c>
      <c r="E1591" t="s">
        <v>234</v>
      </c>
      <c r="G1591" t="s">
        <v>2755</v>
      </c>
      <c r="I1591" s="10"/>
      <c r="J1591" s="107">
        <f>SUMIF(Data!C:C,G1591,Data!Q:Q)</f>
        <v>9351.74</v>
      </c>
      <c r="K1591" s="107">
        <f>SUMIF(Comprometidos!A:A,'Cost Report'!G1591,Comprometidos!E:E)</f>
        <v>0</v>
      </c>
      <c r="L1591" s="107">
        <f t="shared" si="661"/>
        <v>9351.74</v>
      </c>
      <c r="M1591" s="107">
        <v>0</v>
      </c>
      <c r="N1591" s="107">
        <f t="shared" si="663"/>
        <v>9351.74</v>
      </c>
      <c r="O1591" s="107">
        <f>VLOOKUP(G1591,Budget!$E$3:$G$2474,3,0)</f>
        <v>8449.0499999999993</v>
      </c>
      <c r="P1591" s="107">
        <f t="shared" si="664"/>
        <v>-902.69000000000051</v>
      </c>
      <c r="Q1591" s="107"/>
      <c r="R1591" s="10"/>
      <c r="S1591" s="107">
        <v>9267.23</v>
      </c>
      <c r="T1591" s="107">
        <f t="shared" si="655"/>
        <v>-84.510000000000218</v>
      </c>
      <c r="U1591" s="107"/>
      <c r="V1591" s="175"/>
      <c r="W1591" s="10"/>
      <c r="X1591" s="10"/>
      <c r="Y1591" t="str">
        <f t="shared" si="665"/>
        <v>3401</v>
      </c>
      <c r="AB1591" s="10"/>
      <c r="AC1591" s="10"/>
      <c r="AD1591" s="10"/>
      <c r="AE1591" s="10"/>
      <c r="AF1591" s="10"/>
      <c r="AG1591" s="10"/>
      <c r="AH1591" s="10"/>
      <c r="AI1591" s="10"/>
    </row>
    <row r="1592" spans="1:35">
      <c r="A1592" s="10"/>
      <c r="B1592" s="10" t="str">
        <f t="shared" si="660"/>
        <v>Below the Line</v>
      </c>
      <c r="C1592" t="s">
        <v>20</v>
      </c>
      <c r="D1592" t="s">
        <v>19</v>
      </c>
      <c r="E1592" t="s">
        <v>214</v>
      </c>
      <c r="G1592" t="s">
        <v>2756</v>
      </c>
      <c r="I1592" s="10"/>
      <c r="J1592" s="107">
        <f>SUMIF(Data!C:C,G1592,Data!Q:Q)</f>
        <v>0</v>
      </c>
      <c r="K1592" s="107">
        <f>SUMIF(Comprometidos!A:A,'Cost Report'!G1592,Comprometidos!E:E)</f>
        <v>0</v>
      </c>
      <c r="L1592" s="107">
        <f t="shared" si="661"/>
        <v>0</v>
      </c>
      <c r="M1592" s="107">
        <f t="shared" si="662"/>
        <v>0</v>
      </c>
      <c r="N1592" s="107">
        <f t="shared" si="663"/>
        <v>0</v>
      </c>
      <c r="O1592" s="107">
        <f>VLOOKUP(G1592,Budget!$E$3:$G$2474,3,0)</f>
        <v>0</v>
      </c>
      <c r="P1592" s="107">
        <f t="shared" si="664"/>
        <v>0</v>
      </c>
      <c r="Q1592" s="107"/>
      <c r="R1592" s="10"/>
      <c r="S1592" s="107">
        <v>0</v>
      </c>
      <c r="T1592" s="107">
        <f t="shared" si="655"/>
        <v>0</v>
      </c>
      <c r="U1592" s="107"/>
      <c r="V1592" s="175"/>
      <c r="W1592" s="10"/>
      <c r="X1592" s="10"/>
      <c r="Y1592" t="str">
        <f t="shared" si="665"/>
        <v>3401</v>
      </c>
      <c r="AB1592" s="10"/>
      <c r="AC1592" s="10"/>
      <c r="AD1592" s="10"/>
      <c r="AE1592" s="10"/>
      <c r="AF1592" s="10"/>
      <c r="AG1592" s="10"/>
      <c r="AH1592" s="10"/>
      <c r="AI1592" s="10"/>
    </row>
    <row r="1593" spans="1:35">
      <c r="A1593" s="10"/>
      <c r="B1593" s="10" t="str">
        <f t="shared" si="660"/>
        <v>Below the LinePREP</v>
      </c>
      <c r="C1593" t="s">
        <v>20</v>
      </c>
      <c r="D1593" t="s">
        <v>19</v>
      </c>
      <c r="E1593" t="s">
        <v>234</v>
      </c>
      <c r="G1593" t="s">
        <v>2757</v>
      </c>
      <c r="I1593" s="10"/>
      <c r="J1593" s="107">
        <f>SUMIF(Data!C:C,G1593,Data!Q:Q)</f>
        <v>15878</v>
      </c>
      <c r="K1593" s="107">
        <f>SUMIF(Comprometidos!A:A,'Cost Report'!G1593,Comprometidos!E:E)</f>
        <v>0</v>
      </c>
      <c r="L1593" s="107">
        <f t="shared" si="661"/>
        <v>15878</v>
      </c>
      <c r="M1593" s="107">
        <v>0</v>
      </c>
      <c r="N1593" s="107">
        <f t="shared" si="663"/>
        <v>15878</v>
      </c>
      <c r="O1593" s="107">
        <f>VLOOKUP(G1593,Budget!$E$3:$G$2474,3,0)</f>
        <v>12000</v>
      </c>
      <c r="P1593" s="107">
        <f t="shared" si="664"/>
        <v>-3878</v>
      </c>
      <c r="Q1593" s="107"/>
      <c r="R1593" s="10"/>
      <c r="S1593" s="107">
        <v>15878</v>
      </c>
      <c r="T1593" s="107">
        <f t="shared" si="655"/>
        <v>0</v>
      </c>
      <c r="U1593" s="107"/>
      <c r="V1593" s="175"/>
      <c r="W1593" s="10"/>
      <c r="X1593" s="10"/>
      <c r="Y1593" t="str">
        <f t="shared" si="665"/>
        <v>3401</v>
      </c>
      <c r="AB1593" s="10"/>
      <c r="AC1593" s="10"/>
      <c r="AD1593" s="10"/>
      <c r="AE1593" s="10"/>
      <c r="AF1593" s="10"/>
      <c r="AG1593" s="10"/>
      <c r="AH1593" s="10"/>
      <c r="AI1593" s="10"/>
    </row>
    <row r="1594" spans="1:35">
      <c r="A1594" s="10"/>
      <c r="B1594" s="10" t="str">
        <f t="shared" si="660"/>
        <v>Below the LinePREP</v>
      </c>
      <c r="C1594" t="s">
        <v>20</v>
      </c>
      <c r="D1594" t="s">
        <v>19</v>
      </c>
      <c r="E1594" t="s">
        <v>234</v>
      </c>
      <c r="G1594" t="s">
        <v>2758</v>
      </c>
      <c r="I1594" s="10"/>
      <c r="J1594" s="107">
        <f>SUMIF(Data!C:C,G1594,Data!Q:Q)</f>
        <v>564.80399999999997</v>
      </c>
      <c r="K1594" s="107">
        <f>SUMIF(Comprometidos!A:A,'Cost Report'!G1594,Comprometidos!E:E)</f>
        <v>0</v>
      </c>
      <c r="L1594" s="107">
        <f t="shared" si="661"/>
        <v>564.80399999999997</v>
      </c>
      <c r="M1594" s="107">
        <v>0</v>
      </c>
      <c r="N1594" s="107">
        <f t="shared" si="663"/>
        <v>564.80399999999997</v>
      </c>
      <c r="O1594" s="107">
        <f>VLOOKUP(G1594,Budget!$E$3:$G$2474,3,0)</f>
        <v>27</v>
      </c>
      <c r="P1594" s="107">
        <f t="shared" si="664"/>
        <v>-537.80399999999997</v>
      </c>
      <c r="Q1594" s="107"/>
      <c r="R1594" s="10"/>
      <c r="S1594" s="107">
        <v>27</v>
      </c>
      <c r="T1594" s="107">
        <f t="shared" si="655"/>
        <v>-537.80399999999997</v>
      </c>
      <c r="U1594" s="107"/>
      <c r="V1594" s="175"/>
      <c r="W1594" s="10"/>
      <c r="X1594" s="10"/>
      <c r="Y1594" t="str">
        <f t="shared" si="665"/>
        <v>3401</v>
      </c>
      <c r="AB1594" s="10"/>
      <c r="AC1594" s="10"/>
      <c r="AD1594" s="10"/>
      <c r="AE1594" s="10"/>
      <c r="AF1594" s="10"/>
      <c r="AG1594" s="10"/>
      <c r="AH1594" s="10"/>
      <c r="AI1594" s="10"/>
    </row>
    <row r="1595" spans="1:35">
      <c r="A1595" s="10"/>
      <c r="B1595" s="10" t="str">
        <f t="shared" si="660"/>
        <v>Below the LinePREP</v>
      </c>
      <c r="C1595" t="s">
        <v>20</v>
      </c>
      <c r="D1595" t="s">
        <v>19</v>
      </c>
      <c r="E1595" t="s">
        <v>234</v>
      </c>
      <c r="G1595" t="s">
        <v>2759</v>
      </c>
      <c r="I1595" s="10"/>
      <c r="J1595" s="107">
        <f>SUMIF(Data!C:C,G1595,Data!Q:Q)</f>
        <v>16039</v>
      </c>
      <c r="K1595" s="107">
        <f>SUMIF(Comprometidos!A:A,'Cost Report'!G1595,Comprometidos!E:E)</f>
        <v>0</v>
      </c>
      <c r="L1595" s="107">
        <f t="shared" si="661"/>
        <v>16039</v>
      </c>
      <c r="M1595" s="107">
        <v>0</v>
      </c>
      <c r="N1595" s="107">
        <f t="shared" si="663"/>
        <v>16039</v>
      </c>
      <c r="O1595" s="107">
        <f>VLOOKUP(G1595,Budget!$E$3:$G$2474,3,0)</f>
        <v>12000</v>
      </c>
      <c r="P1595" s="107">
        <f t="shared" si="664"/>
        <v>-4039</v>
      </c>
      <c r="Q1595" s="107"/>
      <c r="R1595" s="10"/>
      <c r="S1595" s="107">
        <v>16039</v>
      </c>
      <c r="T1595" s="107">
        <f t="shared" si="655"/>
        <v>0</v>
      </c>
      <c r="U1595" s="107"/>
      <c r="V1595" s="175"/>
      <c r="W1595" s="10"/>
      <c r="X1595" s="10"/>
      <c r="Y1595" t="str">
        <f t="shared" si="665"/>
        <v>3401</v>
      </c>
      <c r="AB1595" s="10"/>
      <c r="AC1595" s="10"/>
      <c r="AD1595" s="10"/>
      <c r="AE1595" s="10"/>
      <c r="AF1595" s="10"/>
      <c r="AG1595" s="10"/>
      <c r="AH1595" s="10"/>
      <c r="AI1595" s="10"/>
    </row>
    <row r="1596" spans="1:35">
      <c r="A1596" s="10"/>
      <c r="B1596" s="10" t="str">
        <f t="shared" si="660"/>
        <v>Below the LinePREP</v>
      </c>
      <c r="C1596" t="s">
        <v>20</v>
      </c>
      <c r="D1596" t="s">
        <v>19</v>
      </c>
      <c r="E1596" t="s">
        <v>234</v>
      </c>
      <c r="G1596" t="s">
        <v>2760</v>
      </c>
      <c r="I1596" s="10"/>
      <c r="J1596" s="107">
        <f>SUMIF(Data!C:C,G1596,Data!Q:Q)</f>
        <v>7700</v>
      </c>
      <c r="K1596" s="107">
        <f>SUMIF(Comprometidos!A:A,'Cost Report'!G1596,Comprometidos!E:E)</f>
        <v>0</v>
      </c>
      <c r="L1596" s="107">
        <f t="shared" si="661"/>
        <v>7700</v>
      </c>
      <c r="M1596" s="107">
        <v>0</v>
      </c>
      <c r="N1596" s="107">
        <f t="shared" si="663"/>
        <v>7700</v>
      </c>
      <c r="O1596" s="107">
        <f>VLOOKUP(G1596,Budget!$E$3:$G$2474,3,0)</f>
        <v>5300</v>
      </c>
      <c r="P1596" s="107">
        <f t="shared" si="664"/>
        <v>-2400</v>
      </c>
      <c r="Q1596" s="107"/>
      <c r="R1596" s="10"/>
      <c r="S1596" s="107">
        <v>5300</v>
      </c>
      <c r="T1596" s="107">
        <f t="shared" si="655"/>
        <v>-2400</v>
      </c>
      <c r="U1596" s="107"/>
      <c r="V1596" s="175"/>
      <c r="W1596" s="10"/>
      <c r="X1596" s="10"/>
      <c r="Y1596" t="str">
        <f t="shared" si="665"/>
        <v>3401</v>
      </c>
      <c r="AB1596" s="10"/>
      <c r="AC1596" s="10"/>
      <c r="AD1596" s="10"/>
      <c r="AE1596" s="10"/>
      <c r="AF1596" s="10"/>
      <c r="AG1596" s="10"/>
      <c r="AH1596" s="10"/>
      <c r="AI1596" s="10"/>
    </row>
    <row r="1597" spans="1:35">
      <c r="A1597" s="10"/>
      <c r="B1597" s="10" t="str">
        <f t="shared" si="660"/>
        <v>Below the LinePREP</v>
      </c>
      <c r="C1597" t="s">
        <v>20</v>
      </c>
      <c r="D1597" t="s">
        <v>19</v>
      </c>
      <c r="E1597" t="s">
        <v>234</v>
      </c>
      <c r="G1597" t="s">
        <v>2761</v>
      </c>
      <c r="I1597" s="10"/>
      <c r="J1597" s="107">
        <f>SUMIF(Data!C:C,G1597,Data!Q:Q)</f>
        <v>47.41</v>
      </c>
      <c r="K1597" s="107">
        <f>SUMIF(Comprometidos!A:A,'Cost Report'!G1597,Comprometidos!E:E)</f>
        <v>0</v>
      </c>
      <c r="L1597" s="107">
        <f t="shared" si="661"/>
        <v>47.41</v>
      </c>
      <c r="M1597" s="107">
        <f t="shared" si="662"/>
        <v>0</v>
      </c>
      <c r="N1597" s="107">
        <f t="shared" si="663"/>
        <v>47.41</v>
      </c>
      <c r="O1597" s="107">
        <f>VLOOKUP(G1597,Budget!$E$3:$G$2474,3,0)</f>
        <v>47.41</v>
      </c>
      <c r="P1597" s="107">
        <f t="shared" si="664"/>
        <v>0</v>
      </c>
      <c r="Q1597" s="107"/>
      <c r="R1597" s="10"/>
      <c r="S1597" s="107">
        <v>47.41</v>
      </c>
      <c r="T1597" s="107">
        <f t="shared" si="655"/>
        <v>0</v>
      </c>
      <c r="U1597" s="107"/>
      <c r="V1597" s="175"/>
      <c r="W1597" s="10"/>
      <c r="X1597" s="10"/>
      <c r="Y1597" t="str">
        <f t="shared" si="665"/>
        <v>3401</v>
      </c>
      <c r="AB1597" s="10"/>
      <c r="AC1597" s="10"/>
      <c r="AD1597" s="10"/>
      <c r="AE1597" s="10"/>
      <c r="AF1597" s="10"/>
      <c r="AG1597" s="10"/>
      <c r="AH1597" s="10"/>
      <c r="AI1597" s="10"/>
    </row>
    <row r="1598" spans="1:35">
      <c r="A1598" s="10"/>
      <c r="B1598" s="10" t="str">
        <f t="shared" si="660"/>
        <v>Below the LinePREP</v>
      </c>
      <c r="C1598" t="s">
        <v>20</v>
      </c>
      <c r="D1598" t="s">
        <v>19</v>
      </c>
      <c r="E1598" t="s">
        <v>234</v>
      </c>
      <c r="G1598" t="s">
        <v>2762</v>
      </c>
      <c r="I1598" s="10"/>
      <c r="J1598" s="107">
        <f>SUMIF(Data!C:C,G1598,Data!Q:Q)</f>
        <v>0</v>
      </c>
      <c r="K1598" s="107">
        <f>SUMIF(Comprometidos!A:A,'Cost Report'!G1598,Comprometidos!E:E)</f>
        <v>0</v>
      </c>
      <c r="L1598" s="107">
        <f t="shared" si="661"/>
        <v>0</v>
      </c>
      <c r="M1598" s="107">
        <v>0</v>
      </c>
      <c r="N1598" s="107">
        <f t="shared" si="663"/>
        <v>0</v>
      </c>
      <c r="O1598" s="107">
        <f>VLOOKUP(G1598,Budget!$E$3:$G$2474,3,0)</f>
        <v>3000</v>
      </c>
      <c r="P1598" s="107">
        <f t="shared" si="664"/>
        <v>3000</v>
      </c>
      <c r="Q1598" s="107"/>
      <c r="R1598" s="10"/>
      <c r="S1598" s="107">
        <v>0</v>
      </c>
      <c r="T1598" s="107">
        <f t="shared" si="655"/>
        <v>0</v>
      </c>
      <c r="U1598" s="107"/>
      <c r="V1598" s="175"/>
      <c r="W1598" s="10"/>
      <c r="X1598" s="10"/>
      <c r="Y1598" t="str">
        <f t="shared" si="665"/>
        <v>3401</v>
      </c>
      <c r="AB1598" s="10"/>
      <c r="AC1598" s="10"/>
      <c r="AD1598" s="10"/>
      <c r="AE1598" s="10"/>
      <c r="AF1598" s="10"/>
      <c r="AG1598" s="10"/>
      <c r="AH1598" s="10"/>
      <c r="AI1598" s="10"/>
    </row>
    <row r="1599" spans="1:35">
      <c r="A1599" s="10"/>
      <c r="B1599" s="10" t="str">
        <f t="shared" si="660"/>
        <v>Below the LinePREP</v>
      </c>
      <c r="C1599" t="s">
        <v>20</v>
      </c>
      <c r="D1599" t="s">
        <v>19</v>
      </c>
      <c r="E1599" t="s">
        <v>234</v>
      </c>
      <c r="G1599" t="s">
        <v>2763</v>
      </c>
      <c r="I1599" s="10"/>
      <c r="J1599" s="107">
        <f>SUMIF(Data!C:C,G1599,Data!Q:Q)</f>
        <v>0</v>
      </c>
      <c r="K1599" s="107">
        <f>SUMIF(Comprometidos!A:A,'Cost Report'!G1599,Comprometidos!E:E)</f>
        <v>0</v>
      </c>
      <c r="L1599" s="107">
        <f t="shared" si="661"/>
        <v>0</v>
      </c>
      <c r="M1599" s="107">
        <v>0</v>
      </c>
      <c r="N1599" s="107">
        <f t="shared" si="663"/>
        <v>0</v>
      </c>
      <c r="O1599" s="107">
        <f>VLOOKUP(G1599,Budget!$E$3:$G$2474,3,0)</f>
        <v>191</v>
      </c>
      <c r="P1599" s="107">
        <f t="shared" si="664"/>
        <v>191</v>
      </c>
      <c r="Q1599" s="107"/>
      <c r="R1599" s="10"/>
      <c r="S1599" s="107">
        <v>0</v>
      </c>
      <c r="T1599" s="107">
        <f t="shared" si="655"/>
        <v>0</v>
      </c>
      <c r="U1599" s="107"/>
      <c r="V1599" s="175"/>
      <c r="W1599" s="10"/>
      <c r="X1599" s="10"/>
      <c r="Y1599" t="str">
        <f t="shared" si="665"/>
        <v>3401</v>
      </c>
      <c r="AB1599" s="10"/>
      <c r="AC1599" s="10"/>
      <c r="AD1599" s="10"/>
      <c r="AE1599" s="10"/>
      <c r="AF1599" s="10"/>
      <c r="AG1599" s="10"/>
      <c r="AH1599" s="10"/>
      <c r="AI1599" s="10"/>
    </row>
    <row r="1600" spans="1:35">
      <c r="A1600" s="10"/>
      <c r="B1600" s="10" t="str">
        <f t="shared" si="660"/>
        <v>Below the Line</v>
      </c>
      <c r="C1600" t="s">
        <v>20</v>
      </c>
      <c r="D1600" t="s">
        <v>19</v>
      </c>
      <c r="E1600" t="s">
        <v>214</v>
      </c>
      <c r="G1600" t="s">
        <v>2764</v>
      </c>
      <c r="I1600" s="10"/>
      <c r="J1600" s="107">
        <f>SUMIF(Data!C:C,G1600,Data!Q:Q)</f>
        <v>0</v>
      </c>
      <c r="K1600" s="107">
        <f>SUMIF(Comprometidos!A:A,'Cost Report'!G1600,Comprometidos!E:E)</f>
        <v>0</v>
      </c>
      <c r="L1600" s="107">
        <f t="shared" si="661"/>
        <v>0</v>
      </c>
      <c r="M1600" s="107">
        <f t="shared" si="662"/>
        <v>0</v>
      </c>
      <c r="N1600" s="107">
        <f t="shared" si="663"/>
        <v>0</v>
      </c>
      <c r="O1600" s="107">
        <f>VLOOKUP(G1600,Budget!$E$3:$G$2474,3,0)</f>
        <v>0</v>
      </c>
      <c r="P1600" s="107">
        <f t="shared" si="664"/>
        <v>0</v>
      </c>
      <c r="Q1600" s="107"/>
      <c r="R1600" s="10"/>
      <c r="S1600" s="107">
        <v>0</v>
      </c>
      <c r="T1600" s="107">
        <f t="shared" si="655"/>
        <v>0</v>
      </c>
      <c r="U1600" s="107"/>
      <c r="V1600" s="175"/>
      <c r="W1600" s="10"/>
      <c r="X1600" s="10"/>
      <c r="Y1600" t="str">
        <f t="shared" si="665"/>
        <v>3401</v>
      </c>
      <c r="AB1600" s="10"/>
      <c r="AC1600" s="10"/>
      <c r="AD1600" s="10"/>
      <c r="AE1600" s="10"/>
      <c r="AF1600" s="10"/>
      <c r="AG1600" s="10"/>
      <c r="AH1600" s="10"/>
      <c r="AI1600" s="10"/>
    </row>
    <row r="1601" spans="1:35">
      <c r="A1601" s="10"/>
      <c r="B1601" s="10" t="str">
        <f t="shared" si="660"/>
        <v>Below the LinePREP</v>
      </c>
      <c r="C1601" t="s">
        <v>20</v>
      </c>
      <c r="D1601" t="s">
        <v>19</v>
      </c>
      <c r="E1601" t="s">
        <v>234</v>
      </c>
      <c r="G1601" t="s">
        <v>2765</v>
      </c>
      <c r="I1601" s="10"/>
      <c r="J1601" s="107">
        <f>SUMIF(Data!C:C,G1601,Data!Q:Q)</f>
        <v>16508</v>
      </c>
      <c r="K1601" s="107">
        <f>SUMIF(Comprometidos!A:A,'Cost Report'!G1601,Comprometidos!E:E)</f>
        <v>0</v>
      </c>
      <c r="L1601" s="107">
        <f t="shared" si="661"/>
        <v>16508</v>
      </c>
      <c r="M1601" s="107">
        <f t="shared" si="662"/>
        <v>0</v>
      </c>
      <c r="N1601" s="107">
        <f t="shared" si="663"/>
        <v>16508</v>
      </c>
      <c r="O1601" s="107">
        <f>VLOOKUP(G1601,Budget!$E$3:$G$2474,3,0)</f>
        <v>16508</v>
      </c>
      <c r="P1601" s="107">
        <f t="shared" si="664"/>
        <v>0</v>
      </c>
      <c r="Q1601" s="107"/>
      <c r="R1601" s="10"/>
      <c r="S1601" s="107">
        <v>16508</v>
      </c>
      <c r="T1601" s="107">
        <f t="shared" si="655"/>
        <v>0</v>
      </c>
      <c r="U1601" s="107"/>
      <c r="V1601" s="175"/>
      <c r="W1601" s="10"/>
      <c r="X1601" s="10"/>
      <c r="Y1601" t="str">
        <f t="shared" si="665"/>
        <v>3401</v>
      </c>
      <c r="AB1601" s="10"/>
      <c r="AC1601" s="10"/>
      <c r="AD1601" s="10"/>
      <c r="AE1601" s="10"/>
      <c r="AF1601" s="10"/>
      <c r="AG1601" s="10"/>
      <c r="AH1601" s="10"/>
      <c r="AI1601" s="10"/>
    </row>
    <row r="1602" spans="1:35">
      <c r="A1602" s="10"/>
      <c r="B1602" s="10" t="str">
        <f t="shared" si="660"/>
        <v>Below the LinePREP</v>
      </c>
      <c r="C1602" t="s">
        <v>20</v>
      </c>
      <c r="D1602" t="s">
        <v>19</v>
      </c>
      <c r="E1602" t="s">
        <v>234</v>
      </c>
      <c r="G1602" t="s">
        <v>2766</v>
      </c>
      <c r="I1602" s="10"/>
      <c r="J1602" s="107">
        <f>SUMIF(Data!C:C,G1602,Data!Q:Q)</f>
        <v>8670</v>
      </c>
      <c r="K1602" s="107">
        <f>SUMIF(Comprometidos!A:A,'Cost Report'!G1602,Comprometidos!E:E)</f>
        <v>0</v>
      </c>
      <c r="L1602" s="107">
        <f t="shared" si="661"/>
        <v>8670</v>
      </c>
      <c r="M1602" s="107">
        <f t="shared" si="662"/>
        <v>0</v>
      </c>
      <c r="N1602" s="107">
        <f t="shared" si="663"/>
        <v>8670</v>
      </c>
      <c r="O1602" s="107">
        <f>VLOOKUP(G1602,Budget!$E$3:$G$2474,3,0)</f>
        <v>8670</v>
      </c>
      <c r="P1602" s="107">
        <f t="shared" si="664"/>
        <v>0</v>
      </c>
      <c r="Q1602" s="107"/>
      <c r="R1602" s="10"/>
      <c r="S1602" s="107">
        <v>8670</v>
      </c>
      <c r="T1602" s="107">
        <f t="shared" si="655"/>
        <v>0</v>
      </c>
      <c r="U1602" s="107"/>
      <c r="V1602" s="175"/>
      <c r="W1602" s="10"/>
      <c r="X1602" s="10"/>
      <c r="Y1602" t="str">
        <f t="shared" si="665"/>
        <v>3401</v>
      </c>
      <c r="AB1602" s="10"/>
      <c r="AC1602" s="10"/>
      <c r="AD1602" s="10"/>
      <c r="AE1602" s="10"/>
      <c r="AF1602" s="10"/>
      <c r="AG1602" s="10"/>
      <c r="AH1602" s="10"/>
      <c r="AI1602" s="10"/>
    </row>
    <row r="1603" spans="1:35">
      <c r="A1603" s="10"/>
      <c r="B1603" s="10" t="str">
        <f t="shared" si="660"/>
        <v>Below the LinePREP</v>
      </c>
      <c r="C1603" t="s">
        <v>20</v>
      </c>
      <c r="D1603" t="s">
        <v>19</v>
      </c>
      <c r="E1603" t="s">
        <v>234</v>
      </c>
      <c r="G1603" t="s">
        <v>2767</v>
      </c>
      <c r="I1603" s="10"/>
      <c r="J1603" s="107">
        <f>SUMIF(Data!C:C,G1603,Data!Q:Q)</f>
        <v>22436</v>
      </c>
      <c r="K1603" s="107">
        <f>SUMIF(Comprometidos!A:A,'Cost Report'!G1603,Comprometidos!E:E)</f>
        <v>0</v>
      </c>
      <c r="L1603" s="107">
        <f t="shared" si="661"/>
        <v>22436</v>
      </c>
      <c r="M1603" s="107">
        <v>0</v>
      </c>
      <c r="N1603" s="107">
        <f t="shared" si="663"/>
        <v>22436</v>
      </c>
      <c r="O1603" s="107">
        <f>VLOOKUP(G1603,Budget!$E$3:$G$2474,3,0)</f>
        <v>22435.98</v>
      </c>
      <c r="P1603" s="107">
        <f t="shared" si="664"/>
        <v>-2.0000000000436557E-2</v>
      </c>
      <c r="Q1603" s="107"/>
      <c r="R1603" s="10"/>
      <c r="S1603" s="107">
        <v>22436</v>
      </c>
      <c r="T1603" s="107">
        <f t="shared" si="655"/>
        <v>0</v>
      </c>
      <c r="U1603" s="107"/>
      <c r="V1603" s="175"/>
      <c r="W1603" s="10"/>
      <c r="X1603" s="10"/>
      <c r="Y1603" t="str">
        <f t="shared" si="665"/>
        <v>3401</v>
      </c>
      <c r="AB1603" s="10"/>
      <c r="AC1603" s="10"/>
      <c r="AD1603" s="10"/>
      <c r="AE1603" s="10"/>
      <c r="AF1603" s="10"/>
      <c r="AG1603" s="10"/>
      <c r="AH1603" s="10"/>
      <c r="AI1603" s="10"/>
    </row>
    <row r="1604" spans="1:35">
      <c r="A1604" s="10"/>
      <c r="B1604" s="10" t="str">
        <f t="shared" si="660"/>
        <v>Below the LinePREP</v>
      </c>
      <c r="C1604" t="s">
        <v>20</v>
      </c>
      <c r="D1604" t="s">
        <v>19</v>
      </c>
      <c r="E1604" t="s">
        <v>234</v>
      </c>
      <c r="G1604" t="s">
        <v>2768</v>
      </c>
      <c r="I1604" s="10"/>
      <c r="J1604" s="107">
        <f>SUMIF(Data!C:C,G1604,Data!Q:Q)</f>
        <v>20601</v>
      </c>
      <c r="K1604" s="107">
        <f>SUMIF(Comprometidos!A:A,'Cost Report'!G1604,Comprometidos!E:E)</f>
        <v>0</v>
      </c>
      <c r="L1604" s="107">
        <f t="shared" si="661"/>
        <v>20601</v>
      </c>
      <c r="M1604" s="107">
        <v>0</v>
      </c>
      <c r="N1604" s="107">
        <f t="shared" si="663"/>
        <v>20601</v>
      </c>
      <c r="O1604" s="107">
        <f>VLOOKUP(G1604,Budget!$E$3:$G$2474,3,0)</f>
        <v>20160</v>
      </c>
      <c r="P1604" s="107">
        <f t="shared" si="664"/>
        <v>-441</v>
      </c>
      <c r="Q1604" s="107"/>
      <c r="R1604" s="10"/>
      <c r="S1604" s="107">
        <v>20601</v>
      </c>
      <c r="T1604" s="107">
        <f t="shared" si="655"/>
        <v>0</v>
      </c>
      <c r="U1604" s="107"/>
      <c r="V1604" s="175"/>
      <c r="W1604" s="10"/>
      <c r="X1604" s="10"/>
      <c r="Y1604" t="str">
        <f t="shared" si="665"/>
        <v>3401</v>
      </c>
      <c r="AB1604" s="10"/>
      <c r="AC1604" s="10"/>
      <c r="AD1604" s="10"/>
      <c r="AE1604" s="10"/>
      <c r="AF1604" s="10"/>
      <c r="AG1604" s="10"/>
      <c r="AH1604" s="10"/>
      <c r="AI1604" s="10"/>
    </row>
    <row r="1605" spans="1:35">
      <c r="A1605" s="10"/>
      <c r="B1605" s="10" t="str">
        <f t="shared" si="660"/>
        <v>Below the LinePREP</v>
      </c>
      <c r="C1605" t="s">
        <v>20</v>
      </c>
      <c r="D1605" t="s">
        <v>19</v>
      </c>
      <c r="E1605" t="s">
        <v>234</v>
      </c>
      <c r="G1605" t="s">
        <v>2769</v>
      </c>
      <c r="I1605" s="10"/>
      <c r="J1605" s="107">
        <f>SUMIF(Data!C:C,G1605,Data!Q:Q)</f>
        <v>7489</v>
      </c>
      <c r="K1605" s="107">
        <f>SUMIF(Comprometidos!A:A,'Cost Report'!G1605,Comprometidos!E:E)</f>
        <v>0</v>
      </c>
      <c r="L1605" s="107">
        <f t="shared" si="661"/>
        <v>7489</v>
      </c>
      <c r="M1605" s="107">
        <v>0</v>
      </c>
      <c r="N1605" s="107">
        <f t="shared" si="663"/>
        <v>7489</v>
      </c>
      <c r="O1605" s="107">
        <f>VLOOKUP(G1605,Budget!$E$3:$G$2474,3,0)</f>
        <v>7494</v>
      </c>
      <c r="P1605" s="107">
        <f t="shared" si="664"/>
        <v>5</v>
      </c>
      <c r="Q1605" s="107"/>
      <c r="R1605" s="10"/>
      <c r="S1605" s="107">
        <v>7489</v>
      </c>
      <c r="T1605" s="107">
        <f t="shared" si="655"/>
        <v>0</v>
      </c>
      <c r="U1605" s="107"/>
      <c r="V1605" s="175"/>
      <c r="W1605" s="10"/>
      <c r="X1605" s="10"/>
      <c r="Y1605" t="str">
        <f t="shared" si="665"/>
        <v>3401</v>
      </c>
      <c r="AB1605" s="10"/>
      <c r="AC1605" s="10"/>
      <c r="AD1605" s="10"/>
      <c r="AE1605" s="10"/>
      <c r="AF1605" s="10"/>
      <c r="AG1605" s="10"/>
      <c r="AH1605" s="10"/>
      <c r="AI1605" s="10"/>
    </row>
    <row r="1606" spans="1:35">
      <c r="A1606" s="10"/>
      <c r="B1606" s="10" t="str">
        <f t="shared" si="660"/>
        <v>Below the LinePREP</v>
      </c>
      <c r="C1606" t="s">
        <v>20</v>
      </c>
      <c r="D1606" t="s">
        <v>19</v>
      </c>
      <c r="E1606" t="s">
        <v>234</v>
      </c>
      <c r="G1606" t="s">
        <v>2770</v>
      </c>
      <c r="I1606" s="10"/>
      <c r="J1606" s="107">
        <f>SUMIF(Data!C:C,G1606,Data!Q:Q)</f>
        <v>10110</v>
      </c>
      <c r="K1606" s="107">
        <f>SUMIF(Comprometidos!A:A,'Cost Report'!G1606,Comprometidos!E:E)</f>
        <v>0</v>
      </c>
      <c r="L1606" s="107">
        <f t="shared" si="661"/>
        <v>10110</v>
      </c>
      <c r="M1606" s="107">
        <v>0</v>
      </c>
      <c r="N1606" s="107">
        <f t="shared" si="663"/>
        <v>10110</v>
      </c>
      <c r="O1606" s="107">
        <f>VLOOKUP(G1606,Budget!$E$3:$G$2474,3,0)</f>
        <v>10125</v>
      </c>
      <c r="P1606" s="107">
        <f t="shared" si="664"/>
        <v>15</v>
      </c>
      <c r="Q1606" s="107"/>
      <c r="R1606" s="10"/>
      <c r="S1606" s="107">
        <v>10110</v>
      </c>
      <c r="T1606" s="107">
        <f t="shared" si="655"/>
        <v>0</v>
      </c>
      <c r="U1606" s="107"/>
      <c r="V1606" s="175"/>
      <c r="W1606" s="10"/>
      <c r="X1606" s="10"/>
      <c r="Y1606" t="str">
        <f t="shared" si="665"/>
        <v>3401</v>
      </c>
      <c r="AB1606" s="10"/>
      <c r="AC1606" s="10"/>
      <c r="AD1606" s="10"/>
      <c r="AE1606" s="10"/>
      <c r="AF1606" s="10"/>
      <c r="AG1606" s="10"/>
      <c r="AH1606" s="10"/>
      <c r="AI1606" s="10"/>
    </row>
    <row r="1607" spans="1:35">
      <c r="A1607" s="10"/>
      <c r="B1607" s="10" t="str">
        <f t="shared" si="660"/>
        <v>Below the LinePREP</v>
      </c>
      <c r="C1607" t="s">
        <v>20</v>
      </c>
      <c r="D1607" t="s">
        <v>19</v>
      </c>
      <c r="E1607" t="s">
        <v>234</v>
      </c>
      <c r="G1607" t="s">
        <v>2771</v>
      </c>
      <c r="I1607" s="10"/>
      <c r="J1607" s="107">
        <f>SUMIF(Data!C:C,G1607,Data!Q:Q)</f>
        <v>15080</v>
      </c>
      <c r="K1607" s="107">
        <f>SUMIF(Comprometidos!A:A,'Cost Report'!G1607,Comprometidos!E:E)</f>
        <v>0</v>
      </c>
      <c r="L1607" s="107">
        <f t="shared" si="661"/>
        <v>15080</v>
      </c>
      <c r="M1607" s="107">
        <v>0</v>
      </c>
      <c r="N1607" s="107">
        <f t="shared" si="663"/>
        <v>15080</v>
      </c>
      <c r="O1607" s="107">
        <f>VLOOKUP(G1607,Budget!$E$3:$G$2474,3,0)</f>
        <v>17953.400000000001</v>
      </c>
      <c r="P1607" s="107">
        <f t="shared" si="664"/>
        <v>2873.4000000000015</v>
      </c>
      <c r="Q1607" s="107"/>
      <c r="R1607" s="10"/>
      <c r="S1607" s="107">
        <v>15080</v>
      </c>
      <c r="T1607" s="107">
        <f t="shared" si="655"/>
        <v>0</v>
      </c>
      <c r="U1607" s="107"/>
      <c r="V1607" s="175"/>
      <c r="W1607" s="10"/>
      <c r="X1607" s="10"/>
      <c r="Y1607" t="str">
        <f t="shared" si="665"/>
        <v>3401</v>
      </c>
      <c r="AB1607" s="10"/>
      <c r="AC1607" s="10"/>
      <c r="AD1607" s="10"/>
      <c r="AE1607" s="10"/>
      <c r="AF1607" s="10"/>
      <c r="AG1607" s="10"/>
      <c r="AH1607" s="10"/>
      <c r="AI1607" s="10"/>
    </row>
    <row r="1608" spans="1:35">
      <c r="A1608" s="10"/>
      <c r="B1608" s="10" t="str">
        <f t="shared" si="660"/>
        <v>Below the LinePREP</v>
      </c>
      <c r="C1608" t="s">
        <v>20</v>
      </c>
      <c r="D1608" t="s">
        <v>19</v>
      </c>
      <c r="E1608" t="s">
        <v>234</v>
      </c>
      <c r="G1608" t="s">
        <v>2772</v>
      </c>
      <c r="I1608" s="10"/>
      <c r="J1608" s="107">
        <f>SUMIF(Data!C:C,G1608,Data!Q:Q)</f>
        <v>3590</v>
      </c>
      <c r="K1608" s="107">
        <f>SUMIF(Comprometidos!A:A,'Cost Report'!G1608,Comprometidos!E:E)</f>
        <v>0</v>
      </c>
      <c r="L1608" s="107">
        <f t="shared" si="661"/>
        <v>3590</v>
      </c>
      <c r="M1608" s="107">
        <v>0</v>
      </c>
      <c r="N1608" s="107">
        <f t="shared" si="663"/>
        <v>3590</v>
      </c>
      <c r="O1608" s="107">
        <f>VLOOKUP(G1608,Budget!$E$3:$G$2474,3,0)</f>
        <v>2798</v>
      </c>
      <c r="P1608" s="107">
        <f t="shared" si="664"/>
        <v>-792</v>
      </c>
      <c r="Q1608" s="107"/>
      <c r="R1608" s="10"/>
      <c r="S1608" s="107">
        <v>3590</v>
      </c>
      <c r="T1608" s="107">
        <f t="shared" si="655"/>
        <v>0</v>
      </c>
      <c r="U1608" s="107"/>
      <c r="V1608" s="175"/>
      <c r="W1608" s="10"/>
      <c r="X1608" s="10"/>
      <c r="Y1608" t="str">
        <f t="shared" si="665"/>
        <v>3401</v>
      </c>
      <c r="AB1608" s="10"/>
      <c r="AC1608" s="10"/>
      <c r="AD1608" s="10"/>
      <c r="AE1608" s="10"/>
      <c r="AF1608" s="10"/>
      <c r="AG1608" s="10"/>
      <c r="AH1608" s="10"/>
      <c r="AI1608" s="10"/>
    </row>
    <row r="1609" spans="1:35">
      <c r="A1609" s="10"/>
      <c r="B1609" s="10" t="str">
        <f t="shared" si="660"/>
        <v>Below the Line</v>
      </c>
      <c r="C1609" t="s">
        <v>20</v>
      </c>
      <c r="D1609" t="s">
        <v>19</v>
      </c>
      <c r="E1609" t="s">
        <v>214</v>
      </c>
      <c r="G1609" t="s">
        <v>2773</v>
      </c>
      <c r="I1609" s="10"/>
      <c r="J1609" s="107">
        <f>SUMIF(Data!C:C,G1609,Data!Q:Q)</f>
        <v>0</v>
      </c>
      <c r="K1609" s="107">
        <f>SUMIF(Comprometidos!A:A,'Cost Report'!G1609,Comprometidos!E:E)</f>
        <v>0</v>
      </c>
      <c r="L1609" s="107">
        <f t="shared" si="661"/>
        <v>0</v>
      </c>
      <c r="M1609" s="107">
        <f t="shared" si="662"/>
        <v>0</v>
      </c>
      <c r="N1609" s="107">
        <f t="shared" si="663"/>
        <v>0</v>
      </c>
      <c r="O1609" s="107">
        <f>VLOOKUP(G1609,Budget!$E$3:$G$2474,3,0)</f>
        <v>0</v>
      </c>
      <c r="P1609" s="107">
        <f t="shared" si="664"/>
        <v>0</v>
      </c>
      <c r="Q1609" s="107"/>
      <c r="R1609" s="10"/>
      <c r="S1609" s="107">
        <v>0</v>
      </c>
      <c r="T1609" s="107">
        <f t="shared" si="655"/>
        <v>0</v>
      </c>
      <c r="U1609" s="107"/>
      <c r="V1609" s="175"/>
      <c r="W1609" s="10"/>
      <c r="X1609" s="10"/>
      <c r="Y1609" t="str">
        <f t="shared" si="665"/>
        <v>3401</v>
      </c>
      <c r="AB1609" s="10"/>
      <c r="AC1609" s="10"/>
      <c r="AD1609" s="10"/>
      <c r="AE1609" s="10"/>
      <c r="AF1609" s="10"/>
      <c r="AG1609" s="10"/>
      <c r="AH1609" s="10"/>
      <c r="AI1609" s="10"/>
    </row>
    <row r="1610" spans="1:35">
      <c r="A1610" s="10"/>
      <c r="B1610" s="10" t="str">
        <f t="shared" si="660"/>
        <v>Below the LinePREP</v>
      </c>
      <c r="C1610" t="s">
        <v>20</v>
      </c>
      <c r="D1610" t="s">
        <v>19</v>
      </c>
      <c r="E1610" t="s">
        <v>234</v>
      </c>
      <c r="G1610" t="s">
        <v>2774</v>
      </c>
      <c r="I1610" s="10"/>
      <c r="J1610" s="107">
        <f>SUMIF(Data!C:C,G1610,Data!Q:Q)</f>
        <v>104225.04000000004</v>
      </c>
      <c r="K1610" s="107">
        <f>SUMIF(Comprometidos!A:A,'Cost Report'!G1610,Comprometidos!E:E)</f>
        <v>0</v>
      </c>
      <c r="L1610" s="107">
        <f t="shared" si="661"/>
        <v>104225.04000000004</v>
      </c>
      <c r="M1610" s="107">
        <v>0</v>
      </c>
      <c r="N1610" s="107">
        <f t="shared" si="663"/>
        <v>104225.04000000004</v>
      </c>
      <c r="O1610" s="107">
        <f>VLOOKUP(G1610,Budget!$E$3:$G$2474,3,0)</f>
        <v>55000</v>
      </c>
      <c r="P1610" s="107">
        <f t="shared" si="664"/>
        <v>-49225.040000000037</v>
      </c>
      <c r="Q1610" s="107"/>
      <c r="R1610" s="10"/>
      <c r="S1610" s="107">
        <v>103272.72000000004</v>
      </c>
      <c r="T1610" s="107">
        <f t="shared" si="655"/>
        <v>-952.31999999999243</v>
      </c>
      <c r="U1610" s="107"/>
      <c r="V1610" s="175"/>
      <c r="W1610" s="10"/>
      <c r="X1610" s="10"/>
      <c r="Y1610" t="str">
        <f t="shared" si="665"/>
        <v>3401</v>
      </c>
      <c r="AB1610" s="10"/>
      <c r="AC1610" s="10"/>
      <c r="AD1610" s="10"/>
      <c r="AE1610" s="10"/>
      <c r="AF1610" s="10"/>
      <c r="AG1610" s="10"/>
      <c r="AH1610" s="10"/>
      <c r="AI1610" s="10"/>
    </row>
    <row r="1611" spans="1:35">
      <c r="A1611" s="10"/>
      <c r="B1611" s="10" t="str">
        <f>+C1611</f>
        <v>Below the Line</v>
      </c>
      <c r="C1611" s="128" t="s">
        <v>20</v>
      </c>
      <c r="D1611" s="128" t="s">
        <v>2117</v>
      </c>
      <c r="E1611" s="128"/>
      <c r="F1611" s="128"/>
      <c r="G1611" s="128" t="s">
        <v>942</v>
      </c>
      <c r="H1611" s="128"/>
      <c r="I1611" s="10"/>
      <c r="J1611" s="129">
        <f>SUMIF($Y$11:$Y$2484,G1611,J$11:J$2484)</f>
        <v>490000</v>
      </c>
      <c r="K1611" s="129">
        <f>SUMIF($Y$11:$Y$2484,G1611,K$11:K$2484)</f>
        <v>0</v>
      </c>
      <c r="L1611" s="129">
        <f>SUMIF($Y$11:$Y$2484,G1611,L$11:L$2484)</f>
        <v>490000</v>
      </c>
      <c r="M1611" s="129">
        <f>SUMIF($Y$11:$Y$2484,G1611,M$11:M$2484)</f>
        <v>0</v>
      </c>
      <c r="N1611" s="129">
        <f>SUMIF($Y$11:$Y$2484,G1611,N$11:N$2484)</f>
        <v>490000</v>
      </c>
      <c r="O1611" s="129">
        <f>SUMIF($Y$11:$Y$2484,G1611,O$11:O$2484)</f>
        <v>504000</v>
      </c>
      <c r="P1611" s="129">
        <f>SUMIF($Y$11:$Y$2484,G1611,P$11:P$2484)</f>
        <v>14000</v>
      </c>
      <c r="Q1611" s="129"/>
      <c r="R1611" s="10"/>
      <c r="S1611" s="129">
        <v>490000</v>
      </c>
      <c r="T1611" s="129">
        <f t="shared" si="655"/>
        <v>0</v>
      </c>
      <c r="U1611" s="128"/>
      <c r="V1611" s="175"/>
      <c r="W1611" s="10"/>
      <c r="X1611" s="10"/>
      <c r="Z1611" t="str">
        <f>LEFT(G1611,2)</f>
        <v>34</v>
      </c>
      <c r="AA1611" t="str">
        <f>+Z1611&amp;"00"</f>
        <v>3400</v>
      </c>
      <c r="AB1611" s="10"/>
      <c r="AC1611" s="10"/>
      <c r="AD1611" s="10"/>
      <c r="AE1611" s="10"/>
      <c r="AF1611" s="10"/>
      <c r="AG1611" s="10"/>
      <c r="AH1611" s="10"/>
      <c r="AI1611" s="10"/>
    </row>
    <row r="1612" spans="1:35">
      <c r="A1612" s="10"/>
      <c r="B1612" s="10" t="str">
        <f t="shared" ref="B1612:B1616" si="666">+C1612&amp;E1612</f>
        <v>Below the Line</v>
      </c>
      <c r="C1612" t="s">
        <v>20</v>
      </c>
      <c r="D1612" t="s">
        <v>19</v>
      </c>
      <c r="E1612" t="s">
        <v>214</v>
      </c>
      <c r="G1612" t="s">
        <v>183</v>
      </c>
      <c r="I1612" s="10"/>
      <c r="J1612" s="107">
        <f>SUMIF(Data!C:C,G1612,Data!Q:Q)</f>
        <v>0</v>
      </c>
      <c r="K1612" s="107">
        <f>SUMIF(Comprometidos!A:A,'Cost Report'!G1612,Comprometidos!E:E)</f>
        <v>0</v>
      </c>
      <c r="L1612" s="107">
        <f t="shared" ref="L1612:L1616" si="667">+J1612+K1612</f>
        <v>0</v>
      </c>
      <c r="M1612" s="107">
        <f t="shared" ref="M1612:M1615" si="668">+O1612-L1612</f>
        <v>0</v>
      </c>
      <c r="N1612" s="107">
        <f t="shared" ref="N1612:N1616" si="669">+L1612+M1612</f>
        <v>0</v>
      </c>
      <c r="O1612" s="107">
        <f>VLOOKUP(G1612,Budget!$E$3:$G$2474,3,0)</f>
        <v>0</v>
      </c>
      <c r="P1612" s="107">
        <f t="shared" ref="P1612:P1616" si="670">+O1612-N1612</f>
        <v>0</v>
      </c>
      <c r="Q1612" s="107"/>
      <c r="R1612" s="10"/>
      <c r="S1612" s="107">
        <v>0</v>
      </c>
      <c r="T1612" s="107">
        <f t="shared" si="655"/>
        <v>0</v>
      </c>
      <c r="U1612" s="107"/>
      <c r="V1612" s="175"/>
      <c r="W1612" s="10"/>
      <c r="X1612" s="10"/>
      <c r="Y1612" t="str">
        <f t="shared" ref="Y1612:Y1616" si="671">LEFT(G1612,4)</f>
        <v>3402</v>
      </c>
      <c r="AB1612" s="10"/>
      <c r="AC1612" s="10"/>
      <c r="AD1612" s="10"/>
      <c r="AE1612" s="10"/>
      <c r="AF1612" s="10"/>
      <c r="AG1612" s="10"/>
      <c r="AH1612" s="10"/>
      <c r="AI1612" s="10"/>
    </row>
    <row r="1613" spans="1:35">
      <c r="A1613" s="10"/>
      <c r="B1613" s="10" t="str">
        <f t="shared" si="666"/>
        <v>Below the LineSOFT</v>
      </c>
      <c r="C1613" t="s">
        <v>20</v>
      </c>
      <c r="D1613" t="s">
        <v>19</v>
      </c>
      <c r="E1613" t="s">
        <v>233</v>
      </c>
      <c r="G1613" t="s">
        <v>943</v>
      </c>
      <c r="I1613" s="10"/>
      <c r="J1613" s="107">
        <f>SUMIF(Data!C:C,G1613,Data!Q:Q)</f>
        <v>120750</v>
      </c>
      <c r="K1613" s="107">
        <f>SUMIF(Comprometidos!A:A,'Cost Report'!G1613,Comprometidos!E:E)</f>
        <v>0</v>
      </c>
      <c r="L1613" s="107">
        <f t="shared" si="667"/>
        <v>120750</v>
      </c>
      <c r="M1613" s="107">
        <v>0</v>
      </c>
      <c r="N1613" s="107">
        <f t="shared" si="669"/>
        <v>120750</v>
      </c>
      <c r="O1613" s="107">
        <f>VLOOKUP(G1613,Budget!$E$3:$G$2474,3,0)</f>
        <v>105000</v>
      </c>
      <c r="P1613" s="107">
        <f t="shared" si="670"/>
        <v>-15750</v>
      </c>
      <c r="Q1613" s="107"/>
      <c r="R1613" s="10"/>
      <c r="S1613" s="107">
        <v>120750</v>
      </c>
      <c r="T1613" s="107">
        <f t="shared" si="655"/>
        <v>0</v>
      </c>
      <c r="U1613" s="107"/>
      <c r="V1613" s="175"/>
      <c r="W1613" s="10"/>
      <c r="X1613" s="10"/>
      <c r="Y1613" t="str">
        <f t="shared" si="671"/>
        <v>3402</v>
      </c>
      <c r="AB1613" s="10"/>
      <c r="AC1613" s="10"/>
      <c r="AD1613" s="10"/>
      <c r="AE1613" s="10"/>
      <c r="AF1613" s="10"/>
      <c r="AG1613" s="10"/>
      <c r="AH1613" s="10"/>
      <c r="AI1613" s="10"/>
    </row>
    <row r="1614" spans="1:35">
      <c r="A1614" s="10"/>
      <c r="B1614" s="10" t="str">
        <f t="shared" si="666"/>
        <v>Below the LinePREP</v>
      </c>
      <c r="C1614" t="s">
        <v>20</v>
      </c>
      <c r="D1614" t="s">
        <v>19</v>
      </c>
      <c r="E1614" t="s">
        <v>234</v>
      </c>
      <c r="G1614" t="s">
        <v>944</v>
      </c>
      <c r="I1614" s="10"/>
      <c r="J1614" s="107">
        <f>SUMIF(Data!C:C,G1614,Data!Q:Q)</f>
        <v>173250</v>
      </c>
      <c r="K1614" s="107">
        <f>SUMIF(Comprometidos!A:A,'Cost Report'!G1614,Comprometidos!E:E)</f>
        <v>0</v>
      </c>
      <c r="L1614" s="107">
        <f t="shared" si="667"/>
        <v>173250</v>
      </c>
      <c r="M1614" s="107">
        <v>0</v>
      </c>
      <c r="N1614" s="107">
        <f t="shared" si="669"/>
        <v>173250</v>
      </c>
      <c r="O1614" s="107">
        <f>VLOOKUP(G1614,Budget!$E$3:$G$2474,3,0)</f>
        <v>189000</v>
      </c>
      <c r="P1614" s="107">
        <f t="shared" si="670"/>
        <v>15750</v>
      </c>
      <c r="Q1614" s="107"/>
      <c r="R1614" s="10"/>
      <c r="S1614" s="107">
        <v>173250</v>
      </c>
      <c r="T1614" s="107">
        <f t="shared" si="655"/>
        <v>0</v>
      </c>
      <c r="U1614" s="107"/>
      <c r="V1614" s="175"/>
      <c r="W1614" s="10"/>
      <c r="X1614" s="10"/>
      <c r="Y1614" t="str">
        <f t="shared" si="671"/>
        <v>3402</v>
      </c>
      <c r="AB1614" s="10"/>
      <c r="AC1614" s="10"/>
      <c r="AD1614" s="10"/>
      <c r="AE1614" s="10"/>
      <c r="AF1614" s="10"/>
      <c r="AG1614" s="10"/>
      <c r="AH1614" s="10"/>
      <c r="AI1614" s="10"/>
    </row>
    <row r="1615" spans="1:35">
      <c r="A1615" s="10"/>
      <c r="B1615" s="10" t="str">
        <f t="shared" si="666"/>
        <v>Below the LineSHOOT</v>
      </c>
      <c r="C1615" t="s">
        <v>20</v>
      </c>
      <c r="D1615" t="s">
        <v>19</v>
      </c>
      <c r="E1615" t="s">
        <v>236</v>
      </c>
      <c r="G1615" t="s">
        <v>945</v>
      </c>
      <c r="I1615" s="10"/>
      <c r="J1615" s="107">
        <f>SUMIF(Data!C:C,G1615,Data!Q:Q)</f>
        <v>147000</v>
      </c>
      <c r="K1615" s="107">
        <f>SUMIF(Comprometidos!A:A,'Cost Report'!G1615,Comprometidos!E:E)</f>
        <v>0</v>
      </c>
      <c r="L1615" s="107">
        <f t="shared" si="667"/>
        <v>147000</v>
      </c>
      <c r="M1615" s="107">
        <f t="shared" si="668"/>
        <v>0</v>
      </c>
      <c r="N1615" s="107">
        <f t="shared" si="669"/>
        <v>147000</v>
      </c>
      <c r="O1615" s="107">
        <f>VLOOKUP(G1615,Budget!$E$3:$G$2474,3,0)</f>
        <v>147000</v>
      </c>
      <c r="P1615" s="107">
        <f t="shared" si="670"/>
        <v>0</v>
      </c>
      <c r="Q1615" s="107"/>
      <c r="R1615" s="10"/>
      <c r="S1615" s="107">
        <v>147000</v>
      </c>
      <c r="T1615" s="107">
        <f t="shared" si="655"/>
        <v>0</v>
      </c>
      <c r="U1615" s="107"/>
      <c r="V1615" s="175"/>
      <c r="W1615" s="10"/>
      <c r="X1615" s="10"/>
      <c r="Y1615" t="str">
        <f t="shared" si="671"/>
        <v>3402</v>
      </c>
      <c r="AB1615" s="10"/>
      <c r="AC1615" s="10"/>
      <c r="AD1615" s="10"/>
      <c r="AE1615" s="10"/>
      <c r="AF1615" s="10"/>
      <c r="AG1615" s="10"/>
      <c r="AH1615" s="10"/>
      <c r="AI1615" s="10"/>
    </row>
    <row r="1616" spans="1:35">
      <c r="A1616" s="10"/>
      <c r="B1616" s="10" t="str">
        <f t="shared" si="666"/>
        <v>Below the LineWRAP</v>
      </c>
      <c r="C1616" t="s">
        <v>20</v>
      </c>
      <c r="D1616" t="s">
        <v>19</v>
      </c>
      <c r="E1616" t="s">
        <v>238</v>
      </c>
      <c r="G1616" t="s">
        <v>2775</v>
      </c>
      <c r="I1616" s="10"/>
      <c r="J1616" s="107">
        <f>SUMIF(Data!C:C,G1616,Data!Q:Q)</f>
        <v>49000</v>
      </c>
      <c r="K1616" s="107">
        <f>SUMIF(Comprometidos!A:A,'Cost Report'!G1616,Comprometidos!E:E)</f>
        <v>0</v>
      </c>
      <c r="L1616" s="107">
        <f t="shared" si="667"/>
        <v>49000</v>
      </c>
      <c r="M1616" s="107">
        <f>+O1616-L1616-14000</f>
        <v>0</v>
      </c>
      <c r="N1616" s="107">
        <f t="shared" si="669"/>
        <v>49000</v>
      </c>
      <c r="O1616" s="107">
        <f>VLOOKUP(G1616,Budget!$E$3:$G$2474,3,0)</f>
        <v>63000</v>
      </c>
      <c r="P1616" s="107">
        <f t="shared" si="670"/>
        <v>14000</v>
      </c>
      <c r="Q1616" s="107"/>
      <c r="R1616" s="10"/>
      <c r="S1616" s="107">
        <v>49000</v>
      </c>
      <c r="T1616" s="107">
        <f t="shared" si="655"/>
        <v>0</v>
      </c>
      <c r="U1616" s="107"/>
      <c r="V1616" s="175"/>
      <c r="W1616" s="10"/>
      <c r="X1616" s="10"/>
      <c r="Y1616" t="str">
        <f t="shared" si="671"/>
        <v>3402</v>
      </c>
      <c r="AB1616" s="10"/>
      <c r="AC1616" s="10"/>
      <c r="AD1616" s="10"/>
      <c r="AE1616" s="10"/>
      <c r="AF1616" s="10"/>
      <c r="AG1616" s="10"/>
      <c r="AH1616" s="10"/>
      <c r="AI1616" s="10"/>
    </row>
    <row r="1617" spans="1:35">
      <c r="A1617" s="10"/>
      <c r="B1617" s="10" t="str">
        <f>+C1617</f>
        <v>Below the Line</v>
      </c>
      <c r="C1617" s="128" t="s">
        <v>20</v>
      </c>
      <c r="D1617" s="128" t="s">
        <v>2117</v>
      </c>
      <c r="E1617" s="128"/>
      <c r="F1617" s="128"/>
      <c r="G1617" s="128" t="s">
        <v>946</v>
      </c>
      <c r="H1617" s="128"/>
      <c r="I1617" s="10"/>
      <c r="J1617" s="129">
        <f>SUMIF($Y$11:$Y$2484,G1617,J$11:J$2484)</f>
        <v>753740</v>
      </c>
      <c r="K1617" s="129">
        <f>SUMIF($Y$11:$Y$2484,G1617,K$11:K$2484)</f>
        <v>0</v>
      </c>
      <c r="L1617" s="129">
        <f>SUMIF($Y$11:$Y$2484,G1617,L$11:L$2484)</f>
        <v>753740</v>
      </c>
      <c r="M1617" s="129">
        <f>SUMIF($Y$11:$Y$2484,G1617,M$11:M$2484)</f>
        <v>0</v>
      </c>
      <c r="N1617" s="129">
        <f>SUMIF($Y$11:$Y$2484,G1617,N$11:N$2484)</f>
        <v>753740</v>
      </c>
      <c r="O1617" s="129">
        <f>SUMIF($Y$11:$Y$2484,G1617,O$11:O$2484)</f>
        <v>768000</v>
      </c>
      <c r="P1617" s="129">
        <f>SUMIF($Y$11:$Y$2484,G1617,P$11:P$2484)</f>
        <v>14260</v>
      </c>
      <c r="Q1617" s="129"/>
      <c r="R1617" s="10"/>
      <c r="S1617" s="129">
        <v>753740</v>
      </c>
      <c r="T1617" s="129">
        <f t="shared" si="655"/>
        <v>0</v>
      </c>
      <c r="U1617" s="128"/>
      <c r="V1617" s="175"/>
      <c r="W1617" s="10"/>
      <c r="X1617" s="10"/>
      <c r="Z1617" t="str">
        <f>LEFT(G1617,2)</f>
        <v>34</v>
      </c>
      <c r="AA1617" t="str">
        <f>+Z1617&amp;"00"</f>
        <v>3400</v>
      </c>
      <c r="AB1617" s="10"/>
      <c r="AC1617" s="10"/>
      <c r="AD1617" s="10"/>
      <c r="AE1617" s="10"/>
      <c r="AF1617" s="10"/>
      <c r="AG1617" s="10"/>
      <c r="AH1617" s="10"/>
      <c r="AI1617" s="10"/>
    </row>
    <row r="1618" spans="1:35">
      <c r="A1618" s="10"/>
      <c r="B1618" s="10" t="str">
        <f t="shared" ref="B1618:B1640" si="672">+C1618&amp;E1618</f>
        <v>Below the Line</v>
      </c>
      <c r="C1618" t="s">
        <v>20</v>
      </c>
      <c r="D1618" t="s">
        <v>19</v>
      </c>
      <c r="E1618" t="s">
        <v>214</v>
      </c>
      <c r="F1618" t="s">
        <v>5396</v>
      </c>
      <c r="G1618" t="s">
        <v>184</v>
      </c>
      <c r="I1618" s="10"/>
      <c r="J1618" s="107">
        <f>SUMIF(Data!C:C,G1618,Data!Q:Q)</f>
        <v>0</v>
      </c>
      <c r="K1618" s="107">
        <f>SUMIF(Comprometidos!A:A,'Cost Report'!G1618,Comprometidos!E:E)</f>
        <v>0</v>
      </c>
      <c r="L1618" s="107">
        <f t="shared" ref="L1618:L1640" si="673">+J1618+K1618</f>
        <v>0</v>
      </c>
      <c r="M1618" s="107">
        <f t="shared" ref="M1618:M1638" si="674">+O1618-L1618</f>
        <v>0</v>
      </c>
      <c r="N1618" s="107">
        <f t="shared" ref="N1618:N1640" si="675">+L1618+M1618</f>
        <v>0</v>
      </c>
      <c r="O1618" s="107">
        <f>VLOOKUP(G1618,Budget!$E$3:$G$2474,3,0)</f>
        <v>0</v>
      </c>
      <c r="P1618" s="107">
        <f t="shared" ref="P1618:P1640" si="676">+O1618-N1618</f>
        <v>0</v>
      </c>
      <c r="Q1618" s="107"/>
      <c r="R1618" s="10"/>
      <c r="S1618" s="107">
        <v>0</v>
      </c>
      <c r="T1618" s="107">
        <f t="shared" si="655"/>
        <v>0</v>
      </c>
      <c r="U1618" s="107"/>
      <c r="V1618" s="175"/>
      <c r="W1618" s="10"/>
      <c r="X1618" s="10"/>
      <c r="Y1618" t="str">
        <f t="shared" ref="Y1618:Y1640" si="677">LEFT(G1618,4)</f>
        <v>3403</v>
      </c>
      <c r="AB1618" s="10"/>
      <c r="AC1618" s="10"/>
      <c r="AD1618" s="10"/>
      <c r="AE1618" s="10"/>
      <c r="AF1618" s="10"/>
      <c r="AG1618" s="10"/>
      <c r="AH1618" s="10"/>
      <c r="AI1618" s="10"/>
    </row>
    <row r="1619" spans="1:35">
      <c r="A1619" s="10"/>
      <c r="B1619" s="10" t="str">
        <f t="shared" si="672"/>
        <v>Below the LinePREP</v>
      </c>
      <c r="C1619" t="s">
        <v>20</v>
      </c>
      <c r="D1619" t="s">
        <v>19</v>
      </c>
      <c r="E1619" t="s">
        <v>234</v>
      </c>
      <c r="F1619" t="s">
        <v>5396</v>
      </c>
      <c r="G1619" t="s">
        <v>947</v>
      </c>
      <c r="I1619" s="10"/>
      <c r="J1619" s="107">
        <f>SUMIF(Data!C:C,G1619,Data!Q:Q)</f>
        <v>88200</v>
      </c>
      <c r="K1619" s="107">
        <f>SUMIF(Comprometidos!A:A,'Cost Report'!G1619,Comprometidos!E:E)</f>
        <v>0</v>
      </c>
      <c r="L1619" s="107">
        <f t="shared" si="673"/>
        <v>88200</v>
      </c>
      <c r="M1619" s="107">
        <v>0</v>
      </c>
      <c r="N1619" s="107">
        <f t="shared" si="675"/>
        <v>88200</v>
      </c>
      <c r="O1619" s="107">
        <f>VLOOKUP(G1619,Budget!$E$3:$G$2474,3,0)</f>
        <v>98000</v>
      </c>
      <c r="P1619" s="107">
        <f t="shared" si="676"/>
        <v>9800</v>
      </c>
      <c r="Q1619" s="107"/>
      <c r="R1619" s="10"/>
      <c r="S1619" s="107">
        <v>88200</v>
      </c>
      <c r="T1619" s="107">
        <f t="shared" si="655"/>
        <v>0</v>
      </c>
      <c r="U1619" s="107"/>
      <c r="V1619" s="175"/>
      <c r="W1619" s="10"/>
      <c r="X1619" s="10"/>
      <c r="Y1619" t="str">
        <f t="shared" si="677"/>
        <v>3403</v>
      </c>
      <c r="AB1619" s="10"/>
      <c r="AC1619" s="10"/>
      <c r="AD1619" s="10"/>
      <c r="AE1619" s="10"/>
      <c r="AF1619" s="10"/>
      <c r="AG1619" s="10"/>
      <c r="AH1619" s="10"/>
      <c r="AI1619" s="10"/>
    </row>
    <row r="1620" spans="1:35">
      <c r="A1620" s="10"/>
      <c r="B1620" s="10" t="str">
        <f t="shared" si="672"/>
        <v>Below the LineSHOOT</v>
      </c>
      <c r="C1620" t="s">
        <v>20</v>
      </c>
      <c r="D1620" t="s">
        <v>19</v>
      </c>
      <c r="E1620" t="s">
        <v>236</v>
      </c>
      <c r="F1620" t="s">
        <v>5396</v>
      </c>
      <c r="G1620" t="s">
        <v>948</v>
      </c>
      <c r="I1620" s="10"/>
      <c r="J1620" s="107">
        <f>SUMIF(Data!C:C,G1620,Data!Q:Q)</f>
        <v>88200</v>
      </c>
      <c r="K1620" s="107">
        <f>SUMIF(Comprometidos!A:A,'Cost Report'!G1620,Comprometidos!E:E)</f>
        <v>0</v>
      </c>
      <c r="L1620" s="107">
        <f t="shared" si="673"/>
        <v>88200</v>
      </c>
      <c r="M1620" s="107">
        <v>0</v>
      </c>
      <c r="N1620" s="107">
        <f t="shared" si="675"/>
        <v>88200</v>
      </c>
      <c r="O1620" s="107">
        <f>VLOOKUP(G1620,Budget!$E$3:$G$2474,3,0)</f>
        <v>98000</v>
      </c>
      <c r="P1620" s="107">
        <f t="shared" si="676"/>
        <v>9800</v>
      </c>
      <c r="Q1620" s="107"/>
      <c r="R1620" s="10"/>
      <c r="S1620" s="107">
        <v>88200</v>
      </c>
      <c r="T1620" s="107">
        <f t="shared" si="655"/>
        <v>0</v>
      </c>
      <c r="U1620" s="107"/>
      <c r="V1620" s="175"/>
      <c r="W1620" s="10"/>
      <c r="X1620" s="10"/>
      <c r="Y1620" t="str">
        <f t="shared" si="677"/>
        <v>3403</v>
      </c>
      <c r="AB1620" s="10"/>
      <c r="AC1620" s="10"/>
      <c r="AD1620" s="10"/>
      <c r="AE1620" s="10"/>
      <c r="AF1620" s="10"/>
      <c r="AG1620" s="10"/>
      <c r="AH1620" s="10"/>
      <c r="AI1620" s="10"/>
    </row>
    <row r="1621" spans="1:35">
      <c r="A1621" s="10"/>
      <c r="B1621" s="10" t="str">
        <f t="shared" si="672"/>
        <v>Below the LineWRAP</v>
      </c>
      <c r="C1621" t="s">
        <v>20</v>
      </c>
      <c r="D1621" t="s">
        <v>19</v>
      </c>
      <c r="E1621" t="s">
        <v>238</v>
      </c>
      <c r="F1621" t="s">
        <v>5396</v>
      </c>
      <c r="G1621" t="s">
        <v>949</v>
      </c>
      <c r="I1621" s="10"/>
      <c r="J1621" s="107">
        <f>SUMIF(Data!C:C,G1621,Data!Q:Q)</f>
        <v>50400</v>
      </c>
      <c r="K1621" s="107">
        <f>SUMIF(Comprometidos!A:A,'Cost Report'!G1621,Comprometidos!E:E)</f>
        <v>0</v>
      </c>
      <c r="L1621" s="107">
        <f t="shared" si="673"/>
        <v>50400</v>
      </c>
      <c r="M1621" s="107">
        <v>0</v>
      </c>
      <c r="N1621" s="107">
        <f t="shared" si="675"/>
        <v>50400</v>
      </c>
      <c r="O1621" s="107">
        <f>VLOOKUP(G1621,Budget!$E$3:$G$2474,3,0)</f>
        <v>56000</v>
      </c>
      <c r="P1621" s="107">
        <f t="shared" si="676"/>
        <v>5600</v>
      </c>
      <c r="Q1621" s="107"/>
      <c r="R1621" s="10"/>
      <c r="S1621" s="107">
        <v>50400</v>
      </c>
      <c r="T1621" s="107">
        <f t="shared" si="655"/>
        <v>0</v>
      </c>
      <c r="U1621" s="107"/>
      <c r="V1621" s="175"/>
      <c r="W1621" s="10"/>
      <c r="X1621" s="10"/>
      <c r="Y1621" t="str">
        <f t="shared" si="677"/>
        <v>3403</v>
      </c>
      <c r="AB1621" s="10"/>
      <c r="AC1621" s="10"/>
      <c r="AD1621" s="10"/>
      <c r="AE1621" s="10"/>
      <c r="AF1621" s="10"/>
      <c r="AG1621" s="10"/>
      <c r="AH1621" s="10"/>
      <c r="AI1621" s="10"/>
    </row>
    <row r="1622" spans="1:35">
      <c r="A1622" s="10"/>
      <c r="B1622" s="10" t="str">
        <f t="shared" si="672"/>
        <v>Below the Line</v>
      </c>
      <c r="C1622" t="s">
        <v>20</v>
      </c>
      <c r="D1622" t="s">
        <v>19</v>
      </c>
      <c r="E1622" t="s">
        <v>214</v>
      </c>
      <c r="F1622" t="s">
        <v>5396</v>
      </c>
      <c r="G1622" t="s">
        <v>950</v>
      </c>
      <c r="I1622" s="10"/>
      <c r="J1622" s="107">
        <f>SUMIF(Data!C:C,G1622,Data!Q:Q)</f>
        <v>0</v>
      </c>
      <c r="K1622" s="107">
        <f>SUMIF(Comprometidos!A:A,'Cost Report'!G1622,Comprometidos!E:E)</f>
        <v>0</v>
      </c>
      <c r="L1622" s="107">
        <f t="shared" si="673"/>
        <v>0</v>
      </c>
      <c r="M1622" s="107">
        <f t="shared" si="674"/>
        <v>0</v>
      </c>
      <c r="N1622" s="107">
        <f t="shared" si="675"/>
        <v>0</v>
      </c>
      <c r="O1622" s="107">
        <f>VLOOKUP(G1622,Budget!$E$3:$G$2474,3,0)</f>
        <v>0</v>
      </c>
      <c r="P1622" s="107">
        <f t="shared" si="676"/>
        <v>0</v>
      </c>
      <c r="Q1622" s="107"/>
      <c r="R1622" s="10"/>
      <c r="S1622" s="107">
        <v>0</v>
      </c>
      <c r="T1622" s="107">
        <f t="shared" si="655"/>
        <v>0</v>
      </c>
      <c r="U1622" s="107"/>
      <c r="V1622" s="175"/>
      <c r="W1622" s="10"/>
      <c r="X1622" s="10"/>
      <c r="Y1622" t="str">
        <f t="shared" si="677"/>
        <v>3403</v>
      </c>
      <c r="AB1622" s="10"/>
      <c r="AC1622" s="10"/>
      <c r="AD1622" s="10"/>
      <c r="AE1622" s="10"/>
      <c r="AF1622" s="10"/>
      <c r="AG1622" s="10"/>
      <c r="AH1622" s="10"/>
      <c r="AI1622" s="10"/>
    </row>
    <row r="1623" spans="1:35">
      <c r="A1623" s="10"/>
      <c r="B1623" s="10" t="str">
        <f t="shared" si="672"/>
        <v>Below the LineSOFT</v>
      </c>
      <c r="C1623" t="s">
        <v>20</v>
      </c>
      <c r="D1623" t="s">
        <v>19</v>
      </c>
      <c r="E1623" t="s">
        <v>233</v>
      </c>
      <c r="F1623" t="s">
        <v>5396</v>
      </c>
      <c r="G1623" t="s">
        <v>951</v>
      </c>
      <c r="I1623" s="10"/>
      <c r="J1623" s="107">
        <f>SUMIF(Data!C:C,G1623,Data!Q:Q)</f>
        <v>42000</v>
      </c>
      <c r="K1623" s="107">
        <f>SUMIF(Comprometidos!A:A,'Cost Report'!G1623,Comprometidos!E:E)</f>
        <v>0</v>
      </c>
      <c r="L1623" s="107">
        <f t="shared" si="673"/>
        <v>42000</v>
      </c>
      <c r="M1623" s="107">
        <v>0</v>
      </c>
      <c r="N1623" s="107">
        <f t="shared" si="675"/>
        <v>42000</v>
      </c>
      <c r="O1623" s="107">
        <f>VLOOKUP(G1623,Budget!$E$3:$G$2474,3,0)</f>
        <v>31500</v>
      </c>
      <c r="P1623" s="107">
        <f t="shared" si="676"/>
        <v>-10500</v>
      </c>
      <c r="Q1623" s="107"/>
      <c r="R1623" s="10"/>
      <c r="S1623" s="107">
        <v>42000</v>
      </c>
      <c r="T1623" s="107">
        <f t="shared" si="655"/>
        <v>0</v>
      </c>
      <c r="U1623" s="107"/>
      <c r="V1623" s="175"/>
      <c r="W1623" s="10"/>
      <c r="X1623" s="10"/>
      <c r="Y1623" t="str">
        <f t="shared" si="677"/>
        <v>3403</v>
      </c>
      <c r="AB1623" s="10"/>
      <c r="AC1623" s="10"/>
      <c r="AD1623" s="10"/>
      <c r="AE1623" s="10"/>
      <c r="AF1623" s="10"/>
      <c r="AG1623" s="10"/>
      <c r="AH1623" s="10"/>
      <c r="AI1623" s="10"/>
    </row>
    <row r="1624" spans="1:35">
      <c r="A1624" s="10"/>
      <c r="B1624" s="10" t="str">
        <f t="shared" si="672"/>
        <v>Below the LinePREP</v>
      </c>
      <c r="C1624" t="s">
        <v>20</v>
      </c>
      <c r="D1624" t="s">
        <v>19</v>
      </c>
      <c r="E1624" t="s">
        <v>234</v>
      </c>
      <c r="F1624" t="s">
        <v>5396</v>
      </c>
      <c r="G1624" t="s">
        <v>952</v>
      </c>
      <c r="I1624" s="10"/>
      <c r="J1624" s="107">
        <f>SUMIF(Data!C:C,G1624,Data!Q:Q)</f>
        <v>94500</v>
      </c>
      <c r="K1624" s="107">
        <f>SUMIF(Comprometidos!A:A,'Cost Report'!G1624,Comprometidos!E:E)</f>
        <v>0</v>
      </c>
      <c r="L1624" s="107">
        <f t="shared" si="673"/>
        <v>94500</v>
      </c>
      <c r="M1624" s="107">
        <v>0</v>
      </c>
      <c r="N1624" s="107">
        <f t="shared" si="675"/>
        <v>94500</v>
      </c>
      <c r="O1624" s="107">
        <f>VLOOKUP(G1624,Budget!$E$3:$G$2474,3,0)</f>
        <v>101250</v>
      </c>
      <c r="P1624" s="107">
        <f t="shared" si="676"/>
        <v>6750</v>
      </c>
      <c r="Q1624" s="107"/>
      <c r="R1624" s="10"/>
      <c r="S1624" s="107">
        <v>94500</v>
      </c>
      <c r="T1624" s="107">
        <f t="shared" si="655"/>
        <v>0</v>
      </c>
      <c r="U1624" s="107"/>
      <c r="V1624" s="175"/>
      <c r="W1624" s="10"/>
      <c r="X1624" s="10"/>
      <c r="Y1624" t="str">
        <f t="shared" si="677"/>
        <v>3403</v>
      </c>
      <c r="AB1624" s="10"/>
      <c r="AC1624" s="10"/>
      <c r="AD1624" s="10"/>
      <c r="AE1624" s="10"/>
      <c r="AF1624" s="10"/>
      <c r="AG1624" s="10"/>
      <c r="AH1624" s="10"/>
      <c r="AI1624" s="10"/>
    </row>
    <row r="1625" spans="1:35">
      <c r="A1625" s="10"/>
      <c r="B1625" s="10" t="str">
        <f t="shared" si="672"/>
        <v>Below the LineSHOOT</v>
      </c>
      <c r="C1625" t="s">
        <v>20</v>
      </c>
      <c r="D1625" t="s">
        <v>19</v>
      </c>
      <c r="E1625" t="s">
        <v>236</v>
      </c>
      <c r="F1625" t="s">
        <v>5396</v>
      </c>
      <c r="G1625" t="s">
        <v>953</v>
      </c>
      <c r="I1625" s="10"/>
      <c r="J1625" s="107">
        <f>SUMIF(Data!C:C,G1625,Data!Q:Q)</f>
        <v>73500</v>
      </c>
      <c r="K1625" s="107">
        <f>SUMIF(Comprometidos!A:A,'Cost Report'!G1625,Comprometidos!E:E)</f>
        <v>0</v>
      </c>
      <c r="L1625" s="107">
        <f t="shared" si="673"/>
        <v>73500</v>
      </c>
      <c r="M1625" s="107">
        <v>0</v>
      </c>
      <c r="N1625" s="107">
        <f t="shared" si="675"/>
        <v>73500</v>
      </c>
      <c r="O1625" s="107">
        <f>VLOOKUP(G1625,Budget!$E$3:$G$2474,3,0)</f>
        <v>78750</v>
      </c>
      <c r="P1625" s="107">
        <f t="shared" si="676"/>
        <v>5250</v>
      </c>
      <c r="Q1625" s="107"/>
      <c r="R1625" s="10"/>
      <c r="S1625" s="107">
        <v>73500</v>
      </c>
      <c r="T1625" s="107">
        <f t="shared" si="655"/>
        <v>0</v>
      </c>
      <c r="U1625" s="107"/>
      <c r="V1625" s="175"/>
      <c r="W1625" s="10"/>
      <c r="X1625" s="10"/>
      <c r="Y1625" t="str">
        <f t="shared" si="677"/>
        <v>3403</v>
      </c>
      <c r="AB1625" s="10"/>
      <c r="AC1625" s="10"/>
      <c r="AD1625" s="10"/>
      <c r="AE1625" s="10"/>
      <c r="AF1625" s="10"/>
      <c r="AG1625" s="10"/>
      <c r="AH1625" s="10"/>
      <c r="AI1625" s="10"/>
    </row>
    <row r="1626" spans="1:35">
      <c r="A1626" s="10"/>
      <c r="B1626" s="10" t="str">
        <f t="shared" si="672"/>
        <v>Below the Line</v>
      </c>
      <c r="C1626" t="s">
        <v>20</v>
      </c>
      <c r="D1626" t="s">
        <v>19</v>
      </c>
      <c r="E1626" t="s">
        <v>214</v>
      </c>
      <c r="F1626" t="s">
        <v>5396</v>
      </c>
      <c r="G1626" t="s">
        <v>954</v>
      </c>
      <c r="I1626" s="10"/>
      <c r="J1626" s="107">
        <f>SUMIF(Data!C:C,G1626,Data!Q:Q)</f>
        <v>0</v>
      </c>
      <c r="K1626" s="107">
        <f>SUMIF(Comprometidos!A:A,'Cost Report'!G1626,Comprometidos!E:E)</f>
        <v>0</v>
      </c>
      <c r="L1626" s="107">
        <f t="shared" si="673"/>
        <v>0</v>
      </c>
      <c r="M1626" s="107">
        <f t="shared" si="674"/>
        <v>0</v>
      </c>
      <c r="N1626" s="107">
        <f t="shared" si="675"/>
        <v>0</v>
      </c>
      <c r="O1626" s="107">
        <f>VLOOKUP(G1626,Budget!$E$3:$G$2474,3,0)</f>
        <v>0</v>
      </c>
      <c r="P1626" s="107">
        <f t="shared" si="676"/>
        <v>0</v>
      </c>
      <c r="Q1626" s="107"/>
      <c r="R1626" s="10"/>
      <c r="S1626" s="107">
        <v>0</v>
      </c>
      <c r="T1626" s="107">
        <f t="shared" ref="T1626:T1689" si="678">+S1626-N1626</f>
        <v>0</v>
      </c>
      <c r="U1626" s="107"/>
      <c r="V1626" s="175"/>
      <c r="W1626" s="10"/>
      <c r="X1626" s="10"/>
      <c r="Y1626" t="str">
        <f t="shared" si="677"/>
        <v>3403</v>
      </c>
      <c r="AB1626" s="10"/>
      <c r="AC1626" s="10"/>
      <c r="AD1626" s="10"/>
      <c r="AE1626" s="10"/>
      <c r="AF1626" s="10"/>
      <c r="AG1626" s="10"/>
      <c r="AH1626" s="10"/>
      <c r="AI1626" s="10"/>
    </row>
    <row r="1627" spans="1:35">
      <c r="A1627" s="10"/>
      <c r="B1627" s="10" t="str">
        <f t="shared" si="672"/>
        <v>Below the LinePREP</v>
      </c>
      <c r="C1627" t="s">
        <v>20</v>
      </c>
      <c r="D1627" t="s">
        <v>19</v>
      </c>
      <c r="E1627" t="s">
        <v>234</v>
      </c>
      <c r="F1627" t="s">
        <v>5396</v>
      </c>
      <c r="G1627" t="s">
        <v>955</v>
      </c>
      <c r="I1627" s="10"/>
      <c r="J1627" s="107">
        <f>SUMIF(Data!C:C,G1627,Data!Q:Q)</f>
        <v>94500</v>
      </c>
      <c r="K1627" s="107">
        <f>SUMIF(Comprometidos!A:A,'Cost Report'!G1627,Comprometidos!E:E)</f>
        <v>0</v>
      </c>
      <c r="L1627" s="107">
        <f t="shared" si="673"/>
        <v>94500</v>
      </c>
      <c r="M1627" s="107">
        <v>0</v>
      </c>
      <c r="N1627" s="107">
        <f t="shared" si="675"/>
        <v>94500</v>
      </c>
      <c r="O1627" s="107">
        <f>VLOOKUP(G1627,Budget!$E$3:$G$2474,3,0)</f>
        <v>90000</v>
      </c>
      <c r="P1627" s="107">
        <f t="shared" si="676"/>
        <v>-4500</v>
      </c>
      <c r="Q1627" s="107"/>
      <c r="R1627" s="10"/>
      <c r="S1627" s="107">
        <v>94500</v>
      </c>
      <c r="T1627" s="107">
        <f t="shared" si="678"/>
        <v>0</v>
      </c>
      <c r="U1627" s="107"/>
      <c r="V1627" s="175"/>
      <c r="W1627" s="10"/>
      <c r="X1627" s="10"/>
      <c r="Y1627" t="str">
        <f t="shared" si="677"/>
        <v>3403</v>
      </c>
      <c r="AB1627" s="10"/>
      <c r="AC1627" s="10"/>
      <c r="AD1627" s="10"/>
      <c r="AE1627" s="10"/>
      <c r="AF1627" s="10"/>
      <c r="AG1627" s="10"/>
      <c r="AH1627" s="10"/>
      <c r="AI1627" s="10"/>
    </row>
    <row r="1628" spans="1:35">
      <c r="A1628" s="10"/>
      <c r="B1628" s="10" t="str">
        <f t="shared" si="672"/>
        <v>Below the LineSHOOT</v>
      </c>
      <c r="C1628" t="s">
        <v>20</v>
      </c>
      <c r="D1628" t="s">
        <v>19</v>
      </c>
      <c r="E1628" t="s">
        <v>236</v>
      </c>
      <c r="F1628" t="s">
        <v>5396</v>
      </c>
      <c r="G1628" t="s">
        <v>956</v>
      </c>
      <c r="I1628" s="10"/>
      <c r="J1628" s="107">
        <f>SUMIF(Data!C:C,G1628,Data!Q:Q)</f>
        <v>73500</v>
      </c>
      <c r="K1628" s="107">
        <f>SUMIF(Comprometidos!A:A,'Cost Report'!G1628,Comprometidos!E:E)</f>
        <v>0</v>
      </c>
      <c r="L1628" s="107">
        <f t="shared" si="673"/>
        <v>73500</v>
      </c>
      <c r="M1628" s="107">
        <v>0</v>
      </c>
      <c r="N1628" s="107">
        <f t="shared" si="675"/>
        <v>73500</v>
      </c>
      <c r="O1628" s="107">
        <f>VLOOKUP(G1628,Budget!$E$3:$G$2474,3,0)</f>
        <v>70000</v>
      </c>
      <c r="P1628" s="107">
        <f t="shared" si="676"/>
        <v>-3500</v>
      </c>
      <c r="Q1628" s="107"/>
      <c r="R1628" s="10"/>
      <c r="S1628" s="107">
        <v>73500</v>
      </c>
      <c r="T1628" s="107">
        <f t="shared" si="678"/>
        <v>0</v>
      </c>
      <c r="U1628" s="107"/>
      <c r="V1628" s="175"/>
      <c r="W1628" s="10"/>
      <c r="X1628" s="10"/>
      <c r="Y1628" t="str">
        <f t="shared" si="677"/>
        <v>3403</v>
      </c>
      <c r="AB1628" s="10"/>
      <c r="AC1628" s="10"/>
      <c r="AD1628" s="10"/>
      <c r="AE1628" s="10"/>
      <c r="AF1628" s="10"/>
      <c r="AG1628" s="10"/>
      <c r="AH1628" s="10"/>
      <c r="AI1628" s="10"/>
    </row>
    <row r="1629" spans="1:35">
      <c r="A1629" s="10"/>
      <c r="B1629" s="10" t="str">
        <f t="shared" si="672"/>
        <v>Below the Line</v>
      </c>
      <c r="C1629" t="s">
        <v>20</v>
      </c>
      <c r="D1629" t="s">
        <v>19</v>
      </c>
      <c r="E1629" t="s">
        <v>214</v>
      </c>
      <c r="F1629" t="s">
        <v>5396</v>
      </c>
      <c r="G1629" t="s">
        <v>957</v>
      </c>
      <c r="I1629" s="10"/>
      <c r="J1629" s="107">
        <f>SUMIF(Data!C:C,G1629,Data!Q:Q)</f>
        <v>0</v>
      </c>
      <c r="K1629" s="107">
        <f>SUMIF(Comprometidos!A:A,'Cost Report'!G1629,Comprometidos!E:E)</f>
        <v>0</v>
      </c>
      <c r="L1629" s="107">
        <f t="shared" si="673"/>
        <v>0</v>
      </c>
      <c r="M1629" s="107">
        <f t="shared" si="674"/>
        <v>0</v>
      </c>
      <c r="N1629" s="107">
        <f t="shared" si="675"/>
        <v>0</v>
      </c>
      <c r="O1629" s="107">
        <f>VLOOKUP(G1629,Budget!$E$3:$G$2474,3,0)</f>
        <v>0</v>
      </c>
      <c r="P1629" s="107">
        <f t="shared" si="676"/>
        <v>0</v>
      </c>
      <c r="Q1629" s="107"/>
      <c r="R1629" s="10"/>
      <c r="S1629" s="107">
        <v>0</v>
      </c>
      <c r="T1629" s="107">
        <f t="shared" si="678"/>
        <v>0</v>
      </c>
      <c r="U1629" s="107"/>
      <c r="V1629" s="175"/>
      <c r="W1629" s="10"/>
      <c r="X1629" s="10"/>
      <c r="Y1629" t="str">
        <f t="shared" si="677"/>
        <v>3403</v>
      </c>
      <c r="AB1629" s="10"/>
      <c r="AC1629" s="10"/>
      <c r="AD1629" s="10"/>
      <c r="AE1629" s="10"/>
      <c r="AF1629" s="10"/>
      <c r="AG1629" s="10"/>
      <c r="AH1629" s="10"/>
      <c r="AI1629" s="10"/>
    </row>
    <row r="1630" spans="1:35">
      <c r="A1630" s="10"/>
      <c r="B1630" s="10" t="str">
        <f t="shared" si="672"/>
        <v>Below the LinePREP</v>
      </c>
      <c r="C1630" t="s">
        <v>20</v>
      </c>
      <c r="D1630" t="s">
        <v>19</v>
      </c>
      <c r="E1630" t="s">
        <v>234</v>
      </c>
      <c r="F1630" t="s">
        <v>5396</v>
      </c>
      <c r="G1630" t="s">
        <v>958</v>
      </c>
      <c r="I1630" s="10"/>
      <c r="J1630" s="107">
        <f>SUMIF(Data!C:C,G1630,Data!Q:Q)</f>
        <v>40000</v>
      </c>
      <c r="K1630" s="107">
        <f>SUMIF(Comprometidos!A:A,'Cost Report'!G1630,Comprometidos!E:E)</f>
        <v>0</v>
      </c>
      <c r="L1630" s="107">
        <f t="shared" si="673"/>
        <v>40000</v>
      </c>
      <c r="M1630" s="107">
        <v>0</v>
      </c>
      <c r="N1630" s="107">
        <f t="shared" si="675"/>
        <v>40000</v>
      </c>
      <c r="O1630" s="107">
        <f>VLOOKUP(G1630,Budget!$E$3:$G$2474,3,0)</f>
        <v>40000</v>
      </c>
      <c r="P1630" s="107">
        <f t="shared" si="676"/>
        <v>0</v>
      </c>
      <c r="Q1630" s="107"/>
      <c r="R1630" s="10"/>
      <c r="S1630" s="107">
        <v>40000</v>
      </c>
      <c r="T1630" s="107">
        <f t="shared" si="678"/>
        <v>0</v>
      </c>
      <c r="U1630" s="107"/>
      <c r="V1630" s="175"/>
      <c r="W1630" s="10"/>
      <c r="X1630" s="10"/>
      <c r="Y1630" t="str">
        <f t="shared" si="677"/>
        <v>3403</v>
      </c>
      <c r="AB1630" s="10"/>
      <c r="AC1630" s="10"/>
      <c r="AD1630" s="10"/>
      <c r="AE1630" s="10"/>
      <c r="AF1630" s="10"/>
      <c r="AG1630" s="10"/>
      <c r="AH1630" s="10"/>
      <c r="AI1630" s="10"/>
    </row>
    <row r="1631" spans="1:35">
      <c r="A1631" s="10"/>
      <c r="B1631" s="10" t="str">
        <f t="shared" si="672"/>
        <v>Below the Line</v>
      </c>
      <c r="C1631" t="s">
        <v>20</v>
      </c>
      <c r="D1631" t="s">
        <v>19</v>
      </c>
      <c r="E1631" t="s">
        <v>214</v>
      </c>
      <c r="F1631" t="s">
        <v>5396</v>
      </c>
      <c r="G1631" t="s">
        <v>959</v>
      </c>
      <c r="I1631" s="10"/>
      <c r="J1631" s="107">
        <f>SUMIF(Data!C:C,G1631,Data!Q:Q)</f>
        <v>0</v>
      </c>
      <c r="K1631" s="107">
        <f>SUMIF(Comprometidos!A:A,'Cost Report'!G1631,Comprometidos!E:E)</f>
        <v>0</v>
      </c>
      <c r="L1631" s="107">
        <f t="shared" si="673"/>
        <v>0</v>
      </c>
      <c r="M1631" s="107">
        <f t="shared" si="674"/>
        <v>0</v>
      </c>
      <c r="N1631" s="107">
        <f t="shared" si="675"/>
        <v>0</v>
      </c>
      <c r="O1631" s="107">
        <f>VLOOKUP(G1631,Budget!$E$3:$G$2474,3,0)</f>
        <v>0</v>
      </c>
      <c r="P1631" s="107">
        <f t="shared" si="676"/>
        <v>0</v>
      </c>
      <c r="Q1631" s="107"/>
      <c r="R1631" s="10"/>
      <c r="S1631" s="107">
        <v>0</v>
      </c>
      <c r="T1631" s="107">
        <f t="shared" si="678"/>
        <v>0</v>
      </c>
      <c r="U1631" s="107"/>
      <c r="V1631" s="175"/>
      <c r="W1631" s="10"/>
      <c r="X1631" s="10"/>
      <c r="Y1631" t="str">
        <f t="shared" si="677"/>
        <v>3403</v>
      </c>
      <c r="AB1631" s="10"/>
      <c r="AC1631" s="10"/>
      <c r="AD1631" s="10"/>
      <c r="AE1631" s="10"/>
      <c r="AF1631" s="10"/>
      <c r="AG1631" s="10"/>
      <c r="AH1631" s="10"/>
      <c r="AI1631" s="10"/>
    </row>
    <row r="1632" spans="1:35">
      <c r="A1632" s="10"/>
      <c r="B1632" s="10" t="str">
        <f t="shared" si="672"/>
        <v>Below the LinePREP</v>
      </c>
      <c r="C1632" t="s">
        <v>20</v>
      </c>
      <c r="D1632" t="s">
        <v>19</v>
      </c>
      <c r="E1632" t="s">
        <v>234</v>
      </c>
      <c r="F1632" t="s">
        <v>5396</v>
      </c>
      <c r="G1632" t="s">
        <v>2776</v>
      </c>
      <c r="I1632" s="10"/>
      <c r="J1632" s="107">
        <f>SUMIF(Data!C:C,G1632,Data!Q:Q)</f>
        <v>8000</v>
      </c>
      <c r="K1632" s="107">
        <f>SUMIF(Comprometidos!A:A,'Cost Report'!G1632,Comprometidos!E:E)</f>
        <v>0</v>
      </c>
      <c r="L1632" s="107">
        <f t="shared" si="673"/>
        <v>8000</v>
      </c>
      <c r="M1632" s="107">
        <f t="shared" si="674"/>
        <v>0</v>
      </c>
      <c r="N1632" s="107">
        <f t="shared" si="675"/>
        <v>8000</v>
      </c>
      <c r="O1632" s="107">
        <f>VLOOKUP(G1632,Budget!$E$3:$G$2474,3,0)</f>
        <v>8000</v>
      </c>
      <c r="P1632" s="107">
        <f t="shared" si="676"/>
        <v>0</v>
      </c>
      <c r="Q1632" s="107"/>
      <c r="R1632" s="10"/>
      <c r="S1632" s="107">
        <v>8000</v>
      </c>
      <c r="T1632" s="107">
        <f t="shared" si="678"/>
        <v>0</v>
      </c>
      <c r="U1632" s="107"/>
      <c r="V1632" s="175"/>
      <c r="W1632" s="10"/>
      <c r="X1632" s="10"/>
      <c r="Y1632" t="str">
        <f t="shared" si="677"/>
        <v>3403</v>
      </c>
      <c r="AB1632" s="10"/>
      <c r="AC1632" s="10"/>
      <c r="AD1632" s="10"/>
      <c r="AE1632" s="10"/>
      <c r="AF1632" s="10"/>
      <c r="AG1632" s="10"/>
      <c r="AH1632" s="10"/>
      <c r="AI1632" s="10"/>
    </row>
    <row r="1633" spans="1:35">
      <c r="A1633" s="10"/>
      <c r="B1633" s="10" t="str">
        <f t="shared" si="672"/>
        <v>Below the LineSHOOT</v>
      </c>
      <c r="C1633" t="s">
        <v>20</v>
      </c>
      <c r="D1633" t="s">
        <v>19</v>
      </c>
      <c r="E1633" t="s">
        <v>236</v>
      </c>
      <c r="F1633" t="s">
        <v>5396</v>
      </c>
      <c r="G1633" t="s">
        <v>2777</v>
      </c>
      <c r="I1633" s="10"/>
      <c r="J1633" s="107">
        <f>SUMIF(Data!C:C,G1633,Data!Q:Q)</f>
        <v>56000</v>
      </c>
      <c r="K1633" s="107">
        <f>SUMIF(Comprometidos!A:A,'Cost Report'!G1633,Comprometidos!E:E)</f>
        <v>0</v>
      </c>
      <c r="L1633" s="107">
        <f t="shared" si="673"/>
        <v>56000</v>
      </c>
      <c r="M1633" s="107">
        <f t="shared" si="674"/>
        <v>0</v>
      </c>
      <c r="N1633" s="107">
        <f t="shared" si="675"/>
        <v>56000</v>
      </c>
      <c r="O1633" s="107">
        <f>VLOOKUP(G1633,Budget!$E$3:$G$2474,3,0)</f>
        <v>56000</v>
      </c>
      <c r="P1633" s="107">
        <f t="shared" si="676"/>
        <v>0</v>
      </c>
      <c r="Q1633" s="107"/>
      <c r="R1633" s="10"/>
      <c r="S1633" s="107">
        <v>56000</v>
      </c>
      <c r="T1633" s="107">
        <f t="shared" si="678"/>
        <v>0</v>
      </c>
      <c r="U1633" s="107"/>
      <c r="V1633" s="175"/>
      <c r="W1633" s="10"/>
      <c r="X1633" s="10"/>
      <c r="Y1633" t="str">
        <f t="shared" si="677"/>
        <v>3403</v>
      </c>
      <c r="AB1633" s="10"/>
      <c r="AC1633" s="10"/>
      <c r="AD1633" s="10"/>
      <c r="AE1633" s="10"/>
      <c r="AF1633" s="10"/>
      <c r="AG1633" s="10"/>
      <c r="AH1633" s="10"/>
      <c r="AI1633" s="10"/>
    </row>
    <row r="1634" spans="1:35">
      <c r="A1634" s="10"/>
      <c r="B1634" s="10" t="str">
        <f t="shared" si="672"/>
        <v>Below the Line</v>
      </c>
      <c r="C1634" t="s">
        <v>20</v>
      </c>
      <c r="D1634" t="s">
        <v>19</v>
      </c>
      <c r="E1634" t="s">
        <v>214</v>
      </c>
      <c r="F1634" t="s">
        <v>5396</v>
      </c>
      <c r="G1634" t="s">
        <v>2778</v>
      </c>
      <c r="I1634" s="10"/>
      <c r="J1634" s="107">
        <f>SUMIF(Data!C:C,G1634,Data!Q:Q)</f>
        <v>0</v>
      </c>
      <c r="K1634" s="107">
        <f>SUMIF(Comprometidos!A:A,'Cost Report'!G1634,Comprometidos!E:E)</f>
        <v>0</v>
      </c>
      <c r="L1634" s="107">
        <f t="shared" si="673"/>
        <v>0</v>
      </c>
      <c r="M1634" s="107">
        <f t="shared" si="674"/>
        <v>0</v>
      </c>
      <c r="N1634" s="107">
        <f t="shared" si="675"/>
        <v>0</v>
      </c>
      <c r="O1634" s="107">
        <f>VLOOKUP(G1634,Budget!$E$3:$G$2474,3,0)</f>
        <v>0</v>
      </c>
      <c r="P1634" s="107">
        <f t="shared" si="676"/>
        <v>0</v>
      </c>
      <c r="Q1634" s="107"/>
      <c r="R1634" s="10"/>
      <c r="S1634" s="107">
        <v>0</v>
      </c>
      <c r="T1634" s="107">
        <f t="shared" si="678"/>
        <v>0</v>
      </c>
      <c r="U1634" s="107"/>
      <c r="V1634" s="175"/>
      <c r="W1634" s="10"/>
      <c r="X1634" s="10"/>
      <c r="Y1634" t="str">
        <f t="shared" si="677"/>
        <v>3403</v>
      </c>
      <c r="AB1634" s="10"/>
      <c r="AC1634" s="10"/>
      <c r="AD1634" s="10"/>
      <c r="AE1634" s="10"/>
      <c r="AF1634" s="10"/>
      <c r="AG1634" s="10"/>
      <c r="AH1634" s="10"/>
      <c r="AI1634" s="10"/>
    </row>
    <row r="1635" spans="1:35">
      <c r="A1635" s="10"/>
      <c r="B1635" s="10" t="str">
        <f t="shared" si="672"/>
        <v>Below the LineSHOOT</v>
      </c>
      <c r="C1635" t="s">
        <v>20</v>
      </c>
      <c r="D1635" t="s">
        <v>19</v>
      </c>
      <c r="E1635" t="s">
        <v>236</v>
      </c>
      <c r="F1635" t="s">
        <v>5396</v>
      </c>
      <c r="G1635" t="s">
        <v>2779</v>
      </c>
      <c r="I1635" s="10"/>
      <c r="J1635" s="107">
        <f>SUMIF(Data!C:C,G1635,Data!Q:Q)</f>
        <v>0</v>
      </c>
      <c r="K1635" s="107">
        <f>SUMIF(Comprometidos!A:A,'Cost Report'!G1635,Comprometidos!E:E)</f>
        <v>0</v>
      </c>
      <c r="L1635" s="107">
        <f t="shared" si="673"/>
        <v>0</v>
      </c>
      <c r="M1635" s="107">
        <v>0</v>
      </c>
      <c r="N1635" s="107">
        <f t="shared" si="675"/>
        <v>0</v>
      </c>
      <c r="O1635" s="107">
        <f>VLOOKUP(G1635,Budget!$E$3:$G$2474,3,0)</f>
        <v>10500</v>
      </c>
      <c r="P1635" s="107">
        <f t="shared" si="676"/>
        <v>10500</v>
      </c>
      <c r="Q1635" s="107"/>
      <c r="R1635" s="10"/>
      <c r="S1635" s="107">
        <v>0</v>
      </c>
      <c r="T1635" s="107">
        <f t="shared" si="678"/>
        <v>0</v>
      </c>
      <c r="U1635" s="107"/>
      <c r="V1635" s="175"/>
      <c r="W1635" s="10"/>
      <c r="X1635" s="10"/>
      <c r="Y1635" t="str">
        <f t="shared" si="677"/>
        <v>3403</v>
      </c>
      <c r="AB1635" s="10"/>
      <c r="AC1635" s="10"/>
      <c r="AD1635" s="10"/>
      <c r="AE1635" s="10"/>
      <c r="AF1635" s="10"/>
      <c r="AG1635" s="10"/>
      <c r="AH1635" s="10"/>
      <c r="AI1635" s="10"/>
    </row>
    <row r="1636" spans="1:35">
      <c r="A1636" s="10"/>
      <c r="B1636" s="10" t="str">
        <f t="shared" si="672"/>
        <v>Below the Line</v>
      </c>
      <c r="C1636" t="s">
        <v>20</v>
      </c>
      <c r="D1636" t="s">
        <v>19</v>
      </c>
      <c r="E1636" t="s">
        <v>214</v>
      </c>
      <c r="F1636" t="s">
        <v>5396</v>
      </c>
      <c r="G1636" t="s">
        <v>2780</v>
      </c>
      <c r="I1636" s="10"/>
      <c r="J1636" s="107">
        <f>SUMIF(Data!C:C,G1636,Data!Q:Q)</f>
        <v>0</v>
      </c>
      <c r="K1636" s="107">
        <f>SUMIF(Comprometidos!A:A,'Cost Report'!G1636,Comprometidos!E:E)</f>
        <v>0</v>
      </c>
      <c r="L1636" s="107">
        <f t="shared" si="673"/>
        <v>0</v>
      </c>
      <c r="M1636" s="107">
        <f t="shared" si="674"/>
        <v>0</v>
      </c>
      <c r="N1636" s="107">
        <f t="shared" si="675"/>
        <v>0</v>
      </c>
      <c r="O1636" s="107">
        <f>VLOOKUP(G1636,Budget!$E$3:$G$2474,3,0)</f>
        <v>0</v>
      </c>
      <c r="P1636" s="107">
        <f t="shared" si="676"/>
        <v>0</v>
      </c>
      <c r="Q1636" s="107"/>
      <c r="R1636" s="10"/>
      <c r="S1636" s="107">
        <v>0</v>
      </c>
      <c r="T1636" s="107">
        <f t="shared" si="678"/>
        <v>0</v>
      </c>
      <c r="U1636" s="107"/>
      <c r="V1636" s="175"/>
      <c r="W1636" s="10"/>
      <c r="X1636" s="10"/>
      <c r="Y1636" t="str">
        <f t="shared" si="677"/>
        <v>3403</v>
      </c>
      <c r="AB1636" s="10"/>
      <c r="AC1636" s="10"/>
      <c r="AD1636" s="10"/>
      <c r="AE1636" s="10"/>
      <c r="AF1636" s="10"/>
      <c r="AG1636" s="10"/>
      <c r="AH1636" s="10"/>
      <c r="AI1636" s="10"/>
    </row>
    <row r="1637" spans="1:35">
      <c r="A1637" s="10"/>
      <c r="B1637" s="10" t="str">
        <f t="shared" si="672"/>
        <v>Below the LineSHOOT</v>
      </c>
      <c r="C1637" t="s">
        <v>20</v>
      </c>
      <c r="D1637" t="s">
        <v>19</v>
      </c>
      <c r="E1637" t="s">
        <v>236</v>
      </c>
      <c r="F1637" t="s">
        <v>5396</v>
      </c>
      <c r="G1637" t="s">
        <v>2781</v>
      </c>
      <c r="I1637" s="10"/>
      <c r="J1637" s="107">
        <f>SUMIF(Data!C:C,G1637,Data!Q:Q)</f>
        <v>16500</v>
      </c>
      <c r="K1637" s="107">
        <f>SUMIF(Comprometidos!A:A,'Cost Report'!G1637,Comprometidos!E:E)</f>
        <v>0</v>
      </c>
      <c r="L1637" s="107">
        <f t="shared" si="673"/>
        <v>16500</v>
      </c>
      <c r="M1637" s="107">
        <v>0</v>
      </c>
      <c r="N1637" s="107">
        <f t="shared" si="675"/>
        <v>16500</v>
      </c>
      <c r="O1637" s="107">
        <f>VLOOKUP(G1637,Budget!$E$3:$G$2474,3,0)</f>
        <v>6000</v>
      </c>
      <c r="P1637" s="107">
        <f t="shared" si="676"/>
        <v>-10500</v>
      </c>
      <c r="Q1637" s="107"/>
      <c r="R1637" s="10"/>
      <c r="S1637" s="107">
        <v>16500</v>
      </c>
      <c r="T1637" s="107">
        <f t="shared" si="678"/>
        <v>0</v>
      </c>
      <c r="U1637" s="107"/>
      <c r="V1637" s="175"/>
      <c r="W1637" s="10"/>
      <c r="X1637" s="10"/>
      <c r="Y1637" t="str">
        <f t="shared" si="677"/>
        <v>3403</v>
      </c>
      <c r="AB1637" s="10"/>
      <c r="AC1637" s="10"/>
      <c r="AD1637" s="10"/>
      <c r="AE1637" s="10"/>
      <c r="AF1637" s="10"/>
      <c r="AG1637" s="10"/>
      <c r="AH1637" s="10"/>
      <c r="AI1637" s="10"/>
    </row>
    <row r="1638" spans="1:35">
      <c r="A1638" s="10"/>
      <c r="B1638" s="10" t="str">
        <f t="shared" si="672"/>
        <v>Below the Line</v>
      </c>
      <c r="C1638" t="s">
        <v>20</v>
      </c>
      <c r="D1638" t="s">
        <v>19</v>
      </c>
      <c r="E1638" t="s">
        <v>214</v>
      </c>
      <c r="F1638" t="s">
        <v>5396</v>
      </c>
      <c r="G1638" t="s">
        <v>2782</v>
      </c>
      <c r="I1638" s="10"/>
      <c r="J1638" s="107">
        <f>SUMIF(Data!C:C,G1638,Data!Q:Q)</f>
        <v>0</v>
      </c>
      <c r="K1638" s="107">
        <f>SUMIF(Comprometidos!A:A,'Cost Report'!G1638,Comprometidos!E:E)</f>
        <v>0</v>
      </c>
      <c r="L1638" s="107">
        <f t="shared" si="673"/>
        <v>0</v>
      </c>
      <c r="M1638" s="107">
        <f t="shared" si="674"/>
        <v>0</v>
      </c>
      <c r="N1638" s="107">
        <f t="shared" si="675"/>
        <v>0</v>
      </c>
      <c r="O1638" s="107">
        <f>VLOOKUP(G1638,Budget!$E$3:$G$2474,3,0)</f>
        <v>0</v>
      </c>
      <c r="P1638" s="107">
        <f t="shared" si="676"/>
        <v>0</v>
      </c>
      <c r="Q1638" s="107"/>
      <c r="R1638" s="10"/>
      <c r="S1638" s="107">
        <v>0</v>
      </c>
      <c r="T1638" s="107">
        <f t="shared" si="678"/>
        <v>0</v>
      </c>
      <c r="U1638" s="107"/>
      <c r="V1638" s="175"/>
      <c r="W1638" s="10"/>
      <c r="X1638" s="10"/>
      <c r="Y1638" t="str">
        <f t="shared" si="677"/>
        <v>3403</v>
      </c>
      <c r="AB1638" s="10"/>
      <c r="AC1638" s="10"/>
      <c r="AD1638" s="10"/>
      <c r="AE1638" s="10"/>
      <c r="AF1638" s="10"/>
      <c r="AG1638" s="10"/>
      <c r="AH1638" s="10"/>
      <c r="AI1638" s="10"/>
    </row>
    <row r="1639" spans="1:35">
      <c r="A1639" s="10"/>
      <c r="B1639" s="10" t="str">
        <f t="shared" si="672"/>
        <v>Below the Line2nd Unit</v>
      </c>
      <c r="C1639" t="s">
        <v>20</v>
      </c>
      <c r="D1639" t="s">
        <v>19</v>
      </c>
      <c r="E1639" t="s">
        <v>1419</v>
      </c>
      <c r="F1639" t="s">
        <v>5396</v>
      </c>
      <c r="G1639" t="s">
        <v>2783</v>
      </c>
      <c r="I1639" s="10"/>
      <c r="J1639" s="107">
        <f>SUMIF(Data!C:C,G1639,Data!Q:Q)</f>
        <v>8500</v>
      </c>
      <c r="K1639" s="107">
        <f>SUMIF(Comprometidos!A:A,'Cost Report'!G1639,Comprometidos!E:E)</f>
        <v>0</v>
      </c>
      <c r="L1639" s="107">
        <f t="shared" si="673"/>
        <v>8500</v>
      </c>
      <c r="M1639" s="107">
        <v>0</v>
      </c>
      <c r="N1639" s="107">
        <f t="shared" si="675"/>
        <v>8500</v>
      </c>
      <c r="O1639" s="107">
        <f>VLOOKUP(G1639,Budget!$E$3:$G$2474,3,0)</f>
        <v>8000</v>
      </c>
      <c r="P1639" s="107">
        <f t="shared" si="676"/>
        <v>-500</v>
      </c>
      <c r="Q1639" s="107"/>
      <c r="R1639" s="10"/>
      <c r="S1639" s="107">
        <v>8500</v>
      </c>
      <c r="T1639" s="107">
        <f t="shared" si="678"/>
        <v>0</v>
      </c>
      <c r="U1639" s="107"/>
      <c r="V1639" s="175"/>
      <c r="W1639" s="10"/>
      <c r="X1639" s="10"/>
      <c r="Y1639" t="str">
        <f t="shared" si="677"/>
        <v>3403</v>
      </c>
      <c r="AB1639" s="10"/>
      <c r="AC1639" s="10"/>
      <c r="AD1639" s="10"/>
      <c r="AE1639" s="10"/>
      <c r="AF1639" s="10"/>
      <c r="AG1639" s="10"/>
      <c r="AH1639" s="10"/>
      <c r="AI1639" s="10"/>
    </row>
    <row r="1640" spans="1:35">
      <c r="A1640" s="10"/>
      <c r="B1640" s="10" t="str">
        <f t="shared" si="672"/>
        <v>Below the Line2nd Unit</v>
      </c>
      <c r="C1640" t="s">
        <v>20</v>
      </c>
      <c r="D1640" t="s">
        <v>19</v>
      </c>
      <c r="E1640" t="s">
        <v>1419</v>
      </c>
      <c r="F1640" t="s">
        <v>5396</v>
      </c>
      <c r="G1640" t="s">
        <v>2784</v>
      </c>
      <c r="I1640" s="10"/>
      <c r="J1640" s="107">
        <f>SUMIF(Data!C:C,G1640,Data!Q:Q)</f>
        <v>19940</v>
      </c>
      <c r="K1640" s="107">
        <f>SUMIF(Comprometidos!A:A,'Cost Report'!G1640,Comprometidos!E:E)</f>
        <v>0</v>
      </c>
      <c r="L1640" s="107">
        <f t="shared" si="673"/>
        <v>19940</v>
      </c>
      <c r="M1640" s="107">
        <v>0</v>
      </c>
      <c r="N1640" s="107">
        <f t="shared" si="675"/>
        <v>19940</v>
      </c>
      <c r="O1640" s="107">
        <f>VLOOKUP(G1640,Budget!$E$3:$G$2474,3,0)</f>
        <v>16000</v>
      </c>
      <c r="P1640" s="107">
        <f t="shared" si="676"/>
        <v>-3940</v>
      </c>
      <c r="Q1640" s="107"/>
      <c r="R1640" s="10"/>
      <c r="S1640" s="107">
        <v>19940</v>
      </c>
      <c r="T1640" s="107">
        <f t="shared" si="678"/>
        <v>0</v>
      </c>
      <c r="U1640" s="107"/>
      <c r="V1640" s="175"/>
      <c r="W1640" s="10"/>
      <c r="X1640" s="10"/>
      <c r="Y1640" t="str">
        <f t="shared" si="677"/>
        <v>3403</v>
      </c>
      <c r="AB1640" s="10"/>
      <c r="AC1640" s="10"/>
      <c r="AD1640" s="10"/>
      <c r="AE1640" s="10"/>
      <c r="AF1640" s="10"/>
      <c r="AG1640" s="10"/>
      <c r="AH1640" s="10"/>
      <c r="AI1640" s="10"/>
    </row>
    <row r="1641" spans="1:35">
      <c r="A1641" s="10"/>
      <c r="B1641" s="10" t="str">
        <f>+C1641</f>
        <v>Below the Line</v>
      </c>
      <c r="C1641" s="128" t="s">
        <v>20</v>
      </c>
      <c r="D1641" s="128" t="s">
        <v>2117</v>
      </c>
      <c r="E1641" s="128"/>
      <c r="F1641" s="128"/>
      <c r="G1641" s="128" t="s">
        <v>960</v>
      </c>
      <c r="H1641" s="128"/>
      <c r="I1641" s="10"/>
      <c r="J1641" s="129">
        <f>SUMIF($Y$11:$Y$2484,G1641,J$11:J$2484)</f>
        <v>313050</v>
      </c>
      <c r="K1641" s="129">
        <f>SUMIF($Y$11:$Y$2484,G1641,K$11:K$2484)</f>
        <v>0</v>
      </c>
      <c r="L1641" s="129">
        <f>SUMIF($Y$11:$Y$2484,G1641,L$11:L$2484)</f>
        <v>313050</v>
      </c>
      <c r="M1641" s="129">
        <f>SUMIF($Y$11:$Y$2484,G1641,M$11:M$2484)</f>
        <v>0</v>
      </c>
      <c r="N1641" s="129">
        <f>SUMIF($Y$11:$Y$2484,G1641,N$11:N$2484)</f>
        <v>313050</v>
      </c>
      <c r="O1641" s="129">
        <f>SUMIF($Y$11:$Y$2484,G1641,O$11:O$2484)</f>
        <v>317300</v>
      </c>
      <c r="P1641" s="129">
        <f>SUMIF($Y$11:$Y$2484,G1641,P$11:P$2484)</f>
        <v>4250</v>
      </c>
      <c r="Q1641" s="129"/>
      <c r="R1641" s="10"/>
      <c r="S1641" s="129">
        <v>313050</v>
      </c>
      <c r="T1641" s="129">
        <f t="shared" si="678"/>
        <v>0</v>
      </c>
      <c r="U1641" s="128"/>
      <c r="V1641" s="175"/>
      <c r="W1641" s="10"/>
      <c r="X1641" s="10"/>
      <c r="Z1641" t="str">
        <f>LEFT(G1641,2)</f>
        <v>34</v>
      </c>
      <c r="AA1641" t="str">
        <f>+Z1641&amp;"00"</f>
        <v>3400</v>
      </c>
      <c r="AB1641" s="10"/>
      <c r="AC1641" s="10"/>
      <c r="AD1641" s="10"/>
      <c r="AE1641" s="10"/>
      <c r="AF1641" s="10"/>
      <c r="AG1641" s="10"/>
      <c r="AH1641" s="10"/>
      <c r="AI1641" s="10"/>
    </row>
    <row r="1642" spans="1:35">
      <c r="A1642" s="10"/>
      <c r="B1642" s="10" t="str">
        <f t="shared" ref="B1642:B1650" si="679">+C1642&amp;E1642</f>
        <v>Below the Line</v>
      </c>
      <c r="C1642" t="s">
        <v>20</v>
      </c>
      <c r="D1642" t="s">
        <v>19</v>
      </c>
      <c r="E1642" t="s">
        <v>214</v>
      </c>
      <c r="G1642" t="s">
        <v>961</v>
      </c>
      <c r="I1642" s="10"/>
      <c r="J1642" s="107">
        <f>SUMIF(Data!C:C,G1642,Data!Q:Q)</f>
        <v>0</v>
      </c>
      <c r="K1642" s="107">
        <f>SUMIF(Comprometidos!A:A,'Cost Report'!G1642,Comprometidos!E:E)</f>
        <v>0</v>
      </c>
      <c r="L1642" s="107">
        <f t="shared" ref="L1642:L1650" si="680">+J1642+K1642</f>
        <v>0</v>
      </c>
      <c r="M1642" s="107">
        <f t="shared" ref="M1642:M1650" si="681">+O1642-L1642</f>
        <v>0</v>
      </c>
      <c r="N1642" s="107">
        <f t="shared" ref="N1642:N1650" si="682">+L1642+M1642</f>
        <v>0</v>
      </c>
      <c r="O1642" s="107">
        <f>VLOOKUP(G1642,Budget!$E$3:$G$2474,3,0)</f>
        <v>0</v>
      </c>
      <c r="P1642" s="107">
        <f t="shared" ref="P1642:P1650" si="683">+O1642-N1642</f>
        <v>0</v>
      </c>
      <c r="Q1642" s="107"/>
      <c r="R1642" s="10"/>
      <c r="S1642" s="107">
        <v>0</v>
      </c>
      <c r="T1642" s="107">
        <f t="shared" si="678"/>
        <v>0</v>
      </c>
      <c r="U1642" s="107"/>
      <c r="V1642" s="175"/>
      <c r="W1642" s="10"/>
      <c r="X1642" s="10"/>
      <c r="Y1642" t="str">
        <f t="shared" ref="Y1642:Y1650" si="684">LEFT(G1642,4)</f>
        <v>3407</v>
      </c>
      <c r="AB1642" s="10"/>
      <c r="AC1642" s="10"/>
      <c r="AD1642" s="10"/>
      <c r="AE1642" s="10"/>
      <c r="AF1642" s="10"/>
      <c r="AG1642" s="10"/>
      <c r="AH1642" s="10"/>
      <c r="AI1642" s="10"/>
    </row>
    <row r="1643" spans="1:35">
      <c r="A1643" s="10"/>
      <c r="B1643" s="10" t="str">
        <f t="shared" si="679"/>
        <v>Below the Line</v>
      </c>
      <c r="C1643" t="s">
        <v>20</v>
      </c>
      <c r="D1643" t="s">
        <v>19</v>
      </c>
      <c r="E1643" t="s">
        <v>214</v>
      </c>
      <c r="G1643" t="s">
        <v>962</v>
      </c>
      <c r="I1643" s="10"/>
      <c r="J1643" s="107">
        <f>SUMIF(Data!C:C,G1643,Data!Q:Q)</f>
        <v>0</v>
      </c>
      <c r="K1643" s="107">
        <f>SUMIF(Comprometidos!A:A,'Cost Report'!G1643,Comprometidos!E:E)</f>
        <v>0</v>
      </c>
      <c r="L1643" s="107">
        <f t="shared" si="680"/>
        <v>0</v>
      </c>
      <c r="M1643" s="107">
        <f t="shared" si="681"/>
        <v>0</v>
      </c>
      <c r="N1643" s="107">
        <f t="shared" si="682"/>
        <v>0</v>
      </c>
      <c r="O1643" s="107">
        <f>VLOOKUP(G1643,Budget!$E$3:$G$2474,3,0)</f>
        <v>0</v>
      </c>
      <c r="P1643" s="107">
        <f t="shared" si="683"/>
        <v>0</v>
      </c>
      <c r="Q1643" s="107"/>
      <c r="R1643" s="10"/>
      <c r="S1643" s="107">
        <v>0</v>
      </c>
      <c r="T1643" s="107">
        <f t="shared" si="678"/>
        <v>0</v>
      </c>
      <c r="U1643" s="107"/>
      <c r="V1643" s="175"/>
      <c r="W1643" s="10"/>
      <c r="X1643" s="10"/>
      <c r="Y1643" t="str">
        <f t="shared" si="684"/>
        <v>3407</v>
      </c>
      <c r="AB1643" s="10"/>
      <c r="AC1643" s="10"/>
      <c r="AD1643" s="10"/>
      <c r="AE1643" s="10"/>
      <c r="AF1643" s="10"/>
      <c r="AG1643" s="10"/>
      <c r="AH1643" s="10"/>
      <c r="AI1643" s="10"/>
    </row>
    <row r="1644" spans="1:35">
      <c r="A1644" s="10"/>
      <c r="B1644" s="10" t="str">
        <f t="shared" si="679"/>
        <v>Below the LineSHOOT</v>
      </c>
      <c r="C1644" t="s">
        <v>20</v>
      </c>
      <c r="D1644" t="s">
        <v>19</v>
      </c>
      <c r="E1644" t="s">
        <v>236</v>
      </c>
      <c r="G1644" t="s">
        <v>963</v>
      </c>
      <c r="I1644" s="10"/>
      <c r="J1644" s="107">
        <f>SUMIF(Data!C:C,G1644,Data!Q:Q)</f>
        <v>218350</v>
      </c>
      <c r="K1644" s="107">
        <f>SUMIF(Comprometidos!A:A,'Cost Report'!G1644,Comprometidos!E:E)</f>
        <v>0</v>
      </c>
      <c r="L1644" s="107">
        <f t="shared" si="680"/>
        <v>218350</v>
      </c>
      <c r="M1644" s="107">
        <v>0</v>
      </c>
      <c r="N1644" s="107">
        <f t="shared" si="682"/>
        <v>218350</v>
      </c>
      <c r="O1644" s="107">
        <f>VLOOKUP(G1644,Budget!$E$3:$G$2474,3,0)</f>
        <v>199500</v>
      </c>
      <c r="P1644" s="107">
        <f t="shared" si="683"/>
        <v>-18850</v>
      </c>
      <c r="Q1644" s="107"/>
      <c r="R1644" s="10"/>
      <c r="S1644" s="107">
        <v>218350</v>
      </c>
      <c r="T1644" s="107">
        <f t="shared" si="678"/>
        <v>0</v>
      </c>
      <c r="U1644" s="107"/>
      <c r="V1644" s="175"/>
      <c r="W1644" s="10"/>
      <c r="X1644" s="10"/>
      <c r="Y1644" t="str">
        <f t="shared" si="684"/>
        <v>3407</v>
      </c>
      <c r="AB1644" s="10"/>
      <c r="AC1644" s="10"/>
      <c r="AD1644" s="10"/>
      <c r="AE1644" s="10"/>
      <c r="AF1644" s="10"/>
      <c r="AG1644" s="10"/>
      <c r="AH1644" s="10"/>
      <c r="AI1644" s="10"/>
    </row>
    <row r="1645" spans="1:35">
      <c r="A1645" s="10"/>
      <c r="B1645" s="10" t="str">
        <f t="shared" si="679"/>
        <v>Below the LineSHOOT</v>
      </c>
      <c r="C1645" t="s">
        <v>20</v>
      </c>
      <c r="D1645" t="s">
        <v>19</v>
      </c>
      <c r="E1645" t="s">
        <v>236</v>
      </c>
      <c r="G1645" t="s">
        <v>964</v>
      </c>
      <c r="I1645" s="10"/>
      <c r="J1645" s="107">
        <f>SUMIF(Data!C:C,G1645,Data!Q:Q)</f>
        <v>4200</v>
      </c>
      <c r="K1645" s="107">
        <f>SUMIF(Comprometidos!A:A,'Cost Report'!G1645,Comprometidos!E:E)</f>
        <v>0</v>
      </c>
      <c r="L1645" s="107">
        <f t="shared" si="680"/>
        <v>4200</v>
      </c>
      <c r="M1645" s="107">
        <v>0</v>
      </c>
      <c r="N1645" s="107">
        <f t="shared" si="682"/>
        <v>4200</v>
      </c>
      <c r="O1645" s="107">
        <f>VLOOKUP(G1645,Budget!$E$3:$G$2474,3,0)</f>
        <v>5700</v>
      </c>
      <c r="P1645" s="107">
        <f t="shared" si="683"/>
        <v>1500</v>
      </c>
      <c r="Q1645" s="107"/>
      <c r="R1645" s="10"/>
      <c r="S1645" s="107">
        <v>4200</v>
      </c>
      <c r="T1645" s="107">
        <f t="shared" si="678"/>
        <v>0</v>
      </c>
      <c r="U1645" s="107"/>
      <c r="V1645" s="175"/>
      <c r="W1645" s="10"/>
      <c r="X1645" s="10"/>
      <c r="Y1645" t="str">
        <f t="shared" si="684"/>
        <v>3407</v>
      </c>
      <c r="AB1645" s="10"/>
      <c r="AC1645" s="10"/>
      <c r="AD1645" s="10"/>
      <c r="AE1645" s="10"/>
      <c r="AF1645" s="10"/>
      <c r="AG1645" s="10"/>
      <c r="AH1645" s="10"/>
      <c r="AI1645" s="10"/>
    </row>
    <row r="1646" spans="1:35">
      <c r="A1646" s="10"/>
      <c r="B1646" s="10" t="str">
        <f t="shared" si="679"/>
        <v>Below the LineSHOOT</v>
      </c>
      <c r="C1646" t="s">
        <v>20</v>
      </c>
      <c r="D1646" t="s">
        <v>19</v>
      </c>
      <c r="E1646" t="s">
        <v>236</v>
      </c>
      <c r="G1646" t="s">
        <v>965</v>
      </c>
      <c r="I1646" s="10"/>
      <c r="J1646" s="107">
        <f>SUMIF(Data!C:C,G1646,Data!Q:Q)</f>
        <v>37550</v>
      </c>
      <c r="K1646" s="107">
        <f>SUMIF(Comprometidos!A:A,'Cost Report'!G1646,Comprometidos!E:E)</f>
        <v>0</v>
      </c>
      <c r="L1646" s="107">
        <f t="shared" si="680"/>
        <v>37550</v>
      </c>
      <c r="M1646" s="107">
        <f>+O1646-L1646-12850+10500</f>
        <v>0</v>
      </c>
      <c r="N1646" s="107">
        <f t="shared" si="682"/>
        <v>37550</v>
      </c>
      <c r="O1646" s="107">
        <f>VLOOKUP(G1646,Budget!$E$3:$G$2474,3,0)</f>
        <v>39900</v>
      </c>
      <c r="P1646" s="107">
        <f t="shared" si="683"/>
        <v>2350</v>
      </c>
      <c r="Q1646" s="107"/>
      <c r="R1646" s="10"/>
      <c r="S1646" s="107">
        <v>37550</v>
      </c>
      <c r="T1646" s="107">
        <f t="shared" si="678"/>
        <v>0</v>
      </c>
      <c r="U1646" s="107"/>
      <c r="V1646" s="175"/>
      <c r="W1646" s="10"/>
      <c r="X1646" s="10"/>
      <c r="Y1646" t="str">
        <f t="shared" si="684"/>
        <v>3407</v>
      </c>
      <c r="AB1646" s="10"/>
      <c r="AC1646" s="10"/>
      <c r="AD1646" s="10"/>
      <c r="AE1646" s="10"/>
      <c r="AF1646" s="10"/>
      <c r="AG1646" s="10"/>
      <c r="AH1646" s="10"/>
      <c r="AI1646" s="10"/>
    </row>
    <row r="1647" spans="1:35">
      <c r="A1647" s="10"/>
      <c r="B1647" s="10" t="str">
        <f t="shared" si="679"/>
        <v>Below the Line</v>
      </c>
      <c r="C1647" t="s">
        <v>20</v>
      </c>
      <c r="D1647" t="s">
        <v>19</v>
      </c>
      <c r="E1647" t="s">
        <v>214</v>
      </c>
      <c r="G1647" t="s">
        <v>2785</v>
      </c>
      <c r="I1647" s="10"/>
      <c r="J1647" s="107">
        <f>SUMIF(Data!C:C,G1647,Data!Q:Q)</f>
        <v>0</v>
      </c>
      <c r="K1647" s="107">
        <f>SUMIF(Comprometidos!A:A,'Cost Report'!G1647,Comprometidos!E:E)</f>
        <v>0</v>
      </c>
      <c r="L1647" s="107">
        <f t="shared" si="680"/>
        <v>0</v>
      </c>
      <c r="M1647" s="107">
        <f t="shared" si="681"/>
        <v>0</v>
      </c>
      <c r="N1647" s="107">
        <f t="shared" si="682"/>
        <v>0</v>
      </c>
      <c r="O1647" s="107">
        <f>VLOOKUP(G1647,Budget!$E$3:$G$2474,3,0)</f>
        <v>0</v>
      </c>
      <c r="P1647" s="107">
        <f t="shared" si="683"/>
        <v>0</v>
      </c>
      <c r="Q1647" s="107"/>
      <c r="R1647" s="10"/>
      <c r="S1647" s="107">
        <v>0</v>
      </c>
      <c r="T1647" s="107">
        <f t="shared" si="678"/>
        <v>0</v>
      </c>
      <c r="U1647" s="107"/>
      <c r="V1647" s="175"/>
      <c r="W1647" s="10"/>
      <c r="X1647" s="10"/>
      <c r="Y1647" t="str">
        <f t="shared" si="684"/>
        <v>3407</v>
      </c>
      <c r="AB1647" s="10"/>
      <c r="AC1647" s="10"/>
      <c r="AD1647" s="10"/>
      <c r="AE1647" s="10"/>
      <c r="AF1647" s="10"/>
      <c r="AG1647" s="10"/>
      <c r="AH1647" s="10"/>
      <c r="AI1647" s="10"/>
    </row>
    <row r="1648" spans="1:35">
      <c r="A1648" s="10"/>
      <c r="B1648" s="10" t="str">
        <f t="shared" si="679"/>
        <v>Below the Line2nd Unit</v>
      </c>
      <c r="C1648" t="s">
        <v>20</v>
      </c>
      <c r="D1648" t="s">
        <v>19</v>
      </c>
      <c r="E1648" t="s">
        <v>1419</v>
      </c>
      <c r="G1648" t="s">
        <v>2786</v>
      </c>
      <c r="I1648" s="10"/>
      <c r="J1648" s="107">
        <f>SUMIF(Data!C:C,G1648,Data!Q:Q)</f>
        <v>38700</v>
      </c>
      <c r="K1648" s="107">
        <f>SUMIF(Comprometidos!A:A,'Cost Report'!G1648,Comprometidos!E:E)</f>
        <v>0</v>
      </c>
      <c r="L1648" s="107">
        <f t="shared" si="680"/>
        <v>38700</v>
      </c>
      <c r="M1648" s="107">
        <v>0</v>
      </c>
      <c r="N1648" s="107">
        <f t="shared" si="682"/>
        <v>38700</v>
      </c>
      <c r="O1648" s="107">
        <f>VLOOKUP(G1648,Budget!$E$3:$G$2474,3,0)</f>
        <v>57000</v>
      </c>
      <c r="P1648" s="107">
        <f t="shared" si="683"/>
        <v>18300</v>
      </c>
      <c r="Q1648" s="107"/>
      <c r="R1648" s="10"/>
      <c r="S1648" s="107">
        <v>38700</v>
      </c>
      <c r="T1648" s="107">
        <f t="shared" si="678"/>
        <v>0</v>
      </c>
      <c r="U1648" s="107"/>
      <c r="V1648" s="175"/>
      <c r="W1648" s="10"/>
      <c r="X1648" s="10"/>
      <c r="Y1648" t="str">
        <f t="shared" si="684"/>
        <v>3407</v>
      </c>
      <c r="AB1648" s="10"/>
      <c r="AC1648" s="10"/>
      <c r="AD1648" s="10"/>
      <c r="AE1648" s="10"/>
      <c r="AF1648" s="10"/>
      <c r="AG1648" s="10"/>
      <c r="AH1648" s="10"/>
      <c r="AI1648" s="10"/>
    </row>
    <row r="1649" spans="1:35">
      <c r="A1649" s="10"/>
      <c r="B1649" s="10" t="str">
        <f t="shared" si="679"/>
        <v>Below the Line2nd Unit</v>
      </c>
      <c r="C1649" t="s">
        <v>20</v>
      </c>
      <c r="D1649" t="s">
        <v>19</v>
      </c>
      <c r="E1649" t="s">
        <v>1419</v>
      </c>
      <c r="G1649" t="s">
        <v>2787</v>
      </c>
      <c r="I1649" s="10"/>
      <c r="J1649" s="107">
        <f>SUMIF(Data!C:C,G1649,Data!Q:Q)</f>
        <v>2850</v>
      </c>
      <c r="K1649" s="107">
        <f>SUMIF(Comprometidos!A:A,'Cost Report'!G1649,Comprometidos!E:E)</f>
        <v>0</v>
      </c>
      <c r="L1649" s="107">
        <f t="shared" si="680"/>
        <v>2850</v>
      </c>
      <c r="M1649" s="107">
        <f>+O1649-L1649-950</f>
        <v>0</v>
      </c>
      <c r="N1649" s="107">
        <f t="shared" si="682"/>
        <v>2850</v>
      </c>
      <c r="O1649" s="107">
        <f>VLOOKUP(G1649,Budget!$E$3:$G$2474,3,0)</f>
        <v>3800</v>
      </c>
      <c r="P1649" s="107">
        <f t="shared" si="683"/>
        <v>950</v>
      </c>
      <c r="Q1649" s="107"/>
      <c r="R1649" s="10"/>
      <c r="S1649" s="107">
        <v>2850</v>
      </c>
      <c r="T1649" s="107">
        <f t="shared" si="678"/>
        <v>0</v>
      </c>
      <c r="U1649" s="107"/>
      <c r="V1649" s="175"/>
      <c r="W1649" s="10"/>
      <c r="X1649" s="10"/>
      <c r="Y1649" t="str">
        <f t="shared" si="684"/>
        <v>3407</v>
      </c>
      <c r="AB1649" s="10"/>
      <c r="AC1649" s="10"/>
      <c r="AD1649" s="10"/>
      <c r="AE1649" s="10"/>
      <c r="AF1649" s="10"/>
      <c r="AG1649" s="10"/>
      <c r="AH1649" s="10"/>
      <c r="AI1649" s="10"/>
    </row>
    <row r="1650" spans="1:35">
      <c r="A1650" s="10"/>
      <c r="B1650" s="10" t="str">
        <f t="shared" si="679"/>
        <v>Below the Line2nd Unit</v>
      </c>
      <c r="C1650" t="s">
        <v>20</v>
      </c>
      <c r="D1650" t="s">
        <v>19</v>
      </c>
      <c r="E1650" t="s">
        <v>1419</v>
      </c>
      <c r="G1650" t="s">
        <v>2788</v>
      </c>
      <c r="I1650" s="10"/>
      <c r="J1650" s="107">
        <f>SUMIF(Data!C:C,G1650,Data!Q:Q)</f>
        <v>11400</v>
      </c>
      <c r="K1650" s="107">
        <f>SUMIF(Comprometidos!A:A,'Cost Report'!G1650,Comprometidos!E:E)</f>
        <v>0</v>
      </c>
      <c r="L1650" s="107">
        <f t="shared" si="680"/>
        <v>11400</v>
      </c>
      <c r="M1650" s="107">
        <f t="shared" si="681"/>
        <v>0</v>
      </c>
      <c r="N1650" s="107">
        <f t="shared" si="682"/>
        <v>11400</v>
      </c>
      <c r="O1650" s="107">
        <f>VLOOKUP(G1650,Budget!$E$3:$G$2474,3,0)</f>
        <v>11400</v>
      </c>
      <c r="P1650" s="107">
        <f t="shared" si="683"/>
        <v>0</v>
      </c>
      <c r="Q1650" s="107"/>
      <c r="R1650" s="10"/>
      <c r="S1650" s="107">
        <v>11400</v>
      </c>
      <c r="T1650" s="107">
        <f t="shared" si="678"/>
        <v>0</v>
      </c>
      <c r="U1650" s="107"/>
      <c r="V1650" s="175"/>
      <c r="W1650" s="10"/>
      <c r="X1650" s="10"/>
      <c r="Y1650" t="str">
        <f t="shared" si="684"/>
        <v>3407</v>
      </c>
      <c r="AB1650" s="10"/>
      <c r="AC1650" s="10"/>
      <c r="AD1650" s="10"/>
      <c r="AE1650" s="10"/>
      <c r="AF1650" s="10"/>
      <c r="AG1650" s="10"/>
      <c r="AH1650" s="10"/>
      <c r="AI1650" s="10"/>
    </row>
    <row r="1651" spans="1:35">
      <c r="A1651" s="10"/>
      <c r="B1651" s="10" t="str">
        <f>+C1651</f>
        <v>Below the Line</v>
      </c>
      <c r="C1651" s="128" t="s">
        <v>20</v>
      </c>
      <c r="D1651" s="128" t="s">
        <v>2117</v>
      </c>
      <c r="E1651" s="128"/>
      <c r="F1651" s="128"/>
      <c r="G1651" s="128" t="s">
        <v>966</v>
      </c>
      <c r="H1651" s="128"/>
      <c r="I1651" s="10"/>
      <c r="J1651" s="129">
        <f>SUMIF($Y$11:$Y$2484,G1651,J$11:J$2484)</f>
        <v>65000</v>
      </c>
      <c r="K1651" s="129">
        <f>SUMIF($Y$11:$Y$2484,G1651,K$11:K$2484)</f>
        <v>0</v>
      </c>
      <c r="L1651" s="129">
        <f>SUMIF($Y$11:$Y$2484,G1651,L$11:L$2484)</f>
        <v>65000</v>
      </c>
      <c r="M1651" s="129">
        <f>SUMIF($Y$11:$Y$2484,G1651,M$11:M$2484)</f>
        <v>0</v>
      </c>
      <c r="N1651" s="129">
        <f>SUMIF($Y$11:$Y$2484,G1651,N$11:N$2484)</f>
        <v>65000</v>
      </c>
      <c r="O1651" s="129">
        <f>SUMIF($Y$11:$Y$2484,G1651,O$11:O$2484)</f>
        <v>100000</v>
      </c>
      <c r="P1651" s="129">
        <f>SUMIF($Y$11:$Y$2484,G1651,P$11:P$2484)</f>
        <v>35000</v>
      </c>
      <c r="Q1651" s="129"/>
      <c r="R1651" s="10"/>
      <c r="S1651" s="129">
        <v>65000</v>
      </c>
      <c r="T1651" s="129">
        <f t="shared" si="678"/>
        <v>0</v>
      </c>
      <c r="U1651" s="128"/>
      <c r="V1651" s="175"/>
      <c r="W1651" s="10"/>
      <c r="X1651" s="10"/>
      <c r="Z1651" t="str">
        <f>LEFT(G1651,2)</f>
        <v>34</v>
      </c>
      <c r="AA1651" t="str">
        <f>+Z1651&amp;"00"</f>
        <v>3400</v>
      </c>
      <c r="AB1651" s="10"/>
      <c r="AC1651" s="10"/>
      <c r="AD1651" s="10"/>
      <c r="AE1651" s="10"/>
      <c r="AF1651" s="10"/>
      <c r="AG1651" s="10"/>
      <c r="AH1651" s="10"/>
      <c r="AI1651" s="10"/>
    </row>
    <row r="1652" spans="1:35">
      <c r="A1652" s="10"/>
      <c r="B1652" s="10" t="str">
        <f t="shared" ref="B1652:B1653" si="685">+C1652&amp;E1652</f>
        <v>Below the Line</v>
      </c>
      <c r="C1652" t="s">
        <v>20</v>
      </c>
      <c r="D1652" t="s">
        <v>19</v>
      </c>
      <c r="E1652" t="s">
        <v>214</v>
      </c>
      <c r="G1652" t="s">
        <v>967</v>
      </c>
      <c r="I1652" s="10"/>
      <c r="J1652" s="107">
        <f>SUMIF(Data!C:C,G1652,Data!Q:Q)</f>
        <v>0</v>
      </c>
      <c r="K1652" s="107">
        <f>SUMIF(Comprometidos!A:A,'Cost Report'!G1652,Comprometidos!E:E)</f>
        <v>0</v>
      </c>
      <c r="L1652" s="107">
        <f t="shared" ref="L1652:L1709" si="686">+J1652+K1652</f>
        <v>0</v>
      </c>
      <c r="M1652" s="107">
        <f t="shared" ref="M1652:M1709" si="687">+O1652-L1652</f>
        <v>0</v>
      </c>
      <c r="N1652" s="107">
        <f t="shared" ref="N1652:N1709" si="688">+L1652+M1652</f>
        <v>0</v>
      </c>
      <c r="O1652" s="107">
        <f>VLOOKUP(G1652,Budget!$E$3:$G$2474,3,0)</f>
        <v>0</v>
      </c>
      <c r="P1652" s="107">
        <f t="shared" ref="P1652:P1709" si="689">+O1652-N1652</f>
        <v>0</v>
      </c>
      <c r="Q1652" s="107"/>
      <c r="R1652" s="10"/>
      <c r="S1652" s="107">
        <v>0</v>
      </c>
      <c r="T1652" s="107">
        <f t="shared" si="678"/>
        <v>0</v>
      </c>
      <c r="U1652" s="107"/>
      <c r="V1652" s="175"/>
      <c r="W1652" s="10"/>
      <c r="X1652" s="10"/>
      <c r="Y1652" t="str">
        <f t="shared" ref="Y1652:Y1653" si="690">LEFT(G1652,4)</f>
        <v>3408</v>
      </c>
      <c r="AB1652" s="10"/>
      <c r="AC1652" s="10"/>
      <c r="AD1652" s="10"/>
      <c r="AE1652" s="10"/>
      <c r="AF1652" s="10"/>
      <c r="AG1652" s="10"/>
      <c r="AH1652" s="10"/>
      <c r="AI1652" s="10"/>
    </row>
    <row r="1653" spans="1:35">
      <c r="A1653" s="10"/>
      <c r="B1653" s="10" t="str">
        <f t="shared" si="685"/>
        <v>Below the LineSHOOT</v>
      </c>
      <c r="C1653" t="s">
        <v>20</v>
      </c>
      <c r="D1653" t="s">
        <v>19</v>
      </c>
      <c r="E1653" t="s">
        <v>236</v>
      </c>
      <c r="G1653" t="s">
        <v>2789</v>
      </c>
      <c r="I1653" s="10"/>
      <c r="J1653" s="107">
        <f>SUMIF(Data!C:C,G1653,Data!Q:Q)</f>
        <v>65000</v>
      </c>
      <c r="K1653" s="107">
        <f>SUMIF(Comprometidos!A:A,'Cost Report'!G1653,Comprometidos!E:E)</f>
        <v>0</v>
      </c>
      <c r="L1653" s="107">
        <f t="shared" si="686"/>
        <v>65000</v>
      </c>
      <c r="M1653" s="107">
        <v>0</v>
      </c>
      <c r="N1653" s="107">
        <f t="shared" si="688"/>
        <v>65000</v>
      </c>
      <c r="O1653" s="107">
        <f>VLOOKUP(G1653,Budget!$E$3:$G$2474,3,0)</f>
        <v>100000</v>
      </c>
      <c r="P1653" s="107">
        <f t="shared" si="689"/>
        <v>35000</v>
      </c>
      <c r="Q1653" s="107"/>
      <c r="R1653" s="10"/>
      <c r="S1653" s="107">
        <v>65000</v>
      </c>
      <c r="T1653" s="107">
        <f t="shared" si="678"/>
        <v>0</v>
      </c>
      <c r="U1653" s="107"/>
      <c r="V1653" s="175"/>
      <c r="W1653" s="10"/>
      <c r="X1653" s="10"/>
      <c r="Y1653" t="str">
        <f t="shared" si="690"/>
        <v>3408</v>
      </c>
      <c r="AB1653" s="10"/>
      <c r="AC1653" s="10"/>
      <c r="AD1653" s="10"/>
      <c r="AE1653" s="10"/>
      <c r="AF1653" s="10"/>
      <c r="AG1653" s="10"/>
      <c r="AH1653" s="10"/>
      <c r="AI1653" s="10"/>
    </row>
    <row r="1654" spans="1:35">
      <c r="A1654" s="10"/>
      <c r="B1654" s="10" t="str">
        <f>+C1654</f>
        <v>Below the Line</v>
      </c>
      <c r="C1654" s="128" t="s">
        <v>20</v>
      </c>
      <c r="D1654" s="128" t="s">
        <v>2117</v>
      </c>
      <c r="E1654" s="128"/>
      <c r="F1654" s="128"/>
      <c r="G1654" s="128" t="s">
        <v>968</v>
      </c>
      <c r="H1654" s="128"/>
      <c r="I1654" s="10"/>
      <c r="J1654" s="129">
        <f>SUMIF($Y$11:$Y$2484,G1654,J$11:J$2484)</f>
        <v>4892691.5119999992</v>
      </c>
      <c r="K1654" s="129">
        <f>SUMIF($Y$11:$Y$2484,G1654,K$11:K$2484)</f>
        <v>0</v>
      </c>
      <c r="L1654" s="129">
        <f>SUMIF($Y$11:$Y$2484,G1654,L$11:L$2484)</f>
        <v>4892691.5119999992</v>
      </c>
      <c r="M1654" s="129">
        <f>SUMIF($Y$11:$Y$2484,G1654,M$11:M$2484)</f>
        <v>0</v>
      </c>
      <c r="N1654" s="129">
        <f>SUMIF($Y$11:$Y$2484,G1654,N$11:N$2484)</f>
        <v>4892691.5119999992</v>
      </c>
      <c r="O1654" s="129">
        <f>SUMIF($Y$11:$Y$2484,G1654,O$11:O$2484)</f>
        <v>4701050</v>
      </c>
      <c r="P1654" s="129">
        <f>SUMIF($Y$11:$Y$2484,G1654,P$11:P$2484)</f>
        <v>-191641.51200000031</v>
      </c>
      <c r="Q1654" s="129"/>
      <c r="R1654" s="10"/>
      <c r="S1654" s="129">
        <v>4888857.1999999993</v>
      </c>
      <c r="T1654" s="129">
        <f t="shared" si="678"/>
        <v>-3834.311999999918</v>
      </c>
      <c r="U1654" s="128"/>
      <c r="V1654" s="175"/>
      <c r="W1654" s="10"/>
      <c r="X1654" s="10"/>
      <c r="Z1654" t="str">
        <f>LEFT(G1654,2)</f>
        <v>34</v>
      </c>
      <c r="AA1654" t="str">
        <f>+Z1654&amp;"00"</f>
        <v>3400</v>
      </c>
      <c r="AB1654" s="10"/>
      <c r="AC1654" s="10"/>
      <c r="AD1654" s="10"/>
      <c r="AE1654" s="10"/>
      <c r="AF1654" s="10"/>
      <c r="AG1654" s="10"/>
      <c r="AH1654" s="10"/>
      <c r="AI1654" s="10"/>
    </row>
    <row r="1655" spans="1:35">
      <c r="A1655" s="10"/>
      <c r="B1655" s="10" t="str">
        <f t="shared" ref="B1655:B1671" si="691">+C1655&amp;E1655</f>
        <v>Below the Line</v>
      </c>
      <c r="C1655" t="s">
        <v>20</v>
      </c>
      <c r="D1655" t="s">
        <v>19</v>
      </c>
      <c r="E1655" t="s">
        <v>214</v>
      </c>
      <c r="G1655" t="s">
        <v>969</v>
      </c>
      <c r="I1655" s="10"/>
      <c r="J1655" s="107">
        <f>SUMIF(Data!C:C,G1655,Data!Q:Q)</f>
        <v>0</v>
      </c>
      <c r="K1655" s="107">
        <f>SUMIF(Comprometidos!A:A,'Cost Report'!G1655,Comprometidos!E:E)</f>
        <v>0</v>
      </c>
      <c r="L1655" s="107">
        <f t="shared" si="686"/>
        <v>0</v>
      </c>
      <c r="M1655" s="107">
        <f t="shared" si="687"/>
        <v>0</v>
      </c>
      <c r="N1655" s="107">
        <f t="shared" si="688"/>
        <v>0</v>
      </c>
      <c r="O1655" s="107">
        <f>VLOOKUP(G1655,Budget!$E$3:$G$2474,3,0)</f>
        <v>0</v>
      </c>
      <c r="P1655" s="107">
        <f t="shared" si="689"/>
        <v>0</v>
      </c>
      <c r="Q1655" s="107"/>
      <c r="R1655" s="10"/>
      <c r="S1655" s="107">
        <v>0</v>
      </c>
      <c r="T1655" s="107">
        <f t="shared" si="678"/>
        <v>0</v>
      </c>
      <c r="U1655" s="107"/>
      <c r="V1655" s="175"/>
      <c r="W1655" s="10"/>
      <c r="X1655" s="10"/>
      <c r="Y1655" t="str">
        <f t="shared" ref="Y1655:Y1671" si="692">LEFT(G1655,4)</f>
        <v>3410</v>
      </c>
      <c r="AB1655" s="10"/>
      <c r="AC1655" s="10"/>
      <c r="AD1655" s="10"/>
      <c r="AE1655" s="10"/>
      <c r="AF1655" s="10"/>
      <c r="AG1655" s="10"/>
      <c r="AH1655" s="10"/>
      <c r="AI1655" s="10"/>
    </row>
    <row r="1656" spans="1:35">
      <c r="A1656" s="10"/>
      <c r="B1656" s="10" t="str">
        <f t="shared" si="691"/>
        <v>Below the LineSHOOT</v>
      </c>
      <c r="C1656" t="s">
        <v>20</v>
      </c>
      <c r="D1656" t="s">
        <v>19</v>
      </c>
      <c r="E1656" t="s">
        <v>236</v>
      </c>
      <c r="G1656" t="s">
        <v>970</v>
      </c>
      <c r="I1656" s="10"/>
      <c r="J1656" s="107">
        <f>SUMIF(Data!C:C,G1656,Data!Q:Q)</f>
        <v>740941.71000000008</v>
      </c>
      <c r="K1656" s="107">
        <f>SUMIF(Comprometidos!A:A,'Cost Report'!G1656,Comprometidos!E:E)</f>
        <v>0</v>
      </c>
      <c r="L1656" s="107">
        <f t="shared" si="686"/>
        <v>740941.71000000008</v>
      </c>
      <c r="M1656" s="107">
        <v>0</v>
      </c>
      <c r="N1656" s="107">
        <f t="shared" si="688"/>
        <v>740941.71000000008</v>
      </c>
      <c r="O1656" s="107">
        <f>VLOOKUP(G1656,Budget!$E$3:$G$2474,3,0)</f>
        <v>682500</v>
      </c>
      <c r="P1656" s="107">
        <f t="shared" si="689"/>
        <v>-58441.710000000079</v>
      </c>
      <c r="Q1656" s="107"/>
      <c r="R1656" s="10"/>
      <c r="S1656" s="107">
        <v>740941.71000000008</v>
      </c>
      <c r="T1656" s="107">
        <f t="shared" si="678"/>
        <v>0</v>
      </c>
      <c r="U1656" s="107"/>
      <c r="V1656" s="175"/>
      <c r="W1656" s="10"/>
      <c r="X1656" s="10"/>
      <c r="Y1656" t="str">
        <f t="shared" si="692"/>
        <v>3410</v>
      </c>
      <c r="AB1656" s="10"/>
      <c r="AC1656" s="10"/>
      <c r="AD1656" s="10"/>
      <c r="AE1656" s="10"/>
      <c r="AF1656" s="10"/>
      <c r="AG1656" s="10"/>
      <c r="AH1656" s="10"/>
      <c r="AI1656" s="10"/>
    </row>
    <row r="1657" spans="1:35">
      <c r="A1657" s="10"/>
      <c r="B1657" s="10" t="str">
        <f t="shared" si="691"/>
        <v>Below the LineSHOOT</v>
      </c>
      <c r="C1657" t="s">
        <v>20</v>
      </c>
      <c r="D1657" t="s">
        <v>19</v>
      </c>
      <c r="E1657" t="s">
        <v>236</v>
      </c>
      <c r="G1657" t="s">
        <v>971</v>
      </c>
      <c r="I1657" s="10"/>
      <c r="J1657" s="107">
        <f>SUMIF(Data!C:C,G1657,Data!Q:Q)</f>
        <v>286661.22000000003</v>
      </c>
      <c r="K1657" s="107">
        <f>SUMIF(Comprometidos!A:A,'Cost Report'!G1657,Comprometidos!E:E)</f>
        <v>0</v>
      </c>
      <c r="L1657" s="107">
        <f t="shared" si="686"/>
        <v>286661.22000000003</v>
      </c>
      <c r="M1657" s="107">
        <v>0</v>
      </c>
      <c r="N1657" s="107">
        <f t="shared" si="688"/>
        <v>286661.22000000003</v>
      </c>
      <c r="O1657" s="107">
        <f>VLOOKUP(G1657,Budget!$E$3:$G$2474,3,0)</f>
        <v>327600</v>
      </c>
      <c r="P1657" s="107">
        <f t="shared" si="689"/>
        <v>40938.77999999997</v>
      </c>
      <c r="Q1657" s="107"/>
      <c r="R1657" s="10"/>
      <c r="S1657" s="107">
        <v>286661.22000000003</v>
      </c>
      <c r="T1657" s="107">
        <f t="shared" si="678"/>
        <v>0</v>
      </c>
      <c r="U1657" s="107"/>
      <c r="V1657" s="175"/>
      <c r="W1657" s="10"/>
      <c r="X1657" s="10"/>
      <c r="Y1657" t="str">
        <f t="shared" si="692"/>
        <v>3410</v>
      </c>
      <c r="AB1657" s="10"/>
      <c r="AC1657" s="10"/>
      <c r="AD1657" s="10"/>
      <c r="AE1657" s="10"/>
      <c r="AF1657" s="10"/>
      <c r="AG1657" s="10"/>
      <c r="AH1657" s="10"/>
      <c r="AI1657" s="10"/>
    </row>
    <row r="1658" spans="1:35">
      <c r="A1658" s="10"/>
      <c r="B1658" s="10" t="str">
        <f t="shared" si="691"/>
        <v>Below the LineSHOOT</v>
      </c>
      <c r="C1658" t="s">
        <v>20</v>
      </c>
      <c r="D1658" t="s">
        <v>19</v>
      </c>
      <c r="E1658" t="s">
        <v>236</v>
      </c>
      <c r="G1658" t="s">
        <v>972</v>
      </c>
      <c r="I1658" s="10"/>
      <c r="J1658" s="107">
        <f>SUMIF(Data!C:C,G1658,Data!Q:Q)</f>
        <v>1051555.9100000001</v>
      </c>
      <c r="K1658" s="107">
        <f>SUMIF(Comprometidos!A:A,'Cost Report'!G1658,Comprometidos!E:E)</f>
        <v>0</v>
      </c>
      <c r="L1658" s="107">
        <f t="shared" si="686"/>
        <v>1051555.9100000001</v>
      </c>
      <c r="M1658" s="107">
        <v>0</v>
      </c>
      <c r="N1658" s="107">
        <f t="shared" si="688"/>
        <v>1051555.9100000001</v>
      </c>
      <c r="O1658" s="107">
        <f>VLOOKUP(G1658,Budget!$E$3:$G$2474,3,0)</f>
        <v>1037400</v>
      </c>
      <c r="P1658" s="107">
        <f t="shared" si="689"/>
        <v>-14155.910000000149</v>
      </c>
      <c r="Q1658" s="107"/>
      <c r="R1658" s="10"/>
      <c r="S1658" s="107">
        <v>1051555.9100000001</v>
      </c>
      <c r="T1658" s="107">
        <f t="shared" si="678"/>
        <v>0</v>
      </c>
      <c r="U1658" s="107"/>
      <c r="V1658" s="175"/>
      <c r="W1658" s="10"/>
      <c r="X1658" s="10"/>
      <c r="Y1658" t="str">
        <f t="shared" si="692"/>
        <v>3410</v>
      </c>
      <c r="AB1658" s="10"/>
      <c r="AC1658" s="10"/>
      <c r="AD1658" s="10"/>
      <c r="AE1658" s="10"/>
      <c r="AF1658" s="10"/>
      <c r="AG1658" s="10"/>
      <c r="AH1658" s="10"/>
      <c r="AI1658" s="10"/>
    </row>
    <row r="1659" spans="1:35">
      <c r="A1659" s="10"/>
      <c r="B1659" s="10" t="str">
        <f t="shared" si="691"/>
        <v>Below the LineSHOOT</v>
      </c>
      <c r="C1659" t="s">
        <v>20</v>
      </c>
      <c r="D1659" t="s">
        <v>19</v>
      </c>
      <c r="E1659" t="s">
        <v>236</v>
      </c>
      <c r="G1659" t="s">
        <v>973</v>
      </c>
      <c r="I1659" s="10"/>
      <c r="J1659" s="107">
        <f>SUMIF(Data!C:C,G1659,Data!Q:Q)</f>
        <v>504278.15</v>
      </c>
      <c r="K1659" s="107">
        <f>SUMIF(Comprometidos!A:A,'Cost Report'!G1659,Comprometidos!E:E)</f>
        <v>0</v>
      </c>
      <c r="L1659" s="107">
        <f t="shared" si="686"/>
        <v>504278.15</v>
      </c>
      <c r="M1659" s="107">
        <v>0</v>
      </c>
      <c r="N1659" s="107">
        <f t="shared" si="688"/>
        <v>504278.15</v>
      </c>
      <c r="O1659" s="107">
        <f>VLOOKUP(G1659,Budget!$E$3:$G$2474,3,0)</f>
        <v>491400</v>
      </c>
      <c r="P1659" s="107">
        <f t="shared" si="689"/>
        <v>-12878.150000000023</v>
      </c>
      <c r="Q1659" s="107"/>
      <c r="R1659" s="10"/>
      <c r="S1659" s="107">
        <v>504278.15</v>
      </c>
      <c r="T1659" s="107">
        <f t="shared" si="678"/>
        <v>0</v>
      </c>
      <c r="U1659" s="107"/>
      <c r="V1659" s="175"/>
      <c r="W1659" s="10"/>
      <c r="X1659" s="10"/>
      <c r="Y1659" t="str">
        <f t="shared" si="692"/>
        <v>3410</v>
      </c>
      <c r="AB1659" s="10"/>
      <c r="AC1659" s="10"/>
      <c r="AD1659" s="10"/>
      <c r="AE1659" s="10"/>
      <c r="AF1659" s="10"/>
      <c r="AG1659" s="10"/>
      <c r="AH1659" s="10"/>
      <c r="AI1659" s="10"/>
    </row>
    <row r="1660" spans="1:35">
      <c r="A1660" s="10"/>
      <c r="B1660" s="10" t="str">
        <f t="shared" si="691"/>
        <v>Below the LineSHOOT</v>
      </c>
      <c r="C1660" t="s">
        <v>20</v>
      </c>
      <c r="D1660" t="s">
        <v>19</v>
      </c>
      <c r="E1660" t="s">
        <v>236</v>
      </c>
      <c r="G1660" t="s">
        <v>974</v>
      </c>
      <c r="I1660" s="10"/>
      <c r="J1660" s="107">
        <f>SUMIF(Data!C:C,G1660,Data!Q:Q)</f>
        <v>504278.15</v>
      </c>
      <c r="K1660" s="107">
        <f>SUMIF(Comprometidos!A:A,'Cost Report'!G1660,Comprometidos!E:E)</f>
        <v>0</v>
      </c>
      <c r="L1660" s="107">
        <f t="shared" si="686"/>
        <v>504278.15</v>
      </c>
      <c r="M1660" s="107">
        <v>0</v>
      </c>
      <c r="N1660" s="107">
        <f t="shared" si="688"/>
        <v>504278.15</v>
      </c>
      <c r="O1660" s="107">
        <f>VLOOKUP(G1660,Budget!$E$3:$G$2474,3,0)</f>
        <v>491400</v>
      </c>
      <c r="P1660" s="107">
        <f t="shared" si="689"/>
        <v>-12878.150000000023</v>
      </c>
      <c r="Q1660" s="107"/>
      <c r="R1660" s="10"/>
      <c r="S1660" s="107">
        <v>504278.15</v>
      </c>
      <c r="T1660" s="107">
        <f t="shared" si="678"/>
        <v>0</v>
      </c>
      <c r="U1660" s="107"/>
      <c r="V1660" s="175"/>
      <c r="W1660" s="10"/>
      <c r="X1660" s="10"/>
      <c r="Y1660" t="str">
        <f t="shared" si="692"/>
        <v>3410</v>
      </c>
      <c r="AB1660" s="10"/>
      <c r="AC1660" s="10"/>
      <c r="AD1660" s="10"/>
      <c r="AE1660" s="10"/>
      <c r="AF1660" s="10"/>
      <c r="AG1660" s="10"/>
      <c r="AH1660" s="10"/>
      <c r="AI1660" s="10"/>
    </row>
    <row r="1661" spans="1:35">
      <c r="A1661" s="10"/>
      <c r="B1661" s="10" t="str">
        <f t="shared" si="691"/>
        <v>Below the LineSHOOT</v>
      </c>
      <c r="C1661" t="s">
        <v>20</v>
      </c>
      <c r="D1661" t="s">
        <v>19</v>
      </c>
      <c r="E1661" t="s">
        <v>236</v>
      </c>
      <c r="G1661" t="s">
        <v>975</v>
      </c>
      <c r="I1661" s="10"/>
      <c r="J1661" s="107">
        <f>SUMIF(Data!C:C,G1661,Data!Q:Q)</f>
        <v>167090.26999999999</v>
      </c>
      <c r="K1661" s="107">
        <f>SUMIF(Comprometidos!A:A,'Cost Report'!G1661,Comprometidos!E:E)</f>
        <v>0</v>
      </c>
      <c r="L1661" s="107">
        <f t="shared" si="686"/>
        <v>167090.26999999999</v>
      </c>
      <c r="M1661" s="107">
        <v>0</v>
      </c>
      <c r="N1661" s="107">
        <f t="shared" si="688"/>
        <v>167090.26999999999</v>
      </c>
      <c r="O1661" s="107">
        <f>VLOOKUP(G1661,Budget!$E$3:$G$2474,3,0)</f>
        <v>123500</v>
      </c>
      <c r="P1661" s="107">
        <f t="shared" si="689"/>
        <v>-43590.26999999999</v>
      </c>
      <c r="Q1661" s="107"/>
      <c r="R1661" s="10"/>
      <c r="S1661" s="107">
        <v>167090.26999999999</v>
      </c>
      <c r="T1661" s="107">
        <f t="shared" si="678"/>
        <v>0</v>
      </c>
      <c r="U1661" s="107"/>
      <c r="V1661" s="175"/>
      <c r="W1661" s="10"/>
      <c r="X1661" s="10"/>
      <c r="Y1661" t="str">
        <f t="shared" si="692"/>
        <v>3410</v>
      </c>
      <c r="AB1661" s="10"/>
      <c r="AC1661" s="10"/>
      <c r="AD1661" s="10"/>
      <c r="AE1661" s="10"/>
      <c r="AF1661" s="10"/>
      <c r="AG1661" s="10"/>
      <c r="AH1661" s="10"/>
      <c r="AI1661" s="10"/>
    </row>
    <row r="1662" spans="1:35">
      <c r="A1662" s="10"/>
      <c r="B1662" s="10" t="str">
        <f t="shared" si="691"/>
        <v>Below the Line</v>
      </c>
      <c r="C1662" t="s">
        <v>20</v>
      </c>
      <c r="D1662" t="s">
        <v>19</v>
      </c>
      <c r="E1662" t="s">
        <v>214</v>
      </c>
      <c r="G1662" t="s">
        <v>976</v>
      </c>
      <c r="I1662" s="10"/>
      <c r="J1662" s="107">
        <f>SUMIF(Data!C:C,G1662,Data!Q:Q)</f>
        <v>0</v>
      </c>
      <c r="K1662" s="107">
        <f>SUMIF(Comprometidos!A:A,'Cost Report'!G1662,Comprometidos!E:E)</f>
        <v>0</v>
      </c>
      <c r="L1662" s="107">
        <f t="shared" si="686"/>
        <v>0</v>
      </c>
      <c r="M1662" s="107">
        <f t="shared" si="687"/>
        <v>0</v>
      </c>
      <c r="N1662" s="107">
        <f t="shared" si="688"/>
        <v>0</v>
      </c>
      <c r="O1662" s="107">
        <f>VLOOKUP(G1662,Budget!$E$3:$G$2474,3,0)</f>
        <v>0</v>
      </c>
      <c r="P1662" s="107">
        <f t="shared" si="689"/>
        <v>0</v>
      </c>
      <c r="Q1662" s="107"/>
      <c r="R1662" s="10"/>
      <c r="S1662" s="107">
        <v>0</v>
      </c>
      <c r="T1662" s="107">
        <f t="shared" si="678"/>
        <v>0</v>
      </c>
      <c r="U1662" s="107"/>
      <c r="V1662" s="175"/>
      <c r="W1662" s="10"/>
      <c r="X1662" s="10"/>
      <c r="Y1662" t="str">
        <f t="shared" si="692"/>
        <v>3410</v>
      </c>
      <c r="AB1662" s="10"/>
      <c r="AC1662" s="10"/>
      <c r="AD1662" s="10"/>
      <c r="AE1662" s="10"/>
      <c r="AF1662" s="10"/>
      <c r="AG1662" s="10"/>
      <c r="AH1662" s="10"/>
      <c r="AI1662" s="10"/>
    </row>
    <row r="1663" spans="1:35">
      <c r="A1663" s="10"/>
      <c r="B1663" s="10" t="str">
        <f t="shared" si="691"/>
        <v>Below the LineSHOOT</v>
      </c>
      <c r="C1663" t="s">
        <v>20</v>
      </c>
      <c r="D1663" t="s">
        <v>19</v>
      </c>
      <c r="E1663" t="s">
        <v>236</v>
      </c>
      <c r="G1663" t="s">
        <v>977</v>
      </c>
      <c r="I1663" s="10"/>
      <c r="J1663" s="107">
        <f>SUMIF(Data!C:C,G1663,Data!Q:Q)</f>
        <v>93998.672000000006</v>
      </c>
      <c r="K1663" s="107">
        <f>SUMIF(Comprometidos!A:A,'Cost Report'!G1663,Comprometidos!E:E)</f>
        <v>0</v>
      </c>
      <c r="L1663" s="107">
        <f t="shared" si="686"/>
        <v>93998.672000000006</v>
      </c>
      <c r="M1663" s="107">
        <v>0</v>
      </c>
      <c r="N1663" s="107">
        <f t="shared" si="688"/>
        <v>93998.672000000006</v>
      </c>
      <c r="O1663" s="107">
        <f>VLOOKUP(G1663,Budget!$E$3:$G$2474,3,0)</f>
        <v>100000</v>
      </c>
      <c r="P1663" s="107">
        <f t="shared" si="689"/>
        <v>6001.3279999999941</v>
      </c>
      <c r="Q1663" s="107"/>
      <c r="R1663" s="10"/>
      <c r="S1663" s="107">
        <v>90164.359999999971</v>
      </c>
      <c r="T1663" s="107">
        <f t="shared" si="678"/>
        <v>-3834.3120000000345</v>
      </c>
      <c r="U1663" s="107"/>
      <c r="V1663" s="175"/>
      <c r="W1663" s="10"/>
      <c r="X1663" s="10"/>
      <c r="Y1663" t="str">
        <f t="shared" si="692"/>
        <v>3410</v>
      </c>
      <c r="AB1663" s="10"/>
      <c r="AC1663" s="10"/>
      <c r="AD1663" s="10"/>
      <c r="AE1663" s="10"/>
      <c r="AF1663" s="10"/>
      <c r="AG1663" s="10"/>
      <c r="AH1663" s="10"/>
      <c r="AI1663" s="10"/>
    </row>
    <row r="1664" spans="1:35">
      <c r="A1664" s="10"/>
      <c r="B1664" s="10" t="str">
        <f t="shared" si="691"/>
        <v>Below the LineSHOOT</v>
      </c>
      <c r="C1664" t="s">
        <v>20</v>
      </c>
      <c r="D1664" t="s">
        <v>19</v>
      </c>
      <c r="E1664" t="s">
        <v>236</v>
      </c>
      <c r="G1664" t="s">
        <v>978</v>
      </c>
      <c r="I1664" s="10"/>
      <c r="J1664" s="107">
        <f>SUMIF(Data!C:C,G1664,Data!Q:Q)</f>
        <v>794524.4</v>
      </c>
      <c r="K1664" s="107">
        <f>SUMIF(Comprometidos!A:A,'Cost Report'!G1664,Comprometidos!E:E)</f>
        <v>0</v>
      </c>
      <c r="L1664" s="107">
        <f t="shared" si="686"/>
        <v>794524.4</v>
      </c>
      <c r="M1664" s="107">
        <v>0</v>
      </c>
      <c r="N1664" s="107">
        <f t="shared" si="688"/>
        <v>794524.4</v>
      </c>
      <c r="O1664" s="107">
        <f>VLOOKUP(G1664,Budget!$E$3:$G$2474,3,0)</f>
        <v>693750</v>
      </c>
      <c r="P1664" s="107">
        <f t="shared" si="689"/>
        <v>-100774.40000000002</v>
      </c>
      <c r="Q1664" s="107"/>
      <c r="R1664" s="10"/>
      <c r="S1664" s="107">
        <v>794524.4</v>
      </c>
      <c r="T1664" s="107">
        <f t="shared" si="678"/>
        <v>0</v>
      </c>
      <c r="U1664" s="107"/>
      <c r="V1664" s="175"/>
      <c r="W1664" s="10"/>
      <c r="X1664" s="10"/>
      <c r="Y1664" t="str">
        <f t="shared" si="692"/>
        <v>3410</v>
      </c>
      <c r="AB1664" s="10"/>
      <c r="AC1664" s="10"/>
      <c r="AD1664" s="10"/>
      <c r="AE1664" s="10"/>
      <c r="AF1664" s="10"/>
      <c r="AG1664" s="10"/>
      <c r="AH1664" s="10"/>
      <c r="AI1664" s="10"/>
    </row>
    <row r="1665" spans="1:35">
      <c r="A1665" s="10"/>
      <c r="B1665" s="10" t="str">
        <f t="shared" si="691"/>
        <v>Below the Line</v>
      </c>
      <c r="C1665" t="s">
        <v>20</v>
      </c>
      <c r="D1665" t="s">
        <v>19</v>
      </c>
      <c r="E1665" t="s">
        <v>214</v>
      </c>
      <c r="G1665" t="s">
        <v>979</v>
      </c>
      <c r="I1665" s="10"/>
      <c r="J1665" s="107">
        <f>SUMIF(Data!C:C,G1665,Data!Q:Q)</f>
        <v>0</v>
      </c>
      <c r="K1665" s="107">
        <f>SUMIF(Comprometidos!A:A,'Cost Report'!G1665,Comprometidos!E:E)</f>
        <v>0</v>
      </c>
      <c r="L1665" s="107">
        <f t="shared" si="686"/>
        <v>0</v>
      </c>
      <c r="M1665" s="107">
        <f t="shared" si="687"/>
        <v>0</v>
      </c>
      <c r="N1665" s="107">
        <f t="shared" si="688"/>
        <v>0</v>
      </c>
      <c r="O1665" s="107">
        <f>VLOOKUP(G1665,Budget!$E$3:$G$2474,3,0)</f>
        <v>0</v>
      </c>
      <c r="P1665" s="107">
        <f t="shared" si="689"/>
        <v>0</v>
      </c>
      <c r="Q1665" s="107"/>
      <c r="R1665" s="10"/>
      <c r="S1665" s="107">
        <v>0</v>
      </c>
      <c r="T1665" s="107">
        <f t="shared" si="678"/>
        <v>0</v>
      </c>
      <c r="U1665" s="107"/>
      <c r="V1665" s="175"/>
      <c r="W1665" s="10"/>
      <c r="X1665" s="10"/>
      <c r="Y1665" t="str">
        <f t="shared" si="692"/>
        <v>3410</v>
      </c>
      <c r="AB1665" s="10"/>
      <c r="AC1665" s="10"/>
      <c r="AD1665" s="10"/>
      <c r="AE1665" s="10"/>
      <c r="AF1665" s="10"/>
      <c r="AG1665" s="10"/>
      <c r="AH1665" s="10"/>
      <c r="AI1665" s="10"/>
    </row>
    <row r="1666" spans="1:35">
      <c r="A1666" s="10"/>
      <c r="B1666" s="10" t="str">
        <f t="shared" si="691"/>
        <v>Below the Line2nd Unit</v>
      </c>
      <c r="C1666" t="s">
        <v>20</v>
      </c>
      <c r="D1666" t="s">
        <v>19</v>
      </c>
      <c r="E1666" t="s">
        <v>1419</v>
      </c>
      <c r="G1666" t="s">
        <v>980</v>
      </c>
      <c r="I1666" s="10"/>
      <c r="J1666" s="107">
        <f>SUMIF(Data!C:C,G1666,Data!Q:Q)</f>
        <v>163652.75</v>
      </c>
      <c r="K1666" s="107">
        <f>SUMIF(Comprometidos!A:A,'Cost Report'!G1666,Comprometidos!E:E)</f>
        <v>0</v>
      </c>
      <c r="L1666" s="107">
        <f t="shared" si="686"/>
        <v>163652.75</v>
      </c>
      <c r="M1666" s="107">
        <v>0</v>
      </c>
      <c r="N1666" s="107">
        <f t="shared" si="688"/>
        <v>163652.75</v>
      </c>
      <c r="O1666" s="107">
        <f>VLOOKUP(G1666,Budget!$E$3:$G$2474,3,0)</f>
        <v>165000</v>
      </c>
      <c r="P1666" s="107">
        <f t="shared" si="689"/>
        <v>1347.25</v>
      </c>
      <c r="Q1666" s="107"/>
      <c r="R1666" s="10"/>
      <c r="S1666" s="107">
        <v>163652.75</v>
      </c>
      <c r="T1666" s="107">
        <f t="shared" si="678"/>
        <v>0</v>
      </c>
      <c r="U1666" s="107"/>
      <c r="V1666" s="175"/>
      <c r="W1666" s="10"/>
      <c r="X1666" s="10"/>
      <c r="Y1666" t="str">
        <f t="shared" si="692"/>
        <v>3410</v>
      </c>
      <c r="AB1666" s="10"/>
      <c r="AC1666" s="10"/>
      <c r="AD1666" s="10"/>
      <c r="AE1666" s="10"/>
      <c r="AF1666" s="10"/>
      <c r="AG1666" s="10"/>
      <c r="AH1666" s="10"/>
      <c r="AI1666" s="10"/>
    </row>
    <row r="1667" spans="1:35">
      <c r="A1667" s="10"/>
      <c r="B1667" s="10" t="str">
        <f t="shared" si="691"/>
        <v>Below the Line2nd Unit</v>
      </c>
      <c r="C1667" t="s">
        <v>20</v>
      </c>
      <c r="D1667" t="s">
        <v>19</v>
      </c>
      <c r="E1667" t="s">
        <v>1419</v>
      </c>
      <c r="G1667" t="s">
        <v>2790</v>
      </c>
      <c r="I1667" s="10"/>
      <c r="J1667" s="107">
        <f>SUMIF(Data!C:C,G1667,Data!Q:Q)</f>
        <v>125380.26</v>
      </c>
      <c r="K1667" s="107">
        <f>SUMIF(Comprometidos!A:A,'Cost Report'!G1667,Comprometidos!E:E)</f>
        <v>0</v>
      </c>
      <c r="L1667" s="107">
        <f t="shared" si="686"/>
        <v>125380.26</v>
      </c>
      <c r="M1667" s="107">
        <v>0</v>
      </c>
      <c r="N1667" s="107">
        <f t="shared" si="688"/>
        <v>125380.26</v>
      </c>
      <c r="O1667" s="107">
        <f>VLOOKUP(G1667,Budget!$E$3:$G$2474,3,0)</f>
        <v>79200</v>
      </c>
      <c r="P1667" s="107">
        <f t="shared" si="689"/>
        <v>-46180.259999999995</v>
      </c>
      <c r="Q1667" s="107"/>
      <c r="R1667" s="10"/>
      <c r="S1667" s="107">
        <v>125380.26</v>
      </c>
      <c r="T1667" s="107">
        <f t="shared" si="678"/>
        <v>0</v>
      </c>
      <c r="U1667" s="107"/>
      <c r="V1667" s="175"/>
      <c r="W1667" s="10"/>
      <c r="X1667" s="10"/>
      <c r="Y1667" t="str">
        <f t="shared" si="692"/>
        <v>3410</v>
      </c>
      <c r="AB1667" s="10"/>
      <c r="AC1667" s="10"/>
      <c r="AD1667" s="10"/>
      <c r="AE1667" s="10"/>
      <c r="AF1667" s="10"/>
      <c r="AG1667" s="10"/>
      <c r="AH1667" s="10"/>
      <c r="AI1667" s="10"/>
    </row>
    <row r="1668" spans="1:35">
      <c r="A1668" s="10"/>
      <c r="B1668" s="10" t="str">
        <f t="shared" si="691"/>
        <v>Below the Line2nd Unit</v>
      </c>
      <c r="C1668" t="s">
        <v>20</v>
      </c>
      <c r="D1668" t="s">
        <v>19</v>
      </c>
      <c r="E1668" t="s">
        <v>1419</v>
      </c>
      <c r="G1668" t="s">
        <v>2791</v>
      </c>
      <c r="I1668" s="10"/>
      <c r="J1668" s="107">
        <f>SUMIF(Data!C:C,G1668,Data!Q:Q)</f>
        <v>218905.02</v>
      </c>
      <c r="K1668" s="107">
        <f>SUMIF(Comprometidos!A:A,'Cost Report'!G1668,Comprometidos!E:E)</f>
        <v>0</v>
      </c>
      <c r="L1668" s="107">
        <f t="shared" si="686"/>
        <v>218905.02</v>
      </c>
      <c r="M1668" s="107">
        <v>0</v>
      </c>
      <c r="N1668" s="107">
        <f t="shared" si="688"/>
        <v>218905.02</v>
      </c>
      <c r="O1668" s="107">
        <f>VLOOKUP(G1668,Budget!$E$3:$G$2474,3,0)</f>
        <v>250800</v>
      </c>
      <c r="P1668" s="107">
        <f t="shared" si="689"/>
        <v>31894.98000000001</v>
      </c>
      <c r="Q1668" s="107"/>
      <c r="R1668" s="10"/>
      <c r="S1668" s="107">
        <v>218905.02</v>
      </c>
      <c r="T1668" s="107">
        <f t="shared" si="678"/>
        <v>0</v>
      </c>
      <c r="U1668" s="107"/>
      <c r="V1668" s="175"/>
      <c r="W1668" s="10"/>
      <c r="X1668" s="10"/>
      <c r="Y1668" t="str">
        <f t="shared" si="692"/>
        <v>3410</v>
      </c>
      <c r="AB1668" s="10"/>
      <c r="AC1668" s="10"/>
      <c r="AD1668" s="10"/>
      <c r="AE1668" s="10"/>
      <c r="AF1668" s="10"/>
      <c r="AG1668" s="10"/>
      <c r="AH1668" s="10"/>
      <c r="AI1668" s="10"/>
    </row>
    <row r="1669" spans="1:35">
      <c r="A1669" s="10"/>
      <c r="B1669" s="10" t="str">
        <f t="shared" si="691"/>
        <v>Below the Line2nd Unit</v>
      </c>
      <c r="C1669" t="s">
        <v>20</v>
      </c>
      <c r="D1669" t="s">
        <v>19</v>
      </c>
      <c r="E1669" t="s">
        <v>1419</v>
      </c>
      <c r="G1669" t="s">
        <v>2792</v>
      </c>
      <c r="I1669" s="10"/>
      <c r="J1669" s="107">
        <f>SUMIF(Data!C:C,G1669,Data!Q:Q)</f>
        <v>120712.5</v>
      </c>
      <c r="K1669" s="107">
        <f>SUMIF(Comprometidos!A:A,'Cost Report'!G1669,Comprometidos!E:E)</f>
        <v>0</v>
      </c>
      <c r="L1669" s="107">
        <f t="shared" si="686"/>
        <v>120712.5</v>
      </c>
      <c r="M1669" s="107">
        <v>0</v>
      </c>
      <c r="N1669" s="107">
        <f t="shared" si="688"/>
        <v>120712.5</v>
      </c>
      <c r="O1669" s="107">
        <f>VLOOKUP(G1669,Budget!$E$3:$G$2474,3,0)</f>
        <v>118800</v>
      </c>
      <c r="P1669" s="107">
        <f t="shared" si="689"/>
        <v>-1912.5</v>
      </c>
      <c r="Q1669" s="107"/>
      <c r="R1669" s="10"/>
      <c r="S1669" s="107">
        <v>120712.5</v>
      </c>
      <c r="T1669" s="107">
        <f t="shared" si="678"/>
        <v>0</v>
      </c>
      <c r="U1669" s="107"/>
      <c r="V1669" s="175"/>
      <c r="W1669" s="10"/>
      <c r="X1669" s="10"/>
      <c r="Y1669" t="str">
        <f t="shared" si="692"/>
        <v>3410</v>
      </c>
      <c r="AB1669" s="10"/>
      <c r="AC1669" s="10"/>
      <c r="AD1669" s="10"/>
      <c r="AE1669" s="10"/>
      <c r="AF1669" s="10"/>
      <c r="AG1669" s="10"/>
      <c r="AH1669" s="10"/>
      <c r="AI1669" s="10"/>
    </row>
    <row r="1670" spans="1:35">
      <c r="A1670" s="10"/>
      <c r="B1670" s="10" t="str">
        <f t="shared" si="691"/>
        <v>Below the Line2nd Unit</v>
      </c>
      <c r="C1670" t="s">
        <v>20</v>
      </c>
      <c r="D1670" t="s">
        <v>19</v>
      </c>
      <c r="E1670" t="s">
        <v>1419</v>
      </c>
      <c r="G1670" t="s">
        <v>2793</v>
      </c>
      <c r="I1670" s="10"/>
      <c r="J1670" s="107">
        <f>SUMIF(Data!C:C,G1670,Data!Q:Q)</f>
        <v>120712.5</v>
      </c>
      <c r="K1670" s="107">
        <f>SUMIF(Comprometidos!A:A,'Cost Report'!G1670,Comprometidos!E:E)</f>
        <v>0</v>
      </c>
      <c r="L1670" s="107">
        <f t="shared" si="686"/>
        <v>120712.5</v>
      </c>
      <c r="M1670" s="107">
        <v>0</v>
      </c>
      <c r="N1670" s="107">
        <f t="shared" si="688"/>
        <v>120712.5</v>
      </c>
      <c r="O1670" s="107">
        <f>VLOOKUP(G1670,Budget!$E$3:$G$2474,3,0)</f>
        <v>118800</v>
      </c>
      <c r="P1670" s="107">
        <f t="shared" si="689"/>
        <v>-1912.5</v>
      </c>
      <c r="Q1670" s="107"/>
      <c r="R1670" s="10"/>
      <c r="S1670" s="107">
        <v>120712.5</v>
      </c>
      <c r="T1670" s="107">
        <f t="shared" si="678"/>
        <v>0</v>
      </c>
      <c r="U1670" s="107"/>
      <c r="V1670" s="175"/>
      <c r="W1670" s="10"/>
      <c r="X1670" s="10"/>
      <c r="Y1670" t="str">
        <f t="shared" si="692"/>
        <v>3410</v>
      </c>
      <c r="AB1670" s="10"/>
      <c r="AC1670" s="10"/>
      <c r="AD1670" s="10"/>
      <c r="AE1670" s="10"/>
      <c r="AF1670" s="10"/>
      <c r="AG1670" s="10"/>
      <c r="AH1670" s="10"/>
      <c r="AI1670" s="10"/>
    </row>
    <row r="1671" spans="1:35">
      <c r="A1671" s="10"/>
      <c r="B1671" s="10" t="str">
        <f t="shared" si="691"/>
        <v>Below the Line2nd Unit</v>
      </c>
      <c r="C1671" t="s">
        <v>20</v>
      </c>
      <c r="D1671" t="s">
        <v>19</v>
      </c>
      <c r="E1671" t="s">
        <v>1419</v>
      </c>
      <c r="G1671" t="s">
        <v>2794</v>
      </c>
      <c r="I1671" s="10"/>
      <c r="J1671" s="107">
        <f>SUMIF(Data!C:C,G1671,Data!Q:Q)</f>
        <v>0</v>
      </c>
      <c r="K1671" s="107">
        <f>SUMIF(Comprometidos!A:A,'Cost Report'!G1671,Comprometidos!E:E)</f>
        <v>0</v>
      </c>
      <c r="L1671" s="107">
        <f t="shared" si="686"/>
        <v>0</v>
      </c>
      <c r="M1671" s="107">
        <v>0</v>
      </c>
      <c r="N1671" s="107">
        <f t="shared" si="688"/>
        <v>0</v>
      </c>
      <c r="O1671" s="107">
        <f>VLOOKUP(G1671,Budget!$E$3:$G$2474,3,0)</f>
        <v>20900</v>
      </c>
      <c r="P1671" s="107">
        <f t="shared" si="689"/>
        <v>20900</v>
      </c>
      <c r="Q1671" s="107"/>
      <c r="R1671" s="10"/>
      <c r="S1671" s="107">
        <v>0</v>
      </c>
      <c r="T1671" s="107">
        <f t="shared" si="678"/>
        <v>0</v>
      </c>
      <c r="U1671" s="107"/>
      <c r="V1671" s="175"/>
      <c r="W1671" s="10"/>
      <c r="X1671" s="10"/>
      <c r="Y1671" t="str">
        <f t="shared" si="692"/>
        <v>3410</v>
      </c>
      <c r="AB1671" s="10"/>
      <c r="AC1671" s="10"/>
      <c r="AD1671" s="10"/>
      <c r="AE1671" s="10"/>
      <c r="AF1671" s="10"/>
      <c r="AG1671" s="10"/>
      <c r="AH1671" s="10"/>
      <c r="AI1671" s="10"/>
    </row>
    <row r="1672" spans="1:35">
      <c r="A1672" s="10"/>
      <c r="B1672" s="10" t="str">
        <f>+C1672</f>
        <v>Below the Line</v>
      </c>
      <c r="C1672" s="128" t="s">
        <v>20</v>
      </c>
      <c r="D1672" s="128" t="s">
        <v>2117</v>
      </c>
      <c r="E1672" s="128"/>
      <c r="F1672" s="128"/>
      <c r="G1672" s="128" t="s">
        <v>981</v>
      </c>
      <c r="H1672" s="128"/>
      <c r="I1672" s="10"/>
      <c r="J1672" s="129">
        <f>SUMIF($Y$11:$Y$2484,G1672,J$11:J$2484)</f>
        <v>4270057.8259999994</v>
      </c>
      <c r="K1672" s="129">
        <f>SUMIF($Y$11:$Y$2484,G1672,K$11:K$2484)</f>
        <v>0</v>
      </c>
      <c r="L1672" s="129">
        <f>SUMIF($Y$11:$Y$2484,G1672,L$11:L$2484)</f>
        <v>4270057.8259999994</v>
      </c>
      <c r="M1672" s="129">
        <f>SUMIF($Y$11:$Y$2484,G1672,M$11:M$2484)</f>
        <v>0</v>
      </c>
      <c r="N1672" s="129">
        <f>SUMIF($Y$11:$Y$2484,G1672,N$11:N$2484)</f>
        <v>4270057.8259999994</v>
      </c>
      <c r="O1672" s="129">
        <f>SUMIF($Y$11:$Y$2484,G1672,O$11:O$2484)</f>
        <v>6880105.3700000001</v>
      </c>
      <c r="P1672" s="129">
        <f>SUMIF($Y$11:$Y$2484,G1672,P$11:P$2484)</f>
        <v>2610047.5440000007</v>
      </c>
      <c r="Q1672" s="129"/>
      <c r="R1672" s="10"/>
      <c r="S1672" s="129">
        <v>4269072.6259999992</v>
      </c>
      <c r="T1672" s="129">
        <f t="shared" si="678"/>
        <v>-985.20000000018626</v>
      </c>
      <c r="U1672" s="128"/>
      <c r="V1672" s="175"/>
      <c r="W1672" s="10"/>
      <c r="X1672" s="10"/>
      <c r="Z1672" t="str">
        <f>LEFT(G1672,2)</f>
        <v>34</v>
      </c>
      <c r="AA1672" t="str">
        <f>+Z1672&amp;"00"</f>
        <v>3400</v>
      </c>
      <c r="AB1672" s="10"/>
      <c r="AC1672" s="10"/>
      <c r="AD1672" s="10"/>
      <c r="AE1672" s="10"/>
      <c r="AF1672" s="10"/>
      <c r="AG1672" s="10"/>
      <c r="AH1672" s="10"/>
      <c r="AI1672" s="10"/>
    </row>
    <row r="1673" spans="1:35">
      <c r="A1673" s="10"/>
      <c r="B1673" s="10" t="str">
        <f t="shared" ref="B1673:B1736" si="693">+C1673&amp;E1673</f>
        <v>Below the Line</v>
      </c>
      <c r="C1673" t="s">
        <v>20</v>
      </c>
      <c r="D1673" t="s">
        <v>19</v>
      </c>
      <c r="E1673" t="s">
        <v>214</v>
      </c>
      <c r="F1673" t="s">
        <v>1855</v>
      </c>
      <c r="G1673" t="s">
        <v>982</v>
      </c>
      <c r="I1673" s="10"/>
      <c r="J1673" s="107">
        <f>SUMIF(Data!C:C,G1673,Data!Q:Q)</f>
        <v>0</v>
      </c>
      <c r="K1673" s="107">
        <f>SUMIF(Comprometidos!A:A,'Cost Report'!G1673,Comprometidos!E:E)</f>
        <v>0</v>
      </c>
      <c r="L1673" s="107">
        <f t="shared" si="686"/>
        <v>0</v>
      </c>
      <c r="M1673" s="107">
        <f t="shared" si="687"/>
        <v>0</v>
      </c>
      <c r="N1673" s="107">
        <f t="shared" si="688"/>
        <v>0</v>
      </c>
      <c r="O1673" s="107">
        <f>VLOOKUP(G1673,Budget!$E$3:$G$2474,3,0)</f>
        <v>0</v>
      </c>
      <c r="P1673" s="107">
        <f t="shared" si="689"/>
        <v>0</v>
      </c>
      <c r="Q1673" s="107"/>
      <c r="R1673" s="10"/>
      <c r="S1673" s="107">
        <v>0</v>
      </c>
      <c r="T1673" s="107">
        <f t="shared" si="678"/>
        <v>0</v>
      </c>
      <c r="U1673" s="107"/>
      <c r="V1673" s="175"/>
      <c r="W1673" s="10"/>
      <c r="X1673" s="10"/>
      <c r="Y1673" t="str">
        <f t="shared" ref="Y1673:Y1736" si="694">LEFT(G1673,4)</f>
        <v>3412</v>
      </c>
      <c r="AB1673" s="10"/>
      <c r="AC1673" s="10"/>
      <c r="AD1673" s="10"/>
      <c r="AE1673" s="10"/>
      <c r="AF1673" s="10"/>
      <c r="AG1673" s="10"/>
      <c r="AH1673" s="10"/>
      <c r="AI1673" s="10"/>
    </row>
    <row r="1674" spans="1:35">
      <c r="A1674" s="10"/>
      <c r="B1674" s="10" t="str">
        <f t="shared" si="693"/>
        <v>Below the LineSHOOT</v>
      </c>
      <c r="C1674" t="s">
        <v>20</v>
      </c>
      <c r="D1674" t="s">
        <v>19</v>
      </c>
      <c r="E1674" t="s">
        <v>236</v>
      </c>
      <c r="F1674" t="s">
        <v>1855</v>
      </c>
      <c r="G1674" t="s">
        <v>983</v>
      </c>
      <c r="I1674" s="10"/>
      <c r="J1674" s="107">
        <f>SUMIF(Data!C:C,G1674,Data!Q:Q)</f>
        <v>56016.346000000005</v>
      </c>
      <c r="K1674" s="107">
        <f>SUMIF(Comprometidos!A:A,'Cost Report'!G1674,Comprometidos!E:E)</f>
        <v>0</v>
      </c>
      <c r="L1674" s="107">
        <f t="shared" si="686"/>
        <v>56016.346000000005</v>
      </c>
      <c r="M1674" s="107">
        <v>0</v>
      </c>
      <c r="N1674" s="107">
        <f t="shared" si="688"/>
        <v>56016.346000000005</v>
      </c>
      <c r="O1674" s="107">
        <f>VLOOKUP(G1674,Budget!$E$3:$G$2474,3,0)</f>
        <v>22370</v>
      </c>
      <c r="P1674" s="107">
        <f t="shared" si="689"/>
        <v>-33646.346000000005</v>
      </c>
      <c r="Q1674" s="107"/>
      <c r="R1674" s="10"/>
      <c r="S1674" s="107">
        <v>56016.346000000005</v>
      </c>
      <c r="T1674" s="107">
        <f t="shared" si="678"/>
        <v>0</v>
      </c>
      <c r="U1674" s="107"/>
      <c r="V1674" s="175"/>
      <c r="W1674" s="10"/>
      <c r="X1674" s="10"/>
      <c r="Y1674" t="str">
        <f t="shared" si="694"/>
        <v>3412</v>
      </c>
      <c r="AB1674" s="10"/>
      <c r="AC1674" s="10"/>
      <c r="AD1674" s="10"/>
      <c r="AE1674" s="10"/>
      <c r="AF1674" s="10"/>
      <c r="AG1674" s="10"/>
      <c r="AH1674" s="10"/>
      <c r="AI1674" s="10"/>
    </row>
    <row r="1675" spans="1:35">
      <c r="A1675" s="10"/>
      <c r="B1675" s="10" t="str">
        <f t="shared" si="693"/>
        <v>Below the Line</v>
      </c>
      <c r="C1675" t="s">
        <v>20</v>
      </c>
      <c r="D1675" t="s">
        <v>19</v>
      </c>
      <c r="E1675" t="s">
        <v>214</v>
      </c>
      <c r="F1675" t="s">
        <v>1855</v>
      </c>
      <c r="G1675" t="s">
        <v>984</v>
      </c>
      <c r="I1675" s="10"/>
      <c r="J1675" s="107">
        <f>SUMIF(Data!C:C,G1675,Data!Q:Q)</f>
        <v>0</v>
      </c>
      <c r="K1675" s="107">
        <f>SUMIF(Comprometidos!A:A,'Cost Report'!G1675,Comprometidos!E:E)</f>
        <v>0</v>
      </c>
      <c r="L1675" s="107">
        <f t="shared" si="686"/>
        <v>0</v>
      </c>
      <c r="M1675" s="107">
        <f t="shared" si="687"/>
        <v>0</v>
      </c>
      <c r="N1675" s="107">
        <f t="shared" si="688"/>
        <v>0</v>
      </c>
      <c r="O1675" s="107">
        <f>VLOOKUP(G1675,Budget!$E$3:$G$2474,3,0)</f>
        <v>0</v>
      </c>
      <c r="P1675" s="107">
        <f t="shared" si="689"/>
        <v>0</v>
      </c>
      <c r="Q1675" s="107"/>
      <c r="R1675" s="10"/>
      <c r="S1675" s="107">
        <v>0</v>
      </c>
      <c r="T1675" s="107">
        <f t="shared" si="678"/>
        <v>0</v>
      </c>
      <c r="U1675" s="107"/>
      <c r="V1675" s="175"/>
      <c r="W1675" s="10"/>
      <c r="X1675" s="10"/>
      <c r="Y1675" t="str">
        <f t="shared" si="694"/>
        <v>3412</v>
      </c>
      <c r="AB1675" s="10"/>
      <c r="AC1675" s="10"/>
      <c r="AD1675" s="10"/>
      <c r="AE1675" s="10"/>
      <c r="AF1675" s="10"/>
      <c r="AG1675" s="10"/>
      <c r="AH1675" s="10"/>
      <c r="AI1675" s="10"/>
    </row>
    <row r="1676" spans="1:35">
      <c r="A1676" s="10"/>
      <c r="B1676" s="10" t="str">
        <f t="shared" si="693"/>
        <v>Below the LineSHOOT</v>
      </c>
      <c r="C1676" t="s">
        <v>20</v>
      </c>
      <c r="D1676" t="s">
        <v>19</v>
      </c>
      <c r="E1676" t="s">
        <v>236</v>
      </c>
      <c r="F1676" t="s">
        <v>1855</v>
      </c>
      <c r="G1676" t="s">
        <v>985</v>
      </c>
      <c r="I1676" s="10"/>
      <c r="J1676" s="107">
        <f>SUMIF(Data!C:C,G1676,Data!Q:Q)</f>
        <v>510500</v>
      </c>
      <c r="K1676" s="107">
        <f>SUMIF(Comprometidos!A:A,'Cost Report'!G1676,Comprometidos!E:E)</f>
        <v>0</v>
      </c>
      <c r="L1676" s="107">
        <f t="shared" si="686"/>
        <v>510500</v>
      </c>
      <c r="M1676" s="107">
        <v>0</v>
      </c>
      <c r="N1676" s="107">
        <f>+L1676+M1676</f>
        <v>510500</v>
      </c>
      <c r="O1676" s="107">
        <f>VLOOKUP(G1676,Budget!$E$3:$G$2474,3,0)</f>
        <v>500000</v>
      </c>
      <c r="P1676" s="107">
        <f t="shared" si="689"/>
        <v>-10500</v>
      </c>
      <c r="Q1676" s="107"/>
      <c r="R1676" s="10"/>
      <c r="S1676" s="107">
        <v>510500</v>
      </c>
      <c r="T1676" s="107">
        <f t="shared" si="678"/>
        <v>0</v>
      </c>
      <c r="U1676" s="107"/>
      <c r="V1676" s="175"/>
      <c r="W1676" s="10"/>
      <c r="X1676" s="10"/>
      <c r="Y1676" t="str">
        <f t="shared" si="694"/>
        <v>3412</v>
      </c>
      <c r="AB1676" s="10"/>
      <c r="AC1676" s="10"/>
      <c r="AD1676" s="10"/>
      <c r="AE1676" s="10"/>
      <c r="AF1676" s="10"/>
      <c r="AG1676" s="10"/>
      <c r="AH1676" s="10"/>
      <c r="AI1676" s="10"/>
    </row>
    <row r="1677" spans="1:35">
      <c r="A1677" s="10"/>
      <c r="B1677" s="10" t="str">
        <f t="shared" si="693"/>
        <v>Below the Line</v>
      </c>
      <c r="C1677" t="s">
        <v>20</v>
      </c>
      <c r="D1677" t="s">
        <v>19</v>
      </c>
      <c r="E1677" t="s">
        <v>214</v>
      </c>
      <c r="F1677" t="s">
        <v>1855</v>
      </c>
      <c r="G1677" t="s">
        <v>986</v>
      </c>
      <c r="I1677" s="10"/>
      <c r="J1677" s="107">
        <f>SUMIF(Data!C:C,G1677,Data!Q:Q)</f>
        <v>0</v>
      </c>
      <c r="K1677" s="107">
        <f>SUMIF(Comprometidos!A:A,'Cost Report'!G1677,Comprometidos!E:E)</f>
        <v>0</v>
      </c>
      <c r="L1677" s="107">
        <f t="shared" si="686"/>
        <v>0</v>
      </c>
      <c r="M1677" s="107">
        <f t="shared" si="687"/>
        <v>0</v>
      </c>
      <c r="N1677" s="107"/>
      <c r="O1677" s="107">
        <f>VLOOKUP(G1677,Budget!$E$3:$G$2474,3,0)</f>
        <v>0</v>
      </c>
      <c r="P1677" s="107">
        <f t="shared" si="689"/>
        <v>0</v>
      </c>
      <c r="Q1677" s="107"/>
      <c r="R1677" s="10"/>
      <c r="S1677" s="107"/>
      <c r="T1677" s="107">
        <f t="shared" si="678"/>
        <v>0</v>
      </c>
      <c r="U1677" s="107"/>
      <c r="V1677" s="175"/>
      <c r="W1677" s="10"/>
      <c r="X1677" s="10"/>
      <c r="Y1677" t="str">
        <f t="shared" si="694"/>
        <v>3412</v>
      </c>
      <c r="AB1677" s="10"/>
      <c r="AC1677" s="10"/>
      <c r="AD1677" s="10"/>
      <c r="AE1677" s="10"/>
      <c r="AF1677" s="10"/>
      <c r="AG1677" s="10"/>
      <c r="AH1677" s="10"/>
      <c r="AI1677" s="10"/>
    </row>
    <row r="1678" spans="1:35">
      <c r="A1678" s="10"/>
      <c r="B1678" s="10" t="str">
        <f t="shared" si="693"/>
        <v>Below the LineSHOOT</v>
      </c>
      <c r="C1678" t="s">
        <v>20</v>
      </c>
      <c r="D1678" t="s">
        <v>19</v>
      </c>
      <c r="E1678" t="s">
        <v>236</v>
      </c>
      <c r="F1678" t="s">
        <v>1855</v>
      </c>
      <c r="G1678" t="s">
        <v>987</v>
      </c>
      <c r="I1678" s="10"/>
      <c r="J1678" s="107">
        <f>SUMIF(Data!C:C,G1678,Data!Q:Q)</f>
        <v>571000</v>
      </c>
      <c r="K1678" s="107">
        <f>SUMIF(Comprometidos!A:A,'Cost Report'!G1678,Comprometidos!E:E)</f>
        <v>0</v>
      </c>
      <c r="L1678" s="107">
        <f t="shared" si="686"/>
        <v>571000</v>
      </c>
      <c r="M1678" s="107">
        <v>0</v>
      </c>
      <c r="N1678" s="107">
        <f t="shared" si="688"/>
        <v>571000</v>
      </c>
      <c r="O1678" s="107">
        <f>VLOOKUP(G1678,Budget!$E$3:$G$2474,3,0)</f>
        <v>571000</v>
      </c>
      <c r="P1678" s="107">
        <f t="shared" si="689"/>
        <v>0</v>
      </c>
      <c r="Q1678" s="107"/>
      <c r="R1678" s="10"/>
      <c r="S1678" s="107">
        <v>571000</v>
      </c>
      <c r="T1678" s="107">
        <f t="shared" si="678"/>
        <v>0</v>
      </c>
      <c r="U1678" s="107"/>
      <c r="V1678" s="175"/>
      <c r="W1678" s="10"/>
      <c r="X1678" s="10"/>
      <c r="Y1678" t="str">
        <f t="shared" si="694"/>
        <v>3412</v>
      </c>
      <c r="AB1678" s="10"/>
      <c r="AC1678" s="10"/>
      <c r="AD1678" s="10"/>
      <c r="AE1678" s="10"/>
      <c r="AF1678" s="10"/>
      <c r="AG1678" s="10"/>
      <c r="AH1678" s="10"/>
      <c r="AI1678" s="10"/>
    </row>
    <row r="1679" spans="1:35">
      <c r="A1679" s="10"/>
      <c r="B1679" s="10" t="str">
        <f t="shared" si="693"/>
        <v>Below the Line</v>
      </c>
      <c r="C1679" t="s">
        <v>20</v>
      </c>
      <c r="D1679" t="s">
        <v>19</v>
      </c>
      <c r="E1679" t="s">
        <v>214</v>
      </c>
      <c r="F1679" t="s">
        <v>1855</v>
      </c>
      <c r="G1679" t="s">
        <v>988</v>
      </c>
      <c r="I1679" s="10"/>
      <c r="J1679" s="107">
        <f>SUMIF(Data!C:C,G1679,Data!Q:Q)</f>
        <v>0</v>
      </c>
      <c r="K1679" s="107">
        <f>SUMIF(Comprometidos!A:A,'Cost Report'!G1679,Comprometidos!E:E)</f>
        <v>0</v>
      </c>
      <c r="L1679" s="107">
        <f t="shared" si="686"/>
        <v>0</v>
      </c>
      <c r="M1679" s="107">
        <f t="shared" si="687"/>
        <v>0</v>
      </c>
      <c r="N1679" s="107">
        <f t="shared" si="688"/>
        <v>0</v>
      </c>
      <c r="O1679" s="107">
        <f>VLOOKUP(G1679,Budget!$E$3:$G$2474,3,0)</f>
        <v>0</v>
      </c>
      <c r="P1679" s="107">
        <f t="shared" si="689"/>
        <v>0</v>
      </c>
      <c r="Q1679" s="107"/>
      <c r="R1679" s="10"/>
      <c r="S1679" s="107">
        <v>0</v>
      </c>
      <c r="T1679" s="107">
        <f t="shared" si="678"/>
        <v>0</v>
      </c>
      <c r="U1679" s="107"/>
      <c r="V1679" s="175"/>
      <c r="W1679" s="10"/>
      <c r="X1679" s="10"/>
      <c r="Y1679" t="str">
        <f t="shared" si="694"/>
        <v>3412</v>
      </c>
      <c r="AB1679" s="10"/>
      <c r="AC1679" s="10"/>
      <c r="AD1679" s="10"/>
      <c r="AE1679" s="10"/>
      <c r="AF1679" s="10"/>
      <c r="AG1679" s="10"/>
      <c r="AH1679" s="10"/>
      <c r="AI1679" s="10"/>
    </row>
    <row r="1680" spans="1:35">
      <c r="A1680" s="10"/>
      <c r="B1680" s="10" t="str">
        <f t="shared" si="693"/>
        <v>Below the LineSHOOT</v>
      </c>
      <c r="C1680" t="s">
        <v>20</v>
      </c>
      <c r="D1680" t="s">
        <v>19</v>
      </c>
      <c r="E1680" t="s">
        <v>236</v>
      </c>
      <c r="F1680" t="s">
        <v>1855</v>
      </c>
      <c r="G1680" t="s">
        <v>989</v>
      </c>
      <c r="I1680" s="10"/>
      <c r="J1680" s="107">
        <f>SUMIF(Data!C:C,G1680,Data!Q:Q)</f>
        <v>700000</v>
      </c>
      <c r="K1680" s="107">
        <f>SUMIF(Comprometidos!A:A,'Cost Report'!G1680,Comprometidos!E:E)</f>
        <v>0</v>
      </c>
      <c r="L1680" s="107">
        <f t="shared" si="686"/>
        <v>700000</v>
      </c>
      <c r="M1680" s="107">
        <f t="shared" si="687"/>
        <v>0</v>
      </c>
      <c r="N1680" s="107">
        <f t="shared" si="688"/>
        <v>700000</v>
      </c>
      <c r="O1680" s="107">
        <f>VLOOKUP(G1680,Budget!$E$3:$G$2474,3,0)</f>
        <v>700000</v>
      </c>
      <c r="P1680" s="107">
        <f t="shared" si="689"/>
        <v>0</v>
      </c>
      <c r="Q1680" s="107"/>
      <c r="R1680" s="10"/>
      <c r="S1680" s="107">
        <v>700000</v>
      </c>
      <c r="T1680" s="107">
        <f t="shared" si="678"/>
        <v>0</v>
      </c>
      <c r="U1680" s="107"/>
      <c r="V1680" s="175"/>
      <c r="W1680" s="10"/>
      <c r="X1680" s="10"/>
      <c r="Y1680" t="str">
        <f t="shared" si="694"/>
        <v>3412</v>
      </c>
      <c r="AB1680" s="10"/>
      <c r="AC1680" s="10"/>
      <c r="AD1680" s="10"/>
      <c r="AE1680" s="10"/>
      <c r="AF1680" s="10"/>
      <c r="AG1680" s="10"/>
      <c r="AH1680" s="10"/>
      <c r="AI1680" s="10"/>
    </row>
    <row r="1681" spans="1:35">
      <c r="A1681" s="10"/>
      <c r="B1681" s="10" t="str">
        <f t="shared" si="693"/>
        <v>Below the Line</v>
      </c>
      <c r="C1681" t="s">
        <v>20</v>
      </c>
      <c r="D1681" t="s">
        <v>19</v>
      </c>
      <c r="E1681" t="s">
        <v>214</v>
      </c>
      <c r="F1681" t="s">
        <v>1855</v>
      </c>
      <c r="G1681" t="s">
        <v>990</v>
      </c>
      <c r="I1681" s="10"/>
      <c r="J1681" s="107">
        <f>SUMIF(Data!C:C,G1681,Data!Q:Q)</f>
        <v>0</v>
      </c>
      <c r="K1681" s="107">
        <f>SUMIF(Comprometidos!A:A,'Cost Report'!G1681,Comprometidos!E:E)</f>
        <v>0</v>
      </c>
      <c r="L1681" s="107">
        <f t="shared" si="686"/>
        <v>0</v>
      </c>
      <c r="M1681" s="107">
        <f t="shared" si="687"/>
        <v>0</v>
      </c>
      <c r="N1681" s="107">
        <f t="shared" si="688"/>
        <v>0</v>
      </c>
      <c r="O1681" s="107">
        <f>VLOOKUP(G1681,Budget!$E$3:$G$2474,3,0)</f>
        <v>0</v>
      </c>
      <c r="P1681" s="107">
        <f t="shared" si="689"/>
        <v>0</v>
      </c>
      <c r="Q1681" s="107"/>
      <c r="R1681" s="10"/>
      <c r="S1681" s="107">
        <v>0</v>
      </c>
      <c r="T1681" s="107">
        <f t="shared" si="678"/>
        <v>0</v>
      </c>
      <c r="U1681" s="107"/>
      <c r="V1681" s="175"/>
      <c r="W1681" s="10"/>
      <c r="X1681" s="10"/>
      <c r="Y1681" t="str">
        <f t="shared" si="694"/>
        <v>3412</v>
      </c>
      <c r="AB1681" s="10"/>
      <c r="AC1681" s="10"/>
      <c r="AD1681" s="10"/>
      <c r="AE1681" s="10"/>
      <c r="AF1681" s="10"/>
      <c r="AG1681" s="10"/>
      <c r="AH1681" s="10"/>
      <c r="AI1681" s="10"/>
    </row>
    <row r="1682" spans="1:35">
      <c r="A1682" s="10"/>
      <c r="B1682" s="10" t="str">
        <f t="shared" si="693"/>
        <v>Below the LineSHOOT</v>
      </c>
      <c r="C1682" t="s">
        <v>20</v>
      </c>
      <c r="D1682" t="s">
        <v>19</v>
      </c>
      <c r="E1682" t="s">
        <v>236</v>
      </c>
      <c r="F1682" t="s">
        <v>1855</v>
      </c>
      <c r="G1682" t="s">
        <v>991</v>
      </c>
      <c r="I1682" s="10"/>
      <c r="J1682" s="107">
        <f>SUMIF(Data!C:C,G1682,Data!Q:Q)</f>
        <v>75000</v>
      </c>
      <c r="K1682" s="107">
        <f>SUMIF(Comprometidos!A:A,'Cost Report'!G1682,Comprometidos!E:E)</f>
        <v>0</v>
      </c>
      <c r="L1682" s="107">
        <f t="shared" si="686"/>
        <v>75000</v>
      </c>
      <c r="M1682" s="107">
        <f t="shared" si="687"/>
        <v>0</v>
      </c>
      <c r="N1682" s="107">
        <f t="shared" si="688"/>
        <v>75000</v>
      </c>
      <c r="O1682" s="107">
        <f>VLOOKUP(G1682,Budget!$E$3:$G$2474,3,0)</f>
        <v>75000</v>
      </c>
      <c r="P1682" s="107">
        <f t="shared" si="689"/>
        <v>0</v>
      </c>
      <c r="Q1682" s="107"/>
      <c r="R1682" s="10"/>
      <c r="S1682" s="107">
        <v>75000</v>
      </c>
      <c r="T1682" s="107">
        <f t="shared" si="678"/>
        <v>0</v>
      </c>
      <c r="U1682" s="107"/>
      <c r="V1682" s="175"/>
      <c r="W1682" s="10"/>
      <c r="X1682" s="10"/>
      <c r="Y1682" t="str">
        <f t="shared" si="694"/>
        <v>3412</v>
      </c>
      <c r="AB1682" s="10"/>
      <c r="AC1682" s="10"/>
      <c r="AD1682" s="10"/>
      <c r="AE1682" s="10"/>
      <c r="AF1682" s="10"/>
      <c r="AG1682" s="10"/>
      <c r="AH1682" s="10"/>
      <c r="AI1682" s="10"/>
    </row>
    <row r="1683" spans="1:35">
      <c r="A1683" s="10"/>
      <c r="B1683" s="10" t="str">
        <f t="shared" si="693"/>
        <v>Below the Line</v>
      </c>
      <c r="C1683" t="s">
        <v>20</v>
      </c>
      <c r="D1683" t="s">
        <v>19</v>
      </c>
      <c r="E1683" t="s">
        <v>214</v>
      </c>
      <c r="F1683" t="s">
        <v>1855</v>
      </c>
      <c r="G1683" t="s">
        <v>992</v>
      </c>
      <c r="I1683" s="10"/>
      <c r="J1683" s="107">
        <f>SUMIF(Data!C:C,G1683,Data!Q:Q)</f>
        <v>0</v>
      </c>
      <c r="K1683" s="107">
        <f>SUMIF(Comprometidos!A:A,'Cost Report'!G1683,Comprometidos!E:E)</f>
        <v>0</v>
      </c>
      <c r="L1683" s="107">
        <f t="shared" si="686"/>
        <v>0</v>
      </c>
      <c r="M1683" s="107">
        <f t="shared" si="687"/>
        <v>0</v>
      </c>
      <c r="N1683" s="107">
        <f t="shared" si="688"/>
        <v>0</v>
      </c>
      <c r="O1683" s="107">
        <f>VLOOKUP(G1683,Budget!$E$3:$G$2474,3,0)</f>
        <v>0</v>
      </c>
      <c r="P1683" s="107">
        <f t="shared" si="689"/>
        <v>0</v>
      </c>
      <c r="Q1683" s="107"/>
      <c r="R1683" s="10"/>
      <c r="S1683" s="107">
        <v>0</v>
      </c>
      <c r="T1683" s="107">
        <f t="shared" si="678"/>
        <v>0</v>
      </c>
      <c r="U1683" s="107"/>
      <c r="V1683" s="175"/>
      <c r="W1683" s="10"/>
      <c r="X1683" s="10"/>
      <c r="Y1683" t="str">
        <f t="shared" si="694"/>
        <v>3412</v>
      </c>
      <c r="AB1683" s="10"/>
      <c r="AC1683" s="10"/>
      <c r="AD1683" s="10"/>
      <c r="AE1683" s="10"/>
      <c r="AF1683" s="10"/>
      <c r="AG1683" s="10"/>
      <c r="AH1683" s="10"/>
      <c r="AI1683" s="10"/>
    </row>
    <row r="1684" spans="1:35">
      <c r="A1684" s="10"/>
      <c r="B1684" s="10" t="str">
        <f t="shared" si="693"/>
        <v>Below the LineSHOOT</v>
      </c>
      <c r="C1684" t="s">
        <v>20</v>
      </c>
      <c r="D1684" t="s">
        <v>19</v>
      </c>
      <c r="E1684" t="s">
        <v>236</v>
      </c>
      <c r="F1684" t="s">
        <v>1855</v>
      </c>
      <c r="G1684" t="s">
        <v>993</v>
      </c>
      <c r="I1684" s="10"/>
      <c r="J1684" s="107">
        <f>SUMIF(Data!C:C,G1684,Data!Q:Q)</f>
        <v>70000</v>
      </c>
      <c r="K1684" s="107">
        <f>SUMIF(Comprometidos!A:A,'Cost Report'!G1684,Comprometidos!E:E)</f>
        <v>0</v>
      </c>
      <c r="L1684" s="107">
        <f t="shared" si="686"/>
        <v>70000</v>
      </c>
      <c r="M1684" s="107">
        <f>+O1684-L1684+55000</f>
        <v>0</v>
      </c>
      <c r="N1684" s="107">
        <f t="shared" si="688"/>
        <v>70000</v>
      </c>
      <c r="O1684" s="107">
        <f>VLOOKUP(G1684,Budget!$E$3:$G$2474,3,0)</f>
        <v>15000</v>
      </c>
      <c r="P1684" s="107">
        <f t="shared" si="689"/>
        <v>-55000</v>
      </c>
      <c r="Q1684" s="107"/>
      <c r="R1684" s="10"/>
      <c r="S1684" s="107">
        <v>70000</v>
      </c>
      <c r="T1684" s="107">
        <f t="shared" si="678"/>
        <v>0</v>
      </c>
      <c r="U1684" s="107"/>
      <c r="V1684" s="175"/>
      <c r="W1684" s="10"/>
      <c r="X1684" s="10"/>
      <c r="Y1684" t="str">
        <f t="shared" si="694"/>
        <v>3412</v>
      </c>
      <c r="AB1684" s="10"/>
      <c r="AC1684" s="10"/>
      <c r="AD1684" s="10"/>
      <c r="AE1684" s="10"/>
      <c r="AF1684" s="10"/>
      <c r="AG1684" s="10"/>
      <c r="AH1684" s="10"/>
      <c r="AI1684" s="10"/>
    </row>
    <row r="1685" spans="1:35">
      <c r="A1685" s="10"/>
      <c r="B1685" s="10" t="str">
        <f t="shared" si="693"/>
        <v>Below the Line</v>
      </c>
      <c r="C1685" t="s">
        <v>20</v>
      </c>
      <c r="D1685" t="s">
        <v>19</v>
      </c>
      <c r="E1685" t="s">
        <v>214</v>
      </c>
      <c r="F1685" t="s">
        <v>1855</v>
      </c>
      <c r="G1685" t="s">
        <v>994</v>
      </c>
      <c r="I1685" s="10"/>
      <c r="J1685" s="107">
        <f>SUMIF(Data!C:C,G1685,Data!Q:Q)</f>
        <v>0</v>
      </c>
      <c r="K1685" s="107">
        <f>SUMIF(Comprometidos!A:A,'Cost Report'!G1685,Comprometidos!E:E)</f>
        <v>0</v>
      </c>
      <c r="L1685" s="107">
        <f t="shared" si="686"/>
        <v>0</v>
      </c>
      <c r="M1685" s="107">
        <f t="shared" si="687"/>
        <v>0</v>
      </c>
      <c r="N1685" s="107">
        <f t="shared" si="688"/>
        <v>0</v>
      </c>
      <c r="O1685" s="107">
        <f>VLOOKUP(G1685,Budget!$E$3:$G$2474,3,0)</f>
        <v>0</v>
      </c>
      <c r="P1685" s="107">
        <f t="shared" si="689"/>
        <v>0</v>
      </c>
      <c r="Q1685" s="107"/>
      <c r="R1685" s="10"/>
      <c r="S1685" s="107">
        <v>0</v>
      </c>
      <c r="T1685" s="107">
        <f t="shared" si="678"/>
        <v>0</v>
      </c>
      <c r="U1685" s="107"/>
      <c r="V1685" s="175"/>
      <c r="W1685" s="10"/>
      <c r="X1685" s="10"/>
      <c r="Y1685" t="str">
        <f t="shared" si="694"/>
        <v>3412</v>
      </c>
      <c r="AB1685" s="10"/>
      <c r="AC1685" s="10"/>
      <c r="AD1685" s="10"/>
      <c r="AE1685" s="10"/>
      <c r="AF1685" s="10"/>
      <c r="AG1685" s="10"/>
      <c r="AH1685" s="10"/>
      <c r="AI1685" s="10"/>
    </row>
    <row r="1686" spans="1:35">
      <c r="A1686" s="10"/>
      <c r="B1686" s="10" t="str">
        <f t="shared" si="693"/>
        <v>Below the LineSHOOT</v>
      </c>
      <c r="C1686" t="s">
        <v>20</v>
      </c>
      <c r="D1686" t="s">
        <v>19</v>
      </c>
      <c r="E1686" t="s">
        <v>236</v>
      </c>
      <c r="F1686" t="s">
        <v>1855</v>
      </c>
      <c r="G1686" t="s">
        <v>995</v>
      </c>
      <c r="I1686" s="10"/>
      <c r="J1686" s="107">
        <f>SUMIF(Data!C:C,G1686,Data!Q:Q)</f>
        <v>140000</v>
      </c>
      <c r="K1686" s="107">
        <f>SUMIF(Comprometidos!A:A,'Cost Report'!G1686,Comprometidos!E:E)</f>
        <v>0</v>
      </c>
      <c r="L1686" s="107">
        <f t="shared" si="686"/>
        <v>140000</v>
      </c>
      <c r="M1686" s="107">
        <f>+O1686-L1686+110000</f>
        <v>0</v>
      </c>
      <c r="N1686" s="107">
        <f t="shared" si="688"/>
        <v>140000</v>
      </c>
      <c r="O1686" s="107">
        <f>VLOOKUP(G1686,Budget!$E$3:$G$2474,3,0)</f>
        <v>30000</v>
      </c>
      <c r="P1686" s="107">
        <f t="shared" si="689"/>
        <v>-110000</v>
      </c>
      <c r="Q1686" s="107"/>
      <c r="R1686" s="10"/>
      <c r="S1686" s="107">
        <v>140000</v>
      </c>
      <c r="T1686" s="107">
        <f t="shared" si="678"/>
        <v>0</v>
      </c>
      <c r="U1686" s="107"/>
      <c r="V1686" s="175"/>
      <c r="W1686" s="10"/>
      <c r="X1686" s="10"/>
      <c r="Y1686" t="str">
        <f t="shared" si="694"/>
        <v>3412</v>
      </c>
      <c r="AB1686" s="10"/>
      <c r="AC1686" s="10"/>
      <c r="AD1686" s="10"/>
      <c r="AE1686" s="10"/>
      <c r="AF1686" s="10"/>
      <c r="AG1686" s="10"/>
      <c r="AH1686" s="10"/>
      <c r="AI1686" s="10"/>
    </row>
    <row r="1687" spans="1:35">
      <c r="A1687" s="10"/>
      <c r="B1687" s="10" t="str">
        <f t="shared" si="693"/>
        <v>Below the Line</v>
      </c>
      <c r="C1687" t="s">
        <v>20</v>
      </c>
      <c r="D1687" t="s">
        <v>19</v>
      </c>
      <c r="E1687" t="s">
        <v>214</v>
      </c>
      <c r="F1687" t="s">
        <v>1855</v>
      </c>
      <c r="G1687" t="s">
        <v>996</v>
      </c>
      <c r="I1687" s="10"/>
      <c r="J1687" s="107">
        <f>SUMIF(Data!C:C,G1687,Data!Q:Q)</f>
        <v>0</v>
      </c>
      <c r="K1687" s="107">
        <f>SUMIF(Comprometidos!A:A,'Cost Report'!G1687,Comprometidos!E:E)</f>
        <v>0</v>
      </c>
      <c r="L1687" s="107">
        <f t="shared" si="686"/>
        <v>0</v>
      </c>
      <c r="M1687" s="107">
        <f t="shared" si="687"/>
        <v>0</v>
      </c>
      <c r="N1687" s="107">
        <f t="shared" si="688"/>
        <v>0</v>
      </c>
      <c r="O1687" s="107">
        <f>VLOOKUP(G1687,Budget!$E$3:$G$2474,3,0)</f>
        <v>0</v>
      </c>
      <c r="P1687" s="107">
        <f t="shared" si="689"/>
        <v>0</v>
      </c>
      <c r="Q1687" s="107"/>
      <c r="R1687" s="10"/>
      <c r="S1687" s="107">
        <v>0</v>
      </c>
      <c r="T1687" s="107">
        <f t="shared" si="678"/>
        <v>0</v>
      </c>
      <c r="U1687" s="107"/>
      <c r="V1687" s="175"/>
      <c r="W1687" s="10"/>
      <c r="X1687" s="10"/>
      <c r="Y1687" t="str">
        <f t="shared" si="694"/>
        <v>3412</v>
      </c>
      <c r="AB1687" s="10"/>
      <c r="AC1687" s="10"/>
      <c r="AD1687" s="10"/>
      <c r="AE1687" s="10"/>
      <c r="AF1687" s="10"/>
      <c r="AG1687" s="10"/>
      <c r="AH1687" s="10"/>
      <c r="AI1687" s="10"/>
    </row>
    <row r="1688" spans="1:35">
      <c r="A1688" s="10"/>
      <c r="B1688" s="10" t="str">
        <f t="shared" si="693"/>
        <v>Below the LineSHOOT</v>
      </c>
      <c r="C1688" t="s">
        <v>20</v>
      </c>
      <c r="D1688" t="s">
        <v>19</v>
      </c>
      <c r="E1688" t="s">
        <v>236</v>
      </c>
      <c r="F1688" t="s">
        <v>1855</v>
      </c>
      <c r="G1688" t="s">
        <v>997</v>
      </c>
      <c r="I1688" s="10"/>
      <c r="J1688" s="107">
        <f>SUMIF(Data!C:C,G1688,Data!Q:Q)</f>
        <v>60000</v>
      </c>
      <c r="K1688" s="107">
        <f>SUMIF(Comprometidos!A:A,'Cost Report'!G1688,Comprometidos!E:E)</f>
        <v>0</v>
      </c>
      <c r="L1688" s="107">
        <f t="shared" si="686"/>
        <v>60000</v>
      </c>
      <c r="M1688" s="107">
        <f>+O1688-L1688+35000</f>
        <v>0</v>
      </c>
      <c r="N1688" s="107">
        <f t="shared" si="688"/>
        <v>60000</v>
      </c>
      <c r="O1688" s="107">
        <f>VLOOKUP(G1688,Budget!$E$3:$G$2474,3,0)</f>
        <v>25000</v>
      </c>
      <c r="P1688" s="107">
        <f t="shared" si="689"/>
        <v>-35000</v>
      </c>
      <c r="Q1688" s="107"/>
      <c r="R1688" s="10"/>
      <c r="S1688" s="107">
        <v>60000</v>
      </c>
      <c r="T1688" s="107">
        <f t="shared" si="678"/>
        <v>0</v>
      </c>
      <c r="U1688" s="107"/>
      <c r="V1688" s="175"/>
      <c r="W1688" s="10"/>
      <c r="X1688" s="10"/>
      <c r="Y1688" t="str">
        <f t="shared" si="694"/>
        <v>3412</v>
      </c>
      <c r="AB1688" s="10"/>
      <c r="AC1688" s="10"/>
      <c r="AD1688" s="10"/>
      <c r="AE1688" s="10"/>
      <c r="AF1688" s="10"/>
      <c r="AG1688" s="10"/>
      <c r="AH1688" s="10"/>
      <c r="AI1688" s="10"/>
    </row>
    <row r="1689" spans="1:35">
      <c r="A1689" s="10"/>
      <c r="B1689" s="10" t="str">
        <f t="shared" si="693"/>
        <v>Below the Line</v>
      </c>
      <c r="C1689" t="s">
        <v>20</v>
      </c>
      <c r="D1689" t="s">
        <v>19</v>
      </c>
      <c r="E1689" t="s">
        <v>214</v>
      </c>
      <c r="F1689" t="s">
        <v>1855</v>
      </c>
      <c r="G1689" t="s">
        <v>998</v>
      </c>
      <c r="I1689" s="10"/>
      <c r="J1689" s="107">
        <f>SUMIF(Data!C:C,G1689,Data!Q:Q)</f>
        <v>0</v>
      </c>
      <c r="K1689" s="107">
        <f>SUMIF(Comprometidos!A:A,'Cost Report'!G1689,Comprometidos!E:E)</f>
        <v>0</v>
      </c>
      <c r="L1689" s="107">
        <f t="shared" si="686"/>
        <v>0</v>
      </c>
      <c r="M1689" s="107">
        <f t="shared" si="687"/>
        <v>0</v>
      </c>
      <c r="N1689" s="107">
        <f t="shared" si="688"/>
        <v>0</v>
      </c>
      <c r="O1689" s="107">
        <f>VLOOKUP(G1689,Budget!$E$3:$G$2474,3,0)</f>
        <v>0</v>
      </c>
      <c r="P1689" s="107">
        <f t="shared" si="689"/>
        <v>0</v>
      </c>
      <c r="Q1689" s="107"/>
      <c r="R1689" s="10"/>
      <c r="S1689" s="107">
        <v>0</v>
      </c>
      <c r="T1689" s="107">
        <f t="shared" si="678"/>
        <v>0</v>
      </c>
      <c r="U1689" s="107"/>
      <c r="V1689" s="175"/>
      <c r="W1689" s="10"/>
      <c r="X1689" s="10"/>
      <c r="Y1689" t="str">
        <f t="shared" si="694"/>
        <v>3412</v>
      </c>
      <c r="AB1689" s="10"/>
      <c r="AC1689" s="10"/>
      <c r="AD1689" s="10"/>
      <c r="AE1689" s="10"/>
      <c r="AF1689" s="10"/>
      <c r="AG1689" s="10"/>
      <c r="AH1689" s="10"/>
      <c r="AI1689" s="10"/>
    </row>
    <row r="1690" spans="1:35">
      <c r="A1690" s="10"/>
      <c r="B1690" s="10" t="str">
        <f t="shared" si="693"/>
        <v>Below the LineSHOOT</v>
      </c>
      <c r="C1690" t="s">
        <v>20</v>
      </c>
      <c r="D1690" t="s">
        <v>19</v>
      </c>
      <c r="E1690" t="s">
        <v>236</v>
      </c>
      <c r="F1690" t="s">
        <v>1855</v>
      </c>
      <c r="G1690" t="s">
        <v>999</v>
      </c>
      <c r="I1690" s="10"/>
      <c r="J1690" s="107">
        <f>SUMIF(Data!C:C,G1690,Data!Q:Q)</f>
        <v>77586.210000000006</v>
      </c>
      <c r="K1690" s="107">
        <f>SUMIF(Comprometidos!A:A,'Cost Report'!G1690,Comprometidos!E:E)</f>
        <v>0</v>
      </c>
      <c r="L1690" s="107">
        <f t="shared" si="686"/>
        <v>77586.210000000006</v>
      </c>
      <c r="M1690" s="107">
        <f t="shared" si="687"/>
        <v>0</v>
      </c>
      <c r="N1690" s="107">
        <f t="shared" si="688"/>
        <v>77586.210000000006</v>
      </c>
      <c r="O1690" s="107">
        <f>VLOOKUP(G1690,Budget!$E$3:$G$2474,3,0)</f>
        <v>77586.210000000006</v>
      </c>
      <c r="P1690" s="107">
        <f t="shared" si="689"/>
        <v>0</v>
      </c>
      <c r="Q1690" s="107"/>
      <c r="R1690" s="10"/>
      <c r="S1690" s="107">
        <v>77586.210000000006</v>
      </c>
      <c r="T1690" s="107">
        <f t="shared" ref="T1690:T1753" si="695">+S1690-N1690</f>
        <v>0</v>
      </c>
      <c r="U1690" s="107"/>
      <c r="V1690" s="175"/>
      <c r="W1690" s="10"/>
      <c r="X1690" s="10"/>
      <c r="Y1690" t="str">
        <f t="shared" si="694"/>
        <v>3412</v>
      </c>
      <c r="AB1690" s="10"/>
      <c r="AC1690" s="10"/>
      <c r="AD1690" s="10"/>
      <c r="AE1690" s="10"/>
      <c r="AF1690" s="10"/>
      <c r="AG1690" s="10"/>
      <c r="AH1690" s="10"/>
      <c r="AI1690" s="10"/>
    </row>
    <row r="1691" spans="1:35">
      <c r="A1691" s="10"/>
      <c r="B1691" s="10" t="str">
        <f t="shared" si="693"/>
        <v>Below the Line</v>
      </c>
      <c r="C1691" t="s">
        <v>20</v>
      </c>
      <c r="D1691" t="s">
        <v>19</v>
      </c>
      <c r="E1691" t="s">
        <v>214</v>
      </c>
      <c r="F1691" t="s">
        <v>1855</v>
      </c>
      <c r="G1691" t="s">
        <v>1000</v>
      </c>
      <c r="I1691" s="10"/>
      <c r="J1691" s="107">
        <f>SUMIF(Data!C:C,G1691,Data!Q:Q)</f>
        <v>0</v>
      </c>
      <c r="K1691" s="107">
        <f>SUMIF(Comprometidos!A:A,'Cost Report'!G1691,Comprometidos!E:E)</f>
        <v>0</v>
      </c>
      <c r="L1691" s="107">
        <f t="shared" si="686"/>
        <v>0</v>
      </c>
      <c r="M1691" s="107">
        <f t="shared" si="687"/>
        <v>0</v>
      </c>
      <c r="N1691" s="107">
        <f t="shared" si="688"/>
        <v>0</v>
      </c>
      <c r="O1691" s="107">
        <f>VLOOKUP(G1691,Budget!$E$3:$G$2474,3,0)</f>
        <v>0</v>
      </c>
      <c r="P1691" s="107">
        <f t="shared" si="689"/>
        <v>0</v>
      </c>
      <c r="Q1691" s="107"/>
      <c r="R1691" s="10"/>
      <c r="S1691" s="107">
        <v>0</v>
      </c>
      <c r="T1691" s="107">
        <f t="shared" si="695"/>
        <v>0</v>
      </c>
      <c r="U1691" s="107"/>
      <c r="V1691" s="175"/>
      <c r="W1691" s="10"/>
      <c r="X1691" s="10"/>
      <c r="Y1691" t="str">
        <f t="shared" si="694"/>
        <v>3412</v>
      </c>
      <c r="AB1691" s="10"/>
      <c r="AC1691" s="10"/>
      <c r="AD1691" s="10"/>
      <c r="AE1691" s="10"/>
      <c r="AF1691" s="10"/>
      <c r="AG1691" s="10"/>
      <c r="AH1691" s="10"/>
      <c r="AI1691" s="10"/>
    </row>
    <row r="1692" spans="1:35">
      <c r="A1692" s="10"/>
      <c r="B1692" s="10" t="str">
        <f t="shared" si="693"/>
        <v>Below the LineSHOOT</v>
      </c>
      <c r="C1692" t="s">
        <v>20</v>
      </c>
      <c r="D1692" t="s">
        <v>19</v>
      </c>
      <c r="E1692" t="s">
        <v>236</v>
      </c>
      <c r="F1692" t="s">
        <v>1855</v>
      </c>
      <c r="G1692" t="s">
        <v>1001</v>
      </c>
      <c r="I1692" s="10"/>
      <c r="J1692" s="107">
        <f>SUMIF(Data!C:C,G1692,Data!Q:Q)</f>
        <v>0</v>
      </c>
      <c r="K1692" s="107">
        <f>SUMIF(Comprometidos!A:A,'Cost Report'!G1692,Comprometidos!E:E)</f>
        <v>0</v>
      </c>
      <c r="L1692" s="107">
        <f t="shared" si="686"/>
        <v>0</v>
      </c>
      <c r="M1692" s="107">
        <v>0</v>
      </c>
      <c r="N1692" s="107">
        <f t="shared" si="688"/>
        <v>0</v>
      </c>
      <c r="O1692" s="107">
        <f>VLOOKUP(G1692,Budget!$E$3:$G$2474,3,0)</f>
        <v>58189.66</v>
      </c>
      <c r="P1692" s="107">
        <f t="shared" si="689"/>
        <v>58189.66</v>
      </c>
      <c r="Q1692" s="107"/>
      <c r="R1692" s="10"/>
      <c r="S1692" s="107">
        <v>0</v>
      </c>
      <c r="T1692" s="107">
        <f t="shared" si="695"/>
        <v>0</v>
      </c>
      <c r="U1692" s="107"/>
      <c r="V1692" s="175"/>
      <c r="W1692" s="10"/>
      <c r="X1692" s="10"/>
      <c r="Y1692" t="str">
        <f t="shared" si="694"/>
        <v>3412</v>
      </c>
      <c r="AB1692" s="10"/>
      <c r="AC1692" s="10"/>
      <c r="AD1692" s="10"/>
      <c r="AE1692" s="10"/>
      <c r="AF1692" s="10"/>
      <c r="AG1692" s="10"/>
      <c r="AH1692" s="10"/>
      <c r="AI1692" s="10"/>
    </row>
    <row r="1693" spans="1:35">
      <c r="A1693" s="10"/>
      <c r="B1693" s="10" t="str">
        <f t="shared" si="693"/>
        <v>Below the Line</v>
      </c>
      <c r="C1693" t="s">
        <v>20</v>
      </c>
      <c r="D1693" t="s">
        <v>19</v>
      </c>
      <c r="E1693" t="s">
        <v>214</v>
      </c>
      <c r="F1693" t="s">
        <v>1855</v>
      </c>
      <c r="G1693" t="s">
        <v>1002</v>
      </c>
      <c r="I1693" s="10"/>
      <c r="J1693" s="107">
        <f>SUMIF(Data!C:C,G1693,Data!Q:Q)</f>
        <v>0</v>
      </c>
      <c r="K1693" s="107">
        <f>SUMIF(Comprometidos!A:A,'Cost Report'!G1693,Comprometidos!E:E)</f>
        <v>0</v>
      </c>
      <c r="L1693" s="107">
        <f t="shared" si="686"/>
        <v>0</v>
      </c>
      <c r="M1693" s="107">
        <f t="shared" si="687"/>
        <v>0</v>
      </c>
      <c r="N1693" s="107">
        <f t="shared" si="688"/>
        <v>0</v>
      </c>
      <c r="O1693" s="107">
        <f>VLOOKUP(G1693,Budget!$E$3:$G$2474,3,0)</f>
        <v>0</v>
      </c>
      <c r="P1693" s="107">
        <f t="shared" si="689"/>
        <v>0</v>
      </c>
      <c r="Q1693" s="107"/>
      <c r="R1693" s="10"/>
      <c r="S1693" s="107">
        <v>0</v>
      </c>
      <c r="T1693" s="107">
        <f t="shared" si="695"/>
        <v>0</v>
      </c>
      <c r="U1693" s="107"/>
      <c r="V1693" s="175"/>
      <c r="W1693" s="10"/>
      <c r="X1693" s="10"/>
      <c r="Y1693" t="str">
        <f t="shared" si="694"/>
        <v>3412</v>
      </c>
      <c r="AB1693" s="10"/>
      <c r="AC1693" s="10"/>
      <c r="AD1693" s="10"/>
      <c r="AE1693" s="10"/>
      <c r="AF1693" s="10"/>
      <c r="AG1693" s="10"/>
      <c r="AH1693" s="10"/>
      <c r="AI1693" s="10"/>
    </row>
    <row r="1694" spans="1:35">
      <c r="A1694" s="10"/>
      <c r="B1694" s="10" t="str">
        <f t="shared" si="693"/>
        <v>Below the LineSHOOT</v>
      </c>
      <c r="C1694" t="s">
        <v>20</v>
      </c>
      <c r="D1694" t="s">
        <v>19</v>
      </c>
      <c r="E1694" t="s">
        <v>236</v>
      </c>
      <c r="F1694" t="s">
        <v>1855</v>
      </c>
      <c r="G1694" t="s">
        <v>1003</v>
      </c>
      <c r="I1694" s="10"/>
      <c r="J1694" s="107">
        <f>SUMIF(Data!C:C,G1694,Data!Q:Q)</f>
        <v>429685</v>
      </c>
      <c r="K1694" s="107">
        <f>SUMIF(Comprometidos!A:A,'Cost Report'!G1694,Comprometidos!E:E)</f>
        <v>0</v>
      </c>
      <c r="L1694" s="107">
        <f t="shared" si="686"/>
        <v>429685</v>
      </c>
      <c r="M1694" s="107">
        <v>0</v>
      </c>
      <c r="N1694" s="107">
        <f t="shared" si="688"/>
        <v>429685</v>
      </c>
      <c r="O1694" s="107">
        <f>VLOOKUP(G1694,Budget!$E$3:$G$2474,3,0)</f>
        <v>370272</v>
      </c>
      <c r="P1694" s="107">
        <f t="shared" si="689"/>
        <v>-59413</v>
      </c>
      <c r="Q1694" s="107"/>
      <c r="R1694" s="10"/>
      <c r="S1694" s="107">
        <v>429685</v>
      </c>
      <c r="T1694" s="107">
        <f t="shared" si="695"/>
        <v>0</v>
      </c>
      <c r="U1694" s="107"/>
      <c r="V1694" s="175"/>
      <c r="W1694" s="10"/>
      <c r="X1694" s="10"/>
      <c r="Y1694" t="str">
        <f t="shared" si="694"/>
        <v>3412</v>
      </c>
      <c r="AB1694" s="10"/>
      <c r="AC1694" s="10"/>
      <c r="AD1694" s="10"/>
      <c r="AE1694" s="10"/>
      <c r="AF1694" s="10"/>
      <c r="AG1694" s="10"/>
      <c r="AH1694" s="10"/>
      <c r="AI1694" s="10"/>
    </row>
    <row r="1695" spans="1:35">
      <c r="A1695" s="10"/>
      <c r="B1695" s="10" t="str">
        <f t="shared" si="693"/>
        <v>Below the Line</v>
      </c>
      <c r="C1695" t="s">
        <v>20</v>
      </c>
      <c r="D1695" t="s">
        <v>19</v>
      </c>
      <c r="E1695" t="s">
        <v>214</v>
      </c>
      <c r="F1695" t="s">
        <v>1855</v>
      </c>
      <c r="G1695" t="s">
        <v>1004</v>
      </c>
      <c r="I1695" s="10"/>
      <c r="J1695" s="107">
        <f>SUMIF(Data!C:C,G1695,Data!Q:Q)</f>
        <v>0</v>
      </c>
      <c r="K1695" s="107">
        <f>SUMIF(Comprometidos!A:A,'Cost Report'!G1695,Comprometidos!E:E)</f>
        <v>0</v>
      </c>
      <c r="L1695" s="107">
        <f t="shared" si="686"/>
        <v>0</v>
      </c>
      <c r="M1695" s="107">
        <f t="shared" si="687"/>
        <v>0</v>
      </c>
      <c r="N1695" s="107">
        <f t="shared" si="688"/>
        <v>0</v>
      </c>
      <c r="O1695" s="107">
        <f>VLOOKUP(G1695,Budget!$E$3:$G$2474,3,0)</f>
        <v>0</v>
      </c>
      <c r="P1695" s="107">
        <f t="shared" si="689"/>
        <v>0</v>
      </c>
      <c r="Q1695" s="107"/>
      <c r="R1695" s="10"/>
      <c r="S1695" s="107">
        <v>0</v>
      </c>
      <c r="T1695" s="107">
        <f t="shared" si="695"/>
        <v>0</v>
      </c>
      <c r="U1695" s="107"/>
      <c r="V1695" s="175"/>
      <c r="W1695" s="10"/>
      <c r="X1695" s="10"/>
      <c r="Y1695" t="str">
        <f t="shared" si="694"/>
        <v>3412</v>
      </c>
      <c r="AB1695" s="10"/>
      <c r="AC1695" s="10"/>
      <c r="AD1695" s="10"/>
      <c r="AE1695" s="10"/>
      <c r="AF1695" s="10"/>
      <c r="AG1695" s="10"/>
      <c r="AH1695" s="10"/>
      <c r="AI1695" s="10"/>
    </row>
    <row r="1696" spans="1:35">
      <c r="A1696" s="10"/>
      <c r="B1696" s="10" t="str">
        <f t="shared" si="693"/>
        <v>Below the LineSHOOT</v>
      </c>
      <c r="C1696" t="s">
        <v>20</v>
      </c>
      <c r="D1696" t="s">
        <v>19</v>
      </c>
      <c r="E1696" t="s">
        <v>236</v>
      </c>
      <c r="F1696" t="s">
        <v>1855</v>
      </c>
      <c r="G1696" t="s">
        <v>1005</v>
      </c>
      <c r="I1696" s="10"/>
      <c r="J1696" s="107">
        <f>SUMIF(Data!C:C,G1696,Data!Q:Q)</f>
        <v>15000</v>
      </c>
      <c r="K1696" s="107">
        <f>SUMIF(Comprometidos!A:A,'Cost Report'!G1696,Comprometidos!E:E)</f>
        <v>0</v>
      </c>
      <c r="L1696" s="107">
        <f t="shared" si="686"/>
        <v>15000</v>
      </c>
      <c r="M1696" s="107">
        <f>+O1696-L1696-15000</f>
        <v>0</v>
      </c>
      <c r="N1696" s="107">
        <f t="shared" si="688"/>
        <v>15000</v>
      </c>
      <c r="O1696" s="107">
        <f>VLOOKUP(G1696,Budget!$E$3:$G$2474,3,0)</f>
        <v>30000</v>
      </c>
      <c r="P1696" s="107">
        <f t="shared" si="689"/>
        <v>15000</v>
      </c>
      <c r="Q1696" s="107"/>
      <c r="R1696" s="10"/>
      <c r="S1696" s="107">
        <v>15000</v>
      </c>
      <c r="T1696" s="107">
        <f t="shared" si="695"/>
        <v>0</v>
      </c>
      <c r="U1696" s="107"/>
      <c r="V1696" s="175"/>
      <c r="W1696" s="10"/>
      <c r="X1696" s="10"/>
      <c r="Y1696" t="str">
        <f t="shared" si="694"/>
        <v>3412</v>
      </c>
      <c r="AB1696" s="10"/>
      <c r="AC1696" s="10"/>
      <c r="AD1696" s="10"/>
      <c r="AE1696" s="10"/>
      <c r="AF1696" s="10"/>
      <c r="AG1696" s="10"/>
      <c r="AH1696" s="10"/>
      <c r="AI1696" s="10"/>
    </row>
    <row r="1697" spans="1:35">
      <c r="A1697" s="10"/>
      <c r="B1697" s="10" t="str">
        <f t="shared" si="693"/>
        <v>Below the Line</v>
      </c>
      <c r="C1697" t="s">
        <v>20</v>
      </c>
      <c r="D1697" t="s">
        <v>19</v>
      </c>
      <c r="E1697" t="s">
        <v>214</v>
      </c>
      <c r="F1697" t="s">
        <v>1855</v>
      </c>
      <c r="G1697" t="s">
        <v>1006</v>
      </c>
      <c r="I1697" s="10"/>
      <c r="J1697" s="107">
        <f>SUMIF(Data!C:C,G1697,Data!Q:Q)</f>
        <v>0</v>
      </c>
      <c r="K1697" s="107">
        <f>SUMIF(Comprometidos!A:A,'Cost Report'!G1697,Comprometidos!E:E)</f>
        <v>0</v>
      </c>
      <c r="L1697" s="107">
        <f t="shared" si="686"/>
        <v>0</v>
      </c>
      <c r="M1697" s="107">
        <f t="shared" si="687"/>
        <v>0</v>
      </c>
      <c r="N1697" s="107">
        <f t="shared" si="688"/>
        <v>0</v>
      </c>
      <c r="O1697" s="107">
        <f>VLOOKUP(G1697,Budget!$E$3:$G$2474,3,0)</f>
        <v>0</v>
      </c>
      <c r="P1697" s="107">
        <f t="shared" si="689"/>
        <v>0</v>
      </c>
      <c r="Q1697" s="107"/>
      <c r="R1697" s="10"/>
      <c r="S1697" s="107">
        <v>0</v>
      </c>
      <c r="T1697" s="107">
        <f t="shared" si="695"/>
        <v>0</v>
      </c>
      <c r="U1697" s="107"/>
      <c r="V1697" s="175"/>
      <c r="W1697" s="10"/>
      <c r="X1697" s="10"/>
      <c r="Y1697" t="str">
        <f t="shared" si="694"/>
        <v>3412</v>
      </c>
      <c r="AB1697" s="10"/>
      <c r="AC1697" s="10"/>
      <c r="AD1697" s="10"/>
      <c r="AE1697" s="10"/>
      <c r="AF1697" s="10"/>
      <c r="AG1697" s="10"/>
      <c r="AH1697" s="10"/>
      <c r="AI1697" s="10"/>
    </row>
    <row r="1698" spans="1:35">
      <c r="A1698" s="10"/>
      <c r="B1698" s="10" t="str">
        <f t="shared" si="693"/>
        <v>Below the LineSHOOT</v>
      </c>
      <c r="C1698" t="s">
        <v>20</v>
      </c>
      <c r="D1698" t="s">
        <v>19</v>
      </c>
      <c r="E1698" t="s">
        <v>236</v>
      </c>
      <c r="F1698" t="s">
        <v>1855</v>
      </c>
      <c r="G1698" t="s">
        <v>1007</v>
      </c>
      <c r="I1698" s="10"/>
      <c r="J1698" s="107">
        <f>SUMIF(Data!C:C,G1698,Data!Q:Q)</f>
        <v>15000</v>
      </c>
      <c r="K1698" s="107">
        <f>SUMIF(Comprometidos!A:A,'Cost Report'!G1698,Comprometidos!E:E)</f>
        <v>0</v>
      </c>
      <c r="L1698" s="107">
        <f t="shared" si="686"/>
        <v>15000</v>
      </c>
      <c r="M1698" s="107">
        <f>+O1698-L1698-25000</f>
        <v>0</v>
      </c>
      <c r="N1698" s="107">
        <f t="shared" si="688"/>
        <v>15000</v>
      </c>
      <c r="O1698" s="107">
        <f>VLOOKUP(G1698,Budget!$E$3:$G$2474,3,0)</f>
        <v>40000</v>
      </c>
      <c r="P1698" s="107">
        <f t="shared" si="689"/>
        <v>25000</v>
      </c>
      <c r="Q1698" s="107"/>
      <c r="R1698" s="10"/>
      <c r="S1698" s="107">
        <v>15000</v>
      </c>
      <c r="T1698" s="107">
        <f t="shared" si="695"/>
        <v>0</v>
      </c>
      <c r="U1698" s="107"/>
      <c r="V1698" s="175"/>
      <c r="W1698" s="10"/>
      <c r="X1698" s="10"/>
      <c r="Y1698" t="str">
        <f t="shared" si="694"/>
        <v>3412</v>
      </c>
      <c r="AB1698" s="10"/>
      <c r="AC1698" s="10"/>
      <c r="AD1698" s="10"/>
      <c r="AE1698" s="10"/>
      <c r="AF1698" s="10"/>
      <c r="AG1698" s="10"/>
      <c r="AH1698" s="10"/>
      <c r="AI1698" s="10"/>
    </row>
    <row r="1699" spans="1:35">
      <c r="A1699" s="10"/>
      <c r="B1699" s="10" t="str">
        <f t="shared" si="693"/>
        <v>Below the Line</v>
      </c>
      <c r="C1699" t="s">
        <v>20</v>
      </c>
      <c r="D1699" t="s">
        <v>19</v>
      </c>
      <c r="E1699" t="s">
        <v>214</v>
      </c>
      <c r="F1699" t="s">
        <v>1855</v>
      </c>
      <c r="G1699" t="s">
        <v>1008</v>
      </c>
      <c r="I1699" s="10"/>
      <c r="J1699" s="107">
        <f>SUMIF(Data!C:C,G1699,Data!Q:Q)</f>
        <v>0</v>
      </c>
      <c r="K1699" s="107">
        <f>SUMIF(Comprometidos!A:A,'Cost Report'!G1699,Comprometidos!E:E)</f>
        <v>0</v>
      </c>
      <c r="L1699" s="107">
        <f t="shared" si="686"/>
        <v>0</v>
      </c>
      <c r="M1699" s="107">
        <f t="shared" si="687"/>
        <v>0</v>
      </c>
      <c r="N1699" s="107">
        <f t="shared" si="688"/>
        <v>0</v>
      </c>
      <c r="O1699" s="107">
        <f>VLOOKUP(G1699,Budget!$E$3:$G$2474,3,0)</f>
        <v>0</v>
      </c>
      <c r="P1699" s="107">
        <f t="shared" si="689"/>
        <v>0</v>
      </c>
      <c r="Q1699" s="107"/>
      <c r="R1699" s="10"/>
      <c r="S1699" s="107">
        <v>0</v>
      </c>
      <c r="T1699" s="107">
        <f t="shared" si="695"/>
        <v>0</v>
      </c>
      <c r="U1699" s="107"/>
      <c r="V1699" s="175"/>
      <c r="W1699" s="10"/>
      <c r="X1699" s="10"/>
      <c r="Y1699" t="str">
        <f t="shared" si="694"/>
        <v>3412</v>
      </c>
      <c r="AB1699" s="10"/>
      <c r="AC1699" s="10"/>
      <c r="AD1699" s="10"/>
      <c r="AE1699" s="10"/>
      <c r="AF1699" s="10"/>
      <c r="AG1699" s="10"/>
      <c r="AH1699" s="10"/>
      <c r="AI1699" s="10"/>
    </row>
    <row r="1700" spans="1:35">
      <c r="A1700" s="10"/>
      <c r="B1700" s="10" t="str">
        <f t="shared" si="693"/>
        <v>Below the LineSHOOT</v>
      </c>
      <c r="C1700" t="s">
        <v>20</v>
      </c>
      <c r="D1700" t="s">
        <v>19</v>
      </c>
      <c r="E1700" t="s">
        <v>236</v>
      </c>
      <c r="F1700" t="s">
        <v>1855</v>
      </c>
      <c r="G1700" t="s">
        <v>1009</v>
      </c>
      <c r="I1700" s="10"/>
      <c r="J1700" s="107">
        <f>SUMIF(Data!C:C,G1700,Data!Q:Q)</f>
        <v>20000</v>
      </c>
      <c r="K1700" s="107">
        <f>SUMIF(Comprometidos!A:A,'Cost Report'!G1700,Comprometidos!E:E)</f>
        <v>0</v>
      </c>
      <c r="L1700" s="107">
        <f t="shared" si="686"/>
        <v>20000</v>
      </c>
      <c r="M1700" s="107">
        <v>0</v>
      </c>
      <c r="N1700" s="107">
        <f t="shared" si="688"/>
        <v>20000</v>
      </c>
      <c r="O1700" s="107">
        <f>VLOOKUP(G1700,Budget!$E$3:$G$2474,3,0)</f>
        <v>25000</v>
      </c>
      <c r="P1700" s="107">
        <f t="shared" si="689"/>
        <v>5000</v>
      </c>
      <c r="Q1700" s="107"/>
      <c r="R1700" s="10"/>
      <c r="S1700" s="107">
        <v>20000</v>
      </c>
      <c r="T1700" s="107">
        <f t="shared" si="695"/>
        <v>0</v>
      </c>
      <c r="U1700" s="107"/>
      <c r="V1700" s="175"/>
      <c r="W1700" s="10"/>
      <c r="X1700" s="10"/>
      <c r="Y1700" t="str">
        <f t="shared" si="694"/>
        <v>3412</v>
      </c>
      <c r="AB1700" s="10"/>
      <c r="AC1700" s="10"/>
      <c r="AD1700" s="10"/>
      <c r="AE1700" s="10"/>
      <c r="AF1700" s="10"/>
      <c r="AG1700" s="10"/>
      <c r="AH1700" s="10"/>
      <c r="AI1700" s="10"/>
    </row>
    <row r="1701" spans="1:35">
      <c r="A1701" s="10"/>
      <c r="B1701" s="10" t="str">
        <f t="shared" si="693"/>
        <v>Below the Line</v>
      </c>
      <c r="C1701" t="s">
        <v>20</v>
      </c>
      <c r="D1701" t="s">
        <v>19</v>
      </c>
      <c r="E1701" t="s">
        <v>214</v>
      </c>
      <c r="F1701" t="s">
        <v>1855</v>
      </c>
      <c r="G1701" t="s">
        <v>1010</v>
      </c>
      <c r="I1701" s="10"/>
      <c r="J1701" s="107">
        <f>SUMIF(Data!C:C,G1701,Data!Q:Q)</f>
        <v>0</v>
      </c>
      <c r="K1701" s="107">
        <f>SUMIF(Comprometidos!A:A,'Cost Report'!G1701,Comprometidos!E:E)</f>
        <v>0</v>
      </c>
      <c r="L1701" s="107">
        <f t="shared" si="686"/>
        <v>0</v>
      </c>
      <c r="M1701" s="107">
        <f t="shared" si="687"/>
        <v>0</v>
      </c>
      <c r="N1701" s="107">
        <f t="shared" si="688"/>
        <v>0</v>
      </c>
      <c r="O1701" s="107">
        <f>VLOOKUP(G1701,Budget!$E$3:$G$2474,3,0)</f>
        <v>0</v>
      </c>
      <c r="P1701" s="107">
        <f t="shared" si="689"/>
        <v>0</v>
      </c>
      <c r="Q1701" s="107"/>
      <c r="R1701" s="10"/>
      <c r="S1701" s="107">
        <v>0</v>
      </c>
      <c r="T1701" s="107">
        <f t="shared" si="695"/>
        <v>0</v>
      </c>
      <c r="U1701" s="107"/>
      <c r="V1701" s="175"/>
      <c r="W1701" s="10"/>
      <c r="X1701" s="10"/>
      <c r="Y1701" t="str">
        <f t="shared" si="694"/>
        <v>3412</v>
      </c>
      <c r="AB1701" s="10"/>
      <c r="AC1701" s="10"/>
      <c r="AD1701" s="10"/>
      <c r="AE1701" s="10"/>
      <c r="AF1701" s="10"/>
      <c r="AG1701" s="10"/>
      <c r="AH1701" s="10"/>
      <c r="AI1701" s="10"/>
    </row>
    <row r="1702" spans="1:35">
      <c r="A1702" s="10"/>
      <c r="B1702" s="10" t="str">
        <f t="shared" si="693"/>
        <v>Below the LineSHOOT</v>
      </c>
      <c r="C1702" t="s">
        <v>20</v>
      </c>
      <c r="D1702" t="s">
        <v>19</v>
      </c>
      <c r="E1702" t="s">
        <v>236</v>
      </c>
      <c r="F1702" t="s">
        <v>1855</v>
      </c>
      <c r="G1702" t="s">
        <v>1011</v>
      </c>
      <c r="I1702" s="10"/>
      <c r="J1702" s="107">
        <f>SUMIF(Data!C:C,G1702,Data!Q:Q)</f>
        <v>45000</v>
      </c>
      <c r="K1702" s="107">
        <f>SUMIF(Comprometidos!A:A,'Cost Report'!G1702,Comprometidos!E:E)</f>
        <v>0</v>
      </c>
      <c r="L1702" s="107">
        <f t="shared" si="686"/>
        <v>45000</v>
      </c>
      <c r="M1702" s="107">
        <f>+O1702-L1702</f>
        <v>0</v>
      </c>
      <c r="N1702" s="107">
        <f t="shared" si="688"/>
        <v>45000</v>
      </c>
      <c r="O1702" s="107">
        <f>VLOOKUP(G1702,Budget!$E$3:$G$2474,3,0)</f>
        <v>45000</v>
      </c>
      <c r="P1702" s="107">
        <f t="shared" si="689"/>
        <v>0</v>
      </c>
      <c r="Q1702" s="107"/>
      <c r="R1702" s="10"/>
      <c r="S1702" s="107">
        <v>45000</v>
      </c>
      <c r="T1702" s="107">
        <f t="shared" si="695"/>
        <v>0</v>
      </c>
      <c r="U1702" s="107"/>
      <c r="V1702" s="175"/>
      <c r="W1702" s="10"/>
      <c r="X1702" s="10"/>
      <c r="Y1702" t="str">
        <f t="shared" si="694"/>
        <v>3412</v>
      </c>
      <c r="AB1702" s="10"/>
      <c r="AC1702" s="10"/>
      <c r="AD1702" s="10"/>
      <c r="AE1702" s="10"/>
      <c r="AF1702" s="10"/>
      <c r="AG1702" s="10"/>
      <c r="AH1702" s="10"/>
      <c r="AI1702" s="10"/>
    </row>
    <row r="1703" spans="1:35">
      <c r="A1703" s="10"/>
      <c r="B1703" s="10" t="str">
        <f t="shared" si="693"/>
        <v>Below the Line</v>
      </c>
      <c r="C1703" t="s">
        <v>20</v>
      </c>
      <c r="D1703" t="s">
        <v>19</v>
      </c>
      <c r="E1703" t="s">
        <v>214</v>
      </c>
      <c r="F1703" t="s">
        <v>1855</v>
      </c>
      <c r="G1703" t="s">
        <v>1012</v>
      </c>
      <c r="I1703" s="10"/>
      <c r="J1703" s="107">
        <f>SUMIF(Data!C:C,G1703,Data!Q:Q)</f>
        <v>0</v>
      </c>
      <c r="K1703" s="107">
        <f>SUMIF(Comprometidos!A:A,'Cost Report'!G1703,Comprometidos!E:E)</f>
        <v>0</v>
      </c>
      <c r="L1703" s="107">
        <f t="shared" si="686"/>
        <v>0</v>
      </c>
      <c r="M1703" s="107">
        <f t="shared" si="687"/>
        <v>0</v>
      </c>
      <c r="N1703" s="107">
        <f t="shared" si="688"/>
        <v>0</v>
      </c>
      <c r="O1703" s="107">
        <f>VLOOKUP(G1703,Budget!$E$3:$G$2474,3,0)</f>
        <v>0</v>
      </c>
      <c r="P1703" s="107">
        <f t="shared" si="689"/>
        <v>0</v>
      </c>
      <c r="Q1703" s="107"/>
      <c r="R1703" s="10"/>
      <c r="S1703" s="107">
        <v>0</v>
      </c>
      <c r="T1703" s="107">
        <f t="shared" si="695"/>
        <v>0</v>
      </c>
      <c r="U1703" s="107"/>
      <c r="V1703" s="175"/>
      <c r="W1703" s="10"/>
      <c r="X1703" s="10"/>
      <c r="Y1703" t="str">
        <f t="shared" si="694"/>
        <v>3412</v>
      </c>
      <c r="AB1703" s="10"/>
      <c r="AC1703" s="10"/>
      <c r="AD1703" s="10"/>
      <c r="AE1703" s="10"/>
      <c r="AF1703" s="10"/>
      <c r="AG1703" s="10"/>
      <c r="AH1703" s="10"/>
      <c r="AI1703" s="10"/>
    </row>
    <row r="1704" spans="1:35">
      <c r="A1704" s="10"/>
      <c r="B1704" s="10" t="str">
        <f t="shared" si="693"/>
        <v>Below the LineSHOOT</v>
      </c>
      <c r="C1704" t="s">
        <v>20</v>
      </c>
      <c r="D1704" t="s">
        <v>19</v>
      </c>
      <c r="E1704" t="s">
        <v>236</v>
      </c>
      <c r="F1704" t="s">
        <v>1855</v>
      </c>
      <c r="G1704" t="s">
        <v>1013</v>
      </c>
      <c r="I1704" s="10"/>
      <c r="J1704" s="107">
        <f>SUMIF(Data!C:C,G1704,Data!Q:Q)</f>
        <v>51750</v>
      </c>
      <c r="K1704" s="107">
        <f>SUMIF(Comprometidos!A:A,'Cost Report'!G1704,Comprometidos!E:E)</f>
        <v>0</v>
      </c>
      <c r="L1704" s="107">
        <f t="shared" si="686"/>
        <v>51750</v>
      </c>
      <c r="M1704" s="107">
        <v>0</v>
      </c>
      <c r="N1704" s="107">
        <f t="shared" si="688"/>
        <v>51750</v>
      </c>
      <c r="O1704" s="107">
        <f>VLOOKUP(G1704,Budget!$E$3:$G$2474,3,0)</f>
        <v>45000</v>
      </c>
      <c r="P1704" s="107">
        <f t="shared" si="689"/>
        <v>-6750</v>
      </c>
      <c r="Q1704" s="107"/>
      <c r="R1704" s="10"/>
      <c r="S1704" s="107">
        <v>51750</v>
      </c>
      <c r="T1704" s="107">
        <f t="shared" si="695"/>
        <v>0</v>
      </c>
      <c r="U1704" s="107"/>
      <c r="V1704" s="175"/>
      <c r="W1704" s="10"/>
      <c r="X1704" s="10"/>
      <c r="Y1704" t="str">
        <f t="shared" si="694"/>
        <v>3412</v>
      </c>
      <c r="AB1704" s="10"/>
      <c r="AC1704" s="10"/>
      <c r="AD1704" s="10"/>
      <c r="AE1704" s="10"/>
      <c r="AF1704" s="10"/>
      <c r="AG1704" s="10"/>
      <c r="AH1704" s="10"/>
      <c r="AI1704" s="10"/>
    </row>
    <row r="1705" spans="1:35">
      <c r="A1705" s="10"/>
      <c r="B1705" s="10" t="str">
        <f t="shared" si="693"/>
        <v>Below the Line</v>
      </c>
      <c r="C1705" t="s">
        <v>20</v>
      </c>
      <c r="D1705" t="s">
        <v>19</v>
      </c>
      <c r="E1705" t="s">
        <v>214</v>
      </c>
      <c r="F1705" t="s">
        <v>1855</v>
      </c>
      <c r="G1705" t="s">
        <v>1014</v>
      </c>
      <c r="I1705" s="10"/>
      <c r="J1705" s="107">
        <f>SUMIF(Data!C:C,G1705,Data!Q:Q)</f>
        <v>0</v>
      </c>
      <c r="K1705" s="107">
        <f>SUMIF(Comprometidos!A:A,'Cost Report'!G1705,Comprometidos!E:E)</f>
        <v>0</v>
      </c>
      <c r="L1705" s="107">
        <f t="shared" si="686"/>
        <v>0</v>
      </c>
      <c r="M1705" s="107">
        <f t="shared" si="687"/>
        <v>0</v>
      </c>
      <c r="N1705" s="107">
        <f t="shared" si="688"/>
        <v>0</v>
      </c>
      <c r="O1705" s="107">
        <f>VLOOKUP(G1705,Budget!$E$3:$G$2474,3,0)</f>
        <v>0</v>
      </c>
      <c r="P1705" s="107">
        <f t="shared" si="689"/>
        <v>0</v>
      </c>
      <c r="Q1705" s="107"/>
      <c r="R1705" s="10"/>
      <c r="S1705" s="107">
        <v>0</v>
      </c>
      <c r="T1705" s="107">
        <f t="shared" si="695"/>
        <v>0</v>
      </c>
      <c r="U1705" s="107"/>
      <c r="V1705" s="175"/>
      <c r="W1705" s="10"/>
      <c r="X1705" s="10"/>
      <c r="Y1705" t="str">
        <f t="shared" si="694"/>
        <v>3412</v>
      </c>
      <c r="AB1705" s="10"/>
      <c r="AC1705" s="10"/>
      <c r="AD1705" s="10"/>
      <c r="AE1705" s="10"/>
      <c r="AF1705" s="10"/>
      <c r="AG1705" s="10"/>
      <c r="AH1705" s="10"/>
      <c r="AI1705" s="10"/>
    </row>
    <row r="1706" spans="1:35">
      <c r="A1706" s="10"/>
      <c r="B1706" s="10" t="str">
        <f t="shared" si="693"/>
        <v>Below the LineSHOOT</v>
      </c>
      <c r="C1706" t="s">
        <v>20</v>
      </c>
      <c r="D1706" t="s">
        <v>19</v>
      </c>
      <c r="E1706" t="s">
        <v>236</v>
      </c>
      <c r="F1706" t="s">
        <v>1855</v>
      </c>
      <c r="G1706" t="s">
        <v>1015</v>
      </c>
      <c r="I1706" s="10"/>
      <c r="J1706" s="107">
        <f>SUMIF(Data!C:C,G1706,Data!Q:Q)</f>
        <v>80000</v>
      </c>
      <c r="K1706" s="107">
        <f>SUMIF(Comprometidos!A:A,'Cost Report'!G1706,Comprometidos!E:E)</f>
        <v>0</v>
      </c>
      <c r="L1706" s="107">
        <f t="shared" si="686"/>
        <v>80000</v>
      </c>
      <c r="M1706" s="107">
        <v>0</v>
      </c>
      <c r="N1706" s="107">
        <f t="shared" si="688"/>
        <v>80000</v>
      </c>
      <c r="O1706" s="107">
        <f>VLOOKUP(G1706,Budget!$E$3:$G$2474,3,0)</f>
        <v>100000</v>
      </c>
      <c r="P1706" s="107">
        <f t="shared" si="689"/>
        <v>20000</v>
      </c>
      <c r="Q1706" s="107"/>
      <c r="R1706" s="10"/>
      <c r="S1706" s="107">
        <v>80000</v>
      </c>
      <c r="T1706" s="107">
        <f t="shared" si="695"/>
        <v>0</v>
      </c>
      <c r="U1706" s="107"/>
      <c r="V1706" s="175"/>
      <c r="W1706" s="10"/>
      <c r="X1706" s="10"/>
      <c r="Y1706" t="str">
        <f t="shared" si="694"/>
        <v>3412</v>
      </c>
      <c r="AB1706" s="10"/>
      <c r="AC1706" s="10"/>
      <c r="AD1706" s="10"/>
      <c r="AE1706" s="10"/>
      <c r="AF1706" s="10"/>
      <c r="AG1706" s="10"/>
      <c r="AH1706" s="10"/>
      <c r="AI1706" s="10"/>
    </row>
    <row r="1707" spans="1:35">
      <c r="A1707" s="10"/>
      <c r="B1707" s="10" t="str">
        <f t="shared" si="693"/>
        <v>Below the Line</v>
      </c>
      <c r="C1707" t="s">
        <v>20</v>
      </c>
      <c r="D1707" t="s">
        <v>19</v>
      </c>
      <c r="E1707" t="s">
        <v>214</v>
      </c>
      <c r="F1707" t="s">
        <v>1855</v>
      </c>
      <c r="G1707" t="s">
        <v>1016</v>
      </c>
      <c r="I1707" s="10"/>
      <c r="J1707" s="107">
        <f>SUMIF(Data!C:C,G1707,Data!Q:Q)</f>
        <v>0</v>
      </c>
      <c r="K1707" s="107">
        <f>SUMIF(Comprometidos!A:A,'Cost Report'!G1707,Comprometidos!E:E)</f>
        <v>0</v>
      </c>
      <c r="L1707" s="107">
        <f t="shared" si="686"/>
        <v>0</v>
      </c>
      <c r="M1707" s="107">
        <f t="shared" si="687"/>
        <v>0</v>
      </c>
      <c r="N1707" s="107">
        <f t="shared" si="688"/>
        <v>0</v>
      </c>
      <c r="O1707" s="107">
        <f>VLOOKUP(G1707,Budget!$E$3:$G$2474,3,0)</f>
        <v>0</v>
      </c>
      <c r="P1707" s="107">
        <f t="shared" si="689"/>
        <v>0</v>
      </c>
      <c r="Q1707" s="107"/>
      <c r="R1707" s="10"/>
      <c r="S1707" s="107">
        <v>0</v>
      </c>
      <c r="T1707" s="107">
        <f t="shared" si="695"/>
        <v>0</v>
      </c>
      <c r="U1707" s="107"/>
      <c r="V1707" s="175"/>
      <c r="W1707" s="10"/>
      <c r="X1707" s="10"/>
      <c r="Y1707" t="str">
        <f t="shared" si="694"/>
        <v>3412</v>
      </c>
      <c r="AB1707" s="10"/>
      <c r="AC1707" s="10"/>
      <c r="AD1707" s="10"/>
      <c r="AE1707" s="10"/>
      <c r="AF1707" s="10"/>
      <c r="AG1707" s="10"/>
      <c r="AH1707" s="10"/>
      <c r="AI1707" s="10"/>
    </row>
    <row r="1708" spans="1:35">
      <c r="A1708" s="10"/>
      <c r="B1708" s="10" t="str">
        <f t="shared" si="693"/>
        <v>Below the LineSHOOT</v>
      </c>
      <c r="C1708" t="s">
        <v>20</v>
      </c>
      <c r="D1708" t="s">
        <v>19</v>
      </c>
      <c r="E1708" t="s">
        <v>236</v>
      </c>
      <c r="F1708" t="s">
        <v>1855</v>
      </c>
      <c r="G1708" t="s">
        <v>1017</v>
      </c>
      <c r="I1708" s="10"/>
      <c r="J1708" s="107">
        <f>SUMIF(Data!C:C,G1708,Data!Q:Q)</f>
        <v>157000</v>
      </c>
      <c r="K1708" s="107">
        <f>SUMIF(Comprometidos!A:A,'Cost Report'!G1708,Comprometidos!E:E)</f>
        <v>0</v>
      </c>
      <c r="L1708" s="107">
        <f t="shared" si="686"/>
        <v>157000</v>
      </c>
      <c r="M1708" s="107">
        <v>0</v>
      </c>
      <c r="N1708" s="107">
        <f t="shared" si="688"/>
        <v>157000</v>
      </c>
      <c r="O1708" s="107">
        <f>VLOOKUP(G1708,Budget!$E$3:$G$2474,3,0)</f>
        <v>150000</v>
      </c>
      <c r="P1708" s="107">
        <f t="shared" si="689"/>
        <v>-7000</v>
      </c>
      <c r="Q1708" s="107"/>
      <c r="R1708" s="10"/>
      <c r="S1708" s="107">
        <v>157000</v>
      </c>
      <c r="T1708" s="107">
        <f t="shared" si="695"/>
        <v>0</v>
      </c>
      <c r="U1708" s="107"/>
      <c r="V1708" s="175"/>
      <c r="W1708" s="10"/>
      <c r="X1708" s="10"/>
      <c r="Y1708" t="str">
        <f t="shared" si="694"/>
        <v>3412</v>
      </c>
      <c r="AB1708" s="10"/>
      <c r="AC1708" s="10"/>
      <c r="AD1708" s="10"/>
      <c r="AE1708" s="10"/>
      <c r="AF1708" s="10"/>
      <c r="AG1708" s="10"/>
      <c r="AH1708" s="10"/>
      <c r="AI1708" s="10"/>
    </row>
    <row r="1709" spans="1:35">
      <c r="A1709" s="10"/>
      <c r="B1709" s="10" t="str">
        <f t="shared" si="693"/>
        <v>Below the Line</v>
      </c>
      <c r="C1709" t="s">
        <v>20</v>
      </c>
      <c r="D1709" t="s">
        <v>19</v>
      </c>
      <c r="E1709" t="s">
        <v>214</v>
      </c>
      <c r="F1709" t="s">
        <v>1855</v>
      </c>
      <c r="G1709" t="s">
        <v>2795</v>
      </c>
      <c r="I1709" s="10"/>
      <c r="J1709" s="107">
        <f>SUMIF(Data!C:C,G1709,Data!Q:Q)</f>
        <v>0</v>
      </c>
      <c r="K1709" s="107">
        <f>SUMIF(Comprometidos!A:A,'Cost Report'!G1709,Comprometidos!E:E)</f>
        <v>0</v>
      </c>
      <c r="L1709" s="107">
        <f t="shared" si="686"/>
        <v>0</v>
      </c>
      <c r="M1709" s="107">
        <f t="shared" si="687"/>
        <v>0</v>
      </c>
      <c r="N1709" s="107">
        <f t="shared" si="688"/>
        <v>0</v>
      </c>
      <c r="O1709" s="107">
        <f>VLOOKUP(G1709,Budget!$E$3:$G$2474,3,0)</f>
        <v>0</v>
      </c>
      <c r="P1709" s="107">
        <f t="shared" si="689"/>
        <v>0</v>
      </c>
      <c r="Q1709" s="107"/>
      <c r="R1709" s="10"/>
      <c r="S1709" s="107">
        <v>0</v>
      </c>
      <c r="T1709" s="107">
        <f t="shared" si="695"/>
        <v>0</v>
      </c>
      <c r="U1709" s="107"/>
      <c r="V1709" s="175"/>
      <c r="W1709" s="10"/>
      <c r="X1709" s="10"/>
      <c r="Y1709" t="str">
        <f t="shared" si="694"/>
        <v>3412</v>
      </c>
      <c r="AB1709" s="10"/>
      <c r="AC1709" s="10"/>
      <c r="AD1709" s="10"/>
      <c r="AE1709" s="10"/>
      <c r="AF1709" s="10"/>
      <c r="AG1709" s="10"/>
      <c r="AH1709" s="10"/>
      <c r="AI1709" s="10"/>
    </row>
    <row r="1710" spans="1:35">
      <c r="A1710" s="10"/>
      <c r="B1710" s="10" t="str">
        <f t="shared" si="693"/>
        <v>Below the LineSHOOT</v>
      </c>
      <c r="C1710" t="s">
        <v>20</v>
      </c>
      <c r="D1710" t="s">
        <v>19</v>
      </c>
      <c r="E1710" t="s">
        <v>236</v>
      </c>
      <c r="F1710" t="s">
        <v>1855</v>
      </c>
      <c r="G1710" t="s">
        <v>2796</v>
      </c>
      <c r="I1710" s="10"/>
      <c r="J1710" s="107">
        <f>SUMIF(Data!C:C,G1710,Data!Q:Q)</f>
        <v>125000</v>
      </c>
      <c r="K1710" s="107">
        <f>SUMIF(Comprometidos!A:A,'Cost Report'!G1710,Comprometidos!E:E)</f>
        <v>0</v>
      </c>
      <c r="L1710" s="107">
        <f t="shared" ref="L1710:L1744" si="696">+J1710+K1710</f>
        <v>125000</v>
      </c>
      <c r="M1710" s="107">
        <f t="shared" ref="M1710:M1742" si="697">+O1710-L1710</f>
        <v>0</v>
      </c>
      <c r="N1710" s="107">
        <f t="shared" ref="N1710:N1744" si="698">+L1710+M1710</f>
        <v>125000</v>
      </c>
      <c r="O1710" s="107">
        <f>VLOOKUP(G1710,Budget!$E$3:$G$2474,3,0)</f>
        <v>125000</v>
      </c>
      <c r="P1710" s="107">
        <f t="shared" ref="P1710:P1744" si="699">+O1710-N1710</f>
        <v>0</v>
      </c>
      <c r="Q1710" s="107"/>
      <c r="R1710" s="10"/>
      <c r="S1710" s="107">
        <v>125000</v>
      </c>
      <c r="T1710" s="107">
        <f t="shared" si="695"/>
        <v>0</v>
      </c>
      <c r="U1710" s="107"/>
      <c r="V1710" s="175"/>
      <c r="W1710" s="10"/>
      <c r="X1710" s="10"/>
      <c r="Y1710" t="str">
        <f t="shared" si="694"/>
        <v>3412</v>
      </c>
      <c r="AB1710" s="10"/>
      <c r="AC1710" s="10"/>
      <c r="AD1710" s="10"/>
      <c r="AE1710" s="10"/>
      <c r="AF1710" s="10"/>
      <c r="AG1710" s="10"/>
      <c r="AH1710" s="10"/>
      <c r="AI1710" s="10"/>
    </row>
    <row r="1711" spans="1:35">
      <c r="A1711" s="10"/>
      <c r="B1711" s="10" t="str">
        <f t="shared" si="693"/>
        <v>Below the Line</v>
      </c>
      <c r="C1711" t="s">
        <v>20</v>
      </c>
      <c r="D1711" t="s">
        <v>19</v>
      </c>
      <c r="E1711" t="s">
        <v>214</v>
      </c>
      <c r="F1711" t="s">
        <v>1855</v>
      </c>
      <c r="G1711" t="s">
        <v>2797</v>
      </c>
      <c r="I1711" s="10"/>
      <c r="J1711" s="107">
        <f>SUMIF(Data!C:C,G1711,Data!Q:Q)</f>
        <v>0</v>
      </c>
      <c r="K1711" s="107">
        <f>SUMIF(Comprometidos!A:A,'Cost Report'!G1711,Comprometidos!E:E)</f>
        <v>0</v>
      </c>
      <c r="L1711" s="107">
        <f t="shared" si="696"/>
        <v>0</v>
      </c>
      <c r="M1711" s="107">
        <f t="shared" si="697"/>
        <v>0</v>
      </c>
      <c r="N1711" s="107">
        <f t="shared" si="698"/>
        <v>0</v>
      </c>
      <c r="O1711" s="107">
        <f>VLOOKUP(G1711,Budget!$E$3:$G$2474,3,0)</f>
        <v>0</v>
      </c>
      <c r="P1711" s="107">
        <f t="shared" si="699"/>
        <v>0</v>
      </c>
      <c r="Q1711" s="107"/>
      <c r="R1711" s="10"/>
      <c r="S1711" s="107">
        <v>0</v>
      </c>
      <c r="T1711" s="107">
        <f t="shared" si="695"/>
        <v>0</v>
      </c>
      <c r="U1711" s="107"/>
      <c r="V1711" s="175"/>
      <c r="W1711" s="10"/>
      <c r="X1711" s="10"/>
      <c r="Y1711" t="str">
        <f t="shared" si="694"/>
        <v>3412</v>
      </c>
      <c r="AB1711" s="10"/>
      <c r="AC1711" s="10"/>
      <c r="AD1711" s="10"/>
      <c r="AE1711" s="10"/>
      <c r="AF1711" s="10"/>
      <c r="AG1711" s="10"/>
      <c r="AH1711" s="10"/>
      <c r="AI1711" s="10"/>
    </row>
    <row r="1712" spans="1:35">
      <c r="A1712" s="10"/>
      <c r="B1712" s="10" t="str">
        <f t="shared" si="693"/>
        <v>Below the LineSHOOT</v>
      </c>
      <c r="C1712" t="s">
        <v>20</v>
      </c>
      <c r="D1712" t="s">
        <v>19</v>
      </c>
      <c r="E1712" t="s">
        <v>236</v>
      </c>
      <c r="F1712" t="s">
        <v>1855</v>
      </c>
      <c r="G1712" t="s">
        <v>2798</v>
      </c>
      <c r="I1712" s="10"/>
      <c r="J1712" s="107">
        <f>SUMIF(Data!C:C,G1712,Data!Q:Q)</f>
        <v>45000</v>
      </c>
      <c r="K1712" s="107">
        <f>SUMIF(Comprometidos!A:A,'Cost Report'!G1712,Comprometidos!E:E)</f>
        <v>0</v>
      </c>
      <c r="L1712" s="107">
        <f t="shared" si="696"/>
        <v>45000</v>
      </c>
      <c r="M1712" s="107">
        <f>+O1712-L1712-35000+5000+15000</f>
        <v>0</v>
      </c>
      <c r="N1712" s="107">
        <f t="shared" si="698"/>
        <v>45000</v>
      </c>
      <c r="O1712" s="107">
        <f>VLOOKUP(G1712,Budget!$E$3:$G$2474,3,0)</f>
        <v>60000</v>
      </c>
      <c r="P1712" s="107">
        <f t="shared" si="699"/>
        <v>15000</v>
      </c>
      <c r="Q1712" s="107"/>
      <c r="R1712" s="10"/>
      <c r="S1712" s="107">
        <v>45000</v>
      </c>
      <c r="T1712" s="107">
        <f t="shared" si="695"/>
        <v>0</v>
      </c>
      <c r="U1712" s="107"/>
      <c r="V1712" s="175"/>
      <c r="W1712" s="10"/>
      <c r="X1712" s="10"/>
      <c r="Y1712" t="str">
        <f t="shared" si="694"/>
        <v>3412</v>
      </c>
      <c r="AB1712" s="10"/>
      <c r="AC1712" s="10"/>
      <c r="AD1712" s="10"/>
      <c r="AE1712" s="10"/>
      <c r="AF1712" s="10"/>
      <c r="AG1712" s="10"/>
      <c r="AH1712" s="10"/>
      <c r="AI1712" s="10"/>
    </row>
    <row r="1713" spans="1:35">
      <c r="A1713" s="10"/>
      <c r="B1713" s="10" t="str">
        <f t="shared" si="693"/>
        <v>Below the Line</v>
      </c>
      <c r="C1713" t="s">
        <v>20</v>
      </c>
      <c r="D1713" t="s">
        <v>19</v>
      </c>
      <c r="E1713" t="s">
        <v>214</v>
      </c>
      <c r="F1713" t="s">
        <v>1855</v>
      </c>
      <c r="G1713" t="s">
        <v>2799</v>
      </c>
      <c r="I1713" s="10"/>
      <c r="J1713" s="107">
        <f>SUMIF(Data!C:C,G1713,Data!Q:Q)</f>
        <v>0</v>
      </c>
      <c r="K1713" s="107">
        <f>SUMIF(Comprometidos!A:A,'Cost Report'!G1713,Comprometidos!E:E)</f>
        <v>0</v>
      </c>
      <c r="L1713" s="107">
        <f t="shared" si="696"/>
        <v>0</v>
      </c>
      <c r="M1713" s="107">
        <f t="shared" si="697"/>
        <v>0</v>
      </c>
      <c r="N1713" s="107">
        <f t="shared" si="698"/>
        <v>0</v>
      </c>
      <c r="O1713" s="107">
        <f>VLOOKUP(G1713,Budget!$E$3:$G$2474,3,0)</f>
        <v>0</v>
      </c>
      <c r="P1713" s="107">
        <f t="shared" si="699"/>
        <v>0</v>
      </c>
      <c r="Q1713" s="107"/>
      <c r="R1713" s="10"/>
      <c r="S1713" s="107">
        <v>0</v>
      </c>
      <c r="T1713" s="107">
        <f t="shared" si="695"/>
        <v>0</v>
      </c>
      <c r="U1713" s="107"/>
      <c r="V1713" s="175"/>
      <c r="W1713" s="10"/>
      <c r="X1713" s="10"/>
      <c r="Y1713" t="str">
        <f t="shared" si="694"/>
        <v>3412</v>
      </c>
      <c r="AB1713" s="10"/>
      <c r="AC1713" s="10"/>
      <c r="AD1713" s="10"/>
      <c r="AE1713" s="10"/>
      <c r="AF1713" s="10"/>
      <c r="AG1713" s="10"/>
      <c r="AH1713" s="10"/>
      <c r="AI1713" s="10"/>
    </row>
    <row r="1714" spans="1:35">
      <c r="A1714" s="10"/>
      <c r="B1714" s="10" t="str">
        <f t="shared" si="693"/>
        <v>Below the LineSHOOT</v>
      </c>
      <c r="C1714" t="s">
        <v>20</v>
      </c>
      <c r="D1714" t="s">
        <v>19</v>
      </c>
      <c r="E1714" t="s">
        <v>236</v>
      </c>
      <c r="F1714" t="s">
        <v>1855</v>
      </c>
      <c r="G1714" t="s">
        <v>2800</v>
      </c>
      <c r="I1714" s="10"/>
      <c r="J1714" s="107">
        <f>SUMIF(Data!C:C,G1714,Data!Q:Q)</f>
        <v>0</v>
      </c>
      <c r="K1714" s="107">
        <f>SUMIF(Comprometidos!A:A,'Cost Report'!G1714,Comprometidos!E:E)</f>
        <v>0</v>
      </c>
      <c r="L1714" s="107">
        <f t="shared" si="696"/>
        <v>0</v>
      </c>
      <c r="M1714" s="107">
        <v>0</v>
      </c>
      <c r="N1714" s="107">
        <f t="shared" si="698"/>
        <v>0</v>
      </c>
      <c r="O1714" s="107">
        <f>VLOOKUP(G1714,Budget!$E$3:$G$2474,3,0)</f>
        <v>30000</v>
      </c>
      <c r="P1714" s="107">
        <f t="shared" si="699"/>
        <v>30000</v>
      </c>
      <c r="Q1714" s="107"/>
      <c r="R1714" s="10"/>
      <c r="S1714" s="107">
        <v>0</v>
      </c>
      <c r="T1714" s="107">
        <f t="shared" si="695"/>
        <v>0</v>
      </c>
      <c r="U1714" s="107"/>
      <c r="V1714" s="175"/>
      <c r="W1714" s="10"/>
      <c r="X1714" s="10"/>
      <c r="Y1714" t="str">
        <f t="shared" si="694"/>
        <v>3412</v>
      </c>
      <c r="AB1714" s="10"/>
      <c r="AC1714" s="10"/>
      <c r="AD1714" s="10"/>
      <c r="AE1714" s="10"/>
      <c r="AF1714" s="10"/>
      <c r="AG1714" s="10"/>
      <c r="AH1714" s="10"/>
      <c r="AI1714" s="10"/>
    </row>
    <row r="1715" spans="1:35">
      <c r="A1715" s="10"/>
      <c r="B1715" s="10" t="str">
        <f t="shared" si="693"/>
        <v>Below the Line</v>
      </c>
      <c r="C1715" t="s">
        <v>20</v>
      </c>
      <c r="D1715" t="s">
        <v>19</v>
      </c>
      <c r="E1715" t="s">
        <v>214</v>
      </c>
      <c r="F1715" t="s">
        <v>1855</v>
      </c>
      <c r="G1715" t="s">
        <v>2801</v>
      </c>
      <c r="I1715" s="10"/>
      <c r="J1715" s="107">
        <f>SUMIF(Data!C:C,G1715,Data!Q:Q)</f>
        <v>0</v>
      </c>
      <c r="K1715" s="107">
        <f>SUMIF(Comprometidos!A:A,'Cost Report'!G1715,Comprometidos!E:E)</f>
        <v>0</v>
      </c>
      <c r="L1715" s="107">
        <f t="shared" si="696"/>
        <v>0</v>
      </c>
      <c r="M1715" s="107">
        <f t="shared" si="697"/>
        <v>0</v>
      </c>
      <c r="N1715" s="107">
        <f t="shared" si="698"/>
        <v>0</v>
      </c>
      <c r="O1715" s="107">
        <f>VLOOKUP(G1715,Budget!$E$3:$G$2474,3,0)</f>
        <v>0</v>
      </c>
      <c r="P1715" s="107">
        <f t="shared" si="699"/>
        <v>0</v>
      </c>
      <c r="Q1715" s="107"/>
      <c r="R1715" s="10"/>
      <c r="S1715" s="107">
        <v>0</v>
      </c>
      <c r="T1715" s="107">
        <f t="shared" si="695"/>
        <v>0</v>
      </c>
      <c r="U1715" s="107"/>
      <c r="V1715" s="175"/>
      <c r="W1715" s="10"/>
      <c r="X1715" s="10"/>
      <c r="Y1715" t="str">
        <f t="shared" si="694"/>
        <v>3412</v>
      </c>
      <c r="AB1715" s="10"/>
      <c r="AC1715" s="10"/>
      <c r="AD1715" s="10"/>
      <c r="AE1715" s="10"/>
      <c r="AF1715" s="10"/>
      <c r="AG1715" s="10"/>
      <c r="AH1715" s="10"/>
      <c r="AI1715" s="10"/>
    </row>
    <row r="1716" spans="1:35">
      <c r="A1716" s="10"/>
      <c r="B1716" s="10" t="str">
        <f t="shared" si="693"/>
        <v>Below the LineSHOOT</v>
      </c>
      <c r="C1716" t="s">
        <v>20</v>
      </c>
      <c r="D1716" t="s">
        <v>19</v>
      </c>
      <c r="E1716" t="s">
        <v>236</v>
      </c>
      <c r="F1716" t="s">
        <v>1855</v>
      </c>
      <c r="G1716" t="s">
        <v>2802</v>
      </c>
      <c r="I1716" s="10"/>
      <c r="J1716" s="107">
        <f>SUMIF(Data!C:C,G1716,Data!Q:Q)</f>
        <v>300000</v>
      </c>
      <c r="K1716" s="107">
        <f>SUMIF(Comprometidos!A:A,'Cost Report'!G1716,Comprometidos!E:E)</f>
        <v>0</v>
      </c>
      <c r="L1716" s="107">
        <f t="shared" si="696"/>
        <v>300000</v>
      </c>
      <c r="M1716" s="107">
        <f t="shared" si="697"/>
        <v>0</v>
      </c>
      <c r="N1716" s="107">
        <f t="shared" si="698"/>
        <v>300000</v>
      </c>
      <c r="O1716" s="107">
        <f>VLOOKUP(G1716,Budget!$E$3:$G$2474,3,0)</f>
        <v>300000</v>
      </c>
      <c r="P1716" s="107">
        <f t="shared" si="699"/>
        <v>0</v>
      </c>
      <c r="Q1716" s="107"/>
      <c r="R1716" s="10"/>
      <c r="S1716" s="107">
        <v>300000</v>
      </c>
      <c r="T1716" s="107">
        <f t="shared" si="695"/>
        <v>0</v>
      </c>
      <c r="U1716" s="107"/>
      <c r="V1716" s="175"/>
      <c r="W1716" s="10"/>
      <c r="X1716" s="10"/>
      <c r="Y1716" t="str">
        <f t="shared" si="694"/>
        <v>3412</v>
      </c>
      <c r="AB1716" s="10"/>
      <c r="AC1716" s="10"/>
      <c r="AD1716" s="10"/>
      <c r="AE1716" s="10"/>
      <c r="AF1716" s="10"/>
      <c r="AG1716" s="10"/>
      <c r="AH1716" s="10"/>
      <c r="AI1716" s="10"/>
    </row>
    <row r="1717" spans="1:35">
      <c r="A1717" s="10"/>
      <c r="B1717" s="10" t="str">
        <f t="shared" si="693"/>
        <v>Below the Line</v>
      </c>
      <c r="C1717" t="s">
        <v>20</v>
      </c>
      <c r="D1717" t="s">
        <v>19</v>
      </c>
      <c r="E1717" t="s">
        <v>214</v>
      </c>
      <c r="F1717" t="s">
        <v>1855</v>
      </c>
      <c r="G1717" t="s">
        <v>2803</v>
      </c>
      <c r="I1717" s="10"/>
      <c r="J1717" s="107">
        <f>SUMIF(Data!C:C,G1717,Data!Q:Q)</f>
        <v>0</v>
      </c>
      <c r="K1717" s="107">
        <f>SUMIF(Comprometidos!A:A,'Cost Report'!G1717,Comprometidos!E:E)</f>
        <v>0</v>
      </c>
      <c r="L1717" s="107">
        <f t="shared" si="696"/>
        <v>0</v>
      </c>
      <c r="M1717" s="107">
        <f t="shared" si="697"/>
        <v>0</v>
      </c>
      <c r="N1717" s="107">
        <f t="shared" si="698"/>
        <v>0</v>
      </c>
      <c r="O1717" s="107">
        <f>VLOOKUP(G1717,Budget!$E$3:$G$2474,3,0)</f>
        <v>0</v>
      </c>
      <c r="P1717" s="107">
        <f t="shared" si="699"/>
        <v>0</v>
      </c>
      <c r="Q1717" s="107"/>
      <c r="R1717" s="10"/>
      <c r="S1717" s="107">
        <v>0</v>
      </c>
      <c r="T1717" s="107">
        <f t="shared" si="695"/>
        <v>0</v>
      </c>
      <c r="U1717" s="107"/>
      <c r="V1717" s="175"/>
      <c r="W1717" s="10"/>
      <c r="X1717" s="10"/>
      <c r="Y1717" t="str">
        <f t="shared" si="694"/>
        <v>3412</v>
      </c>
      <c r="AB1717" s="10"/>
      <c r="AC1717" s="10"/>
      <c r="AD1717" s="10"/>
      <c r="AE1717" s="10"/>
      <c r="AF1717" s="10"/>
      <c r="AG1717" s="10"/>
      <c r="AH1717" s="10"/>
      <c r="AI1717" s="10"/>
    </row>
    <row r="1718" spans="1:35">
      <c r="A1718" s="10"/>
      <c r="B1718" s="10" t="str">
        <f t="shared" si="693"/>
        <v>Below the LineSHOOT</v>
      </c>
      <c r="C1718" t="s">
        <v>20</v>
      </c>
      <c r="D1718" t="s">
        <v>19</v>
      </c>
      <c r="E1718" t="s">
        <v>236</v>
      </c>
      <c r="F1718" t="s">
        <v>1855</v>
      </c>
      <c r="G1718" t="s">
        <v>2804</v>
      </c>
      <c r="I1718" s="10"/>
      <c r="J1718" s="107">
        <f>SUMIF(Data!C:C,G1718,Data!Q:Q)</f>
        <v>25000</v>
      </c>
      <c r="K1718" s="107">
        <f>SUMIF(Comprometidos!A:A,'Cost Report'!G1718,Comprometidos!E:E)</f>
        <v>0</v>
      </c>
      <c r="L1718" s="107">
        <f t="shared" si="696"/>
        <v>25000</v>
      </c>
      <c r="M1718" s="107">
        <f>+O1718-L1718-25000</f>
        <v>0</v>
      </c>
      <c r="N1718" s="107">
        <f t="shared" si="698"/>
        <v>25000</v>
      </c>
      <c r="O1718" s="107">
        <f>VLOOKUP(G1718,Budget!$E$3:$G$2474,3,0)</f>
        <v>50000</v>
      </c>
      <c r="P1718" s="107">
        <f t="shared" si="699"/>
        <v>25000</v>
      </c>
      <c r="Q1718" s="107"/>
      <c r="R1718" s="10"/>
      <c r="S1718" s="107">
        <v>25000</v>
      </c>
      <c r="T1718" s="107">
        <f t="shared" si="695"/>
        <v>0</v>
      </c>
      <c r="U1718" s="107"/>
      <c r="V1718" s="175"/>
      <c r="W1718" s="10"/>
      <c r="X1718" s="10"/>
      <c r="Y1718" t="str">
        <f t="shared" si="694"/>
        <v>3412</v>
      </c>
      <c r="AB1718" s="10"/>
      <c r="AC1718" s="10"/>
      <c r="AD1718" s="10"/>
      <c r="AE1718" s="10"/>
      <c r="AF1718" s="10"/>
      <c r="AG1718" s="10"/>
      <c r="AH1718" s="10"/>
      <c r="AI1718" s="10"/>
    </row>
    <row r="1719" spans="1:35">
      <c r="A1719" s="10"/>
      <c r="B1719" s="10" t="str">
        <f t="shared" si="693"/>
        <v>Below the Line</v>
      </c>
      <c r="C1719" t="s">
        <v>20</v>
      </c>
      <c r="D1719" t="s">
        <v>19</v>
      </c>
      <c r="E1719" t="s">
        <v>214</v>
      </c>
      <c r="F1719" t="s">
        <v>1855</v>
      </c>
      <c r="G1719" t="s">
        <v>2805</v>
      </c>
      <c r="I1719" s="10"/>
      <c r="J1719" s="107">
        <f>SUMIF(Data!C:C,G1719,Data!Q:Q)</f>
        <v>0</v>
      </c>
      <c r="K1719" s="107">
        <f>SUMIF(Comprometidos!A:A,'Cost Report'!G1719,Comprometidos!E:E)</f>
        <v>0</v>
      </c>
      <c r="L1719" s="107">
        <f t="shared" si="696"/>
        <v>0</v>
      </c>
      <c r="M1719" s="107">
        <f t="shared" si="697"/>
        <v>0</v>
      </c>
      <c r="N1719" s="107">
        <f t="shared" si="698"/>
        <v>0</v>
      </c>
      <c r="O1719" s="107">
        <f>VLOOKUP(G1719,Budget!$E$3:$G$2474,3,0)</f>
        <v>0</v>
      </c>
      <c r="P1719" s="107">
        <f t="shared" si="699"/>
        <v>0</v>
      </c>
      <c r="Q1719" s="107"/>
      <c r="R1719" s="10"/>
      <c r="S1719" s="107">
        <v>0</v>
      </c>
      <c r="T1719" s="107">
        <f t="shared" si="695"/>
        <v>0</v>
      </c>
      <c r="U1719" s="107"/>
      <c r="V1719" s="175"/>
      <c r="W1719" s="10"/>
      <c r="X1719" s="10"/>
      <c r="Y1719" t="str">
        <f t="shared" si="694"/>
        <v>3412</v>
      </c>
      <c r="AB1719" s="10"/>
      <c r="AC1719" s="10"/>
      <c r="AD1719" s="10"/>
      <c r="AE1719" s="10"/>
      <c r="AF1719" s="10"/>
      <c r="AG1719" s="10"/>
      <c r="AH1719" s="10"/>
      <c r="AI1719" s="10"/>
    </row>
    <row r="1720" spans="1:35">
      <c r="A1720" s="10"/>
      <c r="B1720" s="10" t="str">
        <f t="shared" si="693"/>
        <v>Below the LineSHOOT</v>
      </c>
      <c r="C1720" t="s">
        <v>20</v>
      </c>
      <c r="D1720" t="s">
        <v>19</v>
      </c>
      <c r="E1720" t="s">
        <v>236</v>
      </c>
      <c r="F1720" t="s">
        <v>1855</v>
      </c>
      <c r="G1720" t="s">
        <v>2806</v>
      </c>
      <c r="I1720" s="10"/>
      <c r="J1720" s="107">
        <f>SUMIF(Data!C:C,G1720,Data!Q:Q)</f>
        <v>35000</v>
      </c>
      <c r="K1720" s="107">
        <f>SUMIF(Comprometidos!A:A,'Cost Report'!G1720,Comprometidos!E:E)</f>
        <v>0</v>
      </c>
      <c r="L1720" s="107">
        <f t="shared" si="696"/>
        <v>35000</v>
      </c>
      <c r="M1720" s="107">
        <f>+O1720-L1720+10000</f>
        <v>0</v>
      </c>
      <c r="N1720" s="107">
        <f>+L1720+M1720</f>
        <v>35000</v>
      </c>
      <c r="O1720" s="107">
        <f>VLOOKUP(G1720,Budget!$E$3:$G$2474,3,0)</f>
        <v>25000</v>
      </c>
      <c r="P1720" s="107">
        <f t="shared" si="699"/>
        <v>-10000</v>
      </c>
      <c r="Q1720" s="107"/>
      <c r="R1720" s="10"/>
      <c r="S1720" s="107">
        <v>35000</v>
      </c>
      <c r="T1720" s="107">
        <f t="shared" si="695"/>
        <v>0</v>
      </c>
      <c r="U1720" s="107"/>
      <c r="V1720" s="175"/>
      <c r="W1720" s="10"/>
      <c r="X1720" s="10"/>
      <c r="Y1720" t="str">
        <f t="shared" si="694"/>
        <v>3412</v>
      </c>
      <c r="AB1720" s="10"/>
      <c r="AC1720" s="10"/>
      <c r="AD1720" s="10"/>
      <c r="AE1720" s="10"/>
      <c r="AF1720" s="10"/>
      <c r="AG1720" s="10"/>
      <c r="AH1720" s="10"/>
      <c r="AI1720" s="10"/>
    </row>
    <row r="1721" spans="1:35">
      <c r="A1721" s="10"/>
      <c r="B1721" s="10" t="str">
        <f t="shared" si="693"/>
        <v>Below the Line</v>
      </c>
      <c r="C1721" t="s">
        <v>20</v>
      </c>
      <c r="D1721" t="s">
        <v>19</v>
      </c>
      <c r="E1721" t="s">
        <v>214</v>
      </c>
      <c r="F1721" t="s">
        <v>1855</v>
      </c>
      <c r="G1721" t="s">
        <v>2807</v>
      </c>
      <c r="I1721" s="10"/>
      <c r="J1721" s="107">
        <f>SUMIF(Data!C:C,G1721,Data!Q:Q)</f>
        <v>0</v>
      </c>
      <c r="K1721" s="107">
        <f>SUMIF(Comprometidos!A:A,'Cost Report'!G1721,Comprometidos!E:E)</f>
        <v>0</v>
      </c>
      <c r="L1721" s="107">
        <f t="shared" si="696"/>
        <v>0</v>
      </c>
      <c r="M1721" s="107">
        <f t="shared" si="697"/>
        <v>0</v>
      </c>
      <c r="N1721" s="107">
        <f t="shared" si="698"/>
        <v>0</v>
      </c>
      <c r="O1721" s="107">
        <f>VLOOKUP(G1721,Budget!$E$3:$G$2474,3,0)</f>
        <v>0</v>
      </c>
      <c r="P1721" s="107">
        <f t="shared" si="699"/>
        <v>0</v>
      </c>
      <c r="Q1721" s="107"/>
      <c r="R1721" s="10"/>
      <c r="S1721" s="107">
        <v>0</v>
      </c>
      <c r="T1721" s="107">
        <f t="shared" si="695"/>
        <v>0</v>
      </c>
      <c r="U1721" s="107"/>
      <c r="V1721" s="175"/>
      <c r="W1721" s="10"/>
      <c r="X1721" s="10"/>
      <c r="Y1721" t="str">
        <f t="shared" si="694"/>
        <v>3412</v>
      </c>
      <c r="AB1721" s="10"/>
      <c r="AC1721" s="10"/>
      <c r="AD1721" s="10"/>
      <c r="AE1721" s="10"/>
      <c r="AF1721" s="10"/>
      <c r="AG1721" s="10"/>
      <c r="AH1721" s="10"/>
      <c r="AI1721" s="10"/>
    </row>
    <row r="1722" spans="1:35">
      <c r="A1722" s="10"/>
      <c r="B1722" s="10" t="str">
        <f t="shared" si="693"/>
        <v>Below the LineSHOOT</v>
      </c>
      <c r="C1722" t="s">
        <v>20</v>
      </c>
      <c r="D1722" t="s">
        <v>19</v>
      </c>
      <c r="E1722" t="s">
        <v>236</v>
      </c>
      <c r="F1722" t="s">
        <v>1855</v>
      </c>
      <c r="G1722" t="s">
        <v>2808</v>
      </c>
      <c r="I1722" s="10"/>
      <c r="J1722" s="107">
        <f>SUMIF(Data!C:C,G1722,Data!Q:Q)</f>
        <v>50000</v>
      </c>
      <c r="K1722" s="107">
        <f>SUMIF(Comprometidos!A:A,'Cost Report'!G1722,Comprometidos!E:E)</f>
        <v>0</v>
      </c>
      <c r="L1722" s="107">
        <f t="shared" si="696"/>
        <v>50000</v>
      </c>
      <c r="M1722" s="107">
        <f>+O1722-L1722-20000+15000</f>
        <v>0</v>
      </c>
      <c r="N1722" s="107">
        <f t="shared" si="698"/>
        <v>50000</v>
      </c>
      <c r="O1722" s="107">
        <f>VLOOKUP(G1722,Budget!$E$3:$G$2474,3,0)</f>
        <v>55000</v>
      </c>
      <c r="P1722" s="107">
        <f t="shared" si="699"/>
        <v>5000</v>
      </c>
      <c r="Q1722" s="107"/>
      <c r="R1722" s="10"/>
      <c r="S1722" s="107">
        <v>50000</v>
      </c>
      <c r="T1722" s="107">
        <f t="shared" si="695"/>
        <v>0</v>
      </c>
      <c r="U1722" s="107"/>
      <c r="V1722" s="175"/>
      <c r="W1722" s="10"/>
      <c r="X1722" s="10"/>
      <c r="Y1722" t="str">
        <f t="shared" si="694"/>
        <v>3412</v>
      </c>
      <c r="AB1722" s="10"/>
      <c r="AC1722" s="10"/>
      <c r="AD1722" s="10"/>
      <c r="AE1722" s="10"/>
      <c r="AF1722" s="10"/>
      <c r="AG1722" s="10"/>
      <c r="AH1722" s="10"/>
      <c r="AI1722" s="10"/>
    </row>
    <row r="1723" spans="1:35">
      <c r="A1723" s="10"/>
      <c r="B1723" s="10" t="str">
        <f t="shared" si="693"/>
        <v>Below the Line</v>
      </c>
      <c r="C1723" t="s">
        <v>20</v>
      </c>
      <c r="D1723" t="s">
        <v>19</v>
      </c>
      <c r="E1723" t="s">
        <v>214</v>
      </c>
      <c r="F1723" t="s">
        <v>1855</v>
      </c>
      <c r="G1723" t="s">
        <v>2809</v>
      </c>
      <c r="I1723" s="10"/>
      <c r="J1723" s="107">
        <f>SUMIF(Data!C:C,G1723,Data!Q:Q)</f>
        <v>0</v>
      </c>
      <c r="K1723" s="107">
        <f>SUMIF(Comprometidos!A:A,'Cost Report'!G1723,Comprometidos!E:E)</f>
        <v>0</v>
      </c>
      <c r="L1723" s="107">
        <f t="shared" si="696"/>
        <v>0</v>
      </c>
      <c r="M1723" s="107">
        <f t="shared" si="697"/>
        <v>0</v>
      </c>
      <c r="N1723" s="107">
        <f t="shared" si="698"/>
        <v>0</v>
      </c>
      <c r="O1723" s="107">
        <f>VLOOKUP(G1723,Budget!$E$3:$G$2474,3,0)</f>
        <v>0</v>
      </c>
      <c r="P1723" s="107">
        <f t="shared" si="699"/>
        <v>0</v>
      </c>
      <c r="Q1723" s="107"/>
      <c r="R1723" s="10"/>
      <c r="S1723" s="107">
        <v>0</v>
      </c>
      <c r="T1723" s="107">
        <f t="shared" si="695"/>
        <v>0</v>
      </c>
      <c r="U1723" s="107"/>
      <c r="V1723" s="175"/>
      <c r="W1723" s="10"/>
      <c r="X1723" s="10"/>
      <c r="Y1723" t="str">
        <f t="shared" si="694"/>
        <v>3412</v>
      </c>
      <c r="AB1723" s="10"/>
      <c r="AC1723" s="10"/>
      <c r="AD1723" s="10"/>
      <c r="AE1723" s="10"/>
      <c r="AF1723" s="10"/>
      <c r="AG1723" s="10"/>
      <c r="AH1723" s="10"/>
      <c r="AI1723" s="10"/>
    </row>
    <row r="1724" spans="1:35">
      <c r="A1724" s="10"/>
      <c r="B1724" s="10" t="str">
        <f t="shared" si="693"/>
        <v>Below the LineSHOOT</v>
      </c>
      <c r="C1724" t="s">
        <v>20</v>
      </c>
      <c r="D1724" t="s">
        <v>19</v>
      </c>
      <c r="E1724" t="s">
        <v>236</v>
      </c>
      <c r="F1724" t="s">
        <v>1855</v>
      </c>
      <c r="G1724" t="s">
        <v>2810</v>
      </c>
      <c r="I1724" s="10"/>
      <c r="J1724" s="107">
        <f>SUMIF(Data!C:C,G1724,Data!Q:Q)</f>
        <v>40000</v>
      </c>
      <c r="K1724" s="107">
        <f>SUMIF(Comprometidos!A:A,'Cost Report'!G1724,Comprometidos!E:E)</f>
        <v>0</v>
      </c>
      <c r="L1724" s="107">
        <f t="shared" si="696"/>
        <v>40000</v>
      </c>
      <c r="M1724" s="107">
        <f>+O1724-L1724-20000</f>
        <v>0</v>
      </c>
      <c r="N1724" s="107">
        <f t="shared" si="698"/>
        <v>40000</v>
      </c>
      <c r="O1724" s="107">
        <f>VLOOKUP(G1724,Budget!$E$3:$G$2474,3,0)</f>
        <v>60000</v>
      </c>
      <c r="P1724" s="107">
        <f t="shared" si="699"/>
        <v>20000</v>
      </c>
      <c r="Q1724" s="107"/>
      <c r="R1724" s="10"/>
      <c r="S1724" s="107">
        <v>40000</v>
      </c>
      <c r="T1724" s="107">
        <f t="shared" si="695"/>
        <v>0</v>
      </c>
      <c r="U1724" s="107"/>
      <c r="V1724" s="175"/>
      <c r="W1724" s="10"/>
      <c r="X1724" s="10"/>
      <c r="Y1724" t="str">
        <f t="shared" si="694"/>
        <v>3412</v>
      </c>
      <c r="AB1724" s="10"/>
      <c r="AC1724" s="10"/>
      <c r="AD1724" s="10"/>
      <c r="AE1724" s="10"/>
      <c r="AF1724" s="10"/>
      <c r="AG1724" s="10"/>
      <c r="AH1724" s="10"/>
      <c r="AI1724" s="10"/>
    </row>
    <row r="1725" spans="1:35">
      <c r="A1725" s="10"/>
      <c r="B1725" s="10" t="str">
        <f t="shared" si="693"/>
        <v>Below the Line</v>
      </c>
      <c r="C1725" t="s">
        <v>20</v>
      </c>
      <c r="D1725" t="s">
        <v>19</v>
      </c>
      <c r="E1725" t="s">
        <v>214</v>
      </c>
      <c r="F1725" t="s">
        <v>1855</v>
      </c>
      <c r="G1725" t="s">
        <v>2811</v>
      </c>
      <c r="I1725" s="10"/>
      <c r="J1725" s="107">
        <f>SUMIF(Data!C:C,G1725,Data!Q:Q)</f>
        <v>0</v>
      </c>
      <c r="K1725" s="107">
        <f>SUMIF(Comprometidos!A:A,'Cost Report'!G1725,Comprometidos!E:E)</f>
        <v>0</v>
      </c>
      <c r="L1725" s="107">
        <f t="shared" si="696"/>
        <v>0</v>
      </c>
      <c r="M1725" s="107">
        <f t="shared" si="697"/>
        <v>0</v>
      </c>
      <c r="N1725" s="107">
        <f t="shared" si="698"/>
        <v>0</v>
      </c>
      <c r="O1725" s="107">
        <f>VLOOKUP(G1725,Budget!$E$3:$G$2474,3,0)</f>
        <v>0</v>
      </c>
      <c r="P1725" s="107">
        <f t="shared" si="699"/>
        <v>0</v>
      </c>
      <c r="Q1725" s="107"/>
      <c r="R1725" s="10"/>
      <c r="S1725" s="107">
        <v>0</v>
      </c>
      <c r="T1725" s="107">
        <f t="shared" si="695"/>
        <v>0</v>
      </c>
      <c r="U1725" s="107"/>
      <c r="V1725" s="175"/>
      <c r="W1725" s="10"/>
      <c r="X1725" s="10"/>
      <c r="Y1725" t="str">
        <f t="shared" si="694"/>
        <v>3412</v>
      </c>
      <c r="AB1725" s="10"/>
      <c r="AC1725" s="10"/>
      <c r="AD1725" s="10"/>
      <c r="AE1725" s="10"/>
      <c r="AF1725" s="10"/>
      <c r="AG1725" s="10"/>
      <c r="AH1725" s="10"/>
      <c r="AI1725" s="10"/>
    </row>
    <row r="1726" spans="1:35">
      <c r="A1726" s="10"/>
      <c r="B1726" s="10" t="str">
        <f t="shared" si="693"/>
        <v>Below the LineSHOOT</v>
      </c>
      <c r="C1726" t="s">
        <v>20</v>
      </c>
      <c r="D1726" t="s">
        <v>19</v>
      </c>
      <c r="E1726" t="s">
        <v>236</v>
      </c>
      <c r="F1726" t="s">
        <v>1855</v>
      </c>
      <c r="G1726" t="s">
        <v>2812</v>
      </c>
      <c r="I1726" s="10"/>
      <c r="J1726" s="107">
        <f>SUMIF(Data!C:C,G1726,Data!Q:Q)</f>
        <v>58000</v>
      </c>
      <c r="K1726" s="107">
        <f>SUMIF(Comprometidos!A:A,'Cost Report'!G1726,Comprometidos!E:E)</f>
        <v>0</v>
      </c>
      <c r="L1726" s="107">
        <f t="shared" si="696"/>
        <v>58000</v>
      </c>
      <c r="M1726" s="107">
        <f>+O1726-L1726-16187.5+18000</f>
        <v>0</v>
      </c>
      <c r="N1726" s="107">
        <f t="shared" si="698"/>
        <v>58000</v>
      </c>
      <c r="O1726" s="107">
        <f>VLOOKUP(G1726,Budget!$E$3:$G$2474,3,0)</f>
        <v>56187.5</v>
      </c>
      <c r="P1726" s="107">
        <f t="shared" si="699"/>
        <v>-1812.5</v>
      </c>
      <c r="Q1726" s="107"/>
      <c r="R1726" s="10"/>
      <c r="S1726" s="107">
        <v>58000</v>
      </c>
      <c r="T1726" s="107">
        <f t="shared" si="695"/>
        <v>0</v>
      </c>
      <c r="U1726" s="107"/>
      <c r="V1726" s="175"/>
      <c r="W1726" s="10"/>
      <c r="X1726" s="10"/>
      <c r="Y1726" t="str">
        <f t="shared" si="694"/>
        <v>3412</v>
      </c>
      <c r="AB1726" s="10"/>
      <c r="AC1726" s="10"/>
      <c r="AD1726" s="10"/>
      <c r="AE1726" s="10"/>
      <c r="AF1726" s="10"/>
      <c r="AG1726" s="10"/>
      <c r="AH1726" s="10"/>
      <c r="AI1726" s="10"/>
    </row>
    <row r="1727" spans="1:35">
      <c r="A1727" s="10"/>
      <c r="B1727" s="10" t="str">
        <f t="shared" si="693"/>
        <v>Below the Line</v>
      </c>
      <c r="C1727" t="s">
        <v>20</v>
      </c>
      <c r="D1727" t="s">
        <v>19</v>
      </c>
      <c r="E1727" t="s">
        <v>214</v>
      </c>
      <c r="F1727" t="s">
        <v>1855</v>
      </c>
      <c r="G1727" t="s">
        <v>2813</v>
      </c>
      <c r="I1727" s="10"/>
      <c r="J1727" s="107">
        <f>SUMIF(Data!C:C,G1727,Data!Q:Q)</f>
        <v>0</v>
      </c>
      <c r="K1727" s="107">
        <f>SUMIF(Comprometidos!A:A,'Cost Report'!G1727,Comprometidos!E:E)</f>
        <v>0</v>
      </c>
      <c r="L1727" s="107">
        <f t="shared" si="696"/>
        <v>0</v>
      </c>
      <c r="M1727" s="107">
        <f t="shared" si="697"/>
        <v>0</v>
      </c>
      <c r="N1727" s="107">
        <f t="shared" si="698"/>
        <v>0</v>
      </c>
      <c r="O1727" s="107">
        <f>VLOOKUP(G1727,Budget!$E$3:$G$2474,3,0)</f>
        <v>0</v>
      </c>
      <c r="P1727" s="107">
        <f t="shared" si="699"/>
        <v>0</v>
      </c>
      <c r="Q1727" s="107"/>
      <c r="R1727" s="10"/>
      <c r="S1727" s="107">
        <v>0</v>
      </c>
      <c r="T1727" s="107">
        <f t="shared" si="695"/>
        <v>0</v>
      </c>
      <c r="U1727" s="107"/>
      <c r="V1727" s="175"/>
      <c r="W1727" s="10"/>
      <c r="X1727" s="10"/>
      <c r="Y1727" t="str">
        <f t="shared" si="694"/>
        <v>3412</v>
      </c>
      <c r="AB1727" s="10"/>
      <c r="AC1727" s="10"/>
      <c r="AD1727" s="10"/>
      <c r="AE1727" s="10"/>
      <c r="AF1727" s="10"/>
      <c r="AG1727" s="10"/>
      <c r="AH1727" s="10"/>
      <c r="AI1727" s="10"/>
    </row>
    <row r="1728" spans="1:35">
      <c r="A1728" s="10"/>
      <c r="B1728" s="10" t="str">
        <f t="shared" si="693"/>
        <v>Below the LineSHOOT</v>
      </c>
      <c r="C1728" t="s">
        <v>20</v>
      </c>
      <c r="D1728" t="s">
        <v>19</v>
      </c>
      <c r="E1728" t="s">
        <v>236</v>
      </c>
      <c r="F1728" t="s">
        <v>1855</v>
      </c>
      <c r="G1728" t="s">
        <v>2814</v>
      </c>
      <c r="I1728" s="10"/>
      <c r="J1728" s="107">
        <f>SUMIF(Data!C:C,G1728,Data!Q:Q)</f>
        <v>102830.72</v>
      </c>
      <c r="K1728" s="107">
        <f>SUMIF(Comprometidos!A:A,'Cost Report'!G1728,Comprometidos!E:E)</f>
        <v>0</v>
      </c>
      <c r="L1728" s="107">
        <f t="shared" si="696"/>
        <v>102830.72</v>
      </c>
      <c r="M1728" s="107">
        <v>0</v>
      </c>
      <c r="N1728" s="107">
        <f t="shared" si="698"/>
        <v>102830.72</v>
      </c>
      <c r="O1728" s="107">
        <f>VLOOKUP(G1728,Budget!$E$3:$G$2474,3,0)</f>
        <v>15000</v>
      </c>
      <c r="P1728" s="107">
        <f t="shared" si="699"/>
        <v>-87830.720000000001</v>
      </c>
      <c r="Q1728" s="107"/>
      <c r="R1728" s="10"/>
      <c r="S1728" s="107">
        <v>102830.72</v>
      </c>
      <c r="T1728" s="107">
        <f t="shared" si="695"/>
        <v>0</v>
      </c>
      <c r="U1728" s="107"/>
      <c r="V1728" s="175"/>
      <c r="W1728" s="10"/>
      <c r="X1728" s="10"/>
      <c r="Y1728" t="str">
        <f t="shared" si="694"/>
        <v>3412</v>
      </c>
      <c r="AB1728" s="10"/>
      <c r="AC1728" s="10"/>
      <c r="AD1728" s="10"/>
      <c r="AE1728" s="10"/>
      <c r="AF1728" s="10"/>
      <c r="AG1728" s="10"/>
      <c r="AH1728" s="10"/>
      <c r="AI1728" s="10"/>
    </row>
    <row r="1729" spans="1:35">
      <c r="A1729" s="10"/>
      <c r="B1729" s="10" t="str">
        <f t="shared" si="693"/>
        <v>Below the Line</v>
      </c>
      <c r="C1729" t="s">
        <v>20</v>
      </c>
      <c r="D1729" t="s">
        <v>19</v>
      </c>
      <c r="E1729" t="s">
        <v>214</v>
      </c>
      <c r="F1729" t="s">
        <v>1855</v>
      </c>
      <c r="G1729" t="s">
        <v>2815</v>
      </c>
      <c r="I1729" s="10"/>
      <c r="J1729" s="107">
        <f>SUMIF(Data!C:C,G1729,Data!Q:Q)</f>
        <v>0</v>
      </c>
      <c r="K1729" s="107">
        <f>SUMIF(Comprometidos!A:A,'Cost Report'!G1729,Comprometidos!E:E)</f>
        <v>0</v>
      </c>
      <c r="L1729" s="107">
        <f t="shared" si="696"/>
        <v>0</v>
      </c>
      <c r="M1729" s="107">
        <f t="shared" si="697"/>
        <v>0</v>
      </c>
      <c r="N1729" s="107">
        <f t="shared" si="698"/>
        <v>0</v>
      </c>
      <c r="O1729" s="107">
        <f>VLOOKUP(G1729,Budget!$E$3:$G$2474,3,0)</f>
        <v>0</v>
      </c>
      <c r="P1729" s="107">
        <f t="shared" si="699"/>
        <v>0</v>
      </c>
      <c r="Q1729" s="107"/>
      <c r="R1729" s="10"/>
      <c r="S1729" s="107">
        <v>0</v>
      </c>
      <c r="T1729" s="107">
        <f t="shared" si="695"/>
        <v>0</v>
      </c>
      <c r="U1729" s="107"/>
      <c r="V1729" s="175"/>
      <c r="W1729" s="10"/>
      <c r="X1729" s="10"/>
      <c r="Y1729" t="str">
        <f t="shared" si="694"/>
        <v>3412</v>
      </c>
      <c r="AB1729" s="10"/>
      <c r="AC1729" s="10"/>
      <c r="AD1729" s="10"/>
      <c r="AE1729" s="10"/>
      <c r="AF1729" s="10"/>
      <c r="AG1729" s="10"/>
      <c r="AH1729" s="10"/>
      <c r="AI1729" s="10"/>
    </row>
    <row r="1730" spans="1:35">
      <c r="A1730" s="10"/>
      <c r="B1730" s="10" t="str">
        <f t="shared" si="693"/>
        <v>Below the LineSHOOT</v>
      </c>
      <c r="C1730" t="s">
        <v>20</v>
      </c>
      <c r="D1730" t="s">
        <v>19</v>
      </c>
      <c r="E1730" t="s">
        <v>236</v>
      </c>
      <c r="F1730" t="s">
        <v>1855</v>
      </c>
      <c r="G1730" t="s">
        <v>2816</v>
      </c>
      <c r="I1730" s="10"/>
      <c r="J1730" s="107">
        <f>SUMIF(Data!C:C,G1730,Data!Q:Q)</f>
        <v>8620.7099999999991</v>
      </c>
      <c r="K1730" s="107">
        <f>SUMIF(Comprometidos!A:A,'Cost Report'!G1730,Comprometidos!E:E)</f>
        <v>0</v>
      </c>
      <c r="L1730" s="107">
        <f t="shared" si="696"/>
        <v>8620.7099999999991</v>
      </c>
      <c r="M1730" s="107">
        <v>0</v>
      </c>
      <c r="N1730" s="107">
        <f t="shared" si="698"/>
        <v>8620.7099999999991</v>
      </c>
      <c r="O1730" s="107">
        <f>VLOOKUP(G1730,Budget!$E$3:$G$2474,3,0)</f>
        <v>10000</v>
      </c>
      <c r="P1730" s="107">
        <f t="shared" si="699"/>
        <v>1379.2900000000009</v>
      </c>
      <c r="Q1730" s="107"/>
      <c r="R1730" s="10"/>
      <c r="S1730" s="107">
        <v>8620.7099999999991</v>
      </c>
      <c r="T1730" s="107">
        <f t="shared" si="695"/>
        <v>0</v>
      </c>
      <c r="U1730" s="107"/>
      <c r="V1730" s="175"/>
      <c r="W1730" s="10"/>
      <c r="X1730" s="10"/>
      <c r="Y1730" t="str">
        <f t="shared" si="694"/>
        <v>3412</v>
      </c>
      <c r="AB1730" s="10"/>
      <c r="AC1730" s="10"/>
      <c r="AD1730" s="10"/>
      <c r="AE1730" s="10"/>
      <c r="AF1730" s="10"/>
      <c r="AG1730" s="10"/>
      <c r="AH1730" s="10"/>
      <c r="AI1730" s="10"/>
    </row>
    <row r="1731" spans="1:35">
      <c r="A1731" s="10"/>
      <c r="B1731" s="10" t="str">
        <f t="shared" si="693"/>
        <v>Below the Line</v>
      </c>
      <c r="C1731" t="s">
        <v>20</v>
      </c>
      <c r="D1731" t="s">
        <v>19</v>
      </c>
      <c r="E1731" t="s">
        <v>214</v>
      </c>
      <c r="F1731" t="s">
        <v>1855</v>
      </c>
      <c r="G1731" t="s">
        <v>2817</v>
      </c>
      <c r="I1731" s="10"/>
      <c r="J1731" s="107">
        <f>SUMIF(Data!C:C,G1731,Data!Q:Q)</f>
        <v>0</v>
      </c>
      <c r="K1731" s="107">
        <f>SUMIF(Comprometidos!A:A,'Cost Report'!G1731,Comprometidos!E:E)</f>
        <v>0</v>
      </c>
      <c r="L1731" s="107">
        <f t="shared" si="696"/>
        <v>0</v>
      </c>
      <c r="M1731" s="107">
        <f t="shared" si="697"/>
        <v>0</v>
      </c>
      <c r="N1731" s="107">
        <f t="shared" si="698"/>
        <v>0</v>
      </c>
      <c r="O1731" s="107">
        <f>VLOOKUP(G1731,Budget!$E$3:$G$2474,3,0)</f>
        <v>0</v>
      </c>
      <c r="P1731" s="107">
        <f t="shared" si="699"/>
        <v>0</v>
      </c>
      <c r="Q1731" s="107"/>
      <c r="R1731" s="10"/>
      <c r="S1731" s="107">
        <v>0</v>
      </c>
      <c r="T1731" s="107">
        <f t="shared" si="695"/>
        <v>0</v>
      </c>
      <c r="U1731" s="107"/>
      <c r="V1731" s="175"/>
      <c r="W1731" s="10"/>
      <c r="X1731" s="10"/>
      <c r="Y1731" t="str">
        <f t="shared" si="694"/>
        <v>3412</v>
      </c>
      <c r="AB1731" s="10"/>
      <c r="AC1731" s="10"/>
      <c r="AD1731" s="10"/>
      <c r="AE1731" s="10"/>
      <c r="AF1731" s="10"/>
      <c r="AG1731" s="10"/>
      <c r="AH1731" s="10"/>
      <c r="AI1731" s="10"/>
    </row>
    <row r="1732" spans="1:35">
      <c r="A1732" s="10"/>
      <c r="B1732" s="10" t="str">
        <f t="shared" si="693"/>
        <v>Below the LineSHOOT</v>
      </c>
      <c r="C1732" t="s">
        <v>20</v>
      </c>
      <c r="D1732" t="s">
        <v>19</v>
      </c>
      <c r="E1732" t="s">
        <v>236</v>
      </c>
      <c r="F1732" t="s">
        <v>1855</v>
      </c>
      <c r="G1732" t="s">
        <v>2818</v>
      </c>
      <c r="I1732" s="10"/>
      <c r="J1732" s="107">
        <f>SUMIF(Data!C:C,G1732,Data!Q:Q)</f>
        <v>0</v>
      </c>
      <c r="K1732" s="107">
        <f>SUMIF(Comprometidos!A:A,'Cost Report'!G1732,Comprometidos!E:E)</f>
        <v>0</v>
      </c>
      <c r="L1732" s="107">
        <f t="shared" si="696"/>
        <v>0</v>
      </c>
      <c r="M1732" s="107">
        <v>0</v>
      </c>
      <c r="N1732" s="107">
        <f t="shared" si="698"/>
        <v>0</v>
      </c>
      <c r="O1732" s="107">
        <f>VLOOKUP(G1732,Budget!$E$3:$G$2474,3,0)</f>
        <v>30000</v>
      </c>
      <c r="P1732" s="107">
        <f t="shared" si="699"/>
        <v>30000</v>
      </c>
      <c r="Q1732" s="107"/>
      <c r="R1732" s="10"/>
      <c r="S1732" s="107">
        <v>0</v>
      </c>
      <c r="T1732" s="107">
        <f t="shared" si="695"/>
        <v>0</v>
      </c>
      <c r="U1732" s="107"/>
      <c r="V1732" s="175"/>
      <c r="W1732" s="10"/>
      <c r="X1732" s="10"/>
      <c r="Y1732" t="str">
        <f t="shared" si="694"/>
        <v>3412</v>
      </c>
      <c r="AB1732" s="10"/>
      <c r="AC1732" s="10"/>
      <c r="AD1732" s="10"/>
      <c r="AE1732" s="10"/>
      <c r="AF1732" s="10"/>
      <c r="AG1732" s="10"/>
      <c r="AH1732" s="10"/>
      <c r="AI1732" s="10"/>
    </row>
    <row r="1733" spans="1:35">
      <c r="A1733" s="10"/>
      <c r="B1733" s="10" t="str">
        <f t="shared" si="693"/>
        <v>Below the Line</v>
      </c>
      <c r="C1733" t="s">
        <v>20</v>
      </c>
      <c r="D1733" t="s">
        <v>19</v>
      </c>
      <c r="E1733" t="s">
        <v>214</v>
      </c>
      <c r="F1733" t="s">
        <v>1855</v>
      </c>
      <c r="G1733" t="s">
        <v>2819</v>
      </c>
      <c r="I1733" s="10"/>
      <c r="J1733" s="107">
        <f>SUMIF(Data!C:C,G1733,Data!Q:Q)</f>
        <v>0</v>
      </c>
      <c r="K1733" s="107">
        <f>SUMIF(Comprometidos!A:A,'Cost Report'!G1733,Comprometidos!E:E)</f>
        <v>0</v>
      </c>
      <c r="L1733" s="107">
        <f t="shared" si="696"/>
        <v>0</v>
      </c>
      <c r="M1733" s="107">
        <f t="shared" si="697"/>
        <v>0</v>
      </c>
      <c r="N1733" s="107">
        <f t="shared" si="698"/>
        <v>0</v>
      </c>
      <c r="O1733" s="107">
        <f>VLOOKUP(G1733,Budget!$E$3:$G$2474,3,0)</f>
        <v>0</v>
      </c>
      <c r="P1733" s="107">
        <f t="shared" si="699"/>
        <v>0</v>
      </c>
      <c r="Q1733" s="107"/>
      <c r="R1733" s="10"/>
      <c r="S1733" s="107">
        <v>0</v>
      </c>
      <c r="T1733" s="107">
        <f t="shared" si="695"/>
        <v>0</v>
      </c>
      <c r="U1733" s="107"/>
      <c r="V1733" s="175"/>
      <c r="W1733" s="10"/>
      <c r="X1733" s="10"/>
      <c r="Y1733" t="str">
        <f t="shared" si="694"/>
        <v>3412</v>
      </c>
      <c r="AB1733" s="10"/>
      <c r="AC1733" s="10"/>
      <c r="AD1733" s="10"/>
      <c r="AE1733" s="10"/>
      <c r="AF1733" s="10"/>
      <c r="AG1733" s="10"/>
      <c r="AH1733" s="10"/>
      <c r="AI1733" s="10"/>
    </row>
    <row r="1734" spans="1:35">
      <c r="A1734" s="10"/>
      <c r="B1734" s="10" t="str">
        <f t="shared" si="693"/>
        <v>Below the LineSHOOT</v>
      </c>
      <c r="C1734" t="s">
        <v>20</v>
      </c>
      <c r="D1734" t="s">
        <v>19</v>
      </c>
      <c r="E1734" t="s">
        <v>236</v>
      </c>
      <c r="F1734" t="s">
        <v>1855</v>
      </c>
      <c r="G1734" t="s">
        <v>2820</v>
      </c>
      <c r="I1734" s="10"/>
      <c r="J1734" s="107">
        <f>SUMIF(Data!C:C,G1734,Data!Q:Q)</f>
        <v>0</v>
      </c>
      <c r="K1734" s="107">
        <f>SUMIF(Comprometidos!A:A,'Cost Report'!G1734,Comprometidos!E:E)</f>
        <v>0</v>
      </c>
      <c r="L1734" s="107">
        <f t="shared" si="696"/>
        <v>0</v>
      </c>
      <c r="M1734" s="107">
        <v>0</v>
      </c>
      <c r="N1734" s="107">
        <f t="shared" si="698"/>
        <v>0</v>
      </c>
      <c r="O1734" s="107">
        <f>VLOOKUP(G1734,Budget!$E$3:$G$2474,3,0)</f>
        <v>5000</v>
      </c>
      <c r="P1734" s="107">
        <f t="shared" si="699"/>
        <v>5000</v>
      </c>
      <c r="Q1734" s="107"/>
      <c r="R1734" s="10"/>
      <c r="S1734" s="107">
        <v>0</v>
      </c>
      <c r="T1734" s="107">
        <f t="shared" si="695"/>
        <v>0</v>
      </c>
      <c r="U1734" s="107"/>
      <c r="V1734" s="175"/>
      <c r="W1734" s="10"/>
      <c r="X1734" s="10"/>
      <c r="Y1734" t="str">
        <f t="shared" si="694"/>
        <v>3412</v>
      </c>
      <c r="AB1734" s="10"/>
      <c r="AC1734" s="10"/>
      <c r="AD1734" s="10"/>
      <c r="AE1734" s="10"/>
      <c r="AF1734" s="10"/>
      <c r="AG1734" s="10"/>
      <c r="AH1734" s="10"/>
      <c r="AI1734" s="10"/>
    </row>
    <row r="1735" spans="1:35">
      <c r="A1735" s="10"/>
      <c r="B1735" s="10" t="str">
        <f t="shared" si="693"/>
        <v>Below the Line</v>
      </c>
      <c r="C1735" t="s">
        <v>20</v>
      </c>
      <c r="D1735" t="s">
        <v>19</v>
      </c>
      <c r="E1735" t="s">
        <v>214</v>
      </c>
      <c r="F1735" t="s">
        <v>1855</v>
      </c>
      <c r="G1735" t="s">
        <v>2821</v>
      </c>
      <c r="I1735" s="10"/>
      <c r="J1735" s="107">
        <f>SUMIF(Data!C:C,G1735,Data!Q:Q)</f>
        <v>0</v>
      </c>
      <c r="K1735" s="107">
        <f>SUMIF(Comprometidos!A:A,'Cost Report'!G1735,Comprometidos!E:E)</f>
        <v>0</v>
      </c>
      <c r="L1735" s="107">
        <f t="shared" si="696"/>
        <v>0</v>
      </c>
      <c r="M1735" s="107">
        <f t="shared" si="697"/>
        <v>0</v>
      </c>
      <c r="N1735" s="107">
        <f t="shared" si="698"/>
        <v>0</v>
      </c>
      <c r="O1735" s="107">
        <f>VLOOKUP(G1735,Budget!$E$3:$G$2474,3,0)</f>
        <v>0</v>
      </c>
      <c r="P1735" s="107">
        <f t="shared" si="699"/>
        <v>0</v>
      </c>
      <c r="Q1735" s="107"/>
      <c r="R1735" s="10"/>
      <c r="S1735" s="107">
        <v>0</v>
      </c>
      <c r="T1735" s="107">
        <f t="shared" si="695"/>
        <v>0</v>
      </c>
      <c r="U1735" s="107"/>
      <c r="V1735" s="175"/>
      <c r="W1735" s="10"/>
      <c r="X1735" s="10"/>
      <c r="Y1735" t="str">
        <f t="shared" si="694"/>
        <v>3412</v>
      </c>
      <c r="AB1735" s="10"/>
      <c r="AC1735" s="10"/>
      <c r="AD1735" s="10"/>
      <c r="AE1735" s="10"/>
      <c r="AF1735" s="10"/>
      <c r="AG1735" s="10"/>
      <c r="AH1735" s="10"/>
      <c r="AI1735" s="10"/>
    </row>
    <row r="1736" spans="1:35">
      <c r="A1736" s="10"/>
      <c r="B1736" s="10" t="str">
        <f t="shared" si="693"/>
        <v>Below the LineALL SHOW</v>
      </c>
      <c r="C1736" t="s">
        <v>20</v>
      </c>
      <c r="D1736" t="s">
        <v>19</v>
      </c>
      <c r="E1736" t="s">
        <v>227</v>
      </c>
      <c r="F1736" t="s">
        <v>1855</v>
      </c>
      <c r="G1736" t="s">
        <v>2822</v>
      </c>
      <c r="I1736" s="10"/>
      <c r="J1736" s="107">
        <f>SUMIF(Data!C:C,G1736,Data!Q:Q)</f>
        <v>2155.17</v>
      </c>
      <c r="K1736" s="107">
        <f>SUMIF(Comprometidos!A:A,'Cost Report'!G1736,Comprometidos!E:E)</f>
        <v>0</v>
      </c>
      <c r="L1736" s="107">
        <f t="shared" si="696"/>
        <v>2155.17</v>
      </c>
      <c r="M1736" s="107">
        <v>0</v>
      </c>
      <c r="N1736" s="107">
        <f t="shared" si="698"/>
        <v>2155.17</v>
      </c>
      <c r="O1736" s="107">
        <f>VLOOKUP(G1736,Budget!$E$3:$G$2474,3,0)</f>
        <v>2701500</v>
      </c>
      <c r="P1736" s="107">
        <f t="shared" si="699"/>
        <v>2699344.83</v>
      </c>
      <c r="Q1736" s="107"/>
      <c r="R1736" s="10"/>
      <c r="S1736" s="107">
        <v>2155.17</v>
      </c>
      <c r="T1736" s="107">
        <f t="shared" si="695"/>
        <v>0</v>
      </c>
      <c r="U1736" s="107"/>
      <c r="V1736" s="175"/>
      <c r="W1736" s="10"/>
      <c r="X1736" s="10"/>
      <c r="Y1736" t="str">
        <f t="shared" si="694"/>
        <v>3412</v>
      </c>
      <c r="AB1736" s="10"/>
      <c r="AC1736" s="10"/>
      <c r="AD1736" s="10"/>
      <c r="AE1736" s="10"/>
      <c r="AF1736" s="10"/>
      <c r="AG1736" s="10"/>
      <c r="AH1736" s="10"/>
      <c r="AI1736" s="10"/>
    </row>
    <row r="1737" spans="1:35">
      <c r="A1737" s="10"/>
      <c r="B1737" s="10" t="str">
        <f t="shared" ref="B1737:B1744" si="700">+C1737&amp;E1737</f>
        <v>Below the Line</v>
      </c>
      <c r="C1737" t="s">
        <v>20</v>
      </c>
      <c r="D1737" t="s">
        <v>19</v>
      </c>
      <c r="E1737" t="s">
        <v>214</v>
      </c>
      <c r="F1737" t="s">
        <v>1855</v>
      </c>
      <c r="G1737" t="s">
        <v>2823</v>
      </c>
      <c r="I1737" s="10"/>
      <c r="J1737" s="107">
        <f>SUMIF(Data!C:C,G1737,Data!Q:Q)</f>
        <v>0</v>
      </c>
      <c r="K1737" s="107">
        <f>SUMIF(Comprometidos!A:A,'Cost Report'!G1737,Comprometidos!E:E)</f>
        <v>0</v>
      </c>
      <c r="L1737" s="107">
        <f t="shared" si="696"/>
        <v>0</v>
      </c>
      <c r="M1737" s="107">
        <f t="shared" si="697"/>
        <v>0</v>
      </c>
      <c r="N1737" s="107">
        <f t="shared" si="698"/>
        <v>0</v>
      </c>
      <c r="O1737" s="107">
        <f>VLOOKUP(G1737,Budget!$E$3:$G$2474,3,0)</f>
        <v>0</v>
      </c>
      <c r="P1737" s="107">
        <f t="shared" si="699"/>
        <v>0</v>
      </c>
      <c r="Q1737" s="107"/>
      <c r="R1737" s="10"/>
      <c r="S1737" s="107">
        <v>0</v>
      </c>
      <c r="T1737" s="107">
        <f t="shared" si="695"/>
        <v>0</v>
      </c>
      <c r="U1737" s="107"/>
      <c r="V1737" s="175"/>
      <c r="W1737" s="10"/>
      <c r="X1737" s="10"/>
      <c r="Y1737" t="str">
        <f t="shared" ref="Y1737:Y1744" si="701">LEFT(G1737,4)</f>
        <v>3412</v>
      </c>
      <c r="AB1737" s="10"/>
      <c r="AC1737" s="10"/>
      <c r="AD1737" s="10"/>
      <c r="AE1737" s="10"/>
      <c r="AF1737" s="10"/>
      <c r="AG1737" s="10"/>
      <c r="AH1737" s="10"/>
      <c r="AI1737" s="10"/>
    </row>
    <row r="1738" spans="1:35">
      <c r="A1738" s="10"/>
      <c r="B1738" s="10" t="str">
        <f t="shared" si="700"/>
        <v>Below the LineSHOOT</v>
      </c>
      <c r="C1738" t="s">
        <v>20</v>
      </c>
      <c r="D1738" t="s">
        <v>19</v>
      </c>
      <c r="E1738" t="s">
        <v>236</v>
      </c>
      <c r="F1738" t="s">
        <v>1855</v>
      </c>
      <c r="G1738" t="s">
        <v>2824</v>
      </c>
      <c r="I1738" s="10"/>
      <c r="J1738" s="107">
        <f>SUMIF(Data!C:C,G1738,Data!Q:Q)</f>
        <v>89280.34</v>
      </c>
      <c r="K1738" s="107">
        <f>SUMIF(Comprometidos!A:A,'Cost Report'!G1738,Comprometidos!E:E)</f>
        <v>0</v>
      </c>
      <c r="L1738" s="107">
        <f t="shared" si="696"/>
        <v>89280.34</v>
      </c>
      <c r="M1738" s="107">
        <v>0</v>
      </c>
      <c r="N1738" s="107">
        <f t="shared" si="698"/>
        <v>89280.34</v>
      </c>
      <c r="O1738" s="107">
        <f>VLOOKUP(G1738,Budget!$E$3:$G$2474,3,0)</f>
        <v>147000</v>
      </c>
      <c r="P1738" s="107">
        <f t="shared" si="699"/>
        <v>57719.66</v>
      </c>
      <c r="Q1738" s="107"/>
      <c r="R1738" s="10"/>
      <c r="S1738" s="107">
        <v>89280.34</v>
      </c>
      <c r="T1738" s="107">
        <f t="shared" si="695"/>
        <v>0</v>
      </c>
      <c r="U1738" s="107"/>
      <c r="V1738" s="175"/>
      <c r="W1738" s="10"/>
      <c r="X1738" s="10"/>
      <c r="Y1738" t="str">
        <f t="shared" si="701"/>
        <v>3412</v>
      </c>
      <c r="AB1738" s="10"/>
      <c r="AC1738" s="10"/>
      <c r="AD1738" s="10"/>
      <c r="AE1738" s="10"/>
      <c r="AF1738" s="10"/>
      <c r="AG1738" s="10"/>
      <c r="AH1738" s="10"/>
      <c r="AI1738" s="10"/>
    </row>
    <row r="1739" spans="1:35">
      <c r="A1739" s="10"/>
      <c r="B1739" s="10" t="str">
        <f t="shared" si="700"/>
        <v>Below the LineSHOOT</v>
      </c>
      <c r="C1739" t="s">
        <v>20</v>
      </c>
      <c r="D1739" t="s">
        <v>19</v>
      </c>
      <c r="E1739" t="s">
        <v>236</v>
      </c>
      <c r="F1739" t="s">
        <v>1855</v>
      </c>
      <c r="G1739" t="s">
        <v>2825</v>
      </c>
      <c r="I1739" s="10"/>
      <c r="J1739" s="107">
        <f>SUMIF(Data!C:C,G1739,Data!Q:Q)</f>
        <v>144979.03</v>
      </c>
      <c r="K1739" s="107">
        <f>SUMIF(Comprometidos!A:A,'Cost Report'!G1739,Comprometidos!E:E)</f>
        <v>0</v>
      </c>
      <c r="L1739" s="107">
        <f t="shared" si="696"/>
        <v>144979.03</v>
      </c>
      <c r="M1739" s="107">
        <v>0</v>
      </c>
      <c r="N1739" s="107">
        <f t="shared" si="698"/>
        <v>144979.03</v>
      </c>
      <c r="O1739" s="107">
        <f>VLOOKUP(G1739,Budget!$E$3:$G$2474,3,0)</f>
        <v>147000</v>
      </c>
      <c r="P1739" s="107">
        <f t="shared" si="699"/>
        <v>2020.9700000000012</v>
      </c>
      <c r="Q1739" s="107"/>
      <c r="R1739" s="10"/>
      <c r="S1739" s="107">
        <v>144979.03</v>
      </c>
      <c r="T1739" s="107">
        <f t="shared" si="695"/>
        <v>0</v>
      </c>
      <c r="U1739" s="107"/>
      <c r="V1739" s="175"/>
      <c r="W1739" s="10"/>
      <c r="X1739" s="10"/>
      <c r="Y1739" t="str">
        <f t="shared" si="701"/>
        <v>3412</v>
      </c>
      <c r="AB1739" s="10"/>
      <c r="AC1739" s="10"/>
      <c r="AD1739" s="10"/>
      <c r="AE1739" s="10"/>
      <c r="AF1739" s="10"/>
      <c r="AG1739" s="10"/>
      <c r="AH1739" s="10"/>
      <c r="AI1739" s="10"/>
    </row>
    <row r="1740" spans="1:35">
      <c r="A1740" s="10"/>
      <c r="B1740" s="10" t="str">
        <f t="shared" si="700"/>
        <v>Below the Line2nd Unit</v>
      </c>
      <c r="C1740" t="s">
        <v>20</v>
      </c>
      <c r="D1740" t="s">
        <v>19</v>
      </c>
      <c r="E1740" t="s">
        <v>1419</v>
      </c>
      <c r="F1740" t="s">
        <v>1855</v>
      </c>
      <c r="G1740" t="s">
        <v>2826</v>
      </c>
      <c r="I1740" s="10"/>
      <c r="J1740" s="107">
        <f>SUMIF(Data!C:C,G1740,Data!Q:Q)</f>
        <v>42975.710000000006</v>
      </c>
      <c r="K1740" s="107">
        <f>SUMIF(Comprometidos!A:A,'Cost Report'!G1740,Comprometidos!E:E)</f>
        <v>0</v>
      </c>
      <c r="L1740" s="107">
        <f t="shared" si="696"/>
        <v>42975.710000000006</v>
      </c>
      <c r="M1740" s="107">
        <v>0</v>
      </c>
      <c r="N1740" s="107">
        <f t="shared" si="698"/>
        <v>42975.710000000006</v>
      </c>
      <c r="O1740" s="107">
        <f>VLOOKUP(G1740,Budget!$E$3:$G$2474,3,0)</f>
        <v>42000</v>
      </c>
      <c r="P1740" s="107">
        <f t="shared" si="699"/>
        <v>-975.7100000000064</v>
      </c>
      <c r="Q1740" s="107"/>
      <c r="R1740" s="10"/>
      <c r="S1740" s="107">
        <v>42975.710000000006</v>
      </c>
      <c r="T1740" s="107">
        <f t="shared" si="695"/>
        <v>0</v>
      </c>
      <c r="U1740" s="107"/>
      <c r="V1740" s="175"/>
      <c r="W1740" s="10"/>
      <c r="X1740" s="10"/>
      <c r="Y1740" t="str">
        <f t="shared" si="701"/>
        <v>3412</v>
      </c>
      <c r="AB1740" s="10"/>
      <c r="AC1740" s="10"/>
      <c r="AD1740" s="10"/>
      <c r="AE1740" s="10"/>
      <c r="AF1740" s="10"/>
      <c r="AG1740" s="10"/>
      <c r="AH1740" s="10"/>
      <c r="AI1740" s="10"/>
    </row>
    <row r="1741" spans="1:35">
      <c r="A1741" s="10"/>
      <c r="B1741" s="10" t="str">
        <f t="shared" si="700"/>
        <v>Below the Line2nd Unit</v>
      </c>
      <c r="C1741" t="s">
        <v>20</v>
      </c>
      <c r="D1741" t="s">
        <v>19</v>
      </c>
      <c r="E1741" t="s">
        <v>1419</v>
      </c>
      <c r="F1741" t="s">
        <v>1855</v>
      </c>
      <c r="G1741" t="s">
        <v>2827</v>
      </c>
      <c r="I1741" s="10"/>
      <c r="J1741" s="107">
        <f>SUMIF(Data!C:C,G1741,Data!Q:Q)</f>
        <v>60000</v>
      </c>
      <c r="K1741" s="107">
        <f>SUMIF(Comprometidos!A:A,'Cost Report'!G1741,Comprometidos!E:E)</f>
        <v>0</v>
      </c>
      <c r="L1741" s="107">
        <f t="shared" si="696"/>
        <v>60000</v>
      </c>
      <c r="M1741" s="107">
        <v>0</v>
      </c>
      <c r="N1741" s="107">
        <f t="shared" si="698"/>
        <v>60000</v>
      </c>
      <c r="O1741" s="107">
        <f>VLOOKUP(G1741,Budget!$E$3:$G$2474,3,0)</f>
        <v>42000</v>
      </c>
      <c r="P1741" s="107">
        <f t="shared" si="699"/>
        <v>-18000</v>
      </c>
      <c r="Q1741" s="107"/>
      <c r="R1741" s="10"/>
      <c r="S1741" s="107">
        <v>60000</v>
      </c>
      <c r="T1741" s="107">
        <f t="shared" si="695"/>
        <v>0</v>
      </c>
      <c r="U1741" s="107"/>
      <c r="V1741" s="175"/>
      <c r="W1741" s="10"/>
      <c r="X1741" s="10"/>
      <c r="Y1741" t="str">
        <f t="shared" si="701"/>
        <v>3412</v>
      </c>
      <c r="AB1741" s="10"/>
      <c r="AC1741" s="10"/>
      <c r="AD1741" s="10"/>
      <c r="AE1741" s="10"/>
      <c r="AF1741" s="10"/>
      <c r="AG1741" s="10"/>
      <c r="AH1741" s="10"/>
      <c r="AI1741" s="10"/>
    </row>
    <row r="1742" spans="1:35">
      <c r="A1742" s="10"/>
      <c r="B1742" s="10" t="str">
        <f t="shared" si="700"/>
        <v>Below the Line</v>
      </c>
      <c r="C1742" t="s">
        <v>20</v>
      </c>
      <c r="D1742" t="s">
        <v>19</v>
      </c>
      <c r="E1742" t="s">
        <v>214</v>
      </c>
      <c r="F1742" t="s">
        <v>1855</v>
      </c>
      <c r="G1742" t="s">
        <v>2828</v>
      </c>
      <c r="I1742" s="10"/>
      <c r="J1742" s="107">
        <f>SUMIF(Data!C:C,G1742,Data!Q:Q)</f>
        <v>0</v>
      </c>
      <c r="K1742" s="107">
        <f>SUMIF(Comprometidos!A:A,'Cost Report'!G1742,Comprometidos!E:E)</f>
        <v>0</v>
      </c>
      <c r="L1742" s="107">
        <f t="shared" si="696"/>
        <v>0</v>
      </c>
      <c r="M1742" s="107">
        <f t="shared" si="697"/>
        <v>0</v>
      </c>
      <c r="N1742" s="107">
        <f t="shared" si="698"/>
        <v>0</v>
      </c>
      <c r="O1742" s="107">
        <f>VLOOKUP(G1742,Budget!$E$3:$G$2474,3,0)</f>
        <v>0</v>
      </c>
      <c r="P1742" s="107">
        <f t="shared" si="699"/>
        <v>0</v>
      </c>
      <c r="Q1742" s="107"/>
      <c r="R1742" s="10"/>
      <c r="S1742" s="107">
        <v>0</v>
      </c>
      <c r="T1742" s="107">
        <f t="shared" si="695"/>
        <v>0</v>
      </c>
      <c r="U1742" s="107"/>
      <c r="V1742" s="175"/>
      <c r="W1742" s="10"/>
      <c r="X1742" s="10"/>
      <c r="Y1742" t="str">
        <f t="shared" si="701"/>
        <v>3412</v>
      </c>
      <c r="AB1742" s="10"/>
      <c r="AC1742" s="10"/>
      <c r="AD1742" s="10"/>
      <c r="AE1742" s="10"/>
      <c r="AF1742" s="10"/>
      <c r="AG1742" s="10"/>
      <c r="AH1742" s="10"/>
      <c r="AI1742" s="10"/>
    </row>
    <row r="1743" spans="1:35">
      <c r="A1743" s="10"/>
      <c r="B1743" s="10" t="str">
        <f t="shared" si="700"/>
        <v>Below the LineSHOOT</v>
      </c>
      <c r="C1743" t="s">
        <v>20</v>
      </c>
      <c r="D1743" t="s">
        <v>19</v>
      </c>
      <c r="E1743" t="s">
        <v>236</v>
      </c>
      <c r="F1743" t="s">
        <v>1855</v>
      </c>
      <c r="G1743" t="s">
        <v>2829</v>
      </c>
      <c r="I1743" s="10"/>
      <c r="J1743" s="107">
        <f>SUMIF(Data!C:C,G1743,Data!Q:Q)</f>
        <v>31867.379999999997</v>
      </c>
      <c r="K1743" s="107">
        <f>SUMIF(Comprometidos!A:A,'Cost Report'!G1743,Comprometidos!E:E)</f>
        <v>0</v>
      </c>
      <c r="L1743" s="107">
        <f t="shared" si="696"/>
        <v>31867.379999999997</v>
      </c>
      <c r="M1743" s="107">
        <v>0</v>
      </c>
      <c r="N1743" s="107">
        <f t="shared" si="698"/>
        <v>31867.379999999997</v>
      </c>
      <c r="O1743" s="107">
        <f>VLOOKUP(G1743,Budget!$E$3:$G$2474,3,0)</f>
        <v>50000</v>
      </c>
      <c r="P1743" s="107">
        <f t="shared" si="699"/>
        <v>18132.620000000003</v>
      </c>
      <c r="Q1743" s="107"/>
      <c r="R1743" s="10"/>
      <c r="S1743" s="107">
        <v>30882.180000000004</v>
      </c>
      <c r="T1743" s="107">
        <f t="shared" si="695"/>
        <v>-985.19999999999345</v>
      </c>
      <c r="U1743" s="107"/>
      <c r="V1743" s="175"/>
      <c r="W1743" s="10"/>
      <c r="X1743" s="10"/>
      <c r="Y1743" t="str">
        <f t="shared" si="701"/>
        <v>3412</v>
      </c>
      <c r="AB1743" s="10"/>
      <c r="AC1743" s="10"/>
      <c r="AD1743" s="10"/>
      <c r="AE1743" s="10"/>
      <c r="AF1743" s="10"/>
      <c r="AG1743" s="10"/>
      <c r="AH1743" s="10"/>
      <c r="AI1743" s="10"/>
    </row>
    <row r="1744" spans="1:35">
      <c r="A1744" s="10"/>
      <c r="B1744" s="10" t="str">
        <f t="shared" si="700"/>
        <v>Below the Line2nd Unit</v>
      </c>
      <c r="C1744" t="s">
        <v>20</v>
      </c>
      <c r="D1744" t="s">
        <v>19</v>
      </c>
      <c r="E1744" t="s">
        <v>1419</v>
      </c>
      <c r="F1744" t="s">
        <v>1855</v>
      </c>
      <c r="G1744" t="s">
        <v>2830</v>
      </c>
      <c r="I1744" s="10"/>
      <c r="J1744" s="107">
        <f>SUMIF(Data!C:C,G1744,Data!Q:Q)</f>
        <v>35811.21</v>
      </c>
      <c r="K1744" s="107">
        <f>SUMIF(Comprometidos!A:A,'Cost Report'!G1744,Comprometidos!E:E)</f>
        <v>0</v>
      </c>
      <c r="L1744" s="107">
        <f t="shared" si="696"/>
        <v>35811.21</v>
      </c>
      <c r="M1744" s="107">
        <v>0</v>
      </c>
      <c r="N1744" s="107">
        <f t="shared" si="698"/>
        <v>35811.21</v>
      </c>
      <c r="O1744" s="107">
        <f>VLOOKUP(G1744,Budget!$E$3:$G$2474,3,0)</f>
        <v>50000</v>
      </c>
      <c r="P1744" s="107">
        <f t="shared" si="699"/>
        <v>14188.79</v>
      </c>
      <c r="Q1744" s="107"/>
      <c r="R1744" s="10"/>
      <c r="S1744" s="107">
        <v>35811.21</v>
      </c>
      <c r="T1744" s="107">
        <f t="shared" si="695"/>
        <v>0</v>
      </c>
      <c r="U1744" s="107"/>
      <c r="V1744" s="175"/>
      <c r="W1744" s="10"/>
      <c r="X1744" s="10"/>
      <c r="Y1744" t="str">
        <f t="shared" si="701"/>
        <v>3412</v>
      </c>
      <c r="AB1744" s="10"/>
      <c r="AC1744" s="10"/>
      <c r="AD1744" s="10"/>
      <c r="AE1744" s="10"/>
      <c r="AF1744" s="10"/>
      <c r="AG1744" s="10"/>
      <c r="AH1744" s="10"/>
      <c r="AI1744" s="10"/>
    </row>
    <row r="1745" spans="1:35">
      <c r="A1745" s="10"/>
      <c r="B1745" s="10" t="str">
        <f>+C1745</f>
        <v>Below the Line</v>
      </c>
      <c r="C1745" s="128" t="s">
        <v>20</v>
      </c>
      <c r="D1745" s="128" t="s">
        <v>2117</v>
      </c>
      <c r="E1745" s="128"/>
      <c r="F1745" s="128"/>
      <c r="G1745" s="128" t="s">
        <v>1856</v>
      </c>
      <c r="H1745" s="128"/>
      <c r="I1745" s="10"/>
      <c r="J1745" s="129">
        <f>SUMIF($Y$11:$Y$2484,G1745,J$11:J$2484)</f>
        <v>115587.07799999999</v>
      </c>
      <c r="K1745" s="129">
        <f>SUMIF($Y$11:$Y$2484,G1745,K$11:K$2484)</f>
        <v>0</v>
      </c>
      <c r="L1745" s="129">
        <f>SUMIF($Y$11:$Y$2484,G1745,L$11:L$2484)</f>
        <v>115587.07799999999</v>
      </c>
      <c r="M1745" s="129">
        <f>SUMIF($Y$11:$Y$2484,G1745,M$11:M$2484)</f>
        <v>0</v>
      </c>
      <c r="N1745" s="129">
        <f>SUMIF($Y$11:$Y$2484,G1745,N$11:N$2484)</f>
        <v>115587.07799999999</v>
      </c>
      <c r="O1745" s="129">
        <f>SUMIF($Y$11:$Y$2484,G1745,O$11:O$2484)</f>
        <v>112000</v>
      </c>
      <c r="P1745" s="129">
        <f>SUMIF($Y$11:$Y$2484,G1745,P$11:P$2484)</f>
        <v>-3587.0779999999995</v>
      </c>
      <c r="Q1745" s="129"/>
      <c r="R1745" s="10"/>
      <c r="S1745" s="129">
        <v>115485.15</v>
      </c>
      <c r="T1745" s="129">
        <f t="shared" si="695"/>
        <v>-101.92799999999988</v>
      </c>
      <c r="U1745" s="128"/>
      <c r="V1745" s="175"/>
      <c r="W1745" s="10"/>
      <c r="X1745" s="10"/>
      <c r="Z1745" t="str">
        <f>LEFT(G1745,2)</f>
        <v>34</v>
      </c>
      <c r="AA1745" t="str">
        <f>+Z1745&amp;"00"</f>
        <v>3400</v>
      </c>
      <c r="AB1745" s="10"/>
      <c r="AC1745" s="10"/>
      <c r="AD1745" s="10"/>
      <c r="AE1745" s="10"/>
      <c r="AF1745" s="10"/>
      <c r="AG1745" s="10"/>
      <c r="AH1745" s="10"/>
      <c r="AI1745" s="10"/>
    </row>
    <row r="1746" spans="1:35">
      <c r="A1746" s="10"/>
      <c r="B1746" s="10" t="str">
        <f t="shared" ref="B1746:B1755" si="702">+C1746&amp;E1746</f>
        <v>Below the Line</v>
      </c>
      <c r="C1746" t="s">
        <v>20</v>
      </c>
      <c r="D1746" t="s">
        <v>19</v>
      </c>
      <c r="E1746" t="s">
        <v>214</v>
      </c>
      <c r="F1746" t="s">
        <v>5396</v>
      </c>
      <c r="G1746" t="s">
        <v>1857</v>
      </c>
      <c r="I1746" s="10"/>
      <c r="J1746" s="107">
        <f>SUMIF(Data!C:C,G1746,Data!Q:Q)</f>
        <v>0</v>
      </c>
      <c r="K1746" s="107">
        <f>SUMIF(Comprometidos!A:A,'Cost Report'!G1746,Comprometidos!E:E)</f>
        <v>0</v>
      </c>
      <c r="L1746" s="107">
        <f t="shared" ref="L1746:L1755" si="703">+J1746+K1746</f>
        <v>0</v>
      </c>
      <c r="M1746" s="107">
        <f t="shared" ref="M1746:M1754" si="704">+O1746-L1746</f>
        <v>0</v>
      </c>
      <c r="N1746" s="107">
        <f t="shared" ref="N1746:N1755" si="705">+L1746+M1746</f>
        <v>0</v>
      </c>
      <c r="O1746" s="107">
        <f>VLOOKUP(G1746,Budget!$E$3:$G$2474,3,0)</f>
        <v>0</v>
      </c>
      <c r="P1746" s="107">
        <f t="shared" ref="P1746:P1755" si="706">+O1746-N1746</f>
        <v>0</v>
      </c>
      <c r="Q1746" s="107"/>
      <c r="R1746" s="10"/>
      <c r="S1746" s="107">
        <v>0</v>
      </c>
      <c r="T1746" s="107">
        <f t="shared" si="695"/>
        <v>0</v>
      </c>
      <c r="U1746" s="107"/>
      <c r="V1746" s="175"/>
      <c r="W1746" s="10"/>
      <c r="X1746" s="10"/>
      <c r="Y1746" t="str">
        <f t="shared" ref="Y1746:Y1755" si="707">LEFT(G1746,4)</f>
        <v>3416</v>
      </c>
      <c r="AB1746" s="10"/>
      <c r="AC1746" s="10"/>
      <c r="AD1746" s="10"/>
      <c r="AE1746" s="10"/>
      <c r="AF1746" s="10"/>
      <c r="AG1746" s="10"/>
      <c r="AH1746" s="10"/>
      <c r="AI1746" s="10"/>
    </row>
    <row r="1747" spans="1:35">
      <c r="A1747" s="10"/>
      <c r="B1747" s="10" t="str">
        <f t="shared" si="702"/>
        <v>Below the LinePREP</v>
      </c>
      <c r="C1747" t="s">
        <v>20</v>
      </c>
      <c r="D1747" t="s">
        <v>19</v>
      </c>
      <c r="E1747" t="s">
        <v>234</v>
      </c>
      <c r="F1747" t="s">
        <v>5396</v>
      </c>
      <c r="G1747" t="s">
        <v>1858</v>
      </c>
      <c r="I1747" s="10"/>
      <c r="J1747" s="107">
        <f>SUMIF(Data!C:C,G1747,Data!Q:Q)</f>
        <v>3000</v>
      </c>
      <c r="K1747" s="107">
        <f>SUMIF(Comprometidos!A:A,'Cost Report'!G1747,Comprometidos!E:E)</f>
        <v>0</v>
      </c>
      <c r="L1747" s="107">
        <f t="shared" si="703"/>
        <v>3000</v>
      </c>
      <c r="M1747" s="107">
        <v>0</v>
      </c>
      <c r="N1747" s="107">
        <f t="shared" si="705"/>
        <v>3000</v>
      </c>
      <c r="O1747" s="107">
        <f>VLOOKUP(G1747,Budget!$E$3:$G$2474,3,0)</f>
        <v>3000</v>
      </c>
      <c r="P1747" s="107">
        <f t="shared" si="706"/>
        <v>0</v>
      </c>
      <c r="Q1747" s="107"/>
      <c r="R1747" s="10"/>
      <c r="S1747" s="107">
        <v>3000</v>
      </c>
      <c r="T1747" s="107">
        <f t="shared" si="695"/>
        <v>0</v>
      </c>
      <c r="U1747" s="107"/>
      <c r="V1747" s="175"/>
      <c r="W1747" s="10"/>
      <c r="X1747" s="10"/>
      <c r="Y1747" t="str">
        <f t="shared" si="707"/>
        <v>3416</v>
      </c>
      <c r="AB1747" s="10"/>
      <c r="AC1747" s="10"/>
      <c r="AD1747" s="10"/>
      <c r="AE1747" s="10"/>
      <c r="AF1747" s="10"/>
      <c r="AG1747" s="10"/>
      <c r="AH1747" s="10"/>
      <c r="AI1747" s="10"/>
    </row>
    <row r="1748" spans="1:35">
      <c r="A1748" s="10"/>
      <c r="B1748" s="10" t="str">
        <f t="shared" si="702"/>
        <v>Below the LineSHOOT</v>
      </c>
      <c r="C1748" t="s">
        <v>20</v>
      </c>
      <c r="D1748" t="s">
        <v>19</v>
      </c>
      <c r="E1748" t="s">
        <v>236</v>
      </c>
      <c r="F1748" t="s">
        <v>5396</v>
      </c>
      <c r="G1748" t="s">
        <v>1859</v>
      </c>
      <c r="I1748" s="10"/>
      <c r="J1748" s="107">
        <f>SUMIF(Data!C:C,G1748,Data!Q:Q)</f>
        <v>86000</v>
      </c>
      <c r="K1748" s="107">
        <f>SUMIF(Comprometidos!A:A,'Cost Report'!G1748,Comprometidos!E:E)</f>
        <v>0</v>
      </c>
      <c r="L1748" s="107">
        <f t="shared" si="703"/>
        <v>86000</v>
      </c>
      <c r="M1748" s="107">
        <v>0</v>
      </c>
      <c r="N1748" s="107">
        <f t="shared" si="705"/>
        <v>86000</v>
      </c>
      <c r="O1748" s="107">
        <f>VLOOKUP(G1748,Budget!$E$3:$G$2474,3,0)</f>
        <v>70000</v>
      </c>
      <c r="P1748" s="107">
        <f t="shared" si="706"/>
        <v>-16000</v>
      </c>
      <c r="Q1748" s="107"/>
      <c r="R1748" s="10"/>
      <c r="S1748" s="107">
        <v>86000</v>
      </c>
      <c r="T1748" s="107">
        <f t="shared" si="695"/>
        <v>0</v>
      </c>
      <c r="U1748" s="107"/>
      <c r="V1748" s="175"/>
      <c r="W1748" s="10"/>
      <c r="X1748" s="10"/>
      <c r="Y1748" t="str">
        <f t="shared" si="707"/>
        <v>3416</v>
      </c>
      <c r="AB1748" s="10"/>
      <c r="AC1748" s="10"/>
      <c r="AD1748" s="10"/>
      <c r="AE1748" s="10"/>
      <c r="AF1748" s="10"/>
      <c r="AG1748" s="10"/>
      <c r="AH1748" s="10"/>
      <c r="AI1748" s="10"/>
    </row>
    <row r="1749" spans="1:35">
      <c r="A1749" s="10"/>
      <c r="B1749" s="10" t="str">
        <f t="shared" si="702"/>
        <v>Below the LineWRAP</v>
      </c>
      <c r="C1749" t="s">
        <v>20</v>
      </c>
      <c r="D1749" t="s">
        <v>19</v>
      </c>
      <c r="E1749" t="s">
        <v>238</v>
      </c>
      <c r="F1749" t="s">
        <v>5396</v>
      </c>
      <c r="G1749" t="s">
        <v>1860</v>
      </c>
      <c r="I1749" s="10"/>
      <c r="J1749" s="107">
        <f>SUMIF(Data!C:C,G1749,Data!Q:Q)</f>
        <v>0</v>
      </c>
      <c r="K1749" s="107">
        <f>SUMIF(Comprometidos!A:A,'Cost Report'!G1749,Comprometidos!E:E)</f>
        <v>0</v>
      </c>
      <c r="L1749" s="107">
        <f t="shared" si="703"/>
        <v>0</v>
      </c>
      <c r="M1749" s="107">
        <v>0</v>
      </c>
      <c r="N1749" s="107">
        <f t="shared" si="705"/>
        <v>0</v>
      </c>
      <c r="O1749" s="107">
        <f>VLOOKUP(G1749,Budget!$E$3:$G$2474,3,0)</f>
        <v>0</v>
      </c>
      <c r="P1749" s="107">
        <f t="shared" si="706"/>
        <v>0</v>
      </c>
      <c r="Q1749" s="107"/>
      <c r="R1749" s="10"/>
      <c r="S1749" s="107">
        <v>0</v>
      </c>
      <c r="T1749" s="107">
        <f t="shared" si="695"/>
        <v>0</v>
      </c>
      <c r="U1749" s="107"/>
      <c r="V1749" s="175"/>
      <c r="W1749" s="10"/>
      <c r="X1749" s="10"/>
      <c r="Y1749" t="str">
        <f t="shared" si="707"/>
        <v>3416</v>
      </c>
      <c r="AB1749" s="10"/>
      <c r="AC1749" s="10"/>
      <c r="AD1749" s="10"/>
      <c r="AE1749" s="10"/>
      <c r="AF1749" s="10"/>
      <c r="AG1749" s="10"/>
      <c r="AH1749" s="10"/>
      <c r="AI1749" s="10"/>
    </row>
    <row r="1750" spans="1:35">
      <c r="A1750" s="10"/>
      <c r="B1750" s="10" t="str">
        <f t="shared" si="702"/>
        <v>Below the Line</v>
      </c>
      <c r="C1750" t="s">
        <v>20</v>
      </c>
      <c r="D1750" t="s">
        <v>19</v>
      </c>
      <c r="E1750" t="s">
        <v>214</v>
      </c>
      <c r="F1750" t="s">
        <v>5396</v>
      </c>
      <c r="G1750" t="s">
        <v>1861</v>
      </c>
      <c r="I1750" s="10"/>
      <c r="J1750" s="107">
        <f>SUMIF(Data!C:C,G1750,Data!Q:Q)</f>
        <v>0</v>
      </c>
      <c r="K1750" s="107">
        <f>SUMIF(Comprometidos!A:A,'Cost Report'!G1750,Comprometidos!E:E)</f>
        <v>0</v>
      </c>
      <c r="L1750" s="107">
        <f t="shared" si="703"/>
        <v>0</v>
      </c>
      <c r="M1750" s="107">
        <f t="shared" si="704"/>
        <v>0</v>
      </c>
      <c r="N1750" s="107">
        <f t="shared" si="705"/>
        <v>0</v>
      </c>
      <c r="O1750" s="107">
        <f>VLOOKUP(G1750,Budget!$E$3:$G$2474,3,0)</f>
        <v>0</v>
      </c>
      <c r="P1750" s="107">
        <f t="shared" si="706"/>
        <v>0</v>
      </c>
      <c r="Q1750" s="107"/>
      <c r="R1750" s="10"/>
      <c r="S1750" s="107">
        <v>0</v>
      </c>
      <c r="T1750" s="107">
        <f t="shared" si="695"/>
        <v>0</v>
      </c>
      <c r="U1750" s="107"/>
      <c r="V1750" s="175"/>
      <c r="W1750" s="10"/>
      <c r="X1750" s="10"/>
      <c r="Y1750" t="str">
        <f t="shared" si="707"/>
        <v>3416</v>
      </c>
      <c r="AB1750" s="10"/>
      <c r="AC1750" s="10"/>
      <c r="AD1750" s="10"/>
      <c r="AE1750" s="10"/>
      <c r="AF1750" s="10"/>
      <c r="AG1750" s="10"/>
      <c r="AH1750" s="10"/>
      <c r="AI1750" s="10"/>
    </row>
    <row r="1751" spans="1:35">
      <c r="A1751" s="10"/>
      <c r="B1751" s="10" t="str">
        <f t="shared" si="702"/>
        <v>Below the Line2nd Unit</v>
      </c>
      <c r="C1751" t="s">
        <v>20</v>
      </c>
      <c r="D1751" t="s">
        <v>19</v>
      </c>
      <c r="E1751" t="s">
        <v>1419</v>
      </c>
      <c r="F1751" t="s">
        <v>5396</v>
      </c>
      <c r="G1751" t="s">
        <v>1862</v>
      </c>
      <c r="I1751" s="10"/>
      <c r="J1751" s="107">
        <f>SUMIF(Data!C:C,G1751,Data!Q:Q)</f>
        <v>0</v>
      </c>
      <c r="K1751" s="107">
        <f>SUMIF(Comprometidos!A:A,'Cost Report'!G1751,Comprometidos!E:E)</f>
        <v>0</v>
      </c>
      <c r="L1751" s="107">
        <f t="shared" si="703"/>
        <v>0</v>
      </c>
      <c r="M1751" s="107">
        <v>0</v>
      </c>
      <c r="N1751" s="107">
        <f t="shared" si="705"/>
        <v>0</v>
      </c>
      <c r="O1751" s="107">
        <f>VLOOKUP(G1751,Budget!$E$3:$G$2474,3,0)</f>
        <v>3000</v>
      </c>
      <c r="P1751" s="107">
        <f t="shared" si="706"/>
        <v>3000</v>
      </c>
      <c r="Q1751" s="107"/>
      <c r="R1751" s="10"/>
      <c r="S1751" s="107">
        <v>0</v>
      </c>
      <c r="T1751" s="107">
        <f t="shared" si="695"/>
        <v>0</v>
      </c>
      <c r="U1751" s="107"/>
      <c r="V1751" s="175"/>
      <c r="W1751" s="10"/>
      <c r="X1751" s="10"/>
      <c r="Y1751" t="str">
        <f t="shared" si="707"/>
        <v>3416</v>
      </c>
      <c r="AB1751" s="10"/>
      <c r="AC1751" s="10"/>
      <c r="AD1751" s="10"/>
      <c r="AE1751" s="10"/>
      <c r="AF1751" s="10"/>
      <c r="AG1751" s="10"/>
      <c r="AH1751" s="10"/>
      <c r="AI1751" s="10"/>
    </row>
    <row r="1752" spans="1:35">
      <c r="A1752" s="10"/>
      <c r="B1752" s="10" t="str">
        <f t="shared" si="702"/>
        <v>Below the Line2nd Unit</v>
      </c>
      <c r="C1752" t="s">
        <v>20</v>
      </c>
      <c r="D1752" t="s">
        <v>19</v>
      </c>
      <c r="E1752" t="s">
        <v>1419</v>
      </c>
      <c r="F1752" t="s">
        <v>5396</v>
      </c>
      <c r="G1752" t="s">
        <v>1863</v>
      </c>
      <c r="I1752" s="10"/>
      <c r="J1752" s="107">
        <f>SUMIF(Data!C:C,G1752,Data!Q:Q)</f>
        <v>24000</v>
      </c>
      <c r="K1752" s="107">
        <f>SUMIF(Comprometidos!A:A,'Cost Report'!G1752,Comprometidos!E:E)</f>
        <v>0</v>
      </c>
      <c r="L1752" s="107">
        <f t="shared" si="703"/>
        <v>24000</v>
      </c>
      <c r="M1752" s="107">
        <v>0</v>
      </c>
      <c r="N1752" s="107">
        <f t="shared" si="705"/>
        <v>24000</v>
      </c>
      <c r="O1752" s="107">
        <f>VLOOKUP(G1752,Budget!$E$3:$G$2474,3,0)</f>
        <v>20000</v>
      </c>
      <c r="P1752" s="107">
        <f t="shared" si="706"/>
        <v>-4000</v>
      </c>
      <c r="Q1752" s="107"/>
      <c r="R1752" s="10"/>
      <c r="S1752" s="107">
        <v>24000</v>
      </c>
      <c r="T1752" s="107">
        <f t="shared" si="695"/>
        <v>0</v>
      </c>
      <c r="U1752" s="107"/>
      <c r="V1752" s="175"/>
      <c r="W1752" s="10"/>
      <c r="X1752" s="10"/>
      <c r="Y1752" t="str">
        <f t="shared" si="707"/>
        <v>3416</v>
      </c>
      <c r="AB1752" s="10"/>
      <c r="AC1752" s="10"/>
      <c r="AD1752" s="10"/>
      <c r="AE1752" s="10"/>
      <c r="AF1752" s="10"/>
      <c r="AG1752" s="10"/>
      <c r="AH1752" s="10"/>
      <c r="AI1752" s="10"/>
    </row>
    <row r="1753" spans="1:35">
      <c r="A1753" s="10"/>
      <c r="B1753" s="10" t="str">
        <f t="shared" si="702"/>
        <v>Below the Line2nd Unit</v>
      </c>
      <c r="C1753" t="s">
        <v>20</v>
      </c>
      <c r="D1753" t="s">
        <v>19</v>
      </c>
      <c r="E1753" t="s">
        <v>1419</v>
      </c>
      <c r="F1753" t="s">
        <v>5396</v>
      </c>
      <c r="G1753" t="s">
        <v>2831</v>
      </c>
      <c r="I1753" s="10"/>
      <c r="J1753" s="107">
        <f>SUMIF(Data!C:C,G1753,Data!Q:Q)</f>
        <v>0</v>
      </c>
      <c r="K1753" s="107">
        <f>SUMIF(Comprometidos!A:A,'Cost Report'!G1753,Comprometidos!E:E)</f>
        <v>0</v>
      </c>
      <c r="L1753" s="107">
        <f t="shared" si="703"/>
        <v>0</v>
      </c>
      <c r="M1753" s="107">
        <f t="shared" si="704"/>
        <v>0</v>
      </c>
      <c r="N1753" s="107">
        <f t="shared" si="705"/>
        <v>0</v>
      </c>
      <c r="O1753" s="107">
        <f>VLOOKUP(G1753,Budget!$E$3:$G$2474,3,0)</f>
        <v>0</v>
      </c>
      <c r="P1753" s="107">
        <f t="shared" si="706"/>
        <v>0</v>
      </c>
      <c r="Q1753" s="107"/>
      <c r="R1753" s="10"/>
      <c r="S1753" s="107">
        <v>0</v>
      </c>
      <c r="T1753" s="107">
        <f t="shared" si="695"/>
        <v>0</v>
      </c>
      <c r="U1753" s="107"/>
      <c r="V1753" s="175"/>
      <c r="W1753" s="10"/>
      <c r="X1753" s="10"/>
      <c r="Y1753" t="str">
        <f t="shared" si="707"/>
        <v>3416</v>
      </c>
      <c r="AB1753" s="10"/>
      <c r="AC1753" s="10"/>
      <c r="AD1753" s="10"/>
      <c r="AE1753" s="10"/>
      <c r="AF1753" s="10"/>
      <c r="AG1753" s="10"/>
      <c r="AH1753" s="10"/>
      <c r="AI1753" s="10"/>
    </row>
    <row r="1754" spans="1:35">
      <c r="A1754" s="10"/>
      <c r="B1754" s="10" t="str">
        <f t="shared" si="702"/>
        <v>Below the Line</v>
      </c>
      <c r="C1754" t="s">
        <v>20</v>
      </c>
      <c r="D1754" t="s">
        <v>19</v>
      </c>
      <c r="E1754" t="s">
        <v>214</v>
      </c>
      <c r="G1754" t="s">
        <v>2832</v>
      </c>
      <c r="I1754" s="10"/>
      <c r="J1754" s="107">
        <f>SUMIF(Data!C:C,G1754,Data!Q:Q)</f>
        <v>0</v>
      </c>
      <c r="K1754" s="107">
        <f>SUMIF(Comprometidos!A:A,'Cost Report'!G1754,Comprometidos!E:E)</f>
        <v>0</v>
      </c>
      <c r="L1754" s="107">
        <f t="shared" si="703"/>
        <v>0</v>
      </c>
      <c r="M1754" s="107">
        <f t="shared" si="704"/>
        <v>0</v>
      </c>
      <c r="N1754" s="107">
        <f t="shared" si="705"/>
        <v>0</v>
      </c>
      <c r="O1754" s="107">
        <f>VLOOKUP(G1754,Budget!$E$3:$G$2474,3,0)</f>
        <v>0</v>
      </c>
      <c r="P1754" s="107">
        <f t="shared" si="706"/>
        <v>0</v>
      </c>
      <c r="Q1754" s="107"/>
      <c r="R1754" s="10"/>
      <c r="S1754" s="107">
        <v>0</v>
      </c>
      <c r="T1754" s="107">
        <f t="shared" ref="T1754:T1819" si="708">+S1754-N1754</f>
        <v>0</v>
      </c>
      <c r="U1754" s="107"/>
      <c r="V1754" s="175"/>
      <c r="W1754" s="10"/>
      <c r="X1754" s="10"/>
      <c r="Y1754" t="str">
        <f t="shared" si="707"/>
        <v>3416</v>
      </c>
      <c r="AB1754" s="10"/>
      <c r="AC1754" s="10"/>
      <c r="AD1754" s="10"/>
      <c r="AE1754" s="10"/>
      <c r="AF1754" s="10"/>
      <c r="AG1754" s="10"/>
      <c r="AH1754" s="10"/>
      <c r="AI1754" s="10"/>
    </row>
    <row r="1755" spans="1:35">
      <c r="A1755" s="10"/>
      <c r="B1755" s="10" t="str">
        <f t="shared" si="702"/>
        <v>Below the LineALL SHOW</v>
      </c>
      <c r="C1755" t="s">
        <v>20</v>
      </c>
      <c r="D1755" t="s">
        <v>19</v>
      </c>
      <c r="E1755" t="s">
        <v>227</v>
      </c>
      <c r="G1755" t="s">
        <v>2833</v>
      </c>
      <c r="I1755" s="10"/>
      <c r="J1755" s="107">
        <f>SUMIF(Data!C:C,G1755,Data!Q:Q)</f>
        <v>2587.0779999999995</v>
      </c>
      <c r="K1755" s="107">
        <f>SUMIF(Comprometidos!A:A,'Cost Report'!G1755,Comprometidos!E:E)</f>
        <v>0</v>
      </c>
      <c r="L1755" s="107">
        <f t="shared" si="703"/>
        <v>2587.0779999999995</v>
      </c>
      <c r="M1755" s="107">
        <v>0</v>
      </c>
      <c r="N1755" s="107">
        <f t="shared" si="705"/>
        <v>2587.0779999999995</v>
      </c>
      <c r="O1755" s="107">
        <f>VLOOKUP(G1755,Budget!$E$3:$G$2474,3,0)</f>
        <v>16000</v>
      </c>
      <c r="P1755" s="107">
        <f t="shared" si="706"/>
        <v>13412.922</v>
      </c>
      <c r="Q1755" s="107"/>
      <c r="R1755" s="10"/>
      <c r="S1755" s="107">
        <v>2485.1499999999996</v>
      </c>
      <c r="T1755" s="107">
        <f t="shared" si="708"/>
        <v>-101.92799999999988</v>
      </c>
      <c r="U1755" s="107"/>
      <c r="V1755" s="175"/>
      <c r="W1755" s="10"/>
      <c r="X1755" s="10"/>
      <c r="Y1755" t="str">
        <f t="shared" si="707"/>
        <v>3416</v>
      </c>
      <c r="AB1755" s="10"/>
      <c r="AC1755" s="10"/>
      <c r="AD1755" s="10"/>
      <c r="AE1755" s="10"/>
      <c r="AF1755" s="10"/>
      <c r="AG1755" s="10"/>
      <c r="AH1755" s="10"/>
      <c r="AI1755" s="10"/>
    </row>
    <row r="1756" spans="1:35">
      <c r="A1756" s="10"/>
      <c r="B1756" s="10" t="str">
        <f>+C1756</f>
        <v>Below the Line</v>
      </c>
      <c r="C1756" s="128" t="s">
        <v>20</v>
      </c>
      <c r="D1756" s="128" t="s">
        <v>2117</v>
      </c>
      <c r="E1756" s="128"/>
      <c r="F1756" s="128"/>
      <c r="G1756" s="128" t="s">
        <v>1864</v>
      </c>
      <c r="H1756" s="128"/>
      <c r="I1756" s="10"/>
      <c r="J1756" s="129">
        <f>SUMIF($Y$11:$Y$2484,G1756,J$11:J$2484)</f>
        <v>947905.22000000009</v>
      </c>
      <c r="K1756" s="129">
        <f>SUMIF($Y$11:$Y$2484,G1756,K$11:K$2484)</f>
        <v>0</v>
      </c>
      <c r="L1756" s="129">
        <f>SUMIF($Y$11:$Y$2484,G1756,L$11:L$2484)</f>
        <v>947905.22000000009</v>
      </c>
      <c r="M1756" s="129">
        <f>SUMIF($Y$11:$Y$2484,G1756,M$11:M$2484)</f>
        <v>0</v>
      </c>
      <c r="N1756" s="129">
        <f>SUMIF($Y$11:$Y$2484,G1756,N$11:N$2484)</f>
        <v>947905.22000000009</v>
      </c>
      <c r="O1756" s="129">
        <f>SUMIF($Y$11:$Y$2484,G1756,O$11:O$2484)</f>
        <v>807280</v>
      </c>
      <c r="P1756" s="129">
        <f>SUMIF($Y$11:$Y$2484,G1756,P$11:P$2484)</f>
        <v>-140625.22000000012</v>
      </c>
      <c r="Q1756" s="129"/>
      <c r="R1756" s="10"/>
      <c r="S1756" s="129">
        <v>947688.02000000014</v>
      </c>
      <c r="T1756" s="129">
        <f t="shared" si="708"/>
        <v>-217.19999999995343</v>
      </c>
      <c r="U1756" s="128"/>
      <c r="V1756" s="175"/>
      <c r="W1756" s="10"/>
      <c r="X1756" s="10"/>
      <c r="Z1756" t="str">
        <f>LEFT(G1756,2)</f>
        <v>34</v>
      </c>
      <c r="AA1756" t="str">
        <f>+Z1756&amp;"00"</f>
        <v>3400</v>
      </c>
      <c r="AB1756" s="10"/>
      <c r="AC1756" s="10"/>
      <c r="AD1756" s="10"/>
      <c r="AE1756" s="10"/>
      <c r="AF1756" s="10"/>
      <c r="AG1756" s="10"/>
      <c r="AH1756" s="10"/>
      <c r="AI1756" s="10"/>
    </row>
    <row r="1757" spans="1:35">
      <c r="A1757" s="10"/>
      <c r="B1757" s="10" t="str">
        <f t="shared" ref="B1757:B1779" si="709">+C1757&amp;E1757</f>
        <v>Below the Line</v>
      </c>
      <c r="C1757" t="s">
        <v>20</v>
      </c>
      <c r="D1757" t="s">
        <v>19</v>
      </c>
      <c r="E1757" t="s">
        <v>214</v>
      </c>
      <c r="G1757" t="s">
        <v>1865</v>
      </c>
      <c r="I1757" s="10"/>
      <c r="J1757" s="107">
        <f>SUMIF(Data!C:C,G1757,Data!Q:Q)</f>
        <v>0</v>
      </c>
      <c r="K1757" s="107">
        <f>SUMIF(Comprometidos!A:A,'Cost Report'!G1757,Comprometidos!E:E)</f>
        <v>0</v>
      </c>
      <c r="L1757" s="107">
        <f t="shared" ref="L1757:L1778" si="710">+J1757+K1757</f>
        <v>0</v>
      </c>
      <c r="M1757" s="107">
        <f t="shared" ref="M1757:M1778" si="711">+O1757-L1757</f>
        <v>0</v>
      </c>
      <c r="N1757" s="107">
        <f t="shared" ref="N1757:N1778" si="712">+L1757+M1757</f>
        <v>0</v>
      </c>
      <c r="O1757" s="107">
        <f>VLOOKUP(G1757,Budget!$E$3:$G$2474,3,0)</f>
        <v>0</v>
      </c>
      <c r="P1757" s="107">
        <f t="shared" ref="P1757:P1778" si="713">+O1757-N1757</f>
        <v>0</v>
      </c>
      <c r="Q1757" s="107"/>
      <c r="R1757" s="10"/>
      <c r="S1757" s="107">
        <v>0</v>
      </c>
      <c r="T1757" s="107">
        <f t="shared" si="708"/>
        <v>0</v>
      </c>
      <c r="U1757" s="107"/>
      <c r="V1757" s="175"/>
      <c r="W1757" s="10"/>
      <c r="X1757" s="10"/>
      <c r="Y1757" t="str">
        <f t="shared" ref="Y1757:Y1778" si="714">LEFT(G1757,4)</f>
        <v>3442</v>
      </c>
      <c r="AB1757" s="10"/>
      <c r="AC1757" s="10"/>
      <c r="AD1757" s="10"/>
      <c r="AE1757" s="10"/>
      <c r="AF1757" s="10"/>
      <c r="AG1757" s="10"/>
      <c r="AH1757" s="10"/>
      <c r="AI1757" s="10"/>
    </row>
    <row r="1758" spans="1:35">
      <c r="A1758" s="10"/>
      <c r="B1758" s="10" t="str">
        <f t="shared" si="709"/>
        <v>Below the Line</v>
      </c>
      <c r="C1758" t="s">
        <v>20</v>
      </c>
      <c r="D1758" t="s">
        <v>19</v>
      </c>
      <c r="E1758" t="s">
        <v>214</v>
      </c>
      <c r="G1758" t="s">
        <v>1866</v>
      </c>
      <c r="I1758" s="10"/>
      <c r="J1758" s="107">
        <f>SUMIF(Data!C:C,G1758,Data!Q:Q)</f>
        <v>0</v>
      </c>
      <c r="K1758" s="107">
        <f>SUMIF(Comprometidos!A:A,'Cost Report'!G1758,Comprometidos!E:E)</f>
        <v>0</v>
      </c>
      <c r="L1758" s="107">
        <f t="shared" si="710"/>
        <v>0</v>
      </c>
      <c r="M1758" s="107">
        <f t="shared" si="711"/>
        <v>0</v>
      </c>
      <c r="N1758" s="107">
        <f t="shared" si="712"/>
        <v>0</v>
      </c>
      <c r="O1758" s="107">
        <f>VLOOKUP(G1758,Budget!$E$3:$G$2474,3,0)</f>
        <v>0</v>
      </c>
      <c r="P1758" s="107">
        <f t="shared" si="713"/>
        <v>0</v>
      </c>
      <c r="Q1758" s="107"/>
      <c r="R1758" s="10"/>
      <c r="S1758" s="107">
        <v>0</v>
      </c>
      <c r="T1758" s="107">
        <f t="shared" si="708"/>
        <v>0</v>
      </c>
      <c r="U1758" s="107"/>
      <c r="V1758" s="175"/>
      <c r="W1758" s="10"/>
      <c r="X1758" s="10"/>
      <c r="Y1758" t="str">
        <f t="shared" si="714"/>
        <v>3442</v>
      </c>
      <c r="AB1758" s="10"/>
      <c r="AC1758" s="10"/>
      <c r="AD1758" s="10"/>
      <c r="AE1758" s="10"/>
      <c r="AF1758" s="10"/>
      <c r="AG1758" s="10"/>
      <c r="AH1758" s="10"/>
      <c r="AI1758" s="10"/>
    </row>
    <row r="1759" spans="1:35">
      <c r="A1759" s="10"/>
      <c r="B1759" s="10" t="str">
        <f t="shared" si="709"/>
        <v>Below the LinePREP</v>
      </c>
      <c r="C1759" t="s">
        <v>20</v>
      </c>
      <c r="D1759" t="s">
        <v>19</v>
      </c>
      <c r="E1759" t="s">
        <v>234</v>
      </c>
      <c r="G1759" t="s">
        <v>1867</v>
      </c>
      <c r="I1759" s="10"/>
      <c r="J1759" s="107">
        <f>SUMIF(Data!C:C,G1759,Data!Q:Q)</f>
        <v>51866.340000000004</v>
      </c>
      <c r="K1759" s="107">
        <f>SUMIF(Comprometidos!A:A,'Cost Report'!G1759,Comprometidos!E:E)</f>
        <v>0</v>
      </c>
      <c r="L1759" s="107">
        <f t="shared" si="710"/>
        <v>51866.340000000004</v>
      </c>
      <c r="M1759" s="107">
        <v>0</v>
      </c>
      <c r="N1759" s="107">
        <f t="shared" si="712"/>
        <v>51866.340000000004</v>
      </c>
      <c r="O1759" s="107">
        <f>VLOOKUP(G1759,Budget!$E$3:$G$2474,3,0)</f>
        <v>51840</v>
      </c>
      <c r="P1759" s="107">
        <f t="shared" si="713"/>
        <v>-26.340000000003783</v>
      </c>
      <c r="Q1759" s="107"/>
      <c r="R1759" s="10"/>
      <c r="S1759" s="107">
        <v>51866.340000000004</v>
      </c>
      <c r="T1759" s="107">
        <f t="shared" si="708"/>
        <v>0</v>
      </c>
      <c r="U1759" s="107"/>
      <c r="V1759" s="175"/>
      <c r="W1759" s="10"/>
      <c r="X1759" s="10"/>
      <c r="Y1759" t="str">
        <f t="shared" si="714"/>
        <v>3442</v>
      </c>
      <c r="AB1759" s="10"/>
      <c r="AC1759" s="10"/>
      <c r="AD1759" s="10"/>
      <c r="AE1759" s="10"/>
      <c r="AF1759" s="10"/>
      <c r="AG1759" s="10"/>
      <c r="AH1759" s="10"/>
      <c r="AI1759" s="10"/>
    </row>
    <row r="1760" spans="1:35">
      <c r="A1760" s="10"/>
      <c r="B1760" s="10" t="str">
        <f t="shared" si="709"/>
        <v>Below the LineSHOOT</v>
      </c>
      <c r="C1760" t="s">
        <v>20</v>
      </c>
      <c r="D1760" t="s">
        <v>19</v>
      </c>
      <c r="E1760" t="s">
        <v>236</v>
      </c>
      <c r="G1760" t="s">
        <v>1868</v>
      </c>
      <c r="I1760" s="10"/>
      <c r="J1760" s="107">
        <f>SUMIF(Data!C:C,G1760,Data!Q:Q)</f>
        <v>139772.88999999998</v>
      </c>
      <c r="K1760" s="107">
        <f>SUMIF(Comprometidos!A:A,'Cost Report'!G1760,Comprometidos!E:E)</f>
        <v>0</v>
      </c>
      <c r="L1760" s="107">
        <f t="shared" si="710"/>
        <v>139772.88999999998</v>
      </c>
      <c r="M1760" s="107">
        <v>0</v>
      </c>
      <c r="N1760" s="107">
        <f t="shared" si="712"/>
        <v>139772.88999999998</v>
      </c>
      <c r="O1760" s="107">
        <f>VLOOKUP(G1760,Budget!$E$3:$G$2474,3,0)</f>
        <v>175000</v>
      </c>
      <c r="P1760" s="107">
        <f t="shared" si="713"/>
        <v>35227.110000000015</v>
      </c>
      <c r="Q1760" s="107"/>
      <c r="R1760" s="10"/>
      <c r="S1760" s="107">
        <v>139772.88999999998</v>
      </c>
      <c r="T1760" s="107">
        <f t="shared" si="708"/>
        <v>0</v>
      </c>
      <c r="U1760" s="107"/>
      <c r="V1760" s="175"/>
      <c r="W1760" s="10"/>
      <c r="X1760" s="10"/>
      <c r="Y1760" t="str">
        <f t="shared" si="714"/>
        <v>3442</v>
      </c>
      <c r="AB1760" s="10"/>
      <c r="AC1760" s="10"/>
      <c r="AD1760" s="10"/>
      <c r="AE1760" s="10"/>
      <c r="AF1760" s="10"/>
      <c r="AG1760" s="10"/>
      <c r="AH1760" s="10"/>
      <c r="AI1760" s="10"/>
    </row>
    <row r="1761" spans="1:35">
      <c r="A1761" s="10"/>
      <c r="B1761" s="10" t="str">
        <f t="shared" si="709"/>
        <v>Below the LineWRAP</v>
      </c>
      <c r="C1761" t="s">
        <v>20</v>
      </c>
      <c r="D1761" t="s">
        <v>19</v>
      </c>
      <c r="E1761" t="s">
        <v>238</v>
      </c>
      <c r="G1761" t="s">
        <v>1869</v>
      </c>
      <c r="I1761" s="10"/>
      <c r="J1761" s="107">
        <f>SUMIF(Data!C:C,G1761,Data!Q:Q)</f>
        <v>42225.87</v>
      </c>
      <c r="K1761" s="107">
        <f>SUMIF(Comprometidos!A:A,'Cost Report'!G1761,Comprometidos!E:E)</f>
        <v>0</v>
      </c>
      <c r="L1761" s="107">
        <f t="shared" si="710"/>
        <v>42225.87</v>
      </c>
      <c r="M1761" s="107">
        <v>0</v>
      </c>
      <c r="N1761" s="107">
        <f t="shared" si="712"/>
        <v>42225.87</v>
      </c>
      <c r="O1761" s="107">
        <f>VLOOKUP(G1761,Budget!$E$3:$G$2474,3,0)</f>
        <v>45000</v>
      </c>
      <c r="P1761" s="107">
        <f t="shared" si="713"/>
        <v>2774.1299999999974</v>
      </c>
      <c r="Q1761" s="107"/>
      <c r="R1761" s="10"/>
      <c r="S1761" s="107">
        <v>42225.87</v>
      </c>
      <c r="T1761" s="107">
        <f t="shared" si="708"/>
        <v>0</v>
      </c>
      <c r="U1761" s="107"/>
      <c r="V1761" s="175"/>
      <c r="W1761" s="10"/>
      <c r="X1761" s="10"/>
      <c r="Y1761" t="str">
        <f t="shared" si="714"/>
        <v>3442</v>
      </c>
      <c r="AB1761" s="10"/>
      <c r="AC1761" s="10"/>
      <c r="AD1761" s="10"/>
      <c r="AE1761" s="10"/>
      <c r="AF1761" s="10"/>
      <c r="AG1761" s="10"/>
      <c r="AH1761" s="10"/>
      <c r="AI1761" s="10"/>
    </row>
    <row r="1762" spans="1:35">
      <c r="A1762" s="10"/>
      <c r="B1762" s="10" t="str">
        <f t="shared" si="709"/>
        <v>Below the Line</v>
      </c>
      <c r="C1762" t="s">
        <v>20</v>
      </c>
      <c r="D1762" t="s">
        <v>19</v>
      </c>
      <c r="E1762" t="s">
        <v>214</v>
      </c>
      <c r="G1762" t="s">
        <v>1870</v>
      </c>
      <c r="I1762" s="10"/>
      <c r="J1762" s="107">
        <f>SUMIF(Data!C:C,G1762,Data!Q:Q)</f>
        <v>0</v>
      </c>
      <c r="K1762" s="107">
        <f>SUMIF(Comprometidos!A:A,'Cost Report'!G1762,Comprometidos!E:E)</f>
        <v>0</v>
      </c>
      <c r="L1762" s="107">
        <f t="shared" si="710"/>
        <v>0</v>
      </c>
      <c r="M1762" s="107">
        <f t="shared" si="711"/>
        <v>0</v>
      </c>
      <c r="N1762" s="107">
        <f t="shared" si="712"/>
        <v>0</v>
      </c>
      <c r="O1762" s="107">
        <f>VLOOKUP(G1762,Budget!$E$3:$G$2474,3,0)</f>
        <v>0</v>
      </c>
      <c r="P1762" s="107">
        <f t="shared" si="713"/>
        <v>0</v>
      </c>
      <c r="Q1762" s="107"/>
      <c r="R1762" s="10"/>
      <c r="S1762" s="107">
        <v>0</v>
      </c>
      <c r="T1762" s="107">
        <f t="shared" si="708"/>
        <v>0</v>
      </c>
      <c r="U1762" s="107"/>
      <c r="V1762" s="175"/>
      <c r="W1762" s="10"/>
      <c r="X1762" s="10"/>
      <c r="Y1762" t="str">
        <f t="shared" si="714"/>
        <v>3442</v>
      </c>
      <c r="AB1762" s="10"/>
      <c r="AC1762" s="10"/>
      <c r="AD1762" s="10"/>
      <c r="AE1762" s="10"/>
      <c r="AF1762" s="10"/>
      <c r="AG1762" s="10"/>
      <c r="AH1762" s="10"/>
      <c r="AI1762" s="10"/>
    </row>
    <row r="1763" spans="1:35">
      <c r="A1763" s="10"/>
      <c r="B1763" s="10" t="str">
        <f t="shared" si="709"/>
        <v>Below the LineSHOOT</v>
      </c>
      <c r="C1763" t="s">
        <v>20</v>
      </c>
      <c r="D1763" t="s">
        <v>19</v>
      </c>
      <c r="E1763" t="s">
        <v>236</v>
      </c>
      <c r="G1763" t="s">
        <v>1871</v>
      </c>
      <c r="I1763" s="10"/>
      <c r="J1763" s="107">
        <f>SUMIF(Data!C:C,G1763,Data!Q:Q)</f>
        <v>0</v>
      </c>
      <c r="K1763" s="107">
        <f>SUMIF(Comprometidos!A:A,'Cost Report'!G1763,Comprometidos!E:E)</f>
        <v>0</v>
      </c>
      <c r="L1763" s="107">
        <f t="shared" si="710"/>
        <v>0</v>
      </c>
      <c r="M1763" s="107">
        <v>0</v>
      </c>
      <c r="N1763" s="107">
        <f t="shared" si="712"/>
        <v>0</v>
      </c>
      <c r="O1763" s="107">
        <f>VLOOKUP(G1763,Budget!$E$3:$G$2474,3,0)</f>
        <v>5880</v>
      </c>
      <c r="P1763" s="107">
        <f t="shared" si="713"/>
        <v>5880</v>
      </c>
      <c r="Q1763" s="107"/>
      <c r="R1763" s="10"/>
      <c r="S1763" s="107">
        <v>0</v>
      </c>
      <c r="T1763" s="107">
        <f t="shared" si="708"/>
        <v>0</v>
      </c>
      <c r="U1763" s="107"/>
      <c r="V1763" s="175"/>
      <c r="W1763" s="10"/>
      <c r="X1763" s="10"/>
      <c r="Y1763" t="str">
        <f t="shared" si="714"/>
        <v>3442</v>
      </c>
      <c r="AB1763" s="10"/>
      <c r="AC1763" s="10"/>
      <c r="AD1763" s="10"/>
      <c r="AE1763" s="10"/>
      <c r="AF1763" s="10"/>
      <c r="AG1763" s="10"/>
      <c r="AH1763" s="10"/>
      <c r="AI1763" s="10"/>
    </row>
    <row r="1764" spans="1:35">
      <c r="A1764" s="10"/>
      <c r="B1764" s="10" t="str">
        <f t="shared" si="709"/>
        <v>Below the Line</v>
      </c>
      <c r="C1764" t="s">
        <v>20</v>
      </c>
      <c r="D1764" t="s">
        <v>19</v>
      </c>
      <c r="E1764" t="s">
        <v>214</v>
      </c>
      <c r="G1764" t="s">
        <v>1872</v>
      </c>
      <c r="I1764" s="10"/>
      <c r="J1764" s="107">
        <f>SUMIF(Data!C:C,G1764,Data!Q:Q)</f>
        <v>0</v>
      </c>
      <c r="K1764" s="107">
        <f>SUMIF(Comprometidos!A:A,'Cost Report'!G1764,Comprometidos!E:E)</f>
        <v>0</v>
      </c>
      <c r="L1764" s="107">
        <f t="shared" si="710"/>
        <v>0</v>
      </c>
      <c r="M1764" s="107">
        <f t="shared" si="711"/>
        <v>0</v>
      </c>
      <c r="N1764" s="107">
        <f t="shared" si="712"/>
        <v>0</v>
      </c>
      <c r="O1764" s="107">
        <f>VLOOKUP(G1764,Budget!$E$3:$G$2474,3,0)</f>
        <v>0</v>
      </c>
      <c r="P1764" s="107">
        <f t="shared" si="713"/>
        <v>0</v>
      </c>
      <c r="Q1764" s="107"/>
      <c r="R1764" s="10"/>
      <c r="S1764" s="107">
        <v>0</v>
      </c>
      <c r="T1764" s="107">
        <f t="shared" si="708"/>
        <v>0</v>
      </c>
      <c r="U1764" s="107"/>
      <c r="V1764" s="175"/>
      <c r="W1764" s="10"/>
      <c r="X1764" s="10"/>
      <c r="Y1764" t="str">
        <f t="shared" si="714"/>
        <v>3442</v>
      </c>
      <c r="AB1764" s="10"/>
      <c r="AC1764" s="10"/>
      <c r="AD1764" s="10"/>
      <c r="AE1764" s="10"/>
      <c r="AF1764" s="10"/>
      <c r="AG1764" s="10"/>
      <c r="AH1764" s="10"/>
      <c r="AI1764" s="10"/>
    </row>
    <row r="1765" spans="1:35">
      <c r="A1765" s="10"/>
      <c r="B1765" s="10" t="str">
        <f t="shared" si="709"/>
        <v>Below the LinePREP</v>
      </c>
      <c r="C1765" t="s">
        <v>20</v>
      </c>
      <c r="D1765" t="s">
        <v>19</v>
      </c>
      <c r="E1765" t="s">
        <v>234</v>
      </c>
      <c r="G1765" t="s">
        <v>1873</v>
      </c>
      <c r="I1765" s="10"/>
      <c r="J1765" s="107">
        <f>SUMIF(Data!C:C,G1765,Data!Q:Q)</f>
        <v>2014.09</v>
      </c>
      <c r="K1765" s="107">
        <f>SUMIF(Comprometidos!A:A,'Cost Report'!G1765,Comprometidos!E:E)</f>
        <v>0</v>
      </c>
      <c r="L1765" s="107">
        <f t="shared" si="710"/>
        <v>2014.09</v>
      </c>
      <c r="M1765" s="107">
        <v>0</v>
      </c>
      <c r="N1765" s="107">
        <f t="shared" si="712"/>
        <v>2014.09</v>
      </c>
      <c r="O1765" s="107">
        <f>VLOOKUP(G1765,Budget!$E$3:$G$2474,3,0)</f>
        <v>6480</v>
      </c>
      <c r="P1765" s="107">
        <f t="shared" si="713"/>
        <v>4465.91</v>
      </c>
      <c r="Q1765" s="107"/>
      <c r="R1765" s="10"/>
      <c r="S1765" s="107">
        <v>2014.09</v>
      </c>
      <c r="T1765" s="107">
        <f t="shared" si="708"/>
        <v>0</v>
      </c>
      <c r="U1765" s="107"/>
      <c r="V1765" s="175"/>
      <c r="W1765" s="10"/>
      <c r="X1765" s="10"/>
      <c r="Y1765" t="str">
        <f t="shared" si="714"/>
        <v>3442</v>
      </c>
      <c r="AB1765" s="10"/>
      <c r="AC1765" s="10"/>
      <c r="AD1765" s="10"/>
      <c r="AE1765" s="10"/>
      <c r="AF1765" s="10"/>
      <c r="AG1765" s="10"/>
      <c r="AH1765" s="10"/>
      <c r="AI1765" s="10"/>
    </row>
    <row r="1766" spans="1:35">
      <c r="A1766" s="10"/>
      <c r="B1766" s="10" t="str">
        <f t="shared" si="709"/>
        <v>Below the LineSHOOT</v>
      </c>
      <c r="C1766" t="s">
        <v>20</v>
      </c>
      <c r="D1766" t="s">
        <v>19</v>
      </c>
      <c r="E1766" t="s">
        <v>236</v>
      </c>
      <c r="G1766" t="s">
        <v>1874</v>
      </c>
      <c r="I1766" s="10"/>
      <c r="J1766" s="107">
        <f>SUMIF(Data!C:C,G1766,Data!Q:Q)</f>
        <v>10841</v>
      </c>
      <c r="K1766" s="107">
        <f>SUMIF(Comprometidos!A:A,'Cost Report'!G1766,Comprometidos!E:E)</f>
        <v>0</v>
      </c>
      <c r="L1766" s="107">
        <f t="shared" si="710"/>
        <v>10841</v>
      </c>
      <c r="M1766" s="107">
        <v>0</v>
      </c>
      <c r="N1766" s="107">
        <f t="shared" si="712"/>
        <v>10841</v>
      </c>
      <c r="O1766" s="107">
        <f>VLOOKUP(G1766,Budget!$E$3:$G$2474,3,0)</f>
        <v>5880</v>
      </c>
      <c r="P1766" s="107">
        <f t="shared" si="713"/>
        <v>-4961</v>
      </c>
      <c r="Q1766" s="107"/>
      <c r="R1766" s="10"/>
      <c r="S1766" s="107">
        <v>10841</v>
      </c>
      <c r="T1766" s="107">
        <f t="shared" si="708"/>
        <v>0</v>
      </c>
      <c r="U1766" s="107"/>
      <c r="V1766" s="175"/>
      <c r="W1766" s="10"/>
      <c r="X1766" s="10"/>
      <c r="Y1766" t="str">
        <f t="shared" si="714"/>
        <v>3442</v>
      </c>
      <c r="AB1766" s="10"/>
      <c r="AC1766" s="10"/>
      <c r="AD1766" s="10"/>
      <c r="AE1766" s="10"/>
      <c r="AF1766" s="10"/>
      <c r="AG1766" s="10"/>
      <c r="AH1766" s="10"/>
      <c r="AI1766" s="10"/>
    </row>
    <row r="1767" spans="1:35">
      <c r="A1767" s="10"/>
      <c r="B1767" s="10" t="str">
        <f t="shared" si="709"/>
        <v>Below the Line</v>
      </c>
      <c r="C1767" t="s">
        <v>20</v>
      </c>
      <c r="D1767" t="s">
        <v>19</v>
      </c>
      <c r="E1767" t="s">
        <v>214</v>
      </c>
      <c r="G1767" t="s">
        <v>1875</v>
      </c>
      <c r="I1767" s="10"/>
      <c r="J1767" s="107">
        <f>SUMIF(Data!C:C,G1767,Data!Q:Q)</f>
        <v>0</v>
      </c>
      <c r="K1767" s="107">
        <f>SUMIF(Comprometidos!A:A,'Cost Report'!G1767,Comprometidos!E:E)</f>
        <v>0</v>
      </c>
      <c r="L1767" s="107">
        <f t="shared" si="710"/>
        <v>0</v>
      </c>
      <c r="M1767" s="107">
        <f t="shared" si="711"/>
        <v>0</v>
      </c>
      <c r="N1767" s="107">
        <f t="shared" si="712"/>
        <v>0</v>
      </c>
      <c r="O1767" s="107">
        <f>VLOOKUP(G1767,Budget!$E$3:$G$2474,3,0)</f>
        <v>0</v>
      </c>
      <c r="P1767" s="107">
        <f t="shared" si="713"/>
        <v>0</v>
      </c>
      <c r="Q1767" s="107"/>
      <c r="R1767" s="10"/>
      <c r="S1767" s="107">
        <v>0</v>
      </c>
      <c r="T1767" s="107">
        <f t="shared" si="708"/>
        <v>0</v>
      </c>
      <c r="U1767" s="107"/>
      <c r="V1767" s="175"/>
      <c r="W1767" s="10"/>
      <c r="X1767" s="10"/>
      <c r="Y1767" t="str">
        <f t="shared" si="714"/>
        <v>3442</v>
      </c>
      <c r="AB1767" s="10"/>
      <c r="AC1767" s="10"/>
      <c r="AD1767" s="10"/>
      <c r="AE1767" s="10"/>
      <c r="AF1767" s="10"/>
      <c r="AG1767" s="10"/>
      <c r="AH1767" s="10"/>
      <c r="AI1767" s="10"/>
    </row>
    <row r="1768" spans="1:35">
      <c r="A1768" s="10"/>
      <c r="B1768" s="10" t="str">
        <f t="shared" si="709"/>
        <v>Below the LineSHOOT</v>
      </c>
      <c r="C1768" t="s">
        <v>20</v>
      </c>
      <c r="D1768" t="s">
        <v>19</v>
      </c>
      <c r="E1768" t="s">
        <v>236</v>
      </c>
      <c r="G1768" t="s">
        <v>1876</v>
      </c>
      <c r="I1768" s="10"/>
      <c r="J1768" s="107">
        <f>SUMIF(Data!C:C,G1768,Data!Q:Q)</f>
        <v>0</v>
      </c>
      <c r="K1768" s="107">
        <f>SUMIF(Comprometidos!A:A,'Cost Report'!G1768,Comprometidos!E:E)</f>
        <v>0</v>
      </c>
      <c r="L1768" s="107">
        <f t="shared" si="710"/>
        <v>0</v>
      </c>
      <c r="M1768" s="107">
        <v>0</v>
      </c>
      <c r="N1768" s="107">
        <f t="shared" si="712"/>
        <v>0</v>
      </c>
      <c r="O1768" s="107">
        <f>VLOOKUP(G1768,Budget!$E$3:$G$2474,3,0)</f>
        <v>11760</v>
      </c>
      <c r="P1768" s="107">
        <f t="shared" si="713"/>
        <v>11760</v>
      </c>
      <c r="Q1768" s="107"/>
      <c r="R1768" s="10"/>
      <c r="S1768" s="107">
        <v>0</v>
      </c>
      <c r="T1768" s="107">
        <f t="shared" si="708"/>
        <v>0</v>
      </c>
      <c r="U1768" s="107"/>
      <c r="V1768" s="175"/>
      <c r="W1768" s="10"/>
      <c r="X1768" s="10"/>
      <c r="Y1768" t="str">
        <f t="shared" si="714"/>
        <v>3442</v>
      </c>
      <c r="AB1768" s="10"/>
      <c r="AC1768" s="10"/>
      <c r="AD1768" s="10"/>
      <c r="AE1768" s="10"/>
      <c r="AF1768" s="10"/>
      <c r="AG1768" s="10"/>
      <c r="AH1768" s="10"/>
      <c r="AI1768" s="10"/>
    </row>
    <row r="1769" spans="1:35">
      <c r="A1769" s="10"/>
      <c r="B1769" s="10" t="str">
        <f t="shared" si="709"/>
        <v>Below the Line</v>
      </c>
      <c r="C1769" t="s">
        <v>20</v>
      </c>
      <c r="D1769" t="s">
        <v>19</v>
      </c>
      <c r="E1769" t="s">
        <v>214</v>
      </c>
      <c r="G1769" t="s">
        <v>2834</v>
      </c>
      <c r="I1769" s="10"/>
      <c r="J1769" s="107">
        <f>SUMIF(Data!C:C,G1769,Data!Q:Q)</f>
        <v>0</v>
      </c>
      <c r="K1769" s="107">
        <f>SUMIF(Comprometidos!A:A,'Cost Report'!G1769,Comprometidos!E:E)</f>
        <v>0</v>
      </c>
      <c r="L1769" s="107">
        <f t="shared" si="710"/>
        <v>0</v>
      </c>
      <c r="M1769" s="107">
        <f t="shared" si="711"/>
        <v>0</v>
      </c>
      <c r="N1769" s="107">
        <f t="shared" si="712"/>
        <v>0</v>
      </c>
      <c r="O1769" s="107">
        <f>VLOOKUP(G1769,Budget!$E$3:$G$2474,3,0)</f>
        <v>0</v>
      </c>
      <c r="P1769" s="107">
        <f t="shared" si="713"/>
        <v>0</v>
      </c>
      <c r="Q1769" s="107"/>
      <c r="R1769" s="10"/>
      <c r="S1769" s="107">
        <v>0</v>
      </c>
      <c r="T1769" s="107">
        <f t="shared" si="708"/>
        <v>0</v>
      </c>
      <c r="U1769" s="107"/>
      <c r="V1769" s="175"/>
      <c r="W1769" s="10"/>
      <c r="X1769" s="10"/>
      <c r="Y1769" t="str">
        <f t="shared" si="714"/>
        <v>3442</v>
      </c>
      <c r="AB1769" s="10"/>
      <c r="AC1769" s="10"/>
      <c r="AD1769" s="10"/>
      <c r="AE1769" s="10"/>
      <c r="AF1769" s="10"/>
      <c r="AG1769" s="10"/>
      <c r="AH1769" s="10"/>
      <c r="AI1769" s="10"/>
    </row>
    <row r="1770" spans="1:35">
      <c r="A1770" s="10"/>
      <c r="B1770" s="10" t="str">
        <f t="shared" si="709"/>
        <v>Below the LinePREP</v>
      </c>
      <c r="C1770" t="s">
        <v>20</v>
      </c>
      <c r="D1770" t="s">
        <v>19</v>
      </c>
      <c r="E1770" t="s">
        <v>234</v>
      </c>
      <c r="F1770" t="s">
        <v>5116</v>
      </c>
      <c r="G1770" t="s">
        <v>2835</v>
      </c>
      <c r="I1770" s="10"/>
      <c r="J1770" s="107">
        <f>SUMIF(Data!C:C,G1770,Data!Q:Q)</f>
        <v>41754.370000000003</v>
      </c>
      <c r="K1770" s="107">
        <f>SUMIF(Comprometidos!A:A,'Cost Report'!G1770,Comprometidos!E:E)</f>
        <v>0</v>
      </c>
      <c r="L1770" s="107">
        <f t="shared" si="710"/>
        <v>41754.370000000003</v>
      </c>
      <c r="M1770" s="107">
        <v>0</v>
      </c>
      <c r="N1770" s="107">
        <f t="shared" si="712"/>
        <v>41754.370000000003</v>
      </c>
      <c r="O1770" s="107">
        <f>VLOOKUP(G1770,Budget!$E$3:$G$2474,3,0)</f>
        <v>32400</v>
      </c>
      <c r="P1770" s="107">
        <f t="shared" si="713"/>
        <v>-9354.3700000000026</v>
      </c>
      <c r="Q1770" s="107"/>
      <c r="R1770" s="10"/>
      <c r="S1770" s="107">
        <v>41754.370000000003</v>
      </c>
      <c r="T1770" s="107">
        <f t="shared" si="708"/>
        <v>0</v>
      </c>
      <c r="U1770" s="107"/>
      <c r="V1770" s="175"/>
      <c r="W1770" s="10"/>
      <c r="X1770" s="10"/>
      <c r="Y1770" t="str">
        <f t="shared" si="714"/>
        <v>3442</v>
      </c>
      <c r="AB1770" s="10"/>
      <c r="AC1770" s="10"/>
      <c r="AD1770" s="10"/>
      <c r="AE1770" s="10"/>
      <c r="AF1770" s="10"/>
      <c r="AG1770" s="10"/>
      <c r="AH1770" s="10"/>
      <c r="AI1770" s="10"/>
    </row>
    <row r="1771" spans="1:35">
      <c r="A1771" s="10"/>
      <c r="B1771" s="10" t="str">
        <f t="shared" si="709"/>
        <v>Below the LineSHOOT</v>
      </c>
      <c r="C1771" t="s">
        <v>20</v>
      </c>
      <c r="D1771" t="s">
        <v>19</v>
      </c>
      <c r="E1771" t="s">
        <v>236</v>
      </c>
      <c r="F1771" t="s">
        <v>5116</v>
      </c>
      <c r="G1771" t="s">
        <v>2836</v>
      </c>
      <c r="I1771" s="10"/>
      <c r="J1771" s="107">
        <f>SUMIF(Data!C:C,G1771,Data!Q:Q)</f>
        <v>395099.49000000017</v>
      </c>
      <c r="K1771" s="107">
        <f>SUMIF(Comprometidos!A:A,'Cost Report'!G1771,Comprometidos!E:E)</f>
        <v>0</v>
      </c>
      <c r="L1771" s="107">
        <f t="shared" si="710"/>
        <v>395099.49000000017</v>
      </c>
      <c r="M1771" s="107">
        <v>0</v>
      </c>
      <c r="N1771" s="107">
        <f t="shared" si="712"/>
        <v>395099.49000000017</v>
      </c>
      <c r="O1771" s="107">
        <f>VLOOKUP(G1771,Budget!$E$3:$G$2474,3,0)</f>
        <v>287280</v>
      </c>
      <c r="P1771" s="107">
        <f t="shared" si="713"/>
        <v>-107819.49000000017</v>
      </c>
      <c r="Q1771" s="107"/>
      <c r="R1771" s="10"/>
      <c r="S1771" s="107">
        <v>395099.49000000017</v>
      </c>
      <c r="T1771" s="107">
        <f t="shared" si="708"/>
        <v>0</v>
      </c>
      <c r="U1771" s="107"/>
      <c r="V1771" s="175"/>
      <c r="W1771" s="10"/>
      <c r="X1771" s="10"/>
      <c r="Y1771" t="str">
        <f t="shared" si="714"/>
        <v>3442</v>
      </c>
      <c r="AB1771" s="10"/>
      <c r="AC1771" s="10"/>
      <c r="AD1771" s="10"/>
      <c r="AE1771" s="10"/>
      <c r="AF1771" s="10"/>
      <c r="AG1771" s="10"/>
      <c r="AH1771" s="10"/>
      <c r="AI1771" s="10"/>
    </row>
    <row r="1772" spans="1:35">
      <c r="A1772" s="10"/>
      <c r="B1772" s="10" t="str">
        <f t="shared" si="709"/>
        <v>Below the Line</v>
      </c>
      <c r="C1772" t="s">
        <v>20</v>
      </c>
      <c r="D1772" t="s">
        <v>19</v>
      </c>
      <c r="E1772" t="s">
        <v>214</v>
      </c>
      <c r="G1772" t="s">
        <v>2837</v>
      </c>
      <c r="I1772" s="10"/>
      <c r="J1772" s="107">
        <f>SUMIF(Data!C:C,G1772,Data!Q:Q)</f>
        <v>0</v>
      </c>
      <c r="K1772" s="107">
        <f>SUMIF(Comprometidos!A:A,'Cost Report'!G1772,Comprometidos!E:E)</f>
        <v>0</v>
      </c>
      <c r="L1772" s="107">
        <f t="shared" si="710"/>
        <v>0</v>
      </c>
      <c r="M1772" s="107">
        <f t="shared" si="711"/>
        <v>0</v>
      </c>
      <c r="N1772" s="107">
        <f t="shared" si="712"/>
        <v>0</v>
      </c>
      <c r="O1772" s="107">
        <f>VLOOKUP(G1772,Budget!$E$3:$G$2474,3,0)</f>
        <v>0</v>
      </c>
      <c r="P1772" s="107">
        <f t="shared" si="713"/>
        <v>0</v>
      </c>
      <c r="Q1772" s="107"/>
      <c r="R1772" s="10"/>
      <c r="S1772" s="107">
        <v>0</v>
      </c>
      <c r="T1772" s="107">
        <f t="shared" si="708"/>
        <v>0</v>
      </c>
      <c r="U1772" s="107"/>
      <c r="V1772" s="175"/>
      <c r="W1772" s="10"/>
      <c r="X1772" s="10"/>
      <c r="Y1772" t="str">
        <f t="shared" si="714"/>
        <v>3442</v>
      </c>
      <c r="AB1772" s="10"/>
      <c r="AC1772" s="10"/>
      <c r="AD1772" s="10"/>
      <c r="AE1772" s="10"/>
      <c r="AF1772" s="10"/>
      <c r="AG1772" s="10"/>
      <c r="AH1772" s="10"/>
      <c r="AI1772" s="10"/>
    </row>
    <row r="1773" spans="1:35">
      <c r="A1773" s="10"/>
      <c r="B1773" s="10" t="str">
        <f t="shared" si="709"/>
        <v>Below the Line2nd Unit</v>
      </c>
      <c r="C1773" t="s">
        <v>20</v>
      </c>
      <c r="D1773" t="s">
        <v>19</v>
      </c>
      <c r="E1773" t="s">
        <v>1419</v>
      </c>
      <c r="F1773" t="s">
        <v>5116</v>
      </c>
      <c r="G1773" t="s">
        <v>2838</v>
      </c>
      <c r="I1773" s="10"/>
      <c r="J1773" s="107">
        <f>SUMIF(Data!C:C,G1773,Data!Q:Q)</f>
        <v>77054.309999999983</v>
      </c>
      <c r="K1773" s="107">
        <f>SUMIF(Comprometidos!A:A,'Cost Report'!G1773,Comprometidos!E:E)</f>
        <v>0</v>
      </c>
      <c r="L1773" s="107">
        <f t="shared" si="710"/>
        <v>77054.309999999983</v>
      </c>
      <c r="M1773" s="107">
        <v>0</v>
      </c>
      <c r="N1773" s="107">
        <f t="shared" si="712"/>
        <v>77054.309999999983</v>
      </c>
      <c r="O1773" s="107">
        <f>VLOOKUP(G1773,Budget!$E$3:$G$2474,3,0)</f>
        <v>38880</v>
      </c>
      <c r="P1773" s="107">
        <f t="shared" si="713"/>
        <v>-38174.309999999983</v>
      </c>
      <c r="Q1773" s="107"/>
      <c r="R1773" s="10"/>
      <c r="S1773" s="107">
        <v>77054.309999999983</v>
      </c>
      <c r="T1773" s="107">
        <f t="shared" si="708"/>
        <v>0</v>
      </c>
      <c r="U1773" s="107"/>
      <c r="V1773" s="175"/>
      <c r="W1773" s="10"/>
      <c r="X1773" s="10"/>
      <c r="Y1773" t="str">
        <f t="shared" si="714"/>
        <v>3442</v>
      </c>
      <c r="AB1773" s="10"/>
      <c r="AC1773" s="10"/>
      <c r="AD1773" s="10"/>
      <c r="AE1773" s="10"/>
      <c r="AF1773" s="10"/>
      <c r="AG1773" s="10"/>
      <c r="AH1773" s="10"/>
      <c r="AI1773" s="10"/>
    </row>
    <row r="1774" spans="1:35">
      <c r="A1774" s="10"/>
      <c r="B1774" s="10" t="str">
        <f t="shared" si="709"/>
        <v>Below the Line</v>
      </c>
      <c r="C1774" t="s">
        <v>20</v>
      </c>
      <c r="D1774" t="s">
        <v>19</v>
      </c>
      <c r="E1774" t="s">
        <v>214</v>
      </c>
      <c r="G1774" t="s">
        <v>2839</v>
      </c>
      <c r="I1774" s="10"/>
      <c r="J1774" s="107">
        <f>SUMIF(Data!C:C,G1774,Data!Q:Q)</f>
        <v>0</v>
      </c>
      <c r="K1774" s="107">
        <f>SUMIF(Comprometidos!A:A,'Cost Report'!G1774,Comprometidos!E:E)</f>
        <v>0</v>
      </c>
      <c r="L1774" s="107">
        <f t="shared" si="710"/>
        <v>0</v>
      </c>
      <c r="M1774" s="107">
        <f t="shared" si="711"/>
        <v>0</v>
      </c>
      <c r="N1774" s="107">
        <f t="shared" si="712"/>
        <v>0</v>
      </c>
      <c r="O1774" s="107">
        <f>VLOOKUP(G1774,Budget!$E$3:$G$2474,3,0)</f>
        <v>0</v>
      </c>
      <c r="P1774" s="107">
        <f t="shared" si="713"/>
        <v>0</v>
      </c>
      <c r="Q1774" s="107"/>
      <c r="R1774" s="10"/>
      <c r="S1774" s="107">
        <v>0</v>
      </c>
      <c r="T1774" s="107">
        <f t="shared" si="708"/>
        <v>0</v>
      </c>
      <c r="U1774" s="107"/>
      <c r="V1774" s="175"/>
      <c r="W1774" s="10"/>
      <c r="X1774" s="10"/>
      <c r="Y1774" t="str">
        <f t="shared" si="714"/>
        <v>3442</v>
      </c>
      <c r="AB1774" s="10"/>
      <c r="AC1774" s="10"/>
      <c r="AD1774" s="10"/>
      <c r="AE1774" s="10"/>
      <c r="AF1774" s="10"/>
      <c r="AG1774" s="10"/>
      <c r="AH1774" s="10"/>
      <c r="AI1774" s="10"/>
    </row>
    <row r="1775" spans="1:35">
      <c r="A1775" s="10"/>
      <c r="B1775" s="10" t="str">
        <f t="shared" si="709"/>
        <v>Below the LinePREP</v>
      </c>
      <c r="C1775" t="s">
        <v>20</v>
      </c>
      <c r="D1775" t="s">
        <v>19</v>
      </c>
      <c r="E1775" t="s">
        <v>234</v>
      </c>
      <c r="G1775" t="s">
        <v>2840</v>
      </c>
      <c r="I1775" s="10"/>
      <c r="J1775" s="107">
        <f>SUMIF(Data!C:C,G1775,Data!Q:Q)</f>
        <v>16200</v>
      </c>
      <c r="K1775" s="107">
        <f>SUMIF(Comprometidos!A:A,'Cost Report'!G1775,Comprometidos!E:E)</f>
        <v>0</v>
      </c>
      <c r="L1775" s="107">
        <f t="shared" si="710"/>
        <v>16200</v>
      </c>
      <c r="M1775" s="107">
        <f t="shared" si="711"/>
        <v>0</v>
      </c>
      <c r="N1775" s="107">
        <f t="shared" si="712"/>
        <v>16200</v>
      </c>
      <c r="O1775" s="107">
        <f>VLOOKUP(G1775,Budget!$E$3:$G$2474,3,0)</f>
        <v>16200</v>
      </c>
      <c r="P1775" s="107">
        <f t="shared" si="713"/>
        <v>0</v>
      </c>
      <c r="Q1775" s="107"/>
      <c r="R1775" s="10"/>
      <c r="S1775" s="107">
        <v>16200</v>
      </c>
      <c r="T1775" s="107">
        <f t="shared" si="708"/>
        <v>0</v>
      </c>
      <c r="U1775" s="107"/>
      <c r="V1775" s="175"/>
      <c r="W1775" s="10"/>
      <c r="X1775" s="10"/>
      <c r="Y1775" t="str">
        <f t="shared" si="714"/>
        <v>3442</v>
      </c>
      <c r="AB1775" s="10"/>
      <c r="AC1775" s="10"/>
      <c r="AD1775" s="10"/>
      <c r="AE1775" s="10"/>
      <c r="AF1775" s="10"/>
      <c r="AG1775" s="10"/>
      <c r="AH1775" s="10"/>
      <c r="AI1775" s="10"/>
    </row>
    <row r="1776" spans="1:35">
      <c r="A1776" s="10"/>
      <c r="B1776" s="10" t="str">
        <f t="shared" si="709"/>
        <v>Below the LineSHOOT</v>
      </c>
      <c r="C1776" t="s">
        <v>20</v>
      </c>
      <c r="D1776" t="s">
        <v>19</v>
      </c>
      <c r="E1776" t="s">
        <v>236</v>
      </c>
      <c r="G1776" t="s">
        <v>2841</v>
      </c>
      <c r="I1776" s="10"/>
      <c r="J1776" s="107">
        <f>SUMIF(Data!C:C,G1776,Data!Q:Q)</f>
        <v>152640</v>
      </c>
      <c r="K1776" s="107">
        <f>SUMIF(Comprometidos!A:A,'Cost Report'!G1776,Comprometidos!E:E)</f>
        <v>0</v>
      </c>
      <c r="L1776" s="107">
        <f t="shared" si="710"/>
        <v>152640</v>
      </c>
      <c r="M1776" s="107">
        <f>+O1776-L1776+39240</f>
        <v>0</v>
      </c>
      <c r="N1776" s="107">
        <f t="shared" si="712"/>
        <v>152640</v>
      </c>
      <c r="O1776" s="107">
        <f>VLOOKUP(G1776,Budget!$E$3:$G$2474,3,0)</f>
        <v>113400</v>
      </c>
      <c r="P1776" s="107">
        <f t="shared" si="713"/>
        <v>-39240</v>
      </c>
      <c r="Q1776" s="107"/>
      <c r="R1776" s="10"/>
      <c r="S1776" s="107">
        <v>152640</v>
      </c>
      <c r="T1776" s="107">
        <f t="shared" si="708"/>
        <v>0</v>
      </c>
      <c r="U1776" s="107"/>
      <c r="V1776" s="175"/>
      <c r="W1776" s="10"/>
      <c r="X1776" s="10"/>
      <c r="Y1776" t="str">
        <f t="shared" si="714"/>
        <v>3442</v>
      </c>
      <c r="AB1776" s="10"/>
      <c r="AC1776" s="10"/>
      <c r="AD1776" s="10"/>
      <c r="AE1776" s="10"/>
      <c r="AF1776" s="10"/>
      <c r="AG1776" s="10"/>
      <c r="AH1776" s="10"/>
      <c r="AI1776" s="10"/>
    </row>
    <row r="1777" spans="1:35">
      <c r="A1777" s="10"/>
      <c r="B1777" s="10" t="str">
        <f t="shared" si="709"/>
        <v>Below the Line</v>
      </c>
      <c r="C1777" t="s">
        <v>20</v>
      </c>
      <c r="D1777" t="s">
        <v>19</v>
      </c>
      <c r="E1777" t="s">
        <v>214</v>
      </c>
      <c r="G1777" t="s">
        <v>2842</v>
      </c>
      <c r="I1777" s="10"/>
      <c r="J1777" s="107">
        <f>SUMIF(Data!C:C,G1777,Data!Q:Q)</f>
        <v>0</v>
      </c>
      <c r="K1777" s="107">
        <f>SUMIF(Comprometidos!A:A,'Cost Report'!G1777,Comprometidos!E:E)</f>
        <v>0</v>
      </c>
      <c r="L1777" s="107">
        <f t="shared" si="710"/>
        <v>0</v>
      </c>
      <c r="M1777" s="107">
        <f t="shared" si="711"/>
        <v>0</v>
      </c>
      <c r="N1777" s="107">
        <f t="shared" si="712"/>
        <v>0</v>
      </c>
      <c r="O1777" s="107">
        <f>VLOOKUP(G1777,Budget!$E$3:$G$2474,3,0)</f>
        <v>0</v>
      </c>
      <c r="P1777" s="107">
        <f t="shared" si="713"/>
        <v>0</v>
      </c>
      <c r="Q1777" s="107"/>
      <c r="R1777" s="10"/>
      <c r="S1777" s="107">
        <v>0</v>
      </c>
      <c r="T1777" s="107">
        <f t="shared" si="708"/>
        <v>0</v>
      </c>
      <c r="U1777" s="107"/>
      <c r="V1777" s="175"/>
      <c r="W1777" s="10"/>
      <c r="X1777" s="10"/>
      <c r="Y1777" t="str">
        <f t="shared" si="714"/>
        <v>3442</v>
      </c>
      <c r="AB1777" s="10"/>
      <c r="AC1777" s="10"/>
      <c r="AD1777" s="10"/>
      <c r="AE1777" s="10"/>
      <c r="AF1777" s="10"/>
      <c r="AG1777" s="10"/>
      <c r="AH1777" s="10"/>
      <c r="AI1777" s="10"/>
    </row>
    <row r="1778" spans="1:35">
      <c r="A1778" s="10"/>
      <c r="B1778" s="10" t="str">
        <f t="shared" si="709"/>
        <v>Below the Line2nd Unit</v>
      </c>
      <c r="C1778" t="s">
        <v>20</v>
      </c>
      <c r="D1778" t="s">
        <v>19</v>
      </c>
      <c r="E1778" t="s">
        <v>1419</v>
      </c>
      <c r="G1778" t="s">
        <v>2843</v>
      </c>
      <c r="I1778" s="10"/>
      <c r="J1778" s="107">
        <f>SUMIF(Data!C:C,G1778,Data!Q:Q)</f>
        <v>17280</v>
      </c>
      <c r="K1778" s="107">
        <f>SUMIF(Comprometidos!A:A,'Cost Report'!G1778,Comprometidos!E:E)</f>
        <v>0</v>
      </c>
      <c r="L1778" s="107">
        <f t="shared" si="710"/>
        <v>17280</v>
      </c>
      <c r="M1778" s="107">
        <f t="shared" si="711"/>
        <v>0</v>
      </c>
      <c r="N1778" s="107">
        <f t="shared" si="712"/>
        <v>17280</v>
      </c>
      <c r="O1778" s="107">
        <f>VLOOKUP(G1778,Budget!$E$3:$G$2474,3,0)</f>
        <v>17280</v>
      </c>
      <c r="P1778" s="107">
        <f t="shared" si="713"/>
        <v>0</v>
      </c>
      <c r="Q1778" s="107"/>
      <c r="R1778" s="10"/>
      <c r="S1778" s="107">
        <v>17280</v>
      </c>
      <c r="T1778" s="107">
        <f t="shared" si="708"/>
        <v>0</v>
      </c>
      <c r="U1778" s="107"/>
      <c r="V1778" s="175"/>
      <c r="W1778" s="10"/>
      <c r="X1778" s="10"/>
      <c r="Y1778" t="str">
        <f t="shared" si="714"/>
        <v>3442</v>
      </c>
      <c r="AB1778" s="10"/>
      <c r="AC1778" s="10"/>
      <c r="AD1778" s="10"/>
      <c r="AE1778" s="10"/>
      <c r="AF1778" s="10"/>
      <c r="AG1778" s="10"/>
      <c r="AH1778" s="10"/>
      <c r="AI1778" s="10"/>
    </row>
    <row r="1779" spans="1:35">
      <c r="A1779" s="10"/>
      <c r="B1779" s="10" t="str">
        <f t="shared" si="709"/>
        <v>Below the Line2nd Unit</v>
      </c>
      <c r="C1779" t="s">
        <v>20</v>
      </c>
      <c r="D1779" t="s">
        <v>19</v>
      </c>
      <c r="E1779" t="s">
        <v>1419</v>
      </c>
      <c r="G1779" t="s">
        <v>3416</v>
      </c>
      <c r="I1779" s="10"/>
      <c r="J1779" s="107">
        <f>SUMIF(Data!C:C,G1779,Data!Q:Q)</f>
        <v>1156.8600000000004</v>
      </c>
      <c r="K1779" s="107">
        <f>SUMIF(Comprometidos!A:A,'Cost Report'!G1779,Comprometidos!E:E)</f>
        <v>0</v>
      </c>
      <c r="L1779" s="107">
        <f t="shared" ref="L1779" si="715">+J1779+K1779</f>
        <v>1156.8600000000004</v>
      </c>
      <c r="M1779" s="107">
        <v>0</v>
      </c>
      <c r="N1779" s="107">
        <f t="shared" ref="N1779" si="716">+L1779+M1779</f>
        <v>1156.8600000000004</v>
      </c>
      <c r="O1779" s="107">
        <f>VLOOKUP(G1779,Budget!$E$3:$G$2474,3,0)</f>
        <v>0</v>
      </c>
      <c r="P1779" s="107">
        <f t="shared" ref="P1779" si="717">+O1779-N1779</f>
        <v>-1156.8600000000004</v>
      </c>
      <c r="Q1779" s="107"/>
      <c r="R1779" s="10"/>
      <c r="S1779" s="107">
        <v>939.66000000000008</v>
      </c>
      <c r="T1779" s="107">
        <f t="shared" ref="T1779" si="718">+S1779-N1779</f>
        <v>-217.20000000000027</v>
      </c>
      <c r="U1779" s="107"/>
      <c r="V1779" s="175"/>
      <c r="W1779" s="10"/>
      <c r="X1779" s="10"/>
      <c r="Y1779" t="str">
        <f t="shared" ref="Y1779" si="719">LEFT(G1779,4)</f>
        <v>3442</v>
      </c>
      <c r="AB1779" s="10"/>
      <c r="AC1779" s="10"/>
      <c r="AD1779" s="10"/>
      <c r="AE1779" s="10"/>
      <c r="AF1779" s="10"/>
      <c r="AG1779" s="10"/>
      <c r="AH1779" s="10"/>
      <c r="AI1779" s="10"/>
    </row>
    <row r="1780" spans="1:35">
      <c r="A1780" s="10"/>
      <c r="B1780" s="10" t="str">
        <f>+C1780</f>
        <v>Below the Line</v>
      </c>
      <c r="C1780" s="128" t="s">
        <v>20</v>
      </c>
      <c r="D1780" s="128" t="s">
        <v>2117</v>
      </c>
      <c r="E1780" s="128"/>
      <c r="F1780" s="128"/>
      <c r="G1780" s="128" t="s">
        <v>2844</v>
      </c>
      <c r="H1780" s="128"/>
      <c r="I1780" s="10"/>
      <c r="J1780" s="129">
        <f>SUMIF($Y$11:$Y$2484,G1780,J$11:J$2484)</f>
        <v>72600</v>
      </c>
      <c r="K1780" s="129">
        <f>SUMIF($Y$11:$Y$2484,G1780,K$11:K$2484)</f>
        <v>0</v>
      </c>
      <c r="L1780" s="129">
        <f>SUMIF($Y$11:$Y$2484,G1780,L$11:L$2484)</f>
        <v>72600</v>
      </c>
      <c r="M1780" s="129">
        <f>SUMIF($Y$11:$Y$2484,G1780,M$11:M$2484)</f>
        <v>0</v>
      </c>
      <c r="N1780" s="129">
        <f>SUMIF($Y$11:$Y$2484,G1780,N$11:N$2484)</f>
        <v>72600</v>
      </c>
      <c r="O1780" s="129">
        <f>SUMIF($Y$11:$Y$2484,G1780,O$11:O$2484)</f>
        <v>80000</v>
      </c>
      <c r="P1780" s="129">
        <f>SUMIF($Y$11:$Y$2484,G1780,P$11:P$2484)</f>
        <v>7400</v>
      </c>
      <c r="Q1780" s="129"/>
      <c r="R1780" s="10"/>
      <c r="S1780" s="129">
        <v>72600</v>
      </c>
      <c r="T1780" s="129">
        <f t="shared" si="708"/>
        <v>0</v>
      </c>
      <c r="U1780" s="128"/>
      <c r="V1780" s="175"/>
      <c r="W1780" s="10"/>
      <c r="X1780" s="10"/>
      <c r="Z1780" t="str">
        <f>LEFT(G1780,2)</f>
        <v>34</v>
      </c>
      <c r="AA1780" t="str">
        <f>+Z1780&amp;"00"</f>
        <v>3400</v>
      </c>
      <c r="AB1780" s="10"/>
      <c r="AC1780" s="10"/>
      <c r="AD1780" s="10"/>
      <c r="AE1780" s="10"/>
      <c r="AF1780" s="10"/>
      <c r="AG1780" s="10"/>
      <c r="AH1780" s="10"/>
      <c r="AI1780" s="10"/>
    </row>
    <row r="1781" spans="1:35">
      <c r="A1781" s="10"/>
      <c r="B1781" s="10" t="str">
        <f t="shared" ref="B1781:B1786" si="720">+C1781&amp;E1781</f>
        <v>Below the Line</v>
      </c>
      <c r="C1781" t="s">
        <v>20</v>
      </c>
      <c r="D1781" t="s">
        <v>19</v>
      </c>
      <c r="E1781" t="s">
        <v>214</v>
      </c>
      <c r="G1781" t="s">
        <v>2845</v>
      </c>
      <c r="I1781" s="10"/>
      <c r="J1781" s="107">
        <f>SUMIF(Data!C:C,G1781,Data!Q:Q)</f>
        <v>0</v>
      </c>
      <c r="K1781" s="107">
        <f>SUMIF(Comprometidos!A:A,'Cost Report'!G1781,Comprometidos!E:E)</f>
        <v>0</v>
      </c>
      <c r="L1781" s="107">
        <f t="shared" ref="L1781:L1824" si="721">+J1781+K1781</f>
        <v>0</v>
      </c>
      <c r="M1781" s="107">
        <f t="shared" ref="M1781:M1823" si="722">+O1781-L1781</f>
        <v>0</v>
      </c>
      <c r="N1781" s="107">
        <f t="shared" ref="N1781:N1824" si="723">+L1781+M1781</f>
        <v>0</v>
      </c>
      <c r="O1781" s="107">
        <f>VLOOKUP(G1781,Budget!$E$3:$G$2474,3,0)</f>
        <v>0</v>
      </c>
      <c r="P1781" s="107">
        <f t="shared" ref="P1781:P1824" si="724">+O1781-N1781</f>
        <v>0</v>
      </c>
      <c r="Q1781" s="107"/>
      <c r="R1781" s="10"/>
      <c r="S1781" s="107">
        <v>0</v>
      </c>
      <c r="T1781" s="107">
        <f t="shared" si="708"/>
        <v>0</v>
      </c>
      <c r="U1781" s="107"/>
      <c r="V1781" s="175"/>
      <c r="W1781" s="10"/>
      <c r="X1781" s="10"/>
      <c r="Y1781" t="str">
        <f t="shared" ref="Y1781:Y1786" si="725">LEFT(G1781,4)</f>
        <v>3480</v>
      </c>
      <c r="AB1781" s="10"/>
      <c r="AC1781" s="10"/>
      <c r="AD1781" s="10"/>
      <c r="AE1781" s="10"/>
      <c r="AF1781" s="10"/>
      <c r="AG1781" s="10"/>
      <c r="AH1781" s="10"/>
      <c r="AI1781" s="10"/>
    </row>
    <row r="1782" spans="1:35">
      <c r="A1782" s="10"/>
      <c r="B1782" s="10" t="str">
        <f t="shared" si="720"/>
        <v>Below the LineSHOOT</v>
      </c>
      <c r="C1782" t="s">
        <v>20</v>
      </c>
      <c r="D1782" t="s">
        <v>19</v>
      </c>
      <c r="E1782" t="s">
        <v>236</v>
      </c>
      <c r="G1782" t="s">
        <v>2846</v>
      </c>
      <c r="I1782" s="10"/>
      <c r="J1782" s="107">
        <f>SUMIF(Data!C:C,G1782,Data!Q:Q)</f>
        <v>47100</v>
      </c>
      <c r="K1782" s="107">
        <f>SUMIF(Comprometidos!A:A,'Cost Report'!G1782,Comprometidos!E:E)</f>
        <v>0</v>
      </c>
      <c r="L1782" s="107">
        <f t="shared" si="721"/>
        <v>47100</v>
      </c>
      <c r="M1782" s="107">
        <f>+O1782-L1782-5400</f>
        <v>0</v>
      </c>
      <c r="N1782" s="107">
        <f t="shared" si="723"/>
        <v>47100</v>
      </c>
      <c r="O1782" s="107">
        <f>VLOOKUP(G1782,Budget!$E$3:$G$2474,3,0)</f>
        <v>52500</v>
      </c>
      <c r="P1782" s="107">
        <f t="shared" si="724"/>
        <v>5400</v>
      </c>
      <c r="Q1782" s="107"/>
      <c r="R1782" s="10"/>
      <c r="S1782" s="107">
        <v>47100</v>
      </c>
      <c r="T1782" s="107">
        <f t="shared" si="708"/>
        <v>0</v>
      </c>
      <c r="U1782" s="107"/>
      <c r="V1782" s="175"/>
      <c r="W1782" s="10"/>
      <c r="X1782" s="10"/>
      <c r="Y1782" t="str">
        <f t="shared" si="725"/>
        <v>3480</v>
      </c>
      <c r="AB1782" s="10"/>
      <c r="AC1782" s="10"/>
      <c r="AD1782" s="10"/>
      <c r="AE1782" s="10"/>
      <c r="AF1782" s="10"/>
      <c r="AG1782" s="10"/>
      <c r="AH1782" s="10"/>
      <c r="AI1782" s="10"/>
    </row>
    <row r="1783" spans="1:35">
      <c r="A1783" s="10"/>
      <c r="B1783" s="10" t="str">
        <f t="shared" si="720"/>
        <v>Below the Line</v>
      </c>
      <c r="C1783" t="s">
        <v>20</v>
      </c>
      <c r="D1783" t="s">
        <v>19</v>
      </c>
      <c r="E1783" t="s">
        <v>214</v>
      </c>
      <c r="G1783" t="s">
        <v>2847</v>
      </c>
      <c r="I1783" s="10"/>
      <c r="J1783" s="107">
        <f>SUMIF(Data!C:C,G1783,Data!Q:Q)</f>
        <v>0</v>
      </c>
      <c r="K1783" s="107">
        <f>SUMIF(Comprometidos!A:A,'Cost Report'!G1783,Comprometidos!E:E)</f>
        <v>0</v>
      </c>
      <c r="L1783" s="107">
        <f t="shared" si="721"/>
        <v>0</v>
      </c>
      <c r="M1783" s="107">
        <f t="shared" si="722"/>
        <v>0</v>
      </c>
      <c r="N1783" s="107">
        <f t="shared" si="723"/>
        <v>0</v>
      </c>
      <c r="O1783" s="107">
        <f>VLOOKUP(G1783,Budget!$E$3:$G$2474,3,0)</f>
        <v>0</v>
      </c>
      <c r="P1783" s="107">
        <f t="shared" si="724"/>
        <v>0</v>
      </c>
      <c r="Q1783" s="107"/>
      <c r="R1783" s="10"/>
      <c r="S1783" s="107">
        <v>0</v>
      </c>
      <c r="T1783" s="107">
        <f t="shared" si="708"/>
        <v>0</v>
      </c>
      <c r="U1783" s="107"/>
      <c r="V1783" s="175"/>
      <c r="W1783" s="10"/>
      <c r="X1783" s="10"/>
      <c r="Y1783" t="str">
        <f t="shared" si="725"/>
        <v>3480</v>
      </c>
      <c r="AB1783" s="10"/>
      <c r="AC1783" s="10"/>
      <c r="AD1783" s="10"/>
      <c r="AE1783" s="10"/>
      <c r="AF1783" s="10"/>
      <c r="AG1783" s="10"/>
      <c r="AH1783" s="10"/>
      <c r="AI1783" s="10"/>
    </row>
    <row r="1784" spans="1:35">
      <c r="A1784" s="10"/>
      <c r="B1784" s="10" t="str">
        <f t="shared" si="720"/>
        <v>Below the Line2nd Unit</v>
      </c>
      <c r="C1784" t="s">
        <v>20</v>
      </c>
      <c r="D1784" t="s">
        <v>19</v>
      </c>
      <c r="E1784" t="s">
        <v>1419</v>
      </c>
      <c r="G1784" t="s">
        <v>2848</v>
      </c>
      <c r="I1784" s="10"/>
      <c r="J1784" s="107">
        <f>SUMIF(Data!C:C,G1784,Data!Q:Q)</f>
        <v>15000</v>
      </c>
      <c r="K1784" s="107">
        <f>SUMIF(Comprometidos!A:A,'Cost Report'!G1784,Comprometidos!E:E)</f>
        <v>0</v>
      </c>
      <c r="L1784" s="107">
        <f t="shared" si="721"/>
        <v>15000</v>
      </c>
      <c r="M1784" s="107">
        <f t="shared" si="722"/>
        <v>0</v>
      </c>
      <c r="N1784" s="107">
        <f t="shared" si="723"/>
        <v>15000</v>
      </c>
      <c r="O1784" s="107">
        <f>VLOOKUP(G1784,Budget!$E$3:$G$2474,3,0)</f>
        <v>15000</v>
      </c>
      <c r="P1784" s="107">
        <f t="shared" si="724"/>
        <v>0</v>
      </c>
      <c r="Q1784" s="107"/>
      <c r="R1784" s="10"/>
      <c r="S1784" s="107">
        <v>15000</v>
      </c>
      <c r="T1784" s="107">
        <f t="shared" si="708"/>
        <v>0</v>
      </c>
      <c r="U1784" s="107"/>
      <c r="V1784" s="175"/>
      <c r="W1784" s="10"/>
      <c r="X1784" s="10"/>
      <c r="Y1784" t="str">
        <f t="shared" si="725"/>
        <v>3480</v>
      </c>
      <c r="AB1784" s="10"/>
      <c r="AC1784" s="10"/>
      <c r="AD1784" s="10"/>
      <c r="AE1784" s="10"/>
      <c r="AF1784" s="10"/>
      <c r="AG1784" s="10"/>
      <c r="AH1784" s="10"/>
      <c r="AI1784" s="10"/>
    </row>
    <row r="1785" spans="1:35">
      <c r="A1785" s="10"/>
      <c r="B1785" s="10" t="str">
        <f t="shared" si="720"/>
        <v>Below the Line</v>
      </c>
      <c r="C1785" t="s">
        <v>20</v>
      </c>
      <c r="D1785" t="s">
        <v>19</v>
      </c>
      <c r="E1785" t="s">
        <v>214</v>
      </c>
      <c r="G1785" t="s">
        <v>2849</v>
      </c>
      <c r="I1785" s="10"/>
      <c r="J1785" s="107">
        <f>SUMIF(Data!C:C,G1785,Data!Q:Q)</f>
        <v>0</v>
      </c>
      <c r="K1785" s="107">
        <f>SUMIF(Comprometidos!A:A,'Cost Report'!G1785,Comprometidos!E:E)</f>
        <v>0</v>
      </c>
      <c r="L1785" s="107">
        <f t="shared" si="721"/>
        <v>0</v>
      </c>
      <c r="M1785" s="107">
        <f t="shared" si="722"/>
        <v>0</v>
      </c>
      <c r="N1785" s="107">
        <f t="shared" si="723"/>
        <v>0</v>
      </c>
      <c r="O1785" s="107">
        <f>VLOOKUP(G1785,Budget!$E$3:$G$2474,3,0)</f>
        <v>0</v>
      </c>
      <c r="P1785" s="107">
        <f t="shared" si="724"/>
        <v>0</v>
      </c>
      <c r="Q1785" s="107"/>
      <c r="R1785" s="10"/>
      <c r="S1785" s="107">
        <v>0</v>
      </c>
      <c r="T1785" s="107">
        <f t="shared" si="708"/>
        <v>0</v>
      </c>
      <c r="U1785" s="107"/>
      <c r="V1785" s="175"/>
      <c r="W1785" s="10"/>
      <c r="X1785" s="10"/>
      <c r="Y1785" t="str">
        <f t="shared" si="725"/>
        <v>3480</v>
      </c>
      <c r="AB1785" s="10"/>
      <c r="AC1785" s="10"/>
      <c r="AD1785" s="10"/>
      <c r="AE1785" s="10"/>
      <c r="AF1785" s="10"/>
      <c r="AG1785" s="10"/>
      <c r="AH1785" s="10"/>
      <c r="AI1785" s="10"/>
    </row>
    <row r="1786" spans="1:35">
      <c r="A1786" s="10"/>
      <c r="B1786" s="10" t="str">
        <f t="shared" si="720"/>
        <v>Below the LineSHOOT</v>
      </c>
      <c r="C1786" t="s">
        <v>20</v>
      </c>
      <c r="D1786" t="s">
        <v>19</v>
      </c>
      <c r="E1786" t="s">
        <v>236</v>
      </c>
      <c r="G1786" t="s">
        <v>2850</v>
      </c>
      <c r="I1786" s="10"/>
      <c r="J1786" s="107">
        <f>SUMIF(Data!C:C,G1786,Data!Q:Q)</f>
        <v>10500</v>
      </c>
      <c r="K1786" s="107">
        <f>SUMIF(Comprometidos!A:A,'Cost Report'!G1786,Comprometidos!E:E)</f>
        <v>0</v>
      </c>
      <c r="L1786" s="107">
        <f t="shared" si="721"/>
        <v>10500</v>
      </c>
      <c r="M1786" s="107">
        <v>0</v>
      </c>
      <c r="N1786" s="107">
        <f t="shared" si="723"/>
        <v>10500</v>
      </c>
      <c r="O1786" s="107">
        <f>VLOOKUP(G1786,Budget!$E$3:$G$2474,3,0)</f>
        <v>12500</v>
      </c>
      <c r="P1786" s="107">
        <f t="shared" si="724"/>
        <v>2000</v>
      </c>
      <c r="Q1786" s="107"/>
      <c r="R1786" s="10"/>
      <c r="S1786" s="107">
        <v>10500</v>
      </c>
      <c r="T1786" s="107">
        <f t="shared" si="708"/>
        <v>0</v>
      </c>
      <c r="U1786" s="107"/>
      <c r="V1786" s="175"/>
      <c r="W1786" s="10"/>
      <c r="X1786" s="10"/>
      <c r="Y1786" t="str">
        <f t="shared" si="725"/>
        <v>3480</v>
      </c>
      <c r="AB1786" s="10"/>
      <c r="AC1786" s="10"/>
      <c r="AD1786" s="10"/>
      <c r="AE1786" s="10"/>
      <c r="AF1786" s="10"/>
      <c r="AG1786" s="10"/>
      <c r="AH1786" s="10"/>
      <c r="AI1786" s="10"/>
    </row>
    <row r="1787" spans="1:35">
      <c r="A1787" s="10"/>
      <c r="B1787" s="10" t="str">
        <f>+C1787</f>
        <v>Below the Line</v>
      </c>
      <c r="C1787" s="128" t="s">
        <v>20</v>
      </c>
      <c r="D1787" s="128" t="s">
        <v>2117</v>
      </c>
      <c r="E1787" s="128"/>
      <c r="F1787" s="128"/>
      <c r="G1787" s="128" t="s">
        <v>1018</v>
      </c>
      <c r="H1787" s="128"/>
      <c r="I1787" s="10"/>
      <c r="J1787" s="129">
        <f>SUMIF($Y$11:$Y$2484,G1787,J$11:J$2484)</f>
        <v>86372.75</v>
      </c>
      <c r="K1787" s="129">
        <f>SUMIF($Y$11:$Y$2484,G1787,K$11:K$2484)</f>
        <v>0</v>
      </c>
      <c r="L1787" s="129">
        <f>SUMIF($Y$11:$Y$2484,G1787,L$11:L$2484)</f>
        <v>86372.75</v>
      </c>
      <c r="M1787" s="129">
        <f>SUMIF($Y$11:$Y$2484,G1787,M$11:M$2484)</f>
        <v>0</v>
      </c>
      <c r="N1787" s="129">
        <f>SUMIF($Y$11:$Y$2484,G1787,N$11:N$2484)</f>
        <v>86372.75</v>
      </c>
      <c r="O1787" s="129">
        <f>SUMIF($Y$11:$Y$2484,G1787,O$11:O$2484)</f>
        <v>60000</v>
      </c>
      <c r="P1787" s="129">
        <f>SUMIF($Y$11:$Y$2484,G1787,P$11:P$2484)</f>
        <v>-26372.75</v>
      </c>
      <c r="Q1787" s="129"/>
      <c r="R1787" s="10"/>
      <c r="S1787" s="129">
        <v>86345.75</v>
      </c>
      <c r="T1787" s="129">
        <f t="shared" si="708"/>
        <v>-27</v>
      </c>
      <c r="U1787" s="128"/>
      <c r="V1787" s="175"/>
      <c r="W1787" s="10"/>
      <c r="X1787" s="10"/>
      <c r="Z1787" t="str">
        <f>LEFT(G1787,2)</f>
        <v>34</v>
      </c>
      <c r="AA1787" t="str">
        <f>+Z1787&amp;"00"</f>
        <v>3400</v>
      </c>
      <c r="AB1787" s="10"/>
      <c r="AC1787" s="10"/>
      <c r="AD1787" s="10"/>
      <c r="AE1787" s="10"/>
      <c r="AF1787" s="10"/>
      <c r="AG1787" s="10"/>
      <c r="AH1787" s="10"/>
      <c r="AI1787" s="10"/>
    </row>
    <row r="1788" spans="1:35">
      <c r="A1788" s="10"/>
      <c r="B1788" s="10" t="str">
        <f t="shared" ref="B1788:B1789" si="726">+C1788&amp;E1788</f>
        <v>Below the Line</v>
      </c>
      <c r="C1788" t="s">
        <v>20</v>
      </c>
      <c r="D1788" t="s">
        <v>19</v>
      </c>
      <c r="E1788" t="s">
        <v>214</v>
      </c>
      <c r="G1788" t="s">
        <v>1019</v>
      </c>
      <c r="I1788" s="10"/>
      <c r="J1788" s="107">
        <f>SUMIF(Data!C:C,G1788,Data!Q:Q)</f>
        <v>0</v>
      </c>
      <c r="K1788" s="107">
        <f>SUMIF(Comprometidos!A:A,'Cost Report'!G1788,Comprometidos!E:E)</f>
        <v>0</v>
      </c>
      <c r="L1788" s="107">
        <f t="shared" si="721"/>
        <v>0</v>
      </c>
      <c r="M1788" s="107">
        <f t="shared" si="722"/>
        <v>0</v>
      </c>
      <c r="N1788" s="107">
        <f t="shared" si="723"/>
        <v>0</v>
      </c>
      <c r="O1788" s="107">
        <f>VLOOKUP(G1788,Budget!$E$3:$G$2474,3,0)</f>
        <v>0</v>
      </c>
      <c r="P1788" s="107">
        <f t="shared" si="724"/>
        <v>0</v>
      </c>
      <c r="Q1788" s="107"/>
      <c r="R1788" s="10"/>
      <c r="S1788" s="107">
        <v>0</v>
      </c>
      <c r="T1788" s="107">
        <f t="shared" si="708"/>
        <v>0</v>
      </c>
      <c r="U1788" s="107"/>
      <c r="V1788" s="175"/>
      <c r="W1788" s="10"/>
      <c r="X1788" s="10"/>
      <c r="Y1788" t="str">
        <f t="shared" ref="Y1788:Y1789" si="727">LEFT(G1788,4)</f>
        <v>3485</v>
      </c>
      <c r="AB1788" s="10"/>
      <c r="AC1788" s="10"/>
      <c r="AD1788" s="10"/>
      <c r="AE1788" s="10"/>
      <c r="AF1788" s="10"/>
      <c r="AG1788" s="10"/>
      <c r="AH1788" s="10"/>
      <c r="AI1788" s="10"/>
    </row>
    <row r="1789" spans="1:35">
      <c r="A1789" s="10"/>
      <c r="B1789" s="10" t="str">
        <f t="shared" si="726"/>
        <v>Below the LineSHOOT</v>
      </c>
      <c r="C1789" t="s">
        <v>20</v>
      </c>
      <c r="D1789" t="s">
        <v>19</v>
      </c>
      <c r="E1789" t="s">
        <v>236</v>
      </c>
      <c r="G1789" t="s">
        <v>2851</v>
      </c>
      <c r="I1789" s="10"/>
      <c r="J1789" s="107">
        <f>SUMIF(Data!C:C,G1789,Data!Q:Q)</f>
        <v>86372.75</v>
      </c>
      <c r="K1789" s="107">
        <f>SUMIF(Comprometidos!A:A,'Cost Report'!G1789,Comprometidos!E:E)</f>
        <v>0</v>
      </c>
      <c r="L1789" s="107">
        <f t="shared" si="721"/>
        <v>86372.75</v>
      </c>
      <c r="M1789" s="107">
        <v>0</v>
      </c>
      <c r="N1789" s="107">
        <f t="shared" si="723"/>
        <v>86372.75</v>
      </c>
      <c r="O1789" s="107">
        <f>VLOOKUP(G1789,Budget!$E$3:$G$2474,3,0)</f>
        <v>60000</v>
      </c>
      <c r="P1789" s="107">
        <f t="shared" si="724"/>
        <v>-26372.75</v>
      </c>
      <c r="Q1789" s="107"/>
      <c r="R1789" s="10"/>
      <c r="S1789" s="107">
        <v>86345.75</v>
      </c>
      <c r="T1789" s="107">
        <f t="shared" si="708"/>
        <v>-27</v>
      </c>
      <c r="U1789" s="107"/>
      <c r="V1789" s="175"/>
      <c r="W1789" s="10"/>
      <c r="X1789" s="10"/>
      <c r="Y1789" t="str">
        <f t="shared" si="727"/>
        <v>3485</v>
      </c>
      <c r="AB1789" s="10"/>
      <c r="AC1789" s="10"/>
      <c r="AD1789" s="10"/>
      <c r="AE1789" s="10"/>
      <c r="AF1789" s="10"/>
      <c r="AG1789" s="10"/>
      <c r="AH1789" s="10"/>
      <c r="AI1789" s="10"/>
    </row>
    <row r="1790" spans="1:35">
      <c r="A1790" s="10"/>
      <c r="B1790" s="10" t="str">
        <f>+C1790</f>
        <v>Below the Line</v>
      </c>
      <c r="C1790" s="128" t="s">
        <v>20</v>
      </c>
      <c r="D1790" s="128" t="s">
        <v>2117</v>
      </c>
      <c r="E1790" s="128"/>
      <c r="F1790" s="128"/>
      <c r="G1790" s="128" t="s">
        <v>1020</v>
      </c>
      <c r="H1790" s="128"/>
      <c r="I1790" s="10"/>
      <c r="J1790" s="129">
        <f>SUMIF($Y$11:$Y$2484,G1790,J$11:J$2484)</f>
        <v>360170.23</v>
      </c>
      <c r="K1790" s="129">
        <f>SUMIF($Y$11:$Y$2484,G1790,K$11:K$2484)</f>
        <v>0</v>
      </c>
      <c r="L1790" s="129">
        <f>SUMIF($Y$11:$Y$2484,G1790,L$11:L$2484)</f>
        <v>360170.23</v>
      </c>
      <c r="M1790" s="129">
        <f>SUMIF($Y$11:$Y$2484,G1790,M$11:M$2484)</f>
        <v>0</v>
      </c>
      <c r="N1790" s="129">
        <f>SUMIF($Y$11:$Y$2484,G1790,N$11:N$2484)</f>
        <v>360170.23</v>
      </c>
      <c r="O1790" s="129">
        <f>SUMIF($Y$11:$Y$2484,G1790,O$11:O$2484)</f>
        <v>400000</v>
      </c>
      <c r="P1790" s="129">
        <f>SUMIF($Y$11:$Y$2484,G1790,P$11:P$2484)</f>
        <v>39829.770000000019</v>
      </c>
      <c r="Q1790" s="129"/>
      <c r="R1790" s="10"/>
      <c r="S1790" s="129">
        <v>360170.23</v>
      </c>
      <c r="T1790" s="129">
        <f t="shared" si="708"/>
        <v>0</v>
      </c>
      <c r="U1790" s="128"/>
      <c r="V1790" s="175"/>
      <c r="W1790" s="10"/>
      <c r="X1790" s="10"/>
      <c r="Z1790" t="str">
        <f>LEFT(G1790,2)</f>
        <v>34</v>
      </c>
      <c r="AA1790" t="str">
        <f>+Z1790&amp;"00"</f>
        <v>3400</v>
      </c>
      <c r="AB1790" s="10"/>
      <c r="AC1790" s="10"/>
      <c r="AD1790" s="10"/>
      <c r="AE1790" s="10"/>
      <c r="AF1790" s="10"/>
      <c r="AG1790" s="10"/>
      <c r="AH1790" s="10"/>
      <c r="AI1790" s="10"/>
    </row>
    <row r="1791" spans="1:35">
      <c r="A1791" s="10"/>
      <c r="B1791" s="10" t="str">
        <f t="shared" ref="B1791:B1792" si="728">+C1791&amp;E1791</f>
        <v>Below the Line</v>
      </c>
      <c r="C1791" t="s">
        <v>20</v>
      </c>
      <c r="D1791" t="s">
        <v>19</v>
      </c>
      <c r="E1791" t="s">
        <v>214</v>
      </c>
      <c r="G1791" t="s">
        <v>1021</v>
      </c>
      <c r="I1791" s="10"/>
      <c r="J1791" s="107">
        <f>SUMIF(Data!C:C,G1791,Data!Q:Q)</f>
        <v>0</v>
      </c>
      <c r="K1791" s="107">
        <f>SUMIF(Comprometidos!A:A,'Cost Report'!G1791,Comprometidos!E:E)</f>
        <v>0</v>
      </c>
      <c r="L1791" s="107">
        <f t="shared" ref="L1791:L1792" si="729">+J1791+K1791</f>
        <v>0</v>
      </c>
      <c r="M1791" s="107">
        <f t="shared" ref="M1791" si="730">+O1791-L1791</f>
        <v>0</v>
      </c>
      <c r="N1791" s="107">
        <f t="shared" ref="N1791:N1792" si="731">+L1791+M1791</f>
        <v>0</v>
      </c>
      <c r="O1791" s="107">
        <f>VLOOKUP(G1791,Budget!$E$3:$G$2474,3,0)</f>
        <v>0</v>
      </c>
      <c r="P1791" s="107">
        <f t="shared" ref="P1791:P1792" si="732">+O1791-N1791</f>
        <v>0</v>
      </c>
      <c r="Q1791" s="107"/>
      <c r="R1791" s="10"/>
      <c r="S1791" s="107">
        <v>0</v>
      </c>
      <c r="T1791" s="107">
        <f t="shared" si="708"/>
        <v>0</v>
      </c>
      <c r="U1791" s="107"/>
      <c r="V1791" s="175"/>
      <c r="W1791" s="10"/>
      <c r="X1791" s="10"/>
      <c r="Y1791" t="str">
        <f t="shared" ref="Y1791:Y1792" si="733">LEFT(G1791,4)</f>
        <v>3498</v>
      </c>
      <c r="AB1791" s="10"/>
      <c r="AC1791" s="10"/>
      <c r="AD1791" s="10"/>
      <c r="AE1791" s="10"/>
      <c r="AF1791" s="10"/>
      <c r="AG1791" s="10"/>
      <c r="AH1791" s="10"/>
      <c r="AI1791" s="10"/>
    </row>
    <row r="1792" spans="1:35">
      <c r="A1792" s="10"/>
      <c r="B1792" s="10" t="str">
        <f t="shared" si="728"/>
        <v>Below the LineALL SHOW</v>
      </c>
      <c r="C1792" t="s">
        <v>20</v>
      </c>
      <c r="D1792" t="s">
        <v>19</v>
      </c>
      <c r="E1792" t="s">
        <v>227</v>
      </c>
      <c r="G1792" t="s">
        <v>2852</v>
      </c>
      <c r="I1792" s="10"/>
      <c r="J1792" s="107">
        <f>SUMIF(Data!C:C,G1792,Data!Q:Q)</f>
        <v>360170.23</v>
      </c>
      <c r="K1792" s="107">
        <f>SUMIF(Comprometidos!A:A,'Cost Report'!G1792,Comprometidos!E:E)</f>
        <v>0</v>
      </c>
      <c r="L1792" s="107">
        <f t="shared" si="729"/>
        <v>360170.23</v>
      </c>
      <c r="M1792" s="107">
        <v>0</v>
      </c>
      <c r="N1792" s="107">
        <f t="shared" si="731"/>
        <v>360170.23</v>
      </c>
      <c r="O1792" s="107">
        <f>VLOOKUP(G1792,Budget!$E$3:$G$2474,3,0)</f>
        <v>400000</v>
      </c>
      <c r="P1792" s="107">
        <f t="shared" si="732"/>
        <v>39829.770000000019</v>
      </c>
      <c r="Q1792" s="107"/>
      <c r="R1792" s="10"/>
      <c r="S1792" s="107">
        <v>360170.23</v>
      </c>
      <c r="T1792" s="107">
        <f t="shared" si="708"/>
        <v>0</v>
      </c>
      <c r="U1792" s="107"/>
      <c r="V1792" s="175"/>
      <c r="W1792" s="10"/>
      <c r="X1792" s="10"/>
      <c r="Y1792" t="str">
        <f t="shared" si="733"/>
        <v>3498</v>
      </c>
      <c r="AB1792" s="10"/>
      <c r="AC1792" s="10"/>
      <c r="AD1792" s="10"/>
      <c r="AE1792" s="10"/>
      <c r="AF1792" s="10"/>
      <c r="AG1792" s="10"/>
      <c r="AH1792" s="10"/>
      <c r="AI1792" s="10"/>
    </row>
    <row r="1793" spans="1:35">
      <c r="A1793" s="10"/>
      <c r="B1793" s="10"/>
      <c r="C1793" s="170" t="s">
        <v>20</v>
      </c>
      <c r="D1793" s="170" t="s">
        <v>8</v>
      </c>
      <c r="E1793" s="170"/>
      <c r="F1793" s="170"/>
      <c r="G1793" s="170" t="s">
        <v>1022</v>
      </c>
      <c r="H1793" s="170"/>
      <c r="I1793" s="10"/>
      <c r="J1793" s="169">
        <f>SUMIF($AA$10:$AA$2484,G1793,J$10:J$2484)</f>
        <v>299000</v>
      </c>
      <c r="K1793" s="169">
        <f>SUMIF($AA$10:$AA$2484,G1793,K$10:K$2484)</f>
        <v>0</v>
      </c>
      <c r="L1793" s="169">
        <f>SUMIF($AA$10:$AA$2484,G1793,L$10:L$2484)</f>
        <v>299000</v>
      </c>
      <c r="M1793" s="169">
        <f>SUMIF($AA$10:$AA$2484,G1793,M$10:M$2484)</f>
        <v>0</v>
      </c>
      <c r="N1793" s="169">
        <f>SUMIF($AA$10:$AA$2484,G1793,N$10:N$2484)</f>
        <v>299000</v>
      </c>
      <c r="O1793" s="169">
        <f>SUMIF($AA$10:$AA$2484,G1793,O$10:O$2484)</f>
        <v>281000</v>
      </c>
      <c r="P1793" s="168">
        <f>SUMIF($AA$10:$AA$2484,G1793,P$10:P$2484)</f>
        <v>-18000</v>
      </c>
      <c r="Q1793" s="169"/>
      <c r="R1793" s="10"/>
      <c r="S1793" s="164">
        <v>299000</v>
      </c>
      <c r="T1793" s="164">
        <f t="shared" si="708"/>
        <v>0</v>
      </c>
      <c r="U1793" s="163"/>
      <c r="V1793" s="175"/>
      <c r="W1793" s="10"/>
      <c r="X1793" s="10"/>
      <c r="AB1793" s="10"/>
      <c r="AC1793" s="10"/>
      <c r="AD1793" s="10"/>
      <c r="AE1793" s="10"/>
      <c r="AF1793" s="10"/>
      <c r="AG1793" s="10"/>
      <c r="AH1793" s="10"/>
      <c r="AI1793" s="10"/>
    </row>
    <row r="1794" spans="1:35">
      <c r="A1794" s="10"/>
      <c r="B1794" s="10" t="str">
        <f>+C1794</f>
        <v>Below the Line</v>
      </c>
      <c r="C1794" s="128" t="s">
        <v>20</v>
      </c>
      <c r="D1794" s="128" t="s">
        <v>2117</v>
      </c>
      <c r="E1794" s="128"/>
      <c r="F1794" s="128"/>
      <c r="G1794" s="128" t="s">
        <v>1877</v>
      </c>
      <c r="H1794" s="128"/>
      <c r="I1794" s="10"/>
      <c r="J1794" s="129">
        <f>SUMIF($Y$11:$Y$2484,G1794,J$11:J$2484)</f>
        <v>299000</v>
      </c>
      <c r="K1794" s="129">
        <f>SUMIF($Y$11:$Y$2484,G1794,K$11:K$2484)</f>
        <v>0</v>
      </c>
      <c r="L1794" s="129">
        <f>SUMIF($Y$11:$Y$2484,G1794,L$11:L$2484)</f>
        <v>299000</v>
      </c>
      <c r="M1794" s="129">
        <f>SUMIF($Y$11:$Y$2484,G1794,M$11:M$2484)</f>
        <v>0</v>
      </c>
      <c r="N1794" s="129">
        <f>SUMIF($Y$11:$Y$2484,G1794,N$11:N$2484)</f>
        <v>299000</v>
      </c>
      <c r="O1794" s="129">
        <f>SUMIF($Y$11:$Y$2484,G1794,O$11:O$2484)</f>
        <v>281000</v>
      </c>
      <c r="P1794" s="129">
        <f>SUMIF($Y$11:$Y$2484,G1794,P$11:P$2484)</f>
        <v>-18000</v>
      </c>
      <c r="Q1794" s="129"/>
      <c r="R1794" s="10"/>
      <c r="S1794" s="129">
        <v>299000</v>
      </c>
      <c r="T1794" s="129">
        <f t="shared" si="708"/>
        <v>0</v>
      </c>
      <c r="U1794" s="128"/>
      <c r="V1794" s="175"/>
      <c r="W1794" s="10"/>
      <c r="X1794" s="10"/>
      <c r="Z1794" t="str">
        <f>LEFT(G1794,2)</f>
        <v>35</v>
      </c>
      <c r="AA1794" t="str">
        <f>+Z1794&amp;"00"</f>
        <v>3500</v>
      </c>
      <c r="AB1794" s="10"/>
      <c r="AC1794" s="10"/>
      <c r="AD1794" s="10"/>
      <c r="AE1794" s="10"/>
      <c r="AF1794" s="10"/>
      <c r="AG1794" s="10"/>
      <c r="AH1794" s="10"/>
      <c r="AI1794" s="10"/>
    </row>
    <row r="1795" spans="1:35">
      <c r="A1795" s="10"/>
      <c r="B1795" s="10" t="str">
        <f t="shared" ref="B1795:B1797" si="734">+C1795&amp;E1795</f>
        <v>Below the Line</v>
      </c>
      <c r="C1795" t="s">
        <v>20</v>
      </c>
      <c r="D1795" t="s">
        <v>19</v>
      </c>
      <c r="E1795" t="s">
        <v>214</v>
      </c>
      <c r="G1795" t="s">
        <v>1878</v>
      </c>
      <c r="I1795" s="10"/>
      <c r="J1795" s="107">
        <f>SUMIF(Data!C:C,G1795,Data!Q:Q)</f>
        <v>0</v>
      </c>
      <c r="K1795" s="107">
        <f>SUMIF(Comprometidos!A:A,'Cost Report'!G1795,Comprometidos!E:E)</f>
        <v>0</v>
      </c>
      <c r="L1795" s="107">
        <f t="shared" si="721"/>
        <v>0</v>
      </c>
      <c r="M1795" s="107">
        <f t="shared" si="722"/>
        <v>0</v>
      </c>
      <c r="N1795" s="107">
        <f t="shared" si="723"/>
        <v>0</v>
      </c>
      <c r="O1795" s="107">
        <f>VLOOKUP(G1795,Budget!$E$3:$G$2474,3,0)</f>
        <v>0</v>
      </c>
      <c r="P1795" s="107">
        <f t="shared" si="724"/>
        <v>0</v>
      </c>
      <c r="Q1795" s="107"/>
      <c r="R1795" s="10"/>
      <c r="S1795" s="107">
        <v>0</v>
      </c>
      <c r="T1795" s="107">
        <f t="shared" si="708"/>
        <v>0</v>
      </c>
      <c r="U1795" s="107"/>
      <c r="V1795" s="175"/>
      <c r="W1795" s="10"/>
      <c r="X1795" s="10"/>
      <c r="Y1795" t="str">
        <f t="shared" ref="Y1795:Y1797" si="735">LEFT(G1795,4)</f>
        <v>3583</v>
      </c>
      <c r="AB1795" s="10"/>
      <c r="AC1795" s="10"/>
      <c r="AD1795" s="10"/>
      <c r="AE1795" s="10"/>
      <c r="AF1795" s="10"/>
      <c r="AG1795" s="10"/>
      <c r="AH1795" s="10"/>
      <c r="AI1795" s="10"/>
    </row>
    <row r="1796" spans="1:35">
      <c r="A1796" s="10"/>
      <c r="B1796" s="10" t="str">
        <f t="shared" si="734"/>
        <v>Below the LineSHOOT</v>
      </c>
      <c r="C1796" t="s">
        <v>20</v>
      </c>
      <c r="D1796" t="s">
        <v>19</v>
      </c>
      <c r="E1796" t="s">
        <v>236</v>
      </c>
      <c r="G1796" t="s">
        <v>2853</v>
      </c>
      <c r="I1796" s="10"/>
      <c r="J1796" s="107">
        <f>SUMIF(Data!C:C,G1796,Data!Q:Q)</f>
        <v>90000</v>
      </c>
      <c r="K1796" s="107">
        <f>SUMIF(Comprometidos!A:A,'Cost Report'!G1796,Comprometidos!E:E)</f>
        <v>0</v>
      </c>
      <c r="L1796" s="107">
        <f t="shared" si="721"/>
        <v>90000</v>
      </c>
      <c r="M1796" s="107">
        <v>0</v>
      </c>
      <c r="N1796" s="107">
        <f t="shared" si="723"/>
        <v>90000</v>
      </c>
      <c r="O1796" s="107">
        <f>VLOOKUP(G1796,Budget!$E$3:$G$2474,3,0)</f>
        <v>120000</v>
      </c>
      <c r="P1796" s="107">
        <f t="shared" si="724"/>
        <v>30000</v>
      </c>
      <c r="Q1796" s="107"/>
      <c r="R1796" s="10"/>
      <c r="S1796" s="107">
        <v>90000</v>
      </c>
      <c r="T1796" s="107">
        <f t="shared" si="708"/>
        <v>0</v>
      </c>
      <c r="U1796" s="107"/>
      <c r="V1796" s="175"/>
      <c r="W1796" s="10"/>
      <c r="X1796" s="10"/>
      <c r="Y1796" t="str">
        <f t="shared" si="735"/>
        <v>3583</v>
      </c>
      <c r="AB1796" s="10"/>
      <c r="AC1796" s="10"/>
      <c r="AD1796" s="10"/>
      <c r="AE1796" s="10"/>
      <c r="AF1796" s="10"/>
      <c r="AG1796" s="10"/>
      <c r="AH1796" s="10"/>
      <c r="AI1796" s="10"/>
    </row>
    <row r="1797" spans="1:35">
      <c r="A1797" s="10"/>
      <c r="B1797" s="10" t="str">
        <f t="shared" si="734"/>
        <v>Below the LineSHOOT</v>
      </c>
      <c r="C1797" t="s">
        <v>20</v>
      </c>
      <c r="D1797" t="s">
        <v>19</v>
      </c>
      <c r="E1797" t="s">
        <v>236</v>
      </c>
      <c r="G1797" t="s">
        <v>2854</v>
      </c>
      <c r="I1797" s="10"/>
      <c r="J1797" s="107">
        <f>SUMIF(Data!C:C,G1797,Data!Q:Q)</f>
        <v>209000</v>
      </c>
      <c r="K1797" s="107">
        <f>SUMIF(Comprometidos!A:A,'Cost Report'!G1797,Comprometidos!E:E)</f>
        <v>0</v>
      </c>
      <c r="L1797" s="107">
        <f t="shared" si="721"/>
        <v>209000</v>
      </c>
      <c r="M1797" s="107">
        <v>0</v>
      </c>
      <c r="N1797" s="107">
        <f t="shared" si="723"/>
        <v>209000</v>
      </c>
      <c r="O1797" s="107">
        <f>VLOOKUP(G1797,Budget!$E$3:$G$2474,3,0)</f>
        <v>161000</v>
      </c>
      <c r="P1797" s="107">
        <f t="shared" si="724"/>
        <v>-48000</v>
      </c>
      <c r="Q1797" s="107"/>
      <c r="R1797" s="10"/>
      <c r="S1797" s="107">
        <v>209000</v>
      </c>
      <c r="T1797" s="107">
        <f t="shared" si="708"/>
        <v>0</v>
      </c>
      <c r="U1797" s="107"/>
      <c r="V1797" s="175"/>
      <c r="W1797" s="10"/>
      <c r="X1797" s="10"/>
      <c r="Y1797" t="str">
        <f t="shared" si="735"/>
        <v>3583</v>
      </c>
      <c r="AB1797" s="10"/>
      <c r="AC1797" s="10"/>
      <c r="AD1797" s="10"/>
      <c r="AE1797" s="10"/>
      <c r="AF1797" s="10"/>
      <c r="AG1797" s="10"/>
      <c r="AH1797" s="10"/>
      <c r="AI1797" s="10"/>
    </row>
    <row r="1798" spans="1:35">
      <c r="A1798" s="10"/>
      <c r="B1798" s="10"/>
      <c r="C1798" s="170" t="s">
        <v>20</v>
      </c>
      <c r="D1798" s="170" t="s">
        <v>8</v>
      </c>
      <c r="E1798" s="170"/>
      <c r="F1798" s="170"/>
      <c r="G1798" s="170" t="s">
        <v>1023</v>
      </c>
      <c r="H1798" s="170"/>
      <c r="I1798" s="10"/>
      <c r="J1798" s="169">
        <f>SUMIF($AA$10:$AA$2484,G1798,J$10:J$2484)</f>
        <v>7730090.8590000011</v>
      </c>
      <c r="K1798" s="169">
        <f>SUMIF($AA$10:$AA$2484,G1798,K$10:K$2484)</f>
        <v>0</v>
      </c>
      <c r="L1798" s="169">
        <f>SUMIF($AA$10:$AA$2484,G1798,L$10:L$2484)</f>
        <v>7730090.8590000011</v>
      </c>
      <c r="M1798" s="169">
        <f>SUMIF($AA$10:$AA$2484,G1798,M$10:M$2484)</f>
        <v>0</v>
      </c>
      <c r="N1798" s="169">
        <f>SUMIF($AA$10:$AA$2484,G1798,N$10:N$2484)</f>
        <v>7730090.8590000011</v>
      </c>
      <c r="O1798" s="169">
        <f>SUMIF($AA$10:$AA$2484,G1798,O$10:O$2484)</f>
        <v>7591103.1200000001</v>
      </c>
      <c r="P1798" s="168">
        <f>SUMIF($AA$10:$AA$2484,G1798,P$10:P$2484)</f>
        <v>-138987.73900000006</v>
      </c>
      <c r="Q1798" s="169"/>
      <c r="R1798" s="10"/>
      <c r="S1798" s="164">
        <v>7729523.8000000007</v>
      </c>
      <c r="T1798" s="164">
        <f t="shared" si="708"/>
        <v>-567.05900000035763</v>
      </c>
      <c r="U1798" s="163"/>
      <c r="V1798" s="175"/>
      <c r="W1798" s="10"/>
      <c r="X1798" s="10"/>
      <c r="AB1798" s="10"/>
      <c r="AC1798" s="10"/>
      <c r="AD1798" s="10"/>
      <c r="AE1798" s="10"/>
      <c r="AF1798" s="10"/>
      <c r="AG1798" s="10"/>
      <c r="AH1798" s="10"/>
      <c r="AI1798" s="10"/>
    </row>
    <row r="1799" spans="1:35">
      <c r="A1799" s="10"/>
      <c r="B1799" s="10" t="str">
        <f>+C1799</f>
        <v>Below the Line</v>
      </c>
      <c r="C1799" s="128" t="s">
        <v>20</v>
      </c>
      <c r="D1799" s="128" t="s">
        <v>2117</v>
      </c>
      <c r="E1799" s="128"/>
      <c r="F1799" s="128"/>
      <c r="G1799" s="128" t="s">
        <v>1024</v>
      </c>
      <c r="H1799" s="128"/>
      <c r="I1799" s="10"/>
      <c r="J1799" s="129">
        <f>SUMIF($Y$11:$Y$2484,G1799,J$11:J$2484)</f>
        <v>96000</v>
      </c>
      <c r="K1799" s="129">
        <f>SUMIF($Y$11:$Y$2484,G1799,K$11:K$2484)</f>
        <v>0</v>
      </c>
      <c r="L1799" s="129">
        <f>SUMIF($Y$11:$Y$2484,G1799,L$11:L$2484)</f>
        <v>96000</v>
      </c>
      <c r="M1799" s="129">
        <f>SUMIF($Y$11:$Y$2484,G1799,M$11:M$2484)</f>
        <v>0</v>
      </c>
      <c r="N1799" s="129">
        <f>SUMIF($Y$11:$Y$2484,G1799,N$11:N$2484)</f>
        <v>96000</v>
      </c>
      <c r="O1799" s="129">
        <f>SUMIF($Y$11:$Y$2484,G1799,O$11:O$2484)</f>
        <v>128000</v>
      </c>
      <c r="P1799" s="129">
        <f>SUMIF($Y$11:$Y$2484,G1799,P$11:P$2484)</f>
        <v>32000</v>
      </c>
      <c r="Q1799" s="129"/>
      <c r="R1799" s="10"/>
      <c r="S1799" s="129">
        <v>96000</v>
      </c>
      <c r="T1799" s="129">
        <f t="shared" si="708"/>
        <v>0</v>
      </c>
      <c r="U1799" s="128"/>
      <c r="V1799" s="175"/>
      <c r="W1799" s="10"/>
      <c r="X1799" s="10"/>
      <c r="Z1799" t="str">
        <f>LEFT(G1799,2)</f>
        <v>36</v>
      </c>
      <c r="AA1799" t="str">
        <f>+Z1799&amp;"00"</f>
        <v>3600</v>
      </c>
      <c r="AB1799" s="10"/>
      <c r="AC1799" s="10"/>
      <c r="AD1799" s="10"/>
      <c r="AE1799" s="10"/>
      <c r="AF1799" s="10"/>
      <c r="AG1799" s="10"/>
      <c r="AH1799" s="10"/>
      <c r="AI1799" s="10"/>
    </row>
    <row r="1800" spans="1:35">
      <c r="A1800" s="10"/>
      <c r="B1800" s="10" t="str">
        <f t="shared" ref="B1800:B1807" si="736">+C1800&amp;E1800</f>
        <v>Below the Line</v>
      </c>
      <c r="C1800" t="s">
        <v>20</v>
      </c>
      <c r="D1800" t="s">
        <v>19</v>
      </c>
      <c r="E1800" t="s">
        <v>214</v>
      </c>
      <c r="G1800" t="s">
        <v>1025</v>
      </c>
      <c r="I1800" s="10"/>
      <c r="J1800" s="107">
        <f>SUMIF(Data!C:C,G1800,Data!Q:Q)</f>
        <v>0</v>
      </c>
      <c r="K1800" s="107">
        <f>SUMIF(Comprometidos!A:A,'Cost Report'!G1800,Comprometidos!E:E)</f>
        <v>0</v>
      </c>
      <c r="L1800" s="107">
        <f t="shared" si="721"/>
        <v>0</v>
      </c>
      <c r="M1800" s="107">
        <f t="shared" si="722"/>
        <v>0</v>
      </c>
      <c r="N1800" s="107">
        <f t="shared" si="723"/>
        <v>0</v>
      </c>
      <c r="O1800" s="107">
        <f>VLOOKUP(G1800,Budget!$E$3:$G$2474,3,0)</f>
        <v>0</v>
      </c>
      <c r="P1800" s="107">
        <f t="shared" si="724"/>
        <v>0</v>
      </c>
      <c r="Q1800" s="107"/>
      <c r="R1800" s="10"/>
      <c r="S1800" s="107">
        <v>0</v>
      </c>
      <c r="T1800" s="107">
        <f t="shared" si="708"/>
        <v>0</v>
      </c>
      <c r="U1800" s="107"/>
      <c r="V1800" s="175"/>
      <c r="W1800" s="10"/>
      <c r="X1800" s="10"/>
      <c r="Y1800" t="str">
        <f t="shared" ref="Y1800:Y1807" si="737">LEFT(G1800,4)</f>
        <v>3601</v>
      </c>
      <c r="AB1800" s="10"/>
      <c r="AC1800" s="10"/>
      <c r="AD1800" s="10"/>
      <c r="AE1800" s="10"/>
      <c r="AF1800" s="10"/>
      <c r="AG1800" s="10"/>
      <c r="AH1800" s="10"/>
      <c r="AI1800" s="10"/>
    </row>
    <row r="1801" spans="1:35">
      <c r="A1801" s="10"/>
      <c r="B1801" s="10" t="str">
        <f t="shared" si="736"/>
        <v>Below the LinePREP</v>
      </c>
      <c r="C1801" t="s">
        <v>20</v>
      </c>
      <c r="D1801" t="s">
        <v>19</v>
      </c>
      <c r="E1801" t="s">
        <v>234</v>
      </c>
      <c r="G1801" t="s">
        <v>1026</v>
      </c>
      <c r="I1801" s="10"/>
      <c r="J1801" s="107">
        <f>SUMIF(Data!C:C,G1801,Data!Q:Q)</f>
        <v>24000</v>
      </c>
      <c r="K1801" s="107">
        <f>SUMIF(Comprometidos!A:A,'Cost Report'!G1801,Comprometidos!E:E)</f>
        <v>0</v>
      </c>
      <c r="L1801" s="107">
        <f t="shared" si="721"/>
        <v>24000</v>
      </c>
      <c r="M1801" s="107">
        <f t="shared" si="722"/>
        <v>0</v>
      </c>
      <c r="N1801" s="107">
        <f t="shared" si="723"/>
        <v>24000</v>
      </c>
      <c r="O1801" s="107">
        <f>VLOOKUP(G1801,Budget!$E$3:$G$2474,3,0)</f>
        <v>24000</v>
      </c>
      <c r="P1801" s="107">
        <f t="shared" si="724"/>
        <v>0</v>
      </c>
      <c r="Q1801" s="107"/>
      <c r="R1801" s="10"/>
      <c r="S1801" s="107">
        <v>24000</v>
      </c>
      <c r="T1801" s="107">
        <f t="shared" si="708"/>
        <v>0</v>
      </c>
      <c r="U1801" s="107"/>
      <c r="V1801" s="175"/>
      <c r="W1801" s="10"/>
      <c r="X1801" s="10"/>
      <c r="Y1801" t="str">
        <f t="shared" si="737"/>
        <v>3601</v>
      </c>
      <c r="AB1801" s="10"/>
      <c r="AC1801" s="10"/>
      <c r="AD1801" s="10"/>
      <c r="AE1801" s="10"/>
      <c r="AF1801" s="10"/>
      <c r="AG1801" s="10"/>
      <c r="AH1801" s="10"/>
      <c r="AI1801" s="10"/>
    </row>
    <row r="1802" spans="1:35">
      <c r="A1802" s="10"/>
      <c r="B1802" s="10" t="str">
        <f t="shared" si="736"/>
        <v>Below the LineSHOOT</v>
      </c>
      <c r="C1802" t="s">
        <v>20</v>
      </c>
      <c r="D1802" t="s">
        <v>19</v>
      </c>
      <c r="E1802" t="s">
        <v>236</v>
      </c>
      <c r="G1802" t="s">
        <v>1027</v>
      </c>
      <c r="I1802" s="10"/>
      <c r="J1802" s="107">
        <f>SUMIF(Data!C:C,G1802,Data!Q:Q)</f>
        <v>56000</v>
      </c>
      <c r="K1802" s="107">
        <f>SUMIF(Comprometidos!A:A,'Cost Report'!G1802,Comprometidos!E:E)</f>
        <v>0</v>
      </c>
      <c r="L1802" s="107">
        <f t="shared" si="721"/>
        <v>56000</v>
      </c>
      <c r="M1802" s="107">
        <f t="shared" si="722"/>
        <v>0</v>
      </c>
      <c r="N1802" s="107">
        <f t="shared" si="723"/>
        <v>56000</v>
      </c>
      <c r="O1802" s="107">
        <f>VLOOKUP(G1802,Budget!$E$3:$G$2474,3,0)</f>
        <v>56000</v>
      </c>
      <c r="P1802" s="107">
        <f t="shared" si="724"/>
        <v>0</v>
      </c>
      <c r="Q1802" s="107"/>
      <c r="R1802" s="10"/>
      <c r="S1802" s="107">
        <v>56000</v>
      </c>
      <c r="T1802" s="107">
        <f t="shared" si="708"/>
        <v>0</v>
      </c>
      <c r="U1802" s="107"/>
      <c r="V1802" s="175"/>
      <c r="W1802" s="10"/>
      <c r="X1802" s="10"/>
      <c r="Y1802" t="str">
        <f t="shared" si="737"/>
        <v>3601</v>
      </c>
      <c r="AB1802" s="10"/>
      <c r="AC1802" s="10"/>
      <c r="AD1802" s="10"/>
      <c r="AE1802" s="10"/>
      <c r="AF1802" s="10"/>
      <c r="AG1802" s="10"/>
      <c r="AH1802" s="10"/>
      <c r="AI1802" s="10"/>
    </row>
    <row r="1803" spans="1:35">
      <c r="A1803" s="10"/>
      <c r="B1803" s="10" t="str">
        <f t="shared" si="736"/>
        <v>Below the LineWRAP</v>
      </c>
      <c r="C1803" t="s">
        <v>20</v>
      </c>
      <c r="D1803" t="s">
        <v>19</v>
      </c>
      <c r="E1803" t="s">
        <v>238</v>
      </c>
      <c r="G1803" t="s">
        <v>1028</v>
      </c>
      <c r="I1803" s="10"/>
      <c r="J1803" s="107">
        <f>SUMIF(Data!C:C,G1803,Data!Q:Q)</f>
        <v>16000</v>
      </c>
      <c r="K1803" s="107">
        <f>SUMIF(Comprometidos!A:A,'Cost Report'!G1803,Comprometidos!E:E)</f>
        <v>0</v>
      </c>
      <c r="L1803" s="107">
        <f t="shared" si="721"/>
        <v>16000</v>
      </c>
      <c r="M1803" s="107">
        <f t="shared" si="722"/>
        <v>0</v>
      </c>
      <c r="N1803" s="107">
        <f t="shared" si="723"/>
        <v>16000</v>
      </c>
      <c r="O1803" s="107">
        <f>VLOOKUP(G1803,Budget!$E$3:$G$2474,3,0)</f>
        <v>16000</v>
      </c>
      <c r="P1803" s="107">
        <f t="shared" si="724"/>
        <v>0</v>
      </c>
      <c r="Q1803" s="107"/>
      <c r="R1803" s="10"/>
      <c r="S1803" s="107">
        <v>16000</v>
      </c>
      <c r="T1803" s="107">
        <f t="shared" si="708"/>
        <v>0</v>
      </c>
      <c r="U1803" s="107"/>
      <c r="V1803" s="175"/>
      <c r="W1803" s="10"/>
      <c r="X1803" s="10"/>
      <c r="Y1803" t="str">
        <f t="shared" si="737"/>
        <v>3601</v>
      </c>
      <c r="AB1803" s="10"/>
      <c r="AC1803" s="10"/>
      <c r="AD1803" s="10"/>
      <c r="AE1803" s="10"/>
      <c r="AF1803" s="10"/>
      <c r="AG1803" s="10"/>
      <c r="AH1803" s="10"/>
      <c r="AI1803" s="10"/>
    </row>
    <row r="1804" spans="1:35">
      <c r="A1804" s="10"/>
      <c r="B1804" s="10" t="str">
        <f t="shared" si="736"/>
        <v>Below the Line</v>
      </c>
      <c r="C1804" t="s">
        <v>20</v>
      </c>
      <c r="D1804" t="s">
        <v>19</v>
      </c>
      <c r="E1804" t="s">
        <v>214</v>
      </c>
      <c r="G1804" t="s">
        <v>1029</v>
      </c>
      <c r="I1804" s="10"/>
      <c r="J1804" s="107">
        <f>SUMIF(Data!C:C,G1804,Data!Q:Q)</f>
        <v>0</v>
      </c>
      <c r="K1804" s="107">
        <f>SUMIF(Comprometidos!A:A,'Cost Report'!G1804,Comprometidos!E:E)</f>
        <v>0</v>
      </c>
      <c r="L1804" s="107">
        <f t="shared" si="721"/>
        <v>0</v>
      </c>
      <c r="M1804" s="107">
        <f t="shared" si="722"/>
        <v>0</v>
      </c>
      <c r="N1804" s="107">
        <f t="shared" si="723"/>
        <v>0</v>
      </c>
      <c r="O1804" s="107">
        <f>VLOOKUP(G1804,Budget!$E$3:$G$2474,3,0)</f>
        <v>0</v>
      </c>
      <c r="P1804" s="107">
        <f t="shared" si="724"/>
        <v>0</v>
      </c>
      <c r="Q1804" s="107"/>
      <c r="R1804" s="10"/>
      <c r="S1804" s="107">
        <v>0</v>
      </c>
      <c r="T1804" s="107">
        <f t="shared" si="708"/>
        <v>0</v>
      </c>
      <c r="U1804" s="107"/>
      <c r="V1804" s="175"/>
      <c r="W1804" s="10"/>
      <c r="X1804" s="10"/>
      <c r="Y1804" t="str">
        <f t="shared" si="737"/>
        <v>3601</v>
      </c>
      <c r="AB1804" s="10"/>
      <c r="AC1804" s="10"/>
      <c r="AD1804" s="10"/>
      <c r="AE1804" s="10"/>
      <c r="AF1804" s="10"/>
      <c r="AG1804" s="10"/>
      <c r="AH1804" s="10"/>
      <c r="AI1804" s="10"/>
    </row>
    <row r="1805" spans="1:35">
      <c r="A1805" s="10"/>
      <c r="B1805" s="10" t="str">
        <f t="shared" si="736"/>
        <v>Below the Line2nd Unit</v>
      </c>
      <c r="C1805" t="s">
        <v>20</v>
      </c>
      <c r="D1805" t="s">
        <v>19</v>
      </c>
      <c r="E1805" t="s">
        <v>1419</v>
      </c>
      <c r="G1805" t="s">
        <v>2855</v>
      </c>
      <c r="I1805" s="10"/>
      <c r="J1805" s="107">
        <f>SUMIF(Data!C:C,G1805,Data!Q:Q)</f>
        <v>0</v>
      </c>
      <c r="K1805" s="107">
        <f>SUMIF(Comprometidos!A:A,'Cost Report'!G1805,Comprometidos!E:E)</f>
        <v>0</v>
      </c>
      <c r="L1805" s="107">
        <f t="shared" si="721"/>
        <v>0</v>
      </c>
      <c r="M1805" s="107">
        <v>0</v>
      </c>
      <c r="N1805" s="107">
        <f t="shared" si="723"/>
        <v>0</v>
      </c>
      <c r="O1805" s="107">
        <f>VLOOKUP(G1805,Budget!$E$3:$G$2474,3,0)</f>
        <v>8000</v>
      </c>
      <c r="P1805" s="107">
        <f t="shared" si="724"/>
        <v>8000</v>
      </c>
      <c r="Q1805" s="107"/>
      <c r="R1805" s="10"/>
      <c r="S1805" s="107">
        <v>0</v>
      </c>
      <c r="T1805" s="107">
        <f t="shared" si="708"/>
        <v>0</v>
      </c>
      <c r="U1805" s="107"/>
      <c r="V1805" s="175"/>
      <c r="W1805" s="10"/>
      <c r="X1805" s="10"/>
      <c r="Y1805" t="str">
        <f t="shared" si="737"/>
        <v>3601</v>
      </c>
      <c r="AB1805" s="10"/>
      <c r="AC1805" s="10"/>
      <c r="AD1805" s="10"/>
      <c r="AE1805" s="10"/>
      <c r="AF1805" s="10"/>
      <c r="AG1805" s="10"/>
      <c r="AH1805" s="10"/>
      <c r="AI1805" s="10"/>
    </row>
    <row r="1806" spans="1:35">
      <c r="A1806" s="10"/>
      <c r="B1806" s="10" t="str">
        <f t="shared" si="736"/>
        <v>Below the Line2nd Unit</v>
      </c>
      <c r="C1806" t="s">
        <v>20</v>
      </c>
      <c r="D1806" t="s">
        <v>19</v>
      </c>
      <c r="E1806" t="s">
        <v>1419</v>
      </c>
      <c r="G1806" t="s">
        <v>2856</v>
      </c>
      <c r="I1806" s="10"/>
      <c r="J1806" s="107">
        <f>SUMIF(Data!C:C,G1806,Data!Q:Q)</f>
        <v>0</v>
      </c>
      <c r="K1806" s="107">
        <f>SUMIF(Comprometidos!A:A,'Cost Report'!G1806,Comprometidos!E:E)</f>
        <v>0</v>
      </c>
      <c r="L1806" s="107">
        <f t="shared" si="721"/>
        <v>0</v>
      </c>
      <c r="M1806" s="107">
        <v>0</v>
      </c>
      <c r="N1806" s="107">
        <f t="shared" si="723"/>
        <v>0</v>
      </c>
      <c r="O1806" s="107">
        <f>VLOOKUP(G1806,Budget!$E$3:$G$2474,3,0)</f>
        <v>16000</v>
      </c>
      <c r="P1806" s="107">
        <f t="shared" si="724"/>
        <v>16000</v>
      </c>
      <c r="Q1806" s="107"/>
      <c r="R1806" s="10"/>
      <c r="S1806" s="107">
        <v>0</v>
      </c>
      <c r="T1806" s="107">
        <f t="shared" si="708"/>
        <v>0</v>
      </c>
      <c r="U1806" s="107"/>
      <c r="V1806" s="175"/>
      <c r="W1806" s="10"/>
      <c r="X1806" s="10"/>
      <c r="Y1806" t="str">
        <f t="shared" si="737"/>
        <v>3601</v>
      </c>
      <c r="AB1806" s="10"/>
      <c r="AC1806" s="10"/>
      <c r="AD1806" s="10"/>
      <c r="AE1806" s="10"/>
      <c r="AF1806" s="10"/>
      <c r="AG1806" s="10"/>
      <c r="AH1806" s="10"/>
      <c r="AI1806" s="10"/>
    </row>
    <row r="1807" spans="1:35">
      <c r="A1807" s="10"/>
      <c r="B1807" s="10" t="str">
        <f t="shared" si="736"/>
        <v>Below the Line2nd Unit</v>
      </c>
      <c r="C1807" t="s">
        <v>20</v>
      </c>
      <c r="D1807" t="s">
        <v>19</v>
      </c>
      <c r="E1807" t="s">
        <v>1419</v>
      </c>
      <c r="G1807" t="s">
        <v>2857</v>
      </c>
      <c r="I1807" s="10"/>
      <c r="J1807" s="107">
        <f>SUMIF(Data!C:C,G1807,Data!Q:Q)</f>
        <v>0</v>
      </c>
      <c r="K1807" s="107">
        <f>SUMIF(Comprometidos!A:A,'Cost Report'!G1807,Comprometidos!E:E)</f>
        <v>0</v>
      </c>
      <c r="L1807" s="107">
        <f t="shared" si="721"/>
        <v>0</v>
      </c>
      <c r="M1807" s="107">
        <v>0</v>
      </c>
      <c r="N1807" s="107">
        <f t="shared" si="723"/>
        <v>0</v>
      </c>
      <c r="O1807" s="107">
        <f>VLOOKUP(G1807,Budget!$E$3:$G$2474,3,0)</f>
        <v>8000</v>
      </c>
      <c r="P1807" s="107">
        <f t="shared" si="724"/>
        <v>8000</v>
      </c>
      <c r="Q1807" s="107"/>
      <c r="R1807" s="10"/>
      <c r="S1807" s="107">
        <v>0</v>
      </c>
      <c r="T1807" s="107">
        <f t="shared" si="708"/>
        <v>0</v>
      </c>
      <c r="U1807" s="107"/>
      <c r="V1807" s="175"/>
      <c r="W1807" s="10"/>
      <c r="X1807" s="10"/>
      <c r="Y1807" t="str">
        <f t="shared" si="737"/>
        <v>3601</v>
      </c>
      <c r="AB1807" s="10"/>
      <c r="AC1807" s="10"/>
      <c r="AD1807" s="10"/>
      <c r="AE1807" s="10"/>
      <c r="AF1807" s="10"/>
      <c r="AG1807" s="10"/>
      <c r="AH1807" s="10"/>
      <c r="AI1807" s="10"/>
    </row>
    <row r="1808" spans="1:35">
      <c r="A1808" s="10"/>
      <c r="B1808" s="10" t="str">
        <f>+C1808</f>
        <v>Below the Line</v>
      </c>
      <c r="C1808" s="128" t="s">
        <v>20</v>
      </c>
      <c r="D1808" s="128" t="s">
        <v>2117</v>
      </c>
      <c r="E1808" s="128"/>
      <c r="F1808" s="128"/>
      <c r="G1808" s="128" t="s">
        <v>2858</v>
      </c>
      <c r="H1808" s="128"/>
      <c r="I1808" s="10"/>
      <c r="J1808" s="129">
        <f>SUMIF($Y$11:$Y$2484,G1808,J$11:J$2484)</f>
        <v>110242.10000000003</v>
      </c>
      <c r="K1808" s="129">
        <f>SUMIF($Y$11:$Y$2484,G1808,K$11:K$2484)</f>
        <v>0</v>
      </c>
      <c r="L1808" s="129">
        <f>SUMIF($Y$11:$Y$2484,G1808,L$11:L$2484)</f>
        <v>110242.10000000003</v>
      </c>
      <c r="M1808" s="129">
        <f>SUMIF($Y$11:$Y$2484,G1808,M$11:M$2484)</f>
        <v>0</v>
      </c>
      <c r="N1808" s="129">
        <f>SUMIF($Y$11:$Y$2484,G1808,N$11:N$2484)</f>
        <v>110242.10000000003</v>
      </c>
      <c r="O1808" s="129">
        <f>SUMIF($Y$11:$Y$2484,G1808,O$11:O$2484)</f>
        <v>235000</v>
      </c>
      <c r="P1808" s="129">
        <f>SUMIF($Y$11:$Y$2484,G1808,P$11:P$2484)</f>
        <v>124757.89999999998</v>
      </c>
      <c r="Q1808" s="129"/>
      <c r="R1808" s="10"/>
      <c r="S1808" s="129">
        <v>109505.00000000003</v>
      </c>
      <c r="T1808" s="129">
        <f t="shared" si="708"/>
        <v>-737.10000000000582</v>
      </c>
      <c r="U1808" s="128"/>
      <c r="V1808" s="175"/>
      <c r="W1808" s="10"/>
      <c r="X1808" s="10"/>
      <c r="Z1808" t="str">
        <f>LEFT(G1808,2)</f>
        <v>36</v>
      </c>
      <c r="AA1808" t="str">
        <f>+Z1808&amp;"00"</f>
        <v>3600</v>
      </c>
      <c r="AB1808" s="10"/>
      <c r="AC1808" s="10"/>
      <c r="AD1808" s="10"/>
      <c r="AE1808" s="10"/>
      <c r="AF1808" s="10"/>
      <c r="AG1808" s="10"/>
      <c r="AH1808" s="10"/>
      <c r="AI1808" s="10"/>
    </row>
    <row r="1809" spans="1:35">
      <c r="A1809" s="10"/>
      <c r="B1809" s="10" t="str">
        <f t="shared" ref="B1809:B1812" si="738">+C1809&amp;E1809</f>
        <v>Below the Line</v>
      </c>
      <c r="C1809" t="s">
        <v>20</v>
      </c>
      <c r="D1809" t="s">
        <v>19</v>
      </c>
      <c r="E1809" t="s">
        <v>214</v>
      </c>
      <c r="G1809" t="s">
        <v>2859</v>
      </c>
      <c r="I1809" s="10"/>
      <c r="J1809" s="107">
        <f>SUMIF(Data!C:C,G1809,Data!Q:Q)</f>
        <v>0</v>
      </c>
      <c r="K1809" s="107">
        <f>SUMIF(Comprometidos!A:A,'Cost Report'!G1809,Comprometidos!E:E)</f>
        <v>0</v>
      </c>
      <c r="L1809" s="107">
        <f t="shared" si="721"/>
        <v>0</v>
      </c>
      <c r="M1809" s="107">
        <f t="shared" si="722"/>
        <v>0</v>
      </c>
      <c r="N1809" s="107">
        <f t="shared" si="723"/>
        <v>0</v>
      </c>
      <c r="O1809" s="107">
        <f>VLOOKUP(G1809,Budget!$E$3:$G$2474,3,0)</f>
        <v>0</v>
      </c>
      <c r="P1809" s="107">
        <f t="shared" si="724"/>
        <v>0</v>
      </c>
      <c r="Q1809" s="107"/>
      <c r="R1809" s="10"/>
      <c r="S1809" s="107">
        <v>0</v>
      </c>
      <c r="T1809" s="107">
        <f t="shared" si="708"/>
        <v>0</v>
      </c>
      <c r="U1809" s="107"/>
      <c r="V1809" s="175"/>
      <c r="W1809" s="10"/>
      <c r="X1809" s="10"/>
      <c r="Y1809" t="str">
        <f t="shared" ref="Y1809:Y1811" si="739">LEFT(G1809,4)</f>
        <v>3629</v>
      </c>
      <c r="AB1809" s="10"/>
      <c r="AC1809" s="10"/>
      <c r="AD1809" s="10"/>
      <c r="AE1809" s="10"/>
      <c r="AF1809" s="10"/>
      <c r="AG1809" s="10"/>
      <c r="AH1809" s="10"/>
      <c r="AI1809" s="10"/>
    </row>
    <row r="1810" spans="1:35">
      <c r="A1810" s="10"/>
      <c r="B1810" s="10" t="str">
        <f t="shared" si="738"/>
        <v>Below the LineSHOOT</v>
      </c>
      <c r="C1810" t="s">
        <v>20</v>
      </c>
      <c r="D1810" t="s">
        <v>19</v>
      </c>
      <c r="E1810" t="s">
        <v>236</v>
      </c>
      <c r="F1810" t="s">
        <v>5116</v>
      </c>
      <c r="G1810" t="s">
        <v>2860</v>
      </c>
      <c r="I1810" s="10"/>
      <c r="J1810" s="107">
        <f>SUMIF(Data!C:C,G1810,Data!Q:Q)</f>
        <v>29057.030000000006</v>
      </c>
      <c r="K1810" s="107">
        <f>SUMIF(Comprometidos!A:A,'Cost Report'!G1810,Comprometidos!E:E)</f>
        <v>0</v>
      </c>
      <c r="L1810" s="107">
        <f t="shared" si="721"/>
        <v>29057.030000000006</v>
      </c>
      <c r="M1810" s="107">
        <v>0</v>
      </c>
      <c r="N1810" s="107">
        <f t="shared" si="723"/>
        <v>29057.030000000006</v>
      </c>
      <c r="O1810" s="107">
        <f>VLOOKUP(G1810,Budget!$E$3:$G$2474,3,0)</f>
        <v>145000</v>
      </c>
      <c r="P1810" s="107">
        <f t="shared" si="724"/>
        <v>115942.97</v>
      </c>
      <c r="Q1810" s="107"/>
      <c r="R1810" s="10"/>
      <c r="S1810" s="107">
        <v>28679.93</v>
      </c>
      <c r="T1810" s="107">
        <f t="shared" si="708"/>
        <v>-377.10000000000582</v>
      </c>
      <c r="U1810" s="107"/>
      <c r="V1810" s="175"/>
      <c r="W1810" s="10"/>
      <c r="X1810" s="10"/>
      <c r="Y1810" t="str">
        <f t="shared" si="739"/>
        <v>3629</v>
      </c>
      <c r="AB1810" s="10"/>
      <c r="AC1810" s="10"/>
      <c r="AD1810" s="10"/>
      <c r="AE1810" s="10"/>
      <c r="AF1810" s="10"/>
      <c r="AG1810" s="10"/>
      <c r="AH1810" s="10"/>
      <c r="AI1810" s="10"/>
    </row>
    <row r="1811" spans="1:35">
      <c r="A1811" s="10"/>
      <c r="B1811" s="10" t="str">
        <f t="shared" si="738"/>
        <v>Below the Line2nd Unit</v>
      </c>
      <c r="C1811" t="s">
        <v>20</v>
      </c>
      <c r="D1811" t="s">
        <v>19</v>
      </c>
      <c r="E1811" t="s">
        <v>1419</v>
      </c>
      <c r="F1811" t="s">
        <v>5116</v>
      </c>
      <c r="G1811" t="s">
        <v>2861</v>
      </c>
      <c r="I1811" s="10"/>
      <c r="J1811" s="107">
        <f>SUMIF(Data!C:C,G1811,Data!Q:Q)</f>
        <v>11484.59</v>
      </c>
      <c r="K1811" s="107">
        <f>SUMIF(Comprometidos!A:A,'Cost Report'!G1811,Comprometidos!E:E)</f>
        <v>0</v>
      </c>
      <c r="L1811" s="107">
        <f t="shared" si="721"/>
        <v>11484.59</v>
      </c>
      <c r="M1811" s="107">
        <v>0</v>
      </c>
      <c r="N1811" s="107">
        <f t="shared" si="723"/>
        <v>11484.59</v>
      </c>
      <c r="O1811" s="107">
        <f>VLOOKUP(G1811,Budget!$E$3:$G$2474,3,0)</f>
        <v>90000</v>
      </c>
      <c r="P1811" s="107">
        <f t="shared" si="724"/>
        <v>78515.41</v>
      </c>
      <c r="Q1811" s="107"/>
      <c r="R1811" s="10"/>
      <c r="S1811" s="107">
        <v>11484.59</v>
      </c>
      <c r="T1811" s="107">
        <f t="shared" si="708"/>
        <v>0</v>
      </c>
      <c r="U1811" s="107"/>
      <c r="V1811" s="175"/>
      <c r="W1811" s="10"/>
      <c r="X1811" s="10"/>
      <c r="Y1811" t="str">
        <f t="shared" si="739"/>
        <v>3629</v>
      </c>
      <c r="AB1811" s="10"/>
      <c r="AC1811" s="10"/>
      <c r="AD1811" s="10"/>
      <c r="AE1811" s="10"/>
      <c r="AF1811" s="10"/>
      <c r="AG1811" s="10"/>
      <c r="AH1811" s="10"/>
      <c r="AI1811" s="10"/>
    </row>
    <row r="1812" spans="1:35">
      <c r="A1812" s="10"/>
      <c r="B1812" s="10" t="str">
        <f t="shared" si="738"/>
        <v>Below the Line2nd Unit</v>
      </c>
      <c r="C1812" t="s">
        <v>20</v>
      </c>
      <c r="D1812" t="s">
        <v>19</v>
      </c>
      <c r="E1812" t="s">
        <v>1419</v>
      </c>
      <c r="G1812" t="s">
        <v>3415</v>
      </c>
      <c r="I1812" s="10"/>
      <c r="J1812" s="107">
        <f>SUMIF(Data!C:C,G1812,Data!Q:Q)</f>
        <v>69700.480000000025</v>
      </c>
      <c r="K1812" s="107">
        <f>SUMIF(Comprometidos!A:A,'Cost Report'!G1812,Comprometidos!E:E)</f>
        <v>0</v>
      </c>
      <c r="L1812" s="107">
        <f t="shared" ref="L1812" si="740">+J1812+K1812</f>
        <v>69700.480000000025</v>
      </c>
      <c r="M1812" s="107">
        <v>0</v>
      </c>
      <c r="N1812" s="107">
        <f t="shared" ref="N1812" si="741">+L1812+M1812</f>
        <v>69700.480000000025</v>
      </c>
      <c r="O1812" s="107">
        <f>VLOOKUP(G1812,Budget!$E$3:$G$2474,3,0)</f>
        <v>0</v>
      </c>
      <c r="P1812" s="107">
        <f t="shared" ref="P1812" si="742">+O1812-N1812</f>
        <v>-69700.480000000025</v>
      </c>
      <c r="Q1812" s="107"/>
      <c r="R1812" s="10"/>
      <c r="S1812" s="107">
        <v>69340.480000000025</v>
      </c>
      <c r="T1812" s="107">
        <f t="shared" ref="T1812" si="743">+S1812-N1812</f>
        <v>-360</v>
      </c>
      <c r="U1812" s="107"/>
      <c r="V1812" s="175"/>
      <c r="W1812" s="10"/>
      <c r="X1812" s="10"/>
      <c r="Y1812" t="str">
        <f t="shared" ref="Y1812" si="744">LEFT(G1812,4)</f>
        <v>3629</v>
      </c>
      <c r="AB1812" s="10"/>
      <c r="AC1812" s="10"/>
      <c r="AD1812" s="10"/>
      <c r="AE1812" s="10"/>
      <c r="AF1812" s="10"/>
      <c r="AG1812" s="10"/>
      <c r="AH1812" s="10"/>
      <c r="AI1812" s="10"/>
    </row>
    <row r="1813" spans="1:35">
      <c r="A1813" s="10"/>
      <c r="B1813" s="10" t="str">
        <f>+C1813</f>
        <v>Below the Line</v>
      </c>
      <c r="C1813" s="128" t="s">
        <v>20</v>
      </c>
      <c r="D1813" s="128" t="s">
        <v>2117</v>
      </c>
      <c r="E1813" s="128"/>
      <c r="F1813" s="128"/>
      <c r="G1813" s="128" t="s">
        <v>2862</v>
      </c>
      <c r="H1813" s="128"/>
      <c r="I1813" s="10"/>
      <c r="J1813" s="129">
        <f>SUMIF($Y$11:$Y$2484,G1813,J$11:J$2484)</f>
        <v>1327324.3590000002</v>
      </c>
      <c r="K1813" s="129">
        <f>SUMIF($Y$11:$Y$2484,G1813,K$11:K$2484)</f>
        <v>0</v>
      </c>
      <c r="L1813" s="129">
        <f>SUMIF($Y$11:$Y$2484,G1813,L$11:L$2484)</f>
        <v>1327324.3590000002</v>
      </c>
      <c r="M1813" s="129">
        <f>SUMIF($Y$11:$Y$2484,G1813,M$11:M$2484)</f>
        <v>0</v>
      </c>
      <c r="N1813" s="129">
        <f>SUMIF($Y$11:$Y$2484,G1813,N$11:N$2484)</f>
        <v>1327324.3590000002</v>
      </c>
      <c r="O1813" s="129">
        <f>SUMIF($Y$11:$Y$2484,G1813,O$11:O$2484)</f>
        <v>1551403.12</v>
      </c>
      <c r="P1813" s="129">
        <f>SUMIF($Y$11:$Y$2484,G1813,P$11:P$2484)</f>
        <v>224078.76099999997</v>
      </c>
      <c r="Q1813" s="129"/>
      <c r="R1813" s="10"/>
      <c r="S1813" s="129">
        <v>1327494.4000000001</v>
      </c>
      <c r="T1813" s="129">
        <f t="shared" si="708"/>
        <v>170.04099999996834</v>
      </c>
      <c r="U1813" s="128"/>
      <c r="V1813" s="175"/>
      <c r="W1813" s="10"/>
      <c r="X1813" s="10"/>
      <c r="Z1813" t="str">
        <f>LEFT(G1813,2)</f>
        <v>36</v>
      </c>
      <c r="AA1813" t="str">
        <f>+Z1813&amp;"00"</f>
        <v>3600</v>
      </c>
      <c r="AB1813" s="10"/>
      <c r="AC1813" s="10"/>
      <c r="AD1813" s="10"/>
      <c r="AE1813" s="10"/>
      <c r="AF1813" s="10"/>
      <c r="AG1813" s="10"/>
      <c r="AH1813" s="10"/>
      <c r="AI1813" s="10"/>
    </row>
    <row r="1814" spans="1:35">
      <c r="A1814" s="10"/>
      <c r="B1814" s="10" t="str">
        <f t="shared" ref="B1814:B1826" si="745">+C1814&amp;E1814</f>
        <v>Below the Line</v>
      </c>
      <c r="C1814" t="s">
        <v>20</v>
      </c>
      <c r="D1814" t="s">
        <v>19</v>
      </c>
      <c r="E1814" t="s">
        <v>214</v>
      </c>
      <c r="G1814" t="s">
        <v>2863</v>
      </c>
      <c r="I1814" s="10"/>
      <c r="J1814" s="107">
        <f>SUMIF(Data!C:C,G1814,Data!Q:Q)</f>
        <v>0</v>
      </c>
      <c r="K1814" s="107">
        <f>SUMIF(Comprometidos!A:A,'Cost Report'!G1814,Comprometidos!E:E)</f>
        <v>0</v>
      </c>
      <c r="L1814" s="107">
        <f t="shared" si="721"/>
        <v>0</v>
      </c>
      <c r="M1814" s="107">
        <f t="shared" si="722"/>
        <v>0</v>
      </c>
      <c r="N1814" s="107">
        <f t="shared" si="723"/>
        <v>0</v>
      </c>
      <c r="O1814" s="107">
        <f>VLOOKUP(G1814,Budget!$E$3:$G$2474,3,0)</f>
        <v>0</v>
      </c>
      <c r="P1814" s="107">
        <f t="shared" si="724"/>
        <v>0</v>
      </c>
      <c r="Q1814" s="107"/>
      <c r="R1814" s="10"/>
      <c r="S1814" s="107">
        <v>0</v>
      </c>
      <c r="T1814" s="107">
        <f t="shared" si="708"/>
        <v>0</v>
      </c>
      <c r="U1814" s="107"/>
      <c r="V1814" s="175"/>
      <c r="W1814" s="10"/>
      <c r="X1814" s="10"/>
      <c r="Y1814" t="str">
        <f t="shared" ref="Y1814:Y1825" si="746">LEFT(G1814,4)</f>
        <v>3632</v>
      </c>
      <c r="AB1814" s="10"/>
      <c r="AC1814" s="10"/>
      <c r="AD1814" s="10"/>
      <c r="AE1814" s="10"/>
      <c r="AF1814" s="10"/>
      <c r="AG1814" s="10"/>
      <c r="AH1814" s="10"/>
      <c r="AI1814" s="10"/>
    </row>
    <row r="1815" spans="1:35">
      <c r="A1815" s="10"/>
      <c r="B1815" s="10" t="str">
        <f t="shared" si="745"/>
        <v>Below the LineSHOOT</v>
      </c>
      <c r="C1815" t="s">
        <v>20</v>
      </c>
      <c r="D1815" t="s">
        <v>19</v>
      </c>
      <c r="E1815" t="s">
        <v>236</v>
      </c>
      <c r="F1815" t="s">
        <v>5116</v>
      </c>
      <c r="G1815" t="s">
        <v>2864</v>
      </c>
      <c r="I1815" s="10"/>
      <c r="J1815" s="107">
        <f>SUMIF(Data!C:C,G1815,Data!Q:Q)</f>
        <v>785657.20000000007</v>
      </c>
      <c r="K1815" s="107">
        <f>SUMIF(Comprometidos!A:A,'Cost Report'!G1815,Comprometidos!E:E)</f>
        <v>0</v>
      </c>
      <c r="L1815" s="107">
        <f t="shared" si="721"/>
        <v>785657.20000000007</v>
      </c>
      <c r="M1815" s="107">
        <v>0</v>
      </c>
      <c r="N1815" s="107">
        <f t="shared" si="723"/>
        <v>785657.20000000007</v>
      </c>
      <c r="O1815" s="107">
        <f>VLOOKUP(G1815,Budget!$E$3:$G$2474,3,0)</f>
        <v>625000</v>
      </c>
      <c r="P1815" s="107">
        <f t="shared" si="724"/>
        <v>-160657.20000000007</v>
      </c>
      <c r="Q1815" s="107"/>
      <c r="R1815" s="10"/>
      <c r="S1815" s="107">
        <v>785657.20000000007</v>
      </c>
      <c r="T1815" s="107">
        <f t="shared" si="708"/>
        <v>0</v>
      </c>
      <c r="U1815" s="107"/>
      <c r="V1815" s="175"/>
      <c r="W1815" s="10"/>
      <c r="X1815" s="10"/>
      <c r="Y1815" t="str">
        <f t="shared" si="746"/>
        <v>3632</v>
      </c>
      <c r="AB1815" s="10"/>
      <c r="AC1815" s="10"/>
      <c r="AD1815" s="10"/>
      <c r="AE1815" s="10"/>
      <c r="AF1815" s="10"/>
      <c r="AG1815" s="10"/>
      <c r="AH1815" s="10"/>
      <c r="AI1815" s="10"/>
    </row>
    <row r="1816" spans="1:35">
      <c r="A1816" s="10"/>
      <c r="B1816" s="10" t="str">
        <f t="shared" si="745"/>
        <v>Below the LineSHOOT</v>
      </c>
      <c r="C1816" t="s">
        <v>20</v>
      </c>
      <c r="D1816" t="s">
        <v>19</v>
      </c>
      <c r="E1816" t="s">
        <v>236</v>
      </c>
      <c r="G1816" t="s">
        <v>2865</v>
      </c>
      <c r="I1816" s="10"/>
      <c r="J1816" s="107">
        <f>SUMIF(Data!C:C,G1816,Data!Q:Q)</f>
        <v>2344.9700000000003</v>
      </c>
      <c r="K1816" s="107">
        <f>SUMIF(Comprometidos!A:A,'Cost Report'!G1816,Comprometidos!E:E)</f>
        <v>0</v>
      </c>
      <c r="L1816" s="107">
        <f t="shared" si="721"/>
        <v>2344.9700000000003</v>
      </c>
      <c r="M1816" s="107">
        <v>0</v>
      </c>
      <c r="N1816" s="107">
        <f t="shared" si="723"/>
        <v>2344.9700000000003</v>
      </c>
      <c r="O1816" s="107">
        <f>VLOOKUP(G1816,Budget!$E$3:$G$2474,3,0)</f>
        <v>315000</v>
      </c>
      <c r="P1816" s="107">
        <f t="shared" si="724"/>
        <v>312655.03000000003</v>
      </c>
      <c r="Q1816" s="107"/>
      <c r="R1816" s="10"/>
      <c r="S1816" s="107">
        <v>2344.9700000000003</v>
      </c>
      <c r="T1816" s="107">
        <f>+S1816-N1816</f>
        <v>0</v>
      </c>
      <c r="U1816" s="107"/>
      <c r="V1816" s="175"/>
      <c r="W1816" s="10"/>
      <c r="X1816" s="10"/>
      <c r="Y1816" t="str">
        <f t="shared" si="746"/>
        <v>3632</v>
      </c>
      <c r="AB1816" s="10"/>
      <c r="AC1816" s="10"/>
      <c r="AD1816" s="10"/>
      <c r="AE1816" s="10"/>
      <c r="AF1816" s="10"/>
      <c r="AG1816" s="10"/>
      <c r="AH1816" s="10"/>
      <c r="AI1816" s="10"/>
    </row>
    <row r="1817" spans="1:35">
      <c r="A1817" s="10"/>
      <c r="B1817" s="10" t="str">
        <f t="shared" si="745"/>
        <v>Below the Line</v>
      </c>
      <c r="C1817" t="s">
        <v>20</v>
      </c>
      <c r="D1817" t="s">
        <v>19</v>
      </c>
      <c r="E1817" t="s">
        <v>214</v>
      </c>
      <c r="G1817" t="s">
        <v>2866</v>
      </c>
      <c r="I1817" s="10"/>
      <c r="J1817" s="107">
        <f>SUMIF(Data!C:C,G1817,Data!Q:Q)</f>
        <v>0</v>
      </c>
      <c r="K1817" s="107">
        <f>SUMIF(Comprometidos!A:A,'Cost Report'!G1817,Comprometidos!E:E)</f>
        <v>0</v>
      </c>
      <c r="L1817" s="107">
        <f t="shared" si="721"/>
        <v>0</v>
      </c>
      <c r="M1817" s="107">
        <f t="shared" si="722"/>
        <v>0</v>
      </c>
      <c r="N1817" s="107">
        <f t="shared" si="723"/>
        <v>0</v>
      </c>
      <c r="O1817" s="107">
        <f>VLOOKUP(G1817,Budget!$E$3:$G$2474,3,0)</f>
        <v>0</v>
      </c>
      <c r="P1817" s="107">
        <f t="shared" si="724"/>
        <v>0</v>
      </c>
      <c r="Q1817" s="107"/>
      <c r="R1817" s="10"/>
      <c r="S1817" s="107">
        <v>0</v>
      </c>
      <c r="T1817" s="107">
        <f t="shared" si="708"/>
        <v>0</v>
      </c>
      <c r="U1817" s="107"/>
      <c r="V1817" s="175"/>
      <c r="W1817" s="10"/>
      <c r="X1817" s="10"/>
      <c r="Y1817" t="str">
        <f t="shared" si="746"/>
        <v>3632</v>
      </c>
      <c r="AB1817" s="10"/>
      <c r="AC1817" s="10"/>
      <c r="AD1817" s="10"/>
      <c r="AE1817" s="10"/>
      <c r="AF1817" s="10"/>
      <c r="AG1817" s="10"/>
      <c r="AH1817" s="10"/>
      <c r="AI1817" s="10"/>
    </row>
    <row r="1818" spans="1:35">
      <c r="A1818" s="10"/>
      <c r="B1818" s="10" t="str">
        <f t="shared" si="745"/>
        <v>Below the Line2nd Unit</v>
      </c>
      <c r="C1818" t="s">
        <v>20</v>
      </c>
      <c r="D1818" t="s">
        <v>19</v>
      </c>
      <c r="E1818" t="s">
        <v>1419</v>
      </c>
      <c r="F1818" t="s">
        <v>5116</v>
      </c>
      <c r="G1818" t="s">
        <v>2867</v>
      </c>
      <c r="I1818" s="10"/>
      <c r="J1818" s="107">
        <f>SUMIF(Data!C:C,G1818,Data!Q:Q)</f>
        <v>89783.47</v>
      </c>
      <c r="K1818" s="107">
        <f>SUMIF(Comprometidos!A:A,'Cost Report'!G1818,Comprometidos!E:E)</f>
        <v>0</v>
      </c>
      <c r="L1818" s="107">
        <f t="shared" si="721"/>
        <v>89783.47</v>
      </c>
      <c r="M1818" s="107">
        <v>0</v>
      </c>
      <c r="N1818" s="107">
        <f t="shared" si="723"/>
        <v>89783.47</v>
      </c>
      <c r="O1818" s="107">
        <f>VLOOKUP(G1818,Budget!$E$3:$G$2474,3,0)</f>
        <v>90000</v>
      </c>
      <c r="P1818" s="107">
        <f t="shared" si="724"/>
        <v>216.52999999999884</v>
      </c>
      <c r="Q1818" s="107"/>
      <c r="R1818" s="10"/>
      <c r="S1818" s="107">
        <v>89783.47</v>
      </c>
      <c r="T1818" s="107">
        <f t="shared" si="708"/>
        <v>0</v>
      </c>
      <c r="U1818" s="107"/>
      <c r="V1818" s="175"/>
      <c r="W1818" s="10"/>
      <c r="X1818" s="10"/>
      <c r="Y1818" t="str">
        <f t="shared" si="746"/>
        <v>3632</v>
      </c>
      <c r="AB1818" s="10"/>
      <c r="AC1818" s="10"/>
      <c r="AD1818" s="10"/>
      <c r="AE1818" s="10"/>
      <c r="AF1818" s="10"/>
      <c r="AG1818" s="10"/>
      <c r="AH1818" s="10"/>
      <c r="AI1818" s="10"/>
    </row>
    <row r="1819" spans="1:35">
      <c r="A1819" s="10"/>
      <c r="B1819" s="10" t="str">
        <f t="shared" si="745"/>
        <v>Below the Line2nd Unit</v>
      </c>
      <c r="C1819" t="s">
        <v>20</v>
      </c>
      <c r="D1819" t="s">
        <v>19</v>
      </c>
      <c r="E1819" t="s">
        <v>1419</v>
      </c>
      <c r="G1819" t="s">
        <v>2868</v>
      </c>
      <c r="I1819" s="10"/>
      <c r="J1819" s="107">
        <f>SUMIF(Data!C:C,G1819,Data!Q:Q)</f>
        <v>378697.01899999997</v>
      </c>
      <c r="K1819" s="107">
        <f>SUMIF(Comprometidos!A:A,'Cost Report'!G1819,Comprometidos!E:E)</f>
        <v>0</v>
      </c>
      <c r="L1819" s="107">
        <f t="shared" si="721"/>
        <v>378697.01899999997</v>
      </c>
      <c r="M1819" s="107">
        <v>0</v>
      </c>
      <c r="N1819" s="107">
        <f t="shared" si="723"/>
        <v>378697.01899999997</v>
      </c>
      <c r="O1819" s="107">
        <f>VLOOKUP(G1819,Budget!$E$3:$G$2474,3,0)</f>
        <v>90000</v>
      </c>
      <c r="P1819" s="107">
        <f t="shared" si="724"/>
        <v>-288697.01899999997</v>
      </c>
      <c r="Q1819" s="107"/>
      <c r="R1819" s="10"/>
      <c r="S1819" s="107">
        <v>379135.25999999995</v>
      </c>
      <c r="T1819" s="107">
        <f t="shared" si="708"/>
        <v>438.24099999997998</v>
      </c>
      <c r="U1819" s="107"/>
      <c r="V1819" s="175"/>
      <c r="W1819" s="10"/>
      <c r="X1819" s="10"/>
      <c r="Y1819" t="str">
        <f t="shared" si="746"/>
        <v>3632</v>
      </c>
      <c r="AB1819" s="10"/>
      <c r="AC1819" s="10"/>
      <c r="AD1819" s="10"/>
      <c r="AE1819" s="10"/>
      <c r="AF1819" s="10"/>
      <c r="AG1819" s="10"/>
      <c r="AH1819" s="10"/>
      <c r="AI1819" s="10"/>
    </row>
    <row r="1820" spans="1:35">
      <c r="A1820" s="10"/>
      <c r="B1820" s="10" t="str">
        <f t="shared" si="745"/>
        <v>Below the Line</v>
      </c>
      <c r="C1820" t="s">
        <v>20</v>
      </c>
      <c r="D1820" t="s">
        <v>19</v>
      </c>
      <c r="E1820" t="s">
        <v>214</v>
      </c>
      <c r="G1820" t="s">
        <v>2869</v>
      </c>
      <c r="I1820" s="10"/>
      <c r="J1820" s="107">
        <f>SUMIF(Data!C:C,G1820,Data!Q:Q)</f>
        <v>0</v>
      </c>
      <c r="K1820" s="107">
        <f>SUMIF(Comprometidos!A:A,'Cost Report'!G1820,Comprometidos!E:E)</f>
        <v>0</v>
      </c>
      <c r="L1820" s="107">
        <f t="shared" si="721"/>
        <v>0</v>
      </c>
      <c r="M1820" s="107">
        <f t="shared" si="722"/>
        <v>0</v>
      </c>
      <c r="N1820" s="107">
        <f t="shared" si="723"/>
        <v>0</v>
      </c>
      <c r="O1820" s="107">
        <f>VLOOKUP(G1820,Budget!$E$3:$G$2474,3,0)</f>
        <v>0</v>
      </c>
      <c r="P1820" s="107">
        <f t="shared" si="724"/>
        <v>0</v>
      </c>
      <c r="Q1820" s="107"/>
      <c r="R1820" s="10"/>
      <c r="S1820" s="107">
        <v>0</v>
      </c>
      <c r="T1820" s="107">
        <f t="shared" ref="T1820:T1884" si="747">+S1820-N1820</f>
        <v>0</v>
      </c>
      <c r="U1820" s="107"/>
      <c r="V1820" s="175"/>
      <c r="W1820" s="10"/>
      <c r="X1820" s="10"/>
      <c r="Y1820" t="str">
        <f t="shared" si="746"/>
        <v>3632</v>
      </c>
      <c r="AB1820" s="10"/>
      <c r="AC1820" s="10"/>
      <c r="AD1820" s="10"/>
      <c r="AE1820" s="10"/>
      <c r="AF1820" s="10"/>
      <c r="AG1820" s="10"/>
      <c r="AH1820" s="10"/>
      <c r="AI1820" s="10"/>
    </row>
    <row r="1821" spans="1:35">
      <c r="A1821" s="10"/>
      <c r="B1821" s="10" t="str">
        <f t="shared" si="745"/>
        <v>Below the LineSHOOT</v>
      </c>
      <c r="C1821" t="s">
        <v>20</v>
      </c>
      <c r="D1821" t="s">
        <v>19</v>
      </c>
      <c r="E1821" t="s">
        <v>236</v>
      </c>
      <c r="F1821" t="s">
        <v>5116</v>
      </c>
      <c r="G1821" t="s">
        <v>2870</v>
      </c>
      <c r="I1821" s="10"/>
      <c r="J1821" s="107">
        <f>SUMIF(Data!C:C,G1821,Data!Q:Q)</f>
        <v>67602.569999999992</v>
      </c>
      <c r="K1821" s="107">
        <f>SUMIF(Comprometidos!A:A,'Cost Report'!G1821,Comprometidos!E:E)</f>
        <v>0</v>
      </c>
      <c r="L1821" s="107">
        <f t="shared" si="721"/>
        <v>67602.569999999992</v>
      </c>
      <c r="M1821" s="107">
        <v>0</v>
      </c>
      <c r="N1821" s="107">
        <f t="shared" si="723"/>
        <v>67602.569999999992</v>
      </c>
      <c r="O1821" s="107">
        <f>VLOOKUP(G1821,Budget!$E$3:$G$2474,3,0)</f>
        <v>245000</v>
      </c>
      <c r="P1821" s="107">
        <f t="shared" si="724"/>
        <v>177397.43</v>
      </c>
      <c r="Q1821" s="107"/>
      <c r="R1821" s="10"/>
      <c r="S1821" s="107">
        <v>67602.569999999992</v>
      </c>
      <c r="T1821" s="107">
        <f t="shared" si="747"/>
        <v>0</v>
      </c>
      <c r="U1821" s="107"/>
      <c r="V1821" s="175"/>
      <c r="W1821" s="10"/>
      <c r="X1821" s="10"/>
      <c r="Y1821" t="str">
        <f t="shared" si="746"/>
        <v>3632</v>
      </c>
      <c r="AB1821" s="10"/>
      <c r="AC1821" s="10"/>
      <c r="AD1821" s="10"/>
      <c r="AE1821" s="10"/>
      <c r="AF1821" s="10"/>
      <c r="AG1821" s="10"/>
      <c r="AH1821" s="10"/>
      <c r="AI1821" s="10"/>
    </row>
    <row r="1822" spans="1:35">
      <c r="A1822" s="10"/>
      <c r="B1822" s="10" t="str">
        <f t="shared" si="745"/>
        <v>Below the Line2nd Unit</v>
      </c>
      <c r="C1822" t="s">
        <v>20</v>
      </c>
      <c r="D1822" t="s">
        <v>19</v>
      </c>
      <c r="E1822" t="s">
        <v>1419</v>
      </c>
      <c r="F1822" t="s">
        <v>5116</v>
      </c>
      <c r="G1822" t="s">
        <v>2871</v>
      </c>
      <c r="I1822" s="10"/>
      <c r="J1822" s="107">
        <f>SUMIF(Data!C:C,G1822,Data!Q:Q)</f>
        <v>0</v>
      </c>
      <c r="K1822" s="107">
        <f>SUMIF(Comprometidos!A:A,'Cost Report'!G1822,Comprometidos!E:E)</f>
        <v>0</v>
      </c>
      <c r="L1822" s="107">
        <f t="shared" si="721"/>
        <v>0</v>
      </c>
      <c r="M1822" s="107">
        <v>0</v>
      </c>
      <c r="N1822" s="107">
        <f t="shared" si="723"/>
        <v>0</v>
      </c>
      <c r="O1822" s="107">
        <f>VLOOKUP(G1822,Budget!$E$3:$G$2474,3,0)</f>
        <v>180000</v>
      </c>
      <c r="P1822" s="107">
        <f t="shared" si="724"/>
        <v>180000</v>
      </c>
      <c r="Q1822" s="107"/>
      <c r="R1822" s="10"/>
      <c r="S1822" s="107">
        <v>0</v>
      </c>
      <c r="T1822" s="107">
        <f t="shared" si="747"/>
        <v>0</v>
      </c>
      <c r="U1822" s="107"/>
      <c r="V1822" s="175"/>
      <c r="W1822" s="10"/>
      <c r="X1822" s="10"/>
      <c r="Y1822" t="str">
        <f t="shared" si="746"/>
        <v>3632</v>
      </c>
      <c r="AB1822" s="10"/>
      <c r="AC1822" s="10"/>
      <c r="AD1822" s="10"/>
      <c r="AE1822" s="10"/>
      <c r="AF1822" s="10"/>
      <c r="AG1822" s="10"/>
      <c r="AH1822" s="10"/>
      <c r="AI1822" s="10"/>
    </row>
    <row r="1823" spans="1:35">
      <c r="A1823" s="10"/>
      <c r="B1823" s="10" t="str">
        <f t="shared" si="745"/>
        <v>Below the Line</v>
      </c>
      <c r="C1823" t="s">
        <v>20</v>
      </c>
      <c r="D1823" t="s">
        <v>19</v>
      </c>
      <c r="E1823" t="s">
        <v>214</v>
      </c>
      <c r="G1823" t="s">
        <v>2872</v>
      </c>
      <c r="I1823" s="10"/>
      <c r="J1823" s="107">
        <f>SUMIF(Data!C:C,G1823,Data!Q:Q)</f>
        <v>0</v>
      </c>
      <c r="K1823" s="107">
        <f>SUMIF(Comprometidos!A:A,'Cost Report'!G1823,Comprometidos!E:E)</f>
        <v>0</v>
      </c>
      <c r="L1823" s="107">
        <f t="shared" si="721"/>
        <v>0</v>
      </c>
      <c r="M1823" s="107">
        <f t="shared" si="722"/>
        <v>0</v>
      </c>
      <c r="N1823" s="107">
        <f t="shared" si="723"/>
        <v>0</v>
      </c>
      <c r="O1823" s="107">
        <f>VLOOKUP(G1823,Budget!$E$3:$G$2474,3,0)</f>
        <v>0</v>
      </c>
      <c r="P1823" s="107">
        <f t="shared" si="724"/>
        <v>0</v>
      </c>
      <c r="Q1823" s="107"/>
      <c r="R1823" s="10"/>
      <c r="S1823" s="107">
        <v>0</v>
      </c>
      <c r="T1823" s="107">
        <f t="shared" si="747"/>
        <v>0</v>
      </c>
      <c r="U1823" s="107"/>
      <c r="V1823" s="175"/>
      <c r="W1823" s="10"/>
      <c r="X1823" s="10"/>
      <c r="Y1823" t="str">
        <f t="shared" si="746"/>
        <v>3632</v>
      </c>
      <c r="AB1823" s="10"/>
      <c r="AC1823" s="10"/>
      <c r="AD1823" s="10"/>
      <c r="AE1823" s="10"/>
      <c r="AF1823" s="10"/>
      <c r="AG1823" s="10"/>
      <c r="AH1823" s="10"/>
      <c r="AI1823" s="10"/>
    </row>
    <row r="1824" spans="1:35">
      <c r="A1824" s="10"/>
      <c r="B1824" s="10" t="str">
        <f t="shared" si="745"/>
        <v>Below the LinePREP</v>
      </c>
      <c r="C1824" t="s">
        <v>20</v>
      </c>
      <c r="D1824" t="s">
        <v>19</v>
      </c>
      <c r="E1824" t="s">
        <v>234</v>
      </c>
      <c r="G1824" t="s">
        <v>2873</v>
      </c>
      <c r="I1824" s="10"/>
      <c r="J1824" s="107">
        <f>SUMIF(Data!C:C,G1824,Data!Q:Q)</f>
        <v>1403.12</v>
      </c>
      <c r="K1824" s="107">
        <f>SUMIF(Comprometidos!A:A,'Cost Report'!G1824,Comprometidos!E:E)</f>
        <v>0</v>
      </c>
      <c r="L1824" s="107">
        <f t="shared" si="721"/>
        <v>1403.12</v>
      </c>
      <c r="M1824" s="107">
        <v>0</v>
      </c>
      <c r="N1824" s="107">
        <f t="shared" si="723"/>
        <v>1403.12</v>
      </c>
      <c r="O1824" s="107">
        <f>VLOOKUP(G1824,Budget!$E$3:$G$2474,3,0)</f>
        <v>1403.12</v>
      </c>
      <c r="P1824" s="107">
        <f t="shared" si="724"/>
        <v>0</v>
      </c>
      <c r="Q1824" s="107"/>
      <c r="R1824" s="10"/>
      <c r="S1824" s="107">
        <v>1403.12</v>
      </c>
      <c r="T1824" s="107">
        <f t="shared" si="747"/>
        <v>0</v>
      </c>
      <c r="U1824" s="107"/>
      <c r="V1824" s="175"/>
      <c r="W1824" s="10"/>
      <c r="X1824" s="10"/>
      <c r="Y1824" t="str">
        <f t="shared" si="746"/>
        <v>3632</v>
      </c>
      <c r="AB1824" s="10"/>
      <c r="AC1824" s="10"/>
      <c r="AD1824" s="10"/>
      <c r="AE1824" s="10"/>
      <c r="AF1824" s="10"/>
      <c r="AG1824" s="10"/>
      <c r="AH1824" s="10"/>
      <c r="AI1824" s="10"/>
    </row>
    <row r="1825" spans="1:35">
      <c r="A1825" s="10"/>
      <c r="B1825" s="10" t="str">
        <f t="shared" si="745"/>
        <v>Below the LinePREP</v>
      </c>
      <c r="C1825" t="s">
        <v>20</v>
      </c>
      <c r="D1825" t="s">
        <v>19</v>
      </c>
      <c r="E1825" t="s">
        <v>234</v>
      </c>
      <c r="G1825" t="s">
        <v>2874</v>
      </c>
      <c r="I1825" s="10"/>
      <c r="J1825" s="107">
        <f>SUMIF(Data!C:C,G1825,Data!Q:Q)</f>
        <v>1836.01</v>
      </c>
      <c r="K1825" s="107">
        <f>SUMIF(Comprometidos!A:A,'Cost Report'!G1825,Comprometidos!E:E)</f>
        <v>0</v>
      </c>
      <c r="L1825" s="107">
        <f t="shared" ref="L1825" si="748">+J1825+K1825</f>
        <v>1836.01</v>
      </c>
      <c r="M1825" s="107">
        <v>0</v>
      </c>
      <c r="N1825" s="107">
        <f t="shared" ref="N1825" si="749">+L1825+M1825</f>
        <v>1836.01</v>
      </c>
      <c r="O1825" s="107">
        <f>VLOOKUP(G1825,Budget!$E$3:$G$2474,3,0)</f>
        <v>5000</v>
      </c>
      <c r="P1825" s="107">
        <f t="shared" ref="P1825" si="750">+O1825-N1825</f>
        <v>3163.99</v>
      </c>
      <c r="Q1825" s="107"/>
      <c r="R1825" s="10"/>
      <c r="S1825" s="107">
        <v>1567.81</v>
      </c>
      <c r="T1825" s="107">
        <f t="shared" si="747"/>
        <v>-268.20000000000005</v>
      </c>
      <c r="U1825" s="107"/>
      <c r="V1825" s="175"/>
      <c r="W1825" s="10"/>
      <c r="X1825" s="10"/>
      <c r="Y1825" t="str">
        <f t="shared" si="746"/>
        <v>3632</v>
      </c>
      <c r="AB1825" s="10"/>
      <c r="AC1825" s="10"/>
      <c r="AD1825" s="10"/>
      <c r="AE1825" s="10"/>
      <c r="AF1825" s="10"/>
      <c r="AG1825" s="10"/>
      <c r="AH1825" s="10"/>
      <c r="AI1825" s="10"/>
    </row>
    <row r="1826" spans="1:35">
      <c r="A1826" s="10"/>
      <c r="B1826" s="10" t="str">
        <f t="shared" si="745"/>
        <v>Below the LineSHOOT</v>
      </c>
      <c r="C1826" t="s">
        <v>20</v>
      </c>
      <c r="D1826" t="s">
        <v>19</v>
      </c>
      <c r="E1826" t="s">
        <v>236</v>
      </c>
      <c r="G1826" t="s">
        <v>3414</v>
      </c>
      <c r="I1826" s="10"/>
      <c r="J1826" s="107">
        <f>SUMIF(Data!C:C,G1826,Data!Q:Q)</f>
        <v>0</v>
      </c>
      <c r="K1826" s="107">
        <f>SUMIF(Comprometidos!A:A,'Cost Report'!G1826,Comprometidos!E:E)</f>
        <v>0</v>
      </c>
      <c r="L1826" s="107">
        <f t="shared" ref="L1826" si="751">+J1826+K1826</f>
        <v>0</v>
      </c>
      <c r="M1826" s="107">
        <v>0</v>
      </c>
      <c r="N1826" s="107">
        <f t="shared" ref="N1826" si="752">+L1826+M1826</f>
        <v>0</v>
      </c>
      <c r="O1826" s="107">
        <f>VLOOKUP(G1826,Budget!$E$3:$G$2474,3,0)</f>
        <v>0</v>
      </c>
      <c r="P1826" s="107">
        <f t="shared" ref="P1826" si="753">+O1826-N1826</f>
        <v>0</v>
      </c>
      <c r="Q1826" s="107"/>
      <c r="R1826" s="10"/>
      <c r="S1826" s="107">
        <v>0</v>
      </c>
      <c r="T1826" s="107">
        <f t="shared" ref="T1826" si="754">+S1826-N1826</f>
        <v>0</v>
      </c>
      <c r="U1826" s="107"/>
      <c r="V1826" s="175"/>
      <c r="W1826" s="10"/>
      <c r="X1826" s="10"/>
      <c r="Y1826" t="str">
        <f t="shared" ref="Y1826" si="755">LEFT(G1826,4)</f>
        <v>3632</v>
      </c>
      <c r="AB1826" s="10"/>
      <c r="AC1826" s="10"/>
      <c r="AD1826" s="10"/>
      <c r="AE1826" s="10"/>
      <c r="AF1826" s="10"/>
      <c r="AG1826" s="10"/>
      <c r="AH1826" s="10"/>
      <c r="AI1826" s="10"/>
    </row>
    <row r="1827" spans="1:35">
      <c r="A1827" s="10"/>
      <c r="B1827" s="10" t="str">
        <f>+C1827</f>
        <v>Below the Line</v>
      </c>
      <c r="C1827" s="128" t="s">
        <v>20</v>
      </c>
      <c r="D1827" s="128" t="s">
        <v>2117</v>
      </c>
      <c r="E1827" s="128"/>
      <c r="F1827" s="128"/>
      <c r="G1827" s="128" t="s">
        <v>2875</v>
      </c>
      <c r="H1827" s="128"/>
      <c r="I1827" s="10"/>
      <c r="J1827" s="129">
        <f>SUMIF($Y$11:$Y$2484,G1827,J$11:J$2484)</f>
        <v>0</v>
      </c>
      <c r="K1827" s="129">
        <f>SUMIF($Y$11:$Y$2484,G1827,K$11:K$2484)</f>
        <v>0</v>
      </c>
      <c r="L1827" s="129">
        <f>SUMIF($Y$11:$Y$2484,G1827,L$11:L$2484)</f>
        <v>0</v>
      </c>
      <c r="M1827" s="129">
        <f>SUMIF($Y$11:$Y$2484,G1827,M$11:M$2484)</f>
        <v>0</v>
      </c>
      <c r="N1827" s="129">
        <f>SUMIF($Y$11:$Y$2484,G1827,N$11:N$2484)</f>
        <v>0</v>
      </c>
      <c r="O1827" s="129">
        <f>SUMIF($Y$11:$Y$2484,G1827,O$11:O$2484)</f>
        <v>170000</v>
      </c>
      <c r="P1827" s="129">
        <f>SUMIF($Y$11:$Y$2484,G1827,P$11:P$2484)</f>
        <v>170000</v>
      </c>
      <c r="Q1827" s="129"/>
      <c r="R1827" s="10"/>
      <c r="S1827" s="129">
        <v>0</v>
      </c>
      <c r="T1827" s="129">
        <f t="shared" si="747"/>
        <v>0</v>
      </c>
      <c r="U1827" s="128"/>
      <c r="V1827" s="175"/>
      <c r="W1827" s="10"/>
      <c r="X1827" s="10"/>
      <c r="Z1827" t="str">
        <f>LEFT(G1827,2)</f>
        <v>36</v>
      </c>
      <c r="AA1827" t="str">
        <f>+Z1827&amp;"00"</f>
        <v>3600</v>
      </c>
      <c r="AB1827" s="10"/>
      <c r="AC1827" s="10"/>
      <c r="AD1827" s="10"/>
      <c r="AE1827" s="10"/>
      <c r="AF1827" s="10"/>
      <c r="AG1827" s="10"/>
      <c r="AH1827" s="10"/>
      <c r="AI1827" s="10"/>
    </row>
    <row r="1828" spans="1:35">
      <c r="A1828" s="10"/>
      <c r="B1828" s="10" t="str">
        <f t="shared" ref="B1828:B1831" si="756">+C1828&amp;E1828</f>
        <v>Below the Line</v>
      </c>
      <c r="C1828" t="s">
        <v>20</v>
      </c>
      <c r="D1828" t="s">
        <v>19</v>
      </c>
      <c r="E1828" t="s">
        <v>214</v>
      </c>
      <c r="G1828" t="s">
        <v>2876</v>
      </c>
      <c r="I1828" s="10"/>
      <c r="J1828" s="107">
        <f>SUMIF(Data!C:C,G1828,Data!Q:Q)</f>
        <v>0</v>
      </c>
      <c r="K1828" s="107">
        <f>SUMIF(Comprometidos!A:A,'Cost Report'!G1828,Comprometidos!E:E)</f>
        <v>0</v>
      </c>
      <c r="L1828" s="107">
        <f t="shared" ref="L1828:L1888" si="757">+J1828+K1828</f>
        <v>0</v>
      </c>
      <c r="M1828" s="107">
        <f t="shared" ref="M1828:M1890" si="758">+O1828-L1828</f>
        <v>0</v>
      </c>
      <c r="N1828" s="107">
        <f t="shared" ref="N1828:N1888" si="759">+L1828+M1828</f>
        <v>0</v>
      </c>
      <c r="O1828" s="107">
        <f>VLOOKUP(G1828,Budget!$E$3:$G$2474,3,0)</f>
        <v>0</v>
      </c>
      <c r="P1828" s="107">
        <f t="shared" ref="P1828:P1888" si="760">+O1828-N1828</f>
        <v>0</v>
      </c>
      <c r="Q1828" s="188"/>
      <c r="R1828" s="10"/>
      <c r="S1828" s="107">
        <v>0</v>
      </c>
      <c r="T1828" s="107">
        <f t="shared" si="747"/>
        <v>0</v>
      </c>
      <c r="U1828" s="107"/>
      <c r="V1828" s="175"/>
      <c r="W1828" s="10"/>
      <c r="X1828" s="10"/>
      <c r="Y1828" t="str">
        <f t="shared" ref="Y1828:Y1831" si="761">LEFT(G1828,4)</f>
        <v>3633</v>
      </c>
      <c r="AB1828" s="10"/>
      <c r="AC1828" s="10"/>
      <c r="AD1828" s="10"/>
      <c r="AE1828" s="10"/>
      <c r="AF1828" s="10"/>
      <c r="AG1828" s="10"/>
      <c r="AH1828" s="10"/>
      <c r="AI1828" s="10"/>
    </row>
    <row r="1829" spans="1:35">
      <c r="A1829" s="10"/>
      <c r="B1829" s="10" t="str">
        <f t="shared" si="756"/>
        <v>Below the LineSHOOT</v>
      </c>
      <c r="C1829" t="s">
        <v>20</v>
      </c>
      <c r="D1829" t="s">
        <v>19</v>
      </c>
      <c r="E1829" t="s">
        <v>236</v>
      </c>
      <c r="G1829" t="s">
        <v>2877</v>
      </c>
      <c r="I1829" s="10"/>
      <c r="J1829" s="107">
        <f>SUMIF(Data!C:C,G1829,Data!Q:Q)</f>
        <v>0</v>
      </c>
      <c r="K1829" s="107">
        <f>SUMIF(Comprometidos!A:A,'Cost Report'!G1829,Comprometidos!E:E)</f>
        <v>0</v>
      </c>
      <c r="L1829" s="107">
        <f t="shared" si="757"/>
        <v>0</v>
      </c>
      <c r="M1829" s="107">
        <v>0</v>
      </c>
      <c r="N1829" s="107">
        <f t="shared" si="759"/>
        <v>0</v>
      </c>
      <c r="O1829" s="107">
        <f>VLOOKUP(G1829,Budget!$E$3:$G$2474,3,0)</f>
        <v>140000</v>
      </c>
      <c r="P1829" s="107">
        <f t="shared" si="760"/>
        <v>140000</v>
      </c>
      <c r="Q1829" s="188"/>
      <c r="R1829" s="10"/>
      <c r="S1829" s="107">
        <v>0</v>
      </c>
      <c r="T1829" s="107">
        <f t="shared" si="747"/>
        <v>0</v>
      </c>
      <c r="U1829" s="107"/>
      <c r="V1829" s="175"/>
      <c r="W1829" s="10"/>
      <c r="X1829" s="10"/>
      <c r="Y1829" t="str">
        <f t="shared" si="761"/>
        <v>3633</v>
      </c>
      <c r="AB1829" s="10"/>
      <c r="AC1829" s="10"/>
      <c r="AD1829" s="10"/>
      <c r="AE1829" s="10"/>
      <c r="AF1829" s="10"/>
      <c r="AG1829" s="10"/>
      <c r="AH1829" s="10"/>
      <c r="AI1829" s="10"/>
    </row>
    <row r="1830" spans="1:35">
      <c r="A1830" s="10"/>
      <c r="B1830" s="10" t="str">
        <f t="shared" si="756"/>
        <v>Below the Line</v>
      </c>
      <c r="C1830" t="s">
        <v>20</v>
      </c>
      <c r="D1830" t="s">
        <v>19</v>
      </c>
      <c r="E1830" t="s">
        <v>214</v>
      </c>
      <c r="G1830" t="s">
        <v>2878</v>
      </c>
      <c r="I1830" s="10"/>
      <c r="J1830" s="107">
        <f>SUMIF(Data!C:C,G1830,Data!Q:Q)</f>
        <v>0</v>
      </c>
      <c r="K1830" s="107">
        <f>SUMIF(Comprometidos!A:A,'Cost Report'!G1830,Comprometidos!E:E)</f>
        <v>0</v>
      </c>
      <c r="L1830" s="107">
        <f t="shared" si="757"/>
        <v>0</v>
      </c>
      <c r="M1830" s="107">
        <f t="shared" si="758"/>
        <v>0</v>
      </c>
      <c r="N1830" s="107">
        <f t="shared" si="759"/>
        <v>0</v>
      </c>
      <c r="O1830" s="107">
        <f>VLOOKUP(G1830,Budget!$E$3:$G$2474,3,0)</f>
        <v>0</v>
      </c>
      <c r="P1830" s="107">
        <f t="shared" si="760"/>
        <v>0</v>
      </c>
      <c r="Q1830" s="188"/>
      <c r="R1830" s="10"/>
      <c r="S1830" s="107">
        <v>0</v>
      </c>
      <c r="T1830" s="107">
        <f t="shared" si="747"/>
        <v>0</v>
      </c>
      <c r="U1830" s="107"/>
      <c r="V1830" s="175"/>
      <c r="W1830" s="10"/>
      <c r="X1830" s="10"/>
      <c r="Y1830" t="str">
        <f t="shared" si="761"/>
        <v>3633</v>
      </c>
      <c r="AB1830" s="10"/>
      <c r="AC1830" s="10"/>
      <c r="AD1830" s="10"/>
      <c r="AE1830" s="10"/>
      <c r="AF1830" s="10"/>
      <c r="AG1830" s="10"/>
      <c r="AH1830" s="10"/>
      <c r="AI1830" s="10"/>
    </row>
    <row r="1831" spans="1:35">
      <c r="A1831" s="10"/>
      <c r="B1831" s="10" t="str">
        <f t="shared" si="756"/>
        <v>Below the Line2nd Unit</v>
      </c>
      <c r="C1831" t="s">
        <v>20</v>
      </c>
      <c r="D1831" t="s">
        <v>19</v>
      </c>
      <c r="E1831" t="s">
        <v>1419</v>
      </c>
      <c r="G1831" t="s">
        <v>2879</v>
      </c>
      <c r="I1831" s="10"/>
      <c r="J1831" s="107">
        <f>SUMIF(Data!C:C,G1831,Data!Q:Q)</f>
        <v>0</v>
      </c>
      <c r="K1831" s="107">
        <f>SUMIF(Comprometidos!A:A,'Cost Report'!G1831,Comprometidos!E:E)</f>
        <v>0</v>
      </c>
      <c r="L1831" s="107">
        <f t="shared" si="757"/>
        <v>0</v>
      </c>
      <c r="M1831" s="107">
        <v>0</v>
      </c>
      <c r="N1831" s="107">
        <f t="shared" si="759"/>
        <v>0</v>
      </c>
      <c r="O1831" s="107">
        <f>VLOOKUP(G1831,Budget!$E$3:$G$2474,3,0)</f>
        <v>30000</v>
      </c>
      <c r="P1831" s="107">
        <f t="shared" si="760"/>
        <v>30000</v>
      </c>
      <c r="Q1831" s="188"/>
      <c r="R1831" s="10"/>
      <c r="S1831" s="107">
        <v>0</v>
      </c>
      <c r="T1831" s="107">
        <f t="shared" si="747"/>
        <v>0</v>
      </c>
      <c r="U1831" s="107"/>
      <c r="V1831" s="175"/>
      <c r="W1831" s="10"/>
      <c r="X1831" s="10"/>
      <c r="Y1831" t="str">
        <f t="shared" si="761"/>
        <v>3633</v>
      </c>
      <c r="AB1831" s="10"/>
      <c r="AC1831" s="10"/>
      <c r="AD1831" s="10"/>
      <c r="AE1831" s="10"/>
      <c r="AF1831" s="10"/>
      <c r="AG1831" s="10"/>
      <c r="AH1831" s="10"/>
      <c r="AI1831" s="10"/>
    </row>
    <row r="1832" spans="1:35">
      <c r="A1832" s="10"/>
      <c r="B1832" s="10" t="str">
        <f>+C1832</f>
        <v>Below the Line</v>
      </c>
      <c r="C1832" s="128" t="s">
        <v>20</v>
      </c>
      <c r="D1832" s="128" t="s">
        <v>2117</v>
      </c>
      <c r="E1832" s="128"/>
      <c r="F1832" s="128"/>
      <c r="G1832" s="128" t="s">
        <v>1031</v>
      </c>
      <c r="H1832" s="128"/>
      <c r="I1832" s="10"/>
      <c r="J1832" s="129">
        <f>SUMIF($Y$11:$Y$2484,G1832,J$11:J$2484)</f>
        <v>6021743.4000000004</v>
      </c>
      <c r="K1832" s="129">
        <f>SUMIF($Y$11:$Y$2484,G1832,K$11:K$2484)</f>
        <v>0</v>
      </c>
      <c r="L1832" s="129">
        <f>SUMIF($Y$11:$Y$2484,G1832,L$11:L$2484)</f>
        <v>6021743.4000000004</v>
      </c>
      <c r="M1832" s="129">
        <f>SUMIF($Y$11:$Y$2484,G1832,M$11:M$2484)</f>
        <v>0</v>
      </c>
      <c r="N1832" s="129">
        <f>SUMIF($Y$11:$Y$2484,G1832,N$11:N$2484)</f>
        <v>6021743.4000000004</v>
      </c>
      <c r="O1832" s="129">
        <f>SUMIF($Y$11:$Y$2484,G1832,O$11:O$2484)</f>
        <v>5456700</v>
      </c>
      <c r="P1832" s="129">
        <f>SUMIF($Y$11:$Y$2484,G1832,P$11:P$2484)</f>
        <v>-565043.4</v>
      </c>
      <c r="Q1832" s="129"/>
      <c r="R1832" s="10"/>
      <c r="S1832" s="129">
        <v>6021743.4000000004</v>
      </c>
      <c r="T1832" s="129">
        <f t="shared" si="747"/>
        <v>0</v>
      </c>
      <c r="U1832" s="128"/>
      <c r="V1832" s="175"/>
      <c r="W1832" s="10"/>
      <c r="X1832" s="10"/>
      <c r="Z1832" t="str">
        <f>LEFT(G1832,2)</f>
        <v>36</v>
      </c>
      <c r="AA1832" t="str">
        <f>+Z1832&amp;"00"</f>
        <v>3600</v>
      </c>
      <c r="AB1832" s="10"/>
      <c r="AC1832" s="10"/>
      <c r="AD1832" s="10"/>
      <c r="AE1832" s="10"/>
      <c r="AF1832" s="10"/>
      <c r="AG1832" s="10"/>
      <c r="AH1832" s="10"/>
      <c r="AI1832" s="10"/>
    </row>
    <row r="1833" spans="1:35">
      <c r="A1833" s="10"/>
      <c r="B1833" s="10" t="str">
        <f t="shared" ref="B1833:B1896" si="762">+C1833&amp;E1833</f>
        <v>Below the Line</v>
      </c>
      <c r="C1833" t="s">
        <v>20</v>
      </c>
      <c r="D1833" t="s">
        <v>19</v>
      </c>
      <c r="E1833" t="s">
        <v>214</v>
      </c>
      <c r="F1833" t="s">
        <v>5116</v>
      </c>
      <c r="G1833" t="s">
        <v>1032</v>
      </c>
      <c r="I1833" s="10"/>
      <c r="J1833" s="107">
        <f>SUMIF(Data!C:C,G1833,Data!Q:Q)</f>
        <v>0</v>
      </c>
      <c r="K1833" s="107">
        <f>SUMIF(Comprometidos!A:A,'Cost Report'!G1833,Comprometidos!E:E)</f>
        <v>0</v>
      </c>
      <c r="L1833" s="107">
        <f t="shared" si="757"/>
        <v>0</v>
      </c>
      <c r="M1833" s="107">
        <f t="shared" si="758"/>
        <v>0</v>
      </c>
      <c r="N1833" s="107">
        <f t="shared" si="759"/>
        <v>0</v>
      </c>
      <c r="O1833" s="107">
        <f>VLOOKUP(G1833,Budget!$E$3:$G$2474,3,0)</f>
        <v>0</v>
      </c>
      <c r="P1833" s="107">
        <f t="shared" si="760"/>
        <v>0</v>
      </c>
      <c r="Q1833" s="107"/>
      <c r="R1833" s="10"/>
      <c r="S1833" s="107">
        <v>0</v>
      </c>
      <c r="T1833" s="107">
        <f t="shared" si="747"/>
        <v>0</v>
      </c>
      <c r="U1833" s="107"/>
      <c r="V1833" s="175"/>
      <c r="W1833" s="10"/>
      <c r="X1833" s="10"/>
      <c r="Y1833" t="str">
        <f t="shared" ref="Y1833:Y1896" si="763">LEFT(G1833,4)</f>
        <v>3683</v>
      </c>
      <c r="AB1833" s="10"/>
      <c r="AC1833" s="10"/>
      <c r="AD1833" s="10"/>
      <c r="AE1833" s="10"/>
      <c r="AF1833" s="10"/>
      <c r="AG1833" s="10"/>
      <c r="AH1833" s="10"/>
      <c r="AI1833" s="10"/>
    </row>
    <row r="1834" spans="1:35">
      <c r="A1834" s="10"/>
      <c r="B1834" s="10" t="str">
        <f t="shared" si="762"/>
        <v>Below the Line</v>
      </c>
      <c r="C1834" t="s">
        <v>20</v>
      </c>
      <c r="D1834" t="s">
        <v>19</v>
      </c>
      <c r="E1834" t="s">
        <v>214</v>
      </c>
      <c r="F1834" t="s">
        <v>5116</v>
      </c>
      <c r="G1834" t="s">
        <v>1033</v>
      </c>
      <c r="I1834" s="10"/>
      <c r="J1834" s="107">
        <f>SUMIF(Data!C:C,G1834,Data!Q:Q)</f>
        <v>0</v>
      </c>
      <c r="K1834" s="107">
        <f>SUMIF(Comprometidos!A:A,'Cost Report'!G1834,Comprometidos!E:E)</f>
        <v>0</v>
      </c>
      <c r="L1834" s="107">
        <f t="shared" si="757"/>
        <v>0</v>
      </c>
      <c r="M1834" s="107">
        <f t="shared" si="758"/>
        <v>0</v>
      </c>
      <c r="N1834" s="107">
        <f t="shared" si="759"/>
        <v>0</v>
      </c>
      <c r="O1834" s="107">
        <f>VLOOKUP(G1834,Budget!$E$3:$G$2474,3,0)</f>
        <v>0</v>
      </c>
      <c r="P1834" s="107">
        <f t="shared" si="760"/>
        <v>0</v>
      </c>
      <c r="Q1834" s="107"/>
      <c r="R1834" s="10"/>
      <c r="S1834" s="107">
        <v>0</v>
      </c>
      <c r="T1834" s="107">
        <f t="shared" si="747"/>
        <v>0</v>
      </c>
      <c r="U1834" s="107"/>
      <c r="V1834" s="175"/>
      <c r="W1834" s="10"/>
      <c r="X1834" s="10"/>
      <c r="Y1834" t="str">
        <f t="shared" si="763"/>
        <v>3683</v>
      </c>
      <c r="AB1834" s="10"/>
      <c r="AC1834" s="10"/>
      <c r="AD1834" s="10"/>
      <c r="AE1834" s="10"/>
      <c r="AF1834" s="10"/>
      <c r="AG1834" s="10"/>
      <c r="AH1834" s="10"/>
      <c r="AI1834" s="10"/>
    </row>
    <row r="1835" spans="1:35">
      <c r="A1835" s="10"/>
      <c r="B1835" s="10" t="str">
        <f t="shared" si="762"/>
        <v>Below the LinePREP</v>
      </c>
      <c r="C1835" t="s">
        <v>20</v>
      </c>
      <c r="D1835" t="s">
        <v>19</v>
      </c>
      <c r="E1835" t="s">
        <v>234</v>
      </c>
      <c r="F1835" t="s">
        <v>5116</v>
      </c>
      <c r="G1835" t="s">
        <v>1034</v>
      </c>
      <c r="I1835" s="10"/>
      <c r="J1835" s="107">
        <f>SUMIF(Data!C:C,G1835,Data!Q:Q)</f>
        <v>34878.26</v>
      </c>
      <c r="K1835" s="107">
        <f>SUMIF(Comprometidos!A:A,'Cost Report'!G1835,Comprometidos!E:E)</f>
        <v>0</v>
      </c>
      <c r="L1835" s="107">
        <f t="shared" si="757"/>
        <v>34878.26</v>
      </c>
      <c r="M1835" s="107">
        <v>0</v>
      </c>
      <c r="N1835" s="107">
        <f t="shared" si="759"/>
        <v>34878.26</v>
      </c>
      <c r="O1835" s="107">
        <f>VLOOKUP(G1835,Budget!$E$3:$G$2474,3,0)</f>
        <v>60000</v>
      </c>
      <c r="P1835" s="107">
        <f t="shared" si="760"/>
        <v>25121.739999999998</v>
      </c>
      <c r="Q1835" s="107"/>
      <c r="R1835" s="10"/>
      <c r="S1835" s="107">
        <v>34878.26</v>
      </c>
      <c r="T1835" s="107">
        <f t="shared" si="747"/>
        <v>0</v>
      </c>
      <c r="U1835" s="107"/>
      <c r="V1835" s="175"/>
      <c r="W1835" s="10"/>
      <c r="X1835" s="10"/>
      <c r="Y1835" t="str">
        <f t="shared" si="763"/>
        <v>3683</v>
      </c>
      <c r="AB1835" s="10"/>
      <c r="AC1835" s="10"/>
      <c r="AD1835" s="10"/>
      <c r="AE1835" s="10"/>
      <c r="AF1835" s="10"/>
      <c r="AG1835" s="10"/>
      <c r="AH1835" s="10"/>
      <c r="AI1835" s="10"/>
    </row>
    <row r="1836" spans="1:35">
      <c r="A1836" s="10"/>
      <c r="B1836" s="10" t="str">
        <f t="shared" si="762"/>
        <v>Below the LineSHOOT</v>
      </c>
      <c r="C1836" t="s">
        <v>20</v>
      </c>
      <c r="D1836" t="s">
        <v>19</v>
      </c>
      <c r="E1836" t="s">
        <v>236</v>
      </c>
      <c r="F1836" t="s">
        <v>5116</v>
      </c>
      <c r="G1836" t="s">
        <v>1035</v>
      </c>
      <c r="I1836" s="10"/>
      <c r="J1836" s="107">
        <f>SUMIF(Data!C:C,G1836,Data!Q:Q)</f>
        <v>294840.93000000005</v>
      </c>
      <c r="K1836" s="107">
        <f>SUMIF(Comprometidos!A:A,'Cost Report'!G1836,Comprometidos!E:E)</f>
        <v>0</v>
      </c>
      <c r="L1836" s="107">
        <f t="shared" si="757"/>
        <v>294840.93000000005</v>
      </c>
      <c r="M1836" s="107">
        <v>0</v>
      </c>
      <c r="N1836" s="107">
        <f t="shared" si="759"/>
        <v>294840.93000000005</v>
      </c>
      <c r="O1836" s="107">
        <f>VLOOKUP(G1836,Budget!$E$3:$G$2474,3,0)</f>
        <v>210000</v>
      </c>
      <c r="P1836" s="107">
        <f t="shared" si="760"/>
        <v>-84840.930000000051</v>
      </c>
      <c r="Q1836" s="107"/>
      <c r="R1836" s="10"/>
      <c r="S1836" s="107">
        <v>294840.93000000005</v>
      </c>
      <c r="T1836" s="107">
        <f t="shared" si="747"/>
        <v>0</v>
      </c>
      <c r="U1836" s="107"/>
      <c r="V1836" s="175"/>
      <c r="W1836" s="10"/>
      <c r="X1836" s="10"/>
      <c r="Y1836" t="str">
        <f t="shared" si="763"/>
        <v>3683</v>
      </c>
      <c r="AB1836" s="10"/>
      <c r="AC1836" s="10"/>
      <c r="AD1836" s="10"/>
      <c r="AE1836" s="10"/>
      <c r="AF1836" s="10"/>
      <c r="AG1836" s="10"/>
      <c r="AH1836" s="10"/>
      <c r="AI1836" s="10"/>
    </row>
    <row r="1837" spans="1:35">
      <c r="A1837" s="10"/>
      <c r="B1837" s="10" t="str">
        <f t="shared" si="762"/>
        <v>Below the LineWRAP</v>
      </c>
      <c r="C1837" t="s">
        <v>20</v>
      </c>
      <c r="D1837" t="s">
        <v>19</v>
      </c>
      <c r="E1837" t="s">
        <v>238</v>
      </c>
      <c r="F1837" t="s">
        <v>5116</v>
      </c>
      <c r="G1837" t="s">
        <v>1036</v>
      </c>
      <c r="I1837" s="10"/>
      <c r="J1837" s="107">
        <f>SUMIF(Data!C:C,G1837,Data!Q:Q)</f>
        <v>0</v>
      </c>
      <c r="K1837" s="107">
        <f>SUMIF(Comprometidos!A:A,'Cost Report'!G1837,Comprometidos!E:E)</f>
        <v>0</v>
      </c>
      <c r="L1837" s="107">
        <f t="shared" si="757"/>
        <v>0</v>
      </c>
      <c r="M1837" s="107">
        <v>0</v>
      </c>
      <c r="N1837" s="107">
        <f t="shared" si="759"/>
        <v>0</v>
      </c>
      <c r="O1837" s="107">
        <f>VLOOKUP(G1837,Budget!$E$3:$G$2474,3,0)</f>
        <v>30000</v>
      </c>
      <c r="P1837" s="107">
        <f t="shared" si="760"/>
        <v>30000</v>
      </c>
      <c r="Q1837" s="107"/>
      <c r="R1837" s="10"/>
      <c r="S1837" s="107">
        <v>0</v>
      </c>
      <c r="T1837" s="107">
        <f t="shared" si="747"/>
        <v>0</v>
      </c>
      <c r="U1837" s="107"/>
      <c r="V1837" s="175"/>
      <c r="W1837" s="10"/>
      <c r="X1837" s="10"/>
      <c r="Y1837" t="str">
        <f t="shared" si="763"/>
        <v>3683</v>
      </c>
      <c r="AB1837" s="10"/>
      <c r="AC1837" s="10"/>
      <c r="AD1837" s="10"/>
      <c r="AE1837" s="10"/>
      <c r="AF1837" s="10"/>
      <c r="AG1837" s="10"/>
      <c r="AH1837" s="10"/>
      <c r="AI1837" s="10"/>
    </row>
    <row r="1838" spans="1:35">
      <c r="A1838" s="10"/>
      <c r="B1838" s="10" t="str">
        <f t="shared" si="762"/>
        <v>Below the Line</v>
      </c>
      <c r="C1838" t="s">
        <v>20</v>
      </c>
      <c r="D1838" t="s">
        <v>19</v>
      </c>
      <c r="E1838" t="s">
        <v>214</v>
      </c>
      <c r="F1838" t="s">
        <v>5116</v>
      </c>
      <c r="G1838" t="s">
        <v>1037</v>
      </c>
      <c r="I1838" s="10"/>
      <c r="J1838" s="107">
        <f>SUMIF(Data!C:C,G1838,Data!Q:Q)</f>
        <v>0</v>
      </c>
      <c r="K1838" s="107">
        <f>SUMIF(Comprometidos!A:A,'Cost Report'!G1838,Comprometidos!E:E)</f>
        <v>0</v>
      </c>
      <c r="L1838" s="107">
        <f t="shared" si="757"/>
        <v>0</v>
      </c>
      <c r="M1838" s="107">
        <f t="shared" si="758"/>
        <v>0</v>
      </c>
      <c r="N1838" s="107">
        <f t="shared" si="759"/>
        <v>0</v>
      </c>
      <c r="O1838" s="107">
        <f>VLOOKUP(G1838,Budget!$E$3:$G$2474,3,0)</f>
        <v>0</v>
      </c>
      <c r="P1838" s="107">
        <f t="shared" si="760"/>
        <v>0</v>
      </c>
      <c r="Q1838" s="107"/>
      <c r="R1838" s="10"/>
      <c r="S1838" s="107">
        <v>0</v>
      </c>
      <c r="T1838" s="107">
        <f t="shared" si="747"/>
        <v>0</v>
      </c>
      <c r="U1838" s="107"/>
      <c r="V1838" s="175"/>
      <c r="W1838" s="10"/>
      <c r="X1838" s="10"/>
      <c r="Y1838" t="str">
        <f t="shared" si="763"/>
        <v>3683</v>
      </c>
      <c r="AB1838" s="10"/>
      <c r="AC1838" s="10"/>
      <c r="AD1838" s="10"/>
      <c r="AE1838" s="10"/>
      <c r="AF1838" s="10"/>
      <c r="AG1838" s="10"/>
      <c r="AH1838" s="10"/>
      <c r="AI1838" s="10"/>
    </row>
    <row r="1839" spans="1:35">
      <c r="A1839" s="10"/>
      <c r="B1839" s="10" t="str">
        <f t="shared" si="762"/>
        <v>Below the LinePREP</v>
      </c>
      <c r="C1839" t="s">
        <v>20</v>
      </c>
      <c r="D1839" t="s">
        <v>19</v>
      </c>
      <c r="E1839" t="s">
        <v>234</v>
      </c>
      <c r="F1839" t="s">
        <v>5116</v>
      </c>
      <c r="G1839" t="s">
        <v>1038</v>
      </c>
      <c r="I1839" s="10"/>
      <c r="J1839" s="107">
        <f>SUMIF(Data!C:C,G1839,Data!Q:Q)</f>
        <v>40637.380000000005</v>
      </c>
      <c r="K1839" s="107">
        <f>SUMIF(Comprometidos!A:A,'Cost Report'!G1839,Comprometidos!E:E)</f>
        <v>0</v>
      </c>
      <c r="L1839" s="107">
        <f t="shared" si="757"/>
        <v>40637.380000000005</v>
      </c>
      <c r="M1839" s="107">
        <v>0</v>
      </c>
      <c r="N1839" s="107">
        <f t="shared" si="759"/>
        <v>40637.380000000005</v>
      </c>
      <c r="O1839" s="107">
        <f>VLOOKUP(G1839,Budget!$E$3:$G$2474,3,0)</f>
        <v>60000</v>
      </c>
      <c r="P1839" s="107">
        <f t="shared" si="760"/>
        <v>19362.619999999995</v>
      </c>
      <c r="Q1839" s="107"/>
      <c r="R1839" s="10"/>
      <c r="S1839" s="107">
        <v>40637.380000000005</v>
      </c>
      <c r="T1839" s="107">
        <f t="shared" si="747"/>
        <v>0</v>
      </c>
      <c r="U1839" s="107"/>
      <c r="V1839" s="175"/>
      <c r="W1839" s="10"/>
      <c r="X1839" s="10"/>
      <c r="Y1839" t="str">
        <f t="shared" si="763"/>
        <v>3683</v>
      </c>
      <c r="AB1839" s="10"/>
      <c r="AC1839" s="10"/>
      <c r="AD1839" s="10"/>
      <c r="AE1839" s="10"/>
      <c r="AF1839" s="10"/>
      <c r="AG1839" s="10"/>
      <c r="AH1839" s="10"/>
      <c r="AI1839" s="10"/>
    </row>
    <row r="1840" spans="1:35">
      <c r="A1840" s="10"/>
      <c r="B1840" s="10" t="str">
        <f t="shared" si="762"/>
        <v>Below the LineSHOOT</v>
      </c>
      <c r="C1840" t="s">
        <v>20</v>
      </c>
      <c r="D1840" t="s">
        <v>19</v>
      </c>
      <c r="E1840" t="s">
        <v>236</v>
      </c>
      <c r="F1840" t="s">
        <v>5116</v>
      </c>
      <c r="G1840" t="s">
        <v>1039</v>
      </c>
      <c r="I1840" s="10"/>
      <c r="J1840" s="107">
        <f>SUMIF(Data!C:C,G1840,Data!Q:Q)</f>
        <v>294642.83</v>
      </c>
      <c r="K1840" s="107">
        <f>SUMIF(Comprometidos!A:A,'Cost Report'!G1840,Comprometidos!E:E)</f>
        <v>0</v>
      </c>
      <c r="L1840" s="107">
        <f t="shared" si="757"/>
        <v>294642.83</v>
      </c>
      <c r="M1840" s="107">
        <v>0</v>
      </c>
      <c r="N1840" s="107">
        <f t="shared" si="759"/>
        <v>294642.83</v>
      </c>
      <c r="O1840" s="107">
        <f>VLOOKUP(G1840,Budget!$E$3:$G$2474,3,0)</f>
        <v>210000</v>
      </c>
      <c r="P1840" s="107">
        <f t="shared" si="760"/>
        <v>-84642.830000000016</v>
      </c>
      <c r="Q1840" s="107"/>
      <c r="R1840" s="10"/>
      <c r="S1840" s="107">
        <v>294642.83</v>
      </c>
      <c r="T1840" s="107">
        <f t="shared" si="747"/>
        <v>0</v>
      </c>
      <c r="U1840" s="107"/>
      <c r="V1840" s="175"/>
      <c r="W1840" s="10"/>
      <c r="X1840" s="10"/>
      <c r="Y1840" t="str">
        <f t="shared" si="763"/>
        <v>3683</v>
      </c>
      <c r="AB1840" s="10"/>
      <c r="AC1840" s="10"/>
      <c r="AD1840" s="10"/>
      <c r="AE1840" s="10"/>
      <c r="AF1840" s="10"/>
      <c r="AG1840" s="10"/>
      <c r="AH1840" s="10"/>
      <c r="AI1840" s="10"/>
    </row>
    <row r="1841" spans="1:35">
      <c r="A1841" s="10"/>
      <c r="B1841" s="10" t="str">
        <f t="shared" si="762"/>
        <v>Below the LineWRAP</v>
      </c>
      <c r="C1841" t="s">
        <v>20</v>
      </c>
      <c r="D1841" t="s">
        <v>19</v>
      </c>
      <c r="E1841" t="s">
        <v>238</v>
      </c>
      <c r="F1841" t="s">
        <v>5116</v>
      </c>
      <c r="G1841" t="s">
        <v>1040</v>
      </c>
      <c r="I1841" s="10"/>
      <c r="J1841" s="107">
        <f>SUMIF(Data!C:C,G1841,Data!Q:Q)</f>
        <v>0</v>
      </c>
      <c r="K1841" s="107">
        <f>SUMIF(Comprometidos!A:A,'Cost Report'!G1841,Comprometidos!E:E)</f>
        <v>0</v>
      </c>
      <c r="L1841" s="107">
        <f t="shared" si="757"/>
        <v>0</v>
      </c>
      <c r="M1841" s="107">
        <v>0</v>
      </c>
      <c r="N1841" s="107">
        <f t="shared" si="759"/>
        <v>0</v>
      </c>
      <c r="O1841" s="107">
        <f>VLOOKUP(G1841,Budget!$E$3:$G$2474,3,0)</f>
        <v>30000</v>
      </c>
      <c r="P1841" s="107">
        <f t="shared" si="760"/>
        <v>30000</v>
      </c>
      <c r="Q1841" s="107"/>
      <c r="R1841" s="10"/>
      <c r="S1841" s="107">
        <v>0</v>
      </c>
      <c r="T1841" s="107">
        <f t="shared" si="747"/>
        <v>0</v>
      </c>
      <c r="U1841" s="107"/>
      <c r="V1841" s="175"/>
      <c r="W1841" s="10"/>
      <c r="X1841" s="10"/>
      <c r="Y1841" t="str">
        <f t="shared" si="763"/>
        <v>3683</v>
      </c>
      <c r="AB1841" s="10"/>
      <c r="AC1841" s="10"/>
      <c r="AD1841" s="10"/>
      <c r="AE1841" s="10"/>
      <c r="AF1841" s="10"/>
      <c r="AG1841" s="10"/>
      <c r="AH1841" s="10"/>
      <c r="AI1841" s="10"/>
    </row>
    <row r="1842" spans="1:35">
      <c r="A1842" s="10"/>
      <c r="B1842" s="10" t="str">
        <f t="shared" si="762"/>
        <v>Below the Line</v>
      </c>
      <c r="C1842" t="s">
        <v>20</v>
      </c>
      <c r="D1842" t="s">
        <v>19</v>
      </c>
      <c r="E1842" t="s">
        <v>214</v>
      </c>
      <c r="F1842" t="s">
        <v>5116</v>
      </c>
      <c r="G1842" t="s">
        <v>1041</v>
      </c>
      <c r="I1842" s="10"/>
      <c r="J1842" s="107">
        <f>SUMIF(Data!C:C,G1842,Data!Q:Q)</f>
        <v>0</v>
      </c>
      <c r="K1842" s="107">
        <f>SUMIF(Comprometidos!A:A,'Cost Report'!G1842,Comprometidos!E:E)</f>
        <v>0</v>
      </c>
      <c r="L1842" s="107">
        <f t="shared" si="757"/>
        <v>0</v>
      </c>
      <c r="M1842" s="107">
        <f t="shared" si="758"/>
        <v>0</v>
      </c>
      <c r="N1842" s="107">
        <f t="shared" si="759"/>
        <v>0</v>
      </c>
      <c r="O1842" s="107">
        <f>VLOOKUP(G1842,Budget!$E$3:$G$2474,3,0)</f>
        <v>0</v>
      </c>
      <c r="P1842" s="107">
        <f t="shared" si="760"/>
        <v>0</v>
      </c>
      <c r="Q1842" s="107"/>
      <c r="R1842" s="10"/>
      <c r="S1842" s="107">
        <v>0</v>
      </c>
      <c r="T1842" s="107">
        <f t="shared" si="747"/>
        <v>0</v>
      </c>
      <c r="U1842" s="107"/>
      <c r="V1842" s="175"/>
      <c r="W1842" s="10"/>
      <c r="X1842" s="10"/>
      <c r="Y1842" t="str">
        <f t="shared" si="763"/>
        <v>3683</v>
      </c>
      <c r="AB1842" s="10"/>
      <c r="AC1842" s="10"/>
      <c r="AD1842" s="10"/>
      <c r="AE1842" s="10"/>
      <c r="AF1842" s="10"/>
      <c r="AG1842" s="10"/>
      <c r="AH1842" s="10"/>
      <c r="AI1842" s="10"/>
    </row>
    <row r="1843" spans="1:35">
      <c r="A1843" s="10"/>
      <c r="B1843" s="10" t="str">
        <f t="shared" si="762"/>
        <v>Below the LinePREP</v>
      </c>
      <c r="C1843" t="s">
        <v>20</v>
      </c>
      <c r="D1843" t="s">
        <v>19</v>
      </c>
      <c r="E1843" t="s">
        <v>234</v>
      </c>
      <c r="F1843" t="s">
        <v>5116</v>
      </c>
      <c r="G1843" t="s">
        <v>1042</v>
      </c>
      <c r="I1843" s="10"/>
      <c r="J1843" s="107">
        <f>SUMIF(Data!C:C,G1843,Data!Q:Q)</f>
        <v>26158.7</v>
      </c>
      <c r="K1843" s="107">
        <f>SUMIF(Comprometidos!A:A,'Cost Report'!G1843,Comprometidos!E:E)</f>
        <v>0</v>
      </c>
      <c r="L1843" s="107">
        <f t="shared" si="757"/>
        <v>26158.7</v>
      </c>
      <c r="M1843" s="107">
        <v>0</v>
      </c>
      <c r="N1843" s="107">
        <f t="shared" si="759"/>
        <v>26158.7</v>
      </c>
      <c r="O1843" s="107">
        <f>VLOOKUP(G1843,Budget!$E$3:$G$2474,3,0)</f>
        <v>45000</v>
      </c>
      <c r="P1843" s="107">
        <f t="shared" si="760"/>
        <v>18841.3</v>
      </c>
      <c r="Q1843" s="107"/>
      <c r="R1843" s="10"/>
      <c r="S1843" s="107">
        <v>26158.7</v>
      </c>
      <c r="T1843" s="107">
        <f t="shared" si="747"/>
        <v>0</v>
      </c>
      <c r="U1843" s="107"/>
      <c r="V1843" s="175"/>
      <c r="W1843" s="10"/>
      <c r="X1843" s="10"/>
      <c r="Y1843" t="str">
        <f t="shared" si="763"/>
        <v>3683</v>
      </c>
      <c r="AB1843" s="10"/>
      <c r="AC1843" s="10"/>
      <c r="AD1843" s="10"/>
      <c r="AE1843" s="10"/>
      <c r="AF1843" s="10"/>
      <c r="AG1843" s="10"/>
      <c r="AH1843" s="10"/>
      <c r="AI1843" s="10"/>
    </row>
    <row r="1844" spans="1:35">
      <c r="A1844" s="10"/>
      <c r="B1844" s="10" t="str">
        <f t="shared" si="762"/>
        <v>Below the LineSHOOT</v>
      </c>
      <c r="C1844" t="s">
        <v>20</v>
      </c>
      <c r="D1844" t="s">
        <v>19</v>
      </c>
      <c r="E1844" t="s">
        <v>236</v>
      </c>
      <c r="F1844" t="s">
        <v>5116</v>
      </c>
      <c r="G1844" t="s">
        <v>1043</v>
      </c>
      <c r="I1844" s="10"/>
      <c r="J1844" s="107">
        <f>SUMIF(Data!C:C,G1844,Data!Q:Q)</f>
        <v>440579.56000000006</v>
      </c>
      <c r="K1844" s="107">
        <f>SUMIF(Comprometidos!A:A,'Cost Report'!G1844,Comprometidos!E:E)</f>
        <v>0</v>
      </c>
      <c r="L1844" s="107">
        <f t="shared" si="757"/>
        <v>440579.56000000006</v>
      </c>
      <c r="M1844" s="107">
        <v>0</v>
      </c>
      <c r="N1844" s="107">
        <f t="shared" si="759"/>
        <v>440579.56000000006</v>
      </c>
      <c r="O1844" s="107">
        <f>VLOOKUP(G1844,Budget!$E$3:$G$2474,3,0)</f>
        <v>315000</v>
      </c>
      <c r="P1844" s="107">
        <f t="shared" si="760"/>
        <v>-125579.56000000006</v>
      </c>
      <c r="Q1844" s="107"/>
      <c r="R1844" s="10"/>
      <c r="S1844" s="107">
        <v>440579.56000000006</v>
      </c>
      <c r="T1844" s="107">
        <f t="shared" si="747"/>
        <v>0</v>
      </c>
      <c r="U1844" s="107"/>
      <c r="V1844" s="175"/>
      <c r="W1844" s="10"/>
      <c r="X1844" s="10"/>
      <c r="Y1844" t="str">
        <f t="shared" si="763"/>
        <v>3683</v>
      </c>
      <c r="AB1844" s="10"/>
      <c r="AC1844" s="10"/>
      <c r="AD1844" s="10"/>
      <c r="AE1844" s="10"/>
      <c r="AF1844" s="10"/>
      <c r="AG1844" s="10"/>
      <c r="AH1844" s="10"/>
      <c r="AI1844" s="10"/>
    </row>
    <row r="1845" spans="1:35">
      <c r="A1845" s="10"/>
      <c r="B1845" s="10" t="str">
        <f t="shared" si="762"/>
        <v>Below the LineWRAP</v>
      </c>
      <c r="C1845" t="s">
        <v>20</v>
      </c>
      <c r="D1845" t="s">
        <v>19</v>
      </c>
      <c r="E1845" t="s">
        <v>238</v>
      </c>
      <c r="F1845" t="s">
        <v>5116</v>
      </c>
      <c r="G1845" t="s">
        <v>1044</v>
      </c>
      <c r="I1845" s="10"/>
      <c r="J1845" s="107">
        <f>SUMIF(Data!C:C,G1845,Data!Q:Q)</f>
        <v>0</v>
      </c>
      <c r="K1845" s="107">
        <f>SUMIF(Comprometidos!A:A,'Cost Report'!G1845,Comprometidos!E:E)</f>
        <v>0</v>
      </c>
      <c r="L1845" s="107">
        <f t="shared" si="757"/>
        <v>0</v>
      </c>
      <c r="M1845" s="107">
        <v>0</v>
      </c>
      <c r="N1845" s="107">
        <f t="shared" si="759"/>
        <v>0</v>
      </c>
      <c r="O1845" s="107">
        <f>VLOOKUP(G1845,Budget!$E$3:$G$2474,3,0)</f>
        <v>45000</v>
      </c>
      <c r="P1845" s="107">
        <f t="shared" si="760"/>
        <v>45000</v>
      </c>
      <c r="Q1845" s="107"/>
      <c r="R1845" s="10"/>
      <c r="S1845" s="107">
        <v>0</v>
      </c>
      <c r="T1845" s="107">
        <f t="shared" si="747"/>
        <v>0</v>
      </c>
      <c r="U1845" s="107"/>
      <c r="V1845" s="175"/>
      <c r="W1845" s="10"/>
      <c r="X1845" s="10"/>
      <c r="Y1845" t="str">
        <f t="shared" si="763"/>
        <v>3683</v>
      </c>
      <c r="AB1845" s="10"/>
      <c r="AC1845" s="10"/>
      <c r="AD1845" s="10"/>
      <c r="AE1845" s="10"/>
      <c r="AF1845" s="10"/>
      <c r="AG1845" s="10"/>
      <c r="AH1845" s="10"/>
      <c r="AI1845" s="10"/>
    </row>
    <row r="1846" spans="1:35">
      <c r="A1846" s="10"/>
      <c r="B1846" s="10" t="str">
        <f t="shared" si="762"/>
        <v>Below the Line</v>
      </c>
      <c r="C1846" t="s">
        <v>20</v>
      </c>
      <c r="D1846" t="s">
        <v>19</v>
      </c>
      <c r="E1846" t="s">
        <v>214</v>
      </c>
      <c r="F1846" t="s">
        <v>5116</v>
      </c>
      <c r="G1846" t="s">
        <v>1045</v>
      </c>
      <c r="I1846" s="10"/>
      <c r="J1846" s="107">
        <f>SUMIF(Data!C:C,G1846,Data!Q:Q)</f>
        <v>0</v>
      </c>
      <c r="K1846" s="107">
        <f>SUMIF(Comprometidos!A:A,'Cost Report'!G1846,Comprometidos!E:E)</f>
        <v>0</v>
      </c>
      <c r="L1846" s="107">
        <f t="shared" si="757"/>
        <v>0</v>
      </c>
      <c r="M1846" s="107">
        <f t="shared" si="758"/>
        <v>0</v>
      </c>
      <c r="N1846" s="107">
        <f t="shared" si="759"/>
        <v>0</v>
      </c>
      <c r="O1846" s="107">
        <f>VLOOKUP(G1846,Budget!$E$3:$G$2474,3,0)</f>
        <v>0</v>
      </c>
      <c r="P1846" s="107">
        <f t="shared" si="760"/>
        <v>0</v>
      </c>
      <c r="Q1846" s="107"/>
      <c r="R1846" s="10"/>
      <c r="S1846" s="107">
        <v>0</v>
      </c>
      <c r="T1846" s="107">
        <f t="shared" si="747"/>
        <v>0</v>
      </c>
      <c r="U1846" s="107"/>
      <c r="V1846" s="175"/>
      <c r="W1846" s="10"/>
      <c r="X1846" s="10"/>
      <c r="Y1846" t="str">
        <f t="shared" si="763"/>
        <v>3683</v>
      </c>
      <c r="AB1846" s="10"/>
      <c r="AC1846" s="10"/>
      <c r="AD1846" s="10"/>
      <c r="AE1846" s="10"/>
      <c r="AF1846" s="10"/>
      <c r="AG1846" s="10"/>
      <c r="AH1846" s="10"/>
      <c r="AI1846" s="10"/>
    </row>
    <row r="1847" spans="1:35">
      <c r="A1847" s="10"/>
      <c r="B1847" s="10" t="str">
        <f t="shared" si="762"/>
        <v>Below the LinePREP</v>
      </c>
      <c r="C1847" t="s">
        <v>20</v>
      </c>
      <c r="D1847" t="s">
        <v>19</v>
      </c>
      <c r="E1847" t="s">
        <v>234</v>
      </c>
      <c r="F1847" t="s">
        <v>5116</v>
      </c>
      <c r="G1847" t="s">
        <v>1046</v>
      </c>
      <c r="I1847" s="10"/>
      <c r="J1847" s="107">
        <f>SUMIF(Data!C:C,G1847,Data!Q:Q)</f>
        <v>6394.35</v>
      </c>
      <c r="K1847" s="107">
        <f>SUMIF(Comprometidos!A:A,'Cost Report'!G1847,Comprometidos!E:E)</f>
        <v>0</v>
      </c>
      <c r="L1847" s="107">
        <f t="shared" si="757"/>
        <v>6394.35</v>
      </c>
      <c r="M1847" s="107">
        <v>0</v>
      </c>
      <c r="N1847" s="107">
        <f t="shared" si="759"/>
        <v>6394.35</v>
      </c>
      <c r="O1847" s="107">
        <f>VLOOKUP(G1847,Budget!$E$3:$G$2474,3,0)</f>
        <v>11000</v>
      </c>
      <c r="P1847" s="107">
        <f t="shared" si="760"/>
        <v>4605.6499999999996</v>
      </c>
      <c r="Q1847" s="107"/>
      <c r="R1847" s="10"/>
      <c r="S1847" s="107">
        <v>6394.35</v>
      </c>
      <c r="T1847" s="107">
        <f t="shared" si="747"/>
        <v>0</v>
      </c>
      <c r="U1847" s="107"/>
      <c r="V1847" s="175"/>
      <c r="W1847" s="10"/>
      <c r="X1847" s="10"/>
      <c r="Y1847" t="str">
        <f t="shared" si="763"/>
        <v>3683</v>
      </c>
      <c r="AB1847" s="10"/>
      <c r="AC1847" s="10"/>
      <c r="AD1847" s="10"/>
      <c r="AE1847" s="10"/>
      <c r="AF1847" s="10"/>
      <c r="AG1847" s="10"/>
      <c r="AH1847" s="10"/>
      <c r="AI1847" s="10"/>
    </row>
    <row r="1848" spans="1:35">
      <c r="A1848" s="10"/>
      <c r="B1848" s="10" t="str">
        <f t="shared" si="762"/>
        <v>Below the LineSHOOT</v>
      </c>
      <c r="C1848" t="s">
        <v>20</v>
      </c>
      <c r="D1848" t="s">
        <v>19</v>
      </c>
      <c r="E1848" t="s">
        <v>236</v>
      </c>
      <c r="F1848" t="s">
        <v>5116</v>
      </c>
      <c r="G1848" t="s">
        <v>1047</v>
      </c>
      <c r="I1848" s="10"/>
      <c r="J1848" s="107">
        <f>SUMIF(Data!C:C,G1848,Data!Q:Q)</f>
        <v>215394.46000000005</v>
      </c>
      <c r="K1848" s="107">
        <f>SUMIF(Comprometidos!A:A,'Cost Report'!G1848,Comprometidos!E:E)</f>
        <v>0</v>
      </c>
      <c r="L1848" s="107">
        <f t="shared" si="757"/>
        <v>215394.46000000005</v>
      </c>
      <c r="M1848" s="107">
        <v>0</v>
      </c>
      <c r="N1848" s="107">
        <f t="shared" si="759"/>
        <v>215394.46000000005</v>
      </c>
      <c r="O1848" s="107">
        <f>VLOOKUP(G1848,Budget!$E$3:$G$2474,3,0)</f>
        <v>154000</v>
      </c>
      <c r="P1848" s="107">
        <f t="shared" si="760"/>
        <v>-61394.46000000005</v>
      </c>
      <c r="Q1848" s="107"/>
      <c r="R1848" s="10"/>
      <c r="S1848" s="107">
        <v>215394.46000000005</v>
      </c>
      <c r="T1848" s="107">
        <f t="shared" si="747"/>
        <v>0</v>
      </c>
      <c r="U1848" s="107"/>
      <c r="V1848" s="175"/>
      <c r="W1848" s="10"/>
      <c r="X1848" s="10"/>
      <c r="Y1848" t="str">
        <f t="shared" si="763"/>
        <v>3683</v>
      </c>
      <c r="AB1848" s="10"/>
      <c r="AC1848" s="10"/>
      <c r="AD1848" s="10"/>
      <c r="AE1848" s="10"/>
      <c r="AF1848" s="10"/>
      <c r="AG1848" s="10"/>
      <c r="AH1848" s="10"/>
      <c r="AI1848" s="10"/>
    </row>
    <row r="1849" spans="1:35">
      <c r="A1849" s="10"/>
      <c r="B1849" s="10" t="str">
        <f t="shared" si="762"/>
        <v>Below the LineWRAP</v>
      </c>
      <c r="C1849" t="s">
        <v>20</v>
      </c>
      <c r="D1849" t="s">
        <v>19</v>
      </c>
      <c r="E1849" t="s">
        <v>238</v>
      </c>
      <c r="F1849" t="s">
        <v>5116</v>
      </c>
      <c r="G1849" t="s">
        <v>1048</v>
      </c>
      <c r="I1849" s="10"/>
      <c r="J1849" s="107">
        <f>SUMIF(Data!C:C,G1849,Data!Q:Q)</f>
        <v>0</v>
      </c>
      <c r="K1849" s="107">
        <f>SUMIF(Comprometidos!A:A,'Cost Report'!G1849,Comprometidos!E:E)</f>
        <v>0</v>
      </c>
      <c r="L1849" s="107">
        <f t="shared" si="757"/>
        <v>0</v>
      </c>
      <c r="M1849" s="107">
        <v>0</v>
      </c>
      <c r="N1849" s="107">
        <f t="shared" si="759"/>
        <v>0</v>
      </c>
      <c r="O1849" s="107">
        <f>VLOOKUP(G1849,Budget!$E$3:$G$2474,3,0)</f>
        <v>11000</v>
      </c>
      <c r="P1849" s="107">
        <f t="shared" si="760"/>
        <v>11000</v>
      </c>
      <c r="Q1849" s="107"/>
      <c r="R1849" s="10"/>
      <c r="S1849" s="107">
        <v>0</v>
      </c>
      <c r="T1849" s="107">
        <f t="shared" si="747"/>
        <v>0</v>
      </c>
      <c r="U1849" s="107"/>
      <c r="V1849" s="175"/>
      <c r="W1849" s="10"/>
      <c r="X1849" s="10"/>
      <c r="Y1849" t="str">
        <f t="shared" si="763"/>
        <v>3683</v>
      </c>
      <c r="AB1849" s="10"/>
      <c r="AC1849" s="10"/>
      <c r="AD1849" s="10"/>
      <c r="AE1849" s="10"/>
      <c r="AF1849" s="10"/>
      <c r="AG1849" s="10"/>
      <c r="AH1849" s="10"/>
      <c r="AI1849" s="10"/>
    </row>
    <row r="1850" spans="1:35">
      <c r="A1850" s="10"/>
      <c r="B1850" s="10" t="str">
        <f t="shared" si="762"/>
        <v>Below the Line</v>
      </c>
      <c r="C1850" t="s">
        <v>20</v>
      </c>
      <c r="D1850" t="s">
        <v>19</v>
      </c>
      <c r="E1850" t="s">
        <v>214</v>
      </c>
      <c r="F1850" t="s">
        <v>5116</v>
      </c>
      <c r="G1850" t="s">
        <v>1049</v>
      </c>
      <c r="I1850" s="10"/>
      <c r="J1850" s="107">
        <f>SUMIF(Data!C:C,G1850,Data!Q:Q)</f>
        <v>0</v>
      </c>
      <c r="K1850" s="107">
        <f>SUMIF(Comprometidos!A:A,'Cost Report'!G1850,Comprometidos!E:E)</f>
        <v>0</v>
      </c>
      <c r="L1850" s="107">
        <f t="shared" si="757"/>
        <v>0</v>
      </c>
      <c r="M1850" s="107">
        <f t="shared" si="758"/>
        <v>0</v>
      </c>
      <c r="N1850" s="107">
        <f t="shared" si="759"/>
        <v>0</v>
      </c>
      <c r="O1850" s="107">
        <f>VLOOKUP(G1850,Budget!$E$3:$G$2474,3,0)</f>
        <v>0</v>
      </c>
      <c r="P1850" s="107">
        <f t="shared" si="760"/>
        <v>0</v>
      </c>
      <c r="Q1850" s="107"/>
      <c r="R1850" s="10"/>
      <c r="S1850" s="107">
        <v>0</v>
      </c>
      <c r="T1850" s="107">
        <f t="shared" si="747"/>
        <v>0</v>
      </c>
      <c r="U1850" s="107"/>
      <c r="V1850" s="175"/>
      <c r="W1850" s="10"/>
      <c r="X1850" s="10"/>
      <c r="Y1850" t="str">
        <f t="shared" si="763"/>
        <v>3683</v>
      </c>
      <c r="AB1850" s="10"/>
      <c r="AC1850" s="10"/>
      <c r="AD1850" s="10"/>
      <c r="AE1850" s="10"/>
      <c r="AF1850" s="10"/>
      <c r="AG1850" s="10"/>
      <c r="AH1850" s="10"/>
      <c r="AI1850" s="10"/>
    </row>
    <row r="1851" spans="1:35">
      <c r="A1851" s="10"/>
      <c r="B1851" s="10" t="str">
        <f t="shared" si="762"/>
        <v>Below the LinePREP</v>
      </c>
      <c r="C1851" t="s">
        <v>20</v>
      </c>
      <c r="D1851" t="s">
        <v>19</v>
      </c>
      <c r="E1851" t="s">
        <v>234</v>
      </c>
      <c r="F1851" t="s">
        <v>5116</v>
      </c>
      <c r="G1851" t="s">
        <v>1050</v>
      </c>
      <c r="I1851" s="10"/>
      <c r="J1851" s="107">
        <f>SUMIF(Data!C:C,G1851,Data!Q:Q)</f>
        <v>6278.09</v>
      </c>
      <c r="K1851" s="107">
        <f>SUMIF(Comprometidos!A:A,'Cost Report'!G1851,Comprometidos!E:E)</f>
        <v>0</v>
      </c>
      <c r="L1851" s="107">
        <f t="shared" si="757"/>
        <v>6278.09</v>
      </c>
      <c r="M1851" s="107">
        <v>0</v>
      </c>
      <c r="N1851" s="107">
        <f t="shared" si="759"/>
        <v>6278.09</v>
      </c>
      <c r="O1851" s="107">
        <f>VLOOKUP(G1851,Budget!$E$3:$G$2474,3,0)</f>
        <v>10800</v>
      </c>
      <c r="P1851" s="107">
        <f t="shared" si="760"/>
        <v>4521.91</v>
      </c>
      <c r="Q1851" s="107"/>
      <c r="R1851" s="10"/>
      <c r="S1851" s="107">
        <v>6278.09</v>
      </c>
      <c r="T1851" s="107">
        <f t="shared" si="747"/>
        <v>0</v>
      </c>
      <c r="U1851" s="107"/>
      <c r="V1851" s="175"/>
      <c r="W1851" s="10"/>
      <c r="X1851" s="10"/>
      <c r="Y1851" t="str">
        <f t="shared" si="763"/>
        <v>3683</v>
      </c>
      <c r="AB1851" s="10"/>
      <c r="AC1851" s="10"/>
      <c r="AD1851" s="10"/>
      <c r="AE1851" s="10"/>
      <c r="AF1851" s="10"/>
      <c r="AG1851" s="10"/>
      <c r="AH1851" s="10"/>
      <c r="AI1851" s="10"/>
    </row>
    <row r="1852" spans="1:35">
      <c r="A1852" s="10"/>
      <c r="B1852" s="10" t="str">
        <f t="shared" si="762"/>
        <v>Below the LineSHOOT</v>
      </c>
      <c r="C1852" t="s">
        <v>20</v>
      </c>
      <c r="D1852" t="s">
        <v>19</v>
      </c>
      <c r="E1852" t="s">
        <v>236</v>
      </c>
      <c r="F1852" t="s">
        <v>5116</v>
      </c>
      <c r="G1852" t="s">
        <v>1051</v>
      </c>
      <c r="I1852" s="10"/>
      <c r="J1852" s="107">
        <f>SUMIF(Data!C:C,G1852,Data!Q:Q)</f>
        <v>210149.05000000002</v>
      </c>
      <c r="K1852" s="107">
        <f>SUMIF(Comprometidos!A:A,'Cost Report'!G1852,Comprometidos!E:E)</f>
        <v>0</v>
      </c>
      <c r="L1852" s="107">
        <f t="shared" si="757"/>
        <v>210149.05000000002</v>
      </c>
      <c r="M1852" s="107">
        <v>0</v>
      </c>
      <c r="N1852" s="107">
        <f t="shared" si="759"/>
        <v>210149.05000000002</v>
      </c>
      <c r="O1852" s="107">
        <f>VLOOKUP(G1852,Budget!$E$3:$G$2474,3,0)</f>
        <v>151200</v>
      </c>
      <c r="P1852" s="107">
        <f t="shared" si="760"/>
        <v>-58949.050000000017</v>
      </c>
      <c r="Q1852" s="107"/>
      <c r="R1852" s="10"/>
      <c r="S1852" s="107">
        <v>210149.05000000002</v>
      </c>
      <c r="T1852" s="107">
        <f t="shared" si="747"/>
        <v>0</v>
      </c>
      <c r="U1852" s="107"/>
      <c r="V1852" s="175"/>
      <c r="W1852" s="10"/>
      <c r="X1852" s="10"/>
      <c r="Y1852" t="str">
        <f t="shared" si="763"/>
        <v>3683</v>
      </c>
      <c r="AB1852" s="10"/>
      <c r="AC1852" s="10"/>
      <c r="AD1852" s="10"/>
      <c r="AE1852" s="10"/>
      <c r="AF1852" s="10"/>
      <c r="AG1852" s="10"/>
      <c r="AH1852" s="10"/>
      <c r="AI1852" s="10"/>
    </row>
    <row r="1853" spans="1:35">
      <c r="A1853" s="10"/>
      <c r="B1853" s="10" t="str">
        <f t="shared" si="762"/>
        <v>Below the LineWRAP</v>
      </c>
      <c r="C1853" t="s">
        <v>20</v>
      </c>
      <c r="D1853" t="s">
        <v>19</v>
      </c>
      <c r="E1853" t="s">
        <v>238</v>
      </c>
      <c r="F1853" t="s">
        <v>5116</v>
      </c>
      <c r="G1853" t="s">
        <v>1052</v>
      </c>
      <c r="I1853" s="10"/>
      <c r="J1853" s="107">
        <f>SUMIF(Data!C:C,G1853,Data!Q:Q)</f>
        <v>0</v>
      </c>
      <c r="K1853" s="107">
        <f>SUMIF(Comprometidos!A:A,'Cost Report'!G1853,Comprometidos!E:E)</f>
        <v>0</v>
      </c>
      <c r="L1853" s="107">
        <f t="shared" si="757"/>
        <v>0</v>
      </c>
      <c r="M1853" s="107">
        <v>0</v>
      </c>
      <c r="N1853" s="107">
        <f t="shared" si="759"/>
        <v>0</v>
      </c>
      <c r="O1853" s="107">
        <f>VLOOKUP(G1853,Budget!$E$3:$G$2474,3,0)</f>
        <v>10800</v>
      </c>
      <c r="P1853" s="107">
        <f t="shared" si="760"/>
        <v>10800</v>
      </c>
      <c r="Q1853" s="107"/>
      <c r="R1853" s="10"/>
      <c r="S1853" s="107">
        <v>0</v>
      </c>
      <c r="T1853" s="107">
        <f t="shared" si="747"/>
        <v>0</v>
      </c>
      <c r="U1853" s="107"/>
      <c r="V1853" s="175"/>
      <c r="W1853" s="10"/>
      <c r="X1853" s="10"/>
      <c r="Y1853" t="str">
        <f t="shared" si="763"/>
        <v>3683</v>
      </c>
      <c r="AB1853" s="10"/>
      <c r="AC1853" s="10"/>
      <c r="AD1853" s="10"/>
      <c r="AE1853" s="10"/>
      <c r="AF1853" s="10"/>
      <c r="AG1853" s="10"/>
      <c r="AH1853" s="10"/>
      <c r="AI1853" s="10"/>
    </row>
    <row r="1854" spans="1:35">
      <c r="A1854" s="10"/>
      <c r="B1854" s="10" t="str">
        <f t="shared" si="762"/>
        <v>Below the Line</v>
      </c>
      <c r="C1854" t="s">
        <v>20</v>
      </c>
      <c r="D1854" t="s">
        <v>19</v>
      </c>
      <c r="E1854" t="s">
        <v>214</v>
      </c>
      <c r="G1854" t="s">
        <v>1053</v>
      </c>
      <c r="I1854" s="10"/>
      <c r="J1854" s="107">
        <f>SUMIF(Data!C:C,G1854,Data!Q:Q)</f>
        <v>0</v>
      </c>
      <c r="K1854" s="107">
        <f>SUMIF(Comprometidos!A:A,'Cost Report'!G1854,Comprometidos!E:E)</f>
        <v>0</v>
      </c>
      <c r="L1854" s="107">
        <f t="shared" si="757"/>
        <v>0</v>
      </c>
      <c r="M1854" s="107">
        <f t="shared" si="758"/>
        <v>0</v>
      </c>
      <c r="N1854" s="107">
        <f t="shared" si="759"/>
        <v>0</v>
      </c>
      <c r="O1854" s="107">
        <f>VLOOKUP(G1854,Budget!$E$3:$G$2474,3,0)</f>
        <v>0</v>
      </c>
      <c r="P1854" s="107">
        <f t="shared" si="760"/>
        <v>0</v>
      </c>
      <c r="Q1854" s="107"/>
      <c r="R1854" s="10"/>
      <c r="S1854" s="107">
        <v>0</v>
      </c>
      <c r="T1854" s="107">
        <f t="shared" si="747"/>
        <v>0</v>
      </c>
      <c r="U1854" s="107"/>
      <c r="V1854" s="175"/>
      <c r="W1854" s="10"/>
      <c r="X1854" s="10"/>
      <c r="Y1854" t="str">
        <f t="shared" si="763"/>
        <v>3683</v>
      </c>
      <c r="AB1854" s="10"/>
      <c r="AC1854" s="10"/>
      <c r="AD1854" s="10"/>
      <c r="AE1854" s="10"/>
      <c r="AF1854" s="10"/>
      <c r="AG1854" s="10"/>
      <c r="AH1854" s="10"/>
      <c r="AI1854" s="10"/>
    </row>
    <row r="1855" spans="1:35">
      <c r="A1855" s="10"/>
      <c r="B1855" s="10" t="str">
        <f t="shared" si="762"/>
        <v>Below the LinePREP</v>
      </c>
      <c r="C1855" t="s">
        <v>20</v>
      </c>
      <c r="D1855" t="s">
        <v>19</v>
      </c>
      <c r="E1855" t="s">
        <v>234</v>
      </c>
      <c r="G1855" t="s">
        <v>1054</v>
      </c>
      <c r="I1855" s="10"/>
      <c r="J1855" s="107">
        <f>SUMIF(Data!C:C,G1855,Data!Q:Q)</f>
        <v>0</v>
      </c>
      <c r="K1855" s="107">
        <f>SUMIF(Comprometidos!A:A,'Cost Report'!G1855,Comprometidos!E:E)</f>
        <v>0</v>
      </c>
      <c r="L1855" s="107">
        <f t="shared" si="757"/>
        <v>0</v>
      </c>
      <c r="M1855" s="107">
        <v>0</v>
      </c>
      <c r="N1855" s="107">
        <f t="shared" si="759"/>
        <v>0</v>
      </c>
      <c r="O1855" s="107">
        <f>VLOOKUP(G1855,Budget!$E$3:$G$2474,3,0)</f>
        <v>5400</v>
      </c>
      <c r="P1855" s="107">
        <f t="shared" si="760"/>
        <v>5400</v>
      </c>
      <c r="Q1855" s="107"/>
      <c r="R1855" s="10"/>
      <c r="S1855" s="107">
        <v>0</v>
      </c>
      <c r="T1855" s="107">
        <f t="shared" si="747"/>
        <v>0</v>
      </c>
      <c r="U1855" s="107"/>
      <c r="V1855" s="175"/>
      <c r="W1855" s="10"/>
      <c r="X1855" s="10"/>
      <c r="Y1855" t="str">
        <f t="shared" si="763"/>
        <v>3683</v>
      </c>
      <c r="AB1855" s="10"/>
      <c r="AC1855" s="10"/>
      <c r="AD1855" s="10"/>
      <c r="AE1855" s="10"/>
      <c r="AF1855" s="10"/>
      <c r="AG1855" s="10"/>
      <c r="AH1855" s="10"/>
      <c r="AI1855" s="10"/>
    </row>
    <row r="1856" spans="1:35">
      <c r="A1856" s="10"/>
      <c r="B1856" s="10" t="str">
        <f t="shared" si="762"/>
        <v>Below the LineSHOOT</v>
      </c>
      <c r="C1856" t="s">
        <v>20</v>
      </c>
      <c r="D1856" t="s">
        <v>19</v>
      </c>
      <c r="E1856" t="s">
        <v>236</v>
      </c>
      <c r="G1856" t="s">
        <v>1055</v>
      </c>
      <c r="I1856" s="10"/>
      <c r="J1856" s="107">
        <f>SUMIF(Data!C:C,G1856,Data!Q:Q)</f>
        <v>81319.010000000038</v>
      </c>
      <c r="K1856" s="107">
        <f>SUMIF(Comprometidos!A:A,'Cost Report'!G1856,Comprometidos!E:E)</f>
        <v>0</v>
      </c>
      <c r="L1856" s="107">
        <f t="shared" si="757"/>
        <v>81319.010000000038</v>
      </c>
      <c r="M1856" s="107">
        <v>0</v>
      </c>
      <c r="N1856" s="107">
        <f t="shared" si="759"/>
        <v>81319.010000000038</v>
      </c>
      <c r="O1856" s="107">
        <f>VLOOKUP(G1856,Budget!$E$3:$G$2474,3,0)</f>
        <v>75600</v>
      </c>
      <c r="P1856" s="107">
        <f t="shared" si="760"/>
        <v>-5719.0100000000384</v>
      </c>
      <c r="Q1856" s="107"/>
      <c r="R1856" s="10"/>
      <c r="S1856" s="107">
        <v>81319.010000000038</v>
      </c>
      <c r="T1856" s="107">
        <f t="shared" si="747"/>
        <v>0</v>
      </c>
      <c r="U1856" s="107"/>
      <c r="V1856" s="175"/>
      <c r="W1856" s="10"/>
      <c r="X1856" s="10"/>
      <c r="Y1856" t="str">
        <f t="shared" si="763"/>
        <v>3683</v>
      </c>
      <c r="AB1856" s="10"/>
      <c r="AC1856" s="10"/>
      <c r="AD1856" s="10"/>
      <c r="AE1856" s="10"/>
      <c r="AF1856" s="10"/>
      <c r="AG1856" s="10"/>
      <c r="AH1856" s="10"/>
      <c r="AI1856" s="10"/>
    </row>
    <row r="1857" spans="1:35">
      <c r="A1857" s="10"/>
      <c r="B1857" s="10" t="str">
        <f t="shared" si="762"/>
        <v>Below the LineWRAP</v>
      </c>
      <c r="C1857" t="s">
        <v>20</v>
      </c>
      <c r="D1857" t="s">
        <v>19</v>
      </c>
      <c r="E1857" t="s">
        <v>238</v>
      </c>
      <c r="G1857" t="s">
        <v>1056</v>
      </c>
      <c r="I1857" s="10"/>
      <c r="J1857" s="107">
        <f>SUMIF(Data!C:C,G1857,Data!Q:Q)</f>
        <v>0</v>
      </c>
      <c r="K1857" s="107">
        <f>SUMIF(Comprometidos!A:A,'Cost Report'!G1857,Comprometidos!E:E)</f>
        <v>0</v>
      </c>
      <c r="L1857" s="107">
        <f t="shared" si="757"/>
        <v>0</v>
      </c>
      <c r="M1857" s="107">
        <v>0</v>
      </c>
      <c r="N1857" s="107">
        <f t="shared" si="759"/>
        <v>0</v>
      </c>
      <c r="O1857" s="107">
        <f>VLOOKUP(G1857,Budget!$E$3:$G$2474,3,0)</f>
        <v>5400</v>
      </c>
      <c r="P1857" s="107">
        <f t="shared" si="760"/>
        <v>5400</v>
      </c>
      <c r="Q1857" s="107"/>
      <c r="R1857" s="10"/>
      <c r="S1857" s="107">
        <v>0</v>
      </c>
      <c r="T1857" s="107">
        <f t="shared" si="747"/>
        <v>0</v>
      </c>
      <c r="U1857" s="107"/>
      <c r="V1857" s="175"/>
      <c r="W1857" s="10"/>
      <c r="X1857" s="10"/>
      <c r="Y1857" t="str">
        <f t="shared" si="763"/>
        <v>3683</v>
      </c>
      <c r="AB1857" s="10"/>
      <c r="AC1857" s="10"/>
      <c r="AD1857" s="10"/>
      <c r="AE1857" s="10"/>
      <c r="AF1857" s="10"/>
      <c r="AG1857" s="10"/>
      <c r="AH1857" s="10"/>
      <c r="AI1857" s="10"/>
    </row>
    <row r="1858" spans="1:35">
      <c r="A1858" s="10"/>
      <c r="B1858" s="10" t="str">
        <f t="shared" si="762"/>
        <v>Below the Line</v>
      </c>
      <c r="C1858" t="s">
        <v>20</v>
      </c>
      <c r="D1858" t="s">
        <v>19</v>
      </c>
      <c r="E1858" t="s">
        <v>214</v>
      </c>
      <c r="F1858" t="s">
        <v>5116</v>
      </c>
      <c r="G1858" t="s">
        <v>1057</v>
      </c>
      <c r="I1858" s="10"/>
      <c r="J1858" s="107">
        <f>SUMIF(Data!C:C,G1858,Data!Q:Q)</f>
        <v>0</v>
      </c>
      <c r="K1858" s="107">
        <f>SUMIF(Comprometidos!A:A,'Cost Report'!G1858,Comprometidos!E:E)</f>
        <v>0</v>
      </c>
      <c r="L1858" s="107">
        <f t="shared" si="757"/>
        <v>0</v>
      </c>
      <c r="M1858" s="107">
        <f t="shared" si="758"/>
        <v>0</v>
      </c>
      <c r="N1858" s="107">
        <f t="shared" si="759"/>
        <v>0</v>
      </c>
      <c r="O1858" s="107">
        <f>VLOOKUP(G1858,Budget!$E$3:$G$2474,3,0)</f>
        <v>0</v>
      </c>
      <c r="P1858" s="107">
        <f t="shared" si="760"/>
        <v>0</v>
      </c>
      <c r="Q1858" s="107"/>
      <c r="R1858" s="10"/>
      <c r="S1858" s="107">
        <v>0</v>
      </c>
      <c r="T1858" s="107">
        <f t="shared" si="747"/>
        <v>0</v>
      </c>
      <c r="U1858" s="107"/>
      <c r="V1858" s="175"/>
      <c r="W1858" s="10"/>
      <c r="X1858" s="10"/>
      <c r="Y1858" t="str">
        <f t="shared" si="763"/>
        <v>3683</v>
      </c>
      <c r="AB1858" s="10"/>
      <c r="AC1858" s="10"/>
      <c r="AD1858" s="10"/>
      <c r="AE1858" s="10"/>
      <c r="AF1858" s="10"/>
      <c r="AG1858" s="10"/>
      <c r="AH1858" s="10"/>
      <c r="AI1858" s="10"/>
    </row>
    <row r="1859" spans="1:35">
      <c r="A1859" s="10"/>
      <c r="B1859" s="10" t="str">
        <f t="shared" si="762"/>
        <v>Below the LinePREP</v>
      </c>
      <c r="C1859" t="s">
        <v>20</v>
      </c>
      <c r="D1859" t="s">
        <v>19</v>
      </c>
      <c r="E1859" t="s">
        <v>234</v>
      </c>
      <c r="F1859" t="s">
        <v>5116</v>
      </c>
      <c r="G1859" t="s">
        <v>1058</v>
      </c>
      <c r="I1859" s="10"/>
      <c r="J1859" s="107">
        <f>SUMIF(Data!C:C,G1859,Data!Q:Q)</f>
        <v>6278.09</v>
      </c>
      <c r="K1859" s="107">
        <f>SUMIF(Comprometidos!A:A,'Cost Report'!G1859,Comprometidos!E:E)</f>
        <v>0</v>
      </c>
      <c r="L1859" s="107">
        <f t="shared" si="757"/>
        <v>6278.09</v>
      </c>
      <c r="M1859" s="107">
        <v>0</v>
      </c>
      <c r="N1859" s="107">
        <f t="shared" si="759"/>
        <v>6278.09</v>
      </c>
      <c r="O1859" s="107">
        <f>VLOOKUP(G1859,Budget!$E$3:$G$2474,3,0)</f>
        <v>10800</v>
      </c>
      <c r="P1859" s="107">
        <f t="shared" si="760"/>
        <v>4521.91</v>
      </c>
      <c r="Q1859" s="107"/>
      <c r="R1859" s="10"/>
      <c r="S1859" s="107">
        <v>6278.09</v>
      </c>
      <c r="T1859" s="107">
        <f t="shared" si="747"/>
        <v>0</v>
      </c>
      <c r="U1859" s="107"/>
      <c r="V1859" s="175"/>
      <c r="W1859" s="10"/>
      <c r="X1859" s="10"/>
      <c r="Y1859" t="str">
        <f t="shared" si="763"/>
        <v>3683</v>
      </c>
      <c r="AB1859" s="10"/>
      <c r="AC1859" s="10"/>
      <c r="AD1859" s="10"/>
      <c r="AE1859" s="10"/>
      <c r="AF1859" s="10"/>
      <c r="AG1859" s="10"/>
      <c r="AH1859" s="10"/>
      <c r="AI1859" s="10"/>
    </row>
    <row r="1860" spans="1:35">
      <c r="A1860" s="10"/>
      <c r="B1860" s="10" t="str">
        <f t="shared" si="762"/>
        <v>Below the LineSHOOT</v>
      </c>
      <c r="C1860" t="s">
        <v>20</v>
      </c>
      <c r="D1860" t="s">
        <v>19</v>
      </c>
      <c r="E1860" t="s">
        <v>236</v>
      </c>
      <c r="F1860" t="s">
        <v>5116</v>
      </c>
      <c r="G1860" t="s">
        <v>1059</v>
      </c>
      <c r="I1860" s="10"/>
      <c r="J1860" s="107">
        <f>SUMIF(Data!C:C,G1860,Data!Q:Q)</f>
        <v>210149.04</v>
      </c>
      <c r="K1860" s="107">
        <f>SUMIF(Comprometidos!A:A,'Cost Report'!G1860,Comprometidos!E:E)</f>
        <v>0</v>
      </c>
      <c r="L1860" s="107">
        <f t="shared" si="757"/>
        <v>210149.04</v>
      </c>
      <c r="M1860" s="107">
        <v>0</v>
      </c>
      <c r="N1860" s="107">
        <f t="shared" si="759"/>
        <v>210149.04</v>
      </c>
      <c r="O1860" s="107">
        <f>VLOOKUP(G1860,Budget!$E$3:$G$2474,3,0)</f>
        <v>151200</v>
      </c>
      <c r="P1860" s="107">
        <f t="shared" si="760"/>
        <v>-58949.040000000008</v>
      </c>
      <c r="Q1860" s="107"/>
      <c r="R1860" s="10"/>
      <c r="S1860" s="107">
        <v>210149.04</v>
      </c>
      <c r="T1860" s="107">
        <f t="shared" si="747"/>
        <v>0</v>
      </c>
      <c r="U1860" s="107"/>
      <c r="V1860" s="175"/>
      <c r="W1860" s="10"/>
      <c r="X1860" s="10"/>
      <c r="Y1860" t="str">
        <f t="shared" si="763"/>
        <v>3683</v>
      </c>
      <c r="AB1860" s="10"/>
      <c r="AC1860" s="10"/>
      <c r="AD1860" s="10"/>
      <c r="AE1860" s="10"/>
      <c r="AF1860" s="10"/>
      <c r="AG1860" s="10"/>
      <c r="AH1860" s="10"/>
      <c r="AI1860" s="10"/>
    </row>
    <row r="1861" spans="1:35">
      <c r="A1861" s="10"/>
      <c r="B1861" s="10" t="str">
        <f t="shared" si="762"/>
        <v>Below the LineWRAP</v>
      </c>
      <c r="C1861" t="s">
        <v>20</v>
      </c>
      <c r="D1861" t="s">
        <v>19</v>
      </c>
      <c r="E1861" t="s">
        <v>238</v>
      </c>
      <c r="F1861" t="s">
        <v>5116</v>
      </c>
      <c r="G1861" t="s">
        <v>1060</v>
      </c>
      <c r="I1861" s="10"/>
      <c r="J1861" s="107">
        <f>SUMIF(Data!C:C,G1861,Data!Q:Q)</f>
        <v>0</v>
      </c>
      <c r="K1861" s="107">
        <f>SUMIF(Comprometidos!A:A,'Cost Report'!G1861,Comprometidos!E:E)</f>
        <v>0</v>
      </c>
      <c r="L1861" s="107">
        <f t="shared" si="757"/>
        <v>0</v>
      </c>
      <c r="M1861" s="107">
        <v>0</v>
      </c>
      <c r="N1861" s="107">
        <f t="shared" si="759"/>
        <v>0</v>
      </c>
      <c r="O1861" s="107">
        <f>VLOOKUP(G1861,Budget!$E$3:$G$2474,3,0)</f>
        <v>10800</v>
      </c>
      <c r="P1861" s="107">
        <f t="shared" si="760"/>
        <v>10800</v>
      </c>
      <c r="Q1861" s="107"/>
      <c r="R1861" s="10"/>
      <c r="S1861" s="107">
        <v>0</v>
      </c>
      <c r="T1861" s="107">
        <f t="shared" si="747"/>
        <v>0</v>
      </c>
      <c r="U1861" s="107"/>
      <c r="V1861" s="175"/>
      <c r="W1861" s="10"/>
      <c r="X1861" s="10"/>
      <c r="Y1861" t="str">
        <f t="shared" si="763"/>
        <v>3683</v>
      </c>
      <c r="AB1861" s="10"/>
      <c r="AC1861" s="10"/>
      <c r="AD1861" s="10"/>
      <c r="AE1861" s="10"/>
      <c r="AF1861" s="10"/>
      <c r="AG1861" s="10"/>
      <c r="AH1861" s="10"/>
      <c r="AI1861" s="10"/>
    </row>
    <row r="1862" spans="1:35">
      <c r="A1862" s="10"/>
      <c r="B1862" s="10" t="str">
        <f t="shared" si="762"/>
        <v>Below the Line</v>
      </c>
      <c r="C1862" t="s">
        <v>20</v>
      </c>
      <c r="D1862" t="s">
        <v>19</v>
      </c>
      <c r="E1862" t="s">
        <v>214</v>
      </c>
      <c r="F1862" t="s">
        <v>5116</v>
      </c>
      <c r="G1862" t="s">
        <v>1061</v>
      </c>
      <c r="I1862" s="10"/>
      <c r="J1862" s="107">
        <f>SUMIF(Data!C:C,G1862,Data!Q:Q)</f>
        <v>0</v>
      </c>
      <c r="K1862" s="107">
        <f>SUMIF(Comprometidos!A:A,'Cost Report'!G1862,Comprometidos!E:E)</f>
        <v>0</v>
      </c>
      <c r="L1862" s="107">
        <f t="shared" si="757"/>
        <v>0</v>
      </c>
      <c r="M1862" s="107">
        <f t="shared" si="758"/>
        <v>0</v>
      </c>
      <c r="N1862" s="107">
        <f t="shared" si="759"/>
        <v>0</v>
      </c>
      <c r="O1862" s="107">
        <f>VLOOKUP(G1862,Budget!$E$3:$G$2474,3,0)</f>
        <v>0</v>
      </c>
      <c r="P1862" s="107">
        <f t="shared" si="760"/>
        <v>0</v>
      </c>
      <c r="Q1862" s="107"/>
      <c r="R1862" s="10"/>
      <c r="S1862" s="107">
        <v>0</v>
      </c>
      <c r="T1862" s="107">
        <f t="shared" si="747"/>
        <v>0</v>
      </c>
      <c r="U1862" s="107"/>
      <c r="V1862" s="175"/>
      <c r="W1862" s="10"/>
      <c r="X1862" s="10"/>
      <c r="Y1862" t="str">
        <f t="shared" si="763"/>
        <v>3683</v>
      </c>
      <c r="AB1862" s="10"/>
      <c r="AC1862" s="10"/>
      <c r="AD1862" s="10"/>
      <c r="AE1862" s="10"/>
      <c r="AF1862" s="10"/>
      <c r="AG1862" s="10"/>
      <c r="AH1862" s="10"/>
      <c r="AI1862" s="10"/>
    </row>
    <row r="1863" spans="1:35">
      <c r="A1863" s="10"/>
      <c r="B1863" s="10" t="str">
        <f t="shared" si="762"/>
        <v>Below the LinePREP</v>
      </c>
      <c r="C1863" t="s">
        <v>20</v>
      </c>
      <c r="D1863" t="s">
        <v>19</v>
      </c>
      <c r="E1863" t="s">
        <v>234</v>
      </c>
      <c r="F1863" t="s">
        <v>5116</v>
      </c>
      <c r="G1863" t="s">
        <v>1062</v>
      </c>
      <c r="I1863" s="10"/>
      <c r="J1863" s="107">
        <f>SUMIF(Data!C:C,G1863,Data!Q:Q)</f>
        <v>12788.7</v>
      </c>
      <c r="K1863" s="107">
        <f>SUMIF(Comprometidos!A:A,'Cost Report'!G1863,Comprometidos!E:E)</f>
        <v>0</v>
      </c>
      <c r="L1863" s="107">
        <f t="shared" si="757"/>
        <v>12788.7</v>
      </c>
      <c r="M1863" s="107">
        <v>0</v>
      </c>
      <c r="N1863" s="107">
        <f t="shared" si="759"/>
        <v>12788.7</v>
      </c>
      <c r="O1863" s="107">
        <f>VLOOKUP(G1863,Budget!$E$3:$G$2474,3,0)</f>
        <v>22000</v>
      </c>
      <c r="P1863" s="107">
        <f t="shared" si="760"/>
        <v>9211.2999999999993</v>
      </c>
      <c r="Q1863" s="107"/>
      <c r="R1863" s="10"/>
      <c r="S1863" s="107">
        <v>12788.7</v>
      </c>
      <c r="T1863" s="107">
        <f t="shared" si="747"/>
        <v>0</v>
      </c>
      <c r="U1863" s="107"/>
      <c r="V1863" s="175"/>
      <c r="W1863" s="10"/>
      <c r="X1863" s="10"/>
      <c r="Y1863" t="str">
        <f t="shared" si="763"/>
        <v>3683</v>
      </c>
      <c r="AB1863" s="10"/>
      <c r="AC1863" s="10"/>
      <c r="AD1863" s="10"/>
      <c r="AE1863" s="10"/>
      <c r="AF1863" s="10"/>
      <c r="AG1863" s="10"/>
      <c r="AH1863" s="10"/>
      <c r="AI1863" s="10"/>
    </row>
    <row r="1864" spans="1:35">
      <c r="A1864" s="10"/>
      <c r="B1864" s="10" t="str">
        <f t="shared" si="762"/>
        <v>Below the LineSHOOT</v>
      </c>
      <c r="C1864" t="s">
        <v>20</v>
      </c>
      <c r="D1864" t="s">
        <v>19</v>
      </c>
      <c r="E1864" t="s">
        <v>236</v>
      </c>
      <c r="F1864" t="s">
        <v>5116</v>
      </c>
      <c r="G1864" t="s">
        <v>1063</v>
      </c>
      <c r="I1864" s="10"/>
      <c r="J1864" s="107">
        <f>SUMIF(Data!C:C,G1864,Data!Q:Q)</f>
        <v>215394.45000000004</v>
      </c>
      <c r="K1864" s="107">
        <f>SUMIF(Comprometidos!A:A,'Cost Report'!G1864,Comprometidos!E:E)</f>
        <v>0</v>
      </c>
      <c r="L1864" s="107">
        <f t="shared" si="757"/>
        <v>215394.45000000004</v>
      </c>
      <c r="M1864" s="107">
        <v>0</v>
      </c>
      <c r="N1864" s="107">
        <f t="shared" si="759"/>
        <v>215394.45000000004</v>
      </c>
      <c r="O1864" s="107">
        <f>VLOOKUP(G1864,Budget!$E$3:$G$2474,3,0)</f>
        <v>154000</v>
      </c>
      <c r="P1864" s="107">
        <f t="shared" si="760"/>
        <v>-61394.450000000041</v>
      </c>
      <c r="Q1864" s="107"/>
      <c r="R1864" s="10"/>
      <c r="S1864" s="107">
        <v>215394.45000000004</v>
      </c>
      <c r="T1864" s="107">
        <f t="shared" si="747"/>
        <v>0</v>
      </c>
      <c r="U1864" s="107"/>
      <c r="V1864" s="175"/>
      <c r="W1864" s="10"/>
      <c r="X1864" s="10"/>
      <c r="Y1864" t="str">
        <f t="shared" si="763"/>
        <v>3683</v>
      </c>
      <c r="AB1864" s="10"/>
      <c r="AC1864" s="10"/>
      <c r="AD1864" s="10"/>
      <c r="AE1864" s="10"/>
      <c r="AF1864" s="10"/>
      <c r="AG1864" s="10"/>
      <c r="AH1864" s="10"/>
      <c r="AI1864" s="10"/>
    </row>
    <row r="1865" spans="1:35">
      <c r="A1865" s="10"/>
      <c r="B1865" s="10" t="str">
        <f t="shared" si="762"/>
        <v>Below the LineWRAP</v>
      </c>
      <c r="C1865" t="s">
        <v>20</v>
      </c>
      <c r="D1865" t="s">
        <v>19</v>
      </c>
      <c r="E1865" t="s">
        <v>238</v>
      </c>
      <c r="F1865" t="s">
        <v>5116</v>
      </c>
      <c r="G1865" t="s">
        <v>1064</v>
      </c>
      <c r="I1865" s="10"/>
      <c r="J1865" s="107">
        <f>SUMIF(Data!C:C,G1865,Data!Q:Q)</f>
        <v>0</v>
      </c>
      <c r="K1865" s="107">
        <f>SUMIF(Comprometidos!A:A,'Cost Report'!G1865,Comprometidos!E:E)</f>
        <v>0</v>
      </c>
      <c r="L1865" s="107">
        <f t="shared" si="757"/>
        <v>0</v>
      </c>
      <c r="M1865" s="107">
        <v>0</v>
      </c>
      <c r="N1865" s="107">
        <f t="shared" si="759"/>
        <v>0</v>
      </c>
      <c r="O1865" s="107">
        <f>VLOOKUP(G1865,Budget!$E$3:$G$2474,3,0)</f>
        <v>22000</v>
      </c>
      <c r="P1865" s="107">
        <f t="shared" si="760"/>
        <v>22000</v>
      </c>
      <c r="Q1865" s="107"/>
      <c r="R1865" s="10"/>
      <c r="S1865" s="107">
        <v>0</v>
      </c>
      <c r="T1865" s="107">
        <f t="shared" si="747"/>
        <v>0</v>
      </c>
      <c r="U1865" s="107"/>
      <c r="V1865" s="175"/>
      <c r="W1865" s="10"/>
      <c r="X1865" s="10"/>
      <c r="Y1865" t="str">
        <f t="shared" si="763"/>
        <v>3683</v>
      </c>
      <c r="AB1865" s="10"/>
      <c r="AC1865" s="10"/>
      <c r="AD1865" s="10"/>
      <c r="AE1865" s="10"/>
      <c r="AF1865" s="10"/>
      <c r="AG1865" s="10"/>
      <c r="AH1865" s="10"/>
      <c r="AI1865" s="10"/>
    </row>
    <row r="1866" spans="1:35">
      <c r="A1866" s="10"/>
      <c r="B1866" s="10" t="str">
        <f t="shared" si="762"/>
        <v>Below the Line</v>
      </c>
      <c r="C1866" t="s">
        <v>20</v>
      </c>
      <c r="D1866" t="s">
        <v>19</v>
      </c>
      <c r="E1866" t="s">
        <v>214</v>
      </c>
      <c r="F1866" t="s">
        <v>5116</v>
      </c>
      <c r="G1866" t="s">
        <v>1065</v>
      </c>
      <c r="I1866" s="10"/>
      <c r="J1866" s="107">
        <f>SUMIF(Data!C:C,G1866,Data!Q:Q)</f>
        <v>0</v>
      </c>
      <c r="K1866" s="107">
        <f>SUMIF(Comprometidos!A:A,'Cost Report'!G1866,Comprometidos!E:E)</f>
        <v>0</v>
      </c>
      <c r="L1866" s="107">
        <f t="shared" si="757"/>
        <v>0</v>
      </c>
      <c r="M1866" s="107">
        <f t="shared" si="758"/>
        <v>0</v>
      </c>
      <c r="N1866" s="107">
        <f t="shared" si="759"/>
        <v>0</v>
      </c>
      <c r="O1866" s="107">
        <f>VLOOKUP(G1866,Budget!$E$3:$G$2474,3,0)</f>
        <v>0</v>
      </c>
      <c r="P1866" s="107">
        <f t="shared" si="760"/>
        <v>0</v>
      </c>
      <c r="Q1866" s="107"/>
      <c r="R1866" s="10"/>
      <c r="S1866" s="107">
        <v>0</v>
      </c>
      <c r="T1866" s="107">
        <f t="shared" si="747"/>
        <v>0</v>
      </c>
      <c r="U1866" s="107"/>
      <c r="V1866" s="175"/>
      <c r="W1866" s="10"/>
      <c r="X1866" s="10"/>
      <c r="Y1866" t="str">
        <f t="shared" si="763"/>
        <v>3683</v>
      </c>
      <c r="AB1866" s="10"/>
      <c r="AC1866" s="10"/>
      <c r="AD1866" s="10"/>
      <c r="AE1866" s="10"/>
      <c r="AF1866" s="10"/>
      <c r="AG1866" s="10"/>
      <c r="AH1866" s="10"/>
      <c r="AI1866" s="10"/>
    </row>
    <row r="1867" spans="1:35">
      <c r="A1867" s="10"/>
      <c r="B1867" s="10" t="str">
        <f t="shared" si="762"/>
        <v>Below the LinePREP</v>
      </c>
      <c r="C1867" t="s">
        <v>20</v>
      </c>
      <c r="D1867" t="s">
        <v>19</v>
      </c>
      <c r="E1867" t="s">
        <v>234</v>
      </c>
      <c r="F1867" t="s">
        <v>5116</v>
      </c>
      <c r="G1867" t="s">
        <v>1066</v>
      </c>
      <c r="I1867" s="10"/>
      <c r="J1867" s="107">
        <f>SUMIF(Data!C:C,G1867,Data!Q:Q)</f>
        <v>32905.75</v>
      </c>
      <c r="K1867" s="107">
        <f>SUMIF(Comprometidos!A:A,'Cost Report'!G1867,Comprometidos!E:E)</f>
        <v>0</v>
      </c>
      <c r="L1867" s="107">
        <f t="shared" si="757"/>
        <v>32905.75</v>
      </c>
      <c r="M1867" s="107">
        <v>0</v>
      </c>
      <c r="N1867" s="107">
        <f t="shared" si="759"/>
        <v>32905.75</v>
      </c>
      <c r="O1867" s="107">
        <f>VLOOKUP(G1867,Budget!$E$3:$G$2474,3,0)</f>
        <v>44000</v>
      </c>
      <c r="P1867" s="107">
        <f t="shared" si="760"/>
        <v>11094.25</v>
      </c>
      <c r="Q1867" s="107"/>
      <c r="R1867" s="10"/>
      <c r="S1867" s="107">
        <v>32905.75</v>
      </c>
      <c r="T1867" s="107">
        <f t="shared" si="747"/>
        <v>0</v>
      </c>
      <c r="U1867" s="107"/>
      <c r="V1867" s="175"/>
      <c r="W1867" s="10"/>
      <c r="X1867" s="10"/>
      <c r="Y1867" t="str">
        <f t="shared" si="763"/>
        <v>3683</v>
      </c>
      <c r="AB1867" s="10"/>
      <c r="AC1867" s="10"/>
      <c r="AD1867" s="10"/>
      <c r="AE1867" s="10"/>
      <c r="AF1867" s="10"/>
      <c r="AG1867" s="10"/>
      <c r="AH1867" s="10"/>
      <c r="AI1867" s="10"/>
    </row>
    <row r="1868" spans="1:35">
      <c r="A1868" s="10"/>
      <c r="B1868" s="10" t="str">
        <f t="shared" si="762"/>
        <v>Below the LineSHOOT</v>
      </c>
      <c r="C1868" t="s">
        <v>20</v>
      </c>
      <c r="D1868" t="s">
        <v>19</v>
      </c>
      <c r="E1868" t="s">
        <v>236</v>
      </c>
      <c r="F1868" t="s">
        <v>5116</v>
      </c>
      <c r="G1868" t="s">
        <v>1067</v>
      </c>
      <c r="I1868" s="10"/>
      <c r="J1868" s="107">
        <f>SUMIF(Data!C:C,G1868,Data!Q:Q)</f>
        <v>214040.70000000004</v>
      </c>
      <c r="K1868" s="107">
        <f>SUMIF(Comprometidos!A:A,'Cost Report'!G1868,Comprometidos!E:E)</f>
        <v>0</v>
      </c>
      <c r="L1868" s="107">
        <f t="shared" si="757"/>
        <v>214040.70000000004</v>
      </c>
      <c r="M1868" s="107">
        <v>0</v>
      </c>
      <c r="N1868" s="107">
        <f t="shared" si="759"/>
        <v>214040.70000000004</v>
      </c>
      <c r="O1868" s="107">
        <f>VLOOKUP(G1868,Budget!$E$3:$G$2474,3,0)</f>
        <v>154000</v>
      </c>
      <c r="P1868" s="107">
        <f t="shared" si="760"/>
        <v>-60040.700000000041</v>
      </c>
      <c r="Q1868" s="107"/>
      <c r="R1868" s="10"/>
      <c r="S1868" s="107">
        <v>214040.70000000004</v>
      </c>
      <c r="T1868" s="107">
        <f t="shared" si="747"/>
        <v>0</v>
      </c>
      <c r="U1868" s="107"/>
      <c r="V1868" s="175"/>
      <c r="W1868" s="10"/>
      <c r="X1868" s="10"/>
      <c r="Y1868" t="str">
        <f t="shared" si="763"/>
        <v>3683</v>
      </c>
      <c r="AB1868" s="10"/>
      <c r="AC1868" s="10"/>
      <c r="AD1868" s="10"/>
      <c r="AE1868" s="10"/>
      <c r="AF1868" s="10"/>
      <c r="AG1868" s="10"/>
      <c r="AH1868" s="10"/>
      <c r="AI1868" s="10"/>
    </row>
    <row r="1869" spans="1:35">
      <c r="A1869" s="10"/>
      <c r="B1869" s="10" t="str">
        <f t="shared" si="762"/>
        <v>Below the LineWRAP</v>
      </c>
      <c r="C1869" t="s">
        <v>20</v>
      </c>
      <c r="D1869" t="s">
        <v>19</v>
      </c>
      <c r="E1869" t="s">
        <v>238</v>
      </c>
      <c r="F1869" t="s">
        <v>5116</v>
      </c>
      <c r="G1869" t="s">
        <v>1068</v>
      </c>
      <c r="I1869" s="10"/>
      <c r="J1869" s="107">
        <f>SUMIF(Data!C:C,G1869,Data!Q:Q)</f>
        <v>8345.99</v>
      </c>
      <c r="K1869" s="107">
        <f>SUMIF(Comprometidos!A:A,'Cost Report'!G1869,Comprometidos!E:E)</f>
        <v>0</v>
      </c>
      <c r="L1869" s="107">
        <f t="shared" si="757"/>
        <v>8345.99</v>
      </c>
      <c r="M1869" s="107">
        <v>0</v>
      </c>
      <c r="N1869" s="107">
        <f t="shared" si="759"/>
        <v>8345.99</v>
      </c>
      <c r="O1869" s="107">
        <f>VLOOKUP(G1869,Budget!$E$3:$G$2474,3,0)</f>
        <v>44000</v>
      </c>
      <c r="P1869" s="107">
        <f t="shared" si="760"/>
        <v>35654.01</v>
      </c>
      <c r="Q1869" s="107"/>
      <c r="R1869" s="10"/>
      <c r="S1869" s="107">
        <v>8345.99</v>
      </c>
      <c r="T1869" s="107">
        <f t="shared" si="747"/>
        <v>0</v>
      </c>
      <c r="U1869" s="107"/>
      <c r="V1869" s="175"/>
      <c r="W1869" s="10"/>
      <c r="X1869" s="10"/>
      <c r="Y1869" t="str">
        <f t="shared" si="763"/>
        <v>3683</v>
      </c>
      <c r="AB1869" s="10"/>
      <c r="AC1869" s="10"/>
      <c r="AD1869" s="10"/>
      <c r="AE1869" s="10"/>
      <c r="AF1869" s="10"/>
      <c r="AG1869" s="10"/>
      <c r="AH1869" s="10"/>
      <c r="AI1869" s="10"/>
    </row>
    <row r="1870" spans="1:35">
      <c r="A1870" s="10"/>
      <c r="B1870" s="10" t="str">
        <f t="shared" si="762"/>
        <v>Below the Line</v>
      </c>
      <c r="C1870" t="s">
        <v>20</v>
      </c>
      <c r="D1870" t="s">
        <v>19</v>
      </c>
      <c r="E1870" t="s">
        <v>214</v>
      </c>
      <c r="F1870" t="s">
        <v>5116</v>
      </c>
      <c r="G1870" t="s">
        <v>1069</v>
      </c>
      <c r="I1870" s="10"/>
      <c r="J1870" s="107">
        <f>SUMIF(Data!C:C,G1870,Data!Q:Q)</f>
        <v>0</v>
      </c>
      <c r="K1870" s="107">
        <f>SUMIF(Comprometidos!A:A,'Cost Report'!G1870,Comprometidos!E:E)</f>
        <v>0</v>
      </c>
      <c r="L1870" s="107">
        <f t="shared" si="757"/>
        <v>0</v>
      </c>
      <c r="M1870" s="107">
        <f t="shared" si="758"/>
        <v>0</v>
      </c>
      <c r="N1870" s="107">
        <f t="shared" si="759"/>
        <v>0</v>
      </c>
      <c r="O1870" s="107">
        <f>VLOOKUP(G1870,Budget!$E$3:$G$2474,3,0)</f>
        <v>0</v>
      </c>
      <c r="P1870" s="107">
        <f t="shared" si="760"/>
        <v>0</v>
      </c>
      <c r="Q1870" s="107"/>
      <c r="R1870" s="10"/>
      <c r="S1870" s="107">
        <v>0</v>
      </c>
      <c r="T1870" s="107">
        <f t="shared" si="747"/>
        <v>0</v>
      </c>
      <c r="U1870" s="107"/>
      <c r="V1870" s="175"/>
      <c r="W1870" s="10"/>
      <c r="X1870" s="10"/>
      <c r="Y1870" t="str">
        <f t="shared" si="763"/>
        <v>3683</v>
      </c>
      <c r="AB1870" s="10"/>
      <c r="AC1870" s="10"/>
      <c r="AD1870" s="10"/>
      <c r="AE1870" s="10"/>
      <c r="AF1870" s="10"/>
      <c r="AG1870" s="10"/>
      <c r="AH1870" s="10"/>
      <c r="AI1870" s="10"/>
    </row>
    <row r="1871" spans="1:35">
      <c r="A1871" s="10"/>
      <c r="B1871" s="10" t="str">
        <f t="shared" si="762"/>
        <v>Below the LinePREP</v>
      </c>
      <c r="C1871" t="s">
        <v>20</v>
      </c>
      <c r="D1871" t="s">
        <v>19</v>
      </c>
      <c r="E1871" t="s">
        <v>234</v>
      </c>
      <c r="F1871" t="s">
        <v>5116</v>
      </c>
      <c r="G1871" t="s">
        <v>1070</v>
      </c>
      <c r="I1871" s="10"/>
      <c r="J1871" s="107">
        <f>SUMIF(Data!C:C,G1871,Data!Q:Q)</f>
        <v>43597.83</v>
      </c>
      <c r="K1871" s="107">
        <f>SUMIF(Comprometidos!A:A,'Cost Report'!G1871,Comprometidos!E:E)</f>
        <v>0</v>
      </c>
      <c r="L1871" s="107">
        <f t="shared" si="757"/>
        <v>43597.83</v>
      </c>
      <c r="M1871" s="107">
        <v>0</v>
      </c>
      <c r="N1871" s="107">
        <f t="shared" si="759"/>
        <v>43597.83</v>
      </c>
      <c r="O1871" s="107">
        <f>VLOOKUP(G1871,Budget!$E$3:$G$2474,3,0)</f>
        <v>75000</v>
      </c>
      <c r="P1871" s="107">
        <f t="shared" si="760"/>
        <v>31402.17</v>
      </c>
      <c r="Q1871" s="107"/>
      <c r="R1871" s="10"/>
      <c r="S1871" s="107">
        <v>43597.83</v>
      </c>
      <c r="T1871" s="107">
        <f t="shared" si="747"/>
        <v>0</v>
      </c>
      <c r="U1871" s="107"/>
      <c r="V1871" s="175"/>
      <c r="W1871" s="10"/>
      <c r="X1871" s="10"/>
      <c r="Y1871" t="str">
        <f t="shared" si="763"/>
        <v>3683</v>
      </c>
      <c r="AB1871" s="10"/>
      <c r="AC1871" s="10"/>
      <c r="AD1871" s="10"/>
      <c r="AE1871" s="10"/>
      <c r="AF1871" s="10"/>
      <c r="AG1871" s="10"/>
      <c r="AH1871" s="10"/>
      <c r="AI1871" s="10"/>
    </row>
    <row r="1872" spans="1:35">
      <c r="A1872" s="10"/>
      <c r="B1872" s="10" t="str">
        <f t="shared" si="762"/>
        <v>Below the LineSHOOT</v>
      </c>
      <c r="C1872" t="s">
        <v>20</v>
      </c>
      <c r="D1872" t="s">
        <v>19</v>
      </c>
      <c r="E1872" t="s">
        <v>236</v>
      </c>
      <c r="F1872" t="s">
        <v>5116</v>
      </c>
      <c r="G1872" t="s">
        <v>1071</v>
      </c>
      <c r="I1872" s="10"/>
      <c r="J1872" s="107">
        <f>SUMIF(Data!C:C,G1872,Data!Q:Q)</f>
        <v>146859.83999999997</v>
      </c>
      <c r="K1872" s="107">
        <f>SUMIF(Comprometidos!A:A,'Cost Report'!G1872,Comprometidos!E:E)</f>
        <v>0</v>
      </c>
      <c r="L1872" s="107">
        <f t="shared" si="757"/>
        <v>146859.83999999997</v>
      </c>
      <c r="M1872" s="107">
        <v>0</v>
      </c>
      <c r="N1872" s="107">
        <f t="shared" si="759"/>
        <v>146859.83999999997</v>
      </c>
      <c r="O1872" s="107">
        <f>VLOOKUP(G1872,Budget!$E$3:$G$2474,3,0)</f>
        <v>105000</v>
      </c>
      <c r="P1872" s="107">
        <f t="shared" si="760"/>
        <v>-41859.839999999967</v>
      </c>
      <c r="Q1872" s="107"/>
      <c r="R1872" s="10"/>
      <c r="S1872" s="107">
        <v>146859.83999999997</v>
      </c>
      <c r="T1872" s="107">
        <f t="shared" si="747"/>
        <v>0</v>
      </c>
      <c r="U1872" s="107"/>
      <c r="V1872" s="175"/>
      <c r="W1872" s="10"/>
      <c r="X1872" s="10"/>
      <c r="Y1872" t="str">
        <f t="shared" si="763"/>
        <v>3683</v>
      </c>
      <c r="AB1872" s="10"/>
      <c r="AC1872" s="10"/>
      <c r="AD1872" s="10"/>
      <c r="AE1872" s="10"/>
      <c r="AF1872" s="10"/>
      <c r="AG1872" s="10"/>
      <c r="AH1872" s="10"/>
      <c r="AI1872" s="10"/>
    </row>
    <row r="1873" spans="1:35">
      <c r="A1873" s="10"/>
      <c r="B1873" s="10" t="str">
        <f t="shared" si="762"/>
        <v>Below the LineWRAP</v>
      </c>
      <c r="C1873" t="s">
        <v>20</v>
      </c>
      <c r="D1873" t="s">
        <v>19</v>
      </c>
      <c r="E1873" t="s">
        <v>238</v>
      </c>
      <c r="F1873" t="s">
        <v>5116</v>
      </c>
      <c r="G1873" t="s">
        <v>1072</v>
      </c>
      <c r="I1873" s="10"/>
      <c r="J1873" s="107">
        <f>SUMIF(Data!C:C,G1873,Data!Q:Q)</f>
        <v>0</v>
      </c>
      <c r="K1873" s="107">
        <f>SUMIF(Comprometidos!A:A,'Cost Report'!G1873,Comprometidos!E:E)</f>
        <v>0</v>
      </c>
      <c r="L1873" s="107">
        <f t="shared" si="757"/>
        <v>0</v>
      </c>
      <c r="M1873" s="107">
        <v>0</v>
      </c>
      <c r="N1873" s="107">
        <f t="shared" si="759"/>
        <v>0</v>
      </c>
      <c r="O1873" s="107">
        <f>VLOOKUP(G1873,Budget!$E$3:$G$2474,3,0)</f>
        <v>30000</v>
      </c>
      <c r="P1873" s="107">
        <f t="shared" si="760"/>
        <v>30000</v>
      </c>
      <c r="Q1873" s="107"/>
      <c r="R1873" s="10"/>
      <c r="S1873" s="107">
        <v>0</v>
      </c>
      <c r="T1873" s="107">
        <f t="shared" si="747"/>
        <v>0</v>
      </c>
      <c r="U1873" s="107"/>
      <c r="V1873" s="175"/>
      <c r="W1873" s="10"/>
      <c r="X1873" s="10"/>
      <c r="Y1873" t="str">
        <f t="shared" si="763"/>
        <v>3683</v>
      </c>
      <c r="AB1873" s="10"/>
      <c r="AC1873" s="10"/>
      <c r="AD1873" s="10"/>
      <c r="AE1873" s="10"/>
      <c r="AF1873" s="10"/>
      <c r="AG1873" s="10"/>
      <c r="AH1873" s="10"/>
      <c r="AI1873" s="10"/>
    </row>
    <row r="1874" spans="1:35">
      <c r="A1874" s="10"/>
      <c r="B1874" s="10" t="str">
        <f t="shared" si="762"/>
        <v>Below the Line</v>
      </c>
      <c r="C1874" t="s">
        <v>20</v>
      </c>
      <c r="D1874" t="s">
        <v>19</v>
      </c>
      <c r="E1874" t="s">
        <v>214</v>
      </c>
      <c r="F1874" t="s">
        <v>5116</v>
      </c>
      <c r="G1874" t="s">
        <v>1073</v>
      </c>
      <c r="I1874" s="10"/>
      <c r="J1874" s="107">
        <f>SUMIF(Data!C:C,G1874,Data!Q:Q)</f>
        <v>0</v>
      </c>
      <c r="K1874" s="107">
        <f>SUMIF(Comprometidos!A:A,'Cost Report'!G1874,Comprometidos!E:E)</f>
        <v>0</v>
      </c>
      <c r="L1874" s="107">
        <f t="shared" si="757"/>
        <v>0</v>
      </c>
      <c r="M1874" s="107">
        <f t="shared" si="758"/>
        <v>0</v>
      </c>
      <c r="N1874" s="107">
        <f t="shared" si="759"/>
        <v>0</v>
      </c>
      <c r="O1874" s="107">
        <f>VLOOKUP(G1874,Budget!$E$3:$G$2474,3,0)</f>
        <v>0</v>
      </c>
      <c r="P1874" s="107">
        <f t="shared" si="760"/>
        <v>0</v>
      </c>
      <c r="Q1874" s="107"/>
      <c r="R1874" s="10"/>
      <c r="S1874" s="107">
        <v>0</v>
      </c>
      <c r="T1874" s="107">
        <f t="shared" si="747"/>
        <v>0</v>
      </c>
      <c r="U1874" s="107"/>
      <c r="V1874" s="175"/>
      <c r="W1874" s="10"/>
      <c r="X1874" s="10"/>
      <c r="Y1874" t="str">
        <f t="shared" si="763"/>
        <v>3683</v>
      </c>
      <c r="AB1874" s="10"/>
      <c r="AC1874" s="10"/>
      <c r="AD1874" s="10"/>
      <c r="AE1874" s="10"/>
      <c r="AF1874" s="10"/>
      <c r="AG1874" s="10"/>
      <c r="AH1874" s="10"/>
      <c r="AI1874" s="10"/>
    </row>
    <row r="1875" spans="1:35">
      <c r="A1875" s="10"/>
      <c r="B1875" s="10" t="str">
        <f t="shared" si="762"/>
        <v>Below the LinePREP</v>
      </c>
      <c r="C1875" t="s">
        <v>20</v>
      </c>
      <c r="D1875" t="s">
        <v>19</v>
      </c>
      <c r="E1875" t="s">
        <v>234</v>
      </c>
      <c r="F1875" t="s">
        <v>5116</v>
      </c>
      <c r="G1875" t="s">
        <v>1074</v>
      </c>
      <c r="I1875" s="10"/>
      <c r="J1875" s="107">
        <f>SUMIF(Data!C:C,G1875,Data!Q:Q)</f>
        <v>34878.26</v>
      </c>
      <c r="K1875" s="107">
        <f>SUMIF(Comprometidos!A:A,'Cost Report'!G1875,Comprometidos!E:E)</f>
        <v>0</v>
      </c>
      <c r="L1875" s="107">
        <f t="shared" si="757"/>
        <v>34878.26</v>
      </c>
      <c r="M1875" s="107">
        <v>0</v>
      </c>
      <c r="N1875" s="107">
        <f t="shared" si="759"/>
        <v>34878.26</v>
      </c>
      <c r="O1875" s="107">
        <f>VLOOKUP(G1875,Budget!$E$3:$G$2474,3,0)</f>
        <v>60000</v>
      </c>
      <c r="P1875" s="107">
        <f t="shared" si="760"/>
        <v>25121.739999999998</v>
      </c>
      <c r="Q1875" s="107"/>
      <c r="R1875" s="10"/>
      <c r="S1875" s="107">
        <v>34878.26</v>
      </c>
      <c r="T1875" s="107">
        <f t="shared" si="747"/>
        <v>0</v>
      </c>
      <c r="U1875" s="107"/>
      <c r="V1875" s="175"/>
      <c r="W1875" s="10"/>
      <c r="X1875" s="10"/>
      <c r="Y1875" t="str">
        <f t="shared" si="763"/>
        <v>3683</v>
      </c>
      <c r="AB1875" s="10"/>
      <c r="AC1875" s="10"/>
      <c r="AD1875" s="10"/>
      <c r="AE1875" s="10"/>
      <c r="AF1875" s="10"/>
      <c r="AG1875" s="10"/>
      <c r="AH1875" s="10"/>
      <c r="AI1875" s="10"/>
    </row>
    <row r="1876" spans="1:35">
      <c r="A1876" s="10"/>
      <c r="B1876" s="10" t="str">
        <f t="shared" si="762"/>
        <v>Below the LineSHOOT</v>
      </c>
      <c r="C1876" t="s">
        <v>20</v>
      </c>
      <c r="D1876" t="s">
        <v>19</v>
      </c>
      <c r="E1876" t="s">
        <v>236</v>
      </c>
      <c r="F1876" t="s">
        <v>5116</v>
      </c>
      <c r="G1876" t="s">
        <v>1075</v>
      </c>
      <c r="I1876" s="10"/>
      <c r="J1876" s="107">
        <f>SUMIF(Data!C:C,G1876,Data!Q:Q)</f>
        <v>146859.83999999997</v>
      </c>
      <c r="K1876" s="107">
        <f>SUMIF(Comprometidos!A:A,'Cost Report'!G1876,Comprometidos!E:E)</f>
        <v>0</v>
      </c>
      <c r="L1876" s="107">
        <f t="shared" si="757"/>
        <v>146859.83999999997</v>
      </c>
      <c r="M1876" s="107">
        <v>0</v>
      </c>
      <c r="N1876" s="107">
        <f t="shared" si="759"/>
        <v>146859.83999999997</v>
      </c>
      <c r="O1876" s="107">
        <f>VLOOKUP(G1876,Budget!$E$3:$G$2474,3,0)</f>
        <v>105000</v>
      </c>
      <c r="P1876" s="107">
        <f t="shared" si="760"/>
        <v>-41859.839999999967</v>
      </c>
      <c r="Q1876" s="107"/>
      <c r="R1876" s="10"/>
      <c r="S1876" s="107">
        <v>146859.83999999997</v>
      </c>
      <c r="T1876" s="107">
        <f t="shared" si="747"/>
        <v>0</v>
      </c>
      <c r="U1876" s="107"/>
      <c r="V1876" s="175"/>
      <c r="W1876" s="10"/>
      <c r="X1876" s="10"/>
      <c r="Y1876" t="str">
        <f t="shared" si="763"/>
        <v>3683</v>
      </c>
      <c r="AB1876" s="10"/>
      <c r="AC1876" s="10"/>
      <c r="AD1876" s="10"/>
      <c r="AE1876" s="10"/>
      <c r="AF1876" s="10"/>
      <c r="AG1876" s="10"/>
      <c r="AH1876" s="10"/>
      <c r="AI1876" s="10"/>
    </row>
    <row r="1877" spans="1:35">
      <c r="A1877" s="10"/>
      <c r="B1877" s="10" t="str">
        <f t="shared" si="762"/>
        <v>Below the LineWRAP</v>
      </c>
      <c r="C1877" t="s">
        <v>20</v>
      </c>
      <c r="D1877" t="s">
        <v>19</v>
      </c>
      <c r="E1877" t="s">
        <v>238</v>
      </c>
      <c r="F1877" t="s">
        <v>5116</v>
      </c>
      <c r="G1877" t="s">
        <v>1076</v>
      </c>
      <c r="I1877" s="10"/>
      <c r="J1877" s="107">
        <f>SUMIF(Data!C:C,G1877,Data!Q:Q)</f>
        <v>0</v>
      </c>
      <c r="K1877" s="107">
        <f>SUMIF(Comprometidos!A:A,'Cost Report'!G1877,Comprometidos!E:E)</f>
        <v>0</v>
      </c>
      <c r="L1877" s="107">
        <f t="shared" si="757"/>
        <v>0</v>
      </c>
      <c r="M1877" s="107">
        <v>0</v>
      </c>
      <c r="N1877" s="107">
        <f t="shared" si="759"/>
        <v>0</v>
      </c>
      <c r="O1877" s="107">
        <f>VLOOKUP(G1877,Budget!$E$3:$G$2474,3,0)</f>
        <v>15000</v>
      </c>
      <c r="P1877" s="107">
        <f t="shared" si="760"/>
        <v>15000</v>
      </c>
      <c r="Q1877" s="107"/>
      <c r="R1877" s="10"/>
      <c r="S1877" s="107">
        <v>0</v>
      </c>
      <c r="T1877" s="107">
        <f t="shared" si="747"/>
        <v>0</v>
      </c>
      <c r="U1877" s="107"/>
      <c r="V1877" s="175"/>
      <c r="W1877" s="10"/>
      <c r="X1877" s="10"/>
      <c r="Y1877" t="str">
        <f t="shared" si="763"/>
        <v>3683</v>
      </c>
      <c r="AB1877" s="10"/>
      <c r="AC1877" s="10"/>
      <c r="AD1877" s="10"/>
      <c r="AE1877" s="10"/>
      <c r="AF1877" s="10"/>
      <c r="AG1877" s="10"/>
      <c r="AH1877" s="10"/>
      <c r="AI1877" s="10"/>
    </row>
    <row r="1878" spans="1:35">
      <c r="A1878" s="10"/>
      <c r="B1878" s="10" t="str">
        <f t="shared" si="762"/>
        <v>Below the Line</v>
      </c>
      <c r="C1878" t="s">
        <v>20</v>
      </c>
      <c r="D1878" t="s">
        <v>19</v>
      </c>
      <c r="E1878" t="s">
        <v>214</v>
      </c>
      <c r="F1878" t="s">
        <v>5116</v>
      </c>
      <c r="G1878" t="s">
        <v>1077</v>
      </c>
      <c r="I1878" s="10"/>
      <c r="J1878" s="107">
        <f>SUMIF(Data!C:C,G1878,Data!Q:Q)</f>
        <v>0</v>
      </c>
      <c r="K1878" s="107">
        <f>SUMIF(Comprometidos!A:A,'Cost Report'!G1878,Comprometidos!E:E)</f>
        <v>0</v>
      </c>
      <c r="L1878" s="107">
        <f t="shared" si="757"/>
        <v>0</v>
      </c>
      <c r="M1878" s="107">
        <f t="shared" si="758"/>
        <v>0</v>
      </c>
      <c r="N1878" s="107">
        <f t="shared" si="759"/>
        <v>0</v>
      </c>
      <c r="O1878" s="107">
        <f>VLOOKUP(G1878,Budget!$E$3:$G$2474,3,0)</f>
        <v>0</v>
      </c>
      <c r="P1878" s="107">
        <f t="shared" si="760"/>
        <v>0</v>
      </c>
      <c r="Q1878" s="107"/>
      <c r="R1878" s="10"/>
      <c r="S1878" s="107">
        <v>0</v>
      </c>
      <c r="T1878" s="107">
        <f t="shared" si="747"/>
        <v>0</v>
      </c>
      <c r="U1878" s="107"/>
      <c r="V1878" s="175"/>
      <c r="W1878" s="10"/>
      <c r="X1878" s="10"/>
      <c r="Y1878" t="str">
        <f t="shared" si="763"/>
        <v>3683</v>
      </c>
      <c r="AB1878" s="10"/>
      <c r="AC1878" s="10"/>
      <c r="AD1878" s="10"/>
      <c r="AE1878" s="10"/>
      <c r="AF1878" s="10"/>
      <c r="AG1878" s="10"/>
      <c r="AH1878" s="10"/>
      <c r="AI1878" s="10"/>
    </row>
    <row r="1879" spans="1:35">
      <c r="A1879" s="10"/>
      <c r="B1879" s="10" t="str">
        <f t="shared" si="762"/>
        <v>Below the LinePREP</v>
      </c>
      <c r="C1879" t="s">
        <v>20</v>
      </c>
      <c r="D1879" t="s">
        <v>19</v>
      </c>
      <c r="E1879" t="s">
        <v>234</v>
      </c>
      <c r="F1879" t="s">
        <v>5116</v>
      </c>
      <c r="G1879" t="s">
        <v>1078</v>
      </c>
      <c r="I1879" s="10"/>
      <c r="J1879" s="107">
        <f>SUMIF(Data!C:C,G1879,Data!Q:Q)</f>
        <v>8719.57</v>
      </c>
      <c r="K1879" s="107">
        <f>SUMIF(Comprometidos!A:A,'Cost Report'!G1879,Comprometidos!E:E)</f>
        <v>0</v>
      </c>
      <c r="L1879" s="107">
        <f t="shared" si="757"/>
        <v>8719.57</v>
      </c>
      <c r="M1879" s="107">
        <v>0</v>
      </c>
      <c r="N1879" s="107">
        <f t="shared" si="759"/>
        <v>8719.57</v>
      </c>
      <c r="O1879" s="107">
        <f>VLOOKUP(G1879,Budget!$E$3:$G$2474,3,0)</f>
        <v>15000</v>
      </c>
      <c r="P1879" s="107">
        <f t="shared" si="760"/>
        <v>6280.43</v>
      </c>
      <c r="Q1879" s="107"/>
      <c r="R1879" s="10"/>
      <c r="S1879" s="107">
        <v>8719.57</v>
      </c>
      <c r="T1879" s="107">
        <f t="shared" si="747"/>
        <v>0</v>
      </c>
      <c r="U1879" s="107"/>
      <c r="V1879" s="175"/>
      <c r="W1879" s="10"/>
      <c r="X1879" s="10"/>
      <c r="Y1879" t="str">
        <f t="shared" si="763"/>
        <v>3683</v>
      </c>
      <c r="AB1879" s="10"/>
      <c r="AC1879" s="10"/>
      <c r="AD1879" s="10"/>
      <c r="AE1879" s="10"/>
      <c r="AF1879" s="10"/>
      <c r="AG1879" s="10"/>
      <c r="AH1879" s="10"/>
      <c r="AI1879" s="10"/>
    </row>
    <row r="1880" spans="1:35">
      <c r="A1880" s="10"/>
      <c r="B1880" s="10" t="str">
        <f t="shared" si="762"/>
        <v>Below the LineSHOOT</v>
      </c>
      <c r="C1880" t="s">
        <v>20</v>
      </c>
      <c r="D1880" t="s">
        <v>19</v>
      </c>
      <c r="E1880" t="s">
        <v>236</v>
      </c>
      <c r="F1880" t="s">
        <v>5116</v>
      </c>
      <c r="G1880" t="s">
        <v>1079</v>
      </c>
      <c r="I1880" s="10"/>
      <c r="J1880" s="107">
        <f>SUMIF(Data!C:C,G1880,Data!Q:Q)</f>
        <v>146859.83999999997</v>
      </c>
      <c r="K1880" s="107">
        <f>SUMIF(Comprometidos!A:A,'Cost Report'!G1880,Comprometidos!E:E)</f>
        <v>0</v>
      </c>
      <c r="L1880" s="107">
        <f t="shared" si="757"/>
        <v>146859.83999999997</v>
      </c>
      <c r="M1880" s="107">
        <v>0</v>
      </c>
      <c r="N1880" s="107">
        <f t="shared" si="759"/>
        <v>146859.83999999997</v>
      </c>
      <c r="O1880" s="107">
        <f>VLOOKUP(G1880,Budget!$E$3:$G$2474,3,0)</f>
        <v>105000</v>
      </c>
      <c r="P1880" s="107">
        <f t="shared" si="760"/>
        <v>-41859.839999999967</v>
      </c>
      <c r="Q1880" s="107"/>
      <c r="R1880" s="10"/>
      <c r="S1880" s="107">
        <v>146859.83999999997</v>
      </c>
      <c r="T1880" s="107">
        <f t="shared" si="747"/>
        <v>0</v>
      </c>
      <c r="U1880" s="107"/>
      <c r="V1880" s="175"/>
      <c r="W1880" s="10"/>
      <c r="X1880" s="10"/>
      <c r="Y1880" t="str">
        <f t="shared" si="763"/>
        <v>3683</v>
      </c>
      <c r="AB1880" s="10"/>
      <c r="AC1880" s="10"/>
      <c r="AD1880" s="10"/>
      <c r="AE1880" s="10"/>
      <c r="AF1880" s="10"/>
      <c r="AG1880" s="10"/>
      <c r="AH1880" s="10"/>
      <c r="AI1880" s="10"/>
    </row>
    <row r="1881" spans="1:35">
      <c r="A1881" s="10"/>
      <c r="B1881" s="10" t="str">
        <f t="shared" si="762"/>
        <v>Below the LineWRAP</v>
      </c>
      <c r="C1881" t="s">
        <v>20</v>
      </c>
      <c r="D1881" t="s">
        <v>19</v>
      </c>
      <c r="E1881" t="s">
        <v>238</v>
      </c>
      <c r="F1881" t="s">
        <v>5116</v>
      </c>
      <c r="G1881" t="s">
        <v>1080</v>
      </c>
      <c r="I1881" s="10"/>
      <c r="J1881" s="107">
        <f>SUMIF(Data!C:C,G1881,Data!Q:Q)</f>
        <v>0</v>
      </c>
      <c r="K1881" s="107">
        <f>SUMIF(Comprometidos!A:A,'Cost Report'!G1881,Comprometidos!E:E)</f>
        <v>0</v>
      </c>
      <c r="L1881" s="107">
        <f t="shared" si="757"/>
        <v>0</v>
      </c>
      <c r="M1881" s="107">
        <v>0</v>
      </c>
      <c r="N1881" s="107">
        <f t="shared" si="759"/>
        <v>0</v>
      </c>
      <c r="O1881" s="107">
        <f>VLOOKUP(G1881,Budget!$E$3:$G$2474,3,0)</f>
        <v>15000</v>
      </c>
      <c r="P1881" s="107">
        <f t="shared" si="760"/>
        <v>15000</v>
      </c>
      <c r="Q1881" s="107"/>
      <c r="R1881" s="10"/>
      <c r="S1881" s="107">
        <v>0</v>
      </c>
      <c r="T1881" s="107">
        <f t="shared" si="747"/>
        <v>0</v>
      </c>
      <c r="U1881" s="107"/>
      <c r="V1881" s="175"/>
      <c r="W1881" s="10"/>
      <c r="X1881" s="10"/>
      <c r="Y1881" t="str">
        <f t="shared" si="763"/>
        <v>3683</v>
      </c>
      <c r="AB1881" s="10"/>
      <c r="AC1881" s="10"/>
      <c r="AD1881" s="10"/>
      <c r="AE1881" s="10"/>
      <c r="AF1881" s="10"/>
      <c r="AG1881" s="10"/>
      <c r="AH1881" s="10"/>
      <c r="AI1881" s="10"/>
    </row>
    <row r="1882" spans="1:35">
      <c r="A1882" s="10"/>
      <c r="B1882" s="10" t="str">
        <f t="shared" si="762"/>
        <v>Below the Line</v>
      </c>
      <c r="C1882" t="s">
        <v>20</v>
      </c>
      <c r="D1882" t="s">
        <v>19</v>
      </c>
      <c r="E1882" t="s">
        <v>214</v>
      </c>
      <c r="F1882" t="s">
        <v>5116</v>
      </c>
      <c r="G1882" t="s">
        <v>1081</v>
      </c>
      <c r="I1882" s="10"/>
      <c r="J1882" s="107">
        <f>SUMIF(Data!C:C,G1882,Data!Q:Q)</f>
        <v>0</v>
      </c>
      <c r="K1882" s="107">
        <f>SUMIF(Comprometidos!A:A,'Cost Report'!G1882,Comprometidos!E:E)</f>
        <v>0</v>
      </c>
      <c r="L1882" s="107">
        <f t="shared" si="757"/>
        <v>0</v>
      </c>
      <c r="M1882" s="107">
        <f t="shared" si="758"/>
        <v>0</v>
      </c>
      <c r="N1882" s="107">
        <f t="shared" si="759"/>
        <v>0</v>
      </c>
      <c r="O1882" s="107">
        <f>VLOOKUP(G1882,Budget!$E$3:$G$2474,3,0)</f>
        <v>0</v>
      </c>
      <c r="P1882" s="107">
        <f t="shared" si="760"/>
        <v>0</v>
      </c>
      <c r="Q1882" s="107"/>
      <c r="R1882" s="10"/>
      <c r="S1882" s="107">
        <v>0</v>
      </c>
      <c r="T1882" s="107">
        <f t="shared" si="747"/>
        <v>0</v>
      </c>
      <c r="U1882" s="107"/>
      <c r="V1882" s="175"/>
      <c r="W1882" s="10"/>
      <c r="X1882" s="10"/>
      <c r="Y1882" t="str">
        <f t="shared" si="763"/>
        <v>3683</v>
      </c>
      <c r="AB1882" s="10"/>
      <c r="AC1882" s="10"/>
      <c r="AD1882" s="10"/>
      <c r="AE1882" s="10"/>
      <c r="AF1882" s="10"/>
      <c r="AG1882" s="10"/>
      <c r="AH1882" s="10"/>
      <c r="AI1882" s="10"/>
    </row>
    <row r="1883" spans="1:35">
      <c r="A1883" s="10"/>
      <c r="B1883" s="10" t="str">
        <f t="shared" si="762"/>
        <v>Below the LinePREP</v>
      </c>
      <c r="C1883" t="s">
        <v>20</v>
      </c>
      <c r="D1883" t="s">
        <v>19</v>
      </c>
      <c r="E1883" t="s">
        <v>234</v>
      </c>
      <c r="F1883" t="s">
        <v>5116</v>
      </c>
      <c r="G1883" t="s">
        <v>1082</v>
      </c>
      <c r="I1883" s="10"/>
      <c r="J1883" s="107">
        <f>SUMIF(Data!C:C,G1883,Data!Q:Q)</f>
        <v>34878.26</v>
      </c>
      <c r="K1883" s="107">
        <f>SUMIF(Comprometidos!A:A,'Cost Report'!G1883,Comprometidos!E:E)</f>
        <v>0</v>
      </c>
      <c r="L1883" s="107">
        <f t="shared" si="757"/>
        <v>34878.26</v>
      </c>
      <c r="M1883" s="107">
        <v>0</v>
      </c>
      <c r="N1883" s="107">
        <f t="shared" si="759"/>
        <v>34878.26</v>
      </c>
      <c r="O1883" s="107">
        <f>VLOOKUP(G1883,Budget!$E$3:$G$2474,3,0)</f>
        <v>60000</v>
      </c>
      <c r="P1883" s="107">
        <f t="shared" si="760"/>
        <v>25121.739999999998</v>
      </c>
      <c r="Q1883" s="107"/>
      <c r="R1883" s="10"/>
      <c r="S1883" s="107">
        <v>34878.26</v>
      </c>
      <c r="T1883" s="107">
        <f t="shared" si="747"/>
        <v>0</v>
      </c>
      <c r="U1883" s="107"/>
      <c r="V1883" s="175"/>
      <c r="W1883" s="10"/>
      <c r="X1883" s="10"/>
      <c r="Y1883" t="str">
        <f t="shared" si="763"/>
        <v>3683</v>
      </c>
      <c r="AB1883" s="10"/>
      <c r="AC1883" s="10"/>
      <c r="AD1883" s="10"/>
      <c r="AE1883" s="10"/>
      <c r="AF1883" s="10"/>
      <c r="AG1883" s="10"/>
      <c r="AH1883" s="10"/>
      <c r="AI1883" s="10"/>
    </row>
    <row r="1884" spans="1:35">
      <c r="A1884" s="10"/>
      <c r="B1884" s="10" t="str">
        <f t="shared" si="762"/>
        <v>Below the LineSHOOT</v>
      </c>
      <c r="C1884" t="s">
        <v>20</v>
      </c>
      <c r="D1884" t="s">
        <v>19</v>
      </c>
      <c r="E1884" t="s">
        <v>236</v>
      </c>
      <c r="F1884" t="s">
        <v>5116</v>
      </c>
      <c r="G1884" t="s">
        <v>1083</v>
      </c>
      <c r="I1884" s="10"/>
      <c r="J1884" s="107">
        <f>SUMIF(Data!C:C,G1884,Data!Q:Q)</f>
        <v>146859.83999999997</v>
      </c>
      <c r="K1884" s="107">
        <f>SUMIF(Comprometidos!A:A,'Cost Report'!G1884,Comprometidos!E:E)</f>
        <v>0</v>
      </c>
      <c r="L1884" s="107">
        <f t="shared" si="757"/>
        <v>146859.83999999997</v>
      </c>
      <c r="M1884" s="107">
        <v>0</v>
      </c>
      <c r="N1884" s="107">
        <f t="shared" si="759"/>
        <v>146859.83999999997</v>
      </c>
      <c r="O1884" s="107">
        <f>VLOOKUP(G1884,Budget!$E$3:$G$2474,3,0)</f>
        <v>105000</v>
      </c>
      <c r="P1884" s="107">
        <f t="shared" si="760"/>
        <v>-41859.839999999967</v>
      </c>
      <c r="Q1884" s="107"/>
      <c r="R1884" s="10"/>
      <c r="S1884" s="107">
        <v>146859.83999999997</v>
      </c>
      <c r="T1884" s="107">
        <f t="shared" si="747"/>
        <v>0</v>
      </c>
      <c r="U1884" s="107"/>
      <c r="V1884" s="175"/>
      <c r="W1884" s="10"/>
      <c r="X1884" s="10"/>
      <c r="Y1884" t="str">
        <f t="shared" si="763"/>
        <v>3683</v>
      </c>
      <c r="AB1884" s="10"/>
      <c r="AC1884" s="10"/>
      <c r="AD1884" s="10"/>
      <c r="AE1884" s="10"/>
      <c r="AF1884" s="10"/>
      <c r="AG1884" s="10"/>
      <c r="AH1884" s="10"/>
      <c r="AI1884" s="10"/>
    </row>
    <row r="1885" spans="1:35">
      <c r="A1885" s="10"/>
      <c r="B1885" s="10" t="str">
        <f t="shared" si="762"/>
        <v>Below the LineWRAP</v>
      </c>
      <c r="C1885" t="s">
        <v>20</v>
      </c>
      <c r="D1885" t="s">
        <v>19</v>
      </c>
      <c r="E1885" t="s">
        <v>238</v>
      </c>
      <c r="F1885" t="s">
        <v>5116</v>
      </c>
      <c r="G1885" t="s">
        <v>1084</v>
      </c>
      <c r="I1885" s="10"/>
      <c r="J1885" s="107">
        <f>SUMIF(Data!C:C,G1885,Data!Q:Q)</f>
        <v>0</v>
      </c>
      <c r="K1885" s="107">
        <f>SUMIF(Comprometidos!A:A,'Cost Report'!G1885,Comprometidos!E:E)</f>
        <v>0</v>
      </c>
      <c r="L1885" s="107">
        <f t="shared" si="757"/>
        <v>0</v>
      </c>
      <c r="M1885" s="107">
        <v>0</v>
      </c>
      <c r="N1885" s="107">
        <f t="shared" si="759"/>
        <v>0</v>
      </c>
      <c r="O1885" s="107">
        <f>VLOOKUP(G1885,Budget!$E$3:$G$2474,3,0)</f>
        <v>15000</v>
      </c>
      <c r="P1885" s="107">
        <f t="shared" si="760"/>
        <v>15000</v>
      </c>
      <c r="Q1885" s="107"/>
      <c r="R1885" s="10"/>
      <c r="S1885" s="107">
        <v>0</v>
      </c>
      <c r="T1885" s="107">
        <f t="shared" ref="T1885:T1948" si="764">+S1885-N1885</f>
        <v>0</v>
      </c>
      <c r="U1885" s="107"/>
      <c r="V1885" s="175"/>
      <c r="W1885" s="10"/>
      <c r="X1885" s="10"/>
      <c r="Y1885" t="str">
        <f t="shared" si="763"/>
        <v>3683</v>
      </c>
      <c r="AB1885" s="10"/>
      <c r="AC1885" s="10"/>
      <c r="AD1885" s="10"/>
      <c r="AE1885" s="10"/>
      <c r="AF1885" s="10"/>
      <c r="AG1885" s="10"/>
      <c r="AH1885" s="10"/>
      <c r="AI1885" s="10"/>
    </row>
    <row r="1886" spans="1:35">
      <c r="A1886" s="10"/>
      <c r="B1886" s="10" t="str">
        <f t="shared" si="762"/>
        <v>Below the Line</v>
      </c>
      <c r="C1886" t="s">
        <v>20</v>
      </c>
      <c r="D1886" t="s">
        <v>19</v>
      </c>
      <c r="E1886" t="s">
        <v>214</v>
      </c>
      <c r="F1886" t="s">
        <v>5116</v>
      </c>
      <c r="G1886" t="s">
        <v>1085</v>
      </c>
      <c r="I1886" s="10"/>
      <c r="J1886" s="107">
        <f>SUMIF(Data!C:C,G1886,Data!Q:Q)</f>
        <v>0</v>
      </c>
      <c r="K1886" s="107">
        <f>SUMIF(Comprometidos!A:A,'Cost Report'!G1886,Comprometidos!E:E)</f>
        <v>0</v>
      </c>
      <c r="L1886" s="107">
        <f t="shared" si="757"/>
        <v>0</v>
      </c>
      <c r="M1886" s="107">
        <f t="shared" si="758"/>
        <v>0</v>
      </c>
      <c r="N1886" s="107">
        <f t="shared" si="759"/>
        <v>0</v>
      </c>
      <c r="O1886" s="107">
        <f>VLOOKUP(G1886,Budget!$E$3:$G$2474,3,0)</f>
        <v>0</v>
      </c>
      <c r="P1886" s="107">
        <f t="shared" si="760"/>
        <v>0</v>
      </c>
      <c r="Q1886" s="107"/>
      <c r="R1886" s="10"/>
      <c r="S1886" s="107">
        <v>0</v>
      </c>
      <c r="T1886" s="107">
        <f t="shared" si="764"/>
        <v>0</v>
      </c>
      <c r="U1886" s="107"/>
      <c r="V1886" s="175"/>
      <c r="W1886" s="10"/>
      <c r="X1886" s="10"/>
      <c r="Y1886" t="str">
        <f t="shared" si="763"/>
        <v>3683</v>
      </c>
      <c r="AB1886" s="10"/>
      <c r="AC1886" s="10"/>
      <c r="AD1886" s="10"/>
      <c r="AE1886" s="10"/>
      <c r="AF1886" s="10"/>
      <c r="AG1886" s="10"/>
      <c r="AH1886" s="10"/>
      <c r="AI1886" s="10"/>
    </row>
    <row r="1887" spans="1:35">
      <c r="A1887" s="10"/>
      <c r="B1887" s="10" t="str">
        <f t="shared" si="762"/>
        <v>Below the LinePREP</v>
      </c>
      <c r="C1887" t="s">
        <v>20</v>
      </c>
      <c r="D1887" t="s">
        <v>19</v>
      </c>
      <c r="E1887" t="s">
        <v>234</v>
      </c>
      <c r="F1887" t="s">
        <v>5116</v>
      </c>
      <c r="G1887" t="s">
        <v>1086</v>
      </c>
      <c r="I1887" s="10"/>
      <c r="J1887" s="107">
        <f>SUMIF(Data!C:C,G1887,Data!Q:Q)</f>
        <v>12788.7</v>
      </c>
      <c r="K1887" s="107">
        <f>SUMIF(Comprometidos!A:A,'Cost Report'!G1887,Comprometidos!E:E)</f>
        <v>0</v>
      </c>
      <c r="L1887" s="107">
        <f t="shared" si="757"/>
        <v>12788.7</v>
      </c>
      <c r="M1887" s="107">
        <v>0</v>
      </c>
      <c r="N1887" s="107">
        <f t="shared" si="759"/>
        <v>12788.7</v>
      </c>
      <c r="O1887" s="107">
        <f>VLOOKUP(G1887,Budget!$E$3:$G$2474,3,0)</f>
        <v>22000</v>
      </c>
      <c r="P1887" s="107">
        <f t="shared" si="760"/>
        <v>9211.2999999999993</v>
      </c>
      <c r="Q1887" s="107"/>
      <c r="R1887" s="10"/>
      <c r="S1887" s="107">
        <v>12788.7</v>
      </c>
      <c r="T1887" s="107">
        <f t="shared" si="764"/>
        <v>0</v>
      </c>
      <c r="U1887" s="107"/>
      <c r="V1887" s="175"/>
      <c r="W1887" s="10"/>
      <c r="X1887" s="10"/>
      <c r="Y1887" t="str">
        <f t="shared" si="763"/>
        <v>3683</v>
      </c>
      <c r="AB1887" s="10"/>
      <c r="AC1887" s="10"/>
      <c r="AD1887" s="10"/>
      <c r="AE1887" s="10"/>
      <c r="AF1887" s="10"/>
      <c r="AG1887" s="10"/>
      <c r="AH1887" s="10"/>
      <c r="AI1887" s="10"/>
    </row>
    <row r="1888" spans="1:35">
      <c r="A1888" s="10"/>
      <c r="B1888" s="10" t="str">
        <f t="shared" si="762"/>
        <v>Below the LineSHOOT</v>
      </c>
      <c r="C1888" t="s">
        <v>20</v>
      </c>
      <c r="D1888" t="s">
        <v>19</v>
      </c>
      <c r="E1888" t="s">
        <v>236</v>
      </c>
      <c r="F1888" t="s">
        <v>5116</v>
      </c>
      <c r="G1888" t="s">
        <v>1087</v>
      </c>
      <c r="I1888" s="10"/>
      <c r="J1888" s="107">
        <f>SUMIF(Data!C:C,G1888,Data!Q:Q)</f>
        <v>215394.45000000004</v>
      </c>
      <c r="K1888" s="107">
        <f>SUMIF(Comprometidos!A:A,'Cost Report'!G1888,Comprometidos!E:E)</f>
        <v>0</v>
      </c>
      <c r="L1888" s="107">
        <f t="shared" si="757"/>
        <v>215394.45000000004</v>
      </c>
      <c r="M1888" s="107">
        <v>0</v>
      </c>
      <c r="N1888" s="107">
        <f t="shared" si="759"/>
        <v>215394.45000000004</v>
      </c>
      <c r="O1888" s="107">
        <f>VLOOKUP(G1888,Budget!$E$3:$G$2474,3,0)</f>
        <v>154000</v>
      </c>
      <c r="P1888" s="107">
        <f t="shared" si="760"/>
        <v>-61394.450000000041</v>
      </c>
      <c r="Q1888" s="107"/>
      <c r="R1888" s="10"/>
      <c r="S1888" s="107">
        <v>215394.45000000004</v>
      </c>
      <c r="T1888" s="107">
        <f t="shared" si="764"/>
        <v>0</v>
      </c>
      <c r="U1888" s="107"/>
      <c r="V1888" s="175"/>
      <c r="W1888" s="10"/>
      <c r="X1888" s="10"/>
      <c r="Y1888" t="str">
        <f t="shared" si="763"/>
        <v>3683</v>
      </c>
      <c r="AB1888" s="10"/>
      <c r="AC1888" s="10"/>
      <c r="AD1888" s="10"/>
      <c r="AE1888" s="10"/>
      <c r="AF1888" s="10"/>
      <c r="AG1888" s="10"/>
      <c r="AH1888" s="10"/>
      <c r="AI1888" s="10"/>
    </row>
    <row r="1889" spans="1:35">
      <c r="A1889" s="10"/>
      <c r="B1889" s="10" t="str">
        <f t="shared" si="762"/>
        <v>Below the LineWRAP</v>
      </c>
      <c r="C1889" t="s">
        <v>20</v>
      </c>
      <c r="D1889" t="s">
        <v>19</v>
      </c>
      <c r="E1889" t="s">
        <v>238</v>
      </c>
      <c r="F1889" t="s">
        <v>5116</v>
      </c>
      <c r="G1889" t="s">
        <v>1088</v>
      </c>
      <c r="I1889" s="10"/>
      <c r="J1889" s="107">
        <f>SUMIF(Data!C:C,G1889,Data!Q:Q)</f>
        <v>0</v>
      </c>
      <c r="K1889" s="107">
        <f>SUMIF(Comprometidos!A:A,'Cost Report'!G1889,Comprometidos!E:E)</f>
        <v>0</v>
      </c>
      <c r="L1889" s="107">
        <f t="shared" ref="L1889:L1952" si="765">+J1889+K1889</f>
        <v>0</v>
      </c>
      <c r="M1889" s="107">
        <v>0</v>
      </c>
      <c r="N1889" s="107">
        <f t="shared" ref="N1889:N1952" si="766">+L1889+M1889</f>
        <v>0</v>
      </c>
      <c r="O1889" s="107">
        <f>VLOOKUP(G1889,Budget!$E$3:$G$2474,3,0)</f>
        <v>22000</v>
      </c>
      <c r="P1889" s="107">
        <f t="shared" ref="P1889:P1952" si="767">+O1889-N1889</f>
        <v>22000</v>
      </c>
      <c r="Q1889" s="107"/>
      <c r="R1889" s="10"/>
      <c r="S1889" s="107">
        <v>0</v>
      </c>
      <c r="T1889" s="107">
        <f t="shared" si="764"/>
        <v>0</v>
      </c>
      <c r="U1889" s="107"/>
      <c r="V1889" s="175"/>
      <c r="W1889" s="10"/>
      <c r="X1889" s="10"/>
      <c r="Y1889" t="str">
        <f t="shared" si="763"/>
        <v>3683</v>
      </c>
      <c r="AB1889" s="10"/>
      <c r="AC1889" s="10"/>
      <c r="AD1889" s="10"/>
      <c r="AE1889" s="10"/>
      <c r="AF1889" s="10"/>
      <c r="AG1889" s="10"/>
      <c r="AH1889" s="10"/>
      <c r="AI1889" s="10"/>
    </row>
    <row r="1890" spans="1:35">
      <c r="A1890" s="10"/>
      <c r="B1890" s="10" t="str">
        <f t="shared" si="762"/>
        <v>Below the Line</v>
      </c>
      <c r="C1890" t="s">
        <v>20</v>
      </c>
      <c r="D1890" t="s">
        <v>19</v>
      </c>
      <c r="E1890" t="s">
        <v>214</v>
      </c>
      <c r="F1890" t="s">
        <v>5116</v>
      </c>
      <c r="G1890" t="s">
        <v>1089</v>
      </c>
      <c r="I1890" s="10"/>
      <c r="J1890" s="107">
        <f>SUMIF(Data!C:C,G1890,Data!Q:Q)</f>
        <v>0</v>
      </c>
      <c r="K1890" s="107">
        <f>SUMIF(Comprometidos!A:A,'Cost Report'!G1890,Comprometidos!E:E)</f>
        <v>0</v>
      </c>
      <c r="L1890" s="107">
        <f t="shared" si="765"/>
        <v>0</v>
      </c>
      <c r="M1890" s="107">
        <f t="shared" si="758"/>
        <v>0</v>
      </c>
      <c r="N1890" s="107">
        <f t="shared" si="766"/>
        <v>0</v>
      </c>
      <c r="O1890" s="107">
        <f>VLOOKUP(G1890,Budget!$E$3:$G$2474,3,0)</f>
        <v>0</v>
      </c>
      <c r="P1890" s="107">
        <f t="shared" si="767"/>
        <v>0</v>
      </c>
      <c r="Q1890" s="107"/>
      <c r="R1890" s="10"/>
      <c r="S1890" s="107">
        <v>0</v>
      </c>
      <c r="T1890" s="107">
        <f t="shared" si="764"/>
        <v>0</v>
      </c>
      <c r="U1890" s="107"/>
      <c r="V1890" s="175"/>
      <c r="W1890" s="10"/>
      <c r="X1890" s="10"/>
      <c r="Y1890" t="str">
        <f t="shared" si="763"/>
        <v>3683</v>
      </c>
      <c r="AB1890" s="10"/>
      <c r="AC1890" s="10"/>
      <c r="AD1890" s="10"/>
      <c r="AE1890" s="10"/>
      <c r="AF1890" s="10"/>
      <c r="AG1890" s="10"/>
      <c r="AH1890" s="10"/>
      <c r="AI1890" s="10"/>
    </row>
    <row r="1891" spans="1:35">
      <c r="A1891" s="10"/>
      <c r="B1891" s="10" t="str">
        <f t="shared" si="762"/>
        <v>Below the LinePREP</v>
      </c>
      <c r="C1891" t="s">
        <v>20</v>
      </c>
      <c r="D1891" t="s">
        <v>19</v>
      </c>
      <c r="E1891" t="s">
        <v>234</v>
      </c>
      <c r="F1891" t="s">
        <v>5116</v>
      </c>
      <c r="G1891" t="s">
        <v>1090</v>
      </c>
      <c r="I1891" s="10"/>
      <c r="J1891" s="107">
        <f>SUMIF(Data!C:C,G1891,Data!Q:Q)</f>
        <v>34878.26</v>
      </c>
      <c r="K1891" s="107">
        <f>SUMIF(Comprometidos!A:A,'Cost Report'!G1891,Comprometidos!E:E)</f>
        <v>0</v>
      </c>
      <c r="L1891" s="107">
        <f t="shared" si="765"/>
        <v>34878.26</v>
      </c>
      <c r="M1891" s="107">
        <v>0</v>
      </c>
      <c r="N1891" s="107">
        <f t="shared" si="766"/>
        <v>34878.26</v>
      </c>
      <c r="O1891" s="107">
        <f>VLOOKUP(G1891,Budget!$E$3:$G$2474,3,0)</f>
        <v>60000</v>
      </c>
      <c r="P1891" s="107">
        <f t="shared" si="767"/>
        <v>25121.739999999998</v>
      </c>
      <c r="Q1891" s="107"/>
      <c r="R1891" s="10"/>
      <c r="S1891" s="107">
        <v>34878.26</v>
      </c>
      <c r="T1891" s="107">
        <f t="shared" si="764"/>
        <v>0</v>
      </c>
      <c r="U1891" s="107"/>
      <c r="V1891" s="175"/>
      <c r="W1891" s="10"/>
      <c r="X1891" s="10"/>
      <c r="Y1891" t="str">
        <f t="shared" si="763"/>
        <v>3683</v>
      </c>
      <c r="AB1891" s="10"/>
      <c r="AC1891" s="10"/>
      <c r="AD1891" s="10"/>
      <c r="AE1891" s="10"/>
      <c r="AF1891" s="10"/>
      <c r="AG1891" s="10"/>
      <c r="AH1891" s="10"/>
      <c r="AI1891" s="10"/>
    </row>
    <row r="1892" spans="1:35">
      <c r="A1892" s="10"/>
      <c r="B1892" s="10" t="str">
        <f t="shared" si="762"/>
        <v>Below the LineSHOOT</v>
      </c>
      <c r="C1892" t="s">
        <v>20</v>
      </c>
      <c r="D1892" t="s">
        <v>19</v>
      </c>
      <c r="E1892" t="s">
        <v>236</v>
      </c>
      <c r="F1892" t="s">
        <v>5116</v>
      </c>
      <c r="G1892" t="s">
        <v>1091</v>
      </c>
      <c r="I1892" s="10"/>
      <c r="J1892" s="107">
        <f>SUMIF(Data!C:C,G1892,Data!Q:Q)</f>
        <v>146859.83999999997</v>
      </c>
      <c r="K1892" s="107">
        <f>SUMIF(Comprometidos!A:A,'Cost Report'!G1892,Comprometidos!E:E)</f>
        <v>0</v>
      </c>
      <c r="L1892" s="107">
        <f t="shared" si="765"/>
        <v>146859.83999999997</v>
      </c>
      <c r="M1892" s="107">
        <v>0</v>
      </c>
      <c r="N1892" s="107">
        <f t="shared" si="766"/>
        <v>146859.83999999997</v>
      </c>
      <c r="O1892" s="107">
        <f>VLOOKUP(G1892,Budget!$E$3:$G$2474,3,0)</f>
        <v>105000</v>
      </c>
      <c r="P1892" s="107">
        <f t="shared" si="767"/>
        <v>-41859.839999999967</v>
      </c>
      <c r="Q1892" s="107"/>
      <c r="R1892" s="10"/>
      <c r="S1892" s="107">
        <v>146859.83999999997</v>
      </c>
      <c r="T1892" s="107">
        <f t="shared" si="764"/>
        <v>0</v>
      </c>
      <c r="U1892" s="107"/>
      <c r="V1892" s="175"/>
      <c r="W1892" s="10"/>
      <c r="X1892" s="10"/>
      <c r="Y1892" t="str">
        <f t="shared" si="763"/>
        <v>3683</v>
      </c>
      <c r="AB1892" s="10"/>
      <c r="AC1892" s="10"/>
      <c r="AD1892" s="10"/>
      <c r="AE1892" s="10"/>
      <c r="AF1892" s="10"/>
      <c r="AG1892" s="10"/>
      <c r="AH1892" s="10"/>
      <c r="AI1892" s="10"/>
    </row>
    <row r="1893" spans="1:35">
      <c r="A1893" s="10"/>
      <c r="B1893" s="10" t="str">
        <f t="shared" si="762"/>
        <v>Below the LineWRAP</v>
      </c>
      <c r="C1893" t="s">
        <v>20</v>
      </c>
      <c r="D1893" t="s">
        <v>19</v>
      </c>
      <c r="E1893" t="s">
        <v>238</v>
      </c>
      <c r="F1893" t="s">
        <v>5116</v>
      </c>
      <c r="G1893" t="s">
        <v>1092</v>
      </c>
      <c r="I1893" s="10"/>
      <c r="J1893" s="107">
        <f>SUMIF(Data!C:C,G1893,Data!Q:Q)</f>
        <v>0</v>
      </c>
      <c r="K1893" s="107">
        <f>SUMIF(Comprometidos!A:A,'Cost Report'!G1893,Comprometidos!E:E)</f>
        <v>0</v>
      </c>
      <c r="L1893" s="107">
        <f t="shared" si="765"/>
        <v>0</v>
      </c>
      <c r="M1893" s="107">
        <v>0</v>
      </c>
      <c r="N1893" s="107">
        <f t="shared" si="766"/>
        <v>0</v>
      </c>
      <c r="O1893" s="107">
        <f>VLOOKUP(G1893,Budget!$E$3:$G$2474,3,0)</f>
        <v>15000</v>
      </c>
      <c r="P1893" s="107">
        <f t="shared" si="767"/>
        <v>15000</v>
      </c>
      <c r="Q1893" s="107"/>
      <c r="R1893" s="10"/>
      <c r="S1893" s="107">
        <v>0</v>
      </c>
      <c r="T1893" s="107">
        <f t="shared" si="764"/>
        <v>0</v>
      </c>
      <c r="U1893" s="107"/>
      <c r="V1893" s="175"/>
      <c r="W1893" s="10"/>
      <c r="X1893" s="10"/>
      <c r="Y1893" t="str">
        <f t="shared" si="763"/>
        <v>3683</v>
      </c>
      <c r="AB1893" s="10"/>
      <c r="AC1893" s="10"/>
      <c r="AD1893" s="10"/>
      <c r="AE1893" s="10"/>
      <c r="AF1893" s="10"/>
      <c r="AG1893" s="10"/>
      <c r="AH1893" s="10"/>
      <c r="AI1893" s="10"/>
    </row>
    <row r="1894" spans="1:35">
      <c r="A1894" s="10"/>
      <c r="B1894" s="10" t="str">
        <f t="shared" si="762"/>
        <v>Below the Line</v>
      </c>
      <c r="C1894" t="s">
        <v>20</v>
      </c>
      <c r="D1894" t="s">
        <v>19</v>
      </c>
      <c r="E1894" t="s">
        <v>214</v>
      </c>
      <c r="F1894" t="s">
        <v>5116</v>
      </c>
      <c r="G1894" t="s">
        <v>1093</v>
      </c>
      <c r="I1894" s="10"/>
      <c r="J1894" s="107">
        <f>SUMIF(Data!C:C,G1894,Data!Q:Q)</f>
        <v>0</v>
      </c>
      <c r="K1894" s="107">
        <f>SUMIF(Comprometidos!A:A,'Cost Report'!G1894,Comprometidos!E:E)</f>
        <v>0</v>
      </c>
      <c r="L1894" s="107">
        <f t="shared" si="765"/>
        <v>0</v>
      </c>
      <c r="M1894" s="107">
        <f t="shared" ref="M1894:M1955" si="768">+O1894-L1894</f>
        <v>0</v>
      </c>
      <c r="N1894" s="107">
        <f t="shared" si="766"/>
        <v>0</v>
      </c>
      <c r="O1894" s="107">
        <f>VLOOKUP(G1894,Budget!$E$3:$G$2474,3,0)</f>
        <v>0</v>
      </c>
      <c r="P1894" s="107">
        <f t="shared" si="767"/>
        <v>0</v>
      </c>
      <c r="Q1894" s="107"/>
      <c r="R1894" s="10"/>
      <c r="S1894" s="107">
        <v>0</v>
      </c>
      <c r="T1894" s="107">
        <f t="shared" si="764"/>
        <v>0</v>
      </c>
      <c r="U1894" s="107"/>
      <c r="V1894" s="175"/>
      <c r="W1894" s="10"/>
      <c r="X1894" s="10"/>
      <c r="Y1894" t="str">
        <f t="shared" si="763"/>
        <v>3683</v>
      </c>
      <c r="AB1894" s="10"/>
      <c r="AC1894" s="10"/>
      <c r="AD1894" s="10"/>
      <c r="AE1894" s="10"/>
      <c r="AF1894" s="10"/>
      <c r="AG1894" s="10"/>
      <c r="AH1894" s="10"/>
      <c r="AI1894" s="10"/>
    </row>
    <row r="1895" spans="1:35">
      <c r="A1895" s="10"/>
      <c r="B1895" s="10" t="str">
        <f t="shared" si="762"/>
        <v>Below the LinePREP</v>
      </c>
      <c r="C1895" t="s">
        <v>20</v>
      </c>
      <c r="D1895" t="s">
        <v>19</v>
      </c>
      <c r="E1895" t="s">
        <v>234</v>
      </c>
      <c r="F1895" t="s">
        <v>5116</v>
      </c>
      <c r="G1895" t="s">
        <v>1094</v>
      </c>
      <c r="I1895" s="10"/>
      <c r="J1895" s="107">
        <f>SUMIF(Data!C:C,G1895,Data!Q:Q)</f>
        <v>12788.7</v>
      </c>
      <c r="K1895" s="107">
        <f>SUMIF(Comprometidos!A:A,'Cost Report'!G1895,Comprometidos!E:E)</f>
        <v>0</v>
      </c>
      <c r="L1895" s="107">
        <f t="shared" si="765"/>
        <v>12788.7</v>
      </c>
      <c r="M1895" s="107">
        <v>0</v>
      </c>
      <c r="N1895" s="107">
        <f t="shared" si="766"/>
        <v>12788.7</v>
      </c>
      <c r="O1895" s="107">
        <f>VLOOKUP(G1895,Budget!$E$3:$G$2474,3,0)</f>
        <v>22000</v>
      </c>
      <c r="P1895" s="107">
        <f t="shared" si="767"/>
        <v>9211.2999999999993</v>
      </c>
      <c r="Q1895" s="107"/>
      <c r="R1895" s="10"/>
      <c r="S1895" s="107">
        <v>12788.7</v>
      </c>
      <c r="T1895" s="107">
        <f t="shared" si="764"/>
        <v>0</v>
      </c>
      <c r="U1895" s="107"/>
      <c r="V1895" s="175"/>
      <c r="W1895" s="10"/>
      <c r="X1895" s="10"/>
      <c r="Y1895" t="str">
        <f t="shared" si="763"/>
        <v>3683</v>
      </c>
      <c r="AB1895" s="10"/>
      <c r="AC1895" s="10"/>
      <c r="AD1895" s="10"/>
      <c r="AE1895" s="10"/>
      <c r="AF1895" s="10"/>
      <c r="AG1895" s="10"/>
      <c r="AH1895" s="10"/>
      <c r="AI1895" s="10"/>
    </row>
    <row r="1896" spans="1:35">
      <c r="A1896" s="10"/>
      <c r="B1896" s="10" t="str">
        <f t="shared" si="762"/>
        <v>Below the LineSHOOT</v>
      </c>
      <c r="C1896" t="s">
        <v>20</v>
      </c>
      <c r="D1896" t="s">
        <v>19</v>
      </c>
      <c r="E1896" t="s">
        <v>236</v>
      </c>
      <c r="F1896" t="s">
        <v>5116</v>
      </c>
      <c r="G1896" t="s">
        <v>1095</v>
      </c>
      <c r="I1896" s="10"/>
      <c r="J1896" s="107">
        <f>SUMIF(Data!C:C,G1896,Data!Q:Q)</f>
        <v>215394.45000000004</v>
      </c>
      <c r="K1896" s="107">
        <f>SUMIF(Comprometidos!A:A,'Cost Report'!G1896,Comprometidos!E:E)</f>
        <v>0</v>
      </c>
      <c r="L1896" s="107">
        <f t="shared" si="765"/>
        <v>215394.45000000004</v>
      </c>
      <c r="M1896" s="107">
        <v>0</v>
      </c>
      <c r="N1896" s="107">
        <f t="shared" si="766"/>
        <v>215394.45000000004</v>
      </c>
      <c r="O1896" s="107">
        <f>VLOOKUP(G1896,Budget!$E$3:$G$2474,3,0)</f>
        <v>154000</v>
      </c>
      <c r="P1896" s="107">
        <f t="shared" si="767"/>
        <v>-61394.450000000041</v>
      </c>
      <c r="Q1896" s="107"/>
      <c r="R1896" s="10"/>
      <c r="S1896" s="107">
        <v>215394.45000000004</v>
      </c>
      <c r="T1896" s="107">
        <f t="shared" si="764"/>
        <v>0</v>
      </c>
      <c r="U1896" s="107"/>
      <c r="V1896" s="175"/>
      <c r="W1896" s="10"/>
      <c r="X1896" s="10"/>
      <c r="Y1896" t="str">
        <f t="shared" si="763"/>
        <v>3683</v>
      </c>
      <c r="AB1896" s="10"/>
      <c r="AC1896" s="10"/>
      <c r="AD1896" s="10"/>
      <c r="AE1896" s="10"/>
      <c r="AF1896" s="10"/>
      <c r="AG1896" s="10"/>
      <c r="AH1896" s="10"/>
      <c r="AI1896" s="10"/>
    </row>
    <row r="1897" spans="1:35">
      <c r="A1897" s="10"/>
      <c r="B1897" s="10" t="str">
        <f t="shared" ref="B1897:B1960" si="769">+C1897&amp;E1897</f>
        <v>Below the LineWRAP</v>
      </c>
      <c r="C1897" t="s">
        <v>20</v>
      </c>
      <c r="D1897" t="s">
        <v>19</v>
      </c>
      <c r="E1897" t="s">
        <v>238</v>
      </c>
      <c r="F1897" t="s">
        <v>5116</v>
      </c>
      <c r="G1897" t="s">
        <v>1096</v>
      </c>
      <c r="I1897" s="10"/>
      <c r="J1897" s="107">
        <f>SUMIF(Data!C:C,G1897,Data!Q:Q)</f>
        <v>0</v>
      </c>
      <c r="K1897" s="107">
        <f>SUMIF(Comprometidos!A:A,'Cost Report'!G1897,Comprometidos!E:E)</f>
        <v>0</v>
      </c>
      <c r="L1897" s="107">
        <f t="shared" si="765"/>
        <v>0</v>
      </c>
      <c r="M1897" s="107">
        <v>0</v>
      </c>
      <c r="N1897" s="107">
        <f t="shared" si="766"/>
        <v>0</v>
      </c>
      <c r="O1897" s="107">
        <f>VLOOKUP(G1897,Budget!$E$3:$G$2474,3,0)</f>
        <v>22000</v>
      </c>
      <c r="P1897" s="107">
        <f t="shared" si="767"/>
        <v>22000</v>
      </c>
      <c r="Q1897" s="107"/>
      <c r="R1897" s="10"/>
      <c r="S1897" s="107">
        <v>0</v>
      </c>
      <c r="T1897" s="107">
        <f t="shared" si="764"/>
        <v>0</v>
      </c>
      <c r="U1897" s="107"/>
      <c r="V1897" s="175"/>
      <c r="W1897" s="10"/>
      <c r="X1897" s="10"/>
      <c r="Y1897" t="str">
        <f t="shared" ref="Y1897:Y1958" si="770">LEFT(G1897,4)</f>
        <v>3683</v>
      </c>
      <c r="AB1897" s="10"/>
      <c r="AC1897" s="10"/>
      <c r="AD1897" s="10"/>
      <c r="AE1897" s="10"/>
      <c r="AF1897" s="10"/>
      <c r="AG1897" s="10"/>
      <c r="AH1897" s="10"/>
      <c r="AI1897" s="10"/>
    </row>
    <row r="1898" spans="1:35">
      <c r="A1898" s="10"/>
      <c r="B1898" s="10" t="str">
        <f t="shared" si="769"/>
        <v>Below the Line</v>
      </c>
      <c r="C1898" t="s">
        <v>20</v>
      </c>
      <c r="D1898" t="s">
        <v>19</v>
      </c>
      <c r="E1898" t="s">
        <v>214</v>
      </c>
      <c r="F1898" t="s">
        <v>5116</v>
      </c>
      <c r="G1898" t="s">
        <v>1097</v>
      </c>
      <c r="I1898" s="10"/>
      <c r="J1898" s="107">
        <f>SUMIF(Data!C:C,G1898,Data!Q:Q)</f>
        <v>0</v>
      </c>
      <c r="K1898" s="107">
        <f>SUMIF(Comprometidos!A:A,'Cost Report'!G1898,Comprometidos!E:E)</f>
        <v>0</v>
      </c>
      <c r="L1898" s="107">
        <f t="shared" si="765"/>
        <v>0</v>
      </c>
      <c r="M1898" s="107">
        <f t="shared" si="768"/>
        <v>0</v>
      </c>
      <c r="N1898" s="107">
        <f t="shared" si="766"/>
        <v>0</v>
      </c>
      <c r="O1898" s="107">
        <f>VLOOKUP(G1898,Budget!$E$3:$G$2474,3,0)</f>
        <v>0</v>
      </c>
      <c r="P1898" s="107">
        <f t="shared" si="767"/>
        <v>0</v>
      </c>
      <c r="Q1898" s="107"/>
      <c r="R1898" s="10"/>
      <c r="S1898" s="107">
        <v>0</v>
      </c>
      <c r="T1898" s="107">
        <f t="shared" si="764"/>
        <v>0</v>
      </c>
      <c r="U1898" s="107"/>
      <c r="V1898" s="175"/>
      <c r="W1898" s="10"/>
      <c r="X1898" s="10"/>
      <c r="Y1898" t="str">
        <f t="shared" si="770"/>
        <v>3683</v>
      </c>
      <c r="AB1898" s="10"/>
      <c r="AC1898" s="10"/>
      <c r="AD1898" s="10"/>
      <c r="AE1898" s="10"/>
      <c r="AF1898" s="10"/>
      <c r="AG1898" s="10"/>
      <c r="AH1898" s="10"/>
      <c r="AI1898" s="10"/>
    </row>
    <row r="1899" spans="1:35">
      <c r="A1899" s="10"/>
      <c r="B1899" s="10" t="str">
        <f t="shared" si="769"/>
        <v>Below the LineSHOOT</v>
      </c>
      <c r="C1899" t="s">
        <v>20</v>
      </c>
      <c r="D1899" t="s">
        <v>19</v>
      </c>
      <c r="E1899" t="s">
        <v>236</v>
      </c>
      <c r="F1899" t="s">
        <v>5116</v>
      </c>
      <c r="G1899" t="s">
        <v>1098</v>
      </c>
      <c r="I1899" s="10"/>
      <c r="J1899" s="107">
        <f>SUMIF(Data!C:C,G1899,Data!Q:Q)</f>
        <v>217520.75000000003</v>
      </c>
      <c r="K1899" s="107">
        <f>SUMIF(Comprometidos!A:A,'Cost Report'!G1899,Comprometidos!E:E)</f>
        <v>0</v>
      </c>
      <c r="L1899" s="107">
        <f t="shared" si="765"/>
        <v>217520.75000000003</v>
      </c>
      <c r="M1899" s="107">
        <v>0</v>
      </c>
      <c r="N1899" s="107">
        <f t="shared" si="766"/>
        <v>217520.75000000003</v>
      </c>
      <c r="O1899" s="107">
        <f>VLOOKUP(G1899,Budget!$E$3:$G$2474,3,0)</f>
        <v>157500</v>
      </c>
      <c r="P1899" s="107">
        <f t="shared" si="767"/>
        <v>-60020.750000000029</v>
      </c>
      <c r="Q1899" s="107"/>
      <c r="R1899" s="10"/>
      <c r="S1899" s="107">
        <v>217520.75000000003</v>
      </c>
      <c r="T1899" s="107">
        <f t="shared" si="764"/>
        <v>0</v>
      </c>
      <c r="U1899" s="107"/>
      <c r="V1899" s="175"/>
      <c r="W1899" s="10"/>
      <c r="X1899" s="10"/>
      <c r="Y1899" t="str">
        <f t="shared" si="770"/>
        <v>3683</v>
      </c>
      <c r="AB1899" s="10"/>
      <c r="AC1899" s="10"/>
      <c r="AD1899" s="10"/>
      <c r="AE1899" s="10"/>
      <c r="AF1899" s="10"/>
      <c r="AG1899" s="10"/>
      <c r="AH1899" s="10"/>
      <c r="AI1899" s="10"/>
    </row>
    <row r="1900" spans="1:35">
      <c r="A1900" s="10"/>
      <c r="B1900" s="10" t="str">
        <f t="shared" si="769"/>
        <v>Below the Line</v>
      </c>
      <c r="C1900" t="s">
        <v>20</v>
      </c>
      <c r="D1900" t="s">
        <v>19</v>
      </c>
      <c r="E1900" t="s">
        <v>214</v>
      </c>
      <c r="F1900" t="s">
        <v>5116</v>
      </c>
      <c r="G1900" t="s">
        <v>1099</v>
      </c>
      <c r="I1900" s="10"/>
      <c r="J1900" s="107">
        <f>SUMIF(Data!C:C,G1900,Data!Q:Q)</f>
        <v>0</v>
      </c>
      <c r="K1900" s="107">
        <f>SUMIF(Comprometidos!A:A,'Cost Report'!G1900,Comprometidos!E:E)</f>
        <v>0</v>
      </c>
      <c r="L1900" s="107">
        <f t="shared" si="765"/>
        <v>0</v>
      </c>
      <c r="M1900" s="107">
        <f t="shared" si="768"/>
        <v>0</v>
      </c>
      <c r="N1900" s="107">
        <f t="shared" si="766"/>
        <v>0</v>
      </c>
      <c r="O1900" s="107">
        <f>VLOOKUP(G1900,Budget!$E$3:$G$2474,3,0)</f>
        <v>0</v>
      </c>
      <c r="P1900" s="107">
        <f t="shared" si="767"/>
        <v>0</v>
      </c>
      <c r="Q1900" s="107"/>
      <c r="R1900" s="10"/>
      <c r="S1900" s="107">
        <v>0</v>
      </c>
      <c r="T1900" s="107">
        <f t="shared" si="764"/>
        <v>0</v>
      </c>
      <c r="U1900" s="107"/>
      <c r="V1900" s="175"/>
      <c r="W1900" s="10"/>
      <c r="X1900" s="10"/>
      <c r="Y1900" t="str">
        <f t="shared" si="770"/>
        <v>3683</v>
      </c>
      <c r="AB1900" s="10"/>
      <c r="AC1900" s="10"/>
      <c r="AD1900" s="10"/>
      <c r="AE1900" s="10"/>
      <c r="AF1900" s="10"/>
      <c r="AG1900" s="10"/>
      <c r="AH1900" s="10"/>
      <c r="AI1900" s="10"/>
    </row>
    <row r="1901" spans="1:35">
      <c r="A1901" s="10"/>
      <c r="B1901" s="10" t="str">
        <f t="shared" si="769"/>
        <v>Below the LineSHOOT</v>
      </c>
      <c r="C1901" t="s">
        <v>20</v>
      </c>
      <c r="D1901" t="s">
        <v>19</v>
      </c>
      <c r="E1901" t="s">
        <v>236</v>
      </c>
      <c r="F1901" t="s">
        <v>5116</v>
      </c>
      <c r="G1901" t="s">
        <v>1100</v>
      </c>
      <c r="I1901" s="10"/>
      <c r="J1901" s="107">
        <f>SUMIF(Data!C:C,G1901,Data!Q:Q)</f>
        <v>270692.45999999996</v>
      </c>
      <c r="K1901" s="107">
        <f>SUMIF(Comprometidos!A:A,'Cost Report'!G1901,Comprometidos!E:E)</f>
        <v>0</v>
      </c>
      <c r="L1901" s="107">
        <f t="shared" si="765"/>
        <v>270692.45999999996</v>
      </c>
      <c r="M1901" s="107">
        <v>0</v>
      </c>
      <c r="N1901" s="107">
        <f t="shared" si="766"/>
        <v>270692.45999999996</v>
      </c>
      <c r="O1901" s="107">
        <f>VLOOKUP(G1901,Budget!$E$3:$G$2474,3,0)</f>
        <v>196000</v>
      </c>
      <c r="P1901" s="107">
        <f t="shared" si="767"/>
        <v>-74692.459999999963</v>
      </c>
      <c r="Q1901" s="107"/>
      <c r="R1901" s="10"/>
      <c r="S1901" s="107">
        <v>270692.45999999996</v>
      </c>
      <c r="T1901" s="107">
        <f t="shared" si="764"/>
        <v>0</v>
      </c>
      <c r="U1901" s="107"/>
      <c r="V1901" s="175"/>
      <c r="W1901" s="10"/>
      <c r="X1901" s="10"/>
      <c r="Y1901" t="str">
        <f t="shared" si="770"/>
        <v>3683</v>
      </c>
      <c r="AB1901" s="10"/>
      <c r="AC1901" s="10"/>
      <c r="AD1901" s="10"/>
      <c r="AE1901" s="10"/>
      <c r="AF1901" s="10"/>
      <c r="AG1901" s="10"/>
      <c r="AH1901" s="10"/>
      <c r="AI1901" s="10"/>
    </row>
    <row r="1902" spans="1:35">
      <c r="A1902" s="10"/>
      <c r="B1902" s="10" t="str">
        <f t="shared" si="769"/>
        <v>Below the Line</v>
      </c>
      <c r="C1902" t="s">
        <v>20</v>
      </c>
      <c r="D1902" t="s">
        <v>19</v>
      </c>
      <c r="E1902" t="s">
        <v>214</v>
      </c>
      <c r="F1902" t="s">
        <v>5116</v>
      </c>
      <c r="G1902" t="s">
        <v>1101</v>
      </c>
      <c r="I1902" s="10"/>
      <c r="J1902" s="107">
        <f>SUMIF(Data!C:C,G1902,Data!Q:Q)</f>
        <v>0</v>
      </c>
      <c r="K1902" s="107">
        <f>SUMIF(Comprometidos!A:A,'Cost Report'!G1902,Comprometidos!E:E)</f>
        <v>0</v>
      </c>
      <c r="L1902" s="107">
        <f t="shared" si="765"/>
        <v>0</v>
      </c>
      <c r="M1902" s="107">
        <f t="shared" si="768"/>
        <v>0</v>
      </c>
      <c r="N1902" s="107">
        <f t="shared" si="766"/>
        <v>0</v>
      </c>
      <c r="O1902" s="107">
        <f>VLOOKUP(G1902,Budget!$E$3:$G$2474,3,0)</f>
        <v>0</v>
      </c>
      <c r="P1902" s="107">
        <f t="shared" si="767"/>
        <v>0</v>
      </c>
      <c r="Q1902" s="107"/>
      <c r="R1902" s="10"/>
      <c r="S1902" s="107">
        <v>0</v>
      </c>
      <c r="T1902" s="107">
        <f t="shared" si="764"/>
        <v>0</v>
      </c>
      <c r="U1902" s="107"/>
      <c r="V1902" s="175"/>
      <c r="W1902" s="10"/>
      <c r="X1902" s="10"/>
      <c r="Y1902" t="str">
        <f t="shared" si="770"/>
        <v>3683</v>
      </c>
      <c r="AB1902" s="10"/>
      <c r="AC1902" s="10"/>
      <c r="AD1902" s="10"/>
      <c r="AE1902" s="10"/>
      <c r="AF1902" s="10"/>
      <c r="AG1902" s="10"/>
      <c r="AH1902" s="10"/>
      <c r="AI1902" s="10"/>
    </row>
    <row r="1903" spans="1:35">
      <c r="A1903" s="10"/>
      <c r="B1903" s="10" t="str">
        <f t="shared" si="769"/>
        <v>Below the LineSHOOT</v>
      </c>
      <c r="C1903" t="s">
        <v>20</v>
      </c>
      <c r="D1903" t="s">
        <v>19</v>
      </c>
      <c r="E1903" t="s">
        <v>236</v>
      </c>
      <c r="F1903" t="s">
        <v>5116</v>
      </c>
      <c r="G1903" t="s">
        <v>2880</v>
      </c>
      <c r="I1903" s="10"/>
      <c r="J1903" s="107">
        <f>SUMIF(Data!C:C,G1903,Data!Q:Q)</f>
        <v>543107.91999999993</v>
      </c>
      <c r="K1903" s="107">
        <f>SUMIF(Comprometidos!A:A,'Cost Report'!G1903,Comprometidos!E:E)</f>
        <v>0</v>
      </c>
      <c r="L1903" s="107">
        <f t="shared" si="765"/>
        <v>543107.91999999993</v>
      </c>
      <c r="M1903" s="107">
        <v>0</v>
      </c>
      <c r="N1903" s="107">
        <f t="shared" si="766"/>
        <v>543107.91999999993</v>
      </c>
      <c r="O1903" s="107">
        <f>VLOOKUP(G1903,Budget!$E$3:$G$2474,3,0)</f>
        <v>392000</v>
      </c>
      <c r="P1903" s="107">
        <f t="shared" si="767"/>
        <v>-151107.91999999993</v>
      </c>
      <c r="Q1903" s="107"/>
      <c r="R1903" s="10"/>
      <c r="S1903" s="107">
        <v>543107.91999999993</v>
      </c>
      <c r="T1903" s="107">
        <f t="shared" si="764"/>
        <v>0</v>
      </c>
      <c r="U1903" s="107"/>
      <c r="V1903" s="175"/>
      <c r="W1903" s="10"/>
      <c r="X1903" s="10"/>
      <c r="Y1903" t="str">
        <f t="shared" si="770"/>
        <v>3683</v>
      </c>
      <c r="AB1903" s="10"/>
      <c r="AC1903" s="10"/>
      <c r="AD1903" s="10"/>
      <c r="AE1903" s="10"/>
      <c r="AF1903" s="10"/>
      <c r="AG1903" s="10"/>
      <c r="AH1903" s="10"/>
      <c r="AI1903" s="10"/>
    </row>
    <row r="1904" spans="1:35">
      <c r="A1904" s="10"/>
      <c r="B1904" s="10" t="str">
        <f t="shared" si="769"/>
        <v>Below the Line</v>
      </c>
      <c r="C1904" t="s">
        <v>20</v>
      </c>
      <c r="D1904" t="s">
        <v>19</v>
      </c>
      <c r="E1904" t="s">
        <v>214</v>
      </c>
      <c r="F1904" t="s">
        <v>5116</v>
      </c>
      <c r="G1904" t="s">
        <v>2881</v>
      </c>
      <c r="I1904" s="10"/>
      <c r="J1904" s="107">
        <f>SUMIF(Data!C:C,G1904,Data!Q:Q)</f>
        <v>0</v>
      </c>
      <c r="K1904" s="107">
        <f>SUMIF(Comprometidos!A:A,'Cost Report'!G1904,Comprometidos!E:E)</f>
        <v>0</v>
      </c>
      <c r="L1904" s="107">
        <f t="shared" si="765"/>
        <v>0</v>
      </c>
      <c r="M1904" s="107">
        <f t="shared" si="768"/>
        <v>0</v>
      </c>
      <c r="N1904" s="107">
        <f t="shared" si="766"/>
        <v>0</v>
      </c>
      <c r="O1904" s="107">
        <f>VLOOKUP(G1904,Budget!$E$3:$G$2474,3,0)</f>
        <v>0</v>
      </c>
      <c r="P1904" s="107">
        <f t="shared" si="767"/>
        <v>0</v>
      </c>
      <c r="Q1904" s="107"/>
      <c r="R1904" s="10"/>
      <c r="S1904" s="107">
        <v>0</v>
      </c>
      <c r="T1904" s="107">
        <f t="shared" si="764"/>
        <v>0</v>
      </c>
      <c r="U1904" s="107"/>
      <c r="V1904" s="175"/>
      <c r="W1904" s="10"/>
      <c r="X1904" s="10"/>
      <c r="Y1904" t="str">
        <f t="shared" si="770"/>
        <v>3683</v>
      </c>
      <c r="AB1904" s="10"/>
      <c r="AC1904" s="10"/>
      <c r="AD1904" s="10"/>
      <c r="AE1904" s="10"/>
      <c r="AF1904" s="10"/>
      <c r="AG1904" s="10"/>
      <c r="AH1904" s="10"/>
      <c r="AI1904" s="10"/>
    </row>
    <row r="1905" spans="1:35">
      <c r="A1905" s="10"/>
      <c r="B1905" s="10" t="str">
        <f t="shared" si="769"/>
        <v>Below the LineSHOOT</v>
      </c>
      <c r="C1905" t="s">
        <v>20</v>
      </c>
      <c r="D1905" t="s">
        <v>19</v>
      </c>
      <c r="E1905" t="s">
        <v>236</v>
      </c>
      <c r="F1905" t="s">
        <v>5116</v>
      </c>
      <c r="G1905" t="s">
        <v>2882</v>
      </c>
      <c r="I1905" s="10"/>
      <c r="J1905" s="107">
        <f>SUMIF(Data!C:C,G1905,Data!Q:Q)</f>
        <v>33532.85</v>
      </c>
      <c r="K1905" s="107">
        <f>SUMIF(Comprometidos!A:A,'Cost Report'!G1905,Comprometidos!E:E)</f>
        <v>0</v>
      </c>
      <c r="L1905" s="107">
        <f t="shared" si="765"/>
        <v>33532.85</v>
      </c>
      <c r="M1905" s="107">
        <v>0</v>
      </c>
      <c r="N1905" s="107">
        <f t="shared" si="766"/>
        <v>33532.85</v>
      </c>
      <c r="O1905" s="107">
        <f>VLOOKUP(G1905,Budget!$E$3:$G$2474,3,0)</f>
        <v>196000</v>
      </c>
      <c r="P1905" s="107">
        <f t="shared" si="767"/>
        <v>162467.15</v>
      </c>
      <c r="Q1905" s="107"/>
      <c r="R1905" s="10"/>
      <c r="S1905" s="107">
        <v>33532.85</v>
      </c>
      <c r="T1905" s="107">
        <f t="shared" si="764"/>
        <v>0</v>
      </c>
      <c r="U1905" s="107"/>
      <c r="V1905" s="175"/>
      <c r="W1905" s="10"/>
      <c r="X1905" s="10"/>
      <c r="Y1905" t="str">
        <f t="shared" si="770"/>
        <v>3683</v>
      </c>
      <c r="AB1905" s="10"/>
      <c r="AC1905" s="10"/>
      <c r="AD1905" s="10"/>
      <c r="AE1905" s="10"/>
      <c r="AF1905" s="10"/>
      <c r="AG1905" s="10"/>
      <c r="AH1905" s="10"/>
      <c r="AI1905" s="10"/>
    </row>
    <row r="1906" spans="1:35">
      <c r="A1906" s="10"/>
      <c r="B1906" s="10" t="str">
        <f t="shared" si="769"/>
        <v>Below the Line</v>
      </c>
      <c r="C1906" t="s">
        <v>20</v>
      </c>
      <c r="D1906" t="s">
        <v>19</v>
      </c>
      <c r="E1906" t="s">
        <v>214</v>
      </c>
      <c r="G1906" t="s">
        <v>2883</v>
      </c>
      <c r="I1906" s="10"/>
      <c r="J1906" s="107">
        <f>SUMIF(Data!C:C,G1906,Data!Q:Q)</f>
        <v>0</v>
      </c>
      <c r="K1906" s="107">
        <f>SUMIF(Comprometidos!A:A,'Cost Report'!G1906,Comprometidos!E:E)</f>
        <v>0</v>
      </c>
      <c r="L1906" s="107">
        <f t="shared" si="765"/>
        <v>0</v>
      </c>
      <c r="M1906" s="107">
        <f t="shared" si="768"/>
        <v>0</v>
      </c>
      <c r="N1906" s="107">
        <f t="shared" si="766"/>
        <v>0</v>
      </c>
      <c r="O1906" s="107">
        <f>VLOOKUP(G1906,Budget!$E$3:$G$2474,3,0)</f>
        <v>0</v>
      </c>
      <c r="P1906" s="107">
        <f t="shared" si="767"/>
        <v>0</v>
      </c>
      <c r="Q1906" s="107"/>
      <c r="R1906" s="10"/>
      <c r="S1906" s="107">
        <v>0</v>
      </c>
      <c r="T1906" s="107">
        <f t="shared" si="764"/>
        <v>0</v>
      </c>
      <c r="U1906" s="107"/>
      <c r="V1906" s="175"/>
      <c r="W1906" s="10"/>
      <c r="X1906" s="10"/>
      <c r="Y1906" t="str">
        <f t="shared" si="770"/>
        <v>3683</v>
      </c>
      <c r="AB1906" s="10"/>
      <c r="AC1906" s="10"/>
      <c r="AD1906" s="10"/>
      <c r="AE1906" s="10"/>
      <c r="AF1906" s="10"/>
      <c r="AG1906" s="10"/>
      <c r="AH1906" s="10"/>
      <c r="AI1906" s="10"/>
    </row>
    <row r="1907" spans="1:35">
      <c r="A1907" s="10"/>
      <c r="B1907" s="10" t="str">
        <f t="shared" si="769"/>
        <v>Below the LinePREP</v>
      </c>
      <c r="C1907" t="s">
        <v>20</v>
      </c>
      <c r="D1907" t="s">
        <v>19</v>
      </c>
      <c r="E1907" t="s">
        <v>234</v>
      </c>
      <c r="G1907" t="s">
        <v>2884</v>
      </c>
      <c r="I1907" s="10"/>
      <c r="J1907" s="107">
        <f>SUMIF(Data!C:C,G1907,Data!Q:Q)</f>
        <v>0</v>
      </c>
      <c r="K1907" s="107">
        <f>SUMIF(Comprometidos!A:A,'Cost Report'!G1907,Comprometidos!E:E)</f>
        <v>0</v>
      </c>
      <c r="L1907" s="107">
        <f t="shared" si="765"/>
        <v>0</v>
      </c>
      <c r="M1907" s="107">
        <v>0</v>
      </c>
      <c r="N1907" s="107">
        <f t="shared" si="766"/>
        <v>0</v>
      </c>
      <c r="O1907" s="107">
        <f>VLOOKUP(G1907,Budget!$E$3:$G$2474,3,0)</f>
        <v>8000</v>
      </c>
      <c r="P1907" s="107">
        <f t="shared" si="767"/>
        <v>8000</v>
      </c>
      <c r="Q1907" s="107"/>
      <c r="R1907" s="10"/>
      <c r="S1907" s="107">
        <v>0</v>
      </c>
      <c r="T1907" s="107">
        <f t="shared" si="764"/>
        <v>0</v>
      </c>
      <c r="U1907" s="107"/>
      <c r="V1907" s="175"/>
      <c r="W1907" s="10"/>
      <c r="X1907" s="10"/>
      <c r="Y1907" t="str">
        <f t="shared" si="770"/>
        <v>3683</v>
      </c>
      <c r="AB1907" s="10"/>
      <c r="AC1907" s="10"/>
      <c r="AD1907" s="10"/>
      <c r="AE1907" s="10"/>
      <c r="AF1907" s="10"/>
      <c r="AG1907" s="10"/>
      <c r="AH1907" s="10"/>
      <c r="AI1907" s="10"/>
    </row>
    <row r="1908" spans="1:35">
      <c r="A1908" s="10"/>
      <c r="B1908" s="10" t="str">
        <f t="shared" si="769"/>
        <v>Below the LineSHOOT</v>
      </c>
      <c r="C1908" t="s">
        <v>20</v>
      </c>
      <c r="D1908" t="s">
        <v>19</v>
      </c>
      <c r="E1908" t="s">
        <v>236</v>
      </c>
      <c r="G1908" t="s">
        <v>2885</v>
      </c>
      <c r="I1908" s="10"/>
      <c r="J1908" s="107">
        <f>SUMIF(Data!C:C,G1908,Data!Q:Q)</f>
        <v>0</v>
      </c>
      <c r="K1908" s="107">
        <f>SUMIF(Comprometidos!A:A,'Cost Report'!G1908,Comprometidos!E:E)</f>
        <v>0</v>
      </c>
      <c r="L1908" s="107">
        <f t="shared" si="765"/>
        <v>0</v>
      </c>
      <c r="M1908" s="107">
        <v>0</v>
      </c>
      <c r="N1908" s="107">
        <f t="shared" si="766"/>
        <v>0</v>
      </c>
      <c r="O1908" s="107">
        <f>VLOOKUP(G1908,Budget!$E$3:$G$2474,3,0)</f>
        <v>196000</v>
      </c>
      <c r="P1908" s="107">
        <f t="shared" si="767"/>
        <v>196000</v>
      </c>
      <c r="Q1908" s="107"/>
      <c r="R1908" s="10"/>
      <c r="S1908" s="107">
        <v>0</v>
      </c>
      <c r="T1908" s="107">
        <f t="shared" si="764"/>
        <v>0</v>
      </c>
      <c r="U1908" s="107"/>
      <c r="V1908" s="175"/>
      <c r="W1908" s="10"/>
      <c r="X1908" s="10"/>
      <c r="Y1908" t="str">
        <f t="shared" si="770"/>
        <v>3683</v>
      </c>
      <c r="AB1908" s="10"/>
      <c r="AC1908" s="10"/>
      <c r="AD1908" s="10"/>
      <c r="AE1908" s="10"/>
      <c r="AF1908" s="10"/>
      <c r="AG1908" s="10"/>
      <c r="AH1908" s="10"/>
      <c r="AI1908" s="10"/>
    </row>
    <row r="1909" spans="1:35">
      <c r="A1909" s="10"/>
      <c r="B1909" s="10" t="str">
        <f t="shared" si="769"/>
        <v>Below the LineWRAP</v>
      </c>
      <c r="C1909" t="s">
        <v>20</v>
      </c>
      <c r="D1909" t="s">
        <v>19</v>
      </c>
      <c r="E1909" t="s">
        <v>238</v>
      </c>
      <c r="G1909" t="s">
        <v>2886</v>
      </c>
      <c r="I1909" s="10"/>
      <c r="J1909" s="107">
        <f>SUMIF(Data!C:C,G1909,Data!Q:Q)</f>
        <v>0</v>
      </c>
      <c r="K1909" s="107">
        <f>SUMIF(Comprometidos!A:A,'Cost Report'!G1909,Comprometidos!E:E)</f>
        <v>0</v>
      </c>
      <c r="L1909" s="107">
        <f t="shared" si="765"/>
        <v>0</v>
      </c>
      <c r="M1909" s="107">
        <v>0</v>
      </c>
      <c r="N1909" s="107">
        <f t="shared" si="766"/>
        <v>0</v>
      </c>
      <c r="O1909" s="107">
        <f>VLOOKUP(G1909,Budget!$E$3:$G$2474,3,0)</f>
        <v>4000</v>
      </c>
      <c r="P1909" s="107">
        <f t="shared" si="767"/>
        <v>4000</v>
      </c>
      <c r="Q1909" s="107"/>
      <c r="R1909" s="10"/>
      <c r="S1909" s="107">
        <v>0</v>
      </c>
      <c r="T1909" s="107">
        <f t="shared" si="764"/>
        <v>0</v>
      </c>
      <c r="U1909" s="107"/>
      <c r="V1909" s="175"/>
      <c r="W1909" s="10"/>
      <c r="X1909" s="10"/>
      <c r="Y1909" t="str">
        <f t="shared" si="770"/>
        <v>3683</v>
      </c>
      <c r="AB1909" s="10"/>
      <c r="AC1909" s="10"/>
      <c r="AD1909" s="10"/>
      <c r="AE1909" s="10"/>
      <c r="AF1909" s="10"/>
      <c r="AG1909" s="10"/>
      <c r="AH1909" s="10"/>
      <c r="AI1909" s="10"/>
    </row>
    <row r="1910" spans="1:35">
      <c r="A1910" s="10"/>
      <c r="B1910" s="10" t="str">
        <f t="shared" si="769"/>
        <v>Below the Line</v>
      </c>
      <c r="C1910" t="s">
        <v>20</v>
      </c>
      <c r="D1910" t="s">
        <v>19</v>
      </c>
      <c r="E1910" t="s">
        <v>214</v>
      </c>
      <c r="G1910" t="s">
        <v>2887</v>
      </c>
      <c r="I1910" s="10"/>
      <c r="J1910" s="107">
        <f>SUMIF(Data!C:C,G1910,Data!Q:Q)</f>
        <v>0</v>
      </c>
      <c r="K1910" s="107">
        <f>SUMIF(Comprometidos!A:A,'Cost Report'!G1910,Comprometidos!E:E)</f>
        <v>0</v>
      </c>
      <c r="L1910" s="107">
        <f t="shared" si="765"/>
        <v>0</v>
      </c>
      <c r="M1910" s="107">
        <f t="shared" si="768"/>
        <v>0</v>
      </c>
      <c r="N1910" s="107">
        <f t="shared" si="766"/>
        <v>0</v>
      </c>
      <c r="O1910" s="107">
        <f>VLOOKUP(G1910,Budget!$E$3:$G$2474,3,0)</f>
        <v>0</v>
      </c>
      <c r="P1910" s="107">
        <f t="shared" si="767"/>
        <v>0</v>
      </c>
      <c r="Q1910" s="107"/>
      <c r="R1910" s="10"/>
      <c r="S1910" s="107">
        <v>0</v>
      </c>
      <c r="T1910" s="107">
        <f t="shared" si="764"/>
        <v>0</v>
      </c>
      <c r="U1910" s="107"/>
      <c r="V1910" s="175"/>
      <c r="W1910" s="10"/>
      <c r="X1910" s="10"/>
      <c r="Y1910" t="str">
        <f t="shared" si="770"/>
        <v>3683</v>
      </c>
      <c r="AB1910" s="10"/>
      <c r="AC1910" s="10"/>
      <c r="AD1910" s="10"/>
      <c r="AE1910" s="10"/>
      <c r="AF1910" s="10"/>
      <c r="AG1910" s="10"/>
      <c r="AH1910" s="10"/>
      <c r="AI1910" s="10"/>
    </row>
    <row r="1911" spans="1:35">
      <c r="A1911" s="10"/>
      <c r="B1911" s="10" t="str">
        <f t="shared" si="769"/>
        <v>Below the LineSHOOT</v>
      </c>
      <c r="C1911" t="s">
        <v>20</v>
      </c>
      <c r="D1911" t="s">
        <v>19</v>
      </c>
      <c r="E1911" t="s">
        <v>236</v>
      </c>
      <c r="G1911" t="s">
        <v>2888</v>
      </c>
      <c r="I1911" s="10"/>
      <c r="J1911" s="107">
        <f>SUMIF(Data!C:C,G1911,Data!Q:Q)</f>
        <v>0</v>
      </c>
      <c r="K1911" s="107">
        <f>SUMIF(Comprometidos!A:A,'Cost Report'!G1911,Comprometidos!E:E)</f>
        <v>0</v>
      </c>
      <c r="L1911" s="107">
        <f t="shared" si="765"/>
        <v>0</v>
      </c>
      <c r="M1911" s="107">
        <v>0</v>
      </c>
      <c r="N1911" s="107">
        <f t="shared" si="766"/>
        <v>0</v>
      </c>
      <c r="O1911" s="107">
        <f>VLOOKUP(G1911,Budget!$E$3:$G$2474,3,0)</f>
        <v>63750</v>
      </c>
      <c r="P1911" s="107">
        <f t="shared" si="767"/>
        <v>63750</v>
      </c>
      <c r="Q1911" s="107"/>
      <c r="R1911" s="10"/>
      <c r="S1911" s="107">
        <v>0</v>
      </c>
      <c r="T1911" s="107">
        <f t="shared" si="764"/>
        <v>0</v>
      </c>
      <c r="U1911" s="107"/>
      <c r="V1911" s="175"/>
      <c r="W1911" s="10"/>
      <c r="X1911" s="10"/>
      <c r="Y1911" t="str">
        <f t="shared" si="770"/>
        <v>3683</v>
      </c>
      <c r="AB1911" s="10"/>
      <c r="AC1911" s="10"/>
      <c r="AD1911" s="10"/>
      <c r="AE1911" s="10"/>
      <c r="AF1911" s="10"/>
      <c r="AG1911" s="10"/>
      <c r="AH1911" s="10"/>
      <c r="AI1911" s="10"/>
    </row>
    <row r="1912" spans="1:35">
      <c r="A1912" s="10"/>
      <c r="B1912" s="10" t="str">
        <f t="shared" si="769"/>
        <v>Below the Line</v>
      </c>
      <c r="C1912" t="s">
        <v>20</v>
      </c>
      <c r="D1912" t="s">
        <v>19</v>
      </c>
      <c r="E1912" t="s">
        <v>214</v>
      </c>
      <c r="G1912" t="s">
        <v>2889</v>
      </c>
      <c r="I1912" s="10"/>
      <c r="J1912" s="107">
        <f>SUMIF(Data!C:C,G1912,Data!Q:Q)</f>
        <v>0</v>
      </c>
      <c r="K1912" s="107">
        <f>SUMIF(Comprometidos!A:A,'Cost Report'!G1912,Comprometidos!E:E)</f>
        <v>0</v>
      </c>
      <c r="L1912" s="107">
        <f t="shared" si="765"/>
        <v>0</v>
      </c>
      <c r="M1912" s="107">
        <f t="shared" si="768"/>
        <v>0</v>
      </c>
      <c r="N1912" s="107">
        <f t="shared" si="766"/>
        <v>0</v>
      </c>
      <c r="O1912" s="107">
        <f>VLOOKUP(G1912,Budget!$E$3:$G$2474,3,0)</f>
        <v>0</v>
      </c>
      <c r="P1912" s="107">
        <f t="shared" si="767"/>
        <v>0</v>
      </c>
      <c r="Q1912" s="107"/>
      <c r="R1912" s="10"/>
      <c r="S1912" s="107">
        <v>0</v>
      </c>
      <c r="T1912" s="107">
        <f t="shared" si="764"/>
        <v>0</v>
      </c>
      <c r="U1912" s="107"/>
      <c r="V1912" s="175"/>
      <c r="W1912" s="10"/>
      <c r="X1912" s="10"/>
      <c r="Y1912" t="str">
        <f t="shared" si="770"/>
        <v>3683</v>
      </c>
      <c r="AB1912" s="10"/>
      <c r="AC1912" s="10"/>
      <c r="AD1912" s="10"/>
      <c r="AE1912" s="10"/>
      <c r="AF1912" s="10"/>
      <c r="AG1912" s="10"/>
      <c r="AH1912" s="10"/>
      <c r="AI1912" s="10"/>
    </row>
    <row r="1913" spans="1:35">
      <c r="A1913" s="10"/>
      <c r="B1913" s="10" t="str">
        <f t="shared" si="769"/>
        <v>Below the LinePREP</v>
      </c>
      <c r="C1913" t="s">
        <v>20</v>
      </c>
      <c r="D1913" t="s">
        <v>19</v>
      </c>
      <c r="E1913" t="s">
        <v>234</v>
      </c>
      <c r="G1913" t="s">
        <v>2890</v>
      </c>
      <c r="I1913" s="10"/>
      <c r="J1913" s="107">
        <f>SUMIF(Data!C:C,G1913,Data!Q:Q)</f>
        <v>35000</v>
      </c>
      <c r="K1913" s="107">
        <f>SUMIF(Comprometidos!A:A,'Cost Report'!G1913,Comprometidos!E:E)</f>
        <v>0</v>
      </c>
      <c r="L1913" s="107">
        <f t="shared" si="765"/>
        <v>35000</v>
      </c>
      <c r="M1913" s="107">
        <v>0</v>
      </c>
      <c r="N1913" s="107">
        <f t="shared" si="766"/>
        <v>35000</v>
      </c>
      <c r="O1913" s="107">
        <f>VLOOKUP(G1913,Budget!$E$3:$G$2474,3,0)</f>
        <v>35000</v>
      </c>
      <c r="P1913" s="107">
        <f t="shared" si="767"/>
        <v>0</v>
      </c>
      <c r="Q1913" s="107"/>
      <c r="R1913" s="10"/>
      <c r="S1913" s="107">
        <v>35000</v>
      </c>
      <c r="T1913" s="107">
        <f t="shared" si="764"/>
        <v>0</v>
      </c>
      <c r="U1913" s="107"/>
      <c r="V1913" s="175"/>
      <c r="W1913" s="10"/>
      <c r="X1913" s="10"/>
      <c r="Y1913" t="str">
        <f t="shared" si="770"/>
        <v>3683</v>
      </c>
      <c r="AB1913" s="10"/>
      <c r="AC1913" s="10"/>
      <c r="AD1913" s="10"/>
      <c r="AE1913" s="10"/>
      <c r="AF1913" s="10"/>
      <c r="AG1913" s="10"/>
      <c r="AH1913" s="10"/>
      <c r="AI1913" s="10"/>
    </row>
    <row r="1914" spans="1:35">
      <c r="A1914" s="10"/>
      <c r="B1914" s="10" t="str">
        <f t="shared" si="769"/>
        <v>Below the LineSHOOT</v>
      </c>
      <c r="C1914" t="s">
        <v>20</v>
      </c>
      <c r="D1914" t="s">
        <v>19</v>
      </c>
      <c r="E1914" t="s">
        <v>236</v>
      </c>
      <c r="G1914" t="s">
        <v>2891</v>
      </c>
      <c r="I1914" s="10"/>
      <c r="J1914" s="107">
        <f>SUMIF(Data!C:C,G1914,Data!Q:Q)</f>
        <v>35000</v>
      </c>
      <c r="K1914" s="107">
        <f>SUMIF(Comprometidos!A:A,'Cost Report'!G1914,Comprometidos!E:E)</f>
        <v>0</v>
      </c>
      <c r="L1914" s="107">
        <f t="shared" si="765"/>
        <v>35000</v>
      </c>
      <c r="M1914" s="107">
        <v>0</v>
      </c>
      <c r="N1914" s="107">
        <f t="shared" si="766"/>
        <v>35000</v>
      </c>
      <c r="O1914" s="107">
        <f>VLOOKUP(G1914,Budget!$E$3:$G$2474,3,0)</f>
        <v>35000</v>
      </c>
      <c r="P1914" s="107">
        <f t="shared" si="767"/>
        <v>0</v>
      </c>
      <c r="Q1914" s="107"/>
      <c r="R1914" s="10"/>
      <c r="S1914" s="107">
        <v>35000</v>
      </c>
      <c r="T1914" s="107">
        <f t="shared" si="764"/>
        <v>0</v>
      </c>
      <c r="U1914" s="107"/>
      <c r="V1914" s="175"/>
      <c r="W1914" s="10"/>
      <c r="X1914" s="10"/>
      <c r="Y1914" t="str">
        <f t="shared" si="770"/>
        <v>3683</v>
      </c>
      <c r="AB1914" s="10"/>
      <c r="AC1914" s="10"/>
      <c r="AD1914" s="10"/>
      <c r="AE1914" s="10"/>
      <c r="AF1914" s="10"/>
      <c r="AG1914" s="10"/>
      <c r="AH1914" s="10"/>
      <c r="AI1914" s="10"/>
    </row>
    <row r="1915" spans="1:35">
      <c r="A1915" s="10"/>
      <c r="B1915" s="10" t="str">
        <f t="shared" si="769"/>
        <v>Below the LineWRAP</v>
      </c>
      <c r="C1915" t="s">
        <v>20</v>
      </c>
      <c r="D1915" t="s">
        <v>19</v>
      </c>
      <c r="E1915" t="s">
        <v>238</v>
      </c>
      <c r="G1915" t="s">
        <v>2892</v>
      </c>
      <c r="I1915" s="10"/>
      <c r="J1915" s="107">
        <f>SUMIF(Data!C:C,G1915,Data!Q:Q)</f>
        <v>30000</v>
      </c>
      <c r="K1915" s="107">
        <f>SUMIF(Comprometidos!A:A,'Cost Report'!G1915,Comprometidos!E:E)</f>
        <v>0</v>
      </c>
      <c r="L1915" s="107">
        <f t="shared" si="765"/>
        <v>30000</v>
      </c>
      <c r="M1915" s="107">
        <v>0</v>
      </c>
      <c r="N1915" s="107">
        <f t="shared" si="766"/>
        <v>30000</v>
      </c>
      <c r="O1915" s="107">
        <f>VLOOKUP(G1915,Budget!$E$3:$G$2474,3,0)</f>
        <v>20000</v>
      </c>
      <c r="P1915" s="107">
        <f t="shared" si="767"/>
        <v>-10000</v>
      </c>
      <c r="Q1915" s="107"/>
      <c r="R1915" s="10"/>
      <c r="S1915" s="107">
        <v>30000</v>
      </c>
      <c r="T1915" s="107">
        <f t="shared" si="764"/>
        <v>0</v>
      </c>
      <c r="U1915" s="107"/>
      <c r="V1915" s="175"/>
      <c r="W1915" s="10"/>
      <c r="X1915" s="10"/>
      <c r="Y1915" t="str">
        <f t="shared" si="770"/>
        <v>3683</v>
      </c>
      <c r="AB1915" s="10"/>
      <c r="AC1915" s="10"/>
      <c r="AD1915" s="10"/>
      <c r="AE1915" s="10"/>
      <c r="AF1915" s="10"/>
      <c r="AG1915" s="10"/>
      <c r="AH1915" s="10"/>
      <c r="AI1915" s="10"/>
    </row>
    <row r="1916" spans="1:35">
      <c r="A1916" s="10"/>
      <c r="B1916" s="10" t="str">
        <f t="shared" si="769"/>
        <v>Below the Line</v>
      </c>
      <c r="C1916" t="s">
        <v>20</v>
      </c>
      <c r="D1916" t="s">
        <v>19</v>
      </c>
      <c r="E1916" t="s">
        <v>214</v>
      </c>
      <c r="F1916" t="s">
        <v>5116</v>
      </c>
      <c r="G1916" t="s">
        <v>2893</v>
      </c>
      <c r="I1916" s="10"/>
      <c r="J1916" s="107">
        <f>SUMIF(Data!C:C,G1916,Data!Q:Q)</f>
        <v>0</v>
      </c>
      <c r="K1916" s="107">
        <f>SUMIF(Comprometidos!A:A,'Cost Report'!G1916,Comprometidos!E:E)</f>
        <v>0</v>
      </c>
      <c r="L1916" s="107">
        <f t="shared" si="765"/>
        <v>0</v>
      </c>
      <c r="M1916" s="107">
        <f t="shared" si="768"/>
        <v>0</v>
      </c>
      <c r="N1916" s="107">
        <f t="shared" si="766"/>
        <v>0</v>
      </c>
      <c r="O1916" s="107">
        <f>VLOOKUP(G1916,Budget!$E$3:$G$2474,3,0)</f>
        <v>0</v>
      </c>
      <c r="P1916" s="107">
        <f t="shared" si="767"/>
        <v>0</v>
      </c>
      <c r="Q1916" s="107"/>
      <c r="R1916" s="10"/>
      <c r="S1916" s="107">
        <v>0</v>
      </c>
      <c r="T1916" s="107">
        <f t="shared" si="764"/>
        <v>0</v>
      </c>
      <c r="U1916" s="107"/>
      <c r="V1916" s="175"/>
      <c r="W1916" s="10"/>
      <c r="X1916" s="10"/>
      <c r="Y1916" t="str">
        <f t="shared" si="770"/>
        <v>3683</v>
      </c>
      <c r="AB1916" s="10"/>
      <c r="AC1916" s="10"/>
      <c r="AD1916" s="10"/>
      <c r="AE1916" s="10"/>
      <c r="AF1916" s="10"/>
      <c r="AG1916" s="10"/>
      <c r="AH1916" s="10"/>
      <c r="AI1916" s="10"/>
    </row>
    <row r="1917" spans="1:35">
      <c r="A1917" s="10"/>
      <c r="B1917" s="10" t="str">
        <f t="shared" si="769"/>
        <v>Below the Line</v>
      </c>
      <c r="C1917" t="s">
        <v>20</v>
      </c>
      <c r="D1917" t="s">
        <v>19</v>
      </c>
      <c r="E1917" t="s">
        <v>214</v>
      </c>
      <c r="F1917" t="s">
        <v>5116</v>
      </c>
      <c r="G1917" t="s">
        <v>2894</v>
      </c>
      <c r="I1917" s="10"/>
      <c r="J1917" s="107">
        <f>SUMIF(Data!C:C,G1917,Data!Q:Q)</f>
        <v>0</v>
      </c>
      <c r="K1917" s="107">
        <f>SUMIF(Comprometidos!A:A,'Cost Report'!G1917,Comprometidos!E:E)</f>
        <v>0</v>
      </c>
      <c r="L1917" s="107">
        <f t="shared" si="765"/>
        <v>0</v>
      </c>
      <c r="M1917" s="107">
        <f t="shared" si="768"/>
        <v>0</v>
      </c>
      <c r="N1917" s="107">
        <f t="shared" si="766"/>
        <v>0</v>
      </c>
      <c r="O1917" s="107">
        <f>VLOOKUP(G1917,Budget!$E$3:$G$2474,3,0)</f>
        <v>0</v>
      </c>
      <c r="P1917" s="107">
        <f t="shared" si="767"/>
        <v>0</v>
      </c>
      <c r="Q1917" s="107"/>
      <c r="R1917" s="10"/>
      <c r="S1917" s="107">
        <v>0</v>
      </c>
      <c r="T1917" s="107">
        <f t="shared" si="764"/>
        <v>0</v>
      </c>
      <c r="U1917" s="107"/>
      <c r="V1917" s="175"/>
      <c r="W1917" s="10"/>
      <c r="X1917" s="10"/>
      <c r="Y1917" t="str">
        <f t="shared" si="770"/>
        <v>3683</v>
      </c>
      <c r="AB1917" s="10"/>
      <c r="AC1917" s="10"/>
      <c r="AD1917" s="10"/>
      <c r="AE1917" s="10"/>
      <c r="AF1917" s="10"/>
      <c r="AG1917" s="10"/>
      <c r="AH1917" s="10"/>
      <c r="AI1917" s="10"/>
    </row>
    <row r="1918" spans="1:35">
      <c r="A1918" s="10"/>
      <c r="B1918" s="10" t="str">
        <f t="shared" si="769"/>
        <v>Below the Line</v>
      </c>
      <c r="C1918" t="s">
        <v>20</v>
      </c>
      <c r="D1918" t="s">
        <v>19</v>
      </c>
      <c r="E1918" t="s">
        <v>214</v>
      </c>
      <c r="F1918" t="s">
        <v>5116</v>
      </c>
      <c r="G1918" t="s">
        <v>2895</v>
      </c>
      <c r="I1918" s="10"/>
      <c r="J1918" s="107">
        <f>SUMIF(Data!C:C,G1918,Data!Q:Q)</f>
        <v>0</v>
      </c>
      <c r="K1918" s="107">
        <f>SUMIF(Comprometidos!A:A,'Cost Report'!G1918,Comprometidos!E:E)</f>
        <v>0</v>
      </c>
      <c r="L1918" s="107">
        <f t="shared" si="765"/>
        <v>0</v>
      </c>
      <c r="M1918" s="107">
        <f t="shared" si="768"/>
        <v>0</v>
      </c>
      <c r="N1918" s="107">
        <f t="shared" si="766"/>
        <v>0</v>
      </c>
      <c r="O1918" s="107">
        <f>VLOOKUP(G1918,Budget!$E$3:$G$2474,3,0)</f>
        <v>0</v>
      </c>
      <c r="P1918" s="107">
        <f t="shared" si="767"/>
        <v>0</v>
      </c>
      <c r="Q1918" s="107"/>
      <c r="R1918" s="10"/>
      <c r="S1918" s="107">
        <v>0</v>
      </c>
      <c r="T1918" s="107">
        <f t="shared" si="764"/>
        <v>0</v>
      </c>
      <c r="U1918" s="107"/>
      <c r="V1918" s="175"/>
      <c r="W1918" s="10"/>
      <c r="X1918" s="10"/>
      <c r="Y1918" t="str">
        <f t="shared" si="770"/>
        <v>3683</v>
      </c>
      <c r="AB1918" s="10"/>
      <c r="AC1918" s="10"/>
      <c r="AD1918" s="10"/>
      <c r="AE1918" s="10"/>
      <c r="AF1918" s="10"/>
      <c r="AG1918" s="10"/>
      <c r="AH1918" s="10"/>
      <c r="AI1918" s="10"/>
    </row>
    <row r="1919" spans="1:35">
      <c r="A1919" s="10"/>
      <c r="B1919" s="10" t="str">
        <f t="shared" si="769"/>
        <v>Below the Line2nd Unit</v>
      </c>
      <c r="C1919" t="s">
        <v>20</v>
      </c>
      <c r="D1919" t="s">
        <v>19</v>
      </c>
      <c r="E1919" t="s">
        <v>1419</v>
      </c>
      <c r="F1919" t="s">
        <v>5116</v>
      </c>
      <c r="G1919" t="s">
        <v>2896</v>
      </c>
      <c r="I1919" s="10"/>
      <c r="J1919" s="107">
        <f>SUMIF(Data!C:C,G1919,Data!Q:Q)</f>
        <v>0</v>
      </c>
      <c r="K1919" s="107">
        <f>SUMIF(Comprometidos!A:A,'Cost Report'!G1919,Comprometidos!E:E)</f>
        <v>0</v>
      </c>
      <c r="L1919" s="107">
        <f t="shared" si="765"/>
        <v>0</v>
      </c>
      <c r="M1919" s="107">
        <v>0</v>
      </c>
      <c r="N1919" s="107">
        <f t="shared" si="766"/>
        <v>0</v>
      </c>
      <c r="O1919" s="107">
        <f>VLOOKUP(G1919,Budget!$E$3:$G$2474,3,0)</f>
        <v>45000</v>
      </c>
      <c r="P1919" s="107">
        <f t="shared" si="767"/>
        <v>45000</v>
      </c>
      <c r="Q1919" s="107"/>
      <c r="R1919" s="10"/>
      <c r="S1919" s="107">
        <v>0</v>
      </c>
      <c r="T1919" s="107">
        <f t="shared" si="764"/>
        <v>0</v>
      </c>
      <c r="U1919" s="107"/>
      <c r="V1919" s="175"/>
      <c r="W1919" s="10"/>
      <c r="X1919" s="10"/>
      <c r="Y1919" t="str">
        <f t="shared" si="770"/>
        <v>3683</v>
      </c>
      <c r="AB1919" s="10"/>
      <c r="AC1919" s="10"/>
      <c r="AD1919" s="10"/>
      <c r="AE1919" s="10"/>
      <c r="AF1919" s="10"/>
      <c r="AG1919" s="10"/>
      <c r="AH1919" s="10"/>
      <c r="AI1919" s="10"/>
    </row>
    <row r="1920" spans="1:35">
      <c r="A1920" s="10"/>
      <c r="B1920" s="10" t="str">
        <f t="shared" si="769"/>
        <v>Below the Line2nd Unit</v>
      </c>
      <c r="C1920" t="s">
        <v>20</v>
      </c>
      <c r="D1920" t="s">
        <v>19</v>
      </c>
      <c r="E1920" t="s">
        <v>1419</v>
      </c>
      <c r="F1920" t="s">
        <v>5116</v>
      </c>
      <c r="G1920" t="s">
        <v>2897</v>
      </c>
      <c r="I1920" s="10"/>
      <c r="J1920" s="107">
        <f>SUMIF(Data!C:C,G1920,Data!Q:Q)</f>
        <v>107807.45</v>
      </c>
      <c r="K1920" s="107">
        <f>SUMIF(Comprometidos!A:A,'Cost Report'!G1920,Comprometidos!E:E)</f>
        <v>0</v>
      </c>
      <c r="L1920" s="107">
        <f t="shared" si="765"/>
        <v>107807.45</v>
      </c>
      <c r="M1920" s="107">
        <v>0</v>
      </c>
      <c r="N1920" s="107">
        <f t="shared" si="766"/>
        <v>107807.45</v>
      </c>
      <c r="O1920" s="107">
        <f>VLOOKUP(G1920,Budget!$E$3:$G$2474,3,0)</f>
        <v>90000</v>
      </c>
      <c r="P1920" s="107">
        <f t="shared" si="767"/>
        <v>-17807.449999999997</v>
      </c>
      <c r="Q1920" s="107"/>
      <c r="R1920" s="10"/>
      <c r="S1920" s="107">
        <v>107807.45</v>
      </c>
      <c r="T1920" s="107">
        <f t="shared" si="764"/>
        <v>0</v>
      </c>
      <c r="U1920" s="107"/>
      <c r="V1920" s="175"/>
      <c r="W1920" s="10"/>
      <c r="X1920" s="10"/>
      <c r="Y1920" t="str">
        <f t="shared" si="770"/>
        <v>3683</v>
      </c>
      <c r="AB1920" s="10"/>
      <c r="AC1920" s="10"/>
      <c r="AD1920" s="10"/>
      <c r="AE1920" s="10"/>
      <c r="AF1920" s="10"/>
      <c r="AG1920" s="10"/>
      <c r="AH1920" s="10"/>
      <c r="AI1920" s="10"/>
    </row>
    <row r="1921" spans="1:35">
      <c r="A1921" s="10"/>
      <c r="B1921" s="10" t="str">
        <f t="shared" si="769"/>
        <v>Below the Line</v>
      </c>
      <c r="C1921" t="s">
        <v>20</v>
      </c>
      <c r="D1921" t="s">
        <v>19</v>
      </c>
      <c r="E1921" t="s">
        <v>214</v>
      </c>
      <c r="F1921" t="s">
        <v>5116</v>
      </c>
      <c r="G1921" t="s">
        <v>2898</v>
      </c>
      <c r="I1921" s="10"/>
      <c r="J1921" s="107">
        <f>SUMIF(Data!C:C,G1921,Data!Q:Q)</f>
        <v>0</v>
      </c>
      <c r="K1921" s="107">
        <f>SUMIF(Comprometidos!A:A,'Cost Report'!G1921,Comprometidos!E:E)</f>
        <v>0</v>
      </c>
      <c r="L1921" s="107">
        <f t="shared" si="765"/>
        <v>0</v>
      </c>
      <c r="M1921" s="107">
        <f t="shared" si="768"/>
        <v>0</v>
      </c>
      <c r="N1921" s="107">
        <f t="shared" si="766"/>
        <v>0</v>
      </c>
      <c r="O1921" s="107">
        <f>VLOOKUP(G1921,Budget!$E$3:$G$2474,3,0)</f>
        <v>0</v>
      </c>
      <c r="P1921" s="107">
        <f t="shared" si="767"/>
        <v>0</v>
      </c>
      <c r="Q1921" s="107"/>
      <c r="R1921" s="10"/>
      <c r="S1921" s="107">
        <v>0</v>
      </c>
      <c r="T1921" s="107">
        <f t="shared" si="764"/>
        <v>0</v>
      </c>
      <c r="U1921" s="107"/>
      <c r="V1921" s="175"/>
      <c r="W1921" s="10"/>
      <c r="X1921" s="10"/>
      <c r="Y1921" t="str">
        <f t="shared" si="770"/>
        <v>3683</v>
      </c>
      <c r="AB1921" s="10"/>
      <c r="AC1921" s="10"/>
      <c r="AD1921" s="10"/>
      <c r="AE1921" s="10"/>
      <c r="AF1921" s="10"/>
      <c r="AG1921" s="10"/>
      <c r="AH1921" s="10"/>
      <c r="AI1921" s="10"/>
    </row>
    <row r="1922" spans="1:35">
      <c r="A1922" s="10"/>
      <c r="B1922" s="10" t="str">
        <f t="shared" si="769"/>
        <v>Below the Line2nd Unit</v>
      </c>
      <c r="C1922" t="s">
        <v>20</v>
      </c>
      <c r="D1922" t="s">
        <v>19</v>
      </c>
      <c r="E1922" t="s">
        <v>1419</v>
      </c>
      <c r="F1922" t="s">
        <v>5116</v>
      </c>
      <c r="G1922" t="s">
        <v>2899</v>
      </c>
      <c r="I1922" s="10"/>
      <c r="J1922" s="107">
        <f>SUMIF(Data!C:C,G1922,Data!Q:Q)</f>
        <v>0</v>
      </c>
      <c r="K1922" s="107">
        <f>SUMIF(Comprometidos!A:A,'Cost Report'!G1922,Comprometidos!E:E)</f>
        <v>0</v>
      </c>
      <c r="L1922" s="107">
        <f t="shared" si="765"/>
        <v>0</v>
      </c>
      <c r="M1922" s="107">
        <v>0</v>
      </c>
      <c r="N1922" s="107">
        <f t="shared" si="766"/>
        <v>0</v>
      </c>
      <c r="O1922" s="107">
        <f>VLOOKUP(G1922,Budget!$E$3:$G$2474,3,0)</f>
        <v>10800</v>
      </c>
      <c r="P1922" s="107">
        <f t="shared" si="767"/>
        <v>10800</v>
      </c>
      <c r="Q1922" s="107"/>
      <c r="R1922" s="10"/>
      <c r="S1922" s="107">
        <v>0</v>
      </c>
      <c r="T1922" s="107">
        <f t="shared" si="764"/>
        <v>0</v>
      </c>
      <c r="U1922" s="107"/>
      <c r="V1922" s="175"/>
      <c r="W1922" s="10"/>
      <c r="X1922" s="10"/>
      <c r="Y1922" t="str">
        <f t="shared" si="770"/>
        <v>3683</v>
      </c>
      <c r="AB1922" s="10"/>
      <c r="AC1922" s="10"/>
      <c r="AD1922" s="10"/>
      <c r="AE1922" s="10"/>
      <c r="AF1922" s="10"/>
      <c r="AG1922" s="10"/>
      <c r="AH1922" s="10"/>
      <c r="AI1922" s="10"/>
    </row>
    <row r="1923" spans="1:35">
      <c r="A1923" s="10"/>
      <c r="B1923" s="10" t="str">
        <f t="shared" si="769"/>
        <v>Below the Line2nd Unit</v>
      </c>
      <c r="C1923" t="s">
        <v>20</v>
      </c>
      <c r="D1923" t="s">
        <v>19</v>
      </c>
      <c r="E1923" t="s">
        <v>1419</v>
      </c>
      <c r="F1923" t="s">
        <v>5116</v>
      </c>
      <c r="G1923" t="s">
        <v>2900</v>
      </c>
      <c r="I1923" s="10"/>
      <c r="J1923" s="107">
        <f>SUMIF(Data!C:C,G1923,Data!Q:Q)</f>
        <v>8345.36</v>
      </c>
      <c r="K1923" s="107">
        <f>SUMIF(Comprometidos!A:A,'Cost Report'!G1923,Comprometidos!E:E)</f>
        <v>0</v>
      </c>
      <c r="L1923" s="107">
        <f t="shared" si="765"/>
        <v>8345.36</v>
      </c>
      <c r="M1923" s="107">
        <v>0</v>
      </c>
      <c r="N1923" s="107">
        <f t="shared" si="766"/>
        <v>8345.36</v>
      </c>
      <c r="O1923" s="107">
        <f>VLOOKUP(G1923,Budget!$E$3:$G$2474,3,0)</f>
        <v>21600</v>
      </c>
      <c r="P1923" s="107">
        <f t="shared" si="767"/>
        <v>13254.64</v>
      </c>
      <c r="Q1923" s="107"/>
      <c r="R1923" s="10"/>
      <c r="S1923" s="107">
        <v>8345.36</v>
      </c>
      <c r="T1923" s="107">
        <f t="shared" si="764"/>
        <v>0</v>
      </c>
      <c r="U1923" s="107"/>
      <c r="V1923" s="175"/>
      <c r="W1923" s="10"/>
      <c r="X1923" s="10"/>
      <c r="Y1923" t="str">
        <f t="shared" si="770"/>
        <v>3683</v>
      </c>
      <c r="AB1923" s="10"/>
      <c r="AC1923" s="10"/>
      <c r="AD1923" s="10"/>
      <c r="AE1923" s="10"/>
      <c r="AF1923" s="10"/>
      <c r="AG1923" s="10"/>
      <c r="AH1923" s="10"/>
      <c r="AI1923" s="10"/>
    </row>
    <row r="1924" spans="1:35">
      <c r="A1924" s="10"/>
      <c r="B1924" s="10" t="str">
        <f t="shared" si="769"/>
        <v>Below the Line2nd Unit</v>
      </c>
      <c r="C1924" t="s">
        <v>20</v>
      </c>
      <c r="D1924" t="s">
        <v>19</v>
      </c>
      <c r="E1924" t="s">
        <v>1419</v>
      </c>
      <c r="F1924" t="s">
        <v>5116</v>
      </c>
      <c r="G1924" t="s">
        <v>2901</v>
      </c>
      <c r="I1924" s="10"/>
      <c r="J1924" s="107">
        <f>SUMIF(Data!C:C,G1924,Data!Q:Q)</f>
        <v>0</v>
      </c>
      <c r="K1924" s="107">
        <f>SUMIF(Comprometidos!A:A,'Cost Report'!G1924,Comprometidos!E:E)</f>
        <v>0</v>
      </c>
      <c r="L1924" s="107">
        <f t="shared" si="765"/>
        <v>0</v>
      </c>
      <c r="M1924" s="107">
        <v>0</v>
      </c>
      <c r="N1924" s="107">
        <f t="shared" si="766"/>
        <v>0</v>
      </c>
      <c r="O1924" s="107">
        <f>VLOOKUP(G1924,Budget!$E$3:$G$2474,3,0)</f>
        <v>10800</v>
      </c>
      <c r="P1924" s="107">
        <f t="shared" si="767"/>
        <v>10800</v>
      </c>
      <c r="Q1924" s="107"/>
      <c r="R1924" s="10"/>
      <c r="S1924" s="107">
        <v>0</v>
      </c>
      <c r="T1924" s="107">
        <f t="shared" si="764"/>
        <v>0</v>
      </c>
      <c r="U1924" s="107"/>
      <c r="V1924" s="175"/>
      <c r="W1924" s="10"/>
      <c r="X1924" s="10"/>
      <c r="Y1924" t="str">
        <f t="shared" si="770"/>
        <v>3683</v>
      </c>
      <c r="AB1924" s="10"/>
      <c r="AC1924" s="10"/>
      <c r="AD1924" s="10"/>
      <c r="AE1924" s="10"/>
      <c r="AF1924" s="10"/>
      <c r="AG1924" s="10"/>
      <c r="AH1924" s="10"/>
      <c r="AI1924" s="10"/>
    </row>
    <row r="1925" spans="1:35">
      <c r="A1925" s="10"/>
      <c r="B1925" s="10" t="str">
        <f t="shared" si="769"/>
        <v>Below the Line</v>
      </c>
      <c r="C1925" t="s">
        <v>20</v>
      </c>
      <c r="D1925" t="s">
        <v>19</v>
      </c>
      <c r="E1925" t="s">
        <v>214</v>
      </c>
      <c r="F1925" t="s">
        <v>5116</v>
      </c>
      <c r="G1925" t="s">
        <v>2902</v>
      </c>
      <c r="I1925" s="10"/>
      <c r="J1925" s="107">
        <f>SUMIF(Data!C:C,G1925,Data!Q:Q)</f>
        <v>0</v>
      </c>
      <c r="K1925" s="107">
        <f>SUMIF(Comprometidos!A:A,'Cost Report'!G1925,Comprometidos!E:E)</f>
        <v>0</v>
      </c>
      <c r="L1925" s="107">
        <f t="shared" si="765"/>
        <v>0</v>
      </c>
      <c r="M1925" s="107">
        <f t="shared" si="768"/>
        <v>0</v>
      </c>
      <c r="N1925" s="107">
        <f t="shared" si="766"/>
        <v>0</v>
      </c>
      <c r="O1925" s="107">
        <f>VLOOKUP(G1925,Budget!$E$3:$G$2474,3,0)</f>
        <v>0</v>
      </c>
      <c r="P1925" s="107">
        <f t="shared" si="767"/>
        <v>0</v>
      </c>
      <c r="Q1925" s="107"/>
      <c r="R1925" s="10"/>
      <c r="S1925" s="107">
        <v>0</v>
      </c>
      <c r="T1925" s="107">
        <f t="shared" si="764"/>
        <v>0</v>
      </c>
      <c r="U1925" s="107"/>
      <c r="V1925" s="175"/>
      <c r="W1925" s="10"/>
      <c r="X1925" s="10"/>
      <c r="Y1925" t="str">
        <f t="shared" si="770"/>
        <v>3683</v>
      </c>
      <c r="AB1925" s="10"/>
      <c r="AC1925" s="10"/>
      <c r="AD1925" s="10"/>
      <c r="AE1925" s="10"/>
      <c r="AF1925" s="10"/>
      <c r="AG1925" s="10"/>
      <c r="AH1925" s="10"/>
      <c r="AI1925" s="10"/>
    </row>
    <row r="1926" spans="1:35">
      <c r="A1926" s="10"/>
      <c r="B1926" s="10" t="str">
        <f t="shared" si="769"/>
        <v>Below the Line2nd Unit</v>
      </c>
      <c r="C1926" t="s">
        <v>20</v>
      </c>
      <c r="D1926" t="s">
        <v>19</v>
      </c>
      <c r="E1926" t="s">
        <v>1419</v>
      </c>
      <c r="F1926" t="s">
        <v>5116</v>
      </c>
      <c r="G1926" t="s">
        <v>2903</v>
      </c>
      <c r="I1926" s="10"/>
      <c r="J1926" s="107">
        <f>SUMIF(Data!C:C,G1926,Data!Q:Q)</f>
        <v>0</v>
      </c>
      <c r="K1926" s="107">
        <f>SUMIF(Comprometidos!A:A,'Cost Report'!G1926,Comprometidos!E:E)</f>
        <v>0</v>
      </c>
      <c r="L1926" s="107">
        <f t="shared" si="765"/>
        <v>0</v>
      </c>
      <c r="M1926" s="107">
        <v>0</v>
      </c>
      <c r="N1926" s="107">
        <f t="shared" si="766"/>
        <v>0</v>
      </c>
      <c r="O1926" s="107">
        <f>VLOOKUP(G1926,Budget!$E$3:$G$2474,3,0)</f>
        <v>15000</v>
      </c>
      <c r="P1926" s="107">
        <f t="shared" si="767"/>
        <v>15000</v>
      </c>
      <c r="Q1926" s="107"/>
      <c r="R1926" s="10"/>
      <c r="S1926" s="107">
        <v>0</v>
      </c>
      <c r="T1926" s="107">
        <f t="shared" si="764"/>
        <v>0</v>
      </c>
      <c r="U1926" s="107"/>
      <c r="V1926" s="175"/>
      <c r="W1926" s="10"/>
      <c r="X1926" s="10"/>
      <c r="Y1926" t="str">
        <f t="shared" si="770"/>
        <v>3683</v>
      </c>
      <c r="AB1926" s="10"/>
      <c r="AC1926" s="10"/>
      <c r="AD1926" s="10"/>
      <c r="AE1926" s="10"/>
      <c r="AF1926" s="10"/>
      <c r="AG1926" s="10"/>
      <c r="AH1926" s="10"/>
      <c r="AI1926" s="10"/>
    </row>
    <row r="1927" spans="1:35">
      <c r="A1927" s="10"/>
      <c r="B1927" s="10" t="str">
        <f t="shared" si="769"/>
        <v>Below the Line2nd Unit</v>
      </c>
      <c r="C1927" t="s">
        <v>20</v>
      </c>
      <c r="D1927" t="s">
        <v>19</v>
      </c>
      <c r="E1927" t="s">
        <v>1419</v>
      </c>
      <c r="F1927" t="s">
        <v>5116</v>
      </c>
      <c r="G1927" t="s">
        <v>2904</v>
      </c>
      <c r="I1927" s="10"/>
      <c r="J1927" s="107">
        <f>SUMIF(Data!C:C,G1927,Data!Q:Q)</f>
        <v>0</v>
      </c>
      <c r="K1927" s="107">
        <f>SUMIF(Comprometidos!A:A,'Cost Report'!G1927,Comprometidos!E:E)</f>
        <v>0</v>
      </c>
      <c r="L1927" s="107">
        <f t="shared" si="765"/>
        <v>0</v>
      </c>
      <c r="M1927" s="107">
        <v>0</v>
      </c>
      <c r="N1927" s="107">
        <f t="shared" si="766"/>
        <v>0</v>
      </c>
      <c r="O1927" s="107">
        <f>VLOOKUP(G1927,Budget!$E$3:$G$2474,3,0)</f>
        <v>30000</v>
      </c>
      <c r="P1927" s="107">
        <f t="shared" si="767"/>
        <v>30000</v>
      </c>
      <c r="Q1927" s="107"/>
      <c r="R1927" s="10"/>
      <c r="S1927" s="107">
        <v>0</v>
      </c>
      <c r="T1927" s="107">
        <f t="shared" si="764"/>
        <v>0</v>
      </c>
      <c r="U1927" s="107"/>
      <c r="V1927" s="175"/>
      <c r="W1927" s="10"/>
      <c r="X1927" s="10"/>
      <c r="Y1927" t="str">
        <f t="shared" si="770"/>
        <v>3683</v>
      </c>
      <c r="AB1927" s="10"/>
      <c r="AC1927" s="10"/>
      <c r="AD1927" s="10"/>
      <c r="AE1927" s="10"/>
      <c r="AF1927" s="10"/>
      <c r="AG1927" s="10"/>
      <c r="AH1927" s="10"/>
      <c r="AI1927" s="10"/>
    </row>
    <row r="1928" spans="1:35">
      <c r="A1928" s="10"/>
      <c r="B1928" s="10" t="str">
        <f t="shared" si="769"/>
        <v>Below the Line2nd Unit</v>
      </c>
      <c r="C1928" t="s">
        <v>20</v>
      </c>
      <c r="D1928" t="s">
        <v>19</v>
      </c>
      <c r="E1928" t="s">
        <v>1419</v>
      </c>
      <c r="F1928" t="s">
        <v>5116</v>
      </c>
      <c r="G1928" t="s">
        <v>2905</v>
      </c>
      <c r="I1928" s="10"/>
      <c r="J1928" s="107">
        <f>SUMIF(Data!C:C,G1928,Data!Q:Q)</f>
        <v>0</v>
      </c>
      <c r="K1928" s="107">
        <f>SUMIF(Comprometidos!A:A,'Cost Report'!G1928,Comprometidos!E:E)</f>
        <v>0</v>
      </c>
      <c r="L1928" s="107">
        <f t="shared" si="765"/>
        <v>0</v>
      </c>
      <c r="M1928" s="107">
        <v>0</v>
      </c>
      <c r="N1928" s="107">
        <f t="shared" si="766"/>
        <v>0</v>
      </c>
      <c r="O1928" s="107">
        <f>VLOOKUP(G1928,Budget!$E$3:$G$2474,3,0)</f>
        <v>15000</v>
      </c>
      <c r="P1928" s="107">
        <f t="shared" si="767"/>
        <v>15000</v>
      </c>
      <c r="Q1928" s="107"/>
      <c r="R1928" s="10"/>
      <c r="S1928" s="107">
        <v>0</v>
      </c>
      <c r="T1928" s="107">
        <f t="shared" si="764"/>
        <v>0</v>
      </c>
      <c r="U1928" s="107"/>
      <c r="V1928" s="175"/>
      <c r="W1928" s="10"/>
      <c r="X1928" s="10"/>
      <c r="Y1928" t="str">
        <f t="shared" si="770"/>
        <v>3683</v>
      </c>
      <c r="AB1928" s="10"/>
      <c r="AC1928" s="10"/>
      <c r="AD1928" s="10"/>
      <c r="AE1928" s="10"/>
      <c r="AF1928" s="10"/>
      <c r="AG1928" s="10"/>
      <c r="AH1928" s="10"/>
      <c r="AI1928" s="10"/>
    </row>
    <row r="1929" spans="1:35">
      <c r="A1929" s="10"/>
      <c r="B1929" s="10" t="str">
        <f t="shared" si="769"/>
        <v>Below the Line</v>
      </c>
      <c r="C1929" t="s">
        <v>20</v>
      </c>
      <c r="D1929" t="s">
        <v>19</v>
      </c>
      <c r="E1929" t="s">
        <v>214</v>
      </c>
      <c r="F1929" t="s">
        <v>5116</v>
      </c>
      <c r="G1929" t="s">
        <v>2906</v>
      </c>
      <c r="I1929" s="10"/>
      <c r="J1929" s="107">
        <f>SUMIF(Data!C:C,G1929,Data!Q:Q)</f>
        <v>0</v>
      </c>
      <c r="K1929" s="107">
        <f>SUMIF(Comprometidos!A:A,'Cost Report'!G1929,Comprometidos!E:E)</f>
        <v>0</v>
      </c>
      <c r="L1929" s="107">
        <f t="shared" si="765"/>
        <v>0</v>
      </c>
      <c r="M1929" s="107">
        <f t="shared" si="768"/>
        <v>0</v>
      </c>
      <c r="N1929" s="107">
        <f t="shared" si="766"/>
        <v>0</v>
      </c>
      <c r="O1929" s="107">
        <f>VLOOKUP(G1929,Budget!$E$3:$G$2474,3,0)</f>
        <v>0</v>
      </c>
      <c r="P1929" s="107">
        <f t="shared" si="767"/>
        <v>0</v>
      </c>
      <c r="Q1929" s="107"/>
      <c r="R1929" s="10"/>
      <c r="S1929" s="107">
        <v>0</v>
      </c>
      <c r="T1929" s="107">
        <f t="shared" si="764"/>
        <v>0</v>
      </c>
      <c r="U1929" s="107"/>
      <c r="V1929" s="175"/>
      <c r="W1929" s="10"/>
      <c r="X1929" s="10"/>
      <c r="Y1929" t="str">
        <f t="shared" si="770"/>
        <v>3683</v>
      </c>
      <c r="AB1929" s="10"/>
      <c r="AC1929" s="10"/>
      <c r="AD1929" s="10"/>
      <c r="AE1929" s="10"/>
      <c r="AF1929" s="10"/>
      <c r="AG1929" s="10"/>
      <c r="AH1929" s="10"/>
      <c r="AI1929" s="10"/>
    </row>
    <row r="1930" spans="1:35">
      <c r="A1930" s="10"/>
      <c r="B1930" s="10" t="str">
        <f t="shared" si="769"/>
        <v>Below the Line2nd Unit</v>
      </c>
      <c r="C1930" t="s">
        <v>20</v>
      </c>
      <c r="D1930" t="s">
        <v>19</v>
      </c>
      <c r="E1930" t="s">
        <v>1419</v>
      </c>
      <c r="F1930" t="s">
        <v>5116</v>
      </c>
      <c r="G1930" t="s">
        <v>2907</v>
      </c>
      <c r="I1930" s="10"/>
      <c r="J1930" s="107">
        <f>SUMIF(Data!C:C,G1930,Data!Q:Q)</f>
        <v>74837.009999999995</v>
      </c>
      <c r="K1930" s="107">
        <f>SUMIF(Comprometidos!A:A,'Cost Report'!G1930,Comprometidos!E:E)</f>
        <v>0</v>
      </c>
      <c r="L1930" s="107">
        <f t="shared" si="765"/>
        <v>74837.009999999995</v>
      </c>
      <c r="M1930" s="107">
        <v>0</v>
      </c>
      <c r="N1930" s="107">
        <f t="shared" si="766"/>
        <v>74837.009999999995</v>
      </c>
      <c r="O1930" s="107">
        <f>VLOOKUP(G1930,Budget!$E$3:$G$2474,3,0)</f>
        <v>112000</v>
      </c>
      <c r="P1930" s="107">
        <f t="shared" si="767"/>
        <v>37162.990000000005</v>
      </c>
      <c r="Q1930" s="107"/>
      <c r="R1930" s="10"/>
      <c r="S1930" s="107">
        <v>74837.009999999995</v>
      </c>
      <c r="T1930" s="107">
        <f t="shared" si="764"/>
        <v>0</v>
      </c>
      <c r="U1930" s="107"/>
      <c r="V1930" s="175"/>
      <c r="W1930" s="10"/>
      <c r="X1930" s="10"/>
      <c r="Y1930" t="str">
        <f t="shared" si="770"/>
        <v>3683</v>
      </c>
      <c r="AB1930" s="10"/>
      <c r="AC1930" s="10"/>
      <c r="AD1930" s="10"/>
      <c r="AE1930" s="10"/>
      <c r="AF1930" s="10"/>
      <c r="AG1930" s="10"/>
      <c r="AH1930" s="10"/>
      <c r="AI1930" s="10"/>
    </row>
    <row r="1931" spans="1:35">
      <c r="A1931" s="10"/>
      <c r="B1931" s="10" t="str">
        <f t="shared" si="769"/>
        <v>Below the Line</v>
      </c>
      <c r="C1931" t="s">
        <v>20</v>
      </c>
      <c r="D1931" t="s">
        <v>19</v>
      </c>
      <c r="E1931" t="s">
        <v>214</v>
      </c>
      <c r="F1931" t="s">
        <v>5116</v>
      </c>
      <c r="G1931" t="s">
        <v>2908</v>
      </c>
      <c r="I1931" s="10"/>
      <c r="J1931" s="107">
        <f>SUMIF(Data!C:C,G1931,Data!Q:Q)</f>
        <v>0</v>
      </c>
      <c r="K1931" s="107">
        <f>SUMIF(Comprometidos!A:A,'Cost Report'!G1931,Comprometidos!E:E)</f>
        <v>0</v>
      </c>
      <c r="L1931" s="107">
        <f t="shared" si="765"/>
        <v>0</v>
      </c>
      <c r="M1931" s="107"/>
      <c r="N1931" s="107">
        <f t="shared" si="766"/>
        <v>0</v>
      </c>
      <c r="O1931" s="107">
        <f>VLOOKUP(G1931,Budget!$E$3:$G$2474,3,0)</f>
        <v>0</v>
      </c>
      <c r="P1931" s="107">
        <f t="shared" si="767"/>
        <v>0</v>
      </c>
      <c r="Q1931" s="107"/>
      <c r="R1931" s="10"/>
      <c r="S1931" s="107">
        <v>0</v>
      </c>
      <c r="T1931" s="107">
        <f t="shared" si="764"/>
        <v>0</v>
      </c>
      <c r="U1931" s="107"/>
      <c r="V1931" s="175"/>
      <c r="W1931" s="10"/>
      <c r="X1931" s="10"/>
      <c r="Y1931" t="str">
        <f t="shared" si="770"/>
        <v>3683</v>
      </c>
      <c r="AB1931" s="10"/>
      <c r="AC1931" s="10"/>
      <c r="AD1931" s="10"/>
      <c r="AE1931" s="10"/>
      <c r="AF1931" s="10"/>
      <c r="AG1931" s="10"/>
      <c r="AH1931" s="10"/>
      <c r="AI1931" s="10"/>
    </row>
    <row r="1932" spans="1:35">
      <c r="A1932" s="10"/>
      <c r="B1932" s="10" t="str">
        <f t="shared" si="769"/>
        <v>Below the Line2nd Unit</v>
      </c>
      <c r="C1932" t="s">
        <v>20</v>
      </c>
      <c r="D1932" t="s">
        <v>19</v>
      </c>
      <c r="E1932" t="s">
        <v>1419</v>
      </c>
      <c r="F1932" t="s">
        <v>5116</v>
      </c>
      <c r="G1932" t="s">
        <v>2909</v>
      </c>
      <c r="I1932" s="10"/>
      <c r="J1932" s="107">
        <f>SUMIF(Data!C:C,G1932,Data!Q:Q)</f>
        <v>509325.99999999988</v>
      </c>
      <c r="K1932" s="107">
        <f>SUMIF(Comprometidos!A:A,'Cost Report'!G1932,Comprometidos!E:E)</f>
        <v>0</v>
      </c>
      <c r="L1932" s="107">
        <f t="shared" si="765"/>
        <v>509325.99999999988</v>
      </c>
      <c r="M1932" s="107"/>
      <c r="N1932" s="107">
        <f t="shared" si="766"/>
        <v>509325.99999999988</v>
      </c>
      <c r="O1932" s="107">
        <f>VLOOKUP(G1932,Budget!$E$3:$G$2474,3,0)</f>
        <v>45000</v>
      </c>
      <c r="P1932" s="107">
        <f t="shared" si="767"/>
        <v>-464325.99999999988</v>
      </c>
      <c r="Q1932" s="107"/>
      <c r="R1932" s="10"/>
      <c r="S1932" s="107">
        <v>509325.99999999988</v>
      </c>
      <c r="T1932" s="107">
        <f t="shared" si="764"/>
        <v>0</v>
      </c>
      <c r="U1932" s="107"/>
      <c r="V1932" s="175"/>
      <c r="W1932" s="10"/>
      <c r="X1932" s="10"/>
      <c r="Y1932" t="str">
        <f t="shared" si="770"/>
        <v>3683</v>
      </c>
      <c r="AB1932" s="10"/>
      <c r="AC1932" s="10"/>
      <c r="AD1932" s="10"/>
      <c r="AE1932" s="10"/>
      <c r="AF1932" s="10"/>
      <c r="AG1932" s="10"/>
      <c r="AH1932" s="10"/>
      <c r="AI1932" s="10"/>
    </row>
    <row r="1933" spans="1:35">
      <c r="A1933" s="10"/>
      <c r="B1933" s="10" t="str">
        <f t="shared" si="769"/>
        <v>Below the Line</v>
      </c>
      <c r="C1933" t="s">
        <v>20</v>
      </c>
      <c r="D1933" t="s">
        <v>19</v>
      </c>
      <c r="E1933" t="s">
        <v>214</v>
      </c>
      <c r="F1933" t="s">
        <v>5116</v>
      </c>
      <c r="G1933" t="s">
        <v>2910</v>
      </c>
      <c r="I1933" s="10"/>
      <c r="J1933" s="107">
        <f>SUMIF(Data!C:C,G1933,Data!Q:Q)</f>
        <v>0</v>
      </c>
      <c r="K1933" s="107">
        <f>SUMIF(Comprometidos!A:A,'Cost Report'!G1933,Comprometidos!E:E)</f>
        <v>0</v>
      </c>
      <c r="L1933" s="107">
        <f t="shared" si="765"/>
        <v>0</v>
      </c>
      <c r="M1933" s="107">
        <f t="shared" si="768"/>
        <v>0</v>
      </c>
      <c r="N1933" s="107">
        <f t="shared" si="766"/>
        <v>0</v>
      </c>
      <c r="O1933" s="107">
        <f>VLOOKUP(G1933,Budget!$E$3:$G$2474,3,0)</f>
        <v>0</v>
      </c>
      <c r="P1933" s="107">
        <f t="shared" si="767"/>
        <v>0</v>
      </c>
      <c r="Q1933" s="107"/>
      <c r="R1933" s="10"/>
      <c r="S1933" s="107">
        <v>0</v>
      </c>
      <c r="T1933" s="107">
        <f t="shared" si="764"/>
        <v>0</v>
      </c>
      <c r="U1933" s="107"/>
      <c r="V1933" s="175"/>
      <c r="W1933" s="10"/>
      <c r="X1933" s="10"/>
      <c r="Y1933" t="str">
        <f t="shared" si="770"/>
        <v>3683</v>
      </c>
      <c r="AB1933" s="10"/>
      <c r="AC1933" s="10"/>
      <c r="AD1933" s="10"/>
      <c r="AE1933" s="10"/>
      <c r="AF1933" s="10"/>
      <c r="AG1933" s="10"/>
      <c r="AH1933" s="10"/>
      <c r="AI1933" s="10"/>
    </row>
    <row r="1934" spans="1:35">
      <c r="A1934" s="10"/>
      <c r="B1934" s="10" t="str">
        <f t="shared" si="769"/>
        <v>Below the Line2nd Unit</v>
      </c>
      <c r="C1934" t="s">
        <v>20</v>
      </c>
      <c r="D1934" t="s">
        <v>19</v>
      </c>
      <c r="E1934" t="s">
        <v>1419</v>
      </c>
      <c r="F1934" t="s">
        <v>5116</v>
      </c>
      <c r="G1934" t="s">
        <v>2911</v>
      </c>
      <c r="I1934" s="10"/>
      <c r="J1934" s="107">
        <f>SUMIF(Data!C:C,G1934,Data!Q:Q)</f>
        <v>0</v>
      </c>
      <c r="K1934" s="107">
        <f>SUMIF(Comprometidos!A:A,'Cost Report'!G1934,Comprometidos!E:E)</f>
        <v>0</v>
      </c>
      <c r="L1934" s="107">
        <f t="shared" si="765"/>
        <v>0</v>
      </c>
      <c r="M1934" s="107">
        <v>0</v>
      </c>
      <c r="N1934" s="107">
        <f t="shared" si="766"/>
        <v>0</v>
      </c>
      <c r="O1934" s="107">
        <f>VLOOKUP(G1934,Budget!$E$3:$G$2474,3,0)</f>
        <v>56000</v>
      </c>
      <c r="P1934" s="107">
        <f t="shared" si="767"/>
        <v>56000</v>
      </c>
      <c r="Q1934" s="107"/>
      <c r="R1934" s="10"/>
      <c r="S1934" s="107">
        <v>0</v>
      </c>
      <c r="T1934" s="107">
        <f t="shared" si="764"/>
        <v>0</v>
      </c>
      <c r="U1934" s="107"/>
      <c r="V1934" s="175"/>
      <c r="W1934" s="10"/>
      <c r="X1934" s="10"/>
      <c r="Y1934" t="str">
        <f t="shared" si="770"/>
        <v>3683</v>
      </c>
      <c r="AB1934" s="10"/>
      <c r="AC1934" s="10"/>
      <c r="AD1934" s="10"/>
      <c r="AE1934" s="10"/>
      <c r="AF1934" s="10"/>
      <c r="AG1934" s="10"/>
      <c r="AH1934" s="10"/>
      <c r="AI1934" s="10"/>
    </row>
    <row r="1935" spans="1:35">
      <c r="A1935" s="10"/>
      <c r="B1935" s="10" t="str">
        <f t="shared" si="769"/>
        <v>Below the Line</v>
      </c>
      <c r="C1935" t="s">
        <v>20</v>
      </c>
      <c r="D1935" t="s">
        <v>19</v>
      </c>
      <c r="E1935" t="s">
        <v>214</v>
      </c>
      <c r="F1935" t="s">
        <v>5116</v>
      </c>
      <c r="G1935" t="s">
        <v>2912</v>
      </c>
      <c r="I1935" s="10"/>
      <c r="J1935" s="107">
        <f>SUMIF(Data!C:C,G1935,Data!Q:Q)</f>
        <v>0</v>
      </c>
      <c r="K1935" s="107">
        <f>SUMIF(Comprometidos!A:A,'Cost Report'!G1935,Comprometidos!E:E)</f>
        <v>0</v>
      </c>
      <c r="L1935" s="107">
        <f t="shared" si="765"/>
        <v>0</v>
      </c>
      <c r="M1935" s="107">
        <f t="shared" si="768"/>
        <v>0</v>
      </c>
      <c r="N1935" s="107">
        <f t="shared" si="766"/>
        <v>0</v>
      </c>
      <c r="O1935" s="107">
        <f>VLOOKUP(G1935,Budget!$E$3:$G$2474,3,0)</f>
        <v>0</v>
      </c>
      <c r="P1935" s="107">
        <f t="shared" si="767"/>
        <v>0</v>
      </c>
      <c r="Q1935" s="107"/>
      <c r="R1935" s="10"/>
      <c r="S1935" s="107">
        <v>0</v>
      </c>
      <c r="T1935" s="107">
        <f t="shared" si="764"/>
        <v>0</v>
      </c>
      <c r="U1935" s="107"/>
      <c r="V1935" s="175"/>
      <c r="W1935" s="10"/>
      <c r="X1935" s="10"/>
      <c r="Y1935" t="str">
        <f t="shared" si="770"/>
        <v>3683</v>
      </c>
      <c r="AB1935" s="10"/>
      <c r="AC1935" s="10"/>
      <c r="AD1935" s="10"/>
      <c r="AE1935" s="10"/>
      <c r="AF1935" s="10"/>
      <c r="AG1935" s="10"/>
      <c r="AH1935" s="10"/>
      <c r="AI1935" s="10"/>
    </row>
    <row r="1936" spans="1:35">
      <c r="A1936" s="10"/>
      <c r="B1936" s="10" t="str">
        <f t="shared" si="769"/>
        <v>Below the Line2nd Unit</v>
      </c>
      <c r="C1936" t="s">
        <v>20</v>
      </c>
      <c r="D1936" t="s">
        <v>19</v>
      </c>
      <c r="E1936" t="s">
        <v>1419</v>
      </c>
      <c r="F1936" t="s">
        <v>5116</v>
      </c>
      <c r="G1936" t="s">
        <v>2913</v>
      </c>
      <c r="I1936" s="10"/>
      <c r="J1936" s="107">
        <f>SUMIF(Data!C:C,G1936,Data!Q:Q)</f>
        <v>0</v>
      </c>
      <c r="K1936" s="107">
        <f>SUMIF(Comprometidos!A:A,'Cost Report'!G1936,Comprometidos!E:E)</f>
        <v>0</v>
      </c>
      <c r="L1936" s="107">
        <f t="shared" si="765"/>
        <v>0</v>
      </c>
      <c r="M1936" s="107"/>
      <c r="N1936" s="107">
        <f t="shared" si="766"/>
        <v>0</v>
      </c>
      <c r="O1936" s="107">
        <f>VLOOKUP(G1936,Budget!$E$3:$G$2474,3,0)</f>
        <v>30000</v>
      </c>
      <c r="P1936" s="107">
        <f t="shared" si="767"/>
        <v>30000</v>
      </c>
      <c r="Q1936" s="107"/>
      <c r="R1936" s="10"/>
      <c r="S1936" s="107">
        <v>0</v>
      </c>
      <c r="T1936" s="107">
        <f t="shared" si="764"/>
        <v>0</v>
      </c>
      <c r="U1936" s="107"/>
      <c r="V1936" s="175"/>
      <c r="W1936" s="10"/>
      <c r="X1936" s="10"/>
      <c r="Y1936" t="str">
        <f t="shared" si="770"/>
        <v>3683</v>
      </c>
      <c r="AB1936" s="10"/>
      <c r="AC1936" s="10"/>
      <c r="AD1936" s="10"/>
      <c r="AE1936" s="10"/>
      <c r="AF1936" s="10"/>
      <c r="AG1936" s="10"/>
      <c r="AH1936" s="10"/>
      <c r="AI1936" s="10"/>
    </row>
    <row r="1937" spans="1:35">
      <c r="A1937" s="10"/>
      <c r="B1937" s="10" t="str">
        <f t="shared" si="769"/>
        <v>Below the Line</v>
      </c>
      <c r="C1937" t="s">
        <v>20</v>
      </c>
      <c r="D1937" t="s">
        <v>19</v>
      </c>
      <c r="E1937" t="s">
        <v>214</v>
      </c>
      <c r="F1937" t="s">
        <v>5116</v>
      </c>
      <c r="G1937" t="s">
        <v>2914</v>
      </c>
      <c r="I1937" s="10"/>
      <c r="J1937" s="107">
        <f>SUMIF(Data!C:C,G1937,Data!Q:Q)</f>
        <v>0</v>
      </c>
      <c r="K1937" s="107">
        <f>SUMIF(Comprometidos!A:A,'Cost Report'!G1937,Comprometidos!E:E)</f>
        <v>0</v>
      </c>
      <c r="L1937" s="107">
        <f t="shared" si="765"/>
        <v>0</v>
      </c>
      <c r="M1937" s="107">
        <f t="shared" si="768"/>
        <v>0</v>
      </c>
      <c r="N1937" s="107">
        <f t="shared" si="766"/>
        <v>0</v>
      </c>
      <c r="O1937" s="107">
        <f>VLOOKUP(G1937,Budget!$E$3:$G$2474,3,0)</f>
        <v>0</v>
      </c>
      <c r="P1937" s="107">
        <f t="shared" si="767"/>
        <v>0</v>
      </c>
      <c r="Q1937" s="107"/>
      <c r="R1937" s="10"/>
      <c r="S1937" s="107">
        <v>0</v>
      </c>
      <c r="T1937" s="107">
        <f t="shared" si="764"/>
        <v>0</v>
      </c>
      <c r="U1937" s="107"/>
      <c r="V1937" s="175"/>
      <c r="W1937" s="10"/>
      <c r="X1937" s="10"/>
      <c r="Y1937" t="str">
        <f t="shared" si="770"/>
        <v>3683</v>
      </c>
      <c r="AB1937" s="10"/>
      <c r="AC1937" s="10"/>
      <c r="AD1937" s="10"/>
      <c r="AE1937" s="10"/>
      <c r="AF1937" s="10"/>
      <c r="AG1937" s="10"/>
      <c r="AH1937" s="10"/>
      <c r="AI1937" s="10"/>
    </row>
    <row r="1938" spans="1:35">
      <c r="A1938" s="10"/>
      <c r="B1938" s="10" t="str">
        <f t="shared" si="769"/>
        <v>Below the Line2nd Unit</v>
      </c>
      <c r="C1938" t="s">
        <v>20</v>
      </c>
      <c r="D1938" t="s">
        <v>19</v>
      </c>
      <c r="E1938" t="s">
        <v>1419</v>
      </c>
      <c r="F1938" t="s">
        <v>5116</v>
      </c>
      <c r="G1938" t="s">
        <v>2915</v>
      </c>
      <c r="I1938" s="10"/>
      <c r="J1938" s="107">
        <f>SUMIF(Data!C:C,G1938,Data!Q:Q)</f>
        <v>0</v>
      </c>
      <c r="K1938" s="107">
        <f>SUMIF(Comprometidos!A:A,'Cost Report'!G1938,Comprometidos!E:E)</f>
        <v>0</v>
      </c>
      <c r="L1938" s="107">
        <f t="shared" si="765"/>
        <v>0</v>
      </c>
      <c r="M1938" s="107">
        <v>0</v>
      </c>
      <c r="N1938" s="107">
        <f t="shared" si="766"/>
        <v>0</v>
      </c>
      <c r="O1938" s="107">
        <f>VLOOKUP(G1938,Budget!$E$3:$G$2474,3,0)</f>
        <v>15000</v>
      </c>
      <c r="P1938" s="107">
        <f t="shared" si="767"/>
        <v>15000</v>
      </c>
      <c r="Q1938" s="107"/>
      <c r="R1938" s="10"/>
      <c r="S1938" s="107">
        <v>0</v>
      </c>
      <c r="T1938" s="107">
        <f t="shared" si="764"/>
        <v>0</v>
      </c>
      <c r="U1938" s="107"/>
      <c r="V1938" s="175"/>
      <c r="W1938" s="10"/>
      <c r="X1938" s="10"/>
      <c r="Y1938" t="str">
        <f t="shared" si="770"/>
        <v>3683</v>
      </c>
      <c r="AB1938" s="10"/>
      <c r="AC1938" s="10"/>
      <c r="AD1938" s="10"/>
      <c r="AE1938" s="10"/>
      <c r="AF1938" s="10"/>
      <c r="AG1938" s="10"/>
      <c r="AH1938" s="10"/>
      <c r="AI1938" s="10"/>
    </row>
    <row r="1939" spans="1:35">
      <c r="A1939" s="10"/>
      <c r="B1939" s="10" t="str">
        <f t="shared" si="769"/>
        <v>Below the Line2nd Unit</v>
      </c>
      <c r="C1939" t="s">
        <v>20</v>
      </c>
      <c r="D1939" t="s">
        <v>19</v>
      </c>
      <c r="E1939" t="s">
        <v>1419</v>
      </c>
      <c r="F1939" t="s">
        <v>5116</v>
      </c>
      <c r="G1939" t="s">
        <v>2916</v>
      </c>
      <c r="I1939" s="10"/>
      <c r="J1939" s="107">
        <f>SUMIF(Data!C:C,G1939,Data!Q:Q)</f>
        <v>99252.120000000024</v>
      </c>
      <c r="K1939" s="107">
        <f>SUMIF(Comprometidos!A:A,'Cost Report'!G1939,Comprometidos!E:E)</f>
        <v>0</v>
      </c>
      <c r="L1939" s="107">
        <f t="shared" si="765"/>
        <v>99252.120000000024</v>
      </c>
      <c r="M1939" s="107"/>
      <c r="N1939" s="107">
        <f t="shared" si="766"/>
        <v>99252.120000000024</v>
      </c>
      <c r="O1939" s="107">
        <f>VLOOKUP(G1939,Budget!$E$3:$G$2474,3,0)</f>
        <v>30000</v>
      </c>
      <c r="P1939" s="107">
        <f t="shared" si="767"/>
        <v>-69252.120000000024</v>
      </c>
      <c r="Q1939" s="107"/>
      <c r="R1939" s="10"/>
      <c r="S1939" s="107">
        <v>99252.120000000024</v>
      </c>
      <c r="T1939" s="107">
        <f t="shared" si="764"/>
        <v>0</v>
      </c>
      <c r="U1939" s="107"/>
      <c r="V1939" s="175"/>
      <c r="W1939" s="10"/>
      <c r="X1939" s="10"/>
      <c r="Y1939" t="str">
        <f t="shared" si="770"/>
        <v>3683</v>
      </c>
      <c r="AB1939" s="10"/>
      <c r="AC1939" s="10"/>
      <c r="AD1939" s="10"/>
      <c r="AE1939" s="10"/>
      <c r="AF1939" s="10"/>
      <c r="AG1939" s="10"/>
      <c r="AH1939" s="10"/>
      <c r="AI1939" s="10"/>
    </row>
    <row r="1940" spans="1:35">
      <c r="A1940" s="10"/>
      <c r="B1940" s="10" t="str">
        <f t="shared" si="769"/>
        <v>Below the Line2nd Unit</v>
      </c>
      <c r="C1940" t="s">
        <v>20</v>
      </c>
      <c r="D1940" t="s">
        <v>19</v>
      </c>
      <c r="E1940" t="s">
        <v>1419</v>
      </c>
      <c r="F1940" t="s">
        <v>5116</v>
      </c>
      <c r="G1940" t="s">
        <v>2917</v>
      </c>
      <c r="I1940" s="10"/>
      <c r="J1940" s="107">
        <f>SUMIF(Data!C:C,G1940,Data!Q:Q)</f>
        <v>0</v>
      </c>
      <c r="K1940" s="107">
        <f>SUMIF(Comprometidos!A:A,'Cost Report'!G1940,Comprometidos!E:E)</f>
        <v>0</v>
      </c>
      <c r="L1940" s="107">
        <f t="shared" si="765"/>
        <v>0</v>
      </c>
      <c r="M1940" s="107">
        <v>0</v>
      </c>
      <c r="N1940" s="107">
        <f t="shared" si="766"/>
        <v>0</v>
      </c>
      <c r="O1940" s="107">
        <f>VLOOKUP(G1940,Budget!$E$3:$G$2474,3,0)</f>
        <v>7500</v>
      </c>
      <c r="P1940" s="107">
        <f t="shared" si="767"/>
        <v>7500</v>
      </c>
      <c r="Q1940" s="107"/>
      <c r="R1940" s="10"/>
      <c r="S1940" s="107">
        <v>0</v>
      </c>
      <c r="T1940" s="107">
        <f t="shared" si="764"/>
        <v>0</v>
      </c>
      <c r="U1940" s="107"/>
      <c r="V1940" s="175"/>
      <c r="W1940" s="10"/>
      <c r="X1940" s="10"/>
      <c r="Y1940" t="str">
        <f t="shared" si="770"/>
        <v>3683</v>
      </c>
      <c r="AB1940" s="10"/>
      <c r="AC1940" s="10"/>
      <c r="AD1940" s="10"/>
      <c r="AE1940" s="10"/>
      <c r="AF1940" s="10"/>
      <c r="AG1940" s="10"/>
      <c r="AH1940" s="10"/>
      <c r="AI1940" s="10"/>
    </row>
    <row r="1941" spans="1:35">
      <c r="A1941" s="10"/>
      <c r="B1941" s="10" t="str">
        <f t="shared" si="769"/>
        <v>Below the Line</v>
      </c>
      <c r="C1941" t="s">
        <v>20</v>
      </c>
      <c r="D1941" t="s">
        <v>19</v>
      </c>
      <c r="E1941" t="s">
        <v>214</v>
      </c>
      <c r="F1941" t="s">
        <v>5116</v>
      </c>
      <c r="G1941" t="s">
        <v>2918</v>
      </c>
      <c r="I1941" s="10"/>
      <c r="J1941" s="107">
        <f>SUMIF(Data!C:C,G1941,Data!Q:Q)</f>
        <v>0</v>
      </c>
      <c r="K1941" s="107">
        <f>SUMIF(Comprometidos!A:A,'Cost Report'!G1941,Comprometidos!E:E)</f>
        <v>0</v>
      </c>
      <c r="L1941" s="107">
        <f t="shared" si="765"/>
        <v>0</v>
      </c>
      <c r="M1941" s="107">
        <f t="shared" si="768"/>
        <v>0</v>
      </c>
      <c r="N1941" s="107">
        <f t="shared" si="766"/>
        <v>0</v>
      </c>
      <c r="O1941" s="107">
        <f>VLOOKUP(G1941,Budget!$E$3:$G$2474,3,0)</f>
        <v>0</v>
      </c>
      <c r="P1941" s="107">
        <f t="shared" si="767"/>
        <v>0</v>
      </c>
      <c r="Q1941" s="107"/>
      <c r="R1941" s="10"/>
      <c r="S1941" s="107">
        <v>0</v>
      </c>
      <c r="T1941" s="107">
        <f t="shared" si="764"/>
        <v>0</v>
      </c>
      <c r="U1941" s="107"/>
      <c r="V1941" s="175"/>
      <c r="W1941" s="10"/>
      <c r="X1941" s="10"/>
      <c r="Y1941" t="str">
        <f t="shared" si="770"/>
        <v>3683</v>
      </c>
      <c r="AB1941" s="10"/>
      <c r="AC1941" s="10"/>
      <c r="AD1941" s="10"/>
      <c r="AE1941" s="10"/>
      <c r="AF1941" s="10"/>
      <c r="AG1941" s="10"/>
      <c r="AH1941" s="10"/>
      <c r="AI1941" s="10"/>
    </row>
    <row r="1942" spans="1:35">
      <c r="A1942" s="10"/>
      <c r="B1942" s="10" t="str">
        <f t="shared" si="769"/>
        <v>Below the Line2nd Unit</v>
      </c>
      <c r="C1942" t="s">
        <v>20</v>
      </c>
      <c r="D1942" t="s">
        <v>19</v>
      </c>
      <c r="E1942" t="s">
        <v>1419</v>
      </c>
      <c r="F1942" t="s">
        <v>5116</v>
      </c>
      <c r="G1942" t="s">
        <v>2919</v>
      </c>
      <c r="I1942" s="10"/>
      <c r="J1942" s="107">
        <f>SUMIF(Data!C:C,G1942,Data!Q:Q)</f>
        <v>0</v>
      </c>
      <c r="K1942" s="107">
        <f>SUMIF(Comprometidos!A:A,'Cost Report'!G1942,Comprometidos!E:E)</f>
        <v>0</v>
      </c>
      <c r="L1942" s="107">
        <f t="shared" si="765"/>
        <v>0</v>
      </c>
      <c r="M1942" s="107">
        <v>0</v>
      </c>
      <c r="N1942" s="107">
        <f t="shared" si="766"/>
        <v>0</v>
      </c>
      <c r="O1942" s="107">
        <f>VLOOKUP(G1942,Budget!$E$3:$G$2474,3,0)</f>
        <v>11000</v>
      </c>
      <c r="P1942" s="107">
        <f t="shared" si="767"/>
        <v>11000</v>
      </c>
      <c r="Q1942" s="107"/>
      <c r="R1942" s="10"/>
      <c r="S1942" s="107">
        <v>0</v>
      </c>
      <c r="T1942" s="107">
        <f t="shared" si="764"/>
        <v>0</v>
      </c>
      <c r="U1942" s="107"/>
      <c r="V1942" s="175"/>
      <c r="W1942" s="10"/>
      <c r="X1942" s="10"/>
      <c r="Y1942" t="str">
        <f t="shared" si="770"/>
        <v>3683</v>
      </c>
      <c r="AB1942" s="10"/>
      <c r="AC1942" s="10"/>
      <c r="AD1942" s="10"/>
      <c r="AE1942" s="10"/>
      <c r="AF1942" s="10"/>
      <c r="AG1942" s="10"/>
      <c r="AH1942" s="10"/>
      <c r="AI1942" s="10"/>
    </row>
    <row r="1943" spans="1:35">
      <c r="A1943" s="10"/>
      <c r="B1943" s="10" t="str">
        <f t="shared" si="769"/>
        <v>Below the Line</v>
      </c>
      <c r="C1943" t="s">
        <v>20</v>
      </c>
      <c r="D1943" t="s">
        <v>19</v>
      </c>
      <c r="E1943" t="s">
        <v>214</v>
      </c>
      <c r="F1943" t="s">
        <v>5116</v>
      </c>
      <c r="G1943" t="s">
        <v>2920</v>
      </c>
      <c r="I1943" s="10"/>
      <c r="J1943" s="107">
        <f>SUMIF(Data!C:C,G1943,Data!Q:Q)</f>
        <v>0</v>
      </c>
      <c r="K1943" s="107">
        <f>SUMIF(Comprometidos!A:A,'Cost Report'!G1943,Comprometidos!E:E)</f>
        <v>0</v>
      </c>
      <c r="L1943" s="107">
        <f t="shared" si="765"/>
        <v>0</v>
      </c>
      <c r="M1943" s="107">
        <f t="shared" si="768"/>
        <v>0</v>
      </c>
      <c r="N1943" s="107">
        <f t="shared" si="766"/>
        <v>0</v>
      </c>
      <c r="O1943" s="107">
        <f>VLOOKUP(G1943,Budget!$E$3:$G$2474,3,0)</f>
        <v>0</v>
      </c>
      <c r="P1943" s="107">
        <f t="shared" si="767"/>
        <v>0</v>
      </c>
      <c r="Q1943" s="107"/>
      <c r="R1943" s="10"/>
      <c r="S1943" s="107">
        <v>0</v>
      </c>
      <c r="T1943" s="107">
        <f t="shared" si="764"/>
        <v>0</v>
      </c>
      <c r="U1943" s="107"/>
      <c r="V1943" s="175"/>
      <c r="W1943" s="10"/>
      <c r="X1943" s="10"/>
      <c r="Y1943" t="str">
        <f t="shared" si="770"/>
        <v>3683</v>
      </c>
      <c r="AB1943" s="10"/>
      <c r="AC1943" s="10"/>
      <c r="AD1943" s="10"/>
      <c r="AE1943" s="10"/>
      <c r="AF1943" s="10"/>
      <c r="AG1943" s="10"/>
      <c r="AH1943" s="10"/>
      <c r="AI1943" s="10"/>
    </row>
    <row r="1944" spans="1:35">
      <c r="A1944" s="10"/>
      <c r="B1944" s="10" t="str">
        <f t="shared" si="769"/>
        <v>Below the Line2nd Unit</v>
      </c>
      <c r="C1944" t="s">
        <v>20</v>
      </c>
      <c r="D1944" t="s">
        <v>19</v>
      </c>
      <c r="E1944" t="s">
        <v>1419</v>
      </c>
      <c r="F1944" t="s">
        <v>5116</v>
      </c>
      <c r="G1944" t="s">
        <v>2921</v>
      </c>
      <c r="I1944" s="10"/>
      <c r="J1944" s="107">
        <f>SUMIF(Data!C:C,G1944,Data!Q:Q)</f>
        <v>0</v>
      </c>
      <c r="K1944" s="107">
        <f>SUMIF(Comprometidos!A:A,'Cost Report'!G1944,Comprometidos!E:E)</f>
        <v>0</v>
      </c>
      <c r="L1944" s="107">
        <f t="shared" si="765"/>
        <v>0</v>
      </c>
      <c r="M1944" s="107">
        <v>0</v>
      </c>
      <c r="N1944" s="107">
        <f t="shared" si="766"/>
        <v>0</v>
      </c>
      <c r="O1944" s="107">
        <f>VLOOKUP(G1944,Budget!$E$3:$G$2474,3,0)</f>
        <v>22000</v>
      </c>
      <c r="P1944" s="107">
        <f t="shared" si="767"/>
        <v>22000</v>
      </c>
      <c r="Q1944" s="107"/>
      <c r="R1944" s="10"/>
      <c r="S1944" s="107">
        <v>0</v>
      </c>
      <c r="T1944" s="107">
        <f t="shared" si="764"/>
        <v>0</v>
      </c>
      <c r="U1944" s="107"/>
      <c r="V1944" s="175"/>
      <c r="W1944" s="10"/>
      <c r="X1944" s="10"/>
      <c r="Y1944" t="str">
        <f t="shared" si="770"/>
        <v>3683</v>
      </c>
      <c r="AB1944" s="10"/>
      <c r="AC1944" s="10"/>
      <c r="AD1944" s="10"/>
      <c r="AE1944" s="10"/>
      <c r="AF1944" s="10"/>
      <c r="AG1944" s="10"/>
      <c r="AH1944" s="10"/>
      <c r="AI1944" s="10"/>
    </row>
    <row r="1945" spans="1:35">
      <c r="A1945" s="10"/>
      <c r="B1945" s="10" t="str">
        <f t="shared" si="769"/>
        <v>Below the Line2nd Unit</v>
      </c>
      <c r="C1945" t="s">
        <v>20</v>
      </c>
      <c r="D1945" t="s">
        <v>19</v>
      </c>
      <c r="E1945" t="s">
        <v>1419</v>
      </c>
      <c r="F1945" t="s">
        <v>5116</v>
      </c>
      <c r="G1945" t="s">
        <v>2922</v>
      </c>
      <c r="I1945" s="10"/>
      <c r="J1945" s="107">
        <f>SUMIF(Data!C:C,G1945,Data!Q:Q)</f>
        <v>0</v>
      </c>
      <c r="K1945" s="107">
        <f>SUMIF(Comprometidos!A:A,'Cost Report'!G1945,Comprometidos!E:E)</f>
        <v>0</v>
      </c>
      <c r="L1945" s="107">
        <f t="shared" si="765"/>
        <v>0</v>
      </c>
      <c r="M1945" s="107"/>
      <c r="N1945" s="107">
        <f t="shared" si="766"/>
        <v>0</v>
      </c>
      <c r="O1945" s="107">
        <f>VLOOKUP(G1945,Budget!$E$3:$G$2474,3,0)</f>
        <v>44000</v>
      </c>
      <c r="P1945" s="107">
        <f t="shared" si="767"/>
        <v>44000</v>
      </c>
      <c r="Q1945" s="107"/>
      <c r="R1945" s="10"/>
      <c r="S1945" s="107">
        <v>0</v>
      </c>
      <c r="T1945" s="107">
        <f t="shared" si="764"/>
        <v>0</v>
      </c>
      <c r="U1945" s="107"/>
      <c r="V1945" s="175"/>
      <c r="W1945" s="10"/>
      <c r="X1945" s="10"/>
      <c r="Y1945" t="str">
        <f t="shared" si="770"/>
        <v>3683</v>
      </c>
      <c r="AB1945" s="10"/>
      <c r="AC1945" s="10"/>
      <c r="AD1945" s="10"/>
      <c r="AE1945" s="10"/>
      <c r="AF1945" s="10"/>
      <c r="AG1945" s="10"/>
      <c r="AH1945" s="10"/>
      <c r="AI1945" s="10"/>
    </row>
    <row r="1946" spans="1:35">
      <c r="A1946" s="10"/>
      <c r="B1946" s="10" t="str">
        <f t="shared" si="769"/>
        <v>Below the Line2nd Unit</v>
      </c>
      <c r="C1946" t="s">
        <v>20</v>
      </c>
      <c r="D1946" t="s">
        <v>19</v>
      </c>
      <c r="E1946" t="s">
        <v>1419</v>
      </c>
      <c r="F1946" t="s">
        <v>5116</v>
      </c>
      <c r="G1946" t="s">
        <v>2923</v>
      </c>
      <c r="I1946" s="10"/>
      <c r="J1946" s="107">
        <f>SUMIF(Data!C:C,G1946,Data!Q:Q)</f>
        <v>0</v>
      </c>
      <c r="K1946" s="107">
        <f>SUMIF(Comprometidos!A:A,'Cost Report'!G1946,Comprometidos!E:E)</f>
        <v>0</v>
      </c>
      <c r="L1946" s="107">
        <f t="shared" si="765"/>
        <v>0</v>
      </c>
      <c r="M1946" s="107">
        <v>0</v>
      </c>
      <c r="N1946" s="107">
        <f t="shared" si="766"/>
        <v>0</v>
      </c>
      <c r="O1946" s="107">
        <f>VLOOKUP(G1946,Budget!$E$3:$G$2474,3,0)</f>
        <v>11000</v>
      </c>
      <c r="P1946" s="107">
        <f t="shared" si="767"/>
        <v>11000</v>
      </c>
      <c r="Q1946" s="107"/>
      <c r="R1946" s="10"/>
      <c r="S1946" s="107">
        <v>0</v>
      </c>
      <c r="T1946" s="107">
        <f t="shared" si="764"/>
        <v>0</v>
      </c>
      <c r="U1946" s="107"/>
      <c r="V1946" s="175"/>
      <c r="W1946" s="10"/>
      <c r="X1946" s="10"/>
      <c r="Y1946" t="str">
        <f t="shared" si="770"/>
        <v>3683</v>
      </c>
      <c r="AB1946" s="10"/>
      <c r="AC1946" s="10"/>
      <c r="AD1946" s="10"/>
      <c r="AE1946" s="10"/>
      <c r="AF1946" s="10"/>
      <c r="AG1946" s="10"/>
      <c r="AH1946" s="10"/>
      <c r="AI1946" s="10"/>
    </row>
    <row r="1947" spans="1:35">
      <c r="A1947" s="10"/>
      <c r="B1947" s="10" t="str">
        <f t="shared" si="769"/>
        <v>Below the Line</v>
      </c>
      <c r="C1947" t="s">
        <v>20</v>
      </c>
      <c r="D1947" t="s">
        <v>19</v>
      </c>
      <c r="E1947" t="s">
        <v>214</v>
      </c>
      <c r="F1947" t="s">
        <v>5116</v>
      </c>
      <c r="G1947" t="s">
        <v>2924</v>
      </c>
      <c r="I1947" s="10"/>
      <c r="J1947" s="107">
        <f>SUMIF(Data!C:C,G1947,Data!Q:Q)</f>
        <v>0</v>
      </c>
      <c r="K1947" s="107">
        <f>SUMIF(Comprometidos!A:A,'Cost Report'!G1947,Comprometidos!E:E)</f>
        <v>0</v>
      </c>
      <c r="L1947" s="107">
        <f t="shared" si="765"/>
        <v>0</v>
      </c>
      <c r="M1947" s="107">
        <f t="shared" si="768"/>
        <v>0</v>
      </c>
      <c r="N1947" s="107">
        <f t="shared" si="766"/>
        <v>0</v>
      </c>
      <c r="O1947" s="107">
        <f>VLOOKUP(G1947,Budget!$E$3:$G$2474,3,0)</f>
        <v>0</v>
      </c>
      <c r="P1947" s="107">
        <f t="shared" si="767"/>
        <v>0</v>
      </c>
      <c r="Q1947" s="107"/>
      <c r="R1947" s="10"/>
      <c r="S1947" s="107">
        <v>0</v>
      </c>
      <c r="T1947" s="107">
        <f t="shared" si="764"/>
        <v>0</v>
      </c>
      <c r="U1947" s="107"/>
      <c r="V1947" s="175"/>
      <c r="W1947" s="10"/>
      <c r="X1947" s="10"/>
      <c r="Y1947" t="str">
        <f t="shared" si="770"/>
        <v>3683</v>
      </c>
      <c r="AB1947" s="10"/>
      <c r="AC1947" s="10"/>
      <c r="AD1947" s="10"/>
      <c r="AE1947" s="10"/>
      <c r="AF1947" s="10"/>
      <c r="AG1947" s="10"/>
      <c r="AH1947" s="10"/>
      <c r="AI1947" s="10"/>
    </row>
    <row r="1948" spans="1:35">
      <c r="A1948" s="10"/>
      <c r="B1948" s="10" t="str">
        <f t="shared" si="769"/>
        <v>Below the Line2nd Unit</v>
      </c>
      <c r="C1948" t="s">
        <v>20</v>
      </c>
      <c r="D1948" t="s">
        <v>19</v>
      </c>
      <c r="E1948" t="s">
        <v>1419</v>
      </c>
      <c r="F1948" t="s">
        <v>5116</v>
      </c>
      <c r="G1948" t="s">
        <v>2925</v>
      </c>
      <c r="I1948" s="10"/>
      <c r="J1948" s="107">
        <f>SUMIF(Data!C:C,G1948,Data!Q:Q)</f>
        <v>0</v>
      </c>
      <c r="K1948" s="107">
        <f>SUMIF(Comprometidos!A:A,'Cost Report'!G1948,Comprometidos!E:E)</f>
        <v>0</v>
      </c>
      <c r="L1948" s="107">
        <f t="shared" si="765"/>
        <v>0</v>
      </c>
      <c r="M1948" s="107">
        <v>0</v>
      </c>
      <c r="N1948" s="107">
        <f t="shared" si="766"/>
        <v>0</v>
      </c>
      <c r="O1948" s="107">
        <f>VLOOKUP(G1948,Budget!$E$3:$G$2474,3,0)</f>
        <v>11000</v>
      </c>
      <c r="P1948" s="107">
        <f t="shared" si="767"/>
        <v>11000</v>
      </c>
      <c r="Q1948" s="107"/>
      <c r="R1948" s="10"/>
      <c r="S1948" s="107">
        <v>0</v>
      </c>
      <c r="T1948" s="107">
        <f t="shared" si="764"/>
        <v>0</v>
      </c>
      <c r="U1948" s="107"/>
      <c r="V1948" s="175"/>
      <c r="W1948" s="10"/>
      <c r="X1948" s="10"/>
      <c r="Y1948" t="str">
        <f t="shared" si="770"/>
        <v>3683</v>
      </c>
      <c r="AB1948" s="10"/>
      <c r="AC1948" s="10"/>
      <c r="AD1948" s="10"/>
      <c r="AE1948" s="10"/>
      <c r="AF1948" s="10"/>
      <c r="AG1948" s="10"/>
      <c r="AH1948" s="10"/>
      <c r="AI1948" s="10"/>
    </row>
    <row r="1949" spans="1:35">
      <c r="A1949" s="10"/>
      <c r="B1949" s="10" t="str">
        <f t="shared" si="769"/>
        <v>Below the Line2nd Unit</v>
      </c>
      <c r="C1949" t="s">
        <v>20</v>
      </c>
      <c r="D1949" t="s">
        <v>19</v>
      </c>
      <c r="E1949" t="s">
        <v>1419</v>
      </c>
      <c r="F1949" t="s">
        <v>5116</v>
      </c>
      <c r="G1949" t="s">
        <v>2926</v>
      </c>
      <c r="I1949" s="10"/>
      <c r="J1949" s="107">
        <f>SUMIF(Data!C:C,G1949,Data!Q:Q)</f>
        <v>0</v>
      </c>
      <c r="K1949" s="107">
        <f>SUMIF(Comprometidos!A:A,'Cost Report'!G1949,Comprometidos!E:E)</f>
        <v>0</v>
      </c>
      <c r="L1949" s="107">
        <f t="shared" si="765"/>
        <v>0</v>
      </c>
      <c r="M1949" s="107"/>
      <c r="N1949" s="107">
        <f t="shared" si="766"/>
        <v>0</v>
      </c>
      <c r="O1949" s="107">
        <f>VLOOKUP(G1949,Budget!$E$3:$G$2474,3,0)</f>
        <v>44000</v>
      </c>
      <c r="P1949" s="107">
        <f t="shared" si="767"/>
        <v>44000</v>
      </c>
      <c r="Q1949" s="107"/>
      <c r="R1949" s="10"/>
      <c r="S1949" s="107">
        <v>0</v>
      </c>
      <c r="T1949" s="107">
        <f t="shared" ref="T1949:T2014" si="771">+S1949-N1949</f>
        <v>0</v>
      </c>
      <c r="U1949" s="107"/>
      <c r="V1949" s="175"/>
      <c r="W1949" s="10"/>
      <c r="X1949" s="10"/>
      <c r="Y1949" t="str">
        <f t="shared" si="770"/>
        <v>3683</v>
      </c>
      <c r="AB1949" s="10"/>
      <c r="AC1949" s="10"/>
      <c r="AD1949" s="10"/>
      <c r="AE1949" s="10"/>
      <c r="AF1949" s="10"/>
      <c r="AG1949" s="10"/>
      <c r="AH1949" s="10"/>
      <c r="AI1949" s="10"/>
    </row>
    <row r="1950" spans="1:35">
      <c r="A1950" s="10"/>
      <c r="B1950" s="10" t="str">
        <f t="shared" si="769"/>
        <v>Below the Line2nd Unit</v>
      </c>
      <c r="C1950" t="s">
        <v>20</v>
      </c>
      <c r="D1950" t="s">
        <v>19</v>
      </c>
      <c r="E1950" t="s">
        <v>1419</v>
      </c>
      <c r="F1950" t="s">
        <v>5116</v>
      </c>
      <c r="G1950" t="s">
        <v>2927</v>
      </c>
      <c r="I1950" s="10"/>
      <c r="J1950" s="107">
        <f>SUMIF(Data!C:C,G1950,Data!Q:Q)</f>
        <v>0</v>
      </c>
      <c r="K1950" s="107">
        <f>SUMIF(Comprometidos!A:A,'Cost Report'!G1950,Comprometidos!E:E)</f>
        <v>0</v>
      </c>
      <c r="L1950" s="107">
        <f t="shared" si="765"/>
        <v>0</v>
      </c>
      <c r="M1950" s="107">
        <v>0</v>
      </c>
      <c r="N1950" s="107">
        <f t="shared" si="766"/>
        <v>0</v>
      </c>
      <c r="O1950" s="107">
        <f>VLOOKUP(G1950,Budget!$E$3:$G$2474,3,0)</f>
        <v>11000</v>
      </c>
      <c r="P1950" s="107">
        <f t="shared" si="767"/>
        <v>11000</v>
      </c>
      <c r="Q1950" s="107"/>
      <c r="R1950" s="10"/>
      <c r="S1950" s="107">
        <v>0</v>
      </c>
      <c r="T1950" s="107">
        <f t="shared" si="771"/>
        <v>0</v>
      </c>
      <c r="U1950" s="107"/>
      <c r="V1950" s="175"/>
      <c r="W1950" s="10"/>
      <c r="X1950" s="10"/>
      <c r="Y1950" t="str">
        <f t="shared" si="770"/>
        <v>3683</v>
      </c>
      <c r="AB1950" s="10"/>
      <c r="AC1950" s="10"/>
      <c r="AD1950" s="10"/>
      <c r="AE1950" s="10"/>
      <c r="AF1950" s="10"/>
      <c r="AG1950" s="10"/>
      <c r="AH1950" s="10"/>
      <c r="AI1950" s="10"/>
    </row>
    <row r="1951" spans="1:35">
      <c r="A1951" s="10"/>
      <c r="B1951" s="10" t="str">
        <f t="shared" si="769"/>
        <v>Below the Line</v>
      </c>
      <c r="C1951" t="s">
        <v>20</v>
      </c>
      <c r="D1951" t="s">
        <v>19</v>
      </c>
      <c r="E1951" t="s">
        <v>214</v>
      </c>
      <c r="G1951" t="s">
        <v>2928</v>
      </c>
      <c r="I1951" s="10"/>
      <c r="J1951" s="107">
        <f>SUMIF(Data!C:C,G1951,Data!Q:Q)</f>
        <v>0</v>
      </c>
      <c r="K1951" s="107">
        <f>SUMIF(Comprometidos!A:A,'Cost Report'!G1951,Comprometidos!E:E)</f>
        <v>0</v>
      </c>
      <c r="L1951" s="107">
        <f t="shared" si="765"/>
        <v>0</v>
      </c>
      <c r="M1951" s="107">
        <f t="shared" si="768"/>
        <v>0</v>
      </c>
      <c r="N1951" s="107">
        <f t="shared" si="766"/>
        <v>0</v>
      </c>
      <c r="O1951" s="107">
        <f>VLOOKUP(G1951,Budget!$E$3:$G$2474,3,0)</f>
        <v>0</v>
      </c>
      <c r="P1951" s="107">
        <f t="shared" si="767"/>
        <v>0</v>
      </c>
      <c r="Q1951" s="107"/>
      <c r="R1951" s="10"/>
      <c r="S1951" s="107">
        <v>0</v>
      </c>
      <c r="T1951" s="107">
        <f t="shared" si="771"/>
        <v>0</v>
      </c>
      <c r="U1951" s="107"/>
      <c r="V1951" s="175"/>
      <c r="W1951" s="10"/>
      <c r="X1951" s="10"/>
      <c r="Y1951" t="str">
        <f t="shared" si="770"/>
        <v>3683</v>
      </c>
      <c r="AB1951" s="10"/>
      <c r="AC1951" s="10"/>
      <c r="AD1951" s="10"/>
      <c r="AE1951" s="10"/>
      <c r="AF1951" s="10"/>
      <c r="AG1951" s="10"/>
      <c r="AH1951" s="10"/>
      <c r="AI1951" s="10"/>
    </row>
    <row r="1952" spans="1:35">
      <c r="A1952" s="10"/>
      <c r="B1952" s="10" t="str">
        <f t="shared" si="769"/>
        <v>Below the Line2nd Unit</v>
      </c>
      <c r="C1952" t="s">
        <v>20</v>
      </c>
      <c r="D1952" t="s">
        <v>19</v>
      </c>
      <c r="E1952" t="s">
        <v>1419</v>
      </c>
      <c r="G1952" t="s">
        <v>2929</v>
      </c>
      <c r="I1952" s="10"/>
      <c r="J1952" s="107">
        <f>SUMIF(Data!C:C,G1952,Data!Q:Q)</f>
        <v>0</v>
      </c>
      <c r="K1952" s="107">
        <f>SUMIF(Comprometidos!A:A,'Cost Report'!G1952,Comprometidos!E:E)</f>
        <v>0</v>
      </c>
      <c r="L1952" s="107">
        <f t="shared" si="765"/>
        <v>0</v>
      </c>
      <c r="M1952" s="107">
        <v>0</v>
      </c>
      <c r="N1952" s="107">
        <f t="shared" si="766"/>
        <v>0</v>
      </c>
      <c r="O1952" s="107">
        <f>VLOOKUP(G1952,Budget!$E$3:$G$2474,3,0)</f>
        <v>12000</v>
      </c>
      <c r="P1952" s="107">
        <f t="shared" si="767"/>
        <v>12000</v>
      </c>
      <c r="Q1952" s="107"/>
      <c r="R1952" s="10"/>
      <c r="S1952" s="107">
        <v>0</v>
      </c>
      <c r="T1952" s="107">
        <f t="shared" si="771"/>
        <v>0</v>
      </c>
      <c r="U1952" s="107"/>
      <c r="V1952" s="175"/>
      <c r="W1952" s="10"/>
      <c r="X1952" s="10"/>
      <c r="Y1952" t="str">
        <f t="shared" si="770"/>
        <v>3683</v>
      </c>
      <c r="AB1952" s="10"/>
      <c r="AC1952" s="10"/>
      <c r="AD1952" s="10"/>
      <c r="AE1952" s="10"/>
      <c r="AF1952" s="10"/>
      <c r="AG1952" s="10"/>
      <c r="AH1952" s="10"/>
      <c r="AI1952" s="10"/>
    </row>
    <row r="1953" spans="1:35">
      <c r="A1953" s="10"/>
      <c r="B1953" s="10" t="str">
        <f t="shared" si="769"/>
        <v>Below the Line2nd Unit</v>
      </c>
      <c r="C1953" t="s">
        <v>20</v>
      </c>
      <c r="D1953" t="s">
        <v>19</v>
      </c>
      <c r="E1953" t="s">
        <v>1419</v>
      </c>
      <c r="G1953" t="s">
        <v>2930</v>
      </c>
      <c r="I1953" s="10"/>
      <c r="J1953" s="107">
        <f>SUMIF(Data!C:C,G1953,Data!Q:Q)</f>
        <v>0</v>
      </c>
      <c r="K1953" s="107">
        <f>SUMIF(Comprometidos!A:A,'Cost Report'!G1953,Comprometidos!E:E)</f>
        <v>0</v>
      </c>
      <c r="L1953" s="107">
        <f t="shared" ref="L1953:L1958" si="772">+J1953+K1953</f>
        <v>0</v>
      </c>
      <c r="M1953" s="107"/>
      <c r="N1953" s="107">
        <f t="shared" ref="N1953:N1958" si="773">+L1953+M1953</f>
        <v>0</v>
      </c>
      <c r="O1953" s="107">
        <f>VLOOKUP(G1953,Budget!$E$3:$G$2474,3,0)</f>
        <v>48000</v>
      </c>
      <c r="P1953" s="107">
        <f t="shared" ref="P1953:P1958" si="774">+O1953-N1953</f>
        <v>48000</v>
      </c>
      <c r="Q1953" s="107"/>
      <c r="R1953" s="10"/>
      <c r="S1953" s="107">
        <v>0</v>
      </c>
      <c r="T1953" s="107">
        <f t="shared" si="771"/>
        <v>0</v>
      </c>
      <c r="U1953" s="107"/>
      <c r="V1953" s="175"/>
      <c r="W1953" s="10"/>
      <c r="X1953" s="10"/>
      <c r="Y1953" t="str">
        <f t="shared" si="770"/>
        <v>3683</v>
      </c>
      <c r="AB1953" s="10"/>
      <c r="AC1953" s="10"/>
      <c r="AD1953" s="10"/>
      <c r="AE1953" s="10"/>
      <c r="AF1953" s="10"/>
      <c r="AG1953" s="10"/>
      <c r="AH1953" s="10"/>
      <c r="AI1953" s="10"/>
    </row>
    <row r="1954" spans="1:35">
      <c r="A1954" s="10"/>
      <c r="B1954" s="10" t="str">
        <f t="shared" si="769"/>
        <v>Below the Line2nd Unit</v>
      </c>
      <c r="C1954" t="s">
        <v>20</v>
      </c>
      <c r="D1954" t="s">
        <v>19</v>
      </c>
      <c r="E1954" t="s">
        <v>1419</v>
      </c>
      <c r="G1954" t="s">
        <v>2931</v>
      </c>
      <c r="I1954" s="10"/>
      <c r="J1954" s="107">
        <f>SUMIF(Data!C:C,G1954,Data!Q:Q)</f>
        <v>0</v>
      </c>
      <c r="K1954" s="107">
        <f>SUMIF(Comprometidos!A:A,'Cost Report'!G1954,Comprometidos!E:E)</f>
        <v>0</v>
      </c>
      <c r="L1954" s="107">
        <f t="shared" si="772"/>
        <v>0</v>
      </c>
      <c r="M1954" s="107">
        <v>0</v>
      </c>
      <c r="N1954" s="107">
        <f t="shared" si="773"/>
        <v>0</v>
      </c>
      <c r="O1954" s="107">
        <f>VLOOKUP(G1954,Budget!$E$3:$G$2474,3,0)</f>
        <v>8000</v>
      </c>
      <c r="P1954" s="107">
        <f t="shared" si="774"/>
        <v>8000</v>
      </c>
      <c r="Q1954" s="107"/>
      <c r="R1954" s="10"/>
      <c r="S1954" s="107">
        <v>0</v>
      </c>
      <c r="T1954" s="107">
        <f t="shared" si="771"/>
        <v>0</v>
      </c>
      <c r="U1954" s="107"/>
      <c r="V1954" s="175"/>
      <c r="W1954" s="10"/>
      <c r="X1954" s="10"/>
      <c r="Y1954" t="str">
        <f t="shared" si="770"/>
        <v>3683</v>
      </c>
      <c r="AB1954" s="10"/>
      <c r="AC1954" s="10"/>
      <c r="AD1954" s="10"/>
      <c r="AE1954" s="10"/>
      <c r="AF1954" s="10"/>
      <c r="AG1954" s="10"/>
      <c r="AH1954" s="10"/>
      <c r="AI1954" s="10"/>
    </row>
    <row r="1955" spans="1:35">
      <c r="A1955" s="10"/>
      <c r="B1955" s="10" t="str">
        <f t="shared" si="769"/>
        <v>Below the Line</v>
      </c>
      <c r="C1955" t="s">
        <v>20</v>
      </c>
      <c r="D1955" t="s">
        <v>19</v>
      </c>
      <c r="E1955" t="s">
        <v>214</v>
      </c>
      <c r="G1955" t="s">
        <v>2932</v>
      </c>
      <c r="I1955" s="10"/>
      <c r="J1955" s="107">
        <f>SUMIF(Data!C:C,G1955,Data!Q:Q)</f>
        <v>0</v>
      </c>
      <c r="K1955" s="107">
        <f>SUMIF(Comprometidos!A:A,'Cost Report'!G1955,Comprometidos!E:E)</f>
        <v>0</v>
      </c>
      <c r="L1955" s="107">
        <f t="shared" si="772"/>
        <v>0</v>
      </c>
      <c r="M1955" s="107">
        <f t="shared" si="768"/>
        <v>0</v>
      </c>
      <c r="N1955" s="107">
        <f t="shared" si="773"/>
        <v>0</v>
      </c>
      <c r="O1955" s="107">
        <f>VLOOKUP(G1955,Budget!$E$3:$G$2474,3,0)</f>
        <v>0</v>
      </c>
      <c r="P1955" s="107">
        <f t="shared" si="774"/>
        <v>0</v>
      </c>
      <c r="Q1955" s="107"/>
      <c r="R1955" s="10"/>
      <c r="S1955" s="107">
        <v>0</v>
      </c>
      <c r="T1955" s="107">
        <f t="shared" si="771"/>
        <v>0</v>
      </c>
      <c r="U1955" s="107"/>
      <c r="V1955" s="175"/>
      <c r="W1955" s="10"/>
      <c r="X1955" s="10"/>
      <c r="Y1955" t="str">
        <f t="shared" si="770"/>
        <v>3683</v>
      </c>
      <c r="AB1955" s="10"/>
      <c r="AC1955" s="10"/>
      <c r="AD1955" s="10"/>
      <c r="AE1955" s="10"/>
      <c r="AF1955" s="10"/>
      <c r="AG1955" s="10"/>
      <c r="AH1955" s="10"/>
      <c r="AI1955" s="10"/>
    </row>
    <row r="1956" spans="1:35">
      <c r="A1956" s="10"/>
      <c r="B1956" s="10" t="str">
        <f t="shared" si="769"/>
        <v>Below the Line2nd Unit</v>
      </c>
      <c r="C1956" t="s">
        <v>20</v>
      </c>
      <c r="D1956" t="s">
        <v>19</v>
      </c>
      <c r="E1956" t="s">
        <v>1419</v>
      </c>
      <c r="G1956" t="s">
        <v>2933</v>
      </c>
      <c r="I1956" s="10"/>
      <c r="J1956" s="107">
        <f>SUMIF(Data!C:C,G1956,Data!Q:Q)</f>
        <v>0</v>
      </c>
      <c r="K1956" s="107">
        <f>SUMIF(Comprometidos!A:A,'Cost Report'!G1956,Comprometidos!E:E)</f>
        <v>0</v>
      </c>
      <c r="L1956" s="107">
        <f t="shared" si="772"/>
        <v>0</v>
      </c>
      <c r="M1956" s="107">
        <v>0</v>
      </c>
      <c r="N1956" s="107">
        <f t="shared" si="773"/>
        <v>0</v>
      </c>
      <c r="O1956" s="107">
        <f>VLOOKUP(G1956,Budget!$E$3:$G$2474,3,0)</f>
        <v>11250</v>
      </c>
      <c r="P1956" s="107">
        <f t="shared" si="774"/>
        <v>11250</v>
      </c>
      <c r="Q1956" s="107"/>
      <c r="R1956" s="10"/>
      <c r="S1956" s="107">
        <v>0</v>
      </c>
      <c r="T1956" s="107">
        <f t="shared" si="771"/>
        <v>0</v>
      </c>
      <c r="U1956" s="107"/>
      <c r="V1956" s="175"/>
      <c r="W1956" s="10"/>
      <c r="X1956" s="10"/>
      <c r="Y1956" t="str">
        <f t="shared" si="770"/>
        <v>3683</v>
      </c>
      <c r="AB1956" s="10"/>
      <c r="AC1956" s="10"/>
      <c r="AD1956" s="10"/>
      <c r="AE1956" s="10"/>
      <c r="AF1956" s="10"/>
      <c r="AG1956" s="10"/>
      <c r="AH1956" s="10"/>
      <c r="AI1956" s="10"/>
    </row>
    <row r="1957" spans="1:35">
      <c r="A1957" s="10"/>
      <c r="B1957" s="10" t="str">
        <f t="shared" si="769"/>
        <v>Below the Line2nd Unit</v>
      </c>
      <c r="C1957" t="s">
        <v>20</v>
      </c>
      <c r="D1957" t="s">
        <v>19</v>
      </c>
      <c r="E1957" t="s">
        <v>1419</v>
      </c>
      <c r="G1957" t="s">
        <v>2934</v>
      </c>
      <c r="I1957" s="10"/>
      <c r="J1957" s="107">
        <f>SUMIF(Data!C:C,G1957,Data!Q:Q)</f>
        <v>0</v>
      </c>
      <c r="K1957" s="107">
        <f>SUMIF(Comprometidos!A:A,'Cost Report'!G1957,Comprometidos!E:E)</f>
        <v>0</v>
      </c>
      <c r="L1957" s="107">
        <f t="shared" si="772"/>
        <v>0</v>
      </c>
      <c r="M1957" s="107"/>
      <c r="N1957" s="107">
        <f t="shared" si="773"/>
        <v>0</v>
      </c>
      <c r="O1957" s="107">
        <f>VLOOKUP(G1957,Budget!$E$3:$G$2474,3,0)</f>
        <v>45000</v>
      </c>
      <c r="P1957" s="107">
        <f t="shared" si="774"/>
        <v>45000</v>
      </c>
      <c r="Q1957" s="107"/>
      <c r="R1957" s="10"/>
      <c r="S1957" s="107">
        <v>0</v>
      </c>
      <c r="T1957" s="107">
        <f t="shared" si="771"/>
        <v>0</v>
      </c>
      <c r="U1957" s="107"/>
      <c r="V1957" s="175"/>
      <c r="W1957" s="10"/>
      <c r="X1957" s="10"/>
      <c r="Y1957" t="str">
        <f t="shared" si="770"/>
        <v>3683</v>
      </c>
      <c r="AB1957" s="10"/>
      <c r="AC1957" s="10"/>
      <c r="AD1957" s="10"/>
      <c r="AE1957" s="10"/>
      <c r="AF1957" s="10"/>
      <c r="AG1957" s="10"/>
      <c r="AH1957" s="10"/>
      <c r="AI1957" s="10"/>
    </row>
    <row r="1958" spans="1:35">
      <c r="A1958" s="10"/>
      <c r="B1958" s="10" t="str">
        <f t="shared" si="769"/>
        <v>Below the Line2nd Unit</v>
      </c>
      <c r="C1958" t="s">
        <v>20</v>
      </c>
      <c r="D1958" t="s">
        <v>19</v>
      </c>
      <c r="E1958" t="s">
        <v>1419</v>
      </c>
      <c r="G1958" t="s">
        <v>2935</v>
      </c>
      <c r="I1958" s="10"/>
      <c r="J1958" s="107">
        <f>SUMIF(Data!C:C,G1958,Data!Q:Q)</f>
        <v>0</v>
      </c>
      <c r="K1958" s="107">
        <f>SUMIF(Comprometidos!A:A,'Cost Report'!G1958,Comprometidos!E:E)</f>
        <v>0</v>
      </c>
      <c r="L1958" s="107">
        <f t="shared" si="772"/>
        <v>0</v>
      </c>
      <c r="M1958" s="107">
        <v>0</v>
      </c>
      <c r="N1958" s="107">
        <f t="shared" si="773"/>
        <v>0</v>
      </c>
      <c r="O1958" s="107">
        <f>VLOOKUP(G1958,Budget!$E$3:$G$2474,3,0)</f>
        <v>7500</v>
      </c>
      <c r="P1958" s="107">
        <f t="shared" si="774"/>
        <v>7500</v>
      </c>
      <c r="Q1958" s="107"/>
      <c r="R1958" s="10"/>
      <c r="S1958" s="107">
        <v>0</v>
      </c>
      <c r="T1958" s="107">
        <f t="shared" si="771"/>
        <v>0</v>
      </c>
      <c r="U1958" s="107"/>
      <c r="V1958" s="175"/>
      <c r="W1958" s="10"/>
      <c r="X1958" s="10"/>
      <c r="Y1958" t="str">
        <f t="shared" si="770"/>
        <v>3683</v>
      </c>
      <c r="AB1958" s="10"/>
      <c r="AC1958" s="10"/>
      <c r="AD1958" s="10"/>
      <c r="AE1958" s="10"/>
      <c r="AF1958" s="10"/>
      <c r="AG1958" s="10"/>
      <c r="AH1958" s="10"/>
      <c r="AI1958" s="10"/>
    </row>
    <row r="1959" spans="1:35">
      <c r="A1959" s="10"/>
      <c r="B1959" s="10" t="str">
        <f t="shared" si="769"/>
        <v>Below the Line2nd Unit</v>
      </c>
      <c r="C1959" t="s">
        <v>20</v>
      </c>
      <c r="D1959" t="s">
        <v>19</v>
      </c>
      <c r="E1959" t="s">
        <v>1419</v>
      </c>
      <c r="F1959" t="s">
        <v>5116</v>
      </c>
      <c r="G1959" t="s">
        <v>3413</v>
      </c>
      <c r="I1959" s="10"/>
      <c r="J1959" s="107">
        <f>SUMIF(Data!C:C,G1959,Data!Q:Q)</f>
        <v>285530.46000000008</v>
      </c>
      <c r="K1959" s="107">
        <f>SUMIF(Comprometidos!A:A,'Cost Report'!G1959,Comprometidos!E:E)</f>
        <v>0</v>
      </c>
      <c r="L1959" s="107">
        <f t="shared" ref="L1959" si="775">+J1959+K1959</f>
        <v>285530.46000000008</v>
      </c>
      <c r="M1959" s="107">
        <v>0</v>
      </c>
      <c r="N1959" s="107">
        <f t="shared" ref="N1959" si="776">+L1959+M1959</f>
        <v>285530.46000000008</v>
      </c>
      <c r="O1959" s="107">
        <f>VLOOKUP(G1959,Budget!$E$3:$G$2474,3,0)</f>
        <v>0</v>
      </c>
      <c r="P1959" s="107">
        <f t="shared" ref="P1959" si="777">+O1959-N1959</f>
        <v>-285530.46000000008</v>
      </c>
      <c r="Q1959" s="107"/>
      <c r="R1959" s="10"/>
      <c r="S1959" s="107">
        <v>285530.46000000008</v>
      </c>
      <c r="T1959" s="107">
        <f t="shared" ref="T1959" si="778">+S1959-N1959</f>
        <v>0</v>
      </c>
      <c r="U1959" s="107"/>
      <c r="V1959" s="175"/>
      <c r="W1959" s="10"/>
      <c r="X1959" s="10"/>
      <c r="Y1959" t="str">
        <f t="shared" ref="Y1959" si="779">LEFT(G1959,4)</f>
        <v>3683</v>
      </c>
      <c r="AB1959" s="10"/>
      <c r="AC1959" s="10"/>
      <c r="AD1959" s="10"/>
      <c r="AE1959" s="10"/>
      <c r="AF1959" s="10"/>
      <c r="AG1959" s="10"/>
      <c r="AH1959" s="10"/>
      <c r="AI1959" s="10"/>
    </row>
    <row r="1960" spans="1:35">
      <c r="A1960" s="10"/>
      <c r="B1960" s="10" t="str">
        <f t="shared" si="769"/>
        <v>Below the LineALL SHOW</v>
      </c>
      <c r="C1960" t="s">
        <v>20</v>
      </c>
      <c r="D1960" t="s">
        <v>19</v>
      </c>
      <c r="E1960" t="s">
        <v>227</v>
      </c>
      <c r="F1960" t="s">
        <v>5116</v>
      </c>
      <c r="G1960" t="s">
        <v>3798</v>
      </c>
      <c r="I1960" s="10"/>
      <c r="J1960" s="107">
        <f>SUMIF(Data!C:C,G1960,Data!Q:Q)</f>
        <v>72998</v>
      </c>
      <c r="K1960" s="107">
        <f>SUMIF(Comprometidos!A:A,'Cost Report'!G1960,Comprometidos!E:E)</f>
        <v>0</v>
      </c>
      <c r="L1960" s="107">
        <f t="shared" ref="L1960" si="780">+J1960+K1960</f>
        <v>72998</v>
      </c>
      <c r="M1960" s="107">
        <v>0</v>
      </c>
      <c r="N1960" s="107">
        <f t="shared" ref="N1960" si="781">+L1960+M1960</f>
        <v>72998</v>
      </c>
      <c r="O1960" s="107">
        <f>VLOOKUP(G1960,Budget!$E$3:$G$2474,3,0)</f>
        <v>0</v>
      </c>
      <c r="P1960" s="107">
        <f t="shared" ref="P1960" si="782">+O1960-N1960</f>
        <v>-72998</v>
      </c>
      <c r="Q1960" s="107"/>
      <c r="R1960" s="10"/>
      <c r="S1960" s="107">
        <v>72998</v>
      </c>
      <c r="T1960" s="107">
        <f t="shared" ref="T1960" si="783">+S1960-N1960</f>
        <v>0</v>
      </c>
      <c r="U1960" s="107"/>
      <c r="V1960" s="175"/>
      <c r="W1960" s="10"/>
      <c r="X1960" s="10"/>
      <c r="Y1960" t="str">
        <f t="shared" ref="Y1960" si="784">LEFT(G1960,4)</f>
        <v>3683</v>
      </c>
      <c r="AB1960" s="10"/>
      <c r="AC1960" s="10"/>
      <c r="AD1960" s="10"/>
      <c r="AE1960" s="10"/>
      <c r="AF1960" s="10"/>
      <c r="AG1960" s="10"/>
      <c r="AH1960" s="10"/>
      <c r="AI1960" s="10"/>
    </row>
    <row r="1961" spans="1:35">
      <c r="A1961" s="10"/>
      <c r="B1961" s="10" t="str">
        <f>+C1961</f>
        <v>Below the Line</v>
      </c>
      <c r="C1961" s="128" t="s">
        <v>20</v>
      </c>
      <c r="D1961" s="128" t="s">
        <v>2117</v>
      </c>
      <c r="E1961" s="128"/>
      <c r="F1961" s="128"/>
      <c r="G1961" s="128" t="s">
        <v>1102</v>
      </c>
      <c r="H1961" s="128"/>
      <c r="I1961" s="10"/>
      <c r="J1961" s="129">
        <f>SUMIF($Y$11:$Y$2484,G1961,J$11:J$2484)</f>
        <v>174781</v>
      </c>
      <c r="K1961" s="129">
        <f>SUMIF($Y$11:$Y$2484,G1961,K$11:K$2484)</f>
        <v>0</v>
      </c>
      <c r="L1961" s="129">
        <f>SUMIF($Y$11:$Y$2484,G1961,L$11:L$2484)</f>
        <v>174781</v>
      </c>
      <c r="M1961" s="129">
        <f>SUMIF($Y$11:$Y$2484,G1961,M$11:M$2484)</f>
        <v>0</v>
      </c>
      <c r="N1961" s="129">
        <f>SUMIF($Y$11:$Y$2484,G1961,N$11:N$2484)</f>
        <v>174781</v>
      </c>
      <c r="O1961" s="129">
        <f>SUMIF($Y$11:$Y$2484,G1961,O$11:O$2484)</f>
        <v>50000</v>
      </c>
      <c r="P1961" s="129">
        <f>SUMIF($Y$11:$Y$2484,G1961,P$11:P$2484)</f>
        <v>-124781</v>
      </c>
      <c r="Q1961" s="129"/>
      <c r="R1961" s="10"/>
      <c r="S1961" s="129">
        <v>174781</v>
      </c>
      <c r="T1961" s="129">
        <f t="shared" si="771"/>
        <v>0</v>
      </c>
      <c r="U1961" s="128"/>
      <c r="V1961" s="175"/>
      <c r="W1961" s="10"/>
      <c r="X1961" s="10"/>
      <c r="Z1961" t="str">
        <f>LEFT(G1961,2)</f>
        <v>36</v>
      </c>
      <c r="AA1961" t="str">
        <f>+Z1961&amp;"00"</f>
        <v>3600</v>
      </c>
      <c r="AB1961" s="10"/>
      <c r="AC1961" s="10"/>
      <c r="AD1961" s="10"/>
      <c r="AE1961" s="10"/>
      <c r="AF1961" s="10"/>
      <c r="AG1961" s="10"/>
      <c r="AH1961" s="10"/>
      <c r="AI1961" s="10"/>
    </row>
    <row r="1962" spans="1:35">
      <c r="A1962" s="10"/>
      <c r="B1962" s="10" t="str">
        <f t="shared" ref="B1962:B1963" si="785">+C1962&amp;E1962</f>
        <v>Below the Line</v>
      </c>
      <c r="C1962" t="s">
        <v>20</v>
      </c>
      <c r="D1962" t="s">
        <v>19</v>
      </c>
      <c r="E1962" t="s">
        <v>214</v>
      </c>
      <c r="G1962" t="s">
        <v>1103</v>
      </c>
      <c r="I1962" s="10"/>
      <c r="J1962" s="107">
        <f>SUMIF(Data!C:C,G1962,Data!Q:Q)</f>
        <v>0</v>
      </c>
      <c r="K1962" s="107">
        <f>SUMIF(Comprometidos!A:A,'Cost Report'!G1962,Comprometidos!E:E)</f>
        <v>0</v>
      </c>
      <c r="L1962" s="107">
        <f t="shared" ref="L1962:L2018" si="786">+J1962+K1962</f>
        <v>0</v>
      </c>
      <c r="M1962" s="107">
        <f t="shared" ref="M1962:M2017" si="787">+O1962-L1962</f>
        <v>0</v>
      </c>
      <c r="N1962" s="107">
        <f t="shared" ref="N1962:N2018" si="788">+L1962+M1962</f>
        <v>0</v>
      </c>
      <c r="O1962" s="107">
        <f>VLOOKUP(G1962,Budget!$E$3:$G$2474,3,0)</f>
        <v>0</v>
      </c>
      <c r="P1962" s="107">
        <f t="shared" ref="P1962:P2018" si="789">+O1962-N1962</f>
        <v>0</v>
      </c>
      <c r="Q1962" s="107"/>
      <c r="R1962" s="10"/>
      <c r="S1962" s="107">
        <v>0</v>
      </c>
      <c r="T1962" s="107">
        <f t="shared" si="771"/>
        <v>0</v>
      </c>
      <c r="U1962" s="107"/>
      <c r="V1962" s="175"/>
      <c r="W1962" s="10"/>
      <c r="X1962" s="10"/>
      <c r="Y1962" t="str">
        <f t="shared" ref="Y1962:Y1963" si="790">LEFT(G1962,4)</f>
        <v>3698</v>
      </c>
      <c r="AB1962" s="10"/>
      <c r="AC1962" s="10"/>
      <c r="AD1962" s="10"/>
      <c r="AE1962" s="10"/>
      <c r="AF1962" s="10"/>
      <c r="AG1962" s="10"/>
      <c r="AH1962" s="10"/>
      <c r="AI1962" s="10"/>
    </row>
    <row r="1963" spans="1:35">
      <c r="A1963" s="10"/>
      <c r="B1963" s="10" t="str">
        <f t="shared" si="785"/>
        <v>Below the LineSHOOT</v>
      </c>
      <c r="C1963" t="s">
        <v>20</v>
      </c>
      <c r="D1963" t="s">
        <v>19</v>
      </c>
      <c r="E1963" t="s">
        <v>236</v>
      </c>
      <c r="G1963" t="s">
        <v>2936</v>
      </c>
      <c r="I1963" s="10"/>
      <c r="J1963" s="107">
        <f>SUMIF(Data!C:C,G1963,Data!Q:Q)</f>
        <v>174781</v>
      </c>
      <c r="K1963" s="107">
        <f>SUMIF(Comprometidos!A:A,'Cost Report'!G1963,Comprometidos!E:E)</f>
        <v>0</v>
      </c>
      <c r="L1963" s="107">
        <f t="shared" si="786"/>
        <v>174781</v>
      </c>
      <c r="M1963" s="107">
        <v>0</v>
      </c>
      <c r="N1963" s="107">
        <f t="shared" si="788"/>
        <v>174781</v>
      </c>
      <c r="O1963" s="107">
        <f>VLOOKUP(G1963,Budget!$E$3:$G$2474,3,0)</f>
        <v>50000</v>
      </c>
      <c r="P1963" s="107">
        <f t="shared" si="789"/>
        <v>-124781</v>
      </c>
      <c r="Q1963" s="107"/>
      <c r="R1963" s="10"/>
      <c r="S1963" s="107">
        <v>174781</v>
      </c>
      <c r="T1963" s="107">
        <f t="shared" si="771"/>
        <v>0</v>
      </c>
      <c r="U1963" s="107"/>
      <c r="V1963" s="175"/>
      <c r="W1963" s="10"/>
      <c r="X1963" s="10"/>
      <c r="Y1963" t="str">
        <f t="shared" si="790"/>
        <v>3698</v>
      </c>
      <c r="AB1963" s="10"/>
      <c r="AC1963" s="10"/>
      <c r="AD1963" s="10"/>
      <c r="AE1963" s="10"/>
      <c r="AF1963" s="10"/>
      <c r="AG1963" s="10"/>
      <c r="AH1963" s="10"/>
      <c r="AI1963" s="10"/>
    </row>
    <row r="1964" spans="1:35">
      <c r="A1964" s="10"/>
      <c r="B1964" s="10"/>
      <c r="C1964" s="170" t="s">
        <v>20</v>
      </c>
      <c r="D1964" s="170" t="s">
        <v>8</v>
      </c>
      <c r="E1964" s="170"/>
      <c r="F1964" s="170"/>
      <c r="G1964" s="170" t="s">
        <v>1104</v>
      </c>
      <c r="H1964" s="170"/>
      <c r="I1964" s="10"/>
      <c r="J1964" s="169">
        <f>SUMIF($AA$10:$AA$2484,G1964,J$10:J$2484)</f>
        <v>896400</v>
      </c>
      <c r="K1964" s="169">
        <f>SUMIF($AA$10:$AA$2484,G1964,K$10:K$2484)</f>
        <v>0</v>
      </c>
      <c r="L1964" s="169">
        <f>SUMIF($AA$10:$AA$2484,G1964,L$10:L$2484)</f>
        <v>896400</v>
      </c>
      <c r="M1964" s="169">
        <f>SUMIF($AA$10:$AA$2484,G1964,M$10:M$2484)</f>
        <v>0</v>
      </c>
      <c r="N1964" s="169">
        <f>SUMIF($AA$10:$AA$2484,G1964,N$10:N$2484)</f>
        <v>896400</v>
      </c>
      <c r="O1964" s="169">
        <f>SUMIF($AA$10:$AA$2484,G1964,O$10:O$2484)</f>
        <v>810000</v>
      </c>
      <c r="P1964" s="168">
        <f>SUMIF($AA$10:$AA$2484,G1964,P$10:P$2484)</f>
        <v>-86400</v>
      </c>
      <c r="Q1964" s="169"/>
      <c r="R1964" s="10"/>
      <c r="S1964" s="164">
        <v>896400</v>
      </c>
      <c r="T1964" s="164">
        <f t="shared" si="771"/>
        <v>0</v>
      </c>
      <c r="U1964" s="163"/>
      <c r="V1964" s="175"/>
      <c r="W1964" s="10"/>
      <c r="X1964" s="10"/>
      <c r="AB1964" s="10"/>
      <c r="AC1964" s="10"/>
      <c r="AD1964" s="10"/>
      <c r="AE1964" s="10"/>
      <c r="AF1964" s="10"/>
      <c r="AG1964" s="10"/>
      <c r="AH1964" s="10"/>
      <c r="AI1964" s="10"/>
    </row>
    <row r="1965" spans="1:35">
      <c r="A1965" s="10"/>
      <c r="B1965" s="10" t="str">
        <f>+C1965</f>
        <v>Below the Line</v>
      </c>
      <c r="C1965" s="128" t="s">
        <v>20</v>
      </c>
      <c r="D1965" s="128" t="s">
        <v>2117</v>
      </c>
      <c r="E1965" s="128"/>
      <c r="F1965" s="128"/>
      <c r="G1965" s="128" t="s">
        <v>2937</v>
      </c>
      <c r="H1965" s="128"/>
      <c r="I1965" s="10"/>
      <c r="J1965" s="129">
        <f>SUMIF($Y$11:$Y$2484,G1965,J$11:J$2484)</f>
        <v>16400</v>
      </c>
      <c r="K1965" s="129">
        <f>SUMIF($Y$11:$Y$2484,G1965,K$11:K$2484)</f>
        <v>0</v>
      </c>
      <c r="L1965" s="129">
        <f>SUMIF($Y$11:$Y$2484,G1965,L$11:L$2484)</f>
        <v>16400</v>
      </c>
      <c r="M1965" s="129">
        <f>SUMIF($Y$11:$Y$2484,G1965,M$11:M$2484)</f>
        <v>0</v>
      </c>
      <c r="N1965" s="129">
        <f>SUMIF($Y$11:$Y$2484,G1965,N$11:N$2484)</f>
        <v>16400</v>
      </c>
      <c r="O1965" s="129">
        <f>SUMIF($Y$11:$Y$2484,G1965,O$11:O$2484)</f>
        <v>90000</v>
      </c>
      <c r="P1965" s="129">
        <f>SUMIF($Y$11:$Y$2484,G1965,P$11:P$2484)</f>
        <v>73600</v>
      </c>
      <c r="Q1965" s="129"/>
      <c r="R1965" s="10"/>
      <c r="S1965" s="129">
        <v>16400</v>
      </c>
      <c r="T1965" s="129">
        <f t="shared" si="771"/>
        <v>0</v>
      </c>
      <c r="U1965" s="128"/>
      <c r="V1965" s="175"/>
      <c r="W1965" s="10"/>
      <c r="X1965" s="10"/>
      <c r="Z1965" t="str">
        <f>LEFT(G1965,2)</f>
        <v>37</v>
      </c>
      <c r="AA1965" t="str">
        <f>+Z1965&amp;"00"</f>
        <v>3700</v>
      </c>
      <c r="AB1965" s="10"/>
      <c r="AC1965" s="10"/>
      <c r="AD1965" s="10"/>
      <c r="AE1965" s="10"/>
      <c r="AF1965" s="10"/>
      <c r="AG1965" s="10"/>
      <c r="AH1965" s="10"/>
      <c r="AI1965" s="10"/>
    </row>
    <row r="1966" spans="1:35">
      <c r="A1966" s="10"/>
      <c r="B1966" s="10" t="str">
        <f t="shared" ref="B1966:B1967" si="791">+C1966&amp;E1966</f>
        <v>Below the Line</v>
      </c>
      <c r="C1966" t="s">
        <v>20</v>
      </c>
      <c r="D1966" t="s">
        <v>19</v>
      </c>
      <c r="E1966" t="s">
        <v>214</v>
      </c>
      <c r="G1966" t="s">
        <v>2938</v>
      </c>
      <c r="I1966" s="10"/>
      <c r="J1966" s="107">
        <f>SUMIF(Data!C:C,G1966,Data!Q:Q)</f>
        <v>0</v>
      </c>
      <c r="K1966" s="107">
        <f>SUMIF(Comprometidos!A:A,'Cost Report'!G1966,Comprometidos!E:E)</f>
        <v>0</v>
      </c>
      <c r="L1966" s="107">
        <f t="shared" si="786"/>
        <v>0</v>
      </c>
      <c r="M1966" s="107">
        <f t="shared" si="787"/>
        <v>0</v>
      </c>
      <c r="N1966" s="107">
        <f t="shared" si="788"/>
        <v>0</v>
      </c>
      <c r="O1966" s="107">
        <f>VLOOKUP(G1966,Budget!$E$3:$G$2474,3,0)</f>
        <v>0</v>
      </c>
      <c r="P1966" s="107">
        <f t="shared" si="789"/>
        <v>0</v>
      </c>
      <c r="Q1966" s="107"/>
      <c r="R1966" s="10"/>
      <c r="S1966" s="107">
        <v>0</v>
      </c>
      <c r="T1966" s="107">
        <f t="shared" si="771"/>
        <v>0</v>
      </c>
      <c r="U1966" s="107"/>
      <c r="V1966" s="175"/>
      <c r="W1966" s="10"/>
      <c r="X1966" s="10"/>
      <c r="Y1966" t="str">
        <f t="shared" ref="Y1966:Y1967" si="792">LEFT(G1966,4)</f>
        <v>3716</v>
      </c>
      <c r="AB1966" s="10"/>
      <c r="AC1966" s="10"/>
      <c r="AD1966" s="10"/>
      <c r="AE1966" s="10"/>
      <c r="AF1966" s="10"/>
      <c r="AG1966" s="10"/>
      <c r="AH1966" s="10"/>
      <c r="AI1966" s="10"/>
    </row>
    <row r="1967" spans="1:35">
      <c r="A1967" s="10"/>
      <c r="B1967" s="10" t="str">
        <f t="shared" si="791"/>
        <v>Below the LineALL SHOW</v>
      </c>
      <c r="C1967" t="s">
        <v>20</v>
      </c>
      <c r="D1967" t="s">
        <v>19</v>
      </c>
      <c r="E1967" t="s">
        <v>227</v>
      </c>
      <c r="G1967" t="s">
        <v>2939</v>
      </c>
      <c r="I1967" s="10"/>
      <c r="J1967" s="107">
        <f>SUMIF(Data!C:C,G1967,Data!Q:Q)</f>
        <v>16400</v>
      </c>
      <c r="K1967" s="107">
        <f>SUMIF(Comprometidos!A:A,'Cost Report'!G1967,Comprometidos!E:E)</f>
        <v>0</v>
      </c>
      <c r="L1967" s="107">
        <f t="shared" si="786"/>
        <v>16400</v>
      </c>
      <c r="M1967" s="107">
        <v>0</v>
      </c>
      <c r="N1967" s="107">
        <f t="shared" si="788"/>
        <v>16400</v>
      </c>
      <c r="O1967" s="107">
        <f>VLOOKUP(G1967,Budget!$E$3:$G$2474,3,0)</f>
        <v>90000</v>
      </c>
      <c r="P1967" s="107">
        <f t="shared" si="789"/>
        <v>73600</v>
      </c>
      <c r="Q1967" s="107"/>
      <c r="R1967" s="10"/>
      <c r="S1967" s="107">
        <v>16400</v>
      </c>
      <c r="T1967" s="107">
        <f t="shared" si="771"/>
        <v>0</v>
      </c>
      <c r="U1967" s="107"/>
      <c r="V1967" s="175"/>
      <c r="W1967" s="10"/>
      <c r="X1967" s="10"/>
      <c r="Y1967" t="str">
        <f t="shared" si="792"/>
        <v>3716</v>
      </c>
      <c r="AB1967" s="10"/>
      <c r="AC1967" s="10"/>
      <c r="AD1967" s="10"/>
      <c r="AE1967" s="10"/>
      <c r="AF1967" s="10"/>
      <c r="AG1967" s="10"/>
      <c r="AH1967" s="10"/>
      <c r="AI1967" s="10"/>
    </row>
    <row r="1968" spans="1:35">
      <c r="A1968" s="10"/>
      <c r="B1968" s="10" t="str">
        <f>+C1968</f>
        <v>Below the Line</v>
      </c>
      <c r="C1968" s="128" t="s">
        <v>20</v>
      </c>
      <c r="D1968" s="128" t="s">
        <v>2117</v>
      </c>
      <c r="E1968" s="128"/>
      <c r="F1968" s="128"/>
      <c r="G1968" s="128" t="s">
        <v>2940</v>
      </c>
      <c r="H1968" s="128"/>
      <c r="I1968" s="10"/>
      <c r="J1968" s="129">
        <f>SUMIF($Y$11:$Y$2484,G1968,J$11:J$2484)</f>
        <v>880000</v>
      </c>
      <c r="K1968" s="129">
        <f>SUMIF($Y$11:$Y$2484,G1968,K$11:K$2484)</f>
        <v>0</v>
      </c>
      <c r="L1968" s="129">
        <f>SUMIF($Y$11:$Y$2484,G1968,L$11:L$2484)</f>
        <v>880000</v>
      </c>
      <c r="M1968" s="129">
        <f>SUMIF($Y$11:$Y$2484,G1968,M$11:M$2484)</f>
        <v>0</v>
      </c>
      <c r="N1968" s="129">
        <f>SUMIF($Y$11:$Y$2484,G1968,N$11:N$2484)</f>
        <v>880000</v>
      </c>
      <c r="O1968" s="129">
        <f>SUMIF($Y$11:$Y$2484,G1968,O$11:O$2484)</f>
        <v>720000</v>
      </c>
      <c r="P1968" s="129">
        <f>SUMIF($Y$11:$Y$2484,G1968,P$11:P$2484)</f>
        <v>-160000</v>
      </c>
      <c r="Q1968" s="129"/>
      <c r="R1968" s="10"/>
      <c r="S1968" s="129">
        <v>880000</v>
      </c>
      <c r="T1968" s="129">
        <f t="shared" si="771"/>
        <v>0</v>
      </c>
      <c r="U1968" s="128"/>
      <c r="V1968" s="175"/>
      <c r="W1968" s="10"/>
      <c r="X1968" s="10"/>
      <c r="Z1968" t="str">
        <f>LEFT(G1968,2)</f>
        <v>37</v>
      </c>
      <c r="AA1968" t="str">
        <f>+Z1968&amp;"00"</f>
        <v>3700</v>
      </c>
      <c r="AB1968" s="10"/>
      <c r="AC1968" s="10"/>
      <c r="AD1968" s="10"/>
      <c r="AE1968" s="10"/>
      <c r="AF1968" s="10"/>
      <c r="AG1968" s="10"/>
      <c r="AH1968" s="10"/>
      <c r="AI1968" s="10"/>
    </row>
    <row r="1969" spans="1:35">
      <c r="A1969" s="10"/>
      <c r="B1969" s="10" t="str">
        <f t="shared" ref="B1969:B1970" si="793">+C1969&amp;E1969</f>
        <v>Below the Line</v>
      </c>
      <c r="C1969" t="s">
        <v>20</v>
      </c>
      <c r="D1969" t="s">
        <v>19</v>
      </c>
      <c r="E1969" t="s">
        <v>214</v>
      </c>
      <c r="G1969" t="s">
        <v>2941</v>
      </c>
      <c r="I1969" s="10"/>
      <c r="J1969" s="107">
        <f>SUMIF(Data!C:C,G1969,Data!Q:Q)</f>
        <v>0</v>
      </c>
      <c r="K1969" s="107">
        <f>SUMIF(Comprometidos!A:A,'Cost Report'!G1969,Comprometidos!E:E)</f>
        <v>0</v>
      </c>
      <c r="L1969" s="107">
        <f t="shared" si="786"/>
        <v>0</v>
      </c>
      <c r="M1969" s="107">
        <f t="shared" si="787"/>
        <v>0</v>
      </c>
      <c r="N1969" s="107">
        <f t="shared" si="788"/>
        <v>0</v>
      </c>
      <c r="O1969" s="107">
        <f>VLOOKUP(G1969,Budget!$E$3:$G$2474,3,0)</f>
        <v>0</v>
      </c>
      <c r="P1969" s="107">
        <f t="shared" si="789"/>
        <v>0</v>
      </c>
      <c r="Q1969" s="107"/>
      <c r="R1969" s="10"/>
      <c r="S1969" s="107">
        <v>0</v>
      </c>
      <c r="T1969" s="107">
        <f t="shared" si="771"/>
        <v>0</v>
      </c>
      <c r="U1969" s="107"/>
      <c r="V1969" s="175"/>
      <c r="W1969" s="10"/>
      <c r="X1969" s="10"/>
      <c r="Y1969" t="str">
        <f t="shared" ref="Y1969:Y1970" si="794">LEFT(G1969,4)</f>
        <v>3793</v>
      </c>
      <c r="AB1969" s="10"/>
      <c r="AC1969" s="10"/>
      <c r="AD1969" s="10"/>
      <c r="AE1969" s="10"/>
      <c r="AF1969" s="10"/>
      <c r="AG1969" s="10"/>
      <c r="AH1969" s="10"/>
      <c r="AI1969" s="10"/>
    </row>
    <row r="1970" spans="1:35">
      <c r="A1970" s="10"/>
      <c r="B1970" s="10" t="str">
        <f t="shared" si="793"/>
        <v>Below the LineALL SHOW</v>
      </c>
      <c r="C1970" t="s">
        <v>20</v>
      </c>
      <c r="D1970" t="s">
        <v>19</v>
      </c>
      <c r="E1970" t="s">
        <v>227</v>
      </c>
      <c r="G1970" t="s">
        <v>2942</v>
      </c>
      <c r="I1970" s="10"/>
      <c r="J1970" s="107">
        <f>SUMIF(Data!C:C,G1970,Data!Q:Q)</f>
        <v>880000</v>
      </c>
      <c r="K1970" s="107">
        <f>SUMIF(Comprometidos!A:A,'Cost Report'!G1970,Comprometidos!E:E)</f>
        <v>0</v>
      </c>
      <c r="L1970" s="107">
        <f t="shared" si="786"/>
        <v>880000</v>
      </c>
      <c r="M1970" s="107">
        <f>+O1970-L1970+160000</f>
        <v>0</v>
      </c>
      <c r="N1970" s="107">
        <f t="shared" si="788"/>
        <v>880000</v>
      </c>
      <c r="O1970" s="107">
        <f>VLOOKUP(G1970,Budget!$E$3:$G$2474,3,0)</f>
        <v>720000</v>
      </c>
      <c r="P1970" s="107">
        <f t="shared" si="789"/>
        <v>-160000</v>
      </c>
      <c r="Q1970" s="107"/>
      <c r="R1970" s="10"/>
      <c r="S1970" s="107">
        <v>880000</v>
      </c>
      <c r="T1970" s="107">
        <f t="shared" si="771"/>
        <v>0</v>
      </c>
      <c r="U1970" s="107"/>
      <c r="V1970" s="175"/>
      <c r="W1970" s="10"/>
      <c r="X1970" s="10"/>
      <c r="Y1970" t="str">
        <f t="shared" si="794"/>
        <v>3793</v>
      </c>
      <c r="AB1970" s="10"/>
      <c r="AC1970" s="10"/>
      <c r="AD1970" s="10"/>
      <c r="AE1970" s="10"/>
      <c r="AF1970" s="10"/>
      <c r="AG1970" s="10"/>
      <c r="AH1970" s="10"/>
      <c r="AI1970" s="10"/>
    </row>
    <row r="1971" spans="1:35">
      <c r="A1971" s="10"/>
      <c r="B1971" s="10"/>
      <c r="C1971" s="170" t="s">
        <v>20</v>
      </c>
      <c r="D1971" s="170" t="s">
        <v>8</v>
      </c>
      <c r="E1971" s="170"/>
      <c r="F1971" s="170"/>
      <c r="G1971" s="170" t="s">
        <v>1105</v>
      </c>
      <c r="H1971" s="170"/>
      <c r="I1971" s="10"/>
      <c r="J1971" s="169">
        <f>SUMIF($AA$10:$AA$2484,G1971,J$10:J$2484)</f>
        <v>656977.98</v>
      </c>
      <c r="K1971" s="169">
        <f>SUMIF($AA$10:$AA$2484,G1971,K$10:K$2484)</f>
        <v>0</v>
      </c>
      <c r="L1971" s="169">
        <f>SUMIF($AA$10:$AA$2484,G1971,L$10:L$2484)</f>
        <v>656977.98</v>
      </c>
      <c r="M1971" s="169">
        <f>SUMIF($AA$10:$AA$2484,G1971,M$10:M$2484)</f>
        <v>0</v>
      </c>
      <c r="N1971" s="169">
        <f>SUMIF($AA$10:$AA$2484,G1971,N$10:N$2484)</f>
        <v>656977.98</v>
      </c>
      <c r="O1971" s="169">
        <f>SUMIF($AA$10:$AA$2484,G1971,O$10:O$2484)</f>
        <v>747018.96</v>
      </c>
      <c r="P1971" s="168">
        <f>SUMIF($AA$10:$AA$2484,G1971,P$10:P$2484)</f>
        <v>90040.98000000001</v>
      </c>
      <c r="Q1971" s="169"/>
      <c r="R1971" s="10"/>
      <c r="S1971" s="164">
        <v>656977.98</v>
      </c>
      <c r="T1971" s="164">
        <f t="shared" si="771"/>
        <v>0</v>
      </c>
      <c r="U1971" s="163"/>
      <c r="V1971" s="175"/>
      <c r="W1971" s="10"/>
      <c r="X1971" s="10"/>
      <c r="AB1971" s="10"/>
      <c r="AC1971" s="10"/>
      <c r="AD1971" s="10"/>
      <c r="AE1971" s="10"/>
      <c r="AF1971" s="10"/>
      <c r="AG1971" s="10"/>
      <c r="AH1971" s="10"/>
      <c r="AI1971" s="10"/>
    </row>
    <row r="1972" spans="1:35">
      <c r="A1972" s="10"/>
      <c r="B1972" s="10" t="str">
        <f>+C1972</f>
        <v>Below the Line</v>
      </c>
      <c r="C1972" s="128" t="s">
        <v>20</v>
      </c>
      <c r="D1972" s="128" t="s">
        <v>2117</v>
      </c>
      <c r="E1972" s="128"/>
      <c r="F1972" s="128"/>
      <c r="G1972" s="128" t="s">
        <v>1106</v>
      </c>
      <c r="H1972" s="128"/>
      <c r="I1972" s="10"/>
      <c r="J1972" s="129">
        <f>SUMIF($Y$11:$Y$2484,G1972,J$11:J$2484)</f>
        <v>438400</v>
      </c>
      <c r="K1972" s="129">
        <f>SUMIF($Y$11:$Y$2484,G1972,K$11:K$2484)</f>
        <v>0</v>
      </c>
      <c r="L1972" s="129">
        <f>SUMIF($Y$11:$Y$2484,G1972,L$11:L$2484)</f>
        <v>438400</v>
      </c>
      <c r="M1972" s="129">
        <f>SUMIF($Y$11:$Y$2484,G1972,M$11:M$2484)</f>
        <v>0</v>
      </c>
      <c r="N1972" s="129">
        <f>SUMIF($Y$11:$Y$2484,G1972,N$11:N$2484)</f>
        <v>438400</v>
      </c>
      <c r="O1972" s="129">
        <f>SUMIF($Y$11:$Y$2484,G1972,O$11:O$2484)</f>
        <v>438400</v>
      </c>
      <c r="P1972" s="129">
        <f>SUMIF($Y$11:$Y$2484,G1972,P$11:P$2484)</f>
        <v>0</v>
      </c>
      <c r="Q1972" s="129"/>
      <c r="R1972" s="10"/>
      <c r="S1972" s="129">
        <v>438400</v>
      </c>
      <c r="T1972" s="129">
        <f t="shared" si="771"/>
        <v>0</v>
      </c>
      <c r="U1972" s="128"/>
      <c r="V1972" s="175"/>
      <c r="W1972" s="10"/>
      <c r="X1972" s="10"/>
      <c r="Z1972" t="str">
        <f>LEFT(G1972,2)</f>
        <v>38</v>
      </c>
      <c r="AA1972" t="str">
        <f>+Z1972&amp;"00"</f>
        <v>3800</v>
      </c>
      <c r="AB1972" s="10"/>
      <c r="AC1972" s="10"/>
      <c r="AD1972" s="10"/>
      <c r="AE1972" s="10"/>
      <c r="AF1972" s="10"/>
      <c r="AG1972" s="10"/>
      <c r="AH1972" s="10"/>
      <c r="AI1972" s="10"/>
    </row>
    <row r="1973" spans="1:35">
      <c r="A1973" s="10"/>
      <c r="B1973" s="10" t="str">
        <f t="shared" ref="B1973:B1979" si="795">+C1973&amp;E1973</f>
        <v>Below the Line</v>
      </c>
      <c r="C1973" t="s">
        <v>20</v>
      </c>
      <c r="D1973" t="s">
        <v>19</v>
      </c>
      <c r="E1973" t="s">
        <v>214</v>
      </c>
      <c r="G1973" t="s">
        <v>1107</v>
      </c>
      <c r="I1973" s="10"/>
      <c r="J1973" s="107">
        <f>SUMIF(Data!C:C,G1973,Data!Q:Q)</f>
        <v>0</v>
      </c>
      <c r="K1973" s="107">
        <f>SUMIF(Comprometidos!A:A,'Cost Report'!G1973,Comprometidos!E:E)</f>
        <v>0</v>
      </c>
      <c r="L1973" s="107">
        <f t="shared" si="786"/>
        <v>0</v>
      </c>
      <c r="M1973" s="107">
        <f t="shared" si="787"/>
        <v>0</v>
      </c>
      <c r="N1973" s="107">
        <f t="shared" si="788"/>
        <v>0</v>
      </c>
      <c r="O1973" s="107">
        <f>VLOOKUP(G1973,Budget!$E$3:$G$2474,3,0)</f>
        <v>0</v>
      </c>
      <c r="P1973" s="107">
        <f t="shared" si="789"/>
        <v>0</v>
      </c>
      <c r="Q1973" s="107"/>
      <c r="R1973" s="10"/>
      <c r="S1973" s="107">
        <v>0</v>
      </c>
      <c r="T1973" s="107">
        <f t="shared" si="771"/>
        <v>0</v>
      </c>
      <c r="U1973" s="107"/>
      <c r="V1973" s="175"/>
      <c r="W1973" s="10"/>
      <c r="X1973" s="10"/>
      <c r="Y1973" t="str">
        <f t="shared" ref="Y1973:Y1979" si="796">LEFT(G1973,4)</f>
        <v>3807</v>
      </c>
      <c r="AB1973" s="10"/>
      <c r="AC1973" s="10"/>
      <c r="AD1973" s="10"/>
      <c r="AE1973" s="10"/>
      <c r="AF1973" s="10"/>
      <c r="AG1973" s="10"/>
      <c r="AH1973" s="10"/>
      <c r="AI1973" s="10"/>
    </row>
    <row r="1974" spans="1:35">
      <c r="A1974" s="10"/>
      <c r="B1974" s="10" t="str">
        <f t="shared" si="795"/>
        <v>Below the LinePOST</v>
      </c>
      <c r="C1974" t="s">
        <v>20</v>
      </c>
      <c r="D1974" t="s">
        <v>19</v>
      </c>
      <c r="E1974" t="s">
        <v>468</v>
      </c>
      <c r="F1974" t="s">
        <v>5117</v>
      </c>
      <c r="G1974" t="s">
        <v>1108</v>
      </c>
      <c r="I1974" s="10"/>
      <c r="J1974" s="107">
        <f>SUMIF(Data!C:C,G1974,Data!Q:Q)</f>
        <v>50400</v>
      </c>
      <c r="K1974" s="107">
        <f>SUMIF(Comprometidos!A:A,'Cost Report'!G1974,Comprometidos!E:E)</f>
        <v>0</v>
      </c>
      <c r="L1974" s="107">
        <f t="shared" si="786"/>
        <v>50400</v>
      </c>
      <c r="M1974" s="107">
        <f t="shared" si="787"/>
        <v>0</v>
      </c>
      <c r="N1974" s="107">
        <f t="shared" si="788"/>
        <v>50400</v>
      </c>
      <c r="O1974" s="107">
        <f>VLOOKUP(G1974,Budget!$E$3:$G$2474,3,0)</f>
        <v>50400</v>
      </c>
      <c r="P1974" s="107">
        <f t="shared" si="789"/>
        <v>0</v>
      </c>
      <c r="Q1974" s="107"/>
      <c r="R1974" s="10"/>
      <c r="S1974" s="107">
        <v>50400</v>
      </c>
      <c r="T1974" s="107">
        <f t="shared" si="771"/>
        <v>0</v>
      </c>
      <c r="U1974" s="107"/>
      <c r="V1974" s="175"/>
      <c r="W1974" s="10"/>
      <c r="X1974" s="10"/>
      <c r="Y1974" t="str">
        <f t="shared" si="796"/>
        <v>3807</v>
      </c>
      <c r="AB1974" s="10"/>
      <c r="AC1974" s="10"/>
      <c r="AD1974" s="10"/>
      <c r="AE1974" s="10"/>
      <c r="AF1974" s="10"/>
      <c r="AG1974" s="10"/>
      <c r="AH1974" s="10"/>
      <c r="AI1974" s="10"/>
    </row>
    <row r="1975" spans="1:35">
      <c r="A1975" s="10"/>
      <c r="B1975" s="10" t="str">
        <f t="shared" si="795"/>
        <v>Below the Line</v>
      </c>
      <c r="C1975" t="s">
        <v>20</v>
      </c>
      <c r="D1975" t="s">
        <v>19</v>
      </c>
      <c r="E1975" t="s">
        <v>214</v>
      </c>
      <c r="G1975" t="s">
        <v>1109</v>
      </c>
      <c r="I1975" s="10"/>
      <c r="J1975" s="107">
        <f>SUMIF(Data!C:C,G1975,Data!Q:Q)</f>
        <v>0</v>
      </c>
      <c r="K1975" s="107">
        <f>SUMIF(Comprometidos!A:A,'Cost Report'!G1975,Comprometidos!E:E)</f>
        <v>0</v>
      </c>
      <c r="L1975" s="107">
        <f t="shared" si="786"/>
        <v>0</v>
      </c>
      <c r="M1975" s="107">
        <f t="shared" si="787"/>
        <v>0</v>
      </c>
      <c r="N1975" s="107">
        <f t="shared" si="788"/>
        <v>0</v>
      </c>
      <c r="O1975" s="107">
        <f>VLOOKUP(G1975,Budget!$E$3:$G$2474,3,0)</f>
        <v>0</v>
      </c>
      <c r="P1975" s="107">
        <f t="shared" si="789"/>
        <v>0</v>
      </c>
      <c r="Q1975" s="107"/>
      <c r="R1975" s="10"/>
      <c r="S1975" s="107">
        <v>0</v>
      </c>
      <c r="T1975" s="107">
        <f t="shared" si="771"/>
        <v>0</v>
      </c>
      <c r="U1975" s="107"/>
      <c r="V1975" s="175"/>
      <c r="W1975" s="10"/>
      <c r="X1975" s="10"/>
      <c r="Y1975" t="str">
        <f t="shared" si="796"/>
        <v>3807</v>
      </c>
      <c r="AB1975" s="10"/>
      <c r="AC1975" s="10"/>
      <c r="AD1975" s="10"/>
      <c r="AE1975" s="10"/>
      <c r="AF1975" s="10"/>
      <c r="AG1975" s="10"/>
      <c r="AH1975" s="10"/>
      <c r="AI1975" s="10"/>
    </row>
    <row r="1976" spans="1:35">
      <c r="A1976" s="10"/>
      <c r="B1976" s="10" t="str">
        <f t="shared" si="795"/>
        <v>Below the LinePOST</v>
      </c>
      <c r="C1976" t="s">
        <v>20</v>
      </c>
      <c r="D1976" t="s">
        <v>19</v>
      </c>
      <c r="E1976" t="s">
        <v>468</v>
      </c>
      <c r="F1976" t="s">
        <v>5117</v>
      </c>
      <c r="G1976" t="s">
        <v>1110</v>
      </c>
      <c r="I1976" s="10"/>
      <c r="J1976" s="107">
        <f>SUMIF(Data!C:C,G1976,Data!Q:Q)</f>
        <v>84000</v>
      </c>
      <c r="K1976" s="107">
        <f>SUMIF(Comprometidos!A:A,'Cost Report'!G1976,Comprometidos!E:E)</f>
        <v>0</v>
      </c>
      <c r="L1976" s="107">
        <f t="shared" si="786"/>
        <v>84000</v>
      </c>
      <c r="M1976" s="107">
        <f t="shared" si="787"/>
        <v>0</v>
      </c>
      <c r="N1976" s="107">
        <f t="shared" si="788"/>
        <v>84000</v>
      </c>
      <c r="O1976" s="107">
        <f>VLOOKUP(G1976,Budget!$E$3:$G$2474,3,0)</f>
        <v>84000</v>
      </c>
      <c r="P1976" s="107">
        <f t="shared" si="789"/>
        <v>0</v>
      </c>
      <c r="Q1976" s="107"/>
      <c r="R1976" s="10"/>
      <c r="S1976" s="107">
        <v>84000</v>
      </c>
      <c r="T1976" s="107">
        <f t="shared" si="771"/>
        <v>0</v>
      </c>
      <c r="U1976" s="107"/>
      <c r="V1976" s="175"/>
      <c r="W1976" s="10"/>
      <c r="X1976" s="10"/>
      <c r="Y1976" t="str">
        <f t="shared" si="796"/>
        <v>3807</v>
      </c>
      <c r="AB1976" s="10"/>
      <c r="AC1976" s="10"/>
      <c r="AD1976" s="10"/>
      <c r="AE1976" s="10"/>
      <c r="AF1976" s="10"/>
      <c r="AG1976" s="10"/>
      <c r="AH1976" s="10"/>
      <c r="AI1976" s="10"/>
    </row>
    <row r="1977" spans="1:35">
      <c r="A1977" s="10"/>
      <c r="B1977" s="10" t="str">
        <f t="shared" si="795"/>
        <v>Below the Line</v>
      </c>
      <c r="C1977" t="s">
        <v>20</v>
      </c>
      <c r="D1977" t="s">
        <v>19</v>
      </c>
      <c r="E1977" t="s">
        <v>214</v>
      </c>
      <c r="G1977" t="s">
        <v>2943</v>
      </c>
      <c r="I1977" s="10"/>
      <c r="J1977" s="107">
        <f>SUMIF(Data!C:C,G1977,Data!Q:Q)</f>
        <v>0</v>
      </c>
      <c r="K1977" s="107">
        <f>SUMIF(Comprometidos!A:A,'Cost Report'!G1977,Comprometidos!E:E)</f>
        <v>0</v>
      </c>
      <c r="L1977" s="107">
        <f t="shared" si="786"/>
        <v>0</v>
      </c>
      <c r="M1977" s="107">
        <f t="shared" si="787"/>
        <v>0</v>
      </c>
      <c r="N1977" s="107">
        <f t="shared" si="788"/>
        <v>0</v>
      </c>
      <c r="O1977" s="107">
        <f>VLOOKUP(G1977,Budget!$E$3:$G$2474,3,0)</f>
        <v>0</v>
      </c>
      <c r="P1977" s="107">
        <f t="shared" si="789"/>
        <v>0</v>
      </c>
      <c r="Q1977" s="107"/>
      <c r="R1977" s="10"/>
      <c r="S1977" s="107">
        <v>0</v>
      </c>
      <c r="T1977" s="107">
        <f t="shared" si="771"/>
        <v>0</v>
      </c>
      <c r="U1977" s="107"/>
      <c r="V1977" s="175"/>
      <c r="W1977" s="10"/>
      <c r="X1977" s="10"/>
      <c r="Y1977" t="str">
        <f t="shared" si="796"/>
        <v>3807</v>
      </c>
      <c r="AB1977" s="10"/>
      <c r="AC1977" s="10"/>
      <c r="AD1977" s="10"/>
      <c r="AE1977" s="10"/>
      <c r="AF1977" s="10"/>
      <c r="AG1977" s="10"/>
      <c r="AH1977" s="10"/>
      <c r="AI1977" s="10"/>
    </row>
    <row r="1978" spans="1:35">
      <c r="A1978" s="10"/>
      <c r="B1978" s="10" t="str">
        <f t="shared" si="795"/>
        <v>Below the LinePOST</v>
      </c>
      <c r="C1978" t="s">
        <v>20</v>
      </c>
      <c r="D1978" t="s">
        <v>19</v>
      </c>
      <c r="E1978" t="s">
        <v>468</v>
      </c>
      <c r="F1978" t="s">
        <v>5117</v>
      </c>
      <c r="G1978" t="s">
        <v>2944</v>
      </c>
      <c r="I1978" s="10"/>
      <c r="J1978" s="107">
        <f>SUMIF(Data!C:C,G1978,Data!Q:Q)</f>
        <v>152000</v>
      </c>
      <c r="K1978" s="107">
        <f>SUMIF(Comprometidos!A:A,'Cost Report'!G1978,Comprometidos!E:E)</f>
        <v>0</v>
      </c>
      <c r="L1978" s="107">
        <f t="shared" si="786"/>
        <v>152000</v>
      </c>
      <c r="M1978" s="107">
        <f t="shared" si="787"/>
        <v>0</v>
      </c>
      <c r="N1978" s="107">
        <f t="shared" si="788"/>
        <v>152000</v>
      </c>
      <c r="O1978" s="107">
        <f>VLOOKUP(G1978,Budget!$E$3:$G$2474,3,0)</f>
        <v>152000</v>
      </c>
      <c r="P1978" s="107">
        <f t="shared" si="789"/>
        <v>0</v>
      </c>
      <c r="Q1978" s="107"/>
      <c r="R1978" s="10"/>
      <c r="S1978" s="107">
        <v>152000</v>
      </c>
      <c r="T1978" s="107">
        <f t="shared" si="771"/>
        <v>0</v>
      </c>
      <c r="U1978" s="107"/>
      <c r="V1978" s="175"/>
      <c r="W1978" s="10"/>
      <c r="X1978" s="10"/>
      <c r="Y1978" t="str">
        <f t="shared" si="796"/>
        <v>3807</v>
      </c>
      <c r="AB1978" s="10"/>
      <c r="AC1978" s="10"/>
      <c r="AD1978" s="10"/>
      <c r="AE1978" s="10"/>
      <c r="AF1978" s="10"/>
      <c r="AG1978" s="10"/>
      <c r="AH1978" s="10"/>
      <c r="AI1978" s="10"/>
    </row>
    <row r="1979" spans="1:35">
      <c r="A1979" s="10"/>
      <c r="B1979" s="10" t="str">
        <f t="shared" si="795"/>
        <v>Below the LinePOST</v>
      </c>
      <c r="C1979" t="s">
        <v>20</v>
      </c>
      <c r="D1979" t="s">
        <v>19</v>
      </c>
      <c r="E1979" t="s">
        <v>468</v>
      </c>
      <c r="F1979" t="s">
        <v>5117</v>
      </c>
      <c r="G1979" t="s">
        <v>2945</v>
      </c>
      <c r="I1979" s="10"/>
      <c r="J1979" s="107">
        <f>SUMIF(Data!C:C,G1979,Data!Q:Q)</f>
        <v>152000</v>
      </c>
      <c r="K1979" s="107">
        <f>SUMIF(Comprometidos!A:A,'Cost Report'!G1979,Comprometidos!E:E)</f>
        <v>0</v>
      </c>
      <c r="L1979" s="107">
        <f t="shared" si="786"/>
        <v>152000</v>
      </c>
      <c r="M1979" s="107">
        <f t="shared" si="787"/>
        <v>0</v>
      </c>
      <c r="N1979" s="107">
        <f t="shared" si="788"/>
        <v>152000</v>
      </c>
      <c r="O1979" s="107">
        <f>VLOOKUP(G1979,Budget!$E$3:$G$2474,3,0)</f>
        <v>152000</v>
      </c>
      <c r="P1979" s="107">
        <f t="shared" si="789"/>
        <v>0</v>
      </c>
      <c r="Q1979" s="107"/>
      <c r="R1979" s="10"/>
      <c r="S1979" s="107">
        <v>152000</v>
      </c>
      <c r="T1979" s="107">
        <f t="shared" si="771"/>
        <v>0</v>
      </c>
      <c r="U1979" s="107"/>
      <c r="V1979" s="175"/>
      <c r="W1979" s="10"/>
      <c r="X1979" s="10"/>
      <c r="Y1979" t="str">
        <f t="shared" si="796"/>
        <v>3807</v>
      </c>
      <c r="AB1979" s="10"/>
      <c r="AC1979" s="10"/>
      <c r="AD1979" s="10"/>
      <c r="AE1979" s="10"/>
      <c r="AF1979" s="10"/>
      <c r="AG1979" s="10"/>
      <c r="AH1979" s="10"/>
      <c r="AI1979" s="10"/>
    </row>
    <row r="1980" spans="1:35">
      <c r="A1980" s="10"/>
      <c r="B1980" s="10" t="str">
        <f>+C1980</f>
        <v>Below the Line</v>
      </c>
      <c r="C1980" s="128" t="s">
        <v>20</v>
      </c>
      <c r="D1980" s="128" t="s">
        <v>2117</v>
      </c>
      <c r="E1980" s="128"/>
      <c r="F1980" s="128"/>
      <c r="G1980" s="128" t="s">
        <v>1111</v>
      </c>
      <c r="H1980" s="128"/>
      <c r="I1980" s="10"/>
      <c r="J1980" s="129">
        <f>SUMIF($Y$11:$Y$2484,G1980,J$11:J$2484)</f>
        <v>218577.97999999998</v>
      </c>
      <c r="K1980" s="129">
        <f>SUMIF($Y$11:$Y$2484,G1980,K$11:K$2484)</f>
        <v>0</v>
      </c>
      <c r="L1980" s="129">
        <f>SUMIF($Y$11:$Y$2484,G1980,L$11:L$2484)</f>
        <v>218577.97999999998</v>
      </c>
      <c r="M1980" s="129">
        <f>SUMIF($Y$11:$Y$2484,G1980,M$11:M$2484)</f>
        <v>0</v>
      </c>
      <c r="N1980" s="129">
        <f>SUMIF($Y$11:$Y$2484,G1980,N$11:N$2484)</f>
        <v>218577.97999999998</v>
      </c>
      <c r="O1980" s="129">
        <f>SUMIF($Y$11:$Y$2484,G1980,O$11:O$2484)</f>
        <v>197118.96</v>
      </c>
      <c r="P1980" s="129">
        <f>SUMIF($Y$11:$Y$2484,G1980,P$11:P$2484)</f>
        <v>-21459.01999999999</v>
      </c>
      <c r="Q1980" s="129"/>
      <c r="R1980" s="10"/>
      <c r="S1980" s="129">
        <v>218577.97999999998</v>
      </c>
      <c r="T1980" s="129">
        <f t="shared" si="771"/>
        <v>0</v>
      </c>
      <c r="U1980" s="128"/>
      <c r="V1980" s="175"/>
      <c r="W1980" s="10"/>
      <c r="X1980" s="10"/>
      <c r="Z1980" t="str">
        <f>LEFT(G1980,2)</f>
        <v>38</v>
      </c>
      <c r="AA1980" t="str">
        <f>+Z1980&amp;"00"</f>
        <v>3800</v>
      </c>
      <c r="AB1980" s="10"/>
      <c r="AC1980" s="10"/>
      <c r="AD1980" s="10"/>
      <c r="AE1980" s="10"/>
      <c r="AF1980" s="10"/>
      <c r="AG1980" s="10"/>
      <c r="AH1980" s="10"/>
      <c r="AI1980" s="10"/>
    </row>
    <row r="1981" spans="1:35">
      <c r="A1981" s="10"/>
      <c r="B1981" s="10" t="str">
        <f t="shared" ref="B1981:B1982" si="797">+C1981&amp;E1981</f>
        <v>Below the Line</v>
      </c>
      <c r="C1981" t="s">
        <v>20</v>
      </c>
      <c r="D1981" t="s">
        <v>19</v>
      </c>
      <c r="E1981" t="s">
        <v>214</v>
      </c>
      <c r="G1981" t="s">
        <v>1112</v>
      </c>
      <c r="I1981" s="10"/>
      <c r="J1981" s="107">
        <f>SUMIF(Data!C:C,G1981,Data!Q:Q)</f>
        <v>0</v>
      </c>
      <c r="K1981" s="107">
        <f>SUMIF(Comprometidos!A:A,'Cost Report'!G1981,Comprometidos!E:E)</f>
        <v>0</v>
      </c>
      <c r="L1981" s="107">
        <f t="shared" si="786"/>
        <v>0</v>
      </c>
      <c r="M1981" s="107">
        <f t="shared" si="787"/>
        <v>0</v>
      </c>
      <c r="N1981" s="107">
        <f t="shared" si="788"/>
        <v>0</v>
      </c>
      <c r="O1981" s="107">
        <f>VLOOKUP(G1981,Budget!$E$3:$G$2474,3,0)</f>
        <v>0</v>
      </c>
      <c r="P1981" s="107">
        <f t="shared" si="789"/>
        <v>0</v>
      </c>
      <c r="Q1981" s="107"/>
      <c r="R1981" s="10"/>
      <c r="S1981" s="107">
        <v>0</v>
      </c>
      <c r="T1981" s="107">
        <f t="shared" si="771"/>
        <v>0</v>
      </c>
      <c r="U1981" s="107"/>
      <c r="V1981" s="175"/>
      <c r="W1981" s="10"/>
      <c r="X1981" s="10"/>
      <c r="Y1981" t="str">
        <f t="shared" ref="Y1981:Y1982" si="798">LEFT(G1981,4)</f>
        <v>3813</v>
      </c>
      <c r="AB1981" s="10"/>
      <c r="AC1981" s="10"/>
      <c r="AD1981" s="10"/>
      <c r="AE1981" s="10"/>
      <c r="AF1981" s="10"/>
      <c r="AG1981" s="10"/>
      <c r="AH1981" s="10"/>
      <c r="AI1981" s="10"/>
    </row>
    <row r="1982" spans="1:35">
      <c r="A1982" s="10"/>
      <c r="B1982" s="10" t="str">
        <f t="shared" si="797"/>
        <v>Below the LinePOST</v>
      </c>
      <c r="C1982" t="s">
        <v>20</v>
      </c>
      <c r="D1982" t="s">
        <v>19</v>
      </c>
      <c r="E1982" t="s">
        <v>468</v>
      </c>
      <c r="G1982" t="s">
        <v>1113</v>
      </c>
      <c r="I1982" s="10"/>
      <c r="J1982" s="107">
        <f>SUMIF(Data!C:C,G1982,Data!Q:Q)</f>
        <v>218577.97999999998</v>
      </c>
      <c r="K1982" s="107">
        <f>SUMIF(Comprometidos!A:A,'Cost Report'!G1982,Comprometidos!E:E)</f>
        <v>0</v>
      </c>
      <c r="L1982" s="107">
        <f t="shared" si="786"/>
        <v>218577.97999999998</v>
      </c>
      <c r="M1982" s="107">
        <v>0</v>
      </c>
      <c r="N1982" s="107">
        <f t="shared" si="788"/>
        <v>218577.97999999998</v>
      </c>
      <c r="O1982" s="107">
        <f>VLOOKUP(G1982,Budget!$E$3:$G$2474,3,0)</f>
        <v>197118.96</v>
      </c>
      <c r="P1982" s="107">
        <f t="shared" si="789"/>
        <v>-21459.01999999999</v>
      </c>
      <c r="Q1982" s="107"/>
      <c r="R1982" s="10"/>
      <c r="S1982" s="107">
        <v>218577.97999999998</v>
      </c>
      <c r="T1982" s="107">
        <f t="shared" si="771"/>
        <v>0</v>
      </c>
      <c r="U1982" s="107"/>
      <c r="V1982" s="175"/>
      <c r="W1982" s="10"/>
      <c r="X1982" s="10"/>
      <c r="Y1982" t="str">
        <f t="shared" si="798"/>
        <v>3813</v>
      </c>
      <c r="AB1982" s="10"/>
      <c r="AC1982" s="10"/>
      <c r="AD1982" s="10"/>
      <c r="AE1982" s="10"/>
      <c r="AF1982" s="10"/>
      <c r="AG1982" s="10"/>
      <c r="AH1982" s="10"/>
      <c r="AI1982" s="10"/>
    </row>
    <row r="1983" spans="1:35">
      <c r="A1983" s="10"/>
      <c r="B1983" s="10" t="str">
        <f>+C1983</f>
        <v>Below the Line</v>
      </c>
      <c r="C1983" s="128" t="s">
        <v>20</v>
      </c>
      <c r="D1983" s="128" t="s">
        <v>2117</v>
      </c>
      <c r="E1983" s="128"/>
      <c r="F1983" s="128"/>
      <c r="G1983" s="128" t="s">
        <v>1114</v>
      </c>
      <c r="H1983" s="128"/>
      <c r="I1983" s="10"/>
      <c r="J1983" s="129">
        <f>SUMIF($Y$11:$Y$2484,G1983,J$11:J$2484)</f>
        <v>0</v>
      </c>
      <c r="K1983" s="129">
        <f>SUMIF($Y$11:$Y$2484,G1983,K$11:K$2484)</f>
        <v>0</v>
      </c>
      <c r="L1983" s="129">
        <f>SUMIF($Y$11:$Y$2484,G1983,L$11:L$2484)</f>
        <v>0</v>
      </c>
      <c r="M1983" s="129">
        <f>SUMIF($Y$11:$Y$2484,G1983,M$11:M$2484)</f>
        <v>0</v>
      </c>
      <c r="N1983" s="129">
        <f>SUMIF($Y$11:$Y$2484,G1983,N$11:N$2484)</f>
        <v>0</v>
      </c>
      <c r="O1983" s="129">
        <f>SUMIF($Y$11:$Y$2484,G1983,O$11:O$2484)</f>
        <v>111500</v>
      </c>
      <c r="P1983" s="129">
        <f>SUMIF($Y$11:$Y$2484,G1983,P$11:P$2484)</f>
        <v>111500</v>
      </c>
      <c r="Q1983" s="129"/>
      <c r="R1983" s="10"/>
      <c r="S1983" s="129">
        <v>0</v>
      </c>
      <c r="T1983" s="129">
        <f t="shared" si="771"/>
        <v>0</v>
      </c>
      <c r="U1983" s="128"/>
      <c r="V1983" s="175"/>
      <c r="W1983" s="10"/>
      <c r="X1983" s="10"/>
      <c r="Z1983" t="str">
        <f>LEFT(G1983,2)</f>
        <v>38</v>
      </c>
      <c r="AA1983" t="str">
        <f>+Z1983&amp;"00"</f>
        <v>3800</v>
      </c>
      <c r="AB1983" s="10"/>
      <c r="AC1983" s="10"/>
      <c r="AD1983" s="10"/>
      <c r="AE1983" s="10"/>
      <c r="AF1983" s="10"/>
      <c r="AG1983" s="10"/>
      <c r="AH1983" s="10"/>
      <c r="AI1983" s="10"/>
    </row>
    <row r="1984" spans="1:35">
      <c r="A1984" s="10"/>
      <c r="B1984" s="10" t="str">
        <f t="shared" ref="B1984:B1987" si="799">+C1984&amp;E1984</f>
        <v>Below the Line</v>
      </c>
      <c r="C1984" t="s">
        <v>20</v>
      </c>
      <c r="D1984" t="s">
        <v>19</v>
      </c>
      <c r="E1984" t="s">
        <v>214</v>
      </c>
      <c r="G1984" t="s">
        <v>1115</v>
      </c>
      <c r="I1984" s="10"/>
      <c r="J1984" s="107">
        <f>SUMIF(Data!C:C,G1984,Data!Q:Q)</f>
        <v>0</v>
      </c>
      <c r="K1984" s="107">
        <f>SUMIF(Comprometidos!A:A,'Cost Report'!G1984,Comprometidos!E:E)</f>
        <v>0</v>
      </c>
      <c r="L1984" s="107">
        <f t="shared" si="786"/>
        <v>0</v>
      </c>
      <c r="M1984" s="107">
        <f t="shared" si="787"/>
        <v>0</v>
      </c>
      <c r="N1984" s="107">
        <f t="shared" si="788"/>
        <v>0</v>
      </c>
      <c r="O1984" s="107">
        <f>VLOOKUP(G1984,Budget!$E$3:$G$2474,3,0)</f>
        <v>0</v>
      </c>
      <c r="P1984" s="107">
        <f t="shared" si="789"/>
        <v>0</v>
      </c>
      <c r="Q1984" s="107"/>
      <c r="R1984" s="10"/>
      <c r="S1984" s="107">
        <v>0</v>
      </c>
      <c r="T1984" s="107">
        <f t="shared" si="771"/>
        <v>0</v>
      </c>
      <c r="U1984" s="107"/>
      <c r="V1984" s="175"/>
      <c r="W1984" s="10"/>
      <c r="X1984" s="10"/>
      <c r="Y1984" t="str">
        <f t="shared" ref="Y1984:Y1987" si="800">LEFT(G1984,4)</f>
        <v>3894</v>
      </c>
      <c r="AB1984" s="10"/>
      <c r="AC1984" s="10"/>
      <c r="AD1984" s="10"/>
      <c r="AE1984" s="10"/>
      <c r="AF1984" s="10"/>
      <c r="AG1984" s="10"/>
      <c r="AH1984" s="10"/>
      <c r="AI1984" s="10"/>
    </row>
    <row r="1985" spans="1:35">
      <c r="A1985" s="10"/>
      <c r="B1985" s="10" t="str">
        <f t="shared" si="799"/>
        <v>Below the LineALL SHOW</v>
      </c>
      <c r="C1985" t="s">
        <v>20</v>
      </c>
      <c r="D1985" t="s">
        <v>19</v>
      </c>
      <c r="E1985" t="s">
        <v>227</v>
      </c>
      <c r="G1985" t="s">
        <v>1116</v>
      </c>
      <c r="I1985" s="10"/>
      <c r="J1985" s="107">
        <f>SUMIF(Data!C:C,G1985,Data!Q:Q)</f>
        <v>0</v>
      </c>
      <c r="K1985" s="107">
        <f>SUMIF(Comprometidos!A:A,'Cost Report'!G1985,Comprometidos!E:E)</f>
        <v>0</v>
      </c>
      <c r="L1985" s="107">
        <f t="shared" si="786"/>
        <v>0</v>
      </c>
      <c r="M1985" s="107">
        <v>0</v>
      </c>
      <c r="N1985" s="107">
        <f t="shared" si="788"/>
        <v>0</v>
      </c>
      <c r="O1985" s="107">
        <f>VLOOKUP(G1985,Budget!$E$3:$G$2474,3,0)</f>
        <v>96000</v>
      </c>
      <c r="P1985" s="107">
        <f t="shared" si="789"/>
        <v>96000</v>
      </c>
      <c r="Q1985" s="107"/>
      <c r="R1985" s="10"/>
      <c r="S1985" s="107">
        <v>0</v>
      </c>
      <c r="T1985" s="107">
        <f t="shared" si="771"/>
        <v>0</v>
      </c>
      <c r="U1985" s="107"/>
      <c r="V1985" s="175"/>
      <c r="W1985" s="10"/>
      <c r="X1985" s="10"/>
      <c r="Y1985" t="str">
        <f t="shared" si="800"/>
        <v>3894</v>
      </c>
      <c r="AB1985" s="10"/>
      <c r="AC1985" s="10"/>
      <c r="AD1985" s="10"/>
      <c r="AE1985" s="10"/>
      <c r="AF1985" s="10"/>
      <c r="AG1985" s="10"/>
      <c r="AH1985" s="10"/>
      <c r="AI1985" s="10"/>
    </row>
    <row r="1986" spans="1:35">
      <c r="A1986" s="10"/>
      <c r="B1986" s="10" t="str">
        <f t="shared" si="799"/>
        <v>Below the Line</v>
      </c>
      <c r="C1986" t="s">
        <v>20</v>
      </c>
      <c r="D1986" t="s">
        <v>19</v>
      </c>
      <c r="E1986" t="s">
        <v>214</v>
      </c>
      <c r="G1986" t="s">
        <v>2946</v>
      </c>
      <c r="I1986" s="10"/>
      <c r="J1986" s="107">
        <f>SUMIF(Data!C:C,G1986,Data!Q:Q)</f>
        <v>0</v>
      </c>
      <c r="K1986" s="107">
        <f>SUMIF(Comprometidos!A:A,'Cost Report'!G1986,Comprometidos!E:E)</f>
        <v>0</v>
      </c>
      <c r="L1986" s="107">
        <f t="shared" si="786"/>
        <v>0</v>
      </c>
      <c r="M1986" s="107">
        <f t="shared" si="787"/>
        <v>0</v>
      </c>
      <c r="N1986" s="107">
        <f t="shared" si="788"/>
        <v>0</v>
      </c>
      <c r="O1986" s="107">
        <f>VLOOKUP(G1986,Budget!$E$3:$G$2474,3,0)</f>
        <v>0</v>
      </c>
      <c r="P1986" s="107">
        <f t="shared" si="789"/>
        <v>0</v>
      </c>
      <c r="Q1986" s="107"/>
      <c r="R1986" s="10"/>
      <c r="S1986" s="107">
        <v>0</v>
      </c>
      <c r="T1986" s="107">
        <f t="shared" si="771"/>
        <v>0</v>
      </c>
      <c r="U1986" s="107"/>
      <c r="V1986" s="175"/>
      <c r="W1986" s="10"/>
      <c r="X1986" s="10"/>
      <c r="Y1986" t="str">
        <f t="shared" si="800"/>
        <v>3894</v>
      </c>
      <c r="AB1986" s="10"/>
      <c r="AC1986" s="10"/>
      <c r="AD1986" s="10"/>
      <c r="AE1986" s="10"/>
      <c r="AF1986" s="10"/>
      <c r="AG1986" s="10"/>
      <c r="AH1986" s="10"/>
      <c r="AI1986" s="10"/>
    </row>
    <row r="1987" spans="1:35">
      <c r="A1987" s="10"/>
      <c r="B1987" s="10" t="str">
        <f t="shared" si="799"/>
        <v>Below the LineALL SHOW</v>
      </c>
      <c r="C1987" t="s">
        <v>20</v>
      </c>
      <c r="D1987" t="s">
        <v>19</v>
      </c>
      <c r="E1987" t="s">
        <v>227</v>
      </c>
      <c r="G1987" t="s">
        <v>2947</v>
      </c>
      <c r="I1987" s="10"/>
      <c r="J1987" s="107">
        <f>SUMIF(Data!C:C,G1987,Data!Q:Q)</f>
        <v>0</v>
      </c>
      <c r="K1987" s="107">
        <f>SUMIF(Comprometidos!A:A,'Cost Report'!G1987,Comprometidos!E:E)</f>
        <v>0</v>
      </c>
      <c r="L1987" s="107">
        <f t="shared" si="786"/>
        <v>0</v>
      </c>
      <c r="M1987" s="107">
        <v>0</v>
      </c>
      <c r="N1987" s="107">
        <f t="shared" si="788"/>
        <v>0</v>
      </c>
      <c r="O1987" s="107">
        <f>VLOOKUP(G1987,Budget!$E$3:$G$2474,3,0)</f>
        <v>15500</v>
      </c>
      <c r="P1987" s="107">
        <f t="shared" si="789"/>
        <v>15500</v>
      </c>
      <c r="Q1987" s="107"/>
      <c r="R1987" s="10"/>
      <c r="S1987" s="107">
        <v>0</v>
      </c>
      <c r="T1987" s="107">
        <f t="shared" si="771"/>
        <v>0</v>
      </c>
      <c r="U1987" s="107"/>
      <c r="V1987" s="175"/>
      <c r="W1987" s="10"/>
      <c r="X1987" s="10"/>
      <c r="Y1987" t="str">
        <f t="shared" si="800"/>
        <v>3894</v>
      </c>
      <c r="AB1987" s="10"/>
      <c r="AC1987" s="10"/>
      <c r="AD1987" s="10"/>
      <c r="AE1987" s="10"/>
      <c r="AF1987" s="10"/>
      <c r="AG1987" s="10"/>
      <c r="AH1987" s="10"/>
      <c r="AI1987" s="10"/>
    </row>
    <row r="1988" spans="1:35">
      <c r="A1988" s="10"/>
      <c r="B1988" s="10"/>
      <c r="C1988" s="170" t="s">
        <v>20</v>
      </c>
      <c r="D1988" s="170" t="s">
        <v>8</v>
      </c>
      <c r="E1988" s="170"/>
      <c r="F1988" s="170"/>
      <c r="G1988" s="170" t="s">
        <v>1117</v>
      </c>
      <c r="H1988" s="170"/>
      <c r="I1988" s="10"/>
      <c r="J1988" s="169">
        <f>SUMIF($AA$10:$AA$2484,G1988,J$10:J$2484)</f>
        <v>5884214.4140000008</v>
      </c>
      <c r="K1988" s="169">
        <f>SUMIF($AA$10:$AA$2484,G1988,K$10:K$2484)</f>
        <v>0</v>
      </c>
      <c r="L1988" s="169">
        <f>SUMIF($AA$10:$AA$2484,G1988,L$10:L$2484)</f>
        <v>5884214.4140000008</v>
      </c>
      <c r="M1988" s="169">
        <f>SUMIF($AA$10:$AA$2484,G1988,M$10:M$2484)</f>
        <v>0</v>
      </c>
      <c r="N1988" s="169">
        <f>SUMIF($AA$10:$AA$2484,G1988,N$10:N$2484)</f>
        <v>5884214.4140000008</v>
      </c>
      <c r="O1988" s="169">
        <f>SUMIF($AA$10:$AA$2484,G1988,O$10:O$2484)</f>
        <v>5965292.71</v>
      </c>
      <c r="P1988" s="168">
        <f>SUMIF($AA$10:$AA$2484,G1988,P$10:P$2484)</f>
        <v>81078.296000000002</v>
      </c>
      <c r="Q1988" s="169"/>
      <c r="R1988" s="10"/>
      <c r="S1988" s="164">
        <v>5880843.2600000007</v>
      </c>
      <c r="T1988" s="164">
        <f t="shared" si="771"/>
        <v>-3371.1540000000969</v>
      </c>
      <c r="U1988" s="163"/>
      <c r="V1988" s="175"/>
      <c r="W1988" s="10"/>
      <c r="X1988" s="10"/>
      <c r="AB1988" s="10"/>
      <c r="AC1988" s="10"/>
      <c r="AD1988" s="10"/>
      <c r="AE1988" s="10"/>
      <c r="AF1988" s="10"/>
      <c r="AG1988" s="10"/>
      <c r="AH1988" s="10"/>
      <c r="AI1988" s="10"/>
    </row>
    <row r="1989" spans="1:35">
      <c r="A1989" s="10"/>
      <c r="B1989" s="10" t="str">
        <f>+C1989</f>
        <v>Below the Line</v>
      </c>
      <c r="C1989" s="128" t="s">
        <v>20</v>
      </c>
      <c r="D1989" s="128" t="s">
        <v>2117</v>
      </c>
      <c r="E1989" s="128"/>
      <c r="F1989" s="128"/>
      <c r="G1989" s="128" t="s">
        <v>1118</v>
      </c>
      <c r="H1989" s="128"/>
      <c r="I1989" s="10"/>
      <c r="J1989" s="129">
        <f>SUMIF($Y$11:$Y$2484,G1989,J$11:J$2484)</f>
        <v>333307.94099999999</v>
      </c>
      <c r="K1989" s="129">
        <f>SUMIF($Y$11:$Y$2484,G1989,K$11:K$2484)</f>
        <v>0</v>
      </c>
      <c r="L1989" s="129">
        <f>SUMIF($Y$11:$Y$2484,G1989,L$11:L$2484)</f>
        <v>333307.94099999999</v>
      </c>
      <c r="M1989" s="129">
        <f>SUMIF($Y$11:$Y$2484,G1989,M$11:M$2484)</f>
        <v>0</v>
      </c>
      <c r="N1989" s="129">
        <f>SUMIF($Y$11:$Y$2484,G1989,N$11:N$2484)</f>
        <v>333307.94099999999</v>
      </c>
      <c r="O1989" s="129">
        <f>SUMIF($Y$11:$Y$2484,G1989,O$11:O$2484)</f>
        <v>210701</v>
      </c>
      <c r="P1989" s="129">
        <f>SUMIF($Y$11:$Y$2484,G1989,P$11:P$2484)</f>
        <v>-122606.94100000002</v>
      </c>
      <c r="Q1989" s="129"/>
      <c r="R1989" s="10"/>
      <c r="S1989" s="129">
        <v>330361.08</v>
      </c>
      <c r="T1989" s="129">
        <f t="shared" si="771"/>
        <v>-2946.8609999999753</v>
      </c>
      <c r="U1989" s="128"/>
      <c r="V1989" s="175"/>
      <c r="W1989" s="10"/>
      <c r="X1989" s="10"/>
      <c r="Z1989" t="str">
        <f>LEFT(G1989,2)</f>
        <v>39</v>
      </c>
      <c r="AA1989" t="str">
        <f>+Z1989&amp;"00"</f>
        <v>3900</v>
      </c>
      <c r="AB1989" s="10"/>
      <c r="AC1989" s="10"/>
      <c r="AD1989" s="10"/>
      <c r="AE1989" s="10"/>
      <c r="AF1989" s="10"/>
      <c r="AG1989" s="10"/>
      <c r="AH1989" s="10"/>
      <c r="AI1989" s="10"/>
    </row>
    <row r="1990" spans="1:35">
      <c r="A1990" s="10"/>
      <c r="B1990" s="10" t="str">
        <f t="shared" ref="B1990:B2019" si="801">+C1990&amp;E1990</f>
        <v>Below the Line</v>
      </c>
      <c r="C1990" t="s">
        <v>20</v>
      </c>
      <c r="D1990" t="s">
        <v>19</v>
      </c>
      <c r="E1990" t="s">
        <v>214</v>
      </c>
      <c r="G1990" t="s">
        <v>1119</v>
      </c>
      <c r="I1990" s="10"/>
      <c r="J1990" s="107">
        <f>SUMIF(Data!C:C,G1990,Data!Q:Q)</f>
        <v>0</v>
      </c>
      <c r="K1990" s="107">
        <f>SUMIF(Comprometidos!A:A,'Cost Report'!G1990,Comprometidos!E:E)</f>
        <v>0</v>
      </c>
      <c r="L1990" s="107">
        <f t="shared" si="786"/>
        <v>0</v>
      </c>
      <c r="M1990" s="107">
        <f t="shared" si="787"/>
        <v>0</v>
      </c>
      <c r="N1990" s="107">
        <f t="shared" si="788"/>
        <v>0</v>
      </c>
      <c r="O1990" s="107">
        <f>VLOOKUP(G1990,Budget!$E$3:$G$2474,3,0)</f>
        <v>0</v>
      </c>
      <c r="P1990" s="107">
        <f t="shared" si="789"/>
        <v>0</v>
      </c>
      <c r="Q1990" s="107"/>
      <c r="R1990" s="10"/>
      <c r="S1990" s="107">
        <v>0</v>
      </c>
      <c r="T1990" s="107">
        <f t="shared" si="771"/>
        <v>0</v>
      </c>
      <c r="U1990" s="107"/>
      <c r="V1990" s="175"/>
      <c r="W1990" s="10"/>
      <c r="X1990" s="10"/>
      <c r="Y1990" t="str">
        <f t="shared" ref="Y1990:Y2019" si="802">LEFT(G1990,4)</f>
        <v>3901</v>
      </c>
      <c r="AB1990" s="10"/>
      <c r="AC1990" s="10"/>
      <c r="AD1990" s="10"/>
      <c r="AE1990" s="10"/>
      <c r="AF1990" s="10"/>
      <c r="AG1990" s="10"/>
      <c r="AH1990" s="10"/>
      <c r="AI1990" s="10"/>
    </row>
    <row r="1991" spans="1:35">
      <c r="A1991" s="10"/>
      <c r="B1991" s="10" t="str">
        <f t="shared" si="801"/>
        <v>Below the LineALL SHOW</v>
      </c>
      <c r="C1991" t="s">
        <v>20</v>
      </c>
      <c r="D1991" t="s">
        <v>19</v>
      </c>
      <c r="E1991" t="s">
        <v>227</v>
      </c>
      <c r="G1991" t="s">
        <v>1120</v>
      </c>
      <c r="I1991" s="10"/>
      <c r="J1991" s="107">
        <f>SUMIF(Data!C:C,G1991,Data!Q:Q)</f>
        <v>0</v>
      </c>
      <c r="K1991" s="107">
        <f>SUMIF(Comprometidos!A:A,'Cost Report'!G1991,Comprometidos!E:E)</f>
        <v>0</v>
      </c>
      <c r="L1991" s="107">
        <f t="shared" si="786"/>
        <v>0</v>
      </c>
      <c r="M1991" s="107">
        <v>0</v>
      </c>
      <c r="N1991" s="107">
        <f t="shared" si="788"/>
        <v>0</v>
      </c>
      <c r="O1991" s="107">
        <f>VLOOKUP(G1991,Budget!$E$3:$G$2474,3,0)</f>
        <v>2250</v>
      </c>
      <c r="P1991" s="107">
        <f t="shared" si="789"/>
        <v>2250</v>
      </c>
      <c r="Q1991" s="107"/>
      <c r="R1991" s="10"/>
      <c r="S1991" s="107">
        <v>0</v>
      </c>
      <c r="T1991" s="107">
        <f t="shared" si="771"/>
        <v>0</v>
      </c>
      <c r="U1991" s="107"/>
      <c r="V1991" s="175"/>
      <c r="W1991" s="10"/>
      <c r="X1991" s="10"/>
      <c r="Y1991" t="str">
        <f t="shared" si="802"/>
        <v>3901</v>
      </c>
      <c r="AB1991" s="10"/>
      <c r="AC1991" s="10"/>
      <c r="AD1991" s="10"/>
      <c r="AE1991" s="10"/>
      <c r="AF1991" s="10"/>
      <c r="AG1991" s="10"/>
      <c r="AH1991" s="10"/>
      <c r="AI1991" s="10"/>
    </row>
    <row r="1992" spans="1:35">
      <c r="A1992" s="10"/>
      <c r="B1992" s="10" t="str">
        <f t="shared" si="801"/>
        <v>Below the LineALL SHOW</v>
      </c>
      <c r="C1992" t="s">
        <v>20</v>
      </c>
      <c r="D1992" t="s">
        <v>19</v>
      </c>
      <c r="E1992" t="s">
        <v>227</v>
      </c>
      <c r="G1992" t="s">
        <v>1121</v>
      </c>
      <c r="I1992" s="10"/>
      <c r="J1992" s="107">
        <f>SUMIF(Data!C:C,G1992,Data!Q:Q)</f>
        <v>11532.630000000001</v>
      </c>
      <c r="K1992" s="107">
        <f>SUMIF(Comprometidos!A:A,'Cost Report'!G1992,Comprometidos!E:E)</f>
        <v>0</v>
      </c>
      <c r="L1992" s="107">
        <f t="shared" si="786"/>
        <v>11532.630000000001</v>
      </c>
      <c r="M1992" s="107">
        <v>0</v>
      </c>
      <c r="N1992" s="107">
        <f t="shared" si="788"/>
        <v>11532.630000000001</v>
      </c>
      <c r="O1992" s="107">
        <f>VLOOKUP(G1992,Budget!$E$3:$G$2474,3,0)</f>
        <v>2250</v>
      </c>
      <c r="P1992" s="107">
        <f t="shared" si="789"/>
        <v>-9282.630000000001</v>
      </c>
      <c r="Q1992" s="107"/>
      <c r="R1992" s="10"/>
      <c r="S1992" s="107">
        <v>11532.630000000001</v>
      </c>
      <c r="T1992" s="107">
        <f t="shared" si="771"/>
        <v>0</v>
      </c>
      <c r="U1992" s="107"/>
      <c r="V1992" s="175"/>
      <c r="W1992" s="10"/>
      <c r="X1992" s="10"/>
      <c r="Y1992" t="str">
        <f t="shared" si="802"/>
        <v>3901</v>
      </c>
      <c r="AB1992" s="10"/>
      <c r="AC1992" s="10"/>
      <c r="AD1992" s="10"/>
      <c r="AE1992" s="10"/>
      <c r="AF1992" s="10"/>
      <c r="AG1992" s="10"/>
      <c r="AH1992" s="10"/>
      <c r="AI1992" s="10"/>
    </row>
    <row r="1993" spans="1:35">
      <c r="A1993" s="10"/>
      <c r="B1993" s="10" t="str">
        <f t="shared" si="801"/>
        <v>Below the Line</v>
      </c>
      <c r="C1993" t="s">
        <v>20</v>
      </c>
      <c r="D1993" t="s">
        <v>19</v>
      </c>
      <c r="E1993" t="s">
        <v>214</v>
      </c>
      <c r="G1993" t="s">
        <v>1122</v>
      </c>
      <c r="I1993" s="10"/>
      <c r="J1993" s="107">
        <f>SUMIF(Data!C:C,G1993,Data!Q:Q)</f>
        <v>0</v>
      </c>
      <c r="K1993" s="107">
        <f>SUMIF(Comprometidos!A:A,'Cost Report'!G1993,Comprometidos!E:E)</f>
        <v>0</v>
      </c>
      <c r="L1993" s="107">
        <f t="shared" si="786"/>
        <v>0</v>
      </c>
      <c r="M1993" s="107">
        <f t="shared" si="787"/>
        <v>0</v>
      </c>
      <c r="N1993" s="107">
        <f t="shared" si="788"/>
        <v>0</v>
      </c>
      <c r="O1993" s="107">
        <f>VLOOKUP(G1993,Budget!$E$3:$G$2474,3,0)</f>
        <v>0</v>
      </c>
      <c r="P1993" s="107">
        <f t="shared" si="789"/>
        <v>0</v>
      </c>
      <c r="Q1993" s="107"/>
      <c r="R1993" s="10"/>
      <c r="S1993" s="107">
        <v>0</v>
      </c>
      <c r="T1993" s="107">
        <f t="shared" si="771"/>
        <v>0</v>
      </c>
      <c r="U1993" s="107"/>
      <c r="V1993" s="175"/>
      <c r="W1993" s="10"/>
      <c r="X1993" s="10"/>
      <c r="Y1993" t="str">
        <f t="shared" si="802"/>
        <v>3901</v>
      </c>
      <c r="AB1993" s="10"/>
      <c r="AC1993" s="10"/>
      <c r="AD1993" s="10"/>
      <c r="AE1993" s="10"/>
      <c r="AF1993" s="10"/>
      <c r="AG1993" s="10"/>
      <c r="AH1993" s="10"/>
      <c r="AI1993" s="10"/>
    </row>
    <row r="1994" spans="1:35">
      <c r="A1994" s="10"/>
      <c r="B1994" s="10" t="str">
        <f t="shared" si="801"/>
        <v>Below the LineALL SHOW</v>
      </c>
      <c r="C1994" t="s">
        <v>20</v>
      </c>
      <c r="D1994" t="s">
        <v>19</v>
      </c>
      <c r="E1994" t="s">
        <v>227</v>
      </c>
      <c r="G1994" t="s">
        <v>1123</v>
      </c>
      <c r="I1994" s="10"/>
      <c r="J1994" s="107">
        <f>SUMIF(Data!C:C,G1994,Data!Q:Q)</f>
        <v>0</v>
      </c>
      <c r="K1994" s="107">
        <f>SUMIF(Comprometidos!A:A,'Cost Report'!G1994,Comprometidos!E:E)</f>
        <v>0</v>
      </c>
      <c r="L1994" s="107">
        <f t="shared" si="786"/>
        <v>0</v>
      </c>
      <c r="M1994" s="107">
        <v>0</v>
      </c>
      <c r="N1994" s="107">
        <f t="shared" si="788"/>
        <v>0</v>
      </c>
      <c r="O1994" s="107">
        <f>VLOOKUP(G1994,Budget!$E$3:$G$2474,3,0)</f>
        <v>2451</v>
      </c>
      <c r="P1994" s="107">
        <f t="shared" si="789"/>
        <v>2451</v>
      </c>
      <c r="Q1994" s="107"/>
      <c r="R1994" s="10"/>
      <c r="S1994" s="107">
        <v>0</v>
      </c>
      <c r="T1994" s="107">
        <f t="shared" si="771"/>
        <v>0</v>
      </c>
      <c r="U1994" s="107"/>
      <c r="V1994" s="175"/>
      <c r="W1994" s="10"/>
      <c r="X1994" s="10"/>
      <c r="Y1994" t="str">
        <f t="shared" si="802"/>
        <v>3901</v>
      </c>
      <c r="AB1994" s="10"/>
      <c r="AC1994" s="10"/>
      <c r="AD1994" s="10"/>
      <c r="AE1994" s="10"/>
      <c r="AF1994" s="10"/>
      <c r="AG1994" s="10"/>
      <c r="AH1994" s="10"/>
      <c r="AI1994" s="10"/>
    </row>
    <row r="1995" spans="1:35">
      <c r="A1995" s="10"/>
      <c r="B1995" s="10" t="str">
        <f t="shared" si="801"/>
        <v>Below the LineALL SHOW</v>
      </c>
      <c r="C1995" t="s">
        <v>20</v>
      </c>
      <c r="D1995" t="s">
        <v>19</v>
      </c>
      <c r="E1995" t="s">
        <v>227</v>
      </c>
      <c r="G1995" t="s">
        <v>1124</v>
      </c>
      <c r="I1995" s="10"/>
      <c r="J1995" s="107">
        <f>SUMIF(Data!C:C,G1995,Data!Q:Q)</f>
        <v>4551</v>
      </c>
      <c r="K1995" s="107">
        <f>SUMIF(Comprometidos!A:A,'Cost Report'!G1995,Comprometidos!E:E)</f>
        <v>0</v>
      </c>
      <c r="L1995" s="107">
        <f t="shared" si="786"/>
        <v>4551</v>
      </c>
      <c r="M1995" s="107">
        <v>0</v>
      </c>
      <c r="N1995" s="107">
        <f t="shared" si="788"/>
        <v>4551</v>
      </c>
      <c r="O1995" s="107">
        <f>VLOOKUP(G1995,Budget!$E$3:$G$2474,3,0)</f>
        <v>2250</v>
      </c>
      <c r="P1995" s="107">
        <f t="shared" si="789"/>
        <v>-2301</v>
      </c>
      <c r="Q1995" s="107"/>
      <c r="R1995" s="10"/>
      <c r="S1995" s="107">
        <v>4551</v>
      </c>
      <c r="T1995" s="107">
        <f t="shared" si="771"/>
        <v>0</v>
      </c>
      <c r="U1995" s="107"/>
      <c r="V1995" s="175"/>
      <c r="W1995" s="10"/>
      <c r="X1995" s="10"/>
      <c r="Y1995" t="str">
        <f t="shared" si="802"/>
        <v>3901</v>
      </c>
      <c r="AB1995" s="10"/>
      <c r="AC1995" s="10"/>
      <c r="AD1995" s="10"/>
      <c r="AE1995" s="10"/>
      <c r="AF1995" s="10"/>
      <c r="AG1995" s="10"/>
      <c r="AH1995" s="10"/>
      <c r="AI1995" s="10"/>
    </row>
    <row r="1996" spans="1:35">
      <c r="A1996" s="10"/>
      <c r="B1996" s="10" t="str">
        <f t="shared" si="801"/>
        <v>Below the Line</v>
      </c>
      <c r="C1996" t="s">
        <v>20</v>
      </c>
      <c r="D1996" t="s">
        <v>19</v>
      </c>
      <c r="E1996" t="s">
        <v>214</v>
      </c>
      <c r="G1996" t="s">
        <v>1125</v>
      </c>
      <c r="I1996" s="10"/>
      <c r="J1996" s="107">
        <f>SUMIF(Data!C:C,G1996,Data!Q:Q)</f>
        <v>0</v>
      </c>
      <c r="K1996" s="107">
        <f>SUMIF(Comprometidos!A:A,'Cost Report'!G1996,Comprometidos!E:E)</f>
        <v>0</v>
      </c>
      <c r="L1996" s="107">
        <f t="shared" si="786"/>
        <v>0</v>
      </c>
      <c r="M1996" s="107">
        <f t="shared" si="787"/>
        <v>0</v>
      </c>
      <c r="N1996" s="107">
        <f t="shared" si="788"/>
        <v>0</v>
      </c>
      <c r="O1996" s="107">
        <f>VLOOKUP(G1996,Budget!$E$3:$G$2474,3,0)</f>
        <v>0</v>
      </c>
      <c r="P1996" s="107">
        <f t="shared" si="789"/>
        <v>0</v>
      </c>
      <c r="Q1996" s="107"/>
      <c r="R1996" s="10"/>
      <c r="S1996" s="107">
        <v>0</v>
      </c>
      <c r="T1996" s="107">
        <f t="shared" si="771"/>
        <v>0</v>
      </c>
      <c r="U1996" s="107"/>
      <c r="V1996" s="175"/>
      <c r="W1996" s="10"/>
      <c r="X1996" s="10"/>
      <c r="Y1996" t="str">
        <f t="shared" si="802"/>
        <v>3901</v>
      </c>
      <c r="AB1996" s="10"/>
      <c r="AC1996" s="10"/>
      <c r="AD1996" s="10"/>
      <c r="AE1996" s="10"/>
      <c r="AF1996" s="10"/>
      <c r="AG1996" s="10"/>
      <c r="AH1996" s="10"/>
      <c r="AI1996" s="10"/>
    </row>
    <row r="1997" spans="1:35">
      <c r="A1997" s="10"/>
      <c r="B1997" s="10" t="str">
        <f t="shared" si="801"/>
        <v>Below the LineALL SHOW</v>
      </c>
      <c r="C1997" t="s">
        <v>20</v>
      </c>
      <c r="D1997" t="s">
        <v>19</v>
      </c>
      <c r="E1997" t="s">
        <v>227</v>
      </c>
      <c r="G1997" t="s">
        <v>1126</v>
      </c>
      <c r="I1997" s="10"/>
      <c r="J1997" s="107">
        <f>SUMIF(Data!C:C,G1997,Data!Q:Q)</f>
        <v>4809.49</v>
      </c>
      <c r="K1997" s="107">
        <f>SUMIF(Comprometidos!A:A,'Cost Report'!G1997,Comprometidos!E:E)</f>
        <v>0</v>
      </c>
      <c r="L1997" s="107">
        <f t="shared" si="786"/>
        <v>4809.49</v>
      </c>
      <c r="M1997" s="107">
        <v>0</v>
      </c>
      <c r="N1997" s="107">
        <f t="shared" si="788"/>
        <v>4809.49</v>
      </c>
      <c r="O1997" s="107">
        <f>VLOOKUP(G1997,Budget!$E$3:$G$2474,3,0)</f>
        <v>2250</v>
      </c>
      <c r="P1997" s="107">
        <f t="shared" si="789"/>
        <v>-2559.4899999999998</v>
      </c>
      <c r="Q1997" s="107"/>
      <c r="R1997" s="10"/>
      <c r="S1997" s="107">
        <v>4809.49</v>
      </c>
      <c r="T1997" s="107">
        <f t="shared" si="771"/>
        <v>0</v>
      </c>
      <c r="U1997" s="107"/>
      <c r="V1997" s="175"/>
      <c r="W1997" s="10"/>
      <c r="X1997" s="10"/>
      <c r="Y1997" t="str">
        <f t="shared" si="802"/>
        <v>3901</v>
      </c>
      <c r="AB1997" s="10"/>
      <c r="AC1997" s="10"/>
      <c r="AD1997" s="10"/>
      <c r="AE1997" s="10"/>
      <c r="AF1997" s="10"/>
      <c r="AG1997" s="10"/>
      <c r="AH1997" s="10"/>
      <c r="AI1997" s="10"/>
    </row>
    <row r="1998" spans="1:35">
      <c r="A1998" s="10"/>
      <c r="B1998" s="10" t="str">
        <f t="shared" si="801"/>
        <v>Below the LineALL SHOW</v>
      </c>
      <c r="C1998" t="s">
        <v>20</v>
      </c>
      <c r="D1998" t="s">
        <v>19</v>
      </c>
      <c r="E1998" t="s">
        <v>227</v>
      </c>
      <c r="G1998" t="s">
        <v>1127</v>
      </c>
      <c r="I1998" s="10"/>
      <c r="J1998" s="107">
        <f>SUMIF(Data!C:C,G1998,Data!Q:Q)</f>
        <v>0</v>
      </c>
      <c r="K1998" s="107">
        <f>SUMIF(Comprometidos!A:A,'Cost Report'!G1998,Comprometidos!E:E)</f>
        <v>0</v>
      </c>
      <c r="L1998" s="107">
        <f t="shared" si="786"/>
        <v>0</v>
      </c>
      <c r="M1998" s="107">
        <v>0</v>
      </c>
      <c r="N1998" s="107">
        <f t="shared" si="788"/>
        <v>0</v>
      </c>
      <c r="O1998" s="107">
        <f>VLOOKUP(G1998,Budget!$E$3:$G$2474,3,0)</f>
        <v>2250</v>
      </c>
      <c r="P1998" s="107">
        <f t="shared" si="789"/>
        <v>2250</v>
      </c>
      <c r="Q1998" s="107"/>
      <c r="R1998" s="10"/>
      <c r="S1998" s="107">
        <v>0</v>
      </c>
      <c r="T1998" s="107">
        <f t="shared" si="771"/>
        <v>0</v>
      </c>
      <c r="U1998" s="107"/>
      <c r="V1998" s="175"/>
      <c r="W1998" s="10"/>
      <c r="X1998" s="10"/>
      <c r="Y1998" t="str">
        <f t="shared" si="802"/>
        <v>3901</v>
      </c>
      <c r="AB1998" s="10"/>
      <c r="AC1998" s="10"/>
      <c r="AD1998" s="10"/>
      <c r="AE1998" s="10"/>
      <c r="AF1998" s="10"/>
      <c r="AG1998" s="10"/>
      <c r="AH1998" s="10"/>
      <c r="AI1998" s="10"/>
    </row>
    <row r="1999" spans="1:35">
      <c r="A1999" s="10"/>
      <c r="B1999" s="10" t="str">
        <f t="shared" si="801"/>
        <v>Below the Line</v>
      </c>
      <c r="C1999" t="s">
        <v>20</v>
      </c>
      <c r="D1999" t="s">
        <v>19</v>
      </c>
      <c r="E1999" t="s">
        <v>214</v>
      </c>
      <c r="G1999" t="s">
        <v>1128</v>
      </c>
      <c r="I1999" s="10"/>
      <c r="J1999" s="107">
        <f>SUMIF(Data!C:C,G1999,Data!Q:Q)</f>
        <v>0</v>
      </c>
      <c r="K1999" s="107">
        <f>SUMIF(Comprometidos!A:A,'Cost Report'!G1999,Comprometidos!E:E)</f>
        <v>0</v>
      </c>
      <c r="L1999" s="107">
        <f t="shared" si="786"/>
        <v>0</v>
      </c>
      <c r="M1999" s="107">
        <f t="shared" si="787"/>
        <v>0</v>
      </c>
      <c r="N1999" s="107">
        <f t="shared" si="788"/>
        <v>0</v>
      </c>
      <c r="O1999" s="107">
        <f>VLOOKUP(G1999,Budget!$E$3:$G$2474,3,0)</f>
        <v>0</v>
      </c>
      <c r="P1999" s="107">
        <f t="shared" si="789"/>
        <v>0</v>
      </c>
      <c r="Q1999" s="107"/>
      <c r="R1999" s="10"/>
      <c r="S1999" s="107">
        <v>0</v>
      </c>
      <c r="T1999" s="107">
        <f t="shared" si="771"/>
        <v>0</v>
      </c>
      <c r="U1999" s="107"/>
      <c r="V1999" s="175"/>
      <c r="W1999" s="10"/>
      <c r="X1999" s="10"/>
      <c r="Y1999" t="str">
        <f t="shared" si="802"/>
        <v>3901</v>
      </c>
      <c r="AB1999" s="10"/>
      <c r="AC1999" s="10"/>
      <c r="AD1999" s="10"/>
      <c r="AE1999" s="10"/>
      <c r="AF1999" s="10"/>
      <c r="AG1999" s="10"/>
      <c r="AH1999" s="10"/>
      <c r="AI1999" s="10"/>
    </row>
    <row r="2000" spans="1:35">
      <c r="A2000" s="10"/>
      <c r="B2000" s="10" t="str">
        <f t="shared" si="801"/>
        <v>Below the LineALL SHOW</v>
      </c>
      <c r="C2000" t="s">
        <v>20</v>
      </c>
      <c r="D2000" t="s">
        <v>19</v>
      </c>
      <c r="E2000" t="s">
        <v>227</v>
      </c>
      <c r="G2000" t="s">
        <v>1129</v>
      </c>
      <c r="I2000" s="10"/>
      <c r="J2000" s="107">
        <f>SUMIF(Data!C:C,G2000,Data!Q:Q)</f>
        <v>3458.69</v>
      </c>
      <c r="K2000" s="107">
        <f>SUMIF(Comprometidos!A:A,'Cost Report'!G2000,Comprometidos!E:E)</f>
        <v>0</v>
      </c>
      <c r="L2000" s="107">
        <f t="shared" si="786"/>
        <v>3458.69</v>
      </c>
      <c r="M2000" s="107">
        <v>0</v>
      </c>
      <c r="N2000" s="107">
        <f t="shared" si="788"/>
        <v>3458.69</v>
      </c>
      <c r="O2000" s="107">
        <f>VLOOKUP(G2000,Budget!$E$3:$G$2474,3,0)</f>
        <v>2250</v>
      </c>
      <c r="P2000" s="107">
        <f t="shared" si="789"/>
        <v>-1208.69</v>
      </c>
      <c r="Q2000" s="107"/>
      <c r="R2000" s="10"/>
      <c r="S2000" s="107">
        <v>3458.69</v>
      </c>
      <c r="T2000" s="107">
        <f t="shared" si="771"/>
        <v>0</v>
      </c>
      <c r="U2000" s="107"/>
      <c r="V2000" s="175"/>
      <c r="W2000" s="10"/>
      <c r="X2000" s="10"/>
      <c r="Y2000" t="str">
        <f t="shared" si="802"/>
        <v>3901</v>
      </c>
      <c r="AB2000" s="10"/>
      <c r="AC2000" s="10"/>
      <c r="AD2000" s="10"/>
      <c r="AE2000" s="10"/>
      <c r="AF2000" s="10"/>
      <c r="AG2000" s="10"/>
      <c r="AH2000" s="10"/>
      <c r="AI2000" s="10"/>
    </row>
    <row r="2001" spans="1:35">
      <c r="A2001" s="10"/>
      <c r="B2001" s="10" t="str">
        <f t="shared" si="801"/>
        <v>Below the LineALL SHOW</v>
      </c>
      <c r="C2001" t="s">
        <v>20</v>
      </c>
      <c r="D2001" t="s">
        <v>19</v>
      </c>
      <c r="E2001" t="s">
        <v>227</v>
      </c>
      <c r="G2001" t="s">
        <v>1130</v>
      </c>
      <c r="I2001" s="10"/>
      <c r="J2001" s="107">
        <f>SUMIF(Data!C:C,G2001,Data!Q:Q)</f>
        <v>3827.73</v>
      </c>
      <c r="K2001" s="107">
        <f>SUMIF(Comprometidos!A:A,'Cost Report'!G2001,Comprometidos!E:E)</f>
        <v>0</v>
      </c>
      <c r="L2001" s="107">
        <f t="shared" si="786"/>
        <v>3827.73</v>
      </c>
      <c r="M2001" s="107">
        <v>0</v>
      </c>
      <c r="N2001" s="107">
        <f t="shared" si="788"/>
        <v>3827.73</v>
      </c>
      <c r="O2001" s="107">
        <f>VLOOKUP(G2001,Budget!$E$3:$G$2474,3,0)</f>
        <v>2250</v>
      </c>
      <c r="P2001" s="107">
        <f t="shared" si="789"/>
        <v>-1577.73</v>
      </c>
      <c r="Q2001" s="107"/>
      <c r="R2001" s="10"/>
      <c r="S2001" s="107">
        <v>3827.73</v>
      </c>
      <c r="T2001" s="107">
        <f t="shared" si="771"/>
        <v>0</v>
      </c>
      <c r="U2001" s="107"/>
      <c r="V2001" s="175"/>
      <c r="W2001" s="10"/>
      <c r="X2001" s="10"/>
      <c r="Y2001" t="str">
        <f t="shared" si="802"/>
        <v>3901</v>
      </c>
      <c r="AB2001" s="10"/>
      <c r="AC2001" s="10"/>
      <c r="AD2001" s="10"/>
      <c r="AE2001" s="10"/>
      <c r="AF2001" s="10"/>
      <c r="AG2001" s="10"/>
      <c r="AH2001" s="10"/>
      <c r="AI2001" s="10"/>
    </row>
    <row r="2002" spans="1:35">
      <c r="A2002" s="10"/>
      <c r="B2002" s="10" t="str">
        <f t="shared" si="801"/>
        <v>Below the Line</v>
      </c>
      <c r="C2002" t="s">
        <v>20</v>
      </c>
      <c r="D2002" t="s">
        <v>19</v>
      </c>
      <c r="E2002" t="s">
        <v>214</v>
      </c>
      <c r="G2002" t="s">
        <v>1131</v>
      </c>
      <c r="I2002" s="10"/>
      <c r="J2002" s="107">
        <f>SUMIF(Data!C:C,G2002,Data!Q:Q)</f>
        <v>0</v>
      </c>
      <c r="K2002" s="107">
        <f>SUMIF(Comprometidos!A:A,'Cost Report'!G2002,Comprometidos!E:E)</f>
        <v>0</v>
      </c>
      <c r="L2002" s="107">
        <f t="shared" si="786"/>
        <v>0</v>
      </c>
      <c r="M2002" s="107">
        <f t="shared" si="787"/>
        <v>0</v>
      </c>
      <c r="N2002" s="107">
        <f t="shared" si="788"/>
        <v>0</v>
      </c>
      <c r="O2002" s="107">
        <f>VLOOKUP(G2002,Budget!$E$3:$G$2474,3,0)</f>
        <v>0</v>
      </c>
      <c r="P2002" s="107">
        <f t="shared" si="789"/>
        <v>0</v>
      </c>
      <c r="Q2002" s="107"/>
      <c r="R2002" s="10"/>
      <c r="S2002" s="107">
        <v>0</v>
      </c>
      <c r="T2002" s="107">
        <f t="shared" si="771"/>
        <v>0</v>
      </c>
      <c r="U2002" s="107"/>
      <c r="V2002" s="175"/>
      <c r="W2002" s="10"/>
      <c r="X2002" s="10"/>
      <c r="Y2002" t="str">
        <f t="shared" si="802"/>
        <v>3901</v>
      </c>
      <c r="AB2002" s="10"/>
      <c r="AC2002" s="10"/>
      <c r="AD2002" s="10"/>
      <c r="AE2002" s="10"/>
      <c r="AF2002" s="10"/>
      <c r="AG2002" s="10"/>
      <c r="AH2002" s="10"/>
      <c r="AI2002" s="10"/>
    </row>
    <row r="2003" spans="1:35">
      <c r="A2003" s="10"/>
      <c r="B2003" s="10" t="str">
        <f t="shared" si="801"/>
        <v>Below the LineALL SHOW</v>
      </c>
      <c r="C2003" t="s">
        <v>20</v>
      </c>
      <c r="D2003" t="s">
        <v>19</v>
      </c>
      <c r="E2003" t="s">
        <v>227</v>
      </c>
      <c r="G2003" t="s">
        <v>1132</v>
      </c>
      <c r="I2003" s="10"/>
      <c r="J2003" s="107">
        <f>SUMIF(Data!C:C,G2003,Data!Q:Q)</f>
        <v>2128.0500000000002</v>
      </c>
      <c r="K2003" s="107">
        <f>SUMIF(Comprometidos!A:A,'Cost Report'!G2003,Comprometidos!E:E)</f>
        <v>0</v>
      </c>
      <c r="L2003" s="107">
        <f t="shared" si="786"/>
        <v>2128.0500000000002</v>
      </c>
      <c r="M2003" s="107">
        <v>0</v>
      </c>
      <c r="N2003" s="107">
        <f t="shared" si="788"/>
        <v>2128.0500000000002</v>
      </c>
      <c r="O2003" s="107">
        <f>VLOOKUP(G2003,Budget!$E$3:$G$2474,3,0)</f>
        <v>2250</v>
      </c>
      <c r="P2003" s="107">
        <f t="shared" si="789"/>
        <v>121.94999999999982</v>
      </c>
      <c r="Q2003" s="107"/>
      <c r="R2003" s="10"/>
      <c r="S2003" s="107">
        <v>2128.0500000000002</v>
      </c>
      <c r="T2003" s="107">
        <f t="shared" si="771"/>
        <v>0</v>
      </c>
      <c r="U2003" s="107"/>
      <c r="V2003" s="175"/>
      <c r="W2003" s="10"/>
      <c r="X2003" s="10"/>
      <c r="Y2003" t="str">
        <f t="shared" si="802"/>
        <v>3901</v>
      </c>
      <c r="AB2003" s="10"/>
      <c r="AC2003" s="10"/>
      <c r="AD2003" s="10"/>
      <c r="AE2003" s="10"/>
      <c r="AF2003" s="10"/>
      <c r="AG2003" s="10"/>
      <c r="AH2003" s="10"/>
      <c r="AI2003" s="10"/>
    </row>
    <row r="2004" spans="1:35">
      <c r="A2004" s="10"/>
      <c r="B2004" s="10" t="str">
        <f t="shared" si="801"/>
        <v>Below the LineALL SHOW</v>
      </c>
      <c r="C2004" t="s">
        <v>20</v>
      </c>
      <c r="D2004" t="s">
        <v>19</v>
      </c>
      <c r="E2004" t="s">
        <v>227</v>
      </c>
      <c r="G2004" t="s">
        <v>1133</v>
      </c>
      <c r="I2004" s="10"/>
      <c r="J2004" s="107">
        <f>SUMIF(Data!C:C,G2004,Data!Q:Q)</f>
        <v>1988.94</v>
      </c>
      <c r="K2004" s="107">
        <f>SUMIF(Comprometidos!A:A,'Cost Report'!G2004,Comprometidos!E:E)</f>
        <v>0</v>
      </c>
      <c r="L2004" s="107">
        <f t="shared" si="786"/>
        <v>1988.94</v>
      </c>
      <c r="M2004" s="107">
        <v>0</v>
      </c>
      <c r="N2004" s="107">
        <f t="shared" si="788"/>
        <v>1988.94</v>
      </c>
      <c r="O2004" s="107">
        <f>VLOOKUP(G2004,Budget!$E$3:$G$2474,3,0)</f>
        <v>2250</v>
      </c>
      <c r="P2004" s="107">
        <f t="shared" si="789"/>
        <v>261.05999999999995</v>
      </c>
      <c r="Q2004" s="107"/>
      <c r="R2004" s="10"/>
      <c r="S2004" s="107">
        <v>1988.94</v>
      </c>
      <c r="T2004" s="107">
        <f t="shared" si="771"/>
        <v>0</v>
      </c>
      <c r="U2004" s="107"/>
      <c r="V2004" s="175"/>
      <c r="W2004" s="10"/>
      <c r="X2004" s="10"/>
      <c r="Y2004" t="str">
        <f t="shared" si="802"/>
        <v>3901</v>
      </c>
      <c r="AB2004" s="10"/>
      <c r="AC2004" s="10"/>
      <c r="AD2004" s="10"/>
      <c r="AE2004" s="10"/>
      <c r="AF2004" s="10"/>
      <c r="AG2004" s="10"/>
      <c r="AH2004" s="10"/>
      <c r="AI2004" s="10"/>
    </row>
    <row r="2005" spans="1:35">
      <c r="A2005" s="10"/>
      <c r="B2005" s="10" t="str">
        <f t="shared" si="801"/>
        <v>Below the Line</v>
      </c>
      <c r="C2005" t="s">
        <v>20</v>
      </c>
      <c r="D2005" t="s">
        <v>19</v>
      </c>
      <c r="E2005" t="s">
        <v>214</v>
      </c>
      <c r="G2005" t="s">
        <v>1134</v>
      </c>
      <c r="I2005" s="10"/>
      <c r="J2005" s="107">
        <f>SUMIF(Data!C:C,G2005,Data!Q:Q)</f>
        <v>0</v>
      </c>
      <c r="K2005" s="107">
        <f>SUMIF(Comprometidos!A:A,'Cost Report'!G2005,Comprometidos!E:E)</f>
        <v>0</v>
      </c>
      <c r="L2005" s="107">
        <f t="shared" si="786"/>
        <v>0</v>
      </c>
      <c r="M2005" s="107">
        <f t="shared" si="787"/>
        <v>0</v>
      </c>
      <c r="N2005" s="107">
        <f t="shared" si="788"/>
        <v>0</v>
      </c>
      <c r="O2005" s="107">
        <f>VLOOKUP(G2005,Budget!$E$3:$G$2474,3,0)</f>
        <v>0</v>
      </c>
      <c r="P2005" s="107">
        <f t="shared" si="789"/>
        <v>0</v>
      </c>
      <c r="Q2005" s="107"/>
      <c r="R2005" s="10"/>
      <c r="S2005" s="107">
        <v>0</v>
      </c>
      <c r="T2005" s="107">
        <f t="shared" si="771"/>
        <v>0</v>
      </c>
      <c r="U2005" s="107"/>
      <c r="V2005" s="175"/>
      <c r="W2005" s="10"/>
      <c r="X2005" s="10"/>
      <c r="Y2005" t="str">
        <f t="shared" si="802"/>
        <v>3901</v>
      </c>
      <c r="AB2005" s="10"/>
      <c r="AC2005" s="10"/>
      <c r="AD2005" s="10"/>
      <c r="AE2005" s="10"/>
      <c r="AF2005" s="10"/>
      <c r="AG2005" s="10"/>
      <c r="AH2005" s="10"/>
      <c r="AI2005" s="10"/>
    </row>
    <row r="2006" spans="1:35">
      <c r="A2006" s="10"/>
      <c r="B2006" s="10" t="str">
        <f t="shared" si="801"/>
        <v>Below the LineALL SHOW</v>
      </c>
      <c r="C2006" t="s">
        <v>20</v>
      </c>
      <c r="D2006" t="s">
        <v>19</v>
      </c>
      <c r="E2006" t="s">
        <v>227</v>
      </c>
      <c r="G2006" t="s">
        <v>1135</v>
      </c>
      <c r="I2006" s="10"/>
      <c r="J2006" s="107">
        <f>SUMIF(Data!C:C,G2006,Data!Q:Q)</f>
        <v>0</v>
      </c>
      <c r="K2006" s="107">
        <f>SUMIF(Comprometidos!A:A,'Cost Report'!G2006,Comprometidos!E:E)</f>
        <v>0</v>
      </c>
      <c r="L2006" s="107">
        <f t="shared" si="786"/>
        <v>0</v>
      </c>
      <c r="M2006" s="107">
        <v>0</v>
      </c>
      <c r="N2006" s="107">
        <f t="shared" si="788"/>
        <v>0</v>
      </c>
      <c r="O2006" s="107">
        <f>VLOOKUP(G2006,Budget!$E$3:$G$2474,3,0)</f>
        <v>2250</v>
      </c>
      <c r="P2006" s="107">
        <f t="shared" si="789"/>
        <v>2250</v>
      </c>
      <c r="Q2006" s="107"/>
      <c r="R2006" s="10"/>
      <c r="S2006" s="107">
        <v>0</v>
      </c>
      <c r="T2006" s="107">
        <f t="shared" si="771"/>
        <v>0</v>
      </c>
      <c r="U2006" s="107"/>
      <c r="V2006" s="175"/>
      <c r="W2006" s="10"/>
      <c r="X2006" s="10"/>
      <c r="Y2006" t="str">
        <f t="shared" si="802"/>
        <v>3901</v>
      </c>
      <c r="AB2006" s="10"/>
      <c r="AC2006" s="10"/>
      <c r="AD2006" s="10"/>
      <c r="AE2006" s="10"/>
      <c r="AF2006" s="10"/>
      <c r="AG2006" s="10"/>
      <c r="AH2006" s="10"/>
      <c r="AI2006" s="10"/>
    </row>
    <row r="2007" spans="1:35">
      <c r="A2007" s="10"/>
      <c r="B2007" s="10" t="str">
        <f t="shared" si="801"/>
        <v>Below the LineALL SHOW</v>
      </c>
      <c r="C2007" t="s">
        <v>20</v>
      </c>
      <c r="D2007" t="s">
        <v>19</v>
      </c>
      <c r="E2007" t="s">
        <v>227</v>
      </c>
      <c r="G2007" t="s">
        <v>1136</v>
      </c>
      <c r="I2007" s="10"/>
      <c r="J2007" s="107">
        <f>SUMIF(Data!C:C,G2007,Data!Q:Q)</f>
        <v>4342.3900000000003</v>
      </c>
      <c r="K2007" s="107">
        <f>SUMIF(Comprometidos!A:A,'Cost Report'!G2007,Comprometidos!E:E)</f>
        <v>0</v>
      </c>
      <c r="L2007" s="107">
        <f t="shared" si="786"/>
        <v>4342.3900000000003</v>
      </c>
      <c r="M2007" s="107">
        <v>0</v>
      </c>
      <c r="N2007" s="107">
        <f t="shared" si="788"/>
        <v>4342.3900000000003</v>
      </c>
      <c r="O2007" s="107">
        <f>VLOOKUP(G2007,Budget!$E$3:$G$2474,3,0)</f>
        <v>2250</v>
      </c>
      <c r="P2007" s="107">
        <f t="shared" si="789"/>
        <v>-2092.3900000000003</v>
      </c>
      <c r="Q2007" s="107"/>
      <c r="R2007" s="10"/>
      <c r="S2007" s="107">
        <v>4342.3900000000003</v>
      </c>
      <c r="T2007" s="107">
        <f t="shared" si="771"/>
        <v>0</v>
      </c>
      <c r="U2007" s="107"/>
      <c r="V2007" s="175"/>
      <c r="W2007" s="10"/>
      <c r="X2007" s="10"/>
      <c r="Y2007" t="str">
        <f t="shared" si="802"/>
        <v>3901</v>
      </c>
      <c r="AB2007" s="10"/>
      <c r="AC2007" s="10"/>
      <c r="AD2007" s="10"/>
      <c r="AE2007" s="10"/>
      <c r="AF2007" s="10"/>
      <c r="AG2007" s="10"/>
      <c r="AH2007" s="10"/>
      <c r="AI2007" s="10"/>
    </row>
    <row r="2008" spans="1:35">
      <c r="A2008" s="10"/>
      <c r="B2008" s="10" t="str">
        <f t="shared" si="801"/>
        <v>Below the Line</v>
      </c>
      <c r="C2008" t="s">
        <v>20</v>
      </c>
      <c r="D2008" t="s">
        <v>19</v>
      </c>
      <c r="E2008" t="s">
        <v>214</v>
      </c>
      <c r="G2008" t="s">
        <v>1766</v>
      </c>
      <c r="I2008" s="10"/>
      <c r="J2008" s="107">
        <f>SUMIF(Data!C:C,G2008,Data!Q:Q)</f>
        <v>0</v>
      </c>
      <c r="K2008" s="107">
        <f>SUMIF(Comprometidos!A:A,'Cost Report'!G2008,Comprometidos!E:E)</f>
        <v>0</v>
      </c>
      <c r="L2008" s="107">
        <f t="shared" si="786"/>
        <v>0</v>
      </c>
      <c r="M2008" s="107">
        <f t="shared" si="787"/>
        <v>0</v>
      </c>
      <c r="N2008" s="107">
        <f t="shared" si="788"/>
        <v>0</v>
      </c>
      <c r="O2008" s="107">
        <f>VLOOKUP(G2008,Budget!$E$3:$G$2474,3,0)</f>
        <v>0</v>
      </c>
      <c r="P2008" s="107">
        <f t="shared" si="789"/>
        <v>0</v>
      </c>
      <c r="Q2008" s="107"/>
      <c r="R2008" s="10"/>
      <c r="S2008" s="107">
        <v>0</v>
      </c>
      <c r="T2008" s="107">
        <f t="shared" si="771"/>
        <v>0</v>
      </c>
      <c r="U2008" s="107"/>
      <c r="V2008" s="175"/>
      <c r="W2008" s="10"/>
      <c r="X2008" s="10"/>
      <c r="Y2008" t="str">
        <f t="shared" si="802"/>
        <v>3901</v>
      </c>
      <c r="AB2008" s="10"/>
      <c r="AC2008" s="10"/>
      <c r="AD2008" s="10"/>
      <c r="AE2008" s="10"/>
      <c r="AF2008" s="10"/>
      <c r="AG2008" s="10"/>
      <c r="AH2008" s="10"/>
      <c r="AI2008" s="10"/>
    </row>
    <row r="2009" spans="1:35">
      <c r="A2009" s="10"/>
      <c r="B2009" s="10" t="str">
        <f t="shared" si="801"/>
        <v>Below the LineALL SHOW</v>
      </c>
      <c r="C2009" t="s">
        <v>20</v>
      </c>
      <c r="D2009" t="s">
        <v>19</v>
      </c>
      <c r="E2009" t="s">
        <v>227</v>
      </c>
      <c r="G2009" t="s">
        <v>1767</v>
      </c>
      <c r="I2009" s="10"/>
      <c r="J2009" s="107">
        <f>SUMIF(Data!C:C,G2009,Data!Q:Q)</f>
        <v>18099.63</v>
      </c>
      <c r="K2009" s="107">
        <f>SUMIF(Comprometidos!A:A,'Cost Report'!G2009,Comprometidos!E:E)</f>
        <v>0</v>
      </c>
      <c r="L2009" s="107">
        <f t="shared" si="786"/>
        <v>18099.63</v>
      </c>
      <c r="M2009" s="107">
        <v>0</v>
      </c>
      <c r="N2009" s="107">
        <f t="shared" si="788"/>
        <v>18099.63</v>
      </c>
      <c r="O2009" s="107">
        <f>VLOOKUP(G2009,Budget!$E$3:$G$2474,3,0)</f>
        <v>9000</v>
      </c>
      <c r="P2009" s="107">
        <f t="shared" si="789"/>
        <v>-9099.630000000001</v>
      </c>
      <c r="Q2009" s="107"/>
      <c r="R2009" s="10"/>
      <c r="S2009" s="107">
        <v>18099.63</v>
      </c>
      <c r="T2009" s="107">
        <f t="shared" si="771"/>
        <v>0</v>
      </c>
      <c r="U2009" s="107"/>
      <c r="V2009" s="175"/>
      <c r="W2009" s="10"/>
      <c r="X2009" s="10"/>
      <c r="Y2009" t="str">
        <f t="shared" si="802"/>
        <v>3901</v>
      </c>
      <c r="AB2009" s="10"/>
      <c r="AC2009" s="10"/>
      <c r="AD2009" s="10"/>
      <c r="AE2009" s="10"/>
      <c r="AF2009" s="10"/>
      <c r="AG2009" s="10"/>
      <c r="AH2009" s="10"/>
      <c r="AI2009" s="10"/>
    </row>
    <row r="2010" spans="1:35">
      <c r="A2010" s="10"/>
      <c r="B2010" s="10" t="str">
        <f t="shared" si="801"/>
        <v>Below the LineALL SHOW</v>
      </c>
      <c r="C2010" t="s">
        <v>20</v>
      </c>
      <c r="D2010" t="s">
        <v>19</v>
      </c>
      <c r="E2010" t="s">
        <v>227</v>
      </c>
      <c r="G2010" t="s">
        <v>1768</v>
      </c>
      <c r="I2010" s="10"/>
      <c r="J2010" s="107">
        <f>SUMIF(Data!C:C,G2010,Data!Q:Q)</f>
        <v>0</v>
      </c>
      <c r="K2010" s="107">
        <f>SUMIF(Comprometidos!A:A,'Cost Report'!G2010,Comprometidos!E:E)</f>
        <v>0</v>
      </c>
      <c r="L2010" s="107">
        <f t="shared" si="786"/>
        <v>0</v>
      </c>
      <c r="M2010" s="107">
        <v>0</v>
      </c>
      <c r="N2010" s="107">
        <f t="shared" si="788"/>
        <v>0</v>
      </c>
      <c r="O2010" s="107">
        <f>VLOOKUP(G2010,Budget!$E$3:$G$2474,3,0)</f>
        <v>9000</v>
      </c>
      <c r="P2010" s="107">
        <f t="shared" si="789"/>
        <v>9000</v>
      </c>
      <c r="Q2010" s="107"/>
      <c r="R2010" s="10"/>
      <c r="S2010" s="107">
        <v>0</v>
      </c>
      <c r="T2010" s="107">
        <f t="shared" si="771"/>
        <v>0</v>
      </c>
      <c r="U2010" s="107"/>
      <c r="V2010" s="175"/>
      <c r="W2010" s="10"/>
      <c r="X2010" s="10"/>
      <c r="Y2010" t="str">
        <f t="shared" si="802"/>
        <v>3901</v>
      </c>
      <c r="AB2010" s="10"/>
      <c r="AC2010" s="10"/>
      <c r="AD2010" s="10"/>
      <c r="AE2010" s="10"/>
      <c r="AF2010" s="10"/>
      <c r="AG2010" s="10"/>
      <c r="AH2010" s="10"/>
      <c r="AI2010" s="10"/>
    </row>
    <row r="2011" spans="1:35">
      <c r="A2011" s="10"/>
      <c r="B2011" s="10" t="str">
        <f t="shared" si="801"/>
        <v>Below the Line</v>
      </c>
      <c r="C2011" t="s">
        <v>20</v>
      </c>
      <c r="D2011" t="s">
        <v>19</v>
      </c>
      <c r="E2011" t="s">
        <v>214</v>
      </c>
      <c r="G2011" t="s">
        <v>1769</v>
      </c>
      <c r="I2011" s="10"/>
      <c r="J2011" s="107">
        <f>SUMIF(Data!C:C,G2011,Data!Q:Q)</f>
        <v>0</v>
      </c>
      <c r="K2011" s="107">
        <f>SUMIF(Comprometidos!A:A,'Cost Report'!G2011,Comprometidos!E:E)</f>
        <v>0</v>
      </c>
      <c r="L2011" s="107">
        <f t="shared" si="786"/>
        <v>0</v>
      </c>
      <c r="M2011" s="107">
        <f t="shared" si="787"/>
        <v>0</v>
      </c>
      <c r="N2011" s="107">
        <f t="shared" si="788"/>
        <v>0</v>
      </c>
      <c r="O2011" s="107">
        <f>VLOOKUP(G2011,Budget!$E$3:$G$2474,3,0)</f>
        <v>0</v>
      </c>
      <c r="P2011" s="107">
        <f t="shared" si="789"/>
        <v>0</v>
      </c>
      <c r="Q2011" s="107"/>
      <c r="R2011" s="10"/>
      <c r="S2011" s="107">
        <v>0</v>
      </c>
      <c r="T2011" s="107">
        <f t="shared" si="771"/>
        <v>0</v>
      </c>
      <c r="U2011" s="107"/>
      <c r="V2011" s="175"/>
      <c r="W2011" s="10"/>
      <c r="X2011" s="10"/>
      <c r="Y2011" t="str">
        <f t="shared" si="802"/>
        <v>3901</v>
      </c>
      <c r="AB2011" s="10"/>
      <c r="AC2011" s="10"/>
      <c r="AD2011" s="10"/>
      <c r="AE2011" s="10"/>
      <c r="AF2011" s="10"/>
      <c r="AG2011" s="10"/>
      <c r="AH2011" s="10"/>
      <c r="AI2011" s="10"/>
    </row>
    <row r="2012" spans="1:35">
      <c r="A2012" s="10"/>
      <c r="B2012" s="10" t="str">
        <f t="shared" si="801"/>
        <v>Below the LineALL SHOW</v>
      </c>
      <c r="C2012" t="s">
        <v>20</v>
      </c>
      <c r="D2012" t="s">
        <v>19</v>
      </c>
      <c r="E2012" t="s">
        <v>227</v>
      </c>
      <c r="G2012" t="s">
        <v>1770</v>
      </c>
      <c r="I2012" s="10"/>
      <c r="J2012" s="107">
        <f>SUMIF(Data!C:C,G2012,Data!Q:Q)</f>
        <v>45379.48</v>
      </c>
      <c r="K2012" s="107">
        <f>SUMIF(Comprometidos!A:A,'Cost Report'!G2012,Comprometidos!E:E)</f>
        <v>0</v>
      </c>
      <c r="L2012" s="107">
        <f t="shared" si="786"/>
        <v>45379.48</v>
      </c>
      <c r="M2012" s="107">
        <v>0</v>
      </c>
      <c r="N2012" s="107">
        <f t="shared" si="788"/>
        <v>45379.48</v>
      </c>
      <c r="O2012" s="107">
        <f>VLOOKUP(G2012,Budget!$E$3:$G$2474,3,0)</f>
        <v>40500</v>
      </c>
      <c r="P2012" s="107">
        <f t="shared" si="789"/>
        <v>-4879.4800000000032</v>
      </c>
      <c r="Q2012" s="107"/>
      <c r="R2012" s="10"/>
      <c r="S2012" s="107">
        <v>45379.48</v>
      </c>
      <c r="T2012" s="107">
        <f t="shared" si="771"/>
        <v>0</v>
      </c>
      <c r="U2012" s="107"/>
      <c r="V2012" s="175"/>
      <c r="W2012" s="10"/>
      <c r="X2012" s="10"/>
      <c r="Y2012" t="str">
        <f t="shared" si="802"/>
        <v>3901</v>
      </c>
      <c r="AB2012" s="10"/>
      <c r="AC2012" s="10"/>
      <c r="AD2012" s="10"/>
      <c r="AE2012" s="10"/>
      <c r="AF2012" s="10"/>
      <c r="AG2012" s="10"/>
      <c r="AH2012" s="10"/>
      <c r="AI2012" s="10"/>
    </row>
    <row r="2013" spans="1:35">
      <c r="A2013" s="10"/>
      <c r="B2013" s="10" t="str">
        <f t="shared" si="801"/>
        <v>Below the LineALL SHOW</v>
      </c>
      <c r="C2013" t="s">
        <v>20</v>
      </c>
      <c r="D2013" t="s">
        <v>19</v>
      </c>
      <c r="E2013" t="s">
        <v>227</v>
      </c>
      <c r="G2013" t="s">
        <v>1771</v>
      </c>
      <c r="I2013" s="10"/>
      <c r="J2013" s="107">
        <f>SUMIF(Data!C:C,G2013,Data!Q:Q)</f>
        <v>46917.310000000005</v>
      </c>
      <c r="K2013" s="107">
        <f>SUMIF(Comprometidos!A:A,'Cost Report'!G2013,Comprometidos!E:E)</f>
        <v>0</v>
      </c>
      <c r="L2013" s="107">
        <f t="shared" si="786"/>
        <v>46917.310000000005</v>
      </c>
      <c r="M2013" s="107">
        <v>0</v>
      </c>
      <c r="N2013" s="107">
        <f t="shared" si="788"/>
        <v>46917.310000000005</v>
      </c>
      <c r="O2013" s="107">
        <f>VLOOKUP(G2013,Budget!$E$3:$G$2474,3,0)</f>
        <v>40500</v>
      </c>
      <c r="P2013" s="107">
        <f t="shared" si="789"/>
        <v>-6417.3100000000049</v>
      </c>
      <c r="Q2013" s="107"/>
      <c r="R2013" s="10"/>
      <c r="S2013" s="107">
        <v>46917.310000000005</v>
      </c>
      <c r="T2013" s="107">
        <f t="shared" si="771"/>
        <v>0</v>
      </c>
      <c r="U2013" s="107"/>
      <c r="V2013" s="175"/>
      <c r="W2013" s="10"/>
      <c r="X2013" s="10"/>
      <c r="Y2013" t="str">
        <f t="shared" si="802"/>
        <v>3901</v>
      </c>
      <c r="AB2013" s="10"/>
      <c r="AC2013" s="10"/>
      <c r="AD2013" s="10"/>
      <c r="AE2013" s="10"/>
      <c r="AF2013" s="10"/>
      <c r="AG2013" s="10"/>
      <c r="AH2013" s="10"/>
      <c r="AI2013" s="10"/>
    </row>
    <row r="2014" spans="1:35">
      <c r="A2014" s="10"/>
      <c r="B2014" s="10" t="str">
        <f t="shared" si="801"/>
        <v>Below the Line</v>
      </c>
      <c r="C2014" t="s">
        <v>20</v>
      </c>
      <c r="D2014" t="s">
        <v>19</v>
      </c>
      <c r="E2014" t="s">
        <v>214</v>
      </c>
      <c r="G2014" t="s">
        <v>2948</v>
      </c>
      <c r="I2014" s="10"/>
      <c r="J2014" s="107">
        <f>SUMIF(Data!C:C,G2014,Data!Q:Q)</f>
        <v>0</v>
      </c>
      <c r="K2014" s="107">
        <f>SUMIF(Comprometidos!A:A,'Cost Report'!G2014,Comprometidos!E:E)</f>
        <v>0</v>
      </c>
      <c r="L2014" s="107">
        <f t="shared" si="786"/>
        <v>0</v>
      </c>
      <c r="M2014" s="107">
        <f t="shared" si="787"/>
        <v>0</v>
      </c>
      <c r="N2014" s="107">
        <f t="shared" si="788"/>
        <v>0</v>
      </c>
      <c r="O2014" s="107">
        <f>VLOOKUP(G2014,Budget!$E$3:$G$2474,3,0)</f>
        <v>0</v>
      </c>
      <c r="P2014" s="107">
        <f t="shared" si="789"/>
        <v>0</v>
      </c>
      <c r="Q2014" s="107"/>
      <c r="R2014" s="10"/>
      <c r="S2014" s="107">
        <v>0</v>
      </c>
      <c r="T2014" s="107">
        <f t="shared" si="771"/>
        <v>0</v>
      </c>
      <c r="U2014" s="107"/>
      <c r="V2014" s="175"/>
      <c r="W2014" s="10"/>
      <c r="X2014" s="10"/>
      <c r="Y2014" t="str">
        <f t="shared" si="802"/>
        <v>3901</v>
      </c>
      <c r="AB2014" s="10"/>
      <c r="AC2014" s="10"/>
      <c r="AD2014" s="10"/>
      <c r="AE2014" s="10"/>
      <c r="AF2014" s="10"/>
      <c r="AG2014" s="10"/>
      <c r="AH2014" s="10"/>
      <c r="AI2014" s="10"/>
    </row>
    <row r="2015" spans="1:35">
      <c r="A2015" s="10"/>
      <c r="B2015" s="10" t="str">
        <f t="shared" si="801"/>
        <v>Below the LineALL SHOW</v>
      </c>
      <c r="C2015" t="s">
        <v>20</v>
      </c>
      <c r="D2015" t="s">
        <v>19</v>
      </c>
      <c r="E2015" t="s">
        <v>227</v>
      </c>
      <c r="G2015" t="s">
        <v>2949</v>
      </c>
      <c r="I2015" s="10"/>
      <c r="J2015" s="107">
        <f>SUMIF(Data!C:C,G2015,Data!Q:Q)</f>
        <v>2181.81</v>
      </c>
      <c r="K2015" s="107">
        <f>SUMIF(Comprometidos!A:A,'Cost Report'!G2015,Comprometidos!E:E)</f>
        <v>0</v>
      </c>
      <c r="L2015" s="107">
        <f t="shared" si="786"/>
        <v>2181.81</v>
      </c>
      <c r="M2015" s="107">
        <v>0</v>
      </c>
      <c r="N2015" s="107">
        <f t="shared" si="788"/>
        <v>2181.81</v>
      </c>
      <c r="O2015" s="107">
        <f>VLOOKUP(G2015,Budget!$E$3:$G$2474,3,0)</f>
        <v>2250</v>
      </c>
      <c r="P2015" s="107">
        <f t="shared" si="789"/>
        <v>68.190000000000055</v>
      </c>
      <c r="Q2015" s="107"/>
      <c r="R2015" s="10"/>
      <c r="S2015" s="107">
        <v>2181.81</v>
      </c>
      <c r="T2015" s="107">
        <f t="shared" ref="T2015:T2079" si="803">+S2015-N2015</f>
        <v>0</v>
      </c>
      <c r="U2015" s="107"/>
      <c r="V2015" s="175"/>
      <c r="W2015" s="10"/>
      <c r="X2015" s="10"/>
      <c r="Y2015" t="str">
        <f t="shared" si="802"/>
        <v>3901</v>
      </c>
      <c r="AB2015" s="10"/>
      <c r="AC2015" s="10"/>
      <c r="AD2015" s="10"/>
      <c r="AE2015" s="10"/>
      <c r="AF2015" s="10"/>
      <c r="AG2015" s="10"/>
      <c r="AH2015" s="10"/>
      <c r="AI2015" s="10"/>
    </row>
    <row r="2016" spans="1:35">
      <c r="A2016" s="10"/>
      <c r="B2016" s="10" t="str">
        <f t="shared" si="801"/>
        <v>Below the LineALL SHOW</v>
      </c>
      <c r="C2016" t="s">
        <v>20</v>
      </c>
      <c r="D2016" t="s">
        <v>19</v>
      </c>
      <c r="E2016" t="s">
        <v>227</v>
      </c>
      <c r="G2016" t="s">
        <v>2950</v>
      </c>
      <c r="I2016" s="10"/>
      <c r="J2016" s="107">
        <f>SUMIF(Data!C:C,G2016,Data!Q:Q)</f>
        <v>0</v>
      </c>
      <c r="K2016" s="107">
        <f>SUMIF(Comprometidos!A:A,'Cost Report'!G2016,Comprometidos!E:E)</f>
        <v>0</v>
      </c>
      <c r="L2016" s="107">
        <f t="shared" si="786"/>
        <v>0</v>
      </c>
      <c r="M2016" s="107">
        <v>0</v>
      </c>
      <c r="N2016" s="107">
        <f t="shared" si="788"/>
        <v>0</v>
      </c>
      <c r="O2016" s="107">
        <f>VLOOKUP(G2016,Budget!$E$3:$G$2474,3,0)</f>
        <v>2250</v>
      </c>
      <c r="P2016" s="107">
        <f t="shared" si="789"/>
        <v>2250</v>
      </c>
      <c r="Q2016" s="107"/>
      <c r="R2016" s="10"/>
      <c r="S2016" s="107">
        <v>0</v>
      </c>
      <c r="T2016" s="107">
        <f t="shared" si="803"/>
        <v>0</v>
      </c>
      <c r="U2016" s="107"/>
      <c r="V2016" s="175"/>
      <c r="W2016" s="10"/>
      <c r="X2016" s="10"/>
      <c r="Y2016" t="str">
        <f t="shared" si="802"/>
        <v>3901</v>
      </c>
      <c r="AB2016" s="10"/>
      <c r="AC2016" s="10"/>
      <c r="AD2016" s="10"/>
      <c r="AE2016" s="10"/>
      <c r="AF2016" s="10"/>
      <c r="AG2016" s="10"/>
      <c r="AH2016" s="10"/>
      <c r="AI2016" s="10"/>
    </row>
    <row r="2017" spans="1:35">
      <c r="A2017" s="10"/>
      <c r="B2017" s="10" t="str">
        <f t="shared" si="801"/>
        <v>Below the Line</v>
      </c>
      <c r="C2017" t="s">
        <v>20</v>
      </c>
      <c r="D2017" t="s">
        <v>19</v>
      </c>
      <c r="E2017" t="s">
        <v>214</v>
      </c>
      <c r="G2017" t="s">
        <v>2951</v>
      </c>
      <c r="I2017" s="10"/>
      <c r="J2017" s="107">
        <f>SUMIF(Data!C:C,G2017,Data!Q:Q)</f>
        <v>0</v>
      </c>
      <c r="K2017" s="107">
        <f>SUMIF(Comprometidos!A:A,'Cost Report'!G2017,Comprometidos!E:E)</f>
        <v>0</v>
      </c>
      <c r="L2017" s="107">
        <f t="shared" si="786"/>
        <v>0</v>
      </c>
      <c r="M2017" s="107">
        <f t="shared" si="787"/>
        <v>0</v>
      </c>
      <c r="N2017" s="107">
        <f t="shared" si="788"/>
        <v>0</v>
      </c>
      <c r="O2017" s="107">
        <f>VLOOKUP(G2017,Budget!$E$3:$G$2474,3,0)</f>
        <v>0</v>
      </c>
      <c r="P2017" s="107">
        <f t="shared" si="789"/>
        <v>0</v>
      </c>
      <c r="Q2017" s="107"/>
      <c r="R2017" s="10"/>
      <c r="S2017" s="107">
        <v>0</v>
      </c>
      <c r="T2017" s="107">
        <f t="shared" si="803"/>
        <v>0</v>
      </c>
      <c r="U2017" s="107"/>
      <c r="V2017" s="175"/>
      <c r="W2017" s="10"/>
      <c r="X2017" s="10"/>
      <c r="Y2017" t="str">
        <f t="shared" si="802"/>
        <v>3901</v>
      </c>
      <c r="AB2017" s="10"/>
      <c r="AC2017" s="10"/>
      <c r="AD2017" s="10"/>
      <c r="AE2017" s="10"/>
      <c r="AF2017" s="10"/>
      <c r="AG2017" s="10"/>
      <c r="AH2017" s="10"/>
      <c r="AI2017" s="10"/>
    </row>
    <row r="2018" spans="1:35">
      <c r="A2018" s="10"/>
      <c r="B2018" s="10" t="str">
        <f t="shared" si="801"/>
        <v>Below the LineALL SHOW</v>
      </c>
      <c r="C2018" t="s">
        <v>20</v>
      </c>
      <c r="D2018" t="s">
        <v>19</v>
      </c>
      <c r="E2018" t="s">
        <v>227</v>
      </c>
      <c r="G2018" t="s">
        <v>2952</v>
      </c>
      <c r="I2018" s="10"/>
      <c r="J2018" s="107">
        <f>SUMIF(Data!C:C,G2018,Data!Q:Q)</f>
        <v>63132.210000000006</v>
      </c>
      <c r="K2018" s="107">
        <f>SUMIF(Comprometidos!A:A,'Cost Report'!G2018,Comprometidos!E:E)</f>
        <v>0</v>
      </c>
      <c r="L2018" s="107">
        <f t="shared" si="786"/>
        <v>63132.210000000006</v>
      </c>
      <c r="M2018" s="107">
        <v>0</v>
      </c>
      <c r="N2018" s="107">
        <f t="shared" si="788"/>
        <v>63132.210000000006</v>
      </c>
      <c r="O2018" s="107">
        <f>VLOOKUP(G2018,Budget!$E$3:$G$2474,3,0)</f>
        <v>40000</v>
      </c>
      <c r="P2018" s="107">
        <f t="shared" si="789"/>
        <v>-23132.210000000006</v>
      </c>
      <c r="Q2018" s="107"/>
      <c r="R2018" s="10"/>
      <c r="S2018" s="107">
        <v>63132.210000000006</v>
      </c>
      <c r="T2018" s="107">
        <f t="shared" si="803"/>
        <v>0</v>
      </c>
      <c r="U2018" s="107"/>
      <c r="V2018" s="175"/>
      <c r="W2018" s="10"/>
      <c r="X2018" s="10"/>
      <c r="Y2018" t="str">
        <f t="shared" si="802"/>
        <v>3901</v>
      </c>
      <c r="AB2018" s="10"/>
      <c r="AC2018" s="10"/>
      <c r="AD2018" s="10"/>
      <c r="AE2018" s="10"/>
      <c r="AF2018" s="10"/>
      <c r="AG2018" s="10"/>
      <c r="AH2018" s="10"/>
      <c r="AI2018" s="10"/>
    </row>
    <row r="2019" spans="1:35">
      <c r="A2019" s="10"/>
      <c r="B2019" s="10" t="str">
        <f t="shared" si="801"/>
        <v>Below the LineALL SHOW</v>
      </c>
      <c r="C2019" t="s">
        <v>20</v>
      </c>
      <c r="D2019" t="s">
        <v>19</v>
      </c>
      <c r="E2019" t="s">
        <v>227</v>
      </c>
      <c r="G2019" t="s">
        <v>2953</v>
      </c>
      <c r="I2019" s="10"/>
      <c r="J2019" s="107">
        <f>SUMIF(Data!C:C,G2019,Data!Q:Q)</f>
        <v>102693.27100000001</v>
      </c>
      <c r="K2019" s="107">
        <f>SUMIF(Comprometidos!A:A,'Cost Report'!G2019,Comprometidos!E:E)</f>
        <v>0</v>
      </c>
      <c r="L2019" s="107">
        <f t="shared" ref="L2019" si="804">+J2019+K2019</f>
        <v>102693.27100000001</v>
      </c>
      <c r="M2019" s="107">
        <v>0</v>
      </c>
      <c r="N2019" s="107">
        <f t="shared" ref="N2019" si="805">+L2019+M2019</f>
        <v>102693.27100000001</v>
      </c>
      <c r="O2019" s="107">
        <f>VLOOKUP(G2019,Budget!$E$3:$G$2474,3,0)</f>
        <v>40000</v>
      </c>
      <c r="P2019" s="107">
        <f t="shared" ref="P2019" si="806">+O2019-N2019</f>
        <v>-62693.271000000008</v>
      </c>
      <c r="Q2019" s="107"/>
      <c r="R2019" s="10"/>
      <c r="S2019" s="107">
        <v>100852.96</v>
      </c>
      <c r="T2019" s="107">
        <f t="shared" si="803"/>
        <v>-1840.3110000000015</v>
      </c>
      <c r="U2019" s="107"/>
      <c r="V2019" s="175"/>
      <c r="W2019" s="10"/>
      <c r="X2019" s="10"/>
      <c r="Y2019" t="str">
        <f t="shared" si="802"/>
        <v>3901</v>
      </c>
      <c r="AB2019" s="10"/>
      <c r="AC2019" s="10"/>
      <c r="AD2019" s="10"/>
      <c r="AE2019" s="10"/>
      <c r="AF2019" s="10"/>
      <c r="AG2019" s="10"/>
      <c r="AH2019" s="10"/>
      <c r="AI2019" s="10"/>
    </row>
    <row r="2020" spans="1:35">
      <c r="A2020" s="10"/>
      <c r="B2020" s="10" t="str">
        <f t="shared" ref="B2020" si="807">+C2020&amp;E2020</f>
        <v>Below the LineALL SHOW</v>
      </c>
      <c r="C2020" t="s">
        <v>20</v>
      </c>
      <c r="D2020" t="s">
        <v>19</v>
      </c>
      <c r="E2020" t="s">
        <v>227</v>
      </c>
      <c r="G2020" t="s">
        <v>4210</v>
      </c>
      <c r="I2020" s="10"/>
      <c r="J2020" s="107">
        <f>SUMIF(Data!C:C,G2020,Data!Q:Q)</f>
        <v>18265.309999999994</v>
      </c>
      <c r="K2020" s="107">
        <f>SUMIF(Comprometidos!A:A,'Cost Report'!G2020,Comprometidos!E:E)</f>
        <v>0</v>
      </c>
      <c r="L2020" s="107">
        <f t="shared" ref="L2020" si="808">+J2020+K2020</f>
        <v>18265.309999999994</v>
      </c>
      <c r="M2020" s="107">
        <v>0</v>
      </c>
      <c r="N2020" s="107">
        <f t="shared" ref="N2020" si="809">+L2020+M2020</f>
        <v>18265.309999999994</v>
      </c>
      <c r="O2020" s="107">
        <f>VLOOKUP(G2020,Budget!$E$3:$G$2474,3,0)</f>
        <v>0</v>
      </c>
      <c r="P2020" s="107">
        <f t="shared" ref="P2020" si="810">+O2020-N2020</f>
        <v>-18265.309999999994</v>
      </c>
      <c r="Q2020" s="107"/>
      <c r="R2020" s="10"/>
      <c r="S2020" s="107">
        <v>17158.759999999995</v>
      </c>
      <c r="T2020" s="107">
        <f t="shared" ref="T2020" si="811">+S2020-N2020</f>
        <v>-1106.5499999999993</v>
      </c>
      <c r="U2020" s="107"/>
      <c r="V2020" s="175"/>
      <c r="W2020" s="10"/>
      <c r="X2020" s="10"/>
      <c r="Y2020" t="str">
        <f t="shared" ref="Y2020" si="812">LEFT(G2020,4)</f>
        <v>3901</v>
      </c>
      <c r="AB2020" s="10"/>
      <c r="AC2020" s="10"/>
      <c r="AD2020" s="10"/>
      <c r="AE2020" s="10"/>
      <c r="AF2020" s="10"/>
      <c r="AG2020" s="10"/>
      <c r="AH2020" s="10"/>
      <c r="AI2020" s="10"/>
    </row>
    <row r="2021" spans="1:35">
      <c r="A2021" s="10"/>
      <c r="B2021" s="10" t="str">
        <f>+C2021</f>
        <v>Below the Line</v>
      </c>
      <c r="C2021" s="128" t="s">
        <v>20</v>
      </c>
      <c r="D2021" s="128" t="s">
        <v>2117</v>
      </c>
      <c r="E2021" s="128"/>
      <c r="F2021" s="128"/>
      <c r="G2021" s="128" t="s">
        <v>1137</v>
      </c>
      <c r="H2021" s="128"/>
      <c r="I2021" s="10"/>
      <c r="J2021" s="129">
        <f>SUMIF($Y$11:$Y$2484,G2021,J$11:J$2484)</f>
        <v>4515991.63</v>
      </c>
      <c r="K2021" s="129">
        <f>SUMIF($Y$11:$Y$2484,G2021,K$11:K$2484)</f>
        <v>0</v>
      </c>
      <c r="L2021" s="129">
        <f>SUMIF($Y$11:$Y$2484,G2021,L$11:L$2484)</f>
        <v>4515991.63</v>
      </c>
      <c r="M2021" s="129">
        <f>SUMIF($Y$11:$Y$2484,G2021,M$11:M$2484)</f>
        <v>0</v>
      </c>
      <c r="N2021" s="129">
        <f>SUMIF($Y$11:$Y$2484,G2021,N$11:N$2484)</f>
        <v>4515991.63</v>
      </c>
      <c r="O2021" s="129">
        <f>SUMIF($Y$11:$Y$2484,G2021,O$11:O$2484)</f>
        <v>4360556.34</v>
      </c>
      <c r="P2021" s="129">
        <f>SUMIF($Y$11:$Y$2484,G2021,P$11:P$2484)</f>
        <v>-155435.29</v>
      </c>
      <c r="Q2021" s="129"/>
      <c r="R2021" s="10"/>
      <c r="S2021" s="129">
        <v>4515991.63</v>
      </c>
      <c r="T2021" s="129">
        <f t="shared" si="803"/>
        <v>0</v>
      </c>
      <c r="U2021" s="128"/>
      <c r="V2021" s="175"/>
      <c r="W2021" s="10"/>
      <c r="X2021" s="10"/>
      <c r="Z2021" t="str">
        <f>LEFT(G2021,2)</f>
        <v>39</v>
      </c>
      <c r="AA2021" t="str">
        <f>+Z2021&amp;"00"</f>
        <v>3900</v>
      </c>
      <c r="AB2021" s="10"/>
      <c r="AC2021" s="10"/>
      <c r="AD2021" s="10"/>
      <c r="AE2021" s="10"/>
      <c r="AF2021" s="10"/>
      <c r="AG2021" s="10"/>
      <c r="AH2021" s="10"/>
      <c r="AI2021" s="10"/>
    </row>
    <row r="2022" spans="1:35">
      <c r="A2022" s="10"/>
      <c r="B2022" s="10" t="str">
        <f t="shared" ref="B2022:B2061" si="813">+C2022&amp;E2022</f>
        <v>Below the Line</v>
      </c>
      <c r="C2022" t="s">
        <v>20</v>
      </c>
      <c r="D2022" t="s">
        <v>19</v>
      </c>
      <c r="E2022" t="s">
        <v>214</v>
      </c>
      <c r="G2022" t="s">
        <v>1138</v>
      </c>
      <c r="I2022" s="10"/>
      <c r="J2022" s="107">
        <f>SUMIF(Data!C:C,G2022,Data!Q:Q)</f>
        <v>0</v>
      </c>
      <c r="K2022" s="107">
        <f>SUMIF(Comprometidos!A:A,'Cost Report'!G2022,Comprometidos!E:E)</f>
        <v>0</v>
      </c>
      <c r="L2022" s="107">
        <f t="shared" ref="L2022:L2061" si="814">+J2022+K2022</f>
        <v>0</v>
      </c>
      <c r="M2022" s="107">
        <f t="shared" ref="M2022:M2060" si="815">+O2022-L2022</f>
        <v>0</v>
      </c>
      <c r="N2022" s="107">
        <f t="shared" ref="N2022:N2061" si="816">+L2022+M2022</f>
        <v>0</v>
      </c>
      <c r="O2022" s="107">
        <f>VLOOKUP(G2022,Budget!$E$3:$G$2474,3,0)</f>
        <v>0</v>
      </c>
      <c r="P2022" s="107">
        <f t="shared" ref="P2022:P2061" si="817">+O2022-N2022</f>
        <v>0</v>
      </c>
      <c r="Q2022" s="107"/>
      <c r="R2022" s="10"/>
      <c r="S2022" s="107">
        <v>0</v>
      </c>
      <c r="T2022" s="107">
        <f t="shared" si="803"/>
        <v>0</v>
      </c>
      <c r="U2022" s="107"/>
      <c r="V2022" s="175"/>
      <c r="W2022" s="10"/>
      <c r="X2022" s="10"/>
      <c r="Y2022" t="str">
        <f t="shared" ref="Y2022:Y2061" si="818">LEFT(G2022,4)</f>
        <v>3902</v>
      </c>
      <c r="AB2022" s="10"/>
      <c r="AC2022" s="10"/>
      <c r="AD2022" s="10"/>
      <c r="AE2022" s="10"/>
      <c r="AF2022" s="10"/>
      <c r="AG2022" s="10"/>
      <c r="AH2022" s="10"/>
      <c r="AI2022" s="10"/>
    </row>
    <row r="2023" spans="1:35">
      <c r="A2023" s="10"/>
      <c r="B2023" s="10" t="str">
        <f t="shared" si="813"/>
        <v>Below the LineALL SHOW</v>
      </c>
      <c r="C2023" t="s">
        <v>20</v>
      </c>
      <c r="D2023" t="s">
        <v>19</v>
      </c>
      <c r="E2023" t="s">
        <v>227</v>
      </c>
      <c r="G2023" t="s">
        <v>1139</v>
      </c>
      <c r="I2023" s="10"/>
      <c r="J2023" s="107">
        <f>SUMIF(Data!C:C,G2023,Data!Q:Q)</f>
        <v>197000</v>
      </c>
      <c r="K2023" s="107">
        <f>SUMIF(Comprometidos!A:A,'Cost Report'!G2023,Comprometidos!E:E)</f>
        <v>0</v>
      </c>
      <c r="L2023" s="107">
        <f t="shared" si="814"/>
        <v>197000</v>
      </c>
      <c r="M2023" s="107">
        <v>0</v>
      </c>
      <c r="N2023" s="107">
        <f t="shared" si="816"/>
        <v>197000</v>
      </c>
      <c r="O2023" s="107">
        <f>VLOOKUP(G2023,Budget!$E$3:$G$2474,3,0)</f>
        <v>201600</v>
      </c>
      <c r="P2023" s="107">
        <f t="shared" si="817"/>
        <v>4600</v>
      </c>
      <c r="Q2023" s="107"/>
      <c r="R2023" s="10"/>
      <c r="S2023" s="107">
        <v>197000</v>
      </c>
      <c r="T2023" s="107">
        <f t="shared" si="803"/>
        <v>0</v>
      </c>
      <c r="U2023" s="107"/>
      <c r="V2023" s="175"/>
      <c r="W2023" s="10"/>
      <c r="X2023" s="10"/>
      <c r="Y2023" t="str">
        <f t="shared" si="818"/>
        <v>3902</v>
      </c>
      <c r="AB2023" s="10"/>
      <c r="AC2023" s="10"/>
      <c r="AD2023" s="10"/>
      <c r="AE2023" s="10"/>
      <c r="AF2023" s="10"/>
      <c r="AG2023" s="10"/>
      <c r="AH2023" s="10"/>
      <c r="AI2023" s="10"/>
    </row>
    <row r="2024" spans="1:35">
      <c r="A2024" s="10"/>
      <c r="B2024" s="10" t="str">
        <f t="shared" si="813"/>
        <v>Below the Line</v>
      </c>
      <c r="C2024" t="s">
        <v>20</v>
      </c>
      <c r="D2024" t="s">
        <v>19</v>
      </c>
      <c r="E2024" t="s">
        <v>214</v>
      </c>
      <c r="G2024" t="s">
        <v>1140</v>
      </c>
      <c r="I2024" s="10"/>
      <c r="J2024" s="107">
        <f>SUMIF(Data!C:C,G2024,Data!Q:Q)</f>
        <v>0</v>
      </c>
      <c r="K2024" s="107">
        <f>SUMIF(Comprometidos!A:A,'Cost Report'!G2024,Comprometidos!E:E)</f>
        <v>0</v>
      </c>
      <c r="L2024" s="107">
        <f t="shared" si="814"/>
        <v>0</v>
      </c>
      <c r="M2024" s="107">
        <f t="shared" si="815"/>
        <v>0</v>
      </c>
      <c r="N2024" s="107">
        <f t="shared" si="816"/>
        <v>0</v>
      </c>
      <c r="O2024" s="107">
        <f>VLOOKUP(G2024,Budget!$E$3:$G$2474,3,0)</f>
        <v>0</v>
      </c>
      <c r="P2024" s="107">
        <f t="shared" si="817"/>
        <v>0</v>
      </c>
      <c r="Q2024" s="107"/>
      <c r="R2024" s="10"/>
      <c r="S2024" s="107">
        <v>0</v>
      </c>
      <c r="T2024" s="107">
        <f t="shared" si="803"/>
        <v>0</v>
      </c>
      <c r="U2024" s="107"/>
      <c r="V2024" s="175"/>
      <c r="W2024" s="10"/>
      <c r="X2024" s="10"/>
      <c r="Y2024" t="str">
        <f t="shared" si="818"/>
        <v>3902</v>
      </c>
      <c r="AB2024" s="10"/>
      <c r="AC2024" s="10"/>
      <c r="AD2024" s="10"/>
      <c r="AE2024" s="10"/>
      <c r="AF2024" s="10"/>
      <c r="AG2024" s="10"/>
      <c r="AH2024" s="10"/>
      <c r="AI2024" s="10"/>
    </row>
    <row r="2025" spans="1:35">
      <c r="A2025" s="10"/>
      <c r="B2025" s="10" t="str">
        <f t="shared" si="813"/>
        <v>Below the LinePREP</v>
      </c>
      <c r="C2025" t="s">
        <v>20</v>
      </c>
      <c r="D2025" t="s">
        <v>19</v>
      </c>
      <c r="E2025" t="s">
        <v>234</v>
      </c>
      <c r="G2025" t="s">
        <v>1141</v>
      </c>
      <c r="I2025" s="10"/>
      <c r="J2025" s="107">
        <f>SUMIF(Data!C:C,G2025,Data!Q:Q)</f>
        <v>763766.15999999992</v>
      </c>
      <c r="K2025" s="107">
        <f>SUMIF(Comprometidos!A:A,'Cost Report'!G2025,Comprometidos!E:E)</f>
        <v>0</v>
      </c>
      <c r="L2025" s="107">
        <f t="shared" si="814"/>
        <v>763766.15999999992</v>
      </c>
      <c r="M2025" s="107">
        <v>0</v>
      </c>
      <c r="N2025" s="107">
        <f t="shared" si="816"/>
        <v>763766.15999999992</v>
      </c>
      <c r="O2025" s="107">
        <f>VLOOKUP(G2025,Budget!$E$3:$G$2474,3,0)</f>
        <v>374400</v>
      </c>
      <c r="P2025" s="107">
        <f t="shared" si="817"/>
        <v>-389366.15999999992</v>
      </c>
      <c r="Q2025" s="107"/>
      <c r="R2025" s="10"/>
      <c r="S2025" s="107">
        <v>763766.15999999992</v>
      </c>
      <c r="T2025" s="107">
        <f t="shared" si="803"/>
        <v>0</v>
      </c>
      <c r="U2025" s="107"/>
      <c r="V2025" s="175"/>
      <c r="W2025" s="10"/>
      <c r="X2025" s="10"/>
      <c r="Y2025" t="str">
        <f t="shared" si="818"/>
        <v>3902</v>
      </c>
      <c r="AB2025" s="10"/>
      <c r="AC2025" s="10"/>
      <c r="AD2025" s="10"/>
      <c r="AE2025" s="10"/>
      <c r="AF2025" s="10"/>
      <c r="AG2025" s="10"/>
      <c r="AH2025" s="10"/>
      <c r="AI2025" s="10"/>
    </row>
    <row r="2026" spans="1:35">
      <c r="A2026" s="10"/>
      <c r="B2026" s="10" t="str">
        <f t="shared" si="813"/>
        <v>Below the LineSHOOT</v>
      </c>
      <c r="C2026" t="s">
        <v>20</v>
      </c>
      <c r="D2026" t="s">
        <v>19</v>
      </c>
      <c r="E2026" t="s">
        <v>236</v>
      </c>
      <c r="G2026" t="s">
        <v>1142</v>
      </c>
      <c r="I2026" s="10"/>
      <c r="J2026" s="107">
        <f>SUMIF(Data!C:C,G2026,Data!Q:Q)</f>
        <v>1553020.4800000002</v>
      </c>
      <c r="K2026" s="107">
        <f>SUMIF(Comprometidos!A:A,'Cost Report'!G2026,Comprometidos!E:E)</f>
        <v>0</v>
      </c>
      <c r="L2026" s="107">
        <f t="shared" si="814"/>
        <v>1553020.4800000002</v>
      </c>
      <c r="M2026" s="107">
        <v>0</v>
      </c>
      <c r="N2026" s="107">
        <f t="shared" si="816"/>
        <v>1553020.4800000002</v>
      </c>
      <c r="O2026" s="107">
        <f>VLOOKUP(G2026,Budget!$E$3:$G$2474,3,0)</f>
        <v>1719900</v>
      </c>
      <c r="P2026" s="107">
        <f t="shared" si="817"/>
        <v>166879.51999999979</v>
      </c>
      <c r="Q2026" s="107"/>
      <c r="R2026" s="10"/>
      <c r="S2026" s="107">
        <v>1553020.4800000002</v>
      </c>
      <c r="T2026" s="107">
        <f t="shared" si="803"/>
        <v>0</v>
      </c>
      <c r="U2026" s="107"/>
      <c r="V2026" s="175"/>
      <c r="W2026" s="10"/>
      <c r="X2026" s="10"/>
      <c r="Y2026" t="str">
        <f t="shared" si="818"/>
        <v>3902</v>
      </c>
      <c r="AB2026" s="10"/>
      <c r="AC2026" s="10"/>
      <c r="AD2026" s="10"/>
      <c r="AE2026" s="10"/>
      <c r="AF2026" s="10"/>
      <c r="AG2026" s="10"/>
      <c r="AH2026" s="10"/>
      <c r="AI2026" s="10"/>
    </row>
    <row r="2027" spans="1:35">
      <c r="A2027" s="10"/>
      <c r="B2027" s="10" t="str">
        <f t="shared" si="813"/>
        <v>Below the LineWRAP</v>
      </c>
      <c r="C2027" t="s">
        <v>20</v>
      </c>
      <c r="D2027" t="s">
        <v>19</v>
      </c>
      <c r="E2027" t="s">
        <v>238</v>
      </c>
      <c r="G2027" t="s">
        <v>1143</v>
      </c>
      <c r="I2027" s="10"/>
      <c r="J2027" s="107">
        <f>SUMIF(Data!C:C,G2027,Data!Q:Q)</f>
        <v>93687.8</v>
      </c>
      <c r="K2027" s="107">
        <f>SUMIF(Comprometidos!A:A,'Cost Report'!G2027,Comprometidos!E:E)</f>
        <v>0</v>
      </c>
      <c r="L2027" s="107">
        <f t="shared" si="814"/>
        <v>93687.8</v>
      </c>
      <c r="M2027" s="107">
        <v>0</v>
      </c>
      <c r="N2027" s="107">
        <f t="shared" si="816"/>
        <v>93687.8</v>
      </c>
      <c r="O2027" s="107">
        <f>VLOOKUP(G2027,Budget!$E$3:$G$2474,3,0)</f>
        <v>230400</v>
      </c>
      <c r="P2027" s="107">
        <f t="shared" si="817"/>
        <v>136712.20000000001</v>
      </c>
      <c r="Q2027" s="107"/>
      <c r="R2027" s="10"/>
      <c r="S2027" s="107">
        <v>93687.8</v>
      </c>
      <c r="T2027" s="107">
        <f t="shared" si="803"/>
        <v>0</v>
      </c>
      <c r="U2027" s="107"/>
      <c r="V2027" s="175"/>
      <c r="W2027" s="10"/>
      <c r="X2027" s="10"/>
      <c r="Y2027" t="str">
        <f t="shared" si="818"/>
        <v>3902</v>
      </c>
      <c r="AB2027" s="10"/>
      <c r="AC2027" s="10"/>
      <c r="AD2027" s="10"/>
      <c r="AE2027" s="10"/>
      <c r="AF2027" s="10"/>
      <c r="AG2027" s="10"/>
      <c r="AH2027" s="10"/>
      <c r="AI2027" s="10"/>
    </row>
    <row r="2028" spans="1:35">
      <c r="A2028" s="10"/>
      <c r="B2028" s="10" t="str">
        <f t="shared" si="813"/>
        <v>Below the Line</v>
      </c>
      <c r="C2028" t="s">
        <v>20</v>
      </c>
      <c r="D2028" t="s">
        <v>19</v>
      </c>
      <c r="E2028" t="s">
        <v>214</v>
      </c>
      <c r="G2028" t="s">
        <v>1144</v>
      </c>
      <c r="I2028" s="10"/>
      <c r="J2028" s="107">
        <f>SUMIF(Data!C:C,G2028,Data!Q:Q)</f>
        <v>0</v>
      </c>
      <c r="K2028" s="107">
        <f>SUMIF(Comprometidos!A:A,'Cost Report'!G2028,Comprometidos!E:E)</f>
        <v>0</v>
      </c>
      <c r="L2028" s="107">
        <f t="shared" si="814"/>
        <v>0</v>
      </c>
      <c r="M2028" s="107">
        <f t="shared" si="815"/>
        <v>0</v>
      </c>
      <c r="N2028" s="107">
        <f t="shared" si="816"/>
        <v>0</v>
      </c>
      <c r="O2028" s="107">
        <f>VLOOKUP(G2028,Budget!$E$3:$G$2474,3,0)</f>
        <v>0</v>
      </c>
      <c r="P2028" s="107">
        <f t="shared" si="817"/>
        <v>0</v>
      </c>
      <c r="Q2028" s="107"/>
      <c r="R2028" s="10"/>
      <c r="S2028" s="107">
        <v>0</v>
      </c>
      <c r="T2028" s="107">
        <f t="shared" si="803"/>
        <v>0</v>
      </c>
      <c r="U2028" s="107"/>
      <c r="V2028" s="175"/>
      <c r="W2028" s="10"/>
      <c r="X2028" s="10"/>
      <c r="Y2028" t="str">
        <f t="shared" si="818"/>
        <v>3902</v>
      </c>
      <c r="AB2028" s="10"/>
      <c r="AC2028" s="10"/>
      <c r="AD2028" s="10"/>
      <c r="AE2028" s="10"/>
      <c r="AF2028" s="10"/>
      <c r="AG2028" s="10"/>
      <c r="AH2028" s="10"/>
      <c r="AI2028" s="10"/>
    </row>
    <row r="2029" spans="1:35">
      <c r="A2029" s="10"/>
      <c r="B2029" s="10" t="str">
        <f t="shared" si="813"/>
        <v>Below the Line2nd Unit</v>
      </c>
      <c r="C2029" t="s">
        <v>20</v>
      </c>
      <c r="D2029" t="s">
        <v>19</v>
      </c>
      <c r="E2029" t="s">
        <v>1419</v>
      </c>
      <c r="G2029" t="s">
        <v>1145</v>
      </c>
      <c r="I2029" s="10"/>
      <c r="J2029" s="107">
        <f>SUMIF(Data!C:C,G2029,Data!Q:Q)</f>
        <v>0</v>
      </c>
      <c r="K2029" s="107">
        <f>SUMIF(Comprometidos!A:A,'Cost Report'!G2029,Comprometidos!E:E)</f>
        <v>0</v>
      </c>
      <c r="L2029" s="107">
        <f t="shared" si="814"/>
        <v>0</v>
      </c>
      <c r="M2029" s="107">
        <v>0</v>
      </c>
      <c r="N2029" s="107">
        <f t="shared" si="816"/>
        <v>0</v>
      </c>
      <c r="O2029" s="107">
        <f>VLOOKUP(G2029,Budget!$E$3:$G$2474,3,0)</f>
        <v>31500</v>
      </c>
      <c r="P2029" s="107">
        <f t="shared" si="817"/>
        <v>31500</v>
      </c>
      <c r="Q2029" s="107"/>
      <c r="R2029" s="10"/>
      <c r="S2029" s="107">
        <v>0</v>
      </c>
      <c r="T2029" s="107">
        <f t="shared" si="803"/>
        <v>0</v>
      </c>
      <c r="U2029" s="107"/>
      <c r="V2029" s="175"/>
      <c r="W2029" s="10"/>
      <c r="X2029" s="10"/>
      <c r="Y2029" t="str">
        <f t="shared" si="818"/>
        <v>3902</v>
      </c>
      <c r="AB2029" s="10"/>
      <c r="AC2029" s="10"/>
      <c r="AD2029" s="10"/>
      <c r="AE2029" s="10"/>
      <c r="AF2029" s="10"/>
      <c r="AG2029" s="10"/>
      <c r="AH2029" s="10"/>
      <c r="AI2029" s="10"/>
    </row>
    <row r="2030" spans="1:35">
      <c r="A2030" s="10"/>
      <c r="B2030" s="10" t="str">
        <f t="shared" si="813"/>
        <v>Below the Line2nd Unit</v>
      </c>
      <c r="C2030" t="s">
        <v>20</v>
      </c>
      <c r="D2030" t="s">
        <v>19</v>
      </c>
      <c r="E2030" t="s">
        <v>1419</v>
      </c>
      <c r="G2030" t="s">
        <v>1146</v>
      </c>
      <c r="I2030" s="10"/>
      <c r="J2030" s="107">
        <f>SUMIF(Data!C:C,G2030,Data!Q:Q)</f>
        <v>199952.14</v>
      </c>
      <c r="K2030" s="107">
        <f>SUMIF(Comprometidos!A:A,'Cost Report'!G2030,Comprometidos!E:E)</f>
        <v>0</v>
      </c>
      <c r="L2030" s="107">
        <f t="shared" si="814"/>
        <v>199952.14</v>
      </c>
      <c r="M2030" s="107"/>
      <c r="N2030" s="107">
        <f t="shared" si="816"/>
        <v>199952.14</v>
      </c>
      <c r="O2030" s="107">
        <f>VLOOKUP(G2030,Budget!$E$3:$G$2474,3,0)</f>
        <v>226800</v>
      </c>
      <c r="P2030" s="107">
        <f t="shared" si="817"/>
        <v>26847.859999999986</v>
      </c>
      <c r="Q2030" s="107"/>
      <c r="R2030" s="10"/>
      <c r="S2030" s="107">
        <v>199952.14</v>
      </c>
      <c r="T2030" s="107">
        <f t="shared" si="803"/>
        <v>0</v>
      </c>
      <c r="U2030" s="107"/>
      <c r="V2030" s="175"/>
      <c r="W2030" s="10"/>
      <c r="X2030" s="10"/>
      <c r="Y2030" t="str">
        <f t="shared" si="818"/>
        <v>3902</v>
      </c>
      <c r="AB2030" s="10"/>
      <c r="AC2030" s="10"/>
      <c r="AD2030" s="10"/>
      <c r="AE2030" s="10"/>
      <c r="AF2030" s="10"/>
      <c r="AG2030" s="10"/>
      <c r="AH2030" s="10"/>
      <c r="AI2030" s="10"/>
    </row>
    <row r="2031" spans="1:35">
      <c r="A2031" s="10"/>
      <c r="B2031" s="10" t="str">
        <f t="shared" si="813"/>
        <v>Below the Line2nd Unit</v>
      </c>
      <c r="C2031" t="s">
        <v>20</v>
      </c>
      <c r="D2031" t="s">
        <v>19</v>
      </c>
      <c r="E2031" t="s">
        <v>1419</v>
      </c>
      <c r="G2031" t="s">
        <v>1147</v>
      </c>
      <c r="I2031" s="10"/>
      <c r="J2031" s="107">
        <f>SUMIF(Data!C:C,G2031,Data!Q:Q)</f>
        <v>0</v>
      </c>
      <c r="K2031" s="107">
        <f>SUMIF(Comprometidos!A:A,'Cost Report'!G2031,Comprometidos!E:E)</f>
        <v>0</v>
      </c>
      <c r="L2031" s="107">
        <f t="shared" si="814"/>
        <v>0</v>
      </c>
      <c r="M2031" s="107"/>
      <c r="N2031" s="107">
        <f t="shared" si="816"/>
        <v>0</v>
      </c>
      <c r="O2031" s="107">
        <f>VLOOKUP(G2031,Budget!$E$3:$G$2474,3,0)</f>
        <v>13500</v>
      </c>
      <c r="P2031" s="107">
        <f t="shared" si="817"/>
        <v>13500</v>
      </c>
      <c r="Q2031" s="107"/>
      <c r="R2031" s="10"/>
      <c r="S2031" s="107">
        <v>0</v>
      </c>
      <c r="T2031" s="107">
        <f t="shared" si="803"/>
        <v>0</v>
      </c>
      <c r="U2031" s="107"/>
      <c r="V2031" s="175"/>
      <c r="W2031" s="10"/>
      <c r="X2031" s="10"/>
      <c r="Y2031" t="str">
        <f t="shared" si="818"/>
        <v>3902</v>
      </c>
      <c r="AB2031" s="10"/>
      <c r="AC2031" s="10"/>
      <c r="AD2031" s="10"/>
      <c r="AE2031" s="10"/>
      <c r="AF2031" s="10"/>
      <c r="AG2031" s="10"/>
      <c r="AH2031" s="10"/>
      <c r="AI2031" s="10"/>
    </row>
    <row r="2032" spans="1:35">
      <c r="A2032" s="10"/>
      <c r="B2032" s="10" t="str">
        <f t="shared" si="813"/>
        <v>Below the Line</v>
      </c>
      <c r="C2032" t="s">
        <v>20</v>
      </c>
      <c r="D2032" t="s">
        <v>19</v>
      </c>
      <c r="E2032" t="s">
        <v>214</v>
      </c>
      <c r="G2032" t="s">
        <v>1148</v>
      </c>
      <c r="I2032" s="10"/>
      <c r="J2032" s="107">
        <f>SUMIF(Data!C:C,G2032,Data!Q:Q)</f>
        <v>0</v>
      </c>
      <c r="K2032" s="107">
        <f>SUMIF(Comprometidos!A:A,'Cost Report'!G2032,Comprometidos!E:E)</f>
        <v>0</v>
      </c>
      <c r="L2032" s="107">
        <f t="shared" si="814"/>
        <v>0</v>
      </c>
      <c r="M2032" s="107">
        <f t="shared" si="815"/>
        <v>0</v>
      </c>
      <c r="N2032" s="107">
        <f t="shared" si="816"/>
        <v>0</v>
      </c>
      <c r="O2032" s="107">
        <f>VLOOKUP(G2032,Budget!$E$3:$G$2474,3,0)</f>
        <v>0</v>
      </c>
      <c r="P2032" s="107">
        <f t="shared" si="817"/>
        <v>0</v>
      </c>
      <c r="Q2032" s="107"/>
      <c r="R2032" s="10"/>
      <c r="S2032" s="107">
        <v>0</v>
      </c>
      <c r="T2032" s="107">
        <f t="shared" si="803"/>
        <v>0</v>
      </c>
      <c r="U2032" s="107"/>
      <c r="V2032" s="175"/>
      <c r="W2032" s="10"/>
      <c r="X2032" s="10"/>
      <c r="Y2032" t="str">
        <f t="shared" si="818"/>
        <v>3902</v>
      </c>
      <c r="AB2032" s="10"/>
      <c r="AC2032" s="10"/>
      <c r="AD2032" s="10"/>
      <c r="AE2032" s="10"/>
      <c r="AF2032" s="10"/>
      <c r="AG2032" s="10"/>
      <c r="AH2032" s="10"/>
      <c r="AI2032" s="10"/>
    </row>
    <row r="2033" spans="1:35">
      <c r="A2033" s="10"/>
      <c r="B2033" s="10" t="str">
        <f t="shared" si="813"/>
        <v>Below the LineSHOOT</v>
      </c>
      <c r="C2033" t="s">
        <v>20</v>
      </c>
      <c r="D2033" t="s">
        <v>19</v>
      </c>
      <c r="E2033" t="s">
        <v>236</v>
      </c>
      <c r="G2033" t="s">
        <v>1149</v>
      </c>
      <c r="I2033" s="10"/>
      <c r="J2033" s="107">
        <f>SUMIF(Data!C:C,G2033,Data!Q:Q)</f>
        <v>0</v>
      </c>
      <c r="K2033" s="107">
        <f>SUMIF(Comprometidos!A:A,'Cost Report'!G2033,Comprometidos!E:E)</f>
        <v>0</v>
      </c>
      <c r="L2033" s="107">
        <f t="shared" si="814"/>
        <v>0</v>
      </c>
      <c r="M2033" s="107">
        <v>0</v>
      </c>
      <c r="N2033" s="107">
        <f t="shared" si="816"/>
        <v>0</v>
      </c>
      <c r="O2033" s="107">
        <f>VLOOKUP(G2033,Budget!$E$3:$G$2474,3,0)</f>
        <v>37035</v>
      </c>
      <c r="P2033" s="107">
        <f t="shared" si="817"/>
        <v>37035</v>
      </c>
      <c r="Q2033" s="107"/>
      <c r="R2033" s="10"/>
      <c r="S2033" s="107">
        <v>0</v>
      </c>
      <c r="T2033" s="107">
        <f t="shared" si="803"/>
        <v>0</v>
      </c>
      <c r="U2033" s="107"/>
      <c r="V2033" s="175"/>
      <c r="W2033" s="10"/>
      <c r="X2033" s="10"/>
      <c r="Y2033" t="str">
        <f t="shared" si="818"/>
        <v>3902</v>
      </c>
      <c r="AB2033" s="10"/>
      <c r="AC2033" s="10"/>
      <c r="AD2033" s="10"/>
      <c r="AE2033" s="10"/>
      <c r="AF2033" s="10"/>
      <c r="AG2033" s="10"/>
      <c r="AH2033" s="10"/>
      <c r="AI2033" s="10"/>
    </row>
    <row r="2034" spans="1:35">
      <c r="A2034" s="10"/>
      <c r="B2034" s="10" t="str">
        <f t="shared" si="813"/>
        <v>Below the Line2nd Unit</v>
      </c>
      <c r="C2034" t="s">
        <v>20</v>
      </c>
      <c r="D2034" t="s">
        <v>19</v>
      </c>
      <c r="E2034" t="s">
        <v>1419</v>
      </c>
      <c r="G2034" t="s">
        <v>1150</v>
      </c>
      <c r="I2034" s="10"/>
      <c r="J2034" s="107">
        <f>SUMIF(Data!C:C,G2034,Data!Q:Q)</f>
        <v>0</v>
      </c>
      <c r="K2034" s="107">
        <f>SUMIF(Comprometidos!A:A,'Cost Report'!G2034,Comprometidos!E:E)</f>
        <v>0</v>
      </c>
      <c r="L2034" s="107">
        <f t="shared" si="814"/>
        <v>0</v>
      </c>
      <c r="M2034" s="107">
        <v>0</v>
      </c>
      <c r="N2034" s="107">
        <f t="shared" si="816"/>
        <v>0</v>
      </c>
      <c r="O2034" s="107">
        <f>VLOOKUP(G2034,Budget!$E$3:$G$2474,3,0)</f>
        <v>4320</v>
      </c>
      <c r="P2034" s="107">
        <f t="shared" si="817"/>
        <v>4320</v>
      </c>
      <c r="Q2034" s="107"/>
      <c r="R2034" s="10"/>
      <c r="S2034" s="107">
        <v>0</v>
      </c>
      <c r="T2034" s="107">
        <f t="shared" si="803"/>
        <v>0</v>
      </c>
      <c r="U2034" s="107"/>
      <c r="V2034" s="175"/>
      <c r="W2034" s="10"/>
      <c r="X2034" s="10"/>
      <c r="Y2034" t="str">
        <f t="shared" si="818"/>
        <v>3902</v>
      </c>
      <c r="AB2034" s="10"/>
      <c r="AC2034" s="10"/>
      <c r="AD2034" s="10"/>
      <c r="AE2034" s="10"/>
      <c r="AF2034" s="10"/>
      <c r="AG2034" s="10"/>
      <c r="AH2034" s="10"/>
      <c r="AI2034" s="10"/>
    </row>
    <row r="2035" spans="1:35">
      <c r="A2035" s="10"/>
      <c r="B2035" s="10" t="str">
        <f t="shared" si="813"/>
        <v>Below the LineALL SHOW</v>
      </c>
      <c r="C2035" t="s">
        <v>20</v>
      </c>
      <c r="D2035" t="s">
        <v>19</v>
      </c>
      <c r="E2035" t="s">
        <v>227</v>
      </c>
      <c r="G2035" t="s">
        <v>1151</v>
      </c>
      <c r="I2035" s="10"/>
      <c r="J2035" s="107">
        <f>SUMIF(Data!C:C,G2035,Data!Q:Q)</f>
        <v>0</v>
      </c>
      <c r="K2035" s="107">
        <f>SUMIF(Comprometidos!A:A,'Cost Report'!G2035,Comprometidos!E:E)</f>
        <v>0</v>
      </c>
      <c r="L2035" s="107">
        <f t="shared" si="814"/>
        <v>0</v>
      </c>
      <c r="M2035" s="107">
        <v>0</v>
      </c>
      <c r="N2035" s="107">
        <f t="shared" si="816"/>
        <v>0</v>
      </c>
      <c r="O2035" s="107">
        <f>VLOOKUP(G2035,Budget!$E$3:$G$2474,3,0)</f>
        <v>2200</v>
      </c>
      <c r="P2035" s="107">
        <f t="shared" si="817"/>
        <v>2200</v>
      </c>
      <c r="Q2035" s="107"/>
      <c r="R2035" s="10"/>
      <c r="S2035" s="107">
        <v>0</v>
      </c>
      <c r="T2035" s="107">
        <f t="shared" si="803"/>
        <v>0</v>
      </c>
      <c r="U2035" s="107"/>
      <c r="V2035" s="175"/>
      <c r="W2035" s="10"/>
      <c r="X2035" s="10"/>
      <c r="Y2035" t="str">
        <f t="shared" si="818"/>
        <v>3902</v>
      </c>
      <c r="AB2035" s="10"/>
      <c r="AC2035" s="10"/>
      <c r="AD2035" s="10"/>
      <c r="AE2035" s="10"/>
      <c r="AF2035" s="10"/>
      <c r="AG2035" s="10"/>
      <c r="AH2035" s="10"/>
      <c r="AI2035" s="10"/>
    </row>
    <row r="2036" spans="1:35">
      <c r="A2036" s="10"/>
      <c r="B2036" s="10" t="str">
        <f t="shared" si="813"/>
        <v>Below the Line</v>
      </c>
      <c r="C2036" t="s">
        <v>20</v>
      </c>
      <c r="D2036" t="s">
        <v>19</v>
      </c>
      <c r="E2036" t="s">
        <v>214</v>
      </c>
      <c r="G2036" t="s">
        <v>1152</v>
      </c>
      <c r="I2036" s="10"/>
      <c r="J2036" s="107">
        <f>SUMIF(Data!C:C,G2036,Data!Q:Q)</f>
        <v>0</v>
      </c>
      <c r="K2036" s="107">
        <f>SUMIF(Comprometidos!A:A,'Cost Report'!G2036,Comprometidos!E:E)</f>
        <v>0</v>
      </c>
      <c r="L2036" s="107">
        <f t="shared" si="814"/>
        <v>0</v>
      </c>
      <c r="M2036" s="107">
        <f t="shared" si="815"/>
        <v>0</v>
      </c>
      <c r="N2036" s="107">
        <f t="shared" si="816"/>
        <v>0</v>
      </c>
      <c r="O2036" s="107">
        <f>VLOOKUP(G2036,Budget!$E$3:$G$2474,3,0)</f>
        <v>0</v>
      </c>
      <c r="P2036" s="107">
        <f t="shared" si="817"/>
        <v>0</v>
      </c>
      <c r="Q2036" s="107"/>
      <c r="R2036" s="10"/>
      <c r="S2036" s="107">
        <v>0</v>
      </c>
      <c r="T2036" s="107">
        <f t="shared" si="803"/>
        <v>0</v>
      </c>
      <c r="U2036" s="107"/>
      <c r="V2036" s="175"/>
      <c r="W2036" s="10"/>
      <c r="X2036" s="10"/>
      <c r="Y2036" t="str">
        <f t="shared" si="818"/>
        <v>3902</v>
      </c>
      <c r="AB2036" s="10"/>
      <c r="AC2036" s="10"/>
      <c r="AD2036" s="10"/>
      <c r="AE2036" s="10"/>
      <c r="AF2036" s="10"/>
      <c r="AG2036" s="10"/>
      <c r="AH2036" s="10"/>
      <c r="AI2036" s="10"/>
    </row>
    <row r="2037" spans="1:35">
      <c r="A2037" s="10"/>
      <c r="B2037" s="10" t="str">
        <f t="shared" si="813"/>
        <v>Below the LinePREP</v>
      </c>
      <c r="C2037" t="s">
        <v>20</v>
      </c>
      <c r="D2037" t="s">
        <v>19</v>
      </c>
      <c r="E2037" t="s">
        <v>234</v>
      </c>
      <c r="G2037" t="s">
        <v>1153</v>
      </c>
      <c r="I2037" s="10"/>
      <c r="J2037" s="107">
        <f>SUMIF(Data!C:C,G2037,Data!Q:Q)</f>
        <v>84085.709999999992</v>
      </c>
      <c r="K2037" s="107">
        <f>SUMIF(Comprometidos!A:A,'Cost Report'!G2037,Comprometidos!E:E)</f>
        <v>0</v>
      </c>
      <c r="L2037" s="107">
        <f t="shared" si="814"/>
        <v>84085.709999999992</v>
      </c>
      <c r="M2037" s="107">
        <v>0</v>
      </c>
      <c r="N2037" s="107">
        <f t="shared" si="816"/>
        <v>84085.709999999992</v>
      </c>
      <c r="O2037" s="107">
        <f>VLOOKUP(G2037,Budget!$E$3:$G$2474,3,0)</f>
        <v>53529.56</v>
      </c>
      <c r="P2037" s="107">
        <f t="shared" si="817"/>
        <v>-30556.149999999994</v>
      </c>
      <c r="Q2037" s="107"/>
      <c r="R2037" s="10"/>
      <c r="S2037" s="107">
        <v>84085.709999999992</v>
      </c>
      <c r="T2037" s="107">
        <f t="shared" si="803"/>
        <v>0</v>
      </c>
      <c r="U2037" s="107"/>
      <c r="V2037" s="175"/>
      <c r="W2037" s="10"/>
      <c r="X2037" s="10"/>
      <c r="Y2037" t="str">
        <f t="shared" si="818"/>
        <v>3902</v>
      </c>
      <c r="AB2037" s="10"/>
      <c r="AC2037" s="10"/>
      <c r="AD2037" s="10"/>
      <c r="AE2037" s="10"/>
      <c r="AF2037" s="10"/>
      <c r="AG2037" s="10"/>
      <c r="AH2037" s="10"/>
      <c r="AI2037" s="10"/>
    </row>
    <row r="2038" spans="1:35">
      <c r="A2038" s="10"/>
      <c r="B2038" s="10" t="str">
        <f t="shared" si="813"/>
        <v>Below the LineSHOOT</v>
      </c>
      <c r="C2038" t="s">
        <v>20</v>
      </c>
      <c r="D2038" t="s">
        <v>19</v>
      </c>
      <c r="E2038" t="s">
        <v>236</v>
      </c>
      <c r="G2038" t="s">
        <v>1154</v>
      </c>
      <c r="I2038" s="10"/>
      <c r="J2038" s="107">
        <f>SUMIF(Data!C:C,G2038,Data!Q:Q)</f>
        <v>182653.9</v>
      </c>
      <c r="K2038" s="107">
        <f>SUMIF(Comprometidos!A:A,'Cost Report'!G2038,Comprometidos!E:E)</f>
        <v>0</v>
      </c>
      <c r="L2038" s="107">
        <f t="shared" si="814"/>
        <v>182653.9</v>
      </c>
      <c r="M2038" s="107">
        <v>0</v>
      </c>
      <c r="N2038" s="107">
        <f t="shared" si="816"/>
        <v>182653.9</v>
      </c>
      <c r="O2038" s="107">
        <f>VLOOKUP(G2038,Budget!$E$3:$G$2474,3,0)</f>
        <v>401471.7</v>
      </c>
      <c r="P2038" s="107">
        <f t="shared" si="817"/>
        <v>218817.80000000002</v>
      </c>
      <c r="Q2038" s="107"/>
      <c r="R2038" s="10"/>
      <c r="S2038" s="107">
        <v>182653.9</v>
      </c>
      <c r="T2038" s="107">
        <f t="shared" si="803"/>
        <v>0</v>
      </c>
      <c r="U2038" s="107"/>
      <c r="V2038" s="175"/>
      <c r="W2038" s="10"/>
      <c r="X2038" s="10"/>
      <c r="Y2038" t="str">
        <f t="shared" si="818"/>
        <v>3902</v>
      </c>
      <c r="AB2038" s="10"/>
      <c r="AC2038" s="10"/>
      <c r="AD2038" s="10"/>
      <c r="AE2038" s="10"/>
      <c r="AF2038" s="10"/>
      <c r="AG2038" s="10"/>
      <c r="AH2038" s="10"/>
      <c r="AI2038" s="10"/>
    </row>
    <row r="2039" spans="1:35">
      <c r="A2039" s="10"/>
      <c r="B2039" s="10" t="str">
        <f t="shared" si="813"/>
        <v>Below the LineWRAP</v>
      </c>
      <c r="C2039" t="s">
        <v>20</v>
      </c>
      <c r="D2039" t="s">
        <v>19</v>
      </c>
      <c r="E2039" t="s">
        <v>238</v>
      </c>
      <c r="G2039" t="s">
        <v>1155</v>
      </c>
      <c r="I2039" s="10"/>
      <c r="J2039" s="107">
        <f>SUMIF(Data!C:C,G2039,Data!Q:Q)</f>
        <v>35746.17</v>
      </c>
      <c r="K2039" s="107">
        <f>SUMIF(Comprometidos!A:A,'Cost Report'!G2039,Comprometidos!E:E)</f>
        <v>0</v>
      </c>
      <c r="L2039" s="107">
        <f t="shared" si="814"/>
        <v>35746.17</v>
      </c>
      <c r="M2039" s="107">
        <v>0</v>
      </c>
      <c r="N2039" s="107">
        <f t="shared" si="816"/>
        <v>35746.17</v>
      </c>
      <c r="O2039" s="107">
        <f>VLOOKUP(G2039,Budget!$E$3:$G$2474,3,0)</f>
        <v>11470.62</v>
      </c>
      <c r="P2039" s="107">
        <f t="shared" si="817"/>
        <v>-24275.549999999996</v>
      </c>
      <c r="Q2039" s="107"/>
      <c r="R2039" s="10"/>
      <c r="S2039" s="107">
        <v>35746.17</v>
      </c>
      <c r="T2039" s="107">
        <f t="shared" si="803"/>
        <v>0</v>
      </c>
      <c r="U2039" s="107"/>
      <c r="V2039" s="175"/>
      <c r="W2039" s="10"/>
      <c r="X2039" s="10"/>
      <c r="Y2039" t="str">
        <f t="shared" si="818"/>
        <v>3902</v>
      </c>
      <c r="AB2039" s="10"/>
      <c r="AC2039" s="10"/>
      <c r="AD2039" s="10"/>
      <c r="AE2039" s="10"/>
      <c r="AF2039" s="10"/>
      <c r="AG2039" s="10"/>
      <c r="AH2039" s="10"/>
      <c r="AI2039" s="10"/>
    </row>
    <row r="2040" spans="1:35">
      <c r="A2040" s="10"/>
      <c r="B2040" s="10" t="str">
        <f t="shared" si="813"/>
        <v>Below the Line</v>
      </c>
      <c r="C2040" t="s">
        <v>20</v>
      </c>
      <c r="D2040" t="s">
        <v>19</v>
      </c>
      <c r="E2040" t="s">
        <v>214</v>
      </c>
      <c r="G2040" t="s">
        <v>2954</v>
      </c>
      <c r="I2040" s="10"/>
      <c r="J2040" s="107">
        <f>SUMIF(Data!C:C,G2040,Data!Q:Q)</f>
        <v>0</v>
      </c>
      <c r="K2040" s="107">
        <f>SUMIF(Comprometidos!A:A,'Cost Report'!G2040,Comprometidos!E:E)</f>
        <v>0</v>
      </c>
      <c r="L2040" s="107">
        <f t="shared" si="814"/>
        <v>0</v>
      </c>
      <c r="M2040" s="107">
        <f t="shared" si="815"/>
        <v>0</v>
      </c>
      <c r="N2040" s="107">
        <f t="shared" si="816"/>
        <v>0</v>
      </c>
      <c r="O2040" s="107">
        <f>VLOOKUP(G2040,Budget!$E$3:$G$2474,3,0)</f>
        <v>0</v>
      </c>
      <c r="P2040" s="107">
        <f t="shared" si="817"/>
        <v>0</v>
      </c>
      <c r="Q2040" s="107"/>
      <c r="R2040" s="10"/>
      <c r="S2040" s="107">
        <v>0</v>
      </c>
      <c r="T2040" s="107">
        <f t="shared" si="803"/>
        <v>0</v>
      </c>
      <c r="U2040" s="107"/>
      <c r="V2040" s="175"/>
      <c r="W2040" s="10"/>
      <c r="X2040" s="10"/>
      <c r="Y2040" t="str">
        <f t="shared" si="818"/>
        <v>3902</v>
      </c>
      <c r="AB2040" s="10"/>
      <c r="AC2040" s="10"/>
      <c r="AD2040" s="10"/>
      <c r="AE2040" s="10"/>
      <c r="AF2040" s="10"/>
      <c r="AG2040" s="10"/>
      <c r="AH2040" s="10"/>
      <c r="AI2040" s="10"/>
    </row>
    <row r="2041" spans="1:35">
      <c r="A2041" s="10"/>
      <c r="B2041" s="10" t="str">
        <f t="shared" si="813"/>
        <v>Below the LinePREP</v>
      </c>
      <c r="C2041" t="s">
        <v>20</v>
      </c>
      <c r="D2041" t="s">
        <v>19</v>
      </c>
      <c r="E2041" t="s">
        <v>234</v>
      </c>
      <c r="G2041" t="s">
        <v>2955</v>
      </c>
      <c r="I2041" s="10"/>
      <c r="J2041" s="107">
        <f>SUMIF(Data!C:C,G2041,Data!Q:Q)</f>
        <v>0</v>
      </c>
      <c r="K2041" s="107">
        <f>SUMIF(Comprometidos!A:A,'Cost Report'!G2041,Comprometidos!E:E)</f>
        <v>0</v>
      </c>
      <c r="L2041" s="107">
        <f t="shared" si="814"/>
        <v>0</v>
      </c>
      <c r="M2041" s="107">
        <v>0</v>
      </c>
      <c r="N2041" s="107">
        <f t="shared" si="816"/>
        <v>0</v>
      </c>
      <c r="O2041" s="107">
        <f>VLOOKUP(G2041,Budget!$E$3:$G$2474,3,0)</f>
        <v>74117.399999999994</v>
      </c>
      <c r="P2041" s="107">
        <f t="shared" si="817"/>
        <v>74117.399999999994</v>
      </c>
      <c r="Q2041" s="107"/>
      <c r="R2041" s="10"/>
      <c r="S2041" s="107">
        <v>0</v>
      </c>
      <c r="T2041" s="107">
        <f t="shared" si="803"/>
        <v>0</v>
      </c>
      <c r="U2041" s="107"/>
      <c r="V2041" s="175"/>
      <c r="W2041" s="10"/>
      <c r="X2041" s="10"/>
      <c r="Y2041" t="str">
        <f t="shared" si="818"/>
        <v>3902</v>
      </c>
      <c r="AB2041" s="10"/>
      <c r="AC2041" s="10"/>
      <c r="AD2041" s="10"/>
      <c r="AE2041" s="10"/>
      <c r="AF2041" s="10"/>
      <c r="AG2041" s="10"/>
      <c r="AH2041" s="10"/>
      <c r="AI2041" s="10"/>
    </row>
    <row r="2042" spans="1:35">
      <c r="A2042" s="10"/>
      <c r="B2042" s="10" t="str">
        <f t="shared" si="813"/>
        <v>Below the LineSHOOT</v>
      </c>
      <c r="C2042" t="s">
        <v>20</v>
      </c>
      <c r="D2042" t="s">
        <v>19</v>
      </c>
      <c r="E2042" t="s">
        <v>236</v>
      </c>
      <c r="G2042" t="s">
        <v>2956</v>
      </c>
      <c r="I2042" s="10"/>
      <c r="J2042" s="107">
        <f>SUMIF(Data!C:C,G2042,Data!Q:Q)</f>
        <v>834885.17999999993</v>
      </c>
      <c r="K2042" s="107">
        <f>SUMIF(Comprometidos!A:A,'Cost Report'!G2042,Comprometidos!E:E)</f>
        <v>0</v>
      </c>
      <c r="L2042" s="107">
        <f t="shared" si="814"/>
        <v>834885.17999999993</v>
      </c>
      <c r="M2042" s="107">
        <v>0</v>
      </c>
      <c r="N2042" s="107">
        <f t="shared" si="816"/>
        <v>834885.17999999993</v>
      </c>
      <c r="O2042" s="107">
        <f>VLOOKUP(G2042,Budget!$E$3:$G$2474,3,0)</f>
        <v>555880.5</v>
      </c>
      <c r="P2042" s="107">
        <f t="shared" si="817"/>
        <v>-279004.67999999993</v>
      </c>
      <c r="Q2042" s="107"/>
      <c r="R2042" s="10"/>
      <c r="S2042" s="107">
        <v>834885.17999999993</v>
      </c>
      <c r="T2042" s="107">
        <f t="shared" si="803"/>
        <v>0</v>
      </c>
      <c r="U2042" s="107"/>
      <c r="V2042" s="175"/>
      <c r="W2042" s="10"/>
      <c r="X2042" s="10"/>
      <c r="Y2042" t="str">
        <f t="shared" si="818"/>
        <v>3902</v>
      </c>
      <c r="AB2042" s="10"/>
      <c r="AC2042" s="10"/>
      <c r="AD2042" s="10"/>
      <c r="AE2042" s="10"/>
      <c r="AF2042" s="10"/>
      <c r="AG2042" s="10"/>
      <c r="AH2042" s="10"/>
      <c r="AI2042" s="10"/>
    </row>
    <row r="2043" spans="1:35">
      <c r="A2043" s="10"/>
      <c r="B2043" s="10" t="str">
        <f t="shared" si="813"/>
        <v>Below the LineWRAP</v>
      </c>
      <c r="C2043" t="s">
        <v>20</v>
      </c>
      <c r="D2043" t="s">
        <v>19</v>
      </c>
      <c r="E2043" t="s">
        <v>238</v>
      </c>
      <c r="G2043" t="s">
        <v>2957</v>
      </c>
      <c r="I2043" s="10"/>
      <c r="J2043" s="107">
        <f>SUMIF(Data!C:C,G2043,Data!Q:Q)</f>
        <v>15882.3</v>
      </c>
      <c r="K2043" s="107">
        <f>SUMIF(Comprometidos!A:A,'Cost Report'!G2043,Comprometidos!E:E)</f>
        <v>0</v>
      </c>
      <c r="L2043" s="107">
        <f t="shared" si="814"/>
        <v>15882.3</v>
      </c>
      <c r="M2043" s="107">
        <f t="shared" si="815"/>
        <v>0</v>
      </c>
      <c r="N2043" s="107">
        <f t="shared" si="816"/>
        <v>15882.3</v>
      </c>
      <c r="O2043" s="107">
        <f>VLOOKUP(G2043,Budget!$E$3:$G$2474,3,0)</f>
        <v>15882.3</v>
      </c>
      <c r="P2043" s="107">
        <f t="shared" si="817"/>
        <v>0</v>
      </c>
      <c r="Q2043" s="107"/>
      <c r="R2043" s="10"/>
      <c r="S2043" s="107">
        <v>15882.3</v>
      </c>
      <c r="T2043" s="107">
        <f t="shared" si="803"/>
        <v>0</v>
      </c>
      <c r="U2043" s="107"/>
      <c r="V2043" s="175"/>
      <c r="W2043" s="10"/>
      <c r="X2043" s="10"/>
      <c r="Y2043" t="str">
        <f t="shared" si="818"/>
        <v>3902</v>
      </c>
      <c r="AB2043" s="10"/>
      <c r="AC2043" s="10"/>
      <c r="AD2043" s="10"/>
      <c r="AE2043" s="10"/>
      <c r="AF2043" s="10"/>
      <c r="AG2043" s="10"/>
      <c r="AH2043" s="10"/>
      <c r="AI2043" s="10"/>
    </row>
    <row r="2044" spans="1:35">
      <c r="A2044" s="10"/>
      <c r="B2044" s="10" t="str">
        <f t="shared" si="813"/>
        <v>Below the Line</v>
      </c>
      <c r="C2044" t="s">
        <v>20</v>
      </c>
      <c r="D2044" t="s">
        <v>19</v>
      </c>
      <c r="E2044" t="s">
        <v>214</v>
      </c>
      <c r="G2044" t="s">
        <v>2958</v>
      </c>
      <c r="I2044" s="10"/>
      <c r="J2044" s="107">
        <f>SUMIF(Data!C:C,G2044,Data!Q:Q)</f>
        <v>0</v>
      </c>
      <c r="K2044" s="107">
        <f>SUMIF(Comprometidos!A:A,'Cost Report'!G2044,Comprometidos!E:E)</f>
        <v>0</v>
      </c>
      <c r="L2044" s="107">
        <f t="shared" si="814"/>
        <v>0</v>
      </c>
      <c r="M2044" s="107">
        <f t="shared" si="815"/>
        <v>0</v>
      </c>
      <c r="N2044" s="107">
        <f t="shared" si="816"/>
        <v>0</v>
      </c>
      <c r="O2044" s="107">
        <f>VLOOKUP(G2044,Budget!$E$3:$G$2474,3,0)</f>
        <v>0</v>
      </c>
      <c r="P2044" s="107">
        <f t="shared" si="817"/>
        <v>0</v>
      </c>
      <c r="Q2044" s="107"/>
      <c r="R2044" s="10"/>
      <c r="S2044" s="107">
        <v>0</v>
      </c>
      <c r="T2044" s="107">
        <f t="shared" si="803"/>
        <v>0</v>
      </c>
      <c r="U2044" s="107"/>
      <c r="V2044" s="175"/>
      <c r="W2044" s="10"/>
      <c r="X2044" s="10"/>
      <c r="Y2044" t="str">
        <f t="shared" si="818"/>
        <v>3902</v>
      </c>
      <c r="AB2044" s="10"/>
      <c r="AC2044" s="10"/>
      <c r="AD2044" s="10"/>
      <c r="AE2044" s="10"/>
      <c r="AF2044" s="10"/>
      <c r="AG2044" s="10"/>
      <c r="AH2044" s="10"/>
      <c r="AI2044" s="10"/>
    </row>
    <row r="2045" spans="1:35">
      <c r="A2045" s="10"/>
      <c r="B2045" s="10" t="str">
        <f t="shared" si="813"/>
        <v>Below the Line2nd Unit</v>
      </c>
      <c r="C2045" t="s">
        <v>20</v>
      </c>
      <c r="D2045" t="s">
        <v>19</v>
      </c>
      <c r="E2045" t="s">
        <v>1419</v>
      </c>
      <c r="G2045" t="s">
        <v>2959</v>
      </c>
      <c r="I2045" s="10"/>
      <c r="J2045" s="107">
        <f>SUMIF(Data!C:C,G2045,Data!Q:Q)</f>
        <v>0</v>
      </c>
      <c r="K2045" s="107">
        <f>SUMIF(Comprometidos!A:A,'Cost Report'!G2045,Comprometidos!E:E)</f>
        <v>0</v>
      </c>
      <c r="L2045" s="107">
        <f t="shared" si="814"/>
        <v>0</v>
      </c>
      <c r="M2045" s="107">
        <v>0</v>
      </c>
      <c r="N2045" s="107">
        <f t="shared" si="816"/>
        <v>0</v>
      </c>
      <c r="O2045" s="107">
        <f>VLOOKUP(G2045,Budget!$E$3:$G$2474,3,0)</f>
        <v>22689</v>
      </c>
      <c r="P2045" s="107">
        <f t="shared" si="817"/>
        <v>22689</v>
      </c>
      <c r="Q2045" s="107"/>
      <c r="R2045" s="10"/>
      <c r="S2045" s="107">
        <v>0</v>
      </c>
      <c r="T2045" s="107">
        <f t="shared" si="803"/>
        <v>0</v>
      </c>
      <c r="U2045" s="107"/>
      <c r="V2045" s="175"/>
      <c r="W2045" s="10"/>
      <c r="X2045" s="10"/>
      <c r="Y2045" t="str">
        <f t="shared" si="818"/>
        <v>3902</v>
      </c>
      <c r="AB2045" s="10"/>
      <c r="AC2045" s="10"/>
      <c r="AD2045" s="10"/>
      <c r="AE2045" s="10"/>
      <c r="AF2045" s="10"/>
      <c r="AG2045" s="10"/>
      <c r="AH2045" s="10"/>
      <c r="AI2045" s="10"/>
    </row>
    <row r="2046" spans="1:35">
      <c r="A2046" s="10"/>
      <c r="B2046" s="10" t="str">
        <f t="shared" si="813"/>
        <v>Below the Line2nd Unit</v>
      </c>
      <c r="C2046" t="s">
        <v>20</v>
      </c>
      <c r="D2046" t="s">
        <v>19</v>
      </c>
      <c r="E2046" t="s">
        <v>1419</v>
      </c>
      <c r="G2046" t="s">
        <v>2960</v>
      </c>
      <c r="I2046" s="10"/>
      <c r="J2046" s="107">
        <f>SUMIF(Data!C:C,G2046,Data!Q:Q)</f>
        <v>343560.2</v>
      </c>
      <c r="K2046" s="107">
        <f>SUMIF(Comprometidos!A:A,'Cost Report'!G2046,Comprometidos!E:E)</f>
        <v>0</v>
      </c>
      <c r="L2046" s="107">
        <f t="shared" si="814"/>
        <v>343560.2</v>
      </c>
      <c r="M2046" s="107">
        <v>0</v>
      </c>
      <c r="N2046" s="107">
        <f t="shared" si="816"/>
        <v>343560.2</v>
      </c>
      <c r="O2046" s="107">
        <f>VLOOKUP(G2046,Budget!$E$3:$G$2474,3,0)</f>
        <v>157310.39999999999</v>
      </c>
      <c r="P2046" s="107">
        <f t="shared" si="817"/>
        <v>-186249.80000000002</v>
      </c>
      <c r="Q2046" s="107"/>
      <c r="R2046" s="10"/>
      <c r="S2046" s="107">
        <v>343560.2</v>
      </c>
      <c r="T2046" s="107">
        <f t="shared" si="803"/>
        <v>0</v>
      </c>
      <c r="U2046" s="107"/>
      <c r="V2046" s="175"/>
      <c r="W2046" s="10"/>
      <c r="X2046" s="10"/>
      <c r="Y2046" t="str">
        <f t="shared" si="818"/>
        <v>3902</v>
      </c>
      <c r="AB2046" s="10"/>
      <c r="AC2046" s="10"/>
      <c r="AD2046" s="10"/>
      <c r="AE2046" s="10"/>
      <c r="AF2046" s="10"/>
      <c r="AG2046" s="10"/>
      <c r="AH2046" s="10"/>
      <c r="AI2046" s="10"/>
    </row>
    <row r="2047" spans="1:35">
      <c r="A2047" s="10"/>
      <c r="B2047" s="10" t="str">
        <f t="shared" si="813"/>
        <v>Below the Line2nd Unit</v>
      </c>
      <c r="C2047" t="s">
        <v>20</v>
      </c>
      <c r="D2047" t="s">
        <v>19</v>
      </c>
      <c r="E2047" t="s">
        <v>1419</v>
      </c>
      <c r="G2047" t="s">
        <v>2961</v>
      </c>
      <c r="I2047" s="10"/>
      <c r="J2047" s="107">
        <f>SUMIF(Data!C:C,G2047,Data!Q:Q)</f>
        <v>5090.8599999999997</v>
      </c>
      <c r="K2047" s="107">
        <f>SUMIF(Comprometidos!A:A,'Cost Report'!G2047,Comprometidos!E:E)</f>
        <v>0</v>
      </c>
      <c r="L2047" s="107">
        <f t="shared" si="814"/>
        <v>5090.8599999999997</v>
      </c>
      <c r="M2047" s="107">
        <v>0</v>
      </c>
      <c r="N2047" s="107">
        <f t="shared" si="816"/>
        <v>5090.8599999999997</v>
      </c>
      <c r="O2047" s="107">
        <f>VLOOKUP(G2047,Budget!$E$3:$G$2474,3,0)</f>
        <v>6806.7</v>
      </c>
      <c r="P2047" s="107">
        <f t="shared" si="817"/>
        <v>1715.8400000000001</v>
      </c>
      <c r="Q2047" s="107"/>
      <c r="R2047" s="10"/>
      <c r="S2047" s="107">
        <v>5090.8599999999997</v>
      </c>
      <c r="T2047" s="107">
        <f t="shared" si="803"/>
        <v>0</v>
      </c>
      <c r="U2047" s="107"/>
      <c r="V2047" s="175"/>
      <c r="W2047" s="10"/>
      <c r="X2047" s="10"/>
      <c r="Y2047" t="str">
        <f t="shared" si="818"/>
        <v>3902</v>
      </c>
      <c r="AB2047" s="10"/>
      <c r="AC2047" s="10"/>
      <c r="AD2047" s="10"/>
      <c r="AE2047" s="10"/>
      <c r="AF2047" s="10"/>
      <c r="AG2047" s="10"/>
      <c r="AH2047" s="10"/>
      <c r="AI2047" s="10"/>
    </row>
    <row r="2048" spans="1:35">
      <c r="A2048" s="10"/>
      <c r="B2048" s="10" t="str">
        <f t="shared" si="813"/>
        <v>Below the Line</v>
      </c>
      <c r="C2048" t="s">
        <v>20</v>
      </c>
      <c r="D2048" t="s">
        <v>19</v>
      </c>
      <c r="E2048" t="s">
        <v>214</v>
      </c>
      <c r="G2048" t="s">
        <v>2962</v>
      </c>
      <c r="I2048" s="10"/>
      <c r="J2048" s="107">
        <f>SUMIF(Data!C:C,G2048,Data!Q:Q)</f>
        <v>0</v>
      </c>
      <c r="K2048" s="107">
        <f>SUMIF(Comprometidos!A:A,'Cost Report'!G2048,Comprometidos!E:E)</f>
        <v>0</v>
      </c>
      <c r="L2048" s="107">
        <f t="shared" si="814"/>
        <v>0</v>
      </c>
      <c r="M2048" s="107">
        <f t="shared" si="815"/>
        <v>0</v>
      </c>
      <c r="N2048" s="107">
        <f t="shared" si="816"/>
        <v>0</v>
      </c>
      <c r="O2048" s="107">
        <f>VLOOKUP(G2048,Budget!$E$3:$G$2474,3,0)</f>
        <v>0</v>
      </c>
      <c r="P2048" s="107">
        <f t="shared" si="817"/>
        <v>0</v>
      </c>
      <c r="Q2048" s="107"/>
      <c r="R2048" s="10"/>
      <c r="S2048" s="107">
        <v>0</v>
      </c>
      <c r="T2048" s="107">
        <f t="shared" si="803"/>
        <v>0</v>
      </c>
      <c r="U2048" s="107"/>
      <c r="V2048" s="175"/>
      <c r="W2048" s="10"/>
      <c r="X2048" s="10"/>
      <c r="Y2048" t="str">
        <f t="shared" si="818"/>
        <v>3902</v>
      </c>
      <c r="AB2048" s="10"/>
      <c r="AC2048" s="10"/>
      <c r="AD2048" s="10"/>
      <c r="AE2048" s="10"/>
      <c r="AF2048" s="10"/>
      <c r="AG2048" s="10"/>
      <c r="AH2048" s="10"/>
      <c r="AI2048" s="10"/>
    </row>
    <row r="2049" spans="1:35">
      <c r="A2049" s="10"/>
      <c r="B2049" s="10" t="str">
        <f t="shared" si="813"/>
        <v>Below the LineSHOOT</v>
      </c>
      <c r="C2049" t="s">
        <v>20</v>
      </c>
      <c r="D2049" t="s">
        <v>19</v>
      </c>
      <c r="E2049" t="s">
        <v>236</v>
      </c>
      <c r="G2049" t="s">
        <v>2963</v>
      </c>
      <c r="I2049" s="10"/>
      <c r="J2049" s="107">
        <f>SUMIF(Data!C:C,G2049,Data!Q:Q)</f>
        <v>0</v>
      </c>
      <c r="K2049" s="107">
        <f>SUMIF(Comprometidos!A:A,'Cost Report'!G2049,Comprometidos!E:E)</f>
        <v>0</v>
      </c>
      <c r="L2049" s="107">
        <f t="shared" si="814"/>
        <v>0</v>
      </c>
      <c r="M2049" s="107">
        <v>0</v>
      </c>
      <c r="N2049" s="107">
        <f t="shared" si="816"/>
        <v>0</v>
      </c>
      <c r="O2049" s="107">
        <f>VLOOKUP(G2049,Budget!$E$3:$G$2474,3,0)</f>
        <v>28800</v>
      </c>
      <c r="P2049" s="107">
        <f t="shared" si="817"/>
        <v>28800</v>
      </c>
      <c r="Q2049" s="107"/>
      <c r="R2049" s="10"/>
      <c r="S2049" s="107">
        <v>0</v>
      </c>
      <c r="T2049" s="107">
        <f t="shared" si="803"/>
        <v>0</v>
      </c>
      <c r="U2049" s="107"/>
      <c r="V2049" s="175"/>
      <c r="W2049" s="10"/>
      <c r="X2049" s="10"/>
      <c r="Y2049" t="str">
        <f t="shared" si="818"/>
        <v>3902</v>
      </c>
      <c r="AB2049" s="10"/>
      <c r="AC2049" s="10"/>
      <c r="AD2049" s="10"/>
      <c r="AE2049" s="10"/>
      <c r="AF2049" s="10"/>
      <c r="AG2049" s="10"/>
      <c r="AH2049" s="10"/>
      <c r="AI2049" s="10"/>
    </row>
    <row r="2050" spans="1:35">
      <c r="A2050" s="10"/>
      <c r="B2050" s="10" t="str">
        <f t="shared" si="813"/>
        <v>Below the Line2nd Unit</v>
      </c>
      <c r="C2050" t="s">
        <v>20</v>
      </c>
      <c r="D2050" t="s">
        <v>19</v>
      </c>
      <c r="E2050" t="s">
        <v>1419</v>
      </c>
      <c r="G2050" t="s">
        <v>2964</v>
      </c>
      <c r="I2050" s="10"/>
      <c r="J2050" s="107">
        <f>SUMIF(Data!C:C,G2050,Data!Q:Q)</f>
        <v>0</v>
      </c>
      <c r="K2050" s="107">
        <f>SUMIF(Comprometidos!A:A,'Cost Report'!G2050,Comprometidos!E:E)</f>
        <v>0</v>
      </c>
      <c r="L2050" s="107">
        <f t="shared" si="814"/>
        <v>0</v>
      </c>
      <c r="M2050" s="107">
        <v>0</v>
      </c>
      <c r="N2050" s="107">
        <f t="shared" si="816"/>
        <v>0</v>
      </c>
      <c r="O2050" s="107">
        <f>VLOOKUP(G2050,Budget!$E$3:$G$2474,3,0)</f>
        <v>4880</v>
      </c>
      <c r="P2050" s="107">
        <f t="shared" si="817"/>
        <v>4880</v>
      </c>
      <c r="Q2050" s="107"/>
      <c r="R2050" s="10"/>
      <c r="S2050" s="107">
        <v>0</v>
      </c>
      <c r="T2050" s="107">
        <f t="shared" si="803"/>
        <v>0</v>
      </c>
      <c r="U2050" s="107"/>
      <c r="V2050" s="175"/>
      <c r="W2050" s="10"/>
      <c r="X2050" s="10"/>
      <c r="Y2050" t="str">
        <f t="shared" si="818"/>
        <v>3902</v>
      </c>
      <c r="AB2050" s="10"/>
      <c r="AC2050" s="10"/>
      <c r="AD2050" s="10"/>
      <c r="AE2050" s="10"/>
      <c r="AF2050" s="10"/>
      <c r="AG2050" s="10"/>
      <c r="AH2050" s="10"/>
      <c r="AI2050" s="10"/>
    </row>
    <row r="2051" spans="1:35">
      <c r="A2051" s="10"/>
      <c r="B2051" s="10" t="str">
        <f t="shared" si="813"/>
        <v>Below the LineALL SHOW</v>
      </c>
      <c r="C2051" t="s">
        <v>20</v>
      </c>
      <c r="D2051" t="s">
        <v>19</v>
      </c>
      <c r="E2051" t="s">
        <v>227</v>
      </c>
      <c r="G2051" t="s">
        <v>2965</v>
      </c>
      <c r="I2051" s="10"/>
      <c r="J2051" s="107">
        <f>SUMIF(Data!C:C,G2051,Data!Q:Q)</f>
        <v>4093.6</v>
      </c>
      <c r="K2051" s="107">
        <f>SUMIF(Comprometidos!A:A,'Cost Report'!G2051,Comprometidos!E:E)</f>
        <v>0</v>
      </c>
      <c r="L2051" s="107">
        <f t="shared" si="814"/>
        <v>4093.6</v>
      </c>
      <c r="M2051" s="107">
        <v>0</v>
      </c>
      <c r="N2051" s="107">
        <f t="shared" si="816"/>
        <v>4093.6</v>
      </c>
      <c r="O2051" s="107">
        <f>VLOOKUP(G2051,Budget!$E$3:$G$2474,3,0)</f>
        <v>0</v>
      </c>
      <c r="P2051" s="107">
        <f t="shared" si="817"/>
        <v>-4093.6</v>
      </c>
      <c r="Q2051" s="107"/>
      <c r="R2051" s="10"/>
      <c r="S2051" s="107">
        <v>4093.6</v>
      </c>
      <c r="T2051" s="107">
        <f t="shared" si="803"/>
        <v>0</v>
      </c>
      <c r="U2051" s="107"/>
      <c r="V2051" s="175"/>
      <c r="W2051" s="10"/>
      <c r="X2051" s="10"/>
      <c r="Y2051" t="str">
        <f t="shared" si="818"/>
        <v>3902</v>
      </c>
      <c r="AB2051" s="10"/>
      <c r="AC2051" s="10"/>
      <c r="AD2051" s="10"/>
      <c r="AE2051" s="10"/>
      <c r="AF2051" s="10"/>
      <c r="AG2051" s="10"/>
      <c r="AH2051" s="10"/>
      <c r="AI2051" s="10"/>
    </row>
    <row r="2052" spans="1:35">
      <c r="A2052" s="10"/>
      <c r="B2052" s="10" t="str">
        <f t="shared" si="813"/>
        <v>Below the LineSHOOT</v>
      </c>
      <c r="C2052" t="s">
        <v>20</v>
      </c>
      <c r="D2052" t="s">
        <v>19</v>
      </c>
      <c r="E2052" t="s">
        <v>236</v>
      </c>
      <c r="G2052" t="s">
        <v>2966</v>
      </c>
      <c r="I2052" s="10"/>
      <c r="J2052" s="107">
        <f>SUMIF(Data!C:C,G2052,Data!Q:Q)</f>
        <v>57496.31</v>
      </c>
      <c r="K2052" s="107">
        <f>SUMIF(Comprometidos!A:A,'Cost Report'!G2052,Comprometidos!E:E)</f>
        <v>0</v>
      </c>
      <c r="L2052" s="107">
        <f t="shared" si="814"/>
        <v>57496.31</v>
      </c>
      <c r="M2052" s="107">
        <v>0</v>
      </c>
      <c r="N2052" s="107">
        <f t="shared" si="816"/>
        <v>57496.31</v>
      </c>
      <c r="O2052" s="107">
        <f>VLOOKUP(G2052,Budget!$E$3:$G$2474,3,0)</f>
        <v>41720</v>
      </c>
      <c r="P2052" s="107">
        <f t="shared" si="817"/>
        <v>-15776.309999999998</v>
      </c>
      <c r="Q2052" s="107"/>
      <c r="R2052" s="10"/>
      <c r="S2052" s="107">
        <v>57496.31</v>
      </c>
      <c r="T2052" s="107">
        <f t="shared" si="803"/>
        <v>0</v>
      </c>
      <c r="U2052" s="107"/>
      <c r="V2052" s="175"/>
      <c r="W2052" s="10"/>
      <c r="X2052" s="10"/>
      <c r="Y2052" t="str">
        <f t="shared" si="818"/>
        <v>3902</v>
      </c>
      <c r="AB2052" s="10"/>
      <c r="AC2052" s="10"/>
      <c r="AD2052" s="10"/>
      <c r="AE2052" s="10"/>
      <c r="AF2052" s="10"/>
      <c r="AG2052" s="10"/>
      <c r="AH2052" s="10"/>
      <c r="AI2052" s="10"/>
    </row>
    <row r="2053" spans="1:35">
      <c r="A2053" s="10"/>
      <c r="B2053" s="10" t="str">
        <f t="shared" si="813"/>
        <v>Below the Line</v>
      </c>
      <c r="C2053" t="s">
        <v>20</v>
      </c>
      <c r="D2053" t="s">
        <v>19</v>
      </c>
      <c r="E2053" t="s">
        <v>214</v>
      </c>
      <c r="G2053" t="s">
        <v>2967</v>
      </c>
      <c r="I2053" s="10"/>
      <c r="J2053" s="107">
        <f>SUMIF(Data!C:C,G2053,Data!Q:Q)</f>
        <v>0</v>
      </c>
      <c r="K2053" s="107">
        <f>SUMIF(Comprometidos!A:A,'Cost Report'!G2053,Comprometidos!E:E)</f>
        <v>0</v>
      </c>
      <c r="L2053" s="107">
        <f t="shared" si="814"/>
        <v>0</v>
      </c>
      <c r="M2053" s="107">
        <f t="shared" si="815"/>
        <v>0</v>
      </c>
      <c r="N2053" s="107">
        <f t="shared" si="816"/>
        <v>0</v>
      </c>
      <c r="O2053" s="107">
        <f>VLOOKUP(G2053,Budget!$E$3:$G$2474,3,0)</f>
        <v>0</v>
      </c>
      <c r="P2053" s="107">
        <f t="shared" si="817"/>
        <v>0</v>
      </c>
      <c r="Q2053" s="107"/>
      <c r="R2053" s="10"/>
      <c r="S2053" s="107">
        <v>0</v>
      </c>
      <c r="T2053" s="107">
        <f t="shared" si="803"/>
        <v>0</v>
      </c>
      <c r="U2053" s="107"/>
      <c r="V2053" s="175"/>
      <c r="W2053" s="10"/>
      <c r="X2053" s="10"/>
      <c r="Y2053" t="str">
        <f t="shared" si="818"/>
        <v>3902</v>
      </c>
      <c r="AB2053" s="10"/>
      <c r="AC2053" s="10"/>
      <c r="AD2053" s="10"/>
      <c r="AE2053" s="10"/>
      <c r="AF2053" s="10"/>
      <c r="AG2053" s="10"/>
      <c r="AH2053" s="10"/>
      <c r="AI2053" s="10"/>
    </row>
    <row r="2054" spans="1:35">
      <c r="A2054" s="10"/>
      <c r="B2054" s="10" t="str">
        <f t="shared" si="813"/>
        <v>Below the Line2nd Unit</v>
      </c>
      <c r="C2054" t="s">
        <v>20</v>
      </c>
      <c r="D2054" t="s">
        <v>19</v>
      </c>
      <c r="E2054" t="s">
        <v>1419</v>
      </c>
      <c r="G2054" t="s">
        <v>2968</v>
      </c>
      <c r="I2054" s="10"/>
      <c r="J2054" s="107">
        <f>SUMIF(Data!C:C,G2054,Data!Q:Q)</f>
        <v>9996.7999999999993</v>
      </c>
      <c r="K2054" s="107">
        <f>SUMIF(Comprometidos!A:A,'Cost Report'!G2054,Comprometidos!E:E)</f>
        <v>0</v>
      </c>
      <c r="L2054" s="107">
        <f t="shared" si="814"/>
        <v>9996.7999999999993</v>
      </c>
      <c r="M2054" s="107">
        <v>0</v>
      </c>
      <c r="N2054" s="107">
        <f t="shared" si="816"/>
        <v>9996.7999999999993</v>
      </c>
      <c r="O2054" s="107">
        <f>VLOOKUP(G2054,Budget!$E$3:$G$2474,3,0)</f>
        <v>8940</v>
      </c>
      <c r="P2054" s="107">
        <f t="shared" si="817"/>
        <v>-1056.7999999999993</v>
      </c>
      <c r="Q2054" s="107"/>
      <c r="R2054" s="10"/>
      <c r="S2054" s="107">
        <v>9996.7999999999993</v>
      </c>
      <c r="T2054" s="107">
        <f t="shared" si="803"/>
        <v>0</v>
      </c>
      <c r="U2054" s="107"/>
      <c r="V2054" s="175"/>
      <c r="W2054" s="10"/>
      <c r="X2054" s="10"/>
      <c r="Y2054" t="str">
        <f t="shared" si="818"/>
        <v>3902</v>
      </c>
      <c r="AB2054" s="10"/>
      <c r="AC2054" s="10"/>
      <c r="AD2054" s="10"/>
      <c r="AE2054" s="10"/>
      <c r="AF2054" s="10"/>
      <c r="AG2054" s="10"/>
      <c r="AH2054" s="10"/>
      <c r="AI2054" s="10"/>
    </row>
    <row r="2055" spans="1:35">
      <c r="A2055" s="10"/>
      <c r="B2055" s="10" t="str">
        <f t="shared" si="813"/>
        <v>Below the Line</v>
      </c>
      <c r="C2055" t="s">
        <v>20</v>
      </c>
      <c r="D2055" t="s">
        <v>19</v>
      </c>
      <c r="E2055" t="s">
        <v>214</v>
      </c>
      <c r="G2055" t="s">
        <v>2969</v>
      </c>
      <c r="I2055" s="10"/>
      <c r="J2055" s="107">
        <f>SUMIF(Data!C:C,G2055,Data!Q:Q)</f>
        <v>0</v>
      </c>
      <c r="K2055" s="107">
        <f>SUMIF(Comprometidos!A:A,'Cost Report'!G2055,Comprometidos!E:E)</f>
        <v>0</v>
      </c>
      <c r="L2055" s="107">
        <f t="shared" si="814"/>
        <v>0</v>
      </c>
      <c r="M2055" s="107">
        <f t="shared" si="815"/>
        <v>0</v>
      </c>
      <c r="N2055" s="107">
        <f t="shared" si="816"/>
        <v>0</v>
      </c>
      <c r="O2055" s="107">
        <f>VLOOKUP(G2055,Budget!$E$3:$G$2474,3,0)</f>
        <v>0</v>
      </c>
      <c r="P2055" s="107">
        <f t="shared" si="817"/>
        <v>0</v>
      </c>
      <c r="Q2055" s="107"/>
      <c r="R2055" s="10"/>
      <c r="S2055" s="107">
        <v>0</v>
      </c>
      <c r="T2055" s="107">
        <f t="shared" si="803"/>
        <v>0</v>
      </c>
      <c r="U2055" s="107"/>
      <c r="V2055" s="175"/>
      <c r="W2055" s="10"/>
      <c r="X2055" s="10"/>
      <c r="Y2055" t="str">
        <f t="shared" si="818"/>
        <v>3902</v>
      </c>
      <c r="AB2055" s="10"/>
      <c r="AC2055" s="10"/>
      <c r="AD2055" s="10"/>
      <c r="AE2055" s="10"/>
      <c r="AF2055" s="10"/>
      <c r="AG2055" s="10"/>
      <c r="AH2055" s="10"/>
      <c r="AI2055" s="10"/>
    </row>
    <row r="2056" spans="1:35">
      <c r="A2056" s="10"/>
      <c r="B2056" s="10" t="str">
        <f t="shared" si="813"/>
        <v>Below the LineALL SHOW</v>
      </c>
      <c r="C2056" t="s">
        <v>20</v>
      </c>
      <c r="D2056" t="s">
        <v>19</v>
      </c>
      <c r="E2056" t="s">
        <v>227</v>
      </c>
      <c r="G2056" t="s">
        <v>2970</v>
      </c>
      <c r="I2056" s="10"/>
      <c r="J2056" s="107">
        <f>SUMIF(Data!C:C,G2056,Data!Q:Q)</f>
        <v>81457.36</v>
      </c>
      <c r="K2056" s="107">
        <f>SUMIF(Comprometidos!A:A,'Cost Report'!G2056,Comprometidos!E:E)</f>
        <v>0</v>
      </c>
      <c r="L2056" s="107">
        <f t="shared" si="814"/>
        <v>81457.36</v>
      </c>
      <c r="M2056" s="107">
        <v>0</v>
      </c>
      <c r="N2056" s="107">
        <f t="shared" si="816"/>
        <v>81457.36</v>
      </c>
      <c r="O2056" s="107">
        <f>VLOOKUP(G2056,Budget!$E$3:$G$2474,3,0)</f>
        <v>84130.2</v>
      </c>
      <c r="P2056" s="107">
        <f t="shared" si="817"/>
        <v>2672.8399999999965</v>
      </c>
      <c r="Q2056" s="107"/>
      <c r="R2056" s="10"/>
      <c r="S2056" s="107">
        <v>81457.36</v>
      </c>
      <c r="T2056" s="107">
        <f t="shared" si="803"/>
        <v>0</v>
      </c>
      <c r="U2056" s="107"/>
      <c r="V2056" s="175"/>
      <c r="W2056" s="10"/>
      <c r="X2056" s="10"/>
      <c r="Y2056" t="str">
        <f t="shared" si="818"/>
        <v>3902</v>
      </c>
      <c r="AB2056" s="10"/>
      <c r="AC2056" s="10"/>
      <c r="AD2056" s="10"/>
      <c r="AE2056" s="10"/>
      <c r="AF2056" s="10"/>
      <c r="AG2056" s="10"/>
      <c r="AH2056" s="10"/>
      <c r="AI2056" s="10"/>
    </row>
    <row r="2057" spans="1:35">
      <c r="A2057" s="10"/>
      <c r="B2057" s="10" t="str">
        <f t="shared" si="813"/>
        <v>Below the LineALL SHOW</v>
      </c>
      <c r="C2057" t="s">
        <v>20</v>
      </c>
      <c r="D2057" t="s">
        <v>19</v>
      </c>
      <c r="E2057" t="s">
        <v>227</v>
      </c>
      <c r="G2057" t="s">
        <v>2971</v>
      </c>
      <c r="I2057" s="10"/>
      <c r="J2057" s="107">
        <f>SUMIF(Data!C:C,G2057,Data!Q:Q)</f>
        <v>14672.22</v>
      </c>
      <c r="K2057" s="107">
        <f>SUMIF(Comprometidos!A:A,'Cost Report'!G2057,Comprometidos!E:E)</f>
        <v>0</v>
      </c>
      <c r="L2057" s="107">
        <f t="shared" si="814"/>
        <v>14672.22</v>
      </c>
      <c r="M2057" s="107">
        <v>0</v>
      </c>
      <c r="N2057" s="107">
        <f t="shared" si="816"/>
        <v>14672.22</v>
      </c>
      <c r="O2057" s="107">
        <f>VLOOKUP(G2057,Budget!$E$3:$G$2474,3,0)</f>
        <v>18516.599999999999</v>
      </c>
      <c r="P2057" s="107">
        <f t="shared" si="817"/>
        <v>3844.3799999999992</v>
      </c>
      <c r="Q2057" s="107"/>
      <c r="R2057" s="10"/>
      <c r="S2057" s="107">
        <v>14672.22</v>
      </c>
      <c r="T2057" s="107">
        <f t="shared" si="803"/>
        <v>0</v>
      </c>
      <c r="U2057" s="107"/>
      <c r="V2057" s="175"/>
      <c r="W2057" s="10"/>
      <c r="X2057" s="10"/>
      <c r="Y2057" t="str">
        <f t="shared" si="818"/>
        <v>3902</v>
      </c>
      <c r="AB2057" s="10"/>
      <c r="AC2057" s="10"/>
      <c r="AD2057" s="10"/>
      <c r="AE2057" s="10"/>
      <c r="AF2057" s="10"/>
      <c r="AG2057" s="10"/>
      <c r="AH2057" s="10"/>
      <c r="AI2057" s="10"/>
    </row>
    <row r="2058" spans="1:35">
      <c r="A2058" s="10"/>
      <c r="B2058" s="10" t="str">
        <f t="shared" si="813"/>
        <v>Below the Line</v>
      </c>
      <c r="C2058" t="s">
        <v>20</v>
      </c>
      <c r="D2058" t="s">
        <v>19</v>
      </c>
      <c r="E2058" t="s">
        <v>214</v>
      </c>
      <c r="G2058" t="s">
        <v>2972</v>
      </c>
      <c r="I2058" s="10"/>
      <c r="J2058" s="107">
        <f>SUMIF(Data!C:C,G2058,Data!Q:Q)</f>
        <v>0</v>
      </c>
      <c r="K2058" s="107">
        <f>SUMIF(Comprometidos!A:A,'Cost Report'!G2058,Comprometidos!E:E)</f>
        <v>0</v>
      </c>
      <c r="L2058" s="107">
        <f t="shared" si="814"/>
        <v>0</v>
      </c>
      <c r="M2058" s="107">
        <f t="shared" si="815"/>
        <v>0</v>
      </c>
      <c r="N2058" s="107">
        <f t="shared" si="816"/>
        <v>0</v>
      </c>
      <c r="O2058" s="107">
        <f>VLOOKUP(G2058,Budget!$E$3:$G$2474,3,0)</f>
        <v>0</v>
      </c>
      <c r="P2058" s="107">
        <f t="shared" si="817"/>
        <v>0</v>
      </c>
      <c r="Q2058" s="107"/>
      <c r="R2058" s="10"/>
      <c r="S2058" s="107">
        <v>0</v>
      </c>
      <c r="T2058" s="107">
        <f t="shared" si="803"/>
        <v>0</v>
      </c>
      <c r="U2058" s="107"/>
      <c r="V2058" s="175"/>
      <c r="W2058" s="10"/>
      <c r="X2058" s="10"/>
      <c r="Y2058" t="str">
        <f t="shared" si="818"/>
        <v>3902</v>
      </c>
      <c r="AB2058" s="10"/>
      <c r="AC2058" s="10"/>
      <c r="AD2058" s="10"/>
      <c r="AE2058" s="10"/>
      <c r="AF2058" s="10"/>
      <c r="AG2058" s="10"/>
      <c r="AH2058" s="10"/>
      <c r="AI2058" s="10"/>
    </row>
    <row r="2059" spans="1:35">
      <c r="A2059" s="10"/>
      <c r="B2059" s="10" t="str">
        <f t="shared" si="813"/>
        <v>Below the LineALL SHOW</v>
      </c>
      <c r="C2059" t="s">
        <v>20</v>
      </c>
      <c r="D2059" t="s">
        <v>19</v>
      </c>
      <c r="E2059" t="s">
        <v>227</v>
      </c>
      <c r="G2059" t="s">
        <v>2973</v>
      </c>
      <c r="I2059" s="10"/>
      <c r="J2059" s="107">
        <f>SUMIF(Data!C:C,G2059,Data!Q:Q)</f>
        <v>29344.44</v>
      </c>
      <c r="K2059" s="107">
        <f>SUMIF(Comprometidos!A:A,'Cost Report'!G2059,Comprometidos!E:E)</f>
        <v>0</v>
      </c>
      <c r="L2059" s="107">
        <f t="shared" si="814"/>
        <v>29344.44</v>
      </c>
      <c r="M2059" s="107">
        <v>0</v>
      </c>
      <c r="N2059" s="107">
        <f t="shared" si="816"/>
        <v>29344.44</v>
      </c>
      <c r="O2059" s="107">
        <f>VLOOKUP(G2059,Budget!$E$3:$G$2474,3,0)</f>
        <v>20756.36</v>
      </c>
      <c r="P2059" s="107">
        <f t="shared" si="817"/>
        <v>-8588.0799999999981</v>
      </c>
      <c r="Q2059" s="107"/>
      <c r="R2059" s="10"/>
      <c r="S2059" s="107">
        <v>29344.44</v>
      </c>
      <c r="T2059" s="107">
        <f t="shared" si="803"/>
        <v>0</v>
      </c>
      <c r="U2059" s="107"/>
      <c r="V2059" s="175"/>
      <c r="W2059" s="10"/>
      <c r="X2059" s="10"/>
      <c r="Y2059" t="str">
        <f t="shared" si="818"/>
        <v>3902</v>
      </c>
      <c r="AB2059" s="10"/>
      <c r="AC2059" s="10"/>
      <c r="AD2059" s="10"/>
      <c r="AE2059" s="10"/>
      <c r="AF2059" s="10"/>
      <c r="AG2059" s="10"/>
      <c r="AH2059" s="10"/>
      <c r="AI2059" s="10"/>
    </row>
    <row r="2060" spans="1:35">
      <c r="A2060" s="10"/>
      <c r="B2060" s="10" t="str">
        <f t="shared" si="813"/>
        <v>Below the Line</v>
      </c>
      <c r="C2060" t="s">
        <v>20</v>
      </c>
      <c r="D2060" t="s">
        <v>19</v>
      </c>
      <c r="E2060" t="s">
        <v>214</v>
      </c>
      <c r="G2060" t="s">
        <v>2974</v>
      </c>
      <c r="I2060" s="10"/>
      <c r="J2060" s="107">
        <f>SUMIF(Data!C:C,G2060,Data!Q:Q)</f>
        <v>0</v>
      </c>
      <c r="K2060" s="107">
        <f>SUMIF(Comprometidos!A:A,'Cost Report'!G2060,Comprometidos!E:E)</f>
        <v>0</v>
      </c>
      <c r="L2060" s="107">
        <f t="shared" si="814"/>
        <v>0</v>
      </c>
      <c r="M2060" s="107">
        <f t="shared" si="815"/>
        <v>0</v>
      </c>
      <c r="N2060" s="107">
        <f t="shared" si="816"/>
        <v>0</v>
      </c>
      <c r="O2060" s="107">
        <f>VLOOKUP(G2060,Budget!$E$3:$G$2474,3,0)</f>
        <v>0</v>
      </c>
      <c r="P2060" s="107">
        <f t="shared" si="817"/>
        <v>0</v>
      </c>
      <c r="Q2060" s="107"/>
      <c r="R2060" s="10"/>
      <c r="S2060" s="107">
        <v>0</v>
      </c>
      <c r="T2060" s="107">
        <f t="shared" si="803"/>
        <v>0</v>
      </c>
      <c r="U2060" s="107"/>
      <c r="V2060" s="175"/>
      <c r="W2060" s="10"/>
      <c r="X2060" s="10"/>
      <c r="Y2060" t="str">
        <f t="shared" si="818"/>
        <v>3902</v>
      </c>
      <c r="AB2060" s="10"/>
      <c r="AC2060" s="10"/>
      <c r="AD2060" s="10"/>
      <c r="AE2060" s="10"/>
      <c r="AF2060" s="10"/>
      <c r="AG2060" s="10"/>
      <c r="AH2060" s="10"/>
      <c r="AI2060" s="10"/>
    </row>
    <row r="2061" spans="1:35">
      <c r="A2061" s="10"/>
      <c r="B2061" s="10" t="str">
        <f t="shared" si="813"/>
        <v>Below the LineALL SHOW</v>
      </c>
      <c r="C2061" t="s">
        <v>20</v>
      </c>
      <c r="D2061" t="s">
        <v>19</v>
      </c>
      <c r="E2061" t="s">
        <v>227</v>
      </c>
      <c r="G2061" t="s">
        <v>2975</v>
      </c>
      <c r="I2061" s="10"/>
      <c r="J2061" s="107">
        <f>SUMIF(Data!C:C,G2061,Data!Q:Q)</f>
        <v>9600</v>
      </c>
      <c r="K2061" s="107">
        <f>SUMIF(Comprometidos!A:A,'Cost Report'!G2061,Comprometidos!E:E)</f>
        <v>0</v>
      </c>
      <c r="L2061" s="107">
        <f t="shared" si="814"/>
        <v>9600</v>
      </c>
      <c r="M2061" s="107">
        <v>0</v>
      </c>
      <c r="N2061" s="107">
        <f t="shared" si="816"/>
        <v>9600</v>
      </c>
      <c r="O2061" s="107">
        <f>VLOOKUP(G2061,Budget!$E$3:$G$2474,3,0)</f>
        <v>12000</v>
      </c>
      <c r="P2061" s="107">
        <f t="shared" si="817"/>
        <v>2400</v>
      </c>
      <c r="Q2061" s="107"/>
      <c r="R2061" s="10"/>
      <c r="S2061" s="107">
        <v>9600</v>
      </c>
      <c r="T2061" s="107">
        <f t="shared" si="803"/>
        <v>0</v>
      </c>
      <c r="U2061" s="107"/>
      <c r="V2061" s="175"/>
      <c r="W2061" s="10"/>
      <c r="X2061" s="10"/>
      <c r="Y2061" t="str">
        <f t="shared" si="818"/>
        <v>3902</v>
      </c>
      <c r="AB2061" s="10"/>
      <c r="AC2061" s="10"/>
      <c r="AD2061" s="10"/>
      <c r="AE2061" s="10"/>
      <c r="AF2061" s="10"/>
      <c r="AG2061" s="10"/>
      <c r="AH2061" s="10"/>
      <c r="AI2061" s="10"/>
    </row>
    <row r="2062" spans="1:35">
      <c r="A2062" s="10"/>
      <c r="B2062" s="10" t="str">
        <f>+C2062</f>
        <v>Below the Line</v>
      </c>
      <c r="C2062" s="128" t="s">
        <v>20</v>
      </c>
      <c r="D2062" s="128" t="s">
        <v>2117</v>
      </c>
      <c r="E2062" s="128"/>
      <c r="F2062" s="128"/>
      <c r="G2062" s="128" t="s">
        <v>1156</v>
      </c>
      <c r="H2062" s="128"/>
      <c r="I2062" s="10"/>
      <c r="J2062" s="129">
        <f>SUMIF($Y$11:$Y$2484,G2062,J$11:J$2484)</f>
        <v>846901.52</v>
      </c>
      <c r="K2062" s="129">
        <f>SUMIF($Y$11:$Y$2484,G2062,K$11:K$2484)</f>
        <v>0</v>
      </c>
      <c r="L2062" s="129">
        <f>SUMIF($Y$11:$Y$2484,G2062,L$11:L$2484)</f>
        <v>846901.52</v>
      </c>
      <c r="M2062" s="129">
        <f>SUMIF($Y$11:$Y$2484,G2062,M$11:M$2484)</f>
        <v>0</v>
      </c>
      <c r="N2062" s="129">
        <f>SUMIF($Y$11:$Y$2484,G2062,N$11:N$2484)</f>
        <v>846901.52</v>
      </c>
      <c r="O2062" s="129">
        <f>SUMIF($Y$11:$Y$2484,G2062,O$11:O$2484)</f>
        <v>1037943.5200000001</v>
      </c>
      <c r="P2062" s="129">
        <f>SUMIF($Y$11:$Y$2484,G2062,P$11:P$2484)</f>
        <v>191042.00000000003</v>
      </c>
      <c r="Q2062" s="129"/>
      <c r="R2062" s="10"/>
      <c r="S2062" s="129">
        <v>846901.52</v>
      </c>
      <c r="T2062" s="129">
        <f t="shared" si="803"/>
        <v>0</v>
      </c>
      <c r="U2062" s="128"/>
      <c r="V2062" s="175"/>
      <c r="W2062" s="10"/>
      <c r="X2062" s="10"/>
      <c r="Z2062" t="str">
        <f>LEFT(G2062,2)</f>
        <v>39</v>
      </c>
      <c r="AA2062" t="str">
        <f>+Z2062&amp;"00"</f>
        <v>3900</v>
      </c>
      <c r="AB2062" s="10"/>
      <c r="AC2062" s="10"/>
      <c r="AD2062" s="10"/>
      <c r="AE2062" s="10"/>
      <c r="AF2062" s="10"/>
      <c r="AG2062" s="10"/>
      <c r="AH2062" s="10"/>
      <c r="AI2062" s="10"/>
    </row>
    <row r="2063" spans="1:35">
      <c r="A2063" s="10"/>
      <c r="B2063" s="10" t="str">
        <f t="shared" ref="B2063:B2097" si="819">+C2063&amp;E2063</f>
        <v>Below the Line</v>
      </c>
      <c r="C2063" t="s">
        <v>20</v>
      </c>
      <c r="D2063" t="s">
        <v>19</v>
      </c>
      <c r="E2063" t="s">
        <v>214</v>
      </c>
      <c r="G2063" t="s">
        <v>1157</v>
      </c>
      <c r="I2063" s="10"/>
      <c r="J2063" s="107">
        <f>SUMIF(Data!C:C,G2063,Data!Q:Q)</f>
        <v>0</v>
      </c>
      <c r="K2063" s="107">
        <f>SUMIF(Comprometidos!A:A,'Cost Report'!G2063,Comprometidos!E:E)</f>
        <v>0</v>
      </c>
      <c r="L2063" s="107">
        <f t="shared" ref="L2063:L2097" si="820">+J2063+K2063</f>
        <v>0</v>
      </c>
      <c r="M2063" s="107">
        <f t="shared" ref="M2063:M2096" si="821">+O2063-L2063</f>
        <v>0</v>
      </c>
      <c r="N2063" s="107">
        <f t="shared" ref="N2063:N2097" si="822">+L2063+M2063</f>
        <v>0</v>
      </c>
      <c r="O2063" s="107">
        <f>VLOOKUP(G2063,Budget!$E$3:$G$2474,3,0)</f>
        <v>0</v>
      </c>
      <c r="P2063" s="107">
        <f t="shared" ref="P2063:P2097" si="823">+O2063-N2063</f>
        <v>0</v>
      </c>
      <c r="Q2063" s="107"/>
      <c r="R2063" s="10"/>
      <c r="S2063" s="107">
        <v>0</v>
      </c>
      <c r="T2063" s="107">
        <f t="shared" si="803"/>
        <v>0</v>
      </c>
      <c r="U2063" s="107"/>
      <c r="V2063" s="175"/>
      <c r="W2063" s="10"/>
      <c r="X2063" s="10"/>
      <c r="Y2063" t="str">
        <f t="shared" ref="Y2063:Y2097" si="824">LEFT(G2063,4)</f>
        <v>3903</v>
      </c>
      <c r="AB2063" s="10"/>
      <c r="AC2063" s="10"/>
      <c r="AD2063" s="10"/>
      <c r="AE2063" s="10"/>
      <c r="AF2063" s="10"/>
      <c r="AG2063" s="10"/>
      <c r="AH2063" s="10"/>
      <c r="AI2063" s="10"/>
    </row>
    <row r="2064" spans="1:35">
      <c r="A2064" s="10"/>
      <c r="B2064" s="10" t="str">
        <f t="shared" si="819"/>
        <v>Below the LinePREP</v>
      </c>
      <c r="C2064" t="s">
        <v>20</v>
      </c>
      <c r="D2064" t="s">
        <v>19</v>
      </c>
      <c r="E2064" t="s">
        <v>234</v>
      </c>
      <c r="G2064" t="s">
        <v>1158</v>
      </c>
      <c r="I2064" s="10"/>
      <c r="J2064" s="107">
        <f>SUMIF(Data!C:C,G2064,Data!Q:Q)</f>
        <v>150950.79999999999</v>
      </c>
      <c r="K2064" s="107">
        <f>SUMIF(Comprometidos!A:A,'Cost Report'!G2064,Comprometidos!E:E)</f>
        <v>0</v>
      </c>
      <c r="L2064" s="107">
        <f t="shared" si="820"/>
        <v>150950.79999999999</v>
      </c>
      <c r="M2064" s="107">
        <v>0</v>
      </c>
      <c r="N2064" s="107">
        <f t="shared" si="822"/>
        <v>150950.79999999999</v>
      </c>
      <c r="O2064" s="107">
        <f>VLOOKUP(G2064,Budget!$E$3:$G$2474,3,0)</f>
        <v>46446.400000000001</v>
      </c>
      <c r="P2064" s="107">
        <f t="shared" si="823"/>
        <v>-104504.4</v>
      </c>
      <c r="Q2064" s="107"/>
      <c r="R2064" s="10"/>
      <c r="S2064" s="107">
        <v>150950.79999999999</v>
      </c>
      <c r="T2064" s="107">
        <f t="shared" si="803"/>
        <v>0</v>
      </c>
      <c r="U2064" s="107"/>
      <c r="V2064" s="175"/>
      <c r="W2064" s="10"/>
      <c r="X2064" s="10"/>
      <c r="Y2064" t="str">
        <f t="shared" si="824"/>
        <v>3903</v>
      </c>
      <c r="AB2064" s="10"/>
      <c r="AC2064" s="10"/>
      <c r="AD2064" s="10"/>
      <c r="AE2064" s="10"/>
      <c r="AF2064" s="10"/>
      <c r="AG2064" s="10"/>
      <c r="AH2064" s="10"/>
      <c r="AI2064" s="10"/>
    </row>
    <row r="2065" spans="1:35">
      <c r="A2065" s="10"/>
      <c r="B2065" s="10" t="str">
        <f t="shared" si="819"/>
        <v>Below the LineSHOOT</v>
      </c>
      <c r="C2065" t="s">
        <v>20</v>
      </c>
      <c r="D2065" t="s">
        <v>19</v>
      </c>
      <c r="E2065" t="s">
        <v>236</v>
      </c>
      <c r="G2065" t="s">
        <v>1159</v>
      </c>
      <c r="I2065" s="10"/>
      <c r="J2065" s="107">
        <f>SUMIF(Data!C:C,G2065,Data!Q:Q)</f>
        <v>0</v>
      </c>
      <c r="K2065" s="107">
        <f>SUMIF(Comprometidos!A:A,'Cost Report'!G2065,Comprometidos!E:E)</f>
        <v>0</v>
      </c>
      <c r="L2065" s="107">
        <f t="shared" si="820"/>
        <v>0</v>
      </c>
      <c r="M2065" s="107">
        <v>0</v>
      </c>
      <c r="N2065" s="107">
        <f t="shared" si="822"/>
        <v>0</v>
      </c>
      <c r="O2065" s="107">
        <f>VLOOKUP(G2065,Budget!$E$3:$G$2474,3,0)</f>
        <v>104504.4</v>
      </c>
      <c r="P2065" s="107">
        <f t="shared" si="823"/>
        <v>104504.4</v>
      </c>
      <c r="Q2065" s="107"/>
      <c r="R2065" s="10"/>
      <c r="S2065" s="107">
        <v>0</v>
      </c>
      <c r="T2065" s="107">
        <f t="shared" si="803"/>
        <v>0</v>
      </c>
      <c r="U2065" s="107"/>
      <c r="V2065" s="175"/>
      <c r="W2065" s="10"/>
      <c r="X2065" s="10"/>
      <c r="Y2065" t="str">
        <f t="shared" si="824"/>
        <v>3903</v>
      </c>
      <c r="AB2065" s="10"/>
      <c r="AC2065" s="10"/>
      <c r="AD2065" s="10"/>
      <c r="AE2065" s="10"/>
      <c r="AF2065" s="10"/>
      <c r="AG2065" s="10"/>
      <c r="AH2065" s="10"/>
      <c r="AI2065" s="10"/>
    </row>
    <row r="2066" spans="1:35">
      <c r="A2066" s="10"/>
      <c r="B2066" s="10" t="str">
        <f t="shared" si="819"/>
        <v>Below the LineSHOOT</v>
      </c>
      <c r="C2066" t="s">
        <v>20</v>
      </c>
      <c r="D2066" t="s">
        <v>19</v>
      </c>
      <c r="E2066" t="s">
        <v>236</v>
      </c>
      <c r="G2066" t="s">
        <v>1160</v>
      </c>
      <c r="I2066" s="10"/>
      <c r="J2066" s="107">
        <f>SUMIF(Data!C:C,G2066,Data!Q:Q)</f>
        <v>0</v>
      </c>
      <c r="K2066" s="107">
        <f>SUMIF(Comprometidos!A:A,'Cost Report'!G2066,Comprometidos!E:E)</f>
        <v>0</v>
      </c>
      <c r="L2066" s="107">
        <f t="shared" si="820"/>
        <v>0</v>
      </c>
      <c r="M2066" s="107"/>
      <c r="N2066" s="107">
        <f t="shared" si="822"/>
        <v>0</v>
      </c>
      <c r="O2066" s="107">
        <f>VLOOKUP(G2066,Budget!$E$3:$G$2474,3,0)</f>
        <v>165880</v>
      </c>
      <c r="P2066" s="107">
        <f t="shared" si="823"/>
        <v>165880</v>
      </c>
      <c r="Q2066" s="107"/>
      <c r="R2066" s="10"/>
      <c r="S2066" s="107">
        <v>0</v>
      </c>
      <c r="T2066" s="107">
        <f t="shared" si="803"/>
        <v>0</v>
      </c>
      <c r="U2066" s="107"/>
      <c r="V2066" s="175"/>
      <c r="W2066" s="10"/>
      <c r="X2066" s="10"/>
      <c r="Y2066" t="str">
        <f t="shared" si="824"/>
        <v>3903</v>
      </c>
      <c r="AB2066" s="10"/>
      <c r="AC2066" s="10"/>
      <c r="AD2066" s="10"/>
      <c r="AE2066" s="10"/>
      <c r="AF2066" s="10"/>
      <c r="AG2066" s="10"/>
      <c r="AH2066" s="10"/>
      <c r="AI2066" s="10"/>
    </row>
    <row r="2067" spans="1:35">
      <c r="A2067" s="10"/>
      <c r="B2067" s="10" t="str">
        <f t="shared" si="819"/>
        <v>Below the LineWRAP</v>
      </c>
      <c r="C2067" t="s">
        <v>20</v>
      </c>
      <c r="D2067" t="s">
        <v>19</v>
      </c>
      <c r="E2067" t="s">
        <v>238</v>
      </c>
      <c r="G2067" t="s">
        <v>1161</v>
      </c>
      <c r="I2067" s="10"/>
      <c r="J2067" s="107">
        <f>SUMIF(Data!C:C,G2067,Data!Q:Q)</f>
        <v>0</v>
      </c>
      <c r="K2067" s="107">
        <f>SUMIF(Comprometidos!A:A,'Cost Report'!G2067,Comprometidos!E:E)</f>
        <v>0</v>
      </c>
      <c r="L2067" s="107">
        <f t="shared" si="820"/>
        <v>0</v>
      </c>
      <c r="M2067" s="107"/>
      <c r="N2067" s="107">
        <f t="shared" si="822"/>
        <v>0</v>
      </c>
      <c r="O2067" s="107">
        <f>VLOOKUP(G2067,Budget!$E$3:$G$2474,3,0)</f>
        <v>29029</v>
      </c>
      <c r="P2067" s="107">
        <f t="shared" si="823"/>
        <v>29029</v>
      </c>
      <c r="Q2067" s="107"/>
      <c r="R2067" s="10"/>
      <c r="S2067" s="107">
        <v>0</v>
      </c>
      <c r="T2067" s="107">
        <f t="shared" si="803"/>
        <v>0</v>
      </c>
      <c r="U2067" s="107"/>
      <c r="V2067" s="175"/>
      <c r="W2067" s="10"/>
      <c r="X2067" s="10"/>
      <c r="Y2067" t="str">
        <f t="shared" si="824"/>
        <v>3903</v>
      </c>
      <c r="AB2067" s="10"/>
      <c r="AC2067" s="10"/>
      <c r="AD2067" s="10"/>
      <c r="AE2067" s="10"/>
      <c r="AF2067" s="10"/>
      <c r="AG2067" s="10"/>
      <c r="AH2067" s="10"/>
      <c r="AI2067" s="10"/>
    </row>
    <row r="2068" spans="1:35">
      <c r="A2068" s="10"/>
      <c r="B2068" s="10" t="str">
        <f t="shared" si="819"/>
        <v>Below the Line</v>
      </c>
      <c r="C2068" t="s">
        <v>20</v>
      </c>
      <c r="D2068" t="s">
        <v>19</v>
      </c>
      <c r="E2068" t="s">
        <v>214</v>
      </c>
      <c r="G2068" t="s">
        <v>1162</v>
      </c>
      <c r="I2068" s="10"/>
      <c r="J2068" s="107">
        <f>SUMIF(Data!C:C,G2068,Data!Q:Q)</f>
        <v>0</v>
      </c>
      <c r="K2068" s="107">
        <f>SUMIF(Comprometidos!A:A,'Cost Report'!G2068,Comprometidos!E:E)</f>
        <v>0</v>
      </c>
      <c r="L2068" s="107">
        <f t="shared" si="820"/>
        <v>0</v>
      </c>
      <c r="M2068" s="107">
        <f t="shared" si="821"/>
        <v>0</v>
      </c>
      <c r="N2068" s="107">
        <f t="shared" si="822"/>
        <v>0</v>
      </c>
      <c r="O2068" s="107">
        <f>VLOOKUP(G2068,Budget!$E$3:$G$2474,3,0)</f>
        <v>0</v>
      </c>
      <c r="P2068" s="107">
        <f t="shared" si="823"/>
        <v>0</v>
      </c>
      <c r="Q2068" s="107"/>
      <c r="R2068" s="10"/>
      <c r="S2068" s="107">
        <v>0</v>
      </c>
      <c r="T2068" s="107">
        <f t="shared" si="803"/>
        <v>0</v>
      </c>
      <c r="U2068" s="107"/>
      <c r="V2068" s="175"/>
      <c r="W2068" s="10"/>
      <c r="X2068" s="10"/>
      <c r="Y2068" t="str">
        <f t="shared" si="824"/>
        <v>3903</v>
      </c>
      <c r="AB2068" s="10"/>
      <c r="AC2068" s="10"/>
      <c r="AD2068" s="10"/>
      <c r="AE2068" s="10"/>
      <c r="AF2068" s="10"/>
      <c r="AG2068" s="10"/>
      <c r="AH2068" s="10"/>
      <c r="AI2068" s="10"/>
    </row>
    <row r="2069" spans="1:35">
      <c r="A2069" s="10"/>
      <c r="B2069" s="10" t="str">
        <f t="shared" si="819"/>
        <v>Below the Line2nd Unit</v>
      </c>
      <c r="C2069" t="s">
        <v>20</v>
      </c>
      <c r="D2069" t="s">
        <v>19</v>
      </c>
      <c r="E2069" t="s">
        <v>1419</v>
      </c>
      <c r="G2069" t="s">
        <v>1163</v>
      </c>
      <c r="I2069" s="10"/>
      <c r="J2069" s="107">
        <f>SUMIF(Data!C:C,G2069,Data!Q:Q)</f>
        <v>47792.28</v>
      </c>
      <c r="K2069" s="107">
        <f>SUMIF(Comprometidos!A:A,'Cost Report'!G2069,Comprometidos!E:E)</f>
        <v>0</v>
      </c>
      <c r="L2069" s="107">
        <f t="shared" si="820"/>
        <v>47792.28</v>
      </c>
      <c r="M2069" s="107">
        <v>0</v>
      </c>
      <c r="N2069" s="107">
        <f t="shared" si="822"/>
        <v>47792.28</v>
      </c>
      <c r="O2069" s="107">
        <f>VLOOKUP(G2069,Budget!$E$3:$G$2474,3,0)</f>
        <v>44787.6</v>
      </c>
      <c r="P2069" s="107">
        <f t="shared" si="823"/>
        <v>-3004.6800000000003</v>
      </c>
      <c r="Q2069" s="107"/>
      <c r="R2069" s="10"/>
      <c r="S2069" s="107">
        <v>47792.28</v>
      </c>
      <c r="T2069" s="107">
        <f t="shared" si="803"/>
        <v>0</v>
      </c>
      <c r="U2069" s="107"/>
      <c r="V2069" s="175"/>
      <c r="W2069" s="10"/>
      <c r="X2069" s="10"/>
      <c r="Y2069" t="str">
        <f t="shared" si="824"/>
        <v>3903</v>
      </c>
      <c r="AB2069" s="10"/>
      <c r="AC2069" s="10"/>
      <c r="AD2069" s="10"/>
      <c r="AE2069" s="10"/>
      <c r="AF2069" s="10"/>
      <c r="AG2069" s="10"/>
      <c r="AH2069" s="10"/>
      <c r="AI2069" s="10"/>
    </row>
    <row r="2070" spans="1:35">
      <c r="A2070" s="10"/>
      <c r="B2070" s="10" t="str">
        <f t="shared" si="819"/>
        <v>Below the Line2nd Unit</v>
      </c>
      <c r="C2070" t="s">
        <v>20</v>
      </c>
      <c r="D2070" t="s">
        <v>19</v>
      </c>
      <c r="E2070" t="s">
        <v>1419</v>
      </c>
      <c r="G2070" t="s">
        <v>1164</v>
      </c>
      <c r="I2070" s="10"/>
      <c r="J2070" s="107">
        <f>SUMIF(Data!C:C,G2070,Data!Q:Q)</f>
        <v>16900.919999999998</v>
      </c>
      <c r="K2070" s="107">
        <f>SUMIF(Comprometidos!A:A,'Cost Report'!G2070,Comprometidos!E:E)</f>
        <v>0</v>
      </c>
      <c r="L2070" s="107">
        <f t="shared" si="820"/>
        <v>16900.919999999998</v>
      </c>
      <c r="M2070" s="107">
        <f>+O2070-L2070-3004.68</f>
        <v>0</v>
      </c>
      <c r="N2070" s="107">
        <f t="shared" si="822"/>
        <v>16900.919999999998</v>
      </c>
      <c r="O2070" s="107">
        <f>VLOOKUP(G2070,Budget!$E$3:$G$2474,3,0)</f>
        <v>19905.599999999999</v>
      </c>
      <c r="P2070" s="107">
        <f t="shared" si="823"/>
        <v>3004.6800000000003</v>
      </c>
      <c r="Q2070" s="107"/>
      <c r="R2070" s="10"/>
      <c r="S2070" s="107">
        <v>16900.919999999998</v>
      </c>
      <c r="T2070" s="107">
        <f t="shared" si="803"/>
        <v>0</v>
      </c>
      <c r="U2070" s="107"/>
      <c r="V2070" s="175"/>
      <c r="W2070" s="10"/>
      <c r="X2070" s="10"/>
      <c r="Y2070" t="str">
        <f t="shared" si="824"/>
        <v>3903</v>
      </c>
      <c r="AB2070" s="10"/>
      <c r="AC2070" s="10"/>
      <c r="AD2070" s="10"/>
      <c r="AE2070" s="10"/>
      <c r="AF2070" s="10"/>
      <c r="AG2070" s="10"/>
      <c r="AH2070" s="10"/>
      <c r="AI2070" s="10"/>
    </row>
    <row r="2071" spans="1:35">
      <c r="A2071" s="10"/>
      <c r="B2071" s="10" t="str">
        <f t="shared" si="819"/>
        <v>Below the Line2nd Unit</v>
      </c>
      <c r="C2071" t="s">
        <v>20</v>
      </c>
      <c r="D2071" t="s">
        <v>19</v>
      </c>
      <c r="E2071" t="s">
        <v>1419</v>
      </c>
      <c r="G2071" t="s">
        <v>1165</v>
      </c>
      <c r="I2071" s="10"/>
      <c r="J2071" s="107">
        <f>SUMIF(Data!C:C,G2071,Data!Q:Q)</f>
        <v>0</v>
      </c>
      <c r="K2071" s="107">
        <f>SUMIF(Comprometidos!A:A,'Cost Report'!G2071,Comprometidos!E:E)</f>
        <v>0</v>
      </c>
      <c r="L2071" s="107">
        <f t="shared" si="820"/>
        <v>0</v>
      </c>
      <c r="M2071" s="107">
        <f t="shared" si="821"/>
        <v>0</v>
      </c>
      <c r="N2071" s="107">
        <f t="shared" si="822"/>
        <v>0</v>
      </c>
      <c r="O2071" s="107">
        <f>VLOOKUP(G2071,Budget!$E$3:$G$2474,3,0)</f>
        <v>0</v>
      </c>
      <c r="P2071" s="107">
        <f t="shared" si="823"/>
        <v>0</v>
      </c>
      <c r="Q2071" s="107"/>
      <c r="R2071" s="10"/>
      <c r="S2071" s="107">
        <v>0</v>
      </c>
      <c r="T2071" s="107">
        <f t="shared" si="803"/>
        <v>0</v>
      </c>
      <c r="U2071" s="107"/>
      <c r="V2071" s="175"/>
      <c r="W2071" s="10"/>
      <c r="X2071" s="10"/>
      <c r="Y2071" t="str">
        <f t="shared" si="824"/>
        <v>3903</v>
      </c>
      <c r="AB2071" s="10"/>
      <c r="AC2071" s="10"/>
      <c r="AD2071" s="10"/>
      <c r="AE2071" s="10"/>
      <c r="AF2071" s="10"/>
      <c r="AG2071" s="10"/>
      <c r="AH2071" s="10"/>
      <c r="AI2071" s="10"/>
    </row>
    <row r="2072" spans="1:35">
      <c r="A2072" s="10"/>
      <c r="B2072" s="10" t="str">
        <f t="shared" si="819"/>
        <v>Below the Line</v>
      </c>
      <c r="C2072" t="s">
        <v>20</v>
      </c>
      <c r="D2072" t="s">
        <v>19</v>
      </c>
      <c r="E2072" t="s">
        <v>214</v>
      </c>
      <c r="G2072" t="s">
        <v>1166</v>
      </c>
      <c r="I2072" s="10"/>
      <c r="J2072" s="107">
        <f>SUMIF(Data!C:C,G2072,Data!Q:Q)</f>
        <v>0</v>
      </c>
      <c r="K2072" s="107">
        <f>SUMIF(Comprometidos!A:A,'Cost Report'!G2072,Comprometidos!E:E)</f>
        <v>0</v>
      </c>
      <c r="L2072" s="107">
        <f t="shared" si="820"/>
        <v>0</v>
      </c>
      <c r="M2072" s="107">
        <f t="shared" si="821"/>
        <v>0</v>
      </c>
      <c r="N2072" s="107">
        <f t="shared" si="822"/>
        <v>0</v>
      </c>
      <c r="O2072" s="107">
        <f>VLOOKUP(G2072,Budget!$E$3:$G$2474,3,0)</f>
        <v>0</v>
      </c>
      <c r="P2072" s="107">
        <f t="shared" si="823"/>
        <v>0</v>
      </c>
      <c r="Q2072" s="107"/>
      <c r="R2072" s="10"/>
      <c r="S2072" s="107">
        <v>0</v>
      </c>
      <c r="T2072" s="107">
        <f t="shared" si="803"/>
        <v>0</v>
      </c>
      <c r="U2072" s="107"/>
      <c r="V2072" s="175"/>
      <c r="W2072" s="10"/>
      <c r="X2072" s="10"/>
      <c r="Y2072" t="str">
        <f t="shared" si="824"/>
        <v>3903</v>
      </c>
      <c r="AB2072" s="10"/>
      <c r="AC2072" s="10"/>
      <c r="AD2072" s="10"/>
      <c r="AE2072" s="10"/>
      <c r="AF2072" s="10"/>
      <c r="AG2072" s="10"/>
      <c r="AH2072" s="10"/>
      <c r="AI2072" s="10"/>
    </row>
    <row r="2073" spans="1:35">
      <c r="A2073" s="10"/>
      <c r="B2073" s="10" t="str">
        <f t="shared" si="819"/>
        <v>Below the LinePREP</v>
      </c>
      <c r="C2073" t="s">
        <v>20</v>
      </c>
      <c r="D2073" t="s">
        <v>19</v>
      </c>
      <c r="E2073" t="s">
        <v>234</v>
      </c>
      <c r="G2073" t="s">
        <v>1167</v>
      </c>
      <c r="I2073" s="10"/>
      <c r="J2073" s="107">
        <f>SUMIF(Data!C:C,G2073,Data!Q:Q)</f>
        <v>13933.92</v>
      </c>
      <c r="K2073" s="107">
        <f>SUMIF(Comprometidos!A:A,'Cost Report'!G2073,Comprometidos!E:E)</f>
        <v>0</v>
      </c>
      <c r="L2073" s="107">
        <f t="shared" si="820"/>
        <v>13933.92</v>
      </c>
      <c r="M2073" s="107">
        <f t="shared" si="821"/>
        <v>0</v>
      </c>
      <c r="N2073" s="107">
        <f t="shared" si="822"/>
        <v>13933.92</v>
      </c>
      <c r="O2073" s="107">
        <f>VLOOKUP(G2073,Budget!$E$3:$G$2474,3,0)</f>
        <v>13933.92</v>
      </c>
      <c r="P2073" s="107">
        <f t="shared" si="823"/>
        <v>0</v>
      </c>
      <c r="Q2073" s="107"/>
      <c r="R2073" s="10"/>
      <c r="S2073" s="107">
        <v>13933.92</v>
      </c>
      <c r="T2073" s="107">
        <f t="shared" si="803"/>
        <v>0</v>
      </c>
      <c r="U2073" s="107"/>
      <c r="V2073" s="175"/>
      <c r="W2073" s="10"/>
      <c r="X2073" s="10"/>
      <c r="Y2073" t="str">
        <f t="shared" si="824"/>
        <v>3903</v>
      </c>
      <c r="AB2073" s="10"/>
      <c r="AC2073" s="10"/>
      <c r="AD2073" s="10"/>
      <c r="AE2073" s="10"/>
      <c r="AF2073" s="10"/>
      <c r="AG2073" s="10"/>
      <c r="AH2073" s="10"/>
      <c r="AI2073" s="10"/>
    </row>
    <row r="2074" spans="1:35">
      <c r="A2074" s="10"/>
      <c r="B2074" s="10" t="str">
        <f t="shared" si="819"/>
        <v>Below the LineSHOOT</v>
      </c>
      <c r="C2074" t="s">
        <v>20</v>
      </c>
      <c r="D2074" t="s">
        <v>19</v>
      </c>
      <c r="E2074" t="s">
        <v>236</v>
      </c>
      <c r="G2074" t="s">
        <v>1168</v>
      </c>
      <c r="I2074" s="10"/>
      <c r="J2074" s="107">
        <f>SUMIF(Data!C:C,G2074,Data!Q:Q)</f>
        <v>41801.760000000002</v>
      </c>
      <c r="K2074" s="107">
        <f>SUMIF(Comprometidos!A:A,'Cost Report'!G2074,Comprometidos!E:E)</f>
        <v>0</v>
      </c>
      <c r="L2074" s="107">
        <f t="shared" si="820"/>
        <v>41801.760000000002</v>
      </c>
      <c r="M2074" s="107">
        <f t="shared" si="821"/>
        <v>0</v>
      </c>
      <c r="N2074" s="107">
        <f t="shared" si="822"/>
        <v>41801.760000000002</v>
      </c>
      <c r="O2074" s="107">
        <f>VLOOKUP(G2074,Budget!$E$3:$G$2474,3,0)</f>
        <v>41801.760000000002</v>
      </c>
      <c r="P2074" s="107">
        <f t="shared" si="823"/>
        <v>0</v>
      </c>
      <c r="Q2074" s="107"/>
      <c r="R2074" s="10"/>
      <c r="S2074" s="107">
        <v>41801.760000000002</v>
      </c>
      <c r="T2074" s="107">
        <f t="shared" si="803"/>
        <v>0</v>
      </c>
      <c r="U2074" s="107"/>
      <c r="V2074" s="175"/>
      <c r="W2074" s="10"/>
      <c r="X2074" s="10"/>
      <c r="Y2074" t="str">
        <f t="shared" si="824"/>
        <v>3903</v>
      </c>
      <c r="AB2074" s="10"/>
      <c r="AC2074" s="10"/>
      <c r="AD2074" s="10"/>
      <c r="AE2074" s="10"/>
      <c r="AF2074" s="10"/>
      <c r="AG2074" s="10"/>
      <c r="AH2074" s="10"/>
      <c r="AI2074" s="10"/>
    </row>
    <row r="2075" spans="1:35">
      <c r="A2075" s="10"/>
      <c r="B2075" s="10" t="str">
        <f t="shared" si="819"/>
        <v>Below the LineWRAP</v>
      </c>
      <c r="C2075" t="s">
        <v>20</v>
      </c>
      <c r="D2075" t="s">
        <v>19</v>
      </c>
      <c r="E2075" t="s">
        <v>238</v>
      </c>
      <c r="G2075" t="s">
        <v>1169</v>
      </c>
      <c r="I2075" s="10"/>
      <c r="J2075" s="107">
        <f>SUMIF(Data!C:C,G2075,Data!Q:Q)</f>
        <v>0</v>
      </c>
      <c r="K2075" s="107">
        <f>SUMIF(Comprometidos!A:A,'Cost Report'!G2075,Comprometidos!E:E)</f>
        <v>0</v>
      </c>
      <c r="L2075" s="107">
        <f t="shared" si="820"/>
        <v>0</v>
      </c>
      <c r="M2075" s="107"/>
      <c r="N2075" s="107">
        <f t="shared" si="822"/>
        <v>0</v>
      </c>
      <c r="O2075" s="107">
        <f>VLOOKUP(G2075,Budget!$E$3:$G$2474,3,0)</f>
        <v>6966.96</v>
      </c>
      <c r="P2075" s="107">
        <f t="shared" si="823"/>
        <v>6966.96</v>
      </c>
      <c r="Q2075" s="107"/>
      <c r="R2075" s="10"/>
      <c r="S2075" s="107">
        <v>0</v>
      </c>
      <c r="T2075" s="107">
        <f t="shared" si="803"/>
        <v>0</v>
      </c>
      <c r="U2075" s="107"/>
      <c r="V2075" s="175"/>
      <c r="W2075" s="10"/>
      <c r="X2075" s="10"/>
      <c r="Y2075" t="str">
        <f t="shared" si="824"/>
        <v>3903</v>
      </c>
      <c r="AB2075" s="10"/>
      <c r="AC2075" s="10"/>
      <c r="AD2075" s="10"/>
      <c r="AE2075" s="10"/>
      <c r="AF2075" s="10"/>
      <c r="AG2075" s="10"/>
      <c r="AH2075" s="10"/>
      <c r="AI2075" s="10"/>
    </row>
    <row r="2076" spans="1:35">
      <c r="A2076" s="10"/>
      <c r="B2076" s="10" t="str">
        <f t="shared" si="819"/>
        <v>Below the Line</v>
      </c>
      <c r="C2076" t="s">
        <v>20</v>
      </c>
      <c r="D2076" t="s">
        <v>19</v>
      </c>
      <c r="E2076" t="s">
        <v>214</v>
      </c>
      <c r="G2076" t="s">
        <v>1170</v>
      </c>
      <c r="I2076" s="10"/>
      <c r="J2076" s="107">
        <f>SUMIF(Data!C:C,G2076,Data!Q:Q)</f>
        <v>0</v>
      </c>
      <c r="K2076" s="107">
        <f>SUMIF(Comprometidos!A:A,'Cost Report'!G2076,Comprometidos!E:E)</f>
        <v>0</v>
      </c>
      <c r="L2076" s="107">
        <f t="shared" si="820"/>
        <v>0</v>
      </c>
      <c r="M2076" s="107">
        <f t="shared" si="821"/>
        <v>0</v>
      </c>
      <c r="N2076" s="107">
        <f t="shared" si="822"/>
        <v>0</v>
      </c>
      <c r="O2076" s="107">
        <f>VLOOKUP(G2076,Budget!$E$3:$G$2474,3,0)</f>
        <v>0</v>
      </c>
      <c r="P2076" s="107">
        <f t="shared" si="823"/>
        <v>0</v>
      </c>
      <c r="Q2076" s="107"/>
      <c r="R2076" s="10"/>
      <c r="S2076" s="107">
        <v>0</v>
      </c>
      <c r="T2076" s="107">
        <f t="shared" si="803"/>
        <v>0</v>
      </c>
      <c r="U2076" s="107"/>
      <c r="V2076" s="175"/>
      <c r="W2076" s="10"/>
      <c r="X2076" s="10"/>
      <c r="Y2076" t="str">
        <f t="shared" si="824"/>
        <v>3903</v>
      </c>
      <c r="AB2076" s="10"/>
      <c r="AC2076" s="10"/>
      <c r="AD2076" s="10"/>
      <c r="AE2076" s="10"/>
      <c r="AF2076" s="10"/>
      <c r="AG2076" s="10"/>
      <c r="AH2076" s="10"/>
      <c r="AI2076" s="10"/>
    </row>
    <row r="2077" spans="1:35">
      <c r="A2077" s="10"/>
      <c r="B2077" s="10" t="str">
        <f t="shared" si="819"/>
        <v>Below the Line2nd Unit</v>
      </c>
      <c r="C2077" t="s">
        <v>20</v>
      </c>
      <c r="D2077" t="s">
        <v>19</v>
      </c>
      <c r="E2077" t="s">
        <v>1419</v>
      </c>
      <c r="G2077" t="s">
        <v>1171</v>
      </c>
      <c r="I2077" s="10"/>
      <c r="J2077" s="107">
        <f>SUMIF(Data!C:C,G2077,Data!Q:Q)</f>
        <v>23223.200000000001</v>
      </c>
      <c r="K2077" s="107">
        <f>SUMIF(Comprometidos!A:A,'Cost Report'!G2077,Comprometidos!E:E)</f>
        <v>0</v>
      </c>
      <c r="L2077" s="107">
        <f t="shared" si="820"/>
        <v>23223.200000000001</v>
      </c>
      <c r="M2077" s="107">
        <f t="shared" si="821"/>
        <v>0</v>
      </c>
      <c r="N2077" s="107">
        <f t="shared" si="822"/>
        <v>23223.200000000001</v>
      </c>
      <c r="O2077" s="107">
        <f>VLOOKUP(G2077,Budget!$E$3:$G$2474,3,0)</f>
        <v>23223.200000000001</v>
      </c>
      <c r="P2077" s="107">
        <f t="shared" si="823"/>
        <v>0</v>
      </c>
      <c r="Q2077" s="107"/>
      <c r="R2077" s="10"/>
      <c r="S2077" s="107">
        <v>23223.200000000001</v>
      </c>
      <c r="T2077" s="107">
        <f t="shared" si="803"/>
        <v>0</v>
      </c>
      <c r="U2077" s="107"/>
      <c r="V2077" s="175"/>
      <c r="W2077" s="10"/>
      <c r="X2077" s="10"/>
      <c r="Y2077" t="str">
        <f t="shared" si="824"/>
        <v>3903</v>
      </c>
      <c r="AB2077" s="10"/>
      <c r="AC2077" s="10"/>
      <c r="AD2077" s="10"/>
      <c r="AE2077" s="10"/>
      <c r="AF2077" s="10"/>
      <c r="AG2077" s="10"/>
      <c r="AH2077" s="10"/>
      <c r="AI2077" s="10"/>
    </row>
    <row r="2078" spans="1:35">
      <c r="A2078" s="10"/>
      <c r="B2078" s="10" t="str">
        <f t="shared" si="819"/>
        <v>Below the Line2nd Unit</v>
      </c>
      <c r="C2078" t="s">
        <v>20</v>
      </c>
      <c r="D2078" t="s">
        <v>19</v>
      </c>
      <c r="E2078" t="s">
        <v>1419</v>
      </c>
      <c r="G2078" t="s">
        <v>1172</v>
      </c>
      <c r="I2078" s="10"/>
      <c r="J2078" s="107">
        <f>SUMIF(Data!C:C,G2078,Data!Q:Q)</f>
        <v>19905.599999999999</v>
      </c>
      <c r="K2078" s="107">
        <f>SUMIF(Comprometidos!A:A,'Cost Report'!G2078,Comprometidos!E:E)</f>
        <v>0</v>
      </c>
      <c r="L2078" s="107">
        <f t="shared" si="820"/>
        <v>19905.599999999999</v>
      </c>
      <c r="M2078" s="107">
        <f t="shared" si="821"/>
        <v>0</v>
      </c>
      <c r="N2078" s="107">
        <f t="shared" si="822"/>
        <v>19905.599999999999</v>
      </c>
      <c r="O2078" s="107">
        <f>VLOOKUP(G2078,Budget!$E$3:$G$2474,3,0)</f>
        <v>19905.599999999999</v>
      </c>
      <c r="P2078" s="107">
        <f t="shared" si="823"/>
        <v>0</v>
      </c>
      <c r="Q2078" s="107"/>
      <c r="R2078" s="10"/>
      <c r="S2078" s="107">
        <v>19905.599999999999</v>
      </c>
      <c r="T2078" s="107">
        <f t="shared" si="803"/>
        <v>0</v>
      </c>
      <c r="U2078" s="107"/>
      <c r="V2078" s="175"/>
      <c r="W2078" s="10"/>
      <c r="X2078" s="10"/>
      <c r="Y2078" t="str">
        <f t="shared" si="824"/>
        <v>3903</v>
      </c>
      <c r="AB2078" s="10"/>
      <c r="AC2078" s="10"/>
      <c r="AD2078" s="10"/>
      <c r="AE2078" s="10"/>
      <c r="AF2078" s="10"/>
      <c r="AG2078" s="10"/>
      <c r="AH2078" s="10"/>
      <c r="AI2078" s="10"/>
    </row>
    <row r="2079" spans="1:35">
      <c r="A2079" s="10"/>
      <c r="B2079" s="10" t="str">
        <f t="shared" si="819"/>
        <v>Below the Line2nd Unit</v>
      </c>
      <c r="C2079" t="s">
        <v>20</v>
      </c>
      <c r="D2079" t="s">
        <v>19</v>
      </c>
      <c r="E2079" t="s">
        <v>1419</v>
      </c>
      <c r="G2079" t="s">
        <v>1173</v>
      </c>
      <c r="I2079" s="10"/>
      <c r="J2079" s="107">
        <f>SUMIF(Data!C:C,G2079,Data!Q:Q)</f>
        <v>0</v>
      </c>
      <c r="K2079" s="107">
        <f>SUMIF(Comprometidos!A:A,'Cost Report'!G2079,Comprometidos!E:E)</f>
        <v>0</v>
      </c>
      <c r="L2079" s="107">
        <f t="shared" si="820"/>
        <v>0</v>
      </c>
      <c r="M2079" s="107">
        <f t="shared" si="821"/>
        <v>0</v>
      </c>
      <c r="N2079" s="107">
        <f t="shared" si="822"/>
        <v>0</v>
      </c>
      <c r="O2079" s="107">
        <f>VLOOKUP(G2079,Budget!$E$3:$G$2474,3,0)</f>
        <v>0</v>
      </c>
      <c r="P2079" s="107">
        <f t="shared" si="823"/>
        <v>0</v>
      </c>
      <c r="Q2079" s="107"/>
      <c r="R2079" s="10"/>
      <c r="S2079" s="107">
        <v>0</v>
      </c>
      <c r="T2079" s="107">
        <f t="shared" si="803"/>
        <v>0</v>
      </c>
      <c r="U2079" s="107"/>
      <c r="V2079" s="175"/>
      <c r="W2079" s="10"/>
      <c r="X2079" s="10"/>
      <c r="Y2079" t="str">
        <f t="shared" si="824"/>
        <v>3903</v>
      </c>
      <c r="AB2079" s="10"/>
      <c r="AC2079" s="10"/>
      <c r="AD2079" s="10"/>
      <c r="AE2079" s="10"/>
      <c r="AF2079" s="10"/>
      <c r="AG2079" s="10"/>
      <c r="AH2079" s="10"/>
      <c r="AI2079" s="10"/>
    </row>
    <row r="2080" spans="1:35">
      <c r="A2080" s="10"/>
      <c r="B2080" s="10" t="str">
        <f t="shared" si="819"/>
        <v>Below the Line</v>
      </c>
      <c r="C2080" t="s">
        <v>20</v>
      </c>
      <c r="D2080" t="s">
        <v>19</v>
      </c>
      <c r="E2080" t="s">
        <v>214</v>
      </c>
      <c r="G2080" t="s">
        <v>1174</v>
      </c>
      <c r="I2080" s="10"/>
      <c r="J2080" s="107">
        <f>SUMIF(Data!C:C,G2080,Data!Q:Q)</f>
        <v>0</v>
      </c>
      <c r="K2080" s="107">
        <f>SUMIF(Comprometidos!A:A,'Cost Report'!G2080,Comprometidos!E:E)</f>
        <v>0</v>
      </c>
      <c r="L2080" s="107">
        <f t="shared" si="820"/>
        <v>0</v>
      </c>
      <c r="M2080" s="107">
        <f t="shared" si="821"/>
        <v>0</v>
      </c>
      <c r="N2080" s="107">
        <f t="shared" si="822"/>
        <v>0</v>
      </c>
      <c r="O2080" s="107">
        <f>VLOOKUP(G2080,Budget!$E$3:$G$2474,3,0)</f>
        <v>0</v>
      </c>
      <c r="P2080" s="107">
        <f t="shared" si="823"/>
        <v>0</v>
      </c>
      <c r="Q2080" s="107"/>
      <c r="R2080" s="10"/>
      <c r="S2080" s="107">
        <v>0</v>
      </c>
      <c r="T2080" s="107">
        <f t="shared" ref="T2080:T2144" si="825">+S2080-N2080</f>
        <v>0</v>
      </c>
      <c r="U2080" s="107"/>
      <c r="V2080" s="175"/>
      <c r="W2080" s="10"/>
      <c r="X2080" s="10"/>
      <c r="Y2080" t="str">
        <f t="shared" si="824"/>
        <v>3903</v>
      </c>
      <c r="AB2080" s="10"/>
      <c r="AC2080" s="10"/>
      <c r="AD2080" s="10"/>
      <c r="AE2080" s="10"/>
      <c r="AF2080" s="10"/>
      <c r="AG2080" s="10"/>
      <c r="AH2080" s="10"/>
      <c r="AI2080" s="10"/>
    </row>
    <row r="2081" spans="1:35">
      <c r="A2081" s="10"/>
      <c r="B2081" s="10" t="str">
        <f t="shared" si="819"/>
        <v>Below the LinePREP</v>
      </c>
      <c r="C2081" t="s">
        <v>20</v>
      </c>
      <c r="D2081" t="s">
        <v>19</v>
      </c>
      <c r="E2081" t="s">
        <v>234</v>
      </c>
      <c r="G2081" t="s">
        <v>1175</v>
      </c>
      <c r="I2081" s="10"/>
      <c r="J2081" s="107">
        <f>SUMIF(Data!C:C,G2081,Data!Q:Q)</f>
        <v>0</v>
      </c>
      <c r="K2081" s="107">
        <f>SUMIF(Comprometidos!A:A,'Cost Report'!G2081,Comprometidos!E:E)</f>
        <v>0</v>
      </c>
      <c r="L2081" s="107">
        <f t="shared" si="820"/>
        <v>0</v>
      </c>
      <c r="M2081" s="107"/>
      <c r="N2081" s="107">
        <f t="shared" si="822"/>
        <v>0</v>
      </c>
      <c r="O2081" s="107">
        <f>VLOOKUP(G2081,Budget!$E$3:$G$2474,3,0)</f>
        <v>34834.800000000003</v>
      </c>
      <c r="P2081" s="107">
        <f t="shared" si="823"/>
        <v>34834.800000000003</v>
      </c>
      <c r="Q2081" s="107"/>
      <c r="R2081" s="10"/>
      <c r="S2081" s="107">
        <v>0</v>
      </c>
      <c r="T2081" s="107">
        <f t="shared" si="825"/>
        <v>0</v>
      </c>
      <c r="U2081" s="107"/>
      <c r="V2081" s="175"/>
      <c r="W2081" s="10"/>
      <c r="X2081" s="10"/>
      <c r="Y2081" t="str">
        <f t="shared" si="824"/>
        <v>3903</v>
      </c>
      <c r="AB2081" s="10"/>
      <c r="AC2081" s="10"/>
      <c r="AD2081" s="10"/>
      <c r="AE2081" s="10"/>
      <c r="AF2081" s="10"/>
      <c r="AG2081" s="10"/>
      <c r="AH2081" s="10"/>
      <c r="AI2081" s="10"/>
    </row>
    <row r="2082" spans="1:35">
      <c r="A2082" s="10"/>
      <c r="B2082" s="10" t="str">
        <f t="shared" si="819"/>
        <v>Below the LineSHOOT</v>
      </c>
      <c r="C2082" t="s">
        <v>20</v>
      </c>
      <c r="D2082" t="s">
        <v>19</v>
      </c>
      <c r="E2082" t="s">
        <v>236</v>
      </c>
      <c r="G2082" t="s">
        <v>1176</v>
      </c>
      <c r="I2082" s="10"/>
      <c r="J2082" s="107">
        <f>SUMIF(Data!C:C,G2082,Data!Q:Q)</f>
        <v>298822.94999999995</v>
      </c>
      <c r="K2082" s="107">
        <f>SUMIF(Comprometidos!A:A,'Cost Report'!G2082,Comprometidos!E:E)</f>
        <v>0</v>
      </c>
      <c r="L2082" s="107">
        <f t="shared" si="820"/>
        <v>298822.94999999995</v>
      </c>
      <c r="M2082" s="107">
        <v>0</v>
      </c>
      <c r="N2082" s="107">
        <f t="shared" si="822"/>
        <v>298822.94999999995</v>
      </c>
      <c r="O2082" s="107">
        <f>VLOOKUP(G2082,Budget!$E$3:$G$2474,3,0)</f>
        <v>184126.8</v>
      </c>
      <c r="P2082" s="107">
        <f t="shared" si="823"/>
        <v>-114696.14999999997</v>
      </c>
      <c r="Q2082" s="107"/>
      <c r="R2082" s="10"/>
      <c r="S2082" s="107">
        <v>298822.94999999995</v>
      </c>
      <c r="T2082" s="107">
        <f t="shared" si="825"/>
        <v>0</v>
      </c>
      <c r="U2082" s="107"/>
      <c r="V2082" s="175"/>
      <c r="W2082" s="10"/>
      <c r="X2082" s="10"/>
      <c r="Y2082" t="str">
        <f t="shared" si="824"/>
        <v>3903</v>
      </c>
      <c r="AB2082" s="10"/>
      <c r="AC2082" s="10"/>
      <c r="AD2082" s="10"/>
      <c r="AE2082" s="10"/>
      <c r="AF2082" s="10"/>
      <c r="AG2082" s="10"/>
      <c r="AH2082" s="10"/>
      <c r="AI2082" s="10"/>
    </row>
    <row r="2083" spans="1:35">
      <c r="A2083" s="10"/>
      <c r="B2083" s="10" t="str">
        <f t="shared" si="819"/>
        <v>Below the LineWRAP</v>
      </c>
      <c r="C2083" t="s">
        <v>20</v>
      </c>
      <c r="D2083" t="s">
        <v>19</v>
      </c>
      <c r="E2083" t="s">
        <v>238</v>
      </c>
      <c r="G2083" t="s">
        <v>1177</v>
      </c>
      <c r="I2083" s="10"/>
      <c r="J2083" s="107">
        <f>SUMIF(Data!C:C,G2083,Data!Q:Q)</f>
        <v>0</v>
      </c>
      <c r="K2083" s="107">
        <f>SUMIF(Comprometidos!A:A,'Cost Report'!G2083,Comprometidos!E:E)</f>
        <v>0</v>
      </c>
      <c r="L2083" s="107">
        <f t="shared" si="820"/>
        <v>0</v>
      </c>
      <c r="M2083" s="107">
        <v>0</v>
      </c>
      <c r="N2083" s="107">
        <f t="shared" si="822"/>
        <v>0</v>
      </c>
      <c r="O2083" s="107">
        <f>VLOOKUP(G2083,Budget!$E$3:$G$2474,3,0)</f>
        <v>17417.400000000001</v>
      </c>
      <c r="P2083" s="107">
        <f t="shared" si="823"/>
        <v>17417.400000000001</v>
      </c>
      <c r="Q2083" s="107"/>
      <c r="R2083" s="10"/>
      <c r="S2083" s="107">
        <v>0</v>
      </c>
      <c r="T2083" s="107">
        <f t="shared" si="825"/>
        <v>0</v>
      </c>
      <c r="U2083" s="107"/>
      <c r="V2083" s="175"/>
      <c r="W2083" s="10"/>
      <c r="X2083" s="10"/>
      <c r="Y2083" t="str">
        <f t="shared" si="824"/>
        <v>3903</v>
      </c>
      <c r="AB2083" s="10"/>
      <c r="AC2083" s="10"/>
      <c r="AD2083" s="10"/>
      <c r="AE2083" s="10"/>
      <c r="AF2083" s="10"/>
      <c r="AG2083" s="10"/>
      <c r="AH2083" s="10"/>
      <c r="AI2083" s="10"/>
    </row>
    <row r="2084" spans="1:35">
      <c r="A2084" s="10"/>
      <c r="B2084" s="10" t="str">
        <f t="shared" si="819"/>
        <v>Below the Line</v>
      </c>
      <c r="C2084" t="s">
        <v>20</v>
      </c>
      <c r="D2084" t="s">
        <v>19</v>
      </c>
      <c r="E2084" t="s">
        <v>214</v>
      </c>
      <c r="G2084" t="s">
        <v>1178</v>
      </c>
      <c r="I2084" s="10"/>
      <c r="J2084" s="107">
        <f>SUMIF(Data!C:C,G2084,Data!Q:Q)</f>
        <v>0</v>
      </c>
      <c r="K2084" s="107">
        <f>SUMIF(Comprometidos!A:A,'Cost Report'!G2084,Comprometidos!E:E)</f>
        <v>0</v>
      </c>
      <c r="L2084" s="107">
        <f t="shared" si="820"/>
        <v>0</v>
      </c>
      <c r="M2084" s="107">
        <f t="shared" si="821"/>
        <v>0</v>
      </c>
      <c r="N2084" s="107">
        <f t="shared" si="822"/>
        <v>0</v>
      </c>
      <c r="O2084" s="107">
        <f>VLOOKUP(G2084,Budget!$E$3:$G$2474,3,0)</f>
        <v>0</v>
      </c>
      <c r="P2084" s="107">
        <f t="shared" si="823"/>
        <v>0</v>
      </c>
      <c r="Q2084" s="107"/>
      <c r="R2084" s="10"/>
      <c r="S2084" s="107">
        <v>0</v>
      </c>
      <c r="T2084" s="107">
        <f t="shared" si="825"/>
        <v>0</v>
      </c>
      <c r="U2084" s="107"/>
      <c r="V2084" s="175"/>
      <c r="W2084" s="10"/>
      <c r="X2084" s="10"/>
      <c r="Y2084" t="str">
        <f t="shared" si="824"/>
        <v>3903</v>
      </c>
      <c r="AB2084" s="10"/>
      <c r="AC2084" s="10"/>
      <c r="AD2084" s="10"/>
      <c r="AE2084" s="10"/>
      <c r="AF2084" s="10"/>
      <c r="AG2084" s="10"/>
      <c r="AH2084" s="10"/>
      <c r="AI2084" s="10"/>
    </row>
    <row r="2085" spans="1:35">
      <c r="A2085" s="10"/>
      <c r="B2085" s="10" t="str">
        <f t="shared" si="819"/>
        <v>Below the Line2nd Unit</v>
      </c>
      <c r="C2085" t="s">
        <v>20</v>
      </c>
      <c r="D2085" t="s">
        <v>19</v>
      </c>
      <c r="E2085" t="s">
        <v>1419</v>
      </c>
      <c r="G2085" t="s">
        <v>2976</v>
      </c>
      <c r="I2085" s="10"/>
      <c r="J2085" s="107">
        <f>SUMIF(Data!C:C,G2085,Data!Q:Q)</f>
        <v>23223.200000000001</v>
      </c>
      <c r="K2085" s="107">
        <f>SUMIF(Comprometidos!A:A,'Cost Report'!G2085,Comprometidos!E:E)</f>
        <v>0</v>
      </c>
      <c r="L2085" s="107">
        <f t="shared" si="820"/>
        <v>23223.200000000001</v>
      </c>
      <c r="M2085" s="107">
        <f t="shared" si="821"/>
        <v>0</v>
      </c>
      <c r="N2085" s="107">
        <f t="shared" si="822"/>
        <v>23223.200000000001</v>
      </c>
      <c r="O2085" s="107">
        <f>VLOOKUP(G2085,Budget!$E$3:$G$2474,3,0)</f>
        <v>23223.200000000001</v>
      </c>
      <c r="P2085" s="107">
        <f t="shared" si="823"/>
        <v>0</v>
      </c>
      <c r="Q2085" s="107"/>
      <c r="R2085" s="10"/>
      <c r="S2085" s="107">
        <v>23223.200000000001</v>
      </c>
      <c r="T2085" s="107">
        <f t="shared" si="825"/>
        <v>0</v>
      </c>
      <c r="U2085" s="107"/>
      <c r="V2085" s="175"/>
      <c r="W2085" s="10"/>
      <c r="X2085" s="10"/>
      <c r="Y2085" t="str">
        <f t="shared" si="824"/>
        <v>3903</v>
      </c>
      <c r="AB2085" s="10"/>
      <c r="AC2085" s="10"/>
      <c r="AD2085" s="10"/>
      <c r="AE2085" s="10"/>
      <c r="AF2085" s="10"/>
      <c r="AG2085" s="10"/>
      <c r="AH2085" s="10"/>
      <c r="AI2085" s="10"/>
    </row>
    <row r="2086" spans="1:35">
      <c r="A2086" s="10"/>
      <c r="B2086" s="10" t="str">
        <f t="shared" si="819"/>
        <v>Below the Line2nd Unit</v>
      </c>
      <c r="C2086" t="s">
        <v>20</v>
      </c>
      <c r="D2086" t="s">
        <v>19</v>
      </c>
      <c r="E2086" t="s">
        <v>1419</v>
      </c>
      <c r="G2086" t="s">
        <v>2977</v>
      </c>
      <c r="I2086" s="10"/>
      <c r="J2086" s="107">
        <f>SUMIF(Data!C:C,G2086,Data!Q:Q)</f>
        <v>15924.48</v>
      </c>
      <c r="K2086" s="107">
        <f>SUMIF(Comprometidos!A:A,'Cost Report'!G2086,Comprometidos!E:E)</f>
        <v>0</v>
      </c>
      <c r="L2086" s="107">
        <f t="shared" si="820"/>
        <v>15924.48</v>
      </c>
      <c r="M2086" s="107">
        <f t="shared" si="821"/>
        <v>0</v>
      </c>
      <c r="N2086" s="107">
        <f t="shared" si="822"/>
        <v>15924.48</v>
      </c>
      <c r="O2086" s="107">
        <f>VLOOKUP(G2086,Budget!$E$3:$G$2474,3,0)</f>
        <v>15924.48</v>
      </c>
      <c r="P2086" s="107">
        <f t="shared" si="823"/>
        <v>0</v>
      </c>
      <c r="Q2086" s="107"/>
      <c r="R2086" s="10"/>
      <c r="S2086" s="107">
        <v>15924.48</v>
      </c>
      <c r="T2086" s="107">
        <f t="shared" si="825"/>
        <v>0</v>
      </c>
      <c r="U2086" s="107"/>
      <c r="V2086" s="175"/>
      <c r="W2086" s="10"/>
      <c r="X2086" s="10"/>
      <c r="Y2086" t="str">
        <f t="shared" si="824"/>
        <v>3903</v>
      </c>
      <c r="AB2086" s="10"/>
      <c r="AC2086" s="10"/>
      <c r="AD2086" s="10"/>
      <c r="AE2086" s="10"/>
      <c r="AF2086" s="10"/>
      <c r="AG2086" s="10"/>
      <c r="AH2086" s="10"/>
      <c r="AI2086" s="10"/>
    </row>
    <row r="2087" spans="1:35">
      <c r="A2087" s="10"/>
      <c r="B2087" s="10" t="str">
        <f t="shared" si="819"/>
        <v>Below the Line2nd Unit</v>
      </c>
      <c r="C2087" t="s">
        <v>20</v>
      </c>
      <c r="D2087" t="s">
        <v>19</v>
      </c>
      <c r="E2087" t="s">
        <v>1419</v>
      </c>
      <c r="G2087" t="s">
        <v>2978</v>
      </c>
      <c r="I2087" s="10"/>
      <c r="J2087" s="107">
        <f>SUMIF(Data!C:C,G2087,Data!Q:Q)</f>
        <v>0</v>
      </c>
      <c r="K2087" s="107">
        <f>SUMIF(Comprometidos!A:A,'Cost Report'!G2087,Comprometidos!E:E)</f>
        <v>0</v>
      </c>
      <c r="L2087" s="107">
        <f t="shared" si="820"/>
        <v>0</v>
      </c>
      <c r="M2087" s="107">
        <f t="shared" si="821"/>
        <v>0</v>
      </c>
      <c r="N2087" s="107">
        <f t="shared" si="822"/>
        <v>0</v>
      </c>
      <c r="O2087" s="107">
        <f>VLOOKUP(G2087,Budget!$E$3:$G$2474,3,0)</f>
        <v>0</v>
      </c>
      <c r="P2087" s="107">
        <f t="shared" si="823"/>
        <v>0</v>
      </c>
      <c r="Q2087" s="107"/>
      <c r="R2087" s="10"/>
      <c r="S2087" s="107">
        <v>0</v>
      </c>
      <c r="T2087" s="107">
        <f t="shared" si="825"/>
        <v>0</v>
      </c>
      <c r="U2087" s="107"/>
      <c r="V2087" s="175"/>
      <c r="W2087" s="10"/>
      <c r="X2087" s="10"/>
      <c r="Y2087" t="str">
        <f t="shared" si="824"/>
        <v>3903</v>
      </c>
      <c r="AB2087" s="10"/>
      <c r="AC2087" s="10"/>
      <c r="AD2087" s="10"/>
      <c r="AE2087" s="10"/>
      <c r="AF2087" s="10"/>
      <c r="AG2087" s="10"/>
      <c r="AH2087" s="10"/>
      <c r="AI2087" s="10"/>
    </row>
    <row r="2088" spans="1:35">
      <c r="A2088" s="10"/>
      <c r="B2088" s="10" t="str">
        <f t="shared" si="819"/>
        <v>Below the Line</v>
      </c>
      <c r="C2088" t="s">
        <v>20</v>
      </c>
      <c r="D2088" t="s">
        <v>19</v>
      </c>
      <c r="E2088" t="s">
        <v>214</v>
      </c>
      <c r="G2088" t="s">
        <v>2979</v>
      </c>
      <c r="I2088" s="10"/>
      <c r="J2088" s="107">
        <f>SUMIF(Data!C:C,G2088,Data!Q:Q)</f>
        <v>0</v>
      </c>
      <c r="K2088" s="107">
        <f>SUMIF(Comprometidos!A:A,'Cost Report'!G2088,Comprometidos!E:E)</f>
        <v>0</v>
      </c>
      <c r="L2088" s="107">
        <f t="shared" si="820"/>
        <v>0</v>
      </c>
      <c r="M2088" s="107">
        <f t="shared" si="821"/>
        <v>0</v>
      </c>
      <c r="N2088" s="107">
        <f t="shared" si="822"/>
        <v>0</v>
      </c>
      <c r="O2088" s="107">
        <f>VLOOKUP(G2088,Budget!$E$3:$G$2474,3,0)</f>
        <v>0</v>
      </c>
      <c r="P2088" s="107">
        <f t="shared" si="823"/>
        <v>0</v>
      </c>
      <c r="Q2088" s="107"/>
      <c r="R2088" s="10"/>
      <c r="S2088" s="107">
        <v>0</v>
      </c>
      <c r="T2088" s="107">
        <f t="shared" si="825"/>
        <v>0</v>
      </c>
      <c r="U2088" s="107"/>
      <c r="V2088" s="175"/>
      <c r="W2088" s="10"/>
      <c r="X2088" s="10"/>
      <c r="Y2088" t="str">
        <f t="shared" si="824"/>
        <v>3903</v>
      </c>
      <c r="AB2088" s="10"/>
      <c r="AC2088" s="10"/>
      <c r="AD2088" s="10"/>
      <c r="AE2088" s="10"/>
      <c r="AF2088" s="10"/>
      <c r="AG2088" s="10"/>
      <c r="AH2088" s="10"/>
      <c r="AI2088" s="10"/>
    </row>
    <row r="2089" spans="1:35">
      <c r="A2089" s="10"/>
      <c r="B2089" s="10" t="str">
        <f t="shared" si="819"/>
        <v>Below the LineSHOOT</v>
      </c>
      <c r="C2089" t="s">
        <v>20</v>
      </c>
      <c r="D2089" t="s">
        <v>19</v>
      </c>
      <c r="E2089" t="s">
        <v>236</v>
      </c>
      <c r="G2089" t="s">
        <v>2980</v>
      </c>
      <c r="I2089" s="10"/>
      <c r="J2089" s="107">
        <f>SUMIF(Data!C:C,G2089,Data!Q:Q)</f>
        <v>59716.800000000003</v>
      </c>
      <c r="K2089" s="107">
        <f>SUMIF(Comprometidos!A:A,'Cost Report'!G2089,Comprometidos!E:E)</f>
        <v>0</v>
      </c>
      <c r="L2089" s="107">
        <f t="shared" si="820"/>
        <v>59716.800000000003</v>
      </c>
      <c r="M2089" s="107">
        <f t="shared" si="821"/>
        <v>0</v>
      </c>
      <c r="N2089" s="107">
        <f t="shared" si="822"/>
        <v>59716.800000000003</v>
      </c>
      <c r="O2089" s="107">
        <f>VLOOKUP(G2089,Budget!$E$3:$G$2474,3,0)</f>
        <v>59716.800000000003</v>
      </c>
      <c r="P2089" s="107">
        <f t="shared" si="823"/>
        <v>0</v>
      </c>
      <c r="Q2089" s="107"/>
      <c r="R2089" s="10"/>
      <c r="S2089" s="107">
        <v>59716.800000000003</v>
      </c>
      <c r="T2089" s="107">
        <f t="shared" si="825"/>
        <v>0</v>
      </c>
      <c r="U2089" s="107"/>
      <c r="V2089" s="175"/>
      <c r="W2089" s="10"/>
      <c r="X2089" s="10"/>
      <c r="Y2089" t="str">
        <f t="shared" si="824"/>
        <v>3903</v>
      </c>
      <c r="AB2089" s="10"/>
      <c r="AC2089" s="10"/>
      <c r="AD2089" s="10"/>
      <c r="AE2089" s="10"/>
      <c r="AF2089" s="10"/>
      <c r="AG2089" s="10"/>
      <c r="AH2089" s="10"/>
      <c r="AI2089" s="10"/>
    </row>
    <row r="2090" spans="1:35">
      <c r="A2090" s="10"/>
      <c r="B2090" s="10" t="str">
        <f t="shared" si="819"/>
        <v>Below the LineSHOOT</v>
      </c>
      <c r="C2090" t="s">
        <v>20</v>
      </c>
      <c r="D2090" t="s">
        <v>19</v>
      </c>
      <c r="E2090" t="s">
        <v>236</v>
      </c>
      <c r="G2090" t="s">
        <v>2981</v>
      </c>
      <c r="I2090" s="10"/>
      <c r="J2090" s="107">
        <f>SUMIF(Data!C:C,G2090,Data!Q:Q)</f>
        <v>59716.800000000003</v>
      </c>
      <c r="K2090" s="107">
        <f>SUMIF(Comprometidos!A:A,'Cost Report'!G2090,Comprometidos!E:E)</f>
        <v>0</v>
      </c>
      <c r="L2090" s="107">
        <f t="shared" si="820"/>
        <v>59716.800000000003</v>
      </c>
      <c r="M2090" s="107">
        <f t="shared" si="821"/>
        <v>0</v>
      </c>
      <c r="N2090" s="107">
        <f t="shared" si="822"/>
        <v>59716.800000000003</v>
      </c>
      <c r="O2090" s="107">
        <f>VLOOKUP(G2090,Budget!$E$3:$G$2474,3,0)</f>
        <v>59716.800000000003</v>
      </c>
      <c r="P2090" s="107">
        <f t="shared" si="823"/>
        <v>0</v>
      </c>
      <c r="Q2090" s="107"/>
      <c r="R2090" s="10"/>
      <c r="S2090" s="107">
        <v>59716.800000000003</v>
      </c>
      <c r="T2090" s="107">
        <f t="shared" si="825"/>
        <v>0</v>
      </c>
      <c r="U2090" s="107"/>
      <c r="V2090" s="175"/>
      <c r="W2090" s="10"/>
      <c r="X2090" s="10"/>
      <c r="Y2090" t="str">
        <f t="shared" si="824"/>
        <v>3903</v>
      </c>
      <c r="AB2090" s="10"/>
      <c r="AC2090" s="10"/>
      <c r="AD2090" s="10"/>
      <c r="AE2090" s="10"/>
      <c r="AF2090" s="10"/>
      <c r="AG2090" s="10"/>
      <c r="AH2090" s="10"/>
      <c r="AI2090" s="10"/>
    </row>
    <row r="2091" spans="1:35">
      <c r="A2091" s="10"/>
      <c r="B2091" s="10" t="str">
        <f t="shared" si="819"/>
        <v>Below the LineSHOOT</v>
      </c>
      <c r="C2091" t="s">
        <v>20</v>
      </c>
      <c r="D2091" t="s">
        <v>19</v>
      </c>
      <c r="E2091" t="s">
        <v>236</v>
      </c>
      <c r="G2091" t="s">
        <v>2982</v>
      </c>
      <c r="I2091" s="10"/>
      <c r="J2091" s="107">
        <f>SUMIF(Data!C:C,G2091,Data!Q:Q)</f>
        <v>9716.7999999999993</v>
      </c>
      <c r="K2091" s="107">
        <f>SUMIF(Comprometidos!A:A,'Cost Report'!G2091,Comprometidos!E:E)</f>
        <v>0</v>
      </c>
      <c r="L2091" s="107">
        <f t="shared" si="820"/>
        <v>9716.7999999999993</v>
      </c>
      <c r="M2091" s="107">
        <f>+O2091-L2091-50000</f>
        <v>0</v>
      </c>
      <c r="N2091" s="107">
        <f t="shared" si="822"/>
        <v>9716.7999999999993</v>
      </c>
      <c r="O2091" s="107">
        <f>VLOOKUP(G2091,Budget!$E$3:$G$2474,3,0)</f>
        <v>59716.800000000003</v>
      </c>
      <c r="P2091" s="107">
        <f t="shared" si="823"/>
        <v>50000</v>
      </c>
      <c r="Q2091" s="107"/>
      <c r="R2091" s="10"/>
      <c r="S2091" s="107">
        <v>9716.7999999999993</v>
      </c>
      <c r="T2091" s="107">
        <f t="shared" si="825"/>
        <v>0</v>
      </c>
      <c r="U2091" s="107"/>
      <c r="V2091" s="175"/>
      <c r="W2091" s="10"/>
      <c r="X2091" s="10"/>
      <c r="Y2091" t="str">
        <f t="shared" si="824"/>
        <v>3903</v>
      </c>
      <c r="AB2091" s="10"/>
      <c r="AC2091" s="10"/>
      <c r="AD2091" s="10"/>
      <c r="AE2091" s="10"/>
      <c r="AF2091" s="10"/>
      <c r="AG2091" s="10"/>
      <c r="AH2091" s="10"/>
      <c r="AI2091" s="10"/>
    </row>
    <row r="2092" spans="1:35">
      <c r="A2092" s="10"/>
      <c r="B2092" s="10" t="str">
        <f t="shared" si="819"/>
        <v>Below the Line</v>
      </c>
      <c r="C2092" t="s">
        <v>20</v>
      </c>
      <c r="D2092" t="s">
        <v>19</v>
      </c>
      <c r="E2092" t="s">
        <v>214</v>
      </c>
      <c r="G2092" t="s">
        <v>2983</v>
      </c>
      <c r="I2092" s="10"/>
      <c r="J2092" s="107">
        <f>SUMIF(Data!C:C,G2092,Data!Q:Q)</f>
        <v>0</v>
      </c>
      <c r="K2092" s="107">
        <f>SUMIF(Comprometidos!A:A,'Cost Report'!G2092,Comprometidos!E:E)</f>
        <v>0</v>
      </c>
      <c r="L2092" s="107">
        <f t="shared" si="820"/>
        <v>0</v>
      </c>
      <c r="M2092" s="107">
        <f t="shared" si="821"/>
        <v>0</v>
      </c>
      <c r="N2092" s="107">
        <f t="shared" si="822"/>
        <v>0</v>
      </c>
      <c r="O2092" s="107">
        <f>VLOOKUP(G2092,Budget!$E$3:$G$2474,3,0)</f>
        <v>0</v>
      </c>
      <c r="P2092" s="107">
        <f t="shared" si="823"/>
        <v>0</v>
      </c>
      <c r="Q2092" s="107"/>
      <c r="R2092" s="10"/>
      <c r="S2092" s="107">
        <v>0</v>
      </c>
      <c r="T2092" s="107">
        <f t="shared" si="825"/>
        <v>0</v>
      </c>
      <c r="U2092" s="107"/>
      <c r="V2092" s="175"/>
      <c r="W2092" s="10"/>
      <c r="X2092" s="10"/>
      <c r="Y2092" t="str">
        <f t="shared" si="824"/>
        <v>3903</v>
      </c>
      <c r="AB2092" s="10"/>
      <c r="AC2092" s="10"/>
      <c r="AD2092" s="10"/>
      <c r="AE2092" s="10"/>
      <c r="AF2092" s="10"/>
      <c r="AG2092" s="10"/>
      <c r="AH2092" s="10"/>
      <c r="AI2092" s="10"/>
    </row>
    <row r="2093" spans="1:35">
      <c r="A2093" s="10"/>
      <c r="B2093" s="10" t="str">
        <f t="shared" si="819"/>
        <v>Below the Line2nd Unit</v>
      </c>
      <c r="C2093" t="s">
        <v>20</v>
      </c>
      <c r="D2093" t="s">
        <v>19</v>
      </c>
      <c r="E2093" t="s">
        <v>1419</v>
      </c>
      <c r="G2093" t="s">
        <v>2984</v>
      </c>
      <c r="I2093" s="10"/>
      <c r="J2093" s="107">
        <f>SUMIF(Data!C:C,G2093,Data!Q:Q)</f>
        <v>8294</v>
      </c>
      <c r="K2093" s="107">
        <f>SUMIF(Comprometidos!A:A,'Cost Report'!G2093,Comprometidos!E:E)</f>
        <v>0</v>
      </c>
      <c r="L2093" s="107">
        <f t="shared" si="820"/>
        <v>8294</v>
      </c>
      <c r="M2093" s="107">
        <f t="shared" si="821"/>
        <v>0</v>
      </c>
      <c r="N2093" s="107">
        <f t="shared" si="822"/>
        <v>8294</v>
      </c>
      <c r="O2093" s="107">
        <f>VLOOKUP(G2093,Budget!$E$3:$G$2474,3,0)</f>
        <v>8294</v>
      </c>
      <c r="P2093" s="107">
        <f t="shared" si="823"/>
        <v>0</v>
      </c>
      <c r="Q2093" s="107"/>
      <c r="R2093" s="10"/>
      <c r="S2093" s="107">
        <v>8294</v>
      </c>
      <c r="T2093" s="107">
        <f t="shared" si="825"/>
        <v>0</v>
      </c>
      <c r="U2093" s="107"/>
      <c r="V2093" s="175"/>
      <c r="W2093" s="10"/>
      <c r="X2093" s="10"/>
      <c r="Y2093" t="str">
        <f t="shared" si="824"/>
        <v>3903</v>
      </c>
      <c r="AB2093" s="10"/>
      <c r="AC2093" s="10"/>
      <c r="AD2093" s="10"/>
      <c r="AE2093" s="10"/>
      <c r="AF2093" s="10"/>
      <c r="AG2093" s="10"/>
      <c r="AH2093" s="10"/>
      <c r="AI2093" s="10"/>
    </row>
    <row r="2094" spans="1:35">
      <c r="A2094" s="10"/>
      <c r="B2094" s="10" t="str">
        <f t="shared" si="819"/>
        <v>Below the Line2nd Unit</v>
      </c>
      <c r="C2094" t="s">
        <v>20</v>
      </c>
      <c r="D2094" t="s">
        <v>19</v>
      </c>
      <c r="E2094" t="s">
        <v>1419</v>
      </c>
      <c r="G2094" t="s">
        <v>2985</v>
      </c>
      <c r="I2094" s="10"/>
      <c r="J2094" s="107">
        <f>SUMIF(Data!C:C,G2094,Data!Q:Q)</f>
        <v>8294</v>
      </c>
      <c r="K2094" s="107">
        <f>SUMIF(Comprometidos!A:A,'Cost Report'!G2094,Comprometidos!E:E)</f>
        <v>0</v>
      </c>
      <c r="L2094" s="107">
        <f t="shared" si="820"/>
        <v>8294</v>
      </c>
      <c r="M2094" s="107">
        <f t="shared" si="821"/>
        <v>0</v>
      </c>
      <c r="N2094" s="107">
        <f t="shared" si="822"/>
        <v>8294</v>
      </c>
      <c r="O2094" s="107">
        <f>VLOOKUP(G2094,Budget!$E$3:$G$2474,3,0)</f>
        <v>8294</v>
      </c>
      <c r="P2094" s="107">
        <f t="shared" si="823"/>
        <v>0</v>
      </c>
      <c r="Q2094" s="107"/>
      <c r="R2094" s="10"/>
      <c r="S2094" s="107">
        <v>8294</v>
      </c>
      <c r="T2094" s="107">
        <f t="shared" si="825"/>
        <v>0</v>
      </c>
      <c r="U2094" s="107"/>
      <c r="V2094" s="175"/>
      <c r="W2094" s="10"/>
      <c r="X2094" s="10"/>
      <c r="Y2094" t="str">
        <f t="shared" si="824"/>
        <v>3903</v>
      </c>
      <c r="AB2094" s="10"/>
      <c r="AC2094" s="10"/>
      <c r="AD2094" s="10"/>
      <c r="AE2094" s="10"/>
      <c r="AF2094" s="10"/>
      <c r="AG2094" s="10"/>
      <c r="AH2094" s="10"/>
      <c r="AI2094" s="10"/>
    </row>
    <row r="2095" spans="1:35">
      <c r="A2095" s="10"/>
      <c r="B2095" s="10" t="str">
        <f t="shared" si="819"/>
        <v>Below the Line2nd Unit</v>
      </c>
      <c r="C2095" t="s">
        <v>20</v>
      </c>
      <c r="D2095" t="s">
        <v>19</v>
      </c>
      <c r="E2095" t="s">
        <v>1419</v>
      </c>
      <c r="G2095" t="s">
        <v>2986</v>
      </c>
      <c r="I2095" s="10"/>
      <c r="J2095" s="107">
        <f>SUMIF(Data!C:C,G2095,Data!Q:Q)</f>
        <v>32024.98</v>
      </c>
      <c r="K2095" s="107">
        <f>SUMIF(Comprometidos!A:A,'Cost Report'!G2095,Comprometidos!E:E)</f>
        <v>0</v>
      </c>
      <c r="L2095" s="107">
        <f t="shared" si="820"/>
        <v>32024.98</v>
      </c>
      <c r="M2095" s="107">
        <v>0</v>
      </c>
      <c r="N2095" s="107">
        <f t="shared" si="822"/>
        <v>32024.98</v>
      </c>
      <c r="O2095" s="107">
        <f>VLOOKUP(G2095,Budget!$E$3:$G$2474,3,0)</f>
        <v>8294</v>
      </c>
      <c r="P2095" s="107">
        <f t="shared" si="823"/>
        <v>-23730.98</v>
      </c>
      <c r="Q2095" s="107"/>
      <c r="R2095" s="10"/>
      <c r="S2095" s="107">
        <v>32024.98</v>
      </c>
      <c r="T2095" s="107">
        <f t="shared" si="825"/>
        <v>0</v>
      </c>
      <c r="U2095" s="107"/>
      <c r="V2095" s="175"/>
      <c r="W2095" s="10"/>
      <c r="X2095" s="10"/>
      <c r="Y2095" t="str">
        <f t="shared" si="824"/>
        <v>3903</v>
      </c>
      <c r="AB2095" s="10"/>
      <c r="AC2095" s="10"/>
      <c r="AD2095" s="10"/>
      <c r="AE2095" s="10"/>
      <c r="AF2095" s="10"/>
      <c r="AG2095" s="10"/>
      <c r="AH2095" s="10"/>
      <c r="AI2095" s="10"/>
    </row>
    <row r="2096" spans="1:35">
      <c r="A2096" s="10"/>
      <c r="B2096" s="10" t="str">
        <f t="shared" si="819"/>
        <v>Below the Line</v>
      </c>
      <c r="C2096" t="s">
        <v>20</v>
      </c>
      <c r="D2096" t="s">
        <v>19</v>
      </c>
      <c r="E2096" t="s">
        <v>214</v>
      </c>
      <c r="G2096" t="s">
        <v>2987</v>
      </c>
      <c r="I2096" s="10"/>
      <c r="J2096" s="107">
        <f>SUMIF(Data!C:C,G2096,Data!Q:Q)</f>
        <v>0</v>
      </c>
      <c r="K2096" s="107">
        <f>SUMIF(Comprometidos!A:A,'Cost Report'!G2096,Comprometidos!E:E)</f>
        <v>0</v>
      </c>
      <c r="L2096" s="107">
        <f t="shared" si="820"/>
        <v>0</v>
      </c>
      <c r="M2096" s="107">
        <f t="shared" si="821"/>
        <v>0</v>
      </c>
      <c r="N2096" s="107">
        <f t="shared" si="822"/>
        <v>0</v>
      </c>
      <c r="O2096" s="107">
        <f>VLOOKUP(G2096,Budget!$E$3:$G$2474,3,0)</f>
        <v>0</v>
      </c>
      <c r="P2096" s="107">
        <f t="shared" si="823"/>
        <v>0</v>
      </c>
      <c r="Q2096" s="107"/>
      <c r="R2096" s="10"/>
      <c r="S2096" s="107">
        <v>0</v>
      </c>
      <c r="T2096" s="107">
        <f t="shared" si="825"/>
        <v>0</v>
      </c>
      <c r="U2096" s="107"/>
      <c r="V2096" s="175"/>
      <c r="W2096" s="10"/>
      <c r="X2096" s="10"/>
      <c r="Y2096" t="str">
        <f t="shared" si="824"/>
        <v>3903</v>
      </c>
      <c r="AB2096" s="10"/>
      <c r="AC2096" s="10"/>
      <c r="AD2096" s="10"/>
      <c r="AE2096" s="10"/>
      <c r="AF2096" s="10"/>
      <c r="AG2096" s="10"/>
      <c r="AH2096" s="10"/>
      <c r="AI2096" s="10"/>
    </row>
    <row r="2097" spans="1:35">
      <c r="A2097" s="10"/>
      <c r="B2097" s="10" t="str">
        <f t="shared" si="819"/>
        <v>Below the LineSHOOT</v>
      </c>
      <c r="C2097" t="s">
        <v>20</v>
      </c>
      <c r="D2097" t="s">
        <v>19</v>
      </c>
      <c r="E2097" t="s">
        <v>236</v>
      </c>
      <c r="G2097" t="s">
        <v>2988</v>
      </c>
      <c r="I2097" s="10"/>
      <c r="J2097" s="107">
        <f>SUMIF(Data!C:C,G2097,Data!Q:Q)</f>
        <v>16659.03</v>
      </c>
      <c r="K2097" s="107">
        <f>SUMIF(Comprometidos!A:A,'Cost Report'!G2097,Comprometidos!E:E)</f>
        <v>0</v>
      </c>
      <c r="L2097" s="107">
        <f t="shared" si="820"/>
        <v>16659.03</v>
      </c>
      <c r="M2097" s="107">
        <v>0</v>
      </c>
      <c r="N2097" s="107">
        <f t="shared" si="822"/>
        <v>16659.03</v>
      </c>
      <c r="O2097" s="107">
        <f>VLOOKUP(G2097,Budget!$E$3:$G$2474,3,0)</f>
        <v>42000</v>
      </c>
      <c r="P2097" s="107">
        <f t="shared" si="823"/>
        <v>25340.97</v>
      </c>
      <c r="Q2097" s="107"/>
      <c r="R2097" s="10"/>
      <c r="S2097" s="107">
        <v>16659.03</v>
      </c>
      <c r="T2097" s="107">
        <f t="shared" si="825"/>
        <v>0</v>
      </c>
      <c r="U2097" s="107"/>
      <c r="V2097" s="175"/>
      <c r="W2097" s="10"/>
      <c r="X2097" s="10"/>
      <c r="Y2097" t="str">
        <f t="shared" si="824"/>
        <v>3903</v>
      </c>
      <c r="AB2097" s="10"/>
      <c r="AC2097" s="10"/>
      <c r="AD2097" s="10"/>
      <c r="AE2097" s="10"/>
      <c r="AF2097" s="10"/>
      <c r="AG2097" s="10"/>
      <c r="AH2097" s="10"/>
      <c r="AI2097" s="10"/>
    </row>
    <row r="2098" spans="1:35">
      <c r="A2098" s="10"/>
      <c r="B2098" s="10" t="str">
        <f>+C2098</f>
        <v>Below the Line</v>
      </c>
      <c r="C2098" s="128" t="s">
        <v>20</v>
      </c>
      <c r="D2098" s="128" t="s">
        <v>2117</v>
      </c>
      <c r="E2098" s="128"/>
      <c r="F2098" s="128"/>
      <c r="G2098" s="128" t="s">
        <v>1179</v>
      </c>
      <c r="H2098" s="128"/>
      <c r="I2098" s="10"/>
      <c r="J2098" s="129">
        <f>SUMIF($Y$11:$Y$2484,G2098,J$11:J$2484)</f>
        <v>14286.462999999996</v>
      </c>
      <c r="K2098" s="129">
        <f>SUMIF($Y$11:$Y$2484,G2098,K$11:K$2484)</f>
        <v>0</v>
      </c>
      <c r="L2098" s="129">
        <f>SUMIF($Y$11:$Y$2484,G2098,L$11:L$2484)</f>
        <v>14286.462999999996</v>
      </c>
      <c r="M2098" s="129">
        <f>SUMIF($Y$11:$Y$2484,G2098,M$11:M$2484)</f>
        <v>0</v>
      </c>
      <c r="N2098" s="129">
        <f>SUMIF($Y$11:$Y$2484,G2098,N$11:N$2484)</f>
        <v>14286.462999999996</v>
      </c>
      <c r="O2098" s="129">
        <f>SUMIF($Y$11:$Y$2484,G2098,O$11:O$2484)</f>
        <v>10000</v>
      </c>
      <c r="P2098" s="129">
        <f>SUMIF($Y$11:$Y$2484,G2098,P$11:P$2484)</f>
        <v>-4286.4629999999961</v>
      </c>
      <c r="Q2098" s="129"/>
      <c r="R2098" s="10"/>
      <c r="S2098" s="129">
        <v>13862.169999999995</v>
      </c>
      <c r="T2098" s="129">
        <f t="shared" si="825"/>
        <v>-424.29300000000148</v>
      </c>
      <c r="U2098" s="128"/>
      <c r="V2098" s="175"/>
      <c r="W2098" s="10"/>
      <c r="X2098" s="10"/>
      <c r="Z2098" t="str">
        <f>LEFT(G2098,2)</f>
        <v>39</v>
      </c>
      <c r="AA2098" t="str">
        <f>+Z2098&amp;"00"</f>
        <v>3900</v>
      </c>
      <c r="AB2098" s="10"/>
      <c r="AC2098" s="10"/>
      <c r="AD2098" s="10"/>
      <c r="AE2098" s="10"/>
      <c r="AF2098" s="10"/>
      <c r="AG2098" s="10"/>
      <c r="AH2098" s="10"/>
      <c r="AI2098" s="10"/>
    </row>
    <row r="2099" spans="1:35">
      <c r="A2099" s="10"/>
      <c r="B2099" s="10" t="str">
        <f t="shared" ref="B2099:B2100" si="826">+C2099&amp;E2099</f>
        <v>Below the Line</v>
      </c>
      <c r="C2099" t="s">
        <v>20</v>
      </c>
      <c r="D2099" t="s">
        <v>19</v>
      </c>
      <c r="E2099" t="s">
        <v>214</v>
      </c>
      <c r="G2099" t="s">
        <v>1180</v>
      </c>
      <c r="I2099" s="10"/>
      <c r="J2099" s="107">
        <f>SUMIF(Data!C:C,G2099,Data!Q:Q)</f>
        <v>0</v>
      </c>
      <c r="K2099" s="107">
        <f>SUMIF(Comprometidos!A:A,'Cost Report'!G2099,Comprometidos!E:E)</f>
        <v>0</v>
      </c>
      <c r="L2099" s="107">
        <f t="shared" ref="L2099:L2100" si="827">+J2099+K2099</f>
        <v>0</v>
      </c>
      <c r="M2099" s="107">
        <f t="shared" ref="M2099" si="828">+O2099-L2099</f>
        <v>0</v>
      </c>
      <c r="N2099" s="107">
        <f t="shared" ref="N2099:N2100" si="829">+L2099+M2099</f>
        <v>0</v>
      </c>
      <c r="O2099" s="107">
        <f>VLOOKUP(G2099,Budget!$E$3:$G$2474,3,0)</f>
        <v>0</v>
      </c>
      <c r="P2099" s="107">
        <f t="shared" ref="P2099:P2100" si="830">+O2099-N2099</f>
        <v>0</v>
      </c>
      <c r="Q2099" s="107"/>
      <c r="R2099" s="10"/>
      <c r="S2099" s="107">
        <v>0</v>
      </c>
      <c r="T2099" s="107">
        <f t="shared" si="825"/>
        <v>0</v>
      </c>
      <c r="U2099" s="107"/>
      <c r="V2099" s="175"/>
      <c r="W2099" s="10"/>
      <c r="X2099" s="10"/>
      <c r="Y2099" t="str">
        <f t="shared" ref="Y2099:Y2100" si="831">LEFT(G2099,4)</f>
        <v>3904</v>
      </c>
      <c r="AB2099" s="10"/>
      <c r="AC2099" s="10"/>
      <c r="AD2099" s="10"/>
      <c r="AE2099" s="10"/>
      <c r="AF2099" s="10"/>
      <c r="AG2099" s="10"/>
      <c r="AH2099" s="10"/>
      <c r="AI2099" s="10"/>
    </row>
    <row r="2100" spans="1:35">
      <c r="A2100" s="10"/>
      <c r="B2100" s="10" t="str">
        <f t="shared" si="826"/>
        <v>Below the LineALL SHOW</v>
      </c>
      <c r="C2100" t="s">
        <v>20</v>
      </c>
      <c r="D2100" t="s">
        <v>19</v>
      </c>
      <c r="E2100" t="s">
        <v>227</v>
      </c>
      <c r="G2100" t="s">
        <v>1181</v>
      </c>
      <c r="I2100" s="10"/>
      <c r="J2100" s="107">
        <f>SUMIF(Data!C:C,G2100,Data!Q:Q)</f>
        <v>14286.462999999996</v>
      </c>
      <c r="K2100" s="107">
        <f>SUMIF(Comprometidos!A:A,'Cost Report'!G2100,Comprometidos!E:E)</f>
        <v>0</v>
      </c>
      <c r="L2100" s="107">
        <f t="shared" si="827"/>
        <v>14286.462999999996</v>
      </c>
      <c r="M2100" s="107">
        <v>0</v>
      </c>
      <c r="N2100" s="107">
        <f t="shared" si="829"/>
        <v>14286.462999999996</v>
      </c>
      <c r="O2100" s="107">
        <f>VLOOKUP(G2100,Budget!$E$3:$G$2474,3,0)</f>
        <v>10000</v>
      </c>
      <c r="P2100" s="107">
        <f t="shared" si="830"/>
        <v>-4286.4629999999961</v>
      </c>
      <c r="Q2100" s="107"/>
      <c r="R2100" s="10"/>
      <c r="S2100" s="107">
        <v>13862.169999999995</v>
      </c>
      <c r="T2100" s="107">
        <f t="shared" si="825"/>
        <v>-424.29300000000148</v>
      </c>
      <c r="U2100" s="107"/>
      <c r="V2100" s="175"/>
      <c r="W2100" s="10"/>
      <c r="X2100" s="10"/>
      <c r="Y2100" t="str">
        <f t="shared" si="831"/>
        <v>3904</v>
      </c>
      <c r="AB2100" s="10"/>
      <c r="AC2100" s="10"/>
      <c r="AD2100" s="10"/>
      <c r="AE2100" s="10"/>
      <c r="AF2100" s="10"/>
      <c r="AG2100" s="10"/>
      <c r="AH2100" s="10"/>
      <c r="AI2100" s="10"/>
    </row>
    <row r="2101" spans="1:35">
      <c r="A2101" s="10"/>
      <c r="B2101" s="10" t="str">
        <f>+C2101</f>
        <v>Below the Line</v>
      </c>
      <c r="C2101" s="128" t="s">
        <v>20</v>
      </c>
      <c r="D2101" s="128" t="s">
        <v>2117</v>
      </c>
      <c r="E2101" s="128"/>
      <c r="F2101" s="128"/>
      <c r="G2101" s="128" t="s">
        <v>2989</v>
      </c>
      <c r="H2101" s="128"/>
      <c r="I2101" s="10"/>
      <c r="J2101" s="129">
        <f>SUMIF($Y$11:$Y$2484,G2101,J$11:J$2484)</f>
        <v>127306.12</v>
      </c>
      <c r="K2101" s="129">
        <f>SUMIF($Y$11:$Y$2484,G2101,K$11:K$2484)</f>
        <v>0</v>
      </c>
      <c r="L2101" s="129">
        <f>SUMIF($Y$11:$Y$2484,G2101,L$11:L$2484)</f>
        <v>127306.12</v>
      </c>
      <c r="M2101" s="129">
        <f>SUMIF($Y$11:$Y$2484,G2101,M$11:M$2484)</f>
        <v>0</v>
      </c>
      <c r="N2101" s="129">
        <f>SUMIF($Y$11:$Y$2484,G2101,N$11:N$2484)</f>
        <v>127306.12</v>
      </c>
      <c r="O2101" s="129">
        <f>SUMIF($Y$11:$Y$2484,G2101,O$11:O$2484)</f>
        <v>225160</v>
      </c>
      <c r="P2101" s="129">
        <f>SUMIF($Y$11:$Y$2484,G2101,P$11:P$2484)</f>
        <v>97853.88</v>
      </c>
      <c r="Q2101" s="129"/>
      <c r="R2101" s="10"/>
      <c r="S2101" s="129">
        <v>127306.12</v>
      </c>
      <c r="T2101" s="129">
        <f t="shared" si="825"/>
        <v>0</v>
      </c>
      <c r="U2101" s="128"/>
      <c r="V2101" s="175"/>
      <c r="W2101" s="10"/>
      <c r="X2101" s="10"/>
      <c r="Z2101" t="str">
        <f>LEFT(G2101,2)</f>
        <v>39</v>
      </c>
      <c r="AA2101" t="str">
        <f>+Z2101&amp;"00"</f>
        <v>3900</v>
      </c>
      <c r="AB2101" s="10"/>
      <c r="AC2101" s="10"/>
      <c r="AD2101" s="10"/>
      <c r="AE2101" s="10"/>
      <c r="AF2101" s="10"/>
      <c r="AG2101" s="10"/>
      <c r="AH2101" s="10"/>
      <c r="AI2101" s="10"/>
    </row>
    <row r="2102" spans="1:35">
      <c r="A2102" s="10"/>
      <c r="B2102" s="10" t="str">
        <f t="shared" ref="B2102:B2113" si="832">+C2102&amp;E2102</f>
        <v>Below the Line</v>
      </c>
      <c r="C2102" t="s">
        <v>20</v>
      </c>
      <c r="D2102" t="s">
        <v>19</v>
      </c>
      <c r="E2102" t="s">
        <v>214</v>
      </c>
      <c r="G2102" t="s">
        <v>2990</v>
      </c>
      <c r="I2102" s="10"/>
      <c r="J2102" s="107">
        <f>SUMIF(Data!C:C,G2102,Data!Q:Q)</f>
        <v>0</v>
      </c>
      <c r="K2102" s="107">
        <f>SUMIF(Comprometidos!A:A,'Cost Report'!G2102,Comprometidos!E:E)</f>
        <v>0</v>
      </c>
      <c r="L2102" s="107">
        <f t="shared" ref="L2102:L2113" si="833">+J2102+K2102</f>
        <v>0</v>
      </c>
      <c r="M2102" s="107">
        <f t="shared" ref="M2102:M2111" si="834">+O2102-L2102</f>
        <v>0</v>
      </c>
      <c r="N2102" s="107">
        <f t="shared" ref="N2102:N2113" si="835">+L2102+M2102</f>
        <v>0</v>
      </c>
      <c r="O2102" s="107">
        <f>VLOOKUP(G2102,Budget!$E$3:$G$2474,3,0)</f>
        <v>0</v>
      </c>
      <c r="P2102" s="107">
        <f t="shared" ref="P2102:P2113" si="836">+O2102-N2102</f>
        <v>0</v>
      </c>
      <c r="Q2102" s="107"/>
      <c r="R2102" s="10"/>
      <c r="S2102" s="107">
        <v>0</v>
      </c>
      <c r="T2102" s="107">
        <f t="shared" si="825"/>
        <v>0</v>
      </c>
      <c r="U2102" s="107"/>
      <c r="V2102" s="175"/>
      <c r="W2102" s="10"/>
      <c r="X2102" s="10"/>
      <c r="Y2102" t="str">
        <f t="shared" ref="Y2102:Y2113" si="837">LEFT(G2102,4)</f>
        <v>3936</v>
      </c>
      <c r="AB2102" s="10"/>
      <c r="AC2102" s="10"/>
      <c r="AD2102" s="10"/>
      <c r="AE2102" s="10"/>
      <c r="AF2102" s="10"/>
      <c r="AG2102" s="10"/>
      <c r="AH2102" s="10"/>
      <c r="AI2102" s="10"/>
    </row>
    <row r="2103" spans="1:35">
      <c r="A2103" s="10"/>
      <c r="B2103" s="10" t="str">
        <f t="shared" si="832"/>
        <v>Below the LineALL SHOW</v>
      </c>
      <c r="C2103" t="s">
        <v>20</v>
      </c>
      <c r="D2103" t="s">
        <v>19</v>
      </c>
      <c r="E2103" t="s">
        <v>227</v>
      </c>
      <c r="F2103" t="s">
        <v>5116</v>
      </c>
      <c r="G2103" t="s">
        <v>2991</v>
      </c>
      <c r="I2103" s="10"/>
      <c r="J2103" s="107">
        <f>SUMIF(Data!C:C,G2103,Data!Q:Q)</f>
        <v>27452.919999999995</v>
      </c>
      <c r="K2103" s="107">
        <f>SUMIF(Comprometidos!A:A,'Cost Report'!G2103,Comprometidos!E:E)</f>
        <v>0</v>
      </c>
      <c r="L2103" s="107">
        <f t="shared" si="833"/>
        <v>27452.919999999995</v>
      </c>
      <c r="M2103" s="107">
        <v>0</v>
      </c>
      <c r="N2103" s="107">
        <f t="shared" si="835"/>
        <v>27452.919999999995</v>
      </c>
      <c r="O2103" s="107">
        <f>VLOOKUP(G2103,Budget!$E$3:$G$2474,3,0)</f>
        <v>63800</v>
      </c>
      <c r="P2103" s="107">
        <f t="shared" si="836"/>
        <v>36347.08</v>
      </c>
      <c r="Q2103" s="107"/>
      <c r="R2103" s="10"/>
      <c r="S2103" s="107">
        <v>27452.919999999995</v>
      </c>
      <c r="T2103" s="107">
        <f t="shared" si="825"/>
        <v>0</v>
      </c>
      <c r="U2103" s="107"/>
      <c r="V2103" s="175"/>
      <c r="W2103" s="10"/>
      <c r="X2103" s="10"/>
      <c r="Y2103" t="str">
        <f t="shared" si="837"/>
        <v>3936</v>
      </c>
      <c r="AB2103" s="10"/>
      <c r="AC2103" s="10"/>
      <c r="AD2103" s="10"/>
      <c r="AE2103" s="10"/>
      <c r="AF2103" s="10"/>
      <c r="AG2103" s="10"/>
      <c r="AH2103" s="10"/>
      <c r="AI2103" s="10"/>
    </row>
    <row r="2104" spans="1:35">
      <c r="A2104" s="10"/>
      <c r="B2104" s="10" t="str">
        <f t="shared" si="832"/>
        <v>Below the LineALL SHOW</v>
      </c>
      <c r="C2104" t="s">
        <v>20</v>
      </c>
      <c r="D2104" t="s">
        <v>19</v>
      </c>
      <c r="E2104" t="s">
        <v>227</v>
      </c>
      <c r="F2104" t="s">
        <v>5116</v>
      </c>
      <c r="G2104" t="s">
        <v>2992</v>
      </c>
      <c r="I2104" s="10"/>
      <c r="J2104" s="107">
        <f>SUMIF(Data!C:C,G2104,Data!Q:Q)</f>
        <v>64379.24</v>
      </c>
      <c r="K2104" s="107">
        <f>SUMIF(Comprometidos!A:A,'Cost Report'!G2104,Comprometidos!E:E)</f>
        <v>0</v>
      </c>
      <c r="L2104" s="107">
        <f t="shared" si="833"/>
        <v>64379.24</v>
      </c>
      <c r="M2104" s="107">
        <v>0</v>
      </c>
      <c r="N2104" s="107">
        <f t="shared" si="835"/>
        <v>64379.24</v>
      </c>
      <c r="O2104" s="107">
        <f>VLOOKUP(G2104,Budget!$E$3:$G$2474,3,0)</f>
        <v>63800</v>
      </c>
      <c r="P2104" s="107">
        <f t="shared" si="836"/>
        <v>-579.23999999999796</v>
      </c>
      <c r="Q2104" s="107"/>
      <c r="R2104" s="10"/>
      <c r="S2104" s="107">
        <v>64379.24</v>
      </c>
      <c r="T2104" s="107">
        <f t="shared" si="825"/>
        <v>0</v>
      </c>
      <c r="U2104" s="107"/>
      <c r="V2104" s="175"/>
      <c r="W2104" s="10"/>
      <c r="X2104" s="10"/>
      <c r="Y2104" t="str">
        <f t="shared" si="837"/>
        <v>3936</v>
      </c>
      <c r="AB2104" s="10"/>
      <c r="AC2104" s="10"/>
      <c r="AD2104" s="10"/>
      <c r="AE2104" s="10"/>
      <c r="AF2104" s="10"/>
      <c r="AG2104" s="10"/>
      <c r="AH2104" s="10"/>
      <c r="AI2104" s="10"/>
    </row>
    <row r="2105" spans="1:35">
      <c r="A2105" s="10"/>
      <c r="B2105" s="10" t="str">
        <f t="shared" si="832"/>
        <v>Below the Line</v>
      </c>
      <c r="C2105" t="s">
        <v>20</v>
      </c>
      <c r="D2105" t="s">
        <v>19</v>
      </c>
      <c r="E2105" t="s">
        <v>214</v>
      </c>
      <c r="G2105" t="s">
        <v>2993</v>
      </c>
      <c r="I2105" s="10"/>
      <c r="J2105" s="107">
        <f>SUMIF(Data!C:C,G2105,Data!Q:Q)</f>
        <v>0</v>
      </c>
      <c r="K2105" s="107">
        <f>SUMIF(Comprometidos!A:A,'Cost Report'!G2105,Comprometidos!E:E)</f>
        <v>0</v>
      </c>
      <c r="L2105" s="107">
        <f t="shared" si="833"/>
        <v>0</v>
      </c>
      <c r="M2105" s="107">
        <f t="shared" si="834"/>
        <v>0</v>
      </c>
      <c r="N2105" s="107">
        <f t="shared" si="835"/>
        <v>0</v>
      </c>
      <c r="O2105" s="107">
        <f>VLOOKUP(G2105,Budget!$E$3:$G$2474,3,0)</f>
        <v>0</v>
      </c>
      <c r="P2105" s="107">
        <f t="shared" si="836"/>
        <v>0</v>
      </c>
      <c r="Q2105" s="107"/>
      <c r="R2105" s="10"/>
      <c r="S2105" s="107">
        <v>0</v>
      </c>
      <c r="T2105" s="107">
        <f t="shared" si="825"/>
        <v>0</v>
      </c>
      <c r="U2105" s="107"/>
      <c r="V2105" s="175"/>
      <c r="W2105" s="10"/>
      <c r="X2105" s="10"/>
      <c r="Y2105" t="str">
        <f t="shared" si="837"/>
        <v>3936</v>
      </c>
      <c r="AB2105" s="10"/>
      <c r="AC2105" s="10"/>
      <c r="AD2105" s="10"/>
      <c r="AE2105" s="10"/>
      <c r="AF2105" s="10"/>
      <c r="AG2105" s="10"/>
      <c r="AH2105" s="10"/>
      <c r="AI2105" s="10"/>
    </row>
    <row r="2106" spans="1:35">
      <c r="A2106" s="10"/>
      <c r="B2106" s="10" t="str">
        <f t="shared" si="832"/>
        <v>Below the Line2nd Unit</v>
      </c>
      <c r="C2106" t="s">
        <v>20</v>
      </c>
      <c r="D2106" t="s">
        <v>19</v>
      </c>
      <c r="E2106" t="s">
        <v>1419</v>
      </c>
      <c r="F2106" t="s">
        <v>5116</v>
      </c>
      <c r="G2106" t="s">
        <v>2994</v>
      </c>
      <c r="I2106" s="10"/>
      <c r="J2106" s="107">
        <f>SUMIF(Data!C:C,G2106,Data!Q:Q)</f>
        <v>20832.89</v>
      </c>
      <c r="K2106" s="107">
        <f>SUMIF(Comprometidos!A:A,'Cost Report'!G2106,Comprometidos!E:E)</f>
        <v>0</v>
      </c>
      <c r="L2106" s="107">
        <f t="shared" si="833"/>
        <v>20832.89</v>
      </c>
      <c r="M2106" s="107">
        <v>0</v>
      </c>
      <c r="N2106" s="107">
        <f t="shared" si="835"/>
        <v>20832.89</v>
      </c>
      <c r="O2106" s="107">
        <f>VLOOKUP(G2106,Budget!$E$3:$G$2474,3,0)</f>
        <v>33000</v>
      </c>
      <c r="P2106" s="107">
        <f t="shared" si="836"/>
        <v>12167.11</v>
      </c>
      <c r="Q2106" s="107"/>
      <c r="R2106" s="10"/>
      <c r="S2106" s="107">
        <v>20832.89</v>
      </c>
      <c r="T2106" s="107">
        <f t="shared" si="825"/>
        <v>0</v>
      </c>
      <c r="U2106" s="107"/>
      <c r="V2106" s="175"/>
      <c r="W2106" s="10"/>
      <c r="X2106" s="10"/>
      <c r="Y2106" t="str">
        <f t="shared" si="837"/>
        <v>3936</v>
      </c>
      <c r="AB2106" s="10"/>
      <c r="AC2106" s="10"/>
      <c r="AD2106" s="10"/>
      <c r="AE2106" s="10"/>
      <c r="AF2106" s="10"/>
      <c r="AG2106" s="10"/>
      <c r="AH2106" s="10"/>
      <c r="AI2106" s="10"/>
    </row>
    <row r="2107" spans="1:35">
      <c r="A2107" s="10"/>
      <c r="B2107" s="10" t="str">
        <f t="shared" si="832"/>
        <v>Below the Line2nd Unit</v>
      </c>
      <c r="C2107" t="s">
        <v>20</v>
      </c>
      <c r="D2107" t="s">
        <v>19</v>
      </c>
      <c r="E2107" t="s">
        <v>1419</v>
      </c>
      <c r="F2107" t="s">
        <v>5116</v>
      </c>
      <c r="G2107" t="s">
        <v>2995</v>
      </c>
      <c r="I2107" s="10"/>
      <c r="J2107" s="107">
        <f>SUMIF(Data!C:C,G2107,Data!Q:Q)</f>
        <v>14641.07</v>
      </c>
      <c r="K2107" s="107">
        <f>SUMIF(Comprometidos!A:A,'Cost Report'!G2107,Comprometidos!E:E)</f>
        <v>0</v>
      </c>
      <c r="L2107" s="107">
        <f t="shared" si="833"/>
        <v>14641.07</v>
      </c>
      <c r="M2107" s="107">
        <v>0</v>
      </c>
      <c r="N2107" s="107">
        <f t="shared" si="835"/>
        <v>14641.07</v>
      </c>
      <c r="O2107" s="107">
        <f>VLOOKUP(G2107,Budget!$E$3:$G$2474,3,0)</f>
        <v>33000</v>
      </c>
      <c r="P2107" s="107">
        <f t="shared" si="836"/>
        <v>18358.93</v>
      </c>
      <c r="Q2107" s="107"/>
      <c r="R2107" s="10"/>
      <c r="S2107" s="107">
        <v>14641.07</v>
      </c>
      <c r="T2107" s="107">
        <f t="shared" si="825"/>
        <v>0</v>
      </c>
      <c r="U2107" s="107"/>
      <c r="V2107" s="175"/>
      <c r="W2107" s="10"/>
      <c r="X2107" s="10"/>
      <c r="Y2107" t="str">
        <f t="shared" si="837"/>
        <v>3936</v>
      </c>
      <c r="AB2107" s="10"/>
      <c r="AC2107" s="10"/>
      <c r="AD2107" s="10"/>
      <c r="AE2107" s="10"/>
      <c r="AF2107" s="10"/>
      <c r="AG2107" s="10"/>
      <c r="AH2107" s="10"/>
      <c r="AI2107" s="10"/>
    </row>
    <row r="2108" spans="1:35">
      <c r="A2108" s="10"/>
      <c r="B2108" s="10" t="str">
        <f t="shared" si="832"/>
        <v>Below the Line</v>
      </c>
      <c r="C2108" t="s">
        <v>20</v>
      </c>
      <c r="D2108" t="s">
        <v>19</v>
      </c>
      <c r="E2108" t="s">
        <v>214</v>
      </c>
      <c r="G2108" t="s">
        <v>2996</v>
      </c>
      <c r="I2108" s="10"/>
      <c r="J2108" s="107">
        <f>SUMIF(Data!C:C,G2108,Data!Q:Q)</f>
        <v>0</v>
      </c>
      <c r="K2108" s="107">
        <f>SUMIF(Comprometidos!A:A,'Cost Report'!G2108,Comprometidos!E:E)</f>
        <v>0</v>
      </c>
      <c r="L2108" s="107">
        <f t="shared" si="833"/>
        <v>0</v>
      </c>
      <c r="M2108" s="107">
        <f t="shared" si="834"/>
        <v>0</v>
      </c>
      <c r="N2108" s="107">
        <f t="shared" si="835"/>
        <v>0</v>
      </c>
      <c r="O2108" s="107">
        <f>VLOOKUP(G2108,Budget!$E$3:$G$2474,3,0)</f>
        <v>0</v>
      </c>
      <c r="P2108" s="107">
        <f t="shared" si="836"/>
        <v>0</v>
      </c>
      <c r="Q2108" s="107"/>
      <c r="R2108" s="10"/>
      <c r="S2108" s="107">
        <v>0</v>
      </c>
      <c r="T2108" s="107">
        <f t="shared" si="825"/>
        <v>0</v>
      </c>
      <c r="U2108" s="107"/>
      <c r="V2108" s="175"/>
      <c r="W2108" s="10"/>
      <c r="X2108" s="10"/>
      <c r="Y2108" t="str">
        <f t="shared" si="837"/>
        <v>3936</v>
      </c>
      <c r="AB2108" s="10"/>
      <c r="AC2108" s="10"/>
      <c r="AD2108" s="10"/>
      <c r="AE2108" s="10"/>
      <c r="AF2108" s="10"/>
      <c r="AG2108" s="10"/>
      <c r="AH2108" s="10"/>
      <c r="AI2108" s="10"/>
    </row>
    <row r="2109" spans="1:35">
      <c r="A2109" s="10"/>
      <c r="B2109" s="10" t="str">
        <f t="shared" si="832"/>
        <v>Below the LineALL SHOW</v>
      </c>
      <c r="C2109" t="s">
        <v>20</v>
      </c>
      <c r="D2109" t="s">
        <v>19</v>
      </c>
      <c r="E2109" t="s">
        <v>227</v>
      </c>
      <c r="G2109" t="s">
        <v>2997</v>
      </c>
      <c r="I2109" s="10"/>
      <c r="J2109" s="107">
        <f>SUMIF(Data!C:C,G2109,Data!Q:Q)</f>
        <v>0</v>
      </c>
      <c r="K2109" s="107">
        <f>SUMIF(Comprometidos!A:A,'Cost Report'!G2109,Comprometidos!E:E)</f>
        <v>0</v>
      </c>
      <c r="L2109" s="107">
        <f t="shared" si="833"/>
        <v>0</v>
      </c>
      <c r="M2109" s="107">
        <v>0</v>
      </c>
      <c r="N2109" s="107">
        <f t="shared" si="835"/>
        <v>0</v>
      </c>
      <c r="O2109" s="107">
        <f>VLOOKUP(G2109,Budget!$E$3:$G$2474,3,0)</f>
        <v>9468</v>
      </c>
      <c r="P2109" s="107">
        <f t="shared" si="836"/>
        <v>9468</v>
      </c>
      <c r="Q2109" s="107"/>
      <c r="R2109" s="10"/>
      <c r="S2109" s="107">
        <v>0</v>
      </c>
      <c r="T2109" s="107">
        <f t="shared" si="825"/>
        <v>0</v>
      </c>
      <c r="U2109" s="107"/>
      <c r="V2109" s="175"/>
      <c r="W2109" s="10"/>
      <c r="X2109" s="10"/>
      <c r="Y2109" t="str">
        <f t="shared" si="837"/>
        <v>3936</v>
      </c>
      <c r="AB2109" s="10"/>
      <c r="AC2109" s="10"/>
      <c r="AD2109" s="10"/>
      <c r="AE2109" s="10"/>
      <c r="AF2109" s="10"/>
      <c r="AG2109" s="10"/>
      <c r="AH2109" s="10"/>
      <c r="AI2109" s="10"/>
    </row>
    <row r="2110" spans="1:35">
      <c r="A2110" s="10"/>
      <c r="B2110" s="10" t="str">
        <f t="shared" si="832"/>
        <v>Below the LineALL SHOW</v>
      </c>
      <c r="C2110" t="s">
        <v>20</v>
      </c>
      <c r="D2110" t="s">
        <v>19</v>
      </c>
      <c r="E2110" t="s">
        <v>227</v>
      </c>
      <c r="G2110" t="s">
        <v>2998</v>
      </c>
      <c r="I2110" s="10"/>
      <c r="J2110" s="107">
        <f>SUMIF(Data!C:C,G2110,Data!Q:Q)</f>
        <v>0</v>
      </c>
      <c r="K2110" s="107">
        <f>SUMIF(Comprometidos!A:A,'Cost Report'!G2110,Comprometidos!E:E)</f>
        <v>0</v>
      </c>
      <c r="L2110" s="107">
        <f t="shared" si="833"/>
        <v>0</v>
      </c>
      <c r="M2110" s="107">
        <v>0</v>
      </c>
      <c r="N2110" s="107">
        <f t="shared" si="835"/>
        <v>0</v>
      </c>
      <c r="O2110" s="107">
        <f>VLOOKUP(G2110,Budget!$E$3:$G$2474,3,0)</f>
        <v>9468</v>
      </c>
      <c r="P2110" s="107">
        <f t="shared" si="836"/>
        <v>9468</v>
      </c>
      <c r="Q2110" s="107"/>
      <c r="R2110" s="10"/>
      <c r="S2110" s="107">
        <v>0</v>
      </c>
      <c r="T2110" s="107">
        <f t="shared" si="825"/>
        <v>0</v>
      </c>
      <c r="U2110" s="107"/>
      <c r="V2110" s="175"/>
      <c r="W2110" s="10"/>
      <c r="X2110" s="10"/>
      <c r="Y2110" t="str">
        <f t="shared" si="837"/>
        <v>3936</v>
      </c>
      <c r="AB2110" s="10"/>
      <c r="AC2110" s="10"/>
      <c r="AD2110" s="10"/>
      <c r="AE2110" s="10"/>
      <c r="AF2110" s="10"/>
      <c r="AG2110" s="10"/>
      <c r="AH2110" s="10"/>
      <c r="AI2110" s="10"/>
    </row>
    <row r="2111" spans="1:35">
      <c r="A2111" s="10"/>
      <c r="B2111" s="10" t="str">
        <f t="shared" si="832"/>
        <v>Below the Line</v>
      </c>
      <c r="C2111" t="s">
        <v>20</v>
      </c>
      <c r="D2111" t="s">
        <v>19</v>
      </c>
      <c r="E2111" t="s">
        <v>214</v>
      </c>
      <c r="G2111" t="s">
        <v>2999</v>
      </c>
      <c r="I2111" s="10"/>
      <c r="J2111" s="107">
        <f>SUMIF(Data!C:C,G2111,Data!Q:Q)</f>
        <v>0</v>
      </c>
      <c r="K2111" s="107">
        <f>SUMIF(Comprometidos!A:A,'Cost Report'!G2111,Comprometidos!E:E)</f>
        <v>0</v>
      </c>
      <c r="L2111" s="107">
        <f t="shared" si="833"/>
        <v>0</v>
      </c>
      <c r="M2111" s="107">
        <f t="shared" si="834"/>
        <v>0</v>
      </c>
      <c r="N2111" s="107">
        <f t="shared" si="835"/>
        <v>0</v>
      </c>
      <c r="O2111" s="107">
        <f>VLOOKUP(G2111,Budget!$E$3:$G$2474,3,0)</f>
        <v>0</v>
      </c>
      <c r="P2111" s="107">
        <f t="shared" si="836"/>
        <v>0</v>
      </c>
      <c r="Q2111" s="107"/>
      <c r="R2111" s="10"/>
      <c r="S2111" s="107">
        <v>0</v>
      </c>
      <c r="T2111" s="107">
        <f t="shared" si="825"/>
        <v>0</v>
      </c>
      <c r="U2111" s="107"/>
      <c r="V2111" s="175"/>
      <c r="W2111" s="10"/>
      <c r="X2111" s="10"/>
      <c r="Y2111" t="str">
        <f t="shared" si="837"/>
        <v>3936</v>
      </c>
      <c r="AB2111" s="10"/>
      <c r="AC2111" s="10"/>
      <c r="AD2111" s="10"/>
      <c r="AE2111" s="10"/>
      <c r="AF2111" s="10"/>
      <c r="AG2111" s="10"/>
      <c r="AH2111" s="10"/>
      <c r="AI2111" s="10"/>
    </row>
    <row r="2112" spans="1:35">
      <c r="A2112" s="10"/>
      <c r="B2112" s="10" t="str">
        <f t="shared" si="832"/>
        <v>Below the Line2nd Unit</v>
      </c>
      <c r="C2112" t="s">
        <v>20</v>
      </c>
      <c r="D2112" t="s">
        <v>19</v>
      </c>
      <c r="E2112" t="s">
        <v>1419</v>
      </c>
      <c r="G2112" t="s">
        <v>3000</v>
      </c>
      <c r="I2112" s="10"/>
      <c r="J2112" s="107">
        <f>SUMIF(Data!C:C,G2112,Data!Q:Q)</f>
        <v>0</v>
      </c>
      <c r="K2112" s="107">
        <f>SUMIF(Comprometidos!A:A,'Cost Report'!G2112,Comprometidos!E:E)</f>
        <v>0</v>
      </c>
      <c r="L2112" s="107">
        <f t="shared" si="833"/>
        <v>0</v>
      </c>
      <c r="M2112" s="107">
        <v>0</v>
      </c>
      <c r="N2112" s="107">
        <f t="shared" si="835"/>
        <v>0</v>
      </c>
      <c r="O2112" s="107">
        <f>VLOOKUP(G2112,Budget!$E$3:$G$2474,3,0)</f>
        <v>6312</v>
      </c>
      <c r="P2112" s="107">
        <f t="shared" si="836"/>
        <v>6312</v>
      </c>
      <c r="Q2112" s="107"/>
      <c r="R2112" s="10"/>
      <c r="S2112" s="107">
        <v>0</v>
      </c>
      <c r="T2112" s="107">
        <f t="shared" si="825"/>
        <v>0</v>
      </c>
      <c r="U2112" s="107"/>
      <c r="V2112" s="175"/>
      <c r="W2112" s="10"/>
      <c r="X2112" s="10"/>
      <c r="Y2112" t="str">
        <f t="shared" si="837"/>
        <v>3936</v>
      </c>
      <c r="AB2112" s="10"/>
      <c r="AC2112" s="10"/>
      <c r="AD2112" s="10"/>
      <c r="AE2112" s="10"/>
      <c r="AF2112" s="10"/>
      <c r="AG2112" s="10"/>
      <c r="AH2112" s="10"/>
      <c r="AI2112" s="10"/>
    </row>
    <row r="2113" spans="1:35">
      <c r="A2113" s="10"/>
      <c r="B2113" s="10" t="str">
        <f t="shared" si="832"/>
        <v>Below the Line2nd Unit</v>
      </c>
      <c r="C2113" t="s">
        <v>20</v>
      </c>
      <c r="D2113" t="s">
        <v>19</v>
      </c>
      <c r="E2113" t="s">
        <v>1419</v>
      </c>
      <c r="G2113" t="s">
        <v>3001</v>
      </c>
      <c r="I2113" s="10"/>
      <c r="J2113" s="107">
        <f>SUMIF(Data!C:C,G2113,Data!Q:Q)</f>
        <v>0</v>
      </c>
      <c r="K2113" s="107">
        <f>SUMIF(Comprometidos!A:A,'Cost Report'!G2113,Comprometidos!E:E)</f>
        <v>0</v>
      </c>
      <c r="L2113" s="107">
        <f t="shared" si="833"/>
        <v>0</v>
      </c>
      <c r="M2113" s="107">
        <v>0</v>
      </c>
      <c r="N2113" s="107">
        <f t="shared" si="835"/>
        <v>0</v>
      </c>
      <c r="O2113" s="107">
        <f>VLOOKUP(G2113,Budget!$E$3:$G$2474,3,0)</f>
        <v>6312</v>
      </c>
      <c r="P2113" s="107">
        <f t="shared" si="836"/>
        <v>6312</v>
      </c>
      <c r="Q2113" s="107"/>
      <c r="R2113" s="10"/>
      <c r="S2113" s="107">
        <v>0</v>
      </c>
      <c r="T2113" s="107">
        <f t="shared" si="825"/>
        <v>0</v>
      </c>
      <c r="U2113" s="107"/>
      <c r="V2113" s="175"/>
      <c r="W2113" s="10"/>
      <c r="X2113" s="10"/>
      <c r="Y2113" t="str">
        <f t="shared" si="837"/>
        <v>3936</v>
      </c>
      <c r="AB2113" s="10"/>
      <c r="AC2113" s="10"/>
      <c r="AD2113" s="10"/>
      <c r="AE2113" s="10"/>
      <c r="AF2113" s="10"/>
      <c r="AG2113" s="10"/>
      <c r="AH2113" s="10"/>
      <c r="AI2113" s="10"/>
    </row>
    <row r="2114" spans="1:35">
      <c r="A2114" s="10"/>
      <c r="B2114" s="10" t="str">
        <f>+C2114</f>
        <v>Below the Line</v>
      </c>
      <c r="C2114" s="128" t="s">
        <v>20</v>
      </c>
      <c r="D2114" s="128" t="s">
        <v>2117</v>
      </c>
      <c r="E2114" s="128"/>
      <c r="F2114" s="128"/>
      <c r="G2114" s="128" t="s">
        <v>1182</v>
      </c>
      <c r="H2114" s="128"/>
      <c r="I2114" s="10"/>
      <c r="J2114" s="129">
        <f>SUMIF($Y$11:$Y$2484,G2114,J$11:J$2484)</f>
        <v>46420.74</v>
      </c>
      <c r="K2114" s="129">
        <f>SUMIF($Y$11:$Y$2484,G2114,K$11:K$2484)</f>
        <v>0</v>
      </c>
      <c r="L2114" s="129">
        <f>SUMIF($Y$11:$Y$2484,G2114,L$11:L$2484)</f>
        <v>46420.74</v>
      </c>
      <c r="M2114" s="129">
        <f>SUMIF($Y$11:$Y$2484,G2114,M$11:M$2484)</f>
        <v>0</v>
      </c>
      <c r="N2114" s="129">
        <f>SUMIF($Y$11:$Y$2484,G2114,N$11:N$2484)</f>
        <v>46420.74</v>
      </c>
      <c r="O2114" s="129">
        <f>SUMIF($Y$11:$Y$2484,G2114,O$11:O$2484)</f>
        <v>120931.84999999999</v>
      </c>
      <c r="P2114" s="129">
        <f>SUMIF($Y$11:$Y$2484,G2114,P$11:P$2484)</f>
        <v>74511.109999999986</v>
      </c>
      <c r="Q2114" s="129"/>
      <c r="R2114" s="10"/>
      <c r="S2114" s="129">
        <v>46420.74</v>
      </c>
      <c r="T2114" s="129">
        <f t="shared" si="825"/>
        <v>0</v>
      </c>
      <c r="U2114" s="128"/>
      <c r="V2114" s="175"/>
      <c r="W2114" s="10"/>
      <c r="X2114" s="10"/>
      <c r="Z2114" t="str">
        <f>LEFT(G2114,2)</f>
        <v>39</v>
      </c>
      <c r="AA2114" t="str">
        <f>+Z2114&amp;"00"</f>
        <v>3900</v>
      </c>
      <c r="AB2114" s="10"/>
      <c r="AC2114" s="10"/>
      <c r="AD2114" s="10"/>
      <c r="AE2114" s="10"/>
      <c r="AF2114" s="10"/>
      <c r="AG2114" s="10"/>
      <c r="AH2114" s="10"/>
      <c r="AI2114" s="10"/>
    </row>
    <row r="2115" spans="1:35">
      <c r="A2115" s="10"/>
      <c r="B2115" s="10" t="str">
        <f>+C2115&amp;E2115</f>
        <v>Below the LineFringes</v>
      </c>
      <c r="C2115" t="s">
        <v>20</v>
      </c>
      <c r="D2115" t="s">
        <v>19</v>
      </c>
      <c r="E2115" t="s">
        <v>1898</v>
      </c>
      <c r="G2115" t="s">
        <v>1417</v>
      </c>
      <c r="I2115" s="10"/>
      <c r="J2115" s="107">
        <f>SUMIF(Data!C:C,G2115,Data!Q:Q)</f>
        <v>46420.74</v>
      </c>
      <c r="K2115" s="107">
        <f>SUMIF(Comprometidos!A:A,'Cost Report'!G2115,Comprometidos!E:E)</f>
        <v>0</v>
      </c>
      <c r="L2115" s="107">
        <f>+J2115+K2115</f>
        <v>46420.74</v>
      </c>
      <c r="M2115" s="107">
        <v>0</v>
      </c>
      <c r="N2115" s="107">
        <f>+L2115+M2115</f>
        <v>46420.74</v>
      </c>
      <c r="O2115" s="107">
        <f>VLOOKUP(G2115,Budget!$E$3:$G$2474,3,0)</f>
        <v>120931.84999999999</v>
      </c>
      <c r="P2115" s="107">
        <f t="shared" ref="P2115" si="838">+O2115-N2115</f>
        <v>74511.109999999986</v>
      </c>
      <c r="Q2115" s="107"/>
      <c r="R2115" s="10"/>
      <c r="S2115" s="107">
        <v>46420.74</v>
      </c>
      <c r="T2115" s="107">
        <f t="shared" si="825"/>
        <v>0</v>
      </c>
      <c r="U2115" s="107"/>
      <c r="V2115" s="175"/>
      <c r="W2115" s="10"/>
      <c r="X2115" s="10"/>
      <c r="Y2115" t="str">
        <f>LEFT(G2115,4)</f>
        <v>3999</v>
      </c>
      <c r="AB2115" s="10"/>
      <c r="AC2115" s="10"/>
      <c r="AD2115" s="10"/>
      <c r="AE2115" s="10"/>
      <c r="AF2115" s="10"/>
      <c r="AG2115" s="10"/>
      <c r="AH2115" s="10"/>
      <c r="AI2115" s="10"/>
    </row>
    <row r="2116" spans="1:35">
      <c r="A2116" s="10"/>
      <c r="B2116" s="10"/>
      <c r="C2116" s="170" t="s">
        <v>20</v>
      </c>
      <c r="D2116" s="170" t="s">
        <v>8</v>
      </c>
      <c r="E2116" s="170"/>
      <c r="F2116" s="170"/>
      <c r="G2116" s="170" t="s">
        <v>1183</v>
      </c>
      <c r="H2116" s="170"/>
      <c r="I2116" s="10"/>
      <c r="J2116" s="169">
        <f>SUMIF($AA$10:$AA$2484,G2116,J$10:J$2484)</f>
        <v>1461546.5610000002</v>
      </c>
      <c r="K2116" s="169">
        <f>SUMIF($AA$10:$AA$2484,G2116,K$10:K$2484)</f>
        <v>0</v>
      </c>
      <c r="L2116" s="169">
        <f>SUMIF($AA$10:$AA$2484,G2116,L$10:L$2484)</f>
        <v>1461546.5610000002</v>
      </c>
      <c r="M2116" s="169">
        <f>SUMIF($AA$10:$AA$2484,G2116,M$10:M$2484)</f>
        <v>0</v>
      </c>
      <c r="N2116" s="169">
        <f>SUMIF($AA$10:$AA$2484,G2116,N$10:N$2484)</f>
        <v>1461546.5610000002</v>
      </c>
      <c r="O2116" s="169">
        <f>SUMIF($AA$10:$AA$2484,G2116,O$10:O$2484)</f>
        <v>1451938.3</v>
      </c>
      <c r="P2116" s="168">
        <f>SUMIF($AA$10:$AA$2484,G2116,P$10:P$2484)</f>
        <v>-9608.2610000001732</v>
      </c>
      <c r="Q2116" s="169"/>
      <c r="R2116" s="10"/>
      <c r="S2116" s="164">
        <v>1460157.69</v>
      </c>
      <c r="T2116" s="164">
        <f t="shared" si="825"/>
        <v>-1388.8710000002757</v>
      </c>
      <c r="U2116" s="163"/>
      <c r="V2116" s="175"/>
      <c r="W2116" s="10"/>
      <c r="X2116" s="10"/>
      <c r="AB2116" s="10"/>
      <c r="AC2116" s="10"/>
      <c r="AD2116" s="10"/>
      <c r="AE2116" s="10"/>
      <c r="AF2116" s="10"/>
      <c r="AG2116" s="10"/>
      <c r="AH2116" s="10"/>
      <c r="AI2116" s="10"/>
    </row>
    <row r="2117" spans="1:35">
      <c r="A2117" s="10"/>
      <c r="B2117" s="10" t="str">
        <f>+C2117</f>
        <v>Below the Line</v>
      </c>
      <c r="C2117" s="128" t="s">
        <v>20</v>
      </c>
      <c r="D2117" s="128" t="s">
        <v>2117</v>
      </c>
      <c r="E2117" s="128"/>
      <c r="F2117" s="128"/>
      <c r="G2117" s="128" t="s">
        <v>1879</v>
      </c>
      <c r="H2117" s="128"/>
      <c r="I2117" s="10"/>
      <c r="J2117" s="129">
        <f>SUMIF($Y$11:$Y$2484,G2117,J$11:J$2484)</f>
        <v>1461546.5610000002</v>
      </c>
      <c r="K2117" s="129">
        <f>SUMIF($Y$11:$Y$2484,G2117,K$11:K$2484)</f>
        <v>0</v>
      </c>
      <c r="L2117" s="129">
        <f>SUMIF($Y$11:$Y$2484,G2117,L$11:L$2484)</f>
        <v>1461546.5610000002</v>
      </c>
      <c r="M2117" s="129">
        <f>SUMIF($Y$11:$Y$2484,G2117,M$11:M$2484)</f>
        <v>0</v>
      </c>
      <c r="N2117" s="129">
        <f>SUMIF($Y$11:$Y$2484,G2117,N$11:N$2484)</f>
        <v>1461546.5610000002</v>
      </c>
      <c r="O2117" s="129">
        <f>SUMIF($Y$11:$Y$2484,G2117,O$11:O$2484)</f>
        <v>1451938.3</v>
      </c>
      <c r="P2117" s="129">
        <f>SUMIF($Y$11:$Y$2484,G2117,P$11:P$2484)</f>
        <v>-9608.2610000001732</v>
      </c>
      <c r="Q2117" s="129"/>
      <c r="R2117" s="10"/>
      <c r="S2117" s="129">
        <v>1460157.69</v>
      </c>
      <c r="T2117" s="129">
        <f t="shared" si="825"/>
        <v>-1388.8710000002757</v>
      </c>
      <c r="U2117" s="128"/>
      <c r="V2117" s="175"/>
      <c r="W2117" s="10"/>
      <c r="X2117" s="10"/>
      <c r="Z2117" t="str">
        <f>LEFT(G2117,2)</f>
        <v>41</v>
      </c>
      <c r="AA2117" t="str">
        <f>+Z2117&amp;"00"</f>
        <v>4100</v>
      </c>
      <c r="AB2117" s="10"/>
      <c r="AC2117" s="10"/>
      <c r="AD2117" s="10"/>
      <c r="AE2117" s="10"/>
      <c r="AF2117" s="10"/>
      <c r="AG2117" s="10"/>
      <c r="AH2117" s="10"/>
      <c r="AI2117" s="10"/>
    </row>
    <row r="2118" spans="1:35">
      <c r="A2118" s="10"/>
      <c r="B2118" s="10" t="str">
        <f t="shared" ref="B2118:B2119" si="839">+C2118&amp;E2118</f>
        <v>Below the Line</v>
      </c>
      <c r="C2118" t="s">
        <v>20</v>
      </c>
      <c r="D2118" t="s">
        <v>19</v>
      </c>
      <c r="E2118" t="s">
        <v>214</v>
      </c>
      <c r="G2118" t="s">
        <v>1880</v>
      </c>
      <c r="I2118" s="10"/>
      <c r="J2118" s="107">
        <f>SUMIF(Data!C:C,G2118,Data!Q:Q)</f>
        <v>0</v>
      </c>
      <c r="K2118" s="107">
        <f>SUMIF(Comprometidos!A:A,'Cost Report'!G2118,Comprometidos!E:E)</f>
        <v>0</v>
      </c>
      <c r="L2118" s="107">
        <f t="shared" ref="L2118:L2180" si="840">+J2118+K2118</f>
        <v>0</v>
      </c>
      <c r="M2118" s="107">
        <f t="shared" ref="M2118:M2180" si="841">+O2118-L2118</f>
        <v>0</v>
      </c>
      <c r="N2118" s="107">
        <f t="shared" ref="N2118:N2180" si="842">+L2118+M2118</f>
        <v>0</v>
      </c>
      <c r="O2118" s="107">
        <f>VLOOKUP(G2118,Budget!$E$3:$G$2474,3,0)</f>
        <v>0</v>
      </c>
      <c r="P2118" s="107">
        <f t="shared" ref="P2118:P2180" si="843">+O2118-N2118</f>
        <v>0</v>
      </c>
      <c r="Q2118" s="107"/>
      <c r="R2118" s="10"/>
      <c r="S2118" s="107">
        <v>0</v>
      </c>
      <c r="T2118" s="107">
        <f t="shared" si="825"/>
        <v>0</v>
      </c>
      <c r="U2118" s="107"/>
      <c r="V2118" s="175"/>
      <c r="W2118" s="10"/>
      <c r="X2118" s="10"/>
      <c r="Y2118" t="str">
        <f t="shared" ref="Y2118:Y2119" si="844">LEFT(G2118,4)</f>
        <v>4180</v>
      </c>
      <c r="AB2118" s="10"/>
      <c r="AC2118" s="10"/>
      <c r="AD2118" s="10"/>
      <c r="AE2118" s="10"/>
      <c r="AF2118" s="10"/>
      <c r="AG2118" s="10"/>
      <c r="AH2118" s="10"/>
      <c r="AI2118" s="10"/>
    </row>
    <row r="2119" spans="1:35">
      <c r="A2119" s="10"/>
      <c r="B2119" s="10" t="str">
        <f t="shared" si="839"/>
        <v>Below the LineALL SHOW</v>
      </c>
      <c r="C2119" t="s">
        <v>20</v>
      </c>
      <c r="D2119" t="s">
        <v>19</v>
      </c>
      <c r="E2119" t="s">
        <v>227</v>
      </c>
      <c r="G2119" t="s">
        <v>3002</v>
      </c>
      <c r="I2119" s="10"/>
      <c r="J2119" s="107">
        <f>SUMIF(Data!C:C,G2119,Data!Q:Q)</f>
        <v>1461546.5610000002</v>
      </c>
      <c r="K2119" s="107">
        <f>SUMIF(Comprometidos!A:A,'Cost Report'!G2119,Comprometidos!E:E)</f>
        <v>0</v>
      </c>
      <c r="L2119" s="107">
        <f t="shared" si="840"/>
        <v>1461546.5610000002</v>
      </c>
      <c r="M2119" s="107">
        <v>0</v>
      </c>
      <c r="N2119" s="107">
        <f t="shared" si="842"/>
        <v>1461546.5610000002</v>
      </c>
      <c r="O2119" s="107">
        <f>VLOOKUP(G2119,Budget!$E$3:$G$2474,3,0)</f>
        <v>1451938.3</v>
      </c>
      <c r="P2119" s="107">
        <f t="shared" si="843"/>
        <v>-9608.2610000001732</v>
      </c>
      <c r="Q2119" s="107"/>
      <c r="R2119" s="10"/>
      <c r="S2119" s="107">
        <v>1460157.69</v>
      </c>
      <c r="T2119" s="107">
        <f t="shared" si="825"/>
        <v>-1388.8710000002757</v>
      </c>
      <c r="U2119" s="107"/>
      <c r="V2119" s="175"/>
      <c r="W2119" s="10"/>
      <c r="X2119" s="10"/>
      <c r="Y2119" t="str">
        <f t="shared" si="844"/>
        <v>4180</v>
      </c>
      <c r="AB2119" s="10"/>
      <c r="AC2119" s="10"/>
      <c r="AD2119" s="10"/>
      <c r="AE2119" s="10"/>
      <c r="AF2119" s="10"/>
      <c r="AG2119" s="10"/>
      <c r="AH2119" s="10"/>
      <c r="AI2119" s="10"/>
    </row>
    <row r="2120" spans="1:35">
      <c r="A2120" s="10"/>
      <c r="B2120" s="10"/>
      <c r="C2120" s="170" t="s">
        <v>1</v>
      </c>
      <c r="D2120" s="170" t="s">
        <v>8</v>
      </c>
      <c r="E2120" s="170"/>
      <c r="F2120" s="170"/>
      <c r="G2120" s="170" t="s">
        <v>1184</v>
      </c>
      <c r="H2120" s="170"/>
      <c r="I2120" s="10"/>
      <c r="J2120" s="169">
        <f>SUMIF($AA$10:$AA$2484,G2120,J$10:J$2484)</f>
        <v>4889054.93</v>
      </c>
      <c r="K2120" s="169">
        <f>SUMIF($AA$10:$AA$2484,G2120,K$10:K$2484)</f>
        <v>0</v>
      </c>
      <c r="L2120" s="169">
        <f>SUMIF($AA$10:$AA$2484,G2120,L$10:L$2484)</f>
        <v>4889054.93</v>
      </c>
      <c r="M2120" s="169">
        <f>SUMIF($AA$10:$AA$2484,G2120,M$10:M$2484)</f>
        <v>0</v>
      </c>
      <c r="N2120" s="169">
        <f>SUMIF($AA$10:$AA$2484,G2120,N$10:N$2484)</f>
        <v>4889054.93</v>
      </c>
      <c r="O2120" s="169">
        <f>SUMIF($AA$10:$AA$2484,G2120,O$10:O$2484)</f>
        <v>4891351.46</v>
      </c>
      <c r="P2120" s="168">
        <f>SUMIF($AA$10:$AA$2484,G2120,P$10:P$2484)</f>
        <v>2296.5300000000061</v>
      </c>
      <c r="Q2120" s="169"/>
      <c r="R2120" s="10"/>
      <c r="S2120" s="164">
        <v>4889054.93</v>
      </c>
      <c r="T2120" s="164">
        <f t="shared" si="825"/>
        <v>0</v>
      </c>
      <c r="U2120" s="163"/>
      <c r="V2120" s="175"/>
      <c r="W2120" s="10"/>
      <c r="X2120" s="10"/>
      <c r="AB2120" s="10"/>
      <c r="AC2120" s="10"/>
      <c r="AD2120" s="10"/>
      <c r="AE2120" s="10"/>
      <c r="AF2120" s="10"/>
      <c r="AG2120" s="10"/>
      <c r="AH2120" s="10"/>
      <c r="AI2120" s="10"/>
    </row>
    <row r="2121" spans="1:35">
      <c r="A2121" s="10"/>
      <c r="B2121" s="10" t="str">
        <f>+C2121</f>
        <v>Post</v>
      </c>
      <c r="C2121" s="128" t="s">
        <v>1</v>
      </c>
      <c r="D2121" s="128" t="s">
        <v>2117</v>
      </c>
      <c r="E2121" s="128"/>
      <c r="F2121" s="128"/>
      <c r="G2121" s="128" t="s">
        <v>1185</v>
      </c>
      <c r="H2121" s="128"/>
      <c r="I2121" s="10"/>
      <c r="J2121" s="129">
        <f>SUMIF($Y$11:$Y$2484,G2121,J$11:J$2484)</f>
        <v>1359250</v>
      </c>
      <c r="K2121" s="129">
        <f>SUMIF($Y$11:$Y$2484,G2121,K$11:K$2484)</f>
        <v>0</v>
      </c>
      <c r="L2121" s="129">
        <f>SUMIF($Y$11:$Y$2484,G2121,L$11:L$2484)</f>
        <v>1359250</v>
      </c>
      <c r="M2121" s="129">
        <f>SUMIF($Y$11:$Y$2484,G2121,M$11:M$2484)</f>
        <v>0</v>
      </c>
      <c r="N2121" s="129">
        <f>SUMIF($Y$11:$Y$2484,G2121,N$11:N$2484)</f>
        <v>1359250</v>
      </c>
      <c r="O2121" s="129">
        <f>SUMIF($Y$11:$Y$2484,G2121,O$11:O$2484)</f>
        <v>1355250</v>
      </c>
      <c r="P2121" s="129">
        <f>SUMIF($Y$11:$Y$2484,G2121,P$11:P$2484)</f>
        <v>-4000</v>
      </c>
      <c r="Q2121" s="129"/>
      <c r="R2121" s="10"/>
      <c r="S2121" s="129">
        <v>1359250</v>
      </c>
      <c r="T2121" s="129">
        <f t="shared" si="825"/>
        <v>0</v>
      </c>
      <c r="U2121" s="128"/>
      <c r="V2121" s="175"/>
      <c r="W2121" s="10"/>
      <c r="X2121" s="10"/>
      <c r="Z2121" t="str">
        <f>LEFT(G2121,2)</f>
        <v>50</v>
      </c>
      <c r="AA2121" t="str">
        <f>+Z2121&amp;"00"</f>
        <v>5000</v>
      </c>
      <c r="AB2121" s="10"/>
      <c r="AC2121" s="10"/>
      <c r="AD2121" s="10"/>
      <c r="AE2121" s="10"/>
      <c r="AF2121" s="10"/>
      <c r="AG2121" s="10"/>
      <c r="AH2121" s="10"/>
      <c r="AI2121" s="10"/>
    </row>
    <row r="2122" spans="1:35">
      <c r="A2122" s="10"/>
      <c r="B2122" s="10" t="str">
        <f t="shared" ref="B2122:B2134" si="845">+C2122&amp;E2122</f>
        <v>Post</v>
      </c>
      <c r="C2122" t="s">
        <v>1</v>
      </c>
      <c r="D2122" t="s">
        <v>19</v>
      </c>
      <c r="E2122" t="s">
        <v>214</v>
      </c>
      <c r="G2122" t="s">
        <v>1186</v>
      </c>
      <c r="I2122" s="10"/>
      <c r="J2122" s="107">
        <f>SUMIF(Data!C:C,G2122,Data!Q:Q)</f>
        <v>0</v>
      </c>
      <c r="K2122" s="107">
        <f>SUMIF(Comprometidos!A:A,'Cost Report'!G2122,Comprometidos!E:E)</f>
        <v>0</v>
      </c>
      <c r="L2122" s="107">
        <f t="shared" si="840"/>
        <v>0</v>
      </c>
      <c r="M2122" s="107">
        <f t="shared" si="841"/>
        <v>0</v>
      </c>
      <c r="N2122" s="107">
        <f t="shared" si="842"/>
        <v>0</v>
      </c>
      <c r="O2122" s="107">
        <f>VLOOKUP(G2122,Budget!$E$3:$G$2474,3,0)</f>
        <v>0</v>
      </c>
      <c r="P2122" s="107">
        <f t="shared" si="843"/>
        <v>0</v>
      </c>
      <c r="Q2122" s="107"/>
      <c r="R2122" s="10"/>
      <c r="S2122" s="107">
        <v>0</v>
      </c>
      <c r="T2122" s="107">
        <f t="shared" si="825"/>
        <v>0</v>
      </c>
      <c r="U2122" s="107"/>
      <c r="V2122" s="175"/>
      <c r="W2122" s="10"/>
      <c r="X2122" s="10"/>
      <c r="Y2122" t="str">
        <f t="shared" ref="Y2122:Y2133" si="846">LEFT(G2122,4)</f>
        <v>5001</v>
      </c>
      <c r="AB2122" s="10"/>
      <c r="AC2122" s="10"/>
      <c r="AD2122" s="10"/>
      <c r="AE2122" s="10"/>
      <c r="AF2122" s="10"/>
      <c r="AG2122" s="10"/>
      <c r="AH2122" s="10"/>
      <c r="AI2122" s="10"/>
    </row>
    <row r="2123" spans="1:35">
      <c r="A2123" s="10"/>
      <c r="B2123" s="10" t="str">
        <f t="shared" si="845"/>
        <v>PostPREP</v>
      </c>
      <c r="C2123" t="s">
        <v>1</v>
      </c>
      <c r="D2123" t="s">
        <v>19</v>
      </c>
      <c r="E2123" t="s">
        <v>234</v>
      </c>
      <c r="F2123" t="s">
        <v>5117</v>
      </c>
      <c r="G2123" t="s">
        <v>1187</v>
      </c>
      <c r="I2123" s="10"/>
      <c r="J2123" s="107">
        <f>SUMIF(Data!C:C,G2123,Data!Q:Q)</f>
        <v>10000</v>
      </c>
      <c r="K2123" s="107">
        <f>SUMIF(Comprometidos!A:A,'Cost Report'!G2123,Comprometidos!E:E)</f>
        <v>0</v>
      </c>
      <c r="L2123" s="107">
        <f t="shared" si="840"/>
        <v>10000</v>
      </c>
      <c r="M2123" s="107">
        <f t="shared" si="841"/>
        <v>0</v>
      </c>
      <c r="N2123" s="107">
        <f t="shared" si="842"/>
        <v>10000</v>
      </c>
      <c r="O2123" s="107">
        <f>VLOOKUP(G2123,Budget!$E$3:$G$2474,3,0)</f>
        <v>10000</v>
      </c>
      <c r="P2123" s="107">
        <f t="shared" si="843"/>
        <v>0</v>
      </c>
      <c r="Q2123" s="107"/>
      <c r="R2123" s="10"/>
      <c r="S2123" s="107">
        <v>10000</v>
      </c>
      <c r="T2123" s="107">
        <f t="shared" si="825"/>
        <v>0</v>
      </c>
      <c r="U2123" s="107"/>
      <c r="V2123" s="175"/>
      <c r="W2123" s="10"/>
      <c r="X2123" s="10"/>
      <c r="Y2123" t="str">
        <f t="shared" si="846"/>
        <v>5001</v>
      </c>
      <c r="AB2123" s="10"/>
      <c r="AC2123" s="10"/>
      <c r="AD2123" s="10"/>
      <c r="AE2123" s="10"/>
      <c r="AF2123" s="10"/>
      <c r="AG2123" s="10"/>
      <c r="AH2123" s="10"/>
      <c r="AI2123" s="10"/>
    </row>
    <row r="2124" spans="1:35">
      <c r="A2124" s="10"/>
      <c r="B2124" s="10" t="str">
        <f t="shared" si="845"/>
        <v>PostPOST</v>
      </c>
      <c r="C2124" t="s">
        <v>1</v>
      </c>
      <c r="D2124" t="s">
        <v>19</v>
      </c>
      <c r="E2124" t="s">
        <v>468</v>
      </c>
      <c r="F2124" t="s">
        <v>5117</v>
      </c>
      <c r="G2124" t="s">
        <v>1188</v>
      </c>
      <c r="I2124" s="10"/>
      <c r="J2124" s="107">
        <f>SUMIF(Data!C:C,G2124,Data!Q:Q)</f>
        <v>475000</v>
      </c>
      <c r="K2124" s="107">
        <f>SUMIF(Comprometidos!A:A,'Cost Report'!G2124,Comprometidos!E:E)</f>
        <v>0</v>
      </c>
      <c r="L2124" s="107">
        <f t="shared" si="840"/>
        <v>475000</v>
      </c>
      <c r="M2124" s="107">
        <f t="shared" si="841"/>
        <v>0</v>
      </c>
      <c r="N2124" s="107">
        <f t="shared" si="842"/>
        <v>475000</v>
      </c>
      <c r="O2124" s="107">
        <f>VLOOKUP(G2124,Budget!$E$3:$G$2474,3,0)</f>
        <v>475000</v>
      </c>
      <c r="P2124" s="107">
        <f t="shared" si="843"/>
        <v>0</v>
      </c>
      <c r="Q2124" s="107"/>
      <c r="R2124" s="10"/>
      <c r="S2124" s="107">
        <v>475000</v>
      </c>
      <c r="T2124" s="107">
        <f t="shared" si="825"/>
        <v>0</v>
      </c>
      <c r="U2124" s="107"/>
      <c r="V2124" s="175"/>
      <c r="W2124" s="10"/>
      <c r="X2124" s="10"/>
      <c r="Y2124" t="str">
        <f t="shared" si="846"/>
        <v>5001</v>
      </c>
      <c r="AB2124" s="10"/>
      <c r="AC2124" s="10"/>
      <c r="AD2124" s="10"/>
      <c r="AE2124" s="10"/>
      <c r="AF2124" s="10"/>
      <c r="AG2124" s="10"/>
      <c r="AH2124" s="10"/>
      <c r="AI2124" s="10"/>
    </row>
    <row r="2125" spans="1:35">
      <c r="A2125" s="10"/>
      <c r="B2125" s="10" t="str">
        <f t="shared" si="845"/>
        <v>Post</v>
      </c>
      <c r="C2125" t="s">
        <v>1</v>
      </c>
      <c r="D2125" t="s">
        <v>19</v>
      </c>
      <c r="E2125" t="s">
        <v>214</v>
      </c>
      <c r="G2125" t="s">
        <v>1189</v>
      </c>
      <c r="I2125" s="10"/>
      <c r="J2125" s="107">
        <f>SUMIF(Data!C:C,G2125,Data!Q:Q)</f>
        <v>0</v>
      </c>
      <c r="K2125" s="107">
        <f>SUMIF(Comprometidos!A:A,'Cost Report'!G2125,Comprometidos!E:E)</f>
        <v>0</v>
      </c>
      <c r="L2125" s="107">
        <f t="shared" si="840"/>
        <v>0</v>
      </c>
      <c r="M2125" s="107">
        <f t="shared" si="841"/>
        <v>0</v>
      </c>
      <c r="N2125" s="107">
        <f t="shared" si="842"/>
        <v>0</v>
      </c>
      <c r="O2125" s="107">
        <f>VLOOKUP(G2125,Budget!$E$3:$G$2474,3,0)</f>
        <v>0</v>
      </c>
      <c r="P2125" s="107">
        <f t="shared" si="843"/>
        <v>0</v>
      </c>
      <c r="Q2125" s="107"/>
      <c r="R2125" s="10"/>
      <c r="S2125" s="107">
        <v>0</v>
      </c>
      <c r="T2125" s="107">
        <f t="shared" si="825"/>
        <v>0</v>
      </c>
      <c r="U2125" s="107"/>
      <c r="V2125" s="175"/>
      <c r="W2125" s="10"/>
      <c r="X2125" s="10"/>
      <c r="Y2125" t="str">
        <f t="shared" si="846"/>
        <v>5001</v>
      </c>
      <c r="AB2125" s="10"/>
      <c r="AC2125" s="10"/>
      <c r="AD2125" s="10"/>
      <c r="AE2125" s="10"/>
      <c r="AF2125" s="10"/>
      <c r="AG2125" s="10"/>
      <c r="AH2125" s="10"/>
      <c r="AI2125" s="10"/>
    </row>
    <row r="2126" spans="1:35">
      <c r="A2126" s="10"/>
      <c r="B2126" s="10" t="str">
        <f t="shared" si="845"/>
        <v>PostPOST</v>
      </c>
      <c r="C2126" t="s">
        <v>1</v>
      </c>
      <c r="D2126" t="s">
        <v>19</v>
      </c>
      <c r="E2126" t="s">
        <v>468</v>
      </c>
      <c r="F2126" t="s">
        <v>5117</v>
      </c>
      <c r="G2126" t="s">
        <v>1190</v>
      </c>
      <c r="I2126" s="10"/>
      <c r="J2126" s="107">
        <f>SUMIF(Data!C:C,G2126,Data!Q:Q)</f>
        <v>288000</v>
      </c>
      <c r="K2126" s="107">
        <f>SUMIF(Comprometidos!A:A,'Cost Report'!G2126,Comprometidos!E:E)</f>
        <v>0</v>
      </c>
      <c r="L2126" s="107">
        <f t="shared" si="840"/>
        <v>288000</v>
      </c>
      <c r="M2126" s="107">
        <f t="shared" si="841"/>
        <v>0</v>
      </c>
      <c r="N2126" s="107">
        <f t="shared" si="842"/>
        <v>288000</v>
      </c>
      <c r="O2126" s="107">
        <f>VLOOKUP(G2126,Budget!$E$3:$G$2474,3,0)</f>
        <v>288000</v>
      </c>
      <c r="P2126" s="107">
        <f t="shared" si="843"/>
        <v>0</v>
      </c>
      <c r="Q2126" s="107"/>
      <c r="R2126" s="10"/>
      <c r="S2126" s="107">
        <v>288000</v>
      </c>
      <c r="T2126" s="107">
        <f t="shared" si="825"/>
        <v>0</v>
      </c>
      <c r="U2126" s="107"/>
      <c r="V2126" s="175"/>
      <c r="W2126" s="10"/>
      <c r="X2126" s="10"/>
      <c r="Y2126" t="str">
        <f t="shared" si="846"/>
        <v>5001</v>
      </c>
      <c r="AB2126" s="10"/>
      <c r="AC2126" s="10"/>
      <c r="AD2126" s="10"/>
      <c r="AE2126" s="10"/>
      <c r="AF2126" s="10"/>
      <c r="AG2126" s="10"/>
      <c r="AH2126" s="10"/>
      <c r="AI2126" s="10"/>
    </row>
    <row r="2127" spans="1:35">
      <c r="A2127" s="10"/>
      <c r="B2127" s="10" t="str">
        <f t="shared" si="845"/>
        <v>Post</v>
      </c>
      <c r="C2127" t="s">
        <v>1</v>
      </c>
      <c r="D2127" t="s">
        <v>19</v>
      </c>
      <c r="E2127" t="s">
        <v>214</v>
      </c>
      <c r="G2127" t="s">
        <v>1772</v>
      </c>
      <c r="I2127" s="10"/>
      <c r="J2127" s="107">
        <f>SUMIF(Data!C:C,G2127,Data!Q:Q)</f>
        <v>0</v>
      </c>
      <c r="K2127" s="107">
        <f>SUMIF(Comprometidos!A:A,'Cost Report'!G2127,Comprometidos!E:E)</f>
        <v>0</v>
      </c>
      <c r="L2127" s="107">
        <f t="shared" si="840"/>
        <v>0</v>
      </c>
      <c r="M2127" s="107">
        <f t="shared" si="841"/>
        <v>0</v>
      </c>
      <c r="N2127" s="107">
        <f t="shared" si="842"/>
        <v>0</v>
      </c>
      <c r="O2127" s="107">
        <f>VLOOKUP(G2127,Budget!$E$3:$G$2474,3,0)</f>
        <v>0</v>
      </c>
      <c r="P2127" s="107">
        <f t="shared" si="843"/>
        <v>0</v>
      </c>
      <c r="Q2127" s="107"/>
      <c r="R2127" s="10"/>
      <c r="S2127" s="107">
        <v>0</v>
      </c>
      <c r="T2127" s="107">
        <f t="shared" si="825"/>
        <v>0</v>
      </c>
      <c r="U2127" s="107"/>
      <c r="V2127" s="175"/>
      <c r="W2127" s="10"/>
      <c r="X2127" s="10"/>
      <c r="Y2127" t="str">
        <f t="shared" si="846"/>
        <v>5001</v>
      </c>
      <c r="AB2127" s="10"/>
      <c r="AC2127" s="10"/>
      <c r="AD2127" s="10"/>
      <c r="AE2127" s="10"/>
      <c r="AF2127" s="10"/>
      <c r="AG2127" s="10"/>
      <c r="AH2127" s="10"/>
      <c r="AI2127" s="10"/>
    </row>
    <row r="2128" spans="1:35">
      <c r="A2128" s="10"/>
      <c r="B2128" s="10" t="str">
        <f t="shared" si="845"/>
        <v>PostPOST</v>
      </c>
      <c r="C2128" t="s">
        <v>1</v>
      </c>
      <c r="D2128" t="s">
        <v>19</v>
      </c>
      <c r="E2128" t="s">
        <v>468</v>
      </c>
      <c r="F2128" t="s">
        <v>5117</v>
      </c>
      <c r="G2128" t="s">
        <v>1773</v>
      </c>
      <c r="I2128" s="10"/>
      <c r="J2128" s="107">
        <f>SUMIF(Data!C:C,G2128,Data!Q:Q)</f>
        <v>288000</v>
      </c>
      <c r="K2128" s="107">
        <f>SUMIF(Comprometidos!A:A,'Cost Report'!G2128,Comprometidos!E:E)</f>
        <v>0</v>
      </c>
      <c r="L2128" s="107">
        <f t="shared" si="840"/>
        <v>288000</v>
      </c>
      <c r="M2128" s="107">
        <f t="shared" si="841"/>
        <v>0</v>
      </c>
      <c r="N2128" s="107">
        <f t="shared" si="842"/>
        <v>288000</v>
      </c>
      <c r="O2128" s="107">
        <f>VLOOKUP(G2128,Budget!$E$3:$G$2474,3,0)</f>
        <v>288000</v>
      </c>
      <c r="P2128" s="107">
        <f t="shared" si="843"/>
        <v>0</v>
      </c>
      <c r="Q2128" s="107"/>
      <c r="R2128" s="10"/>
      <c r="S2128" s="107">
        <v>288000</v>
      </c>
      <c r="T2128" s="107">
        <f t="shared" si="825"/>
        <v>0</v>
      </c>
      <c r="U2128" s="107"/>
      <c r="V2128" s="175"/>
      <c r="W2128" s="10"/>
      <c r="X2128" s="10"/>
      <c r="Y2128" t="str">
        <f t="shared" si="846"/>
        <v>5001</v>
      </c>
      <c r="AB2128" s="10"/>
      <c r="AC2128" s="10"/>
      <c r="AD2128" s="10"/>
      <c r="AE2128" s="10"/>
      <c r="AF2128" s="10"/>
      <c r="AG2128" s="10"/>
      <c r="AH2128" s="10"/>
      <c r="AI2128" s="10"/>
    </row>
    <row r="2129" spans="1:35">
      <c r="A2129" s="10"/>
      <c r="B2129" s="10" t="str">
        <f t="shared" si="845"/>
        <v>Post</v>
      </c>
      <c r="C2129" t="s">
        <v>1</v>
      </c>
      <c r="D2129" t="s">
        <v>19</v>
      </c>
      <c r="E2129" t="s">
        <v>214</v>
      </c>
      <c r="G2129" t="s">
        <v>3003</v>
      </c>
      <c r="I2129" s="10"/>
      <c r="J2129" s="107">
        <f>SUMIF(Data!C:C,G2129,Data!Q:Q)</f>
        <v>0</v>
      </c>
      <c r="K2129" s="107">
        <f>SUMIF(Comprometidos!A:A,'Cost Report'!G2129,Comprometidos!E:E)</f>
        <v>0</v>
      </c>
      <c r="L2129" s="107">
        <f t="shared" si="840"/>
        <v>0</v>
      </c>
      <c r="M2129" s="107">
        <f t="shared" si="841"/>
        <v>0</v>
      </c>
      <c r="N2129" s="107">
        <f t="shared" si="842"/>
        <v>0</v>
      </c>
      <c r="O2129" s="107">
        <f>VLOOKUP(G2129,Budget!$E$3:$G$2474,3,0)</f>
        <v>0</v>
      </c>
      <c r="P2129" s="107">
        <f t="shared" si="843"/>
        <v>0</v>
      </c>
      <c r="Q2129" s="107"/>
      <c r="R2129" s="10"/>
      <c r="S2129" s="107">
        <v>0</v>
      </c>
      <c r="T2129" s="107">
        <f t="shared" si="825"/>
        <v>0</v>
      </c>
      <c r="U2129" s="107"/>
      <c r="V2129" s="175"/>
      <c r="W2129" s="10"/>
      <c r="X2129" s="10"/>
      <c r="Y2129" t="str">
        <f t="shared" si="846"/>
        <v>5001</v>
      </c>
      <c r="AB2129" s="10"/>
      <c r="AC2129" s="10"/>
      <c r="AD2129" s="10"/>
      <c r="AE2129" s="10"/>
      <c r="AF2129" s="10"/>
      <c r="AG2129" s="10"/>
      <c r="AH2129" s="10"/>
      <c r="AI2129" s="10"/>
    </row>
    <row r="2130" spans="1:35">
      <c r="A2130" s="10"/>
      <c r="B2130" s="10" t="str">
        <f t="shared" si="845"/>
        <v>PostPOST</v>
      </c>
      <c r="C2130" t="s">
        <v>1</v>
      </c>
      <c r="D2130" t="s">
        <v>19</v>
      </c>
      <c r="E2130" t="s">
        <v>468</v>
      </c>
      <c r="F2130" t="s">
        <v>5117</v>
      </c>
      <c r="G2130" t="s">
        <v>3004</v>
      </c>
      <c r="I2130" s="10"/>
      <c r="J2130" s="107">
        <f>SUMIF(Data!C:C,G2130,Data!Q:Q)</f>
        <v>288000</v>
      </c>
      <c r="K2130" s="107">
        <f>SUMIF(Comprometidos!A:A,'Cost Report'!G2130,Comprometidos!E:E)</f>
        <v>0</v>
      </c>
      <c r="L2130" s="107">
        <f t="shared" si="840"/>
        <v>288000</v>
      </c>
      <c r="M2130" s="107">
        <f t="shared" si="841"/>
        <v>0</v>
      </c>
      <c r="N2130" s="107">
        <f t="shared" si="842"/>
        <v>288000</v>
      </c>
      <c r="O2130" s="107">
        <f>VLOOKUP(G2130,Budget!$E$3:$G$2474,3,0)</f>
        <v>288000</v>
      </c>
      <c r="P2130" s="107">
        <f t="shared" si="843"/>
        <v>0</v>
      </c>
      <c r="Q2130" s="107"/>
      <c r="R2130" s="10"/>
      <c r="S2130" s="107">
        <v>288000</v>
      </c>
      <c r="T2130" s="107">
        <f t="shared" si="825"/>
        <v>0</v>
      </c>
      <c r="U2130" s="107"/>
      <c r="V2130" s="175"/>
      <c r="W2130" s="10"/>
      <c r="X2130" s="10"/>
      <c r="Y2130" t="str">
        <f t="shared" si="846"/>
        <v>5001</v>
      </c>
      <c r="AB2130" s="10"/>
      <c r="AC2130" s="10"/>
      <c r="AD2130" s="10"/>
      <c r="AE2130" s="10"/>
      <c r="AF2130" s="10"/>
      <c r="AG2130" s="10"/>
      <c r="AH2130" s="10"/>
      <c r="AI2130" s="10"/>
    </row>
    <row r="2131" spans="1:35">
      <c r="A2131" s="10"/>
      <c r="B2131" s="10" t="str">
        <f t="shared" si="845"/>
        <v>Post</v>
      </c>
      <c r="C2131" t="s">
        <v>1</v>
      </c>
      <c r="D2131" t="s">
        <v>19</v>
      </c>
      <c r="E2131" t="s">
        <v>214</v>
      </c>
      <c r="G2131" t="s">
        <v>3005</v>
      </c>
      <c r="I2131" s="10"/>
      <c r="J2131" s="107">
        <f>SUMIF(Data!C:C,G2131,Data!Q:Q)</f>
        <v>0</v>
      </c>
      <c r="K2131" s="107">
        <f>SUMIF(Comprometidos!A:A,'Cost Report'!G2131,Comprometidos!E:E)</f>
        <v>0</v>
      </c>
      <c r="L2131" s="107">
        <f t="shared" si="840"/>
        <v>0</v>
      </c>
      <c r="M2131" s="107">
        <f t="shared" si="841"/>
        <v>0</v>
      </c>
      <c r="N2131" s="107">
        <f t="shared" si="842"/>
        <v>0</v>
      </c>
      <c r="O2131" s="107">
        <f>VLOOKUP(G2131,Budget!$E$3:$G$2474,3,0)</f>
        <v>0</v>
      </c>
      <c r="P2131" s="107">
        <f t="shared" si="843"/>
        <v>0</v>
      </c>
      <c r="Q2131" s="107"/>
      <c r="R2131" s="10"/>
      <c r="S2131" s="107">
        <v>0</v>
      </c>
      <c r="T2131" s="107">
        <f t="shared" si="825"/>
        <v>0</v>
      </c>
      <c r="U2131" s="107"/>
      <c r="V2131" s="175"/>
      <c r="W2131" s="10"/>
      <c r="X2131" s="10"/>
      <c r="Y2131" t="str">
        <f t="shared" si="846"/>
        <v>5001</v>
      </c>
      <c r="AB2131" s="10"/>
      <c r="AC2131" s="10"/>
      <c r="AD2131" s="10"/>
      <c r="AE2131" s="10"/>
      <c r="AF2131" s="10"/>
      <c r="AG2131" s="10"/>
      <c r="AH2131" s="10"/>
      <c r="AI2131" s="10"/>
    </row>
    <row r="2132" spans="1:35">
      <c r="A2132" s="10"/>
      <c r="B2132" s="10" t="str">
        <f t="shared" si="845"/>
        <v>Post</v>
      </c>
      <c r="C2132" t="s">
        <v>1</v>
      </c>
      <c r="D2132" t="s">
        <v>19</v>
      </c>
      <c r="E2132" t="s">
        <v>214</v>
      </c>
      <c r="G2132" t="s">
        <v>3006</v>
      </c>
      <c r="I2132" s="10"/>
      <c r="J2132" s="107">
        <f>SUMIF(Data!C:C,G2132,Data!Q:Q)</f>
        <v>0</v>
      </c>
      <c r="K2132" s="107">
        <f>SUMIF(Comprometidos!A:A,'Cost Report'!G2132,Comprometidos!E:E)</f>
        <v>0</v>
      </c>
      <c r="L2132" s="107">
        <f t="shared" si="840"/>
        <v>0</v>
      </c>
      <c r="M2132" s="107">
        <f t="shared" si="841"/>
        <v>0</v>
      </c>
      <c r="N2132" s="107">
        <f t="shared" si="842"/>
        <v>0</v>
      </c>
      <c r="O2132" s="107">
        <f>VLOOKUP(G2132,Budget!$E$3:$G$2474,3,0)</f>
        <v>0</v>
      </c>
      <c r="P2132" s="107">
        <f t="shared" si="843"/>
        <v>0</v>
      </c>
      <c r="Q2132" s="107"/>
      <c r="R2132" s="10"/>
      <c r="S2132" s="107">
        <v>0</v>
      </c>
      <c r="T2132" s="107">
        <f t="shared" si="825"/>
        <v>0</v>
      </c>
      <c r="U2132" s="107"/>
      <c r="V2132" s="175"/>
      <c r="W2132" s="10"/>
      <c r="X2132" s="10"/>
      <c r="Y2132" t="str">
        <f t="shared" si="846"/>
        <v>5001</v>
      </c>
      <c r="AB2132" s="10"/>
      <c r="AC2132" s="10"/>
      <c r="AD2132" s="10"/>
      <c r="AE2132" s="10"/>
      <c r="AF2132" s="10"/>
      <c r="AG2132" s="10"/>
      <c r="AH2132" s="10"/>
      <c r="AI2132" s="10"/>
    </row>
    <row r="2133" spans="1:35">
      <c r="A2133" s="10"/>
      <c r="B2133" s="10" t="str">
        <f t="shared" si="845"/>
        <v>PostALL SHOW</v>
      </c>
      <c r="C2133" t="s">
        <v>1</v>
      </c>
      <c r="D2133" t="s">
        <v>19</v>
      </c>
      <c r="E2133" t="s">
        <v>227</v>
      </c>
      <c r="F2133" t="s">
        <v>5117</v>
      </c>
      <c r="G2133" t="s">
        <v>3007</v>
      </c>
      <c r="I2133" s="10"/>
      <c r="J2133" s="107">
        <f>SUMIF(Data!C:C,G2133,Data!Q:Q)</f>
        <v>6250</v>
      </c>
      <c r="K2133" s="107">
        <f>SUMIF(Comprometidos!A:A,'Cost Report'!G2133,Comprometidos!E:E)</f>
        <v>0</v>
      </c>
      <c r="L2133" s="107">
        <f t="shared" si="840"/>
        <v>6250</v>
      </c>
      <c r="M2133" s="107">
        <f t="shared" si="841"/>
        <v>0</v>
      </c>
      <c r="N2133" s="107">
        <f t="shared" si="842"/>
        <v>6250</v>
      </c>
      <c r="O2133" s="107">
        <f>VLOOKUP(G2133,Budget!$E$3:$G$2474,3,0)</f>
        <v>6250</v>
      </c>
      <c r="P2133" s="107">
        <f t="shared" si="843"/>
        <v>0</v>
      </c>
      <c r="Q2133" s="107"/>
      <c r="R2133" s="10"/>
      <c r="S2133" s="107">
        <v>6250</v>
      </c>
      <c r="T2133" s="107">
        <f t="shared" si="825"/>
        <v>0</v>
      </c>
      <c r="U2133" s="107"/>
      <c r="V2133" s="175"/>
      <c r="W2133" s="10"/>
      <c r="X2133" s="10"/>
      <c r="Y2133" t="str">
        <f t="shared" si="846"/>
        <v>5001</v>
      </c>
      <c r="AB2133" s="10"/>
      <c r="AC2133" s="10"/>
      <c r="AD2133" s="10"/>
      <c r="AE2133" s="10"/>
      <c r="AF2133" s="10"/>
      <c r="AG2133" s="10"/>
      <c r="AH2133" s="10"/>
      <c r="AI2133" s="10"/>
    </row>
    <row r="2134" spans="1:35">
      <c r="A2134" s="10"/>
      <c r="B2134" s="10" t="str">
        <f t="shared" si="845"/>
        <v>PostALL SHOW</v>
      </c>
      <c r="C2134" t="s">
        <v>1</v>
      </c>
      <c r="D2134" t="s">
        <v>19</v>
      </c>
      <c r="E2134" t="s">
        <v>227</v>
      </c>
      <c r="G2134" t="s">
        <v>3417</v>
      </c>
      <c r="I2134" s="10"/>
      <c r="J2134" s="107">
        <f>SUMIF(Data!C:C,G2134,Data!Q:Q)</f>
        <v>4000</v>
      </c>
      <c r="K2134" s="107">
        <f>SUMIF(Comprometidos!A:A,'Cost Report'!G2134,Comprometidos!E:E)</f>
        <v>0</v>
      </c>
      <c r="L2134" s="107">
        <f t="shared" ref="L2134" si="847">+J2134+K2134</f>
        <v>4000</v>
      </c>
      <c r="M2134" s="107">
        <v>0</v>
      </c>
      <c r="N2134" s="107">
        <f t="shared" ref="N2134" si="848">+L2134+M2134</f>
        <v>4000</v>
      </c>
      <c r="O2134" s="107">
        <f>VLOOKUP(G2134,Budget!$E$3:$G$2474,3,0)</f>
        <v>0</v>
      </c>
      <c r="P2134" s="107">
        <f t="shared" ref="P2134" si="849">+O2134-N2134</f>
        <v>-4000</v>
      </c>
      <c r="Q2134" s="107"/>
      <c r="R2134" s="10"/>
      <c r="S2134" s="107">
        <v>4000</v>
      </c>
      <c r="T2134" s="107">
        <f t="shared" ref="T2134" si="850">+S2134-N2134</f>
        <v>0</v>
      </c>
      <c r="U2134" s="107"/>
      <c r="V2134" s="175"/>
      <c r="W2134" s="10"/>
      <c r="X2134" s="10"/>
      <c r="Y2134" t="str">
        <f t="shared" ref="Y2134" si="851">LEFT(G2134,4)</f>
        <v>5001</v>
      </c>
      <c r="AB2134" s="10"/>
      <c r="AC2134" s="10"/>
      <c r="AD2134" s="10"/>
      <c r="AE2134" s="10"/>
      <c r="AF2134" s="10"/>
      <c r="AG2134" s="10"/>
      <c r="AH2134" s="10"/>
      <c r="AI2134" s="10"/>
    </row>
    <row r="2135" spans="1:35">
      <c r="A2135" s="10"/>
      <c r="B2135" s="10" t="str">
        <f>+C2135</f>
        <v>Post</v>
      </c>
      <c r="C2135" s="128" t="s">
        <v>1</v>
      </c>
      <c r="D2135" s="128" t="s">
        <v>2117</v>
      </c>
      <c r="E2135" s="128"/>
      <c r="F2135" s="128"/>
      <c r="G2135" s="128" t="s">
        <v>1191</v>
      </c>
      <c r="H2135" s="128"/>
      <c r="I2135" s="10"/>
      <c r="J2135" s="129">
        <f>SUMIF($Y$11:$Y$2484,G2135,J$11:J$2484)</f>
        <v>435500</v>
      </c>
      <c r="K2135" s="129">
        <f>SUMIF($Y$11:$Y$2484,G2135,K$11:K$2484)</f>
        <v>0</v>
      </c>
      <c r="L2135" s="129">
        <f>SUMIF($Y$11:$Y$2484,G2135,L$11:L$2484)</f>
        <v>435500</v>
      </c>
      <c r="M2135" s="129">
        <f>SUMIF($Y$11:$Y$2484,G2135,M$11:M$2484)</f>
        <v>0</v>
      </c>
      <c r="N2135" s="129">
        <f>SUMIF($Y$11:$Y$2484,G2135,N$11:N$2484)</f>
        <v>435500</v>
      </c>
      <c r="O2135" s="129">
        <f>SUMIF($Y$11:$Y$2484,G2135,O$11:O$2484)</f>
        <v>435500</v>
      </c>
      <c r="P2135" s="129">
        <f>SUMIF($Y$11:$Y$2484,G2135,P$11:P$2484)</f>
        <v>0</v>
      </c>
      <c r="Q2135" s="129"/>
      <c r="R2135" s="10"/>
      <c r="S2135" s="129">
        <v>435500</v>
      </c>
      <c r="T2135" s="129">
        <f t="shared" si="825"/>
        <v>0</v>
      </c>
      <c r="U2135" s="128"/>
      <c r="V2135" s="175"/>
      <c r="W2135" s="10"/>
      <c r="X2135" s="10"/>
      <c r="Z2135" t="str">
        <f>LEFT(G2135,2)</f>
        <v>50</v>
      </c>
      <c r="AA2135" t="str">
        <f>+Z2135&amp;"00"</f>
        <v>5000</v>
      </c>
      <c r="AB2135" s="10"/>
      <c r="AC2135" s="10"/>
      <c r="AD2135" s="10"/>
      <c r="AE2135" s="10"/>
      <c r="AF2135" s="10"/>
      <c r="AG2135" s="10"/>
      <c r="AH2135" s="10"/>
      <c r="AI2135" s="10"/>
    </row>
    <row r="2136" spans="1:35">
      <c r="A2136" s="10"/>
      <c r="B2136" s="10" t="str">
        <f t="shared" ref="B2136:B2141" si="852">+C2136&amp;E2136</f>
        <v>Post</v>
      </c>
      <c r="C2136" t="s">
        <v>1</v>
      </c>
      <c r="D2136" t="s">
        <v>19</v>
      </c>
      <c r="E2136" t="s">
        <v>214</v>
      </c>
      <c r="G2136" t="s">
        <v>1192</v>
      </c>
      <c r="I2136" s="10"/>
      <c r="J2136" s="107">
        <f>SUMIF(Data!C:C,G2136,Data!Q:Q)</f>
        <v>0</v>
      </c>
      <c r="K2136" s="107">
        <f>SUMIF(Comprometidos!A:A,'Cost Report'!G2136,Comprometidos!E:E)</f>
        <v>0</v>
      </c>
      <c r="L2136" s="107">
        <f t="shared" si="840"/>
        <v>0</v>
      </c>
      <c r="M2136" s="107">
        <f t="shared" si="841"/>
        <v>0</v>
      </c>
      <c r="N2136" s="107">
        <f t="shared" si="842"/>
        <v>0</v>
      </c>
      <c r="O2136" s="107">
        <f>VLOOKUP(G2136,Budget!$E$3:$G$2474,3,0)</f>
        <v>0</v>
      </c>
      <c r="P2136" s="107">
        <f t="shared" si="843"/>
        <v>0</v>
      </c>
      <c r="Q2136" s="107"/>
      <c r="R2136" s="10"/>
      <c r="S2136" s="107">
        <v>0</v>
      </c>
      <c r="T2136" s="107">
        <f t="shared" si="825"/>
        <v>0</v>
      </c>
      <c r="U2136" s="107"/>
      <c r="V2136" s="175"/>
      <c r="W2136" s="10"/>
      <c r="X2136" s="10"/>
      <c r="Y2136" t="str">
        <f t="shared" ref="Y2136:Y2141" si="853">LEFT(G2136,4)</f>
        <v>5002</v>
      </c>
      <c r="AB2136" s="10"/>
      <c r="AC2136" s="10"/>
      <c r="AD2136" s="10"/>
      <c r="AE2136" s="10"/>
      <c r="AF2136" s="10"/>
      <c r="AG2136" s="10"/>
      <c r="AH2136" s="10"/>
      <c r="AI2136" s="10"/>
    </row>
    <row r="2137" spans="1:35">
      <c r="A2137" s="10"/>
      <c r="B2137" s="10" t="str">
        <f t="shared" si="852"/>
        <v>PostPOST</v>
      </c>
      <c r="C2137" t="s">
        <v>1</v>
      </c>
      <c r="D2137" t="s">
        <v>19</v>
      </c>
      <c r="E2137" t="s">
        <v>468</v>
      </c>
      <c r="F2137" t="s">
        <v>5117</v>
      </c>
      <c r="G2137" t="s">
        <v>1193</v>
      </c>
      <c r="I2137" s="10"/>
      <c r="J2137" s="107">
        <f>SUMIF(Data!C:C,G2137,Data!Q:Q)</f>
        <v>180500</v>
      </c>
      <c r="K2137" s="107">
        <f>SUMIF(Comprometidos!A:A,'Cost Report'!G2137,Comprometidos!E:E)</f>
        <v>0</v>
      </c>
      <c r="L2137" s="107">
        <f t="shared" si="840"/>
        <v>180500</v>
      </c>
      <c r="M2137" s="107">
        <f t="shared" si="841"/>
        <v>0</v>
      </c>
      <c r="N2137" s="107">
        <f t="shared" si="842"/>
        <v>180500</v>
      </c>
      <c r="O2137" s="107">
        <f>VLOOKUP(G2137,Budget!$E$3:$G$2474,3,0)</f>
        <v>180500</v>
      </c>
      <c r="P2137" s="107">
        <f t="shared" si="843"/>
        <v>0</v>
      </c>
      <c r="Q2137" s="107"/>
      <c r="R2137" s="10"/>
      <c r="S2137" s="107">
        <v>180500</v>
      </c>
      <c r="T2137" s="107">
        <f t="shared" si="825"/>
        <v>0</v>
      </c>
      <c r="U2137" s="107"/>
      <c r="V2137" s="175"/>
      <c r="W2137" s="10"/>
      <c r="X2137" s="10"/>
      <c r="Y2137" t="str">
        <f t="shared" si="853"/>
        <v>5002</v>
      </c>
      <c r="AB2137" s="10"/>
      <c r="AC2137" s="10"/>
      <c r="AD2137" s="10"/>
      <c r="AE2137" s="10"/>
      <c r="AF2137" s="10"/>
      <c r="AG2137" s="10"/>
      <c r="AH2137" s="10"/>
      <c r="AI2137" s="10"/>
    </row>
    <row r="2138" spans="1:35">
      <c r="A2138" s="10"/>
      <c r="B2138" s="10" t="str">
        <f t="shared" si="852"/>
        <v>Post</v>
      </c>
      <c r="C2138" t="s">
        <v>1</v>
      </c>
      <c r="D2138" t="s">
        <v>19</v>
      </c>
      <c r="E2138" t="s">
        <v>214</v>
      </c>
      <c r="G2138" t="s">
        <v>1194</v>
      </c>
      <c r="I2138" s="10"/>
      <c r="J2138" s="107">
        <f>SUMIF(Data!C:C,G2138,Data!Q:Q)</f>
        <v>0</v>
      </c>
      <c r="K2138" s="107">
        <f>SUMIF(Comprometidos!A:A,'Cost Report'!G2138,Comprometidos!E:E)</f>
        <v>0</v>
      </c>
      <c r="L2138" s="107">
        <f t="shared" si="840"/>
        <v>0</v>
      </c>
      <c r="M2138" s="107">
        <f t="shared" si="841"/>
        <v>0</v>
      </c>
      <c r="N2138" s="107">
        <f t="shared" si="842"/>
        <v>0</v>
      </c>
      <c r="O2138" s="107">
        <f>VLOOKUP(G2138,Budget!$E$3:$G$2474,3,0)</f>
        <v>0</v>
      </c>
      <c r="P2138" s="107">
        <f t="shared" si="843"/>
        <v>0</v>
      </c>
      <c r="Q2138" s="107"/>
      <c r="R2138" s="10"/>
      <c r="S2138" s="107">
        <v>0</v>
      </c>
      <c r="T2138" s="107">
        <f t="shared" si="825"/>
        <v>0</v>
      </c>
      <c r="U2138" s="107"/>
      <c r="V2138" s="175"/>
      <c r="W2138" s="10"/>
      <c r="X2138" s="10"/>
      <c r="Y2138" t="str">
        <f t="shared" si="853"/>
        <v>5002</v>
      </c>
      <c r="AB2138" s="10"/>
      <c r="AC2138" s="10"/>
      <c r="AD2138" s="10"/>
      <c r="AE2138" s="10"/>
      <c r="AF2138" s="10"/>
      <c r="AG2138" s="10"/>
      <c r="AH2138" s="10"/>
      <c r="AI2138" s="10"/>
    </row>
    <row r="2139" spans="1:35">
      <c r="A2139" s="10"/>
      <c r="B2139" s="10" t="str">
        <f t="shared" si="852"/>
        <v>PostPOST</v>
      </c>
      <c r="C2139" t="s">
        <v>1</v>
      </c>
      <c r="D2139" t="s">
        <v>19</v>
      </c>
      <c r="E2139" t="s">
        <v>468</v>
      </c>
      <c r="F2139" t="s">
        <v>5117</v>
      </c>
      <c r="G2139" t="s">
        <v>3008</v>
      </c>
      <c r="I2139" s="10"/>
      <c r="J2139" s="107">
        <f>SUMIF(Data!C:C,G2139,Data!Q:Q)</f>
        <v>150000</v>
      </c>
      <c r="K2139" s="107">
        <f>SUMIF(Comprometidos!A:A,'Cost Report'!G2139,Comprometidos!E:E)</f>
        <v>0</v>
      </c>
      <c r="L2139" s="107">
        <f t="shared" si="840"/>
        <v>150000</v>
      </c>
      <c r="M2139" s="107">
        <f t="shared" si="841"/>
        <v>0</v>
      </c>
      <c r="N2139" s="107">
        <f t="shared" si="842"/>
        <v>150000</v>
      </c>
      <c r="O2139" s="107">
        <f>VLOOKUP(G2139,Budget!$E$3:$G$2474,3,0)</f>
        <v>150000</v>
      </c>
      <c r="P2139" s="107">
        <f t="shared" si="843"/>
        <v>0</v>
      </c>
      <c r="Q2139" s="107"/>
      <c r="R2139" s="10"/>
      <c r="S2139" s="107">
        <v>150000</v>
      </c>
      <c r="T2139" s="107">
        <f t="shared" si="825"/>
        <v>0</v>
      </c>
      <c r="U2139" s="107"/>
      <c r="V2139" s="175"/>
      <c r="W2139" s="10"/>
      <c r="X2139" s="10"/>
      <c r="Y2139" t="str">
        <f t="shared" si="853"/>
        <v>5002</v>
      </c>
      <c r="AB2139" s="10"/>
      <c r="AC2139" s="10"/>
      <c r="AD2139" s="10"/>
      <c r="AE2139" s="10"/>
      <c r="AF2139" s="10"/>
      <c r="AG2139" s="10"/>
      <c r="AH2139" s="10"/>
      <c r="AI2139" s="10"/>
    </row>
    <row r="2140" spans="1:35">
      <c r="A2140" s="10"/>
      <c r="B2140" s="10" t="str">
        <f t="shared" si="852"/>
        <v>Post</v>
      </c>
      <c r="C2140" t="s">
        <v>1</v>
      </c>
      <c r="D2140" t="s">
        <v>19</v>
      </c>
      <c r="E2140" t="s">
        <v>214</v>
      </c>
      <c r="G2140" t="s">
        <v>3009</v>
      </c>
      <c r="I2140" s="10"/>
      <c r="J2140" s="107">
        <f>SUMIF(Data!C:C,G2140,Data!Q:Q)</f>
        <v>0</v>
      </c>
      <c r="K2140" s="107">
        <f>SUMIF(Comprometidos!A:A,'Cost Report'!G2140,Comprometidos!E:E)</f>
        <v>0</v>
      </c>
      <c r="L2140" s="107">
        <f t="shared" si="840"/>
        <v>0</v>
      </c>
      <c r="M2140" s="107">
        <f t="shared" si="841"/>
        <v>0</v>
      </c>
      <c r="N2140" s="107">
        <f t="shared" si="842"/>
        <v>0</v>
      </c>
      <c r="O2140" s="107">
        <f>VLOOKUP(G2140,Budget!$E$3:$G$2474,3,0)</f>
        <v>0</v>
      </c>
      <c r="P2140" s="107">
        <f t="shared" si="843"/>
        <v>0</v>
      </c>
      <c r="Q2140" s="107"/>
      <c r="R2140" s="10"/>
      <c r="S2140" s="107">
        <v>0</v>
      </c>
      <c r="T2140" s="107">
        <f t="shared" si="825"/>
        <v>0</v>
      </c>
      <c r="U2140" s="107"/>
      <c r="V2140" s="175"/>
      <c r="W2140" s="10"/>
      <c r="X2140" s="10"/>
      <c r="Y2140" t="str">
        <f t="shared" si="853"/>
        <v>5002</v>
      </c>
      <c r="AB2140" s="10"/>
      <c r="AC2140" s="10"/>
      <c r="AD2140" s="10"/>
      <c r="AE2140" s="10"/>
      <c r="AF2140" s="10"/>
      <c r="AG2140" s="10"/>
      <c r="AH2140" s="10"/>
      <c r="AI2140" s="10"/>
    </row>
    <row r="2141" spans="1:35">
      <c r="A2141" s="10"/>
      <c r="B2141" s="10" t="str">
        <f t="shared" si="852"/>
        <v>PostPOST</v>
      </c>
      <c r="C2141" t="s">
        <v>1</v>
      </c>
      <c r="D2141" t="s">
        <v>19</v>
      </c>
      <c r="E2141" t="s">
        <v>468</v>
      </c>
      <c r="F2141" t="s">
        <v>5117</v>
      </c>
      <c r="G2141" t="s">
        <v>3010</v>
      </c>
      <c r="I2141" s="10"/>
      <c r="J2141" s="107">
        <f>SUMIF(Data!C:C,G2141,Data!Q:Q)</f>
        <v>105000</v>
      </c>
      <c r="K2141" s="107">
        <f>SUMIF(Comprometidos!A:A,'Cost Report'!G2141,Comprometidos!E:E)</f>
        <v>0</v>
      </c>
      <c r="L2141" s="107">
        <f t="shared" si="840"/>
        <v>105000</v>
      </c>
      <c r="M2141" s="107">
        <f t="shared" si="841"/>
        <v>0</v>
      </c>
      <c r="N2141" s="107">
        <f t="shared" si="842"/>
        <v>105000</v>
      </c>
      <c r="O2141" s="107">
        <f>VLOOKUP(G2141,Budget!$E$3:$G$2474,3,0)</f>
        <v>105000</v>
      </c>
      <c r="P2141" s="107">
        <f t="shared" si="843"/>
        <v>0</v>
      </c>
      <c r="Q2141" s="107"/>
      <c r="R2141" s="10"/>
      <c r="S2141" s="107">
        <v>105000</v>
      </c>
      <c r="T2141" s="107">
        <f t="shared" si="825"/>
        <v>0</v>
      </c>
      <c r="U2141" s="107"/>
      <c r="V2141" s="175"/>
      <c r="W2141" s="10"/>
      <c r="X2141" s="10"/>
      <c r="Y2141" t="str">
        <f t="shared" si="853"/>
        <v>5002</v>
      </c>
      <c r="AB2141" s="10"/>
      <c r="AC2141" s="10"/>
      <c r="AD2141" s="10"/>
      <c r="AE2141" s="10"/>
      <c r="AF2141" s="10"/>
      <c r="AG2141" s="10"/>
      <c r="AH2141" s="10"/>
      <c r="AI2141" s="10"/>
    </row>
    <row r="2142" spans="1:35">
      <c r="A2142" s="10"/>
      <c r="B2142" s="10" t="str">
        <f>+C2142</f>
        <v>Post</v>
      </c>
      <c r="C2142" s="128" t="s">
        <v>1</v>
      </c>
      <c r="D2142" s="128" t="s">
        <v>2117</v>
      </c>
      <c r="E2142" s="128"/>
      <c r="F2142" s="128"/>
      <c r="G2142" s="128" t="s">
        <v>1195</v>
      </c>
      <c r="H2142" s="128"/>
      <c r="I2142" s="10"/>
      <c r="J2142" s="129">
        <f>SUMIF($Y$11:$Y$2484,G2142,J$11:J$2484)</f>
        <v>671000</v>
      </c>
      <c r="K2142" s="129">
        <f>SUMIF($Y$11:$Y$2484,G2142,K$11:K$2484)</f>
        <v>0</v>
      </c>
      <c r="L2142" s="129">
        <f>SUMIF($Y$11:$Y$2484,G2142,L$11:L$2484)</f>
        <v>671000</v>
      </c>
      <c r="M2142" s="129">
        <f>SUMIF($Y$11:$Y$2484,G2142,M$11:M$2484)</f>
        <v>0</v>
      </c>
      <c r="N2142" s="129">
        <f>SUMIF($Y$11:$Y$2484,G2142,N$11:N$2484)</f>
        <v>671000</v>
      </c>
      <c r="O2142" s="129">
        <f>SUMIF($Y$11:$Y$2484,G2142,O$11:O$2484)</f>
        <v>638000</v>
      </c>
      <c r="P2142" s="129">
        <f>SUMIF($Y$11:$Y$2484,G2142,P$11:P$2484)</f>
        <v>-33000</v>
      </c>
      <c r="Q2142" s="129"/>
      <c r="R2142" s="10"/>
      <c r="S2142" s="129">
        <v>671000</v>
      </c>
      <c r="T2142" s="129">
        <f t="shared" si="825"/>
        <v>0</v>
      </c>
      <c r="U2142" s="128"/>
      <c r="V2142" s="175"/>
      <c r="W2142" s="10"/>
      <c r="X2142" s="10"/>
      <c r="Z2142" t="str">
        <f>LEFT(G2142,2)</f>
        <v>50</v>
      </c>
      <c r="AA2142" t="str">
        <f>+Z2142&amp;"00"</f>
        <v>5000</v>
      </c>
      <c r="AB2142" s="10"/>
      <c r="AC2142" s="10"/>
      <c r="AD2142" s="10"/>
      <c r="AE2142" s="10"/>
      <c r="AF2142" s="10"/>
      <c r="AG2142" s="10"/>
      <c r="AH2142" s="10"/>
      <c r="AI2142" s="10"/>
    </row>
    <row r="2143" spans="1:35">
      <c r="A2143" s="10"/>
      <c r="B2143" s="10" t="str">
        <f t="shared" ref="B2143:B2146" si="854">+C2143&amp;E2143</f>
        <v>Post</v>
      </c>
      <c r="C2143" t="s">
        <v>1</v>
      </c>
      <c r="D2143" t="s">
        <v>19</v>
      </c>
      <c r="E2143" t="s">
        <v>214</v>
      </c>
      <c r="G2143" t="s">
        <v>1196</v>
      </c>
      <c r="I2143" s="10"/>
      <c r="J2143" s="107">
        <f>SUMIF(Data!C:C,G2143,Data!Q:Q)</f>
        <v>0</v>
      </c>
      <c r="K2143" s="107">
        <f>SUMIF(Comprometidos!A:A,'Cost Report'!G2143,Comprometidos!E:E)</f>
        <v>0</v>
      </c>
      <c r="L2143" s="107">
        <f t="shared" si="840"/>
        <v>0</v>
      </c>
      <c r="M2143" s="107">
        <f t="shared" si="841"/>
        <v>0</v>
      </c>
      <c r="N2143" s="107">
        <f t="shared" si="842"/>
        <v>0</v>
      </c>
      <c r="O2143" s="107">
        <f>VLOOKUP(G2143,Budget!$E$3:$G$2474,3,0)</f>
        <v>0</v>
      </c>
      <c r="P2143" s="107">
        <f t="shared" si="843"/>
        <v>0</v>
      </c>
      <c r="Q2143" s="107"/>
      <c r="R2143" s="10"/>
      <c r="S2143" s="107">
        <v>0</v>
      </c>
      <c r="T2143" s="107">
        <f t="shared" si="825"/>
        <v>0</v>
      </c>
      <c r="U2143" s="107"/>
      <c r="V2143" s="175"/>
      <c r="W2143" s="10"/>
      <c r="X2143" s="10"/>
      <c r="Y2143" t="str">
        <f t="shared" ref="Y2143:Y2146" si="855">LEFT(G2143,4)</f>
        <v>5009</v>
      </c>
      <c r="AB2143" s="10"/>
      <c r="AC2143" s="10"/>
      <c r="AD2143" s="10"/>
      <c r="AE2143" s="10"/>
      <c r="AF2143" s="10"/>
      <c r="AG2143" s="10"/>
      <c r="AH2143" s="10"/>
      <c r="AI2143" s="10"/>
    </row>
    <row r="2144" spans="1:35">
      <c r="A2144" s="10"/>
      <c r="B2144" s="10" t="str">
        <f t="shared" si="854"/>
        <v>Post</v>
      </c>
      <c r="C2144" t="s">
        <v>1</v>
      </c>
      <c r="D2144" t="s">
        <v>19</v>
      </c>
      <c r="E2144" t="s">
        <v>214</v>
      </c>
      <c r="G2144" t="s">
        <v>1197</v>
      </c>
      <c r="I2144" s="10"/>
      <c r="J2144" s="107">
        <f>SUMIF(Data!C:C,G2144,Data!Q:Q)</f>
        <v>0</v>
      </c>
      <c r="K2144" s="107">
        <f>SUMIF(Comprometidos!A:A,'Cost Report'!G2144,Comprometidos!E:E)</f>
        <v>0</v>
      </c>
      <c r="L2144" s="107">
        <f t="shared" si="840"/>
        <v>0</v>
      </c>
      <c r="M2144" s="107">
        <f t="shared" si="841"/>
        <v>0</v>
      </c>
      <c r="N2144" s="107">
        <f t="shared" si="842"/>
        <v>0</v>
      </c>
      <c r="O2144" s="107">
        <f>VLOOKUP(G2144,Budget!$E$3:$G$2474,3,0)</f>
        <v>0</v>
      </c>
      <c r="P2144" s="107">
        <f t="shared" si="843"/>
        <v>0</v>
      </c>
      <c r="Q2144" s="107"/>
      <c r="R2144" s="10"/>
      <c r="S2144" s="107">
        <v>0</v>
      </c>
      <c r="T2144" s="107">
        <f t="shared" si="825"/>
        <v>0</v>
      </c>
      <c r="U2144" s="107"/>
      <c r="V2144" s="175"/>
      <c r="W2144" s="10"/>
      <c r="X2144" s="10"/>
      <c r="Y2144" t="str">
        <f t="shared" si="855"/>
        <v>5009</v>
      </c>
      <c r="AB2144" s="10"/>
      <c r="AC2144" s="10"/>
      <c r="AD2144" s="10"/>
      <c r="AE2144" s="10"/>
      <c r="AF2144" s="10"/>
      <c r="AG2144" s="10"/>
      <c r="AH2144" s="10"/>
      <c r="AI2144" s="10"/>
    </row>
    <row r="2145" spans="1:35">
      <c r="A2145" s="10"/>
      <c r="B2145" s="10" t="str">
        <f t="shared" si="854"/>
        <v>PostPREP</v>
      </c>
      <c r="C2145" t="s">
        <v>1</v>
      </c>
      <c r="D2145" t="s">
        <v>19</v>
      </c>
      <c r="E2145" t="s">
        <v>234</v>
      </c>
      <c r="G2145" t="s">
        <v>1198</v>
      </c>
      <c r="I2145" s="10"/>
      <c r="J2145" s="107">
        <f>SUMIF(Data!C:C,G2145,Data!Q:Q)</f>
        <v>66000</v>
      </c>
      <c r="K2145" s="107">
        <f>SUMIF(Comprometidos!A:A,'Cost Report'!G2145,Comprometidos!E:E)</f>
        <v>0</v>
      </c>
      <c r="L2145" s="107">
        <f t="shared" si="840"/>
        <v>66000</v>
      </c>
      <c r="M2145" s="107">
        <f t="shared" si="841"/>
        <v>0</v>
      </c>
      <c r="N2145" s="107">
        <f t="shared" si="842"/>
        <v>66000</v>
      </c>
      <c r="O2145" s="107">
        <f>VLOOKUP(G2145,Budget!$E$3:$G$2474,3,0)</f>
        <v>66000</v>
      </c>
      <c r="P2145" s="107">
        <f t="shared" si="843"/>
        <v>0</v>
      </c>
      <c r="Q2145" s="107"/>
      <c r="R2145" s="10"/>
      <c r="S2145" s="107">
        <v>66000</v>
      </c>
      <c r="T2145" s="107">
        <f t="shared" ref="T2145:T2208" si="856">+S2145-N2145</f>
        <v>0</v>
      </c>
      <c r="U2145" s="107"/>
      <c r="V2145" s="175"/>
      <c r="W2145" s="10"/>
      <c r="X2145" s="10"/>
      <c r="Y2145" t="str">
        <f t="shared" si="855"/>
        <v>5009</v>
      </c>
      <c r="AB2145" s="10"/>
      <c r="AC2145" s="10"/>
      <c r="AD2145" s="10"/>
      <c r="AE2145" s="10"/>
      <c r="AF2145" s="10"/>
      <c r="AG2145" s="10"/>
      <c r="AH2145" s="10"/>
      <c r="AI2145" s="10"/>
    </row>
    <row r="2146" spans="1:35">
      <c r="A2146" s="10"/>
      <c r="B2146" s="10" t="str">
        <f t="shared" si="854"/>
        <v>PostPOST</v>
      </c>
      <c r="C2146" t="s">
        <v>1</v>
      </c>
      <c r="D2146" t="s">
        <v>19</v>
      </c>
      <c r="E2146" t="s">
        <v>468</v>
      </c>
      <c r="G2146" t="s">
        <v>3011</v>
      </c>
      <c r="I2146" s="10"/>
      <c r="J2146" s="107">
        <f>SUMIF(Data!C:C,G2146,Data!Q:Q)</f>
        <v>605000</v>
      </c>
      <c r="K2146" s="107">
        <f>SUMIF(Comprometidos!A:A,'Cost Report'!G2146,Comprometidos!E:E)</f>
        <v>0</v>
      </c>
      <c r="L2146" s="107">
        <f t="shared" si="840"/>
        <v>605000</v>
      </c>
      <c r="M2146" s="107">
        <f>+O2146-L2146+33000</f>
        <v>0</v>
      </c>
      <c r="N2146" s="107">
        <f t="shared" si="842"/>
        <v>605000</v>
      </c>
      <c r="O2146" s="107">
        <f>VLOOKUP(G2146,Budget!$E$3:$G$2474,3,0)</f>
        <v>572000</v>
      </c>
      <c r="P2146" s="107">
        <f t="shared" si="843"/>
        <v>-33000</v>
      </c>
      <c r="Q2146" s="107"/>
      <c r="R2146" s="10"/>
      <c r="S2146" s="107">
        <v>605000</v>
      </c>
      <c r="T2146" s="107">
        <f t="shared" si="856"/>
        <v>0</v>
      </c>
      <c r="U2146" s="107"/>
      <c r="V2146" s="175"/>
      <c r="W2146" s="10"/>
      <c r="X2146" s="10"/>
      <c r="Y2146" t="str">
        <f t="shared" si="855"/>
        <v>5009</v>
      </c>
      <c r="AB2146" s="10"/>
      <c r="AC2146" s="10"/>
      <c r="AD2146" s="10"/>
      <c r="AE2146" s="10"/>
      <c r="AF2146" s="10"/>
      <c r="AG2146" s="10"/>
      <c r="AH2146" s="10"/>
      <c r="AI2146" s="10"/>
    </row>
    <row r="2147" spans="1:35">
      <c r="A2147" s="10"/>
      <c r="B2147" s="10" t="str">
        <f>+C2147</f>
        <v>Post</v>
      </c>
      <c r="C2147" s="128" t="s">
        <v>1</v>
      </c>
      <c r="D2147" s="128" t="s">
        <v>2117</v>
      </c>
      <c r="E2147" s="128"/>
      <c r="F2147" s="128"/>
      <c r="G2147" s="128" t="s">
        <v>1199</v>
      </c>
      <c r="H2147" s="128"/>
      <c r="I2147" s="10"/>
      <c r="J2147" s="129">
        <f>SUMIF($Y$11:$Y$2484,G2147,J$11:J$2484)</f>
        <v>335500</v>
      </c>
      <c r="K2147" s="129">
        <f>SUMIF($Y$11:$Y$2484,G2147,K$11:K$2484)</f>
        <v>0</v>
      </c>
      <c r="L2147" s="129">
        <f>SUMIF($Y$11:$Y$2484,G2147,L$11:L$2484)</f>
        <v>335500</v>
      </c>
      <c r="M2147" s="129">
        <f>SUMIF($Y$11:$Y$2484,G2147,M$11:M$2484)</f>
        <v>0</v>
      </c>
      <c r="N2147" s="129">
        <f>SUMIF($Y$11:$Y$2484,G2147,N$11:N$2484)</f>
        <v>335500</v>
      </c>
      <c r="O2147" s="129">
        <f>SUMIF($Y$11:$Y$2484,G2147,O$11:O$2484)</f>
        <v>319000</v>
      </c>
      <c r="P2147" s="129">
        <f>SUMIF($Y$11:$Y$2484,G2147,P$11:P$2484)</f>
        <v>-16500</v>
      </c>
      <c r="Q2147" s="129"/>
      <c r="R2147" s="10"/>
      <c r="S2147" s="129">
        <v>335500</v>
      </c>
      <c r="T2147" s="129">
        <f t="shared" si="856"/>
        <v>0</v>
      </c>
      <c r="U2147" s="128"/>
      <c r="V2147" s="175"/>
      <c r="W2147" s="10"/>
      <c r="X2147" s="10"/>
      <c r="Z2147" t="str">
        <f>LEFT(G2147,2)</f>
        <v>50</v>
      </c>
      <c r="AA2147" t="str">
        <f>+Z2147&amp;"00"</f>
        <v>5000</v>
      </c>
      <c r="AB2147" s="10"/>
      <c r="AC2147" s="10"/>
      <c r="AD2147" s="10"/>
      <c r="AE2147" s="10"/>
      <c r="AF2147" s="10"/>
      <c r="AG2147" s="10"/>
      <c r="AH2147" s="10"/>
      <c r="AI2147" s="10"/>
    </row>
    <row r="2148" spans="1:35">
      <c r="A2148" s="10"/>
      <c r="B2148" s="10" t="str">
        <f t="shared" ref="B2148:B2151" si="857">+C2148&amp;E2148</f>
        <v>Post</v>
      </c>
      <c r="C2148" t="s">
        <v>1</v>
      </c>
      <c r="D2148" t="s">
        <v>19</v>
      </c>
      <c r="E2148" t="s">
        <v>214</v>
      </c>
      <c r="G2148" t="s">
        <v>1200</v>
      </c>
      <c r="I2148" s="10"/>
      <c r="J2148" s="107">
        <f>SUMIF(Data!C:C,G2148,Data!Q:Q)</f>
        <v>0</v>
      </c>
      <c r="K2148" s="107">
        <f>SUMIF(Comprometidos!A:A,'Cost Report'!G2148,Comprometidos!E:E)</f>
        <v>0</v>
      </c>
      <c r="L2148" s="107">
        <f t="shared" si="840"/>
        <v>0</v>
      </c>
      <c r="M2148" s="107">
        <f t="shared" si="841"/>
        <v>0</v>
      </c>
      <c r="N2148" s="107">
        <f t="shared" si="842"/>
        <v>0</v>
      </c>
      <c r="O2148" s="107">
        <f>VLOOKUP(G2148,Budget!$E$3:$G$2474,3,0)</f>
        <v>0</v>
      </c>
      <c r="P2148" s="107">
        <f t="shared" si="843"/>
        <v>0</v>
      </c>
      <c r="Q2148" s="107"/>
      <c r="R2148" s="10"/>
      <c r="S2148" s="107">
        <v>0</v>
      </c>
      <c r="T2148" s="107">
        <f t="shared" si="856"/>
        <v>0</v>
      </c>
      <c r="U2148" s="107"/>
      <c r="V2148" s="175"/>
      <c r="W2148" s="10"/>
      <c r="X2148" s="10"/>
      <c r="Y2148" t="str">
        <f t="shared" ref="Y2148:Y2151" si="858">LEFT(G2148,4)</f>
        <v>5010</v>
      </c>
      <c r="AB2148" s="10"/>
      <c r="AC2148" s="10"/>
      <c r="AD2148" s="10"/>
      <c r="AE2148" s="10"/>
      <c r="AF2148" s="10"/>
      <c r="AG2148" s="10"/>
      <c r="AH2148" s="10"/>
      <c r="AI2148" s="10"/>
    </row>
    <row r="2149" spans="1:35">
      <c r="A2149" s="10"/>
      <c r="B2149" s="10" t="str">
        <f t="shared" si="857"/>
        <v>Post</v>
      </c>
      <c r="C2149" t="s">
        <v>1</v>
      </c>
      <c r="D2149" t="s">
        <v>19</v>
      </c>
      <c r="E2149" t="s">
        <v>214</v>
      </c>
      <c r="G2149" t="s">
        <v>1201</v>
      </c>
      <c r="I2149" s="10"/>
      <c r="J2149" s="107">
        <f>SUMIF(Data!C:C,G2149,Data!Q:Q)</f>
        <v>0</v>
      </c>
      <c r="K2149" s="107">
        <f>SUMIF(Comprometidos!A:A,'Cost Report'!G2149,Comprometidos!E:E)</f>
        <v>0</v>
      </c>
      <c r="L2149" s="107">
        <f t="shared" si="840"/>
        <v>0</v>
      </c>
      <c r="M2149" s="107">
        <f t="shared" si="841"/>
        <v>0</v>
      </c>
      <c r="N2149" s="107">
        <f t="shared" si="842"/>
        <v>0</v>
      </c>
      <c r="O2149" s="107">
        <f>VLOOKUP(G2149,Budget!$E$3:$G$2474,3,0)</f>
        <v>0</v>
      </c>
      <c r="P2149" s="107">
        <f t="shared" si="843"/>
        <v>0</v>
      </c>
      <c r="Q2149" s="107"/>
      <c r="R2149" s="10"/>
      <c r="S2149" s="107">
        <v>0</v>
      </c>
      <c r="T2149" s="107">
        <f t="shared" si="856"/>
        <v>0</v>
      </c>
      <c r="U2149" s="107"/>
      <c r="V2149" s="175"/>
      <c r="W2149" s="10"/>
      <c r="X2149" s="10"/>
      <c r="Y2149" t="str">
        <f t="shared" si="858"/>
        <v>5010</v>
      </c>
      <c r="AB2149" s="10"/>
      <c r="AC2149" s="10"/>
      <c r="AD2149" s="10"/>
      <c r="AE2149" s="10"/>
      <c r="AF2149" s="10"/>
      <c r="AG2149" s="10"/>
      <c r="AH2149" s="10"/>
      <c r="AI2149" s="10"/>
    </row>
    <row r="2150" spans="1:35">
      <c r="A2150" s="10"/>
      <c r="B2150" s="10" t="str">
        <f t="shared" si="857"/>
        <v>PostPREP</v>
      </c>
      <c r="C2150" t="s">
        <v>1</v>
      </c>
      <c r="D2150" t="s">
        <v>19</v>
      </c>
      <c r="E2150" t="s">
        <v>234</v>
      </c>
      <c r="G2150" t="s">
        <v>1202</v>
      </c>
      <c r="I2150" s="10"/>
      <c r="J2150" s="107">
        <f>SUMIF(Data!C:C,G2150,Data!Q:Q)</f>
        <v>33000</v>
      </c>
      <c r="K2150" s="107">
        <f>SUMIF(Comprometidos!A:A,'Cost Report'!G2150,Comprometidos!E:E)</f>
        <v>0</v>
      </c>
      <c r="L2150" s="107">
        <f t="shared" si="840"/>
        <v>33000</v>
      </c>
      <c r="M2150" s="107">
        <f t="shared" si="841"/>
        <v>0</v>
      </c>
      <c r="N2150" s="107">
        <f t="shared" si="842"/>
        <v>33000</v>
      </c>
      <c r="O2150" s="107">
        <f>VLOOKUP(G2150,Budget!$E$3:$G$2474,3,0)</f>
        <v>33000</v>
      </c>
      <c r="P2150" s="107">
        <f t="shared" si="843"/>
        <v>0</v>
      </c>
      <c r="Q2150" s="107"/>
      <c r="R2150" s="10"/>
      <c r="S2150" s="107">
        <v>33000</v>
      </c>
      <c r="T2150" s="107">
        <f t="shared" si="856"/>
        <v>0</v>
      </c>
      <c r="U2150" s="107"/>
      <c r="V2150" s="175"/>
      <c r="W2150" s="10"/>
      <c r="X2150" s="10"/>
      <c r="Y2150" t="str">
        <f t="shared" si="858"/>
        <v>5010</v>
      </c>
      <c r="AB2150" s="10"/>
      <c r="AC2150" s="10"/>
      <c r="AD2150" s="10"/>
      <c r="AE2150" s="10"/>
      <c r="AF2150" s="10"/>
      <c r="AG2150" s="10"/>
      <c r="AH2150" s="10"/>
      <c r="AI2150" s="10"/>
    </row>
    <row r="2151" spans="1:35">
      <c r="A2151" s="10"/>
      <c r="B2151" s="10" t="str">
        <f t="shared" si="857"/>
        <v>PostPOST</v>
      </c>
      <c r="C2151" t="s">
        <v>1</v>
      </c>
      <c r="D2151" t="s">
        <v>19</v>
      </c>
      <c r="E2151" t="s">
        <v>468</v>
      </c>
      <c r="G2151" t="s">
        <v>3012</v>
      </c>
      <c r="I2151" s="10"/>
      <c r="J2151" s="107">
        <f>SUMIF(Data!C:C,G2151,Data!Q:Q)</f>
        <v>302500</v>
      </c>
      <c r="K2151" s="107">
        <f>SUMIF(Comprometidos!A:A,'Cost Report'!G2151,Comprometidos!E:E)</f>
        <v>0</v>
      </c>
      <c r="L2151" s="107">
        <f t="shared" si="840"/>
        <v>302500</v>
      </c>
      <c r="M2151" s="107">
        <f>+O2151-L2151+16500</f>
        <v>0</v>
      </c>
      <c r="N2151" s="107">
        <f t="shared" si="842"/>
        <v>302500</v>
      </c>
      <c r="O2151" s="107">
        <f>VLOOKUP(G2151,Budget!$E$3:$G$2474,3,0)</f>
        <v>286000</v>
      </c>
      <c r="P2151" s="107">
        <f t="shared" si="843"/>
        <v>-16500</v>
      </c>
      <c r="Q2151" s="107"/>
      <c r="R2151" s="10"/>
      <c r="S2151" s="107">
        <v>302500</v>
      </c>
      <c r="T2151" s="107">
        <f t="shared" si="856"/>
        <v>0</v>
      </c>
      <c r="U2151" s="107"/>
      <c r="V2151" s="175"/>
      <c r="W2151" s="10"/>
      <c r="X2151" s="10"/>
      <c r="Y2151" t="str">
        <f t="shared" si="858"/>
        <v>5010</v>
      </c>
      <c r="AB2151" s="10"/>
      <c r="AC2151" s="10"/>
      <c r="AD2151" s="10"/>
      <c r="AE2151" s="10"/>
      <c r="AF2151" s="10"/>
      <c r="AG2151" s="10"/>
      <c r="AH2151" s="10"/>
      <c r="AI2151" s="10"/>
    </row>
    <row r="2152" spans="1:35">
      <c r="A2152" s="10"/>
      <c r="B2152" s="10" t="str">
        <f>+C2152</f>
        <v>Post</v>
      </c>
      <c r="C2152" s="128" t="s">
        <v>1</v>
      </c>
      <c r="D2152" s="128" t="s">
        <v>2117</v>
      </c>
      <c r="E2152" s="128"/>
      <c r="F2152" s="128"/>
      <c r="G2152" s="128" t="s">
        <v>1203</v>
      </c>
      <c r="H2152" s="128"/>
      <c r="I2152" s="10"/>
      <c r="J2152" s="129">
        <f>SUMIF($Y$11:$Y$2484,G2152,J$11:J$2484)</f>
        <v>194200</v>
      </c>
      <c r="K2152" s="129">
        <f>SUMIF($Y$11:$Y$2484,G2152,K$11:K$2484)</f>
        <v>0</v>
      </c>
      <c r="L2152" s="129">
        <f>SUMIF($Y$11:$Y$2484,G2152,L$11:L$2484)</f>
        <v>194200</v>
      </c>
      <c r="M2152" s="129">
        <f>SUMIF($Y$11:$Y$2484,G2152,M$11:M$2484)</f>
        <v>0</v>
      </c>
      <c r="N2152" s="129">
        <f>SUMIF($Y$11:$Y$2484,G2152,N$11:N$2484)</f>
        <v>194200</v>
      </c>
      <c r="O2152" s="129">
        <f>SUMIF($Y$11:$Y$2484,G2152,O$11:O$2484)</f>
        <v>194200</v>
      </c>
      <c r="P2152" s="129">
        <f>SUMIF($Y$11:$Y$2484,G2152,P$11:P$2484)</f>
        <v>0</v>
      </c>
      <c r="Q2152" s="129"/>
      <c r="R2152" s="10"/>
      <c r="S2152" s="129">
        <v>194200</v>
      </c>
      <c r="T2152" s="129">
        <f t="shared" si="856"/>
        <v>0</v>
      </c>
      <c r="U2152" s="128"/>
      <c r="V2152" s="175"/>
      <c r="W2152" s="10"/>
      <c r="X2152" s="10"/>
      <c r="Z2152" t="str">
        <f>LEFT(G2152,2)</f>
        <v>50</v>
      </c>
      <c r="AA2152" t="str">
        <f>+Z2152&amp;"00"</f>
        <v>5000</v>
      </c>
      <c r="AB2152" s="10"/>
      <c r="AC2152" s="10"/>
      <c r="AD2152" s="10"/>
      <c r="AE2152" s="10"/>
      <c r="AF2152" s="10"/>
      <c r="AG2152" s="10"/>
      <c r="AH2152" s="10"/>
      <c r="AI2152" s="10"/>
    </row>
    <row r="2153" spans="1:35">
      <c r="A2153" s="10"/>
      <c r="B2153" s="10" t="str">
        <f t="shared" ref="B2153:B2158" si="859">+C2153&amp;E2153</f>
        <v>Post</v>
      </c>
      <c r="C2153" t="s">
        <v>1</v>
      </c>
      <c r="D2153" t="s">
        <v>19</v>
      </c>
      <c r="E2153" t="s">
        <v>214</v>
      </c>
      <c r="G2153" t="s">
        <v>1204</v>
      </c>
      <c r="I2153" s="10"/>
      <c r="J2153" s="107">
        <f>SUMIF(Data!C:C,G2153,Data!Q:Q)</f>
        <v>0</v>
      </c>
      <c r="K2153" s="107">
        <f>SUMIF(Comprometidos!A:A,'Cost Report'!G2153,Comprometidos!E:E)</f>
        <v>0</v>
      </c>
      <c r="L2153" s="107">
        <f t="shared" si="840"/>
        <v>0</v>
      </c>
      <c r="M2153" s="107">
        <f t="shared" si="841"/>
        <v>0</v>
      </c>
      <c r="N2153" s="107">
        <f t="shared" si="842"/>
        <v>0</v>
      </c>
      <c r="O2153" s="107">
        <f>VLOOKUP(G2153,Budget!$E$3:$G$2474,3,0)</f>
        <v>0</v>
      </c>
      <c r="P2153" s="107">
        <f t="shared" si="843"/>
        <v>0</v>
      </c>
      <c r="Q2153" s="107"/>
      <c r="R2153" s="10"/>
      <c r="S2153" s="107">
        <v>0</v>
      </c>
      <c r="T2153" s="107">
        <f t="shared" si="856"/>
        <v>0</v>
      </c>
      <c r="U2153" s="107"/>
      <c r="V2153" s="175"/>
      <c r="W2153" s="10"/>
      <c r="X2153" s="10"/>
      <c r="Y2153" t="str">
        <f t="shared" ref="Y2153:Y2158" si="860">LEFT(G2153,4)</f>
        <v>5011</v>
      </c>
      <c r="AB2153" s="10"/>
      <c r="AC2153" s="10"/>
      <c r="AD2153" s="10"/>
      <c r="AE2153" s="10"/>
      <c r="AF2153" s="10"/>
      <c r="AG2153" s="10"/>
      <c r="AH2153" s="10"/>
      <c r="AI2153" s="10"/>
    </row>
    <row r="2154" spans="1:35">
      <c r="A2154" s="10"/>
      <c r="B2154" s="10" t="str">
        <f t="shared" si="859"/>
        <v>PostPREP</v>
      </c>
      <c r="C2154" t="s">
        <v>1</v>
      </c>
      <c r="D2154" t="s">
        <v>19</v>
      </c>
      <c r="E2154" t="s">
        <v>234</v>
      </c>
      <c r="F2154" t="s">
        <v>5117</v>
      </c>
      <c r="G2154" t="s">
        <v>1205</v>
      </c>
      <c r="I2154" s="10"/>
      <c r="J2154" s="107">
        <f>SUMIF(Data!C:C,G2154,Data!Q:Q)</f>
        <v>3000</v>
      </c>
      <c r="K2154" s="107">
        <f>SUMIF(Comprometidos!A:A,'Cost Report'!G2154,Comprometidos!E:E)</f>
        <v>0</v>
      </c>
      <c r="L2154" s="107">
        <f t="shared" si="840"/>
        <v>3000</v>
      </c>
      <c r="M2154" s="107">
        <f t="shared" si="841"/>
        <v>0</v>
      </c>
      <c r="N2154" s="107">
        <f t="shared" si="842"/>
        <v>3000</v>
      </c>
      <c r="O2154" s="107">
        <f>VLOOKUP(G2154,Budget!$E$3:$G$2474,3,0)</f>
        <v>3000</v>
      </c>
      <c r="P2154" s="107">
        <f t="shared" si="843"/>
        <v>0</v>
      </c>
      <c r="Q2154" s="107"/>
      <c r="R2154" s="10"/>
      <c r="S2154" s="107">
        <v>3000</v>
      </c>
      <c r="T2154" s="107">
        <f t="shared" si="856"/>
        <v>0</v>
      </c>
      <c r="U2154" s="107"/>
      <c r="V2154" s="175"/>
      <c r="W2154" s="10"/>
      <c r="X2154" s="10"/>
      <c r="Y2154" t="str">
        <f t="shared" si="860"/>
        <v>5011</v>
      </c>
      <c r="AB2154" s="10"/>
      <c r="AC2154" s="10"/>
      <c r="AD2154" s="10"/>
      <c r="AE2154" s="10"/>
      <c r="AF2154" s="10"/>
      <c r="AG2154" s="10"/>
      <c r="AH2154" s="10"/>
      <c r="AI2154" s="10"/>
    </row>
    <row r="2155" spans="1:35">
      <c r="A2155" s="10"/>
      <c r="B2155" s="10" t="str">
        <f t="shared" si="859"/>
        <v>PostPOST</v>
      </c>
      <c r="C2155" t="s">
        <v>1</v>
      </c>
      <c r="D2155" t="s">
        <v>19</v>
      </c>
      <c r="E2155" t="s">
        <v>468</v>
      </c>
      <c r="F2155" t="s">
        <v>5117</v>
      </c>
      <c r="G2155" t="s">
        <v>1774</v>
      </c>
      <c r="I2155" s="10"/>
      <c r="J2155" s="107">
        <f>SUMIF(Data!C:C,G2155,Data!Q:Q)</f>
        <v>187200</v>
      </c>
      <c r="K2155" s="107">
        <f>SUMIF(Comprometidos!A:A,'Cost Report'!G2155,Comprometidos!E:E)</f>
        <v>0</v>
      </c>
      <c r="L2155" s="107">
        <f t="shared" si="840"/>
        <v>187200</v>
      </c>
      <c r="M2155" s="107">
        <f t="shared" si="841"/>
        <v>0</v>
      </c>
      <c r="N2155" s="107">
        <f t="shared" si="842"/>
        <v>187200</v>
      </c>
      <c r="O2155" s="107">
        <f>VLOOKUP(G2155,Budget!$E$3:$G$2474,3,0)</f>
        <v>187200</v>
      </c>
      <c r="P2155" s="107">
        <f t="shared" si="843"/>
        <v>0</v>
      </c>
      <c r="Q2155" s="107"/>
      <c r="R2155" s="10"/>
      <c r="S2155" s="107">
        <v>187200</v>
      </c>
      <c r="T2155" s="107">
        <f t="shared" si="856"/>
        <v>0</v>
      </c>
      <c r="U2155" s="107"/>
      <c r="V2155" s="175"/>
      <c r="W2155" s="10"/>
      <c r="X2155" s="10"/>
      <c r="Y2155" t="str">
        <f t="shared" si="860"/>
        <v>5011</v>
      </c>
      <c r="AB2155" s="10"/>
      <c r="AC2155" s="10"/>
      <c r="AD2155" s="10"/>
      <c r="AE2155" s="10"/>
      <c r="AF2155" s="10"/>
      <c r="AG2155" s="10"/>
      <c r="AH2155" s="10"/>
      <c r="AI2155" s="10"/>
    </row>
    <row r="2156" spans="1:35">
      <c r="A2156" s="10"/>
      <c r="B2156" s="10" t="str">
        <f t="shared" si="859"/>
        <v>Post</v>
      </c>
      <c r="C2156" t="s">
        <v>1</v>
      </c>
      <c r="D2156" t="s">
        <v>19</v>
      </c>
      <c r="E2156" t="s">
        <v>214</v>
      </c>
      <c r="G2156" t="s">
        <v>3013</v>
      </c>
      <c r="I2156" s="10"/>
      <c r="J2156" s="107">
        <f>SUMIF(Data!C:C,G2156,Data!Q:Q)</f>
        <v>0</v>
      </c>
      <c r="K2156" s="107">
        <f>SUMIF(Comprometidos!A:A,'Cost Report'!G2156,Comprometidos!E:E)</f>
        <v>0</v>
      </c>
      <c r="L2156" s="107">
        <f t="shared" si="840"/>
        <v>0</v>
      </c>
      <c r="M2156" s="107">
        <f t="shared" si="841"/>
        <v>0</v>
      </c>
      <c r="N2156" s="107">
        <f t="shared" si="842"/>
        <v>0</v>
      </c>
      <c r="O2156" s="107">
        <f>VLOOKUP(G2156,Budget!$E$3:$G$2474,3,0)</f>
        <v>0</v>
      </c>
      <c r="P2156" s="107">
        <f t="shared" si="843"/>
        <v>0</v>
      </c>
      <c r="Q2156" s="107"/>
      <c r="R2156" s="10"/>
      <c r="S2156" s="107">
        <v>0</v>
      </c>
      <c r="T2156" s="107">
        <f t="shared" si="856"/>
        <v>0</v>
      </c>
      <c r="U2156" s="107"/>
      <c r="V2156" s="175"/>
      <c r="W2156" s="10"/>
      <c r="X2156" s="10"/>
      <c r="Y2156" t="str">
        <f t="shared" si="860"/>
        <v>5011</v>
      </c>
      <c r="AB2156" s="10"/>
      <c r="AC2156" s="10"/>
      <c r="AD2156" s="10"/>
      <c r="AE2156" s="10"/>
      <c r="AF2156" s="10"/>
      <c r="AG2156" s="10"/>
      <c r="AH2156" s="10"/>
      <c r="AI2156" s="10"/>
    </row>
    <row r="2157" spans="1:35">
      <c r="A2157" s="10"/>
      <c r="B2157" s="10" t="str">
        <f t="shared" si="859"/>
        <v>Post</v>
      </c>
      <c r="C2157" t="s">
        <v>1</v>
      </c>
      <c r="D2157" t="s">
        <v>19</v>
      </c>
      <c r="E2157" t="s">
        <v>214</v>
      </c>
      <c r="G2157" t="s">
        <v>3014</v>
      </c>
      <c r="I2157" s="10"/>
      <c r="J2157" s="107">
        <f>SUMIF(Data!C:C,G2157,Data!Q:Q)</f>
        <v>0</v>
      </c>
      <c r="K2157" s="107">
        <f>SUMIF(Comprometidos!A:A,'Cost Report'!G2157,Comprometidos!E:E)</f>
        <v>0</v>
      </c>
      <c r="L2157" s="107">
        <f t="shared" si="840"/>
        <v>0</v>
      </c>
      <c r="M2157" s="107">
        <f t="shared" si="841"/>
        <v>0</v>
      </c>
      <c r="N2157" s="107">
        <f t="shared" si="842"/>
        <v>0</v>
      </c>
      <c r="O2157" s="107">
        <f>VLOOKUP(G2157,Budget!$E$3:$G$2474,3,0)</f>
        <v>0</v>
      </c>
      <c r="P2157" s="107">
        <f t="shared" si="843"/>
        <v>0</v>
      </c>
      <c r="Q2157" s="107"/>
      <c r="R2157" s="10"/>
      <c r="S2157" s="107">
        <v>0</v>
      </c>
      <c r="T2157" s="107">
        <f t="shared" si="856"/>
        <v>0</v>
      </c>
      <c r="U2157" s="107"/>
      <c r="V2157" s="175"/>
      <c r="W2157" s="10"/>
      <c r="X2157" s="10"/>
      <c r="Y2157" t="str">
        <f t="shared" si="860"/>
        <v>5011</v>
      </c>
      <c r="AB2157" s="10"/>
      <c r="AC2157" s="10"/>
      <c r="AD2157" s="10"/>
      <c r="AE2157" s="10"/>
      <c r="AF2157" s="10"/>
      <c r="AG2157" s="10"/>
      <c r="AH2157" s="10"/>
      <c r="AI2157" s="10"/>
    </row>
    <row r="2158" spans="1:35">
      <c r="A2158" s="10"/>
      <c r="B2158" s="10" t="str">
        <f t="shared" si="859"/>
        <v>PostALL SHOW</v>
      </c>
      <c r="C2158" t="s">
        <v>1</v>
      </c>
      <c r="D2158" t="s">
        <v>19</v>
      </c>
      <c r="E2158" t="s">
        <v>227</v>
      </c>
      <c r="F2158" t="s">
        <v>5117</v>
      </c>
      <c r="G2158" t="s">
        <v>3015</v>
      </c>
      <c r="I2158" s="10"/>
      <c r="J2158" s="107">
        <f>SUMIF(Data!C:C,G2158,Data!Q:Q)</f>
        <v>4000</v>
      </c>
      <c r="K2158" s="107">
        <f>SUMIF(Comprometidos!A:A,'Cost Report'!G2158,Comprometidos!E:E)</f>
        <v>0</v>
      </c>
      <c r="L2158" s="107">
        <f t="shared" si="840"/>
        <v>4000</v>
      </c>
      <c r="M2158" s="107">
        <f t="shared" si="841"/>
        <v>0</v>
      </c>
      <c r="N2158" s="107">
        <f t="shared" si="842"/>
        <v>4000</v>
      </c>
      <c r="O2158" s="107">
        <f>VLOOKUP(G2158,Budget!$E$3:$G$2474,3,0)</f>
        <v>4000</v>
      </c>
      <c r="P2158" s="107">
        <f t="shared" si="843"/>
        <v>0</v>
      </c>
      <c r="Q2158" s="107"/>
      <c r="R2158" s="10"/>
      <c r="S2158" s="107">
        <v>4000</v>
      </c>
      <c r="T2158" s="107">
        <f t="shared" si="856"/>
        <v>0</v>
      </c>
      <c r="U2158" s="107"/>
      <c r="V2158" s="175"/>
      <c r="W2158" s="10"/>
      <c r="X2158" s="10"/>
      <c r="Y2158" t="str">
        <f t="shared" si="860"/>
        <v>5011</v>
      </c>
      <c r="AB2158" s="10"/>
      <c r="AC2158" s="10"/>
      <c r="AD2158" s="10"/>
      <c r="AE2158" s="10"/>
      <c r="AF2158" s="10"/>
      <c r="AG2158" s="10"/>
      <c r="AH2158" s="10"/>
      <c r="AI2158" s="10"/>
    </row>
    <row r="2159" spans="1:35">
      <c r="A2159" s="10"/>
      <c r="B2159" s="10" t="str">
        <f>+C2159</f>
        <v>Post</v>
      </c>
      <c r="C2159" s="128" t="s">
        <v>1</v>
      </c>
      <c r="D2159" s="128" t="s">
        <v>2117</v>
      </c>
      <c r="E2159" s="128"/>
      <c r="F2159" s="128"/>
      <c r="G2159" s="128" t="s">
        <v>1206</v>
      </c>
      <c r="H2159" s="128"/>
      <c r="I2159" s="10"/>
      <c r="J2159" s="129">
        <f>SUMIF($Y$11:$Y$2484,G2159,J$11:J$2484)</f>
        <v>96400</v>
      </c>
      <c r="K2159" s="129">
        <f>SUMIF($Y$11:$Y$2484,G2159,K$11:K$2484)</f>
        <v>0</v>
      </c>
      <c r="L2159" s="129">
        <f>SUMIF($Y$11:$Y$2484,G2159,L$11:L$2484)</f>
        <v>96400</v>
      </c>
      <c r="M2159" s="129">
        <f>SUMIF($Y$11:$Y$2484,G2159,M$11:M$2484)</f>
        <v>0</v>
      </c>
      <c r="N2159" s="129">
        <f>SUMIF($Y$11:$Y$2484,G2159,N$11:N$2484)</f>
        <v>96400</v>
      </c>
      <c r="O2159" s="129">
        <f>SUMIF($Y$11:$Y$2484,G2159,O$11:O$2484)</f>
        <v>96400</v>
      </c>
      <c r="P2159" s="129">
        <f>SUMIF($Y$11:$Y$2484,G2159,P$11:P$2484)</f>
        <v>0</v>
      </c>
      <c r="Q2159" s="129"/>
      <c r="R2159" s="10"/>
      <c r="S2159" s="129">
        <v>96400</v>
      </c>
      <c r="T2159" s="129">
        <f t="shared" si="856"/>
        <v>0</v>
      </c>
      <c r="U2159" s="128"/>
      <c r="V2159" s="175"/>
      <c r="W2159" s="10"/>
      <c r="X2159" s="10"/>
      <c r="Z2159" t="str">
        <f>LEFT(G2159,2)</f>
        <v>50</v>
      </c>
      <c r="AA2159" t="str">
        <f>+Z2159&amp;"00"</f>
        <v>5000</v>
      </c>
      <c r="AB2159" s="10"/>
      <c r="AC2159" s="10"/>
      <c r="AD2159" s="10"/>
      <c r="AE2159" s="10"/>
      <c r="AF2159" s="10"/>
      <c r="AG2159" s="10"/>
      <c r="AH2159" s="10"/>
      <c r="AI2159" s="10"/>
    </row>
    <row r="2160" spans="1:35">
      <c r="A2160" s="10"/>
      <c r="B2160" s="10" t="str">
        <f t="shared" ref="B2160:B2164" si="861">+C2160&amp;E2160</f>
        <v>Post</v>
      </c>
      <c r="C2160" t="s">
        <v>1</v>
      </c>
      <c r="D2160" t="s">
        <v>19</v>
      </c>
      <c r="E2160" t="s">
        <v>214</v>
      </c>
      <c r="G2160" t="s">
        <v>1207</v>
      </c>
      <c r="I2160" s="10"/>
      <c r="J2160" s="107">
        <f>SUMIF(Data!C:C,G2160,Data!Q:Q)</f>
        <v>0</v>
      </c>
      <c r="K2160" s="107">
        <f>SUMIF(Comprometidos!A:A,'Cost Report'!G2160,Comprometidos!E:E)</f>
        <v>0</v>
      </c>
      <c r="L2160" s="107">
        <f t="shared" si="840"/>
        <v>0</v>
      </c>
      <c r="M2160" s="107">
        <f t="shared" si="841"/>
        <v>0</v>
      </c>
      <c r="N2160" s="107">
        <f t="shared" si="842"/>
        <v>0</v>
      </c>
      <c r="O2160" s="107">
        <f>VLOOKUP(G2160,Budget!$E$3:$G$2474,3,0)</f>
        <v>0</v>
      </c>
      <c r="P2160" s="107">
        <f t="shared" si="843"/>
        <v>0</v>
      </c>
      <c r="Q2160" s="107"/>
      <c r="R2160" s="10"/>
      <c r="S2160" s="107">
        <v>0</v>
      </c>
      <c r="T2160" s="107">
        <f t="shared" si="856"/>
        <v>0</v>
      </c>
      <c r="U2160" s="107"/>
      <c r="V2160" s="175"/>
      <c r="W2160" s="10"/>
      <c r="X2160" s="10"/>
      <c r="Y2160" t="str">
        <f t="shared" ref="Y2160:Y2164" si="862">LEFT(G2160,4)</f>
        <v>5018</v>
      </c>
      <c r="AB2160" s="10"/>
      <c r="AC2160" s="10"/>
      <c r="AD2160" s="10"/>
      <c r="AE2160" s="10"/>
      <c r="AF2160" s="10"/>
      <c r="AG2160" s="10"/>
      <c r="AH2160" s="10"/>
      <c r="AI2160" s="10"/>
    </row>
    <row r="2161" spans="1:35">
      <c r="A2161" s="10"/>
      <c r="B2161" s="10" t="str">
        <f t="shared" si="861"/>
        <v>PostPOST</v>
      </c>
      <c r="C2161" t="s">
        <v>1</v>
      </c>
      <c r="D2161" t="s">
        <v>19</v>
      </c>
      <c r="E2161" t="s">
        <v>468</v>
      </c>
      <c r="F2161" t="s">
        <v>5117</v>
      </c>
      <c r="G2161" t="s">
        <v>1775</v>
      </c>
      <c r="I2161" s="10"/>
      <c r="J2161" s="107">
        <f>SUMIF(Data!C:C,G2161,Data!Q:Q)</f>
        <v>96000</v>
      </c>
      <c r="K2161" s="107">
        <f>SUMIF(Comprometidos!A:A,'Cost Report'!G2161,Comprometidos!E:E)</f>
        <v>0</v>
      </c>
      <c r="L2161" s="107">
        <f t="shared" si="840"/>
        <v>96000</v>
      </c>
      <c r="M2161" s="107">
        <f t="shared" si="841"/>
        <v>0</v>
      </c>
      <c r="N2161" s="107">
        <f t="shared" si="842"/>
        <v>96000</v>
      </c>
      <c r="O2161" s="107">
        <f>VLOOKUP(G2161,Budget!$E$3:$G$2474,3,0)</f>
        <v>96000</v>
      </c>
      <c r="P2161" s="107">
        <f t="shared" si="843"/>
        <v>0</v>
      </c>
      <c r="Q2161" s="107"/>
      <c r="R2161" s="10"/>
      <c r="S2161" s="107">
        <v>96000</v>
      </c>
      <c r="T2161" s="107">
        <f t="shared" si="856"/>
        <v>0</v>
      </c>
      <c r="U2161" s="107"/>
      <c r="V2161" s="175"/>
      <c r="W2161" s="10"/>
      <c r="X2161" s="10"/>
      <c r="Y2161" t="str">
        <f t="shared" si="862"/>
        <v>5018</v>
      </c>
      <c r="AB2161" s="10"/>
      <c r="AC2161" s="10"/>
      <c r="AD2161" s="10"/>
      <c r="AE2161" s="10"/>
      <c r="AF2161" s="10"/>
      <c r="AG2161" s="10"/>
      <c r="AH2161" s="10"/>
      <c r="AI2161" s="10"/>
    </row>
    <row r="2162" spans="1:35">
      <c r="A2162" s="10"/>
      <c r="B2162" s="10" t="str">
        <f t="shared" si="861"/>
        <v>Post</v>
      </c>
      <c r="C2162" t="s">
        <v>1</v>
      </c>
      <c r="D2162" t="s">
        <v>19</v>
      </c>
      <c r="E2162" t="s">
        <v>214</v>
      </c>
      <c r="G2162" t="s">
        <v>3016</v>
      </c>
      <c r="I2162" s="10"/>
      <c r="J2162" s="107">
        <f>SUMIF(Data!C:C,G2162,Data!Q:Q)</f>
        <v>0</v>
      </c>
      <c r="K2162" s="107">
        <f>SUMIF(Comprometidos!A:A,'Cost Report'!G2162,Comprometidos!E:E)</f>
        <v>0</v>
      </c>
      <c r="L2162" s="107">
        <f t="shared" si="840"/>
        <v>0</v>
      </c>
      <c r="M2162" s="107">
        <f t="shared" si="841"/>
        <v>0</v>
      </c>
      <c r="N2162" s="107">
        <f t="shared" si="842"/>
        <v>0</v>
      </c>
      <c r="O2162" s="107">
        <f>VLOOKUP(G2162,Budget!$E$3:$G$2474,3,0)</f>
        <v>0</v>
      </c>
      <c r="P2162" s="107">
        <f t="shared" si="843"/>
        <v>0</v>
      </c>
      <c r="Q2162" s="107"/>
      <c r="R2162" s="10"/>
      <c r="S2162" s="107">
        <v>0</v>
      </c>
      <c r="T2162" s="107">
        <f t="shared" si="856"/>
        <v>0</v>
      </c>
      <c r="U2162" s="107"/>
      <c r="V2162" s="175"/>
      <c r="W2162" s="10"/>
      <c r="X2162" s="10"/>
      <c r="Y2162" t="str">
        <f t="shared" si="862"/>
        <v>5018</v>
      </c>
      <c r="AB2162" s="10"/>
      <c r="AC2162" s="10"/>
      <c r="AD2162" s="10"/>
      <c r="AE2162" s="10"/>
      <c r="AF2162" s="10"/>
      <c r="AG2162" s="10"/>
      <c r="AH2162" s="10"/>
      <c r="AI2162" s="10"/>
    </row>
    <row r="2163" spans="1:35">
      <c r="A2163" s="10"/>
      <c r="B2163" s="10" t="str">
        <f t="shared" si="861"/>
        <v>Post</v>
      </c>
      <c r="C2163" t="s">
        <v>1</v>
      </c>
      <c r="D2163" t="s">
        <v>19</v>
      </c>
      <c r="E2163" t="s">
        <v>214</v>
      </c>
      <c r="G2163" t="s">
        <v>3017</v>
      </c>
      <c r="I2163" s="10"/>
      <c r="J2163" s="107">
        <f>SUMIF(Data!C:C,G2163,Data!Q:Q)</f>
        <v>0</v>
      </c>
      <c r="K2163" s="107">
        <f>SUMIF(Comprometidos!A:A,'Cost Report'!G2163,Comprometidos!E:E)</f>
        <v>0</v>
      </c>
      <c r="L2163" s="107">
        <f t="shared" si="840"/>
        <v>0</v>
      </c>
      <c r="M2163" s="107">
        <f t="shared" si="841"/>
        <v>0</v>
      </c>
      <c r="N2163" s="107">
        <f t="shared" si="842"/>
        <v>0</v>
      </c>
      <c r="O2163" s="107">
        <f>VLOOKUP(G2163,Budget!$E$3:$G$2474,3,0)</f>
        <v>0</v>
      </c>
      <c r="P2163" s="107">
        <f t="shared" si="843"/>
        <v>0</v>
      </c>
      <c r="Q2163" s="107"/>
      <c r="R2163" s="10"/>
      <c r="S2163" s="107">
        <v>0</v>
      </c>
      <c r="T2163" s="107">
        <f t="shared" si="856"/>
        <v>0</v>
      </c>
      <c r="U2163" s="107"/>
      <c r="V2163" s="175"/>
      <c r="W2163" s="10"/>
      <c r="X2163" s="10"/>
      <c r="Y2163" t="str">
        <f t="shared" si="862"/>
        <v>5018</v>
      </c>
      <c r="AB2163" s="10"/>
      <c r="AC2163" s="10"/>
      <c r="AD2163" s="10"/>
      <c r="AE2163" s="10"/>
      <c r="AF2163" s="10"/>
      <c r="AG2163" s="10"/>
      <c r="AH2163" s="10"/>
      <c r="AI2163" s="10"/>
    </row>
    <row r="2164" spans="1:35">
      <c r="A2164" s="10"/>
      <c r="B2164" s="10" t="str">
        <f t="shared" si="861"/>
        <v>PostALL SHOW</v>
      </c>
      <c r="C2164" t="s">
        <v>1</v>
      </c>
      <c r="D2164" t="s">
        <v>19</v>
      </c>
      <c r="E2164" t="s">
        <v>227</v>
      </c>
      <c r="F2164" t="s">
        <v>5117</v>
      </c>
      <c r="G2164" t="s">
        <v>3018</v>
      </c>
      <c r="I2164" s="10"/>
      <c r="J2164" s="107">
        <f>SUMIF(Data!C:C,G2164,Data!Q:Q)</f>
        <v>400</v>
      </c>
      <c r="K2164" s="107">
        <f>SUMIF(Comprometidos!A:A,'Cost Report'!G2164,Comprometidos!E:E)</f>
        <v>0</v>
      </c>
      <c r="L2164" s="107">
        <f t="shared" si="840"/>
        <v>400</v>
      </c>
      <c r="M2164" s="107">
        <f t="shared" si="841"/>
        <v>0</v>
      </c>
      <c r="N2164" s="107">
        <f t="shared" si="842"/>
        <v>400</v>
      </c>
      <c r="O2164" s="107">
        <f>VLOOKUP(G2164,Budget!$E$3:$G$2474,3,0)</f>
        <v>400</v>
      </c>
      <c r="P2164" s="107">
        <f t="shared" si="843"/>
        <v>0</v>
      </c>
      <c r="Q2164" s="107"/>
      <c r="R2164" s="10"/>
      <c r="S2164" s="107">
        <v>400</v>
      </c>
      <c r="T2164" s="107">
        <f t="shared" si="856"/>
        <v>0</v>
      </c>
      <c r="U2164" s="107"/>
      <c r="V2164" s="175"/>
      <c r="W2164" s="10"/>
      <c r="X2164" s="10"/>
      <c r="Y2164" t="str">
        <f t="shared" si="862"/>
        <v>5018</v>
      </c>
      <c r="AB2164" s="10"/>
      <c r="AC2164" s="10"/>
      <c r="AD2164" s="10"/>
      <c r="AE2164" s="10"/>
      <c r="AF2164" s="10"/>
      <c r="AG2164" s="10"/>
      <c r="AH2164" s="10"/>
      <c r="AI2164" s="10"/>
    </row>
    <row r="2165" spans="1:35">
      <c r="A2165" s="10"/>
      <c r="B2165" s="10" t="str">
        <f>+C2165</f>
        <v>Post</v>
      </c>
      <c r="C2165" s="128" t="s">
        <v>1</v>
      </c>
      <c r="D2165" s="128" t="s">
        <v>2117</v>
      </c>
      <c r="E2165" s="128"/>
      <c r="F2165" s="128"/>
      <c r="G2165" s="128" t="s">
        <v>1208</v>
      </c>
      <c r="H2165" s="128"/>
      <c r="I2165" s="10"/>
      <c r="J2165" s="129">
        <f>SUMIF($Y$11:$Y$2484,G2165,J$11:J$2484)</f>
        <v>1738000</v>
      </c>
      <c r="K2165" s="129">
        <f>SUMIF($Y$11:$Y$2484,G2165,K$11:K$2484)</f>
        <v>0</v>
      </c>
      <c r="L2165" s="129">
        <f>SUMIF($Y$11:$Y$2484,G2165,L$11:L$2484)</f>
        <v>1738000</v>
      </c>
      <c r="M2165" s="129">
        <f>SUMIF($Y$11:$Y$2484,G2165,M$11:M$2484)</f>
        <v>0</v>
      </c>
      <c r="N2165" s="129">
        <f>SUMIF($Y$11:$Y$2484,G2165,N$11:N$2484)</f>
        <v>1738000</v>
      </c>
      <c r="O2165" s="129">
        <f>SUMIF($Y$11:$Y$2484,G2165,O$11:O$2484)</f>
        <v>1738000</v>
      </c>
      <c r="P2165" s="129">
        <f>SUMIF($Y$11:$Y$2484,G2165,P$11:P$2484)</f>
        <v>0</v>
      </c>
      <c r="Q2165" s="129"/>
      <c r="R2165" s="10"/>
      <c r="S2165" s="129">
        <v>1738000</v>
      </c>
      <c r="T2165" s="129">
        <f t="shared" si="856"/>
        <v>0</v>
      </c>
      <c r="U2165" s="128"/>
      <c r="V2165" s="175"/>
      <c r="W2165" s="10"/>
      <c r="X2165" s="10"/>
      <c r="Z2165" t="str">
        <f>LEFT(G2165,2)</f>
        <v>50</v>
      </c>
      <c r="AA2165" t="str">
        <f>+Z2165&amp;"00"</f>
        <v>5000</v>
      </c>
      <c r="AB2165" s="10"/>
      <c r="AC2165" s="10"/>
      <c r="AD2165" s="10"/>
      <c r="AE2165" s="10"/>
      <c r="AF2165" s="10"/>
      <c r="AG2165" s="10"/>
      <c r="AH2165" s="10"/>
      <c r="AI2165" s="10"/>
    </row>
    <row r="2166" spans="1:35">
      <c r="A2166" s="10"/>
      <c r="B2166" s="10" t="str">
        <f t="shared" ref="B2166:B2193" si="863">+C2166&amp;E2166</f>
        <v>Post</v>
      </c>
      <c r="C2166" t="s">
        <v>1</v>
      </c>
      <c r="D2166" t="s">
        <v>19</v>
      </c>
      <c r="E2166" t="s">
        <v>214</v>
      </c>
      <c r="G2166" t="s">
        <v>1209</v>
      </c>
      <c r="I2166" s="10"/>
      <c r="J2166" s="107">
        <f>SUMIF(Data!C:C,G2166,Data!Q:Q)</f>
        <v>0</v>
      </c>
      <c r="K2166" s="107">
        <f>SUMIF(Comprometidos!A:A,'Cost Report'!G2166,Comprometidos!E:E)</f>
        <v>0</v>
      </c>
      <c r="L2166" s="107">
        <f t="shared" si="840"/>
        <v>0</v>
      </c>
      <c r="M2166" s="107">
        <f t="shared" si="841"/>
        <v>0</v>
      </c>
      <c r="N2166" s="107">
        <f t="shared" si="842"/>
        <v>0</v>
      </c>
      <c r="O2166" s="107">
        <f>VLOOKUP(G2166,Budget!$E$3:$G$2474,3,0)</f>
        <v>0</v>
      </c>
      <c r="P2166" s="107">
        <f t="shared" si="843"/>
        <v>0</v>
      </c>
      <c r="Q2166" s="107"/>
      <c r="R2166" s="10"/>
      <c r="S2166" s="107">
        <v>0</v>
      </c>
      <c r="T2166" s="107">
        <f t="shared" si="856"/>
        <v>0</v>
      </c>
      <c r="U2166" s="107"/>
      <c r="V2166" s="175"/>
      <c r="W2166" s="10"/>
      <c r="X2166" s="10"/>
      <c r="Y2166" t="str">
        <f t="shared" ref="Y2166:Y2193" si="864">LEFT(G2166,4)</f>
        <v>5022</v>
      </c>
      <c r="AB2166" s="10"/>
      <c r="AC2166" s="10"/>
      <c r="AD2166" s="10"/>
      <c r="AE2166" s="10"/>
      <c r="AF2166" s="10"/>
      <c r="AG2166" s="10"/>
      <c r="AH2166" s="10"/>
      <c r="AI2166" s="10"/>
    </row>
    <row r="2167" spans="1:35">
      <c r="A2167" s="10"/>
      <c r="B2167" s="10" t="str">
        <f t="shared" si="863"/>
        <v>Post</v>
      </c>
      <c r="C2167" t="s">
        <v>1</v>
      </c>
      <c r="D2167" t="s">
        <v>19</v>
      </c>
      <c r="E2167" t="s">
        <v>214</v>
      </c>
      <c r="G2167" t="s">
        <v>1210</v>
      </c>
      <c r="I2167" s="10"/>
      <c r="J2167" s="107">
        <f>SUMIF(Data!C:C,G2167,Data!Q:Q)</f>
        <v>0</v>
      </c>
      <c r="K2167" s="107">
        <f>SUMIF(Comprometidos!A:A,'Cost Report'!G2167,Comprometidos!E:E)</f>
        <v>0</v>
      </c>
      <c r="L2167" s="107">
        <f t="shared" si="840"/>
        <v>0</v>
      </c>
      <c r="M2167" s="107">
        <f t="shared" si="841"/>
        <v>0</v>
      </c>
      <c r="N2167" s="107">
        <f t="shared" si="842"/>
        <v>0</v>
      </c>
      <c r="O2167" s="107">
        <f>VLOOKUP(G2167,Budget!$E$3:$G$2474,3,0)</f>
        <v>0</v>
      </c>
      <c r="P2167" s="107">
        <f t="shared" si="843"/>
        <v>0</v>
      </c>
      <c r="Q2167" s="107"/>
      <c r="R2167" s="10"/>
      <c r="S2167" s="107">
        <v>0</v>
      </c>
      <c r="T2167" s="107">
        <f t="shared" si="856"/>
        <v>0</v>
      </c>
      <c r="U2167" s="107"/>
      <c r="V2167" s="175"/>
      <c r="W2167" s="10"/>
      <c r="X2167" s="10"/>
      <c r="Y2167" t="str">
        <f t="shared" si="864"/>
        <v>5022</v>
      </c>
      <c r="AB2167" s="10"/>
      <c r="AC2167" s="10"/>
      <c r="AD2167" s="10"/>
      <c r="AE2167" s="10"/>
      <c r="AF2167" s="10"/>
      <c r="AG2167" s="10"/>
      <c r="AH2167" s="10"/>
      <c r="AI2167" s="10"/>
    </row>
    <row r="2168" spans="1:35">
      <c r="A2168" s="10"/>
      <c r="B2168" s="10" t="str">
        <f t="shared" si="863"/>
        <v>PostPOST</v>
      </c>
      <c r="C2168" t="s">
        <v>1</v>
      </c>
      <c r="D2168" t="s">
        <v>19</v>
      </c>
      <c r="E2168" t="s">
        <v>468</v>
      </c>
      <c r="F2168" t="s">
        <v>5117</v>
      </c>
      <c r="G2168" t="s">
        <v>1211</v>
      </c>
      <c r="I2168" s="10"/>
      <c r="J2168" s="107">
        <f>SUMIF(Data!C:C,G2168,Data!Q:Q)</f>
        <v>52000</v>
      </c>
      <c r="K2168" s="107">
        <f>SUMIF(Comprometidos!A:A,'Cost Report'!G2168,Comprometidos!E:E)</f>
        <v>0</v>
      </c>
      <c r="L2168" s="107">
        <f t="shared" si="840"/>
        <v>52000</v>
      </c>
      <c r="M2168" s="107">
        <f t="shared" si="841"/>
        <v>0</v>
      </c>
      <c r="N2168" s="107">
        <f t="shared" si="842"/>
        <v>52000</v>
      </c>
      <c r="O2168" s="107">
        <f>VLOOKUP(G2168,Budget!$E$3:$G$2474,3,0)</f>
        <v>52000</v>
      </c>
      <c r="P2168" s="107">
        <f t="shared" si="843"/>
        <v>0</v>
      </c>
      <c r="Q2168" s="107"/>
      <c r="R2168" s="10"/>
      <c r="S2168" s="107">
        <v>52000</v>
      </c>
      <c r="T2168" s="107">
        <f t="shared" si="856"/>
        <v>0</v>
      </c>
      <c r="U2168" s="107"/>
      <c r="V2168" s="175"/>
      <c r="W2168" s="10"/>
      <c r="X2168" s="10"/>
      <c r="Y2168" t="str">
        <f t="shared" si="864"/>
        <v>5022</v>
      </c>
      <c r="AB2168" s="10"/>
      <c r="AC2168" s="10"/>
      <c r="AD2168" s="10"/>
      <c r="AE2168" s="10"/>
      <c r="AF2168" s="10"/>
      <c r="AG2168" s="10"/>
      <c r="AH2168" s="10"/>
      <c r="AI2168" s="10"/>
    </row>
    <row r="2169" spans="1:35">
      <c r="A2169" s="10"/>
      <c r="B2169" s="10" t="str">
        <f t="shared" si="863"/>
        <v>Post</v>
      </c>
      <c r="C2169" t="s">
        <v>1</v>
      </c>
      <c r="D2169" t="s">
        <v>19</v>
      </c>
      <c r="E2169" t="s">
        <v>214</v>
      </c>
      <c r="G2169" t="s">
        <v>1212</v>
      </c>
      <c r="I2169" s="10"/>
      <c r="J2169" s="107">
        <f>SUMIF(Data!C:C,G2169,Data!Q:Q)</f>
        <v>0</v>
      </c>
      <c r="K2169" s="107">
        <f>SUMIF(Comprometidos!A:A,'Cost Report'!G2169,Comprometidos!E:E)</f>
        <v>0</v>
      </c>
      <c r="L2169" s="107">
        <f t="shared" si="840"/>
        <v>0</v>
      </c>
      <c r="M2169" s="107">
        <f t="shared" si="841"/>
        <v>0</v>
      </c>
      <c r="N2169" s="107">
        <f t="shared" si="842"/>
        <v>0</v>
      </c>
      <c r="O2169" s="107">
        <f>VLOOKUP(G2169,Budget!$E$3:$G$2474,3,0)</f>
        <v>0</v>
      </c>
      <c r="P2169" s="107">
        <f t="shared" si="843"/>
        <v>0</v>
      </c>
      <c r="Q2169" s="107"/>
      <c r="R2169" s="10"/>
      <c r="S2169" s="107">
        <v>0</v>
      </c>
      <c r="T2169" s="107">
        <f t="shared" si="856"/>
        <v>0</v>
      </c>
      <c r="U2169" s="107"/>
      <c r="V2169" s="175"/>
      <c r="W2169" s="10"/>
      <c r="X2169" s="10"/>
      <c r="Y2169" t="str">
        <f t="shared" si="864"/>
        <v>5022</v>
      </c>
      <c r="AB2169" s="10"/>
      <c r="AC2169" s="10"/>
      <c r="AD2169" s="10"/>
      <c r="AE2169" s="10"/>
      <c r="AF2169" s="10"/>
      <c r="AG2169" s="10"/>
      <c r="AH2169" s="10"/>
      <c r="AI2169" s="10"/>
    </row>
    <row r="2170" spans="1:35">
      <c r="A2170" s="10"/>
      <c r="B2170" s="10" t="str">
        <f t="shared" si="863"/>
        <v>PostPREP</v>
      </c>
      <c r="C2170" t="s">
        <v>1</v>
      </c>
      <c r="D2170" t="s">
        <v>19</v>
      </c>
      <c r="E2170" t="s">
        <v>234</v>
      </c>
      <c r="F2170" t="s">
        <v>5117</v>
      </c>
      <c r="G2170" t="s">
        <v>1213</v>
      </c>
      <c r="I2170" s="10"/>
      <c r="J2170" s="107">
        <f>SUMIF(Data!C:C,G2170,Data!Q:Q)</f>
        <v>3000</v>
      </c>
      <c r="K2170" s="107">
        <f>SUMIF(Comprometidos!A:A,'Cost Report'!G2170,Comprometidos!E:E)</f>
        <v>0</v>
      </c>
      <c r="L2170" s="107">
        <f t="shared" si="840"/>
        <v>3000</v>
      </c>
      <c r="M2170" s="107">
        <f t="shared" si="841"/>
        <v>0</v>
      </c>
      <c r="N2170" s="107">
        <f t="shared" si="842"/>
        <v>3000</v>
      </c>
      <c r="O2170" s="107">
        <f>VLOOKUP(G2170,Budget!$E$3:$G$2474,3,0)</f>
        <v>3000</v>
      </c>
      <c r="P2170" s="107">
        <f t="shared" si="843"/>
        <v>0</v>
      </c>
      <c r="Q2170" s="107"/>
      <c r="R2170" s="10"/>
      <c r="S2170" s="107">
        <v>3000</v>
      </c>
      <c r="T2170" s="107">
        <f t="shared" si="856"/>
        <v>0</v>
      </c>
      <c r="U2170" s="107"/>
      <c r="V2170" s="175"/>
      <c r="W2170" s="10"/>
      <c r="X2170" s="10"/>
      <c r="Y2170" t="str">
        <f t="shared" si="864"/>
        <v>5022</v>
      </c>
      <c r="AB2170" s="10"/>
      <c r="AC2170" s="10"/>
      <c r="AD2170" s="10"/>
      <c r="AE2170" s="10"/>
      <c r="AF2170" s="10"/>
      <c r="AG2170" s="10"/>
      <c r="AH2170" s="10"/>
      <c r="AI2170" s="10"/>
    </row>
    <row r="2171" spans="1:35">
      <c r="A2171" s="10"/>
      <c r="B2171" s="10" t="str">
        <f t="shared" si="863"/>
        <v>PostPOST</v>
      </c>
      <c r="C2171" t="s">
        <v>1</v>
      </c>
      <c r="D2171" t="s">
        <v>19</v>
      </c>
      <c r="E2171" t="s">
        <v>468</v>
      </c>
      <c r="F2171" t="s">
        <v>5117</v>
      </c>
      <c r="G2171" t="s">
        <v>1214</v>
      </c>
      <c r="I2171" s="10"/>
      <c r="J2171" s="107">
        <f>SUMIF(Data!C:C,G2171,Data!Q:Q)</f>
        <v>312000</v>
      </c>
      <c r="K2171" s="107">
        <f>SUMIF(Comprometidos!A:A,'Cost Report'!G2171,Comprometidos!E:E)</f>
        <v>0</v>
      </c>
      <c r="L2171" s="107">
        <f t="shared" si="840"/>
        <v>312000</v>
      </c>
      <c r="M2171" s="107">
        <f t="shared" si="841"/>
        <v>0</v>
      </c>
      <c r="N2171" s="107">
        <f t="shared" si="842"/>
        <v>312000</v>
      </c>
      <c r="O2171" s="107">
        <f>VLOOKUP(G2171,Budget!$E$3:$G$2474,3,0)</f>
        <v>312000</v>
      </c>
      <c r="P2171" s="107">
        <f t="shared" si="843"/>
        <v>0</v>
      </c>
      <c r="Q2171" s="107"/>
      <c r="R2171" s="10"/>
      <c r="S2171" s="107">
        <v>312000</v>
      </c>
      <c r="T2171" s="107">
        <f t="shared" si="856"/>
        <v>0</v>
      </c>
      <c r="U2171" s="107"/>
      <c r="V2171" s="175"/>
      <c r="W2171" s="10"/>
      <c r="X2171" s="10"/>
      <c r="Y2171" t="str">
        <f t="shared" si="864"/>
        <v>5022</v>
      </c>
      <c r="AB2171" s="10"/>
      <c r="AC2171" s="10"/>
      <c r="AD2171" s="10"/>
      <c r="AE2171" s="10"/>
      <c r="AF2171" s="10"/>
      <c r="AG2171" s="10"/>
      <c r="AH2171" s="10"/>
      <c r="AI2171" s="10"/>
    </row>
    <row r="2172" spans="1:35">
      <c r="A2172" s="10"/>
      <c r="B2172" s="10" t="str">
        <f t="shared" si="863"/>
        <v>Post</v>
      </c>
      <c r="C2172" t="s">
        <v>1</v>
      </c>
      <c r="D2172" t="s">
        <v>19</v>
      </c>
      <c r="E2172" t="s">
        <v>214</v>
      </c>
      <c r="G2172" t="s">
        <v>1215</v>
      </c>
      <c r="I2172" s="10"/>
      <c r="J2172" s="107">
        <f>SUMIF(Data!C:C,G2172,Data!Q:Q)</f>
        <v>0</v>
      </c>
      <c r="K2172" s="107">
        <f>SUMIF(Comprometidos!A:A,'Cost Report'!G2172,Comprometidos!E:E)</f>
        <v>0</v>
      </c>
      <c r="L2172" s="107">
        <f t="shared" si="840"/>
        <v>0</v>
      </c>
      <c r="M2172" s="107">
        <f t="shared" si="841"/>
        <v>0</v>
      </c>
      <c r="N2172" s="107">
        <f t="shared" si="842"/>
        <v>0</v>
      </c>
      <c r="O2172" s="107">
        <f>VLOOKUP(G2172,Budget!$E$3:$G$2474,3,0)</f>
        <v>0</v>
      </c>
      <c r="P2172" s="107">
        <f t="shared" si="843"/>
        <v>0</v>
      </c>
      <c r="Q2172" s="107"/>
      <c r="R2172" s="10"/>
      <c r="S2172" s="107">
        <v>0</v>
      </c>
      <c r="T2172" s="107">
        <f t="shared" si="856"/>
        <v>0</v>
      </c>
      <c r="U2172" s="107"/>
      <c r="V2172" s="175"/>
      <c r="W2172" s="10"/>
      <c r="X2172" s="10"/>
      <c r="Y2172" t="str">
        <f t="shared" si="864"/>
        <v>5022</v>
      </c>
      <c r="AB2172" s="10"/>
      <c r="AC2172" s="10"/>
      <c r="AD2172" s="10"/>
      <c r="AE2172" s="10"/>
      <c r="AF2172" s="10"/>
      <c r="AG2172" s="10"/>
      <c r="AH2172" s="10"/>
      <c r="AI2172" s="10"/>
    </row>
    <row r="2173" spans="1:35">
      <c r="A2173" s="10"/>
      <c r="B2173" s="10" t="str">
        <f t="shared" si="863"/>
        <v>PostPOST</v>
      </c>
      <c r="C2173" t="s">
        <v>1</v>
      </c>
      <c r="D2173" t="s">
        <v>19</v>
      </c>
      <c r="E2173" t="s">
        <v>468</v>
      </c>
      <c r="F2173" t="s">
        <v>5117</v>
      </c>
      <c r="G2173" t="s">
        <v>1216</v>
      </c>
      <c r="I2173" s="10"/>
      <c r="J2173" s="107">
        <f>SUMIF(Data!C:C,G2173,Data!Q:Q)</f>
        <v>150000</v>
      </c>
      <c r="K2173" s="107">
        <f>SUMIF(Comprometidos!A:A,'Cost Report'!G2173,Comprometidos!E:E)</f>
        <v>0</v>
      </c>
      <c r="L2173" s="107">
        <f t="shared" si="840"/>
        <v>150000</v>
      </c>
      <c r="M2173" s="107">
        <f t="shared" si="841"/>
        <v>0</v>
      </c>
      <c r="N2173" s="107">
        <f t="shared" si="842"/>
        <v>150000</v>
      </c>
      <c r="O2173" s="107">
        <f>VLOOKUP(G2173,Budget!$E$3:$G$2474,3,0)</f>
        <v>150000</v>
      </c>
      <c r="P2173" s="107">
        <f t="shared" si="843"/>
        <v>0</v>
      </c>
      <c r="Q2173" s="107"/>
      <c r="R2173" s="10"/>
      <c r="S2173" s="107">
        <v>150000</v>
      </c>
      <c r="T2173" s="107">
        <f t="shared" si="856"/>
        <v>0</v>
      </c>
      <c r="U2173" s="107"/>
      <c r="V2173" s="175"/>
      <c r="W2173" s="10"/>
      <c r="X2173" s="10"/>
      <c r="Y2173" t="str">
        <f t="shared" si="864"/>
        <v>5022</v>
      </c>
      <c r="AB2173" s="10"/>
      <c r="AC2173" s="10"/>
      <c r="AD2173" s="10"/>
      <c r="AE2173" s="10"/>
      <c r="AF2173" s="10"/>
      <c r="AG2173" s="10"/>
      <c r="AH2173" s="10"/>
      <c r="AI2173" s="10"/>
    </row>
    <row r="2174" spans="1:35">
      <c r="A2174" s="10"/>
      <c r="B2174" s="10" t="str">
        <f t="shared" si="863"/>
        <v>Post</v>
      </c>
      <c r="C2174" t="s">
        <v>1</v>
      </c>
      <c r="D2174" t="s">
        <v>19</v>
      </c>
      <c r="E2174" t="s">
        <v>214</v>
      </c>
      <c r="G2174" t="s">
        <v>1217</v>
      </c>
      <c r="I2174" s="10"/>
      <c r="J2174" s="107">
        <f>SUMIF(Data!C:C,G2174,Data!Q:Q)</f>
        <v>0</v>
      </c>
      <c r="K2174" s="107">
        <f>SUMIF(Comprometidos!A:A,'Cost Report'!G2174,Comprometidos!E:E)</f>
        <v>0</v>
      </c>
      <c r="L2174" s="107">
        <f t="shared" si="840"/>
        <v>0</v>
      </c>
      <c r="M2174" s="107">
        <f t="shared" si="841"/>
        <v>0</v>
      </c>
      <c r="N2174" s="107">
        <f t="shared" si="842"/>
        <v>0</v>
      </c>
      <c r="O2174" s="107">
        <f>VLOOKUP(G2174,Budget!$E$3:$G$2474,3,0)</f>
        <v>0</v>
      </c>
      <c r="P2174" s="107">
        <f t="shared" si="843"/>
        <v>0</v>
      </c>
      <c r="Q2174" s="107"/>
      <c r="R2174" s="10"/>
      <c r="S2174" s="107">
        <v>0</v>
      </c>
      <c r="T2174" s="107">
        <f t="shared" si="856"/>
        <v>0</v>
      </c>
      <c r="U2174" s="107"/>
      <c r="V2174" s="175"/>
      <c r="W2174" s="10"/>
      <c r="X2174" s="10"/>
      <c r="Y2174" t="str">
        <f t="shared" si="864"/>
        <v>5022</v>
      </c>
      <c r="AB2174" s="10"/>
      <c r="AC2174" s="10"/>
      <c r="AD2174" s="10"/>
      <c r="AE2174" s="10"/>
      <c r="AF2174" s="10"/>
      <c r="AG2174" s="10"/>
      <c r="AH2174" s="10"/>
      <c r="AI2174" s="10"/>
    </row>
    <row r="2175" spans="1:35">
      <c r="A2175" s="10"/>
      <c r="B2175" s="10" t="str">
        <f t="shared" si="863"/>
        <v>PostPREP</v>
      </c>
      <c r="C2175" t="s">
        <v>1</v>
      </c>
      <c r="D2175" t="s">
        <v>19</v>
      </c>
      <c r="E2175" t="s">
        <v>234</v>
      </c>
      <c r="F2175" t="s">
        <v>5117</v>
      </c>
      <c r="G2175" t="s">
        <v>1218</v>
      </c>
      <c r="I2175" s="10"/>
      <c r="J2175" s="107">
        <f>SUMIF(Data!C:C,G2175,Data!Q:Q)</f>
        <v>5000</v>
      </c>
      <c r="K2175" s="107">
        <f>SUMIF(Comprometidos!A:A,'Cost Report'!G2175,Comprometidos!E:E)</f>
        <v>0</v>
      </c>
      <c r="L2175" s="107">
        <f t="shared" si="840"/>
        <v>5000</v>
      </c>
      <c r="M2175" s="107">
        <f t="shared" si="841"/>
        <v>0</v>
      </c>
      <c r="N2175" s="107">
        <f t="shared" si="842"/>
        <v>5000</v>
      </c>
      <c r="O2175" s="107">
        <f>VLOOKUP(G2175,Budget!$E$3:$G$2474,3,0)</f>
        <v>5000</v>
      </c>
      <c r="P2175" s="107">
        <f t="shared" si="843"/>
        <v>0</v>
      </c>
      <c r="Q2175" s="107"/>
      <c r="R2175" s="10"/>
      <c r="S2175" s="107">
        <v>5000</v>
      </c>
      <c r="T2175" s="107">
        <f t="shared" si="856"/>
        <v>0</v>
      </c>
      <c r="U2175" s="107"/>
      <c r="V2175" s="175"/>
      <c r="W2175" s="10"/>
      <c r="X2175" s="10"/>
      <c r="Y2175" t="str">
        <f t="shared" si="864"/>
        <v>5022</v>
      </c>
      <c r="AB2175" s="10"/>
      <c r="AC2175" s="10"/>
      <c r="AD2175" s="10"/>
      <c r="AE2175" s="10"/>
      <c r="AF2175" s="10"/>
      <c r="AG2175" s="10"/>
      <c r="AH2175" s="10"/>
      <c r="AI2175" s="10"/>
    </row>
    <row r="2176" spans="1:35">
      <c r="A2176" s="10"/>
      <c r="B2176" s="10" t="str">
        <f t="shared" si="863"/>
        <v>PostPOST</v>
      </c>
      <c r="C2176" t="s">
        <v>1</v>
      </c>
      <c r="D2176" t="s">
        <v>19</v>
      </c>
      <c r="E2176" t="s">
        <v>468</v>
      </c>
      <c r="F2176" t="s">
        <v>5117</v>
      </c>
      <c r="G2176" t="s">
        <v>1219</v>
      </c>
      <c r="I2176" s="10"/>
      <c r="J2176" s="107">
        <f>SUMIF(Data!C:C,G2176,Data!Q:Q)</f>
        <v>117000</v>
      </c>
      <c r="K2176" s="107">
        <f>SUMIF(Comprometidos!A:A,'Cost Report'!G2176,Comprometidos!E:E)</f>
        <v>0</v>
      </c>
      <c r="L2176" s="107">
        <f t="shared" si="840"/>
        <v>117000</v>
      </c>
      <c r="M2176" s="107">
        <f t="shared" si="841"/>
        <v>0</v>
      </c>
      <c r="N2176" s="107">
        <f t="shared" si="842"/>
        <v>117000</v>
      </c>
      <c r="O2176" s="107">
        <f>VLOOKUP(G2176,Budget!$E$3:$G$2474,3,0)</f>
        <v>117000</v>
      </c>
      <c r="P2176" s="107">
        <f t="shared" si="843"/>
        <v>0</v>
      </c>
      <c r="Q2176" s="107"/>
      <c r="R2176" s="10"/>
      <c r="S2176" s="107">
        <v>117000</v>
      </c>
      <c r="T2176" s="107">
        <f t="shared" si="856"/>
        <v>0</v>
      </c>
      <c r="U2176" s="107"/>
      <c r="V2176" s="175"/>
      <c r="W2176" s="10"/>
      <c r="X2176" s="10"/>
      <c r="Y2176" t="str">
        <f t="shared" si="864"/>
        <v>5022</v>
      </c>
      <c r="AB2176" s="10"/>
      <c r="AC2176" s="10"/>
      <c r="AD2176" s="10"/>
      <c r="AE2176" s="10"/>
      <c r="AF2176" s="10"/>
      <c r="AG2176" s="10"/>
      <c r="AH2176" s="10"/>
      <c r="AI2176" s="10"/>
    </row>
    <row r="2177" spans="1:35">
      <c r="A2177" s="10"/>
      <c r="B2177" s="10" t="str">
        <f t="shared" si="863"/>
        <v>Post</v>
      </c>
      <c r="C2177" t="s">
        <v>1</v>
      </c>
      <c r="D2177" t="s">
        <v>19</v>
      </c>
      <c r="E2177" t="s">
        <v>214</v>
      </c>
      <c r="G2177" t="s">
        <v>1220</v>
      </c>
      <c r="I2177" s="10"/>
      <c r="J2177" s="107">
        <f>SUMIF(Data!C:C,G2177,Data!Q:Q)</f>
        <v>0</v>
      </c>
      <c r="K2177" s="107">
        <f>SUMIF(Comprometidos!A:A,'Cost Report'!G2177,Comprometidos!E:E)</f>
        <v>0</v>
      </c>
      <c r="L2177" s="107">
        <f t="shared" si="840"/>
        <v>0</v>
      </c>
      <c r="M2177" s="107">
        <f t="shared" si="841"/>
        <v>0</v>
      </c>
      <c r="N2177" s="107">
        <f t="shared" si="842"/>
        <v>0</v>
      </c>
      <c r="O2177" s="107">
        <f>VLOOKUP(G2177,Budget!$E$3:$G$2474,3,0)</f>
        <v>0</v>
      </c>
      <c r="P2177" s="107">
        <f t="shared" si="843"/>
        <v>0</v>
      </c>
      <c r="Q2177" s="107"/>
      <c r="R2177" s="10"/>
      <c r="S2177" s="107">
        <v>0</v>
      </c>
      <c r="T2177" s="107">
        <f t="shared" si="856"/>
        <v>0</v>
      </c>
      <c r="U2177" s="107"/>
      <c r="V2177" s="175"/>
      <c r="W2177" s="10"/>
      <c r="X2177" s="10"/>
      <c r="Y2177" t="str">
        <f t="shared" si="864"/>
        <v>5022</v>
      </c>
      <c r="AB2177" s="10"/>
      <c r="AC2177" s="10"/>
      <c r="AD2177" s="10"/>
      <c r="AE2177" s="10"/>
      <c r="AF2177" s="10"/>
      <c r="AG2177" s="10"/>
      <c r="AH2177" s="10"/>
      <c r="AI2177" s="10"/>
    </row>
    <row r="2178" spans="1:35">
      <c r="A2178" s="10"/>
      <c r="B2178" s="10" t="str">
        <f t="shared" si="863"/>
        <v>PostPOST</v>
      </c>
      <c r="C2178" t="s">
        <v>1</v>
      </c>
      <c r="D2178" t="s">
        <v>19</v>
      </c>
      <c r="E2178" t="s">
        <v>468</v>
      </c>
      <c r="F2178" t="s">
        <v>5117</v>
      </c>
      <c r="G2178" t="s">
        <v>1221</v>
      </c>
      <c r="I2178" s="10"/>
      <c r="J2178" s="107">
        <f>SUMIF(Data!C:C,G2178,Data!Q:Q)</f>
        <v>208000</v>
      </c>
      <c r="K2178" s="107">
        <f>SUMIF(Comprometidos!A:A,'Cost Report'!G2178,Comprometidos!E:E)</f>
        <v>0</v>
      </c>
      <c r="L2178" s="107">
        <f t="shared" si="840"/>
        <v>208000</v>
      </c>
      <c r="M2178" s="107">
        <f t="shared" si="841"/>
        <v>0</v>
      </c>
      <c r="N2178" s="107">
        <f t="shared" si="842"/>
        <v>208000</v>
      </c>
      <c r="O2178" s="107">
        <f>VLOOKUP(G2178,Budget!$E$3:$G$2474,3,0)</f>
        <v>208000</v>
      </c>
      <c r="P2178" s="107">
        <f t="shared" si="843"/>
        <v>0</v>
      </c>
      <c r="Q2178" s="107"/>
      <c r="R2178" s="10"/>
      <c r="S2178" s="107">
        <v>208000</v>
      </c>
      <c r="T2178" s="107">
        <f t="shared" si="856"/>
        <v>0</v>
      </c>
      <c r="U2178" s="107"/>
      <c r="V2178" s="175"/>
      <c r="W2178" s="10"/>
      <c r="X2178" s="10"/>
      <c r="Y2178" t="str">
        <f t="shared" si="864"/>
        <v>5022</v>
      </c>
      <c r="AB2178" s="10"/>
      <c r="AC2178" s="10"/>
      <c r="AD2178" s="10"/>
      <c r="AE2178" s="10"/>
      <c r="AF2178" s="10"/>
      <c r="AG2178" s="10"/>
      <c r="AH2178" s="10"/>
      <c r="AI2178" s="10"/>
    </row>
    <row r="2179" spans="1:35">
      <c r="A2179" s="10"/>
      <c r="B2179" s="10" t="str">
        <f t="shared" si="863"/>
        <v>Post</v>
      </c>
      <c r="C2179" t="s">
        <v>1</v>
      </c>
      <c r="D2179" t="s">
        <v>19</v>
      </c>
      <c r="E2179" t="s">
        <v>214</v>
      </c>
      <c r="G2179" t="s">
        <v>1776</v>
      </c>
      <c r="I2179" s="10"/>
      <c r="J2179" s="107">
        <f>SUMIF(Data!C:C,G2179,Data!Q:Q)</f>
        <v>0</v>
      </c>
      <c r="K2179" s="107">
        <f>SUMIF(Comprometidos!A:A,'Cost Report'!G2179,Comprometidos!E:E)</f>
        <v>0</v>
      </c>
      <c r="L2179" s="107">
        <f t="shared" si="840"/>
        <v>0</v>
      </c>
      <c r="M2179" s="107">
        <f t="shared" si="841"/>
        <v>0</v>
      </c>
      <c r="N2179" s="107">
        <f t="shared" si="842"/>
        <v>0</v>
      </c>
      <c r="O2179" s="107">
        <f>VLOOKUP(G2179,Budget!$E$3:$G$2474,3,0)</f>
        <v>0</v>
      </c>
      <c r="P2179" s="107">
        <f t="shared" si="843"/>
        <v>0</v>
      </c>
      <c r="Q2179" s="107"/>
      <c r="R2179" s="10"/>
      <c r="S2179" s="107">
        <v>0</v>
      </c>
      <c r="T2179" s="107">
        <f t="shared" si="856"/>
        <v>0</v>
      </c>
      <c r="U2179" s="107"/>
      <c r="V2179" s="175"/>
      <c r="W2179" s="10"/>
      <c r="X2179" s="10"/>
      <c r="Y2179" t="str">
        <f t="shared" si="864"/>
        <v>5022</v>
      </c>
      <c r="AB2179" s="10"/>
      <c r="AC2179" s="10"/>
      <c r="AD2179" s="10"/>
      <c r="AE2179" s="10"/>
      <c r="AF2179" s="10"/>
      <c r="AG2179" s="10"/>
      <c r="AH2179" s="10"/>
      <c r="AI2179" s="10"/>
    </row>
    <row r="2180" spans="1:35">
      <c r="A2180" s="10"/>
      <c r="B2180" s="10" t="str">
        <f t="shared" si="863"/>
        <v>PostPOST</v>
      </c>
      <c r="C2180" t="s">
        <v>1</v>
      </c>
      <c r="D2180" t="s">
        <v>19</v>
      </c>
      <c r="E2180" t="s">
        <v>468</v>
      </c>
      <c r="F2180" t="s">
        <v>5117</v>
      </c>
      <c r="G2180" t="s">
        <v>1777</v>
      </c>
      <c r="I2180" s="10"/>
      <c r="J2180" s="107">
        <f>SUMIF(Data!C:C,G2180,Data!Q:Q)</f>
        <v>208000</v>
      </c>
      <c r="K2180" s="107">
        <f>SUMIF(Comprometidos!A:A,'Cost Report'!G2180,Comprometidos!E:E)</f>
        <v>0</v>
      </c>
      <c r="L2180" s="107">
        <f t="shared" si="840"/>
        <v>208000</v>
      </c>
      <c r="M2180" s="107">
        <f t="shared" si="841"/>
        <v>0</v>
      </c>
      <c r="N2180" s="107">
        <f t="shared" si="842"/>
        <v>208000</v>
      </c>
      <c r="O2180" s="107">
        <f>VLOOKUP(G2180,Budget!$E$3:$G$2474,3,0)</f>
        <v>208000</v>
      </c>
      <c r="P2180" s="107">
        <f t="shared" si="843"/>
        <v>0</v>
      </c>
      <c r="Q2180" s="107"/>
      <c r="R2180" s="10"/>
      <c r="S2180" s="107">
        <v>208000</v>
      </c>
      <c r="T2180" s="107">
        <f t="shared" si="856"/>
        <v>0</v>
      </c>
      <c r="U2180" s="107"/>
      <c r="V2180" s="175"/>
      <c r="W2180" s="10"/>
      <c r="X2180" s="10"/>
      <c r="Y2180" t="str">
        <f t="shared" si="864"/>
        <v>5022</v>
      </c>
      <c r="AB2180" s="10"/>
      <c r="AC2180" s="10"/>
      <c r="AD2180" s="10"/>
      <c r="AE2180" s="10"/>
      <c r="AF2180" s="10"/>
      <c r="AG2180" s="10"/>
      <c r="AH2180" s="10"/>
      <c r="AI2180" s="10"/>
    </row>
    <row r="2181" spans="1:35">
      <c r="A2181" s="10"/>
      <c r="B2181" s="10" t="str">
        <f t="shared" si="863"/>
        <v>Post</v>
      </c>
      <c r="C2181" t="s">
        <v>1</v>
      </c>
      <c r="D2181" t="s">
        <v>19</v>
      </c>
      <c r="E2181" t="s">
        <v>214</v>
      </c>
      <c r="G2181" t="s">
        <v>3019</v>
      </c>
      <c r="I2181" s="10"/>
      <c r="J2181" s="107">
        <f>SUMIF(Data!C:C,G2181,Data!Q:Q)</f>
        <v>0</v>
      </c>
      <c r="K2181" s="107">
        <f>SUMIF(Comprometidos!A:A,'Cost Report'!G2181,Comprometidos!E:E)</f>
        <v>0</v>
      </c>
      <c r="L2181" s="107">
        <f t="shared" ref="L2181:L2193" si="865">+J2181+K2181</f>
        <v>0</v>
      </c>
      <c r="M2181" s="107">
        <f t="shared" ref="M2181:M2193" si="866">+O2181-L2181</f>
        <v>0</v>
      </c>
      <c r="N2181" s="107">
        <f t="shared" ref="N2181:N2193" si="867">+L2181+M2181</f>
        <v>0</v>
      </c>
      <c r="O2181" s="107">
        <f>VLOOKUP(G2181,Budget!$E$3:$G$2474,3,0)</f>
        <v>0</v>
      </c>
      <c r="P2181" s="107">
        <f t="shared" ref="P2181:P2193" si="868">+O2181-N2181</f>
        <v>0</v>
      </c>
      <c r="Q2181" s="107"/>
      <c r="R2181" s="10"/>
      <c r="S2181" s="107">
        <v>0</v>
      </c>
      <c r="T2181" s="107">
        <f t="shared" si="856"/>
        <v>0</v>
      </c>
      <c r="U2181" s="107"/>
      <c r="V2181" s="175"/>
      <c r="W2181" s="10"/>
      <c r="X2181" s="10"/>
      <c r="Y2181" t="str">
        <f t="shared" si="864"/>
        <v>5022</v>
      </c>
      <c r="AB2181" s="10"/>
      <c r="AC2181" s="10"/>
      <c r="AD2181" s="10"/>
      <c r="AE2181" s="10"/>
      <c r="AF2181" s="10"/>
      <c r="AG2181" s="10"/>
      <c r="AH2181" s="10"/>
      <c r="AI2181" s="10"/>
    </row>
    <row r="2182" spans="1:35">
      <c r="A2182" s="10"/>
      <c r="B2182" s="10" t="str">
        <f t="shared" si="863"/>
        <v>PostPOST</v>
      </c>
      <c r="C2182" t="s">
        <v>1</v>
      </c>
      <c r="D2182" t="s">
        <v>19</v>
      </c>
      <c r="E2182" t="s">
        <v>468</v>
      </c>
      <c r="F2182" t="s">
        <v>5117</v>
      </c>
      <c r="G2182" t="s">
        <v>3020</v>
      </c>
      <c r="I2182" s="10"/>
      <c r="J2182" s="107">
        <f>SUMIF(Data!C:C,G2182,Data!Q:Q)</f>
        <v>208000</v>
      </c>
      <c r="K2182" s="107">
        <f>SUMIF(Comprometidos!A:A,'Cost Report'!G2182,Comprometidos!E:E)</f>
        <v>0</v>
      </c>
      <c r="L2182" s="107">
        <f t="shared" si="865"/>
        <v>208000</v>
      </c>
      <c r="M2182" s="107">
        <f t="shared" si="866"/>
        <v>0</v>
      </c>
      <c r="N2182" s="107">
        <f t="shared" si="867"/>
        <v>208000</v>
      </c>
      <c r="O2182" s="107">
        <f>VLOOKUP(G2182,Budget!$E$3:$G$2474,3,0)</f>
        <v>208000</v>
      </c>
      <c r="P2182" s="107">
        <f t="shared" si="868"/>
        <v>0</v>
      </c>
      <c r="Q2182" s="107"/>
      <c r="R2182" s="10"/>
      <c r="S2182" s="107">
        <v>208000</v>
      </c>
      <c r="T2182" s="107">
        <f t="shared" si="856"/>
        <v>0</v>
      </c>
      <c r="U2182" s="107"/>
      <c r="V2182" s="175"/>
      <c r="W2182" s="10"/>
      <c r="X2182" s="10"/>
      <c r="Y2182" t="str">
        <f t="shared" si="864"/>
        <v>5022</v>
      </c>
      <c r="AB2182" s="10"/>
      <c r="AC2182" s="10"/>
      <c r="AD2182" s="10"/>
      <c r="AE2182" s="10"/>
      <c r="AF2182" s="10"/>
      <c r="AG2182" s="10"/>
      <c r="AH2182" s="10"/>
      <c r="AI2182" s="10"/>
    </row>
    <row r="2183" spans="1:35">
      <c r="A2183" s="10"/>
      <c r="B2183" s="10" t="str">
        <f t="shared" si="863"/>
        <v>Post</v>
      </c>
      <c r="C2183" t="s">
        <v>1</v>
      </c>
      <c r="D2183" t="s">
        <v>19</v>
      </c>
      <c r="E2183" t="s">
        <v>214</v>
      </c>
      <c r="G2183" t="s">
        <v>3021</v>
      </c>
      <c r="I2183" s="10"/>
      <c r="J2183" s="107">
        <f>SUMIF(Data!C:C,G2183,Data!Q:Q)</f>
        <v>0</v>
      </c>
      <c r="K2183" s="107">
        <f>SUMIF(Comprometidos!A:A,'Cost Report'!G2183,Comprometidos!E:E)</f>
        <v>0</v>
      </c>
      <c r="L2183" s="107">
        <f t="shared" si="865"/>
        <v>0</v>
      </c>
      <c r="M2183" s="107">
        <f t="shared" si="866"/>
        <v>0</v>
      </c>
      <c r="N2183" s="107">
        <f t="shared" si="867"/>
        <v>0</v>
      </c>
      <c r="O2183" s="107">
        <f>VLOOKUP(G2183,Budget!$E$3:$G$2474,3,0)</f>
        <v>0</v>
      </c>
      <c r="P2183" s="107">
        <f t="shared" si="868"/>
        <v>0</v>
      </c>
      <c r="Q2183" s="107"/>
      <c r="R2183" s="10"/>
      <c r="S2183" s="107">
        <v>0</v>
      </c>
      <c r="T2183" s="107">
        <f t="shared" si="856"/>
        <v>0</v>
      </c>
      <c r="U2183" s="107"/>
      <c r="V2183" s="175"/>
      <c r="W2183" s="10"/>
      <c r="X2183" s="10"/>
      <c r="Y2183" t="str">
        <f t="shared" si="864"/>
        <v>5022</v>
      </c>
      <c r="AB2183" s="10"/>
      <c r="AC2183" s="10"/>
      <c r="AD2183" s="10"/>
      <c r="AE2183" s="10"/>
      <c r="AF2183" s="10"/>
      <c r="AG2183" s="10"/>
      <c r="AH2183" s="10"/>
      <c r="AI2183" s="10"/>
    </row>
    <row r="2184" spans="1:35">
      <c r="A2184" s="10"/>
      <c r="B2184" s="10" t="str">
        <f t="shared" si="863"/>
        <v>PostPOST</v>
      </c>
      <c r="C2184" t="s">
        <v>1</v>
      </c>
      <c r="D2184" t="s">
        <v>19</v>
      </c>
      <c r="E2184" t="s">
        <v>468</v>
      </c>
      <c r="F2184" t="s">
        <v>5117</v>
      </c>
      <c r="G2184" t="s">
        <v>3022</v>
      </c>
      <c r="I2184" s="10"/>
      <c r="J2184" s="107">
        <f>SUMIF(Data!C:C,G2184,Data!Q:Q)</f>
        <v>152000</v>
      </c>
      <c r="K2184" s="107">
        <f>SUMIF(Comprometidos!A:A,'Cost Report'!G2184,Comprometidos!E:E)</f>
        <v>0</v>
      </c>
      <c r="L2184" s="107">
        <f t="shared" si="865"/>
        <v>152000</v>
      </c>
      <c r="M2184" s="107">
        <f t="shared" si="866"/>
        <v>0</v>
      </c>
      <c r="N2184" s="107">
        <f t="shared" si="867"/>
        <v>152000</v>
      </c>
      <c r="O2184" s="107">
        <f>VLOOKUP(G2184,Budget!$E$3:$G$2474,3,0)</f>
        <v>152000</v>
      </c>
      <c r="P2184" s="107">
        <f t="shared" si="868"/>
        <v>0</v>
      </c>
      <c r="Q2184" s="107"/>
      <c r="R2184" s="10"/>
      <c r="S2184" s="107">
        <v>152000</v>
      </c>
      <c r="T2184" s="107">
        <f t="shared" si="856"/>
        <v>0</v>
      </c>
      <c r="U2184" s="107"/>
      <c r="V2184" s="175"/>
      <c r="W2184" s="10"/>
      <c r="X2184" s="10"/>
      <c r="Y2184" t="str">
        <f t="shared" si="864"/>
        <v>5022</v>
      </c>
      <c r="AB2184" s="10"/>
      <c r="AC2184" s="10"/>
      <c r="AD2184" s="10"/>
      <c r="AE2184" s="10"/>
      <c r="AF2184" s="10"/>
      <c r="AG2184" s="10"/>
      <c r="AH2184" s="10"/>
      <c r="AI2184" s="10"/>
    </row>
    <row r="2185" spans="1:35">
      <c r="A2185" s="10"/>
      <c r="B2185" s="10" t="str">
        <f t="shared" si="863"/>
        <v>Post</v>
      </c>
      <c r="C2185" t="s">
        <v>1</v>
      </c>
      <c r="D2185" t="s">
        <v>19</v>
      </c>
      <c r="E2185" t="s">
        <v>214</v>
      </c>
      <c r="G2185" t="s">
        <v>3023</v>
      </c>
      <c r="I2185" s="10"/>
      <c r="J2185" s="107">
        <f>SUMIF(Data!C:C,G2185,Data!Q:Q)</f>
        <v>0</v>
      </c>
      <c r="K2185" s="107">
        <f>SUMIF(Comprometidos!A:A,'Cost Report'!G2185,Comprometidos!E:E)</f>
        <v>0</v>
      </c>
      <c r="L2185" s="107">
        <f t="shared" si="865"/>
        <v>0</v>
      </c>
      <c r="M2185" s="107">
        <f t="shared" si="866"/>
        <v>0</v>
      </c>
      <c r="N2185" s="107">
        <f t="shared" si="867"/>
        <v>0</v>
      </c>
      <c r="O2185" s="107">
        <f>VLOOKUP(G2185,Budget!$E$3:$G$2474,3,0)</f>
        <v>0</v>
      </c>
      <c r="P2185" s="107">
        <f t="shared" si="868"/>
        <v>0</v>
      </c>
      <c r="Q2185" s="107"/>
      <c r="R2185" s="10"/>
      <c r="S2185" s="107">
        <v>0</v>
      </c>
      <c r="T2185" s="107">
        <f t="shared" si="856"/>
        <v>0</v>
      </c>
      <c r="U2185" s="107"/>
      <c r="V2185" s="175"/>
      <c r="W2185" s="10"/>
      <c r="X2185" s="10"/>
      <c r="Y2185" t="str">
        <f t="shared" si="864"/>
        <v>5022</v>
      </c>
      <c r="AB2185" s="10"/>
      <c r="AC2185" s="10"/>
      <c r="AD2185" s="10"/>
      <c r="AE2185" s="10"/>
      <c r="AF2185" s="10"/>
      <c r="AG2185" s="10"/>
      <c r="AH2185" s="10"/>
      <c r="AI2185" s="10"/>
    </row>
    <row r="2186" spans="1:35">
      <c r="A2186" s="10"/>
      <c r="B2186" s="10" t="str">
        <f t="shared" si="863"/>
        <v>PostPOST</v>
      </c>
      <c r="C2186" t="s">
        <v>1</v>
      </c>
      <c r="D2186" t="s">
        <v>19</v>
      </c>
      <c r="E2186" t="s">
        <v>468</v>
      </c>
      <c r="F2186" t="s">
        <v>5117</v>
      </c>
      <c r="G2186" t="s">
        <v>3024</v>
      </c>
      <c r="I2186" s="10"/>
      <c r="J2186" s="107">
        <f>SUMIF(Data!C:C,G2186,Data!Q:Q)</f>
        <v>180000</v>
      </c>
      <c r="K2186" s="107">
        <f>SUMIF(Comprometidos!A:A,'Cost Report'!G2186,Comprometidos!E:E)</f>
        <v>0</v>
      </c>
      <c r="L2186" s="107">
        <f t="shared" si="865"/>
        <v>180000</v>
      </c>
      <c r="M2186" s="107">
        <f t="shared" si="866"/>
        <v>0</v>
      </c>
      <c r="N2186" s="107">
        <f t="shared" si="867"/>
        <v>180000</v>
      </c>
      <c r="O2186" s="107">
        <f>VLOOKUP(G2186,Budget!$E$3:$G$2474,3,0)</f>
        <v>180000</v>
      </c>
      <c r="P2186" s="107">
        <f t="shared" si="868"/>
        <v>0</v>
      </c>
      <c r="Q2186" s="107"/>
      <c r="R2186" s="10"/>
      <c r="S2186" s="107">
        <v>180000</v>
      </c>
      <c r="T2186" s="107">
        <f t="shared" si="856"/>
        <v>0</v>
      </c>
      <c r="U2186" s="107"/>
      <c r="V2186" s="175"/>
      <c r="W2186" s="10"/>
      <c r="X2186" s="10"/>
      <c r="Y2186" t="str">
        <f t="shared" si="864"/>
        <v>5022</v>
      </c>
      <c r="AB2186" s="10"/>
      <c r="AC2186" s="10"/>
      <c r="AD2186" s="10"/>
      <c r="AE2186" s="10"/>
      <c r="AF2186" s="10"/>
      <c r="AG2186" s="10"/>
      <c r="AH2186" s="10"/>
      <c r="AI2186" s="10"/>
    </row>
    <row r="2187" spans="1:35">
      <c r="A2187" s="10"/>
      <c r="B2187" s="10" t="str">
        <f t="shared" si="863"/>
        <v>Post</v>
      </c>
      <c r="C2187" t="s">
        <v>1</v>
      </c>
      <c r="D2187" t="s">
        <v>19</v>
      </c>
      <c r="E2187" t="s">
        <v>214</v>
      </c>
      <c r="G2187" t="s">
        <v>3025</v>
      </c>
      <c r="I2187" s="10"/>
      <c r="J2187" s="107">
        <f>SUMIF(Data!C:C,G2187,Data!Q:Q)</f>
        <v>0</v>
      </c>
      <c r="K2187" s="107">
        <f>SUMIF(Comprometidos!A:A,'Cost Report'!G2187,Comprometidos!E:E)</f>
        <v>0</v>
      </c>
      <c r="L2187" s="107">
        <f t="shared" si="865"/>
        <v>0</v>
      </c>
      <c r="M2187" s="107">
        <f t="shared" si="866"/>
        <v>0</v>
      </c>
      <c r="N2187" s="107">
        <f t="shared" si="867"/>
        <v>0</v>
      </c>
      <c r="O2187" s="107">
        <f>VLOOKUP(G2187,Budget!$E$3:$G$2474,3,0)</f>
        <v>0</v>
      </c>
      <c r="P2187" s="107">
        <f t="shared" si="868"/>
        <v>0</v>
      </c>
      <c r="Q2187" s="107"/>
      <c r="R2187" s="10"/>
      <c r="S2187" s="107">
        <v>0</v>
      </c>
      <c r="T2187" s="107">
        <f t="shared" si="856"/>
        <v>0</v>
      </c>
      <c r="U2187" s="107"/>
      <c r="V2187" s="175"/>
      <c r="W2187" s="10"/>
      <c r="X2187" s="10"/>
      <c r="Y2187" t="str">
        <f t="shared" si="864"/>
        <v>5022</v>
      </c>
      <c r="AB2187" s="10"/>
      <c r="AC2187" s="10"/>
      <c r="AD2187" s="10"/>
      <c r="AE2187" s="10"/>
      <c r="AF2187" s="10"/>
      <c r="AG2187" s="10"/>
      <c r="AH2187" s="10"/>
      <c r="AI2187" s="10"/>
    </row>
    <row r="2188" spans="1:35">
      <c r="A2188" s="10"/>
      <c r="B2188" s="10" t="str">
        <f t="shared" si="863"/>
        <v>PostPOST</v>
      </c>
      <c r="C2188" t="s">
        <v>1</v>
      </c>
      <c r="D2188" t="s">
        <v>19</v>
      </c>
      <c r="E2188" t="s">
        <v>468</v>
      </c>
      <c r="F2188" t="s">
        <v>5117</v>
      </c>
      <c r="G2188" t="s">
        <v>3026</v>
      </c>
      <c r="I2188" s="10"/>
      <c r="J2188" s="107">
        <f>SUMIF(Data!C:C,G2188,Data!Q:Q)</f>
        <v>126000</v>
      </c>
      <c r="K2188" s="107">
        <f>SUMIF(Comprometidos!A:A,'Cost Report'!G2188,Comprometidos!E:E)</f>
        <v>0</v>
      </c>
      <c r="L2188" s="107">
        <f t="shared" si="865"/>
        <v>126000</v>
      </c>
      <c r="M2188" s="107">
        <f t="shared" si="866"/>
        <v>0</v>
      </c>
      <c r="N2188" s="107">
        <f t="shared" si="867"/>
        <v>126000</v>
      </c>
      <c r="O2188" s="107">
        <f>VLOOKUP(G2188,Budget!$E$3:$G$2474,3,0)</f>
        <v>126000</v>
      </c>
      <c r="P2188" s="107">
        <f t="shared" si="868"/>
        <v>0</v>
      </c>
      <c r="Q2188" s="107"/>
      <c r="R2188" s="10"/>
      <c r="S2188" s="107">
        <v>126000</v>
      </c>
      <c r="T2188" s="107">
        <f t="shared" si="856"/>
        <v>0</v>
      </c>
      <c r="U2188" s="107"/>
      <c r="V2188" s="175"/>
      <c r="W2188" s="10"/>
      <c r="X2188" s="10"/>
      <c r="Y2188" t="str">
        <f t="shared" si="864"/>
        <v>5022</v>
      </c>
      <c r="AB2188" s="10"/>
      <c r="AC2188" s="10"/>
      <c r="AD2188" s="10"/>
      <c r="AE2188" s="10"/>
      <c r="AF2188" s="10"/>
      <c r="AG2188" s="10"/>
      <c r="AH2188" s="10"/>
      <c r="AI2188" s="10"/>
    </row>
    <row r="2189" spans="1:35">
      <c r="A2189" s="10"/>
      <c r="B2189" s="10" t="str">
        <f t="shared" si="863"/>
        <v>Post</v>
      </c>
      <c r="C2189" t="s">
        <v>1</v>
      </c>
      <c r="D2189" t="s">
        <v>19</v>
      </c>
      <c r="E2189" t="s">
        <v>214</v>
      </c>
      <c r="G2189" t="s">
        <v>3027</v>
      </c>
      <c r="I2189" s="10"/>
      <c r="J2189" s="107">
        <f>SUMIF(Data!C:C,G2189,Data!Q:Q)</f>
        <v>0</v>
      </c>
      <c r="K2189" s="107">
        <f>SUMIF(Comprometidos!A:A,'Cost Report'!G2189,Comprometidos!E:E)</f>
        <v>0</v>
      </c>
      <c r="L2189" s="107">
        <f t="shared" si="865"/>
        <v>0</v>
      </c>
      <c r="M2189" s="107">
        <f t="shared" si="866"/>
        <v>0</v>
      </c>
      <c r="N2189" s="107">
        <f t="shared" si="867"/>
        <v>0</v>
      </c>
      <c r="O2189" s="107">
        <f>VLOOKUP(G2189,Budget!$E$3:$G$2474,3,0)</f>
        <v>0</v>
      </c>
      <c r="P2189" s="107">
        <f t="shared" si="868"/>
        <v>0</v>
      </c>
      <c r="Q2189" s="107"/>
      <c r="R2189" s="10"/>
      <c r="S2189" s="107">
        <v>0</v>
      </c>
      <c r="T2189" s="107">
        <f t="shared" si="856"/>
        <v>0</v>
      </c>
      <c r="U2189" s="107"/>
      <c r="V2189" s="175"/>
      <c r="W2189" s="10"/>
      <c r="X2189" s="10"/>
      <c r="Y2189" t="str">
        <f t="shared" si="864"/>
        <v>5022</v>
      </c>
      <c r="AB2189" s="10"/>
      <c r="AC2189" s="10"/>
      <c r="AD2189" s="10"/>
      <c r="AE2189" s="10"/>
      <c r="AF2189" s="10"/>
      <c r="AG2189" s="10"/>
      <c r="AH2189" s="10"/>
      <c r="AI2189" s="10"/>
    </row>
    <row r="2190" spans="1:35">
      <c r="A2190" s="10"/>
      <c r="B2190" s="10" t="str">
        <f t="shared" si="863"/>
        <v>Post</v>
      </c>
      <c r="C2190" t="s">
        <v>1</v>
      </c>
      <c r="D2190" t="s">
        <v>19</v>
      </c>
      <c r="E2190" t="s">
        <v>214</v>
      </c>
      <c r="G2190" t="s">
        <v>3028</v>
      </c>
      <c r="I2190" s="10"/>
      <c r="J2190" s="107">
        <f>SUMIF(Data!C:C,G2190,Data!Q:Q)</f>
        <v>0</v>
      </c>
      <c r="K2190" s="107">
        <f>SUMIF(Comprometidos!A:A,'Cost Report'!G2190,Comprometidos!E:E)</f>
        <v>0</v>
      </c>
      <c r="L2190" s="107">
        <f t="shared" si="865"/>
        <v>0</v>
      </c>
      <c r="M2190" s="107">
        <f t="shared" si="866"/>
        <v>0</v>
      </c>
      <c r="N2190" s="107">
        <f t="shared" si="867"/>
        <v>0</v>
      </c>
      <c r="O2190" s="107">
        <f>VLOOKUP(G2190,Budget!$E$3:$G$2474,3,0)</f>
        <v>0</v>
      </c>
      <c r="P2190" s="107">
        <f t="shared" si="868"/>
        <v>0</v>
      </c>
      <c r="Q2190" s="107"/>
      <c r="R2190" s="10"/>
      <c r="S2190" s="107">
        <v>0</v>
      </c>
      <c r="T2190" s="107">
        <f t="shared" si="856"/>
        <v>0</v>
      </c>
      <c r="U2190" s="107"/>
      <c r="V2190" s="175"/>
      <c r="W2190" s="10"/>
      <c r="X2190" s="10"/>
      <c r="Y2190" t="str">
        <f t="shared" si="864"/>
        <v>5022</v>
      </c>
      <c r="AB2190" s="10"/>
      <c r="AC2190" s="10"/>
      <c r="AD2190" s="10"/>
      <c r="AE2190" s="10"/>
      <c r="AF2190" s="10"/>
      <c r="AG2190" s="10"/>
      <c r="AH2190" s="10"/>
      <c r="AI2190" s="10"/>
    </row>
    <row r="2191" spans="1:35">
      <c r="A2191" s="10"/>
      <c r="B2191" s="10" t="str">
        <f t="shared" si="863"/>
        <v>PostALL SHOW</v>
      </c>
      <c r="C2191" t="s">
        <v>1</v>
      </c>
      <c r="D2191" t="s">
        <v>19</v>
      </c>
      <c r="E2191" t="s">
        <v>227</v>
      </c>
      <c r="F2191" t="s">
        <v>5117</v>
      </c>
      <c r="G2191" t="s">
        <v>3029</v>
      </c>
      <c r="I2191" s="10"/>
      <c r="J2191" s="107">
        <f>SUMIF(Data!C:C,G2191,Data!Q:Q)</f>
        <v>12000</v>
      </c>
      <c r="K2191" s="107">
        <f>SUMIF(Comprometidos!A:A,'Cost Report'!G2191,Comprometidos!E:E)</f>
        <v>0</v>
      </c>
      <c r="L2191" s="107">
        <f t="shared" si="865"/>
        <v>12000</v>
      </c>
      <c r="M2191" s="107">
        <f t="shared" si="866"/>
        <v>0</v>
      </c>
      <c r="N2191" s="107">
        <f t="shared" si="867"/>
        <v>12000</v>
      </c>
      <c r="O2191" s="107">
        <f>VLOOKUP(G2191,Budget!$E$3:$G$2474,3,0)</f>
        <v>12000</v>
      </c>
      <c r="P2191" s="107">
        <f t="shared" si="868"/>
        <v>0</v>
      </c>
      <c r="Q2191" s="107"/>
      <c r="R2191" s="10"/>
      <c r="S2191" s="107">
        <v>12000</v>
      </c>
      <c r="T2191" s="107">
        <f t="shared" si="856"/>
        <v>0</v>
      </c>
      <c r="U2191" s="107"/>
      <c r="V2191" s="175"/>
      <c r="W2191" s="10"/>
      <c r="X2191" s="10"/>
      <c r="Y2191" t="str">
        <f t="shared" si="864"/>
        <v>5022</v>
      </c>
      <c r="AB2191" s="10"/>
      <c r="AC2191" s="10"/>
      <c r="AD2191" s="10"/>
      <c r="AE2191" s="10"/>
      <c r="AF2191" s="10"/>
      <c r="AG2191" s="10"/>
      <c r="AH2191" s="10"/>
      <c r="AI2191" s="10"/>
    </row>
    <row r="2192" spans="1:35">
      <c r="A2192" s="10"/>
      <c r="B2192" s="10" t="str">
        <f t="shared" si="863"/>
        <v>Post</v>
      </c>
      <c r="C2192" t="s">
        <v>1</v>
      </c>
      <c r="D2192" t="s">
        <v>19</v>
      </c>
      <c r="E2192" t="s">
        <v>214</v>
      </c>
      <c r="G2192" t="s">
        <v>3030</v>
      </c>
      <c r="I2192" s="10"/>
      <c r="J2192" s="107">
        <f>SUMIF(Data!C:C,G2192,Data!Q:Q)</f>
        <v>0</v>
      </c>
      <c r="K2192" s="107">
        <f>SUMIF(Comprometidos!A:A,'Cost Report'!G2192,Comprometidos!E:E)</f>
        <v>0</v>
      </c>
      <c r="L2192" s="107">
        <f t="shared" si="865"/>
        <v>0</v>
      </c>
      <c r="M2192" s="107">
        <f t="shared" si="866"/>
        <v>0</v>
      </c>
      <c r="N2192" s="107">
        <f t="shared" si="867"/>
        <v>0</v>
      </c>
      <c r="O2192" s="107">
        <f>VLOOKUP(G2192,Budget!$E$3:$G$2474,3,0)</f>
        <v>0</v>
      </c>
      <c r="P2192" s="107">
        <f t="shared" si="868"/>
        <v>0</v>
      </c>
      <c r="Q2192" s="107"/>
      <c r="R2192" s="10"/>
      <c r="S2192" s="107">
        <v>0</v>
      </c>
      <c r="T2192" s="107">
        <f t="shared" si="856"/>
        <v>0</v>
      </c>
      <c r="U2192" s="107"/>
      <c r="V2192" s="175"/>
      <c r="W2192" s="10"/>
      <c r="X2192" s="10"/>
      <c r="Y2192" t="str">
        <f t="shared" si="864"/>
        <v>5022</v>
      </c>
      <c r="AB2192" s="10"/>
      <c r="AC2192" s="10"/>
      <c r="AD2192" s="10"/>
      <c r="AE2192" s="10"/>
      <c r="AF2192" s="10"/>
      <c r="AG2192" s="10"/>
      <c r="AH2192" s="10"/>
      <c r="AI2192" s="10"/>
    </row>
    <row r="2193" spans="1:35">
      <c r="A2193" s="10"/>
      <c r="B2193" s="10" t="str">
        <f t="shared" si="863"/>
        <v>PostALL SHOW</v>
      </c>
      <c r="C2193" t="s">
        <v>1</v>
      </c>
      <c r="D2193" t="s">
        <v>19</v>
      </c>
      <c r="E2193" t="s">
        <v>227</v>
      </c>
      <c r="F2193" t="s">
        <v>5117</v>
      </c>
      <c r="G2193" t="s">
        <v>3031</v>
      </c>
      <c r="I2193" s="10"/>
      <c r="J2193" s="107">
        <f>SUMIF(Data!C:C,G2193,Data!Q:Q)</f>
        <v>5000</v>
      </c>
      <c r="K2193" s="107">
        <f>SUMIF(Comprometidos!A:A,'Cost Report'!G2193,Comprometidos!E:E)</f>
        <v>0</v>
      </c>
      <c r="L2193" s="107">
        <f t="shared" si="865"/>
        <v>5000</v>
      </c>
      <c r="M2193" s="107">
        <f t="shared" si="866"/>
        <v>0</v>
      </c>
      <c r="N2193" s="107">
        <f t="shared" si="867"/>
        <v>5000</v>
      </c>
      <c r="O2193" s="107">
        <f>VLOOKUP(G2193,Budget!$E$3:$G$2474,3,0)</f>
        <v>5000</v>
      </c>
      <c r="P2193" s="107">
        <f t="shared" si="868"/>
        <v>0</v>
      </c>
      <c r="Q2193" s="107"/>
      <c r="R2193" s="10"/>
      <c r="S2193" s="107">
        <v>5000</v>
      </c>
      <c r="T2193" s="107">
        <f t="shared" si="856"/>
        <v>0</v>
      </c>
      <c r="U2193" s="107"/>
      <c r="V2193" s="175"/>
      <c r="W2193" s="10"/>
      <c r="X2193" s="10"/>
      <c r="Y2193" t="str">
        <f t="shared" si="864"/>
        <v>5022</v>
      </c>
      <c r="AB2193" s="10"/>
      <c r="AC2193" s="10"/>
      <c r="AD2193" s="10"/>
      <c r="AE2193" s="10"/>
      <c r="AF2193" s="10"/>
      <c r="AG2193" s="10"/>
      <c r="AH2193" s="10"/>
      <c r="AI2193" s="10"/>
    </row>
    <row r="2194" spans="1:35">
      <c r="A2194" s="10"/>
      <c r="B2194" s="10" t="str">
        <f>+C2194</f>
        <v>Post</v>
      </c>
      <c r="C2194" s="128" t="s">
        <v>1</v>
      </c>
      <c r="D2194" s="128" t="s">
        <v>2117</v>
      </c>
      <c r="E2194" s="128"/>
      <c r="F2194" s="128"/>
      <c r="G2194" s="128" t="s">
        <v>1222</v>
      </c>
      <c r="H2194" s="128"/>
      <c r="I2194" s="10"/>
      <c r="J2194" s="129">
        <f>SUMIF($Y$11:$Y$2484,G2194,J$11:J$2484)</f>
        <v>59204.93</v>
      </c>
      <c r="K2194" s="129">
        <f>SUMIF($Y$11:$Y$2484,G2194,K$11:K$2484)</f>
        <v>0</v>
      </c>
      <c r="L2194" s="129">
        <f>SUMIF($Y$11:$Y$2484,G2194,L$11:L$2484)</f>
        <v>59204.93</v>
      </c>
      <c r="M2194" s="129">
        <f>SUMIF($Y$11:$Y$2484,G2194,M$11:M$2484)</f>
        <v>0</v>
      </c>
      <c r="N2194" s="129">
        <f>SUMIF($Y$11:$Y$2484,G2194,N$11:N$2484)</f>
        <v>59204.93</v>
      </c>
      <c r="O2194" s="129">
        <f>SUMIF($Y$11:$Y$2484,G2194,O$11:O$2484)</f>
        <v>115001.46</v>
      </c>
      <c r="P2194" s="129">
        <f>SUMIF($Y$11:$Y$2484,G2194,P$11:P$2484)</f>
        <v>55796.530000000006</v>
      </c>
      <c r="Q2194" s="129"/>
      <c r="R2194" s="10"/>
      <c r="S2194" s="129">
        <v>59204.93</v>
      </c>
      <c r="T2194" s="129">
        <f t="shared" si="856"/>
        <v>0</v>
      </c>
      <c r="U2194" s="128"/>
      <c r="V2194" s="175"/>
      <c r="W2194" s="10"/>
      <c r="X2194" s="10"/>
      <c r="Z2194" t="str">
        <f>LEFT(G2194,2)</f>
        <v>50</v>
      </c>
      <c r="AA2194" t="str">
        <f>+Z2194&amp;"00"</f>
        <v>5000</v>
      </c>
      <c r="AB2194" s="10"/>
      <c r="AC2194" s="10"/>
      <c r="AD2194" s="10"/>
      <c r="AE2194" s="10"/>
      <c r="AF2194" s="10"/>
      <c r="AG2194" s="10"/>
      <c r="AH2194" s="10"/>
      <c r="AI2194" s="10"/>
    </row>
    <row r="2195" spans="1:35">
      <c r="A2195" s="10"/>
      <c r="B2195" s="10" t="str">
        <f t="shared" ref="B2195:B2196" si="869">+C2195&amp;E2195</f>
        <v>Post</v>
      </c>
      <c r="C2195" t="s">
        <v>1</v>
      </c>
      <c r="D2195" t="s">
        <v>19</v>
      </c>
      <c r="E2195" t="s">
        <v>214</v>
      </c>
      <c r="G2195" t="s">
        <v>1223</v>
      </c>
      <c r="I2195" s="10"/>
      <c r="J2195" s="107">
        <f>SUMIF(Data!C:C,G2195,Data!Q:Q)</f>
        <v>0</v>
      </c>
      <c r="K2195" s="107">
        <f>SUMIF(Comprometidos!A:A,'Cost Report'!G2195,Comprometidos!E:E)</f>
        <v>0</v>
      </c>
      <c r="L2195" s="107">
        <f t="shared" ref="L2195:L2244" si="870">+J2195+K2195</f>
        <v>0</v>
      </c>
      <c r="M2195" s="107">
        <f t="shared" ref="M2195:M2244" si="871">+O2195-L2195</f>
        <v>0</v>
      </c>
      <c r="N2195" s="107">
        <f t="shared" ref="N2195:N2244" si="872">+L2195+M2195</f>
        <v>0</v>
      </c>
      <c r="O2195" s="107">
        <f>VLOOKUP(G2195,Budget!$E$3:$G$2474,3,0)</f>
        <v>0</v>
      </c>
      <c r="P2195" s="107">
        <f t="shared" ref="P2195:P2244" si="873">+O2195-N2195</f>
        <v>0</v>
      </c>
      <c r="Q2195" s="107"/>
      <c r="R2195" s="10"/>
      <c r="S2195" s="107">
        <v>0</v>
      </c>
      <c r="T2195" s="107">
        <f t="shared" si="856"/>
        <v>0</v>
      </c>
      <c r="U2195" s="107"/>
      <c r="V2195" s="175"/>
      <c r="W2195" s="10"/>
      <c r="X2195" s="10"/>
      <c r="Y2195" t="str">
        <f t="shared" ref="Y2195:Y2196" si="874">LEFT(G2195,4)</f>
        <v>5024</v>
      </c>
      <c r="AB2195" s="10"/>
      <c r="AC2195" s="10"/>
      <c r="AD2195" s="10"/>
      <c r="AE2195" s="10"/>
      <c r="AF2195" s="10"/>
      <c r="AG2195" s="10"/>
      <c r="AH2195" s="10"/>
      <c r="AI2195" s="10"/>
    </row>
    <row r="2196" spans="1:35">
      <c r="A2196" s="10"/>
      <c r="B2196" s="10" t="str">
        <f t="shared" si="869"/>
        <v>PostALL SHOW</v>
      </c>
      <c r="C2196" t="s">
        <v>1</v>
      </c>
      <c r="D2196" t="s">
        <v>19</v>
      </c>
      <c r="E2196" t="s">
        <v>227</v>
      </c>
      <c r="G2196" t="s">
        <v>3032</v>
      </c>
      <c r="I2196" s="10"/>
      <c r="J2196" s="107">
        <f>SUMIF(Data!C:C,G2196,Data!Q:Q)</f>
        <v>59204.93</v>
      </c>
      <c r="K2196" s="107">
        <f>SUMIF(Comprometidos!A:A,'Cost Report'!G2196,Comprometidos!E:E)</f>
        <v>0</v>
      </c>
      <c r="L2196" s="107">
        <f t="shared" si="870"/>
        <v>59204.93</v>
      </c>
      <c r="M2196" s="107">
        <v>0</v>
      </c>
      <c r="N2196" s="107">
        <f t="shared" si="872"/>
        <v>59204.93</v>
      </c>
      <c r="O2196" s="107">
        <f>VLOOKUP(G2196,Budget!$E$3:$G$2474,3,0)</f>
        <v>115001.46</v>
      </c>
      <c r="P2196" s="107">
        <f t="shared" si="873"/>
        <v>55796.530000000006</v>
      </c>
      <c r="Q2196" s="107"/>
      <c r="R2196" s="10"/>
      <c r="S2196" s="107">
        <v>59204.93</v>
      </c>
      <c r="T2196" s="107">
        <f t="shared" si="856"/>
        <v>0</v>
      </c>
      <c r="U2196" s="107"/>
      <c r="V2196" s="175"/>
      <c r="W2196" s="10"/>
      <c r="X2196" s="10"/>
      <c r="Y2196" t="str">
        <f t="shared" si="874"/>
        <v>5024</v>
      </c>
      <c r="AB2196" s="10"/>
      <c r="AC2196" s="10"/>
      <c r="AD2196" s="10"/>
      <c r="AE2196" s="10"/>
      <c r="AF2196" s="10"/>
      <c r="AG2196" s="10"/>
      <c r="AH2196" s="10"/>
      <c r="AI2196" s="10"/>
    </row>
    <row r="2197" spans="1:35">
      <c r="A2197" s="10"/>
      <c r="B2197" s="10"/>
      <c r="C2197" s="170" t="s">
        <v>1</v>
      </c>
      <c r="D2197" s="170" t="s">
        <v>8</v>
      </c>
      <c r="E2197" s="170"/>
      <c r="F2197" s="170"/>
      <c r="G2197" s="170" t="s">
        <v>1224</v>
      </c>
      <c r="H2197" s="170"/>
      <c r="I2197" s="10"/>
      <c r="J2197" s="169">
        <f>SUMIF($AA$10:$AA$2484,G2197,J$10:J$2484)</f>
        <v>2159000</v>
      </c>
      <c r="K2197" s="169">
        <f>SUMIF($AA$10:$AA$2484,G2197,K$10:K$2484)</f>
        <v>0</v>
      </c>
      <c r="L2197" s="169">
        <f>SUMIF($AA$10:$AA$2484,G2197,L$10:L$2484)</f>
        <v>2159000</v>
      </c>
      <c r="M2197" s="169">
        <f>SUMIF($AA$10:$AA$2484,G2197,M$10:M$2484)</f>
        <v>0</v>
      </c>
      <c r="N2197" s="169">
        <f>SUMIF($AA$10:$AA$2484,G2197,N$10:N$2484)</f>
        <v>2159000</v>
      </c>
      <c r="O2197" s="169">
        <f>SUMIF($AA$10:$AA$2484,G2197,O$10:O$2484)</f>
        <v>2206500</v>
      </c>
      <c r="P2197" s="168">
        <f>SUMIF($AA$10:$AA$2484,G2197,P$10:P$2484)</f>
        <v>47500</v>
      </c>
      <c r="Q2197" s="169"/>
      <c r="R2197" s="10"/>
      <c r="S2197" s="164">
        <v>2159000</v>
      </c>
      <c r="T2197" s="164">
        <f t="shared" si="856"/>
        <v>0</v>
      </c>
      <c r="U2197" s="163"/>
      <c r="V2197" s="175"/>
      <c r="W2197" s="10"/>
      <c r="X2197" s="10"/>
      <c r="AB2197" s="10"/>
      <c r="AC2197" s="10"/>
      <c r="AD2197" s="10"/>
      <c r="AE2197" s="10"/>
      <c r="AF2197" s="10"/>
      <c r="AG2197" s="10"/>
      <c r="AH2197" s="10"/>
      <c r="AI2197" s="10"/>
    </row>
    <row r="2198" spans="1:35">
      <c r="A2198" s="10"/>
      <c r="B2198" s="10" t="str">
        <f>+C2198</f>
        <v>Post</v>
      </c>
      <c r="C2198" s="128" t="s">
        <v>1</v>
      </c>
      <c r="D2198" s="128" t="s">
        <v>2117</v>
      </c>
      <c r="E2198" s="128"/>
      <c r="F2198" s="128"/>
      <c r="G2198" s="128" t="s">
        <v>1225</v>
      </c>
      <c r="H2198" s="128"/>
      <c r="I2198" s="10"/>
      <c r="J2198" s="129">
        <f>SUMIF($Y$11:$Y$2484,G2198,J$11:J$2484)</f>
        <v>324000</v>
      </c>
      <c r="K2198" s="129">
        <f>SUMIF($Y$11:$Y$2484,G2198,K$11:K$2484)</f>
        <v>0</v>
      </c>
      <c r="L2198" s="129">
        <f>SUMIF($Y$11:$Y$2484,G2198,L$11:L$2484)</f>
        <v>324000</v>
      </c>
      <c r="M2198" s="129">
        <f>SUMIF($Y$11:$Y$2484,G2198,M$11:M$2484)</f>
        <v>0</v>
      </c>
      <c r="N2198" s="129">
        <f>SUMIF($Y$11:$Y$2484,G2198,N$11:N$2484)</f>
        <v>324000</v>
      </c>
      <c r="O2198" s="129">
        <f>SUMIF($Y$11:$Y$2484,G2198,O$11:O$2484)</f>
        <v>324000</v>
      </c>
      <c r="P2198" s="129">
        <f>SUMIF($Y$11:$Y$2484,G2198,P$11:P$2484)</f>
        <v>0</v>
      </c>
      <c r="Q2198" s="129"/>
      <c r="R2198" s="10"/>
      <c r="S2198" s="129">
        <v>324000</v>
      </c>
      <c r="T2198" s="129">
        <f t="shared" si="856"/>
        <v>0</v>
      </c>
      <c r="U2198" s="128"/>
      <c r="V2198" s="175"/>
      <c r="W2198" s="10"/>
      <c r="X2198" s="10"/>
      <c r="Z2198" t="str">
        <f>LEFT(G2198,2)</f>
        <v>51</v>
      </c>
      <c r="AA2198" t="str">
        <f>+Z2198&amp;"00"</f>
        <v>5100</v>
      </c>
      <c r="AB2198" s="10"/>
      <c r="AC2198" s="10"/>
      <c r="AD2198" s="10"/>
      <c r="AE2198" s="10"/>
      <c r="AF2198" s="10"/>
      <c r="AG2198" s="10"/>
      <c r="AH2198" s="10"/>
      <c r="AI2198" s="10"/>
    </row>
    <row r="2199" spans="1:35">
      <c r="A2199" s="10"/>
      <c r="B2199" s="10" t="str">
        <f t="shared" ref="B2199:B2204" si="875">+C2199&amp;E2199</f>
        <v>Post</v>
      </c>
      <c r="C2199" t="s">
        <v>1</v>
      </c>
      <c r="D2199" t="s">
        <v>19</v>
      </c>
      <c r="E2199" t="s">
        <v>214</v>
      </c>
      <c r="G2199" t="s">
        <v>1226</v>
      </c>
      <c r="I2199" s="10"/>
      <c r="J2199" s="107">
        <f>SUMIF(Data!C:C,G2199,Data!Q:Q)</f>
        <v>0</v>
      </c>
      <c r="K2199" s="107">
        <f>SUMIF(Comprometidos!A:A,'Cost Report'!G2199,Comprometidos!E:E)</f>
        <v>0</v>
      </c>
      <c r="L2199" s="107">
        <f t="shared" si="870"/>
        <v>0</v>
      </c>
      <c r="M2199" s="107">
        <f t="shared" si="871"/>
        <v>0</v>
      </c>
      <c r="N2199" s="107">
        <f t="shared" si="872"/>
        <v>0</v>
      </c>
      <c r="O2199" s="107">
        <f>VLOOKUP(G2199,Budget!$E$3:$G$2474,3,0)</f>
        <v>0</v>
      </c>
      <c r="P2199" s="107">
        <f t="shared" si="873"/>
        <v>0</v>
      </c>
      <c r="Q2199" s="107"/>
      <c r="R2199" s="10"/>
      <c r="S2199" s="107">
        <v>0</v>
      </c>
      <c r="T2199" s="107">
        <f t="shared" si="856"/>
        <v>0</v>
      </c>
      <c r="U2199" s="107"/>
      <c r="V2199" s="175"/>
      <c r="W2199" s="10"/>
      <c r="X2199" s="10"/>
      <c r="Y2199" t="str">
        <f t="shared" ref="Y2199:Y2204" si="876">LEFT(G2199,4)</f>
        <v>5101</v>
      </c>
      <c r="AB2199" s="10"/>
      <c r="AC2199" s="10"/>
      <c r="AD2199" s="10"/>
      <c r="AE2199" s="10"/>
      <c r="AF2199" s="10"/>
      <c r="AG2199" s="10"/>
      <c r="AH2199" s="10"/>
      <c r="AI2199" s="10"/>
    </row>
    <row r="2200" spans="1:35">
      <c r="A2200" s="10"/>
      <c r="B2200" s="10" t="str">
        <f t="shared" si="875"/>
        <v>PostPOST</v>
      </c>
      <c r="C2200" t="s">
        <v>1</v>
      </c>
      <c r="D2200" t="s">
        <v>19</v>
      </c>
      <c r="E2200" t="s">
        <v>468</v>
      </c>
      <c r="F2200" t="s">
        <v>5117</v>
      </c>
      <c r="G2200" t="s">
        <v>1227</v>
      </c>
      <c r="I2200" s="10"/>
      <c r="J2200" s="107">
        <f>SUMIF(Data!C:C,G2200,Data!Q:Q)</f>
        <v>140000</v>
      </c>
      <c r="K2200" s="107">
        <f>SUMIF(Comprometidos!A:A,'Cost Report'!G2200,Comprometidos!E:E)</f>
        <v>0</v>
      </c>
      <c r="L2200" s="107">
        <f t="shared" si="870"/>
        <v>140000</v>
      </c>
      <c r="M2200" s="107">
        <f t="shared" si="871"/>
        <v>0</v>
      </c>
      <c r="N2200" s="107">
        <f t="shared" si="872"/>
        <v>140000</v>
      </c>
      <c r="O2200" s="107">
        <f>VLOOKUP(G2200,Budget!$E$3:$G$2474,3,0)</f>
        <v>140000</v>
      </c>
      <c r="P2200" s="107">
        <f t="shared" si="873"/>
        <v>0</v>
      </c>
      <c r="Q2200" s="107"/>
      <c r="R2200" s="10"/>
      <c r="S2200" s="107">
        <v>140000</v>
      </c>
      <c r="T2200" s="107">
        <f t="shared" si="856"/>
        <v>0</v>
      </c>
      <c r="U2200" s="107"/>
      <c r="V2200" s="175"/>
      <c r="W2200" s="10"/>
      <c r="X2200" s="10"/>
      <c r="Y2200" t="str">
        <f t="shared" si="876"/>
        <v>5101</v>
      </c>
      <c r="AB2200" s="10"/>
      <c r="AC2200" s="10"/>
      <c r="AD2200" s="10"/>
      <c r="AE2200" s="10"/>
      <c r="AF2200" s="10"/>
      <c r="AG2200" s="10"/>
      <c r="AH2200" s="10"/>
      <c r="AI2200" s="10"/>
    </row>
    <row r="2201" spans="1:35">
      <c r="A2201" s="10"/>
      <c r="B2201" s="10" t="str">
        <f t="shared" si="875"/>
        <v>Post</v>
      </c>
      <c r="C2201" t="s">
        <v>1</v>
      </c>
      <c r="D2201" t="s">
        <v>19</v>
      </c>
      <c r="E2201" t="s">
        <v>214</v>
      </c>
      <c r="G2201" t="s">
        <v>1228</v>
      </c>
      <c r="I2201" s="10"/>
      <c r="J2201" s="107">
        <f>SUMIF(Data!C:C,G2201,Data!Q:Q)</f>
        <v>0</v>
      </c>
      <c r="K2201" s="107">
        <f>SUMIF(Comprometidos!A:A,'Cost Report'!G2201,Comprometidos!E:E)</f>
        <v>0</v>
      </c>
      <c r="L2201" s="107">
        <f t="shared" si="870"/>
        <v>0</v>
      </c>
      <c r="M2201" s="107">
        <f t="shared" si="871"/>
        <v>0</v>
      </c>
      <c r="N2201" s="107">
        <f t="shared" si="872"/>
        <v>0</v>
      </c>
      <c r="O2201" s="107">
        <f>VLOOKUP(G2201,Budget!$E$3:$G$2474,3,0)</f>
        <v>0</v>
      </c>
      <c r="P2201" s="107">
        <f t="shared" si="873"/>
        <v>0</v>
      </c>
      <c r="Q2201" s="107"/>
      <c r="R2201" s="10"/>
      <c r="S2201" s="107">
        <v>0</v>
      </c>
      <c r="T2201" s="107">
        <f t="shared" si="856"/>
        <v>0</v>
      </c>
      <c r="U2201" s="107"/>
      <c r="V2201" s="175"/>
      <c r="W2201" s="10"/>
      <c r="X2201" s="10"/>
      <c r="Y2201" t="str">
        <f t="shared" si="876"/>
        <v>5101</v>
      </c>
      <c r="AB2201" s="10"/>
      <c r="AC2201" s="10"/>
      <c r="AD2201" s="10"/>
      <c r="AE2201" s="10"/>
      <c r="AF2201" s="10"/>
      <c r="AG2201" s="10"/>
      <c r="AH2201" s="10"/>
      <c r="AI2201" s="10"/>
    </row>
    <row r="2202" spans="1:35">
      <c r="A2202" s="10"/>
      <c r="B2202" s="10" t="str">
        <f t="shared" si="875"/>
        <v>PostPOST</v>
      </c>
      <c r="C2202" t="s">
        <v>1</v>
      </c>
      <c r="D2202" t="s">
        <v>19</v>
      </c>
      <c r="E2202" t="s">
        <v>468</v>
      </c>
      <c r="F2202" t="s">
        <v>5117</v>
      </c>
      <c r="G2202" t="s">
        <v>3033</v>
      </c>
      <c r="I2202" s="10"/>
      <c r="J2202" s="107">
        <f>SUMIF(Data!C:C,G2202,Data!Q:Q)</f>
        <v>168000</v>
      </c>
      <c r="K2202" s="107">
        <f>SUMIF(Comprometidos!A:A,'Cost Report'!G2202,Comprometidos!E:E)</f>
        <v>0</v>
      </c>
      <c r="L2202" s="107">
        <f t="shared" si="870"/>
        <v>168000</v>
      </c>
      <c r="M2202" s="107">
        <f t="shared" si="871"/>
        <v>0</v>
      </c>
      <c r="N2202" s="107">
        <f t="shared" si="872"/>
        <v>168000</v>
      </c>
      <c r="O2202" s="107">
        <f>VLOOKUP(G2202,Budget!$E$3:$G$2474,3,0)</f>
        <v>168000</v>
      </c>
      <c r="P2202" s="107">
        <f t="shared" si="873"/>
        <v>0</v>
      </c>
      <c r="Q2202" s="107"/>
      <c r="R2202" s="10"/>
      <c r="S2202" s="107">
        <v>168000</v>
      </c>
      <c r="T2202" s="107">
        <f t="shared" si="856"/>
        <v>0</v>
      </c>
      <c r="U2202" s="107"/>
      <c r="V2202" s="175"/>
      <c r="W2202" s="10"/>
      <c r="X2202" s="10"/>
      <c r="Y2202" t="str">
        <f t="shared" si="876"/>
        <v>5101</v>
      </c>
      <c r="AB2202" s="10"/>
      <c r="AC2202" s="10"/>
      <c r="AD2202" s="10"/>
      <c r="AE2202" s="10"/>
      <c r="AF2202" s="10"/>
      <c r="AG2202" s="10"/>
      <c r="AH2202" s="10"/>
      <c r="AI2202" s="10"/>
    </row>
    <row r="2203" spans="1:35">
      <c r="A2203" s="10"/>
      <c r="B2203" s="10" t="str">
        <f t="shared" si="875"/>
        <v>Post</v>
      </c>
      <c r="C2203" t="s">
        <v>1</v>
      </c>
      <c r="D2203" t="s">
        <v>19</v>
      </c>
      <c r="E2203" t="s">
        <v>214</v>
      </c>
      <c r="G2203" t="s">
        <v>3034</v>
      </c>
      <c r="I2203" s="10"/>
      <c r="J2203" s="107">
        <f>SUMIF(Data!C:C,G2203,Data!Q:Q)</f>
        <v>0</v>
      </c>
      <c r="K2203" s="107">
        <f>SUMIF(Comprometidos!A:A,'Cost Report'!G2203,Comprometidos!E:E)</f>
        <v>0</v>
      </c>
      <c r="L2203" s="107">
        <f t="shared" si="870"/>
        <v>0</v>
      </c>
      <c r="M2203" s="107">
        <f t="shared" si="871"/>
        <v>0</v>
      </c>
      <c r="N2203" s="107">
        <f t="shared" si="872"/>
        <v>0</v>
      </c>
      <c r="O2203" s="107">
        <f>VLOOKUP(G2203,Budget!$E$3:$G$2474,3,0)</f>
        <v>0</v>
      </c>
      <c r="P2203" s="107">
        <f t="shared" si="873"/>
        <v>0</v>
      </c>
      <c r="Q2203" s="107"/>
      <c r="R2203" s="10"/>
      <c r="S2203" s="107">
        <v>0</v>
      </c>
      <c r="T2203" s="107">
        <f t="shared" si="856"/>
        <v>0</v>
      </c>
      <c r="U2203" s="107"/>
      <c r="V2203" s="175"/>
      <c r="W2203" s="10"/>
      <c r="X2203" s="10"/>
      <c r="Y2203" t="str">
        <f t="shared" si="876"/>
        <v>5101</v>
      </c>
      <c r="AB2203" s="10"/>
      <c r="AC2203" s="10"/>
      <c r="AD2203" s="10"/>
      <c r="AE2203" s="10"/>
      <c r="AF2203" s="10"/>
      <c r="AG2203" s="10"/>
      <c r="AH2203" s="10"/>
      <c r="AI2203" s="10"/>
    </row>
    <row r="2204" spans="1:35">
      <c r="A2204" s="10"/>
      <c r="B2204" s="10" t="str">
        <f t="shared" si="875"/>
        <v>PostPOST</v>
      </c>
      <c r="C2204" t="s">
        <v>1</v>
      </c>
      <c r="D2204" t="s">
        <v>19</v>
      </c>
      <c r="E2204" t="s">
        <v>468</v>
      </c>
      <c r="F2204" t="s">
        <v>5117</v>
      </c>
      <c r="G2204" t="s">
        <v>3035</v>
      </c>
      <c r="I2204" s="10"/>
      <c r="J2204" s="107">
        <f>SUMIF(Data!C:C,G2204,Data!Q:Q)</f>
        <v>16000</v>
      </c>
      <c r="K2204" s="107">
        <f>SUMIF(Comprometidos!A:A,'Cost Report'!G2204,Comprometidos!E:E)</f>
        <v>0</v>
      </c>
      <c r="L2204" s="107">
        <f t="shared" si="870"/>
        <v>16000</v>
      </c>
      <c r="M2204" s="107">
        <f t="shared" si="871"/>
        <v>0</v>
      </c>
      <c r="N2204" s="107">
        <f t="shared" si="872"/>
        <v>16000</v>
      </c>
      <c r="O2204" s="107">
        <f>VLOOKUP(G2204,Budget!$E$3:$G$2474,3,0)</f>
        <v>16000</v>
      </c>
      <c r="P2204" s="107">
        <f t="shared" si="873"/>
        <v>0</v>
      </c>
      <c r="Q2204" s="107"/>
      <c r="R2204" s="10"/>
      <c r="S2204" s="107">
        <v>16000</v>
      </c>
      <c r="T2204" s="107">
        <f t="shared" si="856"/>
        <v>0</v>
      </c>
      <c r="U2204" s="107"/>
      <c r="V2204" s="175"/>
      <c r="W2204" s="10"/>
      <c r="X2204" s="10"/>
      <c r="Y2204" t="str">
        <f t="shared" si="876"/>
        <v>5101</v>
      </c>
      <c r="AB2204" s="10"/>
      <c r="AC2204" s="10"/>
      <c r="AD2204" s="10"/>
      <c r="AE2204" s="10"/>
      <c r="AF2204" s="10"/>
      <c r="AG2204" s="10"/>
      <c r="AH2204" s="10"/>
      <c r="AI2204" s="10"/>
    </row>
    <row r="2205" spans="1:35">
      <c r="A2205" s="10"/>
      <c r="B2205" s="10" t="str">
        <f>+C2205</f>
        <v>Post</v>
      </c>
      <c r="C2205" s="128" t="s">
        <v>1</v>
      </c>
      <c r="D2205" s="128" t="s">
        <v>2117</v>
      </c>
      <c r="E2205" s="128"/>
      <c r="F2205" s="128"/>
      <c r="G2205" s="128" t="s">
        <v>1229</v>
      </c>
      <c r="H2205" s="128"/>
      <c r="I2205" s="10"/>
      <c r="J2205" s="129">
        <f>SUMIF($Y$11:$Y$2484,G2205,J$11:J$2484)</f>
        <v>1179000</v>
      </c>
      <c r="K2205" s="129">
        <f>SUMIF($Y$11:$Y$2484,G2205,K$11:K$2484)</f>
        <v>0</v>
      </c>
      <c r="L2205" s="129">
        <f>SUMIF($Y$11:$Y$2484,G2205,L$11:L$2484)</f>
        <v>1179000</v>
      </c>
      <c r="M2205" s="129">
        <f>SUMIF($Y$11:$Y$2484,G2205,M$11:M$2484)</f>
        <v>0</v>
      </c>
      <c r="N2205" s="129">
        <f>SUMIF($Y$11:$Y$2484,G2205,N$11:N$2484)</f>
        <v>1179000</v>
      </c>
      <c r="O2205" s="129">
        <f>SUMIF($Y$11:$Y$2484,G2205,O$11:O$2484)</f>
        <v>1179000</v>
      </c>
      <c r="P2205" s="129">
        <f>SUMIF($Y$11:$Y$2484,G2205,P$11:P$2484)</f>
        <v>0</v>
      </c>
      <c r="Q2205" s="129"/>
      <c r="R2205" s="10"/>
      <c r="S2205" s="129">
        <v>1179000</v>
      </c>
      <c r="T2205" s="129">
        <f t="shared" si="856"/>
        <v>0</v>
      </c>
      <c r="U2205" s="128"/>
      <c r="V2205" s="175"/>
      <c r="W2205" s="10"/>
      <c r="X2205" s="10"/>
      <c r="Z2205" t="str">
        <f>LEFT(G2205,2)</f>
        <v>51</v>
      </c>
      <c r="AA2205" t="str">
        <f>+Z2205&amp;"00"</f>
        <v>5100</v>
      </c>
      <c r="AB2205" s="10"/>
      <c r="AC2205" s="10"/>
      <c r="AD2205" s="10"/>
      <c r="AE2205" s="10"/>
      <c r="AF2205" s="10"/>
      <c r="AG2205" s="10"/>
      <c r="AH2205" s="10"/>
      <c r="AI2205" s="10"/>
    </row>
    <row r="2206" spans="1:35">
      <c r="A2206" s="10"/>
      <c r="B2206" s="10" t="str">
        <f t="shared" ref="B2206:B2212" si="877">+C2206&amp;E2206</f>
        <v>Post</v>
      </c>
      <c r="C2206" t="s">
        <v>1</v>
      </c>
      <c r="D2206" t="s">
        <v>19</v>
      </c>
      <c r="E2206" t="s">
        <v>214</v>
      </c>
      <c r="G2206" t="s">
        <v>1230</v>
      </c>
      <c r="I2206" s="10"/>
      <c r="J2206" s="107">
        <f>SUMIF(Data!C:C,G2206,Data!Q:Q)</f>
        <v>0</v>
      </c>
      <c r="K2206" s="107">
        <f>SUMIF(Comprometidos!A:A,'Cost Report'!G2206,Comprometidos!E:E)</f>
        <v>0</v>
      </c>
      <c r="L2206" s="107">
        <f t="shared" si="870"/>
        <v>0</v>
      </c>
      <c r="M2206" s="107">
        <f t="shared" si="871"/>
        <v>0</v>
      </c>
      <c r="N2206" s="107">
        <f t="shared" si="872"/>
        <v>0</v>
      </c>
      <c r="O2206" s="107">
        <f>VLOOKUP(G2206,Budget!$E$3:$G$2474,3,0)</f>
        <v>0</v>
      </c>
      <c r="P2206" s="107">
        <f t="shared" si="873"/>
        <v>0</v>
      </c>
      <c r="Q2206" s="107"/>
      <c r="R2206" s="10"/>
      <c r="S2206" s="107">
        <v>0</v>
      </c>
      <c r="T2206" s="107">
        <f t="shared" si="856"/>
        <v>0</v>
      </c>
      <c r="U2206" s="107"/>
      <c r="V2206" s="175"/>
      <c r="W2206" s="10"/>
      <c r="X2206" s="10"/>
      <c r="Y2206" t="str">
        <f t="shared" ref="Y2206:Y2212" si="878">LEFT(G2206,4)</f>
        <v>5105</v>
      </c>
      <c r="AB2206" s="10"/>
      <c r="AC2206" s="10"/>
      <c r="AD2206" s="10"/>
      <c r="AE2206" s="10"/>
      <c r="AF2206" s="10"/>
      <c r="AG2206" s="10"/>
      <c r="AH2206" s="10"/>
      <c r="AI2206" s="10"/>
    </row>
    <row r="2207" spans="1:35">
      <c r="A2207" s="10"/>
      <c r="B2207" s="10" t="str">
        <f t="shared" si="877"/>
        <v>PostPREP</v>
      </c>
      <c r="C2207" t="s">
        <v>1</v>
      </c>
      <c r="D2207" t="s">
        <v>19</v>
      </c>
      <c r="E2207" t="s">
        <v>234</v>
      </c>
      <c r="F2207" t="s">
        <v>5117</v>
      </c>
      <c r="G2207" t="s">
        <v>1231</v>
      </c>
      <c r="I2207" s="10"/>
      <c r="J2207" s="107">
        <f>SUMIF(Data!C:C,G2207,Data!Q:Q)</f>
        <v>10000</v>
      </c>
      <c r="K2207" s="107">
        <f>SUMIF(Comprometidos!A:A,'Cost Report'!G2207,Comprometidos!E:E)</f>
        <v>0</v>
      </c>
      <c r="L2207" s="107">
        <f t="shared" si="870"/>
        <v>10000</v>
      </c>
      <c r="M2207" s="107">
        <f t="shared" si="871"/>
        <v>0</v>
      </c>
      <c r="N2207" s="107">
        <f t="shared" si="872"/>
        <v>10000</v>
      </c>
      <c r="O2207" s="107">
        <f>VLOOKUP(G2207,Budget!$E$3:$G$2474,3,0)</f>
        <v>10000</v>
      </c>
      <c r="P2207" s="107">
        <f t="shared" si="873"/>
        <v>0</v>
      </c>
      <c r="Q2207" s="107"/>
      <c r="R2207" s="10"/>
      <c r="S2207" s="107">
        <v>10000</v>
      </c>
      <c r="T2207" s="107">
        <f t="shared" si="856"/>
        <v>0</v>
      </c>
      <c r="U2207" s="107"/>
      <c r="V2207" s="175"/>
      <c r="W2207" s="10"/>
      <c r="X2207" s="10"/>
      <c r="Y2207" t="str">
        <f t="shared" si="878"/>
        <v>5105</v>
      </c>
      <c r="AB2207" s="10"/>
      <c r="AC2207" s="10"/>
      <c r="AD2207" s="10"/>
      <c r="AE2207" s="10"/>
      <c r="AF2207" s="10"/>
      <c r="AG2207" s="10"/>
      <c r="AH2207" s="10"/>
      <c r="AI2207" s="10"/>
    </row>
    <row r="2208" spans="1:35">
      <c r="A2208" s="10"/>
      <c r="B2208" s="10" t="str">
        <f t="shared" si="877"/>
        <v>PostPOST</v>
      </c>
      <c r="C2208" t="s">
        <v>1</v>
      </c>
      <c r="D2208" t="s">
        <v>19</v>
      </c>
      <c r="E2208" t="s">
        <v>468</v>
      </c>
      <c r="F2208" t="s">
        <v>5117</v>
      </c>
      <c r="G2208" t="s">
        <v>1232</v>
      </c>
      <c r="I2208" s="10"/>
      <c r="J2208" s="107">
        <f>SUMIF(Data!C:C,G2208,Data!Q:Q)</f>
        <v>264000</v>
      </c>
      <c r="K2208" s="107">
        <f>SUMIF(Comprometidos!A:A,'Cost Report'!G2208,Comprometidos!E:E)</f>
        <v>0</v>
      </c>
      <c r="L2208" s="107">
        <f t="shared" si="870"/>
        <v>264000</v>
      </c>
      <c r="M2208" s="107">
        <f t="shared" si="871"/>
        <v>0</v>
      </c>
      <c r="N2208" s="107">
        <f t="shared" si="872"/>
        <v>264000</v>
      </c>
      <c r="O2208" s="107">
        <f>VLOOKUP(G2208,Budget!$E$3:$G$2474,3,0)</f>
        <v>264000</v>
      </c>
      <c r="P2208" s="107">
        <f t="shared" si="873"/>
        <v>0</v>
      </c>
      <c r="Q2208" s="107"/>
      <c r="R2208" s="10"/>
      <c r="S2208" s="107">
        <v>264000</v>
      </c>
      <c r="T2208" s="107">
        <f t="shared" si="856"/>
        <v>0</v>
      </c>
      <c r="U2208" s="107"/>
      <c r="V2208" s="175"/>
      <c r="W2208" s="10"/>
      <c r="X2208" s="10"/>
      <c r="Y2208" t="str">
        <f t="shared" si="878"/>
        <v>5105</v>
      </c>
      <c r="AB2208" s="10"/>
      <c r="AC2208" s="10"/>
      <c r="AD2208" s="10"/>
      <c r="AE2208" s="10"/>
      <c r="AF2208" s="10"/>
      <c r="AG2208" s="10"/>
      <c r="AH2208" s="10"/>
      <c r="AI2208" s="10"/>
    </row>
    <row r="2209" spans="1:35">
      <c r="A2209" s="10"/>
      <c r="B2209" s="10" t="str">
        <f t="shared" si="877"/>
        <v>Post</v>
      </c>
      <c r="C2209" t="s">
        <v>1</v>
      </c>
      <c r="D2209" t="s">
        <v>19</v>
      </c>
      <c r="E2209" t="s">
        <v>214</v>
      </c>
      <c r="G2209" t="s">
        <v>1233</v>
      </c>
      <c r="I2209" s="10"/>
      <c r="J2209" s="107">
        <f>SUMIF(Data!C:C,G2209,Data!Q:Q)</f>
        <v>0</v>
      </c>
      <c r="K2209" s="107">
        <f>SUMIF(Comprometidos!A:A,'Cost Report'!G2209,Comprometidos!E:E)</f>
        <v>0</v>
      </c>
      <c r="L2209" s="107">
        <f t="shared" si="870"/>
        <v>0</v>
      </c>
      <c r="M2209" s="107">
        <f t="shared" si="871"/>
        <v>0</v>
      </c>
      <c r="N2209" s="107">
        <f t="shared" si="872"/>
        <v>0</v>
      </c>
      <c r="O2209" s="107">
        <f>VLOOKUP(G2209,Budget!$E$3:$G$2474,3,0)</f>
        <v>0</v>
      </c>
      <c r="P2209" s="107">
        <f t="shared" si="873"/>
        <v>0</v>
      </c>
      <c r="Q2209" s="107"/>
      <c r="R2209" s="10"/>
      <c r="S2209" s="107">
        <v>0</v>
      </c>
      <c r="T2209" s="107">
        <f t="shared" ref="T2209:T2274" si="879">+S2209-N2209</f>
        <v>0</v>
      </c>
      <c r="U2209" s="107"/>
      <c r="V2209" s="175"/>
      <c r="W2209" s="10"/>
      <c r="X2209" s="10"/>
      <c r="Y2209" t="str">
        <f t="shared" si="878"/>
        <v>5105</v>
      </c>
      <c r="AB2209" s="10"/>
      <c r="AC2209" s="10"/>
      <c r="AD2209" s="10"/>
      <c r="AE2209" s="10"/>
      <c r="AF2209" s="10"/>
      <c r="AG2209" s="10"/>
      <c r="AH2209" s="10"/>
      <c r="AI2209" s="10"/>
    </row>
    <row r="2210" spans="1:35">
      <c r="A2210" s="10"/>
      <c r="B2210" s="10" t="str">
        <f t="shared" si="877"/>
        <v>PostPOST</v>
      </c>
      <c r="C2210" t="s">
        <v>1</v>
      </c>
      <c r="D2210" t="s">
        <v>19</v>
      </c>
      <c r="E2210" t="s">
        <v>468</v>
      </c>
      <c r="F2210" t="s">
        <v>5117</v>
      </c>
      <c r="G2210" t="s">
        <v>3036</v>
      </c>
      <c r="I2210" s="10"/>
      <c r="J2210" s="107">
        <f>SUMIF(Data!C:C,G2210,Data!Q:Q)</f>
        <v>900000</v>
      </c>
      <c r="K2210" s="107">
        <f>SUMIF(Comprometidos!A:A,'Cost Report'!G2210,Comprometidos!E:E)</f>
        <v>0</v>
      </c>
      <c r="L2210" s="107">
        <f t="shared" si="870"/>
        <v>900000</v>
      </c>
      <c r="M2210" s="107">
        <f t="shared" si="871"/>
        <v>0</v>
      </c>
      <c r="N2210" s="107">
        <f t="shared" si="872"/>
        <v>900000</v>
      </c>
      <c r="O2210" s="107">
        <f>VLOOKUP(G2210,Budget!$E$3:$G$2474,3,0)</f>
        <v>900000</v>
      </c>
      <c r="P2210" s="107">
        <f t="shared" si="873"/>
        <v>0</v>
      </c>
      <c r="Q2210" s="107"/>
      <c r="R2210" s="10"/>
      <c r="S2210" s="107">
        <v>900000</v>
      </c>
      <c r="T2210" s="107">
        <f t="shared" si="879"/>
        <v>0</v>
      </c>
      <c r="U2210" s="107"/>
      <c r="V2210" s="175"/>
      <c r="W2210" s="10"/>
      <c r="X2210" s="10"/>
      <c r="Y2210" t="str">
        <f t="shared" si="878"/>
        <v>5105</v>
      </c>
      <c r="AB2210" s="10"/>
      <c r="AC2210" s="10"/>
      <c r="AD2210" s="10"/>
      <c r="AE2210" s="10"/>
      <c r="AF2210" s="10"/>
      <c r="AG2210" s="10"/>
      <c r="AH2210" s="10"/>
      <c r="AI2210" s="10"/>
    </row>
    <row r="2211" spans="1:35">
      <c r="A2211" s="10"/>
      <c r="B2211" s="10" t="str">
        <f t="shared" si="877"/>
        <v>Post</v>
      </c>
      <c r="C2211" t="s">
        <v>1</v>
      </c>
      <c r="D2211" t="s">
        <v>19</v>
      </c>
      <c r="E2211" t="s">
        <v>214</v>
      </c>
      <c r="G2211" t="s">
        <v>3037</v>
      </c>
      <c r="I2211" s="10"/>
      <c r="J2211" s="107">
        <f>SUMIF(Data!C:C,G2211,Data!Q:Q)</f>
        <v>0</v>
      </c>
      <c r="K2211" s="107">
        <f>SUMIF(Comprometidos!A:A,'Cost Report'!G2211,Comprometidos!E:E)</f>
        <v>0</v>
      </c>
      <c r="L2211" s="107">
        <f t="shared" si="870"/>
        <v>0</v>
      </c>
      <c r="M2211" s="107">
        <f t="shared" si="871"/>
        <v>0</v>
      </c>
      <c r="N2211" s="107">
        <f t="shared" si="872"/>
        <v>0</v>
      </c>
      <c r="O2211" s="107">
        <f>VLOOKUP(G2211,Budget!$E$3:$G$2474,3,0)</f>
        <v>0</v>
      </c>
      <c r="P2211" s="107">
        <f t="shared" si="873"/>
        <v>0</v>
      </c>
      <c r="Q2211" s="107"/>
      <c r="R2211" s="10"/>
      <c r="S2211" s="107">
        <v>0</v>
      </c>
      <c r="T2211" s="107">
        <f t="shared" si="879"/>
        <v>0</v>
      </c>
      <c r="U2211" s="107"/>
      <c r="V2211" s="175"/>
      <c r="W2211" s="10"/>
      <c r="X2211" s="10"/>
      <c r="Y2211" t="str">
        <f t="shared" si="878"/>
        <v>5105</v>
      </c>
      <c r="AB2211" s="10"/>
      <c r="AC2211" s="10"/>
      <c r="AD2211" s="10"/>
      <c r="AE2211" s="10"/>
      <c r="AF2211" s="10"/>
      <c r="AG2211" s="10"/>
      <c r="AH2211" s="10"/>
      <c r="AI2211" s="10"/>
    </row>
    <row r="2212" spans="1:35">
      <c r="A2212" s="10"/>
      <c r="B2212" s="10" t="str">
        <f t="shared" si="877"/>
        <v>PostPREP</v>
      </c>
      <c r="C2212" t="s">
        <v>1</v>
      </c>
      <c r="D2212" t="s">
        <v>19</v>
      </c>
      <c r="E2212" t="s">
        <v>234</v>
      </c>
      <c r="F2212" t="s">
        <v>5117</v>
      </c>
      <c r="G2212" t="s">
        <v>3038</v>
      </c>
      <c r="I2212" s="10"/>
      <c r="J2212" s="107">
        <f>SUMIF(Data!C:C,G2212,Data!Q:Q)</f>
        <v>5000</v>
      </c>
      <c r="K2212" s="107">
        <f>SUMIF(Comprometidos!A:A,'Cost Report'!G2212,Comprometidos!E:E)</f>
        <v>0</v>
      </c>
      <c r="L2212" s="107">
        <f t="shared" si="870"/>
        <v>5000</v>
      </c>
      <c r="M2212" s="107">
        <f t="shared" si="871"/>
        <v>0</v>
      </c>
      <c r="N2212" s="107">
        <f t="shared" si="872"/>
        <v>5000</v>
      </c>
      <c r="O2212" s="107">
        <f>VLOOKUP(G2212,Budget!$E$3:$G$2474,3,0)</f>
        <v>5000</v>
      </c>
      <c r="P2212" s="107">
        <f t="shared" si="873"/>
        <v>0</v>
      </c>
      <c r="Q2212" s="107"/>
      <c r="R2212" s="10"/>
      <c r="S2212" s="107">
        <v>5000</v>
      </c>
      <c r="T2212" s="107">
        <f t="shared" si="879"/>
        <v>0</v>
      </c>
      <c r="U2212" s="107"/>
      <c r="V2212" s="175"/>
      <c r="W2212" s="10"/>
      <c r="X2212" s="10"/>
      <c r="Y2212" t="str">
        <f t="shared" si="878"/>
        <v>5105</v>
      </c>
      <c r="AB2212" s="10"/>
      <c r="AC2212" s="10"/>
      <c r="AD2212" s="10"/>
      <c r="AE2212" s="10"/>
      <c r="AF2212" s="10"/>
      <c r="AG2212" s="10"/>
      <c r="AH2212" s="10"/>
      <c r="AI2212" s="10"/>
    </row>
    <row r="2213" spans="1:35">
      <c r="A2213" s="10"/>
      <c r="B2213" s="10" t="str">
        <f>+C2213</f>
        <v>Post</v>
      </c>
      <c r="C2213" s="128" t="s">
        <v>1</v>
      </c>
      <c r="D2213" s="128" t="s">
        <v>2117</v>
      </c>
      <c r="E2213" s="128"/>
      <c r="F2213" s="128"/>
      <c r="G2213" s="128" t="s">
        <v>1234</v>
      </c>
      <c r="H2213" s="128"/>
      <c r="I2213" s="10"/>
      <c r="J2213" s="129">
        <f>SUMIF($Y$11:$Y$2484,G2213,J$11:J$2484)</f>
        <v>80000</v>
      </c>
      <c r="K2213" s="129">
        <f>SUMIF($Y$11:$Y$2484,G2213,K$11:K$2484)</f>
        <v>0</v>
      </c>
      <c r="L2213" s="129">
        <f>SUMIF($Y$11:$Y$2484,G2213,L$11:L$2484)</f>
        <v>80000</v>
      </c>
      <c r="M2213" s="129">
        <f>SUMIF($Y$11:$Y$2484,G2213,M$11:M$2484)</f>
        <v>0</v>
      </c>
      <c r="N2213" s="129">
        <f>SUMIF($Y$11:$Y$2484,G2213,N$11:N$2484)</f>
        <v>80000</v>
      </c>
      <c r="O2213" s="129">
        <f>SUMIF($Y$11:$Y$2484,G2213,O$11:O$2484)</f>
        <v>80000</v>
      </c>
      <c r="P2213" s="129">
        <f>SUMIF($Y$11:$Y$2484,G2213,P$11:P$2484)</f>
        <v>0</v>
      </c>
      <c r="Q2213" s="129"/>
      <c r="R2213" s="10"/>
      <c r="S2213" s="129">
        <v>80000</v>
      </c>
      <c r="T2213" s="129">
        <f t="shared" si="879"/>
        <v>0</v>
      </c>
      <c r="U2213" s="128"/>
      <c r="V2213" s="175"/>
      <c r="W2213" s="10"/>
      <c r="X2213" s="10"/>
      <c r="Z2213" t="str">
        <f>LEFT(G2213,2)</f>
        <v>51</v>
      </c>
      <c r="AA2213" t="str">
        <f>+Z2213&amp;"00"</f>
        <v>5100</v>
      </c>
      <c r="AB2213" s="10"/>
      <c r="AC2213" s="10"/>
      <c r="AD2213" s="10"/>
      <c r="AE2213" s="10"/>
      <c r="AF2213" s="10"/>
      <c r="AG2213" s="10"/>
      <c r="AH2213" s="10"/>
      <c r="AI2213" s="10"/>
    </row>
    <row r="2214" spans="1:35">
      <c r="A2214" s="10"/>
      <c r="B2214" s="10" t="str">
        <f t="shared" ref="B2214:B2215" si="880">+C2214&amp;E2214</f>
        <v>Post</v>
      </c>
      <c r="C2214" t="s">
        <v>1</v>
      </c>
      <c r="D2214" t="s">
        <v>19</v>
      </c>
      <c r="E2214" t="s">
        <v>214</v>
      </c>
      <c r="G2214" t="s">
        <v>1235</v>
      </c>
      <c r="I2214" s="10"/>
      <c r="J2214" s="107">
        <f>SUMIF(Data!C:C,G2214,Data!Q:Q)</f>
        <v>0</v>
      </c>
      <c r="K2214" s="107">
        <f>SUMIF(Comprometidos!A:A,'Cost Report'!G2214,Comprometidos!E:E)</f>
        <v>0</v>
      </c>
      <c r="L2214" s="107">
        <f t="shared" si="870"/>
        <v>0</v>
      </c>
      <c r="M2214" s="107">
        <f t="shared" si="871"/>
        <v>0</v>
      </c>
      <c r="N2214" s="107">
        <f t="shared" si="872"/>
        <v>0</v>
      </c>
      <c r="O2214" s="107">
        <f>VLOOKUP(G2214,Budget!$E$3:$G$2474,3,0)</f>
        <v>0</v>
      </c>
      <c r="P2214" s="107">
        <f t="shared" si="873"/>
        <v>0</v>
      </c>
      <c r="Q2214" s="107"/>
      <c r="R2214" s="10"/>
      <c r="S2214" s="107">
        <v>0</v>
      </c>
      <c r="T2214" s="107">
        <f t="shared" si="879"/>
        <v>0</v>
      </c>
      <c r="U2214" s="107"/>
      <c r="V2214" s="175"/>
      <c r="W2214" s="10"/>
      <c r="X2214" s="10"/>
      <c r="Y2214" t="str">
        <f t="shared" ref="Y2214:Y2215" si="881">LEFT(G2214,4)</f>
        <v>5109</v>
      </c>
      <c r="AB2214" s="10"/>
      <c r="AC2214" s="10"/>
      <c r="AD2214" s="10"/>
      <c r="AE2214" s="10"/>
      <c r="AF2214" s="10"/>
      <c r="AG2214" s="10"/>
      <c r="AH2214" s="10"/>
      <c r="AI2214" s="10"/>
    </row>
    <row r="2215" spans="1:35">
      <c r="A2215" s="10"/>
      <c r="B2215" s="10" t="str">
        <f t="shared" si="880"/>
        <v>PostPOST</v>
      </c>
      <c r="C2215" t="s">
        <v>1</v>
      </c>
      <c r="D2215" t="s">
        <v>19</v>
      </c>
      <c r="E2215" t="s">
        <v>468</v>
      </c>
      <c r="F2215" t="s">
        <v>5117</v>
      </c>
      <c r="G2215" t="s">
        <v>3039</v>
      </c>
      <c r="I2215" s="10"/>
      <c r="J2215" s="107">
        <f>SUMIF(Data!C:C,G2215,Data!Q:Q)</f>
        <v>80000</v>
      </c>
      <c r="K2215" s="107">
        <f>SUMIF(Comprometidos!A:A,'Cost Report'!G2215,Comprometidos!E:E)</f>
        <v>0</v>
      </c>
      <c r="L2215" s="107">
        <f t="shared" si="870"/>
        <v>80000</v>
      </c>
      <c r="M2215" s="107">
        <f t="shared" si="871"/>
        <v>0</v>
      </c>
      <c r="N2215" s="107">
        <f t="shared" si="872"/>
        <v>80000</v>
      </c>
      <c r="O2215" s="107">
        <f>VLOOKUP(G2215,Budget!$E$3:$G$2474,3,0)</f>
        <v>80000</v>
      </c>
      <c r="P2215" s="107">
        <f t="shared" si="873"/>
        <v>0</v>
      </c>
      <c r="Q2215" s="107"/>
      <c r="R2215" s="10"/>
      <c r="S2215" s="107">
        <v>80000</v>
      </c>
      <c r="T2215" s="107">
        <f t="shared" si="879"/>
        <v>0</v>
      </c>
      <c r="U2215" s="107"/>
      <c r="V2215" s="175"/>
      <c r="W2215" s="10"/>
      <c r="X2215" s="10"/>
      <c r="Y2215" t="str">
        <f t="shared" si="881"/>
        <v>5109</v>
      </c>
      <c r="AB2215" s="10"/>
      <c r="AC2215" s="10"/>
      <c r="AD2215" s="10"/>
      <c r="AE2215" s="10"/>
      <c r="AF2215" s="10"/>
      <c r="AG2215" s="10"/>
      <c r="AH2215" s="10"/>
      <c r="AI2215" s="10"/>
    </row>
    <row r="2216" spans="1:35">
      <c r="A2216" s="10"/>
      <c r="B2216" s="10" t="str">
        <f>+C2216</f>
        <v>Post</v>
      </c>
      <c r="C2216" s="128" t="s">
        <v>1</v>
      </c>
      <c r="D2216" s="128" t="s">
        <v>2117</v>
      </c>
      <c r="E2216" s="128"/>
      <c r="F2216" s="128"/>
      <c r="G2216" s="128" t="s">
        <v>1236</v>
      </c>
      <c r="H2216" s="128"/>
      <c r="I2216" s="10"/>
      <c r="J2216" s="129">
        <f>SUMIF($Y$11:$Y$2484,G2216,J$11:J$2484)</f>
        <v>216000</v>
      </c>
      <c r="K2216" s="129">
        <f>SUMIF($Y$11:$Y$2484,G2216,K$11:K$2484)</f>
        <v>0</v>
      </c>
      <c r="L2216" s="129">
        <f>SUMIF($Y$11:$Y$2484,G2216,L$11:L$2484)</f>
        <v>216000</v>
      </c>
      <c r="M2216" s="129">
        <f>SUMIF($Y$11:$Y$2484,G2216,M$11:M$2484)</f>
        <v>0</v>
      </c>
      <c r="N2216" s="129">
        <f>SUMIF($Y$11:$Y$2484,G2216,N$11:N$2484)</f>
        <v>216000</v>
      </c>
      <c r="O2216" s="129">
        <f>SUMIF($Y$11:$Y$2484,G2216,O$11:O$2484)</f>
        <v>216000</v>
      </c>
      <c r="P2216" s="129">
        <f>SUMIF($Y$11:$Y$2484,G2216,P$11:P$2484)</f>
        <v>0</v>
      </c>
      <c r="Q2216" s="129"/>
      <c r="R2216" s="10"/>
      <c r="S2216" s="129">
        <v>216000</v>
      </c>
      <c r="T2216" s="129">
        <f t="shared" si="879"/>
        <v>0</v>
      </c>
      <c r="U2216" s="128"/>
      <c r="V2216" s="175"/>
      <c r="W2216" s="10"/>
      <c r="X2216" s="10"/>
      <c r="Z2216" t="str">
        <f>LEFT(G2216,2)</f>
        <v>51</v>
      </c>
      <c r="AA2216" t="str">
        <f>+Z2216&amp;"00"</f>
        <v>5100</v>
      </c>
      <c r="AB2216" s="10"/>
      <c r="AC2216" s="10"/>
      <c r="AD2216" s="10"/>
      <c r="AE2216" s="10"/>
      <c r="AF2216" s="10"/>
      <c r="AG2216" s="10"/>
      <c r="AH2216" s="10"/>
      <c r="AI2216" s="10"/>
    </row>
    <row r="2217" spans="1:35">
      <c r="A2217" s="10"/>
      <c r="B2217" s="10" t="str">
        <f t="shared" ref="B2217:B2219" si="882">+C2217&amp;E2217</f>
        <v>Post</v>
      </c>
      <c r="C2217" t="s">
        <v>1</v>
      </c>
      <c r="D2217" t="s">
        <v>19</v>
      </c>
      <c r="E2217" t="s">
        <v>214</v>
      </c>
      <c r="G2217" t="s">
        <v>1237</v>
      </c>
      <c r="I2217" s="10"/>
      <c r="J2217" s="107">
        <f>SUMIF(Data!C:C,G2217,Data!Q:Q)</f>
        <v>0</v>
      </c>
      <c r="K2217" s="107">
        <f>SUMIF(Comprometidos!A:A,'Cost Report'!G2217,Comprometidos!E:E)</f>
        <v>0</v>
      </c>
      <c r="L2217" s="107">
        <f t="shared" si="870"/>
        <v>0</v>
      </c>
      <c r="M2217" s="107">
        <f t="shared" si="871"/>
        <v>0</v>
      </c>
      <c r="N2217" s="107">
        <f t="shared" si="872"/>
        <v>0</v>
      </c>
      <c r="O2217" s="107">
        <f>VLOOKUP(G2217,Budget!$E$3:$G$2474,3,0)</f>
        <v>0</v>
      </c>
      <c r="P2217" s="107">
        <f t="shared" si="873"/>
        <v>0</v>
      </c>
      <c r="Q2217" s="107"/>
      <c r="R2217" s="10"/>
      <c r="S2217" s="107">
        <v>0</v>
      </c>
      <c r="T2217" s="107">
        <f t="shared" si="879"/>
        <v>0</v>
      </c>
      <c r="U2217" s="107"/>
      <c r="V2217" s="175"/>
      <c r="W2217" s="10"/>
      <c r="X2217" s="10"/>
      <c r="Y2217" t="str">
        <f t="shared" ref="Y2217:Y2219" si="883">LEFT(G2217,4)</f>
        <v>5110</v>
      </c>
      <c r="AB2217" s="10"/>
      <c r="AC2217" s="10"/>
      <c r="AD2217" s="10"/>
      <c r="AE2217" s="10"/>
      <c r="AF2217" s="10"/>
      <c r="AG2217" s="10"/>
      <c r="AH2217" s="10"/>
      <c r="AI2217" s="10"/>
    </row>
    <row r="2218" spans="1:35">
      <c r="A2218" s="10"/>
      <c r="B2218" s="10" t="str">
        <f t="shared" si="882"/>
        <v>PostPOST</v>
      </c>
      <c r="C2218" t="s">
        <v>1</v>
      </c>
      <c r="D2218" t="s">
        <v>19</v>
      </c>
      <c r="E2218" t="s">
        <v>468</v>
      </c>
      <c r="F2218" t="s">
        <v>5117</v>
      </c>
      <c r="G2218" t="s">
        <v>1238</v>
      </c>
      <c r="I2218" s="10"/>
      <c r="J2218" s="107">
        <f>SUMIF(Data!C:C,G2218,Data!Q:Q)</f>
        <v>200000</v>
      </c>
      <c r="K2218" s="107">
        <f>SUMIF(Comprometidos!A:A,'Cost Report'!G2218,Comprometidos!E:E)</f>
        <v>0</v>
      </c>
      <c r="L2218" s="107">
        <f t="shared" si="870"/>
        <v>200000</v>
      </c>
      <c r="M2218" s="107">
        <f t="shared" si="871"/>
        <v>0</v>
      </c>
      <c r="N2218" s="107">
        <f t="shared" si="872"/>
        <v>200000</v>
      </c>
      <c r="O2218" s="107">
        <f>VLOOKUP(G2218,Budget!$E$3:$G$2474,3,0)</f>
        <v>200000</v>
      </c>
      <c r="P2218" s="107">
        <f t="shared" si="873"/>
        <v>0</v>
      </c>
      <c r="Q2218" s="107"/>
      <c r="R2218" s="10"/>
      <c r="S2218" s="107">
        <v>200000</v>
      </c>
      <c r="T2218" s="107">
        <f t="shared" si="879"/>
        <v>0</v>
      </c>
      <c r="U2218" s="107"/>
      <c r="V2218" s="175"/>
      <c r="W2218" s="10"/>
      <c r="X2218" s="10"/>
      <c r="Y2218" t="str">
        <f t="shared" si="883"/>
        <v>5110</v>
      </c>
      <c r="AB2218" s="10"/>
      <c r="AC2218" s="10"/>
      <c r="AD2218" s="10"/>
      <c r="AE2218" s="10"/>
      <c r="AF2218" s="10"/>
      <c r="AG2218" s="10"/>
      <c r="AH2218" s="10"/>
      <c r="AI2218" s="10"/>
    </row>
    <row r="2219" spans="1:35">
      <c r="A2219" s="10"/>
      <c r="B2219" s="10" t="str">
        <f t="shared" si="882"/>
        <v>PostPOST</v>
      </c>
      <c r="C2219" t="s">
        <v>1</v>
      </c>
      <c r="D2219" t="s">
        <v>19</v>
      </c>
      <c r="E2219" t="s">
        <v>468</v>
      </c>
      <c r="F2219" t="s">
        <v>5117</v>
      </c>
      <c r="G2219" t="s">
        <v>3040</v>
      </c>
      <c r="I2219" s="10"/>
      <c r="J2219" s="107">
        <f>SUMIF(Data!C:C,G2219,Data!Q:Q)</f>
        <v>16000</v>
      </c>
      <c r="K2219" s="107">
        <f>SUMIF(Comprometidos!A:A,'Cost Report'!G2219,Comprometidos!E:E)</f>
        <v>0</v>
      </c>
      <c r="L2219" s="107">
        <f t="shared" si="870"/>
        <v>16000</v>
      </c>
      <c r="M2219" s="107">
        <f t="shared" si="871"/>
        <v>0</v>
      </c>
      <c r="N2219" s="107">
        <f t="shared" si="872"/>
        <v>16000</v>
      </c>
      <c r="O2219" s="107">
        <f>VLOOKUP(G2219,Budget!$E$3:$G$2474,3,0)</f>
        <v>16000</v>
      </c>
      <c r="P2219" s="107">
        <f t="shared" si="873"/>
        <v>0</v>
      </c>
      <c r="Q2219" s="107"/>
      <c r="R2219" s="10"/>
      <c r="S2219" s="107">
        <v>16000</v>
      </c>
      <c r="T2219" s="107">
        <f t="shared" si="879"/>
        <v>0</v>
      </c>
      <c r="U2219" s="107"/>
      <c r="V2219" s="175"/>
      <c r="W2219" s="10"/>
      <c r="X2219" s="10"/>
      <c r="Y2219" t="str">
        <f t="shared" si="883"/>
        <v>5110</v>
      </c>
      <c r="AB2219" s="10"/>
      <c r="AC2219" s="10"/>
      <c r="AD2219" s="10"/>
      <c r="AE2219" s="10"/>
      <c r="AF2219" s="10"/>
      <c r="AG2219" s="10"/>
      <c r="AH2219" s="10"/>
      <c r="AI2219" s="10"/>
    </row>
    <row r="2220" spans="1:35">
      <c r="A2220" s="10"/>
      <c r="B2220" s="10" t="str">
        <f>+C2220</f>
        <v>Post</v>
      </c>
      <c r="C2220" s="128" t="s">
        <v>1</v>
      </c>
      <c r="D2220" s="128" t="s">
        <v>2117</v>
      </c>
      <c r="E2220" s="128"/>
      <c r="F2220" s="128"/>
      <c r="G2220" s="128" t="s">
        <v>1881</v>
      </c>
      <c r="H2220" s="128"/>
      <c r="I2220" s="10"/>
      <c r="J2220" s="129">
        <f>SUMIF($Y$11:$Y$2484,G2220,J$11:J$2484)</f>
        <v>160000</v>
      </c>
      <c r="K2220" s="129">
        <f>SUMIF($Y$11:$Y$2484,G2220,K$11:K$2484)</f>
        <v>0</v>
      </c>
      <c r="L2220" s="129">
        <f>SUMIF($Y$11:$Y$2484,G2220,L$11:L$2484)</f>
        <v>160000</v>
      </c>
      <c r="M2220" s="129">
        <f>SUMIF($Y$11:$Y$2484,G2220,M$11:M$2484)</f>
        <v>0</v>
      </c>
      <c r="N2220" s="129">
        <f>SUMIF($Y$11:$Y$2484,G2220,N$11:N$2484)</f>
        <v>160000</v>
      </c>
      <c r="O2220" s="129">
        <f>SUMIF($Y$11:$Y$2484,G2220,O$11:O$2484)</f>
        <v>160000</v>
      </c>
      <c r="P2220" s="129">
        <f>SUMIF($Y$11:$Y$2484,G2220,P$11:P$2484)</f>
        <v>0</v>
      </c>
      <c r="Q2220" s="129"/>
      <c r="R2220" s="10"/>
      <c r="S2220" s="129">
        <v>160000</v>
      </c>
      <c r="T2220" s="129">
        <f t="shared" si="879"/>
        <v>0</v>
      </c>
      <c r="U2220" s="128"/>
      <c r="V2220" s="175"/>
      <c r="W2220" s="10"/>
      <c r="X2220" s="10"/>
      <c r="Z2220" t="str">
        <f>LEFT(G2220,2)</f>
        <v>51</v>
      </c>
      <c r="AA2220" t="str">
        <f>+Z2220&amp;"00"</f>
        <v>5100</v>
      </c>
      <c r="AB2220" s="10"/>
      <c r="AC2220" s="10"/>
      <c r="AD2220" s="10"/>
      <c r="AE2220" s="10"/>
      <c r="AF2220" s="10"/>
      <c r="AG2220" s="10"/>
      <c r="AH2220" s="10"/>
      <c r="AI2220" s="10"/>
    </row>
    <row r="2221" spans="1:35">
      <c r="A2221" s="10"/>
      <c r="B2221" s="10" t="str">
        <f t="shared" ref="B2221:B2222" si="884">+C2221&amp;E2221</f>
        <v>Post</v>
      </c>
      <c r="C2221" t="s">
        <v>1</v>
      </c>
      <c r="D2221" t="s">
        <v>19</v>
      </c>
      <c r="E2221" t="s">
        <v>214</v>
      </c>
      <c r="G2221" t="s">
        <v>1882</v>
      </c>
      <c r="I2221" s="10"/>
      <c r="J2221" s="107">
        <f>SUMIF(Data!C:C,G2221,Data!Q:Q)</f>
        <v>0</v>
      </c>
      <c r="K2221" s="107">
        <f>SUMIF(Comprometidos!A:A,'Cost Report'!G2221,Comprometidos!E:E)</f>
        <v>0</v>
      </c>
      <c r="L2221" s="107">
        <f t="shared" si="870"/>
        <v>0</v>
      </c>
      <c r="M2221" s="107">
        <f t="shared" si="871"/>
        <v>0</v>
      </c>
      <c r="N2221" s="107">
        <f t="shared" si="872"/>
        <v>0</v>
      </c>
      <c r="O2221" s="107">
        <f>VLOOKUP(G2221,Budget!$E$3:$G$2474,3,0)</f>
        <v>0</v>
      </c>
      <c r="P2221" s="107">
        <f t="shared" si="873"/>
        <v>0</v>
      </c>
      <c r="Q2221" s="107"/>
      <c r="R2221" s="10"/>
      <c r="S2221" s="107">
        <v>0</v>
      </c>
      <c r="T2221" s="107">
        <f t="shared" si="879"/>
        <v>0</v>
      </c>
      <c r="U2221" s="107"/>
      <c r="V2221" s="175"/>
      <c r="W2221" s="10"/>
      <c r="X2221" s="10"/>
      <c r="Y2221" t="str">
        <f t="shared" ref="Y2221:Y2222" si="885">LEFT(G2221,4)</f>
        <v>5113</v>
      </c>
      <c r="AB2221" s="10"/>
      <c r="AC2221" s="10"/>
      <c r="AD2221" s="10"/>
      <c r="AE2221" s="10"/>
      <c r="AF2221" s="10"/>
      <c r="AG2221" s="10"/>
      <c r="AH2221" s="10"/>
      <c r="AI2221" s="10"/>
    </row>
    <row r="2222" spans="1:35">
      <c r="A2222" s="10"/>
      <c r="B2222" s="10" t="str">
        <f t="shared" si="884"/>
        <v>PostPOST</v>
      </c>
      <c r="C2222" t="s">
        <v>1</v>
      </c>
      <c r="D2222" t="s">
        <v>19</v>
      </c>
      <c r="E2222" t="s">
        <v>468</v>
      </c>
      <c r="F2222" t="s">
        <v>5117</v>
      </c>
      <c r="G2222" t="s">
        <v>3041</v>
      </c>
      <c r="I2222" s="10"/>
      <c r="J2222" s="107">
        <f>SUMIF(Data!C:C,G2222,Data!Q:Q)</f>
        <v>160000</v>
      </c>
      <c r="K2222" s="107">
        <f>SUMIF(Comprometidos!A:A,'Cost Report'!G2222,Comprometidos!E:E)</f>
        <v>0</v>
      </c>
      <c r="L2222" s="107">
        <f t="shared" si="870"/>
        <v>160000</v>
      </c>
      <c r="M2222" s="107">
        <f t="shared" si="871"/>
        <v>0</v>
      </c>
      <c r="N2222" s="107">
        <f t="shared" si="872"/>
        <v>160000</v>
      </c>
      <c r="O2222" s="107">
        <f>VLOOKUP(G2222,Budget!$E$3:$G$2474,3,0)</f>
        <v>160000</v>
      </c>
      <c r="P2222" s="107">
        <f t="shared" si="873"/>
        <v>0</v>
      </c>
      <c r="Q2222" s="107"/>
      <c r="R2222" s="10"/>
      <c r="S2222" s="107">
        <v>160000</v>
      </c>
      <c r="T2222" s="107">
        <f t="shared" si="879"/>
        <v>0</v>
      </c>
      <c r="U2222" s="107"/>
      <c r="V2222" s="175"/>
      <c r="W2222" s="10"/>
      <c r="X2222" s="10"/>
      <c r="Y2222" t="str">
        <f t="shared" si="885"/>
        <v>5113</v>
      </c>
      <c r="AB2222" s="10"/>
      <c r="AC2222" s="10"/>
      <c r="AD2222" s="10"/>
      <c r="AE2222" s="10"/>
      <c r="AF2222" s="10"/>
      <c r="AG2222" s="10"/>
      <c r="AH2222" s="10"/>
      <c r="AI2222" s="10"/>
    </row>
    <row r="2223" spans="1:35">
      <c r="A2223" s="10"/>
      <c r="B2223" s="10" t="str">
        <f>+C2223</f>
        <v>Post</v>
      </c>
      <c r="C2223" s="128" t="s">
        <v>1</v>
      </c>
      <c r="D2223" s="128" t="s">
        <v>2117</v>
      </c>
      <c r="E2223" s="128"/>
      <c r="F2223" s="128"/>
      <c r="G2223" s="128" t="s">
        <v>1239</v>
      </c>
      <c r="H2223" s="128"/>
      <c r="I2223" s="10"/>
      <c r="J2223" s="129">
        <f>SUMIF($Y$11:$Y$2484,G2223,J$11:J$2484)</f>
        <v>200000</v>
      </c>
      <c r="K2223" s="129">
        <f>SUMIF($Y$11:$Y$2484,G2223,K$11:K$2484)</f>
        <v>0</v>
      </c>
      <c r="L2223" s="129">
        <f>SUMIF($Y$11:$Y$2484,G2223,L$11:L$2484)</f>
        <v>200000</v>
      </c>
      <c r="M2223" s="129">
        <f>SUMIF($Y$11:$Y$2484,G2223,M$11:M$2484)</f>
        <v>0</v>
      </c>
      <c r="N2223" s="129">
        <f>SUMIF($Y$11:$Y$2484,G2223,N$11:N$2484)</f>
        <v>200000</v>
      </c>
      <c r="O2223" s="129">
        <f>SUMIF($Y$11:$Y$2484,G2223,O$11:O$2484)</f>
        <v>200000</v>
      </c>
      <c r="P2223" s="129">
        <f>SUMIF($Y$11:$Y$2484,G2223,P$11:P$2484)</f>
        <v>0</v>
      </c>
      <c r="Q2223" s="129"/>
      <c r="R2223" s="10"/>
      <c r="S2223" s="129">
        <v>200000</v>
      </c>
      <c r="T2223" s="129">
        <f t="shared" si="879"/>
        <v>0</v>
      </c>
      <c r="U2223" s="128"/>
      <c r="V2223" s="175"/>
      <c r="W2223" s="10"/>
      <c r="X2223" s="10"/>
      <c r="Z2223" t="str">
        <f>LEFT(G2223,2)</f>
        <v>51</v>
      </c>
      <c r="AA2223" t="str">
        <f>+Z2223&amp;"00"</f>
        <v>5100</v>
      </c>
      <c r="AB2223" s="10"/>
      <c r="AC2223" s="10"/>
      <c r="AD2223" s="10"/>
      <c r="AE2223" s="10"/>
      <c r="AF2223" s="10"/>
      <c r="AG2223" s="10"/>
      <c r="AH2223" s="10"/>
      <c r="AI2223" s="10"/>
    </row>
    <row r="2224" spans="1:35">
      <c r="A2224" s="10"/>
      <c r="B2224" s="10" t="str">
        <f t="shared" ref="B2224:B2225" si="886">+C2224&amp;E2224</f>
        <v>Post</v>
      </c>
      <c r="C2224" t="s">
        <v>1</v>
      </c>
      <c r="D2224" t="s">
        <v>19</v>
      </c>
      <c r="E2224" t="s">
        <v>214</v>
      </c>
      <c r="G2224" t="s">
        <v>1240</v>
      </c>
      <c r="I2224" s="10"/>
      <c r="J2224" s="107">
        <f>SUMIF(Data!C:C,G2224,Data!Q:Q)</f>
        <v>0</v>
      </c>
      <c r="K2224" s="107">
        <f>SUMIF(Comprometidos!A:A,'Cost Report'!G2224,Comprometidos!E:E)</f>
        <v>0</v>
      </c>
      <c r="L2224" s="107">
        <f t="shared" si="870"/>
        <v>0</v>
      </c>
      <c r="M2224" s="107">
        <f t="shared" si="871"/>
        <v>0</v>
      </c>
      <c r="N2224" s="107">
        <f t="shared" si="872"/>
        <v>0</v>
      </c>
      <c r="O2224" s="107">
        <f>VLOOKUP(G2224,Budget!$E$3:$G$2474,3,0)</f>
        <v>0</v>
      </c>
      <c r="P2224" s="107">
        <f t="shared" si="873"/>
        <v>0</v>
      </c>
      <c r="Q2224" s="107"/>
      <c r="R2224" s="10"/>
      <c r="S2224" s="107">
        <v>0</v>
      </c>
      <c r="T2224" s="107">
        <f t="shared" si="879"/>
        <v>0</v>
      </c>
      <c r="U2224" s="107"/>
      <c r="V2224" s="175"/>
      <c r="W2224" s="10"/>
      <c r="X2224" s="10"/>
      <c r="Y2224" t="str">
        <f t="shared" ref="Y2224:Y2225" si="887">LEFT(G2224,4)</f>
        <v>5120</v>
      </c>
      <c r="AB2224" s="10"/>
      <c r="AC2224" s="10"/>
      <c r="AD2224" s="10"/>
      <c r="AE2224" s="10"/>
      <c r="AF2224" s="10"/>
      <c r="AG2224" s="10"/>
      <c r="AH2224" s="10"/>
      <c r="AI2224" s="10"/>
    </row>
    <row r="2225" spans="1:35">
      <c r="A2225" s="10"/>
      <c r="B2225" s="10" t="str">
        <f t="shared" si="886"/>
        <v>PostALL SHOW</v>
      </c>
      <c r="C2225" t="s">
        <v>1</v>
      </c>
      <c r="D2225" t="s">
        <v>19</v>
      </c>
      <c r="E2225" t="s">
        <v>227</v>
      </c>
      <c r="F2225" t="s">
        <v>5117</v>
      </c>
      <c r="G2225" t="s">
        <v>3042</v>
      </c>
      <c r="I2225" s="10"/>
      <c r="J2225" s="107">
        <f>SUMIF(Data!C:C,G2225,Data!Q:Q)</f>
        <v>200000</v>
      </c>
      <c r="K2225" s="107">
        <f>SUMIF(Comprometidos!A:A,'Cost Report'!G2225,Comprometidos!E:E)</f>
        <v>0</v>
      </c>
      <c r="L2225" s="107">
        <f t="shared" si="870"/>
        <v>200000</v>
      </c>
      <c r="M2225" s="107">
        <f t="shared" si="871"/>
        <v>0</v>
      </c>
      <c r="N2225" s="107">
        <f t="shared" si="872"/>
        <v>200000</v>
      </c>
      <c r="O2225" s="107">
        <f>VLOOKUP(G2225,Budget!$E$3:$G$2474,3,0)</f>
        <v>200000</v>
      </c>
      <c r="P2225" s="107">
        <f t="shared" si="873"/>
        <v>0</v>
      </c>
      <c r="Q2225" s="107"/>
      <c r="R2225" s="10"/>
      <c r="S2225" s="107">
        <v>200000</v>
      </c>
      <c r="T2225" s="107">
        <f t="shared" si="879"/>
        <v>0</v>
      </c>
      <c r="U2225" s="107"/>
      <c r="V2225" s="175"/>
      <c r="W2225" s="10"/>
      <c r="X2225" s="10"/>
      <c r="Y2225" t="str">
        <f t="shared" si="887"/>
        <v>5120</v>
      </c>
      <c r="AB2225" s="10"/>
      <c r="AC2225" s="10"/>
      <c r="AD2225" s="10"/>
      <c r="AE2225" s="10"/>
      <c r="AF2225" s="10"/>
      <c r="AG2225" s="10"/>
      <c r="AH2225" s="10"/>
      <c r="AI2225" s="10"/>
    </row>
    <row r="2226" spans="1:35">
      <c r="A2226" s="10"/>
      <c r="B2226" s="10" t="str">
        <f>+C2226</f>
        <v>Post</v>
      </c>
      <c r="C2226" s="128" t="s">
        <v>1</v>
      </c>
      <c r="D2226" s="128" t="s">
        <v>2117</v>
      </c>
      <c r="E2226" s="128"/>
      <c r="F2226" s="128"/>
      <c r="G2226" s="128" t="s">
        <v>1241</v>
      </c>
      <c r="H2226" s="128"/>
      <c r="I2226" s="10"/>
      <c r="J2226" s="129">
        <f>SUMIF($Y$11:$Y$2484,G2226,J$11:J$2484)</f>
        <v>0</v>
      </c>
      <c r="K2226" s="129">
        <f>SUMIF($Y$11:$Y$2484,G2226,K$11:K$2484)</f>
        <v>0</v>
      </c>
      <c r="L2226" s="129">
        <f>SUMIF($Y$11:$Y$2484,G2226,L$11:L$2484)</f>
        <v>0</v>
      </c>
      <c r="M2226" s="129">
        <f>SUMIF($Y$11:$Y$2484,G2226,M$11:M$2484)</f>
        <v>0</v>
      </c>
      <c r="N2226" s="129">
        <f>SUMIF($Y$11:$Y$2484,G2226,N$11:N$2484)</f>
        <v>0</v>
      </c>
      <c r="O2226" s="129">
        <f>SUMIF($Y$11:$Y$2484,G2226,O$11:O$2484)</f>
        <v>47500</v>
      </c>
      <c r="P2226" s="129">
        <f>SUMIF($Y$11:$Y$2484,G2226,P$11:P$2484)</f>
        <v>47500</v>
      </c>
      <c r="Q2226" s="129"/>
      <c r="R2226" s="10"/>
      <c r="S2226" s="129">
        <v>0</v>
      </c>
      <c r="T2226" s="129">
        <f t="shared" si="879"/>
        <v>0</v>
      </c>
      <c r="U2226" s="128"/>
      <c r="V2226" s="175"/>
      <c r="W2226" s="10"/>
      <c r="X2226" s="10"/>
      <c r="Z2226" t="str">
        <f>LEFT(G2226,2)</f>
        <v>51</v>
      </c>
      <c r="AA2226" t="str">
        <f>+Z2226&amp;"00"</f>
        <v>5100</v>
      </c>
      <c r="AB2226" s="10"/>
      <c r="AC2226" s="10"/>
      <c r="AD2226" s="10"/>
      <c r="AE2226" s="10"/>
      <c r="AF2226" s="10"/>
      <c r="AG2226" s="10"/>
      <c r="AH2226" s="10"/>
      <c r="AI2226" s="10"/>
    </row>
    <row r="2227" spans="1:35">
      <c r="A2227" s="10"/>
      <c r="B2227" s="10" t="str">
        <f t="shared" ref="B2227:B2228" si="888">+C2227&amp;E2227</f>
        <v>Post</v>
      </c>
      <c r="C2227" t="s">
        <v>1</v>
      </c>
      <c r="D2227" t="s">
        <v>19</v>
      </c>
      <c r="E2227" t="s">
        <v>214</v>
      </c>
      <c r="G2227" t="s">
        <v>1242</v>
      </c>
      <c r="I2227" s="10"/>
      <c r="J2227" s="107">
        <f>SUMIF(Data!C:C,G2227,Data!Q:Q)</f>
        <v>0</v>
      </c>
      <c r="K2227" s="107">
        <f>SUMIF(Comprometidos!A:A,'Cost Report'!G2227,Comprometidos!E:E)</f>
        <v>0</v>
      </c>
      <c r="L2227" s="107">
        <f t="shared" si="870"/>
        <v>0</v>
      </c>
      <c r="M2227" s="107">
        <f t="shared" si="871"/>
        <v>0</v>
      </c>
      <c r="N2227" s="107">
        <f t="shared" si="872"/>
        <v>0</v>
      </c>
      <c r="O2227" s="107">
        <f>VLOOKUP(G2227,Budget!$E$3:$G$2474,3,0)</f>
        <v>0</v>
      </c>
      <c r="P2227" s="107">
        <f t="shared" si="873"/>
        <v>0</v>
      </c>
      <c r="Q2227" s="107"/>
      <c r="R2227" s="10"/>
      <c r="S2227" s="107">
        <v>0</v>
      </c>
      <c r="T2227" s="107">
        <f t="shared" si="879"/>
        <v>0</v>
      </c>
      <c r="U2227" s="107"/>
      <c r="V2227" s="175"/>
      <c r="W2227" s="10"/>
      <c r="X2227" s="10"/>
      <c r="Y2227" t="str">
        <f t="shared" ref="Y2227:Y2228" si="889">LEFT(G2227,4)</f>
        <v>5197</v>
      </c>
      <c r="AB2227" s="10"/>
      <c r="AC2227" s="10"/>
      <c r="AD2227" s="10"/>
      <c r="AE2227" s="10"/>
      <c r="AF2227" s="10"/>
      <c r="AG2227" s="10"/>
      <c r="AH2227" s="10"/>
      <c r="AI2227" s="10"/>
    </row>
    <row r="2228" spans="1:35">
      <c r="A2228" s="10"/>
      <c r="B2228" s="10" t="str">
        <f t="shared" si="888"/>
        <v>PostALL SHOW</v>
      </c>
      <c r="C2228" t="s">
        <v>1</v>
      </c>
      <c r="D2228" t="s">
        <v>19</v>
      </c>
      <c r="E2228" t="s">
        <v>227</v>
      </c>
      <c r="F2228" t="s">
        <v>5117</v>
      </c>
      <c r="G2228" t="s">
        <v>3043</v>
      </c>
      <c r="I2228" s="10"/>
      <c r="J2228" s="107">
        <f>SUMIF(Data!C:C,G2228,Data!Q:Q)</f>
        <v>0</v>
      </c>
      <c r="K2228" s="107">
        <f>SUMIF(Comprometidos!A:A,'Cost Report'!G2228,Comprometidos!E:E)</f>
        <v>0</v>
      </c>
      <c r="L2228" s="107">
        <f t="shared" si="870"/>
        <v>0</v>
      </c>
      <c r="M2228" s="107">
        <v>0</v>
      </c>
      <c r="N2228" s="107">
        <f t="shared" si="872"/>
        <v>0</v>
      </c>
      <c r="O2228" s="107">
        <f>VLOOKUP(G2228,Budget!$E$3:$G$2474,3,0)</f>
        <v>47500</v>
      </c>
      <c r="P2228" s="107">
        <f t="shared" si="873"/>
        <v>47500</v>
      </c>
      <c r="Q2228" s="107"/>
      <c r="R2228" s="10"/>
      <c r="S2228" s="107">
        <v>0</v>
      </c>
      <c r="T2228" s="107">
        <f t="shared" si="879"/>
        <v>0</v>
      </c>
      <c r="U2228" s="107"/>
      <c r="V2228" s="175"/>
      <c r="W2228" s="10"/>
      <c r="X2228" s="10"/>
      <c r="Y2228" t="str">
        <f t="shared" si="889"/>
        <v>5197</v>
      </c>
      <c r="AB2228" s="10"/>
      <c r="AC2228" s="10"/>
      <c r="AD2228" s="10"/>
      <c r="AE2228" s="10"/>
      <c r="AF2228" s="10"/>
      <c r="AG2228" s="10"/>
      <c r="AH2228" s="10"/>
      <c r="AI2228" s="10"/>
    </row>
    <row r="2229" spans="1:35">
      <c r="A2229" s="10"/>
      <c r="B2229" s="10"/>
      <c r="C2229" s="170" t="s">
        <v>1</v>
      </c>
      <c r="D2229" s="170" t="s">
        <v>8</v>
      </c>
      <c r="E2229" s="170"/>
      <c r="F2229" s="170"/>
      <c r="G2229" s="170" t="s">
        <v>1243</v>
      </c>
      <c r="H2229" s="170"/>
      <c r="I2229" s="10"/>
      <c r="J2229" s="169">
        <f>SUMIF($AA$10:$AA$2484,G2229,J$10:J$2484)</f>
        <v>1866170</v>
      </c>
      <c r="K2229" s="169">
        <f>SUMIF($AA$10:$AA$2484,G2229,K$10:K$2484)</f>
        <v>0</v>
      </c>
      <c r="L2229" s="169">
        <f>SUMIF($AA$10:$AA$2484,G2229,L$10:L$2484)</f>
        <v>1866170</v>
      </c>
      <c r="M2229" s="169">
        <f>SUMIF($AA$10:$AA$2484,G2229,M$10:M$2484)</f>
        <v>0</v>
      </c>
      <c r="N2229" s="169">
        <f>SUMIF($AA$10:$AA$2484,G2229,N$10:N$2484)</f>
        <v>1866170</v>
      </c>
      <c r="O2229" s="169">
        <f>SUMIF($AA$10:$AA$2484,G2229,O$10:O$2484)</f>
        <v>1843600</v>
      </c>
      <c r="P2229" s="168">
        <f>SUMIF($AA$10:$AA$2484,G2229,P$10:P$2484)</f>
        <v>-22570</v>
      </c>
      <c r="Q2229" s="169"/>
      <c r="R2229" s="10"/>
      <c r="S2229" s="164">
        <v>1866170</v>
      </c>
      <c r="T2229" s="164">
        <f t="shared" si="879"/>
        <v>0</v>
      </c>
      <c r="U2229" s="163"/>
      <c r="V2229" s="175"/>
      <c r="W2229" s="10"/>
      <c r="X2229" s="10"/>
      <c r="AB2229" s="10"/>
      <c r="AC2229" s="10"/>
      <c r="AD2229" s="10"/>
      <c r="AE2229" s="10"/>
      <c r="AF2229" s="10"/>
      <c r="AG2229" s="10"/>
      <c r="AH2229" s="10"/>
      <c r="AI2229" s="10"/>
    </row>
    <row r="2230" spans="1:35">
      <c r="A2230" s="10"/>
      <c r="B2230" s="10" t="str">
        <f>+C2230</f>
        <v>Post</v>
      </c>
      <c r="C2230" s="128" t="s">
        <v>1</v>
      </c>
      <c r="D2230" s="128" t="s">
        <v>2117</v>
      </c>
      <c r="E2230" s="128"/>
      <c r="F2230" s="128"/>
      <c r="G2230" s="128" t="s">
        <v>1244</v>
      </c>
      <c r="H2230" s="128"/>
      <c r="I2230" s="10"/>
      <c r="J2230" s="129">
        <f>SUMIF($Y$11:$Y$2484,G2230,J$11:J$2484)</f>
        <v>612000</v>
      </c>
      <c r="K2230" s="129">
        <f>SUMIF($Y$11:$Y$2484,G2230,K$11:K$2484)</f>
        <v>0</v>
      </c>
      <c r="L2230" s="129">
        <f>SUMIF($Y$11:$Y$2484,G2230,L$11:L$2484)</f>
        <v>612000</v>
      </c>
      <c r="M2230" s="129">
        <f>SUMIF($Y$11:$Y$2484,G2230,M$11:M$2484)</f>
        <v>0</v>
      </c>
      <c r="N2230" s="129">
        <f>SUMIF($Y$11:$Y$2484,G2230,N$11:N$2484)</f>
        <v>612000</v>
      </c>
      <c r="O2230" s="129">
        <f>SUMIF($Y$11:$Y$2484,G2230,O$11:O$2484)</f>
        <v>612000</v>
      </c>
      <c r="P2230" s="129">
        <f>SUMIF($Y$11:$Y$2484,G2230,P$11:P$2484)</f>
        <v>0</v>
      </c>
      <c r="Q2230" s="129"/>
      <c r="R2230" s="10"/>
      <c r="S2230" s="129">
        <v>612000</v>
      </c>
      <c r="T2230" s="129">
        <f t="shared" si="879"/>
        <v>0</v>
      </c>
      <c r="U2230" s="128"/>
      <c r="V2230" s="175"/>
      <c r="W2230" s="10"/>
      <c r="X2230" s="10"/>
      <c r="Z2230" t="str">
        <f>LEFT(G2230,2)</f>
        <v>52</v>
      </c>
      <c r="AA2230" t="str">
        <f>+Z2230&amp;"00"</f>
        <v>5200</v>
      </c>
      <c r="AB2230" s="10"/>
      <c r="AC2230" s="10"/>
      <c r="AD2230" s="10"/>
      <c r="AE2230" s="10"/>
      <c r="AF2230" s="10"/>
      <c r="AG2230" s="10"/>
      <c r="AH2230" s="10"/>
      <c r="AI2230" s="10"/>
    </row>
    <row r="2231" spans="1:35">
      <c r="A2231" s="10"/>
      <c r="B2231" s="10" t="str">
        <f t="shared" ref="B2231:B2247" si="890">+C2231&amp;E2231</f>
        <v>Post</v>
      </c>
      <c r="C2231" t="s">
        <v>1</v>
      </c>
      <c r="D2231" t="s">
        <v>19</v>
      </c>
      <c r="E2231" t="s">
        <v>214</v>
      </c>
      <c r="G2231" t="s">
        <v>1245</v>
      </c>
      <c r="I2231" s="10"/>
      <c r="J2231" s="107">
        <f>SUMIF(Data!C:C,G2231,Data!Q:Q)</f>
        <v>0</v>
      </c>
      <c r="K2231" s="107">
        <f>SUMIF(Comprometidos!A:A,'Cost Report'!G2231,Comprometidos!E:E)</f>
        <v>0</v>
      </c>
      <c r="L2231" s="107">
        <f t="shared" si="870"/>
        <v>0</v>
      </c>
      <c r="M2231" s="107">
        <f t="shared" si="871"/>
        <v>0</v>
      </c>
      <c r="N2231" s="107">
        <f t="shared" si="872"/>
        <v>0</v>
      </c>
      <c r="O2231" s="107">
        <f>VLOOKUP(G2231,Budget!$E$3:$G$2474,3,0)</f>
        <v>0</v>
      </c>
      <c r="P2231" s="107">
        <f t="shared" si="873"/>
        <v>0</v>
      </c>
      <c r="Q2231" s="107"/>
      <c r="R2231" s="10"/>
      <c r="S2231" s="107">
        <v>0</v>
      </c>
      <c r="T2231" s="107">
        <f t="shared" si="879"/>
        <v>0</v>
      </c>
      <c r="U2231" s="107"/>
      <c r="V2231" s="175"/>
      <c r="W2231" s="10"/>
      <c r="X2231" s="10"/>
      <c r="Y2231" t="str">
        <f t="shared" ref="Y2231:Y2247" si="891">LEFT(G2231,4)</f>
        <v>5201</v>
      </c>
      <c r="AB2231" s="10"/>
      <c r="AC2231" s="10"/>
      <c r="AD2231" s="10"/>
      <c r="AE2231" s="10"/>
      <c r="AF2231" s="10"/>
      <c r="AG2231" s="10"/>
      <c r="AH2231" s="10"/>
      <c r="AI2231" s="10"/>
    </row>
    <row r="2232" spans="1:35">
      <c r="A2232" s="10"/>
      <c r="B2232" s="10" t="str">
        <f t="shared" si="890"/>
        <v>PostPOST</v>
      </c>
      <c r="C2232" t="s">
        <v>1</v>
      </c>
      <c r="D2232" t="s">
        <v>19</v>
      </c>
      <c r="E2232" t="s">
        <v>468</v>
      </c>
      <c r="F2232" t="s">
        <v>5117</v>
      </c>
      <c r="G2232" t="s">
        <v>1246</v>
      </c>
      <c r="I2232" s="10"/>
      <c r="J2232" s="107">
        <f>SUMIF(Data!C:C,G2232,Data!Q:Q)</f>
        <v>252000</v>
      </c>
      <c r="K2232" s="107">
        <f>SUMIF(Comprometidos!A:A,'Cost Report'!G2232,Comprometidos!E:E)</f>
        <v>0</v>
      </c>
      <c r="L2232" s="107">
        <f t="shared" si="870"/>
        <v>252000</v>
      </c>
      <c r="M2232" s="107">
        <f t="shared" si="871"/>
        <v>0</v>
      </c>
      <c r="N2232" s="107">
        <f t="shared" si="872"/>
        <v>252000</v>
      </c>
      <c r="O2232" s="107">
        <f>VLOOKUP(G2232,Budget!$E$3:$G$2474,3,0)</f>
        <v>252000</v>
      </c>
      <c r="P2232" s="107">
        <f t="shared" si="873"/>
        <v>0</v>
      </c>
      <c r="Q2232" s="107"/>
      <c r="R2232" s="10"/>
      <c r="S2232" s="107">
        <v>252000</v>
      </c>
      <c r="T2232" s="107">
        <f t="shared" si="879"/>
        <v>0</v>
      </c>
      <c r="U2232" s="107"/>
      <c r="V2232" s="175"/>
      <c r="W2232" s="10"/>
      <c r="X2232" s="10"/>
      <c r="Y2232" t="str">
        <f t="shared" si="891"/>
        <v>5201</v>
      </c>
      <c r="AB2232" s="10"/>
      <c r="AC2232" s="10"/>
      <c r="AD2232" s="10"/>
      <c r="AE2232" s="10"/>
      <c r="AF2232" s="10"/>
      <c r="AG2232" s="10"/>
      <c r="AH2232" s="10"/>
      <c r="AI2232" s="10"/>
    </row>
    <row r="2233" spans="1:35">
      <c r="A2233" s="10"/>
      <c r="B2233" s="10" t="str">
        <f t="shared" si="890"/>
        <v>Post</v>
      </c>
      <c r="C2233" t="s">
        <v>1</v>
      </c>
      <c r="D2233" t="s">
        <v>19</v>
      </c>
      <c r="E2233" t="s">
        <v>214</v>
      </c>
      <c r="G2233" t="s">
        <v>1247</v>
      </c>
      <c r="I2233" s="10"/>
      <c r="J2233" s="107">
        <f>SUMIF(Data!C:C,G2233,Data!Q:Q)</f>
        <v>0</v>
      </c>
      <c r="K2233" s="107">
        <f>SUMIF(Comprometidos!A:A,'Cost Report'!G2233,Comprometidos!E:E)</f>
        <v>0</v>
      </c>
      <c r="L2233" s="107">
        <f t="shared" si="870"/>
        <v>0</v>
      </c>
      <c r="M2233" s="107">
        <f t="shared" si="871"/>
        <v>0</v>
      </c>
      <c r="N2233" s="107">
        <f t="shared" si="872"/>
        <v>0</v>
      </c>
      <c r="O2233" s="107">
        <f>VLOOKUP(G2233,Budget!$E$3:$G$2474,3,0)</f>
        <v>0</v>
      </c>
      <c r="P2233" s="107">
        <f t="shared" si="873"/>
        <v>0</v>
      </c>
      <c r="Q2233" s="107"/>
      <c r="R2233" s="10"/>
      <c r="S2233" s="107">
        <v>0</v>
      </c>
      <c r="T2233" s="107">
        <f t="shared" si="879"/>
        <v>0</v>
      </c>
      <c r="U2233" s="107"/>
      <c r="V2233" s="175"/>
      <c r="W2233" s="10"/>
      <c r="X2233" s="10"/>
      <c r="Y2233" t="str">
        <f t="shared" si="891"/>
        <v>5201</v>
      </c>
      <c r="AB2233" s="10"/>
      <c r="AC2233" s="10"/>
      <c r="AD2233" s="10"/>
      <c r="AE2233" s="10"/>
      <c r="AF2233" s="10"/>
      <c r="AG2233" s="10"/>
      <c r="AH2233" s="10"/>
      <c r="AI2233" s="10"/>
    </row>
    <row r="2234" spans="1:35">
      <c r="A2234" s="10"/>
      <c r="B2234" s="10" t="str">
        <f t="shared" si="890"/>
        <v>Post</v>
      </c>
      <c r="C2234" t="s">
        <v>1</v>
      </c>
      <c r="D2234" t="s">
        <v>19</v>
      </c>
      <c r="E2234" t="s">
        <v>214</v>
      </c>
      <c r="G2234" t="s">
        <v>1248</v>
      </c>
      <c r="I2234" s="10"/>
      <c r="J2234" s="107">
        <f>SUMIF(Data!C:C,G2234,Data!Q:Q)</f>
        <v>0</v>
      </c>
      <c r="K2234" s="107">
        <f>SUMIF(Comprometidos!A:A,'Cost Report'!G2234,Comprometidos!E:E)</f>
        <v>0</v>
      </c>
      <c r="L2234" s="107">
        <f t="shared" si="870"/>
        <v>0</v>
      </c>
      <c r="M2234" s="107">
        <f t="shared" si="871"/>
        <v>0</v>
      </c>
      <c r="N2234" s="107">
        <f t="shared" si="872"/>
        <v>0</v>
      </c>
      <c r="O2234" s="107">
        <f>VLOOKUP(G2234,Budget!$E$3:$G$2474,3,0)</f>
        <v>0</v>
      </c>
      <c r="P2234" s="107">
        <f t="shared" si="873"/>
        <v>0</v>
      </c>
      <c r="Q2234" s="107"/>
      <c r="R2234" s="10"/>
      <c r="S2234" s="107">
        <v>0</v>
      </c>
      <c r="T2234" s="107">
        <f t="shared" si="879"/>
        <v>0</v>
      </c>
      <c r="U2234" s="107"/>
      <c r="V2234" s="175"/>
      <c r="W2234" s="10"/>
      <c r="X2234" s="10"/>
      <c r="Y2234" t="str">
        <f t="shared" si="891"/>
        <v>5201</v>
      </c>
      <c r="AB2234" s="10"/>
      <c r="AC2234" s="10"/>
      <c r="AD2234" s="10"/>
      <c r="AE2234" s="10"/>
      <c r="AF2234" s="10"/>
      <c r="AG2234" s="10"/>
      <c r="AH2234" s="10"/>
      <c r="AI2234" s="10"/>
    </row>
    <row r="2235" spans="1:35">
      <c r="A2235" s="10"/>
      <c r="B2235" s="10" t="str">
        <f t="shared" si="890"/>
        <v>PostPOST</v>
      </c>
      <c r="C2235" t="s">
        <v>1</v>
      </c>
      <c r="D2235" t="s">
        <v>19</v>
      </c>
      <c r="E2235" t="s">
        <v>468</v>
      </c>
      <c r="F2235" t="s">
        <v>5117</v>
      </c>
      <c r="G2235" t="s">
        <v>1249</v>
      </c>
      <c r="I2235" s="10"/>
      <c r="J2235" s="107">
        <f>SUMIF(Data!C:C,G2235,Data!Q:Q)</f>
        <v>126000</v>
      </c>
      <c r="K2235" s="107">
        <f>SUMIF(Comprometidos!A:A,'Cost Report'!G2235,Comprometidos!E:E)</f>
        <v>0</v>
      </c>
      <c r="L2235" s="107">
        <f t="shared" si="870"/>
        <v>126000</v>
      </c>
      <c r="M2235" s="107">
        <f t="shared" si="871"/>
        <v>0</v>
      </c>
      <c r="N2235" s="107">
        <f t="shared" si="872"/>
        <v>126000</v>
      </c>
      <c r="O2235" s="107">
        <f>VLOOKUP(G2235,Budget!$E$3:$G$2474,3,0)</f>
        <v>126000</v>
      </c>
      <c r="P2235" s="107">
        <f t="shared" si="873"/>
        <v>0</v>
      </c>
      <c r="Q2235" s="107"/>
      <c r="R2235" s="10"/>
      <c r="S2235" s="107">
        <v>126000</v>
      </c>
      <c r="T2235" s="107">
        <f t="shared" si="879"/>
        <v>0</v>
      </c>
      <c r="U2235" s="107"/>
      <c r="V2235" s="175"/>
      <c r="W2235" s="10"/>
      <c r="X2235" s="10"/>
      <c r="Y2235" t="str">
        <f t="shared" si="891"/>
        <v>5201</v>
      </c>
      <c r="AB2235" s="10"/>
      <c r="AC2235" s="10"/>
      <c r="AD2235" s="10"/>
      <c r="AE2235" s="10"/>
      <c r="AF2235" s="10"/>
      <c r="AG2235" s="10"/>
      <c r="AH2235" s="10"/>
      <c r="AI2235" s="10"/>
    </row>
    <row r="2236" spans="1:35">
      <c r="A2236" s="10"/>
      <c r="B2236" s="10" t="str">
        <f t="shared" si="890"/>
        <v>Post</v>
      </c>
      <c r="C2236" t="s">
        <v>1</v>
      </c>
      <c r="D2236" t="s">
        <v>19</v>
      </c>
      <c r="E2236" t="s">
        <v>214</v>
      </c>
      <c r="G2236" t="s">
        <v>1250</v>
      </c>
      <c r="I2236" s="10"/>
      <c r="J2236" s="107">
        <f>SUMIF(Data!C:C,G2236,Data!Q:Q)</f>
        <v>0</v>
      </c>
      <c r="K2236" s="107">
        <f>SUMIF(Comprometidos!A:A,'Cost Report'!G2236,Comprometidos!E:E)</f>
        <v>0</v>
      </c>
      <c r="L2236" s="107">
        <f t="shared" si="870"/>
        <v>0</v>
      </c>
      <c r="M2236" s="107">
        <f t="shared" si="871"/>
        <v>0</v>
      </c>
      <c r="N2236" s="107">
        <f t="shared" si="872"/>
        <v>0</v>
      </c>
      <c r="O2236" s="107">
        <f>VLOOKUP(G2236,Budget!$E$3:$G$2474,3,0)</f>
        <v>0</v>
      </c>
      <c r="P2236" s="107">
        <f t="shared" si="873"/>
        <v>0</v>
      </c>
      <c r="Q2236" s="107"/>
      <c r="R2236" s="10"/>
      <c r="S2236" s="107">
        <v>0</v>
      </c>
      <c r="T2236" s="107">
        <f t="shared" si="879"/>
        <v>0</v>
      </c>
      <c r="U2236" s="107"/>
      <c r="V2236" s="175"/>
      <c r="W2236" s="10"/>
      <c r="X2236" s="10"/>
      <c r="Y2236" t="str">
        <f t="shared" si="891"/>
        <v>5201</v>
      </c>
      <c r="AB2236" s="10"/>
      <c r="AC2236" s="10"/>
      <c r="AD2236" s="10"/>
      <c r="AE2236" s="10"/>
      <c r="AF2236" s="10"/>
      <c r="AG2236" s="10"/>
      <c r="AH2236" s="10"/>
      <c r="AI2236" s="10"/>
    </row>
    <row r="2237" spans="1:35">
      <c r="A2237" s="10"/>
      <c r="B2237" s="10" t="str">
        <f t="shared" si="890"/>
        <v>Post</v>
      </c>
      <c r="C2237" t="s">
        <v>1</v>
      </c>
      <c r="D2237" t="s">
        <v>19</v>
      </c>
      <c r="E2237" t="s">
        <v>214</v>
      </c>
      <c r="G2237" t="s">
        <v>1251</v>
      </c>
      <c r="I2237" s="10"/>
      <c r="J2237" s="107">
        <f>SUMIF(Data!C:C,G2237,Data!Q:Q)</f>
        <v>0</v>
      </c>
      <c r="K2237" s="107">
        <f>SUMIF(Comprometidos!A:A,'Cost Report'!G2237,Comprometidos!E:E)</f>
        <v>0</v>
      </c>
      <c r="L2237" s="107">
        <f t="shared" si="870"/>
        <v>0</v>
      </c>
      <c r="M2237" s="107">
        <f t="shared" si="871"/>
        <v>0</v>
      </c>
      <c r="N2237" s="107">
        <f t="shared" si="872"/>
        <v>0</v>
      </c>
      <c r="O2237" s="107">
        <f>VLOOKUP(G2237,Budget!$E$3:$G$2474,3,0)</f>
        <v>0</v>
      </c>
      <c r="P2237" s="107">
        <f t="shared" si="873"/>
        <v>0</v>
      </c>
      <c r="Q2237" s="107"/>
      <c r="R2237" s="10"/>
      <c r="S2237" s="107">
        <v>0</v>
      </c>
      <c r="T2237" s="107">
        <f t="shared" si="879"/>
        <v>0</v>
      </c>
      <c r="U2237" s="107"/>
      <c r="V2237" s="175"/>
      <c r="W2237" s="10"/>
      <c r="X2237" s="10"/>
      <c r="Y2237" t="str">
        <f t="shared" si="891"/>
        <v>5201</v>
      </c>
      <c r="AB2237" s="10"/>
      <c r="AC2237" s="10"/>
      <c r="AD2237" s="10"/>
      <c r="AE2237" s="10"/>
      <c r="AF2237" s="10"/>
      <c r="AG2237" s="10"/>
      <c r="AH2237" s="10"/>
      <c r="AI2237" s="10"/>
    </row>
    <row r="2238" spans="1:35">
      <c r="A2238" s="10"/>
      <c r="B2238" s="10" t="str">
        <f t="shared" si="890"/>
        <v>PostPOST</v>
      </c>
      <c r="C2238" t="s">
        <v>1</v>
      </c>
      <c r="D2238" t="s">
        <v>19</v>
      </c>
      <c r="E2238" t="s">
        <v>468</v>
      </c>
      <c r="F2238" t="s">
        <v>5117</v>
      </c>
      <c r="G2238" t="s">
        <v>1252</v>
      </c>
      <c r="I2238" s="10"/>
      <c r="J2238" s="107">
        <f>SUMIF(Data!C:C,G2238,Data!Q:Q)</f>
        <v>126000</v>
      </c>
      <c r="K2238" s="107">
        <f>SUMIF(Comprometidos!A:A,'Cost Report'!G2238,Comprometidos!E:E)</f>
        <v>0</v>
      </c>
      <c r="L2238" s="107">
        <f t="shared" si="870"/>
        <v>126000</v>
      </c>
      <c r="M2238" s="107">
        <f t="shared" si="871"/>
        <v>0</v>
      </c>
      <c r="N2238" s="107">
        <f t="shared" si="872"/>
        <v>126000</v>
      </c>
      <c r="O2238" s="107">
        <f>VLOOKUP(G2238,Budget!$E$3:$G$2474,3,0)</f>
        <v>126000</v>
      </c>
      <c r="P2238" s="107">
        <f t="shared" si="873"/>
        <v>0</v>
      </c>
      <c r="Q2238" s="107"/>
      <c r="R2238" s="10"/>
      <c r="S2238" s="107">
        <v>126000</v>
      </c>
      <c r="T2238" s="107">
        <f t="shared" si="879"/>
        <v>0</v>
      </c>
      <c r="U2238" s="107"/>
      <c r="V2238" s="175"/>
      <c r="W2238" s="10"/>
      <c r="X2238" s="10"/>
      <c r="Y2238" t="str">
        <f t="shared" si="891"/>
        <v>5201</v>
      </c>
      <c r="AB2238" s="10"/>
      <c r="AC2238" s="10"/>
      <c r="AD2238" s="10"/>
      <c r="AE2238" s="10"/>
      <c r="AF2238" s="10"/>
      <c r="AG2238" s="10"/>
      <c r="AH2238" s="10"/>
      <c r="AI2238" s="10"/>
    </row>
    <row r="2239" spans="1:35">
      <c r="A2239" s="10"/>
      <c r="B2239" s="10" t="str">
        <f t="shared" si="890"/>
        <v>Post</v>
      </c>
      <c r="C2239" t="s">
        <v>1</v>
      </c>
      <c r="D2239" t="s">
        <v>19</v>
      </c>
      <c r="E2239" t="s">
        <v>214</v>
      </c>
      <c r="G2239" t="s">
        <v>1253</v>
      </c>
      <c r="I2239" s="10"/>
      <c r="J2239" s="107">
        <f>SUMIF(Data!C:C,G2239,Data!Q:Q)</f>
        <v>0</v>
      </c>
      <c r="K2239" s="107">
        <f>SUMIF(Comprometidos!A:A,'Cost Report'!G2239,Comprometidos!E:E)</f>
        <v>0</v>
      </c>
      <c r="L2239" s="107">
        <f t="shared" si="870"/>
        <v>0</v>
      </c>
      <c r="M2239" s="107">
        <f t="shared" si="871"/>
        <v>0</v>
      </c>
      <c r="N2239" s="107">
        <f t="shared" si="872"/>
        <v>0</v>
      </c>
      <c r="O2239" s="107">
        <f>VLOOKUP(G2239,Budget!$E$3:$G$2474,3,0)</f>
        <v>0</v>
      </c>
      <c r="P2239" s="107">
        <f t="shared" si="873"/>
        <v>0</v>
      </c>
      <c r="Q2239" s="107"/>
      <c r="R2239" s="10"/>
      <c r="S2239" s="107">
        <v>0</v>
      </c>
      <c r="T2239" s="107">
        <f t="shared" si="879"/>
        <v>0</v>
      </c>
      <c r="U2239" s="107"/>
      <c r="V2239" s="175"/>
      <c r="W2239" s="10"/>
      <c r="X2239" s="10"/>
      <c r="Y2239" t="str">
        <f t="shared" si="891"/>
        <v>5201</v>
      </c>
      <c r="AB2239" s="10"/>
      <c r="AC2239" s="10"/>
      <c r="AD2239" s="10"/>
      <c r="AE2239" s="10"/>
      <c r="AF2239" s="10"/>
      <c r="AG2239" s="10"/>
      <c r="AH2239" s="10"/>
      <c r="AI2239" s="10"/>
    </row>
    <row r="2240" spans="1:35">
      <c r="A2240" s="10"/>
      <c r="B2240" s="10" t="str">
        <f t="shared" si="890"/>
        <v>PostPOST</v>
      </c>
      <c r="C2240" t="s">
        <v>1</v>
      </c>
      <c r="D2240" t="s">
        <v>19</v>
      </c>
      <c r="E2240" t="s">
        <v>468</v>
      </c>
      <c r="F2240" t="s">
        <v>5117</v>
      </c>
      <c r="G2240" t="s">
        <v>1254</v>
      </c>
      <c r="I2240" s="10"/>
      <c r="J2240" s="107">
        <f>SUMIF(Data!C:C,G2240,Data!Q:Q)</f>
        <v>108000</v>
      </c>
      <c r="K2240" s="107">
        <f>SUMIF(Comprometidos!A:A,'Cost Report'!G2240,Comprometidos!E:E)</f>
        <v>0</v>
      </c>
      <c r="L2240" s="107">
        <f t="shared" si="870"/>
        <v>108000</v>
      </c>
      <c r="M2240" s="107">
        <f t="shared" si="871"/>
        <v>0</v>
      </c>
      <c r="N2240" s="107">
        <f t="shared" si="872"/>
        <v>108000</v>
      </c>
      <c r="O2240" s="107">
        <f>VLOOKUP(G2240,Budget!$E$3:$G$2474,3,0)</f>
        <v>108000</v>
      </c>
      <c r="P2240" s="107">
        <f t="shared" si="873"/>
        <v>0</v>
      </c>
      <c r="Q2240" s="107"/>
      <c r="R2240" s="10"/>
      <c r="S2240" s="107">
        <v>108000</v>
      </c>
      <c r="T2240" s="107">
        <f t="shared" si="879"/>
        <v>0</v>
      </c>
      <c r="U2240" s="107"/>
      <c r="V2240" s="175"/>
      <c r="W2240" s="10"/>
      <c r="X2240" s="10"/>
      <c r="Y2240" t="str">
        <f t="shared" si="891"/>
        <v>5201</v>
      </c>
      <c r="AB2240" s="10"/>
      <c r="AC2240" s="10"/>
      <c r="AD2240" s="10"/>
      <c r="AE2240" s="10"/>
      <c r="AF2240" s="10"/>
      <c r="AG2240" s="10"/>
      <c r="AH2240" s="10"/>
      <c r="AI2240" s="10"/>
    </row>
    <row r="2241" spans="1:35">
      <c r="A2241" s="10"/>
      <c r="B2241" s="10" t="str">
        <f t="shared" si="890"/>
        <v>Post</v>
      </c>
      <c r="C2241" t="s">
        <v>1</v>
      </c>
      <c r="D2241" t="s">
        <v>19</v>
      </c>
      <c r="E2241" t="s">
        <v>214</v>
      </c>
      <c r="G2241" t="s">
        <v>3044</v>
      </c>
      <c r="I2241" s="10"/>
      <c r="J2241" s="107">
        <f>SUMIF(Data!C:C,G2241,Data!Q:Q)</f>
        <v>0</v>
      </c>
      <c r="K2241" s="107">
        <f>SUMIF(Comprometidos!A:A,'Cost Report'!G2241,Comprometidos!E:E)</f>
        <v>0</v>
      </c>
      <c r="L2241" s="107">
        <f t="shared" si="870"/>
        <v>0</v>
      </c>
      <c r="M2241" s="107">
        <f t="shared" si="871"/>
        <v>0</v>
      </c>
      <c r="N2241" s="107">
        <f t="shared" si="872"/>
        <v>0</v>
      </c>
      <c r="O2241" s="107">
        <f>VLOOKUP(G2241,Budget!$E$3:$G$2474,3,0)</f>
        <v>0</v>
      </c>
      <c r="P2241" s="107">
        <f t="shared" si="873"/>
        <v>0</v>
      </c>
      <c r="Q2241" s="107"/>
      <c r="R2241" s="10"/>
      <c r="S2241" s="107">
        <v>0</v>
      </c>
      <c r="T2241" s="107">
        <f t="shared" si="879"/>
        <v>0</v>
      </c>
      <c r="U2241" s="107"/>
      <c r="V2241" s="175"/>
      <c r="W2241" s="10"/>
      <c r="X2241" s="10"/>
      <c r="Y2241" t="str">
        <f t="shared" si="891"/>
        <v>5201</v>
      </c>
      <c r="AB2241" s="10"/>
      <c r="AC2241" s="10"/>
      <c r="AD2241" s="10"/>
      <c r="AE2241" s="10"/>
      <c r="AF2241" s="10"/>
      <c r="AG2241" s="10"/>
      <c r="AH2241" s="10"/>
      <c r="AI2241" s="10"/>
    </row>
    <row r="2242" spans="1:35">
      <c r="A2242" s="10"/>
      <c r="B2242" s="10" t="str">
        <f t="shared" si="890"/>
        <v>Post</v>
      </c>
      <c r="C2242" t="s">
        <v>1</v>
      </c>
      <c r="D2242" t="s">
        <v>19</v>
      </c>
      <c r="E2242" t="s">
        <v>214</v>
      </c>
      <c r="G2242" t="s">
        <v>3045</v>
      </c>
      <c r="I2242" s="10"/>
      <c r="J2242" s="107">
        <f>SUMIF(Data!C:C,G2242,Data!Q:Q)</f>
        <v>0</v>
      </c>
      <c r="K2242" s="107">
        <f>SUMIF(Comprometidos!A:A,'Cost Report'!G2242,Comprometidos!E:E)</f>
        <v>0</v>
      </c>
      <c r="L2242" s="107">
        <f t="shared" si="870"/>
        <v>0</v>
      </c>
      <c r="M2242" s="107">
        <f t="shared" si="871"/>
        <v>0</v>
      </c>
      <c r="N2242" s="107">
        <f t="shared" si="872"/>
        <v>0</v>
      </c>
      <c r="O2242" s="107">
        <f>VLOOKUP(G2242,Budget!$E$3:$G$2474,3,0)</f>
        <v>0</v>
      </c>
      <c r="P2242" s="107">
        <f t="shared" si="873"/>
        <v>0</v>
      </c>
      <c r="Q2242" s="107"/>
      <c r="R2242" s="10"/>
      <c r="S2242" s="107">
        <v>0</v>
      </c>
      <c r="T2242" s="107">
        <f t="shared" si="879"/>
        <v>0</v>
      </c>
      <c r="U2242" s="107"/>
      <c r="V2242" s="175"/>
      <c r="W2242" s="10"/>
      <c r="X2242" s="10"/>
      <c r="Y2242" t="str">
        <f t="shared" si="891"/>
        <v>5201</v>
      </c>
      <c r="AB2242" s="10"/>
      <c r="AC2242" s="10"/>
      <c r="AD2242" s="10"/>
      <c r="AE2242" s="10"/>
      <c r="AF2242" s="10"/>
      <c r="AG2242" s="10"/>
      <c r="AH2242" s="10"/>
      <c r="AI2242" s="10"/>
    </row>
    <row r="2243" spans="1:35">
      <c r="A2243" s="10"/>
      <c r="B2243" s="10" t="str">
        <f t="shared" si="890"/>
        <v>PostPOST</v>
      </c>
      <c r="C2243" t="s">
        <v>1</v>
      </c>
      <c r="D2243" t="s">
        <v>19</v>
      </c>
      <c r="E2243" t="s">
        <v>468</v>
      </c>
      <c r="G2243" t="s">
        <v>3046</v>
      </c>
      <c r="I2243" s="10"/>
      <c r="J2243" s="107">
        <f>SUMIF(Data!C:C,G2243,Data!Q:Q)</f>
        <v>0</v>
      </c>
      <c r="K2243" s="107">
        <f>SUMIF(Comprometidos!A:A,'Cost Report'!G2243,Comprometidos!E:E)</f>
        <v>0</v>
      </c>
      <c r="L2243" s="107">
        <f t="shared" si="870"/>
        <v>0</v>
      </c>
      <c r="M2243" s="107">
        <f t="shared" si="871"/>
        <v>0</v>
      </c>
      <c r="N2243" s="107">
        <f t="shared" si="872"/>
        <v>0</v>
      </c>
      <c r="O2243" s="107">
        <f>VLOOKUP(G2243,Budget!$E$3:$G$2474,3,0)</f>
        <v>0</v>
      </c>
      <c r="P2243" s="107">
        <f t="shared" si="873"/>
        <v>0</v>
      </c>
      <c r="Q2243" s="107"/>
      <c r="R2243" s="10"/>
      <c r="S2243" s="107">
        <v>0</v>
      </c>
      <c r="T2243" s="107">
        <f t="shared" si="879"/>
        <v>0</v>
      </c>
      <c r="U2243" s="107"/>
      <c r="V2243" s="175"/>
      <c r="W2243" s="10"/>
      <c r="X2243" s="10"/>
      <c r="Y2243" t="str">
        <f t="shared" si="891"/>
        <v>5201</v>
      </c>
      <c r="AB2243" s="10"/>
      <c r="AC2243" s="10"/>
      <c r="AD2243" s="10"/>
      <c r="AE2243" s="10"/>
      <c r="AF2243" s="10"/>
      <c r="AG2243" s="10"/>
      <c r="AH2243" s="10"/>
      <c r="AI2243" s="10"/>
    </row>
    <row r="2244" spans="1:35">
      <c r="A2244" s="10"/>
      <c r="B2244" s="10" t="str">
        <f t="shared" si="890"/>
        <v>Post</v>
      </c>
      <c r="C2244" t="s">
        <v>1</v>
      </c>
      <c r="D2244" t="s">
        <v>19</v>
      </c>
      <c r="E2244" t="s">
        <v>214</v>
      </c>
      <c r="G2244" t="s">
        <v>3047</v>
      </c>
      <c r="I2244" s="10"/>
      <c r="J2244" s="107">
        <f>SUMIF(Data!C:C,G2244,Data!Q:Q)</f>
        <v>0</v>
      </c>
      <c r="K2244" s="107">
        <f>SUMIF(Comprometidos!A:A,'Cost Report'!G2244,Comprometidos!E:E)</f>
        <v>0</v>
      </c>
      <c r="L2244" s="107">
        <f t="shared" si="870"/>
        <v>0</v>
      </c>
      <c r="M2244" s="107">
        <f t="shared" si="871"/>
        <v>0</v>
      </c>
      <c r="N2244" s="107">
        <f t="shared" si="872"/>
        <v>0</v>
      </c>
      <c r="O2244" s="107">
        <f>VLOOKUP(G2244,Budget!$E$3:$G$2474,3,0)</f>
        <v>0</v>
      </c>
      <c r="P2244" s="107">
        <f t="shared" si="873"/>
        <v>0</v>
      </c>
      <c r="Q2244" s="107"/>
      <c r="R2244" s="10"/>
      <c r="S2244" s="107">
        <v>0</v>
      </c>
      <c r="T2244" s="107">
        <f t="shared" si="879"/>
        <v>0</v>
      </c>
      <c r="U2244" s="107"/>
      <c r="V2244" s="175"/>
      <c r="W2244" s="10"/>
      <c r="X2244" s="10"/>
      <c r="Y2244" t="str">
        <f t="shared" si="891"/>
        <v>5201</v>
      </c>
      <c r="AB2244" s="10"/>
      <c r="AC2244" s="10"/>
      <c r="AD2244" s="10"/>
      <c r="AE2244" s="10"/>
      <c r="AF2244" s="10"/>
      <c r="AG2244" s="10"/>
      <c r="AH2244" s="10"/>
      <c r="AI2244" s="10"/>
    </row>
    <row r="2245" spans="1:35">
      <c r="A2245" s="10"/>
      <c r="B2245" s="10" t="str">
        <f t="shared" si="890"/>
        <v>PostPOST</v>
      </c>
      <c r="C2245" t="s">
        <v>1</v>
      </c>
      <c r="D2245" t="s">
        <v>19</v>
      </c>
      <c r="E2245" t="s">
        <v>468</v>
      </c>
      <c r="G2245" t="s">
        <v>3048</v>
      </c>
      <c r="I2245" s="10"/>
      <c r="J2245" s="107">
        <f>SUMIF(Data!C:C,G2245,Data!Q:Q)</f>
        <v>0</v>
      </c>
      <c r="K2245" s="107">
        <f>SUMIF(Comprometidos!A:A,'Cost Report'!G2245,Comprometidos!E:E)</f>
        <v>0</v>
      </c>
      <c r="L2245" s="107">
        <f t="shared" ref="L2245:L2247" si="892">+J2245+K2245</f>
        <v>0</v>
      </c>
      <c r="M2245" s="107">
        <f t="shared" ref="M2245:M2247" si="893">+O2245-L2245</f>
        <v>0</v>
      </c>
      <c r="N2245" s="107">
        <f t="shared" ref="N2245:N2247" si="894">+L2245+M2245</f>
        <v>0</v>
      </c>
      <c r="O2245" s="107">
        <f>VLOOKUP(G2245,Budget!$E$3:$G$2474,3,0)</f>
        <v>0</v>
      </c>
      <c r="P2245" s="107">
        <f t="shared" ref="P2245:P2247" si="895">+O2245-N2245</f>
        <v>0</v>
      </c>
      <c r="Q2245" s="107"/>
      <c r="R2245" s="10"/>
      <c r="S2245" s="107">
        <v>0</v>
      </c>
      <c r="T2245" s="107">
        <f t="shared" si="879"/>
        <v>0</v>
      </c>
      <c r="U2245" s="107"/>
      <c r="V2245" s="175"/>
      <c r="W2245" s="10"/>
      <c r="X2245" s="10"/>
      <c r="Y2245" t="str">
        <f t="shared" si="891"/>
        <v>5201</v>
      </c>
      <c r="AB2245" s="10"/>
      <c r="AC2245" s="10"/>
      <c r="AD2245" s="10"/>
      <c r="AE2245" s="10"/>
      <c r="AF2245" s="10"/>
      <c r="AG2245" s="10"/>
      <c r="AH2245" s="10"/>
      <c r="AI2245" s="10"/>
    </row>
    <row r="2246" spans="1:35">
      <c r="A2246" s="10"/>
      <c r="B2246" s="10" t="str">
        <f t="shared" si="890"/>
        <v>Post</v>
      </c>
      <c r="C2246" t="s">
        <v>1</v>
      </c>
      <c r="D2246" t="s">
        <v>19</v>
      </c>
      <c r="E2246" t="s">
        <v>214</v>
      </c>
      <c r="G2246" t="s">
        <v>3049</v>
      </c>
      <c r="I2246" s="10"/>
      <c r="J2246" s="107">
        <f>SUMIF(Data!C:C,G2246,Data!Q:Q)</f>
        <v>0</v>
      </c>
      <c r="K2246" s="107">
        <f>SUMIF(Comprometidos!A:A,'Cost Report'!G2246,Comprometidos!E:E)</f>
        <v>0</v>
      </c>
      <c r="L2246" s="107">
        <f t="shared" si="892"/>
        <v>0</v>
      </c>
      <c r="M2246" s="107">
        <f t="shared" si="893"/>
        <v>0</v>
      </c>
      <c r="N2246" s="107">
        <f t="shared" si="894"/>
        <v>0</v>
      </c>
      <c r="O2246" s="107">
        <f>VLOOKUP(G2246,Budget!$E$3:$G$2474,3,0)</f>
        <v>0</v>
      </c>
      <c r="P2246" s="107">
        <f t="shared" si="895"/>
        <v>0</v>
      </c>
      <c r="Q2246" s="107"/>
      <c r="R2246" s="10"/>
      <c r="S2246" s="107">
        <v>0</v>
      </c>
      <c r="T2246" s="107">
        <f t="shared" si="879"/>
        <v>0</v>
      </c>
      <c r="U2246" s="107"/>
      <c r="V2246" s="175"/>
      <c r="W2246" s="10"/>
      <c r="X2246" s="10"/>
      <c r="Y2246" t="str">
        <f t="shared" si="891"/>
        <v>5201</v>
      </c>
      <c r="AB2246" s="10"/>
      <c r="AC2246" s="10"/>
      <c r="AD2246" s="10"/>
      <c r="AE2246" s="10"/>
      <c r="AF2246" s="10"/>
      <c r="AG2246" s="10"/>
      <c r="AH2246" s="10"/>
      <c r="AI2246" s="10"/>
    </row>
    <row r="2247" spans="1:35">
      <c r="A2247" s="10"/>
      <c r="B2247" s="10" t="str">
        <f t="shared" si="890"/>
        <v>PostPOST</v>
      </c>
      <c r="C2247" t="s">
        <v>1</v>
      </c>
      <c r="D2247" t="s">
        <v>19</v>
      </c>
      <c r="E2247" t="s">
        <v>468</v>
      </c>
      <c r="G2247" t="s">
        <v>3050</v>
      </c>
      <c r="I2247" s="10"/>
      <c r="J2247" s="107">
        <f>SUMIF(Data!C:C,G2247,Data!Q:Q)</f>
        <v>0</v>
      </c>
      <c r="K2247" s="107">
        <f>SUMIF(Comprometidos!A:A,'Cost Report'!G2247,Comprometidos!E:E)</f>
        <v>0</v>
      </c>
      <c r="L2247" s="107">
        <f t="shared" si="892"/>
        <v>0</v>
      </c>
      <c r="M2247" s="107">
        <f t="shared" si="893"/>
        <v>0</v>
      </c>
      <c r="N2247" s="107">
        <f t="shared" si="894"/>
        <v>0</v>
      </c>
      <c r="O2247" s="107">
        <f>VLOOKUP(G2247,Budget!$E$3:$G$2474,3,0)</f>
        <v>0</v>
      </c>
      <c r="P2247" s="107">
        <f t="shared" si="895"/>
        <v>0</v>
      </c>
      <c r="Q2247" s="107"/>
      <c r="R2247" s="10"/>
      <c r="S2247" s="107">
        <v>0</v>
      </c>
      <c r="T2247" s="107">
        <f t="shared" si="879"/>
        <v>0</v>
      </c>
      <c r="U2247" s="107"/>
      <c r="V2247" s="175"/>
      <c r="W2247" s="10"/>
      <c r="X2247" s="10"/>
      <c r="Y2247" t="str">
        <f t="shared" si="891"/>
        <v>5201</v>
      </c>
      <c r="AB2247" s="10"/>
      <c r="AC2247" s="10"/>
      <c r="AD2247" s="10"/>
      <c r="AE2247" s="10"/>
      <c r="AF2247" s="10"/>
      <c r="AG2247" s="10"/>
      <c r="AH2247" s="10"/>
      <c r="AI2247" s="10"/>
    </row>
    <row r="2248" spans="1:35">
      <c r="A2248" s="10"/>
      <c r="B2248" s="10" t="str">
        <f>+C2248</f>
        <v>Post</v>
      </c>
      <c r="C2248" s="128" t="s">
        <v>1</v>
      </c>
      <c r="D2248" s="128" t="s">
        <v>2117</v>
      </c>
      <c r="E2248" s="128"/>
      <c r="F2248" s="128"/>
      <c r="G2248" s="128" t="s">
        <v>1255</v>
      </c>
      <c r="H2248" s="128"/>
      <c r="I2248" s="10"/>
      <c r="J2248" s="129">
        <f>SUMIF($Y$11:$Y$2484,G2248,J$11:J$2484)</f>
        <v>59000</v>
      </c>
      <c r="K2248" s="129">
        <f>SUMIF($Y$11:$Y$2484,G2248,K$11:K$2484)</f>
        <v>0</v>
      </c>
      <c r="L2248" s="129">
        <f>SUMIF($Y$11:$Y$2484,G2248,L$11:L$2484)</f>
        <v>59000</v>
      </c>
      <c r="M2248" s="129">
        <f>SUMIF($Y$11:$Y$2484,G2248,M$11:M$2484)</f>
        <v>0</v>
      </c>
      <c r="N2248" s="129">
        <f>SUMIF($Y$11:$Y$2484,G2248,N$11:N$2484)</f>
        <v>59000</v>
      </c>
      <c r="O2248" s="129">
        <f>SUMIF($Y$11:$Y$2484,G2248,O$11:O$2484)</f>
        <v>59000</v>
      </c>
      <c r="P2248" s="129">
        <f>SUMIF($Y$11:$Y$2484,G2248,P$11:P$2484)</f>
        <v>0</v>
      </c>
      <c r="Q2248" s="129"/>
      <c r="R2248" s="10"/>
      <c r="S2248" s="129">
        <v>59000</v>
      </c>
      <c r="T2248" s="129">
        <f t="shared" si="879"/>
        <v>0</v>
      </c>
      <c r="U2248" s="128"/>
      <c r="V2248" s="175"/>
      <c r="W2248" s="10"/>
      <c r="X2248" s="10"/>
      <c r="Z2248" t="str">
        <f>LEFT(G2248,2)</f>
        <v>52</v>
      </c>
      <c r="AA2248" t="str">
        <f>+Z2248&amp;"00"</f>
        <v>5200</v>
      </c>
      <c r="AB2248" s="10"/>
      <c r="AC2248" s="10"/>
      <c r="AD2248" s="10"/>
      <c r="AE2248" s="10"/>
      <c r="AF2248" s="10"/>
      <c r="AG2248" s="10"/>
      <c r="AH2248" s="10"/>
      <c r="AI2248" s="10"/>
    </row>
    <row r="2249" spans="1:35">
      <c r="A2249" s="10"/>
      <c r="B2249" s="10" t="str">
        <f t="shared" ref="B2249:B2253" si="896">+C2249&amp;E2249</f>
        <v>Post</v>
      </c>
      <c r="C2249" t="s">
        <v>1</v>
      </c>
      <c r="D2249" t="s">
        <v>19</v>
      </c>
      <c r="E2249" t="s">
        <v>214</v>
      </c>
      <c r="G2249" t="s">
        <v>1256</v>
      </c>
      <c r="I2249" s="10"/>
      <c r="J2249" s="107">
        <f>SUMIF(Data!C:C,G2249,Data!Q:Q)</f>
        <v>0</v>
      </c>
      <c r="K2249" s="107">
        <f>SUMIF(Comprometidos!A:A,'Cost Report'!G2249,Comprometidos!E:E)</f>
        <v>0</v>
      </c>
      <c r="L2249" s="107">
        <f t="shared" ref="L2249:L2279" si="897">+J2249+K2249</f>
        <v>0</v>
      </c>
      <c r="M2249" s="107">
        <f t="shared" ref="M2249:M2279" si="898">+O2249-L2249</f>
        <v>0</v>
      </c>
      <c r="N2249" s="107">
        <f t="shared" ref="N2249:N2279" si="899">+L2249+M2249</f>
        <v>0</v>
      </c>
      <c r="O2249" s="107">
        <f>VLOOKUP(G2249,Budget!$E$3:$G$2474,3,0)</f>
        <v>0</v>
      </c>
      <c r="P2249" s="107">
        <f t="shared" ref="P2249:P2279" si="900">+O2249-N2249</f>
        <v>0</v>
      </c>
      <c r="Q2249" s="107"/>
      <c r="R2249" s="10"/>
      <c r="S2249" s="107">
        <v>0</v>
      </c>
      <c r="T2249" s="107">
        <f t="shared" si="879"/>
        <v>0</v>
      </c>
      <c r="U2249" s="107"/>
      <c r="V2249" s="175"/>
      <c r="W2249" s="10"/>
      <c r="X2249" s="10"/>
      <c r="Y2249" t="str">
        <f t="shared" ref="Y2249:Y2253" si="901">LEFT(G2249,4)</f>
        <v>5202</v>
      </c>
      <c r="AB2249" s="10"/>
      <c r="AC2249" s="10"/>
      <c r="AD2249" s="10"/>
      <c r="AE2249" s="10"/>
      <c r="AF2249" s="10"/>
      <c r="AG2249" s="10"/>
      <c r="AH2249" s="10"/>
      <c r="AI2249" s="10"/>
    </row>
    <row r="2250" spans="1:35">
      <c r="A2250" s="10"/>
      <c r="B2250" s="10" t="str">
        <f t="shared" si="896"/>
        <v>PostPOST</v>
      </c>
      <c r="C2250" t="s">
        <v>1</v>
      </c>
      <c r="D2250" t="s">
        <v>19</v>
      </c>
      <c r="E2250" t="s">
        <v>468</v>
      </c>
      <c r="F2250" t="s">
        <v>5117</v>
      </c>
      <c r="G2250" t="s">
        <v>1778</v>
      </c>
      <c r="I2250" s="10"/>
      <c r="J2250" s="107">
        <f>SUMIF(Data!C:C,G2250,Data!Q:Q)</f>
        <v>56000</v>
      </c>
      <c r="K2250" s="107">
        <f>SUMIF(Comprometidos!A:A,'Cost Report'!G2250,Comprometidos!E:E)</f>
        <v>0</v>
      </c>
      <c r="L2250" s="107">
        <f t="shared" si="897"/>
        <v>56000</v>
      </c>
      <c r="M2250" s="107">
        <v>0</v>
      </c>
      <c r="N2250" s="107">
        <f t="shared" si="899"/>
        <v>56000</v>
      </c>
      <c r="O2250" s="107">
        <f>VLOOKUP(G2250,Budget!$E$3:$G$2474,3,0)</f>
        <v>56000</v>
      </c>
      <c r="P2250" s="107">
        <f t="shared" si="900"/>
        <v>0</v>
      </c>
      <c r="Q2250" s="107"/>
      <c r="R2250" s="10"/>
      <c r="S2250" s="107">
        <v>56000</v>
      </c>
      <c r="T2250" s="107">
        <f t="shared" si="879"/>
        <v>0</v>
      </c>
      <c r="U2250" s="107"/>
      <c r="V2250" s="175"/>
      <c r="W2250" s="10"/>
      <c r="X2250" s="10"/>
      <c r="Y2250" t="str">
        <f t="shared" si="901"/>
        <v>5202</v>
      </c>
      <c r="AB2250" s="10"/>
      <c r="AC2250" s="10"/>
      <c r="AD2250" s="10"/>
      <c r="AE2250" s="10"/>
      <c r="AF2250" s="10"/>
      <c r="AG2250" s="10"/>
      <c r="AH2250" s="10"/>
      <c r="AI2250" s="10"/>
    </row>
    <row r="2251" spans="1:35">
      <c r="A2251" s="10"/>
      <c r="B2251" s="10" t="str">
        <f t="shared" si="896"/>
        <v>Post</v>
      </c>
      <c r="C2251" t="s">
        <v>1</v>
      </c>
      <c r="D2251" t="s">
        <v>19</v>
      </c>
      <c r="E2251" t="s">
        <v>214</v>
      </c>
      <c r="G2251" t="s">
        <v>3051</v>
      </c>
      <c r="I2251" s="10"/>
      <c r="J2251" s="107">
        <f>SUMIF(Data!C:C,G2251,Data!Q:Q)</f>
        <v>0</v>
      </c>
      <c r="K2251" s="107">
        <f>SUMIF(Comprometidos!A:A,'Cost Report'!G2251,Comprometidos!E:E)</f>
        <v>0</v>
      </c>
      <c r="L2251" s="107">
        <f t="shared" si="897"/>
        <v>0</v>
      </c>
      <c r="M2251" s="107">
        <f t="shared" si="898"/>
        <v>0</v>
      </c>
      <c r="N2251" s="107">
        <f t="shared" si="899"/>
        <v>0</v>
      </c>
      <c r="O2251" s="107">
        <f>VLOOKUP(G2251,Budget!$E$3:$G$2474,3,0)</f>
        <v>0</v>
      </c>
      <c r="P2251" s="107">
        <f t="shared" si="900"/>
        <v>0</v>
      </c>
      <c r="Q2251" s="107"/>
      <c r="R2251" s="10"/>
      <c r="S2251" s="107">
        <v>0</v>
      </c>
      <c r="T2251" s="107">
        <f t="shared" si="879"/>
        <v>0</v>
      </c>
      <c r="U2251" s="107"/>
      <c r="V2251" s="175"/>
      <c r="W2251" s="10"/>
      <c r="X2251" s="10"/>
      <c r="Y2251" t="str">
        <f t="shared" si="901"/>
        <v>5202</v>
      </c>
      <c r="AB2251" s="10"/>
      <c r="AC2251" s="10"/>
      <c r="AD2251" s="10"/>
      <c r="AE2251" s="10"/>
      <c r="AF2251" s="10"/>
      <c r="AG2251" s="10"/>
      <c r="AH2251" s="10"/>
      <c r="AI2251" s="10"/>
    </row>
    <row r="2252" spans="1:35">
      <c r="A2252" s="10"/>
      <c r="B2252" s="10" t="str">
        <f t="shared" si="896"/>
        <v>Post</v>
      </c>
      <c r="C2252" t="s">
        <v>1</v>
      </c>
      <c r="D2252" t="s">
        <v>19</v>
      </c>
      <c r="E2252" t="s">
        <v>214</v>
      </c>
      <c r="G2252" t="s">
        <v>3052</v>
      </c>
      <c r="I2252" s="10"/>
      <c r="J2252" s="107">
        <f>SUMIF(Data!C:C,G2252,Data!Q:Q)</f>
        <v>0</v>
      </c>
      <c r="K2252" s="107">
        <f>SUMIF(Comprometidos!A:A,'Cost Report'!G2252,Comprometidos!E:E)</f>
        <v>0</v>
      </c>
      <c r="L2252" s="107">
        <f t="shared" si="897"/>
        <v>0</v>
      </c>
      <c r="M2252" s="107">
        <f t="shared" si="898"/>
        <v>0</v>
      </c>
      <c r="N2252" s="107">
        <f t="shared" si="899"/>
        <v>0</v>
      </c>
      <c r="O2252" s="107">
        <f>VLOOKUP(G2252,Budget!$E$3:$G$2474,3,0)</f>
        <v>0</v>
      </c>
      <c r="P2252" s="107">
        <f t="shared" si="900"/>
        <v>0</v>
      </c>
      <c r="Q2252" s="107"/>
      <c r="R2252" s="10"/>
      <c r="S2252" s="107">
        <v>0</v>
      </c>
      <c r="T2252" s="107">
        <f t="shared" si="879"/>
        <v>0</v>
      </c>
      <c r="U2252" s="107"/>
      <c r="V2252" s="175"/>
      <c r="W2252" s="10"/>
      <c r="X2252" s="10"/>
      <c r="Y2252" t="str">
        <f t="shared" si="901"/>
        <v>5202</v>
      </c>
      <c r="AB2252" s="10"/>
      <c r="AC2252" s="10"/>
      <c r="AD2252" s="10"/>
      <c r="AE2252" s="10"/>
      <c r="AF2252" s="10"/>
      <c r="AG2252" s="10"/>
      <c r="AH2252" s="10"/>
      <c r="AI2252" s="10"/>
    </row>
    <row r="2253" spans="1:35">
      <c r="A2253" s="10"/>
      <c r="B2253" s="10" t="str">
        <f t="shared" si="896"/>
        <v>PostALL SHOW</v>
      </c>
      <c r="C2253" t="s">
        <v>1</v>
      </c>
      <c r="D2253" t="s">
        <v>19</v>
      </c>
      <c r="E2253" t="s">
        <v>227</v>
      </c>
      <c r="F2253" t="s">
        <v>5117</v>
      </c>
      <c r="G2253" t="s">
        <v>3053</v>
      </c>
      <c r="I2253" s="10"/>
      <c r="J2253" s="107">
        <f>SUMIF(Data!C:C,G2253,Data!Q:Q)</f>
        <v>3000</v>
      </c>
      <c r="K2253" s="107">
        <f>SUMIF(Comprometidos!A:A,'Cost Report'!G2253,Comprometidos!E:E)</f>
        <v>0</v>
      </c>
      <c r="L2253" s="107">
        <f t="shared" si="897"/>
        <v>3000</v>
      </c>
      <c r="M2253" s="107">
        <f t="shared" si="898"/>
        <v>0</v>
      </c>
      <c r="N2253" s="107">
        <f t="shared" si="899"/>
        <v>3000</v>
      </c>
      <c r="O2253" s="107">
        <f>VLOOKUP(G2253,Budget!$E$3:$G$2474,3,0)</f>
        <v>3000</v>
      </c>
      <c r="P2253" s="107">
        <f t="shared" si="900"/>
        <v>0</v>
      </c>
      <c r="Q2253" s="107"/>
      <c r="R2253" s="10"/>
      <c r="S2253" s="107">
        <v>3000</v>
      </c>
      <c r="T2253" s="107">
        <f t="shared" si="879"/>
        <v>0</v>
      </c>
      <c r="U2253" s="107"/>
      <c r="V2253" s="175"/>
      <c r="W2253" s="10"/>
      <c r="X2253" s="10"/>
      <c r="Y2253" t="str">
        <f t="shared" si="901"/>
        <v>5202</v>
      </c>
      <c r="AB2253" s="10"/>
      <c r="AC2253" s="10"/>
      <c r="AD2253" s="10"/>
      <c r="AE2253" s="10"/>
      <c r="AF2253" s="10"/>
      <c r="AG2253" s="10"/>
      <c r="AH2253" s="10"/>
      <c r="AI2253" s="10"/>
    </row>
    <row r="2254" spans="1:35">
      <c r="A2254" s="10"/>
      <c r="B2254" s="10" t="str">
        <f>+C2254</f>
        <v>Post</v>
      </c>
      <c r="C2254" s="128" t="s">
        <v>1</v>
      </c>
      <c r="D2254" s="128" t="s">
        <v>2117</v>
      </c>
      <c r="E2254" s="128"/>
      <c r="F2254" s="128"/>
      <c r="G2254" s="128" t="s">
        <v>1257</v>
      </c>
      <c r="H2254" s="128"/>
      <c r="I2254" s="10"/>
      <c r="J2254" s="129">
        <f>SUMIF($Y$11:$Y$2484,G2254,J$11:J$2484)</f>
        <v>126000</v>
      </c>
      <c r="K2254" s="129">
        <f>SUMIF($Y$11:$Y$2484,G2254,K$11:K$2484)</f>
        <v>0</v>
      </c>
      <c r="L2254" s="129">
        <f>SUMIF($Y$11:$Y$2484,G2254,L$11:L$2484)</f>
        <v>126000</v>
      </c>
      <c r="M2254" s="129">
        <f>SUMIF($Y$11:$Y$2484,G2254,M$11:M$2484)</f>
        <v>0</v>
      </c>
      <c r="N2254" s="129">
        <f>SUMIF($Y$11:$Y$2484,G2254,N$11:N$2484)</f>
        <v>126000</v>
      </c>
      <c r="O2254" s="129">
        <f>SUMIF($Y$11:$Y$2484,G2254,O$11:O$2484)</f>
        <v>126000</v>
      </c>
      <c r="P2254" s="129">
        <f>SUMIF($Y$11:$Y$2484,G2254,P$11:P$2484)</f>
        <v>0</v>
      </c>
      <c r="Q2254" s="129"/>
      <c r="R2254" s="10"/>
      <c r="S2254" s="129">
        <v>126000</v>
      </c>
      <c r="T2254" s="129">
        <f t="shared" si="879"/>
        <v>0</v>
      </c>
      <c r="U2254" s="128"/>
      <c r="V2254" s="175"/>
      <c r="W2254" s="10"/>
      <c r="X2254" s="10"/>
      <c r="Z2254" t="str">
        <f>LEFT(G2254,2)</f>
        <v>52</v>
      </c>
      <c r="AA2254" t="str">
        <f>+Z2254&amp;"00"</f>
        <v>5200</v>
      </c>
      <c r="AB2254" s="10"/>
      <c r="AC2254" s="10"/>
      <c r="AD2254" s="10"/>
      <c r="AE2254" s="10"/>
      <c r="AF2254" s="10"/>
      <c r="AG2254" s="10"/>
      <c r="AH2254" s="10"/>
      <c r="AI2254" s="10"/>
    </row>
    <row r="2255" spans="1:35">
      <c r="A2255" s="10"/>
      <c r="B2255" s="10" t="str">
        <f t="shared" ref="B2255:B2256" si="902">+C2255&amp;E2255</f>
        <v>Post</v>
      </c>
      <c r="C2255" t="s">
        <v>1</v>
      </c>
      <c r="D2255" t="s">
        <v>19</v>
      </c>
      <c r="E2255" t="s">
        <v>214</v>
      </c>
      <c r="G2255" t="s">
        <v>1258</v>
      </c>
      <c r="I2255" s="10"/>
      <c r="J2255" s="107">
        <f>SUMIF(Data!C:C,G2255,Data!Q:Q)</f>
        <v>0</v>
      </c>
      <c r="K2255" s="107">
        <f>SUMIF(Comprometidos!A:A,'Cost Report'!G2255,Comprometidos!E:E)</f>
        <v>0</v>
      </c>
      <c r="L2255" s="107">
        <f t="shared" si="897"/>
        <v>0</v>
      </c>
      <c r="M2255" s="107">
        <f t="shared" si="898"/>
        <v>0</v>
      </c>
      <c r="N2255" s="107">
        <f t="shared" si="899"/>
        <v>0</v>
      </c>
      <c r="O2255" s="107">
        <f>VLOOKUP(G2255,Budget!$E$3:$G$2474,3,0)</f>
        <v>0</v>
      </c>
      <c r="P2255" s="107">
        <f t="shared" si="900"/>
        <v>0</v>
      </c>
      <c r="Q2255" s="107"/>
      <c r="R2255" s="10"/>
      <c r="S2255" s="107">
        <v>0</v>
      </c>
      <c r="T2255" s="107">
        <f t="shared" si="879"/>
        <v>0</v>
      </c>
      <c r="U2255" s="107"/>
      <c r="V2255" s="175"/>
      <c r="W2255" s="10"/>
      <c r="X2255" s="10"/>
      <c r="Y2255" t="str">
        <f t="shared" ref="Y2255:Y2256" si="903">LEFT(G2255,4)</f>
        <v>5203</v>
      </c>
      <c r="AB2255" s="10"/>
      <c r="AC2255" s="10"/>
      <c r="AD2255" s="10"/>
      <c r="AE2255" s="10"/>
      <c r="AF2255" s="10"/>
      <c r="AG2255" s="10"/>
      <c r="AH2255" s="10"/>
      <c r="AI2255" s="10"/>
    </row>
    <row r="2256" spans="1:35">
      <c r="A2256" s="10"/>
      <c r="B2256" s="10" t="str">
        <f t="shared" si="902"/>
        <v>PostPOST</v>
      </c>
      <c r="C2256" t="s">
        <v>1</v>
      </c>
      <c r="D2256" t="s">
        <v>19</v>
      </c>
      <c r="E2256" t="s">
        <v>468</v>
      </c>
      <c r="F2256" t="s">
        <v>5117</v>
      </c>
      <c r="G2256" t="s">
        <v>3054</v>
      </c>
      <c r="I2256" s="10"/>
      <c r="J2256" s="107">
        <f>SUMIF(Data!C:C,G2256,Data!Q:Q)</f>
        <v>126000</v>
      </c>
      <c r="K2256" s="107">
        <f>SUMIF(Comprometidos!A:A,'Cost Report'!G2256,Comprometidos!E:E)</f>
        <v>0</v>
      </c>
      <c r="L2256" s="107">
        <f t="shared" si="897"/>
        <v>126000</v>
      </c>
      <c r="M2256" s="107">
        <f t="shared" si="898"/>
        <v>0</v>
      </c>
      <c r="N2256" s="107">
        <f t="shared" si="899"/>
        <v>126000</v>
      </c>
      <c r="O2256" s="107">
        <f>VLOOKUP(G2256,Budget!$E$3:$G$2474,3,0)</f>
        <v>126000</v>
      </c>
      <c r="P2256" s="107">
        <f t="shared" si="900"/>
        <v>0</v>
      </c>
      <c r="Q2256" s="107"/>
      <c r="R2256" s="10"/>
      <c r="S2256" s="107">
        <v>126000</v>
      </c>
      <c r="T2256" s="107">
        <f t="shared" si="879"/>
        <v>0</v>
      </c>
      <c r="U2256" s="107"/>
      <c r="V2256" s="175"/>
      <c r="W2256" s="10"/>
      <c r="X2256" s="10"/>
      <c r="Y2256" t="str">
        <f t="shared" si="903"/>
        <v>5203</v>
      </c>
      <c r="AB2256" s="10"/>
      <c r="AC2256" s="10"/>
      <c r="AD2256" s="10"/>
      <c r="AE2256" s="10"/>
      <c r="AF2256" s="10"/>
      <c r="AG2256" s="10"/>
      <c r="AH2256" s="10"/>
      <c r="AI2256" s="10"/>
    </row>
    <row r="2257" spans="1:35">
      <c r="A2257" s="10"/>
      <c r="B2257" s="10" t="str">
        <f>+C2257</f>
        <v>Post</v>
      </c>
      <c r="C2257" s="128" t="s">
        <v>1</v>
      </c>
      <c r="D2257" s="128" t="s">
        <v>2117</v>
      </c>
      <c r="E2257" s="128"/>
      <c r="F2257" s="128"/>
      <c r="G2257" s="128" t="s">
        <v>1259</v>
      </c>
      <c r="H2257" s="128"/>
      <c r="I2257" s="10"/>
      <c r="J2257" s="129">
        <f>SUMIF($Y$11:$Y$2484,G2257,J$11:J$2484)</f>
        <v>255000</v>
      </c>
      <c r="K2257" s="129">
        <f>SUMIF($Y$11:$Y$2484,G2257,K$11:K$2484)</f>
        <v>0</v>
      </c>
      <c r="L2257" s="129">
        <f>SUMIF($Y$11:$Y$2484,G2257,L$11:L$2484)</f>
        <v>255000</v>
      </c>
      <c r="M2257" s="129">
        <f>SUMIF($Y$11:$Y$2484,G2257,M$11:M$2484)</f>
        <v>0</v>
      </c>
      <c r="N2257" s="129">
        <f>SUMIF($Y$11:$Y$2484,G2257,N$11:N$2484)</f>
        <v>255000</v>
      </c>
      <c r="O2257" s="129">
        <f>SUMIF($Y$11:$Y$2484,G2257,O$11:O$2484)</f>
        <v>255000</v>
      </c>
      <c r="P2257" s="129">
        <f>SUMIF($Y$11:$Y$2484,G2257,P$11:P$2484)</f>
        <v>0</v>
      </c>
      <c r="Q2257" s="129"/>
      <c r="R2257" s="10"/>
      <c r="S2257" s="129">
        <v>255000</v>
      </c>
      <c r="T2257" s="129">
        <f t="shared" si="879"/>
        <v>0</v>
      </c>
      <c r="U2257" s="128"/>
      <c r="V2257" s="175"/>
      <c r="W2257" s="10"/>
      <c r="X2257" s="10"/>
      <c r="Z2257" t="str">
        <f>LEFT(G2257,2)</f>
        <v>52</v>
      </c>
      <c r="AA2257" t="str">
        <f>+Z2257&amp;"00"</f>
        <v>5200</v>
      </c>
      <c r="AB2257" s="10"/>
      <c r="AC2257" s="10"/>
      <c r="AD2257" s="10"/>
      <c r="AE2257" s="10"/>
      <c r="AF2257" s="10"/>
      <c r="AG2257" s="10"/>
      <c r="AH2257" s="10"/>
      <c r="AI2257" s="10"/>
    </row>
    <row r="2258" spans="1:35">
      <c r="A2258" s="10"/>
      <c r="B2258" s="10" t="str">
        <f t="shared" ref="B2258:B2262" si="904">+C2258&amp;E2258</f>
        <v>Post</v>
      </c>
      <c r="C2258" t="s">
        <v>1</v>
      </c>
      <c r="D2258" t="s">
        <v>19</v>
      </c>
      <c r="E2258" t="s">
        <v>214</v>
      </c>
      <c r="G2258" t="s">
        <v>1260</v>
      </c>
      <c r="I2258" s="10"/>
      <c r="J2258" s="107">
        <f>SUMIF(Data!C:C,G2258,Data!Q:Q)</f>
        <v>0</v>
      </c>
      <c r="K2258" s="107">
        <f>SUMIF(Comprometidos!A:A,'Cost Report'!G2258,Comprometidos!E:E)</f>
        <v>0</v>
      </c>
      <c r="L2258" s="107">
        <f t="shared" si="897"/>
        <v>0</v>
      </c>
      <c r="M2258" s="107">
        <f t="shared" si="898"/>
        <v>0</v>
      </c>
      <c r="N2258" s="107">
        <f t="shared" si="899"/>
        <v>0</v>
      </c>
      <c r="O2258" s="107">
        <f>VLOOKUP(G2258,Budget!$E$3:$G$2474,3,0)</f>
        <v>0</v>
      </c>
      <c r="P2258" s="107">
        <f t="shared" si="900"/>
        <v>0</v>
      </c>
      <c r="Q2258" s="107"/>
      <c r="R2258" s="10"/>
      <c r="S2258" s="107">
        <v>0</v>
      </c>
      <c r="T2258" s="107">
        <f t="shared" si="879"/>
        <v>0</v>
      </c>
      <c r="U2258" s="107"/>
      <c r="V2258" s="175"/>
      <c r="W2258" s="10"/>
      <c r="X2258" s="10"/>
      <c r="Y2258" t="str">
        <f t="shared" ref="Y2258:Y2262" si="905">LEFT(G2258,4)</f>
        <v>5207</v>
      </c>
      <c r="AB2258" s="10"/>
      <c r="AC2258" s="10"/>
      <c r="AD2258" s="10"/>
      <c r="AE2258" s="10"/>
      <c r="AF2258" s="10"/>
      <c r="AG2258" s="10"/>
      <c r="AH2258" s="10"/>
      <c r="AI2258" s="10"/>
    </row>
    <row r="2259" spans="1:35">
      <c r="A2259" s="10"/>
      <c r="B2259" s="10" t="str">
        <f t="shared" si="904"/>
        <v>PostPOST</v>
      </c>
      <c r="C2259" t="s">
        <v>1</v>
      </c>
      <c r="D2259" t="s">
        <v>19</v>
      </c>
      <c r="E2259" t="s">
        <v>468</v>
      </c>
      <c r="F2259" t="s">
        <v>5117</v>
      </c>
      <c r="G2259" t="s">
        <v>1779</v>
      </c>
      <c r="I2259" s="10"/>
      <c r="J2259" s="107">
        <f>SUMIF(Data!C:C,G2259,Data!Q:Q)</f>
        <v>250000</v>
      </c>
      <c r="K2259" s="107">
        <f>SUMIF(Comprometidos!A:A,'Cost Report'!G2259,Comprometidos!E:E)</f>
        <v>0</v>
      </c>
      <c r="L2259" s="107">
        <f t="shared" si="897"/>
        <v>250000</v>
      </c>
      <c r="M2259" s="107">
        <f t="shared" si="898"/>
        <v>0</v>
      </c>
      <c r="N2259" s="107">
        <f t="shared" si="899"/>
        <v>250000</v>
      </c>
      <c r="O2259" s="107">
        <f>VLOOKUP(G2259,Budget!$E$3:$G$2474,3,0)</f>
        <v>250000</v>
      </c>
      <c r="P2259" s="107">
        <f t="shared" si="900"/>
        <v>0</v>
      </c>
      <c r="Q2259" s="107"/>
      <c r="R2259" s="10"/>
      <c r="S2259" s="107">
        <v>250000</v>
      </c>
      <c r="T2259" s="107">
        <f t="shared" si="879"/>
        <v>0</v>
      </c>
      <c r="U2259" s="107"/>
      <c r="V2259" s="175"/>
      <c r="W2259" s="10"/>
      <c r="X2259" s="10"/>
      <c r="Y2259" t="str">
        <f t="shared" si="905"/>
        <v>5207</v>
      </c>
      <c r="AB2259" s="10"/>
      <c r="AC2259" s="10"/>
      <c r="AD2259" s="10"/>
      <c r="AE2259" s="10"/>
      <c r="AF2259" s="10"/>
      <c r="AG2259" s="10"/>
      <c r="AH2259" s="10"/>
      <c r="AI2259" s="10"/>
    </row>
    <row r="2260" spans="1:35">
      <c r="A2260" s="10"/>
      <c r="B2260" s="10" t="str">
        <f t="shared" si="904"/>
        <v>Post</v>
      </c>
      <c r="C2260" t="s">
        <v>1</v>
      </c>
      <c r="D2260" t="s">
        <v>19</v>
      </c>
      <c r="E2260" t="s">
        <v>214</v>
      </c>
      <c r="G2260" t="s">
        <v>3055</v>
      </c>
      <c r="I2260" s="10"/>
      <c r="J2260" s="107">
        <f>SUMIF(Data!C:C,G2260,Data!Q:Q)</f>
        <v>0</v>
      </c>
      <c r="K2260" s="107">
        <f>SUMIF(Comprometidos!A:A,'Cost Report'!G2260,Comprometidos!E:E)</f>
        <v>0</v>
      </c>
      <c r="L2260" s="107">
        <f t="shared" si="897"/>
        <v>0</v>
      </c>
      <c r="M2260" s="107">
        <f t="shared" si="898"/>
        <v>0</v>
      </c>
      <c r="N2260" s="107">
        <f t="shared" si="899"/>
        <v>0</v>
      </c>
      <c r="O2260" s="107">
        <f>VLOOKUP(G2260,Budget!$E$3:$G$2474,3,0)</f>
        <v>0</v>
      </c>
      <c r="P2260" s="107">
        <f t="shared" si="900"/>
        <v>0</v>
      </c>
      <c r="Q2260" s="107"/>
      <c r="R2260" s="10"/>
      <c r="S2260" s="107">
        <v>0</v>
      </c>
      <c r="T2260" s="107">
        <f t="shared" si="879"/>
        <v>0</v>
      </c>
      <c r="U2260" s="107"/>
      <c r="V2260" s="175"/>
      <c r="W2260" s="10"/>
      <c r="X2260" s="10"/>
      <c r="Y2260" t="str">
        <f t="shared" si="905"/>
        <v>5207</v>
      </c>
      <c r="AB2260" s="10"/>
      <c r="AC2260" s="10"/>
      <c r="AD2260" s="10"/>
      <c r="AE2260" s="10"/>
      <c r="AF2260" s="10"/>
      <c r="AG2260" s="10"/>
      <c r="AH2260" s="10"/>
      <c r="AI2260" s="10"/>
    </row>
    <row r="2261" spans="1:35">
      <c r="A2261" s="10"/>
      <c r="B2261" s="10" t="str">
        <f t="shared" si="904"/>
        <v>Post</v>
      </c>
      <c r="C2261" t="s">
        <v>1</v>
      </c>
      <c r="D2261" t="s">
        <v>19</v>
      </c>
      <c r="E2261" t="s">
        <v>214</v>
      </c>
      <c r="G2261" t="s">
        <v>3056</v>
      </c>
      <c r="I2261" s="10"/>
      <c r="J2261" s="107">
        <f>SUMIF(Data!C:C,G2261,Data!Q:Q)</f>
        <v>0</v>
      </c>
      <c r="K2261" s="107">
        <f>SUMIF(Comprometidos!A:A,'Cost Report'!G2261,Comprometidos!E:E)</f>
        <v>0</v>
      </c>
      <c r="L2261" s="107">
        <f t="shared" si="897"/>
        <v>0</v>
      </c>
      <c r="M2261" s="107">
        <f t="shared" si="898"/>
        <v>0</v>
      </c>
      <c r="N2261" s="107">
        <f t="shared" si="899"/>
        <v>0</v>
      </c>
      <c r="O2261" s="107">
        <f>VLOOKUP(G2261,Budget!$E$3:$G$2474,3,0)</f>
        <v>0</v>
      </c>
      <c r="P2261" s="107">
        <f t="shared" si="900"/>
        <v>0</v>
      </c>
      <c r="Q2261" s="107"/>
      <c r="R2261" s="10"/>
      <c r="S2261" s="107">
        <v>0</v>
      </c>
      <c r="T2261" s="107">
        <f t="shared" si="879"/>
        <v>0</v>
      </c>
      <c r="U2261" s="107"/>
      <c r="V2261" s="175"/>
      <c r="W2261" s="10"/>
      <c r="X2261" s="10"/>
      <c r="Y2261" t="str">
        <f t="shared" si="905"/>
        <v>5207</v>
      </c>
      <c r="AB2261" s="10"/>
      <c r="AC2261" s="10"/>
      <c r="AD2261" s="10"/>
      <c r="AE2261" s="10"/>
      <c r="AF2261" s="10"/>
      <c r="AG2261" s="10"/>
      <c r="AH2261" s="10"/>
      <c r="AI2261" s="10"/>
    </row>
    <row r="2262" spans="1:35">
      <c r="A2262" s="10"/>
      <c r="B2262" s="10" t="str">
        <f t="shared" si="904"/>
        <v>PostALL SHOW</v>
      </c>
      <c r="C2262" t="s">
        <v>1</v>
      </c>
      <c r="D2262" t="s">
        <v>19</v>
      </c>
      <c r="E2262" t="s">
        <v>227</v>
      </c>
      <c r="F2262" t="s">
        <v>5117</v>
      </c>
      <c r="G2262" t="s">
        <v>3057</v>
      </c>
      <c r="I2262" s="10"/>
      <c r="J2262" s="107">
        <f>SUMIF(Data!C:C,G2262,Data!Q:Q)</f>
        <v>5000</v>
      </c>
      <c r="K2262" s="107">
        <f>SUMIF(Comprometidos!A:A,'Cost Report'!G2262,Comprometidos!E:E)</f>
        <v>0</v>
      </c>
      <c r="L2262" s="107">
        <f t="shared" si="897"/>
        <v>5000</v>
      </c>
      <c r="M2262" s="107">
        <f t="shared" si="898"/>
        <v>0</v>
      </c>
      <c r="N2262" s="107">
        <f t="shared" si="899"/>
        <v>5000</v>
      </c>
      <c r="O2262" s="107">
        <f>VLOOKUP(G2262,Budget!$E$3:$G$2474,3,0)</f>
        <v>5000</v>
      </c>
      <c r="P2262" s="107">
        <f t="shared" si="900"/>
        <v>0</v>
      </c>
      <c r="Q2262" s="107"/>
      <c r="R2262" s="10"/>
      <c r="S2262" s="107">
        <v>5000</v>
      </c>
      <c r="T2262" s="107">
        <f t="shared" si="879"/>
        <v>0</v>
      </c>
      <c r="U2262" s="107"/>
      <c r="V2262" s="175"/>
      <c r="W2262" s="10"/>
      <c r="X2262" s="10"/>
      <c r="Y2262" t="str">
        <f t="shared" si="905"/>
        <v>5207</v>
      </c>
      <c r="AB2262" s="10"/>
      <c r="AC2262" s="10"/>
      <c r="AD2262" s="10"/>
      <c r="AE2262" s="10"/>
      <c r="AF2262" s="10"/>
      <c r="AG2262" s="10"/>
      <c r="AH2262" s="10"/>
      <c r="AI2262" s="10"/>
    </row>
    <row r="2263" spans="1:35">
      <c r="A2263" s="10"/>
      <c r="B2263" s="10" t="str">
        <f>+C2263</f>
        <v>Post</v>
      </c>
      <c r="C2263" s="128" t="s">
        <v>1</v>
      </c>
      <c r="D2263" s="128" t="s">
        <v>2117</v>
      </c>
      <c r="E2263" s="128"/>
      <c r="F2263" s="128"/>
      <c r="G2263" s="128" t="s">
        <v>1883</v>
      </c>
      <c r="H2263" s="128"/>
      <c r="I2263" s="10"/>
      <c r="J2263" s="129">
        <f>SUMIF($Y$11:$Y$2484,G2263,J$11:J$2484)</f>
        <v>57600</v>
      </c>
      <c r="K2263" s="129">
        <f>SUMIF($Y$11:$Y$2484,G2263,K$11:K$2484)</f>
        <v>0</v>
      </c>
      <c r="L2263" s="129">
        <f>SUMIF($Y$11:$Y$2484,G2263,L$11:L$2484)</f>
        <v>57600</v>
      </c>
      <c r="M2263" s="129">
        <f>SUMIF($Y$11:$Y$2484,G2263,M$11:M$2484)</f>
        <v>0</v>
      </c>
      <c r="N2263" s="129">
        <f>SUMIF($Y$11:$Y$2484,G2263,N$11:N$2484)</f>
        <v>57600</v>
      </c>
      <c r="O2263" s="129">
        <f>SUMIF($Y$11:$Y$2484,G2263,O$11:O$2484)</f>
        <v>57600</v>
      </c>
      <c r="P2263" s="129">
        <f>SUMIF($Y$11:$Y$2484,G2263,P$11:P$2484)</f>
        <v>0</v>
      </c>
      <c r="Q2263" s="129"/>
      <c r="R2263" s="10"/>
      <c r="S2263" s="129">
        <v>57600</v>
      </c>
      <c r="T2263" s="129">
        <f t="shared" si="879"/>
        <v>0</v>
      </c>
      <c r="U2263" s="128"/>
      <c r="V2263" s="175"/>
      <c r="W2263" s="10"/>
      <c r="X2263" s="10"/>
      <c r="Z2263" t="str">
        <f>LEFT(G2263,2)</f>
        <v>52</v>
      </c>
      <c r="AA2263" t="str">
        <f>+Z2263&amp;"00"</f>
        <v>5200</v>
      </c>
      <c r="AB2263" s="10"/>
      <c r="AC2263" s="10"/>
      <c r="AD2263" s="10"/>
      <c r="AE2263" s="10"/>
      <c r="AF2263" s="10"/>
      <c r="AG2263" s="10"/>
      <c r="AH2263" s="10"/>
      <c r="AI2263" s="10"/>
    </row>
    <row r="2264" spans="1:35">
      <c r="A2264" s="10"/>
      <c r="B2264" s="10" t="str">
        <f t="shared" ref="B2264:B2265" si="906">+C2264&amp;E2264</f>
        <v>Post</v>
      </c>
      <c r="C2264" t="s">
        <v>1</v>
      </c>
      <c r="D2264" t="s">
        <v>19</v>
      </c>
      <c r="E2264" t="s">
        <v>214</v>
      </c>
      <c r="G2264" t="s">
        <v>1884</v>
      </c>
      <c r="I2264" s="10"/>
      <c r="J2264" s="107">
        <f>SUMIF(Data!C:C,G2264,Data!Q:Q)</f>
        <v>0</v>
      </c>
      <c r="K2264" s="107">
        <f>SUMIF(Comprometidos!A:A,'Cost Report'!G2264,Comprometidos!E:E)</f>
        <v>0</v>
      </c>
      <c r="L2264" s="107">
        <f t="shared" si="897"/>
        <v>0</v>
      </c>
      <c r="M2264" s="107">
        <f t="shared" si="898"/>
        <v>0</v>
      </c>
      <c r="N2264" s="107">
        <f t="shared" si="899"/>
        <v>0</v>
      </c>
      <c r="O2264" s="107">
        <f>VLOOKUP(G2264,Budget!$E$3:$G$2474,3,0)</f>
        <v>0</v>
      </c>
      <c r="P2264" s="107">
        <f t="shared" si="900"/>
        <v>0</v>
      </c>
      <c r="Q2264" s="107"/>
      <c r="R2264" s="10"/>
      <c r="S2264" s="107">
        <v>0</v>
      </c>
      <c r="T2264" s="107">
        <f t="shared" si="879"/>
        <v>0</v>
      </c>
      <c r="U2264" s="107"/>
      <c r="V2264" s="175"/>
      <c r="W2264" s="10"/>
      <c r="X2264" s="10"/>
      <c r="Y2264" t="str">
        <f t="shared" ref="Y2264:Y2265" si="907">LEFT(G2264,4)</f>
        <v>5209</v>
      </c>
      <c r="AB2264" s="10"/>
      <c r="AC2264" s="10"/>
      <c r="AD2264" s="10"/>
      <c r="AE2264" s="10"/>
      <c r="AF2264" s="10"/>
      <c r="AG2264" s="10"/>
      <c r="AH2264" s="10"/>
      <c r="AI2264" s="10"/>
    </row>
    <row r="2265" spans="1:35">
      <c r="A2265" s="10"/>
      <c r="B2265" s="10" t="str">
        <f t="shared" si="906"/>
        <v>PostPOST</v>
      </c>
      <c r="C2265" t="s">
        <v>1</v>
      </c>
      <c r="D2265" t="s">
        <v>19</v>
      </c>
      <c r="E2265" t="s">
        <v>468</v>
      </c>
      <c r="F2265" t="s">
        <v>5117</v>
      </c>
      <c r="G2265" t="s">
        <v>3058</v>
      </c>
      <c r="I2265" s="10"/>
      <c r="J2265" s="107">
        <f>SUMIF(Data!C:C,G2265,Data!Q:Q)</f>
        <v>57600</v>
      </c>
      <c r="K2265" s="107">
        <f>SUMIF(Comprometidos!A:A,'Cost Report'!G2265,Comprometidos!E:E)</f>
        <v>0</v>
      </c>
      <c r="L2265" s="107">
        <f t="shared" si="897"/>
        <v>57600</v>
      </c>
      <c r="M2265" s="107">
        <f t="shared" si="898"/>
        <v>0</v>
      </c>
      <c r="N2265" s="107">
        <f t="shared" si="899"/>
        <v>57600</v>
      </c>
      <c r="O2265" s="107">
        <f>VLOOKUP(G2265,Budget!$E$3:$G$2474,3,0)</f>
        <v>57600</v>
      </c>
      <c r="P2265" s="107">
        <f t="shared" si="900"/>
        <v>0</v>
      </c>
      <c r="Q2265" s="107"/>
      <c r="R2265" s="10"/>
      <c r="S2265" s="107">
        <v>57600</v>
      </c>
      <c r="T2265" s="107">
        <f t="shared" si="879"/>
        <v>0</v>
      </c>
      <c r="U2265" s="107"/>
      <c r="V2265" s="175"/>
      <c r="W2265" s="10"/>
      <c r="X2265" s="10"/>
      <c r="Y2265" t="str">
        <f t="shared" si="907"/>
        <v>5209</v>
      </c>
      <c r="AB2265" s="10"/>
      <c r="AC2265" s="10"/>
      <c r="AD2265" s="10"/>
      <c r="AE2265" s="10"/>
      <c r="AF2265" s="10"/>
      <c r="AG2265" s="10"/>
      <c r="AH2265" s="10"/>
      <c r="AI2265" s="10"/>
    </row>
    <row r="2266" spans="1:35">
      <c r="A2266" s="10"/>
      <c r="B2266" s="10" t="str">
        <f>+C2266</f>
        <v>Post</v>
      </c>
      <c r="C2266" s="128" t="s">
        <v>1</v>
      </c>
      <c r="D2266" s="128" t="s">
        <v>2117</v>
      </c>
      <c r="E2266" s="128"/>
      <c r="F2266" s="128"/>
      <c r="G2266" s="128">
        <v>5221</v>
      </c>
      <c r="H2266" s="128"/>
      <c r="I2266" s="10"/>
      <c r="J2266" s="129">
        <f>SUMIF($Y$11:$Y$2484,G2266,J$11:J$2484)</f>
        <v>22570</v>
      </c>
      <c r="K2266" s="129">
        <f>SUMIF($Y$11:$Y$2484,G2266,K$11:K$2484)</f>
        <v>0</v>
      </c>
      <c r="L2266" s="129">
        <f>SUMIF($Y$11:$Y$2484,G2266,L$11:L$2484)</f>
        <v>22570</v>
      </c>
      <c r="M2266" s="129">
        <f>SUMIF($Y$11:$Y$2484,G2266,M$11:M$2484)</f>
        <v>0</v>
      </c>
      <c r="N2266" s="129">
        <f>SUMIF($Y$11:$Y$2484,G2266,N$11:N$2484)</f>
        <v>22570</v>
      </c>
      <c r="O2266" s="129">
        <f>SUMIF($Y$11:$Y$2484,G2266,O$11:O$2484)</f>
        <v>0</v>
      </c>
      <c r="P2266" s="129">
        <f>SUMIF($Y$11:$Y$2484,G2266,P$11:P$2484)</f>
        <v>-22570</v>
      </c>
      <c r="Q2266" s="129"/>
      <c r="R2266" s="10"/>
      <c r="S2266" s="129">
        <v>22570</v>
      </c>
      <c r="T2266" s="129">
        <f t="shared" ref="T2266:T2267" si="908">+S2266-N2266</f>
        <v>0</v>
      </c>
      <c r="U2266" s="128"/>
      <c r="V2266" s="175"/>
      <c r="W2266" s="10"/>
      <c r="X2266" s="10"/>
      <c r="Z2266" t="str">
        <f>LEFT(G2266,2)</f>
        <v>52</v>
      </c>
      <c r="AA2266" t="str">
        <f>+Z2266&amp;"00"</f>
        <v>5200</v>
      </c>
      <c r="AB2266" s="10"/>
      <c r="AC2266" s="10"/>
      <c r="AD2266" s="10"/>
      <c r="AE2266" s="10"/>
      <c r="AF2266" s="10"/>
      <c r="AG2266" s="10"/>
      <c r="AH2266" s="10"/>
      <c r="AI2266" s="10"/>
    </row>
    <row r="2267" spans="1:35">
      <c r="A2267" s="10"/>
      <c r="B2267" s="10" t="str">
        <f t="shared" ref="B2267" si="909">+C2267&amp;E2267</f>
        <v>PostPOST</v>
      </c>
      <c r="C2267" t="s">
        <v>1</v>
      </c>
      <c r="D2267" t="s">
        <v>19</v>
      </c>
      <c r="E2267" t="s">
        <v>468</v>
      </c>
      <c r="G2267" t="s">
        <v>5501</v>
      </c>
      <c r="I2267" s="10"/>
      <c r="J2267" s="107">
        <f>SUMIF(Data!C:C,G2267,Data!Q:Q)</f>
        <v>22570</v>
      </c>
      <c r="K2267" s="107">
        <f>SUMIF(Comprometidos!A:A,'Cost Report'!G2267,Comprometidos!E:E)</f>
        <v>0</v>
      </c>
      <c r="L2267" s="107">
        <f t="shared" ref="L2267" si="910">+J2267+K2267</f>
        <v>22570</v>
      </c>
      <c r="M2267" s="107">
        <v>0</v>
      </c>
      <c r="N2267" s="107">
        <f t="shared" ref="N2267" si="911">+L2267+M2267</f>
        <v>22570</v>
      </c>
      <c r="O2267" s="107">
        <f>VLOOKUP(G2267,Budget!$E$3:$G$2474,3,0)</f>
        <v>0</v>
      </c>
      <c r="P2267" s="107">
        <f t="shared" ref="P2267" si="912">+O2267-N2267</f>
        <v>-22570</v>
      </c>
      <c r="Q2267" s="107"/>
      <c r="R2267" s="10"/>
      <c r="S2267" s="107">
        <v>22570</v>
      </c>
      <c r="T2267" s="107">
        <f t="shared" si="908"/>
        <v>0</v>
      </c>
      <c r="U2267" s="107"/>
      <c r="V2267" s="175"/>
      <c r="W2267" s="10"/>
      <c r="X2267" s="10"/>
      <c r="Y2267" t="str">
        <f t="shared" ref="Y2267" si="913">LEFT(G2267,4)</f>
        <v>5221</v>
      </c>
      <c r="AB2267" s="10"/>
      <c r="AC2267" s="10"/>
      <c r="AD2267" s="10"/>
      <c r="AE2267" s="10"/>
      <c r="AF2267" s="10"/>
      <c r="AG2267" s="10"/>
      <c r="AH2267" s="10"/>
      <c r="AI2267" s="10"/>
    </row>
    <row r="2268" spans="1:35">
      <c r="A2268" s="10"/>
      <c r="B2268" s="10" t="str">
        <f>+C2268</f>
        <v>Post</v>
      </c>
      <c r="C2268" s="128" t="s">
        <v>1</v>
      </c>
      <c r="D2268" s="128" t="s">
        <v>2117</v>
      </c>
      <c r="E2268" s="128"/>
      <c r="F2268" s="128"/>
      <c r="G2268" s="128" t="s">
        <v>1261</v>
      </c>
      <c r="H2268" s="128"/>
      <c r="I2268" s="10"/>
      <c r="J2268" s="129">
        <f>SUMIF($Y$11:$Y$2484,G2268,J$11:J$2484)</f>
        <v>734000</v>
      </c>
      <c r="K2268" s="129">
        <f>SUMIF($Y$11:$Y$2484,G2268,K$11:K$2484)</f>
        <v>0</v>
      </c>
      <c r="L2268" s="129">
        <f>SUMIF($Y$11:$Y$2484,G2268,L$11:L$2484)</f>
        <v>734000</v>
      </c>
      <c r="M2268" s="129">
        <f>SUMIF($Y$11:$Y$2484,G2268,M$11:M$2484)</f>
        <v>0</v>
      </c>
      <c r="N2268" s="129">
        <f>SUMIF($Y$11:$Y$2484,G2268,N$11:N$2484)</f>
        <v>734000</v>
      </c>
      <c r="O2268" s="129">
        <f>SUMIF($Y$11:$Y$2484,G2268,O$11:O$2484)</f>
        <v>734000</v>
      </c>
      <c r="P2268" s="129">
        <f>SUMIF($Y$11:$Y$2484,G2268,P$11:P$2484)</f>
        <v>0</v>
      </c>
      <c r="Q2268" s="129"/>
      <c r="R2268" s="10"/>
      <c r="S2268" s="129">
        <v>734000</v>
      </c>
      <c r="T2268" s="129">
        <f t="shared" si="879"/>
        <v>0</v>
      </c>
      <c r="U2268" s="128"/>
      <c r="V2268" s="175"/>
      <c r="W2268" s="10"/>
      <c r="X2268" s="10"/>
      <c r="Z2268" t="str">
        <f>LEFT(G2268,2)</f>
        <v>52</v>
      </c>
      <c r="AA2268" t="str">
        <f>+Z2268&amp;"00"</f>
        <v>5200</v>
      </c>
      <c r="AB2268" s="10"/>
      <c r="AC2268" s="10"/>
      <c r="AD2268" s="10"/>
      <c r="AE2268" s="10"/>
      <c r="AF2268" s="10"/>
      <c r="AG2268" s="10"/>
      <c r="AH2268" s="10"/>
      <c r="AI2268" s="10"/>
    </row>
    <row r="2269" spans="1:35">
      <c r="A2269" s="10"/>
      <c r="B2269" s="10" t="str">
        <f t="shared" ref="B2269:B2279" si="914">+C2269&amp;E2269</f>
        <v>Post</v>
      </c>
      <c r="C2269" t="s">
        <v>1</v>
      </c>
      <c r="D2269" t="s">
        <v>19</v>
      </c>
      <c r="E2269" t="s">
        <v>214</v>
      </c>
      <c r="G2269" t="s">
        <v>1262</v>
      </c>
      <c r="I2269" s="10"/>
      <c r="J2269" s="107">
        <f>SUMIF(Data!C:C,G2269,Data!Q:Q)</f>
        <v>0</v>
      </c>
      <c r="K2269" s="107">
        <f>SUMIF(Comprometidos!A:A,'Cost Report'!G2269,Comprometidos!E:E)</f>
        <v>0</v>
      </c>
      <c r="L2269" s="107">
        <f t="shared" si="897"/>
        <v>0</v>
      </c>
      <c r="M2269" s="107">
        <f t="shared" si="898"/>
        <v>0</v>
      </c>
      <c r="N2269" s="107">
        <f t="shared" si="899"/>
        <v>0</v>
      </c>
      <c r="O2269" s="107">
        <f>VLOOKUP(G2269,Budget!$E$3:$G$2474,3,0)</f>
        <v>0</v>
      </c>
      <c r="P2269" s="107">
        <f t="shared" si="900"/>
        <v>0</v>
      </c>
      <c r="Q2269" s="107"/>
      <c r="R2269" s="10"/>
      <c r="S2269" s="107">
        <v>0</v>
      </c>
      <c r="T2269" s="107">
        <f t="shared" si="879"/>
        <v>0</v>
      </c>
      <c r="U2269" s="107"/>
      <c r="V2269" s="175"/>
      <c r="W2269" s="10"/>
      <c r="X2269" s="10"/>
      <c r="Y2269" t="str">
        <f t="shared" ref="Y2269:Y2279" si="915">LEFT(G2269,4)</f>
        <v>5222</v>
      </c>
      <c r="AB2269" s="10"/>
      <c r="AC2269" s="10"/>
      <c r="AD2269" s="10"/>
      <c r="AE2269" s="10"/>
      <c r="AF2269" s="10"/>
      <c r="AG2269" s="10"/>
      <c r="AH2269" s="10"/>
      <c r="AI2269" s="10"/>
    </row>
    <row r="2270" spans="1:35">
      <c r="A2270" s="10"/>
      <c r="B2270" s="10" t="str">
        <f t="shared" si="914"/>
        <v>PostPOST</v>
      </c>
      <c r="C2270" t="s">
        <v>1</v>
      </c>
      <c r="D2270" t="s">
        <v>19</v>
      </c>
      <c r="E2270" t="s">
        <v>468</v>
      </c>
      <c r="F2270" t="s">
        <v>5117</v>
      </c>
      <c r="G2270" t="s">
        <v>1263</v>
      </c>
      <c r="I2270" s="10"/>
      <c r="J2270" s="107">
        <f>SUMIF(Data!C:C,G2270,Data!Q:Q)</f>
        <v>162000</v>
      </c>
      <c r="K2270" s="107">
        <f>SUMIF(Comprometidos!A:A,'Cost Report'!G2270,Comprometidos!E:E)</f>
        <v>0</v>
      </c>
      <c r="L2270" s="107">
        <f t="shared" si="897"/>
        <v>162000</v>
      </c>
      <c r="M2270" s="107">
        <f t="shared" si="898"/>
        <v>0</v>
      </c>
      <c r="N2270" s="107">
        <f t="shared" si="899"/>
        <v>162000</v>
      </c>
      <c r="O2270" s="107">
        <f>VLOOKUP(G2270,Budget!$E$3:$G$2474,3,0)</f>
        <v>162000</v>
      </c>
      <c r="P2270" s="107">
        <f t="shared" si="900"/>
        <v>0</v>
      </c>
      <c r="Q2270" s="107"/>
      <c r="R2270" s="10"/>
      <c r="S2270" s="107">
        <v>162000</v>
      </c>
      <c r="T2270" s="107">
        <f t="shared" si="879"/>
        <v>0</v>
      </c>
      <c r="U2270" s="107"/>
      <c r="V2270" s="175"/>
      <c r="W2270" s="10"/>
      <c r="X2270" s="10"/>
      <c r="Y2270" t="str">
        <f t="shared" si="915"/>
        <v>5222</v>
      </c>
      <c r="AB2270" s="10"/>
      <c r="AC2270" s="10"/>
      <c r="AD2270" s="10"/>
      <c r="AE2270" s="10"/>
      <c r="AF2270" s="10"/>
      <c r="AG2270" s="10"/>
      <c r="AH2270" s="10"/>
      <c r="AI2270" s="10"/>
    </row>
    <row r="2271" spans="1:35">
      <c r="A2271" s="10"/>
      <c r="B2271" s="10" t="str">
        <f t="shared" si="914"/>
        <v>PostPOST</v>
      </c>
      <c r="C2271" t="s">
        <v>1</v>
      </c>
      <c r="D2271" t="s">
        <v>19</v>
      </c>
      <c r="E2271" t="s">
        <v>468</v>
      </c>
      <c r="F2271" t="s">
        <v>5117</v>
      </c>
      <c r="G2271" t="s">
        <v>1264</v>
      </c>
      <c r="I2271" s="10"/>
      <c r="J2271" s="107">
        <f>SUMIF(Data!C:C,G2271,Data!Q:Q)</f>
        <v>81000</v>
      </c>
      <c r="K2271" s="107">
        <f>SUMIF(Comprometidos!A:A,'Cost Report'!G2271,Comprometidos!E:E)</f>
        <v>0</v>
      </c>
      <c r="L2271" s="107">
        <f t="shared" si="897"/>
        <v>81000</v>
      </c>
      <c r="M2271" s="107">
        <f t="shared" si="898"/>
        <v>0</v>
      </c>
      <c r="N2271" s="107">
        <f t="shared" si="899"/>
        <v>81000</v>
      </c>
      <c r="O2271" s="107">
        <f>VLOOKUP(G2271,Budget!$E$3:$G$2474,3,0)</f>
        <v>81000</v>
      </c>
      <c r="P2271" s="107">
        <f t="shared" si="900"/>
        <v>0</v>
      </c>
      <c r="Q2271" s="107"/>
      <c r="R2271" s="10"/>
      <c r="S2271" s="107">
        <v>81000</v>
      </c>
      <c r="T2271" s="107">
        <f t="shared" si="879"/>
        <v>0</v>
      </c>
      <c r="U2271" s="107"/>
      <c r="V2271" s="175"/>
      <c r="W2271" s="10"/>
      <c r="X2271" s="10"/>
      <c r="Y2271" t="str">
        <f t="shared" si="915"/>
        <v>5222</v>
      </c>
      <c r="AB2271" s="10"/>
      <c r="AC2271" s="10"/>
      <c r="AD2271" s="10"/>
      <c r="AE2271" s="10"/>
      <c r="AF2271" s="10"/>
      <c r="AG2271" s="10"/>
      <c r="AH2271" s="10"/>
      <c r="AI2271" s="10"/>
    </row>
    <row r="2272" spans="1:35">
      <c r="A2272" s="10"/>
      <c r="B2272" s="10" t="str">
        <f t="shared" si="914"/>
        <v>PostPOST</v>
      </c>
      <c r="C2272" t="s">
        <v>1</v>
      </c>
      <c r="D2272" t="s">
        <v>19</v>
      </c>
      <c r="E2272" t="s">
        <v>468</v>
      </c>
      <c r="F2272" t="s">
        <v>5117</v>
      </c>
      <c r="G2272" t="s">
        <v>1265</v>
      </c>
      <c r="I2272" s="10"/>
      <c r="J2272" s="107">
        <f>SUMIF(Data!C:C,G2272,Data!Q:Q)</f>
        <v>81000</v>
      </c>
      <c r="K2272" s="107">
        <f>SUMIF(Comprometidos!A:A,'Cost Report'!G2272,Comprometidos!E:E)</f>
        <v>0</v>
      </c>
      <c r="L2272" s="107">
        <f t="shared" si="897"/>
        <v>81000</v>
      </c>
      <c r="M2272" s="107">
        <f t="shared" si="898"/>
        <v>0</v>
      </c>
      <c r="N2272" s="107">
        <f t="shared" si="899"/>
        <v>81000</v>
      </c>
      <c r="O2272" s="107">
        <f>VLOOKUP(G2272,Budget!$E$3:$G$2474,3,0)</f>
        <v>81000</v>
      </c>
      <c r="P2272" s="107">
        <f t="shared" si="900"/>
        <v>0</v>
      </c>
      <c r="Q2272" s="107"/>
      <c r="R2272" s="10"/>
      <c r="S2272" s="107">
        <v>81000</v>
      </c>
      <c r="T2272" s="107">
        <f t="shared" si="879"/>
        <v>0</v>
      </c>
      <c r="U2272" s="107"/>
      <c r="V2272" s="175"/>
      <c r="W2272" s="10"/>
      <c r="X2272" s="10"/>
      <c r="Y2272" t="str">
        <f t="shared" si="915"/>
        <v>5222</v>
      </c>
      <c r="AB2272" s="10"/>
      <c r="AC2272" s="10"/>
      <c r="AD2272" s="10"/>
      <c r="AE2272" s="10"/>
      <c r="AF2272" s="10"/>
      <c r="AG2272" s="10"/>
      <c r="AH2272" s="10"/>
      <c r="AI2272" s="10"/>
    </row>
    <row r="2273" spans="1:35">
      <c r="A2273" s="10"/>
      <c r="B2273" s="10" t="str">
        <f t="shared" si="914"/>
        <v>PostPOST</v>
      </c>
      <c r="C2273" t="s">
        <v>1</v>
      </c>
      <c r="D2273" t="s">
        <v>19</v>
      </c>
      <c r="E2273" t="s">
        <v>468</v>
      </c>
      <c r="F2273" t="s">
        <v>5117</v>
      </c>
      <c r="G2273" t="s">
        <v>1266</v>
      </c>
      <c r="I2273" s="10"/>
      <c r="J2273" s="107">
        <f>SUMIF(Data!C:C,G2273,Data!Q:Q)</f>
        <v>81000</v>
      </c>
      <c r="K2273" s="107">
        <f>SUMIF(Comprometidos!A:A,'Cost Report'!G2273,Comprometidos!E:E)</f>
        <v>0</v>
      </c>
      <c r="L2273" s="107">
        <f t="shared" si="897"/>
        <v>81000</v>
      </c>
      <c r="M2273" s="107">
        <f t="shared" si="898"/>
        <v>0</v>
      </c>
      <c r="N2273" s="107">
        <f t="shared" si="899"/>
        <v>81000</v>
      </c>
      <c r="O2273" s="107">
        <f>VLOOKUP(G2273,Budget!$E$3:$G$2474,3,0)</f>
        <v>81000</v>
      </c>
      <c r="P2273" s="107">
        <f t="shared" si="900"/>
        <v>0</v>
      </c>
      <c r="Q2273" s="107"/>
      <c r="R2273" s="10"/>
      <c r="S2273" s="107">
        <v>81000</v>
      </c>
      <c r="T2273" s="107">
        <f t="shared" si="879"/>
        <v>0</v>
      </c>
      <c r="U2273" s="107"/>
      <c r="V2273" s="175"/>
      <c r="W2273" s="10"/>
      <c r="X2273" s="10"/>
      <c r="Y2273" t="str">
        <f t="shared" si="915"/>
        <v>5222</v>
      </c>
      <c r="AB2273" s="10"/>
      <c r="AC2273" s="10"/>
      <c r="AD2273" s="10"/>
      <c r="AE2273" s="10"/>
      <c r="AF2273" s="10"/>
      <c r="AG2273" s="10"/>
      <c r="AH2273" s="10"/>
      <c r="AI2273" s="10"/>
    </row>
    <row r="2274" spans="1:35">
      <c r="A2274" s="10"/>
      <c r="B2274" s="10" t="str">
        <f t="shared" si="914"/>
        <v>PostPOST</v>
      </c>
      <c r="C2274" t="s">
        <v>1</v>
      </c>
      <c r="D2274" t="s">
        <v>19</v>
      </c>
      <c r="E2274" t="s">
        <v>468</v>
      </c>
      <c r="F2274" t="s">
        <v>5117</v>
      </c>
      <c r="G2274" t="s">
        <v>1267</v>
      </c>
      <c r="I2274" s="10"/>
      <c r="J2274" s="107">
        <f>SUMIF(Data!C:C,G2274,Data!Q:Q)</f>
        <v>36000</v>
      </c>
      <c r="K2274" s="107">
        <f>SUMIF(Comprometidos!A:A,'Cost Report'!G2274,Comprometidos!E:E)</f>
        <v>0</v>
      </c>
      <c r="L2274" s="107">
        <f t="shared" si="897"/>
        <v>36000</v>
      </c>
      <c r="M2274" s="107">
        <f t="shared" si="898"/>
        <v>0</v>
      </c>
      <c r="N2274" s="107">
        <f t="shared" si="899"/>
        <v>36000</v>
      </c>
      <c r="O2274" s="107">
        <f>VLOOKUP(G2274,Budget!$E$3:$G$2474,3,0)</f>
        <v>36000</v>
      </c>
      <c r="P2274" s="107">
        <f t="shared" si="900"/>
        <v>0</v>
      </c>
      <c r="Q2274" s="107"/>
      <c r="R2274" s="10"/>
      <c r="S2274" s="107">
        <v>36000</v>
      </c>
      <c r="T2274" s="107">
        <f t="shared" si="879"/>
        <v>0</v>
      </c>
      <c r="U2274" s="107"/>
      <c r="V2274" s="175"/>
      <c r="W2274" s="10"/>
      <c r="X2274" s="10"/>
      <c r="Y2274" t="str">
        <f t="shared" si="915"/>
        <v>5222</v>
      </c>
      <c r="AB2274" s="10"/>
      <c r="AC2274" s="10"/>
      <c r="AD2274" s="10"/>
      <c r="AE2274" s="10"/>
      <c r="AF2274" s="10"/>
      <c r="AG2274" s="10"/>
      <c r="AH2274" s="10"/>
      <c r="AI2274" s="10"/>
    </row>
    <row r="2275" spans="1:35">
      <c r="A2275" s="10"/>
      <c r="B2275" s="10" t="str">
        <f t="shared" si="914"/>
        <v>PostPOST</v>
      </c>
      <c r="C2275" t="s">
        <v>1</v>
      </c>
      <c r="D2275" t="s">
        <v>19</v>
      </c>
      <c r="E2275" t="s">
        <v>468</v>
      </c>
      <c r="F2275" t="s">
        <v>5117</v>
      </c>
      <c r="G2275" t="s">
        <v>1268</v>
      </c>
      <c r="I2275" s="10"/>
      <c r="J2275" s="107">
        <f>SUMIF(Data!C:C,G2275,Data!Q:Q)</f>
        <v>180000</v>
      </c>
      <c r="K2275" s="107">
        <f>SUMIF(Comprometidos!A:A,'Cost Report'!G2275,Comprometidos!E:E)</f>
        <v>0</v>
      </c>
      <c r="L2275" s="107">
        <f t="shared" si="897"/>
        <v>180000</v>
      </c>
      <c r="M2275" s="107">
        <f t="shared" si="898"/>
        <v>0</v>
      </c>
      <c r="N2275" s="107">
        <f t="shared" si="899"/>
        <v>180000</v>
      </c>
      <c r="O2275" s="107">
        <f>VLOOKUP(G2275,Budget!$E$3:$G$2474,3,0)</f>
        <v>180000</v>
      </c>
      <c r="P2275" s="107">
        <f t="shared" si="900"/>
        <v>0</v>
      </c>
      <c r="Q2275" s="107"/>
      <c r="R2275" s="10"/>
      <c r="S2275" s="107">
        <v>180000</v>
      </c>
      <c r="T2275" s="107">
        <f t="shared" ref="T2275:T2338" si="916">+S2275-N2275</f>
        <v>0</v>
      </c>
      <c r="U2275" s="107"/>
      <c r="V2275" s="175"/>
      <c r="W2275" s="10"/>
      <c r="X2275" s="10"/>
      <c r="Y2275" t="str">
        <f t="shared" si="915"/>
        <v>5222</v>
      </c>
      <c r="AB2275" s="10"/>
      <c r="AC2275" s="10"/>
      <c r="AD2275" s="10"/>
      <c r="AE2275" s="10"/>
      <c r="AF2275" s="10"/>
      <c r="AG2275" s="10"/>
      <c r="AH2275" s="10"/>
      <c r="AI2275" s="10"/>
    </row>
    <row r="2276" spans="1:35">
      <c r="A2276" s="10"/>
      <c r="B2276" s="10" t="str">
        <f t="shared" si="914"/>
        <v>PostPOST</v>
      </c>
      <c r="C2276" t="s">
        <v>1</v>
      </c>
      <c r="D2276" t="s">
        <v>19</v>
      </c>
      <c r="E2276" t="s">
        <v>468</v>
      </c>
      <c r="F2276" t="s">
        <v>5117</v>
      </c>
      <c r="G2276" t="s">
        <v>1780</v>
      </c>
      <c r="I2276" s="10"/>
      <c r="J2276" s="107">
        <f>SUMIF(Data!C:C,G2276,Data!Q:Q)</f>
        <v>108000</v>
      </c>
      <c r="K2276" s="107">
        <f>SUMIF(Comprometidos!A:A,'Cost Report'!G2276,Comprometidos!E:E)</f>
        <v>0</v>
      </c>
      <c r="L2276" s="107">
        <f t="shared" si="897"/>
        <v>108000</v>
      </c>
      <c r="M2276" s="107">
        <f t="shared" si="898"/>
        <v>0</v>
      </c>
      <c r="N2276" s="107">
        <f t="shared" si="899"/>
        <v>108000</v>
      </c>
      <c r="O2276" s="107">
        <f>VLOOKUP(G2276,Budget!$E$3:$G$2474,3,0)</f>
        <v>108000</v>
      </c>
      <c r="P2276" s="107">
        <f t="shared" si="900"/>
        <v>0</v>
      </c>
      <c r="Q2276" s="107"/>
      <c r="R2276" s="10"/>
      <c r="S2276" s="107">
        <v>108000</v>
      </c>
      <c r="T2276" s="107">
        <f t="shared" si="916"/>
        <v>0</v>
      </c>
      <c r="U2276" s="107"/>
      <c r="V2276" s="175"/>
      <c r="W2276" s="10"/>
      <c r="X2276" s="10"/>
      <c r="Y2276" t="str">
        <f t="shared" si="915"/>
        <v>5222</v>
      </c>
      <c r="AB2276" s="10"/>
      <c r="AC2276" s="10"/>
      <c r="AD2276" s="10"/>
      <c r="AE2276" s="10"/>
      <c r="AF2276" s="10"/>
      <c r="AG2276" s="10"/>
      <c r="AH2276" s="10"/>
      <c r="AI2276" s="10"/>
    </row>
    <row r="2277" spans="1:35">
      <c r="A2277" s="10"/>
      <c r="B2277" s="10" t="str">
        <f t="shared" si="914"/>
        <v>Post</v>
      </c>
      <c r="C2277" t="s">
        <v>1</v>
      </c>
      <c r="D2277" t="s">
        <v>19</v>
      </c>
      <c r="E2277" t="s">
        <v>214</v>
      </c>
      <c r="G2277" t="s">
        <v>3059</v>
      </c>
      <c r="I2277" s="10"/>
      <c r="J2277" s="107">
        <f>SUMIF(Data!C:C,G2277,Data!Q:Q)</f>
        <v>0</v>
      </c>
      <c r="K2277" s="107">
        <f>SUMIF(Comprometidos!A:A,'Cost Report'!G2277,Comprometidos!E:E)</f>
        <v>0</v>
      </c>
      <c r="L2277" s="107">
        <f t="shared" si="897"/>
        <v>0</v>
      </c>
      <c r="M2277" s="107">
        <f t="shared" si="898"/>
        <v>0</v>
      </c>
      <c r="N2277" s="107">
        <f t="shared" si="899"/>
        <v>0</v>
      </c>
      <c r="O2277" s="107">
        <f>VLOOKUP(G2277,Budget!$E$3:$G$2474,3,0)</f>
        <v>0</v>
      </c>
      <c r="P2277" s="107">
        <f t="shared" si="900"/>
        <v>0</v>
      </c>
      <c r="Q2277" s="107"/>
      <c r="R2277" s="10"/>
      <c r="S2277" s="107">
        <v>0</v>
      </c>
      <c r="T2277" s="107">
        <f t="shared" si="916"/>
        <v>0</v>
      </c>
      <c r="U2277" s="107"/>
      <c r="V2277" s="175"/>
      <c r="W2277" s="10"/>
      <c r="X2277" s="10"/>
      <c r="Y2277" t="str">
        <f t="shared" si="915"/>
        <v>5222</v>
      </c>
      <c r="AB2277" s="10"/>
      <c r="AC2277" s="10"/>
      <c r="AD2277" s="10"/>
      <c r="AE2277" s="10"/>
      <c r="AF2277" s="10"/>
      <c r="AG2277" s="10"/>
      <c r="AH2277" s="10"/>
      <c r="AI2277" s="10"/>
    </row>
    <row r="2278" spans="1:35">
      <c r="A2278" s="10"/>
      <c r="B2278" s="10" t="str">
        <f t="shared" si="914"/>
        <v>Post</v>
      </c>
      <c r="C2278" t="s">
        <v>1</v>
      </c>
      <c r="D2278" t="s">
        <v>19</v>
      </c>
      <c r="E2278" t="s">
        <v>214</v>
      </c>
      <c r="G2278" t="s">
        <v>3060</v>
      </c>
      <c r="I2278" s="10"/>
      <c r="J2278" s="107">
        <f>SUMIF(Data!C:C,G2278,Data!Q:Q)</f>
        <v>0</v>
      </c>
      <c r="K2278" s="107">
        <f>SUMIF(Comprometidos!A:A,'Cost Report'!G2278,Comprometidos!E:E)</f>
        <v>0</v>
      </c>
      <c r="L2278" s="107">
        <f t="shared" si="897"/>
        <v>0</v>
      </c>
      <c r="M2278" s="107">
        <f t="shared" si="898"/>
        <v>0</v>
      </c>
      <c r="N2278" s="107">
        <f t="shared" si="899"/>
        <v>0</v>
      </c>
      <c r="O2278" s="107">
        <f>VLOOKUP(G2278,Budget!$E$3:$G$2474,3,0)</f>
        <v>0</v>
      </c>
      <c r="P2278" s="107">
        <f t="shared" si="900"/>
        <v>0</v>
      </c>
      <c r="Q2278" s="107"/>
      <c r="R2278" s="10"/>
      <c r="S2278" s="107">
        <v>0</v>
      </c>
      <c r="T2278" s="107">
        <f t="shared" si="916"/>
        <v>0</v>
      </c>
      <c r="U2278" s="107"/>
      <c r="V2278" s="175"/>
      <c r="W2278" s="10"/>
      <c r="X2278" s="10"/>
      <c r="Y2278" t="str">
        <f t="shared" si="915"/>
        <v>5222</v>
      </c>
      <c r="AB2278" s="10"/>
      <c r="AC2278" s="10"/>
      <c r="AD2278" s="10"/>
      <c r="AE2278" s="10"/>
      <c r="AF2278" s="10"/>
      <c r="AG2278" s="10"/>
      <c r="AH2278" s="10"/>
      <c r="AI2278" s="10"/>
    </row>
    <row r="2279" spans="1:35">
      <c r="A2279" s="10"/>
      <c r="B2279" s="10" t="str">
        <f t="shared" si="914"/>
        <v>PostALL SHOW</v>
      </c>
      <c r="C2279" t="s">
        <v>1</v>
      </c>
      <c r="D2279" t="s">
        <v>19</v>
      </c>
      <c r="E2279" t="s">
        <v>227</v>
      </c>
      <c r="F2279" t="s">
        <v>5117</v>
      </c>
      <c r="G2279" t="s">
        <v>3061</v>
      </c>
      <c r="I2279" s="10"/>
      <c r="J2279" s="107">
        <f>SUMIF(Data!C:C,G2279,Data!Q:Q)</f>
        <v>5000</v>
      </c>
      <c r="K2279" s="107">
        <f>SUMIF(Comprometidos!A:A,'Cost Report'!G2279,Comprometidos!E:E)</f>
        <v>0</v>
      </c>
      <c r="L2279" s="107">
        <f t="shared" si="897"/>
        <v>5000</v>
      </c>
      <c r="M2279" s="107">
        <f t="shared" si="898"/>
        <v>0</v>
      </c>
      <c r="N2279" s="107">
        <f t="shared" si="899"/>
        <v>5000</v>
      </c>
      <c r="O2279" s="107">
        <f>VLOOKUP(G2279,Budget!$E$3:$G$2474,3,0)</f>
        <v>5000</v>
      </c>
      <c r="P2279" s="107">
        <f t="shared" si="900"/>
        <v>0</v>
      </c>
      <c r="Q2279" s="107"/>
      <c r="R2279" s="10"/>
      <c r="S2279" s="107">
        <v>5000</v>
      </c>
      <c r="T2279" s="107">
        <f t="shared" si="916"/>
        <v>0</v>
      </c>
      <c r="U2279" s="107"/>
      <c r="V2279" s="175"/>
      <c r="W2279" s="10"/>
      <c r="X2279" s="10"/>
      <c r="Y2279" t="str">
        <f t="shared" si="915"/>
        <v>5222</v>
      </c>
      <c r="AB2279" s="10"/>
      <c r="AC2279" s="10"/>
      <c r="AD2279" s="10"/>
      <c r="AE2279" s="10"/>
      <c r="AF2279" s="10"/>
      <c r="AG2279" s="10"/>
      <c r="AH2279" s="10"/>
      <c r="AI2279" s="10"/>
    </row>
    <row r="2280" spans="1:35">
      <c r="A2280" s="10"/>
      <c r="B2280" s="10"/>
      <c r="C2280" s="170" t="s">
        <v>1</v>
      </c>
      <c r="D2280" s="170" t="s">
        <v>8</v>
      </c>
      <c r="E2280" s="170"/>
      <c r="F2280" s="170"/>
      <c r="G2280" s="170" t="s">
        <v>1269</v>
      </c>
      <c r="H2280" s="170"/>
      <c r="I2280" s="10"/>
      <c r="J2280" s="169">
        <f>SUMIF($AA$10:$AA$2484,G2280,J$10:J$2484)</f>
        <v>0</v>
      </c>
      <c r="K2280" s="169">
        <f>SUMIF($AA$10:$AA$2484,G2280,K$10:K$2484)</f>
        <v>0</v>
      </c>
      <c r="L2280" s="169">
        <f>SUMIF($AA$10:$AA$2484,G2280,L$10:L$2484)</f>
        <v>0</v>
      </c>
      <c r="M2280" s="169">
        <f>SUMIF($AA$10:$AA$2484,G2280,M$10:M$2484)</f>
        <v>0</v>
      </c>
      <c r="N2280" s="169">
        <f>SUMIF($AA$10:$AA$2484,G2280,N$10:N$2484)</f>
        <v>0</v>
      </c>
      <c r="O2280" s="169">
        <f>SUMIF($AA$10:$AA$2484,G2280,O$10:O$2484)</f>
        <v>80000</v>
      </c>
      <c r="P2280" s="168">
        <f>SUMIF($AA$10:$AA$2484,G2280,P$10:P$2484)</f>
        <v>80000</v>
      </c>
      <c r="Q2280" s="169"/>
      <c r="R2280" s="10"/>
      <c r="S2280" s="164">
        <v>0</v>
      </c>
      <c r="T2280" s="164">
        <f t="shared" si="916"/>
        <v>0</v>
      </c>
      <c r="U2280" s="163"/>
      <c r="V2280" s="175"/>
      <c r="W2280" s="10"/>
      <c r="X2280" s="10"/>
      <c r="AB2280" s="10"/>
      <c r="AC2280" s="10"/>
      <c r="AD2280" s="10"/>
      <c r="AE2280" s="10"/>
      <c r="AF2280" s="10"/>
      <c r="AG2280" s="10"/>
      <c r="AH2280" s="10"/>
      <c r="AI2280" s="10"/>
    </row>
    <row r="2281" spans="1:35">
      <c r="A2281" s="10"/>
      <c r="B2281" s="10" t="str">
        <f>+C2281</f>
        <v>Post</v>
      </c>
      <c r="C2281" s="128" t="s">
        <v>1</v>
      </c>
      <c r="D2281" s="128" t="s">
        <v>2117</v>
      </c>
      <c r="E2281" s="128"/>
      <c r="F2281" s="128"/>
      <c r="G2281" s="128" t="s">
        <v>1270</v>
      </c>
      <c r="H2281" s="128"/>
      <c r="I2281" s="10"/>
      <c r="J2281" s="129">
        <f>SUMIF($Y$11:$Y$2484,G2281,J$11:J$2484)</f>
        <v>0</v>
      </c>
      <c r="K2281" s="129">
        <f>SUMIF($Y$11:$Y$2484,G2281,K$11:K$2484)</f>
        <v>0</v>
      </c>
      <c r="L2281" s="129">
        <f>SUMIF($Y$11:$Y$2484,G2281,L$11:L$2484)</f>
        <v>0</v>
      </c>
      <c r="M2281" s="129">
        <f>SUMIF($Y$11:$Y$2484,G2281,M$11:M$2484)</f>
        <v>0</v>
      </c>
      <c r="N2281" s="129">
        <f>SUMIF($Y$11:$Y$2484,G2281,N$11:N$2484)</f>
        <v>0</v>
      </c>
      <c r="O2281" s="129">
        <f>SUMIF($Y$11:$Y$2484,G2281,O$11:O$2484)</f>
        <v>80000</v>
      </c>
      <c r="P2281" s="129">
        <f>SUMIF($Y$11:$Y$2484,G2281,P$11:P$2484)</f>
        <v>80000</v>
      </c>
      <c r="Q2281" s="129"/>
      <c r="R2281" s="10"/>
      <c r="S2281" s="129">
        <v>0</v>
      </c>
      <c r="T2281" s="129">
        <f t="shared" si="916"/>
        <v>0</v>
      </c>
      <c r="U2281" s="128"/>
      <c r="V2281" s="175"/>
      <c r="W2281" s="10"/>
      <c r="X2281" s="10"/>
      <c r="Z2281" t="str">
        <f>LEFT(G2281,2)</f>
        <v>53</v>
      </c>
      <c r="AA2281" t="str">
        <f>+Z2281&amp;"00"</f>
        <v>5300</v>
      </c>
      <c r="AB2281" s="10"/>
      <c r="AC2281" s="10"/>
      <c r="AD2281" s="10"/>
      <c r="AE2281" s="10"/>
      <c r="AF2281" s="10"/>
      <c r="AG2281" s="10"/>
      <c r="AH2281" s="10"/>
      <c r="AI2281" s="10"/>
    </row>
    <row r="2282" spans="1:35">
      <c r="A2282" s="10"/>
      <c r="B2282" s="10" t="str">
        <f t="shared" ref="B2282:B2283" si="917">+C2282&amp;E2282</f>
        <v>Post</v>
      </c>
      <c r="C2282" t="s">
        <v>1</v>
      </c>
      <c r="D2282" t="s">
        <v>19</v>
      </c>
      <c r="E2282" t="s">
        <v>214</v>
      </c>
      <c r="G2282" t="s">
        <v>1271</v>
      </c>
      <c r="I2282" s="10"/>
      <c r="J2282" s="107">
        <f>SUMIF(Data!C:C,G2282,Data!Q:Q)</f>
        <v>0</v>
      </c>
      <c r="K2282" s="107">
        <f>SUMIF(Comprometidos!A:A,'Cost Report'!G2282,Comprometidos!E:E)</f>
        <v>0</v>
      </c>
      <c r="L2282" s="107">
        <f t="shared" ref="L2282:L2302" si="918">+J2282+K2282</f>
        <v>0</v>
      </c>
      <c r="M2282" s="107">
        <f t="shared" ref="M2282:M2299" si="919">+O2282-L2282</f>
        <v>0</v>
      </c>
      <c r="N2282" s="107">
        <f t="shared" ref="N2282:N2302" si="920">+L2282+M2282</f>
        <v>0</v>
      </c>
      <c r="O2282" s="107">
        <f>VLOOKUP(G2282,Budget!$E$3:$G$2474,3,0)</f>
        <v>0</v>
      </c>
      <c r="P2282" s="107">
        <f t="shared" ref="P2282:P2302" si="921">+O2282-N2282</f>
        <v>0</v>
      </c>
      <c r="Q2282" s="107"/>
      <c r="R2282" s="10"/>
      <c r="S2282" s="107">
        <v>0</v>
      </c>
      <c r="T2282" s="107">
        <f t="shared" si="916"/>
        <v>0</v>
      </c>
      <c r="U2282" s="107"/>
      <c r="V2282" s="175"/>
      <c r="W2282" s="10"/>
      <c r="X2282" s="10"/>
      <c r="Y2282" t="str">
        <f t="shared" ref="Y2282:Y2283" si="922">LEFT(G2282,4)</f>
        <v>5301</v>
      </c>
      <c r="AB2282" s="10"/>
      <c r="AC2282" s="10"/>
      <c r="AD2282" s="10"/>
      <c r="AE2282" s="10"/>
      <c r="AF2282" s="10"/>
      <c r="AG2282" s="10"/>
      <c r="AH2282" s="10"/>
      <c r="AI2282" s="10"/>
    </row>
    <row r="2283" spans="1:35">
      <c r="A2283" s="10"/>
      <c r="B2283" s="10" t="str">
        <f t="shared" si="917"/>
        <v>PostPOST</v>
      </c>
      <c r="C2283" t="s">
        <v>1</v>
      </c>
      <c r="D2283" t="s">
        <v>19</v>
      </c>
      <c r="E2283" t="s">
        <v>468</v>
      </c>
      <c r="G2283" t="s">
        <v>3062</v>
      </c>
      <c r="I2283" s="10"/>
      <c r="J2283" s="107">
        <f>SUMIF(Data!C:C,G2283,Data!Q:Q)</f>
        <v>0</v>
      </c>
      <c r="K2283" s="107">
        <f>SUMIF(Comprometidos!A:A,'Cost Report'!G2283,Comprometidos!E:E)</f>
        <v>0</v>
      </c>
      <c r="L2283" s="107">
        <f t="shared" si="918"/>
        <v>0</v>
      </c>
      <c r="M2283" s="107">
        <v>0</v>
      </c>
      <c r="N2283" s="107">
        <f t="shared" si="920"/>
        <v>0</v>
      </c>
      <c r="O2283" s="107">
        <f>VLOOKUP(G2283,Budget!$E$3:$G$2474,3,0)</f>
        <v>80000</v>
      </c>
      <c r="P2283" s="107">
        <f t="shared" si="921"/>
        <v>80000</v>
      </c>
      <c r="Q2283" s="107"/>
      <c r="R2283" s="10"/>
      <c r="S2283" s="107">
        <v>0</v>
      </c>
      <c r="T2283" s="107">
        <f t="shared" si="916"/>
        <v>0</v>
      </c>
      <c r="U2283" s="107"/>
      <c r="V2283" s="175"/>
      <c r="W2283" s="10"/>
      <c r="X2283" s="10"/>
      <c r="Y2283" t="str">
        <f t="shared" si="922"/>
        <v>5301</v>
      </c>
      <c r="AB2283" s="10"/>
      <c r="AC2283" s="10"/>
      <c r="AD2283" s="10"/>
      <c r="AE2283" s="10"/>
      <c r="AF2283" s="10"/>
      <c r="AG2283" s="10"/>
      <c r="AH2283" s="10"/>
      <c r="AI2283" s="10"/>
    </row>
    <row r="2284" spans="1:35">
      <c r="A2284" s="10"/>
      <c r="B2284" s="10"/>
      <c r="C2284" s="170" t="s">
        <v>1</v>
      </c>
      <c r="D2284" s="170" t="s">
        <v>8</v>
      </c>
      <c r="E2284" s="170"/>
      <c r="F2284" s="170"/>
      <c r="G2284" s="170" t="s">
        <v>1272</v>
      </c>
      <c r="H2284" s="170"/>
      <c r="I2284" s="10"/>
      <c r="J2284" s="169">
        <f>SUMIF($AA$10:$AA$2484,G2284,J$10:J$2484)</f>
        <v>35000</v>
      </c>
      <c r="K2284" s="169">
        <f>SUMIF($AA$10:$AA$2484,G2284,K$10:K$2484)</f>
        <v>0</v>
      </c>
      <c r="L2284" s="169">
        <f>SUMIF($AA$10:$AA$2484,G2284,L$10:L$2484)</f>
        <v>35000</v>
      </c>
      <c r="M2284" s="169">
        <f>SUMIF($AA$10:$AA$2484,G2284,M$10:M$2484)</f>
        <v>0</v>
      </c>
      <c r="N2284" s="169">
        <f>SUMIF($AA$10:$AA$2484,G2284,N$10:N$2484)</f>
        <v>35000</v>
      </c>
      <c r="O2284" s="169">
        <f>SUMIF($AA$10:$AA$2484,G2284,O$10:O$2484)</f>
        <v>100000</v>
      </c>
      <c r="P2284" s="168">
        <f>SUMIF($AA$10:$AA$2484,G2284,P$10:P$2484)</f>
        <v>65000</v>
      </c>
      <c r="Q2284" s="169"/>
      <c r="R2284" s="10"/>
      <c r="S2284" s="164">
        <v>35000</v>
      </c>
      <c r="T2284" s="164">
        <f t="shared" si="916"/>
        <v>0</v>
      </c>
      <c r="U2284" s="163"/>
      <c r="V2284" s="175"/>
      <c r="W2284" s="10"/>
      <c r="X2284" s="10"/>
      <c r="AB2284" s="10"/>
      <c r="AC2284" s="10"/>
      <c r="AD2284" s="10"/>
      <c r="AE2284" s="10"/>
      <c r="AF2284" s="10"/>
      <c r="AG2284" s="10"/>
      <c r="AH2284" s="10"/>
      <c r="AI2284" s="10"/>
    </row>
    <row r="2285" spans="1:35">
      <c r="A2285" s="10"/>
      <c r="B2285" s="10" t="str">
        <f>+C2285</f>
        <v>Post</v>
      </c>
      <c r="C2285" s="128" t="s">
        <v>1</v>
      </c>
      <c r="D2285" s="128" t="s">
        <v>2117</v>
      </c>
      <c r="E2285" s="128"/>
      <c r="F2285" s="128"/>
      <c r="G2285" s="128" t="s">
        <v>1273</v>
      </c>
      <c r="H2285" s="128"/>
      <c r="I2285" s="10"/>
      <c r="J2285" s="129">
        <f>SUMIF($Y$11:$Y$2484,G2285,J$11:J$2484)</f>
        <v>35000</v>
      </c>
      <c r="K2285" s="129">
        <f>SUMIF($Y$11:$Y$2484,G2285,K$11:K$2484)</f>
        <v>0</v>
      </c>
      <c r="L2285" s="129">
        <f>SUMIF($Y$11:$Y$2484,G2285,L$11:L$2484)</f>
        <v>35000</v>
      </c>
      <c r="M2285" s="129">
        <f>SUMIF($Y$11:$Y$2484,G2285,M$11:M$2484)</f>
        <v>0</v>
      </c>
      <c r="N2285" s="129">
        <f>SUMIF($Y$11:$Y$2484,G2285,N$11:N$2484)</f>
        <v>35000</v>
      </c>
      <c r="O2285" s="129">
        <f>SUMIF($Y$11:$Y$2484,G2285,O$11:O$2484)</f>
        <v>100000</v>
      </c>
      <c r="P2285" s="129">
        <f>SUMIF($Y$11:$Y$2484,G2285,P$11:P$2484)</f>
        <v>65000</v>
      </c>
      <c r="Q2285" s="129"/>
      <c r="R2285" s="10"/>
      <c r="S2285" s="129">
        <v>35000</v>
      </c>
      <c r="T2285" s="129">
        <f t="shared" si="916"/>
        <v>0</v>
      </c>
      <c r="U2285" s="128"/>
      <c r="V2285" s="175"/>
      <c r="W2285" s="10"/>
      <c r="X2285" s="10"/>
      <c r="Z2285" t="str">
        <f>LEFT(G2285,2)</f>
        <v>54</v>
      </c>
      <c r="AA2285" t="str">
        <f>+Z2285&amp;"00"</f>
        <v>5400</v>
      </c>
      <c r="AB2285" s="10"/>
      <c r="AC2285" s="10"/>
      <c r="AD2285" s="10"/>
      <c r="AE2285" s="10"/>
      <c r="AF2285" s="10"/>
      <c r="AG2285" s="10"/>
      <c r="AH2285" s="10"/>
      <c r="AI2285" s="10"/>
    </row>
    <row r="2286" spans="1:35">
      <c r="A2286" s="10"/>
      <c r="B2286" s="10" t="str">
        <f t="shared" ref="B2286:B2287" si="923">+C2286&amp;E2286</f>
        <v>Post</v>
      </c>
      <c r="C2286" t="s">
        <v>1</v>
      </c>
      <c r="D2286" t="s">
        <v>19</v>
      </c>
      <c r="E2286" t="s">
        <v>214</v>
      </c>
      <c r="G2286" t="s">
        <v>1274</v>
      </c>
      <c r="I2286" s="10"/>
      <c r="J2286" s="107">
        <f>SUMIF(Data!C:C,G2286,Data!Q:Q)</f>
        <v>0</v>
      </c>
      <c r="K2286" s="107">
        <f>SUMIF(Comprometidos!A:A,'Cost Report'!G2286,Comprometidos!E:E)</f>
        <v>0</v>
      </c>
      <c r="L2286" s="107">
        <f t="shared" si="918"/>
        <v>0</v>
      </c>
      <c r="M2286" s="107">
        <f t="shared" si="919"/>
        <v>0</v>
      </c>
      <c r="N2286" s="107">
        <f t="shared" si="920"/>
        <v>0</v>
      </c>
      <c r="O2286" s="107">
        <f>VLOOKUP(G2286,Budget!$E$3:$G$2474,3,0)</f>
        <v>0</v>
      </c>
      <c r="P2286" s="107">
        <f t="shared" si="921"/>
        <v>0</v>
      </c>
      <c r="Q2286" s="107"/>
      <c r="R2286" s="10"/>
      <c r="S2286" s="107">
        <v>0</v>
      </c>
      <c r="T2286" s="107">
        <f t="shared" si="916"/>
        <v>0</v>
      </c>
      <c r="U2286" s="107"/>
      <c r="V2286" s="175"/>
      <c r="W2286" s="10"/>
      <c r="X2286" s="10"/>
      <c r="Y2286" t="str">
        <f t="shared" ref="Y2286:Y2287" si="924">LEFT(G2286,4)</f>
        <v>5402</v>
      </c>
      <c r="AB2286" s="10"/>
      <c r="AC2286" s="10"/>
      <c r="AD2286" s="10"/>
      <c r="AE2286" s="10"/>
      <c r="AF2286" s="10"/>
      <c r="AG2286" s="10"/>
      <c r="AH2286" s="10"/>
      <c r="AI2286" s="10"/>
    </row>
    <row r="2287" spans="1:35">
      <c r="A2287" s="10"/>
      <c r="B2287" s="10" t="str">
        <f t="shared" si="923"/>
        <v>PostPOST</v>
      </c>
      <c r="C2287" t="s">
        <v>1</v>
      </c>
      <c r="D2287" t="s">
        <v>19</v>
      </c>
      <c r="E2287" t="s">
        <v>468</v>
      </c>
      <c r="G2287" t="s">
        <v>3063</v>
      </c>
      <c r="I2287" s="10"/>
      <c r="J2287" s="107">
        <f>SUMIF(Data!C:C,G2287,Data!Q:Q)</f>
        <v>35000</v>
      </c>
      <c r="K2287" s="107">
        <f>SUMIF(Comprometidos!A:A,'Cost Report'!G2287,Comprometidos!E:E)</f>
        <v>0</v>
      </c>
      <c r="L2287" s="107">
        <f t="shared" si="918"/>
        <v>35000</v>
      </c>
      <c r="M2287" s="107">
        <f>+O2287-L2287-65000</f>
        <v>0</v>
      </c>
      <c r="N2287" s="107">
        <f t="shared" si="920"/>
        <v>35000</v>
      </c>
      <c r="O2287" s="107">
        <f>VLOOKUP(G2287,Budget!$E$3:$G$2474,3,0)</f>
        <v>100000</v>
      </c>
      <c r="P2287" s="107">
        <f t="shared" si="921"/>
        <v>65000</v>
      </c>
      <c r="Q2287" s="107"/>
      <c r="R2287" s="10"/>
      <c r="S2287" s="107">
        <v>35000</v>
      </c>
      <c r="T2287" s="107">
        <f t="shared" si="916"/>
        <v>0</v>
      </c>
      <c r="U2287" s="107"/>
      <c r="V2287" s="175"/>
      <c r="W2287" s="10"/>
      <c r="X2287" s="10"/>
      <c r="Y2287" t="str">
        <f t="shared" si="924"/>
        <v>5402</v>
      </c>
      <c r="AB2287" s="10"/>
      <c r="AC2287" s="10"/>
      <c r="AD2287" s="10"/>
      <c r="AE2287" s="10"/>
      <c r="AF2287" s="10"/>
      <c r="AG2287" s="10"/>
      <c r="AH2287" s="10"/>
      <c r="AI2287" s="10"/>
    </row>
    <row r="2288" spans="1:35">
      <c r="A2288" s="10"/>
      <c r="B2288" s="10"/>
      <c r="C2288" s="170" t="s">
        <v>1</v>
      </c>
      <c r="D2288" s="170" t="s">
        <v>8</v>
      </c>
      <c r="E2288" s="170"/>
      <c r="F2288" s="170"/>
      <c r="G2288" s="170" t="s">
        <v>1275</v>
      </c>
      <c r="H2288" s="170"/>
      <c r="I2288" s="10"/>
      <c r="J2288" s="169">
        <f>SUMIF($AA$10:$AA$2484,G2288,J$10:J$2484)</f>
        <v>4291613.01</v>
      </c>
      <c r="K2288" s="169">
        <f>SUMIF($AA$10:$AA$2484,G2288,K$10:K$2484)</f>
        <v>0</v>
      </c>
      <c r="L2288" s="169">
        <f>SUMIF($AA$10:$AA$2484,G2288,L$10:L$2484)</f>
        <v>4291613.01</v>
      </c>
      <c r="M2288" s="169">
        <f>SUMIF($AA$10:$AA$2484,G2288,M$10:M$2484)</f>
        <v>0</v>
      </c>
      <c r="N2288" s="169">
        <f>SUMIF($AA$10:$AA$2484,G2288,N$10:N$2484)</f>
        <v>4291613.01</v>
      </c>
      <c r="O2288" s="169">
        <f>SUMIF($AA$10:$AA$2484,G2288,O$10:O$2484)</f>
        <v>3833200</v>
      </c>
      <c r="P2288" s="168">
        <f>SUMIF($AA$10:$AA$2484,G2288,P$10:P$2484)</f>
        <v>-458413.00999999989</v>
      </c>
      <c r="Q2288" s="169"/>
      <c r="R2288" s="10"/>
      <c r="S2288" s="164">
        <v>3792707</v>
      </c>
      <c r="T2288" s="164">
        <f t="shared" si="916"/>
        <v>-498906.00999999978</v>
      </c>
      <c r="U2288" s="163"/>
      <c r="V2288" s="175"/>
      <c r="W2288" s="10"/>
      <c r="X2288" s="10"/>
      <c r="AB2288" s="10"/>
      <c r="AC2288" s="10"/>
      <c r="AD2288" s="10"/>
      <c r="AE2288" s="10"/>
      <c r="AF2288" s="10"/>
      <c r="AG2288" s="10"/>
      <c r="AH2288" s="10"/>
      <c r="AI2288" s="10"/>
    </row>
    <row r="2289" spans="1:35">
      <c r="A2289" s="10"/>
      <c r="B2289" s="10" t="str">
        <f>+C2289</f>
        <v>Post</v>
      </c>
      <c r="C2289" s="128" t="s">
        <v>1</v>
      </c>
      <c r="D2289" s="128" t="s">
        <v>2117</v>
      </c>
      <c r="E2289" s="128"/>
      <c r="F2289" s="128"/>
      <c r="G2289" s="128" t="s">
        <v>1276</v>
      </c>
      <c r="H2289" s="128"/>
      <c r="I2289" s="10"/>
      <c r="J2289" s="129">
        <f>SUMIF($Y$11:$Y$2484,G2289,J$11:J$2484)</f>
        <v>739200</v>
      </c>
      <c r="K2289" s="129">
        <f>SUMIF($Y$11:$Y$2484,G2289,K$11:K$2484)</f>
        <v>0</v>
      </c>
      <c r="L2289" s="129">
        <f>SUMIF($Y$11:$Y$2484,G2289,L$11:L$2484)</f>
        <v>739200</v>
      </c>
      <c r="M2289" s="129">
        <f>SUMIF($Y$11:$Y$2484,G2289,M$11:M$2484)</f>
        <v>0</v>
      </c>
      <c r="N2289" s="129">
        <f>SUMIF($Y$11:$Y$2484,G2289,N$11:N$2484)</f>
        <v>739200</v>
      </c>
      <c r="O2289" s="129">
        <f>SUMIF($Y$11:$Y$2484,G2289,O$11:O$2484)</f>
        <v>739200</v>
      </c>
      <c r="P2289" s="129">
        <f>SUMIF($Y$11:$Y$2484,G2289,P$11:P$2484)</f>
        <v>0</v>
      </c>
      <c r="Q2289" s="129"/>
      <c r="R2289" s="10"/>
      <c r="S2289" s="129">
        <v>739200</v>
      </c>
      <c r="T2289" s="129">
        <f t="shared" si="916"/>
        <v>0</v>
      </c>
      <c r="U2289" s="128"/>
      <c r="V2289" s="175"/>
      <c r="W2289" s="10"/>
      <c r="X2289" s="10"/>
      <c r="Z2289" t="str">
        <f>LEFT(G2289,2)</f>
        <v>60</v>
      </c>
      <c r="AA2289" t="str">
        <f>+Z2289&amp;"00"</f>
        <v>6000</v>
      </c>
      <c r="AB2289" s="10"/>
      <c r="AC2289" s="10"/>
      <c r="AD2289" s="10"/>
      <c r="AE2289" s="10"/>
      <c r="AF2289" s="10"/>
      <c r="AG2289" s="10"/>
      <c r="AH2289" s="10"/>
      <c r="AI2289" s="10"/>
    </row>
    <row r="2290" spans="1:35">
      <c r="A2290" s="10"/>
      <c r="B2290" s="10" t="str">
        <f t="shared" ref="B2290:B2293" si="925">+C2290&amp;E2290</f>
        <v>Post</v>
      </c>
      <c r="C2290" t="s">
        <v>1</v>
      </c>
      <c r="D2290" t="s">
        <v>19</v>
      </c>
      <c r="E2290" t="s">
        <v>214</v>
      </c>
      <c r="G2290" t="s">
        <v>1277</v>
      </c>
      <c r="I2290" s="10"/>
      <c r="J2290" s="107">
        <f>SUMIF(Data!C:C,G2290,Data!Q:Q)</f>
        <v>0</v>
      </c>
      <c r="K2290" s="107">
        <f>SUMIF(Comprometidos!A:A,'Cost Report'!G2290,Comprometidos!E:E)</f>
        <v>0</v>
      </c>
      <c r="L2290" s="107">
        <f t="shared" si="918"/>
        <v>0</v>
      </c>
      <c r="M2290" s="107">
        <f t="shared" si="919"/>
        <v>0</v>
      </c>
      <c r="N2290" s="107">
        <f t="shared" si="920"/>
        <v>0</v>
      </c>
      <c r="O2290" s="107">
        <f>VLOOKUP(G2290,Budget!$E$3:$G$2474,3,0)</f>
        <v>0</v>
      </c>
      <c r="P2290" s="107">
        <f t="shared" si="921"/>
        <v>0</v>
      </c>
      <c r="Q2290" s="107"/>
      <c r="R2290" s="10"/>
      <c r="S2290" s="107">
        <v>0</v>
      </c>
      <c r="T2290" s="107">
        <f t="shared" si="916"/>
        <v>0</v>
      </c>
      <c r="U2290" s="107"/>
      <c r="V2290" s="175"/>
      <c r="W2290" s="10"/>
      <c r="X2290" s="10"/>
      <c r="Y2290" t="str">
        <f t="shared" ref="Y2290:Y2293" si="926">LEFT(G2290,4)</f>
        <v>6001</v>
      </c>
      <c r="AB2290" s="10"/>
      <c r="AC2290" s="10"/>
      <c r="AD2290" s="10"/>
      <c r="AE2290" s="10"/>
      <c r="AF2290" s="10"/>
      <c r="AG2290" s="10"/>
      <c r="AH2290" s="10"/>
      <c r="AI2290" s="10"/>
    </row>
    <row r="2291" spans="1:35">
      <c r="A2291" s="10"/>
      <c r="B2291" s="10" t="str">
        <f t="shared" si="925"/>
        <v>Post</v>
      </c>
      <c r="C2291" t="s">
        <v>1</v>
      </c>
      <c r="D2291" t="s">
        <v>19</v>
      </c>
      <c r="E2291" t="s">
        <v>214</v>
      </c>
      <c r="G2291" t="s">
        <v>1278</v>
      </c>
      <c r="I2291" s="10"/>
      <c r="J2291" s="107">
        <f>SUMIF(Data!C:C,G2291,Data!Q:Q)</f>
        <v>0</v>
      </c>
      <c r="K2291" s="107">
        <f>SUMIF(Comprometidos!A:A,'Cost Report'!G2291,Comprometidos!E:E)</f>
        <v>0</v>
      </c>
      <c r="L2291" s="107">
        <f t="shared" si="918"/>
        <v>0</v>
      </c>
      <c r="M2291" s="107">
        <f t="shared" si="919"/>
        <v>0</v>
      </c>
      <c r="N2291" s="107">
        <f t="shared" si="920"/>
        <v>0</v>
      </c>
      <c r="O2291" s="107">
        <f>VLOOKUP(G2291,Budget!$E$3:$G$2474,3,0)</f>
        <v>0</v>
      </c>
      <c r="P2291" s="107">
        <f t="shared" si="921"/>
        <v>0</v>
      </c>
      <c r="Q2291" s="107"/>
      <c r="R2291" s="10"/>
      <c r="S2291" s="107">
        <v>0</v>
      </c>
      <c r="T2291" s="107">
        <f t="shared" si="916"/>
        <v>0</v>
      </c>
      <c r="U2291" s="107"/>
      <c r="V2291" s="175"/>
      <c r="W2291" s="10"/>
      <c r="X2291" s="10"/>
      <c r="Y2291" t="str">
        <f t="shared" si="926"/>
        <v>6001</v>
      </c>
      <c r="AB2291" s="10"/>
      <c r="AC2291" s="10"/>
      <c r="AD2291" s="10"/>
      <c r="AE2291" s="10"/>
      <c r="AF2291" s="10"/>
      <c r="AG2291" s="10"/>
      <c r="AH2291" s="10"/>
      <c r="AI2291" s="10"/>
    </row>
    <row r="2292" spans="1:35">
      <c r="A2292" s="10"/>
      <c r="B2292" s="10" t="str">
        <f t="shared" si="925"/>
        <v>Post</v>
      </c>
      <c r="C2292" t="s">
        <v>1</v>
      </c>
      <c r="D2292" t="s">
        <v>19</v>
      </c>
      <c r="E2292" t="s">
        <v>214</v>
      </c>
      <c r="G2292" t="s">
        <v>1279</v>
      </c>
      <c r="I2292" s="10"/>
      <c r="J2292" s="107">
        <f>SUMIF(Data!C:C,G2292,Data!Q:Q)</f>
        <v>0</v>
      </c>
      <c r="K2292" s="107">
        <f>SUMIF(Comprometidos!A:A,'Cost Report'!G2292,Comprometidos!E:E)</f>
        <v>0</v>
      </c>
      <c r="L2292" s="107">
        <f t="shared" si="918"/>
        <v>0</v>
      </c>
      <c r="M2292" s="107">
        <f t="shared" si="919"/>
        <v>0</v>
      </c>
      <c r="N2292" s="107">
        <f t="shared" si="920"/>
        <v>0</v>
      </c>
      <c r="O2292" s="107">
        <f>VLOOKUP(G2292,Budget!$E$3:$G$2474,3,0)</f>
        <v>0</v>
      </c>
      <c r="P2292" s="107">
        <f t="shared" si="921"/>
        <v>0</v>
      </c>
      <c r="Q2292" s="107"/>
      <c r="R2292" s="10"/>
      <c r="S2292" s="107">
        <v>0</v>
      </c>
      <c r="T2292" s="107">
        <f t="shared" si="916"/>
        <v>0</v>
      </c>
      <c r="U2292" s="107"/>
      <c r="V2292" s="175"/>
      <c r="W2292" s="10"/>
      <c r="X2292" s="10"/>
      <c r="Y2292" t="str">
        <f t="shared" si="926"/>
        <v>6001</v>
      </c>
      <c r="AB2292" s="10"/>
      <c r="AC2292" s="10"/>
      <c r="AD2292" s="10"/>
      <c r="AE2292" s="10"/>
      <c r="AF2292" s="10"/>
      <c r="AG2292" s="10"/>
      <c r="AH2292" s="10"/>
      <c r="AI2292" s="10"/>
    </row>
    <row r="2293" spans="1:35">
      <c r="A2293" s="10"/>
      <c r="B2293" s="10" t="str">
        <f t="shared" si="925"/>
        <v>PostPOST</v>
      </c>
      <c r="C2293" t="s">
        <v>1</v>
      </c>
      <c r="D2293" t="s">
        <v>19</v>
      </c>
      <c r="E2293" t="s">
        <v>468</v>
      </c>
      <c r="G2293" t="s">
        <v>3064</v>
      </c>
      <c r="I2293" s="10"/>
      <c r="J2293" s="107">
        <f>SUMIF(Data!C:C,G2293,Data!Q:Q)</f>
        <v>739200</v>
      </c>
      <c r="K2293" s="107">
        <f>SUMIF(Comprometidos!A:A,'Cost Report'!G2293,Comprometidos!E:E)</f>
        <v>0</v>
      </c>
      <c r="L2293" s="107">
        <f t="shared" si="918"/>
        <v>739200</v>
      </c>
      <c r="M2293" s="107">
        <v>0</v>
      </c>
      <c r="N2293" s="107">
        <f t="shared" si="920"/>
        <v>739200</v>
      </c>
      <c r="O2293" s="107">
        <f>VLOOKUP(G2293,Budget!$E$3:$G$2474,3,0)</f>
        <v>739200</v>
      </c>
      <c r="P2293" s="107">
        <f t="shared" si="921"/>
        <v>0</v>
      </c>
      <c r="Q2293" s="107"/>
      <c r="R2293" s="10"/>
      <c r="S2293" s="107">
        <v>739200</v>
      </c>
      <c r="T2293" s="107">
        <f t="shared" si="916"/>
        <v>0</v>
      </c>
      <c r="U2293" s="107"/>
      <c r="V2293" s="175"/>
      <c r="W2293" s="10"/>
      <c r="X2293" s="10"/>
      <c r="Y2293" t="str">
        <f t="shared" si="926"/>
        <v>6001</v>
      </c>
      <c r="AB2293" s="10"/>
      <c r="AC2293" s="10"/>
      <c r="AD2293" s="10"/>
      <c r="AE2293" s="10"/>
      <c r="AF2293" s="10"/>
      <c r="AG2293" s="10"/>
      <c r="AH2293" s="10"/>
      <c r="AI2293" s="10"/>
    </row>
    <row r="2294" spans="1:35">
      <c r="A2294" s="10"/>
      <c r="B2294" s="10" t="str">
        <f>+C2294</f>
        <v>Post</v>
      </c>
      <c r="C2294" s="128" t="s">
        <v>1</v>
      </c>
      <c r="D2294" s="128" t="s">
        <v>2117</v>
      </c>
      <c r="E2294" s="128"/>
      <c r="F2294" s="128"/>
      <c r="G2294" s="128" t="s">
        <v>1280</v>
      </c>
      <c r="H2294" s="128"/>
      <c r="I2294" s="10"/>
      <c r="J2294" s="129">
        <f>SUMIF($Y$11:$Y$2484,G2294,J$11:J$2484)</f>
        <v>294000</v>
      </c>
      <c r="K2294" s="129">
        <f>SUMIF($Y$11:$Y$2484,G2294,K$11:K$2484)</f>
        <v>0</v>
      </c>
      <c r="L2294" s="129">
        <f>SUMIF($Y$11:$Y$2484,G2294,L$11:L$2484)</f>
        <v>294000</v>
      </c>
      <c r="M2294" s="129">
        <f>SUMIF($Y$11:$Y$2484,G2294,M$11:M$2484)</f>
        <v>0</v>
      </c>
      <c r="N2294" s="129">
        <f>SUMIF($Y$11:$Y$2484,G2294,N$11:N$2484)</f>
        <v>294000</v>
      </c>
      <c r="O2294" s="129">
        <f>SUMIF($Y$11:$Y$2484,G2294,O$11:O$2484)</f>
        <v>294000</v>
      </c>
      <c r="P2294" s="129">
        <f>SUMIF($Y$11:$Y$2484,G2294,P$11:P$2484)</f>
        <v>0</v>
      </c>
      <c r="Q2294" s="129"/>
      <c r="R2294" s="10"/>
      <c r="S2294" s="129">
        <v>294000</v>
      </c>
      <c r="T2294" s="129">
        <f t="shared" si="916"/>
        <v>0</v>
      </c>
      <c r="U2294" s="128"/>
      <c r="V2294" s="175"/>
      <c r="W2294" s="10"/>
      <c r="X2294" s="10"/>
      <c r="Z2294" t="str">
        <f>LEFT(G2294,2)</f>
        <v>60</v>
      </c>
      <c r="AA2294" t="str">
        <f>+Z2294&amp;"00"</f>
        <v>6000</v>
      </c>
      <c r="AB2294" s="10"/>
      <c r="AC2294" s="10"/>
      <c r="AD2294" s="10"/>
      <c r="AE2294" s="10"/>
      <c r="AF2294" s="10"/>
      <c r="AG2294" s="10"/>
      <c r="AH2294" s="10"/>
      <c r="AI2294" s="10"/>
    </row>
    <row r="2295" spans="1:35">
      <c r="A2295" s="10"/>
      <c r="B2295" s="10" t="str">
        <f t="shared" ref="B2295:B2297" si="927">+C2295&amp;E2295</f>
        <v>Post</v>
      </c>
      <c r="C2295" t="s">
        <v>1</v>
      </c>
      <c r="D2295" t="s">
        <v>19</v>
      </c>
      <c r="E2295" t="s">
        <v>214</v>
      </c>
      <c r="G2295" t="s">
        <v>1281</v>
      </c>
      <c r="I2295" s="10"/>
      <c r="J2295" s="107">
        <f>SUMIF(Data!C:C,G2295,Data!Q:Q)</f>
        <v>0</v>
      </c>
      <c r="K2295" s="107">
        <f>SUMIF(Comprometidos!A:A,'Cost Report'!G2295,Comprometidos!E:E)</f>
        <v>0</v>
      </c>
      <c r="L2295" s="107">
        <f t="shared" ref="L2295:L2297" si="928">+J2295+K2295</f>
        <v>0</v>
      </c>
      <c r="M2295" s="107">
        <f t="shared" ref="M2295:M2297" si="929">+O2295-L2295</f>
        <v>0</v>
      </c>
      <c r="N2295" s="107">
        <f t="shared" ref="N2295:N2297" si="930">+L2295+M2295</f>
        <v>0</v>
      </c>
      <c r="O2295" s="107">
        <f>VLOOKUP(G2295,Budget!$E$3:$G$2474,3,0)</f>
        <v>0</v>
      </c>
      <c r="P2295" s="107">
        <f t="shared" ref="P2295:P2297" si="931">+O2295-N2295</f>
        <v>0</v>
      </c>
      <c r="Q2295" s="107"/>
      <c r="R2295" s="10"/>
      <c r="S2295" s="107">
        <v>0</v>
      </c>
      <c r="T2295" s="107">
        <f t="shared" si="916"/>
        <v>0</v>
      </c>
      <c r="U2295" s="107"/>
      <c r="V2295" s="175"/>
      <c r="W2295" s="10"/>
      <c r="X2295" s="10"/>
      <c r="Y2295" t="str">
        <f t="shared" ref="Y2295:Y2297" si="932">LEFT(G2295,4)</f>
        <v>6002</v>
      </c>
      <c r="AB2295" s="10"/>
      <c r="AC2295" s="10"/>
      <c r="AD2295" s="10"/>
      <c r="AE2295" s="10"/>
      <c r="AF2295" s="10"/>
      <c r="AG2295" s="10"/>
      <c r="AH2295" s="10"/>
      <c r="AI2295" s="10"/>
    </row>
    <row r="2296" spans="1:35">
      <c r="A2296" s="10"/>
      <c r="B2296" s="10" t="str">
        <f t="shared" si="927"/>
        <v>Post</v>
      </c>
      <c r="C2296" t="s">
        <v>1</v>
      </c>
      <c r="D2296" t="s">
        <v>19</v>
      </c>
      <c r="E2296" t="s">
        <v>214</v>
      </c>
      <c r="G2296" t="s">
        <v>1282</v>
      </c>
      <c r="I2296" s="10"/>
      <c r="J2296" s="107">
        <f>SUMIF(Data!C:C,G2296,Data!Q:Q)</f>
        <v>0</v>
      </c>
      <c r="K2296" s="107">
        <f>SUMIF(Comprometidos!A:A,'Cost Report'!G2296,Comprometidos!E:E)</f>
        <v>0</v>
      </c>
      <c r="L2296" s="107">
        <f t="shared" si="928"/>
        <v>0</v>
      </c>
      <c r="M2296" s="107">
        <f t="shared" si="929"/>
        <v>0</v>
      </c>
      <c r="N2296" s="107">
        <f t="shared" si="930"/>
        <v>0</v>
      </c>
      <c r="O2296" s="107">
        <f>VLOOKUP(G2296,Budget!$E$3:$G$2474,3,0)</f>
        <v>0</v>
      </c>
      <c r="P2296" s="107">
        <f t="shared" si="931"/>
        <v>0</v>
      </c>
      <c r="Q2296" s="107"/>
      <c r="R2296" s="10"/>
      <c r="S2296" s="107">
        <v>0</v>
      </c>
      <c r="T2296" s="107">
        <f t="shared" si="916"/>
        <v>0</v>
      </c>
      <c r="U2296" s="107"/>
      <c r="V2296" s="175"/>
      <c r="W2296" s="10"/>
      <c r="X2296" s="10"/>
      <c r="Y2296" t="str">
        <f t="shared" si="932"/>
        <v>6002</v>
      </c>
      <c r="AB2296" s="10"/>
      <c r="AC2296" s="10"/>
      <c r="AD2296" s="10"/>
      <c r="AE2296" s="10"/>
      <c r="AF2296" s="10"/>
      <c r="AG2296" s="10"/>
      <c r="AH2296" s="10"/>
      <c r="AI2296" s="10"/>
    </row>
    <row r="2297" spans="1:35">
      <c r="A2297" s="10"/>
      <c r="B2297" s="10" t="str">
        <f t="shared" si="927"/>
        <v>PostPOST</v>
      </c>
      <c r="C2297" t="s">
        <v>1</v>
      </c>
      <c r="D2297" t="s">
        <v>19</v>
      </c>
      <c r="E2297" t="s">
        <v>468</v>
      </c>
      <c r="G2297" t="s">
        <v>3065</v>
      </c>
      <c r="I2297" s="10"/>
      <c r="J2297" s="107">
        <f>SUMIF(Data!C:C,G2297,Data!Q:Q)</f>
        <v>294000</v>
      </c>
      <c r="K2297" s="107">
        <f>SUMIF(Comprometidos!A:A,'Cost Report'!G2297,Comprometidos!E:E)</f>
        <v>0</v>
      </c>
      <c r="L2297" s="107">
        <f t="shared" si="928"/>
        <v>294000</v>
      </c>
      <c r="M2297" s="107">
        <f t="shared" si="929"/>
        <v>0</v>
      </c>
      <c r="N2297" s="107">
        <f t="shared" si="930"/>
        <v>294000</v>
      </c>
      <c r="O2297" s="107">
        <f>VLOOKUP(G2297,Budget!$E$3:$G$2474,3,0)</f>
        <v>294000</v>
      </c>
      <c r="P2297" s="107">
        <f t="shared" si="931"/>
        <v>0</v>
      </c>
      <c r="Q2297" s="107"/>
      <c r="R2297" s="10"/>
      <c r="S2297" s="107">
        <v>294000</v>
      </c>
      <c r="T2297" s="107">
        <f t="shared" si="916"/>
        <v>0</v>
      </c>
      <c r="U2297" s="107"/>
      <c r="V2297" s="175"/>
      <c r="W2297" s="10"/>
      <c r="X2297" s="10"/>
      <c r="Y2297" t="str">
        <f t="shared" si="932"/>
        <v>6002</v>
      </c>
      <c r="AB2297" s="10"/>
      <c r="AC2297" s="10"/>
      <c r="AD2297" s="10"/>
      <c r="AE2297" s="10"/>
      <c r="AF2297" s="10"/>
      <c r="AG2297" s="10"/>
      <c r="AH2297" s="10"/>
      <c r="AI2297" s="10"/>
    </row>
    <row r="2298" spans="1:35">
      <c r="A2298" s="10"/>
      <c r="B2298" s="10" t="str">
        <f>+C2298</f>
        <v>Post</v>
      </c>
      <c r="C2298" s="128" t="s">
        <v>1</v>
      </c>
      <c r="D2298" s="128" t="s">
        <v>2117</v>
      </c>
      <c r="E2298" s="128"/>
      <c r="F2298" s="128"/>
      <c r="G2298" s="128" t="s">
        <v>1283</v>
      </c>
      <c r="H2298" s="128"/>
      <c r="I2298" s="10"/>
      <c r="J2298" s="129">
        <f>SUMIF($Y$11:$Y$2484,G2298,J$11:J$2484)</f>
        <v>3258413.01</v>
      </c>
      <c r="K2298" s="129">
        <f>SUMIF($Y$11:$Y$2484,G2298,K$11:K$2484)</f>
        <v>0</v>
      </c>
      <c r="L2298" s="129">
        <f>SUMIF($Y$11:$Y$2484,G2298,L$11:L$2484)</f>
        <v>3258413.01</v>
      </c>
      <c r="M2298" s="129">
        <f>SUMIF($Y$11:$Y$2484,G2298,M$11:M$2484)</f>
        <v>0</v>
      </c>
      <c r="N2298" s="129">
        <f>SUMIF($Y$11:$Y$2484,G2298,N$11:N$2484)</f>
        <v>3258413.01</v>
      </c>
      <c r="O2298" s="129">
        <f>SUMIF($Y$11:$Y$2484,G2298,O$11:O$2484)</f>
        <v>2800000</v>
      </c>
      <c r="P2298" s="129">
        <f>SUMIF($Y$11:$Y$2484,G2298,P$11:P$2484)</f>
        <v>-458413.00999999989</v>
      </c>
      <c r="Q2298" s="129"/>
      <c r="R2298" s="10"/>
      <c r="S2298" s="129">
        <v>2759507</v>
      </c>
      <c r="T2298" s="129">
        <f t="shared" si="916"/>
        <v>-498906.00999999978</v>
      </c>
      <c r="U2298" s="128"/>
      <c r="V2298" s="175"/>
      <c r="W2298" s="10"/>
      <c r="X2298" s="10"/>
      <c r="Z2298" t="str">
        <f>LEFT(G2298,2)</f>
        <v>60</v>
      </c>
      <c r="AA2298" t="str">
        <f>+Z2298&amp;"00"</f>
        <v>6000</v>
      </c>
      <c r="AB2298" s="10"/>
      <c r="AC2298" s="10"/>
      <c r="AD2298" s="10"/>
      <c r="AE2298" s="10"/>
      <c r="AF2298" s="10"/>
      <c r="AG2298" s="10"/>
      <c r="AH2298" s="10"/>
      <c r="AI2298" s="10"/>
    </row>
    <row r="2299" spans="1:35">
      <c r="A2299" s="10"/>
      <c r="B2299" s="10" t="str">
        <f t="shared" ref="B2299:B2302" si="933">+C2299&amp;E2299</f>
        <v>Post</v>
      </c>
      <c r="C2299" t="s">
        <v>1</v>
      </c>
      <c r="D2299" t="s">
        <v>19</v>
      </c>
      <c r="E2299" t="s">
        <v>214</v>
      </c>
      <c r="G2299" t="s">
        <v>1284</v>
      </c>
      <c r="I2299" s="10"/>
      <c r="J2299" s="107">
        <f>SUMIF(Data!C:C,G2299,Data!Q:Q)</f>
        <v>0</v>
      </c>
      <c r="K2299" s="107">
        <f>SUMIF(Comprometidos!A:A,'Cost Report'!G2299,Comprometidos!E:E)</f>
        <v>0</v>
      </c>
      <c r="L2299" s="107">
        <f t="shared" si="918"/>
        <v>0</v>
      </c>
      <c r="M2299" s="107">
        <f t="shared" si="919"/>
        <v>0</v>
      </c>
      <c r="N2299" s="107">
        <f t="shared" si="920"/>
        <v>0</v>
      </c>
      <c r="O2299" s="107">
        <f>VLOOKUP(G2299,Budget!$E$3:$G$2474,3,0)</f>
        <v>0</v>
      </c>
      <c r="P2299" s="107">
        <f t="shared" si="921"/>
        <v>0</v>
      </c>
      <c r="Q2299" s="107"/>
      <c r="R2299" s="10"/>
      <c r="S2299" s="107">
        <v>0</v>
      </c>
      <c r="T2299" s="107">
        <f t="shared" si="916"/>
        <v>0</v>
      </c>
      <c r="U2299" s="107"/>
      <c r="V2299" s="175"/>
      <c r="W2299" s="10"/>
      <c r="X2299" s="10"/>
      <c r="Y2299" t="str">
        <f t="shared" ref="Y2299:Y2302" si="934">LEFT(G2299,4)</f>
        <v>6004</v>
      </c>
      <c r="AB2299" s="10"/>
      <c r="AC2299" s="10"/>
      <c r="AD2299" s="10"/>
      <c r="AE2299" s="10"/>
      <c r="AF2299" s="10"/>
      <c r="AG2299" s="10"/>
      <c r="AH2299" s="10"/>
      <c r="AI2299" s="10"/>
    </row>
    <row r="2300" spans="1:35">
      <c r="A2300" s="10"/>
      <c r="B2300" s="10" t="str">
        <f t="shared" si="933"/>
        <v>PostALL SHOW</v>
      </c>
      <c r="C2300" t="s">
        <v>1</v>
      </c>
      <c r="D2300" t="s">
        <v>19</v>
      </c>
      <c r="E2300" t="s">
        <v>227</v>
      </c>
      <c r="G2300" t="s">
        <v>1285</v>
      </c>
      <c r="I2300" s="10"/>
      <c r="J2300" s="107">
        <f>SUMIF(Data!C:C,G2300,Data!Q:Q)</f>
        <v>1456795.81</v>
      </c>
      <c r="K2300" s="107">
        <f>SUMIF(Comprometidos!A:A,'Cost Report'!G2300,Comprometidos!E:E)</f>
        <v>0</v>
      </c>
      <c r="L2300" s="107">
        <f t="shared" si="918"/>
        <v>1456795.81</v>
      </c>
      <c r="M2300" s="107">
        <v>0</v>
      </c>
      <c r="N2300" s="107">
        <f t="shared" si="920"/>
        <v>1456795.81</v>
      </c>
      <c r="O2300" s="107">
        <f>VLOOKUP(G2300,Budget!$E$3:$G$2474,3,0)</f>
        <v>1440000</v>
      </c>
      <c r="P2300" s="107">
        <f t="shared" si="921"/>
        <v>-16795.810000000056</v>
      </c>
      <c r="Q2300" s="107"/>
      <c r="R2300" s="10"/>
      <c r="S2300" s="107">
        <v>1440000</v>
      </c>
      <c r="T2300" s="107">
        <f t="shared" si="916"/>
        <v>-16795.810000000056</v>
      </c>
      <c r="U2300" s="107"/>
      <c r="V2300" s="175"/>
      <c r="W2300" s="10"/>
      <c r="X2300" s="10"/>
      <c r="Y2300" t="str">
        <f t="shared" si="934"/>
        <v>6004</v>
      </c>
      <c r="AB2300" s="10"/>
      <c r="AC2300" s="10"/>
      <c r="AD2300" s="10"/>
      <c r="AE2300" s="10"/>
      <c r="AF2300" s="10"/>
      <c r="AG2300" s="10"/>
      <c r="AH2300" s="10"/>
      <c r="AI2300" s="10"/>
    </row>
    <row r="2301" spans="1:35">
      <c r="A2301" s="10"/>
      <c r="B2301" s="10" t="str">
        <f t="shared" si="933"/>
        <v>PostALL SHOW</v>
      </c>
      <c r="C2301" t="s">
        <v>1</v>
      </c>
      <c r="D2301" t="s">
        <v>19</v>
      </c>
      <c r="E2301" t="s">
        <v>227</v>
      </c>
      <c r="G2301" t="s">
        <v>1286</v>
      </c>
      <c r="I2301" s="10"/>
      <c r="J2301" s="107">
        <f>SUMIF(Data!C:C,G2301,Data!Q:Q)</f>
        <v>1252840.5299999998</v>
      </c>
      <c r="K2301" s="107">
        <f>SUMIF(Comprometidos!A:A,'Cost Report'!G2301,Comprometidos!E:E)</f>
        <v>0</v>
      </c>
      <c r="L2301" s="107">
        <f t="shared" si="918"/>
        <v>1252840.5299999998</v>
      </c>
      <c r="M2301" s="107">
        <v>0</v>
      </c>
      <c r="N2301" s="107">
        <f t="shared" si="920"/>
        <v>1252840.5299999998</v>
      </c>
      <c r="O2301" s="107">
        <f>VLOOKUP(G2301,Budget!$E$3:$G$2474,3,0)</f>
        <v>800000</v>
      </c>
      <c r="P2301" s="107">
        <f t="shared" si="921"/>
        <v>-452840.5299999998</v>
      </c>
      <c r="Q2301" s="107"/>
      <c r="R2301" s="10"/>
      <c r="S2301" s="107">
        <v>800000</v>
      </c>
      <c r="T2301" s="107">
        <f t="shared" si="916"/>
        <v>-452840.5299999998</v>
      </c>
      <c r="U2301" s="107"/>
      <c r="V2301" s="175"/>
      <c r="W2301" s="10"/>
      <c r="X2301" s="10"/>
      <c r="Y2301" t="str">
        <f t="shared" si="934"/>
        <v>6004</v>
      </c>
      <c r="AB2301" s="10"/>
      <c r="AC2301" s="10"/>
      <c r="AD2301" s="10"/>
      <c r="AE2301" s="10"/>
      <c r="AF2301" s="10"/>
      <c r="AG2301" s="10"/>
      <c r="AH2301" s="10"/>
      <c r="AI2301" s="10"/>
    </row>
    <row r="2302" spans="1:35">
      <c r="A2302" s="10"/>
      <c r="B2302" s="10" t="str">
        <f t="shared" si="933"/>
        <v>PostALL SHOW</v>
      </c>
      <c r="C2302" t="s">
        <v>1</v>
      </c>
      <c r="D2302" t="s">
        <v>19</v>
      </c>
      <c r="E2302" t="s">
        <v>227</v>
      </c>
      <c r="G2302" t="s">
        <v>3066</v>
      </c>
      <c r="I2302" s="10"/>
      <c r="J2302" s="107">
        <f>SUMIF(Data!C:C,G2302,Data!Q:Q)</f>
        <v>548776.67000000004</v>
      </c>
      <c r="K2302" s="107">
        <f>SUMIF(Comprometidos!A:A,'Cost Report'!G2302,Comprometidos!E:E)</f>
        <v>0</v>
      </c>
      <c r="L2302" s="107">
        <f t="shared" si="918"/>
        <v>548776.67000000004</v>
      </c>
      <c r="M2302" s="107">
        <v>0</v>
      </c>
      <c r="N2302" s="107">
        <f t="shared" si="920"/>
        <v>548776.67000000004</v>
      </c>
      <c r="O2302" s="107">
        <f>VLOOKUP(G2302,Budget!$E$3:$G$2474,3,0)</f>
        <v>560000</v>
      </c>
      <c r="P2302" s="107">
        <f t="shared" si="921"/>
        <v>11223.329999999958</v>
      </c>
      <c r="Q2302" s="107"/>
      <c r="R2302" s="10"/>
      <c r="S2302" s="107">
        <v>519507</v>
      </c>
      <c r="T2302" s="107">
        <f t="shared" si="916"/>
        <v>-29269.670000000042</v>
      </c>
      <c r="U2302" s="107"/>
      <c r="V2302" s="175"/>
      <c r="W2302" s="10"/>
      <c r="X2302" s="10"/>
      <c r="Y2302" t="str">
        <f t="shared" si="934"/>
        <v>6004</v>
      </c>
      <c r="AB2302" s="10"/>
      <c r="AC2302" s="10"/>
      <c r="AD2302" s="10"/>
      <c r="AE2302" s="10"/>
      <c r="AF2302" s="10"/>
      <c r="AG2302" s="10"/>
      <c r="AH2302" s="10"/>
      <c r="AI2302" s="10"/>
    </row>
    <row r="2303" spans="1:35">
      <c r="A2303" s="10"/>
      <c r="B2303" s="10"/>
      <c r="C2303" s="170" t="s">
        <v>1</v>
      </c>
      <c r="D2303" s="170" t="s">
        <v>8</v>
      </c>
      <c r="E2303" s="170"/>
      <c r="F2303" s="170"/>
      <c r="G2303" s="170" t="s">
        <v>1287</v>
      </c>
      <c r="H2303" s="170"/>
      <c r="I2303" s="10"/>
      <c r="J2303" s="169">
        <f>SUMIF($AA$10:$AA$2484,G2303,J$10:J$2484)</f>
        <v>1250234.47</v>
      </c>
      <c r="K2303" s="169">
        <f>SUMIF($AA$10:$AA$2484,G2303,K$10:K$2484)</f>
        <v>0</v>
      </c>
      <c r="L2303" s="169">
        <f>SUMIF($AA$10:$AA$2484,G2303,L$10:L$2484)</f>
        <v>1250234.47</v>
      </c>
      <c r="M2303" s="169">
        <f>SUMIF($AA$10:$AA$2484,G2303,M$10:M$2484)</f>
        <v>0</v>
      </c>
      <c r="N2303" s="169">
        <f>SUMIF($AA$10:$AA$2484,G2303,N$10:N$2484)</f>
        <v>1250234.47</v>
      </c>
      <c r="O2303" s="169">
        <f>SUMIF($AA$10:$AA$2484,G2303,O$10:O$2484)</f>
        <v>1452334.48</v>
      </c>
      <c r="P2303" s="168">
        <f>SUMIF($AA$10:$AA$2484,G2303,P$10:P$2484)</f>
        <v>202100.01</v>
      </c>
      <c r="Q2303" s="169"/>
      <c r="R2303" s="10"/>
      <c r="S2303" s="164">
        <v>1277234.47</v>
      </c>
      <c r="T2303" s="164">
        <f t="shared" si="916"/>
        <v>27000</v>
      </c>
      <c r="U2303" s="163"/>
      <c r="V2303" s="175"/>
      <c r="W2303" s="10"/>
      <c r="X2303" s="10"/>
      <c r="AB2303" s="10"/>
      <c r="AC2303" s="10"/>
      <c r="AD2303" s="10"/>
      <c r="AE2303" s="10"/>
      <c r="AF2303" s="10"/>
      <c r="AG2303" s="10"/>
      <c r="AH2303" s="10"/>
      <c r="AI2303" s="10"/>
    </row>
    <row r="2304" spans="1:35">
      <c r="A2304" s="10"/>
      <c r="B2304" s="10" t="str">
        <f>+C2304</f>
        <v>Post</v>
      </c>
      <c r="C2304" s="128" t="s">
        <v>1</v>
      </c>
      <c r="D2304" s="128" t="s">
        <v>2117</v>
      </c>
      <c r="E2304" s="128"/>
      <c r="F2304" s="128"/>
      <c r="G2304" s="128" t="s">
        <v>3067</v>
      </c>
      <c r="H2304" s="128"/>
      <c r="I2304" s="10"/>
      <c r="J2304" s="129">
        <f>SUMIF($Y$11:$Y$2484,G2304,J$11:J$2484)</f>
        <v>315984.46999999997</v>
      </c>
      <c r="K2304" s="129">
        <f>SUMIF($Y$11:$Y$2484,G2304,K$11:K$2484)</f>
        <v>0</v>
      </c>
      <c r="L2304" s="129">
        <f>SUMIF($Y$11:$Y$2484,G2304,L$11:L$2484)</f>
        <v>315984.46999999997</v>
      </c>
      <c r="M2304" s="129">
        <f>SUMIF($Y$11:$Y$2484,G2304,M$11:M$2484)</f>
        <v>0</v>
      </c>
      <c r="N2304" s="129">
        <f>SUMIF($Y$11:$Y$2484,G2304,N$11:N$2484)</f>
        <v>315984.46999999997</v>
      </c>
      <c r="O2304" s="129">
        <f>SUMIF($Y$11:$Y$2484,G2304,O$11:O$2484)</f>
        <v>368000</v>
      </c>
      <c r="P2304" s="129">
        <f>SUMIF($Y$11:$Y$2484,G2304,P$11:P$2484)</f>
        <v>52015.53</v>
      </c>
      <c r="Q2304" s="129"/>
      <c r="R2304" s="10"/>
      <c r="S2304" s="129">
        <v>315984.46999999997</v>
      </c>
      <c r="T2304" s="129">
        <f t="shared" si="916"/>
        <v>0</v>
      </c>
      <c r="U2304" s="128"/>
      <c r="V2304" s="175"/>
      <c r="W2304" s="10"/>
      <c r="X2304" s="10"/>
      <c r="Z2304" t="str">
        <f>LEFT(G2304,2)</f>
        <v>61</v>
      </c>
      <c r="AA2304" t="str">
        <f>+Z2304&amp;"00"</f>
        <v>6100</v>
      </c>
      <c r="AB2304" s="10"/>
      <c r="AC2304" s="10"/>
      <c r="AD2304" s="10"/>
      <c r="AE2304" s="10"/>
      <c r="AF2304" s="10"/>
      <c r="AG2304" s="10"/>
      <c r="AH2304" s="10"/>
      <c r="AI2304" s="10"/>
    </row>
    <row r="2305" spans="1:35">
      <c r="A2305" s="10"/>
      <c r="B2305" s="10" t="str">
        <f t="shared" ref="B2305:B2312" si="935">+C2305&amp;E2305</f>
        <v>Post</v>
      </c>
      <c r="C2305" t="s">
        <v>1</v>
      </c>
      <c r="D2305" t="s">
        <v>19</v>
      </c>
      <c r="E2305" t="s">
        <v>214</v>
      </c>
      <c r="G2305" t="s">
        <v>3068</v>
      </c>
      <c r="I2305" s="10"/>
      <c r="J2305" s="107">
        <f>SUMIF(Data!C:C,G2305,Data!Q:Q)</f>
        <v>0</v>
      </c>
      <c r="K2305" s="107">
        <f>SUMIF(Comprometidos!A:A,'Cost Report'!G2305,Comprometidos!E:E)</f>
        <v>0</v>
      </c>
      <c r="L2305" s="107">
        <f t="shared" ref="L2305:L2312" si="936">+J2305+K2305</f>
        <v>0</v>
      </c>
      <c r="M2305" s="107">
        <f t="shared" ref="M2305:M2311" si="937">+O2305-L2305</f>
        <v>0</v>
      </c>
      <c r="N2305" s="107">
        <f t="shared" ref="N2305:N2312" si="938">+L2305+M2305</f>
        <v>0</v>
      </c>
      <c r="O2305" s="107">
        <f>VLOOKUP(G2305,Budget!$E$3:$G$2474,3,0)</f>
        <v>0</v>
      </c>
      <c r="P2305" s="107">
        <f t="shared" ref="P2305:P2312" si="939">+O2305-N2305</f>
        <v>0</v>
      </c>
      <c r="Q2305" s="107"/>
      <c r="R2305" s="10"/>
      <c r="S2305" s="107">
        <v>0</v>
      </c>
      <c r="T2305" s="107">
        <f t="shared" si="916"/>
        <v>0</v>
      </c>
      <c r="U2305" s="107"/>
      <c r="V2305" s="175"/>
      <c r="W2305" s="10"/>
      <c r="X2305" s="10"/>
      <c r="Y2305" t="str">
        <f t="shared" ref="Y2305:Y2312" si="940">LEFT(G2305,4)</f>
        <v>6101</v>
      </c>
      <c r="AB2305" s="10"/>
      <c r="AC2305" s="10"/>
      <c r="AD2305" s="10"/>
      <c r="AE2305" s="10"/>
      <c r="AF2305" s="10"/>
      <c r="AG2305" s="10"/>
      <c r="AH2305" s="10"/>
      <c r="AI2305" s="10"/>
    </row>
    <row r="2306" spans="1:35">
      <c r="A2306" s="10"/>
      <c r="B2306" s="10" t="str">
        <f t="shared" si="935"/>
        <v>PostSHOOT</v>
      </c>
      <c r="C2306" t="s">
        <v>1</v>
      </c>
      <c r="D2306" t="s">
        <v>19</v>
      </c>
      <c r="E2306" t="s">
        <v>236</v>
      </c>
      <c r="F2306" t="s">
        <v>5117</v>
      </c>
      <c r="G2306" t="s">
        <v>3069</v>
      </c>
      <c r="I2306" s="10"/>
      <c r="J2306" s="107">
        <f>SUMIF(Data!C:C,G2306,Data!Q:Q)</f>
        <v>100000</v>
      </c>
      <c r="K2306" s="107">
        <f>SUMIF(Comprometidos!A:A,'Cost Report'!G2306,Comprometidos!E:E)</f>
        <v>0</v>
      </c>
      <c r="L2306" s="107">
        <f t="shared" si="936"/>
        <v>100000</v>
      </c>
      <c r="M2306" s="107">
        <f t="shared" si="937"/>
        <v>0</v>
      </c>
      <c r="N2306" s="107">
        <f t="shared" si="938"/>
        <v>100000</v>
      </c>
      <c r="O2306" s="107">
        <f>VLOOKUP(G2306,Budget!$E$3:$G$2474,3,0)</f>
        <v>100000</v>
      </c>
      <c r="P2306" s="107">
        <f t="shared" si="939"/>
        <v>0</v>
      </c>
      <c r="Q2306" s="107"/>
      <c r="R2306" s="10"/>
      <c r="S2306" s="107">
        <v>100000</v>
      </c>
      <c r="T2306" s="107">
        <f t="shared" si="916"/>
        <v>0</v>
      </c>
      <c r="U2306" s="107"/>
      <c r="V2306" s="175"/>
      <c r="W2306" s="10"/>
      <c r="X2306" s="10"/>
      <c r="Y2306" t="str">
        <f t="shared" si="940"/>
        <v>6101</v>
      </c>
      <c r="AB2306" s="10"/>
      <c r="AC2306" s="10"/>
      <c r="AD2306" s="10"/>
      <c r="AE2306" s="10"/>
      <c r="AF2306" s="10"/>
      <c r="AG2306" s="10"/>
      <c r="AH2306" s="10"/>
      <c r="AI2306" s="10"/>
    </row>
    <row r="2307" spans="1:35">
      <c r="A2307" s="10"/>
      <c r="B2307" s="10" t="str">
        <f t="shared" si="935"/>
        <v>Post</v>
      </c>
      <c r="C2307" t="s">
        <v>1</v>
      </c>
      <c r="D2307" t="s">
        <v>19</v>
      </c>
      <c r="E2307" t="s">
        <v>214</v>
      </c>
      <c r="G2307" t="s">
        <v>3070</v>
      </c>
      <c r="I2307" s="10"/>
      <c r="J2307" s="107">
        <f>SUMIF(Data!C:C,G2307,Data!Q:Q)</f>
        <v>0</v>
      </c>
      <c r="K2307" s="107">
        <f>SUMIF(Comprometidos!A:A,'Cost Report'!G2307,Comprometidos!E:E)</f>
        <v>0</v>
      </c>
      <c r="L2307" s="107">
        <f t="shared" si="936"/>
        <v>0</v>
      </c>
      <c r="M2307" s="107">
        <f t="shared" si="937"/>
        <v>0</v>
      </c>
      <c r="N2307" s="107">
        <f t="shared" si="938"/>
        <v>0</v>
      </c>
      <c r="O2307" s="107">
        <f>VLOOKUP(G2307,Budget!$E$3:$G$2474,3,0)</f>
        <v>0</v>
      </c>
      <c r="P2307" s="107">
        <f t="shared" si="939"/>
        <v>0</v>
      </c>
      <c r="Q2307" s="107"/>
      <c r="R2307" s="10"/>
      <c r="S2307" s="107">
        <v>0</v>
      </c>
      <c r="T2307" s="107">
        <f t="shared" si="916"/>
        <v>0</v>
      </c>
      <c r="U2307" s="107"/>
      <c r="V2307" s="175"/>
      <c r="W2307" s="10"/>
      <c r="X2307" s="10"/>
      <c r="Y2307" t="str">
        <f t="shared" si="940"/>
        <v>6101</v>
      </c>
      <c r="AB2307" s="10"/>
      <c r="AC2307" s="10"/>
      <c r="AD2307" s="10"/>
      <c r="AE2307" s="10"/>
      <c r="AF2307" s="10"/>
      <c r="AG2307" s="10"/>
      <c r="AH2307" s="10"/>
      <c r="AI2307" s="10"/>
    </row>
    <row r="2308" spans="1:35">
      <c r="A2308" s="10"/>
      <c r="B2308" s="10" t="str">
        <f t="shared" si="935"/>
        <v>PostPREP</v>
      </c>
      <c r="C2308" t="s">
        <v>1</v>
      </c>
      <c r="D2308" t="s">
        <v>19</v>
      </c>
      <c r="E2308" t="s">
        <v>234</v>
      </c>
      <c r="F2308" t="s">
        <v>5396</v>
      </c>
      <c r="G2308" t="s">
        <v>3071</v>
      </c>
      <c r="I2308" s="10"/>
      <c r="J2308" s="107">
        <f>SUMIF(Data!C:C,G2308,Data!Q:Q)</f>
        <v>0</v>
      </c>
      <c r="K2308" s="107">
        <f>SUMIF(Comprometidos!A:A,'Cost Report'!G2308,Comprometidos!E:E)</f>
        <v>0</v>
      </c>
      <c r="L2308" s="107">
        <f t="shared" si="936"/>
        <v>0</v>
      </c>
      <c r="M2308" s="107">
        <v>0</v>
      </c>
      <c r="N2308" s="107">
        <f t="shared" si="938"/>
        <v>0</v>
      </c>
      <c r="O2308" s="107">
        <f>VLOOKUP(G2308,Budget!$E$3:$G$2474,3,0)</f>
        <v>10000</v>
      </c>
      <c r="P2308" s="107">
        <f t="shared" si="939"/>
        <v>10000</v>
      </c>
      <c r="Q2308" s="107"/>
      <c r="R2308" s="10"/>
      <c r="S2308" s="107">
        <v>0</v>
      </c>
      <c r="T2308" s="107">
        <f t="shared" si="916"/>
        <v>0</v>
      </c>
      <c r="U2308" s="107"/>
      <c r="V2308" s="175"/>
      <c r="W2308" s="10"/>
      <c r="X2308" s="10"/>
      <c r="Y2308" t="str">
        <f t="shared" si="940"/>
        <v>6101</v>
      </c>
      <c r="AB2308" s="10"/>
      <c r="AC2308" s="10"/>
      <c r="AD2308" s="10"/>
      <c r="AE2308" s="10"/>
      <c r="AF2308" s="10"/>
      <c r="AG2308" s="10"/>
      <c r="AH2308" s="10"/>
      <c r="AI2308" s="10"/>
    </row>
    <row r="2309" spans="1:35">
      <c r="A2309" s="10"/>
      <c r="B2309" s="10" t="str">
        <f t="shared" si="935"/>
        <v>PostSHOOT</v>
      </c>
      <c r="C2309" t="s">
        <v>1</v>
      </c>
      <c r="D2309" t="s">
        <v>19</v>
      </c>
      <c r="E2309" t="s">
        <v>236</v>
      </c>
      <c r="F2309" t="s">
        <v>5117</v>
      </c>
      <c r="G2309" t="s">
        <v>3072</v>
      </c>
      <c r="I2309" s="10"/>
      <c r="J2309" s="107">
        <f>SUMIF(Data!C:C,G2309,Data!Q:Q)</f>
        <v>70000</v>
      </c>
      <c r="K2309" s="107">
        <f>SUMIF(Comprometidos!A:A,'Cost Report'!G2309,Comprometidos!E:E)</f>
        <v>0</v>
      </c>
      <c r="L2309" s="107">
        <f t="shared" si="936"/>
        <v>70000</v>
      </c>
      <c r="M2309" s="107">
        <f t="shared" si="937"/>
        <v>0</v>
      </c>
      <c r="N2309" s="107">
        <f t="shared" si="938"/>
        <v>70000</v>
      </c>
      <c r="O2309" s="107">
        <f>VLOOKUP(G2309,Budget!$E$3:$G$2474,3,0)</f>
        <v>70000</v>
      </c>
      <c r="P2309" s="107">
        <f t="shared" si="939"/>
        <v>0</v>
      </c>
      <c r="Q2309" s="107"/>
      <c r="R2309" s="10"/>
      <c r="S2309" s="107">
        <v>70000</v>
      </c>
      <c r="T2309" s="107">
        <f t="shared" si="916"/>
        <v>0</v>
      </c>
      <c r="U2309" s="107"/>
      <c r="V2309" s="175"/>
      <c r="W2309" s="10"/>
      <c r="X2309" s="10"/>
      <c r="Y2309" t="str">
        <f t="shared" si="940"/>
        <v>6101</v>
      </c>
      <c r="AB2309" s="10"/>
      <c r="AC2309" s="10"/>
      <c r="AD2309" s="10"/>
      <c r="AE2309" s="10"/>
      <c r="AF2309" s="10"/>
      <c r="AG2309" s="10"/>
      <c r="AH2309" s="10"/>
      <c r="AI2309" s="10"/>
    </row>
    <row r="2310" spans="1:35">
      <c r="A2310" s="10"/>
      <c r="B2310" s="10" t="str">
        <f t="shared" si="935"/>
        <v>Post2nd Unit</v>
      </c>
      <c r="C2310" t="s">
        <v>1</v>
      </c>
      <c r="D2310" t="s">
        <v>19</v>
      </c>
      <c r="E2310" t="s">
        <v>1419</v>
      </c>
      <c r="F2310" t="s">
        <v>5117</v>
      </c>
      <c r="G2310" t="s">
        <v>3073</v>
      </c>
      <c r="I2310" s="10"/>
      <c r="J2310" s="107">
        <f>SUMIF(Data!C:C,G2310,Data!Q:Q)</f>
        <v>20000</v>
      </c>
      <c r="K2310" s="107">
        <f>SUMIF(Comprometidos!A:A,'Cost Report'!G2310,Comprometidos!E:E)</f>
        <v>0</v>
      </c>
      <c r="L2310" s="107">
        <f t="shared" si="936"/>
        <v>20000</v>
      </c>
      <c r="M2310" s="107">
        <f t="shared" si="937"/>
        <v>0</v>
      </c>
      <c r="N2310" s="107">
        <f t="shared" si="938"/>
        <v>20000</v>
      </c>
      <c r="O2310" s="107">
        <f>VLOOKUP(G2310,Budget!$E$3:$G$2474,3,0)</f>
        <v>20000</v>
      </c>
      <c r="P2310" s="107">
        <f t="shared" si="939"/>
        <v>0</v>
      </c>
      <c r="Q2310" s="107"/>
      <c r="R2310" s="10"/>
      <c r="S2310" s="107">
        <v>20000</v>
      </c>
      <c r="T2310" s="107">
        <f t="shared" si="916"/>
        <v>0</v>
      </c>
      <c r="U2310" s="107"/>
      <c r="V2310" s="175"/>
      <c r="W2310" s="10"/>
      <c r="X2310" s="10"/>
      <c r="Y2310" t="str">
        <f t="shared" si="940"/>
        <v>6101</v>
      </c>
      <c r="AB2310" s="10"/>
      <c r="AC2310" s="10"/>
      <c r="AD2310" s="10"/>
      <c r="AE2310" s="10"/>
      <c r="AF2310" s="10"/>
      <c r="AG2310" s="10"/>
      <c r="AH2310" s="10"/>
      <c r="AI2310" s="10"/>
    </row>
    <row r="2311" spans="1:35">
      <c r="A2311" s="10"/>
      <c r="B2311" s="10" t="str">
        <f t="shared" si="935"/>
        <v>Post</v>
      </c>
      <c r="C2311" t="s">
        <v>1</v>
      </c>
      <c r="D2311" t="s">
        <v>19</v>
      </c>
      <c r="E2311" t="s">
        <v>214</v>
      </c>
      <c r="G2311" t="s">
        <v>3074</v>
      </c>
      <c r="I2311" s="10"/>
      <c r="J2311" s="107">
        <f>SUMIF(Data!C:C,G2311,Data!Q:Q)</f>
        <v>0</v>
      </c>
      <c r="K2311" s="107">
        <f>SUMIF(Comprometidos!A:A,'Cost Report'!G2311,Comprometidos!E:E)</f>
        <v>0</v>
      </c>
      <c r="L2311" s="107">
        <f t="shared" si="936"/>
        <v>0</v>
      </c>
      <c r="M2311" s="107">
        <f t="shared" si="937"/>
        <v>0</v>
      </c>
      <c r="N2311" s="107">
        <f t="shared" si="938"/>
        <v>0</v>
      </c>
      <c r="O2311" s="107">
        <f>VLOOKUP(G2311,Budget!$E$3:$G$2474,3,0)</f>
        <v>0</v>
      </c>
      <c r="P2311" s="107">
        <f t="shared" si="939"/>
        <v>0</v>
      </c>
      <c r="Q2311" s="107"/>
      <c r="R2311" s="10"/>
      <c r="S2311" s="107">
        <v>0</v>
      </c>
      <c r="T2311" s="107">
        <f t="shared" si="916"/>
        <v>0</v>
      </c>
      <c r="U2311" s="107"/>
      <c r="V2311" s="175"/>
      <c r="W2311" s="10"/>
      <c r="X2311" s="10"/>
      <c r="Y2311" t="str">
        <f t="shared" si="940"/>
        <v>6101</v>
      </c>
      <c r="AB2311" s="10"/>
      <c r="AC2311" s="10"/>
      <c r="AD2311" s="10"/>
      <c r="AE2311" s="10"/>
      <c r="AF2311" s="10"/>
      <c r="AG2311" s="10"/>
      <c r="AH2311" s="10"/>
      <c r="AI2311" s="10"/>
    </row>
    <row r="2312" spans="1:35">
      <c r="A2312" s="10"/>
      <c r="B2312" s="10" t="str">
        <f t="shared" si="935"/>
        <v>PostPOST</v>
      </c>
      <c r="C2312" t="s">
        <v>1</v>
      </c>
      <c r="D2312" t="s">
        <v>19</v>
      </c>
      <c r="E2312" t="s">
        <v>468</v>
      </c>
      <c r="F2312" t="s">
        <v>5117</v>
      </c>
      <c r="G2312" t="s">
        <v>3075</v>
      </c>
      <c r="I2312" s="10"/>
      <c r="J2312" s="107">
        <f>SUMIF(Data!C:C,G2312,Data!Q:Q)</f>
        <v>125984.47</v>
      </c>
      <c r="K2312" s="107">
        <f>SUMIF(Comprometidos!A:A,'Cost Report'!G2312,Comprometidos!E:E)</f>
        <v>0</v>
      </c>
      <c r="L2312" s="107">
        <f t="shared" si="936"/>
        <v>125984.47</v>
      </c>
      <c r="M2312" s="107">
        <v>0</v>
      </c>
      <c r="N2312" s="107">
        <f t="shared" si="938"/>
        <v>125984.47</v>
      </c>
      <c r="O2312" s="107">
        <f>VLOOKUP(G2312,Budget!$E$3:$G$2474,3,0)</f>
        <v>168000</v>
      </c>
      <c r="P2312" s="107">
        <f t="shared" si="939"/>
        <v>42015.53</v>
      </c>
      <c r="Q2312" s="107"/>
      <c r="R2312" s="10"/>
      <c r="S2312" s="107">
        <v>125984.47</v>
      </c>
      <c r="T2312" s="107">
        <f t="shared" si="916"/>
        <v>0</v>
      </c>
      <c r="U2312" s="107"/>
      <c r="V2312" s="175"/>
      <c r="W2312" s="10"/>
      <c r="X2312" s="10"/>
      <c r="Y2312" t="str">
        <f t="shared" si="940"/>
        <v>6101</v>
      </c>
      <c r="AB2312" s="10"/>
      <c r="AC2312" s="10"/>
      <c r="AD2312" s="10"/>
      <c r="AE2312" s="10"/>
      <c r="AF2312" s="10"/>
      <c r="AG2312" s="10"/>
      <c r="AH2312" s="10"/>
      <c r="AI2312" s="10"/>
    </row>
    <row r="2313" spans="1:35">
      <c r="A2313" s="10"/>
      <c r="B2313" s="10" t="str">
        <f>+C2313</f>
        <v>Post</v>
      </c>
      <c r="C2313" s="128" t="s">
        <v>1</v>
      </c>
      <c r="D2313" s="128" t="s">
        <v>2117</v>
      </c>
      <c r="E2313" s="128"/>
      <c r="F2313" s="128"/>
      <c r="G2313" s="128" t="s">
        <v>3076</v>
      </c>
      <c r="H2313" s="128"/>
      <c r="I2313" s="10"/>
      <c r="J2313" s="129">
        <f>SUMIF($Y$11:$Y$2484,G2313,J$11:J$2484)</f>
        <v>96000</v>
      </c>
      <c r="K2313" s="129">
        <f>SUMIF($Y$11:$Y$2484,G2313,K$11:K$2484)</f>
        <v>0</v>
      </c>
      <c r="L2313" s="129">
        <f>SUMIF($Y$11:$Y$2484,G2313,L$11:L$2484)</f>
        <v>96000</v>
      </c>
      <c r="M2313" s="129">
        <f>SUMIF($Y$11:$Y$2484,G2313,M$11:M$2484)</f>
        <v>0</v>
      </c>
      <c r="N2313" s="129">
        <f>SUMIF($Y$11:$Y$2484,G2313,N$11:N$2484)</f>
        <v>96000</v>
      </c>
      <c r="O2313" s="129">
        <f>SUMIF($Y$11:$Y$2484,G2313,O$11:O$2484)</f>
        <v>240000</v>
      </c>
      <c r="P2313" s="129">
        <f>SUMIF($Y$11:$Y$2484,G2313,P$11:P$2484)</f>
        <v>144000</v>
      </c>
      <c r="Q2313" s="129"/>
      <c r="R2313" s="10"/>
      <c r="S2313" s="129">
        <v>96000</v>
      </c>
      <c r="T2313" s="129">
        <f t="shared" si="916"/>
        <v>0</v>
      </c>
      <c r="U2313" s="128"/>
      <c r="V2313" s="175"/>
      <c r="W2313" s="10"/>
      <c r="X2313" s="10"/>
      <c r="Z2313" t="str">
        <f>LEFT(G2313,2)</f>
        <v>61</v>
      </c>
      <c r="AA2313" t="str">
        <f>+Z2313&amp;"00"</f>
        <v>6100</v>
      </c>
      <c r="AB2313" s="10"/>
      <c r="AC2313" s="10"/>
      <c r="AD2313" s="10"/>
      <c r="AE2313" s="10"/>
      <c r="AF2313" s="10"/>
      <c r="AG2313" s="10"/>
      <c r="AH2313" s="10"/>
      <c r="AI2313" s="10"/>
    </row>
    <row r="2314" spans="1:35">
      <c r="A2314" s="10"/>
      <c r="B2314" s="10" t="str">
        <f t="shared" ref="B2314:B2315" si="941">+C2314&amp;E2314</f>
        <v>Post</v>
      </c>
      <c r="C2314" t="s">
        <v>1</v>
      </c>
      <c r="D2314" t="s">
        <v>19</v>
      </c>
      <c r="E2314" t="s">
        <v>214</v>
      </c>
      <c r="G2314" t="s">
        <v>3077</v>
      </c>
      <c r="I2314" s="10"/>
      <c r="J2314" s="107">
        <f>SUMIF(Data!C:C,G2314,Data!Q:Q)</f>
        <v>0</v>
      </c>
      <c r="K2314" s="107">
        <f>SUMIF(Comprometidos!A:A,'Cost Report'!G2314,Comprometidos!E:E)</f>
        <v>0</v>
      </c>
      <c r="L2314" s="107">
        <f t="shared" ref="L2314:L2315" si="942">+J2314+K2314</f>
        <v>0</v>
      </c>
      <c r="M2314" s="107">
        <f t="shared" ref="M2314" si="943">+O2314-L2314</f>
        <v>0</v>
      </c>
      <c r="N2314" s="107">
        <f t="shared" ref="N2314:N2315" si="944">+L2314+M2314</f>
        <v>0</v>
      </c>
      <c r="O2314" s="107">
        <f>VLOOKUP(G2314,Budget!$E$3:$G$2474,3,0)</f>
        <v>0</v>
      </c>
      <c r="P2314" s="107">
        <f t="shared" ref="P2314:P2315" si="945">+O2314-N2314</f>
        <v>0</v>
      </c>
      <c r="Q2314" s="107"/>
      <c r="R2314" s="10"/>
      <c r="S2314" s="107">
        <v>0</v>
      </c>
      <c r="T2314" s="107">
        <f t="shared" si="916"/>
        <v>0</v>
      </c>
      <c r="U2314" s="107"/>
      <c r="V2314" s="175"/>
      <c r="W2314" s="10"/>
      <c r="X2314" s="10"/>
      <c r="Y2314" t="str">
        <f t="shared" ref="Y2314:Y2315" si="946">LEFT(G2314,4)</f>
        <v>6102</v>
      </c>
      <c r="AB2314" s="10"/>
      <c r="AC2314" s="10"/>
      <c r="AD2314" s="10"/>
      <c r="AE2314" s="10"/>
      <c r="AF2314" s="10"/>
      <c r="AG2314" s="10"/>
      <c r="AH2314" s="10"/>
      <c r="AI2314" s="10"/>
    </row>
    <row r="2315" spans="1:35">
      <c r="A2315" s="10"/>
      <c r="B2315" s="10" t="str">
        <f t="shared" si="941"/>
        <v>PostPOST</v>
      </c>
      <c r="C2315" t="s">
        <v>1</v>
      </c>
      <c r="D2315" t="s">
        <v>19</v>
      </c>
      <c r="E2315" t="s">
        <v>468</v>
      </c>
      <c r="F2315" t="s">
        <v>5117</v>
      </c>
      <c r="G2315" t="s">
        <v>3078</v>
      </c>
      <c r="I2315" s="10"/>
      <c r="J2315" s="107">
        <f>SUMIF(Data!C:C,G2315,Data!Q:Q)</f>
        <v>96000</v>
      </c>
      <c r="K2315" s="107">
        <f>SUMIF(Comprometidos!A:A,'Cost Report'!G2315,Comprometidos!E:E)</f>
        <v>0</v>
      </c>
      <c r="L2315" s="107">
        <f t="shared" si="942"/>
        <v>96000</v>
      </c>
      <c r="M2315" s="107">
        <v>0</v>
      </c>
      <c r="N2315" s="107">
        <f t="shared" si="944"/>
        <v>96000</v>
      </c>
      <c r="O2315" s="107">
        <f>VLOOKUP(G2315,Budget!$E$3:$G$2474,3,0)</f>
        <v>240000</v>
      </c>
      <c r="P2315" s="107">
        <f t="shared" si="945"/>
        <v>144000</v>
      </c>
      <c r="Q2315" s="107"/>
      <c r="R2315" s="10"/>
      <c r="S2315" s="107">
        <v>96000</v>
      </c>
      <c r="T2315" s="107">
        <f t="shared" si="916"/>
        <v>0</v>
      </c>
      <c r="U2315" s="107"/>
      <c r="V2315" s="175"/>
      <c r="W2315" s="10"/>
      <c r="X2315" s="10"/>
      <c r="Y2315" t="str">
        <f t="shared" si="946"/>
        <v>6102</v>
      </c>
      <c r="AB2315" s="10"/>
      <c r="AC2315" s="10"/>
      <c r="AD2315" s="10"/>
      <c r="AE2315" s="10"/>
      <c r="AF2315" s="10"/>
      <c r="AG2315" s="10"/>
      <c r="AH2315" s="10"/>
      <c r="AI2315" s="10"/>
    </row>
    <row r="2316" spans="1:35">
      <c r="A2316" s="10"/>
      <c r="B2316" s="10" t="str">
        <f>+C2316</f>
        <v>Post</v>
      </c>
      <c r="C2316" s="128" t="s">
        <v>1</v>
      </c>
      <c r="D2316" s="128" t="s">
        <v>2117</v>
      </c>
      <c r="E2316" s="128"/>
      <c r="F2316" s="128"/>
      <c r="G2316" s="128" t="s">
        <v>3079</v>
      </c>
      <c r="H2316" s="128"/>
      <c r="I2316" s="10"/>
      <c r="J2316" s="129">
        <f>SUMIF($Y$11:$Y$2484,G2316,J$11:J$2484)</f>
        <v>0</v>
      </c>
      <c r="K2316" s="129">
        <f>SUMIF($Y$11:$Y$2484,G2316,K$11:K$2484)</f>
        <v>0</v>
      </c>
      <c r="L2316" s="129">
        <f>SUMIF($Y$11:$Y$2484,G2316,L$11:L$2484)</f>
        <v>0</v>
      </c>
      <c r="M2316" s="129">
        <f>SUMIF($Y$11:$Y$2484,G2316,M$11:M$2484)</f>
        <v>0</v>
      </c>
      <c r="N2316" s="129">
        <f>SUMIF($Y$11:$Y$2484,G2316,N$11:N$2484)</f>
        <v>0</v>
      </c>
      <c r="O2316" s="129">
        <f>SUMIF($Y$11:$Y$2484,G2316,O$11:O$2484)</f>
        <v>216000</v>
      </c>
      <c r="P2316" s="129">
        <f>SUMIF($Y$11:$Y$2484,G2316,P$11:P$2484)</f>
        <v>216000</v>
      </c>
      <c r="Q2316" s="129"/>
      <c r="R2316" s="10"/>
      <c r="S2316" s="129">
        <v>0</v>
      </c>
      <c r="T2316" s="129">
        <f t="shared" si="916"/>
        <v>0</v>
      </c>
      <c r="U2316" s="128"/>
      <c r="V2316" s="175"/>
      <c r="W2316" s="10"/>
      <c r="X2316" s="10"/>
      <c r="Z2316" t="str">
        <f>LEFT(G2316,2)</f>
        <v>61</v>
      </c>
      <c r="AA2316" t="str">
        <f>+Z2316&amp;"00"</f>
        <v>6100</v>
      </c>
      <c r="AB2316" s="10"/>
      <c r="AC2316" s="10"/>
      <c r="AD2316" s="10"/>
      <c r="AE2316" s="10"/>
      <c r="AF2316" s="10"/>
      <c r="AG2316" s="10"/>
      <c r="AH2316" s="10"/>
      <c r="AI2316" s="10"/>
    </row>
    <row r="2317" spans="1:35">
      <c r="A2317" s="10"/>
      <c r="B2317" s="10" t="str">
        <f t="shared" ref="B2317:B2318" si="947">+C2317&amp;E2317</f>
        <v>Post</v>
      </c>
      <c r="C2317" t="s">
        <v>1</v>
      </c>
      <c r="D2317" t="s">
        <v>19</v>
      </c>
      <c r="E2317" t="s">
        <v>214</v>
      </c>
      <c r="G2317" t="s">
        <v>3080</v>
      </c>
      <c r="I2317" s="10"/>
      <c r="J2317" s="107">
        <f>SUMIF(Data!C:C,G2317,Data!Q:Q)</f>
        <v>0</v>
      </c>
      <c r="K2317" s="107">
        <f>SUMIF(Comprometidos!A:A,'Cost Report'!G2317,Comprometidos!E:E)</f>
        <v>0</v>
      </c>
      <c r="L2317" s="107">
        <f t="shared" ref="L2317:L2318" si="948">+J2317+K2317</f>
        <v>0</v>
      </c>
      <c r="M2317" s="107">
        <f t="shared" ref="M2317" si="949">+O2317-L2317</f>
        <v>0</v>
      </c>
      <c r="N2317" s="107">
        <f t="shared" ref="N2317:N2318" si="950">+L2317+M2317</f>
        <v>0</v>
      </c>
      <c r="O2317" s="107">
        <f>VLOOKUP(G2317,Budget!$E$3:$G$2474,3,0)</f>
        <v>0</v>
      </c>
      <c r="P2317" s="107">
        <f t="shared" ref="P2317:P2318" si="951">+O2317-N2317</f>
        <v>0</v>
      </c>
      <c r="Q2317" s="107"/>
      <c r="R2317" s="10"/>
      <c r="S2317" s="107">
        <v>0</v>
      </c>
      <c r="T2317" s="107">
        <f t="shared" si="916"/>
        <v>0</v>
      </c>
      <c r="U2317" s="107"/>
      <c r="V2317" s="175"/>
      <c r="W2317" s="10"/>
      <c r="X2317" s="10"/>
      <c r="Y2317" t="str">
        <f t="shared" ref="Y2317:Y2318" si="952">LEFT(G2317,4)</f>
        <v>6103</v>
      </c>
      <c r="AB2317" s="10"/>
      <c r="AC2317" s="10"/>
      <c r="AD2317" s="10"/>
      <c r="AE2317" s="10"/>
      <c r="AF2317" s="10"/>
      <c r="AG2317" s="10"/>
      <c r="AH2317" s="10"/>
      <c r="AI2317" s="10"/>
    </row>
    <row r="2318" spans="1:35">
      <c r="A2318" s="10"/>
      <c r="B2318" s="10" t="str">
        <f t="shared" si="947"/>
        <v>PostPOST</v>
      </c>
      <c r="C2318" t="s">
        <v>1</v>
      </c>
      <c r="D2318" t="s">
        <v>19</v>
      </c>
      <c r="E2318" t="s">
        <v>468</v>
      </c>
      <c r="F2318" t="s">
        <v>5117</v>
      </c>
      <c r="G2318" t="s">
        <v>3081</v>
      </c>
      <c r="I2318" s="10"/>
      <c r="J2318" s="107">
        <f>SUMIF(Data!C:C,G2318,Data!Q:Q)</f>
        <v>0</v>
      </c>
      <c r="K2318" s="107">
        <f>SUMIF(Comprometidos!A:A,'Cost Report'!G2318,Comprometidos!E:E)</f>
        <v>0</v>
      </c>
      <c r="L2318" s="107">
        <f t="shared" si="948"/>
        <v>0</v>
      </c>
      <c r="M2318" s="107">
        <v>0</v>
      </c>
      <c r="N2318" s="107">
        <f t="shared" si="950"/>
        <v>0</v>
      </c>
      <c r="O2318" s="107">
        <f>VLOOKUP(G2318,Budget!$E$3:$G$2474,3,0)</f>
        <v>216000</v>
      </c>
      <c r="P2318" s="107">
        <f t="shared" si="951"/>
        <v>216000</v>
      </c>
      <c r="Q2318" s="107"/>
      <c r="R2318" s="10"/>
      <c r="S2318" s="107">
        <v>0</v>
      </c>
      <c r="T2318" s="107">
        <f t="shared" si="916"/>
        <v>0</v>
      </c>
      <c r="U2318" s="107"/>
      <c r="V2318" s="175"/>
      <c r="W2318" s="10"/>
      <c r="X2318" s="10"/>
      <c r="Y2318" t="str">
        <f t="shared" si="952"/>
        <v>6103</v>
      </c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</row>
    <row r="2319" spans="1:35">
      <c r="A2319" s="10"/>
      <c r="B2319" s="10" t="str">
        <f>+C2319</f>
        <v>Post</v>
      </c>
      <c r="C2319" s="128" t="s">
        <v>1</v>
      </c>
      <c r="D2319" s="128" t="s">
        <v>2117</v>
      </c>
      <c r="E2319" s="128"/>
      <c r="F2319" s="128"/>
      <c r="G2319" s="128" t="s">
        <v>1288</v>
      </c>
      <c r="H2319" s="128"/>
      <c r="I2319" s="10"/>
      <c r="J2319" s="129">
        <f>SUMIF($Y$11:$Y$2484,G2319,J$11:J$2484)</f>
        <v>727850</v>
      </c>
      <c r="K2319" s="129">
        <f>SUMIF($Y$11:$Y$2484,G2319,K$11:K$2484)</f>
        <v>0</v>
      </c>
      <c r="L2319" s="129">
        <f>SUMIF($Y$11:$Y$2484,G2319,L$11:L$2484)</f>
        <v>727850</v>
      </c>
      <c r="M2319" s="129">
        <f>SUMIF($Y$11:$Y$2484,G2319,M$11:M$2484)</f>
        <v>0</v>
      </c>
      <c r="N2319" s="129">
        <f>SUMIF($Y$11:$Y$2484,G2319,N$11:N$2484)</f>
        <v>727850</v>
      </c>
      <c r="O2319" s="129">
        <f>SUMIF($Y$11:$Y$2484,G2319,O$11:O$2484)</f>
        <v>1127850</v>
      </c>
      <c r="P2319" s="129">
        <f>SUMIF($Y$11:$Y$2484,G2319,P$11:P$2484)</f>
        <v>400000</v>
      </c>
      <c r="Q2319" s="129"/>
      <c r="R2319" s="10"/>
      <c r="S2319" s="129">
        <v>727850</v>
      </c>
      <c r="T2319" s="129">
        <f t="shared" si="916"/>
        <v>0</v>
      </c>
      <c r="U2319" s="128"/>
      <c r="V2319" s="175"/>
      <c r="W2319" s="10"/>
      <c r="X2319" s="10"/>
      <c r="Y2319" s="10"/>
      <c r="Z2319" t="str">
        <f>LEFT(G2319,2)</f>
        <v>61</v>
      </c>
      <c r="AA2319" t="str">
        <f>+Z2319&amp;"00"</f>
        <v>6100</v>
      </c>
      <c r="AB2319" s="10"/>
      <c r="AC2319" s="10"/>
      <c r="AD2319" s="10"/>
      <c r="AE2319" s="10"/>
      <c r="AF2319" s="10"/>
      <c r="AG2319" s="10"/>
      <c r="AH2319" s="10"/>
      <c r="AI2319" s="10"/>
    </row>
    <row r="2320" spans="1:35">
      <c r="A2320" s="10"/>
      <c r="B2320" s="10" t="str">
        <f t="shared" ref="B2320:B2383" si="953">+C2320&amp;E2320</f>
        <v>Post</v>
      </c>
      <c r="C2320" t="s">
        <v>1</v>
      </c>
      <c r="D2320" t="s">
        <v>19</v>
      </c>
      <c r="E2320" t="s">
        <v>214</v>
      </c>
      <c r="G2320" t="s">
        <v>1289</v>
      </c>
      <c r="I2320" s="10"/>
      <c r="J2320" s="107">
        <f>SUMIF(Data!C:C,G2320,Data!Q:Q)</f>
        <v>0</v>
      </c>
      <c r="K2320" s="107">
        <f>SUMIF(Comprometidos!A:A,'Cost Report'!G2320,Comprometidos!E:E)</f>
        <v>0</v>
      </c>
      <c r="L2320" s="107">
        <f t="shared" ref="L2320:L2382" si="954">+J2320+K2320</f>
        <v>0</v>
      </c>
      <c r="M2320" s="107">
        <f t="shared" ref="M2320:M2323" si="955">+O2320-L2320</f>
        <v>0</v>
      </c>
      <c r="N2320" s="107">
        <f t="shared" ref="N2320:N2382" si="956">+L2320+M2320</f>
        <v>0</v>
      </c>
      <c r="O2320" s="107">
        <f>VLOOKUP(G2320,Budget!$E$3:$G$2474,3,0)</f>
        <v>0</v>
      </c>
      <c r="P2320" s="107">
        <f t="shared" ref="P2320:P2382" si="957">+O2320-N2320</f>
        <v>0</v>
      </c>
      <c r="Q2320" s="107"/>
      <c r="R2320" s="10"/>
      <c r="S2320" s="107">
        <v>0</v>
      </c>
      <c r="T2320" s="107">
        <f t="shared" si="916"/>
        <v>0</v>
      </c>
      <c r="U2320" s="107"/>
      <c r="V2320" s="175"/>
      <c r="W2320" s="10"/>
      <c r="X2320" s="10"/>
      <c r="Y2320" t="str">
        <f t="shared" ref="Y2320:Y2383" si="958">LEFT(G2320,4)</f>
        <v>6136</v>
      </c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</row>
    <row r="2321" spans="1:35">
      <c r="A2321" s="10"/>
      <c r="B2321" s="10" t="str">
        <f t="shared" si="953"/>
        <v>Post</v>
      </c>
      <c r="C2321" t="s">
        <v>1</v>
      </c>
      <c r="D2321" t="s">
        <v>19</v>
      </c>
      <c r="E2321" t="s">
        <v>214</v>
      </c>
      <c r="G2321" t="s">
        <v>1290</v>
      </c>
      <c r="I2321" s="10"/>
      <c r="J2321" s="107">
        <f>SUMIF(Data!C:C,G2321,Data!Q:Q)</f>
        <v>0</v>
      </c>
      <c r="K2321" s="107">
        <f>SUMIF(Comprometidos!A:A,'Cost Report'!G2321,Comprometidos!E:E)</f>
        <v>0</v>
      </c>
      <c r="L2321" s="107">
        <f t="shared" si="954"/>
        <v>0</v>
      </c>
      <c r="M2321" s="107">
        <f t="shared" si="955"/>
        <v>0</v>
      </c>
      <c r="N2321" s="107">
        <f t="shared" si="956"/>
        <v>0</v>
      </c>
      <c r="O2321" s="107">
        <f>VLOOKUP(G2321,Budget!$E$3:$G$2474,3,0)</f>
        <v>0</v>
      </c>
      <c r="P2321" s="107">
        <f t="shared" si="957"/>
        <v>0</v>
      </c>
      <c r="Q2321" s="107"/>
      <c r="R2321" s="10"/>
      <c r="S2321" s="107">
        <v>0</v>
      </c>
      <c r="T2321" s="107">
        <f t="shared" si="916"/>
        <v>0</v>
      </c>
      <c r="U2321" s="107"/>
      <c r="V2321" s="175"/>
      <c r="W2321" s="10"/>
      <c r="X2321" s="10"/>
      <c r="Y2321" t="str">
        <f t="shared" si="958"/>
        <v>6136</v>
      </c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</row>
    <row r="2322" spans="1:35">
      <c r="A2322" s="10"/>
      <c r="B2322" s="10" t="str">
        <f t="shared" si="953"/>
        <v>PostPOST</v>
      </c>
      <c r="C2322" t="s">
        <v>1</v>
      </c>
      <c r="D2322" t="s">
        <v>19</v>
      </c>
      <c r="E2322" t="s">
        <v>468</v>
      </c>
      <c r="F2322" t="s">
        <v>5117</v>
      </c>
      <c r="G2322" t="s">
        <v>1291</v>
      </c>
      <c r="I2322" s="10"/>
      <c r="J2322" s="107">
        <f>SUMIF(Data!C:C,G2322,Data!Q:Q)</f>
        <v>0</v>
      </c>
      <c r="K2322" s="107">
        <f>SUMIF(Comprometidos!A:A,'Cost Report'!G2322,Comprometidos!E:E)</f>
        <v>0</v>
      </c>
      <c r="L2322" s="107">
        <f t="shared" si="954"/>
        <v>0</v>
      </c>
      <c r="M2322" s="107">
        <v>0</v>
      </c>
      <c r="N2322" s="107">
        <f t="shared" si="956"/>
        <v>0</v>
      </c>
      <c r="O2322" s="107">
        <f>VLOOKUP(G2322,Budget!$E$3:$G$2474,3,0)</f>
        <v>400000</v>
      </c>
      <c r="P2322" s="107">
        <f t="shared" si="957"/>
        <v>400000</v>
      </c>
      <c r="Q2322" s="107"/>
      <c r="R2322" s="10"/>
      <c r="S2322" s="107">
        <v>0</v>
      </c>
      <c r="T2322" s="107">
        <f t="shared" si="916"/>
        <v>0</v>
      </c>
      <c r="U2322" s="107"/>
      <c r="V2322" s="175"/>
      <c r="W2322" s="10"/>
      <c r="X2322" s="10"/>
      <c r="Y2322" t="str">
        <f t="shared" si="958"/>
        <v>6136</v>
      </c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</row>
    <row r="2323" spans="1:35">
      <c r="A2323" s="10"/>
      <c r="B2323" s="10" t="str">
        <f t="shared" si="953"/>
        <v>Post</v>
      </c>
      <c r="C2323" t="s">
        <v>1</v>
      </c>
      <c r="D2323" t="s">
        <v>19</v>
      </c>
      <c r="E2323" t="s">
        <v>214</v>
      </c>
      <c r="G2323" t="s">
        <v>1292</v>
      </c>
      <c r="I2323" s="10"/>
      <c r="J2323" s="107">
        <f>SUMIF(Data!C:C,G2323,Data!Q:Q)</f>
        <v>0</v>
      </c>
      <c r="K2323" s="107">
        <f>SUMIF(Comprometidos!A:A,'Cost Report'!G2323,Comprometidos!E:E)</f>
        <v>0</v>
      </c>
      <c r="L2323" s="107">
        <f t="shared" si="954"/>
        <v>0</v>
      </c>
      <c r="M2323" s="107">
        <f t="shared" si="955"/>
        <v>0</v>
      </c>
      <c r="N2323" s="107">
        <f t="shared" si="956"/>
        <v>0</v>
      </c>
      <c r="O2323" s="107">
        <f>VLOOKUP(G2323,Budget!$E$3:$G$2474,3,0)</f>
        <v>0</v>
      </c>
      <c r="P2323" s="107">
        <f t="shared" si="957"/>
        <v>0</v>
      </c>
      <c r="Q2323" s="107"/>
      <c r="R2323" s="10"/>
      <c r="S2323" s="107">
        <v>0</v>
      </c>
      <c r="T2323" s="107">
        <f t="shared" si="916"/>
        <v>0</v>
      </c>
      <c r="U2323" s="107"/>
      <c r="V2323" s="175"/>
      <c r="W2323" s="10"/>
      <c r="X2323" s="10"/>
      <c r="Y2323" t="str">
        <f t="shared" si="958"/>
        <v>6136</v>
      </c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</row>
    <row r="2324" spans="1:35">
      <c r="A2324" s="10"/>
      <c r="B2324" s="10" t="str">
        <f t="shared" si="953"/>
        <v>PostSHOOT</v>
      </c>
      <c r="C2324" t="s">
        <v>1</v>
      </c>
      <c r="D2324" t="s">
        <v>19</v>
      </c>
      <c r="E2324" t="s">
        <v>236</v>
      </c>
      <c r="G2324" t="s">
        <v>1293</v>
      </c>
      <c r="I2324" s="10"/>
      <c r="J2324" s="107">
        <f>SUMIF(Data!C:C,G2324,Data!Q:Q)</f>
        <v>727850</v>
      </c>
      <c r="K2324" s="107">
        <f>SUMIF(Comprometidos!A:A,'Cost Report'!G2324,Comprometidos!E:E)</f>
        <v>0</v>
      </c>
      <c r="L2324" s="107">
        <f t="shared" si="954"/>
        <v>727850</v>
      </c>
      <c r="M2324" s="107">
        <v>0</v>
      </c>
      <c r="N2324" s="107">
        <f t="shared" si="956"/>
        <v>727850</v>
      </c>
      <c r="O2324" s="107">
        <f>VLOOKUP(G2324,Budget!$E$3:$G$2474,3,0)</f>
        <v>100000</v>
      </c>
      <c r="P2324" s="107">
        <f t="shared" si="957"/>
        <v>-627850</v>
      </c>
      <c r="Q2324" s="107"/>
      <c r="R2324" s="10"/>
      <c r="S2324" s="107">
        <v>727850</v>
      </c>
      <c r="T2324" s="107">
        <f t="shared" si="916"/>
        <v>0</v>
      </c>
      <c r="U2324" s="107"/>
      <c r="V2324" s="175"/>
      <c r="W2324" s="10"/>
      <c r="X2324" s="10"/>
      <c r="Y2324" t="str">
        <f t="shared" si="958"/>
        <v>6136</v>
      </c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</row>
    <row r="2325" spans="1:35">
      <c r="A2325" s="10"/>
      <c r="B2325" s="10" t="str">
        <f t="shared" si="953"/>
        <v>PostSHOOT</v>
      </c>
      <c r="C2325" t="s">
        <v>1</v>
      </c>
      <c r="D2325" t="s">
        <v>19</v>
      </c>
      <c r="E2325" t="s">
        <v>236</v>
      </c>
      <c r="G2325" t="s">
        <v>1294</v>
      </c>
      <c r="I2325" s="10"/>
      <c r="J2325" s="107">
        <f>SUMIF(Data!C:C,G2325,Data!Q:Q)</f>
        <v>0</v>
      </c>
      <c r="K2325" s="107">
        <f>SUMIF(Comprometidos!A:A,'Cost Report'!G2325,Comprometidos!E:E)</f>
        <v>0</v>
      </c>
      <c r="L2325" s="107">
        <f t="shared" si="954"/>
        <v>0</v>
      </c>
      <c r="M2325" s="107">
        <v>0</v>
      </c>
      <c r="N2325" s="107">
        <f t="shared" si="956"/>
        <v>0</v>
      </c>
      <c r="O2325" s="107">
        <f>VLOOKUP(G2325,Budget!$E$3:$G$2474,3,0)</f>
        <v>30000</v>
      </c>
      <c r="P2325" s="107">
        <f t="shared" si="957"/>
        <v>30000</v>
      </c>
      <c r="Q2325" s="107"/>
      <c r="R2325" s="10"/>
      <c r="S2325" s="107">
        <v>0</v>
      </c>
      <c r="T2325" s="107">
        <f t="shared" si="916"/>
        <v>0</v>
      </c>
      <c r="U2325" s="107"/>
      <c r="V2325" s="175"/>
      <c r="W2325" s="10"/>
      <c r="X2325" s="10"/>
      <c r="Y2325" t="str">
        <f t="shared" si="958"/>
        <v>6136</v>
      </c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</row>
    <row r="2326" spans="1:35">
      <c r="A2326" s="10"/>
      <c r="B2326" s="10" t="str">
        <f t="shared" si="953"/>
        <v>Post</v>
      </c>
      <c r="C2326" t="s">
        <v>1</v>
      </c>
      <c r="D2326" t="s">
        <v>19</v>
      </c>
      <c r="E2326" t="s">
        <v>214</v>
      </c>
      <c r="G2326" t="s">
        <v>1295</v>
      </c>
      <c r="I2326" s="10"/>
      <c r="J2326" s="107">
        <f>SUMIF(Data!C:C,G2326,Data!Q:Q)</f>
        <v>0</v>
      </c>
      <c r="K2326" s="107">
        <f>SUMIF(Comprometidos!A:A,'Cost Report'!G2326,Comprometidos!E:E)</f>
        <v>0</v>
      </c>
      <c r="L2326" s="107">
        <f t="shared" si="954"/>
        <v>0</v>
      </c>
      <c r="M2326" s="107">
        <v>0</v>
      </c>
      <c r="N2326" s="107">
        <f t="shared" si="956"/>
        <v>0</v>
      </c>
      <c r="O2326" s="107">
        <f>VLOOKUP(G2326,Budget!$E$3:$G$2474,3,0)</f>
        <v>0</v>
      </c>
      <c r="P2326" s="107">
        <f t="shared" si="957"/>
        <v>0</v>
      </c>
      <c r="Q2326" s="107"/>
      <c r="R2326" s="10"/>
      <c r="S2326" s="107">
        <v>0</v>
      </c>
      <c r="T2326" s="107">
        <f t="shared" si="916"/>
        <v>0</v>
      </c>
      <c r="U2326" s="107"/>
      <c r="V2326" s="175"/>
      <c r="W2326" s="10"/>
      <c r="X2326" s="10"/>
      <c r="Y2326" t="str">
        <f t="shared" si="958"/>
        <v>6136</v>
      </c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</row>
    <row r="2327" spans="1:35">
      <c r="A2327" s="10"/>
      <c r="B2327" s="10" t="str">
        <f t="shared" si="953"/>
        <v>PostSHOOT</v>
      </c>
      <c r="C2327" t="s">
        <v>1</v>
      </c>
      <c r="D2327" t="s">
        <v>19</v>
      </c>
      <c r="E2327" t="s">
        <v>236</v>
      </c>
      <c r="G2327" t="s">
        <v>1296</v>
      </c>
      <c r="I2327" s="10"/>
      <c r="J2327" s="107">
        <f>SUMIF(Data!C:C,G2327,Data!Q:Q)</f>
        <v>0</v>
      </c>
      <c r="K2327" s="107">
        <f>SUMIF(Comprometidos!A:A,'Cost Report'!G2327,Comprometidos!E:E)</f>
        <v>0</v>
      </c>
      <c r="L2327" s="107">
        <f t="shared" si="954"/>
        <v>0</v>
      </c>
      <c r="M2327" s="107">
        <v>0</v>
      </c>
      <c r="N2327" s="107">
        <f t="shared" si="956"/>
        <v>0</v>
      </c>
      <c r="O2327" s="107">
        <f>VLOOKUP(G2327,Budget!$E$3:$G$2474,3,0)</f>
        <v>40000</v>
      </c>
      <c r="P2327" s="107">
        <f t="shared" si="957"/>
        <v>40000</v>
      </c>
      <c r="Q2327" s="107"/>
      <c r="R2327" s="10"/>
      <c r="S2327" s="107">
        <v>0</v>
      </c>
      <c r="T2327" s="107">
        <f t="shared" si="916"/>
        <v>0</v>
      </c>
      <c r="U2327" s="107"/>
      <c r="V2327" s="175"/>
      <c r="W2327" s="10"/>
      <c r="X2327" s="10"/>
      <c r="Y2327" t="str">
        <f t="shared" si="958"/>
        <v>6136</v>
      </c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</row>
    <row r="2328" spans="1:35">
      <c r="A2328" s="10"/>
      <c r="B2328" s="10" t="str">
        <f t="shared" si="953"/>
        <v>Post</v>
      </c>
      <c r="C2328" t="s">
        <v>1</v>
      </c>
      <c r="D2328" t="s">
        <v>19</v>
      </c>
      <c r="E2328" t="s">
        <v>214</v>
      </c>
      <c r="G2328" t="s">
        <v>1297</v>
      </c>
      <c r="I2328" s="10"/>
      <c r="J2328" s="107">
        <f>SUMIF(Data!C:C,G2328,Data!Q:Q)</f>
        <v>0</v>
      </c>
      <c r="K2328" s="107">
        <f>SUMIF(Comprometidos!A:A,'Cost Report'!G2328,Comprometidos!E:E)</f>
        <v>0</v>
      </c>
      <c r="L2328" s="107">
        <f t="shared" si="954"/>
        <v>0</v>
      </c>
      <c r="M2328" s="107">
        <v>0</v>
      </c>
      <c r="N2328" s="107">
        <f t="shared" si="956"/>
        <v>0</v>
      </c>
      <c r="O2328" s="107">
        <f>VLOOKUP(G2328,Budget!$E$3:$G$2474,3,0)</f>
        <v>0</v>
      </c>
      <c r="P2328" s="107">
        <f t="shared" si="957"/>
        <v>0</v>
      </c>
      <c r="Q2328" s="107"/>
      <c r="R2328" s="10"/>
      <c r="S2328" s="107">
        <v>0</v>
      </c>
      <c r="T2328" s="107">
        <f t="shared" si="916"/>
        <v>0</v>
      </c>
      <c r="U2328" s="107"/>
      <c r="V2328" s="175"/>
      <c r="W2328" s="10"/>
      <c r="X2328" s="10"/>
      <c r="Y2328" t="str">
        <f t="shared" si="958"/>
        <v>6136</v>
      </c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</row>
    <row r="2329" spans="1:35">
      <c r="A2329" s="10"/>
      <c r="B2329" s="10" t="str">
        <f t="shared" si="953"/>
        <v>Post</v>
      </c>
      <c r="C2329" t="s">
        <v>1</v>
      </c>
      <c r="D2329" t="s">
        <v>19</v>
      </c>
      <c r="E2329" t="s">
        <v>214</v>
      </c>
      <c r="G2329" t="s">
        <v>1298</v>
      </c>
      <c r="I2329" s="10"/>
      <c r="J2329" s="107">
        <f>SUMIF(Data!C:C,G2329,Data!Q:Q)</f>
        <v>0</v>
      </c>
      <c r="K2329" s="107">
        <f>SUMIF(Comprometidos!A:A,'Cost Report'!G2329,Comprometidos!E:E)</f>
        <v>0</v>
      </c>
      <c r="L2329" s="107">
        <f t="shared" si="954"/>
        <v>0</v>
      </c>
      <c r="M2329" s="107">
        <v>0</v>
      </c>
      <c r="N2329" s="107">
        <f t="shared" si="956"/>
        <v>0</v>
      </c>
      <c r="O2329" s="107">
        <f>VLOOKUP(G2329,Budget!$E$3:$G$2474,3,0)</f>
        <v>0</v>
      </c>
      <c r="P2329" s="107">
        <f t="shared" si="957"/>
        <v>0</v>
      </c>
      <c r="Q2329" s="107"/>
      <c r="R2329" s="10"/>
      <c r="S2329" s="107">
        <v>0</v>
      </c>
      <c r="T2329" s="107">
        <f t="shared" si="916"/>
        <v>0</v>
      </c>
      <c r="U2329" s="107"/>
      <c r="V2329" s="175"/>
      <c r="W2329" s="10"/>
      <c r="X2329" s="10"/>
      <c r="Y2329" t="str">
        <f t="shared" si="958"/>
        <v>6136</v>
      </c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</row>
    <row r="2330" spans="1:35">
      <c r="A2330" s="10"/>
      <c r="B2330" s="10" t="str">
        <f t="shared" si="953"/>
        <v>PostPOST</v>
      </c>
      <c r="C2330" t="s">
        <v>1</v>
      </c>
      <c r="D2330" t="s">
        <v>19</v>
      </c>
      <c r="E2330" t="s">
        <v>468</v>
      </c>
      <c r="G2330" t="s">
        <v>1299</v>
      </c>
      <c r="I2330" s="10"/>
      <c r="J2330" s="107">
        <f>SUMIF(Data!C:C,G2330,Data!Q:Q)</f>
        <v>0</v>
      </c>
      <c r="K2330" s="107">
        <f>SUMIF(Comprometidos!A:A,'Cost Report'!G2330,Comprometidos!E:E)</f>
        <v>0</v>
      </c>
      <c r="L2330" s="107">
        <f t="shared" si="954"/>
        <v>0</v>
      </c>
      <c r="M2330" s="107">
        <v>0</v>
      </c>
      <c r="N2330" s="107">
        <f t="shared" si="956"/>
        <v>0</v>
      </c>
      <c r="O2330" s="107">
        <f>VLOOKUP(G2330,Budget!$E$3:$G$2474,3,0)</f>
        <v>3150</v>
      </c>
      <c r="P2330" s="107">
        <f t="shared" si="957"/>
        <v>3150</v>
      </c>
      <c r="Q2330" s="107"/>
      <c r="R2330" s="10"/>
      <c r="S2330" s="107">
        <v>0</v>
      </c>
      <c r="T2330" s="107">
        <f t="shared" si="916"/>
        <v>0</v>
      </c>
      <c r="U2330" s="107"/>
      <c r="V2330" s="175"/>
      <c r="W2330" s="10"/>
      <c r="X2330" s="10"/>
      <c r="Y2330" t="str">
        <f t="shared" si="958"/>
        <v>6136</v>
      </c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</row>
    <row r="2331" spans="1:35">
      <c r="A2331" s="10"/>
      <c r="B2331" s="10" t="str">
        <f t="shared" si="953"/>
        <v>PostPOST</v>
      </c>
      <c r="C2331" t="s">
        <v>1</v>
      </c>
      <c r="D2331" t="s">
        <v>19</v>
      </c>
      <c r="E2331" t="s">
        <v>468</v>
      </c>
      <c r="G2331" t="s">
        <v>1300</v>
      </c>
      <c r="I2331" s="10"/>
      <c r="J2331" s="107">
        <f>SUMIF(Data!C:C,G2331,Data!Q:Q)</f>
        <v>0</v>
      </c>
      <c r="K2331" s="107">
        <f>SUMIF(Comprometidos!A:A,'Cost Report'!G2331,Comprometidos!E:E)</f>
        <v>0</v>
      </c>
      <c r="L2331" s="107">
        <f t="shared" si="954"/>
        <v>0</v>
      </c>
      <c r="M2331" s="107">
        <v>0</v>
      </c>
      <c r="N2331" s="107">
        <f t="shared" si="956"/>
        <v>0</v>
      </c>
      <c r="O2331" s="107">
        <f>VLOOKUP(G2331,Budget!$E$3:$G$2474,3,0)</f>
        <v>6300</v>
      </c>
      <c r="P2331" s="107">
        <f t="shared" si="957"/>
        <v>6300</v>
      </c>
      <c r="Q2331" s="107"/>
      <c r="R2331" s="10"/>
      <c r="S2331" s="107">
        <v>0</v>
      </c>
      <c r="T2331" s="107">
        <f t="shared" si="916"/>
        <v>0</v>
      </c>
      <c r="U2331" s="107"/>
      <c r="V2331" s="175"/>
      <c r="W2331" s="10"/>
      <c r="X2331" s="10"/>
      <c r="Y2331" t="str">
        <f t="shared" si="958"/>
        <v>6136</v>
      </c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</row>
    <row r="2332" spans="1:35">
      <c r="A2332" s="10"/>
      <c r="B2332" s="10" t="str">
        <f t="shared" si="953"/>
        <v>PostPOST</v>
      </c>
      <c r="C2332" t="s">
        <v>1</v>
      </c>
      <c r="D2332" t="s">
        <v>19</v>
      </c>
      <c r="E2332" t="s">
        <v>468</v>
      </c>
      <c r="G2332" t="s">
        <v>1301</v>
      </c>
      <c r="I2332" s="10"/>
      <c r="J2332" s="107">
        <f>SUMIF(Data!C:C,G2332,Data!Q:Q)</f>
        <v>0</v>
      </c>
      <c r="K2332" s="107">
        <f>SUMIF(Comprometidos!A:A,'Cost Report'!G2332,Comprometidos!E:E)</f>
        <v>0</v>
      </c>
      <c r="L2332" s="107">
        <f t="shared" si="954"/>
        <v>0</v>
      </c>
      <c r="M2332" s="107">
        <v>0</v>
      </c>
      <c r="N2332" s="107">
        <f t="shared" si="956"/>
        <v>0</v>
      </c>
      <c r="O2332" s="107">
        <f>VLOOKUP(G2332,Budget!$E$3:$G$2474,3,0)</f>
        <v>4000</v>
      </c>
      <c r="P2332" s="107">
        <f t="shared" si="957"/>
        <v>4000</v>
      </c>
      <c r="Q2332" s="107"/>
      <c r="R2332" s="10"/>
      <c r="S2332" s="107">
        <v>0</v>
      </c>
      <c r="T2332" s="107">
        <f t="shared" si="916"/>
        <v>0</v>
      </c>
      <c r="U2332" s="107"/>
      <c r="V2332" s="175"/>
      <c r="W2332" s="10"/>
      <c r="X2332" s="10"/>
      <c r="Y2332" t="str">
        <f t="shared" si="958"/>
        <v>6136</v>
      </c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</row>
    <row r="2333" spans="1:35">
      <c r="A2333" s="10"/>
      <c r="B2333" s="10" t="str">
        <f t="shared" si="953"/>
        <v>PostPOST</v>
      </c>
      <c r="C2333" t="s">
        <v>1</v>
      </c>
      <c r="D2333" t="s">
        <v>19</v>
      </c>
      <c r="E2333" t="s">
        <v>468</v>
      </c>
      <c r="G2333" t="s">
        <v>1302</v>
      </c>
      <c r="I2333" s="10"/>
      <c r="J2333" s="107">
        <f>SUMIF(Data!C:C,G2333,Data!Q:Q)</f>
        <v>0</v>
      </c>
      <c r="K2333" s="107">
        <f>SUMIF(Comprometidos!A:A,'Cost Report'!G2333,Comprometidos!E:E)</f>
        <v>0</v>
      </c>
      <c r="L2333" s="107">
        <f t="shared" si="954"/>
        <v>0</v>
      </c>
      <c r="M2333" s="107">
        <v>0</v>
      </c>
      <c r="N2333" s="107">
        <f t="shared" si="956"/>
        <v>0</v>
      </c>
      <c r="O2333" s="107">
        <f>VLOOKUP(G2333,Budget!$E$3:$G$2474,3,0)</f>
        <v>6300</v>
      </c>
      <c r="P2333" s="107">
        <f t="shared" si="957"/>
        <v>6300</v>
      </c>
      <c r="Q2333" s="107"/>
      <c r="R2333" s="10"/>
      <c r="S2333" s="107">
        <v>0</v>
      </c>
      <c r="T2333" s="107">
        <f t="shared" si="916"/>
        <v>0</v>
      </c>
      <c r="U2333" s="107"/>
      <c r="V2333" s="175"/>
      <c r="W2333" s="10"/>
      <c r="X2333" s="10"/>
      <c r="Y2333" t="str">
        <f t="shared" si="958"/>
        <v>6136</v>
      </c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</row>
    <row r="2334" spans="1:35">
      <c r="A2334" s="10"/>
      <c r="B2334" s="10" t="str">
        <f t="shared" si="953"/>
        <v>PostPOST</v>
      </c>
      <c r="C2334" t="s">
        <v>1</v>
      </c>
      <c r="D2334" t="s">
        <v>19</v>
      </c>
      <c r="E2334" t="s">
        <v>468</v>
      </c>
      <c r="G2334" t="s">
        <v>1303</v>
      </c>
      <c r="I2334" s="10"/>
      <c r="J2334" s="107">
        <f>SUMIF(Data!C:C,G2334,Data!Q:Q)</f>
        <v>0</v>
      </c>
      <c r="K2334" s="107">
        <f>SUMIF(Comprometidos!A:A,'Cost Report'!G2334,Comprometidos!E:E)</f>
        <v>0</v>
      </c>
      <c r="L2334" s="107">
        <f t="shared" si="954"/>
        <v>0</v>
      </c>
      <c r="M2334" s="107">
        <v>0</v>
      </c>
      <c r="N2334" s="107">
        <f t="shared" si="956"/>
        <v>0</v>
      </c>
      <c r="O2334" s="107">
        <f>VLOOKUP(G2334,Budget!$E$3:$G$2474,3,0)</f>
        <v>24000</v>
      </c>
      <c r="P2334" s="107">
        <f t="shared" si="957"/>
        <v>24000</v>
      </c>
      <c r="Q2334" s="107"/>
      <c r="R2334" s="10"/>
      <c r="S2334" s="107">
        <v>0</v>
      </c>
      <c r="T2334" s="107">
        <f t="shared" si="916"/>
        <v>0</v>
      </c>
      <c r="U2334" s="107"/>
      <c r="V2334" s="175"/>
      <c r="W2334" s="10"/>
      <c r="X2334" s="10"/>
      <c r="Y2334" t="str">
        <f t="shared" si="958"/>
        <v>6136</v>
      </c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</row>
    <row r="2335" spans="1:35">
      <c r="A2335" s="10"/>
      <c r="B2335" s="10" t="str">
        <f t="shared" si="953"/>
        <v>PostPOST</v>
      </c>
      <c r="C2335" t="s">
        <v>1</v>
      </c>
      <c r="D2335" t="s">
        <v>19</v>
      </c>
      <c r="E2335" t="s">
        <v>468</v>
      </c>
      <c r="G2335" t="s">
        <v>1304</v>
      </c>
      <c r="I2335" s="10"/>
      <c r="J2335" s="107">
        <f>SUMIF(Data!C:C,G2335,Data!Q:Q)</f>
        <v>0</v>
      </c>
      <c r="K2335" s="107">
        <f>SUMIF(Comprometidos!A:A,'Cost Report'!G2335,Comprometidos!E:E)</f>
        <v>0</v>
      </c>
      <c r="L2335" s="107">
        <f t="shared" si="954"/>
        <v>0</v>
      </c>
      <c r="M2335" s="107">
        <v>0</v>
      </c>
      <c r="N2335" s="107">
        <f t="shared" si="956"/>
        <v>0</v>
      </c>
      <c r="O2335" s="107">
        <f>VLOOKUP(G2335,Budget!$E$3:$G$2474,3,0)</f>
        <v>12000</v>
      </c>
      <c r="P2335" s="107">
        <f t="shared" si="957"/>
        <v>12000</v>
      </c>
      <c r="Q2335" s="107"/>
      <c r="R2335" s="10"/>
      <c r="S2335" s="107">
        <v>0</v>
      </c>
      <c r="T2335" s="107">
        <f t="shared" si="916"/>
        <v>0</v>
      </c>
      <c r="U2335" s="107"/>
      <c r="V2335" s="175"/>
      <c r="W2335" s="10"/>
      <c r="X2335" s="10"/>
      <c r="Y2335" t="str">
        <f t="shared" si="958"/>
        <v>6136</v>
      </c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</row>
    <row r="2336" spans="1:35">
      <c r="A2336" s="10"/>
      <c r="B2336" s="10" t="str">
        <f t="shared" si="953"/>
        <v>PostPOST</v>
      </c>
      <c r="C2336" t="s">
        <v>1</v>
      </c>
      <c r="D2336" t="s">
        <v>19</v>
      </c>
      <c r="E2336" t="s">
        <v>468</v>
      </c>
      <c r="G2336" t="s">
        <v>1305</v>
      </c>
      <c r="I2336" s="10"/>
      <c r="J2336" s="107">
        <f>SUMIF(Data!C:C,G2336,Data!Q:Q)</f>
        <v>0</v>
      </c>
      <c r="K2336" s="107">
        <f>SUMIF(Comprometidos!A:A,'Cost Report'!G2336,Comprometidos!E:E)</f>
        <v>0</v>
      </c>
      <c r="L2336" s="107">
        <f t="shared" si="954"/>
        <v>0</v>
      </c>
      <c r="M2336" s="107">
        <v>0</v>
      </c>
      <c r="N2336" s="107">
        <f t="shared" si="956"/>
        <v>0</v>
      </c>
      <c r="O2336" s="107">
        <f>VLOOKUP(G2336,Budget!$E$3:$G$2474,3,0)</f>
        <v>12000</v>
      </c>
      <c r="P2336" s="107">
        <f t="shared" si="957"/>
        <v>12000</v>
      </c>
      <c r="Q2336" s="107"/>
      <c r="R2336" s="10"/>
      <c r="S2336" s="107">
        <v>0</v>
      </c>
      <c r="T2336" s="107">
        <f t="shared" si="916"/>
        <v>0</v>
      </c>
      <c r="U2336" s="107"/>
      <c r="V2336" s="175"/>
      <c r="W2336" s="10"/>
      <c r="X2336" s="10"/>
      <c r="Y2336" t="str">
        <f t="shared" si="958"/>
        <v>6136</v>
      </c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</row>
    <row r="2337" spans="1:35">
      <c r="A2337" s="10"/>
      <c r="B2337" s="10" t="str">
        <f t="shared" si="953"/>
        <v>PostPOST</v>
      </c>
      <c r="C2337" t="s">
        <v>1</v>
      </c>
      <c r="D2337" t="s">
        <v>19</v>
      </c>
      <c r="E2337" t="s">
        <v>468</v>
      </c>
      <c r="G2337" t="s">
        <v>1306</v>
      </c>
      <c r="I2337" s="10"/>
      <c r="J2337" s="107">
        <f>SUMIF(Data!C:C,G2337,Data!Q:Q)</f>
        <v>0</v>
      </c>
      <c r="K2337" s="107">
        <f>SUMIF(Comprometidos!A:A,'Cost Report'!G2337,Comprometidos!E:E)</f>
        <v>0</v>
      </c>
      <c r="L2337" s="107">
        <f t="shared" si="954"/>
        <v>0</v>
      </c>
      <c r="M2337" s="107">
        <v>0</v>
      </c>
      <c r="N2337" s="107">
        <f t="shared" si="956"/>
        <v>0</v>
      </c>
      <c r="O2337" s="107">
        <f>VLOOKUP(G2337,Budget!$E$3:$G$2474,3,0)</f>
        <v>12000</v>
      </c>
      <c r="P2337" s="107">
        <f t="shared" si="957"/>
        <v>12000</v>
      </c>
      <c r="Q2337" s="107"/>
      <c r="R2337" s="10"/>
      <c r="S2337" s="107">
        <v>0</v>
      </c>
      <c r="T2337" s="107">
        <f t="shared" si="916"/>
        <v>0</v>
      </c>
      <c r="U2337" s="107"/>
      <c r="V2337" s="175"/>
      <c r="W2337" s="10"/>
      <c r="X2337" s="10"/>
      <c r="Y2337" t="str">
        <f t="shared" si="958"/>
        <v>6136</v>
      </c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</row>
    <row r="2338" spans="1:35">
      <c r="A2338" s="10"/>
      <c r="B2338" s="10" t="str">
        <f t="shared" si="953"/>
        <v>PostPOST</v>
      </c>
      <c r="C2338" t="s">
        <v>1</v>
      </c>
      <c r="D2338" t="s">
        <v>19</v>
      </c>
      <c r="E2338" t="s">
        <v>468</v>
      </c>
      <c r="G2338" t="s">
        <v>1307</v>
      </c>
      <c r="I2338" s="10"/>
      <c r="J2338" s="107">
        <f>SUMIF(Data!C:C,G2338,Data!Q:Q)</f>
        <v>0</v>
      </c>
      <c r="K2338" s="107">
        <f>SUMIF(Comprometidos!A:A,'Cost Report'!G2338,Comprometidos!E:E)</f>
        <v>0</v>
      </c>
      <c r="L2338" s="107">
        <f t="shared" si="954"/>
        <v>0</v>
      </c>
      <c r="M2338" s="107">
        <v>0</v>
      </c>
      <c r="N2338" s="107">
        <f t="shared" si="956"/>
        <v>0</v>
      </c>
      <c r="O2338" s="107">
        <f>VLOOKUP(G2338,Budget!$E$3:$G$2474,3,0)</f>
        <v>6300</v>
      </c>
      <c r="P2338" s="107">
        <f t="shared" si="957"/>
        <v>6300</v>
      </c>
      <c r="Q2338" s="107"/>
      <c r="R2338" s="10"/>
      <c r="S2338" s="107">
        <v>0</v>
      </c>
      <c r="T2338" s="107">
        <f t="shared" si="916"/>
        <v>0</v>
      </c>
      <c r="U2338" s="107"/>
      <c r="V2338" s="175"/>
      <c r="W2338" s="10"/>
      <c r="X2338" s="10"/>
      <c r="Y2338" t="str">
        <f t="shared" si="958"/>
        <v>6136</v>
      </c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</row>
    <row r="2339" spans="1:35">
      <c r="A2339" s="10"/>
      <c r="B2339" s="10" t="str">
        <f t="shared" si="953"/>
        <v>PostPOST</v>
      </c>
      <c r="C2339" t="s">
        <v>1</v>
      </c>
      <c r="D2339" t="s">
        <v>19</v>
      </c>
      <c r="E2339" t="s">
        <v>468</v>
      </c>
      <c r="G2339" t="s">
        <v>1308</v>
      </c>
      <c r="I2339" s="10"/>
      <c r="J2339" s="107">
        <f>SUMIF(Data!C:C,G2339,Data!Q:Q)</f>
        <v>0</v>
      </c>
      <c r="K2339" s="107">
        <f>SUMIF(Comprometidos!A:A,'Cost Report'!G2339,Comprometidos!E:E)</f>
        <v>0</v>
      </c>
      <c r="L2339" s="107">
        <f t="shared" si="954"/>
        <v>0</v>
      </c>
      <c r="M2339" s="107">
        <v>0</v>
      </c>
      <c r="N2339" s="107">
        <f t="shared" si="956"/>
        <v>0</v>
      </c>
      <c r="O2339" s="107">
        <f>VLOOKUP(G2339,Budget!$E$3:$G$2474,3,0)</f>
        <v>3150</v>
      </c>
      <c r="P2339" s="107">
        <f t="shared" si="957"/>
        <v>3150</v>
      </c>
      <c r="Q2339" s="107"/>
      <c r="R2339" s="10"/>
      <c r="S2339" s="107">
        <v>0</v>
      </c>
      <c r="T2339" s="107">
        <f t="shared" ref="T2339:T2402" si="959">+S2339-N2339</f>
        <v>0</v>
      </c>
      <c r="U2339" s="107"/>
      <c r="V2339" s="175"/>
      <c r="W2339" s="10"/>
      <c r="X2339" s="10"/>
      <c r="Y2339" t="str">
        <f t="shared" si="958"/>
        <v>6136</v>
      </c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</row>
    <row r="2340" spans="1:35">
      <c r="A2340" s="10"/>
      <c r="B2340" s="10" t="str">
        <f t="shared" si="953"/>
        <v>PostPOST</v>
      </c>
      <c r="C2340" t="s">
        <v>1</v>
      </c>
      <c r="D2340" t="s">
        <v>19</v>
      </c>
      <c r="E2340" t="s">
        <v>468</v>
      </c>
      <c r="G2340" t="s">
        <v>1309</v>
      </c>
      <c r="I2340" s="10"/>
      <c r="J2340" s="107">
        <f>SUMIF(Data!C:C,G2340,Data!Q:Q)</f>
        <v>0</v>
      </c>
      <c r="K2340" s="107">
        <f>SUMIF(Comprometidos!A:A,'Cost Report'!G2340,Comprometidos!E:E)</f>
        <v>0</v>
      </c>
      <c r="L2340" s="107">
        <f t="shared" si="954"/>
        <v>0</v>
      </c>
      <c r="M2340" s="107">
        <v>0</v>
      </c>
      <c r="N2340" s="107">
        <f t="shared" si="956"/>
        <v>0</v>
      </c>
      <c r="O2340" s="107">
        <f>VLOOKUP(G2340,Budget!$E$3:$G$2474,3,0)</f>
        <v>3150</v>
      </c>
      <c r="P2340" s="107">
        <f t="shared" si="957"/>
        <v>3150</v>
      </c>
      <c r="Q2340" s="107"/>
      <c r="R2340" s="10"/>
      <c r="S2340" s="107">
        <v>0</v>
      </c>
      <c r="T2340" s="107">
        <f t="shared" si="959"/>
        <v>0</v>
      </c>
      <c r="U2340" s="107"/>
      <c r="V2340" s="175"/>
      <c r="W2340" s="10"/>
      <c r="X2340" s="10"/>
      <c r="Y2340" t="str">
        <f t="shared" si="958"/>
        <v>6136</v>
      </c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</row>
    <row r="2341" spans="1:35">
      <c r="A2341" s="10"/>
      <c r="B2341" s="10" t="str">
        <f t="shared" si="953"/>
        <v>PostPOST</v>
      </c>
      <c r="C2341" t="s">
        <v>1</v>
      </c>
      <c r="D2341" t="s">
        <v>19</v>
      </c>
      <c r="E2341" t="s">
        <v>468</v>
      </c>
      <c r="G2341" t="s">
        <v>1310</v>
      </c>
      <c r="I2341" s="10"/>
      <c r="J2341" s="107">
        <f>SUMIF(Data!C:C,G2341,Data!Q:Q)</f>
        <v>0</v>
      </c>
      <c r="K2341" s="107">
        <f>SUMIF(Comprometidos!A:A,'Cost Report'!G2341,Comprometidos!E:E)</f>
        <v>0</v>
      </c>
      <c r="L2341" s="107">
        <f t="shared" si="954"/>
        <v>0</v>
      </c>
      <c r="M2341" s="107">
        <v>0</v>
      </c>
      <c r="N2341" s="107">
        <f t="shared" si="956"/>
        <v>0</v>
      </c>
      <c r="O2341" s="107">
        <f>VLOOKUP(G2341,Budget!$E$3:$G$2474,3,0)</f>
        <v>3150</v>
      </c>
      <c r="P2341" s="107">
        <f t="shared" si="957"/>
        <v>3150</v>
      </c>
      <c r="Q2341" s="107"/>
      <c r="R2341" s="10"/>
      <c r="S2341" s="107">
        <v>0</v>
      </c>
      <c r="T2341" s="107">
        <f t="shared" si="959"/>
        <v>0</v>
      </c>
      <c r="U2341" s="107"/>
      <c r="V2341" s="175"/>
      <c r="W2341" s="10"/>
      <c r="X2341" s="10"/>
      <c r="Y2341" t="str">
        <f t="shared" si="958"/>
        <v>6136</v>
      </c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</row>
    <row r="2342" spans="1:35">
      <c r="A2342" s="10"/>
      <c r="B2342" s="10" t="str">
        <f t="shared" si="953"/>
        <v>Post</v>
      </c>
      <c r="C2342" t="s">
        <v>1</v>
      </c>
      <c r="D2342" t="s">
        <v>19</v>
      </c>
      <c r="E2342" t="s">
        <v>214</v>
      </c>
      <c r="G2342" t="s">
        <v>1311</v>
      </c>
      <c r="I2342" s="10"/>
      <c r="J2342" s="107">
        <f>SUMIF(Data!C:C,G2342,Data!Q:Q)</f>
        <v>0</v>
      </c>
      <c r="K2342" s="107">
        <f>SUMIF(Comprometidos!A:A,'Cost Report'!G2342,Comprometidos!E:E)</f>
        <v>0</v>
      </c>
      <c r="L2342" s="107">
        <f t="shared" si="954"/>
        <v>0</v>
      </c>
      <c r="M2342" s="107">
        <v>0</v>
      </c>
      <c r="N2342" s="107">
        <f t="shared" si="956"/>
        <v>0</v>
      </c>
      <c r="O2342" s="107">
        <f>VLOOKUP(G2342,Budget!$E$3:$G$2474,3,0)</f>
        <v>0</v>
      </c>
      <c r="P2342" s="107">
        <f t="shared" si="957"/>
        <v>0</v>
      </c>
      <c r="Q2342" s="107"/>
      <c r="R2342" s="10"/>
      <c r="S2342" s="107">
        <v>0</v>
      </c>
      <c r="T2342" s="107">
        <f t="shared" si="959"/>
        <v>0</v>
      </c>
      <c r="U2342" s="107"/>
      <c r="V2342" s="175"/>
      <c r="W2342" s="10"/>
      <c r="X2342" s="10"/>
      <c r="Y2342" t="str">
        <f t="shared" si="958"/>
        <v>6136</v>
      </c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</row>
    <row r="2343" spans="1:35">
      <c r="A2343" s="10"/>
      <c r="B2343" s="10" t="str">
        <f t="shared" si="953"/>
        <v>PostPOST</v>
      </c>
      <c r="C2343" t="s">
        <v>1</v>
      </c>
      <c r="D2343" t="s">
        <v>19</v>
      </c>
      <c r="E2343" t="s">
        <v>468</v>
      </c>
      <c r="G2343" t="s">
        <v>1312</v>
      </c>
      <c r="I2343" s="10"/>
      <c r="J2343" s="107">
        <f>SUMIF(Data!C:C,G2343,Data!Q:Q)</f>
        <v>0</v>
      </c>
      <c r="K2343" s="107">
        <f>SUMIF(Comprometidos!A:A,'Cost Report'!G2343,Comprometidos!E:E)</f>
        <v>0</v>
      </c>
      <c r="L2343" s="107">
        <f t="shared" si="954"/>
        <v>0</v>
      </c>
      <c r="M2343" s="107">
        <v>0</v>
      </c>
      <c r="N2343" s="107">
        <f t="shared" si="956"/>
        <v>0</v>
      </c>
      <c r="O2343" s="107">
        <f>VLOOKUP(G2343,Budget!$E$3:$G$2474,3,0)</f>
        <v>6300</v>
      </c>
      <c r="P2343" s="107">
        <f t="shared" si="957"/>
        <v>6300</v>
      </c>
      <c r="Q2343" s="107"/>
      <c r="R2343" s="10"/>
      <c r="S2343" s="107">
        <v>0</v>
      </c>
      <c r="T2343" s="107">
        <f t="shared" si="959"/>
        <v>0</v>
      </c>
      <c r="U2343" s="107"/>
      <c r="V2343" s="175"/>
      <c r="W2343" s="10"/>
      <c r="X2343" s="10"/>
      <c r="Y2343" t="str">
        <f t="shared" si="958"/>
        <v>6136</v>
      </c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</row>
    <row r="2344" spans="1:35">
      <c r="A2344" s="10"/>
      <c r="B2344" s="10" t="str">
        <f t="shared" si="953"/>
        <v>PostPOST</v>
      </c>
      <c r="C2344" t="s">
        <v>1</v>
      </c>
      <c r="D2344" t="s">
        <v>19</v>
      </c>
      <c r="E2344" t="s">
        <v>468</v>
      </c>
      <c r="G2344" t="s">
        <v>1313</v>
      </c>
      <c r="I2344" s="10"/>
      <c r="J2344" s="107">
        <f>SUMIF(Data!C:C,G2344,Data!Q:Q)</f>
        <v>0</v>
      </c>
      <c r="K2344" s="107">
        <f>SUMIF(Comprometidos!A:A,'Cost Report'!G2344,Comprometidos!E:E)</f>
        <v>0</v>
      </c>
      <c r="L2344" s="107">
        <f t="shared" si="954"/>
        <v>0</v>
      </c>
      <c r="M2344" s="107">
        <v>0</v>
      </c>
      <c r="N2344" s="107">
        <f t="shared" si="956"/>
        <v>0</v>
      </c>
      <c r="O2344" s="107">
        <f>VLOOKUP(G2344,Budget!$E$3:$G$2474,3,0)</f>
        <v>6300</v>
      </c>
      <c r="P2344" s="107">
        <f t="shared" si="957"/>
        <v>6300</v>
      </c>
      <c r="Q2344" s="107"/>
      <c r="R2344" s="10"/>
      <c r="S2344" s="107">
        <v>0</v>
      </c>
      <c r="T2344" s="107">
        <f t="shared" si="959"/>
        <v>0</v>
      </c>
      <c r="U2344" s="107"/>
      <c r="V2344" s="175"/>
      <c r="W2344" s="10"/>
      <c r="X2344" s="10"/>
      <c r="Y2344" t="str">
        <f t="shared" si="958"/>
        <v>6136</v>
      </c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</row>
    <row r="2345" spans="1:35">
      <c r="A2345" s="10"/>
      <c r="B2345" s="10" t="str">
        <f t="shared" si="953"/>
        <v>PostPOST</v>
      </c>
      <c r="C2345" t="s">
        <v>1</v>
      </c>
      <c r="D2345" t="s">
        <v>19</v>
      </c>
      <c r="E2345" t="s">
        <v>468</v>
      </c>
      <c r="G2345" t="s">
        <v>1314</v>
      </c>
      <c r="I2345" s="10"/>
      <c r="J2345" s="107">
        <f>SUMIF(Data!C:C,G2345,Data!Q:Q)</f>
        <v>0</v>
      </c>
      <c r="K2345" s="107">
        <f>SUMIF(Comprometidos!A:A,'Cost Report'!G2345,Comprometidos!E:E)</f>
        <v>0</v>
      </c>
      <c r="L2345" s="107">
        <f t="shared" si="954"/>
        <v>0</v>
      </c>
      <c r="M2345" s="107">
        <v>0</v>
      </c>
      <c r="N2345" s="107">
        <f t="shared" si="956"/>
        <v>0</v>
      </c>
      <c r="O2345" s="107">
        <f>VLOOKUP(G2345,Budget!$E$3:$G$2474,3,0)</f>
        <v>3675</v>
      </c>
      <c r="P2345" s="107">
        <f t="shared" si="957"/>
        <v>3675</v>
      </c>
      <c r="Q2345" s="107"/>
      <c r="R2345" s="10"/>
      <c r="S2345" s="107">
        <v>0</v>
      </c>
      <c r="T2345" s="107">
        <f t="shared" si="959"/>
        <v>0</v>
      </c>
      <c r="U2345" s="107"/>
      <c r="V2345" s="175"/>
      <c r="W2345" s="10"/>
      <c r="X2345" s="10"/>
      <c r="Y2345" t="str">
        <f t="shared" si="958"/>
        <v>6136</v>
      </c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</row>
    <row r="2346" spans="1:35">
      <c r="A2346" s="10"/>
      <c r="B2346" s="10" t="str">
        <f t="shared" si="953"/>
        <v>PostPOST</v>
      </c>
      <c r="C2346" t="s">
        <v>1</v>
      </c>
      <c r="D2346" t="s">
        <v>19</v>
      </c>
      <c r="E2346" t="s">
        <v>468</v>
      </c>
      <c r="G2346" t="s">
        <v>1315</v>
      </c>
      <c r="I2346" s="10"/>
      <c r="J2346" s="107">
        <f>SUMIF(Data!C:C,G2346,Data!Q:Q)</f>
        <v>0</v>
      </c>
      <c r="K2346" s="107">
        <f>SUMIF(Comprometidos!A:A,'Cost Report'!G2346,Comprometidos!E:E)</f>
        <v>0</v>
      </c>
      <c r="L2346" s="107">
        <f t="shared" si="954"/>
        <v>0</v>
      </c>
      <c r="M2346" s="107">
        <v>0</v>
      </c>
      <c r="N2346" s="107">
        <f t="shared" si="956"/>
        <v>0</v>
      </c>
      <c r="O2346" s="107">
        <f>VLOOKUP(G2346,Budget!$E$3:$G$2474,3,0)</f>
        <v>3675</v>
      </c>
      <c r="P2346" s="107">
        <f t="shared" si="957"/>
        <v>3675</v>
      </c>
      <c r="Q2346" s="107"/>
      <c r="R2346" s="10"/>
      <c r="S2346" s="107">
        <v>0</v>
      </c>
      <c r="T2346" s="107">
        <f t="shared" si="959"/>
        <v>0</v>
      </c>
      <c r="U2346" s="107"/>
      <c r="V2346" s="175"/>
      <c r="W2346" s="10"/>
      <c r="X2346" s="10"/>
      <c r="Y2346" t="str">
        <f t="shared" si="958"/>
        <v>6136</v>
      </c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</row>
    <row r="2347" spans="1:35">
      <c r="A2347" s="10"/>
      <c r="B2347" s="10" t="str">
        <f t="shared" si="953"/>
        <v>PostPOST</v>
      </c>
      <c r="C2347" t="s">
        <v>1</v>
      </c>
      <c r="D2347" t="s">
        <v>19</v>
      </c>
      <c r="E2347" t="s">
        <v>468</v>
      </c>
      <c r="G2347" t="s">
        <v>1316</v>
      </c>
      <c r="I2347" s="10"/>
      <c r="J2347" s="107">
        <f>SUMIF(Data!C:C,G2347,Data!Q:Q)</f>
        <v>0</v>
      </c>
      <c r="K2347" s="107">
        <f>SUMIF(Comprometidos!A:A,'Cost Report'!G2347,Comprometidos!E:E)</f>
        <v>0</v>
      </c>
      <c r="L2347" s="107">
        <f t="shared" si="954"/>
        <v>0</v>
      </c>
      <c r="M2347" s="107">
        <v>0</v>
      </c>
      <c r="N2347" s="107">
        <f t="shared" si="956"/>
        <v>0</v>
      </c>
      <c r="O2347" s="107">
        <f>VLOOKUP(G2347,Budget!$E$3:$G$2474,3,0)</f>
        <v>3675</v>
      </c>
      <c r="P2347" s="107">
        <f t="shared" si="957"/>
        <v>3675</v>
      </c>
      <c r="Q2347" s="107"/>
      <c r="R2347" s="10"/>
      <c r="S2347" s="107">
        <v>0</v>
      </c>
      <c r="T2347" s="107">
        <f t="shared" si="959"/>
        <v>0</v>
      </c>
      <c r="U2347" s="107"/>
      <c r="V2347" s="175"/>
      <c r="W2347" s="10"/>
      <c r="X2347" s="10"/>
      <c r="Y2347" t="str">
        <f t="shared" si="958"/>
        <v>6136</v>
      </c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</row>
    <row r="2348" spans="1:35">
      <c r="A2348" s="10"/>
      <c r="B2348" s="10" t="str">
        <f t="shared" si="953"/>
        <v>PostPOST</v>
      </c>
      <c r="C2348" t="s">
        <v>1</v>
      </c>
      <c r="D2348" t="s">
        <v>19</v>
      </c>
      <c r="E2348" t="s">
        <v>468</v>
      </c>
      <c r="G2348" t="s">
        <v>1317</v>
      </c>
      <c r="I2348" s="10"/>
      <c r="J2348" s="107">
        <f>SUMIF(Data!C:C,G2348,Data!Q:Q)</f>
        <v>0</v>
      </c>
      <c r="K2348" s="107">
        <f>SUMIF(Comprometidos!A:A,'Cost Report'!G2348,Comprometidos!E:E)</f>
        <v>0</v>
      </c>
      <c r="L2348" s="107">
        <f t="shared" si="954"/>
        <v>0</v>
      </c>
      <c r="M2348" s="107">
        <v>0</v>
      </c>
      <c r="N2348" s="107">
        <f t="shared" si="956"/>
        <v>0</v>
      </c>
      <c r="O2348" s="107">
        <f>VLOOKUP(G2348,Budget!$E$3:$G$2474,3,0)</f>
        <v>3150</v>
      </c>
      <c r="P2348" s="107">
        <f t="shared" si="957"/>
        <v>3150</v>
      </c>
      <c r="Q2348" s="107"/>
      <c r="R2348" s="10"/>
      <c r="S2348" s="107">
        <v>0</v>
      </c>
      <c r="T2348" s="107">
        <f t="shared" si="959"/>
        <v>0</v>
      </c>
      <c r="U2348" s="107"/>
      <c r="V2348" s="175"/>
      <c r="W2348" s="10"/>
      <c r="X2348" s="10"/>
      <c r="Y2348" t="str">
        <f t="shared" si="958"/>
        <v>6136</v>
      </c>
      <c r="AB2348" s="10"/>
      <c r="AC2348" s="10"/>
      <c r="AD2348" s="10"/>
      <c r="AE2348" s="10"/>
      <c r="AF2348" s="10"/>
      <c r="AG2348" s="10"/>
      <c r="AH2348" s="10"/>
      <c r="AI2348" s="10"/>
    </row>
    <row r="2349" spans="1:35">
      <c r="A2349" s="10"/>
      <c r="B2349" s="10" t="str">
        <f t="shared" si="953"/>
        <v>PostPOST</v>
      </c>
      <c r="C2349" t="s">
        <v>1</v>
      </c>
      <c r="D2349" t="s">
        <v>19</v>
      </c>
      <c r="E2349" t="s">
        <v>468</v>
      </c>
      <c r="G2349" t="s">
        <v>1318</v>
      </c>
      <c r="I2349" s="10"/>
      <c r="J2349" s="107">
        <f>SUMIF(Data!C:C,G2349,Data!Q:Q)</f>
        <v>0</v>
      </c>
      <c r="K2349" s="107">
        <f>SUMIF(Comprometidos!A:A,'Cost Report'!G2349,Comprometidos!E:E)</f>
        <v>0</v>
      </c>
      <c r="L2349" s="107">
        <f t="shared" si="954"/>
        <v>0</v>
      </c>
      <c r="M2349" s="107">
        <v>0</v>
      </c>
      <c r="N2349" s="107">
        <f t="shared" si="956"/>
        <v>0</v>
      </c>
      <c r="O2349" s="107">
        <f>VLOOKUP(G2349,Budget!$E$3:$G$2474,3,0)</f>
        <v>3150</v>
      </c>
      <c r="P2349" s="107">
        <f t="shared" si="957"/>
        <v>3150</v>
      </c>
      <c r="Q2349" s="107"/>
      <c r="R2349" s="10"/>
      <c r="S2349" s="107">
        <v>0</v>
      </c>
      <c r="T2349" s="107">
        <f t="shared" si="959"/>
        <v>0</v>
      </c>
      <c r="U2349" s="107"/>
      <c r="V2349" s="175"/>
      <c r="W2349" s="10"/>
      <c r="X2349" s="10"/>
      <c r="Y2349" t="str">
        <f t="shared" si="958"/>
        <v>6136</v>
      </c>
      <c r="AB2349" s="10"/>
      <c r="AC2349" s="10"/>
      <c r="AD2349" s="10"/>
      <c r="AE2349" s="10"/>
      <c r="AF2349" s="10"/>
      <c r="AG2349" s="10"/>
      <c r="AH2349" s="10"/>
      <c r="AI2349" s="10"/>
    </row>
    <row r="2350" spans="1:35">
      <c r="A2350" s="10"/>
      <c r="B2350" s="10" t="str">
        <f t="shared" si="953"/>
        <v>PostPOST</v>
      </c>
      <c r="C2350" t="s">
        <v>1</v>
      </c>
      <c r="D2350" t="s">
        <v>19</v>
      </c>
      <c r="E2350" t="s">
        <v>468</v>
      </c>
      <c r="G2350" t="s">
        <v>1319</v>
      </c>
      <c r="I2350" s="10"/>
      <c r="J2350" s="107">
        <f>SUMIF(Data!C:C,G2350,Data!Q:Q)</f>
        <v>0</v>
      </c>
      <c r="K2350" s="107">
        <f>SUMIF(Comprometidos!A:A,'Cost Report'!G2350,Comprometidos!E:E)</f>
        <v>0</v>
      </c>
      <c r="L2350" s="107">
        <f t="shared" si="954"/>
        <v>0</v>
      </c>
      <c r="M2350" s="107">
        <v>0</v>
      </c>
      <c r="N2350" s="107">
        <f t="shared" si="956"/>
        <v>0</v>
      </c>
      <c r="O2350" s="107">
        <f>VLOOKUP(G2350,Budget!$E$3:$G$2474,3,0)</f>
        <v>3150</v>
      </c>
      <c r="P2350" s="107">
        <f t="shared" si="957"/>
        <v>3150</v>
      </c>
      <c r="Q2350" s="107"/>
      <c r="R2350" s="10"/>
      <c r="S2350" s="107">
        <v>0</v>
      </c>
      <c r="T2350" s="107">
        <f t="shared" si="959"/>
        <v>0</v>
      </c>
      <c r="U2350" s="107"/>
      <c r="V2350" s="175"/>
      <c r="W2350" s="10"/>
      <c r="X2350" s="10"/>
      <c r="Y2350" t="str">
        <f t="shared" si="958"/>
        <v>6136</v>
      </c>
      <c r="AB2350" s="10"/>
      <c r="AC2350" s="10"/>
      <c r="AD2350" s="10"/>
      <c r="AE2350" s="10"/>
      <c r="AF2350" s="10"/>
      <c r="AG2350" s="10"/>
      <c r="AH2350" s="10"/>
      <c r="AI2350" s="10"/>
    </row>
    <row r="2351" spans="1:35">
      <c r="A2351" s="10"/>
      <c r="B2351" s="10" t="str">
        <f t="shared" si="953"/>
        <v>PostPOST</v>
      </c>
      <c r="C2351" t="s">
        <v>1</v>
      </c>
      <c r="D2351" t="s">
        <v>19</v>
      </c>
      <c r="E2351" t="s">
        <v>468</v>
      </c>
      <c r="G2351" t="s">
        <v>1320</v>
      </c>
      <c r="I2351" s="10"/>
      <c r="J2351" s="107">
        <f>SUMIF(Data!C:C,G2351,Data!Q:Q)</f>
        <v>0</v>
      </c>
      <c r="K2351" s="107">
        <f>SUMIF(Comprometidos!A:A,'Cost Report'!G2351,Comprometidos!E:E)</f>
        <v>0</v>
      </c>
      <c r="L2351" s="107">
        <f t="shared" si="954"/>
        <v>0</v>
      </c>
      <c r="M2351" s="107">
        <v>0</v>
      </c>
      <c r="N2351" s="107">
        <f t="shared" si="956"/>
        <v>0</v>
      </c>
      <c r="O2351" s="107">
        <f>VLOOKUP(G2351,Budget!$E$3:$G$2474,3,0)</f>
        <v>12600</v>
      </c>
      <c r="P2351" s="107">
        <f t="shared" si="957"/>
        <v>12600</v>
      </c>
      <c r="Q2351" s="107"/>
      <c r="R2351" s="10"/>
      <c r="S2351" s="107">
        <v>0</v>
      </c>
      <c r="T2351" s="107">
        <f t="shared" si="959"/>
        <v>0</v>
      </c>
      <c r="U2351" s="107"/>
      <c r="V2351" s="175"/>
      <c r="W2351" s="10"/>
      <c r="X2351" s="10"/>
      <c r="Y2351" t="str">
        <f t="shared" si="958"/>
        <v>6136</v>
      </c>
      <c r="AB2351" s="10"/>
      <c r="AC2351" s="10"/>
      <c r="AD2351" s="10"/>
      <c r="AE2351" s="10"/>
      <c r="AF2351" s="10"/>
      <c r="AG2351" s="10"/>
      <c r="AH2351" s="10"/>
      <c r="AI2351" s="10"/>
    </row>
    <row r="2352" spans="1:35">
      <c r="A2352" s="10"/>
      <c r="B2352" s="10" t="str">
        <f t="shared" si="953"/>
        <v>PostPOST</v>
      </c>
      <c r="C2352" t="s">
        <v>1</v>
      </c>
      <c r="D2352" t="s">
        <v>19</v>
      </c>
      <c r="E2352" t="s">
        <v>468</v>
      </c>
      <c r="G2352" t="s">
        <v>1321</v>
      </c>
      <c r="I2352" s="10"/>
      <c r="J2352" s="107">
        <f>SUMIF(Data!C:C,G2352,Data!Q:Q)</f>
        <v>0</v>
      </c>
      <c r="K2352" s="107">
        <f>SUMIF(Comprometidos!A:A,'Cost Report'!G2352,Comprometidos!E:E)</f>
        <v>0</v>
      </c>
      <c r="L2352" s="107">
        <f t="shared" si="954"/>
        <v>0</v>
      </c>
      <c r="M2352" s="107">
        <v>0</v>
      </c>
      <c r="N2352" s="107">
        <f t="shared" si="956"/>
        <v>0</v>
      </c>
      <c r="O2352" s="107">
        <f>VLOOKUP(G2352,Budget!$E$3:$G$2474,3,0)</f>
        <v>3150</v>
      </c>
      <c r="P2352" s="107">
        <f t="shared" si="957"/>
        <v>3150</v>
      </c>
      <c r="Q2352" s="107"/>
      <c r="R2352" s="10"/>
      <c r="S2352" s="107">
        <v>0</v>
      </c>
      <c r="T2352" s="107">
        <f t="shared" si="959"/>
        <v>0</v>
      </c>
      <c r="U2352" s="107"/>
      <c r="V2352" s="175"/>
      <c r="W2352" s="10"/>
      <c r="X2352" s="10"/>
      <c r="Y2352" t="str">
        <f t="shared" si="958"/>
        <v>6136</v>
      </c>
      <c r="AB2352" s="10"/>
      <c r="AC2352" s="10"/>
      <c r="AD2352" s="10"/>
      <c r="AE2352" s="10"/>
      <c r="AF2352" s="10"/>
      <c r="AG2352" s="10"/>
      <c r="AH2352" s="10"/>
      <c r="AI2352" s="10"/>
    </row>
    <row r="2353" spans="1:35">
      <c r="A2353" s="10"/>
      <c r="B2353" s="10" t="str">
        <f t="shared" si="953"/>
        <v>PostPOST</v>
      </c>
      <c r="C2353" t="s">
        <v>1</v>
      </c>
      <c r="D2353" t="s">
        <v>19</v>
      </c>
      <c r="E2353" t="s">
        <v>468</v>
      </c>
      <c r="G2353" t="s">
        <v>1322</v>
      </c>
      <c r="I2353" s="10"/>
      <c r="J2353" s="107">
        <f>SUMIF(Data!C:C,G2353,Data!Q:Q)</f>
        <v>0</v>
      </c>
      <c r="K2353" s="107">
        <f>SUMIF(Comprometidos!A:A,'Cost Report'!G2353,Comprometidos!E:E)</f>
        <v>0</v>
      </c>
      <c r="L2353" s="107">
        <f t="shared" si="954"/>
        <v>0</v>
      </c>
      <c r="M2353" s="107">
        <v>0</v>
      </c>
      <c r="N2353" s="107">
        <f t="shared" si="956"/>
        <v>0</v>
      </c>
      <c r="O2353" s="107">
        <f>VLOOKUP(G2353,Budget!$E$3:$G$2474,3,0)</f>
        <v>6300</v>
      </c>
      <c r="P2353" s="107">
        <f t="shared" si="957"/>
        <v>6300</v>
      </c>
      <c r="Q2353" s="107"/>
      <c r="R2353" s="10"/>
      <c r="S2353" s="107">
        <v>0</v>
      </c>
      <c r="T2353" s="107">
        <f t="shared" si="959"/>
        <v>0</v>
      </c>
      <c r="U2353" s="107"/>
      <c r="V2353" s="175"/>
      <c r="W2353" s="10"/>
      <c r="X2353" s="10"/>
      <c r="Y2353" t="str">
        <f t="shared" si="958"/>
        <v>6136</v>
      </c>
      <c r="AB2353" s="10"/>
      <c r="AC2353" s="10"/>
      <c r="AD2353" s="10"/>
      <c r="AE2353" s="10"/>
      <c r="AF2353" s="10"/>
      <c r="AG2353" s="10"/>
      <c r="AH2353" s="10"/>
      <c r="AI2353" s="10"/>
    </row>
    <row r="2354" spans="1:35">
      <c r="A2354" s="10"/>
      <c r="B2354" s="10" t="str">
        <f t="shared" si="953"/>
        <v>Post</v>
      </c>
      <c r="C2354" t="s">
        <v>1</v>
      </c>
      <c r="D2354" t="s">
        <v>19</v>
      </c>
      <c r="E2354" t="s">
        <v>214</v>
      </c>
      <c r="G2354" t="s">
        <v>1323</v>
      </c>
      <c r="I2354" s="10"/>
      <c r="J2354" s="107">
        <f>SUMIF(Data!C:C,G2354,Data!Q:Q)</f>
        <v>0</v>
      </c>
      <c r="K2354" s="107">
        <f>SUMIF(Comprometidos!A:A,'Cost Report'!G2354,Comprometidos!E:E)</f>
        <v>0</v>
      </c>
      <c r="L2354" s="107">
        <f t="shared" si="954"/>
        <v>0</v>
      </c>
      <c r="M2354" s="107">
        <v>0</v>
      </c>
      <c r="N2354" s="107">
        <f t="shared" si="956"/>
        <v>0</v>
      </c>
      <c r="O2354" s="107">
        <f>VLOOKUP(G2354,Budget!$E$3:$G$2474,3,0)</f>
        <v>0</v>
      </c>
      <c r="P2354" s="107">
        <f t="shared" si="957"/>
        <v>0</v>
      </c>
      <c r="Q2354" s="107"/>
      <c r="R2354" s="10"/>
      <c r="S2354" s="107">
        <v>0</v>
      </c>
      <c r="T2354" s="107">
        <f t="shared" si="959"/>
        <v>0</v>
      </c>
      <c r="U2354" s="107"/>
      <c r="V2354" s="175"/>
      <c r="W2354" s="10"/>
      <c r="X2354" s="10"/>
      <c r="Y2354" t="str">
        <f t="shared" si="958"/>
        <v>6136</v>
      </c>
      <c r="AB2354" s="10"/>
      <c r="AC2354" s="10"/>
      <c r="AD2354" s="10"/>
      <c r="AE2354" s="10"/>
      <c r="AF2354" s="10"/>
      <c r="AG2354" s="10"/>
      <c r="AH2354" s="10"/>
      <c r="AI2354" s="10"/>
    </row>
    <row r="2355" spans="1:35">
      <c r="A2355" s="10"/>
      <c r="B2355" s="10" t="str">
        <f t="shared" si="953"/>
        <v>PostPOST</v>
      </c>
      <c r="C2355" t="s">
        <v>1</v>
      </c>
      <c r="D2355" t="s">
        <v>19</v>
      </c>
      <c r="E2355" t="s">
        <v>468</v>
      </c>
      <c r="G2355" t="s">
        <v>1324</v>
      </c>
      <c r="I2355" s="10"/>
      <c r="J2355" s="107">
        <f>SUMIF(Data!C:C,G2355,Data!Q:Q)</f>
        <v>0</v>
      </c>
      <c r="K2355" s="107">
        <f>SUMIF(Comprometidos!A:A,'Cost Report'!G2355,Comprometidos!E:E)</f>
        <v>0</v>
      </c>
      <c r="L2355" s="107">
        <f t="shared" si="954"/>
        <v>0</v>
      </c>
      <c r="M2355" s="107">
        <v>0</v>
      </c>
      <c r="N2355" s="107">
        <f t="shared" si="956"/>
        <v>0</v>
      </c>
      <c r="O2355" s="107">
        <f>VLOOKUP(G2355,Budget!$E$3:$G$2474,3,0)</f>
        <v>3150</v>
      </c>
      <c r="P2355" s="107">
        <f t="shared" si="957"/>
        <v>3150</v>
      </c>
      <c r="Q2355" s="107"/>
      <c r="R2355" s="10"/>
      <c r="S2355" s="107">
        <v>0</v>
      </c>
      <c r="T2355" s="107">
        <f t="shared" si="959"/>
        <v>0</v>
      </c>
      <c r="U2355" s="107"/>
      <c r="V2355" s="175"/>
      <c r="W2355" s="10"/>
      <c r="X2355" s="10"/>
      <c r="Y2355" t="str">
        <f t="shared" si="958"/>
        <v>6136</v>
      </c>
      <c r="AB2355" s="10"/>
      <c r="AC2355" s="10"/>
      <c r="AD2355" s="10"/>
      <c r="AE2355" s="10"/>
      <c r="AF2355" s="10"/>
      <c r="AG2355" s="10"/>
      <c r="AH2355" s="10"/>
      <c r="AI2355" s="10"/>
    </row>
    <row r="2356" spans="1:35">
      <c r="A2356" s="10"/>
      <c r="B2356" s="10" t="str">
        <f t="shared" si="953"/>
        <v>PostPOST</v>
      </c>
      <c r="C2356" t="s">
        <v>1</v>
      </c>
      <c r="D2356" t="s">
        <v>19</v>
      </c>
      <c r="E2356" t="s">
        <v>468</v>
      </c>
      <c r="G2356" t="s">
        <v>1325</v>
      </c>
      <c r="I2356" s="10"/>
      <c r="J2356" s="107">
        <f>SUMIF(Data!C:C,G2356,Data!Q:Q)</f>
        <v>0</v>
      </c>
      <c r="K2356" s="107">
        <f>SUMIF(Comprometidos!A:A,'Cost Report'!G2356,Comprometidos!E:E)</f>
        <v>0</v>
      </c>
      <c r="L2356" s="107">
        <f t="shared" si="954"/>
        <v>0</v>
      </c>
      <c r="M2356" s="107">
        <v>0</v>
      </c>
      <c r="N2356" s="107">
        <f t="shared" si="956"/>
        <v>0</v>
      </c>
      <c r="O2356" s="107">
        <f>VLOOKUP(G2356,Budget!$E$3:$G$2474,3,0)</f>
        <v>3675</v>
      </c>
      <c r="P2356" s="107">
        <f t="shared" si="957"/>
        <v>3675</v>
      </c>
      <c r="Q2356" s="107"/>
      <c r="R2356" s="10"/>
      <c r="S2356" s="107">
        <v>0</v>
      </c>
      <c r="T2356" s="107">
        <f t="shared" si="959"/>
        <v>0</v>
      </c>
      <c r="U2356" s="107"/>
      <c r="V2356" s="175"/>
      <c r="W2356" s="10"/>
      <c r="X2356" s="10"/>
      <c r="Y2356" t="str">
        <f t="shared" si="958"/>
        <v>6136</v>
      </c>
      <c r="AB2356" s="10"/>
      <c r="AC2356" s="10"/>
      <c r="AD2356" s="10"/>
      <c r="AE2356" s="10"/>
      <c r="AF2356" s="10"/>
      <c r="AG2356" s="10"/>
      <c r="AH2356" s="10"/>
      <c r="AI2356" s="10"/>
    </row>
    <row r="2357" spans="1:35">
      <c r="A2357" s="10"/>
      <c r="B2357" s="10" t="str">
        <f t="shared" si="953"/>
        <v>PostPOST</v>
      </c>
      <c r="C2357" t="s">
        <v>1</v>
      </c>
      <c r="D2357" t="s">
        <v>19</v>
      </c>
      <c r="E2357" t="s">
        <v>468</v>
      </c>
      <c r="G2357" t="s">
        <v>1326</v>
      </c>
      <c r="I2357" s="10"/>
      <c r="J2357" s="107">
        <f>SUMIF(Data!C:C,G2357,Data!Q:Q)</f>
        <v>0</v>
      </c>
      <c r="K2357" s="107">
        <f>SUMIF(Comprometidos!A:A,'Cost Report'!G2357,Comprometidos!E:E)</f>
        <v>0</v>
      </c>
      <c r="L2357" s="107">
        <f t="shared" si="954"/>
        <v>0</v>
      </c>
      <c r="M2357" s="107">
        <v>0</v>
      </c>
      <c r="N2357" s="107">
        <f t="shared" si="956"/>
        <v>0</v>
      </c>
      <c r="O2357" s="107">
        <f>VLOOKUP(G2357,Budget!$E$3:$G$2474,3,0)</f>
        <v>6300</v>
      </c>
      <c r="P2357" s="107">
        <f t="shared" si="957"/>
        <v>6300</v>
      </c>
      <c r="Q2357" s="107"/>
      <c r="R2357" s="10"/>
      <c r="S2357" s="107">
        <v>0</v>
      </c>
      <c r="T2357" s="107">
        <f t="shared" si="959"/>
        <v>0</v>
      </c>
      <c r="U2357" s="107"/>
      <c r="V2357" s="175"/>
      <c r="W2357" s="10"/>
      <c r="X2357" s="10"/>
      <c r="Y2357" t="str">
        <f t="shared" si="958"/>
        <v>6136</v>
      </c>
      <c r="AB2357" s="10"/>
      <c r="AC2357" s="10"/>
      <c r="AD2357" s="10"/>
      <c r="AE2357" s="10"/>
      <c r="AF2357" s="10"/>
      <c r="AG2357" s="10"/>
      <c r="AH2357" s="10"/>
      <c r="AI2357" s="10"/>
    </row>
    <row r="2358" spans="1:35">
      <c r="A2358" s="10"/>
      <c r="B2358" s="10" t="str">
        <f t="shared" si="953"/>
        <v>PostPOST</v>
      </c>
      <c r="C2358" t="s">
        <v>1</v>
      </c>
      <c r="D2358" t="s">
        <v>19</v>
      </c>
      <c r="E2358" t="s">
        <v>468</v>
      </c>
      <c r="G2358" t="s">
        <v>1327</v>
      </c>
      <c r="I2358" s="10"/>
      <c r="J2358" s="107">
        <f>SUMIF(Data!C:C,G2358,Data!Q:Q)</f>
        <v>0</v>
      </c>
      <c r="K2358" s="107">
        <f>SUMIF(Comprometidos!A:A,'Cost Report'!G2358,Comprometidos!E:E)</f>
        <v>0</v>
      </c>
      <c r="L2358" s="107">
        <f t="shared" si="954"/>
        <v>0</v>
      </c>
      <c r="M2358" s="107">
        <v>0</v>
      </c>
      <c r="N2358" s="107">
        <f t="shared" si="956"/>
        <v>0</v>
      </c>
      <c r="O2358" s="107">
        <f>VLOOKUP(G2358,Budget!$E$3:$G$2474,3,0)</f>
        <v>12000</v>
      </c>
      <c r="P2358" s="107">
        <f t="shared" si="957"/>
        <v>12000</v>
      </c>
      <c r="Q2358" s="107"/>
      <c r="R2358" s="10"/>
      <c r="S2358" s="107">
        <v>0</v>
      </c>
      <c r="T2358" s="107">
        <f t="shared" si="959"/>
        <v>0</v>
      </c>
      <c r="U2358" s="107"/>
      <c r="V2358" s="175"/>
      <c r="W2358" s="10"/>
      <c r="X2358" s="10"/>
      <c r="Y2358" t="str">
        <f t="shared" si="958"/>
        <v>6136</v>
      </c>
      <c r="AB2358" s="10"/>
      <c r="AC2358" s="10"/>
      <c r="AD2358" s="10"/>
      <c r="AE2358" s="10"/>
      <c r="AF2358" s="10"/>
      <c r="AG2358" s="10"/>
      <c r="AH2358" s="10"/>
      <c r="AI2358" s="10"/>
    </row>
    <row r="2359" spans="1:35">
      <c r="A2359" s="10"/>
      <c r="B2359" s="10" t="str">
        <f t="shared" si="953"/>
        <v>PostPOST</v>
      </c>
      <c r="C2359" t="s">
        <v>1</v>
      </c>
      <c r="D2359" t="s">
        <v>19</v>
      </c>
      <c r="E2359" t="s">
        <v>468</v>
      </c>
      <c r="G2359" t="s">
        <v>1328</v>
      </c>
      <c r="I2359" s="10"/>
      <c r="J2359" s="107">
        <f>SUMIF(Data!C:C,G2359,Data!Q:Q)</f>
        <v>0</v>
      </c>
      <c r="K2359" s="107">
        <f>SUMIF(Comprometidos!A:A,'Cost Report'!G2359,Comprometidos!E:E)</f>
        <v>0</v>
      </c>
      <c r="L2359" s="107">
        <f t="shared" si="954"/>
        <v>0</v>
      </c>
      <c r="M2359" s="107">
        <v>0</v>
      </c>
      <c r="N2359" s="107">
        <f t="shared" si="956"/>
        <v>0</v>
      </c>
      <c r="O2359" s="107">
        <f>VLOOKUP(G2359,Budget!$E$3:$G$2474,3,0)</f>
        <v>3150</v>
      </c>
      <c r="P2359" s="107">
        <f t="shared" si="957"/>
        <v>3150</v>
      </c>
      <c r="Q2359" s="107"/>
      <c r="R2359" s="10"/>
      <c r="S2359" s="107">
        <v>0</v>
      </c>
      <c r="T2359" s="107">
        <f t="shared" si="959"/>
        <v>0</v>
      </c>
      <c r="U2359" s="107"/>
      <c r="V2359" s="175"/>
      <c r="W2359" s="10"/>
      <c r="X2359" s="10"/>
      <c r="Y2359" t="str">
        <f t="shared" si="958"/>
        <v>6136</v>
      </c>
      <c r="AB2359" s="10"/>
      <c r="AC2359" s="10"/>
      <c r="AD2359" s="10"/>
      <c r="AE2359" s="10"/>
      <c r="AF2359" s="10"/>
      <c r="AG2359" s="10"/>
      <c r="AH2359" s="10"/>
      <c r="AI2359" s="10"/>
    </row>
    <row r="2360" spans="1:35">
      <c r="A2360" s="10"/>
      <c r="B2360" s="10" t="str">
        <f t="shared" si="953"/>
        <v>PostPOST</v>
      </c>
      <c r="C2360" t="s">
        <v>1</v>
      </c>
      <c r="D2360" t="s">
        <v>19</v>
      </c>
      <c r="E2360" t="s">
        <v>468</v>
      </c>
      <c r="G2360" t="s">
        <v>1329</v>
      </c>
      <c r="I2360" s="10"/>
      <c r="J2360" s="107">
        <f>SUMIF(Data!C:C,G2360,Data!Q:Q)</f>
        <v>0</v>
      </c>
      <c r="K2360" s="107">
        <f>SUMIF(Comprometidos!A:A,'Cost Report'!G2360,Comprometidos!E:E)</f>
        <v>0</v>
      </c>
      <c r="L2360" s="107">
        <f t="shared" si="954"/>
        <v>0</v>
      </c>
      <c r="M2360" s="107">
        <v>0</v>
      </c>
      <c r="N2360" s="107">
        <f t="shared" si="956"/>
        <v>0</v>
      </c>
      <c r="O2360" s="107">
        <f>VLOOKUP(G2360,Budget!$E$3:$G$2474,3,0)</f>
        <v>6300</v>
      </c>
      <c r="P2360" s="107">
        <f t="shared" si="957"/>
        <v>6300</v>
      </c>
      <c r="Q2360" s="107"/>
      <c r="R2360" s="10"/>
      <c r="S2360" s="107">
        <v>0</v>
      </c>
      <c r="T2360" s="107">
        <f t="shared" si="959"/>
        <v>0</v>
      </c>
      <c r="U2360" s="107"/>
      <c r="V2360" s="175"/>
      <c r="W2360" s="10"/>
      <c r="X2360" s="10"/>
      <c r="Y2360" t="str">
        <f t="shared" si="958"/>
        <v>6136</v>
      </c>
      <c r="AB2360" s="10"/>
      <c r="AC2360" s="10"/>
      <c r="AD2360" s="10"/>
      <c r="AE2360" s="10"/>
      <c r="AF2360" s="10"/>
      <c r="AG2360" s="10"/>
      <c r="AH2360" s="10"/>
      <c r="AI2360" s="10"/>
    </row>
    <row r="2361" spans="1:35">
      <c r="A2361" s="10"/>
      <c r="B2361" s="10" t="str">
        <f t="shared" si="953"/>
        <v>PostPOST</v>
      </c>
      <c r="C2361" t="s">
        <v>1</v>
      </c>
      <c r="D2361" t="s">
        <v>19</v>
      </c>
      <c r="E2361" t="s">
        <v>468</v>
      </c>
      <c r="G2361" t="s">
        <v>1330</v>
      </c>
      <c r="I2361" s="10"/>
      <c r="J2361" s="107">
        <f>SUMIF(Data!C:C,G2361,Data!Q:Q)</f>
        <v>0</v>
      </c>
      <c r="K2361" s="107">
        <f>SUMIF(Comprometidos!A:A,'Cost Report'!G2361,Comprometidos!E:E)</f>
        <v>0</v>
      </c>
      <c r="L2361" s="107">
        <f t="shared" si="954"/>
        <v>0</v>
      </c>
      <c r="M2361" s="107">
        <v>0</v>
      </c>
      <c r="N2361" s="107">
        <f t="shared" si="956"/>
        <v>0</v>
      </c>
      <c r="O2361" s="107">
        <f>VLOOKUP(G2361,Budget!$E$3:$G$2474,3,0)</f>
        <v>3150</v>
      </c>
      <c r="P2361" s="107">
        <f t="shared" si="957"/>
        <v>3150</v>
      </c>
      <c r="Q2361" s="107"/>
      <c r="R2361" s="10"/>
      <c r="S2361" s="107">
        <v>0</v>
      </c>
      <c r="T2361" s="107">
        <f t="shared" si="959"/>
        <v>0</v>
      </c>
      <c r="U2361" s="107"/>
      <c r="V2361" s="175"/>
      <c r="W2361" s="10"/>
      <c r="X2361" s="10"/>
      <c r="Y2361" t="str">
        <f t="shared" si="958"/>
        <v>6136</v>
      </c>
      <c r="AB2361" s="10"/>
      <c r="AC2361" s="10"/>
      <c r="AD2361" s="10"/>
      <c r="AE2361" s="10"/>
      <c r="AF2361" s="10"/>
      <c r="AG2361" s="10"/>
      <c r="AH2361" s="10"/>
      <c r="AI2361" s="10"/>
    </row>
    <row r="2362" spans="1:35">
      <c r="A2362" s="10"/>
      <c r="B2362" s="10" t="str">
        <f t="shared" si="953"/>
        <v>PostPOST</v>
      </c>
      <c r="C2362" t="s">
        <v>1</v>
      </c>
      <c r="D2362" t="s">
        <v>19</v>
      </c>
      <c r="E2362" t="s">
        <v>468</v>
      </c>
      <c r="G2362" t="s">
        <v>1331</v>
      </c>
      <c r="I2362" s="10"/>
      <c r="J2362" s="107">
        <f>SUMIF(Data!C:C,G2362,Data!Q:Q)</f>
        <v>0</v>
      </c>
      <c r="K2362" s="107">
        <f>SUMIF(Comprometidos!A:A,'Cost Report'!G2362,Comprometidos!E:E)</f>
        <v>0</v>
      </c>
      <c r="L2362" s="107">
        <f t="shared" si="954"/>
        <v>0</v>
      </c>
      <c r="M2362" s="107">
        <v>0</v>
      </c>
      <c r="N2362" s="107">
        <f t="shared" si="956"/>
        <v>0</v>
      </c>
      <c r="O2362" s="107">
        <f>VLOOKUP(G2362,Budget!$E$3:$G$2474,3,0)</f>
        <v>8000</v>
      </c>
      <c r="P2362" s="107">
        <f t="shared" si="957"/>
        <v>8000</v>
      </c>
      <c r="Q2362" s="107"/>
      <c r="R2362" s="10"/>
      <c r="S2362" s="107">
        <v>0</v>
      </c>
      <c r="T2362" s="107">
        <f t="shared" si="959"/>
        <v>0</v>
      </c>
      <c r="U2362" s="107"/>
      <c r="V2362" s="175"/>
      <c r="W2362" s="10"/>
      <c r="X2362" s="10"/>
      <c r="Y2362" t="str">
        <f t="shared" si="958"/>
        <v>6136</v>
      </c>
      <c r="AB2362" s="10"/>
      <c r="AC2362" s="10"/>
      <c r="AD2362" s="10"/>
      <c r="AE2362" s="10"/>
      <c r="AF2362" s="10"/>
      <c r="AG2362" s="10"/>
      <c r="AH2362" s="10"/>
      <c r="AI2362" s="10"/>
    </row>
    <row r="2363" spans="1:35">
      <c r="A2363" s="10"/>
      <c r="B2363" s="10" t="str">
        <f t="shared" si="953"/>
        <v>PostPOST</v>
      </c>
      <c r="C2363" t="s">
        <v>1</v>
      </c>
      <c r="D2363" t="s">
        <v>19</v>
      </c>
      <c r="E2363" t="s">
        <v>468</v>
      </c>
      <c r="G2363" t="s">
        <v>1332</v>
      </c>
      <c r="I2363" s="10"/>
      <c r="J2363" s="107">
        <f>SUMIF(Data!C:C,G2363,Data!Q:Q)</f>
        <v>0</v>
      </c>
      <c r="K2363" s="107">
        <f>SUMIF(Comprometidos!A:A,'Cost Report'!G2363,Comprometidos!E:E)</f>
        <v>0</v>
      </c>
      <c r="L2363" s="107">
        <f t="shared" si="954"/>
        <v>0</v>
      </c>
      <c r="M2363" s="107">
        <v>0</v>
      </c>
      <c r="N2363" s="107">
        <f t="shared" si="956"/>
        <v>0</v>
      </c>
      <c r="O2363" s="107">
        <f>VLOOKUP(G2363,Budget!$E$3:$G$2474,3,0)</f>
        <v>3150</v>
      </c>
      <c r="P2363" s="107">
        <f t="shared" si="957"/>
        <v>3150</v>
      </c>
      <c r="Q2363" s="107"/>
      <c r="R2363" s="10"/>
      <c r="S2363" s="107">
        <v>0</v>
      </c>
      <c r="T2363" s="107">
        <f t="shared" si="959"/>
        <v>0</v>
      </c>
      <c r="U2363" s="107"/>
      <c r="V2363" s="175"/>
      <c r="W2363" s="10"/>
      <c r="X2363" s="10"/>
      <c r="Y2363" t="str">
        <f t="shared" si="958"/>
        <v>6136</v>
      </c>
      <c r="AB2363" s="10"/>
      <c r="AC2363" s="10"/>
      <c r="AD2363" s="10"/>
      <c r="AE2363" s="10"/>
      <c r="AF2363" s="10"/>
      <c r="AG2363" s="10"/>
      <c r="AH2363" s="10"/>
      <c r="AI2363" s="10"/>
    </row>
    <row r="2364" spans="1:35">
      <c r="A2364" s="10"/>
      <c r="B2364" s="10" t="str">
        <f t="shared" si="953"/>
        <v>PostPOST</v>
      </c>
      <c r="C2364" t="s">
        <v>1</v>
      </c>
      <c r="D2364" t="s">
        <v>19</v>
      </c>
      <c r="E2364" t="s">
        <v>468</v>
      </c>
      <c r="G2364" t="s">
        <v>1333</v>
      </c>
      <c r="I2364" s="10"/>
      <c r="J2364" s="107">
        <f>SUMIF(Data!C:C,G2364,Data!Q:Q)</f>
        <v>0</v>
      </c>
      <c r="K2364" s="107">
        <f>SUMIF(Comprometidos!A:A,'Cost Report'!G2364,Comprometidos!E:E)</f>
        <v>0</v>
      </c>
      <c r="L2364" s="107">
        <f t="shared" si="954"/>
        <v>0</v>
      </c>
      <c r="M2364" s="107">
        <v>0</v>
      </c>
      <c r="N2364" s="107">
        <f t="shared" si="956"/>
        <v>0</v>
      </c>
      <c r="O2364" s="107">
        <f>VLOOKUP(G2364,Budget!$E$3:$G$2474,3,0)</f>
        <v>3675</v>
      </c>
      <c r="P2364" s="107">
        <f t="shared" si="957"/>
        <v>3675</v>
      </c>
      <c r="Q2364" s="107"/>
      <c r="R2364" s="10"/>
      <c r="S2364" s="107">
        <v>0</v>
      </c>
      <c r="T2364" s="107">
        <f t="shared" si="959"/>
        <v>0</v>
      </c>
      <c r="U2364" s="107"/>
      <c r="V2364" s="175"/>
      <c r="W2364" s="10"/>
      <c r="X2364" s="10"/>
      <c r="Y2364" t="str">
        <f t="shared" si="958"/>
        <v>6136</v>
      </c>
      <c r="AB2364" s="10"/>
      <c r="AC2364" s="10"/>
      <c r="AD2364" s="10"/>
      <c r="AE2364" s="10"/>
      <c r="AF2364" s="10"/>
      <c r="AG2364" s="10"/>
      <c r="AH2364" s="10"/>
      <c r="AI2364" s="10"/>
    </row>
    <row r="2365" spans="1:35">
      <c r="A2365" s="10"/>
      <c r="B2365" s="10" t="str">
        <f t="shared" si="953"/>
        <v>PostPOST</v>
      </c>
      <c r="C2365" t="s">
        <v>1</v>
      </c>
      <c r="D2365" t="s">
        <v>19</v>
      </c>
      <c r="E2365" t="s">
        <v>468</v>
      </c>
      <c r="G2365" t="s">
        <v>1334</v>
      </c>
      <c r="I2365" s="10"/>
      <c r="J2365" s="107">
        <f>SUMIF(Data!C:C,G2365,Data!Q:Q)</f>
        <v>0</v>
      </c>
      <c r="K2365" s="107">
        <f>SUMIF(Comprometidos!A:A,'Cost Report'!G2365,Comprometidos!E:E)</f>
        <v>0</v>
      </c>
      <c r="L2365" s="107">
        <f t="shared" si="954"/>
        <v>0</v>
      </c>
      <c r="M2365" s="107">
        <v>0</v>
      </c>
      <c r="N2365" s="107">
        <f t="shared" si="956"/>
        <v>0</v>
      </c>
      <c r="O2365" s="107">
        <f>VLOOKUP(G2365,Budget!$E$3:$G$2474,3,0)</f>
        <v>40000</v>
      </c>
      <c r="P2365" s="107">
        <f t="shared" si="957"/>
        <v>40000</v>
      </c>
      <c r="Q2365" s="107"/>
      <c r="R2365" s="10"/>
      <c r="S2365" s="107">
        <v>0</v>
      </c>
      <c r="T2365" s="107">
        <f t="shared" si="959"/>
        <v>0</v>
      </c>
      <c r="U2365" s="107"/>
      <c r="V2365" s="175"/>
      <c r="W2365" s="10"/>
      <c r="X2365" s="10"/>
      <c r="Y2365" t="str">
        <f t="shared" si="958"/>
        <v>6136</v>
      </c>
      <c r="AB2365" s="10"/>
      <c r="AC2365" s="10"/>
      <c r="AD2365" s="10"/>
      <c r="AE2365" s="10"/>
      <c r="AF2365" s="10"/>
      <c r="AG2365" s="10"/>
      <c r="AH2365" s="10"/>
      <c r="AI2365" s="10"/>
    </row>
    <row r="2366" spans="1:35">
      <c r="A2366" s="10"/>
      <c r="B2366" s="10" t="str">
        <f t="shared" si="953"/>
        <v>PostPOST</v>
      </c>
      <c r="C2366" t="s">
        <v>1</v>
      </c>
      <c r="D2366" t="s">
        <v>19</v>
      </c>
      <c r="E2366" t="s">
        <v>468</v>
      </c>
      <c r="G2366" t="s">
        <v>1335</v>
      </c>
      <c r="I2366" s="10"/>
      <c r="J2366" s="107">
        <f>SUMIF(Data!C:C,G2366,Data!Q:Q)</f>
        <v>0</v>
      </c>
      <c r="K2366" s="107">
        <f>SUMIF(Comprometidos!A:A,'Cost Report'!G2366,Comprometidos!E:E)</f>
        <v>0</v>
      </c>
      <c r="L2366" s="107">
        <f t="shared" si="954"/>
        <v>0</v>
      </c>
      <c r="M2366" s="107">
        <v>0</v>
      </c>
      <c r="N2366" s="107">
        <f t="shared" si="956"/>
        <v>0</v>
      </c>
      <c r="O2366" s="107">
        <f>VLOOKUP(G2366,Budget!$E$3:$G$2474,3,0)</f>
        <v>3675</v>
      </c>
      <c r="P2366" s="107">
        <f t="shared" si="957"/>
        <v>3675</v>
      </c>
      <c r="Q2366" s="107"/>
      <c r="R2366" s="10"/>
      <c r="S2366" s="107">
        <v>0</v>
      </c>
      <c r="T2366" s="107">
        <f t="shared" si="959"/>
        <v>0</v>
      </c>
      <c r="U2366" s="107"/>
      <c r="V2366" s="175"/>
      <c r="W2366" s="10"/>
      <c r="X2366" s="10"/>
      <c r="Y2366" t="str">
        <f t="shared" si="958"/>
        <v>6136</v>
      </c>
      <c r="AB2366" s="10"/>
      <c r="AC2366" s="10"/>
      <c r="AD2366" s="10"/>
      <c r="AE2366" s="10"/>
      <c r="AF2366" s="10"/>
      <c r="AG2366" s="10"/>
      <c r="AH2366" s="10"/>
      <c r="AI2366" s="10"/>
    </row>
    <row r="2367" spans="1:35">
      <c r="A2367" s="10"/>
      <c r="B2367" s="10" t="str">
        <f t="shared" si="953"/>
        <v>PostPOST</v>
      </c>
      <c r="C2367" t="s">
        <v>1</v>
      </c>
      <c r="D2367" t="s">
        <v>19</v>
      </c>
      <c r="E2367" t="s">
        <v>468</v>
      </c>
      <c r="G2367" t="s">
        <v>1336</v>
      </c>
      <c r="I2367" s="10"/>
      <c r="J2367" s="107">
        <f>SUMIF(Data!C:C,G2367,Data!Q:Q)</f>
        <v>0</v>
      </c>
      <c r="K2367" s="107">
        <f>SUMIF(Comprometidos!A:A,'Cost Report'!G2367,Comprometidos!E:E)</f>
        <v>0</v>
      </c>
      <c r="L2367" s="107">
        <f t="shared" si="954"/>
        <v>0</v>
      </c>
      <c r="M2367" s="107">
        <v>0</v>
      </c>
      <c r="N2367" s="107">
        <f t="shared" si="956"/>
        <v>0</v>
      </c>
      <c r="O2367" s="107">
        <f>VLOOKUP(G2367,Budget!$E$3:$G$2474,3,0)</f>
        <v>20000</v>
      </c>
      <c r="P2367" s="107">
        <f t="shared" si="957"/>
        <v>20000</v>
      </c>
      <c r="Q2367" s="107"/>
      <c r="R2367" s="10"/>
      <c r="S2367" s="107">
        <v>0</v>
      </c>
      <c r="T2367" s="107">
        <f t="shared" si="959"/>
        <v>0</v>
      </c>
      <c r="U2367" s="107"/>
      <c r="V2367" s="175"/>
      <c r="W2367" s="10"/>
      <c r="X2367" s="10"/>
      <c r="Y2367" t="str">
        <f t="shared" si="958"/>
        <v>6136</v>
      </c>
      <c r="AB2367" s="10"/>
      <c r="AC2367" s="10"/>
      <c r="AD2367" s="10"/>
      <c r="AE2367" s="10"/>
      <c r="AF2367" s="10"/>
      <c r="AG2367" s="10"/>
      <c r="AH2367" s="10"/>
      <c r="AI2367" s="10"/>
    </row>
    <row r="2368" spans="1:35">
      <c r="A2368" s="10"/>
      <c r="B2368" s="10" t="str">
        <f t="shared" si="953"/>
        <v>PostPOST</v>
      </c>
      <c r="C2368" t="s">
        <v>1</v>
      </c>
      <c r="D2368" t="s">
        <v>19</v>
      </c>
      <c r="E2368" t="s">
        <v>468</v>
      </c>
      <c r="G2368" t="s">
        <v>1337</v>
      </c>
      <c r="I2368" s="10"/>
      <c r="J2368" s="107">
        <f>SUMIF(Data!C:C,G2368,Data!Q:Q)</f>
        <v>0</v>
      </c>
      <c r="K2368" s="107">
        <f>SUMIF(Comprometidos!A:A,'Cost Report'!G2368,Comprometidos!E:E)</f>
        <v>0</v>
      </c>
      <c r="L2368" s="107">
        <f t="shared" si="954"/>
        <v>0</v>
      </c>
      <c r="M2368" s="107">
        <v>0</v>
      </c>
      <c r="N2368" s="107">
        <f t="shared" si="956"/>
        <v>0</v>
      </c>
      <c r="O2368" s="107">
        <f>VLOOKUP(G2368,Budget!$E$3:$G$2474,3,0)</f>
        <v>3675</v>
      </c>
      <c r="P2368" s="107">
        <f t="shared" si="957"/>
        <v>3675</v>
      </c>
      <c r="Q2368" s="107"/>
      <c r="R2368" s="10"/>
      <c r="S2368" s="107">
        <v>0</v>
      </c>
      <c r="T2368" s="107">
        <f t="shared" si="959"/>
        <v>0</v>
      </c>
      <c r="U2368" s="107"/>
      <c r="V2368" s="175"/>
      <c r="W2368" s="10"/>
      <c r="X2368" s="10"/>
      <c r="Y2368" t="str">
        <f t="shared" si="958"/>
        <v>6136</v>
      </c>
      <c r="AB2368" s="10"/>
      <c r="AC2368" s="10"/>
      <c r="AD2368" s="10"/>
      <c r="AE2368" s="10"/>
      <c r="AF2368" s="10"/>
      <c r="AG2368" s="10"/>
      <c r="AH2368" s="10"/>
      <c r="AI2368" s="10"/>
    </row>
    <row r="2369" spans="1:35">
      <c r="A2369" s="10"/>
      <c r="B2369" s="10" t="str">
        <f t="shared" si="953"/>
        <v>PostPOST</v>
      </c>
      <c r="C2369" t="s">
        <v>1</v>
      </c>
      <c r="D2369" t="s">
        <v>19</v>
      </c>
      <c r="E2369" t="s">
        <v>468</v>
      </c>
      <c r="G2369" t="s">
        <v>1338</v>
      </c>
      <c r="I2369" s="10"/>
      <c r="J2369" s="107">
        <f>SUMIF(Data!C:C,G2369,Data!Q:Q)</f>
        <v>0</v>
      </c>
      <c r="K2369" s="107">
        <f>SUMIF(Comprometidos!A:A,'Cost Report'!G2369,Comprometidos!E:E)</f>
        <v>0</v>
      </c>
      <c r="L2369" s="107">
        <f t="shared" si="954"/>
        <v>0</v>
      </c>
      <c r="M2369" s="107">
        <v>0</v>
      </c>
      <c r="N2369" s="107">
        <f t="shared" si="956"/>
        <v>0</v>
      </c>
      <c r="O2369" s="107">
        <f>VLOOKUP(G2369,Budget!$E$3:$G$2474,3,0)</f>
        <v>3675</v>
      </c>
      <c r="P2369" s="107">
        <f t="shared" si="957"/>
        <v>3675</v>
      </c>
      <c r="Q2369" s="107"/>
      <c r="R2369" s="10"/>
      <c r="S2369" s="107">
        <v>0</v>
      </c>
      <c r="T2369" s="107">
        <f t="shared" si="959"/>
        <v>0</v>
      </c>
      <c r="U2369" s="107"/>
      <c r="V2369" s="175"/>
      <c r="W2369" s="10"/>
      <c r="X2369" s="10"/>
      <c r="Y2369" t="str">
        <f t="shared" si="958"/>
        <v>6136</v>
      </c>
      <c r="AB2369" s="10"/>
      <c r="AC2369" s="10"/>
      <c r="AD2369" s="10"/>
      <c r="AE2369" s="10"/>
      <c r="AF2369" s="10"/>
      <c r="AG2369" s="10"/>
      <c r="AH2369" s="10"/>
      <c r="AI2369" s="10"/>
    </row>
    <row r="2370" spans="1:35">
      <c r="A2370" s="10"/>
      <c r="B2370" s="10" t="str">
        <f t="shared" si="953"/>
        <v>PostPOST</v>
      </c>
      <c r="C2370" t="s">
        <v>1</v>
      </c>
      <c r="D2370" t="s">
        <v>19</v>
      </c>
      <c r="E2370" t="s">
        <v>468</v>
      </c>
      <c r="G2370" t="s">
        <v>1339</v>
      </c>
      <c r="I2370" s="10"/>
      <c r="J2370" s="107">
        <f>SUMIF(Data!C:C,G2370,Data!Q:Q)</f>
        <v>0</v>
      </c>
      <c r="K2370" s="107">
        <f>SUMIF(Comprometidos!A:A,'Cost Report'!G2370,Comprometidos!E:E)</f>
        <v>0</v>
      </c>
      <c r="L2370" s="107">
        <f t="shared" si="954"/>
        <v>0</v>
      </c>
      <c r="M2370" s="107">
        <v>0</v>
      </c>
      <c r="N2370" s="107">
        <f t="shared" si="956"/>
        <v>0</v>
      </c>
      <c r="O2370" s="107">
        <f>VLOOKUP(G2370,Budget!$E$3:$G$2474,3,0)</f>
        <v>3675</v>
      </c>
      <c r="P2370" s="107">
        <f t="shared" si="957"/>
        <v>3675</v>
      </c>
      <c r="Q2370" s="107"/>
      <c r="R2370" s="10"/>
      <c r="S2370" s="107">
        <v>0</v>
      </c>
      <c r="T2370" s="107">
        <f t="shared" si="959"/>
        <v>0</v>
      </c>
      <c r="U2370" s="107"/>
      <c r="V2370" s="175"/>
      <c r="W2370" s="10"/>
      <c r="X2370" s="10"/>
      <c r="Y2370" t="str">
        <f t="shared" si="958"/>
        <v>6136</v>
      </c>
      <c r="AB2370" s="10"/>
      <c r="AC2370" s="10"/>
      <c r="AD2370" s="10"/>
      <c r="AE2370" s="10"/>
      <c r="AF2370" s="10"/>
      <c r="AG2370" s="10"/>
      <c r="AH2370" s="10"/>
      <c r="AI2370" s="10"/>
    </row>
    <row r="2371" spans="1:35">
      <c r="A2371" s="10"/>
      <c r="B2371" s="10" t="str">
        <f t="shared" si="953"/>
        <v>PostPOST</v>
      </c>
      <c r="C2371" t="s">
        <v>1</v>
      </c>
      <c r="D2371" t="s">
        <v>19</v>
      </c>
      <c r="E2371" t="s">
        <v>468</v>
      </c>
      <c r="G2371" t="s">
        <v>1340</v>
      </c>
      <c r="I2371" s="10"/>
      <c r="J2371" s="107">
        <f>SUMIF(Data!C:C,G2371,Data!Q:Q)</f>
        <v>0</v>
      </c>
      <c r="K2371" s="107">
        <f>SUMIF(Comprometidos!A:A,'Cost Report'!G2371,Comprometidos!E:E)</f>
        <v>0</v>
      </c>
      <c r="L2371" s="107">
        <f t="shared" si="954"/>
        <v>0</v>
      </c>
      <c r="M2371" s="107">
        <v>0</v>
      </c>
      <c r="N2371" s="107">
        <f t="shared" si="956"/>
        <v>0</v>
      </c>
      <c r="O2371" s="107">
        <f>VLOOKUP(G2371,Budget!$E$3:$G$2474,3,0)</f>
        <v>12000</v>
      </c>
      <c r="P2371" s="107">
        <f t="shared" si="957"/>
        <v>12000</v>
      </c>
      <c r="Q2371" s="107"/>
      <c r="R2371" s="10"/>
      <c r="S2371" s="107">
        <v>0</v>
      </c>
      <c r="T2371" s="107">
        <f t="shared" si="959"/>
        <v>0</v>
      </c>
      <c r="U2371" s="107"/>
      <c r="V2371" s="175"/>
      <c r="W2371" s="10"/>
      <c r="X2371" s="10"/>
      <c r="Y2371" t="str">
        <f t="shared" si="958"/>
        <v>6136</v>
      </c>
      <c r="AB2371" s="10"/>
      <c r="AC2371" s="10"/>
      <c r="AD2371" s="10"/>
      <c r="AE2371" s="10"/>
      <c r="AF2371" s="10"/>
      <c r="AG2371" s="10"/>
      <c r="AH2371" s="10"/>
      <c r="AI2371" s="10"/>
    </row>
    <row r="2372" spans="1:35">
      <c r="A2372" s="10"/>
      <c r="B2372" s="10" t="str">
        <f t="shared" si="953"/>
        <v>PostPOST</v>
      </c>
      <c r="C2372" t="s">
        <v>1</v>
      </c>
      <c r="D2372" t="s">
        <v>19</v>
      </c>
      <c r="E2372" t="s">
        <v>468</v>
      </c>
      <c r="G2372" t="s">
        <v>1341</v>
      </c>
      <c r="I2372" s="10"/>
      <c r="J2372" s="107">
        <f>SUMIF(Data!C:C,G2372,Data!Q:Q)</f>
        <v>0</v>
      </c>
      <c r="K2372" s="107">
        <f>SUMIF(Comprometidos!A:A,'Cost Report'!G2372,Comprometidos!E:E)</f>
        <v>0</v>
      </c>
      <c r="L2372" s="107">
        <f t="shared" si="954"/>
        <v>0</v>
      </c>
      <c r="M2372" s="107">
        <v>0</v>
      </c>
      <c r="N2372" s="107">
        <f t="shared" si="956"/>
        <v>0</v>
      </c>
      <c r="O2372" s="107">
        <f>VLOOKUP(G2372,Budget!$E$3:$G$2474,3,0)</f>
        <v>12000</v>
      </c>
      <c r="P2372" s="107">
        <f t="shared" si="957"/>
        <v>12000</v>
      </c>
      <c r="Q2372" s="107"/>
      <c r="R2372" s="10"/>
      <c r="S2372" s="107">
        <v>0</v>
      </c>
      <c r="T2372" s="107">
        <f t="shared" si="959"/>
        <v>0</v>
      </c>
      <c r="U2372" s="107"/>
      <c r="V2372" s="175"/>
      <c r="W2372" s="10"/>
      <c r="X2372" s="10"/>
      <c r="Y2372" t="str">
        <f t="shared" si="958"/>
        <v>6136</v>
      </c>
      <c r="AB2372" s="10"/>
      <c r="AC2372" s="10"/>
      <c r="AD2372" s="10"/>
      <c r="AE2372" s="10"/>
      <c r="AF2372" s="10"/>
      <c r="AG2372" s="10"/>
      <c r="AH2372" s="10"/>
      <c r="AI2372" s="10"/>
    </row>
    <row r="2373" spans="1:35">
      <c r="A2373" s="10"/>
      <c r="B2373" s="10" t="str">
        <f t="shared" si="953"/>
        <v>Post</v>
      </c>
      <c r="C2373" t="s">
        <v>1</v>
      </c>
      <c r="D2373" t="s">
        <v>19</v>
      </c>
      <c r="E2373" t="s">
        <v>214</v>
      </c>
      <c r="G2373" t="s">
        <v>1342</v>
      </c>
      <c r="I2373" s="10"/>
      <c r="J2373" s="107">
        <f>SUMIF(Data!C:C,G2373,Data!Q:Q)</f>
        <v>0</v>
      </c>
      <c r="K2373" s="107">
        <f>SUMIF(Comprometidos!A:A,'Cost Report'!G2373,Comprometidos!E:E)</f>
        <v>0</v>
      </c>
      <c r="L2373" s="107">
        <f t="shared" si="954"/>
        <v>0</v>
      </c>
      <c r="M2373" s="107">
        <v>0</v>
      </c>
      <c r="N2373" s="107">
        <f t="shared" si="956"/>
        <v>0</v>
      </c>
      <c r="O2373" s="107">
        <f>VLOOKUP(G2373,Budget!$E$3:$G$2474,3,0)</f>
        <v>0</v>
      </c>
      <c r="P2373" s="107">
        <f t="shared" si="957"/>
        <v>0</v>
      </c>
      <c r="Q2373" s="107"/>
      <c r="R2373" s="10"/>
      <c r="S2373" s="107">
        <v>0</v>
      </c>
      <c r="T2373" s="107">
        <f t="shared" si="959"/>
        <v>0</v>
      </c>
      <c r="U2373" s="107"/>
      <c r="V2373" s="175"/>
      <c r="W2373" s="10"/>
      <c r="X2373" s="10"/>
      <c r="Y2373" t="str">
        <f t="shared" si="958"/>
        <v>6136</v>
      </c>
      <c r="AB2373" s="10"/>
      <c r="AC2373" s="10"/>
      <c r="AD2373" s="10"/>
      <c r="AE2373" s="10"/>
      <c r="AF2373" s="10"/>
      <c r="AG2373" s="10"/>
      <c r="AH2373" s="10"/>
      <c r="AI2373" s="10"/>
    </row>
    <row r="2374" spans="1:35">
      <c r="A2374" s="10"/>
      <c r="B2374" s="10" t="str">
        <f t="shared" si="953"/>
        <v>PostPOST</v>
      </c>
      <c r="C2374" t="s">
        <v>1</v>
      </c>
      <c r="D2374" t="s">
        <v>19</v>
      </c>
      <c r="E2374" t="s">
        <v>468</v>
      </c>
      <c r="G2374" t="s">
        <v>1343</v>
      </c>
      <c r="I2374" s="10"/>
      <c r="J2374" s="107">
        <f>SUMIF(Data!C:C,G2374,Data!Q:Q)</f>
        <v>0</v>
      </c>
      <c r="K2374" s="107">
        <f>SUMIF(Comprometidos!A:A,'Cost Report'!G2374,Comprometidos!E:E)</f>
        <v>0</v>
      </c>
      <c r="L2374" s="107">
        <f t="shared" si="954"/>
        <v>0</v>
      </c>
      <c r="M2374" s="107">
        <v>0</v>
      </c>
      <c r="N2374" s="107">
        <f t="shared" si="956"/>
        <v>0</v>
      </c>
      <c r="O2374" s="107">
        <f>VLOOKUP(G2374,Budget!$E$3:$G$2474,3,0)</f>
        <v>3150</v>
      </c>
      <c r="P2374" s="107">
        <f t="shared" si="957"/>
        <v>3150</v>
      </c>
      <c r="Q2374" s="107"/>
      <c r="R2374" s="10"/>
      <c r="S2374" s="107">
        <v>0</v>
      </c>
      <c r="T2374" s="107">
        <f t="shared" si="959"/>
        <v>0</v>
      </c>
      <c r="U2374" s="107"/>
      <c r="V2374" s="175"/>
      <c r="W2374" s="10"/>
      <c r="X2374" s="10"/>
      <c r="Y2374" t="str">
        <f t="shared" si="958"/>
        <v>6136</v>
      </c>
      <c r="AB2374" s="10"/>
      <c r="AC2374" s="10"/>
      <c r="AD2374" s="10"/>
      <c r="AE2374" s="10"/>
      <c r="AF2374" s="10"/>
      <c r="AG2374" s="10"/>
      <c r="AH2374" s="10"/>
      <c r="AI2374" s="10"/>
    </row>
    <row r="2375" spans="1:35">
      <c r="A2375" s="10"/>
      <c r="B2375" s="10" t="str">
        <f t="shared" si="953"/>
        <v>PostPOST</v>
      </c>
      <c r="C2375" t="s">
        <v>1</v>
      </c>
      <c r="D2375" t="s">
        <v>19</v>
      </c>
      <c r="E2375" t="s">
        <v>468</v>
      </c>
      <c r="G2375" t="s">
        <v>1344</v>
      </c>
      <c r="I2375" s="10"/>
      <c r="J2375" s="107">
        <f>SUMIF(Data!C:C,G2375,Data!Q:Q)</f>
        <v>0</v>
      </c>
      <c r="K2375" s="107">
        <f>SUMIF(Comprometidos!A:A,'Cost Report'!G2375,Comprometidos!E:E)</f>
        <v>0</v>
      </c>
      <c r="L2375" s="107">
        <f t="shared" si="954"/>
        <v>0</v>
      </c>
      <c r="M2375" s="107">
        <v>0</v>
      </c>
      <c r="N2375" s="107">
        <f t="shared" si="956"/>
        <v>0</v>
      </c>
      <c r="O2375" s="107">
        <f>VLOOKUP(G2375,Budget!$E$3:$G$2474,3,0)</f>
        <v>3675</v>
      </c>
      <c r="P2375" s="107">
        <f t="shared" si="957"/>
        <v>3675</v>
      </c>
      <c r="Q2375" s="107"/>
      <c r="R2375" s="10"/>
      <c r="S2375" s="107">
        <v>0</v>
      </c>
      <c r="T2375" s="107">
        <f t="shared" si="959"/>
        <v>0</v>
      </c>
      <c r="U2375" s="107"/>
      <c r="V2375" s="175"/>
      <c r="W2375" s="10"/>
      <c r="X2375" s="10"/>
      <c r="Y2375" t="str">
        <f t="shared" si="958"/>
        <v>6136</v>
      </c>
      <c r="AB2375" s="10"/>
      <c r="AC2375" s="10"/>
      <c r="AD2375" s="10"/>
      <c r="AE2375" s="10"/>
      <c r="AF2375" s="10"/>
      <c r="AG2375" s="10"/>
      <c r="AH2375" s="10"/>
      <c r="AI2375" s="10"/>
    </row>
    <row r="2376" spans="1:35">
      <c r="A2376" s="10"/>
      <c r="B2376" s="10" t="str">
        <f t="shared" si="953"/>
        <v>PostPOST</v>
      </c>
      <c r="C2376" t="s">
        <v>1</v>
      </c>
      <c r="D2376" t="s">
        <v>19</v>
      </c>
      <c r="E2376" t="s">
        <v>468</v>
      </c>
      <c r="G2376" t="s">
        <v>1345</v>
      </c>
      <c r="I2376" s="10"/>
      <c r="J2376" s="107">
        <f>SUMIF(Data!C:C,G2376,Data!Q:Q)</f>
        <v>0</v>
      </c>
      <c r="K2376" s="107">
        <f>SUMIF(Comprometidos!A:A,'Cost Report'!G2376,Comprometidos!E:E)</f>
        <v>0</v>
      </c>
      <c r="L2376" s="107">
        <f t="shared" si="954"/>
        <v>0</v>
      </c>
      <c r="M2376" s="107">
        <v>0</v>
      </c>
      <c r="N2376" s="107">
        <f t="shared" si="956"/>
        <v>0</v>
      </c>
      <c r="O2376" s="107">
        <f>VLOOKUP(G2376,Budget!$E$3:$G$2474,3,0)</f>
        <v>3675</v>
      </c>
      <c r="P2376" s="107">
        <f t="shared" si="957"/>
        <v>3675</v>
      </c>
      <c r="Q2376" s="107"/>
      <c r="R2376" s="10"/>
      <c r="S2376" s="107">
        <v>0</v>
      </c>
      <c r="T2376" s="107">
        <f t="shared" si="959"/>
        <v>0</v>
      </c>
      <c r="U2376" s="107"/>
      <c r="V2376" s="175"/>
      <c r="W2376" s="10"/>
      <c r="X2376" s="10"/>
      <c r="Y2376" t="str">
        <f t="shared" si="958"/>
        <v>6136</v>
      </c>
      <c r="AB2376" s="10"/>
      <c r="AC2376" s="10"/>
      <c r="AD2376" s="10"/>
      <c r="AE2376" s="10"/>
      <c r="AF2376" s="10"/>
      <c r="AG2376" s="10"/>
      <c r="AH2376" s="10"/>
      <c r="AI2376" s="10"/>
    </row>
    <row r="2377" spans="1:35">
      <c r="A2377" s="10"/>
      <c r="B2377" s="10" t="str">
        <f t="shared" si="953"/>
        <v>PostPOST</v>
      </c>
      <c r="C2377" t="s">
        <v>1</v>
      </c>
      <c r="D2377" t="s">
        <v>19</v>
      </c>
      <c r="E2377" t="s">
        <v>468</v>
      </c>
      <c r="G2377" t="s">
        <v>1346</v>
      </c>
      <c r="I2377" s="10"/>
      <c r="J2377" s="107">
        <f>SUMIF(Data!C:C,G2377,Data!Q:Q)</f>
        <v>0</v>
      </c>
      <c r="K2377" s="107">
        <f>SUMIF(Comprometidos!A:A,'Cost Report'!G2377,Comprometidos!E:E)</f>
        <v>0</v>
      </c>
      <c r="L2377" s="107">
        <f t="shared" si="954"/>
        <v>0</v>
      </c>
      <c r="M2377" s="107">
        <v>0</v>
      </c>
      <c r="N2377" s="107">
        <f t="shared" si="956"/>
        <v>0</v>
      </c>
      <c r="O2377" s="107">
        <f>VLOOKUP(G2377,Budget!$E$3:$G$2474,3,0)</f>
        <v>3675</v>
      </c>
      <c r="P2377" s="107">
        <f t="shared" si="957"/>
        <v>3675</v>
      </c>
      <c r="Q2377" s="107"/>
      <c r="R2377" s="10"/>
      <c r="S2377" s="107">
        <v>0</v>
      </c>
      <c r="T2377" s="107">
        <f t="shared" si="959"/>
        <v>0</v>
      </c>
      <c r="U2377" s="107"/>
      <c r="V2377" s="175"/>
      <c r="W2377" s="10"/>
      <c r="X2377" s="10"/>
      <c r="Y2377" t="str">
        <f t="shared" si="958"/>
        <v>6136</v>
      </c>
      <c r="AB2377" s="10"/>
      <c r="AC2377" s="10"/>
      <c r="AD2377" s="10"/>
      <c r="AE2377" s="10"/>
      <c r="AF2377" s="10"/>
      <c r="AG2377" s="10"/>
      <c r="AH2377" s="10"/>
      <c r="AI2377" s="10"/>
    </row>
    <row r="2378" spans="1:35">
      <c r="A2378" s="10"/>
      <c r="B2378" s="10" t="str">
        <f t="shared" si="953"/>
        <v>PostPOST</v>
      </c>
      <c r="C2378" t="s">
        <v>1</v>
      </c>
      <c r="D2378" t="s">
        <v>19</v>
      </c>
      <c r="E2378" t="s">
        <v>468</v>
      </c>
      <c r="G2378" t="s">
        <v>1347</v>
      </c>
      <c r="I2378" s="10"/>
      <c r="J2378" s="107">
        <f>SUMIF(Data!C:C,G2378,Data!Q:Q)</f>
        <v>0</v>
      </c>
      <c r="K2378" s="107">
        <f>SUMIF(Comprometidos!A:A,'Cost Report'!G2378,Comprometidos!E:E)</f>
        <v>0</v>
      </c>
      <c r="L2378" s="107">
        <f t="shared" si="954"/>
        <v>0</v>
      </c>
      <c r="M2378" s="107">
        <v>0</v>
      </c>
      <c r="N2378" s="107">
        <f t="shared" si="956"/>
        <v>0</v>
      </c>
      <c r="O2378" s="107">
        <f>VLOOKUP(G2378,Budget!$E$3:$G$2474,3,0)</f>
        <v>15000</v>
      </c>
      <c r="P2378" s="107">
        <f t="shared" si="957"/>
        <v>15000</v>
      </c>
      <c r="Q2378" s="107"/>
      <c r="R2378" s="10"/>
      <c r="S2378" s="107">
        <v>0</v>
      </c>
      <c r="T2378" s="107">
        <f t="shared" si="959"/>
        <v>0</v>
      </c>
      <c r="U2378" s="107"/>
      <c r="V2378" s="175"/>
      <c r="W2378" s="10"/>
      <c r="X2378" s="10"/>
      <c r="Y2378" t="str">
        <f t="shared" si="958"/>
        <v>6136</v>
      </c>
      <c r="AB2378" s="10"/>
      <c r="AC2378" s="10"/>
      <c r="AD2378" s="10"/>
      <c r="AE2378" s="10"/>
      <c r="AF2378" s="10"/>
      <c r="AG2378" s="10"/>
      <c r="AH2378" s="10"/>
      <c r="AI2378" s="10"/>
    </row>
    <row r="2379" spans="1:35">
      <c r="A2379" s="10"/>
      <c r="B2379" s="10" t="str">
        <f t="shared" si="953"/>
        <v>PostPOST</v>
      </c>
      <c r="C2379" t="s">
        <v>1</v>
      </c>
      <c r="D2379" t="s">
        <v>19</v>
      </c>
      <c r="E2379" t="s">
        <v>468</v>
      </c>
      <c r="G2379" t="s">
        <v>1348</v>
      </c>
      <c r="I2379" s="10"/>
      <c r="J2379" s="107">
        <f>SUMIF(Data!C:C,G2379,Data!Q:Q)</f>
        <v>0</v>
      </c>
      <c r="K2379" s="107">
        <f>SUMIF(Comprometidos!A:A,'Cost Report'!G2379,Comprometidos!E:E)</f>
        <v>0</v>
      </c>
      <c r="L2379" s="107">
        <f t="shared" si="954"/>
        <v>0</v>
      </c>
      <c r="M2379" s="107">
        <v>0</v>
      </c>
      <c r="N2379" s="107">
        <f t="shared" si="956"/>
        <v>0</v>
      </c>
      <c r="O2379" s="107">
        <f>VLOOKUP(G2379,Budget!$E$3:$G$2474,3,0)</f>
        <v>15000</v>
      </c>
      <c r="P2379" s="107">
        <f t="shared" si="957"/>
        <v>15000</v>
      </c>
      <c r="Q2379" s="107"/>
      <c r="R2379" s="10"/>
      <c r="S2379" s="107">
        <v>0</v>
      </c>
      <c r="T2379" s="107">
        <f t="shared" si="959"/>
        <v>0</v>
      </c>
      <c r="U2379" s="107"/>
      <c r="V2379" s="175"/>
      <c r="W2379" s="10"/>
      <c r="X2379" s="10"/>
      <c r="Y2379" t="str">
        <f t="shared" si="958"/>
        <v>6136</v>
      </c>
      <c r="AB2379" s="10"/>
      <c r="AC2379" s="10"/>
      <c r="AD2379" s="10"/>
      <c r="AE2379" s="10"/>
      <c r="AF2379" s="10"/>
      <c r="AG2379" s="10"/>
      <c r="AH2379" s="10"/>
      <c r="AI2379" s="10"/>
    </row>
    <row r="2380" spans="1:35">
      <c r="A2380" s="10"/>
      <c r="B2380" s="10" t="str">
        <f t="shared" si="953"/>
        <v>Post</v>
      </c>
      <c r="C2380" t="s">
        <v>1</v>
      </c>
      <c r="D2380" t="s">
        <v>19</v>
      </c>
      <c r="E2380" t="s">
        <v>214</v>
      </c>
      <c r="G2380" t="s">
        <v>1349</v>
      </c>
      <c r="I2380" s="10"/>
      <c r="J2380" s="107">
        <f>SUMIF(Data!C:C,G2380,Data!Q:Q)</f>
        <v>0</v>
      </c>
      <c r="K2380" s="107">
        <f>SUMIF(Comprometidos!A:A,'Cost Report'!G2380,Comprometidos!E:E)</f>
        <v>0</v>
      </c>
      <c r="L2380" s="107">
        <f t="shared" si="954"/>
        <v>0</v>
      </c>
      <c r="M2380" s="107">
        <v>0</v>
      </c>
      <c r="N2380" s="107">
        <f t="shared" si="956"/>
        <v>0</v>
      </c>
      <c r="O2380" s="107">
        <f>VLOOKUP(G2380,Budget!$E$3:$G$2474,3,0)</f>
        <v>0</v>
      </c>
      <c r="P2380" s="107">
        <f t="shared" si="957"/>
        <v>0</v>
      </c>
      <c r="Q2380" s="107"/>
      <c r="R2380" s="10"/>
      <c r="S2380" s="107">
        <v>0</v>
      </c>
      <c r="T2380" s="107">
        <f t="shared" si="959"/>
        <v>0</v>
      </c>
      <c r="U2380" s="107"/>
      <c r="V2380" s="175"/>
      <c r="W2380" s="10"/>
      <c r="X2380" s="10"/>
      <c r="Y2380" t="str">
        <f t="shared" si="958"/>
        <v>6136</v>
      </c>
      <c r="AB2380" s="10"/>
      <c r="AC2380" s="10"/>
      <c r="AD2380" s="10"/>
      <c r="AE2380" s="10"/>
      <c r="AF2380" s="10"/>
      <c r="AG2380" s="10"/>
      <c r="AH2380" s="10"/>
      <c r="AI2380" s="10"/>
    </row>
    <row r="2381" spans="1:35">
      <c r="A2381" s="10"/>
      <c r="B2381" s="10" t="str">
        <f t="shared" si="953"/>
        <v>PostPOST</v>
      </c>
      <c r="C2381" t="s">
        <v>1</v>
      </c>
      <c r="D2381" t="s">
        <v>19</v>
      </c>
      <c r="E2381" t="s">
        <v>468</v>
      </c>
      <c r="G2381" t="s">
        <v>1350</v>
      </c>
      <c r="I2381" s="10"/>
      <c r="J2381" s="107">
        <f>SUMIF(Data!C:C,G2381,Data!Q:Q)</f>
        <v>0</v>
      </c>
      <c r="K2381" s="107">
        <f>SUMIF(Comprometidos!A:A,'Cost Report'!G2381,Comprometidos!E:E)</f>
        <v>0</v>
      </c>
      <c r="L2381" s="107">
        <f t="shared" si="954"/>
        <v>0</v>
      </c>
      <c r="M2381" s="107">
        <v>0</v>
      </c>
      <c r="N2381" s="107">
        <f t="shared" si="956"/>
        <v>0</v>
      </c>
      <c r="O2381" s="107">
        <f>VLOOKUP(G2381,Budget!$E$3:$G$2474,3,0)</f>
        <v>7350</v>
      </c>
      <c r="P2381" s="107">
        <f t="shared" si="957"/>
        <v>7350</v>
      </c>
      <c r="Q2381" s="107"/>
      <c r="R2381" s="10"/>
      <c r="S2381" s="107">
        <v>0</v>
      </c>
      <c r="T2381" s="107">
        <f t="shared" si="959"/>
        <v>0</v>
      </c>
      <c r="U2381" s="107"/>
      <c r="V2381" s="175"/>
      <c r="W2381" s="10"/>
      <c r="X2381" s="10"/>
      <c r="Y2381" t="str">
        <f t="shared" si="958"/>
        <v>6136</v>
      </c>
      <c r="AB2381" s="10"/>
      <c r="AC2381" s="10"/>
      <c r="AD2381" s="10"/>
      <c r="AE2381" s="10"/>
      <c r="AF2381" s="10"/>
      <c r="AG2381" s="10"/>
      <c r="AH2381" s="10"/>
      <c r="AI2381" s="10"/>
    </row>
    <row r="2382" spans="1:35">
      <c r="A2382" s="10"/>
      <c r="B2382" s="10" t="str">
        <f t="shared" si="953"/>
        <v>PostPOST</v>
      </c>
      <c r="C2382" t="s">
        <v>1</v>
      </c>
      <c r="D2382" t="s">
        <v>19</v>
      </c>
      <c r="E2382" t="s">
        <v>468</v>
      </c>
      <c r="G2382" t="s">
        <v>1351</v>
      </c>
      <c r="I2382" s="10"/>
      <c r="J2382" s="107">
        <f>SUMIF(Data!C:C,G2382,Data!Q:Q)</f>
        <v>0</v>
      </c>
      <c r="K2382" s="107">
        <f>SUMIF(Comprometidos!A:A,'Cost Report'!G2382,Comprometidos!E:E)</f>
        <v>0</v>
      </c>
      <c r="L2382" s="107">
        <f t="shared" si="954"/>
        <v>0</v>
      </c>
      <c r="M2382" s="107">
        <v>0</v>
      </c>
      <c r="N2382" s="107">
        <f t="shared" si="956"/>
        <v>0</v>
      </c>
      <c r="O2382" s="107">
        <f>VLOOKUP(G2382,Budget!$E$3:$G$2474,3,0)</f>
        <v>3675</v>
      </c>
      <c r="P2382" s="107">
        <f t="shared" si="957"/>
        <v>3675</v>
      </c>
      <c r="Q2382" s="107"/>
      <c r="R2382" s="10"/>
      <c r="S2382" s="107">
        <v>0</v>
      </c>
      <c r="T2382" s="107">
        <f t="shared" si="959"/>
        <v>0</v>
      </c>
      <c r="U2382" s="107"/>
      <c r="V2382" s="175"/>
      <c r="W2382" s="10"/>
      <c r="X2382" s="10"/>
      <c r="Y2382" t="str">
        <f t="shared" si="958"/>
        <v>6136</v>
      </c>
      <c r="AB2382" s="10"/>
      <c r="AC2382" s="10"/>
      <c r="AD2382" s="10"/>
      <c r="AE2382" s="10"/>
      <c r="AF2382" s="10"/>
      <c r="AG2382" s="10"/>
      <c r="AH2382" s="10"/>
      <c r="AI2382" s="10"/>
    </row>
    <row r="2383" spans="1:35">
      <c r="A2383" s="10"/>
      <c r="B2383" s="10" t="str">
        <f t="shared" si="953"/>
        <v>PostPOST</v>
      </c>
      <c r="C2383" t="s">
        <v>1</v>
      </c>
      <c r="D2383" t="s">
        <v>19</v>
      </c>
      <c r="E2383" t="s">
        <v>468</v>
      </c>
      <c r="G2383" t="s">
        <v>1352</v>
      </c>
      <c r="I2383" s="10"/>
      <c r="J2383" s="107">
        <f>SUMIF(Data!C:C,G2383,Data!Q:Q)</f>
        <v>0</v>
      </c>
      <c r="K2383" s="107">
        <f>SUMIF(Comprometidos!A:A,'Cost Report'!G2383,Comprometidos!E:E)</f>
        <v>0</v>
      </c>
      <c r="L2383" s="107">
        <f t="shared" ref="L2383:L2414" si="960">+J2383+K2383</f>
        <v>0</v>
      </c>
      <c r="M2383" s="107">
        <v>0</v>
      </c>
      <c r="N2383" s="107">
        <f t="shared" ref="N2383:N2414" si="961">+L2383+M2383</f>
        <v>0</v>
      </c>
      <c r="O2383" s="107">
        <f>VLOOKUP(G2383,Budget!$E$3:$G$2474,3,0)</f>
        <v>7350</v>
      </c>
      <c r="P2383" s="107">
        <f t="shared" ref="P2383:P2414" si="962">+O2383-N2383</f>
        <v>7350</v>
      </c>
      <c r="Q2383" s="107"/>
      <c r="R2383" s="10"/>
      <c r="S2383" s="107">
        <v>0</v>
      </c>
      <c r="T2383" s="107">
        <f t="shared" si="959"/>
        <v>0</v>
      </c>
      <c r="U2383" s="107"/>
      <c r="V2383" s="175"/>
      <c r="W2383" s="10"/>
      <c r="X2383" s="10"/>
      <c r="Y2383" t="str">
        <f t="shared" si="958"/>
        <v>6136</v>
      </c>
      <c r="AB2383" s="10"/>
      <c r="AC2383" s="10"/>
      <c r="AD2383" s="10"/>
      <c r="AE2383" s="10"/>
      <c r="AF2383" s="10"/>
      <c r="AG2383" s="10"/>
      <c r="AH2383" s="10"/>
      <c r="AI2383" s="10"/>
    </row>
    <row r="2384" spans="1:35">
      <c r="A2384" s="10"/>
      <c r="B2384" s="10" t="str">
        <f t="shared" ref="B2384:B2414" si="963">+C2384&amp;E2384</f>
        <v>PostPOST</v>
      </c>
      <c r="C2384" t="s">
        <v>1</v>
      </c>
      <c r="D2384" t="s">
        <v>19</v>
      </c>
      <c r="E2384" t="s">
        <v>468</v>
      </c>
      <c r="G2384" t="s">
        <v>1353</v>
      </c>
      <c r="I2384" s="10"/>
      <c r="J2384" s="107">
        <f>SUMIF(Data!C:C,G2384,Data!Q:Q)</f>
        <v>0</v>
      </c>
      <c r="K2384" s="107">
        <f>SUMIF(Comprometidos!A:A,'Cost Report'!G2384,Comprometidos!E:E)</f>
        <v>0</v>
      </c>
      <c r="L2384" s="107">
        <f t="shared" si="960"/>
        <v>0</v>
      </c>
      <c r="M2384" s="107">
        <v>0</v>
      </c>
      <c r="N2384" s="107">
        <f t="shared" si="961"/>
        <v>0</v>
      </c>
      <c r="O2384" s="107">
        <f>VLOOKUP(G2384,Budget!$E$3:$G$2474,3,0)</f>
        <v>6300</v>
      </c>
      <c r="P2384" s="107">
        <f t="shared" si="962"/>
        <v>6300</v>
      </c>
      <c r="Q2384" s="107"/>
      <c r="R2384" s="10"/>
      <c r="S2384" s="107">
        <v>0</v>
      </c>
      <c r="T2384" s="107">
        <f t="shared" si="959"/>
        <v>0</v>
      </c>
      <c r="U2384" s="107"/>
      <c r="V2384" s="175"/>
      <c r="W2384" s="10"/>
      <c r="X2384" s="10"/>
      <c r="Y2384" t="str">
        <f t="shared" ref="Y2384:Y2414" si="964">LEFT(G2384,4)</f>
        <v>6136</v>
      </c>
      <c r="AB2384" s="10"/>
      <c r="AC2384" s="10"/>
      <c r="AD2384" s="10"/>
      <c r="AE2384" s="10"/>
      <c r="AF2384" s="10"/>
      <c r="AG2384" s="10"/>
      <c r="AH2384" s="10"/>
      <c r="AI2384" s="10"/>
    </row>
    <row r="2385" spans="1:35">
      <c r="A2385" s="10"/>
      <c r="B2385" s="10" t="str">
        <f t="shared" si="963"/>
        <v>PostPOST</v>
      </c>
      <c r="C2385" t="s">
        <v>1</v>
      </c>
      <c r="D2385" t="s">
        <v>19</v>
      </c>
      <c r="E2385" t="s">
        <v>468</v>
      </c>
      <c r="G2385" t="s">
        <v>1354</v>
      </c>
      <c r="I2385" s="10"/>
      <c r="J2385" s="107">
        <f>SUMIF(Data!C:C,G2385,Data!Q:Q)</f>
        <v>0</v>
      </c>
      <c r="K2385" s="107">
        <f>SUMIF(Comprometidos!A:A,'Cost Report'!G2385,Comprometidos!E:E)</f>
        <v>0</v>
      </c>
      <c r="L2385" s="107">
        <f t="shared" si="960"/>
        <v>0</v>
      </c>
      <c r="M2385" s="107">
        <v>0</v>
      </c>
      <c r="N2385" s="107">
        <f t="shared" si="961"/>
        <v>0</v>
      </c>
      <c r="O2385" s="107">
        <f>VLOOKUP(G2385,Budget!$E$3:$G$2474,3,0)</f>
        <v>3675</v>
      </c>
      <c r="P2385" s="107">
        <f t="shared" si="962"/>
        <v>3675</v>
      </c>
      <c r="Q2385" s="107"/>
      <c r="R2385" s="10"/>
      <c r="S2385" s="107">
        <v>0</v>
      </c>
      <c r="T2385" s="107">
        <f t="shared" si="959"/>
        <v>0</v>
      </c>
      <c r="U2385" s="107"/>
      <c r="V2385" s="175"/>
      <c r="W2385" s="10"/>
      <c r="X2385" s="10"/>
      <c r="Y2385" t="str">
        <f t="shared" si="964"/>
        <v>6136</v>
      </c>
      <c r="AB2385" s="10"/>
      <c r="AC2385" s="10"/>
      <c r="AD2385" s="10"/>
      <c r="AE2385" s="10"/>
      <c r="AF2385" s="10"/>
      <c r="AG2385" s="10"/>
      <c r="AH2385" s="10"/>
      <c r="AI2385" s="10"/>
    </row>
    <row r="2386" spans="1:35">
      <c r="A2386" s="10"/>
      <c r="B2386" s="10" t="str">
        <f t="shared" si="963"/>
        <v>PostPOST</v>
      </c>
      <c r="C2386" t="s">
        <v>1</v>
      </c>
      <c r="D2386" t="s">
        <v>19</v>
      </c>
      <c r="E2386" t="s">
        <v>468</v>
      </c>
      <c r="G2386" t="s">
        <v>1355</v>
      </c>
      <c r="I2386" s="10"/>
      <c r="J2386" s="107">
        <f>SUMIF(Data!C:C,G2386,Data!Q:Q)</f>
        <v>0</v>
      </c>
      <c r="K2386" s="107">
        <f>SUMIF(Comprometidos!A:A,'Cost Report'!G2386,Comprometidos!E:E)</f>
        <v>0</v>
      </c>
      <c r="L2386" s="107">
        <f t="shared" si="960"/>
        <v>0</v>
      </c>
      <c r="M2386" s="107">
        <v>0</v>
      </c>
      <c r="N2386" s="107">
        <f t="shared" si="961"/>
        <v>0</v>
      </c>
      <c r="O2386" s="107">
        <f>VLOOKUP(G2386,Budget!$E$3:$G$2474,3,0)</f>
        <v>7300</v>
      </c>
      <c r="P2386" s="107">
        <f t="shared" si="962"/>
        <v>7300</v>
      </c>
      <c r="Q2386" s="107"/>
      <c r="R2386" s="10"/>
      <c r="S2386" s="107">
        <v>0</v>
      </c>
      <c r="T2386" s="107">
        <f t="shared" si="959"/>
        <v>0</v>
      </c>
      <c r="U2386" s="107"/>
      <c r="V2386" s="175"/>
      <c r="W2386" s="10"/>
      <c r="X2386" s="10"/>
      <c r="Y2386" t="str">
        <f t="shared" si="964"/>
        <v>6136</v>
      </c>
      <c r="AB2386" s="10"/>
      <c r="AC2386" s="10"/>
      <c r="AD2386" s="10"/>
      <c r="AE2386" s="10"/>
      <c r="AF2386" s="10"/>
      <c r="AG2386" s="10"/>
      <c r="AH2386" s="10"/>
      <c r="AI2386" s="10"/>
    </row>
    <row r="2387" spans="1:35">
      <c r="A2387" s="10"/>
      <c r="B2387" s="10" t="str">
        <f t="shared" si="963"/>
        <v>PostPOST</v>
      </c>
      <c r="C2387" t="s">
        <v>1</v>
      </c>
      <c r="D2387" t="s">
        <v>19</v>
      </c>
      <c r="E2387" t="s">
        <v>468</v>
      </c>
      <c r="G2387" t="s">
        <v>1356</v>
      </c>
      <c r="I2387" s="10"/>
      <c r="J2387" s="107">
        <f>SUMIF(Data!C:C,G2387,Data!Q:Q)</f>
        <v>0</v>
      </c>
      <c r="K2387" s="107">
        <f>SUMIF(Comprometidos!A:A,'Cost Report'!G2387,Comprometidos!E:E)</f>
        <v>0</v>
      </c>
      <c r="L2387" s="107">
        <f t="shared" si="960"/>
        <v>0</v>
      </c>
      <c r="M2387" s="107">
        <v>0</v>
      </c>
      <c r="N2387" s="107">
        <f t="shared" si="961"/>
        <v>0</v>
      </c>
      <c r="O2387" s="107">
        <f>VLOOKUP(G2387,Budget!$E$3:$G$2474,3,0)</f>
        <v>9450</v>
      </c>
      <c r="P2387" s="107">
        <f t="shared" si="962"/>
        <v>9450</v>
      </c>
      <c r="Q2387" s="107"/>
      <c r="R2387" s="10"/>
      <c r="S2387" s="107">
        <v>0</v>
      </c>
      <c r="T2387" s="107">
        <f t="shared" si="959"/>
        <v>0</v>
      </c>
      <c r="U2387" s="107"/>
      <c r="V2387" s="175"/>
      <c r="W2387" s="10"/>
      <c r="X2387" s="10"/>
      <c r="Y2387" t="str">
        <f t="shared" si="964"/>
        <v>6136</v>
      </c>
      <c r="AB2387" s="10"/>
      <c r="AC2387" s="10"/>
      <c r="AD2387" s="10"/>
      <c r="AE2387" s="10"/>
      <c r="AF2387" s="10"/>
      <c r="AG2387" s="10"/>
      <c r="AH2387" s="10"/>
      <c r="AI2387" s="10"/>
    </row>
    <row r="2388" spans="1:35">
      <c r="A2388" s="10"/>
      <c r="B2388" s="10" t="str">
        <f t="shared" si="963"/>
        <v>PostPOST</v>
      </c>
      <c r="C2388" t="s">
        <v>1</v>
      </c>
      <c r="D2388" t="s">
        <v>19</v>
      </c>
      <c r="E2388" t="s">
        <v>468</v>
      </c>
      <c r="G2388" t="s">
        <v>1357</v>
      </c>
      <c r="I2388" s="10"/>
      <c r="J2388" s="107">
        <f>SUMIF(Data!C:C,G2388,Data!Q:Q)</f>
        <v>0</v>
      </c>
      <c r="K2388" s="107">
        <f>SUMIF(Comprometidos!A:A,'Cost Report'!G2388,Comprometidos!E:E)</f>
        <v>0</v>
      </c>
      <c r="L2388" s="107">
        <f t="shared" si="960"/>
        <v>0</v>
      </c>
      <c r="M2388" s="107">
        <v>0</v>
      </c>
      <c r="N2388" s="107">
        <f t="shared" si="961"/>
        <v>0</v>
      </c>
      <c r="O2388" s="107">
        <f>VLOOKUP(G2388,Budget!$E$3:$G$2474,3,0)</f>
        <v>9450</v>
      </c>
      <c r="P2388" s="107">
        <f t="shared" si="962"/>
        <v>9450</v>
      </c>
      <c r="Q2388" s="107"/>
      <c r="R2388" s="10"/>
      <c r="S2388" s="107">
        <v>0</v>
      </c>
      <c r="T2388" s="107">
        <f t="shared" si="959"/>
        <v>0</v>
      </c>
      <c r="U2388" s="107"/>
      <c r="V2388" s="175"/>
      <c r="W2388" s="10"/>
      <c r="X2388" s="10"/>
      <c r="Y2388" t="str">
        <f t="shared" si="964"/>
        <v>6136</v>
      </c>
      <c r="AB2388" s="10"/>
      <c r="AC2388" s="10"/>
      <c r="AD2388" s="10"/>
      <c r="AE2388" s="10"/>
      <c r="AF2388" s="10"/>
      <c r="AG2388" s="10"/>
      <c r="AH2388" s="10"/>
      <c r="AI2388" s="10"/>
    </row>
    <row r="2389" spans="1:35">
      <c r="A2389" s="10"/>
      <c r="B2389" s="10" t="str">
        <f t="shared" si="963"/>
        <v>PostPOST</v>
      </c>
      <c r="C2389" t="s">
        <v>1</v>
      </c>
      <c r="D2389" t="s">
        <v>19</v>
      </c>
      <c r="E2389" t="s">
        <v>468</v>
      </c>
      <c r="G2389" t="s">
        <v>1358</v>
      </c>
      <c r="I2389" s="10"/>
      <c r="J2389" s="107">
        <f>SUMIF(Data!C:C,G2389,Data!Q:Q)</f>
        <v>0</v>
      </c>
      <c r="K2389" s="107">
        <f>SUMIF(Comprometidos!A:A,'Cost Report'!G2389,Comprometidos!E:E)</f>
        <v>0</v>
      </c>
      <c r="L2389" s="107">
        <f t="shared" si="960"/>
        <v>0</v>
      </c>
      <c r="M2389" s="107">
        <v>0</v>
      </c>
      <c r="N2389" s="107">
        <f t="shared" si="961"/>
        <v>0</v>
      </c>
      <c r="O2389" s="107">
        <f>VLOOKUP(G2389,Budget!$E$3:$G$2474,3,0)</f>
        <v>20000</v>
      </c>
      <c r="P2389" s="107">
        <f t="shared" si="962"/>
        <v>20000</v>
      </c>
      <c r="Q2389" s="107"/>
      <c r="R2389" s="10"/>
      <c r="S2389" s="107">
        <v>0</v>
      </c>
      <c r="T2389" s="107">
        <f t="shared" si="959"/>
        <v>0</v>
      </c>
      <c r="U2389" s="107"/>
      <c r="V2389" s="175"/>
      <c r="W2389" s="10"/>
      <c r="X2389" s="10"/>
      <c r="Y2389" t="str">
        <f t="shared" si="964"/>
        <v>6136</v>
      </c>
      <c r="AB2389" s="10"/>
      <c r="AC2389" s="10"/>
      <c r="AD2389" s="10"/>
      <c r="AE2389" s="10"/>
      <c r="AF2389" s="10"/>
      <c r="AG2389" s="10"/>
      <c r="AH2389" s="10"/>
      <c r="AI2389" s="10"/>
    </row>
    <row r="2390" spans="1:35">
      <c r="A2390" s="10"/>
      <c r="B2390" s="10" t="str">
        <f t="shared" si="963"/>
        <v>Post</v>
      </c>
      <c r="C2390" t="s">
        <v>1</v>
      </c>
      <c r="D2390" t="s">
        <v>19</v>
      </c>
      <c r="E2390" t="s">
        <v>214</v>
      </c>
      <c r="G2390" t="s">
        <v>1359</v>
      </c>
      <c r="I2390" s="10"/>
      <c r="J2390" s="107">
        <f>SUMIF(Data!C:C,G2390,Data!Q:Q)</f>
        <v>0</v>
      </c>
      <c r="K2390" s="107">
        <f>SUMIF(Comprometidos!A:A,'Cost Report'!G2390,Comprometidos!E:E)</f>
        <v>0</v>
      </c>
      <c r="L2390" s="107">
        <f t="shared" si="960"/>
        <v>0</v>
      </c>
      <c r="M2390" s="107">
        <v>0</v>
      </c>
      <c r="N2390" s="107">
        <f t="shared" si="961"/>
        <v>0</v>
      </c>
      <c r="O2390" s="107">
        <f>VLOOKUP(G2390,Budget!$E$3:$G$2474,3,0)</f>
        <v>0</v>
      </c>
      <c r="P2390" s="107">
        <f t="shared" si="962"/>
        <v>0</v>
      </c>
      <c r="Q2390" s="107"/>
      <c r="R2390" s="10"/>
      <c r="S2390" s="107">
        <v>0</v>
      </c>
      <c r="T2390" s="107">
        <f t="shared" si="959"/>
        <v>0</v>
      </c>
      <c r="U2390" s="107"/>
      <c r="V2390" s="175"/>
      <c r="W2390" s="10"/>
      <c r="X2390" s="10"/>
      <c r="Y2390" t="str">
        <f t="shared" si="964"/>
        <v>6136</v>
      </c>
      <c r="AB2390" s="10"/>
      <c r="AC2390" s="10"/>
      <c r="AD2390" s="10"/>
      <c r="AE2390" s="10"/>
      <c r="AF2390" s="10"/>
      <c r="AG2390" s="10"/>
      <c r="AH2390" s="10"/>
      <c r="AI2390" s="10"/>
    </row>
    <row r="2391" spans="1:35">
      <c r="A2391" s="10"/>
      <c r="B2391" s="10" t="str">
        <f t="shared" si="963"/>
        <v>PostPOST</v>
      </c>
      <c r="C2391" t="s">
        <v>1</v>
      </c>
      <c r="D2391" t="s">
        <v>19</v>
      </c>
      <c r="E2391" t="s">
        <v>468</v>
      </c>
      <c r="G2391" t="s">
        <v>1360</v>
      </c>
      <c r="I2391" s="10"/>
      <c r="J2391" s="107">
        <f>SUMIF(Data!C:C,G2391,Data!Q:Q)</f>
        <v>0</v>
      </c>
      <c r="K2391" s="107">
        <f>SUMIF(Comprometidos!A:A,'Cost Report'!G2391,Comprometidos!E:E)</f>
        <v>0</v>
      </c>
      <c r="L2391" s="107">
        <f t="shared" si="960"/>
        <v>0</v>
      </c>
      <c r="M2391" s="107">
        <v>0</v>
      </c>
      <c r="N2391" s="107">
        <f t="shared" si="961"/>
        <v>0</v>
      </c>
      <c r="O2391" s="107">
        <f>VLOOKUP(G2391,Budget!$E$3:$G$2474,3,0)</f>
        <v>3150</v>
      </c>
      <c r="P2391" s="107">
        <f t="shared" si="962"/>
        <v>3150</v>
      </c>
      <c r="Q2391" s="107"/>
      <c r="R2391" s="10"/>
      <c r="S2391" s="107">
        <v>0</v>
      </c>
      <c r="T2391" s="107">
        <f t="shared" si="959"/>
        <v>0</v>
      </c>
      <c r="U2391" s="107"/>
      <c r="V2391" s="175"/>
      <c r="W2391" s="10"/>
      <c r="X2391" s="10"/>
      <c r="Y2391" t="str">
        <f t="shared" si="964"/>
        <v>6136</v>
      </c>
      <c r="AB2391" s="10"/>
      <c r="AC2391" s="10"/>
      <c r="AD2391" s="10"/>
      <c r="AE2391" s="10"/>
      <c r="AF2391" s="10"/>
      <c r="AG2391" s="10"/>
      <c r="AH2391" s="10"/>
      <c r="AI2391" s="10"/>
    </row>
    <row r="2392" spans="1:35">
      <c r="A2392" s="10"/>
      <c r="B2392" s="10" t="str">
        <f t="shared" si="963"/>
        <v>PostPOST</v>
      </c>
      <c r="C2392" t="s">
        <v>1</v>
      </c>
      <c r="D2392" t="s">
        <v>19</v>
      </c>
      <c r="E2392" t="s">
        <v>468</v>
      </c>
      <c r="G2392" t="s">
        <v>1361</v>
      </c>
      <c r="I2392" s="10"/>
      <c r="J2392" s="107">
        <f>SUMIF(Data!C:C,G2392,Data!Q:Q)</f>
        <v>0</v>
      </c>
      <c r="K2392" s="107">
        <f>SUMIF(Comprometidos!A:A,'Cost Report'!G2392,Comprometidos!E:E)</f>
        <v>0</v>
      </c>
      <c r="L2392" s="107">
        <f t="shared" si="960"/>
        <v>0</v>
      </c>
      <c r="M2392" s="107">
        <v>0</v>
      </c>
      <c r="N2392" s="107">
        <f t="shared" si="961"/>
        <v>0</v>
      </c>
      <c r="O2392" s="107">
        <f>VLOOKUP(G2392,Budget!$E$3:$G$2474,3,0)</f>
        <v>3675</v>
      </c>
      <c r="P2392" s="107">
        <f t="shared" si="962"/>
        <v>3675</v>
      </c>
      <c r="Q2392" s="107"/>
      <c r="R2392" s="10"/>
      <c r="S2392" s="107">
        <v>0</v>
      </c>
      <c r="T2392" s="107">
        <f t="shared" si="959"/>
        <v>0</v>
      </c>
      <c r="U2392" s="107"/>
      <c r="V2392" s="175"/>
      <c r="W2392" s="10"/>
      <c r="X2392" s="10"/>
      <c r="Y2392" t="str">
        <f t="shared" si="964"/>
        <v>6136</v>
      </c>
      <c r="AB2392" s="10"/>
      <c r="AC2392" s="10"/>
      <c r="AD2392" s="10"/>
      <c r="AE2392" s="10"/>
      <c r="AF2392" s="10"/>
      <c r="AG2392" s="10"/>
      <c r="AH2392" s="10"/>
      <c r="AI2392" s="10"/>
    </row>
    <row r="2393" spans="1:35">
      <c r="A2393" s="10"/>
      <c r="B2393" s="10" t="str">
        <f t="shared" si="963"/>
        <v>PostPOST</v>
      </c>
      <c r="C2393" t="s">
        <v>1</v>
      </c>
      <c r="D2393" t="s">
        <v>19</v>
      </c>
      <c r="E2393" t="s">
        <v>468</v>
      </c>
      <c r="G2393" t="s">
        <v>1362</v>
      </c>
      <c r="I2393" s="10"/>
      <c r="J2393" s="107">
        <f>SUMIF(Data!C:C,G2393,Data!Q:Q)</f>
        <v>0</v>
      </c>
      <c r="K2393" s="107">
        <f>SUMIF(Comprometidos!A:A,'Cost Report'!G2393,Comprometidos!E:E)</f>
        <v>0</v>
      </c>
      <c r="L2393" s="107">
        <f t="shared" si="960"/>
        <v>0</v>
      </c>
      <c r="M2393" s="107">
        <v>0</v>
      </c>
      <c r="N2393" s="107">
        <f t="shared" si="961"/>
        <v>0</v>
      </c>
      <c r="O2393" s="107">
        <f>VLOOKUP(G2393,Budget!$E$3:$G$2474,3,0)</f>
        <v>7350</v>
      </c>
      <c r="P2393" s="107">
        <f t="shared" si="962"/>
        <v>7350</v>
      </c>
      <c r="Q2393" s="107"/>
      <c r="R2393" s="10"/>
      <c r="S2393" s="107">
        <v>0</v>
      </c>
      <c r="T2393" s="107">
        <f t="shared" si="959"/>
        <v>0</v>
      </c>
      <c r="U2393" s="107"/>
      <c r="V2393" s="175"/>
      <c r="W2393" s="10"/>
      <c r="X2393" s="10"/>
      <c r="Y2393" t="str">
        <f t="shared" si="964"/>
        <v>6136</v>
      </c>
      <c r="AB2393" s="10"/>
      <c r="AC2393" s="10"/>
      <c r="AD2393" s="10"/>
      <c r="AE2393" s="10"/>
      <c r="AF2393" s="10"/>
      <c r="AG2393" s="10"/>
      <c r="AH2393" s="10"/>
      <c r="AI2393" s="10"/>
    </row>
    <row r="2394" spans="1:35">
      <c r="A2394" s="10"/>
      <c r="B2394" s="10" t="str">
        <f t="shared" si="963"/>
        <v>PostPOST</v>
      </c>
      <c r="C2394" t="s">
        <v>1</v>
      </c>
      <c r="D2394" t="s">
        <v>19</v>
      </c>
      <c r="E2394" t="s">
        <v>468</v>
      </c>
      <c r="G2394" t="s">
        <v>1363</v>
      </c>
      <c r="I2394" s="10"/>
      <c r="J2394" s="107">
        <f>SUMIF(Data!C:C,G2394,Data!Q:Q)</f>
        <v>0</v>
      </c>
      <c r="K2394" s="107">
        <f>SUMIF(Comprometidos!A:A,'Cost Report'!G2394,Comprometidos!E:E)</f>
        <v>0</v>
      </c>
      <c r="L2394" s="107">
        <f t="shared" si="960"/>
        <v>0</v>
      </c>
      <c r="M2394" s="107">
        <v>0</v>
      </c>
      <c r="N2394" s="107">
        <f t="shared" si="961"/>
        <v>0</v>
      </c>
      <c r="O2394" s="107">
        <f>VLOOKUP(G2394,Budget!$E$3:$G$2474,3,0)</f>
        <v>3150</v>
      </c>
      <c r="P2394" s="107">
        <f t="shared" si="962"/>
        <v>3150</v>
      </c>
      <c r="Q2394" s="107"/>
      <c r="R2394" s="10"/>
      <c r="S2394" s="107">
        <v>0</v>
      </c>
      <c r="T2394" s="107">
        <f t="shared" si="959"/>
        <v>0</v>
      </c>
      <c r="U2394" s="107"/>
      <c r="V2394" s="175"/>
      <c r="W2394" s="10"/>
      <c r="X2394" s="10"/>
      <c r="Y2394" t="str">
        <f t="shared" si="964"/>
        <v>6136</v>
      </c>
      <c r="AB2394" s="10"/>
      <c r="AC2394" s="10"/>
      <c r="AD2394" s="10"/>
      <c r="AE2394" s="10"/>
      <c r="AF2394" s="10"/>
      <c r="AG2394" s="10"/>
      <c r="AH2394" s="10"/>
      <c r="AI2394" s="10"/>
    </row>
    <row r="2395" spans="1:35">
      <c r="A2395" s="10"/>
      <c r="B2395" s="10" t="str">
        <f t="shared" si="963"/>
        <v>PostPOST</v>
      </c>
      <c r="C2395" t="s">
        <v>1</v>
      </c>
      <c r="D2395" t="s">
        <v>19</v>
      </c>
      <c r="E2395" t="s">
        <v>468</v>
      </c>
      <c r="G2395" t="s">
        <v>1364</v>
      </c>
      <c r="I2395" s="10"/>
      <c r="J2395" s="107">
        <f>SUMIF(Data!C:C,G2395,Data!Q:Q)</f>
        <v>0</v>
      </c>
      <c r="K2395" s="107">
        <f>SUMIF(Comprometidos!A:A,'Cost Report'!G2395,Comprometidos!E:E)</f>
        <v>0</v>
      </c>
      <c r="L2395" s="107">
        <f t="shared" si="960"/>
        <v>0</v>
      </c>
      <c r="M2395" s="107">
        <v>0</v>
      </c>
      <c r="N2395" s="107">
        <f t="shared" si="961"/>
        <v>0</v>
      </c>
      <c r="O2395" s="107">
        <f>VLOOKUP(G2395,Budget!$E$3:$G$2474,3,0)</f>
        <v>3675</v>
      </c>
      <c r="P2395" s="107">
        <f t="shared" si="962"/>
        <v>3675</v>
      </c>
      <c r="Q2395" s="107"/>
      <c r="R2395" s="10"/>
      <c r="S2395" s="107">
        <v>0</v>
      </c>
      <c r="T2395" s="107">
        <f t="shared" si="959"/>
        <v>0</v>
      </c>
      <c r="U2395" s="107"/>
      <c r="V2395" s="175"/>
      <c r="W2395" s="10"/>
      <c r="X2395" s="10"/>
      <c r="Y2395" t="str">
        <f t="shared" si="964"/>
        <v>6136</v>
      </c>
      <c r="AB2395" s="10"/>
      <c r="AC2395" s="10"/>
      <c r="AD2395" s="10"/>
      <c r="AE2395" s="10"/>
      <c r="AF2395" s="10"/>
      <c r="AG2395" s="10"/>
      <c r="AH2395" s="10"/>
      <c r="AI2395" s="10"/>
    </row>
    <row r="2396" spans="1:35">
      <c r="A2396" s="10"/>
      <c r="B2396" s="10" t="str">
        <f t="shared" si="963"/>
        <v>PostPOST</v>
      </c>
      <c r="C2396" t="s">
        <v>1</v>
      </c>
      <c r="D2396" t="s">
        <v>19</v>
      </c>
      <c r="E2396" t="s">
        <v>468</v>
      </c>
      <c r="G2396" t="s">
        <v>1365</v>
      </c>
      <c r="I2396" s="10"/>
      <c r="J2396" s="107">
        <f>SUMIF(Data!C:C,G2396,Data!Q:Q)</f>
        <v>0</v>
      </c>
      <c r="K2396" s="107">
        <f>SUMIF(Comprometidos!A:A,'Cost Report'!G2396,Comprometidos!E:E)</f>
        <v>0</v>
      </c>
      <c r="L2396" s="107">
        <f t="shared" si="960"/>
        <v>0</v>
      </c>
      <c r="M2396" s="107">
        <v>0</v>
      </c>
      <c r="N2396" s="107">
        <f t="shared" si="961"/>
        <v>0</v>
      </c>
      <c r="O2396" s="107">
        <f>VLOOKUP(G2396,Budget!$E$3:$G$2474,3,0)</f>
        <v>3675</v>
      </c>
      <c r="P2396" s="107">
        <f t="shared" si="962"/>
        <v>3675</v>
      </c>
      <c r="Q2396" s="107"/>
      <c r="R2396" s="10"/>
      <c r="S2396" s="107">
        <v>0</v>
      </c>
      <c r="T2396" s="107">
        <f t="shared" si="959"/>
        <v>0</v>
      </c>
      <c r="U2396" s="107"/>
      <c r="V2396" s="175"/>
      <c r="W2396" s="10"/>
      <c r="X2396" s="10"/>
      <c r="Y2396" t="str">
        <f t="shared" si="964"/>
        <v>6136</v>
      </c>
      <c r="AB2396" s="10"/>
      <c r="AC2396" s="10"/>
      <c r="AD2396" s="10"/>
      <c r="AE2396" s="10"/>
      <c r="AF2396" s="10"/>
      <c r="AG2396" s="10"/>
      <c r="AH2396" s="10"/>
      <c r="AI2396" s="10"/>
    </row>
    <row r="2397" spans="1:35">
      <c r="A2397" s="10"/>
      <c r="B2397" s="10" t="str">
        <f t="shared" si="963"/>
        <v>PostPOST</v>
      </c>
      <c r="C2397" t="s">
        <v>1</v>
      </c>
      <c r="D2397" t="s">
        <v>19</v>
      </c>
      <c r="E2397" t="s">
        <v>468</v>
      </c>
      <c r="G2397" t="s">
        <v>1366</v>
      </c>
      <c r="I2397" s="10"/>
      <c r="J2397" s="107">
        <f>SUMIF(Data!C:C,G2397,Data!Q:Q)</f>
        <v>0</v>
      </c>
      <c r="K2397" s="107">
        <f>SUMIF(Comprometidos!A:A,'Cost Report'!G2397,Comprometidos!E:E)</f>
        <v>0</v>
      </c>
      <c r="L2397" s="107">
        <f t="shared" si="960"/>
        <v>0</v>
      </c>
      <c r="M2397" s="107">
        <v>0</v>
      </c>
      <c r="N2397" s="107">
        <f t="shared" si="961"/>
        <v>0</v>
      </c>
      <c r="O2397" s="107">
        <f>VLOOKUP(G2397,Budget!$E$3:$G$2474,3,0)</f>
        <v>7350</v>
      </c>
      <c r="P2397" s="107">
        <f t="shared" si="962"/>
        <v>7350</v>
      </c>
      <c r="Q2397" s="107"/>
      <c r="R2397" s="10"/>
      <c r="S2397" s="107">
        <v>0</v>
      </c>
      <c r="T2397" s="107">
        <f t="shared" si="959"/>
        <v>0</v>
      </c>
      <c r="U2397" s="107"/>
      <c r="V2397" s="175"/>
      <c r="W2397" s="10"/>
      <c r="X2397" s="10"/>
      <c r="Y2397" t="str">
        <f t="shared" si="964"/>
        <v>6136</v>
      </c>
      <c r="AB2397" s="10"/>
      <c r="AC2397" s="10"/>
      <c r="AD2397" s="10"/>
      <c r="AE2397" s="10"/>
      <c r="AF2397" s="10"/>
      <c r="AG2397" s="10"/>
      <c r="AH2397" s="10"/>
      <c r="AI2397" s="10"/>
    </row>
    <row r="2398" spans="1:35">
      <c r="A2398" s="10"/>
      <c r="B2398" s="10" t="str">
        <f t="shared" si="963"/>
        <v>Post</v>
      </c>
      <c r="C2398" t="s">
        <v>1</v>
      </c>
      <c r="D2398" t="s">
        <v>19</v>
      </c>
      <c r="E2398" t="s">
        <v>214</v>
      </c>
      <c r="G2398" t="s">
        <v>1367</v>
      </c>
      <c r="I2398" s="10"/>
      <c r="J2398" s="107">
        <f>SUMIF(Data!C:C,G2398,Data!Q:Q)</f>
        <v>0</v>
      </c>
      <c r="K2398" s="107">
        <f>SUMIF(Comprometidos!A:A,'Cost Report'!G2398,Comprometidos!E:E)</f>
        <v>0</v>
      </c>
      <c r="L2398" s="107">
        <f t="shared" si="960"/>
        <v>0</v>
      </c>
      <c r="M2398" s="107">
        <v>0</v>
      </c>
      <c r="N2398" s="107">
        <f t="shared" si="961"/>
        <v>0</v>
      </c>
      <c r="O2398" s="107">
        <f>VLOOKUP(G2398,Budget!$E$3:$G$2474,3,0)</f>
        <v>0</v>
      </c>
      <c r="P2398" s="107">
        <f t="shared" si="962"/>
        <v>0</v>
      </c>
      <c r="Q2398" s="107"/>
      <c r="R2398" s="10"/>
      <c r="S2398" s="107">
        <v>0</v>
      </c>
      <c r="T2398" s="107">
        <f t="shared" si="959"/>
        <v>0</v>
      </c>
      <c r="U2398" s="107"/>
      <c r="V2398" s="175"/>
      <c r="W2398" s="10"/>
      <c r="X2398" s="10"/>
      <c r="Y2398" t="str">
        <f t="shared" si="964"/>
        <v>6136</v>
      </c>
      <c r="AB2398" s="10"/>
      <c r="AC2398" s="10"/>
      <c r="AD2398" s="10"/>
      <c r="AE2398" s="10"/>
      <c r="AF2398" s="10"/>
      <c r="AG2398" s="10"/>
      <c r="AH2398" s="10"/>
      <c r="AI2398" s="10"/>
    </row>
    <row r="2399" spans="1:35">
      <c r="A2399" s="10"/>
      <c r="B2399" s="10" t="str">
        <f t="shared" si="963"/>
        <v>PostPOST</v>
      </c>
      <c r="C2399" t="s">
        <v>1</v>
      </c>
      <c r="D2399" t="s">
        <v>19</v>
      </c>
      <c r="E2399" t="s">
        <v>468</v>
      </c>
      <c r="G2399" t="s">
        <v>1368</v>
      </c>
      <c r="I2399" s="10"/>
      <c r="J2399" s="107">
        <f>SUMIF(Data!C:C,G2399,Data!Q:Q)</f>
        <v>0</v>
      </c>
      <c r="K2399" s="107">
        <f>SUMIF(Comprometidos!A:A,'Cost Report'!G2399,Comprometidos!E:E)</f>
        <v>0</v>
      </c>
      <c r="L2399" s="107">
        <f t="shared" si="960"/>
        <v>0</v>
      </c>
      <c r="M2399" s="107">
        <v>0</v>
      </c>
      <c r="N2399" s="107">
        <f t="shared" si="961"/>
        <v>0</v>
      </c>
      <c r="O2399" s="107">
        <f>VLOOKUP(G2399,Budget!$E$3:$G$2474,3,0)</f>
        <v>3150</v>
      </c>
      <c r="P2399" s="107">
        <f t="shared" si="962"/>
        <v>3150</v>
      </c>
      <c r="Q2399" s="107"/>
      <c r="R2399" s="10"/>
      <c r="S2399" s="107">
        <v>0</v>
      </c>
      <c r="T2399" s="107">
        <f t="shared" si="959"/>
        <v>0</v>
      </c>
      <c r="U2399" s="107"/>
      <c r="V2399" s="175"/>
      <c r="W2399" s="10"/>
      <c r="X2399" s="10"/>
      <c r="Y2399" t="str">
        <f t="shared" si="964"/>
        <v>6136</v>
      </c>
      <c r="AB2399" s="10"/>
      <c r="AC2399" s="10"/>
      <c r="AD2399" s="10"/>
      <c r="AE2399" s="10"/>
      <c r="AF2399" s="10"/>
      <c r="AG2399" s="10"/>
      <c r="AH2399" s="10"/>
      <c r="AI2399" s="10"/>
    </row>
    <row r="2400" spans="1:35">
      <c r="A2400" s="10"/>
      <c r="B2400" s="10" t="str">
        <f t="shared" si="963"/>
        <v>PostPOST</v>
      </c>
      <c r="C2400" t="s">
        <v>1</v>
      </c>
      <c r="D2400" t="s">
        <v>19</v>
      </c>
      <c r="E2400" t="s">
        <v>468</v>
      </c>
      <c r="G2400" t="s">
        <v>1369</v>
      </c>
      <c r="I2400" s="10"/>
      <c r="J2400" s="107">
        <f>SUMIF(Data!C:C,G2400,Data!Q:Q)</f>
        <v>0</v>
      </c>
      <c r="K2400" s="107">
        <f>SUMIF(Comprometidos!A:A,'Cost Report'!G2400,Comprometidos!E:E)</f>
        <v>0</v>
      </c>
      <c r="L2400" s="107">
        <f t="shared" si="960"/>
        <v>0</v>
      </c>
      <c r="M2400" s="107">
        <v>0</v>
      </c>
      <c r="N2400" s="107">
        <f t="shared" si="961"/>
        <v>0</v>
      </c>
      <c r="O2400" s="107">
        <f>VLOOKUP(G2400,Budget!$E$3:$G$2474,3,0)</f>
        <v>3150</v>
      </c>
      <c r="P2400" s="107">
        <f t="shared" si="962"/>
        <v>3150</v>
      </c>
      <c r="Q2400" s="107"/>
      <c r="R2400" s="10"/>
      <c r="S2400" s="107">
        <v>0</v>
      </c>
      <c r="T2400" s="107">
        <f t="shared" si="959"/>
        <v>0</v>
      </c>
      <c r="U2400" s="107"/>
      <c r="V2400" s="175"/>
      <c r="W2400" s="10"/>
      <c r="X2400" s="10"/>
      <c r="Y2400" t="str">
        <f t="shared" si="964"/>
        <v>6136</v>
      </c>
      <c r="AB2400" s="10"/>
      <c r="AC2400" s="10"/>
      <c r="AD2400" s="10"/>
      <c r="AE2400" s="10"/>
      <c r="AF2400" s="10"/>
      <c r="AG2400" s="10"/>
      <c r="AH2400" s="10"/>
      <c r="AI2400" s="10"/>
    </row>
    <row r="2401" spans="1:35">
      <c r="A2401" s="10"/>
      <c r="B2401" s="10" t="str">
        <f t="shared" si="963"/>
        <v>PostPOST</v>
      </c>
      <c r="C2401" t="s">
        <v>1</v>
      </c>
      <c r="D2401" t="s">
        <v>19</v>
      </c>
      <c r="E2401" t="s">
        <v>468</v>
      </c>
      <c r="G2401" t="s">
        <v>1370</v>
      </c>
      <c r="I2401" s="10"/>
      <c r="J2401" s="107">
        <f>SUMIF(Data!C:C,G2401,Data!Q:Q)</f>
        <v>0</v>
      </c>
      <c r="K2401" s="107">
        <f>SUMIF(Comprometidos!A:A,'Cost Report'!G2401,Comprometidos!E:E)</f>
        <v>0</v>
      </c>
      <c r="L2401" s="107">
        <f t="shared" si="960"/>
        <v>0</v>
      </c>
      <c r="M2401" s="107">
        <v>0</v>
      </c>
      <c r="N2401" s="107">
        <f t="shared" si="961"/>
        <v>0</v>
      </c>
      <c r="O2401" s="107">
        <f>VLOOKUP(G2401,Budget!$E$3:$G$2474,3,0)</f>
        <v>3675</v>
      </c>
      <c r="P2401" s="107">
        <f t="shared" si="962"/>
        <v>3675</v>
      </c>
      <c r="Q2401" s="107"/>
      <c r="R2401" s="10"/>
      <c r="S2401" s="107">
        <v>0</v>
      </c>
      <c r="T2401" s="107">
        <f t="shared" si="959"/>
        <v>0</v>
      </c>
      <c r="U2401" s="107"/>
      <c r="V2401" s="175"/>
      <c r="W2401" s="10"/>
      <c r="X2401" s="10"/>
      <c r="Y2401" t="str">
        <f t="shared" si="964"/>
        <v>6136</v>
      </c>
      <c r="AB2401" s="10"/>
      <c r="AC2401" s="10"/>
      <c r="AD2401" s="10"/>
      <c r="AE2401" s="10"/>
      <c r="AF2401" s="10"/>
      <c r="AG2401" s="10"/>
      <c r="AH2401" s="10"/>
      <c r="AI2401" s="10"/>
    </row>
    <row r="2402" spans="1:35">
      <c r="A2402" s="10"/>
      <c r="B2402" s="10" t="str">
        <f t="shared" si="963"/>
        <v>PostPOST</v>
      </c>
      <c r="C2402" t="s">
        <v>1</v>
      </c>
      <c r="D2402" t="s">
        <v>19</v>
      </c>
      <c r="E2402" t="s">
        <v>468</v>
      </c>
      <c r="G2402" t="s">
        <v>1372</v>
      </c>
      <c r="I2402" s="10"/>
      <c r="J2402" s="107">
        <f>SUMIF(Data!C:C,G2402,Data!Q:Q)</f>
        <v>0</v>
      </c>
      <c r="K2402" s="107">
        <f>SUMIF(Comprometidos!A:A,'Cost Report'!G2402,Comprometidos!E:E)</f>
        <v>0</v>
      </c>
      <c r="L2402" s="107">
        <f t="shared" si="960"/>
        <v>0</v>
      </c>
      <c r="M2402" s="107">
        <v>0</v>
      </c>
      <c r="N2402" s="107">
        <f t="shared" si="961"/>
        <v>0</v>
      </c>
      <c r="O2402" s="107">
        <f>VLOOKUP(G2402,Budget!$E$3:$G$2474,3,0)</f>
        <v>3675</v>
      </c>
      <c r="P2402" s="107">
        <f t="shared" si="962"/>
        <v>3675</v>
      </c>
      <c r="Q2402" s="107"/>
      <c r="R2402" s="10"/>
      <c r="S2402" s="107">
        <v>0</v>
      </c>
      <c r="T2402" s="107">
        <f t="shared" si="959"/>
        <v>0</v>
      </c>
      <c r="U2402" s="107"/>
      <c r="V2402" s="175"/>
      <c r="W2402" s="10"/>
      <c r="X2402" s="10"/>
      <c r="Y2402" t="str">
        <f t="shared" si="964"/>
        <v>6136</v>
      </c>
      <c r="AB2402" s="10"/>
      <c r="AC2402" s="10"/>
      <c r="AD2402" s="10"/>
      <c r="AE2402" s="10"/>
      <c r="AF2402" s="10"/>
      <c r="AG2402" s="10"/>
      <c r="AH2402" s="10"/>
      <c r="AI2402" s="10"/>
    </row>
    <row r="2403" spans="1:35">
      <c r="A2403" s="10"/>
      <c r="B2403" s="10" t="str">
        <f t="shared" si="963"/>
        <v>PostPOST</v>
      </c>
      <c r="C2403" t="s">
        <v>1</v>
      </c>
      <c r="D2403" t="s">
        <v>19</v>
      </c>
      <c r="E2403" t="s">
        <v>468</v>
      </c>
      <c r="G2403" t="s">
        <v>1373</v>
      </c>
      <c r="I2403" s="10"/>
      <c r="J2403" s="107">
        <f>SUMIF(Data!C:C,G2403,Data!Q:Q)</f>
        <v>0</v>
      </c>
      <c r="K2403" s="107">
        <f>SUMIF(Comprometidos!A:A,'Cost Report'!G2403,Comprometidos!E:E)</f>
        <v>0</v>
      </c>
      <c r="L2403" s="107">
        <f t="shared" si="960"/>
        <v>0</v>
      </c>
      <c r="M2403" s="107">
        <v>0</v>
      </c>
      <c r="N2403" s="107">
        <f t="shared" si="961"/>
        <v>0</v>
      </c>
      <c r="O2403" s="107">
        <f>VLOOKUP(G2403,Budget!$E$3:$G$2474,3,0)</f>
        <v>3150</v>
      </c>
      <c r="P2403" s="107">
        <f t="shared" si="962"/>
        <v>3150</v>
      </c>
      <c r="Q2403" s="107"/>
      <c r="R2403" s="10"/>
      <c r="S2403" s="107">
        <v>0</v>
      </c>
      <c r="T2403" s="107">
        <f t="shared" ref="T2403:T2466" si="965">+S2403-N2403</f>
        <v>0</v>
      </c>
      <c r="U2403" s="107"/>
      <c r="V2403" s="175"/>
      <c r="W2403" s="10"/>
      <c r="X2403" s="10"/>
      <c r="Y2403" t="str">
        <f t="shared" si="964"/>
        <v>6136</v>
      </c>
      <c r="AB2403" s="10"/>
      <c r="AC2403" s="10"/>
      <c r="AD2403" s="10"/>
      <c r="AE2403" s="10"/>
      <c r="AF2403" s="10"/>
      <c r="AG2403" s="10"/>
      <c r="AH2403" s="10"/>
      <c r="AI2403" s="10"/>
    </row>
    <row r="2404" spans="1:35">
      <c r="A2404" s="10"/>
      <c r="B2404" s="10" t="str">
        <f t="shared" si="963"/>
        <v>PostPOST</v>
      </c>
      <c r="C2404" t="s">
        <v>1</v>
      </c>
      <c r="D2404" t="s">
        <v>19</v>
      </c>
      <c r="E2404" t="s">
        <v>468</v>
      </c>
      <c r="G2404" t="s">
        <v>1374</v>
      </c>
      <c r="I2404" s="10"/>
      <c r="J2404" s="107">
        <f>SUMIF(Data!C:C,G2404,Data!Q:Q)</f>
        <v>0</v>
      </c>
      <c r="K2404" s="107">
        <f>SUMIF(Comprometidos!A:A,'Cost Report'!G2404,Comprometidos!E:E)</f>
        <v>0</v>
      </c>
      <c r="L2404" s="107">
        <f t="shared" si="960"/>
        <v>0</v>
      </c>
      <c r="M2404" s="107">
        <v>0</v>
      </c>
      <c r="N2404" s="107">
        <f t="shared" si="961"/>
        <v>0</v>
      </c>
      <c r="O2404" s="107">
        <f>VLOOKUP(G2404,Budget!$E$3:$G$2474,3,0)</f>
        <v>3675</v>
      </c>
      <c r="P2404" s="107">
        <f t="shared" si="962"/>
        <v>3675</v>
      </c>
      <c r="Q2404" s="107"/>
      <c r="R2404" s="10"/>
      <c r="S2404" s="107">
        <v>0</v>
      </c>
      <c r="T2404" s="107">
        <f t="shared" si="965"/>
        <v>0</v>
      </c>
      <c r="U2404" s="107"/>
      <c r="V2404" s="175"/>
      <c r="W2404" s="10"/>
      <c r="X2404" s="10"/>
      <c r="Y2404" t="str">
        <f t="shared" si="964"/>
        <v>6136</v>
      </c>
      <c r="AB2404" s="10"/>
      <c r="AC2404" s="10"/>
      <c r="AD2404" s="10"/>
      <c r="AE2404" s="10"/>
      <c r="AF2404" s="10"/>
      <c r="AG2404" s="10"/>
      <c r="AH2404" s="10"/>
      <c r="AI2404" s="10"/>
    </row>
    <row r="2405" spans="1:35">
      <c r="A2405" s="10"/>
      <c r="B2405" s="10" t="str">
        <f t="shared" si="963"/>
        <v>PostPOST</v>
      </c>
      <c r="C2405" t="s">
        <v>1</v>
      </c>
      <c r="D2405" t="s">
        <v>19</v>
      </c>
      <c r="E2405" t="s">
        <v>468</v>
      </c>
      <c r="G2405" t="s">
        <v>1375</v>
      </c>
      <c r="I2405" s="10"/>
      <c r="J2405" s="107">
        <f>SUMIF(Data!C:C,G2405,Data!Q:Q)</f>
        <v>0</v>
      </c>
      <c r="K2405" s="107">
        <f>SUMIF(Comprometidos!A:A,'Cost Report'!G2405,Comprometidos!E:E)</f>
        <v>0</v>
      </c>
      <c r="L2405" s="107">
        <f t="shared" si="960"/>
        <v>0</v>
      </c>
      <c r="M2405" s="107">
        <v>0</v>
      </c>
      <c r="N2405" s="107">
        <f t="shared" si="961"/>
        <v>0</v>
      </c>
      <c r="O2405" s="107">
        <f>VLOOKUP(G2405,Budget!$E$3:$G$2474,3,0)</f>
        <v>48000</v>
      </c>
      <c r="P2405" s="107">
        <f t="shared" si="962"/>
        <v>48000</v>
      </c>
      <c r="Q2405" s="107"/>
      <c r="R2405" s="10"/>
      <c r="S2405" s="107">
        <v>0</v>
      </c>
      <c r="T2405" s="107">
        <f t="shared" si="965"/>
        <v>0</v>
      </c>
      <c r="U2405" s="107"/>
      <c r="V2405" s="175"/>
      <c r="W2405" s="10"/>
      <c r="X2405" s="10"/>
      <c r="Y2405" t="str">
        <f t="shared" si="964"/>
        <v>6136</v>
      </c>
      <c r="AB2405" s="10"/>
      <c r="AC2405" s="10"/>
      <c r="AD2405" s="10"/>
      <c r="AE2405" s="10"/>
      <c r="AF2405" s="10"/>
      <c r="AG2405" s="10"/>
      <c r="AH2405" s="10"/>
      <c r="AI2405" s="10"/>
    </row>
    <row r="2406" spans="1:35">
      <c r="A2406" s="10"/>
      <c r="B2406" s="10" t="str">
        <f t="shared" si="963"/>
        <v>Post</v>
      </c>
      <c r="C2406" t="s">
        <v>1</v>
      </c>
      <c r="D2406" t="s">
        <v>19</v>
      </c>
      <c r="E2406" t="s">
        <v>214</v>
      </c>
      <c r="G2406" t="s">
        <v>1376</v>
      </c>
      <c r="I2406" s="10"/>
      <c r="J2406" s="107">
        <f>SUMIF(Data!C:C,G2406,Data!Q:Q)</f>
        <v>0</v>
      </c>
      <c r="K2406" s="107">
        <f>SUMIF(Comprometidos!A:A,'Cost Report'!G2406,Comprometidos!E:E)</f>
        <v>0</v>
      </c>
      <c r="L2406" s="107">
        <f t="shared" si="960"/>
        <v>0</v>
      </c>
      <c r="M2406" s="107">
        <v>0</v>
      </c>
      <c r="N2406" s="107">
        <f t="shared" si="961"/>
        <v>0</v>
      </c>
      <c r="O2406" s="107">
        <f>VLOOKUP(G2406,Budget!$E$3:$G$2474,3,0)</f>
        <v>0</v>
      </c>
      <c r="P2406" s="107">
        <f t="shared" si="962"/>
        <v>0</v>
      </c>
      <c r="Q2406" s="107"/>
      <c r="R2406" s="10"/>
      <c r="S2406" s="107">
        <v>0</v>
      </c>
      <c r="T2406" s="107">
        <f t="shared" si="965"/>
        <v>0</v>
      </c>
      <c r="U2406" s="107"/>
      <c r="V2406" s="175"/>
      <c r="W2406" s="10"/>
      <c r="X2406" s="10"/>
      <c r="Y2406" t="str">
        <f t="shared" si="964"/>
        <v>6136</v>
      </c>
      <c r="AB2406" s="10"/>
      <c r="AC2406" s="10"/>
      <c r="AD2406" s="10"/>
      <c r="AE2406" s="10"/>
      <c r="AF2406" s="10"/>
      <c r="AG2406" s="10"/>
      <c r="AH2406" s="10"/>
      <c r="AI2406" s="10"/>
    </row>
    <row r="2407" spans="1:35">
      <c r="A2407" s="10"/>
      <c r="B2407" s="10" t="str">
        <f t="shared" si="963"/>
        <v>PostPOST</v>
      </c>
      <c r="C2407" t="s">
        <v>1</v>
      </c>
      <c r="D2407" t="s">
        <v>19</v>
      </c>
      <c r="E2407" t="s">
        <v>468</v>
      </c>
      <c r="G2407" t="s">
        <v>1377</v>
      </c>
      <c r="I2407" s="10"/>
      <c r="J2407" s="107">
        <f>SUMIF(Data!C:C,G2407,Data!Q:Q)</f>
        <v>0</v>
      </c>
      <c r="K2407" s="107">
        <f>SUMIF(Comprometidos!A:A,'Cost Report'!G2407,Comprometidos!E:E)</f>
        <v>0</v>
      </c>
      <c r="L2407" s="107">
        <f t="shared" si="960"/>
        <v>0</v>
      </c>
      <c r="M2407" s="107">
        <v>0</v>
      </c>
      <c r="N2407" s="107">
        <f t="shared" si="961"/>
        <v>0</v>
      </c>
      <c r="O2407" s="107">
        <f>VLOOKUP(G2407,Budget!$E$3:$G$2474,3,0)</f>
        <v>3675</v>
      </c>
      <c r="P2407" s="107">
        <f t="shared" si="962"/>
        <v>3675</v>
      </c>
      <c r="Q2407" s="107"/>
      <c r="R2407" s="10"/>
      <c r="S2407" s="107">
        <v>0</v>
      </c>
      <c r="T2407" s="107">
        <f t="shared" si="965"/>
        <v>0</v>
      </c>
      <c r="U2407" s="107"/>
      <c r="V2407" s="175"/>
      <c r="W2407" s="10"/>
      <c r="X2407" s="10"/>
      <c r="Y2407" t="str">
        <f t="shared" si="964"/>
        <v>6136</v>
      </c>
      <c r="AB2407" s="10"/>
      <c r="AC2407" s="10"/>
      <c r="AD2407" s="10"/>
      <c r="AE2407" s="10"/>
      <c r="AF2407" s="10"/>
      <c r="AG2407" s="10"/>
      <c r="AH2407" s="10"/>
      <c r="AI2407" s="10"/>
    </row>
    <row r="2408" spans="1:35">
      <c r="A2408" s="10"/>
      <c r="B2408" s="10" t="str">
        <f t="shared" si="963"/>
        <v>PostPOST</v>
      </c>
      <c r="C2408" t="s">
        <v>1</v>
      </c>
      <c r="D2408" t="s">
        <v>19</v>
      </c>
      <c r="E2408" t="s">
        <v>468</v>
      </c>
      <c r="G2408" t="s">
        <v>1378</v>
      </c>
      <c r="I2408" s="10"/>
      <c r="J2408" s="107">
        <f>SUMIF(Data!C:C,G2408,Data!Q:Q)</f>
        <v>0</v>
      </c>
      <c r="K2408" s="107">
        <f>SUMIF(Comprometidos!A:A,'Cost Report'!G2408,Comprometidos!E:E)</f>
        <v>0</v>
      </c>
      <c r="L2408" s="107">
        <f t="shared" si="960"/>
        <v>0</v>
      </c>
      <c r="M2408" s="107">
        <v>0</v>
      </c>
      <c r="N2408" s="107">
        <f t="shared" si="961"/>
        <v>0</v>
      </c>
      <c r="O2408" s="107">
        <f>VLOOKUP(G2408,Budget!$E$3:$G$2474,3,0)</f>
        <v>11025</v>
      </c>
      <c r="P2408" s="107">
        <f t="shared" si="962"/>
        <v>11025</v>
      </c>
      <c r="Q2408" s="107"/>
      <c r="R2408" s="10"/>
      <c r="S2408" s="107">
        <v>0</v>
      </c>
      <c r="T2408" s="107">
        <f t="shared" si="965"/>
        <v>0</v>
      </c>
      <c r="U2408" s="107"/>
      <c r="V2408" s="175"/>
      <c r="W2408" s="10"/>
      <c r="X2408" s="10"/>
      <c r="Y2408" t="str">
        <f t="shared" si="964"/>
        <v>6136</v>
      </c>
      <c r="AB2408" s="10"/>
      <c r="AC2408" s="10"/>
      <c r="AD2408" s="10"/>
      <c r="AE2408" s="10"/>
      <c r="AF2408" s="10"/>
      <c r="AG2408" s="10"/>
      <c r="AH2408" s="10"/>
      <c r="AI2408" s="10"/>
    </row>
    <row r="2409" spans="1:35">
      <c r="A2409" s="10"/>
      <c r="B2409" s="10" t="str">
        <f t="shared" si="963"/>
        <v>PostPOST</v>
      </c>
      <c r="C2409" t="s">
        <v>1</v>
      </c>
      <c r="D2409" t="s">
        <v>19</v>
      </c>
      <c r="E2409" t="s">
        <v>468</v>
      </c>
      <c r="G2409" t="s">
        <v>1379</v>
      </c>
      <c r="I2409" s="10"/>
      <c r="J2409" s="107">
        <f>SUMIF(Data!C:C,G2409,Data!Q:Q)</f>
        <v>0</v>
      </c>
      <c r="K2409" s="107">
        <f>SUMIF(Comprometidos!A:A,'Cost Report'!G2409,Comprometidos!E:E)</f>
        <v>0</v>
      </c>
      <c r="L2409" s="107">
        <f t="shared" si="960"/>
        <v>0</v>
      </c>
      <c r="M2409" s="107">
        <v>0</v>
      </c>
      <c r="N2409" s="107">
        <f t="shared" si="961"/>
        <v>0</v>
      </c>
      <c r="O2409" s="107">
        <f>VLOOKUP(G2409,Budget!$E$3:$G$2474,3,0)</f>
        <v>3675</v>
      </c>
      <c r="P2409" s="107">
        <f t="shared" si="962"/>
        <v>3675</v>
      </c>
      <c r="Q2409" s="107"/>
      <c r="R2409" s="10"/>
      <c r="S2409" s="107">
        <v>0</v>
      </c>
      <c r="T2409" s="107">
        <f t="shared" si="965"/>
        <v>0</v>
      </c>
      <c r="U2409" s="107"/>
      <c r="V2409" s="175"/>
      <c r="W2409" s="10"/>
      <c r="X2409" s="10"/>
      <c r="Y2409" t="str">
        <f t="shared" si="964"/>
        <v>6136</v>
      </c>
      <c r="AB2409" s="10"/>
      <c r="AC2409" s="10"/>
      <c r="AD2409" s="10"/>
      <c r="AE2409" s="10"/>
      <c r="AF2409" s="10"/>
      <c r="AG2409" s="10"/>
      <c r="AH2409" s="10"/>
      <c r="AI2409" s="10"/>
    </row>
    <row r="2410" spans="1:35">
      <c r="A2410" s="10"/>
      <c r="B2410" s="10" t="str">
        <f t="shared" si="963"/>
        <v>PostPOST</v>
      </c>
      <c r="C2410" t="s">
        <v>1</v>
      </c>
      <c r="D2410" t="s">
        <v>19</v>
      </c>
      <c r="E2410" t="s">
        <v>468</v>
      </c>
      <c r="G2410" t="s">
        <v>1380</v>
      </c>
      <c r="I2410" s="10"/>
      <c r="J2410" s="107">
        <f>SUMIF(Data!C:C,G2410,Data!Q:Q)</f>
        <v>0</v>
      </c>
      <c r="K2410" s="107">
        <f>SUMIF(Comprometidos!A:A,'Cost Report'!G2410,Comprometidos!E:E)</f>
        <v>0</v>
      </c>
      <c r="L2410" s="107">
        <f t="shared" si="960"/>
        <v>0</v>
      </c>
      <c r="M2410" s="107">
        <v>0</v>
      </c>
      <c r="N2410" s="107">
        <f t="shared" si="961"/>
        <v>0</v>
      </c>
      <c r="O2410" s="107">
        <f>VLOOKUP(G2410,Budget!$E$3:$G$2474,3,0)</f>
        <v>3675</v>
      </c>
      <c r="P2410" s="107">
        <f t="shared" si="962"/>
        <v>3675</v>
      </c>
      <c r="Q2410" s="107"/>
      <c r="R2410" s="10"/>
      <c r="S2410" s="107">
        <v>0</v>
      </c>
      <c r="T2410" s="107">
        <f t="shared" si="965"/>
        <v>0</v>
      </c>
      <c r="U2410" s="107"/>
      <c r="V2410" s="175"/>
      <c r="W2410" s="10"/>
      <c r="X2410" s="10"/>
      <c r="Y2410" t="str">
        <f t="shared" si="964"/>
        <v>6136</v>
      </c>
      <c r="AB2410" s="10"/>
      <c r="AC2410" s="10"/>
      <c r="AD2410" s="10"/>
      <c r="AE2410" s="10"/>
      <c r="AF2410" s="10"/>
      <c r="AG2410" s="10"/>
      <c r="AH2410" s="10"/>
      <c r="AI2410" s="10"/>
    </row>
    <row r="2411" spans="1:35">
      <c r="A2411" s="10"/>
      <c r="B2411" s="10" t="str">
        <f t="shared" si="963"/>
        <v>PostPOST</v>
      </c>
      <c r="C2411" t="s">
        <v>1</v>
      </c>
      <c r="D2411" t="s">
        <v>19</v>
      </c>
      <c r="E2411" t="s">
        <v>468</v>
      </c>
      <c r="G2411" t="s">
        <v>1381</v>
      </c>
      <c r="I2411" s="10"/>
      <c r="J2411" s="107">
        <f>SUMIF(Data!C:C,G2411,Data!Q:Q)</f>
        <v>0</v>
      </c>
      <c r="K2411" s="107">
        <f>SUMIF(Comprometidos!A:A,'Cost Report'!G2411,Comprometidos!E:E)</f>
        <v>0</v>
      </c>
      <c r="L2411" s="107">
        <f t="shared" si="960"/>
        <v>0</v>
      </c>
      <c r="M2411" s="107">
        <v>0</v>
      </c>
      <c r="N2411" s="107">
        <f t="shared" si="961"/>
        <v>0</v>
      </c>
      <c r="O2411" s="107">
        <f>VLOOKUP(G2411,Budget!$E$3:$G$2474,3,0)</f>
        <v>3675</v>
      </c>
      <c r="P2411" s="107">
        <f t="shared" si="962"/>
        <v>3675</v>
      </c>
      <c r="Q2411" s="107"/>
      <c r="R2411" s="10"/>
      <c r="S2411" s="107">
        <v>0</v>
      </c>
      <c r="T2411" s="107">
        <f t="shared" si="965"/>
        <v>0</v>
      </c>
      <c r="U2411" s="107"/>
      <c r="V2411" s="175"/>
      <c r="W2411" s="10"/>
      <c r="X2411" s="10"/>
      <c r="Y2411" t="str">
        <f t="shared" si="964"/>
        <v>6136</v>
      </c>
      <c r="AB2411" s="10"/>
      <c r="AC2411" s="10"/>
      <c r="AD2411" s="10"/>
      <c r="AE2411" s="10"/>
      <c r="AF2411" s="10"/>
      <c r="AG2411" s="10"/>
      <c r="AH2411" s="10"/>
      <c r="AI2411" s="10"/>
    </row>
    <row r="2412" spans="1:35">
      <c r="A2412" s="10"/>
      <c r="B2412" s="10" t="str">
        <f t="shared" si="963"/>
        <v>PostPOST</v>
      </c>
      <c r="C2412" t="s">
        <v>1</v>
      </c>
      <c r="D2412" t="s">
        <v>19</v>
      </c>
      <c r="E2412" t="s">
        <v>468</v>
      </c>
      <c r="G2412" t="s">
        <v>1383</v>
      </c>
      <c r="I2412" s="10"/>
      <c r="J2412" s="107">
        <f>SUMIF(Data!C:C,G2412,Data!Q:Q)</f>
        <v>0</v>
      </c>
      <c r="K2412" s="107">
        <f>SUMIF(Comprometidos!A:A,'Cost Report'!G2412,Comprometidos!E:E)</f>
        <v>0</v>
      </c>
      <c r="L2412" s="107">
        <f t="shared" si="960"/>
        <v>0</v>
      </c>
      <c r="M2412" s="107">
        <v>0</v>
      </c>
      <c r="N2412" s="107">
        <f t="shared" si="961"/>
        <v>0</v>
      </c>
      <c r="O2412" s="107">
        <f>VLOOKUP(G2412,Budget!$E$3:$G$2474,3,0)</f>
        <v>3675</v>
      </c>
      <c r="P2412" s="107">
        <f t="shared" si="962"/>
        <v>3675</v>
      </c>
      <c r="Q2412" s="107"/>
      <c r="R2412" s="10"/>
      <c r="S2412" s="107">
        <v>0</v>
      </c>
      <c r="T2412" s="107">
        <f t="shared" si="965"/>
        <v>0</v>
      </c>
      <c r="U2412" s="107"/>
      <c r="V2412" s="175"/>
      <c r="W2412" s="10"/>
      <c r="X2412" s="10"/>
      <c r="Y2412" t="str">
        <f t="shared" si="964"/>
        <v>6136</v>
      </c>
      <c r="AB2412" s="10"/>
      <c r="AC2412" s="10"/>
      <c r="AD2412" s="10"/>
      <c r="AE2412" s="10"/>
      <c r="AF2412" s="10"/>
      <c r="AG2412" s="10"/>
      <c r="AH2412" s="10"/>
      <c r="AI2412" s="10"/>
    </row>
    <row r="2413" spans="1:35">
      <c r="A2413" s="10"/>
      <c r="B2413" s="10" t="str">
        <f t="shared" si="963"/>
        <v>PostPOST</v>
      </c>
      <c r="C2413" t="s">
        <v>1</v>
      </c>
      <c r="D2413" t="s">
        <v>19</v>
      </c>
      <c r="E2413" t="s">
        <v>468</v>
      </c>
      <c r="G2413" t="s">
        <v>1385</v>
      </c>
      <c r="I2413" s="10"/>
      <c r="J2413" s="107">
        <f>SUMIF(Data!C:C,G2413,Data!Q:Q)</f>
        <v>0</v>
      </c>
      <c r="K2413" s="107">
        <f>SUMIF(Comprometidos!A:A,'Cost Report'!G2413,Comprometidos!E:E)</f>
        <v>0</v>
      </c>
      <c r="L2413" s="107">
        <f t="shared" si="960"/>
        <v>0</v>
      </c>
      <c r="M2413" s="107">
        <v>0</v>
      </c>
      <c r="N2413" s="107">
        <f t="shared" si="961"/>
        <v>0</v>
      </c>
      <c r="O2413" s="107">
        <f>VLOOKUP(G2413,Budget!$E$3:$G$2474,3,0)</f>
        <v>3675</v>
      </c>
      <c r="P2413" s="107">
        <f t="shared" si="962"/>
        <v>3675</v>
      </c>
      <c r="Q2413" s="107"/>
      <c r="R2413" s="10"/>
      <c r="S2413" s="107">
        <v>0</v>
      </c>
      <c r="T2413" s="107">
        <f t="shared" si="965"/>
        <v>0</v>
      </c>
      <c r="U2413" s="107"/>
      <c r="V2413" s="175"/>
      <c r="W2413" s="10"/>
      <c r="X2413" s="10"/>
      <c r="Y2413" t="str">
        <f t="shared" si="964"/>
        <v>6136</v>
      </c>
      <c r="AB2413" s="10"/>
      <c r="AC2413" s="10"/>
      <c r="AD2413" s="10"/>
      <c r="AE2413" s="10"/>
      <c r="AF2413" s="10"/>
      <c r="AG2413" s="10"/>
      <c r="AH2413" s="10"/>
      <c r="AI2413" s="10"/>
    </row>
    <row r="2414" spans="1:35">
      <c r="A2414" s="10"/>
      <c r="B2414" s="10" t="str">
        <f t="shared" si="963"/>
        <v>PostPOST</v>
      </c>
      <c r="C2414" t="s">
        <v>1</v>
      </c>
      <c r="D2414" t="s">
        <v>19</v>
      </c>
      <c r="E2414" t="s">
        <v>468</v>
      </c>
      <c r="G2414" t="s">
        <v>1386</v>
      </c>
      <c r="I2414" s="10"/>
      <c r="J2414" s="107">
        <f>SUMIF(Data!C:C,G2414,Data!Q:Q)</f>
        <v>0</v>
      </c>
      <c r="K2414" s="107">
        <f>SUMIF(Comprometidos!A:A,'Cost Report'!G2414,Comprometidos!E:E)</f>
        <v>0</v>
      </c>
      <c r="L2414" s="107">
        <f t="shared" si="960"/>
        <v>0</v>
      </c>
      <c r="M2414" s="107">
        <v>0</v>
      </c>
      <c r="N2414" s="107">
        <f t="shared" si="961"/>
        <v>0</v>
      </c>
      <c r="O2414" s="107">
        <f>VLOOKUP(G2414,Budget!$E$3:$G$2474,3,0)</f>
        <v>3675</v>
      </c>
      <c r="P2414" s="107">
        <f t="shared" si="962"/>
        <v>3675</v>
      </c>
      <c r="Q2414" s="107"/>
      <c r="R2414" s="10"/>
      <c r="S2414" s="107">
        <v>0</v>
      </c>
      <c r="T2414" s="107">
        <f t="shared" si="965"/>
        <v>0</v>
      </c>
      <c r="U2414" s="107"/>
      <c r="V2414" s="175"/>
      <c r="W2414" s="10"/>
      <c r="X2414" s="10"/>
      <c r="Y2414" t="str">
        <f t="shared" si="964"/>
        <v>6136</v>
      </c>
      <c r="AB2414" s="10"/>
      <c r="AC2414" s="10"/>
      <c r="AD2414" s="10"/>
      <c r="AE2414" s="10"/>
      <c r="AF2414" s="10"/>
      <c r="AG2414" s="10"/>
      <c r="AH2414" s="10"/>
      <c r="AI2414" s="10"/>
    </row>
    <row r="2415" spans="1:35">
      <c r="A2415" s="10"/>
      <c r="B2415" s="10" t="str">
        <f>+C2415</f>
        <v>Post</v>
      </c>
      <c r="C2415" s="128" t="s">
        <v>1</v>
      </c>
      <c r="D2415" s="128" t="s">
        <v>2117</v>
      </c>
      <c r="E2415" s="128"/>
      <c r="F2415" s="128"/>
      <c r="G2415" s="128" t="s">
        <v>1535</v>
      </c>
      <c r="H2415" s="128"/>
      <c r="I2415" s="10"/>
      <c r="J2415" s="129">
        <f>SUMIF($Y$11:$Y$2484,G2415,J$11:J$2484)</f>
        <v>0</v>
      </c>
      <c r="K2415" s="129">
        <f>SUMIF($Y$11:$Y$2484,G2415,K$11:K$2484)</f>
        <v>0</v>
      </c>
      <c r="L2415" s="129">
        <f>SUMIF($Y$11:$Y$2484,G2415,L$11:L$2484)</f>
        <v>0</v>
      </c>
      <c r="M2415" s="129">
        <f>SUMIF($Y$11:$Y$2484,G2415,M$11:M$2484)</f>
        <v>0</v>
      </c>
      <c r="N2415" s="129">
        <f>SUMIF($Y$11:$Y$2484,G2415,N$11:N$2484)</f>
        <v>0</v>
      </c>
      <c r="O2415" s="129">
        <f>SUMIF($Y$11:$Y$2484,G2415,O$11:O$2484)</f>
        <v>-849515.52000000002</v>
      </c>
      <c r="P2415" s="129">
        <f>SUMIF($Y$11:$Y$2484,G2415,P$11:P$2484)</f>
        <v>-849515.52000000002</v>
      </c>
      <c r="Q2415" s="129"/>
      <c r="R2415" s="10"/>
      <c r="S2415" s="129">
        <v>0</v>
      </c>
      <c r="T2415" s="129">
        <f t="shared" si="965"/>
        <v>0</v>
      </c>
      <c r="U2415" s="128"/>
      <c r="V2415" s="175"/>
      <c r="W2415" s="10"/>
      <c r="X2415" s="10"/>
      <c r="Z2415" t="str">
        <f>LEFT(G2415,2)</f>
        <v>61</v>
      </c>
      <c r="AA2415" t="str">
        <f>+Z2415&amp;"00"</f>
        <v>6100</v>
      </c>
      <c r="AB2415" s="10"/>
      <c r="AC2415" s="10"/>
      <c r="AD2415" s="10"/>
      <c r="AE2415" s="10"/>
      <c r="AF2415" s="10"/>
      <c r="AG2415" s="10"/>
      <c r="AH2415" s="10"/>
      <c r="AI2415" s="10"/>
    </row>
    <row r="2416" spans="1:35">
      <c r="A2416" s="10"/>
      <c r="B2416" s="10" t="str">
        <f t="shared" ref="B2416:B2417" si="966">+C2416&amp;E2416</f>
        <v>Post</v>
      </c>
      <c r="C2416" t="s">
        <v>1</v>
      </c>
      <c r="D2416" t="s">
        <v>19</v>
      </c>
      <c r="E2416" t="s">
        <v>214</v>
      </c>
      <c r="G2416" t="s">
        <v>1536</v>
      </c>
      <c r="I2416" s="10"/>
      <c r="J2416" s="107">
        <f>SUMIF(Data!C:C,G2416,Data!Q:Q)</f>
        <v>0</v>
      </c>
      <c r="K2416" s="107">
        <f>SUMIF(Comprometidos!A:A,'Cost Report'!G2416,Comprometidos!E:E)</f>
        <v>0</v>
      </c>
      <c r="L2416" s="107">
        <f t="shared" ref="L2416:L2417" si="967">+J2416+K2416</f>
        <v>0</v>
      </c>
      <c r="M2416" s="107">
        <f t="shared" ref="M2416" si="968">+O2416-L2416</f>
        <v>0</v>
      </c>
      <c r="N2416" s="107">
        <f t="shared" ref="N2416:N2417" si="969">+L2416+M2416</f>
        <v>0</v>
      </c>
      <c r="O2416" s="107">
        <f>VLOOKUP(G2416,Budget!$E$3:$G$2474,3,0)</f>
        <v>0</v>
      </c>
      <c r="P2416" s="107">
        <f t="shared" ref="P2416:P2417" si="970">+O2416-N2416</f>
        <v>0</v>
      </c>
      <c r="Q2416" s="107"/>
      <c r="R2416" s="10"/>
      <c r="S2416" s="107">
        <v>0</v>
      </c>
      <c r="T2416" s="107">
        <f t="shared" si="965"/>
        <v>0</v>
      </c>
      <c r="U2416" s="107"/>
      <c r="V2416" s="175"/>
      <c r="W2416" s="10"/>
      <c r="X2416" s="10"/>
      <c r="Y2416" t="str">
        <f t="shared" ref="Y2416:Y2417" si="971">LEFT(G2416,4)</f>
        <v>6137</v>
      </c>
      <c r="AB2416" s="10"/>
      <c r="AC2416" s="10"/>
      <c r="AD2416" s="10"/>
      <c r="AE2416" s="10"/>
      <c r="AF2416" s="10"/>
      <c r="AG2416" s="10"/>
      <c r="AH2416" s="10"/>
      <c r="AI2416" s="10"/>
    </row>
    <row r="2417" spans="1:35">
      <c r="A2417" s="10"/>
      <c r="B2417" s="10" t="str">
        <f t="shared" si="966"/>
        <v>PostPOST</v>
      </c>
      <c r="C2417" t="s">
        <v>1</v>
      </c>
      <c r="D2417" t="s">
        <v>19</v>
      </c>
      <c r="E2417" t="s">
        <v>468</v>
      </c>
      <c r="G2417" t="s">
        <v>3082</v>
      </c>
      <c r="I2417" s="10"/>
      <c r="J2417" s="107">
        <f>SUMIF(Data!C:C,G2417,Data!Q:Q)</f>
        <v>0</v>
      </c>
      <c r="K2417" s="107">
        <f>SUMIF(Comprometidos!A:A,'Cost Report'!G2417,Comprometidos!E:E)</f>
        <v>0</v>
      </c>
      <c r="L2417" s="107">
        <f t="shared" si="967"/>
        <v>0</v>
      </c>
      <c r="M2417" s="107">
        <v>0</v>
      </c>
      <c r="N2417" s="107">
        <f t="shared" si="969"/>
        <v>0</v>
      </c>
      <c r="O2417" s="107">
        <f>VLOOKUP(G2417,Budget!$E$3:$G$2474,3,0)</f>
        <v>-849515.52000000002</v>
      </c>
      <c r="P2417" s="107">
        <f t="shared" si="970"/>
        <v>-849515.52000000002</v>
      </c>
      <c r="Q2417" s="107"/>
      <c r="R2417" s="10"/>
      <c r="S2417" s="107">
        <v>0</v>
      </c>
      <c r="T2417" s="107">
        <f t="shared" si="965"/>
        <v>0</v>
      </c>
      <c r="U2417" s="107"/>
      <c r="V2417" s="175"/>
      <c r="W2417" s="10"/>
      <c r="X2417" s="10"/>
      <c r="Y2417" t="str">
        <f t="shared" si="971"/>
        <v>6137</v>
      </c>
      <c r="AB2417" s="10"/>
      <c r="AC2417" s="10"/>
      <c r="AD2417" s="10"/>
      <c r="AE2417" s="10"/>
      <c r="AF2417" s="10"/>
      <c r="AG2417" s="10"/>
      <c r="AH2417" s="10"/>
      <c r="AI2417" s="10"/>
    </row>
    <row r="2418" spans="1:35">
      <c r="A2418" s="10"/>
      <c r="B2418" s="10" t="str">
        <f>+C2418</f>
        <v>Post</v>
      </c>
      <c r="C2418" s="128" t="s">
        <v>1</v>
      </c>
      <c r="D2418" s="128" t="s">
        <v>2117</v>
      </c>
      <c r="E2418" s="128"/>
      <c r="F2418" s="128"/>
      <c r="G2418" s="128" t="s">
        <v>1387</v>
      </c>
      <c r="H2418" s="128"/>
      <c r="I2418" s="10"/>
      <c r="J2418" s="129">
        <f>SUMIF($Y$11:$Y$2484,G2418,J$11:J$2484)</f>
        <v>110400</v>
      </c>
      <c r="K2418" s="129">
        <f>SUMIF($Y$11:$Y$2484,G2418,K$11:K$2484)</f>
        <v>0</v>
      </c>
      <c r="L2418" s="129">
        <f>SUMIF($Y$11:$Y$2484,G2418,L$11:L$2484)</f>
        <v>110400</v>
      </c>
      <c r="M2418" s="129">
        <f>SUMIF($Y$11:$Y$2484,G2418,M$11:M$2484)</f>
        <v>0</v>
      </c>
      <c r="N2418" s="129">
        <f>SUMIF($Y$11:$Y$2484,G2418,N$11:N$2484)</f>
        <v>110400</v>
      </c>
      <c r="O2418" s="129">
        <f>SUMIF($Y$11:$Y$2484,G2418,O$11:O$2484)</f>
        <v>350000</v>
      </c>
      <c r="P2418" s="129">
        <f>SUMIF($Y$11:$Y$2484,G2418,P$11:P$2484)</f>
        <v>239600</v>
      </c>
      <c r="Q2418" s="129"/>
      <c r="R2418" s="10"/>
      <c r="S2418" s="129">
        <v>137400</v>
      </c>
      <c r="T2418" s="129">
        <f t="shared" si="965"/>
        <v>27000</v>
      </c>
      <c r="U2418" s="128"/>
      <c r="V2418" s="175"/>
      <c r="W2418" s="10"/>
      <c r="X2418" s="10"/>
      <c r="Z2418" t="str">
        <f>LEFT(G2418,2)</f>
        <v>61</v>
      </c>
      <c r="AA2418" t="str">
        <f>+Z2418&amp;"00"</f>
        <v>6100</v>
      </c>
      <c r="AB2418" s="10"/>
      <c r="AC2418" s="10"/>
      <c r="AD2418" s="10"/>
      <c r="AE2418" s="10"/>
      <c r="AF2418" s="10"/>
      <c r="AG2418" s="10"/>
      <c r="AH2418" s="10"/>
      <c r="AI2418" s="10"/>
    </row>
    <row r="2419" spans="1:35">
      <c r="A2419" s="10"/>
      <c r="B2419" s="10" t="str">
        <f t="shared" ref="B2419:B2420" si="972">+C2419&amp;E2419</f>
        <v>Post</v>
      </c>
      <c r="C2419" t="s">
        <v>1</v>
      </c>
      <c r="D2419" t="s">
        <v>19</v>
      </c>
      <c r="E2419" t="s">
        <v>214</v>
      </c>
      <c r="G2419" t="s">
        <v>1388</v>
      </c>
      <c r="I2419" s="10"/>
      <c r="J2419" s="107">
        <f>SUMIF(Data!C:C,G2419,Data!Q:Q)</f>
        <v>0</v>
      </c>
      <c r="K2419" s="107">
        <f>SUMIF(Comprometidos!A:A,'Cost Report'!G2419,Comprometidos!E:E)</f>
        <v>0</v>
      </c>
      <c r="L2419" s="107">
        <f t="shared" ref="L2419:L2420" si="973">+J2419+K2419</f>
        <v>0</v>
      </c>
      <c r="M2419" s="107">
        <f t="shared" ref="M2419" si="974">+O2419-L2419</f>
        <v>0</v>
      </c>
      <c r="N2419" s="107">
        <f t="shared" ref="N2419:N2420" si="975">+L2419+M2419</f>
        <v>0</v>
      </c>
      <c r="O2419" s="107">
        <f>VLOOKUP(G2419,Budget!$E$3:$G$2474,3,0)</f>
        <v>0</v>
      </c>
      <c r="P2419" s="107">
        <f t="shared" ref="P2419:P2420" si="976">+O2419-N2419</f>
        <v>0</v>
      </c>
      <c r="Q2419" s="107"/>
      <c r="R2419" s="10"/>
      <c r="S2419" s="107">
        <v>0</v>
      </c>
      <c r="T2419" s="107">
        <f t="shared" si="965"/>
        <v>0</v>
      </c>
      <c r="U2419" s="107"/>
      <c r="V2419" s="175"/>
      <c r="W2419" s="10"/>
      <c r="X2419" s="10"/>
      <c r="Y2419" t="str">
        <f t="shared" ref="Y2419:Y2420" si="977">LEFT(G2419,4)</f>
        <v>6149</v>
      </c>
      <c r="AB2419" s="10"/>
      <c r="AC2419" s="10"/>
      <c r="AD2419" s="10"/>
      <c r="AE2419" s="10"/>
      <c r="AF2419" s="10"/>
      <c r="AG2419" s="10"/>
      <c r="AH2419" s="10"/>
      <c r="AI2419" s="10"/>
    </row>
    <row r="2420" spans="1:35">
      <c r="A2420" s="10"/>
      <c r="B2420" s="10" t="str">
        <f t="shared" si="972"/>
        <v>PostPOST</v>
      </c>
      <c r="C2420" t="s">
        <v>1</v>
      </c>
      <c r="D2420" t="s">
        <v>19</v>
      </c>
      <c r="E2420" t="s">
        <v>468</v>
      </c>
      <c r="G2420" t="s">
        <v>3083</v>
      </c>
      <c r="I2420" s="10"/>
      <c r="J2420" s="107">
        <f>SUMIF(Data!C:C,G2420,Data!Q:Q)</f>
        <v>110400</v>
      </c>
      <c r="K2420" s="107">
        <f>SUMIF(Comprometidos!A:A,'Cost Report'!G2420,Comprometidos!E:E)</f>
        <v>0</v>
      </c>
      <c r="L2420" s="107">
        <f t="shared" si="973"/>
        <v>110400</v>
      </c>
      <c r="M2420" s="107">
        <v>0</v>
      </c>
      <c r="N2420" s="107">
        <f t="shared" si="975"/>
        <v>110400</v>
      </c>
      <c r="O2420" s="107">
        <f>VLOOKUP(G2420,Budget!$E$3:$G$2474,3,0)</f>
        <v>350000</v>
      </c>
      <c r="P2420" s="107">
        <f t="shared" si="976"/>
        <v>239600</v>
      </c>
      <c r="Q2420" s="107"/>
      <c r="R2420" s="10"/>
      <c r="S2420" s="107">
        <v>137400</v>
      </c>
      <c r="T2420" s="107">
        <f t="shared" si="965"/>
        <v>27000</v>
      </c>
      <c r="U2420" s="107"/>
      <c r="V2420" s="175"/>
      <c r="W2420" s="10"/>
      <c r="X2420" s="10"/>
      <c r="Y2420" t="str">
        <f t="shared" si="977"/>
        <v>6149</v>
      </c>
      <c r="AB2420" s="10"/>
      <c r="AC2420" s="10"/>
      <c r="AD2420" s="10"/>
      <c r="AE2420" s="10"/>
      <c r="AF2420" s="10"/>
      <c r="AG2420" s="10"/>
      <c r="AH2420" s="10"/>
      <c r="AI2420" s="10"/>
    </row>
    <row r="2421" spans="1:35">
      <c r="A2421" s="10"/>
      <c r="B2421" s="10"/>
      <c r="C2421" s="170" t="s">
        <v>21</v>
      </c>
      <c r="D2421" s="170" t="s">
        <v>8</v>
      </c>
      <c r="E2421" s="170"/>
      <c r="F2421" s="170"/>
      <c r="G2421" s="170" t="s">
        <v>1389</v>
      </c>
      <c r="H2421" s="170"/>
      <c r="I2421" s="10"/>
      <c r="J2421" s="169">
        <f>SUMIF($AA$10:$AA$2484,G2421,J$10:J$2484)</f>
        <v>12895653.215999998</v>
      </c>
      <c r="K2421" s="169">
        <f>SUMIF($AA$10:$AA$2484,G2421,K$10:K$2484)</f>
        <v>1073641.6500000011</v>
      </c>
      <c r="L2421" s="169">
        <f>SUMIF($AA$10:$AA$2484,G2421,L$10:L$2484)</f>
        <v>13969294.865999999</v>
      </c>
      <c r="M2421" s="169">
        <f>SUMIF($AA$10:$AA$2484,G2421,M$10:M$2484)</f>
        <v>0</v>
      </c>
      <c r="N2421" s="169">
        <f>SUMIF($AA$10:$AA$2484,G2421,N$10:N$2484)</f>
        <v>13969294.865999999</v>
      </c>
      <c r="O2421" s="169">
        <f>SUMIF($AA$10:$AA$2484,G2421,O$10:O$2484)</f>
        <v>13503508.17</v>
      </c>
      <c r="P2421" s="168">
        <f>SUMIF($AA$10:$AA$2484,G2421,P$10:P$2484)</f>
        <v>-465786.69600000005</v>
      </c>
      <c r="Q2421" s="169"/>
      <c r="R2421" s="10"/>
      <c r="S2421" s="164">
        <v>13687455.640000001</v>
      </c>
      <c r="T2421" s="164">
        <f t="shared" si="965"/>
        <v>-281839.22599999793</v>
      </c>
      <c r="U2421" s="163"/>
      <c r="V2421" s="175"/>
      <c r="W2421" s="10"/>
      <c r="X2421" s="10"/>
      <c r="AB2421" s="10"/>
      <c r="AC2421" s="10"/>
      <c r="AD2421" s="10"/>
      <c r="AE2421" s="10"/>
      <c r="AF2421" s="10"/>
      <c r="AG2421" s="10"/>
      <c r="AH2421" s="10"/>
      <c r="AI2421" s="10"/>
    </row>
    <row r="2422" spans="1:35">
      <c r="A2422" s="10"/>
      <c r="B2422" s="10" t="str">
        <f>+C2422</f>
        <v>Others</v>
      </c>
      <c r="C2422" s="128" t="s">
        <v>21</v>
      </c>
      <c r="D2422" s="128" t="s">
        <v>2117</v>
      </c>
      <c r="E2422" s="128"/>
      <c r="F2422" s="128"/>
      <c r="G2422" s="128" t="s">
        <v>3084</v>
      </c>
      <c r="H2422" s="128"/>
      <c r="I2422" s="10"/>
      <c r="J2422" s="129">
        <f>SUMIF($Y$11:$Y$2484,G2422,J$11:J$2484)</f>
        <v>149875</v>
      </c>
      <c r="K2422" s="129">
        <f>SUMIF($Y$11:$Y$2484,G2422,K$11:K$2484)</f>
        <v>0</v>
      </c>
      <c r="L2422" s="129">
        <f>SUMIF($Y$11:$Y$2484,G2422,L$11:L$2484)</f>
        <v>149875</v>
      </c>
      <c r="M2422" s="129">
        <f>SUMIF($Y$11:$Y$2484,G2422,M$11:M$2484)</f>
        <v>0</v>
      </c>
      <c r="N2422" s="129">
        <f>SUMIF($Y$11:$Y$2484,G2422,N$11:N$2484)</f>
        <v>149875</v>
      </c>
      <c r="O2422" s="129">
        <f>SUMIF($Y$11:$Y$2484,G2422,O$11:O$2484)</f>
        <v>149875</v>
      </c>
      <c r="P2422" s="129">
        <f>SUMIF($Y$11:$Y$2484,G2422,P$11:P$2484)</f>
        <v>0</v>
      </c>
      <c r="Q2422" s="129"/>
      <c r="R2422" s="10"/>
      <c r="S2422" s="129">
        <v>149875</v>
      </c>
      <c r="T2422" s="129">
        <f t="shared" si="965"/>
        <v>0</v>
      </c>
      <c r="U2422" s="128"/>
      <c r="V2422" s="175"/>
      <c r="W2422" s="10"/>
      <c r="X2422" s="10"/>
      <c r="Z2422" t="str">
        <f>LEFT(G2422,2)</f>
        <v>70</v>
      </c>
      <c r="AA2422" t="str">
        <f>+Z2422&amp;"00"</f>
        <v>7000</v>
      </c>
      <c r="AB2422" s="10"/>
      <c r="AC2422" s="10"/>
      <c r="AD2422" s="10"/>
      <c r="AE2422" s="10"/>
      <c r="AF2422" s="10"/>
      <c r="AG2422" s="10"/>
      <c r="AH2422" s="10"/>
      <c r="AI2422" s="10"/>
    </row>
    <row r="2423" spans="1:35">
      <c r="A2423" s="10"/>
      <c r="B2423" s="10" t="str">
        <f t="shared" ref="B2423:B2428" si="978">+C2423&amp;E2423</f>
        <v>Others</v>
      </c>
      <c r="C2423" t="s">
        <v>21</v>
      </c>
      <c r="D2423" t="s">
        <v>19</v>
      </c>
      <c r="E2423" t="s">
        <v>214</v>
      </c>
      <c r="G2423" t="s">
        <v>3085</v>
      </c>
      <c r="I2423" s="10"/>
      <c r="J2423" s="107">
        <f>SUMIF(Data!C:C,G2423,Data!Q:Q)</f>
        <v>0</v>
      </c>
      <c r="K2423" s="107">
        <f>SUMIF(Comprometidos!A:A,'Cost Report'!G2423,Comprometidos!E:E)</f>
        <v>0</v>
      </c>
      <c r="L2423" s="107">
        <f t="shared" ref="L2423:L2428" si="979">+J2423+K2423</f>
        <v>0</v>
      </c>
      <c r="M2423" s="107">
        <f t="shared" ref="M2423:M2428" si="980">+O2423-L2423</f>
        <v>0</v>
      </c>
      <c r="N2423" s="107">
        <f t="shared" ref="N2423:N2428" si="981">+L2423+M2423</f>
        <v>0</v>
      </c>
      <c r="O2423" s="107">
        <f>VLOOKUP(G2423,Budget!$E$3:$G$2474,3,0)</f>
        <v>0</v>
      </c>
      <c r="P2423" s="107">
        <f t="shared" ref="P2423:P2428" si="982">+O2423-N2423</f>
        <v>0</v>
      </c>
      <c r="Q2423" s="107"/>
      <c r="R2423" s="10"/>
      <c r="S2423" s="107">
        <v>0</v>
      </c>
      <c r="T2423" s="107">
        <f t="shared" si="965"/>
        <v>0</v>
      </c>
      <c r="U2423" s="107"/>
      <c r="V2423" s="175"/>
      <c r="W2423" s="10"/>
      <c r="X2423" s="10"/>
      <c r="Y2423" t="str">
        <f t="shared" ref="Y2423:Y2428" si="983">LEFT(G2423,4)</f>
        <v>7001</v>
      </c>
      <c r="AB2423" s="10"/>
      <c r="AC2423" s="10"/>
      <c r="AD2423" s="10"/>
      <c r="AE2423" s="10"/>
      <c r="AF2423" s="10"/>
      <c r="AG2423" s="10"/>
      <c r="AH2423" s="10"/>
      <c r="AI2423" s="10"/>
    </row>
    <row r="2424" spans="1:35">
      <c r="A2424" s="10"/>
      <c r="B2424" s="10" t="str">
        <f t="shared" si="978"/>
        <v>OthersSOFT</v>
      </c>
      <c r="C2424" t="s">
        <v>21</v>
      </c>
      <c r="D2424" t="s">
        <v>19</v>
      </c>
      <c r="E2424" t="s">
        <v>233</v>
      </c>
      <c r="G2424" t="s">
        <v>3086</v>
      </c>
      <c r="I2424" s="10"/>
      <c r="J2424" s="107">
        <f>SUMIF(Data!C:C,G2424,Data!Q:Q)</f>
        <v>6875</v>
      </c>
      <c r="K2424" s="107">
        <f>SUMIF(Comprometidos!A:A,'Cost Report'!G2424,Comprometidos!E:E)</f>
        <v>0</v>
      </c>
      <c r="L2424" s="107">
        <f t="shared" si="979"/>
        <v>6875</v>
      </c>
      <c r="M2424" s="107">
        <f t="shared" si="980"/>
        <v>0</v>
      </c>
      <c r="N2424" s="107">
        <f t="shared" si="981"/>
        <v>6875</v>
      </c>
      <c r="O2424" s="107">
        <f>VLOOKUP(G2424,Budget!$E$3:$G$2474,3,0)</f>
        <v>6875</v>
      </c>
      <c r="P2424" s="107">
        <f t="shared" si="982"/>
        <v>0</v>
      </c>
      <c r="Q2424" s="107"/>
      <c r="R2424" s="10"/>
      <c r="S2424" s="107">
        <v>6875</v>
      </c>
      <c r="T2424" s="107">
        <f t="shared" si="965"/>
        <v>0</v>
      </c>
      <c r="U2424" s="107"/>
      <c r="V2424" s="175"/>
      <c r="W2424" s="10"/>
      <c r="X2424" s="10"/>
      <c r="Y2424" t="str">
        <f t="shared" si="983"/>
        <v>7001</v>
      </c>
      <c r="AB2424" s="10"/>
      <c r="AC2424" s="10"/>
      <c r="AD2424" s="10"/>
      <c r="AE2424" s="10"/>
      <c r="AF2424" s="10"/>
      <c r="AG2424" s="10"/>
      <c r="AH2424" s="10"/>
      <c r="AI2424" s="10"/>
    </row>
    <row r="2425" spans="1:35">
      <c r="A2425" s="10"/>
      <c r="B2425" s="10" t="str">
        <f t="shared" si="978"/>
        <v>OthersPREP</v>
      </c>
      <c r="C2425" t="s">
        <v>21</v>
      </c>
      <c r="D2425" t="s">
        <v>19</v>
      </c>
      <c r="E2425" t="s">
        <v>234</v>
      </c>
      <c r="G2425" t="s">
        <v>3087</v>
      </c>
      <c r="I2425" s="10"/>
      <c r="J2425" s="107">
        <f>SUMIF(Data!C:C,G2425,Data!Q:Q)</f>
        <v>49500</v>
      </c>
      <c r="K2425" s="107">
        <f>SUMIF(Comprometidos!A:A,'Cost Report'!G2425,Comprometidos!E:E)</f>
        <v>0</v>
      </c>
      <c r="L2425" s="107">
        <f t="shared" si="979"/>
        <v>49500</v>
      </c>
      <c r="M2425" s="107">
        <f t="shared" si="980"/>
        <v>0</v>
      </c>
      <c r="N2425" s="107">
        <f t="shared" si="981"/>
        <v>49500</v>
      </c>
      <c r="O2425" s="107">
        <f>VLOOKUP(G2425,Budget!$E$3:$G$2474,3,0)</f>
        <v>49500</v>
      </c>
      <c r="P2425" s="107">
        <f t="shared" si="982"/>
        <v>0</v>
      </c>
      <c r="Q2425" s="107"/>
      <c r="R2425" s="10"/>
      <c r="S2425" s="107">
        <v>49500</v>
      </c>
      <c r="T2425" s="107">
        <f t="shared" si="965"/>
        <v>0</v>
      </c>
      <c r="U2425" s="107"/>
      <c r="V2425" s="175"/>
      <c r="W2425" s="10"/>
      <c r="X2425" s="10"/>
      <c r="Y2425" t="str">
        <f t="shared" si="983"/>
        <v>7001</v>
      </c>
      <c r="AB2425" s="10"/>
      <c r="AC2425" s="10"/>
      <c r="AD2425" s="10"/>
      <c r="AE2425" s="10"/>
      <c r="AF2425" s="10"/>
      <c r="AG2425" s="10"/>
      <c r="AH2425" s="10"/>
      <c r="AI2425" s="10"/>
    </row>
    <row r="2426" spans="1:35">
      <c r="A2426" s="10"/>
      <c r="B2426" s="10" t="str">
        <f t="shared" si="978"/>
        <v>OthersSHOOT</v>
      </c>
      <c r="C2426" t="s">
        <v>21</v>
      </c>
      <c r="D2426" t="s">
        <v>19</v>
      </c>
      <c r="E2426" t="s">
        <v>236</v>
      </c>
      <c r="G2426" t="s">
        <v>3088</v>
      </c>
      <c r="I2426" s="10"/>
      <c r="J2426" s="107">
        <f>SUMIF(Data!C:C,G2426,Data!Q:Q)</f>
        <v>38500</v>
      </c>
      <c r="K2426" s="107">
        <f>SUMIF(Comprometidos!A:A,'Cost Report'!G2426,Comprometidos!E:E)</f>
        <v>0</v>
      </c>
      <c r="L2426" s="107">
        <f t="shared" si="979"/>
        <v>38500</v>
      </c>
      <c r="M2426" s="107">
        <f t="shared" si="980"/>
        <v>0</v>
      </c>
      <c r="N2426" s="107">
        <f t="shared" si="981"/>
        <v>38500</v>
      </c>
      <c r="O2426" s="107">
        <f>VLOOKUP(G2426,Budget!$E$3:$G$2474,3,0)</f>
        <v>38500</v>
      </c>
      <c r="P2426" s="107">
        <f t="shared" si="982"/>
        <v>0</v>
      </c>
      <c r="Q2426" s="107"/>
      <c r="R2426" s="10"/>
      <c r="S2426" s="107">
        <v>38500</v>
      </c>
      <c r="T2426" s="107">
        <f t="shared" si="965"/>
        <v>0</v>
      </c>
      <c r="U2426" s="107"/>
      <c r="V2426" s="175"/>
      <c r="W2426" s="10"/>
      <c r="X2426" s="10"/>
      <c r="Y2426" t="str">
        <f t="shared" si="983"/>
        <v>7001</v>
      </c>
      <c r="AB2426" s="10"/>
      <c r="AC2426" s="10"/>
      <c r="AD2426" s="10"/>
      <c r="AE2426" s="10"/>
      <c r="AF2426" s="10"/>
      <c r="AG2426" s="10"/>
      <c r="AH2426" s="10"/>
      <c r="AI2426" s="10"/>
    </row>
    <row r="2427" spans="1:35">
      <c r="A2427" s="10"/>
      <c r="B2427" s="10" t="str">
        <f t="shared" si="978"/>
        <v>OthersWRAP</v>
      </c>
      <c r="C2427" t="s">
        <v>21</v>
      </c>
      <c r="D2427" t="s">
        <v>19</v>
      </c>
      <c r="E2427" t="s">
        <v>238</v>
      </c>
      <c r="G2427" t="s">
        <v>3089</v>
      </c>
      <c r="I2427" s="10"/>
      <c r="J2427" s="107">
        <f>SUMIF(Data!C:C,G2427,Data!Q:Q)</f>
        <v>22000</v>
      </c>
      <c r="K2427" s="107">
        <f>SUMIF(Comprometidos!A:A,'Cost Report'!G2427,Comprometidos!E:E)</f>
        <v>0</v>
      </c>
      <c r="L2427" s="107">
        <f t="shared" si="979"/>
        <v>22000</v>
      </c>
      <c r="M2427" s="107">
        <f t="shared" si="980"/>
        <v>0</v>
      </c>
      <c r="N2427" s="107">
        <f t="shared" si="981"/>
        <v>22000</v>
      </c>
      <c r="O2427" s="107">
        <f>VLOOKUP(G2427,Budget!$E$3:$G$2474,3,0)</f>
        <v>22000</v>
      </c>
      <c r="P2427" s="107">
        <f t="shared" si="982"/>
        <v>0</v>
      </c>
      <c r="Q2427" s="107"/>
      <c r="R2427" s="10"/>
      <c r="S2427" s="107">
        <v>22000</v>
      </c>
      <c r="T2427" s="107">
        <f t="shared" si="965"/>
        <v>0</v>
      </c>
      <c r="U2427" s="107"/>
      <c r="V2427" s="175"/>
      <c r="W2427" s="10"/>
      <c r="X2427" s="10"/>
      <c r="Y2427" t="str">
        <f t="shared" si="983"/>
        <v>7001</v>
      </c>
      <c r="AB2427" s="10"/>
      <c r="AC2427" s="10"/>
      <c r="AD2427" s="10"/>
      <c r="AE2427" s="10"/>
      <c r="AF2427" s="10"/>
      <c r="AG2427" s="10"/>
      <c r="AH2427" s="10"/>
      <c r="AI2427" s="10"/>
    </row>
    <row r="2428" spans="1:35">
      <c r="A2428" s="10"/>
      <c r="B2428" s="10" t="str">
        <f t="shared" si="978"/>
        <v>OthersPOST</v>
      </c>
      <c r="C2428" t="s">
        <v>21</v>
      </c>
      <c r="D2428" t="s">
        <v>19</v>
      </c>
      <c r="E2428" t="s">
        <v>468</v>
      </c>
      <c r="G2428" t="s">
        <v>3090</v>
      </c>
      <c r="I2428" s="10"/>
      <c r="J2428" s="107">
        <f>SUMIF(Data!C:C,G2428,Data!Q:Q)</f>
        <v>33000</v>
      </c>
      <c r="K2428" s="107">
        <f>SUMIF(Comprometidos!A:A,'Cost Report'!G2428,Comprometidos!E:E)</f>
        <v>0</v>
      </c>
      <c r="L2428" s="107">
        <f t="shared" si="979"/>
        <v>33000</v>
      </c>
      <c r="M2428" s="107">
        <f t="shared" si="980"/>
        <v>0</v>
      </c>
      <c r="N2428" s="107">
        <f t="shared" si="981"/>
        <v>33000</v>
      </c>
      <c r="O2428" s="107">
        <f>VLOOKUP(G2428,Budget!$E$3:$G$2474,3,0)</f>
        <v>33000</v>
      </c>
      <c r="P2428" s="107">
        <f t="shared" si="982"/>
        <v>0</v>
      </c>
      <c r="Q2428" s="107"/>
      <c r="R2428" s="10"/>
      <c r="S2428" s="107">
        <v>33000</v>
      </c>
      <c r="T2428" s="107">
        <f t="shared" si="965"/>
        <v>0</v>
      </c>
      <c r="U2428" s="107"/>
      <c r="V2428" s="175"/>
      <c r="W2428" s="10"/>
      <c r="X2428" s="10"/>
      <c r="Y2428" t="str">
        <f t="shared" si="983"/>
        <v>7001</v>
      </c>
      <c r="AB2428" s="10"/>
      <c r="AC2428" s="10"/>
      <c r="AD2428" s="10"/>
      <c r="AE2428" s="10"/>
      <c r="AF2428" s="10"/>
      <c r="AG2428" s="10"/>
      <c r="AH2428" s="10"/>
      <c r="AI2428" s="10"/>
    </row>
    <row r="2429" spans="1:35">
      <c r="A2429" s="10"/>
      <c r="B2429" s="10" t="str">
        <f>+C2429</f>
        <v>Others</v>
      </c>
      <c r="C2429" s="128" t="s">
        <v>21</v>
      </c>
      <c r="D2429" s="128" t="s">
        <v>2117</v>
      </c>
      <c r="E2429" s="128"/>
      <c r="F2429" s="128"/>
      <c r="G2429" s="128" t="s">
        <v>3091</v>
      </c>
      <c r="H2429" s="128"/>
      <c r="I2429" s="10"/>
      <c r="J2429" s="129">
        <f>SUMIF($Y$11:$Y$2484,G2429,J$11:J$2484)</f>
        <v>339733</v>
      </c>
      <c r="K2429" s="129">
        <f>SUMIF($Y$11:$Y$2484,G2429,K$11:K$2484)</f>
        <v>0</v>
      </c>
      <c r="L2429" s="129">
        <f>SUMIF($Y$11:$Y$2484,G2429,L$11:L$2484)</f>
        <v>339733</v>
      </c>
      <c r="M2429" s="129">
        <f>SUMIF($Y$11:$Y$2484,G2429,M$11:M$2484)</f>
        <v>0</v>
      </c>
      <c r="N2429" s="129">
        <f>SUMIF($Y$11:$Y$2484,G2429,N$11:N$2484)</f>
        <v>339733</v>
      </c>
      <c r="O2429" s="129">
        <f>SUMIF($Y$11:$Y$2484,G2429,O$11:O$2484)</f>
        <v>68000</v>
      </c>
      <c r="P2429" s="129">
        <f>SUMIF($Y$11:$Y$2484,G2429,P$11:P$2484)</f>
        <v>-271733</v>
      </c>
      <c r="Q2429" s="129"/>
      <c r="R2429" s="10"/>
      <c r="S2429" s="129">
        <v>64733</v>
      </c>
      <c r="T2429" s="129">
        <f t="shared" si="965"/>
        <v>-275000</v>
      </c>
      <c r="U2429" s="128"/>
      <c r="V2429" s="175"/>
      <c r="W2429" s="10"/>
      <c r="X2429" s="10"/>
      <c r="Z2429" t="str">
        <f>LEFT(G2429,2)</f>
        <v>70</v>
      </c>
      <c r="AA2429" t="str">
        <f>+Z2429&amp;"00"</f>
        <v>7000</v>
      </c>
      <c r="AB2429" s="10"/>
      <c r="AC2429" s="10"/>
      <c r="AD2429" s="10"/>
      <c r="AE2429" s="10"/>
      <c r="AF2429" s="10"/>
      <c r="AG2429" s="10"/>
      <c r="AH2429" s="10"/>
      <c r="AI2429" s="10"/>
    </row>
    <row r="2430" spans="1:35">
      <c r="A2430" s="10"/>
      <c r="B2430" s="10" t="str">
        <f t="shared" ref="B2430:B2434" si="984">+C2430&amp;E2430</f>
        <v>Others</v>
      </c>
      <c r="C2430" t="s">
        <v>21</v>
      </c>
      <c r="D2430" t="s">
        <v>19</v>
      </c>
      <c r="E2430" t="s">
        <v>214</v>
      </c>
      <c r="G2430" t="s">
        <v>3092</v>
      </c>
      <c r="I2430" s="10"/>
      <c r="J2430" s="107">
        <f>SUMIF(Data!C:C,G2430,Data!Q:Q)</f>
        <v>0</v>
      </c>
      <c r="K2430" s="107">
        <f>SUMIF(Comprometidos!A:A,'Cost Report'!G2430,Comprometidos!E:E)</f>
        <v>0</v>
      </c>
      <c r="L2430" s="107">
        <f t="shared" ref="L2430:L2434" si="985">+J2430+K2430</f>
        <v>0</v>
      </c>
      <c r="M2430" s="107">
        <f t="shared" ref="M2430:M2432" si="986">+O2430-L2430</f>
        <v>0</v>
      </c>
      <c r="N2430" s="107">
        <f t="shared" ref="N2430:N2434" si="987">+L2430+M2430</f>
        <v>0</v>
      </c>
      <c r="O2430" s="107">
        <f>VLOOKUP(G2430,Budget!$E$3:$G$2474,3,0)</f>
        <v>0</v>
      </c>
      <c r="P2430" s="107">
        <f t="shared" ref="P2430:P2434" si="988">+O2430-N2430</f>
        <v>0</v>
      </c>
      <c r="Q2430" s="107"/>
      <c r="R2430" s="10"/>
      <c r="S2430" s="107">
        <v>0</v>
      </c>
      <c r="T2430" s="107">
        <f t="shared" si="965"/>
        <v>0</v>
      </c>
      <c r="U2430" s="107"/>
      <c r="V2430" s="175"/>
      <c r="W2430" s="10"/>
      <c r="X2430" s="10"/>
      <c r="Y2430" t="str">
        <f t="shared" ref="Y2430:Y2434" si="989">LEFT(G2430,4)</f>
        <v>7002</v>
      </c>
      <c r="AB2430" s="10"/>
      <c r="AC2430" s="10"/>
      <c r="AD2430" s="10"/>
      <c r="AE2430" s="10"/>
      <c r="AF2430" s="10"/>
      <c r="AG2430" s="10"/>
      <c r="AH2430" s="10"/>
      <c r="AI2430" s="10"/>
    </row>
    <row r="2431" spans="1:35">
      <c r="A2431" s="10"/>
      <c r="B2431" s="10" t="str">
        <f t="shared" si="984"/>
        <v>OthersPREP</v>
      </c>
      <c r="C2431" t="s">
        <v>21</v>
      </c>
      <c r="D2431" t="s">
        <v>19</v>
      </c>
      <c r="E2431" t="s">
        <v>234</v>
      </c>
      <c r="G2431" t="s">
        <v>3093</v>
      </c>
      <c r="I2431" s="10"/>
      <c r="J2431" s="107">
        <f>SUMIF(Data!C:C,G2431,Data!Q:Q)</f>
        <v>335000</v>
      </c>
      <c r="K2431" s="107">
        <f>SUMIF(Comprometidos!A:A,'Cost Report'!G2431,Comprometidos!E:E)</f>
        <v>0</v>
      </c>
      <c r="L2431" s="107">
        <f t="shared" si="985"/>
        <v>335000</v>
      </c>
      <c r="M2431" s="107">
        <v>0</v>
      </c>
      <c r="N2431" s="107">
        <f t="shared" si="987"/>
        <v>335000</v>
      </c>
      <c r="O2431" s="107">
        <f>VLOOKUP(G2431,Budget!$E$3:$G$2474,3,0)</f>
        <v>60000</v>
      </c>
      <c r="P2431" s="107">
        <f t="shared" si="988"/>
        <v>-275000</v>
      </c>
      <c r="Q2431" s="107"/>
      <c r="R2431" s="10"/>
      <c r="S2431" s="107">
        <v>60000</v>
      </c>
      <c r="T2431" s="107">
        <f t="shared" si="965"/>
        <v>-275000</v>
      </c>
      <c r="U2431" s="107"/>
      <c r="V2431" s="175"/>
      <c r="W2431" s="10"/>
      <c r="X2431" s="10"/>
      <c r="Y2431" t="str">
        <f t="shared" si="989"/>
        <v>7002</v>
      </c>
      <c r="AB2431" s="10"/>
      <c r="AC2431" s="10"/>
      <c r="AD2431" s="10"/>
      <c r="AE2431" s="10"/>
      <c r="AF2431" s="10"/>
      <c r="AG2431" s="10"/>
      <c r="AH2431" s="10"/>
      <c r="AI2431" s="10"/>
    </row>
    <row r="2432" spans="1:35">
      <c r="A2432" s="10"/>
      <c r="B2432" s="10" t="str">
        <f t="shared" si="984"/>
        <v>Others</v>
      </c>
      <c r="C2432" t="s">
        <v>21</v>
      </c>
      <c r="D2432" t="s">
        <v>19</v>
      </c>
      <c r="E2432" t="s">
        <v>214</v>
      </c>
      <c r="G2432" t="s">
        <v>3094</v>
      </c>
      <c r="I2432" s="10"/>
      <c r="J2432" s="107">
        <f>SUMIF(Data!C:C,G2432,Data!Q:Q)</f>
        <v>0</v>
      </c>
      <c r="K2432" s="107">
        <f>SUMIF(Comprometidos!A:A,'Cost Report'!G2432,Comprometidos!E:E)</f>
        <v>0</v>
      </c>
      <c r="L2432" s="107">
        <f t="shared" si="985"/>
        <v>0</v>
      </c>
      <c r="M2432" s="107">
        <f t="shared" si="986"/>
        <v>0</v>
      </c>
      <c r="N2432" s="107">
        <f t="shared" si="987"/>
        <v>0</v>
      </c>
      <c r="O2432" s="107">
        <f>VLOOKUP(G2432,Budget!$E$3:$G$2474,3,0)</f>
        <v>0</v>
      </c>
      <c r="P2432" s="107">
        <f t="shared" si="988"/>
        <v>0</v>
      </c>
      <c r="Q2432" s="107"/>
      <c r="R2432" s="10"/>
      <c r="S2432" s="107">
        <v>0</v>
      </c>
      <c r="T2432" s="107">
        <f t="shared" si="965"/>
        <v>0</v>
      </c>
      <c r="U2432" s="107"/>
      <c r="V2432" s="175"/>
      <c r="W2432" s="10"/>
      <c r="X2432" s="10"/>
      <c r="Y2432" t="str">
        <f t="shared" si="989"/>
        <v>7002</v>
      </c>
      <c r="AB2432" s="10"/>
      <c r="AC2432" s="10"/>
      <c r="AD2432" s="10"/>
      <c r="AE2432" s="10"/>
      <c r="AF2432" s="10"/>
      <c r="AG2432" s="10"/>
      <c r="AH2432" s="10"/>
      <c r="AI2432" s="10"/>
    </row>
    <row r="2433" spans="1:35">
      <c r="A2433" s="10"/>
      <c r="B2433" s="10" t="str">
        <f t="shared" si="984"/>
        <v>OthersALL SHOW</v>
      </c>
      <c r="C2433" t="s">
        <v>21</v>
      </c>
      <c r="D2433" t="s">
        <v>19</v>
      </c>
      <c r="E2433" t="s">
        <v>227</v>
      </c>
      <c r="G2433" t="s">
        <v>3095</v>
      </c>
      <c r="I2433" s="10"/>
      <c r="J2433" s="107">
        <f>SUMIF(Data!C:C,G2433,Data!Q:Q)</f>
        <v>0</v>
      </c>
      <c r="K2433" s="107">
        <f>SUMIF(Comprometidos!A:A,'Cost Report'!G2433,Comprometidos!E:E)</f>
        <v>0</v>
      </c>
      <c r="L2433" s="107">
        <f t="shared" si="985"/>
        <v>0</v>
      </c>
      <c r="M2433" s="107">
        <v>0</v>
      </c>
      <c r="N2433" s="107">
        <f t="shared" si="987"/>
        <v>0</v>
      </c>
      <c r="O2433" s="107">
        <f>VLOOKUP(G2433,Budget!$E$3:$G$2474,3,0)</f>
        <v>4000</v>
      </c>
      <c r="P2433" s="107">
        <f t="shared" si="988"/>
        <v>4000</v>
      </c>
      <c r="Q2433" s="107"/>
      <c r="R2433" s="10"/>
      <c r="S2433" s="107">
        <v>0</v>
      </c>
      <c r="T2433" s="107">
        <f t="shared" si="965"/>
        <v>0</v>
      </c>
      <c r="U2433" s="107"/>
      <c r="V2433" s="175"/>
      <c r="W2433" s="10"/>
      <c r="X2433" s="10"/>
      <c r="Y2433" t="str">
        <f t="shared" si="989"/>
        <v>7002</v>
      </c>
      <c r="AB2433" s="10"/>
      <c r="AC2433" s="10"/>
      <c r="AD2433" s="10"/>
      <c r="AE2433" s="10"/>
      <c r="AF2433" s="10"/>
      <c r="AG2433" s="10"/>
      <c r="AH2433" s="10"/>
      <c r="AI2433" s="10"/>
    </row>
    <row r="2434" spans="1:35">
      <c r="A2434" s="10"/>
      <c r="B2434" s="10" t="str">
        <f t="shared" si="984"/>
        <v>OthersALL SHOW</v>
      </c>
      <c r="C2434" t="s">
        <v>21</v>
      </c>
      <c r="D2434" t="s">
        <v>19</v>
      </c>
      <c r="E2434" t="s">
        <v>227</v>
      </c>
      <c r="G2434" t="s">
        <v>3096</v>
      </c>
      <c r="I2434" s="10"/>
      <c r="J2434" s="107">
        <f>SUMIF(Data!C:C,G2434,Data!Q:Q)</f>
        <v>4733</v>
      </c>
      <c r="K2434" s="107">
        <f>SUMIF(Comprometidos!A:A,'Cost Report'!G2434,Comprometidos!E:E)</f>
        <v>0</v>
      </c>
      <c r="L2434" s="107">
        <f t="shared" si="985"/>
        <v>4733</v>
      </c>
      <c r="M2434" s="107">
        <v>0</v>
      </c>
      <c r="N2434" s="107">
        <f t="shared" si="987"/>
        <v>4733</v>
      </c>
      <c r="O2434" s="107">
        <f>VLOOKUP(G2434,Budget!$E$3:$G$2474,3,0)</f>
        <v>4000</v>
      </c>
      <c r="P2434" s="107">
        <f t="shared" si="988"/>
        <v>-733</v>
      </c>
      <c r="Q2434" s="107"/>
      <c r="R2434" s="10"/>
      <c r="S2434" s="107">
        <v>4733</v>
      </c>
      <c r="T2434" s="107">
        <f t="shared" si="965"/>
        <v>0</v>
      </c>
      <c r="U2434" s="107"/>
      <c r="V2434" s="175"/>
      <c r="W2434" s="10"/>
      <c r="X2434" s="10"/>
      <c r="Y2434" t="str">
        <f t="shared" si="989"/>
        <v>7002</v>
      </c>
      <c r="AB2434" s="10"/>
      <c r="AC2434" s="10"/>
      <c r="AD2434" s="10"/>
      <c r="AE2434" s="10"/>
      <c r="AF2434" s="10"/>
      <c r="AG2434" s="10"/>
      <c r="AH2434" s="10"/>
      <c r="AI2434" s="10"/>
    </row>
    <row r="2435" spans="1:35">
      <c r="A2435" s="10"/>
      <c r="B2435" s="10" t="str">
        <f>+C2435</f>
        <v>Others</v>
      </c>
      <c r="C2435" s="128" t="s">
        <v>21</v>
      </c>
      <c r="D2435" s="128" t="s">
        <v>2117</v>
      </c>
      <c r="E2435" s="128"/>
      <c r="F2435" s="128"/>
      <c r="G2435" s="128" t="s">
        <v>1781</v>
      </c>
      <c r="H2435" s="128"/>
      <c r="I2435" s="10"/>
      <c r="J2435" s="129">
        <f>SUMIF($Y$11:$Y$2484,G2435,J$11:J$2484)</f>
        <v>10574177.83</v>
      </c>
      <c r="K2435" s="129">
        <f>SUMIF($Y$11:$Y$2484,G2435,K$11:K$2484)</f>
        <v>1069395.9700000011</v>
      </c>
      <c r="L2435" s="129">
        <f>SUMIF($Y$11:$Y$2484,G2435,L$11:L$2484)</f>
        <v>11643573.800000001</v>
      </c>
      <c r="M2435" s="129">
        <f>SUMIF($Y$11:$Y$2484,G2435,M$11:M$2484)</f>
        <v>0</v>
      </c>
      <c r="N2435" s="129">
        <f>SUMIF($Y$11:$Y$2484,G2435,N$11:N$2484)</f>
        <v>11643573.800000001</v>
      </c>
      <c r="O2435" s="129">
        <f>SUMIF($Y$11:$Y$2484,G2435,O$11:O$2484)</f>
        <v>11643573.800000001</v>
      </c>
      <c r="P2435" s="129">
        <f>SUMIF($Y$11:$Y$2484,G2435,P$11:P$2484)</f>
        <v>0</v>
      </c>
      <c r="Q2435" s="129"/>
      <c r="R2435" s="10"/>
      <c r="S2435" s="129">
        <v>11643573.800000001</v>
      </c>
      <c r="T2435" s="129">
        <f t="shared" si="965"/>
        <v>0</v>
      </c>
      <c r="U2435" s="128"/>
      <c r="V2435" s="175"/>
      <c r="W2435" s="10"/>
      <c r="X2435" s="10"/>
      <c r="Z2435" t="str">
        <f>LEFT(G2435,2)</f>
        <v>70</v>
      </c>
      <c r="AA2435" t="str">
        <f>+Z2435&amp;"00"</f>
        <v>7000</v>
      </c>
      <c r="AB2435" s="10"/>
      <c r="AC2435" s="10"/>
      <c r="AD2435" s="10"/>
      <c r="AE2435" s="10"/>
      <c r="AF2435" s="10"/>
      <c r="AG2435" s="10"/>
      <c r="AH2435" s="10"/>
      <c r="AI2435" s="10"/>
    </row>
    <row r="2436" spans="1:35">
      <c r="A2436" s="10"/>
      <c r="B2436" s="10" t="str">
        <f t="shared" ref="B2436:B2438" si="990">+C2436&amp;E2436</f>
        <v>Others</v>
      </c>
      <c r="C2436" t="s">
        <v>21</v>
      </c>
      <c r="D2436" t="s">
        <v>19</v>
      </c>
      <c r="E2436" t="s">
        <v>214</v>
      </c>
      <c r="G2436" t="s">
        <v>1782</v>
      </c>
      <c r="I2436" s="10"/>
      <c r="J2436" s="107">
        <f>SUMIF(Data!C:C,G2436,Data!Q:Q)</f>
        <v>0</v>
      </c>
      <c r="K2436" s="107">
        <f>SUMIF(Comprometidos!A:A,'Cost Report'!G2436,Comprometidos!E:E)</f>
        <v>0</v>
      </c>
      <c r="L2436" s="107">
        <f t="shared" ref="L2436:L2438" si="991">+J2436+K2436</f>
        <v>0</v>
      </c>
      <c r="M2436" s="107">
        <f t="shared" ref="M2436:M2438" si="992">+O2436-L2436</f>
        <v>0</v>
      </c>
      <c r="N2436" s="107">
        <f t="shared" ref="N2436:N2438" si="993">+L2436+M2436</f>
        <v>0</v>
      </c>
      <c r="O2436" s="107">
        <f>VLOOKUP(G2436,Budget!$E$3:$G$2474,3,0)</f>
        <v>0</v>
      </c>
      <c r="P2436" s="107">
        <f t="shared" ref="P2436:P2438" si="994">+O2436-N2436</f>
        <v>0</v>
      </c>
      <c r="Q2436" s="107"/>
      <c r="R2436" s="10"/>
      <c r="S2436" s="107">
        <v>0</v>
      </c>
      <c r="T2436" s="107">
        <f t="shared" si="965"/>
        <v>0</v>
      </c>
      <c r="U2436" s="107"/>
      <c r="V2436" s="175"/>
      <c r="W2436" s="10"/>
      <c r="X2436" s="10"/>
      <c r="Y2436" t="str">
        <f t="shared" ref="Y2436:Y2438" si="995">LEFT(G2436,4)</f>
        <v>7003</v>
      </c>
      <c r="AB2436" s="10"/>
      <c r="AC2436" s="10"/>
      <c r="AD2436" s="10"/>
      <c r="AE2436" s="10"/>
      <c r="AF2436" s="10"/>
      <c r="AG2436" s="10"/>
      <c r="AH2436" s="10"/>
      <c r="AI2436" s="10"/>
    </row>
    <row r="2437" spans="1:35">
      <c r="A2437" s="10"/>
      <c r="B2437" s="10" t="str">
        <f t="shared" si="990"/>
        <v>Others</v>
      </c>
      <c r="C2437" t="s">
        <v>21</v>
      </c>
      <c r="D2437" t="s">
        <v>19</v>
      </c>
      <c r="E2437" t="s">
        <v>214</v>
      </c>
      <c r="G2437" t="s">
        <v>1783</v>
      </c>
      <c r="I2437" s="10"/>
      <c r="J2437" s="107">
        <f>SUMIF(Data!C:C,G2437,Data!Q:Q)</f>
        <v>0</v>
      </c>
      <c r="K2437" s="107">
        <f>SUMIF(Comprometidos!A:A,'Cost Report'!G2437,Comprometidos!E:E)</f>
        <v>0</v>
      </c>
      <c r="L2437" s="107">
        <f t="shared" si="991"/>
        <v>0</v>
      </c>
      <c r="M2437" s="107">
        <f t="shared" si="992"/>
        <v>0</v>
      </c>
      <c r="N2437" s="107">
        <f t="shared" si="993"/>
        <v>0</v>
      </c>
      <c r="O2437" s="107">
        <f>VLOOKUP(G2437,Budget!$E$3:$G$2474,3,0)</f>
        <v>0</v>
      </c>
      <c r="P2437" s="107">
        <f t="shared" si="994"/>
        <v>0</v>
      </c>
      <c r="Q2437" s="107"/>
      <c r="R2437" s="10"/>
      <c r="S2437" s="107">
        <v>0</v>
      </c>
      <c r="T2437" s="107">
        <f t="shared" si="965"/>
        <v>0</v>
      </c>
      <c r="U2437" s="107"/>
      <c r="V2437" s="175"/>
      <c r="W2437" s="10"/>
      <c r="X2437" s="10"/>
      <c r="Y2437" t="str">
        <f t="shared" si="995"/>
        <v>7003</v>
      </c>
      <c r="AB2437" s="10"/>
      <c r="AC2437" s="10"/>
      <c r="AD2437" s="10"/>
      <c r="AE2437" s="10"/>
      <c r="AF2437" s="10"/>
      <c r="AG2437" s="10"/>
      <c r="AH2437" s="10"/>
      <c r="AI2437" s="10"/>
    </row>
    <row r="2438" spans="1:35">
      <c r="A2438" s="10"/>
      <c r="B2438" s="10" t="str">
        <f t="shared" si="990"/>
        <v>OthersALL SHOW</v>
      </c>
      <c r="C2438" t="s">
        <v>21</v>
      </c>
      <c r="D2438" t="s">
        <v>19</v>
      </c>
      <c r="E2438" t="s">
        <v>227</v>
      </c>
      <c r="G2438" t="s">
        <v>3097</v>
      </c>
      <c r="I2438" s="10"/>
      <c r="J2438" s="107">
        <f>SUMIF(Data!C:C,G2438,Data!Q:Q)</f>
        <v>10574177.83</v>
      </c>
      <c r="K2438" s="107">
        <f>SUMIF(Comprometidos!A:A,'Cost Report'!G2438,Comprometidos!E:E)</f>
        <v>1069395.9700000011</v>
      </c>
      <c r="L2438" s="107">
        <f t="shared" si="991"/>
        <v>11643573.800000001</v>
      </c>
      <c r="M2438" s="107">
        <f t="shared" si="992"/>
        <v>0</v>
      </c>
      <c r="N2438" s="107">
        <f t="shared" si="993"/>
        <v>11643573.800000001</v>
      </c>
      <c r="O2438" s="107">
        <f>VLOOKUP(G2438,Budget!$E$3:$G$2474,3,0)</f>
        <v>11643573.800000001</v>
      </c>
      <c r="P2438" s="107">
        <f t="shared" si="994"/>
        <v>0</v>
      </c>
      <c r="Q2438" s="107"/>
      <c r="R2438" s="10"/>
      <c r="S2438" s="107">
        <v>11643573.800000001</v>
      </c>
      <c r="T2438" s="107">
        <f t="shared" si="965"/>
        <v>0</v>
      </c>
      <c r="U2438" s="107"/>
      <c r="V2438" s="175"/>
      <c r="W2438" s="10"/>
      <c r="X2438" s="10"/>
      <c r="Y2438" t="str">
        <f t="shared" si="995"/>
        <v>7003</v>
      </c>
      <c r="AB2438" s="10"/>
      <c r="AC2438" s="10"/>
      <c r="AD2438" s="10"/>
      <c r="AE2438" s="10"/>
      <c r="AF2438" s="10"/>
      <c r="AG2438" s="10"/>
      <c r="AH2438" s="10"/>
      <c r="AI2438" s="10"/>
    </row>
    <row r="2439" spans="1:35">
      <c r="A2439" s="10"/>
      <c r="B2439" s="10" t="str">
        <f>+C2439</f>
        <v>Others</v>
      </c>
      <c r="C2439" s="128" t="s">
        <v>21</v>
      </c>
      <c r="D2439" s="128" t="s">
        <v>2117</v>
      </c>
      <c r="E2439" s="128"/>
      <c r="F2439" s="128"/>
      <c r="G2439" s="128" t="s">
        <v>1390</v>
      </c>
      <c r="H2439" s="128"/>
      <c r="I2439" s="10"/>
      <c r="J2439" s="129">
        <f>SUMIF($Y$11:$Y$2484,G2439,J$11:J$2484)</f>
        <v>854182</v>
      </c>
      <c r="K2439" s="129">
        <f>SUMIF($Y$11:$Y$2484,G2439,K$11:K$2484)</f>
        <v>0</v>
      </c>
      <c r="L2439" s="129">
        <f>SUMIF($Y$11:$Y$2484,G2439,L$11:L$2484)</f>
        <v>854182</v>
      </c>
      <c r="M2439" s="129">
        <f>SUMIF($Y$11:$Y$2484,G2439,M$11:M$2484)</f>
        <v>0</v>
      </c>
      <c r="N2439" s="129">
        <f>SUMIF($Y$11:$Y$2484,G2439,N$11:N$2484)</f>
        <v>854182</v>
      </c>
      <c r="O2439" s="129">
        <f>SUMIF($Y$11:$Y$2484,G2439,O$11:O$2484)</f>
        <v>464182</v>
      </c>
      <c r="P2439" s="129">
        <f>SUMIF($Y$11:$Y$2484,G2439,P$11:P$2484)</f>
        <v>-390000</v>
      </c>
      <c r="Q2439" s="129"/>
      <c r="R2439" s="10"/>
      <c r="S2439" s="129">
        <v>854182</v>
      </c>
      <c r="T2439" s="129">
        <f t="shared" si="965"/>
        <v>0</v>
      </c>
      <c r="U2439" s="128"/>
      <c r="V2439" s="175"/>
      <c r="W2439" s="10"/>
      <c r="X2439" s="10"/>
      <c r="Z2439" t="str">
        <f>LEFT(G2439,2)</f>
        <v>70</v>
      </c>
      <c r="AA2439" t="str">
        <f>+Z2439&amp;"00"</f>
        <v>7000</v>
      </c>
      <c r="AB2439" s="10"/>
      <c r="AC2439" s="10"/>
      <c r="AD2439" s="10"/>
      <c r="AE2439" s="10"/>
      <c r="AF2439" s="10"/>
      <c r="AG2439" s="10"/>
      <c r="AH2439" s="10"/>
      <c r="AI2439" s="10"/>
    </row>
    <row r="2440" spans="1:35">
      <c r="A2440" s="10"/>
      <c r="B2440" s="10" t="str">
        <f t="shared" ref="B2440:B2445" si="996">+C2440&amp;E2440</f>
        <v>Others</v>
      </c>
      <c r="C2440" t="s">
        <v>21</v>
      </c>
      <c r="D2440" t="s">
        <v>19</v>
      </c>
      <c r="E2440" t="s">
        <v>214</v>
      </c>
      <c r="G2440" t="s">
        <v>1391</v>
      </c>
      <c r="I2440" s="10"/>
      <c r="J2440" s="107">
        <f>SUMIF(Data!C:C,G2440,Data!Q:Q)</f>
        <v>0</v>
      </c>
      <c r="K2440" s="107">
        <f>SUMIF(Comprometidos!A:A,'Cost Report'!G2440,Comprometidos!E:E)</f>
        <v>0</v>
      </c>
      <c r="L2440" s="107">
        <f t="shared" ref="L2440:L2445" si="997">+J2440+K2440</f>
        <v>0</v>
      </c>
      <c r="M2440" s="107">
        <f t="shared" ref="M2440:M2445" si="998">+O2440-L2440</f>
        <v>0</v>
      </c>
      <c r="N2440" s="107">
        <f t="shared" ref="N2440:N2445" si="999">+L2440+M2440</f>
        <v>0</v>
      </c>
      <c r="O2440" s="107">
        <f>VLOOKUP(G2440,Budget!$E$3:$G$2474,3,0)</f>
        <v>0</v>
      </c>
      <c r="P2440" s="107">
        <f t="shared" ref="P2440:P2445" si="1000">+O2440-N2440</f>
        <v>0</v>
      </c>
      <c r="Q2440" s="107"/>
      <c r="R2440" s="10"/>
      <c r="S2440" s="107">
        <v>0</v>
      </c>
      <c r="T2440" s="107">
        <f t="shared" si="965"/>
        <v>0</v>
      </c>
      <c r="U2440" s="107"/>
      <c r="V2440" s="175"/>
      <c r="W2440" s="10"/>
      <c r="X2440" s="10"/>
      <c r="Y2440" t="str">
        <f t="shared" ref="Y2440:Y2445" si="1001">LEFT(G2440,4)</f>
        <v>7007</v>
      </c>
      <c r="AB2440" s="10"/>
      <c r="AC2440" s="10"/>
      <c r="AD2440" s="10"/>
      <c r="AE2440" s="10"/>
      <c r="AF2440" s="10"/>
      <c r="AG2440" s="10"/>
      <c r="AH2440" s="10"/>
      <c r="AI2440" s="10"/>
    </row>
    <row r="2441" spans="1:35">
      <c r="A2441" s="10"/>
      <c r="B2441" s="10" t="str">
        <f t="shared" si="996"/>
        <v>OthersPREP</v>
      </c>
      <c r="C2441" t="s">
        <v>21</v>
      </c>
      <c r="D2441" t="s">
        <v>19</v>
      </c>
      <c r="E2441" t="s">
        <v>234</v>
      </c>
      <c r="G2441" t="s">
        <v>1392</v>
      </c>
      <c r="I2441" s="10"/>
      <c r="J2441" s="107">
        <f>SUMIF(Data!C:C,G2441,Data!Q:Q)</f>
        <v>95000</v>
      </c>
      <c r="K2441" s="107">
        <f>SUMIF(Comprometidos!A:A,'Cost Report'!G2441,Comprometidos!E:E)</f>
        <v>0</v>
      </c>
      <c r="L2441" s="107">
        <f t="shared" si="997"/>
        <v>95000</v>
      </c>
      <c r="M2441" s="107">
        <f>+O2441-L2441+50000</f>
        <v>0</v>
      </c>
      <c r="N2441" s="107">
        <f t="shared" si="999"/>
        <v>95000</v>
      </c>
      <c r="O2441" s="107">
        <f>VLOOKUP(G2441,Budget!$E$3:$G$2474,3,0)</f>
        <v>45000</v>
      </c>
      <c r="P2441" s="107">
        <f t="shared" si="1000"/>
        <v>-50000</v>
      </c>
      <c r="Q2441" s="107"/>
      <c r="R2441" s="10"/>
      <c r="S2441" s="107">
        <v>95000</v>
      </c>
      <c r="T2441" s="107">
        <f t="shared" si="965"/>
        <v>0</v>
      </c>
      <c r="U2441" s="107"/>
      <c r="V2441" s="175"/>
      <c r="W2441" s="10"/>
      <c r="X2441" s="10"/>
      <c r="Y2441" t="str">
        <f t="shared" si="1001"/>
        <v>7007</v>
      </c>
      <c r="AB2441" s="10"/>
      <c r="AC2441" s="10"/>
      <c r="AD2441" s="10"/>
      <c r="AE2441" s="10"/>
      <c r="AF2441" s="10"/>
      <c r="AG2441" s="10"/>
      <c r="AH2441" s="10"/>
      <c r="AI2441" s="10"/>
    </row>
    <row r="2442" spans="1:35">
      <c r="A2442" s="10"/>
      <c r="B2442" s="10" t="str">
        <f t="shared" si="996"/>
        <v>OthersSHOOT</v>
      </c>
      <c r="C2442" t="s">
        <v>21</v>
      </c>
      <c r="D2442" t="s">
        <v>19</v>
      </c>
      <c r="E2442" t="s">
        <v>236</v>
      </c>
      <c r="G2442" t="s">
        <v>1393</v>
      </c>
      <c r="I2442" s="10"/>
      <c r="J2442" s="107">
        <f>SUMIF(Data!C:C,G2442,Data!Q:Q)</f>
        <v>677500</v>
      </c>
      <c r="K2442" s="107">
        <f>SUMIF(Comprometidos!A:A,'Cost Report'!G2442,Comprometidos!E:E)</f>
        <v>0</v>
      </c>
      <c r="L2442" s="107">
        <f t="shared" si="997"/>
        <v>677500</v>
      </c>
      <c r="M2442" s="107">
        <v>0</v>
      </c>
      <c r="N2442" s="107">
        <f t="shared" si="999"/>
        <v>677500</v>
      </c>
      <c r="O2442" s="107">
        <f>VLOOKUP(G2442,Budget!$E$3:$G$2474,3,0)</f>
        <v>337500</v>
      </c>
      <c r="P2442" s="107">
        <f t="shared" si="1000"/>
        <v>-340000</v>
      </c>
      <c r="Q2442" s="107"/>
      <c r="R2442" s="10"/>
      <c r="S2442" s="107">
        <v>677500</v>
      </c>
      <c r="T2442" s="107">
        <f t="shared" si="965"/>
        <v>0</v>
      </c>
      <c r="U2442" s="107"/>
      <c r="V2442" s="175"/>
      <c r="W2442" s="10"/>
      <c r="X2442" s="10"/>
      <c r="Y2442" t="str">
        <f t="shared" si="1001"/>
        <v>7007</v>
      </c>
      <c r="AB2442" s="10"/>
      <c r="AC2442" s="10"/>
      <c r="AD2442" s="10"/>
      <c r="AE2442" s="10"/>
      <c r="AF2442" s="10"/>
      <c r="AG2442" s="10"/>
      <c r="AH2442" s="10"/>
      <c r="AI2442" s="10"/>
    </row>
    <row r="2443" spans="1:35">
      <c r="A2443" s="10"/>
      <c r="B2443" s="10" t="str">
        <f t="shared" si="996"/>
        <v>OthersWRAP</v>
      </c>
      <c r="C2443" t="s">
        <v>21</v>
      </c>
      <c r="D2443" t="s">
        <v>19</v>
      </c>
      <c r="E2443" t="s">
        <v>238</v>
      </c>
      <c r="G2443" t="s">
        <v>1885</v>
      </c>
      <c r="I2443" s="10"/>
      <c r="J2443" s="107">
        <f>SUMIF(Data!C:C,G2443,Data!Q:Q)</f>
        <v>67500</v>
      </c>
      <c r="K2443" s="107">
        <f>SUMIF(Comprometidos!A:A,'Cost Report'!G2443,Comprometidos!E:E)</f>
        <v>0</v>
      </c>
      <c r="L2443" s="107">
        <f t="shared" si="997"/>
        <v>67500</v>
      </c>
      <c r="M2443" s="107">
        <v>0</v>
      </c>
      <c r="N2443" s="107">
        <f t="shared" si="999"/>
        <v>67500</v>
      </c>
      <c r="O2443" s="107">
        <f>VLOOKUP(G2443,Budget!$E$3:$G$2474,3,0)</f>
        <v>67500</v>
      </c>
      <c r="P2443" s="107">
        <f t="shared" si="1000"/>
        <v>0</v>
      </c>
      <c r="Q2443" s="107"/>
      <c r="R2443" s="10"/>
      <c r="S2443" s="107">
        <v>67500</v>
      </c>
      <c r="T2443" s="107">
        <f t="shared" si="965"/>
        <v>0</v>
      </c>
      <c r="U2443" s="107"/>
      <c r="V2443" s="175"/>
      <c r="W2443" s="10"/>
      <c r="X2443" s="10"/>
      <c r="Y2443" t="str">
        <f t="shared" si="1001"/>
        <v>7007</v>
      </c>
      <c r="AB2443" s="10"/>
      <c r="AC2443" s="10"/>
      <c r="AD2443" s="10"/>
      <c r="AE2443" s="10"/>
      <c r="AF2443" s="10"/>
      <c r="AG2443" s="10"/>
      <c r="AH2443" s="10"/>
      <c r="AI2443" s="10"/>
    </row>
    <row r="2444" spans="1:35">
      <c r="A2444" s="10"/>
      <c r="B2444" s="10" t="str">
        <f t="shared" si="996"/>
        <v>Others</v>
      </c>
      <c r="C2444" t="s">
        <v>21</v>
      </c>
      <c r="D2444" t="s">
        <v>19</v>
      </c>
      <c r="E2444" t="s">
        <v>214</v>
      </c>
      <c r="G2444" t="s">
        <v>3098</v>
      </c>
      <c r="I2444" s="10"/>
      <c r="J2444" s="107">
        <f>SUMIF(Data!C:C,G2444,Data!Q:Q)</f>
        <v>0</v>
      </c>
      <c r="K2444" s="107">
        <f>SUMIF(Comprometidos!A:A,'Cost Report'!G2444,Comprometidos!E:E)</f>
        <v>0</v>
      </c>
      <c r="L2444" s="107">
        <f t="shared" si="997"/>
        <v>0</v>
      </c>
      <c r="M2444" s="107">
        <f t="shared" si="998"/>
        <v>0</v>
      </c>
      <c r="N2444" s="107">
        <f t="shared" si="999"/>
        <v>0</v>
      </c>
      <c r="O2444" s="107">
        <f>VLOOKUP(G2444,Budget!$E$3:$G$2474,3,0)</f>
        <v>0</v>
      </c>
      <c r="P2444" s="107">
        <f t="shared" si="1000"/>
        <v>0</v>
      </c>
      <c r="Q2444" s="107"/>
      <c r="R2444" s="10"/>
      <c r="S2444" s="107">
        <v>0</v>
      </c>
      <c r="T2444" s="107">
        <f t="shared" si="965"/>
        <v>0</v>
      </c>
      <c r="U2444" s="107"/>
      <c r="V2444" s="175"/>
      <c r="W2444" s="10"/>
      <c r="X2444" s="10"/>
      <c r="Y2444" t="str">
        <f t="shared" si="1001"/>
        <v>7007</v>
      </c>
      <c r="AB2444" s="10"/>
      <c r="AC2444" s="10"/>
      <c r="AD2444" s="10"/>
      <c r="AE2444" s="10"/>
      <c r="AF2444" s="10"/>
      <c r="AG2444" s="10"/>
      <c r="AH2444" s="10"/>
      <c r="AI2444" s="10"/>
    </row>
    <row r="2445" spans="1:35">
      <c r="A2445" s="10"/>
      <c r="B2445" s="10" t="str">
        <f t="shared" si="996"/>
        <v>OthersALL SHOW</v>
      </c>
      <c r="C2445" t="s">
        <v>21</v>
      </c>
      <c r="D2445" t="s">
        <v>19</v>
      </c>
      <c r="E2445" t="s">
        <v>227</v>
      </c>
      <c r="G2445" t="s">
        <v>3099</v>
      </c>
      <c r="I2445" s="10"/>
      <c r="J2445" s="107">
        <f>SUMIF(Data!C:C,G2445,Data!Q:Q)</f>
        <v>14182</v>
      </c>
      <c r="K2445" s="107">
        <f>SUMIF(Comprometidos!A:A,'Cost Report'!G2445,Comprometidos!E:E)</f>
        <v>0</v>
      </c>
      <c r="L2445" s="107">
        <f t="shared" si="997"/>
        <v>14182</v>
      </c>
      <c r="M2445" s="107">
        <f t="shared" si="998"/>
        <v>0</v>
      </c>
      <c r="N2445" s="107">
        <f t="shared" si="999"/>
        <v>14182</v>
      </c>
      <c r="O2445" s="107">
        <f>VLOOKUP(G2445,Budget!$E$3:$G$2474,3,0)</f>
        <v>14182</v>
      </c>
      <c r="P2445" s="107">
        <f t="shared" si="1000"/>
        <v>0</v>
      </c>
      <c r="Q2445" s="107"/>
      <c r="R2445" s="10"/>
      <c r="S2445" s="107">
        <v>14182</v>
      </c>
      <c r="T2445" s="107">
        <f t="shared" si="965"/>
        <v>0</v>
      </c>
      <c r="U2445" s="107"/>
      <c r="V2445" s="175"/>
      <c r="W2445" s="10"/>
      <c r="X2445" s="10"/>
      <c r="Y2445" t="str">
        <f t="shared" si="1001"/>
        <v>7007</v>
      </c>
      <c r="AB2445" s="10"/>
      <c r="AC2445" s="10"/>
      <c r="AD2445" s="10"/>
      <c r="AE2445" s="10"/>
      <c r="AF2445" s="10"/>
      <c r="AG2445" s="10"/>
      <c r="AH2445" s="10"/>
      <c r="AI2445" s="10"/>
    </row>
    <row r="2446" spans="1:35">
      <c r="A2446" s="10"/>
      <c r="B2446" s="10" t="str">
        <f>+C2446</f>
        <v>Others</v>
      </c>
      <c r="C2446" s="128" t="s">
        <v>21</v>
      </c>
      <c r="D2446" s="128" t="s">
        <v>2117</v>
      </c>
      <c r="E2446" s="128"/>
      <c r="F2446" s="128"/>
      <c r="G2446" s="128" t="s">
        <v>1394</v>
      </c>
      <c r="H2446" s="128"/>
      <c r="I2446" s="10"/>
      <c r="J2446" s="129">
        <f>SUMIF($Y$11:$Y$2484,G2446,J$11:J$2484)</f>
        <v>15300</v>
      </c>
      <c r="K2446" s="129">
        <f>SUMIF($Y$11:$Y$2484,G2446,K$11:K$2484)</f>
        <v>0</v>
      </c>
      <c r="L2446" s="129">
        <f>SUMIF($Y$11:$Y$2484,G2446,L$11:L$2484)</f>
        <v>15300</v>
      </c>
      <c r="M2446" s="129">
        <f>SUMIF($Y$11:$Y$2484,G2446,M$11:M$2484)</f>
        <v>0</v>
      </c>
      <c r="N2446" s="129">
        <f>SUMIF($Y$11:$Y$2484,G2446,N$11:N$2484)</f>
        <v>15300</v>
      </c>
      <c r="O2446" s="129">
        <f>SUMIF($Y$11:$Y$2484,G2446,O$11:O$2484)</f>
        <v>18700</v>
      </c>
      <c r="P2446" s="129">
        <f>SUMIF($Y$11:$Y$2484,G2446,P$11:P$2484)</f>
        <v>3400</v>
      </c>
      <c r="Q2446" s="129"/>
      <c r="R2446" s="10"/>
      <c r="S2446" s="129">
        <v>15300</v>
      </c>
      <c r="T2446" s="129">
        <f t="shared" si="965"/>
        <v>0</v>
      </c>
      <c r="U2446" s="128"/>
      <c r="V2446" s="175"/>
      <c r="W2446" s="10"/>
      <c r="X2446" s="10"/>
      <c r="Z2446" t="str">
        <f>LEFT(G2446,2)</f>
        <v>70</v>
      </c>
      <c r="AA2446" t="str">
        <f>+Z2446&amp;"00"</f>
        <v>7000</v>
      </c>
      <c r="AB2446" s="10"/>
      <c r="AC2446" s="10"/>
      <c r="AD2446" s="10"/>
      <c r="AE2446" s="10"/>
      <c r="AF2446" s="10"/>
      <c r="AG2446" s="10"/>
      <c r="AH2446" s="10"/>
      <c r="AI2446" s="10"/>
    </row>
    <row r="2447" spans="1:35">
      <c r="A2447" s="10"/>
      <c r="B2447" s="10" t="str">
        <f t="shared" ref="B2447:B2448" si="1002">+C2447&amp;E2447</f>
        <v>Others</v>
      </c>
      <c r="C2447" t="s">
        <v>21</v>
      </c>
      <c r="D2447" t="s">
        <v>19</v>
      </c>
      <c r="E2447" t="s">
        <v>214</v>
      </c>
      <c r="G2447" t="s">
        <v>1395</v>
      </c>
      <c r="I2447" s="10"/>
      <c r="J2447" s="107">
        <f>SUMIF(Data!C:C,G2447,Data!Q:Q)</f>
        <v>0</v>
      </c>
      <c r="K2447" s="107">
        <f>SUMIF(Comprometidos!A:A,'Cost Report'!G2447,Comprometidos!E:E)</f>
        <v>0</v>
      </c>
      <c r="L2447" s="107">
        <f t="shared" ref="L2447:L2448" si="1003">+J2447+K2447</f>
        <v>0</v>
      </c>
      <c r="M2447" s="107">
        <f t="shared" ref="M2447" si="1004">+O2447-L2447</f>
        <v>0</v>
      </c>
      <c r="N2447" s="107">
        <f t="shared" ref="N2447:N2448" si="1005">+L2447+M2447</f>
        <v>0</v>
      </c>
      <c r="O2447" s="107">
        <f>VLOOKUP(G2447,Budget!$E$3:$G$2474,3,0)</f>
        <v>0</v>
      </c>
      <c r="P2447" s="107">
        <f t="shared" ref="P2447:P2448" si="1006">+O2447-N2447</f>
        <v>0</v>
      </c>
      <c r="Q2447" s="107"/>
      <c r="R2447" s="10"/>
      <c r="S2447" s="107">
        <v>0</v>
      </c>
      <c r="T2447" s="107">
        <f t="shared" si="965"/>
        <v>0</v>
      </c>
      <c r="U2447" s="107"/>
      <c r="V2447" s="175"/>
      <c r="W2447" s="10"/>
      <c r="X2447" s="10"/>
      <c r="Y2447" t="str">
        <f t="shared" ref="Y2447:Y2448" si="1007">LEFT(G2447,4)</f>
        <v>7008</v>
      </c>
      <c r="AB2447" s="10"/>
      <c r="AC2447" s="10"/>
      <c r="AD2447" s="10"/>
      <c r="AE2447" s="10"/>
      <c r="AF2447" s="10"/>
      <c r="AG2447" s="10"/>
      <c r="AH2447" s="10"/>
      <c r="AI2447" s="10"/>
    </row>
    <row r="2448" spans="1:35">
      <c r="A2448" s="10"/>
      <c r="B2448" s="10" t="str">
        <f t="shared" si="1002"/>
        <v>OthersALL SHOW</v>
      </c>
      <c r="C2448" t="s">
        <v>21</v>
      </c>
      <c r="D2448" t="s">
        <v>19</v>
      </c>
      <c r="E2448" t="s">
        <v>227</v>
      </c>
      <c r="G2448" t="s">
        <v>3100</v>
      </c>
      <c r="I2448" s="10"/>
      <c r="J2448" s="107">
        <f>SUMIF(Data!C:C,G2448,Data!Q:Q)</f>
        <v>15300</v>
      </c>
      <c r="K2448" s="107">
        <f>SUMIF(Comprometidos!A:A,'Cost Report'!G2448,Comprometidos!E:E)</f>
        <v>0</v>
      </c>
      <c r="L2448" s="107">
        <f t="shared" si="1003"/>
        <v>15300</v>
      </c>
      <c r="M2448" s="107">
        <f>+O2448-L2448-3400</f>
        <v>0</v>
      </c>
      <c r="N2448" s="107">
        <f t="shared" si="1005"/>
        <v>15300</v>
      </c>
      <c r="O2448" s="107">
        <f>VLOOKUP(G2448,Budget!$E$3:$G$2474,3,0)</f>
        <v>18700</v>
      </c>
      <c r="P2448" s="107">
        <f t="shared" si="1006"/>
        <v>3400</v>
      </c>
      <c r="Q2448" s="107"/>
      <c r="R2448" s="10"/>
      <c r="S2448" s="107">
        <v>15300</v>
      </c>
      <c r="T2448" s="107">
        <f t="shared" si="965"/>
        <v>0</v>
      </c>
      <c r="U2448" s="107"/>
      <c r="V2448" s="175"/>
      <c r="W2448" s="10"/>
      <c r="X2448" s="10"/>
      <c r="Y2448" t="str">
        <f t="shared" si="1007"/>
        <v>7008</v>
      </c>
      <c r="AB2448" s="10"/>
      <c r="AC2448" s="10"/>
      <c r="AD2448" s="10"/>
      <c r="AE2448" s="10"/>
      <c r="AF2448" s="10"/>
      <c r="AG2448" s="10"/>
      <c r="AH2448" s="10"/>
      <c r="AI2448" s="10"/>
    </row>
    <row r="2449" spans="1:35">
      <c r="A2449" s="10"/>
      <c r="B2449" s="10" t="str">
        <f>+C2449</f>
        <v>Others</v>
      </c>
      <c r="C2449" s="128" t="s">
        <v>21</v>
      </c>
      <c r="D2449" s="128" t="s">
        <v>2117</v>
      </c>
      <c r="E2449" s="128"/>
      <c r="F2449" s="128"/>
      <c r="G2449" s="128" t="s">
        <v>1396</v>
      </c>
      <c r="H2449" s="128"/>
      <c r="I2449" s="10"/>
      <c r="J2449" s="129">
        <f>SUMIF($Y$11:$Y$2484,G2449,J$11:J$2484)</f>
        <v>82842.49800000008</v>
      </c>
      <c r="K2449" s="129">
        <f>SUMIF($Y$11:$Y$2484,G2449,K$11:K$2484)</f>
        <v>4245.68</v>
      </c>
      <c r="L2449" s="129">
        <f>SUMIF($Y$11:$Y$2484,G2449,L$11:L$2484)</f>
        <v>87088.178000000073</v>
      </c>
      <c r="M2449" s="129">
        <f>SUMIF($Y$11:$Y$2484,G2449,M$11:M$2484)</f>
        <v>0</v>
      </c>
      <c r="N2449" s="129">
        <f>SUMIF($Y$11:$Y$2484,G2449,N$11:N$2484)</f>
        <v>87088.178000000073</v>
      </c>
      <c r="O2449" s="129">
        <f>SUMIF($Y$11:$Y$2484,G2449,O$11:O$2484)</f>
        <v>296000</v>
      </c>
      <c r="P2449" s="129">
        <f>SUMIF($Y$11:$Y$2484,G2449,P$11:P$2484)</f>
        <v>208911.82199999993</v>
      </c>
      <c r="Q2449" s="129"/>
      <c r="R2449" s="10"/>
      <c r="S2449" s="129">
        <v>82405.780000000057</v>
      </c>
      <c r="T2449" s="129">
        <f t="shared" si="965"/>
        <v>-4682.3980000000156</v>
      </c>
      <c r="U2449" s="128"/>
      <c r="V2449" s="175"/>
      <c r="W2449" s="10"/>
      <c r="X2449" s="10"/>
      <c r="Z2449" t="str">
        <f>LEFT(G2449,2)</f>
        <v>70</v>
      </c>
      <c r="AA2449" t="str">
        <f>+Z2449&amp;"00"</f>
        <v>7000</v>
      </c>
      <c r="AB2449" s="10"/>
      <c r="AC2449" s="10"/>
      <c r="AD2449" s="10"/>
      <c r="AE2449" s="10"/>
      <c r="AF2449" s="10"/>
      <c r="AG2449" s="10"/>
      <c r="AH2449" s="10"/>
      <c r="AI2449" s="10"/>
    </row>
    <row r="2450" spans="1:35">
      <c r="A2450" s="10"/>
      <c r="B2450" s="10" t="str">
        <f t="shared" ref="B2450:B2455" si="1008">+C2450&amp;E2450</f>
        <v>Others</v>
      </c>
      <c r="C2450" t="s">
        <v>21</v>
      </c>
      <c r="D2450" t="s">
        <v>19</v>
      </c>
      <c r="E2450" t="s">
        <v>214</v>
      </c>
      <c r="G2450" t="s">
        <v>103</v>
      </c>
      <c r="I2450" s="10"/>
      <c r="J2450" s="107">
        <f>SUMIF(Data!C:C,G2450,Data!Q:Q)</f>
        <v>0</v>
      </c>
      <c r="K2450" s="107">
        <f>SUMIF(Comprometidos!A:A,'Cost Report'!G2450,Comprometidos!E:E)</f>
        <v>0</v>
      </c>
      <c r="L2450" s="107">
        <f t="shared" ref="L2450:L2455" si="1009">+J2450+K2450</f>
        <v>0</v>
      </c>
      <c r="M2450" s="107">
        <f t="shared" ref="M2450:M2453" si="1010">+O2450-L2450</f>
        <v>0</v>
      </c>
      <c r="N2450" s="107">
        <f t="shared" ref="N2450:N2455" si="1011">+L2450+M2450</f>
        <v>0</v>
      </c>
      <c r="O2450" s="107">
        <f>VLOOKUP(G2450,Budget!$E$3:$G$2474,3,0)</f>
        <v>0</v>
      </c>
      <c r="P2450" s="107">
        <f t="shared" ref="P2450:P2455" si="1012">+O2450-N2450</f>
        <v>0</v>
      </c>
      <c r="Q2450" s="107"/>
      <c r="R2450" s="10"/>
      <c r="S2450" s="107">
        <v>0</v>
      </c>
      <c r="T2450" s="107">
        <f t="shared" si="965"/>
        <v>0</v>
      </c>
      <c r="U2450" s="107"/>
      <c r="V2450" s="175"/>
      <c r="W2450" s="10"/>
      <c r="X2450" s="10"/>
      <c r="Y2450" t="str">
        <f t="shared" ref="Y2450:Y2455" si="1013">LEFT(G2450,4)</f>
        <v>7038</v>
      </c>
      <c r="AB2450" s="10"/>
      <c r="AC2450" s="10"/>
      <c r="AD2450" s="10"/>
      <c r="AE2450" s="10"/>
      <c r="AF2450" s="10"/>
      <c r="AG2450" s="10"/>
      <c r="AH2450" s="10"/>
      <c r="AI2450" s="10"/>
    </row>
    <row r="2451" spans="1:35">
      <c r="A2451" s="10"/>
      <c r="B2451" s="10" t="str">
        <f t="shared" si="1008"/>
        <v>OthersDEVELOPMENT</v>
      </c>
      <c r="C2451" t="s">
        <v>21</v>
      </c>
      <c r="D2451" t="s">
        <v>19</v>
      </c>
      <c r="E2451" t="s">
        <v>215</v>
      </c>
      <c r="G2451" t="s">
        <v>1397</v>
      </c>
      <c r="I2451" s="10"/>
      <c r="J2451" s="107">
        <f>SUMIF(Data!C:C,G2451,Data!Q:Q)</f>
        <v>540</v>
      </c>
      <c r="K2451" s="107">
        <f>SUMIF(Comprometidos!A:A,'Cost Report'!G2451,Comprometidos!E:E)</f>
        <v>0</v>
      </c>
      <c r="L2451" s="107">
        <f t="shared" si="1009"/>
        <v>540</v>
      </c>
      <c r="M2451" s="107">
        <v>0</v>
      </c>
      <c r="N2451" s="107">
        <f t="shared" si="1011"/>
        <v>540</v>
      </c>
      <c r="O2451" s="107">
        <f>VLOOKUP(G2451,Budget!$E$3:$G$2474,3,0)</f>
        <v>3000</v>
      </c>
      <c r="P2451" s="107">
        <f t="shared" si="1012"/>
        <v>2460</v>
      </c>
      <c r="Q2451" s="107"/>
      <c r="R2451" s="10"/>
      <c r="S2451" s="107">
        <v>540</v>
      </c>
      <c r="T2451" s="107">
        <f t="shared" si="965"/>
        <v>0</v>
      </c>
      <c r="U2451" s="107"/>
      <c r="V2451" s="175"/>
      <c r="W2451" s="10"/>
      <c r="X2451" s="10"/>
      <c r="Y2451" t="str">
        <f t="shared" si="1013"/>
        <v>7038</v>
      </c>
      <c r="AB2451" s="10"/>
      <c r="AC2451" s="10"/>
      <c r="AD2451" s="10"/>
      <c r="AE2451" s="10"/>
      <c r="AF2451" s="10"/>
      <c r="AG2451" s="10"/>
      <c r="AH2451" s="10"/>
      <c r="AI2451" s="10"/>
    </row>
    <row r="2452" spans="1:35">
      <c r="A2452" s="10"/>
      <c r="B2452" s="10" t="str">
        <f t="shared" si="1008"/>
        <v>OthersDEVELOPMENT</v>
      </c>
      <c r="C2452" t="s">
        <v>21</v>
      </c>
      <c r="D2452" t="s">
        <v>19</v>
      </c>
      <c r="E2452" t="s">
        <v>215</v>
      </c>
      <c r="G2452" t="s">
        <v>1398</v>
      </c>
      <c r="I2452" s="10"/>
      <c r="J2452" s="107">
        <f>SUMIF(Data!C:C,G2452,Data!Q:Q)</f>
        <v>0</v>
      </c>
      <c r="K2452" s="107">
        <f>SUMIF(Comprometidos!A:A,'Cost Report'!G2452,Comprometidos!E:E)</f>
        <v>0</v>
      </c>
      <c r="L2452" s="107">
        <f t="shared" si="1009"/>
        <v>0</v>
      </c>
      <c r="M2452" s="107">
        <v>0</v>
      </c>
      <c r="N2452" s="107">
        <f t="shared" si="1011"/>
        <v>0</v>
      </c>
      <c r="O2452" s="107">
        <f>VLOOKUP(G2452,Budget!$E$3:$G$2474,3,0)</f>
        <v>3000</v>
      </c>
      <c r="P2452" s="107">
        <f t="shared" si="1012"/>
        <v>3000</v>
      </c>
      <c r="Q2452" s="107"/>
      <c r="R2452" s="10"/>
      <c r="S2452" s="107">
        <v>0</v>
      </c>
      <c r="T2452" s="107">
        <f t="shared" si="965"/>
        <v>0</v>
      </c>
      <c r="U2452" s="107"/>
      <c r="V2452" s="175"/>
      <c r="W2452" s="10"/>
      <c r="X2452" s="10"/>
      <c r="Y2452" t="str">
        <f t="shared" si="1013"/>
        <v>7038</v>
      </c>
      <c r="AB2452" s="10"/>
      <c r="AC2452" s="10"/>
      <c r="AD2452" s="10"/>
      <c r="AE2452" s="10"/>
      <c r="AF2452" s="10"/>
      <c r="AG2452" s="10"/>
      <c r="AH2452" s="10"/>
      <c r="AI2452" s="10"/>
    </row>
    <row r="2453" spans="1:35">
      <c r="A2453" s="10"/>
      <c r="B2453" s="10" t="str">
        <f t="shared" si="1008"/>
        <v>Others</v>
      </c>
      <c r="C2453" t="s">
        <v>21</v>
      </c>
      <c r="D2453" t="s">
        <v>19</v>
      </c>
      <c r="E2453" t="s">
        <v>214</v>
      </c>
      <c r="G2453" t="s">
        <v>3101</v>
      </c>
      <c r="I2453" s="10"/>
      <c r="J2453" s="107">
        <f>SUMIF(Data!C:C,G2453,Data!Q:Q)</f>
        <v>0</v>
      </c>
      <c r="K2453" s="107">
        <f>SUMIF(Comprometidos!A:A,'Cost Report'!G2453,Comprometidos!E:E)</f>
        <v>0</v>
      </c>
      <c r="L2453" s="107">
        <f t="shared" si="1009"/>
        <v>0</v>
      </c>
      <c r="M2453" s="107">
        <f t="shared" si="1010"/>
        <v>0</v>
      </c>
      <c r="N2453" s="107">
        <f t="shared" si="1011"/>
        <v>0</v>
      </c>
      <c r="O2453" s="107">
        <f>VLOOKUP(G2453,Budget!$E$3:$G$2474,3,0)</f>
        <v>0</v>
      </c>
      <c r="P2453" s="107">
        <f t="shared" si="1012"/>
        <v>0</v>
      </c>
      <c r="Q2453" s="107"/>
      <c r="R2453" s="10"/>
      <c r="S2453" s="107">
        <v>0</v>
      </c>
      <c r="T2453" s="107">
        <f t="shared" si="965"/>
        <v>0</v>
      </c>
      <c r="U2453" s="107"/>
      <c r="V2453" s="175"/>
      <c r="W2453" s="10"/>
      <c r="X2453" s="10"/>
      <c r="Y2453" t="str">
        <f t="shared" si="1013"/>
        <v>7038</v>
      </c>
      <c r="AB2453" s="10"/>
      <c r="AC2453" s="10"/>
      <c r="AD2453" s="10"/>
      <c r="AE2453" s="10"/>
      <c r="AF2453" s="10"/>
      <c r="AG2453" s="10"/>
      <c r="AH2453" s="10"/>
      <c r="AI2453" s="10"/>
    </row>
    <row r="2454" spans="1:35">
      <c r="A2454" s="10"/>
      <c r="B2454" s="10" t="str">
        <f t="shared" si="1008"/>
        <v>OthersALL SHOW</v>
      </c>
      <c r="C2454" t="s">
        <v>21</v>
      </c>
      <c r="D2454" t="s">
        <v>19</v>
      </c>
      <c r="E2454" t="s">
        <v>227</v>
      </c>
      <c r="G2454" t="s">
        <v>3102</v>
      </c>
      <c r="I2454" s="10"/>
      <c r="J2454" s="107">
        <f>SUMIF(Data!C:C,G2454,Data!Q:Q)</f>
        <v>10829.32</v>
      </c>
      <c r="K2454" s="107">
        <f>SUMIF(Comprometidos!A:A,'Cost Report'!G2454,Comprometidos!E:E)</f>
        <v>4245.68</v>
      </c>
      <c r="L2454" s="107">
        <f t="shared" si="1009"/>
        <v>15075</v>
      </c>
      <c r="M2454" s="107">
        <v>0</v>
      </c>
      <c r="N2454" s="107">
        <f t="shared" si="1011"/>
        <v>15075</v>
      </c>
      <c r="O2454" s="107">
        <f>VLOOKUP(G2454,Budget!$E$3:$G$2474,3,0)</f>
        <v>40000</v>
      </c>
      <c r="P2454" s="107">
        <f t="shared" si="1012"/>
        <v>24925</v>
      </c>
      <c r="Q2454" s="107"/>
      <c r="R2454" s="10"/>
      <c r="S2454" s="107">
        <v>10445</v>
      </c>
      <c r="T2454" s="107">
        <f t="shared" si="965"/>
        <v>-4630</v>
      </c>
      <c r="U2454" s="107"/>
      <c r="V2454" s="175"/>
      <c r="W2454" s="10"/>
      <c r="X2454" s="10"/>
      <c r="Y2454" t="str">
        <f t="shared" si="1013"/>
        <v>7038</v>
      </c>
      <c r="AB2454" s="10"/>
      <c r="AC2454" s="10"/>
      <c r="AD2454" s="10"/>
      <c r="AE2454" s="10"/>
      <c r="AF2454" s="10"/>
      <c r="AG2454" s="10"/>
      <c r="AH2454" s="10"/>
      <c r="AI2454" s="10"/>
    </row>
    <row r="2455" spans="1:35">
      <c r="A2455" s="10"/>
      <c r="B2455" s="10" t="str">
        <f t="shared" si="1008"/>
        <v>OthersALL SHOW</v>
      </c>
      <c r="C2455" t="s">
        <v>21</v>
      </c>
      <c r="D2455" t="s">
        <v>19</v>
      </c>
      <c r="E2455" t="s">
        <v>227</v>
      </c>
      <c r="G2455" t="s">
        <v>3103</v>
      </c>
      <c r="I2455" s="10"/>
      <c r="J2455" s="107">
        <f>SUMIF(Data!C:C,G2455,Data!Q:Q)</f>
        <v>71473.178000000073</v>
      </c>
      <c r="K2455" s="107">
        <f>SUMIF(Comprometidos!A:A,'Cost Report'!G2455,Comprometidos!E:E)</f>
        <v>0</v>
      </c>
      <c r="L2455" s="107">
        <f t="shared" si="1009"/>
        <v>71473.178000000073</v>
      </c>
      <c r="M2455" s="107">
        <v>0</v>
      </c>
      <c r="N2455" s="107">
        <f t="shared" si="1011"/>
        <v>71473.178000000073</v>
      </c>
      <c r="O2455" s="107">
        <f>VLOOKUP(G2455,Budget!$E$3:$G$2474,3,0)</f>
        <v>250000</v>
      </c>
      <c r="P2455" s="107">
        <f t="shared" si="1012"/>
        <v>178526.82199999993</v>
      </c>
      <c r="Q2455" s="107"/>
      <c r="R2455" s="10"/>
      <c r="S2455" s="107">
        <v>71420.780000000057</v>
      </c>
      <c r="T2455" s="107">
        <f t="shared" si="965"/>
        <v>-52.3980000000156</v>
      </c>
      <c r="U2455" s="107"/>
      <c r="V2455" s="175"/>
      <c r="W2455" s="10"/>
      <c r="X2455" s="10"/>
      <c r="Y2455" t="str">
        <f t="shared" si="1013"/>
        <v>7038</v>
      </c>
      <c r="AB2455" s="10"/>
      <c r="AC2455" s="10"/>
      <c r="AD2455" s="10"/>
      <c r="AE2455" s="10"/>
      <c r="AF2455" s="10"/>
      <c r="AG2455" s="10"/>
      <c r="AH2455" s="10"/>
      <c r="AI2455" s="10"/>
    </row>
    <row r="2456" spans="1:35">
      <c r="A2456" s="10"/>
      <c r="B2456" s="10" t="str">
        <f>+C2456</f>
        <v>Others</v>
      </c>
      <c r="C2456" s="128" t="s">
        <v>21</v>
      </c>
      <c r="D2456" s="128" t="s">
        <v>2117</v>
      </c>
      <c r="E2456" s="128"/>
      <c r="F2456" s="128"/>
      <c r="G2456" s="128" t="s">
        <v>1400</v>
      </c>
      <c r="H2456" s="128"/>
      <c r="I2456" s="10"/>
      <c r="J2456" s="129">
        <f>SUMIF($Y$11:$Y$2484,G2456,J$11:J$2484)</f>
        <v>271026.01799999998</v>
      </c>
      <c r="K2456" s="129">
        <f>SUMIF($Y$11:$Y$2484,G2456,K$11:K$2484)</f>
        <v>0</v>
      </c>
      <c r="L2456" s="129">
        <f>SUMIF($Y$11:$Y$2484,G2456,L$11:L$2484)</f>
        <v>271026.01799999998</v>
      </c>
      <c r="M2456" s="129">
        <f>SUMIF($Y$11:$Y$2484,G2456,M$11:M$2484)</f>
        <v>0</v>
      </c>
      <c r="N2456" s="129">
        <f>SUMIF($Y$11:$Y$2484,G2456,N$11:N$2484)</f>
        <v>271026.01799999998</v>
      </c>
      <c r="O2456" s="129">
        <f>SUMIF($Y$11:$Y$2484,G2456,O$11:O$2484)</f>
        <v>273000</v>
      </c>
      <c r="P2456" s="129">
        <f>SUMIF($Y$11:$Y$2484,G2456,P$11:P$2484)</f>
        <v>1973.9819999999963</v>
      </c>
      <c r="Q2456" s="129"/>
      <c r="R2456" s="10"/>
      <c r="S2456" s="129">
        <v>269452.98</v>
      </c>
      <c r="T2456" s="129">
        <f t="shared" si="965"/>
        <v>-1573.0380000000005</v>
      </c>
      <c r="U2456" s="128"/>
      <c r="V2456" s="175"/>
      <c r="W2456" s="10"/>
      <c r="X2456" s="10"/>
      <c r="Z2456" t="str">
        <f>LEFT(G2456,2)</f>
        <v>70</v>
      </c>
      <c r="AA2456" t="str">
        <f>+Z2456&amp;"00"</f>
        <v>7000</v>
      </c>
      <c r="AB2456" s="10"/>
      <c r="AC2456" s="10"/>
      <c r="AD2456" s="10"/>
      <c r="AE2456" s="10"/>
      <c r="AF2456" s="10"/>
      <c r="AG2456" s="10"/>
      <c r="AH2456" s="10"/>
      <c r="AI2456" s="10"/>
    </row>
    <row r="2457" spans="1:35">
      <c r="A2457" s="10"/>
      <c r="B2457" s="10" t="str">
        <f t="shared" ref="B2457:B2460" si="1014">+C2457&amp;E2457</f>
        <v>Others</v>
      </c>
      <c r="C2457" t="s">
        <v>21</v>
      </c>
      <c r="D2457" t="s">
        <v>19</v>
      </c>
      <c r="E2457" t="s">
        <v>214</v>
      </c>
      <c r="G2457" t="s">
        <v>1401</v>
      </c>
      <c r="I2457" s="10"/>
      <c r="J2457" s="107">
        <f>SUMIF(Data!C:C,G2457,Data!Q:Q)</f>
        <v>0</v>
      </c>
      <c r="K2457" s="107">
        <f>SUMIF(Comprometidos!A:A,'Cost Report'!G2457,Comprometidos!E:E)</f>
        <v>0</v>
      </c>
      <c r="L2457" s="107">
        <f t="shared" ref="L2457:L2460" si="1015">+J2457+K2457</f>
        <v>0</v>
      </c>
      <c r="M2457" s="107">
        <f t="shared" ref="M2457" si="1016">+O2457-L2457</f>
        <v>0</v>
      </c>
      <c r="N2457" s="107">
        <f t="shared" ref="N2457:N2460" si="1017">+L2457+M2457</f>
        <v>0</v>
      </c>
      <c r="O2457" s="107">
        <f>VLOOKUP(G2457,Budget!$E$3:$G$2474,3,0)</f>
        <v>0</v>
      </c>
      <c r="P2457" s="107">
        <f t="shared" ref="P2457:P2460" si="1018">+O2457-N2457</f>
        <v>0</v>
      </c>
      <c r="Q2457" s="107"/>
      <c r="R2457" s="10"/>
      <c r="S2457" s="107">
        <v>0</v>
      </c>
      <c r="T2457" s="107">
        <f t="shared" si="965"/>
        <v>0</v>
      </c>
      <c r="U2457" s="107"/>
      <c r="V2457" s="175"/>
      <c r="W2457" s="10"/>
      <c r="X2457" s="10"/>
      <c r="Y2457" t="str">
        <f t="shared" ref="Y2457:Y2460" si="1019">LEFT(G2457,4)</f>
        <v>7050</v>
      </c>
      <c r="AB2457" s="10"/>
      <c r="AC2457" s="10"/>
      <c r="AD2457" s="10"/>
      <c r="AE2457" s="10"/>
      <c r="AF2457" s="10"/>
      <c r="AG2457" s="10"/>
      <c r="AH2457" s="10"/>
      <c r="AI2457" s="10"/>
    </row>
    <row r="2458" spans="1:35">
      <c r="A2458" s="10"/>
      <c r="B2458" s="10" t="str">
        <f t="shared" si="1014"/>
        <v>OthersALL SHOW</v>
      </c>
      <c r="C2458" t="s">
        <v>21</v>
      </c>
      <c r="D2458" t="s">
        <v>19</v>
      </c>
      <c r="E2458" t="s">
        <v>227</v>
      </c>
      <c r="G2458" t="s">
        <v>1402</v>
      </c>
      <c r="I2458" s="10"/>
      <c r="J2458" s="107">
        <f>SUMIF(Data!C:C,G2458,Data!Q:Q)</f>
        <v>205430.04</v>
      </c>
      <c r="K2458" s="107">
        <f>SUMIF(Comprometidos!A:A,'Cost Report'!G2458,Comprometidos!E:E)</f>
        <v>0</v>
      </c>
      <c r="L2458" s="107">
        <f t="shared" si="1015"/>
        <v>205430.04</v>
      </c>
      <c r="M2458" s="107">
        <v>0</v>
      </c>
      <c r="N2458" s="107">
        <f t="shared" si="1017"/>
        <v>205430.04</v>
      </c>
      <c r="O2458" s="107">
        <f>VLOOKUP(G2458,Budget!$E$3:$G$2474,3,0)</f>
        <v>220000</v>
      </c>
      <c r="P2458" s="107">
        <f t="shared" si="1018"/>
        <v>14569.959999999992</v>
      </c>
      <c r="Q2458" s="107"/>
      <c r="R2458" s="10"/>
      <c r="S2458" s="107">
        <v>205430.04</v>
      </c>
      <c r="T2458" s="107">
        <f t="shared" si="965"/>
        <v>0</v>
      </c>
      <c r="U2458" s="107"/>
      <c r="V2458" s="175"/>
      <c r="W2458" s="10"/>
      <c r="X2458" s="10"/>
      <c r="Y2458" t="str">
        <f t="shared" si="1019"/>
        <v>7050</v>
      </c>
      <c r="AB2458" s="10"/>
      <c r="AC2458" s="10"/>
      <c r="AD2458" s="10"/>
      <c r="AE2458" s="10"/>
      <c r="AF2458" s="10"/>
      <c r="AG2458" s="10"/>
      <c r="AH2458" s="10"/>
      <c r="AI2458" s="10"/>
    </row>
    <row r="2459" spans="1:35">
      <c r="A2459" s="10"/>
      <c r="B2459" s="10" t="str">
        <f t="shared" si="1014"/>
        <v>OthersALL SHOW</v>
      </c>
      <c r="C2459" t="s">
        <v>21</v>
      </c>
      <c r="D2459" t="s">
        <v>19</v>
      </c>
      <c r="E2459" t="s">
        <v>227</v>
      </c>
      <c r="G2459" t="s">
        <v>3104</v>
      </c>
      <c r="I2459" s="10"/>
      <c r="J2459" s="107">
        <f>SUMIF(Data!C:C,G2459,Data!Q:Q)</f>
        <v>32941.549999999996</v>
      </c>
      <c r="K2459" s="107">
        <f>SUMIF(Comprometidos!A:A,'Cost Report'!G2459,Comprometidos!E:E)</f>
        <v>0</v>
      </c>
      <c r="L2459" s="107">
        <f t="shared" si="1015"/>
        <v>32941.549999999996</v>
      </c>
      <c r="M2459" s="107">
        <v>0</v>
      </c>
      <c r="N2459" s="107">
        <f t="shared" si="1017"/>
        <v>32941.549999999996</v>
      </c>
      <c r="O2459" s="107">
        <f>VLOOKUP(G2459,Budget!$E$3:$G$2474,3,0)</f>
        <v>28000</v>
      </c>
      <c r="P2459" s="107">
        <f t="shared" si="1018"/>
        <v>-4941.5499999999956</v>
      </c>
      <c r="Q2459" s="107"/>
      <c r="R2459" s="10"/>
      <c r="S2459" s="107">
        <v>32941.549999999996</v>
      </c>
      <c r="T2459" s="107">
        <f t="shared" si="965"/>
        <v>0</v>
      </c>
      <c r="U2459" s="107"/>
      <c r="V2459" s="175"/>
      <c r="W2459" s="10"/>
      <c r="X2459" s="10"/>
      <c r="Y2459" t="str">
        <f t="shared" si="1019"/>
        <v>7050</v>
      </c>
      <c r="AB2459" s="10"/>
      <c r="AC2459" s="10"/>
      <c r="AD2459" s="10"/>
      <c r="AE2459" s="10"/>
      <c r="AF2459" s="10"/>
      <c r="AG2459" s="10"/>
      <c r="AH2459" s="10"/>
      <c r="AI2459" s="10"/>
    </row>
    <row r="2460" spans="1:35">
      <c r="A2460" s="10"/>
      <c r="B2460" s="10" t="str">
        <f t="shared" si="1014"/>
        <v>OthersALL SHOW</v>
      </c>
      <c r="C2460" t="s">
        <v>21</v>
      </c>
      <c r="D2460" t="s">
        <v>19</v>
      </c>
      <c r="E2460" t="s">
        <v>227</v>
      </c>
      <c r="G2460" t="s">
        <v>3105</v>
      </c>
      <c r="I2460" s="10"/>
      <c r="J2460" s="107">
        <f>SUMIF(Data!C:C,G2460,Data!Q:Q)</f>
        <v>32654.428</v>
      </c>
      <c r="K2460" s="107">
        <f>SUMIF(Comprometidos!A:A,'Cost Report'!G2460,Comprometidos!E:E)</f>
        <v>0</v>
      </c>
      <c r="L2460" s="107">
        <f t="shared" si="1015"/>
        <v>32654.428</v>
      </c>
      <c r="M2460" s="107">
        <v>0</v>
      </c>
      <c r="N2460" s="107">
        <f t="shared" si="1017"/>
        <v>32654.428</v>
      </c>
      <c r="O2460" s="107">
        <f>VLOOKUP(G2460,Budget!$E$3:$G$2474,3,0)</f>
        <v>25000</v>
      </c>
      <c r="P2460" s="107">
        <f t="shared" si="1018"/>
        <v>-7654.4279999999999</v>
      </c>
      <c r="Q2460" s="107"/>
      <c r="R2460" s="10"/>
      <c r="S2460" s="107">
        <v>31081.39</v>
      </c>
      <c r="T2460" s="107">
        <f t="shared" si="965"/>
        <v>-1573.0380000000005</v>
      </c>
      <c r="U2460" s="107"/>
      <c r="V2460" s="175"/>
      <c r="W2460" s="10"/>
      <c r="X2460" s="10"/>
      <c r="Y2460" t="str">
        <f t="shared" si="1019"/>
        <v>7050</v>
      </c>
      <c r="AB2460" s="10"/>
      <c r="AC2460" s="10"/>
      <c r="AD2460" s="10"/>
      <c r="AE2460" s="10"/>
      <c r="AF2460" s="10"/>
      <c r="AG2460" s="10"/>
      <c r="AH2460" s="10"/>
      <c r="AI2460" s="10"/>
    </row>
    <row r="2461" spans="1:35">
      <c r="A2461" s="10"/>
      <c r="B2461" s="10" t="str">
        <f>+C2461</f>
        <v>Others</v>
      </c>
      <c r="C2461" s="128" t="s">
        <v>21</v>
      </c>
      <c r="D2461" s="128" t="s">
        <v>2117</v>
      </c>
      <c r="E2461" s="128"/>
      <c r="F2461" s="128"/>
      <c r="G2461" s="128" t="s">
        <v>3106</v>
      </c>
      <c r="H2461" s="128"/>
      <c r="I2461" s="10"/>
      <c r="J2461" s="129">
        <f>SUMIF($Y$11:$Y$2484,G2461,J$11:J$2484)</f>
        <v>26339.510000000002</v>
      </c>
      <c r="K2461" s="129">
        <f>SUMIF($Y$11:$Y$2484,G2461,K$11:K$2484)</f>
        <v>0</v>
      </c>
      <c r="L2461" s="129">
        <f>SUMIF($Y$11:$Y$2484,G2461,L$11:L$2484)</f>
        <v>26339.510000000002</v>
      </c>
      <c r="M2461" s="129">
        <f>SUMIF($Y$11:$Y$2484,G2461,M$11:M$2484)</f>
        <v>0</v>
      </c>
      <c r="N2461" s="129">
        <f>SUMIF($Y$11:$Y$2484,G2461,N$11:N$2484)</f>
        <v>26339.510000000002</v>
      </c>
      <c r="O2461" s="129">
        <f>SUMIF($Y$11:$Y$2484,G2461,O$11:O$2484)</f>
        <v>8000</v>
      </c>
      <c r="P2461" s="129">
        <f>SUMIF($Y$11:$Y$2484,G2461,P$11:P$2484)</f>
        <v>-18339.510000000002</v>
      </c>
      <c r="Q2461" s="129"/>
      <c r="R2461" s="10"/>
      <c r="S2461" s="129">
        <v>25755.710000000003</v>
      </c>
      <c r="T2461" s="129">
        <f t="shared" si="965"/>
        <v>-583.79999999999927</v>
      </c>
      <c r="U2461" s="128"/>
      <c r="V2461" s="175"/>
      <c r="W2461" s="10"/>
      <c r="X2461" s="10"/>
      <c r="Z2461" t="str">
        <f>LEFT(G2461,2)</f>
        <v>70</v>
      </c>
      <c r="AA2461" t="str">
        <f>+Z2461&amp;"00"</f>
        <v>7000</v>
      </c>
      <c r="AB2461" s="10"/>
      <c r="AC2461" s="10"/>
      <c r="AD2461" s="10"/>
      <c r="AE2461" s="10"/>
      <c r="AF2461" s="10"/>
      <c r="AG2461" s="10"/>
      <c r="AH2461" s="10"/>
      <c r="AI2461" s="10"/>
    </row>
    <row r="2462" spans="1:35">
      <c r="A2462" s="10"/>
      <c r="B2462" s="10" t="str">
        <f t="shared" ref="B2462:B2463" si="1020">+C2462&amp;E2462</f>
        <v>Others</v>
      </c>
      <c r="C2462" t="s">
        <v>21</v>
      </c>
      <c r="D2462" t="s">
        <v>19</v>
      </c>
      <c r="E2462" t="s">
        <v>214</v>
      </c>
      <c r="G2462" t="s">
        <v>3107</v>
      </c>
      <c r="I2462" s="10"/>
      <c r="J2462" s="107">
        <f>SUMIF(Data!C:C,G2462,Data!Q:Q)</f>
        <v>0</v>
      </c>
      <c r="K2462" s="107">
        <f>SUMIF(Comprometidos!A:A,'Cost Report'!G2462,Comprometidos!E:E)</f>
        <v>0</v>
      </c>
      <c r="L2462" s="107">
        <f t="shared" ref="L2462:L2463" si="1021">+J2462+K2462</f>
        <v>0</v>
      </c>
      <c r="M2462" s="107">
        <f t="shared" ref="M2462" si="1022">+O2462-L2462</f>
        <v>0</v>
      </c>
      <c r="N2462" s="107">
        <f t="shared" ref="N2462:N2463" si="1023">+L2462+M2462</f>
        <v>0</v>
      </c>
      <c r="O2462" s="107">
        <f>VLOOKUP(G2462,Budget!$E$3:$G$2474,3,0)</f>
        <v>0</v>
      </c>
      <c r="P2462" s="107">
        <f t="shared" ref="P2462:P2463" si="1024">+O2462-N2462</f>
        <v>0</v>
      </c>
      <c r="Q2462" s="107"/>
      <c r="R2462" s="10"/>
      <c r="S2462" s="107">
        <v>0</v>
      </c>
      <c r="T2462" s="107">
        <f t="shared" si="965"/>
        <v>0</v>
      </c>
      <c r="U2462" s="107"/>
      <c r="V2462" s="175"/>
      <c r="W2462" s="10"/>
      <c r="X2462" s="10"/>
      <c r="Y2462" t="str">
        <f t="shared" ref="Y2462:Y2463" si="1025">LEFT(G2462,4)</f>
        <v>7080</v>
      </c>
      <c r="AB2462" s="10"/>
      <c r="AC2462" s="10"/>
      <c r="AD2462" s="10"/>
      <c r="AE2462" s="10"/>
      <c r="AF2462" s="10"/>
      <c r="AG2462" s="10"/>
      <c r="AH2462" s="10"/>
      <c r="AI2462" s="10"/>
    </row>
    <row r="2463" spans="1:35">
      <c r="A2463" s="10"/>
      <c r="B2463" s="10" t="str">
        <f t="shared" si="1020"/>
        <v>OthersALL SHOW</v>
      </c>
      <c r="C2463" t="s">
        <v>21</v>
      </c>
      <c r="D2463" t="s">
        <v>19</v>
      </c>
      <c r="E2463" t="s">
        <v>227</v>
      </c>
      <c r="G2463" t="s">
        <v>3108</v>
      </c>
      <c r="I2463" s="10"/>
      <c r="J2463" s="107">
        <f>SUMIF(Data!C:C,G2463,Data!Q:Q)</f>
        <v>26339.510000000002</v>
      </c>
      <c r="K2463" s="107">
        <f>SUMIF(Comprometidos!A:A,'Cost Report'!G2463,Comprometidos!E:E)</f>
        <v>0</v>
      </c>
      <c r="L2463" s="107">
        <f t="shared" si="1021"/>
        <v>26339.510000000002</v>
      </c>
      <c r="M2463" s="107">
        <v>0</v>
      </c>
      <c r="N2463" s="107">
        <f t="shared" si="1023"/>
        <v>26339.510000000002</v>
      </c>
      <c r="O2463" s="107">
        <f>VLOOKUP(G2463,Budget!$E$3:$G$2474,3,0)</f>
        <v>8000</v>
      </c>
      <c r="P2463" s="107">
        <f t="shared" si="1024"/>
        <v>-18339.510000000002</v>
      </c>
      <c r="Q2463" s="107"/>
      <c r="R2463" s="10"/>
      <c r="S2463" s="107">
        <v>25755.710000000003</v>
      </c>
      <c r="T2463" s="107">
        <f t="shared" si="965"/>
        <v>-583.79999999999927</v>
      </c>
      <c r="U2463" s="107"/>
      <c r="V2463" s="175"/>
      <c r="W2463" s="10"/>
      <c r="X2463" s="10"/>
      <c r="Y2463" t="str">
        <f t="shared" si="1025"/>
        <v>7080</v>
      </c>
      <c r="AB2463" s="10"/>
      <c r="AC2463" s="10"/>
      <c r="AD2463" s="10"/>
      <c r="AE2463" s="10"/>
      <c r="AF2463" s="10"/>
      <c r="AG2463" s="10"/>
      <c r="AH2463" s="10"/>
      <c r="AI2463" s="10"/>
    </row>
    <row r="2464" spans="1:35">
      <c r="A2464" s="10"/>
      <c r="B2464" s="10" t="str">
        <f>+C2464</f>
        <v>Others</v>
      </c>
      <c r="C2464" s="128" t="s">
        <v>21</v>
      </c>
      <c r="D2464" s="128" t="s">
        <v>2117</v>
      </c>
      <c r="E2464" s="128"/>
      <c r="F2464" s="128"/>
      <c r="G2464" s="128" t="s">
        <v>1403</v>
      </c>
      <c r="H2464" s="128"/>
      <c r="I2464" s="10"/>
      <c r="J2464" s="129">
        <f>SUMIF($Y$11:$Y$2484,G2464,J$11:J$2484)</f>
        <v>582177.36</v>
      </c>
      <c r="K2464" s="129">
        <f>SUMIF($Y$11:$Y$2484,G2464,K$11:K$2484)</f>
        <v>0</v>
      </c>
      <c r="L2464" s="129">
        <f>SUMIF($Y$11:$Y$2484,G2464,L$11:L$2484)</f>
        <v>582177.36</v>
      </c>
      <c r="M2464" s="129">
        <f>SUMIF($Y$11:$Y$2484,G2464,M$11:M$2484)</f>
        <v>0</v>
      </c>
      <c r="N2464" s="129">
        <f>SUMIF($Y$11:$Y$2484,G2464,N$11:N$2484)</f>
        <v>582177.36</v>
      </c>
      <c r="O2464" s="129">
        <f>SUMIF($Y$11:$Y$2484,G2464,O$11:O$2484)</f>
        <v>582177.37</v>
      </c>
      <c r="P2464" s="129">
        <f>SUMIF($Y$11:$Y$2484,G2464,P$11:P$2484)</f>
        <v>1.0000000009313226E-2</v>
      </c>
      <c r="Q2464" s="129"/>
      <c r="R2464" s="10"/>
      <c r="S2464" s="129">
        <v>582177.37</v>
      </c>
      <c r="T2464" s="129">
        <f t="shared" si="965"/>
        <v>1.0000000009313226E-2</v>
      </c>
      <c r="U2464" s="128"/>
      <c r="V2464" s="175"/>
      <c r="W2464" s="10"/>
      <c r="X2464" s="10"/>
      <c r="Z2464" t="str">
        <f>LEFT(G2464,2)</f>
        <v>70</v>
      </c>
      <c r="AA2464" t="str">
        <f>+Z2464&amp;"00"</f>
        <v>7000</v>
      </c>
      <c r="AB2464" s="10"/>
      <c r="AC2464" s="10"/>
      <c r="AD2464" s="10"/>
      <c r="AE2464" s="10"/>
      <c r="AF2464" s="10"/>
      <c r="AG2464" s="10"/>
      <c r="AH2464" s="10"/>
      <c r="AI2464" s="10"/>
    </row>
    <row r="2465" spans="1:35">
      <c r="A2465" s="10"/>
      <c r="B2465" s="10" t="str">
        <f t="shared" ref="B2465:B2466" si="1026">+C2465&amp;E2465</f>
        <v>Others</v>
      </c>
      <c r="C2465" t="s">
        <v>21</v>
      </c>
      <c r="D2465" t="s">
        <v>19</v>
      </c>
      <c r="E2465" t="s">
        <v>214</v>
      </c>
      <c r="G2465" t="s">
        <v>185</v>
      </c>
      <c r="I2465" s="10"/>
      <c r="J2465" s="107">
        <f>SUMIF(Data!C:C,G2465,Data!Q:Q)</f>
        <v>0</v>
      </c>
      <c r="K2465" s="107">
        <f>SUMIF(Comprometidos!A:A,'Cost Report'!G2465,Comprometidos!E:E)</f>
        <v>0</v>
      </c>
      <c r="L2465" s="107">
        <f t="shared" ref="L2465:L2466" si="1027">+J2465+K2465</f>
        <v>0</v>
      </c>
      <c r="M2465" s="107">
        <f t="shared" ref="M2465" si="1028">+O2465-L2465</f>
        <v>0</v>
      </c>
      <c r="N2465" s="107">
        <f t="shared" ref="N2465:N2466" si="1029">+L2465+M2465</f>
        <v>0</v>
      </c>
      <c r="O2465" s="107">
        <f>VLOOKUP(G2465,Budget!$E$3:$G$2474,3,0)</f>
        <v>0</v>
      </c>
      <c r="P2465" s="107">
        <f t="shared" ref="P2465:P2466" si="1030">+O2465-N2465</f>
        <v>0</v>
      </c>
      <c r="Q2465" s="107"/>
      <c r="R2465" s="10"/>
      <c r="S2465" s="107">
        <v>0</v>
      </c>
      <c r="T2465" s="107">
        <f t="shared" si="965"/>
        <v>0</v>
      </c>
      <c r="U2465" s="107"/>
      <c r="V2465" s="175"/>
      <c r="W2465" s="10"/>
      <c r="X2465" s="10"/>
      <c r="Y2465" t="str">
        <f t="shared" ref="Y2465:Y2466" si="1031">LEFT(G2465,4)</f>
        <v>7094</v>
      </c>
      <c r="AB2465" s="10"/>
      <c r="AC2465" s="10"/>
      <c r="AD2465" s="10"/>
      <c r="AE2465" s="10"/>
      <c r="AF2465" s="10"/>
      <c r="AG2465" s="10"/>
      <c r="AH2465" s="10"/>
      <c r="AI2465" s="10"/>
    </row>
    <row r="2466" spans="1:35">
      <c r="A2466" s="10"/>
      <c r="B2466" s="10" t="str">
        <f t="shared" si="1026"/>
        <v>OthersALL SHOW</v>
      </c>
      <c r="C2466" t="s">
        <v>21</v>
      </c>
      <c r="D2466" t="s">
        <v>19</v>
      </c>
      <c r="E2466" t="s">
        <v>227</v>
      </c>
      <c r="G2466" t="s">
        <v>3109</v>
      </c>
      <c r="I2466" s="10"/>
      <c r="J2466" s="107">
        <f>SUMIF(Data!C:C,G2466,Data!Q:Q)</f>
        <v>582177.36</v>
      </c>
      <c r="K2466" s="107">
        <f>SUMIF(Comprometidos!A:A,'Cost Report'!G2466,Comprometidos!E:E)</f>
        <v>0</v>
      </c>
      <c r="L2466" s="107">
        <f t="shared" si="1027"/>
        <v>582177.36</v>
      </c>
      <c r="M2466" s="107">
        <v>0</v>
      </c>
      <c r="N2466" s="107">
        <f t="shared" si="1029"/>
        <v>582177.36</v>
      </c>
      <c r="O2466" s="107">
        <f>VLOOKUP(G2466,Budget!$E$3:$G$2474,3,0)</f>
        <v>582177.37</v>
      </c>
      <c r="P2466" s="107">
        <f t="shared" si="1030"/>
        <v>1.0000000009313226E-2</v>
      </c>
      <c r="Q2466" s="107"/>
      <c r="R2466" s="10"/>
      <c r="S2466" s="107">
        <v>582177.37</v>
      </c>
      <c r="T2466" s="107">
        <f t="shared" si="965"/>
        <v>1.0000000009313226E-2</v>
      </c>
      <c r="U2466" s="107"/>
      <c r="V2466" s="175"/>
      <c r="W2466" s="10"/>
      <c r="X2466" s="10"/>
      <c r="Y2466" t="str">
        <f t="shared" si="1031"/>
        <v>7094</v>
      </c>
      <c r="AB2466" s="10"/>
      <c r="AC2466" s="10"/>
      <c r="AD2466" s="10"/>
      <c r="AE2466" s="10"/>
      <c r="AF2466" s="10"/>
      <c r="AG2466" s="10"/>
      <c r="AH2466" s="10"/>
      <c r="AI2466" s="10"/>
    </row>
    <row r="2467" spans="1:35">
      <c r="A2467" s="10"/>
      <c r="B2467" s="10"/>
      <c r="C2467" s="170" t="s">
        <v>21</v>
      </c>
      <c r="D2467" s="170" t="s">
        <v>8</v>
      </c>
      <c r="E2467" s="170"/>
      <c r="F2467" s="170"/>
      <c r="G2467" s="170" t="s">
        <v>1404</v>
      </c>
      <c r="H2467" s="170"/>
      <c r="I2467" s="10"/>
      <c r="J2467" s="169">
        <f>SUMIF($AA$10:$AA$2487,G2467,J$10:J$2487)</f>
        <v>1371757.2650000001</v>
      </c>
      <c r="K2467" s="169">
        <f>SUMIF($AA$10:$AA$2487,G2467,K$10:K$2487)</f>
        <v>0</v>
      </c>
      <c r="L2467" s="169">
        <f>SUMIF($AA$10:$AA$2487,G2467,L$10:L$2487)</f>
        <v>1371757.2650000001</v>
      </c>
      <c r="M2467" s="169">
        <f>SUMIF($AA$10:$AA$2487,G2467,M$10:M$2487)</f>
        <v>0</v>
      </c>
      <c r="N2467" s="169">
        <f>SUMIF($AA$10:$AA$2487,G2467,N$10:N$2487)</f>
        <v>1371757.2650000001</v>
      </c>
      <c r="O2467" s="169">
        <f>SUMIF($AA$10:$AA$2487,G2467,O$10:O$2487)</f>
        <v>1485676</v>
      </c>
      <c r="P2467" s="168">
        <f>SUMIF($AA$10:$AA$2487,G2467,P$10:P$2487)</f>
        <v>113918.73499999991</v>
      </c>
      <c r="Q2467" s="169"/>
      <c r="R2467" s="10"/>
      <c r="S2467" s="164">
        <v>1511004.79</v>
      </c>
      <c r="T2467" s="164">
        <f t="shared" ref="T2467:T2481" si="1032">+S2467-N2467</f>
        <v>139247.52499999991</v>
      </c>
      <c r="U2467" s="163"/>
      <c r="V2467" s="175"/>
      <c r="W2467" s="10"/>
      <c r="X2467" s="10"/>
      <c r="AB2467" s="10"/>
      <c r="AC2467" s="10"/>
      <c r="AD2467" s="10"/>
      <c r="AE2467" s="10"/>
      <c r="AF2467" s="10"/>
      <c r="AG2467" s="10"/>
      <c r="AH2467" s="10"/>
      <c r="AI2467" s="10"/>
    </row>
    <row r="2468" spans="1:35">
      <c r="A2468" s="10"/>
      <c r="B2468" s="10" t="str">
        <f>+C2468</f>
        <v>Others</v>
      </c>
      <c r="C2468" s="128" t="s">
        <v>21</v>
      </c>
      <c r="D2468" s="128" t="s">
        <v>2117</v>
      </c>
      <c r="E2468" s="128"/>
      <c r="F2468" s="128"/>
      <c r="G2468" s="128" t="s">
        <v>1405</v>
      </c>
      <c r="H2468" s="128"/>
      <c r="I2468" s="10"/>
      <c r="J2468" s="129">
        <f>SUMIF($Y$11:$Y$2484,G2468,J$11:J$2484)</f>
        <v>1332744.52</v>
      </c>
      <c r="K2468" s="129">
        <f>SUMIF($Y$11:$Y$2484,G2468,K$11:K$2484)</f>
        <v>0</v>
      </c>
      <c r="L2468" s="129">
        <f>SUMIF($Y$11:$Y$2484,G2468,L$11:L$2484)</f>
        <v>1332744.52</v>
      </c>
      <c r="M2468" s="129">
        <f>SUMIF($Y$11:$Y$2484,G2468,M$11:M$2484)</f>
        <v>0</v>
      </c>
      <c r="N2468" s="129">
        <f>SUMIF($Y$11:$Y$2484,G2468,N$11:N$2484)</f>
        <v>1332744.52</v>
      </c>
      <c r="O2468" s="129">
        <f>SUMIF($Y$11:$Y$2484,G2468,O$11:O$2484)</f>
        <v>1324376</v>
      </c>
      <c r="P2468" s="129">
        <f>SUMIF($Y$11:$Y$2484,G2468,P$11:P$2484)</f>
        <v>-8368.5200000000186</v>
      </c>
      <c r="Q2468" s="129"/>
      <c r="R2468" s="10"/>
      <c r="S2468" s="129">
        <v>1332744.52</v>
      </c>
      <c r="T2468" s="129">
        <f t="shared" si="1032"/>
        <v>0</v>
      </c>
      <c r="U2468" s="128"/>
      <c r="V2468" s="175"/>
      <c r="W2468" s="10"/>
      <c r="X2468" s="10"/>
      <c r="Z2468" t="str">
        <f>LEFT(G2468,2)</f>
        <v>72</v>
      </c>
      <c r="AA2468" t="str">
        <f>+Z2468&amp;"00"</f>
        <v>7200</v>
      </c>
      <c r="AB2468" s="10"/>
      <c r="AC2468" s="10"/>
      <c r="AD2468" s="10"/>
      <c r="AE2468" s="10"/>
      <c r="AF2468" s="10"/>
      <c r="AG2468" s="10"/>
      <c r="AH2468" s="10"/>
      <c r="AI2468" s="10"/>
    </row>
    <row r="2469" spans="1:35">
      <c r="A2469" s="10"/>
      <c r="B2469" s="10" t="str">
        <f t="shared" ref="B2469:B2473" si="1033">+C2469&amp;E2469</f>
        <v>OthersALL SHOW</v>
      </c>
      <c r="C2469" t="s">
        <v>21</v>
      </c>
      <c r="D2469" t="s">
        <v>19</v>
      </c>
      <c r="E2469" t="s">
        <v>227</v>
      </c>
      <c r="G2469" t="s">
        <v>1406</v>
      </c>
      <c r="I2469" s="10"/>
      <c r="J2469" s="107">
        <f>SUMIF(Data!C:C,G2469,Data!Q:Q)</f>
        <v>0</v>
      </c>
      <c r="K2469" s="107">
        <f>SUMIF(Comprometidos!A:A,'Cost Report'!G2469,Comprometidos!E:E)</f>
        <v>0</v>
      </c>
      <c r="L2469" s="107">
        <f t="shared" ref="L2469:L2472" si="1034">+J2469+K2469</f>
        <v>0</v>
      </c>
      <c r="M2469" s="107">
        <f t="shared" ref="M2469:M2471" si="1035">+O2469-L2469</f>
        <v>0</v>
      </c>
      <c r="N2469" s="107">
        <f t="shared" ref="N2469:N2472" si="1036">+L2469+M2469</f>
        <v>0</v>
      </c>
      <c r="O2469" s="107">
        <f>VLOOKUP(G2469,Budget!$E$3:$G$2474,3,0)</f>
        <v>0</v>
      </c>
      <c r="P2469" s="107">
        <f t="shared" ref="P2469:P2472" si="1037">+O2469-N2469</f>
        <v>0</v>
      </c>
      <c r="Q2469" s="107"/>
      <c r="R2469" s="10"/>
      <c r="S2469" s="107">
        <v>0</v>
      </c>
      <c r="T2469" s="107">
        <f t="shared" si="1032"/>
        <v>0</v>
      </c>
      <c r="U2469" s="107"/>
      <c r="V2469" s="175"/>
      <c r="W2469" s="10"/>
      <c r="X2469" s="10"/>
      <c r="Y2469" t="str">
        <f t="shared" ref="Y2469:Y2472" si="1038">LEFT(G2469,4)</f>
        <v>7201</v>
      </c>
      <c r="AB2469" s="10"/>
      <c r="AC2469" s="10"/>
      <c r="AD2469" s="10"/>
      <c r="AE2469" s="10"/>
      <c r="AF2469" s="10"/>
      <c r="AG2469" s="10"/>
      <c r="AH2469" s="10"/>
      <c r="AI2469" s="10"/>
    </row>
    <row r="2470" spans="1:35">
      <c r="A2470" s="10"/>
      <c r="B2470" s="10" t="str">
        <f t="shared" si="1033"/>
        <v>OthersALL SHOW</v>
      </c>
      <c r="C2470" t="s">
        <v>21</v>
      </c>
      <c r="D2470" t="s">
        <v>19</v>
      </c>
      <c r="E2470" t="s">
        <v>227</v>
      </c>
      <c r="G2470" t="s">
        <v>1407</v>
      </c>
      <c r="I2470" s="10"/>
      <c r="J2470" s="107">
        <f>SUMIF(Data!C:C,G2470,Data!Q:Q)</f>
        <v>1332744.52</v>
      </c>
      <c r="K2470" s="107">
        <f>SUMIF(Comprometidos!A:A,'Cost Report'!G2470,Comprometidos!E:E)</f>
        <v>0</v>
      </c>
      <c r="L2470" s="107">
        <f t="shared" si="1034"/>
        <v>1332744.52</v>
      </c>
      <c r="M2470" s="107">
        <v>0</v>
      </c>
      <c r="N2470" s="107">
        <f t="shared" si="1036"/>
        <v>1332744.52</v>
      </c>
      <c r="O2470" s="107">
        <f>VLOOKUP(G2470,Budget!$E$3:$G$2474,3,0)</f>
        <v>1276536</v>
      </c>
      <c r="P2470" s="107">
        <f t="shared" si="1037"/>
        <v>-56208.520000000019</v>
      </c>
      <c r="Q2470" s="107"/>
      <c r="R2470" s="10"/>
      <c r="S2470" s="107">
        <v>1332744.52</v>
      </c>
      <c r="T2470" s="107">
        <f t="shared" si="1032"/>
        <v>0</v>
      </c>
      <c r="U2470" s="107"/>
      <c r="V2470" s="175"/>
      <c r="W2470" s="10"/>
      <c r="X2470" s="10"/>
      <c r="Y2470" t="str">
        <f t="shared" si="1038"/>
        <v>7201</v>
      </c>
      <c r="AB2470" s="10"/>
      <c r="AC2470" s="10"/>
      <c r="AD2470" s="10"/>
      <c r="AE2470" s="10"/>
      <c r="AF2470" s="10"/>
      <c r="AG2470" s="10"/>
      <c r="AH2470" s="10"/>
      <c r="AI2470" s="10"/>
    </row>
    <row r="2471" spans="1:35">
      <c r="A2471" s="10"/>
      <c r="B2471" s="10" t="str">
        <f t="shared" si="1033"/>
        <v>Others</v>
      </c>
      <c r="C2471" t="s">
        <v>21</v>
      </c>
      <c r="D2471" t="s">
        <v>19</v>
      </c>
      <c r="E2471" t="s">
        <v>214</v>
      </c>
      <c r="G2471" t="s">
        <v>3110</v>
      </c>
      <c r="I2471" s="10"/>
      <c r="J2471" s="107">
        <f>SUMIF(Data!C:C,G2471,Data!Q:Q)</f>
        <v>0</v>
      </c>
      <c r="K2471" s="107">
        <f>SUMIF(Comprometidos!A:A,'Cost Report'!G2471,Comprometidos!E:E)</f>
        <v>0</v>
      </c>
      <c r="L2471" s="107">
        <f t="shared" si="1034"/>
        <v>0</v>
      </c>
      <c r="M2471" s="107">
        <f t="shared" si="1035"/>
        <v>0</v>
      </c>
      <c r="N2471" s="107">
        <f t="shared" si="1036"/>
        <v>0</v>
      </c>
      <c r="O2471" s="107">
        <f>VLOOKUP(G2471,Budget!$E$3:$G$2474,3,0)</f>
        <v>0</v>
      </c>
      <c r="P2471" s="107">
        <f t="shared" si="1037"/>
        <v>0</v>
      </c>
      <c r="Q2471" s="107"/>
      <c r="R2471" s="10"/>
      <c r="S2471" s="107">
        <v>0</v>
      </c>
      <c r="T2471" s="107">
        <f t="shared" si="1032"/>
        <v>0</v>
      </c>
      <c r="U2471" s="107"/>
      <c r="V2471" s="175"/>
      <c r="W2471" s="10"/>
      <c r="X2471" s="10"/>
      <c r="Y2471" t="str">
        <f t="shared" si="1038"/>
        <v>7201</v>
      </c>
      <c r="AB2471" s="10"/>
      <c r="AC2471" s="10"/>
      <c r="AD2471" s="10"/>
      <c r="AE2471" s="10"/>
      <c r="AF2471" s="10"/>
      <c r="AG2471" s="10"/>
      <c r="AH2471" s="10"/>
      <c r="AI2471" s="10"/>
    </row>
    <row r="2472" spans="1:35">
      <c r="A2472" s="10"/>
      <c r="B2472" s="10" t="str">
        <f t="shared" si="1033"/>
        <v>OthersSHOOT</v>
      </c>
      <c r="C2472" t="s">
        <v>21</v>
      </c>
      <c r="D2472" t="s">
        <v>19</v>
      </c>
      <c r="E2472" t="s">
        <v>236</v>
      </c>
      <c r="G2472" t="s">
        <v>3111</v>
      </c>
      <c r="I2472" s="10"/>
      <c r="J2472" s="107">
        <f>SUMIF(Data!C:C,G2472,Data!Q:Q)</f>
        <v>0</v>
      </c>
      <c r="K2472" s="107">
        <f>SUMIF(Comprometidos!A:A,'Cost Report'!G2472,Comprometidos!E:E)</f>
        <v>0</v>
      </c>
      <c r="L2472" s="107">
        <f t="shared" si="1034"/>
        <v>0</v>
      </c>
      <c r="M2472" s="107">
        <v>0</v>
      </c>
      <c r="N2472" s="107">
        <f t="shared" si="1036"/>
        <v>0</v>
      </c>
      <c r="O2472" s="107">
        <f>VLOOKUP(G2472,Budget!$E$3:$G$2474,3,0)</f>
        <v>47840</v>
      </c>
      <c r="P2472" s="107">
        <f t="shared" si="1037"/>
        <v>47840</v>
      </c>
      <c r="Q2472" s="107"/>
      <c r="R2472" s="10"/>
      <c r="S2472" s="107">
        <v>0</v>
      </c>
      <c r="T2472" s="107">
        <f t="shared" si="1032"/>
        <v>0</v>
      </c>
      <c r="U2472" s="107"/>
      <c r="V2472" s="175"/>
      <c r="W2472" s="10"/>
      <c r="X2472" s="10"/>
      <c r="Y2472" t="str">
        <f t="shared" si="1038"/>
        <v>7201</v>
      </c>
      <c r="AB2472" s="10"/>
      <c r="AC2472" s="10"/>
      <c r="AD2472" s="10"/>
      <c r="AE2472" s="10"/>
      <c r="AF2472" s="10"/>
      <c r="AG2472" s="10"/>
      <c r="AH2472" s="10"/>
      <c r="AI2472" s="10"/>
    </row>
    <row r="2473" spans="1:35">
      <c r="A2473" s="10"/>
      <c r="B2473" s="10" t="str">
        <f t="shared" si="1033"/>
        <v>OthersALL SHOW</v>
      </c>
      <c r="C2473" t="s">
        <v>21</v>
      </c>
      <c r="D2473" t="s">
        <v>19</v>
      </c>
      <c r="E2473" t="s">
        <v>227</v>
      </c>
      <c r="G2473" t="s">
        <v>3691</v>
      </c>
      <c r="I2473" s="10"/>
      <c r="J2473" s="107">
        <f>SUMIF(Data!C:C,G2473,Data!Q:Q)</f>
        <v>0</v>
      </c>
      <c r="K2473" s="107">
        <f>SUMIF(Comprometidos!A:A,'Cost Report'!G2473,Comprometidos!E:E)</f>
        <v>0</v>
      </c>
      <c r="L2473" s="107">
        <f t="shared" ref="L2473" si="1039">+J2473+K2473</f>
        <v>0</v>
      </c>
      <c r="M2473" s="107">
        <v>0</v>
      </c>
      <c r="N2473" s="107">
        <f t="shared" ref="N2473" si="1040">+L2473+M2473</f>
        <v>0</v>
      </c>
      <c r="O2473" s="107">
        <f>VLOOKUP(G2473,Budget!$E$3:$G$2474,3,0)</f>
        <v>0</v>
      </c>
      <c r="P2473" s="107">
        <f t="shared" ref="P2473" si="1041">+O2473-N2473</f>
        <v>0</v>
      </c>
      <c r="Q2473" s="107"/>
      <c r="R2473" s="10"/>
      <c r="S2473" s="107">
        <v>0</v>
      </c>
      <c r="T2473" s="107">
        <f t="shared" ref="T2473" si="1042">+S2473-N2473</f>
        <v>0</v>
      </c>
      <c r="U2473" s="107"/>
      <c r="V2473" s="175"/>
      <c r="W2473" s="10"/>
      <c r="X2473" s="10"/>
      <c r="Y2473" t="str">
        <f t="shared" ref="Y2473" si="1043">LEFT(G2473,4)</f>
        <v>7201</v>
      </c>
      <c r="AB2473" s="10"/>
      <c r="AC2473" s="10"/>
      <c r="AD2473" s="10"/>
      <c r="AE2473" s="10"/>
      <c r="AF2473" s="10"/>
      <c r="AG2473" s="10"/>
      <c r="AH2473" s="10"/>
      <c r="AI2473" s="10"/>
    </row>
    <row r="2474" spans="1:35">
      <c r="A2474" s="10"/>
      <c r="B2474" s="10" t="str">
        <f>+C2474</f>
        <v>Others</v>
      </c>
      <c r="C2474" s="128" t="s">
        <v>21</v>
      </c>
      <c r="D2474" s="128" t="s">
        <v>2117</v>
      </c>
      <c r="E2474" s="128"/>
      <c r="F2474" s="128"/>
      <c r="G2474" s="128" t="s">
        <v>1408</v>
      </c>
      <c r="H2474" s="128"/>
      <c r="I2474" s="10"/>
      <c r="J2474" s="129">
        <f>SUMIF($Y$11:$Y$2484,G2474,J$11:J$2484)</f>
        <v>4000</v>
      </c>
      <c r="K2474" s="129">
        <f>SUMIF($Y$11:$Y$2484,G2474,K$11:K$2484)</f>
        <v>0</v>
      </c>
      <c r="L2474" s="129">
        <f>SUMIF($Y$11:$Y$2484,G2474,L$11:L$2484)</f>
        <v>4000</v>
      </c>
      <c r="M2474" s="129">
        <f>SUMIF($Y$11:$Y$2484,G2474,M$11:M$2484)</f>
        <v>0</v>
      </c>
      <c r="N2474" s="129">
        <f>SUMIF($Y$11:$Y$2484,G2474,N$11:N$2484)</f>
        <v>4000</v>
      </c>
      <c r="O2474" s="129">
        <f>SUMIF($Y$11:$Y$2484,G2474,O$11:O$2484)</f>
        <v>50000</v>
      </c>
      <c r="P2474" s="129">
        <f>SUMIF($Y$11:$Y$2484,G2474,P$11:P$2484)</f>
        <v>46000</v>
      </c>
      <c r="Q2474" s="129"/>
      <c r="R2474" s="10"/>
      <c r="S2474" s="129">
        <v>4000</v>
      </c>
      <c r="T2474" s="129">
        <f t="shared" si="1032"/>
        <v>0</v>
      </c>
      <c r="U2474" s="128"/>
      <c r="V2474" s="175"/>
      <c r="W2474" s="10"/>
      <c r="X2474" s="10"/>
      <c r="Z2474" t="str">
        <f>LEFT(G2474,2)</f>
        <v>72</v>
      </c>
      <c r="AA2474" t="str">
        <f>+Z2474&amp;"00"</f>
        <v>7200</v>
      </c>
      <c r="AB2474" s="10"/>
      <c r="AC2474" s="10"/>
      <c r="AD2474" s="10"/>
      <c r="AE2474" s="10"/>
      <c r="AF2474" s="10"/>
      <c r="AG2474" s="10"/>
      <c r="AH2474" s="10"/>
      <c r="AI2474" s="10"/>
    </row>
    <row r="2475" spans="1:35">
      <c r="A2475" s="10"/>
      <c r="B2475" s="10" t="str">
        <f t="shared" ref="B2475:B2476" si="1044">+C2475&amp;E2475</f>
        <v>Others</v>
      </c>
      <c r="C2475" t="s">
        <v>21</v>
      </c>
      <c r="D2475" t="s">
        <v>19</v>
      </c>
      <c r="E2475" t="s">
        <v>214</v>
      </c>
      <c r="G2475" t="s">
        <v>1410</v>
      </c>
      <c r="I2475" s="10"/>
      <c r="J2475" s="107">
        <f>SUMIF(Data!C:C,G2475,Data!Q:Q)</f>
        <v>0</v>
      </c>
      <c r="K2475" s="107">
        <f>SUMIF(Comprometidos!A:A,'Cost Report'!G2475,Comprometidos!E:E)</f>
        <v>0</v>
      </c>
      <c r="L2475" s="107">
        <f t="shared" ref="L2475:L2476" si="1045">+J2475+K2475</f>
        <v>0</v>
      </c>
      <c r="M2475" s="107">
        <f t="shared" ref="M2475" si="1046">+O2475-L2475</f>
        <v>0</v>
      </c>
      <c r="N2475" s="107">
        <f t="shared" ref="N2475:N2476" si="1047">+L2475+M2475</f>
        <v>0</v>
      </c>
      <c r="O2475" s="107">
        <f>VLOOKUP(G2475,Budget!$E$3:$G$2474,3,0)</f>
        <v>0</v>
      </c>
      <c r="P2475" s="107">
        <f t="shared" ref="P2475:P2476" si="1048">+O2475-N2475</f>
        <v>0</v>
      </c>
      <c r="Q2475" s="107"/>
      <c r="R2475" s="10"/>
      <c r="S2475" s="107">
        <v>0</v>
      </c>
      <c r="T2475" s="107">
        <f t="shared" si="1032"/>
        <v>0</v>
      </c>
      <c r="U2475" s="107"/>
      <c r="V2475" s="175"/>
      <c r="W2475" s="10"/>
      <c r="X2475" s="10"/>
      <c r="Y2475" t="str">
        <f t="shared" ref="Y2475:Y2476" si="1049">LEFT(G2475,4)</f>
        <v>7216</v>
      </c>
      <c r="AB2475" s="10"/>
      <c r="AC2475" s="10"/>
      <c r="AD2475" s="10"/>
      <c r="AE2475" s="10"/>
      <c r="AF2475" s="10"/>
      <c r="AG2475" s="10"/>
      <c r="AH2475" s="10"/>
      <c r="AI2475" s="10"/>
    </row>
    <row r="2476" spans="1:35">
      <c r="A2476" s="10"/>
      <c r="B2476" s="10" t="str">
        <f t="shared" si="1044"/>
        <v>OthersCOVID</v>
      </c>
      <c r="C2476" t="s">
        <v>21</v>
      </c>
      <c r="D2476" t="s">
        <v>19</v>
      </c>
      <c r="E2476" t="s">
        <v>1409</v>
      </c>
      <c r="G2476" t="s">
        <v>3112</v>
      </c>
      <c r="I2476" s="10"/>
      <c r="J2476" s="107">
        <f>SUMIF(Data!C:C,G2476,Data!Q:Q)</f>
        <v>4000</v>
      </c>
      <c r="K2476" s="107">
        <f>SUMIF(Comprometidos!A:A,'Cost Report'!G2476,Comprometidos!E:E)</f>
        <v>0</v>
      </c>
      <c r="L2476" s="107">
        <f t="shared" si="1045"/>
        <v>4000</v>
      </c>
      <c r="M2476" s="107">
        <v>0</v>
      </c>
      <c r="N2476" s="107">
        <f t="shared" si="1047"/>
        <v>4000</v>
      </c>
      <c r="O2476" s="107">
        <f>VLOOKUP(G2476,Budget!$E$3:$G$2474,3,0)</f>
        <v>50000</v>
      </c>
      <c r="P2476" s="107">
        <f t="shared" si="1048"/>
        <v>46000</v>
      </c>
      <c r="Q2476" s="107"/>
      <c r="R2476" s="10"/>
      <c r="S2476" s="107">
        <v>4000</v>
      </c>
      <c r="T2476" s="107">
        <f t="shared" si="1032"/>
        <v>0</v>
      </c>
      <c r="U2476" s="107"/>
      <c r="V2476" s="175"/>
      <c r="W2476" s="10"/>
      <c r="X2476" s="10"/>
      <c r="Y2476" t="str">
        <f t="shared" si="1049"/>
        <v>7216</v>
      </c>
      <c r="AB2476" s="10"/>
      <c r="AC2476" s="10"/>
      <c r="AD2476" s="10"/>
      <c r="AE2476" s="10"/>
      <c r="AF2476" s="10"/>
      <c r="AG2476" s="10"/>
      <c r="AH2476" s="10"/>
      <c r="AI2476" s="10"/>
    </row>
    <row r="2477" spans="1:35">
      <c r="A2477" s="10"/>
      <c r="B2477" s="10" t="str">
        <f>+C2477</f>
        <v>Others</v>
      </c>
      <c r="C2477" s="128" t="s">
        <v>21</v>
      </c>
      <c r="D2477" s="128" t="s">
        <v>2117</v>
      </c>
      <c r="E2477" s="128"/>
      <c r="F2477" s="128"/>
      <c r="G2477" s="128" t="s">
        <v>1411</v>
      </c>
      <c r="H2477" s="128"/>
      <c r="I2477" s="10"/>
      <c r="J2477" s="129">
        <f>SUMIF($Y$11:$Y$2484,G2477,J$11:J$2484)</f>
        <v>0</v>
      </c>
      <c r="K2477" s="129">
        <f>SUMIF($Y$11:$Y$2484,G2477,K$11:K$2484)</f>
        <v>0</v>
      </c>
      <c r="L2477" s="129">
        <f>SUMIF($Y$11:$Y$2484,G2477,L$11:L$2484)</f>
        <v>0</v>
      </c>
      <c r="M2477" s="129">
        <f>SUMIF($Y$11:$Y$2484,G2477,M$11:M$2484)</f>
        <v>0</v>
      </c>
      <c r="N2477" s="129">
        <f>SUMIF($Y$11:$Y$2484,G2477,N$11:N$2484)</f>
        <v>0</v>
      </c>
      <c r="O2477" s="129">
        <f>SUMIF($Y$11:$Y$2484,G2477,O$11:O$2484)</f>
        <v>111300</v>
      </c>
      <c r="P2477" s="129">
        <f>SUMIF($Y$11:$Y$2484,G2477,P$11:P$2484)</f>
        <v>111300</v>
      </c>
      <c r="Q2477" s="129"/>
      <c r="R2477" s="10"/>
      <c r="S2477" s="129">
        <v>0</v>
      </c>
      <c r="T2477" s="129">
        <f t="shared" si="1032"/>
        <v>0</v>
      </c>
      <c r="U2477" s="128"/>
      <c r="V2477" s="175"/>
      <c r="W2477" s="10"/>
      <c r="X2477" s="10"/>
      <c r="Z2477" t="str">
        <f>LEFT(G2477,2)</f>
        <v>72</v>
      </c>
      <c r="AA2477" t="str">
        <f>+Z2477&amp;"00"</f>
        <v>7200</v>
      </c>
      <c r="AB2477" s="10"/>
      <c r="AC2477" s="10"/>
      <c r="AD2477" s="10"/>
      <c r="AE2477" s="10"/>
      <c r="AF2477" s="10"/>
      <c r="AG2477" s="10"/>
      <c r="AH2477" s="10"/>
      <c r="AI2477" s="10"/>
    </row>
    <row r="2478" spans="1:35">
      <c r="A2478" s="10"/>
      <c r="B2478" s="10" t="str">
        <f t="shared" ref="B2478:B2481" si="1050">+C2478&amp;E2478</f>
        <v>Others</v>
      </c>
      <c r="C2478" t="s">
        <v>21</v>
      </c>
      <c r="D2478" t="s">
        <v>19</v>
      </c>
      <c r="E2478" t="s">
        <v>214</v>
      </c>
      <c r="G2478" t="s">
        <v>1412</v>
      </c>
      <c r="I2478" s="10"/>
      <c r="J2478" s="107">
        <f>SUMIF(Data!C:C,G2478,Data!Q:Q)</f>
        <v>0</v>
      </c>
      <c r="K2478" s="107">
        <f>SUMIF(Comprometidos!A:A,'Cost Report'!G2478,Comprometidos!E:E)</f>
        <v>0</v>
      </c>
      <c r="L2478" s="107">
        <f t="shared" ref="L2478:L2481" si="1051">+J2478+K2478</f>
        <v>0</v>
      </c>
      <c r="M2478" s="107">
        <f t="shared" ref="M2478" si="1052">+O2478-L2478</f>
        <v>0</v>
      </c>
      <c r="N2478" s="107">
        <f t="shared" ref="N2478:N2481" si="1053">+L2478+M2478</f>
        <v>0</v>
      </c>
      <c r="O2478" s="107">
        <f>VLOOKUP(G2478,Budget!$E$3:$G$2474,3,0)</f>
        <v>0</v>
      </c>
      <c r="P2478" s="107">
        <f t="shared" ref="P2478:P2481" si="1054">+O2478-N2478</f>
        <v>0</v>
      </c>
      <c r="Q2478" s="107"/>
      <c r="R2478" s="10"/>
      <c r="S2478" s="107">
        <v>0</v>
      </c>
      <c r="T2478" s="107">
        <f t="shared" si="1032"/>
        <v>0</v>
      </c>
      <c r="U2478" s="107"/>
      <c r="V2478" s="175"/>
      <c r="W2478" s="10"/>
      <c r="X2478" s="10"/>
      <c r="Y2478" t="str">
        <f t="shared" ref="Y2478:Y2481" si="1055">LEFT(G2478,4)</f>
        <v>7217</v>
      </c>
      <c r="AB2478" s="10"/>
      <c r="AC2478" s="10"/>
      <c r="AD2478" s="10"/>
      <c r="AE2478" s="10"/>
      <c r="AF2478" s="10"/>
      <c r="AG2478" s="10"/>
      <c r="AH2478" s="10"/>
      <c r="AI2478" s="10"/>
    </row>
    <row r="2479" spans="1:35">
      <c r="A2479" s="10"/>
      <c r="B2479" s="10" t="str">
        <f t="shared" si="1050"/>
        <v>OthersCOVID</v>
      </c>
      <c r="C2479" t="s">
        <v>21</v>
      </c>
      <c r="D2479" t="s">
        <v>19</v>
      </c>
      <c r="E2479" t="s">
        <v>1409</v>
      </c>
      <c r="G2479" t="s">
        <v>1413</v>
      </c>
      <c r="I2479" s="10"/>
      <c r="J2479" s="107">
        <f>SUMIF(Data!C:C,G2479,Data!Q:Q)</f>
        <v>0</v>
      </c>
      <c r="K2479" s="107">
        <f>SUMIF(Comprometidos!A:A,'Cost Report'!G2479,Comprometidos!E:E)</f>
        <v>0</v>
      </c>
      <c r="L2479" s="107">
        <f t="shared" si="1051"/>
        <v>0</v>
      </c>
      <c r="M2479" s="107">
        <v>0</v>
      </c>
      <c r="N2479" s="107">
        <f t="shared" si="1053"/>
        <v>0</v>
      </c>
      <c r="O2479" s="107">
        <f>VLOOKUP(G2479,Budget!$E$3:$G$2474,3,0)</f>
        <v>47400</v>
      </c>
      <c r="P2479" s="107">
        <f t="shared" si="1054"/>
        <v>47400</v>
      </c>
      <c r="Q2479" s="107"/>
      <c r="R2479" s="10"/>
      <c r="S2479" s="107">
        <v>0</v>
      </c>
      <c r="T2479" s="107">
        <f t="shared" si="1032"/>
        <v>0</v>
      </c>
      <c r="U2479" s="107"/>
      <c r="V2479" s="175"/>
      <c r="W2479" s="10"/>
      <c r="X2479" s="10"/>
      <c r="Y2479" t="str">
        <f t="shared" si="1055"/>
        <v>7217</v>
      </c>
      <c r="AB2479" s="10"/>
      <c r="AC2479" s="10"/>
      <c r="AD2479" s="10"/>
      <c r="AE2479" s="10"/>
      <c r="AF2479" s="10"/>
      <c r="AG2479" s="10"/>
      <c r="AH2479" s="10"/>
      <c r="AI2479" s="10"/>
    </row>
    <row r="2480" spans="1:35">
      <c r="A2480" s="10"/>
      <c r="B2480" s="10" t="str">
        <f t="shared" si="1050"/>
        <v>OthersCOVID</v>
      </c>
      <c r="C2480" t="s">
        <v>21</v>
      </c>
      <c r="D2480" t="s">
        <v>19</v>
      </c>
      <c r="E2480" t="s">
        <v>1409</v>
      </c>
      <c r="G2480" t="s">
        <v>1414</v>
      </c>
      <c r="I2480" s="10"/>
      <c r="J2480" s="107">
        <f>SUMIF(Data!C:C,G2480,Data!Q:Q)</f>
        <v>0</v>
      </c>
      <c r="K2480" s="107">
        <f>SUMIF(Comprometidos!A:A,'Cost Report'!G2480,Comprometidos!E:E)</f>
        <v>0</v>
      </c>
      <c r="L2480" s="107">
        <f t="shared" si="1051"/>
        <v>0</v>
      </c>
      <c r="M2480" s="107">
        <v>0</v>
      </c>
      <c r="N2480" s="107">
        <f t="shared" si="1053"/>
        <v>0</v>
      </c>
      <c r="O2480" s="107">
        <f>VLOOKUP(G2480,Budget!$E$3:$G$2474,3,0)</f>
        <v>47400</v>
      </c>
      <c r="P2480" s="107">
        <f t="shared" si="1054"/>
        <v>47400</v>
      </c>
      <c r="Q2480" s="107"/>
      <c r="R2480" s="10"/>
      <c r="S2480" s="107">
        <v>0</v>
      </c>
      <c r="T2480" s="107">
        <f t="shared" si="1032"/>
        <v>0</v>
      </c>
      <c r="U2480" s="107"/>
      <c r="V2480" s="175"/>
      <c r="W2480" s="10"/>
      <c r="X2480" s="10"/>
      <c r="Y2480" t="str">
        <f t="shared" si="1055"/>
        <v>7217</v>
      </c>
      <c r="AB2480" s="10"/>
      <c r="AC2480" s="10"/>
      <c r="AD2480" s="10"/>
      <c r="AE2480" s="10"/>
      <c r="AF2480" s="10"/>
      <c r="AG2480" s="10"/>
      <c r="AH2480" s="10"/>
      <c r="AI2480" s="10"/>
    </row>
    <row r="2481" spans="1:35">
      <c r="A2481" s="10"/>
      <c r="B2481" s="10" t="str">
        <f t="shared" si="1050"/>
        <v>OthersCOVID</v>
      </c>
      <c r="C2481" t="s">
        <v>21</v>
      </c>
      <c r="D2481" t="s">
        <v>19</v>
      </c>
      <c r="E2481" t="s">
        <v>1409</v>
      </c>
      <c r="G2481" t="s">
        <v>3113</v>
      </c>
      <c r="I2481" s="10"/>
      <c r="J2481" s="107">
        <f>SUMIF(Data!C:C,G2481,Data!Q:Q)</f>
        <v>0</v>
      </c>
      <c r="K2481" s="107">
        <f>SUMIF(Comprometidos!A:A,'Cost Report'!G2481,Comprometidos!E:E)</f>
        <v>0</v>
      </c>
      <c r="L2481" s="107">
        <f t="shared" si="1051"/>
        <v>0</v>
      </c>
      <c r="M2481" s="107">
        <v>0</v>
      </c>
      <c r="N2481" s="107">
        <f t="shared" si="1053"/>
        <v>0</v>
      </c>
      <c r="O2481" s="107">
        <f>VLOOKUP(G2481,Budget!$E$3:$G$2474,3,0)</f>
        <v>16500</v>
      </c>
      <c r="P2481" s="107">
        <f t="shared" si="1054"/>
        <v>16500</v>
      </c>
      <c r="Q2481" s="107"/>
      <c r="R2481" s="10"/>
      <c r="S2481" s="107">
        <v>0</v>
      </c>
      <c r="T2481" s="107">
        <f t="shared" si="1032"/>
        <v>0</v>
      </c>
      <c r="U2481" s="107"/>
      <c r="V2481" s="175"/>
      <c r="W2481" s="10"/>
      <c r="X2481" s="10"/>
      <c r="Y2481" t="str">
        <f t="shared" si="1055"/>
        <v>7217</v>
      </c>
      <c r="AB2481" s="10"/>
      <c r="AC2481" s="10"/>
      <c r="AD2481" s="10"/>
      <c r="AE2481" s="10"/>
      <c r="AF2481" s="10"/>
      <c r="AG2481" s="10"/>
      <c r="AH2481" s="10"/>
      <c r="AI2481" s="10"/>
    </row>
    <row r="2482" spans="1:35">
      <c r="A2482" s="10"/>
      <c r="B2482" s="10" t="str">
        <f>+C2482</f>
        <v>Others</v>
      </c>
      <c r="C2482" s="128" t="s">
        <v>21</v>
      </c>
      <c r="D2482" s="128" t="s">
        <v>2117</v>
      </c>
      <c r="E2482" s="128"/>
      <c r="F2482" s="128"/>
      <c r="G2482" s="128">
        <v>7230</v>
      </c>
      <c r="H2482" s="128"/>
      <c r="I2482" s="10"/>
      <c r="J2482" s="129">
        <f>SUMIF($Y$11:$Y$2487,G2482,J$11:J$2487)</f>
        <v>35012.745000000068</v>
      </c>
      <c r="K2482" s="129">
        <f>SUMIF($Y$11:$Y$2487,G2482,K$11:K$2487)</f>
        <v>0</v>
      </c>
      <c r="L2482" s="129">
        <f>SUMIF($Y$11:$Y$2487,G2482,L$11:L$2487)</f>
        <v>35012.745000000068</v>
      </c>
      <c r="M2482" s="129">
        <f>SUMIF($Y$11:$Y$2487,G2482,M$11:M$2487)</f>
        <v>0</v>
      </c>
      <c r="N2482" s="129">
        <f>SUMIF($Y$11:$Y$2487,G2482,N$11:N$2487)</f>
        <v>35012.745000000068</v>
      </c>
      <c r="O2482" s="129">
        <f>SUMIF($Y$11:$Y$2487,G2482,O$11:O$2487)</f>
        <v>0</v>
      </c>
      <c r="P2482" s="129">
        <f>SUMIF($Y$11:$Y$2487,G2482,P$11:P$2487)</f>
        <v>-35012.745000000068</v>
      </c>
      <c r="Q2482" s="129"/>
      <c r="R2482" s="10"/>
      <c r="S2482" s="129">
        <v>174260.27000000008</v>
      </c>
      <c r="T2482" s="129">
        <f t="shared" ref="T2482:T2483" si="1056">+S2482-N2482</f>
        <v>139247.52500000002</v>
      </c>
      <c r="U2482" s="128"/>
      <c r="V2482" s="10"/>
      <c r="W2482" s="10"/>
      <c r="X2482" s="10"/>
      <c r="Z2482" t="str">
        <f>LEFT(G2482,2)</f>
        <v>72</v>
      </c>
      <c r="AA2482" t="str">
        <f>+Z2482&amp;"00"</f>
        <v>7200</v>
      </c>
      <c r="AB2482" s="10"/>
      <c r="AC2482" s="10"/>
      <c r="AD2482" s="10"/>
      <c r="AE2482" s="10"/>
      <c r="AF2482" s="10"/>
      <c r="AG2482" s="10"/>
      <c r="AH2482" s="10"/>
      <c r="AI2482" s="10"/>
    </row>
    <row r="2483" spans="1:35">
      <c r="A2483" s="10"/>
      <c r="B2483" s="10" t="str">
        <f t="shared" ref="B2483" si="1057">+C2483&amp;E2483</f>
        <v>OthersALL SHOW</v>
      </c>
      <c r="C2483" t="s">
        <v>21</v>
      </c>
      <c r="D2483" t="s">
        <v>19</v>
      </c>
      <c r="E2483" t="s">
        <v>227</v>
      </c>
      <c r="G2483" t="s">
        <v>5473</v>
      </c>
      <c r="I2483" s="10"/>
      <c r="J2483" s="107">
        <f>SUMIF(Data!C:C,G2483,Data!Q:Q)</f>
        <v>7050.7550000000629</v>
      </c>
      <c r="K2483" s="107">
        <f>SUMIF(Comprometidos!A:A,'Cost Report'!G2483,Comprometidos!E:E)</f>
        <v>0</v>
      </c>
      <c r="L2483" s="107">
        <f t="shared" ref="L2483" si="1058">+J2483+K2483</f>
        <v>7050.7550000000629</v>
      </c>
      <c r="M2483" s="107">
        <v>0</v>
      </c>
      <c r="N2483" s="107">
        <f t="shared" ref="N2483" si="1059">+L2483+M2483</f>
        <v>7050.7550000000629</v>
      </c>
      <c r="O2483" s="107">
        <f>VLOOKUP(G2483,Budget!$E$3:$G$2480,3,0)</f>
        <v>0</v>
      </c>
      <c r="P2483" s="107">
        <f t="shared" ref="P2483" si="1060">+O2483-N2483</f>
        <v>-7050.7550000000629</v>
      </c>
      <c r="Q2483" s="107"/>
      <c r="R2483" s="10"/>
      <c r="S2483" s="107">
        <v>146298.28000000006</v>
      </c>
      <c r="T2483" s="107">
        <f t="shared" si="1056"/>
        <v>139247.52499999999</v>
      </c>
      <c r="U2483" s="107"/>
      <c r="V2483" s="10"/>
      <c r="W2483" s="10"/>
      <c r="X2483" s="10"/>
      <c r="Y2483" t="str">
        <f t="shared" ref="Y2483" si="1061">LEFT(G2483,4)</f>
        <v>7230</v>
      </c>
      <c r="AB2483" s="10"/>
      <c r="AC2483" s="10"/>
      <c r="AD2483" s="10"/>
      <c r="AE2483" s="10"/>
      <c r="AF2483" s="10"/>
      <c r="AG2483" s="10"/>
      <c r="AH2483" s="10"/>
      <c r="AI2483" s="10"/>
    </row>
    <row r="2484" spans="1:35">
      <c r="A2484" s="10"/>
      <c r="B2484" s="10" t="str">
        <f t="shared" ref="B2484:B2487" si="1062">+C2484&amp;E2484</f>
        <v>OthersALL SHOW</v>
      </c>
      <c r="C2484" t="s">
        <v>21</v>
      </c>
      <c r="D2484" t="s">
        <v>19</v>
      </c>
      <c r="E2484" t="s">
        <v>227</v>
      </c>
      <c r="G2484" t="s">
        <v>5474</v>
      </c>
      <c r="I2484" s="10"/>
      <c r="J2484" s="107">
        <f>SUMIF(Data!C:C,G2484,Data!Q:Q)</f>
        <v>11436.91</v>
      </c>
      <c r="K2484" s="107">
        <f>SUMIF(Comprometidos!A:A,'Cost Report'!G2484,Comprometidos!E:E)</f>
        <v>0</v>
      </c>
      <c r="L2484" s="107">
        <f t="shared" ref="L2484:L2487" si="1063">+J2484+K2484</f>
        <v>11436.91</v>
      </c>
      <c r="M2484" s="107">
        <v>0</v>
      </c>
      <c r="N2484" s="107">
        <f t="shared" ref="N2484:N2487" si="1064">+L2484+M2484</f>
        <v>11436.91</v>
      </c>
      <c r="O2484" s="107">
        <f>VLOOKUP(G2484,Budget!$E$3:$G$2480,3,0)</f>
        <v>0</v>
      </c>
      <c r="P2484" s="107">
        <f t="shared" ref="P2484:P2487" si="1065">+O2484-N2484</f>
        <v>-11436.91</v>
      </c>
      <c r="Q2484" s="107"/>
      <c r="R2484" s="10"/>
      <c r="S2484" s="107">
        <v>11436.91</v>
      </c>
      <c r="T2484" s="107">
        <f t="shared" ref="T2484:T2487" si="1066">+S2484-N2484</f>
        <v>0</v>
      </c>
      <c r="U2484" s="107"/>
      <c r="V2484" s="10"/>
      <c r="W2484" s="10"/>
      <c r="X2484" s="10"/>
      <c r="Y2484" t="str">
        <f t="shared" ref="Y2484:Y2487" si="1067">LEFT(G2484,4)</f>
        <v>7230</v>
      </c>
      <c r="AB2484" s="10"/>
      <c r="AC2484" s="10"/>
      <c r="AD2484" s="10"/>
      <c r="AE2484" s="10"/>
      <c r="AF2484" s="10"/>
      <c r="AG2484" s="10"/>
      <c r="AH2484" s="10"/>
      <c r="AI2484" s="10"/>
    </row>
    <row r="2485" spans="1:35">
      <c r="A2485" s="10"/>
      <c r="B2485" s="10" t="str">
        <f t="shared" si="1062"/>
        <v>OthersALL SHOW</v>
      </c>
      <c r="C2485" t="s">
        <v>21</v>
      </c>
      <c r="D2485" t="s">
        <v>19</v>
      </c>
      <c r="E2485" t="s">
        <v>227</v>
      </c>
      <c r="G2485" t="s">
        <v>5475</v>
      </c>
      <c r="I2485" s="10"/>
      <c r="J2485" s="107">
        <f>SUMIF(Data!C:C,G2485,Data!Q:Q)</f>
        <v>12178.92</v>
      </c>
      <c r="K2485" s="107">
        <f>SUMIF(Comprometidos!A:A,'Cost Report'!G2485,Comprometidos!E:E)</f>
        <v>0</v>
      </c>
      <c r="L2485" s="107">
        <f t="shared" si="1063"/>
        <v>12178.92</v>
      </c>
      <c r="M2485" s="107">
        <v>0</v>
      </c>
      <c r="N2485" s="107">
        <f t="shared" si="1064"/>
        <v>12178.92</v>
      </c>
      <c r="O2485" s="107">
        <f>VLOOKUP(G2485,Budget!$E$3:$G$2480,3,0)</f>
        <v>0</v>
      </c>
      <c r="P2485" s="107">
        <f t="shared" si="1065"/>
        <v>-12178.92</v>
      </c>
      <c r="Q2485" s="107"/>
      <c r="R2485" s="10"/>
      <c r="S2485" s="107">
        <v>12178.92</v>
      </c>
      <c r="T2485" s="107">
        <f t="shared" si="1066"/>
        <v>0</v>
      </c>
      <c r="U2485" s="107"/>
      <c r="V2485" s="10"/>
      <c r="W2485" s="10"/>
      <c r="X2485" s="10"/>
      <c r="Y2485" t="str">
        <f t="shared" si="1067"/>
        <v>7230</v>
      </c>
      <c r="AB2485" s="10"/>
      <c r="AC2485" s="10"/>
      <c r="AD2485" s="10"/>
      <c r="AE2485" s="10"/>
      <c r="AF2485" s="10"/>
      <c r="AG2485" s="10"/>
      <c r="AH2485" s="10"/>
      <c r="AI2485" s="10"/>
    </row>
    <row r="2486" spans="1:35">
      <c r="A2486" s="10"/>
      <c r="B2486" s="10" t="str">
        <f t="shared" si="1062"/>
        <v>OthersALL SHOW</v>
      </c>
      <c r="C2486" t="s">
        <v>21</v>
      </c>
      <c r="D2486" t="s">
        <v>19</v>
      </c>
      <c r="E2486" t="s">
        <v>227</v>
      </c>
      <c r="G2486" t="s">
        <v>5476</v>
      </c>
      <c r="I2486" s="10"/>
      <c r="J2486" s="107">
        <f>SUMIF(Data!C:C,G2486,Data!Q:Q)</f>
        <v>3025.87</v>
      </c>
      <c r="K2486" s="107">
        <f>SUMIF(Comprometidos!A:A,'Cost Report'!G2486,Comprometidos!E:E)</f>
        <v>0</v>
      </c>
      <c r="L2486" s="107">
        <f t="shared" si="1063"/>
        <v>3025.87</v>
      </c>
      <c r="M2486" s="107">
        <v>0</v>
      </c>
      <c r="N2486" s="107">
        <f t="shared" si="1064"/>
        <v>3025.87</v>
      </c>
      <c r="O2486" s="107">
        <f>VLOOKUP(G2486,Budget!$E$3:$G$2480,3,0)</f>
        <v>0</v>
      </c>
      <c r="P2486" s="107">
        <f t="shared" si="1065"/>
        <v>-3025.87</v>
      </c>
      <c r="Q2486" s="107"/>
      <c r="R2486" s="10"/>
      <c r="S2486" s="107">
        <v>3025.87</v>
      </c>
      <c r="T2486" s="107">
        <f t="shared" si="1066"/>
        <v>0</v>
      </c>
      <c r="U2486" s="107"/>
      <c r="V2486" s="10"/>
      <c r="W2486" s="10"/>
      <c r="X2486" s="10"/>
      <c r="Y2486" t="str">
        <f t="shared" si="1067"/>
        <v>7230</v>
      </c>
      <c r="AB2486" s="10"/>
      <c r="AC2486" s="10"/>
      <c r="AD2486" s="10"/>
      <c r="AE2486" s="10"/>
      <c r="AF2486" s="10"/>
      <c r="AG2486" s="10"/>
      <c r="AH2486" s="10"/>
      <c r="AI2486" s="10"/>
    </row>
    <row r="2487" spans="1:35">
      <c r="A2487" s="10"/>
      <c r="B2487" s="10" t="str">
        <f t="shared" si="1062"/>
        <v>OthersALL SHOW</v>
      </c>
      <c r="C2487" t="s">
        <v>21</v>
      </c>
      <c r="D2487" t="s">
        <v>19</v>
      </c>
      <c r="E2487" t="s">
        <v>227</v>
      </c>
      <c r="G2487" t="s">
        <v>5477</v>
      </c>
      <c r="I2487" s="10"/>
      <c r="J2487" s="107">
        <f>SUMIF(Data!C:C,G2487,Data!Q:Q)</f>
        <v>1320.29</v>
      </c>
      <c r="K2487" s="107">
        <f>SUMIF(Comprometidos!A:A,'Cost Report'!G2487,Comprometidos!E:E)</f>
        <v>0</v>
      </c>
      <c r="L2487" s="107">
        <f t="shared" si="1063"/>
        <v>1320.29</v>
      </c>
      <c r="M2487" s="107">
        <v>0</v>
      </c>
      <c r="N2487" s="107">
        <f t="shared" si="1064"/>
        <v>1320.29</v>
      </c>
      <c r="O2487" s="107">
        <f>VLOOKUP(G2487,Budget!$E$3:$G$2480,3,0)</f>
        <v>0</v>
      </c>
      <c r="P2487" s="107">
        <f t="shared" si="1065"/>
        <v>-1320.29</v>
      </c>
      <c r="Q2487" s="107"/>
      <c r="R2487" s="10"/>
      <c r="S2487" s="107">
        <v>1320.29</v>
      </c>
      <c r="T2487" s="107">
        <f t="shared" si="1066"/>
        <v>0</v>
      </c>
      <c r="U2487" s="107"/>
      <c r="V2487" s="10"/>
      <c r="W2487" s="10"/>
      <c r="X2487" s="10"/>
      <c r="Y2487" t="str">
        <f t="shared" si="1067"/>
        <v>7230</v>
      </c>
      <c r="AB2487" s="10"/>
      <c r="AC2487" s="10"/>
      <c r="AD2487" s="10"/>
      <c r="AE2487" s="10"/>
      <c r="AF2487" s="10"/>
      <c r="AG2487" s="10"/>
      <c r="AH2487" s="10"/>
      <c r="AI2487" s="10"/>
    </row>
    <row r="2488" spans="1:35">
      <c r="A2488" s="10"/>
      <c r="B2488" s="10"/>
      <c r="C2488" s="10"/>
      <c r="D2488" s="10"/>
      <c r="E2488" s="10"/>
      <c r="F2488" s="10"/>
      <c r="G2488" s="10"/>
      <c r="H2488" s="10"/>
      <c r="I2488" s="10"/>
      <c r="J2488" s="30"/>
      <c r="K2488" s="30"/>
      <c r="L2488" s="30"/>
      <c r="M2488" s="30"/>
      <c r="N2488" s="30"/>
      <c r="O2488" s="30"/>
      <c r="P2488" s="30"/>
      <c r="Q2488" s="30"/>
      <c r="R2488" s="10"/>
      <c r="S2488" s="10"/>
      <c r="T2488" s="3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</row>
    <row r="2489" spans="1:35">
      <c r="A2489" s="10"/>
      <c r="B2489" s="10"/>
      <c r="C2489" s="10"/>
      <c r="D2489" s="10"/>
      <c r="E2489" s="10"/>
      <c r="F2489" s="10"/>
      <c r="G2489" s="10"/>
      <c r="H2489" s="10"/>
      <c r="I2489" s="10"/>
      <c r="J2489" s="30"/>
      <c r="K2489" s="30"/>
      <c r="L2489" s="30"/>
      <c r="M2489" s="30"/>
      <c r="N2489" s="30"/>
      <c r="O2489" s="30"/>
      <c r="P2489" s="30"/>
      <c r="Q2489" s="30"/>
      <c r="R2489" s="10"/>
      <c r="S2489" s="10"/>
      <c r="T2489" s="3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</row>
    <row r="2490" spans="1:35">
      <c r="A2490" s="10"/>
      <c r="B2490" s="10"/>
      <c r="C2490" s="10"/>
      <c r="D2490" s="10"/>
      <c r="E2490" s="10"/>
      <c r="F2490" s="10"/>
      <c r="G2490" s="10"/>
      <c r="H2490" s="10"/>
      <c r="I2490" s="10"/>
      <c r="J2490" s="30"/>
      <c r="K2490" s="30"/>
      <c r="L2490" s="30"/>
      <c r="M2490" s="30"/>
      <c r="N2490" s="30"/>
      <c r="O2490" s="30"/>
      <c r="P2490" s="30"/>
      <c r="Q2490" s="30"/>
      <c r="R2490" s="10"/>
      <c r="S2490" s="10"/>
      <c r="T2490" s="3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</row>
    <row r="2491" spans="1:35">
      <c r="A2491" s="10"/>
      <c r="B2491" s="10"/>
      <c r="C2491" s="10"/>
      <c r="D2491" s="10"/>
      <c r="E2491" s="10"/>
      <c r="F2491" s="10"/>
      <c r="G2491" s="10"/>
      <c r="H2491" s="10"/>
      <c r="I2491" s="10"/>
      <c r="J2491" s="30"/>
      <c r="K2491" s="30"/>
      <c r="L2491" s="30"/>
      <c r="M2491" s="30"/>
      <c r="N2491" s="30"/>
      <c r="O2491" s="30"/>
      <c r="P2491" s="30"/>
      <c r="Q2491" s="30"/>
      <c r="R2491" s="10"/>
      <c r="S2491" s="10"/>
      <c r="T2491" s="3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</row>
    <row r="2492" spans="1:35">
      <c r="A2492" s="10"/>
      <c r="B2492" s="10"/>
      <c r="C2492" s="10"/>
      <c r="D2492" s="10"/>
      <c r="E2492" s="10"/>
      <c r="F2492" s="10"/>
      <c r="G2492" s="10"/>
      <c r="H2492" s="10"/>
      <c r="I2492" s="10"/>
      <c r="J2492" s="30"/>
      <c r="K2492" s="30"/>
      <c r="L2492" s="30"/>
      <c r="M2492" s="30"/>
      <c r="N2492" s="30"/>
      <c r="O2492" s="30"/>
      <c r="P2492" s="30"/>
      <c r="Q2492" s="30"/>
      <c r="R2492" s="10"/>
      <c r="S2492" s="10"/>
      <c r="T2492" s="3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</row>
    <row r="2493" spans="1:35">
      <c r="A2493" s="10"/>
      <c r="B2493" s="10"/>
      <c r="C2493" s="10"/>
      <c r="D2493" s="10"/>
      <c r="E2493" s="10"/>
      <c r="F2493" s="10"/>
      <c r="G2493" s="10"/>
      <c r="H2493" s="10"/>
      <c r="I2493" s="10"/>
      <c r="J2493" s="165">
        <f>SUMIF(Data!P:P,"COSTO",Data!Q:Q)-'Cost Report'!J7</f>
        <v>-274999.99999991059</v>
      </c>
      <c r="K2493" s="30"/>
      <c r="L2493" s="30"/>
      <c r="M2493" s="30"/>
      <c r="N2493" s="30"/>
      <c r="O2493" s="165">
        <f ca="1">135097911-O7</f>
        <v>0</v>
      </c>
      <c r="P2493" s="30"/>
      <c r="Q2493" s="30"/>
      <c r="R2493" s="10"/>
      <c r="S2493" s="10"/>
      <c r="T2493" s="3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</row>
    <row r="2494" spans="1:35">
      <c r="A2494" s="10"/>
      <c r="B2494" s="10"/>
      <c r="C2494" s="10"/>
      <c r="D2494" s="10"/>
      <c r="E2494" s="10"/>
      <c r="F2494" s="10"/>
      <c r="G2494" s="10"/>
      <c r="H2494" s="10"/>
      <c r="I2494" s="10"/>
      <c r="J2494" s="30"/>
      <c r="K2494" s="30"/>
      <c r="L2494" s="30"/>
      <c r="M2494" s="30"/>
      <c r="N2494" s="30"/>
      <c r="O2494" s="30"/>
      <c r="P2494" s="30"/>
      <c r="Q2494" s="30"/>
      <c r="R2494" s="10"/>
      <c r="S2494" s="10"/>
      <c r="T2494" s="3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</row>
    <row r="2495" spans="1:35">
      <c r="A2495" s="10"/>
      <c r="B2495" s="10"/>
      <c r="C2495" s="10"/>
      <c r="D2495" s="10"/>
      <c r="E2495" s="10"/>
      <c r="F2495" s="10"/>
      <c r="G2495" s="10"/>
      <c r="H2495" s="10"/>
      <c r="I2495" s="10"/>
      <c r="J2495" s="30"/>
      <c r="K2495" s="30"/>
      <c r="L2495" s="30"/>
      <c r="M2495" s="30"/>
      <c r="N2495" s="30"/>
      <c r="O2495" s="30"/>
      <c r="P2495" s="30"/>
      <c r="Q2495" s="30"/>
      <c r="R2495" s="10"/>
      <c r="S2495" s="10"/>
      <c r="T2495" s="3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</row>
    <row r="2496" spans="1:35">
      <c r="A2496" s="10"/>
      <c r="B2496" s="10"/>
      <c r="C2496" s="10"/>
      <c r="D2496" s="10"/>
      <c r="E2496" s="10"/>
      <c r="F2496" s="10"/>
      <c r="G2496" s="10"/>
      <c r="H2496" s="10"/>
      <c r="I2496" s="10"/>
      <c r="J2496" s="30"/>
      <c r="K2496" s="30"/>
      <c r="L2496" s="30"/>
      <c r="M2496" s="30"/>
      <c r="N2496" s="30"/>
      <c r="O2496" s="30"/>
      <c r="P2496" s="30"/>
      <c r="Q2496" s="30"/>
      <c r="R2496" s="10"/>
      <c r="S2496" s="10"/>
      <c r="T2496" s="3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</row>
    <row r="2497" spans="1:35">
      <c r="A2497" s="10"/>
      <c r="B2497" s="10"/>
      <c r="C2497" s="10"/>
      <c r="D2497" s="10"/>
      <c r="E2497" s="10"/>
      <c r="F2497" s="10"/>
      <c r="G2497" s="10"/>
      <c r="H2497" s="10"/>
      <c r="I2497" s="10"/>
      <c r="J2497" s="30"/>
      <c r="K2497" s="30"/>
      <c r="L2497" s="30"/>
      <c r="M2497" s="30"/>
      <c r="N2497" s="30"/>
      <c r="O2497" s="30"/>
      <c r="P2497" s="30"/>
      <c r="Q2497" s="30"/>
      <c r="R2497" s="10"/>
      <c r="S2497" s="10"/>
      <c r="T2497" s="3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</row>
    <row r="2498" spans="1:35">
      <c r="A2498" s="10"/>
      <c r="B2498" s="10"/>
      <c r="C2498" s="10"/>
      <c r="D2498" s="10"/>
      <c r="E2498" s="10"/>
      <c r="F2498" s="10"/>
      <c r="G2498" s="10"/>
      <c r="H2498" s="10"/>
      <c r="I2498" s="10"/>
      <c r="J2498" s="30"/>
      <c r="K2498" s="30"/>
      <c r="L2498" s="30"/>
      <c r="M2498" s="30"/>
      <c r="N2498" s="30"/>
      <c r="O2498" s="30"/>
      <c r="P2498" s="30"/>
      <c r="Q2498" s="30"/>
      <c r="R2498" s="10"/>
      <c r="S2498" s="10"/>
      <c r="T2498" s="3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</row>
    <row r="2499" spans="1:35">
      <c r="A2499" s="10"/>
      <c r="B2499" s="10"/>
      <c r="C2499" s="10"/>
      <c r="D2499" s="10"/>
      <c r="E2499" s="10"/>
      <c r="F2499" s="10"/>
      <c r="G2499" s="10"/>
      <c r="H2499" s="10"/>
      <c r="I2499" s="10"/>
      <c r="J2499" s="30"/>
      <c r="K2499" s="30"/>
      <c r="L2499" s="30"/>
      <c r="M2499" s="30"/>
      <c r="N2499" s="30"/>
      <c r="O2499" s="30"/>
      <c r="P2499" s="30"/>
      <c r="Q2499" s="30"/>
      <c r="R2499" s="10"/>
      <c r="S2499" s="10"/>
      <c r="T2499" s="3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</row>
    <row r="2500" spans="1:35">
      <c r="A2500" s="10"/>
      <c r="B2500" s="10"/>
      <c r="C2500" s="10"/>
      <c r="D2500" s="10"/>
      <c r="E2500" s="10"/>
      <c r="F2500" s="10"/>
      <c r="G2500" s="10"/>
      <c r="H2500" s="10"/>
      <c r="I2500" s="10"/>
      <c r="J2500" s="30"/>
      <c r="K2500" s="30"/>
      <c r="L2500" s="30"/>
      <c r="M2500" s="30"/>
      <c r="N2500" s="30"/>
      <c r="O2500" s="30"/>
      <c r="P2500" s="30"/>
      <c r="Q2500" s="30"/>
      <c r="R2500" s="10"/>
      <c r="S2500" s="10"/>
      <c r="T2500" s="3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</row>
    <row r="2501" spans="1:35">
      <c r="A2501" s="10"/>
      <c r="B2501" s="10"/>
      <c r="C2501" s="10"/>
      <c r="D2501" s="10"/>
      <c r="E2501" s="10"/>
      <c r="F2501" s="10"/>
      <c r="G2501" s="10"/>
      <c r="H2501" s="10"/>
      <c r="I2501" s="10"/>
      <c r="J2501" s="30"/>
      <c r="K2501" s="30"/>
      <c r="L2501" s="30"/>
      <c r="M2501" s="30"/>
      <c r="N2501" s="30"/>
      <c r="O2501" s="30"/>
      <c r="P2501" s="30"/>
      <c r="Q2501" s="30"/>
      <c r="R2501" s="10"/>
      <c r="S2501" s="10"/>
      <c r="T2501" s="3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</row>
    <row r="2502" spans="1:35">
      <c r="A2502" s="10"/>
      <c r="B2502" s="10"/>
      <c r="C2502" s="10"/>
      <c r="D2502" s="10"/>
      <c r="E2502" s="10"/>
      <c r="F2502" s="10"/>
      <c r="G2502" s="10"/>
      <c r="H2502" s="10"/>
      <c r="I2502" s="10"/>
      <c r="J2502" s="30"/>
      <c r="K2502" s="30"/>
      <c r="L2502" s="30"/>
      <c r="M2502" s="30"/>
      <c r="N2502" s="30"/>
      <c r="O2502" s="30"/>
      <c r="P2502" s="30"/>
      <c r="Q2502" s="30"/>
      <c r="R2502" s="10"/>
      <c r="S2502" s="10"/>
      <c r="T2502" s="3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</row>
    <row r="2503" spans="1:35">
      <c r="A2503" s="10"/>
      <c r="B2503" s="10"/>
      <c r="C2503" s="10"/>
      <c r="D2503" s="10"/>
      <c r="E2503" s="10"/>
      <c r="F2503" s="10"/>
      <c r="G2503" s="10"/>
      <c r="H2503" s="10"/>
      <c r="I2503" s="10"/>
      <c r="J2503" s="30"/>
      <c r="K2503" s="30"/>
      <c r="L2503" s="30"/>
      <c r="M2503" s="30"/>
      <c r="N2503" s="30"/>
      <c r="O2503" s="30"/>
      <c r="P2503" s="30"/>
      <c r="Q2503" s="30"/>
      <c r="R2503" s="10"/>
      <c r="S2503" s="10"/>
      <c r="T2503" s="3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</row>
    <row r="2504" spans="1:35">
      <c r="A2504" s="10"/>
      <c r="B2504" s="10"/>
      <c r="C2504" s="10"/>
      <c r="D2504" s="10"/>
      <c r="E2504" s="10"/>
      <c r="F2504" s="10"/>
      <c r="G2504" s="10"/>
      <c r="H2504" s="10"/>
      <c r="I2504" s="10"/>
      <c r="J2504" s="30"/>
      <c r="K2504" s="30"/>
      <c r="L2504" s="30"/>
      <c r="M2504" s="30"/>
      <c r="N2504" s="30"/>
      <c r="O2504" s="30"/>
      <c r="P2504" s="30"/>
      <c r="Q2504" s="30"/>
      <c r="R2504" s="10"/>
      <c r="S2504" s="10"/>
      <c r="T2504" s="3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</row>
    <row r="2505" spans="1:35">
      <c r="A2505" s="10"/>
      <c r="B2505" s="10"/>
      <c r="C2505" s="10"/>
      <c r="D2505" s="10"/>
      <c r="E2505" s="10"/>
      <c r="F2505" s="10"/>
      <c r="G2505" s="10"/>
      <c r="H2505" s="10"/>
      <c r="I2505" s="10"/>
      <c r="J2505" s="30"/>
      <c r="K2505" s="30"/>
      <c r="L2505" s="30"/>
      <c r="M2505" s="30"/>
      <c r="N2505" s="30"/>
      <c r="O2505" s="30"/>
      <c r="P2505" s="30"/>
      <c r="Q2505" s="30"/>
      <c r="R2505" s="10"/>
      <c r="S2505" s="10"/>
      <c r="T2505" s="3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</row>
    <row r="2506" spans="1:35">
      <c r="A2506" s="10"/>
      <c r="B2506" s="10"/>
      <c r="C2506" s="10"/>
      <c r="D2506" s="10"/>
      <c r="E2506" s="10"/>
      <c r="F2506" s="10"/>
      <c r="G2506" s="10"/>
      <c r="H2506" s="10"/>
      <c r="I2506" s="10"/>
      <c r="J2506" s="30"/>
      <c r="K2506" s="30"/>
      <c r="L2506" s="30"/>
      <c r="M2506" s="30"/>
      <c r="N2506" s="30"/>
      <c r="O2506" s="30"/>
      <c r="P2506" s="30"/>
      <c r="Q2506" s="30"/>
      <c r="R2506" s="10"/>
      <c r="S2506" s="10"/>
      <c r="T2506" s="3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</row>
    <row r="2507" spans="1:35">
      <c r="A2507" s="10"/>
      <c r="B2507" s="10"/>
      <c r="C2507" s="10"/>
      <c r="D2507" s="10"/>
      <c r="E2507" s="10"/>
      <c r="F2507" s="10"/>
      <c r="G2507" s="10"/>
      <c r="H2507" s="10"/>
      <c r="I2507" s="10"/>
      <c r="J2507" s="30"/>
      <c r="K2507" s="30"/>
      <c r="L2507" s="30"/>
      <c r="M2507" s="30"/>
      <c r="N2507" s="30"/>
      <c r="O2507" s="30"/>
      <c r="P2507" s="30"/>
      <c r="Q2507" s="30"/>
      <c r="R2507" s="10"/>
      <c r="S2507" s="10"/>
      <c r="T2507" s="3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</row>
    <row r="2508" spans="1:35">
      <c r="A2508" s="10"/>
      <c r="B2508" s="10"/>
      <c r="C2508" s="10"/>
      <c r="D2508" s="10"/>
      <c r="E2508" s="10"/>
      <c r="F2508" s="10"/>
      <c r="G2508" s="10"/>
      <c r="H2508" s="10"/>
      <c r="I2508" s="10"/>
      <c r="J2508" s="30"/>
      <c r="K2508" s="30"/>
      <c r="L2508" s="30"/>
      <c r="M2508" s="30"/>
      <c r="N2508" s="30"/>
      <c r="O2508" s="30"/>
      <c r="P2508" s="30"/>
      <c r="Q2508" s="30"/>
      <c r="R2508" s="10"/>
      <c r="S2508" s="10"/>
      <c r="T2508" s="3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</row>
    <row r="2509" spans="1:35">
      <c r="A2509" s="10"/>
      <c r="B2509" s="10"/>
      <c r="C2509" s="10"/>
      <c r="D2509" s="10"/>
      <c r="E2509" s="10"/>
      <c r="F2509" s="10"/>
      <c r="G2509" s="10"/>
      <c r="H2509" s="10"/>
      <c r="I2509" s="10"/>
      <c r="J2509" s="30"/>
      <c r="K2509" s="30"/>
      <c r="L2509" s="30"/>
      <c r="M2509" s="30"/>
      <c r="N2509" s="30"/>
      <c r="O2509" s="30"/>
      <c r="P2509" s="30"/>
      <c r="Q2509" s="30"/>
      <c r="R2509" s="10"/>
      <c r="S2509" s="10"/>
      <c r="T2509" s="3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</row>
    <row r="2510" spans="1:35">
      <c r="A2510" s="10"/>
      <c r="B2510" s="10"/>
      <c r="C2510" s="10"/>
      <c r="D2510" s="10"/>
      <c r="E2510" s="10"/>
      <c r="F2510" s="10"/>
      <c r="G2510" s="10"/>
      <c r="H2510" s="10"/>
      <c r="I2510" s="10"/>
      <c r="J2510" s="30"/>
      <c r="K2510" s="30"/>
      <c r="L2510" s="30"/>
      <c r="M2510" s="30"/>
      <c r="N2510" s="30"/>
      <c r="O2510" s="30"/>
      <c r="P2510" s="30"/>
      <c r="Q2510" s="30"/>
      <c r="R2510" s="10"/>
      <c r="S2510" s="10"/>
      <c r="T2510" s="3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</row>
    <row r="2511" spans="1:35">
      <c r="A2511" s="10"/>
      <c r="B2511" s="10"/>
      <c r="C2511" s="10"/>
      <c r="D2511" s="10"/>
      <c r="E2511" s="10"/>
      <c r="F2511" s="10"/>
      <c r="G2511" s="10"/>
      <c r="H2511" s="10"/>
      <c r="I2511" s="10"/>
      <c r="J2511" s="30"/>
      <c r="K2511" s="30"/>
      <c r="L2511" s="30"/>
      <c r="M2511" s="30"/>
      <c r="N2511" s="30"/>
      <c r="O2511" s="30"/>
      <c r="P2511" s="30"/>
      <c r="Q2511" s="30"/>
      <c r="R2511" s="10"/>
      <c r="S2511" s="10"/>
      <c r="T2511" s="3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</row>
    <row r="2512" spans="1:35">
      <c r="A2512" s="10"/>
      <c r="B2512" s="10"/>
      <c r="C2512" s="10"/>
      <c r="D2512" s="10"/>
      <c r="E2512" s="10"/>
      <c r="F2512" s="10"/>
      <c r="G2512" s="10"/>
      <c r="H2512" s="10"/>
      <c r="I2512" s="10"/>
      <c r="J2512" s="30"/>
      <c r="K2512" s="30"/>
      <c r="L2512" s="30"/>
      <c r="M2512" s="30"/>
      <c r="N2512" s="30"/>
      <c r="O2512" s="30"/>
      <c r="P2512" s="30"/>
      <c r="Q2512" s="30"/>
      <c r="R2512" s="10"/>
      <c r="S2512" s="10"/>
      <c r="T2512" s="3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</row>
    <row r="2513" spans="1:35">
      <c r="A2513" s="10"/>
      <c r="B2513" s="10"/>
      <c r="C2513" s="10"/>
      <c r="D2513" s="10"/>
      <c r="E2513" s="10"/>
      <c r="F2513" s="10"/>
      <c r="G2513" s="10"/>
      <c r="H2513" s="10"/>
      <c r="I2513" s="10"/>
      <c r="J2513" s="30"/>
      <c r="K2513" s="30"/>
      <c r="L2513" s="30"/>
      <c r="M2513" s="30"/>
      <c r="N2513" s="30"/>
      <c r="O2513" s="30"/>
      <c r="P2513" s="30"/>
      <c r="Q2513" s="30"/>
      <c r="R2513" s="10"/>
      <c r="S2513" s="10"/>
      <c r="T2513" s="3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</row>
    <row r="2514" spans="1:35">
      <c r="A2514" s="10"/>
      <c r="B2514" s="10"/>
      <c r="C2514" s="10"/>
      <c r="D2514" s="10"/>
      <c r="E2514" s="10"/>
      <c r="F2514" s="10"/>
      <c r="G2514" s="10"/>
      <c r="H2514" s="10"/>
      <c r="I2514" s="10"/>
      <c r="J2514" s="30"/>
      <c r="K2514" s="30"/>
      <c r="L2514" s="30"/>
      <c r="M2514" s="30"/>
      <c r="N2514" s="30"/>
      <c r="O2514" s="30"/>
      <c r="P2514" s="30"/>
      <c r="Q2514" s="30"/>
      <c r="R2514" s="10"/>
      <c r="S2514" s="10"/>
      <c r="T2514" s="3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</row>
    <row r="2515" spans="1:35">
      <c r="A2515" s="10"/>
      <c r="B2515" s="10"/>
      <c r="C2515" s="10"/>
      <c r="D2515" s="10"/>
      <c r="E2515" s="10"/>
      <c r="F2515" s="10"/>
      <c r="G2515" s="10"/>
      <c r="H2515" s="10"/>
      <c r="I2515" s="10"/>
      <c r="J2515" s="30"/>
      <c r="K2515" s="30"/>
      <c r="L2515" s="30"/>
      <c r="M2515" s="30"/>
      <c r="N2515" s="30"/>
      <c r="O2515" s="30"/>
      <c r="P2515" s="30"/>
      <c r="Q2515" s="30"/>
      <c r="R2515" s="10"/>
      <c r="S2515" s="10"/>
      <c r="T2515" s="3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</row>
    <row r="2516" spans="1:35">
      <c r="A2516" s="10"/>
      <c r="B2516" s="10"/>
      <c r="C2516" s="10"/>
      <c r="D2516" s="10"/>
      <c r="E2516" s="10"/>
      <c r="F2516" s="10"/>
      <c r="G2516" s="10"/>
      <c r="H2516" s="10"/>
      <c r="I2516" s="10"/>
      <c r="J2516" s="30"/>
      <c r="K2516" s="30"/>
      <c r="L2516" s="30"/>
      <c r="M2516" s="30"/>
      <c r="N2516" s="30"/>
      <c r="O2516" s="30"/>
      <c r="P2516" s="30"/>
      <c r="Q2516" s="30"/>
      <c r="R2516" s="10"/>
      <c r="S2516" s="10"/>
      <c r="T2516" s="3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</row>
    <row r="2517" spans="1:35">
      <c r="A2517" s="10"/>
      <c r="B2517" s="10"/>
      <c r="C2517" s="10"/>
      <c r="D2517" s="10"/>
      <c r="E2517" s="10"/>
      <c r="F2517" s="10"/>
      <c r="G2517" s="10"/>
      <c r="H2517" s="10"/>
      <c r="I2517" s="10"/>
      <c r="J2517" s="30"/>
      <c r="K2517" s="30"/>
      <c r="L2517" s="30"/>
      <c r="M2517" s="30"/>
      <c r="N2517" s="30"/>
      <c r="O2517" s="30"/>
      <c r="P2517" s="30"/>
      <c r="Q2517" s="30"/>
      <c r="R2517" s="10"/>
      <c r="S2517" s="10"/>
      <c r="T2517" s="3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</row>
    <row r="2518" spans="1:35">
      <c r="A2518" s="10"/>
      <c r="B2518" s="10"/>
      <c r="C2518" s="10"/>
      <c r="D2518" s="10"/>
      <c r="E2518" s="10"/>
      <c r="F2518" s="10"/>
      <c r="G2518" s="10"/>
      <c r="H2518" s="10"/>
      <c r="I2518" s="10"/>
      <c r="J2518" s="30"/>
      <c r="K2518" s="30"/>
      <c r="L2518" s="30"/>
      <c r="M2518" s="30"/>
      <c r="N2518" s="30"/>
      <c r="O2518" s="30"/>
      <c r="P2518" s="30"/>
      <c r="Q2518" s="30"/>
      <c r="R2518" s="10"/>
      <c r="S2518" s="10"/>
      <c r="T2518" s="3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</row>
    <row r="2519" spans="1:35">
      <c r="A2519" s="10"/>
      <c r="B2519" s="10"/>
      <c r="C2519" s="10"/>
      <c r="D2519" s="10"/>
      <c r="E2519" s="10"/>
      <c r="F2519" s="10"/>
      <c r="G2519" s="10"/>
      <c r="H2519" s="10"/>
      <c r="I2519" s="10"/>
      <c r="J2519" s="30"/>
      <c r="K2519" s="30"/>
      <c r="L2519" s="30"/>
      <c r="M2519" s="30"/>
      <c r="N2519" s="30"/>
      <c r="O2519" s="30"/>
      <c r="P2519" s="30"/>
      <c r="Q2519" s="30"/>
      <c r="R2519" s="10"/>
      <c r="S2519" s="10"/>
      <c r="T2519" s="3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</row>
    <row r="2520" spans="1:35">
      <c r="A2520" s="10"/>
      <c r="B2520" s="10"/>
      <c r="C2520" s="10"/>
      <c r="D2520" s="10"/>
      <c r="E2520" s="10"/>
      <c r="F2520" s="10"/>
      <c r="G2520" s="10"/>
      <c r="H2520" s="10"/>
      <c r="I2520" s="10"/>
      <c r="J2520" s="30"/>
      <c r="K2520" s="30"/>
      <c r="L2520" s="30"/>
      <c r="M2520" s="30"/>
      <c r="N2520" s="30"/>
      <c r="O2520" s="30"/>
      <c r="P2520" s="30"/>
      <c r="Q2520" s="30"/>
      <c r="R2520" s="10"/>
      <c r="S2520" s="10"/>
      <c r="T2520" s="3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</row>
    <row r="2521" spans="1:35">
      <c r="A2521" s="10"/>
      <c r="B2521" s="10"/>
      <c r="C2521" s="10"/>
      <c r="D2521" s="10"/>
      <c r="E2521" s="10"/>
      <c r="F2521" s="10"/>
      <c r="G2521" s="10"/>
      <c r="H2521" s="10"/>
      <c r="I2521" s="10"/>
      <c r="J2521" s="30"/>
      <c r="K2521" s="30"/>
      <c r="L2521" s="30"/>
      <c r="M2521" s="30"/>
      <c r="N2521" s="30"/>
      <c r="O2521" s="30"/>
      <c r="P2521" s="30"/>
      <c r="Q2521" s="30"/>
      <c r="R2521" s="10"/>
      <c r="S2521" s="10"/>
      <c r="T2521" s="3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</row>
    <row r="2522" spans="1:35">
      <c r="A2522" s="10"/>
      <c r="B2522" s="10"/>
      <c r="C2522" s="10"/>
      <c r="D2522" s="10"/>
      <c r="E2522" s="10"/>
      <c r="F2522" s="10"/>
      <c r="G2522" s="10"/>
      <c r="H2522" s="10"/>
      <c r="I2522" s="10"/>
      <c r="J2522" s="30"/>
      <c r="K2522" s="30"/>
      <c r="L2522" s="30"/>
      <c r="M2522" s="30"/>
      <c r="N2522" s="30"/>
      <c r="O2522" s="30"/>
      <c r="P2522" s="30"/>
      <c r="Q2522" s="30"/>
      <c r="R2522" s="10"/>
      <c r="S2522" s="10"/>
      <c r="T2522" s="3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</row>
    <row r="2523" spans="1:35">
      <c r="A2523" s="10"/>
      <c r="B2523" s="10"/>
      <c r="C2523" s="10"/>
      <c r="D2523" s="10"/>
      <c r="E2523" s="10"/>
      <c r="F2523" s="10"/>
      <c r="G2523" s="10"/>
      <c r="H2523" s="10"/>
      <c r="I2523" s="10"/>
      <c r="J2523" s="30"/>
      <c r="K2523" s="30"/>
      <c r="L2523" s="30"/>
      <c r="M2523" s="30"/>
      <c r="N2523" s="30"/>
      <c r="O2523" s="30"/>
      <c r="P2523" s="30"/>
      <c r="Q2523" s="30"/>
      <c r="R2523" s="10"/>
      <c r="S2523" s="10"/>
      <c r="T2523" s="3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</row>
    <row r="2524" spans="1:35">
      <c r="A2524" s="10"/>
      <c r="B2524" s="10"/>
      <c r="C2524" s="10"/>
      <c r="D2524" s="10"/>
      <c r="E2524" s="10"/>
      <c r="F2524" s="10"/>
      <c r="G2524" s="10"/>
      <c r="H2524" s="10"/>
      <c r="I2524" s="10"/>
      <c r="J2524" s="30"/>
      <c r="K2524" s="30"/>
      <c r="L2524" s="30"/>
      <c r="M2524" s="30"/>
      <c r="N2524" s="30"/>
      <c r="O2524" s="30"/>
      <c r="P2524" s="30"/>
      <c r="Q2524" s="30"/>
      <c r="R2524" s="10"/>
      <c r="S2524" s="10"/>
      <c r="T2524" s="3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</row>
    <row r="2525" spans="1:35">
      <c r="A2525" s="10"/>
      <c r="B2525" s="10"/>
      <c r="C2525" s="10"/>
      <c r="D2525" s="10"/>
      <c r="E2525" s="10"/>
      <c r="F2525" s="10"/>
      <c r="G2525" s="10"/>
      <c r="H2525" s="10"/>
      <c r="I2525" s="10"/>
      <c r="J2525" s="30"/>
      <c r="K2525" s="30"/>
      <c r="L2525" s="30"/>
      <c r="M2525" s="30"/>
      <c r="N2525" s="30"/>
      <c r="O2525" s="30"/>
      <c r="P2525" s="30"/>
      <c r="Q2525" s="30"/>
      <c r="R2525" s="10"/>
      <c r="S2525" s="10"/>
      <c r="T2525" s="3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</row>
    <row r="2526" spans="1:35">
      <c r="AB2526" s="10"/>
      <c r="AC2526" s="10"/>
      <c r="AD2526" s="10"/>
      <c r="AE2526" s="10"/>
      <c r="AF2526" s="10"/>
      <c r="AG2526" s="10"/>
      <c r="AH2526" s="10"/>
      <c r="AI2526" s="10"/>
    </row>
    <row r="2527" spans="1:35">
      <c r="AB2527" s="10"/>
      <c r="AC2527" s="10"/>
      <c r="AD2527" s="10"/>
      <c r="AE2527" s="10"/>
      <c r="AF2527" s="10"/>
      <c r="AG2527" s="10"/>
      <c r="AH2527" s="10"/>
      <c r="AI2527" s="10"/>
    </row>
    <row r="2528" spans="1:35">
      <c r="AB2528" s="10"/>
      <c r="AC2528" s="10"/>
      <c r="AD2528" s="10"/>
      <c r="AE2528" s="10"/>
      <c r="AF2528" s="10"/>
      <c r="AG2528" s="10"/>
      <c r="AH2528" s="10"/>
      <c r="AI2528" s="10"/>
    </row>
    <row r="2529" spans="28:35">
      <c r="AB2529" s="10"/>
      <c r="AC2529" s="10"/>
      <c r="AD2529" s="10"/>
      <c r="AE2529" s="10"/>
      <c r="AF2529" s="10"/>
      <c r="AG2529" s="10"/>
      <c r="AH2529" s="10"/>
      <c r="AI2529" s="10"/>
    </row>
    <row r="2530" spans="28:35">
      <c r="AB2530" s="10"/>
      <c r="AC2530" s="10"/>
      <c r="AD2530" s="10"/>
      <c r="AE2530" s="10"/>
      <c r="AF2530" s="10"/>
      <c r="AG2530" s="10"/>
      <c r="AH2530" s="10"/>
      <c r="AI2530" s="10"/>
    </row>
    <row r="2531" spans="28:35">
      <c r="AB2531" s="10"/>
      <c r="AC2531" s="10"/>
      <c r="AD2531" s="10"/>
      <c r="AE2531" s="10"/>
      <c r="AF2531" s="10"/>
      <c r="AG2531" s="10"/>
      <c r="AH2531" s="10"/>
      <c r="AI2531" s="10"/>
    </row>
    <row r="2532" spans="28:35">
      <c r="AB2532" s="10"/>
      <c r="AC2532" s="10"/>
      <c r="AD2532" s="10"/>
      <c r="AE2532" s="10"/>
      <c r="AF2532" s="10"/>
      <c r="AG2532" s="10"/>
      <c r="AH2532" s="10"/>
      <c r="AI2532" s="10"/>
    </row>
    <row r="2533" spans="28:35">
      <c r="AB2533" s="10"/>
      <c r="AC2533" s="10"/>
      <c r="AD2533" s="10"/>
      <c r="AE2533" s="10"/>
      <c r="AF2533" s="10"/>
      <c r="AG2533" s="10"/>
      <c r="AH2533" s="10"/>
      <c r="AI2533" s="10"/>
    </row>
    <row r="2534" spans="28:35">
      <c r="AB2534" s="10"/>
      <c r="AC2534" s="10"/>
      <c r="AD2534" s="10"/>
      <c r="AE2534" s="10"/>
      <c r="AF2534" s="10"/>
      <c r="AG2534" s="10"/>
      <c r="AH2534" s="10"/>
      <c r="AI2534" s="10"/>
    </row>
    <row r="2535" spans="28:35">
      <c r="AB2535" s="10"/>
      <c r="AC2535" s="10"/>
      <c r="AD2535" s="10"/>
      <c r="AE2535" s="10"/>
      <c r="AF2535" s="10"/>
      <c r="AG2535" s="10"/>
      <c r="AH2535" s="10"/>
      <c r="AI2535" s="10"/>
    </row>
    <row r="2536" spans="28:35">
      <c r="AB2536" s="10"/>
      <c r="AC2536" s="10"/>
      <c r="AD2536" s="10"/>
      <c r="AE2536" s="10"/>
      <c r="AF2536" s="10"/>
      <c r="AG2536" s="10"/>
      <c r="AH2536" s="10"/>
      <c r="AI2536" s="10"/>
    </row>
    <row r="2537" spans="28:35">
      <c r="AB2537" s="10"/>
      <c r="AC2537" s="10"/>
      <c r="AD2537" s="10"/>
      <c r="AE2537" s="10"/>
      <c r="AF2537" s="10"/>
      <c r="AG2537" s="10"/>
      <c r="AH2537" s="10"/>
      <c r="AI2537" s="10"/>
    </row>
    <row r="2538" spans="28:35">
      <c r="AB2538" s="10"/>
      <c r="AC2538" s="10"/>
      <c r="AD2538" s="10"/>
      <c r="AE2538" s="10"/>
      <c r="AF2538" s="10"/>
      <c r="AG2538" s="10"/>
      <c r="AH2538" s="10"/>
      <c r="AI2538" s="10"/>
    </row>
    <row r="2539" spans="28:35">
      <c r="AB2539" s="10"/>
      <c r="AC2539" s="10"/>
      <c r="AD2539" s="10"/>
      <c r="AE2539" s="10"/>
      <c r="AF2539" s="10"/>
      <c r="AG2539" s="10"/>
      <c r="AH2539" s="10"/>
      <c r="AI2539" s="10"/>
    </row>
    <row r="2540" spans="28:35">
      <c r="AB2540" s="10"/>
      <c r="AC2540" s="10"/>
      <c r="AD2540" s="10"/>
      <c r="AE2540" s="10"/>
      <c r="AF2540" s="10"/>
      <c r="AG2540" s="10"/>
      <c r="AH2540" s="10"/>
      <c r="AI2540" s="10"/>
    </row>
    <row r="2541" spans="28:35">
      <c r="AB2541" s="10"/>
      <c r="AC2541" s="10"/>
      <c r="AD2541" s="10"/>
      <c r="AE2541" s="10"/>
      <c r="AF2541" s="10"/>
      <c r="AG2541" s="10"/>
      <c r="AH2541" s="10"/>
      <c r="AI2541" s="10"/>
    </row>
    <row r="2542" spans="28:35">
      <c r="AB2542" s="10"/>
      <c r="AC2542" s="10"/>
      <c r="AD2542" s="10"/>
      <c r="AE2542" s="10"/>
      <c r="AF2542" s="10"/>
      <c r="AG2542" s="10"/>
      <c r="AH2542" s="10"/>
      <c r="AI2542" s="10"/>
    </row>
    <row r="2543" spans="28:35">
      <c r="AB2543" s="10"/>
      <c r="AC2543" s="10"/>
      <c r="AD2543" s="10"/>
      <c r="AE2543" s="10"/>
      <c r="AF2543" s="10"/>
      <c r="AG2543" s="10"/>
      <c r="AH2543" s="10"/>
      <c r="AI2543" s="10"/>
    </row>
    <row r="2544" spans="28:35">
      <c r="AB2544" s="10"/>
      <c r="AC2544" s="10"/>
      <c r="AD2544" s="10"/>
      <c r="AE2544" s="10"/>
      <c r="AF2544" s="10"/>
      <c r="AG2544" s="10"/>
      <c r="AH2544" s="10"/>
      <c r="AI2544" s="10"/>
    </row>
    <row r="2545" spans="28:35">
      <c r="AB2545" s="10"/>
      <c r="AC2545" s="10"/>
      <c r="AD2545" s="10"/>
      <c r="AE2545" s="10"/>
      <c r="AF2545" s="10"/>
      <c r="AG2545" s="10"/>
      <c r="AH2545" s="10"/>
      <c r="AI2545" s="10"/>
    </row>
    <row r="2546" spans="28:35">
      <c r="AB2546" s="10"/>
      <c r="AC2546" s="10"/>
      <c r="AD2546" s="10"/>
      <c r="AE2546" s="10"/>
      <c r="AF2546" s="10"/>
      <c r="AG2546" s="10"/>
      <c r="AH2546" s="10"/>
      <c r="AI2546" s="10"/>
    </row>
    <row r="2547" spans="28:35">
      <c r="AB2547" s="10"/>
      <c r="AC2547" s="10"/>
      <c r="AD2547" s="10"/>
      <c r="AE2547" s="10"/>
      <c r="AF2547" s="10"/>
      <c r="AG2547" s="10"/>
      <c r="AH2547" s="10"/>
      <c r="AI2547" s="10"/>
    </row>
    <row r="2548" spans="28:35">
      <c r="AB2548" s="10"/>
      <c r="AC2548" s="10"/>
      <c r="AD2548" s="10"/>
      <c r="AE2548" s="10"/>
      <c r="AF2548" s="10"/>
      <c r="AG2548" s="10"/>
      <c r="AH2548" s="10"/>
      <c r="AI2548" s="10"/>
    </row>
    <row r="2549" spans="28:35">
      <c r="AB2549" s="10"/>
      <c r="AC2549" s="10"/>
      <c r="AD2549" s="10"/>
      <c r="AE2549" s="10"/>
      <c r="AF2549" s="10"/>
      <c r="AG2549" s="10"/>
      <c r="AH2549" s="10"/>
      <c r="AI2549" s="10"/>
    </row>
    <row r="2550" spans="28:35">
      <c r="AB2550" s="10"/>
      <c r="AC2550" s="10"/>
      <c r="AD2550" s="10"/>
      <c r="AE2550" s="10"/>
      <c r="AF2550" s="10"/>
      <c r="AG2550" s="10"/>
      <c r="AH2550" s="10"/>
      <c r="AI2550" s="10"/>
    </row>
    <row r="2551" spans="28:35">
      <c r="AB2551" s="10"/>
      <c r="AC2551" s="10"/>
      <c r="AD2551" s="10"/>
      <c r="AE2551" s="10"/>
      <c r="AF2551" s="10"/>
      <c r="AG2551" s="10"/>
      <c r="AH2551" s="10"/>
      <c r="AI2551" s="10"/>
    </row>
    <row r="2552" spans="28:35">
      <c r="AB2552" s="10"/>
      <c r="AC2552" s="10"/>
      <c r="AD2552" s="10"/>
      <c r="AE2552" s="10"/>
      <c r="AF2552" s="10"/>
      <c r="AG2552" s="10"/>
      <c r="AH2552" s="10"/>
      <c r="AI2552" s="10"/>
    </row>
    <row r="2553" spans="28:35">
      <c r="AB2553" s="10"/>
      <c r="AC2553" s="10"/>
      <c r="AD2553" s="10"/>
      <c r="AE2553" s="10"/>
      <c r="AF2553" s="10"/>
      <c r="AG2553" s="10"/>
      <c r="AH2553" s="10"/>
      <c r="AI2553" s="10"/>
    </row>
    <row r="2554" spans="28:35">
      <c r="AB2554" s="10"/>
      <c r="AC2554" s="10"/>
      <c r="AD2554" s="10"/>
      <c r="AE2554" s="10"/>
      <c r="AF2554" s="10"/>
      <c r="AG2554" s="10"/>
      <c r="AH2554" s="10"/>
      <c r="AI2554" s="10"/>
    </row>
    <row r="2555" spans="28:35">
      <c r="AB2555" s="10"/>
      <c r="AC2555" s="10"/>
      <c r="AD2555" s="10"/>
      <c r="AE2555" s="10"/>
      <c r="AF2555" s="10"/>
      <c r="AG2555" s="10"/>
      <c r="AH2555" s="10"/>
      <c r="AI2555" s="10"/>
    </row>
    <row r="2556" spans="28:35">
      <c r="AB2556" s="10"/>
      <c r="AC2556" s="10"/>
      <c r="AD2556" s="10"/>
      <c r="AE2556" s="10"/>
      <c r="AF2556" s="10"/>
      <c r="AG2556" s="10"/>
      <c r="AH2556" s="10"/>
      <c r="AI2556" s="10"/>
    </row>
    <row r="2557" spans="28:35">
      <c r="AB2557" s="10"/>
      <c r="AC2557" s="10"/>
      <c r="AD2557" s="10"/>
      <c r="AE2557" s="10"/>
      <c r="AF2557" s="10"/>
      <c r="AG2557" s="10"/>
      <c r="AH2557" s="10"/>
      <c r="AI2557" s="10"/>
    </row>
    <row r="2558" spans="28:35"/>
    <row r="2559" spans="28:35"/>
    <row r="2560" spans="28:35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</sheetData>
  <autoFilter ref="C9:V2487" xr:uid="{E027EEC3-D92F-D649-A270-073A2601143F}"/>
  <phoneticPr fontId="7" type="noConversion"/>
  <conditionalFormatting sqref="P12:P38">
    <cfRule type="cellIs" dxfId="32" priority="3" operator="greaterThan">
      <formula>0</formula>
    </cfRule>
    <cfRule type="cellIs" dxfId="31" priority="4" operator="lessThan">
      <formula>0</formula>
    </cfRule>
  </conditionalFormatting>
  <conditionalFormatting sqref="P40:P41 P43:P52 P54:P59 P61:P64 P67:P72 P74:P78 P80:P84 P86:P91 P93:P101 P104:P133 P135:P141 P143:P144 P146:P152 P154 P157:P214 P216:P280 P282:P288 P290:P299 P301:P322 P324:P388 P390:P406 P408:P424 P426:P427 P429:P437 P439:P444 P446:P447 P449 P452:P454 P456:P463 P465:P480 P482:P491 P493:P498 P500:P510 P512:P528 P530:P531 P533 P536:P544 P546:P555 P557:P560 P562:P574 P576:P582 P584:P593 P595:P604 P606:P623 P625:P629 P631:P641 P643:P650 P652:P659 P661:P691 P693:P700 P702:P703 P705:P711 P713:P714 P717:P720 P722:P728 P731:P735 P737:P740 P742:P745 P747:P758 P760:P762 P764:P765 P768:P775 P777:P780 P782:P783 P785:P788 P790:P826 P828:P829 P832:P861 P863:P866 P868:P890 P892:P907 P909:P911 P913:P916 P918:P955 P957:P968 P970:P971 P974:P981 P983:P989 P991:P994 P996:P997 P999:P1000 P1002:P1003 P1006:P1009 P1011:P1032 P1034:P1036 P1038:P1053 P1055:P1056 P1059:P1062 P1064:P1067 P1069:P1072 P1074:P1081 P1083:P1098 P1100:P1101 P1103:P1104 P1106:P1113 P1115:P1116 P1119:P1126 P1128:P1142 P1144:P1147 P1149:P1160 P1162:P1163 P1165:P1166 P1169:P1188 P1190:P1191 P1193:P1194 P1196:P1198 P1201:P1208 P1210:P1233 P1235:P1266 P1268:P1279 P1281:P1283 P1285:P1288 P1290:P1291 P1294:P1302 P1304:P1322 P1324:P1340 P1342:P1346 P1348:P1353 P1355:P1356 P1358:P1361 P1363:P1404 P1406:P1407 P1409:P1425 P1427:P1525 P1527:P1528 P1531:P1542 P1544:P1554 P1556:P1559 P1561:P1562 P1564:P1565 P1568:P1575 P1578:P1610 P1612:P1616 P1618:P1640 P1642:P1650 P1652:P1653 P1655:P1671 P1673:P1744 P1746:P1755 P1757:P1779 P1781:P1786 P1788:P1789 P1791:P1792 P1795:P1797 P1800:P1807 P1809:P1812 P1814:P1826 P1828:P1831 P1833:P1960 P1962:P1963 P1966:P1967 P1969:P1970 P1973:P1979 P1981:P1982 P1984:P1987 P1990:P2020 P2022:P2061 P2063:P2097 P2099:P2100 P2102:P2113 P2115 P2118:P2119 P2122:P2134 P2136:P2141 P2143:P2146 P2148:P2151 P2153:P2158 P2160:P2164 P2166:P2193 P2195:P2196 P2199:P2204 P2206:P2212 P2214:P2215 P2217:P2219 P2221:P2222 P2224:P2225 P2227:P2228 P2231:P2247 P2249:P2253 P2255:P2256 P2258:P2262 P2264:P2265 P2267 P2269:P2279 P2282:P2283 P2286:P2287 P2290:P2293 P2295:P2297 P2299:P2302 P2305:P2312 P2314:P2315 P2317:P2318 P2320:P2414 P2416:P2417 P2419:P2420 P2423:P2428 P2430:P2434 P2436:P2438 P2440:P2445 P2447:P2448 P2450:P2455 P2457:P2460 P2462:P2463 P2465:P2466 P2469:P2473 P2475:P2476 P2478:P2481">
    <cfRule type="cellIs" dxfId="30" priority="5" operator="greaterThan">
      <formula>0</formula>
    </cfRule>
    <cfRule type="cellIs" dxfId="29" priority="6" operator="lessThan">
      <formula>0</formula>
    </cfRule>
  </conditionalFormatting>
  <conditionalFormatting sqref="P2483:P2487">
    <cfRule type="cellIs" dxfId="28" priority="1" operator="greaterThan">
      <formula>0</formula>
    </cfRule>
    <cfRule type="cellIs" dxfId="27" priority="2" operator="less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Q22 M9 M12:M14 M2478 M2475 M2465 M2462 M2457 M2450 M2447 M2440 M2436:M2438 M2430 M2419 M2416 M2320:M2321 M2317 M2471 M2423:M2428 M2299 M2295:M2297 M2290:M2292 M2286 M2282 M2269:M2279 M2264:M2265 M2258:M2262 M2255:M2256 M2249 M2231:M2247 M2227 M2224:M2225 M2221:M2222 M2217:M2219 M2214:M2215 M2206:M2212 M2199:M2204 M2195 M2166:M2193 M2160:M2164 M2153:M2158 M2148:M2150 M2143:M2145 M2136:M2141 M2122:M2133 M2118 M2102 M2099 M2063 M2022 M1990 M1984 M1981 M1973:M1979 M1969 M1966 M1828 M1814 M1800:M1804 M1795 M1791 M1788 M1781 M1757:M1758 M1746 M1673 M1655 M1652 M1642:M1643 M1618 M1612 M1578 M1568:M1572 M1564 M1561 M1556:M1558 M1544 M1531:M1532 M1427 M1409:M1421 M1406 M1363 M1358 M1355 M1348 M1342:M1343 M1324 M1304 M1294:M1298 M1290 M1285 M1281 M1268:M1270 M1235 M1210 M1201 M1196:M1197 M1193 M1190 M1169 M1165 M1162 M1149:M1159 M1144:M1147 M1128:M1132 M1119:M1121 M1115 M1106 M1103 M1100 M1083:M1085 M1074:M1079 M1069:M1072 M1064:M1067 M1059:M1062 M1055 M1038 M1034:M1035 M1011:M1012 M1006 M1002 M999 M996 M991 M983:M988 M974:M981 M970 M957 M918 M913 M909 M892:M893 M868 M863 M832:M834 M828 M790:M791 M785 M782 M777 M768:M769 M764 M760:M761 M747:M749 M742:M745 M737:M740 M731:M735 M722 M717:M718 M713 M705:M707 M702 M693 M661 M652 M643 M631 M625:M628 M606:M623 M595:M604 M584:M588 M576:M577 M562:M567 M557:M559 M546:M547 M536:M544 M530 M512 M493 M482 M465:M466 M452 M446 M439 M429 M426 M408:M411 M301:M302 M290 M282:M283 M216 M157 M146 M143 M135:M137 M104 M93:M94 M86:M87 M80:M83 M74:M78 M67 M61:M64 M43:M44 M2305:M2307 M2314 M1962 M1809 M390 M324:M326 M1527 M54:M55 M40:M41 J39:Q39 J42:Q42 J40:J41 N40:Q41 J60:Q60 J54:J59 N54:Q59 J1529:Q1530 J1527:J1528 N1527:Q1528 J389:Q389 J324:J388 N324:Q341 J407:Q407 J390:J405 N390:Q405 J1813:Q1813 J1809:J1811 N1809:Q1811 J1964:Q1965 J1962:J1963 N1962:Q1963 J2316:P2316 J2314:J2315 N2314:P2314 J2313:P2313 J2305:J2312 N2305:Q2312 J53:Q53 J43:J52 N43:Q52 J65:Q66 J61:J64 N61:Q64 J73:Q73 J67:J72 N67:Q72 J79:Q79 J74:J78 N74:Q78 J85:Q85 J80:J84 N80:Q84 J92:Q92 J86:J91 N86:Q91 J102:Q103 J93:J101 N93:Q93 J134:Q134 J104:J133 N104:Q133 J142:Q142 J135:J141 N135:Q141 J145:Q145 J143:J144 N143:Q144 J153:Q153 J146:J152 N146:P146 J155:Q156 J154 N154:Q154 J215:Q215 J157:J214 N157:Q168 J281:Q281 J216:J280 N216:Q222 J289:Q289 J282:J288 N282:Q283 J300:Q300 J290:J299 N290:Q299 J323:Q323 J301:J322 N301:Q303 J425:Q425 J408:J424 N408:Q424 J428:Q428 J426:J427 N426:Q427 J438:Q438 J429:J437 N429:Q437 J445:Q445 J439:J444 N439:Q444 J448:Q448 J446:J447 N446:Q447 J450:Q451 J449 O449:Q449 J455:Q455 J452:J454 N452:Q453 J464:Q464 J456:J463 N456:Q463 J481:Q481 J465:J480 N465:Q480 J492:Q492 J482:J491 N482:Q491 J499:Q499 J493:J498 N493:Q498 J511:Q511 J500:J510 N500:Q500 J529:Q529 J512:J528 N512:Q518 J532:Q532 J530:J531 N530:Q531 J534:Q535 J533 N533:Q533 J545:Q545 J536:J544 N536:Q538 J556:Q556 J546:J554 N546:Q553 J561:Q561 J557:J560 N557:Q560 J575:Q575 J562:J574 N562:Q574 J583:Q583 J576:J581 N576:Q581 J594:Q594 J584:J593 N584:Q588 J605:Q605 J595:J604 N595:Q604 J624:Q624 J606:J623 N606:Q623 J630:Q630 J625:J629 N625:Q629 J642:Q642 J631:J641 N631:Q631 J651:Q651 J643:J650 N643:Q644 J660:Q660 J652:J659 N652:Q652 J692:Q692 J661:J690 N661:Q661 J701:Q701 J693:J700 N693:Q694 J704:Q704 J702:J703 N702:Q703 J712:Q712 J705:J711 N705:Q711 J715:Q716 J713:J714 N713:Q713 J721:Q721 J717:J720 N717:Q718 J729:Q730 J722:J728 N722:P722 J736:Q736 J731:J735 N731:Q735 J741:Q741 J737:J740 N737:Q740 J746:Q746 J742:J745 N742:Q745 J759:L759 J747:J758 N747:Q751 J763:Q763 J760:J762 N760:Q762 J766:Q767 J764:J765 N764:P764 J776:Q776 J768:J775 N768:Q775 J781:Q781 J777:J780 N777:Q780 J784:Q784 J782:J783 N782:P782 J789:Q789 J785:J788 N785:Q785 J827:Q827 J790:J826 N790:Q790 J830:Q831 J828:J829 N828:Q828 J862:Q862 J832:J861 N832:Q851 J867:Q867 J863:J866 N863:Q863 J891:Q891 J868:J890 N868:Q868 J908:Q908 J892:J907 N892:Q905 J912:P912 J909:J911 N909:Q909 J917:Q917 J913:J916 N913:Q914 J956:Q956 J918:J955 N918:Q918 J969:Q969 J957:J968 N957:Q957 J972:Q973 J970:J971 N970:P970 J982:Q982 J974:J981 N974:Q981 J990:Q990 J983:J989 N983:Q989 J995:Q995 J991:J994 N991:Q992 J998:Q998 J996:J997 N996:P996 J1001:Q1001 J999:J1000 N999:P999 J1004:Q1005 J1002:J1003 N1002:Q1003 J1010:Q1010 J1006:J1009 N1006:Q1009 J1033:Q1033 J1011:J1031 N1011:Q1011 J1037:Q1037 J1034:J1036 N1034:Q1035 J1054:Q1054 J1038:J1053 N1038:Q1038 J1057:Q1058 J1055:J1056 N1055:Q1056 J1063:Q1063 J1059:J1062 N1059:Q1062 J1068:Q1068 J1064:J1067 N1064:Q1067 J1073:Q1073 J1069:J1072 N1069:Q1072 J1082:Q1082 J1074:J1081 N1074:Q1081 J1099:Q1099 J1083:J1098 N1083:Q1098 J1102:Q1102 J1100:J1101 N1100:Q1101 J1105:Q1105 J1103:J1104 N1103:Q1104 J1114:Q1114 J1106:J1113 N1106:Q1113 J1117:Q1118 J1115:J1116 N1115:Q1116 J1127:Q1127 J1119:J1126 N1119:Q1126 J1143:Q1143 J1128:J1142 N1128:Q1142 J1148:Q1148 J1144:J1147 N1144:Q1147 J1161:Q1161 J1149:J1160 N1149:Q1160 J1164:Q1164 J1162:J1163 N1162:Q1163 J1167:Q1168 J1165:J1166 N1165:Q1166 J1189:Q1189 J1169:J1188 N1169:Q1183 J1192:Q1192 J1190:J1191 N1190:P1190 J1195:Q1195 J1193:J1194 N1193:Q1194 J1199:Q1200 J1196:J1198 N1196:Q1198 J1209:Q1209 J1201:J1208 N1201:Q1201 J1234:Q1234 J1210:J1233 N1210:Q1210 J1267:Q1267 J1235:J1266 N1235:Q1266 J1280:Q1280 J1268:J1279 N1268:Q1279 J1284:Q1284 J1281:J1283 N1281:Q1282 J1289:Q1289 J1285:J1288 N1285:Q1288 J1292:Q1293 J1290:J1291 N1290:Q1291 J1303:Q1303 J1294:J1301 N1294:Q1300 J1323:Q1323 J1304:J1321 N1304:Q1321 J1341:Q1341 J1324:J1339 N1324:Q1339 J1347:Q1347 J1342:J1346 N1342:Q1346 J1354:Q1354 J1348:J1352 N1348:Q1352 J1357:Q1357 J1355:J1356 N1355:Q1356 J1362:Q1362 J1358:J1361 N1358:Q1358 J1405:Q1405 J1363:J1400 N1363:Q1363 J1408:Q1408 J1406:J1407 N1406:Q1407 J1426:Q1426 J1409:J1424 N1409:Q1419 J1526:Q1526 J1427:J1522 N1427:Q1505 J1543:Q1543 J1531:J1542 N1531:Q1542 J1555:Q1555 J1544:J1554 N1544:Q1544 J1560:Q1560 J1556:J1559 N1556:Q1559 J1563:Q1563 J1561:J1562 N1561:Q1562 J1566:Q1567 J1564:J1565 N1564:P1564 J1576:Q1577 J1568:J1575 N1568:Q1572 J1611:Q1611 J1578:J1610 N1578:Q1610 J1617:Q1617 J1612:J1616 N1612:Q1613 J1641:Q1641 J1618:J1640 N1618:Q1622 J1651:Q1651 J1642:J1650 N1642:Q1645 J1654:Q1654 J1652:J1653 N1652:Q1653 J1672:Q1672 J1655:J1671 N1655:Q1663 J1745:Q1745 J1673:J1744 N1673:Q1673 J1756:Q1756 J1746:J1755 N1746:Q1747 J1780:Q1780 J1757:J1778 N1757:Q1767 J1787:Q1787 J1781:J1786 N1781:Q1781 J1790:Q1790 J1788:J1789 N1788:Q1789 J1793:Q1794 J1791:J1792 N1791:P1791 J1798:Q1799 J1795:J1797 N1795:Q1795 J1808:Q1808 J1800:J1807 N1800:Q1807 J1827:Q1827 J1814:J1825 N1814:Q1814 J1832:Q1832 J1828:J1831 N1828:P1831 J1961:Q1961 J1833:J1958 N1833:Q1958 J1968:Q1968 J1966:J1967 N1966:Q1966 J1971:Q1972 J1969:J1970 N1969:Q1969 J1980:Q1980 J1973:J1979 N1973:Q1979 J1983:Q1983 J1981:J1982 N1981:Q1982 J1988:Q1989 J1984:J1987 N1984:Q1987 J2021:Q2021 J1990:J2019 N1990:Q1995 J2062:Q2062 J2022:J2061 N2022:Q2037 J2098:Q2098 J2063:J2097 N2063:Q2063 J2101:Q2101 J2099:J2100 N2099:Q2100 J2114:Q2114 J2102:J2113 N2102:Q2110 J2116:Q2117 J2115 N2115:Q2115 J2120:Q2121 J2118:J2119 N2118:Q2118 J2135:Q2135 J2122:J2133 N2122:Q2133 J2142:Q2142 J2136:J2141 N2136:Q2141 J2147:Q2147 J2143:J2146 N2143:Q2145 J2152:Q2152 J2148:J2151 N2148:Q2150 J2159:Q2159 J2153:J2158 N2153:Q2158 J2165:Q2165 J2160:J2164 N2160:Q2164 J2194:Q2194 J2166:J2193 N2166:Q2193 J2197:Q2198 J2195:J2196 N2195:P2195 J2205:Q2205 J2199:J2204 N2199:Q2204 J2213:Q2213 J2206:J2212 N2206:Q2212 J2216:Q2216 J2214:J2215 N2214:Q2215 J2220:Q2220 J2217:J2219 N2217:Q2219 J2223:Q2223 J2221:J2222 N2221:Q2222 J2226:Q2226 J2224:J2225 N2224:Q2225 J2229:Q2230 J2227:J2228 N2227:Q2227 J2248:Q2248 J2231:J2247 N2231:Q2247 J2254:Q2254 J2249:J2253 N2249:Q2253 J2257:Q2257 J2255:J2256 N2255:Q2256 J2263:Q2263 J2258:J2262 N2258:Q2262 J2268:Q2268 J2264:J2265 N2264:Q2265 J2280:Q2281 J2269:J2279 N2269:Q2279 J2284:Q2285 J2282:J2283 N2282:Q2283 J2288:Q2289 J2286:J2287 N2286:Q2287 J2294:Q2294 J2290:J2293 N2290:Q2293 J2298:Q2298 J2295:J2297 N2295:Q2297 J2303:Q2304 J2299:J2302 N2299:Q2299 J2429:Q2429 J2423:J2428 N2423:Q2428 J2474:Q2474 J2469:J2472 N2470:Q2472 J2319:P2319 J2317:J2318 N2317:P2317 J2415:Q2415 J2320:J2414 N2320:P2321 J2418:Q2418 J2416:J2417 N2416:Q2417 J2421:Q2422 J2419:J2420 N2419:P2419 J2435:Q2435 J2430:J2434 N2430:Q2434 J2439:Q2439 J2436:J2438 N2436:Q2437 J2446:Q2446 J2440:J2445 N2440:Q2445 J2449:Q2449 J2447:J2448 N2447:P2447 J2456:Q2456 J2450:J2455 N2450:Q2453 J2461:Q2461 J2457:J2460 N2457:Q2460 J2464:Q2464 J2462:J2463 N2462:Q2463 J2468:Q2468 J2465:J2466 N2465:Q2466 J2477:Q2477 J2475:J2476 N2475:Q2476 J2478:J2481 N2478:Q2481 M46:M52 M16:M26 M28:M38 M497 M639 M656 M665 M1135 M1615 M1626 M1629 M1750 M1762 M1993 M2005 M2043:M2044 M434 M436 M500 N635:Q635 N632:P632 N633:P633 N634:P634 M635 M633 N639:Q641 N636:P636 N637:P637 N638:P638 M637 N656:P656 N653:P653 N654:P654 N655:P655 M654 N659:P659 N657:P657 N658:P658 M658 M645 N665:Q674 N662:P662 N663:P663 N664:P664 M663:M664 N755:P755 N752:P752 N753:P753 N754:P754 N758:P758 N756:P756 N757:P757 N759:Q759 M755 M759 M753:M754 M756:M757 N866:P866 N864:P864 N865:P865 N870:Q880 N869:P869 M936 M865 M872:M880 M870 N1283:P1283 N1624:Q1635 N1623:P1623 M1737 M1999 M2453 N2469:P2469 M509 M1360 N1360:Q1361 N1359:P1359 N1637:Q1640 N1636:P1636 M1675 N1825:P1825 M2028 M1582 M1590 M1592 M1597 M1609 M2040 M2058 M2071:M2074 M1772 M173:M174 M193 M273:M276 M253 M258 M233 M263 M228 N189:Q194 N188:P188 M243:M246 N938:P938 N935:P935 N936:P936 M920 M1045 N1048:Q1048 N1044:P1044 M1320 M1468:M1501 M1507 N1507:Q1507 N1506:P1506 M1546 M1423 M1345 M1574:M1575 M1600:M1602 M1693 N1696:P1701 N1694:P1694 N1695:P1695 M1695 M1697 M1699 M1703 M1707 M1713 M1715:M1717 M1725 M472 M503 M1677 M1679:M1683 N1997:Q2018 N1996:P1996 M2002 N920:P920 N919:P919 N922:P922 N921:P921 N924:P924 N923:P923 N926:P926 N925:P925 N928:P928 N927:P927 N930:P930 N929:P929 N932:P932 N931:P931 N934:P934 N933:P933 N937:P937 N940:P940 N939:P939 N942:P942 N941:P941 N944:P944 N943:P943 N946:P946 N945:P945 N948:P948 N947:P947 N950:P950 N949:P949 N952:P952 N951:P951 N955:Q955 N953:P953 N954:P954 M922 M924 M930 M934 M942 M946 M948 M952 N793:P793 N792:P792 N795:P795 N794:P794 N797:P797 N796:P796 N799:P799 N798:P798 N801:P801 N800:P800 N803:P803 N802:P802 N805:P805 N804:P804 N807:P807 N806:P806 N809:P809 N808:P808 N811:P811 N810:P810 N813:P813 N812:P812 N815:P815 N814:P814 N817:P817 N816:P816 N819:P819 N818:P818 N821:P821 N820:P820 N823:P823 N822:P822 N825:P825 N824:P824 N826:P826 M793 M795 M801 M807 M821 M825 N503:P503 N501:P501 N502:P502 M1636 M1638 M1025 N1028:Q1028 N1027:P1027 N1030:Q1031 N1029:P1029 M1022:M1023 N1022:Q1026 N1021:P1021 M1520 N510:Q510 N504:P504 N505:P505 N506:P506 N507:P507 N508:P508 N509:P509 M505 M1503 M1817 N170:Q187 N169:P169 N196:Q214 N195:P195 N224:Q235 N223:P223 N309:Q311 N308:P308 N322:Q322 N321:P321 N346:Q347 N343:P343 N344:P344 M517:M518 M1538 N2043:Q2061 N2042:P2042 M346:M347 M56:M59 N342:P342 N345:P345 N521:Q521 N519:P519 N520:P520 M520 N541:Q544 N539:P539 N540:P540 N554:P554 N2119:P2119 M928 M938 M797 M809 M811 M813 N791:P791 N1041:P1041 N1039:P1039 N1043:P1043 N1040:P1040 N1036:P1036 M1050 N1053:Q1053 N1049:P1049 N1050:P1050 N1051:P1051 N1052:P1052 N1042:P1042 N1045:P1045 N1046:P1046 M1051:M1053 N1047:P1047 N1685:P1685 N1684:P1684 N1687:P1687 N1686:P1686 N1690:P1693 N1688:P1688 N1704:P1717 N1702:P1702 N1721:P1736 N1718:P1718 N1741:Q1744 N1738:P1738 N1739:P1739 N1740:P1740 N1737:P1737 N1689:P1689 N1703:P1703 N1719:P1719 M1685 M1687 M1689:M1691 M1719 N1678:P1683 N1675:Q1675 N1674:P1674 N1797:P1797 N1796:P1796 M2068 M2084:M2090 N1755:P1755 M1019 M1222:M1223 N1221:Q1233 N1220:P1220 M590:M591 N590:Q593 N589:P589 M110:M111 M230 M944 M1142 M1505 M1522 M1742 O1677:P1677 O1676:P1676 O1720:P1720 M1723 M1721 M1727 M1735 M954:M955 M817 N720:P720 N719:P719 M725 M727 M2092:M2094 M183 M203 M255 M260 M459 M926 M1709:M1711 M421:M423 M1548 M1631:M1634 M1015 M1550 M1552 M2014 M2017 M2011 M2036 M1996 M116:M117 M164 M478 M940 M1705 M815 M823 M799 N765:P765 M932 M950 M1662 N783:P783 N787:P788 N786:P786 N911:P911 N910:P910 N916:Q916 N915:P915 N1000:P1000 M1512:M1516 M1701 M1729 M1733 M1509:M1510 M404 M402 M400 M398 M396 M394 M392 N907:P907 N906:P906 M1351 N1549:Q1554 N1545:P1545 N1546:P1546 N1547:P1547 N1548:P1548 N1424:P1424 N1423:P1423 N1422:P1422 N1420:P1421 N1824:Q1824 N1816:P1816 N1817:P1817 M1820 M1830 N1818:P1818 N1819:P1819 M1823 N1815:P1815 N1820:P1821 N1019:Q1020 N1018:P1018 M1017 N1191:P1191 M579:M580 N647:Q650 N645:P645 M647:M650 N2073:Q2097 N2066:P2066 N2067:P2067 N2068:P2068 N2064:P2065 M159:M160 M166:M167 M218 M220:M221 M295 M549:M550 M552:M554 M569:M572 M681 M683:M684 M1008 M1225:M1227 M1229:M1231 M1233 M1261 M1317:M1318 M1391 M1542 M1665 N1749:Q1754 N1748:P1748 M1753:M1754 M1774 N1822:P1823 M2008 M2048 M2032 M149:M150 M485 M415:M419 M413 M667 N853:Q861 N852:P852 N882:Q890 N881:P881 M854 M1173:M1174 M961:M963 M897:M898 M883:M887 N1203:Q1203 N1202:P1202 N1212:Q1219 N1211:P1211 M1205 M1249 M1245 M1241 M1239 M1218 M1214 N1365:Q1367 N1364:P1364 N1370:Q1375 N1368:P1368 M1365 M1369 M1767 M1777:M1778 N696:Q700 N695:P695 M488 M490 N1970:P1970 M751 M772:M774 M673 M679 M677 M697:M700 N525:Q528 N522:P522 N523:P523 M525 N524:P524 M441 M384:M385 M378:M379 M373:M374 M367:M368 M362:M363 M357:M358 M355 M351:M352 M340:M341 M335:M336 M330:M331 M312:M313 M286 M279 M270 M265 M248:M250 M235 M122:M123 M128:M129 N646:P646 N676:Q690 N675:P675 N728:P728 N723:P723 N724:P724 N725:P725 N726:P726 N727:P727 M1385 M1377 N1377:Q1400 N1376:P1376 N1017:Q1017 N1015:P1015 N1016:P1016 N1014:P1014 N1012:P1012 N1013:P1013 M1108 M1110:M1113 N306:Q306 N304:P304 N305:P305 N307:P307 N316:Q320 N312:P312 N313:P313 N314:P315 N1565:P1565 N2069:P2069 N2070:P2070 M2076:M2080 N2071:P2072 N2455:P2455 N2454:P2454 M1396:M1398 M210 M686:M690 M1081 M1177:M1178 M1181 M1287 M1429:M1466 M2053 M1535:M1536 N238:Q280 N236:P236 N237:P237 M462 M469 M475 M507 M514:M515 M805 N994:P994 N993:P993 N1369:P1369 N1510:Q1522 N1508:P1508 N1509:P1509 N1574:Q1575 N1573:P1573 N1784:Q1786 N1782:P1782 N1783:P1783 M1783:M1785 M1769 N1792:P1792 N1666:Q1671 N1664:P1664 N1665:P1665 M2024 M2060 M2096 M675 M890 M1123:M1126 M1299:M1301 M1383 M1389 M1647 M69 M839:M841 M856 M993 M1255 M1259 M1276:M1277 M1279 M1315 N1205:Q1208 N1204:P1204 M1327 M1336 M1367 M1393:M1394 M1400 M1540 M1622 N1616:P1616 N1615:P1615 N1614:P1614 M1764 N959:Q968 N958:P958 M959 N2040:Q2041 N2038:P2038 N2039:P2039 M2111 N1967:P1967 N2315:P2315 N2318:P2318 N2326:Q2414 N2322:P2322 N2228:P2228 M2105 M2108 N2323:P2325 M2323 M905:M906 N149:P150 N148:P148 N99:Q101 N96:P96 N97:P97 N147:P147 N152:P152 N151:P151 N1772:P1772 N1770:P1770 N1771:P1771 N1778:Q1778 N1773:P1773 N1647:Q1650 N1646:P1646 M1650 N2448:P2448 M2055 M98:M101 M669:M671 M843:M851 M858:M861 M965 M1087:M1097 M1333 M803 M819 N829:P829 N971:P971 N997:P997 M836:M837 M895 M1374:M1375 N1768:P1769 N1774:P1777 N94:P95 N98:P98 N286:Q288 N284:P284 N285:P285 N349:Q388 N348:P348 M443 N454:P454 N714:P714 M967 M901:M903 M1138:M1139 M1185 N1186:Q1188 N1184:P1184 N1185:P1185 M1247 M1251 M1263 M1272:M1273 N1301:P1301 M1329:M1331 M1338 M1371:M1372 M1379:M1381 M1986 N2019:P2019 N2113:P2113 N2111:P2111 N2112:P2112 M2309:M2311 N2196:P2196 M709:M710 M89:M91 M71:M72 M1307:M1312 M1731 L40:L41 L43:L52 L54:L59 L61:L64 L67:L72 L74:L78 L80:L84 L86:L91 L93:L101 L104:L133 L135:L141 L143:L144 L146:L152 L154 L157:L214 L216:L280 L282:L288 L290:L299 L301:L322 L324:L388 L390:L405 L408:L424 L426:L427 L429:L437 L439:L444 L446:L447 L449 L452:L454 L456:L463 L465:L480 L482:L491 L493:L498 L500:L510 L512:L528 L530:L531 L533 L536:L544 L546:L554 L557:L560 L562:L574 L576:L581 L584:L593 L595:L604 L606:L623 L625:L629 L631:L641 L643:L650 L652:L659 L661:L690 L693:L700 L702:L703 L705:L711 L713:L714 L717:L720 L722:L728 L731:L735 L737:L740 L742:L745 L747:L758 L760:L762 L764:L765 L768:L775 L777:L780 L782:L783 L785:L788 L790:L826 L828:L829 L832:L861 L863:L866 L868:L890 L892:L907 L909:L911 L913:L916 L918:L955 L957:L968 L970:L971 L974:L981 L983:L989 L991:L994 L996:L997 L999:L1000 L1002:L1003 L1006:L1009 L1011:L1031 L1034:L1036 L1038:L1053 L1055:L1056 L1059:L1062 L1064:L1067 L1069:L1072 L1074:L1081 L1083:L1098 L1100:L1101 L1103:L1104 L1106:L1113 L1115:L1116 L1119:L1126 L1128:L1142 L1144:L1147 L1149:L1160 L1162:L1163 L1165:L1166 L1169:L1188 L1190:L1191 L1193:L1194 L1196:L1198 L1201:L1208 L1210:L1233 L1235:L1266 L1268:L1279 L1281:L1283 L1285:L1288 L1290:L1291 L1294:L1301 L1304:L1321 L1324:L1339 L1342:L1346 L1348:L1352 L1355:L1356 L1358:L1361 L1363:L1400 L1406:L1407 L1409:L1424 L1427:L1522 L1527:L1528 L1531:L1542 L1544:L1554 L1556:L1559 L1561:L1562 L1564:L1565 L1568:L1575 L1578:L1610 L1612:L1616 L1618:L1640 L1642:L1650 L1652:L1653 L1655:L1671 L1673:L1744 L1746:L1755 L1757:L1778 L1781:L1786 L1788:L1789 L1791:L1792 L1795:L1797 L1800:L1807 L1809:L1811 L1814:L1825 L1828:L1831 L1833:L1958 L1962:L1963 L1966:L1967 L1969:L1970 L1973:L1979 L1981:L1982 L1984:L1987 L1990:L2019 L2022:L2061 L2063:L2097 L2099:L2100 L2102:L2113 L2115 L2118:L2119 L2122:L2133 L2136:L2141 L2143:L2146 L2148:L2151 L2153:L2158 L2160:L2164 L2166:L2193 L2195:L2196 L2199:L2204 L2206:L2212 L2214:L2215 L2217:L2219 L2221:L2222 L2224:L2225 L2227:L2228 L2231:L2247 L2249:L2253 L2255:L2256 L2258:L2262 L2264:L2265 L2269:L2279 L2282:L2283 L2286:L2287 L2290:L2293 L2295:L2297 L2299:L2302 L2305:L2312 L2314:L2315 L2317:L2318 L2320:L2414 L2416:L2417 L2419:L2420 L2423:L2428 L2430:L2434 L2436:L2438 L2440:L2445 L2447:L2448 L2450:L2455 L2457:L2460 L2462:L2463 L2465:L2466 L2469:L2472 L2475:L2476 L2478:L2481 N2302:Q2302 N2300:P2300 Q2467 M2251:M2253 M2444:M2445 N2301:P2301 N2420:P2420 N2438:P2438 N2151:P2151 N2146:P2146 M2432" formula="1"/>
    <ignoredError sqref="G2474:G2477 G407:G554 G556:G581 G583:G690 G1033:G1301 G1303:G1321 G1323:G1339 G1341:G1352 G1354:G1401 G1405:G1424 G1426:G1523 G1526:G1778 G1780:G1811 G1813:G1825 G1827:G1958 G2021:G2095 G2268:G2472 G11:G405 G2097:G2133 G1961:G2019 G692:G1031 G2135:G226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4186-E9D3-A349-8B14-1DEB33F633DB}">
  <sheetPr codeName="Sheet8">
    <tabColor theme="3"/>
  </sheetPr>
  <dimension ref="A1:I41"/>
  <sheetViews>
    <sheetView showGridLines="0" zoomScale="118" zoomScaleNormal="90" workbookViewId="0">
      <selection activeCell="F15" sqref="F15:F32"/>
    </sheetView>
  </sheetViews>
  <sheetFormatPr baseColWidth="10" defaultColWidth="0" defaultRowHeight="15.6" zeroHeight="1"/>
  <cols>
    <col min="1" max="1" width="1.5" customWidth="1"/>
    <col min="2" max="2" width="16.19921875" customWidth="1"/>
    <col min="3" max="4" width="23.5" customWidth="1"/>
    <col min="5" max="5" width="18.296875" customWidth="1"/>
    <col min="6" max="8" width="23.5" customWidth="1"/>
    <col min="9" max="9" width="10.796875" hidden="1" customWidth="1"/>
    <col min="10" max="16384" width="10.796875" hidden="1"/>
  </cols>
  <sheetData>
    <row r="1" spans="1:9" ht="7.95" customHeight="1" thickBot="1">
      <c r="A1" s="10"/>
      <c r="B1" s="10"/>
      <c r="C1" s="10"/>
      <c r="D1" s="10"/>
      <c r="E1" s="10"/>
      <c r="F1" s="10"/>
      <c r="G1" s="10"/>
      <c r="H1" s="10"/>
      <c r="I1" s="10"/>
    </row>
    <row r="2" spans="1:9" ht="22.8" thickBot="1">
      <c r="A2" s="10"/>
      <c r="B2" s="329" t="s">
        <v>63</v>
      </c>
      <c r="C2" s="330"/>
      <c r="D2" s="330"/>
      <c r="E2" s="330"/>
      <c r="F2" s="330"/>
      <c r="G2" s="331"/>
      <c r="H2" s="46"/>
      <c r="I2" s="10"/>
    </row>
    <row r="3" spans="1:9">
      <c r="A3" s="10"/>
      <c r="B3" s="76"/>
      <c r="C3" s="77"/>
      <c r="D3" s="77"/>
      <c r="E3" s="78"/>
      <c r="F3" s="78"/>
      <c r="G3" s="79"/>
      <c r="H3" s="47"/>
      <c r="I3" s="10"/>
    </row>
    <row r="4" spans="1:9" ht="18" customHeight="1">
      <c r="A4" s="10"/>
      <c r="B4" s="342"/>
      <c r="C4" s="343"/>
      <c r="D4" s="343"/>
      <c r="E4" s="343"/>
      <c r="F4" s="343"/>
      <c r="G4" s="344"/>
      <c r="H4" s="48"/>
      <c r="I4" s="10"/>
    </row>
    <row r="5" spans="1:9">
      <c r="A5" s="10"/>
      <c r="B5" s="342"/>
      <c r="C5" s="343"/>
      <c r="D5" s="343"/>
      <c r="E5" s="343"/>
      <c r="F5" s="343"/>
      <c r="G5" s="344"/>
      <c r="H5" s="48"/>
      <c r="I5" s="10"/>
    </row>
    <row r="6" spans="1:9">
      <c r="A6" s="10"/>
      <c r="B6" s="332"/>
      <c r="C6" s="333"/>
      <c r="D6" s="333"/>
      <c r="E6" s="333"/>
      <c r="F6" s="333"/>
      <c r="G6" s="334"/>
      <c r="H6" s="49"/>
      <c r="I6" s="10"/>
    </row>
    <row r="7" spans="1:9">
      <c r="A7" s="10"/>
      <c r="B7" s="80"/>
      <c r="C7" s="81"/>
      <c r="D7" s="81"/>
      <c r="E7" s="82"/>
      <c r="F7" s="82"/>
      <c r="G7" s="83"/>
      <c r="H7" s="50"/>
      <c r="I7" s="10"/>
    </row>
    <row r="8" spans="1:9">
      <c r="A8" s="10"/>
      <c r="B8" s="84"/>
      <c r="C8" s="81"/>
      <c r="D8" s="81"/>
      <c r="E8" s="82"/>
      <c r="F8" s="82"/>
      <c r="G8" s="85"/>
      <c r="H8" s="50"/>
      <c r="I8" s="10"/>
    </row>
    <row r="9" spans="1:9">
      <c r="A9" s="10"/>
      <c r="B9" s="335" t="s">
        <v>64</v>
      </c>
      <c r="C9" s="336"/>
      <c r="D9" s="34"/>
      <c r="E9" s="35" t="s">
        <v>76</v>
      </c>
      <c r="F9" s="337">
        <f ca="1">TODAY()</f>
        <v>45812</v>
      </c>
      <c r="G9" s="338"/>
      <c r="H9" s="50"/>
      <c r="I9" s="10"/>
    </row>
    <row r="10" spans="1:9">
      <c r="A10" s="10"/>
      <c r="B10" s="58"/>
      <c r="C10" s="50"/>
      <c r="D10" s="50"/>
      <c r="E10" s="59"/>
      <c r="F10" s="59"/>
      <c r="G10" s="60"/>
      <c r="H10" s="50"/>
      <c r="I10" s="10"/>
    </row>
    <row r="11" spans="1:9">
      <c r="A11" s="10"/>
      <c r="B11" s="58"/>
      <c r="C11" s="50"/>
      <c r="D11" s="50"/>
      <c r="E11" s="59"/>
      <c r="F11" s="59"/>
      <c r="G11" s="60"/>
      <c r="H11" s="50"/>
      <c r="I11" s="10"/>
    </row>
    <row r="12" spans="1:9">
      <c r="A12" s="10"/>
      <c r="B12" s="58"/>
      <c r="C12" s="50"/>
      <c r="D12" s="50"/>
      <c r="E12" s="59"/>
      <c r="F12" s="59"/>
      <c r="G12" s="60"/>
      <c r="H12" s="50"/>
      <c r="I12" s="10"/>
    </row>
    <row r="13" spans="1:9">
      <c r="A13" s="10"/>
      <c r="B13" s="339" t="s">
        <v>65</v>
      </c>
      <c r="C13" s="340"/>
      <c r="D13" s="340"/>
      <c r="E13" s="340"/>
      <c r="F13" s="340"/>
      <c r="G13" s="341"/>
      <c r="H13" s="50"/>
      <c r="I13" s="10"/>
    </row>
    <row r="14" spans="1:9">
      <c r="A14" s="10"/>
      <c r="B14" s="73" t="s">
        <v>66</v>
      </c>
      <c r="C14" s="74" t="s">
        <v>67</v>
      </c>
      <c r="D14" s="74" t="s">
        <v>68</v>
      </c>
      <c r="E14" s="74" t="s">
        <v>66</v>
      </c>
      <c r="F14" s="74" t="s">
        <v>67</v>
      </c>
      <c r="G14" s="75" t="s">
        <v>68</v>
      </c>
      <c r="H14" s="50"/>
      <c r="I14" s="10"/>
    </row>
    <row r="15" spans="1:9">
      <c r="A15" s="10"/>
      <c r="B15" s="130"/>
      <c r="C15" s="33"/>
      <c r="D15" s="87">
        <v>134371982.764</v>
      </c>
      <c r="E15" s="69"/>
      <c r="F15" s="36"/>
      <c r="G15" s="87">
        <v>134862103.56999999</v>
      </c>
      <c r="H15" s="51"/>
      <c r="I15" s="10"/>
    </row>
    <row r="16" spans="1:9">
      <c r="A16" s="10"/>
      <c r="B16" s="130"/>
      <c r="C16" s="33"/>
      <c r="D16" s="88"/>
      <c r="E16" s="70"/>
      <c r="F16" s="36"/>
      <c r="G16" s="88"/>
      <c r="H16" s="50"/>
      <c r="I16" s="10"/>
    </row>
    <row r="17" spans="1:9">
      <c r="A17" s="10"/>
      <c r="B17" s="130"/>
      <c r="C17" s="38"/>
      <c r="D17" s="87">
        <v>0</v>
      </c>
      <c r="E17" s="70"/>
      <c r="F17" s="36"/>
      <c r="G17" s="87">
        <v>19352891.033199999</v>
      </c>
      <c r="H17" s="50"/>
      <c r="I17" s="10"/>
    </row>
    <row r="18" spans="1:9">
      <c r="A18" s="10"/>
      <c r="B18" s="130"/>
      <c r="C18" s="33"/>
      <c r="D18" s="88"/>
      <c r="E18" s="70"/>
      <c r="F18" s="36"/>
      <c r="G18" s="88"/>
      <c r="H18" s="50"/>
      <c r="I18" s="10"/>
    </row>
    <row r="19" spans="1:9">
      <c r="A19" s="10"/>
      <c r="B19" s="130"/>
      <c r="C19" s="38"/>
      <c r="D19" s="87">
        <v>0</v>
      </c>
      <c r="E19" s="50"/>
      <c r="F19" s="36"/>
      <c r="G19" s="87">
        <v>241795.83</v>
      </c>
      <c r="H19" s="52"/>
      <c r="I19" s="10"/>
    </row>
    <row r="20" spans="1:9">
      <c r="A20" s="10"/>
      <c r="B20" s="130"/>
      <c r="C20" s="38"/>
      <c r="D20" s="88"/>
      <c r="E20" s="50"/>
      <c r="F20" s="36"/>
      <c r="G20" s="88"/>
      <c r="H20" s="50"/>
      <c r="I20" s="10"/>
    </row>
    <row r="21" spans="1:9">
      <c r="A21" s="10"/>
      <c r="B21" s="130"/>
      <c r="C21" s="38"/>
      <c r="D21" s="87">
        <v>0</v>
      </c>
      <c r="E21" s="50"/>
      <c r="F21" s="36"/>
      <c r="G21" s="87">
        <v>-19046543.559503205</v>
      </c>
      <c r="H21" s="53"/>
      <c r="I21" s="10"/>
    </row>
    <row r="22" spans="1:9">
      <c r="A22" s="10"/>
      <c r="B22" s="130"/>
      <c r="C22" s="38"/>
      <c r="D22" s="88"/>
      <c r="E22" s="50"/>
      <c r="F22" s="36"/>
      <c r="G22" s="88"/>
      <c r="H22" s="53"/>
      <c r="I22" s="10"/>
    </row>
    <row r="23" spans="1:9">
      <c r="A23" s="10"/>
      <c r="B23" s="130"/>
      <c r="C23" s="38"/>
      <c r="D23" s="87">
        <v>0</v>
      </c>
      <c r="E23" s="50"/>
      <c r="F23" s="36"/>
      <c r="G23" s="87">
        <v>4.1051730513572693E-3</v>
      </c>
      <c r="H23" s="53"/>
      <c r="I23" s="10"/>
    </row>
    <row r="24" spans="1:9">
      <c r="A24" s="10"/>
      <c r="B24" s="130"/>
      <c r="C24" s="38"/>
      <c r="D24" s="88"/>
      <c r="E24" s="50"/>
      <c r="F24" s="36"/>
      <c r="G24" s="88"/>
      <c r="H24" s="53"/>
      <c r="I24" s="10"/>
    </row>
    <row r="25" spans="1:9">
      <c r="A25" s="10"/>
      <c r="B25" s="130"/>
      <c r="C25" s="38"/>
      <c r="D25" s="87">
        <v>1000000</v>
      </c>
      <c r="E25" s="50"/>
      <c r="F25" s="37"/>
      <c r="G25" s="87">
        <v>2722914.1991249919</v>
      </c>
      <c r="H25" s="54"/>
      <c r="I25" s="10"/>
    </row>
    <row r="26" spans="1:9">
      <c r="A26" s="10"/>
      <c r="B26" s="130"/>
      <c r="C26" s="38"/>
      <c r="D26" s="88"/>
      <c r="E26" s="50"/>
      <c r="F26" s="36"/>
      <c r="G26" s="88"/>
      <c r="H26" s="54"/>
      <c r="I26" s="10"/>
    </row>
    <row r="27" spans="1:9">
      <c r="A27" s="10"/>
      <c r="B27" s="130"/>
      <c r="C27" s="38"/>
      <c r="D27" s="87">
        <v>22172.907599999198</v>
      </c>
      <c r="E27" s="52"/>
      <c r="F27" s="36"/>
      <c r="G27" s="87">
        <v>5259757.6699087713</v>
      </c>
      <c r="H27" s="54"/>
      <c r="I27" s="10"/>
    </row>
    <row r="28" spans="1:9">
      <c r="A28" s="10"/>
      <c r="B28" s="130"/>
      <c r="C28" s="38"/>
      <c r="D28" s="88"/>
      <c r="E28" s="53"/>
      <c r="F28" s="36"/>
      <c r="G28" s="88"/>
      <c r="H28" s="55"/>
      <c r="I28" s="10"/>
    </row>
    <row r="29" spans="1:9">
      <c r="A29" s="10"/>
      <c r="B29" s="130"/>
      <c r="C29" s="38"/>
      <c r="D29" s="87">
        <v>57394</v>
      </c>
      <c r="E29" s="52"/>
      <c r="F29" s="36"/>
      <c r="G29" s="87">
        <v>-5259018.5365538616</v>
      </c>
      <c r="H29" s="55"/>
      <c r="I29" s="10"/>
    </row>
    <row r="30" spans="1:9">
      <c r="A30" s="10"/>
      <c r="B30" s="130"/>
      <c r="C30" s="38"/>
      <c r="D30" s="88"/>
      <c r="E30" s="109"/>
      <c r="F30" s="36"/>
      <c r="G30" s="88"/>
      <c r="H30" s="55"/>
      <c r="I30" s="10"/>
    </row>
    <row r="31" spans="1:9">
      <c r="A31" s="10"/>
      <c r="B31" s="61"/>
      <c r="C31" s="38"/>
      <c r="D31" s="87">
        <v>0</v>
      </c>
      <c r="E31" s="109"/>
      <c r="F31" s="38"/>
      <c r="G31" s="87">
        <v>-2682351.4180000001</v>
      </c>
      <c r="H31" s="56"/>
      <c r="I31" s="10"/>
    </row>
    <row r="32" spans="1:9" ht="16.2" thickBot="1">
      <c r="A32" s="10"/>
      <c r="B32" s="61"/>
      <c r="C32" s="39"/>
      <c r="D32" s="40"/>
      <c r="E32" s="70"/>
      <c r="F32" s="33"/>
      <c r="G32" s="41"/>
      <c r="H32" s="52"/>
      <c r="I32" s="10"/>
    </row>
    <row r="33" spans="1:9" ht="16.2" thickTop="1">
      <c r="A33" s="10"/>
      <c r="B33" s="61"/>
      <c r="C33" s="42" t="s">
        <v>51</v>
      </c>
      <c r="D33" s="43">
        <f>SUM(D15:D31)</f>
        <v>135451549.67159998</v>
      </c>
      <c r="E33" s="71"/>
      <c r="F33" s="44" t="s">
        <v>51</v>
      </c>
      <c r="G33" s="45">
        <f>SUM(G15:G31)</f>
        <v>135451548.79228187</v>
      </c>
      <c r="H33" s="86">
        <f>+D33-G33</f>
        <v>0.87931811809539795</v>
      </c>
      <c r="I33" s="10"/>
    </row>
    <row r="34" spans="1:9">
      <c r="A34" s="10"/>
      <c r="B34" s="61"/>
      <c r="C34" s="62"/>
      <c r="D34" s="62"/>
      <c r="E34" s="50"/>
      <c r="F34" s="70"/>
      <c r="G34" s="72"/>
      <c r="H34" s="52"/>
      <c r="I34" s="10"/>
    </row>
    <row r="35" spans="1:9">
      <c r="A35" s="10"/>
      <c r="B35" s="61"/>
      <c r="C35" s="62"/>
      <c r="D35" s="217"/>
      <c r="E35" s="218"/>
      <c r="F35" s="63"/>
      <c r="G35" s="64"/>
      <c r="H35" s="52"/>
      <c r="I35" s="10"/>
    </row>
    <row r="36" spans="1:9">
      <c r="A36" s="10"/>
      <c r="B36" s="58"/>
      <c r="C36" s="50"/>
      <c r="D36" s="219"/>
      <c r="E36" s="220"/>
      <c r="F36" s="136"/>
      <c r="G36" s="60"/>
      <c r="H36" s="52"/>
      <c r="I36" s="10"/>
    </row>
    <row r="37" spans="1:9" ht="16.2" thickBot="1">
      <c r="A37" s="10"/>
      <c r="B37" s="65"/>
      <c r="C37" s="66"/>
      <c r="D37" s="221"/>
      <c r="E37" s="222"/>
      <c r="F37" s="67"/>
      <c r="G37" s="68"/>
      <c r="H37" s="57"/>
      <c r="I37" s="10"/>
    </row>
    <row r="38" spans="1:9">
      <c r="A38" s="10"/>
      <c r="B38" s="10"/>
      <c r="C38" s="10"/>
      <c r="D38" s="10"/>
      <c r="E38" s="10"/>
      <c r="F38" s="10"/>
      <c r="G38" s="10"/>
      <c r="H38" s="10"/>
      <c r="I38" s="10"/>
    </row>
    <row r="39" spans="1:9">
      <c r="A39" s="10"/>
      <c r="B39" s="10"/>
      <c r="C39" s="10"/>
      <c r="D39" s="10"/>
      <c r="E39" s="10"/>
      <c r="F39" s="10"/>
      <c r="G39" s="10"/>
      <c r="H39" s="10"/>
      <c r="I39" s="10"/>
    </row>
    <row r="40" spans="1:9">
      <c r="A40" s="10"/>
      <c r="B40" s="10"/>
      <c r="C40" s="10"/>
      <c r="D40" s="10"/>
      <c r="E40" s="10"/>
      <c r="F40" s="10"/>
      <c r="G40" s="10"/>
      <c r="H40" s="10"/>
      <c r="I40" s="10"/>
    </row>
    <row r="41" spans="1:9">
      <c r="A41" s="10"/>
      <c r="B41" s="10"/>
      <c r="C41" s="10"/>
      <c r="D41" s="10"/>
      <c r="E41" s="10"/>
      <c r="F41" s="10"/>
      <c r="G41" s="10"/>
      <c r="H41" s="10"/>
      <c r="I41" s="10"/>
    </row>
  </sheetData>
  <mergeCells count="6">
    <mergeCell ref="B2:G2"/>
    <mergeCell ref="B6:G6"/>
    <mergeCell ref="B9:C9"/>
    <mergeCell ref="F9:G9"/>
    <mergeCell ref="B13:G13"/>
    <mergeCell ref="B4:G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D7D2A-7E76-5243-B21D-53E3D70756E3}">
  <sheetPr codeName="Sheet1">
    <tabColor rgb="FF92D050"/>
  </sheetPr>
  <dimension ref="A2:K2481"/>
  <sheetViews>
    <sheetView topLeftCell="A1555" workbookViewId="0">
      <selection activeCell="G1" sqref="G1"/>
    </sheetView>
  </sheetViews>
  <sheetFormatPr baseColWidth="10" defaultColWidth="11" defaultRowHeight="15.6"/>
  <cols>
    <col min="1" max="5" width="13.5" style="1" customWidth="1"/>
    <col min="6" max="6" width="69.69921875" style="1" bestFit="1" customWidth="1"/>
    <col min="7" max="7" width="14" style="4" bestFit="1" customWidth="1"/>
    <col min="8" max="8" width="13.5" style="6" customWidth="1"/>
    <col min="9" max="9" width="13.69921875" bestFit="1" customWidth="1"/>
    <col min="11" max="11" width="11.5" bestFit="1" customWidth="1"/>
  </cols>
  <sheetData>
    <row r="2" spans="1:11">
      <c r="A2" s="2" t="s">
        <v>2</v>
      </c>
      <c r="B2" s="3" t="s">
        <v>3</v>
      </c>
      <c r="C2" s="3" t="s">
        <v>5</v>
      </c>
      <c r="D2" s="3" t="s">
        <v>34</v>
      </c>
      <c r="E2" s="3" t="s">
        <v>4</v>
      </c>
      <c r="F2" s="3"/>
      <c r="G2" s="5" t="s">
        <v>6</v>
      </c>
      <c r="H2" s="121"/>
      <c r="I2" s="1" t="s">
        <v>62</v>
      </c>
      <c r="K2" t="s">
        <v>77</v>
      </c>
    </row>
    <row r="3" spans="1:11">
      <c r="A3" s="163" t="s">
        <v>7</v>
      </c>
      <c r="B3" s="163" t="s">
        <v>8</v>
      </c>
      <c r="C3" s="163"/>
      <c r="D3" s="163"/>
      <c r="E3" s="163" t="s">
        <v>212</v>
      </c>
      <c r="F3" s="163"/>
      <c r="G3" s="164">
        <v>10065000</v>
      </c>
      <c r="I3" s="1" t="s">
        <v>215</v>
      </c>
      <c r="K3" t="s">
        <v>78</v>
      </c>
    </row>
    <row r="4" spans="1:11">
      <c r="A4" s="128" t="s">
        <v>7</v>
      </c>
      <c r="B4" s="128" t="s">
        <v>2117</v>
      </c>
      <c r="C4" s="128"/>
      <c r="D4" s="128"/>
      <c r="E4" s="128" t="s">
        <v>213</v>
      </c>
      <c r="F4" s="128"/>
      <c r="G4" s="129">
        <v>8340000</v>
      </c>
      <c r="I4" s="1" t="s">
        <v>227</v>
      </c>
      <c r="K4" t="s">
        <v>91</v>
      </c>
    </row>
    <row r="5" spans="1:11">
      <c r="A5" t="s">
        <v>7</v>
      </c>
      <c r="B5" t="s">
        <v>19</v>
      </c>
      <c r="C5" t="s">
        <v>214</v>
      </c>
      <c r="D5"/>
      <c r="E5" t="s">
        <v>9</v>
      </c>
      <c r="F5"/>
      <c r="G5" s="107">
        <v>0</v>
      </c>
      <c r="I5" s="1" t="s">
        <v>233</v>
      </c>
    </row>
    <row r="6" spans="1:11">
      <c r="A6" t="s">
        <v>7</v>
      </c>
      <c r="B6" t="s">
        <v>19</v>
      </c>
      <c r="C6" t="s">
        <v>214</v>
      </c>
      <c r="D6"/>
      <c r="E6" t="s">
        <v>10</v>
      </c>
      <c r="F6"/>
      <c r="G6" s="107">
        <v>0</v>
      </c>
      <c r="I6" s="1" t="s">
        <v>234</v>
      </c>
    </row>
    <row r="7" spans="1:11">
      <c r="A7" t="s">
        <v>7</v>
      </c>
      <c r="B7" t="s">
        <v>19</v>
      </c>
      <c r="C7" t="s">
        <v>215</v>
      </c>
      <c r="D7"/>
      <c r="E7" t="s">
        <v>11</v>
      </c>
      <c r="F7"/>
      <c r="G7" s="107">
        <v>1400000</v>
      </c>
      <c r="I7" s="1" t="s">
        <v>236</v>
      </c>
    </row>
    <row r="8" spans="1:11">
      <c r="A8" t="s">
        <v>7</v>
      </c>
      <c r="B8" t="s">
        <v>19</v>
      </c>
      <c r="C8" t="s">
        <v>215</v>
      </c>
      <c r="D8"/>
      <c r="E8" t="s">
        <v>12</v>
      </c>
      <c r="F8"/>
      <c r="G8" s="107">
        <v>100000</v>
      </c>
      <c r="I8" s="1" t="s">
        <v>238</v>
      </c>
    </row>
    <row r="9" spans="1:11">
      <c r="A9" t="s">
        <v>7</v>
      </c>
      <c r="B9" t="s">
        <v>19</v>
      </c>
      <c r="C9" t="s">
        <v>215</v>
      </c>
      <c r="D9"/>
      <c r="E9" t="s">
        <v>13</v>
      </c>
      <c r="F9"/>
      <c r="G9" s="107">
        <v>100000</v>
      </c>
      <c r="I9" s="1" t="s">
        <v>1419</v>
      </c>
    </row>
    <row r="10" spans="1:11">
      <c r="A10" t="s">
        <v>7</v>
      </c>
      <c r="B10" t="s">
        <v>19</v>
      </c>
      <c r="C10" t="s">
        <v>214</v>
      </c>
      <c r="D10"/>
      <c r="E10" t="s">
        <v>14</v>
      </c>
      <c r="F10"/>
      <c r="G10" s="107">
        <v>0</v>
      </c>
      <c r="I10" s="1" t="s">
        <v>1420</v>
      </c>
    </row>
    <row r="11" spans="1:11">
      <c r="A11" t="s">
        <v>7</v>
      </c>
      <c r="B11" t="s">
        <v>19</v>
      </c>
      <c r="C11" t="s">
        <v>215</v>
      </c>
      <c r="D11"/>
      <c r="E11" t="s">
        <v>15</v>
      </c>
      <c r="F11"/>
      <c r="G11" s="107">
        <v>1400000</v>
      </c>
      <c r="I11" s="1" t="s">
        <v>468</v>
      </c>
    </row>
    <row r="12" spans="1:11">
      <c r="A12" t="s">
        <v>7</v>
      </c>
      <c r="B12" t="s">
        <v>19</v>
      </c>
      <c r="C12" t="s">
        <v>215</v>
      </c>
      <c r="D12"/>
      <c r="E12" t="s">
        <v>16</v>
      </c>
      <c r="F12"/>
      <c r="G12" s="107">
        <v>75000</v>
      </c>
      <c r="I12" s="1" t="s">
        <v>1409</v>
      </c>
    </row>
    <row r="13" spans="1:11">
      <c r="A13" t="s">
        <v>7</v>
      </c>
      <c r="B13" t="s">
        <v>19</v>
      </c>
      <c r="C13" t="s">
        <v>214</v>
      </c>
      <c r="D13"/>
      <c r="E13" t="s">
        <v>17</v>
      </c>
      <c r="F13"/>
      <c r="G13" s="107">
        <v>0</v>
      </c>
    </row>
    <row r="14" spans="1:11">
      <c r="A14" t="s">
        <v>7</v>
      </c>
      <c r="B14" t="s">
        <v>19</v>
      </c>
      <c r="C14" t="s">
        <v>215</v>
      </c>
      <c r="D14"/>
      <c r="E14" t="s">
        <v>18</v>
      </c>
      <c r="F14"/>
      <c r="G14" s="107">
        <v>1400000</v>
      </c>
    </row>
    <row r="15" spans="1:11">
      <c r="A15" t="s">
        <v>7</v>
      </c>
      <c r="B15" t="s">
        <v>19</v>
      </c>
      <c r="C15" t="s">
        <v>215</v>
      </c>
      <c r="D15"/>
      <c r="E15" t="s">
        <v>140</v>
      </c>
      <c r="F15"/>
      <c r="G15" s="107">
        <v>75000</v>
      </c>
    </row>
    <row r="16" spans="1:11">
      <c r="A16" t="s">
        <v>7</v>
      </c>
      <c r="B16" t="s">
        <v>19</v>
      </c>
      <c r="C16" t="s">
        <v>214</v>
      </c>
      <c r="D16"/>
      <c r="E16" t="s">
        <v>141</v>
      </c>
      <c r="F16"/>
      <c r="G16" s="107">
        <v>0</v>
      </c>
    </row>
    <row r="17" spans="1:7">
      <c r="A17" t="s">
        <v>7</v>
      </c>
      <c r="B17" t="s">
        <v>19</v>
      </c>
      <c r="C17" t="s">
        <v>215</v>
      </c>
      <c r="D17"/>
      <c r="E17" t="s">
        <v>142</v>
      </c>
      <c r="F17"/>
      <c r="G17" s="107">
        <v>1400000</v>
      </c>
    </row>
    <row r="18" spans="1:7">
      <c r="A18" t="s">
        <v>7</v>
      </c>
      <c r="B18" t="s">
        <v>19</v>
      </c>
      <c r="C18" t="s">
        <v>215</v>
      </c>
      <c r="D18"/>
      <c r="E18" t="s">
        <v>143</v>
      </c>
      <c r="F18"/>
      <c r="G18" s="107">
        <v>75000</v>
      </c>
    </row>
    <row r="19" spans="1:7">
      <c r="A19" t="s">
        <v>7</v>
      </c>
      <c r="B19" t="s">
        <v>19</v>
      </c>
      <c r="C19" t="s">
        <v>214</v>
      </c>
      <c r="D19"/>
      <c r="E19" t="s">
        <v>216</v>
      </c>
      <c r="F19"/>
      <c r="G19" s="107">
        <v>0</v>
      </c>
    </row>
    <row r="20" spans="1:7">
      <c r="A20" t="s">
        <v>7</v>
      </c>
      <c r="B20" t="s">
        <v>19</v>
      </c>
      <c r="C20" t="s">
        <v>215</v>
      </c>
      <c r="D20"/>
      <c r="E20" t="s">
        <v>217</v>
      </c>
      <c r="F20"/>
      <c r="G20" s="107">
        <v>1400000</v>
      </c>
    </row>
    <row r="21" spans="1:7">
      <c r="A21" t="s">
        <v>7</v>
      </c>
      <c r="B21" t="s">
        <v>19</v>
      </c>
      <c r="C21" t="s">
        <v>215</v>
      </c>
      <c r="D21"/>
      <c r="E21" t="s">
        <v>218</v>
      </c>
      <c r="F21"/>
      <c r="G21" s="107">
        <v>75000</v>
      </c>
    </row>
    <row r="22" spans="1:7">
      <c r="A22" t="s">
        <v>7</v>
      </c>
      <c r="B22" t="s">
        <v>19</v>
      </c>
      <c r="C22" t="s">
        <v>214</v>
      </c>
      <c r="D22"/>
      <c r="E22" t="s">
        <v>2118</v>
      </c>
      <c r="F22"/>
      <c r="G22" s="107">
        <v>0</v>
      </c>
    </row>
    <row r="23" spans="1:7">
      <c r="A23" t="s">
        <v>7</v>
      </c>
      <c r="B23" t="s">
        <v>19</v>
      </c>
      <c r="C23" t="s">
        <v>214</v>
      </c>
      <c r="D23"/>
      <c r="E23" t="s">
        <v>2119</v>
      </c>
      <c r="F23"/>
      <c r="G23" s="107">
        <v>0</v>
      </c>
    </row>
    <row r="24" spans="1:7">
      <c r="A24" t="s">
        <v>7</v>
      </c>
      <c r="B24" t="s">
        <v>19</v>
      </c>
      <c r="C24" t="s">
        <v>215</v>
      </c>
      <c r="D24"/>
      <c r="E24" t="s">
        <v>2120</v>
      </c>
      <c r="F24"/>
      <c r="G24" s="107">
        <v>210000</v>
      </c>
    </row>
    <row r="25" spans="1:7">
      <c r="A25" t="s">
        <v>7</v>
      </c>
      <c r="B25" t="s">
        <v>19</v>
      </c>
      <c r="C25" t="s">
        <v>214</v>
      </c>
      <c r="D25"/>
      <c r="E25" t="s">
        <v>2121</v>
      </c>
      <c r="F25"/>
      <c r="G25" s="107">
        <v>0</v>
      </c>
    </row>
    <row r="26" spans="1:7">
      <c r="A26" t="s">
        <v>7</v>
      </c>
      <c r="B26" t="s">
        <v>19</v>
      </c>
      <c r="C26" t="s">
        <v>215</v>
      </c>
      <c r="D26"/>
      <c r="E26" t="s">
        <v>2122</v>
      </c>
      <c r="F26"/>
      <c r="G26" s="107">
        <v>210000</v>
      </c>
    </row>
    <row r="27" spans="1:7">
      <c r="A27" t="s">
        <v>7</v>
      </c>
      <c r="B27" t="s">
        <v>19</v>
      </c>
      <c r="C27" t="s">
        <v>214</v>
      </c>
      <c r="D27"/>
      <c r="E27" t="s">
        <v>2123</v>
      </c>
      <c r="F27"/>
      <c r="G27" s="107">
        <v>0</v>
      </c>
    </row>
    <row r="28" spans="1:7">
      <c r="A28" t="s">
        <v>7</v>
      </c>
      <c r="B28" t="s">
        <v>19</v>
      </c>
      <c r="C28" t="s">
        <v>215</v>
      </c>
      <c r="D28"/>
      <c r="E28" t="s">
        <v>2124</v>
      </c>
      <c r="F28"/>
      <c r="G28" s="107">
        <v>210000</v>
      </c>
    </row>
    <row r="29" spans="1:7">
      <c r="A29" t="s">
        <v>7</v>
      </c>
      <c r="B29" t="s">
        <v>19</v>
      </c>
      <c r="C29" t="s">
        <v>214</v>
      </c>
      <c r="D29"/>
      <c r="E29" t="s">
        <v>2125</v>
      </c>
      <c r="F29"/>
      <c r="G29" s="107">
        <v>0</v>
      </c>
    </row>
    <row r="30" spans="1:7">
      <c r="A30" t="s">
        <v>7</v>
      </c>
      <c r="B30" t="s">
        <v>19</v>
      </c>
      <c r="C30" t="s">
        <v>215</v>
      </c>
      <c r="D30"/>
      <c r="E30" t="s">
        <v>2126</v>
      </c>
      <c r="F30"/>
      <c r="G30" s="107">
        <v>105000</v>
      </c>
    </row>
    <row r="31" spans="1:7">
      <c r="A31" t="s">
        <v>7</v>
      </c>
      <c r="B31" t="s">
        <v>19</v>
      </c>
      <c r="C31" t="s">
        <v>215</v>
      </c>
      <c r="D31"/>
      <c r="E31" t="s">
        <v>2127</v>
      </c>
      <c r="F31"/>
      <c r="G31" s="107">
        <v>105000</v>
      </c>
    </row>
    <row r="32" spans="1:7">
      <c r="A32" s="128" t="s">
        <v>7</v>
      </c>
      <c r="B32" s="128" t="s">
        <v>2117</v>
      </c>
      <c r="C32" s="128"/>
      <c r="D32" s="128"/>
      <c r="E32" s="128" t="s">
        <v>219</v>
      </c>
      <c r="F32" s="128"/>
      <c r="G32" s="129">
        <v>150000</v>
      </c>
    </row>
    <row r="33" spans="1:7">
      <c r="A33" t="s">
        <v>7</v>
      </c>
      <c r="B33" t="s">
        <v>19</v>
      </c>
      <c r="C33" t="s">
        <v>214</v>
      </c>
      <c r="D33"/>
      <c r="E33" t="s">
        <v>144</v>
      </c>
      <c r="F33"/>
      <c r="G33" s="107">
        <v>0</v>
      </c>
    </row>
    <row r="34" spans="1:7">
      <c r="A34" t="s">
        <v>7</v>
      </c>
      <c r="B34" t="s">
        <v>19</v>
      </c>
      <c r="C34" t="s">
        <v>215</v>
      </c>
      <c r="D34"/>
      <c r="E34" t="s">
        <v>2128</v>
      </c>
      <c r="F34"/>
      <c r="G34" s="107">
        <v>150000</v>
      </c>
    </row>
    <row r="35" spans="1:7">
      <c r="A35" s="128" t="s">
        <v>7</v>
      </c>
      <c r="B35" s="128" t="s">
        <v>2117</v>
      </c>
      <c r="C35" s="128"/>
      <c r="D35" s="128"/>
      <c r="E35" s="128" t="s">
        <v>220</v>
      </c>
      <c r="F35" s="128"/>
      <c r="G35" s="129">
        <v>1100000</v>
      </c>
    </row>
    <row r="36" spans="1:7">
      <c r="A36" t="s">
        <v>7</v>
      </c>
      <c r="B36" t="s">
        <v>19</v>
      </c>
      <c r="C36" t="s">
        <v>214</v>
      </c>
      <c r="D36"/>
      <c r="E36" t="s">
        <v>99</v>
      </c>
      <c r="F36"/>
      <c r="G36" s="107">
        <v>0</v>
      </c>
    </row>
    <row r="37" spans="1:7">
      <c r="A37" t="s">
        <v>7</v>
      </c>
      <c r="B37" t="s">
        <v>19</v>
      </c>
      <c r="C37" t="s">
        <v>214</v>
      </c>
      <c r="D37"/>
      <c r="E37" t="s">
        <v>100</v>
      </c>
      <c r="F37"/>
      <c r="G37" s="107">
        <v>0</v>
      </c>
    </row>
    <row r="38" spans="1:7">
      <c r="A38" t="s">
        <v>7</v>
      </c>
      <c r="B38" t="s">
        <v>19</v>
      </c>
      <c r="C38" t="s">
        <v>215</v>
      </c>
      <c r="D38"/>
      <c r="E38" t="s">
        <v>145</v>
      </c>
      <c r="F38"/>
      <c r="G38" s="107">
        <v>275000</v>
      </c>
    </row>
    <row r="39" spans="1:7">
      <c r="A39" t="s">
        <v>7</v>
      </c>
      <c r="B39" t="s">
        <v>19</v>
      </c>
      <c r="C39" t="s">
        <v>214</v>
      </c>
      <c r="D39"/>
      <c r="E39" t="s">
        <v>146</v>
      </c>
      <c r="F39"/>
      <c r="G39" s="107">
        <v>0</v>
      </c>
    </row>
    <row r="40" spans="1:7">
      <c r="A40" t="s">
        <v>7</v>
      </c>
      <c r="B40" t="s">
        <v>19</v>
      </c>
      <c r="C40" t="s">
        <v>215</v>
      </c>
      <c r="D40"/>
      <c r="E40" t="s">
        <v>221</v>
      </c>
      <c r="F40"/>
      <c r="G40" s="107">
        <v>275000</v>
      </c>
    </row>
    <row r="41" spans="1:7">
      <c r="A41" t="s">
        <v>7</v>
      </c>
      <c r="B41" t="s">
        <v>19</v>
      </c>
      <c r="C41" t="s">
        <v>214</v>
      </c>
      <c r="D41"/>
      <c r="E41" t="s">
        <v>2129</v>
      </c>
      <c r="F41"/>
      <c r="G41" s="107">
        <v>0</v>
      </c>
    </row>
    <row r="42" spans="1:7">
      <c r="A42" t="s">
        <v>7</v>
      </c>
      <c r="B42" t="s">
        <v>19</v>
      </c>
      <c r="C42" t="s">
        <v>214</v>
      </c>
      <c r="D42"/>
      <c r="E42" t="s">
        <v>2130</v>
      </c>
      <c r="F42"/>
      <c r="G42" s="107">
        <v>0</v>
      </c>
    </row>
    <row r="43" spans="1:7">
      <c r="A43" t="s">
        <v>7</v>
      </c>
      <c r="B43" t="s">
        <v>19</v>
      </c>
      <c r="C43" t="s">
        <v>215</v>
      </c>
      <c r="D43"/>
      <c r="E43" t="s">
        <v>2131</v>
      </c>
      <c r="F43"/>
      <c r="G43" s="107">
        <v>275000</v>
      </c>
    </row>
    <row r="44" spans="1:7">
      <c r="A44" t="s">
        <v>7</v>
      </c>
      <c r="B44" t="s">
        <v>19</v>
      </c>
      <c r="C44" t="s">
        <v>214</v>
      </c>
      <c r="D44"/>
      <c r="E44" t="s">
        <v>2132</v>
      </c>
      <c r="F44"/>
      <c r="G44" s="107">
        <v>0</v>
      </c>
    </row>
    <row r="45" spans="1:7">
      <c r="A45" t="s">
        <v>7</v>
      </c>
      <c r="B45" t="s">
        <v>19</v>
      </c>
      <c r="C45" t="s">
        <v>215</v>
      </c>
      <c r="D45"/>
      <c r="E45" t="s">
        <v>2133</v>
      </c>
      <c r="F45"/>
      <c r="G45" s="107">
        <v>275000</v>
      </c>
    </row>
    <row r="46" spans="1:7">
      <c r="A46" s="128" t="s">
        <v>7</v>
      </c>
      <c r="B46" s="128" t="s">
        <v>2117</v>
      </c>
      <c r="C46" s="128"/>
      <c r="D46" s="128"/>
      <c r="E46" s="128" t="s">
        <v>222</v>
      </c>
      <c r="F46" s="128"/>
      <c r="G46" s="129">
        <v>250000</v>
      </c>
    </row>
    <row r="47" spans="1:7">
      <c r="A47" t="s">
        <v>7</v>
      </c>
      <c r="B47" t="s">
        <v>19</v>
      </c>
      <c r="C47" t="s">
        <v>214</v>
      </c>
      <c r="D47"/>
      <c r="E47" t="s">
        <v>95</v>
      </c>
      <c r="F47"/>
      <c r="G47" s="107">
        <v>0</v>
      </c>
    </row>
    <row r="48" spans="1:7">
      <c r="A48" t="s">
        <v>7</v>
      </c>
      <c r="B48" t="s">
        <v>19</v>
      </c>
      <c r="C48" t="s">
        <v>214</v>
      </c>
      <c r="D48"/>
      <c r="E48" t="s">
        <v>147</v>
      </c>
      <c r="F48"/>
      <c r="G48" s="107">
        <v>0</v>
      </c>
    </row>
    <row r="49" spans="1:7">
      <c r="A49" t="s">
        <v>7</v>
      </c>
      <c r="B49" t="s">
        <v>19</v>
      </c>
      <c r="C49" t="s">
        <v>215</v>
      </c>
      <c r="D49"/>
      <c r="E49" t="s">
        <v>223</v>
      </c>
      <c r="F49"/>
      <c r="G49" s="107">
        <v>125000</v>
      </c>
    </row>
    <row r="50" spans="1:7">
      <c r="A50" t="s">
        <v>7</v>
      </c>
      <c r="B50" t="s">
        <v>19</v>
      </c>
      <c r="C50" t="s">
        <v>214</v>
      </c>
      <c r="D50"/>
      <c r="E50" t="s">
        <v>2134</v>
      </c>
      <c r="F50"/>
      <c r="G50" s="107">
        <v>0</v>
      </c>
    </row>
    <row r="51" spans="1:7">
      <c r="A51" t="s">
        <v>7</v>
      </c>
      <c r="B51" t="s">
        <v>19</v>
      </c>
      <c r="C51" t="s">
        <v>214</v>
      </c>
      <c r="D51"/>
      <c r="E51" t="s">
        <v>2135</v>
      </c>
      <c r="F51"/>
      <c r="G51" s="107">
        <v>0</v>
      </c>
    </row>
    <row r="52" spans="1:7">
      <c r="A52" t="s">
        <v>7</v>
      </c>
      <c r="B52" t="s">
        <v>19</v>
      </c>
      <c r="C52" t="s">
        <v>215</v>
      </c>
      <c r="D52"/>
      <c r="E52" t="s">
        <v>2136</v>
      </c>
      <c r="F52"/>
      <c r="G52" s="107">
        <v>125000</v>
      </c>
    </row>
    <row r="53" spans="1:7">
      <c r="A53" s="128" t="s">
        <v>7</v>
      </c>
      <c r="B53" s="128" t="s">
        <v>2117</v>
      </c>
      <c r="C53" s="128"/>
      <c r="D53" s="128"/>
      <c r="E53" s="128" t="s">
        <v>224</v>
      </c>
      <c r="F53" s="128"/>
      <c r="G53" s="129">
        <v>225000</v>
      </c>
    </row>
    <row r="54" spans="1:7">
      <c r="A54" t="s">
        <v>7</v>
      </c>
      <c r="B54" t="s">
        <v>19</v>
      </c>
      <c r="C54" t="s">
        <v>214</v>
      </c>
      <c r="D54"/>
      <c r="E54" t="s">
        <v>101</v>
      </c>
      <c r="F54"/>
      <c r="G54" s="107">
        <v>0</v>
      </c>
    </row>
    <row r="55" spans="1:7">
      <c r="A55" t="s">
        <v>7</v>
      </c>
      <c r="B55" t="s">
        <v>19</v>
      </c>
      <c r="C55" t="s">
        <v>215</v>
      </c>
      <c r="D55"/>
      <c r="E55" t="s">
        <v>148</v>
      </c>
      <c r="F55"/>
      <c r="G55" s="107">
        <v>100000</v>
      </c>
    </row>
    <row r="56" spans="1:7">
      <c r="A56" t="s">
        <v>7</v>
      </c>
      <c r="B56" t="s">
        <v>19</v>
      </c>
      <c r="C56" t="s">
        <v>214</v>
      </c>
      <c r="D56"/>
      <c r="E56" t="s">
        <v>2137</v>
      </c>
      <c r="F56"/>
      <c r="G56" s="107">
        <v>0</v>
      </c>
    </row>
    <row r="57" spans="1:7">
      <c r="A57" t="s">
        <v>7</v>
      </c>
      <c r="B57" t="s">
        <v>19</v>
      </c>
      <c r="C57" t="s">
        <v>215</v>
      </c>
      <c r="D57"/>
      <c r="E57" t="s">
        <v>2138</v>
      </c>
      <c r="F57"/>
      <c r="G57" s="107">
        <v>125000</v>
      </c>
    </row>
    <row r="58" spans="1:7">
      <c r="A58" s="163" t="s">
        <v>7</v>
      </c>
      <c r="B58" s="163" t="s">
        <v>8</v>
      </c>
      <c r="C58" s="163"/>
      <c r="D58" s="163"/>
      <c r="E58" s="163" t="s">
        <v>225</v>
      </c>
      <c r="F58" s="163"/>
      <c r="G58" s="164">
        <v>9449620</v>
      </c>
    </row>
    <row r="59" spans="1:7">
      <c r="A59" s="128" t="s">
        <v>7</v>
      </c>
      <c r="B59" s="128" t="s">
        <v>2117</v>
      </c>
      <c r="C59" s="128"/>
      <c r="D59" s="128"/>
      <c r="E59" s="128" t="s">
        <v>226</v>
      </c>
      <c r="F59" s="128"/>
      <c r="G59" s="129">
        <v>5979120</v>
      </c>
    </row>
    <row r="60" spans="1:7">
      <c r="A60" t="s">
        <v>7</v>
      </c>
      <c r="B60" t="s">
        <v>19</v>
      </c>
      <c r="C60" t="s">
        <v>214</v>
      </c>
      <c r="D60"/>
      <c r="E60" t="s">
        <v>228</v>
      </c>
      <c r="F60"/>
      <c r="G60" s="107">
        <v>0</v>
      </c>
    </row>
    <row r="61" spans="1:7">
      <c r="A61" t="s">
        <v>7</v>
      </c>
      <c r="B61" t="s">
        <v>19</v>
      </c>
      <c r="C61" t="s">
        <v>227</v>
      </c>
      <c r="D61"/>
      <c r="E61" t="s">
        <v>229</v>
      </c>
      <c r="F61"/>
      <c r="G61" s="107">
        <v>2149560</v>
      </c>
    </row>
    <row r="62" spans="1:7">
      <c r="A62" t="s">
        <v>7</v>
      </c>
      <c r="B62" t="s">
        <v>19</v>
      </c>
      <c r="C62" t="s">
        <v>214</v>
      </c>
      <c r="D62"/>
      <c r="E62" t="s">
        <v>230</v>
      </c>
      <c r="F62"/>
      <c r="G62" s="107">
        <v>0</v>
      </c>
    </row>
    <row r="63" spans="1:7">
      <c r="A63" t="s">
        <v>7</v>
      </c>
      <c r="B63" t="s">
        <v>19</v>
      </c>
      <c r="C63" t="s">
        <v>227</v>
      </c>
      <c r="D63"/>
      <c r="E63" t="s">
        <v>231</v>
      </c>
      <c r="F63"/>
      <c r="G63" s="107">
        <v>2149560</v>
      </c>
    </row>
    <row r="64" spans="1:7">
      <c r="A64" t="s">
        <v>7</v>
      </c>
      <c r="B64" t="s">
        <v>19</v>
      </c>
      <c r="C64" t="s">
        <v>214</v>
      </c>
      <c r="D64"/>
      <c r="E64" t="s">
        <v>2139</v>
      </c>
      <c r="F64"/>
      <c r="G64" s="107">
        <v>0</v>
      </c>
    </row>
    <row r="65" spans="1:7">
      <c r="A65" t="s">
        <v>7</v>
      </c>
      <c r="B65" t="s">
        <v>19</v>
      </c>
      <c r="C65" t="s">
        <v>227</v>
      </c>
      <c r="D65"/>
      <c r="E65" t="s">
        <v>2140</v>
      </c>
      <c r="F65"/>
      <c r="G65" s="107">
        <v>1680000</v>
      </c>
    </row>
    <row r="66" spans="1:7">
      <c r="A66" s="128" t="s">
        <v>7</v>
      </c>
      <c r="B66" s="128" t="s">
        <v>2117</v>
      </c>
      <c r="C66" s="128"/>
      <c r="D66" s="128"/>
      <c r="E66" s="128" t="s">
        <v>232</v>
      </c>
      <c r="F66" s="128"/>
      <c r="G66" s="129">
        <v>1063000</v>
      </c>
    </row>
    <row r="67" spans="1:7">
      <c r="A67" t="s">
        <v>7</v>
      </c>
      <c r="B67" t="s">
        <v>19</v>
      </c>
      <c r="C67" t="s">
        <v>214</v>
      </c>
      <c r="D67"/>
      <c r="E67" t="s">
        <v>175</v>
      </c>
      <c r="F67"/>
      <c r="G67" s="107">
        <v>0</v>
      </c>
    </row>
    <row r="68" spans="1:7">
      <c r="A68" t="s">
        <v>7</v>
      </c>
      <c r="B68" t="s">
        <v>19</v>
      </c>
      <c r="C68" t="s">
        <v>233</v>
      </c>
      <c r="D68"/>
      <c r="E68" t="s">
        <v>235</v>
      </c>
      <c r="F68"/>
      <c r="G68" s="107">
        <v>125000</v>
      </c>
    </row>
    <row r="69" spans="1:7">
      <c r="A69" t="s">
        <v>7</v>
      </c>
      <c r="B69" t="s">
        <v>19</v>
      </c>
      <c r="C69" t="s">
        <v>234</v>
      </c>
      <c r="D69"/>
      <c r="E69" t="s">
        <v>237</v>
      </c>
      <c r="F69"/>
      <c r="G69" s="107">
        <v>301500</v>
      </c>
    </row>
    <row r="70" spans="1:7">
      <c r="A70" t="s">
        <v>7</v>
      </c>
      <c r="B70" t="s">
        <v>19</v>
      </c>
      <c r="C70" t="s">
        <v>236</v>
      </c>
      <c r="D70"/>
      <c r="E70" t="s">
        <v>239</v>
      </c>
      <c r="F70"/>
      <c r="G70" s="107">
        <v>234500</v>
      </c>
    </row>
    <row r="71" spans="1:7">
      <c r="A71" t="s">
        <v>7</v>
      </c>
      <c r="B71" t="s">
        <v>19</v>
      </c>
      <c r="C71" t="s">
        <v>238</v>
      </c>
      <c r="D71"/>
      <c r="E71" t="s">
        <v>2141</v>
      </c>
      <c r="F71"/>
      <c r="G71" s="107">
        <v>402000</v>
      </c>
    </row>
    <row r="72" spans="1:7">
      <c r="A72" s="128" t="s">
        <v>7</v>
      </c>
      <c r="B72" s="128" t="s">
        <v>2117</v>
      </c>
      <c r="C72" s="128"/>
      <c r="D72" s="128"/>
      <c r="E72" s="128" t="s">
        <v>240</v>
      </c>
      <c r="F72" s="128"/>
      <c r="G72" s="129">
        <v>1050000</v>
      </c>
    </row>
    <row r="73" spans="1:7">
      <c r="A73" t="s">
        <v>7</v>
      </c>
      <c r="B73" t="s">
        <v>19</v>
      </c>
      <c r="C73" t="s">
        <v>214</v>
      </c>
      <c r="D73"/>
      <c r="E73" t="s">
        <v>174</v>
      </c>
      <c r="F73"/>
      <c r="G73" s="107">
        <v>0</v>
      </c>
    </row>
    <row r="74" spans="1:7">
      <c r="A74" t="s">
        <v>7</v>
      </c>
      <c r="B74" t="s">
        <v>19</v>
      </c>
      <c r="C74" t="s">
        <v>233</v>
      </c>
      <c r="D74"/>
      <c r="E74" t="s">
        <v>241</v>
      </c>
      <c r="F74"/>
      <c r="G74" s="107">
        <v>210000</v>
      </c>
    </row>
    <row r="75" spans="1:7">
      <c r="A75" t="s">
        <v>7</v>
      </c>
      <c r="B75" t="s">
        <v>19</v>
      </c>
      <c r="C75" t="s">
        <v>234</v>
      </c>
      <c r="D75"/>
      <c r="E75" t="s">
        <v>242</v>
      </c>
      <c r="F75"/>
      <c r="G75" s="107">
        <v>378000</v>
      </c>
    </row>
    <row r="76" spans="1:7">
      <c r="A76" t="s">
        <v>7</v>
      </c>
      <c r="B76" t="s">
        <v>19</v>
      </c>
      <c r="C76" t="s">
        <v>236</v>
      </c>
      <c r="D76"/>
      <c r="E76" t="s">
        <v>243</v>
      </c>
      <c r="F76"/>
      <c r="G76" s="107">
        <v>294000</v>
      </c>
    </row>
    <row r="77" spans="1:7">
      <c r="A77" t="s">
        <v>7</v>
      </c>
      <c r="B77" t="s">
        <v>19</v>
      </c>
      <c r="C77" t="s">
        <v>238</v>
      </c>
      <c r="D77"/>
      <c r="E77" t="s">
        <v>2142</v>
      </c>
      <c r="F77"/>
      <c r="G77" s="107">
        <v>168000</v>
      </c>
    </row>
    <row r="78" spans="1:7">
      <c r="A78" s="128" t="s">
        <v>7</v>
      </c>
      <c r="B78" s="128" t="s">
        <v>2117</v>
      </c>
      <c r="C78" s="128"/>
      <c r="D78" s="128"/>
      <c r="E78" s="128" t="s">
        <v>244</v>
      </c>
      <c r="F78" s="128"/>
      <c r="G78" s="129">
        <v>564500</v>
      </c>
    </row>
    <row r="79" spans="1:7">
      <c r="A79" t="s">
        <v>7</v>
      </c>
      <c r="B79" t="s">
        <v>19</v>
      </c>
      <c r="C79" t="s">
        <v>214</v>
      </c>
      <c r="D79"/>
      <c r="E79" t="s">
        <v>176</v>
      </c>
      <c r="F79"/>
      <c r="G79" s="107">
        <v>0</v>
      </c>
    </row>
    <row r="80" spans="1:7">
      <c r="A80" t="s">
        <v>7</v>
      </c>
      <c r="B80" t="s">
        <v>19</v>
      </c>
      <c r="C80" t="s">
        <v>234</v>
      </c>
      <c r="D80"/>
      <c r="E80" t="s">
        <v>245</v>
      </c>
      <c r="F80"/>
      <c r="G80" s="107">
        <v>73500</v>
      </c>
    </row>
    <row r="81" spans="1:7">
      <c r="A81" t="s">
        <v>7</v>
      </c>
      <c r="B81" t="s">
        <v>19</v>
      </c>
      <c r="C81" t="s">
        <v>236</v>
      </c>
      <c r="D81"/>
      <c r="E81" t="s">
        <v>246</v>
      </c>
      <c r="F81"/>
      <c r="G81" s="107">
        <v>73500</v>
      </c>
    </row>
    <row r="82" spans="1:7">
      <c r="A82" t="s">
        <v>7</v>
      </c>
      <c r="B82" t="s">
        <v>19</v>
      </c>
      <c r="C82" t="s">
        <v>214</v>
      </c>
      <c r="D82"/>
      <c r="E82" t="s">
        <v>247</v>
      </c>
      <c r="F82"/>
      <c r="G82" s="107">
        <v>0</v>
      </c>
    </row>
    <row r="83" spans="1:7">
      <c r="A83" t="s">
        <v>7</v>
      </c>
      <c r="B83" t="s">
        <v>19</v>
      </c>
      <c r="C83" t="s">
        <v>233</v>
      </c>
      <c r="D83"/>
      <c r="E83" t="s">
        <v>248</v>
      </c>
      <c r="F83"/>
      <c r="G83" s="107">
        <v>50000</v>
      </c>
    </row>
    <row r="84" spans="1:7">
      <c r="A84" t="s">
        <v>7</v>
      </c>
      <c r="B84" t="s">
        <v>19</v>
      </c>
      <c r="C84" t="s">
        <v>227</v>
      </c>
      <c r="D84"/>
      <c r="E84" t="s">
        <v>2143</v>
      </c>
      <c r="F84"/>
      <c r="G84" s="107">
        <v>367500</v>
      </c>
    </row>
    <row r="85" spans="1:7">
      <c r="A85" s="128" t="s">
        <v>7</v>
      </c>
      <c r="B85" s="128" t="s">
        <v>2117</v>
      </c>
      <c r="C85" s="128"/>
      <c r="D85" s="128"/>
      <c r="E85" s="128" t="s">
        <v>1787</v>
      </c>
      <c r="F85" s="128"/>
      <c r="G85" s="129">
        <v>793000</v>
      </c>
    </row>
    <row r="86" spans="1:7">
      <c r="A86" t="s">
        <v>7</v>
      </c>
      <c r="B86" t="s">
        <v>19</v>
      </c>
      <c r="C86" t="s">
        <v>214</v>
      </c>
      <c r="D86"/>
      <c r="E86" t="s">
        <v>1788</v>
      </c>
      <c r="F86"/>
      <c r="G86" s="107">
        <v>0</v>
      </c>
    </row>
    <row r="87" spans="1:7">
      <c r="A87" t="s">
        <v>7</v>
      </c>
      <c r="B87" t="s">
        <v>19</v>
      </c>
      <c r="C87" t="s">
        <v>214</v>
      </c>
      <c r="D87"/>
      <c r="E87" t="s">
        <v>1789</v>
      </c>
      <c r="F87"/>
      <c r="G87" s="107">
        <v>0</v>
      </c>
    </row>
    <row r="88" spans="1:7">
      <c r="A88" t="s">
        <v>7</v>
      </c>
      <c r="B88" t="s">
        <v>19</v>
      </c>
      <c r="C88" t="s">
        <v>227</v>
      </c>
      <c r="D88"/>
      <c r="E88" t="s">
        <v>1790</v>
      </c>
      <c r="F88"/>
      <c r="G88" s="107">
        <v>52000</v>
      </c>
    </row>
    <row r="89" spans="1:7">
      <c r="A89" t="s">
        <v>7</v>
      </c>
      <c r="B89" t="s">
        <v>19</v>
      </c>
      <c r="C89" t="s">
        <v>227</v>
      </c>
      <c r="D89"/>
      <c r="E89" t="s">
        <v>1791</v>
      </c>
      <c r="F89"/>
      <c r="G89" s="107">
        <v>91000</v>
      </c>
    </row>
    <row r="90" spans="1:7">
      <c r="A90" t="s">
        <v>7</v>
      </c>
      <c r="B90" t="s">
        <v>19</v>
      </c>
      <c r="C90" t="s">
        <v>227</v>
      </c>
      <c r="D90"/>
      <c r="E90" t="s">
        <v>1792</v>
      </c>
      <c r="F90"/>
      <c r="G90" s="107">
        <v>221000</v>
      </c>
    </row>
    <row r="91" spans="1:7">
      <c r="A91" t="s">
        <v>7</v>
      </c>
      <c r="B91" t="s">
        <v>19</v>
      </c>
      <c r="C91" t="s">
        <v>214</v>
      </c>
      <c r="D91"/>
      <c r="E91" t="s">
        <v>2144</v>
      </c>
      <c r="F91"/>
      <c r="G91" s="107">
        <v>0</v>
      </c>
    </row>
    <row r="92" spans="1:7">
      <c r="A92" t="s">
        <v>7</v>
      </c>
      <c r="B92" t="s">
        <v>19</v>
      </c>
      <c r="C92" t="s">
        <v>227</v>
      </c>
      <c r="D92"/>
      <c r="E92" t="s">
        <v>2145</v>
      </c>
      <c r="F92"/>
      <c r="G92" s="107">
        <v>117000</v>
      </c>
    </row>
    <row r="93" spans="1:7">
      <c r="A93" t="s">
        <v>7</v>
      </c>
      <c r="B93" t="s">
        <v>19</v>
      </c>
      <c r="C93" t="s">
        <v>227</v>
      </c>
      <c r="D93"/>
      <c r="E93" t="s">
        <v>2146</v>
      </c>
      <c r="F93"/>
      <c r="G93" s="107">
        <v>91000</v>
      </c>
    </row>
    <row r="94" spans="1:7">
      <c r="A94" t="s">
        <v>7</v>
      </c>
      <c r="B94" t="s">
        <v>19</v>
      </c>
      <c r="C94" t="s">
        <v>227</v>
      </c>
      <c r="D94"/>
      <c r="E94" t="s">
        <v>2147</v>
      </c>
      <c r="F94"/>
      <c r="G94" s="107">
        <v>221000</v>
      </c>
    </row>
    <row r="95" spans="1:7">
      <c r="A95" s="163" t="s">
        <v>7</v>
      </c>
      <c r="B95" s="163" t="s">
        <v>8</v>
      </c>
      <c r="C95" s="163"/>
      <c r="D95" s="163"/>
      <c r="E95" s="163" t="s">
        <v>249</v>
      </c>
      <c r="F95" s="163"/>
      <c r="G95" s="164">
        <v>2810543.88</v>
      </c>
    </row>
    <row r="96" spans="1:7">
      <c r="A96" s="128" t="s">
        <v>7</v>
      </c>
      <c r="B96" s="128" t="s">
        <v>2117</v>
      </c>
      <c r="C96" s="128"/>
      <c r="D96" s="128"/>
      <c r="E96" s="128" t="s">
        <v>250</v>
      </c>
      <c r="F96" s="128"/>
      <c r="G96" s="129">
        <v>2138352</v>
      </c>
    </row>
    <row r="97" spans="1:7">
      <c r="A97" t="s">
        <v>7</v>
      </c>
      <c r="B97" t="s">
        <v>19</v>
      </c>
      <c r="C97" t="s">
        <v>214</v>
      </c>
      <c r="D97"/>
      <c r="E97" t="s">
        <v>251</v>
      </c>
      <c r="F97"/>
      <c r="G97" s="107">
        <v>0</v>
      </c>
    </row>
    <row r="98" spans="1:7">
      <c r="A98" t="s">
        <v>7</v>
      </c>
      <c r="B98" t="s">
        <v>19</v>
      </c>
      <c r="C98" t="s">
        <v>236</v>
      </c>
      <c r="D98"/>
      <c r="E98" t="s">
        <v>252</v>
      </c>
      <c r="F98"/>
      <c r="G98" s="107">
        <v>462000</v>
      </c>
    </row>
    <row r="99" spans="1:7">
      <c r="A99" t="s">
        <v>7</v>
      </c>
      <c r="B99" t="s">
        <v>19</v>
      </c>
      <c r="C99" t="s">
        <v>236</v>
      </c>
      <c r="D99"/>
      <c r="E99" t="s">
        <v>253</v>
      </c>
      <c r="F99"/>
      <c r="G99" s="107">
        <v>31136</v>
      </c>
    </row>
    <row r="100" spans="1:7">
      <c r="A100" t="s">
        <v>7</v>
      </c>
      <c r="B100" t="s">
        <v>19</v>
      </c>
      <c r="C100" t="s">
        <v>236</v>
      </c>
      <c r="D100"/>
      <c r="E100" t="s">
        <v>254</v>
      </c>
      <c r="F100"/>
      <c r="G100" s="107">
        <v>6672</v>
      </c>
    </row>
    <row r="101" spans="1:7">
      <c r="A101" t="s">
        <v>7</v>
      </c>
      <c r="B101" t="s">
        <v>19</v>
      </c>
      <c r="C101" t="s">
        <v>236</v>
      </c>
      <c r="D101"/>
      <c r="E101" t="s">
        <v>255</v>
      </c>
      <c r="F101"/>
      <c r="G101" s="107">
        <v>31136</v>
      </c>
    </row>
    <row r="102" spans="1:7">
      <c r="A102" t="s">
        <v>7</v>
      </c>
      <c r="B102" t="s">
        <v>19</v>
      </c>
      <c r="C102" t="s">
        <v>236</v>
      </c>
      <c r="D102"/>
      <c r="E102" t="s">
        <v>256</v>
      </c>
      <c r="F102"/>
      <c r="G102" s="107">
        <v>4200</v>
      </c>
    </row>
    <row r="103" spans="1:7">
      <c r="A103" t="s">
        <v>7</v>
      </c>
      <c r="B103" t="s">
        <v>19</v>
      </c>
      <c r="C103" t="s">
        <v>214</v>
      </c>
      <c r="D103"/>
      <c r="E103" t="s">
        <v>257</v>
      </c>
      <c r="F103"/>
      <c r="G103" s="107">
        <v>0</v>
      </c>
    </row>
    <row r="104" spans="1:7">
      <c r="A104" t="s">
        <v>7</v>
      </c>
      <c r="B104" t="s">
        <v>19</v>
      </c>
      <c r="C104" t="s">
        <v>236</v>
      </c>
      <c r="D104"/>
      <c r="E104" t="s">
        <v>258</v>
      </c>
      <c r="F104"/>
      <c r="G104" s="107">
        <v>462000</v>
      </c>
    </row>
    <row r="105" spans="1:7">
      <c r="A105" t="s">
        <v>7</v>
      </c>
      <c r="B105" t="s">
        <v>19</v>
      </c>
      <c r="C105" t="s">
        <v>236</v>
      </c>
      <c r="D105"/>
      <c r="E105" t="s">
        <v>259</v>
      </c>
      <c r="F105"/>
      <c r="G105" s="107">
        <v>31136</v>
      </c>
    </row>
    <row r="106" spans="1:7">
      <c r="A106" t="s">
        <v>7</v>
      </c>
      <c r="B106" t="s">
        <v>19</v>
      </c>
      <c r="C106" t="s">
        <v>236</v>
      </c>
      <c r="D106"/>
      <c r="E106" t="s">
        <v>260</v>
      </c>
      <c r="F106"/>
      <c r="G106" s="107">
        <v>6672</v>
      </c>
    </row>
    <row r="107" spans="1:7">
      <c r="A107" t="s">
        <v>7</v>
      </c>
      <c r="B107" t="s">
        <v>19</v>
      </c>
      <c r="C107" t="s">
        <v>236</v>
      </c>
      <c r="D107"/>
      <c r="E107" t="s">
        <v>261</v>
      </c>
      <c r="F107"/>
      <c r="G107" s="107">
        <v>31136</v>
      </c>
    </row>
    <row r="108" spans="1:7">
      <c r="A108" t="s">
        <v>7</v>
      </c>
      <c r="B108" t="s">
        <v>19</v>
      </c>
      <c r="C108" t="s">
        <v>236</v>
      </c>
      <c r="D108"/>
      <c r="E108" t="s">
        <v>262</v>
      </c>
      <c r="F108"/>
      <c r="G108" s="107">
        <v>4200</v>
      </c>
    </row>
    <row r="109" spans="1:7">
      <c r="A109" t="s">
        <v>7</v>
      </c>
      <c r="B109" t="s">
        <v>19</v>
      </c>
      <c r="C109" t="s">
        <v>214</v>
      </c>
      <c r="D109"/>
      <c r="E109" t="s">
        <v>263</v>
      </c>
      <c r="F109"/>
      <c r="G109" s="107">
        <v>0</v>
      </c>
    </row>
    <row r="110" spans="1:7">
      <c r="A110" t="s">
        <v>7</v>
      </c>
      <c r="B110" t="s">
        <v>19</v>
      </c>
      <c r="C110" t="s">
        <v>236</v>
      </c>
      <c r="D110"/>
      <c r="E110" t="s">
        <v>264</v>
      </c>
      <c r="F110"/>
      <c r="G110" s="107">
        <v>462000</v>
      </c>
    </row>
    <row r="111" spans="1:7">
      <c r="A111" t="s">
        <v>7</v>
      </c>
      <c r="B111" t="s">
        <v>19</v>
      </c>
      <c r="C111" t="s">
        <v>236</v>
      </c>
      <c r="D111"/>
      <c r="E111" t="s">
        <v>265</v>
      </c>
      <c r="F111"/>
      <c r="G111" s="107">
        <v>31136</v>
      </c>
    </row>
    <row r="112" spans="1:7">
      <c r="A112" t="s">
        <v>7</v>
      </c>
      <c r="B112" t="s">
        <v>19</v>
      </c>
      <c r="C112" t="s">
        <v>236</v>
      </c>
      <c r="D112"/>
      <c r="E112" t="s">
        <v>266</v>
      </c>
      <c r="F112"/>
      <c r="G112" s="107">
        <v>6672</v>
      </c>
    </row>
    <row r="113" spans="1:7">
      <c r="A113" t="s">
        <v>7</v>
      </c>
      <c r="B113" t="s">
        <v>19</v>
      </c>
      <c r="C113" t="s">
        <v>236</v>
      </c>
      <c r="D113"/>
      <c r="E113" t="s">
        <v>267</v>
      </c>
      <c r="F113"/>
      <c r="G113" s="107">
        <v>31136</v>
      </c>
    </row>
    <row r="114" spans="1:7">
      <c r="A114" t="s">
        <v>7</v>
      </c>
      <c r="B114" t="s">
        <v>19</v>
      </c>
      <c r="C114" t="s">
        <v>236</v>
      </c>
      <c r="D114"/>
      <c r="E114" t="s">
        <v>268</v>
      </c>
      <c r="F114"/>
      <c r="G114" s="107">
        <v>4200</v>
      </c>
    </row>
    <row r="115" spans="1:7">
      <c r="A115" t="s">
        <v>7</v>
      </c>
      <c r="B115" t="s">
        <v>19</v>
      </c>
      <c r="C115" t="s">
        <v>214</v>
      </c>
      <c r="D115"/>
      <c r="E115" t="s">
        <v>2148</v>
      </c>
      <c r="F115"/>
      <c r="G115" s="107">
        <v>0</v>
      </c>
    </row>
    <row r="116" spans="1:7">
      <c r="A116" t="s">
        <v>7</v>
      </c>
      <c r="B116" t="s">
        <v>19</v>
      </c>
      <c r="C116" t="s">
        <v>236</v>
      </c>
      <c r="D116"/>
      <c r="E116" t="s">
        <v>2149</v>
      </c>
      <c r="F116"/>
      <c r="G116" s="107">
        <v>462000</v>
      </c>
    </row>
    <row r="117" spans="1:7">
      <c r="A117" t="s">
        <v>7</v>
      </c>
      <c r="B117" t="s">
        <v>19</v>
      </c>
      <c r="C117" t="s">
        <v>236</v>
      </c>
      <c r="D117"/>
      <c r="E117" t="s">
        <v>2150</v>
      </c>
      <c r="F117"/>
      <c r="G117" s="107">
        <v>15568</v>
      </c>
    </row>
    <row r="118" spans="1:7">
      <c r="A118" t="s">
        <v>7</v>
      </c>
      <c r="B118" t="s">
        <v>19</v>
      </c>
      <c r="C118" t="s">
        <v>236</v>
      </c>
      <c r="D118"/>
      <c r="E118" t="s">
        <v>2151</v>
      </c>
      <c r="F118"/>
      <c r="G118" s="107">
        <v>4448</v>
      </c>
    </row>
    <row r="119" spans="1:7">
      <c r="A119" t="s">
        <v>7</v>
      </c>
      <c r="B119" t="s">
        <v>19</v>
      </c>
      <c r="C119" t="s">
        <v>236</v>
      </c>
      <c r="D119"/>
      <c r="E119" t="s">
        <v>2152</v>
      </c>
      <c r="F119"/>
      <c r="G119" s="107">
        <v>15568</v>
      </c>
    </row>
    <row r="120" spans="1:7">
      <c r="A120" t="s">
        <v>7</v>
      </c>
      <c r="B120" t="s">
        <v>19</v>
      </c>
      <c r="C120" t="s">
        <v>236</v>
      </c>
      <c r="D120"/>
      <c r="E120" t="s">
        <v>2153</v>
      </c>
      <c r="F120"/>
      <c r="G120" s="107">
        <v>2100</v>
      </c>
    </row>
    <row r="121" spans="1:7">
      <c r="A121" t="s">
        <v>7</v>
      </c>
      <c r="B121" t="s">
        <v>19</v>
      </c>
      <c r="C121" t="s">
        <v>214</v>
      </c>
      <c r="D121"/>
      <c r="E121" t="s">
        <v>2154</v>
      </c>
      <c r="F121"/>
      <c r="G121" s="107">
        <v>0</v>
      </c>
    </row>
    <row r="122" spans="1:7">
      <c r="A122" t="s">
        <v>7</v>
      </c>
      <c r="B122" t="s">
        <v>19</v>
      </c>
      <c r="C122" t="s">
        <v>236</v>
      </c>
      <c r="D122"/>
      <c r="E122" t="s">
        <v>2155</v>
      </c>
      <c r="F122"/>
      <c r="G122" s="107">
        <v>0</v>
      </c>
    </row>
    <row r="123" spans="1:7">
      <c r="A123" t="s">
        <v>7</v>
      </c>
      <c r="B123" t="s">
        <v>19</v>
      </c>
      <c r="C123" t="s">
        <v>236</v>
      </c>
      <c r="D123"/>
      <c r="E123" t="s">
        <v>2156</v>
      </c>
      <c r="F123"/>
      <c r="G123" s="107">
        <v>15568</v>
      </c>
    </row>
    <row r="124" spans="1:7">
      <c r="A124" t="s">
        <v>7</v>
      </c>
      <c r="B124" t="s">
        <v>19</v>
      </c>
      <c r="C124" t="s">
        <v>236</v>
      </c>
      <c r="D124"/>
      <c r="E124" t="s">
        <v>2157</v>
      </c>
      <c r="F124"/>
      <c r="G124" s="107">
        <v>0</v>
      </c>
    </row>
    <row r="125" spans="1:7">
      <c r="A125" t="s">
        <v>7</v>
      </c>
      <c r="B125" t="s">
        <v>19</v>
      </c>
      <c r="C125" t="s">
        <v>236</v>
      </c>
      <c r="D125"/>
      <c r="E125" t="s">
        <v>2158</v>
      </c>
      <c r="F125"/>
      <c r="G125" s="107">
        <v>15568</v>
      </c>
    </row>
    <row r="126" spans="1:7">
      <c r="A126" t="s">
        <v>7</v>
      </c>
      <c r="B126" t="s">
        <v>19</v>
      </c>
      <c r="C126" t="s">
        <v>236</v>
      </c>
      <c r="D126"/>
      <c r="E126" t="s">
        <v>2159</v>
      </c>
      <c r="F126"/>
      <c r="G126" s="107">
        <v>2100</v>
      </c>
    </row>
    <row r="127" spans="1:7">
      <c r="A127" s="128" t="s">
        <v>7</v>
      </c>
      <c r="B127" s="128" t="s">
        <v>2117</v>
      </c>
      <c r="C127" s="128"/>
      <c r="D127" s="128"/>
      <c r="E127" s="128" t="s">
        <v>269</v>
      </c>
      <c r="F127" s="128"/>
      <c r="G127" s="129">
        <v>259248</v>
      </c>
    </row>
    <row r="128" spans="1:7">
      <c r="A128" t="s">
        <v>7</v>
      </c>
      <c r="B128" t="s">
        <v>19</v>
      </c>
      <c r="C128" t="s">
        <v>214</v>
      </c>
      <c r="D128"/>
      <c r="E128" t="s">
        <v>270</v>
      </c>
      <c r="F128"/>
      <c r="G128" s="107">
        <v>0</v>
      </c>
    </row>
    <row r="129" spans="1:7">
      <c r="A129" t="s">
        <v>7</v>
      </c>
      <c r="B129" t="s">
        <v>19</v>
      </c>
      <c r="C129" t="s">
        <v>1419</v>
      </c>
      <c r="D129"/>
      <c r="E129" t="s">
        <v>271</v>
      </c>
      <c r="F129"/>
      <c r="G129" s="107">
        <v>65000</v>
      </c>
    </row>
    <row r="130" spans="1:7">
      <c r="A130" t="s">
        <v>7</v>
      </c>
      <c r="B130" t="s">
        <v>19</v>
      </c>
      <c r="C130" t="s">
        <v>1419</v>
      </c>
      <c r="D130"/>
      <c r="E130" t="s">
        <v>272</v>
      </c>
      <c r="F130"/>
      <c r="G130" s="107">
        <v>130000</v>
      </c>
    </row>
    <row r="131" spans="1:7">
      <c r="A131" t="s">
        <v>7</v>
      </c>
      <c r="B131" t="s">
        <v>19</v>
      </c>
      <c r="C131" t="s">
        <v>1419</v>
      </c>
      <c r="D131"/>
      <c r="E131" t="s">
        <v>273</v>
      </c>
      <c r="F131"/>
      <c r="G131" s="107">
        <v>26688</v>
      </c>
    </row>
    <row r="132" spans="1:7">
      <c r="A132" t="s">
        <v>7</v>
      </c>
      <c r="B132" t="s">
        <v>19</v>
      </c>
      <c r="C132" t="s">
        <v>1419</v>
      </c>
      <c r="D132"/>
      <c r="E132" t="s">
        <v>274</v>
      </c>
      <c r="F132"/>
      <c r="G132" s="107">
        <v>6672</v>
      </c>
    </row>
    <row r="133" spans="1:7">
      <c r="A133" t="s">
        <v>7</v>
      </c>
      <c r="B133" t="s">
        <v>19</v>
      </c>
      <c r="C133" t="s">
        <v>1419</v>
      </c>
      <c r="D133"/>
      <c r="E133" t="s">
        <v>2160</v>
      </c>
      <c r="F133"/>
      <c r="G133" s="107">
        <v>26688</v>
      </c>
    </row>
    <row r="134" spans="1:7">
      <c r="A134" t="s">
        <v>7</v>
      </c>
      <c r="B134" t="s">
        <v>19</v>
      </c>
      <c r="C134" t="s">
        <v>1419</v>
      </c>
      <c r="D134"/>
      <c r="E134" t="s">
        <v>2161</v>
      </c>
      <c r="F134"/>
      <c r="G134" s="107">
        <v>4200</v>
      </c>
    </row>
    <row r="135" spans="1:7">
      <c r="A135" s="128" t="s">
        <v>7</v>
      </c>
      <c r="B135" s="128" t="s">
        <v>2117</v>
      </c>
      <c r="C135" s="128"/>
      <c r="D135" s="128"/>
      <c r="E135" s="128" t="s">
        <v>1491</v>
      </c>
      <c r="F135" s="128"/>
      <c r="G135" s="129">
        <v>75000</v>
      </c>
    </row>
    <row r="136" spans="1:7">
      <c r="A136" t="s">
        <v>7</v>
      </c>
      <c r="B136" t="s">
        <v>19</v>
      </c>
      <c r="C136" t="s">
        <v>214</v>
      </c>
      <c r="D136"/>
      <c r="E136" t="s">
        <v>1492</v>
      </c>
      <c r="F136"/>
      <c r="G136" s="107">
        <v>0</v>
      </c>
    </row>
    <row r="137" spans="1:7">
      <c r="A137" t="s">
        <v>7</v>
      </c>
      <c r="B137" t="s">
        <v>19</v>
      </c>
      <c r="C137" t="s">
        <v>236</v>
      </c>
      <c r="D137"/>
      <c r="E137" t="s">
        <v>2162</v>
      </c>
      <c r="F137"/>
      <c r="G137" s="107">
        <v>75000</v>
      </c>
    </row>
    <row r="138" spans="1:7">
      <c r="A138" s="128" t="s">
        <v>7</v>
      </c>
      <c r="B138" s="128" t="s">
        <v>2117</v>
      </c>
      <c r="C138" s="128"/>
      <c r="D138" s="128"/>
      <c r="E138" s="128" t="s">
        <v>1793</v>
      </c>
      <c r="F138" s="128"/>
      <c r="G138" s="129">
        <v>205200</v>
      </c>
    </row>
    <row r="139" spans="1:7">
      <c r="A139" t="s">
        <v>7</v>
      </c>
      <c r="B139" t="s">
        <v>19</v>
      </c>
      <c r="C139" t="s">
        <v>214</v>
      </c>
      <c r="D139"/>
      <c r="E139" t="s">
        <v>1794</v>
      </c>
      <c r="F139"/>
      <c r="G139" s="107">
        <v>0</v>
      </c>
    </row>
    <row r="140" spans="1:7">
      <c r="A140" t="s">
        <v>7</v>
      </c>
      <c r="B140" t="s">
        <v>19</v>
      </c>
      <c r="C140" t="s">
        <v>234</v>
      </c>
      <c r="D140"/>
      <c r="E140" t="s">
        <v>1795</v>
      </c>
      <c r="F140"/>
      <c r="G140" s="107">
        <v>21600</v>
      </c>
    </row>
    <row r="141" spans="1:7">
      <c r="A141" t="s">
        <v>7</v>
      </c>
      <c r="B141" t="s">
        <v>19</v>
      </c>
      <c r="C141" t="s">
        <v>236</v>
      </c>
      <c r="D141"/>
      <c r="E141" t="s">
        <v>1796</v>
      </c>
      <c r="F141"/>
      <c r="G141" s="107">
        <v>151200</v>
      </c>
    </row>
    <row r="142" spans="1:7">
      <c r="A142" t="s">
        <v>7</v>
      </c>
      <c r="B142" t="s">
        <v>19</v>
      </c>
      <c r="C142" t="s">
        <v>238</v>
      </c>
      <c r="D142"/>
      <c r="E142" t="s">
        <v>1797</v>
      </c>
      <c r="F142"/>
      <c r="G142" s="107">
        <v>0</v>
      </c>
    </row>
    <row r="143" spans="1:7">
      <c r="A143" t="s">
        <v>7</v>
      </c>
      <c r="B143" t="s">
        <v>19</v>
      </c>
      <c r="C143" t="s">
        <v>214</v>
      </c>
      <c r="D143"/>
      <c r="E143" t="s">
        <v>2163</v>
      </c>
      <c r="F143"/>
      <c r="G143" s="107">
        <v>0</v>
      </c>
    </row>
    <row r="144" spans="1:7">
      <c r="A144" t="s">
        <v>7</v>
      </c>
      <c r="B144" t="s">
        <v>19</v>
      </c>
      <c r="C144" t="s">
        <v>1419</v>
      </c>
      <c r="D144"/>
      <c r="E144" t="s">
        <v>2164</v>
      </c>
      <c r="F144"/>
      <c r="G144" s="107">
        <v>10800</v>
      </c>
    </row>
    <row r="145" spans="1:7">
      <c r="A145" t="s">
        <v>7</v>
      </c>
      <c r="B145" t="s">
        <v>19</v>
      </c>
      <c r="C145" t="s">
        <v>1419</v>
      </c>
      <c r="D145"/>
      <c r="E145" t="s">
        <v>2165</v>
      </c>
      <c r="F145"/>
      <c r="G145" s="107">
        <v>21600</v>
      </c>
    </row>
    <row r="146" spans="1:7">
      <c r="A146" s="128" t="s">
        <v>7</v>
      </c>
      <c r="B146" s="128" t="s">
        <v>2117</v>
      </c>
      <c r="C146" s="128"/>
      <c r="D146" s="128"/>
      <c r="E146" s="128" t="s">
        <v>275</v>
      </c>
      <c r="F146" s="128"/>
      <c r="G146" s="129">
        <v>132743.88</v>
      </c>
    </row>
    <row r="147" spans="1:7">
      <c r="A147" t="s">
        <v>7</v>
      </c>
      <c r="B147" t="s">
        <v>19</v>
      </c>
      <c r="C147" t="s">
        <v>1898</v>
      </c>
      <c r="D147"/>
      <c r="E147" t="s">
        <v>1415</v>
      </c>
      <c r="F147"/>
      <c r="G147" s="107">
        <v>132743.88</v>
      </c>
    </row>
    <row r="148" spans="1:7">
      <c r="A148" s="163" t="s">
        <v>7</v>
      </c>
      <c r="B148" s="163" t="s">
        <v>8</v>
      </c>
      <c r="C148" s="163"/>
      <c r="D148" s="163"/>
      <c r="E148" s="163" t="s">
        <v>276</v>
      </c>
      <c r="F148" s="163"/>
      <c r="G148" s="164">
        <v>11960556.029999999</v>
      </c>
    </row>
    <row r="149" spans="1:7">
      <c r="A149" s="128" t="s">
        <v>7</v>
      </c>
      <c r="B149" s="128" t="s">
        <v>2117</v>
      </c>
      <c r="C149" s="128"/>
      <c r="D149" s="128"/>
      <c r="E149" s="128" t="s">
        <v>277</v>
      </c>
      <c r="F149" s="128"/>
      <c r="G149" s="129">
        <v>7612289</v>
      </c>
    </row>
    <row r="150" spans="1:7">
      <c r="A150" t="s">
        <v>7</v>
      </c>
      <c r="B150" t="s">
        <v>19</v>
      </c>
      <c r="C150" t="s">
        <v>236</v>
      </c>
      <c r="D150"/>
      <c r="E150" t="s">
        <v>278</v>
      </c>
      <c r="F150"/>
      <c r="G150" s="107">
        <v>1848000</v>
      </c>
    </row>
    <row r="151" spans="1:7">
      <c r="A151" t="s">
        <v>7</v>
      </c>
      <c r="B151" t="s">
        <v>19</v>
      </c>
      <c r="C151" t="s">
        <v>236</v>
      </c>
      <c r="D151"/>
      <c r="E151" t="s">
        <v>279</v>
      </c>
      <c r="F151"/>
      <c r="G151" s="107">
        <v>127998</v>
      </c>
    </row>
    <row r="152" spans="1:7">
      <c r="A152" t="s">
        <v>7</v>
      </c>
      <c r="B152" t="s">
        <v>19</v>
      </c>
      <c r="C152" t="s">
        <v>236</v>
      </c>
      <c r="D152"/>
      <c r="E152" t="s">
        <v>280</v>
      </c>
      <c r="F152"/>
      <c r="G152" s="107">
        <v>0</v>
      </c>
    </row>
    <row r="153" spans="1:7">
      <c r="A153" t="s">
        <v>7</v>
      </c>
      <c r="B153" t="s">
        <v>19</v>
      </c>
      <c r="C153" t="s">
        <v>236</v>
      </c>
      <c r="D153"/>
      <c r="E153" t="s">
        <v>281</v>
      </c>
      <c r="F153"/>
      <c r="G153" s="107">
        <v>0</v>
      </c>
    </row>
    <row r="154" spans="1:7">
      <c r="A154" t="s">
        <v>7</v>
      </c>
      <c r="B154" t="s">
        <v>19</v>
      </c>
      <c r="C154" t="s">
        <v>236</v>
      </c>
      <c r="D154"/>
      <c r="E154" t="s">
        <v>282</v>
      </c>
      <c r="F154"/>
      <c r="G154" s="107">
        <v>22974</v>
      </c>
    </row>
    <row r="155" spans="1:7">
      <c r="A155" t="s">
        <v>7</v>
      </c>
      <c r="B155" t="s">
        <v>19</v>
      </c>
      <c r="C155" t="s">
        <v>236</v>
      </c>
      <c r="D155"/>
      <c r="E155" t="s">
        <v>283</v>
      </c>
      <c r="F155"/>
      <c r="G155" s="107">
        <v>39384</v>
      </c>
    </row>
    <row r="156" spans="1:7">
      <c r="A156" t="s">
        <v>7</v>
      </c>
      <c r="B156" t="s">
        <v>19</v>
      </c>
      <c r="C156" t="s">
        <v>236</v>
      </c>
      <c r="D156"/>
      <c r="E156" t="s">
        <v>284</v>
      </c>
      <c r="F156"/>
      <c r="G156" s="107">
        <v>14700</v>
      </c>
    </row>
    <row r="157" spans="1:7">
      <c r="A157" t="s">
        <v>7</v>
      </c>
      <c r="B157" t="s">
        <v>19</v>
      </c>
      <c r="C157" t="s">
        <v>236</v>
      </c>
      <c r="D157"/>
      <c r="E157" t="s">
        <v>285</v>
      </c>
      <c r="F157"/>
      <c r="G157" s="107">
        <v>1000000</v>
      </c>
    </row>
    <row r="158" spans="1:7">
      <c r="A158" t="s">
        <v>7</v>
      </c>
      <c r="B158" t="s">
        <v>19</v>
      </c>
      <c r="C158" t="s">
        <v>236</v>
      </c>
      <c r="D158"/>
      <c r="E158" t="s">
        <v>286</v>
      </c>
      <c r="F158"/>
      <c r="G158" s="107">
        <v>118152</v>
      </c>
    </row>
    <row r="159" spans="1:7">
      <c r="A159" t="s">
        <v>7</v>
      </c>
      <c r="B159" t="s">
        <v>19</v>
      </c>
      <c r="C159" t="s">
        <v>236</v>
      </c>
      <c r="D159"/>
      <c r="E159" t="s">
        <v>287</v>
      </c>
      <c r="F159"/>
      <c r="G159" s="107">
        <v>0</v>
      </c>
    </row>
    <row r="160" spans="1:7">
      <c r="A160" t="s">
        <v>7</v>
      </c>
      <c r="B160" t="s">
        <v>19</v>
      </c>
      <c r="C160" t="s">
        <v>236</v>
      </c>
      <c r="D160"/>
      <c r="E160" t="s">
        <v>288</v>
      </c>
      <c r="F160"/>
      <c r="G160" s="107">
        <v>0</v>
      </c>
    </row>
    <row r="161" spans="1:7">
      <c r="A161" t="s">
        <v>7</v>
      </c>
      <c r="B161" t="s">
        <v>19</v>
      </c>
      <c r="C161" t="s">
        <v>236</v>
      </c>
      <c r="D161"/>
      <c r="E161" t="s">
        <v>289</v>
      </c>
      <c r="F161"/>
      <c r="G161" s="107">
        <v>22974</v>
      </c>
    </row>
    <row r="162" spans="1:7">
      <c r="A162" t="s">
        <v>7</v>
      </c>
      <c r="B162" t="s">
        <v>19</v>
      </c>
      <c r="C162" t="s">
        <v>236</v>
      </c>
      <c r="D162"/>
      <c r="E162" t="s">
        <v>290</v>
      </c>
      <c r="F162"/>
      <c r="G162" s="107">
        <v>36102</v>
      </c>
    </row>
    <row r="163" spans="1:7">
      <c r="A163" t="s">
        <v>7</v>
      </c>
      <c r="B163" t="s">
        <v>19</v>
      </c>
      <c r="C163" t="s">
        <v>236</v>
      </c>
      <c r="D163"/>
      <c r="E163" t="s">
        <v>291</v>
      </c>
      <c r="F163"/>
      <c r="G163" s="107">
        <v>14700</v>
      </c>
    </row>
    <row r="164" spans="1:7">
      <c r="A164" t="s">
        <v>7</v>
      </c>
      <c r="B164" t="s">
        <v>19</v>
      </c>
      <c r="C164" t="s">
        <v>236</v>
      </c>
      <c r="D164"/>
      <c r="E164" t="s">
        <v>292</v>
      </c>
      <c r="F164"/>
      <c r="G164" s="107">
        <v>210000</v>
      </c>
    </row>
    <row r="165" spans="1:7">
      <c r="A165" t="s">
        <v>7</v>
      </c>
      <c r="B165" t="s">
        <v>19</v>
      </c>
      <c r="C165" t="s">
        <v>236</v>
      </c>
      <c r="D165"/>
      <c r="E165" t="s">
        <v>293</v>
      </c>
      <c r="F165"/>
      <c r="G165" s="107">
        <v>96852</v>
      </c>
    </row>
    <row r="166" spans="1:7">
      <c r="A166" t="s">
        <v>7</v>
      </c>
      <c r="B166" t="s">
        <v>19</v>
      </c>
      <c r="C166" t="s">
        <v>236</v>
      </c>
      <c r="D166"/>
      <c r="E166" t="s">
        <v>294</v>
      </c>
      <c r="F166"/>
      <c r="G166" s="107">
        <v>0</v>
      </c>
    </row>
    <row r="167" spans="1:7">
      <c r="A167" t="s">
        <v>7</v>
      </c>
      <c r="B167" t="s">
        <v>19</v>
      </c>
      <c r="C167" t="s">
        <v>236</v>
      </c>
      <c r="D167"/>
      <c r="E167" t="s">
        <v>295</v>
      </c>
      <c r="F167"/>
      <c r="G167" s="107">
        <v>0</v>
      </c>
    </row>
    <row r="168" spans="1:7">
      <c r="A168" t="s">
        <v>7</v>
      </c>
      <c r="B168" t="s">
        <v>19</v>
      </c>
      <c r="C168" t="s">
        <v>236</v>
      </c>
      <c r="D168"/>
      <c r="E168" t="s">
        <v>296</v>
      </c>
      <c r="F168"/>
      <c r="G168" s="107">
        <v>32284</v>
      </c>
    </row>
    <row r="169" spans="1:7">
      <c r="A169" t="s">
        <v>7</v>
      </c>
      <c r="B169" t="s">
        <v>19</v>
      </c>
      <c r="C169" t="s">
        <v>236</v>
      </c>
      <c r="D169"/>
      <c r="E169" t="s">
        <v>297</v>
      </c>
      <c r="F169"/>
      <c r="G169" s="107">
        <v>32284</v>
      </c>
    </row>
    <row r="170" spans="1:7">
      <c r="A170" t="s">
        <v>7</v>
      </c>
      <c r="B170" t="s">
        <v>19</v>
      </c>
      <c r="C170" t="s">
        <v>236</v>
      </c>
      <c r="D170"/>
      <c r="E170" t="s">
        <v>298</v>
      </c>
      <c r="F170"/>
      <c r="G170" s="107">
        <v>14700</v>
      </c>
    </row>
    <row r="171" spans="1:7">
      <c r="A171" t="s">
        <v>7</v>
      </c>
      <c r="B171" t="s">
        <v>19</v>
      </c>
      <c r="C171" t="s">
        <v>236</v>
      </c>
      <c r="D171"/>
      <c r="E171" t="s">
        <v>299</v>
      </c>
      <c r="F171"/>
      <c r="G171" s="107">
        <v>252000</v>
      </c>
    </row>
    <row r="172" spans="1:7">
      <c r="A172" t="s">
        <v>7</v>
      </c>
      <c r="B172" t="s">
        <v>19</v>
      </c>
      <c r="C172" t="s">
        <v>236</v>
      </c>
      <c r="D172"/>
      <c r="E172" t="s">
        <v>300</v>
      </c>
      <c r="F172"/>
      <c r="G172" s="107">
        <v>98460</v>
      </c>
    </row>
    <row r="173" spans="1:7">
      <c r="A173" t="s">
        <v>7</v>
      </c>
      <c r="B173" t="s">
        <v>19</v>
      </c>
      <c r="C173" t="s">
        <v>236</v>
      </c>
      <c r="D173"/>
      <c r="E173" t="s">
        <v>301</v>
      </c>
      <c r="F173"/>
      <c r="G173" s="107">
        <v>22974</v>
      </c>
    </row>
    <row r="174" spans="1:7">
      <c r="A174" t="s">
        <v>7</v>
      </c>
      <c r="B174" t="s">
        <v>19</v>
      </c>
      <c r="C174" t="s">
        <v>236</v>
      </c>
      <c r="D174"/>
      <c r="E174" t="s">
        <v>302</v>
      </c>
      <c r="F174"/>
      <c r="G174" s="107">
        <v>49230</v>
      </c>
    </row>
    <row r="175" spans="1:7">
      <c r="A175" t="s">
        <v>7</v>
      </c>
      <c r="B175" t="s">
        <v>19</v>
      </c>
      <c r="C175" t="s">
        <v>236</v>
      </c>
      <c r="D175"/>
      <c r="E175" t="s">
        <v>303</v>
      </c>
      <c r="F175"/>
      <c r="G175" s="107">
        <v>14700</v>
      </c>
    </row>
    <row r="176" spans="1:7">
      <c r="A176" t="s">
        <v>7</v>
      </c>
      <c r="B176" t="s">
        <v>19</v>
      </c>
      <c r="C176" t="s">
        <v>236</v>
      </c>
      <c r="D176"/>
      <c r="E176" t="s">
        <v>304</v>
      </c>
      <c r="F176"/>
      <c r="G176" s="107">
        <v>252000</v>
      </c>
    </row>
    <row r="177" spans="1:7">
      <c r="A177" t="s">
        <v>7</v>
      </c>
      <c r="B177" t="s">
        <v>19</v>
      </c>
      <c r="C177" t="s">
        <v>236</v>
      </c>
      <c r="D177"/>
      <c r="E177" t="s">
        <v>305</v>
      </c>
      <c r="F177"/>
      <c r="G177" s="107">
        <v>88614</v>
      </c>
    </row>
    <row r="178" spans="1:7">
      <c r="A178" t="s">
        <v>7</v>
      </c>
      <c r="B178" t="s">
        <v>19</v>
      </c>
      <c r="C178" t="s">
        <v>236</v>
      </c>
      <c r="D178"/>
      <c r="E178" t="s">
        <v>306</v>
      </c>
      <c r="F178"/>
      <c r="G178" s="107">
        <v>22974</v>
      </c>
    </row>
    <row r="179" spans="1:7">
      <c r="A179" t="s">
        <v>7</v>
      </c>
      <c r="B179" t="s">
        <v>19</v>
      </c>
      <c r="C179" t="s">
        <v>236</v>
      </c>
      <c r="D179"/>
      <c r="E179" t="s">
        <v>307</v>
      </c>
      <c r="F179"/>
      <c r="G179" s="107">
        <v>42666</v>
      </c>
    </row>
    <row r="180" spans="1:7">
      <c r="A180" t="s">
        <v>7</v>
      </c>
      <c r="B180" t="s">
        <v>19</v>
      </c>
      <c r="C180" t="s">
        <v>236</v>
      </c>
      <c r="D180"/>
      <c r="E180" t="s">
        <v>308</v>
      </c>
      <c r="F180"/>
      <c r="G180" s="107">
        <v>14700</v>
      </c>
    </row>
    <row r="181" spans="1:7">
      <c r="A181" t="s">
        <v>7</v>
      </c>
      <c r="B181" t="s">
        <v>19</v>
      </c>
      <c r="C181" t="s">
        <v>236</v>
      </c>
      <c r="D181"/>
      <c r="E181" t="s">
        <v>309</v>
      </c>
      <c r="F181"/>
      <c r="G181" s="107">
        <v>228375</v>
      </c>
    </row>
    <row r="182" spans="1:7">
      <c r="A182" t="s">
        <v>7</v>
      </c>
      <c r="B182" t="s">
        <v>19</v>
      </c>
      <c r="C182" t="s">
        <v>236</v>
      </c>
      <c r="D182"/>
      <c r="E182" t="s">
        <v>310</v>
      </c>
      <c r="F182"/>
      <c r="G182" s="107">
        <v>13128</v>
      </c>
    </row>
    <row r="183" spans="1:7">
      <c r="A183" t="s">
        <v>7</v>
      </c>
      <c r="B183" t="s">
        <v>19</v>
      </c>
      <c r="C183" t="s">
        <v>236</v>
      </c>
      <c r="D183"/>
      <c r="E183" t="s">
        <v>2166</v>
      </c>
      <c r="F183"/>
      <c r="G183" s="107">
        <v>3282</v>
      </c>
    </row>
    <row r="184" spans="1:7">
      <c r="A184" t="s">
        <v>7</v>
      </c>
      <c r="B184" t="s">
        <v>19</v>
      </c>
      <c r="C184" t="s">
        <v>236</v>
      </c>
      <c r="D184"/>
      <c r="E184" t="s">
        <v>2167</v>
      </c>
      <c r="F184"/>
      <c r="G184" s="107">
        <v>3282</v>
      </c>
    </row>
    <row r="185" spans="1:7">
      <c r="A185" t="s">
        <v>7</v>
      </c>
      <c r="B185" t="s">
        <v>19</v>
      </c>
      <c r="C185" t="s">
        <v>236</v>
      </c>
      <c r="D185"/>
      <c r="E185" t="s">
        <v>2168</v>
      </c>
      <c r="F185"/>
      <c r="G185" s="107">
        <v>1500</v>
      </c>
    </row>
    <row r="186" spans="1:7">
      <c r="A186" t="s">
        <v>7</v>
      </c>
      <c r="B186" t="s">
        <v>19</v>
      </c>
      <c r="C186" t="s">
        <v>236</v>
      </c>
      <c r="D186"/>
      <c r="E186" t="s">
        <v>2169</v>
      </c>
      <c r="F186"/>
      <c r="G186" s="107">
        <v>441000</v>
      </c>
    </row>
    <row r="187" spans="1:7">
      <c r="A187" t="s">
        <v>7</v>
      </c>
      <c r="B187" t="s">
        <v>19</v>
      </c>
      <c r="C187" t="s">
        <v>236</v>
      </c>
      <c r="D187"/>
      <c r="E187" t="s">
        <v>2170</v>
      </c>
      <c r="F187"/>
      <c r="G187" s="107">
        <v>26256</v>
      </c>
    </row>
    <row r="188" spans="1:7">
      <c r="A188" t="s">
        <v>7</v>
      </c>
      <c r="B188" t="s">
        <v>19</v>
      </c>
      <c r="C188" t="s">
        <v>236</v>
      </c>
      <c r="D188"/>
      <c r="E188" t="s">
        <v>2171</v>
      </c>
      <c r="F188"/>
      <c r="G188" s="107">
        <v>3282</v>
      </c>
    </row>
    <row r="189" spans="1:7">
      <c r="A189" t="s">
        <v>7</v>
      </c>
      <c r="B189" t="s">
        <v>19</v>
      </c>
      <c r="C189" t="s">
        <v>236</v>
      </c>
      <c r="D189"/>
      <c r="E189" t="s">
        <v>2172</v>
      </c>
      <c r="F189"/>
      <c r="G189" s="107">
        <v>0</v>
      </c>
    </row>
    <row r="190" spans="1:7">
      <c r="A190" t="s">
        <v>7</v>
      </c>
      <c r="B190" t="s">
        <v>19</v>
      </c>
      <c r="C190" t="s">
        <v>236</v>
      </c>
      <c r="D190"/>
      <c r="E190" t="s">
        <v>2173</v>
      </c>
      <c r="F190"/>
      <c r="G190" s="107">
        <v>3900</v>
      </c>
    </row>
    <row r="191" spans="1:7">
      <c r="A191" t="s">
        <v>7</v>
      </c>
      <c r="B191" t="s">
        <v>19</v>
      </c>
      <c r="C191" t="s">
        <v>236</v>
      </c>
      <c r="D191"/>
      <c r="E191" t="s">
        <v>2174</v>
      </c>
      <c r="F191"/>
      <c r="G191" s="107">
        <v>199500</v>
      </c>
    </row>
    <row r="192" spans="1:7">
      <c r="A192" t="s">
        <v>7</v>
      </c>
      <c r="B192" t="s">
        <v>19</v>
      </c>
      <c r="C192" t="s">
        <v>236</v>
      </c>
      <c r="D192"/>
      <c r="E192" t="s">
        <v>2175</v>
      </c>
      <c r="F192"/>
      <c r="G192" s="107">
        <v>36102</v>
      </c>
    </row>
    <row r="193" spans="1:7">
      <c r="A193" t="s">
        <v>7</v>
      </c>
      <c r="B193" t="s">
        <v>19</v>
      </c>
      <c r="C193" t="s">
        <v>236</v>
      </c>
      <c r="D193"/>
      <c r="E193" t="s">
        <v>2176</v>
      </c>
      <c r="F193"/>
      <c r="G193" s="107">
        <v>6564</v>
      </c>
    </row>
    <row r="194" spans="1:7">
      <c r="A194" t="s">
        <v>7</v>
      </c>
      <c r="B194" t="s">
        <v>19</v>
      </c>
      <c r="C194" t="s">
        <v>236</v>
      </c>
      <c r="D194"/>
      <c r="E194" t="s">
        <v>2177</v>
      </c>
      <c r="F194"/>
      <c r="G194" s="107">
        <v>0</v>
      </c>
    </row>
    <row r="195" spans="1:7">
      <c r="A195" t="s">
        <v>7</v>
      </c>
      <c r="B195" t="s">
        <v>19</v>
      </c>
      <c r="C195" t="s">
        <v>236</v>
      </c>
      <c r="D195"/>
      <c r="E195" t="s">
        <v>2178</v>
      </c>
      <c r="F195"/>
      <c r="G195" s="107">
        <v>3900</v>
      </c>
    </row>
    <row r="196" spans="1:7">
      <c r="A196" t="s">
        <v>7</v>
      </c>
      <c r="B196" t="s">
        <v>19</v>
      </c>
      <c r="C196" t="s">
        <v>236</v>
      </c>
      <c r="D196"/>
      <c r="E196" t="s">
        <v>2179</v>
      </c>
      <c r="F196"/>
      <c r="G196" s="107">
        <v>483000</v>
      </c>
    </row>
    <row r="197" spans="1:7">
      <c r="A197" t="s">
        <v>7</v>
      </c>
      <c r="B197" t="s">
        <v>19</v>
      </c>
      <c r="C197" t="s">
        <v>236</v>
      </c>
      <c r="D197"/>
      <c r="E197" t="s">
        <v>2180</v>
      </c>
      <c r="F197"/>
      <c r="G197" s="107">
        <v>26256</v>
      </c>
    </row>
    <row r="198" spans="1:7">
      <c r="A198" t="s">
        <v>7</v>
      </c>
      <c r="B198" t="s">
        <v>19</v>
      </c>
      <c r="C198" t="s">
        <v>236</v>
      </c>
      <c r="D198"/>
      <c r="E198" t="s">
        <v>2181</v>
      </c>
      <c r="F198"/>
      <c r="G198" s="107">
        <v>13128</v>
      </c>
    </row>
    <row r="199" spans="1:7">
      <c r="A199" t="s">
        <v>7</v>
      </c>
      <c r="B199" t="s">
        <v>19</v>
      </c>
      <c r="C199" t="s">
        <v>236</v>
      </c>
      <c r="D199"/>
      <c r="E199" t="s">
        <v>2182</v>
      </c>
      <c r="F199"/>
      <c r="G199" s="107">
        <v>0</v>
      </c>
    </row>
    <row r="200" spans="1:7">
      <c r="A200" t="s">
        <v>7</v>
      </c>
      <c r="B200" t="s">
        <v>19</v>
      </c>
      <c r="C200" t="s">
        <v>236</v>
      </c>
      <c r="D200"/>
      <c r="E200" t="s">
        <v>2183</v>
      </c>
      <c r="F200"/>
      <c r="G200" s="107">
        <v>3600</v>
      </c>
    </row>
    <row r="201" spans="1:7">
      <c r="A201" t="s">
        <v>7</v>
      </c>
      <c r="B201" t="s">
        <v>19</v>
      </c>
      <c r="C201" t="s">
        <v>236</v>
      </c>
      <c r="D201"/>
      <c r="E201" t="s">
        <v>2184</v>
      </c>
      <c r="F201"/>
      <c r="G201" s="107">
        <v>960000</v>
      </c>
    </row>
    <row r="202" spans="1:7">
      <c r="A202" t="s">
        <v>7</v>
      </c>
      <c r="B202" t="s">
        <v>19</v>
      </c>
      <c r="C202" t="s">
        <v>236</v>
      </c>
      <c r="D202"/>
      <c r="E202" t="s">
        <v>2185</v>
      </c>
      <c r="F202"/>
      <c r="G202" s="107">
        <v>124524</v>
      </c>
    </row>
    <row r="203" spans="1:7">
      <c r="A203" t="s">
        <v>7</v>
      </c>
      <c r="B203" t="s">
        <v>19</v>
      </c>
      <c r="C203" t="s">
        <v>236</v>
      </c>
      <c r="D203"/>
      <c r="E203" t="s">
        <v>2186</v>
      </c>
      <c r="F203"/>
      <c r="G203" s="107">
        <v>416000</v>
      </c>
    </row>
    <row r="204" spans="1:7">
      <c r="A204" t="s">
        <v>7</v>
      </c>
      <c r="B204" t="s">
        <v>19</v>
      </c>
      <c r="C204" t="s">
        <v>236</v>
      </c>
      <c r="D204"/>
      <c r="E204" t="s">
        <v>2187</v>
      </c>
      <c r="F204"/>
      <c r="G204" s="107">
        <v>68922</v>
      </c>
    </row>
    <row r="205" spans="1:7">
      <c r="A205" t="s">
        <v>7</v>
      </c>
      <c r="B205" t="s">
        <v>19</v>
      </c>
      <c r="C205" t="s">
        <v>236</v>
      </c>
      <c r="D205"/>
      <c r="E205" t="s">
        <v>2188</v>
      </c>
      <c r="F205"/>
      <c r="G205" s="107">
        <v>22974</v>
      </c>
    </row>
    <row r="206" spans="1:7">
      <c r="A206" t="s">
        <v>7</v>
      </c>
      <c r="B206" t="s">
        <v>19</v>
      </c>
      <c r="C206" t="s">
        <v>236</v>
      </c>
      <c r="D206"/>
      <c r="E206" t="s">
        <v>2189</v>
      </c>
      <c r="F206"/>
      <c r="G206" s="107">
        <v>19692</v>
      </c>
    </row>
    <row r="207" spans="1:7">
      <c r="A207" t="s">
        <v>7</v>
      </c>
      <c r="B207" t="s">
        <v>19</v>
      </c>
      <c r="C207" t="s">
        <v>236</v>
      </c>
      <c r="D207"/>
      <c r="E207" t="s">
        <v>2190</v>
      </c>
      <c r="F207"/>
      <c r="G207" s="107">
        <v>14700</v>
      </c>
    </row>
    <row r="208" spans="1:7">
      <c r="A208" s="128" t="s">
        <v>7</v>
      </c>
      <c r="B208" s="128" t="s">
        <v>2117</v>
      </c>
      <c r="C208" s="128"/>
      <c r="D208" s="128"/>
      <c r="E208" s="128" t="s">
        <v>311</v>
      </c>
      <c r="F208" s="128"/>
      <c r="G208" s="129">
        <v>1240398</v>
      </c>
    </row>
    <row r="209" spans="1:7">
      <c r="A209" t="s">
        <v>7</v>
      </c>
      <c r="B209" t="s">
        <v>19</v>
      </c>
      <c r="C209" t="s">
        <v>236</v>
      </c>
      <c r="D209"/>
      <c r="E209" t="s">
        <v>312</v>
      </c>
      <c r="F209"/>
      <c r="G209" s="107">
        <v>236250</v>
      </c>
    </row>
    <row r="210" spans="1:7">
      <c r="A210" t="s">
        <v>7</v>
      </c>
      <c r="B210" t="s">
        <v>19</v>
      </c>
      <c r="C210" t="s">
        <v>236</v>
      </c>
      <c r="D210"/>
      <c r="E210" t="s">
        <v>313</v>
      </c>
      <c r="F210"/>
      <c r="G210" s="107">
        <v>22974</v>
      </c>
    </row>
    <row r="211" spans="1:7">
      <c r="A211" t="s">
        <v>7</v>
      </c>
      <c r="B211" t="s">
        <v>19</v>
      </c>
      <c r="C211" t="s">
        <v>236</v>
      </c>
      <c r="D211"/>
      <c r="E211" t="s">
        <v>314</v>
      </c>
      <c r="F211"/>
      <c r="G211" s="107">
        <v>0</v>
      </c>
    </row>
    <row r="212" spans="1:7">
      <c r="A212" t="s">
        <v>7</v>
      </c>
      <c r="B212" t="s">
        <v>19</v>
      </c>
      <c r="C212" t="s">
        <v>236</v>
      </c>
      <c r="D212"/>
      <c r="E212" t="s">
        <v>315</v>
      </c>
      <c r="F212"/>
      <c r="G212" s="107">
        <v>0</v>
      </c>
    </row>
    <row r="213" spans="1:7">
      <c r="A213" t="s">
        <v>7</v>
      </c>
      <c r="B213" t="s">
        <v>19</v>
      </c>
      <c r="C213" t="s">
        <v>236</v>
      </c>
      <c r="D213"/>
      <c r="E213" t="s">
        <v>316</v>
      </c>
      <c r="F213"/>
      <c r="G213" s="107">
        <v>0</v>
      </c>
    </row>
    <row r="214" spans="1:7">
      <c r="A214" t="s">
        <v>7</v>
      </c>
      <c r="B214" t="s">
        <v>19</v>
      </c>
      <c r="C214" t="s">
        <v>236</v>
      </c>
      <c r="D214"/>
      <c r="E214" t="s">
        <v>317</v>
      </c>
      <c r="F214"/>
      <c r="G214" s="107">
        <v>94500</v>
      </c>
    </row>
    <row r="215" spans="1:7">
      <c r="A215" t="s">
        <v>7</v>
      </c>
      <c r="B215" t="s">
        <v>19</v>
      </c>
      <c r="C215" t="s">
        <v>236</v>
      </c>
      <c r="D215"/>
      <c r="E215" t="s">
        <v>318</v>
      </c>
      <c r="F215"/>
      <c r="G215" s="107">
        <v>16410</v>
      </c>
    </row>
    <row r="216" spans="1:7">
      <c r="A216" t="s">
        <v>7</v>
      </c>
      <c r="B216" t="s">
        <v>19</v>
      </c>
      <c r="C216" t="s">
        <v>236</v>
      </c>
      <c r="D216"/>
      <c r="E216" t="s">
        <v>319</v>
      </c>
      <c r="F216"/>
      <c r="G216" s="107">
        <v>0</v>
      </c>
    </row>
    <row r="217" spans="1:7">
      <c r="A217" t="s">
        <v>7</v>
      </c>
      <c r="B217" t="s">
        <v>19</v>
      </c>
      <c r="C217" t="s">
        <v>236</v>
      </c>
      <c r="D217"/>
      <c r="E217" t="s">
        <v>320</v>
      </c>
      <c r="F217"/>
      <c r="G217" s="107">
        <v>0</v>
      </c>
    </row>
    <row r="218" spans="1:7">
      <c r="A218" t="s">
        <v>7</v>
      </c>
      <c r="B218" t="s">
        <v>19</v>
      </c>
      <c r="C218" t="s">
        <v>236</v>
      </c>
      <c r="D218"/>
      <c r="E218" t="s">
        <v>321</v>
      </c>
      <c r="F218"/>
      <c r="G218" s="107">
        <v>2100</v>
      </c>
    </row>
    <row r="219" spans="1:7">
      <c r="A219" t="s">
        <v>7</v>
      </c>
      <c r="B219" t="s">
        <v>19</v>
      </c>
      <c r="C219" t="s">
        <v>236</v>
      </c>
      <c r="D219"/>
      <c r="E219" t="s">
        <v>322</v>
      </c>
      <c r="F219"/>
      <c r="G219" s="107">
        <v>61678.32</v>
      </c>
    </row>
    <row r="220" spans="1:7">
      <c r="A220" t="s">
        <v>7</v>
      </c>
      <c r="B220" t="s">
        <v>19</v>
      </c>
      <c r="C220" t="s">
        <v>236</v>
      </c>
      <c r="D220"/>
      <c r="E220" t="s">
        <v>323</v>
      </c>
      <c r="F220"/>
      <c r="G220" s="107">
        <v>16410</v>
      </c>
    </row>
    <row r="221" spans="1:7">
      <c r="A221" t="s">
        <v>7</v>
      </c>
      <c r="B221" t="s">
        <v>19</v>
      </c>
      <c r="C221" t="s">
        <v>236</v>
      </c>
      <c r="D221"/>
      <c r="E221" t="s">
        <v>324</v>
      </c>
      <c r="F221"/>
      <c r="G221" s="107">
        <v>0</v>
      </c>
    </row>
    <row r="222" spans="1:7">
      <c r="A222" t="s">
        <v>7</v>
      </c>
      <c r="B222" t="s">
        <v>19</v>
      </c>
      <c r="C222" t="s">
        <v>236</v>
      </c>
      <c r="D222"/>
      <c r="E222" t="s">
        <v>325</v>
      </c>
      <c r="F222"/>
      <c r="G222" s="107">
        <v>0</v>
      </c>
    </row>
    <row r="223" spans="1:7">
      <c r="A223" t="s">
        <v>7</v>
      </c>
      <c r="B223" t="s">
        <v>19</v>
      </c>
      <c r="C223" t="s">
        <v>236</v>
      </c>
      <c r="D223"/>
      <c r="E223" t="s">
        <v>326</v>
      </c>
      <c r="F223"/>
      <c r="G223" s="107">
        <v>0</v>
      </c>
    </row>
    <row r="224" spans="1:7">
      <c r="A224" t="s">
        <v>7</v>
      </c>
      <c r="B224" t="s">
        <v>19</v>
      </c>
      <c r="C224" t="s">
        <v>236</v>
      </c>
      <c r="D224"/>
      <c r="E224" t="s">
        <v>327</v>
      </c>
      <c r="F224"/>
      <c r="G224" s="107">
        <v>94500</v>
      </c>
    </row>
    <row r="225" spans="1:7">
      <c r="A225" t="s">
        <v>7</v>
      </c>
      <c r="B225" t="s">
        <v>19</v>
      </c>
      <c r="C225" t="s">
        <v>236</v>
      </c>
      <c r="D225"/>
      <c r="E225" t="s">
        <v>328</v>
      </c>
      <c r="F225"/>
      <c r="G225" s="107">
        <v>39384</v>
      </c>
    </row>
    <row r="226" spans="1:7">
      <c r="A226" t="s">
        <v>7</v>
      </c>
      <c r="B226" t="s">
        <v>19</v>
      </c>
      <c r="C226" t="s">
        <v>236</v>
      </c>
      <c r="D226"/>
      <c r="E226" t="s">
        <v>329</v>
      </c>
      <c r="F226"/>
      <c r="G226" s="107">
        <v>0</v>
      </c>
    </row>
    <row r="227" spans="1:7">
      <c r="A227" t="s">
        <v>7</v>
      </c>
      <c r="B227" t="s">
        <v>19</v>
      </c>
      <c r="C227" t="s">
        <v>236</v>
      </c>
      <c r="D227"/>
      <c r="E227" t="s">
        <v>330</v>
      </c>
      <c r="F227"/>
      <c r="G227" s="107">
        <v>19692</v>
      </c>
    </row>
    <row r="228" spans="1:7">
      <c r="A228" t="s">
        <v>7</v>
      </c>
      <c r="B228" t="s">
        <v>19</v>
      </c>
      <c r="C228" t="s">
        <v>236</v>
      </c>
      <c r="D228"/>
      <c r="E228" t="s">
        <v>331</v>
      </c>
      <c r="F228"/>
      <c r="G228" s="107">
        <v>0</v>
      </c>
    </row>
    <row r="229" spans="1:7">
      <c r="A229" t="s">
        <v>7</v>
      </c>
      <c r="B229" t="s">
        <v>19</v>
      </c>
      <c r="C229" t="s">
        <v>236</v>
      </c>
      <c r="D229"/>
      <c r="E229" t="s">
        <v>332</v>
      </c>
      <c r="F229"/>
      <c r="G229" s="107">
        <v>105000</v>
      </c>
    </row>
    <row r="230" spans="1:7">
      <c r="A230" t="s">
        <v>7</v>
      </c>
      <c r="B230" t="s">
        <v>19</v>
      </c>
      <c r="C230" t="s">
        <v>236</v>
      </c>
      <c r="D230"/>
      <c r="E230" t="s">
        <v>333</v>
      </c>
      <c r="F230"/>
      <c r="G230" s="107">
        <v>16410</v>
      </c>
    </row>
    <row r="231" spans="1:7">
      <c r="A231" t="s">
        <v>7</v>
      </c>
      <c r="B231" t="s">
        <v>19</v>
      </c>
      <c r="C231" t="s">
        <v>236</v>
      </c>
      <c r="D231"/>
      <c r="E231" t="s">
        <v>334</v>
      </c>
      <c r="F231"/>
      <c r="G231" s="107">
        <v>13128</v>
      </c>
    </row>
    <row r="232" spans="1:7">
      <c r="A232" t="s">
        <v>7</v>
      </c>
      <c r="B232" t="s">
        <v>19</v>
      </c>
      <c r="C232" t="s">
        <v>236</v>
      </c>
      <c r="D232"/>
      <c r="E232" t="s">
        <v>335</v>
      </c>
      <c r="F232"/>
      <c r="G232" s="107">
        <v>0</v>
      </c>
    </row>
    <row r="233" spans="1:7">
      <c r="A233" t="s">
        <v>7</v>
      </c>
      <c r="B233" t="s">
        <v>19</v>
      </c>
      <c r="C233" t="s">
        <v>236</v>
      </c>
      <c r="D233"/>
      <c r="E233" t="s">
        <v>336</v>
      </c>
      <c r="F233"/>
      <c r="G233" s="107">
        <v>2700</v>
      </c>
    </row>
    <row r="234" spans="1:7">
      <c r="A234" t="s">
        <v>7</v>
      </c>
      <c r="B234" t="s">
        <v>19</v>
      </c>
      <c r="C234" t="s">
        <v>236</v>
      </c>
      <c r="D234"/>
      <c r="E234" t="s">
        <v>337</v>
      </c>
      <c r="F234"/>
      <c r="G234" s="107">
        <v>25200</v>
      </c>
    </row>
    <row r="235" spans="1:7">
      <c r="A235" t="s">
        <v>7</v>
      </c>
      <c r="B235" t="s">
        <v>19</v>
      </c>
      <c r="C235" t="s">
        <v>236</v>
      </c>
      <c r="D235"/>
      <c r="E235" t="s">
        <v>338</v>
      </c>
      <c r="F235"/>
      <c r="G235" s="107">
        <v>19692</v>
      </c>
    </row>
    <row r="236" spans="1:7">
      <c r="A236" t="s">
        <v>7</v>
      </c>
      <c r="B236" t="s">
        <v>19</v>
      </c>
      <c r="C236" t="s">
        <v>236</v>
      </c>
      <c r="D236"/>
      <c r="E236" t="s">
        <v>339</v>
      </c>
      <c r="F236"/>
      <c r="G236" s="107">
        <v>0</v>
      </c>
    </row>
    <row r="237" spans="1:7">
      <c r="A237" t="s">
        <v>7</v>
      </c>
      <c r="B237" t="s">
        <v>19</v>
      </c>
      <c r="C237" t="s">
        <v>236</v>
      </c>
      <c r="D237"/>
      <c r="E237" t="s">
        <v>340</v>
      </c>
      <c r="F237"/>
      <c r="G237" s="107">
        <v>0</v>
      </c>
    </row>
    <row r="238" spans="1:7">
      <c r="A238" t="s">
        <v>7</v>
      </c>
      <c r="B238" t="s">
        <v>19</v>
      </c>
      <c r="C238" t="s">
        <v>236</v>
      </c>
      <c r="D238"/>
      <c r="E238" t="s">
        <v>341</v>
      </c>
      <c r="F238"/>
      <c r="G238" s="107">
        <v>0</v>
      </c>
    </row>
    <row r="239" spans="1:7">
      <c r="A239" t="s">
        <v>7</v>
      </c>
      <c r="B239" t="s">
        <v>19</v>
      </c>
      <c r="C239" t="s">
        <v>236</v>
      </c>
      <c r="D239"/>
      <c r="E239" t="s">
        <v>342</v>
      </c>
      <c r="F239"/>
      <c r="G239" s="107">
        <v>16800</v>
      </c>
    </row>
    <row r="240" spans="1:7">
      <c r="A240" t="s">
        <v>7</v>
      </c>
      <c r="B240" t="s">
        <v>19</v>
      </c>
      <c r="C240" t="s">
        <v>236</v>
      </c>
      <c r="D240"/>
      <c r="E240" t="s">
        <v>343</v>
      </c>
      <c r="F240"/>
      <c r="G240" s="107">
        <v>19692</v>
      </c>
    </row>
    <row r="241" spans="1:7">
      <c r="A241" t="s">
        <v>7</v>
      </c>
      <c r="B241" t="s">
        <v>19</v>
      </c>
      <c r="C241" t="s">
        <v>236</v>
      </c>
      <c r="D241"/>
      <c r="E241" t="s">
        <v>344</v>
      </c>
      <c r="F241"/>
      <c r="G241" s="107">
        <v>0</v>
      </c>
    </row>
    <row r="242" spans="1:7">
      <c r="A242" t="s">
        <v>7</v>
      </c>
      <c r="B242" t="s">
        <v>19</v>
      </c>
      <c r="C242" t="s">
        <v>236</v>
      </c>
      <c r="D242"/>
      <c r="E242" t="s">
        <v>345</v>
      </c>
      <c r="F242"/>
      <c r="G242" s="107">
        <v>0</v>
      </c>
    </row>
    <row r="243" spans="1:7">
      <c r="A243" t="s">
        <v>7</v>
      </c>
      <c r="B243" t="s">
        <v>19</v>
      </c>
      <c r="C243" t="s">
        <v>236</v>
      </c>
      <c r="D243"/>
      <c r="E243" t="s">
        <v>346</v>
      </c>
      <c r="F243"/>
      <c r="G243" s="107">
        <v>0</v>
      </c>
    </row>
    <row r="244" spans="1:7">
      <c r="A244" t="s">
        <v>7</v>
      </c>
      <c r="B244" t="s">
        <v>19</v>
      </c>
      <c r="C244" t="s">
        <v>236</v>
      </c>
      <c r="D244"/>
      <c r="E244" t="s">
        <v>347</v>
      </c>
      <c r="F244"/>
      <c r="G244" s="107">
        <v>12600</v>
      </c>
    </row>
    <row r="245" spans="1:7">
      <c r="A245" t="s">
        <v>7</v>
      </c>
      <c r="B245" t="s">
        <v>19</v>
      </c>
      <c r="C245" t="s">
        <v>236</v>
      </c>
      <c r="D245"/>
      <c r="E245" t="s">
        <v>348</v>
      </c>
      <c r="F245"/>
      <c r="G245" s="107">
        <v>22974</v>
      </c>
    </row>
    <row r="246" spans="1:7">
      <c r="A246" t="s">
        <v>7</v>
      </c>
      <c r="B246" t="s">
        <v>19</v>
      </c>
      <c r="C246" t="s">
        <v>236</v>
      </c>
      <c r="D246"/>
      <c r="E246" t="s">
        <v>349</v>
      </c>
      <c r="F246"/>
      <c r="G246" s="107">
        <v>0</v>
      </c>
    </row>
    <row r="247" spans="1:7">
      <c r="A247" t="s">
        <v>7</v>
      </c>
      <c r="B247" t="s">
        <v>19</v>
      </c>
      <c r="C247" t="s">
        <v>236</v>
      </c>
      <c r="D247"/>
      <c r="E247" t="s">
        <v>350</v>
      </c>
      <c r="F247"/>
      <c r="G247" s="107">
        <v>0</v>
      </c>
    </row>
    <row r="248" spans="1:7">
      <c r="A248" t="s">
        <v>7</v>
      </c>
      <c r="B248" t="s">
        <v>19</v>
      </c>
      <c r="C248" t="s">
        <v>236</v>
      </c>
      <c r="D248"/>
      <c r="E248" t="s">
        <v>351</v>
      </c>
      <c r="F248"/>
      <c r="G248" s="107">
        <v>0</v>
      </c>
    </row>
    <row r="249" spans="1:7">
      <c r="A249" t="s">
        <v>7</v>
      </c>
      <c r="B249" t="s">
        <v>19</v>
      </c>
      <c r="C249" t="s">
        <v>236</v>
      </c>
      <c r="D249"/>
      <c r="E249" t="s">
        <v>2191</v>
      </c>
      <c r="F249"/>
      <c r="G249" s="107">
        <v>12600</v>
      </c>
    </row>
    <row r="250" spans="1:7">
      <c r="A250" t="s">
        <v>7</v>
      </c>
      <c r="B250" t="s">
        <v>19</v>
      </c>
      <c r="C250" t="s">
        <v>236</v>
      </c>
      <c r="D250"/>
      <c r="E250" t="s">
        <v>2192</v>
      </c>
      <c r="F250"/>
      <c r="G250" s="107">
        <v>22974</v>
      </c>
    </row>
    <row r="251" spans="1:7">
      <c r="A251" t="s">
        <v>7</v>
      </c>
      <c r="B251" t="s">
        <v>19</v>
      </c>
      <c r="C251" t="s">
        <v>236</v>
      </c>
      <c r="D251"/>
      <c r="E251" t="s">
        <v>2193</v>
      </c>
      <c r="F251"/>
      <c r="G251" s="107">
        <v>0</v>
      </c>
    </row>
    <row r="252" spans="1:7">
      <c r="A252" t="s">
        <v>7</v>
      </c>
      <c r="B252" t="s">
        <v>19</v>
      </c>
      <c r="C252" t="s">
        <v>236</v>
      </c>
      <c r="D252"/>
      <c r="E252" t="s">
        <v>2194</v>
      </c>
      <c r="F252"/>
      <c r="G252" s="107">
        <v>0</v>
      </c>
    </row>
    <row r="253" spans="1:7">
      <c r="A253" t="s">
        <v>7</v>
      </c>
      <c r="B253" t="s">
        <v>19</v>
      </c>
      <c r="C253" t="s">
        <v>236</v>
      </c>
      <c r="D253"/>
      <c r="E253" t="s">
        <v>2195</v>
      </c>
      <c r="F253"/>
      <c r="G253" s="107">
        <v>0</v>
      </c>
    </row>
    <row r="254" spans="1:7">
      <c r="A254" t="s">
        <v>7</v>
      </c>
      <c r="B254" t="s">
        <v>19</v>
      </c>
      <c r="C254" t="s">
        <v>236</v>
      </c>
      <c r="D254"/>
      <c r="E254" t="s">
        <v>2196</v>
      </c>
      <c r="F254"/>
      <c r="G254" s="107">
        <v>69300</v>
      </c>
    </row>
    <row r="255" spans="1:7">
      <c r="A255" t="s">
        <v>7</v>
      </c>
      <c r="B255" t="s">
        <v>19</v>
      </c>
      <c r="C255" t="s">
        <v>236</v>
      </c>
      <c r="D255"/>
      <c r="E255" t="s">
        <v>2197</v>
      </c>
      <c r="F255"/>
      <c r="G255" s="107">
        <v>29538</v>
      </c>
    </row>
    <row r="256" spans="1:7">
      <c r="A256" t="s">
        <v>7</v>
      </c>
      <c r="B256" t="s">
        <v>19</v>
      </c>
      <c r="C256" t="s">
        <v>236</v>
      </c>
      <c r="D256"/>
      <c r="E256" t="s">
        <v>2198</v>
      </c>
      <c r="F256"/>
      <c r="G256" s="107">
        <v>0</v>
      </c>
    </row>
    <row r="257" spans="1:7">
      <c r="A257" t="s">
        <v>7</v>
      </c>
      <c r="B257" t="s">
        <v>19</v>
      </c>
      <c r="C257" t="s">
        <v>236</v>
      </c>
      <c r="D257"/>
      <c r="E257" t="s">
        <v>2199</v>
      </c>
      <c r="F257"/>
      <c r="G257" s="107">
        <v>16410</v>
      </c>
    </row>
    <row r="258" spans="1:7">
      <c r="A258" t="s">
        <v>7</v>
      </c>
      <c r="B258" t="s">
        <v>19</v>
      </c>
      <c r="C258" t="s">
        <v>236</v>
      </c>
      <c r="D258"/>
      <c r="E258" t="s">
        <v>2200</v>
      </c>
      <c r="F258"/>
      <c r="G258" s="107">
        <v>0</v>
      </c>
    </row>
    <row r="259" spans="1:7">
      <c r="A259" t="s">
        <v>7</v>
      </c>
      <c r="B259" t="s">
        <v>19</v>
      </c>
      <c r="C259" t="s">
        <v>236</v>
      </c>
      <c r="D259"/>
      <c r="E259" t="s">
        <v>2201</v>
      </c>
      <c r="F259"/>
      <c r="G259" s="107">
        <v>20000</v>
      </c>
    </row>
    <row r="260" spans="1:7">
      <c r="A260" t="s">
        <v>7</v>
      </c>
      <c r="B260" t="s">
        <v>19</v>
      </c>
      <c r="C260" t="s">
        <v>236</v>
      </c>
      <c r="D260"/>
      <c r="E260" t="s">
        <v>2202</v>
      </c>
      <c r="F260"/>
      <c r="G260" s="107">
        <v>19692</v>
      </c>
    </row>
    <row r="261" spans="1:7">
      <c r="A261" t="s">
        <v>7</v>
      </c>
      <c r="B261" t="s">
        <v>19</v>
      </c>
      <c r="C261" t="s">
        <v>236</v>
      </c>
      <c r="D261"/>
      <c r="E261" t="s">
        <v>2203</v>
      </c>
      <c r="F261"/>
      <c r="G261" s="107">
        <v>19692</v>
      </c>
    </row>
    <row r="262" spans="1:7">
      <c r="A262" t="s">
        <v>7</v>
      </c>
      <c r="B262" t="s">
        <v>19</v>
      </c>
      <c r="C262" t="s">
        <v>236</v>
      </c>
      <c r="D262"/>
      <c r="E262" t="s">
        <v>2204</v>
      </c>
      <c r="F262"/>
      <c r="G262" s="107">
        <v>0</v>
      </c>
    </row>
    <row r="263" spans="1:7">
      <c r="A263" t="s">
        <v>7</v>
      </c>
      <c r="B263" t="s">
        <v>19</v>
      </c>
      <c r="C263" t="s">
        <v>236</v>
      </c>
      <c r="D263"/>
      <c r="E263" t="s">
        <v>2205</v>
      </c>
      <c r="F263"/>
      <c r="G263" s="107">
        <v>0</v>
      </c>
    </row>
    <row r="264" spans="1:7">
      <c r="A264" t="s">
        <v>7</v>
      </c>
      <c r="B264" t="s">
        <v>19</v>
      </c>
      <c r="C264" t="s">
        <v>236</v>
      </c>
      <c r="D264"/>
      <c r="E264" t="s">
        <v>2206</v>
      </c>
      <c r="F264"/>
      <c r="G264" s="107">
        <v>38850</v>
      </c>
    </row>
    <row r="265" spans="1:7">
      <c r="A265" t="s">
        <v>7</v>
      </c>
      <c r="B265" t="s">
        <v>19</v>
      </c>
      <c r="C265" t="s">
        <v>236</v>
      </c>
      <c r="D265"/>
      <c r="E265" t="s">
        <v>2207</v>
      </c>
      <c r="F265"/>
      <c r="G265" s="107">
        <v>9846</v>
      </c>
    </row>
    <row r="266" spans="1:7">
      <c r="A266" t="s">
        <v>7</v>
      </c>
      <c r="B266" t="s">
        <v>19</v>
      </c>
      <c r="C266" t="s">
        <v>236</v>
      </c>
      <c r="D266"/>
      <c r="E266" t="s">
        <v>2208</v>
      </c>
      <c r="F266"/>
      <c r="G266" s="107">
        <v>0</v>
      </c>
    </row>
    <row r="267" spans="1:7">
      <c r="A267" t="s">
        <v>7</v>
      </c>
      <c r="B267" t="s">
        <v>19</v>
      </c>
      <c r="C267" t="s">
        <v>236</v>
      </c>
      <c r="D267"/>
      <c r="E267" t="s">
        <v>2209</v>
      </c>
      <c r="F267"/>
      <c r="G267" s="107">
        <v>0</v>
      </c>
    </row>
    <row r="268" spans="1:7">
      <c r="A268" t="s">
        <v>7</v>
      </c>
      <c r="B268" t="s">
        <v>19</v>
      </c>
      <c r="C268" t="s">
        <v>236</v>
      </c>
      <c r="D268"/>
      <c r="E268" t="s">
        <v>2210</v>
      </c>
      <c r="F268"/>
      <c r="G268" s="107">
        <v>0</v>
      </c>
    </row>
    <row r="269" spans="1:7">
      <c r="A269" t="s">
        <v>7</v>
      </c>
      <c r="B269" t="s">
        <v>19</v>
      </c>
      <c r="C269" t="s">
        <v>236</v>
      </c>
      <c r="D269"/>
      <c r="E269" t="s">
        <v>2211</v>
      </c>
      <c r="F269"/>
      <c r="G269" s="107">
        <v>84000</v>
      </c>
    </row>
    <row r="270" spans="1:7">
      <c r="A270" t="s">
        <v>7</v>
      </c>
      <c r="B270" t="s">
        <v>19</v>
      </c>
      <c r="C270" t="s">
        <v>236</v>
      </c>
      <c r="D270"/>
      <c r="E270" t="s">
        <v>2212</v>
      </c>
      <c r="F270"/>
      <c r="G270" s="107">
        <v>16410</v>
      </c>
    </row>
    <row r="271" spans="1:7">
      <c r="A271" t="s">
        <v>7</v>
      </c>
      <c r="B271" t="s">
        <v>19</v>
      </c>
      <c r="C271" t="s">
        <v>236</v>
      </c>
      <c r="D271"/>
      <c r="E271" t="s">
        <v>2213</v>
      </c>
      <c r="F271"/>
      <c r="G271" s="107">
        <v>19692</v>
      </c>
    </row>
    <row r="272" spans="1:7">
      <c r="A272" t="s">
        <v>7</v>
      </c>
      <c r="B272" t="s">
        <v>19</v>
      </c>
      <c r="C272" t="s">
        <v>236</v>
      </c>
      <c r="D272"/>
      <c r="E272" t="s">
        <v>2214</v>
      </c>
      <c r="F272"/>
      <c r="G272" s="107">
        <v>0</v>
      </c>
    </row>
    <row r="273" spans="1:7">
      <c r="A273" t="s">
        <v>7</v>
      </c>
      <c r="B273" t="s">
        <v>19</v>
      </c>
      <c r="C273" t="s">
        <v>236</v>
      </c>
      <c r="D273"/>
      <c r="E273" t="s">
        <v>2215</v>
      </c>
      <c r="F273"/>
      <c r="G273" s="107">
        <v>3300</v>
      </c>
    </row>
    <row r="274" spans="1:7">
      <c r="A274" s="128" t="s">
        <v>7</v>
      </c>
      <c r="B274" s="128" t="s">
        <v>2117</v>
      </c>
      <c r="C274" s="128"/>
      <c r="D274" s="128"/>
      <c r="E274" s="128" t="s">
        <v>352</v>
      </c>
      <c r="F274" s="128"/>
      <c r="G274" s="129">
        <v>255106</v>
      </c>
    </row>
    <row r="275" spans="1:7">
      <c r="A275" t="s">
        <v>7</v>
      </c>
      <c r="B275" t="s">
        <v>19</v>
      </c>
      <c r="C275" t="s">
        <v>214</v>
      </c>
      <c r="D275"/>
      <c r="E275" t="s">
        <v>353</v>
      </c>
      <c r="F275"/>
      <c r="G275" s="107">
        <v>0</v>
      </c>
    </row>
    <row r="276" spans="1:7">
      <c r="A276" t="s">
        <v>7</v>
      </c>
      <c r="B276" t="s">
        <v>19</v>
      </c>
      <c r="C276" t="s">
        <v>214</v>
      </c>
      <c r="D276"/>
      <c r="E276" t="s">
        <v>354</v>
      </c>
      <c r="F276"/>
      <c r="G276" s="107">
        <v>0</v>
      </c>
    </row>
    <row r="277" spans="1:7">
      <c r="A277" t="s">
        <v>7</v>
      </c>
      <c r="B277" t="s">
        <v>19</v>
      </c>
      <c r="C277" t="s">
        <v>227</v>
      </c>
      <c r="D277"/>
      <c r="E277" t="s">
        <v>356</v>
      </c>
      <c r="F277"/>
      <c r="G277" s="107">
        <v>100000</v>
      </c>
    </row>
    <row r="278" spans="1:7">
      <c r="A278" t="s">
        <v>7</v>
      </c>
      <c r="B278" t="s">
        <v>19</v>
      </c>
      <c r="C278" t="s">
        <v>227</v>
      </c>
      <c r="D278"/>
      <c r="E278" t="s">
        <v>357</v>
      </c>
      <c r="F278"/>
      <c r="G278" s="107">
        <v>65640</v>
      </c>
    </row>
    <row r="279" spans="1:7">
      <c r="A279" t="s">
        <v>7</v>
      </c>
      <c r="B279" t="s">
        <v>19</v>
      </c>
      <c r="C279" t="s">
        <v>214</v>
      </c>
      <c r="D279"/>
      <c r="E279" t="s">
        <v>358</v>
      </c>
      <c r="F279"/>
      <c r="G279" s="107">
        <v>0</v>
      </c>
    </row>
    <row r="280" spans="1:7">
      <c r="A280" t="s">
        <v>7</v>
      </c>
      <c r="B280" t="s">
        <v>19</v>
      </c>
      <c r="C280" t="s">
        <v>236</v>
      </c>
      <c r="D280"/>
      <c r="E280" t="s">
        <v>359</v>
      </c>
      <c r="F280"/>
      <c r="G280" s="107">
        <v>46800</v>
      </c>
    </row>
    <row r="281" spans="1:7">
      <c r="A281" t="s">
        <v>7</v>
      </c>
      <c r="B281" t="s">
        <v>19</v>
      </c>
      <c r="C281" t="s">
        <v>236</v>
      </c>
      <c r="D281"/>
      <c r="E281" t="s">
        <v>360</v>
      </c>
      <c r="F281"/>
      <c r="G281" s="107">
        <v>42666</v>
      </c>
    </row>
    <row r="282" spans="1:7">
      <c r="A282" s="128" t="s">
        <v>7</v>
      </c>
      <c r="B282" s="128" t="s">
        <v>2117</v>
      </c>
      <c r="C282" s="128"/>
      <c r="D282" s="128"/>
      <c r="E282" s="128" t="s">
        <v>2216</v>
      </c>
      <c r="F282" s="128"/>
      <c r="G282" s="129">
        <v>196425</v>
      </c>
    </row>
    <row r="283" spans="1:7">
      <c r="A283" t="s">
        <v>7</v>
      </c>
      <c r="B283" t="s">
        <v>19</v>
      </c>
      <c r="C283" t="s">
        <v>214</v>
      </c>
      <c r="D283"/>
      <c r="E283" t="s">
        <v>2217</v>
      </c>
      <c r="F283"/>
      <c r="G283" s="107">
        <v>0</v>
      </c>
    </row>
    <row r="284" spans="1:7">
      <c r="A284" t="s">
        <v>7</v>
      </c>
      <c r="B284" t="s">
        <v>19</v>
      </c>
      <c r="C284" t="s">
        <v>234</v>
      </c>
      <c r="D284"/>
      <c r="E284" t="s">
        <v>2218</v>
      </c>
      <c r="F284"/>
      <c r="G284" s="107">
        <v>9000</v>
      </c>
    </row>
    <row r="285" spans="1:7">
      <c r="A285" t="s">
        <v>7</v>
      </c>
      <c r="B285" t="s">
        <v>19</v>
      </c>
      <c r="C285" t="s">
        <v>236</v>
      </c>
      <c r="D285"/>
      <c r="E285" t="s">
        <v>2219</v>
      </c>
      <c r="F285"/>
      <c r="G285" s="107">
        <v>9150</v>
      </c>
    </row>
    <row r="286" spans="1:7">
      <c r="A286" t="s">
        <v>7</v>
      </c>
      <c r="B286" t="s">
        <v>19</v>
      </c>
      <c r="C286" t="s">
        <v>236</v>
      </c>
      <c r="D286"/>
      <c r="E286" t="s">
        <v>2220</v>
      </c>
      <c r="F286"/>
      <c r="G286" s="107">
        <v>64050</v>
      </c>
    </row>
    <row r="287" spans="1:7">
      <c r="A287" t="s">
        <v>7</v>
      </c>
      <c r="B287" t="s">
        <v>19</v>
      </c>
      <c r="C287" t="s">
        <v>236</v>
      </c>
      <c r="D287"/>
      <c r="E287" t="s">
        <v>2221</v>
      </c>
      <c r="F287"/>
      <c r="G287" s="107">
        <v>64050</v>
      </c>
    </row>
    <row r="288" spans="1:7">
      <c r="A288" t="s">
        <v>7</v>
      </c>
      <c r="B288" t="s">
        <v>19</v>
      </c>
      <c r="C288" t="s">
        <v>214</v>
      </c>
      <c r="D288"/>
      <c r="E288" t="s">
        <v>2222</v>
      </c>
      <c r="F288"/>
      <c r="G288" s="107">
        <v>0</v>
      </c>
    </row>
    <row r="289" spans="1:7">
      <c r="A289" t="s">
        <v>7</v>
      </c>
      <c r="B289" t="s">
        <v>19</v>
      </c>
      <c r="C289" t="s">
        <v>1419</v>
      </c>
      <c r="D289"/>
      <c r="E289" t="s">
        <v>2223</v>
      </c>
      <c r="F289"/>
      <c r="G289" s="107">
        <v>9000</v>
      </c>
    </row>
    <row r="290" spans="1:7">
      <c r="A290" t="s">
        <v>7</v>
      </c>
      <c r="B290" t="s">
        <v>19</v>
      </c>
      <c r="C290" t="s">
        <v>1419</v>
      </c>
      <c r="D290"/>
      <c r="E290" t="s">
        <v>2224</v>
      </c>
      <c r="F290"/>
      <c r="G290" s="107">
        <v>4575</v>
      </c>
    </row>
    <row r="291" spans="1:7">
      <c r="A291" t="s">
        <v>7</v>
      </c>
      <c r="B291" t="s">
        <v>19</v>
      </c>
      <c r="C291" t="s">
        <v>1419</v>
      </c>
      <c r="D291"/>
      <c r="E291" t="s">
        <v>2225</v>
      </c>
      <c r="F291"/>
      <c r="G291" s="107">
        <v>18300</v>
      </c>
    </row>
    <row r="292" spans="1:7">
      <c r="A292" t="s">
        <v>7</v>
      </c>
      <c r="B292" t="s">
        <v>19</v>
      </c>
      <c r="C292" t="s">
        <v>1419</v>
      </c>
      <c r="D292"/>
      <c r="E292" t="s">
        <v>2226</v>
      </c>
      <c r="F292"/>
      <c r="G292" s="107">
        <v>18300</v>
      </c>
    </row>
    <row r="293" spans="1:7">
      <c r="A293" s="128" t="s">
        <v>7</v>
      </c>
      <c r="B293" s="128" t="s">
        <v>2117</v>
      </c>
      <c r="C293" s="128"/>
      <c r="D293" s="128"/>
      <c r="E293" s="128" t="s">
        <v>361</v>
      </c>
      <c r="F293" s="128"/>
      <c r="G293" s="129">
        <v>528052</v>
      </c>
    </row>
    <row r="294" spans="1:7">
      <c r="A294" t="s">
        <v>7</v>
      </c>
      <c r="B294" t="s">
        <v>19</v>
      </c>
      <c r="C294" t="s">
        <v>214</v>
      </c>
      <c r="D294"/>
      <c r="E294" t="s">
        <v>362</v>
      </c>
      <c r="F294"/>
      <c r="G294" s="107">
        <v>0</v>
      </c>
    </row>
    <row r="295" spans="1:7">
      <c r="A295" t="s">
        <v>7</v>
      </c>
      <c r="B295" t="s">
        <v>19</v>
      </c>
      <c r="C295" t="s">
        <v>214</v>
      </c>
      <c r="D295"/>
      <c r="E295" t="s">
        <v>363</v>
      </c>
      <c r="F295"/>
      <c r="G295" s="107">
        <v>0</v>
      </c>
    </row>
    <row r="296" spans="1:7">
      <c r="A296" t="s">
        <v>7</v>
      </c>
      <c r="B296" t="s">
        <v>19</v>
      </c>
      <c r="C296" t="s">
        <v>234</v>
      </c>
      <c r="D296"/>
      <c r="E296" t="s">
        <v>364</v>
      </c>
      <c r="F296"/>
      <c r="G296" s="107">
        <v>132000</v>
      </c>
    </row>
    <row r="297" spans="1:7">
      <c r="A297" t="s">
        <v>7</v>
      </c>
      <c r="B297" t="s">
        <v>19</v>
      </c>
      <c r="C297" t="s">
        <v>234</v>
      </c>
      <c r="D297"/>
      <c r="E297" t="s">
        <v>365</v>
      </c>
      <c r="F297"/>
      <c r="G297" s="107">
        <v>60000</v>
      </c>
    </row>
    <row r="298" spans="1:7">
      <c r="A298" t="s">
        <v>7</v>
      </c>
      <c r="B298" t="s">
        <v>19</v>
      </c>
      <c r="C298" t="s">
        <v>236</v>
      </c>
      <c r="D298"/>
      <c r="E298" t="s">
        <v>366</v>
      </c>
      <c r="F298"/>
      <c r="G298" s="107">
        <v>11844</v>
      </c>
    </row>
    <row r="299" spans="1:7">
      <c r="A299" t="s">
        <v>7</v>
      </c>
      <c r="B299" t="s">
        <v>19</v>
      </c>
      <c r="C299" t="s">
        <v>236</v>
      </c>
      <c r="D299"/>
      <c r="E299" t="s">
        <v>367</v>
      </c>
      <c r="F299"/>
      <c r="G299" s="107">
        <v>13128</v>
      </c>
    </row>
    <row r="300" spans="1:7">
      <c r="A300" t="s">
        <v>7</v>
      </c>
      <c r="B300" t="s">
        <v>19</v>
      </c>
      <c r="C300" t="s">
        <v>236</v>
      </c>
      <c r="D300"/>
      <c r="E300" t="s">
        <v>368</v>
      </c>
      <c r="F300"/>
      <c r="G300" s="107">
        <v>71688</v>
      </c>
    </row>
    <row r="301" spans="1:7">
      <c r="A301" t="s">
        <v>7</v>
      </c>
      <c r="B301" t="s">
        <v>19</v>
      </c>
      <c r="C301" t="s">
        <v>236</v>
      </c>
      <c r="D301"/>
      <c r="E301" t="s">
        <v>369</v>
      </c>
      <c r="F301"/>
      <c r="G301" s="107">
        <v>26256</v>
      </c>
    </row>
    <row r="302" spans="1:7">
      <c r="A302" t="s">
        <v>7</v>
      </c>
      <c r="B302" t="s">
        <v>19</v>
      </c>
      <c r="C302" t="s">
        <v>236</v>
      </c>
      <c r="D302"/>
      <c r="E302" t="s">
        <v>370</v>
      </c>
      <c r="F302"/>
      <c r="G302" s="107">
        <v>6564</v>
      </c>
    </row>
    <row r="303" spans="1:7">
      <c r="A303" t="s">
        <v>7</v>
      </c>
      <c r="B303" t="s">
        <v>19</v>
      </c>
      <c r="C303" t="s">
        <v>236</v>
      </c>
      <c r="D303"/>
      <c r="E303" t="s">
        <v>371</v>
      </c>
      <c r="F303"/>
      <c r="G303" s="107">
        <v>29538</v>
      </c>
    </row>
    <row r="304" spans="1:7">
      <c r="A304" t="s">
        <v>7</v>
      </c>
      <c r="B304" t="s">
        <v>19</v>
      </c>
      <c r="C304" t="s">
        <v>236</v>
      </c>
      <c r="D304"/>
      <c r="E304" t="s">
        <v>372</v>
      </c>
      <c r="F304"/>
      <c r="G304" s="107">
        <v>2400</v>
      </c>
    </row>
    <row r="305" spans="1:7">
      <c r="A305" t="s">
        <v>7</v>
      </c>
      <c r="B305" t="s">
        <v>19</v>
      </c>
      <c r="C305" t="s">
        <v>214</v>
      </c>
      <c r="D305"/>
      <c r="E305" t="s">
        <v>1708</v>
      </c>
      <c r="F305"/>
      <c r="G305" s="107">
        <v>0</v>
      </c>
    </row>
    <row r="306" spans="1:7">
      <c r="A306" t="s">
        <v>7</v>
      </c>
      <c r="B306" t="s">
        <v>19</v>
      </c>
      <c r="C306" t="s">
        <v>214</v>
      </c>
      <c r="D306"/>
      <c r="E306" t="s">
        <v>1709</v>
      </c>
      <c r="F306"/>
      <c r="G306" s="107">
        <v>0</v>
      </c>
    </row>
    <row r="307" spans="1:7">
      <c r="A307" t="s">
        <v>7</v>
      </c>
      <c r="B307" t="s">
        <v>19</v>
      </c>
      <c r="C307" t="s">
        <v>234</v>
      </c>
      <c r="D307"/>
      <c r="E307" t="s">
        <v>1710</v>
      </c>
      <c r="F307"/>
      <c r="G307" s="107">
        <v>49000</v>
      </c>
    </row>
    <row r="308" spans="1:7">
      <c r="A308" t="s">
        <v>7</v>
      </c>
      <c r="B308" t="s">
        <v>19</v>
      </c>
      <c r="C308" t="s">
        <v>234</v>
      </c>
      <c r="D308"/>
      <c r="E308" t="s">
        <v>1711</v>
      </c>
      <c r="F308"/>
      <c r="G308" s="107">
        <v>35000</v>
      </c>
    </row>
    <row r="309" spans="1:7">
      <c r="A309" t="s">
        <v>7</v>
      </c>
      <c r="B309" t="s">
        <v>19</v>
      </c>
      <c r="C309" t="s">
        <v>236</v>
      </c>
      <c r="D309"/>
      <c r="E309" t="s">
        <v>2227</v>
      </c>
      <c r="F309"/>
      <c r="G309" s="107">
        <v>1844</v>
      </c>
    </row>
    <row r="310" spans="1:7">
      <c r="A310" t="s">
        <v>7</v>
      </c>
      <c r="B310" t="s">
        <v>19</v>
      </c>
      <c r="C310" t="s">
        <v>236</v>
      </c>
      <c r="D310"/>
      <c r="E310" t="s">
        <v>2228</v>
      </c>
      <c r="F310"/>
      <c r="G310" s="107">
        <v>12156</v>
      </c>
    </row>
    <row r="311" spans="1:7">
      <c r="A311" t="s">
        <v>7</v>
      </c>
      <c r="B311" t="s">
        <v>19</v>
      </c>
      <c r="C311" t="s">
        <v>236</v>
      </c>
      <c r="D311"/>
      <c r="E311" t="s">
        <v>2229</v>
      </c>
      <c r="F311"/>
      <c r="G311" s="107">
        <v>31688</v>
      </c>
    </row>
    <row r="312" spans="1:7">
      <c r="A312" t="s">
        <v>7</v>
      </c>
      <c r="B312" t="s">
        <v>19</v>
      </c>
      <c r="C312" t="s">
        <v>236</v>
      </c>
      <c r="D312"/>
      <c r="E312" t="s">
        <v>2230</v>
      </c>
      <c r="F312"/>
      <c r="G312" s="107">
        <v>24312</v>
      </c>
    </row>
    <row r="313" spans="1:7">
      <c r="A313" t="s">
        <v>7</v>
      </c>
      <c r="B313" t="s">
        <v>19</v>
      </c>
      <c r="C313" t="s">
        <v>236</v>
      </c>
      <c r="D313"/>
      <c r="E313" t="s">
        <v>2231</v>
      </c>
      <c r="F313"/>
      <c r="G313" s="107">
        <v>6078</v>
      </c>
    </row>
    <row r="314" spans="1:7">
      <c r="A314" t="s">
        <v>7</v>
      </c>
      <c r="B314" t="s">
        <v>19</v>
      </c>
      <c r="C314" t="s">
        <v>236</v>
      </c>
      <c r="D314"/>
      <c r="E314" t="s">
        <v>2232</v>
      </c>
      <c r="F314"/>
      <c r="G314" s="107">
        <v>12156</v>
      </c>
    </row>
    <row r="315" spans="1:7">
      <c r="A315" t="s">
        <v>7</v>
      </c>
      <c r="B315" t="s">
        <v>19</v>
      </c>
      <c r="C315" t="s">
        <v>236</v>
      </c>
      <c r="D315"/>
      <c r="E315" t="s">
        <v>2233</v>
      </c>
      <c r="F315"/>
      <c r="G315" s="107">
        <v>2400</v>
      </c>
    </row>
    <row r="316" spans="1:7">
      <c r="A316" s="128" t="s">
        <v>7</v>
      </c>
      <c r="B316" s="128" t="s">
        <v>2117</v>
      </c>
      <c r="C316" s="128"/>
      <c r="D316" s="128"/>
      <c r="E316" s="128" t="s">
        <v>373</v>
      </c>
      <c r="F316" s="128"/>
      <c r="G316" s="129">
        <v>330002</v>
      </c>
    </row>
    <row r="317" spans="1:7">
      <c r="A317" t="s">
        <v>7</v>
      </c>
      <c r="B317" t="s">
        <v>19</v>
      </c>
      <c r="C317" t="s">
        <v>214</v>
      </c>
      <c r="D317"/>
      <c r="E317" t="s">
        <v>374</v>
      </c>
      <c r="F317"/>
      <c r="G317" s="107">
        <v>0</v>
      </c>
    </row>
    <row r="318" spans="1:7">
      <c r="A318" t="s">
        <v>7</v>
      </c>
      <c r="B318" t="s">
        <v>19</v>
      </c>
      <c r="C318" t="s">
        <v>214</v>
      </c>
      <c r="D318"/>
      <c r="E318" t="s">
        <v>375</v>
      </c>
      <c r="F318"/>
      <c r="G318" s="107">
        <v>0</v>
      </c>
    </row>
    <row r="319" spans="1:7">
      <c r="A319" t="s">
        <v>7</v>
      </c>
      <c r="B319" t="s">
        <v>19</v>
      </c>
      <c r="C319" t="s">
        <v>214</v>
      </c>
      <c r="D319"/>
      <c r="E319" t="s">
        <v>376</v>
      </c>
      <c r="F319"/>
      <c r="G319" s="107">
        <v>0</v>
      </c>
    </row>
    <row r="320" spans="1:7">
      <c r="A320" t="s">
        <v>7</v>
      </c>
      <c r="B320" t="s">
        <v>19</v>
      </c>
      <c r="C320" t="s">
        <v>234</v>
      </c>
      <c r="D320"/>
      <c r="E320" t="s">
        <v>377</v>
      </c>
      <c r="F320"/>
      <c r="G320" s="107">
        <v>6000</v>
      </c>
    </row>
    <row r="321" spans="1:7">
      <c r="A321" t="s">
        <v>7</v>
      </c>
      <c r="B321" t="s">
        <v>19</v>
      </c>
      <c r="C321" t="s">
        <v>236</v>
      </c>
      <c r="D321"/>
      <c r="E321" t="s">
        <v>1712</v>
      </c>
      <c r="F321"/>
      <c r="G321" s="107">
        <v>18000</v>
      </c>
    </row>
    <row r="322" spans="1:7">
      <c r="A322" t="s">
        <v>7</v>
      </c>
      <c r="B322" t="s">
        <v>19</v>
      </c>
      <c r="C322" t="s">
        <v>236</v>
      </c>
      <c r="D322"/>
      <c r="E322" t="s">
        <v>1713</v>
      </c>
      <c r="F322"/>
      <c r="G322" s="107">
        <v>9846</v>
      </c>
    </row>
    <row r="323" spans="1:7">
      <c r="A323" t="s">
        <v>7</v>
      </c>
      <c r="B323" t="s">
        <v>19</v>
      </c>
      <c r="C323" t="s">
        <v>214</v>
      </c>
      <c r="D323"/>
      <c r="E323" t="s">
        <v>2234</v>
      </c>
      <c r="F323"/>
      <c r="G323" s="107">
        <v>0</v>
      </c>
    </row>
    <row r="324" spans="1:7">
      <c r="A324" t="s">
        <v>7</v>
      </c>
      <c r="B324" t="s">
        <v>19</v>
      </c>
      <c r="C324" t="s">
        <v>214</v>
      </c>
      <c r="D324"/>
      <c r="E324" t="s">
        <v>2235</v>
      </c>
      <c r="F324"/>
      <c r="G324" s="107">
        <v>0</v>
      </c>
    </row>
    <row r="325" spans="1:7">
      <c r="A325" t="s">
        <v>7</v>
      </c>
      <c r="B325" t="s">
        <v>19</v>
      </c>
      <c r="C325" t="s">
        <v>234</v>
      </c>
      <c r="D325"/>
      <c r="E325" t="s">
        <v>2236</v>
      </c>
      <c r="F325"/>
      <c r="G325" s="107">
        <v>6000</v>
      </c>
    </row>
    <row r="326" spans="1:7">
      <c r="A326" t="s">
        <v>7</v>
      </c>
      <c r="B326" t="s">
        <v>19</v>
      </c>
      <c r="C326" t="s">
        <v>236</v>
      </c>
      <c r="D326"/>
      <c r="E326" t="s">
        <v>2237</v>
      </c>
      <c r="F326"/>
      <c r="G326" s="107">
        <v>6000</v>
      </c>
    </row>
    <row r="327" spans="1:7">
      <c r="A327" t="s">
        <v>7</v>
      </c>
      <c r="B327" t="s">
        <v>19</v>
      </c>
      <c r="C327" t="s">
        <v>236</v>
      </c>
      <c r="D327"/>
      <c r="E327" t="s">
        <v>2238</v>
      </c>
      <c r="F327"/>
      <c r="G327" s="107">
        <v>3282</v>
      </c>
    </row>
    <row r="328" spans="1:7">
      <c r="A328" t="s">
        <v>7</v>
      </c>
      <c r="B328" t="s">
        <v>19</v>
      </c>
      <c r="C328" t="s">
        <v>214</v>
      </c>
      <c r="D328"/>
      <c r="E328" t="s">
        <v>2239</v>
      </c>
      <c r="F328"/>
      <c r="G328" s="107">
        <v>0</v>
      </c>
    </row>
    <row r="329" spans="1:7">
      <c r="A329" t="s">
        <v>7</v>
      </c>
      <c r="B329" t="s">
        <v>19</v>
      </c>
      <c r="C329" t="s">
        <v>214</v>
      </c>
      <c r="D329"/>
      <c r="E329" t="s">
        <v>2240</v>
      </c>
      <c r="F329"/>
      <c r="G329" s="107">
        <v>0</v>
      </c>
    </row>
    <row r="330" spans="1:7">
      <c r="A330" t="s">
        <v>7</v>
      </c>
      <c r="B330" t="s">
        <v>19</v>
      </c>
      <c r="C330" t="s">
        <v>234</v>
      </c>
      <c r="D330"/>
      <c r="E330" t="s">
        <v>2241</v>
      </c>
      <c r="F330"/>
      <c r="G330" s="107">
        <v>28000</v>
      </c>
    </row>
    <row r="331" spans="1:7">
      <c r="A331" t="s">
        <v>7</v>
      </c>
      <c r="B331" t="s">
        <v>19</v>
      </c>
      <c r="C331" t="s">
        <v>236</v>
      </c>
      <c r="D331"/>
      <c r="E331" t="s">
        <v>2242</v>
      </c>
      <c r="F331"/>
      <c r="G331" s="107">
        <v>1844</v>
      </c>
    </row>
    <row r="332" spans="1:7">
      <c r="A332" t="s">
        <v>7</v>
      </c>
      <c r="B332" t="s">
        <v>19</v>
      </c>
      <c r="C332" t="s">
        <v>236</v>
      </c>
      <c r="D332"/>
      <c r="E332" t="s">
        <v>2243</v>
      </c>
      <c r="F332"/>
      <c r="G332" s="107">
        <v>12156</v>
      </c>
    </row>
    <row r="333" spans="1:7">
      <c r="A333" t="s">
        <v>7</v>
      </c>
      <c r="B333" t="s">
        <v>19</v>
      </c>
      <c r="C333" t="s">
        <v>236</v>
      </c>
      <c r="D333"/>
      <c r="E333" t="s">
        <v>2244</v>
      </c>
      <c r="F333"/>
      <c r="G333" s="107">
        <v>10000</v>
      </c>
    </row>
    <row r="334" spans="1:7">
      <c r="A334" t="s">
        <v>7</v>
      </c>
      <c r="B334" t="s">
        <v>19</v>
      </c>
      <c r="C334" t="s">
        <v>236</v>
      </c>
      <c r="D334"/>
      <c r="E334" t="s">
        <v>2245</v>
      </c>
      <c r="F334"/>
      <c r="G334" s="107">
        <v>10000</v>
      </c>
    </row>
    <row r="335" spans="1:7">
      <c r="A335" t="s">
        <v>7</v>
      </c>
      <c r="B335" t="s">
        <v>19</v>
      </c>
      <c r="C335" t="s">
        <v>236</v>
      </c>
      <c r="D335"/>
      <c r="E335" t="s">
        <v>2246</v>
      </c>
      <c r="F335"/>
      <c r="G335" s="107">
        <v>7922</v>
      </c>
    </row>
    <row r="336" spans="1:7">
      <c r="A336" t="s">
        <v>7</v>
      </c>
      <c r="B336" t="s">
        <v>19</v>
      </c>
      <c r="C336" t="s">
        <v>236</v>
      </c>
      <c r="D336"/>
      <c r="E336" t="s">
        <v>2247</v>
      </c>
      <c r="F336"/>
      <c r="G336" s="107">
        <v>6564</v>
      </c>
    </row>
    <row r="337" spans="1:9">
      <c r="A337" t="s">
        <v>7</v>
      </c>
      <c r="B337" t="s">
        <v>19</v>
      </c>
      <c r="C337" t="s">
        <v>236</v>
      </c>
      <c r="D337"/>
      <c r="E337" t="s">
        <v>2248</v>
      </c>
      <c r="F337"/>
      <c r="G337" s="107">
        <v>0</v>
      </c>
    </row>
    <row r="338" spans="1:9">
      <c r="A338" t="s">
        <v>7</v>
      </c>
      <c r="B338" t="s">
        <v>19</v>
      </c>
      <c r="C338" t="s">
        <v>236</v>
      </c>
      <c r="D338"/>
      <c r="E338" t="s">
        <v>2249</v>
      </c>
      <c r="F338"/>
      <c r="G338" s="107">
        <v>1800</v>
      </c>
    </row>
    <row r="339" spans="1:9">
      <c r="A339" t="s">
        <v>7</v>
      </c>
      <c r="B339" t="s">
        <v>19</v>
      </c>
      <c r="C339" t="s">
        <v>214</v>
      </c>
      <c r="D339"/>
      <c r="E339" t="s">
        <v>2250</v>
      </c>
      <c r="F339"/>
      <c r="G339" s="107">
        <v>0</v>
      </c>
    </row>
    <row r="340" spans="1:9">
      <c r="A340" t="s">
        <v>7</v>
      </c>
      <c r="B340" t="s">
        <v>19</v>
      </c>
      <c r="C340" t="s">
        <v>214</v>
      </c>
      <c r="D340"/>
      <c r="E340" t="s">
        <v>2251</v>
      </c>
      <c r="F340"/>
      <c r="G340" s="107">
        <v>0</v>
      </c>
    </row>
    <row r="341" spans="1:9">
      <c r="A341" t="s">
        <v>7</v>
      </c>
      <c r="B341" t="s">
        <v>19</v>
      </c>
      <c r="C341" t="s">
        <v>234</v>
      </c>
      <c r="D341"/>
      <c r="E341" t="s">
        <v>2252</v>
      </c>
      <c r="F341"/>
      <c r="G341" s="107">
        <v>14000</v>
      </c>
    </row>
    <row r="342" spans="1:9">
      <c r="A342" t="s">
        <v>7</v>
      </c>
      <c r="B342" t="s">
        <v>19</v>
      </c>
      <c r="C342" t="s">
        <v>236</v>
      </c>
      <c r="D342"/>
      <c r="E342" t="s">
        <v>2253</v>
      </c>
      <c r="F342"/>
      <c r="G342" s="107">
        <v>1844</v>
      </c>
      <c r="I342" t="s">
        <v>70</v>
      </c>
    </row>
    <row r="343" spans="1:9">
      <c r="A343" t="s">
        <v>7</v>
      </c>
      <c r="B343" t="s">
        <v>19</v>
      </c>
      <c r="C343" t="s">
        <v>236</v>
      </c>
      <c r="D343"/>
      <c r="E343" t="s">
        <v>2254</v>
      </c>
      <c r="F343"/>
      <c r="G343" s="107">
        <v>13128</v>
      </c>
    </row>
    <row r="344" spans="1:9">
      <c r="A344" t="s">
        <v>7</v>
      </c>
      <c r="B344" t="s">
        <v>19</v>
      </c>
      <c r="C344" t="s">
        <v>236</v>
      </c>
      <c r="D344"/>
      <c r="E344" t="s">
        <v>2255</v>
      </c>
      <c r="F344"/>
      <c r="G344" s="107">
        <v>0</v>
      </c>
      <c r="I344" t="s">
        <v>70</v>
      </c>
    </row>
    <row r="345" spans="1:9">
      <c r="A345" t="s">
        <v>7</v>
      </c>
      <c r="B345" t="s">
        <v>19</v>
      </c>
      <c r="C345" t="s">
        <v>236</v>
      </c>
      <c r="D345"/>
      <c r="E345" t="s">
        <v>2256</v>
      </c>
      <c r="F345"/>
      <c r="G345" s="107">
        <v>0</v>
      </c>
    </row>
    <row r="346" spans="1:9">
      <c r="A346" t="s">
        <v>7</v>
      </c>
      <c r="B346" t="s">
        <v>19</v>
      </c>
      <c r="C346" t="s">
        <v>236</v>
      </c>
      <c r="D346"/>
      <c r="E346" t="s">
        <v>2257</v>
      </c>
      <c r="F346"/>
      <c r="G346" s="107">
        <v>7922</v>
      </c>
    </row>
    <row r="347" spans="1:9">
      <c r="A347" t="s">
        <v>7</v>
      </c>
      <c r="B347" t="s">
        <v>19</v>
      </c>
      <c r="C347" t="s">
        <v>236</v>
      </c>
      <c r="D347"/>
      <c r="E347" t="s">
        <v>2258</v>
      </c>
      <c r="F347"/>
      <c r="G347" s="107">
        <v>6564</v>
      </c>
    </row>
    <row r="348" spans="1:9">
      <c r="A348" t="s">
        <v>7</v>
      </c>
      <c r="B348" t="s">
        <v>19</v>
      </c>
      <c r="C348" t="s">
        <v>236</v>
      </c>
      <c r="D348"/>
      <c r="E348" t="s">
        <v>2259</v>
      </c>
      <c r="F348"/>
      <c r="G348" s="107">
        <v>0</v>
      </c>
    </row>
    <row r="349" spans="1:9">
      <c r="A349" t="s">
        <v>7</v>
      </c>
      <c r="B349" t="s">
        <v>19</v>
      </c>
      <c r="C349" t="s">
        <v>236</v>
      </c>
      <c r="D349"/>
      <c r="E349" t="s">
        <v>2260</v>
      </c>
      <c r="F349"/>
      <c r="G349" s="107">
        <v>1200</v>
      </c>
    </row>
    <row r="350" spans="1:9">
      <c r="A350" t="s">
        <v>7</v>
      </c>
      <c r="B350" t="s">
        <v>19</v>
      </c>
      <c r="C350" t="s">
        <v>214</v>
      </c>
      <c r="D350"/>
      <c r="E350" t="s">
        <v>2261</v>
      </c>
      <c r="F350"/>
      <c r="G350" s="107">
        <v>0</v>
      </c>
    </row>
    <row r="351" spans="1:9">
      <c r="A351" t="s">
        <v>7</v>
      </c>
      <c r="B351" t="s">
        <v>19</v>
      </c>
      <c r="C351" t="s">
        <v>214</v>
      </c>
      <c r="D351"/>
      <c r="E351" t="s">
        <v>2262</v>
      </c>
      <c r="F351"/>
      <c r="G351" s="107">
        <v>0</v>
      </c>
    </row>
    <row r="352" spans="1:9">
      <c r="A352" t="s">
        <v>7</v>
      </c>
      <c r="B352" t="s">
        <v>19</v>
      </c>
      <c r="C352" t="s">
        <v>234</v>
      </c>
      <c r="D352"/>
      <c r="E352" t="s">
        <v>2263</v>
      </c>
      <c r="F352"/>
      <c r="G352" s="107">
        <v>6000</v>
      </c>
    </row>
    <row r="353" spans="1:7">
      <c r="A353" t="s">
        <v>7</v>
      </c>
      <c r="B353" t="s">
        <v>19</v>
      </c>
      <c r="C353" t="s">
        <v>236</v>
      </c>
      <c r="D353"/>
      <c r="E353" t="s">
        <v>2264</v>
      </c>
      <c r="F353"/>
      <c r="G353" s="107">
        <v>36000</v>
      </c>
    </row>
    <row r="354" spans="1:7">
      <c r="A354" t="s">
        <v>7</v>
      </c>
      <c r="B354" t="s">
        <v>19</v>
      </c>
      <c r="C354" t="s">
        <v>236</v>
      </c>
      <c r="D354"/>
      <c r="E354" t="s">
        <v>2265</v>
      </c>
      <c r="F354"/>
      <c r="G354" s="107">
        <v>19692</v>
      </c>
    </row>
    <row r="355" spans="1:7">
      <c r="A355" t="s">
        <v>7</v>
      </c>
      <c r="B355" t="s">
        <v>19</v>
      </c>
      <c r="C355" t="s">
        <v>214</v>
      </c>
      <c r="D355"/>
      <c r="E355" t="s">
        <v>2266</v>
      </c>
      <c r="F355"/>
      <c r="G355" s="107">
        <v>0</v>
      </c>
    </row>
    <row r="356" spans="1:7">
      <c r="A356" t="s">
        <v>7</v>
      </c>
      <c r="B356" t="s">
        <v>19</v>
      </c>
      <c r="C356" t="s">
        <v>214</v>
      </c>
      <c r="D356"/>
      <c r="E356" t="s">
        <v>2267</v>
      </c>
      <c r="F356"/>
      <c r="G356" s="107">
        <v>0</v>
      </c>
    </row>
    <row r="357" spans="1:7">
      <c r="A357" t="s">
        <v>7</v>
      </c>
      <c r="B357" t="s">
        <v>19</v>
      </c>
      <c r="C357" t="s">
        <v>234</v>
      </c>
      <c r="D357"/>
      <c r="E357" t="s">
        <v>2268</v>
      </c>
      <c r="F357"/>
      <c r="G357" s="107">
        <v>7000</v>
      </c>
    </row>
    <row r="358" spans="1:7">
      <c r="A358" t="s">
        <v>7</v>
      </c>
      <c r="B358" t="s">
        <v>19</v>
      </c>
      <c r="C358" t="s">
        <v>236</v>
      </c>
      <c r="D358"/>
      <c r="E358" t="s">
        <v>2269</v>
      </c>
      <c r="F358"/>
      <c r="G358" s="107">
        <v>1844</v>
      </c>
    </row>
    <row r="359" spans="1:7">
      <c r="A359" t="s">
        <v>7</v>
      </c>
      <c r="B359" t="s">
        <v>19</v>
      </c>
      <c r="C359" t="s">
        <v>236</v>
      </c>
      <c r="D359"/>
      <c r="E359" t="s">
        <v>2270</v>
      </c>
      <c r="F359"/>
      <c r="G359" s="107">
        <v>12156</v>
      </c>
    </row>
    <row r="360" spans="1:7">
      <c r="A360" t="s">
        <v>7</v>
      </c>
      <c r="B360" t="s">
        <v>19</v>
      </c>
      <c r="C360" t="s">
        <v>236</v>
      </c>
      <c r="D360"/>
      <c r="E360" t="s">
        <v>2271</v>
      </c>
      <c r="F360"/>
      <c r="G360" s="107">
        <v>0</v>
      </c>
    </row>
    <row r="361" spans="1:7">
      <c r="A361" t="s">
        <v>7</v>
      </c>
      <c r="B361" t="s">
        <v>19</v>
      </c>
      <c r="C361" t="s">
        <v>236</v>
      </c>
      <c r="D361"/>
      <c r="E361" t="s">
        <v>2272</v>
      </c>
      <c r="F361"/>
      <c r="G361" s="107">
        <v>0</v>
      </c>
    </row>
    <row r="362" spans="1:7">
      <c r="A362" t="s">
        <v>7</v>
      </c>
      <c r="B362" t="s">
        <v>19</v>
      </c>
      <c r="C362" t="s">
        <v>236</v>
      </c>
      <c r="D362"/>
      <c r="E362" t="s">
        <v>2273</v>
      </c>
      <c r="F362"/>
      <c r="G362" s="107">
        <v>7922</v>
      </c>
    </row>
    <row r="363" spans="1:7">
      <c r="A363" t="s">
        <v>7</v>
      </c>
      <c r="B363" t="s">
        <v>19</v>
      </c>
      <c r="C363" t="s">
        <v>236</v>
      </c>
      <c r="D363"/>
      <c r="E363" t="s">
        <v>2274</v>
      </c>
      <c r="F363"/>
      <c r="G363" s="107">
        <v>6078</v>
      </c>
    </row>
    <row r="364" spans="1:7">
      <c r="A364" t="s">
        <v>7</v>
      </c>
      <c r="B364" t="s">
        <v>19</v>
      </c>
      <c r="C364" t="s">
        <v>236</v>
      </c>
      <c r="D364"/>
      <c r="E364" t="s">
        <v>2275</v>
      </c>
      <c r="F364"/>
      <c r="G364" s="107">
        <v>6078</v>
      </c>
    </row>
    <row r="365" spans="1:7">
      <c r="A365" t="s">
        <v>7</v>
      </c>
      <c r="B365" t="s">
        <v>19</v>
      </c>
      <c r="C365" t="s">
        <v>236</v>
      </c>
      <c r="D365"/>
      <c r="E365" t="s">
        <v>2276</v>
      </c>
      <c r="F365"/>
      <c r="G365" s="107">
        <v>900</v>
      </c>
    </row>
    <row r="366" spans="1:7">
      <c r="A366" t="s">
        <v>7</v>
      </c>
      <c r="B366" t="s">
        <v>19</v>
      </c>
      <c r="C366" t="s">
        <v>214</v>
      </c>
      <c r="D366"/>
      <c r="E366" t="s">
        <v>2277</v>
      </c>
      <c r="F366"/>
      <c r="G366" s="107">
        <v>0</v>
      </c>
    </row>
    <row r="367" spans="1:7">
      <c r="A367" t="s">
        <v>7</v>
      </c>
      <c r="B367" t="s">
        <v>19</v>
      </c>
      <c r="C367" t="s">
        <v>214</v>
      </c>
      <c r="D367"/>
      <c r="E367" t="s">
        <v>2278</v>
      </c>
      <c r="F367"/>
      <c r="G367" s="107">
        <v>0</v>
      </c>
    </row>
    <row r="368" spans="1:7">
      <c r="A368" t="s">
        <v>7</v>
      </c>
      <c r="B368" t="s">
        <v>19</v>
      </c>
      <c r="C368" t="s">
        <v>234</v>
      </c>
      <c r="D368"/>
      <c r="E368" t="s">
        <v>2279</v>
      </c>
      <c r="F368"/>
      <c r="G368" s="107">
        <v>7000</v>
      </c>
    </row>
    <row r="369" spans="1:7">
      <c r="A369" t="s">
        <v>7</v>
      </c>
      <c r="B369" t="s">
        <v>19</v>
      </c>
      <c r="C369" t="s">
        <v>236</v>
      </c>
      <c r="D369"/>
      <c r="E369" t="s">
        <v>2280</v>
      </c>
      <c r="F369"/>
      <c r="G369" s="107">
        <v>1844</v>
      </c>
    </row>
    <row r="370" spans="1:7">
      <c r="A370" t="s">
        <v>7</v>
      </c>
      <c r="B370" t="s">
        <v>19</v>
      </c>
      <c r="C370" t="s">
        <v>236</v>
      </c>
      <c r="D370"/>
      <c r="E370" t="s">
        <v>2281</v>
      </c>
      <c r="F370"/>
      <c r="G370" s="107">
        <v>12156</v>
      </c>
    </row>
    <row r="371" spans="1:7">
      <c r="A371" t="s">
        <v>7</v>
      </c>
      <c r="B371" t="s">
        <v>19</v>
      </c>
      <c r="C371" t="s">
        <v>236</v>
      </c>
      <c r="D371"/>
      <c r="E371" t="s">
        <v>2282</v>
      </c>
      <c r="F371"/>
      <c r="G371" s="107">
        <v>0</v>
      </c>
    </row>
    <row r="372" spans="1:7">
      <c r="A372" t="s">
        <v>7</v>
      </c>
      <c r="B372" t="s">
        <v>19</v>
      </c>
      <c r="C372" t="s">
        <v>236</v>
      </c>
      <c r="D372"/>
      <c r="E372" t="s">
        <v>2283</v>
      </c>
      <c r="F372"/>
      <c r="G372" s="107">
        <v>0</v>
      </c>
    </row>
    <row r="373" spans="1:7">
      <c r="A373" t="s">
        <v>7</v>
      </c>
      <c r="B373" t="s">
        <v>19</v>
      </c>
      <c r="C373" t="s">
        <v>236</v>
      </c>
      <c r="D373"/>
      <c r="E373" t="s">
        <v>2284</v>
      </c>
      <c r="F373"/>
      <c r="G373" s="107">
        <v>7922</v>
      </c>
    </row>
    <row r="374" spans="1:7">
      <c r="A374" t="s">
        <v>7</v>
      </c>
      <c r="B374" t="s">
        <v>19</v>
      </c>
      <c r="C374" t="s">
        <v>236</v>
      </c>
      <c r="D374"/>
      <c r="E374" t="s">
        <v>2285</v>
      </c>
      <c r="F374"/>
      <c r="G374" s="107">
        <v>6078</v>
      </c>
    </row>
    <row r="375" spans="1:7">
      <c r="A375" t="s">
        <v>7</v>
      </c>
      <c r="B375" t="s">
        <v>19</v>
      </c>
      <c r="C375" t="s">
        <v>236</v>
      </c>
      <c r="D375"/>
      <c r="E375" t="s">
        <v>2286</v>
      </c>
      <c r="F375"/>
      <c r="G375" s="107">
        <v>6078</v>
      </c>
    </row>
    <row r="376" spans="1:7">
      <c r="A376" t="s">
        <v>7</v>
      </c>
      <c r="B376" t="s">
        <v>19</v>
      </c>
      <c r="C376" t="s">
        <v>236</v>
      </c>
      <c r="D376"/>
      <c r="E376" t="s">
        <v>2287</v>
      </c>
      <c r="F376"/>
      <c r="G376" s="107">
        <v>900</v>
      </c>
    </row>
    <row r="377" spans="1:7">
      <c r="A377" t="s">
        <v>7</v>
      </c>
      <c r="B377" t="s">
        <v>19</v>
      </c>
      <c r="C377" t="s">
        <v>214</v>
      </c>
      <c r="D377"/>
      <c r="E377" t="s">
        <v>2288</v>
      </c>
      <c r="F377"/>
      <c r="G377" s="107">
        <v>0</v>
      </c>
    </row>
    <row r="378" spans="1:7">
      <c r="A378" t="s">
        <v>7</v>
      </c>
      <c r="B378" t="s">
        <v>19</v>
      </c>
      <c r="C378" t="s">
        <v>214</v>
      </c>
      <c r="D378"/>
      <c r="E378" t="s">
        <v>2289</v>
      </c>
      <c r="F378"/>
      <c r="G378" s="107">
        <v>0</v>
      </c>
    </row>
    <row r="379" spans="1:7">
      <c r="A379" t="s">
        <v>7</v>
      </c>
      <c r="B379" t="s">
        <v>19</v>
      </c>
      <c r="C379" t="s">
        <v>234</v>
      </c>
      <c r="D379"/>
      <c r="E379" t="s">
        <v>2290</v>
      </c>
      <c r="F379"/>
      <c r="G379" s="107">
        <v>3000</v>
      </c>
    </row>
    <row r="380" spans="1:7">
      <c r="A380" t="s">
        <v>7</v>
      </c>
      <c r="B380" t="s">
        <v>19</v>
      </c>
      <c r="C380" t="s">
        <v>236</v>
      </c>
      <c r="D380"/>
      <c r="E380" t="s">
        <v>2291</v>
      </c>
      <c r="F380"/>
      <c r="G380" s="107">
        <v>6000</v>
      </c>
    </row>
    <row r="381" spans="1:7">
      <c r="A381" t="s">
        <v>7</v>
      </c>
      <c r="B381" t="s">
        <v>19</v>
      </c>
      <c r="C381" t="s">
        <v>236</v>
      </c>
      <c r="D381"/>
      <c r="E381" t="s">
        <v>2292</v>
      </c>
      <c r="F381"/>
      <c r="G381" s="107">
        <v>3282</v>
      </c>
    </row>
    <row r="382" spans="1:7">
      <c r="A382" s="128" t="s">
        <v>7</v>
      </c>
      <c r="B382" s="128" t="s">
        <v>2117</v>
      </c>
      <c r="C382" s="128"/>
      <c r="D382" s="128"/>
      <c r="E382" s="128" t="s">
        <v>2293</v>
      </c>
      <c r="F382" s="128"/>
      <c r="G382" s="129">
        <v>78000</v>
      </c>
    </row>
    <row r="383" spans="1:7">
      <c r="A383" t="s">
        <v>7</v>
      </c>
      <c r="B383" t="s">
        <v>19</v>
      </c>
      <c r="C383" t="s">
        <v>214</v>
      </c>
      <c r="D383"/>
      <c r="E383" t="s">
        <v>2294</v>
      </c>
      <c r="F383"/>
      <c r="G383" s="107">
        <v>0</v>
      </c>
    </row>
    <row r="384" spans="1:7">
      <c r="A384" t="s">
        <v>7</v>
      </c>
      <c r="B384" t="s">
        <v>19</v>
      </c>
      <c r="C384" t="s">
        <v>236</v>
      </c>
      <c r="D384"/>
      <c r="E384" t="s">
        <v>2295</v>
      </c>
      <c r="F384"/>
      <c r="G384" s="107">
        <v>42000</v>
      </c>
    </row>
    <row r="385" spans="1:9">
      <c r="A385" t="s">
        <v>7</v>
      </c>
      <c r="B385" t="s">
        <v>19</v>
      </c>
      <c r="C385" t="s">
        <v>214</v>
      </c>
      <c r="D385"/>
      <c r="E385" t="s">
        <v>2296</v>
      </c>
      <c r="F385"/>
      <c r="G385" s="107">
        <v>0</v>
      </c>
    </row>
    <row r="386" spans="1:9">
      <c r="A386" t="s">
        <v>7</v>
      </c>
      <c r="B386" t="s">
        <v>19</v>
      </c>
      <c r="C386" t="s">
        <v>236</v>
      </c>
      <c r="D386"/>
      <c r="E386" t="s">
        <v>2297</v>
      </c>
      <c r="F386"/>
      <c r="G386" s="107">
        <v>8000</v>
      </c>
    </row>
    <row r="387" spans="1:9">
      <c r="A387" t="s">
        <v>7</v>
      </c>
      <c r="B387" t="s">
        <v>19</v>
      </c>
      <c r="C387" t="s">
        <v>214</v>
      </c>
      <c r="D387"/>
      <c r="E387" t="s">
        <v>2298</v>
      </c>
      <c r="F387"/>
      <c r="G387" s="107">
        <v>0</v>
      </c>
    </row>
    <row r="388" spans="1:9">
      <c r="A388" t="s">
        <v>7</v>
      </c>
      <c r="B388" t="s">
        <v>19</v>
      </c>
      <c r="C388" t="s">
        <v>236</v>
      </c>
      <c r="D388"/>
      <c r="E388" t="s">
        <v>2299</v>
      </c>
      <c r="F388"/>
      <c r="G388" s="107">
        <v>8000</v>
      </c>
    </row>
    <row r="389" spans="1:9">
      <c r="A389" t="s">
        <v>7</v>
      </c>
      <c r="B389" t="s">
        <v>19</v>
      </c>
      <c r="C389" t="s">
        <v>214</v>
      </c>
      <c r="D389"/>
      <c r="E389" t="s">
        <v>2300</v>
      </c>
      <c r="F389"/>
      <c r="G389" s="107">
        <v>0</v>
      </c>
    </row>
    <row r="390" spans="1:9">
      <c r="A390" t="s">
        <v>7</v>
      </c>
      <c r="B390" t="s">
        <v>19</v>
      </c>
      <c r="C390" t="s">
        <v>236</v>
      </c>
      <c r="D390"/>
      <c r="E390" t="s">
        <v>2301</v>
      </c>
      <c r="F390"/>
      <c r="G390" s="107">
        <v>4000</v>
      </c>
    </row>
    <row r="391" spans="1:9">
      <c r="A391" t="s">
        <v>7</v>
      </c>
      <c r="B391" t="s">
        <v>19</v>
      </c>
      <c r="C391" t="s">
        <v>214</v>
      </c>
      <c r="D391"/>
      <c r="E391" t="s">
        <v>2302</v>
      </c>
      <c r="F391"/>
      <c r="G391" s="107">
        <v>0</v>
      </c>
    </row>
    <row r="392" spans="1:9">
      <c r="A392" t="s">
        <v>7</v>
      </c>
      <c r="B392" t="s">
        <v>19</v>
      </c>
      <c r="C392" t="s">
        <v>236</v>
      </c>
      <c r="D392"/>
      <c r="E392" t="s">
        <v>2303</v>
      </c>
      <c r="F392"/>
      <c r="G392" s="107">
        <v>6000</v>
      </c>
    </row>
    <row r="393" spans="1:9">
      <c r="A393" t="s">
        <v>7</v>
      </c>
      <c r="B393" t="s">
        <v>19</v>
      </c>
      <c r="C393" t="s">
        <v>214</v>
      </c>
      <c r="D393"/>
      <c r="E393" t="s">
        <v>2304</v>
      </c>
      <c r="F393"/>
      <c r="G393" s="107">
        <v>0</v>
      </c>
    </row>
    <row r="394" spans="1:9">
      <c r="A394" t="s">
        <v>7</v>
      </c>
      <c r="B394" t="s">
        <v>19</v>
      </c>
      <c r="C394" t="s">
        <v>236</v>
      </c>
      <c r="D394"/>
      <c r="E394" t="s">
        <v>2305</v>
      </c>
      <c r="F394"/>
      <c r="G394" s="107">
        <v>2000</v>
      </c>
    </row>
    <row r="395" spans="1:9">
      <c r="A395" t="s">
        <v>7</v>
      </c>
      <c r="B395" t="s">
        <v>19</v>
      </c>
      <c r="C395" t="s">
        <v>214</v>
      </c>
      <c r="D395"/>
      <c r="E395" t="s">
        <v>2306</v>
      </c>
      <c r="F395"/>
      <c r="G395" s="107">
        <v>0</v>
      </c>
    </row>
    <row r="396" spans="1:9">
      <c r="A396" t="s">
        <v>7</v>
      </c>
      <c r="B396" t="s">
        <v>19</v>
      </c>
      <c r="C396" t="s">
        <v>236</v>
      </c>
      <c r="D396"/>
      <c r="E396" t="s">
        <v>2307</v>
      </c>
      <c r="F396"/>
      <c r="G396" s="107">
        <v>2000</v>
      </c>
    </row>
    <row r="397" spans="1:9">
      <c r="A397" t="s">
        <v>7</v>
      </c>
      <c r="B397" t="s">
        <v>19</v>
      </c>
      <c r="C397" t="s">
        <v>214</v>
      </c>
      <c r="D397"/>
      <c r="E397" t="s">
        <v>2308</v>
      </c>
      <c r="F397"/>
      <c r="G397" s="107">
        <v>0</v>
      </c>
    </row>
    <row r="398" spans="1:9">
      <c r="A398" t="s">
        <v>7</v>
      </c>
      <c r="B398" t="s">
        <v>19</v>
      </c>
      <c r="C398" t="s">
        <v>236</v>
      </c>
      <c r="D398"/>
      <c r="E398" t="s">
        <v>2309</v>
      </c>
      <c r="F398"/>
      <c r="G398" s="107">
        <v>6000</v>
      </c>
    </row>
    <row r="399" spans="1:9">
      <c r="A399" t="s">
        <v>7</v>
      </c>
      <c r="B399" t="s">
        <v>19</v>
      </c>
      <c r="C399" t="s">
        <v>236</v>
      </c>
      <c r="D399"/>
      <c r="E399" t="s">
        <v>3695</v>
      </c>
      <c r="F399"/>
      <c r="G399" s="107"/>
      <c r="H399" s="6">
        <v>12000</v>
      </c>
      <c r="I399" t="s">
        <v>3403</v>
      </c>
    </row>
    <row r="400" spans="1:9">
      <c r="A400" s="128" t="s">
        <v>7</v>
      </c>
      <c r="B400" s="128" t="s">
        <v>2117</v>
      </c>
      <c r="C400" s="128"/>
      <c r="D400" s="128"/>
      <c r="E400" s="128" t="s">
        <v>378</v>
      </c>
      <c r="F400" s="128"/>
      <c r="G400" s="129">
        <v>309100</v>
      </c>
    </row>
    <row r="401" spans="1:7">
      <c r="A401" t="s">
        <v>7</v>
      </c>
      <c r="B401" t="s">
        <v>19</v>
      </c>
      <c r="C401" t="s">
        <v>214</v>
      </c>
      <c r="D401"/>
      <c r="E401" t="s">
        <v>379</v>
      </c>
      <c r="F401"/>
      <c r="G401" s="107">
        <v>0</v>
      </c>
    </row>
    <row r="402" spans="1:7">
      <c r="A402" t="s">
        <v>7</v>
      </c>
      <c r="B402" t="s">
        <v>19</v>
      </c>
      <c r="C402" t="s">
        <v>234</v>
      </c>
      <c r="D402"/>
      <c r="E402" t="s">
        <v>380</v>
      </c>
      <c r="F402"/>
      <c r="G402" s="107">
        <v>63000</v>
      </c>
    </row>
    <row r="403" spans="1:7">
      <c r="A403" t="s">
        <v>7</v>
      </c>
      <c r="B403" t="s">
        <v>19</v>
      </c>
      <c r="C403" t="s">
        <v>236</v>
      </c>
      <c r="D403"/>
      <c r="E403" t="s">
        <v>381</v>
      </c>
      <c r="F403"/>
      <c r="G403" s="107">
        <v>140000</v>
      </c>
    </row>
    <row r="404" spans="1:7">
      <c r="A404" t="s">
        <v>7</v>
      </c>
      <c r="B404" t="s">
        <v>19</v>
      </c>
      <c r="C404" t="s">
        <v>214</v>
      </c>
      <c r="D404"/>
      <c r="E404" t="s">
        <v>382</v>
      </c>
      <c r="F404"/>
      <c r="G404" s="107">
        <v>0</v>
      </c>
    </row>
    <row r="405" spans="1:7">
      <c r="A405" t="s">
        <v>7</v>
      </c>
      <c r="B405" t="s">
        <v>19</v>
      </c>
      <c r="C405" t="s">
        <v>234</v>
      </c>
      <c r="D405"/>
      <c r="E405" t="s">
        <v>383</v>
      </c>
      <c r="F405"/>
      <c r="G405" s="107">
        <v>3500</v>
      </c>
    </row>
    <row r="406" spans="1:7">
      <c r="A406" t="s">
        <v>7</v>
      </c>
      <c r="B406" t="s">
        <v>19</v>
      </c>
      <c r="C406" t="s">
        <v>214</v>
      </c>
      <c r="D406"/>
      <c r="E406" t="s">
        <v>384</v>
      </c>
      <c r="F406"/>
      <c r="G406" s="107">
        <v>0</v>
      </c>
    </row>
    <row r="407" spans="1:7">
      <c r="A407" t="s">
        <v>7</v>
      </c>
      <c r="B407" t="s">
        <v>19</v>
      </c>
      <c r="C407" t="s">
        <v>234</v>
      </c>
      <c r="D407"/>
      <c r="E407" t="s">
        <v>2310</v>
      </c>
      <c r="F407"/>
      <c r="G407" s="107">
        <v>37500</v>
      </c>
    </row>
    <row r="408" spans="1:7">
      <c r="A408" t="s">
        <v>7</v>
      </c>
      <c r="B408" t="s">
        <v>19</v>
      </c>
      <c r="C408" t="s">
        <v>214</v>
      </c>
      <c r="D408"/>
      <c r="E408" t="s">
        <v>2311</v>
      </c>
      <c r="F408"/>
      <c r="G408" s="107">
        <v>0</v>
      </c>
    </row>
    <row r="409" spans="1:7">
      <c r="A409" t="s">
        <v>7</v>
      </c>
      <c r="B409" t="s">
        <v>19</v>
      </c>
      <c r="C409" t="s">
        <v>234</v>
      </c>
      <c r="D409"/>
      <c r="E409" t="s">
        <v>2312</v>
      </c>
      <c r="F409"/>
      <c r="G409" s="107">
        <v>2100</v>
      </c>
    </row>
    <row r="410" spans="1:7">
      <c r="A410" t="s">
        <v>7</v>
      </c>
      <c r="B410" t="s">
        <v>19</v>
      </c>
      <c r="C410" t="s">
        <v>214</v>
      </c>
      <c r="D410"/>
      <c r="E410" t="s">
        <v>2313</v>
      </c>
      <c r="F410"/>
      <c r="G410" s="107">
        <v>0</v>
      </c>
    </row>
    <row r="411" spans="1:7">
      <c r="A411" t="s">
        <v>7</v>
      </c>
      <c r="B411" t="s">
        <v>19</v>
      </c>
      <c r="C411" t="s">
        <v>234</v>
      </c>
      <c r="D411"/>
      <c r="E411" t="s">
        <v>2314</v>
      </c>
      <c r="F411"/>
      <c r="G411" s="107">
        <v>2100</v>
      </c>
    </row>
    <row r="412" spans="1:7">
      <c r="A412" t="s">
        <v>7</v>
      </c>
      <c r="B412" t="s">
        <v>19</v>
      </c>
      <c r="C412" t="s">
        <v>214</v>
      </c>
      <c r="D412"/>
      <c r="E412" t="s">
        <v>2315</v>
      </c>
      <c r="F412"/>
      <c r="G412" s="107">
        <v>0</v>
      </c>
    </row>
    <row r="413" spans="1:7">
      <c r="A413" t="s">
        <v>7</v>
      </c>
      <c r="B413" t="s">
        <v>19</v>
      </c>
      <c r="C413" t="s">
        <v>234</v>
      </c>
      <c r="D413"/>
      <c r="E413" t="s">
        <v>2316</v>
      </c>
      <c r="F413"/>
      <c r="G413" s="107">
        <v>2800</v>
      </c>
    </row>
    <row r="414" spans="1:7">
      <c r="A414" t="s">
        <v>7</v>
      </c>
      <c r="B414" t="s">
        <v>19</v>
      </c>
      <c r="C414" t="s">
        <v>214</v>
      </c>
      <c r="D414"/>
      <c r="E414" t="s">
        <v>2317</v>
      </c>
      <c r="F414"/>
      <c r="G414" s="107">
        <v>0</v>
      </c>
    </row>
    <row r="415" spans="1:7">
      <c r="A415" t="s">
        <v>7</v>
      </c>
      <c r="B415" t="s">
        <v>19</v>
      </c>
      <c r="C415" t="s">
        <v>234</v>
      </c>
      <c r="D415"/>
      <c r="E415" t="s">
        <v>2318</v>
      </c>
      <c r="F415"/>
      <c r="G415" s="107">
        <v>2100</v>
      </c>
    </row>
    <row r="416" spans="1:7">
      <c r="A416" t="s">
        <v>7</v>
      </c>
      <c r="B416" t="s">
        <v>19</v>
      </c>
      <c r="C416" t="s">
        <v>214</v>
      </c>
      <c r="D416"/>
      <c r="E416" t="s">
        <v>2319</v>
      </c>
      <c r="F416"/>
      <c r="G416" s="107">
        <v>0</v>
      </c>
    </row>
    <row r="417" spans="1:7">
      <c r="A417" t="s">
        <v>7</v>
      </c>
      <c r="B417" t="s">
        <v>19</v>
      </c>
      <c r="C417" t="s">
        <v>236</v>
      </c>
      <c r="D417"/>
      <c r="E417" t="s">
        <v>2320</v>
      </c>
      <c r="F417"/>
      <c r="G417" s="107">
        <v>56000</v>
      </c>
    </row>
    <row r="418" spans="1:7">
      <c r="A418" s="128" t="s">
        <v>7</v>
      </c>
      <c r="B418" s="128" t="s">
        <v>2117</v>
      </c>
      <c r="C418" s="128"/>
      <c r="D418" s="128"/>
      <c r="E418" s="128" t="s">
        <v>385</v>
      </c>
      <c r="F418" s="128"/>
      <c r="G418" s="129">
        <v>381225</v>
      </c>
    </row>
    <row r="419" spans="1:7">
      <c r="A419" t="s">
        <v>7</v>
      </c>
      <c r="B419" t="s">
        <v>19</v>
      </c>
      <c r="C419" t="s">
        <v>214</v>
      </c>
      <c r="D419"/>
      <c r="E419" t="s">
        <v>177</v>
      </c>
      <c r="F419"/>
      <c r="G419" s="107">
        <v>0</v>
      </c>
    </row>
    <row r="420" spans="1:7">
      <c r="A420" t="s">
        <v>7</v>
      </c>
      <c r="B420" t="s">
        <v>19</v>
      </c>
      <c r="C420" t="s">
        <v>227</v>
      </c>
      <c r="D420"/>
      <c r="E420" t="s">
        <v>2321</v>
      </c>
      <c r="F420"/>
      <c r="G420" s="107">
        <v>381225</v>
      </c>
    </row>
    <row r="421" spans="1:7">
      <c r="A421" s="128" t="s">
        <v>7</v>
      </c>
      <c r="B421" s="128" t="s">
        <v>2117</v>
      </c>
      <c r="C421" s="128"/>
      <c r="D421" s="128"/>
      <c r="E421" s="128" t="s">
        <v>386</v>
      </c>
      <c r="F421" s="128"/>
      <c r="G421" s="129">
        <v>33868</v>
      </c>
    </row>
    <row r="422" spans="1:7">
      <c r="A422" t="s">
        <v>7</v>
      </c>
      <c r="B422" t="s">
        <v>19</v>
      </c>
      <c r="C422" t="s">
        <v>214</v>
      </c>
      <c r="D422"/>
      <c r="E422" t="s">
        <v>387</v>
      </c>
      <c r="F422"/>
      <c r="G422" s="107">
        <v>0</v>
      </c>
    </row>
    <row r="423" spans="1:7">
      <c r="A423" t="s">
        <v>7</v>
      </c>
      <c r="B423" t="s">
        <v>19</v>
      </c>
      <c r="C423" t="s">
        <v>234</v>
      </c>
      <c r="D423"/>
      <c r="E423" t="s">
        <v>1714</v>
      </c>
      <c r="F423"/>
      <c r="G423" s="107">
        <v>6384</v>
      </c>
    </row>
    <row r="424" spans="1:7">
      <c r="A424" t="s">
        <v>7</v>
      </c>
      <c r="B424" t="s">
        <v>19</v>
      </c>
      <c r="C424" t="s">
        <v>214</v>
      </c>
      <c r="D424"/>
      <c r="E424" t="s">
        <v>1715</v>
      </c>
      <c r="F424"/>
      <c r="G424" s="107">
        <v>0</v>
      </c>
    </row>
    <row r="425" spans="1:7">
      <c r="A425" t="s">
        <v>7</v>
      </c>
      <c r="B425" t="s">
        <v>19</v>
      </c>
      <c r="C425" t="s">
        <v>234</v>
      </c>
      <c r="D425"/>
      <c r="E425" t="s">
        <v>2322</v>
      </c>
      <c r="F425"/>
      <c r="G425" s="107">
        <v>6477</v>
      </c>
    </row>
    <row r="426" spans="1:7">
      <c r="A426" t="s">
        <v>7</v>
      </c>
      <c r="B426" t="s">
        <v>19</v>
      </c>
      <c r="C426" t="s">
        <v>234</v>
      </c>
      <c r="D426"/>
      <c r="E426" t="s">
        <v>2323</v>
      </c>
      <c r="F426"/>
      <c r="G426" s="107">
        <v>1218</v>
      </c>
    </row>
    <row r="427" spans="1:7">
      <c r="A427" t="s">
        <v>7</v>
      </c>
      <c r="B427" t="s">
        <v>19</v>
      </c>
      <c r="C427" t="s">
        <v>234</v>
      </c>
      <c r="D427"/>
      <c r="E427" t="s">
        <v>2324</v>
      </c>
      <c r="F427"/>
      <c r="G427" s="107">
        <v>870</v>
      </c>
    </row>
    <row r="428" spans="1:7">
      <c r="A428" t="s">
        <v>7</v>
      </c>
      <c r="B428" t="s">
        <v>19</v>
      </c>
      <c r="C428" t="s">
        <v>234</v>
      </c>
      <c r="D428"/>
      <c r="E428" t="s">
        <v>2325</v>
      </c>
      <c r="F428"/>
      <c r="G428" s="107">
        <v>11419</v>
      </c>
    </row>
    <row r="429" spans="1:7">
      <c r="A429" t="s">
        <v>7</v>
      </c>
      <c r="B429" t="s">
        <v>19</v>
      </c>
      <c r="C429" t="s">
        <v>214</v>
      </c>
      <c r="D429"/>
      <c r="E429" t="s">
        <v>2326</v>
      </c>
      <c r="F429"/>
      <c r="G429" s="107">
        <v>0</v>
      </c>
    </row>
    <row r="430" spans="1:7">
      <c r="A430" t="s">
        <v>7</v>
      </c>
      <c r="B430" t="s">
        <v>19</v>
      </c>
      <c r="C430" t="s">
        <v>234</v>
      </c>
      <c r="D430"/>
      <c r="E430" t="s">
        <v>2327</v>
      </c>
      <c r="F430"/>
      <c r="G430" s="107">
        <v>7500</v>
      </c>
    </row>
    <row r="431" spans="1:7">
      <c r="A431" s="128" t="s">
        <v>7</v>
      </c>
      <c r="B431" s="128" t="s">
        <v>2117</v>
      </c>
      <c r="C431" s="128"/>
      <c r="D431" s="128"/>
      <c r="E431" s="128" t="s">
        <v>2328</v>
      </c>
      <c r="F431" s="128"/>
      <c r="G431" s="129">
        <v>170000</v>
      </c>
    </row>
    <row r="432" spans="1:7">
      <c r="A432" t="s">
        <v>7</v>
      </c>
      <c r="B432" t="s">
        <v>19</v>
      </c>
      <c r="C432" t="s">
        <v>214</v>
      </c>
      <c r="D432"/>
      <c r="E432" t="s">
        <v>2329</v>
      </c>
      <c r="F432"/>
      <c r="G432" s="107">
        <v>0</v>
      </c>
    </row>
    <row r="433" spans="1:7">
      <c r="A433" t="s">
        <v>7</v>
      </c>
      <c r="B433" t="s">
        <v>19</v>
      </c>
      <c r="C433" t="s">
        <v>227</v>
      </c>
      <c r="D433"/>
      <c r="E433" t="s">
        <v>2330</v>
      </c>
      <c r="F433"/>
      <c r="G433" s="107">
        <v>70000</v>
      </c>
    </row>
    <row r="434" spans="1:7">
      <c r="A434" t="s">
        <v>7</v>
      </c>
      <c r="B434" t="s">
        <v>19</v>
      </c>
      <c r="C434" t="s">
        <v>214</v>
      </c>
      <c r="D434"/>
      <c r="E434" t="s">
        <v>2331</v>
      </c>
      <c r="F434"/>
      <c r="G434" s="107">
        <v>0</v>
      </c>
    </row>
    <row r="435" spans="1:7">
      <c r="A435" t="s">
        <v>7</v>
      </c>
      <c r="B435" t="s">
        <v>19</v>
      </c>
      <c r="C435" t="s">
        <v>234</v>
      </c>
      <c r="D435"/>
      <c r="E435" t="s">
        <v>2332</v>
      </c>
      <c r="F435"/>
      <c r="G435" s="107">
        <v>40000</v>
      </c>
    </row>
    <row r="436" spans="1:7">
      <c r="A436" t="s">
        <v>7</v>
      </c>
      <c r="B436" t="s">
        <v>19</v>
      </c>
      <c r="C436" t="s">
        <v>214</v>
      </c>
      <c r="D436"/>
      <c r="E436" t="s">
        <v>2333</v>
      </c>
      <c r="F436"/>
      <c r="G436" s="107">
        <v>0</v>
      </c>
    </row>
    <row r="437" spans="1:7">
      <c r="A437" t="s">
        <v>7</v>
      </c>
      <c r="B437" t="s">
        <v>19</v>
      </c>
      <c r="C437" t="s">
        <v>234</v>
      </c>
      <c r="D437"/>
      <c r="E437" t="s">
        <v>2334</v>
      </c>
      <c r="F437"/>
      <c r="G437" s="107">
        <v>60000</v>
      </c>
    </row>
    <row r="438" spans="1:7">
      <c r="A438" s="128" t="s">
        <v>7</v>
      </c>
      <c r="B438" s="128" t="s">
        <v>2117</v>
      </c>
      <c r="C438" s="128"/>
      <c r="D438" s="128"/>
      <c r="E438" s="128" t="s">
        <v>389</v>
      </c>
      <c r="F438" s="128"/>
      <c r="G438" s="129">
        <v>8000</v>
      </c>
    </row>
    <row r="439" spans="1:7">
      <c r="A439" t="s">
        <v>7</v>
      </c>
      <c r="B439" t="s">
        <v>19</v>
      </c>
      <c r="C439" t="s">
        <v>214</v>
      </c>
      <c r="D439"/>
      <c r="E439" t="s">
        <v>390</v>
      </c>
      <c r="F439"/>
      <c r="G439" s="107">
        <v>0</v>
      </c>
    </row>
    <row r="440" spans="1:7">
      <c r="A440" t="s">
        <v>7</v>
      </c>
      <c r="B440" t="s">
        <v>19</v>
      </c>
      <c r="C440" t="s">
        <v>234</v>
      </c>
      <c r="D440"/>
      <c r="E440" t="s">
        <v>2335</v>
      </c>
      <c r="F440"/>
      <c r="G440" s="107">
        <v>8000</v>
      </c>
    </row>
    <row r="441" spans="1:7">
      <c r="A441" s="128" t="s">
        <v>7</v>
      </c>
      <c r="B441" s="128" t="s">
        <v>2117</v>
      </c>
      <c r="C441" s="128"/>
      <c r="D441" s="128"/>
      <c r="E441" s="128" t="s">
        <v>391</v>
      </c>
      <c r="F441" s="128"/>
      <c r="G441" s="129">
        <v>818091.03000000014</v>
      </c>
    </row>
    <row r="442" spans="1:7">
      <c r="A442" t="s">
        <v>7</v>
      </c>
      <c r="B442" t="s">
        <v>19</v>
      </c>
      <c r="C442" t="s">
        <v>1898</v>
      </c>
      <c r="D442"/>
      <c r="E442" t="s">
        <v>1416</v>
      </c>
      <c r="F442"/>
      <c r="G442" s="107">
        <v>818091.03000000014</v>
      </c>
    </row>
    <row r="443" spans="1:7">
      <c r="A443" s="163" t="s">
        <v>7</v>
      </c>
      <c r="B443" s="163" t="s">
        <v>8</v>
      </c>
      <c r="C443" s="163"/>
      <c r="D443" s="163"/>
      <c r="E443" s="163" t="s">
        <v>392</v>
      </c>
      <c r="F443" s="163"/>
      <c r="G443" s="164">
        <v>1416166.53</v>
      </c>
    </row>
    <row r="444" spans="1:7">
      <c r="A444" s="128" t="s">
        <v>7</v>
      </c>
      <c r="B444" s="128" t="s">
        <v>2117</v>
      </c>
      <c r="C444" s="128"/>
      <c r="D444" s="128"/>
      <c r="E444" s="128" t="s">
        <v>393</v>
      </c>
      <c r="F444" s="128"/>
      <c r="G444" s="129">
        <v>108000</v>
      </c>
    </row>
    <row r="445" spans="1:7">
      <c r="A445" t="s">
        <v>7</v>
      </c>
      <c r="B445" t="s">
        <v>19</v>
      </c>
      <c r="C445" t="s">
        <v>214</v>
      </c>
      <c r="D445"/>
      <c r="E445" t="s">
        <v>394</v>
      </c>
      <c r="F445"/>
      <c r="G445" s="107">
        <v>0</v>
      </c>
    </row>
    <row r="446" spans="1:7">
      <c r="A446" t="s">
        <v>7</v>
      </c>
      <c r="B446" t="s">
        <v>19</v>
      </c>
      <c r="C446" t="s">
        <v>227</v>
      </c>
      <c r="D446"/>
      <c r="E446" t="s">
        <v>395</v>
      </c>
      <c r="F446"/>
      <c r="G446" s="107">
        <v>54000</v>
      </c>
    </row>
    <row r="447" spans="1:7">
      <c r="A447" t="s">
        <v>7</v>
      </c>
      <c r="B447" t="s">
        <v>19</v>
      </c>
      <c r="C447" t="s">
        <v>227</v>
      </c>
      <c r="D447"/>
      <c r="E447" t="s">
        <v>396</v>
      </c>
      <c r="F447"/>
      <c r="G447" s="107">
        <v>54000</v>
      </c>
    </row>
    <row r="448" spans="1:7">
      <c r="A448" s="128" t="s">
        <v>7</v>
      </c>
      <c r="B448" s="128" t="s">
        <v>2117</v>
      </c>
      <c r="C448" s="128"/>
      <c r="D448" s="128"/>
      <c r="E448" s="128" t="s">
        <v>397</v>
      </c>
      <c r="F448" s="128"/>
      <c r="G448" s="129">
        <v>229344</v>
      </c>
    </row>
    <row r="449" spans="1:7">
      <c r="A449" t="s">
        <v>7</v>
      </c>
      <c r="B449" t="s">
        <v>19</v>
      </c>
      <c r="C449" t="s">
        <v>214</v>
      </c>
      <c r="D449"/>
      <c r="E449" t="s">
        <v>398</v>
      </c>
      <c r="F449"/>
      <c r="G449" s="107">
        <v>0</v>
      </c>
    </row>
    <row r="450" spans="1:7">
      <c r="A450" t="s">
        <v>7</v>
      </c>
      <c r="B450" t="s">
        <v>19</v>
      </c>
      <c r="C450" t="s">
        <v>227</v>
      </c>
      <c r="D450"/>
      <c r="E450" t="s">
        <v>399</v>
      </c>
      <c r="F450"/>
      <c r="G450" s="107">
        <v>80000</v>
      </c>
    </row>
    <row r="451" spans="1:7">
      <c r="A451" t="s">
        <v>7</v>
      </c>
      <c r="B451" t="s">
        <v>19</v>
      </c>
      <c r="C451" t="s">
        <v>227</v>
      </c>
      <c r="D451"/>
      <c r="E451" t="s">
        <v>400</v>
      </c>
      <c r="F451"/>
      <c r="G451" s="107">
        <v>20000</v>
      </c>
    </row>
    <row r="452" spans="1:7">
      <c r="A452" t="s">
        <v>7</v>
      </c>
      <c r="B452" t="s">
        <v>19</v>
      </c>
      <c r="C452" t="s">
        <v>214</v>
      </c>
      <c r="D452"/>
      <c r="E452" t="s">
        <v>1716</v>
      </c>
      <c r="F452"/>
      <c r="G452" s="107">
        <v>0</v>
      </c>
    </row>
    <row r="453" spans="1:7">
      <c r="A453" t="s">
        <v>7</v>
      </c>
      <c r="B453" t="s">
        <v>19</v>
      </c>
      <c r="C453" t="s">
        <v>227</v>
      </c>
      <c r="D453"/>
      <c r="E453" t="s">
        <v>1717</v>
      </c>
      <c r="F453"/>
      <c r="G453" s="107">
        <v>80000</v>
      </c>
    </row>
    <row r="454" spans="1:7">
      <c r="A454" t="s">
        <v>7</v>
      </c>
      <c r="B454" t="s">
        <v>19</v>
      </c>
      <c r="C454" t="s">
        <v>227</v>
      </c>
      <c r="D454"/>
      <c r="E454" t="s">
        <v>1718</v>
      </c>
      <c r="F454"/>
      <c r="G454" s="107">
        <v>20000</v>
      </c>
    </row>
    <row r="455" spans="1:7">
      <c r="A455" t="s">
        <v>7</v>
      </c>
      <c r="B455" t="s">
        <v>19</v>
      </c>
      <c r="C455" t="s">
        <v>214</v>
      </c>
      <c r="D455"/>
      <c r="E455" t="s">
        <v>2336</v>
      </c>
      <c r="F455"/>
      <c r="G455" s="107">
        <v>0</v>
      </c>
    </row>
    <row r="456" spans="1:7">
      <c r="A456" t="s">
        <v>7</v>
      </c>
      <c r="B456" t="s">
        <v>19</v>
      </c>
      <c r="C456" t="s">
        <v>227</v>
      </c>
      <c r="D456"/>
      <c r="E456" t="s">
        <v>2337</v>
      </c>
      <c r="F456"/>
      <c r="G456" s="107">
        <v>29344.44</v>
      </c>
    </row>
    <row r="457" spans="1:7">
      <c r="A457" s="128" t="s">
        <v>7</v>
      </c>
      <c r="B457" s="128" t="s">
        <v>2117</v>
      </c>
      <c r="C457" s="128"/>
      <c r="D457" s="128"/>
      <c r="E457" s="128" t="s">
        <v>401</v>
      </c>
      <c r="F457" s="128"/>
      <c r="G457" s="129">
        <v>50000</v>
      </c>
    </row>
    <row r="458" spans="1:7">
      <c r="A458" t="s">
        <v>7</v>
      </c>
      <c r="B458" t="s">
        <v>19</v>
      </c>
      <c r="C458" t="s">
        <v>214</v>
      </c>
      <c r="D458"/>
      <c r="E458" t="s">
        <v>402</v>
      </c>
      <c r="F458"/>
      <c r="G458" s="107">
        <v>0</v>
      </c>
    </row>
    <row r="459" spans="1:7">
      <c r="A459" t="s">
        <v>7</v>
      </c>
      <c r="B459" t="s">
        <v>19</v>
      </c>
      <c r="C459" t="s">
        <v>214</v>
      </c>
      <c r="D459"/>
      <c r="E459" t="s">
        <v>403</v>
      </c>
      <c r="F459"/>
      <c r="G459" s="107">
        <v>0</v>
      </c>
    </row>
    <row r="460" spans="1:7">
      <c r="A460" t="s">
        <v>7</v>
      </c>
      <c r="B460" t="s">
        <v>19</v>
      </c>
      <c r="C460" t="s">
        <v>227</v>
      </c>
      <c r="D460"/>
      <c r="E460" t="s">
        <v>404</v>
      </c>
      <c r="F460"/>
      <c r="G460" s="107">
        <v>5000</v>
      </c>
    </row>
    <row r="461" spans="1:7">
      <c r="A461" t="s">
        <v>7</v>
      </c>
      <c r="B461" t="s">
        <v>19</v>
      </c>
      <c r="C461" t="s">
        <v>227</v>
      </c>
      <c r="D461"/>
      <c r="E461" t="s">
        <v>405</v>
      </c>
      <c r="F461"/>
      <c r="G461" s="107">
        <v>5000</v>
      </c>
    </row>
    <row r="462" spans="1:7">
      <c r="A462" t="s">
        <v>7</v>
      </c>
      <c r="B462" t="s">
        <v>19</v>
      </c>
      <c r="C462" t="s">
        <v>214</v>
      </c>
      <c r="D462"/>
      <c r="E462" t="s">
        <v>406</v>
      </c>
      <c r="F462"/>
      <c r="G462" s="107">
        <v>0</v>
      </c>
    </row>
    <row r="463" spans="1:7">
      <c r="A463" t="s">
        <v>7</v>
      </c>
      <c r="B463" t="s">
        <v>19</v>
      </c>
      <c r="C463" t="s">
        <v>227</v>
      </c>
      <c r="D463"/>
      <c r="E463" t="s">
        <v>407</v>
      </c>
      <c r="F463"/>
      <c r="G463" s="107">
        <v>5000</v>
      </c>
    </row>
    <row r="464" spans="1:7">
      <c r="A464" t="s">
        <v>7</v>
      </c>
      <c r="B464" t="s">
        <v>19</v>
      </c>
      <c r="C464" t="s">
        <v>227</v>
      </c>
      <c r="D464"/>
      <c r="E464" t="s">
        <v>408</v>
      </c>
      <c r="F464"/>
      <c r="G464" s="107">
        <v>5000</v>
      </c>
    </row>
    <row r="465" spans="1:7">
      <c r="A465" t="s">
        <v>7</v>
      </c>
      <c r="B465" t="s">
        <v>19</v>
      </c>
      <c r="C465" t="s">
        <v>214</v>
      </c>
      <c r="D465"/>
      <c r="E465" t="s">
        <v>2338</v>
      </c>
      <c r="F465"/>
      <c r="G465" s="107">
        <v>0</v>
      </c>
    </row>
    <row r="466" spans="1:7">
      <c r="A466" t="s">
        <v>7</v>
      </c>
      <c r="B466" t="s">
        <v>19</v>
      </c>
      <c r="C466" t="s">
        <v>227</v>
      </c>
      <c r="D466"/>
      <c r="E466" t="s">
        <v>2339</v>
      </c>
      <c r="F466"/>
      <c r="G466" s="107">
        <v>5000</v>
      </c>
    </row>
    <row r="467" spans="1:7">
      <c r="A467" t="s">
        <v>7</v>
      </c>
      <c r="B467" t="s">
        <v>19</v>
      </c>
      <c r="C467" t="s">
        <v>227</v>
      </c>
      <c r="D467"/>
      <c r="E467" t="s">
        <v>2340</v>
      </c>
      <c r="F467"/>
      <c r="G467" s="107">
        <v>5000</v>
      </c>
    </row>
    <row r="468" spans="1:7">
      <c r="A468" t="s">
        <v>7</v>
      </c>
      <c r="B468" t="s">
        <v>19</v>
      </c>
      <c r="C468" t="s">
        <v>214</v>
      </c>
      <c r="D468"/>
      <c r="E468" t="s">
        <v>2341</v>
      </c>
      <c r="F468"/>
      <c r="G468" s="107">
        <v>0</v>
      </c>
    </row>
    <row r="469" spans="1:7">
      <c r="A469" t="s">
        <v>7</v>
      </c>
      <c r="B469" t="s">
        <v>19</v>
      </c>
      <c r="C469" t="s">
        <v>227</v>
      </c>
      <c r="D469"/>
      <c r="E469" t="s">
        <v>2342</v>
      </c>
      <c r="F469"/>
      <c r="G469" s="107">
        <v>5000</v>
      </c>
    </row>
    <row r="470" spans="1:7">
      <c r="A470" t="s">
        <v>7</v>
      </c>
      <c r="B470" t="s">
        <v>19</v>
      </c>
      <c r="C470" t="s">
        <v>227</v>
      </c>
      <c r="D470"/>
      <c r="E470" t="s">
        <v>2343</v>
      </c>
      <c r="F470"/>
      <c r="G470" s="107">
        <v>5000</v>
      </c>
    </row>
    <row r="471" spans="1:7">
      <c r="A471" t="s">
        <v>7</v>
      </c>
      <c r="B471" t="s">
        <v>19</v>
      </c>
      <c r="C471" t="s">
        <v>214</v>
      </c>
      <c r="D471"/>
      <c r="E471" t="s">
        <v>2344</v>
      </c>
      <c r="F471"/>
      <c r="G471" s="107">
        <v>0</v>
      </c>
    </row>
    <row r="472" spans="1:7">
      <c r="A472" t="s">
        <v>7</v>
      </c>
      <c r="B472" t="s">
        <v>19</v>
      </c>
      <c r="C472" t="s">
        <v>1419</v>
      </c>
      <c r="D472"/>
      <c r="E472" t="s">
        <v>2345</v>
      </c>
      <c r="F472"/>
      <c r="G472" s="107">
        <v>5000</v>
      </c>
    </row>
    <row r="473" spans="1:7">
      <c r="A473" t="s">
        <v>7</v>
      </c>
      <c r="B473" t="s">
        <v>19</v>
      </c>
      <c r="C473" t="s">
        <v>1419</v>
      </c>
      <c r="D473"/>
      <c r="E473" t="s">
        <v>2346</v>
      </c>
      <c r="F473"/>
      <c r="G473" s="107">
        <v>5000</v>
      </c>
    </row>
    <row r="474" spans="1:7">
      <c r="A474" s="128" t="s">
        <v>7</v>
      </c>
      <c r="B474" s="128" t="s">
        <v>2117</v>
      </c>
      <c r="C474" s="128"/>
      <c r="D474" s="128"/>
      <c r="E474" s="128" t="s">
        <v>409</v>
      </c>
      <c r="F474" s="128"/>
      <c r="G474" s="129">
        <v>95072</v>
      </c>
    </row>
    <row r="475" spans="1:7">
      <c r="A475" t="s">
        <v>7</v>
      </c>
      <c r="B475" t="s">
        <v>19</v>
      </c>
      <c r="C475" t="s">
        <v>214</v>
      </c>
      <c r="D475"/>
      <c r="E475" t="s">
        <v>410</v>
      </c>
      <c r="F475"/>
      <c r="G475" s="107">
        <v>0</v>
      </c>
    </row>
    <row r="476" spans="1:7">
      <c r="A476" t="s">
        <v>7</v>
      </c>
      <c r="B476" t="s">
        <v>19</v>
      </c>
      <c r="C476" t="s">
        <v>234</v>
      </c>
      <c r="D476"/>
      <c r="E476" t="s">
        <v>411</v>
      </c>
      <c r="F476"/>
      <c r="G476" s="107">
        <v>12600</v>
      </c>
    </row>
    <row r="477" spans="1:7">
      <c r="A477" t="s">
        <v>7</v>
      </c>
      <c r="B477" t="s">
        <v>19</v>
      </c>
      <c r="C477" t="s">
        <v>236</v>
      </c>
      <c r="D477"/>
      <c r="E477" t="s">
        <v>412</v>
      </c>
      <c r="F477"/>
      <c r="G477" s="107">
        <v>44100</v>
      </c>
    </row>
    <row r="478" spans="1:7">
      <c r="A478" t="s">
        <v>7</v>
      </c>
      <c r="B478" t="s">
        <v>19</v>
      </c>
      <c r="C478" t="s">
        <v>214</v>
      </c>
      <c r="D478"/>
      <c r="E478" t="s">
        <v>1719</v>
      </c>
      <c r="F478"/>
      <c r="G478" s="107">
        <v>0</v>
      </c>
    </row>
    <row r="479" spans="1:7">
      <c r="A479" t="s">
        <v>7</v>
      </c>
      <c r="B479" t="s">
        <v>19</v>
      </c>
      <c r="C479" t="s">
        <v>1419</v>
      </c>
      <c r="D479"/>
      <c r="E479" t="s">
        <v>1720</v>
      </c>
      <c r="F479"/>
      <c r="G479" s="107">
        <v>6300</v>
      </c>
    </row>
    <row r="480" spans="1:7">
      <c r="A480" t="s">
        <v>7</v>
      </c>
      <c r="B480" t="s">
        <v>19</v>
      </c>
      <c r="C480" t="s">
        <v>1419</v>
      </c>
      <c r="D480"/>
      <c r="E480" t="s">
        <v>1721</v>
      </c>
      <c r="F480"/>
      <c r="G480" s="107">
        <v>12600</v>
      </c>
    </row>
    <row r="481" spans="1:7">
      <c r="A481" t="s">
        <v>7</v>
      </c>
      <c r="B481" t="s">
        <v>19</v>
      </c>
      <c r="C481" t="s">
        <v>214</v>
      </c>
      <c r="D481"/>
      <c r="E481" t="s">
        <v>2347</v>
      </c>
      <c r="F481"/>
      <c r="G481" s="107">
        <v>0</v>
      </c>
    </row>
    <row r="482" spans="1:7">
      <c r="A482" t="s">
        <v>7</v>
      </c>
      <c r="B482" t="s">
        <v>19</v>
      </c>
      <c r="C482" t="s">
        <v>227</v>
      </c>
      <c r="D482"/>
      <c r="E482" t="s">
        <v>2348</v>
      </c>
      <c r="F482"/>
      <c r="G482" s="107">
        <v>14672.22</v>
      </c>
    </row>
    <row r="483" spans="1:7">
      <c r="A483" t="s">
        <v>7</v>
      </c>
      <c r="B483" t="s">
        <v>19</v>
      </c>
      <c r="C483" t="s">
        <v>214</v>
      </c>
      <c r="D483"/>
      <c r="E483" t="s">
        <v>2349</v>
      </c>
      <c r="F483"/>
      <c r="G483" s="107">
        <v>0</v>
      </c>
    </row>
    <row r="484" spans="1:7">
      <c r="A484" t="s">
        <v>7</v>
      </c>
      <c r="B484" t="s">
        <v>19</v>
      </c>
      <c r="C484" t="s">
        <v>227</v>
      </c>
      <c r="D484"/>
      <c r="E484" t="s">
        <v>2350</v>
      </c>
      <c r="F484"/>
      <c r="G484" s="107">
        <v>4800</v>
      </c>
    </row>
    <row r="485" spans="1:7">
      <c r="A485" s="128" t="s">
        <v>7</v>
      </c>
      <c r="B485" s="128" t="s">
        <v>2117</v>
      </c>
      <c r="C485" s="128"/>
      <c r="D485" s="128"/>
      <c r="E485" s="128" t="s">
        <v>413</v>
      </c>
      <c r="F485" s="128"/>
      <c r="G485" s="129">
        <v>209442</v>
      </c>
    </row>
    <row r="486" spans="1:7">
      <c r="A486" t="s">
        <v>7</v>
      </c>
      <c r="B486" t="s">
        <v>19</v>
      </c>
      <c r="C486" t="s">
        <v>214</v>
      </c>
      <c r="D486"/>
      <c r="E486" t="s">
        <v>414</v>
      </c>
      <c r="F486"/>
      <c r="G486" s="107">
        <v>0</v>
      </c>
    </row>
    <row r="487" spans="1:7">
      <c r="A487" t="s">
        <v>7</v>
      </c>
      <c r="B487" t="s">
        <v>19</v>
      </c>
      <c r="C487" t="s">
        <v>227</v>
      </c>
      <c r="D487"/>
      <c r="E487" t="s">
        <v>415</v>
      </c>
      <c r="F487"/>
      <c r="G487" s="107">
        <v>24000</v>
      </c>
    </row>
    <row r="488" spans="1:7">
      <c r="A488" t="s">
        <v>7</v>
      </c>
      <c r="B488" t="s">
        <v>19</v>
      </c>
      <c r="C488" t="s">
        <v>227</v>
      </c>
      <c r="D488"/>
      <c r="E488" t="s">
        <v>416</v>
      </c>
      <c r="F488"/>
      <c r="G488" s="107">
        <v>24000</v>
      </c>
    </row>
    <row r="489" spans="1:7">
      <c r="A489" t="s">
        <v>7</v>
      </c>
      <c r="B489" t="s">
        <v>19</v>
      </c>
      <c r="C489" t="s">
        <v>227</v>
      </c>
      <c r="D489"/>
      <c r="E489" t="s">
        <v>417</v>
      </c>
      <c r="F489"/>
      <c r="G489" s="107">
        <v>21441.63</v>
      </c>
    </row>
    <row r="490" spans="1:7">
      <c r="A490" t="s">
        <v>7</v>
      </c>
      <c r="B490" t="s">
        <v>19</v>
      </c>
      <c r="C490" t="s">
        <v>214</v>
      </c>
      <c r="D490"/>
      <c r="E490" t="s">
        <v>2351</v>
      </c>
      <c r="F490"/>
      <c r="G490" s="107">
        <v>0</v>
      </c>
    </row>
    <row r="491" spans="1:7">
      <c r="A491" t="s">
        <v>7</v>
      </c>
      <c r="B491" t="s">
        <v>19</v>
      </c>
      <c r="C491" t="s">
        <v>227</v>
      </c>
      <c r="D491"/>
      <c r="E491" t="s">
        <v>2352</v>
      </c>
      <c r="F491"/>
      <c r="G491" s="107">
        <v>140000</v>
      </c>
    </row>
    <row r="492" spans="1:7">
      <c r="A492" s="128" t="s">
        <v>7</v>
      </c>
      <c r="B492" s="128" t="s">
        <v>2117</v>
      </c>
      <c r="C492" s="128"/>
      <c r="D492" s="128"/>
      <c r="E492" s="128" t="s">
        <v>418</v>
      </c>
      <c r="F492" s="128"/>
      <c r="G492" s="129">
        <v>560513</v>
      </c>
    </row>
    <row r="493" spans="1:7">
      <c r="A493" t="s">
        <v>7</v>
      </c>
      <c r="B493" t="s">
        <v>19</v>
      </c>
      <c r="C493" t="s">
        <v>214</v>
      </c>
      <c r="D493"/>
      <c r="E493" t="s">
        <v>419</v>
      </c>
      <c r="F493"/>
      <c r="G493" s="107">
        <v>0</v>
      </c>
    </row>
    <row r="494" spans="1:7">
      <c r="A494" t="s">
        <v>7</v>
      </c>
      <c r="B494" t="s">
        <v>19</v>
      </c>
      <c r="C494" t="s">
        <v>227</v>
      </c>
      <c r="D494"/>
      <c r="E494" t="s">
        <v>420</v>
      </c>
      <c r="F494"/>
      <c r="G494" s="107">
        <v>208000</v>
      </c>
    </row>
    <row r="495" spans="1:7">
      <c r="A495" t="s">
        <v>7</v>
      </c>
      <c r="B495" t="s">
        <v>19</v>
      </c>
      <c r="C495" t="s">
        <v>227</v>
      </c>
      <c r="D495"/>
      <c r="E495" t="s">
        <v>1722</v>
      </c>
      <c r="F495"/>
      <c r="G495" s="107">
        <v>80000</v>
      </c>
    </row>
    <row r="496" spans="1:7">
      <c r="A496" t="s">
        <v>7</v>
      </c>
      <c r="B496" t="s">
        <v>19</v>
      </c>
      <c r="C496" t="s">
        <v>214</v>
      </c>
      <c r="D496"/>
      <c r="E496" t="s">
        <v>1723</v>
      </c>
      <c r="F496"/>
      <c r="G496" s="107">
        <v>0</v>
      </c>
    </row>
    <row r="497" spans="1:7">
      <c r="A497" t="s">
        <v>7</v>
      </c>
      <c r="B497" t="s">
        <v>19</v>
      </c>
      <c r="C497" t="s">
        <v>227</v>
      </c>
      <c r="D497"/>
      <c r="E497" t="s">
        <v>1724</v>
      </c>
      <c r="F497"/>
      <c r="G497" s="107">
        <v>100800</v>
      </c>
    </row>
    <row r="498" spans="1:7">
      <c r="A498" t="s">
        <v>7</v>
      </c>
      <c r="B498" t="s">
        <v>19</v>
      </c>
      <c r="C498" t="s">
        <v>214</v>
      </c>
      <c r="D498"/>
      <c r="E498" t="s">
        <v>2353</v>
      </c>
      <c r="F498"/>
      <c r="G498" s="107">
        <v>0</v>
      </c>
    </row>
    <row r="499" spans="1:7">
      <c r="A499" t="s">
        <v>7</v>
      </c>
      <c r="B499" t="s">
        <v>19</v>
      </c>
      <c r="C499" t="s">
        <v>227</v>
      </c>
      <c r="D499"/>
      <c r="E499" t="s">
        <v>2354</v>
      </c>
      <c r="F499"/>
      <c r="G499" s="107">
        <v>12000</v>
      </c>
    </row>
    <row r="500" spans="1:7">
      <c r="A500" t="s">
        <v>7</v>
      </c>
      <c r="B500" t="s">
        <v>19</v>
      </c>
      <c r="C500" t="s">
        <v>214</v>
      </c>
      <c r="D500"/>
      <c r="E500" t="s">
        <v>2355</v>
      </c>
      <c r="F500"/>
      <c r="G500" s="107">
        <v>0</v>
      </c>
    </row>
    <row r="501" spans="1:7">
      <c r="A501" t="s">
        <v>7</v>
      </c>
      <c r="B501" t="s">
        <v>19</v>
      </c>
      <c r="C501" t="s">
        <v>227</v>
      </c>
      <c r="D501"/>
      <c r="E501" t="s">
        <v>2356</v>
      </c>
      <c r="F501"/>
      <c r="G501" s="107">
        <v>134117.57999999999</v>
      </c>
    </row>
    <row r="502" spans="1:7">
      <c r="A502" t="s">
        <v>7</v>
      </c>
      <c r="B502" t="s">
        <v>19</v>
      </c>
      <c r="C502" t="s">
        <v>214</v>
      </c>
      <c r="D502"/>
      <c r="E502" t="s">
        <v>2357</v>
      </c>
      <c r="F502"/>
      <c r="G502" s="107">
        <v>0</v>
      </c>
    </row>
    <row r="503" spans="1:7">
      <c r="A503" t="s">
        <v>7</v>
      </c>
      <c r="B503" t="s">
        <v>19</v>
      </c>
      <c r="C503" t="s">
        <v>227</v>
      </c>
      <c r="D503"/>
      <c r="E503" t="s">
        <v>2358</v>
      </c>
      <c r="F503"/>
      <c r="G503" s="107">
        <v>25595.82</v>
      </c>
    </row>
    <row r="504" spans="1:7">
      <c r="A504" s="128" t="s">
        <v>7</v>
      </c>
      <c r="B504" s="128" t="s">
        <v>2117</v>
      </c>
      <c r="C504" s="128"/>
      <c r="D504" s="128"/>
      <c r="E504" s="128" t="s">
        <v>421</v>
      </c>
      <c r="F504" s="128"/>
      <c r="G504" s="129">
        <v>146500</v>
      </c>
    </row>
    <row r="505" spans="1:7">
      <c r="A505" t="s">
        <v>7</v>
      </c>
      <c r="B505" t="s">
        <v>19</v>
      </c>
      <c r="C505" t="s">
        <v>214</v>
      </c>
      <c r="D505"/>
      <c r="E505" t="s">
        <v>422</v>
      </c>
      <c r="F505"/>
      <c r="G505" s="107">
        <v>0</v>
      </c>
    </row>
    <row r="506" spans="1:7">
      <c r="A506" t="s">
        <v>7</v>
      </c>
      <c r="B506" t="s">
        <v>19</v>
      </c>
      <c r="C506" t="s">
        <v>236</v>
      </c>
      <c r="D506"/>
      <c r="E506" t="s">
        <v>424</v>
      </c>
      <c r="F506"/>
      <c r="G506" s="107">
        <v>60000</v>
      </c>
    </row>
    <row r="507" spans="1:7">
      <c r="A507" t="s">
        <v>7</v>
      </c>
      <c r="B507" t="s">
        <v>19</v>
      </c>
      <c r="C507" t="s">
        <v>214</v>
      </c>
      <c r="D507"/>
      <c r="E507" t="s">
        <v>425</v>
      </c>
      <c r="F507"/>
      <c r="G507" s="107">
        <v>0</v>
      </c>
    </row>
    <row r="508" spans="1:7">
      <c r="A508" t="s">
        <v>7</v>
      </c>
      <c r="B508" t="s">
        <v>19</v>
      </c>
      <c r="C508" t="s">
        <v>236</v>
      </c>
      <c r="D508"/>
      <c r="E508" t="s">
        <v>426</v>
      </c>
      <c r="F508"/>
      <c r="G508" s="107">
        <v>10500</v>
      </c>
    </row>
    <row r="509" spans="1:7">
      <c r="A509" t="s">
        <v>7</v>
      </c>
      <c r="B509" t="s">
        <v>19</v>
      </c>
      <c r="C509" t="s">
        <v>236</v>
      </c>
      <c r="D509"/>
      <c r="E509" t="s">
        <v>427</v>
      </c>
      <c r="F509"/>
      <c r="G509" s="107">
        <v>5250</v>
      </c>
    </row>
    <row r="510" spans="1:7">
      <c r="A510" t="s">
        <v>7</v>
      </c>
      <c r="B510" t="s">
        <v>19</v>
      </c>
      <c r="C510" t="s">
        <v>214</v>
      </c>
      <c r="D510"/>
      <c r="E510" t="s">
        <v>2359</v>
      </c>
      <c r="F510"/>
      <c r="G510" s="107">
        <v>0</v>
      </c>
    </row>
    <row r="511" spans="1:7">
      <c r="A511" t="s">
        <v>7</v>
      </c>
      <c r="B511" t="s">
        <v>19</v>
      </c>
      <c r="C511" t="s">
        <v>236</v>
      </c>
      <c r="D511"/>
      <c r="E511" t="s">
        <v>2360</v>
      </c>
      <c r="F511"/>
      <c r="G511" s="107">
        <v>10500</v>
      </c>
    </row>
    <row r="512" spans="1:7">
      <c r="A512" t="s">
        <v>7</v>
      </c>
      <c r="B512" t="s">
        <v>19</v>
      </c>
      <c r="C512" t="s">
        <v>236</v>
      </c>
      <c r="D512"/>
      <c r="E512" t="s">
        <v>2361</v>
      </c>
      <c r="F512"/>
      <c r="G512" s="107">
        <v>5250</v>
      </c>
    </row>
    <row r="513" spans="1:7">
      <c r="A513" t="s">
        <v>7</v>
      </c>
      <c r="B513" t="s">
        <v>19</v>
      </c>
      <c r="C513" t="s">
        <v>214</v>
      </c>
      <c r="D513"/>
      <c r="E513" t="s">
        <v>2362</v>
      </c>
      <c r="F513"/>
      <c r="G513" s="107">
        <v>0</v>
      </c>
    </row>
    <row r="514" spans="1:7">
      <c r="A514" t="s">
        <v>7</v>
      </c>
      <c r="B514" t="s">
        <v>19</v>
      </c>
      <c r="C514" t="s">
        <v>234</v>
      </c>
      <c r="D514"/>
      <c r="E514" t="s">
        <v>2363</v>
      </c>
      <c r="F514"/>
      <c r="G514" s="107">
        <v>5000</v>
      </c>
    </row>
    <row r="515" spans="1:7">
      <c r="A515" t="s">
        <v>7</v>
      </c>
      <c r="B515" t="s">
        <v>19</v>
      </c>
      <c r="C515" t="s">
        <v>236</v>
      </c>
      <c r="D515"/>
      <c r="E515" t="s">
        <v>2364</v>
      </c>
      <c r="F515"/>
      <c r="G515" s="107">
        <v>6500</v>
      </c>
    </row>
    <row r="516" spans="1:7">
      <c r="A516" t="s">
        <v>7</v>
      </c>
      <c r="B516" t="s">
        <v>19</v>
      </c>
      <c r="C516" t="s">
        <v>236</v>
      </c>
      <c r="D516"/>
      <c r="E516" t="s">
        <v>2365</v>
      </c>
      <c r="F516"/>
      <c r="G516" s="107">
        <v>12000</v>
      </c>
    </row>
    <row r="517" spans="1:7">
      <c r="A517" t="s">
        <v>7</v>
      </c>
      <c r="B517" t="s">
        <v>19</v>
      </c>
      <c r="C517" t="s">
        <v>236</v>
      </c>
      <c r="D517"/>
      <c r="E517" t="s">
        <v>2366</v>
      </c>
      <c r="F517"/>
      <c r="G517" s="107">
        <v>5250</v>
      </c>
    </row>
    <row r="518" spans="1:7">
      <c r="A518" t="s">
        <v>7</v>
      </c>
      <c r="B518" t="s">
        <v>19</v>
      </c>
      <c r="C518" t="s">
        <v>214</v>
      </c>
      <c r="D518"/>
      <c r="E518" t="s">
        <v>2367</v>
      </c>
      <c r="F518"/>
      <c r="G518" s="107">
        <v>0</v>
      </c>
    </row>
    <row r="519" spans="1:7">
      <c r="A519" t="s">
        <v>7</v>
      </c>
      <c r="B519" t="s">
        <v>19</v>
      </c>
      <c r="C519" t="s">
        <v>236</v>
      </c>
      <c r="D519"/>
      <c r="E519" t="s">
        <v>2368</v>
      </c>
      <c r="F519"/>
      <c r="G519" s="107">
        <v>5250</v>
      </c>
    </row>
    <row r="520" spans="1:7">
      <c r="A520" t="s">
        <v>7</v>
      </c>
      <c r="B520" t="s">
        <v>19</v>
      </c>
      <c r="C520" t="s">
        <v>236</v>
      </c>
      <c r="D520"/>
      <c r="E520" t="s">
        <v>2369</v>
      </c>
      <c r="F520"/>
      <c r="G520" s="107">
        <v>15750</v>
      </c>
    </row>
    <row r="521" spans="1:7">
      <c r="A521" t="s">
        <v>7</v>
      </c>
      <c r="B521" t="s">
        <v>19</v>
      </c>
      <c r="C521" t="s">
        <v>236</v>
      </c>
      <c r="D521"/>
      <c r="E521" t="s">
        <v>2370</v>
      </c>
      <c r="F521"/>
      <c r="G521" s="107">
        <v>5250</v>
      </c>
    </row>
    <row r="522" spans="1:7">
      <c r="A522" s="128" t="s">
        <v>7</v>
      </c>
      <c r="B522" s="128" t="s">
        <v>2117</v>
      </c>
      <c r="C522" s="128"/>
      <c r="D522" s="128"/>
      <c r="E522" s="128" t="s">
        <v>428</v>
      </c>
      <c r="F522" s="128"/>
      <c r="G522" s="129">
        <v>10500</v>
      </c>
    </row>
    <row r="523" spans="1:7">
      <c r="A523" t="s">
        <v>7</v>
      </c>
      <c r="B523" t="s">
        <v>19</v>
      </c>
      <c r="C523" t="s">
        <v>214</v>
      </c>
      <c r="D523"/>
      <c r="E523" t="s">
        <v>429</v>
      </c>
      <c r="F523"/>
      <c r="G523" s="107">
        <v>0</v>
      </c>
    </row>
    <row r="524" spans="1:7">
      <c r="A524" t="s">
        <v>7</v>
      </c>
      <c r="B524" t="s">
        <v>19</v>
      </c>
      <c r="C524" t="s">
        <v>227</v>
      </c>
      <c r="D524"/>
      <c r="E524" t="s">
        <v>2371</v>
      </c>
      <c r="F524"/>
      <c r="G524" s="107">
        <v>10500</v>
      </c>
    </row>
    <row r="525" spans="1:7">
      <c r="A525" s="128" t="s">
        <v>7</v>
      </c>
      <c r="B525" s="128" t="s">
        <v>2117</v>
      </c>
      <c r="C525" s="128"/>
      <c r="D525" s="128"/>
      <c r="E525" s="128" t="s">
        <v>430</v>
      </c>
      <c r="F525" s="128"/>
      <c r="G525" s="129">
        <v>6795.5300000000007</v>
      </c>
    </row>
    <row r="526" spans="1:7">
      <c r="A526" t="s">
        <v>7</v>
      </c>
      <c r="B526" t="s">
        <v>19</v>
      </c>
      <c r="C526" t="s">
        <v>1898</v>
      </c>
      <c r="D526"/>
      <c r="E526" t="s">
        <v>1418</v>
      </c>
      <c r="F526"/>
      <c r="G526" s="107">
        <v>6795.5300000000007</v>
      </c>
    </row>
    <row r="527" spans="1:7">
      <c r="A527" s="163" t="s">
        <v>20</v>
      </c>
      <c r="B527" s="163" t="s">
        <v>8</v>
      </c>
      <c r="C527" s="163"/>
      <c r="D527" s="163"/>
      <c r="E527" s="163" t="s">
        <v>431</v>
      </c>
      <c r="F527" s="163"/>
      <c r="G527" s="164">
        <v>6668300</v>
      </c>
    </row>
    <row r="528" spans="1:7">
      <c r="A528" s="128" t="s">
        <v>20</v>
      </c>
      <c r="B528" s="128" t="s">
        <v>2117</v>
      </c>
      <c r="C528" s="128"/>
      <c r="D528" s="128"/>
      <c r="E528" s="128" t="s">
        <v>432</v>
      </c>
      <c r="F528" s="128"/>
      <c r="G528" s="129">
        <v>520000</v>
      </c>
    </row>
    <row r="529" spans="1:7">
      <c r="A529" t="s">
        <v>20</v>
      </c>
      <c r="B529" t="s">
        <v>19</v>
      </c>
      <c r="C529" t="s">
        <v>214</v>
      </c>
      <c r="D529"/>
      <c r="E529" t="s">
        <v>178</v>
      </c>
      <c r="F529"/>
      <c r="G529" s="107">
        <v>0</v>
      </c>
    </row>
    <row r="530" spans="1:7">
      <c r="A530" t="s">
        <v>20</v>
      </c>
      <c r="B530" t="s">
        <v>19</v>
      </c>
      <c r="C530" t="s">
        <v>233</v>
      </c>
      <c r="D530"/>
      <c r="E530" t="s">
        <v>433</v>
      </c>
      <c r="F530"/>
      <c r="G530" s="107">
        <v>60000</v>
      </c>
    </row>
    <row r="531" spans="1:7">
      <c r="A531" t="s">
        <v>20</v>
      </c>
      <c r="B531" t="s">
        <v>19</v>
      </c>
      <c r="C531" t="s">
        <v>234</v>
      </c>
      <c r="D531"/>
      <c r="E531" t="s">
        <v>434</v>
      </c>
      <c r="F531"/>
      <c r="G531" s="107">
        <v>180000</v>
      </c>
    </row>
    <row r="532" spans="1:7">
      <c r="A532" t="s">
        <v>20</v>
      </c>
      <c r="B532" t="s">
        <v>19</v>
      </c>
      <c r="C532" t="s">
        <v>236</v>
      </c>
      <c r="D532"/>
      <c r="E532" t="s">
        <v>435</v>
      </c>
      <c r="F532"/>
      <c r="G532" s="107">
        <v>140000</v>
      </c>
    </row>
    <row r="533" spans="1:7">
      <c r="A533" t="s">
        <v>20</v>
      </c>
      <c r="B533" t="s">
        <v>19</v>
      </c>
      <c r="C533" t="s">
        <v>238</v>
      </c>
      <c r="D533"/>
      <c r="E533" t="s">
        <v>436</v>
      </c>
      <c r="F533"/>
      <c r="G533" s="107">
        <v>60000</v>
      </c>
    </row>
    <row r="534" spans="1:7">
      <c r="A534" t="s">
        <v>20</v>
      </c>
      <c r="B534" t="s">
        <v>19</v>
      </c>
      <c r="C534" t="s">
        <v>214</v>
      </c>
      <c r="D534"/>
      <c r="E534" t="s">
        <v>437</v>
      </c>
      <c r="F534"/>
      <c r="G534" s="107">
        <v>0</v>
      </c>
    </row>
    <row r="535" spans="1:7">
      <c r="A535" t="s">
        <v>20</v>
      </c>
      <c r="B535" t="s">
        <v>19</v>
      </c>
      <c r="C535" t="s">
        <v>1419</v>
      </c>
      <c r="D535"/>
      <c r="E535" t="s">
        <v>2372</v>
      </c>
      <c r="F535"/>
      <c r="G535" s="107">
        <v>20000</v>
      </c>
    </row>
    <row r="536" spans="1:7">
      <c r="A536" t="s">
        <v>20</v>
      </c>
      <c r="B536" t="s">
        <v>19</v>
      </c>
      <c r="C536" t="s">
        <v>1419</v>
      </c>
      <c r="D536"/>
      <c r="E536" t="s">
        <v>2373</v>
      </c>
      <c r="F536"/>
      <c r="G536" s="107">
        <v>40000</v>
      </c>
    </row>
    <row r="537" spans="1:7">
      <c r="A537" t="s">
        <v>20</v>
      </c>
      <c r="B537" t="s">
        <v>19</v>
      </c>
      <c r="C537" t="s">
        <v>1419</v>
      </c>
      <c r="D537"/>
      <c r="E537" t="s">
        <v>2374</v>
      </c>
      <c r="F537"/>
      <c r="G537" s="107">
        <v>20000</v>
      </c>
    </row>
    <row r="538" spans="1:7">
      <c r="A538" s="128" t="s">
        <v>20</v>
      </c>
      <c r="B538" s="128" t="s">
        <v>2117</v>
      </c>
      <c r="C538" s="128"/>
      <c r="D538" s="128"/>
      <c r="E538" s="128" t="s">
        <v>438</v>
      </c>
      <c r="F538" s="128"/>
      <c r="G538" s="129">
        <v>742500</v>
      </c>
    </row>
    <row r="539" spans="1:7">
      <c r="A539" t="s">
        <v>20</v>
      </c>
      <c r="B539" t="s">
        <v>19</v>
      </c>
      <c r="C539" t="s">
        <v>214</v>
      </c>
      <c r="D539"/>
      <c r="E539" t="s">
        <v>439</v>
      </c>
      <c r="F539"/>
      <c r="G539" s="107">
        <v>0</v>
      </c>
    </row>
    <row r="540" spans="1:7">
      <c r="A540" t="s">
        <v>20</v>
      </c>
      <c r="B540" t="s">
        <v>19</v>
      </c>
      <c r="C540" t="s">
        <v>234</v>
      </c>
      <c r="D540"/>
      <c r="E540" t="s">
        <v>440</v>
      </c>
      <c r="F540"/>
      <c r="G540" s="107">
        <v>236250</v>
      </c>
    </row>
    <row r="541" spans="1:7">
      <c r="A541" t="s">
        <v>20</v>
      </c>
      <c r="B541" t="s">
        <v>19</v>
      </c>
      <c r="C541" t="s">
        <v>236</v>
      </c>
      <c r="D541"/>
      <c r="E541" t="s">
        <v>441</v>
      </c>
      <c r="F541"/>
      <c r="G541" s="107">
        <v>131250</v>
      </c>
    </row>
    <row r="542" spans="1:7">
      <c r="A542" t="s">
        <v>20</v>
      </c>
      <c r="B542" t="s">
        <v>19</v>
      </c>
      <c r="C542" t="s">
        <v>214</v>
      </c>
      <c r="D542"/>
      <c r="E542" t="s">
        <v>1798</v>
      </c>
      <c r="F542"/>
      <c r="G542" s="107">
        <v>0</v>
      </c>
    </row>
    <row r="543" spans="1:7">
      <c r="A543" t="s">
        <v>20</v>
      </c>
      <c r="B543" t="s">
        <v>19</v>
      </c>
      <c r="C543" t="s">
        <v>1419</v>
      </c>
      <c r="D543"/>
      <c r="E543" t="s">
        <v>1799</v>
      </c>
      <c r="F543"/>
      <c r="G543" s="107">
        <v>25000</v>
      </c>
    </row>
    <row r="544" spans="1:7">
      <c r="A544" t="s">
        <v>20</v>
      </c>
      <c r="B544" t="s">
        <v>19</v>
      </c>
      <c r="C544" t="s">
        <v>1419</v>
      </c>
      <c r="D544"/>
      <c r="E544" t="s">
        <v>1800</v>
      </c>
      <c r="F544"/>
      <c r="G544" s="107">
        <v>50000</v>
      </c>
    </row>
    <row r="545" spans="1:9">
      <c r="A545" t="s">
        <v>20</v>
      </c>
      <c r="B545" t="s">
        <v>19</v>
      </c>
      <c r="C545" t="s">
        <v>214</v>
      </c>
      <c r="D545"/>
      <c r="E545" t="s">
        <v>2375</v>
      </c>
      <c r="F545"/>
      <c r="G545" s="107">
        <v>0</v>
      </c>
    </row>
    <row r="546" spans="1:9">
      <c r="A546" t="s">
        <v>20</v>
      </c>
      <c r="B546" t="s">
        <v>19</v>
      </c>
      <c r="C546" t="s">
        <v>234</v>
      </c>
      <c r="D546"/>
      <c r="E546" t="s">
        <v>2376</v>
      </c>
      <c r="F546"/>
      <c r="G546" s="107">
        <v>125000</v>
      </c>
    </row>
    <row r="547" spans="1:9">
      <c r="A547" t="s">
        <v>20</v>
      </c>
      <c r="B547" t="s">
        <v>19</v>
      </c>
      <c r="C547" t="s">
        <v>236</v>
      </c>
      <c r="D547"/>
      <c r="E547" t="s">
        <v>2377</v>
      </c>
      <c r="F547"/>
      <c r="G547" s="107">
        <v>175000</v>
      </c>
    </row>
    <row r="548" spans="1:9">
      <c r="A548" t="s">
        <v>20</v>
      </c>
      <c r="B548" t="s">
        <v>19</v>
      </c>
      <c r="C548" t="s">
        <v>236</v>
      </c>
      <c r="D548"/>
      <c r="E548" t="s">
        <v>3401</v>
      </c>
      <c r="F548"/>
      <c r="G548" s="107"/>
      <c r="H548" s="6">
        <v>16000</v>
      </c>
      <c r="I548" t="s">
        <v>3399</v>
      </c>
    </row>
    <row r="549" spans="1:9">
      <c r="A549" s="128" t="s">
        <v>20</v>
      </c>
      <c r="B549" s="128" t="s">
        <v>2117</v>
      </c>
      <c r="C549" s="128"/>
      <c r="D549" s="128"/>
      <c r="E549" s="128" t="s">
        <v>442</v>
      </c>
      <c r="F549" s="128"/>
      <c r="G549" s="129">
        <v>551250</v>
      </c>
    </row>
    <row r="550" spans="1:9">
      <c r="A550" t="s">
        <v>20</v>
      </c>
      <c r="B550" t="s">
        <v>19</v>
      </c>
      <c r="C550" t="s">
        <v>214</v>
      </c>
      <c r="D550"/>
      <c r="E550" t="s">
        <v>209</v>
      </c>
      <c r="F550"/>
      <c r="G550" s="107">
        <v>0</v>
      </c>
    </row>
    <row r="551" spans="1:9">
      <c r="A551" t="s">
        <v>20</v>
      </c>
      <c r="B551" t="s">
        <v>19</v>
      </c>
      <c r="C551" t="s">
        <v>233</v>
      </c>
      <c r="D551"/>
      <c r="E551" t="s">
        <v>443</v>
      </c>
      <c r="F551"/>
      <c r="G551" s="107">
        <v>131250</v>
      </c>
    </row>
    <row r="552" spans="1:9">
      <c r="A552" t="s">
        <v>20</v>
      </c>
      <c r="B552" t="s">
        <v>19</v>
      </c>
      <c r="C552" t="s">
        <v>234</v>
      </c>
      <c r="D552"/>
      <c r="E552" t="s">
        <v>444</v>
      </c>
      <c r="F552"/>
      <c r="G552" s="107">
        <v>236250</v>
      </c>
    </row>
    <row r="553" spans="1:9">
      <c r="A553" t="s">
        <v>20</v>
      </c>
      <c r="B553" t="s">
        <v>19</v>
      </c>
      <c r="C553" t="s">
        <v>236</v>
      </c>
      <c r="D553"/>
      <c r="E553" t="s">
        <v>2378</v>
      </c>
      <c r="F553"/>
      <c r="G553" s="107">
        <v>183750</v>
      </c>
    </row>
    <row r="554" spans="1:9">
      <c r="A554" s="128" t="s">
        <v>20</v>
      </c>
      <c r="B554" s="128" t="s">
        <v>2117</v>
      </c>
      <c r="C554" s="128"/>
      <c r="D554" s="128"/>
      <c r="E554" s="128" t="s">
        <v>445</v>
      </c>
      <c r="F554" s="128"/>
      <c r="G554" s="129">
        <v>673500</v>
      </c>
    </row>
    <row r="555" spans="1:9">
      <c r="A555" t="s">
        <v>20</v>
      </c>
      <c r="B555" t="s">
        <v>19</v>
      </c>
      <c r="C555" t="s">
        <v>214</v>
      </c>
      <c r="D555"/>
      <c r="E555" t="s">
        <v>179</v>
      </c>
      <c r="F555"/>
      <c r="G555" s="107">
        <v>0</v>
      </c>
    </row>
    <row r="556" spans="1:9">
      <c r="A556" t="s">
        <v>20</v>
      </c>
      <c r="B556" t="s">
        <v>19</v>
      </c>
      <c r="C556" t="s">
        <v>233</v>
      </c>
      <c r="D556"/>
      <c r="E556" t="s">
        <v>446</v>
      </c>
      <c r="F556"/>
      <c r="G556" s="107">
        <v>31500</v>
      </c>
    </row>
    <row r="557" spans="1:9">
      <c r="A557" t="s">
        <v>20</v>
      </c>
      <c r="B557" t="s">
        <v>19</v>
      </c>
      <c r="C557" t="s">
        <v>234</v>
      </c>
      <c r="D557"/>
      <c r="E557" t="s">
        <v>447</v>
      </c>
      <c r="F557"/>
      <c r="G557" s="107">
        <v>141750</v>
      </c>
    </row>
    <row r="558" spans="1:9">
      <c r="A558" t="s">
        <v>20</v>
      </c>
      <c r="B558" t="s">
        <v>19</v>
      </c>
      <c r="C558" t="s">
        <v>236</v>
      </c>
      <c r="D558"/>
      <c r="E558" t="s">
        <v>448</v>
      </c>
      <c r="F558"/>
      <c r="G558" s="107">
        <v>110250</v>
      </c>
    </row>
    <row r="559" spans="1:9">
      <c r="A559" t="s">
        <v>20</v>
      </c>
      <c r="B559" t="s">
        <v>19</v>
      </c>
      <c r="C559" t="s">
        <v>214</v>
      </c>
      <c r="D559"/>
      <c r="E559" t="s">
        <v>449</v>
      </c>
      <c r="F559"/>
      <c r="G559" s="107">
        <v>0</v>
      </c>
    </row>
    <row r="560" spans="1:9">
      <c r="A560" t="s">
        <v>20</v>
      </c>
      <c r="B560" t="s">
        <v>19</v>
      </c>
      <c r="C560" t="s">
        <v>234</v>
      </c>
      <c r="D560"/>
      <c r="E560" t="s">
        <v>450</v>
      </c>
      <c r="F560"/>
      <c r="G560" s="107">
        <v>105000</v>
      </c>
    </row>
    <row r="561" spans="1:9">
      <c r="A561" t="s">
        <v>20</v>
      </c>
      <c r="B561" t="s">
        <v>19</v>
      </c>
      <c r="C561" t="s">
        <v>236</v>
      </c>
      <c r="D561"/>
      <c r="E561" t="s">
        <v>451</v>
      </c>
      <c r="F561"/>
      <c r="G561" s="107">
        <v>75000</v>
      </c>
    </row>
    <row r="562" spans="1:9">
      <c r="A562" t="s">
        <v>20</v>
      </c>
      <c r="B562" t="s">
        <v>19</v>
      </c>
      <c r="C562" t="s">
        <v>214</v>
      </c>
      <c r="D562"/>
      <c r="E562" t="s">
        <v>452</v>
      </c>
      <c r="F562"/>
      <c r="G562" s="107">
        <v>0</v>
      </c>
    </row>
    <row r="563" spans="1:9">
      <c r="A563" t="s">
        <v>20</v>
      </c>
      <c r="B563" t="s">
        <v>19</v>
      </c>
      <c r="C563" t="s">
        <v>234</v>
      </c>
      <c r="D563"/>
      <c r="E563" t="s">
        <v>2379</v>
      </c>
      <c r="F563"/>
      <c r="G563" s="107">
        <v>60000</v>
      </c>
    </row>
    <row r="564" spans="1:9">
      <c r="A564" t="s">
        <v>20</v>
      </c>
      <c r="B564" t="s">
        <v>19</v>
      </c>
      <c r="C564" t="s">
        <v>236</v>
      </c>
      <c r="D564"/>
      <c r="E564" t="s">
        <v>2380</v>
      </c>
      <c r="F564"/>
      <c r="G564" s="107">
        <v>105000</v>
      </c>
    </row>
    <row r="565" spans="1:9">
      <c r="A565" t="s">
        <v>20</v>
      </c>
      <c r="B565" t="s">
        <v>19</v>
      </c>
      <c r="C565" t="s">
        <v>214</v>
      </c>
      <c r="D565"/>
      <c r="E565" t="s">
        <v>2381</v>
      </c>
      <c r="F565"/>
      <c r="G565" s="107">
        <v>0</v>
      </c>
    </row>
    <row r="566" spans="1:9">
      <c r="A566" t="s">
        <v>20</v>
      </c>
      <c r="B566" t="s">
        <v>19</v>
      </c>
      <c r="C566" t="s">
        <v>1419</v>
      </c>
      <c r="D566"/>
      <c r="E566" t="s">
        <v>2382</v>
      </c>
      <c r="F566"/>
      <c r="G566" s="107">
        <v>15000</v>
      </c>
    </row>
    <row r="567" spans="1:9">
      <c r="A567" t="s">
        <v>20</v>
      </c>
      <c r="B567" t="s">
        <v>19</v>
      </c>
      <c r="C567" t="s">
        <v>1419</v>
      </c>
      <c r="D567"/>
      <c r="E567" t="s">
        <v>2383</v>
      </c>
      <c r="F567"/>
      <c r="G567" s="107">
        <v>30000</v>
      </c>
    </row>
    <row r="568" spans="1:9">
      <c r="A568" s="128" t="s">
        <v>20</v>
      </c>
      <c r="B568" s="128" t="s">
        <v>2117</v>
      </c>
      <c r="C568" s="128"/>
      <c r="D568" s="128"/>
      <c r="E568" s="128" t="s">
        <v>453</v>
      </c>
      <c r="F568" s="128"/>
      <c r="G568" s="129">
        <v>90000</v>
      </c>
    </row>
    <row r="569" spans="1:9">
      <c r="A569" t="s">
        <v>20</v>
      </c>
      <c r="B569" t="s">
        <v>19</v>
      </c>
      <c r="C569" t="s">
        <v>214</v>
      </c>
      <c r="D569"/>
      <c r="E569" t="s">
        <v>454</v>
      </c>
      <c r="F569"/>
      <c r="G569" s="107">
        <v>0</v>
      </c>
    </row>
    <row r="570" spans="1:9">
      <c r="A570" t="s">
        <v>20</v>
      </c>
      <c r="B570" t="s">
        <v>19</v>
      </c>
      <c r="C570" t="s">
        <v>234</v>
      </c>
      <c r="D570"/>
      <c r="E570" t="s">
        <v>455</v>
      </c>
      <c r="F570"/>
      <c r="G570" s="107">
        <v>15000</v>
      </c>
    </row>
    <row r="571" spans="1:9">
      <c r="A571" t="s">
        <v>20</v>
      </c>
      <c r="B571" t="s">
        <v>19</v>
      </c>
      <c r="C571" t="s">
        <v>236</v>
      </c>
      <c r="D571"/>
      <c r="E571" t="s">
        <v>456</v>
      </c>
      <c r="F571"/>
      <c r="G571" s="107">
        <v>52500</v>
      </c>
    </row>
    <row r="572" spans="1:9">
      <c r="A572" t="s">
        <v>20</v>
      </c>
      <c r="B572" t="s">
        <v>19</v>
      </c>
      <c r="C572" t="s">
        <v>214</v>
      </c>
      <c r="D572"/>
      <c r="E572" t="s">
        <v>2384</v>
      </c>
      <c r="F572"/>
      <c r="G572" s="107">
        <v>0</v>
      </c>
    </row>
    <row r="573" spans="1:9">
      <c r="A573" t="s">
        <v>20</v>
      </c>
      <c r="B573" t="s">
        <v>19</v>
      </c>
      <c r="C573" t="s">
        <v>1419</v>
      </c>
      <c r="D573"/>
      <c r="E573" t="s">
        <v>2385</v>
      </c>
      <c r="F573"/>
      <c r="G573" s="107">
        <v>7500</v>
      </c>
    </row>
    <row r="574" spans="1:9">
      <c r="A574" t="s">
        <v>20</v>
      </c>
      <c r="B574" t="s">
        <v>19</v>
      </c>
      <c r="C574" t="s">
        <v>1419</v>
      </c>
      <c r="D574"/>
      <c r="E574" t="s">
        <v>2386</v>
      </c>
      <c r="F574"/>
      <c r="G574" s="107">
        <v>15000</v>
      </c>
    </row>
    <row r="575" spans="1:9">
      <c r="A575" t="s">
        <v>20</v>
      </c>
      <c r="B575" t="s">
        <v>19</v>
      </c>
      <c r="C575" t="s">
        <v>1419</v>
      </c>
      <c r="D575"/>
      <c r="E575" t="s">
        <v>3402</v>
      </c>
      <c r="F575"/>
      <c r="G575" s="107"/>
      <c r="H575" s="6">
        <v>5000</v>
      </c>
      <c r="I575" t="s">
        <v>3403</v>
      </c>
    </row>
    <row r="576" spans="1:9">
      <c r="A576" s="128" t="s">
        <v>20</v>
      </c>
      <c r="B576" s="128" t="s">
        <v>2117</v>
      </c>
      <c r="C576" s="128"/>
      <c r="D576" s="128"/>
      <c r="E576" s="128" t="s">
        <v>457</v>
      </c>
      <c r="F576" s="128"/>
      <c r="G576" s="129">
        <v>198200</v>
      </c>
    </row>
    <row r="577" spans="1:7">
      <c r="A577" t="s">
        <v>20</v>
      </c>
      <c r="B577" t="s">
        <v>19</v>
      </c>
      <c r="C577" t="s">
        <v>214</v>
      </c>
      <c r="D577"/>
      <c r="E577" t="s">
        <v>458</v>
      </c>
      <c r="F577"/>
      <c r="G577" s="107">
        <v>0</v>
      </c>
    </row>
    <row r="578" spans="1:7">
      <c r="A578" t="s">
        <v>20</v>
      </c>
      <c r="B578" t="s">
        <v>19</v>
      </c>
      <c r="C578" t="s">
        <v>234</v>
      </c>
      <c r="D578"/>
      <c r="E578" t="s">
        <v>459</v>
      </c>
      <c r="F578"/>
      <c r="G578" s="107">
        <v>17000</v>
      </c>
    </row>
    <row r="579" spans="1:7">
      <c r="A579" t="s">
        <v>20</v>
      </c>
      <c r="B579" t="s">
        <v>19</v>
      </c>
      <c r="C579" t="s">
        <v>236</v>
      </c>
      <c r="D579"/>
      <c r="E579" t="s">
        <v>460</v>
      </c>
      <c r="F579"/>
      <c r="G579" s="107">
        <v>119000</v>
      </c>
    </row>
    <row r="580" spans="1:7">
      <c r="A580" t="s">
        <v>20</v>
      </c>
      <c r="B580" t="s">
        <v>19</v>
      </c>
      <c r="C580" t="s">
        <v>214</v>
      </c>
      <c r="D580"/>
      <c r="E580" t="s">
        <v>461</v>
      </c>
      <c r="F580"/>
      <c r="G580" s="107">
        <v>0</v>
      </c>
    </row>
    <row r="581" spans="1:7">
      <c r="A581" t="s">
        <v>20</v>
      </c>
      <c r="B581" t="s">
        <v>19</v>
      </c>
      <c r="C581" t="s">
        <v>234</v>
      </c>
      <c r="D581"/>
      <c r="E581" t="s">
        <v>462</v>
      </c>
      <c r="F581"/>
      <c r="G581" s="107">
        <v>8400</v>
      </c>
    </row>
    <row r="582" spans="1:7">
      <c r="A582" t="s">
        <v>20</v>
      </c>
      <c r="B582" t="s">
        <v>19</v>
      </c>
      <c r="C582" t="s">
        <v>236</v>
      </c>
      <c r="D582"/>
      <c r="E582" t="s">
        <v>1725</v>
      </c>
      <c r="F582"/>
      <c r="G582" s="107">
        <v>2800</v>
      </c>
    </row>
    <row r="583" spans="1:7">
      <c r="A583" t="s">
        <v>20</v>
      </c>
      <c r="B583" t="s">
        <v>19</v>
      </c>
      <c r="C583" t="s">
        <v>214</v>
      </c>
      <c r="D583"/>
      <c r="E583" t="s">
        <v>2387</v>
      </c>
      <c r="F583"/>
      <c r="G583" s="107">
        <v>0</v>
      </c>
    </row>
    <row r="584" spans="1:7">
      <c r="A584" t="s">
        <v>20</v>
      </c>
      <c r="B584" t="s">
        <v>19</v>
      </c>
      <c r="C584" t="s">
        <v>1419</v>
      </c>
      <c r="D584"/>
      <c r="E584" t="s">
        <v>2388</v>
      </c>
      <c r="F584"/>
      <c r="G584" s="107">
        <v>17000</v>
      </c>
    </row>
    <row r="585" spans="1:7">
      <c r="A585" t="s">
        <v>20</v>
      </c>
      <c r="B585" t="s">
        <v>19</v>
      </c>
      <c r="C585" t="s">
        <v>1419</v>
      </c>
      <c r="D585"/>
      <c r="E585" t="s">
        <v>2389</v>
      </c>
      <c r="F585"/>
      <c r="G585" s="107">
        <v>34000</v>
      </c>
    </row>
    <row r="586" spans="1:7">
      <c r="A586" t="s">
        <v>20</v>
      </c>
      <c r="B586" t="s">
        <v>19</v>
      </c>
      <c r="C586" t="s">
        <v>1419</v>
      </c>
      <c r="D586"/>
      <c r="E586" t="s">
        <v>2390</v>
      </c>
      <c r="F586"/>
      <c r="G586" s="107">
        <v>0</v>
      </c>
    </row>
    <row r="587" spans="1:7">
      <c r="A587" s="128" t="s">
        <v>20</v>
      </c>
      <c r="B587" s="128" t="s">
        <v>2117</v>
      </c>
      <c r="C587" s="128"/>
      <c r="D587" s="128"/>
      <c r="E587" s="128" t="s">
        <v>463</v>
      </c>
      <c r="F587" s="128"/>
      <c r="G587" s="129">
        <v>726750</v>
      </c>
    </row>
    <row r="588" spans="1:7">
      <c r="A588" t="s">
        <v>20</v>
      </c>
      <c r="B588" t="s">
        <v>19</v>
      </c>
      <c r="C588" t="s">
        <v>214</v>
      </c>
      <c r="D588"/>
      <c r="E588" t="s">
        <v>102</v>
      </c>
      <c r="F588"/>
      <c r="G588" s="107">
        <v>0</v>
      </c>
    </row>
    <row r="589" spans="1:7">
      <c r="A589" t="s">
        <v>20</v>
      </c>
      <c r="B589" t="s">
        <v>19</v>
      </c>
      <c r="C589" t="s">
        <v>214</v>
      </c>
      <c r="D589"/>
      <c r="E589" t="s">
        <v>149</v>
      </c>
      <c r="F589"/>
      <c r="G589" s="107">
        <v>0</v>
      </c>
    </row>
    <row r="590" spans="1:7">
      <c r="A590" t="s">
        <v>20</v>
      </c>
      <c r="B590" t="s">
        <v>19</v>
      </c>
      <c r="C590" t="s">
        <v>215</v>
      </c>
      <c r="D590"/>
      <c r="E590" t="s">
        <v>180</v>
      </c>
      <c r="F590"/>
      <c r="G590" s="107">
        <v>50000</v>
      </c>
    </row>
    <row r="591" spans="1:7">
      <c r="A591" t="s">
        <v>20</v>
      </c>
      <c r="B591" t="s">
        <v>19</v>
      </c>
      <c r="C591" t="s">
        <v>215</v>
      </c>
      <c r="D591"/>
      <c r="E591" t="s">
        <v>464</v>
      </c>
      <c r="F591"/>
      <c r="G591" s="107">
        <v>50000</v>
      </c>
    </row>
    <row r="592" spans="1:7">
      <c r="A592" t="s">
        <v>20</v>
      </c>
      <c r="B592" t="s">
        <v>19</v>
      </c>
      <c r="C592" t="s">
        <v>214</v>
      </c>
      <c r="D592"/>
      <c r="E592" t="s">
        <v>465</v>
      </c>
      <c r="F592"/>
      <c r="G592" s="107">
        <v>0</v>
      </c>
    </row>
    <row r="593" spans="1:7">
      <c r="A593" t="s">
        <v>20</v>
      </c>
      <c r="B593" t="s">
        <v>19</v>
      </c>
      <c r="C593" t="s">
        <v>233</v>
      </c>
      <c r="D593"/>
      <c r="E593" t="s">
        <v>466</v>
      </c>
      <c r="F593"/>
      <c r="G593" s="107">
        <v>28750</v>
      </c>
    </row>
    <row r="594" spans="1:7">
      <c r="A594" t="s">
        <v>20</v>
      </c>
      <c r="B594" t="s">
        <v>19</v>
      </c>
      <c r="C594" t="s">
        <v>234</v>
      </c>
      <c r="D594"/>
      <c r="E594" t="s">
        <v>467</v>
      </c>
      <c r="F594"/>
      <c r="G594" s="107">
        <v>207000</v>
      </c>
    </row>
    <row r="595" spans="1:7">
      <c r="A595" t="s">
        <v>20</v>
      </c>
      <c r="B595" t="s">
        <v>19</v>
      </c>
      <c r="C595" t="s">
        <v>236</v>
      </c>
      <c r="D595"/>
      <c r="E595" t="s">
        <v>469</v>
      </c>
      <c r="F595"/>
      <c r="G595" s="107">
        <v>161000</v>
      </c>
    </row>
    <row r="596" spans="1:7">
      <c r="A596" t="s">
        <v>20</v>
      </c>
      <c r="B596" t="s">
        <v>19</v>
      </c>
      <c r="C596" t="s">
        <v>238</v>
      </c>
      <c r="D596"/>
      <c r="E596" t="s">
        <v>470</v>
      </c>
      <c r="F596"/>
      <c r="G596" s="107">
        <v>92000</v>
      </c>
    </row>
    <row r="597" spans="1:7">
      <c r="A597" t="s">
        <v>20</v>
      </c>
      <c r="B597" t="s">
        <v>19</v>
      </c>
      <c r="C597" t="s">
        <v>468</v>
      </c>
      <c r="D597"/>
      <c r="E597" t="s">
        <v>471</v>
      </c>
      <c r="F597"/>
      <c r="G597" s="107">
        <v>138000</v>
      </c>
    </row>
    <row r="598" spans="1:7">
      <c r="A598" s="128" t="s">
        <v>20</v>
      </c>
      <c r="B598" s="128" t="s">
        <v>2117</v>
      </c>
      <c r="C598" s="128"/>
      <c r="D598" s="128"/>
      <c r="E598" s="128" t="s">
        <v>2391</v>
      </c>
      <c r="F598" s="128"/>
      <c r="G598" s="129">
        <v>749500</v>
      </c>
    </row>
    <row r="599" spans="1:7">
      <c r="A599" t="s">
        <v>20</v>
      </c>
      <c r="B599" t="s">
        <v>19</v>
      </c>
      <c r="C599" t="s">
        <v>214</v>
      </c>
      <c r="D599"/>
      <c r="E599" t="s">
        <v>2392</v>
      </c>
      <c r="F599"/>
      <c r="G599" s="107">
        <v>0</v>
      </c>
    </row>
    <row r="600" spans="1:7">
      <c r="A600" t="s">
        <v>20</v>
      </c>
      <c r="B600" t="s">
        <v>19</v>
      </c>
      <c r="C600" t="s">
        <v>233</v>
      </c>
      <c r="D600"/>
      <c r="E600" t="s">
        <v>2393</v>
      </c>
      <c r="F600"/>
      <c r="G600" s="107">
        <v>15000</v>
      </c>
    </row>
    <row r="601" spans="1:7">
      <c r="A601" t="s">
        <v>20</v>
      </c>
      <c r="B601" t="s">
        <v>19</v>
      </c>
      <c r="C601" t="s">
        <v>234</v>
      </c>
      <c r="D601"/>
      <c r="E601" t="s">
        <v>2394</v>
      </c>
      <c r="F601"/>
      <c r="G601" s="107">
        <v>108000</v>
      </c>
    </row>
    <row r="602" spans="1:7">
      <c r="A602" t="s">
        <v>20</v>
      </c>
      <c r="B602" t="s">
        <v>19</v>
      </c>
      <c r="C602" t="s">
        <v>236</v>
      </c>
      <c r="D602"/>
      <c r="E602" t="s">
        <v>2395</v>
      </c>
      <c r="F602"/>
      <c r="G602" s="107">
        <v>84000</v>
      </c>
    </row>
    <row r="603" spans="1:7">
      <c r="A603" t="s">
        <v>20</v>
      </c>
      <c r="B603" t="s">
        <v>19</v>
      </c>
      <c r="C603" t="s">
        <v>238</v>
      </c>
      <c r="D603"/>
      <c r="E603" t="s">
        <v>2396</v>
      </c>
      <c r="F603"/>
      <c r="G603" s="107">
        <v>48000</v>
      </c>
    </row>
    <row r="604" spans="1:7">
      <c r="A604" t="s">
        <v>20</v>
      </c>
      <c r="B604" t="s">
        <v>19</v>
      </c>
      <c r="C604" t="s">
        <v>468</v>
      </c>
      <c r="D604"/>
      <c r="E604" t="s">
        <v>2397</v>
      </c>
      <c r="F604"/>
      <c r="G604" s="107">
        <v>72000</v>
      </c>
    </row>
    <row r="605" spans="1:7">
      <c r="A605" t="s">
        <v>20</v>
      </c>
      <c r="B605" t="s">
        <v>19</v>
      </c>
      <c r="C605" t="s">
        <v>214</v>
      </c>
      <c r="D605"/>
      <c r="E605" t="s">
        <v>2398</v>
      </c>
      <c r="F605"/>
      <c r="G605" s="107">
        <v>0</v>
      </c>
    </row>
    <row r="606" spans="1:7">
      <c r="A606" t="s">
        <v>20</v>
      </c>
      <c r="B606" t="s">
        <v>19</v>
      </c>
      <c r="C606" t="s">
        <v>233</v>
      </c>
      <c r="D606"/>
      <c r="E606" t="s">
        <v>2399</v>
      </c>
      <c r="F606"/>
      <c r="G606" s="107">
        <v>12500</v>
      </c>
    </row>
    <row r="607" spans="1:7">
      <c r="A607" t="s">
        <v>20</v>
      </c>
      <c r="B607" t="s">
        <v>19</v>
      </c>
      <c r="C607" t="s">
        <v>234</v>
      </c>
      <c r="D607"/>
      <c r="E607" t="s">
        <v>2400</v>
      </c>
      <c r="F607"/>
      <c r="G607" s="107">
        <v>90000</v>
      </c>
    </row>
    <row r="608" spans="1:7">
      <c r="A608" t="s">
        <v>20</v>
      </c>
      <c r="B608" t="s">
        <v>19</v>
      </c>
      <c r="C608" t="s">
        <v>236</v>
      </c>
      <c r="D608"/>
      <c r="E608" t="s">
        <v>2401</v>
      </c>
      <c r="F608"/>
      <c r="G608" s="107">
        <v>70000</v>
      </c>
    </row>
    <row r="609" spans="1:7">
      <c r="A609" t="s">
        <v>20</v>
      </c>
      <c r="B609" t="s">
        <v>19</v>
      </c>
      <c r="C609" t="s">
        <v>238</v>
      </c>
      <c r="D609"/>
      <c r="E609" t="s">
        <v>2402</v>
      </c>
      <c r="F609"/>
      <c r="G609" s="107">
        <v>40000</v>
      </c>
    </row>
    <row r="610" spans="1:7">
      <c r="A610" t="s">
        <v>20</v>
      </c>
      <c r="B610" t="s">
        <v>19</v>
      </c>
      <c r="C610" t="s">
        <v>468</v>
      </c>
      <c r="D610"/>
      <c r="E610" t="s">
        <v>2403</v>
      </c>
      <c r="F610"/>
      <c r="G610" s="107">
        <v>60000</v>
      </c>
    </row>
    <row r="611" spans="1:7">
      <c r="A611" t="s">
        <v>20</v>
      </c>
      <c r="B611" t="s">
        <v>19</v>
      </c>
      <c r="C611" t="s">
        <v>214</v>
      </c>
      <c r="D611"/>
      <c r="E611" t="s">
        <v>2404</v>
      </c>
      <c r="F611"/>
      <c r="G611" s="107">
        <v>0</v>
      </c>
    </row>
    <row r="612" spans="1:7">
      <c r="A612" t="s">
        <v>20</v>
      </c>
      <c r="B612" t="s">
        <v>19</v>
      </c>
      <c r="C612" t="s">
        <v>233</v>
      </c>
      <c r="D612"/>
      <c r="E612" t="s">
        <v>2405</v>
      </c>
      <c r="F612"/>
      <c r="G612" s="107">
        <v>18000</v>
      </c>
    </row>
    <row r="613" spans="1:7">
      <c r="A613" t="s">
        <v>20</v>
      </c>
      <c r="B613" t="s">
        <v>19</v>
      </c>
      <c r="C613" t="s">
        <v>234</v>
      </c>
      <c r="D613"/>
      <c r="E613" t="s">
        <v>2406</v>
      </c>
      <c r="F613"/>
      <c r="G613" s="107">
        <v>49500</v>
      </c>
    </row>
    <row r="614" spans="1:7">
      <c r="A614" t="s">
        <v>20</v>
      </c>
      <c r="B614" t="s">
        <v>19</v>
      </c>
      <c r="C614" t="s">
        <v>236</v>
      </c>
      <c r="D614"/>
      <c r="E614" t="s">
        <v>2407</v>
      </c>
      <c r="F614"/>
      <c r="G614" s="107">
        <v>38500</v>
      </c>
    </row>
    <row r="615" spans="1:7">
      <c r="A615" t="s">
        <v>20</v>
      </c>
      <c r="B615" t="s">
        <v>19</v>
      </c>
      <c r="C615" t="s">
        <v>238</v>
      </c>
      <c r="D615"/>
      <c r="E615" t="s">
        <v>2408</v>
      </c>
      <c r="F615"/>
      <c r="G615" s="107">
        <v>22000</v>
      </c>
    </row>
    <row r="616" spans="1:7">
      <c r="A616" t="s">
        <v>20</v>
      </c>
      <c r="B616" t="s">
        <v>19</v>
      </c>
      <c r="C616" t="s">
        <v>468</v>
      </c>
      <c r="D616"/>
      <c r="E616" t="s">
        <v>2409</v>
      </c>
      <c r="F616"/>
      <c r="G616" s="107">
        <v>22000</v>
      </c>
    </row>
    <row r="617" spans="1:7">
      <c r="A617" s="128" t="s">
        <v>20</v>
      </c>
      <c r="B617" s="128" t="s">
        <v>2117</v>
      </c>
      <c r="C617" s="128"/>
      <c r="D617" s="128"/>
      <c r="E617" s="128" t="s">
        <v>472</v>
      </c>
      <c r="F617" s="128"/>
      <c r="G617" s="129">
        <v>491400</v>
      </c>
    </row>
    <row r="618" spans="1:7">
      <c r="A618" t="s">
        <v>20</v>
      </c>
      <c r="B618" t="s">
        <v>19</v>
      </c>
      <c r="C618" t="s">
        <v>214</v>
      </c>
      <c r="D618"/>
      <c r="E618" t="s">
        <v>181</v>
      </c>
      <c r="F618"/>
      <c r="G618" s="107">
        <v>0</v>
      </c>
    </row>
    <row r="619" spans="1:7">
      <c r="A619" t="s">
        <v>20</v>
      </c>
      <c r="B619" t="s">
        <v>19</v>
      </c>
      <c r="C619" t="s">
        <v>233</v>
      </c>
      <c r="D619"/>
      <c r="E619" t="s">
        <v>473</v>
      </c>
      <c r="F619"/>
      <c r="G619" s="107">
        <v>94500</v>
      </c>
    </row>
    <row r="620" spans="1:7">
      <c r="A620" t="s">
        <v>20</v>
      </c>
      <c r="B620" t="s">
        <v>19</v>
      </c>
      <c r="C620" t="s">
        <v>234</v>
      </c>
      <c r="D620"/>
      <c r="E620" t="s">
        <v>474</v>
      </c>
      <c r="F620"/>
      <c r="G620" s="107">
        <v>170100</v>
      </c>
    </row>
    <row r="621" spans="1:7">
      <c r="A621" t="s">
        <v>20</v>
      </c>
      <c r="B621" t="s">
        <v>19</v>
      </c>
      <c r="C621" t="s">
        <v>236</v>
      </c>
      <c r="D621"/>
      <c r="E621" t="s">
        <v>475</v>
      </c>
      <c r="F621"/>
      <c r="G621" s="107">
        <v>132300</v>
      </c>
    </row>
    <row r="622" spans="1:7">
      <c r="A622" t="s">
        <v>20</v>
      </c>
      <c r="B622" t="s">
        <v>19</v>
      </c>
      <c r="C622" t="s">
        <v>238</v>
      </c>
      <c r="D622"/>
      <c r="E622" t="s">
        <v>2410</v>
      </c>
      <c r="F622"/>
      <c r="G622" s="107">
        <v>94500</v>
      </c>
    </row>
    <row r="623" spans="1:7">
      <c r="A623" s="128" t="s">
        <v>20</v>
      </c>
      <c r="B623" s="128" t="s">
        <v>2117</v>
      </c>
      <c r="C623" s="128"/>
      <c r="D623" s="128"/>
      <c r="E623" s="128" t="s">
        <v>476</v>
      </c>
      <c r="F623" s="128"/>
      <c r="G623" s="129">
        <v>429000</v>
      </c>
    </row>
    <row r="624" spans="1:7">
      <c r="A624" t="s">
        <v>20</v>
      </c>
      <c r="B624" t="s">
        <v>19</v>
      </c>
      <c r="C624" t="s">
        <v>214</v>
      </c>
      <c r="D624"/>
      <c r="E624" t="s">
        <v>182</v>
      </c>
      <c r="F624"/>
      <c r="G624" s="107">
        <v>0</v>
      </c>
    </row>
    <row r="625" spans="1:7">
      <c r="A625" t="s">
        <v>20</v>
      </c>
      <c r="B625" t="s">
        <v>19</v>
      </c>
      <c r="C625" t="s">
        <v>234</v>
      </c>
      <c r="D625"/>
      <c r="E625" t="s">
        <v>477</v>
      </c>
      <c r="F625"/>
      <c r="G625" s="107">
        <v>81000</v>
      </c>
    </row>
    <row r="626" spans="1:7">
      <c r="A626" t="s">
        <v>20</v>
      </c>
      <c r="B626" t="s">
        <v>19</v>
      </c>
      <c r="C626" t="s">
        <v>236</v>
      </c>
      <c r="D626"/>
      <c r="E626" t="s">
        <v>478</v>
      </c>
      <c r="F626"/>
      <c r="G626" s="107">
        <v>63000</v>
      </c>
    </row>
    <row r="627" spans="1:7">
      <c r="A627" t="s">
        <v>20</v>
      </c>
      <c r="B627" t="s">
        <v>19</v>
      </c>
      <c r="C627" t="s">
        <v>238</v>
      </c>
      <c r="D627"/>
      <c r="E627" t="s">
        <v>479</v>
      </c>
      <c r="F627"/>
      <c r="G627" s="107">
        <v>45000</v>
      </c>
    </row>
    <row r="628" spans="1:7">
      <c r="A628" t="s">
        <v>20</v>
      </c>
      <c r="B628" t="s">
        <v>19</v>
      </c>
      <c r="C628" t="s">
        <v>214</v>
      </c>
      <c r="D628"/>
      <c r="E628" t="s">
        <v>480</v>
      </c>
      <c r="F628"/>
      <c r="G628" s="107">
        <v>0</v>
      </c>
    </row>
    <row r="629" spans="1:7">
      <c r="A629" t="s">
        <v>20</v>
      </c>
      <c r="B629" t="s">
        <v>19</v>
      </c>
      <c r="C629" t="s">
        <v>234</v>
      </c>
      <c r="D629"/>
      <c r="E629" t="s">
        <v>481</v>
      </c>
      <c r="F629"/>
      <c r="G629" s="107">
        <v>56000</v>
      </c>
    </row>
    <row r="630" spans="1:7">
      <c r="A630" t="s">
        <v>20</v>
      </c>
      <c r="B630" t="s">
        <v>19</v>
      </c>
      <c r="C630" t="s">
        <v>236</v>
      </c>
      <c r="D630"/>
      <c r="E630" t="s">
        <v>1726</v>
      </c>
      <c r="F630"/>
      <c r="G630" s="107">
        <v>56000</v>
      </c>
    </row>
    <row r="631" spans="1:7">
      <c r="A631" t="s">
        <v>20</v>
      </c>
      <c r="B631" t="s">
        <v>19</v>
      </c>
      <c r="C631" t="s">
        <v>238</v>
      </c>
      <c r="D631"/>
      <c r="E631" t="s">
        <v>1727</v>
      </c>
      <c r="F631"/>
      <c r="G631" s="107">
        <v>32000</v>
      </c>
    </row>
    <row r="632" spans="1:7">
      <c r="A632" t="s">
        <v>20</v>
      </c>
      <c r="B632" t="s">
        <v>19</v>
      </c>
      <c r="C632" t="s">
        <v>214</v>
      </c>
      <c r="D632"/>
      <c r="E632" t="s">
        <v>2411</v>
      </c>
      <c r="F632"/>
      <c r="G632" s="107">
        <v>0</v>
      </c>
    </row>
    <row r="633" spans="1:7">
      <c r="A633" t="s">
        <v>20</v>
      </c>
      <c r="B633" t="s">
        <v>19</v>
      </c>
      <c r="C633" t="s">
        <v>236</v>
      </c>
      <c r="D633"/>
      <c r="E633" t="s">
        <v>2412</v>
      </c>
      <c r="F633"/>
      <c r="G633" s="107">
        <v>32000</v>
      </c>
    </row>
    <row r="634" spans="1:7">
      <c r="A634" t="s">
        <v>20</v>
      </c>
      <c r="B634" t="s">
        <v>19</v>
      </c>
      <c r="C634" t="s">
        <v>238</v>
      </c>
      <c r="D634"/>
      <c r="E634" t="s">
        <v>2413</v>
      </c>
      <c r="F634"/>
      <c r="G634" s="107">
        <v>64000</v>
      </c>
    </row>
    <row r="635" spans="1:7">
      <c r="A635" s="128" t="s">
        <v>20</v>
      </c>
      <c r="B635" s="128" t="s">
        <v>2117</v>
      </c>
      <c r="C635" s="128"/>
      <c r="D635" s="128"/>
      <c r="E635" s="128" t="s">
        <v>2414</v>
      </c>
      <c r="F635" s="128"/>
      <c r="G635" s="129">
        <v>237500</v>
      </c>
    </row>
    <row r="636" spans="1:7">
      <c r="A636" t="s">
        <v>20</v>
      </c>
      <c r="B636" t="s">
        <v>19</v>
      </c>
      <c r="C636" t="s">
        <v>214</v>
      </c>
      <c r="D636"/>
      <c r="E636" t="s">
        <v>2415</v>
      </c>
      <c r="F636"/>
      <c r="G636" s="107">
        <v>0</v>
      </c>
    </row>
    <row r="637" spans="1:7">
      <c r="A637" t="s">
        <v>20</v>
      </c>
      <c r="B637" t="s">
        <v>19</v>
      </c>
      <c r="C637" t="s">
        <v>234</v>
      </c>
      <c r="D637"/>
      <c r="E637" t="s">
        <v>2416</v>
      </c>
      <c r="F637"/>
      <c r="G637" s="107">
        <v>87500</v>
      </c>
    </row>
    <row r="638" spans="1:7">
      <c r="A638" t="s">
        <v>20</v>
      </c>
      <c r="B638" t="s">
        <v>19</v>
      </c>
      <c r="C638" t="s">
        <v>236</v>
      </c>
      <c r="D638"/>
      <c r="E638" t="s">
        <v>2417</v>
      </c>
      <c r="F638"/>
      <c r="G638" s="107">
        <v>87500</v>
      </c>
    </row>
    <row r="639" spans="1:7">
      <c r="A639" t="s">
        <v>20</v>
      </c>
      <c r="B639" t="s">
        <v>19</v>
      </c>
      <c r="C639" t="s">
        <v>238</v>
      </c>
      <c r="D639"/>
      <c r="E639" t="s">
        <v>2418</v>
      </c>
      <c r="F639"/>
      <c r="G639" s="107">
        <v>12500</v>
      </c>
    </row>
    <row r="640" spans="1:7">
      <c r="A640" t="s">
        <v>20</v>
      </c>
      <c r="B640" t="s">
        <v>19</v>
      </c>
      <c r="C640" t="s">
        <v>214</v>
      </c>
      <c r="D640"/>
      <c r="E640" t="s">
        <v>2419</v>
      </c>
      <c r="F640"/>
      <c r="G640" s="107">
        <v>0</v>
      </c>
    </row>
    <row r="641" spans="1:7">
      <c r="A641" t="s">
        <v>20</v>
      </c>
      <c r="B641" t="s">
        <v>19</v>
      </c>
      <c r="C641" t="s">
        <v>1419</v>
      </c>
      <c r="D641"/>
      <c r="E641" t="s">
        <v>2420</v>
      </c>
      <c r="F641"/>
      <c r="G641" s="107">
        <v>12500</v>
      </c>
    </row>
    <row r="642" spans="1:7">
      <c r="A642" t="s">
        <v>20</v>
      </c>
      <c r="B642" t="s">
        <v>19</v>
      </c>
      <c r="C642" t="s">
        <v>1419</v>
      </c>
      <c r="D642"/>
      <c r="E642" t="s">
        <v>2421</v>
      </c>
      <c r="F642"/>
      <c r="G642" s="107">
        <v>25000</v>
      </c>
    </row>
    <row r="643" spans="1:7">
      <c r="A643" t="s">
        <v>20</v>
      </c>
      <c r="B643" t="s">
        <v>19</v>
      </c>
      <c r="C643" t="s">
        <v>1419</v>
      </c>
      <c r="D643"/>
      <c r="E643" t="s">
        <v>2422</v>
      </c>
      <c r="F643"/>
      <c r="G643" s="107">
        <v>12500</v>
      </c>
    </row>
    <row r="644" spans="1:7">
      <c r="A644" s="128" t="s">
        <v>20</v>
      </c>
      <c r="B644" s="128" t="s">
        <v>2117</v>
      </c>
      <c r="C644" s="128"/>
      <c r="D644" s="128"/>
      <c r="E644" s="128" t="s">
        <v>482</v>
      </c>
      <c r="F644" s="128"/>
      <c r="G644" s="129">
        <v>119000</v>
      </c>
    </row>
    <row r="645" spans="1:7">
      <c r="A645" t="s">
        <v>20</v>
      </c>
      <c r="B645" t="s">
        <v>19</v>
      </c>
      <c r="C645" t="s">
        <v>214</v>
      </c>
      <c r="D645"/>
      <c r="E645" t="s">
        <v>483</v>
      </c>
      <c r="F645"/>
      <c r="G645" s="107">
        <v>0</v>
      </c>
    </row>
    <row r="646" spans="1:7">
      <c r="A646" t="s">
        <v>20</v>
      </c>
      <c r="B646" t="s">
        <v>19</v>
      </c>
      <c r="C646" t="s">
        <v>234</v>
      </c>
      <c r="D646"/>
      <c r="E646" t="s">
        <v>484</v>
      </c>
      <c r="F646"/>
      <c r="G646" s="107">
        <v>12000</v>
      </c>
    </row>
    <row r="647" spans="1:7">
      <c r="A647" t="s">
        <v>20</v>
      </c>
      <c r="B647" t="s">
        <v>19</v>
      </c>
      <c r="C647" t="s">
        <v>236</v>
      </c>
      <c r="D647"/>
      <c r="E647" t="s">
        <v>485</v>
      </c>
      <c r="F647"/>
      <c r="G647" s="107">
        <v>42000</v>
      </c>
    </row>
    <row r="648" spans="1:7">
      <c r="A648" t="s">
        <v>20</v>
      </c>
      <c r="B648" t="s">
        <v>19</v>
      </c>
      <c r="C648" t="s">
        <v>238</v>
      </c>
      <c r="D648"/>
      <c r="E648" t="s">
        <v>486</v>
      </c>
      <c r="F648"/>
      <c r="G648" s="107">
        <v>6000</v>
      </c>
    </row>
    <row r="649" spans="1:7">
      <c r="A649" t="s">
        <v>20</v>
      </c>
      <c r="B649" t="s">
        <v>19</v>
      </c>
      <c r="C649" t="s">
        <v>214</v>
      </c>
      <c r="D649"/>
      <c r="E649" t="s">
        <v>487</v>
      </c>
      <c r="F649"/>
      <c r="G649" s="107">
        <v>0</v>
      </c>
    </row>
    <row r="650" spans="1:7">
      <c r="A650" t="s">
        <v>20</v>
      </c>
      <c r="B650" t="s">
        <v>19</v>
      </c>
      <c r="C650" t="s">
        <v>234</v>
      </c>
      <c r="D650"/>
      <c r="E650" t="s">
        <v>2423</v>
      </c>
      <c r="F650"/>
      <c r="G650" s="107">
        <v>11800</v>
      </c>
    </row>
    <row r="651" spans="1:7">
      <c r="A651" t="s">
        <v>20</v>
      </c>
      <c r="B651" t="s">
        <v>19</v>
      </c>
      <c r="C651" t="s">
        <v>236</v>
      </c>
      <c r="D651"/>
      <c r="E651" t="s">
        <v>2424</v>
      </c>
      <c r="F651"/>
      <c r="G651" s="107">
        <v>41300</v>
      </c>
    </row>
    <row r="652" spans="1:7">
      <c r="A652" t="s">
        <v>20</v>
      </c>
      <c r="B652" t="s">
        <v>19</v>
      </c>
      <c r="C652" t="s">
        <v>238</v>
      </c>
      <c r="D652"/>
      <c r="E652" t="s">
        <v>2425</v>
      </c>
      <c r="F652"/>
      <c r="G652" s="107">
        <v>5900</v>
      </c>
    </row>
    <row r="653" spans="1:7">
      <c r="A653" s="128" t="s">
        <v>20</v>
      </c>
      <c r="B653" s="128" t="s">
        <v>2117</v>
      </c>
      <c r="C653" s="128"/>
      <c r="D653" s="128"/>
      <c r="E653" s="128" t="s">
        <v>488</v>
      </c>
      <c r="F653" s="128"/>
      <c r="G653" s="129">
        <v>619000</v>
      </c>
    </row>
    <row r="654" spans="1:7">
      <c r="A654" t="s">
        <v>20</v>
      </c>
      <c r="B654" t="s">
        <v>19</v>
      </c>
      <c r="C654" t="s">
        <v>214</v>
      </c>
      <c r="D654"/>
      <c r="E654" t="s">
        <v>489</v>
      </c>
      <c r="F654"/>
      <c r="G654" s="107">
        <v>0</v>
      </c>
    </row>
    <row r="655" spans="1:7">
      <c r="A655" t="s">
        <v>20</v>
      </c>
      <c r="B655" t="s">
        <v>19</v>
      </c>
      <c r="C655" t="s">
        <v>234</v>
      </c>
      <c r="D655"/>
      <c r="E655" t="s">
        <v>490</v>
      </c>
      <c r="F655"/>
      <c r="G655" s="107">
        <v>108000</v>
      </c>
    </row>
    <row r="656" spans="1:7">
      <c r="A656" t="s">
        <v>20</v>
      </c>
      <c r="B656" t="s">
        <v>19</v>
      </c>
      <c r="C656" t="s">
        <v>236</v>
      </c>
      <c r="D656"/>
      <c r="E656" t="s">
        <v>491</v>
      </c>
      <c r="F656"/>
      <c r="G656" s="107">
        <v>126000</v>
      </c>
    </row>
    <row r="657" spans="1:7">
      <c r="A657" t="s">
        <v>20</v>
      </c>
      <c r="B657" t="s">
        <v>19</v>
      </c>
      <c r="C657" t="s">
        <v>238</v>
      </c>
      <c r="D657"/>
      <c r="E657" t="s">
        <v>492</v>
      </c>
      <c r="F657"/>
      <c r="G657" s="107">
        <v>18000</v>
      </c>
    </row>
    <row r="658" spans="1:7">
      <c r="A658" t="s">
        <v>20</v>
      </c>
      <c r="B658" t="s">
        <v>19</v>
      </c>
      <c r="C658" t="s">
        <v>214</v>
      </c>
      <c r="D658"/>
      <c r="E658" t="s">
        <v>493</v>
      </c>
      <c r="F658"/>
      <c r="G658" s="107">
        <v>0</v>
      </c>
    </row>
    <row r="659" spans="1:7">
      <c r="A659" t="s">
        <v>20</v>
      </c>
      <c r="B659" t="s">
        <v>19</v>
      </c>
      <c r="C659" t="s">
        <v>234</v>
      </c>
      <c r="D659"/>
      <c r="E659" t="s">
        <v>494</v>
      </c>
      <c r="F659"/>
      <c r="G659" s="107">
        <v>54000</v>
      </c>
    </row>
    <row r="660" spans="1:7">
      <c r="A660" t="s">
        <v>20</v>
      </c>
      <c r="B660" t="s">
        <v>19</v>
      </c>
      <c r="C660" t="s">
        <v>236</v>
      </c>
      <c r="D660"/>
      <c r="E660" t="s">
        <v>495</v>
      </c>
      <c r="F660"/>
      <c r="G660" s="107">
        <v>63000</v>
      </c>
    </row>
    <row r="661" spans="1:7">
      <c r="A661" t="s">
        <v>20</v>
      </c>
      <c r="B661" t="s">
        <v>19</v>
      </c>
      <c r="C661" t="s">
        <v>238</v>
      </c>
      <c r="D661"/>
      <c r="E661" t="s">
        <v>496</v>
      </c>
      <c r="F661"/>
      <c r="G661" s="107">
        <v>18000</v>
      </c>
    </row>
    <row r="662" spans="1:7">
      <c r="A662" t="s">
        <v>20</v>
      </c>
      <c r="B662" t="s">
        <v>19</v>
      </c>
      <c r="C662" t="s">
        <v>214</v>
      </c>
      <c r="D662"/>
      <c r="E662" t="s">
        <v>497</v>
      </c>
      <c r="F662"/>
      <c r="G662" s="107">
        <v>0</v>
      </c>
    </row>
    <row r="663" spans="1:7">
      <c r="A663" t="s">
        <v>20</v>
      </c>
      <c r="B663" t="s">
        <v>19</v>
      </c>
      <c r="C663" t="s">
        <v>234</v>
      </c>
      <c r="D663"/>
      <c r="E663" t="s">
        <v>498</v>
      </c>
      <c r="F663"/>
      <c r="G663" s="107">
        <v>14000</v>
      </c>
    </row>
    <row r="664" spans="1:7">
      <c r="A664" t="s">
        <v>20</v>
      </c>
      <c r="B664" t="s">
        <v>19</v>
      </c>
      <c r="C664" t="s">
        <v>236</v>
      </c>
      <c r="D664"/>
      <c r="E664" t="s">
        <v>499</v>
      </c>
      <c r="F664"/>
      <c r="G664" s="107">
        <v>49000</v>
      </c>
    </row>
    <row r="665" spans="1:7">
      <c r="A665" t="s">
        <v>20</v>
      </c>
      <c r="B665" t="s">
        <v>19</v>
      </c>
      <c r="C665" t="s">
        <v>238</v>
      </c>
      <c r="D665"/>
      <c r="E665" t="s">
        <v>500</v>
      </c>
      <c r="F665"/>
      <c r="G665" s="107">
        <v>7000</v>
      </c>
    </row>
    <row r="666" spans="1:7">
      <c r="A666" t="s">
        <v>20</v>
      </c>
      <c r="B666" t="s">
        <v>19</v>
      </c>
      <c r="C666" t="s">
        <v>214</v>
      </c>
      <c r="D666"/>
      <c r="E666" t="s">
        <v>501</v>
      </c>
      <c r="F666"/>
      <c r="G666" s="107">
        <v>0</v>
      </c>
    </row>
    <row r="667" spans="1:7">
      <c r="A667" t="s">
        <v>20</v>
      </c>
      <c r="B667" t="s">
        <v>19</v>
      </c>
      <c r="C667" t="s">
        <v>234</v>
      </c>
      <c r="D667"/>
      <c r="E667" t="s">
        <v>502</v>
      </c>
      <c r="F667"/>
      <c r="G667" s="107">
        <v>14000</v>
      </c>
    </row>
    <row r="668" spans="1:7">
      <c r="A668" t="s">
        <v>20</v>
      </c>
      <c r="B668" t="s">
        <v>19</v>
      </c>
      <c r="C668" t="s">
        <v>236</v>
      </c>
      <c r="D668"/>
      <c r="E668" t="s">
        <v>503</v>
      </c>
      <c r="F668"/>
      <c r="G668" s="107">
        <v>49000</v>
      </c>
    </row>
    <row r="669" spans="1:7">
      <c r="A669" t="s">
        <v>20</v>
      </c>
      <c r="B669" t="s">
        <v>19</v>
      </c>
      <c r="C669" t="s">
        <v>238</v>
      </c>
      <c r="D669"/>
      <c r="E669" t="s">
        <v>504</v>
      </c>
      <c r="F669"/>
      <c r="G669" s="107">
        <v>7000</v>
      </c>
    </row>
    <row r="670" spans="1:7">
      <c r="A670" t="s">
        <v>20</v>
      </c>
      <c r="B670" t="s">
        <v>19</v>
      </c>
      <c r="C670" t="s">
        <v>214</v>
      </c>
      <c r="D670"/>
      <c r="E670" t="s">
        <v>505</v>
      </c>
      <c r="F670"/>
      <c r="G670" s="107">
        <v>0</v>
      </c>
    </row>
    <row r="671" spans="1:7">
      <c r="A671" t="s">
        <v>20</v>
      </c>
      <c r="B671" t="s">
        <v>19</v>
      </c>
      <c r="C671" t="s">
        <v>236</v>
      </c>
      <c r="D671"/>
      <c r="E671" t="s">
        <v>506</v>
      </c>
      <c r="F671"/>
      <c r="G671" s="107">
        <v>49000</v>
      </c>
    </row>
    <row r="672" spans="1:7">
      <c r="A672" t="s">
        <v>20</v>
      </c>
      <c r="B672" t="s">
        <v>19</v>
      </c>
      <c r="C672" t="s">
        <v>214</v>
      </c>
      <c r="D672"/>
      <c r="E672" t="s">
        <v>507</v>
      </c>
      <c r="F672"/>
      <c r="G672" s="107">
        <v>0</v>
      </c>
    </row>
    <row r="673" spans="1:9">
      <c r="A673" t="s">
        <v>20</v>
      </c>
      <c r="B673" t="s">
        <v>19</v>
      </c>
      <c r="C673" t="s">
        <v>1419</v>
      </c>
      <c r="D673"/>
      <c r="E673" t="s">
        <v>508</v>
      </c>
      <c r="F673"/>
      <c r="G673" s="107">
        <v>7000</v>
      </c>
    </row>
    <row r="674" spans="1:9">
      <c r="A674" t="s">
        <v>20</v>
      </c>
      <c r="B674" t="s">
        <v>19</v>
      </c>
      <c r="C674" t="s">
        <v>1419</v>
      </c>
      <c r="D674"/>
      <c r="E674" t="s">
        <v>509</v>
      </c>
      <c r="F674"/>
      <c r="G674" s="107">
        <v>14000</v>
      </c>
    </row>
    <row r="675" spans="1:9">
      <c r="A675" t="s">
        <v>20</v>
      </c>
      <c r="B675" t="s">
        <v>19</v>
      </c>
      <c r="C675" t="s">
        <v>1419</v>
      </c>
      <c r="D675"/>
      <c r="E675" t="s">
        <v>510</v>
      </c>
      <c r="F675"/>
      <c r="G675" s="107">
        <v>0</v>
      </c>
    </row>
    <row r="676" spans="1:9">
      <c r="A676" t="s">
        <v>20</v>
      </c>
      <c r="B676" t="s">
        <v>19</v>
      </c>
      <c r="C676" t="s">
        <v>214</v>
      </c>
      <c r="D676"/>
      <c r="E676" t="s">
        <v>511</v>
      </c>
      <c r="F676"/>
      <c r="G676" s="107">
        <v>0</v>
      </c>
    </row>
    <row r="677" spans="1:9">
      <c r="A677" t="s">
        <v>20</v>
      </c>
      <c r="B677" t="s">
        <v>19</v>
      </c>
      <c r="C677" t="s">
        <v>1419</v>
      </c>
      <c r="D677"/>
      <c r="E677" t="s">
        <v>512</v>
      </c>
      <c r="F677"/>
      <c r="G677" s="107">
        <v>0</v>
      </c>
    </row>
    <row r="678" spans="1:9">
      <c r="A678" t="s">
        <v>20</v>
      </c>
      <c r="B678" t="s">
        <v>19</v>
      </c>
      <c r="C678" t="s">
        <v>1419</v>
      </c>
      <c r="D678"/>
      <c r="E678" t="s">
        <v>513</v>
      </c>
      <c r="F678"/>
      <c r="G678" s="107">
        <v>14000</v>
      </c>
    </row>
    <row r="679" spans="1:9">
      <c r="A679" t="s">
        <v>20</v>
      </c>
      <c r="B679" t="s">
        <v>19</v>
      </c>
      <c r="C679" t="s">
        <v>1419</v>
      </c>
      <c r="D679"/>
      <c r="E679" t="s">
        <v>2426</v>
      </c>
      <c r="F679"/>
      <c r="G679" s="107">
        <v>0</v>
      </c>
    </row>
    <row r="680" spans="1:9">
      <c r="A680" t="s">
        <v>20</v>
      </c>
      <c r="B680" t="s">
        <v>19</v>
      </c>
      <c r="C680" t="s">
        <v>214</v>
      </c>
      <c r="D680"/>
      <c r="E680" t="s">
        <v>2427</v>
      </c>
      <c r="F680"/>
      <c r="G680" s="107">
        <v>0</v>
      </c>
    </row>
    <row r="681" spans="1:9">
      <c r="A681" t="s">
        <v>20</v>
      </c>
      <c r="B681" t="s">
        <v>19</v>
      </c>
      <c r="C681" t="s">
        <v>1419</v>
      </c>
      <c r="D681"/>
      <c r="E681" t="s">
        <v>2428</v>
      </c>
      <c r="F681"/>
      <c r="G681" s="107">
        <v>0</v>
      </c>
    </row>
    <row r="682" spans="1:9">
      <c r="A682" t="s">
        <v>20</v>
      </c>
      <c r="B682" t="s">
        <v>19</v>
      </c>
      <c r="C682" t="s">
        <v>1419</v>
      </c>
      <c r="D682"/>
      <c r="E682" t="s">
        <v>2429</v>
      </c>
      <c r="F682"/>
      <c r="G682" s="107">
        <v>8000</v>
      </c>
    </row>
    <row r="683" spans="1:9">
      <c r="A683" t="s">
        <v>20</v>
      </c>
      <c r="B683" t="s">
        <v>19</v>
      </c>
      <c r="C683" t="s">
        <v>1419</v>
      </c>
      <c r="D683"/>
      <c r="E683" t="s">
        <v>2430</v>
      </c>
      <c r="F683"/>
      <c r="G683" s="107">
        <v>0</v>
      </c>
    </row>
    <row r="684" spans="1:9">
      <c r="A684" t="s">
        <v>20</v>
      </c>
      <c r="B684" t="s">
        <v>19</v>
      </c>
      <c r="C684" t="s">
        <v>1419</v>
      </c>
      <c r="D684"/>
      <c r="E684" t="s">
        <v>3400</v>
      </c>
      <c r="F684"/>
      <c r="G684" s="107"/>
      <c r="H684" s="6">
        <v>9333.2800000000007</v>
      </c>
      <c r="I684" t="s">
        <v>3399</v>
      </c>
    </row>
    <row r="685" spans="1:9">
      <c r="A685" s="128" t="s">
        <v>20</v>
      </c>
      <c r="B685" s="128" t="s">
        <v>2117</v>
      </c>
      <c r="C685" s="128"/>
      <c r="D685" s="128"/>
      <c r="E685" s="128" t="s">
        <v>514</v>
      </c>
      <c r="F685" s="128"/>
      <c r="G685" s="129">
        <v>307700</v>
      </c>
    </row>
    <row r="686" spans="1:9">
      <c r="A686" t="s">
        <v>20</v>
      </c>
      <c r="B686" t="s">
        <v>19</v>
      </c>
      <c r="C686" t="s">
        <v>214</v>
      </c>
      <c r="D686"/>
      <c r="E686" t="s">
        <v>515</v>
      </c>
      <c r="F686"/>
      <c r="G686" s="107">
        <v>0</v>
      </c>
    </row>
    <row r="687" spans="1:9">
      <c r="A687" t="s">
        <v>20</v>
      </c>
      <c r="B687" t="s">
        <v>19</v>
      </c>
      <c r="C687" t="s">
        <v>234</v>
      </c>
      <c r="D687"/>
      <c r="E687" t="s">
        <v>516</v>
      </c>
      <c r="F687"/>
      <c r="G687" s="107">
        <v>16000</v>
      </c>
    </row>
    <row r="688" spans="1:9">
      <c r="A688" t="s">
        <v>20</v>
      </c>
      <c r="B688" t="s">
        <v>19</v>
      </c>
      <c r="C688" t="s">
        <v>236</v>
      </c>
      <c r="D688"/>
      <c r="E688" t="s">
        <v>517</v>
      </c>
      <c r="F688"/>
      <c r="G688" s="107">
        <v>56000</v>
      </c>
    </row>
    <row r="689" spans="1:7">
      <c r="A689" t="s">
        <v>20</v>
      </c>
      <c r="B689" t="s">
        <v>19</v>
      </c>
      <c r="C689" t="s">
        <v>238</v>
      </c>
      <c r="D689"/>
      <c r="E689" t="s">
        <v>518</v>
      </c>
      <c r="F689"/>
      <c r="G689" s="107">
        <v>8000</v>
      </c>
    </row>
    <row r="690" spans="1:7">
      <c r="A690" t="s">
        <v>20</v>
      </c>
      <c r="B690" t="s">
        <v>19</v>
      </c>
      <c r="C690" t="s">
        <v>214</v>
      </c>
      <c r="D690"/>
      <c r="E690" t="s">
        <v>519</v>
      </c>
      <c r="F690"/>
      <c r="G690" s="107">
        <v>0</v>
      </c>
    </row>
    <row r="691" spans="1:7">
      <c r="A691" t="s">
        <v>20</v>
      </c>
      <c r="B691" t="s">
        <v>19</v>
      </c>
      <c r="C691" t="s">
        <v>234</v>
      </c>
      <c r="D691"/>
      <c r="E691" t="s">
        <v>2431</v>
      </c>
      <c r="F691"/>
      <c r="G691" s="107">
        <v>50600</v>
      </c>
    </row>
    <row r="692" spans="1:7">
      <c r="A692" t="s">
        <v>20</v>
      </c>
      <c r="B692" t="s">
        <v>19</v>
      </c>
      <c r="C692" t="s">
        <v>236</v>
      </c>
      <c r="D692"/>
      <c r="E692" t="s">
        <v>2432</v>
      </c>
      <c r="F692"/>
      <c r="G692" s="107">
        <v>177100</v>
      </c>
    </row>
    <row r="693" spans="1:7">
      <c r="A693" t="s">
        <v>20</v>
      </c>
      <c r="B693" t="s">
        <v>19</v>
      </c>
      <c r="C693" t="s">
        <v>238</v>
      </c>
      <c r="D693"/>
      <c r="E693" t="s">
        <v>2433</v>
      </c>
      <c r="F693"/>
      <c r="G693" s="107">
        <v>0</v>
      </c>
    </row>
    <row r="694" spans="1:7">
      <c r="A694" s="128" t="s">
        <v>20</v>
      </c>
      <c r="B694" s="128" t="s">
        <v>2117</v>
      </c>
      <c r="C694" s="128"/>
      <c r="D694" s="128"/>
      <c r="E694" s="128" t="s">
        <v>2434</v>
      </c>
      <c r="F694" s="128"/>
      <c r="G694" s="129">
        <v>5000</v>
      </c>
    </row>
    <row r="695" spans="1:7">
      <c r="A695" t="s">
        <v>20</v>
      </c>
      <c r="B695" t="s">
        <v>19</v>
      </c>
      <c r="C695" t="s">
        <v>214</v>
      </c>
      <c r="D695"/>
      <c r="E695" t="s">
        <v>2435</v>
      </c>
      <c r="F695"/>
      <c r="G695" s="107">
        <v>0</v>
      </c>
    </row>
    <row r="696" spans="1:7">
      <c r="A696" t="s">
        <v>20</v>
      </c>
      <c r="B696" t="s">
        <v>19</v>
      </c>
      <c r="C696" t="s">
        <v>227</v>
      </c>
      <c r="D696"/>
      <c r="E696" t="s">
        <v>2436</v>
      </c>
      <c r="F696"/>
      <c r="G696" s="107">
        <v>5000</v>
      </c>
    </row>
    <row r="697" spans="1:7">
      <c r="A697" s="128" t="s">
        <v>20</v>
      </c>
      <c r="B697" s="128" t="s">
        <v>2117</v>
      </c>
      <c r="C697" s="128"/>
      <c r="D697" s="128"/>
      <c r="E697" s="128" t="s">
        <v>520</v>
      </c>
      <c r="F697" s="128"/>
      <c r="G697" s="129">
        <v>148000</v>
      </c>
    </row>
    <row r="698" spans="1:7">
      <c r="A698" t="s">
        <v>20</v>
      </c>
      <c r="B698" t="s">
        <v>19</v>
      </c>
      <c r="C698" t="s">
        <v>214</v>
      </c>
      <c r="D698"/>
      <c r="E698" t="s">
        <v>521</v>
      </c>
      <c r="F698"/>
      <c r="G698" s="107">
        <v>0</v>
      </c>
    </row>
    <row r="699" spans="1:7">
      <c r="A699" t="s">
        <v>20</v>
      </c>
      <c r="B699" t="s">
        <v>19</v>
      </c>
      <c r="C699" t="s">
        <v>234</v>
      </c>
      <c r="D699"/>
      <c r="E699" t="s">
        <v>522</v>
      </c>
      <c r="F699"/>
      <c r="G699" s="107">
        <v>24000</v>
      </c>
    </row>
    <row r="700" spans="1:7">
      <c r="A700" t="s">
        <v>20</v>
      </c>
      <c r="B700" t="s">
        <v>19</v>
      </c>
      <c r="C700" t="s">
        <v>236</v>
      </c>
      <c r="D700"/>
      <c r="E700" t="s">
        <v>523</v>
      </c>
      <c r="F700"/>
      <c r="G700" s="107">
        <v>56000</v>
      </c>
    </row>
    <row r="701" spans="1:7">
      <c r="A701" t="s">
        <v>20</v>
      </c>
      <c r="B701" t="s">
        <v>19</v>
      </c>
      <c r="C701" t="s">
        <v>238</v>
      </c>
      <c r="D701"/>
      <c r="E701" t="s">
        <v>2437</v>
      </c>
      <c r="F701"/>
      <c r="G701" s="107">
        <v>8000</v>
      </c>
    </row>
    <row r="702" spans="1:7">
      <c r="A702" t="s">
        <v>20</v>
      </c>
      <c r="B702" t="s">
        <v>19</v>
      </c>
      <c r="C702" t="s">
        <v>214</v>
      </c>
      <c r="D702"/>
      <c r="E702" t="s">
        <v>2438</v>
      </c>
      <c r="F702"/>
      <c r="G702" s="107">
        <v>0</v>
      </c>
    </row>
    <row r="703" spans="1:7">
      <c r="A703" t="s">
        <v>20</v>
      </c>
      <c r="B703" t="s">
        <v>19</v>
      </c>
      <c r="C703" t="s">
        <v>236</v>
      </c>
      <c r="D703"/>
      <c r="E703" t="s">
        <v>2439</v>
      </c>
      <c r="F703"/>
      <c r="G703" s="107">
        <v>52500</v>
      </c>
    </row>
    <row r="704" spans="1:7">
      <c r="A704" t="s">
        <v>20</v>
      </c>
      <c r="B704" t="s">
        <v>19</v>
      </c>
      <c r="C704" t="s">
        <v>238</v>
      </c>
      <c r="D704"/>
      <c r="E704" t="s">
        <v>2440</v>
      </c>
      <c r="F704"/>
      <c r="G704" s="107">
        <v>7500</v>
      </c>
    </row>
    <row r="705" spans="1:7">
      <c r="A705" s="128" t="s">
        <v>20</v>
      </c>
      <c r="B705" s="128" t="s">
        <v>2117</v>
      </c>
      <c r="C705" s="128"/>
      <c r="D705" s="128"/>
      <c r="E705" s="128" t="s">
        <v>2441</v>
      </c>
      <c r="F705" s="128"/>
      <c r="G705" s="129">
        <v>60000</v>
      </c>
    </row>
    <row r="706" spans="1:7">
      <c r="A706" t="s">
        <v>20</v>
      </c>
      <c r="B706" t="s">
        <v>19</v>
      </c>
      <c r="C706" t="s">
        <v>214</v>
      </c>
      <c r="D706"/>
      <c r="E706" t="s">
        <v>2442</v>
      </c>
      <c r="F706"/>
      <c r="G706" s="107">
        <v>0</v>
      </c>
    </row>
    <row r="707" spans="1:7">
      <c r="A707" t="s">
        <v>20</v>
      </c>
      <c r="B707" t="s">
        <v>19</v>
      </c>
      <c r="C707" t="s">
        <v>236</v>
      </c>
      <c r="D707"/>
      <c r="E707" t="s">
        <v>2443</v>
      </c>
      <c r="F707"/>
      <c r="G707" s="107">
        <v>60000</v>
      </c>
    </row>
    <row r="708" spans="1:7">
      <c r="A708" s="163" t="s">
        <v>20</v>
      </c>
      <c r="B708" s="163" t="s">
        <v>8</v>
      </c>
      <c r="C708" s="163"/>
      <c r="D708" s="163"/>
      <c r="E708" s="163" t="s">
        <v>524</v>
      </c>
      <c r="F708" s="163"/>
      <c r="G708" s="164">
        <v>1614000</v>
      </c>
    </row>
    <row r="709" spans="1:7">
      <c r="A709" s="128" t="s">
        <v>20</v>
      </c>
      <c r="B709" s="128" t="s">
        <v>2117</v>
      </c>
      <c r="C709" s="128"/>
      <c r="D709" s="128"/>
      <c r="E709" s="128" t="s">
        <v>525</v>
      </c>
      <c r="F709" s="128"/>
      <c r="G709" s="129">
        <v>1322000</v>
      </c>
    </row>
    <row r="710" spans="1:7">
      <c r="A710" t="s">
        <v>20</v>
      </c>
      <c r="B710" t="s">
        <v>19</v>
      </c>
      <c r="C710" t="s">
        <v>214</v>
      </c>
      <c r="D710"/>
      <c r="E710" t="s">
        <v>526</v>
      </c>
      <c r="F710"/>
      <c r="G710" s="107">
        <v>0</v>
      </c>
    </row>
    <row r="711" spans="1:7">
      <c r="A711" t="s">
        <v>20</v>
      </c>
      <c r="B711" t="s">
        <v>19</v>
      </c>
      <c r="C711" t="s">
        <v>214</v>
      </c>
      <c r="D711"/>
      <c r="E711" t="s">
        <v>527</v>
      </c>
      <c r="F711"/>
      <c r="G711" s="107">
        <v>0</v>
      </c>
    </row>
    <row r="712" spans="1:7">
      <c r="A712" t="s">
        <v>20</v>
      </c>
      <c r="B712" t="s">
        <v>19</v>
      </c>
      <c r="C712" t="s">
        <v>236</v>
      </c>
      <c r="D712"/>
      <c r="E712" t="s">
        <v>1728</v>
      </c>
      <c r="F712"/>
      <c r="G712" s="107">
        <v>1250000</v>
      </c>
    </row>
    <row r="713" spans="1:7">
      <c r="A713" t="s">
        <v>20</v>
      </c>
      <c r="B713" t="s">
        <v>19</v>
      </c>
      <c r="C713" t="s">
        <v>236</v>
      </c>
      <c r="D713"/>
      <c r="E713" t="s">
        <v>1729</v>
      </c>
      <c r="F713"/>
      <c r="G713" s="107">
        <v>72000</v>
      </c>
    </row>
    <row r="714" spans="1:7">
      <c r="A714" s="128" t="s">
        <v>20</v>
      </c>
      <c r="B714" s="128" t="s">
        <v>2117</v>
      </c>
      <c r="C714" s="128"/>
      <c r="D714" s="128"/>
      <c r="E714" s="128" t="s">
        <v>528</v>
      </c>
      <c r="F714" s="128"/>
      <c r="G714" s="129">
        <v>292000</v>
      </c>
    </row>
    <row r="715" spans="1:7">
      <c r="A715" t="s">
        <v>20</v>
      </c>
      <c r="B715" t="s">
        <v>19</v>
      </c>
      <c r="C715" t="s">
        <v>214</v>
      </c>
      <c r="D715"/>
      <c r="E715" t="s">
        <v>529</v>
      </c>
      <c r="F715"/>
      <c r="G715" s="107">
        <v>0</v>
      </c>
    </row>
    <row r="716" spans="1:7">
      <c r="A716" t="s">
        <v>20</v>
      </c>
      <c r="B716" t="s">
        <v>19</v>
      </c>
      <c r="C716" t="s">
        <v>234</v>
      </c>
      <c r="D716"/>
      <c r="E716" t="s">
        <v>530</v>
      </c>
      <c r="F716"/>
      <c r="G716" s="107">
        <v>20000</v>
      </c>
    </row>
    <row r="717" spans="1:7">
      <c r="A717" t="s">
        <v>20</v>
      </c>
      <c r="B717" t="s">
        <v>19</v>
      </c>
      <c r="C717" t="s">
        <v>236</v>
      </c>
      <c r="D717"/>
      <c r="E717" t="s">
        <v>531</v>
      </c>
      <c r="F717"/>
      <c r="G717" s="107">
        <v>140000</v>
      </c>
    </row>
    <row r="718" spans="1:7">
      <c r="A718" t="s">
        <v>20</v>
      </c>
      <c r="B718" t="s">
        <v>19</v>
      </c>
      <c r="C718" t="s">
        <v>214</v>
      </c>
      <c r="D718"/>
      <c r="E718" t="s">
        <v>532</v>
      </c>
      <c r="F718"/>
      <c r="G718" s="107">
        <v>0</v>
      </c>
    </row>
    <row r="719" spans="1:7">
      <c r="A719" t="s">
        <v>20</v>
      </c>
      <c r="B719" t="s">
        <v>19</v>
      </c>
      <c r="C719" t="s">
        <v>236</v>
      </c>
      <c r="D719"/>
      <c r="E719" t="s">
        <v>2444</v>
      </c>
      <c r="F719"/>
      <c r="G719" s="107">
        <v>105000</v>
      </c>
    </row>
    <row r="720" spans="1:7">
      <c r="A720" t="s">
        <v>20</v>
      </c>
      <c r="B720" t="s">
        <v>19</v>
      </c>
      <c r="C720" t="s">
        <v>214</v>
      </c>
      <c r="D720"/>
      <c r="E720" t="s">
        <v>2445</v>
      </c>
      <c r="F720"/>
      <c r="G720" s="107">
        <v>0</v>
      </c>
    </row>
    <row r="721" spans="1:7">
      <c r="A721" t="s">
        <v>20</v>
      </c>
      <c r="B721" t="s">
        <v>19</v>
      </c>
      <c r="C721" t="s">
        <v>236</v>
      </c>
      <c r="D721"/>
      <c r="E721" t="s">
        <v>2446</v>
      </c>
      <c r="F721"/>
      <c r="G721" s="107">
        <v>27000</v>
      </c>
    </row>
    <row r="722" spans="1:7">
      <c r="A722" s="163" t="s">
        <v>20</v>
      </c>
      <c r="B722" s="163" t="s">
        <v>8</v>
      </c>
      <c r="C722" s="163"/>
      <c r="D722" s="163"/>
      <c r="E722" s="163" t="s">
        <v>533</v>
      </c>
      <c r="F722" s="163"/>
      <c r="G722" s="164">
        <v>1825740</v>
      </c>
    </row>
    <row r="723" spans="1:7">
      <c r="A723" s="128" t="s">
        <v>20</v>
      </c>
      <c r="B723" s="128" t="s">
        <v>2117</v>
      </c>
      <c r="C723" s="128"/>
      <c r="D723" s="128"/>
      <c r="E723" s="128" t="s">
        <v>534</v>
      </c>
      <c r="F723" s="128"/>
      <c r="G723" s="129">
        <v>598290</v>
      </c>
    </row>
    <row r="724" spans="1:7">
      <c r="A724" t="s">
        <v>20</v>
      </c>
      <c r="B724" t="s">
        <v>19</v>
      </c>
      <c r="C724" t="s">
        <v>214</v>
      </c>
      <c r="D724"/>
      <c r="E724" t="s">
        <v>210</v>
      </c>
      <c r="F724"/>
      <c r="G724" s="107">
        <v>0</v>
      </c>
    </row>
    <row r="725" spans="1:7">
      <c r="A725" t="s">
        <v>20</v>
      </c>
      <c r="B725" t="s">
        <v>19</v>
      </c>
      <c r="C725" t="s">
        <v>233</v>
      </c>
      <c r="D725"/>
      <c r="E725" t="s">
        <v>535</v>
      </c>
      <c r="F725"/>
      <c r="G725" s="107">
        <v>16170</v>
      </c>
    </row>
    <row r="726" spans="1:7">
      <c r="A726" t="s">
        <v>20</v>
      </c>
      <c r="B726" t="s">
        <v>19</v>
      </c>
      <c r="C726" t="s">
        <v>234</v>
      </c>
      <c r="D726"/>
      <c r="E726" t="s">
        <v>536</v>
      </c>
      <c r="F726"/>
      <c r="G726" s="107">
        <v>291060</v>
      </c>
    </row>
    <row r="727" spans="1:7">
      <c r="A727" t="s">
        <v>20</v>
      </c>
      <c r="B727" t="s">
        <v>19</v>
      </c>
      <c r="C727" t="s">
        <v>236</v>
      </c>
      <c r="D727"/>
      <c r="E727" t="s">
        <v>537</v>
      </c>
      <c r="F727"/>
      <c r="G727" s="107">
        <v>226380</v>
      </c>
    </row>
    <row r="728" spans="1:7">
      <c r="A728" t="s">
        <v>20</v>
      </c>
      <c r="B728" t="s">
        <v>19</v>
      </c>
      <c r="C728" t="s">
        <v>238</v>
      </c>
      <c r="D728"/>
      <c r="E728" t="s">
        <v>2447</v>
      </c>
      <c r="F728"/>
      <c r="G728" s="107">
        <v>64680</v>
      </c>
    </row>
    <row r="729" spans="1:7">
      <c r="A729" s="128" t="s">
        <v>20</v>
      </c>
      <c r="B729" s="128" t="s">
        <v>2117</v>
      </c>
      <c r="C729" s="128"/>
      <c r="D729" s="128"/>
      <c r="E729" s="128" t="s">
        <v>538</v>
      </c>
      <c r="F729" s="128"/>
      <c r="G729" s="129">
        <v>387450</v>
      </c>
    </row>
    <row r="730" spans="1:7">
      <c r="A730" t="s">
        <v>20</v>
      </c>
      <c r="B730" t="s">
        <v>19</v>
      </c>
      <c r="C730" t="s">
        <v>214</v>
      </c>
      <c r="D730"/>
      <c r="E730" t="s">
        <v>539</v>
      </c>
      <c r="F730"/>
      <c r="G730" s="107">
        <v>0</v>
      </c>
    </row>
    <row r="731" spans="1:7">
      <c r="A731" t="s">
        <v>20</v>
      </c>
      <c r="B731" t="s">
        <v>19</v>
      </c>
      <c r="C731" t="s">
        <v>234</v>
      </c>
      <c r="D731"/>
      <c r="E731" t="s">
        <v>540</v>
      </c>
      <c r="F731"/>
      <c r="G731" s="107">
        <v>193725</v>
      </c>
    </row>
    <row r="732" spans="1:7">
      <c r="A732" t="s">
        <v>20</v>
      </c>
      <c r="B732" t="s">
        <v>19</v>
      </c>
      <c r="C732" t="s">
        <v>236</v>
      </c>
      <c r="D732"/>
      <c r="E732" t="s">
        <v>541</v>
      </c>
      <c r="F732"/>
      <c r="G732" s="107">
        <v>150675</v>
      </c>
    </row>
    <row r="733" spans="1:7">
      <c r="A733" t="s">
        <v>20</v>
      </c>
      <c r="B733" t="s">
        <v>19</v>
      </c>
      <c r="C733" t="s">
        <v>238</v>
      </c>
      <c r="D733"/>
      <c r="E733" t="s">
        <v>2448</v>
      </c>
      <c r="F733"/>
      <c r="G733" s="107">
        <v>43050</v>
      </c>
    </row>
    <row r="734" spans="1:7">
      <c r="A734" s="128" t="s">
        <v>20</v>
      </c>
      <c r="B734" s="128" t="s">
        <v>2117</v>
      </c>
      <c r="C734" s="128"/>
      <c r="D734" s="128"/>
      <c r="E734" s="128" t="s">
        <v>542</v>
      </c>
      <c r="F734" s="128"/>
      <c r="G734" s="129">
        <v>151200</v>
      </c>
    </row>
    <row r="735" spans="1:7">
      <c r="A735" t="s">
        <v>20</v>
      </c>
      <c r="B735" t="s">
        <v>19</v>
      </c>
      <c r="C735" t="s">
        <v>214</v>
      </c>
      <c r="D735"/>
      <c r="E735" t="s">
        <v>543</v>
      </c>
      <c r="F735"/>
      <c r="G735" s="107">
        <v>0</v>
      </c>
    </row>
    <row r="736" spans="1:7">
      <c r="A736" t="s">
        <v>20</v>
      </c>
      <c r="B736" t="s">
        <v>19</v>
      </c>
      <c r="C736" t="s">
        <v>234</v>
      </c>
      <c r="D736"/>
      <c r="E736" t="s">
        <v>544</v>
      </c>
      <c r="F736"/>
      <c r="G736" s="107">
        <v>50400</v>
      </c>
    </row>
    <row r="737" spans="1:7">
      <c r="A737" t="s">
        <v>20</v>
      </c>
      <c r="B737" t="s">
        <v>19</v>
      </c>
      <c r="C737" t="s">
        <v>236</v>
      </c>
      <c r="D737"/>
      <c r="E737" t="s">
        <v>545</v>
      </c>
      <c r="F737"/>
      <c r="G737" s="107">
        <v>88200</v>
      </c>
    </row>
    <row r="738" spans="1:7">
      <c r="A738" t="s">
        <v>20</v>
      </c>
      <c r="B738" t="s">
        <v>19</v>
      </c>
      <c r="C738" t="s">
        <v>238</v>
      </c>
      <c r="D738"/>
      <c r="E738" t="s">
        <v>2449</v>
      </c>
      <c r="F738"/>
      <c r="G738" s="107">
        <v>12600</v>
      </c>
    </row>
    <row r="739" spans="1:7">
      <c r="A739" s="128" t="s">
        <v>20</v>
      </c>
      <c r="B739" s="128" t="s">
        <v>2117</v>
      </c>
      <c r="C739" s="128"/>
      <c r="D739" s="128"/>
      <c r="E739" s="128" t="s">
        <v>546</v>
      </c>
      <c r="F739" s="128"/>
      <c r="G739" s="129">
        <v>490000</v>
      </c>
    </row>
    <row r="740" spans="1:7">
      <c r="A740" t="s">
        <v>20</v>
      </c>
      <c r="B740" t="s">
        <v>19</v>
      </c>
      <c r="C740" t="s">
        <v>214</v>
      </c>
      <c r="D740"/>
      <c r="E740" t="s">
        <v>547</v>
      </c>
      <c r="F740"/>
      <c r="G740" s="107">
        <v>0</v>
      </c>
    </row>
    <row r="741" spans="1:7">
      <c r="A741" t="s">
        <v>20</v>
      </c>
      <c r="B741" t="s">
        <v>19</v>
      </c>
      <c r="C741" t="s">
        <v>234</v>
      </c>
      <c r="D741"/>
      <c r="E741" t="s">
        <v>548</v>
      </c>
      <c r="F741"/>
      <c r="G741" s="107">
        <v>141750</v>
      </c>
    </row>
    <row r="742" spans="1:7">
      <c r="A742" t="s">
        <v>20</v>
      </c>
      <c r="B742" t="s">
        <v>19</v>
      </c>
      <c r="C742" t="s">
        <v>236</v>
      </c>
      <c r="D742"/>
      <c r="E742" t="s">
        <v>549</v>
      </c>
      <c r="F742"/>
      <c r="G742" s="107">
        <v>110250</v>
      </c>
    </row>
    <row r="743" spans="1:7">
      <c r="A743" t="s">
        <v>20</v>
      </c>
      <c r="B743" t="s">
        <v>19</v>
      </c>
      <c r="C743" t="s">
        <v>238</v>
      </c>
      <c r="D743"/>
      <c r="E743" t="s">
        <v>550</v>
      </c>
      <c r="F743"/>
      <c r="G743" s="107">
        <v>31500</v>
      </c>
    </row>
    <row r="744" spans="1:7">
      <c r="A744" t="s">
        <v>20</v>
      </c>
      <c r="B744" t="s">
        <v>19</v>
      </c>
      <c r="C744" t="s">
        <v>214</v>
      </c>
      <c r="D744"/>
      <c r="E744" t="s">
        <v>551</v>
      </c>
      <c r="F744"/>
      <c r="G744" s="107">
        <v>0</v>
      </c>
    </row>
    <row r="745" spans="1:7">
      <c r="A745" t="s">
        <v>20</v>
      </c>
      <c r="B745" t="s">
        <v>19</v>
      </c>
      <c r="C745" t="s">
        <v>234</v>
      </c>
      <c r="D745"/>
      <c r="E745" t="s">
        <v>552</v>
      </c>
      <c r="F745"/>
      <c r="G745" s="107">
        <v>28000</v>
      </c>
    </row>
    <row r="746" spans="1:7">
      <c r="A746" t="s">
        <v>20</v>
      </c>
      <c r="B746" t="s">
        <v>19</v>
      </c>
      <c r="C746" t="s">
        <v>236</v>
      </c>
      <c r="D746"/>
      <c r="E746" t="s">
        <v>553</v>
      </c>
      <c r="F746"/>
      <c r="G746" s="107">
        <v>49000</v>
      </c>
    </row>
    <row r="747" spans="1:7">
      <c r="A747" t="s">
        <v>20</v>
      </c>
      <c r="B747" t="s">
        <v>19</v>
      </c>
      <c r="C747" t="s">
        <v>238</v>
      </c>
      <c r="D747"/>
      <c r="E747" t="s">
        <v>554</v>
      </c>
      <c r="F747"/>
      <c r="G747" s="107">
        <v>14000</v>
      </c>
    </row>
    <row r="748" spans="1:7">
      <c r="A748" t="s">
        <v>20</v>
      </c>
      <c r="B748" t="s">
        <v>19</v>
      </c>
      <c r="C748" t="s">
        <v>214</v>
      </c>
      <c r="D748"/>
      <c r="E748" t="s">
        <v>2450</v>
      </c>
      <c r="F748"/>
      <c r="G748" s="107">
        <v>0</v>
      </c>
    </row>
    <row r="749" spans="1:7">
      <c r="A749" t="s">
        <v>20</v>
      </c>
      <c r="B749" t="s">
        <v>19</v>
      </c>
      <c r="C749" t="s">
        <v>234</v>
      </c>
      <c r="D749"/>
      <c r="E749" t="s">
        <v>2451</v>
      </c>
      <c r="F749"/>
      <c r="G749" s="107">
        <v>38500</v>
      </c>
    </row>
    <row r="750" spans="1:7">
      <c r="A750" t="s">
        <v>20</v>
      </c>
      <c r="B750" t="s">
        <v>19</v>
      </c>
      <c r="C750" t="s">
        <v>236</v>
      </c>
      <c r="D750"/>
      <c r="E750" t="s">
        <v>2452</v>
      </c>
      <c r="F750"/>
      <c r="G750" s="107">
        <v>53900</v>
      </c>
    </row>
    <row r="751" spans="1:7">
      <c r="A751" t="s">
        <v>20</v>
      </c>
      <c r="B751" t="s">
        <v>19</v>
      </c>
      <c r="C751" t="s">
        <v>238</v>
      </c>
      <c r="D751"/>
      <c r="E751" t="s">
        <v>2453</v>
      </c>
      <c r="F751"/>
      <c r="G751" s="107">
        <v>23100</v>
      </c>
    </row>
    <row r="752" spans="1:7">
      <c r="A752" s="128" t="s">
        <v>20</v>
      </c>
      <c r="B752" s="128" t="s">
        <v>2117</v>
      </c>
      <c r="C752" s="128"/>
      <c r="D752" s="128"/>
      <c r="E752" s="128" t="s">
        <v>555</v>
      </c>
      <c r="F752" s="128"/>
      <c r="G752" s="129">
        <v>163800</v>
      </c>
    </row>
    <row r="753" spans="1:7">
      <c r="A753" t="s">
        <v>20</v>
      </c>
      <c r="B753" t="s">
        <v>19</v>
      </c>
      <c r="C753" t="s">
        <v>214</v>
      </c>
      <c r="D753"/>
      <c r="E753" t="s">
        <v>556</v>
      </c>
      <c r="F753"/>
      <c r="G753" s="107">
        <v>0</v>
      </c>
    </row>
    <row r="754" spans="1:7">
      <c r="A754" t="s">
        <v>20</v>
      </c>
      <c r="B754" t="s">
        <v>19</v>
      </c>
      <c r="C754" t="s">
        <v>234</v>
      </c>
      <c r="D754"/>
      <c r="E754" t="s">
        <v>557</v>
      </c>
      <c r="F754"/>
      <c r="G754" s="107">
        <v>75600</v>
      </c>
    </row>
    <row r="755" spans="1:7">
      <c r="A755" t="s">
        <v>20</v>
      </c>
      <c r="B755" t="s">
        <v>19</v>
      </c>
      <c r="C755" t="s">
        <v>236</v>
      </c>
      <c r="D755"/>
      <c r="E755" t="s">
        <v>2454</v>
      </c>
      <c r="F755"/>
      <c r="G755" s="107">
        <v>88200</v>
      </c>
    </row>
    <row r="756" spans="1:7">
      <c r="A756" s="128" t="s">
        <v>20</v>
      </c>
      <c r="B756" s="128" t="s">
        <v>2117</v>
      </c>
      <c r="C756" s="128"/>
      <c r="D756" s="128"/>
      <c r="E756" s="128" t="s">
        <v>1801</v>
      </c>
      <c r="F756" s="128"/>
      <c r="G756" s="129">
        <v>35000</v>
      </c>
    </row>
    <row r="757" spans="1:7">
      <c r="A757" t="s">
        <v>20</v>
      </c>
      <c r="B757" t="s">
        <v>19</v>
      </c>
      <c r="C757" t="s">
        <v>214</v>
      </c>
      <c r="D757"/>
      <c r="E757" t="s">
        <v>1802</v>
      </c>
      <c r="F757"/>
      <c r="G757" s="107">
        <v>0</v>
      </c>
    </row>
    <row r="758" spans="1:7">
      <c r="A758" t="s">
        <v>20</v>
      </c>
      <c r="B758" t="s">
        <v>19</v>
      </c>
      <c r="C758" t="s">
        <v>227</v>
      </c>
      <c r="D758"/>
      <c r="E758" t="s">
        <v>2455</v>
      </c>
      <c r="F758"/>
      <c r="G758" s="107">
        <v>35000</v>
      </c>
    </row>
    <row r="759" spans="1:7">
      <c r="A759" s="163" t="s">
        <v>20</v>
      </c>
      <c r="B759" s="163" t="s">
        <v>8</v>
      </c>
      <c r="C759" s="163"/>
      <c r="D759" s="163"/>
      <c r="E759" s="163" t="s">
        <v>558</v>
      </c>
      <c r="F759" s="163"/>
      <c r="G759" s="164">
        <v>1427550</v>
      </c>
    </row>
    <row r="760" spans="1:7">
      <c r="A760" s="128" t="s">
        <v>20</v>
      </c>
      <c r="B760" s="128" t="s">
        <v>2117</v>
      </c>
      <c r="C760" s="128"/>
      <c r="D760" s="128"/>
      <c r="E760" s="128" t="s">
        <v>559</v>
      </c>
      <c r="F760" s="128"/>
      <c r="G760" s="129">
        <v>116550</v>
      </c>
    </row>
    <row r="761" spans="1:7">
      <c r="A761" t="s">
        <v>20</v>
      </c>
      <c r="B761" t="s">
        <v>19</v>
      </c>
      <c r="C761" t="s">
        <v>214</v>
      </c>
      <c r="D761"/>
      <c r="E761" t="s">
        <v>560</v>
      </c>
      <c r="F761"/>
      <c r="G761" s="107">
        <v>0</v>
      </c>
    </row>
    <row r="762" spans="1:7">
      <c r="A762" t="s">
        <v>20</v>
      </c>
      <c r="B762" t="s">
        <v>19</v>
      </c>
      <c r="C762" t="s">
        <v>234</v>
      </c>
      <c r="D762"/>
      <c r="E762" t="s">
        <v>561</v>
      </c>
      <c r="F762"/>
      <c r="G762" s="107">
        <v>14700</v>
      </c>
    </row>
    <row r="763" spans="1:7">
      <c r="A763" t="s">
        <v>20</v>
      </c>
      <c r="B763" t="s">
        <v>19</v>
      </c>
      <c r="C763" t="s">
        <v>236</v>
      </c>
      <c r="D763"/>
      <c r="E763" t="s">
        <v>562</v>
      </c>
      <c r="F763"/>
      <c r="G763" s="107">
        <v>51450</v>
      </c>
    </row>
    <row r="764" spans="1:7">
      <c r="A764" t="s">
        <v>20</v>
      </c>
      <c r="B764" t="s">
        <v>19</v>
      </c>
      <c r="C764" t="s">
        <v>238</v>
      </c>
      <c r="D764"/>
      <c r="E764" t="s">
        <v>563</v>
      </c>
      <c r="F764"/>
      <c r="G764" s="107">
        <v>0</v>
      </c>
    </row>
    <row r="765" spans="1:7">
      <c r="A765" t="s">
        <v>20</v>
      </c>
      <c r="B765" t="s">
        <v>19</v>
      </c>
      <c r="C765" t="s">
        <v>214</v>
      </c>
      <c r="D765"/>
      <c r="E765" t="s">
        <v>564</v>
      </c>
      <c r="F765"/>
      <c r="G765" s="107">
        <v>0</v>
      </c>
    </row>
    <row r="766" spans="1:7">
      <c r="A766" t="s">
        <v>20</v>
      </c>
      <c r="B766" t="s">
        <v>19</v>
      </c>
      <c r="C766" t="s">
        <v>234</v>
      </c>
      <c r="D766"/>
      <c r="E766" t="s">
        <v>565</v>
      </c>
      <c r="F766"/>
      <c r="G766" s="107">
        <v>6300</v>
      </c>
    </row>
    <row r="767" spans="1:7">
      <c r="A767" t="s">
        <v>20</v>
      </c>
      <c r="B767" t="s">
        <v>19</v>
      </c>
      <c r="C767" t="s">
        <v>236</v>
      </c>
      <c r="D767"/>
      <c r="E767" t="s">
        <v>566</v>
      </c>
      <c r="F767"/>
      <c r="G767" s="107">
        <v>44100</v>
      </c>
    </row>
    <row r="768" spans="1:7">
      <c r="A768" t="s">
        <v>20</v>
      </c>
      <c r="B768" t="s">
        <v>19</v>
      </c>
      <c r="C768" t="s">
        <v>238</v>
      </c>
      <c r="D768"/>
      <c r="E768" t="s">
        <v>567</v>
      </c>
      <c r="F768"/>
      <c r="G768" s="107">
        <v>0</v>
      </c>
    </row>
    <row r="769" spans="1:7">
      <c r="A769" s="128" t="s">
        <v>20</v>
      </c>
      <c r="B769" s="128" t="s">
        <v>2117</v>
      </c>
      <c r="C769" s="128"/>
      <c r="D769" s="128"/>
      <c r="E769" s="128" t="s">
        <v>2456</v>
      </c>
      <c r="F769" s="128"/>
      <c r="G769" s="129">
        <v>125000</v>
      </c>
    </row>
    <row r="770" spans="1:7">
      <c r="A770" t="s">
        <v>20</v>
      </c>
      <c r="B770" t="s">
        <v>19</v>
      </c>
      <c r="C770" t="s">
        <v>214</v>
      </c>
      <c r="D770"/>
      <c r="E770" t="s">
        <v>2457</v>
      </c>
      <c r="F770"/>
      <c r="G770" s="107">
        <v>0</v>
      </c>
    </row>
    <row r="771" spans="1:7">
      <c r="A771" t="s">
        <v>20</v>
      </c>
      <c r="B771" t="s">
        <v>19</v>
      </c>
      <c r="C771" t="s">
        <v>227</v>
      </c>
      <c r="D771"/>
      <c r="E771" t="s">
        <v>2458</v>
      </c>
      <c r="F771"/>
      <c r="G771" s="107">
        <v>60000</v>
      </c>
    </row>
    <row r="772" spans="1:7">
      <c r="A772" t="s">
        <v>20</v>
      </c>
      <c r="B772" t="s">
        <v>19</v>
      </c>
      <c r="C772" t="s">
        <v>227</v>
      </c>
      <c r="D772"/>
      <c r="E772" t="s">
        <v>2459</v>
      </c>
      <c r="F772"/>
      <c r="G772" s="107">
        <v>5000</v>
      </c>
    </row>
    <row r="773" spans="1:7">
      <c r="A773" t="s">
        <v>20</v>
      </c>
      <c r="B773" t="s">
        <v>19</v>
      </c>
      <c r="C773" t="s">
        <v>227</v>
      </c>
      <c r="D773"/>
      <c r="E773" t="s">
        <v>2460</v>
      </c>
      <c r="F773"/>
      <c r="G773" s="107">
        <v>60000</v>
      </c>
    </row>
    <row r="774" spans="1:7">
      <c r="A774" s="128" t="s">
        <v>20</v>
      </c>
      <c r="B774" s="128" t="s">
        <v>2117</v>
      </c>
      <c r="C774" s="128"/>
      <c r="D774" s="128"/>
      <c r="E774" s="128" t="s">
        <v>568</v>
      </c>
      <c r="F774" s="128"/>
      <c r="G774" s="129">
        <v>60000</v>
      </c>
    </row>
    <row r="775" spans="1:7">
      <c r="A775" t="s">
        <v>20</v>
      </c>
      <c r="B775" t="s">
        <v>19</v>
      </c>
      <c r="C775" t="s">
        <v>214</v>
      </c>
      <c r="D775"/>
      <c r="E775" t="s">
        <v>569</v>
      </c>
      <c r="F775"/>
      <c r="G775" s="107">
        <v>0</v>
      </c>
    </row>
    <row r="776" spans="1:7">
      <c r="A776" t="s">
        <v>20</v>
      </c>
      <c r="B776" t="s">
        <v>19</v>
      </c>
      <c r="C776" t="s">
        <v>227</v>
      </c>
      <c r="D776"/>
      <c r="E776" t="s">
        <v>2461</v>
      </c>
      <c r="F776"/>
      <c r="G776" s="107">
        <v>60000</v>
      </c>
    </row>
    <row r="777" spans="1:7">
      <c r="A777" s="128" t="s">
        <v>20</v>
      </c>
      <c r="B777" s="128" t="s">
        <v>2117</v>
      </c>
      <c r="C777" s="128"/>
      <c r="D777" s="128"/>
      <c r="E777" s="128" t="s">
        <v>1493</v>
      </c>
      <c r="F777" s="128"/>
      <c r="G777" s="129">
        <v>66000</v>
      </c>
    </row>
    <row r="778" spans="1:7">
      <c r="A778" t="s">
        <v>20</v>
      </c>
      <c r="B778" t="s">
        <v>19</v>
      </c>
      <c r="C778" t="s">
        <v>214</v>
      </c>
      <c r="D778"/>
      <c r="E778" t="s">
        <v>1494</v>
      </c>
      <c r="F778"/>
      <c r="G778" s="107">
        <v>0</v>
      </c>
    </row>
    <row r="779" spans="1:7">
      <c r="A779" t="s">
        <v>20</v>
      </c>
      <c r="B779" t="s">
        <v>19</v>
      </c>
      <c r="C779" t="s">
        <v>234</v>
      </c>
      <c r="D779"/>
      <c r="E779" t="s">
        <v>1495</v>
      </c>
      <c r="F779"/>
      <c r="G779" s="107">
        <v>18000</v>
      </c>
    </row>
    <row r="780" spans="1:7">
      <c r="A780" t="s">
        <v>20</v>
      </c>
      <c r="B780" t="s">
        <v>19</v>
      </c>
      <c r="C780" t="s">
        <v>236</v>
      </c>
      <c r="D780"/>
      <c r="E780" t="s">
        <v>1496</v>
      </c>
      <c r="F780"/>
      <c r="G780" s="107">
        <v>42000</v>
      </c>
    </row>
    <row r="781" spans="1:7">
      <c r="A781" t="s">
        <v>20</v>
      </c>
      <c r="B781" t="s">
        <v>19</v>
      </c>
      <c r="C781" t="s">
        <v>238</v>
      </c>
      <c r="D781"/>
      <c r="E781" t="s">
        <v>2462</v>
      </c>
      <c r="F781"/>
      <c r="G781" s="107">
        <v>6000</v>
      </c>
    </row>
    <row r="782" spans="1:7">
      <c r="A782" s="128" t="s">
        <v>20</v>
      </c>
      <c r="B782" s="128" t="s">
        <v>2117</v>
      </c>
      <c r="C782" s="128"/>
      <c r="D782" s="128"/>
      <c r="E782" s="128" t="s">
        <v>2463</v>
      </c>
      <c r="F782" s="128"/>
      <c r="G782" s="129">
        <v>1000000</v>
      </c>
    </row>
    <row r="783" spans="1:7">
      <c r="A783" t="s">
        <v>20</v>
      </c>
      <c r="B783" t="s">
        <v>19</v>
      </c>
      <c r="C783" t="s">
        <v>214</v>
      </c>
      <c r="D783"/>
      <c r="E783" t="s">
        <v>2464</v>
      </c>
      <c r="F783"/>
      <c r="G783" s="107">
        <v>0</v>
      </c>
    </row>
    <row r="784" spans="1:7">
      <c r="A784" t="s">
        <v>20</v>
      </c>
      <c r="B784" t="s">
        <v>19</v>
      </c>
      <c r="C784" t="s">
        <v>214</v>
      </c>
      <c r="D784"/>
      <c r="E784" t="s">
        <v>2465</v>
      </c>
      <c r="F784"/>
      <c r="G784" s="107">
        <v>0</v>
      </c>
    </row>
    <row r="785" spans="1:7">
      <c r="A785" t="s">
        <v>20</v>
      </c>
      <c r="B785" t="s">
        <v>19</v>
      </c>
      <c r="C785" t="s">
        <v>236</v>
      </c>
      <c r="D785"/>
      <c r="E785" t="s">
        <v>2466</v>
      </c>
      <c r="F785"/>
      <c r="G785" s="107">
        <v>450000</v>
      </c>
    </row>
    <row r="786" spans="1:7">
      <c r="A786" t="s">
        <v>20</v>
      </c>
      <c r="B786" t="s">
        <v>19</v>
      </c>
      <c r="C786" t="s">
        <v>214</v>
      </c>
      <c r="D786"/>
      <c r="E786" t="s">
        <v>2467</v>
      </c>
      <c r="F786"/>
      <c r="G786" s="107">
        <v>0</v>
      </c>
    </row>
    <row r="787" spans="1:7">
      <c r="A787" t="s">
        <v>20</v>
      </c>
      <c r="B787" t="s">
        <v>19</v>
      </c>
      <c r="C787" t="s">
        <v>236</v>
      </c>
      <c r="D787"/>
      <c r="E787" t="s">
        <v>2468</v>
      </c>
      <c r="F787"/>
      <c r="G787" s="107">
        <v>70000</v>
      </c>
    </row>
    <row r="788" spans="1:7">
      <c r="A788" t="s">
        <v>20</v>
      </c>
      <c r="B788" t="s">
        <v>19</v>
      </c>
      <c r="C788" t="s">
        <v>214</v>
      </c>
      <c r="D788"/>
      <c r="E788" t="s">
        <v>2469</v>
      </c>
      <c r="F788"/>
      <c r="G788" s="107">
        <v>0</v>
      </c>
    </row>
    <row r="789" spans="1:7">
      <c r="A789" t="s">
        <v>20</v>
      </c>
      <c r="B789" t="s">
        <v>19</v>
      </c>
      <c r="C789" t="s">
        <v>236</v>
      </c>
      <c r="D789"/>
      <c r="E789" t="s">
        <v>2470</v>
      </c>
      <c r="F789"/>
      <c r="G789" s="107">
        <v>40000</v>
      </c>
    </row>
    <row r="790" spans="1:7">
      <c r="A790" t="s">
        <v>20</v>
      </c>
      <c r="B790" t="s">
        <v>19</v>
      </c>
      <c r="C790" t="s">
        <v>214</v>
      </c>
      <c r="D790"/>
      <c r="E790" t="s">
        <v>2471</v>
      </c>
      <c r="F790"/>
      <c r="G790" s="107">
        <v>0</v>
      </c>
    </row>
    <row r="791" spans="1:7">
      <c r="A791" t="s">
        <v>20</v>
      </c>
      <c r="B791" t="s">
        <v>19</v>
      </c>
      <c r="C791" t="s">
        <v>236</v>
      </c>
      <c r="D791"/>
      <c r="E791" t="s">
        <v>2472</v>
      </c>
      <c r="F791"/>
      <c r="G791" s="107">
        <v>20000</v>
      </c>
    </row>
    <row r="792" spans="1:7">
      <c r="A792" t="s">
        <v>20</v>
      </c>
      <c r="B792" t="s">
        <v>19</v>
      </c>
      <c r="C792" t="s">
        <v>214</v>
      </c>
      <c r="D792"/>
      <c r="E792" t="s">
        <v>2473</v>
      </c>
      <c r="F792"/>
      <c r="G792" s="107">
        <v>0</v>
      </c>
    </row>
    <row r="793" spans="1:7">
      <c r="A793" t="s">
        <v>20</v>
      </c>
      <c r="B793" t="s">
        <v>19</v>
      </c>
      <c r="C793" t="s">
        <v>236</v>
      </c>
      <c r="D793"/>
      <c r="E793" t="s">
        <v>2474</v>
      </c>
      <c r="F793"/>
      <c r="G793" s="107">
        <v>100000</v>
      </c>
    </row>
    <row r="794" spans="1:7">
      <c r="A794" t="s">
        <v>20</v>
      </c>
      <c r="B794" t="s">
        <v>19</v>
      </c>
      <c r="C794" t="s">
        <v>214</v>
      </c>
      <c r="D794"/>
      <c r="E794" t="s">
        <v>2475</v>
      </c>
      <c r="F794"/>
      <c r="G794" s="107">
        <v>0</v>
      </c>
    </row>
    <row r="795" spans="1:7">
      <c r="A795" t="s">
        <v>20</v>
      </c>
      <c r="B795" t="s">
        <v>19</v>
      </c>
      <c r="C795" t="s">
        <v>236</v>
      </c>
      <c r="D795"/>
      <c r="E795" t="s">
        <v>2476</v>
      </c>
      <c r="F795"/>
      <c r="G795" s="107">
        <v>15000</v>
      </c>
    </row>
    <row r="796" spans="1:7">
      <c r="A796" t="s">
        <v>20</v>
      </c>
      <c r="B796" t="s">
        <v>19</v>
      </c>
      <c r="C796" t="s">
        <v>214</v>
      </c>
      <c r="D796"/>
      <c r="E796" t="s">
        <v>2477</v>
      </c>
      <c r="F796"/>
      <c r="G796" s="107">
        <v>0</v>
      </c>
    </row>
    <row r="797" spans="1:7">
      <c r="A797" t="s">
        <v>20</v>
      </c>
      <c r="B797" t="s">
        <v>19</v>
      </c>
      <c r="C797" t="s">
        <v>236</v>
      </c>
      <c r="D797"/>
      <c r="E797" t="s">
        <v>2478</v>
      </c>
      <c r="F797"/>
      <c r="G797" s="107">
        <v>25000</v>
      </c>
    </row>
    <row r="798" spans="1:7">
      <c r="A798" t="s">
        <v>20</v>
      </c>
      <c r="B798" t="s">
        <v>19</v>
      </c>
      <c r="C798" t="s">
        <v>214</v>
      </c>
      <c r="D798"/>
      <c r="E798" t="s">
        <v>2479</v>
      </c>
      <c r="F798"/>
      <c r="G798" s="107">
        <v>0</v>
      </c>
    </row>
    <row r="799" spans="1:7">
      <c r="A799" t="s">
        <v>20</v>
      </c>
      <c r="B799" t="s">
        <v>19</v>
      </c>
      <c r="C799" t="s">
        <v>236</v>
      </c>
      <c r="D799"/>
      <c r="E799" t="s">
        <v>2480</v>
      </c>
      <c r="F799"/>
      <c r="G799" s="107">
        <v>20000</v>
      </c>
    </row>
    <row r="800" spans="1:7">
      <c r="A800" t="s">
        <v>20</v>
      </c>
      <c r="B800" t="s">
        <v>19</v>
      </c>
      <c r="C800" t="s">
        <v>214</v>
      </c>
      <c r="D800"/>
      <c r="E800" t="s">
        <v>2481</v>
      </c>
      <c r="F800"/>
      <c r="G800" s="107">
        <v>0</v>
      </c>
    </row>
    <row r="801" spans="1:7">
      <c r="A801" t="s">
        <v>20</v>
      </c>
      <c r="B801" t="s">
        <v>19</v>
      </c>
      <c r="C801" t="s">
        <v>236</v>
      </c>
      <c r="D801"/>
      <c r="E801" t="s">
        <v>2482</v>
      </c>
      <c r="F801"/>
      <c r="G801" s="107">
        <v>30000</v>
      </c>
    </row>
    <row r="802" spans="1:7">
      <c r="A802" t="s">
        <v>20</v>
      </c>
      <c r="B802" t="s">
        <v>19</v>
      </c>
      <c r="C802" t="s">
        <v>214</v>
      </c>
      <c r="D802"/>
      <c r="E802" t="s">
        <v>2483</v>
      </c>
      <c r="F802"/>
      <c r="G802" s="107">
        <v>0</v>
      </c>
    </row>
    <row r="803" spans="1:7">
      <c r="A803" t="s">
        <v>20</v>
      </c>
      <c r="B803" t="s">
        <v>19</v>
      </c>
      <c r="C803" t="s">
        <v>236</v>
      </c>
      <c r="D803"/>
      <c r="E803" t="s">
        <v>2484</v>
      </c>
      <c r="F803"/>
      <c r="G803" s="107">
        <v>20000</v>
      </c>
    </row>
    <row r="804" spans="1:7">
      <c r="A804" t="s">
        <v>20</v>
      </c>
      <c r="B804" t="s">
        <v>19</v>
      </c>
      <c r="C804" t="s">
        <v>214</v>
      </c>
      <c r="D804"/>
      <c r="E804" t="s">
        <v>2485</v>
      </c>
      <c r="F804"/>
      <c r="G804" s="107">
        <v>0</v>
      </c>
    </row>
    <row r="805" spans="1:7">
      <c r="A805" t="s">
        <v>20</v>
      </c>
      <c r="B805" t="s">
        <v>19</v>
      </c>
      <c r="C805" t="s">
        <v>236</v>
      </c>
      <c r="D805"/>
      <c r="E805" t="s">
        <v>2486</v>
      </c>
      <c r="F805"/>
      <c r="G805" s="107">
        <v>20000</v>
      </c>
    </row>
    <row r="806" spans="1:7">
      <c r="A806" t="s">
        <v>20</v>
      </c>
      <c r="B806" t="s">
        <v>19</v>
      </c>
      <c r="C806" t="s">
        <v>214</v>
      </c>
      <c r="D806"/>
      <c r="E806" t="s">
        <v>2487</v>
      </c>
      <c r="F806"/>
      <c r="G806" s="107">
        <v>0</v>
      </c>
    </row>
    <row r="807" spans="1:7">
      <c r="A807" t="s">
        <v>20</v>
      </c>
      <c r="B807" t="s">
        <v>19</v>
      </c>
      <c r="C807" t="s">
        <v>236</v>
      </c>
      <c r="D807"/>
      <c r="E807" t="s">
        <v>2488</v>
      </c>
      <c r="F807"/>
      <c r="G807" s="107">
        <v>30000</v>
      </c>
    </row>
    <row r="808" spans="1:7">
      <c r="A808" t="s">
        <v>20</v>
      </c>
      <c r="B808" t="s">
        <v>19</v>
      </c>
      <c r="C808" t="s">
        <v>214</v>
      </c>
      <c r="D808"/>
      <c r="E808" t="s">
        <v>2489</v>
      </c>
      <c r="F808"/>
      <c r="G808" s="107">
        <v>0</v>
      </c>
    </row>
    <row r="809" spans="1:7">
      <c r="A809" t="s">
        <v>20</v>
      </c>
      <c r="B809" t="s">
        <v>19</v>
      </c>
      <c r="C809" t="s">
        <v>236</v>
      </c>
      <c r="D809"/>
      <c r="E809" t="s">
        <v>2490</v>
      </c>
      <c r="F809"/>
      <c r="G809" s="107">
        <v>15000</v>
      </c>
    </row>
    <row r="810" spans="1:7">
      <c r="A810" t="s">
        <v>20</v>
      </c>
      <c r="B810" t="s">
        <v>19</v>
      </c>
      <c r="C810" t="s">
        <v>214</v>
      </c>
      <c r="D810"/>
      <c r="E810" t="s">
        <v>2491</v>
      </c>
      <c r="F810"/>
      <c r="G810" s="107">
        <v>0</v>
      </c>
    </row>
    <row r="811" spans="1:7">
      <c r="A811" t="s">
        <v>20</v>
      </c>
      <c r="B811" t="s">
        <v>19</v>
      </c>
      <c r="C811" t="s">
        <v>236</v>
      </c>
      <c r="D811"/>
      <c r="E811" t="s">
        <v>2492</v>
      </c>
      <c r="F811"/>
      <c r="G811" s="107">
        <v>10000</v>
      </c>
    </row>
    <row r="812" spans="1:7">
      <c r="A812" t="s">
        <v>20</v>
      </c>
      <c r="B812" t="s">
        <v>19</v>
      </c>
      <c r="C812" t="s">
        <v>214</v>
      </c>
      <c r="D812"/>
      <c r="E812" t="s">
        <v>2493</v>
      </c>
      <c r="F812"/>
      <c r="G812" s="107">
        <v>0</v>
      </c>
    </row>
    <row r="813" spans="1:7">
      <c r="A813" t="s">
        <v>20</v>
      </c>
      <c r="B813" t="s">
        <v>19</v>
      </c>
      <c r="C813" t="s">
        <v>236</v>
      </c>
      <c r="D813"/>
      <c r="E813" t="s">
        <v>2494</v>
      </c>
      <c r="F813"/>
      <c r="G813" s="107">
        <v>20000</v>
      </c>
    </row>
    <row r="814" spans="1:7">
      <c r="A814" t="s">
        <v>20</v>
      </c>
      <c r="B814" t="s">
        <v>19</v>
      </c>
      <c r="C814" t="s">
        <v>214</v>
      </c>
      <c r="D814"/>
      <c r="E814" t="s">
        <v>2495</v>
      </c>
      <c r="F814"/>
      <c r="G814" s="107">
        <v>0</v>
      </c>
    </row>
    <row r="815" spans="1:7">
      <c r="A815" t="s">
        <v>20</v>
      </c>
      <c r="B815" t="s">
        <v>19</v>
      </c>
      <c r="C815" t="s">
        <v>236</v>
      </c>
      <c r="D815"/>
      <c r="E815" t="s">
        <v>2496</v>
      </c>
      <c r="F815"/>
      <c r="G815" s="107">
        <v>10000</v>
      </c>
    </row>
    <row r="816" spans="1:7">
      <c r="A816" t="s">
        <v>20</v>
      </c>
      <c r="B816" t="s">
        <v>19</v>
      </c>
      <c r="C816" t="s">
        <v>214</v>
      </c>
      <c r="D816"/>
      <c r="E816" t="s">
        <v>2497</v>
      </c>
      <c r="F816"/>
      <c r="G816" s="107">
        <v>0</v>
      </c>
    </row>
    <row r="817" spans="1:7">
      <c r="A817" t="s">
        <v>20</v>
      </c>
      <c r="B817" t="s">
        <v>19</v>
      </c>
      <c r="C817" t="s">
        <v>236</v>
      </c>
      <c r="D817"/>
      <c r="E817" t="s">
        <v>2498</v>
      </c>
      <c r="F817"/>
      <c r="G817" s="107">
        <v>40000</v>
      </c>
    </row>
    <row r="818" spans="1:7">
      <c r="A818" t="s">
        <v>20</v>
      </c>
      <c r="B818" t="s">
        <v>19</v>
      </c>
      <c r="C818" t="s">
        <v>214</v>
      </c>
      <c r="D818"/>
      <c r="E818" t="s">
        <v>2499</v>
      </c>
      <c r="F818"/>
      <c r="G818" s="107">
        <v>0</v>
      </c>
    </row>
    <row r="819" spans="1:7">
      <c r="A819" t="s">
        <v>20</v>
      </c>
      <c r="B819" t="s">
        <v>19</v>
      </c>
      <c r="C819" t="s">
        <v>236</v>
      </c>
      <c r="D819"/>
      <c r="E819" t="s">
        <v>2500</v>
      </c>
      <c r="F819"/>
      <c r="G819" s="107">
        <v>65000</v>
      </c>
    </row>
    <row r="820" spans="1:7">
      <c r="A820" s="128" t="s">
        <v>20</v>
      </c>
      <c r="B820" s="128" t="s">
        <v>2117</v>
      </c>
      <c r="C820" s="128"/>
      <c r="D820" s="128"/>
      <c r="E820" s="128" t="s">
        <v>570</v>
      </c>
      <c r="F820" s="128"/>
      <c r="G820" s="129">
        <v>60000</v>
      </c>
    </row>
    <row r="821" spans="1:7">
      <c r="A821" t="s">
        <v>20</v>
      </c>
      <c r="B821" t="s">
        <v>19</v>
      </c>
      <c r="C821" t="s">
        <v>214</v>
      </c>
      <c r="D821"/>
      <c r="E821" t="s">
        <v>571</v>
      </c>
      <c r="F821"/>
      <c r="G821" s="107">
        <v>0</v>
      </c>
    </row>
    <row r="822" spans="1:7">
      <c r="A822" t="s">
        <v>20</v>
      </c>
      <c r="B822" t="s">
        <v>19</v>
      </c>
      <c r="C822" t="s">
        <v>236</v>
      </c>
      <c r="D822"/>
      <c r="E822" t="s">
        <v>2501</v>
      </c>
      <c r="F822"/>
      <c r="G822" s="107">
        <v>60000</v>
      </c>
    </row>
    <row r="823" spans="1:7">
      <c r="A823" s="163" t="s">
        <v>20</v>
      </c>
      <c r="B823" s="163" t="s">
        <v>8</v>
      </c>
      <c r="C823" s="163"/>
      <c r="D823" s="163"/>
      <c r="E823" s="163" t="s">
        <v>572</v>
      </c>
      <c r="F823" s="163"/>
      <c r="G823" s="164">
        <v>5268025</v>
      </c>
    </row>
    <row r="824" spans="1:7">
      <c r="A824" s="128" t="s">
        <v>20</v>
      </c>
      <c r="B824" s="128" t="s">
        <v>2117</v>
      </c>
      <c r="C824" s="128"/>
      <c r="D824" s="128"/>
      <c r="E824" s="128" t="s">
        <v>573</v>
      </c>
      <c r="F824" s="128"/>
      <c r="G824" s="129">
        <v>788425</v>
      </c>
    </row>
    <row r="825" spans="1:7">
      <c r="A825" t="s">
        <v>20</v>
      </c>
      <c r="B825" t="s">
        <v>19</v>
      </c>
      <c r="C825" t="s">
        <v>214</v>
      </c>
      <c r="D825"/>
      <c r="E825" t="s">
        <v>574</v>
      </c>
      <c r="F825"/>
      <c r="G825" s="107">
        <v>0</v>
      </c>
    </row>
    <row r="826" spans="1:7">
      <c r="A826" t="s">
        <v>20</v>
      </c>
      <c r="B826" t="s">
        <v>19</v>
      </c>
      <c r="C826" t="s">
        <v>234</v>
      </c>
      <c r="D826"/>
      <c r="E826" t="s">
        <v>575</v>
      </c>
      <c r="F826"/>
      <c r="G826" s="107">
        <v>124950</v>
      </c>
    </row>
    <row r="827" spans="1:7">
      <c r="A827" t="s">
        <v>20</v>
      </c>
      <c r="B827" t="s">
        <v>19</v>
      </c>
      <c r="C827" t="s">
        <v>236</v>
      </c>
      <c r="D827"/>
      <c r="E827" t="s">
        <v>576</v>
      </c>
      <c r="F827"/>
      <c r="G827" s="107">
        <v>124950</v>
      </c>
    </row>
    <row r="828" spans="1:7">
      <c r="A828" t="s">
        <v>20</v>
      </c>
      <c r="B828" t="s">
        <v>19</v>
      </c>
      <c r="C828" t="s">
        <v>238</v>
      </c>
      <c r="D828"/>
      <c r="E828" t="s">
        <v>577</v>
      </c>
      <c r="F828"/>
      <c r="G828" s="107">
        <v>35700</v>
      </c>
    </row>
    <row r="829" spans="1:7">
      <c r="A829" t="s">
        <v>20</v>
      </c>
      <c r="B829" t="s">
        <v>19</v>
      </c>
      <c r="C829" t="s">
        <v>214</v>
      </c>
      <c r="D829"/>
      <c r="E829" t="s">
        <v>578</v>
      </c>
      <c r="F829"/>
      <c r="G829" s="107">
        <v>0</v>
      </c>
    </row>
    <row r="830" spans="1:7">
      <c r="A830" t="s">
        <v>20</v>
      </c>
      <c r="B830" t="s">
        <v>19</v>
      </c>
      <c r="C830" t="s">
        <v>234</v>
      </c>
      <c r="D830"/>
      <c r="E830" t="s">
        <v>579</v>
      </c>
      <c r="F830"/>
      <c r="G830" s="107">
        <v>40000</v>
      </c>
    </row>
    <row r="831" spans="1:7">
      <c r="A831" t="s">
        <v>20</v>
      </c>
      <c r="B831" t="s">
        <v>19</v>
      </c>
      <c r="C831" t="s">
        <v>238</v>
      </c>
      <c r="D831"/>
      <c r="E831" t="s">
        <v>580</v>
      </c>
      <c r="F831"/>
      <c r="G831" s="107">
        <v>10000</v>
      </c>
    </row>
    <row r="832" spans="1:7">
      <c r="A832" t="s">
        <v>20</v>
      </c>
      <c r="B832" t="s">
        <v>19</v>
      </c>
      <c r="C832" t="s">
        <v>214</v>
      </c>
      <c r="D832"/>
      <c r="E832" t="s">
        <v>581</v>
      </c>
      <c r="F832"/>
      <c r="G832" s="107">
        <v>0</v>
      </c>
    </row>
    <row r="833" spans="1:9">
      <c r="A833" t="s">
        <v>20</v>
      </c>
      <c r="B833" t="s">
        <v>19</v>
      </c>
      <c r="C833" t="s">
        <v>234</v>
      </c>
      <c r="D833"/>
      <c r="E833" t="s">
        <v>582</v>
      </c>
      <c r="F833"/>
      <c r="G833" s="107">
        <v>44625</v>
      </c>
    </row>
    <row r="834" spans="1:9">
      <c r="A834" t="s">
        <v>20</v>
      </c>
      <c r="B834" t="s">
        <v>19</v>
      </c>
      <c r="C834" t="s">
        <v>236</v>
      </c>
      <c r="D834"/>
      <c r="E834" t="s">
        <v>583</v>
      </c>
      <c r="F834"/>
      <c r="G834" s="107">
        <v>62475</v>
      </c>
    </row>
    <row r="835" spans="1:9">
      <c r="A835" t="s">
        <v>20</v>
      </c>
      <c r="B835" t="s">
        <v>19</v>
      </c>
      <c r="C835" t="s">
        <v>238</v>
      </c>
      <c r="D835"/>
      <c r="E835" t="s">
        <v>584</v>
      </c>
      <c r="F835"/>
      <c r="G835" s="107">
        <v>8925</v>
      </c>
    </row>
    <row r="836" spans="1:9">
      <c r="A836" t="s">
        <v>20</v>
      </c>
      <c r="B836" t="s">
        <v>19</v>
      </c>
      <c r="C836" t="s">
        <v>214</v>
      </c>
      <c r="D836"/>
      <c r="E836" t="s">
        <v>585</v>
      </c>
      <c r="F836"/>
      <c r="G836" s="107">
        <v>0</v>
      </c>
    </row>
    <row r="837" spans="1:9">
      <c r="A837" t="s">
        <v>20</v>
      </c>
      <c r="B837" t="s">
        <v>19</v>
      </c>
      <c r="C837" t="s">
        <v>234</v>
      </c>
      <c r="D837"/>
      <c r="E837" t="s">
        <v>586</v>
      </c>
      <c r="F837"/>
      <c r="G837" s="107">
        <v>35700</v>
      </c>
    </row>
    <row r="838" spans="1:9">
      <c r="A838" t="s">
        <v>20</v>
      </c>
      <c r="B838" t="s">
        <v>19</v>
      </c>
      <c r="C838" t="s">
        <v>236</v>
      </c>
      <c r="D838"/>
      <c r="E838" t="s">
        <v>587</v>
      </c>
      <c r="F838"/>
      <c r="G838" s="107">
        <v>62475</v>
      </c>
    </row>
    <row r="839" spans="1:9">
      <c r="A839" t="s">
        <v>20</v>
      </c>
      <c r="B839" t="s">
        <v>19</v>
      </c>
      <c r="C839" t="s">
        <v>238</v>
      </c>
      <c r="D839"/>
      <c r="E839" t="s">
        <v>588</v>
      </c>
      <c r="F839"/>
      <c r="G839" s="107">
        <v>8925</v>
      </c>
    </row>
    <row r="840" spans="1:9">
      <c r="A840" t="s">
        <v>20</v>
      </c>
      <c r="B840" t="s">
        <v>19</v>
      </c>
      <c r="C840" t="s">
        <v>214</v>
      </c>
      <c r="D840"/>
      <c r="E840" t="s">
        <v>589</v>
      </c>
      <c r="F840"/>
      <c r="G840" s="107">
        <v>0</v>
      </c>
    </row>
    <row r="841" spans="1:9">
      <c r="A841" t="s">
        <v>20</v>
      </c>
      <c r="B841" t="s">
        <v>19</v>
      </c>
      <c r="C841" t="s">
        <v>234</v>
      </c>
      <c r="D841"/>
      <c r="E841" t="s">
        <v>590</v>
      </c>
      <c r="F841"/>
      <c r="G841" s="107">
        <v>29400</v>
      </c>
    </row>
    <row r="842" spans="1:9">
      <c r="A842" t="s">
        <v>20</v>
      </c>
      <c r="B842" t="s">
        <v>19</v>
      </c>
      <c r="C842" t="s">
        <v>236</v>
      </c>
      <c r="D842"/>
      <c r="E842" t="s">
        <v>591</v>
      </c>
      <c r="F842"/>
      <c r="G842" s="107">
        <v>51450</v>
      </c>
    </row>
    <row r="843" spans="1:9">
      <c r="A843" t="s">
        <v>20</v>
      </c>
      <c r="B843" t="s">
        <v>19</v>
      </c>
      <c r="C843" t="s">
        <v>238</v>
      </c>
      <c r="D843"/>
      <c r="E843" t="s">
        <v>1730</v>
      </c>
      <c r="F843"/>
      <c r="G843" s="107">
        <v>7350</v>
      </c>
    </row>
    <row r="844" spans="1:9">
      <c r="A844" t="s">
        <v>20</v>
      </c>
      <c r="B844" t="s">
        <v>19</v>
      </c>
      <c r="C844" t="s">
        <v>214</v>
      </c>
      <c r="D844"/>
      <c r="E844" t="s">
        <v>2502</v>
      </c>
      <c r="F844"/>
      <c r="G844" s="107">
        <v>0</v>
      </c>
    </row>
    <row r="845" spans="1:9">
      <c r="A845" t="s">
        <v>20</v>
      </c>
      <c r="B845" t="s">
        <v>19</v>
      </c>
      <c r="C845" t="s">
        <v>234</v>
      </c>
      <c r="D845"/>
      <c r="E845" t="s">
        <v>2503</v>
      </c>
      <c r="F845"/>
      <c r="G845" s="107">
        <v>22050</v>
      </c>
      <c r="I845" s="106"/>
    </row>
    <row r="846" spans="1:9">
      <c r="A846" t="s">
        <v>20</v>
      </c>
      <c r="B846" t="s">
        <v>19</v>
      </c>
      <c r="C846" t="s">
        <v>236</v>
      </c>
      <c r="D846"/>
      <c r="E846" t="s">
        <v>2504</v>
      </c>
      <c r="F846"/>
      <c r="G846" s="107">
        <v>51450</v>
      </c>
    </row>
    <row r="847" spans="1:9">
      <c r="A847" t="s">
        <v>20</v>
      </c>
      <c r="B847" t="s">
        <v>19</v>
      </c>
      <c r="C847" t="s">
        <v>214</v>
      </c>
      <c r="D847"/>
      <c r="E847" t="s">
        <v>2505</v>
      </c>
      <c r="F847"/>
      <c r="G847" s="107">
        <v>0</v>
      </c>
    </row>
    <row r="848" spans="1:9">
      <c r="A848" t="s">
        <v>20</v>
      </c>
      <c r="B848" t="s">
        <v>19</v>
      </c>
      <c r="C848" t="s">
        <v>1419</v>
      </c>
      <c r="D848"/>
      <c r="E848" t="s">
        <v>2506</v>
      </c>
      <c r="F848"/>
      <c r="G848" s="107">
        <v>8500</v>
      </c>
    </row>
    <row r="849" spans="1:7">
      <c r="A849" t="s">
        <v>20</v>
      </c>
      <c r="B849" t="s">
        <v>19</v>
      </c>
      <c r="C849" t="s">
        <v>1419</v>
      </c>
      <c r="D849"/>
      <c r="E849" t="s">
        <v>2507</v>
      </c>
      <c r="F849"/>
      <c r="G849" s="107">
        <v>17000</v>
      </c>
    </row>
    <row r="850" spans="1:7">
      <c r="A850" t="s">
        <v>20</v>
      </c>
      <c r="B850" t="s">
        <v>19</v>
      </c>
      <c r="C850" t="s">
        <v>1419</v>
      </c>
      <c r="D850"/>
      <c r="E850" t="s">
        <v>2508</v>
      </c>
      <c r="F850"/>
      <c r="G850" s="107">
        <v>8500</v>
      </c>
    </row>
    <row r="851" spans="1:7">
      <c r="A851" t="s">
        <v>20</v>
      </c>
      <c r="B851" t="s">
        <v>19</v>
      </c>
      <c r="C851" t="s">
        <v>214</v>
      </c>
      <c r="D851"/>
      <c r="E851" t="s">
        <v>2509</v>
      </c>
      <c r="F851"/>
      <c r="G851" s="107">
        <v>0</v>
      </c>
    </row>
    <row r="852" spans="1:7">
      <c r="A852" t="s">
        <v>20</v>
      </c>
      <c r="B852" t="s">
        <v>19</v>
      </c>
      <c r="C852" t="s">
        <v>1419</v>
      </c>
      <c r="D852"/>
      <c r="E852" t="s">
        <v>2510</v>
      </c>
      <c r="F852"/>
      <c r="G852" s="107">
        <v>8500</v>
      </c>
    </row>
    <row r="853" spans="1:7">
      <c r="A853" t="s">
        <v>20</v>
      </c>
      <c r="B853" t="s">
        <v>19</v>
      </c>
      <c r="C853" t="s">
        <v>1419</v>
      </c>
      <c r="D853"/>
      <c r="E853" t="s">
        <v>2511</v>
      </c>
      <c r="F853"/>
      <c r="G853" s="107">
        <v>17000</v>
      </c>
    </row>
    <row r="854" spans="1:7">
      <c r="A854" t="s">
        <v>20</v>
      </c>
      <c r="B854" t="s">
        <v>19</v>
      </c>
      <c r="C854" t="s">
        <v>1419</v>
      </c>
      <c r="D854"/>
      <c r="E854" t="s">
        <v>2512</v>
      </c>
      <c r="F854"/>
      <c r="G854" s="107">
        <v>8500</v>
      </c>
    </row>
    <row r="855" spans="1:7">
      <c r="A855" s="128" t="s">
        <v>20</v>
      </c>
      <c r="B855" s="128" t="s">
        <v>2117</v>
      </c>
      <c r="C855" s="128"/>
      <c r="D855" s="128"/>
      <c r="E855" s="128" t="s">
        <v>1497</v>
      </c>
      <c r="F855" s="128"/>
      <c r="G855" s="129">
        <v>88200</v>
      </c>
    </row>
    <row r="856" spans="1:7">
      <c r="A856" t="s">
        <v>20</v>
      </c>
      <c r="B856" t="s">
        <v>19</v>
      </c>
      <c r="C856" t="s">
        <v>214</v>
      </c>
      <c r="D856"/>
      <c r="E856" t="s">
        <v>1498</v>
      </c>
      <c r="F856"/>
      <c r="G856" s="107">
        <v>0</v>
      </c>
    </row>
    <row r="857" spans="1:7">
      <c r="A857" t="s">
        <v>20</v>
      </c>
      <c r="B857" t="s">
        <v>19</v>
      </c>
      <c r="C857" t="s">
        <v>234</v>
      </c>
      <c r="D857"/>
      <c r="E857" t="s">
        <v>1499</v>
      </c>
      <c r="F857"/>
      <c r="G857" s="107">
        <v>21000</v>
      </c>
    </row>
    <row r="858" spans="1:7">
      <c r="A858" t="s">
        <v>20</v>
      </c>
      <c r="B858" t="s">
        <v>19</v>
      </c>
      <c r="C858" t="s">
        <v>236</v>
      </c>
      <c r="D858"/>
      <c r="E858" t="s">
        <v>1500</v>
      </c>
      <c r="F858"/>
      <c r="G858" s="107">
        <v>58800</v>
      </c>
    </row>
    <row r="859" spans="1:7">
      <c r="A859" t="s">
        <v>20</v>
      </c>
      <c r="B859" t="s">
        <v>19</v>
      </c>
      <c r="C859" t="s">
        <v>238</v>
      </c>
      <c r="D859"/>
      <c r="E859" t="s">
        <v>2513</v>
      </c>
      <c r="F859"/>
      <c r="G859" s="107">
        <v>8400</v>
      </c>
    </row>
    <row r="860" spans="1:7">
      <c r="A860" s="128" t="s">
        <v>20</v>
      </c>
      <c r="B860" s="128" t="s">
        <v>2117</v>
      </c>
      <c r="C860" s="128"/>
      <c r="D860" s="128"/>
      <c r="E860" s="128" t="s">
        <v>592</v>
      </c>
      <c r="F860" s="128"/>
      <c r="G860" s="129">
        <v>358650</v>
      </c>
    </row>
    <row r="861" spans="1:7">
      <c r="A861" t="s">
        <v>20</v>
      </c>
      <c r="B861" t="s">
        <v>19</v>
      </c>
      <c r="C861" t="s">
        <v>214</v>
      </c>
      <c r="D861"/>
      <c r="E861" t="s">
        <v>593</v>
      </c>
      <c r="F861"/>
      <c r="G861" s="107">
        <v>0</v>
      </c>
    </row>
    <row r="862" spans="1:7">
      <c r="A862" t="s">
        <v>20</v>
      </c>
      <c r="B862" t="s">
        <v>19</v>
      </c>
      <c r="C862" t="s">
        <v>234</v>
      </c>
      <c r="D862"/>
      <c r="E862" t="s">
        <v>594</v>
      </c>
      <c r="F862"/>
      <c r="G862" s="107">
        <v>23625</v>
      </c>
    </row>
    <row r="863" spans="1:7">
      <c r="A863" t="s">
        <v>20</v>
      </c>
      <c r="B863" t="s">
        <v>19</v>
      </c>
      <c r="C863" t="s">
        <v>236</v>
      </c>
      <c r="D863"/>
      <c r="E863" t="s">
        <v>595</v>
      </c>
      <c r="F863"/>
      <c r="G863" s="107">
        <v>55125</v>
      </c>
    </row>
    <row r="864" spans="1:7">
      <c r="A864" t="s">
        <v>20</v>
      </c>
      <c r="B864" t="s">
        <v>19</v>
      </c>
      <c r="C864" t="s">
        <v>238</v>
      </c>
      <c r="D864"/>
      <c r="E864" t="s">
        <v>596</v>
      </c>
      <c r="F864"/>
      <c r="G864" s="107">
        <v>7875</v>
      </c>
    </row>
    <row r="865" spans="1:7">
      <c r="A865" t="s">
        <v>20</v>
      </c>
      <c r="B865" t="s">
        <v>19</v>
      </c>
      <c r="C865" t="s">
        <v>214</v>
      </c>
      <c r="D865"/>
      <c r="E865" t="s">
        <v>597</v>
      </c>
      <c r="F865"/>
      <c r="G865" s="107">
        <v>0</v>
      </c>
    </row>
    <row r="866" spans="1:7">
      <c r="A866" t="s">
        <v>20</v>
      </c>
      <c r="B866" t="s">
        <v>19</v>
      </c>
      <c r="C866" t="s">
        <v>234</v>
      </c>
      <c r="D866"/>
      <c r="E866" t="s">
        <v>598</v>
      </c>
      <c r="F866"/>
      <c r="G866" s="107">
        <v>15750</v>
      </c>
    </row>
    <row r="867" spans="1:7">
      <c r="A867" t="s">
        <v>20</v>
      </c>
      <c r="B867" t="s">
        <v>19</v>
      </c>
      <c r="C867" t="s">
        <v>236</v>
      </c>
      <c r="D867"/>
      <c r="E867" t="s">
        <v>599</v>
      </c>
      <c r="F867"/>
      <c r="G867" s="107">
        <v>55125</v>
      </c>
    </row>
    <row r="868" spans="1:7">
      <c r="A868" t="s">
        <v>20</v>
      </c>
      <c r="B868" t="s">
        <v>19</v>
      </c>
      <c r="C868" t="s">
        <v>238</v>
      </c>
      <c r="D868"/>
      <c r="E868" t="s">
        <v>600</v>
      </c>
      <c r="F868"/>
      <c r="G868" s="107">
        <v>7875</v>
      </c>
    </row>
    <row r="869" spans="1:7">
      <c r="A869" t="s">
        <v>20</v>
      </c>
      <c r="B869" t="s">
        <v>19</v>
      </c>
      <c r="C869" t="s">
        <v>214</v>
      </c>
      <c r="D869"/>
      <c r="E869" t="s">
        <v>601</v>
      </c>
      <c r="F869"/>
      <c r="G869" s="107">
        <v>0</v>
      </c>
    </row>
    <row r="870" spans="1:7">
      <c r="A870" t="s">
        <v>20</v>
      </c>
      <c r="B870" t="s">
        <v>19</v>
      </c>
      <c r="C870" t="s">
        <v>234</v>
      </c>
      <c r="D870"/>
      <c r="E870" t="s">
        <v>602</v>
      </c>
      <c r="F870"/>
      <c r="G870" s="107">
        <v>7875</v>
      </c>
    </row>
    <row r="871" spans="1:7">
      <c r="A871" t="s">
        <v>20</v>
      </c>
      <c r="B871" t="s">
        <v>19</v>
      </c>
      <c r="C871" t="s">
        <v>236</v>
      </c>
      <c r="D871"/>
      <c r="E871" t="s">
        <v>603</v>
      </c>
      <c r="F871"/>
      <c r="G871" s="107">
        <v>55125</v>
      </c>
    </row>
    <row r="872" spans="1:7">
      <c r="A872" t="s">
        <v>20</v>
      </c>
      <c r="B872" t="s">
        <v>19</v>
      </c>
      <c r="C872" t="s">
        <v>238</v>
      </c>
      <c r="D872"/>
      <c r="E872" t="s">
        <v>604</v>
      </c>
      <c r="F872"/>
      <c r="G872" s="107">
        <v>7875</v>
      </c>
    </row>
    <row r="873" spans="1:7">
      <c r="A873" t="s">
        <v>20</v>
      </c>
      <c r="B873" t="s">
        <v>19</v>
      </c>
      <c r="C873" t="s">
        <v>214</v>
      </c>
      <c r="D873"/>
      <c r="E873" t="s">
        <v>605</v>
      </c>
      <c r="F873"/>
      <c r="G873" s="107">
        <v>0</v>
      </c>
    </row>
    <row r="874" spans="1:7">
      <c r="A874" t="s">
        <v>20</v>
      </c>
      <c r="B874" t="s">
        <v>19</v>
      </c>
      <c r="C874" t="s">
        <v>234</v>
      </c>
      <c r="D874"/>
      <c r="E874" t="s">
        <v>606</v>
      </c>
      <c r="F874"/>
      <c r="G874" s="107">
        <v>31200</v>
      </c>
    </row>
    <row r="875" spans="1:7">
      <c r="A875" t="s">
        <v>20</v>
      </c>
      <c r="B875" t="s">
        <v>19</v>
      </c>
      <c r="C875" t="s">
        <v>238</v>
      </c>
      <c r="D875"/>
      <c r="E875" t="s">
        <v>607</v>
      </c>
      <c r="F875"/>
      <c r="G875" s="107">
        <v>31200</v>
      </c>
    </row>
    <row r="876" spans="1:7">
      <c r="A876" t="s">
        <v>20</v>
      </c>
      <c r="B876" t="s">
        <v>19</v>
      </c>
      <c r="C876" t="s">
        <v>214</v>
      </c>
      <c r="D876"/>
      <c r="E876" t="s">
        <v>2514</v>
      </c>
      <c r="F876"/>
      <c r="G876" s="107">
        <v>0</v>
      </c>
    </row>
    <row r="877" spans="1:7">
      <c r="A877" t="s">
        <v>20</v>
      </c>
      <c r="B877" t="s">
        <v>19</v>
      </c>
      <c r="C877" t="s">
        <v>1419</v>
      </c>
      <c r="D877"/>
      <c r="E877" t="s">
        <v>2515</v>
      </c>
      <c r="F877"/>
      <c r="G877" s="107">
        <v>7500</v>
      </c>
    </row>
    <row r="878" spans="1:7">
      <c r="A878" t="s">
        <v>20</v>
      </c>
      <c r="B878" t="s">
        <v>19</v>
      </c>
      <c r="C878" t="s">
        <v>1419</v>
      </c>
      <c r="D878"/>
      <c r="E878" t="s">
        <v>2516</v>
      </c>
      <c r="F878"/>
      <c r="G878" s="107">
        <v>15000</v>
      </c>
    </row>
    <row r="879" spans="1:7">
      <c r="A879" t="s">
        <v>20</v>
      </c>
      <c r="B879" t="s">
        <v>19</v>
      </c>
      <c r="C879" t="s">
        <v>1419</v>
      </c>
      <c r="D879"/>
      <c r="E879" t="s">
        <v>2517</v>
      </c>
      <c r="F879"/>
      <c r="G879" s="107">
        <v>7500</v>
      </c>
    </row>
    <row r="880" spans="1:7">
      <c r="A880" t="s">
        <v>20</v>
      </c>
      <c r="B880" t="s">
        <v>19</v>
      </c>
      <c r="C880" t="s">
        <v>214</v>
      </c>
      <c r="D880"/>
      <c r="E880" t="s">
        <v>2518</v>
      </c>
      <c r="F880"/>
      <c r="G880" s="107">
        <v>0</v>
      </c>
    </row>
    <row r="881" spans="1:7">
      <c r="A881" t="s">
        <v>20</v>
      </c>
      <c r="B881" t="s">
        <v>19</v>
      </c>
      <c r="C881" t="s">
        <v>1419</v>
      </c>
      <c r="D881"/>
      <c r="E881" t="s">
        <v>2519</v>
      </c>
      <c r="F881"/>
      <c r="G881" s="107">
        <v>7500</v>
      </c>
    </row>
    <row r="882" spans="1:7">
      <c r="A882" t="s">
        <v>20</v>
      </c>
      <c r="B882" t="s">
        <v>19</v>
      </c>
      <c r="C882" t="s">
        <v>1419</v>
      </c>
      <c r="D882"/>
      <c r="E882" t="s">
        <v>2520</v>
      </c>
      <c r="F882"/>
      <c r="G882" s="107">
        <v>15000</v>
      </c>
    </row>
    <row r="883" spans="1:7">
      <c r="A883" t="s">
        <v>20</v>
      </c>
      <c r="B883" t="s">
        <v>19</v>
      </c>
      <c r="C883" t="s">
        <v>1419</v>
      </c>
      <c r="D883"/>
      <c r="E883" t="s">
        <v>2521</v>
      </c>
      <c r="F883"/>
      <c r="G883" s="107">
        <v>7500</v>
      </c>
    </row>
    <row r="884" spans="1:7">
      <c r="A884" s="128" t="s">
        <v>20</v>
      </c>
      <c r="B884" s="128" t="s">
        <v>2117</v>
      </c>
      <c r="C884" s="128"/>
      <c r="D884" s="128"/>
      <c r="E884" s="128" t="s">
        <v>1803</v>
      </c>
      <c r="F884" s="128"/>
      <c r="G884" s="129">
        <v>301020</v>
      </c>
    </row>
    <row r="885" spans="1:7">
      <c r="A885" t="s">
        <v>20</v>
      </c>
      <c r="B885" t="s">
        <v>19</v>
      </c>
      <c r="C885" t="s">
        <v>214</v>
      </c>
      <c r="D885"/>
      <c r="E885" t="s">
        <v>1804</v>
      </c>
      <c r="F885"/>
      <c r="G885" s="107">
        <v>0</v>
      </c>
    </row>
    <row r="886" spans="1:7">
      <c r="A886" t="s">
        <v>20</v>
      </c>
      <c r="B886" t="s">
        <v>19</v>
      </c>
      <c r="C886" t="s">
        <v>234</v>
      </c>
      <c r="D886"/>
      <c r="E886" t="s">
        <v>1805</v>
      </c>
      <c r="F886"/>
      <c r="G886" s="107">
        <v>10290</v>
      </c>
    </row>
    <row r="887" spans="1:7">
      <c r="A887" t="s">
        <v>20</v>
      </c>
      <c r="B887" t="s">
        <v>19</v>
      </c>
      <c r="C887" t="s">
        <v>236</v>
      </c>
      <c r="D887"/>
      <c r="E887" t="s">
        <v>1806</v>
      </c>
      <c r="F887"/>
      <c r="G887" s="107">
        <v>72030</v>
      </c>
    </row>
    <row r="888" spans="1:7">
      <c r="A888" t="s">
        <v>20</v>
      </c>
      <c r="B888" t="s">
        <v>19</v>
      </c>
      <c r="C888" t="s">
        <v>214</v>
      </c>
      <c r="D888"/>
      <c r="E888" t="s">
        <v>1807</v>
      </c>
      <c r="F888"/>
      <c r="G888" s="107">
        <v>0</v>
      </c>
    </row>
    <row r="889" spans="1:7">
      <c r="A889" t="s">
        <v>20</v>
      </c>
      <c r="B889" t="s">
        <v>19</v>
      </c>
      <c r="C889" t="s">
        <v>234</v>
      </c>
      <c r="D889"/>
      <c r="E889" t="s">
        <v>1808</v>
      </c>
      <c r="F889"/>
      <c r="G889" s="107">
        <v>8400</v>
      </c>
    </row>
    <row r="890" spans="1:7">
      <c r="A890" t="s">
        <v>20</v>
      </c>
      <c r="B890" t="s">
        <v>19</v>
      </c>
      <c r="C890" t="s">
        <v>236</v>
      </c>
      <c r="D890"/>
      <c r="E890" t="s">
        <v>1809</v>
      </c>
      <c r="F890"/>
      <c r="G890" s="107">
        <v>58800</v>
      </c>
    </row>
    <row r="891" spans="1:7">
      <c r="A891" t="s">
        <v>20</v>
      </c>
      <c r="B891" t="s">
        <v>19</v>
      </c>
      <c r="C891" t="s">
        <v>214</v>
      </c>
      <c r="D891"/>
      <c r="E891" t="s">
        <v>1810</v>
      </c>
      <c r="F891"/>
      <c r="G891" s="107">
        <v>0</v>
      </c>
    </row>
    <row r="892" spans="1:7">
      <c r="A892" t="s">
        <v>20</v>
      </c>
      <c r="B892" t="s">
        <v>19</v>
      </c>
      <c r="C892" t="s">
        <v>1419</v>
      </c>
      <c r="D892"/>
      <c r="E892" t="s">
        <v>1811</v>
      </c>
      <c r="F892"/>
      <c r="G892" s="107">
        <v>8000</v>
      </c>
    </row>
    <row r="893" spans="1:7">
      <c r="A893" t="s">
        <v>20</v>
      </c>
      <c r="B893" t="s">
        <v>19</v>
      </c>
      <c r="C893" t="s">
        <v>1419</v>
      </c>
      <c r="D893"/>
      <c r="E893" t="s">
        <v>1812</v>
      </c>
      <c r="F893"/>
      <c r="G893" s="107">
        <v>16000</v>
      </c>
    </row>
    <row r="894" spans="1:7">
      <c r="A894" t="s">
        <v>20</v>
      </c>
      <c r="B894" t="s">
        <v>19</v>
      </c>
      <c r="C894" t="s">
        <v>1419</v>
      </c>
      <c r="D894"/>
      <c r="E894" t="s">
        <v>1813</v>
      </c>
      <c r="F894"/>
      <c r="G894" s="107">
        <v>0</v>
      </c>
    </row>
    <row r="895" spans="1:7">
      <c r="A895" t="s">
        <v>20</v>
      </c>
      <c r="B895" t="s">
        <v>19</v>
      </c>
      <c r="C895" t="s">
        <v>214</v>
      </c>
      <c r="D895"/>
      <c r="E895" t="s">
        <v>2522</v>
      </c>
      <c r="F895"/>
      <c r="G895" s="107">
        <v>0</v>
      </c>
    </row>
    <row r="896" spans="1:7">
      <c r="A896" t="s">
        <v>20</v>
      </c>
      <c r="B896" t="s">
        <v>19</v>
      </c>
      <c r="C896" t="s">
        <v>1419</v>
      </c>
      <c r="D896"/>
      <c r="E896" t="s">
        <v>2523</v>
      </c>
      <c r="F896"/>
      <c r="G896" s="107">
        <v>7500</v>
      </c>
    </row>
    <row r="897" spans="1:7">
      <c r="A897" t="s">
        <v>20</v>
      </c>
      <c r="B897" t="s">
        <v>19</v>
      </c>
      <c r="C897" t="s">
        <v>1419</v>
      </c>
      <c r="D897"/>
      <c r="E897" t="s">
        <v>2524</v>
      </c>
      <c r="F897"/>
      <c r="G897" s="107">
        <v>15000</v>
      </c>
    </row>
    <row r="898" spans="1:7">
      <c r="A898" t="s">
        <v>20</v>
      </c>
      <c r="B898" t="s">
        <v>19</v>
      </c>
      <c r="C898" t="s">
        <v>1419</v>
      </c>
      <c r="D898"/>
      <c r="E898" t="s">
        <v>2525</v>
      </c>
      <c r="F898"/>
      <c r="G898" s="107">
        <v>0</v>
      </c>
    </row>
    <row r="899" spans="1:7">
      <c r="A899" t="s">
        <v>20</v>
      </c>
      <c r="B899" t="s">
        <v>19</v>
      </c>
      <c r="C899" t="s">
        <v>214</v>
      </c>
      <c r="D899"/>
      <c r="E899" t="s">
        <v>2526</v>
      </c>
      <c r="F899"/>
      <c r="G899" s="107">
        <v>0</v>
      </c>
    </row>
    <row r="900" spans="1:7">
      <c r="A900" t="s">
        <v>20</v>
      </c>
      <c r="B900" t="s">
        <v>19</v>
      </c>
      <c r="C900" t="s">
        <v>236</v>
      </c>
      <c r="D900"/>
      <c r="E900" t="s">
        <v>2527</v>
      </c>
      <c r="F900"/>
      <c r="G900" s="107">
        <v>105000</v>
      </c>
    </row>
    <row r="901" spans="1:7">
      <c r="A901" s="128" t="s">
        <v>20</v>
      </c>
      <c r="B901" s="128" t="s">
        <v>2117</v>
      </c>
      <c r="C901" s="128"/>
      <c r="D901" s="128"/>
      <c r="E901" s="128" t="s">
        <v>608</v>
      </c>
      <c r="F901" s="128"/>
      <c r="G901" s="129">
        <v>144000</v>
      </c>
    </row>
    <row r="902" spans="1:7">
      <c r="A902" t="s">
        <v>20</v>
      </c>
      <c r="B902" t="s">
        <v>19</v>
      </c>
      <c r="C902" t="s">
        <v>214</v>
      </c>
      <c r="D902"/>
      <c r="E902" t="s">
        <v>609</v>
      </c>
      <c r="F902"/>
      <c r="G902" s="107">
        <v>0</v>
      </c>
    </row>
    <row r="903" spans="1:7">
      <c r="A903" t="s">
        <v>20</v>
      </c>
      <c r="B903" t="s">
        <v>19</v>
      </c>
      <c r="C903" t="s">
        <v>227</v>
      </c>
      <c r="D903"/>
      <c r="E903" t="s">
        <v>610</v>
      </c>
      <c r="F903"/>
      <c r="G903" s="107">
        <v>100000</v>
      </c>
    </row>
    <row r="904" spans="1:7">
      <c r="A904" t="s">
        <v>20</v>
      </c>
      <c r="B904" t="s">
        <v>19</v>
      </c>
      <c r="C904" t="s">
        <v>227</v>
      </c>
      <c r="D904"/>
      <c r="E904" t="s">
        <v>2528</v>
      </c>
      <c r="F904"/>
      <c r="G904" s="107">
        <v>44000</v>
      </c>
    </row>
    <row r="905" spans="1:7">
      <c r="A905" s="128" t="s">
        <v>20</v>
      </c>
      <c r="B905" s="128" t="s">
        <v>2117</v>
      </c>
      <c r="C905" s="128"/>
      <c r="D905" s="128"/>
      <c r="E905" s="128" t="s">
        <v>1501</v>
      </c>
      <c r="F905" s="128"/>
      <c r="G905" s="129">
        <v>120000</v>
      </c>
    </row>
    <row r="906" spans="1:7">
      <c r="A906" t="s">
        <v>20</v>
      </c>
      <c r="B906" t="s">
        <v>19</v>
      </c>
      <c r="C906" t="s">
        <v>214</v>
      </c>
      <c r="D906"/>
      <c r="E906" t="s">
        <v>1502</v>
      </c>
      <c r="F906"/>
      <c r="G906" s="107">
        <v>0</v>
      </c>
    </row>
    <row r="907" spans="1:7">
      <c r="A907" t="s">
        <v>20</v>
      </c>
      <c r="B907" t="s">
        <v>19</v>
      </c>
      <c r="C907" t="s">
        <v>234</v>
      </c>
      <c r="D907"/>
      <c r="E907" t="s">
        <v>1503</v>
      </c>
      <c r="F907"/>
      <c r="G907" s="107">
        <v>45000</v>
      </c>
    </row>
    <row r="908" spans="1:7">
      <c r="A908" t="s">
        <v>20</v>
      </c>
      <c r="B908" t="s">
        <v>19</v>
      </c>
      <c r="C908" t="s">
        <v>236</v>
      </c>
      <c r="D908"/>
      <c r="E908" t="s">
        <v>1504</v>
      </c>
      <c r="F908"/>
      <c r="G908" s="107">
        <v>63000</v>
      </c>
    </row>
    <row r="909" spans="1:7">
      <c r="A909" t="s">
        <v>20</v>
      </c>
      <c r="B909" t="s">
        <v>19</v>
      </c>
      <c r="C909" t="s">
        <v>238</v>
      </c>
      <c r="D909"/>
      <c r="E909" t="s">
        <v>2529</v>
      </c>
      <c r="F909"/>
      <c r="G909" s="107">
        <v>12000</v>
      </c>
    </row>
    <row r="910" spans="1:7">
      <c r="A910" s="128" t="s">
        <v>20</v>
      </c>
      <c r="B910" s="128" t="s">
        <v>2117</v>
      </c>
      <c r="C910" s="128"/>
      <c r="D910" s="128"/>
      <c r="E910" s="128" t="s">
        <v>611</v>
      </c>
      <c r="F910" s="128"/>
      <c r="G910" s="129">
        <v>3001630</v>
      </c>
    </row>
    <row r="911" spans="1:7">
      <c r="A911" t="s">
        <v>20</v>
      </c>
      <c r="B911" t="s">
        <v>19</v>
      </c>
      <c r="C911" t="s">
        <v>214</v>
      </c>
      <c r="D911"/>
      <c r="E911" t="s">
        <v>612</v>
      </c>
      <c r="F911"/>
      <c r="G911" s="107">
        <v>0</v>
      </c>
    </row>
    <row r="912" spans="1:7">
      <c r="A912" t="s">
        <v>20</v>
      </c>
      <c r="B912" t="s">
        <v>19</v>
      </c>
      <c r="C912" t="s">
        <v>236</v>
      </c>
      <c r="D912"/>
      <c r="E912" t="s">
        <v>1505</v>
      </c>
      <c r="F912"/>
      <c r="G912" s="107">
        <v>978000</v>
      </c>
    </row>
    <row r="913" spans="1:7">
      <c r="A913" t="s">
        <v>20</v>
      </c>
      <c r="B913" t="s">
        <v>19</v>
      </c>
      <c r="C913" t="s">
        <v>214</v>
      </c>
      <c r="D913"/>
      <c r="E913" t="s">
        <v>1506</v>
      </c>
      <c r="F913"/>
      <c r="G913" s="107">
        <v>0</v>
      </c>
    </row>
    <row r="914" spans="1:7">
      <c r="A914" t="s">
        <v>20</v>
      </c>
      <c r="B914" t="s">
        <v>19</v>
      </c>
      <c r="C914" t="s">
        <v>236</v>
      </c>
      <c r="D914"/>
      <c r="E914" t="s">
        <v>1507</v>
      </c>
      <c r="F914"/>
      <c r="G914" s="107">
        <v>350000</v>
      </c>
    </row>
    <row r="915" spans="1:7">
      <c r="A915" t="s">
        <v>20</v>
      </c>
      <c r="B915" t="s">
        <v>19</v>
      </c>
      <c r="C915" t="s">
        <v>214</v>
      </c>
      <c r="D915"/>
      <c r="E915" t="s">
        <v>1508</v>
      </c>
      <c r="F915"/>
      <c r="G915" s="107">
        <v>0</v>
      </c>
    </row>
    <row r="916" spans="1:7">
      <c r="A916" t="s">
        <v>20</v>
      </c>
      <c r="B916" t="s">
        <v>19</v>
      </c>
      <c r="C916" t="s">
        <v>236</v>
      </c>
      <c r="D916"/>
      <c r="E916" t="s">
        <v>1509</v>
      </c>
      <c r="F916"/>
      <c r="G916" s="107">
        <v>60000</v>
      </c>
    </row>
    <row r="917" spans="1:7">
      <c r="A917" t="s">
        <v>20</v>
      </c>
      <c r="B917" t="s">
        <v>19</v>
      </c>
      <c r="C917" t="s">
        <v>214</v>
      </c>
      <c r="D917"/>
      <c r="E917" t="s">
        <v>1510</v>
      </c>
      <c r="F917"/>
      <c r="G917" s="107">
        <v>0</v>
      </c>
    </row>
    <row r="918" spans="1:7">
      <c r="A918" t="s">
        <v>20</v>
      </c>
      <c r="B918" t="s">
        <v>19</v>
      </c>
      <c r="C918" t="s">
        <v>236</v>
      </c>
      <c r="D918"/>
      <c r="E918" t="s">
        <v>1511</v>
      </c>
      <c r="F918"/>
      <c r="G918" s="107">
        <v>40000</v>
      </c>
    </row>
    <row r="919" spans="1:7">
      <c r="A919" t="s">
        <v>20</v>
      </c>
      <c r="B919" t="s">
        <v>19</v>
      </c>
      <c r="C919" t="s">
        <v>214</v>
      </c>
      <c r="D919"/>
      <c r="E919" t="s">
        <v>1512</v>
      </c>
      <c r="F919"/>
      <c r="G919" s="107">
        <v>0</v>
      </c>
    </row>
    <row r="920" spans="1:7">
      <c r="A920" t="s">
        <v>20</v>
      </c>
      <c r="B920" t="s">
        <v>19</v>
      </c>
      <c r="C920" t="s">
        <v>236</v>
      </c>
      <c r="D920"/>
      <c r="E920" t="s">
        <v>1513</v>
      </c>
      <c r="F920"/>
      <c r="G920" s="107">
        <v>30000</v>
      </c>
    </row>
    <row r="921" spans="1:7">
      <c r="A921" t="s">
        <v>20</v>
      </c>
      <c r="B921" t="s">
        <v>19</v>
      </c>
      <c r="C921" t="s">
        <v>214</v>
      </c>
      <c r="D921"/>
      <c r="E921" t="s">
        <v>1514</v>
      </c>
      <c r="F921"/>
      <c r="G921" s="107">
        <v>0</v>
      </c>
    </row>
    <row r="922" spans="1:7">
      <c r="A922" t="s">
        <v>20</v>
      </c>
      <c r="B922" t="s">
        <v>19</v>
      </c>
      <c r="C922" t="s">
        <v>236</v>
      </c>
      <c r="D922"/>
      <c r="E922" t="s">
        <v>1515</v>
      </c>
      <c r="F922"/>
      <c r="G922" s="107">
        <v>100000</v>
      </c>
    </row>
    <row r="923" spans="1:7">
      <c r="A923" t="s">
        <v>20</v>
      </c>
      <c r="B923" t="s">
        <v>19</v>
      </c>
      <c r="C923" t="s">
        <v>214</v>
      </c>
      <c r="D923"/>
      <c r="E923" t="s">
        <v>1516</v>
      </c>
      <c r="F923"/>
      <c r="G923" s="107">
        <v>0</v>
      </c>
    </row>
    <row r="924" spans="1:7">
      <c r="A924" t="s">
        <v>20</v>
      </c>
      <c r="B924" t="s">
        <v>19</v>
      </c>
      <c r="C924" t="s">
        <v>236</v>
      </c>
      <c r="D924"/>
      <c r="E924" t="s">
        <v>1517</v>
      </c>
      <c r="F924"/>
      <c r="G924" s="107">
        <v>60000</v>
      </c>
    </row>
    <row r="925" spans="1:7">
      <c r="A925" t="s">
        <v>20</v>
      </c>
      <c r="B925" t="s">
        <v>19</v>
      </c>
      <c r="C925" t="s">
        <v>214</v>
      </c>
      <c r="D925"/>
      <c r="E925" t="s">
        <v>1518</v>
      </c>
      <c r="F925"/>
      <c r="G925" s="107">
        <v>0</v>
      </c>
    </row>
    <row r="926" spans="1:7">
      <c r="A926" t="s">
        <v>20</v>
      </c>
      <c r="B926" t="s">
        <v>19</v>
      </c>
      <c r="C926" t="s">
        <v>236</v>
      </c>
      <c r="D926"/>
      <c r="E926" t="s">
        <v>1519</v>
      </c>
      <c r="F926"/>
      <c r="G926" s="107">
        <v>90000</v>
      </c>
    </row>
    <row r="927" spans="1:7">
      <c r="A927" t="s">
        <v>20</v>
      </c>
      <c r="B927" t="s">
        <v>19</v>
      </c>
      <c r="C927" t="s">
        <v>214</v>
      </c>
      <c r="D927"/>
      <c r="E927" t="s">
        <v>1731</v>
      </c>
      <c r="F927"/>
      <c r="G927" s="107">
        <v>0</v>
      </c>
    </row>
    <row r="928" spans="1:7">
      <c r="A928" t="s">
        <v>20</v>
      </c>
      <c r="B928" t="s">
        <v>19</v>
      </c>
      <c r="C928" t="s">
        <v>236</v>
      </c>
      <c r="D928"/>
      <c r="E928" t="s">
        <v>1732</v>
      </c>
      <c r="F928"/>
      <c r="G928" s="107">
        <v>87000</v>
      </c>
    </row>
    <row r="929" spans="1:7">
      <c r="A929" t="s">
        <v>20</v>
      </c>
      <c r="B929" t="s">
        <v>19</v>
      </c>
      <c r="C929" t="s">
        <v>214</v>
      </c>
      <c r="D929"/>
      <c r="E929" t="s">
        <v>1733</v>
      </c>
      <c r="F929"/>
      <c r="G929" s="107">
        <v>0</v>
      </c>
    </row>
    <row r="930" spans="1:7">
      <c r="A930" t="s">
        <v>20</v>
      </c>
      <c r="B930" t="s">
        <v>19</v>
      </c>
      <c r="C930" t="s">
        <v>236</v>
      </c>
      <c r="D930"/>
      <c r="E930" t="s">
        <v>2530</v>
      </c>
      <c r="F930"/>
      <c r="G930" s="107">
        <v>60000</v>
      </c>
    </row>
    <row r="931" spans="1:7">
      <c r="A931" t="s">
        <v>20</v>
      </c>
      <c r="B931" t="s">
        <v>19</v>
      </c>
      <c r="C931" t="s">
        <v>214</v>
      </c>
      <c r="D931"/>
      <c r="E931" t="s">
        <v>2531</v>
      </c>
      <c r="F931"/>
      <c r="G931" s="107">
        <v>0</v>
      </c>
    </row>
    <row r="932" spans="1:7">
      <c r="A932" t="s">
        <v>20</v>
      </c>
      <c r="B932" t="s">
        <v>19</v>
      </c>
      <c r="C932" t="s">
        <v>236</v>
      </c>
      <c r="D932"/>
      <c r="E932" t="s">
        <v>2532</v>
      </c>
      <c r="F932"/>
      <c r="G932" s="107">
        <v>90000</v>
      </c>
    </row>
    <row r="933" spans="1:7">
      <c r="A933" t="s">
        <v>20</v>
      </c>
      <c r="B933" t="s">
        <v>19</v>
      </c>
      <c r="C933" t="s">
        <v>214</v>
      </c>
      <c r="D933"/>
      <c r="E933" t="s">
        <v>2533</v>
      </c>
      <c r="F933"/>
      <c r="G933" s="107">
        <v>0</v>
      </c>
    </row>
    <row r="934" spans="1:7">
      <c r="A934" t="s">
        <v>20</v>
      </c>
      <c r="B934" t="s">
        <v>19</v>
      </c>
      <c r="C934" t="s">
        <v>236</v>
      </c>
      <c r="D934"/>
      <c r="E934" t="s">
        <v>2534</v>
      </c>
      <c r="F934"/>
      <c r="G934" s="107">
        <v>90000</v>
      </c>
    </row>
    <row r="935" spans="1:7">
      <c r="A935" t="s">
        <v>20</v>
      </c>
      <c r="B935" t="s">
        <v>19</v>
      </c>
      <c r="C935" t="s">
        <v>214</v>
      </c>
      <c r="D935"/>
      <c r="E935" t="s">
        <v>2535</v>
      </c>
      <c r="F935"/>
      <c r="G935" s="107">
        <v>0</v>
      </c>
    </row>
    <row r="936" spans="1:7">
      <c r="A936" t="s">
        <v>20</v>
      </c>
      <c r="B936" t="s">
        <v>19</v>
      </c>
      <c r="C936" t="s">
        <v>236</v>
      </c>
      <c r="D936"/>
      <c r="E936" t="s">
        <v>2536</v>
      </c>
      <c r="F936"/>
      <c r="G936" s="107">
        <v>30000</v>
      </c>
    </row>
    <row r="937" spans="1:7">
      <c r="A937" t="s">
        <v>20</v>
      </c>
      <c r="B937" t="s">
        <v>19</v>
      </c>
      <c r="C937" t="s">
        <v>214</v>
      </c>
      <c r="D937"/>
      <c r="E937" t="s">
        <v>2537</v>
      </c>
      <c r="F937"/>
      <c r="G937" s="107">
        <v>0</v>
      </c>
    </row>
    <row r="938" spans="1:7">
      <c r="A938" t="s">
        <v>20</v>
      </c>
      <c r="B938" t="s">
        <v>19</v>
      </c>
      <c r="C938" t="s">
        <v>236</v>
      </c>
      <c r="D938"/>
      <c r="E938" t="s">
        <v>2538</v>
      </c>
      <c r="F938"/>
      <c r="G938" s="107">
        <v>65000</v>
      </c>
    </row>
    <row r="939" spans="1:7">
      <c r="A939" t="s">
        <v>20</v>
      </c>
      <c r="B939" t="s">
        <v>19</v>
      </c>
      <c r="C939" t="s">
        <v>214</v>
      </c>
      <c r="D939"/>
      <c r="E939" t="s">
        <v>2539</v>
      </c>
      <c r="F939"/>
      <c r="G939" s="107">
        <v>0</v>
      </c>
    </row>
    <row r="940" spans="1:7">
      <c r="A940" t="s">
        <v>20</v>
      </c>
      <c r="B940" t="s">
        <v>19</v>
      </c>
      <c r="C940" t="s">
        <v>236</v>
      </c>
      <c r="D940"/>
      <c r="E940" t="s">
        <v>2540</v>
      </c>
      <c r="F940"/>
      <c r="G940" s="107">
        <v>100000</v>
      </c>
    </row>
    <row r="941" spans="1:7">
      <c r="A941" t="s">
        <v>20</v>
      </c>
      <c r="B941" t="s">
        <v>19</v>
      </c>
      <c r="C941" t="s">
        <v>214</v>
      </c>
      <c r="D941"/>
      <c r="E941" t="s">
        <v>2541</v>
      </c>
      <c r="F941"/>
      <c r="G941" s="107">
        <v>0</v>
      </c>
    </row>
    <row r="942" spans="1:7">
      <c r="A942" t="s">
        <v>20</v>
      </c>
      <c r="B942" t="s">
        <v>19</v>
      </c>
      <c r="C942" t="s">
        <v>236</v>
      </c>
      <c r="D942"/>
      <c r="E942" t="s">
        <v>2542</v>
      </c>
      <c r="F942"/>
      <c r="G942" s="107">
        <v>50000</v>
      </c>
    </row>
    <row r="943" spans="1:7">
      <c r="A943" t="s">
        <v>20</v>
      </c>
      <c r="B943" t="s">
        <v>19</v>
      </c>
      <c r="C943" t="s">
        <v>214</v>
      </c>
      <c r="D943"/>
      <c r="E943" t="s">
        <v>2543</v>
      </c>
      <c r="F943"/>
      <c r="G943" s="107">
        <v>0</v>
      </c>
    </row>
    <row r="944" spans="1:7">
      <c r="A944" t="s">
        <v>20</v>
      </c>
      <c r="B944" t="s">
        <v>19</v>
      </c>
      <c r="C944" t="s">
        <v>236</v>
      </c>
      <c r="D944"/>
      <c r="E944" t="s">
        <v>2544</v>
      </c>
      <c r="F944"/>
      <c r="G944" s="107">
        <v>400000</v>
      </c>
    </row>
    <row r="945" spans="1:7">
      <c r="A945" t="s">
        <v>20</v>
      </c>
      <c r="B945" t="s">
        <v>19</v>
      </c>
      <c r="C945" t="s">
        <v>214</v>
      </c>
      <c r="D945"/>
      <c r="E945" t="s">
        <v>2545</v>
      </c>
      <c r="F945"/>
      <c r="G945" s="107">
        <v>0</v>
      </c>
    </row>
    <row r="946" spans="1:7">
      <c r="A946" t="s">
        <v>20</v>
      </c>
      <c r="B946" t="s">
        <v>19</v>
      </c>
      <c r="C946" t="s">
        <v>236</v>
      </c>
      <c r="D946"/>
      <c r="E946" t="s">
        <v>2546</v>
      </c>
      <c r="F946"/>
      <c r="G946" s="107">
        <v>214000</v>
      </c>
    </row>
    <row r="947" spans="1:7">
      <c r="A947" t="s">
        <v>20</v>
      </c>
      <c r="B947" t="s">
        <v>19</v>
      </c>
      <c r="C947" t="s">
        <v>214</v>
      </c>
      <c r="D947"/>
      <c r="E947" t="s">
        <v>2547</v>
      </c>
      <c r="F947"/>
      <c r="G947" s="107">
        <v>0</v>
      </c>
    </row>
    <row r="948" spans="1:7">
      <c r="A948" t="s">
        <v>20</v>
      </c>
      <c r="B948" t="s">
        <v>19</v>
      </c>
      <c r="C948" t="s">
        <v>227</v>
      </c>
      <c r="D948"/>
      <c r="E948" t="s">
        <v>2548</v>
      </c>
      <c r="F948"/>
      <c r="G948" s="107">
        <v>107630</v>
      </c>
    </row>
    <row r="949" spans="1:7">
      <c r="A949" s="128" t="s">
        <v>20</v>
      </c>
      <c r="B949" s="128" t="s">
        <v>2117</v>
      </c>
      <c r="C949" s="128"/>
      <c r="D949" s="128"/>
      <c r="E949" s="128" t="s">
        <v>613</v>
      </c>
      <c r="F949" s="128"/>
      <c r="G949" s="129">
        <v>366100</v>
      </c>
    </row>
    <row r="950" spans="1:7">
      <c r="A950" t="s">
        <v>20</v>
      </c>
      <c r="B950" t="s">
        <v>19</v>
      </c>
      <c r="C950" t="s">
        <v>214</v>
      </c>
      <c r="D950"/>
      <c r="E950" t="s">
        <v>614</v>
      </c>
      <c r="F950"/>
      <c r="G950" s="107">
        <v>0</v>
      </c>
    </row>
    <row r="951" spans="1:7">
      <c r="A951" t="s">
        <v>20</v>
      </c>
      <c r="B951" t="s">
        <v>19</v>
      </c>
      <c r="C951" t="s">
        <v>227</v>
      </c>
      <c r="D951"/>
      <c r="E951" t="s">
        <v>615</v>
      </c>
      <c r="F951"/>
      <c r="G951" s="107">
        <v>225000</v>
      </c>
    </row>
    <row r="952" spans="1:7">
      <c r="A952" t="s">
        <v>20</v>
      </c>
      <c r="B952" t="s">
        <v>19</v>
      </c>
      <c r="C952" t="s">
        <v>214</v>
      </c>
      <c r="D952"/>
      <c r="E952" t="s">
        <v>616</v>
      </c>
      <c r="F952"/>
      <c r="G952" s="107">
        <v>0</v>
      </c>
    </row>
    <row r="953" spans="1:7">
      <c r="A953" t="s">
        <v>20</v>
      </c>
      <c r="B953" t="s">
        <v>19</v>
      </c>
      <c r="C953" t="s">
        <v>234</v>
      </c>
      <c r="D953"/>
      <c r="E953" t="s">
        <v>617</v>
      </c>
      <c r="F953"/>
      <c r="G953" s="107">
        <v>30000</v>
      </c>
    </row>
    <row r="954" spans="1:7">
      <c r="A954" t="s">
        <v>20</v>
      </c>
      <c r="B954" t="s">
        <v>19</v>
      </c>
      <c r="C954" t="s">
        <v>214</v>
      </c>
      <c r="D954"/>
      <c r="E954" t="s">
        <v>618</v>
      </c>
      <c r="F954"/>
      <c r="G954" s="107">
        <v>0</v>
      </c>
    </row>
    <row r="955" spans="1:7">
      <c r="A955" t="s">
        <v>20</v>
      </c>
      <c r="B955" t="s">
        <v>19</v>
      </c>
      <c r="C955" t="s">
        <v>234</v>
      </c>
      <c r="D955"/>
      <c r="E955" t="s">
        <v>2549</v>
      </c>
      <c r="F955"/>
      <c r="G955" s="107">
        <v>18900</v>
      </c>
    </row>
    <row r="956" spans="1:7">
      <c r="A956" t="s">
        <v>20</v>
      </c>
      <c r="B956" t="s">
        <v>19</v>
      </c>
      <c r="C956" t="s">
        <v>236</v>
      </c>
      <c r="D956"/>
      <c r="E956" t="s">
        <v>2550</v>
      </c>
      <c r="F956"/>
      <c r="G956" s="107">
        <v>44100</v>
      </c>
    </row>
    <row r="957" spans="1:7">
      <c r="A957" t="s">
        <v>20</v>
      </c>
      <c r="B957" t="s">
        <v>19</v>
      </c>
      <c r="C957" t="s">
        <v>238</v>
      </c>
      <c r="D957"/>
      <c r="E957" t="s">
        <v>2551</v>
      </c>
      <c r="F957"/>
      <c r="G957" s="107">
        <v>12600</v>
      </c>
    </row>
    <row r="958" spans="1:7">
      <c r="A958" t="s">
        <v>20</v>
      </c>
      <c r="B958" t="s">
        <v>19</v>
      </c>
      <c r="C958" t="s">
        <v>214</v>
      </c>
      <c r="D958"/>
      <c r="E958" t="s">
        <v>2552</v>
      </c>
      <c r="F958"/>
      <c r="G958" s="107">
        <v>0</v>
      </c>
    </row>
    <row r="959" spans="1:7">
      <c r="A959" t="s">
        <v>20</v>
      </c>
      <c r="B959" t="s">
        <v>19</v>
      </c>
      <c r="C959" t="s">
        <v>227</v>
      </c>
      <c r="D959"/>
      <c r="E959" t="s">
        <v>2553</v>
      </c>
      <c r="F959"/>
      <c r="G959" s="107">
        <v>30000</v>
      </c>
    </row>
    <row r="960" spans="1:7">
      <c r="A960" t="s">
        <v>20</v>
      </c>
      <c r="B960" t="s">
        <v>19</v>
      </c>
      <c r="C960" t="s">
        <v>214</v>
      </c>
      <c r="D960"/>
      <c r="E960" t="s">
        <v>2554</v>
      </c>
      <c r="F960"/>
      <c r="G960" s="107">
        <v>0</v>
      </c>
    </row>
    <row r="961" spans="1:7">
      <c r="A961" t="s">
        <v>20</v>
      </c>
      <c r="B961" t="s">
        <v>19</v>
      </c>
      <c r="C961" t="s">
        <v>227</v>
      </c>
      <c r="D961"/>
      <c r="E961" t="s">
        <v>2555</v>
      </c>
      <c r="F961"/>
      <c r="G961" s="107">
        <v>5500</v>
      </c>
    </row>
    <row r="962" spans="1:7">
      <c r="A962" s="128" t="s">
        <v>20</v>
      </c>
      <c r="B962" s="128" t="s">
        <v>2117</v>
      </c>
      <c r="C962" s="128"/>
      <c r="D962" s="128"/>
      <c r="E962" s="128" t="s">
        <v>619</v>
      </c>
      <c r="F962" s="128"/>
      <c r="G962" s="129">
        <v>100000</v>
      </c>
    </row>
    <row r="963" spans="1:7">
      <c r="A963" t="s">
        <v>20</v>
      </c>
      <c r="B963" t="s">
        <v>19</v>
      </c>
      <c r="C963" t="s">
        <v>214</v>
      </c>
      <c r="D963"/>
      <c r="E963" t="s">
        <v>620</v>
      </c>
      <c r="F963"/>
      <c r="G963" s="107">
        <v>0</v>
      </c>
    </row>
    <row r="964" spans="1:7">
      <c r="A964" t="s">
        <v>20</v>
      </c>
      <c r="B964" t="s">
        <v>19</v>
      </c>
      <c r="C964" t="s">
        <v>227</v>
      </c>
      <c r="D964"/>
      <c r="E964" t="s">
        <v>2556</v>
      </c>
      <c r="F964"/>
      <c r="G964" s="107">
        <v>100000</v>
      </c>
    </row>
    <row r="965" spans="1:7">
      <c r="A965" s="163" t="s">
        <v>20</v>
      </c>
      <c r="B965" s="163" t="s">
        <v>8</v>
      </c>
      <c r="C965" s="163"/>
      <c r="D965" s="163"/>
      <c r="E965" s="163" t="s">
        <v>621</v>
      </c>
      <c r="F965" s="163"/>
      <c r="G965" s="164">
        <v>1009000</v>
      </c>
    </row>
    <row r="966" spans="1:7">
      <c r="A966" s="128" t="s">
        <v>20</v>
      </c>
      <c r="B966" s="128" t="s">
        <v>2117</v>
      </c>
      <c r="C966" s="128"/>
      <c r="D966" s="128"/>
      <c r="E966" s="128" t="s">
        <v>622</v>
      </c>
      <c r="F966" s="128"/>
      <c r="G966" s="129">
        <v>360500</v>
      </c>
    </row>
    <row r="967" spans="1:7">
      <c r="A967" t="s">
        <v>20</v>
      </c>
      <c r="B967" t="s">
        <v>19</v>
      </c>
      <c r="C967" t="s">
        <v>214</v>
      </c>
      <c r="D967"/>
      <c r="E967" t="s">
        <v>623</v>
      </c>
      <c r="F967"/>
      <c r="G967" s="107">
        <v>0</v>
      </c>
    </row>
    <row r="968" spans="1:7">
      <c r="A968" t="s">
        <v>20</v>
      </c>
      <c r="B968" t="s">
        <v>19</v>
      </c>
      <c r="C968" t="s">
        <v>234</v>
      </c>
      <c r="D968"/>
      <c r="E968" t="s">
        <v>624</v>
      </c>
      <c r="F968"/>
      <c r="G968" s="107">
        <v>85000</v>
      </c>
    </row>
    <row r="969" spans="1:7">
      <c r="A969" t="s">
        <v>20</v>
      </c>
      <c r="B969" t="s">
        <v>19</v>
      </c>
      <c r="C969" t="s">
        <v>236</v>
      </c>
      <c r="D969"/>
      <c r="E969" t="s">
        <v>625</v>
      </c>
      <c r="F969"/>
      <c r="G969" s="107">
        <v>119000</v>
      </c>
    </row>
    <row r="970" spans="1:7">
      <c r="A970" t="s">
        <v>20</v>
      </c>
      <c r="B970" t="s">
        <v>19</v>
      </c>
      <c r="C970" t="s">
        <v>238</v>
      </c>
      <c r="D970"/>
      <c r="E970" t="s">
        <v>626</v>
      </c>
      <c r="F970"/>
      <c r="G970" s="107">
        <v>34000</v>
      </c>
    </row>
    <row r="971" spans="1:7">
      <c r="A971" t="s">
        <v>20</v>
      </c>
      <c r="B971" t="s">
        <v>19</v>
      </c>
      <c r="C971" t="s">
        <v>214</v>
      </c>
      <c r="D971"/>
      <c r="E971" t="s">
        <v>627</v>
      </c>
      <c r="F971"/>
      <c r="G971" s="107">
        <v>0</v>
      </c>
    </row>
    <row r="972" spans="1:7">
      <c r="A972" t="s">
        <v>20</v>
      </c>
      <c r="B972" t="s">
        <v>19</v>
      </c>
      <c r="C972" t="s">
        <v>234</v>
      </c>
      <c r="D972"/>
      <c r="E972" t="s">
        <v>2557</v>
      </c>
      <c r="F972"/>
      <c r="G972" s="107">
        <v>39200</v>
      </c>
    </row>
    <row r="973" spans="1:7">
      <c r="A973" t="s">
        <v>20</v>
      </c>
      <c r="B973" t="s">
        <v>19</v>
      </c>
      <c r="C973" t="s">
        <v>236</v>
      </c>
      <c r="D973"/>
      <c r="E973" t="s">
        <v>2558</v>
      </c>
      <c r="F973"/>
      <c r="G973" s="107">
        <v>68600</v>
      </c>
    </row>
    <row r="974" spans="1:7">
      <c r="A974" t="s">
        <v>20</v>
      </c>
      <c r="B974" t="s">
        <v>19</v>
      </c>
      <c r="C974" t="s">
        <v>238</v>
      </c>
      <c r="D974"/>
      <c r="E974" t="s">
        <v>2559</v>
      </c>
      <c r="F974"/>
      <c r="G974" s="107">
        <v>14700</v>
      </c>
    </row>
    <row r="975" spans="1:7">
      <c r="A975" s="128" t="s">
        <v>20</v>
      </c>
      <c r="B975" s="128" t="s">
        <v>2117</v>
      </c>
      <c r="C975" s="128"/>
      <c r="D975" s="128"/>
      <c r="E975" s="128" t="s">
        <v>628</v>
      </c>
      <c r="F975" s="128"/>
      <c r="G975" s="129">
        <v>111000</v>
      </c>
    </row>
    <row r="976" spans="1:7">
      <c r="A976" t="s">
        <v>20</v>
      </c>
      <c r="B976" t="s">
        <v>19</v>
      </c>
      <c r="C976" t="s">
        <v>214</v>
      </c>
      <c r="D976"/>
      <c r="E976" t="s">
        <v>629</v>
      </c>
      <c r="F976"/>
      <c r="G976" s="107">
        <v>0</v>
      </c>
    </row>
    <row r="977" spans="1:7">
      <c r="A977" t="s">
        <v>20</v>
      </c>
      <c r="B977" t="s">
        <v>19</v>
      </c>
      <c r="C977" t="s">
        <v>234</v>
      </c>
      <c r="D977"/>
      <c r="E977" t="s">
        <v>630</v>
      </c>
      <c r="F977"/>
      <c r="G977" s="107">
        <v>24000</v>
      </c>
    </row>
    <row r="978" spans="1:7">
      <c r="A978" t="s">
        <v>20</v>
      </c>
      <c r="B978" t="s">
        <v>19</v>
      </c>
      <c r="C978" t="s">
        <v>236</v>
      </c>
      <c r="D978"/>
      <c r="E978" t="s">
        <v>631</v>
      </c>
      <c r="F978"/>
      <c r="G978" s="107">
        <v>56000</v>
      </c>
    </row>
    <row r="979" spans="1:7">
      <c r="A979" t="s">
        <v>20</v>
      </c>
      <c r="B979" t="s">
        <v>19</v>
      </c>
      <c r="C979" t="s">
        <v>214</v>
      </c>
      <c r="D979"/>
      <c r="E979" t="s">
        <v>632</v>
      </c>
      <c r="F979"/>
      <c r="G979" s="107">
        <v>0</v>
      </c>
    </row>
    <row r="980" spans="1:7">
      <c r="A980" t="s">
        <v>20</v>
      </c>
      <c r="B980" t="s">
        <v>19</v>
      </c>
      <c r="C980" t="s">
        <v>1419</v>
      </c>
      <c r="D980"/>
      <c r="E980" t="s">
        <v>2560</v>
      </c>
      <c r="F980"/>
      <c r="G980" s="107">
        <v>16000</v>
      </c>
    </row>
    <row r="981" spans="1:7">
      <c r="A981" t="s">
        <v>20</v>
      </c>
      <c r="B981" t="s">
        <v>19</v>
      </c>
      <c r="C981" t="s">
        <v>214</v>
      </c>
      <c r="D981"/>
      <c r="E981" t="s">
        <v>2561</v>
      </c>
      <c r="F981"/>
      <c r="G981" s="107">
        <v>0</v>
      </c>
    </row>
    <row r="982" spans="1:7">
      <c r="A982" t="s">
        <v>20</v>
      </c>
      <c r="B982" t="s">
        <v>19</v>
      </c>
      <c r="C982" t="s">
        <v>1419</v>
      </c>
      <c r="D982"/>
      <c r="E982" t="s">
        <v>2562</v>
      </c>
      <c r="F982"/>
      <c r="G982" s="107">
        <v>15000</v>
      </c>
    </row>
    <row r="983" spans="1:7">
      <c r="A983" s="128" t="s">
        <v>20</v>
      </c>
      <c r="B983" s="128" t="s">
        <v>2117</v>
      </c>
      <c r="C983" s="128"/>
      <c r="D983" s="128"/>
      <c r="E983" s="128" t="s">
        <v>633</v>
      </c>
      <c r="F983" s="128"/>
      <c r="G983" s="129">
        <v>102500</v>
      </c>
    </row>
    <row r="984" spans="1:7">
      <c r="A984" t="s">
        <v>20</v>
      </c>
      <c r="B984" t="s">
        <v>19</v>
      </c>
      <c r="C984" t="s">
        <v>214</v>
      </c>
      <c r="D984"/>
      <c r="E984" t="s">
        <v>634</v>
      </c>
      <c r="F984"/>
      <c r="G984" s="107">
        <v>0</v>
      </c>
    </row>
    <row r="985" spans="1:7">
      <c r="A985" t="s">
        <v>20</v>
      </c>
      <c r="B985" t="s">
        <v>19</v>
      </c>
      <c r="C985" t="s">
        <v>236</v>
      </c>
      <c r="D985"/>
      <c r="E985" t="s">
        <v>635</v>
      </c>
      <c r="F985"/>
      <c r="G985" s="107">
        <v>52500</v>
      </c>
    </row>
    <row r="986" spans="1:7">
      <c r="A986" t="s">
        <v>20</v>
      </c>
      <c r="B986" t="s">
        <v>19</v>
      </c>
      <c r="C986" t="s">
        <v>214</v>
      </c>
      <c r="D986"/>
      <c r="E986" t="s">
        <v>2563</v>
      </c>
      <c r="F986"/>
      <c r="G986" s="107">
        <v>0</v>
      </c>
    </row>
    <row r="987" spans="1:7">
      <c r="A987" t="s">
        <v>20</v>
      </c>
      <c r="B987" t="s">
        <v>19</v>
      </c>
      <c r="C987" t="s">
        <v>227</v>
      </c>
      <c r="D987"/>
      <c r="E987" t="s">
        <v>2564</v>
      </c>
      <c r="F987"/>
      <c r="G987" s="107">
        <v>50000</v>
      </c>
    </row>
    <row r="988" spans="1:7">
      <c r="A988" s="128" t="s">
        <v>20</v>
      </c>
      <c r="B988" s="128" t="s">
        <v>2117</v>
      </c>
      <c r="C988" s="128"/>
      <c r="D988" s="128"/>
      <c r="E988" s="128" t="s">
        <v>636</v>
      </c>
      <c r="F988" s="128"/>
      <c r="G988" s="129">
        <v>85000</v>
      </c>
    </row>
    <row r="989" spans="1:7">
      <c r="A989" t="s">
        <v>20</v>
      </c>
      <c r="B989" t="s">
        <v>19</v>
      </c>
      <c r="C989" t="s">
        <v>214</v>
      </c>
      <c r="D989"/>
      <c r="E989" t="s">
        <v>637</v>
      </c>
      <c r="F989"/>
      <c r="G989" s="107">
        <v>0</v>
      </c>
    </row>
    <row r="990" spans="1:7">
      <c r="A990" t="s">
        <v>20</v>
      </c>
      <c r="B990" t="s">
        <v>19</v>
      </c>
      <c r="C990" t="s">
        <v>227</v>
      </c>
      <c r="D990"/>
      <c r="E990" t="s">
        <v>2565</v>
      </c>
      <c r="F990"/>
      <c r="G990" s="107">
        <v>85000</v>
      </c>
    </row>
    <row r="991" spans="1:7">
      <c r="A991" s="128" t="s">
        <v>20</v>
      </c>
      <c r="B991" s="128" t="s">
        <v>2117</v>
      </c>
      <c r="C991" s="128"/>
      <c r="D991" s="128"/>
      <c r="E991" s="128" t="s">
        <v>638</v>
      </c>
      <c r="F991" s="128"/>
      <c r="G991" s="129">
        <v>310000</v>
      </c>
    </row>
    <row r="992" spans="1:7">
      <c r="A992" t="s">
        <v>20</v>
      </c>
      <c r="B992" t="s">
        <v>19</v>
      </c>
      <c r="C992" t="s">
        <v>214</v>
      </c>
      <c r="D992"/>
      <c r="E992" t="s">
        <v>639</v>
      </c>
      <c r="F992"/>
      <c r="G992" s="107">
        <v>0</v>
      </c>
    </row>
    <row r="993" spans="1:7">
      <c r="A993" t="s">
        <v>20</v>
      </c>
      <c r="B993" t="s">
        <v>19</v>
      </c>
      <c r="C993" t="s">
        <v>227</v>
      </c>
      <c r="D993"/>
      <c r="E993" t="s">
        <v>2566</v>
      </c>
      <c r="F993"/>
      <c r="G993" s="107">
        <v>310000</v>
      </c>
    </row>
    <row r="994" spans="1:7">
      <c r="A994" s="128" t="s">
        <v>20</v>
      </c>
      <c r="B994" s="128" t="s">
        <v>2117</v>
      </c>
      <c r="C994" s="128"/>
      <c r="D994" s="128"/>
      <c r="E994" s="128" t="s">
        <v>640</v>
      </c>
      <c r="F994" s="128"/>
      <c r="G994" s="129">
        <v>40000</v>
      </c>
    </row>
    <row r="995" spans="1:7">
      <c r="A995" t="s">
        <v>20</v>
      </c>
      <c r="B995" t="s">
        <v>19</v>
      </c>
      <c r="C995" t="s">
        <v>214</v>
      </c>
      <c r="D995"/>
      <c r="E995" t="s">
        <v>641</v>
      </c>
      <c r="F995"/>
      <c r="G995" s="107">
        <v>0</v>
      </c>
    </row>
    <row r="996" spans="1:7">
      <c r="A996" t="s">
        <v>20</v>
      </c>
      <c r="B996" t="s">
        <v>19</v>
      </c>
      <c r="C996" t="s">
        <v>227</v>
      </c>
      <c r="D996"/>
      <c r="E996" t="s">
        <v>2567</v>
      </c>
      <c r="F996"/>
      <c r="G996" s="107">
        <v>40000</v>
      </c>
    </row>
    <row r="997" spans="1:7">
      <c r="A997" s="163" t="s">
        <v>20</v>
      </c>
      <c r="B997" s="163" t="s">
        <v>8</v>
      </c>
      <c r="C997" s="163"/>
      <c r="D997" s="163"/>
      <c r="E997" s="163" t="s">
        <v>642</v>
      </c>
      <c r="F997" s="163"/>
      <c r="G997" s="164">
        <v>1115250</v>
      </c>
    </row>
    <row r="998" spans="1:7">
      <c r="A998" s="128" t="s">
        <v>20</v>
      </c>
      <c r="B998" s="128" t="s">
        <v>2117</v>
      </c>
      <c r="C998" s="128"/>
      <c r="D998" s="128"/>
      <c r="E998" s="128" t="s">
        <v>2568</v>
      </c>
      <c r="F998" s="128"/>
      <c r="G998" s="129">
        <v>61900</v>
      </c>
    </row>
    <row r="999" spans="1:7">
      <c r="A999" t="s">
        <v>20</v>
      </c>
      <c r="B999" t="s">
        <v>19</v>
      </c>
      <c r="C999" t="s">
        <v>214</v>
      </c>
      <c r="D999"/>
      <c r="E999" t="s">
        <v>2569</v>
      </c>
      <c r="F999"/>
      <c r="G999" s="107">
        <v>0</v>
      </c>
    </row>
    <row r="1000" spans="1:7">
      <c r="A1000" t="s">
        <v>20</v>
      </c>
      <c r="B1000" t="s">
        <v>19</v>
      </c>
      <c r="C1000" t="s">
        <v>236</v>
      </c>
      <c r="D1000"/>
      <c r="E1000" t="s">
        <v>2570</v>
      </c>
      <c r="F1000"/>
      <c r="G1000" s="107">
        <v>47500</v>
      </c>
    </row>
    <row r="1001" spans="1:7">
      <c r="A1001" t="s">
        <v>20</v>
      </c>
      <c r="B1001" t="s">
        <v>19</v>
      </c>
      <c r="C1001" t="s">
        <v>214</v>
      </c>
      <c r="D1001"/>
      <c r="E1001" t="s">
        <v>2571</v>
      </c>
      <c r="F1001"/>
      <c r="G1001" s="107">
        <v>0</v>
      </c>
    </row>
    <row r="1002" spans="1:7">
      <c r="A1002" t="s">
        <v>20</v>
      </c>
      <c r="B1002" t="s">
        <v>19</v>
      </c>
      <c r="C1002" t="s">
        <v>236</v>
      </c>
      <c r="D1002"/>
      <c r="E1002" t="s">
        <v>2572</v>
      </c>
      <c r="F1002"/>
      <c r="G1002" s="107">
        <v>14400</v>
      </c>
    </row>
    <row r="1003" spans="1:7">
      <c r="A1003" s="128" t="s">
        <v>20</v>
      </c>
      <c r="B1003" s="128" t="s">
        <v>2117</v>
      </c>
      <c r="C1003" s="128"/>
      <c r="D1003" s="128"/>
      <c r="E1003" s="128" t="s">
        <v>643</v>
      </c>
      <c r="F1003" s="128"/>
      <c r="G1003" s="129">
        <v>660900</v>
      </c>
    </row>
    <row r="1004" spans="1:7">
      <c r="A1004" t="s">
        <v>20</v>
      </c>
      <c r="B1004" t="s">
        <v>19</v>
      </c>
      <c r="C1004" t="s">
        <v>214</v>
      </c>
      <c r="D1004"/>
      <c r="E1004" t="s">
        <v>644</v>
      </c>
      <c r="F1004"/>
      <c r="G1004" s="107">
        <v>0</v>
      </c>
    </row>
    <row r="1005" spans="1:7">
      <c r="A1005" t="s">
        <v>20</v>
      </c>
      <c r="B1005" t="s">
        <v>19</v>
      </c>
      <c r="C1005" t="s">
        <v>236</v>
      </c>
      <c r="D1005"/>
      <c r="E1005" t="s">
        <v>1734</v>
      </c>
      <c r="F1005"/>
      <c r="G1005" s="107">
        <v>45000</v>
      </c>
    </row>
    <row r="1006" spans="1:7">
      <c r="A1006" t="s">
        <v>20</v>
      </c>
      <c r="B1006" t="s">
        <v>19</v>
      </c>
      <c r="C1006" t="s">
        <v>236</v>
      </c>
      <c r="D1006"/>
      <c r="E1006" t="s">
        <v>1735</v>
      </c>
      <c r="F1006"/>
      <c r="G1006" s="107">
        <v>36000</v>
      </c>
    </row>
    <row r="1007" spans="1:7">
      <c r="A1007" t="s">
        <v>20</v>
      </c>
      <c r="B1007" t="s">
        <v>19</v>
      </c>
      <c r="C1007" t="s">
        <v>236</v>
      </c>
      <c r="D1007"/>
      <c r="E1007" t="s">
        <v>1736</v>
      </c>
      <c r="F1007"/>
      <c r="G1007" s="107">
        <v>96000</v>
      </c>
    </row>
    <row r="1008" spans="1:7">
      <c r="A1008" t="s">
        <v>20</v>
      </c>
      <c r="B1008" t="s">
        <v>19</v>
      </c>
      <c r="C1008" t="s">
        <v>236</v>
      </c>
      <c r="D1008"/>
      <c r="E1008" t="s">
        <v>1737</v>
      </c>
      <c r="F1008"/>
      <c r="G1008" s="107">
        <v>67200</v>
      </c>
    </row>
    <row r="1009" spans="1:7">
      <c r="A1009" t="s">
        <v>20</v>
      </c>
      <c r="B1009" t="s">
        <v>19</v>
      </c>
      <c r="C1009" t="s">
        <v>236</v>
      </c>
      <c r="D1009"/>
      <c r="E1009" t="s">
        <v>1738</v>
      </c>
      <c r="F1009"/>
      <c r="G1009" s="107">
        <v>24000</v>
      </c>
    </row>
    <row r="1010" spans="1:7">
      <c r="A1010" t="s">
        <v>20</v>
      </c>
      <c r="B1010" t="s">
        <v>19</v>
      </c>
      <c r="C1010" t="s">
        <v>236</v>
      </c>
      <c r="D1010"/>
      <c r="E1010" t="s">
        <v>1739</v>
      </c>
      <c r="F1010"/>
      <c r="G1010" s="107">
        <v>16000</v>
      </c>
    </row>
    <row r="1011" spans="1:7">
      <c r="A1011" t="s">
        <v>20</v>
      </c>
      <c r="B1011" t="s">
        <v>19</v>
      </c>
      <c r="C1011" t="s">
        <v>236</v>
      </c>
      <c r="D1011"/>
      <c r="E1011" t="s">
        <v>1740</v>
      </c>
      <c r="F1011"/>
      <c r="G1011" s="107">
        <v>12000</v>
      </c>
    </row>
    <row r="1012" spans="1:7">
      <c r="A1012" t="s">
        <v>20</v>
      </c>
      <c r="B1012" t="s">
        <v>19</v>
      </c>
      <c r="C1012" t="s">
        <v>236</v>
      </c>
      <c r="D1012"/>
      <c r="E1012" t="s">
        <v>1741</v>
      </c>
      <c r="F1012"/>
      <c r="G1012" s="107">
        <v>9500</v>
      </c>
    </row>
    <row r="1013" spans="1:7">
      <c r="A1013" t="s">
        <v>20</v>
      </c>
      <c r="B1013" t="s">
        <v>19</v>
      </c>
      <c r="C1013" t="s">
        <v>236</v>
      </c>
      <c r="D1013"/>
      <c r="E1013" t="s">
        <v>1742</v>
      </c>
      <c r="F1013"/>
      <c r="G1013" s="107">
        <v>14000</v>
      </c>
    </row>
    <row r="1014" spans="1:7">
      <c r="A1014" t="s">
        <v>20</v>
      </c>
      <c r="B1014" t="s">
        <v>19</v>
      </c>
      <c r="C1014" t="s">
        <v>236</v>
      </c>
      <c r="D1014"/>
      <c r="E1014" t="s">
        <v>1743</v>
      </c>
      <c r="F1014"/>
      <c r="G1014" s="107">
        <v>12000</v>
      </c>
    </row>
    <row r="1015" spans="1:7">
      <c r="A1015" t="s">
        <v>20</v>
      </c>
      <c r="B1015" t="s">
        <v>19</v>
      </c>
      <c r="C1015" t="s">
        <v>236</v>
      </c>
      <c r="D1015"/>
      <c r="E1015" t="s">
        <v>1744</v>
      </c>
      <c r="F1015"/>
      <c r="G1015" s="107">
        <v>12000</v>
      </c>
    </row>
    <row r="1016" spans="1:7">
      <c r="A1016" t="s">
        <v>20</v>
      </c>
      <c r="B1016" t="s">
        <v>19</v>
      </c>
      <c r="C1016" t="s">
        <v>236</v>
      </c>
      <c r="D1016"/>
      <c r="E1016" t="s">
        <v>1745</v>
      </c>
      <c r="F1016"/>
      <c r="G1016" s="107">
        <v>14400</v>
      </c>
    </row>
    <row r="1017" spans="1:7">
      <c r="A1017" t="s">
        <v>20</v>
      </c>
      <c r="B1017" t="s">
        <v>19</v>
      </c>
      <c r="C1017" t="s">
        <v>236</v>
      </c>
      <c r="D1017"/>
      <c r="E1017" t="s">
        <v>1746</v>
      </c>
      <c r="F1017"/>
      <c r="G1017" s="107">
        <v>12000</v>
      </c>
    </row>
    <row r="1018" spans="1:7">
      <c r="A1018" t="s">
        <v>20</v>
      </c>
      <c r="B1018" t="s">
        <v>19</v>
      </c>
      <c r="C1018" t="s">
        <v>236</v>
      </c>
      <c r="D1018"/>
      <c r="E1018" t="s">
        <v>1747</v>
      </c>
      <c r="F1018"/>
      <c r="G1018" s="107">
        <v>25200</v>
      </c>
    </row>
    <row r="1019" spans="1:7">
      <c r="A1019" t="s">
        <v>20</v>
      </c>
      <c r="B1019" t="s">
        <v>19</v>
      </c>
      <c r="C1019" t="s">
        <v>236</v>
      </c>
      <c r="D1019"/>
      <c r="E1019" t="s">
        <v>1748</v>
      </c>
      <c r="F1019"/>
      <c r="G1019" s="107">
        <v>24000</v>
      </c>
    </row>
    <row r="1020" spans="1:7">
      <c r="A1020" t="s">
        <v>20</v>
      </c>
      <c r="B1020" t="s">
        <v>19</v>
      </c>
      <c r="C1020" t="s">
        <v>236</v>
      </c>
      <c r="D1020"/>
      <c r="E1020" t="s">
        <v>1749</v>
      </c>
      <c r="F1020"/>
      <c r="G1020" s="107">
        <v>56000</v>
      </c>
    </row>
    <row r="1021" spans="1:7">
      <c r="A1021" t="s">
        <v>20</v>
      </c>
      <c r="B1021" t="s">
        <v>19</v>
      </c>
      <c r="C1021" t="s">
        <v>236</v>
      </c>
      <c r="D1021"/>
      <c r="E1021" t="s">
        <v>1750</v>
      </c>
      <c r="F1021"/>
      <c r="G1021" s="107">
        <v>48000</v>
      </c>
    </row>
    <row r="1022" spans="1:7">
      <c r="A1022" t="s">
        <v>20</v>
      </c>
      <c r="B1022" t="s">
        <v>19</v>
      </c>
      <c r="C1022" t="s">
        <v>236</v>
      </c>
      <c r="D1022"/>
      <c r="E1022" t="s">
        <v>1751</v>
      </c>
      <c r="F1022"/>
      <c r="G1022" s="107">
        <v>70000</v>
      </c>
    </row>
    <row r="1023" spans="1:7">
      <c r="A1023" t="s">
        <v>20</v>
      </c>
      <c r="B1023" t="s">
        <v>19</v>
      </c>
      <c r="C1023" t="s">
        <v>236</v>
      </c>
      <c r="D1023"/>
      <c r="E1023" t="s">
        <v>2573</v>
      </c>
      <c r="F1023"/>
      <c r="G1023" s="107">
        <v>33600</v>
      </c>
    </row>
    <row r="1024" spans="1:7">
      <c r="A1024" t="s">
        <v>20</v>
      </c>
      <c r="B1024" t="s">
        <v>19</v>
      </c>
      <c r="C1024" t="s">
        <v>236</v>
      </c>
      <c r="D1024"/>
      <c r="E1024" t="s">
        <v>2574</v>
      </c>
      <c r="F1024"/>
      <c r="G1024" s="107">
        <v>34000</v>
      </c>
    </row>
    <row r="1025" spans="1:7">
      <c r="A1025" t="s">
        <v>20</v>
      </c>
      <c r="B1025" t="s">
        <v>19</v>
      </c>
      <c r="C1025" t="s">
        <v>236</v>
      </c>
      <c r="D1025"/>
      <c r="E1025" t="s">
        <v>5469</v>
      </c>
      <c r="F1025"/>
      <c r="G1025" s="107"/>
    </row>
    <row r="1026" spans="1:7">
      <c r="A1026" s="128" t="s">
        <v>20</v>
      </c>
      <c r="B1026" s="128" t="s">
        <v>2117</v>
      </c>
      <c r="C1026" s="128"/>
      <c r="D1026" s="128"/>
      <c r="E1026" s="128" t="s">
        <v>645</v>
      </c>
      <c r="F1026" s="128"/>
      <c r="G1026" s="129">
        <v>63600</v>
      </c>
    </row>
    <row r="1027" spans="1:7">
      <c r="A1027" t="s">
        <v>20</v>
      </c>
      <c r="B1027" t="s">
        <v>19</v>
      </c>
      <c r="C1027" t="s">
        <v>214</v>
      </c>
      <c r="D1027"/>
      <c r="E1027" t="s">
        <v>646</v>
      </c>
      <c r="F1027"/>
      <c r="G1027" s="107">
        <v>0</v>
      </c>
    </row>
    <row r="1028" spans="1:7">
      <c r="A1028" t="s">
        <v>20</v>
      </c>
      <c r="B1028" t="s">
        <v>19</v>
      </c>
      <c r="C1028" t="s">
        <v>234</v>
      </c>
      <c r="D1028"/>
      <c r="E1028" t="s">
        <v>647</v>
      </c>
      <c r="F1028"/>
      <c r="G1028" s="107">
        <v>10000</v>
      </c>
    </row>
    <row r="1029" spans="1:7">
      <c r="A1029" t="s">
        <v>20</v>
      </c>
      <c r="B1029" t="s">
        <v>19</v>
      </c>
      <c r="C1029" t="s">
        <v>236</v>
      </c>
      <c r="D1029"/>
      <c r="E1029" t="s">
        <v>2575</v>
      </c>
      <c r="F1029"/>
      <c r="G1029" s="107">
        <v>53600</v>
      </c>
    </row>
    <row r="1030" spans="1:7">
      <c r="A1030" s="128" t="s">
        <v>20</v>
      </c>
      <c r="B1030" s="128" t="s">
        <v>2117</v>
      </c>
      <c r="C1030" s="128"/>
      <c r="D1030" s="128"/>
      <c r="E1030" s="128" t="s">
        <v>648</v>
      </c>
      <c r="F1030" s="128"/>
      <c r="G1030" s="129">
        <v>303850</v>
      </c>
    </row>
    <row r="1031" spans="1:7">
      <c r="A1031" t="s">
        <v>20</v>
      </c>
      <c r="B1031" t="s">
        <v>19</v>
      </c>
      <c r="C1031" t="s">
        <v>214</v>
      </c>
      <c r="D1031"/>
      <c r="E1031" t="s">
        <v>649</v>
      </c>
      <c r="F1031"/>
      <c r="G1031" s="107">
        <v>0</v>
      </c>
    </row>
    <row r="1032" spans="1:7">
      <c r="A1032" t="s">
        <v>20</v>
      </c>
      <c r="B1032" t="s">
        <v>19</v>
      </c>
      <c r="C1032" t="s">
        <v>236</v>
      </c>
      <c r="D1032"/>
      <c r="E1032" t="s">
        <v>1520</v>
      </c>
      <c r="F1032"/>
      <c r="G1032" s="107">
        <v>30000</v>
      </c>
    </row>
    <row r="1033" spans="1:7">
      <c r="A1033" t="s">
        <v>20</v>
      </c>
      <c r="B1033" t="s">
        <v>19</v>
      </c>
      <c r="C1033" t="s">
        <v>236</v>
      </c>
      <c r="D1033"/>
      <c r="E1033" t="s">
        <v>1521</v>
      </c>
      <c r="F1033"/>
      <c r="G1033" s="107">
        <v>30000</v>
      </c>
    </row>
    <row r="1034" spans="1:7">
      <c r="A1034" t="s">
        <v>20</v>
      </c>
      <c r="B1034" t="s">
        <v>19</v>
      </c>
      <c r="C1034" t="s">
        <v>236</v>
      </c>
      <c r="D1034"/>
      <c r="E1034" t="s">
        <v>1522</v>
      </c>
      <c r="F1034"/>
      <c r="G1034" s="107">
        <v>40000</v>
      </c>
    </row>
    <row r="1035" spans="1:7">
      <c r="A1035" t="s">
        <v>20</v>
      </c>
      <c r="B1035" t="s">
        <v>19</v>
      </c>
      <c r="C1035" t="s">
        <v>236</v>
      </c>
      <c r="D1035"/>
      <c r="E1035" t="s">
        <v>1752</v>
      </c>
      <c r="F1035"/>
      <c r="G1035" s="107">
        <v>40000</v>
      </c>
    </row>
    <row r="1036" spans="1:7">
      <c r="A1036" t="s">
        <v>20</v>
      </c>
      <c r="B1036" t="s">
        <v>19</v>
      </c>
      <c r="C1036" t="s">
        <v>236</v>
      </c>
      <c r="D1036"/>
      <c r="E1036" t="s">
        <v>1753</v>
      </c>
      <c r="F1036"/>
      <c r="G1036" s="107">
        <v>36000</v>
      </c>
    </row>
    <row r="1037" spans="1:7">
      <c r="A1037" t="s">
        <v>20</v>
      </c>
      <c r="B1037" t="s">
        <v>19</v>
      </c>
      <c r="C1037" t="s">
        <v>236</v>
      </c>
      <c r="D1037"/>
      <c r="E1037" t="s">
        <v>1754</v>
      </c>
      <c r="F1037"/>
      <c r="G1037" s="107">
        <v>10000</v>
      </c>
    </row>
    <row r="1038" spans="1:7">
      <c r="A1038" t="s">
        <v>20</v>
      </c>
      <c r="B1038" t="s">
        <v>19</v>
      </c>
      <c r="C1038" t="s">
        <v>214</v>
      </c>
      <c r="D1038"/>
      <c r="E1038" t="s">
        <v>1755</v>
      </c>
      <c r="F1038"/>
      <c r="G1038" s="107">
        <v>0</v>
      </c>
    </row>
    <row r="1039" spans="1:7">
      <c r="A1039" t="s">
        <v>20</v>
      </c>
      <c r="B1039" t="s">
        <v>19</v>
      </c>
      <c r="C1039" t="s">
        <v>236</v>
      </c>
      <c r="D1039"/>
      <c r="E1039" t="s">
        <v>1756</v>
      </c>
      <c r="F1039"/>
      <c r="G1039" s="107">
        <v>5250</v>
      </c>
    </row>
    <row r="1040" spans="1:7">
      <c r="A1040" t="s">
        <v>20</v>
      </c>
      <c r="B1040" t="s">
        <v>19</v>
      </c>
      <c r="C1040" t="s">
        <v>236</v>
      </c>
      <c r="D1040"/>
      <c r="E1040" t="s">
        <v>1757</v>
      </c>
      <c r="F1040"/>
      <c r="G1040" s="107">
        <v>15200</v>
      </c>
    </row>
    <row r="1041" spans="1:7">
      <c r="A1041" t="s">
        <v>20</v>
      </c>
      <c r="B1041" t="s">
        <v>19</v>
      </c>
      <c r="C1041" t="s">
        <v>236</v>
      </c>
      <c r="D1041"/>
      <c r="E1041" t="s">
        <v>1758</v>
      </c>
      <c r="F1041"/>
      <c r="G1041" s="107">
        <v>21000</v>
      </c>
    </row>
    <row r="1042" spans="1:7">
      <c r="A1042" t="s">
        <v>20</v>
      </c>
      <c r="B1042" t="s">
        <v>19</v>
      </c>
      <c r="C1042" t="s">
        <v>236</v>
      </c>
      <c r="D1042"/>
      <c r="E1042" t="s">
        <v>1759</v>
      </c>
      <c r="F1042"/>
      <c r="G1042" s="107">
        <v>14400</v>
      </c>
    </row>
    <row r="1043" spans="1:7">
      <c r="A1043" t="s">
        <v>20</v>
      </c>
      <c r="B1043" t="s">
        <v>19</v>
      </c>
      <c r="C1043" t="s">
        <v>236</v>
      </c>
      <c r="D1043"/>
      <c r="E1043" t="s">
        <v>2576</v>
      </c>
      <c r="F1043"/>
      <c r="G1043" s="107">
        <v>5200</v>
      </c>
    </row>
    <row r="1044" spans="1:7">
      <c r="A1044" t="s">
        <v>20</v>
      </c>
      <c r="B1044" t="s">
        <v>19</v>
      </c>
      <c r="C1044" t="s">
        <v>236</v>
      </c>
      <c r="D1044"/>
      <c r="E1044" t="s">
        <v>2577</v>
      </c>
      <c r="F1044"/>
      <c r="G1044" s="107">
        <v>15600</v>
      </c>
    </row>
    <row r="1045" spans="1:7">
      <c r="A1045" t="s">
        <v>20</v>
      </c>
      <c r="B1045" t="s">
        <v>19</v>
      </c>
      <c r="C1045" t="s">
        <v>236</v>
      </c>
      <c r="D1045"/>
      <c r="E1045" t="s">
        <v>2578</v>
      </c>
      <c r="F1045"/>
      <c r="G1045" s="107">
        <v>38000</v>
      </c>
    </row>
    <row r="1046" spans="1:7">
      <c r="A1046" t="s">
        <v>20</v>
      </c>
      <c r="B1046" t="s">
        <v>19</v>
      </c>
      <c r="C1046" t="s">
        <v>236</v>
      </c>
      <c r="D1046"/>
      <c r="E1046" t="s">
        <v>2579</v>
      </c>
      <c r="F1046"/>
      <c r="G1046" s="107">
        <v>3200</v>
      </c>
    </row>
    <row r="1047" spans="1:7">
      <c r="A1047" s="128" t="s">
        <v>20</v>
      </c>
      <c r="B1047" s="128" t="s">
        <v>2117</v>
      </c>
      <c r="C1047" s="128"/>
      <c r="D1047" s="128"/>
      <c r="E1047" s="128" t="s">
        <v>2580</v>
      </c>
      <c r="F1047" s="128"/>
      <c r="G1047" s="129">
        <v>25000</v>
      </c>
    </row>
    <row r="1048" spans="1:7">
      <c r="A1048" t="s">
        <v>20</v>
      </c>
      <c r="B1048" t="s">
        <v>19</v>
      </c>
      <c r="C1048" t="s">
        <v>214</v>
      </c>
      <c r="D1048"/>
      <c r="E1048" t="s">
        <v>2581</v>
      </c>
      <c r="F1048"/>
      <c r="G1048" s="107">
        <v>0</v>
      </c>
    </row>
    <row r="1049" spans="1:7">
      <c r="A1049" t="s">
        <v>20</v>
      </c>
      <c r="B1049" t="s">
        <v>19</v>
      </c>
      <c r="C1049" t="s">
        <v>227</v>
      </c>
      <c r="D1049"/>
      <c r="E1049" t="s">
        <v>2582</v>
      </c>
      <c r="F1049"/>
      <c r="G1049" s="107">
        <v>25000</v>
      </c>
    </row>
    <row r="1050" spans="1:7">
      <c r="A1050" s="163" t="s">
        <v>20</v>
      </c>
      <c r="B1050" s="163" t="s">
        <v>8</v>
      </c>
      <c r="C1050" s="163"/>
      <c r="D1050" s="163"/>
      <c r="E1050" s="163" t="s">
        <v>650</v>
      </c>
      <c r="F1050" s="163"/>
      <c r="G1050" s="164">
        <v>2972500</v>
      </c>
    </row>
    <row r="1051" spans="1:7">
      <c r="A1051" s="128" t="s">
        <v>20</v>
      </c>
      <c r="B1051" s="128" t="s">
        <v>2117</v>
      </c>
      <c r="C1051" s="128"/>
      <c r="D1051" s="128"/>
      <c r="E1051" s="128" t="s">
        <v>651</v>
      </c>
      <c r="F1051" s="128"/>
      <c r="G1051" s="129">
        <v>382500</v>
      </c>
    </row>
    <row r="1052" spans="1:7">
      <c r="A1052" t="s">
        <v>20</v>
      </c>
      <c r="B1052" t="s">
        <v>19</v>
      </c>
      <c r="C1052" t="s">
        <v>214</v>
      </c>
      <c r="D1052"/>
      <c r="E1052" t="s">
        <v>652</v>
      </c>
      <c r="F1052"/>
      <c r="G1052" s="107">
        <v>0</v>
      </c>
    </row>
    <row r="1053" spans="1:7">
      <c r="A1053" t="s">
        <v>20</v>
      </c>
      <c r="B1053" t="s">
        <v>19</v>
      </c>
      <c r="C1053" t="s">
        <v>234</v>
      </c>
      <c r="D1053"/>
      <c r="E1053" t="s">
        <v>653</v>
      </c>
      <c r="F1053"/>
      <c r="G1053" s="107">
        <v>202500</v>
      </c>
    </row>
    <row r="1054" spans="1:7">
      <c r="A1054" t="s">
        <v>20</v>
      </c>
      <c r="B1054" t="s">
        <v>19</v>
      </c>
      <c r="C1054" t="s">
        <v>236</v>
      </c>
      <c r="D1054"/>
      <c r="E1054" t="s">
        <v>654</v>
      </c>
      <c r="F1054"/>
      <c r="G1054" s="107">
        <v>157500</v>
      </c>
    </row>
    <row r="1055" spans="1:7">
      <c r="A1055" t="s">
        <v>20</v>
      </c>
      <c r="B1055" t="s">
        <v>19</v>
      </c>
      <c r="C1055" t="s">
        <v>238</v>
      </c>
      <c r="D1055"/>
      <c r="E1055" t="s">
        <v>2583</v>
      </c>
      <c r="F1055"/>
      <c r="G1055" s="107">
        <v>22500</v>
      </c>
    </row>
    <row r="1056" spans="1:7">
      <c r="A1056" s="128" t="s">
        <v>20</v>
      </c>
      <c r="B1056" s="128" t="s">
        <v>2117</v>
      </c>
      <c r="C1056" s="128"/>
      <c r="D1056" s="128"/>
      <c r="E1056" s="128" t="s">
        <v>655</v>
      </c>
      <c r="F1056" s="128"/>
      <c r="G1056" s="129">
        <v>160000</v>
      </c>
    </row>
    <row r="1057" spans="1:7">
      <c r="A1057" t="s">
        <v>20</v>
      </c>
      <c r="B1057" t="s">
        <v>19</v>
      </c>
      <c r="C1057" t="s">
        <v>214</v>
      </c>
      <c r="D1057"/>
      <c r="E1057" t="s">
        <v>656</v>
      </c>
      <c r="F1057"/>
      <c r="G1057" s="107">
        <v>0</v>
      </c>
    </row>
    <row r="1058" spans="1:7">
      <c r="A1058" t="s">
        <v>20</v>
      </c>
      <c r="B1058" t="s">
        <v>19</v>
      </c>
      <c r="C1058" t="s">
        <v>234</v>
      </c>
      <c r="D1058"/>
      <c r="E1058" t="s">
        <v>657</v>
      </c>
      <c r="F1058"/>
      <c r="G1058" s="107">
        <v>70000</v>
      </c>
    </row>
    <row r="1059" spans="1:7">
      <c r="A1059" t="s">
        <v>20</v>
      </c>
      <c r="B1059" t="s">
        <v>19</v>
      </c>
      <c r="C1059" t="s">
        <v>236</v>
      </c>
      <c r="D1059"/>
      <c r="E1059" t="s">
        <v>658</v>
      </c>
      <c r="F1059"/>
      <c r="G1059" s="107">
        <v>70000</v>
      </c>
    </row>
    <row r="1060" spans="1:7">
      <c r="A1060" t="s">
        <v>20</v>
      </c>
      <c r="B1060" t="s">
        <v>19</v>
      </c>
      <c r="C1060" t="s">
        <v>238</v>
      </c>
      <c r="D1060"/>
      <c r="E1060" t="s">
        <v>2584</v>
      </c>
      <c r="F1060"/>
      <c r="G1060" s="107">
        <v>20000</v>
      </c>
    </row>
    <row r="1061" spans="1:7">
      <c r="A1061" s="128" t="s">
        <v>20</v>
      </c>
      <c r="B1061" s="128" t="s">
        <v>2117</v>
      </c>
      <c r="C1061" s="128"/>
      <c r="D1061" s="128"/>
      <c r="E1061" s="128" t="s">
        <v>1814</v>
      </c>
      <c r="F1061" s="128"/>
      <c r="G1061" s="129">
        <v>252000</v>
      </c>
    </row>
    <row r="1062" spans="1:7">
      <c r="A1062" t="s">
        <v>20</v>
      </c>
      <c r="B1062" t="s">
        <v>19</v>
      </c>
      <c r="C1062" t="s">
        <v>214</v>
      </c>
      <c r="D1062"/>
      <c r="E1062" t="s">
        <v>1815</v>
      </c>
      <c r="F1062"/>
      <c r="G1062" s="107">
        <v>0</v>
      </c>
    </row>
    <row r="1063" spans="1:7">
      <c r="A1063" t="s">
        <v>20</v>
      </c>
      <c r="B1063" t="s">
        <v>19</v>
      </c>
      <c r="C1063" t="s">
        <v>234</v>
      </c>
      <c r="D1063"/>
      <c r="E1063" t="s">
        <v>1816</v>
      </c>
      <c r="F1063"/>
      <c r="G1063" s="107">
        <v>126000</v>
      </c>
    </row>
    <row r="1064" spans="1:7">
      <c r="A1064" t="s">
        <v>20</v>
      </c>
      <c r="B1064" t="s">
        <v>19</v>
      </c>
      <c r="C1064" t="s">
        <v>236</v>
      </c>
      <c r="D1064"/>
      <c r="E1064" t="s">
        <v>1817</v>
      </c>
      <c r="F1064"/>
      <c r="G1064" s="107">
        <v>98000</v>
      </c>
    </row>
    <row r="1065" spans="1:7">
      <c r="A1065" t="s">
        <v>20</v>
      </c>
      <c r="B1065" t="s">
        <v>19</v>
      </c>
      <c r="C1065" t="s">
        <v>238</v>
      </c>
      <c r="D1065"/>
      <c r="E1065" t="s">
        <v>2585</v>
      </c>
      <c r="F1065"/>
      <c r="G1065" s="107">
        <v>28000</v>
      </c>
    </row>
    <row r="1066" spans="1:7">
      <c r="A1066" s="128" t="s">
        <v>20</v>
      </c>
      <c r="B1066" s="128" t="s">
        <v>2117</v>
      </c>
      <c r="C1066" s="128"/>
      <c r="D1066" s="128"/>
      <c r="E1066" s="128" t="s">
        <v>1523</v>
      </c>
      <c r="F1066" s="128"/>
      <c r="G1066" s="129">
        <v>120000</v>
      </c>
    </row>
    <row r="1067" spans="1:7">
      <c r="A1067" t="s">
        <v>20</v>
      </c>
      <c r="B1067" t="s">
        <v>19</v>
      </c>
      <c r="C1067" t="s">
        <v>214</v>
      </c>
      <c r="D1067"/>
      <c r="E1067" t="s">
        <v>1524</v>
      </c>
      <c r="F1067"/>
      <c r="G1067" s="107">
        <v>0</v>
      </c>
    </row>
    <row r="1068" spans="1:7">
      <c r="A1068" t="s">
        <v>20</v>
      </c>
      <c r="B1068" t="s">
        <v>19</v>
      </c>
      <c r="C1068" t="s">
        <v>234</v>
      </c>
      <c r="D1068"/>
      <c r="E1068" t="s">
        <v>1525</v>
      </c>
      <c r="F1068"/>
      <c r="G1068" s="107">
        <v>24000</v>
      </c>
    </row>
    <row r="1069" spans="1:7">
      <c r="A1069" t="s">
        <v>20</v>
      </c>
      <c r="B1069" t="s">
        <v>19</v>
      </c>
      <c r="C1069" t="s">
        <v>236</v>
      </c>
      <c r="D1069"/>
      <c r="E1069" t="s">
        <v>1526</v>
      </c>
      <c r="F1069"/>
      <c r="G1069" s="107">
        <v>56000</v>
      </c>
    </row>
    <row r="1070" spans="1:7">
      <c r="A1070" t="s">
        <v>20</v>
      </c>
      <c r="B1070" t="s">
        <v>19</v>
      </c>
      <c r="C1070" t="s">
        <v>238</v>
      </c>
      <c r="D1070"/>
      <c r="E1070" t="s">
        <v>1527</v>
      </c>
      <c r="F1070"/>
      <c r="G1070" s="107">
        <v>16000</v>
      </c>
    </row>
    <row r="1071" spans="1:7">
      <c r="A1071" t="s">
        <v>20</v>
      </c>
      <c r="B1071" t="s">
        <v>19</v>
      </c>
      <c r="C1071" t="s">
        <v>214</v>
      </c>
      <c r="D1071"/>
      <c r="E1071" t="s">
        <v>1528</v>
      </c>
      <c r="F1071"/>
      <c r="G1071" s="107">
        <v>0</v>
      </c>
    </row>
    <row r="1072" spans="1:7">
      <c r="A1072" t="s">
        <v>20</v>
      </c>
      <c r="B1072" t="s">
        <v>19</v>
      </c>
      <c r="C1072" t="s">
        <v>1419</v>
      </c>
      <c r="D1072"/>
      <c r="E1072" t="s">
        <v>2586</v>
      </c>
      <c r="F1072"/>
      <c r="G1072" s="107">
        <v>8000</v>
      </c>
    </row>
    <row r="1073" spans="1:7">
      <c r="A1073" t="s">
        <v>20</v>
      </c>
      <c r="B1073" t="s">
        <v>19</v>
      </c>
      <c r="C1073" t="s">
        <v>1419</v>
      </c>
      <c r="D1073"/>
      <c r="E1073" t="s">
        <v>2587</v>
      </c>
      <c r="F1073"/>
      <c r="G1073" s="107">
        <v>16000</v>
      </c>
    </row>
    <row r="1074" spans="1:7">
      <c r="A1074" t="s">
        <v>20</v>
      </c>
      <c r="B1074" t="s">
        <v>19</v>
      </c>
      <c r="C1074" t="s">
        <v>1419</v>
      </c>
      <c r="D1074"/>
      <c r="E1074" t="s">
        <v>2588</v>
      </c>
      <c r="F1074"/>
      <c r="G1074" s="107">
        <v>0</v>
      </c>
    </row>
    <row r="1075" spans="1:7">
      <c r="A1075" s="128" t="s">
        <v>20</v>
      </c>
      <c r="B1075" s="128" t="s">
        <v>2117</v>
      </c>
      <c r="C1075" s="128"/>
      <c r="D1075" s="128"/>
      <c r="E1075" s="128" t="s">
        <v>659</v>
      </c>
      <c r="F1075" s="128"/>
      <c r="G1075" s="129">
        <v>229000</v>
      </c>
    </row>
    <row r="1076" spans="1:7">
      <c r="A1076" t="s">
        <v>20</v>
      </c>
      <c r="B1076" t="s">
        <v>19</v>
      </c>
      <c r="C1076" t="s">
        <v>214</v>
      </c>
      <c r="D1076"/>
      <c r="E1076" t="s">
        <v>660</v>
      </c>
      <c r="F1076"/>
      <c r="G1076" s="107">
        <v>0</v>
      </c>
    </row>
    <row r="1077" spans="1:7">
      <c r="A1077" t="s">
        <v>20</v>
      </c>
      <c r="B1077" t="s">
        <v>19</v>
      </c>
      <c r="C1077" t="s">
        <v>234</v>
      </c>
      <c r="D1077"/>
      <c r="E1077" t="s">
        <v>661</v>
      </c>
      <c r="F1077"/>
      <c r="G1077" s="107">
        <v>22500</v>
      </c>
    </row>
    <row r="1078" spans="1:7">
      <c r="A1078" t="s">
        <v>20</v>
      </c>
      <c r="B1078" t="s">
        <v>19</v>
      </c>
      <c r="C1078" t="s">
        <v>236</v>
      </c>
      <c r="D1078"/>
      <c r="E1078" t="s">
        <v>662</v>
      </c>
      <c r="F1078"/>
      <c r="G1078" s="107">
        <v>52500</v>
      </c>
    </row>
    <row r="1079" spans="1:7">
      <c r="A1079" t="s">
        <v>20</v>
      </c>
      <c r="B1079" t="s">
        <v>19</v>
      </c>
      <c r="C1079" t="s">
        <v>238</v>
      </c>
      <c r="D1079"/>
      <c r="E1079" t="s">
        <v>663</v>
      </c>
      <c r="F1079"/>
      <c r="G1079" s="107">
        <v>15000</v>
      </c>
    </row>
    <row r="1080" spans="1:7">
      <c r="A1080" t="s">
        <v>20</v>
      </c>
      <c r="B1080" t="s">
        <v>19</v>
      </c>
      <c r="C1080" t="s">
        <v>214</v>
      </c>
      <c r="D1080"/>
      <c r="E1080" t="s">
        <v>664</v>
      </c>
      <c r="F1080"/>
      <c r="G1080" s="107">
        <v>0</v>
      </c>
    </row>
    <row r="1081" spans="1:7">
      <c r="A1081" t="s">
        <v>20</v>
      </c>
      <c r="B1081" t="s">
        <v>19</v>
      </c>
      <c r="C1081" t="s">
        <v>234</v>
      </c>
      <c r="D1081"/>
      <c r="E1081" t="s">
        <v>665</v>
      </c>
      <c r="F1081"/>
      <c r="G1081" s="107">
        <v>34500</v>
      </c>
    </row>
    <row r="1082" spans="1:7">
      <c r="A1082" t="s">
        <v>20</v>
      </c>
      <c r="B1082" t="s">
        <v>19</v>
      </c>
      <c r="C1082" t="s">
        <v>214</v>
      </c>
      <c r="D1082"/>
      <c r="E1082" t="s">
        <v>666</v>
      </c>
      <c r="F1082"/>
      <c r="G1082" s="107">
        <v>0</v>
      </c>
    </row>
    <row r="1083" spans="1:7">
      <c r="A1083" t="s">
        <v>20</v>
      </c>
      <c r="B1083" t="s">
        <v>19</v>
      </c>
      <c r="C1083" t="s">
        <v>1419</v>
      </c>
      <c r="D1083"/>
      <c r="E1083" t="s">
        <v>667</v>
      </c>
      <c r="F1083"/>
      <c r="G1083" s="107">
        <v>10000</v>
      </c>
    </row>
    <row r="1084" spans="1:7">
      <c r="A1084" t="s">
        <v>20</v>
      </c>
      <c r="B1084" t="s">
        <v>19</v>
      </c>
      <c r="C1084" t="s">
        <v>1419</v>
      </c>
      <c r="D1084"/>
      <c r="E1084" t="s">
        <v>668</v>
      </c>
      <c r="F1084"/>
      <c r="G1084" s="107">
        <v>20000</v>
      </c>
    </row>
    <row r="1085" spans="1:7">
      <c r="A1085" t="s">
        <v>20</v>
      </c>
      <c r="B1085" t="s">
        <v>19</v>
      </c>
      <c r="C1085" t="s">
        <v>1419</v>
      </c>
      <c r="D1085"/>
      <c r="E1085" t="s">
        <v>669</v>
      </c>
      <c r="F1085"/>
      <c r="G1085" s="107">
        <v>10000</v>
      </c>
    </row>
    <row r="1086" spans="1:7">
      <c r="A1086" t="s">
        <v>20</v>
      </c>
      <c r="B1086" t="s">
        <v>19</v>
      </c>
      <c r="C1086" t="s">
        <v>214</v>
      </c>
      <c r="D1086"/>
      <c r="E1086" t="s">
        <v>2589</v>
      </c>
      <c r="F1086"/>
      <c r="G1086" s="107">
        <v>0</v>
      </c>
    </row>
    <row r="1087" spans="1:7">
      <c r="A1087" t="s">
        <v>20</v>
      </c>
      <c r="B1087" t="s">
        <v>19</v>
      </c>
      <c r="C1087" t="s">
        <v>1419</v>
      </c>
      <c r="D1087"/>
      <c r="E1087" t="s">
        <v>2590</v>
      </c>
      <c r="F1087"/>
      <c r="G1087" s="107">
        <v>7500</v>
      </c>
    </row>
    <row r="1088" spans="1:7">
      <c r="A1088" t="s">
        <v>20</v>
      </c>
      <c r="B1088" t="s">
        <v>19</v>
      </c>
      <c r="C1088" t="s">
        <v>1419</v>
      </c>
      <c r="D1088"/>
      <c r="E1088" t="s">
        <v>2591</v>
      </c>
      <c r="F1088"/>
      <c r="G1088" s="107">
        <v>15000</v>
      </c>
    </row>
    <row r="1089" spans="1:7">
      <c r="A1089" t="s">
        <v>20</v>
      </c>
      <c r="B1089" t="s">
        <v>19</v>
      </c>
      <c r="C1089" t="s">
        <v>1419</v>
      </c>
      <c r="D1089"/>
      <c r="E1089" t="s">
        <v>2592</v>
      </c>
      <c r="F1089"/>
      <c r="G1089" s="107">
        <v>7500</v>
      </c>
    </row>
    <row r="1090" spans="1:7">
      <c r="A1090" t="s">
        <v>20</v>
      </c>
      <c r="B1090" t="s">
        <v>19</v>
      </c>
      <c r="C1090" t="s">
        <v>214</v>
      </c>
      <c r="D1090"/>
      <c r="E1090" t="s">
        <v>2593</v>
      </c>
      <c r="F1090"/>
      <c r="G1090" s="107">
        <v>0</v>
      </c>
    </row>
    <row r="1091" spans="1:7">
      <c r="A1091" t="s">
        <v>20</v>
      </c>
      <c r="B1091" t="s">
        <v>19</v>
      </c>
      <c r="C1091" t="s">
        <v>236</v>
      </c>
      <c r="D1091"/>
      <c r="E1091" t="s">
        <v>2594</v>
      </c>
      <c r="F1091"/>
      <c r="G1091" s="107">
        <v>34500</v>
      </c>
    </row>
    <row r="1092" spans="1:7">
      <c r="A1092" s="128" t="s">
        <v>20</v>
      </c>
      <c r="B1092" s="128" t="s">
        <v>2117</v>
      </c>
      <c r="C1092" s="128"/>
      <c r="D1092" s="128"/>
      <c r="E1092" s="128" t="s">
        <v>1818</v>
      </c>
      <c r="F1092" s="128"/>
      <c r="G1092" s="129">
        <v>10000</v>
      </c>
    </row>
    <row r="1093" spans="1:7">
      <c r="A1093" t="s">
        <v>20</v>
      </c>
      <c r="B1093" t="s">
        <v>19</v>
      </c>
      <c r="C1093" t="s">
        <v>214</v>
      </c>
      <c r="D1093"/>
      <c r="E1093" t="s">
        <v>1819</v>
      </c>
      <c r="F1093"/>
      <c r="G1093" s="107">
        <v>0</v>
      </c>
    </row>
    <row r="1094" spans="1:7">
      <c r="A1094" t="s">
        <v>20</v>
      </c>
      <c r="B1094" t="s">
        <v>19</v>
      </c>
      <c r="C1094" t="s">
        <v>234</v>
      </c>
      <c r="D1094"/>
      <c r="E1094" t="s">
        <v>2595</v>
      </c>
      <c r="F1094"/>
      <c r="G1094" s="107">
        <v>10000</v>
      </c>
    </row>
    <row r="1095" spans="1:7">
      <c r="A1095" s="128" t="s">
        <v>20</v>
      </c>
      <c r="B1095" s="128" t="s">
        <v>2117</v>
      </c>
      <c r="C1095" s="128"/>
      <c r="D1095" s="128"/>
      <c r="E1095" s="128" t="s">
        <v>670</v>
      </c>
      <c r="F1095" s="128"/>
      <c r="G1095" s="129">
        <v>1500000</v>
      </c>
    </row>
    <row r="1096" spans="1:7">
      <c r="A1096" t="s">
        <v>20</v>
      </c>
      <c r="B1096" t="s">
        <v>19</v>
      </c>
      <c r="C1096" t="s">
        <v>214</v>
      </c>
      <c r="D1096"/>
      <c r="E1096" t="s">
        <v>671</v>
      </c>
      <c r="F1096"/>
      <c r="G1096" s="107">
        <v>0</v>
      </c>
    </row>
    <row r="1097" spans="1:7">
      <c r="A1097" t="s">
        <v>20</v>
      </c>
      <c r="B1097" t="s">
        <v>19</v>
      </c>
      <c r="C1097" t="s">
        <v>236</v>
      </c>
      <c r="D1097"/>
      <c r="E1097" t="s">
        <v>2596</v>
      </c>
      <c r="F1097"/>
      <c r="G1097" s="107">
        <v>1500000</v>
      </c>
    </row>
    <row r="1098" spans="1:7">
      <c r="A1098" s="128" t="s">
        <v>20</v>
      </c>
      <c r="B1098" s="128" t="s">
        <v>2117</v>
      </c>
      <c r="C1098" s="128"/>
      <c r="D1098" s="128"/>
      <c r="E1098" s="128" t="s">
        <v>672</v>
      </c>
      <c r="F1098" s="128"/>
      <c r="G1098" s="129">
        <v>299000</v>
      </c>
    </row>
    <row r="1099" spans="1:7">
      <c r="A1099" t="s">
        <v>20</v>
      </c>
      <c r="B1099" t="s">
        <v>19</v>
      </c>
      <c r="C1099" t="s">
        <v>214</v>
      </c>
      <c r="D1099"/>
      <c r="E1099" t="s">
        <v>673</v>
      </c>
      <c r="F1099"/>
      <c r="G1099" s="107">
        <v>0</v>
      </c>
    </row>
    <row r="1100" spans="1:7">
      <c r="A1100" t="s">
        <v>20</v>
      </c>
      <c r="B1100" t="s">
        <v>19</v>
      </c>
      <c r="C1100" t="s">
        <v>227</v>
      </c>
      <c r="D1100"/>
      <c r="E1100" t="s">
        <v>674</v>
      </c>
      <c r="F1100"/>
      <c r="G1100" s="107">
        <v>140000</v>
      </c>
    </row>
    <row r="1101" spans="1:7">
      <c r="A1101" t="s">
        <v>20</v>
      </c>
      <c r="B1101" t="s">
        <v>19</v>
      </c>
      <c r="C1101" t="s">
        <v>214</v>
      </c>
      <c r="D1101"/>
      <c r="E1101" t="s">
        <v>1529</v>
      </c>
      <c r="F1101"/>
      <c r="G1101" s="107">
        <v>0</v>
      </c>
    </row>
    <row r="1102" spans="1:7">
      <c r="A1102" t="s">
        <v>20</v>
      </c>
      <c r="B1102" t="s">
        <v>19</v>
      </c>
      <c r="C1102" t="s">
        <v>227</v>
      </c>
      <c r="D1102"/>
      <c r="E1102" t="s">
        <v>1530</v>
      </c>
      <c r="F1102"/>
      <c r="G1102" s="107">
        <v>15000</v>
      </c>
    </row>
    <row r="1103" spans="1:7">
      <c r="A1103" t="s">
        <v>20</v>
      </c>
      <c r="B1103" t="s">
        <v>19</v>
      </c>
      <c r="C1103" t="s">
        <v>214</v>
      </c>
      <c r="D1103"/>
      <c r="E1103" t="s">
        <v>2597</v>
      </c>
      <c r="F1103"/>
      <c r="G1103" s="107">
        <v>0</v>
      </c>
    </row>
    <row r="1104" spans="1:7">
      <c r="A1104" t="s">
        <v>20</v>
      </c>
      <c r="B1104" t="s">
        <v>19</v>
      </c>
      <c r="C1104" t="s">
        <v>234</v>
      </c>
      <c r="D1104"/>
      <c r="E1104" t="s">
        <v>2598</v>
      </c>
      <c r="F1104"/>
      <c r="G1104" s="107">
        <v>63000</v>
      </c>
    </row>
    <row r="1105" spans="1:7">
      <c r="A1105" t="s">
        <v>20</v>
      </c>
      <c r="B1105" t="s">
        <v>19</v>
      </c>
      <c r="C1105" t="s">
        <v>236</v>
      </c>
      <c r="D1105"/>
      <c r="E1105" t="s">
        <v>2599</v>
      </c>
      <c r="F1105"/>
      <c r="G1105" s="107">
        <v>63000</v>
      </c>
    </row>
    <row r="1106" spans="1:7">
      <c r="A1106" t="s">
        <v>20</v>
      </c>
      <c r="B1106" t="s">
        <v>19</v>
      </c>
      <c r="C1106" t="s">
        <v>238</v>
      </c>
      <c r="D1106"/>
      <c r="E1106" t="s">
        <v>2600</v>
      </c>
      <c r="F1106"/>
      <c r="G1106" s="107">
        <v>18000</v>
      </c>
    </row>
    <row r="1107" spans="1:7">
      <c r="A1107" s="128" t="s">
        <v>20</v>
      </c>
      <c r="B1107" s="128" t="s">
        <v>2117</v>
      </c>
      <c r="C1107" s="128"/>
      <c r="D1107" s="128"/>
      <c r="E1107" s="128" t="s">
        <v>675</v>
      </c>
      <c r="F1107" s="128"/>
      <c r="G1107" s="129">
        <v>20000</v>
      </c>
    </row>
    <row r="1108" spans="1:7">
      <c r="A1108" t="s">
        <v>20</v>
      </c>
      <c r="B1108" t="s">
        <v>19</v>
      </c>
      <c r="C1108" t="s">
        <v>214</v>
      </c>
      <c r="D1108"/>
      <c r="E1108" t="s">
        <v>676</v>
      </c>
      <c r="F1108"/>
      <c r="G1108" s="107">
        <v>0</v>
      </c>
    </row>
    <row r="1109" spans="1:7">
      <c r="A1109" t="s">
        <v>20</v>
      </c>
      <c r="B1109" t="s">
        <v>19</v>
      </c>
      <c r="C1109" t="s">
        <v>227</v>
      </c>
      <c r="D1109"/>
      <c r="E1109" t="s">
        <v>2601</v>
      </c>
      <c r="F1109"/>
      <c r="G1109" s="107">
        <v>20000</v>
      </c>
    </row>
    <row r="1110" spans="1:7">
      <c r="A1110" s="163" t="s">
        <v>20</v>
      </c>
      <c r="B1110" s="163" t="s">
        <v>8</v>
      </c>
      <c r="C1110" s="163"/>
      <c r="D1110" s="163"/>
      <c r="E1110" s="163" t="s">
        <v>677</v>
      </c>
      <c r="F1110" s="163"/>
      <c r="G1110" s="164">
        <v>1208200</v>
      </c>
    </row>
    <row r="1111" spans="1:7">
      <c r="A1111" s="128" t="s">
        <v>20</v>
      </c>
      <c r="B1111" s="128" t="s">
        <v>2117</v>
      </c>
      <c r="C1111" s="128"/>
      <c r="D1111" s="128"/>
      <c r="E1111" s="128" t="s">
        <v>678</v>
      </c>
      <c r="F1111" s="128"/>
      <c r="G1111" s="129">
        <v>474900</v>
      </c>
    </row>
    <row r="1112" spans="1:7">
      <c r="A1112" t="s">
        <v>20</v>
      </c>
      <c r="B1112" t="s">
        <v>19</v>
      </c>
      <c r="C1112" t="s">
        <v>214</v>
      </c>
      <c r="D1112"/>
      <c r="E1112" t="s">
        <v>679</v>
      </c>
      <c r="F1112"/>
      <c r="G1112" s="107">
        <v>0</v>
      </c>
    </row>
    <row r="1113" spans="1:7">
      <c r="A1113" t="s">
        <v>20</v>
      </c>
      <c r="B1113" t="s">
        <v>19</v>
      </c>
      <c r="C1113" t="s">
        <v>234</v>
      </c>
      <c r="D1113"/>
      <c r="E1113" t="s">
        <v>680</v>
      </c>
      <c r="F1113"/>
      <c r="G1113" s="107">
        <v>147000</v>
      </c>
    </row>
    <row r="1114" spans="1:7">
      <c r="A1114" t="s">
        <v>20</v>
      </c>
      <c r="B1114" t="s">
        <v>19</v>
      </c>
      <c r="C1114" t="s">
        <v>236</v>
      </c>
      <c r="D1114"/>
      <c r="E1114" t="s">
        <v>681</v>
      </c>
      <c r="F1114"/>
      <c r="G1114" s="107">
        <v>147000</v>
      </c>
    </row>
    <row r="1115" spans="1:7">
      <c r="A1115" t="s">
        <v>20</v>
      </c>
      <c r="B1115" t="s">
        <v>19</v>
      </c>
      <c r="C1115" t="s">
        <v>238</v>
      </c>
      <c r="D1115"/>
      <c r="E1115" t="s">
        <v>682</v>
      </c>
      <c r="F1115"/>
      <c r="G1115" s="107">
        <v>21000</v>
      </c>
    </row>
    <row r="1116" spans="1:7">
      <c r="A1116" t="s">
        <v>20</v>
      </c>
      <c r="B1116" t="s">
        <v>19</v>
      </c>
      <c r="C1116" t="s">
        <v>214</v>
      </c>
      <c r="D1116"/>
      <c r="E1116" t="s">
        <v>683</v>
      </c>
      <c r="F1116"/>
      <c r="G1116" s="107">
        <v>0</v>
      </c>
    </row>
    <row r="1117" spans="1:7">
      <c r="A1117" t="s">
        <v>20</v>
      </c>
      <c r="B1117" t="s">
        <v>19</v>
      </c>
      <c r="C1117" t="s">
        <v>234</v>
      </c>
      <c r="D1117"/>
      <c r="E1117" t="s">
        <v>2602</v>
      </c>
      <c r="F1117"/>
      <c r="G1117" s="107">
        <v>61500</v>
      </c>
    </row>
    <row r="1118" spans="1:7">
      <c r="A1118" t="s">
        <v>20</v>
      </c>
      <c r="B1118" t="s">
        <v>19</v>
      </c>
      <c r="C1118" t="s">
        <v>236</v>
      </c>
      <c r="D1118"/>
      <c r="E1118" t="s">
        <v>2603</v>
      </c>
      <c r="F1118"/>
      <c r="G1118" s="107">
        <v>86100</v>
      </c>
    </row>
    <row r="1119" spans="1:7">
      <c r="A1119" t="s">
        <v>20</v>
      </c>
      <c r="B1119" t="s">
        <v>19</v>
      </c>
      <c r="C1119" t="s">
        <v>238</v>
      </c>
      <c r="D1119"/>
      <c r="E1119" t="s">
        <v>2604</v>
      </c>
      <c r="F1119"/>
      <c r="G1119" s="107">
        <v>12300</v>
      </c>
    </row>
    <row r="1120" spans="1:7">
      <c r="A1120" s="128" t="s">
        <v>20</v>
      </c>
      <c r="B1120" s="128" t="s">
        <v>2117</v>
      </c>
      <c r="C1120" s="128"/>
      <c r="D1120" s="128"/>
      <c r="E1120" s="128" t="s">
        <v>684</v>
      </c>
      <c r="F1120" s="128"/>
      <c r="G1120" s="129">
        <v>253400</v>
      </c>
    </row>
    <row r="1121" spans="1:7">
      <c r="A1121" t="s">
        <v>20</v>
      </c>
      <c r="B1121" t="s">
        <v>19</v>
      </c>
      <c r="C1121" t="s">
        <v>214</v>
      </c>
      <c r="D1121"/>
      <c r="E1121" t="s">
        <v>685</v>
      </c>
      <c r="F1121"/>
      <c r="G1121" s="107">
        <v>0</v>
      </c>
    </row>
    <row r="1122" spans="1:7">
      <c r="A1122" t="s">
        <v>20</v>
      </c>
      <c r="B1122" t="s">
        <v>19</v>
      </c>
      <c r="C1122" t="s">
        <v>234</v>
      </c>
      <c r="D1122"/>
      <c r="E1122" t="s">
        <v>686</v>
      </c>
      <c r="F1122"/>
      <c r="G1122" s="107">
        <v>36000</v>
      </c>
    </row>
    <row r="1123" spans="1:7">
      <c r="A1123" t="s">
        <v>20</v>
      </c>
      <c r="B1123" t="s">
        <v>19</v>
      </c>
      <c r="C1123" t="s">
        <v>236</v>
      </c>
      <c r="D1123"/>
      <c r="E1123" t="s">
        <v>687</v>
      </c>
      <c r="F1123"/>
      <c r="G1123" s="107">
        <v>84000</v>
      </c>
    </row>
    <row r="1124" spans="1:7">
      <c r="A1124" t="s">
        <v>20</v>
      </c>
      <c r="B1124" t="s">
        <v>19</v>
      </c>
      <c r="C1124" t="s">
        <v>238</v>
      </c>
      <c r="D1124"/>
      <c r="E1124" t="s">
        <v>688</v>
      </c>
      <c r="F1124"/>
      <c r="G1124" s="107">
        <v>0</v>
      </c>
    </row>
    <row r="1125" spans="1:7">
      <c r="A1125" t="s">
        <v>20</v>
      </c>
      <c r="B1125" t="s">
        <v>19</v>
      </c>
      <c r="C1125" t="s">
        <v>214</v>
      </c>
      <c r="D1125"/>
      <c r="E1125" t="s">
        <v>689</v>
      </c>
      <c r="F1125"/>
      <c r="G1125" s="107">
        <v>0</v>
      </c>
    </row>
    <row r="1126" spans="1:7">
      <c r="A1126" t="s">
        <v>20</v>
      </c>
      <c r="B1126" t="s">
        <v>19</v>
      </c>
      <c r="C1126" t="s">
        <v>234</v>
      </c>
      <c r="D1126"/>
      <c r="E1126" t="s">
        <v>690</v>
      </c>
      <c r="F1126"/>
      <c r="G1126" s="107">
        <v>10300</v>
      </c>
    </row>
    <row r="1127" spans="1:7">
      <c r="A1127" t="s">
        <v>20</v>
      </c>
      <c r="B1127" t="s">
        <v>19</v>
      </c>
      <c r="C1127" t="s">
        <v>236</v>
      </c>
      <c r="D1127"/>
      <c r="E1127" t="s">
        <v>691</v>
      </c>
      <c r="F1127"/>
      <c r="G1127" s="107">
        <v>72100</v>
      </c>
    </row>
    <row r="1128" spans="1:7">
      <c r="A1128" t="s">
        <v>20</v>
      </c>
      <c r="B1128" t="s">
        <v>19</v>
      </c>
      <c r="C1128" t="s">
        <v>214</v>
      </c>
      <c r="D1128"/>
      <c r="E1128" t="s">
        <v>1531</v>
      </c>
      <c r="F1128"/>
      <c r="G1128" s="107">
        <v>0</v>
      </c>
    </row>
    <row r="1129" spans="1:7">
      <c r="A1129" t="s">
        <v>20</v>
      </c>
      <c r="B1129" t="s">
        <v>19</v>
      </c>
      <c r="C1129" t="s">
        <v>1419</v>
      </c>
      <c r="D1129"/>
      <c r="E1129" t="s">
        <v>1532</v>
      </c>
      <c r="F1129"/>
      <c r="G1129" s="107">
        <v>9000</v>
      </c>
    </row>
    <row r="1130" spans="1:7">
      <c r="A1130" t="s">
        <v>20</v>
      </c>
      <c r="B1130" t="s">
        <v>19</v>
      </c>
      <c r="C1130" t="s">
        <v>1419</v>
      </c>
      <c r="D1130"/>
      <c r="E1130" t="s">
        <v>1533</v>
      </c>
      <c r="F1130"/>
      <c r="G1130" s="107">
        <v>18000</v>
      </c>
    </row>
    <row r="1131" spans="1:7">
      <c r="A1131" t="s">
        <v>20</v>
      </c>
      <c r="B1131" t="s">
        <v>19</v>
      </c>
      <c r="C1131" t="s">
        <v>1419</v>
      </c>
      <c r="D1131"/>
      <c r="E1131" t="s">
        <v>2605</v>
      </c>
      <c r="F1131"/>
      <c r="G1131" s="107">
        <v>0</v>
      </c>
    </row>
    <row r="1132" spans="1:7">
      <c r="A1132" t="s">
        <v>20</v>
      </c>
      <c r="B1132" t="s">
        <v>19</v>
      </c>
      <c r="C1132" t="s">
        <v>214</v>
      </c>
      <c r="D1132"/>
      <c r="E1132" t="s">
        <v>2606</v>
      </c>
      <c r="F1132"/>
      <c r="G1132" s="107">
        <v>0</v>
      </c>
    </row>
    <row r="1133" spans="1:7">
      <c r="A1133" t="s">
        <v>20</v>
      </c>
      <c r="B1133" t="s">
        <v>19</v>
      </c>
      <c r="C1133" t="s">
        <v>1419</v>
      </c>
      <c r="D1133"/>
      <c r="E1133" t="s">
        <v>2607</v>
      </c>
      <c r="F1133"/>
      <c r="G1133" s="107">
        <v>8000</v>
      </c>
    </row>
    <row r="1134" spans="1:7">
      <c r="A1134" t="s">
        <v>20</v>
      </c>
      <c r="B1134" t="s">
        <v>19</v>
      </c>
      <c r="C1134" t="s">
        <v>1419</v>
      </c>
      <c r="D1134"/>
      <c r="E1134" t="s">
        <v>2608</v>
      </c>
      <c r="F1134"/>
      <c r="G1134" s="107">
        <v>16000</v>
      </c>
    </row>
    <row r="1135" spans="1:7">
      <c r="A1135" t="s">
        <v>20</v>
      </c>
      <c r="B1135" t="s">
        <v>19</v>
      </c>
      <c r="C1135" t="s">
        <v>1419</v>
      </c>
      <c r="D1135"/>
      <c r="E1135" t="s">
        <v>2609</v>
      </c>
      <c r="F1135"/>
      <c r="G1135" s="107">
        <v>0</v>
      </c>
    </row>
    <row r="1136" spans="1:7">
      <c r="A1136" s="128" t="s">
        <v>20</v>
      </c>
      <c r="B1136" s="128" t="s">
        <v>2117</v>
      </c>
      <c r="C1136" s="128"/>
      <c r="D1136" s="128"/>
      <c r="E1136" s="128" t="s">
        <v>692</v>
      </c>
      <c r="F1136" s="128"/>
      <c r="G1136" s="129">
        <v>120000</v>
      </c>
    </row>
    <row r="1137" spans="1:7">
      <c r="A1137" t="s">
        <v>20</v>
      </c>
      <c r="B1137" t="s">
        <v>19</v>
      </c>
      <c r="C1137" t="s">
        <v>214</v>
      </c>
      <c r="D1137"/>
      <c r="E1137" t="s">
        <v>693</v>
      </c>
      <c r="F1137"/>
      <c r="G1137" s="107">
        <v>0</v>
      </c>
    </row>
    <row r="1138" spans="1:7">
      <c r="A1138" t="s">
        <v>20</v>
      </c>
      <c r="B1138" t="s">
        <v>19</v>
      </c>
      <c r="C1138" t="s">
        <v>234</v>
      </c>
      <c r="D1138"/>
      <c r="E1138" t="s">
        <v>694</v>
      </c>
      <c r="F1138"/>
      <c r="G1138" s="107">
        <v>36000</v>
      </c>
    </row>
    <row r="1139" spans="1:7">
      <c r="A1139" t="s">
        <v>20</v>
      </c>
      <c r="B1139" t="s">
        <v>19</v>
      </c>
      <c r="C1139" t="s">
        <v>236</v>
      </c>
      <c r="D1139"/>
      <c r="E1139" t="s">
        <v>695</v>
      </c>
      <c r="F1139"/>
      <c r="G1139" s="107">
        <v>84000</v>
      </c>
    </row>
    <row r="1140" spans="1:7">
      <c r="A1140" t="s">
        <v>20</v>
      </c>
      <c r="B1140" t="s">
        <v>19</v>
      </c>
      <c r="C1140" t="s">
        <v>238</v>
      </c>
      <c r="D1140"/>
      <c r="E1140" t="s">
        <v>2610</v>
      </c>
      <c r="F1140"/>
      <c r="G1140" s="107">
        <v>0</v>
      </c>
    </row>
    <row r="1141" spans="1:7">
      <c r="A1141" s="128" t="s">
        <v>20</v>
      </c>
      <c r="B1141" s="128" t="s">
        <v>2117</v>
      </c>
      <c r="C1141" s="128"/>
      <c r="D1141" s="128"/>
      <c r="E1141" s="128" t="s">
        <v>696</v>
      </c>
      <c r="F1141" s="128"/>
      <c r="G1141" s="129">
        <v>159900</v>
      </c>
    </row>
    <row r="1142" spans="1:7">
      <c r="A1142" t="s">
        <v>20</v>
      </c>
      <c r="B1142" t="s">
        <v>19</v>
      </c>
      <c r="C1142" t="s">
        <v>214</v>
      </c>
      <c r="D1142"/>
      <c r="E1142" t="s">
        <v>697</v>
      </c>
      <c r="F1142"/>
      <c r="G1142" s="107">
        <v>0</v>
      </c>
    </row>
    <row r="1143" spans="1:7">
      <c r="A1143" t="s">
        <v>20</v>
      </c>
      <c r="B1143" t="s">
        <v>19</v>
      </c>
      <c r="C1143" t="s">
        <v>234</v>
      </c>
      <c r="D1143"/>
      <c r="E1143" t="s">
        <v>698</v>
      </c>
      <c r="F1143"/>
      <c r="G1143" s="107">
        <v>9300</v>
      </c>
    </row>
    <row r="1144" spans="1:7">
      <c r="A1144" t="s">
        <v>20</v>
      </c>
      <c r="B1144" t="s">
        <v>19</v>
      </c>
      <c r="C1144" t="s">
        <v>236</v>
      </c>
      <c r="D1144"/>
      <c r="E1144" t="s">
        <v>699</v>
      </c>
      <c r="F1144"/>
      <c r="G1144" s="107">
        <v>65100</v>
      </c>
    </row>
    <row r="1145" spans="1:7">
      <c r="A1145" t="s">
        <v>20</v>
      </c>
      <c r="B1145" t="s">
        <v>19</v>
      </c>
      <c r="C1145" t="s">
        <v>238</v>
      </c>
      <c r="D1145"/>
      <c r="E1145" t="s">
        <v>700</v>
      </c>
      <c r="F1145"/>
      <c r="G1145" s="107">
        <v>0</v>
      </c>
    </row>
    <row r="1146" spans="1:7">
      <c r="A1146" t="s">
        <v>20</v>
      </c>
      <c r="B1146" t="s">
        <v>19</v>
      </c>
      <c r="C1146" t="s">
        <v>214</v>
      </c>
      <c r="D1146"/>
      <c r="E1146" t="s">
        <v>701</v>
      </c>
      <c r="F1146"/>
      <c r="G1146" s="107">
        <v>0</v>
      </c>
    </row>
    <row r="1147" spans="1:7">
      <c r="A1147" t="s">
        <v>20</v>
      </c>
      <c r="B1147" t="s">
        <v>19</v>
      </c>
      <c r="C1147" t="s">
        <v>1419</v>
      </c>
      <c r="D1147"/>
      <c r="E1147" t="s">
        <v>702</v>
      </c>
      <c r="F1147"/>
      <c r="G1147" s="107">
        <v>8000</v>
      </c>
    </row>
    <row r="1148" spans="1:7">
      <c r="A1148" t="s">
        <v>20</v>
      </c>
      <c r="B1148" t="s">
        <v>19</v>
      </c>
      <c r="C1148" t="s">
        <v>1419</v>
      </c>
      <c r="D1148"/>
      <c r="E1148" t="s">
        <v>703</v>
      </c>
      <c r="F1148"/>
      <c r="G1148" s="107">
        <v>16000</v>
      </c>
    </row>
    <row r="1149" spans="1:7">
      <c r="A1149" t="s">
        <v>20</v>
      </c>
      <c r="B1149" t="s">
        <v>19</v>
      </c>
      <c r="C1149" t="s">
        <v>214</v>
      </c>
      <c r="D1149"/>
      <c r="E1149" t="s">
        <v>2611</v>
      </c>
      <c r="F1149"/>
      <c r="G1149" s="107">
        <v>0</v>
      </c>
    </row>
    <row r="1150" spans="1:7">
      <c r="A1150" t="s">
        <v>20</v>
      </c>
      <c r="B1150" t="s">
        <v>19</v>
      </c>
      <c r="C1150" t="s">
        <v>1419</v>
      </c>
      <c r="D1150"/>
      <c r="E1150" t="s">
        <v>2612</v>
      </c>
      <c r="F1150"/>
      <c r="G1150" s="107">
        <v>8000</v>
      </c>
    </row>
    <row r="1151" spans="1:7">
      <c r="A1151" t="s">
        <v>20</v>
      </c>
      <c r="B1151" t="s">
        <v>19</v>
      </c>
      <c r="C1151" t="s">
        <v>1419</v>
      </c>
      <c r="D1151"/>
      <c r="E1151" t="s">
        <v>2613</v>
      </c>
      <c r="F1151"/>
      <c r="G1151" s="107">
        <v>16000</v>
      </c>
    </row>
    <row r="1152" spans="1:7">
      <c r="A1152" t="s">
        <v>20</v>
      </c>
      <c r="B1152" t="s">
        <v>19</v>
      </c>
      <c r="C1152" t="s">
        <v>214</v>
      </c>
      <c r="D1152"/>
      <c r="E1152" t="s">
        <v>2614</v>
      </c>
      <c r="F1152"/>
      <c r="G1152" s="107">
        <v>0</v>
      </c>
    </row>
    <row r="1153" spans="1:7">
      <c r="A1153" t="s">
        <v>20</v>
      </c>
      <c r="B1153" t="s">
        <v>19</v>
      </c>
      <c r="C1153" t="s">
        <v>236</v>
      </c>
      <c r="D1153"/>
      <c r="E1153" t="s">
        <v>2615</v>
      </c>
      <c r="F1153"/>
      <c r="G1153" s="107">
        <v>37500</v>
      </c>
    </row>
    <row r="1154" spans="1:7">
      <c r="A1154" s="128" t="s">
        <v>20</v>
      </c>
      <c r="B1154" s="128" t="s">
        <v>2117</v>
      </c>
      <c r="C1154" s="128"/>
      <c r="D1154" s="128"/>
      <c r="E1154" s="128" t="s">
        <v>704</v>
      </c>
      <c r="F1154" s="128"/>
      <c r="G1154" s="129">
        <v>120000</v>
      </c>
    </row>
    <row r="1155" spans="1:7">
      <c r="A1155" t="s">
        <v>20</v>
      </c>
      <c r="B1155" t="s">
        <v>19</v>
      </c>
      <c r="C1155" t="s">
        <v>214</v>
      </c>
      <c r="D1155"/>
      <c r="E1155" t="s">
        <v>705</v>
      </c>
      <c r="F1155"/>
      <c r="G1155" s="107">
        <v>0</v>
      </c>
    </row>
    <row r="1156" spans="1:7">
      <c r="A1156" t="s">
        <v>20</v>
      </c>
      <c r="B1156" t="s">
        <v>19</v>
      </c>
      <c r="C1156" t="s">
        <v>227</v>
      </c>
      <c r="D1156"/>
      <c r="E1156" t="s">
        <v>2616</v>
      </c>
      <c r="F1156"/>
      <c r="G1156" s="107">
        <v>120000</v>
      </c>
    </row>
    <row r="1157" spans="1:7">
      <c r="A1157" s="128" t="s">
        <v>20</v>
      </c>
      <c r="B1157" s="128" t="s">
        <v>2117</v>
      </c>
      <c r="C1157" s="128"/>
      <c r="D1157" s="128"/>
      <c r="E1157" s="128" t="s">
        <v>706</v>
      </c>
      <c r="F1157" s="128"/>
      <c r="G1157" s="129">
        <v>80000</v>
      </c>
    </row>
    <row r="1158" spans="1:7">
      <c r="A1158" t="s">
        <v>20</v>
      </c>
      <c r="B1158" t="s">
        <v>19</v>
      </c>
      <c r="C1158" t="s">
        <v>214</v>
      </c>
      <c r="D1158"/>
      <c r="E1158" t="s">
        <v>707</v>
      </c>
      <c r="F1158"/>
      <c r="G1158" s="107">
        <v>0</v>
      </c>
    </row>
    <row r="1159" spans="1:7">
      <c r="A1159" t="s">
        <v>20</v>
      </c>
      <c r="B1159" t="s">
        <v>19</v>
      </c>
      <c r="C1159" t="s">
        <v>227</v>
      </c>
      <c r="D1159"/>
      <c r="E1159" t="s">
        <v>2617</v>
      </c>
      <c r="F1159"/>
      <c r="G1159" s="107">
        <v>80000</v>
      </c>
    </row>
    <row r="1160" spans="1:7">
      <c r="A1160" s="163" t="s">
        <v>20</v>
      </c>
      <c r="B1160" s="163" t="s">
        <v>8</v>
      </c>
      <c r="C1160" s="163"/>
      <c r="D1160" s="163"/>
      <c r="E1160" s="163" t="s">
        <v>708</v>
      </c>
      <c r="F1160" s="163"/>
      <c r="G1160" s="164">
        <v>630387</v>
      </c>
    </row>
    <row r="1161" spans="1:7">
      <c r="A1161" s="128" t="s">
        <v>20</v>
      </c>
      <c r="B1161" s="128" t="s">
        <v>2117</v>
      </c>
      <c r="C1161" s="128"/>
      <c r="D1161" s="128"/>
      <c r="E1161" s="128" t="s">
        <v>709</v>
      </c>
      <c r="F1161" s="128"/>
      <c r="G1161" s="129">
        <v>411637</v>
      </c>
    </row>
    <row r="1162" spans="1:7">
      <c r="A1162" t="s">
        <v>20</v>
      </c>
      <c r="B1162" t="s">
        <v>19</v>
      </c>
      <c r="C1162" t="s">
        <v>214</v>
      </c>
      <c r="D1162"/>
      <c r="E1162" t="s">
        <v>710</v>
      </c>
      <c r="F1162"/>
      <c r="G1162" s="107">
        <v>0</v>
      </c>
    </row>
    <row r="1163" spans="1:7">
      <c r="A1163" t="s">
        <v>20</v>
      </c>
      <c r="B1163" t="s">
        <v>19</v>
      </c>
      <c r="C1163" t="s">
        <v>234</v>
      </c>
      <c r="D1163"/>
      <c r="E1163" t="s">
        <v>711</v>
      </c>
      <c r="F1163"/>
      <c r="G1163" s="107">
        <v>3579.45</v>
      </c>
    </row>
    <row r="1164" spans="1:7">
      <c r="A1164" t="s">
        <v>20</v>
      </c>
      <c r="B1164" t="s">
        <v>19</v>
      </c>
      <c r="C1164" t="s">
        <v>236</v>
      </c>
      <c r="D1164"/>
      <c r="E1164" t="s">
        <v>712</v>
      </c>
      <c r="F1164"/>
      <c r="G1164" s="107">
        <v>100224.6</v>
      </c>
    </row>
    <row r="1165" spans="1:7">
      <c r="A1165" t="s">
        <v>20</v>
      </c>
      <c r="B1165" t="s">
        <v>19</v>
      </c>
      <c r="C1165" t="s">
        <v>238</v>
      </c>
      <c r="D1165"/>
      <c r="E1165" t="s">
        <v>713</v>
      </c>
      <c r="F1165"/>
      <c r="G1165" s="107">
        <v>7158.9</v>
      </c>
    </row>
    <row r="1166" spans="1:7">
      <c r="A1166" t="s">
        <v>20</v>
      </c>
      <c r="B1166" t="s">
        <v>19</v>
      </c>
      <c r="C1166" t="s">
        <v>214</v>
      </c>
      <c r="D1166"/>
      <c r="E1166" t="s">
        <v>714</v>
      </c>
      <c r="F1166"/>
      <c r="G1166" s="107">
        <v>0</v>
      </c>
    </row>
    <row r="1167" spans="1:7">
      <c r="A1167" t="s">
        <v>20</v>
      </c>
      <c r="B1167" t="s">
        <v>19</v>
      </c>
      <c r="C1167" t="s">
        <v>234</v>
      </c>
      <c r="D1167"/>
      <c r="E1167" t="s">
        <v>715</v>
      </c>
      <c r="F1167"/>
      <c r="G1167" s="107">
        <v>0</v>
      </c>
    </row>
    <row r="1168" spans="1:7">
      <c r="A1168" t="s">
        <v>20</v>
      </c>
      <c r="B1168" t="s">
        <v>19</v>
      </c>
      <c r="C1168" t="s">
        <v>236</v>
      </c>
      <c r="D1168"/>
      <c r="E1168" t="s">
        <v>716</v>
      </c>
      <c r="F1168"/>
      <c r="G1168" s="107">
        <v>100224.6</v>
      </c>
    </row>
    <row r="1169" spans="1:7">
      <c r="A1169" t="s">
        <v>20</v>
      </c>
      <c r="B1169" t="s">
        <v>19</v>
      </c>
      <c r="C1169" t="s">
        <v>238</v>
      </c>
      <c r="D1169"/>
      <c r="E1169" t="s">
        <v>717</v>
      </c>
      <c r="F1169"/>
      <c r="G1169" s="107">
        <v>7158.9</v>
      </c>
    </row>
    <row r="1170" spans="1:7">
      <c r="A1170" t="s">
        <v>20</v>
      </c>
      <c r="B1170" t="s">
        <v>19</v>
      </c>
      <c r="C1170" t="s">
        <v>214</v>
      </c>
      <c r="D1170"/>
      <c r="E1170" t="s">
        <v>718</v>
      </c>
      <c r="F1170"/>
      <c r="G1170" s="107">
        <v>0</v>
      </c>
    </row>
    <row r="1171" spans="1:7">
      <c r="A1171" t="s">
        <v>20</v>
      </c>
      <c r="B1171" t="s">
        <v>19</v>
      </c>
      <c r="C1171" t="s">
        <v>234</v>
      </c>
      <c r="D1171"/>
      <c r="E1171" t="s">
        <v>719</v>
      </c>
      <c r="F1171"/>
      <c r="G1171" s="107">
        <v>0</v>
      </c>
    </row>
    <row r="1172" spans="1:7">
      <c r="A1172" t="s">
        <v>20</v>
      </c>
      <c r="B1172" t="s">
        <v>19</v>
      </c>
      <c r="C1172" t="s">
        <v>236</v>
      </c>
      <c r="D1172"/>
      <c r="E1172" t="s">
        <v>720</v>
      </c>
      <c r="F1172"/>
      <c r="G1172" s="107">
        <v>100224.6</v>
      </c>
    </row>
    <row r="1173" spans="1:7">
      <c r="A1173" t="s">
        <v>20</v>
      </c>
      <c r="B1173" t="s">
        <v>19</v>
      </c>
      <c r="C1173" t="s">
        <v>238</v>
      </c>
      <c r="D1173"/>
      <c r="E1173" t="s">
        <v>721</v>
      </c>
      <c r="F1173"/>
      <c r="G1173" s="107">
        <v>7158.9</v>
      </c>
    </row>
    <row r="1174" spans="1:7">
      <c r="A1174" t="s">
        <v>20</v>
      </c>
      <c r="B1174" t="s">
        <v>19</v>
      </c>
      <c r="C1174" t="s">
        <v>214</v>
      </c>
      <c r="D1174"/>
      <c r="E1174" t="s">
        <v>722</v>
      </c>
      <c r="F1174"/>
      <c r="G1174" s="107">
        <v>0</v>
      </c>
    </row>
    <row r="1175" spans="1:7">
      <c r="A1175" t="s">
        <v>20</v>
      </c>
      <c r="B1175" t="s">
        <v>19</v>
      </c>
      <c r="C1175" t="s">
        <v>1419</v>
      </c>
      <c r="D1175"/>
      <c r="E1175" t="s">
        <v>2618</v>
      </c>
      <c r="F1175"/>
      <c r="G1175" s="107">
        <v>7158.9</v>
      </c>
    </row>
    <row r="1176" spans="1:7">
      <c r="A1176" t="s">
        <v>20</v>
      </c>
      <c r="B1176" t="s">
        <v>19</v>
      </c>
      <c r="C1176" t="s">
        <v>1419</v>
      </c>
      <c r="D1176"/>
      <c r="E1176" t="s">
        <v>2619</v>
      </c>
      <c r="F1176"/>
      <c r="G1176" s="107">
        <v>28635.599999999999</v>
      </c>
    </row>
    <row r="1177" spans="1:7">
      <c r="A1177" t="s">
        <v>20</v>
      </c>
      <c r="B1177" t="s">
        <v>19</v>
      </c>
      <c r="C1177" t="s">
        <v>1419</v>
      </c>
      <c r="D1177"/>
      <c r="E1177" t="s">
        <v>2620</v>
      </c>
      <c r="F1177"/>
      <c r="G1177" s="107">
        <v>7158.9</v>
      </c>
    </row>
    <row r="1178" spans="1:7">
      <c r="A1178" t="s">
        <v>20</v>
      </c>
      <c r="B1178" t="s">
        <v>19</v>
      </c>
      <c r="C1178" t="s">
        <v>214</v>
      </c>
      <c r="D1178"/>
      <c r="E1178" t="s">
        <v>2621</v>
      </c>
      <c r="F1178"/>
      <c r="G1178" s="107">
        <v>0</v>
      </c>
    </row>
    <row r="1179" spans="1:7">
      <c r="A1179" t="s">
        <v>20</v>
      </c>
      <c r="B1179" t="s">
        <v>19</v>
      </c>
      <c r="C1179" t="s">
        <v>1419</v>
      </c>
      <c r="D1179"/>
      <c r="E1179" t="s">
        <v>2622</v>
      </c>
      <c r="F1179"/>
      <c r="G1179" s="107">
        <v>7158.9</v>
      </c>
    </row>
    <row r="1180" spans="1:7">
      <c r="A1180" t="s">
        <v>20</v>
      </c>
      <c r="B1180" t="s">
        <v>19</v>
      </c>
      <c r="C1180" t="s">
        <v>1419</v>
      </c>
      <c r="D1180"/>
      <c r="E1180" t="s">
        <v>2623</v>
      </c>
      <c r="F1180"/>
      <c r="G1180" s="107">
        <v>28635.599999999999</v>
      </c>
    </row>
    <row r="1181" spans="1:7">
      <c r="A1181" t="s">
        <v>20</v>
      </c>
      <c r="B1181" t="s">
        <v>19</v>
      </c>
      <c r="C1181" t="s">
        <v>1419</v>
      </c>
      <c r="D1181"/>
      <c r="E1181" t="s">
        <v>2624</v>
      </c>
      <c r="F1181"/>
      <c r="G1181" s="107">
        <v>7158.9</v>
      </c>
    </row>
    <row r="1182" spans="1:7">
      <c r="A1182" s="128" t="s">
        <v>20</v>
      </c>
      <c r="B1182" s="128" t="s">
        <v>2117</v>
      </c>
      <c r="C1182" s="128"/>
      <c r="D1182" s="128"/>
      <c r="E1182" s="128" t="s">
        <v>723</v>
      </c>
      <c r="F1182" s="128"/>
      <c r="G1182" s="129">
        <v>60000</v>
      </c>
    </row>
    <row r="1183" spans="1:7">
      <c r="A1183" t="s">
        <v>20</v>
      </c>
      <c r="B1183" t="s">
        <v>19</v>
      </c>
      <c r="C1183" t="s">
        <v>214</v>
      </c>
      <c r="D1183"/>
      <c r="E1183" t="s">
        <v>724</v>
      </c>
      <c r="F1183"/>
      <c r="G1183" s="107">
        <v>0</v>
      </c>
    </row>
    <row r="1184" spans="1:7">
      <c r="A1184" t="s">
        <v>20</v>
      </c>
      <c r="B1184" t="s">
        <v>19</v>
      </c>
      <c r="C1184" t="s">
        <v>236</v>
      </c>
      <c r="D1184"/>
      <c r="E1184" t="s">
        <v>2625</v>
      </c>
      <c r="F1184"/>
      <c r="G1184" s="107">
        <v>60000</v>
      </c>
    </row>
    <row r="1185" spans="1:7">
      <c r="A1185" s="128" t="s">
        <v>20</v>
      </c>
      <c r="B1185" s="128" t="s">
        <v>2117</v>
      </c>
      <c r="C1185" s="128"/>
      <c r="D1185" s="128"/>
      <c r="E1185" s="128" t="s">
        <v>725</v>
      </c>
      <c r="F1185" s="128"/>
      <c r="G1185" s="129">
        <v>78750</v>
      </c>
    </row>
    <row r="1186" spans="1:7">
      <c r="A1186" t="s">
        <v>20</v>
      </c>
      <c r="B1186" t="s">
        <v>19</v>
      </c>
      <c r="C1186" t="s">
        <v>214</v>
      </c>
      <c r="D1186"/>
      <c r="E1186" t="s">
        <v>726</v>
      </c>
      <c r="F1186"/>
      <c r="G1186" s="107">
        <v>0</v>
      </c>
    </row>
    <row r="1187" spans="1:7">
      <c r="A1187" t="s">
        <v>20</v>
      </c>
      <c r="B1187" t="s">
        <v>19</v>
      </c>
      <c r="C1187" t="s">
        <v>227</v>
      </c>
      <c r="D1187"/>
      <c r="E1187" t="s">
        <v>2626</v>
      </c>
      <c r="F1187"/>
      <c r="G1187" s="107">
        <v>78750</v>
      </c>
    </row>
    <row r="1188" spans="1:7">
      <c r="A1188" s="128" t="s">
        <v>20</v>
      </c>
      <c r="B1188" s="128" t="s">
        <v>2117</v>
      </c>
      <c r="C1188" s="128"/>
      <c r="D1188" s="128"/>
      <c r="E1188" s="128" t="s">
        <v>727</v>
      </c>
      <c r="F1188" s="128"/>
      <c r="G1188" s="129">
        <v>80000</v>
      </c>
    </row>
    <row r="1189" spans="1:7">
      <c r="A1189" t="s">
        <v>20</v>
      </c>
      <c r="B1189" t="s">
        <v>19</v>
      </c>
      <c r="C1189" t="s">
        <v>1898</v>
      </c>
      <c r="D1189"/>
      <c r="E1189" t="s">
        <v>728</v>
      </c>
      <c r="F1189"/>
      <c r="G1189" s="107">
        <v>0</v>
      </c>
    </row>
    <row r="1190" spans="1:7">
      <c r="A1190" t="s">
        <v>20</v>
      </c>
      <c r="B1190" t="s">
        <v>19</v>
      </c>
      <c r="C1190" t="s">
        <v>214</v>
      </c>
      <c r="D1190"/>
      <c r="E1190" t="s">
        <v>729</v>
      </c>
      <c r="F1190"/>
      <c r="G1190" s="107">
        <v>0</v>
      </c>
    </row>
    <row r="1191" spans="1:7">
      <c r="A1191" t="s">
        <v>20</v>
      </c>
      <c r="B1191" t="s">
        <v>19</v>
      </c>
      <c r="C1191" t="s">
        <v>227</v>
      </c>
      <c r="D1191"/>
      <c r="E1191" t="s">
        <v>2627</v>
      </c>
      <c r="F1191"/>
      <c r="G1191" s="107">
        <v>80000</v>
      </c>
    </row>
    <row r="1192" spans="1:7">
      <c r="A1192" s="163" t="s">
        <v>20</v>
      </c>
      <c r="B1192" s="163" t="s">
        <v>8</v>
      </c>
      <c r="C1192" s="163"/>
      <c r="D1192" s="163"/>
      <c r="E1192" s="163" t="s">
        <v>730</v>
      </c>
      <c r="F1192" s="163"/>
      <c r="G1192" s="164">
        <v>1624362</v>
      </c>
    </row>
    <row r="1193" spans="1:7">
      <c r="A1193" s="128" t="s">
        <v>20</v>
      </c>
      <c r="B1193" s="128" t="s">
        <v>2117</v>
      </c>
      <c r="C1193" s="128"/>
      <c r="D1193" s="128"/>
      <c r="E1193" s="128" t="s">
        <v>731</v>
      </c>
      <c r="F1193" s="128"/>
      <c r="G1193" s="129">
        <v>211466</v>
      </c>
    </row>
    <row r="1194" spans="1:7">
      <c r="A1194" t="s">
        <v>20</v>
      </c>
      <c r="B1194" t="s">
        <v>19</v>
      </c>
      <c r="C1194" t="s">
        <v>214</v>
      </c>
      <c r="D1194"/>
      <c r="E1194" t="s">
        <v>732</v>
      </c>
      <c r="F1194"/>
      <c r="G1194" s="107">
        <v>0</v>
      </c>
    </row>
    <row r="1195" spans="1:7">
      <c r="A1195" t="s">
        <v>20</v>
      </c>
      <c r="B1195" t="s">
        <v>19</v>
      </c>
      <c r="C1195" t="s">
        <v>234</v>
      </c>
      <c r="D1195"/>
      <c r="E1195" t="s">
        <v>733</v>
      </c>
      <c r="F1195"/>
      <c r="G1195" s="107">
        <v>17622.150000000001</v>
      </c>
    </row>
    <row r="1196" spans="1:7">
      <c r="A1196" t="s">
        <v>20</v>
      </c>
      <c r="B1196" t="s">
        <v>19</v>
      </c>
      <c r="C1196" t="s">
        <v>236</v>
      </c>
      <c r="D1196"/>
      <c r="E1196" t="s">
        <v>734</v>
      </c>
      <c r="F1196"/>
      <c r="G1196" s="107">
        <v>123355.05</v>
      </c>
    </row>
    <row r="1197" spans="1:7">
      <c r="A1197" t="s">
        <v>20</v>
      </c>
      <c r="B1197" t="s">
        <v>19</v>
      </c>
      <c r="C1197" t="s">
        <v>238</v>
      </c>
      <c r="D1197"/>
      <c r="E1197" t="s">
        <v>735</v>
      </c>
      <c r="F1197"/>
      <c r="G1197" s="107">
        <v>17622.150000000001</v>
      </c>
    </row>
    <row r="1198" spans="1:7">
      <c r="A1198" t="s">
        <v>20</v>
      </c>
      <c r="B1198" t="s">
        <v>19</v>
      </c>
      <c r="C1198" t="s">
        <v>214</v>
      </c>
      <c r="D1198"/>
      <c r="E1198" t="s">
        <v>736</v>
      </c>
      <c r="F1198"/>
      <c r="G1198" s="107">
        <v>0</v>
      </c>
    </row>
    <row r="1199" spans="1:7">
      <c r="A1199" t="s">
        <v>20</v>
      </c>
      <c r="B1199" t="s">
        <v>19</v>
      </c>
      <c r="C1199" t="s">
        <v>1419</v>
      </c>
      <c r="D1199"/>
      <c r="E1199" t="s">
        <v>2628</v>
      </c>
      <c r="F1199"/>
      <c r="G1199" s="107">
        <v>8811.08</v>
      </c>
    </row>
    <row r="1200" spans="1:7">
      <c r="A1200" t="s">
        <v>20</v>
      </c>
      <c r="B1200" t="s">
        <v>19</v>
      </c>
      <c r="C1200" t="s">
        <v>1419</v>
      </c>
      <c r="D1200"/>
      <c r="E1200" t="s">
        <v>2629</v>
      </c>
      <c r="F1200"/>
      <c r="G1200" s="107">
        <v>35244.300000000003</v>
      </c>
    </row>
    <row r="1201" spans="1:7">
      <c r="A1201" t="s">
        <v>20</v>
      </c>
      <c r="B1201" t="s">
        <v>19</v>
      </c>
      <c r="C1201" t="s">
        <v>1419</v>
      </c>
      <c r="D1201"/>
      <c r="E1201" t="s">
        <v>2630</v>
      </c>
      <c r="F1201"/>
      <c r="G1201" s="107">
        <v>8811.08</v>
      </c>
    </row>
    <row r="1202" spans="1:7">
      <c r="A1202" s="128" t="s">
        <v>20</v>
      </c>
      <c r="B1202" s="128" t="s">
        <v>2117</v>
      </c>
      <c r="C1202" s="128"/>
      <c r="D1202" s="128"/>
      <c r="E1202" s="128" t="s">
        <v>737</v>
      </c>
      <c r="F1202" s="128"/>
      <c r="G1202" s="129">
        <v>418796</v>
      </c>
    </row>
    <row r="1203" spans="1:7">
      <c r="A1203" t="s">
        <v>20</v>
      </c>
      <c r="B1203" t="s">
        <v>19</v>
      </c>
      <c r="C1203" t="s">
        <v>214</v>
      </c>
      <c r="D1203"/>
      <c r="E1203" t="s">
        <v>738</v>
      </c>
      <c r="F1203"/>
      <c r="G1203" s="107">
        <v>0</v>
      </c>
    </row>
    <row r="1204" spans="1:7">
      <c r="A1204" t="s">
        <v>20</v>
      </c>
      <c r="B1204" t="s">
        <v>19</v>
      </c>
      <c r="C1204" t="s">
        <v>234</v>
      </c>
      <c r="D1204"/>
      <c r="E1204" t="s">
        <v>739</v>
      </c>
      <c r="F1204"/>
      <c r="G1204" s="107">
        <v>3579.45</v>
      </c>
    </row>
    <row r="1205" spans="1:7">
      <c r="A1205" t="s">
        <v>20</v>
      </c>
      <c r="B1205" t="s">
        <v>19</v>
      </c>
      <c r="C1205" t="s">
        <v>236</v>
      </c>
      <c r="D1205"/>
      <c r="E1205" t="s">
        <v>740</v>
      </c>
      <c r="F1205"/>
      <c r="G1205" s="107">
        <v>100224.6</v>
      </c>
    </row>
    <row r="1206" spans="1:7">
      <c r="A1206" t="s">
        <v>20</v>
      </c>
      <c r="B1206" t="s">
        <v>19</v>
      </c>
      <c r="C1206" t="s">
        <v>238</v>
      </c>
      <c r="D1206"/>
      <c r="E1206" t="s">
        <v>741</v>
      </c>
      <c r="F1206"/>
      <c r="G1206" s="107">
        <v>7158.9</v>
      </c>
    </row>
    <row r="1207" spans="1:7">
      <c r="A1207" t="s">
        <v>20</v>
      </c>
      <c r="B1207" t="s">
        <v>19</v>
      </c>
      <c r="C1207" t="s">
        <v>214</v>
      </c>
      <c r="D1207"/>
      <c r="E1207" t="s">
        <v>742</v>
      </c>
      <c r="F1207"/>
      <c r="G1207" s="107">
        <v>0</v>
      </c>
    </row>
    <row r="1208" spans="1:7">
      <c r="A1208" t="s">
        <v>20</v>
      </c>
      <c r="B1208" t="s">
        <v>19</v>
      </c>
      <c r="C1208" t="s">
        <v>234</v>
      </c>
      <c r="D1208"/>
      <c r="E1208" t="s">
        <v>743</v>
      </c>
      <c r="F1208"/>
      <c r="G1208" s="107">
        <v>3579.45</v>
      </c>
    </row>
    <row r="1209" spans="1:7">
      <c r="A1209" t="s">
        <v>20</v>
      </c>
      <c r="B1209" t="s">
        <v>19</v>
      </c>
      <c r="C1209" t="s">
        <v>236</v>
      </c>
      <c r="D1209"/>
      <c r="E1209" t="s">
        <v>744</v>
      </c>
      <c r="F1209"/>
      <c r="G1209" s="107">
        <v>100224.6</v>
      </c>
    </row>
    <row r="1210" spans="1:7">
      <c r="A1210" t="s">
        <v>20</v>
      </c>
      <c r="B1210" t="s">
        <v>19</v>
      </c>
      <c r="C1210" t="s">
        <v>238</v>
      </c>
      <c r="D1210"/>
      <c r="E1210" t="s">
        <v>745</v>
      </c>
      <c r="F1210"/>
      <c r="G1210" s="107">
        <v>7158.9</v>
      </c>
    </row>
    <row r="1211" spans="1:7">
      <c r="A1211" t="s">
        <v>20</v>
      </c>
      <c r="B1211" t="s">
        <v>19</v>
      </c>
      <c r="C1211" t="s">
        <v>214</v>
      </c>
      <c r="D1211"/>
      <c r="E1211" t="s">
        <v>746</v>
      </c>
      <c r="F1211"/>
      <c r="G1211" s="107">
        <v>0</v>
      </c>
    </row>
    <row r="1212" spans="1:7">
      <c r="A1212" t="s">
        <v>20</v>
      </c>
      <c r="B1212" t="s">
        <v>19</v>
      </c>
      <c r="C1212" t="s">
        <v>234</v>
      </c>
      <c r="D1212"/>
      <c r="E1212" t="s">
        <v>747</v>
      </c>
      <c r="F1212"/>
      <c r="G1212" s="107">
        <v>3579.45</v>
      </c>
    </row>
    <row r="1213" spans="1:7">
      <c r="A1213" t="s">
        <v>20</v>
      </c>
      <c r="B1213" t="s">
        <v>19</v>
      </c>
      <c r="C1213" t="s">
        <v>236</v>
      </c>
      <c r="D1213"/>
      <c r="E1213" t="s">
        <v>748</v>
      </c>
      <c r="F1213"/>
      <c r="G1213" s="107">
        <v>100224.6</v>
      </c>
    </row>
    <row r="1214" spans="1:7">
      <c r="A1214" t="s">
        <v>20</v>
      </c>
      <c r="B1214" t="s">
        <v>19</v>
      </c>
      <c r="C1214" t="s">
        <v>238</v>
      </c>
      <c r="D1214"/>
      <c r="E1214" t="s">
        <v>749</v>
      </c>
      <c r="F1214"/>
      <c r="G1214" s="107">
        <v>7158.9</v>
      </c>
    </row>
    <row r="1215" spans="1:7">
      <c r="A1215" t="s">
        <v>20</v>
      </c>
      <c r="B1215" t="s">
        <v>19</v>
      </c>
      <c r="C1215" t="s">
        <v>214</v>
      </c>
      <c r="D1215"/>
      <c r="E1215" t="s">
        <v>750</v>
      </c>
      <c r="F1215"/>
      <c r="G1215" s="107">
        <v>0</v>
      </c>
    </row>
    <row r="1216" spans="1:7">
      <c r="A1216" t="s">
        <v>20</v>
      </c>
      <c r="B1216" t="s">
        <v>19</v>
      </c>
      <c r="C1216" t="s">
        <v>1419</v>
      </c>
      <c r="D1216"/>
      <c r="E1216" t="s">
        <v>751</v>
      </c>
      <c r="F1216"/>
      <c r="G1216" s="107">
        <v>0</v>
      </c>
    </row>
    <row r="1217" spans="1:7">
      <c r="A1217" t="s">
        <v>20</v>
      </c>
      <c r="B1217" t="s">
        <v>19</v>
      </c>
      <c r="C1217" t="s">
        <v>1419</v>
      </c>
      <c r="D1217"/>
      <c r="E1217" t="s">
        <v>752</v>
      </c>
      <c r="F1217"/>
      <c r="G1217" s="107">
        <v>28635.599999999999</v>
      </c>
    </row>
    <row r="1218" spans="1:7">
      <c r="A1218" t="s">
        <v>20</v>
      </c>
      <c r="B1218" t="s">
        <v>19</v>
      </c>
      <c r="C1218" t="s">
        <v>1419</v>
      </c>
      <c r="D1218"/>
      <c r="E1218" t="s">
        <v>753</v>
      </c>
      <c r="F1218"/>
      <c r="G1218" s="107">
        <v>0</v>
      </c>
    </row>
    <row r="1219" spans="1:7">
      <c r="A1219" t="s">
        <v>20</v>
      </c>
      <c r="B1219" t="s">
        <v>19</v>
      </c>
      <c r="C1219" t="s">
        <v>214</v>
      </c>
      <c r="D1219"/>
      <c r="E1219" t="s">
        <v>2631</v>
      </c>
      <c r="F1219"/>
      <c r="G1219" s="107">
        <v>0</v>
      </c>
    </row>
    <row r="1220" spans="1:7">
      <c r="A1220" t="s">
        <v>20</v>
      </c>
      <c r="B1220" t="s">
        <v>19</v>
      </c>
      <c r="C1220" t="s">
        <v>1419</v>
      </c>
      <c r="D1220"/>
      <c r="E1220" t="s">
        <v>2632</v>
      </c>
      <c r="F1220"/>
      <c r="G1220" s="107">
        <v>0</v>
      </c>
    </row>
    <row r="1221" spans="1:7">
      <c r="A1221" t="s">
        <v>20</v>
      </c>
      <c r="B1221" t="s">
        <v>19</v>
      </c>
      <c r="C1221" t="s">
        <v>1419</v>
      </c>
      <c r="D1221"/>
      <c r="E1221" t="s">
        <v>2633</v>
      </c>
      <c r="F1221"/>
      <c r="G1221" s="107">
        <v>28635.599999999999</v>
      </c>
    </row>
    <row r="1222" spans="1:7">
      <c r="A1222" t="s">
        <v>20</v>
      </c>
      <c r="B1222" t="s">
        <v>19</v>
      </c>
      <c r="C1222" t="s">
        <v>1419</v>
      </c>
      <c r="D1222"/>
      <c r="E1222" t="s">
        <v>2634</v>
      </c>
      <c r="F1222"/>
      <c r="G1222" s="107">
        <v>0</v>
      </c>
    </row>
    <row r="1223" spans="1:7">
      <c r="A1223" t="s">
        <v>20</v>
      </c>
      <c r="B1223" t="s">
        <v>19</v>
      </c>
      <c r="C1223" t="s">
        <v>214</v>
      </c>
      <c r="D1223"/>
      <c r="E1223" t="s">
        <v>2635</v>
      </c>
      <c r="F1223"/>
      <c r="G1223" s="107">
        <v>0</v>
      </c>
    </row>
    <row r="1224" spans="1:7">
      <c r="A1224" t="s">
        <v>20</v>
      </c>
      <c r="B1224" t="s">
        <v>19</v>
      </c>
      <c r="C1224" t="s">
        <v>1419</v>
      </c>
      <c r="D1224"/>
      <c r="E1224" t="s">
        <v>2636</v>
      </c>
      <c r="F1224"/>
      <c r="G1224" s="107">
        <v>0</v>
      </c>
    </row>
    <row r="1225" spans="1:7">
      <c r="A1225" t="s">
        <v>20</v>
      </c>
      <c r="B1225" t="s">
        <v>19</v>
      </c>
      <c r="C1225" t="s">
        <v>1419</v>
      </c>
      <c r="D1225"/>
      <c r="E1225" t="s">
        <v>2637</v>
      </c>
      <c r="F1225"/>
      <c r="G1225" s="107">
        <v>28635.599999999999</v>
      </c>
    </row>
    <row r="1226" spans="1:7">
      <c r="A1226" t="s">
        <v>20</v>
      </c>
      <c r="B1226" t="s">
        <v>19</v>
      </c>
      <c r="C1226" t="s">
        <v>1419</v>
      </c>
      <c r="D1226"/>
      <c r="E1226" t="s">
        <v>2638</v>
      </c>
      <c r="F1226"/>
      <c r="G1226" s="107">
        <v>0</v>
      </c>
    </row>
    <row r="1227" spans="1:7">
      <c r="A1227" s="128" t="s">
        <v>20</v>
      </c>
      <c r="B1227" s="128" t="s">
        <v>2117</v>
      </c>
      <c r="C1227" s="128"/>
      <c r="D1227" s="128"/>
      <c r="E1227" s="128" t="s">
        <v>754</v>
      </c>
      <c r="F1227" s="128"/>
      <c r="G1227" s="129">
        <v>468050</v>
      </c>
    </row>
    <row r="1228" spans="1:7">
      <c r="A1228" t="s">
        <v>20</v>
      </c>
      <c r="B1228" t="s">
        <v>19</v>
      </c>
      <c r="C1228" t="s">
        <v>214</v>
      </c>
      <c r="D1228"/>
      <c r="E1228" t="s">
        <v>755</v>
      </c>
      <c r="F1228"/>
      <c r="G1228" s="107">
        <v>0</v>
      </c>
    </row>
    <row r="1229" spans="1:7">
      <c r="A1229" t="s">
        <v>20</v>
      </c>
      <c r="B1229" t="s">
        <v>19</v>
      </c>
      <c r="C1229" t="s">
        <v>234</v>
      </c>
      <c r="D1229"/>
      <c r="E1229" t="s">
        <v>756</v>
      </c>
      <c r="F1229"/>
      <c r="G1229" s="107">
        <v>6037.5</v>
      </c>
    </row>
    <row r="1230" spans="1:7">
      <c r="A1230" t="s">
        <v>20</v>
      </c>
      <c r="B1230" t="s">
        <v>19</v>
      </c>
      <c r="C1230" t="s">
        <v>236</v>
      </c>
      <c r="D1230"/>
      <c r="E1230" t="s">
        <v>757</v>
      </c>
      <c r="F1230"/>
      <c r="G1230" s="107">
        <v>84525</v>
      </c>
    </row>
    <row r="1231" spans="1:7">
      <c r="A1231" t="s">
        <v>20</v>
      </c>
      <c r="B1231" t="s">
        <v>19</v>
      </c>
      <c r="C1231" t="s">
        <v>238</v>
      </c>
      <c r="D1231"/>
      <c r="E1231" t="s">
        <v>758</v>
      </c>
      <c r="F1231"/>
      <c r="G1231" s="107">
        <v>6037.5</v>
      </c>
    </row>
    <row r="1232" spans="1:7">
      <c r="A1232" t="s">
        <v>20</v>
      </c>
      <c r="B1232" t="s">
        <v>19</v>
      </c>
      <c r="C1232" t="s">
        <v>214</v>
      </c>
      <c r="D1232"/>
      <c r="E1232" t="s">
        <v>759</v>
      </c>
      <c r="F1232"/>
      <c r="G1232" s="107">
        <v>0</v>
      </c>
    </row>
    <row r="1233" spans="1:7">
      <c r="A1233" t="s">
        <v>20</v>
      </c>
      <c r="B1233" t="s">
        <v>19</v>
      </c>
      <c r="C1233" t="s">
        <v>234</v>
      </c>
      <c r="D1233"/>
      <c r="E1233" t="s">
        <v>760</v>
      </c>
      <c r="F1233"/>
      <c r="G1233" s="107">
        <v>4887.5</v>
      </c>
    </row>
    <row r="1234" spans="1:7">
      <c r="A1234" t="s">
        <v>20</v>
      </c>
      <c r="B1234" t="s">
        <v>19</v>
      </c>
      <c r="C1234" t="s">
        <v>236</v>
      </c>
      <c r="D1234"/>
      <c r="E1234" t="s">
        <v>761</v>
      </c>
      <c r="F1234"/>
      <c r="G1234" s="107">
        <v>68425</v>
      </c>
    </row>
    <row r="1235" spans="1:7">
      <c r="A1235" t="s">
        <v>20</v>
      </c>
      <c r="B1235" t="s">
        <v>19</v>
      </c>
      <c r="C1235" t="s">
        <v>238</v>
      </c>
      <c r="D1235"/>
      <c r="E1235" t="s">
        <v>762</v>
      </c>
      <c r="F1235"/>
      <c r="G1235" s="107">
        <v>4887.5</v>
      </c>
    </row>
    <row r="1236" spans="1:7">
      <c r="A1236" t="s">
        <v>20</v>
      </c>
      <c r="B1236" t="s">
        <v>19</v>
      </c>
      <c r="C1236" t="s">
        <v>214</v>
      </c>
      <c r="D1236"/>
      <c r="E1236" t="s">
        <v>763</v>
      </c>
      <c r="F1236"/>
      <c r="G1236" s="107">
        <v>0</v>
      </c>
    </row>
    <row r="1237" spans="1:7">
      <c r="A1237" t="s">
        <v>20</v>
      </c>
      <c r="B1237" t="s">
        <v>19</v>
      </c>
      <c r="C1237" t="s">
        <v>234</v>
      </c>
      <c r="D1237"/>
      <c r="E1237" t="s">
        <v>764</v>
      </c>
      <c r="F1237"/>
      <c r="G1237" s="107">
        <v>5175</v>
      </c>
    </row>
    <row r="1238" spans="1:7">
      <c r="A1238" t="s">
        <v>20</v>
      </c>
      <c r="B1238" t="s">
        <v>19</v>
      </c>
      <c r="C1238" t="s">
        <v>236</v>
      </c>
      <c r="D1238"/>
      <c r="E1238" t="s">
        <v>765</v>
      </c>
      <c r="F1238"/>
      <c r="G1238" s="107">
        <v>72450</v>
      </c>
    </row>
    <row r="1239" spans="1:7">
      <c r="A1239" t="s">
        <v>20</v>
      </c>
      <c r="B1239" t="s">
        <v>19</v>
      </c>
      <c r="C1239" t="s">
        <v>238</v>
      </c>
      <c r="D1239"/>
      <c r="E1239" t="s">
        <v>766</v>
      </c>
      <c r="F1239"/>
      <c r="G1239" s="107">
        <v>5175</v>
      </c>
    </row>
    <row r="1240" spans="1:7">
      <c r="A1240" t="s">
        <v>20</v>
      </c>
      <c r="B1240" t="s">
        <v>19</v>
      </c>
      <c r="C1240" t="s">
        <v>214</v>
      </c>
      <c r="D1240"/>
      <c r="E1240" t="s">
        <v>767</v>
      </c>
      <c r="F1240"/>
      <c r="G1240" s="107">
        <v>0</v>
      </c>
    </row>
    <row r="1241" spans="1:7">
      <c r="A1241" t="s">
        <v>20</v>
      </c>
      <c r="B1241" t="s">
        <v>19</v>
      </c>
      <c r="C1241" t="s">
        <v>234</v>
      </c>
      <c r="D1241"/>
      <c r="E1241" t="s">
        <v>768</v>
      </c>
      <c r="F1241"/>
      <c r="G1241" s="107">
        <v>5175</v>
      </c>
    </row>
    <row r="1242" spans="1:7">
      <c r="A1242" t="s">
        <v>20</v>
      </c>
      <c r="B1242" t="s">
        <v>19</v>
      </c>
      <c r="C1242" t="s">
        <v>236</v>
      </c>
      <c r="D1242"/>
      <c r="E1242" t="s">
        <v>769</v>
      </c>
      <c r="F1242"/>
      <c r="G1242" s="107">
        <v>72450</v>
      </c>
    </row>
    <row r="1243" spans="1:7">
      <c r="A1243" t="s">
        <v>20</v>
      </c>
      <c r="B1243" t="s">
        <v>19</v>
      </c>
      <c r="C1243" t="s">
        <v>238</v>
      </c>
      <c r="D1243"/>
      <c r="E1243" t="s">
        <v>770</v>
      </c>
      <c r="F1243"/>
      <c r="G1243" s="107">
        <v>5175</v>
      </c>
    </row>
    <row r="1244" spans="1:7">
      <c r="A1244" t="s">
        <v>20</v>
      </c>
      <c r="B1244" t="s">
        <v>19</v>
      </c>
      <c r="C1244" t="s">
        <v>214</v>
      </c>
      <c r="D1244"/>
      <c r="E1244" t="s">
        <v>771</v>
      </c>
      <c r="F1244"/>
      <c r="G1244" s="107">
        <v>0</v>
      </c>
    </row>
    <row r="1245" spans="1:7">
      <c r="A1245" t="s">
        <v>20</v>
      </c>
      <c r="B1245" t="s">
        <v>19</v>
      </c>
      <c r="C1245" t="s">
        <v>1419</v>
      </c>
      <c r="D1245"/>
      <c r="E1245" t="s">
        <v>772</v>
      </c>
      <c r="F1245"/>
      <c r="G1245" s="107">
        <v>6037.5</v>
      </c>
    </row>
    <row r="1246" spans="1:7">
      <c r="A1246" t="s">
        <v>20</v>
      </c>
      <c r="B1246" t="s">
        <v>19</v>
      </c>
      <c r="C1246" t="s">
        <v>1419</v>
      </c>
      <c r="D1246"/>
      <c r="E1246" t="s">
        <v>773</v>
      </c>
      <c r="F1246"/>
      <c r="G1246" s="107">
        <v>24150</v>
      </c>
    </row>
    <row r="1247" spans="1:7">
      <c r="A1247" t="s">
        <v>20</v>
      </c>
      <c r="B1247" t="s">
        <v>19</v>
      </c>
      <c r="C1247" t="s">
        <v>1419</v>
      </c>
      <c r="D1247"/>
      <c r="E1247" t="s">
        <v>774</v>
      </c>
      <c r="F1247"/>
      <c r="G1247" s="107">
        <v>6037.5</v>
      </c>
    </row>
    <row r="1248" spans="1:7">
      <c r="A1248" t="s">
        <v>20</v>
      </c>
      <c r="B1248" t="s">
        <v>19</v>
      </c>
      <c r="C1248" t="s">
        <v>214</v>
      </c>
      <c r="D1248"/>
      <c r="E1248" t="s">
        <v>775</v>
      </c>
      <c r="F1248"/>
      <c r="G1248" s="107">
        <v>0</v>
      </c>
    </row>
    <row r="1249" spans="1:7">
      <c r="A1249" t="s">
        <v>20</v>
      </c>
      <c r="B1249" t="s">
        <v>19</v>
      </c>
      <c r="C1249" t="s">
        <v>1419</v>
      </c>
      <c r="D1249"/>
      <c r="E1249" t="s">
        <v>2639</v>
      </c>
      <c r="F1249"/>
      <c r="G1249" s="107">
        <v>4887.5</v>
      </c>
    </row>
    <row r="1250" spans="1:7">
      <c r="A1250" t="s">
        <v>20</v>
      </c>
      <c r="B1250" t="s">
        <v>19</v>
      </c>
      <c r="C1250" t="s">
        <v>1419</v>
      </c>
      <c r="D1250"/>
      <c r="E1250" t="s">
        <v>2640</v>
      </c>
      <c r="F1250"/>
      <c r="G1250" s="107">
        <v>19550</v>
      </c>
    </row>
    <row r="1251" spans="1:7">
      <c r="A1251" t="s">
        <v>20</v>
      </c>
      <c r="B1251" t="s">
        <v>19</v>
      </c>
      <c r="C1251" t="s">
        <v>1419</v>
      </c>
      <c r="D1251"/>
      <c r="E1251" t="s">
        <v>2641</v>
      </c>
      <c r="F1251"/>
      <c r="G1251" s="107">
        <v>4887.5</v>
      </c>
    </row>
    <row r="1252" spans="1:7">
      <c r="A1252" t="s">
        <v>20</v>
      </c>
      <c r="B1252" t="s">
        <v>19</v>
      </c>
      <c r="C1252" t="s">
        <v>214</v>
      </c>
      <c r="D1252"/>
      <c r="E1252" t="s">
        <v>2642</v>
      </c>
      <c r="F1252"/>
      <c r="G1252" s="107">
        <v>0</v>
      </c>
    </row>
    <row r="1253" spans="1:7">
      <c r="A1253" t="s">
        <v>20</v>
      </c>
      <c r="B1253" t="s">
        <v>19</v>
      </c>
      <c r="C1253" t="s">
        <v>1419</v>
      </c>
      <c r="D1253"/>
      <c r="E1253" t="s">
        <v>2643</v>
      </c>
      <c r="F1253"/>
      <c r="G1253" s="107">
        <v>5175</v>
      </c>
    </row>
    <row r="1254" spans="1:7">
      <c r="A1254" t="s">
        <v>20</v>
      </c>
      <c r="B1254" t="s">
        <v>19</v>
      </c>
      <c r="C1254" t="s">
        <v>1419</v>
      </c>
      <c r="D1254"/>
      <c r="E1254" t="s">
        <v>2644</v>
      </c>
      <c r="F1254"/>
      <c r="G1254" s="107">
        <v>20700</v>
      </c>
    </row>
    <row r="1255" spans="1:7">
      <c r="A1255" t="s">
        <v>20</v>
      </c>
      <c r="B1255" t="s">
        <v>19</v>
      </c>
      <c r="C1255" t="s">
        <v>1419</v>
      </c>
      <c r="D1255"/>
      <c r="E1255" t="s">
        <v>2645</v>
      </c>
      <c r="F1255"/>
      <c r="G1255" s="107">
        <v>5175</v>
      </c>
    </row>
    <row r="1256" spans="1:7">
      <c r="A1256" t="s">
        <v>20</v>
      </c>
      <c r="B1256" t="s">
        <v>19</v>
      </c>
      <c r="C1256" t="s">
        <v>214</v>
      </c>
      <c r="D1256"/>
      <c r="E1256" t="s">
        <v>2646</v>
      </c>
      <c r="F1256"/>
      <c r="G1256" s="107">
        <v>0</v>
      </c>
    </row>
    <row r="1257" spans="1:7">
      <c r="A1257" t="s">
        <v>20</v>
      </c>
      <c r="B1257" t="s">
        <v>19</v>
      </c>
      <c r="C1257" t="s">
        <v>1419</v>
      </c>
      <c r="D1257"/>
      <c r="E1257" t="s">
        <v>2647</v>
      </c>
      <c r="F1257"/>
      <c r="G1257" s="107">
        <v>5175</v>
      </c>
    </row>
    <row r="1258" spans="1:7">
      <c r="A1258" t="s">
        <v>20</v>
      </c>
      <c r="B1258" t="s">
        <v>19</v>
      </c>
      <c r="C1258" t="s">
        <v>1419</v>
      </c>
      <c r="D1258"/>
      <c r="E1258" t="s">
        <v>2648</v>
      </c>
      <c r="F1258"/>
      <c r="G1258" s="107">
        <v>20700</v>
      </c>
    </row>
    <row r="1259" spans="1:7">
      <c r="A1259" t="s">
        <v>20</v>
      </c>
      <c r="B1259" t="s">
        <v>19</v>
      </c>
      <c r="C1259" t="s">
        <v>1419</v>
      </c>
      <c r="D1259"/>
      <c r="E1259" t="s">
        <v>2649</v>
      </c>
      <c r="F1259"/>
      <c r="G1259" s="107">
        <v>5175</v>
      </c>
    </row>
    <row r="1260" spans="1:7">
      <c r="A1260" s="128" t="s">
        <v>20</v>
      </c>
      <c r="B1260" s="128" t="s">
        <v>2117</v>
      </c>
      <c r="C1260" s="128"/>
      <c r="D1260" s="128"/>
      <c r="E1260" s="128" t="s">
        <v>776</v>
      </c>
      <c r="F1260" s="128"/>
      <c r="G1260" s="129">
        <v>117300</v>
      </c>
    </row>
    <row r="1261" spans="1:7">
      <c r="A1261" t="s">
        <v>20</v>
      </c>
      <c r="B1261" t="s">
        <v>19</v>
      </c>
      <c r="C1261" t="s">
        <v>214</v>
      </c>
      <c r="D1261"/>
      <c r="E1261" t="s">
        <v>777</v>
      </c>
      <c r="F1261"/>
      <c r="G1261" s="107">
        <v>0</v>
      </c>
    </row>
    <row r="1262" spans="1:7">
      <c r="A1262" t="s">
        <v>20</v>
      </c>
      <c r="B1262" t="s">
        <v>19</v>
      </c>
      <c r="C1262" t="s">
        <v>234</v>
      </c>
      <c r="D1262"/>
      <c r="E1262" t="s">
        <v>778</v>
      </c>
      <c r="F1262"/>
      <c r="G1262" s="107">
        <v>0</v>
      </c>
    </row>
    <row r="1263" spans="1:7">
      <c r="A1263" t="s">
        <v>20</v>
      </c>
      <c r="B1263" t="s">
        <v>19</v>
      </c>
      <c r="C1263" t="s">
        <v>236</v>
      </c>
      <c r="D1263"/>
      <c r="E1263" t="s">
        <v>779</v>
      </c>
      <c r="F1263"/>
      <c r="G1263" s="107">
        <v>68425</v>
      </c>
    </row>
    <row r="1264" spans="1:7">
      <c r="A1264" t="s">
        <v>20</v>
      </c>
      <c r="B1264" t="s">
        <v>19</v>
      </c>
      <c r="C1264" t="s">
        <v>238</v>
      </c>
      <c r="D1264"/>
      <c r="E1264" t="s">
        <v>780</v>
      </c>
      <c r="F1264"/>
      <c r="G1264" s="107">
        <v>4887.5</v>
      </c>
    </row>
    <row r="1265" spans="1:7">
      <c r="A1265" t="s">
        <v>20</v>
      </c>
      <c r="B1265" t="s">
        <v>19</v>
      </c>
      <c r="C1265" t="s">
        <v>214</v>
      </c>
      <c r="D1265"/>
      <c r="E1265" t="s">
        <v>781</v>
      </c>
      <c r="F1265"/>
      <c r="G1265" s="107">
        <v>0</v>
      </c>
    </row>
    <row r="1266" spans="1:7">
      <c r="A1266" t="s">
        <v>20</v>
      </c>
      <c r="B1266" t="s">
        <v>19</v>
      </c>
      <c r="C1266" t="s">
        <v>234</v>
      </c>
      <c r="D1266"/>
      <c r="E1266" t="s">
        <v>1760</v>
      </c>
      <c r="F1266"/>
      <c r="G1266" s="107">
        <v>0</v>
      </c>
    </row>
    <row r="1267" spans="1:7">
      <c r="A1267" t="s">
        <v>20</v>
      </c>
      <c r="B1267" t="s">
        <v>19</v>
      </c>
      <c r="C1267" t="s">
        <v>236</v>
      </c>
      <c r="D1267"/>
      <c r="E1267" t="s">
        <v>1761</v>
      </c>
      <c r="F1267"/>
      <c r="G1267" s="107">
        <v>19550</v>
      </c>
    </row>
    <row r="1268" spans="1:7">
      <c r="A1268" t="s">
        <v>20</v>
      </c>
      <c r="B1268" t="s">
        <v>19</v>
      </c>
      <c r="C1268" t="s">
        <v>238</v>
      </c>
      <c r="D1268"/>
      <c r="E1268" t="s">
        <v>1762</v>
      </c>
      <c r="F1268"/>
      <c r="G1268" s="107">
        <v>4887.5</v>
      </c>
    </row>
    <row r="1269" spans="1:7">
      <c r="A1269" t="s">
        <v>20</v>
      </c>
      <c r="B1269" t="s">
        <v>19</v>
      </c>
      <c r="C1269" t="s">
        <v>214</v>
      </c>
      <c r="D1269"/>
      <c r="E1269" t="s">
        <v>2650</v>
      </c>
      <c r="F1269"/>
      <c r="G1269" s="107">
        <v>0</v>
      </c>
    </row>
    <row r="1270" spans="1:7">
      <c r="A1270" t="s">
        <v>20</v>
      </c>
      <c r="B1270" t="s">
        <v>19</v>
      </c>
      <c r="C1270" t="s">
        <v>1419</v>
      </c>
      <c r="D1270"/>
      <c r="E1270" t="s">
        <v>2651</v>
      </c>
      <c r="F1270"/>
      <c r="G1270" s="107">
        <v>0</v>
      </c>
    </row>
    <row r="1271" spans="1:7">
      <c r="A1271" t="s">
        <v>20</v>
      </c>
      <c r="B1271" t="s">
        <v>19</v>
      </c>
      <c r="C1271" t="s">
        <v>1419</v>
      </c>
      <c r="D1271"/>
      <c r="E1271" t="s">
        <v>2652</v>
      </c>
      <c r="F1271"/>
      <c r="G1271" s="107">
        <v>19550</v>
      </c>
    </row>
    <row r="1272" spans="1:7">
      <c r="A1272" t="s">
        <v>20</v>
      </c>
      <c r="B1272" t="s">
        <v>19</v>
      </c>
      <c r="C1272" t="s">
        <v>1419</v>
      </c>
      <c r="D1272"/>
      <c r="E1272" t="s">
        <v>2653</v>
      </c>
      <c r="F1272"/>
      <c r="G1272" s="107">
        <v>0</v>
      </c>
    </row>
    <row r="1273" spans="1:7">
      <c r="A1273" s="128" t="s">
        <v>20</v>
      </c>
      <c r="B1273" s="128" t="s">
        <v>2117</v>
      </c>
      <c r="C1273" s="128"/>
      <c r="D1273" s="128"/>
      <c r="E1273" s="128" t="s">
        <v>782</v>
      </c>
      <c r="F1273" s="128"/>
      <c r="G1273" s="129">
        <v>235000</v>
      </c>
    </row>
    <row r="1274" spans="1:7">
      <c r="A1274" t="s">
        <v>20</v>
      </c>
      <c r="B1274" t="s">
        <v>19</v>
      </c>
      <c r="C1274" t="s">
        <v>214</v>
      </c>
      <c r="D1274"/>
      <c r="E1274" t="s">
        <v>783</v>
      </c>
      <c r="F1274"/>
      <c r="G1274" s="107">
        <v>0</v>
      </c>
    </row>
    <row r="1275" spans="1:7">
      <c r="A1275" t="s">
        <v>20</v>
      </c>
      <c r="B1275" t="s">
        <v>19</v>
      </c>
      <c r="C1275" t="s">
        <v>227</v>
      </c>
      <c r="D1275"/>
      <c r="E1275" t="s">
        <v>784</v>
      </c>
      <c r="F1275"/>
      <c r="G1275" s="107">
        <v>115000</v>
      </c>
    </row>
    <row r="1276" spans="1:7">
      <c r="A1276" t="s">
        <v>20</v>
      </c>
      <c r="B1276" t="s">
        <v>19</v>
      </c>
      <c r="C1276" t="s">
        <v>227</v>
      </c>
      <c r="D1276"/>
      <c r="E1276" t="s">
        <v>2654</v>
      </c>
      <c r="F1276"/>
      <c r="G1276" s="107">
        <v>120000</v>
      </c>
    </row>
    <row r="1277" spans="1:7">
      <c r="A1277" s="128" t="s">
        <v>20</v>
      </c>
      <c r="B1277" s="128" t="s">
        <v>2117</v>
      </c>
      <c r="C1277" s="128"/>
      <c r="D1277" s="128"/>
      <c r="E1277" s="128" t="s">
        <v>785</v>
      </c>
      <c r="F1277" s="128"/>
      <c r="G1277" s="129">
        <v>93750</v>
      </c>
    </row>
    <row r="1278" spans="1:7">
      <c r="A1278" t="s">
        <v>20</v>
      </c>
      <c r="B1278" t="s">
        <v>19</v>
      </c>
      <c r="C1278" t="s">
        <v>214</v>
      </c>
      <c r="D1278"/>
      <c r="E1278" t="s">
        <v>786</v>
      </c>
      <c r="F1278"/>
      <c r="G1278" s="107">
        <v>0</v>
      </c>
    </row>
    <row r="1279" spans="1:7">
      <c r="A1279" t="s">
        <v>20</v>
      </c>
      <c r="B1279" t="s">
        <v>19</v>
      </c>
      <c r="C1279" t="s">
        <v>236</v>
      </c>
      <c r="D1279"/>
      <c r="E1279" t="s">
        <v>787</v>
      </c>
      <c r="F1279"/>
      <c r="G1279" s="107">
        <v>60000</v>
      </c>
    </row>
    <row r="1280" spans="1:7">
      <c r="A1280" t="s">
        <v>20</v>
      </c>
      <c r="B1280" t="s">
        <v>19</v>
      </c>
      <c r="C1280" t="s">
        <v>214</v>
      </c>
      <c r="D1280"/>
      <c r="E1280" t="s">
        <v>1763</v>
      </c>
      <c r="F1280"/>
      <c r="G1280" s="107">
        <v>0</v>
      </c>
    </row>
    <row r="1281" spans="1:9">
      <c r="A1281" t="s">
        <v>20</v>
      </c>
      <c r="B1281" t="s">
        <v>19</v>
      </c>
      <c r="C1281" t="s">
        <v>1419</v>
      </c>
      <c r="D1281"/>
      <c r="E1281" t="s">
        <v>2655</v>
      </c>
      <c r="F1281"/>
      <c r="G1281" s="107">
        <v>33750</v>
      </c>
    </row>
    <row r="1282" spans="1:9">
      <c r="A1282" s="128" t="s">
        <v>20</v>
      </c>
      <c r="B1282" s="128" t="s">
        <v>2117</v>
      </c>
      <c r="C1282" s="128"/>
      <c r="D1282" s="128"/>
      <c r="E1282" s="128" t="s">
        <v>788</v>
      </c>
      <c r="F1282" s="128"/>
      <c r="G1282" s="129">
        <v>80000</v>
      </c>
    </row>
    <row r="1283" spans="1:9">
      <c r="A1283" t="s">
        <v>20</v>
      </c>
      <c r="B1283" t="s">
        <v>19</v>
      </c>
      <c r="C1283" t="s">
        <v>214</v>
      </c>
      <c r="D1283"/>
      <c r="E1283" t="s">
        <v>789</v>
      </c>
      <c r="F1283"/>
      <c r="G1283" s="107">
        <v>0</v>
      </c>
    </row>
    <row r="1284" spans="1:9">
      <c r="A1284" t="s">
        <v>20</v>
      </c>
      <c r="B1284" t="s">
        <v>19</v>
      </c>
      <c r="C1284" t="s">
        <v>227</v>
      </c>
      <c r="D1284"/>
      <c r="E1284" t="s">
        <v>2656</v>
      </c>
      <c r="F1284"/>
      <c r="G1284" s="107">
        <v>80000</v>
      </c>
    </row>
    <row r="1285" spans="1:9">
      <c r="A1285" s="163" t="s">
        <v>20</v>
      </c>
      <c r="B1285" s="163" t="s">
        <v>8</v>
      </c>
      <c r="C1285" s="163"/>
      <c r="D1285" s="163"/>
      <c r="E1285" s="163" t="s">
        <v>790</v>
      </c>
      <c r="F1285" s="163"/>
      <c r="G1285" s="164">
        <v>11484172</v>
      </c>
    </row>
    <row r="1286" spans="1:9">
      <c r="A1286" s="128" t="s">
        <v>20</v>
      </c>
      <c r="B1286" s="128" t="s">
        <v>2117</v>
      </c>
      <c r="C1286" s="128"/>
      <c r="D1286" s="128"/>
      <c r="E1286" s="128" t="s">
        <v>791</v>
      </c>
      <c r="F1286" s="128"/>
      <c r="G1286" s="129">
        <v>989000</v>
      </c>
    </row>
    <row r="1287" spans="1:9">
      <c r="A1287" t="s">
        <v>20</v>
      </c>
      <c r="B1287" t="s">
        <v>19</v>
      </c>
      <c r="C1287" t="s">
        <v>214</v>
      </c>
      <c r="D1287"/>
      <c r="E1287" t="s">
        <v>211</v>
      </c>
      <c r="F1287"/>
      <c r="G1287" s="107">
        <v>0</v>
      </c>
    </row>
    <row r="1288" spans="1:9">
      <c r="A1288" t="s">
        <v>20</v>
      </c>
      <c r="B1288" t="s">
        <v>19</v>
      </c>
      <c r="C1288" t="s">
        <v>233</v>
      </c>
      <c r="D1288"/>
      <c r="E1288" t="s">
        <v>792</v>
      </c>
      <c r="F1288"/>
      <c r="G1288" s="107">
        <v>21000</v>
      </c>
    </row>
    <row r="1289" spans="1:9">
      <c r="A1289" t="s">
        <v>20</v>
      </c>
      <c r="B1289" t="s">
        <v>19</v>
      </c>
      <c r="C1289" t="s">
        <v>234</v>
      </c>
      <c r="D1289"/>
      <c r="E1289" t="s">
        <v>793</v>
      </c>
      <c r="F1289"/>
      <c r="G1289" s="107">
        <v>378000</v>
      </c>
    </row>
    <row r="1290" spans="1:9">
      <c r="A1290" t="s">
        <v>20</v>
      </c>
      <c r="B1290" t="s">
        <v>19</v>
      </c>
      <c r="C1290" t="s">
        <v>236</v>
      </c>
      <c r="D1290"/>
      <c r="E1290" t="s">
        <v>794</v>
      </c>
      <c r="F1290"/>
      <c r="G1290" s="107">
        <v>367500</v>
      </c>
    </row>
    <row r="1291" spans="1:9">
      <c r="A1291" t="s">
        <v>20</v>
      </c>
      <c r="B1291" t="s">
        <v>19</v>
      </c>
      <c r="C1291" t="s">
        <v>238</v>
      </c>
      <c r="D1291"/>
      <c r="E1291" t="s">
        <v>795</v>
      </c>
      <c r="F1291"/>
      <c r="G1291" s="107">
        <v>100000</v>
      </c>
    </row>
    <row r="1292" spans="1:9">
      <c r="A1292" t="s">
        <v>20</v>
      </c>
      <c r="B1292" t="s">
        <v>19</v>
      </c>
      <c r="C1292" t="s">
        <v>214</v>
      </c>
      <c r="D1292"/>
      <c r="E1292" t="s">
        <v>2657</v>
      </c>
      <c r="F1292"/>
      <c r="G1292" s="107">
        <v>0</v>
      </c>
    </row>
    <row r="1293" spans="1:9">
      <c r="A1293" t="s">
        <v>20</v>
      </c>
      <c r="B1293" t="s">
        <v>19</v>
      </c>
      <c r="C1293" t="s">
        <v>1419</v>
      </c>
      <c r="D1293"/>
      <c r="E1293" t="s">
        <v>2658</v>
      </c>
      <c r="F1293"/>
      <c r="G1293" s="107">
        <v>52500</v>
      </c>
    </row>
    <row r="1294" spans="1:9">
      <c r="A1294" t="s">
        <v>20</v>
      </c>
      <c r="B1294" t="s">
        <v>19</v>
      </c>
      <c r="C1294" t="s">
        <v>1419</v>
      </c>
      <c r="D1294"/>
      <c r="E1294" t="s">
        <v>2659</v>
      </c>
      <c r="F1294"/>
      <c r="G1294" s="107">
        <v>70000</v>
      </c>
    </row>
    <row r="1295" spans="1:9">
      <c r="A1295" t="s">
        <v>20</v>
      </c>
      <c r="B1295" t="s">
        <v>19</v>
      </c>
      <c r="C1295" t="s">
        <v>1419</v>
      </c>
      <c r="D1295"/>
      <c r="E1295" t="s">
        <v>3406</v>
      </c>
      <c r="F1295"/>
      <c r="G1295" s="107"/>
      <c r="H1295" s="6">
        <v>14000</v>
      </c>
      <c r="I1295" t="s">
        <v>3403</v>
      </c>
    </row>
    <row r="1296" spans="1:9">
      <c r="A1296" s="128" t="s">
        <v>20</v>
      </c>
      <c r="B1296" s="128" t="s">
        <v>2117</v>
      </c>
      <c r="C1296" s="128"/>
      <c r="D1296" s="128"/>
      <c r="E1296" s="128" t="s">
        <v>796</v>
      </c>
      <c r="F1296" s="128"/>
      <c r="G1296" s="129">
        <v>605208</v>
      </c>
    </row>
    <row r="1297" spans="1:7">
      <c r="A1297" t="s">
        <v>20</v>
      </c>
      <c r="B1297" t="s">
        <v>19</v>
      </c>
      <c r="C1297" t="s">
        <v>214</v>
      </c>
      <c r="D1297"/>
      <c r="E1297" t="s">
        <v>797</v>
      </c>
      <c r="F1297"/>
      <c r="G1297" s="107">
        <v>0</v>
      </c>
    </row>
    <row r="1298" spans="1:7">
      <c r="A1298" t="s">
        <v>20</v>
      </c>
      <c r="B1298" t="s">
        <v>19</v>
      </c>
      <c r="C1298" t="s">
        <v>234</v>
      </c>
      <c r="D1298"/>
      <c r="E1298" t="s">
        <v>798</v>
      </c>
      <c r="F1298"/>
      <c r="G1298" s="107">
        <v>13125</v>
      </c>
    </row>
    <row r="1299" spans="1:7">
      <c r="A1299" t="s">
        <v>20</v>
      </c>
      <c r="B1299" t="s">
        <v>19</v>
      </c>
      <c r="C1299" t="s">
        <v>236</v>
      </c>
      <c r="D1299"/>
      <c r="E1299" t="s">
        <v>799</v>
      </c>
      <c r="F1299"/>
      <c r="G1299" s="107">
        <v>183750</v>
      </c>
    </row>
    <row r="1300" spans="1:7">
      <c r="A1300" t="s">
        <v>20</v>
      </c>
      <c r="B1300" t="s">
        <v>19</v>
      </c>
      <c r="C1300" t="s">
        <v>238</v>
      </c>
      <c r="D1300"/>
      <c r="E1300" t="s">
        <v>800</v>
      </c>
      <c r="F1300"/>
      <c r="G1300" s="107">
        <v>0</v>
      </c>
    </row>
    <row r="1301" spans="1:7">
      <c r="A1301" t="s">
        <v>20</v>
      </c>
      <c r="B1301" t="s">
        <v>19</v>
      </c>
      <c r="C1301" t="s">
        <v>214</v>
      </c>
      <c r="D1301"/>
      <c r="E1301" t="s">
        <v>801</v>
      </c>
      <c r="F1301"/>
      <c r="G1301" s="107">
        <v>0</v>
      </c>
    </row>
    <row r="1302" spans="1:7">
      <c r="A1302" t="s">
        <v>20</v>
      </c>
      <c r="B1302" t="s">
        <v>19</v>
      </c>
      <c r="C1302" t="s">
        <v>234</v>
      </c>
      <c r="D1302"/>
      <c r="E1302" t="s">
        <v>802</v>
      </c>
      <c r="F1302"/>
      <c r="G1302" s="107">
        <v>13125</v>
      </c>
    </row>
    <row r="1303" spans="1:7">
      <c r="A1303" t="s">
        <v>20</v>
      </c>
      <c r="B1303" t="s">
        <v>19</v>
      </c>
      <c r="C1303" t="s">
        <v>236</v>
      </c>
      <c r="D1303"/>
      <c r="E1303" t="s">
        <v>803</v>
      </c>
      <c r="F1303"/>
      <c r="G1303" s="107">
        <v>183750</v>
      </c>
    </row>
    <row r="1304" spans="1:7">
      <c r="A1304" t="s">
        <v>20</v>
      </c>
      <c r="B1304" t="s">
        <v>19</v>
      </c>
      <c r="C1304" t="s">
        <v>238</v>
      </c>
      <c r="D1304"/>
      <c r="E1304" t="s">
        <v>804</v>
      </c>
      <c r="F1304"/>
      <c r="G1304" s="107">
        <v>0</v>
      </c>
    </row>
    <row r="1305" spans="1:7">
      <c r="A1305" t="s">
        <v>20</v>
      </c>
      <c r="B1305" t="s">
        <v>19</v>
      </c>
      <c r="C1305" t="s">
        <v>214</v>
      </c>
      <c r="D1305"/>
      <c r="E1305" t="s">
        <v>805</v>
      </c>
      <c r="F1305"/>
      <c r="G1305" s="107">
        <v>0</v>
      </c>
    </row>
    <row r="1306" spans="1:7">
      <c r="A1306" t="s">
        <v>20</v>
      </c>
      <c r="B1306" t="s">
        <v>19</v>
      </c>
      <c r="C1306" t="s">
        <v>1419</v>
      </c>
      <c r="D1306"/>
      <c r="E1306" t="s">
        <v>1820</v>
      </c>
      <c r="F1306"/>
      <c r="G1306" s="107">
        <v>13125</v>
      </c>
    </row>
    <row r="1307" spans="1:7">
      <c r="A1307" t="s">
        <v>20</v>
      </c>
      <c r="B1307" t="s">
        <v>19</v>
      </c>
      <c r="C1307" t="s">
        <v>1419</v>
      </c>
      <c r="D1307"/>
      <c r="E1307" t="s">
        <v>1821</v>
      </c>
      <c r="F1307"/>
      <c r="G1307" s="107">
        <v>52500</v>
      </c>
    </row>
    <row r="1308" spans="1:7">
      <c r="A1308" t="s">
        <v>20</v>
      </c>
      <c r="B1308" t="s">
        <v>19</v>
      </c>
      <c r="C1308" t="s">
        <v>214</v>
      </c>
      <c r="D1308"/>
      <c r="E1308" t="s">
        <v>2660</v>
      </c>
      <c r="F1308"/>
      <c r="G1308" s="107">
        <v>0</v>
      </c>
    </row>
    <row r="1309" spans="1:7">
      <c r="A1309" t="s">
        <v>20</v>
      </c>
      <c r="B1309" t="s">
        <v>19</v>
      </c>
      <c r="C1309" t="s">
        <v>1419</v>
      </c>
      <c r="D1309"/>
      <c r="E1309" t="s">
        <v>2661</v>
      </c>
      <c r="F1309"/>
      <c r="G1309" s="107">
        <v>13125</v>
      </c>
    </row>
    <row r="1310" spans="1:7">
      <c r="A1310" t="s">
        <v>20</v>
      </c>
      <c r="B1310" t="s">
        <v>19</v>
      </c>
      <c r="C1310" t="s">
        <v>1419</v>
      </c>
      <c r="D1310"/>
      <c r="E1310" t="s">
        <v>2662</v>
      </c>
      <c r="F1310"/>
      <c r="G1310" s="107">
        <v>52500</v>
      </c>
    </row>
    <row r="1311" spans="1:7">
      <c r="A1311" t="s">
        <v>20</v>
      </c>
      <c r="B1311" t="s">
        <v>19</v>
      </c>
      <c r="C1311" t="s">
        <v>214</v>
      </c>
      <c r="D1311"/>
      <c r="E1311" t="s">
        <v>2663</v>
      </c>
      <c r="F1311"/>
      <c r="G1311" s="107">
        <v>0</v>
      </c>
    </row>
    <row r="1312" spans="1:7">
      <c r="A1312" t="s">
        <v>20</v>
      </c>
      <c r="B1312" t="s">
        <v>19</v>
      </c>
      <c r="C1312" t="s">
        <v>236</v>
      </c>
      <c r="D1312"/>
      <c r="E1312" t="s">
        <v>2664</v>
      </c>
      <c r="F1312"/>
      <c r="G1312" s="107">
        <v>75833.289999999994</v>
      </c>
    </row>
    <row r="1313" spans="1:9">
      <c r="A1313" t="s">
        <v>20</v>
      </c>
      <c r="B1313" t="s">
        <v>19</v>
      </c>
      <c r="C1313" t="s">
        <v>214</v>
      </c>
      <c r="D1313"/>
      <c r="E1313" t="s">
        <v>2665</v>
      </c>
      <c r="F1313"/>
      <c r="G1313" s="107">
        <v>0</v>
      </c>
    </row>
    <row r="1314" spans="1:9">
      <c r="A1314" t="s">
        <v>20</v>
      </c>
      <c r="B1314" t="s">
        <v>19</v>
      </c>
      <c r="C1314" t="s">
        <v>236</v>
      </c>
      <c r="D1314"/>
      <c r="E1314" t="s">
        <v>2666</v>
      </c>
      <c r="F1314"/>
      <c r="G1314" s="107">
        <v>4375</v>
      </c>
    </row>
    <row r="1315" spans="1:9">
      <c r="A1315" t="s">
        <v>20</v>
      </c>
      <c r="B1315" t="s">
        <v>19</v>
      </c>
      <c r="C1315" t="s">
        <v>236</v>
      </c>
      <c r="D1315"/>
      <c r="E1315" t="s">
        <v>3404</v>
      </c>
      <c r="F1315"/>
      <c r="G1315" s="107"/>
      <c r="H1315" s="6">
        <v>13125</v>
      </c>
      <c r="I1315" t="s">
        <v>3403</v>
      </c>
    </row>
    <row r="1316" spans="1:9">
      <c r="A1316" s="128" t="s">
        <v>20</v>
      </c>
      <c r="B1316" s="128" t="s">
        <v>2117</v>
      </c>
      <c r="C1316" s="128"/>
      <c r="D1316" s="128"/>
      <c r="E1316" s="128" t="s">
        <v>806</v>
      </c>
      <c r="F1316" s="128"/>
      <c r="G1316" s="129">
        <v>490917</v>
      </c>
    </row>
    <row r="1317" spans="1:9">
      <c r="A1317" t="s">
        <v>20</v>
      </c>
      <c r="B1317" t="s">
        <v>19</v>
      </c>
      <c r="C1317" t="s">
        <v>214</v>
      </c>
      <c r="D1317"/>
      <c r="E1317" t="s">
        <v>807</v>
      </c>
      <c r="F1317"/>
      <c r="G1317" s="107">
        <v>0</v>
      </c>
    </row>
    <row r="1318" spans="1:9">
      <c r="A1318" t="s">
        <v>20</v>
      </c>
      <c r="B1318" t="s">
        <v>19</v>
      </c>
      <c r="C1318" t="s">
        <v>234</v>
      </c>
      <c r="D1318"/>
      <c r="E1318" t="s">
        <v>808</v>
      </c>
      <c r="F1318"/>
      <c r="G1318" s="107">
        <v>21500</v>
      </c>
    </row>
    <row r="1319" spans="1:9">
      <c r="A1319" t="s">
        <v>20</v>
      </c>
      <c r="B1319" t="s">
        <v>19</v>
      </c>
      <c r="C1319" t="s">
        <v>236</v>
      </c>
      <c r="D1319"/>
      <c r="E1319" t="s">
        <v>809</v>
      </c>
      <c r="F1319"/>
      <c r="G1319" s="107">
        <v>150500</v>
      </c>
    </row>
    <row r="1320" spans="1:9">
      <c r="A1320" t="s">
        <v>20</v>
      </c>
      <c r="B1320" t="s">
        <v>19</v>
      </c>
      <c r="C1320" t="s">
        <v>214</v>
      </c>
      <c r="D1320"/>
      <c r="E1320" t="s">
        <v>810</v>
      </c>
      <c r="F1320"/>
      <c r="G1320" s="107">
        <v>0</v>
      </c>
    </row>
    <row r="1321" spans="1:9">
      <c r="A1321" t="s">
        <v>20</v>
      </c>
      <c r="B1321" t="s">
        <v>19</v>
      </c>
      <c r="C1321" t="s">
        <v>234</v>
      </c>
      <c r="D1321"/>
      <c r="E1321" t="s">
        <v>811</v>
      </c>
      <c r="F1321"/>
      <c r="G1321" s="107">
        <v>10750</v>
      </c>
    </row>
    <row r="1322" spans="1:9">
      <c r="A1322" t="s">
        <v>20</v>
      </c>
      <c r="B1322" t="s">
        <v>19</v>
      </c>
      <c r="C1322" t="s">
        <v>236</v>
      </c>
      <c r="D1322"/>
      <c r="E1322" t="s">
        <v>812</v>
      </c>
      <c r="F1322"/>
      <c r="G1322" s="107">
        <v>150500</v>
      </c>
    </row>
    <row r="1323" spans="1:9">
      <c r="A1323" t="s">
        <v>20</v>
      </c>
      <c r="B1323" t="s">
        <v>19</v>
      </c>
      <c r="C1323" t="s">
        <v>214</v>
      </c>
      <c r="D1323"/>
      <c r="E1323" t="s">
        <v>813</v>
      </c>
      <c r="F1323"/>
      <c r="G1323" s="107">
        <v>0</v>
      </c>
    </row>
    <row r="1324" spans="1:9">
      <c r="A1324" t="s">
        <v>20</v>
      </c>
      <c r="B1324" t="s">
        <v>19</v>
      </c>
      <c r="C1324" t="s">
        <v>1419</v>
      </c>
      <c r="D1324"/>
      <c r="E1324" t="s">
        <v>1822</v>
      </c>
      <c r="F1324"/>
      <c r="G1324" s="107">
        <v>10750</v>
      </c>
    </row>
    <row r="1325" spans="1:9">
      <c r="A1325" t="s">
        <v>20</v>
      </c>
      <c r="B1325" t="s">
        <v>19</v>
      </c>
      <c r="C1325" t="s">
        <v>1419</v>
      </c>
      <c r="D1325"/>
      <c r="E1325" t="s">
        <v>1823</v>
      </c>
      <c r="F1325"/>
      <c r="G1325" s="107">
        <v>43000</v>
      </c>
    </row>
    <row r="1326" spans="1:9">
      <c r="A1326" t="s">
        <v>20</v>
      </c>
      <c r="B1326" t="s">
        <v>19</v>
      </c>
      <c r="C1326" t="s">
        <v>214</v>
      </c>
      <c r="D1326"/>
      <c r="E1326" t="s">
        <v>2667</v>
      </c>
      <c r="F1326"/>
      <c r="G1326" s="107">
        <v>0</v>
      </c>
    </row>
    <row r="1327" spans="1:9">
      <c r="A1327" t="s">
        <v>20</v>
      </c>
      <c r="B1327" t="s">
        <v>19</v>
      </c>
      <c r="C1327" t="s">
        <v>1419</v>
      </c>
      <c r="D1327"/>
      <c r="E1327" t="s">
        <v>2668</v>
      </c>
      <c r="F1327"/>
      <c r="G1327" s="107">
        <v>10750</v>
      </c>
    </row>
    <row r="1328" spans="1:9">
      <c r="A1328" t="s">
        <v>20</v>
      </c>
      <c r="B1328" t="s">
        <v>19</v>
      </c>
      <c r="C1328" t="s">
        <v>1419</v>
      </c>
      <c r="D1328"/>
      <c r="E1328" t="s">
        <v>2669</v>
      </c>
      <c r="F1328"/>
      <c r="G1328" s="107">
        <v>43000</v>
      </c>
    </row>
    <row r="1329" spans="1:9">
      <c r="A1329" t="s">
        <v>20</v>
      </c>
      <c r="B1329" t="s">
        <v>19</v>
      </c>
      <c r="C1329" t="s">
        <v>214</v>
      </c>
      <c r="D1329"/>
      <c r="E1329" t="s">
        <v>2670</v>
      </c>
      <c r="F1329"/>
      <c r="G1329" s="107">
        <v>0</v>
      </c>
    </row>
    <row r="1330" spans="1:9">
      <c r="A1330" t="s">
        <v>20</v>
      </c>
      <c r="B1330" t="s">
        <v>19</v>
      </c>
      <c r="C1330" t="s">
        <v>236</v>
      </c>
      <c r="D1330"/>
      <c r="E1330" t="s">
        <v>2671</v>
      </c>
      <c r="F1330"/>
      <c r="G1330" s="107">
        <v>46583.29</v>
      </c>
    </row>
    <row r="1331" spans="1:9">
      <c r="A1331" t="s">
        <v>20</v>
      </c>
      <c r="B1331" t="s">
        <v>19</v>
      </c>
      <c r="C1331" t="s">
        <v>214</v>
      </c>
      <c r="D1331"/>
      <c r="E1331" t="s">
        <v>2672</v>
      </c>
      <c r="F1331"/>
      <c r="G1331" s="107">
        <v>0</v>
      </c>
    </row>
    <row r="1332" spans="1:9">
      <c r="A1332" t="s">
        <v>20</v>
      </c>
      <c r="B1332" t="s">
        <v>19</v>
      </c>
      <c r="C1332" t="s">
        <v>236</v>
      </c>
      <c r="D1332"/>
      <c r="E1332" t="s">
        <v>2673</v>
      </c>
      <c r="F1332"/>
      <c r="G1332" s="107">
        <v>3583.33</v>
      </c>
    </row>
    <row r="1333" spans="1:9">
      <c r="A1333" t="s">
        <v>20</v>
      </c>
      <c r="B1333" t="s">
        <v>19</v>
      </c>
      <c r="C1333" t="s">
        <v>236</v>
      </c>
      <c r="D1333"/>
      <c r="E1333" t="s">
        <v>3405</v>
      </c>
      <c r="F1333"/>
      <c r="G1333" s="107"/>
      <c r="H1333" s="6">
        <v>7500</v>
      </c>
      <c r="I1333" t="s">
        <v>3403</v>
      </c>
    </row>
    <row r="1334" spans="1:9">
      <c r="A1334" s="128" t="s">
        <v>20</v>
      </c>
      <c r="B1334" s="128" t="s">
        <v>2117</v>
      </c>
      <c r="C1334" s="128"/>
      <c r="D1334" s="128"/>
      <c r="E1334" s="128" t="s">
        <v>2674</v>
      </c>
      <c r="F1334" s="128"/>
      <c r="G1334" s="129">
        <v>126000</v>
      </c>
    </row>
    <row r="1335" spans="1:9">
      <c r="A1335" t="s">
        <v>20</v>
      </c>
      <c r="B1335" t="s">
        <v>19</v>
      </c>
      <c r="C1335" t="s">
        <v>214</v>
      </c>
      <c r="D1335"/>
      <c r="E1335" t="s">
        <v>2675</v>
      </c>
      <c r="F1335"/>
      <c r="G1335" s="107">
        <v>0</v>
      </c>
    </row>
    <row r="1336" spans="1:9">
      <c r="A1336" t="s">
        <v>20</v>
      </c>
      <c r="B1336" t="s">
        <v>19</v>
      </c>
      <c r="C1336" t="s">
        <v>234</v>
      </c>
      <c r="D1336"/>
      <c r="E1336" t="s">
        <v>2676</v>
      </c>
      <c r="F1336"/>
      <c r="G1336" s="107">
        <v>0</v>
      </c>
    </row>
    <row r="1337" spans="1:9">
      <c r="A1337" t="s">
        <v>20</v>
      </c>
      <c r="B1337" t="s">
        <v>19</v>
      </c>
      <c r="C1337" t="s">
        <v>236</v>
      </c>
      <c r="D1337"/>
      <c r="E1337" t="s">
        <v>2677</v>
      </c>
      <c r="F1337"/>
      <c r="G1337" s="107">
        <v>98000</v>
      </c>
    </row>
    <row r="1338" spans="1:9">
      <c r="A1338" t="s">
        <v>20</v>
      </c>
      <c r="B1338" t="s">
        <v>19</v>
      </c>
      <c r="C1338" t="s">
        <v>214</v>
      </c>
      <c r="D1338"/>
      <c r="E1338" t="s">
        <v>2678</v>
      </c>
      <c r="F1338"/>
      <c r="G1338" s="107">
        <v>0</v>
      </c>
    </row>
    <row r="1339" spans="1:9">
      <c r="A1339" t="s">
        <v>20</v>
      </c>
      <c r="B1339" t="s">
        <v>19</v>
      </c>
      <c r="C1339" t="s">
        <v>1419</v>
      </c>
      <c r="D1339"/>
      <c r="E1339" t="s">
        <v>2679</v>
      </c>
      <c r="F1339"/>
      <c r="G1339" s="107">
        <v>28000</v>
      </c>
    </row>
    <row r="1340" spans="1:9">
      <c r="A1340" s="128" t="s">
        <v>20</v>
      </c>
      <c r="B1340" s="128" t="s">
        <v>2117</v>
      </c>
      <c r="C1340" s="128"/>
      <c r="D1340" s="128"/>
      <c r="E1340" s="128" t="s">
        <v>814</v>
      </c>
      <c r="F1340" s="128"/>
      <c r="G1340" s="129">
        <v>174750</v>
      </c>
    </row>
    <row r="1341" spans="1:9">
      <c r="A1341" t="s">
        <v>20</v>
      </c>
      <c r="B1341" t="s">
        <v>19</v>
      </c>
      <c r="C1341" t="s">
        <v>214</v>
      </c>
      <c r="D1341"/>
      <c r="E1341" t="s">
        <v>815</v>
      </c>
      <c r="F1341"/>
      <c r="G1341" s="107">
        <v>0</v>
      </c>
    </row>
    <row r="1342" spans="1:9">
      <c r="A1342" t="s">
        <v>20</v>
      </c>
      <c r="B1342" t="s">
        <v>19</v>
      </c>
      <c r="C1342" t="s">
        <v>234</v>
      </c>
      <c r="D1342"/>
      <c r="E1342" t="s">
        <v>816</v>
      </c>
      <c r="F1342"/>
      <c r="G1342" s="107">
        <v>9250</v>
      </c>
    </row>
    <row r="1343" spans="1:9">
      <c r="A1343" t="s">
        <v>20</v>
      </c>
      <c r="B1343" t="s">
        <v>19</v>
      </c>
      <c r="C1343" t="s">
        <v>236</v>
      </c>
      <c r="D1343"/>
      <c r="E1343" t="s">
        <v>817</v>
      </c>
      <c r="F1343"/>
      <c r="G1343" s="107">
        <v>129500</v>
      </c>
    </row>
    <row r="1344" spans="1:9">
      <c r="A1344" t="s">
        <v>20</v>
      </c>
      <c r="B1344" t="s">
        <v>19</v>
      </c>
      <c r="C1344" t="s">
        <v>214</v>
      </c>
      <c r="D1344"/>
      <c r="E1344" t="s">
        <v>818</v>
      </c>
      <c r="F1344"/>
      <c r="G1344" s="107">
        <v>0</v>
      </c>
    </row>
    <row r="1345" spans="1:9">
      <c r="A1345" t="s">
        <v>20</v>
      </c>
      <c r="B1345" t="s">
        <v>19</v>
      </c>
      <c r="C1345" t="s">
        <v>1419</v>
      </c>
      <c r="D1345"/>
      <c r="E1345" t="s">
        <v>819</v>
      </c>
      <c r="F1345"/>
      <c r="G1345" s="107">
        <v>36000</v>
      </c>
    </row>
    <row r="1346" spans="1:9">
      <c r="A1346" t="s">
        <v>20</v>
      </c>
      <c r="B1346" t="s">
        <v>19</v>
      </c>
      <c r="C1346" t="s">
        <v>1419</v>
      </c>
      <c r="D1346"/>
      <c r="E1346" t="s">
        <v>3407</v>
      </c>
      <c r="F1346"/>
      <c r="G1346" s="107"/>
      <c r="H1346" s="6">
        <v>13200</v>
      </c>
      <c r="I1346" t="s">
        <v>3403</v>
      </c>
    </row>
    <row r="1347" spans="1:9">
      <c r="A1347" s="128" t="s">
        <v>20</v>
      </c>
      <c r="B1347" s="128" t="s">
        <v>2117</v>
      </c>
      <c r="C1347" s="128"/>
      <c r="D1347" s="128"/>
      <c r="E1347" s="128" t="s">
        <v>820</v>
      </c>
      <c r="F1347" s="128"/>
      <c r="G1347" s="129">
        <v>125000</v>
      </c>
    </row>
    <row r="1348" spans="1:9">
      <c r="A1348" t="s">
        <v>20</v>
      </c>
      <c r="B1348" t="s">
        <v>19</v>
      </c>
      <c r="C1348" t="s">
        <v>214</v>
      </c>
      <c r="D1348"/>
      <c r="E1348" t="s">
        <v>821</v>
      </c>
      <c r="F1348"/>
      <c r="G1348" s="107">
        <v>0</v>
      </c>
    </row>
    <row r="1349" spans="1:9">
      <c r="A1349" t="s">
        <v>20</v>
      </c>
      <c r="B1349" t="s">
        <v>19</v>
      </c>
      <c r="C1349" t="s">
        <v>236</v>
      </c>
      <c r="D1349"/>
      <c r="E1349" t="s">
        <v>2680</v>
      </c>
      <c r="F1349"/>
      <c r="G1349" s="107">
        <v>125000</v>
      </c>
    </row>
    <row r="1350" spans="1:9">
      <c r="A1350" s="128" t="s">
        <v>20</v>
      </c>
      <c r="B1350" s="128" t="s">
        <v>2117</v>
      </c>
      <c r="C1350" s="128"/>
      <c r="D1350" s="128"/>
      <c r="E1350" s="128" t="s">
        <v>822</v>
      </c>
      <c r="F1350" s="128"/>
      <c r="G1350" s="129">
        <v>272000</v>
      </c>
    </row>
    <row r="1351" spans="1:9">
      <c r="A1351" t="s">
        <v>20</v>
      </c>
      <c r="B1351" t="s">
        <v>19</v>
      </c>
      <c r="C1351" t="s">
        <v>214</v>
      </c>
      <c r="D1351"/>
      <c r="E1351" t="s">
        <v>823</v>
      </c>
      <c r="F1351"/>
      <c r="G1351" s="107">
        <v>0</v>
      </c>
    </row>
    <row r="1352" spans="1:9">
      <c r="A1352" t="s">
        <v>20</v>
      </c>
      <c r="B1352" t="s">
        <v>19</v>
      </c>
      <c r="C1352" t="s">
        <v>236</v>
      </c>
      <c r="D1352"/>
      <c r="E1352" t="s">
        <v>824</v>
      </c>
      <c r="F1352"/>
      <c r="G1352" s="107">
        <v>238000</v>
      </c>
    </row>
    <row r="1353" spans="1:9">
      <c r="A1353" t="s">
        <v>20</v>
      </c>
      <c r="B1353" t="s">
        <v>19</v>
      </c>
      <c r="C1353" t="s">
        <v>214</v>
      </c>
      <c r="D1353"/>
      <c r="E1353" t="s">
        <v>2681</v>
      </c>
      <c r="F1353"/>
      <c r="G1353" s="107">
        <v>0</v>
      </c>
    </row>
    <row r="1354" spans="1:9">
      <c r="A1354" t="s">
        <v>20</v>
      </c>
      <c r="B1354" t="s">
        <v>19</v>
      </c>
      <c r="C1354" t="s">
        <v>1419</v>
      </c>
      <c r="D1354"/>
      <c r="E1354" t="s">
        <v>2682</v>
      </c>
      <c r="F1354"/>
      <c r="G1354" s="107">
        <v>34000</v>
      </c>
    </row>
    <row r="1355" spans="1:9">
      <c r="A1355" s="128" t="s">
        <v>20</v>
      </c>
      <c r="B1355" s="128" t="s">
        <v>2117</v>
      </c>
      <c r="C1355" s="128"/>
      <c r="D1355" s="128"/>
      <c r="E1355" s="128" t="s">
        <v>1824</v>
      </c>
      <c r="F1355" s="128"/>
      <c r="G1355" s="129">
        <v>837000</v>
      </c>
    </row>
    <row r="1356" spans="1:9">
      <c r="A1356" t="s">
        <v>20</v>
      </c>
      <c r="B1356" t="s">
        <v>19</v>
      </c>
      <c r="C1356" t="s">
        <v>214</v>
      </c>
      <c r="D1356"/>
      <c r="E1356" t="s">
        <v>1825</v>
      </c>
      <c r="F1356"/>
      <c r="G1356" s="107">
        <v>0</v>
      </c>
    </row>
    <row r="1357" spans="1:9">
      <c r="A1357" t="s">
        <v>20</v>
      </c>
      <c r="B1357" t="s">
        <v>19</v>
      </c>
      <c r="C1357" t="s">
        <v>234</v>
      </c>
      <c r="D1357"/>
      <c r="E1357" t="s">
        <v>1826</v>
      </c>
      <c r="F1357"/>
      <c r="G1357" s="107">
        <v>8625</v>
      </c>
    </row>
    <row r="1358" spans="1:9">
      <c r="A1358" t="s">
        <v>20</v>
      </c>
      <c r="B1358" t="s">
        <v>19</v>
      </c>
      <c r="C1358" t="s">
        <v>236</v>
      </c>
      <c r="D1358"/>
      <c r="E1358" t="s">
        <v>1827</v>
      </c>
      <c r="F1358"/>
      <c r="G1358" s="107">
        <v>120750</v>
      </c>
    </row>
    <row r="1359" spans="1:9">
      <c r="A1359" t="s">
        <v>20</v>
      </c>
      <c r="B1359" t="s">
        <v>19</v>
      </c>
      <c r="C1359" t="s">
        <v>238</v>
      </c>
      <c r="D1359"/>
      <c r="E1359" t="s">
        <v>1828</v>
      </c>
      <c r="F1359"/>
      <c r="G1359" s="107">
        <v>8625</v>
      </c>
    </row>
    <row r="1360" spans="1:9">
      <c r="A1360" t="s">
        <v>20</v>
      </c>
      <c r="B1360" t="s">
        <v>19</v>
      </c>
      <c r="C1360" t="s">
        <v>214</v>
      </c>
      <c r="D1360"/>
      <c r="E1360" t="s">
        <v>1829</v>
      </c>
      <c r="F1360"/>
      <c r="G1360" s="107">
        <v>0</v>
      </c>
    </row>
    <row r="1361" spans="1:7">
      <c r="A1361" t="s">
        <v>20</v>
      </c>
      <c r="B1361" t="s">
        <v>19</v>
      </c>
      <c r="C1361" t="s">
        <v>234</v>
      </c>
      <c r="D1361"/>
      <c r="E1361" t="s">
        <v>1830</v>
      </c>
      <c r="F1361"/>
      <c r="G1361" s="107">
        <v>8625</v>
      </c>
    </row>
    <row r="1362" spans="1:7">
      <c r="A1362" t="s">
        <v>20</v>
      </c>
      <c r="B1362" t="s">
        <v>19</v>
      </c>
      <c r="C1362" t="s">
        <v>236</v>
      </c>
      <c r="D1362"/>
      <c r="E1362" t="s">
        <v>1831</v>
      </c>
      <c r="F1362"/>
      <c r="G1362" s="107">
        <v>120750</v>
      </c>
    </row>
    <row r="1363" spans="1:7">
      <c r="A1363" t="s">
        <v>20</v>
      </c>
      <c r="B1363" t="s">
        <v>19</v>
      </c>
      <c r="C1363" t="s">
        <v>238</v>
      </c>
      <c r="D1363"/>
      <c r="E1363" t="s">
        <v>1832</v>
      </c>
      <c r="F1363"/>
      <c r="G1363" s="107">
        <v>8625</v>
      </c>
    </row>
    <row r="1364" spans="1:7">
      <c r="A1364" t="s">
        <v>20</v>
      </c>
      <c r="B1364" t="s">
        <v>19</v>
      </c>
      <c r="C1364" t="s">
        <v>214</v>
      </c>
      <c r="D1364"/>
      <c r="E1364" t="s">
        <v>1833</v>
      </c>
      <c r="F1364"/>
      <c r="G1364" s="107">
        <v>0</v>
      </c>
    </row>
    <row r="1365" spans="1:7">
      <c r="A1365" t="s">
        <v>20</v>
      </c>
      <c r="B1365" t="s">
        <v>19</v>
      </c>
      <c r="C1365" t="s">
        <v>234</v>
      </c>
      <c r="D1365"/>
      <c r="E1365" t="s">
        <v>1834</v>
      </c>
      <c r="F1365"/>
      <c r="G1365" s="107">
        <v>7500</v>
      </c>
    </row>
    <row r="1366" spans="1:7">
      <c r="A1366" t="s">
        <v>20</v>
      </c>
      <c r="B1366" t="s">
        <v>19</v>
      </c>
      <c r="C1366" t="s">
        <v>236</v>
      </c>
      <c r="D1366"/>
      <c r="E1366" t="s">
        <v>1835</v>
      </c>
      <c r="F1366"/>
      <c r="G1366" s="107">
        <v>105000</v>
      </c>
    </row>
    <row r="1367" spans="1:7">
      <c r="A1367" t="s">
        <v>20</v>
      </c>
      <c r="B1367" t="s">
        <v>19</v>
      </c>
      <c r="C1367" t="s">
        <v>214</v>
      </c>
      <c r="D1367"/>
      <c r="E1367" t="s">
        <v>1836</v>
      </c>
      <c r="F1367"/>
      <c r="G1367" s="107">
        <v>0</v>
      </c>
    </row>
    <row r="1368" spans="1:7">
      <c r="A1368" t="s">
        <v>20</v>
      </c>
      <c r="B1368" t="s">
        <v>19</v>
      </c>
      <c r="C1368" t="s">
        <v>234</v>
      </c>
      <c r="D1368"/>
      <c r="E1368" t="s">
        <v>1837</v>
      </c>
      <c r="F1368"/>
      <c r="G1368" s="107">
        <v>7500</v>
      </c>
    </row>
    <row r="1369" spans="1:7">
      <c r="A1369" t="s">
        <v>20</v>
      </c>
      <c r="B1369" t="s">
        <v>19</v>
      </c>
      <c r="C1369" t="s">
        <v>236</v>
      </c>
      <c r="D1369"/>
      <c r="E1369" t="s">
        <v>1838</v>
      </c>
      <c r="F1369"/>
      <c r="G1369" s="107">
        <v>105000</v>
      </c>
    </row>
    <row r="1370" spans="1:7">
      <c r="A1370" t="s">
        <v>20</v>
      </c>
      <c r="B1370" t="s">
        <v>19</v>
      </c>
      <c r="C1370" t="s">
        <v>214</v>
      </c>
      <c r="D1370"/>
      <c r="E1370" t="s">
        <v>1839</v>
      </c>
      <c r="F1370"/>
      <c r="G1370" s="107">
        <v>0</v>
      </c>
    </row>
    <row r="1371" spans="1:7">
      <c r="A1371" t="s">
        <v>20</v>
      </c>
      <c r="B1371" t="s">
        <v>19</v>
      </c>
      <c r="C1371" t="s">
        <v>234</v>
      </c>
      <c r="D1371"/>
      <c r="E1371" t="s">
        <v>1840</v>
      </c>
      <c r="F1371"/>
      <c r="G1371" s="107">
        <v>7500</v>
      </c>
    </row>
    <row r="1372" spans="1:7">
      <c r="A1372" t="s">
        <v>20</v>
      </c>
      <c r="B1372" t="s">
        <v>19</v>
      </c>
      <c r="C1372" t="s">
        <v>236</v>
      </c>
      <c r="D1372"/>
      <c r="E1372" t="s">
        <v>1841</v>
      </c>
      <c r="F1372"/>
      <c r="G1372" s="107">
        <v>105000</v>
      </c>
    </row>
    <row r="1373" spans="1:7">
      <c r="A1373" t="s">
        <v>20</v>
      </c>
      <c r="B1373" t="s">
        <v>19</v>
      </c>
      <c r="C1373" t="s">
        <v>214</v>
      </c>
      <c r="D1373"/>
      <c r="E1373" t="s">
        <v>1842</v>
      </c>
      <c r="F1373"/>
      <c r="G1373" s="107">
        <v>0</v>
      </c>
    </row>
    <row r="1374" spans="1:7">
      <c r="A1374" t="s">
        <v>20</v>
      </c>
      <c r="B1374" t="s">
        <v>19</v>
      </c>
      <c r="C1374" t="s">
        <v>234</v>
      </c>
      <c r="D1374"/>
      <c r="E1374" t="s">
        <v>1843</v>
      </c>
      <c r="F1374"/>
      <c r="G1374" s="107">
        <v>3750</v>
      </c>
    </row>
    <row r="1375" spans="1:7">
      <c r="A1375" t="s">
        <v>20</v>
      </c>
      <c r="B1375" t="s">
        <v>19</v>
      </c>
      <c r="C1375" t="s">
        <v>236</v>
      </c>
      <c r="D1375"/>
      <c r="E1375" t="s">
        <v>1844</v>
      </c>
      <c r="F1375"/>
      <c r="G1375" s="107">
        <v>52500</v>
      </c>
    </row>
    <row r="1376" spans="1:7">
      <c r="A1376" t="s">
        <v>20</v>
      </c>
      <c r="B1376" t="s">
        <v>19</v>
      </c>
      <c r="C1376" t="s">
        <v>214</v>
      </c>
      <c r="D1376"/>
      <c r="E1376" t="s">
        <v>1845</v>
      </c>
      <c r="F1376"/>
      <c r="G1376" s="107">
        <v>0</v>
      </c>
    </row>
    <row r="1377" spans="1:7">
      <c r="A1377" t="s">
        <v>20</v>
      </c>
      <c r="B1377" t="s">
        <v>19</v>
      </c>
      <c r="C1377" t="s">
        <v>236</v>
      </c>
      <c r="D1377"/>
      <c r="E1377" t="s">
        <v>1846</v>
      </c>
      <c r="F1377"/>
      <c r="G1377" s="107">
        <v>9000</v>
      </c>
    </row>
    <row r="1378" spans="1:7">
      <c r="A1378" t="s">
        <v>20</v>
      </c>
      <c r="B1378" t="s">
        <v>19</v>
      </c>
      <c r="C1378" t="s">
        <v>214</v>
      </c>
      <c r="D1378"/>
      <c r="E1378" t="s">
        <v>2683</v>
      </c>
      <c r="F1378"/>
      <c r="G1378" s="107">
        <v>0</v>
      </c>
    </row>
    <row r="1379" spans="1:7">
      <c r="A1379" t="s">
        <v>20</v>
      </c>
      <c r="B1379" t="s">
        <v>19</v>
      </c>
      <c r="C1379" t="s">
        <v>1419</v>
      </c>
      <c r="D1379"/>
      <c r="E1379" t="s">
        <v>2684</v>
      </c>
      <c r="F1379"/>
      <c r="G1379" s="107">
        <v>8625</v>
      </c>
    </row>
    <row r="1380" spans="1:7">
      <c r="A1380" t="s">
        <v>20</v>
      </c>
      <c r="B1380" t="s">
        <v>19</v>
      </c>
      <c r="C1380" t="s">
        <v>1419</v>
      </c>
      <c r="D1380"/>
      <c r="E1380" t="s">
        <v>2685</v>
      </c>
      <c r="F1380"/>
      <c r="G1380" s="107">
        <v>34500</v>
      </c>
    </row>
    <row r="1381" spans="1:7">
      <c r="A1381" t="s">
        <v>20</v>
      </c>
      <c r="B1381" t="s">
        <v>19</v>
      </c>
      <c r="C1381" t="s">
        <v>1419</v>
      </c>
      <c r="D1381"/>
      <c r="E1381" t="s">
        <v>2686</v>
      </c>
      <c r="F1381"/>
      <c r="G1381" s="107">
        <v>8625</v>
      </c>
    </row>
    <row r="1382" spans="1:7">
      <c r="A1382" t="s">
        <v>20</v>
      </c>
      <c r="B1382" t="s">
        <v>19</v>
      </c>
      <c r="C1382" t="s">
        <v>214</v>
      </c>
      <c r="D1382"/>
      <c r="E1382" t="s">
        <v>2687</v>
      </c>
      <c r="F1382"/>
      <c r="G1382" s="107">
        <v>0</v>
      </c>
    </row>
    <row r="1383" spans="1:7">
      <c r="A1383" t="s">
        <v>20</v>
      </c>
      <c r="B1383" t="s">
        <v>19</v>
      </c>
      <c r="C1383" t="s">
        <v>1419</v>
      </c>
      <c r="D1383"/>
      <c r="E1383" t="s">
        <v>2688</v>
      </c>
      <c r="F1383"/>
      <c r="G1383" s="107">
        <v>8625</v>
      </c>
    </row>
    <row r="1384" spans="1:7">
      <c r="A1384" t="s">
        <v>20</v>
      </c>
      <c r="B1384" t="s">
        <v>19</v>
      </c>
      <c r="C1384" t="s">
        <v>1419</v>
      </c>
      <c r="D1384"/>
      <c r="E1384" t="s">
        <v>2689</v>
      </c>
      <c r="F1384"/>
      <c r="G1384" s="107">
        <v>34500</v>
      </c>
    </row>
    <row r="1385" spans="1:7">
      <c r="A1385" t="s">
        <v>20</v>
      </c>
      <c r="B1385" t="s">
        <v>19</v>
      </c>
      <c r="C1385" t="s">
        <v>1419</v>
      </c>
      <c r="D1385"/>
      <c r="E1385" t="s">
        <v>2690</v>
      </c>
      <c r="F1385"/>
      <c r="G1385" s="107">
        <v>8625</v>
      </c>
    </row>
    <row r="1386" spans="1:7">
      <c r="A1386" t="s">
        <v>20</v>
      </c>
      <c r="B1386" t="s">
        <v>19</v>
      </c>
      <c r="C1386" t="s">
        <v>214</v>
      </c>
      <c r="D1386"/>
      <c r="E1386" t="s">
        <v>2691</v>
      </c>
      <c r="F1386"/>
      <c r="G1386" s="107">
        <v>0</v>
      </c>
    </row>
    <row r="1387" spans="1:7">
      <c r="A1387" t="s">
        <v>20</v>
      </c>
      <c r="B1387" t="s">
        <v>19</v>
      </c>
      <c r="C1387" t="s">
        <v>1419</v>
      </c>
      <c r="D1387"/>
      <c r="E1387" t="s">
        <v>2692</v>
      </c>
      <c r="F1387"/>
      <c r="G1387" s="107">
        <v>7500</v>
      </c>
    </row>
    <row r="1388" spans="1:7">
      <c r="A1388" t="s">
        <v>20</v>
      </c>
      <c r="B1388" t="s">
        <v>19</v>
      </c>
      <c r="C1388" t="s">
        <v>1419</v>
      </c>
      <c r="D1388"/>
      <c r="E1388" t="s">
        <v>2693</v>
      </c>
      <c r="F1388"/>
      <c r="G1388" s="107">
        <v>30000</v>
      </c>
    </row>
    <row r="1389" spans="1:7">
      <c r="A1389" t="s">
        <v>20</v>
      </c>
      <c r="B1389" t="s">
        <v>19</v>
      </c>
      <c r="C1389" t="s">
        <v>214</v>
      </c>
      <c r="D1389"/>
      <c r="E1389" t="s">
        <v>2694</v>
      </c>
      <c r="F1389"/>
      <c r="G1389" s="107">
        <v>0</v>
      </c>
    </row>
    <row r="1390" spans="1:7">
      <c r="A1390" t="s">
        <v>20</v>
      </c>
      <c r="B1390" t="s">
        <v>19</v>
      </c>
      <c r="C1390" t="s">
        <v>236</v>
      </c>
      <c r="D1390"/>
      <c r="E1390" t="s">
        <v>2695</v>
      </c>
      <c r="F1390"/>
      <c r="G1390" s="107">
        <v>0</v>
      </c>
    </row>
    <row r="1391" spans="1:7">
      <c r="A1391" t="s">
        <v>20</v>
      </c>
      <c r="B1391" t="s">
        <v>19</v>
      </c>
      <c r="C1391" t="s">
        <v>214</v>
      </c>
      <c r="D1391"/>
      <c r="E1391" t="s">
        <v>2696</v>
      </c>
      <c r="F1391"/>
      <c r="G1391" s="107">
        <v>0</v>
      </c>
    </row>
    <row r="1392" spans="1:7">
      <c r="A1392" t="s">
        <v>20</v>
      </c>
      <c r="B1392" t="s">
        <v>19</v>
      </c>
      <c r="C1392" t="s">
        <v>236</v>
      </c>
      <c r="D1392"/>
      <c r="E1392" t="s">
        <v>2697</v>
      </c>
      <c r="F1392"/>
      <c r="G1392" s="107">
        <v>8625</v>
      </c>
    </row>
    <row r="1393" spans="1:9">
      <c r="A1393" t="s">
        <v>20</v>
      </c>
      <c r="B1393" t="s">
        <v>19</v>
      </c>
      <c r="C1393" t="s">
        <v>214</v>
      </c>
      <c r="D1393"/>
      <c r="E1393" t="s">
        <v>2698</v>
      </c>
      <c r="F1393"/>
      <c r="G1393" s="107">
        <v>0</v>
      </c>
    </row>
    <row r="1394" spans="1:9">
      <c r="A1394" t="s">
        <v>20</v>
      </c>
      <c r="B1394" t="s">
        <v>19</v>
      </c>
      <c r="C1394" t="s">
        <v>236</v>
      </c>
      <c r="D1394"/>
      <c r="E1394" t="s">
        <v>2699</v>
      </c>
      <c r="F1394"/>
      <c r="G1394" s="107">
        <v>8625</v>
      </c>
    </row>
    <row r="1395" spans="1:9">
      <c r="A1395" t="s">
        <v>20</v>
      </c>
      <c r="B1395" t="s">
        <v>19</v>
      </c>
      <c r="C1395" t="s">
        <v>236</v>
      </c>
      <c r="D1395"/>
      <c r="E1395" t="s">
        <v>3408</v>
      </c>
      <c r="F1395"/>
      <c r="G1395" s="107"/>
      <c r="H1395" s="6">
        <v>17250</v>
      </c>
      <c r="I1395" t="s">
        <v>3403</v>
      </c>
    </row>
    <row r="1396" spans="1:9">
      <c r="A1396" t="s">
        <v>20</v>
      </c>
      <c r="B1396" t="s">
        <v>19</v>
      </c>
      <c r="C1396" t="s">
        <v>236</v>
      </c>
      <c r="D1396"/>
      <c r="E1396" t="s">
        <v>3409</v>
      </c>
      <c r="F1396"/>
      <c r="G1396" s="107"/>
      <c r="H1396" s="6">
        <v>17250</v>
      </c>
      <c r="I1396" t="s">
        <v>3403</v>
      </c>
    </row>
    <row r="1397" spans="1:9">
      <c r="A1397" t="s">
        <v>20</v>
      </c>
      <c r="B1397" t="s">
        <v>19</v>
      </c>
      <c r="C1397" t="s">
        <v>236</v>
      </c>
      <c r="D1397"/>
      <c r="E1397" t="s">
        <v>3419</v>
      </c>
      <c r="F1397"/>
      <c r="G1397" s="107"/>
      <c r="H1397" s="6">
        <v>4350</v>
      </c>
      <c r="I1397" t="s">
        <v>3403</v>
      </c>
    </row>
    <row r="1398" spans="1:9">
      <c r="A1398" s="128" t="s">
        <v>20</v>
      </c>
      <c r="B1398" s="128" t="s">
        <v>2117</v>
      </c>
      <c r="C1398" s="128"/>
      <c r="D1398" s="128"/>
      <c r="E1398" s="128" t="s">
        <v>825</v>
      </c>
      <c r="F1398" s="128"/>
      <c r="G1398" s="129">
        <v>120000</v>
      </c>
    </row>
    <row r="1399" spans="1:9">
      <c r="A1399" t="s">
        <v>20</v>
      </c>
      <c r="B1399" t="s">
        <v>19</v>
      </c>
      <c r="C1399" t="s">
        <v>214</v>
      </c>
      <c r="D1399"/>
      <c r="E1399" t="s">
        <v>826</v>
      </c>
      <c r="F1399"/>
      <c r="G1399" s="107">
        <v>0</v>
      </c>
    </row>
    <row r="1400" spans="1:9">
      <c r="A1400" t="s">
        <v>20</v>
      </c>
      <c r="B1400" t="s">
        <v>19</v>
      </c>
      <c r="C1400" t="s">
        <v>227</v>
      </c>
      <c r="D1400"/>
      <c r="E1400" t="s">
        <v>2700</v>
      </c>
      <c r="F1400"/>
      <c r="G1400" s="107">
        <v>120000</v>
      </c>
    </row>
    <row r="1401" spans="1:9">
      <c r="A1401" s="128" t="s">
        <v>20</v>
      </c>
      <c r="B1401" s="128" t="s">
        <v>2117</v>
      </c>
      <c r="C1401" s="128"/>
      <c r="D1401" s="128"/>
      <c r="E1401" s="128" t="s">
        <v>2701</v>
      </c>
      <c r="F1401" s="128"/>
      <c r="G1401" s="129">
        <v>324000</v>
      </c>
    </row>
    <row r="1402" spans="1:9">
      <c r="A1402" t="s">
        <v>20</v>
      </c>
      <c r="B1402" t="s">
        <v>19</v>
      </c>
      <c r="C1402" t="s">
        <v>214</v>
      </c>
      <c r="D1402"/>
      <c r="E1402" t="s">
        <v>2702</v>
      </c>
      <c r="F1402"/>
      <c r="G1402" s="107">
        <v>0</v>
      </c>
    </row>
    <row r="1403" spans="1:9">
      <c r="A1403" t="s">
        <v>20</v>
      </c>
      <c r="B1403" t="s">
        <v>19</v>
      </c>
      <c r="C1403" t="s">
        <v>236</v>
      </c>
      <c r="D1403"/>
      <c r="E1403" t="s">
        <v>2703</v>
      </c>
      <c r="F1403"/>
      <c r="G1403" s="107">
        <v>0</v>
      </c>
    </row>
    <row r="1404" spans="1:9">
      <c r="A1404" t="s">
        <v>20</v>
      </c>
      <c r="B1404" t="s">
        <v>19</v>
      </c>
      <c r="C1404" t="s">
        <v>236</v>
      </c>
      <c r="D1404"/>
      <c r="E1404" t="s">
        <v>2704</v>
      </c>
      <c r="F1404"/>
      <c r="G1404" s="107">
        <v>0</v>
      </c>
    </row>
    <row r="1405" spans="1:9">
      <c r="A1405" t="s">
        <v>20</v>
      </c>
      <c r="B1405" t="s">
        <v>19</v>
      </c>
      <c r="C1405" t="s">
        <v>236</v>
      </c>
      <c r="D1405"/>
      <c r="E1405" t="s">
        <v>2705</v>
      </c>
      <c r="F1405"/>
      <c r="G1405" s="107">
        <v>0</v>
      </c>
    </row>
    <row r="1406" spans="1:9">
      <c r="A1406" t="s">
        <v>20</v>
      </c>
      <c r="B1406" t="s">
        <v>19</v>
      </c>
      <c r="C1406" t="s">
        <v>236</v>
      </c>
      <c r="D1406"/>
      <c r="E1406" t="s">
        <v>2706</v>
      </c>
      <c r="F1406"/>
      <c r="G1406" s="107">
        <v>0</v>
      </c>
    </row>
    <row r="1407" spans="1:9">
      <c r="A1407" t="s">
        <v>20</v>
      </c>
      <c r="B1407" t="s">
        <v>19</v>
      </c>
      <c r="C1407" t="s">
        <v>236</v>
      </c>
      <c r="D1407"/>
      <c r="E1407" t="s">
        <v>2707</v>
      </c>
      <c r="F1407"/>
      <c r="G1407" s="107">
        <v>0</v>
      </c>
    </row>
    <row r="1408" spans="1:9">
      <c r="A1408" t="s">
        <v>20</v>
      </c>
      <c r="B1408" t="s">
        <v>19</v>
      </c>
      <c r="C1408" t="s">
        <v>236</v>
      </c>
      <c r="D1408"/>
      <c r="E1408" t="s">
        <v>2708</v>
      </c>
      <c r="F1408"/>
      <c r="G1408" s="107">
        <v>0</v>
      </c>
    </row>
    <row r="1409" spans="1:9">
      <c r="A1409" t="s">
        <v>20</v>
      </c>
      <c r="B1409" t="s">
        <v>19</v>
      </c>
      <c r="C1409" t="s">
        <v>236</v>
      </c>
      <c r="D1409"/>
      <c r="E1409" t="s">
        <v>2709</v>
      </c>
      <c r="F1409"/>
      <c r="G1409" s="107">
        <v>0</v>
      </c>
    </row>
    <row r="1410" spans="1:9">
      <c r="A1410" t="s">
        <v>20</v>
      </c>
      <c r="B1410" t="s">
        <v>19</v>
      </c>
      <c r="C1410" t="s">
        <v>236</v>
      </c>
      <c r="D1410"/>
      <c r="E1410" t="s">
        <v>2710</v>
      </c>
      <c r="F1410"/>
      <c r="G1410" s="107">
        <v>0</v>
      </c>
    </row>
    <row r="1411" spans="1:9">
      <c r="A1411" t="s">
        <v>20</v>
      </c>
      <c r="B1411" t="s">
        <v>19</v>
      </c>
      <c r="C1411" t="s">
        <v>236</v>
      </c>
      <c r="D1411"/>
      <c r="E1411" t="s">
        <v>2711</v>
      </c>
      <c r="F1411"/>
      <c r="G1411" s="107">
        <v>0</v>
      </c>
    </row>
    <row r="1412" spans="1:9">
      <c r="A1412" t="s">
        <v>20</v>
      </c>
      <c r="B1412" t="s">
        <v>19</v>
      </c>
      <c r="C1412" t="s">
        <v>236</v>
      </c>
      <c r="D1412"/>
      <c r="E1412" t="s">
        <v>2712</v>
      </c>
      <c r="F1412"/>
      <c r="G1412" s="107">
        <v>0</v>
      </c>
    </row>
    <row r="1413" spans="1:9">
      <c r="A1413" t="s">
        <v>20</v>
      </c>
      <c r="B1413" t="s">
        <v>19</v>
      </c>
      <c r="C1413" t="s">
        <v>236</v>
      </c>
      <c r="D1413"/>
      <c r="E1413" t="s">
        <v>2713</v>
      </c>
      <c r="F1413"/>
      <c r="G1413" s="107">
        <v>0</v>
      </c>
    </row>
    <row r="1414" spans="1:9">
      <c r="A1414" t="s">
        <v>20</v>
      </c>
      <c r="B1414" t="s">
        <v>19</v>
      </c>
      <c r="C1414" t="s">
        <v>236</v>
      </c>
      <c r="D1414"/>
      <c r="E1414" t="s">
        <v>2714</v>
      </c>
      <c r="F1414"/>
      <c r="G1414" s="107">
        <v>0</v>
      </c>
    </row>
    <row r="1415" spans="1:9">
      <c r="A1415" t="s">
        <v>20</v>
      </c>
      <c r="B1415" t="s">
        <v>19</v>
      </c>
      <c r="C1415" t="s">
        <v>236</v>
      </c>
      <c r="D1415"/>
      <c r="E1415" t="s">
        <v>2715</v>
      </c>
      <c r="F1415"/>
      <c r="G1415" s="107">
        <v>252000</v>
      </c>
    </row>
    <row r="1416" spans="1:9">
      <c r="A1416" t="s">
        <v>20</v>
      </c>
      <c r="B1416" t="s">
        <v>19</v>
      </c>
      <c r="C1416" t="s">
        <v>214</v>
      </c>
      <c r="D1416"/>
      <c r="E1416" t="s">
        <v>2716</v>
      </c>
      <c r="F1416"/>
      <c r="G1416" s="107">
        <v>0</v>
      </c>
    </row>
    <row r="1417" spans="1:9">
      <c r="A1417" t="s">
        <v>20</v>
      </c>
      <c r="B1417" t="s">
        <v>19</v>
      </c>
      <c r="C1417" t="s">
        <v>1419</v>
      </c>
      <c r="D1417"/>
      <c r="E1417" t="s">
        <v>2717</v>
      </c>
      <c r="F1417"/>
      <c r="G1417" s="107">
        <v>72000</v>
      </c>
    </row>
    <row r="1418" spans="1:9">
      <c r="A1418" t="s">
        <v>20</v>
      </c>
      <c r="B1418" t="s">
        <v>19</v>
      </c>
      <c r="C1418" t="s">
        <v>1419</v>
      </c>
      <c r="D1418"/>
      <c r="E1418" t="s">
        <v>3410</v>
      </c>
      <c r="F1418"/>
      <c r="G1418" s="107"/>
      <c r="H1418" s="6">
        <v>11200</v>
      </c>
      <c r="I1418" t="s">
        <v>3403</v>
      </c>
    </row>
    <row r="1419" spans="1:9">
      <c r="A1419" s="128" t="s">
        <v>20</v>
      </c>
      <c r="B1419" s="128" t="s">
        <v>2117</v>
      </c>
      <c r="C1419" s="128"/>
      <c r="D1419" s="128"/>
      <c r="E1419" s="128" t="s">
        <v>827</v>
      </c>
      <c r="F1419" s="128"/>
      <c r="G1419" s="129">
        <v>7120297</v>
      </c>
    </row>
    <row r="1420" spans="1:9">
      <c r="A1420" t="s">
        <v>20</v>
      </c>
      <c r="B1420" t="s">
        <v>19</v>
      </c>
      <c r="C1420" t="s">
        <v>214</v>
      </c>
      <c r="D1420"/>
      <c r="E1420" t="s">
        <v>828</v>
      </c>
      <c r="F1420"/>
      <c r="G1420" s="107">
        <v>0</v>
      </c>
    </row>
    <row r="1421" spans="1:9">
      <c r="A1421" t="s">
        <v>20</v>
      </c>
      <c r="B1421" t="s">
        <v>19</v>
      </c>
      <c r="C1421" t="s">
        <v>214</v>
      </c>
      <c r="D1421"/>
      <c r="E1421" t="s">
        <v>829</v>
      </c>
      <c r="F1421"/>
      <c r="G1421" s="107">
        <v>0</v>
      </c>
    </row>
    <row r="1422" spans="1:9">
      <c r="A1422" t="s">
        <v>20</v>
      </c>
      <c r="B1422" t="s">
        <v>19</v>
      </c>
      <c r="C1422" t="s">
        <v>236</v>
      </c>
      <c r="D1422"/>
      <c r="E1422" t="s">
        <v>830</v>
      </c>
      <c r="F1422"/>
      <c r="G1422" s="107">
        <v>0</v>
      </c>
    </row>
    <row r="1423" spans="1:9">
      <c r="A1423" t="s">
        <v>20</v>
      </c>
      <c r="B1423" t="s">
        <v>19</v>
      </c>
      <c r="C1423" t="s">
        <v>236</v>
      </c>
      <c r="D1423"/>
      <c r="E1423" t="s">
        <v>831</v>
      </c>
      <c r="F1423"/>
      <c r="G1423" s="107">
        <v>0</v>
      </c>
    </row>
    <row r="1424" spans="1:9">
      <c r="A1424" t="s">
        <v>20</v>
      </c>
      <c r="B1424" t="s">
        <v>19</v>
      </c>
      <c r="C1424" t="s">
        <v>236</v>
      </c>
      <c r="D1424"/>
      <c r="E1424" t="s">
        <v>832</v>
      </c>
      <c r="F1424"/>
      <c r="G1424" s="107">
        <v>0</v>
      </c>
    </row>
    <row r="1425" spans="1:7">
      <c r="A1425" t="s">
        <v>20</v>
      </c>
      <c r="B1425" t="s">
        <v>19</v>
      </c>
      <c r="C1425" t="s">
        <v>236</v>
      </c>
      <c r="D1425"/>
      <c r="E1425" t="s">
        <v>833</v>
      </c>
      <c r="F1425"/>
      <c r="G1425" s="107">
        <v>0</v>
      </c>
    </row>
    <row r="1426" spans="1:7">
      <c r="A1426" t="s">
        <v>20</v>
      </c>
      <c r="B1426" t="s">
        <v>19</v>
      </c>
      <c r="C1426" t="s">
        <v>236</v>
      </c>
      <c r="D1426"/>
      <c r="E1426" t="s">
        <v>834</v>
      </c>
      <c r="F1426"/>
      <c r="G1426" s="107">
        <v>0</v>
      </c>
    </row>
    <row r="1427" spans="1:7">
      <c r="A1427" t="s">
        <v>20</v>
      </c>
      <c r="B1427" t="s">
        <v>19</v>
      </c>
      <c r="C1427" t="s">
        <v>236</v>
      </c>
      <c r="D1427"/>
      <c r="E1427" t="s">
        <v>835</v>
      </c>
      <c r="F1427"/>
      <c r="G1427" s="107">
        <v>0</v>
      </c>
    </row>
    <row r="1428" spans="1:7">
      <c r="A1428" t="s">
        <v>20</v>
      </c>
      <c r="B1428" t="s">
        <v>19</v>
      </c>
      <c r="C1428" t="s">
        <v>236</v>
      </c>
      <c r="D1428"/>
      <c r="E1428" t="s">
        <v>836</v>
      </c>
      <c r="F1428"/>
      <c r="G1428" s="107">
        <v>0</v>
      </c>
    </row>
    <row r="1429" spans="1:7">
      <c r="A1429" t="s">
        <v>20</v>
      </c>
      <c r="B1429" t="s">
        <v>19</v>
      </c>
      <c r="C1429" t="s">
        <v>236</v>
      </c>
      <c r="D1429"/>
      <c r="E1429" t="s">
        <v>837</v>
      </c>
      <c r="F1429"/>
      <c r="G1429" s="107">
        <v>0</v>
      </c>
    </row>
    <row r="1430" spans="1:7">
      <c r="A1430" t="s">
        <v>20</v>
      </c>
      <c r="B1430" t="s">
        <v>19</v>
      </c>
      <c r="C1430" t="s">
        <v>236</v>
      </c>
      <c r="D1430"/>
      <c r="E1430" t="s">
        <v>838</v>
      </c>
      <c r="F1430"/>
      <c r="G1430" s="107">
        <v>0</v>
      </c>
    </row>
    <row r="1431" spans="1:7">
      <c r="A1431" t="s">
        <v>20</v>
      </c>
      <c r="B1431" t="s">
        <v>19</v>
      </c>
      <c r="C1431" t="s">
        <v>236</v>
      </c>
      <c r="D1431"/>
      <c r="E1431" t="s">
        <v>839</v>
      </c>
      <c r="F1431"/>
      <c r="G1431" s="107">
        <v>0</v>
      </c>
    </row>
    <row r="1432" spans="1:7">
      <c r="A1432" t="s">
        <v>20</v>
      </c>
      <c r="B1432" t="s">
        <v>19</v>
      </c>
      <c r="C1432" t="s">
        <v>236</v>
      </c>
      <c r="D1432"/>
      <c r="E1432" t="s">
        <v>840</v>
      </c>
      <c r="F1432"/>
      <c r="G1432" s="107">
        <v>0</v>
      </c>
    </row>
    <row r="1433" spans="1:7">
      <c r="A1433" t="s">
        <v>20</v>
      </c>
      <c r="B1433" t="s">
        <v>19</v>
      </c>
      <c r="C1433" t="s">
        <v>236</v>
      </c>
      <c r="D1433"/>
      <c r="E1433" t="s">
        <v>841</v>
      </c>
      <c r="F1433"/>
      <c r="G1433" s="107">
        <v>0</v>
      </c>
    </row>
    <row r="1434" spans="1:7">
      <c r="A1434" t="s">
        <v>20</v>
      </c>
      <c r="B1434" t="s">
        <v>19</v>
      </c>
      <c r="C1434" t="s">
        <v>236</v>
      </c>
      <c r="D1434"/>
      <c r="E1434" t="s">
        <v>842</v>
      </c>
      <c r="F1434"/>
      <c r="G1434" s="107">
        <v>0</v>
      </c>
    </row>
    <row r="1435" spans="1:7">
      <c r="A1435" t="s">
        <v>20</v>
      </c>
      <c r="B1435" t="s">
        <v>19</v>
      </c>
      <c r="C1435" t="s">
        <v>236</v>
      </c>
      <c r="D1435"/>
      <c r="E1435" t="s">
        <v>843</v>
      </c>
      <c r="F1435"/>
      <c r="G1435" s="107">
        <v>0</v>
      </c>
    </row>
    <row r="1436" spans="1:7">
      <c r="A1436" t="s">
        <v>20</v>
      </c>
      <c r="B1436" t="s">
        <v>19</v>
      </c>
      <c r="C1436" t="s">
        <v>236</v>
      </c>
      <c r="D1436"/>
      <c r="E1436" t="s">
        <v>844</v>
      </c>
      <c r="F1436"/>
      <c r="G1436" s="107">
        <v>0</v>
      </c>
    </row>
    <row r="1437" spans="1:7">
      <c r="A1437" t="s">
        <v>20</v>
      </c>
      <c r="B1437" t="s">
        <v>19</v>
      </c>
      <c r="C1437" t="s">
        <v>236</v>
      </c>
      <c r="D1437"/>
      <c r="E1437" t="s">
        <v>845</v>
      </c>
      <c r="F1437"/>
      <c r="G1437" s="107">
        <v>0</v>
      </c>
    </row>
    <row r="1438" spans="1:7">
      <c r="A1438" t="s">
        <v>20</v>
      </c>
      <c r="B1438" t="s">
        <v>19</v>
      </c>
      <c r="C1438" t="s">
        <v>236</v>
      </c>
      <c r="D1438"/>
      <c r="E1438" t="s">
        <v>846</v>
      </c>
      <c r="F1438"/>
      <c r="G1438" s="107">
        <v>0</v>
      </c>
    </row>
    <row r="1439" spans="1:7">
      <c r="A1439" t="s">
        <v>20</v>
      </c>
      <c r="B1439" t="s">
        <v>19</v>
      </c>
      <c r="C1439" t="s">
        <v>236</v>
      </c>
      <c r="D1439"/>
      <c r="E1439" t="s">
        <v>847</v>
      </c>
      <c r="F1439"/>
      <c r="G1439" s="107">
        <v>0</v>
      </c>
    </row>
    <row r="1440" spans="1:7">
      <c r="A1440" t="s">
        <v>20</v>
      </c>
      <c r="B1440" t="s">
        <v>19</v>
      </c>
      <c r="C1440" t="s">
        <v>236</v>
      </c>
      <c r="D1440"/>
      <c r="E1440" t="s">
        <v>848</v>
      </c>
      <c r="F1440"/>
      <c r="G1440" s="107">
        <v>0</v>
      </c>
    </row>
    <row r="1441" spans="1:7">
      <c r="A1441" t="s">
        <v>20</v>
      </c>
      <c r="B1441" t="s">
        <v>19</v>
      </c>
      <c r="C1441" t="s">
        <v>236</v>
      </c>
      <c r="D1441"/>
      <c r="E1441" t="s">
        <v>849</v>
      </c>
      <c r="F1441"/>
      <c r="G1441" s="107">
        <v>0</v>
      </c>
    </row>
    <row r="1442" spans="1:7">
      <c r="A1442" t="s">
        <v>20</v>
      </c>
      <c r="B1442" t="s">
        <v>19</v>
      </c>
      <c r="C1442" t="s">
        <v>236</v>
      </c>
      <c r="D1442"/>
      <c r="E1442" t="s">
        <v>850</v>
      </c>
      <c r="F1442"/>
      <c r="G1442" s="107">
        <v>0</v>
      </c>
    </row>
    <row r="1443" spans="1:7">
      <c r="A1443" t="s">
        <v>20</v>
      </c>
      <c r="B1443" t="s">
        <v>19</v>
      </c>
      <c r="C1443" t="s">
        <v>236</v>
      </c>
      <c r="D1443"/>
      <c r="E1443" t="s">
        <v>851</v>
      </c>
      <c r="F1443"/>
      <c r="G1443" s="107">
        <v>0</v>
      </c>
    </row>
    <row r="1444" spans="1:7">
      <c r="A1444" t="s">
        <v>20</v>
      </c>
      <c r="B1444" t="s">
        <v>19</v>
      </c>
      <c r="C1444" t="s">
        <v>236</v>
      </c>
      <c r="D1444"/>
      <c r="E1444" t="s">
        <v>852</v>
      </c>
      <c r="F1444"/>
      <c r="G1444" s="107">
        <v>0</v>
      </c>
    </row>
    <row r="1445" spans="1:7">
      <c r="A1445" t="s">
        <v>20</v>
      </c>
      <c r="B1445" t="s">
        <v>19</v>
      </c>
      <c r="C1445" t="s">
        <v>236</v>
      </c>
      <c r="D1445"/>
      <c r="E1445" t="s">
        <v>853</v>
      </c>
      <c r="F1445"/>
      <c r="G1445" s="107">
        <v>0</v>
      </c>
    </row>
    <row r="1446" spans="1:7">
      <c r="A1446" t="s">
        <v>20</v>
      </c>
      <c r="B1446" t="s">
        <v>19</v>
      </c>
      <c r="C1446" t="s">
        <v>236</v>
      </c>
      <c r="D1446"/>
      <c r="E1446" t="s">
        <v>854</v>
      </c>
      <c r="F1446"/>
      <c r="G1446" s="107">
        <v>0</v>
      </c>
    </row>
    <row r="1447" spans="1:7">
      <c r="A1447" t="s">
        <v>20</v>
      </c>
      <c r="B1447" t="s">
        <v>19</v>
      </c>
      <c r="C1447" t="s">
        <v>236</v>
      </c>
      <c r="D1447"/>
      <c r="E1447" t="s">
        <v>855</v>
      </c>
      <c r="F1447"/>
      <c r="G1447" s="107">
        <v>0</v>
      </c>
    </row>
    <row r="1448" spans="1:7">
      <c r="A1448" t="s">
        <v>20</v>
      </c>
      <c r="B1448" t="s">
        <v>19</v>
      </c>
      <c r="C1448" t="s">
        <v>236</v>
      </c>
      <c r="D1448"/>
      <c r="E1448" t="s">
        <v>856</v>
      </c>
      <c r="F1448"/>
      <c r="G1448" s="107">
        <v>0</v>
      </c>
    </row>
    <row r="1449" spans="1:7">
      <c r="A1449" t="s">
        <v>20</v>
      </c>
      <c r="B1449" t="s">
        <v>19</v>
      </c>
      <c r="C1449" t="s">
        <v>236</v>
      </c>
      <c r="D1449"/>
      <c r="E1449" t="s">
        <v>857</v>
      </c>
      <c r="F1449"/>
      <c r="G1449" s="107">
        <v>0</v>
      </c>
    </row>
    <row r="1450" spans="1:7">
      <c r="A1450" t="s">
        <v>20</v>
      </c>
      <c r="B1450" t="s">
        <v>19</v>
      </c>
      <c r="C1450" t="s">
        <v>236</v>
      </c>
      <c r="D1450"/>
      <c r="E1450" t="s">
        <v>858</v>
      </c>
      <c r="F1450"/>
      <c r="G1450" s="107">
        <v>0</v>
      </c>
    </row>
    <row r="1451" spans="1:7">
      <c r="A1451" t="s">
        <v>20</v>
      </c>
      <c r="B1451" t="s">
        <v>19</v>
      </c>
      <c r="C1451" t="s">
        <v>236</v>
      </c>
      <c r="D1451"/>
      <c r="E1451" t="s">
        <v>859</v>
      </c>
      <c r="F1451"/>
      <c r="G1451" s="107">
        <v>0</v>
      </c>
    </row>
    <row r="1452" spans="1:7">
      <c r="A1452" t="s">
        <v>20</v>
      </c>
      <c r="B1452" t="s">
        <v>19</v>
      </c>
      <c r="C1452" t="s">
        <v>236</v>
      </c>
      <c r="D1452"/>
      <c r="E1452" t="s">
        <v>860</v>
      </c>
      <c r="F1452"/>
      <c r="G1452" s="107">
        <v>0</v>
      </c>
    </row>
    <row r="1453" spans="1:7">
      <c r="A1453" t="s">
        <v>20</v>
      </c>
      <c r="B1453" t="s">
        <v>19</v>
      </c>
      <c r="C1453" t="s">
        <v>236</v>
      </c>
      <c r="D1453"/>
      <c r="E1453" t="s">
        <v>861</v>
      </c>
      <c r="F1453"/>
      <c r="G1453" s="107">
        <v>0</v>
      </c>
    </row>
    <row r="1454" spans="1:7">
      <c r="A1454" t="s">
        <v>20</v>
      </c>
      <c r="B1454" t="s">
        <v>19</v>
      </c>
      <c r="C1454" t="s">
        <v>236</v>
      </c>
      <c r="D1454"/>
      <c r="E1454" t="s">
        <v>862</v>
      </c>
      <c r="F1454"/>
      <c r="G1454" s="107">
        <v>0</v>
      </c>
    </row>
    <row r="1455" spans="1:7">
      <c r="A1455" t="s">
        <v>20</v>
      </c>
      <c r="B1455" t="s">
        <v>19</v>
      </c>
      <c r="C1455" t="s">
        <v>236</v>
      </c>
      <c r="D1455"/>
      <c r="E1455" t="s">
        <v>863</v>
      </c>
      <c r="F1455"/>
      <c r="G1455" s="107">
        <v>0</v>
      </c>
    </row>
    <row r="1456" spans="1:7">
      <c r="A1456" t="s">
        <v>20</v>
      </c>
      <c r="B1456" t="s">
        <v>19</v>
      </c>
      <c r="C1456" t="s">
        <v>236</v>
      </c>
      <c r="D1456"/>
      <c r="E1456" t="s">
        <v>864</v>
      </c>
      <c r="F1456"/>
      <c r="G1456" s="107">
        <v>0</v>
      </c>
    </row>
    <row r="1457" spans="1:7">
      <c r="A1457" t="s">
        <v>20</v>
      </c>
      <c r="B1457" t="s">
        <v>19</v>
      </c>
      <c r="C1457" t="s">
        <v>236</v>
      </c>
      <c r="D1457"/>
      <c r="E1457" t="s">
        <v>865</v>
      </c>
      <c r="F1457"/>
      <c r="G1457" s="107">
        <v>0</v>
      </c>
    </row>
    <row r="1458" spans="1:7">
      <c r="A1458" t="s">
        <v>20</v>
      </c>
      <c r="B1458" t="s">
        <v>19</v>
      </c>
      <c r="C1458" t="s">
        <v>236</v>
      </c>
      <c r="D1458"/>
      <c r="E1458" t="s">
        <v>866</v>
      </c>
      <c r="F1458"/>
      <c r="G1458" s="107">
        <v>2414076</v>
      </c>
    </row>
    <row r="1459" spans="1:7">
      <c r="A1459" t="s">
        <v>20</v>
      </c>
      <c r="B1459" t="s">
        <v>19</v>
      </c>
      <c r="C1459" t="s">
        <v>214</v>
      </c>
      <c r="D1459"/>
      <c r="E1459" t="s">
        <v>867</v>
      </c>
      <c r="F1459"/>
      <c r="G1459" s="107">
        <v>0</v>
      </c>
    </row>
    <row r="1460" spans="1:7">
      <c r="A1460" t="s">
        <v>20</v>
      </c>
      <c r="B1460" t="s">
        <v>19</v>
      </c>
      <c r="C1460" t="s">
        <v>236</v>
      </c>
      <c r="D1460"/>
      <c r="E1460" t="s">
        <v>868</v>
      </c>
      <c r="F1460"/>
      <c r="G1460" s="107">
        <v>2110037.4</v>
      </c>
    </row>
    <row r="1461" spans="1:7">
      <c r="A1461" t="s">
        <v>20</v>
      </c>
      <c r="B1461" t="s">
        <v>19</v>
      </c>
      <c r="C1461" t="s">
        <v>214</v>
      </c>
      <c r="D1461"/>
      <c r="E1461" t="s">
        <v>869</v>
      </c>
      <c r="F1461"/>
      <c r="G1461" s="107">
        <v>0</v>
      </c>
    </row>
    <row r="1462" spans="1:7">
      <c r="A1462" t="s">
        <v>20</v>
      </c>
      <c r="B1462" t="s">
        <v>19</v>
      </c>
      <c r="C1462" t="s">
        <v>1419</v>
      </c>
      <c r="D1462"/>
      <c r="E1462" t="s">
        <v>870</v>
      </c>
      <c r="F1462"/>
      <c r="G1462" s="107">
        <v>0</v>
      </c>
    </row>
    <row r="1463" spans="1:7">
      <c r="A1463" t="s">
        <v>20</v>
      </c>
      <c r="B1463" t="s">
        <v>19</v>
      </c>
      <c r="C1463" t="s">
        <v>1419</v>
      </c>
      <c r="D1463"/>
      <c r="E1463" t="s">
        <v>871</v>
      </c>
      <c r="F1463"/>
      <c r="G1463" s="107">
        <v>0</v>
      </c>
    </row>
    <row r="1464" spans="1:7">
      <c r="A1464" t="s">
        <v>20</v>
      </c>
      <c r="B1464" t="s">
        <v>19</v>
      </c>
      <c r="C1464" t="s">
        <v>1419</v>
      </c>
      <c r="D1464"/>
      <c r="E1464" t="s">
        <v>872</v>
      </c>
      <c r="F1464"/>
      <c r="G1464" s="107">
        <v>0</v>
      </c>
    </row>
    <row r="1465" spans="1:7">
      <c r="A1465" t="s">
        <v>20</v>
      </c>
      <c r="B1465" t="s">
        <v>19</v>
      </c>
      <c r="C1465" t="s">
        <v>1419</v>
      </c>
      <c r="D1465"/>
      <c r="E1465" t="s">
        <v>873</v>
      </c>
      <c r="F1465"/>
      <c r="G1465" s="107">
        <v>0</v>
      </c>
    </row>
    <row r="1466" spans="1:7">
      <c r="A1466" t="s">
        <v>20</v>
      </c>
      <c r="B1466" t="s">
        <v>19</v>
      </c>
      <c r="C1466" t="s">
        <v>1419</v>
      </c>
      <c r="D1466"/>
      <c r="E1466" t="s">
        <v>874</v>
      </c>
      <c r="F1466"/>
      <c r="G1466" s="107">
        <v>0</v>
      </c>
    </row>
    <row r="1467" spans="1:7">
      <c r="A1467" t="s">
        <v>20</v>
      </c>
      <c r="B1467" t="s">
        <v>19</v>
      </c>
      <c r="C1467" t="s">
        <v>1419</v>
      </c>
      <c r="D1467"/>
      <c r="E1467" t="s">
        <v>875</v>
      </c>
      <c r="F1467"/>
      <c r="G1467" s="107">
        <v>0</v>
      </c>
    </row>
    <row r="1468" spans="1:7">
      <c r="A1468" t="s">
        <v>20</v>
      </c>
      <c r="B1468" t="s">
        <v>19</v>
      </c>
      <c r="C1468" t="s">
        <v>1419</v>
      </c>
      <c r="D1468"/>
      <c r="E1468" t="s">
        <v>876</v>
      </c>
      <c r="F1468"/>
      <c r="G1468" s="107">
        <v>0</v>
      </c>
    </row>
    <row r="1469" spans="1:7">
      <c r="A1469" t="s">
        <v>20</v>
      </c>
      <c r="B1469" t="s">
        <v>19</v>
      </c>
      <c r="C1469" t="s">
        <v>1419</v>
      </c>
      <c r="D1469"/>
      <c r="E1469" t="s">
        <v>877</v>
      </c>
      <c r="F1469"/>
      <c r="G1469" s="107">
        <v>0</v>
      </c>
    </row>
    <row r="1470" spans="1:7">
      <c r="A1470" t="s">
        <v>20</v>
      </c>
      <c r="B1470" t="s">
        <v>19</v>
      </c>
      <c r="C1470" t="s">
        <v>1419</v>
      </c>
      <c r="D1470"/>
      <c r="E1470" t="s">
        <v>878</v>
      </c>
      <c r="F1470"/>
      <c r="G1470" s="107">
        <v>0</v>
      </c>
    </row>
    <row r="1471" spans="1:7">
      <c r="A1471" t="s">
        <v>20</v>
      </c>
      <c r="B1471" t="s">
        <v>19</v>
      </c>
      <c r="C1471" t="s">
        <v>1419</v>
      </c>
      <c r="D1471"/>
      <c r="E1471" t="s">
        <v>879</v>
      </c>
      <c r="F1471"/>
      <c r="G1471" s="107">
        <v>0</v>
      </c>
    </row>
    <row r="1472" spans="1:7">
      <c r="A1472" t="s">
        <v>20</v>
      </c>
      <c r="B1472" t="s">
        <v>19</v>
      </c>
      <c r="C1472" t="s">
        <v>1419</v>
      </c>
      <c r="D1472"/>
      <c r="E1472" t="s">
        <v>880</v>
      </c>
      <c r="F1472"/>
      <c r="G1472" s="107">
        <v>0</v>
      </c>
    </row>
    <row r="1473" spans="1:7">
      <c r="A1473" t="s">
        <v>20</v>
      </c>
      <c r="B1473" t="s">
        <v>19</v>
      </c>
      <c r="C1473" t="s">
        <v>1419</v>
      </c>
      <c r="D1473"/>
      <c r="E1473" t="s">
        <v>881</v>
      </c>
      <c r="F1473"/>
      <c r="G1473" s="107">
        <v>0</v>
      </c>
    </row>
    <row r="1474" spans="1:7">
      <c r="A1474" t="s">
        <v>20</v>
      </c>
      <c r="B1474" t="s">
        <v>19</v>
      </c>
      <c r="C1474" t="s">
        <v>1419</v>
      </c>
      <c r="D1474"/>
      <c r="E1474" t="s">
        <v>882</v>
      </c>
      <c r="F1474"/>
      <c r="G1474" s="107">
        <v>0</v>
      </c>
    </row>
    <row r="1475" spans="1:7">
      <c r="A1475" t="s">
        <v>20</v>
      </c>
      <c r="B1475" t="s">
        <v>19</v>
      </c>
      <c r="C1475" t="s">
        <v>1419</v>
      </c>
      <c r="D1475"/>
      <c r="E1475" t="s">
        <v>883</v>
      </c>
      <c r="F1475"/>
      <c r="G1475" s="107">
        <v>0</v>
      </c>
    </row>
    <row r="1476" spans="1:7">
      <c r="A1476" t="s">
        <v>20</v>
      </c>
      <c r="B1476" t="s">
        <v>19</v>
      </c>
      <c r="C1476" t="s">
        <v>1419</v>
      </c>
      <c r="D1476"/>
      <c r="E1476" t="s">
        <v>884</v>
      </c>
      <c r="F1476"/>
      <c r="G1476" s="107">
        <v>0</v>
      </c>
    </row>
    <row r="1477" spans="1:7">
      <c r="A1477" t="s">
        <v>20</v>
      </c>
      <c r="B1477" t="s">
        <v>19</v>
      </c>
      <c r="C1477" t="s">
        <v>1419</v>
      </c>
      <c r="D1477"/>
      <c r="E1477" t="s">
        <v>885</v>
      </c>
      <c r="F1477"/>
      <c r="G1477" s="107">
        <v>0</v>
      </c>
    </row>
    <row r="1478" spans="1:7">
      <c r="A1478" t="s">
        <v>20</v>
      </c>
      <c r="B1478" t="s">
        <v>19</v>
      </c>
      <c r="C1478" t="s">
        <v>1419</v>
      </c>
      <c r="D1478"/>
      <c r="E1478" t="s">
        <v>886</v>
      </c>
      <c r="F1478"/>
      <c r="G1478" s="107">
        <v>0</v>
      </c>
    </row>
    <row r="1479" spans="1:7">
      <c r="A1479" t="s">
        <v>20</v>
      </c>
      <c r="B1479" t="s">
        <v>19</v>
      </c>
      <c r="C1479" t="s">
        <v>1419</v>
      </c>
      <c r="D1479"/>
      <c r="E1479" t="s">
        <v>887</v>
      </c>
      <c r="F1479"/>
      <c r="G1479" s="107">
        <v>0</v>
      </c>
    </row>
    <row r="1480" spans="1:7">
      <c r="A1480" t="s">
        <v>20</v>
      </c>
      <c r="B1480" t="s">
        <v>19</v>
      </c>
      <c r="C1480" t="s">
        <v>1419</v>
      </c>
      <c r="D1480"/>
      <c r="E1480" t="s">
        <v>888</v>
      </c>
      <c r="F1480"/>
      <c r="G1480" s="107">
        <v>0</v>
      </c>
    </row>
    <row r="1481" spans="1:7">
      <c r="A1481" t="s">
        <v>20</v>
      </c>
      <c r="B1481" t="s">
        <v>19</v>
      </c>
      <c r="C1481" t="s">
        <v>1419</v>
      </c>
      <c r="D1481"/>
      <c r="E1481" t="s">
        <v>889</v>
      </c>
      <c r="F1481"/>
      <c r="G1481" s="107">
        <v>0</v>
      </c>
    </row>
    <row r="1482" spans="1:7">
      <c r="A1482" t="s">
        <v>20</v>
      </c>
      <c r="B1482" t="s">
        <v>19</v>
      </c>
      <c r="C1482" t="s">
        <v>1419</v>
      </c>
      <c r="D1482"/>
      <c r="E1482" t="s">
        <v>890</v>
      </c>
      <c r="F1482"/>
      <c r="G1482" s="107">
        <v>0</v>
      </c>
    </row>
    <row r="1483" spans="1:7">
      <c r="A1483" t="s">
        <v>20</v>
      </c>
      <c r="B1483" t="s">
        <v>19</v>
      </c>
      <c r="C1483" t="s">
        <v>1419</v>
      </c>
      <c r="D1483"/>
      <c r="E1483" t="s">
        <v>891</v>
      </c>
      <c r="F1483"/>
      <c r="G1483" s="107">
        <v>0</v>
      </c>
    </row>
    <row r="1484" spans="1:7">
      <c r="A1484" t="s">
        <v>20</v>
      </c>
      <c r="B1484" t="s">
        <v>19</v>
      </c>
      <c r="C1484" t="s">
        <v>1419</v>
      </c>
      <c r="D1484"/>
      <c r="E1484" t="s">
        <v>892</v>
      </c>
      <c r="F1484"/>
      <c r="G1484" s="107">
        <v>0</v>
      </c>
    </row>
    <row r="1485" spans="1:7">
      <c r="A1485" t="s">
        <v>20</v>
      </c>
      <c r="B1485" t="s">
        <v>19</v>
      </c>
      <c r="C1485" t="s">
        <v>1419</v>
      </c>
      <c r="D1485"/>
      <c r="E1485" t="s">
        <v>893</v>
      </c>
      <c r="F1485"/>
      <c r="G1485" s="107">
        <v>0</v>
      </c>
    </row>
    <row r="1486" spans="1:7">
      <c r="A1486" t="s">
        <v>20</v>
      </c>
      <c r="B1486" t="s">
        <v>19</v>
      </c>
      <c r="C1486" t="s">
        <v>1419</v>
      </c>
      <c r="D1486"/>
      <c r="E1486" t="s">
        <v>894</v>
      </c>
      <c r="F1486"/>
      <c r="G1486" s="107">
        <v>0</v>
      </c>
    </row>
    <row r="1487" spans="1:7">
      <c r="A1487" t="s">
        <v>20</v>
      </c>
      <c r="B1487" t="s">
        <v>19</v>
      </c>
      <c r="C1487" t="s">
        <v>1419</v>
      </c>
      <c r="D1487"/>
      <c r="E1487" t="s">
        <v>895</v>
      </c>
      <c r="F1487"/>
      <c r="G1487" s="107">
        <v>0</v>
      </c>
    </row>
    <row r="1488" spans="1:7">
      <c r="A1488" t="s">
        <v>20</v>
      </c>
      <c r="B1488" t="s">
        <v>19</v>
      </c>
      <c r="C1488" t="s">
        <v>1419</v>
      </c>
      <c r="D1488"/>
      <c r="E1488" t="s">
        <v>896</v>
      </c>
      <c r="F1488"/>
      <c r="G1488" s="107">
        <v>0</v>
      </c>
    </row>
    <row r="1489" spans="1:7">
      <c r="A1489" t="s">
        <v>20</v>
      </c>
      <c r="B1489" t="s">
        <v>19</v>
      </c>
      <c r="C1489" t="s">
        <v>1419</v>
      </c>
      <c r="D1489"/>
      <c r="E1489" t="s">
        <v>897</v>
      </c>
      <c r="F1489"/>
      <c r="G1489" s="107">
        <v>0</v>
      </c>
    </row>
    <row r="1490" spans="1:7">
      <c r="A1490" t="s">
        <v>20</v>
      </c>
      <c r="B1490" t="s">
        <v>19</v>
      </c>
      <c r="C1490" t="s">
        <v>1419</v>
      </c>
      <c r="D1490"/>
      <c r="E1490" t="s">
        <v>898</v>
      </c>
      <c r="F1490"/>
      <c r="G1490" s="107">
        <v>0</v>
      </c>
    </row>
    <row r="1491" spans="1:7">
      <c r="A1491" t="s">
        <v>20</v>
      </c>
      <c r="B1491" t="s">
        <v>19</v>
      </c>
      <c r="C1491" t="s">
        <v>1419</v>
      </c>
      <c r="D1491"/>
      <c r="E1491" t="s">
        <v>899</v>
      </c>
      <c r="F1491"/>
      <c r="G1491" s="107">
        <v>0</v>
      </c>
    </row>
    <row r="1492" spans="1:7">
      <c r="A1492" t="s">
        <v>20</v>
      </c>
      <c r="B1492" t="s">
        <v>19</v>
      </c>
      <c r="C1492" t="s">
        <v>1419</v>
      </c>
      <c r="D1492"/>
      <c r="E1492" t="s">
        <v>900</v>
      </c>
      <c r="F1492"/>
      <c r="G1492" s="107">
        <v>0</v>
      </c>
    </row>
    <row r="1493" spans="1:7">
      <c r="A1493" t="s">
        <v>20</v>
      </c>
      <c r="B1493" t="s">
        <v>19</v>
      </c>
      <c r="C1493" t="s">
        <v>1419</v>
      </c>
      <c r="D1493"/>
      <c r="E1493" t="s">
        <v>901</v>
      </c>
      <c r="F1493"/>
      <c r="G1493" s="107">
        <v>0</v>
      </c>
    </row>
    <row r="1494" spans="1:7">
      <c r="A1494" t="s">
        <v>20</v>
      </c>
      <c r="B1494" t="s">
        <v>19</v>
      </c>
      <c r="C1494" t="s">
        <v>1419</v>
      </c>
      <c r="D1494"/>
      <c r="E1494" t="s">
        <v>902</v>
      </c>
      <c r="F1494"/>
      <c r="G1494" s="107">
        <v>0</v>
      </c>
    </row>
    <row r="1495" spans="1:7">
      <c r="A1495" t="s">
        <v>20</v>
      </c>
      <c r="B1495" t="s">
        <v>19</v>
      </c>
      <c r="C1495" t="s">
        <v>1419</v>
      </c>
      <c r="D1495"/>
      <c r="E1495" t="s">
        <v>903</v>
      </c>
      <c r="F1495"/>
      <c r="G1495" s="107">
        <v>764239</v>
      </c>
    </row>
    <row r="1496" spans="1:7">
      <c r="A1496" t="s">
        <v>20</v>
      </c>
      <c r="B1496" t="s">
        <v>19</v>
      </c>
      <c r="C1496" t="s">
        <v>214</v>
      </c>
      <c r="D1496"/>
      <c r="E1496" t="s">
        <v>904</v>
      </c>
      <c r="F1496"/>
      <c r="G1496" s="107">
        <v>0</v>
      </c>
    </row>
    <row r="1497" spans="1:7">
      <c r="A1497" t="s">
        <v>20</v>
      </c>
      <c r="B1497" t="s">
        <v>19</v>
      </c>
      <c r="C1497" t="s">
        <v>1419</v>
      </c>
      <c r="D1497"/>
      <c r="E1497" t="s">
        <v>1534</v>
      </c>
      <c r="F1497"/>
      <c r="G1497" s="107">
        <v>253876</v>
      </c>
    </row>
    <row r="1498" spans="1:7">
      <c r="A1498" t="s">
        <v>20</v>
      </c>
      <c r="B1498" t="s">
        <v>19</v>
      </c>
      <c r="C1498" t="s">
        <v>214</v>
      </c>
      <c r="D1498"/>
      <c r="E1498" t="s">
        <v>1764</v>
      </c>
      <c r="F1498"/>
      <c r="G1498" s="107">
        <v>0</v>
      </c>
    </row>
    <row r="1499" spans="1:7">
      <c r="A1499" t="s">
        <v>20</v>
      </c>
      <c r="B1499" t="s">
        <v>19</v>
      </c>
      <c r="C1499" t="s">
        <v>236</v>
      </c>
      <c r="D1499"/>
      <c r="E1499" t="s">
        <v>1765</v>
      </c>
      <c r="F1499"/>
      <c r="G1499" s="107">
        <v>286068.71999999997</v>
      </c>
    </row>
    <row r="1500" spans="1:7">
      <c r="A1500" t="s">
        <v>20</v>
      </c>
      <c r="B1500" t="s">
        <v>19</v>
      </c>
      <c r="C1500" t="s">
        <v>214</v>
      </c>
      <c r="D1500"/>
      <c r="E1500" t="s">
        <v>2718</v>
      </c>
      <c r="F1500"/>
      <c r="G1500" s="107">
        <v>0</v>
      </c>
    </row>
    <row r="1501" spans="1:7">
      <c r="A1501" t="s">
        <v>20</v>
      </c>
      <c r="B1501" t="s">
        <v>19</v>
      </c>
      <c r="C1501" t="s">
        <v>236</v>
      </c>
      <c r="D1501"/>
      <c r="E1501" t="s">
        <v>2719</v>
      </c>
      <c r="F1501"/>
      <c r="G1501" s="107">
        <v>172000</v>
      </c>
    </row>
    <row r="1502" spans="1:7">
      <c r="A1502" t="s">
        <v>20</v>
      </c>
      <c r="B1502" t="s">
        <v>19</v>
      </c>
      <c r="C1502" t="s">
        <v>214</v>
      </c>
      <c r="D1502"/>
      <c r="E1502" t="s">
        <v>2720</v>
      </c>
      <c r="F1502"/>
      <c r="G1502" s="107">
        <v>0</v>
      </c>
    </row>
    <row r="1503" spans="1:7">
      <c r="A1503" t="s">
        <v>20</v>
      </c>
      <c r="B1503" t="s">
        <v>19</v>
      </c>
      <c r="C1503" t="s">
        <v>236</v>
      </c>
      <c r="D1503"/>
      <c r="E1503" t="s">
        <v>2721</v>
      </c>
      <c r="F1503"/>
      <c r="G1503" s="107">
        <v>119000</v>
      </c>
    </row>
    <row r="1504" spans="1:7">
      <c r="A1504" t="s">
        <v>20</v>
      </c>
      <c r="B1504" t="s">
        <v>19</v>
      </c>
      <c r="C1504" t="s">
        <v>236</v>
      </c>
      <c r="D1504"/>
      <c r="E1504" t="s">
        <v>2722</v>
      </c>
      <c r="F1504"/>
      <c r="G1504" s="107">
        <v>94500</v>
      </c>
    </row>
    <row r="1505" spans="1:9">
      <c r="A1505" t="s">
        <v>20</v>
      </c>
      <c r="B1505" t="s">
        <v>19</v>
      </c>
      <c r="C1505" t="s">
        <v>236</v>
      </c>
      <c r="D1505"/>
      <c r="E1505" t="s">
        <v>2723</v>
      </c>
      <c r="F1505"/>
      <c r="G1505" s="107">
        <v>0</v>
      </c>
    </row>
    <row r="1506" spans="1:9">
      <c r="A1506" t="s">
        <v>20</v>
      </c>
      <c r="B1506" t="s">
        <v>19</v>
      </c>
      <c r="C1506" t="s">
        <v>236</v>
      </c>
      <c r="D1506"/>
      <c r="E1506" t="s">
        <v>2724</v>
      </c>
      <c r="F1506"/>
      <c r="G1506" s="107">
        <v>49000</v>
      </c>
    </row>
    <row r="1507" spans="1:9">
      <c r="A1507" t="s">
        <v>20</v>
      </c>
      <c r="B1507" t="s">
        <v>19</v>
      </c>
      <c r="C1507" t="s">
        <v>236</v>
      </c>
      <c r="D1507"/>
      <c r="E1507" t="s">
        <v>2725</v>
      </c>
      <c r="F1507"/>
      <c r="G1507" s="107">
        <v>0</v>
      </c>
    </row>
    <row r="1508" spans="1:9">
      <c r="A1508" t="s">
        <v>20</v>
      </c>
      <c r="B1508" t="s">
        <v>19</v>
      </c>
      <c r="C1508" t="s">
        <v>236</v>
      </c>
      <c r="D1508"/>
      <c r="E1508" t="s">
        <v>2726</v>
      </c>
      <c r="F1508"/>
      <c r="G1508" s="107">
        <v>52500</v>
      </c>
    </row>
    <row r="1509" spans="1:9">
      <c r="A1509" t="s">
        <v>20</v>
      </c>
      <c r="B1509" t="s">
        <v>19</v>
      </c>
      <c r="C1509" t="s">
        <v>236</v>
      </c>
      <c r="D1509"/>
      <c r="E1509" t="s">
        <v>2727</v>
      </c>
      <c r="F1509"/>
      <c r="G1509" s="107">
        <v>49000</v>
      </c>
    </row>
    <row r="1510" spans="1:9">
      <c r="A1510" t="s">
        <v>20</v>
      </c>
      <c r="B1510" t="s">
        <v>19</v>
      </c>
      <c r="C1510" t="s">
        <v>236</v>
      </c>
      <c r="D1510"/>
      <c r="E1510" t="s">
        <v>2728</v>
      </c>
      <c r="F1510"/>
      <c r="G1510" s="107">
        <v>189000</v>
      </c>
    </row>
    <row r="1511" spans="1:9">
      <c r="A1511" t="s">
        <v>20</v>
      </c>
      <c r="B1511" t="s">
        <v>19</v>
      </c>
      <c r="C1511" t="s">
        <v>236</v>
      </c>
      <c r="D1511"/>
      <c r="E1511" t="s">
        <v>2729</v>
      </c>
      <c r="F1511"/>
      <c r="G1511" s="107">
        <v>120000</v>
      </c>
    </row>
    <row r="1512" spans="1:9">
      <c r="A1512" t="s">
        <v>20</v>
      </c>
      <c r="B1512" t="s">
        <v>19</v>
      </c>
      <c r="C1512" t="s">
        <v>236</v>
      </c>
      <c r="D1512"/>
      <c r="E1512" t="s">
        <v>2730</v>
      </c>
      <c r="F1512"/>
      <c r="G1512" s="107">
        <v>63000</v>
      </c>
    </row>
    <row r="1513" spans="1:9">
      <c r="A1513" t="s">
        <v>20</v>
      </c>
      <c r="B1513" t="s">
        <v>19</v>
      </c>
      <c r="C1513" t="s">
        <v>214</v>
      </c>
      <c r="D1513"/>
      <c r="E1513" t="s">
        <v>2731</v>
      </c>
      <c r="F1513"/>
      <c r="G1513" s="107">
        <v>0</v>
      </c>
    </row>
    <row r="1514" spans="1:9">
      <c r="A1514" t="s">
        <v>20</v>
      </c>
      <c r="B1514" t="s">
        <v>19</v>
      </c>
      <c r="C1514" t="s">
        <v>236</v>
      </c>
      <c r="D1514"/>
      <c r="E1514" t="s">
        <v>2732</v>
      </c>
      <c r="F1514"/>
      <c r="G1514" s="107">
        <v>90000</v>
      </c>
    </row>
    <row r="1515" spans="1:9">
      <c r="A1515" t="s">
        <v>20</v>
      </c>
      <c r="B1515" t="s">
        <v>19</v>
      </c>
      <c r="C1515" t="s">
        <v>214</v>
      </c>
      <c r="D1515"/>
      <c r="E1515" t="s">
        <v>2733</v>
      </c>
      <c r="F1515"/>
      <c r="G1515" s="107">
        <v>0</v>
      </c>
    </row>
    <row r="1516" spans="1:9">
      <c r="A1516" t="s">
        <v>20</v>
      </c>
      <c r="B1516" t="s">
        <v>19</v>
      </c>
      <c r="C1516" t="s">
        <v>1419</v>
      </c>
      <c r="D1516"/>
      <c r="E1516" t="s">
        <v>2734</v>
      </c>
      <c r="F1516"/>
      <c r="G1516" s="107">
        <v>294000</v>
      </c>
    </row>
    <row r="1517" spans="1:9">
      <c r="A1517" t="s">
        <v>20</v>
      </c>
      <c r="B1517" t="s">
        <v>19</v>
      </c>
      <c r="C1517" t="s">
        <v>1419</v>
      </c>
      <c r="D1517"/>
      <c r="E1517" t="s">
        <v>3412</v>
      </c>
      <c r="F1517"/>
      <c r="G1517" s="107"/>
      <c r="H1517" s="6">
        <v>50000</v>
      </c>
      <c r="I1517" t="s">
        <v>3403</v>
      </c>
    </row>
    <row r="1518" spans="1:9">
      <c r="A1518" t="s">
        <v>20</v>
      </c>
      <c r="B1518" t="s">
        <v>19</v>
      </c>
      <c r="C1518" t="s">
        <v>1419</v>
      </c>
      <c r="D1518"/>
      <c r="E1518" t="s">
        <v>3411</v>
      </c>
      <c r="F1518"/>
      <c r="G1518" s="107"/>
      <c r="H1518" s="6">
        <v>34500</v>
      </c>
      <c r="I1518" t="s">
        <v>3403</v>
      </c>
    </row>
    <row r="1519" spans="1:9">
      <c r="A1519" s="128" t="s">
        <v>20</v>
      </c>
      <c r="B1519" s="128" t="s">
        <v>2117</v>
      </c>
      <c r="C1519" s="128"/>
      <c r="D1519" s="128"/>
      <c r="E1519" s="128" t="s">
        <v>905</v>
      </c>
      <c r="F1519" s="128"/>
      <c r="G1519" s="129">
        <v>300000</v>
      </c>
    </row>
    <row r="1520" spans="1:9">
      <c r="A1520" t="s">
        <v>20</v>
      </c>
      <c r="B1520" t="s">
        <v>19</v>
      </c>
      <c r="C1520" t="s">
        <v>214</v>
      </c>
      <c r="D1520"/>
      <c r="E1520" t="s">
        <v>906</v>
      </c>
      <c r="F1520"/>
      <c r="G1520" s="107">
        <v>0</v>
      </c>
    </row>
    <row r="1521" spans="1:7">
      <c r="A1521" t="s">
        <v>20</v>
      </c>
      <c r="B1521" t="s">
        <v>19</v>
      </c>
      <c r="C1521" t="s">
        <v>236</v>
      </c>
      <c r="D1521"/>
      <c r="E1521" t="s">
        <v>2735</v>
      </c>
      <c r="F1521"/>
      <c r="G1521" s="107">
        <v>300000</v>
      </c>
    </row>
    <row r="1522" spans="1:7">
      <c r="A1522" s="163" t="s">
        <v>20</v>
      </c>
      <c r="B1522" s="163" t="s">
        <v>8</v>
      </c>
      <c r="C1522" s="163"/>
      <c r="D1522" s="163"/>
      <c r="E1522" s="163" t="s">
        <v>907</v>
      </c>
      <c r="F1522" s="163"/>
      <c r="G1522" s="164">
        <v>1139000</v>
      </c>
    </row>
    <row r="1523" spans="1:7">
      <c r="A1523" s="128" t="s">
        <v>20</v>
      </c>
      <c r="B1523" s="128" t="s">
        <v>2117</v>
      </c>
      <c r="C1523" s="128"/>
      <c r="D1523" s="128"/>
      <c r="E1523" s="128" t="s">
        <v>908</v>
      </c>
      <c r="F1523" s="128"/>
      <c r="G1523" s="129">
        <v>483500</v>
      </c>
    </row>
    <row r="1524" spans="1:7">
      <c r="A1524" t="s">
        <v>20</v>
      </c>
      <c r="B1524" t="s">
        <v>19</v>
      </c>
      <c r="C1524" t="s">
        <v>214</v>
      </c>
      <c r="D1524"/>
      <c r="E1524" t="s">
        <v>909</v>
      </c>
      <c r="F1524"/>
      <c r="G1524" s="107">
        <v>0</v>
      </c>
    </row>
    <row r="1525" spans="1:7">
      <c r="A1525" t="s">
        <v>20</v>
      </c>
      <c r="B1525" t="s">
        <v>19</v>
      </c>
      <c r="C1525" t="s">
        <v>234</v>
      </c>
      <c r="D1525"/>
      <c r="E1525" t="s">
        <v>910</v>
      </c>
      <c r="F1525"/>
      <c r="G1525" s="107">
        <v>16000</v>
      </c>
    </row>
    <row r="1526" spans="1:7">
      <c r="A1526" t="s">
        <v>20</v>
      </c>
      <c r="B1526" t="s">
        <v>19</v>
      </c>
      <c r="C1526" t="s">
        <v>236</v>
      </c>
      <c r="D1526"/>
      <c r="E1526" t="s">
        <v>911</v>
      </c>
      <c r="F1526"/>
      <c r="G1526" s="107">
        <v>112000</v>
      </c>
    </row>
    <row r="1527" spans="1:7">
      <c r="A1527" t="s">
        <v>20</v>
      </c>
      <c r="B1527" t="s">
        <v>19</v>
      </c>
      <c r="C1527" t="s">
        <v>236</v>
      </c>
      <c r="D1527"/>
      <c r="E1527" t="s">
        <v>912</v>
      </c>
      <c r="F1527"/>
      <c r="G1527" s="107">
        <v>84000</v>
      </c>
    </row>
    <row r="1528" spans="1:7">
      <c r="A1528" t="s">
        <v>20</v>
      </c>
      <c r="B1528" t="s">
        <v>19</v>
      </c>
      <c r="C1528" t="s">
        <v>236</v>
      </c>
      <c r="D1528"/>
      <c r="E1528" t="s">
        <v>913</v>
      </c>
      <c r="F1528"/>
      <c r="G1528" s="107">
        <v>63000</v>
      </c>
    </row>
    <row r="1529" spans="1:7">
      <c r="A1529" t="s">
        <v>20</v>
      </c>
      <c r="B1529" t="s">
        <v>19</v>
      </c>
      <c r="C1529" t="s">
        <v>236</v>
      </c>
      <c r="D1529"/>
      <c r="E1529" t="s">
        <v>914</v>
      </c>
      <c r="F1529"/>
      <c r="G1529" s="107">
        <v>98000</v>
      </c>
    </row>
    <row r="1530" spans="1:7">
      <c r="A1530" t="s">
        <v>20</v>
      </c>
      <c r="B1530" t="s">
        <v>19</v>
      </c>
      <c r="C1530" t="s">
        <v>236</v>
      </c>
      <c r="D1530"/>
      <c r="E1530" t="s">
        <v>915</v>
      </c>
      <c r="F1530"/>
      <c r="G1530" s="107">
        <v>8500</v>
      </c>
    </row>
    <row r="1531" spans="1:7">
      <c r="A1531" t="s">
        <v>20</v>
      </c>
      <c r="B1531" t="s">
        <v>19</v>
      </c>
      <c r="C1531" t="s">
        <v>214</v>
      </c>
      <c r="D1531"/>
      <c r="E1531" t="s">
        <v>916</v>
      </c>
      <c r="F1531"/>
      <c r="G1531" s="107">
        <v>0</v>
      </c>
    </row>
    <row r="1532" spans="1:7">
      <c r="A1532" t="s">
        <v>20</v>
      </c>
      <c r="B1532" t="s">
        <v>19</v>
      </c>
      <c r="C1532" t="s">
        <v>1419</v>
      </c>
      <c r="D1532"/>
      <c r="E1532" t="s">
        <v>917</v>
      </c>
      <c r="F1532"/>
      <c r="G1532" s="107">
        <v>32000</v>
      </c>
    </row>
    <row r="1533" spans="1:7">
      <c r="A1533" t="s">
        <v>20</v>
      </c>
      <c r="B1533" t="s">
        <v>19</v>
      </c>
      <c r="C1533" t="s">
        <v>1419</v>
      </c>
      <c r="D1533"/>
      <c r="E1533" t="s">
        <v>2736</v>
      </c>
      <c r="F1533"/>
      <c r="G1533" s="107">
        <v>24000</v>
      </c>
    </row>
    <row r="1534" spans="1:7">
      <c r="A1534" t="s">
        <v>20</v>
      </c>
      <c r="B1534" t="s">
        <v>19</v>
      </c>
      <c r="C1534" t="s">
        <v>1419</v>
      </c>
      <c r="D1534"/>
      <c r="E1534" t="s">
        <v>2737</v>
      </c>
      <c r="F1534"/>
      <c r="G1534" s="107">
        <v>18000</v>
      </c>
    </row>
    <row r="1535" spans="1:7">
      <c r="A1535" t="s">
        <v>20</v>
      </c>
      <c r="B1535" t="s">
        <v>19</v>
      </c>
      <c r="C1535" t="s">
        <v>1419</v>
      </c>
      <c r="D1535"/>
      <c r="E1535" t="s">
        <v>2738</v>
      </c>
      <c r="F1535"/>
      <c r="G1535" s="107">
        <v>28000</v>
      </c>
    </row>
    <row r="1536" spans="1:7">
      <c r="A1536" s="128" t="s">
        <v>20</v>
      </c>
      <c r="B1536" s="128" t="s">
        <v>2117</v>
      </c>
      <c r="C1536" s="128"/>
      <c r="D1536" s="128"/>
      <c r="E1536" s="128" t="s">
        <v>918</v>
      </c>
      <c r="F1536" s="128"/>
      <c r="G1536" s="129">
        <v>462500</v>
      </c>
    </row>
    <row r="1537" spans="1:7">
      <c r="A1537" t="s">
        <v>20</v>
      </c>
      <c r="B1537" t="s">
        <v>19</v>
      </c>
      <c r="C1537" t="s">
        <v>214</v>
      </c>
      <c r="D1537"/>
      <c r="E1537" t="s">
        <v>919</v>
      </c>
      <c r="F1537"/>
      <c r="G1537" s="107">
        <v>0</v>
      </c>
    </row>
    <row r="1538" spans="1:7">
      <c r="A1538" t="s">
        <v>20</v>
      </c>
      <c r="B1538" t="s">
        <v>19</v>
      </c>
      <c r="C1538" t="s">
        <v>236</v>
      </c>
      <c r="D1538"/>
      <c r="E1538" t="s">
        <v>920</v>
      </c>
      <c r="F1538"/>
      <c r="G1538" s="107">
        <v>294000</v>
      </c>
    </row>
    <row r="1539" spans="1:7">
      <c r="A1539" t="s">
        <v>20</v>
      </c>
      <c r="B1539" t="s">
        <v>19</v>
      </c>
      <c r="C1539" t="s">
        <v>214</v>
      </c>
      <c r="D1539"/>
      <c r="E1539" t="s">
        <v>921</v>
      </c>
      <c r="F1539"/>
      <c r="G1539" s="107">
        <v>0</v>
      </c>
    </row>
    <row r="1540" spans="1:7">
      <c r="A1540" t="s">
        <v>20</v>
      </c>
      <c r="B1540" t="s">
        <v>19</v>
      </c>
      <c r="C1540" t="s">
        <v>1419</v>
      </c>
      <c r="D1540"/>
      <c r="E1540" t="s">
        <v>922</v>
      </c>
      <c r="F1540"/>
      <c r="G1540" s="107">
        <v>84000</v>
      </c>
    </row>
    <row r="1541" spans="1:7">
      <c r="A1541" t="s">
        <v>20</v>
      </c>
      <c r="B1541" t="s">
        <v>19</v>
      </c>
      <c r="C1541" t="s">
        <v>214</v>
      </c>
      <c r="D1541"/>
      <c r="E1541" t="s">
        <v>923</v>
      </c>
      <c r="F1541"/>
      <c r="G1541" s="107">
        <v>0</v>
      </c>
    </row>
    <row r="1542" spans="1:7">
      <c r="A1542" t="s">
        <v>20</v>
      </c>
      <c r="B1542" t="s">
        <v>19</v>
      </c>
      <c r="C1542" t="s">
        <v>236</v>
      </c>
      <c r="D1542"/>
      <c r="E1542" t="s">
        <v>924</v>
      </c>
      <c r="F1542"/>
      <c r="G1542" s="107">
        <v>42000</v>
      </c>
    </row>
    <row r="1543" spans="1:7">
      <c r="A1543" t="s">
        <v>20</v>
      </c>
      <c r="B1543" t="s">
        <v>19</v>
      </c>
      <c r="C1543" t="s">
        <v>214</v>
      </c>
      <c r="D1543"/>
      <c r="E1543" t="s">
        <v>2739</v>
      </c>
      <c r="F1543"/>
      <c r="G1543" s="107">
        <v>0</v>
      </c>
    </row>
    <row r="1544" spans="1:7">
      <c r="A1544" t="s">
        <v>20</v>
      </c>
      <c r="B1544" t="s">
        <v>19</v>
      </c>
      <c r="C1544" t="s">
        <v>1419</v>
      </c>
      <c r="D1544"/>
      <c r="E1544" t="s">
        <v>2740</v>
      </c>
      <c r="F1544"/>
      <c r="G1544" s="107">
        <v>12000</v>
      </c>
    </row>
    <row r="1545" spans="1:7">
      <c r="A1545" t="s">
        <v>20</v>
      </c>
      <c r="B1545" t="s">
        <v>19</v>
      </c>
      <c r="C1545" t="s">
        <v>214</v>
      </c>
      <c r="D1545"/>
      <c r="E1545" t="s">
        <v>2741</v>
      </c>
      <c r="F1545"/>
      <c r="G1545" s="107">
        <v>0</v>
      </c>
    </row>
    <row r="1546" spans="1:7">
      <c r="A1546" t="s">
        <v>20</v>
      </c>
      <c r="B1546" t="s">
        <v>19</v>
      </c>
      <c r="C1546" t="s">
        <v>236</v>
      </c>
      <c r="D1546"/>
      <c r="E1546" t="s">
        <v>2742</v>
      </c>
      <c r="F1546"/>
      <c r="G1546" s="107">
        <v>28000</v>
      </c>
    </row>
    <row r="1547" spans="1:7">
      <c r="A1547" t="s">
        <v>20</v>
      </c>
      <c r="B1547" t="s">
        <v>19</v>
      </c>
      <c r="C1547" t="s">
        <v>236</v>
      </c>
      <c r="D1547"/>
      <c r="E1547" t="s">
        <v>2743</v>
      </c>
      <c r="F1547"/>
      <c r="G1547" s="107">
        <v>2500</v>
      </c>
    </row>
    <row r="1548" spans="1:7">
      <c r="A1548" s="128" t="s">
        <v>20</v>
      </c>
      <c r="B1548" s="128" t="s">
        <v>2117</v>
      </c>
      <c r="C1548" s="128"/>
      <c r="D1548" s="128"/>
      <c r="E1548" s="128" t="s">
        <v>925</v>
      </c>
      <c r="F1548" s="128"/>
      <c r="G1548" s="129">
        <v>153000</v>
      </c>
    </row>
    <row r="1549" spans="1:7">
      <c r="A1549" t="s">
        <v>20</v>
      </c>
      <c r="B1549" t="s">
        <v>19</v>
      </c>
      <c r="C1549" t="s">
        <v>214</v>
      </c>
      <c r="D1549"/>
      <c r="E1549" t="s">
        <v>926</v>
      </c>
      <c r="F1549"/>
      <c r="G1549" s="107">
        <v>0</v>
      </c>
    </row>
    <row r="1550" spans="1:7">
      <c r="A1550" t="s">
        <v>20</v>
      </c>
      <c r="B1550" t="s">
        <v>19</v>
      </c>
      <c r="C1550" t="s">
        <v>236</v>
      </c>
      <c r="D1550"/>
      <c r="E1550" t="s">
        <v>927</v>
      </c>
      <c r="F1550"/>
      <c r="G1550" s="107">
        <v>126000</v>
      </c>
    </row>
    <row r="1551" spans="1:7">
      <c r="A1551" t="s">
        <v>20</v>
      </c>
      <c r="B1551" t="s">
        <v>19</v>
      </c>
      <c r="C1551" t="s">
        <v>214</v>
      </c>
      <c r="D1551"/>
      <c r="E1551" t="s">
        <v>2744</v>
      </c>
      <c r="F1551"/>
      <c r="G1551" s="107">
        <v>0</v>
      </c>
    </row>
    <row r="1552" spans="1:7">
      <c r="A1552" t="s">
        <v>20</v>
      </c>
      <c r="B1552" t="s">
        <v>19</v>
      </c>
      <c r="C1552" t="s">
        <v>1419</v>
      </c>
      <c r="D1552"/>
      <c r="E1552" t="s">
        <v>2745</v>
      </c>
      <c r="F1552"/>
      <c r="G1552" s="107">
        <v>27000</v>
      </c>
    </row>
    <row r="1553" spans="1:7">
      <c r="A1553" s="128" t="s">
        <v>20</v>
      </c>
      <c r="B1553" s="128" t="s">
        <v>2117</v>
      </c>
      <c r="C1553" s="128"/>
      <c r="D1553" s="128"/>
      <c r="E1553" s="128" t="s">
        <v>928</v>
      </c>
      <c r="F1553" s="128"/>
      <c r="G1553" s="129">
        <v>20000</v>
      </c>
    </row>
    <row r="1554" spans="1:7">
      <c r="A1554" t="s">
        <v>20</v>
      </c>
      <c r="B1554" t="s">
        <v>19</v>
      </c>
      <c r="C1554" t="s">
        <v>214</v>
      </c>
      <c r="D1554"/>
      <c r="E1554" t="s">
        <v>929</v>
      </c>
      <c r="F1554"/>
      <c r="G1554" s="107">
        <v>0</v>
      </c>
    </row>
    <row r="1555" spans="1:7">
      <c r="A1555" t="s">
        <v>20</v>
      </c>
      <c r="B1555" t="s">
        <v>19</v>
      </c>
      <c r="C1555" t="s">
        <v>227</v>
      </c>
      <c r="D1555"/>
      <c r="E1555" t="s">
        <v>2746</v>
      </c>
      <c r="F1555"/>
      <c r="G1555" s="107">
        <v>20000</v>
      </c>
    </row>
    <row r="1556" spans="1:7">
      <c r="A1556" s="128" t="s">
        <v>20</v>
      </c>
      <c r="B1556" s="128" t="s">
        <v>2117</v>
      </c>
      <c r="C1556" s="128"/>
      <c r="D1556" s="128"/>
      <c r="E1556" s="128" t="s">
        <v>930</v>
      </c>
      <c r="F1556" s="128"/>
      <c r="G1556" s="129">
        <v>20000</v>
      </c>
    </row>
    <row r="1557" spans="1:7">
      <c r="A1557" t="s">
        <v>20</v>
      </c>
      <c r="B1557" t="s">
        <v>19</v>
      </c>
      <c r="C1557" t="s">
        <v>214</v>
      </c>
      <c r="D1557"/>
      <c r="E1557" t="s">
        <v>931</v>
      </c>
      <c r="F1557"/>
      <c r="G1557" s="107">
        <v>0</v>
      </c>
    </row>
    <row r="1558" spans="1:7">
      <c r="A1558" t="s">
        <v>20</v>
      </c>
      <c r="B1558" t="s">
        <v>19</v>
      </c>
      <c r="C1558" t="s">
        <v>227</v>
      </c>
      <c r="D1558"/>
      <c r="E1558" t="s">
        <v>2747</v>
      </c>
      <c r="F1558"/>
      <c r="G1558" s="107">
        <v>20000</v>
      </c>
    </row>
    <row r="1559" spans="1:7">
      <c r="A1559" s="163" t="s">
        <v>20</v>
      </c>
      <c r="B1559" s="163" t="s">
        <v>8</v>
      </c>
      <c r="C1559" s="163"/>
      <c r="D1559" s="163"/>
      <c r="E1559" s="163" t="s">
        <v>932</v>
      </c>
      <c r="F1559" s="163"/>
      <c r="G1559" s="164">
        <v>165500</v>
      </c>
    </row>
    <row r="1560" spans="1:7">
      <c r="A1560" s="128" t="s">
        <v>20</v>
      </c>
      <c r="B1560" s="128" t="s">
        <v>2117</v>
      </c>
      <c r="C1560" s="128"/>
      <c r="D1560" s="128"/>
      <c r="E1560" s="128" t="s">
        <v>1847</v>
      </c>
      <c r="F1560" s="128"/>
      <c r="G1560" s="129">
        <v>165500</v>
      </c>
    </row>
    <row r="1561" spans="1:7">
      <c r="A1561" t="s">
        <v>20</v>
      </c>
      <c r="B1561" t="s">
        <v>19</v>
      </c>
      <c r="C1561" t="s">
        <v>214</v>
      </c>
      <c r="D1561"/>
      <c r="E1561" t="s">
        <v>1848</v>
      </c>
      <c r="F1561"/>
      <c r="G1561" s="107">
        <v>0</v>
      </c>
    </row>
    <row r="1562" spans="1:7">
      <c r="A1562" t="s">
        <v>20</v>
      </c>
      <c r="B1562" t="s">
        <v>19</v>
      </c>
      <c r="C1562" t="s">
        <v>236</v>
      </c>
      <c r="D1562"/>
      <c r="E1562" t="s">
        <v>1849</v>
      </c>
      <c r="F1562"/>
      <c r="G1562" s="107">
        <v>19000</v>
      </c>
    </row>
    <row r="1563" spans="1:7">
      <c r="A1563" t="s">
        <v>20</v>
      </c>
      <c r="B1563" t="s">
        <v>19</v>
      </c>
      <c r="C1563" t="s">
        <v>236</v>
      </c>
      <c r="D1563"/>
      <c r="E1563" t="s">
        <v>1850</v>
      </c>
      <c r="F1563"/>
      <c r="G1563" s="107">
        <v>20000</v>
      </c>
    </row>
    <row r="1564" spans="1:7">
      <c r="A1564" t="s">
        <v>20</v>
      </c>
      <c r="B1564" t="s">
        <v>19</v>
      </c>
      <c r="C1564" t="s">
        <v>236</v>
      </c>
      <c r="D1564"/>
      <c r="E1564" t="s">
        <v>1851</v>
      </c>
      <c r="F1564"/>
      <c r="G1564" s="107">
        <v>4500</v>
      </c>
    </row>
    <row r="1565" spans="1:7">
      <c r="A1565" t="s">
        <v>20</v>
      </c>
      <c r="B1565" t="s">
        <v>19</v>
      </c>
      <c r="C1565" t="s">
        <v>236</v>
      </c>
      <c r="D1565"/>
      <c r="E1565" t="s">
        <v>1852</v>
      </c>
      <c r="F1565"/>
      <c r="G1565" s="107">
        <v>12000</v>
      </c>
    </row>
    <row r="1566" spans="1:7">
      <c r="A1566" t="s">
        <v>20</v>
      </c>
      <c r="B1566" t="s">
        <v>19</v>
      </c>
      <c r="C1566" t="s">
        <v>236</v>
      </c>
      <c r="D1566"/>
      <c r="E1566" t="s">
        <v>1853</v>
      </c>
      <c r="F1566"/>
      <c r="G1566" s="107">
        <v>78000</v>
      </c>
    </row>
    <row r="1567" spans="1:7">
      <c r="A1567" t="s">
        <v>20</v>
      </c>
      <c r="B1567" t="s">
        <v>19</v>
      </c>
      <c r="C1567" t="s">
        <v>214</v>
      </c>
      <c r="D1567"/>
      <c r="E1567" t="s">
        <v>1854</v>
      </c>
      <c r="F1567"/>
      <c r="G1567" s="107">
        <v>0</v>
      </c>
    </row>
    <row r="1568" spans="1:7">
      <c r="A1568" t="s">
        <v>20</v>
      </c>
      <c r="B1568" t="s">
        <v>19</v>
      </c>
      <c r="C1568" t="s">
        <v>236</v>
      </c>
      <c r="D1568"/>
      <c r="E1568" t="s">
        <v>2748</v>
      </c>
      <c r="F1568"/>
      <c r="G1568" s="107">
        <v>32000</v>
      </c>
    </row>
    <row r="1569" spans="1:7">
      <c r="A1569" s="163" t="s">
        <v>20</v>
      </c>
      <c r="B1569" s="163" t="s">
        <v>8</v>
      </c>
      <c r="C1569" s="163"/>
      <c r="D1569" s="163"/>
      <c r="E1569" s="163" t="s">
        <v>933</v>
      </c>
      <c r="F1569" s="163"/>
      <c r="G1569" s="164">
        <v>15001515</v>
      </c>
    </row>
    <row r="1570" spans="1:7">
      <c r="A1570" s="128" t="s">
        <v>20</v>
      </c>
      <c r="B1570" s="128" t="s">
        <v>2117</v>
      </c>
      <c r="C1570" s="128"/>
      <c r="D1570" s="128"/>
      <c r="E1570" s="128" t="s">
        <v>934</v>
      </c>
      <c r="F1570" s="128"/>
      <c r="G1570" s="129">
        <v>271780</v>
      </c>
    </row>
    <row r="1571" spans="1:7">
      <c r="A1571" t="s">
        <v>20</v>
      </c>
      <c r="B1571" t="s">
        <v>19</v>
      </c>
      <c r="C1571" t="s">
        <v>214</v>
      </c>
      <c r="D1571"/>
      <c r="E1571" t="s">
        <v>935</v>
      </c>
      <c r="F1571"/>
      <c r="G1571" s="107">
        <v>0</v>
      </c>
    </row>
    <row r="1572" spans="1:7">
      <c r="A1572" t="s">
        <v>20</v>
      </c>
      <c r="B1572" t="s">
        <v>19</v>
      </c>
      <c r="C1572" t="s">
        <v>234</v>
      </c>
      <c r="D1572"/>
      <c r="E1572" t="s">
        <v>936</v>
      </c>
      <c r="F1572"/>
      <c r="G1572" s="107">
        <v>4400</v>
      </c>
    </row>
    <row r="1573" spans="1:7">
      <c r="A1573" t="s">
        <v>20</v>
      </c>
      <c r="B1573" t="s">
        <v>19</v>
      </c>
      <c r="C1573" t="s">
        <v>234</v>
      </c>
      <c r="D1573"/>
      <c r="E1573" t="s">
        <v>937</v>
      </c>
      <c r="F1573"/>
      <c r="G1573" s="107">
        <v>22356</v>
      </c>
    </row>
    <row r="1574" spans="1:7">
      <c r="A1574" t="s">
        <v>20</v>
      </c>
      <c r="B1574" t="s">
        <v>19</v>
      </c>
      <c r="C1574" t="s">
        <v>234</v>
      </c>
      <c r="D1574"/>
      <c r="E1574" t="s">
        <v>938</v>
      </c>
      <c r="F1574"/>
      <c r="G1574" s="107">
        <v>3876.45</v>
      </c>
    </row>
    <row r="1575" spans="1:7">
      <c r="A1575" t="s">
        <v>20</v>
      </c>
      <c r="B1575" t="s">
        <v>19</v>
      </c>
      <c r="C1575" t="s">
        <v>214</v>
      </c>
      <c r="D1575"/>
      <c r="E1575" t="s">
        <v>939</v>
      </c>
      <c r="F1575"/>
      <c r="G1575" s="107">
        <v>0</v>
      </c>
    </row>
    <row r="1576" spans="1:7">
      <c r="A1576" t="s">
        <v>20</v>
      </c>
      <c r="B1576" t="s">
        <v>19</v>
      </c>
      <c r="C1576" t="s">
        <v>234</v>
      </c>
      <c r="D1576"/>
      <c r="E1576" t="s">
        <v>940</v>
      </c>
      <c r="F1576"/>
      <c r="G1576" s="107">
        <v>1504.68</v>
      </c>
    </row>
    <row r="1577" spans="1:7">
      <c r="A1577" t="s">
        <v>20</v>
      </c>
      <c r="B1577" t="s">
        <v>19</v>
      </c>
      <c r="C1577" t="s">
        <v>234</v>
      </c>
      <c r="D1577"/>
      <c r="E1577" t="s">
        <v>941</v>
      </c>
      <c r="F1577"/>
      <c r="G1577" s="107">
        <v>1809.6</v>
      </c>
    </row>
    <row r="1578" spans="1:7">
      <c r="A1578" t="s">
        <v>20</v>
      </c>
      <c r="B1578" t="s">
        <v>19</v>
      </c>
      <c r="C1578" t="s">
        <v>234</v>
      </c>
      <c r="D1578"/>
      <c r="E1578" t="s">
        <v>2749</v>
      </c>
      <c r="F1578"/>
      <c r="G1578" s="107">
        <v>11948.76</v>
      </c>
    </row>
    <row r="1579" spans="1:7">
      <c r="A1579" t="s">
        <v>20</v>
      </c>
      <c r="B1579" t="s">
        <v>19</v>
      </c>
      <c r="C1579" t="s">
        <v>234</v>
      </c>
      <c r="D1579"/>
      <c r="E1579" t="s">
        <v>2750</v>
      </c>
      <c r="F1579"/>
      <c r="G1579" s="107">
        <v>1787.5</v>
      </c>
    </row>
    <row r="1580" spans="1:7">
      <c r="A1580" t="s">
        <v>20</v>
      </c>
      <c r="B1580" t="s">
        <v>19</v>
      </c>
      <c r="C1580" t="s">
        <v>234</v>
      </c>
      <c r="D1580"/>
      <c r="E1580" t="s">
        <v>2751</v>
      </c>
      <c r="F1580"/>
      <c r="G1580" s="107">
        <v>4353.4399999999996</v>
      </c>
    </row>
    <row r="1581" spans="1:7">
      <c r="A1581" t="s">
        <v>20</v>
      </c>
      <c r="B1581" t="s">
        <v>19</v>
      </c>
      <c r="C1581" t="s">
        <v>234</v>
      </c>
      <c r="D1581"/>
      <c r="E1581" t="s">
        <v>2752</v>
      </c>
      <c r="F1581"/>
      <c r="G1581" s="107">
        <v>17333.47</v>
      </c>
    </row>
    <row r="1582" spans="1:7">
      <c r="A1582" t="s">
        <v>20</v>
      </c>
      <c r="B1582" t="s">
        <v>19</v>
      </c>
      <c r="C1582" t="s">
        <v>234</v>
      </c>
      <c r="D1582"/>
      <c r="E1582" t="s">
        <v>2753</v>
      </c>
      <c r="F1582"/>
      <c r="G1582" s="107">
        <v>251</v>
      </c>
    </row>
    <row r="1583" spans="1:7">
      <c r="A1583" t="s">
        <v>20</v>
      </c>
      <c r="B1583" t="s">
        <v>19</v>
      </c>
      <c r="C1583" t="s">
        <v>234</v>
      </c>
      <c r="D1583"/>
      <c r="E1583" t="s">
        <v>2754</v>
      </c>
      <c r="F1583"/>
      <c r="G1583" s="107">
        <v>0</v>
      </c>
    </row>
    <row r="1584" spans="1:7">
      <c r="A1584" t="s">
        <v>20</v>
      </c>
      <c r="B1584" t="s">
        <v>19</v>
      </c>
      <c r="C1584" t="s">
        <v>234</v>
      </c>
      <c r="D1584"/>
      <c r="E1584" t="s">
        <v>2755</v>
      </c>
      <c r="F1584"/>
      <c r="G1584" s="107">
        <v>8449.0499999999993</v>
      </c>
    </row>
    <row r="1585" spans="1:7">
      <c r="A1585" t="s">
        <v>20</v>
      </c>
      <c r="B1585" t="s">
        <v>19</v>
      </c>
      <c r="C1585" t="s">
        <v>214</v>
      </c>
      <c r="D1585"/>
      <c r="E1585" t="s">
        <v>2756</v>
      </c>
      <c r="F1585"/>
      <c r="G1585" s="107">
        <v>0</v>
      </c>
    </row>
    <row r="1586" spans="1:7">
      <c r="A1586" t="s">
        <v>20</v>
      </c>
      <c r="B1586" t="s">
        <v>19</v>
      </c>
      <c r="C1586" t="s">
        <v>234</v>
      </c>
      <c r="D1586"/>
      <c r="E1586" t="s">
        <v>2757</v>
      </c>
      <c r="F1586"/>
      <c r="G1586" s="107">
        <v>12000</v>
      </c>
    </row>
    <row r="1587" spans="1:7">
      <c r="A1587" t="s">
        <v>20</v>
      </c>
      <c r="B1587" t="s">
        <v>19</v>
      </c>
      <c r="C1587" t="s">
        <v>234</v>
      </c>
      <c r="D1587"/>
      <c r="E1587" t="s">
        <v>2758</v>
      </c>
      <c r="F1587"/>
      <c r="G1587" s="107">
        <v>27</v>
      </c>
    </row>
    <row r="1588" spans="1:7">
      <c r="A1588" t="s">
        <v>20</v>
      </c>
      <c r="B1588" t="s">
        <v>19</v>
      </c>
      <c r="C1588" t="s">
        <v>234</v>
      </c>
      <c r="D1588"/>
      <c r="E1588" t="s">
        <v>2759</v>
      </c>
      <c r="F1588"/>
      <c r="G1588" s="107">
        <v>12000</v>
      </c>
    </row>
    <row r="1589" spans="1:7">
      <c r="A1589" t="s">
        <v>20</v>
      </c>
      <c r="B1589" t="s">
        <v>19</v>
      </c>
      <c r="C1589" t="s">
        <v>234</v>
      </c>
      <c r="D1589"/>
      <c r="E1589" t="s">
        <v>2760</v>
      </c>
      <c r="F1589"/>
      <c r="G1589" s="107">
        <v>5300</v>
      </c>
    </row>
    <row r="1590" spans="1:7">
      <c r="A1590" t="s">
        <v>20</v>
      </c>
      <c r="B1590" t="s">
        <v>19</v>
      </c>
      <c r="C1590" t="s">
        <v>234</v>
      </c>
      <c r="D1590"/>
      <c r="E1590" t="s">
        <v>2761</v>
      </c>
      <c r="F1590"/>
      <c r="G1590" s="107">
        <v>47.41</v>
      </c>
    </row>
    <row r="1591" spans="1:7">
      <c r="A1591" t="s">
        <v>20</v>
      </c>
      <c r="B1591" t="s">
        <v>19</v>
      </c>
      <c r="C1591" t="s">
        <v>234</v>
      </c>
      <c r="D1591"/>
      <c r="E1591" t="s">
        <v>2762</v>
      </c>
      <c r="F1591"/>
      <c r="G1591" s="107">
        <v>3000</v>
      </c>
    </row>
    <row r="1592" spans="1:7">
      <c r="A1592" t="s">
        <v>20</v>
      </c>
      <c r="B1592" t="s">
        <v>19</v>
      </c>
      <c r="C1592" t="s">
        <v>234</v>
      </c>
      <c r="D1592"/>
      <c r="E1592" t="s">
        <v>2763</v>
      </c>
      <c r="F1592"/>
      <c r="G1592" s="107">
        <v>191</v>
      </c>
    </row>
    <row r="1593" spans="1:7">
      <c r="A1593" t="s">
        <v>20</v>
      </c>
      <c r="B1593" t="s">
        <v>19</v>
      </c>
      <c r="C1593" t="s">
        <v>214</v>
      </c>
      <c r="D1593"/>
      <c r="E1593" t="s">
        <v>2764</v>
      </c>
      <c r="F1593"/>
      <c r="G1593" s="107">
        <v>0</v>
      </c>
    </row>
    <row r="1594" spans="1:7">
      <c r="A1594" t="s">
        <v>20</v>
      </c>
      <c r="B1594" t="s">
        <v>19</v>
      </c>
      <c r="C1594" t="s">
        <v>234</v>
      </c>
      <c r="D1594"/>
      <c r="E1594" t="s">
        <v>2765</v>
      </c>
      <c r="F1594"/>
      <c r="G1594" s="107">
        <v>16508</v>
      </c>
    </row>
    <row r="1595" spans="1:7">
      <c r="A1595" t="s">
        <v>20</v>
      </c>
      <c r="B1595" t="s">
        <v>19</v>
      </c>
      <c r="C1595" t="s">
        <v>234</v>
      </c>
      <c r="D1595"/>
      <c r="E1595" t="s">
        <v>2766</v>
      </c>
      <c r="F1595"/>
      <c r="G1595" s="107">
        <v>8670</v>
      </c>
    </row>
    <row r="1596" spans="1:7">
      <c r="A1596" t="s">
        <v>20</v>
      </c>
      <c r="B1596" t="s">
        <v>19</v>
      </c>
      <c r="C1596" t="s">
        <v>234</v>
      </c>
      <c r="D1596"/>
      <c r="E1596" t="s">
        <v>2767</v>
      </c>
      <c r="F1596"/>
      <c r="G1596" s="107">
        <v>22435.98</v>
      </c>
    </row>
    <row r="1597" spans="1:7">
      <c r="A1597" t="s">
        <v>20</v>
      </c>
      <c r="B1597" t="s">
        <v>19</v>
      </c>
      <c r="C1597" t="s">
        <v>234</v>
      </c>
      <c r="D1597"/>
      <c r="E1597" t="s">
        <v>2768</v>
      </c>
      <c r="F1597"/>
      <c r="G1597" s="107">
        <v>20160</v>
      </c>
    </row>
    <row r="1598" spans="1:7">
      <c r="A1598" t="s">
        <v>20</v>
      </c>
      <c r="B1598" t="s">
        <v>19</v>
      </c>
      <c r="C1598" t="s">
        <v>234</v>
      </c>
      <c r="D1598"/>
      <c r="E1598" t="s">
        <v>2769</v>
      </c>
      <c r="F1598"/>
      <c r="G1598" s="107">
        <v>7494</v>
      </c>
    </row>
    <row r="1599" spans="1:7">
      <c r="A1599" t="s">
        <v>20</v>
      </c>
      <c r="B1599" t="s">
        <v>19</v>
      </c>
      <c r="C1599" t="s">
        <v>234</v>
      </c>
      <c r="D1599"/>
      <c r="E1599" t="s">
        <v>2770</v>
      </c>
      <c r="F1599"/>
      <c r="G1599" s="107">
        <v>10125</v>
      </c>
    </row>
    <row r="1600" spans="1:7">
      <c r="A1600" t="s">
        <v>20</v>
      </c>
      <c r="B1600" t="s">
        <v>19</v>
      </c>
      <c r="C1600" t="s">
        <v>234</v>
      </c>
      <c r="D1600"/>
      <c r="E1600" t="s">
        <v>2771</v>
      </c>
      <c r="F1600"/>
      <c r="G1600" s="107">
        <v>17953.400000000001</v>
      </c>
    </row>
    <row r="1601" spans="1:7">
      <c r="A1601" t="s">
        <v>20</v>
      </c>
      <c r="B1601" t="s">
        <v>19</v>
      </c>
      <c r="C1601" t="s">
        <v>234</v>
      </c>
      <c r="D1601"/>
      <c r="E1601" t="s">
        <v>2772</v>
      </c>
      <c r="F1601"/>
      <c r="G1601" s="107">
        <v>2798</v>
      </c>
    </row>
    <row r="1602" spans="1:7">
      <c r="A1602" t="s">
        <v>20</v>
      </c>
      <c r="B1602" t="s">
        <v>19</v>
      </c>
      <c r="C1602" t="s">
        <v>214</v>
      </c>
      <c r="D1602"/>
      <c r="E1602" t="s">
        <v>2773</v>
      </c>
      <c r="F1602"/>
      <c r="G1602" s="107">
        <v>0</v>
      </c>
    </row>
    <row r="1603" spans="1:7">
      <c r="A1603" t="s">
        <v>20</v>
      </c>
      <c r="B1603" t="s">
        <v>19</v>
      </c>
      <c r="C1603" t="s">
        <v>234</v>
      </c>
      <c r="D1603"/>
      <c r="E1603" t="s">
        <v>2774</v>
      </c>
      <c r="F1603"/>
      <c r="G1603" s="107">
        <v>55000</v>
      </c>
    </row>
    <row r="1604" spans="1:7">
      <c r="A1604" s="128" t="s">
        <v>20</v>
      </c>
      <c r="B1604" s="128" t="s">
        <v>2117</v>
      </c>
      <c r="C1604" s="128"/>
      <c r="D1604" s="128"/>
      <c r="E1604" s="128" t="s">
        <v>942</v>
      </c>
      <c r="F1604" s="128"/>
      <c r="G1604" s="129">
        <v>504000</v>
      </c>
    </row>
    <row r="1605" spans="1:7">
      <c r="A1605" t="s">
        <v>20</v>
      </c>
      <c r="B1605" t="s">
        <v>19</v>
      </c>
      <c r="C1605" t="s">
        <v>214</v>
      </c>
      <c r="D1605"/>
      <c r="E1605" t="s">
        <v>183</v>
      </c>
      <c r="F1605"/>
      <c r="G1605" s="107">
        <v>0</v>
      </c>
    </row>
    <row r="1606" spans="1:7">
      <c r="A1606" t="s">
        <v>20</v>
      </c>
      <c r="B1606" t="s">
        <v>19</v>
      </c>
      <c r="C1606" t="s">
        <v>233</v>
      </c>
      <c r="D1606"/>
      <c r="E1606" t="s">
        <v>943</v>
      </c>
      <c r="F1606"/>
      <c r="G1606" s="107">
        <v>105000</v>
      </c>
    </row>
    <row r="1607" spans="1:7">
      <c r="A1607" t="s">
        <v>20</v>
      </c>
      <c r="B1607" t="s">
        <v>19</v>
      </c>
      <c r="C1607" t="s">
        <v>234</v>
      </c>
      <c r="D1607"/>
      <c r="E1607" t="s">
        <v>944</v>
      </c>
      <c r="F1607"/>
      <c r="G1607" s="107">
        <v>189000</v>
      </c>
    </row>
    <row r="1608" spans="1:7">
      <c r="A1608" t="s">
        <v>20</v>
      </c>
      <c r="B1608" t="s">
        <v>19</v>
      </c>
      <c r="C1608" t="s">
        <v>236</v>
      </c>
      <c r="D1608"/>
      <c r="E1608" t="s">
        <v>945</v>
      </c>
      <c r="F1608"/>
      <c r="G1608" s="107">
        <v>147000</v>
      </c>
    </row>
    <row r="1609" spans="1:7">
      <c r="A1609" t="s">
        <v>20</v>
      </c>
      <c r="B1609" t="s">
        <v>19</v>
      </c>
      <c r="C1609" t="s">
        <v>238</v>
      </c>
      <c r="D1609"/>
      <c r="E1609" t="s">
        <v>2775</v>
      </c>
      <c r="F1609"/>
      <c r="G1609" s="107">
        <v>63000</v>
      </c>
    </row>
    <row r="1610" spans="1:7">
      <c r="A1610" s="128" t="s">
        <v>20</v>
      </c>
      <c r="B1610" s="128" t="s">
        <v>2117</v>
      </c>
      <c r="C1610" s="128"/>
      <c r="D1610" s="128"/>
      <c r="E1610" s="128" t="s">
        <v>946</v>
      </c>
      <c r="F1610" s="128"/>
      <c r="G1610" s="129">
        <v>768000</v>
      </c>
    </row>
    <row r="1611" spans="1:7">
      <c r="A1611" t="s">
        <v>20</v>
      </c>
      <c r="B1611" t="s">
        <v>19</v>
      </c>
      <c r="C1611" t="s">
        <v>214</v>
      </c>
      <c r="D1611"/>
      <c r="E1611" t="s">
        <v>184</v>
      </c>
      <c r="F1611"/>
      <c r="G1611" s="107">
        <v>0</v>
      </c>
    </row>
    <row r="1612" spans="1:7">
      <c r="A1612" t="s">
        <v>20</v>
      </c>
      <c r="B1612" t="s">
        <v>19</v>
      </c>
      <c r="C1612" t="s">
        <v>234</v>
      </c>
      <c r="D1612"/>
      <c r="E1612" t="s">
        <v>947</v>
      </c>
      <c r="F1612"/>
      <c r="G1612" s="107">
        <v>98000</v>
      </c>
    </row>
    <row r="1613" spans="1:7">
      <c r="A1613" t="s">
        <v>20</v>
      </c>
      <c r="B1613" t="s">
        <v>19</v>
      </c>
      <c r="C1613" t="s">
        <v>236</v>
      </c>
      <c r="D1613"/>
      <c r="E1613" t="s">
        <v>948</v>
      </c>
      <c r="F1613"/>
      <c r="G1613" s="107">
        <v>98000</v>
      </c>
    </row>
    <row r="1614" spans="1:7">
      <c r="A1614" t="s">
        <v>20</v>
      </c>
      <c r="B1614" t="s">
        <v>19</v>
      </c>
      <c r="C1614" t="s">
        <v>238</v>
      </c>
      <c r="D1614"/>
      <c r="E1614" t="s">
        <v>949</v>
      </c>
      <c r="F1614"/>
      <c r="G1614" s="107">
        <v>56000</v>
      </c>
    </row>
    <row r="1615" spans="1:7">
      <c r="A1615" t="s">
        <v>20</v>
      </c>
      <c r="B1615" t="s">
        <v>19</v>
      </c>
      <c r="C1615" t="s">
        <v>214</v>
      </c>
      <c r="D1615"/>
      <c r="E1615" t="s">
        <v>950</v>
      </c>
      <c r="F1615"/>
      <c r="G1615" s="107">
        <v>0</v>
      </c>
    </row>
    <row r="1616" spans="1:7">
      <c r="A1616" t="s">
        <v>20</v>
      </c>
      <c r="B1616" t="s">
        <v>19</v>
      </c>
      <c r="C1616" t="s">
        <v>233</v>
      </c>
      <c r="D1616"/>
      <c r="E1616" t="s">
        <v>951</v>
      </c>
      <c r="F1616"/>
      <c r="G1616" s="107">
        <v>31500</v>
      </c>
    </row>
    <row r="1617" spans="1:7">
      <c r="A1617" t="s">
        <v>20</v>
      </c>
      <c r="B1617" t="s">
        <v>19</v>
      </c>
      <c r="C1617" t="s">
        <v>234</v>
      </c>
      <c r="D1617"/>
      <c r="E1617" t="s">
        <v>952</v>
      </c>
      <c r="F1617"/>
      <c r="G1617" s="107">
        <v>101250</v>
      </c>
    </row>
    <row r="1618" spans="1:7">
      <c r="A1618" t="s">
        <v>20</v>
      </c>
      <c r="B1618" t="s">
        <v>19</v>
      </c>
      <c r="C1618" t="s">
        <v>236</v>
      </c>
      <c r="D1618"/>
      <c r="E1618" t="s">
        <v>953</v>
      </c>
      <c r="F1618"/>
      <c r="G1618" s="107">
        <v>78750</v>
      </c>
    </row>
    <row r="1619" spans="1:7">
      <c r="A1619" t="s">
        <v>20</v>
      </c>
      <c r="B1619" t="s">
        <v>19</v>
      </c>
      <c r="C1619" t="s">
        <v>214</v>
      </c>
      <c r="D1619"/>
      <c r="E1619" t="s">
        <v>954</v>
      </c>
      <c r="F1619"/>
      <c r="G1619" s="107">
        <v>0</v>
      </c>
    </row>
    <row r="1620" spans="1:7">
      <c r="A1620" t="s">
        <v>20</v>
      </c>
      <c r="B1620" t="s">
        <v>19</v>
      </c>
      <c r="C1620" t="s">
        <v>234</v>
      </c>
      <c r="D1620"/>
      <c r="E1620" t="s">
        <v>955</v>
      </c>
      <c r="F1620"/>
      <c r="G1620" s="107">
        <v>90000</v>
      </c>
    </row>
    <row r="1621" spans="1:7">
      <c r="A1621" t="s">
        <v>20</v>
      </c>
      <c r="B1621" t="s">
        <v>19</v>
      </c>
      <c r="C1621" t="s">
        <v>236</v>
      </c>
      <c r="D1621"/>
      <c r="E1621" t="s">
        <v>956</v>
      </c>
      <c r="F1621"/>
      <c r="G1621" s="107">
        <v>70000</v>
      </c>
    </row>
    <row r="1622" spans="1:7">
      <c r="A1622" t="s">
        <v>20</v>
      </c>
      <c r="B1622" t="s">
        <v>19</v>
      </c>
      <c r="C1622" t="s">
        <v>214</v>
      </c>
      <c r="D1622"/>
      <c r="E1622" t="s">
        <v>957</v>
      </c>
      <c r="F1622"/>
      <c r="G1622" s="107">
        <v>0</v>
      </c>
    </row>
    <row r="1623" spans="1:7">
      <c r="A1623" t="s">
        <v>20</v>
      </c>
      <c r="B1623" t="s">
        <v>19</v>
      </c>
      <c r="C1623" t="s">
        <v>234</v>
      </c>
      <c r="D1623"/>
      <c r="E1623" t="s">
        <v>958</v>
      </c>
      <c r="F1623"/>
      <c r="G1623" s="107">
        <v>40000</v>
      </c>
    </row>
    <row r="1624" spans="1:7">
      <c r="A1624" t="s">
        <v>20</v>
      </c>
      <c r="B1624" t="s">
        <v>19</v>
      </c>
      <c r="C1624" t="s">
        <v>214</v>
      </c>
      <c r="D1624"/>
      <c r="E1624" t="s">
        <v>959</v>
      </c>
      <c r="F1624"/>
      <c r="G1624" s="107">
        <v>0</v>
      </c>
    </row>
    <row r="1625" spans="1:7">
      <c r="A1625" t="s">
        <v>20</v>
      </c>
      <c r="B1625" t="s">
        <v>19</v>
      </c>
      <c r="C1625" t="s">
        <v>234</v>
      </c>
      <c r="D1625"/>
      <c r="E1625" t="s">
        <v>2776</v>
      </c>
      <c r="F1625"/>
      <c r="G1625" s="107">
        <v>8000</v>
      </c>
    </row>
    <row r="1626" spans="1:7">
      <c r="A1626" t="s">
        <v>20</v>
      </c>
      <c r="B1626" t="s">
        <v>19</v>
      </c>
      <c r="C1626" t="s">
        <v>236</v>
      </c>
      <c r="D1626"/>
      <c r="E1626" t="s">
        <v>2777</v>
      </c>
      <c r="F1626"/>
      <c r="G1626" s="107">
        <v>56000</v>
      </c>
    </row>
    <row r="1627" spans="1:7">
      <c r="A1627" t="s">
        <v>20</v>
      </c>
      <c r="B1627" t="s">
        <v>19</v>
      </c>
      <c r="C1627" t="s">
        <v>214</v>
      </c>
      <c r="D1627"/>
      <c r="E1627" t="s">
        <v>2778</v>
      </c>
      <c r="F1627"/>
      <c r="G1627" s="107">
        <v>0</v>
      </c>
    </row>
    <row r="1628" spans="1:7">
      <c r="A1628" t="s">
        <v>20</v>
      </c>
      <c r="B1628" t="s">
        <v>19</v>
      </c>
      <c r="C1628" t="s">
        <v>236</v>
      </c>
      <c r="D1628"/>
      <c r="E1628" t="s">
        <v>2779</v>
      </c>
      <c r="F1628"/>
      <c r="G1628" s="107">
        <v>10500</v>
      </c>
    </row>
    <row r="1629" spans="1:7">
      <c r="A1629" t="s">
        <v>20</v>
      </c>
      <c r="B1629" t="s">
        <v>19</v>
      </c>
      <c r="C1629" t="s">
        <v>214</v>
      </c>
      <c r="D1629"/>
      <c r="E1629" t="s">
        <v>2780</v>
      </c>
      <c r="F1629"/>
      <c r="G1629" s="107">
        <v>0</v>
      </c>
    </row>
    <row r="1630" spans="1:7">
      <c r="A1630" t="s">
        <v>20</v>
      </c>
      <c r="B1630" t="s">
        <v>19</v>
      </c>
      <c r="C1630" t="s">
        <v>236</v>
      </c>
      <c r="D1630"/>
      <c r="E1630" t="s">
        <v>2781</v>
      </c>
      <c r="F1630"/>
      <c r="G1630" s="107">
        <v>6000</v>
      </c>
    </row>
    <row r="1631" spans="1:7">
      <c r="A1631" t="s">
        <v>20</v>
      </c>
      <c r="B1631" t="s">
        <v>19</v>
      </c>
      <c r="C1631" t="s">
        <v>214</v>
      </c>
      <c r="D1631"/>
      <c r="E1631" t="s">
        <v>2782</v>
      </c>
      <c r="F1631"/>
      <c r="G1631" s="107">
        <v>0</v>
      </c>
    </row>
    <row r="1632" spans="1:7">
      <c r="A1632" t="s">
        <v>20</v>
      </c>
      <c r="B1632" t="s">
        <v>19</v>
      </c>
      <c r="C1632" t="s">
        <v>1419</v>
      </c>
      <c r="D1632"/>
      <c r="E1632" t="s">
        <v>2783</v>
      </c>
      <c r="F1632"/>
      <c r="G1632" s="107">
        <v>8000</v>
      </c>
    </row>
    <row r="1633" spans="1:7">
      <c r="A1633" t="s">
        <v>20</v>
      </c>
      <c r="B1633" t="s">
        <v>19</v>
      </c>
      <c r="C1633" t="s">
        <v>1419</v>
      </c>
      <c r="D1633"/>
      <c r="E1633" t="s">
        <v>2784</v>
      </c>
      <c r="F1633"/>
      <c r="G1633" s="107">
        <v>16000</v>
      </c>
    </row>
    <row r="1634" spans="1:7">
      <c r="A1634" s="128" t="s">
        <v>20</v>
      </c>
      <c r="B1634" s="128" t="s">
        <v>2117</v>
      </c>
      <c r="C1634" s="128"/>
      <c r="D1634" s="128"/>
      <c r="E1634" s="128" t="s">
        <v>960</v>
      </c>
      <c r="F1634" s="128"/>
      <c r="G1634" s="129">
        <v>317300</v>
      </c>
    </row>
    <row r="1635" spans="1:7">
      <c r="A1635" t="s">
        <v>20</v>
      </c>
      <c r="B1635" t="s">
        <v>19</v>
      </c>
      <c r="C1635" t="s">
        <v>214</v>
      </c>
      <c r="D1635"/>
      <c r="E1635" t="s">
        <v>961</v>
      </c>
      <c r="F1635"/>
      <c r="G1635" s="107">
        <v>0</v>
      </c>
    </row>
    <row r="1636" spans="1:7">
      <c r="A1636" t="s">
        <v>20</v>
      </c>
      <c r="B1636" t="s">
        <v>19</v>
      </c>
      <c r="C1636" t="s">
        <v>214</v>
      </c>
      <c r="D1636"/>
      <c r="E1636" t="s">
        <v>962</v>
      </c>
      <c r="F1636"/>
      <c r="G1636" s="107">
        <v>0</v>
      </c>
    </row>
    <row r="1637" spans="1:7">
      <c r="A1637" t="s">
        <v>20</v>
      </c>
      <c r="B1637" t="s">
        <v>19</v>
      </c>
      <c r="C1637" t="s">
        <v>236</v>
      </c>
      <c r="D1637"/>
      <c r="E1637" t="s">
        <v>963</v>
      </c>
      <c r="F1637"/>
      <c r="G1637" s="107">
        <v>199500</v>
      </c>
    </row>
    <row r="1638" spans="1:7">
      <c r="A1638" t="s">
        <v>20</v>
      </c>
      <c r="B1638" t="s">
        <v>19</v>
      </c>
      <c r="C1638" t="s">
        <v>236</v>
      </c>
      <c r="D1638"/>
      <c r="E1638" t="s">
        <v>964</v>
      </c>
      <c r="F1638"/>
      <c r="G1638" s="107">
        <v>5700</v>
      </c>
    </row>
    <row r="1639" spans="1:7">
      <c r="A1639" t="s">
        <v>20</v>
      </c>
      <c r="B1639" t="s">
        <v>19</v>
      </c>
      <c r="C1639" t="s">
        <v>236</v>
      </c>
      <c r="D1639"/>
      <c r="E1639" t="s">
        <v>965</v>
      </c>
      <c r="F1639"/>
      <c r="G1639" s="107">
        <v>39900</v>
      </c>
    </row>
    <row r="1640" spans="1:7">
      <c r="A1640" t="s">
        <v>20</v>
      </c>
      <c r="B1640" t="s">
        <v>19</v>
      </c>
      <c r="C1640" t="s">
        <v>214</v>
      </c>
      <c r="D1640"/>
      <c r="E1640" t="s">
        <v>2785</v>
      </c>
      <c r="F1640"/>
      <c r="G1640" s="107">
        <v>0</v>
      </c>
    </row>
    <row r="1641" spans="1:7">
      <c r="A1641" t="s">
        <v>20</v>
      </c>
      <c r="B1641" t="s">
        <v>19</v>
      </c>
      <c r="C1641" t="s">
        <v>1419</v>
      </c>
      <c r="D1641"/>
      <c r="E1641" t="s">
        <v>2786</v>
      </c>
      <c r="F1641"/>
      <c r="G1641" s="107">
        <v>57000</v>
      </c>
    </row>
    <row r="1642" spans="1:7">
      <c r="A1642" t="s">
        <v>20</v>
      </c>
      <c r="B1642" t="s">
        <v>19</v>
      </c>
      <c r="C1642" t="s">
        <v>1419</v>
      </c>
      <c r="D1642"/>
      <c r="E1642" t="s">
        <v>2787</v>
      </c>
      <c r="F1642"/>
      <c r="G1642" s="107">
        <v>3800</v>
      </c>
    </row>
    <row r="1643" spans="1:7">
      <c r="A1643" t="s">
        <v>20</v>
      </c>
      <c r="B1643" t="s">
        <v>19</v>
      </c>
      <c r="C1643" t="s">
        <v>1419</v>
      </c>
      <c r="D1643"/>
      <c r="E1643" t="s">
        <v>2788</v>
      </c>
      <c r="F1643"/>
      <c r="G1643" s="107">
        <v>11400</v>
      </c>
    </row>
    <row r="1644" spans="1:7">
      <c r="A1644" s="128" t="s">
        <v>20</v>
      </c>
      <c r="B1644" s="128" t="s">
        <v>2117</v>
      </c>
      <c r="C1644" s="128"/>
      <c r="D1644" s="128"/>
      <c r="E1644" s="128" t="s">
        <v>966</v>
      </c>
      <c r="F1644" s="128"/>
      <c r="G1644" s="129">
        <v>100000</v>
      </c>
    </row>
    <row r="1645" spans="1:7">
      <c r="A1645" t="s">
        <v>20</v>
      </c>
      <c r="B1645" t="s">
        <v>19</v>
      </c>
      <c r="C1645" t="s">
        <v>214</v>
      </c>
      <c r="D1645"/>
      <c r="E1645" t="s">
        <v>967</v>
      </c>
      <c r="F1645"/>
      <c r="G1645" s="107">
        <v>0</v>
      </c>
    </row>
    <row r="1646" spans="1:7">
      <c r="A1646" t="s">
        <v>20</v>
      </c>
      <c r="B1646" t="s">
        <v>19</v>
      </c>
      <c r="C1646" t="s">
        <v>236</v>
      </c>
      <c r="D1646"/>
      <c r="E1646" t="s">
        <v>2789</v>
      </c>
      <c r="F1646"/>
      <c r="G1646" s="107">
        <v>100000</v>
      </c>
    </row>
    <row r="1647" spans="1:7">
      <c r="A1647" s="128" t="s">
        <v>20</v>
      </c>
      <c r="B1647" s="128" t="s">
        <v>2117</v>
      </c>
      <c r="C1647" s="128"/>
      <c r="D1647" s="128"/>
      <c r="E1647" s="128" t="s">
        <v>968</v>
      </c>
      <c r="F1647" s="128"/>
      <c r="G1647" s="129">
        <v>4701050</v>
      </c>
    </row>
    <row r="1648" spans="1:7">
      <c r="A1648" t="s">
        <v>20</v>
      </c>
      <c r="B1648" t="s">
        <v>19</v>
      </c>
      <c r="C1648" t="s">
        <v>214</v>
      </c>
      <c r="D1648"/>
      <c r="E1648" t="s">
        <v>969</v>
      </c>
      <c r="F1648"/>
      <c r="G1648" s="107">
        <v>0</v>
      </c>
    </row>
    <row r="1649" spans="1:7">
      <c r="A1649" t="s">
        <v>20</v>
      </c>
      <c r="B1649" t="s">
        <v>19</v>
      </c>
      <c r="C1649" t="s">
        <v>236</v>
      </c>
      <c r="D1649"/>
      <c r="E1649" t="s">
        <v>970</v>
      </c>
      <c r="F1649"/>
      <c r="G1649" s="107">
        <v>682500</v>
      </c>
    </row>
    <row r="1650" spans="1:7">
      <c r="A1650" t="s">
        <v>20</v>
      </c>
      <c r="B1650" t="s">
        <v>19</v>
      </c>
      <c r="C1650" t="s">
        <v>236</v>
      </c>
      <c r="D1650"/>
      <c r="E1650" t="s">
        <v>971</v>
      </c>
      <c r="F1650"/>
      <c r="G1650" s="107">
        <v>327600</v>
      </c>
    </row>
    <row r="1651" spans="1:7">
      <c r="A1651" t="s">
        <v>20</v>
      </c>
      <c r="B1651" t="s">
        <v>19</v>
      </c>
      <c r="C1651" t="s">
        <v>236</v>
      </c>
      <c r="D1651"/>
      <c r="E1651" t="s">
        <v>972</v>
      </c>
      <c r="F1651"/>
      <c r="G1651" s="107">
        <v>1037400</v>
      </c>
    </row>
    <row r="1652" spans="1:7">
      <c r="A1652" t="s">
        <v>20</v>
      </c>
      <c r="B1652" t="s">
        <v>19</v>
      </c>
      <c r="C1652" t="s">
        <v>236</v>
      </c>
      <c r="D1652"/>
      <c r="E1652" t="s">
        <v>973</v>
      </c>
      <c r="F1652"/>
      <c r="G1652" s="107">
        <v>491400</v>
      </c>
    </row>
    <row r="1653" spans="1:7">
      <c r="A1653" t="s">
        <v>20</v>
      </c>
      <c r="B1653" t="s">
        <v>19</v>
      </c>
      <c r="C1653" t="s">
        <v>236</v>
      </c>
      <c r="D1653"/>
      <c r="E1653" t="s">
        <v>974</v>
      </c>
      <c r="F1653"/>
      <c r="G1653" s="107">
        <v>491400</v>
      </c>
    </row>
    <row r="1654" spans="1:7">
      <c r="A1654" t="s">
        <v>20</v>
      </c>
      <c r="B1654" t="s">
        <v>19</v>
      </c>
      <c r="C1654" t="s">
        <v>236</v>
      </c>
      <c r="D1654"/>
      <c r="E1654" t="s">
        <v>975</v>
      </c>
      <c r="F1654"/>
      <c r="G1654" s="107">
        <v>123500</v>
      </c>
    </row>
    <row r="1655" spans="1:7">
      <c r="A1655" t="s">
        <v>20</v>
      </c>
      <c r="B1655" t="s">
        <v>19</v>
      </c>
      <c r="C1655" t="s">
        <v>214</v>
      </c>
      <c r="D1655"/>
      <c r="E1655" t="s">
        <v>976</v>
      </c>
      <c r="F1655"/>
      <c r="G1655" s="107">
        <v>0</v>
      </c>
    </row>
    <row r="1656" spans="1:7">
      <c r="A1656" t="s">
        <v>20</v>
      </c>
      <c r="B1656" t="s">
        <v>19</v>
      </c>
      <c r="C1656" t="s">
        <v>236</v>
      </c>
      <c r="D1656"/>
      <c r="E1656" t="s">
        <v>977</v>
      </c>
      <c r="F1656"/>
      <c r="G1656" s="107">
        <v>100000</v>
      </c>
    </row>
    <row r="1657" spans="1:7">
      <c r="A1657" t="s">
        <v>20</v>
      </c>
      <c r="B1657" t="s">
        <v>19</v>
      </c>
      <c r="C1657" t="s">
        <v>236</v>
      </c>
      <c r="D1657"/>
      <c r="E1657" t="s">
        <v>978</v>
      </c>
      <c r="F1657"/>
      <c r="G1657" s="107">
        <v>693750</v>
      </c>
    </row>
    <row r="1658" spans="1:7">
      <c r="A1658" t="s">
        <v>20</v>
      </c>
      <c r="B1658" t="s">
        <v>19</v>
      </c>
      <c r="C1658" t="s">
        <v>214</v>
      </c>
      <c r="D1658"/>
      <c r="E1658" t="s">
        <v>979</v>
      </c>
      <c r="F1658"/>
      <c r="G1658" s="107">
        <v>0</v>
      </c>
    </row>
    <row r="1659" spans="1:7">
      <c r="A1659" t="s">
        <v>20</v>
      </c>
      <c r="B1659" t="s">
        <v>19</v>
      </c>
      <c r="C1659" t="s">
        <v>1419</v>
      </c>
      <c r="D1659"/>
      <c r="E1659" t="s">
        <v>980</v>
      </c>
      <c r="F1659"/>
      <c r="G1659" s="107">
        <v>165000</v>
      </c>
    </row>
    <row r="1660" spans="1:7">
      <c r="A1660" t="s">
        <v>20</v>
      </c>
      <c r="B1660" t="s">
        <v>19</v>
      </c>
      <c r="C1660" t="s">
        <v>1419</v>
      </c>
      <c r="D1660"/>
      <c r="E1660" t="s">
        <v>2790</v>
      </c>
      <c r="F1660"/>
      <c r="G1660" s="107">
        <v>79200</v>
      </c>
    </row>
    <row r="1661" spans="1:7">
      <c r="A1661" t="s">
        <v>20</v>
      </c>
      <c r="B1661" t="s">
        <v>19</v>
      </c>
      <c r="C1661" t="s">
        <v>1419</v>
      </c>
      <c r="D1661"/>
      <c r="E1661" t="s">
        <v>2791</v>
      </c>
      <c r="F1661"/>
      <c r="G1661" s="107">
        <v>250800</v>
      </c>
    </row>
    <row r="1662" spans="1:7">
      <c r="A1662" t="s">
        <v>20</v>
      </c>
      <c r="B1662" t="s">
        <v>19</v>
      </c>
      <c r="C1662" t="s">
        <v>1419</v>
      </c>
      <c r="D1662"/>
      <c r="E1662" t="s">
        <v>2792</v>
      </c>
      <c r="F1662"/>
      <c r="G1662" s="107">
        <v>118800</v>
      </c>
    </row>
    <row r="1663" spans="1:7">
      <c r="A1663" t="s">
        <v>20</v>
      </c>
      <c r="B1663" t="s">
        <v>19</v>
      </c>
      <c r="C1663" t="s">
        <v>1419</v>
      </c>
      <c r="D1663"/>
      <c r="E1663" t="s">
        <v>2793</v>
      </c>
      <c r="F1663"/>
      <c r="G1663" s="107">
        <v>118800</v>
      </c>
    </row>
    <row r="1664" spans="1:7">
      <c r="A1664" t="s">
        <v>20</v>
      </c>
      <c r="B1664" t="s">
        <v>19</v>
      </c>
      <c r="C1664" t="s">
        <v>1419</v>
      </c>
      <c r="D1664"/>
      <c r="E1664" t="s">
        <v>2794</v>
      </c>
      <c r="F1664"/>
      <c r="G1664" s="107">
        <v>20900</v>
      </c>
    </row>
    <row r="1665" spans="1:7">
      <c r="A1665" s="128" t="s">
        <v>20</v>
      </c>
      <c r="B1665" s="128" t="s">
        <v>2117</v>
      </c>
      <c r="C1665" s="128"/>
      <c r="D1665" s="128"/>
      <c r="E1665" s="128" t="s">
        <v>981</v>
      </c>
      <c r="F1665" s="128"/>
      <c r="G1665" s="129">
        <v>6880105</v>
      </c>
    </row>
    <row r="1666" spans="1:7">
      <c r="A1666" t="s">
        <v>20</v>
      </c>
      <c r="B1666" t="s">
        <v>19</v>
      </c>
      <c r="C1666" t="s">
        <v>214</v>
      </c>
      <c r="D1666"/>
      <c r="E1666" t="s">
        <v>982</v>
      </c>
      <c r="F1666"/>
      <c r="G1666" s="107">
        <v>0</v>
      </c>
    </row>
    <row r="1667" spans="1:7">
      <c r="A1667" t="s">
        <v>20</v>
      </c>
      <c r="B1667" t="s">
        <v>19</v>
      </c>
      <c r="C1667" t="s">
        <v>236</v>
      </c>
      <c r="D1667"/>
      <c r="E1667" t="s">
        <v>983</v>
      </c>
      <c r="F1667"/>
      <c r="G1667" s="107">
        <v>22370</v>
      </c>
    </row>
    <row r="1668" spans="1:7">
      <c r="A1668" t="s">
        <v>20</v>
      </c>
      <c r="B1668" t="s">
        <v>19</v>
      </c>
      <c r="C1668" t="s">
        <v>214</v>
      </c>
      <c r="D1668"/>
      <c r="E1668" t="s">
        <v>984</v>
      </c>
      <c r="F1668"/>
      <c r="G1668" s="107">
        <v>0</v>
      </c>
    </row>
    <row r="1669" spans="1:7">
      <c r="A1669" t="s">
        <v>20</v>
      </c>
      <c r="B1669" t="s">
        <v>19</v>
      </c>
      <c r="C1669" t="s">
        <v>236</v>
      </c>
      <c r="D1669"/>
      <c r="E1669" t="s">
        <v>985</v>
      </c>
      <c r="F1669"/>
      <c r="G1669" s="107">
        <v>500000</v>
      </c>
    </row>
    <row r="1670" spans="1:7">
      <c r="A1670" t="s">
        <v>20</v>
      </c>
      <c r="B1670" t="s">
        <v>19</v>
      </c>
      <c r="C1670" t="s">
        <v>214</v>
      </c>
      <c r="D1670"/>
      <c r="E1670" t="s">
        <v>986</v>
      </c>
      <c r="F1670"/>
      <c r="G1670" s="107">
        <v>0</v>
      </c>
    </row>
    <row r="1671" spans="1:7">
      <c r="A1671" t="s">
        <v>20</v>
      </c>
      <c r="B1671" t="s">
        <v>19</v>
      </c>
      <c r="C1671" t="s">
        <v>236</v>
      </c>
      <c r="D1671"/>
      <c r="E1671" t="s">
        <v>987</v>
      </c>
      <c r="F1671"/>
      <c r="G1671" s="107">
        <v>571000</v>
      </c>
    </row>
    <row r="1672" spans="1:7">
      <c r="A1672" t="s">
        <v>20</v>
      </c>
      <c r="B1672" t="s">
        <v>19</v>
      </c>
      <c r="C1672" t="s">
        <v>214</v>
      </c>
      <c r="D1672"/>
      <c r="E1672" t="s">
        <v>988</v>
      </c>
      <c r="F1672"/>
      <c r="G1672" s="107">
        <v>0</v>
      </c>
    </row>
    <row r="1673" spans="1:7">
      <c r="A1673" t="s">
        <v>20</v>
      </c>
      <c r="B1673" t="s">
        <v>19</v>
      </c>
      <c r="C1673" t="s">
        <v>236</v>
      </c>
      <c r="D1673"/>
      <c r="E1673" t="s">
        <v>989</v>
      </c>
      <c r="F1673"/>
      <c r="G1673" s="107">
        <v>700000</v>
      </c>
    </row>
    <row r="1674" spans="1:7">
      <c r="A1674" t="s">
        <v>20</v>
      </c>
      <c r="B1674" t="s">
        <v>19</v>
      </c>
      <c r="C1674" t="s">
        <v>214</v>
      </c>
      <c r="D1674"/>
      <c r="E1674" t="s">
        <v>990</v>
      </c>
      <c r="F1674"/>
      <c r="G1674" s="107">
        <v>0</v>
      </c>
    </row>
    <row r="1675" spans="1:7">
      <c r="A1675" t="s">
        <v>20</v>
      </c>
      <c r="B1675" t="s">
        <v>19</v>
      </c>
      <c r="C1675" t="s">
        <v>236</v>
      </c>
      <c r="D1675"/>
      <c r="E1675" t="s">
        <v>991</v>
      </c>
      <c r="F1675"/>
      <c r="G1675" s="107">
        <v>75000</v>
      </c>
    </row>
    <row r="1676" spans="1:7">
      <c r="A1676" t="s">
        <v>20</v>
      </c>
      <c r="B1676" t="s">
        <v>19</v>
      </c>
      <c r="C1676" t="s">
        <v>214</v>
      </c>
      <c r="D1676"/>
      <c r="E1676" t="s">
        <v>992</v>
      </c>
      <c r="F1676"/>
      <c r="G1676" s="107">
        <v>0</v>
      </c>
    </row>
    <row r="1677" spans="1:7">
      <c r="A1677" t="s">
        <v>20</v>
      </c>
      <c r="B1677" t="s">
        <v>19</v>
      </c>
      <c r="C1677" t="s">
        <v>236</v>
      </c>
      <c r="D1677"/>
      <c r="E1677" t="s">
        <v>993</v>
      </c>
      <c r="F1677"/>
      <c r="G1677" s="107">
        <v>15000</v>
      </c>
    </row>
    <row r="1678" spans="1:7">
      <c r="A1678" t="s">
        <v>20</v>
      </c>
      <c r="B1678" t="s">
        <v>19</v>
      </c>
      <c r="C1678" t="s">
        <v>214</v>
      </c>
      <c r="D1678"/>
      <c r="E1678" t="s">
        <v>994</v>
      </c>
      <c r="F1678"/>
      <c r="G1678" s="107">
        <v>0</v>
      </c>
    </row>
    <row r="1679" spans="1:7">
      <c r="A1679" t="s">
        <v>20</v>
      </c>
      <c r="B1679" t="s">
        <v>19</v>
      </c>
      <c r="C1679" t="s">
        <v>236</v>
      </c>
      <c r="D1679"/>
      <c r="E1679" t="s">
        <v>995</v>
      </c>
      <c r="F1679"/>
      <c r="G1679" s="107">
        <v>30000</v>
      </c>
    </row>
    <row r="1680" spans="1:7">
      <c r="A1680" t="s">
        <v>20</v>
      </c>
      <c r="B1680" t="s">
        <v>19</v>
      </c>
      <c r="C1680" t="s">
        <v>214</v>
      </c>
      <c r="D1680"/>
      <c r="E1680" t="s">
        <v>996</v>
      </c>
      <c r="F1680"/>
      <c r="G1680" s="107">
        <v>0</v>
      </c>
    </row>
    <row r="1681" spans="1:7">
      <c r="A1681" t="s">
        <v>20</v>
      </c>
      <c r="B1681" t="s">
        <v>19</v>
      </c>
      <c r="C1681" t="s">
        <v>236</v>
      </c>
      <c r="D1681"/>
      <c r="E1681" t="s">
        <v>997</v>
      </c>
      <c r="F1681"/>
      <c r="G1681" s="107">
        <v>25000</v>
      </c>
    </row>
    <row r="1682" spans="1:7">
      <c r="A1682" t="s">
        <v>20</v>
      </c>
      <c r="B1682" t="s">
        <v>19</v>
      </c>
      <c r="C1682" t="s">
        <v>214</v>
      </c>
      <c r="D1682"/>
      <c r="E1682" t="s">
        <v>998</v>
      </c>
      <c r="F1682"/>
      <c r="G1682" s="107">
        <v>0</v>
      </c>
    </row>
    <row r="1683" spans="1:7">
      <c r="A1683" t="s">
        <v>20</v>
      </c>
      <c r="B1683" t="s">
        <v>19</v>
      </c>
      <c r="C1683" t="s">
        <v>236</v>
      </c>
      <c r="D1683"/>
      <c r="E1683" t="s">
        <v>999</v>
      </c>
      <c r="F1683"/>
      <c r="G1683" s="107">
        <v>77586.210000000006</v>
      </c>
    </row>
    <row r="1684" spans="1:7">
      <c r="A1684" t="s">
        <v>20</v>
      </c>
      <c r="B1684" t="s">
        <v>19</v>
      </c>
      <c r="C1684" t="s">
        <v>214</v>
      </c>
      <c r="D1684"/>
      <c r="E1684" t="s">
        <v>1000</v>
      </c>
      <c r="F1684"/>
      <c r="G1684" s="107">
        <v>0</v>
      </c>
    </row>
    <row r="1685" spans="1:7">
      <c r="A1685" t="s">
        <v>20</v>
      </c>
      <c r="B1685" t="s">
        <v>19</v>
      </c>
      <c r="C1685" t="s">
        <v>236</v>
      </c>
      <c r="D1685"/>
      <c r="E1685" t="s">
        <v>1001</v>
      </c>
      <c r="F1685"/>
      <c r="G1685" s="107">
        <v>58189.66</v>
      </c>
    </row>
    <row r="1686" spans="1:7">
      <c r="A1686" t="s">
        <v>20</v>
      </c>
      <c r="B1686" t="s">
        <v>19</v>
      </c>
      <c r="C1686" t="s">
        <v>214</v>
      </c>
      <c r="D1686"/>
      <c r="E1686" t="s">
        <v>1002</v>
      </c>
      <c r="F1686"/>
      <c r="G1686" s="107">
        <v>0</v>
      </c>
    </row>
    <row r="1687" spans="1:7">
      <c r="A1687" t="s">
        <v>20</v>
      </c>
      <c r="B1687" t="s">
        <v>19</v>
      </c>
      <c r="C1687" t="s">
        <v>236</v>
      </c>
      <c r="D1687"/>
      <c r="E1687" t="s">
        <v>1003</v>
      </c>
      <c r="F1687"/>
      <c r="G1687" s="107">
        <v>370272</v>
      </c>
    </row>
    <row r="1688" spans="1:7">
      <c r="A1688" t="s">
        <v>20</v>
      </c>
      <c r="B1688" t="s">
        <v>19</v>
      </c>
      <c r="C1688" t="s">
        <v>214</v>
      </c>
      <c r="D1688"/>
      <c r="E1688" t="s">
        <v>1004</v>
      </c>
      <c r="F1688"/>
      <c r="G1688" s="107">
        <v>0</v>
      </c>
    </row>
    <row r="1689" spans="1:7">
      <c r="A1689" t="s">
        <v>20</v>
      </c>
      <c r="B1689" t="s">
        <v>19</v>
      </c>
      <c r="C1689" t="s">
        <v>236</v>
      </c>
      <c r="D1689"/>
      <c r="E1689" t="s">
        <v>1005</v>
      </c>
      <c r="F1689"/>
      <c r="G1689" s="107">
        <v>30000</v>
      </c>
    </row>
    <row r="1690" spans="1:7">
      <c r="A1690" t="s">
        <v>20</v>
      </c>
      <c r="B1690" t="s">
        <v>19</v>
      </c>
      <c r="C1690" t="s">
        <v>214</v>
      </c>
      <c r="D1690"/>
      <c r="E1690" t="s">
        <v>1006</v>
      </c>
      <c r="F1690"/>
      <c r="G1690" s="107">
        <v>0</v>
      </c>
    </row>
    <row r="1691" spans="1:7">
      <c r="A1691" t="s">
        <v>20</v>
      </c>
      <c r="B1691" t="s">
        <v>19</v>
      </c>
      <c r="C1691" t="s">
        <v>236</v>
      </c>
      <c r="D1691"/>
      <c r="E1691" t="s">
        <v>1007</v>
      </c>
      <c r="F1691"/>
      <c r="G1691" s="107">
        <v>40000</v>
      </c>
    </row>
    <row r="1692" spans="1:7">
      <c r="A1692" t="s">
        <v>20</v>
      </c>
      <c r="B1692" t="s">
        <v>19</v>
      </c>
      <c r="C1692" t="s">
        <v>214</v>
      </c>
      <c r="D1692"/>
      <c r="E1692" t="s">
        <v>1008</v>
      </c>
      <c r="F1692"/>
      <c r="G1692" s="107">
        <v>0</v>
      </c>
    </row>
    <row r="1693" spans="1:7">
      <c r="A1693" t="s">
        <v>20</v>
      </c>
      <c r="B1693" t="s">
        <v>19</v>
      </c>
      <c r="C1693" t="s">
        <v>236</v>
      </c>
      <c r="D1693"/>
      <c r="E1693" t="s">
        <v>1009</v>
      </c>
      <c r="F1693"/>
      <c r="G1693" s="107">
        <v>25000</v>
      </c>
    </row>
    <row r="1694" spans="1:7">
      <c r="A1694" t="s">
        <v>20</v>
      </c>
      <c r="B1694" t="s">
        <v>19</v>
      </c>
      <c r="C1694" t="s">
        <v>214</v>
      </c>
      <c r="D1694"/>
      <c r="E1694" t="s">
        <v>1010</v>
      </c>
      <c r="F1694"/>
      <c r="G1694" s="107">
        <v>0</v>
      </c>
    </row>
    <row r="1695" spans="1:7">
      <c r="A1695" t="s">
        <v>20</v>
      </c>
      <c r="B1695" t="s">
        <v>19</v>
      </c>
      <c r="C1695" t="s">
        <v>236</v>
      </c>
      <c r="D1695"/>
      <c r="E1695" t="s">
        <v>1011</v>
      </c>
      <c r="F1695"/>
      <c r="G1695" s="107">
        <v>45000</v>
      </c>
    </row>
    <row r="1696" spans="1:7">
      <c r="A1696" t="s">
        <v>20</v>
      </c>
      <c r="B1696" t="s">
        <v>19</v>
      </c>
      <c r="C1696" t="s">
        <v>214</v>
      </c>
      <c r="D1696"/>
      <c r="E1696" t="s">
        <v>1012</v>
      </c>
      <c r="F1696"/>
      <c r="G1696" s="107">
        <v>0</v>
      </c>
    </row>
    <row r="1697" spans="1:7">
      <c r="A1697" t="s">
        <v>20</v>
      </c>
      <c r="B1697" t="s">
        <v>19</v>
      </c>
      <c r="C1697" t="s">
        <v>236</v>
      </c>
      <c r="D1697"/>
      <c r="E1697" t="s">
        <v>1013</v>
      </c>
      <c r="F1697"/>
      <c r="G1697" s="107">
        <v>45000</v>
      </c>
    </row>
    <row r="1698" spans="1:7">
      <c r="A1698" t="s">
        <v>20</v>
      </c>
      <c r="B1698" t="s">
        <v>19</v>
      </c>
      <c r="C1698" t="s">
        <v>214</v>
      </c>
      <c r="D1698"/>
      <c r="E1698" t="s">
        <v>1014</v>
      </c>
      <c r="F1698"/>
      <c r="G1698" s="107">
        <v>0</v>
      </c>
    </row>
    <row r="1699" spans="1:7">
      <c r="A1699" t="s">
        <v>20</v>
      </c>
      <c r="B1699" t="s">
        <v>19</v>
      </c>
      <c r="C1699" t="s">
        <v>236</v>
      </c>
      <c r="D1699"/>
      <c r="E1699" t="s">
        <v>1015</v>
      </c>
      <c r="F1699"/>
      <c r="G1699" s="107">
        <v>100000</v>
      </c>
    </row>
    <row r="1700" spans="1:7">
      <c r="A1700" t="s">
        <v>20</v>
      </c>
      <c r="B1700" t="s">
        <v>19</v>
      </c>
      <c r="C1700" t="s">
        <v>214</v>
      </c>
      <c r="D1700"/>
      <c r="E1700" t="s">
        <v>1016</v>
      </c>
      <c r="F1700"/>
      <c r="G1700" s="107">
        <v>0</v>
      </c>
    </row>
    <row r="1701" spans="1:7">
      <c r="A1701" t="s">
        <v>20</v>
      </c>
      <c r="B1701" t="s">
        <v>19</v>
      </c>
      <c r="C1701" t="s">
        <v>236</v>
      </c>
      <c r="D1701"/>
      <c r="E1701" t="s">
        <v>1017</v>
      </c>
      <c r="F1701"/>
      <c r="G1701" s="107">
        <v>150000</v>
      </c>
    </row>
    <row r="1702" spans="1:7">
      <c r="A1702" t="s">
        <v>20</v>
      </c>
      <c r="B1702" t="s">
        <v>19</v>
      </c>
      <c r="C1702" t="s">
        <v>214</v>
      </c>
      <c r="D1702"/>
      <c r="E1702" t="s">
        <v>2795</v>
      </c>
      <c r="F1702"/>
      <c r="G1702" s="107">
        <v>0</v>
      </c>
    </row>
    <row r="1703" spans="1:7">
      <c r="A1703" t="s">
        <v>20</v>
      </c>
      <c r="B1703" t="s">
        <v>19</v>
      </c>
      <c r="C1703" t="s">
        <v>236</v>
      </c>
      <c r="D1703"/>
      <c r="E1703" t="s">
        <v>2796</v>
      </c>
      <c r="F1703"/>
      <c r="G1703" s="107">
        <v>125000</v>
      </c>
    </row>
    <row r="1704" spans="1:7">
      <c r="A1704" t="s">
        <v>20</v>
      </c>
      <c r="B1704" t="s">
        <v>19</v>
      </c>
      <c r="C1704" t="s">
        <v>214</v>
      </c>
      <c r="D1704"/>
      <c r="E1704" t="s">
        <v>2797</v>
      </c>
      <c r="F1704"/>
      <c r="G1704" s="107">
        <v>0</v>
      </c>
    </row>
    <row r="1705" spans="1:7">
      <c r="A1705" t="s">
        <v>20</v>
      </c>
      <c r="B1705" t="s">
        <v>19</v>
      </c>
      <c r="C1705" t="s">
        <v>236</v>
      </c>
      <c r="D1705"/>
      <c r="E1705" t="s">
        <v>2798</v>
      </c>
      <c r="F1705"/>
      <c r="G1705" s="107">
        <v>60000</v>
      </c>
    </row>
    <row r="1706" spans="1:7">
      <c r="A1706" t="s">
        <v>20</v>
      </c>
      <c r="B1706" t="s">
        <v>19</v>
      </c>
      <c r="C1706" t="s">
        <v>214</v>
      </c>
      <c r="D1706"/>
      <c r="E1706" t="s">
        <v>2799</v>
      </c>
      <c r="F1706"/>
      <c r="G1706" s="107">
        <v>0</v>
      </c>
    </row>
    <row r="1707" spans="1:7">
      <c r="A1707" t="s">
        <v>20</v>
      </c>
      <c r="B1707" t="s">
        <v>19</v>
      </c>
      <c r="C1707" t="s">
        <v>236</v>
      </c>
      <c r="D1707"/>
      <c r="E1707" t="s">
        <v>2800</v>
      </c>
      <c r="F1707"/>
      <c r="G1707" s="107">
        <v>30000</v>
      </c>
    </row>
    <row r="1708" spans="1:7">
      <c r="A1708" t="s">
        <v>20</v>
      </c>
      <c r="B1708" t="s">
        <v>19</v>
      </c>
      <c r="C1708" t="s">
        <v>214</v>
      </c>
      <c r="D1708"/>
      <c r="E1708" t="s">
        <v>2801</v>
      </c>
      <c r="F1708"/>
      <c r="G1708" s="107">
        <v>0</v>
      </c>
    </row>
    <row r="1709" spans="1:7">
      <c r="A1709" t="s">
        <v>20</v>
      </c>
      <c r="B1709" t="s">
        <v>19</v>
      </c>
      <c r="C1709" t="s">
        <v>236</v>
      </c>
      <c r="D1709"/>
      <c r="E1709" t="s">
        <v>2802</v>
      </c>
      <c r="F1709"/>
      <c r="G1709" s="107">
        <v>300000</v>
      </c>
    </row>
    <row r="1710" spans="1:7">
      <c r="A1710" t="s">
        <v>20</v>
      </c>
      <c r="B1710" t="s">
        <v>19</v>
      </c>
      <c r="C1710" t="s">
        <v>214</v>
      </c>
      <c r="D1710"/>
      <c r="E1710" t="s">
        <v>2803</v>
      </c>
      <c r="F1710"/>
      <c r="G1710" s="107">
        <v>0</v>
      </c>
    </row>
    <row r="1711" spans="1:7">
      <c r="A1711" t="s">
        <v>20</v>
      </c>
      <c r="B1711" t="s">
        <v>19</v>
      </c>
      <c r="C1711" t="s">
        <v>236</v>
      </c>
      <c r="D1711"/>
      <c r="E1711" t="s">
        <v>2804</v>
      </c>
      <c r="F1711"/>
      <c r="G1711" s="107">
        <v>50000</v>
      </c>
    </row>
    <row r="1712" spans="1:7">
      <c r="A1712" t="s">
        <v>20</v>
      </c>
      <c r="B1712" t="s">
        <v>19</v>
      </c>
      <c r="C1712" t="s">
        <v>214</v>
      </c>
      <c r="D1712"/>
      <c r="E1712" t="s">
        <v>2805</v>
      </c>
      <c r="F1712"/>
      <c r="G1712" s="107">
        <v>0</v>
      </c>
    </row>
    <row r="1713" spans="1:7">
      <c r="A1713" t="s">
        <v>20</v>
      </c>
      <c r="B1713" t="s">
        <v>19</v>
      </c>
      <c r="C1713" t="s">
        <v>236</v>
      </c>
      <c r="D1713"/>
      <c r="E1713" t="s">
        <v>2806</v>
      </c>
      <c r="F1713"/>
      <c r="G1713" s="107">
        <v>25000</v>
      </c>
    </row>
    <row r="1714" spans="1:7">
      <c r="A1714" t="s">
        <v>20</v>
      </c>
      <c r="B1714" t="s">
        <v>19</v>
      </c>
      <c r="C1714" t="s">
        <v>214</v>
      </c>
      <c r="D1714"/>
      <c r="E1714" t="s">
        <v>2807</v>
      </c>
      <c r="F1714"/>
      <c r="G1714" s="107">
        <v>0</v>
      </c>
    </row>
    <row r="1715" spans="1:7">
      <c r="A1715" t="s">
        <v>20</v>
      </c>
      <c r="B1715" t="s">
        <v>19</v>
      </c>
      <c r="C1715" t="s">
        <v>236</v>
      </c>
      <c r="D1715"/>
      <c r="E1715" t="s">
        <v>2808</v>
      </c>
      <c r="F1715"/>
      <c r="G1715" s="107">
        <v>55000</v>
      </c>
    </row>
    <row r="1716" spans="1:7">
      <c r="A1716" t="s">
        <v>20</v>
      </c>
      <c r="B1716" t="s">
        <v>19</v>
      </c>
      <c r="C1716" t="s">
        <v>214</v>
      </c>
      <c r="D1716"/>
      <c r="E1716" t="s">
        <v>2809</v>
      </c>
      <c r="F1716"/>
      <c r="G1716" s="107">
        <v>0</v>
      </c>
    </row>
    <row r="1717" spans="1:7">
      <c r="A1717" t="s">
        <v>20</v>
      </c>
      <c r="B1717" t="s">
        <v>19</v>
      </c>
      <c r="C1717" t="s">
        <v>236</v>
      </c>
      <c r="D1717"/>
      <c r="E1717" t="s">
        <v>2810</v>
      </c>
      <c r="F1717"/>
      <c r="G1717" s="107">
        <v>60000</v>
      </c>
    </row>
    <row r="1718" spans="1:7">
      <c r="A1718" t="s">
        <v>20</v>
      </c>
      <c r="B1718" t="s">
        <v>19</v>
      </c>
      <c r="C1718" t="s">
        <v>214</v>
      </c>
      <c r="D1718"/>
      <c r="E1718" t="s">
        <v>2811</v>
      </c>
      <c r="F1718"/>
      <c r="G1718" s="107">
        <v>0</v>
      </c>
    </row>
    <row r="1719" spans="1:7">
      <c r="A1719" t="s">
        <v>20</v>
      </c>
      <c r="B1719" t="s">
        <v>19</v>
      </c>
      <c r="C1719" t="s">
        <v>236</v>
      </c>
      <c r="D1719"/>
      <c r="E1719" t="s">
        <v>2812</v>
      </c>
      <c r="F1719"/>
      <c r="G1719" s="107">
        <v>56187.5</v>
      </c>
    </row>
    <row r="1720" spans="1:7">
      <c r="A1720" t="s">
        <v>20</v>
      </c>
      <c r="B1720" t="s">
        <v>19</v>
      </c>
      <c r="C1720" t="s">
        <v>214</v>
      </c>
      <c r="D1720"/>
      <c r="E1720" t="s">
        <v>2813</v>
      </c>
      <c r="F1720"/>
      <c r="G1720" s="107">
        <v>0</v>
      </c>
    </row>
    <row r="1721" spans="1:7">
      <c r="A1721" t="s">
        <v>20</v>
      </c>
      <c r="B1721" t="s">
        <v>19</v>
      </c>
      <c r="C1721" t="s">
        <v>236</v>
      </c>
      <c r="D1721"/>
      <c r="E1721" t="s">
        <v>2814</v>
      </c>
      <c r="F1721"/>
      <c r="G1721" s="107">
        <v>15000</v>
      </c>
    </row>
    <row r="1722" spans="1:7">
      <c r="A1722" t="s">
        <v>20</v>
      </c>
      <c r="B1722" t="s">
        <v>19</v>
      </c>
      <c r="C1722" t="s">
        <v>214</v>
      </c>
      <c r="D1722"/>
      <c r="E1722" t="s">
        <v>2815</v>
      </c>
      <c r="F1722"/>
      <c r="G1722" s="107">
        <v>0</v>
      </c>
    </row>
    <row r="1723" spans="1:7">
      <c r="A1723" t="s">
        <v>20</v>
      </c>
      <c r="B1723" t="s">
        <v>19</v>
      </c>
      <c r="C1723" t="s">
        <v>236</v>
      </c>
      <c r="D1723"/>
      <c r="E1723" t="s">
        <v>2816</v>
      </c>
      <c r="F1723"/>
      <c r="G1723" s="107">
        <v>10000</v>
      </c>
    </row>
    <row r="1724" spans="1:7">
      <c r="A1724" t="s">
        <v>20</v>
      </c>
      <c r="B1724" t="s">
        <v>19</v>
      </c>
      <c r="C1724" t="s">
        <v>214</v>
      </c>
      <c r="D1724"/>
      <c r="E1724" t="s">
        <v>2817</v>
      </c>
      <c r="F1724"/>
      <c r="G1724" s="107">
        <v>0</v>
      </c>
    </row>
    <row r="1725" spans="1:7">
      <c r="A1725" t="s">
        <v>20</v>
      </c>
      <c r="B1725" t="s">
        <v>19</v>
      </c>
      <c r="C1725" t="s">
        <v>236</v>
      </c>
      <c r="D1725"/>
      <c r="E1725" t="s">
        <v>2818</v>
      </c>
      <c r="F1725"/>
      <c r="G1725" s="107">
        <v>30000</v>
      </c>
    </row>
    <row r="1726" spans="1:7">
      <c r="A1726" t="s">
        <v>20</v>
      </c>
      <c r="B1726" t="s">
        <v>19</v>
      </c>
      <c r="C1726" t="s">
        <v>214</v>
      </c>
      <c r="D1726"/>
      <c r="E1726" t="s">
        <v>2819</v>
      </c>
      <c r="F1726"/>
      <c r="G1726" s="107">
        <v>0</v>
      </c>
    </row>
    <row r="1727" spans="1:7">
      <c r="A1727" t="s">
        <v>20</v>
      </c>
      <c r="B1727" t="s">
        <v>19</v>
      </c>
      <c r="C1727" t="s">
        <v>236</v>
      </c>
      <c r="D1727"/>
      <c r="E1727" t="s">
        <v>2820</v>
      </c>
      <c r="F1727"/>
      <c r="G1727" s="107">
        <v>5000</v>
      </c>
    </row>
    <row r="1728" spans="1:7">
      <c r="A1728" t="s">
        <v>20</v>
      </c>
      <c r="B1728" t="s">
        <v>19</v>
      </c>
      <c r="C1728" t="s">
        <v>214</v>
      </c>
      <c r="D1728"/>
      <c r="E1728" t="s">
        <v>2821</v>
      </c>
      <c r="F1728"/>
      <c r="G1728" s="107">
        <v>0</v>
      </c>
    </row>
    <row r="1729" spans="1:7">
      <c r="A1729" t="s">
        <v>20</v>
      </c>
      <c r="B1729" t="s">
        <v>19</v>
      </c>
      <c r="C1729" t="s">
        <v>227</v>
      </c>
      <c r="D1729"/>
      <c r="E1729" t="s">
        <v>2822</v>
      </c>
      <c r="F1729"/>
      <c r="G1729" s="107">
        <v>2701500</v>
      </c>
    </row>
    <row r="1730" spans="1:7">
      <c r="A1730" t="s">
        <v>20</v>
      </c>
      <c r="B1730" t="s">
        <v>19</v>
      </c>
      <c r="C1730" t="s">
        <v>214</v>
      </c>
      <c r="D1730"/>
      <c r="E1730" t="s">
        <v>2823</v>
      </c>
      <c r="F1730"/>
      <c r="G1730" s="107">
        <v>0</v>
      </c>
    </row>
    <row r="1731" spans="1:7">
      <c r="A1731" t="s">
        <v>20</v>
      </c>
      <c r="B1731" t="s">
        <v>19</v>
      </c>
      <c r="C1731" t="s">
        <v>236</v>
      </c>
      <c r="D1731"/>
      <c r="E1731" t="s">
        <v>2824</v>
      </c>
      <c r="F1731"/>
      <c r="G1731" s="107">
        <v>147000</v>
      </c>
    </row>
    <row r="1732" spans="1:7">
      <c r="A1732" t="s">
        <v>20</v>
      </c>
      <c r="B1732" t="s">
        <v>19</v>
      </c>
      <c r="C1732" t="s">
        <v>236</v>
      </c>
      <c r="D1732"/>
      <c r="E1732" t="s">
        <v>2825</v>
      </c>
      <c r="F1732"/>
      <c r="G1732" s="107">
        <v>147000</v>
      </c>
    </row>
    <row r="1733" spans="1:7">
      <c r="A1733" t="s">
        <v>20</v>
      </c>
      <c r="B1733" t="s">
        <v>19</v>
      </c>
      <c r="C1733" t="s">
        <v>1419</v>
      </c>
      <c r="D1733"/>
      <c r="E1733" t="s">
        <v>2826</v>
      </c>
      <c r="F1733"/>
      <c r="G1733" s="107">
        <v>42000</v>
      </c>
    </row>
    <row r="1734" spans="1:7">
      <c r="A1734" t="s">
        <v>20</v>
      </c>
      <c r="B1734" t="s">
        <v>19</v>
      </c>
      <c r="C1734" t="s">
        <v>1419</v>
      </c>
      <c r="D1734"/>
      <c r="E1734" t="s">
        <v>2827</v>
      </c>
      <c r="F1734"/>
      <c r="G1734" s="107">
        <v>42000</v>
      </c>
    </row>
    <row r="1735" spans="1:7">
      <c r="A1735" t="s">
        <v>20</v>
      </c>
      <c r="B1735" t="s">
        <v>19</v>
      </c>
      <c r="C1735" t="s">
        <v>214</v>
      </c>
      <c r="D1735"/>
      <c r="E1735" t="s">
        <v>2828</v>
      </c>
      <c r="F1735"/>
      <c r="G1735" s="107">
        <v>0</v>
      </c>
    </row>
    <row r="1736" spans="1:7">
      <c r="A1736" t="s">
        <v>20</v>
      </c>
      <c r="B1736" t="s">
        <v>19</v>
      </c>
      <c r="C1736" t="s">
        <v>236</v>
      </c>
      <c r="D1736"/>
      <c r="E1736" t="s">
        <v>2829</v>
      </c>
      <c r="F1736"/>
      <c r="G1736" s="107">
        <v>50000</v>
      </c>
    </row>
    <row r="1737" spans="1:7">
      <c r="A1737" t="s">
        <v>20</v>
      </c>
      <c r="B1737" t="s">
        <v>19</v>
      </c>
      <c r="C1737" t="s">
        <v>1419</v>
      </c>
      <c r="D1737"/>
      <c r="E1737" t="s">
        <v>2830</v>
      </c>
      <c r="F1737"/>
      <c r="G1737" s="107">
        <v>50000</v>
      </c>
    </row>
    <row r="1738" spans="1:7">
      <c r="A1738" s="128" t="s">
        <v>20</v>
      </c>
      <c r="B1738" s="128" t="s">
        <v>2117</v>
      </c>
      <c r="C1738" s="128"/>
      <c r="D1738" s="128"/>
      <c r="E1738" s="128" t="s">
        <v>1856</v>
      </c>
      <c r="F1738" s="128"/>
      <c r="G1738" s="129">
        <v>112000</v>
      </c>
    </row>
    <row r="1739" spans="1:7">
      <c r="A1739" t="s">
        <v>20</v>
      </c>
      <c r="B1739" t="s">
        <v>19</v>
      </c>
      <c r="C1739" t="s">
        <v>214</v>
      </c>
      <c r="D1739"/>
      <c r="E1739" t="s">
        <v>1857</v>
      </c>
      <c r="F1739"/>
      <c r="G1739" s="107">
        <v>0</v>
      </c>
    </row>
    <row r="1740" spans="1:7">
      <c r="A1740" t="s">
        <v>20</v>
      </c>
      <c r="B1740" t="s">
        <v>19</v>
      </c>
      <c r="C1740" t="s">
        <v>234</v>
      </c>
      <c r="D1740"/>
      <c r="E1740" t="s">
        <v>1858</v>
      </c>
      <c r="F1740"/>
      <c r="G1740" s="107">
        <v>3000</v>
      </c>
    </row>
    <row r="1741" spans="1:7">
      <c r="A1741" t="s">
        <v>20</v>
      </c>
      <c r="B1741" t="s">
        <v>19</v>
      </c>
      <c r="C1741" t="s">
        <v>236</v>
      </c>
      <c r="D1741"/>
      <c r="E1741" t="s">
        <v>1859</v>
      </c>
      <c r="F1741"/>
      <c r="G1741" s="107">
        <v>70000</v>
      </c>
    </row>
    <row r="1742" spans="1:7">
      <c r="A1742" t="s">
        <v>20</v>
      </c>
      <c r="B1742" t="s">
        <v>19</v>
      </c>
      <c r="C1742" t="s">
        <v>238</v>
      </c>
      <c r="D1742"/>
      <c r="E1742" t="s">
        <v>1860</v>
      </c>
      <c r="F1742"/>
      <c r="G1742" s="107">
        <v>0</v>
      </c>
    </row>
    <row r="1743" spans="1:7">
      <c r="A1743" t="s">
        <v>20</v>
      </c>
      <c r="B1743" t="s">
        <v>19</v>
      </c>
      <c r="C1743" t="s">
        <v>214</v>
      </c>
      <c r="D1743"/>
      <c r="E1743" t="s">
        <v>1861</v>
      </c>
      <c r="F1743"/>
      <c r="G1743" s="107">
        <v>0</v>
      </c>
    </row>
    <row r="1744" spans="1:7">
      <c r="A1744" t="s">
        <v>20</v>
      </c>
      <c r="B1744" t="s">
        <v>19</v>
      </c>
      <c r="C1744" t="s">
        <v>1419</v>
      </c>
      <c r="D1744"/>
      <c r="E1744" t="s">
        <v>1862</v>
      </c>
      <c r="F1744"/>
      <c r="G1744" s="107">
        <v>3000</v>
      </c>
    </row>
    <row r="1745" spans="1:7">
      <c r="A1745" t="s">
        <v>20</v>
      </c>
      <c r="B1745" t="s">
        <v>19</v>
      </c>
      <c r="C1745" t="s">
        <v>1419</v>
      </c>
      <c r="D1745"/>
      <c r="E1745" t="s">
        <v>1863</v>
      </c>
      <c r="F1745"/>
      <c r="G1745" s="107">
        <v>20000</v>
      </c>
    </row>
    <row r="1746" spans="1:7">
      <c r="A1746" t="s">
        <v>20</v>
      </c>
      <c r="B1746" t="s">
        <v>19</v>
      </c>
      <c r="C1746" t="s">
        <v>1419</v>
      </c>
      <c r="D1746"/>
      <c r="E1746" t="s">
        <v>2831</v>
      </c>
      <c r="F1746"/>
      <c r="G1746" s="107">
        <v>0</v>
      </c>
    </row>
    <row r="1747" spans="1:7">
      <c r="A1747" t="s">
        <v>20</v>
      </c>
      <c r="B1747" t="s">
        <v>19</v>
      </c>
      <c r="C1747" t="s">
        <v>214</v>
      </c>
      <c r="D1747"/>
      <c r="E1747" t="s">
        <v>2832</v>
      </c>
      <c r="F1747"/>
      <c r="G1747" s="107">
        <v>0</v>
      </c>
    </row>
    <row r="1748" spans="1:7">
      <c r="A1748" t="s">
        <v>20</v>
      </c>
      <c r="B1748" t="s">
        <v>19</v>
      </c>
      <c r="C1748" t="s">
        <v>227</v>
      </c>
      <c r="D1748"/>
      <c r="E1748" t="s">
        <v>2833</v>
      </c>
      <c r="F1748"/>
      <c r="G1748" s="107">
        <v>16000</v>
      </c>
    </row>
    <row r="1749" spans="1:7">
      <c r="A1749" s="128" t="s">
        <v>20</v>
      </c>
      <c r="B1749" s="128" t="s">
        <v>2117</v>
      </c>
      <c r="C1749" s="128"/>
      <c r="D1749" s="128"/>
      <c r="E1749" s="128" t="s">
        <v>1864</v>
      </c>
      <c r="F1749" s="128"/>
      <c r="G1749" s="129">
        <v>807280</v>
      </c>
    </row>
    <row r="1750" spans="1:7">
      <c r="A1750" t="s">
        <v>20</v>
      </c>
      <c r="B1750" t="s">
        <v>19</v>
      </c>
      <c r="C1750" t="s">
        <v>214</v>
      </c>
      <c r="D1750"/>
      <c r="E1750" t="s">
        <v>1865</v>
      </c>
      <c r="F1750"/>
      <c r="G1750" s="107">
        <v>0</v>
      </c>
    </row>
    <row r="1751" spans="1:7">
      <c r="A1751" t="s">
        <v>20</v>
      </c>
      <c r="B1751" t="s">
        <v>19</v>
      </c>
      <c r="C1751" t="s">
        <v>214</v>
      </c>
      <c r="D1751"/>
      <c r="E1751" t="s">
        <v>1866</v>
      </c>
      <c r="F1751"/>
      <c r="G1751" s="107">
        <v>0</v>
      </c>
    </row>
    <row r="1752" spans="1:7">
      <c r="A1752" t="s">
        <v>20</v>
      </c>
      <c r="B1752" t="s">
        <v>19</v>
      </c>
      <c r="C1752" t="s">
        <v>234</v>
      </c>
      <c r="D1752"/>
      <c r="E1752" t="s">
        <v>1867</v>
      </c>
      <c r="F1752"/>
      <c r="G1752" s="107">
        <v>51840</v>
      </c>
    </row>
    <row r="1753" spans="1:7">
      <c r="A1753" t="s">
        <v>20</v>
      </c>
      <c r="B1753" t="s">
        <v>19</v>
      </c>
      <c r="C1753" t="s">
        <v>236</v>
      </c>
      <c r="D1753"/>
      <c r="E1753" t="s">
        <v>1868</v>
      </c>
      <c r="F1753"/>
      <c r="G1753" s="107">
        <v>175000</v>
      </c>
    </row>
    <row r="1754" spans="1:7">
      <c r="A1754" t="s">
        <v>20</v>
      </c>
      <c r="B1754" t="s">
        <v>19</v>
      </c>
      <c r="C1754" t="s">
        <v>238</v>
      </c>
      <c r="D1754"/>
      <c r="E1754" t="s">
        <v>1869</v>
      </c>
      <c r="F1754"/>
      <c r="G1754" s="107">
        <v>45000</v>
      </c>
    </row>
    <row r="1755" spans="1:7">
      <c r="A1755" t="s">
        <v>20</v>
      </c>
      <c r="B1755" t="s">
        <v>19</v>
      </c>
      <c r="C1755" t="s">
        <v>214</v>
      </c>
      <c r="D1755"/>
      <c r="E1755" t="s">
        <v>1870</v>
      </c>
      <c r="F1755"/>
      <c r="G1755" s="107">
        <v>0</v>
      </c>
    </row>
    <row r="1756" spans="1:7">
      <c r="A1756" t="s">
        <v>20</v>
      </c>
      <c r="B1756" t="s">
        <v>19</v>
      </c>
      <c r="C1756" t="s">
        <v>236</v>
      </c>
      <c r="D1756"/>
      <c r="E1756" t="s">
        <v>1871</v>
      </c>
      <c r="F1756"/>
      <c r="G1756" s="107">
        <v>5880</v>
      </c>
    </row>
    <row r="1757" spans="1:7">
      <c r="A1757" t="s">
        <v>20</v>
      </c>
      <c r="B1757" t="s">
        <v>19</v>
      </c>
      <c r="C1757" t="s">
        <v>214</v>
      </c>
      <c r="D1757"/>
      <c r="E1757" t="s">
        <v>1872</v>
      </c>
      <c r="F1757"/>
      <c r="G1757" s="107">
        <v>0</v>
      </c>
    </row>
    <row r="1758" spans="1:7">
      <c r="A1758" t="s">
        <v>20</v>
      </c>
      <c r="B1758" t="s">
        <v>19</v>
      </c>
      <c r="C1758" t="s">
        <v>234</v>
      </c>
      <c r="D1758"/>
      <c r="E1758" t="s">
        <v>1873</v>
      </c>
      <c r="F1758"/>
      <c r="G1758" s="107">
        <v>6480</v>
      </c>
    </row>
    <row r="1759" spans="1:7">
      <c r="A1759" t="s">
        <v>20</v>
      </c>
      <c r="B1759" t="s">
        <v>19</v>
      </c>
      <c r="C1759" t="s">
        <v>236</v>
      </c>
      <c r="D1759"/>
      <c r="E1759" t="s">
        <v>1874</v>
      </c>
      <c r="F1759"/>
      <c r="G1759" s="107">
        <v>5880</v>
      </c>
    </row>
    <row r="1760" spans="1:7">
      <c r="A1760" t="s">
        <v>20</v>
      </c>
      <c r="B1760" t="s">
        <v>19</v>
      </c>
      <c r="C1760" t="s">
        <v>214</v>
      </c>
      <c r="D1760"/>
      <c r="E1760" t="s">
        <v>1875</v>
      </c>
      <c r="F1760"/>
      <c r="G1760" s="107">
        <v>0</v>
      </c>
    </row>
    <row r="1761" spans="1:9">
      <c r="A1761" t="s">
        <v>20</v>
      </c>
      <c r="B1761" t="s">
        <v>19</v>
      </c>
      <c r="C1761" t="s">
        <v>236</v>
      </c>
      <c r="D1761"/>
      <c r="E1761" t="s">
        <v>1876</v>
      </c>
      <c r="F1761"/>
      <c r="G1761" s="107">
        <v>11760</v>
      </c>
    </row>
    <row r="1762" spans="1:9">
      <c r="A1762" t="s">
        <v>20</v>
      </c>
      <c r="B1762" t="s">
        <v>19</v>
      </c>
      <c r="C1762" t="s">
        <v>214</v>
      </c>
      <c r="D1762"/>
      <c r="E1762" t="s">
        <v>2834</v>
      </c>
      <c r="F1762"/>
      <c r="G1762" s="107">
        <v>0</v>
      </c>
    </row>
    <row r="1763" spans="1:9">
      <c r="A1763" t="s">
        <v>20</v>
      </c>
      <c r="B1763" t="s">
        <v>19</v>
      </c>
      <c r="C1763" t="s">
        <v>234</v>
      </c>
      <c r="D1763"/>
      <c r="E1763" t="s">
        <v>2835</v>
      </c>
      <c r="F1763"/>
      <c r="G1763" s="107">
        <v>32400</v>
      </c>
    </row>
    <row r="1764" spans="1:9">
      <c r="A1764" t="s">
        <v>20</v>
      </c>
      <c r="B1764" t="s">
        <v>19</v>
      </c>
      <c r="C1764" t="s">
        <v>236</v>
      </c>
      <c r="D1764"/>
      <c r="E1764" t="s">
        <v>2836</v>
      </c>
      <c r="F1764"/>
      <c r="G1764" s="107">
        <v>287280</v>
      </c>
    </row>
    <row r="1765" spans="1:9">
      <c r="A1765" t="s">
        <v>20</v>
      </c>
      <c r="B1765" t="s">
        <v>19</v>
      </c>
      <c r="C1765" t="s">
        <v>214</v>
      </c>
      <c r="D1765"/>
      <c r="E1765" t="s">
        <v>2837</v>
      </c>
      <c r="F1765"/>
      <c r="G1765" s="107">
        <v>0</v>
      </c>
    </row>
    <row r="1766" spans="1:9">
      <c r="A1766" t="s">
        <v>20</v>
      </c>
      <c r="B1766" t="s">
        <v>19</v>
      </c>
      <c r="C1766" t="s">
        <v>1419</v>
      </c>
      <c r="D1766"/>
      <c r="E1766" t="s">
        <v>2838</v>
      </c>
      <c r="F1766"/>
      <c r="G1766" s="107">
        <v>38880</v>
      </c>
    </row>
    <row r="1767" spans="1:9">
      <c r="A1767" t="s">
        <v>20</v>
      </c>
      <c r="B1767" t="s">
        <v>19</v>
      </c>
      <c r="C1767" t="s">
        <v>214</v>
      </c>
      <c r="D1767"/>
      <c r="E1767" t="s">
        <v>2839</v>
      </c>
      <c r="F1767"/>
      <c r="G1767" s="107">
        <v>0</v>
      </c>
    </row>
    <row r="1768" spans="1:9">
      <c r="A1768" t="s">
        <v>20</v>
      </c>
      <c r="B1768" t="s">
        <v>19</v>
      </c>
      <c r="C1768" t="s">
        <v>234</v>
      </c>
      <c r="D1768"/>
      <c r="E1768" t="s">
        <v>2840</v>
      </c>
      <c r="F1768"/>
      <c r="G1768" s="107">
        <v>16200</v>
      </c>
    </row>
    <row r="1769" spans="1:9">
      <c r="A1769" t="s">
        <v>20</v>
      </c>
      <c r="B1769" t="s">
        <v>19</v>
      </c>
      <c r="C1769" t="s">
        <v>236</v>
      </c>
      <c r="D1769"/>
      <c r="E1769" t="s">
        <v>2841</v>
      </c>
      <c r="F1769"/>
      <c r="G1769" s="107">
        <v>113400</v>
      </c>
    </row>
    <row r="1770" spans="1:9">
      <c r="A1770" t="s">
        <v>20</v>
      </c>
      <c r="B1770" t="s">
        <v>19</v>
      </c>
      <c r="C1770" t="s">
        <v>214</v>
      </c>
      <c r="D1770"/>
      <c r="E1770" t="s">
        <v>2842</v>
      </c>
      <c r="F1770"/>
      <c r="G1770" s="107">
        <v>0</v>
      </c>
    </row>
    <row r="1771" spans="1:9">
      <c r="A1771" t="s">
        <v>20</v>
      </c>
      <c r="B1771" t="s">
        <v>19</v>
      </c>
      <c r="C1771" t="s">
        <v>1419</v>
      </c>
      <c r="D1771"/>
      <c r="E1771" t="s">
        <v>2843</v>
      </c>
      <c r="F1771"/>
      <c r="G1771" s="107">
        <v>17280</v>
      </c>
    </row>
    <row r="1772" spans="1:9">
      <c r="A1772" t="s">
        <v>20</v>
      </c>
      <c r="B1772" t="s">
        <v>19</v>
      </c>
      <c r="C1772" t="s">
        <v>1419</v>
      </c>
      <c r="D1772"/>
      <c r="E1772" t="s">
        <v>3416</v>
      </c>
      <c r="F1772"/>
      <c r="G1772" s="107"/>
      <c r="H1772" s="6">
        <v>1920</v>
      </c>
      <c r="I1772" t="s">
        <v>3403</v>
      </c>
    </row>
    <row r="1773" spans="1:9">
      <c r="A1773" s="128" t="s">
        <v>20</v>
      </c>
      <c r="B1773" s="128" t="s">
        <v>2117</v>
      </c>
      <c r="C1773" s="128"/>
      <c r="D1773" s="128"/>
      <c r="E1773" s="128" t="s">
        <v>2844</v>
      </c>
      <c r="F1773" s="128"/>
      <c r="G1773" s="129">
        <v>80000</v>
      </c>
    </row>
    <row r="1774" spans="1:9">
      <c r="A1774" t="s">
        <v>20</v>
      </c>
      <c r="B1774" t="s">
        <v>19</v>
      </c>
      <c r="C1774" t="s">
        <v>214</v>
      </c>
      <c r="D1774"/>
      <c r="E1774" t="s">
        <v>2845</v>
      </c>
      <c r="F1774"/>
      <c r="G1774" s="107">
        <v>0</v>
      </c>
    </row>
    <row r="1775" spans="1:9">
      <c r="A1775" t="s">
        <v>20</v>
      </c>
      <c r="B1775" t="s">
        <v>19</v>
      </c>
      <c r="C1775" t="s">
        <v>236</v>
      </c>
      <c r="D1775"/>
      <c r="E1775" t="s">
        <v>2846</v>
      </c>
      <c r="F1775"/>
      <c r="G1775" s="107">
        <v>52500</v>
      </c>
    </row>
    <row r="1776" spans="1:9">
      <c r="A1776" t="s">
        <v>20</v>
      </c>
      <c r="B1776" t="s">
        <v>19</v>
      </c>
      <c r="C1776" t="s">
        <v>214</v>
      </c>
      <c r="D1776"/>
      <c r="E1776" t="s">
        <v>2847</v>
      </c>
      <c r="F1776"/>
      <c r="G1776" s="107">
        <v>0</v>
      </c>
    </row>
    <row r="1777" spans="1:7">
      <c r="A1777" t="s">
        <v>20</v>
      </c>
      <c r="B1777" t="s">
        <v>19</v>
      </c>
      <c r="C1777" t="s">
        <v>1419</v>
      </c>
      <c r="D1777"/>
      <c r="E1777" t="s">
        <v>2848</v>
      </c>
      <c r="F1777"/>
      <c r="G1777" s="107">
        <v>15000</v>
      </c>
    </row>
    <row r="1778" spans="1:7">
      <c r="A1778" t="s">
        <v>20</v>
      </c>
      <c r="B1778" t="s">
        <v>19</v>
      </c>
      <c r="C1778" t="s">
        <v>214</v>
      </c>
      <c r="D1778"/>
      <c r="E1778" t="s">
        <v>2849</v>
      </c>
      <c r="F1778"/>
      <c r="G1778" s="107">
        <v>0</v>
      </c>
    </row>
    <row r="1779" spans="1:7">
      <c r="A1779" t="s">
        <v>20</v>
      </c>
      <c r="B1779" t="s">
        <v>19</v>
      </c>
      <c r="C1779" t="s">
        <v>236</v>
      </c>
      <c r="D1779"/>
      <c r="E1779" t="s">
        <v>2850</v>
      </c>
      <c r="F1779"/>
      <c r="G1779" s="107">
        <v>12500</v>
      </c>
    </row>
    <row r="1780" spans="1:7">
      <c r="A1780" s="128" t="s">
        <v>20</v>
      </c>
      <c r="B1780" s="128" t="s">
        <v>2117</v>
      </c>
      <c r="C1780" s="128"/>
      <c r="D1780" s="128"/>
      <c r="E1780" s="128" t="s">
        <v>1018</v>
      </c>
      <c r="F1780" s="128"/>
      <c r="G1780" s="129">
        <v>60000</v>
      </c>
    </row>
    <row r="1781" spans="1:7">
      <c r="A1781" t="s">
        <v>20</v>
      </c>
      <c r="B1781" t="s">
        <v>19</v>
      </c>
      <c r="C1781" t="s">
        <v>214</v>
      </c>
      <c r="D1781"/>
      <c r="E1781" t="s">
        <v>1019</v>
      </c>
      <c r="F1781"/>
      <c r="G1781" s="107">
        <v>0</v>
      </c>
    </row>
    <row r="1782" spans="1:7">
      <c r="A1782" t="s">
        <v>20</v>
      </c>
      <c r="B1782" t="s">
        <v>19</v>
      </c>
      <c r="C1782" t="s">
        <v>236</v>
      </c>
      <c r="D1782"/>
      <c r="E1782" t="s">
        <v>2851</v>
      </c>
      <c r="F1782"/>
      <c r="G1782" s="107">
        <v>60000</v>
      </c>
    </row>
    <row r="1783" spans="1:7">
      <c r="A1783" s="128" t="s">
        <v>20</v>
      </c>
      <c r="B1783" s="128" t="s">
        <v>2117</v>
      </c>
      <c r="C1783" s="128"/>
      <c r="D1783" s="128"/>
      <c r="E1783" s="128" t="s">
        <v>1020</v>
      </c>
      <c r="F1783" s="128"/>
      <c r="G1783" s="129">
        <v>400000</v>
      </c>
    </row>
    <row r="1784" spans="1:7">
      <c r="A1784" t="s">
        <v>20</v>
      </c>
      <c r="B1784" t="s">
        <v>19</v>
      </c>
      <c r="C1784" t="s">
        <v>214</v>
      </c>
      <c r="D1784"/>
      <c r="E1784" t="s">
        <v>1021</v>
      </c>
      <c r="F1784"/>
      <c r="G1784" s="107">
        <v>0</v>
      </c>
    </row>
    <row r="1785" spans="1:7">
      <c r="A1785" t="s">
        <v>20</v>
      </c>
      <c r="B1785" t="s">
        <v>19</v>
      </c>
      <c r="C1785" t="s">
        <v>227</v>
      </c>
      <c r="D1785"/>
      <c r="E1785" t="s">
        <v>2852</v>
      </c>
      <c r="F1785"/>
      <c r="G1785" s="107">
        <v>400000</v>
      </c>
    </row>
    <row r="1786" spans="1:7">
      <c r="A1786" s="163" t="s">
        <v>20</v>
      </c>
      <c r="B1786" s="163" t="s">
        <v>8</v>
      </c>
      <c r="C1786" s="163"/>
      <c r="D1786" s="163"/>
      <c r="E1786" s="163" t="s">
        <v>1022</v>
      </c>
      <c r="F1786" s="163"/>
      <c r="G1786" s="164">
        <v>281000</v>
      </c>
    </row>
    <row r="1787" spans="1:7">
      <c r="A1787" s="128" t="s">
        <v>20</v>
      </c>
      <c r="B1787" s="128" t="s">
        <v>2117</v>
      </c>
      <c r="C1787" s="128"/>
      <c r="D1787" s="128"/>
      <c r="E1787" s="128" t="s">
        <v>1877</v>
      </c>
      <c r="F1787" s="128"/>
      <c r="G1787" s="129">
        <v>281000</v>
      </c>
    </row>
    <row r="1788" spans="1:7">
      <c r="A1788" t="s">
        <v>20</v>
      </c>
      <c r="B1788" t="s">
        <v>19</v>
      </c>
      <c r="C1788" t="s">
        <v>214</v>
      </c>
      <c r="D1788"/>
      <c r="E1788" t="s">
        <v>1878</v>
      </c>
      <c r="F1788"/>
      <c r="G1788" s="107">
        <v>0</v>
      </c>
    </row>
    <row r="1789" spans="1:7">
      <c r="A1789" t="s">
        <v>20</v>
      </c>
      <c r="B1789" t="s">
        <v>19</v>
      </c>
      <c r="C1789" t="s">
        <v>236</v>
      </c>
      <c r="D1789"/>
      <c r="E1789" t="s">
        <v>2853</v>
      </c>
      <c r="F1789"/>
      <c r="G1789" s="107">
        <v>120000</v>
      </c>
    </row>
    <row r="1790" spans="1:7">
      <c r="A1790" t="s">
        <v>20</v>
      </c>
      <c r="B1790" t="s">
        <v>19</v>
      </c>
      <c r="C1790" t="s">
        <v>236</v>
      </c>
      <c r="D1790"/>
      <c r="E1790" t="s">
        <v>2854</v>
      </c>
      <c r="F1790"/>
      <c r="G1790" s="107">
        <v>161000</v>
      </c>
    </row>
    <row r="1791" spans="1:7">
      <c r="A1791" s="163" t="s">
        <v>20</v>
      </c>
      <c r="B1791" s="163" t="s">
        <v>8</v>
      </c>
      <c r="C1791" s="163"/>
      <c r="D1791" s="163"/>
      <c r="E1791" s="163" t="s">
        <v>1023</v>
      </c>
      <c r="F1791" s="163"/>
      <c r="G1791" s="164">
        <v>7591103</v>
      </c>
    </row>
    <row r="1792" spans="1:7">
      <c r="A1792" s="128" t="s">
        <v>20</v>
      </c>
      <c r="B1792" s="128" t="s">
        <v>2117</v>
      </c>
      <c r="C1792" s="128"/>
      <c r="D1792" s="128"/>
      <c r="E1792" s="128" t="s">
        <v>1024</v>
      </c>
      <c r="F1792" s="128"/>
      <c r="G1792" s="129">
        <v>128000</v>
      </c>
    </row>
    <row r="1793" spans="1:9">
      <c r="A1793" t="s">
        <v>20</v>
      </c>
      <c r="B1793" t="s">
        <v>19</v>
      </c>
      <c r="C1793" t="s">
        <v>214</v>
      </c>
      <c r="D1793"/>
      <c r="E1793" t="s">
        <v>1025</v>
      </c>
      <c r="F1793"/>
      <c r="G1793" s="107">
        <v>0</v>
      </c>
    </row>
    <row r="1794" spans="1:9">
      <c r="A1794" t="s">
        <v>20</v>
      </c>
      <c r="B1794" t="s">
        <v>19</v>
      </c>
      <c r="C1794" t="s">
        <v>234</v>
      </c>
      <c r="D1794"/>
      <c r="E1794" t="s">
        <v>1026</v>
      </c>
      <c r="F1794"/>
      <c r="G1794" s="107">
        <v>24000</v>
      </c>
    </row>
    <row r="1795" spans="1:9">
      <c r="A1795" t="s">
        <v>20</v>
      </c>
      <c r="B1795" t="s">
        <v>19</v>
      </c>
      <c r="C1795" t="s">
        <v>236</v>
      </c>
      <c r="D1795"/>
      <c r="E1795" t="s">
        <v>1027</v>
      </c>
      <c r="F1795"/>
      <c r="G1795" s="107">
        <v>56000</v>
      </c>
    </row>
    <row r="1796" spans="1:9">
      <c r="A1796" t="s">
        <v>20</v>
      </c>
      <c r="B1796" t="s">
        <v>19</v>
      </c>
      <c r="C1796" t="s">
        <v>238</v>
      </c>
      <c r="D1796"/>
      <c r="E1796" t="s">
        <v>1028</v>
      </c>
      <c r="F1796"/>
      <c r="G1796" s="107">
        <v>16000</v>
      </c>
    </row>
    <row r="1797" spans="1:9">
      <c r="A1797" t="s">
        <v>20</v>
      </c>
      <c r="B1797" t="s">
        <v>19</v>
      </c>
      <c r="C1797" t="s">
        <v>214</v>
      </c>
      <c r="D1797"/>
      <c r="E1797" t="s">
        <v>1029</v>
      </c>
      <c r="F1797"/>
      <c r="G1797" s="107">
        <v>0</v>
      </c>
    </row>
    <row r="1798" spans="1:9">
      <c r="A1798" t="s">
        <v>20</v>
      </c>
      <c r="B1798" t="s">
        <v>19</v>
      </c>
      <c r="C1798" t="s">
        <v>1419</v>
      </c>
      <c r="D1798"/>
      <c r="E1798" t="s">
        <v>2855</v>
      </c>
      <c r="F1798"/>
      <c r="G1798" s="107">
        <v>8000</v>
      </c>
    </row>
    <row r="1799" spans="1:9">
      <c r="A1799" t="s">
        <v>20</v>
      </c>
      <c r="B1799" t="s">
        <v>19</v>
      </c>
      <c r="C1799" t="s">
        <v>1419</v>
      </c>
      <c r="D1799"/>
      <c r="E1799" t="s">
        <v>2856</v>
      </c>
      <c r="F1799"/>
      <c r="G1799" s="107">
        <v>16000</v>
      </c>
    </row>
    <row r="1800" spans="1:9">
      <c r="A1800" t="s">
        <v>20</v>
      </c>
      <c r="B1800" t="s">
        <v>19</v>
      </c>
      <c r="C1800" t="s">
        <v>1419</v>
      </c>
      <c r="D1800"/>
      <c r="E1800" t="s">
        <v>2857</v>
      </c>
      <c r="F1800"/>
      <c r="G1800" s="107">
        <v>8000</v>
      </c>
    </row>
    <row r="1801" spans="1:9">
      <c r="A1801" s="128" t="s">
        <v>20</v>
      </c>
      <c r="B1801" s="128" t="s">
        <v>2117</v>
      </c>
      <c r="C1801" s="128"/>
      <c r="D1801" s="128"/>
      <c r="E1801" s="128" t="s">
        <v>2858</v>
      </c>
      <c r="F1801" s="128"/>
      <c r="G1801" s="129">
        <v>235000</v>
      </c>
    </row>
    <row r="1802" spans="1:9">
      <c r="A1802" t="s">
        <v>20</v>
      </c>
      <c r="B1802" t="s">
        <v>19</v>
      </c>
      <c r="C1802" t="s">
        <v>214</v>
      </c>
      <c r="D1802"/>
      <c r="E1802" t="s">
        <v>2859</v>
      </c>
      <c r="F1802"/>
      <c r="G1802" s="107">
        <v>0</v>
      </c>
    </row>
    <row r="1803" spans="1:9">
      <c r="A1803" t="s">
        <v>20</v>
      </c>
      <c r="B1803" t="s">
        <v>19</v>
      </c>
      <c r="C1803" t="s">
        <v>236</v>
      </c>
      <c r="D1803"/>
      <c r="E1803" t="s">
        <v>2860</v>
      </c>
      <c r="F1803"/>
      <c r="G1803" s="107">
        <v>145000</v>
      </c>
    </row>
    <row r="1804" spans="1:9">
      <c r="A1804" t="s">
        <v>20</v>
      </c>
      <c r="B1804" t="s">
        <v>19</v>
      </c>
      <c r="C1804" t="s">
        <v>1419</v>
      </c>
      <c r="D1804"/>
      <c r="E1804" t="s">
        <v>2861</v>
      </c>
      <c r="F1804"/>
      <c r="G1804" s="107">
        <v>90000</v>
      </c>
    </row>
    <row r="1805" spans="1:9">
      <c r="A1805" t="s">
        <v>20</v>
      </c>
      <c r="B1805" t="s">
        <v>19</v>
      </c>
      <c r="C1805" t="s">
        <v>1419</v>
      </c>
      <c r="D1805"/>
      <c r="E1805" t="s">
        <v>3415</v>
      </c>
      <c r="F1805"/>
      <c r="G1805" s="107"/>
      <c r="H1805" s="6">
        <f>1080+1135.54</f>
        <v>2215.54</v>
      </c>
      <c r="I1805" t="s">
        <v>3403</v>
      </c>
    </row>
    <row r="1806" spans="1:9">
      <c r="A1806" s="128" t="s">
        <v>20</v>
      </c>
      <c r="B1806" s="128" t="s">
        <v>2117</v>
      </c>
      <c r="C1806" s="128"/>
      <c r="D1806" s="128"/>
      <c r="E1806" s="128" t="s">
        <v>2862</v>
      </c>
      <c r="F1806" s="128"/>
      <c r="G1806" s="129">
        <v>1551403</v>
      </c>
    </row>
    <row r="1807" spans="1:9">
      <c r="A1807" t="s">
        <v>20</v>
      </c>
      <c r="B1807" t="s">
        <v>19</v>
      </c>
      <c r="C1807" t="s">
        <v>214</v>
      </c>
      <c r="D1807"/>
      <c r="E1807" t="s">
        <v>2863</v>
      </c>
      <c r="F1807"/>
      <c r="G1807" s="107">
        <v>0</v>
      </c>
    </row>
    <row r="1808" spans="1:9">
      <c r="A1808" t="s">
        <v>20</v>
      </c>
      <c r="B1808" t="s">
        <v>19</v>
      </c>
      <c r="C1808" t="s">
        <v>236</v>
      </c>
      <c r="D1808"/>
      <c r="E1808" t="s">
        <v>2864</v>
      </c>
      <c r="F1808"/>
      <c r="G1808" s="107">
        <v>625000</v>
      </c>
    </row>
    <row r="1809" spans="1:9">
      <c r="A1809" t="s">
        <v>20</v>
      </c>
      <c r="B1809" t="s">
        <v>19</v>
      </c>
      <c r="C1809" t="s">
        <v>236</v>
      </c>
      <c r="D1809"/>
      <c r="E1809" t="s">
        <v>2865</v>
      </c>
      <c r="F1809"/>
      <c r="G1809" s="107">
        <v>315000</v>
      </c>
    </row>
    <row r="1810" spans="1:9">
      <c r="A1810" t="s">
        <v>20</v>
      </c>
      <c r="B1810" t="s">
        <v>19</v>
      </c>
      <c r="C1810" t="s">
        <v>214</v>
      </c>
      <c r="D1810"/>
      <c r="E1810" t="s">
        <v>2866</v>
      </c>
      <c r="F1810"/>
      <c r="G1810" s="107">
        <v>0</v>
      </c>
    </row>
    <row r="1811" spans="1:9">
      <c r="A1811" t="s">
        <v>20</v>
      </c>
      <c r="B1811" t="s">
        <v>19</v>
      </c>
      <c r="C1811" t="s">
        <v>1419</v>
      </c>
      <c r="D1811"/>
      <c r="E1811" t="s">
        <v>2867</v>
      </c>
      <c r="F1811"/>
      <c r="G1811" s="107">
        <v>90000</v>
      </c>
    </row>
    <row r="1812" spans="1:9">
      <c r="A1812" t="s">
        <v>20</v>
      </c>
      <c r="B1812" t="s">
        <v>19</v>
      </c>
      <c r="C1812" t="s">
        <v>1419</v>
      </c>
      <c r="D1812"/>
      <c r="E1812" t="s">
        <v>2868</v>
      </c>
      <c r="F1812"/>
      <c r="G1812" s="107">
        <v>90000</v>
      </c>
    </row>
    <row r="1813" spans="1:9">
      <c r="A1813" t="s">
        <v>20</v>
      </c>
      <c r="B1813" t="s">
        <v>19</v>
      </c>
      <c r="C1813" t="s">
        <v>214</v>
      </c>
      <c r="D1813"/>
      <c r="E1813" t="s">
        <v>2869</v>
      </c>
      <c r="F1813"/>
      <c r="G1813" s="107">
        <v>0</v>
      </c>
    </row>
    <row r="1814" spans="1:9">
      <c r="A1814" t="s">
        <v>20</v>
      </c>
      <c r="B1814" t="s">
        <v>19</v>
      </c>
      <c r="C1814" t="s">
        <v>236</v>
      </c>
      <c r="D1814"/>
      <c r="E1814" t="s">
        <v>2870</v>
      </c>
      <c r="F1814"/>
      <c r="G1814" s="107">
        <v>245000</v>
      </c>
    </row>
    <row r="1815" spans="1:9">
      <c r="A1815" t="s">
        <v>20</v>
      </c>
      <c r="B1815" t="s">
        <v>19</v>
      </c>
      <c r="C1815" t="s">
        <v>1419</v>
      </c>
      <c r="D1815"/>
      <c r="E1815" t="s">
        <v>2871</v>
      </c>
      <c r="F1815"/>
      <c r="G1815" s="107">
        <v>180000</v>
      </c>
    </row>
    <row r="1816" spans="1:9">
      <c r="A1816" t="s">
        <v>20</v>
      </c>
      <c r="B1816" t="s">
        <v>19</v>
      </c>
      <c r="C1816" t="s">
        <v>214</v>
      </c>
      <c r="D1816"/>
      <c r="E1816" t="s">
        <v>2872</v>
      </c>
      <c r="F1816"/>
      <c r="G1816" s="107">
        <v>0</v>
      </c>
    </row>
    <row r="1817" spans="1:9">
      <c r="A1817" t="s">
        <v>20</v>
      </c>
      <c r="B1817" t="s">
        <v>19</v>
      </c>
      <c r="C1817" t="s">
        <v>234</v>
      </c>
      <c r="D1817"/>
      <c r="E1817" t="s">
        <v>2873</v>
      </c>
      <c r="F1817"/>
      <c r="G1817" s="107">
        <v>1403.12</v>
      </c>
    </row>
    <row r="1818" spans="1:9">
      <c r="A1818" t="s">
        <v>20</v>
      </c>
      <c r="B1818" t="s">
        <v>19</v>
      </c>
      <c r="C1818" t="s">
        <v>234</v>
      </c>
      <c r="D1818"/>
      <c r="E1818" t="s">
        <v>2874</v>
      </c>
      <c r="F1818"/>
      <c r="G1818" s="107">
        <v>5000</v>
      </c>
    </row>
    <row r="1819" spans="1:9">
      <c r="A1819" t="s">
        <v>20</v>
      </c>
      <c r="B1819" t="s">
        <v>19</v>
      </c>
      <c r="C1819" t="s">
        <v>236</v>
      </c>
      <c r="D1819"/>
      <c r="E1819" t="s">
        <v>3414</v>
      </c>
      <c r="F1819"/>
      <c r="G1819" s="107"/>
      <c r="H1819" s="6">
        <f>2237.52+1618.93</f>
        <v>3856.45</v>
      </c>
      <c r="I1819" t="s">
        <v>3403</v>
      </c>
    </row>
    <row r="1820" spans="1:9">
      <c r="A1820" s="128" t="s">
        <v>20</v>
      </c>
      <c r="B1820" s="128" t="s">
        <v>2117</v>
      </c>
      <c r="C1820" s="128"/>
      <c r="D1820" s="128"/>
      <c r="E1820" s="128" t="s">
        <v>2875</v>
      </c>
      <c r="F1820" s="128"/>
      <c r="G1820" s="129">
        <v>170000</v>
      </c>
    </row>
    <row r="1821" spans="1:9">
      <c r="A1821" t="s">
        <v>20</v>
      </c>
      <c r="B1821" t="s">
        <v>19</v>
      </c>
      <c r="C1821" t="s">
        <v>214</v>
      </c>
      <c r="D1821"/>
      <c r="E1821" t="s">
        <v>2876</v>
      </c>
      <c r="F1821"/>
      <c r="G1821" s="107">
        <v>0</v>
      </c>
    </row>
    <row r="1822" spans="1:9">
      <c r="A1822" t="s">
        <v>20</v>
      </c>
      <c r="B1822" t="s">
        <v>19</v>
      </c>
      <c r="C1822" t="s">
        <v>236</v>
      </c>
      <c r="D1822"/>
      <c r="E1822" t="s">
        <v>2877</v>
      </c>
      <c r="F1822"/>
      <c r="G1822" s="107">
        <v>140000</v>
      </c>
    </row>
    <row r="1823" spans="1:9">
      <c r="A1823" t="s">
        <v>20</v>
      </c>
      <c r="B1823" t="s">
        <v>19</v>
      </c>
      <c r="C1823" t="s">
        <v>214</v>
      </c>
      <c r="D1823"/>
      <c r="E1823" t="s">
        <v>2878</v>
      </c>
      <c r="F1823"/>
      <c r="G1823" s="107">
        <v>0</v>
      </c>
    </row>
    <row r="1824" spans="1:9">
      <c r="A1824" t="s">
        <v>20</v>
      </c>
      <c r="B1824" t="s">
        <v>19</v>
      </c>
      <c r="C1824" t="s">
        <v>1419</v>
      </c>
      <c r="D1824"/>
      <c r="E1824" t="s">
        <v>2879</v>
      </c>
      <c r="F1824"/>
      <c r="G1824" s="107">
        <v>30000</v>
      </c>
    </row>
    <row r="1825" spans="1:7">
      <c r="A1825" s="128" t="s">
        <v>20</v>
      </c>
      <c r="B1825" s="128" t="s">
        <v>2117</v>
      </c>
      <c r="C1825" s="128"/>
      <c r="D1825" s="128"/>
      <c r="E1825" s="128" t="s">
        <v>1031</v>
      </c>
      <c r="F1825" s="128"/>
      <c r="G1825" s="129">
        <v>5456700</v>
      </c>
    </row>
    <row r="1826" spans="1:7">
      <c r="A1826" t="s">
        <v>20</v>
      </c>
      <c r="B1826" t="s">
        <v>19</v>
      </c>
      <c r="C1826" t="s">
        <v>214</v>
      </c>
      <c r="D1826"/>
      <c r="E1826" t="s">
        <v>1032</v>
      </c>
      <c r="F1826"/>
      <c r="G1826" s="107">
        <v>0</v>
      </c>
    </row>
    <row r="1827" spans="1:7">
      <c r="A1827" t="s">
        <v>20</v>
      </c>
      <c r="B1827" t="s">
        <v>19</v>
      </c>
      <c r="C1827" t="s">
        <v>214</v>
      </c>
      <c r="D1827"/>
      <c r="E1827" t="s">
        <v>1033</v>
      </c>
      <c r="F1827"/>
      <c r="G1827" s="107">
        <v>0</v>
      </c>
    </row>
    <row r="1828" spans="1:7">
      <c r="A1828" t="s">
        <v>20</v>
      </c>
      <c r="B1828" t="s">
        <v>19</v>
      </c>
      <c r="C1828" t="s">
        <v>234</v>
      </c>
      <c r="D1828"/>
      <c r="E1828" t="s">
        <v>1034</v>
      </c>
      <c r="F1828"/>
      <c r="G1828" s="107">
        <v>60000</v>
      </c>
    </row>
    <row r="1829" spans="1:7">
      <c r="A1829" t="s">
        <v>20</v>
      </c>
      <c r="B1829" t="s">
        <v>19</v>
      </c>
      <c r="C1829" t="s">
        <v>236</v>
      </c>
      <c r="D1829"/>
      <c r="E1829" t="s">
        <v>1035</v>
      </c>
      <c r="F1829"/>
      <c r="G1829" s="107">
        <v>210000</v>
      </c>
    </row>
    <row r="1830" spans="1:7">
      <c r="A1830" t="s">
        <v>20</v>
      </c>
      <c r="B1830" t="s">
        <v>19</v>
      </c>
      <c r="C1830" t="s">
        <v>238</v>
      </c>
      <c r="D1830"/>
      <c r="E1830" t="s">
        <v>1036</v>
      </c>
      <c r="F1830"/>
      <c r="G1830" s="107">
        <v>30000</v>
      </c>
    </row>
    <row r="1831" spans="1:7">
      <c r="A1831" t="s">
        <v>20</v>
      </c>
      <c r="B1831" t="s">
        <v>19</v>
      </c>
      <c r="C1831" t="s">
        <v>214</v>
      </c>
      <c r="D1831"/>
      <c r="E1831" t="s">
        <v>1037</v>
      </c>
      <c r="F1831"/>
      <c r="G1831" s="107">
        <v>0</v>
      </c>
    </row>
    <row r="1832" spans="1:7">
      <c r="A1832" t="s">
        <v>20</v>
      </c>
      <c r="B1832" t="s">
        <v>19</v>
      </c>
      <c r="C1832" t="s">
        <v>234</v>
      </c>
      <c r="D1832"/>
      <c r="E1832" t="s">
        <v>1038</v>
      </c>
      <c r="F1832"/>
      <c r="G1832" s="107">
        <v>60000</v>
      </c>
    </row>
    <row r="1833" spans="1:7">
      <c r="A1833" t="s">
        <v>20</v>
      </c>
      <c r="B1833" t="s">
        <v>19</v>
      </c>
      <c r="C1833" t="s">
        <v>236</v>
      </c>
      <c r="D1833"/>
      <c r="E1833" t="s">
        <v>1039</v>
      </c>
      <c r="F1833"/>
      <c r="G1833" s="107">
        <v>210000</v>
      </c>
    </row>
    <row r="1834" spans="1:7">
      <c r="A1834" t="s">
        <v>20</v>
      </c>
      <c r="B1834" t="s">
        <v>19</v>
      </c>
      <c r="C1834" t="s">
        <v>238</v>
      </c>
      <c r="D1834"/>
      <c r="E1834" t="s">
        <v>1040</v>
      </c>
      <c r="F1834"/>
      <c r="G1834" s="107">
        <v>30000</v>
      </c>
    </row>
    <row r="1835" spans="1:7">
      <c r="A1835" t="s">
        <v>20</v>
      </c>
      <c r="B1835" t="s">
        <v>19</v>
      </c>
      <c r="C1835" t="s">
        <v>214</v>
      </c>
      <c r="D1835"/>
      <c r="E1835" t="s">
        <v>1041</v>
      </c>
      <c r="F1835"/>
      <c r="G1835" s="107">
        <v>0</v>
      </c>
    </row>
    <row r="1836" spans="1:7">
      <c r="A1836" t="s">
        <v>20</v>
      </c>
      <c r="B1836" t="s">
        <v>19</v>
      </c>
      <c r="C1836" t="s">
        <v>234</v>
      </c>
      <c r="D1836"/>
      <c r="E1836" t="s">
        <v>1042</v>
      </c>
      <c r="F1836"/>
      <c r="G1836" s="107">
        <v>45000</v>
      </c>
    </row>
    <row r="1837" spans="1:7">
      <c r="A1837" t="s">
        <v>20</v>
      </c>
      <c r="B1837" t="s">
        <v>19</v>
      </c>
      <c r="C1837" t="s">
        <v>236</v>
      </c>
      <c r="D1837"/>
      <c r="E1837" t="s">
        <v>1043</v>
      </c>
      <c r="F1837"/>
      <c r="G1837" s="107">
        <v>315000</v>
      </c>
    </row>
    <row r="1838" spans="1:7">
      <c r="A1838" t="s">
        <v>20</v>
      </c>
      <c r="B1838" t="s">
        <v>19</v>
      </c>
      <c r="C1838" t="s">
        <v>238</v>
      </c>
      <c r="D1838"/>
      <c r="E1838" t="s">
        <v>1044</v>
      </c>
      <c r="F1838"/>
      <c r="G1838" s="107">
        <v>45000</v>
      </c>
    </row>
    <row r="1839" spans="1:7">
      <c r="A1839" t="s">
        <v>20</v>
      </c>
      <c r="B1839" t="s">
        <v>19</v>
      </c>
      <c r="C1839" t="s">
        <v>214</v>
      </c>
      <c r="D1839"/>
      <c r="E1839" t="s">
        <v>1045</v>
      </c>
      <c r="F1839"/>
      <c r="G1839" s="107">
        <v>0</v>
      </c>
    </row>
    <row r="1840" spans="1:7">
      <c r="A1840" t="s">
        <v>20</v>
      </c>
      <c r="B1840" t="s">
        <v>19</v>
      </c>
      <c r="C1840" t="s">
        <v>234</v>
      </c>
      <c r="D1840"/>
      <c r="E1840" t="s">
        <v>1046</v>
      </c>
      <c r="F1840"/>
      <c r="G1840" s="107">
        <v>11000</v>
      </c>
    </row>
    <row r="1841" spans="1:7">
      <c r="A1841" t="s">
        <v>20</v>
      </c>
      <c r="B1841" t="s">
        <v>19</v>
      </c>
      <c r="C1841" t="s">
        <v>236</v>
      </c>
      <c r="D1841"/>
      <c r="E1841" t="s">
        <v>1047</v>
      </c>
      <c r="F1841"/>
      <c r="G1841" s="107">
        <v>154000</v>
      </c>
    </row>
    <row r="1842" spans="1:7">
      <c r="A1842" t="s">
        <v>20</v>
      </c>
      <c r="B1842" t="s">
        <v>19</v>
      </c>
      <c r="C1842" t="s">
        <v>238</v>
      </c>
      <c r="D1842"/>
      <c r="E1842" t="s">
        <v>1048</v>
      </c>
      <c r="F1842"/>
      <c r="G1842" s="107">
        <v>11000</v>
      </c>
    </row>
    <row r="1843" spans="1:7">
      <c r="A1843" t="s">
        <v>20</v>
      </c>
      <c r="B1843" t="s">
        <v>19</v>
      </c>
      <c r="C1843" t="s">
        <v>214</v>
      </c>
      <c r="D1843"/>
      <c r="E1843" t="s">
        <v>1049</v>
      </c>
      <c r="F1843"/>
      <c r="G1843" s="107">
        <v>0</v>
      </c>
    </row>
    <row r="1844" spans="1:7">
      <c r="A1844" t="s">
        <v>20</v>
      </c>
      <c r="B1844" t="s">
        <v>19</v>
      </c>
      <c r="C1844" t="s">
        <v>234</v>
      </c>
      <c r="D1844"/>
      <c r="E1844" t="s">
        <v>1050</v>
      </c>
      <c r="F1844"/>
      <c r="G1844" s="107">
        <v>10800</v>
      </c>
    </row>
    <row r="1845" spans="1:7">
      <c r="A1845" t="s">
        <v>20</v>
      </c>
      <c r="B1845" t="s">
        <v>19</v>
      </c>
      <c r="C1845" t="s">
        <v>236</v>
      </c>
      <c r="D1845"/>
      <c r="E1845" t="s">
        <v>1051</v>
      </c>
      <c r="F1845"/>
      <c r="G1845" s="107">
        <v>151200</v>
      </c>
    </row>
    <row r="1846" spans="1:7">
      <c r="A1846" t="s">
        <v>20</v>
      </c>
      <c r="B1846" t="s">
        <v>19</v>
      </c>
      <c r="C1846" t="s">
        <v>238</v>
      </c>
      <c r="D1846"/>
      <c r="E1846" t="s">
        <v>1052</v>
      </c>
      <c r="F1846"/>
      <c r="G1846" s="107">
        <v>10800</v>
      </c>
    </row>
    <row r="1847" spans="1:7">
      <c r="A1847" t="s">
        <v>20</v>
      </c>
      <c r="B1847" t="s">
        <v>19</v>
      </c>
      <c r="C1847" t="s">
        <v>214</v>
      </c>
      <c r="D1847"/>
      <c r="E1847" t="s">
        <v>1053</v>
      </c>
      <c r="F1847"/>
      <c r="G1847" s="107">
        <v>0</v>
      </c>
    </row>
    <row r="1848" spans="1:7">
      <c r="A1848" t="s">
        <v>20</v>
      </c>
      <c r="B1848" t="s">
        <v>19</v>
      </c>
      <c r="C1848" t="s">
        <v>234</v>
      </c>
      <c r="D1848"/>
      <c r="E1848" t="s">
        <v>1054</v>
      </c>
      <c r="F1848"/>
      <c r="G1848" s="107">
        <v>5400</v>
      </c>
    </row>
    <row r="1849" spans="1:7">
      <c r="A1849" t="s">
        <v>20</v>
      </c>
      <c r="B1849" t="s">
        <v>19</v>
      </c>
      <c r="C1849" t="s">
        <v>236</v>
      </c>
      <c r="D1849"/>
      <c r="E1849" t="s">
        <v>1055</v>
      </c>
      <c r="F1849"/>
      <c r="G1849" s="107">
        <v>75600</v>
      </c>
    </row>
    <row r="1850" spans="1:7">
      <c r="A1850" t="s">
        <v>20</v>
      </c>
      <c r="B1850" t="s">
        <v>19</v>
      </c>
      <c r="C1850" t="s">
        <v>238</v>
      </c>
      <c r="D1850"/>
      <c r="E1850" t="s">
        <v>1056</v>
      </c>
      <c r="F1850"/>
      <c r="G1850" s="107">
        <v>5400</v>
      </c>
    </row>
    <row r="1851" spans="1:7">
      <c r="A1851" t="s">
        <v>20</v>
      </c>
      <c r="B1851" t="s">
        <v>19</v>
      </c>
      <c r="C1851" t="s">
        <v>214</v>
      </c>
      <c r="D1851"/>
      <c r="E1851" t="s">
        <v>1057</v>
      </c>
      <c r="F1851"/>
      <c r="G1851" s="107">
        <v>0</v>
      </c>
    </row>
    <row r="1852" spans="1:7">
      <c r="A1852" t="s">
        <v>20</v>
      </c>
      <c r="B1852" t="s">
        <v>19</v>
      </c>
      <c r="C1852" t="s">
        <v>234</v>
      </c>
      <c r="D1852"/>
      <c r="E1852" t="s">
        <v>1058</v>
      </c>
      <c r="F1852"/>
      <c r="G1852" s="107">
        <v>10800</v>
      </c>
    </row>
    <row r="1853" spans="1:7">
      <c r="A1853" t="s">
        <v>20</v>
      </c>
      <c r="B1853" t="s">
        <v>19</v>
      </c>
      <c r="C1853" t="s">
        <v>236</v>
      </c>
      <c r="D1853"/>
      <c r="E1853" t="s">
        <v>1059</v>
      </c>
      <c r="F1853"/>
      <c r="G1853" s="107">
        <v>151200</v>
      </c>
    </row>
    <row r="1854" spans="1:7">
      <c r="A1854" t="s">
        <v>20</v>
      </c>
      <c r="B1854" t="s">
        <v>19</v>
      </c>
      <c r="C1854" t="s">
        <v>238</v>
      </c>
      <c r="D1854"/>
      <c r="E1854" t="s">
        <v>1060</v>
      </c>
      <c r="F1854"/>
      <c r="G1854" s="107">
        <v>10800</v>
      </c>
    </row>
    <row r="1855" spans="1:7">
      <c r="A1855" t="s">
        <v>20</v>
      </c>
      <c r="B1855" t="s">
        <v>19</v>
      </c>
      <c r="C1855" t="s">
        <v>214</v>
      </c>
      <c r="D1855"/>
      <c r="E1855" t="s">
        <v>1061</v>
      </c>
      <c r="F1855"/>
      <c r="G1855" s="107">
        <v>0</v>
      </c>
    </row>
    <row r="1856" spans="1:7">
      <c r="A1856" t="s">
        <v>20</v>
      </c>
      <c r="B1856" t="s">
        <v>19</v>
      </c>
      <c r="C1856" t="s">
        <v>234</v>
      </c>
      <c r="D1856"/>
      <c r="E1856" t="s">
        <v>1062</v>
      </c>
      <c r="F1856"/>
      <c r="G1856" s="107">
        <v>22000</v>
      </c>
    </row>
    <row r="1857" spans="1:7">
      <c r="A1857" t="s">
        <v>20</v>
      </c>
      <c r="B1857" t="s">
        <v>19</v>
      </c>
      <c r="C1857" t="s">
        <v>236</v>
      </c>
      <c r="D1857"/>
      <c r="E1857" t="s">
        <v>1063</v>
      </c>
      <c r="F1857"/>
      <c r="G1857" s="107">
        <v>154000</v>
      </c>
    </row>
    <row r="1858" spans="1:7">
      <c r="A1858" t="s">
        <v>20</v>
      </c>
      <c r="B1858" t="s">
        <v>19</v>
      </c>
      <c r="C1858" t="s">
        <v>238</v>
      </c>
      <c r="D1858"/>
      <c r="E1858" t="s">
        <v>1064</v>
      </c>
      <c r="F1858"/>
      <c r="G1858" s="107">
        <v>22000</v>
      </c>
    </row>
    <row r="1859" spans="1:7">
      <c r="A1859" t="s">
        <v>20</v>
      </c>
      <c r="B1859" t="s">
        <v>19</v>
      </c>
      <c r="C1859" t="s">
        <v>214</v>
      </c>
      <c r="D1859"/>
      <c r="E1859" t="s">
        <v>1065</v>
      </c>
      <c r="F1859"/>
      <c r="G1859" s="107">
        <v>0</v>
      </c>
    </row>
    <row r="1860" spans="1:7">
      <c r="A1860" t="s">
        <v>20</v>
      </c>
      <c r="B1860" t="s">
        <v>19</v>
      </c>
      <c r="C1860" t="s">
        <v>234</v>
      </c>
      <c r="D1860"/>
      <c r="E1860" t="s">
        <v>1066</v>
      </c>
      <c r="F1860"/>
      <c r="G1860" s="107">
        <v>44000</v>
      </c>
    </row>
    <row r="1861" spans="1:7">
      <c r="A1861" t="s">
        <v>20</v>
      </c>
      <c r="B1861" t="s">
        <v>19</v>
      </c>
      <c r="C1861" t="s">
        <v>236</v>
      </c>
      <c r="D1861"/>
      <c r="E1861" t="s">
        <v>1067</v>
      </c>
      <c r="F1861"/>
      <c r="G1861" s="107">
        <v>154000</v>
      </c>
    </row>
    <row r="1862" spans="1:7">
      <c r="A1862" t="s">
        <v>20</v>
      </c>
      <c r="B1862" t="s">
        <v>19</v>
      </c>
      <c r="C1862" t="s">
        <v>238</v>
      </c>
      <c r="D1862"/>
      <c r="E1862" t="s">
        <v>1068</v>
      </c>
      <c r="F1862"/>
      <c r="G1862" s="107">
        <v>44000</v>
      </c>
    </row>
    <row r="1863" spans="1:7">
      <c r="A1863" t="s">
        <v>20</v>
      </c>
      <c r="B1863" t="s">
        <v>19</v>
      </c>
      <c r="C1863" t="s">
        <v>214</v>
      </c>
      <c r="D1863"/>
      <c r="E1863" t="s">
        <v>1069</v>
      </c>
      <c r="F1863"/>
      <c r="G1863" s="107">
        <v>0</v>
      </c>
    </row>
    <row r="1864" spans="1:7">
      <c r="A1864" t="s">
        <v>20</v>
      </c>
      <c r="B1864" t="s">
        <v>19</v>
      </c>
      <c r="C1864" t="s">
        <v>234</v>
      </c>
      <c r="D1864"/>
      <c r="E1864" t="s">
        <v>1070</v>
      </c>
      <c r="F1864"/>
      <c r="G1864" s="107">
        <v>75000</v>
      </c>
    </row>
    <row r="1865" spans="1:7">
      <c r="A1865" t="s">
        <v>20</v>
      </c>
      <c r="B1865" t="s">
        <v>19</v>
      </c>
      <c r="C1865" t="s">
        <v>236</v>
      </c>
      <c r="D1865"/>
      <c r="E1865" t="s">
        <v>1071</v>
      </c>
      <c r="F1865"/>
      <c r="G1865" s="107">
        <v>105000</v>
      </c>
    </row>
    <row r="1866" spans="1:7">
      <c r="A1866" t="s">
        <v>20</v>
      </c>
      <c r="B1866" t="s">
        <v>19</v>
      </c>
      <c r="C1866" t="s">
        <v>238</v>
      </c>
      <c r="D1866"/>
      <c r="E1866" t="s">
        <v>1072</v>
      </c>
      <c r="F1866"/>
      <c r="G1866" s="107">
        <v>30000</v>
      </c>
    </row>
    <row r="1867" spans="1:7">
      <c r="A1867" t="s">
        <v>20</v>
      </c>
      <c r="B1867" t="s">
        <v>19</v>
      </c>
      <c r="C1867" t="s">
        <v>214</v>
      </c>
      <c r="D1867"/>
      <c r="E1867" t="s">
        <v>1073</v>
      </c>
      <c r="F1867"/>
      <c r="G1867" s="107">
        <v>0</v>
      </c>
    </row>
    <row r="1868" spans="1:7">
      <c r="A1868" t="s">
        <v>20</v>
      </c>
      <c r="B1868" t="s">
        <v>19</v>
      </c>
      <c r="C1868" t="s">
        <v>234</v>
      </c>
      <c r="D1868"/>
      <c r="E1868" t="s">
        <v>1074</v>
      </c>
      <c r="F1868"/>
      <c r="G1868" s="107">
        <v>60000</v>
      </c>
    </row>
    <row r="1869" spans="1:7">
      <c r="A1869" t="s">
        <v>20</v>
      </c>
      <c r="B1869" t="s">
        <v>19</v>
      </c>
      <c r="C1869" t="s">
        <v>236</v>
      </c>
      <c r="D1869"/>
      <c r="E1869" t="s">
        <v>1075</v>
      </c>
      <c r="F1869"/>
      <c r="G1869" s="107">
        <v>105000</v>
      </c>
    </row>
    <row r="1870" spans="1:7">
      <c r="A1870" t="s">
        <v>20</v>
      </c>
      <c r="B1870" t="s">
        <v>19</v>
      </c>
      <c r="C1870" t="s">
        <v>238</v>
      </c>
      <c r="D1870"/>
      <c r="E1870" t="s">
        <v>1076</v>
      </c>
      <c r="F1870"/>
      <c r="G1870" s="107">
        <v>15000</v>
      </c>
    </row>
    <row r="1871" spans="1:7">
      <c r="A1871" t="s">
        <v>20</v>
      </c>
      <c r="B1871" t="s">
        <v>19</v>
      </c>
      <c r="C1871" t="s">
        <v>214</v>
      </c>
      <c r="D1871"/>
      <c r="E1871" t="s">
        <v>1077</v>
      </c>
      <c r="F1871"/>
      <c r="G1871" s="107">
        <v>0</v>
      </c>
    </row>
    <row r="1872" spans="1:7">
      <c r="A1872" t="s">
        <v>20</v>
      </c>
      <c r="B1872" t="s">
        <v>19</v>
      </c>
      <c r="C1872" t="s">
        <v>234</v>
      </c>
      <c r="D1872"/>
      <c r="E1872" t="s">
        <v>1078</v>
      </c>
      <c r="F1872"/>
      <c r="G1872" s="107">
        <v>15000</v>
      </c>
    </row>
    <row r="1873" spans="1:7">
      <c r="A1873" t="s">
        <v>20</v>
      </c>
      <c r="B1873" t="s">
        <v>19</v>
      </c>
      <c r="C1873" t="s">
        <v>236</v>
      </c>
      <c r="D1873"/>
      <c r="E1873" t="s">
        <v>1079</v>
      </c>
      <c r="F1873"/>
      <c r="G1873" s="107">
        <v>105000</v>
      </c>
    </row>
    <row r="1874" spans="1:7">
      <c r="A1874" t="s">
        <v>20</v>
      </c>
      <c r="B1874" t="s">
        <v>19</v>
      </c>
      <c r="C1874" t="s">
        <v>238</v>
      </c>
      <c r="D1874"/>
      <c r="E1874" t="s">
        <v>1080</v>
      </c>
      <c r="F1874"/>
      <c r="G1874" s="107">
        <v>15000</v>
      </c>
    </row>
    <row r="1875" spans="1:7">
      <c r="A1875" t="s">
        <v>20</v>
      </c>
      <c r="B1875" t="s">
        <v>19</v>
      </c>
      <c r="C1875" t="s">
        <v>214</v>
      </c>
      <c r="D1875"/>
      <c r="E1875" t="s">
        <v>1081</v>
      </c>
      <c r="F1875"/>
      <c r="G1875" s="107">
        <v>0</v>
      </c>
    </row>
    <row r="1876" spans="1:7">
      <c r="A1876" t="s">
        <v>20</v>
      </c>
      <c r="B1876" t="s">
        <v>19</v>
      </c>
      <c r="C1876" t="s">
        <v>234</v>
      </c>
      <c r="D1876"/>
      <c r="E1876" t="s">
        <v>1082</v>
      </c>
      <c r="F1876"/>
      <c r="G1876" s="107">
        <v>60000</v>
      </c>
    </row>
    <row r="1877" spans="1:7">
      <c r="A1877" t="s">
        <v>20</v>
      </c>
      <c r="B1877" t="s">
        <v>19</v>
      </c>
      <c r="C1877" t="s">
        <v>236</v>
      </c>
      <c r="D1877"/>
      <c r="E1877" t="s">
        <v>1083</v>
      </c>
      <c r="F1877"/>
      <c r="G1877" s="107">
        <v>105000</v>
      </c>
    </row>
    <row r="1878" spans="1:7">
      <c r="A1878" t="s">
        <v>20</v>
      </c>
      <c r="B1878" t="s">
        <v>19</v>
      </c>
      <c r="C1878" t="s">
        <v>238</v>
      </c>
      <c r="D1878"/>
      <c r="E1878" t="s">
        <v>1084</v>
      </c>
      <c r="F1878"/>
      <c r="G1878" s="107">
        <v>15000</v>
      </c>
    </row>
    <row r="1879" spans="1:7">
      <c r="A1879" t="s">
        <v>20</v>
      </c>
      <c r="B1879" t="s">
        <v>19</v>
      </c>
      <c r="C1879" t="s">
        <v>214</v>
      </c>
      <c r="D1879"/>
      <c r="E1879" t="s">
        <v>1085</v>
      </c>
      <c r="F1879"/>
      <c r="G1879" s="107">
        <v>0</v>
      </c>
    </row>
    <row r="1880" spans="1:7">
      <c r="A1880" t="s">
        <v>20</v>
      </c>
      <c r="B1880" t="s">
        <v>19</v>
      </c>
      <c r="C1880" t="s">
        <v>234</v>
      </c>
      <c r="D1880"/>
      <c r="E1880" t="s">
        <v>1086</v>
      </c>
      <c r="F1880"/>
      <c r="G1880" s="107">
        <v>22000</v>
      </c>
    </row>
    <row r="1881" spans="1:7">
      <c r="A1881" t="s">
        <v>20</v>
      </c>
      <c r="B1881" t="s">
        <v>19</v>
      </c>
      <c r="C1881" t="s">
        <v>236</v>
      </c>
      <c r="D1881"/>
      <c r="E1881" t="s">
        <v>1087</v>
      </c>
      <c r="F1881"/>
      <c r="G1881" s="107">
        <v>154000</v>
      </c>
    </row>
    <row r="1882" spans="1:7">
      <c r="A1882" t="s">
        <v>20</v>
      </c>
      <c r="B1882" t="s">
        <v>19</v>
      </c>
      <c r="C1882" t="s">
        <v>238</v>
      </c>
      <c r="D1882"/>
      <c r="E1882" t="s">
        <v>1088</v>
      </c>
      <c r="F1882"/>
      <c r="G1882" s="107">
        <v>22000</v>
      </c>
    </row>
    <row r="1883" spans="1:7">
      <c r="A1883" t="s">
        <v>20</v>
      </c>
      <c r="B1883" t="s">
        <v>19</v>
      </c>
      <c r="C1883" t="s">
        <v>214</v>
      </c>
      <c r="D1883"/>
      <c r="E1883" t="s">
        <v>1089</v>
      </c>
      <c r="F1883"/>
      <c r="G1883" s="107">
        <v>0</v>
      </c>
    </row>
    <row r="1884" spans="1:7">
      <c r="A1884" t="s">
        <v>20</v>
      </c>
      <c r="B1884" t="s">
        <v>19</v>
      </c>
      <c r="C1884" t="s">
        <v>234</v>
      </c>
      <c r="D1884"/>
      <c r="E1884" t="s">
        <v>1090</v>
      </c>
      <c r="F1884"/>
      <c r="G1884" s="107">
        <v>60000</v>
      </c>
    </row>
    <row r="1885" spans="1:7">
      <c r="A1885" t="s">
        <v>20</v>
      </c>
      <c r="B1885" t="s">
        <v>19</v>
      </c>
      <c r="C1885" t="s">
        <v>236</v>
      </c>
      <c r="D1885"/>
      <c r="E1885" t="s">
        <v>1091</v>
      </c>
      <c r="F1885"/>
      <c r="G1885" s="107">
        <v>105000</v>
      </c>
    </row>
    <row r="1886" spans="1:7">
      <c r="A1886" t="s">
        <v>20</v>
      </c>
      <c r="B1886" t="s">
        <v>19</v>
      </c>
      <c r="C1886" t="s">
        <v>238</v>
      </c>
      <c r="D1886"/>
      <c r="E1886" t="s">
        <v>1092</v>
      </c>
      <c r="F1886"/>
      <c r="G1886" s="107">
        <v>15000</v>
      </c>
    </row>
    <row r="1887" spans="1:7">
      <c r="A1887" t="s">
        <v>20</v>
      </c>
      <c r="B1887" t="s">
        <v>19</v>
      </c>
      <c r="C1887" t="s">
        <v>214</v>
      </c>
      <c r="D1887"/>
      <c r="E1887" t="s">
        <v>1093</v>
      </c>
      <c r="F1887"/>
      <c r="G1887" s="107">
        <v>0</v>
      </c>
    </row>
    <row r="1888" spans="1:7">
      <c r="A1888" t="s">
        <v>20</v>
      </c>
      <c r="B1888" t="s">
        <v>19</v>
      </c>
      <c r="C1888" t="s">
        <v>234</v>
      </c>
      <c r="D1888"/>
      <c r="E1888" t="s">
        <v>1094</v>
      </c>
      <c r="F1888"/>
      <c r="G1888" s="107">
        <v>22000</v>
      </c>
    </row>
    <row r="1889" spans="1:7">
      <c r="A1889" t="s">
        <v>20</v>
      </c>
      <c r="B1889" t="s">
        <v>19</v>
      </c>
      <c r="C1889" t="s">
        <v>236</v>
      </c>
      <c r="D1889"/>
      <c r="E1889" t="s">
        <v>1095</v>
      </c>
      <c r="F1889"/>
      <c r="G1889" s="107">
        <v>154000</v>
      </c>
    </row>
    <row r="1890" spans="1:7">
      <c r="A1890" t="s">
        <v>20</v>
      </c>
      <c r="B1890" t="s">
        <v>19</v>
      </c>
      <c r="C1890" t="s">
        <v>238</v>
      </c>
      <c r="D1890"/>
      <c r="E1890" t="s">
        <v>1096</v>
      </c>
      <c r="F1890"/>
      <c r="G1890" s="107">
        <v>22000</v>
      </c>
    </row>
    <row r="1891" spans="1:7">
      <c r="A1891" t="s">
        <v>20</v>
      </c>
      <c r="B1891" t="s">
        <v>19</v>
      </c>
      <c r="C1891" t="s">
        <v>214</v>
      </c>
      <c r="D1891"/>
      <c r="E1891" t="s">
        <v>1097</v>
      </c>
      <c r="F1891"/>
      <c r="G1891" s="107">
        <v>0</v>
      </c>
    </row>
    <row r="1892" spans="1:7">
      <c r="A1892" t="s">
        <v>20</v>
      </c>
      <c r="B1892" t="s">
        <v>19</v>
      </c>
      <c r="C1892" t="s">
        <v>236</v>
      </c>
      <c r="D1892"/>
      <c r="E1892" t="s">
        <v>1098</v>
      </c>
      <c r="F1892"/>
      <c r="G1892" s="107">
        <v>157500</v>
      </c>
    </row>
    <row r="1893" spans="1:7">
      <c r="A1893" t="s">
        <v>20</v>
      </c>
      <c r="B1893" t="s">
        <v>19</v>
      </c>
      <c r="C1893" t="s">
        <v>214</v>
      </c>
      <c r="D1893"/>
      <c r="E1893" t="s">
        <v>1099</v>
      </c>
      <c r="F1893"/>
      <c r="G1893" s="107">
        <v>0</v>
      </c>
    </row>
    <row r="1894" spans="1:7">
      <c r="A1894" t="s">
        <v>20</v>
      </c>
      <c r="B1894" t="s">
        <v>19</v>
      </c>
      <c r="C1894" t="s">
        <v>236</v>
      </c>
      <c r="D1894"/>
      <c r="E1894" t="s">
        <v>1100</v>
      </c>
      <c r="F1894"/>
      <c r="G1894" s="107">
        <v>196000</v>
      </c>
    </row>
    <row r="1895" spans="1:7">
      <c r="A1895" t="s">
        <v>20</v>
      </c>
      <c r="B1895" t="s">
        <v>19</v>
      </c>
      <c r="C1895" t="s">
        <v>214</v>
      </c>
      <c r="D1895"/>
      <c r="E1895" t="s">
        <v>1101</v>
      </c>
      <c r="F1895"/>
      <c r="G1895" s="107">
        <v>0</v>
      </c>
    </row>
    <row r="1896" spans="1:7">
      <c r="A1896" t="s">
        <v>20</v>
      </c>
      <c r="B1896" t="s">
        <v>19</v>
      </c>
      <c r="C1896" t="s">
        <v>236</v>
      </c>
      <c r="D1896"/>
      <c r="E1896" t="s">
        <v>2880</v>
      </c>
      <c r="F1896"/>
      <c r="G1896" s="107">
        <v>392000</v>
      </c>
    </row>
    <row r="1897" spans="1:7">
      <c r="A1897" t="s">
        <v>20</v>
      </c>
      <c r="B1897" t="s">
        <v>19</v>
      </c>
      <c r="C1897" t="s">
        <v>214</v>
      </c>
      <c r="D1897"/>
      <c r="E1897" t="s">
        <v>2881</v>
      </c>
      <c r="F1897"/>
      <c r="G1897" s="107">
        <v>0</v>
      </c>
    </row>
    <row r="1898" spans="1:7">
      <c r="A1898" t="s">
        <v>20</v>
      </c>
      <c r="B1898" t="s">
        <v>19</v>
      </c>
      <c r="C1898" t="s">
        <v>236</v>
      </c>
      <c r="D1898"/>
      <c r="E1898" t="s">
        <v>2882</v>
      </c>
      <c r="F1898"/>
      <c r="G1898" s="107">
        <v>196000</v>
      </c>
    </row>
    <row r="1899" spans="1:7">
      <c r="A1899" t="s">
        <v>20</v>
      </c>
      <c r="B1899" t="s">
        <v>19</v>
      </c>
      <c r="C1899" t="s">
        <v>214</v>
      </c>
      <c r="D1899"/>
      <c r="E1899" t="s">
        <v>2883</v>
      </c>
      <c r="F1899"/>
      <c r="G1899" s="107">
        <v>0</v>
      </c>
    </row>
    <row r="1900" spans="1:7">
      <c r="A1900" t="s">
        <v>20</v>
      </c>
      <c r="B1900" t="s">
        <v>19</v>
      </c>
      <c r="C1900" t="s">
        <v>234</v>
      </c>
      <c r="D1900"/>
      <c r="E1900" t="s">
        <v>2884</v>
      </c>
      <c r="F1900"/>
      <c r="G1900" s="107">
        <v>8000</v>
      </c>
    </row>
    <row r="1901" spans="1:7">
      <c r="A1901" t="s">
        <v>20</v>
      </c>
      <c r="B1901" t="s">
        <v>19</v>
      </c>
      <c r="C1901" t="s">
        <v>236</v>
      </c>
      <c r="D1901"/>
      <c r="E1901" t="s">
        <v>2885</v>
      </c>
      <c r="F1901"/>
      <c r="G1901" s="107">
        <v>196000</v>
      </c>
    </row>
    <row r="1902" spans="1:7">
      <c r="A1902" t="s">
        <v>20</v>
      </c>
      <c r="B1902" t="s">
        <v>19</v>
      </c>
      <c r="C1902" t="s">
        <v>238</v>
      </c>
      <c r="D1902"/>
      <c r="E1902" t="s">
        <v>2886</v>
      </c>
      <c r="F1902"/>
      <c r="G1902" s="107">
        <v>4000</v>
      </c>
    </row>
    <row r="1903" spans="1:7">
      <c r="A1903" t="s">
        <v>20</v>
      </c>
      <c r="B1903" t="s">
        <v>19</v>
      </c>
      <c r="C1903" t="s">
        <v>214</v>
      </c>
      <c r="D1903"/>
      <c r="E1903" t="s">
        <v>2887</v>
      </c>
      <c r="F1903"/>
      <c r="G1903" s="107">
        <v>0</v>
      </c>
    </row>
    <row r="1904" spans="1:7">
      <c r="A1904" t="s">
        <v>20</v>
      </c>
      <c r="B1904" t="s">
        <v>19</v>
      </c>
      <c r="C1904" t="s">
        <v>236</v>
      </c>
      <c r="D1904"/>
      <c r="E1904" t="s">
        <v>2888</v>
      </c>
      <c r="F1904"/>
      <c r="G1904" s="107">
        <v>63750</v>
      </c>
    </row>
    <row r="1905" spans="1:7">
      <c r="A1905" t="s">
        <v>20</v>
      </c>
      <c r="B1905" t="s">
        <v>19</v>
      </c>
      <c r="C1905" t="s">
        <v>214</v>
      </c>
      <c r="D1905"/>
      <c r="E1905" t="s">
        <v>2889</v>
      </c>
      <c r="F1905"/>
      <c r="G1905" s="107">
        <v>0</v>
      </c>
    </row>
    <row r="1906" spans="1:7">
      <c r="A1906" t="s">
        <v>20</v>
      </c>
      <c r="B1906" t="s">
        <v>19</v>
      </c>
      <c r="C1906" t="s">
        <v>234</v>
      </c>
      <c r="D1906"/>
      <c r="E1906" t="s">
        <v>2890</v>
      </c>
      <c r="F1906"/>
      <c r="G1906" s="107">
        <v>35000</v>
      </c>
    </row>
    <row r="1907" spans="1:7">
      <c r="A1907" t="s">
        <v>20</v>
      </c>
      <c r="B1907" t="s">
        <v>19</v>
      </c>
      <c r="C1907" t="s">
        <v>236</v>
      </c>
      <c r="D1907"/>
      <c r="E1907" t="s">
        <v>2891</v>
      </c>
      <c r="F1907"/>
      <c r="G1907" s="107">
        <v>35000</v>
      </c>
    </row>
    <row r="1908" spans="1:7">
      <c r="A1908" t="s">
        <v>20</v>
      </c>
      <c r="B1908" t="s">
        <v>19</v>
      </c>
      <c r="C1908" t="s">
        <v>238</v>
      </c>
      <c r="D1908"/>
      <c r="E1908" t="s">
        <v>2892</v>
      </c>
      <c r="F1908"/>
      <c r="G1908" s="107">
        <v>20000</v>
      </c>
    </row>
    <row r="1909" spans="1:7">
      <c r="A1909" t="s">
        <v>20</v>
      </c>
      <c r="B1909" t="s">
        <v>19</v>
      </c>
      <c r="C1909" t="s">
        <v>214</v>
      </c>
      <c r="D1909"/>
      <c r="E1909" t="s">
        <v>2893</v>
      </c>
      <c r="F1909"/>
      <c r="G1909" s="107">
        <v>0</v>
      </c>
    </row>
    <row r="1910" spans="1:7">
      <c r="A1910" t="s">
        <v>20</v>
      </c>
      <c r="B1910" t="s">
        <v>19</v>
      </c>
      <c r="C1910" t="s">
        <v>214</v>
      </c>
      <c r="D1910"/>
      <c r="E1910" t="s">
        <v>2894</v>
      </c>
      <c r="F1910"/>
      <c r="G1910" s="107">
        <v>0</v>
      </c>
    </row>
    <row r="1911" spans="1:7">
      <c r="A1911" t="s">
        <v>20</v>
      </c>
      <c r="B1911" t="s">
        <v>19</v>
      </c>
      <c r="C1911" t="s">
        <v>214</v>
      </c>
      <c r="D1911"/>
      <c r="E1911" t="s">
        <v>2895</v>
      </c>
      <c r="F1911"/>
      <c r="G1911" s="107">
        <v>0</v>
      </c>
    </row>
    <row r="1912" spans="1:7">
      <c r="A1912" t="s">
        <v>20</v>
      </c>
      <c r="B1912" t="s">
        <v>19</v>
      </c>
      <c r="C1912" t="s">
        <v>1419</v>
      </c>
      <c r="D1912"/>
      <c r="E1912" t="s">
        <v>2896</v>
      </c>
      <c r="F1912"/>
      <c r="G1912" s="107">
        <v>45000</v>
      </c>
    </row>
    <row r="1913" spans="1:7">
      <c r="A1913" t="s">
        <v>20</v>
      </c>
      <c r="B1913" t="s">
        <v>19</v>
      </c>
      <c r="C1913" t="s">
        <v>1419</v>
      </c>
      <c r="D1913"/>
      <c r="E1913" t="s">
        <v>2897</v>
      </c>
      <c r="F1913"/>
      <c r="G1913" s="107">
        <v>90000</v>
      </c>
    </row>
    <row r="1914" spans="1:7">
      <c r="A1914" t="s">
        <v>20</v>
      </c>
      <c r="B1914" t="s">
        <v>19</v>
      </c>
      <c r="C1914" t="s">
        <v>214</v>
      </c>
      <c r="D1914"/>
      <c r="E1914" t="s">
        <v>2898</v>
      </c>
      <c r="F1914"/>
      <c r="G1914" s="107">
        <v>0</v>
      </c>
    </row>
    <row r="1915" spans="1:7">
      <c r="A1915" t="s">
        <v>20</v>
      </c>
      <c r="B1915" t="s">
        <v>19</v>
      </c>
      <c r="C1915" t="s">
        <v>1419</v>
      </c>
      <c r="D1915"/>
      <c r="E1915" t="s">
        <v>2899</v>
      </c>
      <c r="F1915"/>
      <c r="G1915" s="107">
        <v>10800</v>
      </c>
    </row>
    <row r="1916" spans="1:7">
      <c r="A1916" t="s">
        <v>20</v>
      </c>
      <c r="B1916" t="s">
        <v>19</v>
      </c>
      <c r="C1916" t="s">
        <v>1419</v>
      </c>
      <c r="D1916"/>
      <c r="E1916" t="s">
        <v>2900</v>
      </c>
      <c r="F1916"/>
      <c r="G1916" s="107">
        <v>21600</v>
      </c>
    </row>
    <row r="1917" spans="1:7">
      <c r="A1917" t="s">
        <v>20</v>
      </c>
      <c r="B1917" t="s">
        <v>19</v>
      </c>
      <c r="C1917" t="s">
        <v>1419</v>
      </c>
      <c r="D1917"/>
      <c r="E1917" t="s">
        <v>2901</v>
      </c>
      <c r="F1917"/>
      <c r="G1917" s="107">
        <v>10800</v>
      </c>
    </row>
    <row r="1918" spans="1:7">
      <c r="A1918" t="s">
        <v>20</v>
      </c>
      <c r="B1918" t="s">
        <v>19</v>
      </c>
      <c r="C1918" t="s">
        <v>214</v>
      </c>
      <c r="D1918"/>
      <c r="E1918" t="s">
        <v>2902</v>
      </c>
      <c r="F1918"/>
      <c r="G1918" s="107">
        <v>0</v>
      </c>
    </row>
    <row r="1919" spans="1:7">
      <c r="A1919" t="s">
        <v>20</v>
      </c>
      <c r="B1919" t="s">
        <v>19</v>
      </c>
      <c r="C1919" t="s">
        <v>1419</v>
      </c>
      <c r="D1919"/>
      <c r="E1919" t="s">
        <v>2903</v>
      </c>
      <c r="F1919"/>
      <c r="G1919" s="107">
        <v>15000</v>
      </c>
    </row>
    <row r="1920" spans="1:7">
      <c r="A1920" t="s">
        <v>20</v>
      </c>
      <c r="B1920" t="s">
        <v>19</v>
      </c>
      <c r="C1920" t="s">
        <v>1419</v>
      </c>
      <c r="D1920"/>
      <c r="E1920" t="s">
        <v>2904</v>
      </c>
      <c r="F1920"/>
      <c r="G1920" s="107">
        <v>30000</v>
      </c>
    </row>
    <row r="1921" spans="1:7">
      <c r="A1921" t="s">
        <v>20</v>
      </c>
      <c r="B1921" t="s">
        <v>19</v>
      </c>
      <c r="C1921" t="s">
        <v>1419</v>
      </c>
      <c r="D1921"/>
      <c r="E1921" t="s">
        <v>2905</v>
      </c>
      <c r="F1921"/>
      <c r="G1921" s="107">
        <v>15000</v>
      </c>
    </row>
    <row r="1922" spans="1:7">
      <c r="A1922" t="s">
        <v>20</v>
      </c>
      <c r="B1922" t="s">
        <v>19</v>
      </c>
      <c r="C1922" t="s">
        <v>214</v>
      </c>
      <c r="D1922"/>
      <c r="E1922" t="s">
        <v>2906</v>
      </c>
      <c r="F1922"/>
      <c r="G1922" s="107">
        <v>0</v>
      </c>
    </row>
    <row r="1923" spans="1:7">
      <c r="A1923" t="s">
        <v>20</v>
      </c>
      <c r="B1923" t="s">
        <v>19</v>
      </c>
      <c r="C1923" t="s">
        <v>1419</v>
      </c>
      <c r="D1923"/>
      <c r="E1923" t="s">
        <v>2907</v>
      </c>
      <c r="F1923"/>
      <c r="G1923" s="107">
        <v>112000</v>
      </c>
    </row>
    <row r="1924" spans="1:7">
      <c r="A1924" t="s">
        <v>20</v>
      </c>
      <c r="B1924" t="s">
        <v>19</v>
      </c>
      <c r="C1924" t="s">
        <v>214</v>
      </c>
      <c r="D1924"/>
      <c r="E1924" t="s">
        <v>2908</v>
      </c>
      <c r="F1924"/>
      <c r="G1924" s="107">
        <v>0</v>
      </c>
    </row>
    <row r="1925" spans="1:7">
      <c r="A1925" t="s">
        <v>20</v>
      </c>
      <c r="B1925" t="s">
        <v>19</v>
      </c>
      <c r="C1925" t="s">
        <v>1419</v>
      </c>
      <c r="D1925"/>
      <c r="E1925" t="s">
        <v>2909</v>
      </c>
      <c r="F1925"/>
      <c r="G1925" s="107">
        <v>45000</v>
      </c>
    </row>
    <row r="1926" spans="1:7">
      <c r="A1926" t="s">
        <v>20</v>
      </c>
      <c r="B1926" t="s">
        <v>19</v>
      </c>
      <c r="C1926" t="s">
        <v>214</v>
      </c>
      <c r="D1926"/>
      <c r="E1926" t="s">
        <v>2910</v>
      </c>
      <c r="F1926"/>
      <c r="G1926" s="107">
        <v>0</v>
      </c>
    </row>
    <row r="1927" spans="1:7">
      <c r="A1927" t="s">
        <v>20</v>
      </c>
      <c r="B1927" t="s">
        <v>19</v>
      </c>
      <c r="C1927" t="s">
        <v>1419</v>
      </c>
      <c r="D1927"/>
      <c r="E1927" t="s">
        <v>2911</v>
      </c>
      <c r="F1927"/>
      <c r="G1927" s="107">
        <v>56000</v>
      </c>
    </row>
    <row r="1928" spans="1:7">
      <c r="A1928" t="s">
        <v>20</v>
      </c>
      <c r="B1928" t="s">
        <v>19</v>
      </c>
      <c r="C1928" t="s">
        <v>214</v>
      </c>
      <c r="D1928"/>
      <c r="E1928" t="s">
        <v>2912</v>
      </c>
      <c r="F1928"/>
      <c r="G1928" s="107">
        <v>0</v>
      </c>
    </row>
    <row r="1929" spans="1:7">
      <c r="A1929" t="s">
        <v>20</v>
      </c>
      <c r="B1929" t="s">
        <v>19</v>
      </c>
      <c r="C1929" t="s">
        <v>1419</v>
      </c>
      <c r="D1929"/>
      <c r="E1929" t="s">
        <v>2913</v>
      </c>
      <c r="F1929"/>
      <c r="G1929" s="107">
        <v>30000</v>
      </c>
    </row>
    <row r="1930" spans="1:7">
      <c r="A1930" t="s">
        <v>20</v>
      </c>
      <c r="B1930" t="s">
        <v>19</v>
      </c>
      <c r="C1930" t="s">
        <v>214</v>
      </c>
      <c r="D1930"/>
      <c r="E1930" t="s">
        <v>2914</v>
      </c>
      <c r="F1930"/>
      <c r="G1930" s="107">
        <v>0</v>
      </c>
    </row>
    <row r="1931" spans="1:7">
      <c r="A1931" t="s">
        <v>20</v>
      </c>
      <c r="B1931" t="s">
        <v>19</v>
      </c>
      <c r="C1931" t="s">
        <v>1419</v>
      </c>
      <c r="D1931"/>
      <c r="E1931" t="s">
        <v>2915</v>
      </c>
      <c r="F1931"/>
      <c r="G1931" s="107">
        <v>15000</v>
      </c>
    </row>
    <row r="1932" spans="1:7">
      <c r="A1932" t="s">
        <v>20</v>
      </c>
      <c r="B1932" t="s">
        <v>19</v>
      </c>
      <c r="C1932" t="s">
        <v>1419</v>
      </c>
      <c r="D1932"/>
      <c r="E1932" t="s">
        <v>2916</v>
      </c>
      <c r="F1932"/>
      <c r="G1932" s="107">
        <v>30000</v>
      </c>
    </row>
    <row r="1933" spans="1:7">
      <c r="A1933" t="s">
        <v>20</v>
      </c>
      <c r="B1933" t="s">
        <v>19</v>
      </c>
      <c r="C1933" t="s">
        <v>1419</v>
      </c>
      <c r="D1933"/>
      <c r="E1933" t="s">
        <v>2917</v>
      </c>
      <c r="F1933"/>
      <c r="G1933" s="107">
        <v>7500</v>
      </c>
    </row>
    <row r="1934" spans="1:7">
      <c r="A1934" t="s">
        <v>20</v>
      </c>
      <c r="B1934" t="s">
        <v>19</v>
      </c>
      <c r="C1934" t="s">
        <v>214</v>
      </c>
      <c r="D1934"/>
      <c r="E1934" t="s">
        <v>2918</v>
      </c>
      <c r="F1934"/>
      <c r="G1934" s="107">
        <v>0</v>
      </c>
    </row>
    <row r="1935" spans="1:7">
      <c r="A1935" t="s">
        <v>20</v>
      </c>
      <c r="B1935" t="s">
        <v>19</v>
      </c>
      <c r="C1935" t="s">
        <v>1419</v>
      </c>
      <c r="D1935"/>
      <c r="E1935" t="s">
        <v>2919</v>
      </c>
      <c r="F1935"/>
      <c r="G1935" s="107">
        <v>11000</v>
      </c>
    </row>
    <row r="1936" spans="1:7">
      <c r="A1936" t="s">
        <v>20</v>
      </c>
      <c r="B1936" t="s">
        <v>19</v>
      </c>
      <c r="C1936" t="s">
        <v>214</v>
      </c>
      <c r="D1936"/>
      <c r="E1936" t="s">
        <v>2920</v>
      </c>
      <c r="F1936"/>
      <c r="G1936" s="107">
        <v>0</v>
      </c>
    </row>
    <row r="1937" spans="1:9">
      <c r="A1937" t="s">
        <v>20</v>
      </c>
      <c r="B1937" t="s">
        <v>19</v>
      </c>
      <c r="C1937" t="s">
        <v>1419</v>
      </c>
      <c r="D1937"/>
      <c r="E1937" t="s">
        <v>2921</v>
      </c>
      <c r="F1937"/>
      <c r="G1937" s="107">
        <v>22000</v>
      </c>
    </row>
    <row r="1938" spans="1:9">
      <c r="A1938" t="s">
        <v>20</v>
      </c>
      <c r="B1938" t="s">
        <v>19</v>
      </c>
      <c r="C1938" t="s">
        <v>1419</v>
      </c>
      <c r="D1938"/>
      <c r="E1938" t="s">
        <v>2922</v>
      </c>
      <c r="F1938"/>
      <c r="G1938" s="107">
        <v>44000</v>
      </c>
    </row>
    <row r="1939" spans="1:9">
      <c r="A1939" t="s">
        <v>20</v>
      </c>
      <c r="B1939" t="s">
        <v>19</v>
      </c>
      <c r="C1939" t="s">
        <v>1419</v>
      </c>
      <c r="D1939"/>
      <c r="E1939" t="s">
        <v>2923</v>
      </c>
      <c r="F1939"/>
      <c r="G1939" s="107">
        <v>11000</v>
      </c>
    </row>
    <row r="1940" spans="1:9">
      <c r="A1940" t="s">
        <v>20</v>
      </c>
      <c r="B1940" t="s">
        <v>19</v>
      </c>
      <c r="C1940" t="s">
        <v>214</v>
      </c>
      <c r="D1940"/>
      <c r="E1940" t="s">
        <v>2924</v>
      </c>
      <c r="F1940"/>
      <c r="G1940" s="107">
        <v>0</v>
      </c>
    </row>
    <row r="1941" spans="1:9">
      <c r="A1941" t="s">
        <v>20</v>
      </c>
      <c r="B1941" t="s">
        <v>19</v>
      </c>
      <c r="C1941" t="s">
        <v>1419</v>
      </c>
      <c r="D1941"/>
      <c r="E1941" t="s">
        <v>2925</v>
      </c>
      <c r="F1941"/>
      <c r="G1941" s="107">
        <v>11000</v>
      </c>
    </row>
    <row r="1942" spans="1:9">
      <c r="A1942" t="s">
        <v>20</v>
      </c>
      <c r="B1942" t="s">
        <v>19</v>
      </c>
      <c r="C1942" t="s">
        <v>1419</v>
      </c>
      <c r="D1942"/>
      <c r="E1942" t="s">
        <v>2926</v>
      </c>
      <c r="F1942"/>
      <c r="G1942" s="107">
        <v>44000</v>
      </c>
    </row>
    <row r="1943" spans="1:9">
      <c r="A1943" t="s">
        <v>20</v>
      </c>
      <c r="B1943" t="s">
        <v>19</v>
      </c>
      <c r="C1943" t="s">
        <v>1419</v>
      </c>
      <c r="D1943"/>
      <c r="E1943" t="s">
        <v>2927</v>
      </c>
      <c r="F1943"/>
      <c r="G1943" s="107">
        <v>11000</v>
      </c>
    </row>
    <row r="1944" spans="1:9">
      <c r="A1944" t="s">
        <v>20</v>
      </c>
      <c r="B1944" t="s">
        <v>19</v>
      </c>
      <c r="C1944" t="s">
        <v>214</v>
      </c>
      <c r="D1944"/>
      <c r="E1944" t="s">
        <v>2928</v>
      </c>
      <c r="F1944"/>
      <c r="G1944" s="107">
        <v>0</v>
      </c>
    </row>
    <row r="1945" spans="1:9">
      <c r="A1945" t="s">
        <v>20</v>
      </c>
      <c r="B1945" t="s">
        <v>19</v>
      </c>
      <c r="C1945" t="s">
        <v>1419</v>
      </c>
      <c r="D1945"/>
      <c r="E1945" t="s">
        <v>2929</v>
      </c>
      <c r="F1945"/>
      <c r="G1945" s="107">
        <v>12000</v>
      </c>
    </row>
    <row r="1946" spans="1:9">
      <c r="A1946" t="s">
        <v>20</v>
      </c>
      <c r="B1946" t="s">
        <v>19</v>
      </c>
      <c r="C1946" t="s">
        <v>1419</v>
      </c>
      <c r="D1946"/>
      <c r="E1946" t="s">
        <v>2930</v>
      </c>
      <c r="F1946"/>
      <c r="G1946" s="107">
        <v>48000</v>
      </c>
    </row>
    <row r="1947" spans="1:9">
      <c r="A1947" t="s">
        <v>20</v>
      </c>
      <c r="B1947" t="s">
        <v>19</v>
      </c>
      <c r="C1947" t="s">
        <v>1419</v>
      </c>
      <c r="D1947"/>
      <c r="E1947" t="s">
        <v>2931</v>
      </c>
      <c r="F1947"/>
      <c r="G1947" s="107">
        <v>8000</v>
      </c>
    </row>
    <row r="1948" spans="1:9">
      <c r="A1948" t="s">
        <v>20</v>
      </c>
      <c r="B1948" t="s">
        <v>19</v>
      </c>
      <c r="C1948" t="s">
        <v>214</v>
      </c>
      <c r="D1948"/>
      <c r="E1948" t="s">
        <v>2932</v>
      </c>
      <c r="F1948"/>
      <c r="G1948" s="107">
        <v>0</v>
      </c>
    </row>
    <row r="1949" spans="1:9">
      <c r="A1949" t="s">
        <v>20</v>
      </c>
      <c r="B1949" t="s">
        <v>19</v>
      </c>
      <c r="C1949" t="s">
        <v>1419</v>
      </c>
      <c r="D1949"/>
      <c r="E1949" t="s">
        <v>2933</v>
      </c>
      <c r="F1949"/>
      <c r="G1949" s="107">
        <v>11250</v>
      </c>
    </row>
    <row r="1950" spans="1:9">
      <c r="A1950" t="s">
        <v>20</v>
      </c>
      <c r="B1950" t="s">
        <v>19</v>
      </c>
      <c r="C1950" t="s">
        <v>1419</v>
      </c>
      <c r="D1950"/>
      <c r="E1950" t="s">
        <v>2934</v>
      </c>
      <c r="F1950"/>
      <c r="G1950" s="107">
        <v>45000</v>
      </c>
    </row>
    <row r="1951" spans="1:9">
      <c r="A1951" t="s">
        <v>20</v>
      </c>
      <c r="B1951" t="s">
        <v>19</v>
      </c>
      <c r="C1951" t="s">
        <v>1419</v>
      </c>
      <c r="D1951"/>
      <c r="E1951" t="s">
        <v>2935</v>
      </c>
      <c r="F1951"/>
      <c r="G1951" s="107">
        <v>7500</v>
      </c>
    </row>
    <row r="1952" spans="1:9">
      <c r="A1952" t="s">
        <v>20</v>
      </c>
      <c r="B1952" t="s">
        <v>19</v>
      </c>
      <c r="C1952" t="s">
        <v>1419</v>
      </c>
      <c r="D1952"/>
      <c r="E1952" t="s">
        <v>3413</v>
      </c>
      <c r="F1952"/>
      <c r="G1952" s="107"/>
      <c r="H1952" s="6">
        <f>12600+17500</f>
        <v>30100</v>
      </c>
      <c r="I1952" t="s">
        <v>3403</v>
      </c>
    </row>
    <row r="1953" spans="1:9">
      <c r="A1953" t="s">
        <v>20</v>
      </c>
      <c r="B1953" t="s">
        <v>19</v>
      </c>
      <c r="C1953" t="s">
        <v>227</v>
      </c>
      <c r="D1953"/>
      <c r="E1953" t="s">
        <v>3798</v>
      </c>
      <c r="F1953"/>
      <c r="G1953" s="107"/>
      <c r="H1953" s="6">
        <v>96698</v>
      </c>
      <c r="I1953" t="s">
        <v>3403</v>
      </c>
    </row>
    <row r="1954" spans="1:9">
      <c r="A1954" s="128" t="s">
        <v>20</v>
      </c>
      <c r="B1954" s="128" t="s">
        <v>2117</v>
      </c>
      <c r="C1954" s="128"/>
      <c r="D1954" s="128"/>
      <c r="E1954" s="128" t="s">
        <v>1102</v>
      </c>
      <c r="F1954" s="128"/>
      <c r="G1954" s="129">
        <v>50000</v>
      </c>
    </row>
    <row r="1955" spans="1:9">
      <c r="A1955" t="s">
        <v>20</v>
      </c>
      <c r="B1955" t="s">
        <v>19</v>
      </c>
      <c r="C1955" t="s">
        <v>214</v>
      </c>
      <c r="D1955"/>
      <c r="E1955" t="s">
        <v>1103</v>
      </c>
      <c r="F1955"/>
      <c r="G1955" s="107">
        <v>0</v>
      </c>
    </row>
    <row r="1956" spans="1:9">
      <c r="A1956" t="s">
        <v>20</v>
      </c>
      <c r="B1956" t="s">
        <v>19</v>
      </c>
      <c r="C1956" t="s">
        <v>236</v>
      </c>
      <c r="D1956"/>
      <c r="E1956" t="s">
        <v>2936</v>
      </c>
      <c r="F1956"/>
      <c r="G1956" s="107">
        <v>50000</v>
      </c>
    </row>
    <row r="1957" spans="1:9">
      <c r="A1957" s="163" t="s">
        <v>20</v>
      </c>
      <c r="B1957" s="163" t="s">
        <v>8</v>
      </c>
      <c r="C1957" s="163"/>
      <c r="D1957" s="163"/>
      <c r="E1957" s="163" t="s">
        <v>1104</v>
      </c>
      <c r="F1957" s="163"/>
      <c r="G1957" s="164">
        <v>810000</v>
      </c>
    </row>
    <row r="1958" spans="1:9">
      <c r="A1958" s="128" t="s">
        <v>20</v>
      </c>
      <c r="B1958" s="128" t="s">
        <v>2117</v>
      </c>
      <c r="C1958" s="128"/>
      <c r="D1958" s="128"/>
      <c r="E1958" s="128" t="s">
        <v>2937</v>
      </c>
      <c r="F1958" s="128"/>
      <c r="G1958" s="129">
        <v>90000</v>
      </c>
    </row>
    <row r="1959" spans="1:9">
      <c r="A1959" t="s">
        <v>20</v>
      </c>
      <c r="B1959" t="s">
        <v>19</v>
      </c>
      <c r="C1959" t="s">
        <v>214</v>
      </c>
      <c r="D1959"/>
      <c r="E1959" t="s">
        <v>2938</v>
      </c>
      <c r="F1959"/>
      <c r="G1959" s="107">
        <v>0</v>
      </c>
    </row>
    <row r="1960" spans="1:9">
      <c r="A1960" t="s">
        <v>20</v>
      </c>
      <c r="B1960" t="s">
        <v>19</v>
      </c>
      <c r="C1960" t="s">
        <v>227</v>
      </c>
      <c r="D1960"/>
      <c r="E1960" t="s">
        <v>2939</v>
      </c>
      <c r="F1960"/>
      <c r="G1960" s="107">
        <v>90000</v>
      </c>
    </row>
    <row r="1961" spans="1:9">
      <c r="A1961" s="128" t="s">
        <v>20</v>
      </c>
      <c r="B1961" s="128" t="s">
        <v>2117</v>
      </c>
      <c r="C1961" s="128"/>
      <c r="D1961" s="128"/>
      <c r="E1961" s="128" t="s">
        <v>2940</v>
      </c>
      <c r="F1961" s="128"/>
      <c r="G1961" s="129">
        <v>720000</v>
      </c>
    </row>
    <row r="1962" spans="1:9">
      <c r="A1962" t="s">
        <v>20</v>
      </c>
      <c r="B1962" t="s">
        <v>19</v>
      </c>
      <c r="C1962" t="s">
        <v>214</v>
      </c>
      <c r="D1962"/>
      <c r="E1962" t="s">
        <v>2941</v>
      </c>
      <c r="F1962"/>
      <c r="G1962" s="107">
        <v>0</v>
      </c>
    </row>
    <row r="1963" spans="1:9">
      <c r="A1963" t="s">
        <v>20</v>
      </c>
      <c r="B1963" t="s">
        <v>19</v>
      </c>
      <c r="C1963" t="s">
        <v>227</v>
      </c>
      <c r="D1963"/>
      <c r="E1963" t="s">
        <v>2942</v>
      </c>
      <c r="F1963"/>
      <c r="G1963" s="107">
        <v>720000</v>
      </c>
    </row>
    <row r="1964" spans="1:9">
      <c r="A1964" s="163" t="s">
        <v>20</v>
      </c>
      <c r="B1964" s="163" t="s">
        <v>8</v>
      </c>
      <c r="C1964" s="163"/>
      <c r="D1964" s="163"/>
      <c r="E1964" s="163" t="s">
        <v>1105</v>
      </c>
      <c r="F1964" s="163"/>
      <c r="G1964" s="164">
        <v>747019</v>
      </c>
    </row>
    <row r="1965" spans="1:9">
      <c r="A1965" s="128" t="s">
        <v>20</v>
      </c>
      <c r="B1965" s="128" t="s">
        <v>2117</v>
      </c>
      <c r="C1965" s="128"/>
      <c r="D1965" s="128"/>
      <c r="E1965" s="128" t="s">
        <v>1106</v>
      </c>
      <c r="F1965" s="128"/>
      <c r="G1965" s="129">
        <v>438400</v>
      </c>
    </row>
    <row r="1966" spans="1:9">
      <c r="A1966" t="s">
        <v>20</v>
      </c>
      <c r="B1966" t="s">
        <v>19</v>
      </c>
      <c r="C1966" t="s">
        <v>214</v>
      </c>
      <c r="D1966"/>
      <c r="E1966" t="s">
        <v>1107</v>
      </c>
      <c r="F1966"/>
      <c r="G1966" s="107">
        <v>0</v>
      </c>
    </row>
    <row r="1967" spans="1:9">
      <c r="A1967" t="s">
        <v>20</v>
      </c>
      <c r="B1967" t="s">
        <v>19</v>
      </c>
      <c r="C1967" t="s">
        <v>468</v>
      </c>
      <c r="D1967"/>
      <c r="E1967" t="s">
        <v>1108</v>
      </c>
      <c r="F1967"/>
      <c r="G1967" s="107">
        <v>50400</v>
      </c>
    </row>
    <row r="1968" spans="1:9">
      <c r="A1968" t="s">
        <v>20</v>
      </c>
      <c r="B1968" t="s">
        <v>19</v>
      </c>
      <c r="C1968" t="s">
        <v>214</v>
      </c>
      <c r="D1968"/>
      <c r="E1968" t="s">
        <v>1109</v>
      </c>
      <c r="F1968"/>
      <c r="G1968" s="107">
        <v>0</v>
      </c>
    </row>
    <row r="1969" spans="1:7">
      <c r="A1969" t="s">
        <v>20</v>
      </c>
      <c r="B1969" t="s">
        <v>19</v>
      </c>
      <c r="C1969" t="s">
        <v>468</v>
      </c>
      <c r="D1969"/>
      <c r="E1969" t="s">
        <v>1110</v>
      </c>
      <c r="F1969"/>
      <c r="G1969" s="107">
        <v>84000</v>
      </c>
    </row>
    <row r="1970" spans="1:7">
      <c r="A1970" t="s">
        <v>20</v>
      </c>
      <c r="B1970" t="s">
        <v>19</v>
      </c>
      <c r="C1970" t="s">
        <v>214</v>
      </c>
      <c r="D1970"/>
      <c r="E1970" t="s">
        <v>2943</v>
      </c>
      <c r="F1970"/>
      <c r="G1970" s="107">
        <v>0</v>
      </c>
    </row>
    <row r="1971" spans="1:7">
      <c r="A1971" t="s">
        <v>20</v>
      </c>
      <c r="B1971" t="s">
        <v>19</v>
      </c>
      <c r="C1971" t="s">
        <v>468</v>
      </c>
      <c r="D1971"/>
      <c r="E1971" t="s">
        <v>2944</v>
      </c>
      <c r="F1971"/>
      <c r="G1971" s="107">
        <v>152000</v>
      </c>
    </row>
    <row r="1972" spans="1:7">
      <c r="A1972" t="s">
        <v>20</v>
      </c>
      <c r="B1972" t="s">
        <v>19</v>
      </c>
      <c r="C1972" t="s">
        <v>468</v>
      </c>
      <c r="D1972"/>
      <c r="E1972" t="s">
        <v>2945</v>
      </c>
      <c r="F1972"/>
      <c r="G1972" s="107">
        <v>152000</v>
      </c>
    </row>
    <row r="1973" spans="1:7">
      <c r="A1973" s="128" t="s">
        <v>20</v>
      </c>
      <c r="B1973" s="128" t="s">
        <v>2117</v>
      </c>
      <c r="C1973" s="128"/>
      <c r="D1973" s="128"/>
      <c r="E1973" s="128" t="s">
        <v>1111</v>
      </c>
      <c r="F1973" s="128"/>
      <c r="G1973" s="129">
        <v>197119</v>
      </c>
    </row>
    <row r="1974" spans="1:7">
      <c r="A1974" t="s">
        <v>20</v>
      </c>
      <c r="B1974" t="s">
        <v>19</v>
      </c>
      <c r="C1974" t="s">
        <v>214</v>
      </c>
      <c r="D1974"/>
      <c r="E1974" t="s">
        <v>1112</v>
      </c>
      <c r="F1974"/>
      <c r="G1974" s="107">
        <v>0</v>
      </c>
    </row>
    <row r="1975" spans="1:7">
      <c r="A1975" t="s">
        <v>20</v>
      </c>
      <c r="B1975" t="s">
        <v>19</v>
      </c>
      <c r="C1975" t="s">
        <v>468</v>
      </c>
      <c r="D1975"/>
      <c r="E1975" t="s">
        <v>1113</v>
      </c>
      <c r="F1975"/>
      <c r="G1975" s="107">
        <v>197118.96</v>
      </c>
    </row>
    <row r="1976" spans="1:7">
      <c r="A1976" s="128" t="s">
        <v>20</v>
      </c>
      <c r="B1976" s="128" t="s">
        <v>2117</v>
      </c>
      <c r="C1976" s="128"/>
      <c r="D1976" s="128"/>
      <c r="E1976" s="128" t="s">
        <v>1114</v>
      </c>
      <c r="F1976" s="128"/>
      <c r="G1976" s="129">
        <v>111500</v>
      </c>
    </row>
    <row r="1977" spans="1:7">
      <c r="A1977" t="s">
        <v>20</v>
      </c>
      <c r="B1977" t="s">
        <v>19</v>
      </c>
      <c r="C1977" t="s">
        <v>214</v>
      </c>
      <c r="D1977"/>
      <c r="E1977" t="s">
        <v>1115</v>
      </c>
      <c r="F1977"/>
      <c r="G1977" s="107">
        <v>0</v>
      </c>
    </row>
    <row r="1978" spans="1:7">
      <c r="A1978" t="s">
        <v>20</v>
      </c>
      <c r="B1978" t="s">
        <v>19</v>
      </c>
      <c r="C1978" t="s">
        <v>227</v>
      </c>
      <c r="D1978"/>
      <c r="E1978" t="s">
        <v>1116</v>
      </c>
      <c r="F1978"/>
      <c r="G1978" s="107">
        <v>96000</v>
      </c>
    </row>
    <row r="1979" spans="1:7">
      <c r="A1979" t="s">
        <v>20</v>
      </c>
      <c r="B1979" t="s">
        <v>19</v>
      </c>
      <c r="C1979" t="s">
        <v>214</v>
      </c>
      <c r="D1979"/>
      <c r="E1979" t="s">
        <v>2946</v>
      </c>
      <c r="F1979"/>
      <c r="G1979" s="107">
        <v>0</v>
      </c>
    </row>
    <row r="1980" spans="1:7">
      <c r="A1980" t="s">
        <v>20</v>
      </c>
      <c r="B1980" t="s">
        <v>19</v>
      </c>
      <c r="C1980" t="s">
        <v>227</v>
      </c>
      <c r="D1980"/>
      <c r="E1980" t="s">
        <v>2947</v>
      </c>
      <c r="F1980"/>
      <c r="G1980" s="107">
        <v>15500</v>
      </c>
    </row>
    <row r="1981" spans="1:7">
      <c r="A1981" s="163" t="s">
        <v>20</v>
      </c>
      <c r="B1981" s="163" t="s">
        <v>8</v>
      </c>
      <c r="C1981" s="163"/>
      <c r="D1981" s="163"/>
      <c r="E1981" s="163" t="s">
        <v>1117</v>
      </c>
      <c r="F1981" s="163"/>
      <c r="G1981" s="164">
        <v>5965292.8499999996</v>
      </c>
    </row>
    <row r="1982" spans="1:7">
      <c r="A1982" s="128" t="s">
        <v>20</v>
      </c>
      <c r="B1982" s="128" t="s">
        <v>2117</v>
      </c>
      <c r="C1982" s="128"/>
      <c r="D1982" s="128"/>
      <c r="E1982" s="128" t="s">
        <v>1118</v>
      </c>
      <c r="F1982" s="128"/>
      <c r="G1982" s="129">
        <v>210701</v>
      </c>
    </row>
    <row r="1983" spans="1:7">
      <c r="A1983" t="s">
        <v>20</v>
      </c>
      <c r="B1983" t="s">
        <v>19</v>
      </c>
      <c r="C1983" t="s">
        <v>214</v>
      </c>
      <c r="D1983"/>
      <c r="E1983" t="s">
        <v>1119</v>
      </c>
      <c r="F1983"/>
      <c r="G1983" s="107">
        <v>0</v>
      </c>
    </row>
    <row r="1984" spans="1:7">
      <c r="A1984" t="s">
        <v>20</v>
      </c>
      <c r="B1984" t="s">
        <v>19</v>
      </c>
      <c r="C1984" t="s">
        <v>227</v>
      </c>
      <c r="D1984"/>
      <c r="E1984" t="s">
        <v>1120</v>
      </c>
      <c r="F1984"/>
      <c r="G1984" s="107">
        <v>2250</v>
      </c>
    </row>
    <row r="1985" spans="1:7">
      <c r="A1985" t="s">
        <v>20</v>
      </c>
      <c r="B1985" t="s">
        <v>19</v>
      </c>
      <c r="C1985" t="s">
        <v>227</v>
      </c>
      <c r="D1985"/>
      <c r="E1985" t="s">
        <v>1121</v>
      </c>
      <c r="F1985"/>
      <c r="G1985" s="107">
        <v>2250</v>
      </c>
    </row>
    <row r="1986" spans="1:7">
      <c r="A1986" t="s">
        <v>20</v>
      </c>
      <c r="B1986" t="s">
        <v>19</v>
      </c>
      <c r="C1986" t="s">
        <v>214</v>
      </c>
      <c r="D1986"/>
      <c r="E1986" t="s">
        <v>1122</v>
      </c>
      <c r="F1986"/>
      <c r="G1986" s="107">
        <v>0</v>
      </c>
    </row>
    <row r="1987" spans="1:7">
      <c r="A1987" t="s">
        <v>20</v>
      </c>
      <c r="B1987" t="s">
        <v>19</v>
      </c>
      <c r="C1987" t="s">
        <v>227</v>
      </c>
      <c r="D1987"/>
      <c r="E1987" t="s">
        <v>1123</v>
      </c>
      <c r="F1987"/>
      <c r="G1987" s="107">
        <v>2451</v>
      </c>
    </row>
    <row r="1988" spans="1:7">
      <c r="A1988" t="s">
        <v>20</v>
      </c>
      <c r="B1988" t="s">
        <v>19</v>
      </c>
      <c r="C1988" t="s">
        <v>227</v>
      </c>
      <c r="D1988"/>
      <c r="E1988" t="s">
        <v>1124</v>
      </c>
      <c r="F1988"/>
      <c r="G1988" s="107">
        <v>2250</v>
      </c>
    </row>
    <row r="1989" spans="1:7">
      <c r="A1989" t="s">
        <v>20</v>
      </c>
      <c r="B1989" t="s">
        <v>19</v>
      </c>
      <c r="C1989" t="s">
        <v>214</v>
      </c>
      <c r="D1989"/>
      <c r="E1989" t="s">
        <v>1125</v>
      </c>
      <c r="F1989"/>
      <c r="G1989" s="107">
        <v>0</v>
      </c>
    </row>
    <row r="1990" spans="1:7">
      <c r="A1990" t="s">
        <v>20</v>
      </c>
      <c r="B1990" t="s">
        <v>19</v>
      </c>
      <c r="C1990" t="s">
        <v>227</v>
      </c>
      <c r="D1990"/>
      <c r="E1990" t="s">
        <v>1126</v>
      </c>
      <c r="F1990"/>
      <c r="G1990" s="107">
        <v>2250</v>
      </c>
    </row>
    <row r="1991" spans="1:7">
      <c r="A1991" t="s">
        <v>20</v>
      </c>
      <c r="B1991" t="s">
        <v>19</v>
      </c>
      <c r="C1991" t="s">
        <v>227</v>
      </c>
      <c r="D1991"/>
      <c r="E1991" t="s">
        <v>1127</v>
      </c>
      <c r="F1991"/>
      <c r="G1991" s="107">
        <v>2250</v>
      </c>
    </row>
    <row r="1992" spans="1:7">
      <c r="A1992" t="s">
        <v>20</v>
      </c>
      <c r="B1992" t="s">
        <v>19</v>
      </c>
      <c r="C1992" t="s">
        <v>214</v>
      </c>
      <c r="D1992"/>
      <c r="E1992" t="s">
        <v>1128</v>
      </c>
      <c r="F1992"/>
      <c r="G1992" s="107">
        <v>0</v>
      </c>
    </row>
    <row r="1993" spans="1:7">
      <c r="A1993" t="s">
        <v>20</v>
      </c>
      <c r="B1993" t="s">
        <v>19</v>
      </c>
      <c r="C1993" t="s">
        <v>227</v>
      </c>
      <c r="D1993"/>
      <c r="E1993" t="s">
        <v>1129</v>
      </c>
      <c r="F1993"/>
      <c r="G1993" s="107">
        <v>2250</v>
      </c>
    </row>
    <row r="1994" spans="1:7">
      <c r="A1994" t="s">
        <v>20</v>
      </c>
      <c r="B1994" t="s">
        <v>19</v>
      </c>
      <c r="C1994" t="s">
        <v>227</v>
      </c>
      <c r="D1994"/>
      <c r="E1994" t="s">
        <v>1130</v>
      </c>
      <c r="F1994"/>
      <c r="G1994" s="107">
        <v>2250</v>
      </c>
    </row>
    <row r="1995" spans="1:7">
      <c r="A1995" t="s">
        <v>20</v>
      </c>
      <c r="B1995" t="s">
        <v>19</v>
      </c>
      <c r="C1995" t="s">
        <v>214</v>
      </c>
      <c r="D1995"/>
      <c r="E1995" t="s">
        <v>1131</v>
      </c>
      <c r="F1995"/>
      <c r="G1995" s="107">
        <v>0</v>
      </c>
    </row>
    <row r="1996" spans="1:7">
      <c r="A1996" t="s">
        <v>20</v>
      </c>
      <c r="B1996" t="s">
        <v>19</v>
      </c>
      <c r="C1996" t="s">
        <v>227</v>
      </c>
      <c r="D1996"/>
      <c r="E1996" t="s">
        <v>1132</v>
      </c>
      <c r="F1996"/>
      <c r="G1996" s="107">
        <v>2250</v>
      </c>
    </row>
    <row r="1997" spans="1:7">
      <c r="A1997" t="s">
        <v>20</v>
      </c>
      <c r="B1997" t="s">
        <v>19</v>
      </c>
      <c r="C1997" t="s">
        <v>227</v>
      </c>
      <c r="D1997"/>
      <c r="E1997" t="s">
        <v>1133</v>
      </c>
      <c r="F1997"/>
      <c r="G1997" s="107">
        <v>2250</v>
      </c>
    </row>
    <row r="1998" spans="1:7">
      <c r="A1998" t="s">
        <v>20</v>
      </c>
      <c r="B1998" t="s">
        <v>19</v>
      </c>
      <c r="C1998" t="s">
        <v>214</v>
      </c>
      <c r="D1998"/>
      <c r="E1998" t="s">
        <v>1134</v>
      </c>
      <c r="F1998"/>
      <c r="G1998" s="107">
        <v>0</v>
      </c>
    </row>
    <row r="1999" spans="1:7">
      <c r="A1999" t="s">
        <v>20</v>
      </c>
      <c r="B1999" t="s">
        <v>19</v>
      </c>
      <c r="C1999" t="s">
        <v>227</v>
      </c>
      <c r="D1999"/>
      <c r="E1999" t="s">
        <v>1135</v>
      </c>
      <c r="F1999"/>
      <c r="G1999" s="107">
        <v>2250</v>
      </c>
    </row>
    <row r="2000" spans="1:7">
      <c r="A2000" t="s">
        <v>20</v>
      </c>
      <c r="B2000" t="s">
        <v>19</v>
      </c>
      <c r="C2000" t="s">
        <v>227</v>
      </c>
      <c r="D2000"/>
      <c r="E2000" t="s">
        <v>1136</v>
      </c>
      <c r="F2000"/>
      <c r="G2000" s="107">
        <v>2250</v>
      </c>
    </row>
    <row r="2001" spans="1:9">
      <c r="A2001" t="s">
        <v>20</v>
      </c>
      <c r="B2001" t="s">
        <v>19</v>
      </c>
      <c r="C2001" t="s">
        <v>214</v>
      </c>
      <c r="D2001"/>
      <c r="E2001" t="s">
        <v>1766</v>
      </c>
      <c r="F2001"/>
      <c r="G2001" s="107">
        <v>0</v>
      </c>
    </row>
    <row r="2002" spans="1:9">
      <c r="A2002" t="s">
        <v>20</v>
      </c>
      <c r="B2002" t="s">
        <v>19</v>
      </c>
      <c r="C2002" t="s">
        <v>227</v>
      </c>
      <c r="D2002"/>
      <c r="E2002" t="s">
        <v>1767</v>
      </c>
      <c r="F2002"/>
      <c r="G2002" s="107">
        <v>9000</v>
      </c>
    </row>
    <row r="2003" spans="1:9">
      <c r="A2003" t="s">
        <v>20</v>
      </c>
      <c r="B2003" t="s">
        <v>19</v>
      </c>
      <c r="C2003" t="s">
        <v>227</v>
      </c>
      <c r="D2003"/>
      <c r="E2003" t="s">
        <v>1768</v>
      </c>
      <c r="F2003"/>
      <c r="G2003" s="107">
        <v>9000</v>
      </c>
    </row>
    <row r="2004" spans="1:9">
      <c r="A2004" t="s">
        <v>20</v>
      </c>
      <c r="B2004" t="s">
        <v>19</v>
      </c>
      <c r="C2004" t="s">
        <v>214</v>
      </c>
      <c r="D2004"/>
      <c r="E2004" t="s">
        <v>1769</v>
      </c>
      <c r="F2004"/>
      <c r="G2004" s="107">
        <v>0</v>
      </c>
    </row>
    <row r="2005" spans="1:9">
      <c r="A2005" t="s">
        <v>20</v>
      </c>
      <c r="B2005" t="s">
        <v>19</v>
      </c>
      <c r="C2005" t="s">
        <v>227</v>
      </c>
      <c r="D2005"/>
      <c r="E2005" t="s">
        <v>1770</v>
      </c>
      <c r="F2005"/>
      <c r="G2005" s="107">
        <v>40500</v>
      </c>
    </row>
    <row r="2006" spans="1:9">
      <c r="A2006" t="s">
        <v>20</v>
      </c>
      <c r="B2006" t="s">
        <v>19</v>
      </c>
      <c r="C2006" t="s">
        <v>227</v>
      </c>
      <c r="D2006"/>
      <c r="E2006" t="s">
        <v>1771</v>
      </c>
      <c r="F2006"/>
      <c r="G2006" s="107">
        <v>40500</v>
      </c>
    </row>
    <row r="2007" spans="1:9">
      <c r="A2007" t="s">
        <v>20</v>
      </c>
      <c r="B2007" t="s">
        <v>19</v>
      </c>
      <c r="C2007" t="s">
        <v>214</v>
      </c>
      <c r="D2007"/>
      <c r="E2007" t="s">
        <v>2948</v>
      </c>
      <c r="F2007"/>
      <c r="G2007" s="107">
        <v>0</v>
      </c>
    </row>
    <row r="2008" spans="1:9">
      <c r="A2008" t="s">
        <v>20</v>
      </c>
      <c r="B2008" t="s">
        <v>19</v>
      </c>
      <c r="C2008" t="s">
        <v>227</v>
      </c>
      <c r="D2008"/>
      <c r="E2008" t="s">
        <v>2949</v>
      </c>
      <c r="F2008"/>
      <c r="G2008" s="107">
        <v>2250</v>
      </c>
    </row>
    <row r="2009" spans="1:9">
      <c r="A2009" t="s">
        <v>20</v>
      </c>
      <c r="B2009" t="s">
        <v>19</v>
      </c>
      <c r="C2009" t="s">
        <v>227</v>
      </c>
      <c r="D2009"/>
      <c r="E2009" t="s">
        <v>2950</v>
      </c>
      <c r="F2009"/>
      <c r="G2009" s="107">
        <v>2250</v>
      </c>
    </row>
    <row r="2010" spans="1:9">
      <c r="A2010" t="s">
        <v>20</v>
      </c>
      <c r="B2010" t="s">
        <v>19</v>
      </c>
      <c r="C2010" t="s">
        <v>214</v>
      </c>
      <c r="D2010"/>
      <c r="E2010" t="s">
        <v>2951</v>
      </c>
      <c r="F2010"/>
      <c r="G2010" s="107">
        <v>0</v>
      </c>
    </row>
    <row r="2011" spans="1:9">
      <c r="A2011" t="s">
        <v>20</v>
      </c>
      <c r="B2011" t="s">
        <v>19</v>
      </c>
      <c r="C2011" t="s">
        <v>227</v>
      </c>
      <c r="D2011"/>
      <c r="E2011" t="s">
        <v>2952</v>
      </c>
      <c r="F2011"/>
      <c r="G2011" s="107">
        <v>40000</v>
      </c>
    </row>
    <row r="2012" spans="1:9">
      <c r="A2012" t="s">
        <v>20</v>
      </c>
      <c r="B2012" t="s">
        <v>19</v>
      </c>
      <c r="C2012" t="s">
        <v>227</v>
      </c>
      <c r="D2012"/>
      <c r="E2012" t="s">
        <v>2953</v>
      </c>
      <c r="F2012"/>
      <c r="G2012" s="107">
        <v>40000</v>
      </c>
    </row>
    <row r="2013" spans="1:9">
      <c r="A2013" t="s">
        <v>20</v>
      </c>
      <c r="B2013" t="s">
        <v>19</v>
      </c>
      <c r="C2013" t="s">
        <v>227</v>
      </c>
      <c r="D2013"/>
      <c r="E2013" t="s">
        <v>4210</v>
      </c>
      <c r="F2013"/>
      <c r="G2013" s="107"/>
      <c r="I2013" t="s">
        <v>3403</v>
      </c>
    </row>
    <row r="2014" spans="1:9">
      <c r="A2014" s="128" t="s">
        <v>20</v>
      </c>
      <c r="B2014" s="128" t="s">
        <v>2117</v>
      </c>
      <c r="C2014" s="128"/>
      <c r="D2014" s="128"/>
      <c r="E2014" s="128" t="s">
        <v>1137</v>
      </c>
      <c r="F2014" s="128"/>
      <c r="G2014" s="129">
        <v>4360556</v>
      </c>
    </row>
    <row r="2015" spans="1:9">
      <c r="A2015" t="s">
        <v>20</v>
      </c>
      <c r="B2015" t="s">
        <v>19</v>
      </c>
      <c r="C2015" t="s">
        <v>214</v>
      </c>
      <c r="D2015"/>
      <c r="E2015" t="s">
        <v>1138</v>
      </c>
      <c r="F2015"/>
      <c r="G2015" s="107">
        <v>0</v>
      </c>
    </row>
    <row r="2016" spans="1:9">
      <c r="A2016" t="s">
        <v>20</v>
      </c>
      <c r="B2016" t="s">
        <v>19</v>
      </c>
      <c r="C2016" t="s">
        <v>227</v>
      </c>
      <c r="D2016"/>
      <c r="E2016" t="s">
        <v>1139</v>
      </c>
      <c r="F2016"/>
      <c r="G2016" s="107">
        <v>201600</v>
      </c>
    </row>
    <row r="2017" spans="1:7">
      <c r="A2017" t="s">
        <v>20</v>
      </c>
      <c r="B2017" t="s">
        <v>19</v>
      </c>
      <c r="C2017" t="s">
        <v>214</v>
      </c>
      <c r="D2017"/>
      <c r="E2017" t="s">
        <v>1140</v>
      </c>
      <c r="F2017"/>
      <c r="G2017" s="107">
        <v>0</v>
      </c>
    </row>
    <row r="2018" spans="1:7">
      <c r="A2018" t="s">
        <v>20</v>
      </c>
      <c r="B2018" t="s">
        <v>19</v>
      </c>
      <c r="C2018" t="s">
        <v>234</v>
      </c>
      <c r="D2018"/>
      <c r="E2018" t="s">
        <v>1141</v>
      </c>
      <c r="F2018"/>
      <c r="G2018" s="107">
        <v>374400</v>
      </c>
    </row>
    <row r="2019" spans="1:7">
      <c r="A2019" t="s">
        <v>20</v>
      </c>
      <c r="B2019" t="s">
        <v>19</v>
      </c>
      <c r="C2019" t="s">
        <v>236</v>
      </c>
      <c r="D2019"/>
      <c r="E2019" t="s">
        <v>1142</v>
      </c>
      <c r="F2019"/>
      <c r="G2019" s="107">
        <v>1719900</v>
      </c>
    </row>
    <row r="2020" spans="1:7">
      <c r="A2020" t="s">
        <v>20</v>
      </c>
      <c r="B2020" t="s">
        <v>19</v>
      </c>
      <c r="C2020" t="s">
        <v>238</v>
      </c>
      <c r="D2020"/>
      <c r="E2020" t="s">
        <v>1143</v>
      </c>
      <c r="F2020"/>
      <c r="G2020" s="107">
        <v>230400</v>
      </c>
    </row>
    <row r="2021" spans="1:7">
      <c r="A2021" t="s">
        <v>20</v>
      </c>
      <c r="B2021" t="s">
        <v>19</v>
      </c>
      <c r="C2021" t="s">
        <v>214</v>
      </c>
      <c r="D2021"/>
      <c r="E2021" t="s">
        <v>1144</v>
      </c>
      <c r="F2021"/>
      <c r="G2021" s="107">
        <v>0</v>
      </c>
    </row>
    <row r="2022" spans="1:7">
      <c r="A2022" t="s">
        <v>20</v>
      </c>
      <c r="B2022" t="s">
        <v>19</v>
      </c>
      <c r="C2022" t="s">
        <v>1419</v>
      </c>
      <c r="D2022"/>
      <c r="E2022" t="s">
        <v>1145</v>
      </c>
      <c r="F2022"/>
      <c r="G2022" s="107">
        <v>31500</v>
      </c>
    </row>
    <row r="2023" spans="1:7">
      <c r="A2023" t="s">
        <v>20</v>
      </c>
      <c r="B2023" t="s">
        <v>19</v>
      </c>
      <c r="C2023" t="s">
        <v>1419</v>
      </c>
      <c r="D2023"/>
      <c r="E2023" t="s">
        <v>1146</v>
      </c>
      <c r="F2023"/>
      <c r="G2023" s="107">
        <v>226800</v>
      </c>
    </row>
    <row r="2024" spans="1:7">
      <c r="A2024" t="s">
        <v>20</v>
      </c>
      <c r="B2024" t="s">
        <v>19</v>
      </c>
      <c r="C2024" t="s">
        <v>1419</v>
      </c>
      <c r="D2024"/>
      <c r="E2024" t="s">
        <v>1147</v>
      </c>
      <c r="F2024"/>
      <c r="G2024" s="107">
        <v>13500</v>
      </c>
    </row>
    <row r="2025" spans="1:7">
      <c r="A2025" t="s">
        <v>20</v>
      </c>
      <c r="B2025" t="s">
        <v>19</v>
      </c>
      <c r="C2025" t="s">
        <v>214</v>
      </c>
      <c r="D2025"/>
      <c r="E2025" t="s">
        <v>1148</v>
      </c>
      <c r="F2025"/>
      <c r="G2025" s="107">
        <v>0</v>
      </c>
    </row>
    <row r="2026" spans="1:7">
      <c r="A2026" t="s">
        <v>20</v>
      </c>
      <c r="B2026" t="s">
        <v>19</v>
      </c>
      <c r="C2026" t="s">
        <v>236</v>
      </c>
      <c r="D2026"/>
      <c r="E2026" t="s">
        <v>1149</v>
      </c>
      <c r="F2026"/>
      <c r="G2026" s="107">
        <v>37035</v>
      </c>
    </row>
    <row r="2027" spans="1:7">
      <c r="A2027" t="s">
        <v>20</v>
      </c>
      <c r="B2027" t="s">
        <v>19</v>
      </c>
      <c r="C2027" t="s">
        <v>1419</v>
      </c>
      <c r="D2027"/>
      <c r="E2027" t="s">
        <v>1150</v>
      </c>
      <c r="F2027"/>
      <c r="G2027" s="107">
        <v>4320</v>
      </c>
    </row>
    <row r="2028" spans="1:7">
      <c r="A2028" t="s">
        <v>20</v>
      </c>
      <c r="B2028" t="s">
        <v>19</v>
      </c>
      <c r="C2028" t="s">
        <v>227</v>
      </c>
      <c r="D2028"/>
      <c r="E2028" t="s">
        <v>1151</v>
      </c>
      <c r="F2028"/>
      <c r="G2028" s="107">
        <v>2200</v>
      </c>
    </row>
    <row r="2029" spans="1:7">
      <c r="A2029" t="s">
        <v>20</v>
      </c>
      <c r="B2029" t="s">
        <v>19</v>
      </c>
      <c r="C2029" t="s">
        <v>214</v>
      </c>
      <c r="D2029"/>
      <c r="E2029" t="s">
        <v>1152</v>
      </c>
      <c r="F2029"/>
      <c r="G2029" s="107">
        <v>0</v>
      </c>
    </row>
    <row r="2030" spans="1:7">
      <c r="A2030" t="s">
        <v>20</v>
      </c>
      <c r="B2030" t="s">
        <v>19</v>
      </c>
      <c r="C2030" t="s">
        <v>234</v>
      </c>
      <c r="D2030"/>
      <c r="E2030" t="s">
        <v>1153</v>
      </c>
      <c r="F2030"/>
      <c r="G2030" s="107">
        <v>53529.56</v>
      </c>
    </row>
    <row r="2031" spans="1:7">
      <c r="A2031" t="s">
        <v>20</v>
      </c>
      <c r="B2031" t="s">
        <v>19</v>
      </c>
      <c r="C2031" t="s">
        <v>236</v>
      </c>
      <c r="D2031"/>
      <c r="E2031" t="s">
        <v>1154</v>
      </c>
      <c r="F2031"/>
      <c r="G2031" s="107">
        <v>401471.7</v>
      </c>
    </row>
    <row r="2032" spans="1:7">
      <c r="A2032" t="s">
        <v>20</v>
      </c>
      <c r="B2032" t="s">
        <v>19</v>
      </c>
      <c r="C2032" t="s">
        <v>238</v>
      </c>
      <c r="D2032"/>
      <c r="E2032" t="s">
        <v>1155</v>
      </c>
      <c r="F2032"/>
      <c r="G2032" s="107">
        <v>11470.62</v>
      </c>
    </row>
    <row r="2033" spans="1:7">
      <c r="A2033" t="s">
        <v>20</v>
      </c>
      <c r="B2033" t="s">
        <v>19</v>
      </c>
      <c r="C2033" t="s">
        <v>214</v>
      </c>
      <c r="D2033"/>
      <c r="E2033" t="s">
        <v>2954</v>
      </c>
      <c r="F2033"/>
      <c r="G2033" s="107">
        <v>0</v>
      </c>
    </row>
    <row r="2034" spans="1:7">
      <c r="A2034" t="s">
        <v>20</v>
      </c>
      <c r="B2034" t="s">
        <v>19</v>
      </c>
      <c r="C2034" t="s">
        <v>234</v>
      </c>
      <c r="D2034"/>
      <c r="E2034" t="s">
        <v>2955</v>
      </c>
      <c r="F2034"/>
      <c r="G2034" s="107">
        <v>74117.399999999994</v>
      </c>
    </row>
    <row r="2035" spans="1:7">
      <c r="A2035" t="s">
        <v>20</v>
      </c>
      <c r="B2035" t="s">
        <v>19</v>
      </c>
      <c r="C2035" t="s">
        <v>236</v>
      </c>
      <c r="D2035"/>
      <c r="E2035" t="s">
        <v>2956</v>
      </c>
      <c r="F2035"/>
      <c r="G2035" s="107">
        <v>555880.5</v>
      </c>
    </row>
    <row r="2036" spans="1:7">
      <c r="A2036" t="s">
        <v>20</v>
      </c>
      <c r="B2036" t="s">
        <v>19</v>
      </c>
      <c r="C2036" t="s">
        <v>238</v>
      </c>
      <c r="D2036"/>
      <c r="E2036" t="s">
        <v>2957</v>
      </c>
      <c r="F2036"/>
      <c r="G2036" s="107">
        <v>15882.3</v>
      </c>
    </row>
    <row r="2037" spans="1:7">
      <c r="A2037" t="s">
        <v>20</v>
      </c>
      <c r="B2037" t="s">
        <v>19</v>
      </c>
      <c r="C2037" t="s">
        <v>214</v>
      </c>
      <c r="D2037"/>
      <c r="E2037" t="s">
        <v>2958</v>
      </c>
      <c r="F2037"/>
      <c r="G2037" s="107">
        <v>0</v>
      </c>
    </row>
    <row r="2038" spans="1:7">
      <c r="A2038" t="s">
        <v>20</v>
      </c>
      <c r="B2038" t="s">
        <v>19</v>
      </c>
      <c r="C2038" t="s">
        <v>1419</v>
      </c>
      <c r="D2038"/>
      <c r="E2038" t="s">
        <v>2959</v>
      </c>
      <c r="F2038"/>
      <c r="G2038" s="107">
        <v>22689</v>
      </c>
    </row>
    <row r="2039" spans="1:7">
      <c r="A2039" t="s">
        <v>20</v>
      </c>
      <c r="B2039" t="s">
        <v>19</v>
      </c>
      <c r="C2039" t="s">
        <v>1419</v>
      </c>
      <c r="D2039"/>
      <c r="E2039" t="s">
        <v>2960</v>
      </c>
      <c r="F2039"/>
      <c r="G2039" s="107">
        <v>157310.39999999999</v>
      </c>
    </row>
    <row r="2040" spans="1:7">
      <c r="A2040" t="s">
        <v>20</v>
      </c>
      <c r="B2040" t="s">
        <v>19</v>
      </c>
      <c r="C2040" t="s">
        <v>1419</v>
      </c>
      <c r="D2040"/>
      <c r="E2040" t="s">
        <v>2961</v>
      </c>
      <c r="F2040"/>
      <c r="G2040" s="107">
        <v>6806.7</v>
      </c>
    </row>
    <row r="2041" spans="1:7">
      <c r="A2041" t="s">
        <v>20</v>
      </c>
      <c r="B2041" t="s">
        <v>19</v>
      </c>
      <c r="C2041" t="s">
        <v>214</v>
      </c>
      <c r="D2041"/>
      <c r="E2041" t="s">
        <v>2962</v>
      </c>
      <c r="F2041"/>
      <c r="G2041" s="107">
        <v>0</v>
      </c>
    </row>
    <row r="2042" spans="1:7">
      <c r="A2042" t="s">
        <v>20</v>
      </c>
      <c r="B2042" t="s">
        <v>19</v>
      </c>
      <c r="C2042" t="s">
        <v>236</v>
      </c>
      <c r="D2042"/>
      <c r="E2042" t="s">
        <v>2963</v>
      </c>
      <c r="F2042"/>
      <c r="G2042" s="107">
        <v>28800</v>
      </c>
    </row>
    <row r="2043" spans="1:7">
      <c r="A2043" t="s">
        <v>20</v>
      </c>
      <c r="B2043" t="s">
        <v>19</v>
      </c>
      <c r="C2043" t="s">
        <v>1419</v>
      </c>
      <c r="D2043"/>
      <c r="E2043" t="s">
        <v>2964</v>
      </c>
      <c r="F2043"/>
      <c r="G2043" s="107">
        <v>4880</v>
      </c>
    </row>
    <row r="2044" spans="1:7">
      <c r="A2044" t="s">
        <v>20</v>
      </c>
      <c r="B2044" t="s">
        <v>19</v>
      </c>
      <c r="C2044" t="s">
        <v>214</v>
      </c>
      <c r="D2044"/>
      <c r="E2044" t="s">
        <v>2965</v>
      </c>
      <c r="F2044"/>
      <c r="G2044" s="107">
        <v>0</v>
      </c>
    </row>
    <row r="2045" spans="1:7">
      <c r="A2045" t="s">
        <v>20</v>
      </c>
      <c r="B2045" t="s">
        <v>19</v>
      </c>
      <c r="C2045" t="s">
        <v>236</v>
      </c>
      <c r="D2045"/>
      <c r="E2045" t="s">
        <v>2966</v>
      </c>
      <c r="F2045"/>
      <c r="G2045" s="107">
        <v>41720</v>
      </c>
    </row>
    <row r="2046" spans="1:7">
      <c r="A2046" t="s">
        <v>20</v>
      </c>
      <c r="B2046" t="s">
        <v>19</v>
      </c>
      <c r="C2046" t="s">
        <v>214</v>
      </c>
      <c r="D2046"/>
      <c r="E2046" t="s">
        <v>2967</v>
      </c>
      <c r="F2046"/>
      <c r="G2046" s="107">
        <v>0</v>
      </c>
    </row>
    <row r="2047" spans="1:7">
      <c r="A2047" t="s">
        <v>20</v>
      </c>
      <c r="B2047" t="s">
        <v>19</v>
      </c>
      <c r="C2047" t="s">
        <v>1419</v>
      </c>
      <c r="D2047"/>
      <c r="E2047" t="s">
        <v>2968</v>
      </c>
      <c r="F2047"/>
      <c r="G2047" s="107">
        <v>8940</v>
      </c>
    </row>
    <row r="2048" spans="1:7">
      <c r="A2048" t="s">
        <v>20</v>
      </c>
      <c r="B2048" t="s">
        <v>19</v>
      </c>
      <c r="C2048" t="s">
        <v>214</v>
      </c>
      <c r="D2048"/>
      <c r="E2048" t="s">
        <v>2969</v>
      </c>
      <c r="F2048"/>
      <c r="G2048" s="107">
        <v>0</v>
      </c>
    </row>
    <row r="2049" spans="1:7">
      <c r="A2049" t="s">
        <v>20</v>
      </c>
      <c r="B2049" t="s">
        <v>19</v>
      </c>
      <c r="C2049" t="s">
        <v>227</v>
      </c>
      <c r="D2049"/>
      <c r="E2049" t="s">
        <v>2970</v>
      </c>
      <c r="F2049"/>
      <c r="G2049" s="107">
        <v>84130.2</v>
      </c>
    </row>
    <row r="2050" spans="1:7">
      <c r="A2050" t="s">
        <v>20</v>
      </c>
      <c r="B2050" t="s">
        <v>19</v>
      </c>
      <c r="C2050" t="s">
        <v>227</v>
      </c>
      <c r="D2050"/>
      <c r="E2050" t="s">
        <v>2971</v>
      </c>
      <c r="F2050"/>
      <c r="G2050" s="107">
        <v>18516.599999999999</v>
      </c>
    </row>
    <row r="2051" spans="1:7">
      <c r="A2051" t="s">
        <v>20</v>
      </c>
      <c r="B2051" t="s">
        <v>19</v>
      </c>
      <c r="C2051" t="s">
        <v>214</v>
      </c>
      <c r="D2051"/>
      <c r="E2051" t="s">
        <v>2972</v>
      </c>
      <c r="F2051"/>
      <c r="G2051" s="107">
        <v>0</v>
      </c>
    </row>
    <row r="2052" spans="1:7">
      <c r="A2052" t="s">
        <v>20</v>
      </c>
      <c r="B2052" t="s">
        <v>19</v>
      </c>
      <c r="C2052" t="s">
        <v>227</v>
      </c>
      <c r="D2052"/>
      <c r="E2052" t="s">
        <v>2973</v>
      </c>
      <c r="F2052"/>
      <c r="G2052" s="107">
        <v>20756.36</v>
      </c>
    </row>
    <row r="2053" spans="1:7">
      <c r="A2053" t="s">
        <v>20</v>
      </c>
      <c r="B2053" t="s">
        <v>19</v>
      </c>
      <c r="C2053" t="s">
        <v>214</v>
      </c>
      <c r="D2053"/>
      <c r="E2053" t="s">
        <v>2974</v>
      </c>
      <c r="F2053"/>
      <c r="G2053" s="107">
        <v>0</v>
      </c>
    </row>
    <row r="2054" spans="1:7">
      <c r="A2054" t="s">
        <v>20</v>
      </c>
      <c r="B2054" t="s">
        <v>19</v>
      </c>
      <c r="C2054" t="s">
        <v>227</v>
      </c>
      <c r="D2054"/>
      <c r="E2054" t="s">
        <v>2975</v>
      </c>
      <c r="F2054"/>
      <c r="G2054" s="107">
        <v>12000</v>
      </c>
    </row>
    <row r="2055" spans="1:7">
      <c r="A2055" s="128" t="s">
        <v>20</v>
      </c>
      <c r="B2055" s="128" t="s">
        <v>2117</v>
      </c>
      <c r="C2055" s="128"/>
      <c r="D2055" s="128"/>
      <c r="E2055" s="128" t="s">
        <v>1156</v>
      </c>
      <c r="F2055" s="128"/>
      <c r="G2055" s="129">
        <v>1037944</v>
      </c>
    </row>
    <row r="2056" spans="1:7">
      <c r="A2056" t="s">
        <v>20</v>
      </c>
      <c r="B2056" t="s">
        <v>19</v>
      </c>
      <c r="C2056" t="s">
        <v>214</v>
      </c>
      <c r="D2056"/>
      <c r="E2056" t="s">
        <v>1157</v>
      </c>
      <c r="F2056"/>
      <c r="G2056" s="107">
        <v>0</v>
      </c>
    </row>
    <row r="2057" spans="1:7">
      <c r="A2057" t="s">
        <v>20</v>
      </c>
      <c r="B2057" t="s">
        <v>19</v>
      </c>
      <c r="C2057" t="s">
        <v>234</v>
      </c>
      <c r="D2057"/>
      <c r="E2057" t="s">
        <v>1158</v>
      </c>
      <c r="F2057"/>
      <c r="G2057" s="107">
        <v>46446.400000000001</v>
      </c>
    </row>
    <row r="2058" spans="1:7">
      <c r="A2058" t="s">
        <v>20</v>
      </c>
      <c r="B2058" t="s">
        <v>19</v>
      </c>
      <c r="C2058" t="s">
        <v>236</v>
      </c>
      <c r="D2058"/>
      <c r="E2058" t="s">
        <v>1159</v>
      </c>
      <c r="F2058"/>
      <c r="G2058" s="107">
        <v>104504.4</v>
      </c>
    </row>
    <row r="2059" spans="1:7">
      <c r="A2059" t="s">
        <v>20</v>
      </c>
      <c r="B2059" t="s">
        <v>19</v>
      </c>
      <c r="C2059" t="s">
        <v>236</v>
      </c>
      <c r="D2059"/>
      <c r="E2059" t="s">
        <v>1160</v>
      </c>
      <c r="F2059"/>
      <c r="G2059" s="107">
        <v>165880</v>
      </c>
    </row>
    <row r="2060" spans="1:7">
      <c r="A2060" t="s">
        <v>20</v>
      </c>
      <c r="B2060" t="s">
        <v>19</v>
      </c>
      <c r="C2060" t="s">
        <v>238</v>
      </c>
      <c r="D2060"/>
      <c r="E2060" t="s">
        <v>1161</v>
      </c>
      <c r="F2060"/>
      <c r="G2060" s="107">
        <v>29029</v>
      </c>
    </row>
    <row r="2061" spans="1:7">
      <c r="A2061" t="s">
        <v>20</v>
      </c>
      <c r="B2061" t="s">
        <v>19</v>
      </c>
      <c r="C2061" t="s">
        <v>214</v>
      </c>
      <c r="D2061"/>
      <c r="E2061" t="s">
        <v>1162</v>
      </c>
      <c r="F2061"/>
      <c r="G2061" s="107">
        <v>0</v>
      </c>
    </row>
    <row r="2062" spans="1:7">
      <c r="A2062" t="s">
        <v>20</v>
      </c>
      <c r="B2062" t="s">
        <v>19</v>
      </c>
      <c r="C2062" t="s">
        <v>1419</v>
      </c>
      <c r="D2062"/>
      <c r="E2062" t="s">
        <v>1163</v>
      </c>
      <c r="F2062"/>
      <c r="G2062" s="107">
        <v>44787.6</v>
      </c>
    </row>
    <row r="2063" spans="1:7">
      <c r="A2063" t="s">
        <v>20</v>
      </c>
      <c r="B2063" t="s">
        <v>19</v>
      </c>
      <c r="C2063" t="s">
        <v>1419</v>
      </c>
      <c r="D2063"/>
      <c r="E2063" t="s">
        <v>1164</v>
      </c>
      <c r="F2063"/>
      <c r="G2063" s="107">
        <v>19905.599999999999</v>
      </c>
    </row>
    <row r="2064" spans="1:7">
      <c r="A2064" t="s">
        <v>20</v>
      </c>
      <c r="B2064" t="s">
        <v>19</v>
      </c>
      <c r="C2064" t="s">
        <v>1419</v>
      </c>
      <c r="D2064"/>
      <c r="E2064" t="s">
        <v>1165</v>
      </c>
      <c r="F2064"/>
      <c r="G2064" s="107">
        <v>0</v>
      </c>
    </row>
    <row r="2065" spans="1:7">
      <c r="A2065" t="s">
        <v>20</v>
      </c>
      <c r="B2065" t="s">
        <v>19</v>
      </c>
      <c r="C2065" t="s">
        <v>214</v>
      </c>
      <c r="D2065"/>
      <c r="E2065" t="s">
        <v>1166</v>
      </c>
      <c r="F2065"/>
      <c r="G2065" s="107">
        <v>0</v>
      </c>
    </row>
    <row r="2066" spans="1:7">
      <c r="A2066" t="s">
        <v>20</v>
      </c>
      <c r="B2066" t="s">
        <v>19</v>
      </c>
      <c r="C2066" t="s">
        <v>234</v>
      </c>
      <c r="D2066"/>
      <c r="E2066" t="s">
        <v>1167</v>
      </c>
      <c r="F2066"/>
      <c r="G2066" s="107">
        <v>13933.92</v>
      </c>
    </row>
    <row r="2067" spans="1:7">
      <c r="A2067" t="s">
        <v>20</v>
      </c>
      <c r="B2067" t="s">
        <v>19</v>
      </c>
      <c r="C2067" t="s">
        <v>236</v>
      </c>
      <c r="D2067"/>
      <c r="E2067" t="s">
        <v>1168</v>
      </c>
      <c r="F2067"/>
      <c r="G2067" s="107">
        <v>41801.760000000002</v>
      </c>
    </row>
    <row r="2068" spans="1:7">
      <c r="A2068" t="s">
        <v>20</v>
      </c>
      <c r="B2068" t="s">
        <v>19</v>
      </c>
      <c r="C2068" t="s">
        <v>238</v>
      </c>
      <c r="D2068"/>
      <c r="E2068" t="s">
        <v>1169</v>
      </c>
      <c r="F2068"/>
      <c r="G2068" s="107">
        <v>6966.96</v>
      </c>
    </row>
    <row r="2069" spans="1:7">
      <c r="A2069" t="s">
        <v>20</v>
      </c>
      <c r="B2069" t="s">
        <v>19</v>
      </c>
      <c r="C2069" t="s">
        <v>214</v>
      </c>
      <c r="D2069"/>
      <c r="E2069" t="s">
        <v>1170</v>
      </c>
      <c r="F2069"/>
      <c r="G2069" s="107">
        <v>0</v>
      </c>
    </row>
    <row r="2070" spans="1:7">
      <c r="A2070" t="s">
        <v>20</v>
      </c>
      <c r="B2070" t="s">
        <v>19</v>
      </c>
      <c r="C2070" t="s">
        <v>1419</v>
      </c>
      <c r="D2070"/>
      <c r="E2070" t="s">
        <v>1171</v>
      </c>
      <c r="F2070"/>
      <c r="G2070" s="107">
        <v>23223.200000000001</v>
      </c>
    </row>
    <row r="2071" spans="1:7">
      <c r="A2071" t="s">
        <v>20</v>
      </c>
      <c r="B2071" t="s">
        <v>19</v>
      </c>
      <c r="C2071" t="s">
        <v>1419</v>
      </c>
      <c r="D2071"/>
      <c r="E2071" t="s">
        <v>1172</v>
      </c>
      <c r="F2071"/>
      <c r="G2071" s="107">
        <v>19905.599999999999</v>
      </c>
    </row>
    <row r="2072" spans="1:7">
      <c r="A2072" t="s">
        <v>20</v>
      </c>
      <c r="B2072" t="s">
        <v>19</v>
      </c>
      <c r="C2072" t="s">
        <v>1419</v>
      </c>
      <c r="D2072"/>
      <c r="E2072" t="s">
        <v>1173</v>
      </c>
      <c r="F2072"/>
      <c r="G2072" s="107">
        <v>0</v>
      </c>
    </row>
    <row r="2073" spans="1:7">
      <c r="A2073" t="s">
        <v>20</v>
      </c>
      <c r="B2073" t="s">
        <v>19</v>
      </c>
      <c r="C2073" t="s">
        <v>214</v>
      </c>
      <c r="D2073"/>
      <c r="E2073" t="s">
        <v>1174</v>
      </c>
      <c r="F2073"/>
      <c r="G2073" s="107">
        <v>0</v>
      </c>
    </row>
    <row r="2074" spans="1:7">
      <c r="A2074" t="s">
        <v>20</v>
      </c>
      <c r="B2074" t="s">
        <v>19</v>
      </c>
      <c r="C2074" t="s">
        <v>234</v>
      </c>
      <c r="D2074"/>
      <c r="E2074" t="s">
        <v>1175</v>
      </c>
      <c r="F2074"/>
      <c r="G2074" s="107">
        <v>34834.800000000003</v>
      </c>
    </row>
    <row r="2075" spans="1:7">
      <c r="A2075" t="s">
        <v>20</v>
      </c>
      <c r="B2075" t="s">
        <v>19</v>
      </c>
      <c r="C2075" t="s">
        <v>236</v>
      </c>
      <c r="D2075"/>
      <c r="E2075" t="s">
        <v>1176</v>
      </c>
      <c r="F2075"/>
      <c r="G2075" s="107">
        <v>184126.8</v>
      </c>
    </row>
    <row r="2076" spans="1:7">
      <c r="A2076" t="s">
        <v>20</v>
      </c>
      <c r="B2076" t="s">
        <v>19</v>
      </c>
      <c r="C2076" t="s">
        <v>238</v>
      </c>
      <c r="D2076"/>
      <c r="E2076" t="s">
        <v>1177</v>
      </c>
      <c r="F2076"/>
      <c r="G2076" s="107">
        <v>17417.400000000001</v>
      </c>
    </row>
    <row r="2077" spans="1:7">
      <c r="A2077" t="s">
        <v>20</v>
      </c>
      <c r="B2077" t="s">
        <v>19</v>
      </c>
      <c r="C2077" t="s">
        <v>214</v>
      </c>
      <c r="D2077"/>
      <c r="E2077" t="s">
        <v>1178</v>
      </c>
      <c r="F2077"/>
      <c r="G2077" s="107">
        <v>0</v>
      </c>
    </row>
    <row r="2078" spans="1:7">
      <c r="A2078" t="s">
        <v>20</v>
      </c>
      <c r="B2078" t="s">
        <v>19</v>
      </c>
      <c r="C2078" t="s">
        <v>1419</v>
      </c>
      <c r="D2078"/>
      <c r="E2078" t="s">
        <v>2976</v>
      </c>
      <c r="F2078"/>
      <c r="G2078" s="107">
        <v>23223.200000000001</v>
      </c>
    </row>
    <row r="2079" spans="1:7">
      <c r="A2079" t="s">
        <v>20</v>
      </c>
      <c r="B2079" t="s">
        <v>19</v>
      </c>
      <c r="C2079" t="s">
        <v>1419</v>
      </c>
      <c r="D2079"/>
      <c r="E2079" t="s">
        <v>2977</v>
      </c>
      <c r="F2079"/>
      <c r="G2079" s="107">
        <v>15924.48</v>
      </c>
    </row>
    <row r="2080" spans="1:7">
      <c r="A2080" t="s">
        <v>20</v>
      </c>
      <c r="B2080" t="s">
        <v>19</v>
      </c>
      <c r="C2080" t="s">
        <v>1419</v>
      </c>
      <c r="D2080"/>
      <c r="E2080" t="s">
        <v>2978</v>
      </c>
      <c r="F2080"/>
      <c r="G2080" s="107">
        <v>0</v>
      </c>
    </row>
    <row r="2081" spans="1:7">
      <c r="A2081" t="s">
        <v>20</v>
      </c>
      <c r="B2081" t="s">
        <v>19</v>
      </c>
      <c r="C2081" t="s">
        <v>214</v>
      </c>
      <c r="D2081"/>
      <c r="E2081" t="s">
        <v>2979</v>
      </c>
      <c r="F2081"/>
      <c r="G2081" s="107">
        <v>0</v>
      </c>
    </row>
    <row r="2082" spans="1:7">
      <c r="A2082" t="s">
        <v>20</v>
      </c>
      <c r="B2082" t="s">
        <v>19</v>
      </c>
      <c r="C2082" t="s">
        <v>236</v>
      </c>
      <c r="D2082"/>
      <c r="E2082" t="s">
        <v>2980</v>
      </c>
      <c r="F2082"/>
      <c r="G2082" s="107">
        <v>59716.800000000003</v>
      </c>
    </row>
    <row r="2083" spans="1:7">
      <c r="A2083" t="s">
        <v>20</v>
      </c>
      <c r="B2083" t="s">
        <v>19</v>
      </c>
      <c r="C2083" t="s">
        <v>236</v>
      </c>
      <c r="D2083"/>
      <c r="E2083" t="s">
        <v>2981</v>
      </c>
      <c r="F2083"/>
      <c r="G2083" s="107">
        <v>59716.800000000003</v>
      </c>
    </row>
    <row r="2084" spans="1:7">
      <c r="A2084" t="s">
        <v>20</v>
      </c>
      <c r="B2084" t="s">
        <v>19</v>
      </c>
      <c r="C2084" t="s">
        <v>236</v>
      </c>
      <c r="D2084"/>
      <c r="E2084" t="s">
        <v>2982</v>
      </c>
      <c r="F2084"/>
      <c r="G2084" s="107">
        <v>59716.800000000003</v>
      </c>
    </row>
    <row r="2085" spans="1:7">
      <c r="A2085" t="s">
        <v>20</v>
      </c>
      <c r="B2085" t="s">
        <v>19</v>
      </c>
      <c r="C2085" t="s">
        <v>214</v>
      </c>
      <c r="D2085"/>
      <c r="E2085" t="s">
        <v>2983</v>
      </c>
      <c r="F2085"/>
      <c r="G2085" s="107">
        <v>0</v>
      </c>
    </row>
    <row r="2086" spans="1:7">
      <c r="A2086" t="s">
        <v>20</v>
      </c>
      <c r="B2086" t="s">
        <v>19</v>
      </c>
      <c r="C2086" t="s">
        <v>1419</v>
      </c>
      <c r="D2086"/>
      <c r="E2086" t="s">
        <v>2984</v>
      </c>
      <c r="F2086"/>
      <c r="G2086" s="107">
        <v>8294</v>
      </c>
    </row>
    <row r="2087" spans="1:7">
      <c r="A2087" t="s">
        <v>20</v>
      </c>
      <c r="B2087" t="s">
        <v>19</v>
      </c>
      <c r="C2087" t="s">
        <v>1419</v>
      </c>
      <c r="D2087"/>
      <c r="E2087" t="s">
        <v>2985</v>
      </c>
      <c r="F2087"/>
      <c r="G2087" s="107">
        <v>8294</v>
      </c>
    </row>
    <row r="2088" spans="1:7">
      <c r="A2088" t="s">
        <v>20</v>
      </c>
      <c r="B2088" t="s">
        <v>19</v>
      </c>
      <c r="C2088" t="s">
        <v>1419</v>
      </c>
      <c r="D2088"/>
      <c r="E2088" t="s">
        <v>2986</v>
      </c>
      <c r="F2088"/>
      <c r="G2088" s="107">
        <v>8294</v>
      </c>
    </row>
    <row r="2089" spans="1:7">
      <c r="A2089" t="s">
        <v>20</v>
      </c>
      <c r="B2089" t="s">
        <v>19</v>
      </c>
      <c r="C2089" t="s">
        <v>214</v>
      </c>
      <c r="D2089"/>
      <c r="E2089" t="s">
        <v>2987</v>
      </c>
      <c r="F2089"/>
      <c r="G2089" s="107">
        <v>0</v>
      </c>
    </row>
    <row r="2090" spans="1:7">
      <c r="A2090" t="s">
        <v>20</v>
      </c>
      <c r="B2090" t="s">
        <v>19</v>
      </c>
      <c r="C2090" t="s">
        <v>236</v>
      </c>
      <c r="D2090"/>
      <c r="E2090" t="s">
        <v>2988</v>
      </c>
      <c r="F2090"/>
      <c r="G2090" s="107">
        <v>42000</v>
      </c>
    </row>
    <row r="2091" spans="1:7">
      <c r="A2091" s="128" t="s">
        <v>20</v>
      </c>
      <c r="B2091" s="128" t="s">
        <v>2117</v>
      </c>
      <c r="C2091" s="128"/>
      <c r="D2091" s="128"/>
      <c r="E2091" s="128" t="s">
        <v>1179</v>
      </c>
      <c r="F2091" s="128"/>
      <c r="G2091" s="129">
        <v>10000</v>
      </c>
    </row>
    <row r="2092" spans="1:7">
      <c r="A2092" t="s">
        <v>20</v>
      </c>
      <c r="B2092" t="s">
        <v>19</v>
      </c>
      <c r="C2092" t="s">
        <v>214</v>
      </c>
      <c r="D2092"/>
      <c r="E2092" t="s">
        <v>1180</v>
      </c>
      <c r="F2092"/>
      <c r="G2092" s="107">
        <v>0</v>
      </c>
    </row>
    <row r="2093" spans="1:7">
      <c r="A2093" t="s">
        <v>20</v>
      </c>
      <c r="B2093" t="s">
        <v>19</v>
      </c>
      <c r="C2093" t="s">
        <v>227</v>
      </c>
      <c r="D2093"/>
      <c r="E2093" t="s">
        <v>1181</v>
      </c>
      <c r="F2093"/>
      <c r="G2093" s="107">
        <v>10000</v>
      </c>
    </row>
    <row r="2094" spans="1:7">
      <c r="A2094" s="128" t="s">
        <v>20</v>
      </c>
      <c r="B2094" s="128" t="s">
        <v>2117</v>
      </c>
      <c r="C2094" s="128"/>
      <c r="D2094" s="128"/>
      <c r="E2094" s="128" t="s">
        <v>2989</v>
      </c>
      <c r="F2094" s="128"/>
      <c r="G2094" s="129">
        <v>225160</v>
      </c>
    </row>
    <row r="2095" spans="1:7">
      <c r="A2095" t="s">
        <v>20</v>
      </c>
      <c r="B2095" t="s">
        <v>19</v>
      </c>
      <c r="C2095" t="s">
        <v>214</v>
      </c>
      <c r="D2095"/>
      <c r="E2095" t="s">
        <v>2990</v>
      </c>
      <c r="F2095"/>
      <c r="G2095" s="107">
        <v>0</v>
      </c>
    </row>
    <row r="2096" spans="1:7">
      <c r="A2096" t="s">
        <v>20</v>
      </c>
      <c r="B2096" t="s">
        <v>19</v>
      </c>
      <c r="C2096" t="s">
        <v>227</v>
      </c>
      <c r="D2096"/>
      <c r="E2096" t="s">
        <v>2991</v>
      </c>
      <c r="F2096"/>
      <c r="G2096" s="107">
        <v>63800</v>
      </c>
    </row>
    <row r="2097" spans="1:7">
      <c r="A2097" t="s">
        <v>20</v>
      </c>
      <c r="B2097" t="s">
        <v>19</v>
      </c>
      <c r="C2097" t="s">
        <v>227</v>
      </c>
      <c r="D2097"/>
      <c r="E2097" t="s">
        <v>2992</v>
      </c>
      <c r="F2097"/>
      <c r="G2097" s="107">
        <v>63800</v>
      </c>
    </row>
    <row r="2098" spans="1:7">
      <c r="A2098" t="s">
        <v>20</v>
      </c>
      <c r="B2098" t="s">
        <v>19</v>
      </c>
      <c r="C2098" t="s">
        <v>214</v>
      </c>
      <c r="D2098"/>
      <c r="E2098" t="s">
        <v>2993</v>
      </c>
      <c r="F2098"/>
      <c r="G2098" s="107">
        <v>0</v>
      </c>
    </row>
    <row r="2099" spans="1:7">
      <c r="A2099" t="s">
        <v>20</v>
      </c>
      <c r="B2099" t="s">
        <v>19</v>
      </c>
      <c r="C2099" t="s">
        <v>1419</v>
      </c>
      <c r="D2099"/>
      <c r="E2099" t="s">
        <v>2994</v>
      </c>
      <c r="F2099"/>
      <c r="G2099" s="107">
        <v>33000</v>
      </c>
    </row>
    <row r="2100" spans="1:7">
      <c r="A2100" t="s">
        <v>20</v>
      </c>
      <c r="B2100" t="s">
        <v>19</v>
      </c>
      <c r="C2100" t="s">
        <v>1419</v>
      </c>
      <c r="D2100"/>
      <c r="E2100" t="s">
        <v>2995</v>
      </c>
      <c r="F2100"/>
      <c r="G2100" s="107">
        <v>33000</v>
      </c>
    </row>
    <row r="2101" spans="1:7">
      <c r="A2101" t="s">
        <v>20</v>
      </c>
      <c r="B2101" t="s">
        <v>19</v>
      </c>
      <c r="C2101" t="s">
        <v>214</v>
      </c>
      <c r="D2101"/>
      <c r="E2101" t="s">
        <v>2996</v>
      </c>
      <c r="F2101"/>
      <c r="G2101" s="107">
        <v>0</v>
      </c>
    </row>
    <row r="2102" spans="1:7">
      <c r="A2102" t="s">
        <v>20</v>
      </c>
      <c r="B2102" t="s">
        <v>19</v>
      </c>
      <c r="C2102" t="s">
        <v>227</v>
      </c>
      <c r="D2102"/>
      <c r="E2102" t="s">
        <v>2997</v>
      </c>
      <c r="F2102"/>
      <c r="G2102" s="107">
        <v>9468</v>
      </c>
    </row>
    <row r="2103" spans="1:7">
      <c r="A2103" t="s">
        <v>20</v>
      </c>
      <c r="B2103" t="s">
        <v>19</v>
      </c>
      <c r="C2103" t="s">
        <v>227</v>
      </c>
      <c r="D2103"/>
      <c r="E2103" t="s">
        <v>2998</v>
      </c>
      <c r="F2103"/>
      <c r="G2103" s="107">
        <v>9468</v>
      </c>
    </row>
    <row r="2104" spans="1:7">
      <c r="A2104" t="s">
        <v>20</v>
      </c>
      <c r="B2104" t="s">
        <v>19</v>
      </c>
      <c r="C2104" t="s">
        <v>214</v>
      </c>
      <c r="D2104"/>
      <c r="E2104" t="s">
        <v>2999</v>
      </c>
      <c r="F2104"/>
      <c r="G2104" s="107">
        <v>0</v>
      </c>
    </row>
    <row r="2105" spans="1:7">
      <c r="A2105" t="s">
        <v>20</v>
      </c>
      <c r="B2105" t="s">
        <v>19</v>
      </c>
      <c r="C2105" t="s">
        <v>1419</v>
      </c>
      <c r="D2105"/>
      <c r="E2105" t="s">
        <v>3000</v>
      </c>
      <c r="F2105"/>
      <c r="G2105" s="107">
        <v>6312</v>
      </c>
    </row>
    <row r="2106" spans="1:7">
      <c r="A2106" t="s">
        <v>20</v>
      </c>
      <c r="B2106" t="s">
        <v>19</v>
      </c>
      <c r="C2106" t="s">
        <v>1419</v>
      </c>
      <c r="D2106"/>
      <c r="E2106" t="s">
        <v>3001</v>
      </c>
      <c r="F2106"/>
      <c r="G2106" s="107">
        <v>6312</v>
      </c>
    </row>
    <row r="2107" spans="1:7">
      <c r="A2107" s="128" t="s">
        <v>20</v>
      </c>
      <c r="B2107" s="128" t="s">
        <v>2117</v>
      </c>
      <c r="C2107" s="128"/>
      <c r="D2107" s="128"/>
      <c r="E2107" s="128" t="s">
        <v>1182</v>
      </c>
      <c r="F2107" s="128"/>
      <c r="G2107" s="129">
        <v>120931.84999999999</v>
      </c>
    </row>
    <row r="2108" spans="1:7">
      <c r="A2108" t="s">
        <v>20</v>
      </c>
      <c r="B2108" t="s">
        <v>19</v>
      </c>
      <c r="C2108" t="s">
        <v>1898</v>
      </c>
      <c r="D2108"/>
      <c r="E2108" t="s">
        <v>1417</v>
      </c>
      <c r="F2108"/>
      <c r="G2108" s="107">
        <v>120931.84999999999</v>
      </c>
    </row>
    <row r="2109" spans="1:7">
      <c r="A2109" s="163" t="s">
        <v>20</v>
      </c>
      <c r="B2109" s="163" t="s">
        <v>8</v>
      </c>
      <c r="C2109" s="163"/>
      <c r="D2109" s="163"/>
      <c r="E2109" s="163" t="s">
        <v>1183</v>
      </c>
      <c r="F2109" s="163"/>
      <c r="G2109" s="164">
        <v>1451938</v>
      </c>
    </row>
    <row r="2110" spans="1:7">
      <c r="A2110" s="128" t="s">
        <v>20</v>
      </c>
      <c r="B2110" s="128" t="s">
        <v>2117</v>
      </c>
      <c r="C2110" s="128"/>
      <c r="D2110" s="128"/>
      <c r="E2110" s="128" t="s">
        <v>1879</v>
      </c>
      <c r="F2110" s="128"/>
      <c r="G2110" s="129">
        <v>1451938</v>
      </c>
    </row>
    <row r="2111" spans="1:7">
      <c r="A2111" t="s">
        <v>20</v>
      </c>
      <c r="B2111" t="s">
        <v>19</v>
      </c>
      <c r="C2111" t="s">
        <v>214</v>
      </c>
      <c r="D2111"/>
      <c r="E2111" t="s">
        <v>1880</v>
      </c>
      <c r="F2111"/>
      <c r="G2111" s="107">
        <v>0</v>
      </c>
    </row>
    <row r="2112" spans="1:7">
      <c r="A2112" t="s">
        <v>20</v>
      </c>
      <c r="B2112" t="s">
        <v>19</v>
      </c>
      <c r="C2112" t="s">
        <v>227</v>
      </c>
      <c r="D2112"/>
      <c r="E2112" t="s">
        <v>3002</v>
      </c>
      <c r="F2112"/>
      <c r="G2112" s="107">
        <v>1451938.3</v>
      </c>
    </row>
    <row r="2113" spans="1:9">
      <c r="A2113" s="163" t="s">
        <v>1</v>
      </c>
      <c r="B2113" s="163" t="s">
        <v>8</v>
      </c>
      <c r="C2113" s="163"/>
      <c r="D2113" s="163"/>
      <c r="E2113" s="163" t="s">
        <v>1184</v>
      </c>
      <c r="F2113" s="163"/>
      <c r="G2113" s="164">
        <v>4891351</v>
      </c>
    </row>
    <row r="2114" spans="1:9">
      <c r="A2114" s="128" t="s">
        <v>1</v>
      </c>
      <c r="B2114" s="128" t="s">
        <v>2117</v>
      </c>
      <c r="C2114" s="128"/>
      <c r="D2114" s="128"/>
      <c r="E2114" s="128" t="s">
        <v>1185</v>
      </c>
      <c r="F2114" s="128"/>
      <c r="G2114" s="129">
        <v>1355250</v>
      </c>
    </row>
    <row r="2115" spans="1:9">
      <c r="A2115" t="s">
        <v>1</v>
      </c>
      <c r="B2115" t="s">
        <v>19</v>
      </c>
      <c r="C2115" t="s">
        <v>214</v>
      </c>
      <c r="D2115"/>
      <c r="E2115" t="s">
        <v>1186</v>
      </c>
      <c r="F2115"/>
      <c r="G2115" s="107">
        <v>0</v>
      </c>
    </row>
    <row r="2116" spans="1:9">
      <c r="A2116" t="s">
        <v>1</v>
      </c>
      <c r="B2116" t="s">
        <v>19</v>
      </c>
      <c r="C2116" t="s">
        <v>234</v>
      </c>
      <c r="D2116"/>
      <c r="E2116" t="s">
        <v>1187</v>
      </c>
      <c r="F2116"/>
      <c r="G2116" s="107">
        <v>10000</v>
      </c>
    </row>
    <row r="2117" spans="1:9">
      <c r="A2117" t="s">
        <v>1</v>
      </c>
      <c r="B2117" t="s">
        <v>19</v>
      </c>
      <c r="C2117" t="s">
        <v>468</v>
      </c>
      <c r="D2117"/>
      <c r="E2117" t="s">
        <v>1188</v>
      </c>
      <c r="F2117"/>
      <c r="G2117" s="107">
        <v>475000</v>
      </c>
    </row>
    <row r="2118" spans="1:9">
      <c r="A2118" t="s">
        <v>1</v>
      </c>
      <c r="B2118" t="s">
        <v>19</v>
      </c>
      <c r="C2118" t="s">
        <v>214</v>
      </c>
      <c r="D2118"/>
      <c r="E2118" t="s">
        <v>1189</v>
      </c>
      <c r="F2118"/>
      <c r="G2118" s="107">
        <v>0</v>
      </c>
    </row>
    <row r="2119" spans="1:9">
      <c r="A2119" t="s">
        <v>1</v>
      </c>
      <c r="B2119" t="s">
        <v>19</v>
      </c>
      <c r="C2119" t="s">
        <v>468</v>
      </c>
      <c r="D2119"/>
      <c r="E2119" t="s">
        <v>1190</v>
      </c>
      <c r="F2119"/>
      <c r="G2119" s="107">
        <v>288000</v>
      </c>
    </row>
    <row r="2120" spans="1:9">
      <c r="A2120" t="s">
        <v>1</v>
      </c>
      <c r="B2120" t="s">
        <v>19</v>
      </c>
      <c r="C2120" t="s">
        <v>214</v>
      </c>
      <c r="D2120"/>
      <c r="E2120" t="s">
        <v>1772</v>
      </c>
      <c r="F2120"/>
      <c r="G2120" s="107">
        <v>0</v>
      </c>
    </row>
    <row r="2121" spans="1:9">
      <c r="A2121" t="s">
        <v>1</v>
      </c>
      <c r="B2121" t="s">
        <v>19</v>
      </c>
      <c r="C2121" t="s">
        <v>468</v>
      </c>
      <c r="D2121"/>
      <c r="E2121" t="s">
        <v>1773</v>
      </c>
      <c r="F2121"/>
      <c r="G2121" s="107">
        <v>288000</v>
      </c>
    </row>
    <row r="2122" spans="1:9">
      <c r="A2122" t="s">
        <v>1</v>
      </c>
      <c r="B2122" t="s">
        <v>19</v>
      </c>
      <c r="C2122" t="s">
        <v>214</v>
      </c>
      <c r="D2122"/>
      <c r="E2122" t="s">
        <v>3003</v>
      </c>
      <c r="F2122"/>
      <c r="G2122" s="107">
        <v>0</v>
      </c>
    </row>
    <row r="2123" spans="1:9">
      <c r="A2123" t="s">
        <v>1</v>
      </c>
      <c r="B2123" t="s">
        <v>19</v>
      </c>
      <c r="C2123" t="s">
        <v>468</v>
      </c>
      <c r="D2123"/>
      <c r="E2123" t="s">
        <v>3004</v>
      </c>
      <c r="F2123"/>
      <c r="G2123" s="107">
        <v>288000</v>
      </c>
    </row>
    <row r="2124" spans="1:9">
      <c r="A2124" t="s">
        <v>1</v>
      </c>
      <c r="B2124" t="s">
        <v>19</v>
      </c>
      <c r="C2124" t="s">
        <v>214</v>
      </c>
      <c r="D2124"/>
      <c r="E2124" t="s">
        <v>3005</v>
      </c>
      <c r="F2124"/>
      <c r="G2124" s="107">
        <v>0</v>
      </c>
    </row>
    <row r="2125" spans="1:9">
      <c r="A2125" t="s">
        <v>1</v>
      </c>
      <c r="B2125" t="s">
        <v>19</v>
      </c>
      <c r="C2125" t="s">
        <v>214</v>
      </c>
      <c r="D2125"/>
      <c r="E2125" t="s">
        <v>3006</v>
      </c>
      <c r="F2125"/>
      <c r="G2125" s="107">
        <v>0</v>
      </c>
    </row>
    <row r="2126" spans="1:9">
      <c r="A2126" t="s">
        <v>1</v>
      </c>
      <c r="B2126" t="s">
        <v>19</v>
      </c>
      <c r="C2126" t="s">
        <v>227</v>
      </c>
      <c r="D2126"/>
      <c r="E2126" t="s">
        <v>3007</v>
      </c>
      <c r="F2126"/>
      <c r="G2126" s="107">
        <v>6250</v>
      </c>
    </row>
    <row r="2127" spans="1:9">
      <c r="A2127" t="s">
        <v>1</v>
      </c>
      <c r="B2127" t="s">
        <v>19</v>
      </c>
      <c r="C2127" t="s">
        <v>227</v>
      </c>
      <c r="D2127"/>
      <c r="E2127" t="s">
        <v>3417</v>
      </c>
      <c r="F2127"/>
      <c r="G2127" s="107"/>
      <c r="H2127" s="6">
        <v>8000</v>
      </c>
      <c r="I2127" t="s">
        <v>3403</v>
      </c>
    </row>
    <row r="2128" spans="1:9">
      <c r="A2128" s="128" t="s">
        <v>1</v>
      </c>
      <c r="B2128" s="128" t="s">
        <v>2117</v>
      </c>
      <c r="C2128" s="128"/>
      <c r="D2128" s="128"/>
      <c r="E2128" s="128" t="s">
        <v>1191</v>
      </c>
      <c r="F2128" s="128"/>
      <c r="G2128" s="129">
        <v>435500</v>
      </c>
    </row>
    <row r="2129" spans="1:11">
      <c r="A2129" t="s">
        <v>1</v>
      </c>
      <c r="B2129" t="s">
        <v>19</v>
      </c>
      <c r="C2129" t="s">
        <v>214</v>
      </c>
      <c r="D2129"/>
      <c r="E2129" t="s">
        <v>1192</v>
      </c>
      <c r="F2129"/>
      <c r="G2129" s="107">
        <v>0</v>
      </c>
    </row>
    <row r="2130" spans="1:11">
      <c r="A2130" t="s">
        <v>1</v>
      </c>
      <c r="B2130" t="s">
        <v>19</v>
      </c>
      <c r="C2130" t="s">
        <v>468</v>
      </c>
      <c r="D2130"/>
      <c r="E2130" t="s">
        <v>1193</v>
      </c>
      <c r="F2130"/>
      <c r="G2130" s="107">
        <v>180500</v>
      </c>
    </row>
    <row r="2131" spans="1:11">
      <c r="A2131" t="s">
        <v>1</v>
      </c>
      <c r="B2131" t="s">
        <v>19</v>
      </c>
      <c r="C2131" t="s">
        <v>214</v>
      </c>
      <c r="D2131"/>
      <c r="E2131" t="s">
        <v>1194</v>
      </c>
      <c r="F2131"/>
      <c r="G2131" s="107">
        <v>0</v>
      </c>
    </row>
    <row r="2132" spans="1:11">
      <c r="A2132" t="s">
        <v>1</v>
      </c>
      <c r="B2132" t="s">
        <v>19</v>
      </c>
      <c r="C2132" t="s">
        <v>468</v>
      </c>
      <c r="D2132"/>
      <c r="E2132" t="s">
        <v>3008</v>
      </c>
      <c r="F2132"/>
      <c r="G2132" s="107">
        <v>150000</v>
      </c>
    </row>
    <row r="2133" spans="1:11">
      <c r="A2133" t="s">
        <v>1</v>
      </c>
      <c r="B2133" t="s">
        <v>19</v>
      </c>
      <c r="C2133" t="s">
        <v>214</v>
      </c>
      <c r="D2133"/>
      <c r="E2133" t="s">
        <v>3009</v>
      </c>
      <c r="F2133"/>
      <c r="G2133" s="107">
        <v>0</v>
      </c>
    </row>
    <row r="2134" spans="1:11">
      <c r="A2134" t="s">
        <v>1</v>
      </c>
      <c r="B2134" t="s">
        <v>19</v>
      </c>
      <c r="C2134" t="s">
        <v>468</v>
      </c>
      <c r="D2134"/>
      <c r="E2134" t="s">
        <v>3010</v>
      </c>
      <c r="F2134"/>
      <c r="G2134" s="107">
        <v>105000</v>
      </c>
    </row>
    <row r="2135" spans="1:11">
      <c r="A2135" s="128" t="s">
        <v>1</v>
      </c>
      <c r="B2135" s="128" t="s">
        <v>2117</v>
      </c>
      <c r="C2135" s="128"/>
      <c r="D2135" s="128"/>
      <c r="E2135" s="128" t="s">
        <v>1195</v>
      </c>
      <c r="F2135" s="128"/>
      <c r="G2135" s="129">
        <v>638000</v>
      </c>
    </row>
    <row r="2136" spans="1:11">
      <c r="A2136" t="s">
        <v>1</v>
      </c>
      <c r="B2136" t="s">
        <v>19</v>
      </c>
      <c r="C2136" t="s">
        <v>214</v>
      </c>
      <c r="D2136"/>
      <c r="E2136" t="s">
        <v>1196</v>
      </c>
      <c r="F2136"/>
      <c r="G2136" s="107">
        <v>0</v>
      </c>
    </row>
    <row r="2137" spans="1:11">
      <c r="A2137" t="s">
        <v>1</v>
      </c>
      <c r="B2137" t="s">
        <v>19</v>
      </c>
      <c r="C2137" t="s">
        <v>214</v>
      </c>
      <c r="D2137"/>
      <c r="E2137" t="s">
        <v>1197</v>
      </c>
      <c r="F2137"/>
      <c r="G2137" s="107">
        <v>0</v>
      </c>
    </row>
    <row r="2138" spans="1:11">
      <c r="A2138" t="s">
        <v>1</v>
      </c>
      <c r="B2138" t="s">
        <v>19</v>
      </c>
      <c r="C2138" t="s">
        <v>234</v>
      </c>
      <c r="D2138"/>
      <c r="E2138" t="s">
        <v>1198</v>
      </c>
      <c r="F2138"/>
      <c r="G2138" s="107">
        <v>66000</v>
      </c>
    </row>
    <row r="2139" spans="1:11">
      <c r="A2139" t="s">
        <v>1</v>
      </c>
      <c r="B2139" t="s">
        <v>19</v>
      </c>
      <c r="C2139" t="s">
        <v>468</v>
      </c>
      <c r="D2139"/>
      <c r="E2139" t="s">
        <v>3011</v>
      </c>
      <c r="F2139"/>
      <c r="G2139" s="107">
        <v>572000</v>
      </c>
    </row>
    <row r="2140" spans="1:11">
      <c r="A2140" s="128" t="s">
        <v>1</v>
      </c>
      <c r="B2140" s="128" t="s">
        <v>2117</v>
      </c>
      <c r="C2140" s="128"/>
      <c r="D2140" s="128"/>
      <c r="E2140" s="128" t="s">
        <v>1199</v>
      </c>
      <c r="F2140" s="128"/>
      <c r="G2140" s="129">
        <v>319000</v>
      </c>
    </row>
    <row r="2141" spans="1:11">
      <c r="A2141" t="s">
        <v>1</v>
      </c>
      <c r="B2141" t="s">
        <v>19</v>
      </c>
      <c r="C2141" t="s">
        <v>214</v>
      </c>
      <c r="D2141"/>
      <c r="E2141" t="s">
        <v>1200</v>
      </c>
      <c r="F2141"/>
      <c r="G2141" s="107">
        <v>0</v>
      </c>
    </row>
    <row r="2142" spans="1:11">
      <c r="A2142" t="s">
        <v>1</v>
      </c>
      <c r="B2142" t="s">
        <v>19</v>
      </c>
      <c r="C2142" t="s">
        <v>214</v>
      </c>
      <c r="D2142"/>
      <c r="E2142" t="s">
        <v>1201</v>
      </c>
      <c r="F2142"/>
      <c r="G2142" s="107">
        <v>0</v>
      </c>
    </row>
    <row r="2143" spans="1:11">
      <c r="A2143" t="s">
        <v>1</v>
      </c>
      <c r="B2143" t="s">
        <v>19</v>
      </c>
      <c r="C2143" t="s">
        <v>234</v>
      </c>
      <c r="D2143"/>
      <c r="E2143" t="s">
        <v>1202</v>
      </c>
      <c r="F2143"/>
      <c r="G2143" s="107">
        <v>33000</v>
      </c>
      <c r="K2143" s="106"/>
    </row>
    <row r="2144" spans="1:11">
      <c r="A2144" t="s">
        <v>1</v>
      </c>
      <c r="B2144" t="s">
        <v>19</v>
      </c>
      <c r="C2144" t="s">
        <v>468</v>
      </c>
      <c r="D2144"/>
      <c r="E2144" t="s">
        <v>3012</v>
      </c>
      <c r="F2144"/>
      <c r="G2144" s="107">
        <v>286000</v>
      </c>
      <c r="K2144" s="106"/>
    </row>
    <row r="2145" spans="1:7">
      <c r="A2145" s="128" t="s">
        <v>1</v>
      </c>
      <c r="B2145" s="128" t="s">
        <v>2117</v>
      </c>
      <c r="C2145" s="128"/>
      <c r="D2145" s="128"/>
      <c r="E2145" s="128" t="s">
        <v>1203</v>
      </c>
      <c r="F2145" s="128"/>
      <c r="G2145" s="129">
        <v>194200</v>
      </c>
    </row>
    <row r="2146" spans="1:7">
      <c r="A2146" t="s">
        <v>1</v>
      </c>
      <c r="B2146" t="s">
        <v>19</v>
      </c>
      <c r="C2146" t="s">
        <v>214</v>
      </c>
      <c r="D2146"/>
      <c r="E2146" t="s">
        <v>1204</v>
      </c>
      <c r="F2146"/>
      <c r="G2146" s="107">
        <v>0</v>
      </c>
    </row>
    <row r="2147" spans="1:7">
      <c r="A2147" t="s">
        <v>1</v>
      </c>
      <c r="B2147" t="s">
        <v>19</v>
      </c>
      <c r="C2147" t="s">
        <v>234</v>
      </c>
      <c r="D2147"/>
      <c r="E2147" t="s">
        <v>1205</v>
      </c>
      <c r="F2147"/>
      <c r="G2147" s="107">
        <v>3000</v>
      </c>
    </row>
    <row r="2148" spans="1:7">
      <c r="A2148" t="s">
        <v>1</v>
      </c>
      <c r="B2148" t="s">
        <v>19</v>
      </c>
      <c r="C2148" t="s">
        <v>468</v>
      </c>
      <c r="D2148"/>
      <c r="E2148" t="s">
        <v>1774</v>
      </c>
      <c r="F2148"/>
      <c r="G2148" s="107">
        <v>187200</v>
      </c>
    </row>
    <row r="2149" spans="1:7">
      <c r="A2149" t="s">
        <v>1</v>
      </c>
      <c r="B2149" t="s">
        <v>19</v>
      </c>
      <c r="C2149" t="s">
        <v>214</v>
      </c>
      <c r="D2149"/>
      <c r="E2149" t="s">
        <v>3013</v>
      </c>
      <c r="F2149"/>
      <c r="G2149" s="107">
        <v>0</v>
      </c>
    </row>
    <row r="2150" spans="1:7">
      <c r="A2150" t="s">
        <v>1</v>
      </c>
      <c r="B2150" t="s">
        <v>19</v>
      </c>
      <c r="C2150" t="s">
        <v>214</v>
      </c>
      <c r="D2150"/>
      <c r="E2150" t="s">
        <v>3014</v>
      </c>
      <c r="F2150"/>
      <c r="G2150" s="107">
        <v>0</v>
      </c>
    </row>
    <row r="2151" spans="1:7">
      <c r="A2151" t="s">
        <v>1</v>
      </c>
      <c r="B2151" t="s">
        <v>19</v>
      </c>
      <c r="C2151" t="s">
        <v>227</v>
      </c>
      <c r="D2151"/>
      <c r="E2151" t="s">
        <v>3015</v>
      </c>
      <c r="F2151"/>
      <c r="G2151" s="107">
        <v>4000</v>
      </c>
    </row>
    <row r="2152" spans="1:7">
      <c r="A2152" s="128" t="s">
        <v>1</v>
      </c>
      <c r="B2152" s="128" t="s">
        <v>2117</v>
      </c>
      <c r="C2152" s="128"/>
      <c r="D2152" s="128"/>
      <c r="E2152" s="128" t="s">
        <v>1206</v>
      </c>
      <c r="F2152" s="128"/>
      <c r="G2152" s="129">
        <v>96400</v>
      </c>
    </row>
    <row r="2153" spans="1:7">
      <c r="A2153" t="s">
        <v>1</v>
      </c>
      <c r="B2153" t="s">
        <v>19</v>
      </c>
      <c r="C2153" t="s">
        <v>214</v>
      </c>
      <c r="D2153"/>
      <c r="E2153" t="s">
        <v>1207</v>
      </c>
      <c r="F2153"/>
      <c r="G2153" s="107">
        <v>0</v>
      </c>
    </row>
    <row r="2154" spans="1:7">
      <c r="A2154" t="s">
        <v>1</v>
      </c>
      <c r="B2154" t="s">
        <v>19</v>
      </c>
      <c r="C2154" t="s">
        <v>468</v>
      </c>
      <c r="D2154"/>
      <c r="E2154" t="s">
        <v>1775</v>
      </c>
      <c r="F2154"/>
      <c r="G2154" s="107">
        <v>96000</v>
      </c>
    </row>
    <row r="2155" spans="1:7">
      <c r="A2155" t="s">
        <v>1</v>
      </c>
      <c r="B2155" t="s">
        <v>19</v>
      </c>
      <c r="C2155" t="s">
        <v>214</v>
      </c>
      <c r="D2155"/>
      <c r="E2155" t="s">
        <v>3016</v>
      </c>
      <c r="F2155"/>
      <c r="G2155" s="107">
        <v>0</v>
      </c>
    </row>
    <row r="2156" spans="1:7">
      <c r="A2156" t="s">
        <v>1</v>
      </c>
      <c r="B2156" t="s">
        <v>19</v>
      </c>
      <c r="C2156" t="s">
        <v>214</v>
      </c>
      <c r="D2156"/>
      <c r="E2156" t="s">
        <v>3017</v>
      </c>
      <c r="F2156"/>
      <c r="G2156" s="107">
        <v>0</v>
      </c>
    </row>
    <row r="2157" spans="1:7">
      <c r="A2157" t="s">
        <v>1</v>
      </c>
      <c r="B2157" t="s">
        <v>19</v>
      </c>
      <c r="C2157" t="s">
        <v>227</v>
      </c>
      <c r="D2157"/>
      <c r="E2157" t="s">
        <v>3018</v>
      </c>
      <c r="F2157"/>
      <c r="G2157" s="107">
        <v>400</v>
      </c>
    </row>
    <row r="2158" spans="1:7">
      <c r="A2158" s="128" t="s">
        <v>1</v>
      </c>
      <c r="B2158" s="128" t="s">
        <v>2117</v>
      </c>
      <c r="C2158" s="128"/>
      <c r="D2158" s="128"/>
      <c r="E2158" s="128" t="s">
        <v>1208</v>
      </c>
      <c r="F2158" s="128"/>
      <c r="G2158" s="129">
        <v>1738000</v>
      </c>
    </row>
    <row r="2159" spans="1:7">
      <c r="A2159" t="s">
        <v>1</v>
      </c>
      <c r="B2159" t="s">
        <v>19</v>
      </c>
      <c r="C2159" t="s">
        <v>214</v>
      </c>
      <c r="D2159"/>
      <c r="E2159" t="s">
        <v>1209</v>
      </c>
      <c r="F2159"/>
      <c r="G2159" s="107">
        <v>0</v>
      </c>
    </row>
    <row r="2160" spans="1:7">
      <c r="A2160" t="s">
        <v>1</v>
      </c>
      <c r="B2160" t="s">
        <v>19</v>
      </c>
      <c r="C2160" t="s">
        <v>214</v>
      </c>
      <c r="D2160"/>
      <c r="E2160" t="s">
        <v>1210</v>
      </c>
      <c r="F2160"/>
      <c r="G2160" s="107">
        <v>0</v>
      </c>
    </row>
    <row r="2161" spans="1:7">
      <c r="A2161" t="s">
        <v>1</v>
      </c>
      <c r="B2161" t="s">
        <v>19</v>
      </c>
      <c r="C2161" t="s">
        <v>468</v>
      </c>
      <c r="D2161"/>
      <c r="E2161" t="s">
        <v>1211</v>
      </c>
      <c r="F2161"/>
      <c r="G2161" s="107">
        <v>52000</v>
      </c>
    </row>
    <row r="2162" spans="1:7">
      <c r="A2162" t="s">
        <v>1</v>
      </c>
      <c r="B2162" t="s">
        <v>19</v>
      </c>
      <c r="C2162" t="s">
        <v>214</v>
      </c>
      <c r="D2162"/>
      <c r="E2162" t="s">
        <v>1212</v>
      </c>
      <c r="F2162"/>
      <c r="G2162" s="107">
        <v>0</v>
      </c>
    </row>
    <row r="2163" spans="1:7">
      <c r="A2163" t="s">
        <v>1</v>
      </c>
      <c r="B2163" t="s">
        <v>19</v>
      </c>
      <c r="C2163" t="s">
        <v>234</v>
      </c>
      <c r="D2163"/>
      <c r="E2163" t="s">
        <v>1213</v>
      </c>
      <c r="F2163"/>
      <c r="G2163" s="107">
        <v>3000</v>
      </c>
    </row>
    <row r="2164" spans="1:7">
      <c r="A2164" t="s">
        <v>1</v>
      </c>
      <c r="B2164" t="s">
        <v>19</v>
      </c>
      <c r="C2164" t="s">
        <v>468</v>
      </c>
      <c r="D2164"/>
      <c r="E2164" t="s">
        <v>1214</v>
      </c>
      <c r="F2164"/>
      <c r="G2164" s="107">
        <v>312000</v>
      </c>
    </row>
    <row r="2165" spans="1:7">
      <c r="A2165" t="s">
        <v>1</v>
      </c>
      <c r="B2165" t="s">
        <v>19</v>
      </c>
      <c r="C2165" t="s">
        <v>214</v>
      </c>
      <c r="D2165"/>
      <c r="E2165" t="s">
        <v>1215</v>
      </c>
      <c r="F2165"/>
      <c r="G2165" s="107">
        <v>0</v>
      </c>
    </row>
    <row r="2166" spans="1:7">
      <c r="A2166" t="s">
        <v>1</v>
      </c>
      <c r="B2166" t="s">
        <v>19</v>
      </c>
      <c r="C2166" t="s">
        <v>468</v>
      </c>
      <c r="D2166"/>
      <c r="E2166" t="s">
        <v>1216</v>
      </c>
      <c r="F2166"/>
      <c r="G2166" s="107">
        <v>150000</v>
      </c>
    </row>
    <row r="2167" spans="1:7">
      <c r="A2167" t="s">
        <v>1</v>
      </c>
      <c r="B2167" t="s">
        <v>19</v>
      </c>
      <c r="C2167" t="s">
        <v>214</v>
      </c>
      <c r="D2167"/>
      <c r="E2167" t="s">
        <v>1217</v>
      </c>
      <c r="F2167"/>
      <c r="G2167" s="107">
        <v>0</v>
      </c>
    </row>
    <row r="2168" spans="1:7">
      <c r="A2168" t="s">
        <v>1</v>
      </c>
      <c r="B2168" t="s">
        <v>19</v>
      </c>
      <c r="C2168" t="s">
        <v>234</v>
      </c>
      <c r="D2168"/>
      <c r="E2168" t="s">
        <v>1218</v>
      </c>
      <c r="F2168"/>
      <c r="G2168" s="107">
        <v>5000</v>
      </c>
    </row>
    <row r="2169" spans="1:7">
      <c r="A2169" t="s">
        <v>1</v>
      </c>
      <c r="B2169" t="s">
        <v>19</v>
      </c>
      <c r="C2169" t="s">
        <v>468</v>
      </c>
      <c r="D2169"/>
      <c r="E2169" t="s">
        <v>1219</v>
      </c>
      <c r="F2169"/>
      <c r="G2169" s="107">
        <v>117000</v>
      </c>
    </row>
    <row r="2170" spans="1:7">
      <c r="A2170" t="s">
        <v>1</v>
      </c>
      <c r="B2170" t="s">
        <v>19</v>
      </c>
      <c r="C2170" t="s">
        <v>214</v>
      </c>
      <c r="D2170"/>
      <c r="E2170" t="s">
        <v>1220</v>
      </c>
      <c r="F2170"/>
      <c r="G2170" s="107">
        <v>0</v>
      </c>
    </row>
    <row r="2171" spans="1:7">
      <c r="A2171" t="s">
        <v>1</v>
      </c>
      <c r="B2171" t="s">
        <v>19</v>
      </c>
      <c r="C2171" t="s">
        <v>468</v>
      </c>
      <c r="D2171"/>
      <c r="E2171" t="s">
        <v>1221</v>
      </c>
      <c r="F2171"/>
      <c r="G2171" s="107">
        <v>208000</v>
      </c>
    </row>
    <row r="2172" spans="1:7">
      <c r="A2172" t="s">
        <v>1</v>
      </c>
      <c r="B2172" t="s">
        <v>19</v>
      </c>
      <c r="C2172" t="s">
        <v>214</v>
      </c>
      <c r="D2172"/>
      <c r="E2172" t="s">
        <v>1776</v>
      </c>
      <c r="F2172"/>
      <c r="G2172" s="107">
        <v>0</v>
      </c>
    </row>
    <row r="2173" spans="1:7">
      <c r="A2173" t="s">
        <v>1</v>
      </c>
      <c r="B2173" t="s">
        <v>19</v>
      </c>
      <c r="C2173" t="s">
        <v>468</v>
      </c>
      <c r="D2173"/>
      <c r="E2173" t="s">
        <v>1777</v>
      </c>
      <c r="F2173"/>
      <c r="G2173" s="107">
        <v>208000</v>
      </c>
    </row>
    <row r="2174" spans="1:7">
      <c r="A2174" t="s">
        <v>1</v>
      </c>
      <c r="B2174" t="s">
        <v>19</v>
      </c>
      <c r="C2174" t="s">
        <v>214</v>
      </c>
      <c r="D2174"/>
      <c r="E2174" t="s">
        <v>3019</v>
      </c>
      <c r="F2174"/>
      <c r="G2174" s="107">
        <v>0</v>
      </c>
    </row>
    <row r="2175" spans="1:7">
      <c r="A2175" t="s">
        <v>1</v>
      </c>
      <c r="B2175" t="s">
        <v>19</v>
      </c>
      <c r="C2175" t="s">
        <v>468</v>
      </c>
      <c r="D2175"/>
      <c r="E2175" t="s">
        <v>3020</v>
      </c>
      <c r="F2175"/>
      <c r="G2175" s="107">
        <v>208000</v>
      </c>
    </row>
    <row r="2176" spans="1:7">
      <c r="A2176" t="s">
        <v>1</v>
      </c>
      <c r="B2176" t="s">
        <v>19</v>
      </c>
      <c r="C2176" t="s">
        <v>214</v>
      </c>
      <c r="D2176"/>
      <c r="E2176" t="s">
        <v>3021</v>
      </c>
      <c r="F2176"/>
      <c r="G2176" s="107">
        <v>0</v>
      </c>
    </row>
    <row r="2177" spans="1:7">
      <c r="A2177" t="s">
        <v>1</v>
      </c>
      <c r="B2177" t="s">
        <v>19</v>
      </c>
      <c r="C2177" t="s">
        <v>468</v>
      </c>
      <c r="D2177"/>
      <c r="E2177" t="s">
        <v>3022</v>
      </c>
      <c r="F2177"/>
      <c r="G2177" s="107">
        <v>152000</v>
      </c>
    </row>
    <row r="2178" spans="1:7">
      <c r="A2178" t="s">
        <v>1</v>
      </c>
      <c r="B2178" t="s">
        <v>19</v>
      </c>
      <c r="C2178" t="s">
        <v>214</v>
      </c>
      <c r="D2178"/>
      <c r="E2178" t="s">
        <v>3023</v>
      </c>
      <c r="F2178"/>
      <c r="G2178" s="107">
        <v>0</v>
      </c>
    </row>
    <row r="2179" spans="1:7">
      <c r="A2179" t="s">
        <v>1</v>
      </c>
      <c r="B2179" t="s">
        <v>19</v>
      </c>
      <c r="C2179" t="s">
        <v>468</v>
      </c>
      <c r="D2179"/>
      <c r="E2179" t="s">
        <v>3024</v>
      </c>
      <c r="F2179"/>
      <c r="G2179" s="107">
        <v>180000</v>
      </c>
    </row>
    <row r="2180" spans="1:7">
      <c r="A2180" t="s">
        <v>1</v>
      </c>
      <c r="B2180" t="s">
        <v>19</v>
      </c>
      <c r="C2180" t="s">
        <v>214</v>
      </c>
      <c r="D2180"/>
      <c r="E2180" t="s">
        <v>3025</v>
      </c>
      <c r="F2180"/>
      <c r="G2180" s="107">
        <v>0</v>
      </c>
    </row>
    <row r="2181" spans="1:7">
      <c r="A2181" t="s">
        <v>1</v>
      </c>
      <c r="B2181" t="s">
        <v>19</v>
      </c>
      <c r="C2181" t="s">
        <v>468</v>
      </c>
      <c r="D2181"/>
      <c r="E2181" t="s">
        <v>3026</v>
      </c>
      <c r="F2181"/>
      <c r="G2181" s="107">
        <v>126000</v>
      </c>
    </row>
    <row r="2182" spans="1:7">
      <c r="A2182" t="s">
        <v>1</v>
      </c>
      <c r="B2182" t="s">
        <v>19</v>
      </c>
      <c r="C2182" t="s">
        <v>214</v>
      </c>
      <c r="D2182"/>
      <c r="E2182" t="s">
        <v>3027</v>
      </c>
      <c r="F2182"/>
      <c r="G2182" s="107">
        <v>0</v>
      </c>
    </row>
    <row r="2183" spans="1:7">
      <c r="A2183" t="s">
        <v>1</v>
      </c>
      <c r="B2183" t="s">
        <v>19</v>
      </c>
      <c r="C2183" t="s">
        <v>214</v>
      </c>
      <c r="D2183"/>
      <c r="E2183" t="s">
        <v>3028</v>
      </c>
      <c r="F2183"/>
      <c r="G2183" s="107">
        <v>0</v>
      </c>
    </row>
    <row r="2184" spans="1:7">
      <c r="A2184" t="s">
        <v>1</v>
      </c>
      <c r="B2184" t="s">
        <v>19</v>
      </c>
      <c r="C2184" t="s">
        <v>227</v>
      </c>
      <c r="D2184"/>
      <c r="E2184" t="s">
        <v>3029</v>
      </c>
      <c r="F2184"/>
      <c r="G2184" s="107">
        <v>12000</v>
      </c>
    </row>
    <row r="2185" spans="1:7">
      <c r="A2185" t="s">
        <v>1</v>
      </c>
      <c r="B2185" t="s">
        <v>19</v>
      </c>
      <c r="C2185" t="s">
        <v>214</v>
      </c>
      <c r="D2185"/>
      <c r="E2185" t="s">
        <v>3030</v>
      </c>
      <c r="F2185"/>
      <c r="G2185" s="107">
        <v>0</v>
      </c>
    </row>
    <row r="2186" spans="1:7">
      <c r="A2186" t="s">
        <v>1</v>
      </c>
      <c r="B2186" t="s">
        <v>19</v>
      </c>
      <c r="C2186" t="s">
        <v>227</v>
      </c>
      <c r="D2186"/>
      <c r="E2186" t="s">
        <v>3031</v>
      </c>
      <c r="F2186"/>
      <c r="G2186" s="107">
        <v>5000</v>
      </c>
    </row>
    <row r="2187" spans="1:7">
      <c r="A2187" s="128" t="s">
        <v>1</v>
      </c>
      <c r="B2187" s="128" t="s">
        <v>2117</v>
      </c>
      <c r="C2187" s="128"/>
      <c r="D2187" s="128"/>
      <c r="E2187" s="128" t="s">
        <v>1222</v>
      </c>
      <c r="F2187" s="128"/>
      <c r="G2187" s="129">
        <v>115001</v>
      </c>
    </row>
    <row r="2188" spans="1:7">
      <c r="A2188" t="s">
        <v>1</v>
      </c>
      <c r="B2188" t="s">
        <v>19</v>
      </c>
      <c r="C2188" t="s">
        <v>214</v>
      </c>
      <c r="D2188"/>
      <c r="E2188" t="s">
        <v>1223</v>
      </c>
      <c r="F2188"/>
      <c r="G2188" s="107">
        <v>0</v>
      </c>
    </row>
    <row r="2189" spans="1:7">
      <c r="A2189" t="s">
        <v>1</v>
      </c>
      <c r="B2189" t="s">
        <v>19</v>
      </c>
      <c r="C2189" t="s">
        <v>227</v>
      </c>
      <c r="D2189"/>
      <c r="E2189" t="s">
        <v>3032</v>
      </c>
      <c r="F2189"/>
      <c r="G2189" s="107">
        <v>115001.46</v>
      </c>
    </row>
    <row r="2190" spans="1:7">
      <c r="A2190" s="163" t="s">
        <v>1</v>
      </c>
      <c r="B2190" s="163" t="s">
        <v>8</v>
      </c>
      <c r="C2190" s="163"/>
      <c r="D2190" s="163"/>
      <c r="E2190" s="163" t="s">
        <v>1224</v>
      </c>
      <c r="F2190" s="163"/>
      <c r="G2190" s="164">
        <v>2206500</v>
      </c>
    </row>
    <row r="2191" spans="1:7">
      <c r="A2191" s="128" t="s">
        <v>1</v>
      </c>
      <c r="B2191" s="128" t="s">
        <v>2117</v>
      </c>
      <c r="C2191" s="128"/>
      <c r="D2191" s="128"/>
      <c r="E2191" s="128" t="s">
        <v>1225</v>
      </c>
      <c r="F2191" s="128"/>
      <c r="G2191" s="129">
        <v>324000</v>
      </c>
    </row>
    <row r="2192" spans="1:7">
      <c r="A2192" t="s">
        <v>1</v>
      </c>
      <c r="B2192" t="s">
        <v>19</v>
      </c>
      <c r="C2192" t="s">
        <v>214</v>
      </c>
      <c r="D2192"/>
      <c r="E2192" t="s">
        <v>1226</v>
      </c>
      <c r="F2192"/>
      <c r="G2192" s="107">
        <v>0</v>
      </c>
    </row>
    <row r="2193" spans="1:7">
      <c r="A2193" t="s">
        <v>1</v>
      </c>
      <c r="B2193" t="s">
        <v>19</v>
      </c>
      <c r="C2193" t="s">
        <v>468</v>
      </c>
      <c r="D2193"/>
      <c r="E2193" t="s">
        <v>1227</v>
      </c>
      <c r="F2193"/>
      <c r="G2193" s="107">
        <v>140000</v>
      </c>
    </row>
    <row r="2194" spans="1:7">
      <c r="A2194" t="s">
        <v>1</v>
      </c>
      <c r="B2194" t="s">
        <v>19</v>
      </c>
      <c r="C2194" t="s">
        <v>214</v>
      </c>
      <c r="D2194"/>
      <c r="E2194" t="s">
        <v>1228</v>
      </c>
      <c r="F2194"/>
      <c r="G2194" s="107">
        <v>0</v>
      </c>
    </row>
    <row r="2195" spans="1:7">
      <c r="A2195" t="s">
        <v>1</v>
      </c>
      <c r="B2195" t="s">
        <v>19</v>
      </c>
      <c r="C2195" t="s">
        <v>468</v>
      </c>
      <c r="D2195"/>
      <c r="E2195" t="s">
        <v>3033</v>
      </c>
      <c r="F2195"/>
      <c r="G2195" s="107">
        <v>168000</v>
      </c>
    </row>
    <row r="2196" spans="1:7">
      <c r="A2196" t="s">
        <v>1</v>
      </c>
      <c r="B2196" t="s">
        <v>19</v>
      </c>
      <c r="C2196" t="s">
        <v>214</v>
      </c>
      <c r="D2196"/>
      <c r="E2196" t="s">
        <v>3034</v>
      </c>
      <c r="F2196"/>
      <c r="G2196" s="107">
        <v>0</v>
      </c>
    </row>
    <row r="2197" spans="1:7">
      <c r="A2197" t="s">
        <v>1</v>
      </c>
      <c r="B2197" t="s">
        <v>19</v>
      </c>
      <c r="C2197" t="s">
        <v>468</v>
      </c>
      <c r="D2197"/>
      <c r="E2197" t="s">
        <v>3035</v>
      </c>
      <c r="F2197"/>
      <c r="G2197" s="107">
        <v>16000</v>
      </c>
    </row>
    <row r="2198" spans="1:7">
      <c r="A2198" s="128" t="s">
        <v>1</v>
      </c>
      <c r="B2198" s="128" t="s">
        <v>2117</v>
      </c>
      <c r="C2198" s="128"/>
      <c r="D2198" s="128"/>
      <c r="E2198" s="128" t="s">
        <v>1229</v>
      </c>
      <c r="F2198" s="128"/>
      <c r="G2198" s="129">
        <v>1179000</v>
      </c>
    </row>
    <row r="2199" spans="1:7">
      <c r="A2199" t="s">
        <v>1</v>
      </c>
      <c r="B2199" t="s">
        <v>19</v>
      </c>
      <c r="C2199" t="s">
        <v>214</v>
      </c>
      <c r="D2199"/>
      <c r="E2199" t="s">
        <v>1230</v>
      </c>
      <c r="F2199"/>
      <c r="G2199" s="107">
        <v>0</v>
      </c>
    </row>
    <row r="2200" spans="1:7">
      <c r="A2200" t="s">
        <v>1</v>
      </c>
      <c r="B2200" t="s">
        <v>19</v>
      </c>
      <c r="C2200" t="s">
        <v>234</v>
      </c>
      <c r="D2200"/>
      <c r="E2200" t="s">
        <v>1231</v>
      </c>
      <c r="F2200"/>
      <c r="G2200" s="107">
        <v>10000</v>
      </c>
    </row>
    <row r="2201" spans="1:7">
      <c r="A2201" t="s">
        <v>1</v>
      </c>
      <c r="B2201" t="s">
        <v>19</v>
      </c>
      <c r="C2201" t="s">
        <v>468</v>
      </c>
      <c r="D2201"/>
      <c r="E2201" t="s">
        <v>1232</v>
      </c>
      <c r="F2201"/>
      <c r="G2201" s="107">
        <v>264000</v>
      </c>
    </row>
    <row r="2202" spans="1:7">
      <c r="A2202" t="s">
        <v>1</v>
      </c>
      <c r="B2202" t="s">
        <v>19</v>
      </c>
      <c r="C2202" t="s">
        <v>214</v>
      </c>
      <c r="D2202"/>
      <c r="E2202" t="s">
        <v>1233</v>
      </c>
      <c r="F2202"/>
      <c r="G2202" s="107">
        <v>0</v>
      </c>
    </row>
    <row r="2203" spans="1:7">
      <c r="A2203" t="s">
        <v>1</v>
      </c>
      <c r="B2203" t="s">
        <v>19</v>
      </c>
      <c r="C2203" t="s">
        <v>468</v>
      </c>
      <c r="D2203"/>
      <c r="E2203" t="s">
        <v>3036</v>
      </c>
      <c r="F2203"/>
      <c r="G2203" s="107">
        <v>900000</v>
      </c>
    </row>
    <row r="2204" spans="1:7">
      <c r="A2204" t="s">
        <v>1</v>
      </c>
      <c r="B2204" t="s">
        <v>19</v>
      </c>
      <c r="C2204" t="s">
        <v>214</v>
      </c>
      <c r="D2204"/>
      <c r="E2204" t="s">
        <v>3037</v>
      </c>
      <c r="F2204"/>
      <c r="G2204" s="107">
        <v>0</v>
      </c>
    </row>
    <row r="2205" spans="1:7">
      <c r="A2205" t="s">
        <v>1</v>
      </c>
      <c r="B2205" t="s">
        <v>19</v>
      </c>
      <c r="C2205" t="s">
        <v>234</v>
      </c>
      <c r="D2205"/>
      <c r="E2205" t="s">
        <v>3038</v>
      </c>
      <c r="F2205"/>
      <c r="G2205" s="107">
        <v>5000</v>
      </c>
    </row>
    <row r="2206" spans="1:7">
      <c r="A2206" s="128" t="s">
        <v>1</v>
      </c>
      <c r="B2206" s="128" t="s">
        <v>2117</v>
      </c>
      <c r="C2206" s="128"/>
      <c r="D2206" s="128"/>
      <c r="E2206" s="128" t="s">
        <v>1234</v>
      </c>
      <c r="F2206" s="128"/>
      <c r="G2206" s="129">
        <v>80000</v>
      </c>
    </row>
    <row r="2207" spans="1:7">
      <c r="A2207" t="s">
        <v>1</v>
      </c>
      <c r="B2207" t="s">
        <v>19</v>
      </c>
      <c r="C2207" t="s">
        <v>214</v>
      </c>
      <c r="D2207"/>
      <c r="E2207" t="s">
        <v>1235</v>
      </c>
      <c r="F2207"/>
      <c r="G2207" s="107">
        <v>0</v>
      </c>
    </row>
    <row r="2208" spans="1:7">
      <c r="A2208" t="s">
        <v>1</v>
      </c>
      <c r="B2208" t="s">
        <v>19</v>
      </c>
      <c r="C2208" t="s">
        <v>468</v>
      </c>
      <c r="D2208"/>
      <c r="E2208" t="s">
        <v>3039</v>
      </c>
      <c r="F2208"/>
      <c r="G2208" s="107">
        <v>80000</v>
      </c>
    </row>
    <row r="2209" spans="1:7">
      <c r="A2209" s="128" t="s">
        <v>1</v>
      </c>
      <c r="B2209" s="128" t="s">
        <v>2117</v>
      </c>
      <c r="C2209" s="128"/>
      <c r="D2209" s="128"/>
      <c r="E2209" s="128" t="s">
        <v>1236</v>
      </c>
      <c r="F2209" s="128"/>
      <c r="G2209" s="129">
        <v>216000</v>
      </c>
    </row>
    <row r="2210" spans="1:7">
      <c r="A2210" t="s">
        <v>1</v>
      </c>
      <c r="B2210" t="s">
        <v>19</v>
      </c>
      <c r="C2210" t="s">
        <v>214</v>
      </c>
      <c r="D2210"/>
      <c r="E2210" t="s">
        <v>1237</v>
      </c>
      <c r="F2210"/>
      <c r="G2210" s="107">
        <v>0</v>
      </c>
    </row>
    <row r="2211" spans="1:7">
      <c r="A2211" t="s">
        <v>1</v>
      </c>
      <c r="B2211" t="s">
        <v>19</v>
      </c>
      <c r="C2211" t="s">
        <v>468</v>
      </c>
      <c r="D2211"/>
      <c r="E2211" t="s">
        <v>1238</v>
      </c>
      <c r="F2211"/>
      <c r="G2211" s="107">
        <v>200000</v>
      </c>
    </row>
    <row r="2212" spans="1:7">
      <c r="A2212" t="s">
        <v>1</v>
      </c>
      <c r="B2212" t="s">
        <v>19</v>
      </c>
      <c r="C2212" t="s">
        <v>468</v>
      </c>
      <c r="D2212"/>
      <c r="E2212" t="s">
        <v>3040</v>
      </c>
      <c r="F2212"/>
      <c r="G2212" s="107">
        <v>16000</v>
      </c>
    </row>
    <row r="2213" spans="1:7">
      <c r="A2213" s="128" t="s">
        <v>1</v>
      </c>
      <c r="B2213" s="128" t="s">
        <v>2117</v>
      </c>
      <c r="C2213" s="128"/>
      <c r="D2213" s="128"/>
      <c r="E2213" s="128" t="s">
        <v>1881</v>
      </c>
      <c r="F2213" s="128"/>
      <c r="G2213" s="129">
        <v>160000</v>
      </c>
    </row>
    <row r="2214" spans="1:7">
      <c r="A2214" t="s">
        <v>1</v>
      </c>
      <c r="B2214" t="s">
        <v>19</v>
      </c>
      <c r="C2214" t="s">
        <v>214</v>
      </c>
      <c r="D2214"/>
      <c r="E2214" t="s">
        <v>1882</v>
      </c>
      <c r="F2214"/>
      <c r="G2214" s="107">
        <v>0</v>
      </c>
    </row>
    <row r="2215" spans="1:7">
      <c r="A2215" t="s">
        <v>1</v>
      </c>
      <c r="B2215" t="s">
        <v>19</v>
      </c>
      <c r="C2215" t="s">
        <v>468</v>
      </c>
      <c r="D2215"/>
      <c r="E2215" t="s">
        <v>3041</v>
      </c>
      <c r="F2215"/>
      <c r="G2215" s="107">
        <v>160000</v>
      </c>
    </row>
    <row r="2216" spans="1:7">
      <c r="A2216" s="128" t="s">
        <v>1</v>
      </c>
      <c r="B2216" s="128" t="s">
        <v>2117</v>
      </c>
      <c r="C2216" s="128"/>
      <c r="D2216" s="128"/>
      <c r="E2216" s="128" t="s">
        <v>1239</v>
      </c>
      <c r="F2216" s="128"/>
      <c r="G2216" s="129">
        <v>200000</v>
      </c>
    </row>
    <row r="2217" spans="1:7">
      <c r="A2217" t="s">
        <v>1</v>
      </c>
      <c r="B2217" t="s">
        <v>19</v>
      </c>
      <c r="C2217" t="s">
        <v>214</v>
      </c>
      <c r="D2217"/>
      <c r="E2217" t="s">
        <v>1240</v>
      </c>
      <c r="F2217"/>
      <c r="G2217" s="107">
        <v>0</v>
      </c>
    </row>
    <row r="2218" spans="1:7">
      <c r="A2218" t="s">
        <v>1</v>
      </c>
      <c r="B2218" t="s">
        <v>19</v>
      </c>
      <c r="C2218" t="s">
        <v>227</v>
      </c>
      <c r="D2218"/>
      <c r="E2218" t="s">
        <v>3042</v>
      </c>
      <c r="F2218"/>
      <c r="G2218" s="107">
        <v>200000</v>
      </c>
    </row>
    <row r="2219" spans="1:7">
      <c r="A2219" s="128" t="s">
        <v>1</v>
      </c>
      <c r="B2219" s="128" t="s">
        <v>2117</v>
      </c>
      <c r="C2219" s="128"/>
      <c r="D2219" s="128"/>
      <c r="E2219" s="128" t="s">
        <v>1241</v>
      </c>
      <c r="F2219" s="128"/>
      <c r="G2219" s="129">
        <v>47500</v>
      </c>
    </row>
    <row r="2220" spans="1:7">
      <c r="A2220" t="s">
        <v>1</v>
      </c>
      <c r="B2220" t="s">
        <v>19</v>
      </c>
      <c r="C2220" t="s">
        <v>214</v>
      </c>
      <c r="D2220"/>
      <c r="E2220" t="s">
        <v>1242</v>
      </c>
      <c r="F2220"/>
      <c r="G2220" s="107">
        <v>0</v>
      </c>
    </row>
    <row r="2221" spans="1:7">
      <c r="A2221" t="s">
        <v>1</v>
      </c>
      <c r="B2221" t="s">
        <v>19</v>
      </c>
      <c r="C2221" t="s">
        <v>227</v>
      </c>
      <c r="D2221"/>
      <c r="E2221" t="s">
        <v>3043</v>
      </c>
      <c r="F2221"/>
      <c r="G2221" s="107">
        <v>47500</v>
      </c>
    </row>
    <row r="2222" spans="1:7">
      <c r="A2222" s="163" t="s">
        <v>1</v>
      </c>
      <c r="B2222" s="163" t="s">
        <v>8</v>
      </c>
      <c r="C2222" s="163"/>
      <c r="D2222" s="163"/>
      <c r="E2222" s="163" t="s">
        <v>1243</v>
      </c>
      <c r="F2222" s="163"/>
      <c r="G2222" s="164">
        <v>1843600</v>
      </c>
    </row>
    <row r="2223" spans="1:7">
      <c r="A2223" s="128" t="s">
        <v>1</v>
      </c>
      <c r="B2223" s="128" t="s">
        <v>2117</v>
      </c>
      <c r="C2223" s="128"/>
      <c r="D2223" s="128"/>
      <c r="E2223" s="128" t="s">
        <v>1244</v>
      </c>
      <c r="F2223" s="128"/>
      <c r="G2223" s="129">
        <v>612000</v>
      </c>
    </row>
    <row r="2224" spans="1:7">
      <c r="A2224" t="s">
        <v>1</v>
      </c>
      <c r="B2224" t="s">
        <v>19</v>
      </c>
      <c r="C2224" t="s">
        <v>214</v>
      </c>
      <c r="D2224"/>
      <c r="E2224" t="s">
        <v>1245</v>
      </c>
      <c r="F2224"/>
      <c r="G2224" s="107">
        <v>0</v>
      </c>
    </row>
    <row r="2225" spans="1:7">
      <c r="A2225" t="s">
        <v>1</v>
      </c>
      <c r="B2225" t="s">
        <v>19</v>
      </c>
      <c r="C2225" t="s">
        <v>468</v>
      </c>
      <c r="D2225"/>
      <c r="E2225" t="s">
        <v>1246</v>
      </c>
      <c r="F2225"/>
      <c r="G2225" s="107">
        <v>252000</v>
      </c>
    </row>
    <row r="2226" spans="1:7">
      <c r="A2226" t="s">
        <v>1</v>
      </c>
      <c r="B2226" t="s">
        <v>19</v>
      </c>
      <c r="C2226" t="s">
        <v>214</v>
      </c>
      <c r="D2226"/>
      <c r="E2226" t="s">
        <v>1247</v>
      </c>
      <c r="F2226"/>
      <c r="G2226" s="107">
        <v>0</v>
      </c>
    </row>
    <row r="2227" spans="1:7">
      <c r="A2227" t="s">
        <v>1</v>
      </c>
      <c r="B2227" t="s">
        <v>19</v>
      </c>
      <c r="C2227" t="s">
        <v>214</v>
      </c>
      <c r="D2227"/>
      <c r="E2227" t="s">
        <v>1248</v>
      </c>
      <c r="F2227"/>
      <c r="G2227" s="107">
        <v>0</v>
      </c>
    </row>
    <row r="2228" spans="1:7">
      <c r="A2228" t="s">
        <v>1</v>
      </c>
      <c r="B2228" t="s">
        <v>19</v>
      </c>
      <c r="C2228" t="s">
        <v>468</v>
      </c>
      <c r="D2228"/>
      <c r="E2228" t="s">
        <v>1249</v>
      </c>
      <c r="F2228"/>
      <c r="G2228" s="107">
        <v>126000</v>
      </c>
    </row>
    <row r="2229" spans="1:7">
      <c r="A2229" t="s">
        <v>1</v>
      </c>
      <c r="B2229" t="s">
        <v>19</v>
      </c>
      <c r="C2229" t="s">
        <v>214</v>
      </c>
      <c r="D2229"/>
      <c r="E2229" t="s">
        <v>1250</v>
      </c>
      <c r="F2229"/>
      <c r="G2229" s="107">
        <v>0</v>
      </c>
    </row>
    <row r="2230" spans="1:7">
      <c r="A2230" t="s">
        <v>1</v>
      </c>
      <c r="B2230" t="s">
        <v>19</v>
      </c>
      <c r="C2230" t="s">
        <v>214</v>
      </c>
      <c r="D2230"/>
      <c r="E2230" t="s">
        <v>1251</v>
      </c>
      <c r="F2230"/>
      <c r="G2230" s="107">
        <v>0</v>
      </c>
    </row>
    <row r="2231" spans="1:7">
      <c r="A2231" t="s">
        <v>1</v>
      </c>
      <c r="B2231" t="s">
        <v>19</v>
      </c>
      <c r="C2231" t="s">
        <v>468</v>
      </c>
      <c r="D2231"/>
      <c r="E2231" t="s">
        <v>1252</v>
      </c>
      <c r="F2231"/>
      <c r="G2231" s="107">
        <v>126000</v>
      </c>
    </row>
    <row r="2232" spans="1:7">
      <c r="A2232" t="s">
        <v>1</v>
      </c>
      <c r="B2232" t="s">
        <v>19</v>
      </c>
      <c r="C2232" t="s">
        <v>214</v>
      </c>
      <c r="D2232"/>
      <c r="E2232" t="s">
        <v>1253</v>
      </c>
      <c r="F2232"/>
      <c r="G2232" s="107">
        <v>0</v>
      </c>
    </row>
    <row r="2233" spans="1:7">
      <c r="A2233" t="s">
        <v>1</v>
      </c>
      <c r="B2233" t="s">
        <v>19</v>
      </c>
      <c r="C2233" t="s">
        <v>468</v>
      </c>
      <c r="D2233"/>
      <c r="E2233" t="s">
        <v>1254</v>
      </c>
      <c r="F2233"/>
      <c r="G2233" s="107">
        <v>108000</v>
      </c>
    </row>
    <row r="2234" spans="1:7">
      <c r="A2234" t="s">
        <v>1</v>
      </c>
      <c r="B2234" t="s">
        <v>19</v>
      </c>
      <c r="C2234" t="s">
        <v>214</v>
      </c>
      <c r="D2234"/>
      <c r="E2234" t="s">
        <v>3044</v>
      </c>
      <c r="F2234"/>
      <c r="G2234" s="107">
        <v>0</v>
      </c>
    </row>
    <row r="2235" spans="1:7">
      <c r="A2235" t="s">
        <v>1</v>
      </c>
      <c r="B2235" t="s">
        <v>19</v>
      </c>
      <c r="C2235" t="s">
        <v>214</v>
      </c>
      <c r="D2235"/>
      <c r="E2235" t="s">
        <v>3045</v>
      </c>
      <c r="F2235"/>
      <c r="G2235" s="107">
        <v>0</v>
      </c>
    </row>
    <row r="2236" spans="1:7">
      <c r="A2236" t="s">
        <v>1</v>
      </c>
      <c r="B2236" t="s">
        <v>19</v>
      </c>
      <c r="C2236" t="s">
        <v>468</v>
      </c>
      <c r="D2236"/>
      <c r="E2236" t="s">
        <v>3046</v>
      </c>
      <c r="F2236"/>
      <c r="G2236" s="107">
        <v>0</v>
      </c>
    </row>
    <row r="2237" spans="1:7">
      <c r="A2237" t="s">
        <v>1</v>
      </c>
      <c r="B2237" t="s">
        <v>19</v>
      </c>
      <c r="C2237" t="s">
        <v>214</v>
      </c>
      <c r="D2237"/>
      <c r="E2237" t="s">
        <v>3047</v>
      </c>
      <c r="F2237"/>
      <c r="G2237" s="107">
        <v>0</v>
      </c>
    </row>
    <row r="2238" spans="1:7">
      <c r="A2238" t="s">
        <v>1</v>
      </c>
      <c r="B2238" t="s">
        <v>19</v>
      </c>
      <c r="C2238" t="s">
        <v>468</v>
      </c>
      <c r="D2238"/>
      <c r="E2238" t="s">
        <v>3048</v>
      </c>
      <c r="F2238"/>
      <c r="G2238" s="107">
        <v>0</v>
      </c>
    </row>
    <row r="2239" spans="1:7">
      <c r="A2239" t="s">
        <v>1</v>
      </c>
      <c r="B2239" t="s">
        <v>19</v>
      </c>
      <c r="C2239" t="s">
        <v>214</v>
      </c>
      <c r="D2239"/>
      <c r="E2239" t="s">
        <v>3049</v>
      </c>
      <c r="F2239"/>
      <c r="G2239" s="107">
        <v>0</v>
      </c>
    </row>
    <row r="2240" spans="1:7">
      <c r="A2240" t="s">
        <v>1</v>
      </c>
      <c r="B2240" t="s">
        <v>19</v>
      </c>
      <c r="C2240" t="s">
        <v>468</v>
      </c>
      <c r="D2240"/>
      <c r="E2240" t="s">
        <v>3050</v>
      </c>
      <c r="F2240"/>
      <c r="G2240" s="107">
        <v>0</v>
      </c>
    </row>
    <row r="2241" spans="1:7">
      <c r="A2241" s="128" t="s">
        <v>1</v>
      </c>
      <c r="B2241" s="128" t="s">
        <v>2117</v>
      </c>
      <c r="C2241" s="128"/>
      <c r="D2241" s="128"/>
      <c r="E2241" s="128" t="s">
        <v>1255</v>
      </c>
      <c r="F2241" s="128"/>
      <c r="G2241" s="129">
        <v>59000</v>
      </c>
    </row>
    <row r="2242" spans="1:7">
      <c r="A2242" t="s">
        <v>1</v>
      </c>
      <c r="B2242" t="s">
        <v>19</v>
      </c>
      <c r="C2242" t="s">
        <v>214</v>
      </c>
      <c r="D2242"/>
      <c r="E2242" t="s">
        <v>1256</v>
      </c>
      <c r="F2242"/>
      <c r="G2242" s="107">
        <v>0</v>
      </c>
    </row>
    <row r="2243" spans="1:7">
      <c r="A2243" t="s">
        <v>1</v>
      </c>
      <c r="B2243" t="s">
        <v>19</v>
      </c>
      <c r="C2243" t="s">
        <v>468</v>
      </c>
      <c r="D2243"/>
      <c r="E2243" t="s">
        <v>1778</v>
      </c>
      <c r="F2243"/>
      <c r="G2243" s="107">
        <v>56000</v>
      </c>
    </row>
    <row r="2244" spans="1:7">
      <c r="A2244" t="s">
        <v>1</v>
      </c>
      <c r="B2244" t="s">
        <v>19</v>
      </c>
      <c r="C2244" t="s">
        <v>214</v>
      </c>
      <c r="D2244"/>
      <c r="E2244" t="s">
        <v>3051</v>
      </c>
      <c r="F2244"/>
      <c r="G2244" s="107">
        <v>0</v>
      </c>
    </row>
    <row r="2245" spans="1:7">
      <c r="A2245" t="s">
        <v>1</v>
      </c>
      <c r="B2245" t="s">
        <v>19</v>
      </c>
      <c r="C2245" t="s">
        <v>214</v>
      </c>
      <c r="D2245"/>
      <c r="E2245" t="s">
        <v>3052</v>
      </c>
      <c r="F2245"/>
      <c r="G2245" s="107">
        <v>0</v>
      </c>
    </row>
    <row r="2246" spans="1:7">
      <c r="A2246" t="s">
        <v>1</v>
      </c>
      <c r="B2246" t="s">
        <v>19</v>
      </c>
      <c r="C2246" t="s">
        <v>227</v>
      </c>
      <c r="D2246"/>
      <c r="E2246" t="s">
        <v>3053</v>
      </c>
      <c r="F2246"/>
      <c r="G2246" s="107">
        <v>3000</v>
      </c>
    </row>
    <row r="2247" spans="1:7">
      <c r="A2247" s="128" t="s">
        <v>1</v>
      </c>
      <c r="B2247" s="128" t="s">
        <v>2117</v>
      </c>
      <c r="C2247" s="128"/>
      <c r="D2247" s="128"/>
      <c r="E2247" s="128" t="s">
        <v>1257</v>
      </c>
      <c r="F2247" s="128"/>
      <c r="G2247" s="129">
        <v>126000</v>
      </c>
    </row>
    <row r="2248" spans="1:7">
      <c r="A2248" t="s">
        <v>1</v>
      </c>
      <c r="B2248" t="s">
        <v>19</v>
      </c>
      <c r="C2248" t="s">
        <v>214</v>
      </c>
      <c r="D2248"/>
      <c r="E2248" t="s">
        <v>1258</v>
      </c>
      <c r="F2248"/>
      <c r="G2248" s="107">
        <v>0</v>
      </c>
    </row>
    <row r="2249" spans="1:7">
      <c r="A2249" t="s">
        <v>1</v>
      </c>
      <c r="B2249" t="s">
        <v>19</v>
      </c>
      <c r="C2249" t="s">
        <v>468</v>
      </c>
      <c r="D2249"/>
      <c r="E2249" t="s">
        <v>3054</v>
      </c>
      <c r="F2249"/>
      <c r="G2249" s="107">
        <v>126000</v>
      </c>
    </row>
    <row r="2250" spans="1:7">
      <c r="A2250" s="128" t="s">
        <v>1</v>
      </c>
      <c r="B2250" s="128" t="s">
        <v>2117</v>
      </c>
      <c r="C2250" s="128"/>
      <c r="D2250" s="128"/>
      <c r="E2250" s="128" t="s">
        <v>1259</v>
      </c>
      <c r="F2250" s="128"/>
      <c r="G2250" s="129">
        <v>255000</v>
      </c>
    </row>
    <row r="2251" spans="1:7">
      <c r="A2251" t="s">
        <v>1</v>
      </c>
      <c r="B2251" t="s">
        <v>19</v>
      </c>
      <c r="C2251" t="s">
        <v>214</v>
      </c>
      <c r="D2251"/>
      <c r="E2251" t="s">
        <v>1260</v>
      </c>
      <c r="F2251"/>
      <c r="G2251" s="107">
        <v>0</v>
      </c>
    </row>
    <row r="2252" spans="1:7">
      <c r="A2252" t="s">
        <v>1</v>
      </c>
      <c r="B2252" t="s">
        <v>19</v>
      </c>
      <c r="C2252" t="s">
        <v>468</v>
      </c>
      <c r="D2252"/>
      <c r="E2252" t="s">
        <v>1779</v>
      </c>
      <c r="F2252"/>
      <c r="G2252" s="107">
        <v>250000</v>
      </c>
    </row>
    <row r="2253" spans="1:7">
      <c r="A2253" t="s">
        <v>1</v>
      </c>
      <c r="B2253" t="s">
        <v>19</v>
      </c>
      <c r="C2253" t="s">
        <v>214</v>
      </c>
      <c r="D2253"/>
      <c r="E2253" t="s">
        <v>3055</v>
      </c>
      <c r="F2253"/>
      <c r="G2253" s="107">
        <v>0</v>
      </c>
    </row>
    <row r="2254" spans="1:7">
      <c r="A2254" t="s">
        <v>1</v>
      </c>
      <c r="B2254" t="s">
        <v>19</v>
      </c>
      <c r="C2254" t="s">
        <v>214</v>
      </c>
      <c r="D2254"/>
      <c r="E2254" t="s">
        <v>3056</v>
      </c>
      <c r="F2254"/>
      <c r="G2254" s="107">
        <v>0</v>
      </c>
    </row>
    <row r="2255" spans="1:7">
      <c r="A2255" t="s">
        <v>1</v>
      </c>
      <c r="B2255" t="s">
        <v>19</v>
      </c>
      <c r="C2255" t="s">
        <v>227</v>
      </c>
      <c r="D2255"/>
      <c r="E2255" t="s">
        <v>3057</v>
      </c>
      <c r="F2255"/>
      <c r="G2255" s="107">
        <v>5000</v>
      </c>
    </row>
    <row r="2256" spans="1:7">
      <c r="A2256" s="128" t="s">
        <v>1</v>
      </c>
      <c r="B2256" s="128" t="s">
        <v>2117</v>
      </c>
      <c r="C2256" s="128"/>
      <c r="D2256" s="128"/>
      <c r="E2256" s="128" t="s">
        <v>1883</v>
      </c>
      <c r="F2256" s="128"/>
      <c r="G2256" s="129">
        <v>57600</v>
      </c>
    </row>
    <row r="2257" spans="1:7">
      <c r="A2257" t="s">
        <v>1</v>
      </c>
      <c r="B2257" t="s">
        <v>19</v>
      </c>
      <c r="C2257" t="s">
        <v>214</v>
      </c>
      <c r="D2257"/>
      <c r="E2257" t="s">
        <v>1884</v>
      </c>
      <c r="F2257"/>
      <c r="G2257" s="107">
        <v>0</v>
      </c>
    </row>
    <row r="2258" spans="1:7">
      <c r="A2258" t="s">
        <v>1</v>
      </c>
      <c r="B2258" t="s">
        <v>19</v>
      </c>
      <c r="C2258" t="s">
        <v>468</v>
      </c>
      <c r="D2258"/>
      <c r="E2258" t="s">
        <v>3058</v>
      </c>
      <c r="F2258"/>
      <c r="G2258" s="107">
        <v>57600</v>
      </c>
    </row>
    <row r="2259" spans="1:7">
      <c r="A2259" s="128" t="s">
        <v>1</v>
      </c>
      <c r="B2259" s="128" t="s">
        <v>2117</v>
      </c>
      <c r="C2259" s="128"/>
      <c r="D2259" s="128"/>
      <c r="E2259" s="128">
        <v>5221</v>
      </c>
      <c r="F2259" s="128"/>
      <c r="G2259" s="129">
        <v>0</v>
      </c>
    </row>
    <row r="2260" spans="1:7">
      <c r="A2260" t="s">
        <v>1</v>
      </c>
      <c r="B2260" t="s">
        <v>19</v>
      </c>
      <c r="C2260" t="s">
        <v>214</v>
      </c>
      <c r="D2260"/>
      <c r="E2260" t="s">
        <v>5501</v>
      </c>
      <c r="F2260"/>
      <c r="G2260" s="107">
        <v>0</v>
      </c>
    </row>
    <row r="2261" spans="1:7">
      <c r="A2261" s="128" t="s">
        <v>1</v>
      </c>
      <c r="B2261" s="128" t="s">
        <v>2117</v>
      </c>
      <c r="C2261" s="128"/>
      <c r="D2261" s="128"/>
      <c r="E2261" s="128" t="s">
        <v>1261</v>
      </c>
      <c r="F2261" s="128"/>
      <c r="G2261" s="129">
        <v>734000</v>
      </c>
    </row>
    <row r="2262" spans="1:7">
      <c r="A2262" t="s">
        <v>1</v>
      </c>
      <c r="B2262" t="s">
        <v>19</v>
      </c>
      <c r="C2262" t="s">
        <v>214</v>
      </c>
      <c r="D2262"/>
      <c r="E2262" t="s">
        <v>1262</v>
      </c>
      <c r="F2262"/>
      <c r="G2262" s="107">
        <v>0</v>
      </c>
    </row>
    <row r="2263" spans="1:7">
      <c r="A2263" t="s">
        <v>1</v>
      </c>
      <c r="B2263" t="s">
        <v>19</v>
      </c>
      <c r="C2263" t="s">
        <v>468</v>
      </c>
      <c r="D2263"/>
      <c r="E2263" t="s">
        <v>1263</v>
      </c>
      <c r="F2263"/>
      <c r="G2263" s="107">
        <v>162000</v>
      </c>
    </row>
    <row r="2264" spans="1:7">
      <c r="A2264" t="s">
        <v>1</v>
      </c>
      <c r="B2264" t="s">
        <v>19</v>
      </c>
      <c r="C2264" t="s">
        <v>468</v>
      </c>
      <c r="D2264"/>
      <c r="E2264" t="s">
        <v>1264</v>
      </c>
      <c r="F2264"/>
      <c r="G2264" s="107">
        <v>81000</v>
      </c>
    </row>
    <row r="2265" spans="1:7">
      <c r="A2265" t="s">
        <v>1</v>
      </c>
      <c r="B2265" t="s">
        <v>19</v>
      </c>
      <c r="C2265" t="s">
        <v>468</v>
      </c>
      <c r="D2265"/>
      <c r="E2265" t="s">
        <v>1265</v>
      </c>
      <c r="F2265"/>
      <c r="G2265" s="107">
        <v>81000</v>
      </c>
    </row>
    <row r="2266" spans="1:7">
      <c r="A2266" t="s">
        <v>1</v>
      </c>
      <c r="B2266" t="s">
        <v>19</v>
      </c>
      <c r="C2266" t="s">
        <v>468</v>
      </c>
      <c r="D2266"/>
      <c r="E2266" t="s">
        <v>1266</v>
      </c>
      <c r="F2266"/>
      <c r="G2266" s="107">
        <v>81000</v>
      </c>
    </row>
    <row r="2267" spans="1:7">
      <c r="A2267" t="s">
        <v>1</v>
      </c>
      <c r="B2267" t="s">
        <v>19</v>
      </c>
      <c r="C2267" t="s">
        <v>468</v>
      </c>
      <c r="D2267"/>
      <c r="E2267" t="s">
        <v>1267</v>
      </c>
      <c r="F2267"/>
      <c r="G2267" s="107">
        <v>36000</v>
      </c>
    </row>
    <row r="2268" spans="1:7">
      <c r="A2268" t="s">
        <v>1</v>
      </c>
      <c r="B2268" t="s">
        <v>19</v>
      </c>
      <c r="C2268" t="s">
        <v>468</v>
      </c>
      <c r="D2268"/>
      <c r="E2268" t="s">
        <v>1268</v>
      </c>
      <c r="F2268"/>
      <c r="G2268" s="107">
        <v>180000</v>
      </c>
    </row>
    <row r="2269" spans="1:7">
      <c r="A2269" t="s">
        <v>1</v>
      </c>
      <c r="B2269" t="s">
        <v>19</v>
      </c>
      <c r="C2269" t="s">
        <v>468</v>
      </c>
      <c r="D2269"/>
      <c r="E2269" t="s">
        <v>1780</v>
      </c>
      <c r="F2269"/>
      <c r="G2269" s="107">
        <v>108000</v>
      </c>
    </row>
    <row r="2270" spans="1:7">
      <c r="A2270" t="s">
        <v>1</v>
      </c>
      <c r="B2270" t="s">
        <v>19</v>
      </c>
      <c r="C2270" t="s">
        <v>214</v>
      </c>
      <c r="D2270"/>
      <c r="E2270" t="s">
        <v>3059</v>
      </c>
      <c r="F2270"/>
      <c r="G2270" s="107">
        <v>0</v>
      </c>
    </row>
    <row r="2271" spans="1:7">
      <c r="A2271" t="s">
        <v>1</v>
      </c>
      <c r="B2271" t="s">
        <v>19</v>
      </c>
      <c r="C2271" t="s">
        <v>214</v>
      </c>
      <c r="D2271"/>
      <c r="E2271" t="s">
        <v>3060</v>
      </c>
      <c r="F2271"/>
      <c r="G2271" s="107">
        <v>0</v>
      </c>
    </row>
    <row r="2272" spans="1:7">
      <c r="A2272" t="s">
        <v>1</v>
      </c>
      <c r="B2272" t="s">
        <v>19</v>
      </c>
      <c r="C2272" t="s">
        <v>227</v>
      </c>
      <c r="D2272"/>
      <c r="E2272" t="s">
        <v>3061</v>
      </c>
      <c r="F2272"/>
      <c r="G2272" s="107">
        <v>5000</v>
      </c>
    </row>
    <row r="2273" spans="1:7">
      <c r="A2273" s="163" t="s">
        <v>1</v>
      </c>
      <c r="B2273" s="163" t="s">
        <v>8</v>
      </c>
      <c r="C2273" s="163"/>
      <c r="D2273" s="163"/>
      <c r="E2273" s="163" t="s">
        <v>1269</v>
      </c>
      <c r="F2273" s="163"/>
      <c r="G2273" s="164">
        <v>80000</v>
      </c>
    </row>
    <row r="2274" spans="1:7">
      <c r="A2274" s="128" t="s">
        <v>1</v>
      </c>
      <c r="B2274" s="128" t="s">
        <v>2117</v>
      </c>
      <c r="C2274" s="128"/>
      <c r="D2274" s="128"/>
      <c r="E2274" s="128" t="s">
        <v>1270</v>
      </c>
      <c r="F2274" s="128"/>
      <c r="G2274" s="129">
        <v>80000</v>
      </c>
    </row>
    <row r="2275" spans="1:7">
      <c r="A2275" t="s">
        <v>1</v>
      </c>
      <c r="B2275" t="s">
        <v>19</v>
      </c>
      <c r="C2275" t="s">
        <v>214</v>
      </c>
      <c r="D2275"/>
      <c r="E2275" t="s">
        <v>1271</v>
      </c>
      <c r="F2275"/>
      <c r="G2275" s="107">
        <v>0</v>
      </c>
    </row>
    <row r="2276" spans="1:7">
      <c r="A2276" t="s">
        <v>1</v>
      </c>
      <c r="B2276" t="s">
        <v>19</v>
      </c>
      <c r="C2276" t="s">
        <v>468</v>
      </c>
      <c r="D2276"/>
      <c r="E2276" t="s">
        <v>3062</v>
      </c>
      <c r="F2276"/>
      <c r="G2276" s="107">
        <v>80000</v>
      </c>
    </row>
    <row r="2277" spans="1:7">
      <c r="A2277" s="163" t="s">
        <v>1</v>
      </c>
      <c r="B2277" s="163" t="s">
        <v>8</v>
      </c>
      <c r="C2277" s="163"/>
      <c r="D2277" s="163"/>
      <c r="E2277" s="163" t="s">
        <v>1272</v>
      </c>
      <c r="F2277" s="163"/>
      <c r="G2277" s="164">
        <v>100000</v>
      </c>
    </row>
    <row r="2278" spans="1:7">
      <c r="A2278" s="128" t="s">
        <v>1</v>
      </c>
      <c r="B2278" s="128" t="s">
        <v>2117</v>
      </c>
      <c r="C2278" s="128"/>
      <c r="D2278" s="128"/>
      <c r="E2278" s="128" t="s">
        <v>1273</v>
      </c>
      <c r="F2278" s="128"/>
      <c r="G2278" s="129">
        <v>100000</v>
      </c>
    </row>
    <row r="2279" spans="1:7">
      <c r="A2279" t="s">
        <v>1</v>
      </c>
      <c r="B2279" t="s">
        <v>19</v>
      </c>
      <c r="C2279" t="s">
        <v>214</v>
      </c>
      <c r="D2279"/>
      <c r="E2279" t="s">
        <v>1274</v>
      </c>
      <c r="F2279"/>
      <c r="G2279" s="107">
        <v>0</v>
      </c>
    </row>
    <row r="2280" spans="1:7">
      <c r="A2280" t="s">
        <v>1</v>
      </c>
      <c r="B2280" t="s">
        <v>19</v>
      </c>
      <c r="C2280" t="s">
        <v>468</v>
      </c>
      <c r="D2280"/>
      <c r="E2280" t="s">
        <v>3063</v>
      </c>
      <c r="F2280"/>
      <c r="G2280" s="107">
        <v>100000</v>
      </c>
    </row>
    <row r="2281" spans="1:7">
      <c r="A2281" s="163" t="s">
        <v>1</v>
      </c>
      <c r="B2281" s="163" t="s">
        <v>8</v>
      </c>
      <c r="C2281" s="163"/>
      <c r="D2281" s="163"/>
      <c r="E2281" s="163" t="s">
        <v>1275</v>
      </c>
      <c r="F2281" s="163"/>
      <c r="G2281" s="164">
        <v>3833200</v>
      </c>
    </row>
    <row r="2282" spans="1:7">
      <c r="A2282" s="128" t="s">
        <v>1</v>
      </c>
      <c r="B2282" s="128" t="s">
        <v>2117</v>
      </c>
      <c r="C2282" s="128"/>
      <c r="D2282" s="128"/>
      <c r="E2282" s="128" t="s">
        <v>1276</v>
      </c>
      <c r="F2282" s="128"/>
      <c r="G2282" s="129">
        <v>739200</v>
      </c>
    </row>
    <row r="2283" spans="1:7">
      <c r="A2283" t="s">
        <v>1</v>
      </c>
      <c r="B2283" t="s">
        <v>19</v>
      </c>
      <c r="C2283" t="s">
        <v>214</v>
      </c>
      <c r="D2283"/>
      <c r="E2283" t="s">
        <v>1277</v>
      </c>
      <c r="F2283"/>
      <c r="G2283" s="107">
        <v>0</v>
      </c>
    </row>
    <row r="2284" spans="1:7">
      <c r="A2284" t="s">
        <v>1</v>
      </c>
      <c r="B2284" t="s">
        <v>19</v>
      </c>
      <c r="C2284" t="s">
        <v>214</v>
      </c>
      <c r="D2284"/>
      <c r="E2284" t="s">
        <v>1278</v>
      </c>
      <c r="F2284"/>
      <c r="G2284" s="107">
        <v>0</v>
      </c>
    </row>
    <row r="2285" spans="1:7">
      <c r="A2285" t="s">
        <v>1</v>
      </c>
      <c r="B2285" t="s">
        <v>19</v>
      </c>
      <c r="C2285" t="s">
        <v>214</v>
      </c>
      <c r="D2285"/>
      <c r="E2285" t="s">
        <v>1279</v>
      </c>
      <c r="F2285"/>
      <c r="G2285" s="107">
        <v>0</v>
      </c>
    </row>
    <row r="2286" spans="1:7">
      <c r="A2286" t="s">
        <v>1</v>
      </c>
      <c r="B2286" t="s">
        <v>19</v>
      </c>
      <c r="C2286" t="s">
        <v>468</v>
      </c>
      <c r="D2286"/>
      <c r="E2286" t="s">
        <v>3064</v>
      </c>
      <c r="F2286"/>
      <c r="G2286" s="107">
        <v>739200</v>
      </c>
    </row>
    <row r="2287" spans="1:7">
      <c r="A2287" s="128" t="s">
        <v>1</v>
      </c>
      <c r="B2287" s="128" t="s">
        <v>2117</v>
      </c>
      <c r="C2287" s="128"/>
      <c r="D2287" s="128"/>
      <c r="E2287" s="128" t="s">
        <v>1280</v>
      </c>
      <c r="F2287" s="128"/>
      <c r="G2287" s="129">
        <v>294000</v>
      </c>
    </row>
    <row r="2288" spans="1:7">
      <c r="A2288" t="s">
        <v>1</v>
      </c>
      <c r="B2288" t="s">
        <v>19</v>
      </c>
      <c r="C2288" t="s">
        <v>214</v>
      </c>
      <c r="D2288"/>
      <c r="E2288" t="s">
        <v>1281</v>
      </c>
      <c r="F2288"/>
      <c r="G2288" s="107">
        <v>0</v>
      </c>
    </row>
    <row r="2289" spans="1:7">
      <c r="A2289" t="s">
        <v>1</v>
      </c>
      <c r="B2289" t="s">
        <v>19</v>
      </c>
      <c r="C2289" t="s">
        <v>214</v>
      </c>
      <c r="D2289"/>
      <c r="E2289" t="s">
        <v>1282</v>
      </c>
      <c r="F2289"/>
      <c r="G2289" s="107">
        <v>0</v>
      </c>
    </row>
    <row r="2290" spans="1:7">
      <c r="A2290" t="s">
        <v>1</v>
      </c>
      <c r="B2290" t="s">
        <v>19</v>
      </c>
      <c r="C2290" t="s">
        <v>468</v>
      </c>
      <c r="D2290"/>
      <c r="E2290" t="s">
        <v>3065</v>
      </c>
      <c r="F2290"/>
      <c r="G2290" s="107">
        <v>294000</v>
      </c>
    </row>
    <row r="2291" spans="1:7">
      <c r="A2291" s="128" t="s">
        <v>1</v>
      </c>
      <c r="B2291" s="128" t="s">
        <v>2117</v>
      </c>
      <c r="C2291" s="128"/>
      <c r="D2291" s="128"/>
      <c r="E2291" s="128" t="s">
        <v>1283</v>
      </c>
      <c r="F2291" s="128"/>
      <c r="G2291" s="129">
        <v>2800000</v>
      </c>
    </row>
    <row r="2292" spans="1:7">
      <c r="A2292" t="s">
        <v>1</v>
      </c>
      <c r="B2292" t="s">
        <v>19</v>
      </c>
      <c r="C2292" t="s">
        <v>214</v>
      </c>
      <c r="D2292"/>
      <c r="E2292" t="s">
        <v>1284</v>
      </c>
      <c r="F2292"/>
      <c r="G2292" s="107">
        <v>0</v>
      </c>
    </row>
    <row r="2293" spans="1:7">
      <c r="A2293" t="s">
        <v>1</v>
      </c>
      <c r="B2293" t="s">
        <v>19</v>
      </c>
      <c r="C2293" t="s">
        <v>227</v>
      </c>
      <c r="D2293"/>
      <c r="E2293" t="s">
        <v>1285</v>
      </c>
      <c r="F2293"/>
      <c r="G2293" s="107">
        <v>1440000</v>
      </c>
    </row>
    <row r="2294" spans="1:7">
      <c r="A2294" t="s">
        <v>1</v>
      </c>
      <c r="B2294" t="s">
        <v>19</v>
      </c>
      <c r="C2294" t="s">
        <v>227</v>
      </c>
      <c r="D2294"/>
      <c r="E2294" t="s">
        <v>1286</v>
      </c>
      <c r="F2294"/>
      <c r="G2294" s="107">
        <v>800000</v>
      </c>
    </row>
    <row r="2295" spans="1:7">
      <c r="A2295" t="s">
        <v>1</v>
      </c>
      <c r="B2295" t="s">
        <v>19</v>
      </c>
      <c r="C2295" t="s">
        <v>227</v>
      </c>
      <c r="D2295"/>
      <c r="E2295" t="s">
        <v>3066</v>
      </c>
      <c r="F2295"/>
      <c r="G2295" s="107">
        <v>560000</v>
      </c>
    </row>
    <row r="2296" spans="1:7">
      <c r="A2296" s="163" t="s">
        <v>1</v>
      </c>
      <c r="B2296" s="163" t="s">
        <v>8</v>
      </c>
      <c r="C2296" s="163"/>
      <c r="D2296" s="163"/>
      <c r="E2296" s="163" t="s">
        <v>1287</v>
      </c>
      <c r="F2296" s="163"/>
      <c r="G2296" s="164">
        <v>1452334</v>
      </c>
    </row>
    <row r="2297" spans="1:7">
      <c r="A2297" s="128" t="s">
        <v>1</v>
      </c>
      <c r="B2297" s="128" t="s">
        <v>2117</v>
      </c>
      <c r="C2297" s="128"/>
      <c r="D2297" s="128"/>
      <c r="E2297" s="128" t="s">
        <v>3067</v>
      </c>
      <c r="F2297" s="128"/>
      <c r="G2297" s="129">
        <v>368000</v>
      </c>
    </row>
    <row r="2298" spans="1:7">
      <c r="A2298" t="s">
        <v>1</v>
      </c>
      <c r="B2298" t="s">
        <v>19</v>
      </c>
      <c r="C2298" t="s">
        <v>214</v>
      </c>
      <c r="D2298"/>
      <c r="E2298" t="s">
        <v>3068</v>
      </c>
      <c r="F2298"/>
      <c r="G2298" s="107">
        <v>0</v>
      </c>
    </row>
    <row r="2299" spans="1:7">
      <c r="A2299" t="s">
        <v>1</v>
      </c>
      <c r="B2299" t="s">
        <v>19</v>
      </c>
      <c r="C2299" t="s">
        <v>236</v>
      </c>
      <c r="D2299"/>
      <c r="E2299" t="s">
        <v>3069</v>
      </c>
      <c r="F2299"/>
      <c r="G2299" s="107">
        <v>100000</v>
      </c>
    </row>
    <row r="2300" spans="1:7">
      <c r="A2300" t="s">
        <v>1</v>
      </c>
      <c r="B2300" t="s">
        <v>19</v>
      </c>
      <c r="C2300" t="s">
        <v>214</v>
      </c>
      <c r="D2300"/>
      <c r="E2300" t="s">
        <v>3070</v>
      </c>
      <c r="F2300"/>
      <c r="G2300" s="107">
        <v>0</v>
      </c>
    </row>
    <row r="2301" spans="1:7">
      <c r="A2301" t="s">
        <v>1</v>
      </c>
      <c r="B2301" t="s">
        <v>19</v>
      </c>
      <c r="C2301" t="s">
        <v>234</v>
      </c>
      <c r="D2301"/>
      <c r="E2301" t="s">
        <v>3071</v>
      </c>
      <c r="F2301"/>
      <c r="G2301" s="107">
        <v>10000</v>
      </c>
    </row>
    <row r="2302" spans="1:7">
      <c r="A2302" t="s">
        <v>1</v>
      </c>
      <c r="B2302" t="s">
        <v>19</v>
      </c>
      <c r="C2302" t="s">
        <v>236</v>
      </c>
      <c r="D2302"/>
      <c r="E2302" t="s">
        <v>3072</v>
      </c>
      <c r="F2302"/>
      <c r="G2302" s="107">
        <v>70000</v>
      </c>
    </row>
    <row r="2303" spans="1:7">
      <c r="A2303" t="s">
        <v>1</v>
      </c>
      <c r="B2303" t="s">
        <v>19</v>
      </c>
      <c r="C2303" t="s">
        <v>1419</v>
      </c>
      <c r="D2303"/>
      <c r="E2303" t="s">
        <v>3073</v>
      </c>
      <c r="F2303"/>
      <c r="G2303" s="107">
        <v>20000</v>
      </c>
    </row>
    <row r="2304" spans="1:7">
      <c r="A2304" t="s">
        <v>1</v>
      </c>
      <c r="B2304" t="s">
        <v>19</v>
      </c>
      <c r="C2304" t="s">
        <v>214</v>
      </c>
      <c r="D2304"/>
      <c r="E2304" t="s">
        <v>3074</v>
      </c>
      <c r="F2304"/>
      <c r="G2304" s="107">
        <v>0</v>
      </c>
    </row>
    <row r="2305" spans="1:7">
      <c r="A2305" t="s">
        <v>1</v>
      </c>
      <c r="B2305" t="s">
        <v>19</v>
      </c>
      <c r="C2305" t="s">
        <v>468</v>
      </c>
      <c r="D2305"/>
      <c r="E2305" t="s">
        <v>3075</v>
      </c>
      <c r="F2305"/>
      <c r="G2305" s="107">
        <v>168000</v>
      </c>
    </row>
    <row r="2306" spans="1:7">
      <c r="A2306" s="128" t="s">
        <v>1</v>
      </c>
      <c r="B2306" s="128" t="s">
        <v>2117</v>
      </c>
      <c r="C2306" s="128"/>
      <c r="D2306" s="128"/>
      <c r="E2306" s="128" t="s">
        <v>3076</v>
      </c>
      <c r="F2306" s="128"/>
      <c r="G2306" s="129">
        <v>240000</v>
      </c>
    </row>
    <row r="2307" spans="1:7">
      <c r="A2307" t="s">
        <v>1</v>
      </c>
      <c r="B2307" t="s">
        <v>19</v>
      </c>
      <c r="C2307" t="s">
        <v>214</v>
      </c>
      <c r="D2307"/>
      <c r="E2307" t="s">
        <v>3077</v>
      </c>
      <c r="F2307"/>
      <c r="G2307" s="107">
        <v>0</v>
      </c>
    </row>
    <row r="2308" spans="1:7">
      <c r="A2308" t="s">
        <v>1</v>
      </c>
      <c r="B2308" t="s">
        <v>19</v>
      </c>
      <c r="C2308" t="s">
        <v>468</v>
      </c>
      <c r="D2308"/>
      <c r="E2308" t="s">
        <v>3078</v>
      </c>
      <c r="F2308"/>
      <c r="G2308" s="107">
        <v>240000</v>
      </c>
    </row>
    <row r="2309" spans="1:7">
      <c r="A2309" s="128" t="s">
        <v>1</v>
      </c>
      <c r="B2309" s="128" t="s">
        <v>2117</v>
      </c>
      <c r="C2309" s="128"/>
      <c r="D2309" s="128"/>
      <c r="E2309" s="128" t="s">
        <v>3079</v>
      </c>
      <c r="F2309" s="128"/>
      <c r="G2309" s="129">
        <v>216000</v>
      </c>
    </row>
    <row r="2310" spans="1:7">
      <c r="A2310" t="s">
        <v>1</v>
      </c>
      <c r="B2310" t="s">
        <v>19</v>
      </c>
      <c r="C2310" t="s">
        <v>214</v>
      </c>
      <c r="D2310"/>
      <c r="E2310" t="s">
        <v>3080</v>
      </c>
      <c r="F2310"/>
      <c r="G2310" s="107">
        <v>0</v>
      </c>
    </row>
    <row r="2311" spans="1:7">
      <c r="A2311" t="s">
        <v>1</v>
      </c>
      <c r="B2311" t="s">
        <v>19</v>
      </c>
      <c r="C2311" t="s">
        <v>468</v>
      </c>
      <c r="D2311"/>
      <c r="E2311" t="s">
        <v>3081</v>
      </c>
      <c r="F2311"/>
      <c r="G2311" s="107">
        <v>216000</v>
      </c>
    </row>
    <row r="2312" spans="1:7">
      <c r="A2312" s="128" t="s">
        <v>1</v>
      </c>
      <c r="B2312" s="128" t="s">
        <v>2117</v>
      </c>
      <c r="C2312" s="128"/>
      <c r="D2312" s="128"/>
      <c r="E2312" s="128" t="s">
        <v>1288</v>
      </c>
      <c r="F2312" s="128"/>
      <c r="G2312" s="129">
        <v>1127850</v>
      </c>
    </row>
    <row r="2313" spans="1:7">
      <c r="A2313" t="s">
        <v>1</v>
      </c>
      <c r="B2313" t="s">
        <v>19</v>
      </c>
      <c r="C2313" t="s">
        <v>214</v>
      </c>
      <c r="D2313"/>
      <c r="E2313" t="s">
        <v>1289</v>
      </c>
      <c r="F2313"/>
      <c r="G2313" s="107">
        <v>0</v>
      </c>
    </row>
    <row r="2314" spans="1:7">
      <c r="A2314" t="s">
        <v>1</v>
      </c>
      <c r="B2314" t="s">
        <v>19</v>
      </c>
      <c r="C2314" t="s">
        <v>214</v>
      </c>
      <c r="D2314"/>
      <c r="E2314" t="s">
        <v>1290</v>
      </c>
      <c r="F2314"/>
      <c r="G2314" s="107">
        <v>0</v>
      </c>
    </row>
    <row r="2315" spans="1:7">
      <c r="A2315" t="s">
        <v>1</v>
      </c>
      <c r="B2315" t="s">
        <v>19</v>
      </c>
      <c r="C2315" t="s">
        <v>468</v>
      </c>
      <c r="D2315"/>
      <c r="E2315" t="s">
        <v>1291</v>
      </c>
      <c r="F2315"/>
      <c r="G2315" s="107">
        <v>400000</v>
      </c>
    </row>
    <row r="2316" spans="1:7">
      <c r="A2316" t="s">
        <v>1</v>
      </c>
      <c r="B2316" t="s">
        <v>19</v>
      </c>
      <c r="C2316" t="s">
        <v>214</v>
      </c>
      <c r="D2316"/>
      <c r="E2316" t="s">
        <v>1292</v>
      </c>
      <c r="F2316"/>
      <c r="G2316" s="107">
        <v>0</v>
      </c>
    </row>
    <row r="2317" spans="1:7">
      <c r="A2317" t="s">
        <v>1</v>
      </c>
      <c r="B2317" t="s">
        <v>19</v>
      </c>
      <c r="C2317" t="s">
        <v>236</v>
      </c>
      <c r="D2317"/>
      <c r="E2317" t="s">
        <v>1293</v>
      </c>
      <c r="F2317"/>
      <c r="G2317" s="107">
        <v>100000</v>
      </c>
    </row>
    <row r="2318" spans="1:7">
      <c r="A2318" t="s">
        <v>1</v>
      </c>
      <c r="B2318" t="s">
        <v>19</v>
      </c>
      <c r="C2318" t="s">
        <v>236</v>
      </c>
      <c r="D2318"/>
      <c r="E2318" t="s">
        <v>1294</v>
      </c>
      <c r="F2318"/>
      <c r="G2318" s="107">
        <v>30000</v>
      </c>
    </row>
    <row r="2319" spans="1:7">
      <c r="A2319" t="s">
        <v>1</v>
      </c>
      <c r="B2319" t="s">
        <v>19</v>
      </c>
      <c r="C2319" t="s">
        <v>214</v>
      </c>
      <c r="D2319"/>
      <c r="E2319" t="s">
        <v>1295</v>
      </c>
      <c r="F2319"/>
      <c r="G2319" s="107">
        <v>0</v>
      </c>
    </row>
    <row r="2320" spans="1:7">
      <c r="A2320" t="s">
        <v>1</v>
      </c>
      <c r="B2320" t="s">
        <v>19</v>
      </c>
      <c r="C2320" t="s">
        <v>236</v>
      </c>
      <c r="D2320"/>
      <c r="E2320" t="s">
        <v>1296</v>
      </c>
      <c r="F2320"/>
      <c r="G2320" s="107">
        <v>40000</v>
      </c>
    </row>
    <row r="2321" spans="1:7">
      <c r="A2321" t="s">
        <v>1</v>
      </c>
      <c r="B2321" t="s">
        <v>19</v>
      </c>
      <c r="C2321" t="s">
        <v>214</v>
      </c>
      <c r="D2321"/>
      <c r="E2321" t="s">
        <v>1297</v>
      </c>
      <c r="F2321"/>
      <c r="G2321" s="107">
        <v>0</v>
      </c>
    </row>
    <row r="2322" spans="1:7">
      <c r="A2322" t="s">
        <v>1</v>
      </c>
      <c r="B2322" t="s">
        <v>19</v>
      </c>
      <c r="C2322" t="s">
        <v>214</v>
      </c>
      <c r="D2322"/>
      <c r="E2322" t="s">
        <v>1298</v>
      </c>
      <c r="F2322"/>
      <c r="G2322" s="107">
        <v>0</v>
      </c>
    </row>
    <row r="2323" spans="1:7">
      <c r="A2323" t="s">
        <v>1</v>
      </c>
      <c r="B2323" t="s">
        <v>19</v>
      </c>
      <c r="C2323" t="s">
        <v>468</v>
      </c>
      <c r="D2323"/>
      <c r="E2323" t="s">
        <v>1299</v>
      </c>
      <c r="F2323"/>
      <c r="G2323" s="107">
        <v>3150</v>
      </c>
    </row>
    <row r="2324" spans="1:7">
      <c r="A2324" t="s">
        <v>1</v>
      </c>
      <c r="B2324" t="s">
        <v>19</v>
      </c>
      <c r="C2324" t="s">
        <v>468</v>
      </c>
      <c r="D2324"/>
      <c r="E2324" t="s">
        <v>1300</v>
      </c>
      <c r="F2324"/>
      <c r="G2324" s="107">
        <v>6300</v>
      </c>
    </row>
    <row r="2325" spans="1:7">
      <c r="A2325" t="s">
        <v>1</v>
      </c>
      <c r="B2325" t="s">
        <v>19</v>
      </c>
      <c r="C2325" t="s">
        <v>468</v>
      </c>
      <c r="D2325"/>
      <c r="E2325" t="s">
        <v>1301</v>
      </c>
      <c r="F2325"/>
      <c r="G2325" s="107">
        <v>4000</v>
      </c>
    </row>
    <row r="2326" spans="1:7">
      <c r="A2326" t="s">
        <v>1</v>
      </c>
      <c r="B2326" t="s">
        <v>19</v>
      </c>
      <c r="C2326" t="s">
        <v>468</v>
      </c>
      <c r="D2326"/>
      <c r="E2326" t="s">
        <v>1302</v>
      </c>
      <c r="F2326"/>
      <c r="G2326" s="107">
        <v>6300</v>
      </c>
    </row>
    <row r="2327" spans="1:7">
      <c r="A2327" t="s">
        <v>1</v>
      </c>
      <c r="B2327" t="s">
        <v>19</v>
      </c>
      <c r="C2327" t="s">
        <v>468</v>
      </c>
      <c r="D2327"/>
      <c r="E2327" t="s">
        <v>1303</v>
      </c>
      <c r="F2327"/>
      <c r="G2327" s="107">
        <v>24000</v>
      </c>
    </row>
    <row r="2328" spans="1:7">
      <c r="A2328" t="s">
        <v>1</v>
      </c>
      <c r="B2328" t="s">
        <v>19</v>
      </c>
      <c r="C2328" t="s">
        <v>468</v>
      </c>
      <c r="D2328"/>
      <c r="E2328" t="s">
        <v>1304</v>
      </c>
      <c r="F2328"/>
      <c r="G2328" s="107">
        <v>12000</v>
      </c>
    </row>
    <row r="2329" spans="1:7">
      <c r="A2329" t="s">
        <v>1</v>
      </c>
      <c r="B2329" t="s">
        <v>19</v>
      </c>
      <c r="C2329" t="s">
        <v>468</v>
      </c>
      <c r="D2329"/>
      <c r="E2329" t="s">
        <v>1305</v>
      </c>
      <c r="F2329"/>
      <c r="G2329" s="107">
        <v>12000</v>
      </c>
    </row>
    <row r="2330" spans="1:7">
      <c r="A2330" t="s">
        <v>1</v>
      </c>
      <c r="B2330" t="s">
        <v>19</v>
      </c>
      <c r="C2330" t="s">
        <v>468</v>
      </c>
      <c r="D2330"/>
      <c r="E2330" t="s">
        <v>1306</v>
      </c>
      <c r="F2330"/>
      <c r="G2330" s="107">
        <v>12000</v>
      </c>
    </row>
    <row r="2331" spans="1:7">
      <c r="A2331" t="s">
        <v>1</v>
      </c>
      <c r="B2331" t="s">
        <v>19</v>
      </c>
      <c r="C2331" t="s">
        <v>468</v>
      </c>
      <c r="D2331"/>
      <c r="E2331" t="s">
        <v>1307</v>
      </c>
      <c r="F2331"/>
      <c r="G2331" s="107">
        <v>6300</v>
      </c>
    </row>
    <row r="2332" spans="1:7">
      <c r="A2332" t="s">
        <v>1</v>
      </c>
      <c r="B2332" t="s">
        <v>19</v>
      </c>
      <c r="C2332" t="s">
        <v>468</v>
      </c>
      <c r="D2332"/>
      <c r="E2332" t="s">
        <v>1308</v>
      </c>
      <c r="F2332"/>
      <c r="G2332" s="107">
        <v>3150</v>
      </c>
    </row>
    <row r="2333" spans="1:7">
      <c r="A2333" t="s">
        <v>1</v>
      </c>
      <c r="B2333" t="s">
        <v>19</v>
      </c>
      <c r="C2333" t="s">
        <v>468</v>
      </c>
      <c r="D2333"/>
      <c r="E2333" t="s">
        <v>1309</v>
      </c>
      <c r="F2333"/>
      <c r="G2333" s="107">
        <v>3150</v>
      </c>
    </row>
    <row r="2334" spans="1:7">
      <c r="A2334" t="s">
        <v>1</v>
      </c>
      <c r="B2334" t="s">
        <v>19</v>
      </c>
      <c r="C2334" t="s">
        <v>468</v>
      </c>
      <c r="D2334"/>
      <c r="E2334" t="s">
        <v>1310</v>
      </c>
      <c r="F2334"/>
      <c r="G2334" s="107">
        <v>3150</v>
      </c>
    </row>
    <row r="2335" spans="1:7">
      <c r="A2335" t="s">
        <v>1</v>
      </c>
      <c r="B2335" t="s">
        <v>19</v>
      </c>
      <c r="C2335" t="s">
        <v>214</v>
      </c>
      <c r="D2335"/>
      <c r="E2335" t="s">
        <v>1311</v>
      </c>
      <c r="F2335"/>
      <c r="G2335" s="107">
        <v>0</v>
      </c>
    </row>
    <row r="2336" spans="1:7">
      <c r="A2336" t="s">
        <v>1</v>
      </c>
      <c r="B2336" t="s">
        <v>19</v>
      </c>
      <c r="C2336" t="s">
        <v>468</v>
      </c>
      <c r="D2336"/>
      <c r="E2336" t="s">
        <v>1312</v>
      </c>
      <c r="F2336"/>
      <c r="G2336" s="107">
        <v>6300</v>
      </c>
    </row>
    <row r="2337" spans="1:7">
      <c r="A2337" t="s">
        <v>1</v>
      </c>
      <c r="B2337" t="s">
        <v>19</v>
      </c>
      <c r="C2337" t="s">
        <v>468</v>
      </c>
      <c r="D2337"/>
      <c r="E2337" t="s">
        <v>1313</v>
      </c>
      <c r="F2337"/>
      <c r="G2337" s="107">
        <v>6300</v>
      </c>
    </row>
    <row r="2338" spans="1:7">
      <c r="A2338" t="s">
        <v>1</v>
      </c>
      <c r="B2338" t="s">
        <v>19</v>
      </c>
      <c r="C2338" t="s">
        <v>468</v>
      </c>
      <c r="D2338"/>
      <c r="E2338" t="s">
        <v>1314</v>
      </c>
      <c r="F2338"/>
      <c r="G2338" s="107">
        <v>3675</v>
      </c>
    </row>
    <row r="2339" spans="1:7">
      <c r="A2339" t="s">
        <v>1</v>
      </c>
      <c r="B2339" t="s">
        <v>19</v>
      </c>
      <c r="C2339" t="s">
        <v>468</v>
      </c>
      <c r="D2339"/>
      <c r="E2339" t="s">
        <v>1315</v>
      </c>
      <c r="F2339"/>
      <c r="G2339" s="107">
        <v>3675</v>
      </c>
    </row>
    <row r="2340" spans="1:7">
      <c r="A2340" t="s">
        <v>1</v>
      </c>
      <c r="B2340" t="s">
        <v>19</v>
      </c>
      <c r="C2340" t="s">
        <v>468</v>
      </c>
      <c r="D2340"/>
      <c r="E2340" t="s">
        <v>1316</v>
      </c>
      <c r="F2340"/>
      <c r="G2340" s="107">
        <v>3675</v>
      </c>
    </row>
    <row r="2341" spans="1:7">
      <c r="A2341" t="s">
        <v>1</v>
      </c>
      <c r="B2341" t="s">
        <v>19</v>
      </c>
      <c r="C2341" t="s">
        <v>468</v>
      </c>
      <c r="D2341"/>
      <c r="E2341" t="s">
        <v>1317</v>
      </c>
      <c r="F2341"/>
      <c r="G2341" s="107">
        <v>3150</v>
      </c>
    </row>
    <row r="2342" spans="1:7">
      <c r="A2342" t="s">
        <v>1</v>
      </c>
      <c r="B2342" t="s">
        <v>19</v>
      </c>
      <c r="C2342" t="s">
        <v>468</v>
      </c>
      <c r="D2342"/>
      <c r="E2342" t="s">
        <v>1318</v>
      </c>
      <c r="F2342"/>
      <c r="G2342" s="107">
        <v>3150</v>
      </c>
    </row>
    <row r="2343" spans="1:7">
      <c r="A2343" t="s">
        <v>1</v>
      </c>
      <c r="B2343" t="s">
        <v>19</v>
      </c>
      <c r="C2343" t="s">
        <v>468</v>
      </c>
      <c r="D2343"/>
      <c r="E2343" t="s">
        <v>1319</v>
      </c>
      <c r="F2343"/>
      <c r="G2343" s="107">
        <v>3150</v>
      </c>
    </row>
    <row r="2344" spans="1:7">
      <c r="A2344" t="s">
        <v>1</v>
      </c>
      <c r="B2344" t="s">
        <v>19</v>
      </c>
      <c r="C2344" t="s">
        <v>468</v>
      </c>
      <c r="D2344"/>
      <c r="E2344" t="s">
        <v>1320</v>
      </c>
      <c r="F2344"/>
      <c r="G2344" s="107">
        <v>12600</v>
      </c>
    </row>
    <row r="2345" spans="1:7">
      <c r="A2345" t="s">
        <v>1</v>
      </c>
      <c r="B2345" t="s">
        <v>19</v>
      </c>
      <c r="C2345" t="s">
        <v>468</v>
      </c>
      <c r="D2345"/>
      <c r="E2345" t="s">
        <v>1321</v>
      </c>
      <c r="F2345"/>
      <c r="G2345" s="107">
        <v>3150</v>
      </c>
    </row>
    <row r="2346" spans="1:7">
      <c r="A2346" t="s">
        <v>1</v>
      </c>
      <c r="B2346" t="s">
        <v>19</v>
      </c>
      <c r="C2346" t="s">
        <v>468</v>
      </c>
      <c r="D2346"/>
      <c r="E2346" t="s">
        <v>1322</v>
      </c>
      <c r="F2346"/>
      <c r="G2346" s="107">
        <v>6300</v>
      </c>
    </row>
    <row r="2347" spans="1:7">
      <c r="A2347" t="s">
        <v>1</v>
      </c>
      <c r="B2347" t="s">
        <v>19</v>
      </c>
      <c r="C2347" t="s">
        <v>214</v>
      </c>
      <c r="D2347"/>
      <c r="E2347" t="s">
        <v>1323</v>
      </c>
      <c r="F2347"/>
      <c r="G2347" s="107">
        <v>0</v>
      </c>
    </row>
    <row r="2348" spans="1:7">
      <c r="A2348" t="s">
        <v>1</v>
      </c>
      <c r="B2348" t="s">
        <v>19</v>
      </c>
      <c r="C2348" t="s">
        <v>468</v>
      </c>
      <c r="D2348"/>
      <c r="E2348" t="s">
        <v>1324</v>
      </c>
      <c r="F2348"/>
      <c r="G2348" s="107">
        <v>3150</v>
      </c>
    </row>
    <row r="2349" spans="1:7">
      <c r="A2349" t="s">
        <v>1</v>
      </c>
      <c r="B2349" t="s">
        <v>19</v>
      </c>
      <c r="C2349" t="s">
        <v>468</v>
      </c>
      <c r="D2349"/>
      <c r="E2349" t="s">
        <v>1325</v>
      </c>
      <c r="F2349"/>
      <c r="G2349" s="107">
        <v>3675</v>
      </c>
    </row>
    <row r="2350" spans="1:7">
      <c r="A2350" t="s">
        <v>1</v>
      </c>
      <c r="B2350" t="s">
        <v>19</v>
      </c>
      <c r="C2350" t="s">
        <v>468</v>
      </c>
      <c r="D2350"/>
      <c r="E2350" t="s">
        <v>1326</v>
      </c>
      <c r="F2350"/>
      <c r="G2350" s="107">
        <v>6300</v>
      </c>
    </row>
    <row r="2351" spans="1:7">
      <c r="A2351" t="s">
        <v>1</v>
      </c>
      <c r="B2351" t="s">
        <v>19</v>
      </c>
      <c r="C2351" t="s">
        <v>468</v>
      </c>
      <c r="D2351"/>
      <c r="E2351" t="s">
        <v>1327</v>
      </c>
      <c r="F2351"/>
      <c r="G2351" s="107">
        <v>12000</v>
      </c>
    </row>
    <row r="2352" spans="1:7">
      <c r="A2352" t="s">
        <v>1</v>
      </c>
      <c r="B2352" t="s">
        <v>19</v>
      </c>
      <c r="C2352" t="s">
        <v>468</v>
      </c>
      <c r="D2352"/>
      <c r="E2352" t="s">
        <v>1328</v>
      </c>
      <c r="F2352"/>
      <c r="G2352" s="107">
        <v>3150</v>
      </c>
    </row>
    <row r="2353" spans="1:7">
      <c r="A2353" t="s">
        <v>1</v>
      </c>
      <c r="B2353" t="s">
        <v>19</v>
      </c>
      <c r="C2353" t="s">
        <v>468</v>
      </c>
      <c r="D2353"/>
      <c r="E2353" t="s">
        <v>1329</v>
      </c>
      <c r="F2353"/>
      <c r="G2353" s="107">
        <v>6300</v>
      </c>
    </row>
    <row r="2354" spans="1:7">
      <c r="A2354" t="s">
        <v>1</v>
      </c>
      <c r="B2354" t="s">
        <v>19</v>
      </c>
      <c r="C2354" t="s">
        <v>468</v>
      </c>
      <c r="D2354"/>
      <c r="E2354" t="s">
        <v>1330</v>
      </c>
      <c r="F2354"/>
      <c r="G2354" s="107">
        <v>3150</v>
      </c>
    </row>
    <row r="2355" spans="1:7">
      <c r="A2355" t="s">
        <v>1</v>
      </c>
      <c r="B2355" t="s">
        <v>19</v>
      </c>
      <c r="C2355" t="s">
        <v>468</v>
      </c>
      <c r="D2355"/>
      <c r="E2355" t="s">
        <v>1331</v>
      </c>
      <c r="F2355"/>
      <c r="G2355" s="107">
        <v>8000</v>
      </c>
    </row>
    <row r="2356" spans="1:7">
      <c r="A2356" t="s">
        <v>1</v>
      </c>
      <c r="B2356" t="s">
        <v>19</v>
      </c>
      <c r="C2356" t="s">
        <v>468</v>
      </c>
      <c r="D2356"/>
      <c r="E2356" t="s">
        <v>1332</v>
      </c>
      <c r="F2356"/>
      <c r="G2356" s="107">
        <v>3150</v>
      </c>
    </row>
    <row r="2357" spans="1:7">
      <c r="A2357" t="s">
        <v>1</v>
      </c>
      <c r="B2357" t="s">
        <v>19</v>
      </c>
      <c r="C2357" t="s">
        <v>468</v>
      </c>
      <c r="D2357"/>
      <c r="E2357" t="s">
        <v>1333</v>
      </c>
      <c r="F2357"/>
      <c r="G2357" s="107">
        <v>3675</v>
      </c>
    </row>
    <row r="2358" spans="1:7">
      <c r="A2358" t="s">
        <v>1</v>
      </c>
      <c r="B2358" t="s">
        <v>19</v>
      </c>
      <c r="C2358" t="s">
        <v>468</v>
      </c>
      <c r="D2358"/>
      <c r="E2358" t="s">
        <v>1334</v>
      </c>
      <c r="F2358"/>
      <c r="G2358" s="107">
        <v>40000</v>
      </c>
    </row>
    <row r="2359" spans="1:7">
      <c r="A2359" t="s">
        <v>1</v>
      </c>
      <c r="B2359" t="s">
        <v>19</v>
      </c>
      <c r="C2359" t="s">
        <v>468</v>
      </c>
      <c r="D2359"/>
      <c r="E2359" t="s">
        <v>1335</v>
      </c>
      <c r="F2359"/>
      <c r="G2359" s="107">
        <v>3675</v>
      </c>
    </row>
    <row r="2360" spans="1:7">
      <c r="A2360" t="s">
        <v>1</v>
      </c>
      <c r="B2360" t="s">
        <v>19</v>
      </c>
      <c r="C2360" t="s">
        <v>468</v>
      </c>
      <c r="D2360"/>
      <c r="E2360" t="s">
        <v>1336</v>
      </c>
      <c r="F2360"/>
      <c r="G2360" s="107">
        <v>20000</v>
      </c>
    </row>
    <row r="2361" spans="1:7">
      <c r="A2361" t="s">
        <v>1</v>
      </c>
      <c r="B2361" t="s">
        <v>19</v>
      </c>
      <c r="C2361" t="s">
        <v>468</v>
      </c>
      <c r="D2361"/>
      <c r="E2361" t="s">
        <v>1337</v>
      </c>
      <c r="F2361"/>
      <c r="G2361" s="107">
        <v>3675</v>
      </c>
    </row>
    <row r="2362" spans="1:7">
      <c r="A2362" t="s">
        <v>1</v>
      </c>
      <c r="B2362" t="s">
        <v>19</v>
      </c>
      <c r="C2362" t="s">
        <v>468</v>
      </c>
      <c r="D2362"/>
      <c r="E2362" t="s">
        <v>1338</v>
      </c>
      <c r="F2362"/>
      <c r="G2362" s="107">
        <v>3675</v>
      </c>
    </row>
    <row r="2363" spans="1:7">
      <c r="A2363" t="s">
        <v>1</v>
      </c>
      <c r="B2363" t="s">
        <v>19</v>
      </c>
      <c r="C2363" t="s">
        <v>468</v>
      </c>
      <c r="D2363"/>
      <c r="E2363" t="s">
        <v>1339</v>
      </c>
      <c r="F2363"/>
      <c r="G2363" s="107">
        <v>3675</v>
      </c>
    </row>
    <row r="2364" spans="1:7">
      <c r="A2364" t="s">
        <v>1</v>
      </c>
      <c r="B2364" t="s">
        <v>19</v>
      </c>
      <c r="C2364" t="s">
        <v>468</v>
      </c>
      <c r="D2364"/>
      <c r="E2364" t="s">
        <v>1340</v>
      </c>
      <c r="F2364"/>
      <c r="G2364" s="107">
        <v>12000</v>
      </c>
    </row>
    <row r="2365" spans="1:7">
      <c r="A2365" t="s">
        <v>1</v>
      </c>
      <c r="B2365" t="s">
        <v>19</v>
      </c>
      <c r="C2365" t="s">
        <v>468</v>
      </c>
      <c r="D2365"/>
      <c r="E2365" t="s">
        <v>1341</v>
      </c>
      <c r="F2365"/>
      <c r="G2365" s="107">
        <v>12000</v>
      </c>
    </row>
    <row r="2366" spans="1:7">
      <c r="A2366" t="s">
        <v>1</v>
      </c>
      <c r="B2366" t="s">
        <v>19</v>
      </c>
      <c r="C2366" t="s">
        <v>214</v>
      </c>
      <c r="D2366"/>
      <c r="E2366" t="s">
        <v>1342</v>
      </c>
      <c r="F2366"/>
      <c r="G2366" s="107">
        <v>0</v>
      </c>
    </row>
    <row r="2367" spans="1:7">
      <c r="A2367" t="s">
        <v>1</v>
      </c>
      <c r="B2367" t="s">
        <v>19</v>
      </c>
      <c r="C2367" t="s">
        <v>468</v>
      </c>
      <c r="D2367"/>
      <c r="E2367" t="s">
        <v>1343</v>
      </c>
      <c r="F2367"/>
      <c r="G2367" s="107">
        <v>3150</v>
      </c>
    </row>
    <row r="2368" spans="1:7">
      <c r="A2368" t="s">
        <v>1</v>
      </c>
      <c r="B2368" t="s">
        <v>19</v>
      </c>
      <c r="C2368" t="s">
        <v>468</v>
      </c>
      <c r="D2368"/>
      <c r="E2368" t="s">
        <v>1344</v>
      </c>
      <c r="F2368"/>
      <c r="G2368" s="107">
        <v>3675</v>
      </c>
    </row>
    <row r="2369" spans="1:7">
      <c r="A2369" t="s">
        <v>1</v>
      </c>
      <c r="B2369" t="s">
        <v>19</v>
      </c>
      <c r="C2369" t="s">
        <v>468</v>
      </c>
      <c r="D2369"/>
      <c r="E2369" t="s">
        <v>1345</v>
      </c>
      <c r="F2369"/>
      <c r="G2369" s="107">
        <v>3675</v>
      </c>
    </row>
    <row r="2370" spans="1:7">
      <c r="A2370" t="s">
        <v>1</v>
      </c>
      <c r="B2370" t="s">
        <v>19</v>
      </c>
      <c r="C2370" t="s">
        <v>468</v>
      </c>
      <c r="D2370"/>
      <c r="E2370" t="s">
        <v>1346</v>
      </c>
      <c r="F2370"/>
      <c r="G2370" s="107">
        <v>3675</v>
      </c>
    </row>
    <row r="2371" spans="1:7">
      <c r="A2371" t="s">
        <v>1</v>
      </c>
      <c r="B2371" t="s">
        <v>19</v>
      </c>
      <c r="C2371" t="s">
        <v>468</v>
      </c>
      <c r="D2371"/>
      <c r="E2371" t="s">
        <v>1347</v>
      </c>
      <c r="F2371"/>
      <c r="G2371" s="107">
        <v>15000</v>
      </c>
    </row>
    <row r="2372" spans="1:7">
      <c r="A2372" t="s">
        <v>1</v>
      </c>
      <c r="B2372" t="s">
        <v>19</v>
      </c>
      <c r="C2372" t="s">
        <v>468</v>
      </c>
      <c r="D2372"/>
      <c r="E2372" t="s">
        <v>1348</v>
      </c>
      <c r="F2372"/>
      <c r="G2372" s="107">
        <v>15000</v>
      </c>
    </row>
    <row r="2373" spans="1:7">
      <c r="A2373" t="s">
        <v>1</v>
      </c>
      <c r="B2373" t="s">
        <v>19</v>
      </c>
      <c r="C2373" t="s">
        <v>214</v>
      </c>
      <c r="D2373"/>
      <c r="E2373" t="s">
        <v>1349</v>
      </c>
      <c r="F2373"/>
      <c r="G2373" s="107">
        <v>0</v>
      </c>
    </row>
    <row r="2374" spans="1:7">
      <c r="A2374" t="s">
        <v>1</v>
      </c>
      <c r="B2374" t="s">
        <v>19</v>
      </c>
      <c r="C2374" t="s">
        <v>468</v>
      </c>
      <c r="D2374"/>
      <c r="E2374" t="s">
        <v>1350</v>
      </c>
      <c r="F2374"/>
      <c r="G2374" s="107">
        <v>7350</v>
      </c>
    </row>
    <row r="2375" spans="1:7">
      <c r="A2375" t="s">
        <v>1</v>
      </c>
      <c r="B2375" t="s">
        <v>19</v>
      </c>
      <c r="C2375" t="s">
        <v>468</v>
      </c>
      <c r="D2375"/>
      <c r="E2375" t="s">
        <v>1351</v>
      </c>
      <c r="F2375"/>
      <c r="G2375" s="107">
        <v>3675</v>
      </c>
    </row>
    <row r="2376" spans="1:7">
      <c r="A2376" t="s">
        <v>1</v>
      </c>
      <c r="B2376" t="s">
        <v>19</v>
      </c>
      <c r="C2376" t="s">
        <v>468</v>
      </c>
      <c r="D2376"/>
      <c r="E2376" t="s">
        <v>1352</v>
      </c>
      <c r="F2376"/>
      <c r="G2376" s="107">
        <v>7350</v>
      </c>
    </row>
    <row r="2377" spans="1:7">
      <c r="A2377" t="s">
        <v>1</v>
      </c>
      <c r="B2377" t="s">
        <v>19</v>
      </c>
      <c r="C2377" t="s">
        <v>468</v>
      </c>
      <c r="D2377"/>
      <c r="E2377" t="s">
        <v>1353</v>
      </c>
      <c r="F2377"/>
      <c r="G2377" s="107">
        <v>6300</v>
      </c>
    </row>
    <row r="2378" spans="1:7">
      <c r="A2378" t="s">
        <v>1</v>
      </c>
      <c r="B2378" t="s">
        <v>19</v>
      </c>
      <c r="C2378" t="s">
        <v>468</v>
      </c>
      <c r="D2378"/>
      <c r="E2378" t="s">
        <v>1354</v>
      </c>
      <c r="F2378"/>
      <c r="G2378" s="107">
        <v>3675</v>
      </c>
    </row>
    <row r="2379" spans="1:7">
      <c r="A2379" t="s">
        <v>1</v>
      </c>
      <c r="B2379" t="s">
        <v>19</v>
      </c>
      <c r="C2379" t="s">
        <v>468</v>
      </c>
      <c r="D2379"/>
      <c r="E2379" t="s">
        <v>1355</v>
      </c>
      <c r="F2379"/>
      <c r="G2379" s="107">
        <v>7300</v>
      </c>
    </row>
    <row r="2380" spans="1:7">
      <c r="A2380" t="s">
        <v>1</v>
      </c>
      <c r="B2380" t="s">
        <v>19</v>
      </c>
      <c r="C2380" t="s">
        <v>468</v>
      </c>
      <c r="D2380"/>
      <c r="E2380" t="s">
        <v>1356</v>
      </c>
      <c r="F2380"/>
      <c r="G2380" s="107">
        <v>9450</v>
      </c>
    </row>
    <row r="2381" spans="1:7">
      <c r="A2381" t="s">
        <v>1</v>
      </c>
      <c r="B2381" t="s">
        <v>19</v>
      </c>
      <c r="C2381" t="s">
        <v>468</v>
      </c>
      <c r="D2381"/>
      <c r="E2381" t="s">
        <v>1357</v>
      </c>
      <c r="F2381"/>
      <c r="G2381" s="107">
        <v>9450</v>
      </c>
    </row>
    <row r="2382" spans="1:7">
      <c r="A2382" t="s">
        <v>1</v>
      </c>
      <c r="B2382" t="s">
        <v>19</v>
      </c>
      <c r="C2382" t="s">
        <v>468</v>
      </c>
      <c r="D2382"/>
      <c r="E2382" t="s">
        <v>1358</v>
      </c>
      <c r="F2382"/>
      <c r="G2382" s="107">
        <v>20000</v>
      </c>
    </row>
    <row r="2383" spans="1:7">
      <c r="A2383" t="s">
        <v>1</v>
      </c>
      <c r="B2383" t="s">
        <v>19</v>
      </c>
      <c r="C2383" t="s">
        <v>214</v>
      </c>
      <c r="D2383"/>
      <c r="E2383" t="s">
        <v>1359</v>
      </c>
      <c r="F2383"/>
      <c r="G2383" s="107">
        <v>0</v>
      </c>
    </row>
    <row r="2384" spans="1:7">
      <c r="A2384" t="s">
        <v>1</v>
      </c>
      <c r="B2384" t="s">
        <v>19</v>
      </c>
      <c r="C2384" t="s">
        <v>468</v>
      </c>
      <c r="D2384"/>
      <c r="E2384" t="s">
        <v>1360</v>
      </c>
      <c r="F2384"/>
      <c r="G2384" s="107">
        <v>3150</v>
      </c>
    </row>
    <row r="2385" spans="1:7">
      <c r="A2385" t="s">
        <v>1</v>
      </c>
      <c r="B2385" t="s">
        <v>19</v>
      </c>
      <c r="C2385" t="s">
        <v>468</v>
      </c>
      <c r="D2385"/>
      <c r="E2385" t="s">
        <v>1361</v>
      </c>
      <c r="F2385"/>
      <c r="G2385" s="107">
        <v>3675</v>
      </c>
    </row>
    <row r="2386" spans="1:7">
      <c r="A2386" t="s">
        <v>1</v>
      </c>
      <c r="B2386" t="s">
        <v>19</v>
      </c>
      <c r="C2386" t="s">
        <v>468</v>
      </c>
      <c r="D2386"/>
      <c r="E2386" t="s">
        <v>1362</v>
      </c>
      <c r="F2386"/>
      <c r="G2386" s="107">
        <v>7350</v>
      </c>
    </row>
    <row r="2387" spans="1:7">
      <c r="A2387" t="s">
        <v>1</v>
      </c>
      <c r="B2387" t="s">
        <v>19</v>
      </c>
      <c r="C2387" t="s">
        <v>468</v>
      </c>
      <c r="D2387"/>
      <c r="E2387" t="s">
        <v>1363</v>
      </c>
      <c r="F2387"/>
      <c r="G2387" s="107">
        <v>3150</v>
      </c>
    </row>
    <row r="2388" spans="1:7">
      <c r="A2388" t="s">
        <v>1</v>
      </c>
      <c r="B2388" t="s">
        <v>19</v>
      </c>
      <c r="C2388" t="s">
        <v>468</v>
      </c>
      <c r="D2388"/>
      <c r="E2388" t="s">
        <v>1364</v>
      </c>
      <c r="F2388"/>
      <c r="G2388" s="107">
        <v>3675</v>
      </c>
    </row>
    <row r="2389" spans="1:7">
      <c r="A2389" t="s">
        <v>1</v>
      </c>
      <c r="B2389" t="s">
        <v>19</v>
      </c>
      <c r="C2389" t="s">
        <v>468</v>
      </c>
      <c r="D2389"/>
      <c r="E2389" t="s">
        <v>1365</v>
      </c>
      <c r="F2389"/>
      <c r="G2389" s="107">
        <v>3675</v>
      </c>
    </row>
    <row r="2390" spans="1:7">
      <c r="A2390" t="s">
        <v>1</v>
      </c>
      <c r="B2390" t="s">
        <v>19</v>
      </c>
      <c r="C2390" t="s">
        <v>468</v>
      </c>
      <c r="D2390"/>
      <c r="E2390" t="s">
        <v>1366</v>
      </c>
      <c r="F2390"/>
      <c r="G2390" s="107">
        <v>7350</v>
      </c>
    </row>
    <row r="2391" spans="1:7">
      <c r="A2391" t="s">
        <v>1</v>
      </c>
      <c r="B2391" t="s">
        <v>19</v>
      </c>
      <c r="C2391" t="s">
        <v>214</v>
      </c>
      <c r="D2391"/>
      <c r="E2391" t="s">
        <v>1367</v>
      </c>
      <c r="F2391"/>
      <c r="G2391" s="107">
        <v>0</v>
      </c>
    </row>
    <row r="2392" spans="1:7">
      <c r="A2392" t="s">
        <v>1</v>
      </c>
      <c r="B2392" t="s">
        <v>19</v>
      </c>
      <c r="C2392" t="s">
        <v>468</v>
      </c>
      <c r="D2392"/>
      <c r="E2392" t="s">
        <v>1368</v>
      </c>
      <c r="F2392"/>
      <c r="G2392" s="107">
        <v>3150</v>
      </c>
    </row>
    <row r="2393" spans="1:7">
      <c r="A2393" t="s">
        <v>1</v>
      </c>
      <c r="B2393" t="s">
        <v>19</v>
      </c>
      <c r="C2393" t="s">
        <v>468</v>
      </c>
      <c r="D2393"/>
      <c r="E2393" t="s">
        <v>1369</v>
      </c>
      <c r="F2393"/>
      <c r="G2393" s="107">
        <v>3150</v>
      </c>
    </row>
    <row r="2394" spans="1:7">
      <c r="A2394" t="s">
        <v>1</v>
      </c>
      <c r="B2394" t="s">
        <v>19</v>
      </c>
      <c r="C2394" t="s">
        <v>468</v>
      </c>
      <c r="D2394"/>
      <c r="E2394" t="s">
        <v>1370</v>
      </c>
      <c r="F2394"/>
      <c r="G2394" s="107">
        <v>3675</v>
      </c>
    </row>
    <row r="2395" spans="1:7">
      <c r="A2395" t="s">
        <v>1</v>
      </c>
      <c r="B2395" t="s">
        <v>19</v>
      </c>
      <c r="C2395" t="s">
        <v>468</v>
      </c>
      <c r="D2395"/>
      <c r="E2395" t="s">
        <v>1372</v>
      </c>
      <c r="F2395"/>
      <c r="G2395" s="107">
        <v>3675</v>
      </c>
    </row>
    <row r="2396" spans="1:7">
      <c r="A2396" t="s">
        <v>1</v>
      </c>
      <c r="B2396" t="s">
        <v>19</v>
      </c>
      <c r="C2396" t="s">
        <v>468</v>
      </c>
      <c r="D2396"/>
      <c r="E2396" t="s">
        <v>1373</v>
      </c>
      <c r="F2396"/>
      <c r="G2396" s="107">
        <v>3150</v>
      </c>
    </row>
    <row r="2397" spans="1:7">
      <c r="A2397" t="s">
        <v>1</v>
      </c>
      <c r="B2397" t="s">
        <v>19</v>
      </c>
      <c r="C2397" t="s">
        <v>468</v>
      </c>
      <c r="D2397"/>
      <c r="E2397" t="s">
        <v>1374</v>
      </c>
      <c r="F2397"/>
      <c r="G2397" s="107">
        <v>3675</v>
      </c>
    </row>
    <row r="2398" spans="1:7">
      <c r="A2398" t="s">
        <v>1</v>
      </c>
      <c r="B2398" t="s">
        <v>19</v>
      </c>
      <c r="C2398" t="s">
        <v>468</v>
      </c>
      <c r="D2398"/>
      <c r="E2398" t="s">
        <v>1375</v>
      </c>
      <c r="F2398"/>
      <c r="G2398" s="107">
        <v>48000</v>
      </c>
    </row>
    <row r="2399" spans="1:7">
      <c r="A2399" t="s">
        <v>1</v>
      </c>
      <c r="B2399" t="s">
        <v>19</v>
      </c>
      <c r="C2399" t="s">
        <v>214</v>
      </c>
      <c r="D2399"/>
      <c r="E2399" t="s">
        <v>1376</v>
      </c>
      <c r="F2399"/>
      <c r="G2399" s="107">
        <v>0</v>
      </c>
    </row>
    <row r="2400" spans="1:7">
      <c r="A2400" t="s">
        <v>1</v>
      </c>
      <c r="B2400" t="s">
        <v>19</v>
      </c>
      <c r="C2400" t="s">
        <v>468</v>
      </c>
      <c r="D2400"/>
      <c r="E2400" t="s">
        <v>1377</v>
      </c>
      <c r="F2400"/>
      <c r="G2400" s="107">
        <v>3675</v>
      </c>
    </row>
    <row r="2401" spans="1:7">
      <c r="A2401" t="s">
        <v>1</v>
      </c>
      <c r="B2401" t="s">
        <v>19</v>
      </c>
      <c r="C2401" t="s">
        <v>468</v>
      </c>
      <c r="D2401"/>
      <c r="E2401" t="s">
        <v>1378</v>
      </c>
      <c r="F2401"/>
      <c r="G2401" s="107">
        <v>11025</v>
      </c>
    </row>
    <row r="2402" spans="1:7">
      <c r="A2402" t="s">
        <v>1</v>
      </c>
      <c r="B2402" t="s">
        <v>19</v>
      </c>
      <c r="C2402" t="s">
        <v>468</v>
      </c>
      <c r="D2402"/>
      <c r="E2402" t="s">
        <v>1379</v>
      </c>
      <c r="F2402"/>
      <c r="G2402" s="107">
        <v>3675</v>
      </c>
    </row>
    <row r="2403" spans="1:7">
      <c r="A2403" t="s">
        <v>1</v>
      </c>
      <c r="B2403" t="s">
        <v>19</v>
      </c>
      <c r="C2403" t="s">
        <v>468</v>
      </c>
      <c r="D2403"/>
      <c r="E2403" t="s">
        <v>1380</v>
      </c>
      <c r="F2403"/>
      <c r="G2403" s="107">
        <v>3675</v>
      </c>
    </row>
    <row r="2404" spans="1:7">
      <c r="A2404" t="s">
        <v>1</v>
      </c>
      <c r="B2404" t="s">
        <v>19</v>
      </c>
      <c r="C2404" t="s">
        <v>468</v>
      </c>
      <c r="D2404"/>
      <c r="E2404" t="s">
        <v>1381</v>
      </c>
      <c r="F2404"/>
      <c r="G2404" s="107">
        <v>3675</v>
      </c>
    </row>
    <row r="2405" spans="1:7">
      <c r="A2405" t="s">
        <v>1</v>
      </c>
      <c r="B2405" t="s">
        <v>19</v>
      </c>
      <c r="C2405" t="s">
        <v>468</v>
      </c>
      <c r="D2405"/>
      <c r="E2405" t="s">
        <v>1383</v>
      </c>
      <c r="F2405"/>
      <c r="G2405" s="107">
        <v>3675</v>
      </c>
    </row>
    <row r="2406" spans="1:7">
      <c r="A2406" t="s">
        <v>1</v>
      </c>
      <c r="B2406" t="s">
        <v>19</v>
      </c>
      <c r="C2406" t="s">
        <v>468</v>
      </c>
      <c r="D2406"/>
      <c r="E2406" t="s">
        <v>1385</v>
      </c>
      <c r="F2406"/>
      <c r="G2406" s="107">
        <v>3675</v>
      </c>
    </row>
    <row r="2407" spans="1:7">
      <c r="A2407" t="s">
        <v>1</v>
      </c>
      <c r="B2407" t="s">
        <v>19</v>
      </c>
      <c r="C2407" t="s">
        <v>468</v>
      </c>
      <c r="D2407"/>
      <c r="E2407" t="s">
        <v>1386</v>
      </c>
      <c r="F2407"/>
      <c r="G2407" s="107">
        <v>3675</v>
      </c>
    </row>
    <row r="2408" spans="1:7">
      <c r="A2408" s="128" t="s">
        <v>1</v>
      </c>
      <c r="B2408" s="128" t="s">
        <v>2117</v>
      </c>
      <c r="C2408" s="128"/>
      <c r="D2408" s="128"/>
      <c r="E2408" s="128" t="s">
        <v>1535</v>
      </c>
      <c r="F2408" s="128"/>
      <c r="G2408" s="129">
        <v>-849516</v>
      </c>
    </row>
    <row r="2409" spans="1:7">
      <c r="A2409" t="s">
        <v>1</v>
      </c>
      <c r="B2409" t="s">
        <v>19</v>
      </c>
      <c r="C2409" t="s">
        <v>214</v>
      </c>
      <c r="D2409"/>
      <c r="E2409" t="s">
        <v>1536</v>
      </c>
      <c r="F2409"/>
      <c r="G2409" s="107">
        <v>0</v>
      </c>
    </row>
    <row r="2410" spans="1:7">
      <c r="A2410" t="s">
        <v>1</v>
      </c>
      <c r="B2410" t="s">
        <v>19</v>
      </c>
      <c r="C2410" t="s">
        <v>468</v>
      </c>
      <c r="D2410"/>
      <c r="E2410" t="s">
        <v>3082</v>
      </c>
      <c r="F2410"/>
      <c r="G2410" s="107">
        <v>-849515.52000000002</v>
      </c>
    </row>
    <row r="2411" spans="1:7">
      <c r="A2411" s="128" t="s">
        <v>1</v>
      </c>
      <c r="B2411" s="128" t="s">
        <v>2117</v>
      </c>
      <c r="C2411" s="128"/>
      <c r="D2411" s="128"/>
      <c r="E2411" s="128" t="s">
        <v>1387</v>
      </c>
      <c r="F2411" s="128"/>
      <c r="G2411" s="129">
        <v>350000</v>
      </c>
    </row>
    <row r="2412" spans="1:7">
      <c r="A2412" t="s">
        <v>1</v>
      </c>
      <c r="B2412" t="s">
        <v>19</v>
      </c>
      <c r="C2412" t="s">
        <v>214</v>
      </c>
      <c r="D2412"/>
      <c r="E2412" t="s">
        <v>1388</v>
      </c>
      <c r="F2412"/>
      <c r="G2412" s="107">
        <v>0</v>
      </c>
    </row>
    <row r="2413" spans="1:7">
      <c r="A2413" t="s">
        <v>1</v>
      </c>
      <c r="B2413" t="s">
        <v>19</v>
      </c>
      <c r="C2413" t="s">
        <v>468</v>
      </c>
      <c r="D2413"/>
      <c r="E2413" t="s">
        <v>3083</v>
      </c>
      <c r="F2413"/>
      <c r="G2413" s="107">
        <v>350000</v>
      </c>
    </row>
    <row r="2414" spans="1:7">
      <c r="A2414" s="163" t="s">
        <v>21</v>
      </c>
      <c r="B2414" s="163" t="s">
        <v>8</v>
      </c>
      <c r="C2414" s="163"/>
      <c r="D2414" s="163"/>
      <c r="E2414" s="163" t="s">
        <v>1389</v>
      </c>
      <c r="F2414" s="163"/>
      <c r="G2414" s="164">
        <v>13503510</v>
      </c>
    </row>
    <row r="2415" spans="1:7">
      <c r="A2415" s="128" t="s">
        <v>21</v>
      </c>
      <c r="B2415" s="128" t="s">
        <v>2117</v>
      </c>
      <c r="C2415" s="128"/>
      <c r="D2415" s="128"/>
      <c r="E2415" s="128" t="s">
        <v>3084</v>
      </c>
      <c r="F2415" s="128"/>
      <c r="G2415" s="129">
        <v>149875</v>
      </c>
    </row>
    <row r="2416" spans="1:7">
      <c r="A2416" t="s">
        <v>21</v>
      </c>
      <c r="B2416" t="s">
        <v>19</v>
      </c>
      <c r="C2416" t="s">
        <v>214</v>
      </c>
      <c r="D2416"/>
      <c r="E2416" t="s">
        <v>3085</v>
      </c>
      <c r="F2416"/>
      <c r="G2416" s="107">
        <v>0</v>
      </c>
    </row>
    <row r="2417" spans="1:7">
      <c r="A2417" t="s">
        <v>21</v>
      </c>
      <c r="B2417" t="s">
        <v>19</v>
      </c>
      <c r="C2417" t="s">
        <v>233</v>
      </c>
      <c r="D2417"/>
      <c r="E2417" t="s">
        <v>3086</v>
      </c>
      <c r="F2417"/>
      <c r="G2417" s="107">
        <v>6875</v>
      </c>
    </row>
    <row r="2418" spans="1:7">
      <c r="A2418" t="s">
        <v>21</v>
      </c>
      <c r="B2418" t="s">
        <v>19</v>
      </c>
      <c r="C2418" t="s">
        <v>234</v>
      </c>
      <c r="D2418"/>
      <c r="E2418" t="s">
        <v>3087</v>
      </c>
      <c r="F2418"/>
      <c r="G2418" s="107">
        <v>49500</v>
      </c>
    </row>
    <row r="2419" spans="1:7">
      <c r="A2419" t="s">
        <v>21</v>
      </c>
      <c r="B2419" t="s">
        <v>19</v>
      </c>
      <c r="C2419" t="s">
        <v>236</v>
      </c>
      <c r="D2419"/>
      <c r="E2419" t="s">
        <v>3088</v>
      </c>
      <c r="F2419"/>
      <c r="G2419" s="107">
        <v>38500</v>
      </c>
    </row>
    <row r="2420" spans="1:7">
      <c r="A2420" t="s">
        <v>21</v>
      </c>
      <c r="B2420" t="s">
        <v>19</v>
      </c>
      <c r="C2420" t="s">
        <v>238</v>
      </c>
      <c r="D2420"/>
      <c r="E2420" t="s">
        <v>3089</v>
      </c>
      <c r="F2420"/>
      <c r="G2420" s="107">
        <v>22000</v>
      </c>
    </row>
    <row r="2421" spans="1:7">
      <c r="A2421" t="s">
        <v>21</v>
      </c>
      <c r="B2421" t="s">
        <v>19</v>
      </c>
      <c r="C2421" t="s">
        <v>468</v>
      </c>
      <c r="D2421"/>
      <c r="E2421" t="s">
        <v>3090</v>
      </c>
      <c r="F2421"/>
      <c r="G2421" s="107">
        <v>33000</v>
      </c>
    </row>
    <row r="2422" spans="1:7">
      <c r="A2422" s="128" t="s">
        <v>21</v>
      </c>
      <c r="B2422" s="128" t="s">
        <v>2117</v>
      </c>
      <c r="C2422" s="128"/>
      <c r="D2422" s="128"/>
      <c r="E2422" s="128" t="s">
        <v>3091</v>
      </c>
      <c r="F2422" s="128"/>
      <c r="G2422" s="129">
        <v>68000</v>
      </c>
    </row>
    <row r="2423" spans="1:7">
      <c r="A2423" t="s">
        <v>21</v>
      </c>
      <c r="B2423" t="s">
        <v>19</v>
      </c>
      <c r="C2423" t="s">
        <v>214</v>
      </c>
      <c r="D2423"/>
      <c r="E2423" t="s">
        <v>3092</v>
      </c>
      <c r="F2423"/>
      <c r="G2423" s="107">
        <v>0</v>
      </c>
    </row>
    <row r="2424" spans="1:7">
      <c r="A2424" t="s">
        <v>21</v>
      </c>
      <c r="B2424" t="s">
        <v>19</v>
      </c>
      <c r="C2424" t="s">
        <v>234</v>
      </c>
      <c r="D2424"/>
      <c r="E2424" t="s">
        <v>3093</v>
      </c>
      <c r="F2424"/>
      <c r="G2424" s="107">
        <v>60000</v>
      </c>
    </row>
    <row r="2425" spans="1:7">
      <c r="A2425" t="s">
        <v>21</v>
      </c>
      <c r="B2425" t="s">
        <v>19</v>
      </c>
      <c r="C2425" t="s">
        <v>214</v>
      </c>
      <c r="D2425"/>
      <c r="E2425" t="s">
        <v>3094</v>
      </c>
      <c r="F2425"/>
      <c r="G2425" s="107">
        <v>0</v>
      </c>
    </row>
    <row r="2426" spans="1:7">
      <c r="A2426" t="s">
        <v>21</v>
      </c>
      <c r="B2426" t="s">
        <v>19</v>
      </c>
      <c r="C2426" t="s">
        <v>227</v>
      </c>
      <c r="D2426"/>
      <c r="E2426" t="s">
        <v>3095</v>
      </c>
      <c r="F2426"/>
      <c r="G2426" s="107">
        <v>4000</v>
      </c>
    </row>
    <row r="2427" spans="1:7">
      <c r="A2427" t="s">
        <v>21</v>
      </c>
      <c r="B2427" t="s">
        <v>19</v>
      </c>
      <c r="C2427" t="s">
        <v>227</v>
      </c>
      <c r="D2427"/>
      <c r="E2427" t="s">
        <v>3096</v>
      </c>
      <c r="F2427"/>
      <c r="G2427" s="107">
        <v>4000</v>
      </c>
    </row>
    <row r="2428" spans="1:7">
      <c r="A2428" s="128" t="s">
        <v>21</v>
      </c>
      <c r="B2428" s="128" t="s">
        <v>2117</v>
      </c>
      <c r="C2428" s="128"/>
      <c r="D2428" s="128"/>
      <c r="E2428" s="128" t="s">
        <v>1781</v>
      </c>
      <c r="F2428" s="128"/>
      <c r="G2428" s="129">
        <v>11643574</v>
      </c>
    </row>
    <row r="2429" spans="1:7">
      <c r="A2429" t="s">
        <v>21</v>
      </c>
      <c r="B2429" t="s">
        <v>19</v>
      </c>
      <c r="C2429" t="s">
        <v>214</v>
      </c>
      <c r="D2429"/>
      <c r="E2429" t="s">
        <v>1782</v>
      </c>
      <c r="F2429"/>
      <c r="G2429" s="107">
        <v>0</v>
      </c>
    </row>
    <row r="2430" spans="1:7">
      <c r="A2430" t="s">
        <v>21</v>
      </c>
      <c r="B2430" t="s">
        <v>19</v>
      </c>
      <c r="C2430" t="s">
        <v>214</v>
      </c>
      <c r="D2430"/>
      <c r="E2430" t="s">
        <v>1783</v>
      </c>
      <c r="F2430"/>
      <c r="G2430" s="107">
        <v>0</v>
      </c>
    </row>
    <row r="2431" spans="1:7">
      <c r="A2431" t="s">
        <v>21</v>
      </c>
      <c r="B2431" t="s">
        <v>19</v>
      </c>
      <c r="C2431" t="s">
        <v>227</v>
      </c>
      <c r="D2431"/>
      <c r="E2431" t="s">
        <v>3097</v>
      </c>
      <c r="F2431"/>
      <c r="G2431" s="107">
        <v>11643573.800000001</v>
      </c>
    </row>
    <row r="2432" spans="1:7">
      <c r="A2432" s="128" t="s">
        <v>21</v>
      </c>
      <c r="B2432" s="128" t="s">
        <v>2117</v>
      </c>
      <c r="C2432" s="128"/>
      <c r="D2432" s="128"/>
      <c r="E2432" s="128" t="s">
        <v>1390</v>
      </c>
      <c r="F2432" s="128"/>
      <c r="G2432" s="129">
        <v>464182</v>
      </c>
    </row>
    <row r="2433" spans="1:7">
      <c r="A2433" t="s">
        <v>21</v>
      </c>
      <c r="B2433" t="s">
        <v>19</v>
      </c>
      <c r="C2433" t="s">
        <v>214</v>
      </c>
      <c r="D2433"/>
      <c r="E2433" t="s">
        <v>1391</v>
      </c>
      <c r="F2433"/>
      <c r="G2433" s="107">
        <v>0</v>
      </c>
    </row>
    <row r="2434" spans="1:7">
      <c r="A2434" t="s">
        <v>21</v>
      </c>
      <c r="B2434" t="s">
        <v>19</v>
      </c>
      <c r="C2434" t="s">
        <v>234</v>
      </c>
      <c r="D2434"/>
      <c r="E2434" t="s">
        <v>1392</v>
      </c>
      <c r="F2434"/>
      <c r="G2434" s="107">
        <v>45000</v>
      </c>
    </row>
    <row r="2435" spans="1:7">
      <c r="A2435" t="s">
        <v>21</v>
      </c>
      <c r="B2435" t="s">
        <v>19</v>
      </c>
      <c r="C2435" t="s">
        <v>236</v>
      </c>
      <c r="D2435"/>
      <c r="E2435" t="s">
        <v>1393</v>
      </c>
      <c r="F2435"/>
      <c r="G2435" s="107">
        <v>337500</v>
      </c>
    </row>
    <row r="2436" spans="1:7">
      <c r="A2436" t="s">
        <v>21</v>
      </c>
      <c r="B2436" t="s">
        <v>19</v>
      </c>
      <c r="C2436" t="s">
        <v>238</v>
      </c>
      <c r="D2436"/>
      <c r="E2436" t="s">
        <v>1885</v>
      </c>
      <c r="F2436"/>
      <c r="G2436" s="107">
        <v>67500</v>
      </c>
    </row>
    <row r="2437" spans="1:7">
      <c r="A2437" t="s">
        <v>21</v>
      </c>
      <c r="B2437" t="s">
        <v>19</v>
      </c>
      <c r="C2437" t="s">
        <v>214</v>
      </c>
      <c r="D2437"/>
      <c r="E2437" t="s">
        <v>3098</v>
      </c>
      <c r="F2437"/>
      <c r="G2437" s="107">
        <v>0</v>
      </c>
    </row>
    <row r="2438" spans="1:7">
      <c r="A2438" t="s">
        <v>21</v>
      </c>
      <c r="B2438" t="s">
        <v>19</v>
      </c>
      <c r="C2438" t="s">
        <v>227</v>
      </c>
      <c r="D2438"/>
      <c r="E2438" t="s">
        <v>3099</v>
      </c>
      <c r="F2438"/>
      <c r="G2438" s="107">
        <v>14182</v>
      </c>
    </row>
    <row r="2439" spans="1:7">
      <c r="A2439" s="128" t="s">
        <v>21</v>
      </c>
      <c r="B2439" s="128" t="s">
        <v>2117</v>
      </c>
      <c r="C2439" s="128"/>
      <c r="D2439" s="128"/>
      <c r="E2439" s="128" t="s">
        <v>1394</v>
      </c>
      <c r="F2439" s="128"/>
      <c r="G2439" s="129">
        <v>18700</v>
      </c>
    </row>
    <row r="2440" spans="1:7">
      <c r="A2440" t="s">
        <v>21</v>
      </c>
      <c r="B2440" t="s">
        <v>19</v>
      </c>
      <c r="C2440" t="s">
        <v>214</v>
      </c>
      <c r="D2440"/>
      <c r="E2440" t="s">
        <v>1395</v>
      </c>
      <c r="F2440"/>
      <c r="G2440" s="107">
        <v>0</v>
      </c>
    </row>
    <row r="2441" spans="1:7">
      <c r="A2441" t="s">
        <v>21</v>
      </c>
      <c r="B2441" t="s">
        <v>19</v>
      </c>
      <c r="C2441" t="s">
        <v>227</v>
      </c>
      <c r="D2441"/>
      <c r="E2441" t="s">
        <v>3100</v>
      </c>
      <c r="F2441"/>
      <c r="G2441" s="107">
        <v>18700</v>
      </c>
    </row>
    <row r="2442" spans="1:7">
      <c r="A2442" s="128" t="s">
        <v>21</v>
      </c>
      <c r="B2442" s="128" t="s">
        <v>2117</v>
      </c>
      <c r="C2442" s="128"/>
      <c r="D2442" s="128"/>
      <c r="E2442" s="128" t="s">
        <v>1396</v>
      </c>
      <c r="F2442" s="128"/>
      <c r="G2442" s="129">
        <v>296000</v>
      </c>
    </row>
    <row r="2443" spans="1:7">
      <c r="A2443" t="s">
        <v>21</v>
      </c>
      <c r="B2443" t="s">
        <v>19</v>
      </c>
      <c r="C2443" t="s">
        <v>214</v>
      </c>
      <c r="D2443"/>
      <c r="E2443" t="s">
        <v>103</v>
      </c>
      <c r="F2443"/>
      <c r="G2443" s="107">
        <v>0</v>
      </c>
    </row>
    <row r="2444" spans="1:7">
      <c r="A2444" t="s">
        <v>21</v>
      </c>
      <c r="B2444" t="s">
        <v>19</v>
      </c>
      <c r="C2444" t="s">
        <v>215</v>
      </c>
      <c r="D2444"/>
      <c r="E2444" t="s">
        <v>1397</v>
      </c>
      <c r="F2444"/>
      <c r="G2444" s="107">
        <v>3000</v>
      </c>
    </row>
    <row r="2445" spans="1:7">
      <c r="A2445" t="s">
        <v>21</v>
      </c>
      <c r="B2445" t="s">
        <v>19</v>
      </c>
      <c r="C2445" t="s">
        <v>215</v>
      </c>
      <c r="D2445"/>
      <c r="E2445" t="s">
        <v>1398</v>
      </c>
      <c r="F2445"/>
      <c r="G2445" s="107">
        <v>3000</v>
      </c>
    </row>
    <row r="2446" spans="1:7">
      <c r="A2446" t="s">
        <v>21</v>
      </c>
      <c r="B2446" t="s">
        <v>19</v>
      </c>
      <c r="C2446" t="s">
        <v>214</v>
      </c>
      <c r="D2446"/>
      <c r="E2446" t="s">
        <v>3101</v>
      </c>
      <c r="F2446"/>
      <c r="G2446" s="107">
        <v>0</v>
      </c>
    </row>
    <row r="2447" spans="1:7">
      <c r="A2447" t="s">
        <v>21</v>
      </c>
      <c r="B2447" t="s">
        <v>19</v>
      </c>
      <c r="C2447" t="s">
        <v>227</v>
      </c>
      <c r="D2447"/>
      <c r="E2447" t="s">
        <v>3102</v>
      </c>
      <c r="F2447"/>
      <c r="G2447" s="107">
        <v>40000</v>
      </c>
    </row>
    <row r="2448" spans="1:7">
      <c r="A2448" t="s">
        <v>21</v>
      </c>
      <c r="B2448" t="s">
        <v>19</v>
      </c>
      <c r="C2448" t="s">
        <v>227</v>
      </c>
      <c r="D2448"/>
      <c r="E2448" t="s">
        <v>3103</v>
      </c>
      <c r="F2448"/>
      <c r="G2448" s="107">
        <v>250000</v>
      </c>
    </row>
    <row r="2449" spans="1:7">
      <c r="A2449" s="128" t="s">
        <v>21</v>
      </c>
      <c r="B2449" s="128" t="s">
        <v>2117</v>
      </c>
      <c r="C2449" s="128"/>
      <c r="D2449" s="128"/>
      <c r="E2449" s="128" t="s">
        <v>1400</v>
      </c>
      <c r="F2449" s="128"/>
      <c r="G2449" s="129">
        <v>273000</v>
      </c>
    </row>
    <row r="2450" spans="1:7">
      <c r="A2450" t="s">
        <v>21</v>
      </c>
      <c r="B2450" t="s">
        <v>19</v>
      </c>
      <c r="C2450" t="s">
        <v>214</v>
      </c>
      <c r="D2450"/>
      <c r="E2450" t="s">
        <v>1401</v>
      </c>
      <c r="F2450"/>
      <c r="G2450" s="107">
        <v>0</v>
      </c>
    </row>
    <row r="2451" spans="1:7">
      <c r="A2451" t="s">
        <v>21</v>
      </c>
      <c r="B2451" t="s">
        <v>19</v>
      </c>
      <c r="C2451" t="s">
        <v>227</v>
      </c>
      <c r="D2451"/>
      <c r="E2451" t="s">
        <v>1402</v>
      </c>
      <c r="F2451"/>
      <c r="G2451" s="107">
        <v>220000</v>
      </c>
    </row>
    <row r="2452" spans="1:7">
      <c r="A2452" t="s">
        <v>21</v>
      </c>
      <c r="B2452" t="s">
        <v>19</v>
      </c>
      <c r="C2452" t="s">
        <v>227</v>
      </c>
      <c r="D2452"/>
      <c r="E2452" t="s">
        <v>3104</v>
      </c>
      <c r="F2452"/>
      <c r="G2452" s="107">
        <v>28000</v>
      </c>
    </row>
    <row r="2453" spans="1:7">
      <c r="A2453" t="s">
        <v>21</v>
      </c>
      <c r="B2453" t="s">
        <v>19</v>
      </c>
      <c r="C2453" t="s">
        <v>227</v>
      </c>
      <c r="D2453"/>
      <c r="E2453" t="s">
        <v>3105</v>
      </c>
      <c r="F2453"/>
      <c r="G2453" s="107">
        <v>25000</v>
      </c>
    </row>
    <row r="2454" spans="1:7">
      <c r="A2454" s="128" t="s">
        <v>21</v>
      </c>
      <c r="B2454" s="128" t="s">
        <v>2117</v>
      </c>
      <c r="C2454" s="128"/>
      <c r="D2454" s="128"/>
      <c r="E2454" s="128" t="s">
        <v>3106</v>
      </c>
      <c r="F2454" s="128"/>
      <c r="G2454" s="129">
        <v>8000</v>
      </c>
    </row>
    <row r="2455" spans="1:7">
      <c r="A2455" t="s">
        <v>21</v>
      </c>
      <c r="B2455" t="s">
        <v>19</v>
      </c>
      <c r="C2455" t="s">
        <v>214</v>
      </c>
      <c r="D2455"/>
      <c r="E2455" t="s">
        <v>3107</v>
      </c>
      <c r="F2455"/>
      <c r="G2455" s="107">
        <v>0</v>
      </c>
    </row>
    <row r="2456" spans="1:7">
      <c r="A2456" t="s">
        <v>21</v>
      </c>
      <c r="B2456" t="s">
        <v>19</v>
      </c>
      <c r="C2456" t="s">
        <v>227</v>
      </c>
      <c r="D2456"/>
      <c r="E2456" t="s">
        <v>3108</v>
      </c>
      <c r="F2456"/>
      <c r="G2456" s="107">
        <v>8000</v>
      </c>
    </row>
    <row r="2457" spans="1:7">
      <c r="A2457" s="128" t="s">
        <v>21</v>
      </c>
      <c r="B2457" s="128" t="s">
        <v>2117</v>
      </c>
      <c r="C2457" s="128"/>
      <c r="D2457" s="128"/>
      <c r="E2457" s="128" t="s">
        <v>1403</v>
      </c>
      <c r="F2457" s="128"/>
      <c r="G2457" s="129">
        <v>582179</v>
      </c>
    </row>
    <row r="2458" spans="1:7">
      <c r="A2458" t="s">
        <v>21</v>
      </c>
      <c r="B2458" t="s">
        <v>19</v>
      </c>
      <c r="C2458" t="s">
        <v>214</v>
      </c>
      <c r="D2458"/>
      <c r="E2458" t="s">
        <v>185</v>
      </c>
      <c r="F2458"/>
      <c r="G2458" s="107">
        <v>0</v>
      </c>
    </row>
    <row r="2459" spans="1:7">
      <c r="A2459" t="s">
        <v>21</v>
      </c>
      <c r="B2459" t="s">
        <v>19</v>
      </c>
      <c r="C2459" t="s">
        <v>227</v>
      </c>
      <c r="D2459"/>
      <c r="E2459" t="s">
        <v>3109</v>
      </c>
      <c r="F2459"/>
      <c r="G2459" s="107">
        <v>582177.37</v>
      </c>
    </row>
    <row r="2460" spans="1:7">
      <c r="A2460" s="163" t="s">
        <v>21</v>
      </c>
      <c r="B2460" s="163" t="s">
        <v>8</v>
      </c>
      <c r="C2460" s="163"/>
      <c r="D2460" s="163"/>
      <c r="E2460" s="163" t="s">
        <v>1404</v>
      </c>
      <c r="F2460" s="163"/>
      <c r="G2460" s="164">
        <v>1485676</v>
      </c>
    </row>
    <row r="2461" spans="1:7">
      <c r="A2461" s="128" t="s">
        <v>21</v>
      </c>
      <c r="B2461" s="128" t="s">
        <v>2117</v>
      </c>
      <c r="C2461" s="128"/>
      <c r="D2461" s="128"/>
      <c r="E2461" s="128" t="s">
        <v>1405</v>
      </c>
      <c r="F2461" s="128"/>
      <c r="G2461" s="129">
        <v>1324376</v>
      </c>
    </row>
    <row r="2462" spans="1:7">
      <c r="A2462" t="s">
        <v>21</v>
      </c>
      <c r="B2462" t="s">
        <v>19</v>
      </c>
      <c r="C2462" t="s">
        <v>214</v>
      </c>
      <c r="D2462"/>
      <c r="E2462" t="s">
        <v>1406</v>
      </c>
      <c r="F2462"/>
      <c r="G2462" s="107">
        <v>0</v>
      </c>
    </row>
    <row r="2463" spans="1:7">
      <c r="A2463" t="s">
        <v>21</v>
      </c>
      <c r="B2463" t="s">
        <v>19</v>
      </c>
      <c r="C2463" t="s">
        <v>227</v>
      </c>
      <c r="D2463"/>
      <c r="E2463" t="s">
        <v>1407</v>
      </c>
      <c r="F2463"/>
      <c r="G2463" s="107">
        <v>1276536</v>
      </c>
    </row>
    <row r="2464" spans="1:7">
      <c r="A2464" t="s">
        <v>21</v>
      </c>
      <c r="B2464" t="s">
        <v>19</v>
      </c>
      <c r="C2464" t="s">
        <v>214</v>
      </c>
      <c r="D2464"/>
      <c r="E2464" t="s">
        <v>3110</v>
      </c>
      <c r="F2464"/>
      <c r="G2464" s="107">
        <v>0</v>
      </c>
    </row>
    <row r="2465" spans="1:9">
      <c r="A2465" t="s">
        <v>21</v>
      </c>
      <c r="B2465" t="s">
        <v>19</v>
      </c>
      <c r="C2465" t="s">
        <v>236</v>
      </c>
      <c r="D2465"/>
      <c r="E2465" t="s">
        <v>3111</v>
      </c>
      <c r="F2465"/>
      <c r="G2465" s="107">
        <v>47840</v>
      </c>
    </row>
    <row r="2466" spans="1:9">
      <c r="A2466" t="s">
        <v>21</v>
      </c>
      <c r="B2466" t="s">
        <v>19</v>
      </c>
      <c r="C2466" t="s">
        <v>227</v>
      </c>
      <c r="D2466"/>
      <c r="E2466" t="s">
        <v>3691</v>
      </c>
      <c r="F2466"/>
      <c r="G2466" s="107"/>
      <c r="I2466" t="s">
        <v>3692</v>
      </c>
    </row>
    <row r="2467" spans="1:9">
      <c r="A2467" s="128" t="s">
        <v>21</v>
      </c>
      <c r="B2467" s="128" t="s">
        <v>2117</v>
      </c>
      <c r="C2467" s="128"/>
      <c r="D2467" s="128"/>
      <c r="E2467" s="128" t="s">
        <v>1408</v>
      </c>
      <c r="F2467" s="128"/>
      <c r="G2467" s="129">
        <v>50000</v>
      </c>
    </row>
    <row r="2468" spans="1:9">
      <c r="A2468" t="s">
        <v>21</v>
      </c>
      <c r="B2468" t="s">
        <v>19</v>
      </c>
      <c r="C2468" t="s">
        <v>214</v>
      </c>
      <c r="D2468"/>
      <c r="E2468" t="s">
        <v>1410</v>
      </c>
      <c r="F2468"/>
      <c r="G2468" s="107">
        <v>0</v>
      </c>
    </row>
    <row r="2469" spans="1:9">
      <c r="A2469" t="s">
        <v>21</v>
      </c>
      <c r="B2469" t="s">
        <v>19</v>
      </c>
      <c r="C2469" t="s">
        <v>1409</v>
      </c>
      <c r="D2469"/>
      <c r="E2469" t="s">
        <v>3112</v>
      </c>
      <c r="F2469"/>
      <c r="G2469" s="107">
        <v>50000</v>
      </c>
    </row>
    <row r="2470" spans="1:9">
      <c r="A2470" s="128" t="s">
        <v>21</v>
      </c>
      <c r="B2470" s="128" t="s">
        <v>2117</v>
      </c>
      <c r="C2470" s="128"/>
      <c r="D2470" s="128"/>
      <c r="E2470" s="128" t="s">
        <v>1411</v>
      </c>
      <c r="F2470" s="128"/>
      <c r="G2470" s="129">
        <v>111300</v>
      </c>
    </row>
    <row r="2471" spans="1:9">
      <c r="A2471" t="s">
        <v>21</v>
      </c>
      <c r="B2471" t="s">
        <v>19</v>
      </c>
      <c r="C2471" t="s">
        <v>214</v>
      </c>
      <c r="D2471"/>
      <c r="E2471" t="s">
        <v>1412</v>
      </c>
      <c r="F2471"/>
      <c r="G2471" s="107">
        <v>0</v>
      </c>
    </row>
    <row r="2472" spans="1:9">
      <c r="A2472" t="s">
        <v>21</v>
      </c>
      <c r="B2472" t="s">
        <v>19</v>
      </c>
      <c r="C2472" t="s">
        <v>1409</v>
      </c>
      <c r="D2472"/>
      <c r="E2472" t="s">
        <v>1413</v>
      </c>
      <c r="F2472"/>
      <c r="G2472" s="107">
        <v>47400</v>
      </c>
    </row>
    <row r="2473" spans="1:9">
      <c r="A2473" t="s">
        <v>21</v>
      </c>
      <c r="B2473" t="s">
        <v>19</v>
      </c>
      <c r="C2473" t="s">
        <v>1409</v>
      </c>
      <c r="D2473"/>
      <c r="E2473" t="s">
        <v>1414</v>
      </c>
      <c r="F2473"/>
      <c r="G2473" s="107">
        <v>47400</v>
      </c>
    </row>
    <row r="2474" spans="1:9">
      <c r="A2474" t="s">
        <v>21</v>
      </c>
      <c r="B2474" t="s">
        <v>19</v>
      </c>
      <c r="C2474" t="s">
        <v>1409</v>
      </c>
      <c r="D2474"/>
      <c r="E2474" t="s">
        <v>3113</v>
      </c>
      <c r="F2474"/>
      <c r="G2474" s="107">
        <v>16500</v>
      </c>
    </row>
    <row r="2475" spans="1:9">
      <c r="A2475" s="128" t="s">
        <v>21</v>
      </c>
      <c r="B2475" s="128" t="s">
        <v>2117</v>
      </c>
      <c r="C2475" s="128"/>
      <c r="D2475" s="128"/>
      <c r="E2475" s="128">
        <v>7230</v>
      </c>
      <c r="F2475" s="128"/>
      <c r="G2475" s="129">
        <v>0</v>
      </c>
    </row>
    <row r="2476" spans="1:9">
      <c r="A2476" t="s">
        <v>21</v>
      </c>
      <c r="B2476" t="s">
        <v>19</v>
      </c>
      <c r="C2476" t="s">
        <v>214</v>
      </c>
      <c r="D2476"/>
      <c r="E2476" t="s">
        <v>5473</v>
      </c>
      <c r="F2476"/>
      <c r="G2476" s="107">
        <v>0</v>
      </c>
    </row>
    <row r="2477" spans="1:9">
      <c r="A2477" t="s">
        <v>21</v>
      </c>
      <c r="B2477" t="s">
        <v>19</v>
      </c>
      <c r="C2477"/>
      <c r="D2477"/>
      <c r="E2477" t="s">
        <v>5474</v>
      </c>
      <c r="F2477"/>
      <c r="G2477" s="107">
        <v>0</v>
      </c>
    </row>
    <row r="2478" spans="1:9">
      <c r="A2478" t="s">
        <v>21</v>
      </c>
      <c r="B2478" t="s">
        <v>19</v>
      </c>
      <c r="C2478"/>
      <c r="D2478"/>
      <c r="E2478" t="s">
        <v>5475</v>
      </c>
      <c r="F2478"/>
      <c r="G2478" s="107">
        <v>0</v>
      </c>
    </row>
    <row r="2479" spans="1:9">
      <c r="A2479" t="s">
        <v>21</v>
      </c>
      <c r="B2479" t="s">
        <v>19</v>
      </c>
      <c r="E2479" t="s">
        <v>5476</v>
      </c>
      <c r="F2479"/>
      <c r="G2479" s="107">
        <v>0</v>
      </c>
    </row>
    <row r="2480" spans="1:9">
      <c r="A2480" t="s">
        <v>21</v>
      </c>
      <c r="B2480" t="s">
        <v>19</v>
      </c>
      <c r="E2480" t="s">
        <v>5477</v>
      </c>
      <c r="F2480"/>
      <c r="G2480" s="107">
        <v>0</v>
      </c>
    </row>
    <row r="2481" spans="5:5">
      <c r="E2481"/>
    </row>
  </sheetData>
  <autoFilter ref="A2:I2474" xr:uid="{C16D7D2A-7E76-5243-B21D-53E3D70756E3}"/>
  <phoneticPr fontId="7" type="noConversion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11746-BD3D-6441-A7C1-8E0B713F9B49}">
  <sheetPr codeName="Sheet2">
    <tabColor rgb="FF92D050"/>
  </sheetPr>
  <dimension ref="A1"/>
  <sheetViews>
    <sheetView workbookViewId="0"/>
  </sheetViews>
  <sheetFormatPr baseColWidth="10" defaultRowHeight="15.6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2172-8450-EE42-B9F4-5BDD277DD878}">
  <sheetPr codeName="Sheet3">
    <tabColor rgb="FF92D050"/>
  </sheetPr>
  <dimension ref="A1:AL7888"/>
  <sheetViews>
    <sheetView zoomScale="63" zoomScaleNormal="80" workbookViewId="0">
      <selection activeCell="E21" sqref="E21"/>
    </sheetView>
  </sheetViews>
  <sheetFormatPr baseColWidth="10" defaultColWidth="11" defaultRowHeight="15.6"/>
  <cols>
    <col min="1" max="2" width="12.69921875" style="9" customWidth="1"/>
    <col min="3" max="3" width="48.69921875" style="9" customWidth="1"/>
    <col min="4" max="4" width="44.796875" style="9" customWidth="1"/>
    <col min="5" max="5" width="15.19921875" style="9" bestFit="1" customWidth="1"/>
    <col min="6" max="6" width="19.296875" style="9" customWidth="1"/>
    <col min="7" max="7" width="18.19921875" style="9" customWidth="1"/>
    <col min="8" max="8" width="25.5" style="9" customWidth="1"/>
    <col min="9" max="9" width="23.296875" style="9" customWidth="1"/>
    <col min="10" max="10" width="21.796875" style="9" bestFit="1" customWidth="1"/>
    <col min="11" max="11" width="25.5" style="9" bestFit="1" customWidth="1"/>
    <col min="12" max="12" width="26" style="9" bestFit="1" customWidth="1"/>
    <col min="13" max="13" width="72.5" style="9" customWidth="1"/>
    <col min="14" max="14" width="18.5" style="9" customWidth="1"/>
    <col min="15" max="15" width="27.8984375" style="9" customWidth="1"/>
    <col min="16" max="16" width="12.69921875" style="133" customWidth="1"/>
    <col min="17" max="17" width="18.296875" style="133" customWidth="1"/>
    <col min="18" max="19" width="12.69921875" style="133" customWidth="1"/>
    <col min="20" max="20" width="14.296875" style="133" customWidth="1"/>
    <col min="21" max="21" width="15.69921875" style="133" customWidth="1"/>
    <col min="22" max="22" width="15.296875" style="133" customWidth="1"/>
    <col min="23" max="23" width="12.69921875" style="9" customWidth="1"/>
    <col min="24" max="24" width="16.69921875" style="9" customWidth="1"/>
    <col min="25" max="25" width="18" style="9" customWidth="1"/>
    <col min="26" max="26" width="17" style="212" customWidth="1"/>
    <col min="27" max="27" width="30.19921875" bestFit="1" customWidth="1"/>
    <col min="28" max="28" width="19.69921875" bestFit="1" customWidth="1"/>
    <col min="29" max="29" width="23.5" bestFit="1" customWidth="1"/>
    <col min="30" max="30" width="13.19921875" bestFit="1" customWidth="1"/>
    <col min="32" max="32" width="12.5" customWidth="1"/>
    <col min="33" max="33" width="16.19921875" customWidth="1"/>
  </cols>
  <sheetData>
    <row r="1" spans="1:37" ht="39" customHeight="1" thickBot="1">
      <c r="A1" s="137" t="s">
        <v>35</v>
      </c>
      <c r="B1" s="137" t="s">
        <v>36</v>
      </c>
      <c r="C1" s="138" t="s">
        <v>39</v>
      </c>
      <c r="D1" s="139" t="s">
        <v>54</v>
      </c>
      <c r="E1" s="140" t="s">
        <v>44</v>
      </c>
      <c r="F1" s="141" t="s">
        <v>37</v>
      </c>
      <c r="G1" s="141" t="s">
        <v>1537</v>
      </c>
      <c r="H1" s="141" t="s">
        <v>38</v>
      </c>
      <c r="I1" s="141" t="s">
        <v>1538</v>
      </c>
      <c r="J1" s="142" t="s">
        <v>40</v>
      </c>
      <c r="K1" s="137" t="s">
        <v>1539</v>
      </c>
      <c r="L1" s="137" t="s">
        <v>2</v>
      </c>
      <c r="M1" s="143" t="s">
        <v>42</v>
      </c>
      <c r="N1" s="141" t="s">
        <v>43</v>
      </c>
      <c r="O1" s="143" t="s">
        <v>45</v>
      </c>
      <c r="P1" s="137" t="s">
        <v>79</v>
      </c>
      <c r="Q1" s="154" t="s">
        <v>46</v>
      </c>
      <c r="R1" s="154" t="s">
        <v>47</v>
      </c>
      <c r="S1" s="154" t="s">
        <v>48</v>
      </c>
      <c r="T1" s="154" t="s">
        <v>50</v>
      </c>
      <c r="U1" s="154" t="s">
        <v>49</v>
      </c>
      <c r="V1" s="154" t="s">
        <v>51</v>
      </c>
      <c r="W1" s="145" t="s">
        <v>52</v>
      </c>
      <c r="X1" s="144" t="s">
        <v>53</v>
      </c>
      <c r="Y1" s="146" t="s">
        <v>1540</v>
      </c>
      <c r="Z1" s="211" t="s">
        <v>56</v>
      </c>
      <c r="AA1" s="147" t="s">
        <v>57</v>
      </c>
      <c r="AB1" s="147" t="s">
        <v>1899</v>
      </c>
      <c r="AC1" s="147" t="s">
        <v>97</v>
      </c>
      <c r="AD1" s="148" t="s">
        <v>96</v>
      </c>
      <c r="AE1" s="149" t="s">
        <v>1541</v>
      </c>
      <c r="AF1" s="149" t="s">
        <v>1542</v>
      </c>
      <c r="AG1" s="149" t="s">
        <v>1543</v>
      </c>
      <c r="AH1" s="149" t="s">
        <v>49</v>
      </c>
      <c r="AI1" s="149" t="s">
        <v>51</v>
      </c>
      <c r="AJ1" t="s">
        <v>5478</v>
      </c>
    </row>
    <row r="2" spans="1:37" ht="16.05" customHeight="1">
      <c r="A2" s="150"/>
      <c r="B2" s="151"/>
      <c r="C2" s="126" t="s">
        <v>74</v>
      </c>
      <c r="D2"/>
      <c r="E2" s="126"/>
      <c r="F2" s="122"/>
      <c r="G2" s="122"/>
      <c r="H2"/>
      <c r="I2" s="122"/>
      <c r="J2" s="307" t="s">
        <v>214</v>
      </c>
      <c r="K2" s="127"/>
      <c r="L2" s="151" t="s">
        <v>98</v>
      </c>
      <c r="M2">
        <v>0</v>
      </c>
      <c r="N2" s="123"/>
      <c r="O2">
        <v>0</v>
      </c>
      <c r="P2" s="131" t="s">
        <v>78</v>
      </c>
      <c r="Q2" s="131">
        <v>7000000</v>
      </c>
      <c r="R2" s="131"/>
      <c r="S2" s="131"/>
      <c r="T2" s="155"/>
      <c r="U2" s="131"/>
      <c r="V2" s="131">
        <f>+Table1[[#This Row],[SUBTOTAL]]+Table1[[#This Row],[IVA]]-Table1[[#This Row],[RET IVA]]-Table1[[#This Row],[RET ISR]]</f>
        <v>7000000</v>
      </c>
      <c r="W2"/>
      <c r="X2" s="151"/>
      <c r="Y2" s="135" t="s">
        <v>1544</v>
      </c>
      <c r="Z2" s="307">
        <v>20</v>
      </c>
      <c r="AB2" t="str">
        <f>IF(Table1[[#This Row],[TIPO2]]="costo", VLOOKUP(Table1[[#This Row],[PARTIDA PRESUPUESTAL]],'Cost Report'!G:G,1,0),"Balance")</f>
        <v>Balance</v>
      </c>
      <c r="AC2" s="118"/>
      <c r="AD2" s="159">
        <f>+Table1[[#This Row],[SUBTOTAL]]+Table1[[#This Row],[IVA]]-Table1[[#This Row],[RET IVA]]-Table1[[#This Row],[RET ISR]]-Table1[[#This Row],[TOTAL]]</f>
        <v>0</v>
      </c>
      <c r="AK2" s="306" t="str">
        <f>IF(ISNUMBER(Table1[[#This Row],[FECHA DE RECIBIDO]]), Table1[[#This Row],[FECHA DE RECIBIDO]]-DATE(2023,8,30), "")</f>
        <v/>
      </c>
    </row>
    <row r="3" spans="1:37" ht="16.05" customHeight="1">
      <c r="A3" s="152"/>
      <c r="B3" s="153"/>
      <c r="C3" s="126" t="s">
        <v>75</v>
      </c>
      <c r="D3"/>
      <c r="E3" s="126"/>
      <c r="F3" s="125"/>
      <c r="G3" s="125"/>
      <c r="H3"/>
      <c r="I3" s="125"/>
      <c r="J3" s="308" t="s">
        <v>214</v>
      </c>
      <c r="K3" s="127"/>
      <c r="L3" s="153" t="s">
        <v>98</v>
      </c>
      <c r="M3">
        <v>0</v>
      </c>
      <c r="N3" s="123"/>
      <c r="O3">
        <v>1</v>
      </c>
      <c r="P3" s="131" t="s">
        <v>78</v>
      </c>
      <c r="Q3" s="132">
        <v>1120000</v>
      </c>
      <c r="R3" s="132"/>
      <c r="S3" s="132"/>
      <c r="T3" s="156"/>
      <c r="U3" s="132"/>
      <c r="V3" s="132">
        <f>+Table1[[#This Row],[SUBTOTAL]]+Table1[[#This Row],[IVA]]-Table1[[#This Row],[RET IVA]]-Table1[[#This Row],[RET ISR]]</f>
        <v>1120000</v>
      </c>
      <c r="W3"/>
      <c r="X3" s="153"/>
      <c r="Y3" s="124" t="s">
        <v>1544</v>
      </c>
      <c r="Z3" s="308">
        <v>23</v>
      </c>
      <c r="AB3" t="str">
        <f>IF(Table1[[#This Row],[TIPO2]]="costo", VLOOKUP(Table1[[#This Row],[PARTIDA PRESUPUESTAL]],'Cost Report'!G:G,1,0),"Balance")</f>
        <v>Balance</v>
      </c>
      <c r="AC3" s="118"/>
      <c r="AD3" s="159">
        <f>+Table1[[#This Row],[SUBTOTAL]]+Table1[[#This Row],[IVA]]-Table1[[#This Row],[RET IVA]]-Table1[[#This Row],[RET ISR]]-Table1[[#This Row],[TOTAL]]</f>
        <v>0</v>
      </c>
      <c r="AK3" s="306" t="str">
        <f>IF(ISNUMBER(Table1[[#This Row],[FECHA DE RECIBIDO]]), Table1[[#This Row],[FECHA DE RECIBIDO]]-DATE(2023,8,30), "")</f>
        <v/>
      </c>
    </row>
    <row r="4" spans="1:37" ht="16.05" customHeight="1">
      <c r="A4" s="150" t="s">
        <v>106</v>
      </c>
      <c r="B4" s="151"/>
      <c r="C4" s="126" t="s">
        <v>74</v>
      </c>
      <c r="D4"/>
      <c r="E4" s="126"/>
      <c r="F4" s="122" t="s">
        <v>104</v>
      </c>
      <c r="G4" s="122" t="s">
        <v>104</v>
      </c>
      <c r="H4">
        <v>0</v>
      </c>
      <c r="I4" s="122"/>
      <c r="J4" s="307" t="s">
        <v>214</v>
      </c>
      <c r="K4" s="127"/>
      <c r="L4" s="151" t="s">
        <v>98</v>
      </c>
      <c r="M4">
        <v>0</v>
      </c>
      <c r="N4" s="123"/>
      <c r="O4">
        <v>2</v>
      </c>
      <c r="P4" s="131" t="s">
        <v>78</v>
      </c>
      <c r="Q4" s="131">
        <v>700000</v>
      </c>
      <c r="R4" s="131"/>
      <c r="S4" s="131"/>
      <c r="T4" s="155"/>
      <c r="U4" s="131"/>
      <c r="V4" s="131">
        <f>+Table1[[#This Row],[SUBTOTAL]]+Table1[[#This Row],[IVA]]-Table1[[#This Row],[RET IVA]]-Table1[[#This Row],[RET ISR]]</f>
        <v>700000</v>
      </c>
      <c r="W4"/>
      <c r="X4" s="151" t="s">
        <v>105</v>
      </c>
      <c r="Y4" s="135" t="s">
        <v>1544</v>
      </c>
      <c r="Z4" s="307">
        <v>0</v>
      </c>
      <c r="AB4" t="str">
        <f>IF(Table1[[#This Row],[TIPO2]]="costo", VLOOKUP(Table1[[#This Row],[PARTIDA PRESUPUESTAL]],'Cost Report'!G:G,1,0),"Balance")</f>
        <v>Balance</v>
      </c>
      <c r="AC4" s="118"/>
      <c r="AD4" s="159">
        <f>+Table1[[#This Row],[SUBTOTAL]]+Table1[[#This Row],[IVA]]-Table1[[#This Row],[RET IVA]]-Table1[[#This Row],[RET ISR]]-Table1[[#This Row],[TOTAL]]</f>
        <v>0</v>
      </c>
      <c r="AK4" s="306" t="str">
        <f>IF(ISNUMBER(Table1[[#This Row],[FECHA DE RECIBIDO]]), Table1[[#This Row],[FECHA DE RECIBIDO]]-DATE(2023,8,30), "")</f>
        <v/>
      </c>
    </row>
    <row r="5" spans="1:37" ht="16.05" customHeight="1">
      <c r="A5" s="152" t="s">
        <v>107</v>
      </c>
      <c r="B5" s="153" t="s">
        <v>108</v>
      </c>
      <c r="C5" s="126" t="s">
        <v>3099</v>
      </c>
      <c r="D5">
        <v>0</v>
      </c>
      <c r="E5" s="126">
        <v>86127</v>
      </c>
      <c r="F5" s="125" t="s">
        <v>109</v>
      </c>
      <c r="G5" s="125" t="s">
        <v>109</v>
      </c>
      <c r="H5">
        <v>1</v>
      </c>
      <c r="I5" s="125"/>
      <c r="J5" s="308">
        <v>33</v>
      </c>
      <c r="K5" s="127"/>
      <c r="L5" s="153" t="s">
        <v>110</v>
      </c>
      <c r="M5">
        <v>1</v>
      </c>
      <c r="N5" s="123"/>
      <c r="O5">
        <v>3</v>
      </c>
      <c r="P5" s="132" t="s">
        <v>77</v>
      </c>
      <c r="Q5" s="132">
        <v>14182</v>
      </c>
      <c r="R5" s="132">
        <v>2269.12</v>
      </c>
      <c r="S5" s="132"/>
      <c r="T5" s="156">
        <v>1512.75</v>
      </c>
      <c r="U5" s="132">
        <v>177.28</v>
      </c>
      <c r="V5" s="132">
        <f>+Table1[[#This Row],[SUBTOTAL]]+Table1[[#This Row],[IVA]]-Table1[[#This Row],[RET IVA]]-Table1[[#This Row],[RET ISR]]</f>
        <v>14761.089999999998</v>
      </c>
      <c r="W5">
        <v>0</v>
      </c>
      <c r="X5" s="153" t="s">
        <v>111</v>
      </c>
      <c r="Y5" s="124" t="s">
        <v>1544</v>
      </c>
      <c r="Z5" s="308">
        <v>37</v>
      </c>
      <c r="AB5" t="str">
        <f>IF(Table1[[#This Row],[TIPO2]]="costo", VLOOKUP(Table1[[#This Row],[PARTIDA PRESUPUESTAL]],'Cost Report'!G:G,1,0),"Balance")</f>
        <v>7007-009</v>
      </c>
      <c r="AC5" s="118"/>
      <c r="AD5" s="159">
        <f>+Table1[[#This Row],[SUBTOTAL]]+Table1[[#This Row],[IVA]]-Table1[[#This Row],[RET IVA]]-Table1[[#This Row],[RET ISR]]-Table1[[#This Row],[TOTAL]]</f>
        <v>0</v>
      </c>
      <c r="AK5" s="306">
        <f>IF(ISNUMBER(Table1[[#This Row],[FECHA DE RECIBIDO]]), Table1[[#This Row],[FECHA DE RECIBIDO]]-DATE(2023,8,30), "")</f>
        <v>-45135</v>
      </c>
    </row>
    <row r="6" spans="1:37" ht="16.05" customHeight="1">
      <c r="A6" s="150" t="s">
        <v>120</v>
      </c>
      <c r="B6" s="151" t="s">
        <v>121</v>
      </c>
      <c r="C6" s="126" t="s">
        <v>221</v>
      </c>
      <c r="D6">
        <v>1</v>
      </c>
      <c r="E6" s="126">
        <v>4318</v>
      </c>
      <c r="F6" s="122" t="s">
        <v>109</v>
      </c>
      <c r="G6" s="122" t="s">
        <v>109</v>
      </c>
      <c r="H6">
        <v>2</v>
      </c>
      <c r="I6" s="122"/>
      <c r="J6" s="307">
        <v>40</v>
      </c>
      <c r="K6" s="127"/>
      <c r="L6" s="151" t="s">
        <v>110</v>
      </c>
      <c r="M6">
        <v>2</v>
      </c>
      <c r="N6" s="123"/>
      <c r="O6">
        <v>4</v>
      </c>
      <c r="P6" s="132" t="s">
        <v>77</v>
      </c>
      <c r="Q6" s="131">
        <v>110000</v>
      </c>
      <c r="R6" s="131">
        <v>17600</v>
      </c>
      <c r="S6" s="131"/>
      <c r="T6" s="155">
        <v>11733.37</v>
      </c>
      <c r="U6" s="131">
        <v>1375</v>
      </c>
      <c r="V6" s="131">
        <f>+Table1[[#This Row],[SUBTOTAL]]+Table1[[#This Row],[IVA]]-Table1[[#This Row],[RET IVA]]-Table1[[#This Row],[RET ISR]]</f>
        <v>114491.63</v>
      </c>
      <c r="W6">
        <v>1</v>
      </c>
      <c r="X6" s="151" t="s">
        <v>122</v>
      </c>
      <c r="Y6" s="135" t="s">
        <v>1544</v>
      </c>
      <c r="Z6" s="307">
        <v>49</v>
      </c>
      <c r="AB6" t="str">
        <f>IF(Table1[[#This Row],[TIPO2]]="costo", VLOOKUP(Table1[[#This Row],[PARTIDA PRESUPUESTAL]],'Cost Report'!G:G,1,0),"Balance")</f>
        <v>1107-009</v>
      </c>
      <c r="AC6" s="118"/>
      <c r="AD6" s="159">
        <f>+Table1[[#This Row],[SUBTOTAL]]+Table1[[#This Row],[IVA]]-Table1[[#This Row],[RET IVA]]-Table1[[#This Row],[RET ISR]]-Table1[[#This Row],[TOTAL]]</f>
        <v>0</v>
      </c>
      <c r="AK6" s="306">
        <f>IF(ISNUMBER(Table1[[#This Row],[FECHA DE RECIBIDO]]), Table1[[#This Row],[FECHA DE RECIBIDO]]-DATE(2023,8,30), "")</f>
        <v>-45128</v>
      </c>
    </row>
    <row r="7" spans="1:37" ht="16.05" customHeight="1">
      <c r="A7" s="152" t="s">
        <v>123</v>
      </c>
      <c r="B7" s="153" t="s">
        <v>124</v>
      </c>
      <c r="C7" s="126" t="s">
        <v>223</v>
      </c>
      <c r="D7">
        <v>2</v>
      </c>
      <c r="E7" s="126">
        <v>6100</v>
      </c>
      <c r="F7" s="125" t="s">
        <v>109</v>
      </c>
      <c r="G7" s="125" t="s">
        <v>109</v>
      </c>
      <c r="H7">
        <v>3</v>
      </c>
      <c r="I7" s="125"/>
      <c r="J7" s="308">
        <v>37</v>
      </c>
      <c r="K7" s="127"/>
      <c r="L7" s="153" t="s">
        <v>110</v>
      </c>
      <c r="M7">
        <v>3</v>
      </c>
      <c r="N7" s="123"/>
      <c r="O7">
        <v>5</v>
      </c>
      <c r="P7" s="132" t="s">
        <v>77</v>
      </c>
      <c r="Q7" s="132">
        <v>50000</v>
      </c>
      <c r="R7" s="132">
        <v>8000</v>
      </c>
      <c r="S7" s="132"/>
      <c r="T7" s="156">
        <v>5333.35</v>
      </c>
      <c r="U7" s="132">
        <v>625</v>
      </c>
      <c r="V7" s="132">
        <f>+Table1[[#This Row],[SUBTOTAL]]+Table1[[#This Row],[IVA]]-Table1[[#This Row],[RET IVA]]-Table1[[#This Row],[RET ISR]]</f>
        <v>52041.65</v>
      </c>
      <c r="W7">
        <v>2</v>
      </c>
      <c r="X7" s="153" t="s">
        <v>122</v>
      </c>
      <c r="Y7" s="124" t="s">
        <v>1544</v>
      </c>
      <c r="Z7" s="308">
        <v>49</v>
      </c>
      <c r="AB7" t="str">
        <f>IF(Table1[[#This Row],[TIPO2]]="costo", VLOOKUP(Table1[[#This Row],[PARTIDA PRESUPUESTAL]],'Cost Report'!G:G,1,0),"Balance")</f>
        <v>1122-005</v>
      </c>
      <c r="AC7" s="118"/>
      <c r="AD7" s="159">
        <f>+Table1[[#This Row],[SUBTOTAL]]+Table1[[#This Row],[IVA]]-Table1[[#This Row],[RET IVA]]-Table1[[#This Row],[RET ISR]]-Table1[[#This Row],[TOTAL]]</f>
        <v>0</v>
      </c>
      <c r="AK7" s="306">
        <f>IF(ISNUMBER(Table1[[#This Row],[FECHA DE RECIBIDO]]), Table1[[#This Row],[FECHA DE RECIBIDO]]-DATE(2023,8,30), "")</f>
        <v>-45131</v>
      </c>
    </row>
    <row r="8" spans="1:37" ht="16.05" customHeight="1">
      <c r="A8" s="150" t="s">
        <v>125</v>
      </c>
      <c r="B8" s="151" t="s">
        <v>126</v>
      </c>
      <c r="C8" s="126" t="s">
        <v>13</v>
      </c>
      <c r="D8">
        <v>3</v>
      </c>
      <c r="E8" s="126">
        <v>4318</v>
      </c>
      <c r="F8" s="122" t="s">
        <v>109</v>
      </c>
      <c r="G8" s="122" t="s">
        <v>109</v>
      </c>
      <c r="H8">
        <v>2</v>
      </c>
      <c r="I8" s="122"/>
      <c r="J8" s="307">
        <v>44</v>
      </c>
      <c r="K8" s="127"/>
      <c r="L8" s="151" t="s">
        <v>110</v>
      </c>
      <c r="M8">
        <v>2</v>
      </c>
      <c r="N8" s="123"/>
      <c r="O8">
        <v>6</v>
      </c>
      <c r="P8" s="132" t="s">
        <v>77</v>
      </c>
      <c r="Q8" s="131">
        <v>100000</v>
      </c>
      <c r="R8" s="131">
        <v>16000</v>
      </c>
      <c r="S8" s="131"/>
      <c r="T8" s="155">
        <v>10666.7</v>
      </c>
      <c r="U8" s="131">
        <v>1250</v>
      </c>
      <c r="V8" s="131">
        <f>+Table1[[#This Row],[SUBTOTAL]]+Table1[[#This Row],[IVA]]-Table1[[#This Row],[RET IVA]]-Table1[[#This Row],[RET ISR]]</f>
        <v>104083.3</v>
      </c>
      <c r="W8">
        <v>1</v>
      </c>
      <c r="X8" s="151" t="s">
        <v>122</v>
      </c>
      <c r="Y8" s="135" t="s">
        <v>1544</v>
      </c>
      <c r="Z8" s="307">
        <v>55</v>
      </c>
      <c r="AB8" t="str">
        <f>IF(Table1[[#This Row],[TIPO2]]="costo", VLOOKUP(Table1[[#This Row],[PARTIDA PRESUPUESTAL]],'Cost Report'!G:G,1,0),"Balance")</f>
        <v>1101-007</v>
      </c>
      <c r="AC8" s="118"/>
      <c r="AD8" s="159">
        <f>+Table1[[#This Row],[SUBTOTAL]]+Table1[[#This Row],[IVA]]-Table1[[#This Row],[RET IVA]]-Table1[[#This Row],[RET ISR]]-Table1[[#This Row],[TOTAL]]</f>
        <v>0</v>
      </c>
      <c r="AE8" s="150"/>
      <c r="AF8" s="151"/>
      <c r="AG8" s="126"/>
      <c r="AK8" s="306">
        <f>IF(ISNUMBER(Table1[[#This Row],[FECHA DE RECIBIDO]]), Table1[[#This Row],[FECHA DE RECIBIDO]]-DATE(2023,8,30), "")</f>
        <v>-45124</v>
      </c>
    </row>
    <row r="9" spans="1:37" ht="16.05" customHeight="1">
      <c r="A9" s="152" t="s">
        <v>127</v>
      </c>
      <c r="B9" s="153" t="s">
        <v>128</v>
      </c>
      <c r="C9" s="126" t="s">
        <v>145</v>
      </c>
      <c r="D9">
        <v>4</v>
      </c>
      <c r="E9" s="126">
        <v>6140</v>
      </c>
      <c r="F9" s="125" t="s">
        <v>129</v>
      </c>
      <c r="G9" s="125" t="s">
        <v>129</v>
      </c>
      <c r="H9">
        <v>4</v>
      </c>
      <c r="I9" s="125"/>
      <c r="J9" s="308">
        <v>44</v>
      </c>
      <c r="K9" s="127"/>
      <c r="L9" s="153" t="s">
        <v>110</v>
      </c>
      <c r="M9">
        <v>4</v>
      </c>
      <c r="N9" s="123"/>
      <c r="O9">
        <v>7</v>
      </c>
      <c r="P9" s="132" t="s">
        <v>77</v>
      </c>
      <c r="Q9" s="132">
        <v>110000.03</v>
      </c>
      <c r="R9" s="132">
        <v>17600</v>
      </c>
      <c r="S9" s="132"/>
      <c r="T9" s="156">
        <v>11733.37</v>
      </c>
      <c r="U9" s="132">
        <v>11000</v>
      </c>
      <c r="V9" s="132">
        <f>+Table1[[#This Row],[SUBTOTAL]]+Table1[[#This Row],[IVA]]-Table1[[#This Row],[RET IVA]]-Table1[[#This Row],[RET ISR]]</f>
        <v>104866.66</v>
      </c>
      <c r="W9">
        <v>3</v>
      </c>
      <c r="X9" s="153" t="s">
        <v>122</v>
      </c>
      <c r="Y9" s="124" t="s">
        <v>1544</v>
      </c>
      <c r="Z9" s="308">
        <v>55</v>
      </c>
      <c r="AB9" t="str">
        <f>IF(Table1[[#This Row],[TIPO2]]="costo", VLOOKUP(Table1[[#This Row],[PARTIDA PRESUPUESTAL]],'Cost Report'!G:G,1,0),"Balance")</f>
        <v>1107-005</v>
      </c>
      <c r="AC9" s="118"/>
      <c r="AD9" s="159">
        <f>+Table1[[#This Row],[SUBTOTAL]]+Table1[[#This Row],[IVA]]-Table1[[#This Row],[RET IVA]]-Table1[[#This Row],[RET ISR]]-Table1[[#This Row],[TOTAL]]</f>
        <v>0</v>
      </c>
      <c r="AE9" s="152"/>
      <c r="AF9" s="153"/>
      <c r="AG9" s="126"/>
      <c r="AK9" s="306">
        <f>IF(ISNUMBER(Table1[[#This Row],[FECHA DE RECIBIDO]]), Table1[[#This Row],[FECHA DE RECIBIDO]]-DATE(2023,8,30), "")</f>
        <v>-45124</v>
      </c>
    </row>
    <row r="10" spans="1:37" ht="16.05" customHeight="1">
      <c r="A10" s="150" t="s">
        <v>130</v>
      </c>
      <c r="B10" s="151" t="s">
        <v>131</v>
      </c>
      <c r="C10" s="126" t="s">
        <v>12</v>
      </c>
      <c r="D10">
        <v>5</v>
      </c>
      <c r="E10" s="126">
        <v>6140</v>
      </c>
      <c r="F10" s="122" t="s">
        <v>129</v>
      </c>
      <c r="G10" s="122" t="s">
        <v>129</v>
      </c>
      <c r="H10">
        <v>4</v>
      </c>
      <c r="I10" s="122"/>
      <c r="J10" s="307">
        <v>48</v>
      </c>
      <c r="K10" s="127"/>
      <c r="L10" s="151" t="s">
        <v>110</v>
      </c>
      <c r="M10">
        <v>4</v>
      </c>
      <c r="N10" s="123"/>
      <c r="O10">
        <v>8</v>
      </c>
      <c r="P10" s="132" t="s">
        <v>77</v>
      </c>
      <c r="Q10" s="131">
        <v>100000.03</v>
      </c>
      <c r="R10" s="131">
        <v>16000</v>
      </c>
      <c r="S10" s="131"/>
      <c r="T10" s="155">
        <v>10666.7</v>
      </c>
      <c r="U10" s="131">
        <v>10000</v>
      </c>
      <c r="V10" s="131">
        <f>+Table1[[#This Row],[SUBTOTAL]]+Table1[[#This Row],[IVA]]-Table1[[#This Row],[RET IVA]]-Table1[[#This Row],[RET ISR]]</f>
        <v>95333.33</v>
      </c>
      <c r="W10">
        <v>3</v>
      </c>
      <c r="X10" s="151" t="s">
        <v>122</v>
      </c>
      <c r="Y10" s="135" t="s">
        <v>1544</v>
      </c>
      <c r="Z10" s="307">
        <v>58</v>
      </c>
      <c r="AB10" t="str">
        <f>IF(Table1[[#This Row],[TIPO2]]="costo", VLOOKUP(Table1[[#This Row],[PARTIDA PRESUPUESTAL]],'Cost Report'!G:G,1,0),"Balance")</f>
        <v>1101-006</v>
      </c>
      <c r="AC10" s="118"/>
      <c r="AD10" s="159">
        <f>+Table1[[#This Row],[SUBTOTAL]]+Table1[[#This Row],[IVA]]-Table1[[#This Row],[RET IVA]]-Table1[[#This Row],[RET ISR]]-Table1[[#This Row],[TOTAL]]</f>
        <v>0</v>
      </c>
      <c r="AE10" s="150"/>
      <c r="AF10" s="151"/>
      <c r="AG10" s="126"/>
      <c r="AK10" s="306">
        <f>IF(ISNUMBER(Table1[[#This Row],[FECHA DE RECIBIDO]]), Table1[[#This Row],[FECHA DE RECIBIDO]]-DATE(2023,8,30), "")</f>
        <v>-45120</v>
      </c>
    </row>
    <row r="11" spans="1:37" ht="16.05" customHeight="1">
      <c r="A11" s="152" t="s">
        <v>132</v>
      </c>
      <c r="B11" s="153" t="s">
        <v>133</v>
      </c>
      <c r="C11" s="126" t="s">
        <v>180</v>
      </c>
      <c r="D11">
        <v>6</v>
      </c>
      <c r="E11" s="126">
        <v>52763</v>
      </c>
      <c r="F11" s="125" t="s">
        <v>134</v>
      </c>
      <c r="G11" s="125" t="s">
        <v>134</v>
      </c>
      <c r="H11">
        <v>5</v>
      </c>
      <c r="I11" s="125"/>
      <c r="J11" s="308">
        <v>54</v>
      </c>
      <c r="K11" s="127"/>
      <c r="L11" s="153" t="s">
        <v>118</v>
      </c>
      <c r="M11">
        <v>5</v>
      </c>
      <c r="N11" s="123"/>
      <c r="O11">
        <v>9</v>
      </c>
      <c r="P11" s="132" t="s">
        <v>77</v>
      </c>
      <c r="Q11" s="132">
        <v>20000</v>
      </c>
      <c r="R11" s="132">
        <v>3200</v>
      </c>
      <c r="S11" s="132"/>
      <c r="T11" s="156">
        <v>0</v>
      </c>
      <c r="U11" s="132">
        <v>0</v>
      </c>
      <c r="V11" s="132">
        <f>+Table1[[#This Row],[SUBTOTAL]]+Table1[[#This Row],[IVA]]-Table1[[#This Row],[RET IVA]]-Table1[[#This Row],[RET ISR]]</f>
        <v>23200</v>
      </c>
      <c r="W11">
        <v>4</v>
      </c>
      <c r="X11" s="153" t="s">
        <v>135</v>
      </c>
      <c r="Y11" s="124" t="s">
        <v>1544</v>
      </c>
      <c r="Z11" s="308">
        <v>58</v>
      </c>
      <c r="AB11" t="str">
        <f>IF(Table1[[#This Row],[TIPO2]]="costo", VLOOKUP(Table1[[#This Row],[PARTIDA PRESUPUESTAL]],'Cost Report'!G:G,1,0),"Balance")</f>
        <v>2010-005</v>
      </c>
      <c r="AC11" s="118"/>
      <c r="AD11" s="159">
        <f>+Table1[[#This Row],[SUBTOTAL]]+Table1[[#This Row],[IVA]]-Table1[[#This Row],[RET IVA]]-Table1[[#This Row],[RET ISR]]-Table1[[#This Row],[TOTAL]]</f>
        <v>0</v>
      </c>
      <c r="AE11" s="152"/>
      <c r="AF11" s="153"/>
      <c r="AG11" s="126"/>
      <c r="AK11" s="306">
        <f>IF(ISNUMBER(Table1[[#This Row],[FECHA DE RECIBIDO]]), Table1[[#This Row],[FECHA DE RECIBIDO]]-DATE(2023,8,30), "")</f>
        <v>-45114</v>
      </c>
    </row>
    <row r="12" spans="1:37" ht="16.05" customHeight="1">
      <c r="A12" s="150" t="s">
        <v>136</v>
      </c>
      <c r="B12" s="151" t="s">
        <v>137</v>
      </c>
      <c r="C12" s="126" t="s">
        <v>148</v>
      </c>
      <c r="D12">
        <v>7</v>
      </c>
      <c r="E12" s="126">
        <v>6140</v>
      </c>
      <c r="F12" s="122" t="s">
        <v>134</v>
      </c>
      <c r="G12" s="122" t="s">
        <v>134</v>
      </c>
      <c r="H12">
        <v>6</v>
      </c>
      <c r="I12" s="122"/>
      <c r="J12" s="307">
        <v>56</v>
      </c>
      <c r="K12" s="127"/>
      <c r="L12" s="151" t="s">
        <v>118</v>
      </c>
      <c r="M12">
        <v>6</v>
      </c>
      <c r="N12" s="123"/>
      <c r="O12">
        <v>10</v>
      </c>
      <c r="P12" s="132" t="s">
        <v>77</v>
      </c>
      <c r="Q12" s="131">
        <v>40000</v>
      </c>
      <c r="R12" s="131">
        <v>6400</v>
      </c>
      <c r="S12" s="131"/>
      <c r="T12" s="155">
        <v>0</v>
      </c>
      <c r="U12" s="131">
        <v>0</v>
      </c>
      <c r="V12" s="131">
        <f>+Table1[[#This Row],[SUBTOTAL]]+Table1[[#This Row],[IVA]]-Table1[[#This Row],[RET IVA]]-Table1[[#This Row],[RET ISR]]</f>
        <v>46400</v>
      </c>
      <c r="W12">
        <v>5</v>
      </c>
      <c r="X12" s="151" t="s">
        <v>105</v>
      </c>
      <c r="Y12" s="135" t="s">
        <v>1544</v>
      </c>
      <c r="Z12" s="307">
        <v>62</v>
      </c>
      <c r="AB12" t="str">
        <f>IF(Table1[[#This Row],[TIPO2]]="costo", VLOOKUP(Table1[[#This Row],[PARTIDA PRESUPUESTAL]],'Cost Report'!G:G,1,0),"Balance")</f>
        <v>1193-003</v>
      </c>
      <c r="AC12" s="118"/>
      <c r="AD12" s="159">
        <f>+Table1[[#This Row],[SUBTOTAL]]+Table1[[#This Row],[IVA]]-Table1[[#This Row],[RET IVA]]-Table1[[#This Row],[RET ISR]]-Table1[[#This Row],[TOTAL]]</f>
        <v>0</v>
      </c>
      <c r="AE12" s="150"/>
      <c r="AF12" s="151"/>
      <c r="AG12" s="126"/>
      <c r="AK12" s="306">
        <f>IF(ISNUMBER(Table1[[#This Row],[FECHA DE RECIBIDO]]), Table1[[#This Row],[FECHA DE RECIBIDO]]-DATE(2023,8,30), "")</f>
        <v>-45112</v>
      </c>
    </row>
    <row r="13" spans="1:37" ht="16.05" customHeight="1">
      <c r="A13" s="152" t="s">
        <v>139</v>
      </c>
      <c r="B13" s="153">
        <v>11</v>
      </c>
      <c r="C13" s="126" t="s">
        <v>1397</v>
      </c>
      <c r="D13"/>
      <c r="E13" s="126"/>
      <c r="F13" s="125"/>
      <c r="G13" s="125"/>
      <c r="H13"/>
      <c r="I13" s="125"/>
      <c r="J13" s="308" t="s">
        <v>214</v>
      </c>
      <c r="K13" s="127"/>
      <c r="L13" s="153"/>
      <c r="M13">
        <v>7</v>
      </c>
      <c r="N13" s="123"/>
      <c r="O13">
        <v>11</v>
      </c>
      <c r="P13" s="132" t="s">
        <v>77</v>
      </c>
      <c r="Q13" s="132">
        <v>540</v>
      </c>
      <c r="R13" s="132">
        <v>86.4</v>
      </c>
      <c r="S13" s="132"/>
      <c r="T13" s="156"/>
      <c r="U13" s="132"/>
      <c r="V13" s="132">
        <f>+Table1[[#This Row],[SUBTOTAL]]+Table1[[#This Row],[IVA]]-Table1[[#This Row],[RET IVA]]-Table1[[#This Row],[RET ISR]]</f>
        <v>626.4</v>
      </c>
      <c r="W13"/>
      <c r="X13" s="153" t="s">
        <v>105</v>
      </c>
      <c r="Y13" s="124" t="s">
        <v>1544</v>
      </c>
      <c r="Z13" s="308" t="s">
        <v>214</v>
      </c>
      <c r="AB13" t="str">
        <f>IF(Table1[[#This Row],[TIPO2]]="costo", VLOOKUP(Table1[[#This Row],[PARTIDA PRESUPUESTAL]],'Cost Report'!G:G,1,0),"Balance")</f>
        <v>7038-003</v>
      </c>
      <c r="AC13" s="118"/>
      <c r="AD13" s="159">
        <f>+Table1[[#This Row],[SUBTOTAL]]+Table1[[#This Row],[IVA]]-Table1[[#This Row],[RET IVA]]-Table1[[#This Row],[RET ISR]]-Table1[[#This Row],[TOTAL]]</f>
        <v>0</v>
      </c>
      <c r="AE13" s="152"/>
      <c r="AF13" s="153"/>
      <c r="AG13" s="126"/>
      <c r="AK13" s="306" t="str">
        <f>IF(ISNUMBER(Table1[[#This Row],[FECHA DE RECIBIDO]]), Table1[[#This Row],[FECHA DE RECIBIDO]]-DATE(2023,8,30), "")</f>
        <v/>
      </c>
    </row>
    <row r="14" spans="1:37" ht="16.05" customHeight="1">
      <c r="A14" s="150" t="s">
        <v>152</v>
      </c>
      <c r="B14" s="151" t="s">
        <v>153</v>
      </c>
      <c r="C14" s="126" t="s">
        <v>223</v>
      </c>
      <c r="D14">
        <v>8</v>
      </c>
      <c r="E14" s="126">
        <v>6100</v>
      </c>
      <c r="F14" s="122" t="s">
        <v>109</v>
      </c>
      <c r="G14" s="122" t="s">
        <v>109</v>
      </c>
      <c r="H14">
        <v>3</v>
      </c>
      <c r="I14" s="122"/>
      <c r="J14" s="307">
        <v>63</v>
      </c>
      <c r="K14" s="127"/>
      <c r="L14" s="151" t="s">
        <v>110</v>
      </c>
      <c r="M14">
        <v>3</v>
      </c>
      <c r="N14" s="123"/>
      <c r="O14">
        <v>12</v>
      </c>
      <c r="P14" s="132" t="s">
        <v>77</v>
      </c>
      <c r="Q14" s="131">
        <v>50000</v>
      </c>
      <c r="R14" s="131">
        <v>8000</v>
      </c>
      <c r="S14" s="131"/>
      <c r="T14" s="155">
        <v>625</v>
      </c>
      <c r="U14" s="131">
        <v>5333.35</v>
      </c>
      <c r="V14" s="131">
        <f>+Table1[[#This Row],[SUBTOTAL]]+Table1[[#This Row],[IVA]]-Table1[[#This Row],[RET IVA]]-Table1[[#This Row],[RET ISR]]</f>
        <v>52041.65</v>
      </c>
      <c r="W14">
        <v>2</v>
      </c>
      <c r="X14" s="151" t="s">
        <v>122</v>
      </c>
      <c r="Y14" s="135" t="s">
        <v>1544</v>
      </c>
      <c r="Z14" s="307">
        <v>72</v>
      </c>
      <c r="AB14" t="str">
        <f>IF(Table1[[#This Row],[TIPO2]]="costo", VLOOKUP(Table1[[#This Row],[PARTIDA PRESUPUESTAL]],'Cost Report'!G:G,1,0),"Balance")</f>
        <v>1122-005</v>
      </c>
      <c r="AC14" s="118"/>
      <c r="AD14" s="159">
        <f>+Table1[[#This Row],[SUBTOTAL]]+Table1[[#This Row],[IVA]]-Table1[[#This Row],[RET IVA]]-Table1[[#This Row],[RET ISR]]-Table1[[#This Row],[TOTAL]]</f>
        <v>0</v>
      </c>
      <c r="AE14" s="150"/>
      <c r="AF14" s="151"/>
      <c r="AG14" s="126"/>
      <c r="AK14" s="306">
        <f>IF(ISNUMBER(Table1[[#This Row],[FECHA DE RECIBIDO]]), Table1[[#This Row],[FECHA DE RECIBIDO]]-DATE(2023,8,30), "")</f>
        <v>-45105</v>
      </c>
    </row>
    <row r="15" spans="1:37" ht="16.05" customHeight="1">
      <c r="A15" s="152" t="s">
        <v>154</v>
      </c>
      <c r="B15" s="153" t="s">
        <v>155</v>
      </c>
      <c r="C15" s="126" t="s">
        <v>72</v>
      </c>
      <c r="D15"/>
      <c r="E15" s="126"/>
      <c r="F15" s="125" t="s">
        <v>134</v>
      </c>
      <c r="G15" s="125" t="s">
        <v>134</v>
      </c>
      <c r="H15"/>
      <c r="I15" s="125"/>
      <c r="J15" s="308" t="s">
        <v>214</v>
      </c>
      <c r="K15" s="127"/>
      <c r="L15" s="153" t="s">
        <v>156</v>
      </c>
      <c r="M15">
        <v>8</v>
      </c>
      <c r="N15" s="123"/>
      <c r="O15"/>
      <c r="P15" s="131" t="s">
        <v>78</v>
      </c>
      <c r="Q15" s="132">
        <v>318313.74</v>
      </c>
      <c r="R15" s="132"/>
      <c r="S15" s="132"/>
      <c r="T15" s="156"/>
      <c r="U15" s="132"/>
      <c r="V15" s="132">
        <f>+Table1[[#This Row],[SUBTOTAL]]+Table1[[#This Row],[IVA]]-Table1[[#This Row],[RET IVA]]-Table1[[#This Row],[RET ISR]]</f>
        <v>318313.74</v>
      </c>
      <c r="W15"/>
      <c r="X15" s="153" t="s">
        <v>157</v>
      </c>
      <c r="Y15" s="124" t="s">
        <v>1544</v>
      </c>
      <c r="Z15" s="308">
        <v>79</v>
      </c>
      <c r="AB15" t="str">
        <f>IF(Table1[[#This Row],[TIPO2]]="costo", VLOOKUP(Table1[[#This Row],[PARTIDA PRESUPUESTAL]],'Cost Report'!G:G,1,0),"Balance")</f>
        <v>Balance</v>
      </c>
      <c r="AC15" s="118"/>
      <c r="AD15" s="159">
        <f>+Table1[[#This Row],[SUBTOTAL]]+Table1[[#This Row],[IVA]]-Table1[[#This Row],[RET IVA]]-Table1[[#This Row],[RET ISR]]-Table1[[#This Row],[TOTAL]]</f>
        <v>0</v>
      </c>
      <c r="AE15" s="152"/>
      <c r="AF15" s="153"/>
      <c r="AG15" s="126"/>
      <c r="AK15" s="306" t="str">
        <f>IF(ISNUMBER(Table1[[#This Row],[FECHA DE RECIBIDO]]), Table1[[#This Row],[FECHA DE RECIBIDO]]-DATE(2023,8,30), "")</f>
        <v/>
      </c>
    </row>
    <row r="16" spans="1:37" ht="16.05" customHeight="1">
      <c r="A16" s="150" t="s">
        <v>158</v>
      </c>
      <c r="B16" s="151" t="s">
        <v>159</v>
      </c>
      <c r="C16" s="126" t="s">
        <v>73</v>
      </c>
      <c r="D16"/>
      <c r="E16" s="126"/>
      <c r="F16" s="122" t="s">
        <v>134</v>
      </c>
      <c r="G16" s="122" t="s">
        <v>134</v>
      </c>
      <c r="H16"/>
      <c r="I16" s="122"/>
      <c r="J16" s="307" t="s">
        <v>214</v>
      </c>
      <c r="K16" s="127"/>
      <c r="L16" s="151" t="s">
        <v>156</v>
      </c>
      <c r="M16">
        <v>9</v>
      </c>
      <c r="N16" s="123"/>
      <c r="O16"/>
      <c r="P16" s="131" t="s">
        <v>78</v>
      </c>
      <c r="Q16" s="131">
        <v>55677.279999999999</v>
      </c>
      <c r="R16" s="131"/>
      <c r="S16" s="131"/>
      <c r="T16" s="155"/>
      <c r="U16" s="131"/>
      <c r="V16" s="131">
        <f>+Table1[[#This Row],[SUBTOTAL]]+Table1[[#This Row],[IVA]]-Table1[[#This Row],[RET IVA]]-Table1[[#This Row],[RET ISR]]</f>
        <v>55677.279999999999</v>
      </c>
      <c r="W16"/>
      <c r="X16" s="151" t="s">
        <v>157</v>
      </c>
      <c r="Y16" s="135" t="s">
        <v>1544</v>
      </c>
      <c r="Z16" s="307">
        <v>79</v>
      </c>
      <c r="AB16" t="str">
        <f>IF(Table1[[#This Row],[TIPO2]]="costo", VLOOKUP(Table1[[#This Row],[PARTIDA PRESUPUESTAL]],'Cost Report'!G:G,1,0),"Balance")</f>
        <v>Balance</v>
      </c>
      <c r="AC16" s="118"/>
      <c r="AD16" s="159">
        <f>+Table1[[#This Row],[SUBTOTAL]]+Table1[[#This Row],[IVA]]-Table1[[#This Row],[RET IVA]]-Table1[[#This Row],[RET ISR]]-Table1[[#This Row],[TOTAL]]</f>
        <v>0</v>
      </c>
      <c r="AE16" s="150"/>
      <c r="AF16" s="151"/>
      <c r="AG16" s="126"/>
      <c r="AK16" s="306" t="str">
        <f>IF(ISNUMBER(Table1[[#This Row],[FECHA DE RECIBIDO]]), Table1[[#This Row],[FECHA DE RECIBIDO]]-DATE(2023,8,30), "")</f>
        <v/>
      </c>
    </row>
    <row r="17" spans="1:37" ht="16.05" customHeight="1">
      <c r="A17" s="152" t="s">
        <v>160</v>
      </c>
      <c r="B17" s="153" t="s">
        <v>161</v>
      </c>
      <c r="C17" s="126" t="s">
        <v>180</v>
      </c>
      <c r="D17">
        <v>9</v>
      </c>
      <c r="E17" s="126">
        <v>52763</v>
      </c>
      <c r="F17" s="125" t="s">
        <v>134</v>
      </c>
      <c r="G17" s="125" t="s">
        <v>134</v>
      </c>
      <c r="H17">
        <v>5</v>
      </c>
      <c r="I17" s="125"/>
      <c r="J17" s="308">
        <v>77</v>
      </c>
      <c r="K17" s="127"/>
      <c r="L17" s="153" t="s">
        <v>118</v>
      </c>
      <c r="M17">
        <v>5</v>
      </c>
      <c r="N17" s="123"/>
      <c r="O17">
        <v>13</v>
      </c>
      <c r="P17" s="132" t="s">
        <v>77</v>
      </c>
      <c r="Q17" s="132">
        <v>20000</v>
      </c>
      <c r="R17" s="132">
        <v>3200</v>
      </c>
      <c r="S17" s="132"/>
      <c r="T17" s="156">
        <v>0</v>
      </c>
      <c r="U17" s="132">
        <v>0</v>
      </c>
      <c r="V17" s="132">
        <f>+Table1[[#This Row],[SUBTOTAL]]+Table1[[#This Row],[IVA]]-Table1[[#This Row],[RET IVA]]-Table1[[#This Row],[RET ISR]]</f>
        <v>23200</v>
      </c>
      <c r="W17">
        <v>4</v>
      </c>
      <c r="X17" s="153" t="s">
        <v>135</v>
      </c>
      <c r="Y17" s="124" t="s">
        <v>1544</v>
      </c>
      <c r="Z17" s="308">
        <v>79</v>
      </c>
      <c r="AB17" t="str">
        <f>IF(Table1[[#This Row],[TIPO2]]="costo", VLOOKUP(Table1[[#This Row],[PARTIDA PRESUPUESTAL]],'Cost Report'!G:G,1,0),"Balance")</f>
        <v>2010-005</v>
      </c>
      <c r="AC17" s="118"/>
      <c r="AD17" s="159">
        <f>+Table1[[#This Row],[SUBTOTAL]]+Table1[[#This Row],[IVA]]-Table1[[#This Row],[RET IVA]]-Table1[[#This Row],[RET ISR]]-Table1[[#This Row],[TOTAL]]</f>
        <v>0</v>
      </c>
      <c r="AE17" s="152"/>
      <c r="AF17" s="153"/>
      <c r="AG17" s="126"/>
      <c r="AK17" s="306">
        <f>IF(ISNUMBER(Table1[[#This Row],[FECHA DE RECIBIDO]]), Table1[[#This Row],[FECHA DE RECIBIDO]]-DATE(2023,8,30), "")</f>
        <v>-45091</v>
      </c>
    </row>
    <row r="18" spans="1:37" ht="16.05" customHeight="1">
      <c r="A18" s="150" t="s">
        <v>162</v>
      </c>
      <c r="B18" s="151" t="s">
        <v>163</v>
      </c>
      <c r="C18" s="126" t="s">
        <v>218</v>
      </c>
      <c r="D18">
        <v>10</v>
      </c>
      <c r="E18" s="126">
        <v>4318</v>
      </c>
      <c r="F18" s="122" t="s">
        <v>109</v>
      </c>
      <c r="G18" s="122" t="s">
        <v>109</v>
      </c>
      <c r="H18">
        <v>2</v>
      </c>
      <c r="I18" s="122"/>
      <c r="J18" s="307">
        <v>84</v>
      </c>
      <c r="K18" s="127"/>
      <c r="L18" s="151" t="s">
        <v>110</v>
      </c>
      <c r="M18">
        <v>2</v>
      </c>
      <c r="N18" s="123"/>
      <c r="O18">
        <v>14</v>
      </c>
      <c r="P18" s="132" t="s">
        <v>77</v>
      </c>
      <c r="Q18" s="131">
        <v>75000</v>
      </c>
      <c r="R18" s="131">
        <v>12000</v>
      </c>
      <c r="S18" s="131"/>
      <c r="T18" s="155">
        <v>8000.02</v>
      </c>
      <c r="U18" s="131">
        <v>937.5</v>
      </c>
      <c r="V18" s="131">
        <f>+Table1[[#This Row],[SUBTOTAL]]+Table1[[#This Row],[IVA]]-Table1[[#This Row],[RET IVA]]-Table1[[#This Row],[RET ISR]]</f>
        <v>78062.48</v>
      </c>
      <c r="W18">
        <v>1</v>
      </c>
      <c r="X18" s="151" t="s">
        <v>122</v>
      </c>
      <c r="Y18" s="135" t="s">
        <v>1544</v>
      </c>
      <c r="Z18" s="307">
        <v>92</v>
      </c>
      <c r="AB18" t="str">
        <f>IF(Table1[[#This Row],[TIPO2]]="costo", VLOOKUP(Table1[[#This Row],[PARTIDA PRESUPUESTAL]],'Cost Report'!G:G,1,0),"Balance")</f>
        <v>1101-027</v>
      </c>
      <c r="AC18" s="118"/>
      <c r="AD18" s="159">
        <f>+Table1[[#This Row],[SUBTOTAL]]+Table1[[#This Row],[IVA]]-Table1[[#This Row],[RET IVA]]-Table1[[#This Row],[RET ISR]]-Table1[[#This Row],[TOTAL]]</f>
        <v>0</v>
      </c>
      <c r="AE18" s="150"/>
      <c r="AF18" s="151"/>
      <c r="AG18" s="126"/>
      <c r="AK18" s="306">
        <f>IF(ISNUMBER(Table1[[#This Row],[FECHA DE RECIBIDO]]), Table1[[#This Row],[FECHA DE RECIBIDO]]-DATE(2023,8,30), "")</f>
        <v>-45084</v>
      </c>
    </row>
    <row r="19" spans="1:37" ht="16.05" customHeight="1">
      <c r="A19" s="152" t="s">
        <v>164</v>
      </c>
      <c r="B19" s="153" t="s">
        <v>165</v>
      </c>
      <c r="C19" s="126" t="s">
        <v>221</v>
      </c>
      <c r="D19">
        <v>11</v>
      </c>
      <c r="E19" s="126">
        <v>4318</v>
      </c>
      <c r="F19" s="125" t="s">
        <v>109</v>
      </c>
      <c r="G19" s="125" t="s">
        <v>109</v>
      </c>
      <c r="H19">
        <v>2</v>
      </c>
      <c r="I19" s="125"/>
      <c r="J19" s="308">
        <v>69</v>
      </c>
      <c r="K19" s="127"/>
      <c r="L19" s="153" t="s">
        <v>110</v>
      </c>
      <c r="M19">
        <v>2</v>
      </c>
      <c r="N19" s="123"/>
      <c r="O19">
        <v>15</v>
      </c>
      <c r="P19" s="132" t="s">
        <v>77</v>
      </c>
      <c r="Q19" s="132">
        <v>110000</v>
      </c>
      <c r="R19" s="132">
        <v>17600</v>
      </c>
      <c r="S19" s="132"/>
      <c r="T19" s="156">
        <v>11733.37</v>
      </c>
      <c r="U19" s="132">
        <v>1375</v>
      </c>
      <c r="V19" s="132">
        <f>+Table1[[#This Row],[SUBTOTAL]]+Table1[[#This Row],[IVA]]-Table1[[#This Row],[RET IVA]]-Table1[[#This Row],[RET ISR]]</f>
        <v>114491.63</v>
      </c>
      <c r="W19">
        <v>1</v>
      </c>
      <c r="X19" s="153" t="s">
        <v>122</v>
      </c>
      <c r="Y19" s="124" t="s">
        <v>1544</v>
      </c>
      <c r="Z19" s="308">
        <v>92</v>
      </c>
      <c r="AB19" t="str">
        <f>IF(Table1[[#This Row],[TIPO2]]="costo", VLOOKUP(Table1[[#This Row],[PARTIDA PRESUPUESTAL]],'Cost Report'!G:G,1,0),"Balance")</f>
        <v>1107-009</v>
      </c>
      <c r="AC19" s="118"/>
      <c r="AD19" s="159">
        <f>+Table1[[#This Row],[SUBTOTAL]]+Table1[[#This Row],[IVA]]-Table1[[#This Row],[RET IVA]]-Table1[[#This Row],[RET ISR]]-Table1[[#This Row],[TOTAL]]</f>
        <v>0</v>
      </c>
      <c r="AE19" s="152"/>
      <c r="AF19" s="153"/>
      <c r="AG19" s="126"/>
      <c r="AK19" s="306">
        <f>IF(ISNUMBER(Table1[[#This Row],[FECHA DE RECIBIDO]]), Table1[[#This Row],[FECHA DE RECIBIDO]]-DATE(2023,8,30), "")</f>
        <v>-45099</v>
      </c>
    </row>
    <row r="20" spans="1:37" ht="16.05" customHeight="1">
      <c r="A20" s="150" t="s">
        <v>166</v>
      </c>
      <c r="B20" s="151" t="s">
        <v>167</v>
      </c>
      <c r="C20" s="126" t="s">
        <v>221</v>
      </c>
      <c r="D20">
        <v>12</v>
      </c>
      <c r="E20" s="126">
        <v>4318</v>
      </c>
      <c r="F20" s="122" t="s">
        <v>109</v>
      </c>
      <c r="G20" s="122" t="s">
        <v>109</v>
      </c>
      <c r="H20">
        <v>2</v>
      </c>
      <c r="I20" s="122"/>
      <c r="J20" s="307">
        <v>76</v>
      </c>
      <c r="K20" s="127"/>
      <c r="L20" s="151" t="s">
        <v>110</v>
      </c>
      <c r="M20">
        <v>2</v>
      </c>
      <c r="N20" s="123"/>
      <c r="O20">
        <v>16</v>
      </c>
      <c r="P20" s="132" t="s">
        <v>77</v>
      </c>
      <c r="Q20" s="131">
        <v>55000</v>
      </c>
      <c r="R20" s="131">
        <v>8800</v>
      </c>
      <c r="S20" s="131"/>
      <c r="T20" s="155">
        <v>5866.68</v>
      </c>
      <c r="U20" s="131">
        <v>687.5</v>
      </c>
      <c r="V20" s="131">
        <f>+Table1[[#This Row],[SUBTOTAL]]+Table1[[#This Row],[IVA]]-Table1[[#This Row],[RET IVA]]-Table1[[#This Row],[RET ISR]]</f>
        <v>57245.82</v>
      </c>
      <c r="W20">
        <v>1</v>
      </c>
      <c r="X20" s="151" t="s">
        <v>122</v>
      </c>
      <c r="Y20" s="135" t="s">
        <v>1544</v>
      </c>
      <c r="Z20" s="307">
        <v>92</v>
      </c>
      <c r="AB20" t="str">
        <f>IF(Table1[[#This Row],[TIPO2]]="costo", VLOOKUP(Table1[[#This Row],[PARTIDA PRESUPUESTAL]],'Cost Report'!G:G,1,0),"Balance")</f>
        <v>1107-009</v>
      </c>
      <c r="AC20" s="118"/>
      <c r="AD20" s="159">
        <f>+Table1[[#This Row],[SUBTOTAL]]+Table1[[#This Row],[IVA]]-Table1[[#This Row],[RET IVA]]-Table1[[#This Row],[RET ISR]]-Table1[[#This Row],[TOTAL]]</f>
        <v>0</v>
      </c>
      <c r="AE20" s="150"/>
      <c r="AF20" s="151"/>
      <c r="AG20" s="126"/>
      <c r="AK20" s="306">
        <f>IF(ISNUMBER(Table1[[#This Row],[FECHA DE RECIBIDO]]), Table1[[#This Row],[FECHA DE RECIBIDO]]-DATE(2023,8,30), "")</f>
        <v>-45092</v>
      </c>
    </row>
    <row r="21" spans="1:37" ht="16.05" customHeight="1">
      <c r="A21" s="152" t="s">
        <v>168</v>
      </c>
      <c r="B21" s="153" t="s">
        <v>169</v>
      </c>
      <c r="C21" s="126" t="s">
        <v>143</v>
      </c>
      <c r="D21">
        <v>13</v>
      </c>
      <c r="E21" s="126">
        <v>4318</v>
      </c>
      <c r="F21" s="125" t="s">
        <v>109</v>
      </c>
      <c r="G21" s="125" t="s">
        <v>109</v>
      </c>
      <c r="H21">
        <v>2</v>
      </c>
      <c r="I21" s="125"/>
      <c r="J21" s="308">
        <v>76</v>
      </c>
      <c r="K21" s="127"/>
      <c r="L21" s="153" t="s">
        <v>110</v>
      </c>
      <c r="M21">
        <v>2</v>
      </c>
      <c r="N21" s="123"/>
      <c r="O21">
        <v>17</v>
      </c>
      <c r="P21" s="132" t="s">
        <v>77</v>
      </c>
      <c r="Q21" s="132">
        <v>75000</v>
      </c>
      <c r="R21" s="132">
        <v>12000</v>
      </c>
      <c r="S21" s="132"/>
      <c r="T21" s="156">
        <v>8000.02</v>
      </c>
      <c r="U21" s="132">
        <v>937.5</v>
      </c>
      <c r="V21" s="132">
        <f>+Table1[[#This Row],[SUBTOTAL]]+Table1[[#This Row],[IVA]]-Table1[[#This Row],[RET IVA]]-Table1[[#This Row],[RET ISR]]</f>
        <v>78062.48</v>
      </c>
      <c r="W21">
        <v>1</v>
      </c>
      <c r="X21" s="153" t="s">
        <v>122</v>
      </c>
      <c r="Y21" s="124" t="s">
        <v>1544</v>
      </c>
      <c r="Z21" s="308">
        <v>92</v>
      </c>
      <c r="AB21" t="str">
        <f>IF(Table1[[#This Row],[TIPO2]]="costo", VLOOKUP(Table1[[#This Row],[PARTIDA PRESUPUESTAL]],'Cost Report'!G:G,1,0),"Balance")</f>
        <v>1101-022</v>
      </c>
      <c r="AC21" s="118"/>
      <c r="AD21" s="159">
        <f>+Table1[[#This Row],[SUBTOTAL]]+Table1[[#This Row],[IVA]]-Table1[[#This Row],[RET IVA]]-Table1[[#This Row],[RET ISR]]-Table1[[#This Row],[TOTAL]]</f>
        <v>0</v>
      </c>
      <c r="AE21" s="152"/>
      <c r="AF21" s="153"/>
      <c r="AG21" s="126"/>
      <c r="AK21" s="306">
        <f>IF(ISNUMBER(Table1[[#This Row],[FECHA DE RECIBIDO]]), Table1[[#This Row],[FECHA DE RECIBIDO]]-DATE(2023,8,30), "")</f>
        <v>-45092</v>
      </c>
    </row>
    <row r="22" spans="1:37" ht="16.05" customHeight="1">
      <c r="A22" s="150" t="s">
        <v>170</v>
      </c>
      <c r="B22" s="151" t="s">
        <v>128</v>
      </c>
      <c r="C22" s="126" t="s">
        <v>145</v>
      </c>
      <c r="D22">
        <v>14</v>
      </c>
      <c r="E22" s="126">
        <v>6140</v>
      </c>
      <c r="F22" s="122" t="s">
        <v>129</v>
      </c>
      <c r="G22" s="122" t="s">
        <v>129</v>
      </c>
      <c r="H22">
        <v>4</v>
      </c>
      <c r="I22" s="122"/>
      <c r="J22" s="307">
        <v>79</v>
      </c>
      <c r="K22" s="127"/>
      <c r="L22" s="151" t="s">
        <v>110</v>
      </c>
      <c r="M22">
        <v>4</v>
      </c>
      <c r="N22" s="123"/>
      <c r="O22">
        <v>18</v>
      </c>
      <c r="P22" s="132" t="s">
        <v>77</v>
      </c>
      <c r="Q22" s="131">
        <v>110000.03</v>
      </c>
      <c r="R22" s="131">
        <v>17600</v>
      </c>
      <c r="S22" s="131"/>
      <c r="T22" s="155">
        <v>11733.37</v>
      </c>
      <c r="U22" s="131">
        <v>11000</v>
      </c>
      <c r="V22" s="131">
        <f>+Table1[[#This Row],[SUBTOTAL]]+Table1[[#This Row],[IVA]]-Table1[[#This Row],[RET IVA]]-Table1[[#This Row],[RET ISR]]</f>
        <v>104866.66</v>
      </c>
      <c r="W22">
        <v>3</v>
      </c>
      <c r="X22" s="151" t="s">
        <v>122</v>
      </c>
      <c r="Y22" s="135" t="s">
        <v>1544</v>
      </c>
      <c r="Z22" s="307">
        <v>92</v>
      </c>
      <c r="AB22" t="str">
        <f>IF(Table1[[#This Row],[TIPO2]]="costo", VLOOKUP(Table1[[#This Row],[PARTIDA PRESUPUESTAL]],'Cost Report'!G:G,1,0),"Balance")</f>
        <v>1107-005</v>
      </c>
      <c r="AC22" s="118"/>
      <c r="AD22" s="159">
        <f>+Table1[[#This Row],[SUBTOTAL]]+Table1[[#This Row],[IVA]]-Table1[[#This Row],[RET IVA]]-Table1[[#This Row],[RET ISR]]-Table1[[#This Row],[TOTAL]]</f>
        <v>0</v>
      </c>
      <c r="AE22" s="150"/>
      <c r="AF22" s="151"/>
      <c r="AG22" s="126"/>
      <c r="AK22" s="306">
        <f>IF(ISNUMBER(Table1[[#This Row],[FECHA DE RECIBIDO]]), Table1[[#This Row],[FECHA DE RECIBIDO]]-DATE(2023,8,30), "")</f>
        <v>-45089</v>
      </c>
    </row>
    <row r="23" spans="1:37" ht="16.05" customHeight="1">
      <c r="A23" s="152" t="s">
        <v>171</v>
      </c>
      <c r="B23" s="153" t="s">
        <v>128</v>
      </c>
      <c r="C23" s="126" t="s">
        <v>140</v>
      </c>
      <c r="D23">
        <v>15</v>
      </c>
      <c r="E23" s="126">
        <v>6140</v>
      </c>
      <c r="F23" s="125" t="s">
        <v>129</v>
      </c>
      <c r="G23" s="125" t="s">
        <v>129</v>
      </c>
      <c r="H23">
        <v>4</v>
      </c>
      <c r="I23" s="125"/>
      <c r="J23" s="308">
        <v>79</v>
      </c>
      <c r="K23" s="127"/>
      <c r="L23" s="153" t="s">
        <v>110</v>
      </c>
      <c r="M23">
        <v>4</v>
      </c>
      <c r="N23" s="123"/>
      <c r="O23">
        <v>19</v>
      </c>
      <c r="P23" s="132" t="s">
        <v>77</v>
      </c>
      <c r="Q23" s="132">
        <v>75000</v>
      </c>
      <c r="R23" s="132">
        <v>12000</v>
      </c>
      <c r="S23" s="132"/>
      <c r="T23" s="156">
        <v>8000.02</v>
      </c>
      <c r="U23" s="132">
        <v>7500</v>
      </c>
      <c r="V23" s="132">
        <f>+Table1[[#This Row],[SUBTOTAL]]+Table1[[#This Row],[IVA]]-Table1[[#This Row],[RET IVA]]-Table1[[#This Row],[RET ISR]]</f>
        <v>71499.98</v>
      </c>
      <c r="W23">
        <v>3</v>
      </c>
      <c r="X23" s="153" t="s">
        <v>122</v>
      </c>
      <c r="Y23" s="124" t="s">
        <v>1544</v>
      </c>
      <c r="Z23" s="308">
        <v>92</v>
      </c>
      <c r="AB23" t="str">
        <f>IF(Table1[[#This Row],[TIPO2]]="costo", VLOOKUP(Table1[[#This Row],[PARTIDA PRESUPUESTAL]],'Cost Report'!G:G,1,0),"Balance")</f>
        <v>1101-017</v>
      </c>
      <c r="AC23" s="118"/>
      <c r="AD23" s="159">
        <f>+Table1[[#This Row],[SUBTOTAL]]+Table1[[#This Row],[IVA]]-Table1[[#This Row],[RET IVA]]-Table1[[#This Row],[RET ISR]]-Table1[[#This Row],[TOTAL]]</f>
        <v>0</v>
      </c>
      <c r="AE23" s="152"/>
      <c r="AF23" s="153"/>
      <c r="AG23" s="126"/>
      <c r="AK23" s="306">
        <f>IF(ISNUMBER(Table1[[#This Row],[FECHA DE RECIBIDO]]), Table1[[#This Row],[FECHA DE RECIBIDO]]-DATE(2023,8,30), "")</f>
        <v>-45089</v>
      </c>
    </row>
    <row r="24" spans="1:37" ht="16.05" customHeight="1">
      <c r="A24" s="150" t="s">
        <v>172</v>
      </c>
      <c r="B24" s="151" t="s">
        <v>128</v>
      </c>
      <c r="C24" s="126" t="s">
        <v>16</v>
      </c>
      <c r="D24">
        <v>16</v>
      </c>
      <c r="E24" s="126">
        <v>6140</v>
      </c>
      <c r="F24" s="122" t="s">
        <v>129</v>
      </c>
      <c r="G24" s="122" t="s">
        <v>129</v>
      </c>
      <c r="H24">
        <v>4</v>
      </c>
      <c r="I24" s="122"/>
      <c r="J24" s="307">
        <v>79</v>
      </c>
      <c r="K24" s="127"/>
      <c r="L24" s="151" t="s">
        <v>110</v>
      </c>
      <c r="M24">
        <v>4</v>
      </c>
      <c r="N24" s="123"/>
      <c r="O24">
        <v>20</v>
      </c>
      <c r="P24" s="132" t="s">
        <v>77</v>
      </c>
      <c r="Q24" s="131">
        <v>75000</v>
      </c>
      <c r="R24" s="131">
        <v>12000</v>
      </c>
      <c r="S24" s="131"/>
      <c r="T24" s="155">
        <v>8000.02</v>
      </c>
      <c r="U24" s="131">
        <v>7500</v>
      </c>
      <c r="V24" s="131">
        <f>+Table1[[#This Row],[SUBTOTAL]]+Table1[[#This Row],[IVA]]-Table1[[#This Row],[RET IVA]]-Table1[[#This Row],[RET ISR]]</f>
        <v>71499.98</v>
      </c>
      <c r="W24">
        <v>3</v>
      </c>
      <c r="X24" s="151" t="s">
        <v>122</v>
      </c>
      <c r="Y24" s="135" t="s">
        <v>1544</v>
      </c>
      <c r="Z24" s="307">
        <v>92</v>
      </c>
      <c r="AB24" t="str">
        <f>IF(Table1[[#This Row],[TIPO2]]="costo", VLOOKUP(Table1[[#This Row],[PARTIDA PRESUPUESTAL]],'Cost Report'!G:G,1,0),"Balance")</f>
        <v>1101-012</v>
      </c>
      <c r="AC24" s="118"/>
      <c r="AD24" s="159">
        <f>+Table1[[#This Row],[SUBTOTAL]]+Table1[[#This Row],[IVA]]-Table1[[#This Row],[RET IVA]]-Table1[[#This Row],[RET ISR]]-Table1[[#This Row],[TOTAL]]</f>
        <v>0</v>
      </c>
      <c r="AE24" s="150"/>
      <c r="AF24" s="151"/>
      <c r="AG24" s="126"/>
      <c r="AK24" s="306">
        <f>IF(ISNUMBER(Table1[[#This Row],[FECHA DE RECIBIDO]]), Table1[[#This Row],[FECHA DE RECIBIDO]]-DATE(2023,8,30), "")</f>
        <v>-45089</v>
      </c>
    </row>
    <row r="25" spans="1:37" ht="16.05" customHeight="1">
      <c r="A25" s="152" t="s">
        <v>173</v>
      </c>
      <c r="B25" s="153" t="s">
        <v>128</v>
      </c>
      <c r="C25" s="126" t="s">
        <v>145</v>
      </c>
      <c r="D25">
        <v>17</v>
      </c>
      <c r="E25" s="126">
        <v>6140</v>
      </c>
      <c r="F25" s="125" t="s">
        <v>129</v>
      </c>
      <c r="G25" s="125" t="s">
        <v>129</v>
      </c>
      <c r="H25">
        <v>4</v>
      </c>
      <c r="I25" s="125"/>
      <c r="J25" s="308">
        <v>79</v>
      </c>
      <c r="K25" s="127"/>
      <c r="L25" s="153" t="s">
        <v>110</v>
      </c>
      <c r="M25">
        <v>4</v>
      </c>
      <c r="N25" s="123"/>
      <c r="O25">
        <v>21</v>
      </c>
      <c r="P25" s="132" t="s">
        <v>77</v>
      </c>
      <c r="Q25" s="132">
        <v>55000</v>
      </c>
      <c r="R25" s="132">
        <v>8800</v>
      </c>
      <c r="S25" s="132"/>
      <c r="T25" s="156">
        <v>5866.68</v>
      </c>
      <c r="U25" s="132">
        <v>5500</v>
      </c>
      <c r="V25" s="132">
        <f>+Table1[[#This Row],[SUBTOTAL]]+Table1[[#This Row],[IVA]]-Table1[[#This Row],[RET IVA]]-Table1[[#This Row],[RET ISR]]</f>
        <v>52433.32</v>
      </c>
      <c r="W25">
        <v>3</v>
      </c>
      <c r="X25" s="153" t="s">
        <v>122</v>
      </c>
      <c r="Y25" s="124" t="s">
        <v>1544</v>
      </c>
      <c r="Z25" s="308">
        <v>92</v>
      </c>
      <c r="AB25" t="str">
        <f>IF(Table1[[#This Row],[TIPO2]]="costo", VLOOKUP(Table1[[#This Row],[PARTIDA PRESUPUESTAL]],'Cost Report'!G:G,1,0),"Balance")</f>
        <v>1107-005</v>
      </c>
      <c r="AC25" s="118"/>
      <c r="AD25" s="159">
        <f>+Table1[[#This Row],[SUBTOTAL]]+Table1[[#This Row],[IVA]]-Table1[[#This Row],[RET IVA]]-Table1[[#This Row],[RET ISR]]-Table1[[#This Row],[TOTAL]]</f>
        <v>0</v>
      </c>
      <c r="AE25" s="152"/>
      <c r="AF25" s="153"/>
      <c r="AG25" s="126"/>
      <c r="AK25" s="306">
        <f>IF(ISNUMBER(Table1[[#This Row],[FECHA DE RECIBIDO]]), Table1[[#This Row],[FECHA DE RECIBIDO]]-DATE(2023,8,30), "")</f>
        <v>-45089</v>
      </c>
    </row>
    <row r="26" spans="1:37" ht="16.05" customHeight="1">
      <c r="A26" s="150" t="s">
        <v>186</v>
      </c>
      <c r="B26" s="151"/>
      <c r="C26" s="126" t="s">
        <v>74</v>
      </c>
      <c r="D26"/>
      <c r="E26" s="126"/>
      <c r="F26" s="122" t="s">
        <v>104</v>
      </c>
      <c r="G26" s="122" t="s">
        <v>104</v>
      </c>
      <c r="H26">
        <v>0</v>
      </c>
      <c r="I26" s="122"/>
      <c r="J26" s="307" t="s">
        <v>214</v>
      </c>
      <c r="K26" s="127"/>
      <c r="L26" s="151" t="s">
        <v>98</v>
      </c>
      <c r="M26">
        <v>0</v>
      </c>
      <c r="N26" s="123"/>
      <c r="O26">
        <v>22</v>
      </c>
      <c r="P26" s="131" t="s">
        <v>78</v>
      </c>
      <c r="Q26" s="131">
        <v>205450</v>
      </c>
      <c r="R26" s="131"/>
      <c r="S26" s="131"/>
      <c r="T26" s="155"/>
      <c r="U26" s="131"/>
      <c r="V26" s="131">
        <f>+Table1[[#This Row],[SUBTOTAL]]+Table1[[#This Row],[IVA]]-Table1[[#This Row],[RET IVA]]-Table1[[#This Row],[RET ISR]]</f>
        <v>205450</v>
      </c>
      <c r="W26"/>
      <c r="X26" s="151" t="s">
        <v>105</v>
      </c>
      <c r="Y26" s="135" t="s">
        <v>1544</v>
      </c>
      <c r="Z26" s="307">
        <v>97</v>
      </c>
      <c r="AB26" t="str">
        <f>IF(Table1[[#This Row],[TIPO2]]="costo", VLOOKUP(Table1[[#This Row],[PARTIDA PRESUPUESTAL]],'Cost Report'!G:G,1,0),"Balance")</f>
        <v>Balance</v>
      </c>
      <c r="AC26" s="118"/>
      <c r="AD26" s="159">
        <f>+Table1[[#This Row],[SUBTOTAL]]+Table1[[#This Row],[IVA]]-Table1[[#This Row],[RET IVA]]-Table1[[#This Row],[RET ISR]]-Table1[[#This Row],[TOTAL]]</f>
        <v>0</v>
      </c>
      <c r="AE26" s="150"/>
      <c r="AF26" s="151"/>
      <c r="AG26" s="126"/>
      <c r="AK26" s="306" t="str">
        <f>IF(ISNUMBER(Table1[[#This Row],[FECHA DE RECIBIDO]]), Table1[[#This Row],[FECHA DE RECIBIDO]]-DATE(2023,8,30), "")</f>
        <v/>
      </c>
    </row>
    <row r="27" spans="1:37" ht="16.05" customHeight="1">
      <c r="A27" s="152" t="s">
        <v>187</v>
      </c>
      <c r="B27" s="153"/>
      <c r="C27" s="126" t="s">
        <v>75</v>
      </c>
      <c r="D27"/>
      <c r="E27" s="126"/>
      <c r="F27" s="125" t="s">
        <v>104</v>
      </c>
      <c r="G27" s="125" t="s">
        <v>104</v>
      </c>
      <c r="H27">
        <v>0</v>
      </c>
      <c r="I27" s="125"/>
      <c r="J27" s="308" t="s">
        <v>214</v>
      </c>
      <c r="K27" s="127"/>
      <c r="L27" s="153" t="s">
        <v>98</v>
      </c>
      <c r="M27">
        <v>0</v>
      </c>
      <c r="N27" s="123"/>
      <c r="O27">
        <v>23</v>
      </c>
      <c r="P27" s="131" t="s">
        <v>78</v>
      </c>
      <c r="Q27" s="132">
        <v>32872</v>
      </c>
      <c r="R27" s="132"/>
      <c r="S27" s="132"/>
      <c r="T27" s="156"/>
      <c r="U27" s="132"/>
      <c r="V27" s="132">
        <f>+Table1[[#This Row],[SUBTOTAL]]+Table1[[#This Row],[IVA]]-Table1[[#This Row],[RET IVA]]-Table1[[#This Row],[RET ISR]]</f>
        <v>32872</v>
      </c>
      <c r="W27"/>
      <c r="X27" s="153" t="s">
        <v>105</v>
      </c>
      <c r="Y27" s="124" t="s">
        <v>1544</v>
      </c>
      <c r="Z27" s="308">
        <v>97</v>
      </c>
      <c r="AB27" t="str">
        <f>IF(Table1[[#This Row],[TIPO2]]="costo", VLOOKUP(Table1[[#This Row],[PARTIDA PRESUPUESTAL]],'Cost Report'!G:G,1,0),"Balance")</f>
        <v>Balance</v>
      </c>
      <c r="AC27" s="118"/>
      <c r="AD27" s="159">
        <f>+Table1[[#This Row],[SUBTOTAL]]+Table1[[#This Row],[IVA]]-Table1[[#This Row],[RET IVA]]-Table1[[#This Row],[RET ISR]]-Table1[[#This Row],[TOTAL]]</f>
        <v>0</v>
      </c>
      <c r="AE27" s="152"/>
      <c r="AF27" s="153"/>
      <c r="AG27" s="126"/>
      <c r="AK27" s="306" t="str">
        <f>IF(ISNUMBER(Table1[[#This Row],[FECHA DE RECIBIDO]]), Table1[[#This Row],[FECHA DE RECIBIDO]]-DATE(2023,8,30), "")</f>
        <v/>
      </c>
    </row>
    <row r="28" spans="1:37" ht="16.05" customHeight="1">
      <c r="A28" s="150" t="s">
        <v>191</v>
      </c>
      <c r="B28" s="151" t="s">
        <v>192</v>
      </c>
      <c r="C28" s="126" t="s">
        <v>180</v>
      </c>
      <c r="D28">
        <v>18</v>
      </c>
      <c r="E28" s="126">
        <v>52763</v>
      </c>
      <c r="F28" s="122" t="s">
        <v>134</v>
      </c>
      <c r="G28" s="122" t="s">
        <v>134</v>
      </c>
      <c r="H28">
        <v>5</v>
      </c>
      <c r="I28" s="122"/>
      <c r="J28" s="307">
        <v>96</v>
      </c>
      <c r="K28" s="127"/>
      <c r="L28" s="151" t="s">
        <v>118</v>
      </c>
      <c r="M28">
        <v>5</v>
      </c>
      <c r="N28" s="123"/>
      <c r="O28">
        <v>24</v>
      </c>
      <c r="P28" s="132" t="s">
        <v>77</v>
      </c>
      <c r="Q28" s="131">
        <v>10000</v>
      </c>
      <c r="R28" s="131">
        <v>1600</v>
      </c>
      <c r="S28" s="131"/>
      <c r="T28" s="155">
        <v>0</v>
      </c>
      <c r="U28" s="131">
        <v>0</v>
      </c>
      <c r="V28" s="131">
        <f>+Table1[[#This Row],[SUBTOTAL]]+Table1[[#This Row],[IVA]]-Table1[[#This Row],[RET IVA]]-Table1[[#This Row],[RET ISR]]</f>
        <v>11600</v>
      </c>
      <c r="W28">
        <v>4</v>
      </c>
      <c r="X28" s="151" t="s">
        <v>135</v>
      </c>
      <c r="Y28" s="135" t="s">
        <v>1544</v>
      </c>
      <c r="Z28" s="307">
        <v>107</v>
      </c>
      <c r="AB28" t="str">
        <f>IF(Table1[[#This Row],[TIPO2]]="costo", VLOOKUP(Table1[[#This Row],[PARTIDA PRESUPUESTAL]],'Cost Report'!G:G,1,0),"Balance")</f>
        <v>2010-005</v>
      </c>
      <c r="AC28" s="118"/>
      <c r="AD28" s="159">
        <f>+Table1[[#This Row],[SUBTOTAL]]+Table1[[#This Row],[IVA]]-Table1[[#This Row],[RET IVA]]-Table1[[#This Row],[RET ISR]]-Table1[[#This Row],[TOTAL]]</f>
        <v>0</v>
      </c>
      <c r="AE28" s="150"/>
      <c r="AF28" s="151"/>
      <c r="AG28" s="126"/>
      <c r="AK28" s="306">
        <f>IF(ISNUMBER(Table1[[#This Row],[FECHA DE RECIBIDO]]), Table1[[#This Row],[FECHA DE RECIBIDO]]-DATE(2023,8,30), "")</f>
        <v>-45072</v>
      </c>
    </row>
    <row r="29" spans="1:37" ht="16.05" customHeight="1">
      <c r="A29" s="152" t="s">
        <v>191</v>
      </c>
      <c r="B29" s="153" t="s">
        <v>192</v>
      </c>
      <c r="C29" s="126" t="s">
        <v>464</v>
      </c>
      <c r="D29">
        <v>18</v>
      </c>
      <c r="E29" s="126">
        <v>52763</v>
      </c>
      <c r="F29" s="125" t="s">
        <v>134</v>
      </c>
      <c r="G29" s="125" t="s">
        <v>134</v>
      </c>
      <c r="H29">
        <v>5</v>
      </c>
      <c r="I29" s="125"/>
      <c r="J29" s="308">
        <v>96</v>
      </c>
      <c r="K29" s="127"/>
      <c r="L29" s="153" t="s">
        <v>118</v>
      </c>
      <c r="M29">
        <v>5</v>
      </c>
      <c r="N29" s="123"/>
      <c r="O29">
        <v>24</v>
      </c>
      <c r="P29" s="132" t="s">
        <v>77</v>
      </c>
      <c r="Q29" s="132">
        <v>10000</v>
      </c>
      <c r="R29" s="132">
        <v>1600</v>
      </c>
      <c r="S29" s="132"/>
      <c r="T29" s="156">
        <v>0</v>
      </c>
      <c r="U29" s="132">
        <v>0</v>
      </c>
      <c r="V29" s="132">
        <f>+Table1[[#This Row],[SUBTOTAL]]+Table1[[#This Row],[IVA]]-Table1[[#This Row],[RET IVA]]-Table1[[#This Row],[RET ISR]]</f>
        <v>11600</v>
      </c>
      <c r="W29">
        <v>4</v>
      </c>
      <c r="X29" s="153" t="s">
        <v>135</v>
      </c>
      <c r="Y29" s="124" t="s">
        <v>1544</v>
      </c>
      <c r="Z29" s="308">
        <v>107</v>
      </c>
      <c r="AB29" t="str">
        <f>IF(Table1[[#This Row],[TIPO2]]="costo", VLOOKUP(Table1[[#This Row],[PARTIDA PRESUPUESTAL]],'Cost Report'!G:G,1,0),"Balance")</f>
        <v>2010-006</v>
      </c>
      <c r="AC29" s="118"/>
      <c r="AD29" s="159">
        <f>+Table1[[#This Row],[SUBTOTAL]]+Table1[[#This Row],[IVA]]-Table1[[#This Row],[RET IVA]]-Table1[[#This Row],[RET ISR]]-Table1[[#This Row],[TOTAL]]</f>
        <v>0</v>
      </c>
      <c r="AE29" s="152"/>
      <c r="AF29" s="153"/>
      <c r="AG29" s="126"/>
      <c r="AK29" s="306">
        <f>IF(ISNUMBER(Table1[[#This Row],[FECHA DE RECIBIDO]]), Table1[[#This Row],[FECHA DE RECIBIDO]]-DATE(2023,8,30), "")</f>
        <v>-45072</v>
      </c>
    </row>
    <row r="30" spans="1:37" ht="16.05" customHeight="1">
      <c r="A30" s="150" t="s">
        <v>193</v>
      </c>
      <c r="B30" s="151" t="s">
        <v>194</v>
      </c>
      <c r="C30" s="126" t="s">
        <v>443</v>
      </c>
      <c r="D30">
        <v>19</v>
      </c>
      <c r="E30" s="126">
        <v>3100</v>
      </c>
      <c r="F30" s="122" t="s">
        <v>129</v>
      </c>
      <c r="G30" s="122" t="s">
        <v>129</v>
      </c>
      <c r="H30">
        <v>7</v>
      </c>
      <c r="I30" s="122"/>
      <c r="J30" s="307">
        <v>106</v>
      </c>
      <c r="K30" s="127"/>
      <c r="L30" s="151" t="s">
        <v>110</v>
      </c>
      <c r="M30">
        <v>10</v>
      </c>
      <c r="N30" s="123"/>
      <c r="O30">
        <v>25</v>
      </c>
      <c r="P30" s="132" t="s">
        <v>77</v>
      </c>
      <c r="Q30" s="131">
        <v>52500</v>
      </c>
      <c r="R30" s="131">
        <v>8400</v>
      </c>
      <c r="S30" s="131"/>
      <c r="T30" s="155">
        <v>5600.02</v>
      </c>
      <c r="U30" s="131">
        <v>5250</v>
      </c>
      <c r="V30" s="131">
        <f>+Table1[[#This Row],[SUBTOTAL]]+Table1[[#This Row],[IVA]]-Table1[[#This Row],[RET IVA]]-Table1[[#This Row],[RET ISR]]</f>
        <v>50049.979999999996</v>
      </c>
      <c r="W30">
        <v>6</v>
      </c>
      <c r="X30" s="151" t="s">
        <v>195</v>
      </c>
      <c r="Y30" s="135" t="s">
        <v>1544</v>
      </c>
      <c r="Z30" s="307">
        <v>107</v>
      </c>
      <c r="AB30" t="str">
        <f>IF(Table1[[#This Row],[TIPO2]]="costo", VLOOKUP(Table1[[#This Row],[PARTIDA PRESUPUESTAL]],'Cost Report'!G:G,1,0),"Balance")</f>
        <v>2004-003</v>
      </c>
      <c r="AC30" s="118"/>
      <c r="AD30" s="159">
        <f>+Table1[[#This Row],[SUBTOTAL]]+Table1[[#This Row],[IVA]]-Table1[[#This Row],[RET IVA]]-Table1[[#This Row],[RET ISR]]-Table1[[#This Row],[TOTAL]]</f>
        <v>0</v>
      </c>
      <c r="AE30" s="150"/>
      <c r="AF30" s="151"/>
      <c r="AG30" s="126"/>
      <c r="AK30" s="306">
        <f>IF(ISNUMBER(Table1[[#This Row],[FECHA DE RECIBIDO]]), Table1[[#This Row],[FECHA DE RECIBIDO]]-DATE(2023,8,30), "")</f>
        <v>-45062</v>
      </c>
    </row>
    <row r="31" spans="1:37" ht="16.05" customHeight="1">
      <c r="A31" s="152" t="s">
        <v>196</v>
      </c>
      <c r="B31" s="153" t="s">
        <v>197</v>
      </c>
      <c r="C31" s="126" t="s">
        <v>943</v>
      </c>
      <c r="D31">
        <v>20</v>
      </c>
      <c r="E31" s="126">
        <v>44890</v>
      </c>
      <c r="F31" s="125" t="s">
        <v>129</v>
      </c>
      <c r="G31" s="125" t="s">
        <v>129</v>
      </c>
      <c r="H31">
        <v>8</v>
      </c>
      <c r="I31" s="125"/>
      <c r="J31" s="308">
        <v>104</v>
      </c>
      <c r="K31" s="127"/>
      <c r="L31" s="153" t="s">
        <v>110</v>
      </c>
      <c r="M31">
        <v>11</v>
      </c>
      <c r="N31" s="123"/>
      <c r="O31">
        <v>26</v>
      </c>
      <c r="P31" s="132" t="s">
        <v>77</v>
      </c>
      <c r="Q31" s="132">
        <v>48300</v>
      </c>
      <c r="R31" s="132">
        <v>7728</v>
      </c>
      <c r="S31" s="132"/>
      <c r="T31" s="156">
        <v>5152.0200000000004</v>
      </c>
      <c r="U31" s="132">
        <v>4830</v>
      </c>
      <c r="V31" s="132">
        <f>+Table1[[#This Row],[SUBTOTAL]]+Table1[[#This Row],[IVA]]-Table1[[#This Row],[RET IVA]]-Table1[[#This Row],[RET ISR]]</f>
        <v>46045.979999999996</v>
      </c>
      <c r="W31">
        <v>7</v>
      </c>
      <c r="X31" s="153" t="s">
        <v>111</v>
      </c>
      <c r="Y31" s="124" t="s">
        <v>1544</v>
      </c>
      <c r="Z31" s="308">
        <v>107</v>
      </c>
      <c r="AB31" t="str">
        <f>IF(Table1[[#This Row],[TIPO2]]="costo", VLOOKUP(Table1[[#This Row],[PARTIDA PRESUPUESTAL]],'Cost Report'!G:G,1,0),"Balance")</f>
        <v>3402-003</v>
      </c>
      <c r="AC31" s="118"/>
      <c r="AD31" s="159">
        <f>+Table1[[#This Row],[SUBTOTAL]]+Table1[[#This Row],[IVA]]-Table1[[#This Row],[RET IVA]]-Table1[[#This Row],[RET ISR]]-Table1[[#This Row],[TOTAL]]</f>
        <v>0</v>
      </c>
      <c r="AE31" s="152"/>
      <c r="AF31" s="153"/>
      <c r="AG31" s="126"/>
      <c r="AK31" s="306">
        <f>IF(ISNUMBER(Table1[[#This Row],[FECHA DE RECIBIDO]]), Table1[[#This Row],[FECHA DE RECIBIDO]]-DATE(2023,8,30), "")</f>
        <v>-45064</v>
      </c>
    </row>
    <row r="32" spans="1:37" ht="16.05" customHeight="1">
      <c r="A32" s="150" t="s">
        <v>1473</v>
      </c>
      <c r="B32" s="151">
        <v>28</v>
      </c>
      <c r="C32" s="126" t="s">
        <v>466</v>
      </c>
      <c r="D32">
        <v>21</v>
      </c>
      <c r="E32" s="126">
        <v>52763</v>
      </c>
      <c r="F32" s="122"/>
      <c r="G32" s="122" t="s">
        <v>134</v>
      </c>
      <c r="H32">
        <v>5</v>
      </c>
      <c r="I32" s="122" t="s">
        <v>1546</v>
      </c>
      <c r="J32" s="307">
        <v>96</v>
      </c>
      <c r="K32" s="127" t="s">
        <v>1626</v>
      </c>
      <c r="L32" s="151" t="s">
        <v>118</v>
      </c>
      <c r="M32">
        <v>5</v>
      </c>
      <c r="N32" s="123"/>
      <c r="O32">
        <v>27</v>
      </c>
      <c r="P32" s="132" t="s">
        <v>77</v>
      </c>
      <c r="Q32" s="131">
        <v>11500</v>
      </c>
      <c r="R32" s="131">
        <v>1840</v>
      </c>
      <c r="S32" s="131"/>
      <c r="T32" s="155">
        <v>0</v>
      </c>
      <c r="U32" s="131">
        <v>0</v>
      </c>
      <c r="V32" s="131">
        <v>13340</v>
      </c>
      <c r="W32">
        <v>4</v>
      </c>
      <c r="X32" s="151" t="s">
        <v>135</v>
      </c>
      <c r="Y32" s="135" t="s">
        <v>55</v>
      </c>
      <c r="Z32" s="307">
        <v>107</v>
      </c>
      <c r="AB32" t="str">
        <f>IF(Table1[[#This Row],[TIPO2]]="costo", VLOOKUP(Table1[[#This Row],[PARTIDA PRESUPUESTAL]],'Cost Report'!G:G,1,0),"Balance")</f>
        <v>2010-010</v>
      </c>
      <c r="AC32" s="118"/>
      <c r="AD32" s="159">
        <f>+Table1[[#This Row],[SUBTOTAL]]+Table1[[#This Row],[IVA]]-Table1[[#This Row],[RET IVA]]-Table1[[#This Row],[RET ISR]]-Table1[[#This Row],[TOTAL]]</f>
        <v>0</v>
      </c>
      <c r="AE32" s="150"/>
      <c r="AF32" s="151"/>
      <c r="AG32" s="126"/>
      <c r="AK32" s="306">
        <f>IF(ISNUMBER(Table1[[#This Row],[FECHA DE RECIBIDO]]), Table1[[#This Row],[FECHA DE RECIBIDO]]-DATE(2023,8,30), "")</f>
        <v>-45072</v>
      </c>
    </row>
    <row r="33" spans="1:37" ht="16.05" customHeight="1">
      <c r="A33" s="152" t="s">
        <v>1473</v>
      </c>
      <c r="B33" s="153">
        <v>28</v>
      </c>
      <c r="C33" s="126" t="s">
        <v>2393</v>
      </c>
      <c r="D33">
        <v>21</v>
      </c>
      <c r="E33" s="126">
        <v>52763</v>
      </c>
      <c r="F33" s="125"/>
      <c r="G33" s="125" t="s">
        <v>134</v>
      </c>
      <c r="H33">
        <v>5</v>
      </c>
      <c r="I33" s="125" t="s">
        <v>1546</v>
      </c>
      <c r="J33" s="308">
        <v>96</v>
      </c>
      <c r="K33" s="127" t="s">
        <v>1626</v>
      </c>
      <c r="L33" s="153" t="s">
        <v>118</v>
      </c>
      <c r="M33">
        <v>5</v>
      </c>
      <c r="N33" s="123"/>
      <c r="O33">
        <v>27</v>
      </c>
      <c r="P33" s="132" t="s">
        <v>77</v>
      </c>
      <c r="Q33" s="132">
        <v>6000</v>
      </c>
      <c r="R33" s="132">
        <v>960</v>
      </c>
      <c r="S33" s="132"/>
      <c r="T33" s="156">
        <v>0</v>
      </c>
      <c r="U33" s="132">
        <v>0</v>
      </c>
      <c r="V33" s="132">
        <v>6960</v>
      </c>
      <c r="W33">
        <v>4</v>
      </c>
      <c r="X33" s="153" t="s">
        <v>135</v>
      </c>
      <c r="Y33" s="124" t="s">
        <v>55</v>
      </c>
      <c r="Z33" s="308">
        <v>107</v>
      </c>
      <c r="AB33" t="str">
        <f>IF(Table1[[#This Row],[TIPO2]]="costo", VLOOKUP(Table1[[#This Row],[PARTIDA PRESUPUESTAL]],'Cost Report'!G:G,1,0),"Balance")</f>
        <v>2011-003</v>
      </c>
      <c r="AC33" s="118"/>
      <c r="AD33" s="159">
        <f>+Table1[[#This Row],[SUBTOTAL]]+Table1[[#This Row],[IVA]]-Table1[[#This Row],[RET IVA]]-Table1[[#This Row],[RET ISR]]-Table1[[#This Row],[TOTAL]]</f>
        <v>0</v>
      </c>
      <c r="AE33" s="152"/>
      <c r="AF33" s="153"/>
      <c r="AG33" s="126"/>
      <c r="AK33" s="306">
        <f>IF(ISNUMBER(Table1[[#This Row],[FECHA DE RECIBIDO]]), Table1[[#This Row],[FECHA DE RECIBIDO]]-DATE(2023,8,30), "")</f>
        <v>-45072</v>
      </c>
    </row>
    <row r="34" spans="1:37" ht="16.05" customHeight="1">
      <c r="A34" s="150" t="s">
        <v>1473</v>
      </c>
      <c r="B34" s="151">
        <v>28</v>
      </c>
      <c r="C34" s="126" t="s">
        <v>2399</v>
      </c>
      <c r="D34">
        <v>21</v>
      </c>
      <c r="E34" s="126">
        <v>52763</v>
      </c>
      <c r="F34" s="122"/>
      <c r="G34" s="122" t="s">
        <v>134</v>
      </c>
      <c r="H34">
        <v>5</v>
      </c>
      <c r="I34" s="122" t="s">
        <v>1546</v>
      </c>
      <c r="J34" s="307">
        <v>96</v>
      </c>
      <c r="K34" s="127" t="s">
        <v>1626</v>
      </c>
      <c r="L34" s="151" t="s">
        <v>118</v>
      </c>
      <c r="M34">
        <v>5</v>
      </c>
      <c r="N34" s="123"/>
      <c r="O34">
        <v>27</v>
      </c>
      <c r="P34" s="132" t="s">
        <v>77</v>
      </c>
      <c r="Q34" s="131">
        <v>5000</v>
      </c>
      <c r="R34" s="131">
        <v>800</v>
      </c>
      <c r="S34" s="131"/>
      <c r="T34" s="155">
        <v>0</v>
      </c>
      <c r="U34" s="131">
        <v>0</v>
      </c>
      <c r="V34" s="131">
        <v>5800</v>
      </c>
      <c r="W34">
        <v>4</v>
      </c>
      <c r="X34" s="151" t="s">
        <v>135</v>
      </c>
      <c r="Y34" s="135" t="s">
        <v>55</v>
      </c>
      <c r="Z34" s="307">
        <v>107</v>
      </c>
      <c r="AB34" t="str">
        <f>IF(Table1[[#This Row],[TIPO2]]="costo", VLOOKUP(Table1[[#This Row],[PARTIDA PRESUPUESTAL]],'Cost Report'!G:G,1,0),"Balance")</f>
        <v>2011-011</v>
      </c>
      <c r="AC34" s="118"/>
      <c r="AD34" s="159">
        <f>+Table1[[#This Row],[SUBTOTAL]]+Table1[[#This Row],[IVA]]-Table1[[#This Row],[RET IVA]]-Table1[[#This Row],[RET ISR]]-Table1[[#This Row],[TOTAL]]</f>
        <v>0</v>
      </c>
      <c r="AE34" s="150"/>
      <c r="AF34" s="151"/>
      <c r="AG34" s="126"/>
      <c r="AK34" s="306">
        <f>IF(ISNUMBER(Table1[[#This Row],[FECHA DE RECIBIDO]]), Table1[[#This Row],[FECHA DE RECIBIDO]]-DATE(2023,8,30), "")</f>
        <v>-45072</v>
      </c>
    </row>
    <row r="35" spans="1:37" ht="16.05" customHeight="1">
      <c r="A35" s="152" t="s">
        <v>1473</v>
      </c>
      <c r="B35" s="153">
        <v>28</v>
      </c>
      <c r="C35" s="126" t="s">
        <v>3086</v>
      </c>
      <c r="D35">
        <v>21</v>
      </c>
      <c r="E35" s="126">
        <v>52763</v>
      </c>
      <c r="F35" s="125"/>
      <c r="G35" s="125" t="s">
        <v>134</v>
      </c>
      <c r="H35">
        <v>5</v>
      </c>
      <c r="I35" s="125" t="s">
        <v>1546</v>
      </c>
      <c r="J35" s="308">
        <v>96</v>
      </c>
      <c r="K35" s="127" t="s">
        <v>1626</v>
      </c>
      <c r="L35" s="153" t="s">
        <v>118</v>
      </c>
      <c r="M35">
        <v>5</v>
      </c>
      <c r="N35" s="123"/>
      <c r="O35">
        <v>27</v>
      </c>
      <c r="P35" s="132" t="s">
        <v>77</v>
      </c>
      <c r="Q35" s="132">
        <v>2750</v>
      </c>
      <c r="R35" s="132">
        <v>440</v>
      </c>
      <c r="S35" s="132"/>
      <c r="T35" s="156">
        <v>0</v>
      </c>
      <c r="U35" s="132">
        <v>0</v>
      </c>
      <c r="V35" s="132">
        <v>3190</v>
      </c>
      <c r="W35">
        <v>4</v>
      </c>
      <c r="X35" s="153" t="s">
        <v>135</v>
      </c>
      <c r="Y35" s="124" t="s">
        <v>55</v>
      </c>
      <c r="Z35" s="308">
        <v>107</v>
      </c>
      <c r="AB35" t="str">
        <f>IF(Table1[[#This Row],[TIPO2]]="costo", VLOOKUP(Table1[[#This Row],[PARTIDA PRESUPUESTAL]],'Cost Report'!G:G,1,0),"Balance")</f>
        <v>7001-003</v>
      </c>
      <c r="AC35" s="118"/>
      <c r="AD35" s="159">
        <f>+Table1[[#This Row],[SUBTOTAL]]+Table1[[#This Row],[IVA]]-Table1[[#This Row],[RET IVA]]-Table1[[#This Row],[RET ISR]]-Table1[[#This Row],[TOTAL]]</f>
        <v>0</v>
      </c>
      <c r="AE35" s="152"/>
      <c r="AF35" s="153"/>
      <c r="AG35" s="126"/>
      <c r="AK35" s="306">
        <f>IF(ISNUMBER(Table1[[#This Row],[FECHA DE RECIBIDO]]), Table1[[#This Row],[FECHA DE RECIBIDO]]-DATE(2023,8,30), "")</f>
        <v>-45072</v>
      </c>
    </row>
    <row r="36" spans="1:37" ht="16.05" customHeight="1">
      <c r="A36" s="150" t="s">
        <v>198</v>
      </c>
      <c r="B36" s="151" t="s">
        <v>199</v>
      </c>
      <c r="C36" s="126" t="s">
        <v>72</v>
      </c>
      <c r="D36"/>
      <c r="E36" s="126"/>
      <c r="F36" s="122" t="s">
        <v>134</v>
      </c>
      <c r="G36" s="122" t="s">
        <v>134</v>
      </c>
      <c r="H36"/>
      <c r="I36" s="122"/>
      <c r="J36" s="307" t="s">
        <v>214</v>
      </c>
      <c r="K36" s="127"/>
      <c r="L36" s="151" t="s">
        <v>156</v>
      </c>
      <c r="M36">
        <v>8</v>
      </c>
      <c r="N36" s="123"/>
      <c r="O36"/>
      <c r="P36" s="131" t="s">
        <v>78</v>
      </c>
      <c r="Q36" s="131">
        <v>269867.51</v>
      </c>
      <c r="R36" s="131"/>
      <c r="S36" s="131"/>
      <c r="T36" s="155"/>
      <c r="U36" s="131"/>
      <c r="V36" s="131">
        <f>+Table1[[#This Row],[SUBTOTAL]]+Table1[[#This Row],[IVA]]-Table1[[#This Row],[RET IVA]]-Table1[[#This Row],[RET ISR]]</f>
        <v>269867.51</v>
      </c>
      <c r="W36"/>
      <c r="X36" s="151" t="s">
        <v>157</v>
      </c>
      <c r="Y36" s="135" t="s">
        <v>1544</v>
      </c>
      <c r="Z36" s="307">
        <v>112</v>
      </c>
      <c r="AB36" t="str">
        <f>IF(Table1[[#This Row],[TIPO2]]="costo", VLOOKUP(Table1[[#This Row],[PARTIDA PRESUPUESTAL]],'Cost Report'!G:G,1,0),"Balance")</f>
        <v>Balance</v>
      </c>
      <c r="AC36" s="118"/>
      <c r="AD36" s="159">
        <f>+Table1[[#This Row],[SUBTOTAL]]+Table1[[#This Row],[IVA]]-Table1[[#This Row],[RET IVA]]-Table1[[#This Row],[RET ISR]]-Table1[[#This Row],[TOTAL]]</f>
        <v>0</v>
      </c>
      <c r="AE36" s="150"/>
      <c r="AF36" s="151"/>
      <c r="AG36" s="126"/>
      <c r="AK36" s="306" t="str">
        <f>IF(ISNUMBER(Table1[[#This Row],[FECHA DE RECIBIDO]]), Table1[[#This Row],[FECHA DE RECIBIDO]]-DATE(2023,8,30), "")</f>
        <v/>
      </c>
    </row>
    <row r="37" spans="1:37" ht="16.05" customHeight="1">
      <c r="A37" s="152" t="s">
        <v>200</v>
      </c>
      <c r="B37" s="153" t="s">
        <v>201</v>
      </c>
      <c r="C37" s="126" t="s">
        <v>73</v>
      </c>
      <c r="D37"/>
      <c r="E37" s="126"/>
      <c r="F37" s="125" t="s">
        <v>134</v>
      </c>
      <c r="G37" s="125" t="s">
        <v>134</v>
      </c>
      <c r="H37"/>
      <c r="I37" s="125"/>
      <c r="J37" s="308" t="s">
        <v>214</v>
      </c>
      <c r="K37" s="127"/>
      <c r="L37" s="153" t="s">
        <v>156</v>
      </c>
      <c r="M37">
        <v>9</v>
      </c>
      <c r="N37" s="123"/>
      <c r="O37"/>
      <c r="P37" s="131" t="s">
        <v>78</v>
      </c>
      <c r="Q37" s="132">
        <v>59187.5</v>
      </c>
      <c r="R37" s="132"/>
      <c r="S37" s="132"/>
      <c r="T37" s="156"/>
      <c r="U37" s="132"/>
      <c r="V37" s="132">
        <f>+Table1[[#This Row],[SUBTOTAL]]+Table1[[#This Row],[IVA]]-Table1[[#This Row],[RET IVA]]-Table1[[#This Row],[RET ISR]]</f>
        <v>59187.5</v>
      </c>
      <c r="W37"/>
      <c r="X37" s="153" t="s">
        <v>157</v>
      </c>
      <c r="Y37" s="124" t="s">
        <v>1544</v>
      </c>
      <c r="Z37" s="308">
        <v>112</v>
      </c>
      <c r="AB37" t="str">
        <f>IF(Table1[[#This Row],[TIPO2]]="costo", VLOOKUP(Table1[[#This Row],[PARTIDA PRESUPUESTAL]],'Cost Report'!G:G,1,0),"Balance")</f>
        <v>Balance</v>
      </c>
      <c r="AC37" s="118"/>
      <c r="AD37" s="159">
        <f>+Table1[[#This Row],[SUBTOTAL]]+Table1[[#This Row],[IVA]]-Table1[[#This Row],[RET IVA]]-Table1[[#This Row],[RET ISR]]-Table1[[#This Row],[TOTAL]]</f>
        <v>0</v>
      </c>
      <c r="AE37" s="152"/>
      <c r="AF37" s="153"/>
      <c r="AG37" s="126"/>
      <c r="AK37" s="306" t="str">
        <f>IF(ISNUMBER(Table1[[#This Row],[FECHA DE RECIBIDO]]), Table1[[#This Row],[FECHA DE RECIBIDO]]-DATE(2023,8,30), "")</f>
        <v/>
      </c>
    </row>
    <row r="38" spans="1:37" ht="16.05" customHeight="1">
      <c r="A38" s="150" t="s">
        <v>202</v>
      </c>
      <c r="B38" s="151" t="s">
        <v>203</v>
      </c>
      <c r="C38" s="126" t="s">
        <v>2128</v>
      </c>
      <c r="D38">
        <v>22</v>
      </c>
      <c r="E38" s="126">
        <v>1729</v>
      </c>
      <c r="F38" s="122" t="s">
        <v>129</v>
      </c>
      <c r="G38" s="122" t="s">
        <v>129</v>
      </c>
      <c r="H38">
        <v>9</v>
      </c>
      <c r="I38" s="122"/>
      <c r="J38" s="307">
        <v>97</v>
      </c>
      <c r="K38" s="127"/>
      <c r="L38" s="151" t="s">
        <v>110</v>
      </c>
      <c r="M38">
        <v>12</v>
      </c>
      <c r="N38" s="123"/>
      <c r="O38">
        <v>28</v>
      </c>
      <c r="P38" s="132" t="s">
        <v>77</v>
      </c>
      <c r="Q38" s="131">
        <v>100000</v>
      </c>
      <c r="R38" s="131">
        <v>16000</v>
      </c>
      <c r="S38" s="131"/>
      <c r="T38" s="155">
        <v>10666.7</v>
      </c>
      <c r="U38" s="131">
        <v>10000</v>
      </c>
      <c r="V38" s="131">
        <f>+Table1[[#This Row],[SUBTOTAL]]+Table1[[#This Row],[IVA]]-Table1[[#This Row],[RET IVA]]-Table1[[#This Row],[RET ISR]]</f>
        <v>95333.3</v>
      </c>
      <c r="W38">
        <v>8</v>
      </c>
      <c r="X38" s="151" t="s">
        <v>122</v>
      </c>
      <c r="Y38" s="135" t="s">
        <v>1544</v>
      </c>
      <c r="Z38" s="307">
        <v>112</v>
      </c>
      <c r="AB38" t="str">
        <f>IF(Table1[[#This Row],[TIPO2]]="costo", VLOOKUP(Table1[[#This Row],[PARTIDA PRESUPUESTAL]],'Cost Report'!G:G,1,0),"Balance")</f>
        <v>1104-003</v>
      </c>
      <c r="AC38" s="118"/>
      <c r="AD38" s="159">
        <f>+Table1[[#This Row],[SUBTOTAL]]+Table1[[#This Row],[IVA]]-Table1[[#This Row],[RET IVA]]-Table1[[#This Row],[RET ISR]]-Table1[[#This Row],[TOTAL]]</f>
        <v>0</v>
      </c>
      <c r="AE38" s="150"/>
      <c r="AF38" s="151"/>
      <c r="AG38" s="126"/>
      <c r="AK38" s="306">
        <f>IF(ISNUMBER(Table1[[#This Row],[FECHA DE RECIBIDO]]), Table1[[#This Row],[FECHA DE RECIBIDO]]-DATE(2023,8,30), "")</f>
        <v>-45071</v>
      </c>
    </row>
    <row r="39" spans="1:37" ht="16.05" customHeight="1">
      <c r="A39" s="152" t="s">
        <v>204</v>
      </c>
      <c r="B39" s="153" t="s">
        <v>205</v>
      </c>
      <c r="C39" s="126" t="s">
        <v>235</v>
      </c>
      <c r="D39">
        <v>23</v>
      </c>
      <c r="E39" s="126">
        <v>16030</v>
      </c>
      <c r="F39" s="125" t="s">
        <v>129</v>
      </c>
      <c r="G39" s="125" t="s">
        <v>129</v>
      </c>
      <c r="H39">
        <v>10</v>
      </c>
      <c r="I39" s="125"/>
      <c r="J39" s="308">
        <v>104</v>
      </c>
      <c r="K39" s="127"/>
      <c r="L39" s="153" t="s">
        <v>110</v>
      </c>
      <c r="M39">
        <v>13</v>
      </c>
      <c r="N39" s="123"/>
      <c r="O39">
        <v>29</v>
      </c>
      <c r="P39" s="132" t="s">
        <v>77</v>
      </c>
      <c r="Q39" s="132">
        <v>50000</v>
      </c>
      <c r="R39" s="132">
        <v>8000</v>
      </c>
      <c r="S39" s="132"/>
      <c r="T39" s="156">
        <v>5333.34</v>
      </c>
      <c r="U39" s="132">
        <v>5000</v>
      </c>
      <c r="V39" s="132">
        <f>+Table1[[#This Row],[SUBTOTAL]]+Table1[[#This Row],[IVA]]-Table1[[#This Row],[RET IVA]]-Table1[[#This Row],[RET ISR]]</f>
        <v>47666.66</v>
      </c>
      <c r="W39">
        <v>9</v>
      </c>
      <c r="X39" s="153" t="s">
        <v>122</v>
      </c>
      <c r="Y39" s="124" t="s">
        <v>1544</v>
      </c>
      <c r="Z39" s="308">
        <v>112</v>
      </c>
      <c r="AB39" t="str">
        <f>IF(Table1[[#This Row],[TIPO2]]="costo", VLOOKUP(Table1[[#This Row],[PARTIDA PRESUPUESTAL]],'Cost Report'!G:G,1,0),"Balance")</f>
        <v>1202-003</v>
      </c>
      <c r="AC39" s="118"/>
      <c r="AD39" s="159">
        <f>+Table1[[#This Row],[SUBTOTAL]]+Table1[[#This Row],[IVA]]-Table1[[#This Row],[RET IVA]]-Table1[[#This Row],[RET ISR]]-Table1[[#This Row],[TOTAL]]</f>
        <v>0</v>
      </c>
      <c r="AE39" s="152"/>
      <c r="AF39" s="153"/>
      <c r="AG39" s="126"/>
      <c r="AK39" s="306">
        <f>IF(ISNUMBER(Table1[[#This Row],[FECHA DE RECIBIDO]]), Table1[[#This Row],[FECHA DE RECIBIDO]]-DATE(2023,8,30), "")</f>
        <v>-45064</v>
      </c>
    </row>
    <row r="40" spans="1:37" ht="16.05" customHeight="1">
      <c r="A40" s="150" t="s">
        <v>206</v>
      </c>
      <c r="B40" s="151" t="s">
        <v>207</v>
      </c>
      <c r="C40" s="126" t="s">
        <v>951</v>
      </c>
      <c r="D40">
        <v>24</v>
      </c>
      <c r="E40" s="126">
        <v>44100</v>
      </c>
      <c r="F40" s="122" t="s">
        <v>109</v>
      </c>
      <c r="G40" s="122" t="s">
        <v>109</v>
      </c>
      <c r="H40">
        <v>11</v>
      </c>
      <c r="I40" s="122"/>
      <c r="J40" s="307">
        <v>110</v>
      </c>
      <c r="K40" s="127"/>
      <c r="L40" s="151" t="s">
        <v>110</v>
      </c>
      <c r="M40">
        <v>14</v>
      </c>
      <c r="N40" s="123"/>
      <c r="O40">
        <v>30</v>
      </c>
      <c r="P40" s="132" t="s">
        <v>77</v>
      </c>
      <c r="Q40" s="131">
        <v>10500</v>
      </c>
      <c r="R40" s="131">
        <v>1680</v>
      </c>
      <c r="S40" s="131"/>
      <c r="T40" s="155">
        <v>1119.99</v>
      </c>
      <c r="U40" s="131">
        <v>131.25</v>
      </c>
      <c r="V40" s="131">
        <f>+Table1[[#This Row],[SUBTOTAL]]+Table1[[#This Row],[IVA]]-Table1[[#This Row],[RET IVA]]-Table1[[#This Row],[RET ISR]]</f>
        <v>10928.76</v>
      </c>
      <c r="W40">
        <v>10</v>
      </c>
      <c r="X40" s="151" t="s">
        <v>208</v>
      </c>
      <c r="Y40" s="135" t="s">
        <v>1544</v>
      </c>
      <c r="Z40" s="307">
        <v>112</v>
      </c>
      <c r="AB40" t="str">
        <f>IF(Table1[[#This Row],[TIPO2]]="costo", VLOOKUP(Table1[[#This Row],[PARTIDA PRESUPUESTAL]],'Cost Report'!G:G,1,0),"Balance")</f>
        <v>3403-009</v>
      </c>
      <c r="AC40" s="118"/>
      <c r="AD40" s="159">
        <f>+Table1[[#This Row],[SUBTOTAL]]+Table1[[#This Row],[IVA]]-Table1[[#This Row],[RET IVA]]-Table1[[#This Row],[RET ISR]]-Table1[[#This Row],[TOTAL]]</f>
        <v>0</v>
      </c>
      <c r="AE40" s="150"/>
      <c r="AF40" s="151"/>
      <c r="AG40" s="126"/>
      <c r="AK40" s="306">
        <f>IF(ISNUMBER(Table1[[#This Row],[FECHA DE RECIBIDO]]), Table1[[#This Row],[FECHA DE RECIBIDO]]-DATE(2023,8,30), "")</f>
        <v>-45058</v>
      </c>
    </row>
    <row r="41" spans="1:37" ht="16.05" customHeight="1">
      <c r="A41" s="152" t="s">
        <v>112</v>
      </c>
      <c r="B41" s="153" t="s">
        <v>113</v>
      </c>
      <c r="C41" s="126" t="s">
        <v>11</v>
      </c>
      <c r="D41">
        <v>25</v>
      </c>
      <c r="E41" s="126">
        <v>1860</v>
      </c>
      <c r="F41" s="125" t="s">
        <v>109</v>
      </c>
      <c r="G41" s="125" t="s">
        <v>109</v>
      </c>
      <c r="H41">
        <v>12</v>
      </c>
      <c r="I41" s="125"/>
      <c r="J41" s="308">
        <v>48</v>
      </c>
      <c r="K41" s="127"/>
      <c r="L41" s="153" t="s">
        <v>110</v>
      </c>
      <c r="M41">
        <v>15</v>
      </c>
      <c r="N41" s="123"/>
      <c r="O41">
        <v>31</v>
      </c>
      <c r="P41" s="132" t="s">
        <v>77</v>
      </c>
      <c r="Q41" s="132">
        <v>1400000</v>
      </c>
      <c r="R41" s="132">
        <v>224000</v>
      </c>
      <c r="S41" s="132">
        <v>0</v>
      </c>
      <c r="T41" s="156">
        <v>266667.5</v>
      </c>
      <c r="U41" s="132">
        <v>31250</v>
      </c>
      <c r="V41" s="132">
        <f>+Table1[[#This Row],[SUBTOTAL]]+Table1[[#This Row],[IVA]]-Table1[[#This Row],[RET IVA]]-Table1[[#This Row],[RET ISR]]</f>
        <v>1326082.5</v>
      </c>
      <c r="W41">
        <v>11</v>
      </c>
      <c r="X41" s="153" t="s">
        <v>114</v>
      </c>
      <c r="Y41" s="124" t="s">
        <v>1544</v>
      </c>
      <c r="Z41" s="308">
        <v>48</v>
      </c>
      <c r="AB41" t="str">
        <f>IF(Table1[[#This Row],[TIPO2]]="costo", VLOOKUP(Table1[[#This Row],[PARTIDA PRESUPUESTAL]],'Cost Report'!G:G,1,0),"Balance")</f>
        <v>1101-005</v>
      </c>
      <c r="AC41" s="118"/>
      <c r="AD41" s="159">
        <f>+Table1[[#This Row],[SUBTOTAL]]+Table1[[#This Row],[IVA]]-Table1[[#This Row],[RET IVA]]-Table1[[#This Row],[RET ISR]]-Table1[[#This Row],[TOTAL]]</f>
        <v>0</v>
      </c>
      <c r="AE41" s="152"/>
      <c r="AF41" s="153"/>
      <c r="AG41" s="126"/>
      <c r="AK41" s="306">
        <f>IF(ISNUMBER(Table1[[#This Row],[FECHA DE RECIBIDO]]), Table1[[#This Row],[FECHA DE RECIBIDO]]-DATE(2023,8,30), "")</f>
        <v>-45120</v>
      </c>
    </row>
    <row r="42" spans="1:37" ht="16.05" customHeight="1">
      <c r="A42" s="150" t="s">
        <v>112</v>
      </c>
      <c r="B42" s="151" t="s">
        <v>113</v>
      </c>
      <c r="C42" s="126" t="s">
        <v>15</v>
      </c>
      <c r="D42">
        <v>25</v>
      </c>
      <c r="E42" s="126">
        <v>1860</v>
      </c>
      <c r="F42" s="122" t="s">
        <v>109</v>
      </c>
      <c r="G42" s="122" t="s">
        <v>109</v>
      </c>
      <c r="H42">
        <v>12</v>
      </c>
      <c r="I42" s="122"/>
      <c r="J42" s="307">
        <v>48</v>
      </c>
      <c r="K42" s="127"/>
      <c r="L42" s="151" t="s">
        <v>110</v>
      </c>
      <c r="M42">
        <v>15</v>
      </c>
      <c r="N42" s="123"/>
      <c r="O42">
        <v>31</v>
      </c>
      <c r="P42" s="132" t="s">
        <v>77</v>
      </c>
      <c r="Q42" s="131">
        <v>1100000</v>
      </c>
      <c r="R42" s="131">
        <v>176000</v>
      </c>
      <c r="S42" s="131">
        <v>0</v>
      </c>
      <c r="T42" s="155">
        <v>0</v>
      </c>
      <c r="U42" s="131">
        <v>0</v>
      </c>
      <c r="V42" s="131">
        <f>+Table1[[#This Row],[SUBTOTAL]]+Table1[[#This Row],[IVA]]-Table1[[#This Row],[RET IVA]]-Table1[[#This Row],[RET ISR]]</f>
        <v>1276000</v>
      </c>
      <c r="W42">
        <v>11</v>
      </c>
      <c r="X42" s="151" t="s">
        <v>114</v>
      </c>
      <c r="Y42" s="135" t="s">
        <v>1544</v>
      </c>
      <c r="Z42" s="307">
        <v>48</v>
      </c>
      <c r="AB42" t="str">
        <f>IF(Table1[[#This Row],[TIPO2]]="costo", VLOOKUP(Table1[[#This Row],[PARTIDA PRESUPUESTAL]],'Cost Report'!G:G,1,0),"Balance")</f>
        <v>1101-011</v>
      </c>
      <c r="AC42" s="118"/>
      <c r="AD42" s="159">
        <f>+Table1[[#This Row],[SUBTOTAL]]+Table1[[#This Row],[IVA]]-Table1[[#This Row],[RET IVA]]-Table1[[#This Row],[RET ISR]]-Table1[[#This Row],[TOTAL]]</f>
        <v>0</v>
      </c>
      <c r="AE42" s="150"/>
      <c r="AF42" s="151"/>
      <c r="AG42" s="126"/>
      <c r="AK42" s="306">
        <f>IF(ISNUMBER(Table1[[#This Row],[FECHA DE RECIBIDO]]), Table1[[#This Row],[FECHA DE RECIBIDO]]-DATE(2023,8,30), "")</f>
        <v>-45120</v>
      </c>
    </row>
    <row r="43" spans="1:37" ht="16.05" customHeight="1">
      <c r="A43" s="152" t="s">
        <v>115</v>
      </c>
      <c r="B43" s="153" t="s">
        <v>116</v>
      </c>
      <c r="C43" s="126" t="s">
        <v>15</v>
      </c>
      <c r="D43"/>
      <c r="E43" s="126"/>
      <c r="F43" s="125" t="s">
        <v>117</v>
      </c>
      <c r="G43" s="125" t="s">
        <v>117</v>
      </c>
      <c r="H43">
        <v>0</v>
      </c>
      <c r="I43" s="125"/>
      <c r="J43" s="308" t="s">
        <v>214</v>
      </c>
      <c r="K43" s="127"/>
      <c r="L43" s="153" t="s">
        <v>118</v>
      </c>
      <c r="M43">
        <v>16</v>
      </c>
      <c r="N43" s="123"/>
      <c r="O43">
        <v>32</v>
      </c>
      <c r="P43" s="132" t="s">
        <v>77</v>
      </c>
      <c r="Q43" s="132">
        <v>300000</v>
      </c>
      <c r="R43" s="132"/>
      <c r="S43" s="132"/>
      <c r="T43" s="156"/>
      <c r="U43" s="132"/>
      <c r="V43" s="132">
        <f>+Table1[[#This Row],[SUBTOTAL]]+Table1[[#This Row],[IVA]]-Table1[[#This Row],[RET IVA]]-Table1[[#This Row],[RET ISR]]</f>
        <v>300000</v>
      </c>
      <c r="W43">
        <v>12</v>
      </c>
      <c r="X43" s="153" t="s">
        <v>119</v>
      </c>
      <c r="Y43" s="124" t="s">
        <v>1544</v>
      </c>
      <c r="Z43" s="308">
        <v>49</v>
      </c>
      <c r="AB43" t="str">
        <f>IF(Table1[[#This Row],[TIPO2]]="costo", VLOOKUP(Table1[[#This Row],[PARTIDA PRESUPUESTAL]],'Cost Report'!G:G,1,0),"Balance")</f>
        <v>1101-011</v>
      </c>
      <c r="AC43" s="118"/>
      <c r="AD43" s="159">
        <f>+Table1[[#This Row],[SUBTOTAL]]+Table1[[#This Row],[IVA]]-Table1[[#This Row],[RET IVA]]-Table1[[#This Row],[RET ISR]]-Table1[[#This Row],[TOTAL]]</f>
        <v>0</v>
      </c>
      <c r="AE43" s="152"/>
      <c r="AF43" s="153"/>
      <c r="AG43" s="126"/>
      <c r="AK43" s="306" t="str">
        <f>IF(ISNUMBER(Table1[[#This Row],[FECHA DE RECIBIDO]]), Table1[[#This Row],[FECHA DE RECIBIDO]]-DATE(2023,8,30), "")</f>
        <v/>
      </c>
    </row>
    <row r="44" spans="1:37" ht="16.05" customHeight="1">
      <c r="A44" s="150" t="s">
        <v>115</v>
      </c>
      <c r="B44" s="151" t="s">
        <v>116</v>
      </c>
      <c r="C44" s="126" t="s">
        <v>18</v>
      </c>
      <c r="D44"/>
      <c r="E44" s="126"/>
      <c r="F44" s="122" t="s">
        <v>117</v>
      </c>
      <c r="G44" s="122" t="s">
        <v>117</v>
      </c>
      <c r="H44">
        <v>0</v>
      </c>
      <c r="I44" s="122"/>
      <c r="J44" s="307" t="s">
        <v>214</v>
      </c>
      <c r="K44" s="127"/>
      <c r="L44" s="151" t="s">
        <v>118</v>
      </c>
      <c r="M44">
        <v>16</v>
      </c>
      <c r="N44" s="123"/>
      <c r="O44">
        <v>32</v>
      </c>
      <c r="P44" s="132" t="s">
        <v>77</v>
      </c>
      <c r="Q44" s="131">
        <v>814907.12999999989</v>
      </c>
      <c r="R44" s="131">
        <v>0</v>
      </c>
      <c r="S44" s="131"/>
      <c r="T44" s="155">
        <v>0</v>
      </c>
      <c r="U44" s="131">
        <v>0</v>
      </c>
      <c r="V44" s="131">
        <f>+Table1[[#This Row],[SUBTOTAL]]+Table1[[#This Row],[IVA]]-Table1[[#This Row],[RET IVA]]-Table1[[#This Row],[RET ISR]]</f>
        <v>814907.12999999989</v>
      </c>
      <c r="W44">
        <v>12</v>
      </c>
      <c r="X44" s="151" t="s">
        <v>119</v>
      </c>
      <c r="Y44" s="135" t="s">
        <v>1544</v>
      </c>
      <c r="Z44" s="307">
        <v>49</v>
      </c>
      <c r="AB44" t="str">
        <f>IF(Table1[[#This Row],[TIPO2]]="costo", VLOOKUP(Table1[[#This Row],[PARTIDA PRESUPUESTAL]],'Cost Report'!G:G,1,0),"Balance")</f>
        <v>1101-016</v>
      </c>
      <c r="AC44" s="118"/>
      <c r="AD44" s="159">
        <f>+Table1[[#This Row],[SUBTOTAL]]+Table1[[#This Row],[IVA]]-Table1[[#This Row],[RET IVA]]-Table1[[#This Row],[RET ISR]]-Table1[[#This Row],[TOTAL]]</f>
        <v>0</v>
      </c>
      <c r="AE44" s="150"/>
      <c r="AF44" s="151"/>
      <c r="AG44" s="126"/>
      <c r="AK44" s="306" t="str">
        <f>IF(ISNUMBER(Table1[[#This Row],[FECHA DE RECIBIDO]]), Table1[[#This Row],[FECHA DE RECIBIDO]]-DATE(2023,8,30), "")</f>
        <v/>
      </c>
    </row>
    <row r="45" spans="1:37" ht="16.05" customHeight="1">
      <c r="A45" s="152" t="s">
        <v>150</v>
      </c>
      <c r="B45" s="153" t="s">
        <v>151</v>
      </c>
      <c r="C45" s="126" t="s">
        <v>18</v>
      </c>
      <c r="D45">
        <v>26</v>
      </c>
      <c r="E45" s="126">
        <v>1730</v>
      </c>
      <c r="F45" s="125" t="s">
        <v>109</v>
      </c>
      <c r="G45" s="125" t="s">
        <v>109</v>
      </c>
      <c r="H45">
        <v>13</v>
      </c>
      <c r="I45" s="125"/>
      <c r="J45" s="308">
        <v>63</v>
      </c>
      <c r="K45" s="127"/>
      <c r="L45" s="153" t="s">
        <v>110</v>
      </c>
      <c r="M45">
        <v>17</v>
      </c>
      <c r="N45" s="123"/>
      <c r="O45">
        <v>33</v>
      </c>
      <c r="P45" s="132" t="s">
        <v>77</v>
      </c>
      <c r="Q45" s="132">
        <v>585092.87000000011</v>
      </c>
      <c r="R45" s="132">
        <v>93614.859200000021</v>
      </c>
      <c r="S45" s="132">
        <v>0</v>
      </c>
      <c r="T45" s="156">
        <v>0</v>
      </c>
      <c r="U45" s="132">
        <v>0</v>
      </c>
      <c r="V45" s="132">
        <f>+Table1[[#This Row],[SUBTOTAL]]+Table1[[#This Row],[IVA]]-Table1[[#This Row],[RET IVA]]-Table1[[#This Row],[RET ISR]]</f>
        <v>678707.72920000018</v>
      </c>
      <c r="W45">
        <v>13</v>
      </c>
      <c r="X45" s="153" t="s">
        <v>111</v>
      </c>
      <c r="Y45" s="124" t="s">
        <v>1544</v>
      </c>
      <c r="Z45" s="308">
        <v>63</v>
      </c>
      <c r="AB45" t="str">
        <f>IF(Table1[[#This Row],[TIPO2]]="costo", VLOOKUP(Table1[[#This Row],[PARTIDA PRESUPUESTAL]],'Cost Report'!G:G,1,0),"Balance")</f>
        <v>1101-016</v>
      </c>
      <c r="AC45" s="118"/>
      <c r="AD45" s="159">
        <f>+Table1[[#This Row],[SUBTOTAL]]+Table1[[#This Row],[IVA]]-Table1[[#This Row],[RET IVA]]-Table1[[#This Row],[RET ISR]]-Table1[[#This Row],[TOTAL]]</f>
        <v>0</v>
      </c>
      <c r="AE45" s="152"/>
      <c r="AF45" s="153"/>
      <c r="AG45" s="126"/>
      <c r="AK45" s="306">
        <f>IF(ISNUMBER(Table1[[#This Row],[FECHA DE RECIBIDO]]), Table1[[#This Row],[FECHA DE RECIBIDO]]-DATE(2023,8,30), "")</f>
        <v>-45105</v>
      </c>
    </row>
    <row r="46" spans="1:37" ht="16.05" customHeight="1">
      <c r="A46" s="150" t="s">
        <v>150</v>
      </c>
      <c r="B46" s="151" t="s">
        <v>151</v>
      </c>
      <c r="C46" s="126" t="s">
        <v>142</v>
      </c>
      <c r="D46">
        <v>26</v>
      </c>
      <c r="E46" s="126">
        <v>1730</v>
      </c>
      <c r="F46" s="122" t="s">
        <v>109</v>
      </c>
      <c r="G46" s="122" t="s">
        <v>109</v>
      </c>
      <c r="H46">
        <v>13</v>
      </c>
      <c r="I46" s="122"/>
      <c r="J46" s="307">
        <v>63</v>
      </c>
      <c r="K46" s="127"/>
      <c r="L46" s="151" t="s">
        <v>110</v>
      </c>
      <c r="M46">
        <v>17</v>
      </c>
      <c r="N46" s="123"/>
      <c r="O46">
        <v>33</v>
      </c>
      <c r="P46" s="132" t="s">
        <v>77</v>
      </c>
      <c r="Q46" s="131">
        <v>1264907.1299999999</v>
      </c>
      <c r="R46" s="131">
        <v>202385.14079999994</v>
      </c>
      <c r="S46" s="131">
        <v>0</v>
      </c>
      <c r="T46" s="155">
        <v>197333.95</v>
      </c>
      <c r="U46" s="131">
        <v>23125</v>
      </c>
      <c r="V46" s="131">
        <f>+Table1[[#This Row],[SUBTOTAL]]+Table1[[#This Row],[IVA]]-Table1[[#This Row],[RET IVA]]-Table1[[#This Row],[RET ISR]]</f>
        <v>1246833.3207999999</v>
      </c>
      <c r="W46">
        <v>13</v>
      </c>
      <c r="X46" s="151" t="s">
        <v>111</v>
      </c>
      <c r="Y46" s="135" t="s">
        <v>1544</v>
      </c>
      <c r="Z46" s="307">
        <v>63</v>
      </c>
      <c r="AB46" t="str">
        <f>IF(Table1[[#This Row],[TIPO2]]="costo", VLOOKUP(Table1[[#This Row],[PARTIDA PRESUPUESTAL]],'Cost Report'!G:G,1,0),"Balance")</f>
        <v>1101-021</v>
      </c>
      <c r="AC46" s="118"/>
      <c r="AD46" s="159">
        <f>+Table1[[#This Row],[SUBTOTAL]]+Table1[[#This Row],[IVA]]-Table1[[#This Row],[RET IVA]]-Table1[[#This Row],[RET ISR]]-Table1[[#This Row],[TOTAL]]</f>
        <v>0</v>
      </c>
      <c r="AE46" s="150"/>
      <c r="AF46" s="151"/>
      <c r="AG46" s="126"/>
      <c r="AK46" s="306">
        <f>IF(ISNUMBER(Table1[[#This Row],[FECHA DE RECIBIDO]]), Table1[[#This Row],[FECHA DE RECIBIDO]]-DATE(2023,8,30), "")</f>
        <v>-45105</v>
      </c>
    </row>
    <row r="47" spans="1:37" ht="16.05" customHeight="1">
      <c r="A47" s="152" t="s">
        <v>188</v>
      </c>
      <c r="B47" s="153" t="s">
        <v>189</v>
      </c>
      <c r="C47" s="126" t="s">
        <v>142</v>
      </c>
      <c r="D47">
        <v>27</v>
      </c>
      <c r="E47" s="126" t="s">
        <v>190</v>
      </c>
      <c r="F47" s="125" t="s">
        <v>134</v>
      </c>
      <c r="G47" s="125" t="s">
        <v>134</v>
      </c>
      <c r="H47">
        <v>14</v>
      </c>
      <c r="I47" s="125"/>
      <c r="J47" s="308">
        <v>76</v>
      </c>
      <c r="K47" s="127"/>
      <c r="L47" s="153" t="s">
        <v>118</v>
      </c>
      <c r="M47">
        <v>18</v>
      </c>
      <c r="N47" s="123"/>
      <c r="O47">
        <v>34</v>
      </c>
      <c r="P47" s="132" t="s">
        <v>77</v>
      </c>
      <c r="Q47" s="132">
        <v>135092.87000000011</v>
      </c>
      <c r="R47" s="132">
        <v>21614.859200000017</v>
      </c>
      <c r="S47" s="132"/>
      <c r="T47" s="156"/>
      <c r="U47" s="132"/>
      <c r="V47" s="132">
        <f>+Table1[[#This Row],[SUBTOTAL]]+Table1[[#This Row],[IVA]]-Table1[[#This Row],[RET IVA]]-Table1[[#This Row],[RET ISR]]</f>
        <v>156707.72920000012</v>
      </c>
      <c r="W47">
        <v>14</v>
      </c>
      <c r="X47" s="153" t="s">
        <v>122</v>
      </c>
      <c r="Y47" s="124" t="s">
        <v>1544</v>
      </c>
      <c r="Z47" s="308">
        <v>107</v>
      </c>
      <c r="AB47" t="str">
        <f>IF(Table1[[#This Row],[TIPO2]]="costo", VLOOKUP(Table1[[#This Row],[PARTIDA PRESUPUESTAL]],'Cost Report'!G:G,1,0),"Balance")</f>
        <v>1101-021</v>
      </c>
      <c r="AC47" s="118"/>
      <c r="AD47" s="159">
        <f>+Table1[[#This Row],[SUBTOTAL]]+Table1[[#This Row],[IVA]]-Table1[[#This Row],[RET IVA]]-Table1[[#This Row],[RET ISR]]-Table1[[#This Row],[TOTAL]]</f>
        <v>0</v>
      </c>
      <c r="AE47" s="152"/>
      <c r="AF47" s="153"/>
      <c r="AG47" s="126"/>
      <c r="AK47" s="306">
        <f>IF(ISNUMBER(Table1[[#This Row],[FECHA DE RECIBIDO]]), Table1[[#This Row],[FECHA DE RECIBIDO]]-DATE(2023,8,30), "")</f>
        <v>-45092</v>
      </c>
    </row>
    <row r="48" spans="1:37" ht="16.05" customHeight="1">
      <c r="A48" s="150" t="s">
        <v>188</v>
      </c>
      <c r="B48" s="151" t="s">
        <v>189</v>
      </c>
      <c r="C48" s="126" t="s">
        <v>217</v>
      </c>
      <c r="D48">
        <v>27</v>
      </c>
      <c r="E48" s="126" t="s">
        <v>190</v>
      </c>
      <c r="F48" s="122" t="s">
        <v>134</v>
      </c>
      <c r="G48" s="122" t="s">
        <v>134</v>
      </c>
      <c r="H48">
        <v>14</v>
      </c>
      <c r="I48" s="122"/>
      <c r="J48" s="307">
        <v>76</v>
      </c>
      <c r="K48" s="127"/>
      <c r="L48" s="151" t="s">
        <v>118</v>
      </c>
      <c r="M48">
        <v>18</v>
      </c>
      <c r="N48" s="123"/>
      <c r="O48">
        <v>34</v>
      </c>
      <c r="P48" s="132" t="s">
        <v>77</v>
      </c>
      <c r="Q48" s="131">
        <v>14907.129999999888</v>
      </c>
      <c r="R48" s="131">
        <v>2385.1407999999824</v>
      </c>
      <c r="S48" s="131"/>
      <c r="T48" s="155"/>
      <c r="U48" s="131"/>
      <c r="V48" s="131">
        <f>+Table1[[#This Row],[SUBTOTAL]]+Table1[[#This Row],[IVA]]-Table1[[#This Row],[RET IVA]]-Table1[[#This Row],[RET ISR]]</f>
        <v>17292.270799999871</v>
      </c>
      <c r="W48">
        <v>14</v>
      </c>
      <c r="X48" s="151" t="s">
        <v>122</v>
      </c>
      <c r="Y48" s="135" t="s">
        <v>1544</v>
      </c>
      <c r="Z48" s="307">
        <v>107</v>
      </c>
      <c r="AB48" t="str">
        <f>IF(Table1[[#This Row],[TIPO2]]="costo", VLOOKUP(Table1[[#This Row],[PARTIDA PRESUPUESTAL]],'Cost Report'!G:G,1,0),"Balance")</f>
        <v>1101-026</v>
      </c>
      <c r="AC48" s="118"/>
      <c r="AD48" s="159">
        <f>+Table1[[#This Row],[SUBTOTAL]]+Table1[[#This Row],[IVA]]-Table1[[#This Row],[RET IVA]]-Table1[[#This Row],[RET ISR]]-Table1[[#This Row],[TOTAL]]</f>
        <v>0</v>
      </c>
      <c r="AE48" s="150"/>
      <c r="AF48" s="151"/>
      <c r="AG48" s="126"/>
      <c r="AK48" s="306">
        <f>IF(ISNUMBER(Table1[[#This Row],[FECHA DE RECIBIDO]]), Table1[[#This Row],[FECHA DE RECIBIDO]]-DATE(2023,8,30), "")</f>
        <v>-45092</v>
      </c>
    </row>
    <row r="49" spans="1:37" ht="16.05" customHeight="1">
      <c r="A49" s="152" t="s">
        <v>1421</v>
      </c>
      <c r="B49" s="153" t="s">
        <v>1422</v>
      </c>
      <c r="C49" s="126" t="s">
        <v>473</v>
      </c>
      <c r="D49">
        <v>28</v>
      </c>
      <c r="E49" s="126">
        <v>1620</v>
      </c>
      <c r="F49" s="125" t="s">
        <v>129</v>
      </c>
      <c r="G49" s="125" t="s">
        <v>129</v>
      </c>
      <c r="H49">
        <v>15</v>
      </c>
      <c r="I49" s="125"/>
      <c r="J49" s="308">
        <v>111</v>
      </c>
      <c r="K49" s="127"/>
      <c r="L49" s="153" t="s">
        <v>110</v>
      </c>
      <c r="M49">
        <v>19</v>
      </c>
      <c r="N49" s="123"/>
      <c r="O49">
        <v>35</v>
      </c>
      <c r="P49" s="132" t="s">
        <v>77</v>
      </c>
      <c r="Q49" s="132">
        <v>18900</v>
      </c>
      <c r="R49" s="132">
        <v>3024</v>
      </c>
      <c r="S49" s="132"/>
      <c r="T49" s="156">
        <v>2016.01</v>
      </c>
      <c r="U49" s="132">
        <v>1890</v>
      </c>
      <c r="V49" s="132">
        <f>+Table1[[#This Row],[SUBTOTAL]]+Table1[[#This Row],[IVA]]-Table1[[#This Row],[RET IVA]]-Table1[[#This Row],[RET ISR]]</f>
        <v>18017.990000000002</v>
      </c>
      <c r="W49">
        <v>15</v>
      </c>
      <c r="X49" s="153" t="s">
        <v>122</v>
      </c>
      <c r="Y49" s="124" t="s">
        <v>1544</v>
      </c>
      <c r="Z49" s="308">
        <v>119</v>
      </c>
      <c r="AB49" t="str">
        <f>IF(Table1[[#This Row],[TIPO2]]="costo", VLOOKUP(Table1[[#This Row],[PARTIDA PRESUPUESTAL]],'Cost Report'!G:G,1,0),"Balance")</f>
        <v>2013-003</v>
      </c>
      <c r="AC49" s="118"/>
      <c r="AD49" s="159">
        <f>+Table1[[#This Row],[SUBTOTAL]]+Table1[[#This Row],[IVA]]-Table1[[#This Row],[RET IVA]]-Table1[[#This Row],[RET ISR]]-Table1[[#This Row],[TOTAL]]</f>
        <v>0</v>
      </c>
      <c r="AE49" s="152"/>
      <c r="AF49" s="153"/>
      <c r="AG49" s="126"/>
      <c r="AK49" s="306">
        <f>IF(ISNUMBER(Table1[[#This Row],[FECHA DE RECIBIDO]]), Table1[[#This Row],[FECHA DE RECIBIDO]]-DATE(2023,8,30), "")</f>
        <v>-45057</v>
      </c>
    </row>
    <row r="50" spans="1:37" ht="16.05" customHeight="1">
      <c r="A50" s="150" t="s">
        <v>1423</v>
      </c>
      <c r="B50" s="151" t="s">
        <v>1424</v>
      </c>
      <c r="C50" s="126" t="s">
        <v>223</v>
      </c>
      <c r="D50">
        <v>29</v>
      </c>
      <c r="E50" s="126">
        <v>6100</v>
      </c>
      <c r="F50" s="122" t="s">
        <v>109</v>
      </c>
      <c r="G50" s="122" t="s">
        <v>109</v>
      </c>
      <c r="H50">
        <v>3</v>
      </c>
      <c r="I50" s="122"/>
      <c r="J50" s="307">
        <v>120</v>
      </c>
      <c r="K50" s="127"/>
      <c r="L50" s="151" t="s">
        <v>110</v>
      </c>
      <c r="M50">
        <v>3</v>
      </c>
      <c r="N50" s="123"/>
      <c r="O50">
        <v>36</v>
      </c>
      <c r="P50" s="132" t="s">
        <v>77</v>
      </c>
      <c r="Q50" s="131">
        <v>25000</v>
      </c>
      <c r="R50" s="131">
        <v>4000</v>
      </c>
      <c r="S50" s="131"/>
      <c r="T50" s="155">
        <v>2666.67</v>
      </c>
      <c r="U50" s="131">
        <v>2500</v>
      </c>
      <c r="V50" s="131">
        <f>+Table1[[#This Row],[SUBTOTAL]]+Table1[[#This Row],[IVA]]-Table1[[#This Row],[RET IVA]]-Table1[[#This Row],[RET ISR]]</f>
        <v>23833.33</v>
      </c>
      <c r="W50">
        <v>2</v>
      </c>
      <c r="X50" s="151" t="s">
        <v>122</v>
      </c>
      <c r="Y50" s="135" t="s">
        <v>1544</v>
      </c>
      <c r="Z50" s="307">
        <v>120</v>
      </c>
      <c r="AB50" t="str">
        <f>IF(Table1[[#This Row],[TIPO2]]="costo", VLOOKUP(Table1[[#This Row],[PARTIDA PRESUPUESTAL]],'Cost Report'!G:G,1,0),"Balance")</f>
        <v>1122-005</v>
      </c>
      <c r="AC50" s="118"/>
      <c r="AD50" s="159">
        <f>+Table1[[#This Row],[SUBTOTAL]]+Table1[[#This Row],[IVA]]-Table1[[#This Row],[RET IVA]]-Table1[[#This Row],[RET ISR]]-Table1[[#This Row],[TOTAL]]</f>
        <v>0</v>
      </c>
      <c r="AE50" s="150"/>
      <c r="AF50" s="151"/>
      <c r="AG50" s="126"/>
      <c r="AK50" s="306">
        <f>IF(ISNUMBER(Table1[[#This Row],[FECHA DE RECIBIDO]]), Table1[[#This Row],[FECHA DE RECIBIDO]]-DATE(2023,8,30), "")</f>
        <v>-45048</v>
      </c>
    </row>
    <row r="51" spans="1:37" ht="16.05" customHeight="1">
      <c r="A51" s="152" t="s">
        <v>1425</v>
      </c>
      <c r="B51" s="153" t="s">
        <v>1426</v>
      </c>
      <c r="C51" s="126" t="s">
        <v>217</v>
      </c>
      <c r="D51"/>
      <c r="E51" s="126"/>
      <c r="F51" s="125" t="s">
        <v>134</v>
      </c>
      <c r="G51" s="125" t="s">
        <v>134</v>
      </c>
      <c r="H51"/>
      <c r="I51" s="125"/>
      <c r="J51" s="308" t="s">
        <v>214</v>
      </c>
      <c r="K51" s="127"/>
      <c r="L51" s="153" t="s">
        <v>156</v>
      </c>
      <c r="M51"/>
      <c r="N51" s="123"/>
      <c r="O51">
        <v>37</v>
      </c>
      <c r="P51" s="132" t="s">
        <v>77</v>
      </c>
      <c r="Q51" s="132">
        <v>42892.86</v>
      </c>
      <c r="R51" s="132"/>
      <c r="S51" s="132"/>
      <c r="T51" s="156"/>
      <c r="U51" s="132"/>
      <c r="V51" s="132">
        <f>+Table1[[#This Row],[SUBTOTAL]]+Table1[[#This Row],[IVA]]-Table1[[#This Row],[RET IVA]]-Table1[[#This Row],[RET ISR]]</f>
        <v>42892.86</v>
      </c>
      <c r="W51"/>
      <c r="X51" s="153" t="s">
        <v>157</v>
      </c>
      <c r="Y51" s="124" t="s">
        <v>1544</v>
      </c>
      <c r="Z51" s="308">
        <v>120</v>
      </c>
      <c r="AB51" t="str">
        <f>IF(Table1[[#This Row],[TIPO2]]="costo", VLOOKUP(Table1[[#This Row],[PARTIDA PRESUPUESTAL]],'Cost Report'!G:G,1,0),"Balance")</f>
        <v>1101-026</v>
      </c>
      <c r="AC51" s="118"/>
      <c r="AD51" s="159">
        <f>+Table1[[#This Row],[SUBTOTAL]]+Table1[[#This Row],[IVA]]-Table1[[#This Row],[RET IVA]]-Table1[[#This Row],[RET ISR]]-Table1[[#This Row],[TOTAL]]</f>
        <v>0</v>
      </c>
      <c r="AE51" s="152"/>
      <c r="AF51" s="153"/>
      <c r="AG51" s="126"/>
      <c r="AK51" s="306" t="str">
        <f>IF(ISNUMBER(Table1[[#This Row],[FECHA DE RECIBIDO]]), Table1[[#This Row],[FECHA DE RECIBIDO]]-DATE(2023,8,30), "")</f>
        <v/>
      </c>
    </row>
    <row r="52" spans="1:37" ht="16.05" customHeight="1">
      <c r="A52" s="150" t="s">
        <v>1427</v>
      </c>
      <c r="B52" s="151" t="s">
        <v>1428</v>
      </c>
      <c r="C52" s="126" t="s">
        <v>75</v>
      </c>
      <c r="D52"/>
      <c r="E52" s="126"/>
      <c r="F52" s="122" t="s">
        <v>134</v>
      </c>
      <c r="G52" s="122" t="s">
        <v>134</v>
      </c>
      <c r="H52"/>
      <c r="I52" s="122"/>
      <c r="J52" s="307" t="s">
        <v>214</v>
      </c>
      <c r="K52" s="127"/>
      <c r="L52" s="151" t="s">
        <v>156</v>
      </c>
      <c r="M52">
        <v>0</v>
      </c>
      <c r="N52" s="123"/>
      <c r="O52">
        <v>38</v>
      </c>
      <c r="P52" s="131" t="s">
        <v>78</v>
      </c>
      <c r="Q52" s="131">
        <v>-178385.14</v>
      </c>
      <c r="R52" s="131"/>
      <c r="S52" s="131"/>
      <c r="T52" s="155"/>
      <c r="U52" s="131"/>
      <c r="V52" s="131">
        <f>+Table1[[#This Row],[SUBTOTAL]]+Table1[[#This Row],[IVA]]-Table1[[#This Row],[RET IVA]]-Table1[[#This Row],[RET ISR]]</f>
        <v>-178385.14</v>
      </c>
      <c r="W52"/>
      <c r="X52" s="151" t="s">
        <v>157</v>
      </c>
      <c r="Y52" s="135" t="s">
        <v>1544</v>
      </c>
      <c r="Z52" s="307">
        <v>120</v>
      </c>
      <c r="AB52" t="str">
        <f>IF(Table1[[#This Row],[TIPO2]]="costo", VLOOKUP(Table1[[#This Row],[PARTIDA PRESUPUESTAL]],'Cost Report'!G:G,1,0),"Balance")</f>
        <v>Balance</v>
      </c>
      <c r="AC52" s="118"/>
      <c r="AD52" s="159">
        <f>+Table1[[#This Row],[SUBTOTAL]]+Table1[[#This Row],[IVA]]-Table1[[#This Row],[RET IVA]]-Table1[[#This Row],[RET ISR]]-Table1[[#This Row],[TOTAL]]</f>
        <v>0</v>
      </c>
      <c r="AE52" s="150"/>
      <c r="AF52" s="151"/>
      <c r="AG52" s="126"/>
      <c r="AK52" s="306" t="str">
        <f>IF(ISNUMBER(Table1[[#This Row],[FECHA DE RECIBIDO]]), Table1[[#This Row],[FECHA DE RECIBIDO]]-DATE(2023,8,30), "")</f>
        <v/>
      </c>
    </row>
    <row r="53" spans="1:37" ht="16.05" customHeight="1">
      <c r="A53" s="152" t="s">
        <v>188</v>
      </c>
      <c r="B53" s="153" t="s">
        <v>189</v>
      </c>
      <c r="C53" s="126" t="s">
        <v>217</v>
      </c>
      <c r="D53">
        <v>30</v>
      </c>
      <c r="E53" s="126">
        <v>1730</v>
      </c>
      <c r="F53" s="125" t="s">
        <v>109</v>
      </c>
      <c r="G53" s="125" t="s">
        <v>109</v>
      </c>
      <c r="H53">
        <v>13</v>
      </c>
      <c r="I53" s="125"/>
      <c r="J53" s="308" t="s">
        <v>214</v>
      </c>
      <c r="K53" s="127"/>
      <c r="L53" s="153" t="s">
        <v>110</v>
      </c>
      <c r="M53">
        <v>17</v>
      </c>
      <c r="N53" s="123"/>
      <c r="O53">
        <v>33</v>
      </c>
      <c r="P53" s="132" t="s">
        <v>77</v>
      </c>
      <c r="Q53" s="132">
        <v>591737</v>
      </c>
      <c r="R53" s="132"/>
      <c r="S53" s="132"/>
      <c r="T53" s="156"/>
      <c r="U53" s="132"/>
      <c r="V53" s="132">
        <f>+Table1[[#This Row],[SUBTOTAL]]+Table1[[#This Row],[IVA]]-Table1[[#This Row],[RET IVA]]-Table1[[#This Row],[RET ISR]]</f>
        <v>591737</v>
      </c>
      <c r="W53"/>
      <c r="X53" s="153" t="s">
        <v>157</v>
      </c>
      <c r="Y53" s="124" t="s">
        <v>1544</v>
      </c>
      <c r="Z53" s="308">
        <v>120</v>
      </c>
      <c r="AB53" t="str">
        <f>IF(Table1[[#This Row],[TIPO2]]="costo", VLOOKUP(Table1[[#This Row],[PARTIDA PRESUPUESTAL]],'Cost Report'!G:G,1,0),"Balance")</f>
        <v>1101-026</v>
      </c>
      <c r="AC53" s="118"/>
      <c r="AD53" s="159">
        <f>+Table1[[#This Row],[SUBTOTAL]]+Table1[[#This Row],[IVA]]-Table1[[#This Row],[RET IVA]]-Table1[[#This Row],[RET ISR]]-Table1[[#This Row],[TOTAL]]</f>
        <v>0</v>
      </c>
      <c r="AE53" s="152"/>
      <c r="AF53" s="153"/>
      <c r="AG53" s="126"/>
      <c r="AK53" s="306" t="str">
        <f>IF(ISNUMBER(Table1[[#This Row],[FECHA DE RECIBIDO]]), Table1[[#This Row],[FECHA DE RECIBIDO]]-DATE(2023,8,30), "")</f>
        <v/>
      </c>
    </row>
    <row r="54" spans="1:37" ht="16.05" customHeight="1">
      <c r="A54" s="150" t="s">
        <v>188</v>
      </c>
      <c r="B54" s="151" t="s">
        <v>189</v>
      </c>
      <c r="C54" s="126" t="s">
        <v>217</v>
      </c>
      <c r="D54">
        <v>30</v>
      </c>
      <c r="E54" s="126">
        <v>1730</v>
      </c>
      <c r="F54" s="122" t="s">
        <v>109</v>
      </c>
      <c r="G54" s="122" t="s">
        <v>109</v>
      </c>
      <c r="H54">
        <v>13</v>
      </c>
      <c r="I54" s="122"/>
      <c r="J54" s="307" t="s">
        <v>214</v>
      </c>
      <c r="K54" s="127"/>
      <c r="L54" s="151" t="s">
        <v>110</v>
      </c>
      <c r="M54">
        <v>17</v>
      </c>
      <c r="N54" s="123"/>
      <c r="O54">
        <v>33</v>
      </c>
      <c r="P54" s="132" t="s">
        <v>77</v>
      </c>
      <c r="Q54" s="131">
        <v>750463</v>
      </c>
      <c r="R54" s="131">
        <v>221614.86</v>
      </c>
      <c r="S54" s="131"/>
      <c r="T54" s="155"/>
      <c r="U54" s="131"/>
      <c r="V54" s="131">
        <f>+Table1[[#This Row],[SUBTOTAL]]+Table1[[#This Row],[IVA]]-Table1[[#This Row],[RET IVA]]-Table1[[#This Row],[RET ISR]]</f>
        <v>972077.86</v>
      </c>
      <c r="W54"/>
      <c r="X54" s="151"/>
      <c r="Y54" s="135" t="s">
        <v>1544</v>
      </c>
      <c r="Z54" s="307">
        <v>-226</v>
      </c>
      <c r="AB54" t="str">
        <f>IF(Table1[[#This Row],[TIPO2]]="costo", VLOOKUP(Table1[[#This Row],[PARTIDA PRESUPUESTAL]],'Cost Report'!G:G,1,0),"Balance")</f>
        <v>1101-026</v>
      </c>
      <c r="AC54" s="118"/>
      <c r="AD54" s="159">
        <f>+Table1[[#This Row],[SUBTOTAL]]+Table1[[#This Row],[IVA]]-Table1[[#This Row],[RET IVA]]-Table1[[#This Row],[RET ISR]]-Table1[[#This Row],[TOTAL]]</f>
        <v>0</v>
      </c>
      <c r="AE54" s="150"/>
      <c r="AF54" s="151"/>
      <c r="AG54" s="126"/>
      <c r="AK54" s="306" t="str">
        <f>IF(ISNUMBER(Table1[[#This Row],[FECHA DE RECIBIDO]]), Table1[[#This Row],[FECHA DE RECIBIDO]]-DATE(2023,8,30), "")</f>
        <v/>
      </c>
    </row>
    <row r="55" spans="1:37" ht="16.05" customHeight="1">
      <c r="A55" s="152" t="s">
        <v>198</v>
      </c>
      <c r="B55" s="153" t="s">
        <v>199</v>
      </c>
      <c r="C55" s="126" t="s">
        <v>72</v>
      </c>
      <c r="D55"/>
      <c r="E55" s="126"/>
      <c r="F55" s="125" t="s">
        <v>134</v>
      </c>
      <c r="G55" s="125" t="s">
        <v>134</v>
      </c>
      <c r="H55"/>
      <c r="I55" s="125"/>
      <c r="J55" s="308" t="s">
        <v>214</v>
      </c>
      <c r="K55" s="127"/>
      <c r="L55" s="153" t="s">
        <v>156</v>
      </c>
      <c r="M55">
        <v>8</v>
      </c>
      <c r="N55" s="123"/>
      <c r="O55"/>
      <c r="P55" s="131" t="s">
        <v>78</v>
      </c>
      <c r="Q55" s="132">
        <v>29888</v>
      </c>
      <c r="R55" s="132"/>
      <c r="S55" s="132"/>
      <c r="T55" s="156"/>
      <c r="U55" s="132"/>
      <c r="V55" s="132">
        <f>+Table1[[#This Row],[SUBTOTAL]]+Table1[[#This Row],[IVA]]-Table1[[#This Row],[RET IVA]]-Table1[[#This Row],[RET ISR]]</f>
        <v>29888</v>
      </c>
      <c r="W55"/>
      <c r="X55" s="153" t="s">
        <v>157</v>
      </c>
      <c r="Y55" s="124" t="s">
        <v>1544</v>
      </c>
      <c r="Z55" s="308">
        <v>-224</v>
      </c>
      <c r="AB55" t="str">
        <f>IF(Table1[[#This Row],[TIPO2]]="costo", VLOOKUP(Table1[[#This Row],[PARTIDA PRESUPUESTAL]],'Cost Report'!G:G,1,0),"Balance")</f>
        <v>Balance</v>
      </c>
      <c r="AC55" s="118"/>
      <c r="AD55" s="159">
        <f>+Table1[[#This Row],[SUBTOTAL]]+Table1[[#This Row],[IVA]]-Table1[[#This Row],[RET IVA]]-Table1[[#This Row],[RET ISR]]-Table1[[#This Row],[TOTAL]]</f>
        <v>0</v>
      </c>
      <c r="AE55" s="152"/>
      <c r="AF55" s="153"/>
      <c r="AG55" s="126"/>
      <c r="AK55" s="306" t="str">
        <f>IF(ISNUMBER(Table1[[#This Row],[FECHA DE RECIBIDO]]), Table1[[#This Row],[FECHA DE RECIBIDO]]-DATE(2023,8,30), "")</f>
        <v/>
      </c>
    </row>
    <row r="56" spans="1:37" ht="16.05" customHeight="1">
      <c r="A56" s="150" t="s">
        <v>200</v>
      </c>
      <c r="B56" s="151" t="s">
        <v>201</v>
      </c>
      <c r="C56" s="126" t="s">
        <v>73</v>
      </c>
      <c r="D56"/>
      <c r="E56" s="126"/>
      <c r="F56" s="122" t="s">
        <v>134</v>
      </c>
      <c r="G56" s="122" t="s">
        <v>134</v>
      </c>
      <c r="H56"/>
      <c r="I56" s="122"/>
      <c r="J56" s="307" t="s">
        <v>214</v>
      </c>
      <c r="K56" s="127"/>
      <c r="L56" s="151" t="s">
        <v>156</v>
      </c>
      <c r="M56">
        <v>9</v>
      </c>
      <c r="N56" s="123"/>
      <c r="O56"/>
      <c r="P56" s="131" t="s">
        <v>78</v>
      </c>
      <c r="Q56" s="131">
        <v>27101</v>
      </c>
      <c r="R56" s="131"/>
      <c r="S56" s="131"/>
      <c r="T56" s="155"/>
      <c r="U56" s="131"/>
      <c r="V56" s="131">
        <f>+Table1[[#This Row],[SUBTOTAL]]+Table1[[#This Row],[IVA]]-Table1[[#This Row],[RET IVA]]-Table1[[#This Row],[RET ISR]]</f>
        <v>27101</v>
      </c>
      <c r="W56"/>
      <c r="X56" s="151" t="s">
        <v>157</v>
      </c>
      <c r="Y56" s="135" t="s">
        <v>1544</v>
      </c>
      <c r="Z56" s="307">
        <v>-224</v>
      </c>
      <c r="AB56" t="str">
        <f>IF(Table1[[#This Row],[TIPO2]]="costo", VLOOKUP(Table1[[#This Row],[PARTIDA PRESUPUESTAL]],'Cost Report'!G:G,1,0),"Balance")</f>
        <v>Balance</v>
      </c>
      <c r="AC56" s="118"/>
      <c r="AD56" s="159">
        <f>+Table1[[#This Row],[SUBTOTAL]]+Table1[[#This Row],[IVA]]-Table1[[#This Row],[RET IVA]]-Table1[[#This Row],[RET ISR]]-Table1[[#This Row],[TOTAL]]</f>
        <v>0</v>
      </c>
      <c r="AE56" s="150"/>
      <c r="AF56" s="151"/>
      <c r="AG56" s="126"/>
      <c r="AK56" s="306" t="str">
        <f>IF(ISNUMBER(Table1[[#This Row],[FECHA DE RECIBIDO]]), Table1[[#This Row],[FECHA DE RECIBIDO]]-DATE(2023,8,30), "")</f>
        <v/>
      </c>
    </row>
    <row r="57" spans="1:37" ht="16.05" customHeight="1">
      <c r="A57" s="152"/>
      <c r="B57" s="153"/>
      <c r="C57" s="126" t="s">
        <v>3097</v>
      </c>
      <c r="D57">
        <v>30</v>
      </c>
      <c r="E57" s="126"/>
      <c r="F57" s="125"/>
      <c r="G57" s="125"/>
      <c r="H57"/>
      <c r="I57" s="125"/>
      <c r="J57" s="308" t="s">
        <v>214</v>
      </c>
      <c r="K57" s="127"/>
      <c r="L57" s="153"/>
      <c r="M57">
        <v>20</v>
      </c>
      <c r="N57" s="123"/>
      <c r="O57">
        <v>39</v>
      </c>
      <c r="P57" s="132" t="s">
        <v>77</v>
      </c>
      <c r="Q57" s="132">
        <v>700000</v>
      </c>
      <c r="R57" s="132"/>
      <c r="S57" s="132"/>
      <c r="T57" s="156"/>
      <c r="U57" s="132"/>
      <c r="V57" s="132">
        <f>+Table1[[#This Row],[SUBTOTAL]]+Table1[[#This Row],[IVA]]-Table1[[#This Row],[RET IVA]]-Table1[[#This Row],[RET ISR]]</f>
        <v>700000</v>
      </c>
      <c r="W57"/>
      <c r="X57" s="153" t="s">
        <v>157</v>
      </c>
      <c r="Y57" s="124" t="s">
        <v>1544</v>
      </c>
      <c r="Z57" s="308">
        <v>-226</v>
      </c>
      <c r="AB57" t="str">
        <f>IF(Table1[[#This Row],[TIPO2]]="costo", VLOOKUP(Table1[[#This Row],[PARTIDA PRESUPUESTAL]],'Cost Report'!G:G,1,0),"Balance")</f>
        <v>7003-004</v>
      </c>
      <c r="AC57" s="118"/>
      <c r="AD57" s="159">
        <f>+Table1[[#This Row],[SUBTOTAL]]+Table1[[#This Row],[IVA]]-Table1[[#This Row],[RET IVA]]-Table1[[#This Row],[RET ISR]]-Table1[[#This Row],[TOTAL]]</f>
        <v>0</v>
      </c>
      <c r="AE57" s="152"/>
      <c r="AF57" s="153"/>
      <c r="AG57" s="126"/>
      <c r="AK57" s="306" t="str">
        <f>IF(ISNUMBER(Table1[[#This Row],[FECHA DE RECIBIDO]]), Table1[[#This Row],[FECHA DE RECIBIDO]]-DATE(2023,8,30), "")</f>
        <v/>
      </c>
    </row>
    <row r="58" spans="1:37" ht="16.05" customHeight="1">
      <c r="A58" s="150" t="s">
        <v>1435</v>
      </c>
      <c r="B58" s="151">
        <v>39</v>
      </c>
      <c r="C58" s="126" t="s">
        <v>473</v>
      </c>
      <c r="D58">
        <v>31</v>
      </c>
      <c r="E58" s="126"/>
      <c r="F58" s="122" t="s">
        <v>129</v>
      </c>
      <c r="G58" s="122" t="s">
        <v>129</v>
      </c>
      <c r="H58">
        <v>15</v>
      </c>
      <c r="I58" s="122"/>
      <c r="J58" s="307">
        <v>134.48322916666802</v>
      </c>
      <c r="K58" s="127"/>
      <c r="L58" s="151" t="s">
        <v>110</v>
      </c>
      <c r="M58">
        <v>19</v>
      </c>
      <c r="N58" s="123"/>
      <c r="O58">
        <v>40</v>
      </c>
      <c r="P58" s="132" t="s">
        <v>77</v>
      </c>
      <c r="Q58" s="131">
        <v>18900</v>
      </c>
      <c r="R58" s="131">
        <v>3024</v>
      </c>
      <c r="S58" s="131"/>
      <c r="T58" s="155">
        <v>2016.01</v>
      </c>
      <c r="U58" s="131">
        <v>1890</v>
      </c>
      <c r="V58" s="131">
        <f>+Table1[[#This Row],[SUBTOTAL]]+Table1[[#This Row],[IVA]]-Table1[[#This Row],[RET IVA]]-Table1[[#This Row],[RET ISR]]</f>
        <v>18017.990000000002</v>
      </c>
      <c r="W58">
        <v>15</v>
      </c>
      <c r="X58" s="151" t="s">
        <v>1429</v>
      </c>
      <c r="Y58" s="135" t="s">
        <v>1544</v>
      </c>
      <c r="Z58" s="307">
        <v>135</v>
      </c>
      <c r="AB58" t="str">
        <f>IF(Table1[[#This Row],[TIPO2]]="costo", VLOOKUP(Table1[[#This Row],[PARTIDA PRESUPUESTAL]],'Cost Report'!G:G,1,0),"Balance")</f>
        <v>2013-003</v>
      </c>
      <c r="AC58" s="118"/>
      <c r="AD58" s="159">
        <f>+Table1[[#This Row],[SUBTOTAL]]+Table1[[#This Row],[IVA]]-Table1[[#This Row],[RET IVA]]-Table1[[#This Row],[RET ISR]]-Table1[[#This Row],[TOTAL]]</f>
        <v>0</v>
      </c>
      <c r="AE58" s="150"/>
      <c r="AF58" s="151"/>
      <c r="AG58" s="126"/>
      <c r="AK58" s="306">
        <f>IF(ISNUMBER(Table1[[#This Row],[FECHA DE RECIBIDO]]), Table1[[#This Row],[FECHA DE RECIBIDO]]-DATE(2023,8,30), "")</f>
        <v>-45033.516770833332</v>
      </c>
    </row>
    <row r="59" spans="1:37" ht="16.05" customHeight="1">
      <c r="A59" s="152" t="s">
        <v>1436</v>
      </c>
      <c r="B59" s="153">
        <v>40</v>
      </c>
      <c r="C59" s="126" t="s">
        <v>473</v>
      </c>
      <c r="D59">
        <v>32</v>
      </c>
      <c r="E59" s="126"/>
      <c r="F59" s="125" t="s">
        <v>129</v>
      </c>
      <c r="G59" s="125" t="s">
        <v>129</v>
      </c>
      <c r="H59">
        <v>15</v>
      </c>
      <c r="I59" s="125"/>
      <c r="J59" s="308" t="s">
        <v>214</v>
      </c>
      <c r="K59" s="127"/>
      <c r="L59" s="153" t="s">
        <v>110</v>
      </c>
      <c r="M59">
        <v>19</v>
      </c>
      <c r="N59" s="123"/>
      <c r="O59">
        <v>41</v>
      </c>
      <c r="P59" s="132" t="s">
        <v>77</v>
      </c>
      <c r="Q59" s="132">
        <v>37800</v>
      </c>
      <c r="R59" s="132">
        <v>6048</v>
      </c>
      <c r="S59" s="132"/>
      <c r="T59" s="156">
        <v>4032.01</v>
      </c>
      <c r="U59" s="132">
        <v>3780</v>
      </c>
      <c r="V59" s="132">
        <f>+Table1[[#This Row],[SUBTOTAL]]+Table1[[#This Row],[IVA]]-Table1[[#This Row],[RET IVA]]-Table1[[#This Row],[RET ISR]]</f>
        <v>36035.99</v>
      </c>
      <c r="W59">
        <v>15</v>
      </c>
      <c r="X59" s="153" t="s">
        <v>1429</v>
      </c>
      <c r="Y59" s="124" t="s">
        <v>1544</v>
      </c>
      <c r="Z59" s="308">
        <v>142</v>
      </c>
      <c r="AB59" t="str">
        <f>IF(Table1[[#This Row],[TIPO2]]="costo", VLOOKUP(Table1[[#This Row],[PARTIDA PRESUPUESTAL]],'Cost Report'!G:G,1,0),"Balance")</f>
        <v>2013-003</v>
      </c>
      <c r="AC59" s="118"/>
      <c r="AD59" s="159">
        <f>+Table1[[#This Row],[SUBTOTAL]]+Table1[[#This Row],[IVA]]-Table1[[#This Row],[RET IVA]]-Table1[[#This Row],[RET ISR]]-Table1[[#This Row],[TOTAL]]</f>
        <v>0</v>
      </c>
      <c r="AE59" s="152"/>
      <c r="AF59" s="153"/>
      <c r="AG59" s="126"/>
      <c r="AK59" s="306" t="str">
        <f>IF(ISNUMBER(Table1[[#This Row],[FECHA DE RECIBIDO]]), Table1[[#This Row],[FECHA DE RECIBIDO]]-DATE(2023,8,30), "")</f>
        <v/>
      </c>
    </row>
    <row r="60" spans="1:37" ht="16.05" customHeight="1">
      <c r="A60" s="150" t="s">
        <v>1437</v>
      </c>
      <c r="B60" s="151">
        <v>41</v>
      </c>
      <c r="C60" s="126" t="s">
        <v>235</v>
      </c>
      <c r="D60">
        <v>33</v>
      </c>
      <c r="E60" s="126"/>
      <c r="F60" s="122" t="s">
        <v>129</v>
      </c>
      <c r="G60" s="122" t="s">
        <v>129</v>
      </c>
      <c r="H60">
        <v>10</v>
      </c>
      <c r="I60" s="122"/>
      <c r="J60" s="307" t="s">
        <v>214</v>
      </c>
      <c r="K60" s="127"/>
      <c r="L60" s="151" t="s">
        <v>110</v>
      </c>
      <c r="M60">
        <v>13</v>
      </c>
      <c r="N60" s="123"/>
      <c r="O60">
        <v>42</v>
      </c>
      <c r="P60" s="132" t="s">
        <v>77</v>
      </c>
      <c r="Q60" s="131">
        <v>50000</v>
      </c>
      <c r="R60" s="131">
        <v>8000</v>
      </c>
      <c r="S60" s="131"/>
      <c r="T60" s="155">
        <v>5333.35</v>
      </c>
      <c r="U60" s="131">
        <v>5000</v>
      </c>
      <c r="V60" s="131">
        <f>+Table1[[#This Row],[SUBTOTAL]]+Table1[[#This Row],[IVA]]-Table1[[#This Row],[RET IVA]]-Table1[[#This Row],[RET ISR]]</f>
        <v>47666.65</v>
      </c>
      <c r="W60">
        <v>9</v>
      </c>
      <c r="X60" s="151" t="s">
        <v>1429</v>
      </c>
      <c r="Y60" s="135" t="s">
        <v>1544</v>
      </c>
      <c r="Z60" s="307">
        <v>142</v>
      </c>
      <c r="AB60" t="str">
        <f>IF(Table1[[#This Row],[TIPO2]]="costo", VLOOKUP(Table1[[#This Row],[PARTIDA PRESUPUESTAL]],'Cost Report'!G:G,1,0),"Balance")</f>
        <v>1202-003</v>
      </c>
      <c r="AC60" s="118"/>
      <c r="AD60" s="159">
        <f>+Table1[[#This Row],[SUBTOTAL]]+Table1[[#This Row],[IVA]]-Table1[[#This Row],[RET IVA]]-Table1[[#This Row],[RET ISR]]-Table1[[#This Row],[TOTAL]]</f>
        <v>0</v>
      </c>
      <c r="AE60" s="150"/>
      <c r="AF60" s="151"/>
      <c r="AG60" s="126"/>
      <c r="AK60" s="306" t="str">
        <f>IF(ISNUMBER(Table1[[#This Row],[FECHA DE RECIBIDO]]), Table1[[#This Row],[FECHA DE RECIBIDO]]-DATE(2023,8,30), "")</f>
        <v/>
      </c>
    </row>
    <row r="61" spans="1:37" ht="16.05" customHeight="1">
      <c r="A61" s="152" t="s">
        <v>1438</v>
      </c>
      <c r="B61" s="153">
        <v>42</v>
      </c>
      <c r="C61" s="126" t="s">
        <v>241</v>
      </c>
      <c r="D61">
        <v>34</v>
      </c>
      <c r="E61" s="126"/>
      <c r="F61" s="125" t="s">
        <v>129</v>
      </c>
      <c r="G61" s="125" t="s">
        <v>129</v>
      </c>
      <c r="H61">
        <v>16</v>
      </c>
      <c r="I61" s="125"/>
      <c r="J61" s="308" t="s">
        <v>214</v>
      </c>
      <c r="K61" s="127"/>
      <c r="L61" s="153" t="s">
        <v>110</v>
      </c>
      <c r="M61">
        <v>21</v>
      </c>
      <c r="N61" s="123"/>
      <c r="O61">
        <v>43</v>
      </c>
      <c r="P61" s="132" t="s">
        <v>77</v>
      </c>
      <c r="Q61" s="132">
        <v>168000</v>
      </c>
      <c r="R61" s="132">
        <v>26880</v>
      </c>
      <c r="S61" s="132"/>
      <c r="T61" s="156">
        <v>17920.060000000001</v>
      </c>
      <c r="U61" s="132">
        <v>16800</v>
      </c>
      <c r="V61" s="132">
        <f>+Table1[[#This Row],[SUBTOTAL]]+Table1[[#This Row],[IVA]]-Table1[[#This Row],[RET IVA]]-Table1[[#This Row],[RET ISR]]</f>
        <v>160159.94</v>
      </c>
      <c r="W61">
        <v>16</v>
      </c>
      <c r="X61" s="153" t="s">
        <v>1429</v>
      </c>
      <c r="Y61" s="124" t="s">
        <v>1544</v>
      </c>
      <c r="Z61" s="308">
        <v>142</v>
      </c>
      <c r="AB61" t="str">
        <f>IF(Table1[[#This Row],[TIPO2]]="costo", VLOOKUP(Table1[[#This Row],[PARTIDA PRESUPUESTAL]],'Cost Report'!G:G,1,0),"Balance")</f>
        <v>1204-003</v>
      </c>
      <c r="AC61" s="118"/>
      <c r="AD61" s="159">
        <f>+Table1[[#This Row],[SUBTOTAL]]+Table1[[#This Row],[IVA]]-Table1[[#This Row],[RET IVA]]-Table1[[#This Row],[RET ISR]]-Table1[[#This Row],[TOTAL]]</f>
        <v>0</v>
      </c>
      <c r="AE61" s="152"/>
      <c r="AF61" s="153"/>
      <c r="AG61" s="126"/>
      <c r="AK61" s="306" t="str">
        <f>IF(ISNUMBER(Table1[[#This Row],[FECHA DE RECIBIDO]]), Table1[[#This Row],[FECHA DE RECIBIDO]]-DATE(2023,8,30), "")</f>
        <v/>
      </c>
    </row>
    <row r="62" spans="1:37" ht="16.05" customHeight="1">
      <c r="A62" s="150" t="s">
        <v>1439</v>
      </c>
      <c r="B62" s="151">
        <v>43</v>
      </c>
      <c r="C62" s="126" t="s">
        <v>433</v>
      </c>
      <c r="D62">
        <v>35</v>
      </c>
      <c r="E62" s="126"/>
      <c r="F62" s="122" t="s">
        <v>129</v>
      </c>
      <c r="G62" s="122" t="s">
        <v>129</v>
      </c>
      <c r="H62">
        <v>17</v>
      </c>
      <c r="I62" s="122"/>
      <c r="J62" s="307" t="s">
        <v>214</v>
      </c>
      <c r="K62" s="127"/>
      <c r="L62" s="151" t="s">
        <v>110</v>
      </c>
      <c r="M62">
        <v>22</v>
      </c>
      <c r="N62" s="123"/>
      <c r="O62">
        <v>44</v>
      </c>
      <c r="P62" s="132" t="s">
        <v>77</v>
      </c>
      <c r="Q62" s="131">
        <v>40000</v>
      </c>
      <c r="R62" s="131">
        <v>6400</v>
      </c>
      <c r="S62" s="131"/>
      <c r="T62" s="155">
        <v>4266.68</v>
      </c>
      <c r="U62" s="131">
        <v>4000</v>
      </c>
      <c r="V62" s="131">
        <f>+Table1[[#This Row],[SUBTOTAL]]+Table1[[#This Row],[IVA]]-Table1[[#This Row],[RET IVA]]-Table1[[#This Row],[RET ISR]]</f>
        <v>38133.32</v>
      </c>
      <c r="W62">
        <v>17</v>
      </c>
      <c r="X62" s="151" t="s">
        <v>1430</v>
      </c>
      <c r="Y62" s="135" t="s">
        <v>1544</v>
      </c>
      <c r="Z62" s="307">
        <v>142</v>
      </c>
      <c r="AB62" t="str">
        <f>IF(Table1[[#This Row],[TIPO2]]="costo", VLOOKUP(Table1[[#This Row],[PARTIDA PRESUPUESTAL]],'Cost Report'!G:G,1,0),"Balance")</f>
        <v>2001-003</v>
      </c>
      <c r="AC62" s="118"/>
      <c r="AD62" s="159">
        <f>+Table1[[#This Row],[SUBTOTAL]]+Table1[[#This Row],[IVA]]-Table1[[#This Row],[RET IVA]]-Table1[[#This Row],[RET ISR]]-Table1[[#This Row],[TOTAL]]</f>
        <v>0</v>
      </c>
      <c r="AE62" s="150"/>
      <c r="AF62" s="151"/>
      <c r="AG62" s="126"/>
      <c r="AK62" s="306" t="str">
        <f>IF(ISNUMBER(Table1[[#This Row],[FECHA DE RECIBIDO]]), Table1[[#This Row],[FECHA DE RECIBIDO]]-DATE(2023,8,30), "")</f>
        <v/>
      </c>
    </row>
    <row r="63" spans="1:37" ht="16.05" customHeight="1">
      <c r="A63" s="152" t="s">
        <v>1440</v>
      </c>
      <c r="B63" s="153">
        <v>44</v>
      </c>
      <c r="C63" s="126" t="s">
        <v>248</v>
      </c>
      <c r="D63">
        <v>36</v>
      </c>
      <c r="E63" s="126"/>
      <c r="F63" s="125" t="s">
        <v>109</v>
      </c>
      <c r="G63" s="125" t="s">
        <v>109</v>
      </c>
      <c r="H63">
        <v>18</v>
      </c>
      <c r="I63" s="125"/>
      <c r="J63" s="308" t="s">
        <v>214</v>
      </c>
      <c r="K63" s="127"/>
      <c r="L63" s="153" t="s">
        <v>110</v>
      </c>
      <c r="M63">
        <v>23</v>
      </c>
      <c r="N63" s="123"/>
      <c r="O63">
        <v>45</v>
      </c>
      <c r="P63" s="132" t="s">
        <v>77</v>
      </c>
      <c r="Q63" s="132">
        <v>40000</v>
      </c>
      <c r="R63" s="132">
        <v>6400</v>
      </c>
      <c r="S63" s="132"/>
      <c r="T63" s="156">
        <v>4266.68</v>
      </c>
      <c r="U63" s="132">
        <v>500</v>
      </c>
      <c r="V63" s="132">
        <f>+Table1[[#This Row],[SUBTOTAL]]+Table1[[#This Row],[IVA]]-Table1[[#This Row],[RET IVA]]-Table1[[#This Row],[RET ISR]]</f>
        <v>41633.32</v>
      </c>
      <c r="W63">
        <v>18</v>
      </c>
      <c r="X63" s="153" t="s">
        <v>1429</v>
      </c>
      <c r="Y63" s="124" t="s">
        <v>1544</v>
      </c>
      <c r="Z63" s="308">
        <v>142</v>
      </c>
      <c r="AB63" t="str">
        <f>IF(Table1[[#This Row],[TIPO2]]="costo", VLOOKUP(Table1[[#This Row],[PARTIDA PRESUPUESTAL]],'Cost Report'!G:G,1,0),"Balance")</f>
        <v>1222-008</v>
      </c>
      <c r="AC63" s="118"/>
      <c r="AD63" s="159">
        <f>+Table1[[#This Row],[SUBTOTAL]]+Table1[[#This Row],[IVA]]-Table1[[#This Row],[RET IVA]]-Table1[[#This Row],[RET ISR]]-Table1[[#This Row],[TOTAL]]</f>
        <v>0</v>
      </c>
      <c r="AE63" s="152"/>
      <c r="AF63" s="153"/>
      <c r="AG63" s="126"/>
      <c r="AK63" s="306" t="str">
        <f>IF(ISNUMBER(Table1[[#This Row],[FECHA DE RECIBIDO]]), Table1[[#This Row],[FECHA DE RECIBIDO]]-DATE(2023,8,30), "")</f>
        <v/>
      </c>
    </row>
    <row r="64" spans="1:37" ht="16.05" customHeight="1">
      <c r="A64" s="150" t="s">
        <v>1441</v>
      </c>
      <c r="B64" s="151">
        <v>45</v>
      </c>
      <c r="C64" s="126" t="s">
        <v>443</v>
      </c>
      <c r="D64">
        <v>37</v>
      </c>
      <c r="E64" s="126"/>
      <c r="F64" s="122" t="s">
        <v>129</v>
      </c>
      <c r="G64" s="122" t="s">
        <v>129</v>
      </c>
      <c r="H64">
        <v>7</v>
      </c>
      <c r="I64" s="122"/>
      <c r="J64" s="307" t="s">
        <v>214</v>
      </c>
      <c r="K64" s="127"/>
      <c r="L64" s="151" t="s">
        <v>110</v>
      </c>
      <c r="M64">
        <v>24</v>
      </c>
      <c r="N64" s="123"/>
      <c r="O64">
        <v>46</v>
      </c>
      <c r="P64" s="132" t="s">
        <v>77</v>
      </c>
      <c r="Q64" s="131">
        <v>52500</v>
      </c>
      <c r="R64" s="131">
        <v>8400</v>
      </c>
      <c r="S64" s="131"/>
      <c r="T64" s="155">
        <v>5600.02</v>
      </c>
      <c r="U64" s="131">
        <v>5250</v>
      </c>
      <c r="V64" s="131">
        <f>+Table1[[#This Row],[SUBTOTAL]]+Table1[[#This Row],[IVA]]-Table1[[#This Row],[RET IVA]]-Table1[[#This Row],[RET ISR]]</f>
        <v>50049.979999999996</v>
      </c>
      <c r="W64">
        <v>7</v>
      </c>
      <c r="X64" s="151" t="s">
        <v>1431</v>
      </c>
      <c r="Y64" s="135" t="s">
        <v>1544</v>
      </c>
      <c r="Z64" s="307">
        <v>142</v>
      </c>
      <c r="AB64" t="str">
        <f>IF(Table1[[#This Row],[TIPO2]]="costo", VLOOKUP(Table1[[#This Row],[PARTIDA PRESUPUESTAL]],'Cost Report'!G:G,1,0),"Balance")</f>
        <v>2004-003</v>
      </c>
      <c r="AC64" s="118"/>
      <c r="AD64" s="159">
        <f>+Table1[[#This Row],[SUBTOTAL]]+Table1[[#This Row],[IVA]]-Table1[[#This Row],[RET IVA]]-Table1[[#This Row],[RET ISR]]-Table1[[#This Row],[TOTAL]]</f>
        <v>0</v>
      </c>
      <c r="AE64" s="150"/>
      <c r="AF64" s="151"/>
      <c r="AG64" s="126"/>
      <c r="AK64" s="306" t="str">
        <f>IF(ISNUMBER(Table1[[#This Row],[FECHA DE RECIBIDO]]), Table1[[#This Row],[FECHA DE RECIBIDO]]-DATE(2023,8,30), "")</f>
        <v/>
      </c>
    </row>
    <row r="65" spans="1:37" ht="16.05" customHeight="1">
      <c r="A65" s="152" t="s">
        <v>1442</v>
      </c>
      <c r="B65" s="153">
        <v>46</v>
      </c>
      <c r="C65" s="126" t="s">
        <v>446</v>
      </c>
      <c r="D65">
        <v>38</v>
      </c>
      <c r="E65" s="126"/>
      <c r="F65" s="125" t="s">
        <v>109</v>
      </c>
      <c r="G65" s="125" t="s">
        <v>109</v>
      </c>
      <c r="H65">
        <v>19</v>
      </c>
      <c r="I65" s="125"/>
      <c r="J65" s="308" t="s">
        <v>214</v>
      </c>
      <c r="K65" s="127"/>
      <c r="L65" s="153" t="s">
        <v>110</v>
      </c>
      <c r="M65">
        <v>25</v>
      </c>
      <c r="N65" s="123"/>
      <c r="O65">
        <v>47</v>
      </c>
      <c r="P65" s="132" t="s">
        <v>77</v>
      </c>
      <c r="Q65" s="132">
        <v>15750</v>
      </c>
      <c r="R65" s="132">
        <v>2520</v>
      </c>
      <c r="S65" s="132"/>
      <c r="T65" s="156">
        <v>1680.53</v>
      </c>
      <c r="U65" s="132">
        <v>196.88</v>
      </c>
      <c r="V65" s="132">
        <f>+Table1[[#This Row],[SUBTOTAL]]+Table1[[#This Row],[IVA]]-Table1[[#This Row],[RET IVA]]-Table1[[#This Row],[RET ISR]]</f>
        <v>16392.59</v>
      </c>
      <c r="W65">
        <v>19</v>
      </c>
      <c r="X65" s="153" t="s">
        <v>1429</v>
      </c>
      <c r="Y65" s="124" t="s">
        <v>1544</v>
      </c>
      <c r="Z65" s="308">
        <v>142</v>
      </c>
      <c r="AB65" t="str">
        <f>IF(Table1[[#This Row],[TIPO2]]="costo", VLOOKUP(Table1[[#This Row],[PARTIDA PRESUPUESTAL]],'Cost Report'!G:G,1,0),"Balance")</f>
        <v>2005-003</v>
      </c>
      <c r="AC65" s="118"/>
      <c r="AD65" s="159">
        <f>+Table1[[#This Row],[SUBTOTAL]]+Table1[[#This Row],[IVA]]-Table1[[#This Row],[RET IVA]]-Table1[[#This Row],[RET ISR]]-Table1[[#This Row],[TOTAL]]</f>
        <v>0</v>
      </c>
      <c r="AE65" s="152"/>
      <c r="AF65" s="153"/>
      <c r="AG65" s="126"/>
      <c r="AK65" s="306" t="str">
        <f>IF(ISNUMBER(Table1[[#This Row],[FECHA DE RECIBIDO]]), Table1[[#This Row],[FECHA DE RECIBIDO]]-DATE(2023,8,30), "")</f>
        <v/>
      </c>
    </row>
    <row r="66" spans="1:37" ht="16.05" customHeight="1">
      <c r="A66" s="150" t="s">
        <v>1443</v>
      </c>
      <c r="B66" s="151">
        <v>47</v>
      </c>
      <c r="C66" s="126" t="s">
        <v>951</v>
      </c>
      <c r="D66">
        <v>39</v>
      </c>
      <c r="E66" s="126"/>
      <c r="F66" s="122" t="s">
        <v>109</v>
      </c>
      <c r="G66" s="122" t="s">
        <v>109</v>
      </c>
      <c r="H66">
        <v>11</v>
      </c>
      <c r="I66" s="122"/>
      <c r="J66" s="307" t="s">
        <v>214</v>
      </c>
      <c r="K66" s="127"/>
      <c r="L66" s="151" t="s">
        <v>110</v>
      </c>
      <c r="M66">
        <v>14</v>
      </c>
      <c r="N66" s="123"/>
      <c r="O66">
        <v>48</v>
      </c>
      <c r="P66" s="132" t="s">
        <v>77</v>
      </c>
      <c r="Q66" s="131">
        <v>21000</v>
      </c>
      <c r="R66" s="131">
        <v>3360</v>
      </c>
      <c r="S66" s="131"/>
      <c r="T66" s="155">
        <v>2239.9899999999998</v>
      </c>
      <c r="U66" s="131">
        <v>262.5</v>
      </c>
      <c r="V66" s="131">
        <f>+Table1[[#This Row],[SUBTOTAL]]+Table1[[#This Row],[IVA]]-Table1[[#This Row],[RET IVA]]-Table1[[#This Row],[RET ISR]]</f>
        <v>21857.510000000002</v>
      </c>
      <c r="W66">
        <v>10</v>
      </c>
      <c r="X66" s="151" t="s">
        <v>1432</v>
      </c>
      <c r="Y66" s="135" t="s">
        <v>1544</v>
      </c>
      <c r="Z66" s="307">
        <v>142</v>
      </c>
      <c r="AB66" t="str">
        <f>IF(Table1[[#This Row],[TIPO2]]="costo", VLOOKUP(Table1[[#This Row],[PARTIDA PRESUPUESTAL]],'Cost Report'!G:G,1,0),"Balance")</f>
        <v>3403-009</v>
      </c>
      <c r="AC66" s="118"/>
      <c r="AD66" s="159">
        <f>+Table1[[#This Row],[SUBTOTAL]]+Table1[[#This Row],[IVA]]-Table1[[#This Row],[RET IVA]]-Table1[[#This Row],[RET ISR]]-Table1[[#This Row],[TOTAL]]</f>
        <v>0</v>
      </c>
      <c r="AE66" s="150"/>
      <c r="AF66" s="151"/>
      <c r="AG66" s="126"/>
      <c r="AK66" s="306" t="str">
        <f>IF(ISNUMBER(Table1[[#This Row],[FECHA DE RECIBIDO]]), Table1[[#This Row],[FECHA DE RECIBIDO]]-DATE(2023,8,30), "")</f>
        <v/>
      </c>
    </row>
    <row r="67" spans="1:37" ht="16.05" customHeight="1">
      <c r="A67" s="152" t="s">
        <v>1444</v>
      </c>
      <c r="B67" s="153">
        <v>48</v>
      </c>
      <c r="C67" s="126" t="s">
        <v>943</v>
      </c>
      <c r="D67">
        <v>40</v>
      </c>
      <c r="E67" s="126"/>
      <c r="F67" s="125" t="s">
        <v>129</v>
      </c>
      <c r="G67" s="125" t="s">
        <v>129</v>
      </c>
      <c r="H67">
        <v>8</v>
      </c>
      <c r="I67" s="125"/>
      <c r="J67" s="308" t="s">
        <v>214</v>
      </c>
      <c r="K67" s="127"/>
      <c r="L67" s="153" t="s">
        <v>110</v>
      </c>
      <c r="M67">
        <v>11</v>
      </c>
      <c r="N67" s="123"/>
      <c r="O67">
        <v>49</v>
      </c>
      <c r="P67" s="132" t="s">
        <v>77</v>
      </c>
      <c r="Q67" s="132">
        <v>48300</v>
      </c>
      <c r="R67" s="132">
        <v>7728</v>
      </c>
      <c r="S67" s="132"/>
      <c r="T67" s="156">
        <v>5152.0200000000004</v>
      </c>
      <c r="U67" s="132">
        <v>4830</v>
      </c>
      <c r="V67" s="132">
        <f>+Table1[[#This Row],[SUBTOTAL]]+Table1[[#This Row],[IVA]]-Table1[[#This Row],[RET IVA]]-Table1[[#This Row],[RET ISR]]</f>
        <v>46045.979999999996</v>
      </c>
      <c r="W67">
        <v>6</v>
      </c>
      <c r="X67" s="153" t="s">
        <v>1430</v>
      </c>
      <c r="Y67" s="124" t="s">
        <v>1544</v>
      </c>
      <c r="Z67" s="308">
        <v>142</v>
      </c>
      <c r="AB67" t="str">
        <f>IF(Table1[[#This Row],[TIPO2]]="costo", VLOOKUP(Table1[[#This Row],[PARTIDA PRESUPUESTAL]],'Cost Report'!G:G,1,0),"Balance")</f>
        <v>3402-003</v>
      </c>
      <c r="AC67" s="118"/>
      <c r="AD67" s="159">
        <f>+Table1[[#This Row],[SUBTOTAL]]+Table1[[#This Row],[IVA]]-Table1[[#This Row],[RET IVA]]-Table1[[#This Row],[RET ISR]]-Table1[[#This Row],[TOTAL]]</f>
        <v>0</v>
      </c>
      <c r="AE67" s="152"/>
      <c r="AF67" s="153"/>
      <c r="AG67" s="126"/>
      <c r="AK67" s="306" t="str">
        <f>IF(ISNUMBER(Table1[[#This Row],[FECHA DE RECIBIDO]]), Table1[[#This Row],[FECHA DE RECIBIDO]]-DATE(2023,8,30), "")</f>
        <v/>
      </c>
    </row>
    <row r="68" spans="1:37" ht="16.05" customHeight="1">
      <c r="A68" s="150" t="s">
        <v>1445</v>
      </c>
      <c r="B68" s="151">
        <v>49</v>
      </c>
      <c r="C68" s="126" t="s">
        <v>1786</v>
      </c>
      <c r="D68">
        <v>41</v>
      </c>
      <c r="E68" s="126"/>
      <c r="F68" s="122" t="s">
        <v>109</v>
      </c>
      <c r="G68" s="122" t="s">
        <v>109</v>
      </c>
      <c r="H68">
        <v>12</v>
      </c>
      <c r="I68" s="122"/>
      <c r="J68" s="307" t="s">
        <v>214</v>
      </c>
      <c r="K68" s="127"/>
      <c r="L68" s="151" t="s">
        <v>110</v>
      </c>
      <c r="M68">
        <v>15</v>
      </c>
      <c r="N68" s="123"/>
      <c r="O68">
        <v>50</v>
      </c>
      <c r="P68" s="131" t="s">
        <v>78</v>
      </c>
      <c r="Q68" s="131">
        <v>1000000</v>
      </c>
      <c r="R68" s="131">
        <v>160000</v>
      </c>
      <c r="S68" s="131"/>
      <c r="T68" s="155">
        <v>106667</v>
      </c>
      <c r="U68" s="131">
        <v>12500</v>
      </c>
      <c r="V68" s="131">
        <f>+Table1[[#This Row],[SUBTOTAL]]+Table1[[#This Row],[IVA]]-Table1[[#This Row],[RET IVA]]-Table1[[#This Row],[RET ISR]]</f>
        <v>1040833</v>
      </c>
      <c r="W68">
        <v>11</v>
      </c>
      <c r="X68" s="151" t="s">
        <v>1433</v>
      </c>
      <c r="Y68" s="135" t="s">
        <v>1544</v>
      </c>
      <c r="Z68" s="307">
        <v>149</v>
      </c>
      <c r="AB68" t="str">
        <f>IF(Table1[[#This Row],[TIPO2]]="costo", VLOOKUP(Table1[[#This Row],[PARTIDA PRESUPUESTAL]],'Cost Report'!G:G,1,0),"Balance")</f>
        <v>Balance</v>
      </c>
      <c r="AC68" s="118"/>
      <c r="AD68" s="159">
        <f>+Table1[[#This Row],[SUBTOTAL]]+Table1[[#This Row],[IVA]]-Table1[[#This Row],[RET IVA]]-Table1[[#This Row],[RET ISR]]-Table1[[#This Row],[TOTAL]]</f>
        <v>0</v>
      </c>
      <c r="AE68" s="150"/>
      <c r="AF68" s="151"/>
      <c r="AG68" s="126"/>
      <c r="AK68" s="306" t="str">
        <f>IF(ISNUMBER(Table1[[#This Row],[FECHA DE RECIBIDO]]), Table1[[#This Row],[FECHA DE RECIBIDO]]-DATE(2023,8,30), "")</f>
        <v/>
      </c>
    </row>
    <row r="69" spans="1:37" ht="16.05" customHeight="1">
      <c r="A69" s="152" t="s">
        <v>1446</v>
      </c>
      <c r="B69" s="153">
        <v>50</v>
      </c>
      <c r="C69" s="126" t="s">
        <v>473</v>
      </c>
      <c r="D69">
        <v>42</v>
      </c>
      <c r="E69" s="126"/>
      <c r="F69" s="125" t="s">
        <v>129</v>
      </c>
      <c r="G69" s="125" t="s">
        <v>129</v>
      </c>
      <c r="H69">
        <v>15</v>
      </c>
      <c r="I69" s="125"/>
      <c r="J69" s="308" t="s">
        <v>214</v>
      </c>
      <c r="K69" s="127"/>
      <c r="L69" s="153" t="s">
        <v>110</v>
      </c>
      <c r="M69">
        <v>19</v>
      </c>
      <c r="N69" s="123"/>
      <c r="O69">
        <v>51</v>
      </c>
      <c r="P69" s="132" t="s">
        <v>77</v>
      </c>
      <c r="Q69" s="132">
        <v>18900</v>
      </c>
      <c r="R69" s="132">
        <v>3024</v>
      </c>
      <c r="S69" s="132"/>
      <c r="T69" s="156">
        <v>2016.01</v>
      </c>
      <c r="U69" s="132">
        <v>1890</v>
      </c>
      <c r="V69" s="132">
        <f>+Table1[[#This Row],[SUBTOTAL]]+Table1[[#This Row],[IVA]]-Table1[[#This Row],[RET IVA]]-Table1[[#This Row],[RET ISR]]</f>
        <v>18017.990000000002</v>
      </c>
      <c r="W69">
        <v>15</v>
      </c>
      <c r="X69" s="153" t="s">
        <v>1429</v>
      </c>
      <c r="Y69" s="124" t="s">
        <v>1544</v>
      </c>
      <c r="Z69" s="308">
        <v>154</v>
      </c>
      <c r="AB69" t="str">
        <f>IF(Table1[[#This Row],[TIPO2]]="costo", VLOOKUP(Table1[[#This Row],[PARTIDA PRESUPUESTAL]],'Cost Report'!G:G,1,0),"Balance")</f>
        <v>2013-003</v>
      </c>
      <c r="AC69" s="118"/>
      <c r="AD69" s="159">
        <f>+Table1[[#This Row],[SUBTOTAL]]+Table1[[#This Row],[IVA]]-Table1[[#This Row],[RET IVA]]-Table1[[#This Row],[RET ISR]]-Table1[[#This Row],[TOTAL]]</f>
        <v>0</v>
      </c>
      <c r="AE69" s="152"/>
      <c r="AF69" s="153"/>
      <c r="AG69" s="126"/>
      <c r="AK69" s="306" t="str">
        <f>IF(ISNUMBER(Table1[[#This Row],[FECHA DE RECIBIDO]]), Table1[[#This Row],[FECHA DE RECIBIDO]]-DATE(2023,8,30), "")</f>
        <v/>
      </c>
    </row>
    <row r="70" spans="1:37" ht="16.05" customHeight="1">
      <c r="A70" s="150" t="s">
        <v>1447</v>
      </c>
      <c r="B70" s="151">
        <v>51</v>
      </c>
      <c r="C70" s="126" t="s">
        <v>235</v>
      </c>
      <c r="D70">
        <v>43</v>
      </c>
      <c r="E70" s="126"/>
      <c r="F70" s="122" t="s">
        <v>129</v>
      </c>
      <c r="G70" s="122" t="s">
        <v>129</v>
      </c>
      <c r="H70">
        <v>10</v>
      </c>
      <c r="I70" s="122"/>
      <c r="J70" s="307" t="s">
        <v>214</v>
      </c>
      <c r="K70" s="127"/>
      <c r="L70" s="151" t="s">
        <v>110</v>
      </c>
      <c r="M70">
        <v>13</v>
      </c>
      <c r="N70" s="123"/>
      <c r="O70">
        <v>52</v>
      </c>
      <c r="P70" s="132" t="s">
        <v>77</v>
      </c>
      <c r="Q70" s="131">
        <v>25000</v>
      </c>
      <c r="R70" s="131">
        <v>4000</v>
      </c>
      <c r="S70" s="131"/>
      <c r="T70" s="155">
        <v>2666.67</v>
      </c>
      <c r="U70" s="131">
        <v>2500</v>
      </c>
      <c r="V70" s="131">
        <f>+Table1[[#This Row],[SUBTOTAL]]+Table1[[#This Row],[IVA]]-Table1[[#This Row],[RET IVA]]-Table1[[#This Row],[RET ISR]]</f>
        <v>23833.33</v>
      </c>
      <c r="W70">
        <v>9</v>
      </c>
      <c r="X70" s="151" t="s">
        <v>1429</v>
      </c>
      <c r="Y70" s="135" t="s">
        <v>1544</v>
      </c>
      <c r="Z70" s="307">
        <v>154</v>
      </c>
      <c r="AB70" t="str">
        <f>IF(Table1[[#This Row],[TIPO2]]="costo", VLOOKUP(Table1[[#This Row],[PARTIDA PRESUPUESTAL]],'Cost Report'!G:G,1,0),"Balance")</f>
        <v>1202-003</v>
      </c>
      <c r="AC70" s="118"/>
      <c r="AD70" s="159">
        <f>+Table1[[#This Row],[SUBTOTAL]]+Table1[[#This Row],[IVA]]-Table1[[#This Row],[RET IVA]]-Table1[[#This Row],[RET ISR]]-Table1[[#This Row],[TOTAL]]</f>
        <v>0</v>
      </c>
      <c r="AE70" s="150"/>
      <c r="AF70" s="151"/>
      <c r="AG70" s="126"/>
      <c r="AK70" s="306" t="str">
        <f>IF(ISNUMBER(Table1[[#This Row],[FECHA DE RECIBIDO]]), Table1[[#This Row],[FECHA DE RECIBIDO]]-DATE(2023,8,30), "")</f>
        <v/>
      </c>
    </row>
    <row r="71" spans="1:37" ht="16.05" customHeight="1">
      <c r="A71" s="152" t="s">
        <v>1448</v>
      </c>
      <c r="B71" s="153">
        <v>52</v>
      </c>
      <c r="C71" s="126" t="s">
        <v>241</v>
      </c>
      <c r="D71">
        <v>44</v>
      </c>
      <c r="E71" s="126"/>
      <c r="F71" s="125" t="s">
        <v>129</v>
      </c>
      <c r="G71" s="125" t="s">
        <v>129</v>
      </c>
      <c r="H71">
        <v>16</v>
      </c>
      <c r="I71" s="125"/>
      <c r="J71" s="308" t="s">
        <v>214</v>
      </c>
      <c r="K71" s="127"/>
      <c r="L71" s="153" t="s">
        <v>110</v>
      </c>
      <c r="M71">
        <v>21</v>
      </c>
      <c r="N71" s="123"/>
      <c r="O71">
        <v>53</v>
      </c>
      <c r="P71" s="132" t="s">
        <v>77</v>
      </c>
      <c r="Q71" s="132">
        <v>42000</v>
      </c>
      <c r="R71" s="132">
        <v>6720</v>
      </c>
      <c r="S71" s="132"/>
      <c r="T71" s="156">
        <v>4480.01</v>
      </c>
      <c r="U71" s="132">
        <v>4200</v>
      </c>
      <c r="V71" s="132">
        <f>+Table1[[#This Row],[SUBTOTAL]]+Table1[[#This Row],[IVA]]-Table1[[#This Row],[RET IVA]]-Table1[[#This Row],[RET ISR]]</f>
        <v>40039.99</v>
      </c>
      <c r="W71">
        <v>16</v>
      </c>
      <c r="X71" s="153" t="s">
        <v>1429</v>
      </c>
      <c r="Y71" s="124" t="s">
        <v>1544</v>
      </c>
      <c r="Z71" s="308">
        <v>154</v>
      </c>
      <c r="AB71" t="str">
        <f>IF(Table1[[#This Row],[TIPO2]]="costo", VLOOKUP(Table1[[#This Row],[PARTIDA PRESUPUESTAL]],'Cost Report'!G:G,1,0),"Balance")</f>
        <v>1204-003</v>
      </c>
      <c r="AC71" s="118"/>
      <c r="AD71" s="159">
        <f>+Table1[[#This Row],[SUBTOTAL]]+Table1[[#This Row],[IVA]]-Table1[[#This Row],[RET IVA]]-Table1[[#This Row],[RET ISR]]-Table1[[#This Row],[TOTAL]]</f>
        <v>0</v>
      </c>
      <c r="AE71" s="152"/>
      <c r="AF71" s="153"/>
      <c r="AG71" s="126"/>
      <c r="AK71" s="306" t="str">
        <f>IF(ISNUMBER(Table1[[#This Row],[FECHA DE RECIBIDO]]), Table1[[#This Row],[FECHA DE RECIBIDO]]-DATE(2023,8,30), "")</f>
        <v/>
      </c>
    </row>
    <row r="72" spans="1:37" ht="16.05" customHeight="1">
      <c r="A72" s="150" t="s">
        <v>1449</v>
      </c>
      <c r="B72" s="151">
        <v>53</v>
      </c>
      <c r="C72" s="126" t="s">
        <v>433</v>
      </c>
      <c r="D72">
        <v>45</v>
      </c>
      <c r="E72" s="126"/>
      <c r="F72" s="122" t="s">
        <v>129</v>
      </c>
      <c r="G72" s="122" t="s">
        <v>129</v>
      </c>
      <c r="H72">
        <v>17</v>
      </c>
      <c r="I72" s="122"/>
      <c r="J72" s="307" t="s">
        <v>214</v>
      </c>
      <c r="K72" s="127"/>
      <c r="L72" s="151" t="s">
        <v>110</v>
      </c>
      <c r="M72">
        <v>22</v>
      </c>
      <c r="N72" s="123"/>
      <c r="O72">
        <v>54</v>
      </c>
      <c r="P72" s="132" t="s">
        <v>77</v>
      </c>
      <c r="Q72" s="131">
        <v>20000</v>
      </c>
      <c r="R72" s="131">
        <v>3200</v>
      </c>
      <c r="S72" s="131"/>
      <c r="T72" s="155">
        <v>2133.34</v>
      </c>
      <c r="U72" s="131">
        <v>2000</v>
      </c>
      <c r="V72" s="131">
        <f>+Table1[[#This Row],[SUBTOTAL]]+Table1[[#This Row],[IVA]]-Table1[[#This Row],[RET IVA]]-Table1[[#This Row],[RET ISR]]</f>
        <v>19066.66</v>
      </c>
      <c r="W72">
        <v>17</v>
      </c>
      <c r="X72" s="151" t="s">
        <v>1430</v>
      </c>
      <c r="Y72" s="135" t="s">
        <v>1544</v>
      </c>
      <c r="Z72" s="307">
        <v>154</v>
      </c>
      <c r="AB72" t="str">
        <f>IF(Table1[[#This Row],[TIPO2]]="costo", VLOOKUP(Table1[[#This Row],[PARTIDA PRESUPUESTAL]],'Cost Report'!G:G,1,0),"Balance")</f>
        <v>2001-003</v>
      </c>
      <c r="AC72" s="118"/>
      <c r="AD72" s="159">
        <f>+Table1[[#This Row],[SUBTOTAL]]+Table1[[#This Row],[IVA]]-Table1[[#This Row],[RET IVA]]-Table1[[#This Row],[RET ISR]]-Table1[[#This Row],[TOTAL]]</f>
        <v>0</v>
      </c>
      <c r="AE72" s="150"/>
      <c r="AF72" s="151"/>
      <c r="AG72" s="126"/>
      <c r="AK72" s="306" t="str">
        <f>IF(ISNUMBER(Table1[[#This Row],[FECHA DE RECIBIDO]]), Table1[[#This Row],[FECHA DE RECIBIDO]]-DATE(2023,8,30), "")</f>
        <v/>
      </c>
    </row>
    <row r="73" spans="1:37" ht="16.05" customHeight="1">
      <c r="A73" s="152" t="s">
        <v>1450</v>
      </c>
      <c r="B73" s="153">
        <v>54</v>
      </c>
      <c r="C73" s="126" t="s">
        <v>248</v>
      </c>
      <c r="D73">
        <v>46</v>
      </c>
      <c r="E73" s="126"/>
      <c r="F73" s="125" t="s">
        <v>109</v>
      </c>
      <c r="G73" s="125" t="s">
        <v>109</v>
      </c>
      <c r="H73">
        <v>18</v>
      </c>
      <c r="I73" s="125"/>
      <c r="J73" s="308" t="s">
        <v>214</v>
      </c>
      <c r="K73" s="127"/>
      <c r="L73" s="153" t="s">
        <v>110</v>
      </c>
      <c r="M73">
        <v>23</v>
      </c>
      <c r="N73" s="123"/>
      <c r="O73">
        <v>55</v>
      </c>
      <c r="P73" s="132" t="s">
        <v>77</v>
      </c>
      <c r="Q73" s="132">
        <v>10000</v>
      </c>
      <c r="R73" s="132">
        <v>1600</v>
      </c>
      <c r="S73" s="132"/>
      <c r="T73" s="156">
        <v>1066.67</v>
      </c>
      <c r="U73" s="132">
        <v>125</v>
      </c>
      <c r="V73" s="132">
        <f>+Table1[[#This Row],[SUBTOTAL]]+Table1[[#This Row],[IVA]]-Table1[[#This Row],[RET IVA]]-Table1[[#This Row],[RET ISR]]</f>
        <v>10408.33</v>
      </c>
      <c r="W73">
        <v>18</v>
      </c>
      <c r="X73" s="153" t="s">
        <v>1429</v>
      </c>
      <c r="Y73" s="124" t="s">
        <v>1544</v>
      </c>
      <c r="Z73" s="308">
        <v>154</v>
      </c>
      <c r="AB73" t="str">
        <f>IF(Table1[[#This Row],[TIPO2]]="costo", VLOOKUP(Table1[[#This Row],[PARTIDA PRESUPUESTAL]],'Cost Report'!G:G,1,0),"Balance")</f>
        <v>1222-008</v>
      </c>
      <c r="AC73" s="118"/>
      <c r="AD73" s="159">
        <f>+Table1[[#This Row],[SUBTOTAL]]+Table1[[#This Row],[IVA]]-Table1[[#This Row],[RET IVA]]-Table1[[#This Row],[RET ISR]]-Table1[[#This Row],[TOTAL]]</f>
        <v>0</v>
      </c>
      <c r="AE73" s="152"/>
      <c r="AF73" s="153"/>
      <c r="AG73" s="126"/>
      <c r="AK73" s="306" t="str">
        <f>IF(ISNUMBER(Table1[[#This Row],[FECHA DE RECIBIDO]]), Table1[[#This Row],[FECHA DE RECIBIDO]]-DATE(2023,8,30), "")</f>
        <v/>
      </c>
    </row>
    <row r="74" spans="1:37" ht="16.05" customHeight="1">
      <c r="A74" s="150" t="s">
        <v>1451</v>
      </c>
      <c r="B74" s="151">
        <v>55</v>
      </c>
      <c r="C74" s="126" t="s">
        <v>443</v>
      </c>
      <c r="D74">
        <v>47</v>
      </c>
      <c r="E74" s="126"/>
      <c r="F74" s="122" t="s">
        <v>129</v>
      </c>
      <c r="G74" s="122" t="s">
        <v>129</v>
      </c>
      <c r="H74">
        <v>7</v>
      </c>
      <c r="I74" s="122"/>
      <c r="J74" s="307" t="s">
        <v>214</v>
      </c>
      <c r="K74" s="127"/>
      <c r="L74" s="151" t="s">
        <v>110</v>
      </c>
      <c r="M74">
        <v>24</v>
      </c>
      <c r="N74" s="123"/>
      <c r="O74">
        <v>56</v>
      </c>
      <c r="P74" s="132" t="s">
        <v>77</v>
      </c>
      <c r="Q74" s="131">
        <v>26250</v>
      </c>
      <c r="R74" s="131">
        <v>4200</v>
      </c>
      <c r="S74" s="131"/>
      <c r="T74" s="155">
        <v>2800.01</v>
      </c>
      <c r="U74" s="131">
        <v>2625</v>
      </c>
      <c r="V74" s="131">
        <f>+Table1[[#This Row],[SUBTOTAL]]+Table1[[#This Row],[IVA]]-Table1[[#This Row],[RET IVA]]-Table1[[#This Row],[RET ISR]]</f>
        <v>25024.989999999998</v>
      </c>
      <c r="W74">
        <v>7</v>
      </c>
      <c r="X74" s="151" t="s">
        <v>1431</v>
      </c>
      <c r="Y74" s="135" t="s">
        <v>1544</v>
      </c>
      <c r="Z74" s="307">
        <v>154</v>
      </c>
      <c r="AB74" t="str">
        <f>IF(Table1[[#This Row],[TIPO2]]="costo", VLOOKUP(Table1[[#This Row],[PARTIDA PRESUPUESTAL]],'Cost Report'!G:G,1,0),"Balance")</f>
        <v>2004-003</v>
      </c>
      <c r="AC74" s="118"/>
      <c r="AD74" s="159">
        <f>+Table1[[#This Row],[SUBTOTAL]]+Table1[[#This Row],[IVA]]-Table1[[#This Row],[RET IVA]]-Table1[[#This Row],[RET ISR]]-Table1[[#This Row],[TOTAL]]</f>
        <v>0</v>
      </c>
      <c r="AE74" s="150"/>
      <c r="AF74" s="151"/>
      <c r="AG74" s="126"/>
      <c r="AK74" s="306" t="str">
        <f>IF(ISNUMBER(Table1[[#This Row],[FECHA DE RECIBIDO]]), Table1[[#This Row],[FECHA DE RECIBIDO]]-DATE(2023,8,30), "")</f>
        <v/>
      </c>
    </row>
    <row r="75" spans="1:37" ht="16.05" customHeight="1">
      <c r="A75" s="152" t="s">
        <v>1452</v>
      </c>
      <c r="B75" s="153">
        <v>56</v>
      </c>
      <c r="C75" s="126" t="s">
        <v>446</v>
      </c>
      <c r="D75">
        <v>48</v>
      </c>
      <c r="E75" s="126"/>
      <c r="F75" s="125" t="s">
        <v>109</v>
      </c>
      <c r="G75" s="125" t="s">
        <v>109</v>
      </c>
      <c r="H75">
        <v>19</v>
      </c>
      <c r="I75" s="125"/>
      <c r="J75" s="308" t="s">
        <v>214</v>
      </c>
      <c r="K75" s="127"/>
      <c r="L75" s="153" t="s">
        <v>110</v>
      </c>
      <c r="M75">
        <v>25</v>
      </c>
      <c r="N75" s="123"/>
      <c r="O75">
        <v>57</v>
      </c>
      <c r="P75" s="132" t="s">
        <v>77</v>
      </c>
      <c r="Q75" s="132">
        <v>15750</v>
      </c>
      <c r="R75" s="132">
        <v>2520</v>
      </c>
      <c r="S75" s="132"/>
      <c r="T75" s="156">
        <v>1680.53</v>
      </c>
      <c r="U75" s="132">
        <v>196.88</v>
      </c>
      <c r="V75" s="132">
        <f>+Table1[[#This Row],[SUBTOTAL]]+Table1[[#This Row],[IVA]]-Table1[[#This Row],[RET IVA]]-Table1[[#This Row],[RET ISR]]</f>
        <v>16392.59</v>
      </c>
      <c r="W75">
        <v>19</v>
      </c>
      <c r="X75" s="153" t="s">
        <v>1429</v>
      </c>
      <c r="Y75" s="124" t="s">
        <v>1544</v>
      </c>
      <c r="Z75" s="308">
        <v>154</v>
      </c>
      <c r="AB75" t="str">
        <f>IF(Table1[[#This Row],[TIPO2]]="costo", VLOOKUP(Table1[[#This Row],[PARTIDA PRESUPUESTAL]],'Cost Report'!G:G,1,0),"Balance")</f>
        <v>2005-003</v>
      </c>
      <c r="AC75" s="118"/>
      <c r="AD75" s="159">
        <f>+Table1[[#This Row],[SUBTOTAL]]+Table1[[#This Row],[IVA]]-Table1[[#This Row],[RET IVA]]-Table1[[#This Row],[RET ISR]]-Table1[[#This Row],[TOTAL]]</f>
        <v>0</v>
      </c>
      <c r="AE75" s="152"/>
      <c r="AF75" s="153"/>
      <c r="AG75" s="126"/>
      <c r="AK75" s="306" t="str">
        <f>IF(ISNUMBER(Table1[[#This Row],[FECHA DE RECIBIDO]]), Table1[[#This Row],[FECHA DE RECIBIDO]]-DATE(2023,8,30), "")</f>
        <v/>
      </c>
    </row>
    <row r="76" spans="1:37" ht="16.05" customHeight="1">
      <c r="A76" s="150" t="s">
        <v>1453</v>
      </c>
      <c r="B76" s="151">
        <v>57</v>
      </c>
      <c r="C76" s="126" t="s">
        <v>951</v>
      </c>
      <c r="D76">
        <v>49</v>
      </c>
      <c r="E76" s="126"/>
      <c r="F76" s="122" t="s">
        <v>109</v>
      </c>
      <c r="G76" s="122" t="s">
        <v>109</v>
      </c>
      <c r="H76">
        <v>11</v>
      </c>
      <c r="I76" s="122"/>
      <c r="J76" s="307" t="s">
        <v>214</v>
      </c>
      <c r="K76" s="127"/>
      <c r="L76" s="151" t="s">
        <v>110</v>
      </c>
      <c r="M76">
        <v>14</v>
      </c>
      <c r="N76" s="123"/>
      <c r="O76">
        <v>58</v>
      </c>
      <c r="P76" s="132" t="s">
        <v>77</v>
      </c>
      <c r="Q76" s="131">
        <v>10500</v>
      </c>
      <c r="R76" s="131">
        <v>1680</v>
      </c>
      <c r="S76" s="131"/>
      <c r="T76" s="155">
        <v>1119.99</v>
      </c>
      <c r="U76" s="131">
        <v>131.25</v>
      </c>
      <c r="V76" s="131">
        <f>+Table1[[#This Row],[SUBTOTAL]]+Table1[[#This Row],[IVA]]-Table1[[#This Row],[RET IVA]]-Table1[[#This Row],[RET ISR]]</f>
        <v>10928.76</v>
      </c>
      <c r="W76">
        <v>10</v>
      </c>
      <c r="X76" s="151" t="s">
        <v>1432</v>
      </c>
      <c r="Y76" s="135" t="s">
        <v>1544</v>
      </c>
      <c r="Z76" s="307">
        <v>154</v>
      </c>
      <c r="AB76" t="str">
        <f>IF(Table1[[#This Row],[TIPO2]]="costo", VLOOKUP(Table1[[#This Row],[PARTIDA PRESUPUESTAL]],'Cost Report'!G:G,1,0),"Balance")</f>
        <v>3403-009</v>
      </c>
      <c r="AC76" s="118"/>
      <c r="AD76" s="159">
        <f>+Table1[[#This Row],[SUBTOTAL]]+Table1[[#This Row],[IVA]]-Table1[[#This Row],[RET IVA]]-Table1[[#This Row],[RET ISR]]-Table1[[#This Row],[TOTAL]]</f>
        <v>0</v>
      </c>
      <c r="AE76" s="150"/>
      <c r="AF76" s="151"/>
      <c r="AG76" s="126"/>
      <c r="AK76" s="306" t="str">
        <f>IF(ISNUMBER(Table1[[#This Row],[FECHA DE RECIBIDO]]), Table1[[#This Row],[FECHA DE RECIBIDO]]-DATE(2023,8,30), "")</f>
        <v/>
      </c>
    </row>
    <row r="77" spans="1:37" ht="16.05" customHeight="1">
      <c r="A77" s="152" t="s">
        <v>1454</v>
      </c>
      <c r="B77" s="153">
        <v>58</v>
      </c>
      <c r="C77" s="126" t="s">
        <v>943</v>
      </c>
      <c r="D77">
        <v>50</v>
      </c>
      <c r="E77" s="126"/>
      <c r="F77" s="125" t="s">
        <v>129</v>
      </c>
      <c r="G77" s="125" t="s">
        <v>129</v>
      </c>
      <c r="H77">
        <v>8</v>
      </c>
      <c r="I77" s="125"/>
      <c r="J77" s="308" t="s">
        <v>214</v>
      </c>
      <c r="K77" s="127"/>
      <c r="L77" s="153" t="s">
        <v>110</v>
      </c>
      <c r="M77">
        <v>11</v>
      </c>
      <c r="N77" s="123"/>
      <c r="O77">
        <v>59</v>
      </c>
      <c r="P77" s="132" t="s">
        <v>77</v>
      </c>
      <c r="Q77" s="132">
        <v>24150</v>
      </c>
      <c r="R77" s="132">
        <v>3864</v>
      </c>
      <c r="S77" s="132"/>
      <c r="T77" s="156">
        <v>2576.0100000000002</v>
      </c>
      <c r="U77" s="132">
        <v>2415</v>
      </c>
      <c r="V77" s="132">
        <f>+Table1[[#This Row],[SUBTOTAL]]+Table1[[#This Row],[IVA]]-Table1[[#This Row],[RET IVA]]-Table1[[#This Row],[RET ISR]]</f>
        <v>23022.989999999998</v>
      </c>
      <c r="W77">
        <v>6</v>
      </c>
      <c r="X77" s="153" t="s">
        <v>1430</v>
      </c>
      <c r="Y77" s="124" t="s">
        <v>1544</v>
      </c>
      <c r="Z77" s="308">
        <v>154</v>
      </c>
      <c r="AB77" t="str">
        <f>IF(Table1[[#This Row],[TIPO2]]="costo", VLOOKUP(Table1[[#This Row],[PARTIDA PRESUPUESTAL]],'Cost Report'!G:G,1,0),"Balance")</f>
        <v>3402-003</v>
      </c>
      <c r="AC77" s="118"/>
      <c r="AD77" s="159">
        <f>+Table1[[#This Row],[SUBTOTAL]]+Table1[[#This Row],[IVA]]-Table1[[#This Row],[RET IVA]]-Table1[[#This Row],[RET ISR]]-Table1[[#This Row],[TOTAL]]</f>
        <v>0</v>
      </c>
      <c r="AE77" s="152"/>
      <c r="AF77" s="153"/>
      <c r="AG77" s="126"/>
      <c r="AK77" s="306" t="str">
        <f>IF(ISNUMBER(Table1[[#This Row],[FECHA DE RECIBIDO]]), Table1[[#This Row],[FECHA DE RECIBIDO]]-DATE(2023,8,30), "")</f>
        <v/>
      </c>
    </row>
    <row r="78" spans="1:37" ht="16.05" customHeight="1">
      <c r="A78" s="150" t="s">
        <v>1455</v>
      </c>
      <c r="B78" s="151">
        <v>59</v>
      </c>
      <c r="C78" s="126" t="s">
        <v>535</v>
      </c>
      <c r="D78">
        <v>51</v>
      </c>
      <c r="E78" s="126"/>
      <c r="F78" s="122" t="s">
        <v>129</v>
      </c>
      <c r="G78" s="122" t="s">
        <v>129</v>
      </c>
      <c r="H78">
        <v>20</v>
      </c>
      <c r="I78" s="122"/>
      <c r="J78" s="307" t="s">
        <v>214</v>
      </c>
      <c r="K78" s="127"/>
      <c r="L78" s="151" t="s">
        <v>110</v>
      </c>
      <c r="M78">
        <v>26</v>
      </c>
      <c r="N78" s="123"/>
      <c r="O78">
        <v>60</v>
      </c>
      <c r="P78" s="132" t="s">
        <v>77</v>
      </c>
      <c r="Q78" s="131">
        <v>16170</v>
      </c>
      <c r="R78" s="131">
        <v>2587.1999999999998</v>
      </c>
      <c r="S78" s="131"/>
      <c r="T78" s="155">
        <v>1724.81</v>
      </c>
      <c r="U78" s="131">
        <v>1617</v>
      </c>
      <c r="V78" s="131">
        <f>+Table1[[#This Row],[SUBTOTAL]]+Table1[[#This Row],[IVA]]-Table1[[#This Row],[RET IVA]]-Table1[[#This Row],[RET ISR]]</f>
        <v>15415.39</v>
      </c>
      <c r="W78">
        <v>20</v>
      </c>
      <c r="X78" s="151" t="s">
        <v>1434</v>
      </c>
      <c r="Y78" s="135" t="s">
        <v>1544</v>
      </c>
      <c r="Z78" s="307">
        <v>154</v>
      </c>
      <c r="AB78" t="str">
        <f>IF(Table1[[#This Row],[TIPO2]]="costo", VLOOKUP(Table1[[#This Row],[PARTIDA PRESUPUESTAL]],'Cost Report'!G:G,1,0),"Balance")</f>
        <v>2201-003</v>
      </c>
      <c r="AC78" s="118"/>
      <c r="AD78" s="159">
        <f>+Table1[[#This Row],[SUBTOTAL]]+Table1[[#This Row],[IVA]]-Table1[[#This Row],[RET IVA]]-Table1[[#This Row],[RET ISR]]-Table1[[#This Row],[TOTAL]]</f>
        <v>0</v>
      </c>
      <c r="AE78" s="150"/>
      <c r="AF78" s="151"/>
      <c r="AG78" s="126"/>
      <c r="AK78" s="306" t="str">
        <f>IF(ISNUMBER(Table1[[#This Row],[FECHA DE RECIBIDO]]), Table1[[#This Row],[FECHA DE RECIBIDO]]-DATE(2023,8,30), "")</f>
        <v/>
      </c>
    </row>
    <row r="79" spans="1:37" ht="16.05" customHeight="1">
      <c r="A79" s="152" t="s">
        <v>1456</v>
      </c>
      <c r="B79" s="153">
        <v>60</v>
      </c>
      <c r="C79" s="126" t="s">
        <v>2122</v>
      </c>
      <c r="D79">
        <v>52</v>
      </c>
      <c r="E79" s="126"/>
      <c r="F79" s="125" t="s">
        <v>109</v>
      </c>
      <c r="G79" s="125" t="s">
        <v>109</v>
      </c>
      <c r="H79">
        <v>2</v>
      </c>
      <c r="I79" s="125"/>
      <c r="J79" s="308" t="s">
        <v>214</v>
      </c>
      <c r="K79" s="127"/>
      <c r="L79" s="153" t="s">
        <v>110</v>
      </c>
      <c r="M79">
        <v>2</v>
      </c>
      <c r="N79" s="123"/>
      <c r="O79">
        <v>61</v>
      </c>
      <c r="P79" s="132" t="s">
        <v>77</v>
      </c>
      <c r="Q79" s="132">
        <v>210000</v>
      </c>
      <c r="R79" s="132">
        <v>33600</v>
      </c>
      <c r="S79" s="132"/>
      <c r="T79" s="156">
        <v>22400.07</v>
      </c>
      <c r="U79" s="132">
        <v>2625</v>
      </c>
      <c r="V79" s="132">
        <f>+Table1[[#This Row],[SUBTOTAL]]+Table1[[#This Row],[IVA]]-Table1[[#This Row],[RET IVA]]-Table1[[#This Row],[RET ISR]]</f>
        <v>218574.93</v>
      </c>
      <c r="W79">
        <v>1</v>
      </c>
      <c r="X79" s="153" t="s">
        <v>1429</v>
      </c>
      <c r="Y79" s="124" t="s">
        <v>1544</v>
      </c>
      <c r="Z79" s="308">
        <v>154</v>
      </c>
      <c r="AB79" t="str">
        <f>IF(Table1[[#This Row],[TIPO2]]="costo", VLOOKUP(Table1[[#This Row],[PARTIDA PRESUPUESTAL]],'Cost Report'!G:G,1,0),"Balance")</f>
        <v>1101-037</v>
      </c>
      <c r="AC79" s="118"/>
      <c r="AD79" s="159">
        <f>+Table1[[#This Row],[SUBTOTAL]]+Table1[[#This Row],[IVA]]-Table1[[#This Row],[RET IVA]]-Table1[[#This Row],[RET ISR]]-Table1[[#This Row],[TOTAL]]</f>
        <v>0</v>
      </c>
      <c r="AE79" s="152"/>
      <c r="AF79" s="153"/>
      <c r="AG79" s="126"/>
      <c r="AK79" s="306" t="str">
        <f>IF(ISNUMBER(Table1[[#This Row],[FECHA DE RECIBIDO]]), Table1[[#This Row],[FECHA DE RECIBIDO]]-DATE(2023,8,30), "")</f>
        <v/>
      </c>
    </row>
    <row r="80" spans="1:37" ht="16.05" customHeight="1">
      <c r="A80" s="150" t="s">
        <v>1457</v>
      </c>
      <c r="B80" s="151">
        <v>61</v>
      </c>
      <c r="C80" s="126" t="s">
        <v>2131</v>
      </c>
      <c r="D80">
        <v>53</v>
      </c>
      <c r="E80" s="126"/>
      <c r="F80" s="122" t="s">
        <v>109</v>
      </c>
      <c r="G80" s="122" t="s">
        <v>109</v>
      </c>
      <c r="H80">
        <v>2</v>
      </c>
      <c r="I80" s="122"/>
      <c r="J80" s="307" t="s">
        <v>214</v>
      </c>
      <c r="K80" s="127"/>
      <c r="L80" s="151" t="s">
        <v>110</v>
      </c>
      <c r="M80">
        <v>2</v>
      </c>
      <c r="N80" s="123"/>
      <c r="O80">
        <v>62</v>
      </c>
      <c r="P80" s="132" t="s">
        <v>77</v>
      </c>
      <c r="Q80" s="131">
        <v>275000</v>
      </c>
      <c r="R80" s="131">
        <v>44000</v>
      </c>
      <c r="S80" s="131"/>
      <c r="T80" s="155">
        <v>29333.42</v>
      </c>
      <c r="U80" s="131">
        <v>3437.5</v>
      </c>
      <c r="V80" s="131">
        <f>+Table1[[#This Row],[SUBTOTAL]]+Table1[[#This Row],[IVA]]-Table1[[#This Row],[RET IVA]]-Table1[[#This Row],[RET ISR]]</f>
        <v>286229.08</v>
      </c>
      <c r="W80">
        <v>1</v>
      </c>
      <c r="X80" s="151" t="s">
        <v>1429</v>
      </c>
      <c r="Y80" s="135" t="s">
        <v>1544</v>
      </c>
      <c r="Z80" s="307">
        <v>154</v>
      </c>
      <c r="AB80" t="str">
        <f>IF(Table1[[#This Row],[TIPO2]]="costo", VLOOKUP(Table1[[#This Row],[PARTIDA PRESUPUESTAL]],'Cost Report'!G:G,1,0),"Balance")</f>
        <v>1107-015</v>
      </c>
      <c r="AC80" s="118"/>
      <c r="AD80" s="159">
        <f>+Table1[[#This Row],[SUBTOTAL]]+Table1[[#This Row],[IVA]]-Table1[[#This Row],[RET IVA]]-Table1[[#This Row],[RET ISR]]-Table1[[#This Row],[TOTAL]]</f>
        <v>0</v>
      </c>
      <c r="AE80" s="150"/>
      <c r="AF80" s="151"/>
      <c r="AG80" s="126"/>
      <c r="AK80" s="306" t="str">
        <f>IF(ISNUMBER(Table1[[#This Row],[FECHA DE RECIBIDO]]), Table1[[#This Row],[FECHA DE RECIBIDO]]-DATE(2023,8,30), "")</f>
        <v/>
      </c>
    </row>
    <row r="81" spans="1:37" ht="16.05" customHeight="1">
      <c r="A81" s="152" t="s">
        <v>1458</v>
      </c>
      <c r="B81" s="153">
        <v>62</v>
      </c>
      <c r="C81" s="126" t="s">
        <v>2120</v>
      </c>
      <c r="D81">
        <v>54</v>
      </c>
      <c r="E81" s="126"/>
      <c r="F81" s="125" t="s">
        <v>129</v>
      </c>
      <c r="G81" s="125" t="s">
        <v>129</v>
      </c>
      <c r="H81">
        <v>4</v>
      </c>
      <c r="I81" s="125"/>
      <c r="J81" s="308" t="s">
        <v>214</v>
      </c>
      <c r="K81" s="127"/>
      <c r="L81" s="153" t="s">
        <v>110</v>
      </c>
      <c r="M81">
        <v>4</v>
      </c>
      <c r="N81" s="123"/>
      <c r="O81">
        <v>63</v>
      </c>
      <c r="P81" s="132" t="s">
        <v>77</v>
      </c>
      <c r="Q81" s="132">
        <v>210000</v>
      </c>
      <c r="R81" s="132">
        <v>33600</v>
      </c>
      <c r="S81" s="132"/>
      <c r="T81" s="156">
        <v>22400.07</v>
      </c>
      <c r="U81" s="132">
        <v>21000</v>
      </c>
      <c r="V81" s="132">
        <f>+Table1[[#This Row],[SUBTOTAL]]+Table1[[#This Row],[IVA]]-Table1[[#This Row],[RET IVA]]-Table1[[#This Row],[RET ISR]]</f>
        <v>200199.93</v>
      </c>
      <c r="W81">
        <v>3</v>
      </c>
      <c r="X81" s="153" t="s">
        <v>1429</v>
      </c>
      <c r="Y81" s="124" t="s">
        <v>1544</v>
      </c>
      <c r="Z81" s="308">
        <v>154</v>
      </c>
      <c r="AB81" t="str">
        <f>IF(Table1[[#This Row],[TIPO2]]="costo", VLOOKUP(Table1[[#This Row],[PARTIDA PRESUPUESTAL]],'Cost Report'!G:G,1,0),"Balance")</f>
        <v>1101-033</v>
      </c>
      <c r="AC81" s="118"/>
      <c r="AD81" s="159">
        <f>+Table1[[#This Row],[SUBTOTAL]]+Table1[[#This Row],[IVA]]-Table1[[#This Row],[RET IVA]]-Table1[[#This Row],[RET ISR]]-Table1[[#This Row],[TOTAL]]</f>
        <v>0</v>
      </c>
      <c r="AE81" s="152"/>
      <c r="AF81" s="153"/>
      <c r="AG81" s="126"/>
      <c r="AK81" s="306" t="str">
        <f>IF(ISNUMBER(Table1[[#This Row],[FECHA DE RECIBIDO]]), Table1[[#This Row],[FECHA DE RECIBIDO]]-DATE(2023,8,30), "")</f>
        <v/>
      </c>
    </row>
    <row r="82" spans="1:37" ht="16.05" customHeight="1">
      <c r="A82" s="150" t="s">
        <v>1459</v>
      </c>
      <c r="B82" s="151">
        <v>63</v>
      </c>
      <c r="C82" s="126" t="s">
        <v>2133</v>
      </c>
      <c r="D82">
        <v>55</v>
      </c>
      <c r="E82" s="126"/>
      <c r="F82" s="122" t="s">
        <v>129</v>
      </c>
      <c r="G82" s="122" t="s">
        <v>129</v>
      </c>
      <c r="H82">
        <v>4</v>
      </c>
      <c r="I82" s="122"/>
      <c r="J82" s="307" t="s">
        <v>214</v>
      </c>
      <c r="K82" s="127"/>
      <c r="L82" s="151" t="s">
        <v>110</v>
      </c>
      <c r="M82">
        <v>4</v>
      </c>
      <c r="N82" s="123"/>
      <c r="O82">
        <v>64</v>
      </c>
      <c r="P82" s="132" t="s">
        <v>77</v>
      </c>
      <c r="Q82" s="131">
        <v>275000</v>
      </c>
      <c r="R82" s="131">
        <v>44000</v>
      </c>
      <c r="S82" s="131"/>
      <c r="T82" s="155">
        <v>29333.42</v>
      </c>
      <c r="U82" s="131">
        <v>27500</v>
      </c>
      <c r="V82" s="131">
        <f>+Table1[[#This Row],[SUBTOTAL]]+Table1[[#This Row],[IVA]]-Table1[[#This Row],[RET IVA]]-Table1[[#This Row],[RET ISR]]</f>
        <v>262166.58</v>
      </c>
      <c r="W82">
        <v>3</v>
      </c>
      <c r="X82" s="151" t="s">
        <v>1429</v>
      </c>
      <c r="Y82" s="135" t="s">
        <v>1544</v>
      </c>
      <c r="Z82" s="307">
        <v>154</v>
      </c>
      <c r="AB82" t="str">
        <f>IF(Table1[[#This Row],[TIPO2]]="costo", VLOOKUP(Table1[[#This Row],[PARTIDA PRESUPUESTAL]],'Cost Report'!G:G,1,0),"Balance")</f>
        <v>1107-019</v>
      </c>
      <c r="AC82" s="118"/>
      <c r="AD82" s="159">
        <f>+Table1[[#This Row],[SUBTOTAL]]+Table1[[#This Row],[IVA]]-Table1[[#This Row],[RET IVA]]-Table1[[#This Row],[RET ISR]]-Table1[[#This Row],[TOTAL]]</f>
        <v>0</v>
      </c>
      <c r="AE82" s="150"/>
      <c r="AF82" s="151"/>
      <c r="AG82" s="126"/>
      <c r="AK82" s="306" t="str">
        <f>IF(ISNUMBER(Table1[[#This Row],[FECHA DE RECIBIDO]]), Table1[[#This Row],[FECHA DE RECIBIDO]]-DATE(2023,8,30), "")</f>
        <v/>
      </c>
    </row>
    <row r="83" spans="1:37" ht="16.05" customHeight="1">
      <c r="A83" s="152" t="s">
        <v>1460</v>
      </c>
      <c r="B83" s="153">
        <v>64</v>
      </c>
      <c r="C83" s="126" t="s">
        <v>2128</v>
      </c>
      <c r="D83">
        <v>56</v>
      </c>
      <c r="E83" s="126"/>
      <c r="F83" s="125" t="s">
        <v>129</v>
      </c>
      <c r="G83" s="125" t="s">
        <v>129</v>
      </c>
      <c r="H83">
        <v>9</v>
      </c>
      <c r="I83" s="125"/>
      <c r="J83" s="308" t="s">
        <v>214</v>
      </c>
      <c r="K83" s="127"/>
      <c r="L83" s="153" t="s">
        <v>110</v>
      </c>
      <c r="M83">
        <v>12</v>
      </c>
      <c r="N83" s="123"/>
      <c r="O83">
        <v>65</v>
      </c>
      <c r="P83" s="132" t="s">
        <v>77</v>
      </c>
      <c r="Q83" s="132">
        <v>50000</v>
      </c>
      <c r="R83" s="132">
        <v>8000</v>
      </c>
      <c r="S83" s="132"/>
      <c r="T83" s="156">
        <v>5333.35</v>
      </c>
      <c r="U83" s="132">
        <v>5000</v>
      </c>
      <c r="V83" s="132">
        <f>+Table1[[#This Row],[SUBTOTAL]]+Table1[[#This Row],[IVA]]-Table1[[#This Row],[RET IVA]]-Table1[[#This Row],[RET ISR]]</f>
        <v>47666.65</v>
      </c>
      <c r="W83">
        <v>8</v>
      </c>
      <c r="X83" s="153" t="s">
        <v>1429</v>
      </c>
      <c r="Y83" s="124" t="s">
        <v>1544</v>
      </c>
      <c r="Z83" s="308">
        <v>154</v>
      </c>
      <c r="AB83" t="str">
        <f>IF(Table1[[#This Row],[TIPO2]]="costo", VLOOKUP(Table1[[#This Row],[PARTIDA PRESUPUESTAL]],'Cost Report'!G:G,1,0),"Balance")</f>
        <v>1104-003</v>
      </c>
      <c r="AC83" s="118"/>
      <c r="AD83" s="159">
        <f>+Table1[[#This Row],[SUBTOTAL]]+Table1[[#This Row],[IVA]]-Table1[[#This Row],[RET IVA]]-Table1[[#This Row],[RET ISR]]-Table1[[#This Row],[TOTAL]]</f>
        <v>0</v>
      </c>
      <c r="AE83" s="152"/>
      <c r="AF83" s="153"/>
      <c r="AG83" s="126"/>
      <c r="AK83" s="306" t="str">
        <f>IF(ISNUMBER(Table1[[#This Row],[FECHA DE RECIBIDO]]), Table1[[#This Row],[FECHA DE RECIBIDO]]-DATE(2023,8,30), "")</f>
        <v/>
      </c>
    </row>
    <row r="84" spans="1:37" ht="16.05" customHeight="1">
      <c r="A84" s="150" t="s">
        <v>1461</v>
      </c>
      <c r="B84" s="151">
        <v>65</v>
      </c>
      <c r="C84" s="126" t="s">
        <v>474</v>
      </c>
      <c r="D84">
        <v>57</v>
      </c>
      <c r="E84" s="126"/>
      <c r="F84" s="122" t="s">
        <v>129</v>
      </c>
      <c r="G84" s="122" t="s">
        <v>129</v>
      </c>
      <c r="H84">
        <v>15</v>
      </c>
      <c r="I84" s="122"/>
      <c r="J84" s="307" t="s">
        <v>214</v>
      </c>
      <c r="K84" s="127"/>
      <c r="L84" s="151" t="s">
        <v>110</v>
      </c>
      <c r="M84">
        <v>19</v>
      </c>
      <c r="N84" s="123"/>
      <c r="O84">
        <v>66</v>
      </c>
      <c r="P84" s="132" t="s">
        <v>77</v>
      </c>
      <c r="Q84" s="131">
        <v>18900</v>
      </c>
      <c r="R84" s="131">
        <v>3024</v>
      </c>
      <c r="S84" s="131"/>
      <c r="T84" s="155">
        <v>2016.01</v>
      </c>
      <c r="U84" s="131">
        <v>1890</v>
      </c>
      <c r="V84" s="131">
        <f>+Table1[[#This Row],[SUBTOTAL]]+Table1[[#This Row],[IVA]]-Table1[[#This Row],[RET IVA]]-Table1[[#This Row],[RET ISR]]</f>
        <v>18017.990000000002</v>
      </c>
      <c r="W84">
        <v>15</v>
      </c>
      <c r="X84" s="151" t="s">
        <v>1429</v>
      </c>
      <c r="Y84" s="135" t="s">
        <v>1544</v>
      </c>
      <c r="Z84" s="307">
        <v>154</v>
      </c>
      <c r="AB84" t="str">
        <f>IF(Table1[[#This Row],[TIPO2]]="costo", VLOOKUP(Table1[[#This Row],[PARTIDA PRESUPUESTAL]],'Cost Report'!G:G,1,0),"Balance")</f>
        <v>2013-004</v>
      </c>
      <c r="AC84" s="118"/>
      <c r="AD84" s="159">
        <f>+Table1[[#This Row],[SUBTOTAL]]+Table1[[#This Row],[IVA]]-Table1[[#This Row],[RET IVA]]-Table1[[#This Row],[RET ISR]]-Table1[[#This Row],[TOTAL]]</f>
        <v>0</v>
      </c>
      <c r="AE84" s="150"/>
      <c r="AF84" s="151"/>
      <c r="AG84" s="126"/>
      <c r="AK84" s="306" t="str">
        <f>IF(ISNUMBER(Table1[[#This Row],[FECHA DE RECIBIDO]]), Table1[[#This Row],[FECHA DE RECIBIDO]]-DATE(2023,8,30), "")</f>
        <v/>
      </c>
    </row>
    <row r="85" spans="1:37" ht="16.05" customHeight="1">
      <c r="A85" s="152" t="s">
        <v>1462</v>
      </c>
      <c r="B85" s="153">
        <v>66</v>
      </c>
      <c r="C85" s="126" t="s">
        <v>237</v>
      </c>
      <c r="D85">
        <v>58</v>
      </c>
      <c r="E85" s="126"/>
      <c r="F85" s="125" t="s">
        <v>129</v>
      </c>
      <c r="G85" s="125" t="s">
        <v>129</v>
      </c>
      <c r="H85">
        <v>10</v>
      </c>
      <c r="I85" s="125"/>
      <c r="J85" s="308" t="s">
        <v>214</v>
      </c>
      <c r="K85" s="127"/>
      <c r="L85" s="153" t="s">
        <v>110</v>
      </c>
      <c r="M85">
        <v>13</v>
      </c>
      <c r="N85" s="123"/>
      <c r="O85">
        <v>67</v>
      </c>
      <c r="P85" s="132" t="s">
        <v>77</v>
      </c>
      <c r="Q85" s="132">
        <v>33500</v>
      </c>
      <c r="R85" s="132">
        <v>5360</v>
      </c>
      <c r="S85" s="132"/>
      <c r="T85" s="156">
        <v>3573.34</v>
      </c>
      <c r="U85" s="132">
        <v>3350</v>
      </c>
      <c r="V85" s="132">
        <f>+Table1[[#This Row],[SUBTOTAL]]+Table1[[#This Row],[IVA]]-Table1[[#This Row],[RET IVA]]-Table1[[#This Row],[RET ISR]]</f>
        <v>31936.660000000003</v>
      </c>
      <c r="W85">
        <v>9</v>
      </c>
      <c r="X85" s="153" t="s">
        <v>1429</v>
      </c>
      <c r="Y85" s="124" t="s">
        <v>1544</v>
      </c>
      <c r="Z85" s="308">
        <v>154</v>
      </c>
      <c r="AB85" t="str">
        <f>IF(Table1[[#This Row],[TIPO2]]="costo", VLOOKUP(Table1[[#This Row],[PARTIDA PRESUPUESTAL]],'Cost Report'!G:G,1,0),"Balance")</f>
        <v>1202-004</v>
      </c>
      <c r="AC85" s="118"/>
      <c r="AD85" s="159">
        <f>+Table1[[#This Row],[SUBTOTAL]]+Table1[[#This Row],[IVA]]-Table1[[#This Row],[RET IVA]]-Table1[[#This Row],[RET ISR]]-Table1[[#This Row],[TOTAL]]</f>
        <v>0</v>
      </c>
      <c r="AE85" s="152"/>
      <c r="AF85" s="153"/>
      <c r="AG85" s="126"/>
      <c r="AK85" s="306" t="str">
        <f>IF(ISNUMBER(Table1[[#This Row],[FECHA DE RECIBIDO]]), Table1[[#This Row],[FECHA DE RECIBIDO]]-DATE(2023,8,30), "")</f>
        <v/>
      </c>
    </row>
    <row r="86" spans="1:37" ht="16.05" customHeight="1">
      <c r="A86" s="150" t="s">
        <v>1463</v>
      </c>
      <c r="B86" s="151">
        <v>67</v>
      </c>
      <c r="C86" s="126" t="s">
        <v>242</v>
      </c>
      <c r="D86">
        <v>59</v>
      </c>
      <c r="E86" s="126"/>
      <c r="F86" s="122" t="s">
        <v>129</v>
      </c>
      <c r="G86" s="122" t="s">
        <v>129</v>
      </c>
      <c r="H86">
        <v>16</v>
      </c>
      <c r="I86" s="122"/>
      <c r="J86" s="307" t="s">
        <v>214</v>
      </c>
      <c r="K86" s="127"/>
      <c r="L86" s="151" t="s">
        <v>110</v>
      </c>
      <c r="M86">
        <v>21</v>
      </c>
      <c r="N86" s="123"/>
      <c r="O86">
        <v>68</v>
      </c>
      <c r="P86" s="132" t="s">
        <v>77</v>
      </c>
      <c r="Q86" s="131">
        <v>42000</v>
      </c>
      <c r="R86" s="131">
        <v>6720</v>
      </c>
      <c r="S86" s="131"/>
      <c r="T86" s="155">
        <v>4480.01</v>
      </c>
      <c r="U86" s="131">
        <v>4200</v>
      </c>
      <c r="V86" s="131">
        <f>+Table1[[#This Row],[SUBTOTAL]]+Table1[[#This Row],[IVA]]-Table1[[#This Row],[RET IVA]]-Table1[[#This Row],[RET ISR]]</f>
        <v>40039.99</v>
      </c>
      <c r="W86">
        <v>16</v>
      </c>
      <c r="X86" s="151" t="s">
        <v>1429</v>
      </c>
      <c r="Y86" s="135" t="s">
        <v>1544</v>
      </c>
      <c r="Z86" s="307">
        <v>154</v>
      </c>
      <c r="AB86" t="str">
        <f>IF(Table1[[#This Row],[TIPO2]]="costo", VLOOKUP(Table1[[#This Row],[PARTIDA PRESUPUESTAL]],'Cost Report'!G:G,1,0),"Balance")</f>
        <v>1204-004</v>
      </c>
      <c r="AC86" s="118"/>
      <c r="AD86" s="159">
        <f>+Table1[[#This Row],[SUBTOTAL]]+Table1[[#This Row],[IVA]]-Table1[[#This Row],[RET IVA]]-Table1[[#This Row],[RET ISR]]-Table1[[#This Row],[TOTAL]]</f>
        <v>0</v>
      </c>
      <c r="AE86" s="150"/>
      <c r="AF86" s="151"/>
      <c r="AG86" s="126"/>
      <c r="AK86" s="306" t="str">
        <f>IF(ISNUMBER(Table1[[#This Row],[FECHA DE RECIBIDO]]), Table1[[#This Row],[FECHA DE RECIBIDO]]-DATE(2023,8,30), "")</f>
        <v/>
      </c>
    </row>
    <row r="87" spans="1:37" ht="16.05" customHeight="1">
      <c r="A87" s="152" t="s">
        <v>1464</v>
      </c>
      <c r="B87" s="153">
        <v>68</v>
      </c>
      <c r="C87" s="126" t="s">
        <v>434</v>
      </c>
      <c r="D87">
        <v>60</v>
      </c>
      <c r="E87" s="126"/>
      <c r="F87" s="125" t="s">
        <v>129</v>
      </c>
      <c r="G87" s="125" t="s">
        <v>129</v>
      </c>
      <c r="H87">
        <v>17</v>
      </c>
      <c r="I87" s="125"/>
      <c r="J87" s="308" t="s">
        <v>214</v>
      </c>
      <c r="K87" s="127"/>
      <c r="L87" s="153" t="s">
        <v>110</v>
      </c>
      <c r="M87">
        <v>22</v>
      </c>
      <c r="N87" s="123"/>
      <c r="O87">
        <v>69</v>
      </c>
      <c r="P87" s="132" t="s">
        <v>77</v>
      </c>
      <c r="Q87" s="132">
        <v>20000</v>
      </c>
      <c r="R87" s="132">
        <v>3200</v>
      </c>
      <c r="S87" s="132"/>
      <c r="T87" s="156">
        <v>2133.34</v>
      </c>
      <c r="U87" s="132">
        <v>2000</v>
      </c>
      <c r="V87" s="132">
        <f>+Table1[[#This Row],[SUBTOTAL]]+Table1[[#This Row],[IVA]]-Table1[[#This Row],[RET IVA]]-Table1[[#This Row],[RET ISR]]</f>
        <v>19066.66</v>
      </c>
      <c r="W87">
        <v>17</v>
      </c>
      <c r="X87" s="153" t="s">
        <v>1430</v>
      </c>
      <c r="Y87" s="124" t="s">
        <v>1544</v>
      </c>
      <c r="Z87" s="308">
        <v>154</v>
      </c>
      <c r="AB87" t="str">
        <f>IF(Table1[[#This Row],[TIPO2]]="costo", VLOOKUP(Table1[[#This Row],[PARTIDA PRESUPUESTAL]],'Cost Report'!G:G,1,0),"Balance")</f>
        <v>2001-004</v>
      </c>
      <c r="AC87" s="118"/>
      <c r="AD87" s="159">
        <f>+Table1[[#This Row],[SUBTOTAL]]+Table1[[#This Row],[IVA]]-Table1[[#This Row],[RET IVA]]-Table1[[#This Row],[RET ISR]]-Table1[[#This Row],[TOTAL]]</f>
        <v>0</v>
      </c>
      <c r="AE87" s="152"/>
      <c r="AF87" s="153"/>
      <c r="AG87" s="126"/>
      <c r="AK87" s="306" t="str">
        <f>IF(ISNUMBER(Table1[[#This Row],[FECHA DE RECIBIDO]]), Table1[[#This Row],[FECHA DE RECIBIDO]]-DATE(2023,8,30), "")</f>
        <v/>
      </c>
    </row>
    <row r="88" spans="1:37" ht="16.05" customHeight="1">
      <c r="A88" s="150" t="s">
        <v>1465</v>
      </c>
      <c r="B88" s="151">
        <v>69</v>
      </c>
      <c r="C88" s="126" t="s">
        <v>2143</v>
      </c>
      <c r="D88">
        <v>61</v>
      </c>
      <c r="E88" s="126"/>
      <c r="F88" s="122" t="s">
        <v>109</v>
      </c>
      <c r="G88" s="122" t="s">
        <v>109</v>
      </c>
      <c r="H88">
        <v>18</v>
      </c>
      <c r="I88" s="122"/>
      <c r="J88" s="307" t="s">
        <v>214</v>
      </c>
      <c r="K88" s="127"/>
      <c r="L88" s="151" t="s">
        <v>110</v>
      </c>
      <c r="M88">
        <v>23</v>
      </c>
      <c r="N88" s="123"/>
      <c r="O88">
        <v>70</v>
      </c>
      <c r="P88" s="132" t="s">
        <v>77</v>
      </c>
      <c r="Q88" s="131">
        <v>10000</v>
      </c>
      <c r="R88" s="131">
        <v>1600</v>
      </c>
      <c r="S88" s="131"/>
      <c r="T88" s="155">
        <v>1066.67</v>
      </c>
      <c r="U88" s="131">
        <v>125</v>
      </c>
      <c r="V88" s="131">
        <f>+Table1[[#This Row],[SUBTOTAL]]+Table1[[#This Row],[IVA]]-Table1[[#This Row],[RET IVA]]-Table1[[#This Row],[RET ISR]]</f>
        <v>10408.33</v>
      </c>
      <c r="W88">
        <v>18</v>
      </c>
      <c r="X88" s="151" t="s">
        <v>1429</v>
      </c>
      <c r="Y88" s="135" t="s">
        <v>1544</v>
      </c>
      <c r="Z88" s="307">
        <v>154</v>
      </c>
      <c r="AB88" t="str">
        <f>IF(Table1[[#This Row],[TIPO2]]="costo", VLOOKUP(Table1[[#This Row],[PARTIDA PRESUPUESTAL]],'Cost Report'!G:G,1,0),"Balance")</f>
        <v>1222-009</v>
      </c>
      <c r="AC88" s="118"/>
      <c r="AD88" s="159">
        <f>+Table1[[#This Row],[SUBTOTAL]]+Table1[[#This Row],[IVA]]-Table1[[#This Row],[RET IVA]]-Table1[[#This Row],[RET ISR]]-Table1[[#This Row],[TOTAL]]</f>
        <v>0</v>
      </c>
      <c r="AE88" s="150"/>
      <c r="AF88" s="151"/>
      <c r="AG88" s="126"/>
      <c r="AK88" s="306" t="str">
        <f>IF(ISNUMBER(Table1[[#This Row],[FECHA DE RECIBIDO]]), Table1[[#This Row],[FECHA DE RECIBIDO]]-DATE(2023,8,30), "")</f>
        <v/>
      </c>
    </row>
    <row r="89" spans="1:37" ht="16.05" customHeight="1">
      <c r="A89" s="152" t="s">
        <v>1466</v>
      </c>
      <c r="B89" s="153">
        <v>70</v>
      </c>
      <c r="C89" s="126" t="s">
        <v>477</v>
      </c>
      <c r="D89">
        <v>62</v>
      </c>
      <c r="E89" s="126"/>
      <c r="F89" s="125" t="s">
        <v>109</v>
      </c>
      <c r="G89" s="125" t="s">
        <v>109</v>
      </c>
      <c r="H89">
        <v>21</v>
      </c>
      <c r="I89" s="125"/>
      <c r="J89" s="308" t="s">
        <v>214</v>
      </c>
      <c r="K89" s="127"/>
      <c r="L89" s="153" t="s">
        <v>110</v>
      </c>
      <c r="M89">
        <v>27</v>
      </c>
      <c r="N89" s="123"/>
      <c r="O89">
        <v>71</v>
      </c>
      <c r="P89" s="132" t="s">
        <v>77</v>
      </c>
      <c r="Q89" s="132">
        <v>8000</v>
      </c>
      <c r="R89" s="132">
        <v>1280</v>
      </c>
      <c r="S89" s="132"/>
      <c r="T89" s="156">
        <v>853.33</v>
      </c>
      <c r="U89" s="132">
        <v>100</v>
      </c>
      <c r="V89" s="132">
        <f>+Table1[[#This Row],[SUBTOTAL]]+Table1[[#This Row],[IVA]]-Table1[[#This Row],[RET IVA]]-Table1[[#This Row],[RET ISR]]</f>
        <v>8326.67</v>
      </c>
      <c r="W89">
        <v>21</v>
      </c>
      <c r="X89" s="153" t="s">
        <v>1431</v>
      </c>
      <c r="Y89" s="124" t="s">
        <v>1544</v>
      </c>
      <c r="Z89" s="308">
        <v>154</v>
      </c>
      <c r="AB89" t="str">
        <f>IF(Table1[[#This Row],[TIPO2]]="costo", VLOOKUP(Table1[[#This Row],[PARTIDA PRESUPUESTAL]],'Cost Report'!G:G,1,0),"Balance")</f>
        <v>2014-003</v>
      </c>
      <c r="AC89" s="118"/>
      <c r="AD89" s="159">
        <f>+Table1[[#This Row],[SUBTOTAL]]+Table1[[#This Row],[IVA]]-Table1[[#This Row],[RET IVA]]-Table1[[#This Row],[RET ISR]]-Table1[[#This Row],[TOTAL]]</f>
        <v>0</v>
      </c>
      <c r="AE89" s="152"/>
      <c r="AF89" s="153"/>
      <c r="AG89" s="126"/>
      <c r="AK89" s="306" t="str">
        <f>IF(ISNUMBER(Table1[[#This Row],[FECHA DE RECIBIDO]]), Table1[[#This Row],[FECHA DE RECIBIDO]]-DATE(2023,8,30), "")</f>
        <v/>
      </c>
    </row>
    <row r="90" spans="1:37" ht="16.05" customHeight="1">
      <c r="A90" s="150" t="s">
        <v>1467</v>
      </c>
      <c r="B90" s="151">
        <v>71</v>
      </c>
      <c r="C90" s="126" t="s">
        <v>444</v>
      </c>
      <c r="D90">
        <v>63</v>
      </c>
      <c r="E90" s="126"/>
      <c r="F90" s="122" t="s">
        <v>129</v>
      </c>
      <c r="G90" s="122" t="s">
        <v>129</v>
      </c>
      <c r="H90">
        <v>7</v>
      </c>
      <c r="I90" s="122"/>
      <c r="J90" s="307" t="s">
        <v>214</v>
      </c>
      <c r="K90" s="127"/>
      <c r="L90" s="151" t="s">
        <v>110</v>
      </c>
      <c r="M90">
        <v>24</v>
      </c>
      <c r="N90" s="123"/>
      <c r="O90">
        <v>72</v>
      </c>
      <c r="P90" s="132" t="s">
        <v>77</v>
      </c>
      <c r="Q90" s="131">
        <v>26250</v>
      </c>
      <c r="R90" s="131">
        <v>4200</v>
      </c>
      <c r="S90" s="131"/>
      <c r="T90" s="155">
        <v>2800.01</v>
      </c>
      <c r="U90" s="131">
        <v>2625</v>
      </c>
      <c r="V90" s="131">
        <f>+Table1[[#This Row],[SUBTOTAL]]+Table1[[#This Row],[IVA]]-Table1[[#This Row],[RET IVA]]-Table1[[#This Row],[RET ISR]]</f>
        <v>25024.989999999998</v>
      </c>
      <c r="W90">
        <v>7</v>
      </c>
      <c r="X90" s="151" t="s">
        <v>1431</v>
      </c>
      <c r="Y90" s="135" t="s">
        <v>1544</v>
      </c>
      <c r="Z90" s="307">
        <v>154</v>
      </c>
      <c r="AB90" t="str">
        <f>IF(Table1[[#This Row],[TIPO2]]="costo", VLOOKUP(Table1[[#This Row],[PARTIDA PRESUPUESTAL]],'Cost Report'!G:G,1,0),"Balance")</f>
        <v>2004-004</v>
      </c>
      <c r="AC90" s="118"/>
      <c r="AD90" s="159">
        <f>+Table1[[#This Row],[SUBTOTAL]]+Table1[[#This Row],[IVA]]-Table1[[#This Row],[RET IVA]]-Table1[[#This Row],[RET ISR]]-Table1[[#This Row],[TOTAL]]</f>
        <v>0</v>
      </c>
      <c r="AE90" s="150"/>
      <c r="AF90" s="151"/>
      <c r="AG90" s="126"/>
      <c r="AK90" s="306" t="str">
        <f>IF(ISNUMBER(Table1[[#This Row],[FECHA DE RECIBIDO]]), Table1[[#This Row],[FECHA DE RECIBIDO]]-DATE(2023,8,30), "")</f>
        <v/>
      </c>
    </row>
    <row r="91" spans="1:37" ht="16.05" customHeight="1">
      <c r="A91" s="152" t="s">
        <v>1468</v>
      </c>
      <c r="B91" s="153">
        <v>72</v>
      </c>
      <c r="C91" s="126" t="s">
        <v>447</v>
      </c>
      <c r="D91">
        <v>64</v>
      </c>
      <c r="E91" s="126"/>
      <c r="F91" s="125" t="s">
        <v>109</v>
      </c>
      <c r="G91" s="125" t="s">
        <v>109</v>
      </c>
      <c r="H91">
        <v>19</v>
      </c>
      <c r="I91" s="125"/>
      <c r="J91" s="308" t="s">
        <v>214</v>
      </c>
      <c r="K91" s="127"/>
      <c r="L91" s="153" t="s">
        <v>110</v>
      </c>
      <c r="M91">
        <v>25</v>
      </c>
      <c r="N91" s="123"/>
      <c r="O91">
        <v>73</v>
      </c>
      <c r="P91" s="132" t="s">
        <v>77</v>
      </c>
      <c r="Q91" s="132">
        <v>15750</v>
      </c>
      <c r="R91" s="132">
        <v>2520</v>
      </c>
      <c r="S91" s="132"/>
      <c r="T91" s="156">
        <v>1680.53</v>
      </c>
      <c r="U91" s="132">
        <v>196.88</v>
      </c>
      <c r="V91" s="132">
        <f>+Table1[[#This Row],[SUBTOTAL]]+Table1[[#This Row],[IVA]]-Table1[[#This Row],[RET IVA]]-Table1[[#This Row],[RET ISR]]</f>
        <v>16392.59</v>
      </c>
      <c r="W91">
        <v>19</v>
      </c>
      <c r="X91" s="153" t="s">
        <v>1429</v>
      </c>
      <c r="Y91" s="124" t="s">
        <v>1544</v>
      </c>
      <c r="Z91" s="308">
        <v>154</v>
      </c>
      <c r="AB91" t="str">
        <f>IF(Table1[[#This Row],[TIPO2]]="costo", VLOOKUP(Table1[[#This Row],[PARTIDA PRESUPUESTAL]],'Cost Report'!G:G,1,0),"Balance")</f>
        <v>2005-004</v>
      </c>
      <c r="AC91" s="118"/>
      <c r="AD91" s="159">
        <f>+Table1[[#This Row],[SUBTOTAL]]+Table1[[#This Row],[IVA]]-Table1[[#This Row],[RET IVA]]-Table1[[#This Row],[RET ISR]]-Table1[[#This Row],[TOTAL]]</f>
        <v>0</v>
      </c>
      <c r="AE91" s="152"/>
      <c r="AF91" s="153"/>
      <c r="AG91" s="126"/>
      <c r="AK91" s="306" t="str">
        <f>IF(ISNUMBER(Table1[[#This Row],[FECHA DE RECIBIDO]]), Table1[[#This Row],[FECHA DE RECIBIDO]]-DATE(2023,8,30), "")</f>
        <v/>
      </c>
    </row>
    <row r="92" spans="1:37" ht="16.05" customHeight="1">
      <c r="A92" s="150" t="s">
        <v>1469</v>
      </c>
      <c r="B92" s="151">
        <v>73</v>
      </c>
      <c r="C92" s="126" t="s">
        <v>952</v>
      </c>
      <c r="D92">
        <v>65</v>
      </c>
      <c r="E92" s="126"/>
      <c r="F92" s="122" t="s">
        <v>109</v>
      </c>
      <c r="G92" s="122" t="s">
        <v>109</v>
      </c>
      <c r="H92">
        <v>11</v>
      </c>
      <c r="I92" s="122"/>
      <c r="J92" s="307" t="s">
        <v>214</v>
      </c>
      <c r="K92" s="127"/>
      <c r="L92" s="151" t="s">
        <v>110</v>
      </c>
      <c r="M92">
        <v>14</v>
      </c>
      <c r="N92" s="123"/>
      <c r="O92">
        <v>74</v>
      </c>
      <c r="P92" s="132" t="s">
        <v>77</v>
      </c>
      <c r="Q92" s="131">
        <v>10500</v>
      </c>
      <c r="R92" s="131">
        <v>1680</v>
      </c>
      <c r="S92" s="131"/>
      <c r="T92" s="155">
        <v>1119.99</v>
      </c>
      <c r="U92" s="131">
        <v>131.25</v>
      </c>
      <c r="V92" s="131">
        <f>+Table1[[#This Row],[SUBTOTAL]]+Table1[[#This Row],[IVA]]-Table1[[#This Row],[RET IVA]]-Table1[[#This Row],[RET ISR]]</f>
        <v>10928.76</v>
      </c>
      <c r="W92">
        <v>10</v>
      </c>
      <c r="X92" s="151" t="s">
        <v>1432</v>
      </c>
      <c r="Y92" s="135" t="s">
        <v>1544</v>
      </c>
      <c r="Z92" s="307">
        <v>154</v>
      </c>
      <c r="AB92" t="str">
        <f>IF(Table1[[#This Row],[TIPO2]]="costo", VLOOKUP(Table1[[#This Row],[PARTIDA PRESUPUESTAL]],'Cost Report'!G:G,1,0),"Balance")</f>
        <v>3403-010</v>
      </c>
      <c r="AC92" s="118"/>
      <c r="AD92" s="159">
        <f>+Table1[[#This Row],[SUBTOTAL]]+Table1[[#This Row],[IVA]]-Table1[[#This Row],[RET IVA]]-Table1[[#This Row],[RET ISR]]-Table1[[#This Row],[TOTAL]]</f>
        <v>0</v>
      </c>
      <c r="AE92" s="150"/>
      <c r="AF92" s="151"/>
      <c r="AG92" s="126"/>
      <c r="AK92" s="306" t="str">
        <f>IF(ISNUMBER(Table1[[#This Row],[FECHA DE RECIBIDO]]), Table1[[#This Row],[FECHA DE RECIBIDO]]-DATE(2023,8,30), "")</f>
        <v/>
      </c>
    </row>
    <row r="93" spans="1:37" ht="16.05" customHeight="1">
      <c r="A93" s="152" t="s">
        <v>1470</v>
      </c>
      <c r="B93" s="153">
        <v>74</v>
      </c>
      <c r="C93" s="126" t="s">
        <v>944</v>
      </c>
      <c r="D93">
        <v>66</v>
      </c>
      <c r="E93" s="126"/>
      <c r="F93" s="125" t="s">
        <v>129</v>
      </c>
      <c r="G93" s="125" t="s">
        <v>129</v>
      </c>
      <c r="H93">
        <v>8</v>
      </c>
      <c r="I93" s="125"/>
      <c r="J93" s="308" t="s">
        <v>214</v>
      </c>
      <c r="K93" s="127"/>
      <c r="L93" s="153" t="s">
        <v>110</v>
      </c>
      <c r="M93">
        <v>11</v>
      </c>
      <c r="N93" s="123"/>
      <c r="O93">
        <v>75</v>
      </c>
      <c r="P93" s="132" t="s">
        <v>77</v>
      </c>
      <c r="Q93" s="132">
        <v>24150</v>
      </c>
      <c r="R93" s="132">
        <v>3864</v>
      </c>
      <c r="S93" s="132"/>
      <c r="T93" s="156">
        <v>2576.0100000000002</v>
      </c>
      <c r="U93" s="132">
        <v>2415</v>
      </c>
      <c r="V93" s="132">
        <f>+Table1[[#This Row],[SUBTOTAL]]+Table1[[#This Row],[IVA]]-Table1[[#This Row],[RET IVA]]-Table1[[#This Row],[RET ISR]]</f>
        <v>23022.989999999998</v>
      </c>
      <c r="W93">
        <v>6</v>
      </c>
      <c r="X93" s="153" t="s">
        <v>1430</v>
      </c>
      <c r="Y93" s="124" t="s">
        <v>1544</v>
      </c>
      <c r="Z93" s="308">
        <v>154</v>
      </c>
      <c r="AB93" t="str">
        <f>IF(Table1[[#This Row],[TIPO2]]="costo", VLOOKUP(Table1[[#This Row],[PARTIDA PRESUPUESTAL]],'Cost Report'!G:G,1,0),"Balance")</f>
        <v>3402-004</v>
      </c>
      <c r="AC93" s="118"/>
      <c r="AD93" s="159">
        <f>+Table1[[#This Row],[SUBTOTAL]]+Table1[[#This Row],[IVA]]-Table1[[#This Row],[RET IVA]]-Table1[[#This Row],[RET ISR]]-Table1[[#This Row],[TOTAL]]</f>
        <v>0</v>
      </c>
      <c r="AE93" s="152"/>
      <c r="AF93" s="153"/>
      <c r="AG93" s="126"/>
      <c r="AK93" s="306" t="str">
        <f>IF(ISNUMBER(Table1[[#This Row],[FECHA DE RECIBIDO]]), Table1[[#This Row],[FECHA DE RECIBIDO]]-DATE(2023,8,30), "")</f>
        <v/>
      </c>
    </row>
    <row r="94" spans="1:37" ht="16.05" customHeight="1">
      <c r="A94" s="150" t="s">
        <v>1471</v>
      </c>
      <c r="B94" s="151">
        <v>75</v>
      </c>
      <c r="C94" s="126" t="s">
        <v>536</v>
      </c>
      <c r="D94">
        <v>67</v>
      </c>
      <c r="E94" s="126"/>
      <c r="F94" s="122" t="s">
        <v>129</v>
      </c>
      <c r="G94" s="122" t="s">
        <v>129</v>
      </c>
      <c r="H94">
        <v>20</v>
      </c>
      <c r="I94" s="122"/>
      <c r="J94" s="307" t="s">
        <v>214</v>
      </c>
      <c r="K94" s="127"/>
      <c r="L94" s="151" t="s">
        <v>110</v>
      </c>
      <c r="M94">
        <v>26</v>
      </c>
      <c r="N94" s="123"/>
      <c r="O94">
        <v>76</v>
      </c>
      <c r="P94" s="132" t="s">
        <v>77</v>
      </c>
      <c r="Q94" s="131">
        <v>32340</v>
      </c>
      <c r="R94" s="131">
        <v>5174.3999999999996</v>
      </c>
      <c r="S94" s="131"/>
      <c r="T94" s="155">
        <v>3449.61</v>
      </c>
      <c r="U94" s="131">
        <v>3234</v>
      </c>
      <c r="V94" s="131">
        <f>+Table1[[#This Row],[SUBTOTAL]]+Table1[[#This Row],[IVA]]-Table1[[#This Row],[RET IVA]]-Table1[[#This Row],[RET ISR]]</f>
        <v>30830.79</v>
      </c>
      <c r="W94">
        <v>20</v>
      </c>
      <c r="X94" s="151" t="s">
        <v>1434</v>
      </c>
      <c r="Y94" s="135" t="s">
        <v>1544</v>
      </c>
      <c r="Z94" s="307">
        <v>154</v>
      </c>
      <c r="AB94" t="str">
        <f>IF(Table1[[#This Row],[TIPO2]]="costo", VLOOKUP(Table1[[#This Row],[PARTIDA PRESUPUESTAL]],'Cost Report'!G:G,1,0),"Balance")</f>
        <v>2201-004</v>
      </c>
      <c r="AC94" s="118"/>
      <c r="AD94" s="159">
        <f>+Table1[[#This Row],[SUBTOTAL]]+Table1[[#This Row],[IVA]]-Table1[[#This Row],[RET IVA]]-Table1[[#This Row],[RET ISR]]-Table1[[#This Row],[TOTAL]]</f>
        <v>0</v>
      </c>
      <c r="AE94" s="150"/>
      <c r="AF94" s="151"/>
      <c r="AG94" s="126"/>
      <c r="AK94" s="306" t="str">
        <f>IF(ISNUMBER(Table1[[#This Row],[FECHA DE RECIBIDO]]), Table1[[#This Row],[FECHA DE RECIBIDO]]-DATE(2023,8,30), "")</f>
        <v/>
      </c>
    </row>
    <row r="95" spans="1:37" ht="16.05" customHeight="1">
      <c r="A95" s="152" t="s">
        <v>1473</v>
      </c>
      <c r="B95" s="153">
        <v>49</v>
      </c>
      <c r="C95" s="126" t="s">
        <v>464</v>
      </c>
      <c r="D95">
        <v>68</v>
      </c>
      <c r="E95" s="126"/>
      <c r="F95" s="125" t="s">
        <v>134</v>
      </c>
      <c r="G95" s="125" t="s">
        <v>134</v>
      </c>
      <c r="H95">
        <v>5</v>
      </c>
      <c r="I95" s="125"/>
      <c r="J95" s="308" t="s">
        <v>214</v>
      </c>
      <c r="K95" s="127"/>
      <c r="L95" s="153" t="s">
        <v>118</v>
      </c>
      <c r="M95">
        <v>5</v>
      </c>
      <c r="N95" s="123"/>
      <c r="O95">
        <v>24</v>
      </c>
      <c r="P95" s="132" t="s">
        <v>77</v>
      </c>
      <c r="Q95" s="132">
        <v>20000</v>
      </c>
      <c r="R95" s="132">
        <v>3200</v>
      </c>
      <c r="S95" s="132"/>
      <c r="T95" s="156"/>
      <c r="U95" s="132"/>
      <c r="V95" s="132">
        <f>+Table1[[#This Row],[SUBTOTAL]]+Table1[[#This Row],[IVA]]-Table1[[#This Row],[RET IVA]]-Table1[[#This Row],[RET ISR]]</f>
        <v>23200</v>
      </c>
      <c r="W95">
        <v>4</v>
      </c>
      <c r="X95" s="153" t="s">
        <v>1472</v>
      </c>
      <c r="Y95" s="124" t="s">
        <v>1544</v>
      </c>
      <c r="Z95" s="308">
        <v>142</v>
      </c>
      <c r="AB95" t="str">
        <f>IF(Table1[[#This Row],[TIPO2]]="costo", VLOOKUP(Table1[[#This Row],[PARTIDA PRESUPUESTAL]],'Cost Report'!G:G,1,0),"Balance")</f>
        <v>2010-006</v>
      </c>
      <c r="AC95" s="118"/>
      <c r="AD95" s="159">
        <f>+Table1[[#This Row],[SUBTOTAL]]+Table1[[#This Row],[IVA]]-Table1[[#This Row],[RET IVA]]-Table1[[#This Row],[RET ISR]]-Table1[[#This Row],[TOTAL]]</f>
        <v>0</v>
      </c>
      <c r="AE95" s="152"/>
      <c r="AF95" s="153"/>
      <c r="AG95" s="126"/>
      <c r="AK95" s="306" t="str">
        <f>IF(ISNUMBER(Table1[[#This Row],[FECHA DE RECIBIDO]]), Table1[[#This Row],[FECHA DE RECIBIDO]]-DATE(2023,8,30), "")</f>
        <v/>
      </c>
    </row>
    <row r="96" spans="1:37" ht="16.05" customHeight="1">
      <c r="A96" s="150" t="s">
        <v>1474</v>
      </c>
      <c r="B96" s="151">
        <v>50</v>
      </c>
      <c r="C96" s="126" t="s">
        <v>466</v>
      </c>
      <c r="D96">
        <v>69</v>
      </c>
      <c r="E96" s="126" t="s">
        <v>1629</v>
      </c>
      <c r="F96" s="122" t="s">
        <v>1607</v>
      </c>
      <c r="G96" s="122" t="s">
        <v>134</v>
      </c>
      <c r="H96">
        <v>5</v>
      </c>
      <c r="I96" s="122" t="s">
        <v>1546</v>
      </c>
      <c r="J96" s="307" t="s">
        <v>214</v>
      </c>
      <c r="K96" s="127" t="s">
        <v>1627</v>
      </c>
      <c r="L96" s="151" t="s">
        <v>118</v>
      </c>
      <c r="M96">
        <v>5</v>
      </c>
      <c r="N96" s="123">
        <v>0</v>
      </c>
      <c r="O96">
        <v>77</v>
      </c>
      <c r="P96" s="132" t="s">
        <v>77</v>
      </c>
      <c r="Q96" s="131">
        <v>11500</v>
      </c>
      <c r="R96" s="131">
        <v>1840</v>
      </c>
      <c r="S96" s="131"/>
      <c r="T96" s="155">
        <v>0</v>
      </c>
      <c r="U96" s="131">
        <v>0</v>
      </c>
      <c r="V96" s="131">
        <f>+Table1[[#This Row],[SUBTOTAL]]+Table1[[#This Row],[IVA]]-Table1[[#This Row],[RET IVA]]-Table1[[#This Row],[RET ISR]]</f>
        <v>13340</v>
      </c>
      <c r="W96">
        <v>4</v>
      </c>
      <c r="X96" s="151" t="s">
        <v>1472</v>
      </c>
      <c r="Y96" s="135" t="s">
        <v>55</v>
      </c>
      <c r="Z96" s="307" t="s">
        <v>214</v>
      </c>
      <c r="AB96" t="str">
        <f>IF(Table1[[#This Row],[TIPO2]]="costo", VLOOKUP(Table1[[#This Row],[PARTIDA PRESUPUESTAL]],'Cost Report'!G:G,1,0),"Balance")</f>
        <v>2010-010</v>
      </c>
      <c r="AC96" s="118"/>
      <c r="AD96" s="159">
        <f>+Table1[[#This Row],[SUBTOTAL]]+Table1[[#This Row],[IVA]]-Table1[[#This Row],[RET IVA]]-Table1[[#This Row],[RET ISR]]-Table1[[#This Row],[TOTAL]]</f>
        <v>0</v>
      </c>
      <c r="AE96" s="150"/>
      <c r="AF96" s="151"/>
      <c r="AG96" s="126"/>
      <c r="AK96" s="306" t="str">
        <f>IF(ISNUMBER(Table1[[#This Row],[FECHA DE RECIBIDO]]), Table1[[#This Row],[FECHA DE RECIBIDO]]-DATE(2023,8,30), "")</f>
        <v/>
      </c>
    </row>
    <row r="97" spans="1:37" ht="16.05" customHeight="1">
      <c r="A97" s="152" t="s">
        <v>1474</v>
      </c>
      <c r="B97" s="153">
        <v>50</v>
      </c>
      <c r="C97" s="126" t="s">
        <v>2393</v>
      </c>
      <c r="D97">
        <v>69</v>
      </c>
      <c r="E97" s="126" t="s">
        <v>1629</v>
      </c>
      <c r="F97" s="125" t="s">
        <v>1607</v>
      </c>
      <c r="G97" s="125" t="s">
        <v>134</v>
      </c>
      <c r="H97">
        <v>5</v>
      </c>
      <c r="I97" s="125" t="s">
        <v>1546</v>
      </c>
      <c r="J97" s="308" t="s">
        <v>214</v>
      </c>
      <c r="K97" s="127" t="s">
        <v>1627</v>
      </c>
      <c r="L97" s="153" t="s">
        <v>118</v>
      </c>
      <c r="M97">
        <v>5</v>
      </c>
      <c r="N97" s="123">
        <v>0</v>
      </c>
      <c r="O97">
        <v>77</v>
      </c>
      <c r="P97" s="132" t="s">
        <v>77</v>
      </c>
      <c r="Q97" s="132">
        <v>6000</v>
      </c>
      <c r="R97" s="132">
        <v>960</v>
      </c>
      <c r="S97" s="132"/>
      <c r="T97" s="156">
        <v>0</v>
      </c>
      <c r="U97" s="132">
        <v>0</v>
      </c>
      <c r="V97" s="132">
        <f>+Table1[[#This Row],[SUBTOTAL]]+Table1[[#This Row],[IVA]]-Table1[[#This Row],[RET IVA]]-Table1[[#This Row],[RET ISR]]</f>
        <v>6960</v>
      </c>
      <c r="W97">
        <v>4</v>
      </c>
      <c r="X97" s="153" t="s">
        <v>1472</v>
      </c>
      <c r="Y97" s="124" t="s">
        <v>55</v>
      </c>
      <c r="Z97" s="308" t="s">
        <v>214</v>
      </c>
      <c r="AB97" t="str">
        <f>IF(Table1[[#This Row],[TIPO2]]="costo", VLOOKUP(Table1[[#This Row],[PARTIDA PRESUPUESTAL]],'Cost Report'!G:G,1,0),"Balance")</f>
        <v>2011-003</v>
      </c>
      <c r="AC97" s="118"/>
      <c r="AD97" s="159">
        <f>+Table1[[#This Row],[SUBTOTAL]]+Table1[[#This Row],[IVA]]-Table1[[#This Row],[RET IVA]]-Table1[[#This Row],[RET ISR]]-Table1[[#This Row],[TOTAL]]</f>
        <v>0</v>
      </c>
      <c r="AE97" s="152"/>
      <c r="AF97" s="153"/>
      <c r="AG97" s="126"/>
      <c r="AK97" s="306" t="str">
        <f>IF(ISNUMBER(Table1[[#This Row],[FECHA DE RECIBIDO]]), Table1[[#This Row],[FECHA DE RECIBIDO]]-DATE(2023,8,30), "")</f>
        <v/>
      </c>
    </row>
    <row r="98" spans="1:37" ht="16.05" customHeight="1">
      <c r="A98" s="150" t="s">
        <v>1474</v>
      </c>
      <c r="B98" s="151">
        <v>50</v>
      </c>
      <c r="C98" s="126" t="s">
        <v>2399</v>
      </c>
      <c r="D98">
        <v>69</v>
      </c>
      <c r="E98" s="126" t="s">
        <v>1629</v>
      </c>
      <c r="F98" s="122" t="s">
        <v>1607</v>
      </c>
      <c r="G98" s="122" t="s">
        <v>134</v>
      </c>
      <c r="H98">
        <v>5</v>
      </c>
      <c r="I98" s="122" t="s">
        <v>1546</v>
      </c>
      <c r="J98" s="307" t="s">
        <v>214</v>
      </c>
      <c r="K98" s="127" t="s">
        <v>1627</v>
      </c>
      <c r="L98" s="151" t="s">
        <v>118</v>
      </c>
      <c r="M98">
        <v>5</v>
      </c>
      <c r="N98" s="123">
        <v>0</v>
      </c>
      <c r="O98">
        <v>77</v>
      </c>
      <c r="P98" s="132" t="s">
        <v>77</v>
      </c>
      <c r="Q98" s="131">
        <v>5000</v>
      </c>
      <c r="R98" s="131">
        <v>800</v>
      </c>
      <c r="S98" s="131"/>
      <c r="T98" s="155">
        <v>0</v>
      </c>
      <c r="U98" s="131">
        <v>0</v>
      </c>
      <c r="V98" s="131">
        <f>+Table1[[#This Row],[SUBTOTAL]]+Table1[[#This Row],[IVA]]-Table1[[#This Row],[RET IVA]]-Table1[[#This Row],[RET ISR]]</f>
        <v>5800</v>
      </c>
      <c r="W98">
        <v>4</v>
      </c>
      <c r="X98" s="151" t="s">
        <v>1472</v>
      </c>
      <c r="Y98" s="135" t="s">
        <v>55</v>
      </c>
      <c r="Z98" s="307" t="s">
        <v>214</v>
      </c>
      <c r="AB98" t="str">
        <f>IF(Table1[[#This Row],[TIPO2]]="costo", VLOOKUP(Table1[[#This Row],[PARTIDA PRESUPUESTAL]],'Cost Report'!G:G,1,0),"Balance")</f>
        <v>2011-011</v>
      </c>
      <c r="AC98" s="118"/>
      <c r="AD98" s="159">
        <f>+Table1[[#This Row],[SUBTOTAL]]+Table1[[#This Row],[IVA]]-Table1[[#This Row],[RET IVA]]-Table1[[#This Row],[RET ISR]]-Table1[[#This Row],[TOTAL]]</f>
        <v>0</v>
      </c>
      <c r="AE98" s="150"/>
      <c r="AF98" s="151"/>
      <c r="AG98" s="126"/>
      <c r="AK98" s="306" t="str">
        <f>IF(ISNUMBER(Table1[[#This Row],[FECHA DE RECIBIDO]]), Table1[[#This Row],[FECHA DE RECIBIDO]]-DATE(2023,8,30), "")</f>
        <v/>
      </c>
    </row>
    <row r="99" spans="1:37" ht="16.05" customHeight="1">
      <c r="A99" s="152" t="s">
        <v>1474</v>
      </c>
      <c r="B99" s="153">
        <v>50</v>
      </c>
      <c r="C99" s="126" t="s">
        <v>3086</v>
      </c>
      <c r="D99">
        <v>69</v>
      </c>
      <c r="E99" s="126" t="s">
        <v>1629</v>
      </c>
      <c r="F99" s="125" t="s">
        <v>1607</v>
      </c>
      <c r="G99" s="125" t="s">
        <v>134</v>
      </c>
      <c r="H99">
        <v>5</v>
      </c>
      <c r="I99" s="125" t="s">
        <v>1546</v>
      </c>
      <c r="J99" s="308" t="s">
        <v>214</v>
      </c>
      <c r="K99" s="127" t="s">
        <v>1627</v>
      </c>
      <c r="L99" s="153" t="s">
        <v>118</v>
      </c>
      <c r="M99">
        <v>5</v>
      </c>
      <c r="N99" s="123">
        <v>0</v>
      </c>
      <c r="O99">
        <v>77</v>
      </c>
      <c r="P99" s="132" t="s">
        <v>77</v>
      </c>
      <c r="Q99" s="132">
        <v>2750</v>
      </c>
      <c r="R99" s="132">
        <v>440</v>
      </c>
      <c r="S99" s="132"/>
      <c r="T99" s="156">
        <v>0</v>
      </c>
      <c r="U99" s="132">
        <v>0</v>
      </c>
      <c r="V99" s="132">
        <f>+Table1[[#This Row],[SUBTOTAL]]+Table1[[#This Row],[IVA]]-Table1[[#This Row],[RET IVA]]-Table1[[#This Row],[RET ISR]]</f>
        <v>3190</v>
      </c>
      <c r="W99">
        <v>4</v>
      </c>
      <c r="X99" s="153" t="s">
        <v>1472</v>
      </c>
      <c r="Y99" s="124" t="s">
        <v>55</v>
      </c>
      <c r="Z99" s="308" t="s">
        <v>214</v>
      </c>
      <c r="AB99" t="str">
        <f>IF(Table1[[#This Row],[TIPO2]]="costo", VLOOKUP(Table1[[#This Row],[PARTIDA PRESUPUESTAL]],'Cost Report'!G:G,1,0),"Balance")</f>
        <v>7001-003</v>
      </c>
      <c r="AC99" s="118"/>
      <c r="AD99" s="159">
        <f>+Table1[[#This Row],[SUBTOTAL]]+Table1[[#This Row],[IVA]]-Table1[[#This Row],[RET IVA]]-Table1[[#This Row],[RET ISR]]-Table1[[#This Row],[TOTAL]]</f>
        <v>0</v>
      </c>
      <c r="AE99" s="152"/>
      <c r="AF99" s="153"/>
      <c r="AG99" s="126"/>
      <c r="AK99" s="306" t="str">
        <f>IF(ISNUMBER(Table1[[#This Row],[FECHA DE RECIBIDO]]), Table1[[#This Row],[FECHA DE RECIBIDO]]-DATE(2023,8,30), "")</f>
        <v/>
      </c>
    </row>
    <row r="100" spans="1:37" ht="16.05" customHeight="1">
      <c r="A100" s="150" t="s">
        <v>1486</v>
      </c>
      <c r="B100" s="151">
        <v>51</v>
      </c>
      <c r="C100" s="126" t="s">
        <v>466</v>
      </c>
      <c r="D100">
        <v>70</v>
      </c>
      <c r="E100" s="126" t="s">
        <v>1629</v>
      </c>
      <c r="F100" s="122" t="s">
        <v>1607</v>
      </c>
      <c r="G100" s="122" t="s">
        <v>134</v>
      </c>
      <c r="H100">
        <v>5</v>
      </c>
      <c r="I100" s="122" t="s">
        <v>1546</v>
      </c>
      <c r="J100" s="307" t="s">
        <v>214</v>
      </c>
      <c r="K100" s="127" t="s">
        <v>1628</v>
      </c>
      <c r="L100" s="151" t="s">
        <v>118</v>
      </c>
      <c r="M100">
        <v>5</v>
      </c>
      <c r="N100" s="123">
        <v>0</v>
      </c>
      <c r="O100">
        <v>78</v>
      </c>
      <c r="P100" s="132" t="s">
        <v>77</v>
      </c>
      <c r="Q100" s="131">
        <v>5750</v>
      </c>
      <c r="R100" s="131">
        <v>920</v>
      </c>
      <c r="S100" s="131"/>
      <c r="T100" s="155">
        <v>0</v>
      </c>
      <c r="U100" s="131">
        <v>0</v>
      </c>
      <c r="V100" s="131">
        <v>6670</v>
      </c>
      <c r="W100">
        <v>4</v>
      </c>
      <c r="X100" s="151" t="s">
        <v>1472</v>
      </c>
      <c r="Y100" s="135" t="s">
        <v>55</v>
      </c>
      <c r="Z100" s="307" t="s">
        <v>214</v>
      </c>
      <c r="AB100" t="str">
        <f>IF(Table1[[#This Row],[TIPO2]]="costo", VLOOKUP(Table1[[#This Row],[PARTIDA PRESUPUESTAL]],'Cost Report'!G:G,1,0),"Balance")</f>
        <v>2010-010</v>
      </c>
      <c r="AC100" s="118"/>
      <c r="AD100" s="159">
        <f>+Table1[[#This Row],[SUBTOTAL]]+Table1[[#This Row],[IVA]]-Table1[[#This Row],[RET IVA]]-Table1[[#This Row],[RET ISR]]-Table1[[#This Row],[TOTAL]]</f>
        <v>0</v>
      </c>
      <c r="AE100" s="150"/>
      <c r="AF100" s="151"/>
      <c r="AG100" s="126"/>
      <c r="AK100" s="306" t="str">
        <f>IF(ISNUMBER(Table1[[#This Row],[FECHA DE RECIBIDO]]), Table1[[#This Row],[FECHA DE RECIBIDO]]-DATE(2023,8,30), "")</f>
        <v/>
      </c>
    </row>
    <row r="101" spans="1:37" ht="16.05" customHeight="1">
      <c r="A101" s="152" t="s">
        <v>1486</v>
      </c>
      <c r="B101" s="153">
        <v>51</v>
      </c>
      <c r="C101" s="126" t="s">
        <v>2393</v>
      </c>
      <c r="D101">
        <v>70</v>
      </c>
      <c r="E101" s="126" t="s">
        <v>1629</v>
      </c>
      <c r="F101" s="125" t="s">
        <v>1607</v>
      </c>
      <c r="G101" s="125" t="s">
        <v>134</v>
      </c>
      <c r="H101">
        <v>5</v>
      </c>
      <c r="I101" s="125" t="s">
        <v>1546</v>
      </c>
      <c r="J101" s="308" t="s">
        <v>214</v>
      </c>
      <c r="K101" s="127" t="s">
        <v>1628</v>
      </c>
      <c r="L101" s="153" t="s">
        <v>118</v>
      </c>
      <c r="M101">
        <v>5</v>
      </c>
      <c r="N101" s="123">
        <v>0</v>
      </c>
      <c r="O101">
        <v>78</v>
      </c>
      <c r="P101" s="132" t="s">
        <v>77</v>
      </c>
      <c r="Q101" s="132">
        <v>3000</v>
      </c>
      <c r="R101" s="132">
        <v>480</v>
      </c>
      <c r="S101" s="132"/>
      <c r="T101" s="156">
        <v>0</v>
      </c>
      <c r="U101" s="132">
        <v>0</v>
      </c>
      <c r="V101" s="132">
        <v>3480</v>
      </c>
      <c r="W101">
        <v>4</v>
      </c>
      <c r="X101" s="153" t="s">
        <v>1472</v>
      </c>
      <c r="Y101" s="124" t="s">
        <v>55</v>
      </c>
      <c r="Z101" s="308" t="s">
        <v>214</v>
      </c>
      <c r="AB101" t="str">
        <f>IF(Table1[[#This Row],[TIPO2]]="costo", VLOOKUP(Table1[[#This Row],[PARTIDA PRESUPUESTAL]],'Cost Report'!G:G,1,0),"Balance")</f>
        <v>2011-003</v>
      </c>
      <c r="AC101" s="118"/>
      <c r="AD101" s="159">
        <f>+Table1[[#This Row],[SUBTOTAL]]+Table1[[#This Row],[IVA]]-Table1[[#This Row],[RET IVA]]-Table1[[#This Row],[RET ISR]]-Table1[[#This Row],[TOTAL]]</f>
        <v>0</v>
      </c>
      <c r="AE101" s="152"/>
      <c r="AF101" s="153"/>
      <c r="AG101" s="126"/>
      <c r="AK101" s="306" t="str">
        <f>IF(ISNUMBER(Table1[[#This Row],[FECHA DE RECIBIDO]]), Table1[[#This Row],[FECHA DE RECIBIDO]]-DATE(2023,8,30), "")</f>
        <v/>
      </c>
    </row>
    <row r="102" spans="1:37" ht="16.05" customHeight="1">
      <c r="A102" s="150" t="s">
        <v>1486</v>
      </c>
      <c r="B102" s="151">
        <v>51</v>
      </c>
      <c r="C102" s="126" t="s">
        <v>2399</v>
      </c>
      <c r="D102">
        <v>70</v>
      </c>
      <c r="E102" s="126" t="s">
        <v>1629</v>
      </c>
      <c r="F102" s="122" t="s">
        <v>1607</v>
      </c>
      <c r="G102" s="122" t="s">
        <v>134</v>
      </c>
      <c r="H102">
        <v>5</v>
      </c>
      <c r="I102" s="122" t="s">
        <v>1546</v>
      </c>
      <c r="J102" s="307" t="s">
        <v>214</v>
      </c>
      <c r="K102" s="127" t="s">
        <v>1628</v>
      </c>
      <c r="L102" s="151" t="s">
        <v>118</v>
      </c>
      <c r="M102">
        <v>5</v>
      </c>
      <c r="N102" s="123">
        <v>0</v>
      </c>
      <c r="O102">
        <v>78</v>
      </c>
      <c r="P102" s="132" t="s">
        <v>77</v>
      </c>
      <c r="Q102" s="131">
        <v>2500</v>
      </c>
      <c r="R102" s="131">
        <v>400</v>
      </c>
      <c r="S102" s="131"/>
      <c r="T102" s="155">
        <v>0</v>
      </c>
      <c r="U102" s="131">
        <v>0</v>
      </c>
      <c r="V102" s="131">
        <v>2900</v>
      </c>
      <c r="W102">
        <v>4</v>
      </c>
      <c r="X102" s="151" t="s">
        <v>1472</v>
      </c>
      <c r="Y102" s="135" t="s">
        <v>55</v>
      </c>
      <c r="Z102" s="307" t="s">
        <v>214</v>
      </c>
      <c r="AB102" t="str">
        <f>IF(Table1[[#This Row],[TIPO2]]="costo", VLOOKUP(Table1[[#This Row],[PARTIDA PRESUPUESTAL]],'Cost Report'!G:G,1,0),"Balance")</f>
        <v>2011-011</v>
      </c>
      <c r="AC102" s="118"/>
      <c r="AD102" s="159">
        <f>+Table1[[#This Row],[SUBTOTAL]]+Table1[[#This Row],[IVA]]-Table1[[#This Row],[RET IVA]]-Table1[[#This Row],[RET ISR]]-Table1[[#This Row],[TOTAL]]</f>
        <v>0</v>
      </c>
      <c r="AE102" s="150"/>
      <c r="AF102" s="151"/>
      <c r="AG102" s="126"/>
      <c r="AK102" s="306" t="str">
        <f>IF(ISNUMBER(Table1[[#This Row],[FECHA DE RECIBIDO]]), Table1[[#This Row],[FECHA DE RECIBIDO]]-DATE(2023,8,30), "")</f>
        <v/>
      </c>
    </row>
    <row r="103" spans="1:37" ht="16.05" customHeight="1">
      <c r="A103" s="152" t="s">
        <v>1486</v>
      </c>
      <c r="B103" s="153">
        <v>51</v>
      </c>
      <c r="C103" s="126" t="s">
        <v>3086</v>
      </c>
      <c r="D103">
        <v>70</v>
      </c>
      <c r="E103" s="126" t="s">
        <v>1629</v>
      </c>
      <c r="F103" s="125" t="s">
        <v>1607</v>
      </c>
      <c r="G103" s="125" t="s">
        <v>134</v>
      </c>
      <c r="H103">
        <v>5</v>
      </c>
      <c r="I103" s="125" t="s">
        <v>1546</v>
      </c>
      <c r="J103" s="308" t="s">
        <v>214</v>
      </c>
      <c r="K103" s="127" t="s">
        <v>1628</v>
      </c>
      <c r="L103" s="153" t="s">
        <v>118</v>
      </c>
      <c r="M103">
        <v>5</v>
      </c>
      <c r="N103" s="123">
        <v>0</v>
      </c>
      <c r="O103">
        <v>78</v>
      </c>
      <c r="P103" s="132" t="s">
        <v>77</v>
      </c>
      <c r="Q103" s="132">
        <v>1375</v>
      </c>
      <c r="R103" s="132">
        <v>220</v>
      </c>
      <c r="S103" s="132"/>
      <c r="T103" s="156">
        <v>0</v>
      </c>
      <c r="U103" s="132">
        <v>0</v>
      </c>
      <c r="V103" s="132">
        <v>1595</v>
      </c>
      <c r="W103">
        <v>4</v>
      </c>
      <c r="X103" s="153" t="s">
        <v>1472</v>
      </c>
      <c r="Y103" s="124" t="s">
        <v>55</v>
      </c>
      <c r="Z103" s="308" t="s">
        <v>214</v>
      </c>
      <c r="AB103" t="str">
        <f>IF(Table1[[#This Row],[TIPO2]]="costo", VLOOKUP(Table1[[#This Row],[PARTIDA PRESUPUESTAL]],'Cost Report'!G:G,1,0),"Balance")</f>
        <v>7001-003</v>
      </c>
      <c r="AC103" s="118"/>
      <c r="AD103" s="159">
        <f>+Table1[[#This Row],[SUBTOTAL]]+Table1[[#This Row],[IVA]]-Table1[[#This Row],[RET IVA]]-Table1[[#This Row],[RET ISR]]-Table1[[#This Row],[TOTAL]]</f>
        <v>0</v>
      </c>
      <c r="AE103" s="152"/>
      <c r="AF103" s="153"/>
      <c r="AG103" s="126"/>
      <c r="AK103" s="306" t="str">
        <f>IF(ISNUMBER(Table1[[#This Row],[FECHA DE RECIBIDO]]), Table1[[#This Row],[FECHA DE RECIBIDO]]-DATE(2023,8,30), "")</f>
        <v/>
      </c>
    </row>
    <row r="104" spans="1:37" ht="16.05" customHeight="1">
      <c r="A104" s="150" t="s">
        <v>1475</v>
      </c>
      <c r="B104" s="151"/>
      <c r="C104" s="126" t="s">
        <v>74</v>
      </c>
      <c r="D104">
        <v>71</v>
      </c>
      <c r="E104" s="126"/>
      <c r="F104" s="122" t="s">
        <v>1490</v>
      </c>
      <c r="G104" s="122" t="s">
        <v>1490</v>
      </c>
      <c r="H104">
        <v>0</v>
      </c>
      <c r="I104" s="122"/>
      <c r="J104" s="307" t="s">
        <v>214</v>
      </c>
      <c r="K104" s="127"/>
      <c r="L104" s="151" t="s">
        <v>98</v>
      </c>
      <c r="M104">
        <v>28</v>
      </c>
      <c r="N104" s="123"/>
      <c r="O104">
        <v>79</v>
      </c>
      <c r="P104" s="131" t="s">
        <v>78</v>
      </c>
      <c r="Q104" s="131">
        <v>681550</v>
      </c>
      <c r="R104" s="131"/>
      <c r="S104" s="131"/>
      <c r="T104" s="155"/>
      <c r="U104" s="131"/>
      <c r="V104" s="131">
        <f>+Table1[[#This Row],[SUBTOTAL]]+Table1[[#This Row],[IVA]]-Table1[[#This Row],[RET IVA]]-Table1[[#This Row],[RET ISR]]</f>
        <v>681550</v>
      </c>
      <c r="W104"/>
      <c r="X104" s="151"/>
      <c r="Y104" s="135" t="s">
        <v>1544</v>
      </c>
      <c r="Z104" s="307">
        <v>127</v>
      </c>
      <c r="AB104" t="str">
        <f>IF(Table1[[#This Row],[TIPO2]]="costo", VLOOKUP(Table1[[#This Row],[PARTIDA PRESUPUESTAL]],'Cost Report'!G:G,1,0),"Balance")</f>
        <v>Balance</v>
      </c>
      <c r="AC104" s="118"/>
      <c r="AD104" s="159">
        <f>+Table1[[#This Row],[SUBTOTAL]]+Table1[[#This Row],[IVA]]-Table1[[#This Row],[RET IVA]]-Table1[[#This Row],[RET ISR]]-Table1[[#This Row],[TOTAL]]</f>
        <v>0</v>
      </c>
      <c r="AE104" s="150"/>
      <c r="AF104" s="151"/>
      <c r="AG104" s="126"/>
      <c r="AK104" s="306" t="str">
        <f>IF(ISNUMBER(Table1[[#This Row],[FECHA DE RECIBIDO]]), Table1[[#This Row],[FECHA DE RECIBIDO]]-DATE(2023,8,30), "")</f>
        <v/>
      </c>
    </row>
    <row r="105" spans="1:37" ht="16.05" customHeight="1">
      <c r="A105" s="152" t="s">
        <v>1475</v>
      </c>
      <c r="B105" s="153"/>
      <c r="C105" s="126" t="s">
        <v>75</v>
      </c>
      <c r="D105">
        <v>72</v>
      </c>
      <c r="E105" s="126"/>
      <c r="F105" s="125" t="s">
        <v>1490</v>
      </c>
      <c r="G105" s="125" t="s">
        <v>1490</v>
      </c>
      <c r="H105">
        <v>0</v>
      </c>
      <c r="I105" s="125"/>
      <c r="J105" s="308" t="s">
        <v>214</v>
      </c>
      <c r="K105" s="127"/>
      <c r="L105" s="153" t="s">
        <v>98</v>
      </c>
      <c r="M105">
        <v>28</v>
      </c>
      <c r="N105" s="123"/>
      <c r="O105">
        <v>79</v>
      </c>
      <c r="P105" s="131" t="s">
        <v>78</v>
      </c>
      <c r="Q105" s="132">
        <v>109048</v>
      </c>
      <c r="R105" s="132"/>
      <c r="S105" s="132"/>
      <c r="T105" s="156"/>
      <c r="U105" s="132"/>
      <c r="V105" s="132">
        <f>+Table1[[#This Row],[SUBTOTAL]]+Table1[[#This Row],[IVA]]-Table1[[#This Row],[RET IVA]]-Table1[[#This Row],[RET ISR]]</f>
        <v>109048</v>
      </c>
      <c r="W105"/>
      <c r="X105" s="153"/>
      <c r="Y105" s="124" t="s">
        <v>1544</v>
      </c>
      <c r="Z105" s="308">
        <v>127</v>
      </c>
      <c r="AB105" t="str">
        <f>IF(Table1[[#This Row],[TIPO2]]="costo", VLOOKUP(Table1[[#This Row],[PARTIDA PRESUPUESTAL]],'Cost Report'!G:G,1,0),"Balance")</f>
        <v>Balance</v>
      </c>
      <c r="AC105" s="118"/>
      <c r="AD105" s="159">
        <f>+Table1[[#This Row],[SUBTOTAL]]+Table1[[#This Row],[IVA]]-Table1[[#This Row],[RET IVA]]-Table1[[#This Row],[RET ISR]]-Table1[[#This Row],[TOTAL]]</f>
        <v>0</v>
      </c>
      <c r="AE105" s="152"/>
      <c r="AF105" s="153"/>
      <c r="AG105" s="126"/>
      <c r="AK105" s="306" t="str">
        <f>IF(ISNUMBER(Table1[[#This Row],[FECHA DE RECIBIDO]]), Table1[[#This Row],[FECHA DE RECIBIDO]]-DATE(2023,8,30), "")</f>
        <v/>
      </c>
    </row>
    <row r="106" spans="1:37" ht="16.05" customHeight="1">
      <c r="A106" s="150" t="s">
        <v>1476</v>
      </c>
      <c r="B106" s="151"/>
      <c r="C106" s="126" t="s">
        <v>74</v>
      </c>
      <c r="D106">
        <v>73</v>
      </c>
      <c r="E106" s="126"/>
      <c r="F106" s="122" t="s">
        <v>1490</v>
      </c>
      <c r="G106" s="122" t="s">
        <v>1490</v>
      </c>
      <c r="H106">
        <v>0</v>
      </c>
      <c r="I106" s="122"/>
      <c r="J106" s="307" t="s">
        <v>214</v>
      </c>
      <c r="K106" s="127"/>
      <c r="L106" s="151" t="s">
        <v>98</v>
      </c>
      <c r="M106">
        <v>28</v>
      </c>
      <c r="N106" s="123"/>
      <c r="O106">
        <v>80</v>
      </c>
      <c r="P106" s="131" t="s">
        <v>78</v>
      </c>
      <c r="Q106" s="131">
        <v>4185200</v>
      </c>
      <c r="R106" s="131"/>
      <c r="S106" s="131"/>
      <c r="T106" s="155"/>
      <c r="U106" s="131"/>
      <c r="V106" s="131">
        <f>+Table1[[#This Row],[SUBTOTAL]]+Table1[[#This Row],[IVA]]-Table1[[#This Row],[RET IVA]]-Table1[[#This Row],[RET ISR]]</f>
        <v>4185200</v>
      </c>
      <c r="W106"/>
      <c r="X106" s="151"/>
      <c r="Y106" s="135" t="s">
        <v>1544</v>
      </c>
      <c r="Z106" s="307">
        <v>127</v>
      </c>
      <c r="AB106" t="str">
        <f>IF(Table1[[#This Row],[TIPO2]]="costo", VLOOKUP(Table1[[#This Row],[PARTIDA PRESUPUESTAL]],'Cost Report'!G:G,1,0),"Balance")</f>
        <v>Balance</v>
      </c>
      <c r="AC106" s="118"/>
      <c r="AD106" s="159">
        <f>+Table1[[#This Row],[SUBTOTAL]]+Table1[[#This Row],[IVA]]-Table1[[#This Row],[RET IVA]]-Table1[[#This Row],[RET ISR]]-Table1[[#This Row],[TOTAL]]</f>
        <v>0</v>
      </c>
      <c r="AE106" s="150"/>
      <c r="AF106" s="151"/>
      <c r="AG106" s="126"/>
      <c r="AK106" s="306" t="str">
        <f>IF(ISNUMBER(Table1[[#This Row],[FECHA DE RECIBIDO]]), Table1[[#This Row],[FECHA DE RECIBIDO]]-DATE(2023,8,30), "")</f>
        <v/>
      </c>
    </row>
    <row r="107" spans="1:37" ht="16.05" customHeight="1">
      <c r="A107" s="152" t="s">
        <v>1477</v>
      </c>
      <c r="B107" s="153"/>
      <c r="C107" s="126" t="s">
        <v>75</v>
      </c>
      <c r="D107">
        <v>74</v>
      </c>
      <c r="E107" s="126"/>
      <c r="F107" s="125" t="s">
        <v>1490</v>
      </c>
      <c r="G107" s="125" t="s">
        <v>1490</v>
      </c>
      <c r="H107">
        <v>0</v>
      </c>
      <c r="I107" s="125"/>
      <c r="J107" s="308" t="s">
        <v>214</v>
      </c>
      <c r="K107" s="127"/>
      <c r="L107" s="153" t="s">
        <v>98</v>
      </c>
      <c r="M107">
        <v>28</v>
      </c>
      <c r="N107" s="123"/>
      <c r="O107">
        <v>81</v>
      </c>
      <c r="P107" s="131" t="s">
        <v>78</v>
      </c>
      <c r="Q107" s="132">
        <v>669632</v>
      </c>
      <c r="R107" s="132"/>
      <c r="S107" s="132"/>
      <c r="T107" s="156"/>
      <c r="U107" s="132"/>
      <c r="V107" s="132">
        <f>+Table1[[#This Row],[SUBTOTAL]]+Table1[[#This Row],[IVA]]-Table1[[#This Row],[RET IVA]]-Table1[[#This Row],[RET ISR]]</f>
        <v>669632</v>
      </c>
      <c r="W107"/>
      <c r="X107" s="153"/>
      <c r="Y107" s="124" t="s">
        <v>1544</v>
      </c>
      <c r="Z107" s="308">
        <v>127</v>
      </c>
      <c r="AB107" t="str">
        <f>IF(Table1[[#This Row],[TIPO2]]="costo", VLOOKUP(Table1[[#This Row],[PARTIDA PRESUPUESTAL]],'Cost Report'!G:G,1,0),"Balance")</f>
        <v>Balance</v>
      </c>
      <c r="AC107" s="118"/>
      <c r="AD107" s="159">
        <f>+Table1[[#This Row],[SUBTOTAL]]+Table1[[#This Row],[IVA]]-Table1[[#This Row],[RET IVA]]-Table1[[#This Row],[RET ISR]]-Table1[[#This Row],[TOTAL]]</f>
        <v>0</v>
      </c>
      <c r="AE107" s="152"/>
      <c r="AF107" s="153"/>
      <c r="AG107" s="126"/>
      <c r="AK107" s="306" t="str">
        <f>IF(ISNUMBER(Table1[[#This Row],[FECHA DE RECIBIDO]]), Table1[[#This Row],[FECHA DE RECIBIDO]]-DATE(2023,8,30), "")</f>
        <v/>
      </c>
    </row>
    <row r="108" spans="1:37" ht="16.05" customHeight="1">
      <c r="A108" s="150" t="s">
        <v>1478</v>
      </c>
      <c r="B108" s="151"/>
      <c r="C108" s="126" t="s">
        <v>74</v>
      </c>
      <c r="D108">
        <v>75</v>
      </c>
      <c r="E108" s="126"/>
      <c r="F108" s="122" t="s">
        <v>1490</v>
      </c>
      <c r="G108" s="122" t="s">
        <v>1490</v>
      </c>
      <c r="H108">
        <v>0</v>
      </c>
      <c r="I108" s="122"/>
      <c r="J108" s="307" t="s">
        <v>214</v>
      </c>
      <c r="K108" s="127"/>
      <c r="L108" s="151" t="s">
        <v>98</v>
      </c>
      <c r="M108">
        <v>28</v>
      </c>
      <c r="N108" s="123"/>
      <c r="O108">
        <v>82</v>
      </c>
      <c r="P108" s="131" t="s">
        <v>78</v>
      </c>
      <c r="Q108" s="131">
        <v>161795</v>
      </c>
      <c r="R108" s="131"/>
      <c r="S108" s="131"/>
      <c r="T108" s="155"/>
      <c r="U108" s="131"/>
      <c r="V108" s="131">
        <f>+Table1[[#This Row],[SUBTOTAL]]+Table1[[#This Row],[IVA]]-Table1[[#This Row],[RET IVA]]-Table1[[#This Row],[RET ISR]]</f>
        <v>161795</v>
      </c>
      <c r="W108"/>
      <c r="X108" s="151"/>
      <c r="Y108" s="135" t="s">
        <v>1544</v>
      </c>
      <c r="Z108" s="307">
        <v>140</v>
      </c>
      <c r="AB108" t="str">
        <f>IF(Table1[[#This Row],[TIPO2]]="costo", VLOOKUP(Table1[[#This Row],[PARTIDA PRESUPUESTAL]],'Cost Report'!G:G,1,0),"Balance")</f>
        <v>Balance</v>
      </c>
      <c r="AC108" s="118"/>
      <c r="AD108" s="159">
        <f>+Table1[[#This Row],[SUBTOTAL]]+Table1[[#This Row],[IVA]]-Table1[[#This Row],[RET IVA]]-Table1[[#This Row],[RET ISR]]-Table1[[#This Row],[TOTAL]]</f>
        <v>0</v>
      </c>
      <c r="AE108" s="150"/>
      <c r="AF108" s="151"/>
      <c r="AG108" s="126"/>
      <c r="AK108" s="306" t="str">
        <f>IF(ISNUMBER(Table1[[#This Row],[FECHA DE RECIBIDO]]), Table1[[#This Row],[FECHA DE RECIBIDO]]-DATE(2023,8,30), "")</f>
        <v/>
      </c>
    </row>
    <row r="109" spans="1:37" ht="16.05" customHeight="1">
      <c r="A109" s="152" t="s">
        <v>1479</v>
      </c>
      <c r="B109" s="153"/>
      <c r="C109" s="126" t="s">
        <v>75</v>
      </c>
      <c r="D109">
        <v>76</v>
      </c>
      <c r="E109" s="126"/>
      <c r="F109" s="125" t="s">
        <v>1490</v>
      </c>
      <c r="G109" s="125" t="s">
        <v>1490</v>
      </c>
      <c r="H109">
        <v>0</v>
      </c>
      <c r="I109" s="125"/>
      <c r="J109" s="308" t="s">
        <v>214</v>
      </c>
      <c r="K109" s="127"/>
      <c r="L109" s="153" t="s">
        <v>98</v>
      </c>
      <c r="M109">
        <v>28</v>
      </c>
      <c r="N109" s="123"/>
      <c r="O109">
        <v>83</v>
      </c>
      <c r="P109" s="131" t="s">
        <v>78</v>
      </c>
      <c r="Q109" s="132">
        <v>25887.200000000001</v>
      </c>
      <c r="R109" s="132"/>
      <c r="S109" s="132"/>
      <c r="T109" s="156"/>
      <c r="U109" s="132"/>
      <c r="V109" s="132">
        <f>+Table1[[#This Row],[SUBTOTAL]]+Table1[[#This Row],[IVA]]-Table1[[#This Row],[RET IVA]]-Table1[[#This Row],[RET ISR]]</f>
        <v>25887.200000000001</v>
      </c>
      <c r="W109"/>
      <c r="X109" s="153"/>
      <c r="Y109" s="124" t="s">
        <v>1544</v>
      </c>
      <c r="Z109" s="308">
        <v>140</v>
      </c>
      <c r="AB109" t="str">
        <f>IF(Table1[[#This Row],[TIPO2]]="costo", VLOOKUP(Table1[[#This Row],[PARTIDA PRESUPUESTAL]],'Cost Report'!G:G,1,0),"Balance")</f>
        <v>Balance</v>
      </c>
      <c r="AC109" s="118"/>
      <c r="AD109" s="159">
        <f>+Table1[[#This Row],[SUBTOTAL]]+Table1[[#This Row],[IVA]]-Table1[[#This Row],[RET IVA]]-Table1[[#This Row],[RET ISR]]-Table1[[#This Row],[TOTAL]]</f>
        <v>0</v>
      </c>
      <c r="AE109" s="152"/>
      <c r="AF109" s="153"/>
      <c r="AG109" s="126"/>
      <c r="AK109" s="306" t="str">
        <f>IF(ISNUMBER(Table1[[#This Row],[FECHA DE RECIBIDO]]), Table1[[#This Row],[FECHA DE RECIBIDO]]-DATE(2023,8,30), "")</f>
        <v/>
      </c>
    </row>
    <row r="110" spans="1:37" ht="16.05" customHeight="1">
      <c r="A110" s="150" t="s">
        <v>1480</v>
      </c>
      <c r="B110" s="151">
        <v>76</v>
      </c>
      <c r="C110" s="126" t="s">
        <v>2140</v>
      </c>
      <c r="D110">
        <v>77</v>
      </c>
      <c r="E110" s="126"/>
      <c r="F110" s="122"/>
      <c r="G110" s="122"/>
      <c r="H110"/>
      <c r="I110" s="122"/>
      <c r="J110" s="307" t="s">
        <v>214</v>
      </c>
      <c r="K110" s="127"/>
      <c r="L110" s="151" t="s">
        <v>110</v>
      </c>
      <c r="M110">
        <v>29</v>
      </c>
      <c r="N110" s="123"/>
      <c r="O110">
        <v>84</v>
      </c>
      <c r="P110" s="132" t="s">
        <v>77</v>
      </c>
      <c r="Q110" s="131">
        <v>500000</v>
      </c>
      <c r="R110" s="131">
        <v>80000</v>
      </c>
      <c r="S110" s="131"/>
      <c r="T110" s="155">
        <v>53333.5</v>
      </c>
      <c r="U110" s="131">
        <v>6250</v>
      </c>
      <c r="V110" s="131">
        <f>+Table1[[#This Row],[SUBTOTAL]]+Table1[[#This Row],[IVA]]-Table1[[#This Row],[RET IVA]]-Table1[[#This Row],[RET ISR]]</f>
        <v>520416.5</v>
      </c>
      <c r="W110">
        <v>22</v>
      </c>
      <c r="X110" s="151" t="s">
        <v>1429</v>
      </c>
      <c r="Y110" s="135" t="s">
        <v>1544</v>
      </c>
      <c r="Z110" s="307">
        <v>163</v>
      </c>
      <c r="AB110" t="str">
        <f>IF(Table1[[#This Row],[TIPO2]]="costo", VLOOKUP(Table1[[#This Row],[PARTIDA PRESUPUESTAL]],'Cost Report'!G:G,1,0),"Balance")</f>
        <v>1201-009</v>
      </c>
      <c r="AC110" s="118"/>
      <c r="AD110" s="159">
        <f>+Table1[[#This Row],[SUBTOTAL]]+Table1[[#This Row],[IVA]]-Table1[[#This Row],[RET IVA]]-Table1[[#This Row],[RET ISR]]-Table1[[#This Row],[TOTAL]]</f>
        <v>0</v>
      </c>
      <c r="AE110" s="150"/>
      <c r="AF110" s="151"/>
      <c r="AG110" s="126"/>
      <c r="AK110" s="306" t="str">
        <f>IF(ISNUMBER(Table1[[#This Row],[FECHA DE RECIBIDO]]), Table1[[#This Row],[FECHA DE RECIBIDO]]-DATE(2023,8,30), "")</f>
        <v/>
      </c>
    </row>
    <row r="111" spans="1:37">
      <c r="A111" s="152" t="s">
        <v>1481</v>
      </c>
      <c r="B111" s="153">
        <v>77</v>
      </c>
      <c r="C111" s="126" t="s">
        <v>71</v>
      </c>
      <c r="D111"/>
      <c r="E111" s="126"/>
      <c r="F111" s="125"/>
      <c r="G111" s="125"/>
      <c r="H111"/>
      <c r="I111" s="125"/>
      <c r="J111" s="308">
        <v>162</v>
      </c>
      <c r="K111" s="127"/>
      <c r="L111" s="153" t="s">
        <v>1483</v>
      </c>
      <c r="M111">
        <v>30</v>
      </c>
      <c r="N111" s="123"/>
      <c r="O111">
        <v>85</v>
      </c>
      <c r="P111" s="131" t="s">
        <v>78</v>
      </c>
      <c r="Q111" s="132">
        <v>6000</v>
      </c>
      <c r="R111" s="132">
        <v>0</v>
      </c>
      <c r="S111" s="132"/>
      <c r="T111" s="156">
        <v>0</v>
      </c>
      <c r="U111" s="132">
        <v>0</v>
      </c>
      <c r="V111" s="132">
        <f>+Table1[[#This Row],[SUBTOTAL]]+Table1[[#This Row],[IVA]]-Table1[[#This Row],[RET IVA]]-Table1[[#This Row],[RET ISR]]</f>
        <v>6000</v>
      </c>
      <c r="W111">
        <v>23</v>
      </c>
      <c r="X111" s="153" t="s">
        <v>1484</v>
      </c>
      <c r="Y111" s="124" t="s">
        <v>1544</v>
      </c>
      <c r="Z111" s="308">
        <v>162</v>
      </c>
      <c r="AB111" t="str">
        <f>IF(Table1[[#This Row],[TIPO2]]="costo", VLOOKUP(Table1[[#This Row],[PARTIDA PRESUPUESTAL]],'Cost Report'!G:G,1,0),"Balance")</f>
        <v>Balance</v>
      </c>
      <c r="AC111" s="118"/>
      <c r="AD111" s="159">
        <f>+Table1[[#This Row],[SUBTOTAL]]+Table1[[#This Row],[IVA]]-Table1[[#This Row],[RET IVA]]-Table1[[#This Row],[RET ISR]]-Table1[[#This Row],[TOTAL]]</f>
        <v>0</v>
      </c>
      <c r="AE111" s="152"/>
      <c r="AF111" s="153"/>
      <c r="AG111" s="126"/>
      <c r="AK111" s="306">
        <f>IF(ISNUMBER(Table1[[#This Row],[FECHA DE RECIBIDO]]), Table1[[#This Row],[FECHA DE RECIBIDO]]-DATE(2023,8,30), "")</f>
        <v>-45006</v>
      </c>
    </row>
    <row r="112" spans="1:37" ht="16.05" customHeight="1">
      <c r="A112" s="150" t="s">
        <v>1481</v>
      </c>
      <c r="B112" s="151">
        <v>77</v>
      </c>
      <c r="C112" s="126" t="s">
        <v>3103</v>
      </c>
      <c r="D112"/>
      <c r="E112" s="126"/>
      <c r="F112" s="122"/>
      <c r="G112" s="122"/>
      <c r="H112"/>
      <c r="I112" s="122"/>
      <c r="J112" s="307">
        <v>162</v>
      </c>
      <c r="K112" s="127"/>
      <c r="L112" s="151" t="s">
        <v>1483</v>
      </c>
      <c r="M112">
        <v>30</v>
      </c>
      <c r="N112" s="123"/>
      <c r="O112">
        <v>86</v>
      </c>
      <c r="P112" s="132" t="s">
        <v>77</v>
      </c>
      <c r="Q112" s="131">
        <v>350</v>
      </c>
      <c r="R112" s="131">
        <v>56</v>
      </c>
      <c r="S112" s="131"/>
      <c r="T112" s="155">
        <v>0</v>
      </c>
      <c r="U112" s="131">
        <v>0</v>
      </c>
      <c r="V112" s="131">
        <f>+Table1[[#This Row],[SUBTOTAL]]+Table1[[#This Row],[IVA]]-Table1[[#This Row],[RET IVA]]-Table1[[#This Row],[RET ISR]]</f>
        <v>406</v>
      </c>
      <c r="W112">
        <v>23</v>
      </c>
      <c r="X112" s="151" t="s">
        <v>1484</v>
      </c>
      <c r="Y112" s="135" t="s">
        <v>1544</v>
      </c>
      <c r="Z112" s="307">
        <v>162</v>
      </c>
      <c r="AB112" t="str">
        <f>IF(Table1[[#This Row],[TIPO2]]="costo", VLOOKUP(Table1[[#This Row],[PARTIDA PRESUPUESTAL]],'Cost Report'!G:G,1,0),"Balance")</f>
        <v>7038-009</v>
      </c>
      <c r="AC112" s="118"/>
      <c r="AD112" s="159">
        <f>+Table1[[#This Row],[SUBTOTAL]]+Table1[[#This Row],[IVA]]-Table1[[#This Row],[RET IVA]]-Table1[[#This Row],[RET ISR]]-Table1[[#This Row],[TOTAL]]</f>
        <v>0</v>
      </c>
      <c r="AE112" s="150"/>
      <c r="AF112" s="151"/>
      <c r="AG112" s="126"/>
      <c r="AK112" s="306">
        <f>IF(ISNUMBER(Table1[[#This Row],[FECHA DE RECIBIDO]]), Table1[[#This Row],[FECHA DE RECIBIDO]]-DATE(2023,8,30), "")</f>
        <v>-45006</v>
      </c>
    </row>
    <row r="113" spans="1:37" ht="16.05" customHeight="1">
      <c r="A113" s="152" t="s">
        <v>1486</v>
      </c>
      <c r="B113" s="153">
        <v>78</v>
      </c>
      <c r="C113" s="126" t="s">
        <v>420</v>
      </c>
      <c r="D113">
        <v>78</v>
      </c>
      <c r="E113" s="126"/>
      <c r="F113" s="125" t="s">
        <v>134</v>
      </c>
      <c r="G113" s="125" t="s">
        <v>134</v>
      </c>
      <c r="H113">
        <v>22</v>
      </c>
      <c r="I113" s="125"/>
      <c r="J113" s="308">
        <v>161.62168981481227</v>
      </c>
      <c r="K113" s="127"/>
      <c r="L113" s="153" t="s">
        <v>118</v>
      </c>
      <c r="M113">
        <v>31</v>
      </c>
      <c r="N113" s="123"/>
      <c r="O113">
        <v>87</v>
      </c>
      <c r="P113" s="132" t="s">
        <v>77</v>
      </c>
      <c r="Q113" s="132">
        <v>10000</v>
      </c>
      <c r="R113" s="132">
        <v>1600</v>
      </c>
      <c r="S113" s="132"/>
      <c r="T113" s="156">
        <v>0</v>
      </c>
      <c r="U113" s="132">
        <v>0</v>
      </c>
      <c r="V113" s="132">
        <f>+Table1[[#This Row],[SUBTOTAL]]+Table1[[#This Row],[IVA]]-Table1[[#This Row],[RET IVA]]-Table1[[#This Row],[RET ISR]]</f>
        <v>11600</v>
      </c>
      <c r="W113">
        <v>24</v>
      </c>
      <c r="X113" s="153" t="s">
        <v>1487</v>
      </c>
      <c r="Y113" s="124" t="s">
        <v>1544</v>
      </c>
      <c r="Z113" s="308">
        <v>161</v>
      </c>
      <c r="AB113" t="str">
        <f>IF(Table1[[#This Row],[TIPO2]]="costo", VLOOKUP(Table1[[#This Row],[PARTIDA PRESUPUESTAL]],'Cost Report'!G:G,1,0),"Balance")</f>
        <v>1641-003</v>
      </c>
      <c r="AC113" s="118"/>
      <c r="AD113" s="159">
        <f>+Table1[[#This Row],[SUBTOTAL]]+Table1[[#This Row],[IVA]]-Table1[[#This Row],[RET IVA]]-Table1[[#This Row],[RET ISR]]-Table1[[#This Row],[TOTAL]]</f>
        <v>0</v>
      </c>
      <c r="AE113" s="152"/>
      <c r="AF113" s="153"/>
      <c r="AG113" s="126"/>
      <c r="AK113" s="306">
        <f>IF(ISNUMBER(Table1[[#This Row],[FECHA DE RECIBIDO]]), Table1[[#This Row],[FECHA DE RECIBIDO]]-DATE(2023,8,30), "")</f>
        <v>-45006.378310185188</v>
      </c>
    </row>
    <row r="114" spans="1:37" ht="16.05" customHeight="1">
      <c r="A114" s="150" t="s">
        <v>1488</v>
      </c>
      <c r="B114" s="151">
        <v>79</v>
      </c>
      <c r="C114" s="126" t="s">
        <v>464</v>
      </c>
      <c r="D114">
        <v>79</v>
      </c>
      <c r="E114" s="126"/>
      <c r="F114" s="122" t="s">
        <v>134</v>
      </c>
      <c r="G114" s="122" t="s">
        <v>134</v>
      </c>
      <c r="H114">
        <v>5</v>
      </c>
      <c r="I114" s="122"/>
      <c r="J114" s="307">
        <v>161.70458333333227</v>
      </c>
      <c r="K114" s="127"/>
      <c r="L114" s="151" t="s">
        <v>118</v>
      </c>
      <c r="M114">
        <v>5</v>
      </c>
      <c r="N114" s="123"/>
      <c r="O114">
        <v>88</v>
      </c>
      <c r="P114" s="132" t="s">
        <v>77</v>
      </c>
      <c r="Q114" s="131">
        <v>20000</v>
      </c>
      <c r="R114" s="131">
        <v>3200</v>
      </c>
      <c r="S114" s="131"/>
      <c r="T114" s="155">
        <v>0</v>
      </c>
      <c r="U114" s="131">
        <v>0</v>
      </c>
      <c r="V114" s="131">
        <f>+Table1[[#This Row],[SUBTOTAL]]+Table1[[#This Row],[IVA]]-Table1[[#This Row],[RET IVA]]-Table1[[#This Row],[RET ISR]]</f>
        <v>23200</v>
      </c>
      <c r="W114">
        <v>4</v>
      </c>
      <c r="X114" s="151" t="s">
        <v>1489</v>
      </c>
      <c r="Y114" s="135" t="s">
        <v>1544</v>
      </c>
      <c r="Z114" s="307">
        <v>163</v>
      </c>
      <c r="AB114" t="str">
        <f>IF(Table1[[#This Row],[TIPO2]]="costo", VLOOKUP(Table1[[#This Row],[PARTIDA PRESUPUESTAL]],'Cost Report'!G:G,1,0),"Balance")</f>
        <v>2010-006</v>
      </c>
      <c r="AC114" s="118"/>
      <c r="AD114" s="159">
        <f>+Table1[[#This Row],[SUBTOTAL]]+Table1[[#This Row],[IVA]]-Table1[[#This Row],[RET IVA]]-Table1[[#This Row],[RET ISR]]-Table1[[#This Row],[TOTAL]]</f>
        <v>0</v>
      </c>
      <c r="AE114" s="150"/>
      <c r="AF114" s="151"/>
      <c r="AG114" s="126"/>
      <c r="AK114" s="306">
        <f>IF(ISNUMBER(Table1[[#This Row],[FECHA DE RECIBIDO]]), Table1[[#This Row],[FECHA DE RECIBIDO]]-DATE(2023,8,30), "")</f>
        <v>-45006.295416666668</v>
      </c>
    </row>
    <row r="115" spans="1:37" ht="16.05" customHeight="1">
      <c r="A115" s="152"/>
      <c r="B115" s="153"/>
      <c r="C115" s="126" t="s">
        <v>3102</v>
      </c>
      <c r="D115"/>
      <c r="E115" s="126"/>
      <c r="F115" s="125"/>
      <c r="G115" s="125"/>
      <c r="H115"/>
      <c r="I115" s="125"/>
      <c r="J115" s="308" t="s">
        <v>214</v>
      </c>
      <c r="K115" s="127"/>
      <c r="L115" s="153" t="s">
        <v>1485</v>
      </c>
      <c r="M115">
        <v>7</v>
      </c>
      <c r="N115" s="123"/>
      <c r="O115">
        <v>89</v>
      </c>
      <c r="P115" s="132" t="s">
        <v>77</v>
      </c>
      <c r="Q115" s="132">
        <v>5</v>
      </c>
      <c r="R115" s="132">
        <v>0.8</v>
      </c>
      <c r="S115" s="132"/>
      <c r="T115" s="156"/>
      <c r="U115" s="132"/>
      <c r="V115" s="132">
        <f>+Table1[[#This Row],[SUBTOTAL]]+Table1[[#This Row],[IVA]]-Table1[[#This Row],[RET IVA]]-Table1[[#This Row],[RET ISR]]</f>
        <v>5.8</v>
      </c>
      <c r="W115"/>
      <c r="X115" s="153"/>
      <c r="Y115" s="124" t="s">
        <v>1544</v>
      </c>
      <c r="Z115" s="308">
        <v>161</v>
      </c>
      <c r="AB115" t="str">
        <f>IF(Table1[[#This Row],[TIPO2]]="costo", VLOOKUP(Table1[[#This Row],[PARTIDA PRESUPUESTAL]],'Cost Report'!G:G,1,0),"Balance")</f>
        <v>7038-008</v>
      </c>
      <c r="AC115" s="118"/>
      <c r="AD115" s="159">
        <f>+Table1[[#This Row],[SUBTOTAL]]+Table1[[#This Row],[IVA]]-Table1[[#This Row],[RET IVA]]-Table1[[#This Row],[RET ISR]]-Table1[[#This Row],[TOTAL]]</f>
        <v>0</v>
      </c>
      <c r="AE115" s="152"/>
      <c r="AF115" s="153"/>
      <c r="AG115" s="126"/>
      <c r="AK115" s="306" t="str">
        <f>IF(ISNUMBER(Table1[[#This Row],[FECHA DE RECIBIDO]]), Table1[[#This Row],[FECHA DE RECIBIDO]]-DATE(2023,8,30), "")</f>
        <v/>
      </c>
    </row>
    <row r="116" spans="1:37" ht="16.05" customHeight="1">
      <c r="A116" s="150" t="s">
        <v>1545</v>
      </c>
      <c r="B116" s="151">
        <v>90</v>
      </c>
      <c r="C116" s="126" t="s">
        <v>1790</v>
      </c>
      <c r="D116">
        <v>80</v>
      </c>
      <c r="E116" s="126" t="s">
        <v>1615</v>
      </c>
      <c r="F116" s="122" t="s">
        <v>1607</v>
      </c>
      <c r="G116" s="122" t="s">
        <v>134</v>
      </c>
      <c r="H116">
        <v>23</v>
      </c>
      <c r="I116" s="122" t="s">
        <v>1546</v>
      </c>
      <c r="J116" s="307" t="s">
        <v>214</v>
      </c>
      <c r="K116" s="127" t="s">
        <v>1547</v>
      </c>
      <c r="L116" s="151" t="s">
        <v>118</v>
      </c>
      <c r="M116">
        <v>32</v>
      </c>
      <c r="N116" s="123">
        <v>1</v>
      </c>
      <c r="O116">
        <v>90</v>
      </c>
      <c r="P116" s="132" t="s">
        <v>77</v>
      </c>
      <c r="Q116" s="131">
        <v>3104.96</v>
      </c>
      <c r="R116" s="131">
        <v>496.84</v>
      </c>
      <c r="S116" s="131"/>
      <c r="T116" s="155">
        <v>0</v>
      </c>
      <c r="U116" s="131">
        <v>0</v>
      </c>
      <c r="V116" s="131">
        <v>3601.8</v>
      </c>
      <c r="W116">
        <v>25</v>
      </c>
      <c r="X116" s="151" t="s">
        <v>105</v>
      </c>
      <c r="Y116" s="135" t="s">
        <v>55</v>
      </c>
      <c r="Z116" s="307">
        <v>166</v>
      </c>
      <c r="AC116" s="118"/>
      <c r="AD116" s="159"/>
      <c r="AE116" s="150"/>
      <c r="AF116" s="151"/>
      <c r="AG116" s="126"/>
      <c r="AK116" s="306" t="str">
        <f>IF(ISNUMBER(Table1[[#This Row],[FECHA DE RECIBIDO]]), Table1[[#This Row],[FECHA DE RECIBIDO]]-DATE(2023,8,30), "")</f>
        <v/>
      </c>
    </row>
    <row r="117" spans="1:37" ht="16.05" customHeight="1">
      <c r="A117" s="152"/>
      <c r="B117" s="153"/>
      <c r="C117" s="126" t="s">
        <v>1790</v>
      </c>
      <c r="D117">
        <v>81</v>
      </c>
      <c r="E117" s="126" t="s">
        <v>1615</v>
      </c>
      <c r="F117" s="125" t="s">
        <v>1607</v>
      </c>
      <c r="G117" s="125" t="s">
        <v>134</v>
      </c>
      <c r="H117">
        <v>23</v>
      </c>
      <c r="I117" s="125" t="s">
        <v>1546</v>
      </c>
      <c r="J117" s="308" t="s">
        <v>214</v>
      </c>
      <c r="K117" s="127" t="s">
        <v>1547</v>
      </c>
      <c r="L117" s="153" t="s">
        <v>118</v>
      </c>
      <c r="M117">
        <v>32</v>
      </c>
      <c r="N117" s="123">
        <v>1</v>
      </c>
      <c r="O117">
        <v>91</v>
      </c>
      <c r="P117" s="132" t="s">
        <v>77</v>
      </c>
      <c r="Q117" s="132">
        <v>4500.0200000000004</v>
      </c>
      <c r="R117" s="132">
        <v>719.98</v>
      </c>
      <c r="S117" s="132"/>
      <c r="T117" s="156">
        <v>0</v>
      </c>
      <c r="U117" s="132">
        <v>0</v>
      </c>
      <c r="V117" s="132">
        <v>5220</v>
      </c>
      <c r="W117">
        <v>25</v>
      </c>
      <c r="X117" s="153" t="s">
        <v>105</v>
      </c>
      <c r="Y117" s="124" t="s">
        <v>55</v>
      </c>
      <c r="Z117" s="308">
        <v>166</v>
      </c>
      <c r="AC117" s="118"/>
      <c r="AD117" s="159"/>
      <c r="AE117" s="152"/>
      <c r="AF117" s="153"/>
      <c r="AG117" s="126"/>
      <c r="AK117" s="306" t="str">
        <f>IF(ISNUMBER(Table1[[#This Row],[FECHA DE RECIBIDO]]), Table1[[#This Row],[FECHA DE RECIBIDO]]-DATE(2023,8,30), "")</f>
        <v/>
      </c>
    </row>
    <row r="118" spans="1:37" ht="16.05" customHeight="1">
      <c r="A118" s="150"/>
      <c r="B118" s="151"/>
      <c r="C118" s="126" t="s">
        <v>1790</v>
      </c>
      <c r="D118">
        <v>82</v>
      </c>
      <c r="E118" s="126" t="s">
        <v>1615</v>
      </c>
      <c r="F118" s="122">
        <v>601</v>
      </c>
      <c r="G118" s="122" t="s">
        <v>134</v>
      </c>
      <c r="H118">
        <v>23</v>
      </c>
      <c r="I118" s="122" t="s">
        <v>1546</v>
      </c>
      <c r="J118" s="307">
        <v>155.50277777777956</v>
      </c>
      <c r="K118" s="127" t="s">
        <v>1547</v>
      </c>
      <c r="L118" s="151" t="s">
        <v>118</v>
      </c>
      <c r="M118">
        <v>32</v>
      </c>
      <c r="N118" s="123">
        <v>1</v>
      </c>
      <c r="O118">
        <v>92</v>
      </c>
      <c r="P118" s="132" t="s">
        <v>77</v>
      </c>
      <c r="Q118" s="131">
        <v>538</v>
      </c>
      <c r="R118" s="131">
        <v>86.08</v>
      </c>
      <c r="S118" s="131"/>
      <c r="T118" s="155">
        <v>0</v>
      </c>
      <c r="U118" s="131">
        <v>0</v>
      </c>
      <c r="V118" s="131">
        <v>624.08000000000004</v>
      </c>
      <c r="W118">
        <v>25</v>
      </c>
      <c r="X118" s="151" t="s">
        <v>105</v>
      </c>
      <c r="Y118" s="135" t="s">
        <v>55</v>
      </c>
      <c r="Z118" s="307">
        <v>166</v>
      </c>
      <c r="AC118" s="118"/>
      <c r="AD118" s="159"/>
      <c r="AE118" s="150"/>
      <c r="AF118" s="151"/>
      <c r="AG118" s="126"/>
      <c r="AK118" s="306">
        <f>IF(ISNUMBER(Table1[[#This Row],[FECHA DE RECIBIDO]]), Table1[[#This Row],[FECHA DE RECIBIDO]]-DATE(2023,8,30), "")</f>
        <v>-45012.49722222222</v>
      </c>
    </row>
    <row r="119" spans="1:37" ht="16.05" customHeight="1">
      <c r="A119" s="152"/>
      <c r="B119" s="153"/>
      <c r="C119" s="126" t="s">
        <v>1790</v>
      </c>
      <c r="D119">
        <v>83</v>
      </c>
      <c r="E119" s="126" t="s">
        <v>1615</v>
      </c>
      <c r="F119" s="125">
        <v>601</v>
      </c>
      <c r="G119" s="125" t="s">
        <v>134</v>
      </c>
      <c r="H119">
        <v>23</v>
      </c>
      <c r="I119" s="125" t="s">
        <v>1546</v>
      </c>
      <c r="J119" s="308">
        <v>155.50277777777956</v>
      </c>
      <c r="K119" s="127" t="s">
        <v>1547</v>
      </c>
      <c r="L119" s="153" t="s">
        <v>118</v>
      </c>
      <c r="M119">
        <v>32</v>
      </c>
      <c r="N119" s="123">
        <v>1</v>
      </c>
      <c r="O119">
        <v>92</v>
      </c>
      <c r="P119" s="132" t="s">
        <v>77</v>
      </c>
      <c r="Q119" s="132">
        <v>240</v>
      </c>
      <c r="R119" s="132">
        <v>38.4</v>
      </c>
      <c r="S119" s="132"/>
      <c r="T119" s="156">
        <v>0</v>
      </c>
      <c r="U119" s="132">
        <v>0</v>
      </c>
      <c r="V119" s="132">
        <v>278.39999999999998</v>
      </c>
      <c r="W119">
        <v>25</v>
      </c>
      <c r="X119" s="153" t="s">
        <v>105</v>
      </c>
      <c r="Y119" s="124" t="s">
        <v>55</v>
      </c>
      <c r="Z119" s="308">
        <v>166</v>
      </c>
      <c r="AC119" s="118"/>
      <c r="AD119" s="159"/>
      <c r="AE119" s="152"/>
      <c r="AF119" s="153"/>
      <c r="AG119" s="126"/>
      <c r="AK119" s="306">
        <f>IF(ISNUMBER(Table1[[#This Row],[FECHA DE RECIBIDO]]), Table1[[#This Row],[FECHA DE RECIBIDO]]-DATE(2023,8,30), "")</f>
        <v>-45012.49722222222</v>
      </c>
    </row>
    <row r="120" spans="1:37" ht="16.05" customHeight="1">
      <c r="A120" s="150"/>
      <c r="B120" s="151"/>
      <c r="C120" s="126" t="s">
        <v>74</v>
      </c>
      <c r="D120">
        <v>84</v>
      </c>
      <c r="E120" s="126"/>
      <c r="F120" s="122"/>
      <c r="G120" s="122"/>
      <c r="H120"/>
      <c r="I120" s="122"/>
      <c r="J120" s="307">
        <v>155.47743055555475</v>
      </c>
      <c r="K120" s="127"/>
      <c r="L120" s="151" t="s">
        <v>98</v>
      </c>
      <c r="M120">
        <v>28</v>
      </c>
      <c r="N120" s="123"/>
      <c r="O120">
        <v>82</v>
      </c>
      <c r="P120" s="131" t="s">
        <v>78</v>
      </c>
      <c r="Q120" s="131">
        <v>9095093.4199999999</v>
      </c>
      <c r="R120" s="131"/>
      <c r="S120" s="131"/>
      <c r="T120" s="155"/>
      <c r="U120" s="131"/>
      <c r="V120" s="131">
        <f>+Table1[[#This Row],[SUBTOTAL]]+Table1[[#This Row],[IVA]]-Table1[[#This Row],[RET IVA]]-Table1[[#This Row],[RET ISR]]</f>
        <v>9095093.4199999999</v>
      </c>
      <c r="W120"/>
      <c r="X120" s="151"/>
      <c r="Y120" s="135" t="s">
        <v>1544</v>
      </c>
      <c r="Z120" s="307">
        <v>156</v>
      </c>
      <c r="AB120" t="str">
        <f>IF(Table1[[#This Row],[TIPO2]]="costo", VLOOKUP(Table1[[#This Row],[PARTIDA PRESUPUESTAL]],'Cost Report'!G:G,1,0),"Balance")</f>
        <v>Balance</v>
      </c>
      <c r="AC120" s="118"/>
      <c r="AD120" s="159">
        <f>+Table1[[#This Row],[SUBTOTAL]]+Table1[[#This Row],[IVA]]-Table1[[#This Row],[RET IVA]]-Table1[[#This Row],[RET ISR]]-Table1[[#This Row],[TOTAL]]</f>
        <v>0</v>
      </c>
      <c r="AE120" s="150"/>
      <c r="AF120" s="151"/>
      <c r="AG120" s="126"/>
      <c r="AK120" s="306">
        <f>IF(ISNUMBER(Table1[[#This Row],[FECHA DE RECIBIDO]]), Table1[[#This Row],[FECHA DE RECIBIDO]]-DATE(2023,8,30), "")</f>
        <v>-45012.522569444445</v>
      </c>
    </row>
    <row r="121" spans="1:37" ht="16.05" customHeight="1">
      <c r="A121" s="152"/>
      <c r="B121" s="153"/>
      <c r="C121" s="126" t="s">
        <v>75</v>
      </c>
      <c r="D121">
        <v>85</v>
      </c>
      <c r="E121" s="126"/>
      <c r="F121" s="125"/>
      <c r="G121" s="125"/>
      <c r="H121"/>
      <c r="I121" s="125"/>
      <c r="J121" s="308">
        <v>155.48089120370423</v>
      </c>
      <c r="K121" s="127"/>
      <c r="L121" s="153" t="s">
        <v>98</v>
      </c>
      <c r="M121">
        <v>28</v>
      </c>
      <c r="N121" s="123"/>
      <c r="O121">
        <v>23</v>
      </c>
      <c r="P121" s="131" t="s">
        <v>78</v>
      </c>
      <c r="Q121" s="132">
        <v>1455214.94</v>
      </c>
      <c r="R121" s="132"/>
      <c r="S121" s="132"/>
      <c r="T121" s="156"/>
      <c r="U121" s="132"/>
      <c r="V121" s="132">
        <f>+Table1[[#This Row],[SUBTOTAL]]+Table1[[#This Row],[IVA]]-Table1[[#This Row],[RET IVA]]-Table1[[#This Row],[RET ISR]]</f>
        <v>1455214.94</v>
      </c>
      <c r="W121"/>
      <c r="X121" s="153"/>
      <c r="Y121" s="124" t="s">
        <v>1544</v>
      </c>
      <c r="Z121" s="308">
        <v>156</v>
      </c>
      <c r="AB121" t="str">
        <f>IF(Table1[[#This Row],[TIPO2]]="costo", VLOOKUP(Table1[[#This Row],[PARTIDA PRESUPUESTAL]],'Cost Report'!G:G,1,0),"Balance")</f>
        <v>Balance</v>
      </c>
      <c r="AC121" s="118"/>
      <c r="AD121" s="159">
        <f>+Table1[[#This Row],[SUBTOTAL]]+Table1[[#This Row],[IVA]]-Table1[[#This Row],[RET IVA]]-Table1[[#This Row],[RET ISR]]-Table1[[#This Row],[TOTAL]]</f>
        <v>0</v>
      </c>
      <c r="AE121" s="152"/>
      <c r="AF121" s="153"/>
      <c r="AG121" s="126"/>
      <c r="AK121" s="306">
        <f>IF(ISNUMBER(Table1[[#This Row],[FECHA DE RECIBIDO]]), Table1[[#This Row],[FECHA DE RECIBIDO]]-DATE(2023,8,30), "")</f>
        <v>-45012.519108796296</v>
      </c>
    </row>
    <row r="122" spans="1:37" ht="16.05" customHeight="1">
      <c r="A122" s="150" t="s">
        <v>1545</v>
      </c>
      <c r="B122" s="151">
        <v>91</v>
      </c>
      <c r="C122" s="126" t="s">
        <v>936</v>
      </c>
      <c r="D122">
        <v>86</v>
      </c>
      <c r="E122" s="126">
        <v>45110</v>
      </c>
      <c r="F122" s="122">
        <v>601</v>
      </c>
      <c r="G122" s="122" t="s">
        <v>134</v>
      </c>
      <c r="H122">
        <v>24</v>
      </c>
      <c r="I122" s="122" t="s">
        <v>1546</v>
      </c>
      <c r="J122" s="307">
        <v>166.50306712962629</v>
      </c>
      <c r="K122" s="127" t="s">
        <v>1547</v>
      </c>
      <c r="L122" s="151" t="s">
        <v>118</v>
      </c>
      <c r="M122">
        <v>33</v>
      </c>
      <c r="N122" s="123">
        <v>1</v>
      </c>
      <c r="O122">
        <v>93</v>
      </c>
      <c r="P122" s="132" t="s">
        <v>77</v>
      </c>
      <c r="Q122" s="131">
        <v>13665.96</v>
      </c>
      <c r="R122" s="131">
        <v>2112</v>
      </c>
      <c r="S122" s="131">
        <v>396</v>
      </c>
      <c r="T122" s="155">
        <v>0</v>
      </c>
      <c r="U122" s="131">
        <v>0</v>
      </c>
      <c r="V122" s="131">
        <v>16173.96</v>
      </c>
      <c r="W122">
        <v>26</v>
      </c>
      <c r="X122" s="151" t="s">
        <v>195</v>
      </c>
      <c r="Y122" s="135" t="s">
        <v>55</v>
      </c>
      <c r="Z122" s="307" t="s">
        <v>214</v>
      </c>
      <c r="AB122" t="str">
        <f>IF(Table1[[#This Row],[TIPO2]]="costo", VLOOKUP(Table1[[#This Row],[PARTIDA PRESUPUESTAL]],'Cost Report'!G:G,1,0),"Balance")</f>
        <v>3401-003</v>
      </c>
      <c r="AC122" s="118"/>
      <c r="AD122" s="159">
        <f>+Table1[[#This Row],[SUBTOTAL]]+Table1[[#This Row],[IVA]]-Table1[[#This Row],[RET IVA]]-Table1[[#This Row],[RET ISR]]-Table1[[#This Row],[TOTAL]]</f>
        <v>-396</v>
      </c>
      <c r="AE122" s="150"/>
      <c r="AF122" s="151"/>
      <c r="AG122" s="126"/>
      <c r="AK122" s="306">
        <f>IF(ISNUMBER(Table1[[#This Row],[FECHA DE RECIBIDO]]), Table1[[#This Row],[FECHA DE RECIBIDO]]-DATE(2023,8,30), "")</f>
        <v>-45001.496932870374</v>
      </c>
    </row>
    <row r="123" spans="1:37" ht="14.25" customHeight="1">
      <c r="A123" s="152"/>
      <c r="B123" s="153"/>
      <c r="C123" s="126" t="s">
        <v>1417</v>
      </c>
      <c r="D123">
        <v>86</v>
      </c>
      <c r="E123" s="126">
        <v>45110</v>
      </c>
      <c r="F123" s="125">
        <v>601</v>
      </c>
      <c r="G123" s="125" t="s">
        <v>134</v>
      </c>
      <c r="H123">
        <v>24</v>
      </c>
      <c r="I123" s="125" t="s">
        <v>1546</v>
      </c>
      <c r="J123" s="308">
        <v>166.50306712962629</v>
      </c>
      <c r="K123" s="127" t="s">
        <v>1547</v>
      </c>
      <c r="L123" s="153" t="s">
        <v>118</v>
      </c>
      <c r="M123">
        <v>33</v>
      </c>
      <c r="N123" s="123">
        <v>1</v>
      </c>
      <c r="O123">
        <v>93</v>
      </c>
      <c r="P123" s="132" t="s">
        <v>77</v>
      </c>
      <c r="Q123" s="132">
        <v>396</v>
      </c>
      <c r="R123" s="132">
        <v>0</v>
      </c>
      <c r="S123" s="132">
        <v>0</v>
      </c>
      <c r="T123" s="156">
        <v>0</v>
      </c>
      <c r="U123" s="132">
        <v>0</v>
      </c>
      <c r="V123" s="132">
        <f t="shared" ref="V123" si="0">+Q123+R123-T123-U123+S123</f>
        <v>396</v>
      </c>
      <c r="W123">
        <v>26</v>
      </c>
      <c r="X123" s="153" t="s">
        <v>195</v>
      </c>
      <c r="Y123" s="124" t="s">
        <v>55</v>
      </c>
      <c r="Z123" s="308" t="s">
        <v>214</v>
      </c>
      <c r="AB123" t="str">
        <f>IF(Table1[[#This Row],[TIPO2]]="costo", VLOOKUP(Table1[[#This Row],[PARTIDA PRESUPUESTAL]],'Cost Report'!G:G,1,0),"Balance")</f>
        <v>3999-001</v>
      </c>
      <c r="AC123" s="118"/>
      <c r="AD123" s="159">
        <f>+Table1[[#This Row],[SUBTOTAL]]+Table1[[#This Row],[IVA]]-Table1[[#This Row],[RET IVA]]-Table1[[#This Row],[RET ISR]]-Table1[[#This Row],[TOTAL]]</f>
        <v>0</v>
      </c>
      <c r="AE123" s="152"/>
      <c r="AF123" s="153"/>
      <c r="AG123" s="126"/>
      <c r="AH123" s="157"/>
      <c r="AI123" s="157"/>
      <c r="AK123" s="306">
        <f>IF(ISNUMBER(Table1[[#This Row],[FECHA DE RECIBIDO]]), Table1[[#This Row],[FECHA DE RECIBIDO]]-DATE(2023,8,30), "")</f>
        <v>-45001.496932870374</v>
      </c>
    </row>
    <row r="124" spans="1:37" ht="16.05" customHeight="1">
      <c r="A124" s="150"/>
      <c r="B124" s="151"/>
      <c r="C124" s="126" t="s">
        <v>941</v>
      </c>
      <c r="D124">
        <v>86</v>
      </c>
      <c r="E124" s="126">
        <v>45110</v>
      </c>
      <c r="F124" s="122">
        <v>601</v>
      </c>
      <c r="G124" s="122" t="s">
        <v>134</v>
      </c>
      <c r="H124">
        <v>24</v>
      </c>
      <c r="I124" s="122" t="s">
        <v>1546</v>
      </c>
      <c r="J124" s="307">
        <v>166.50306712962629</v>
      </c>
      <c r="K124" s="127" t="s">
        <v>1547</v>
      </c>
      <c r="L124" s="151" t="s">
        <v>118</v>
      </c>
      <c r="M124">
        <v>33</v>
      </c>
      <c r="N124" s="123">
        <v>1</v>
      </c>
      <c r="O124">
        <v>93</v>
      </c>
      <c r="P124" s="132" t="s">
        <v>77</v>
      </c>
      <c r="Q124" s="131">
        <v>6659.33</v>
      </c>
      <c r="R124" s="131">
        <v>1065.49</v>
      </c>
      <c r="S124" s="131"/>
      <c r="T124" s="155">
        <v>0</v>
      </c>
      <c r="U124" s="131">
        <v>0</v>
      </c>
      <c r="V124" s="131">
        <v>7724.82</v>
      </c>
      <c r="W124">
        <v>26</v>
      </c>
      <c r="X124" s="151" t="s">
        <v>195</v>
      </c>
      <c r="Y124" s="135" t="s">
        <v>55</v>
      </c>
      <c r="Z124" s="307" t="s">
        <v>214</v>
      </c>
      <c r="AB124" t="str">
        <f>IF(Table1[[#This Row],[TIPO2]]="costo", VLOOKUP(Table1[[#This Row],[PARTIDA PRESUPUESTAL]],'Cost Report'!G:G,1,0),"Balance")</f>
        <v>3401-010</v>
      </c>
      <c r="AC124" s="118"/>
      <c r="AD124" s="159">
        <f>+Table1[[#This Row],[SUBTOTAL]]+Table1[[#This Row],[IVA]]-Table1[[#This Row],[RET IVA]]-Table1[[#This Row],[RET ISR]]-Table1[[#This Row],[TOTAL]]</f>
        <v>0</v>
      </c>
      <c r="AE124" s="150"/>
      <c r="AF124" s="151"/>
      <c r="AG124" s="126"/>
      <c r="AK124" s="306">
        <f>IF(ISNUMBER(Table1[[#This Row],[FECHA DE RECIBIDO]]), Table1[[#This Row],[FECHA DE RECIBIDO]]-DATE(2023,8,30), "")</f>
        <v>-45001.496932870374</v>
      </c>
    </row>
    <row r="125" spans="1:37" ht="16.05" customHeight="1">
      <c r="A125" s="152" t="s">
        <v>1548</v>
      </c>
      <c r="B125" s="153">
        <v>92</v>
      </c>
      <c r="C125" s="126" t="s">
        <v>474</v>
      </c>
      <c r="D125">
        <v>87</v>
      </c>
      <c r="E125" s="126" t="s">
        <v>1588</v>
      </c>
      <c r="F125" s="125" t="s">
        <v>1589</v>
      </c>
      <c r="G125" s="125" t="s">
        <v>129</v>
      </c>
      <c r="H125">
        <v>15</v>
      </c>
      <c r="I125" s="125" t="s">
        <v>1546</v>
      </c>
      <c r="J125" s="308" t="s">
        <v>214</v>
      </c>
      <c r="K125" s="127" t="s">
        <v>1549</v>
      </c>
      <c r="L125" s="153" t="s">
        <v>110</v>
      </c>
      <c r="M125">
        <v>19</v>
      </c>
      <c r="N125" s="123">
        <v>1</v>
      </c>
      <c r="O125">
        <v>94</v>
      </c>
      <c r="P125" s="132" t="s">
        <v>77</v>
      </c>
      <c r="Q125" s="132">
        <v>37800</v>
      </c>
      <c r="R125" s="132">
        <v>6048</v>
      </c>
      <c r="S125" s="132"/>
      <c r="T125" s="156">
        <v>4032.02</v>
      </c>
      <c r="U125" s="132">
        <v>3780</v>
      </c>
      <c r="V125" s="132">
        <f t="shared" ref="V125:V172" si="1">+Q125+R125-T125-U125</f>
        <v>36035.980000000003</v>
      </c>
      <c r="W125">
        <v>15</v>
      </c>
      <c r="X125" s="153" t="s">
        <v>1429</v>
      </c>
      <c r="Y125" s="124" t="s">
        <v>55</v>
      </c>
      <c r="Z125" s="308">
        <v>170</v>
      </c>
      <c r="AB125" t="str">
        <f>IF(Table1[[#This Row],[TIPO2]]="costo", VLOOKUP(Table1[[#This Row],[PARTIDA PRESUPUESTAL]],'Cost Report'!G:G,1,0),"Balance")</f>
        <v>2013-004</v>
      </c>
      <c r="AC125" s="118"/>
      <c r="AD125" s="159">
        <f>+Table1[[#This Row],[SUBTOTAL]]+Table1[[#This Row],[IVA]]-Table1[[#This Row],[RET IVA]]-Table1[[#This Row],[RET ISR]]-Table1[[#This Row],[TOTAL]]</f>
        <v>0</v>
      </c>
      <c r="AE125" s="152"/>
      <c r="AF125" s="153"/>
      <c r="AG125" s="126"/>
      <c r="AK125" s="306" t="str">
        <f>IF(ISNUMBER(Table1[[#This Row],[FECHA DE RECIBIDO]]), Table1[[#This Row],[FECHA DE RECIBIDO]]-DATE(2023,8,30), "")</f>
        <v/>
      </c>
    </row>
    <row r="126" spans="1:37" ht="16.05" customHeight="1">
      <c r="A126" s="150" t="s">
        <v>1550</v>
      </c>
      <c r="B126" s="151">
        <v>93</v>
      </c>
      <c r="C126" s="126" t="s">
        <v>242</v>
      </c>
      <c r="D126">
        <v>88</v>
      </c>
      <c r="E126" s="126" t="s">
        <v>1590</v>
      </c>
      <c r="F126" s="122" t="s">
        <v>1589</v>
      </c>
      <c r="G126" s="122" t="s">
        <v>129</v>
      </c>
      <c r="H126">
        <v>16</v>
      </c>
      <c r="I126" s="122" t="s">
        <v>1546</v>
      </c>
      <c r="J126" s="307" t="s">
        <v>214</v>
      </c>
      <c r="K126" s="127" t="s">
        <v>1551</v>
      </c>
      <c r="L126" s="151" t="s">
        <v>110</v>
      </c>
      <c r="M126">
        <v>21</v>
      </c>
      <c r="N126" s="123">
        <v>2</v>
      </c>
      <c r="O126">
        <v>95</v>
      </c>
      <c r="P126" s="132" t="s">
        <v>77</v>
      </c>
      <c r="Q126" s="131">
        <v>42000</v>
      </c>
      <c r="R126" s="131">
        <v>6720</v>
      </c>
      <c r="S126" s="131"/>
      <c r="T126" s="155">
        <v>4480.01</v>
      </c>
      <c r="U126" s="131">
        <v>4200</v>
      </c>
      <c r="V126" s="131">
        <f t="shared" si="1"/>
        <v>40039.99</v>
      </c>
      <c r="W126">
        <v>16</v>
      </c>
      <c r="X126" s="151" t="s">
        <v>1429</v>
      </c>
      <c r="Y126" s="135" t="s">
        <v>55</v>
      </c>
      <c r="Z126" s="307">
        <v>170</v>
      </c>
      <c r="AB126" t="str">
        <f>IF(Table1[[#This Row],[TIPO2]]="costo", VLOOKUP(Table1[[#This Row],[PARTIDA PRESUPUESTAL]],'Cost Report'!G:G,1,0),"Balance")</f>
        <v>1204-004</v>
      </c>
      <c r="AC126" s="118"/>
      <c r="AD126" s="159">
        <f>+Table1[[#This Row],[SUBTOTAL]]+Table1[[#This Row],[IVA]]-Table1[[#This Row],[RET IVA]]-Table1[[#This Row],[RET ISR]]-Table1[[#This Row],[TOTAL]]</f>
        <v>0</v>
      </c>
      <c r="AE126" s="150"/>
      <c r="AF126" s="151"/>
      <c r="AG126" s="126"/>
      <c r="AK126" s="306" t="str">
        <f>IF(ISNUMBER(Table1[[#This Row],[FECHA DE RECIBIDO]]), Table1[[#This Row],[FECHA DE RECIBIDO]]-DATE(2023,8,30), "")</f>
        <v/>
      </c>
    </row>
    <row r="127" spans="1:37" ht="16.05" customHeight="1">
      <c r="A127" s="152" t="s">
        <v>1552</v>
      </c>
      <c r="B127" s="153">
        <v>94</v>
      </c>
      <c r="C127" s="126" t="s">
        <v>242</v>
      </c>
      <c r="D127">
        <v>89</v>
      </c>
      <c r="E127" s="126" t="s">
        <v>1590</v>
      </c>
      <c r="F127" s="125" t="s">
        <v>1589</v>
      </c>
      <c r="G127" s="125" t="s">
        <v>129</v>
      </c>
      <c r="H127">
        <v>16</v>
      </c>
      <c r="I127" s="125" t="s">
        <v>1546</v>
      </c>
      <c r="J127" s="308" t="s">
        <v>214</v>
      </c>
      <c r="K127" s="127" t="s">
        <v>1553</v>
      </c>
      <c r="L127" s="153" t="s">
        <v>110</v>
      </c>
      <c r="M127">
        <v>21</v>
      </c>
      <c r="N127" s="123">
        <v>2</v>
      </c>
      <c r="O127">
        <v>96</v>
      </c>
      <c r="P127" s="132" t="s">
        <v>77</v>
      </c>
      <c r="Q127" s="132">
        <v>42000</v>
      </c>
      <c r="R127" s="132">
        <v>6720</v>
      </c>
      <c r="S127" s="132"/>
      <c r="T127" s="156">
        <v>4480.01</v>
      </c>
      <c r="U127" s="132">
        <v>4200</v>
      </c>
      <c r="V127" s="132">
        <f t="shared" si="1"/>
        <v>40039.99</v>
      </c>
      <c r="W127">
        <v>16</v>
      </c>
      <c r="X127" s="153" t="s">
        <v>1429</v>
      </c>
      <c r="Y127" s="124" t="s">
        <v>55</v>
      </c>
      <c r="Z127" s="308">
        <v>170</v>
      </c>
      <c r="AB127" t="str">
        <f>IF(Table1[[#This Row],[TIPO2]]="costo", VLOOKUP(Table1[[#This Row],[PARTIDA PRESUPUESTAL]],'Cost Report'!G:G,1,0),"Balance")</f>
        <v>1204-004</v>
      </c>
      <c r="AC127" s="118"/>
      <c r="AD127" s="159">
        <f>+Table1[[#This Row],[SUBTOTAL]]+Table1[[#This Row],[IVA]]-Table1[[#This Row],[RET IVA]]-Table1[[#This Row],[RET ISR]]-Table1[[#This Row],[TOTAL]]</f>
        <v>0</v>
      </c>
      <c r="AE127" s="152"/>
      <c r="AF127" s="153"/>
      <c r="AG127" s="126"/>
      <c r="AK127" s="306" t="str">
        <f>IF(ISNUMBER(Table1[[#This Row],[FECHA DE RECIBIDO]]), Table1[[#This Row],[FECHA DE RECIBIDO]]-DATE(2023,8,30), "")</f>
        <v/>
      </c>
    </row>
    <row r="128" spans="1:37" ht="16.05" customHeight="1">
      <c r="A128" s="150" t="s">
        <v>1554</v>
      </c>
      <c r="B128" s="151">
        <v>95</v>
      </c>
      <c r="C128" s="126" t="s">
        <v>434</v>
      </c>
      <c r="D128">
        <v>90</v>
      </c>
      <c r="E128" s="126" t="s">
        <v>1591</v>
      </c>
      <c r="F128" s="122" t="s">
        <v>1589</v>
      </c>
      <c r="G128" s="122" t="s">
        <v>129</v>
      </c>
      <c r="H128">
        <v>17</v>
      </c>
      <c r="I128" s="122" t="s">
        <v>1546</v>
      </c>
      <c r="J128" s="307" t="s">
        <v>214</v>
      </c>
      <c r="K128" s="127" t="s">
        <v>1549</v>
      </c>
      <c r="L128" s="151" t="s">
        <v>110</v>
      </c>
      <c r="M128">
        <v>22</v>
      </c>
      <c r="N128" s="123">
        <v>3</v>
      </c>
      <c r="O128">
        <v>97</v>
      </c>
      <c r="P128" s="132" t="s">
        <v>77</v>
      </c>
      <c r="Q128" s="131">
        <v>40000</v>
      </c>
      <c r="R128" s="131">
        <v>6400</v>
      </c>
      <c r="S128" s="131"/>
      <c r="T128" s="155">
        <v>4266.68</v>
      </c>
      <c r="U128" s="131">
        <v>4000</v>
      </c>
      <c r="V128" s="131">
        <f t="shared" si="1"/>
        <v>38133.32</v>
      </c>
      <c r="W128">
        <v>17</v>
      </c>
      <c r="X128" s="151" t="s">
        <v>1430</v>
      </c>
      <c r="Y128" s="135" t="s">
        <v>55</v>
      </c>
      <c r="Z128" s="307">
        <v>170</v>
      </c>
      <c r="AB128" t="str">
        <f>IF(Table1[[#This Row],[TIPO2]]="costo", VLOOKUP(Table1[[#This Row],[PARTIDA PRESUPUESTAL]],'Cost Report'!G:G,1,0),"Balance")</f>
        <v>2001-004</v>
      </c>
      <c r="AC128" s="118"/>
      <c r="AD128" s="159">
        <f>+Table1[[#This Row],[SUBTOTAL]]+Table1[[#This Row],[IVA]]-Table1[[#This Row],[RET IVA]]-Table1[[#This Row],[RET ISR]]-Table1[[#This Row],[TOTAL]]</f>
        <v>0</v>
      </c>
      <c r="AE128" s="150"/>
      <c r="AF128" s="151"/>
      <c r="AG128" s="126"/>
      <c r="AK128" s="306" t="str">
        <f>IF(ISNUMBER(Table1[[#This Row],[FECHA DE RECIBIDO]]), Table1[[#This Row],[FECHA DE RECIBIDO]]-DATE(2023,8,30), "")</f>
        <v/>
      </c>
    </row>
    <row r="129" spans="1:37" ht="16.05" customHeight="1">
      <c r="A129" s="152" t="s">
        <v>1555</v>
      </c>
      <c r="B129" s="153">
        <v>96</v>
      </c>
      <c r="C129" s="126" t="s">
        <v>2143</v>
      </c>
      <c r="D129">
        <v>91</v>
      </c>
      <c r="E129" s="126" t="s">
        <v>1592</v>
      </c>
      <c r="F129" s="125" t="s">
        <v>1593</v>
      </c>
      <c r="G129" s="125" t="s">
        <v>109</v>
      </c>
      <c r="H129">
        <v>18</v>
      </c>
      <c r="I129" s="125" t="s">
        <v>1546</v>
      </c>
      <c r="J129" s="308" t="s">
        <v>214</v>
      </c>
      <c r="K129" s="127" t="s">
        <v>1549</v>
      </c>
      <c r="L129" s="153" t="s">
        <v>110</v>
      </c>
      <c r="M129">
        <v>23</v>
      </c>
      <c r="N129" s="123">
        <v>4</v>
      </c>
      <c r="O129">
        <v>98</v>
      </c>
      <c r="P129" s="132" t="s">
        <v>77</v>
      </c>
      <c r="Q129" s="132">
        <v>20000</v>
      </c>
      <c r="R129" s="132">
        <v>3200</v>
      </c>
      <c r="S129" s="132"/>
      <c r="T129" s="156">
        <v>2133.34</v>
      </c>
      <c r="U129" s="132">
        <v>250</v>
      </c>
      <c r="V129" s="132">
        <f t="shared" si="1"/>
        <v>20816.66</v>
      </c>
      <c r="W129">
        <v>18</v>
      </c>
      <c r="X129" s="153" t="s">
        <v>1429</v>
      </c>
      <c r="Y129" s="124" t="s">
        <v>55</v>
      </c>
      <c r="Z129" s="308">
        <v>170</v>
      </c>
      <c r="AB129" t="str">
        <f>IF(Table1[[#This Row],[TIPO2]]="costo", VLOOKUP(Table1[[#This Row],[PARTIDA PRESUPUESTAL]],'Cost Report'!G:G,1,0),"Balance")</f>
        <v>1222-009</v>
      </c>
      <c r="AC129" s="118"/>
      <c r="AD129" s="159">
        <f>+Table1[[#This Row],[SUBTOTAL]]+Table1[[#This Row],[IVA]]-Table1[[#This Row],[RET IVA]]-Table1[[#This Row],[RET ISR]]-Table1[[#This Row],[TOTAL]]</f>
        <v>0</v>
      </c>
      <c r="AE129" s="152"/>
      <c r="AF129" s="153"/>
      <c r="AG129" s="126"/>
      <c r="AK129" s="306" t="str">
        <f>IF(ISNUMBER(Table1[[#This Row],[FECHA DE RECIBIDO]]), Table1[[#This Row],[FECHA DE RECIBIDO]]-DATE(2023,8,30), "")</f>
        <v/>
      </c>
    </row>
    <row r="130" spans="1:37" ht="16.05" customHeight="1">
      <c r="A130" s="150" t="s">
        <v>1556</v>
      </c>
      <c r="B130" s="151">
        <v>97</v>
      </c>
      <c r="C130" s="126" t="s">
        <v>477</v>
      </c>
      <c r="D130">
        <v>92</v>
      </c>
      <c r="E130" s="126" t="s">
        <v>1594</v>
      </c>
      <c r="F130" s="122" t="s">
        <v>1593</v>
      </c>
      <c r="G130" s="122" t="s">
        <v>109</v>
      </c>
      <c r="H130">
        <v>21</v>
      </c>
      <c r="I130" s="122" t="s">
        <v>1546</v>
      </c>
      <c r="J130" s="307" t="s">
        <v>214</v>
      </c>
      <c r="K130" s="127" t="s">
        <v>1549</v>
      </c>
      <c r="L130" s="151" t="s">
        <v>110</v>
      </c>
      <c r="M130">
        <v>27</v>
      </c>
      <c r="N130" s="123">
        <v>5</v>
      </c>
      <c r="O130">
        <v>99</v>
      </c>
      <c r="P130" s="132" t="s">
        <v>77</v>
      </c>
      <c r="Q130" s="131">
        <v>16000</v>
      </c>
      <c r="R130" s="131">
        <v>2560</v>
      </c>
      <c r="S130" s="131"/>
      <c r="T130" s="155">
        <v>1706.66</v>
      </c>
      <c r="U130" s="131">
        <v>200</v>
      </c>
      <c r="V130" s="131">
        <f t="shared" si="1"/>
        <v>16653.34</v>
      </c>
      <c r="W130">
        <v>21</v>
      </c>
      <c r="X130" s="151" t="s">
        <v>1431</v>
      </c>
      <c r="Y130" s="135" t="s">
        <v>55</v>
      </c>
      <c r="Z130" s="307">
        <v>170</v>
      </c>
      <c r="AB130" t="str">
        <f>IF(Table1[[#This Row],[TIPO2]]="costo", VLOOKUP(Table1[[#This Row],[PARTIDA PRESUPUESTAL]],'Cost Report'!G:G,1,0),"Balance")</f>
        <v>2014-003</v>
      </c>
      <c r="AC130" s="118"/>
      <c r="AD130" s="159">
        <f>+Table1[[#This Row],[SUBTOTAL]]+Table1[[#This Row],[IVA]]-Table1[[#This Row],[RET IVA]]-Table1[[#This Row],[RET ISR]]-Table1[[#This Row],[TOTAL]]</f>
        <v>0</v>
      </c>
      <c r="AE130" s="150"/>
      <c r="AF130" s="151"/>
      <c r="AG130" s="126"/>
      <c r="AK130" s="306" t="str">
        <f>IF(ISNUMBER(Table1[[#This Row],[FECHA DE RECIBIDO]]), Table1[[#This Row],[FECHA DE RECIBIDO]]-DATE(2023,8,30), "")</f>
        <v/>
      </c>
    </row>
    <row r="131" spans="1:37" ht="16.05" customHeight="1">
      <c r="A131" s="152" t="s">
        <v>1557</v>
      </c>
      <c r="B131" s="153">
        <v>98</v>
      </c>
      <c r="C131" s="126" t="s">
        <v>444</v>
      </c>
      <c r="D131">
        <v>93</v>
      </c>
      <c r="E131" s="126" t="s">
        <v>1595</v>
      </c>
      <c r="F131" s="125" t="s">
        <v>1589</v>
      </c>
      <c r="G131" s="125" t="s">
        <v>129</v>
      </c>
      <c r="H131">
        <v>7</v>
      </c>
      <c r="I131" s="125" t="s">
        <v>1546</v>
      </c>
      <c r="J131" s="308" t="s">
        <v>214</v>
      </c>
      <c r="K131" s="127" t="s">
        <v>1549</v>
      </c>
      <c r="L131" s="153" t="s">
        <v>110</v>
      </c>
      <c r="M131">
        <v>24</v>
      </c>
      <c r="N131" s="123">
        <v>6</v>
      </c>
      <c r="O131">
        <v>100</v>
      </c>
      <c r="P131" s="132" t="s">
        <v>77</v>
      </c>
      <c r="Q131" s="132">
        <v>52500</v>
      </c>
      <c r="R131" s="132">
        <v>8400</v>
      </c>
      <c r="S131" s="132"/>
      <c r="T131" s="156">
        <v>5600.02</v>
      </c>
      <c r="U131" s="132">
        <v>5250</v>
      </c>
      <c r="V131" s="132">
        <f t="shared" si="1"/>
        <v>50049.979999999996</v>
      </c>
      <c r="W131">
        <v>7</v>
      </c>
      <c r="X131" s="153" t="s">
        <v>1431</v>
      </c>
      <c r="Y131" s="124" t="s">
        <v>55</v>
      </c>
      <c r="Z131" s="308">
        <v>170</v>
      </c>
      <c r="AB131" t="str">
        <f>IF(Table1[[#This Row],[TIPO2]]="costo", VLOOKUP(Table1[[#This Row],[PARTIDA PRESUPUESTAL]],'Cost Report'!G:G,1,0),"Balance")</f>
        <v>2004-004</v>
      </c>
      <c r="AC131" s="118"/>
      <c r="AD131" s="159">
        <f>+Table1[[#This Row],[SUBTOTAL]]+Table1[[#This Row],[IVA]]-Table1[[#This Row],[RET IVA]]-Table1[[#This Row],[RET ISR]]-Table1[[#This Row],[TOTAL]]</f>
        <v>0</v>
      </c>
      <c r="AE131" s="152"/>
      <c r="AF131" s="153"/>
      <c r="AG131" s="126"/>
      <c r="AK131" s="306" t="str">
        <f>IF(ISNUMBER(Table1[[#This Row],[FECHA DE RECIBIDO]]), Table1[[#This Row],[FECHA DE RECIBIDO]]-DATE(2023,8,30), "")</f>
        <v/>
      </c>
    </row>
    <row r="132" spans="1:37" ht="16.05" customHeight="1">
      <c r="A132" s="150" t="s">
        <v>1558</v>
      </c>
      <c r="B132" s="151">
        <v>99</v>
      </c>
      <c r="C132" s="126" t="s">
        <v>447</v>
      </c>
      <c r="D132">
        <v>94</v>
      </c>
      <c r="E132" s="126" t="s">
        <v>1577</v>
      </c>
      <c r="F132" s="122" t="s">
        <v>1593</v>
      </c>
      <c r="G132" s="122" t="s">
        <v>109</v>
      </c>
      <c r="H132">
        <v>19</v>
      </c>
      <c r="I132" s="122" t="s">
        <v>1546</v>
      </c>
      <c r="J132" s="307" t="s">
        <v>214</v>
      </c>
      <c r="K132" s="127" t="s">
        <v>1549</v>
      </c>
      <c r="L132" s="151" t="s">
        <v>110</v>
      </c>
      <c r="M132">
        <v>25</v>
      </c>
      <c r="N132" s="123">
        <v>7</v>
      </c>
      <c r="O132">
        <v>101</v>
      </c>
      <c r="P132" s="132" t="s">
        <v>77</v>
      </c>
      <c r="Q132" s="131">
        <v>31500</v>
      </c>
      <c r="R132" s="131">
        <v>5040</v>
      </c>
      <c r="S132" s="131"/>
      <c r="T132" s="155">
        <v>3361.06</v>
      </c>
      <c r="U132" s="131">
        <v>393.76</v>
      </c>
      <c r="V132" s="131">
        <f t="shared" si="1"/>
        <v>32785.18</v>
      </c>
      <c r="W132">
        <v>19</v>
      </c>
      <c r="X132" s="151" t="s">
        <v>1429</v>
      </c>
      <c r="Y132" s="135" t="s">
        <v>55</v>
      </c>
      <c r="Z132" s="307">
        <v>170</v>
      </c>
      <c r="AB132" t="str">
        <f>IF(Table1[[#This Row],[TIPO2]]="costo", VLOOKUP(Table1[[#This Row],[PARTIDA PRESUPUESTAL]],'Cost Report'!G:G,1,0),"Balance")</f>
        <v>2005-004</v>
      </c>
      <c r="AC132" s="118"/>
      <c r="AD132" s="159">
        <f>+Table1[[#This Row],[SUBTOTAL]]+Table1[[#This Row],[IVA]]-Table1[[#This Row],[RET IVA]]-Table1[[#This Row],[RET ISR]]-Table1[[#This Row],[TOTAL]]</f>
        <v>0</v>
      </c>
      <c r="AE132" s="150"/>
      <c r="AF132" s="151"/>
      <c r="AG132" s="126"/>
      <c r="AK132" s="306" t="str">
        <f>IF(ISNUMBER(Table1[[#This Row],[FECHA DE RECIBIDO]]), Table1[[#This Row],[FECHA DE RECIBIDO]]-DATE(2023,8,30), "")</f>
        <v/>
      </c>
    </row>
    <row r="133" spans="1:37" ht="16.05" customHeight="1">
      <c r="A133" s="152" t="s">
        <v>1559</v>
      </c>
      <c r="B133" s="153">
        <v>100</v>
      </c>
      <c r="C133" s="126" t="s">
        <v>952</v>
      </c>
      <c r="D133">
        <v>95</v>
      </c>
      <c r="E133" s="126" t="s">
        <v>1596</v>
      </c>
      <c r="F133" s="125" t="s">
        <v>1593</v>
      </c>
      <c r="G133" s="125" t="s">
        <v>109</v>
      </c>
      <c r="H133">
        <v>11</v>
      </c>
      <c r="I133" s="125" t="s">
        <v>1546</v>
      </c>
      <c r="J133" s="308" t="s">
        <v>214</v>
      </c>
      <c r="K133" s="127" t="s">
        <v>1549</v>
      </c>
      <c r="L133" s="153" t="s">
        <v>110</v>
      </c>
      <c r="M133">
        <v>14</v>
      </c>
      <c r="N133" s="123">
        <v>8</v>
      </c>
      <c r="O133">
        <v>102</v>
      </c>
      <c r="P133" s="132" t="s">
        <v>77</v>
      </c>
      <c r="Q133" s="132">
        <v>21000</v>
      </c>
      <c r="R133" s="132">
        <v>3360</v>
      </c>
      <c r="S133" s="132"/>
      <c r="T133" s="156">
        <v>2239.9899999999998</v>
      </c>
      <c r="U133" s="132">
        <v>262.5</v>
      </c>
      <c r="V133" s="132">
        <f t="shared" si="1"/>
        <v>21857.510000000002</v>
      </c>
      <c r="W133">
        <v>10</v>
      </c>
      <c r="X133" s="153" t="s">
        <v>1432</v>
      </c>
      <c r="Y133" s="124" t="s">
        <v>55</v>
      </c>
      <c r="Z133" s="308">
        <v>170</v>
      </c>
      <c r="AB133" t="str">
        <f>IF(Table1[[#This Row],[TIPO2]]="costo", VLOOKUP(Table1[[#This Row],[PARTIDA PRESUPUESTAL]],'Cost Report'!G:G,1,0),"Balance")</f>
        <v>3403-010</v>
      </c>
      <c r="AC133" s="118"/>
      <c r="AD133" s="159">
        <f>+Table1[[#This Row],[SUBTOTAL]]+Table1[[#This Row],[IVA]]-Table1[[#This Row],[RET IVA]]-Table1[[#This Row],[RET ISR]]-Table1[[#This Row],[TOTAL]]</f>
        <v>0</v>
      </c>
      <c r="AE133" s="152"/>
      <c r="AF133" s="153"/>
      <c r="AG133" s="126"/>
      <c r="AK133" s="306" t="str">
        <f>IF(ISNUMBER(Table1[[#This Row],[FECHA DE RECIBIDO]]), Table1[[#This Row],[FECHA DE RECIBIDO]]-DATE(2023,8,30), "")</f>
        <v/>
      </c>
    </row>
    <row r="134" spans="1:37" ht="16.05" customHeight="1">
      <c r="A134" s="150" t="s">
        <v>1560</v>
      </c>
      <c r="B134" s="151">
        <v>101</v>
      </c>
      <c r="C134" s="126" t="s">
        <v>944</v>
      </c>
      <c r="D134">
        <v>96</v>
      </c>
      <c r="E134" s="126" t="s">
        <v>1597</v>
      </c>
      <c r="F134" s="122" t="s">
        <v>1589</v>
      </c>
      <c r="G134" s="122" t="s">
        <v>129</v>
      </c>
      <c r="H134">
        <v>8</v>
      </c>
      <c r="I134" s="122" t="s">
        <v>1546</v>
      </c>
      <c r="J134" s="307" t="s">
        <v>214</v>
      </c>
      <c r="K134" s="127" t="s">
        <v>1549</v>
      </c>
      <c r="L134" s="151" t="s">
        <v>110</v>
      </c>
      <c r="M134">
        <v>11</v>
      </c>
      <c r="N134" s="123">
        <v>9</v>
      </c>
      <c r="O134">
        <v>103</v>
      </c>
      <c r="P134" s="132" t="s">
        <v>77</v>
      </c>
      <c r="Q134" s="131">
        <v>48300</v>
      </c>
      <c r="R134" s="131">
        <v>7728</v>
      </c>
      <c r="S134" s="131"/>
      <c r="T134" s="155">
        <v>5152.0200000000004</v>
      </c>
      <c r="U134" s="131">
        <v>4830</v>
      </c>
      <c r="V134" s="131">
        <f t="shared" si="1"/>
        <v>46045.979999999996</v>
      </c>
      <c r="W134">
        <v>6</v>
      </c>
      <c r="X134" s="151" t="s">
        <v>1430</v>
      </c>
      <c r="Y134" s="135" t="s">
        <v>55</v>
      </c>
      <c r="Z134" s="307">
        <v>170</v>
      </c>
      <c r="AB134" t="str">
        <f>IF(Table1[[#This Row],[TIPO2]]="costo", VLOOKUP(Table1[[#This Row],[PARTIDA PRESUPUESTAL]],'Cost Report'!G:G,1,0),"Balance")</f>
        <v>3402-004</v>
      </c>
      <c r="AC134" s="118"/>
      <c r="AD134" s="159">
        <f>+Table1[[#This Row],[SUBTOTAL]]+Table1[[#This Row],[IVA]]-Table1[[#This Row],[RET IVA]]-Table1[[#This Row],[RET ISR]]-Table1[[#This Row],[TOTAL]]</f>
        <v>0</v>
      </c>
      <c r="AE134" s="150"/>
      <c r="AF134" s="151"/>
      <c r="AG134" s="126"/>
      <c r="AK134" s="306" t="str">
        <f>IF(ISNUMBER(Table1[[#This Row],[FECHA DE RECIBIDO]]), Table1[[#This Row],[FECHA DE RECIBIDO]]-DATE(2023,8,30), "")</f>
        <v/>
      </c>
    </row>
    <row r="135" spans="1:37" ht="16.05" customHeight="1">
      <c r="A135" s="152" t="s">
        <v>1561</v>
      </c>
      <c r="B135" s="153">
        <v>102</v>
      </c>
      <c r="C135" s="126" t="s">
        <v>955</v>
      </c>
      <c r="D135">
        <v>97</v>
      </c>
      <c r="E135" s="126" t="s">
        <v>1598</v>
      </c>
      <c r="F135" s="125" t="s">
        <v>1593</v>
      </c>
      <c r="G135" s="125" t="s">
        <v>109</v>
      </c>
      <c r="H135">
        <v>25</v>
      </c>
      <c r="I135" s="125" t="s">
        <v>1546</v>
      </c>
      <c r="J135" s="308" t="s">
        <v>214</v>
      </c>
      <c r="K135" s="127" t="s">
        <v>1562</v>
      </c>
      <c r="L135" s="153" t="s">
        <v>110</v>
      </c>
      <c r="M135">
        <v>34</v>
      </c>
      <c r="N135" s="123">
        <v>10</v>
      </c>
      <c r="O135">
        <v>104</v>
      </c>
      <c r="P135" s="132" t="s">
        <v>77</v>
      </c>
      <c r="Q135" s="132">
        <v>10500</v>
      </c>
      <c r="R135" s="132">
        <v>1680</v>
      </c>
      <c r="S135" s="132"/>
      <c r="T135" s="156">
        <v>1120</v>
      </c>
      <c r="U135" s="132">
        <v>131.25</v>
      </c>
      <c r="V135" s="132">
        <f t="shared" si="1"/>
        <v>10928.75</v>
      </c>
      <c r="W135">
        <v>27</v>
      </c>
      <c r="X135" s="153" t="s">
        <v>1429</v>
      </c>
      <c r="Y135" s="124" t="s">
        <v>55</v>
      </c>
      <c r="Z135" s="308">
        <v>170</v>
      </c>
      <c r="AB135" t="str">
        <f>IF(Table1[[#This Row],[TIPO2]]="costo", VLOOKUP(Table1[[#This Row],[PARTIDA PRESUPUESTAL]],'Cost Report'!G:G,1,0),"Balance")</f>
        <v>3403-015</v>
      </c>
      <c r="AC135" s="118"/>
      <c r="AD135" s="159">
        <f>+Table1[[#This Row],[SUBTOTAL]]+Table1[[#This Row],[IVA]]-Table1[[#This Row],[RET IVA]]-Table1[[#This Row],[RET ISR]]-Table1[[#This Row],[TOTAL]]</f>
        <v>0</v>
      </c>
      <c r="AE135" s="152"/>
      <c r="AF135" s="153"/>
      <c r="AG135" s="126"/>
      <c r="AK135" s="306" t="str">
        <f>IF(ISNUMBER(Table1[[#This Row],[FECHA DE RECIBIDO]]), Table1[[#This Row],[FECHA DE RECIBIDO]]-DATE(2023,8,30), "")</f>
        <v/>
      </c>
    </row>
    <row r="136" spans="1:37" ht="16.05" customHeight="1">
      <c r="A136" s="150" t="s">
        <v>1563</v>
      </c>
      <c r="B136" s="151">
        <v>103</v>
      </c>
      <c r="C136" s="126" t="s">
        <v>955</v>
      </c>
      <c r="D136">
        <v>98</v>
      </c>
      <c r="E136" s="126" t="s">
        <v>1598</v>
      </c>
      <c r="F136" s="122" t="s">
        <v>1593</v>
      </c>
      <c r="G136" s="122" t="s">
        <v>109</v>
      </c>
      <c r="H136">
        <v>25</v>
      </c>
      <c r="I136" s="122" t="s">
        <v>1546</v>
      </c>
      <c r="J136" s="307" t="s">
        <v>214</v>
      </c>
      <c r="K136" s="127" t="s">
        <v>1549</v>
      </c>
      <c r="L136" s="151" t="s">
        <v>110</v>
      </c>
      <c r="M136">
        <v>34</v>
      </c>
      <c r="N136" s="123">
        <v>10</v>
      </c>
      <c r="O136">
        <v>105</v>
      </c>
      <c r="P136" s="132" t="s">
        <v>77</v>
      </c>
      <c r="Q136" s="131">
        <v>21000</v>
      </c>
      <c r="R136" s="131">
        <v>3360</v>
      </c>
      <c r="S136" s="131"/>
      <c r="T136" s="155">
        <v>2240.0100000000002</v>
      </c>
      <c r="U136" s="131">
        <v>262.5</v>
      </c>
      <c r="V136" s="131">
        <f t="shared" si="1"/>
        <v>21857.489999999998</v>
      </c>
      <c r="W136">
        <v>27</v>
      </c>
      <c r="X136" s="151" t="s">
        <v>1429</v>
      </c>
      <c r="Y136" s="135" t="s">
        <v>55</v>
      </c>
      <c r="Z136" s="307">
        <v>170</v>
      </c>
      <c r="AB136" t="str">
        <f>IF(Table1[[#This Row],[TIPO2]]="costo", VLOOKUP(Table1[[#This Row],[PARTIDA PRESUPUESTAL]],'Cost Report'!G:G,1,0),"Balance")</f>
        <v>3403-015</v>
      </c>
      <c r="AC136" s="118"/>
      <c r="AD136" s="159">
        <f>+Table1[[#This Row],[SUBTOTAL]]+Table1[[#This Row],[IVA]]-Table1[[#This Row],[RET IVA]]-Table1[[#This Row],[RET ISR]]-Table1[[#This Row],[TOTAL]]</f>
        <v>0</v>
      </c>
      <c r="AE136" s="150"/>
      <c r="AF136" s="151"/>
      <c r="AG136" s="126"/>
      <c r="AK136" s="306" t="str">
        <f>IF(ISNUMBER(Table1[[#This Row],[FECHA DE RECIBIDO]]), Table1[[#This Row],[FECHA DE RECIBIDO]]-DATE(2023,8,30), "")</f>
        <v/>
      </c>
    </row>
    <row r="137" spans="1:37" ht="16.05" customHeight="1">
      <c r="A137" s="152" t="s">
        <v>1564</v>
      </c>
      <c r="B137" s="153">
        <v>104</v>
      </c>
      <c r="C137" s="126" t="s">
        <v>536</v>
      </c>
      <c r="D137">
        <v>99</v>
      </c>
      <c r="E137" s="126" t="s">
        <v>1599</v>
      </c>
      <c r="F137" s="125" t="s">
        <v>1589</v>
      </c>
      <c r="G137" s="125" t="s">
        <v>129</v>
      </c>
      <c r="H137">
        <v>20</v>
      </c>
      <c r="I137" s="125" t="s">
        <v>1546</v>
      </c>
      <c r="J137" s="308" t="s">
        <v>214</v>
      </c>
      <c r="K137" s="127" t="s">
        <v>1549</v>
      </c>
      <c r="L137" s="153" t="s">
        <v>110</v>
      </c>
      <c r="M137">
        <v>26</v>
      </c>
      <c r="N137" s="123">
        <v>11</v>
      </c>
      <c r="O137">
        <v>106</v>
      </c>
      <c r="P137" s="132" t="s">
        <v>77</v>
      </c>
      <c r="Q137" s="132">
        <v>64680</v>
      </c>
      <c r="R137" s="132">
        <v>10348.799999999999</v>
      </c>
      <c r="S137" s="132"/>
      <c r="T137" s="156">
        <v>6899.22</v>
      </c>
      <c r="U137" s="132">
        <v>6468</v>
      </c>
      <c r="V137" s="132">
        <f t="shared" si="1"/>
        <v>61661.58</v>
      </c>
      <c r="W137">
        <v>20</v>
      </c>
      <c r="X137" s="153" t="s">
        <v>1434</v>
      </c>
      <c r="Y137" s="124" t="s">
        <v>55</v>
      </c>
      <c r="Z137" s="308">
        <v>170</v>
      </c>
      <c r="AB137" t="str">
        <f>IF(Table1[[#This Row],[TIPO2]]="costo", VLOOKUP(Table1[[#This Row],[PARTIDA PRESUPUESTAL]],'Cost Report'!G:G,1,0),"Balance")</f>
        <v>2201-004</v>
      </c>
      <c r="AC137" s="118"/>
      <c r="AD137" s="159">
        <f>+Table1[[#This Row],[SUBTOTAL]]+Table1[[#This Row],[IVA]]-Table1[[#This Row],[RET IVA]]-Table1[[#This Row],[RET ISR]]-Table1[[#This Row],[TOTAL]]</f>
        <v>0</v>
      </c>
      <c r="AE137" s="152"/>
      <c r="AF137" s="153"/>
      <c r="AG137" s="126"/>
      <c r="AK137" s="306" t="str">
        <f>IF(ISNUMBER(Table1[[#This Row],[FECHA DE RECIBIDO]]), Table1[[#This Row],[FECHA DE RECIBIDO]]-DATE(2023,8,30), "")</f>
        <v/>
      </c>
    </row>
    <row r="138" spans="1:37" ht="16.05" customHeight="1">
      <c r="A138" s="150" t="s">
        <v>1565</v>
      </c>
      <c r="B138" s="151">
        <v>105</v>
      </c>
      <c r="C138" s="126" t="s">
        <v>540</v>
      </c>
      <c r="D138">
        <v>100</v>
      </c>
      <c r="E138" s="126" t="s">
        <v>1600</v>
      </c>
      <c r="F138" s="122" t="s">
        <v>1593</v>
      </c>
      <c r="G138" s="122" t="s">
        <v>109</v>
      </c>
      <c r="H138">
        <v>26</v>
      </c>
      <c r="I138" s="122" t="s">
        <v>1546</v>
      </c>
      <c r="J138" s="307" t="s">
        <v>214</v>
      </c>
      <c r="K138" s="127" t="s">
        <v>1566</v>
      </c>
      <c r="L138" s="151" t="s">
        <v>110</v>
      </c>
      <c r="M138">
        <v>35</v>
      </c>
      <c r="N138" s="123">
        <v>12</v>
      </c>
      <c r="O138">
        <v>107</v>
      </c>
      <c r="P138" s="132" t="s">
        <v>77</v>
      </c>
      <c r="Q138" s="131">
        <v>64575</v>
      </c>
      <c r="R138" s="131">
        <v>10332</v>
      </c>
      <c r="S138" s="131"/>
      <c r="T138" s="155">
        <v>6888.03</v>
      </c>
      <c r="U138" s="131">
        <v>807.18</v>
      </c>
      <c r="V138" s="131">
        <f t="shared" si="1"/>
        <v>67211.790000000008</v>
      </c>
      <c r="W138">
        <v>28</v>
      </c>
      <c r="X138" s="151" t="s">
        <v>1429</v>
      </c>
      <c r="Y138" s="135" t="s">
        <v>55</v>
      </c>
      <c r="Z138" s="307">
        <v>170</v>
      </c>
      <c r="AB138" t="str">
        <f>IF(Table1[[#This Row],[TIPO2]]="costo", VLOOKUP(Table1[[#This Row],[PARTIDA PRESUPUESTAL]],'Cost Report'!G:G,1,0),"Balance")</f>
        <v>2202-003</v>
      </c>
      <c r="AC138" s="118"/>
      <c r="AD138" s="159">
        <f>+Table1[[#This Row],[SUBTOTAL]]+Table1[[#This Row],[IVA]]-Table1[[#This Row],[RET IVA]]-Table1[[#This Row],[RET ISR]]-Table1[[#This Row],[TOTAL]]</f>
        <v>0</v>
      </c>
      <c r="AE138" s="150"/>
      <c r="AF138" s="151"/>
      <c r="AG138" s="126"/>
      <c r="AK138" s="306" t="str">
        <f>IF(ISNUMBER(Table1[[#This Row],[FECHA DE RECIBIDO]]), Table1[[#This Row],[FECHA DE RECIBIDO]]-DATE(2023,8,30), "")</f>
        <v/>
      </c>
    </row>
    <row r="139" spans="1:37" ht="16.05" customHeight="1">
      <c r="A139" s="152" t="s">
        <v>1567</v>
      </c>
      <c r="B139" s="153">
        <v>106</v>
      </c>
      <c r="C139" s="126" t="s">
        <v>557</v>
      </c>
      <c r="D139">
        <v>101</v>
      </c>
      <c r="E139" s="126" t="s">
        <v>1601</v>
      </c>
      <c r="F139" s="125" t="s">
        <v>1602</v>
      </c>
      <c r="G139" s="125" t="s">
        <v>1617</v>
      </c>
      <c r="H139">
        <v>27</v>
      </c>
      <c r="I139" s="125" t="s">
        <v>1546</v>
      </c>
      <c r="J139" s="308" t="s">
        <v>214</v>
      </c>
      <c r="K139" s="127" t="s">
        <v>1566</v>
      </c>
      <c r="L139" s="153" t="s">
        <v>110</v>
      </c>
      <c r="M139">
        <v>36</v>
      </c>
      <c r="N139" s="123">
        <v>13</v>
      </c>
      <c r="O139">
        <v>108</v>
      </c>
      <c r="P139" s="132" t="s">
        <v>77</v>
      </c>
      <c r="Q139" s="132">
        <v>37800</v>
      </c>
      <c r="R139" s="132">
        <v>6048</v>
      </c>
      <c r="S139" s="132"/>
      <c r="T139" s="156">
        <v>4032</v>
      </c>
      <c r="U139" s="132">
        <v>0</v>
      </c>
      <c r="V139" s="132">
        <f t="shared" si="1"/>
        <v>39816</v>
      </c>
      <c r="W139">
        <v>29</v>
      </c>
      <c r="X139" s="153" t="s">
        <v>1429</v>
      </c>
      <c r="Y139" s="124" t="s">
        <v>55</v>
      </c>
      <c r="Z139" s="308">
        <v>170</v>
      </c>
      <c r="AB139" t="str">
        <f>IF(Table1[[#This Row],[TIPO2]]="costo", VLOOKUP(Table1[[#This Row],[PARTIDA PRESUPUESTAL]],'Cost Report'!G:G,1,0),"Balance")</f>
        <v>2213-003</v>
      </c>
      <c r="AC139" s="118"/>
      <c r="AD139" s="159">
        <f>+Table1[[#This Row],[SUBTOTAL]]+Table1[[#This Row],[IVA]]-Table1[[#This Row],[RET IVA]]-Table1[[#This Row],[RET ISR]]-Table1[[#This Row],[TOTAL]]</f>
        <v>0</v>
      </c>
      <c r="AE139" s="152"/>
      <c r="AF139" s="153"/>
      <c r="AG139" s="126"/>
      <c r="AK139" s="306" t="str">
        <f>IF(ISNUMBER(Table1[[#This Row],[FECHA DE RECIBIDO]]), Table1[[#This Row],[FECHA DE RECIBIDO]]-DATE(2023,8,30), "")</f>
        <v/>
      </c>
    </row>
    <row r="140" spans="1:37" ht="16.05" customHeight="1">
      <c r="A140" s="150" t="s">
        <v>1568</v>
      </c>
      <c r="B140" s="151">
        <v>107</v>
      </c>
      <c r="C140" s="126" t="s">
        <v>548</v>
      </c>
      <c r="D140">
        <v>102</v>
      </c>
      <c r="E140" s="126" t="s">
        <v>1603</v>
      </c>
      <c r="F140" s="122" t="s">
        <v>1589</v>
      </c>
      <c r="G140" s="122" t="s">
        <v>129</v>
      </c>
      <c r="H140">
        <v>28</v>
      </c>
      <c r="I140" s="122" t="s">
        <v>1546</v>
      </c>
      <c r="J140" s="307" t="s">
        <v>214</v>
      </c>
      <c r="K140" s="127" t="s">
        <v>1566</v>
      </c>
      <c r="L140" s="151" t="s">
        <v>110</v>
      </c>
      <c r="M140">
        <v>37</v>
      </c>
      <c r="N140" s="123">
        <v>14</v>
      </c>
      <c r="O140">
        <v>109</v>
      </c>
      <c r="P140" s="132" t="s">
        <v>77</v>
      </c>
      <c r="Q140" s="131">
        <v>47250</v>
      </c>
      <c r="R140" s="131">
        <v>7560</v>
      </c>
      <c r="S140" s="131"/>
      <c r="T140" s="155">
        <v>5040.03</v>
      </c>
      <c r="U140" s="131">
        <v>4725</v>
      </c>
      <c r="V140" s="131">
        <f t="shared" si="1"/>
        <v>45044.97</v>
      </c>
      <c r="W140">
        <v>30</v>
      </c>
      <c r="X140" s="151" t="s">
        <v>1432</v>
      </c>
      <c r="Y140" s="135" t="s">
        <v>55</v>
      </c>
      <c r="Z140" s="307">
        <v>170</v>
      </c>
      <c r="AB140" t="str">
        <f>IF(Table1[[#This Row],[TIPO2]]="costo", VLOOKUP(Table1[[#This Row],[PARTIDA PRESUPUESTAL]],'Cost Report'!G:G,1,0),"Balance")</f>
        <v>2206-003</v>
      </c>
      <c r="AC140" s="118"/>
      <c r="AD140" s="159">
        <f>+Table1[[#This Row],[SUBTOTAL]]+Table1[[#This Row],[IVA]]-Table1[[#This Row],[RET IVA]]-Table1[[#This Row],[RET ISR]]-Table1[[#This Row],[TOTAL]]</f>
        <v>0</v>
      </c>
      <c r="AE140" s="150"/>
      <c r="AF140" s="151"/>
      <c r="AG140" s="126"/>
      <c r="AK140" s="306" t="str">
        <f>IF(ISNUMBER(Table1[[#This Row],[FECHA DE RECIBIDO]]), Table1[[#This Row],[FECHA DE RECIBIDO]]-DATE(2023,8,30), "")</f>
        <v/>
      </c>
    </row>
    <row r="141" spans="1:37" ht="16.05" customHeight="1">
      <c r="A141" s="152" t="s">
        <v>1569</v>
      </c>
      <c r="B141" s="153">
        <v>108</v>
      </c>
      <c r="C141" s="126" t="s">
        <v>2136</v>
      </c>
      <c r="D141">
        <v>103</v>
      </c>
      <c r="E141" s="126" t="s">
        <v>1604</v>
      </c>
      <c r="F141" s="125" t="s">
        <v>1589</v>
      </c>
      <c r="G141" s="125" t="s">
        <v>129</v>
      </c>
      <c r="H141">
        <v>3</v>
      </c>
      <c r="I141" s="125" t="s">
        <v>1546</v>
      </c>
      <c r="J141" s="308" t="s">
        <v>214</v>
      </c>
      <c r="K141" s="127" t="s">
        <v>1570</v>
      </c>
      <c r="L141" s="153" t="s">
        <v>110</v>
      </c>
      <c r="M141">
        <v>3</v>
      </c>
      <c r="N141" s="123">
        <v>15</v>
      </c>
      <c r="O141">
        <v>110</v>
      </c>
      <c r="P141" s="132" t="s">
        <v>77</v>
      </c>
      <c r="Q141" s="132">
        <v>125000</v>
      </c>
      <c r="R141" s="132">
        <v>20000</v>
      </c>
      <c r="S141" s="132"/>
      <c r="T141" s="156">
        <v>13333.38</v>
      </c>
      <c r="U141" s="132">
        <v>12500</v>
      </c>
      <c r="V141" s="132">
        <f t="shared" si="1"/>
        <v>119166.62</v>
      </c>
      <c r="W141">
        <v>2</v>
      </c>
      <c r="X141" s="153" t="s">
        <v>1429</v>
      </c>
      <c r="Y141" s="124" t="s">
        <v>55</v>
      </c>
      <c r="Z141" s="308">
        <v>170</v>
      </c>
      <c r="AB141" t="str">
        <f>IF(Table1[[#This Row],[TIPO2]]="costo", VLOOKUP(Table1[[#This Row],[PARTIDA PRESUPUESTAL]],'Cost Report'!G:G,1,0),"Balance")</f>
        <v>1122-011</v>
      </c>
      <c r="AC141" s="118"/>
      <c r="AD141" s="159">
        <f>+Table1[[#This Row],[SUBTOTAL]]+Table1[[#This Row],[IVA]]-Table1[[#This Row],[RET IVA]]-Table1[[#This Row],[RET ISR]]-Table1[[#This Row],[TOTAL]]</f>
        <v>0</v>
      </c>
      <c r="AE141" s="152"/>
      <c r="AF141" s="153"/>
      <c r="AG141" s="126"/>
      <c r="AK141" s="306" t="str">
        <f>IF(ISNUMBER(Table1[[#This Row],[FECHA DE RECIBIDO]]), Table1[[#This Row],[FECHA DE RECIBIDO]]-DATE(2023,8,30), "")</f>
        <v/>
      </c>
    </row>
    <row r="142" spans="1:37" ht="16.05" customHeight="1">
      <c r="A142" s="150" t="s">
        <v>1571</v>
      </c>
      <c r="B142" s="151">
        <v>109</v>
      </c>
      <c r="C142" s="126" t="s">
        <v>2124</v>
      </c>
      <c r="D142">
        <v>104</v>
      </c>
      <c r="E142" s="126" t="s">
        <v>1604</v>
      </c>
      <c r="F142" s="122" t="s">
        <v>1589</v>
      </c>
      <c r="G142" s="122" t="s">
        <v>129</v>
      </c>
      <c r="H142">
        <v>3</v>
      </c>
      <c r="I142" s="122" t="s">
        <v>1546</v>
      </c>
      <c r="J142" s="307" t="s">
        <v>214</v>
      </c>
      <c r="K142" s="127" t="s">
        <v>1572</v>
      </c>
      <c r="L142" s="151" t="s">
        <v>110</v>
      </c>
      <c r="M142">
        <v>3</v>
      </c>
      <c r="N142" s="123">
        <v>15</v>
      </c>
      <c r="O142">
        <v>111</v>
      </c>
      <c r="P142" s="132" t="s">
        <v>77</v>
      </c>
      <c r="Q142" s="131">
        <v>210000</v>
      </c>
      <c r="R142" s="131">
        <v>33600</v>
      </c>
      <c r="S142" s="131"/>
      <c r="T142" s="155">
        <v>22400.07</v>
      </c>
      <c r="U142" s="131">
        <v>21000</v>
      </c>
      <c r="V142" s="131">
        <f t="shared" si="1"/>
        <v>200199.93</v>
      </c>
      <c r="W142">
        <v>2</v>
      </c>
      <c r="X142" s="151" t="s">
        <v>1429</v>
      </c>
      <c r="Y142" s="135" t="s">
        <v>55</v>
      </c>
      <c r="Z142" s="307">
        <v>170</v>
      </c>
      <c r="AB142" t="str">
        <f>IF(Table1[[#This Row],[TIPO2]]="costo", VLOOKUP(Table1[[#This Row],[PARTIDA PRESUPUESTAL]],'Cost Report'!G:G,1,0),"Balance")</f>
        <v>1101-041</v>
      </c>
      <c r="AC142" s="118"/>
      <c r="AD142" s="159">
        <f>+Table1[[#This Row],[SUBTOTAL]]+Table1[[#This Row],[IVA]]-Table1[[#This Row],[RET IVA]]-Table1[[#This Row],[RET ISR]]-Table1[[#This Row],[TOTAL]]</f>
        <v>0</v>
      </c>
      <c r="AE142" s="150"/>
      <c r="AF142" s="151"/>
      <c r="AG142" s="126"/>
      <c r="AK142" s="306" t="str">
        <f>IF(ISNUMBER(Table1[[#This Row],[FECHA DE RECIBIDO]]), Table1[[#This Row],[FECHA DE RECIBIDO]]-DATE(2023,8,30), "")</f>
        <v/>
      </c>
    </row>
    <row r="143" spans="1:37" ht="16.05" customHeight="1">
      <c r="A143" s="152" t="s">
        <v>1573</v>
      </c>
      <c r="B143" s="153">
        <v>110</v>
      </c>
      <c r="C143" s="126" t="s">
        <v>1816</v>
      </c>
      <c r="D143">
        <v>105</v>
      </c>
      <c r="E143" s="126" t="s">
        <v>1577</v>
      </c>
      <c r="F143" s="125" t="s">
        <v>1589</v>
      </c>
      <c r="G143" s="125" t="s">
        <v>129</v>
      </c>
      <c r="H143">
        <v>29</v>
      </c>
      <c r="I143" s="125" t="s">
        <v>1546</v>
      </c>
      <c r="J143" s="308" t="s">
        <v>214</v>
      </c>
      <c r="K143" s="127" t="s">
        <v>1562</v>
      </c>
      <c r="L143" s="153" t="s">
        <v>110</v>
      </c>
      <c r="M143">
        <v>38</v>
      </c>
      <c r="N143" s="123">
        <v>16</v>
      </c>
      <c r="O143">
        <v>112</v>
      </c>
      <c r="P143" s="132" t="s">
        <v>77</v>
      </c>
      <c r="Q143" s="132">
        <v>14000</v>
      </c>
      <c r="R143" s="132">
        <v>2240</v>
      </c>
      <c r="S143" s="132"/>
      <c r="T143" s="156">
        <v>1493.34</v>
      </c>
      <c r="U143" s="132">
        <v>1400</v>
      </c>
      <c r="V143" s="132">
        <f t="shared" si="1"/>
        <v>13346.66</v>
      </c>
      <c r="W143">
        <v>31</v>
      </c>
      <c r="X143" s="153" t="s">
        <v>1429</v>
      </c>
      <c r="Y143" s="124" t="s">
        <v>55</v>
      </c>
      <c r="Z143" s="308">
        <v>170</v>
      </c>
      <c r="AB143" t="str">
        <f>IF(Table1[[#This Row],[TIPO2]]="costo", VLOOKUP(Table1[[#This Row],[PARTIDA PRESUPUESTAL]],'Cost Report'!G:G,1,0),"Balance")</f>
        <v>2705-003</v>
      </c>
      <c r="AC143" s="118"/>
      <c r="AD143" s="159">
        <f>+Table1[[#This Row],[SUBTOTAL]]+Table1[[#This Row],[IVA]]-Table1[[#This Row],[RET IVA]]-Table1[[#This Row],[RET ISR]]-Table1[[#This Row],[TOTAL]]</f>
        <v>0</v>
      </c>
      <c r="AE143" s="152"/>
      <c r="AF143" s="153"/>
      <c r="AG143" s="126"/>
      <c r="AK143" s="306" t="str">
        <f>IF(ISNUMBER(Table1[[#This Row],[FECHA DE RECIBIDO]]), Table1[[#This Row],[FECHA DE RECIBIDO]]-DATE(2023,8,30), "")</f>
        <v/>
      </c>
    </row>
    <row r="144" spans="1:37" ht="16.05" customHeight="1">
      <c r="A144" s="150" t="s">
        <v>1574</v>
      </c>
      <c r="B144" s="151">
        <v>111</v>
      </c>
      <c r="C144" s="126" t="s">
        <v>1816</v>
      </c>
      <c r="D144">
        <v>106</v>
      </c>
      <c r="E144" s="126" t="s">
        <v>1577</v>
      </c>
      <c r="F144" s="122" t="s">
        <v>1589</v>
      </c>
      <c r="G144" s="122" t="s">
        <v>129</v>
      </c>
      <c r="H144">
        <v>29</v>
      </c>
      <c r="I144" s="122" t="s">
        <v>1546</v>
      </c>
      <c r="J144" s="307" t="s">
        <v>214</v>
      </c>
      <c r="K144" s="127" t="s">
        <v>1551</v>
      </c>
      <c r="L144" s="151" t="s">
        <v>110</v>
      </c>
      <c r="M144">
        <v>38</v>
      </c>
      <c r="N144" s="123">
        <v>16</v>
      </c>
      <c r="O144">
        <v>113</v>
      </c>
      <c r="P144" s="132" t="s">
        <v>77</v>
      </c>
      <c r="Q144" s="131">
        <v>14000</v>
      </c>
      <c r="R144" s="131">
        <v>2240</v>
      </c>
      <c r="S144" s="131"/>
      <c r="T144" s="155">
        <v>1493.34</v>
      </c>
      <c r="U144" s="131">
        <v>1400</v>
      </c>
      <c r="V144" s="131">
        <f t="shared" si="1"/>
        <v>13346.66</v>
      </c>
      <c r="W144">
        <v>31</v>
      </c>
      <c r="X144" s="151" t="s">
        <v>1429</v>
      </c>
      <c r="Y144" s="135" t="s">
        <v>55</v>
      </c>
      <c r="Z144" s="307">
        <v>170</v>
      </c>
      <c r="AB144" t="str">
        <f>IF(Table1[[#This Row],[TIPO2]]="costo", VLOOKUP(Table1[[#This Row],[PARTIDA PRESUPUESTAL]],'Cost Report'!G:G,1,0),"Balance")</f>
        <v>2705-003</v>
      </c>
      <c r="AC144" s="118"/>
      <c r="AD144" s="159">
        <f>+Table1[[#This Row],[SUBTOTAL]]+Table1[[#This Row],[IVA]]-Table1[[#This Row],[RET IVA]]-Table1[[#This Row],[RET ISR]]-Table1[[#This Row],[TOTAL]]</f>
        <v>0</v>
      </c>
      <c r="AE144" s="150"/>
      <c r="AF144" s="151"/>
      <c r="AG144" s="126"/>
      <c r="AK144" s="306" t="str">
        <f>IF(ISNUMBER(Table1[[#This Row],[FECHA DE RECIBIDO]]), Table1[[#This Row],[FECHA DE RECIBIDO]]-DATE(2023,8,30), "")</f>
        <v/>
      </c>
    </row>
    <row r="145" spans="1:37" ht="16.05" customHeight="1">
      <c r="A145" s="152" t="s">
        <v>1575</v>
      </c>
      <c r="B145" s="153">
        <v>112</v>
      </c>
      <c r="C145" s="126" t="s">
        <v>1816</v>
      </c>
      <c r="D145">
        <v>107</v>
      </c>
      <c r="E145" s="126" t="s">
        <v>1577</v>
      </c>
      <c r="F145" s="125" t="s">
        <v>1589</v>
      </c>
      <c r="G145" s="125" t="s">
        <v>129</v>
      </c>
      <c r="H145">
        <v>29</v>
      </c>
      <c r="I145" s="125" t="s">
        <v>1546</v>
      </c>
      <c r="J145" s="308" t="s">
        <v>214</v>
      </c>
      <c r="K145" s="127" t="s">
        <v>1553</v>
      </c>
      <c r="L145" s="153" t="s">
        <v>110</v>
      </c>
      <c r="M145">
        <v>38</v>
      </c>
      <c r="N145" s="123">
        <v>16</v>
      </c>
      <c r="O145">
        <v>114</v>
      </c>
      <c r="P145" s="132" t="s">
        <v>77</v>
      </c>
      <c r="Q145" s="132">
        <v>14000</v>
      </c>
      <c r="R145" s="132">
        <v>2240</v>
      </c>
      <c r="S145" s="132"/>
      <c r="T145" s="156">
        <v>1493.34</v>
      </c>
      <c r="U145" s="132">
        <v>1400</v>
      </c>
      <c r="V145" s="132">
        <f t="shared" si="1"/>
        <v>13346.66</v>
      </c>
      <c r="W145">
        <v>31</v>
      </c>
      <c r="X145" s="153" t="s">
        <v>1429</v>
      </c>
      <c r="Y145" s="124" t="s">
        <v>55</v>
      </c>
      <c r="Z145" s="308">
        <v>170</v>
      </c>
      <c r="AB145" t="str">
        <f>IF(Table1[[#This Row],[TIPO2]]="costo", VLOOKUP(Table1[[#This Row],[PARTIDA PRESUPUESTAL]],'Cost Report'!G:G,1,0),"Balance")</f>
        <v>2705-003</v>
      </c>
      <c r="AC145" s="118"/>
      <c r="AD145" s="159">
        <f>+Table1[[#This Row],[SUBTOTAL]]+Table1[[#This Row],[IVA]]-Table1[[#This Row],[RET IVA]]-Table1[[#This Row],[RET ISR]]-Table1[[#This Row],[TOTAL]]</f>
        <v>0</v>
      </c>
      <c r="AE145" s="152"/>
      <c r="AF145" s="153"/>
      <c r="AG145" s="126"/>
      <c r="AK145" s="306" t="str">
        <f>IF(ISNUMBER(Table1[[#This Row],[FECHA DE RECIBIDO]]), Table1[[#This Row],[FECHA DE RECIBIDO]]-DATE(2023,8,30), "")</f>
        <v/>
      </c>
    </row>
    <row r="146" spans="1:37" ht="16.05" customHeight="1">
      <c r="A146" s="150" t="s">
        <v>1580</v>
      </c>
      <c r="B146" s="151">
        <v>113</v>
      </c>
      <c r="C146" s="126" t="s">
        <v>467</v>
      </c>
      <c r="D146">
        <v>108</v>
      </c>
      <c r="E146" s="126" t="s">
        <v>1605</v>
      </c>
      <c r="F146" s="122">
        <v>601</v>
      </c>
      <c r="G146" s="122" t="s">
        <v>134</v>
      </c>
      <c r="H146">
        <v>5</v>
      </c>
      <c r="I146" s="122" t="s">
        <v>1546</v>
      </c>
      <c r="J146" s="307">
        <v>161.70458333333227</v>
      </c>
      <c r="K146" s="127" t="s">
        <v>1547</v>
      </c>
      <c r="L146" s="151" t="s">
        <v>118</v>
      </c>
      <c r="M146">
        <v>5</v>
      </c>
      <c r="N146" s="123">
        <v>0</v>
      </c>
      <c r="O146">
        <v>115</v>
      </c>
      <c r="P146" s="132" t="s">
        <v>77</v>
      </c>
      <c r="Q146" s="131">
        <v>69000</v>
      </c>
      <c r="R146" s="131">
        <v>11040</v>
      </c>
      <c r="S146" s="131"/>
      <c r="T146" s="155">
        <v>0</v>
      </c>
      <c r="U146" s="131">
        <v>0</v>
      </c>
      <c r="V146" s="131">
        <v>80040</v>
      </c>
      <c r="W146">
        <v>4</v>
      </c>
      <c r="X146" s="151" t="s">
        <v>1489</v>
      </c>
      <c r="Y146" s="135" t="s">
        <v>55</v>
      </c>
      <c r="Z146" s="307">
        <v>170</v>
      </c>
      <c r="AB146" t="str">
        <f>IF(Table1[[#This Row],[TIPO2]]="costo", VLOOKUP(Table1[[#This Row],[PARTIDA PRESUPUESTAL]],'Cost Report'!G:G,1,0),"Balance")</f>
        <v>2010-011</v>
      </c>
      <c r="AC146" s="118"/>
      <c r="AD146" s="159">
        <f>+Table1[[#This Row],[SUBTOTAL]]+Table1[[#This Row],[IVA]]-Table1[[#This Row],[RET IVA]]-Table1[[#This Row],[RET ISR]]-Table1[[#This Row],[TOTAL]]</f>
        <v>0</v>
      </c>
      <c r="AE146" s="150"/>
      <c r="AF146" s="151"/>
      <c r="AG146" s="126"/>
      <c r="AK146" s="306">
        <f>IF(ISNUMBER(Table1[[#This Row],[FECHA DE RECIBIDO]]), Table1[[#This Row],[FECHA DE RECIBIDO]]-DATE(2023,8,30), "")</f>
        <v>-45006.295416666668</v>
      </c>
    </row>
    <row r="147" spans="1:37" ht="16.05" customHeight="1">
      <c r="A147" s="152" t="s">
        <v>1580</v>
      </c>
      <c r="B147" s="153">
        <v>113</v>
      </c>
      <c r="C147" s="126" t="s">
        <v>2394</v>
      </c>
      <c r="D147">
        <v>108</v>
      </c>
      <c r="E147" s="126" t="s">
        <v>1605</v>
      </c>
      <c r="F147" s="125">
        <v>601</v>
      </c>
      <c r="G147" s="125" t="s">
        <v>134</v>
      </c>
      <c r="H147">
        <v>5</v>
      </c>
      <c r="I147" s="125" t="s">
        <v>1546</v>
      </c>
      <c r="J147" s="308">
        <v>161.70458333333227</v>
      </c>
      <c r="K147" s="127" t="s">
        <v>1547</v>
      </c>
      <c r="L147" s="153" t="s">
        <v>118</v>
      </c>
      <c r="M147">
        <v>5</v>
      </c>
      <c r="N147" s="123">
        <v>0</v>
      </c>
      <c r="O147">
        <v>115</v>
      </c>
      <c r="P147" s="132" t="s">
        <v>77</v>
      </c>
      <c r="Q147" s="132">
        <v>36000</v>
      </c>
      <c r="R147" s="132">
        <v>5760</v>
      </c>
      <c r="S147" s="132"/>
      <c r="T147" s="156">
        <v>0</v>
      </c>
      <c r="U147" s="132">
        <v>0</v>
      </c>
      <c r="V147" s="132">
        <v>41760</v>
      </c>
      <c r="W147">
        <v>4</v>
      </c>
      <c r="X147" s="153" t="s">
        <v>1489</v>
      </c>
      <c r="Y147" s="124" t="s">
        <v>55</v>
      </c>
      <c r="Z147" s="308">
        <v>170</v>
      </c>
      <c r="AB147" t="str">
        <f>IF(Table1[[#This Row],[TIPO2]]="costo", VLOOKUP(Table1[[#This Row],[PARTIDA PRESUPUESTAL]],'Cost Report'!G:G,1,0),"Balance")</f>
        <v>2011-004</v>
      </c>
      <c r="AC147" s="118"/>
      <c r="AD147" s="159">
        <f>+Table1[[#This Row],[SUBTOTAL]]+Table1[[#This Row],[IVA]]-Table1[[#This Row],[RET IVA]]-Table1[[#This Row],[RET ISR]]-Table1[[#This Row],[TOTAL]]</f>
        <v>0</v>
      </c>
      <c r="AE147" s="152"/>
      <c r="AF147" s="153"/>
      <c r="AG147" s="126"/>
      <c r="AK147" s="306">
        <f>IF(ISNUMBER(Table1[[#This Row],[FECHA DE RECIBIDO]]), Table1[[#This Row],[FECHA DE RECIBIDO]]-DATE(2023,8,30), "")</f>
        <v>-45006.295416666668</v>
      </c>
    </row>
    <row r="148" spans="1:37" ht="16.05" customHeight="1">
      <c r="A148" s="150" t="s">
        <v>1580</v>
      </c>
      <c r="B148" s="151">
        <v>113</v>
      </c>
      <c r="C148" s="126" t="s">
        <v>2400</v>
      </c>
      <c r="D148">
        <v>108</v>
      </c>
      <c r="E148" s="126" t="s">
        <v>1605</v>
      </c>
      <c r="F148" s="122">
        <v>601</v>
      </c>
      <c r="G148" s="122" t="s">
        <v>134</v>
      </c>
      <c r="H148">
        <v>5</v>
      </c>
      <c r="I148" s="122" t="s">
        <v>1546</v>
      </c>
      <c r="J148" s="307">
        <v>161.70458333333227</v>
      </c>
      <c r="K148" s="127" t="s">
        <v>1547</v>
      </c>
      <c r="L148" s="151" t="s">
        <v>118</v>
      </c>
      <c r="M148">
        <v>5</v>
      </c>
      <c r="N148" s="123">
        <v>0</v>
      </c>
      <c r="O148">
        <v>115</v>
      </c>
      <c r="P148" s="132" t="s">
        <v>77</v>
      </c>
      <c r="Q148" s="131">
        <v>30000</v>
      </c>
      <c r="R148" s="131">
        <v>4800</v>
      </c>
      <c r="S148" s="131"/>
      <c r="T148" s="155">
        <v>0</v>
      </c>
      <c r="U148" s="131">
        <v>0</v>
      </c>
      <c r="V148" s="131">
        <v>34800</v>
      </c>
      <c r="W148">
        <v>4</v>
      </c>
      <c r="X148" s="151" t="s">
        <v>1489</v>
      </c>
      <c r="Y148" s="135" t="s">
        <v>55</v>
      </c>
      <c r="Z148" s="307">
        <v>170</v>
      </c>
      <c r="AB148" t="str">
        <f>IF(Table1[[#This Row],[TIPO2]]="costo", VLOOKUP(Table1[[#This Row],[PARTIDA PRESUPUESTAL]],'Cost Report'!G:G,1,0),"Balance")</f>
        <v>2011-012</v>
      </c>
      <c r="AC148" s="118"/>
      <c r="AD148" s="159">
        <f>+Table1[[#This Row],[SUBTOTAL]]+Table1[[#This Row],[IVA]]-Table1[[#This Row],[RET IVA]]-Table1[[#This Row],[RET ISR]]-Table1[[#This Row],[TOTAL]]</f>
        <v>0</v>
      </c>
      <c r="AE148" s="150"/>
      <c r="AF148" s="151"/>
      <c r="AG148" s="126"/>
      <c r="AK148" s="306">
        <f>IF(ISNUMBER(Table1[[#This Row],[FECHA DE RECIBIDO]]), Table1[[#This Row],[FECHA DE RECIBIDO]]-DATE(2023,8,30), "")</f>
        <v>-45006.295416666668</v>
      </c>
    </row>
    <row r="149" spans="1:37" ht="16.05" customHeight="1">
      <c r="A149" s="152" t="s">
        <v>1578</v>
      </c>
      <c r="B149" s="153">
        <v>114</v>
      </c>
      <c r="C149" s="126" t="s">
        <v>2749</v>
      </c>
      <c r="D149">
        <v>109</v>
      </c>
      <c r="E149" s="126" t="s">
        <v>1606</v>
      </c>
      <c r="F149" s="125" t="s">
        <v>1607</v>
      </c>
      <c r="G149" s="125" t="s">
        <v>134</v>
      </c>
      <c r="H149">
        <v>30</v>
      </c>
      <c r="I149" s="125" t="s">
        <v>1546</v>
      </c>
      <c r="J149" s="308" t="s">
        <v>214</v>
      </c>
      <c r="K149" s="127" t="s">
        <v>1553</v>
      </c>
      <c r="L149" s="153" t="s">
        <v>1579</v>
      </c>
      <c r="M149">
        <v>39</v>
      </c>
      <c r="N149" s="123">
        <v>17</v>
      </c>
      <c r="O149">
        <v>116</v>
      </c>
      <c r="P149" s="132" t="s">
        <v>77</v>
      </c>
      <c r="Q149" s="132">
        <v>335.34</v>
      </c>
      <c r="R149" s="132">
        <v>53.66</v>
      </c>
      <c r="S149" s="132"/>
      <c r="T149" s="156">
        <v>0</v>
      </c>
      <c r="U149" s="132">
        <v>0</v>
      </c>
      <c r="V149" s="132">
        <f t="shared" si="1"/>
        <v>389</v>
      </c>
      <c r="W149">
        <v>6</v>
      </c>
      <c r="X149" s="153" t="s">
        <v>1484</v>
      </c>
      <c r="Y149" s="124" t="s">
        <v>55</v>
      </c>
      <c r="Z149" s="308">
        <v>170</v>
      </c>
      <c r="AB149" t="str">
        <f>IF(Table1[[#This Row],[TIPO2]]="costo", VLOOKUP(Table1[[#This Row],[PARTIDA PRESUPUESTAL]],'Cost Report'!G:G,1,0),"Balance")</f>
        <v>3401-011</v>
      </c>
      <c r="AC149" s="118"/>
      <c r="AD149" s="159">
        <f>+Table1[[#This Row],[SUBTOTAL]]+Table1[[#This Row],[IVA]]-Table1[[#This Row],[RET IVA]]-Table1[[#This Row],[RET ISR]]-Table1[[#This Row],[TOTAL]]</f>
        <v>0</v>
      </c>
      <c r="AE149" s="152"/>
      <c r="AF149" s="153"/>
      <c r="AG149" s="126"/>
      <c r="AK149" s="306" t="str">
        <f>IF(ISNUMBER(Table1[[#This Row],[FECHA DE RECIBIDO]]), Table1[[#This Row],[FECHA DE RECIBIDO]]-DATE(2023,8,30), "")</f>
        <v/>
      </c>
    </row>
    <row r="150" spans="1:37" ht="16.05" customHeight="1">
      <c r="A150" s="150" t="s">
        <v>1578</v>
      </c>
      <c r="B150" s="151">
        <v>114</v>
      </c>
      <c r="C150" s="126" t="s">
        <v>2749</v>
      </c>
      <c r="D150">
        <v>110</v>
      </c>
      <c r="E150" s="126" t="s">
        <v>1608</v>
      </c>
      <c r="F150" s="122" t="s">
        <v>1382</v>
      </c>
      <c r="G150" s="122" t="s">
        <v>134</v>
      </c>
      <c r="H150">
        <v>31</v>
      </c>
      <c r="I150" s="122" t="s">
        <v>1546</v>
      </c>
      <c r="J150" s="307" t="s">
        <v>214</v>
      </c>
      <c r="K150" s="127" t="s">
        <v>1553</v>
      </c>
      <c r="L150" s="151" t="s">
        <v>1579</v>
      </c>
      <c r="M150">
        <v>40</v>
      </c>
      <c r="N150" s="123">
        <v>17</v>
      </c>
      <c r="O150">
        <v>117</v>
      </c>
      <c r="P150" s="132" t="s">
        <v>77</v>
      </c>
      <c r="Q150" s="131">
        <v>104.84</v>
      </c>
      <c r="R150" s="131">
        <v>4.66</v>
      </c>
      <c r="S150" s="131"/>
      <c r="T150" s="155">
        <v>0</v>
      </c>
      <c r="U150" s="131">
        <v>0</v>
      </c>
      <c r="V150" s="131">
        <f t="shared" si="1"/>
        <v>109.5</v>
      </c>
      <c r="W150">
        <v>6</v>
      </c>
      <c r="X150" s="151" t="s">
        <v>1484</v>
      </c>
      <c r="Y150" s="135" t="s">
        <v>55</v>
      </c>
      <c r="Z150" s="307">
        <v>170</v>
      </c>
      <c r="AB150" t="str">
        <f>IF(Table1[[#This Row],[TIPO2]]="costo", VLOOKUP(Table1[[#This Row],[PARTIDA PRESUPUESTAL]],'Cost Report'!G:G,1,0),"Balance")</f>
        <v>3401-011</v>
      </c>
      <c r="AC150" s="118"/>
      <c r="AD150" s="159">
        <f>+Table1[[#This Row],[SUBTOTAL]]+Table1[[#This Row],[IVA]]-Table1[[#This Row],[RET IVA]]-Table1[[#This Row],[RET ISR]]-Table1[[#This Row],[TOTAL]]</f>
        <v>0</v>
      </c>
      <c r="AE150" s="150"/>
      <c r="AF150" s="151"/>
      <c r="AG150" s="126"/>
      <c r="AK150" s="306" t="str">
        <f>IF(ISNUMBER(Table1[[#This Row],[FECHA DE RECIBIDO]]), Table1[[#This Row],[FECHA DE RECIBIDO]]-DATE(2023,8,30), "")</f>
        <v/>
      </c>
    </row>
    <row r="151" spans="1:37" ht="16.05" customHeight="1">
      <c r="A151" s="152" t="s">
        <v>1578</v>
      </c>
      <c r="B151" s="153">
        <v>114</v>
      </c>
      <c r="C151" s="126" t="s">
        <v>2749</v>
      </c>
      <c r="D151">
        <v>111</v>
      </c>
      <c r="E151" s="126" t="s">
        <v>1609</v>
      </c>
      <c r="F151" s="125" t="s">
        <v>1607</v>
      </c>
      <c r="G151" s="125" t="s">
        <v>134</v>
      </c>
      <c r="H151">
        <v>32</v>
      </c>
      <c r="I151" s="125" t="s">
        <v>1546</v>
      </c>
      <c r="J151" s="308" t="s">
        <v>214</v>
      </c>
      <c r="K151" s="127" t="s">
        <v>1553</v>
      </c>
      <c r="L151" s="153" t="s">
        <v>1579</v>
      </c>
      <c r="M151">
        <v>41</v>
      </c>
      <c r="N151" s="123">
        <v>17</v>
      </c>
      <c r="O151">
        <v>118</v>
      </c>
      <c r="P151" s="132" t="s">
        <v>77</v>
      </c>
      <c r="Q151" s="132">
        <v>212.07</v>
      </c>
      <c r="R151" s="132">
        <v>33.93</v>
      </c>
      <c r="S151" s="132"/>
      <c r="T151" s="156">
        <v>0</v>
      </c>
      <c r="U151" s="132">
        <v>0</v>
      </c>
      <c r="V151" s="132">
        <f t="shared" si="1"/>
        <v>246</v>
      </c>
      <c r="W151">
        <v>6</v>
      </c>
      <c r="X151" s="153" t="s">
        <v>1484</v>
      </c>
      <c r="Y151" s="124" t="s">
        <v>55</v>
      </c>
      <c r="Z151" s="308">
        <v>170</v>
      </c>
      <c r="AB151" t="str">
        <f>IF(Table1[[#This Row],[TIPO2]]="costo", VLOOKUP(Table1[[#This Row],[PARTIDA PRESUPUESTAL]],'Cost Report'!G:G,1,0),"Balance")</f>
        <v>3401-011</v>
      </c>
      <c r="AC151" s="118"/>
      <c r="AD151" s="159">
        <f>+Table1[[#This Row],[SUBTOTAL]]+Table1[[#This Row],[IVA]]-Table1[[#This Row],[RET IVA]]-Table1[[#This Row],[RET ISR]]-Table1[[#This Row],[TOTAL]]</f>
        <v>0</v>
      </c>
      <c r="AE151" s="152"/>
      <c r="AF151" s="153"/>
      <c r="AG151" s="126"/>
      <c r="AK151" s="306" t="str">
        <f>IF(ISNUMBER(Table1[[#This Row],[FECHA DE RECIBIDO]]), Table1[[#This Row],[FECHA DE RECIBIDO]]-DATE(2023,8,30), "")</f>
        <v/>
      </c>
    </row>
    <row r="152" spans="1:37" ht="16.05" customHeight="1">
      <c r="A152" s="150" t="s">
        <v>1578</v>
      </c>
      <c r="B152" s="151">
        <v>114</v>
      </c>
      <c r="C152" s="126" t="s">
        <v>2749</v>
      </c>
      <c r="D152">
        <v>112</v>
      </c>
      <c r="E152" s="126" t="s">
        <v>1610</v>
      </c>
      <c r="F152" s="122" t="s">
        <v>1382</v>
      </c>
      <c r="G152" s="122" t="s">
        <v>134</v>
      </c>
      <c r="H152">
        <v>31</v>
      </c>
      <c r="I152" s="122" t="s">
        <v>1546</v>
      </c>
      <c r="J152" s="307" t="s">
        <v>214</v>
      </c>
      <c r="K152" s="127" t="s">
        <v>1553</v>
      </c>
      <c r="L152" s="151" t="s">
        <v>1579</v>
      </c>
      <c r="M152">
        <v>40</v>
      </c>
      <c r="N152" s="123">
        <v>17</v>
      </c>
      <c r="O152">
        <v>119</v>
      </c>
      <c r="P152" s="132" t="s">
        <v>77</v>
      </c>
      <c r="Q152" s="131">
        <v>101.78</v>
      </c>
      <c r="R152" s="131">
        <v>6.72</v>
      </c>
      <c r="S152" s="131"/>
      <c r="T152" s="155">
        <v>0</v>
      </c>
      <c r="U152" s="131">
        <v>0</v>
      </c>
      <c r="V152" s="131">
        <f t="shared" si="1"/>
        <v>108.5</v>
      </c>
      <c r="W152">
        <v>6</v>
      </c>
      <c r="X152" s="151" t="s">
        <v>1484</v>
      </c>
      <c r="Y152" s="135" t="s">
        <v>55</v>
      </c>
      <c r="Z152" s="307">
        <v>170</v>
      </c>
      <c r="AB152" t="str">
        <f>IF(Table1[[#This Row],[TIPO2]]="costo", VLOOKUP(Table1[[#This Row],[PARTIDA PRESUPUESTAL]],'Cost Report'!G:G,1,0),"Balance")</f>
        <v>3401-011</v>
      </c>
      <c r="AC152" s="118"/>
      <c r="AD152" s="159">
        <f>+Table1[[#This Row],[SUBTOTAL]]+Table1[[#This Row],[IVA]]-Table1[[#This Row],[RET IVA]]-Table1[[#This Row],[RET ISR]]-Table1[[#This Row],[TOTAL]]</f>
        <v>0</v>
      </c>
      <c r="AE152" s="150"/>
      <c r="AF152" s="151"/>
      <c r="AG152" s="126"/>
      <c r="AK152" s="306" t="str">
        <f>IF(ISNUMBER(Table1[[#This Row],[FECHA DE RECIBIDO]]), Table1[[#This Row],[FECHA DE RECIBIDO]]-DATE(2023,8,30), "")</f>
        <v/>
      </c>
    </row>
    <row r="153" spans="1:37" ht="16.05" customHeight="1">
      <c r="A153" s="152" t="s">
        <v>1578</v>
      </c>
      <c r="B153" s="153">
        <v>114</v>
      </c>
      <c r="C153" s="126" t="s">
        <v>2749</v>
      </c>
      <c r="D153">
        <v>113</v>
      </c>
      <c r="E153" s="126" t="s">
        <v>1611</v>
      </c>
      <c r="F153" s="125" t="s">
        <v>1382</v>
      </c>
      <c r="G153" s="125" t="s">
        <v>134</v>
      </c>
      <c r="H153">
        <v>31</v>
      </c>
      <c r="I153" s="125" t="s">
        <v>1546</v>
      </c>
      <c r="J153" s="308" t="s">
        <v>214</v>
      </c>
      <c r="K153" s="127" t="s">
        <v>1553</v>
      </c>
      <c r="L153" s="153" t="s">
        <v>1579</v>
      </c>
      <c r="M153">
        <v>40</v>
      </c>
      <c r="N153" s="123">
        <v>17</v>
      </c>
      <c r="O153">
        <v>120</v>
      </c>
      <c r="P153" s="132" t="s">
        <v>77</v>
      </c>
      <c r="Q153" s="132">
        <v>54.96</v>
      </c>
      <c r="R153" s="132">
        <v>2.04</v>
      </c>
      <c r="S153" s="132"/>
      <c r="T153" s="156">
        <v>0</v>
      </c>
      <c r="U153" s="132">
        <v>0</v>
      </c>
      <c r="V153" s="132">
        <f t="shared" si="1"/>
        <v>57</v>
      </c>
      <c r="W153">
        <v>6</v>
      </c>
      <c r="X153" s="153" t="s">
        <v>1484</v>
      </c>
      <c r="Y153" s="124" t="s">
        <v>55</v>
      </c>
      <c r="Z153" s="308">
        <v>170</v>
      </c>
      <c r="AB153" t="str">
        <f>IF(Table1[[#This Row],[TIPO2]]="costo", VLOOKUP(Table1[[#This Row],[PARTIDA PRESUPUESTAL]],'Cost Report'!G:G,1,0),"Balance")</f>
        <v>3401-011</v>
      </c>
      <c r="AC153" s="118"/>
      <c r="AD153" s="159">
        <f>+Table1[[#This Row],[SUBTOTAL]]+Table1[[#This Row],[IVA]]-Table1[[#This Row],[RET IVA]]-Table1[[#This Row],[RET ISR]]-Table1[[#This Row],[TOTAL]]</f>
        <v>0</v>
      </c>
      <c r="AE153" s="152"/>
      <c r="AF153" s="153"/>
      <c r="AG153" s="126"/>
      <c r="AK153" s="306" t="str">
        <f>IF(ISNUMBER(Table1[[#This Row],[FECHA DE RECIBIDO]]), Table1[[#This Row],[FECHA DE RECIBIDO]]-DATE(2023,8,30), "")</f>
        <v/>
      </c>
    </row>
    <row r="154" spans="1:37" ht="16.05" customHeight="1">
      <c r="A154" s="150" t="s">
        <v>1578</v>
      </c>
      <c r="B154" s="151">
        <v>114</v>
      </c>
      <c r="C154" s="126" t="s">
        <v>2749</v>
      </c>
      <c r="D154">
        <v>114</v>
      </c>
      <c r="E154" s="126" t="s">
        <v>1612</v>
      </c>
      <c r="F154" s="122" t="s">
        <v>1607</v>
      </c>
      <c r="G154" s="122" t="s">
        <v>134</v>
      </c>
      <c r="H154">
        <v>33</v>
      </c>
      <c r="I154" s="122" t="s">
        <v>1546</v>
      </c>
      <c r="J154" s="307" t="s">
        <v>214</v>
      </c>
      <c r="K154" s="127" t="s">
        <v>1553</v>
      </c>
      <c r="L154" s="151" t="s">
        <v>1579</v>
      </c>
      <c r="M154">
        <v>42</v>
      </c>
      <c r="N154" s="123">
        <v>17</v>
      </c>
      <c r="O154">
        <v>121</v>
      </c>
      <c r="P154" s="132" t="s">
        <v>77</v>
      </c>
      <c r="Q154" s="131">
        <v>518.1</v>
      </c>
      <c r="R154" s="131">
        <v>82.91</v>
      </c>
      <c r="S154" s="131"/>
      <c r="T154" s="155">
        <v>0</v>
      </c>
      <c r="U154" s="131">
        <v>0</v>
      </c>
      <c r="V154" s="131">
        <f t="shared" si="1"/>
        <v>601.01</v>
      </c>
      <c r="W154">
        <v>6</v>
      </c>
      <c r="X154" s="151" t="s">
        <v>1484</v>
      </c>
      <c r="Y154" s="135" t="s">
        <v>55</v>
      </c>
      <c r="Z154" s="307">
        <v>170</v>
      </c>
      <c r="AB154" t="str">
        <f>IF(Table1[[#This Row],[TIPO2]]="costo", VLOOKUP(Table1[[#This Row],[PARTIDA PRESUPUESTAL]],'Cost Report'!G:G,1,0),"Balance")</f>
        <v>3401-011</v>
      </c>
      <c r="AC154" s="118"/>
      <c r="AD154" s="159">
        <f>+Table1[[#This Row],[SUBTOTAL]]+Table1[[#This Row],[IVA]]-Table1[[#This Row],[RET IVA]]-Table1[[#This Row],[RET ISR]]-Table1[[#This Row],[TOTAL]]</f>
        <v>0</v>
      </c>
      <c r="AE154" s="150"/>
      <c r="AF154" s="151"/>
      <c r="AG154" s="126"/>
      <c r="AK154" s="306" t="str">
        <f>IF(ISNUMBER(Table1[[#This Row],[FECHA DE RECIBIDO]]), Table1[[#This Row],[FECHA DE RECIBIDO]]-DATE(2023,8,30), "")</f>
        <v/>
      </c>
    </row>
    <row r="155" spans="1:37" ht="16.05" customHeight="1">
      <c r="A155" s="152" t="s">
        <v>1578</v>
      </c>
      <c r="B155" s="153">
        <v>114</v>
      </c>
      <c r="C155" s="126" t="s">
        <v>2749</v>
      </c>
      <c r="D155">
        <v>115</v>
      </c>
      <c r="E155" s="126" t="s">
        <v>1613</v>
      </c>
      <c r="F155" s="125" t="s">
        <v>1382</v>
      </c>
      <c r="G155" s="125" t="s">
        <v>134</v>
      </c>
      <c r="H155">
        <v>31</v>
      </c>
      <c r="I155" s="125" t="s">
        <v>1546</v>
      </c>
      <c r="J155" s="308" t="s">
        <v>214</v>
      </c>
      <c r="K155" s="127" t="s">
        <v>1553</v>
      </c>
      <c r="L155" s="153" t="s">
        <v>1579</v>
      </c>
      <c r="M155">
        <v>40</v>
      </c>
      <c r="N155" s="123">
        <v>17</v>
      </c>
      <c r="O155">
        <v>122</v>
      </c>
      <c r="P155" s="132" t="s">
        <v>77</v>
      </c>
      <c r="Q155" s="132">
        <v>68.67</v>
      </c>
      <c r="R155" s="132">
        <v>4.33</v>
      </c>
      <c r="S155" s="132"/>
      <c r="T155" s="156">
        <v>0</v>
      </c>
      <c r="U155" s="132">
        <v>0</v>
      </c>
      <c r="V155" s="132">
        <f t="shared" si="1"/>
        <v>73</v>
      </c>
      <c r="W155">
        <v>6</v>
      </c>
      <c r="X155" s="153" t="s">
        <v>1484</v>
      </c>
      <c r="Y155" s="124" t="s">
        <v>55</v>
      </c>
      <c r="Z155" s="308">
        <v>170</v>
      </c>
      <c r="AB155" t="str">
        <f>IF(Table1[[#This Row],[TIPO2]]="costo", VLOOKUP(Table1[[#This Row],[PARTIDA PRESUPUESTAL]],'Cost Report'!G:G,1,0),"Balance")</f>
        <v>3401-011</v>
      </c>
      <c r="AC155" s="118"/>
      <c r="AD155" s="159">
        <f>+Table1[[#This Row],[SUBTOTAL]]+Table1[[#This Row],[IVA]]-Table1[[#This Row],[RET IVA]]-Table1[[#This Row],[RET ISR]]-Table1[[#This Row],[TOTAL]]</f>
        <v>0</v>
      </c>
      <c r="AE155" s="152"/>
      <c r="AF155" s="153"/>
      <c r="AG155" s="126"/>
      <c r="AK155" s="306" t="str">
        <f>IF(ISNUMBER(Table1[[#This Row],[FECHA DE RECIBIDO]]), Table1[[#This Row],[FECHA DE RECIBIDO]]-DATE(2023,8,30), "")</f>
        <v/>
      </c>
    </row>
    <row r="156" spans="1:37">
      <c r="A156" s="150" t="s">
        <v>1578</v>
      </c>
      <c r="B156" s="151">
        <v>114</v>
      </c>
      <c r="C156" s="126" t="s">
        <v>2749</v>
      </c>
      <c r="D156">
        <v>116</v>
      </c>
      <c r="E156" s="126" t="s">
        <v>1614</v>
      </c>
      <c r="F156" s="122" t="s">
        <v>1607</v>
      </c>
      <c r="G156" s="122" t="s">
        <v>134</v>
      </c>
      <c r="H156">
        <v>34</v>
      </c>
      <c r="I156" s="122" t="s">
        <v>1546</v>
      </c>
      <c r="J156" s="307" t="s">
        <v>214</v>
      </c>
      <c r="K156" s="127" t="s">
        <v>1553</v>
      </c>
      <c r="L156" s="151" t="s">
        <v>1579</v>
      </c>
      <c r="M156">
        <v>43</v>
      </c>
      <c r="N156" s="123">
        <v>17</v>
      </c>
      <c r="O156">
        <v>123</v>
      </c>
      <c r="P156" s="132" t="s">
        <v>77</v>
      </c>
      <c r="Q156" s="131">
        <v>456.04</v>
      </c>
      <c r="R156" s="131">
        <v>72.959999999999994</v>
      </c>
      <c r="S156" s="131"/>
      <c r="T156" s="155">
        <v>0</v>
      </c>
      <c r="U156" s="131">
        <v>0</v>
      </c>
      <c r="V156" s="131">
        <f t="shared" si="1"/>
        <v>529</v>
      </c>
      <c r="W156">
        <v>6</v>
      </c>
      <c r="X156" s="151" t="s">
        <v>1484</v>
      </c>
      <c r="Y156" s="135" t="s">
        <v>55</v>
      </c>
      <c r="Z156" s="307">
        <v>170</v>
      </c>
      <c r="AB156" t="str">
        <f>IF(Table1[[#This Row],[TIPO2]]="costo", VLOOKUP(Table1[[#This Row],[PARTIDA PRESUPUESTAL]],'Cost Report'!G:G,1,0),"Balance")</f>
        <v>3401-011</v>
      </c>
      <c r="AC156" s="118"/>
      <c r="AD156" s="159">
        <f>+Table1[[#This Row],[SUBTOTAL]]+Table1[[#This Row],[IVA]]-Table1[[#This Row],[RET IVA]]-Table1[[#This Row],[RET ISR]]-Table1[[#This Row],[TOTAL]]</f>
        <v>0</v>
      </c>
      <c r="AE156" s="150"/>
      <c r="AF156" s="151"/>
      <c r="AG156" s="126"/>
      <c r="AK156" s="306" t="str">
        <f>IF(ISNUMBER(Table1[[#This Row],[FECHA DE RECIBIDO]]), Table1[[#This Row],[FECHA DE RECIBIDO]]-DATE(2023,8,30), "")</f>
        <v/>
      </c>
    </row>
    <row r="157" spans="1:37" ht="16.05" customHeight="1">
      <c r="A157" s="152" t="s">
        <v>1578</v>
      </c>
      <c r="B157" s="153">
        <v>114</v>
      </c>
      <c r="C157" s="126" t="s">
        <v>2749</v>
      </c>
      <c r="D157">
        <v>117</v>
      </c>
      <c r="E157" s="126" t="s">
        <v>1609</v>
      </c>
      <c r="F157" s="125" t="s">
        <v>1607</v>
      </c>
      <c r="G157" s="125" t="s">
        <v>134</v>
      </c>
      <c r="H157">
        <v>35</v>
      </c>
      <c r="I157" s="125" t="s">
        <v>1546</v>
      </c>
      <c r="J157" s="308" t="s">
        <v>214</v>
      </c>
      <c r="K157" s="127" t="s">
        <v>1553</v>
      </c>
      <c r="L157" s="153" t="s">
        <v>1579</v>
      </c>
      <c r="M157">
        <v>44</v>
      </c>
      <c r="N157" s="123">
        <v>17</v>
      </c>
      <c r="O157">
        <v>124</v>
      </c>
      <c r="P157" s="132" t="s">
        <v>77</v>
      </c>
      <c r="Q157" s="132">
        <v>381.89</v>
      </c>
      <c r="R157" s="132">
        <v>61.1</v>
      </c>
      <c r="S157" s="132"/>
      <c r="T157" s="156">
        <v>0</v>
      </c>
      <c r="U157" s="132">
        <v>0</v>
      </c>
      <c r="V157" s="132">
        <f t="shared" si="1"/>
        <v>442.99</v>
      </c>
      <c r="W157">
        <v>6</v>
      </c>
      <c r="X157" s="153" t="s">
        <v>1484</v>
      </c>
      <c r="Y157" s="124" t="s">
        <v>55</v>
      </c>
      <c r="Z157" s="308">
        <v>170</v>
      </c>
      <c r="AB157" t="str">
        <f>IF(Table1[[#This Row],[TIPO2]]="costo", VLOOKUP(Table1[[#This Row],[PARTIDA PRESUPUESTAL]],'Cost Report'!G:G,1,0),"Balance")</f>
        <v>3401-011</v>
      </c>
      <c r="AC157" s="118"/>
      <c r="AD157" s="159">
        <f>+Table1[[#This Row],[SUBTOTAL]]+Table1[[#This Row],[IVA]]-Table1[[#This Row],[RET IVA]]-Table1[[#This Row],[RET ISR]]-Table1[[#This Row],[TOTAL]]</f>
        <v>0</v>
      </c>
      <c r="AE157" s="152"/>
      <c r="AF157" s="153"/>
      <c r="AG157" s="126"/>
      <c r="AK157" s="306" t="str">
        <f>IF(ISNUMBER(Table1[[#This Row],[FECHA DE RECIBIDO]]), Table1[[#This Row],[FECHA DE RECIBIDO]]-DATE(2023,8,30), "")</f>
        <v/>
      </c>
    </row>
    <row r="158" spans="1:37" ht="16.05" customHeight="1">
      <c r="A158" s="150" t="s">
        <v>1578</v>
      </c>
      <c r="B158" s="151">
        <v>114</v>
      </c>
      <c r="C158" s="126" t="s">
        <v>2749</v>
      </c>
      <c r="D158"/>
      <c r="E158" s="126" t="e">
        <v>#N/A</v>
      </c>
      <c r="F158" s="122" t="e">
        <v>#N/A</v>
      </c>
      <c r="G158" s="122" t="e">
        <v>#N/A</v>
      </c>
      <c r="H158">
        <v>36</v>
      </c>
      <c r="I158" s="122" t="e">
        <v>#N/A</v>
      </c>
      <c r="J158" s="307" t="s">
        <v>214</v>
      </c>
      <c r="K158" s="127" t="s">
        <v>1553</v>
      </c>
      <c r="L158" s="151" t="s">
        <v>1579</v>
      </c>
      <c r="M158">
        <v>45</v>
      </c>
      <c r="N158" s="123">
        <v>17</v>
      </c>
      <c r="O158">
        <v>125</v>
      </c>
      <c r="P158" s="132" t="s">
        <v>77</v>
      </c>
      <c r="Q158" s="131">
        <v>240</v>
      </c>
      <c r="R158" s="131"/>
      <c r="S158" s="131"/>
      <c r="T158" s="155"/>
      <c r="U158" s="131"/>
      <c r="V158" s="131">
        <f t="shared" si="1"/>
        <v>240</v>
      </c>
      <c r="W158">
        <v>6</v>
      </c>
      <c r="X158" s="151" t="s">
        <v>1484</v>
      </c>
      <c r="Y158" s="135" t="s">
        <v>55</v>
      </c>
      <c r="Z158" s="307">
        <v>170</v>
      </c>
      <c r="AB158" t="str">
        <f>IF(Table1[[#This Row],[TIPO2]]="costo", VLOOKUP(Table1[[#This Row],[PARTIDA PRESUPUESTAL]],'Cost Report'!G:G,1,0),"Balance")</f>
        <v>3401-011</v>
      </c>
      <c r="AC158" s="118"/>
      <c r="AD158" s="159">
        <f>+Table1[[#This Row],[SUBTOTAL]]+Table1[[#This Row],[IVA]]-Table1[[#This Row],[RET IVA]]-Table1[[#This Row],[RET ISR]]-Table1[[#This Row],[TOTAL]]</f>
        <v>0</v>
      </c>
      <c r="AE158" s="150"/>
      <c r="AF158" s="151"/>
      <c r="AG158" s="126"/>
      <c r="AK158" s="306" t="str">
        <f>IF(ISNUMBER(Table1[[#This Row],[FECHA DE RECIBIDO]]), Table1[[#This Row],[FECHA DE RECIBIDO]]-DATE(2023,8,30), "")</f>
        <v/>
      </c>
    </row>
    <row r="159" spans="1:37" ht="16.05" customHeight="1">
      <c r="A159" s="152" t="s">
        <v>1578</v>
      </c>
      <c r="B159" s="153">
        <v>114</v>
      </c>
      <c r="C159" s="126" t="s">
        <v>2749</v>
      </c>
      <c r="D159"/>
      <c r="E159" s="126" t="e">
        <v>#N/A</v>
      </c>
      <c r="F159" s="125" t="e">
        <v>#N/A</v>
      </c>
      <c r="G159" s="125" t="e">
        <v>#N/A</v>
      </c>
      <c r="H159">
        <v>36</v>
      </c>
      <c r="I159" s="125" t="e">
        <v>#N/A</v>
      </c>
      <c r="J159" s="308" t="s">
        <v>214</v>
      </c>
      <c r="K159" s="127" t="s">
        <v>1553</v>
      </c>
      <c r="L159" s="153" t="s">
        <v>1579</v>
      </c>
      <c r="M159">
        <v>46</v>
      </c>
      <c r="N159" s="123">
        <v>17</v>
      </c>
      <c r="O159">
        <v>126</v>
      </c>
      <c r="P159" s="132" t="s">
        <v>77</v>
      </c>
      <c r="Q159" s="132">
        <v>191</v>
      </c>
      <c r="R159" s="132"/>
      <c r="S159" s="132"/>
      <c r="T159" s="156"/>
      <c r="U159" s="132"/>
      <c r="V159" s="132">
        <f t="shared" si="1"/>
        <v>191</v>
      </c>
      <c r="W159">
        <v>6</v>
      </c>
      <c r="X159" s="153" t="s">
        <v>1484</v>
      </c>
      <c r="Y159" s="124" t="s">
        <v>55</v>
      </c>
      <c r="Z159" s="308">
        <v>170</v>
      </c>
      <c r="AB159" t="str">
        <f>IF(Table1[[#This Row],[TIPO2]]="costo", VLOOKUP(Table1[[#This Row],[PARTIDA PRESUPUESTAL]],'Cost Report'!G:G,1,0),"Balance")</f>
        <v>3401-011</v>
      </c>
      <c r="AC159" s="118"/>
      <c r="AD159" s="159">
        <f>+Table1[[#This Row],[SUBTOTAL]]+Table1[[#This Row],[IVA]]-Table1[[#This Row],[RET IVA]]-Table1[[#This Row],[RET ISR]]-Table1[[#This Row],[TOTAL]]</f>
        <v>0</v>
      </c>
      <c r="AE159" s="152"/>
      <c r="AF159" s="153"/>
      <c r="AG159" s="126"/>
      <c r="AK159" s="306" t="str">
        <f>IF(ISNUMBER(Table1[[#This Row],[FECHA DE RECIBIDO]]), Table1[[#This Row],[FECHA DE RECIBIDO]]-DATE(2023,8,30), "")</f>
        <v/>
      </c>
    </row>
    <row r="160" spans="1:37" ht="16.05" customHeight="1">
      <c r="A160" s="150" t="s">
        <v>1578</v>
      </c>
      <c r="B160" s="151">
        <v>114</v>
      </c>
      <c r="C160" s="126" t="s">
        <v>2749</v>
      </c>
      <c r="D160"/>
      <c r="E160" s="126" t="e">
        <v>#N/A</v>
      </c>
      <c r="F160" s="122" t="e">
        <v>#N/A</v>
      </c>
      <c r="G160" s="122" t="e">
        <v>#N/A</v>
      </c>
      <c r="H160">
        <v>36</v>
      </c>
      <c r="I160" s="122" t="e">
        <v>#N/A</v>
      </c>
      <c r="J160" s="307" t="s">
        <v>214</v>
      </c>
      <c r="K160" s="127" t="s">
        <v>1553</v>
      </c>
      <c r="L160" s="151" t="s">
        <v>1579</v>
      </c>
      <c r="M160">
        <v>47</v>
      </c>
      <c r="N160" s="123">
        <v>17</v>
      </c>
      <c r="O160">
        <v>125</v>
      </c>
      <c r="P160" s="132" t="s">
        <v>77</v>
      </c>
      <c r="Q160" s="131">
        <v>340</v>
      </c>
      <c r="R160" s="131"/>
      <c r="S160" s="131"/>
      <c r="T160" s="155"/>
      <c r="U160" s="131"/>
      <c r="V160" s="131">
        <f t="shared" si="1"/>
        <v>340</v>
      </c>
      <c r="W160">
        <v>6</v>
      </c>
      <c r="X160" s="151" t="s">
        <v>1484</v>
      </c>
      <c r="Y160" s="135" t="s">
        <v>55</v>
      </c>
      <c r="Z160" s="307">
        <v>170</v>
      </c>
      <c r="AB160" t="str">
        <f>IF(Table1[[#This Row],[TIPO2]]="costo", VLOOKUP(Table1[[#This Row],[PARTIDA PRESUPUESTAL]],'Cost Report'!G:G,1,0),"Balance")</f>
        <v>3401-011</v>
      </c>
      <c r="AC160" s="118"/>
      <c r="AD160" s="159">
        <f>+Table1[[#This Row],[SUBTOTAL]]+Table1[[#This Row],[IVA]]-Table1[[#This Row],[RET IVA]]-Table1[[#This Row],[RET ISR]]-Table1[[#This Row],[TOTAL]]</f>
        <v>0</v>
      </c>
      <c r="AE160" s="150"/>
      <c r="AF160" s="151"/>
      <c r="AG160" s="126"/>
      <c r="AK160" s="306" t="str">
        <f>IF(ISNUMBER(Table1[[#This Row],[FECHA DE RECIBIDO]]), Table1[[#This Row],[FECHA DE RECIBIDO]]-DATE(2023,8,30), "")</f>
        <v/>
      </c>
    </row>
    <row r="161" spans="1:37" ht="16.05" customHeight="1">
      <c r="A161" s="152" t="s">
        <v>1580</v>
      </c>
      <c r="B161" s="153">
        <v>115</v>
      </c>
      <c r="C161" s="126" t="s">
        <v>3087</v>
      </c>
      <c r="D161">
        <v>118</v>
      </c>
      <c r="E161" s="126" t="s">
        <v>1605</v>
      </c>
      <c r="F161" s="125">
        <v>601</v>
      </c>
      <c r="G161" s="125" t="s">
        <v>134</v>
      </c>
      <c r="H161">
        <v>5</v>
      </c>
      <c r="I161" s="125" t="s">
        <v>1546</v>
      </c>
      <c r="J161" s="308">
        <v>161.70458333333227</v>
      </c>
      <c r="K161" s="127" t="s">
        <v>1547</v>
      </c>
      <c r="L161" s="153" t="s">
        <v>118</v>
      </c>
      <c r="M161">
        <v>5</v>
      </c>
      <c r="N161" s="123">
        <v>0</v>
      </c>
      <c r="O161">
        <v>127</v>
      </c>
      <c r="P161" s="132" t="s">
        <v>77</v>
      </c>
      <c r="Q161" s="132">
        <v>16500</v>
      </c>
      <c r="R161" s="132">
        <v>2640</v>
      </c>
      <c r="S161" s="132"/>
      <c r="T161" s="156">
        <v>0</v>
      </c>
      <c r="U161" s="132">
        <v>0</v>
      </c>
      <c r="V161" s="132">
        <f t="shared" si="1"/>
        <v>19140</v>
      </c>
      <c r="W161">
        <v>4</v>
      </c>
      <c r="X161" s="153" t="s">
        <v>1489</v>
      </c>
      <c r="Y161" s="124" t="s">
        <v>55</v>
      </c>
      <c r="Z161" s="308">
        <v>170</v>
      </c>
      <c r="AB161" t="str">
        <f>IF(Table1[[#This Row],[TIPO2]]="costo", VLOOKUP(Table1[[#This Row],[PARTIDA PRESUPUESTAL]],'Cost Report'!G:G,1,0),"Balance")</f>
        <v>7001-004</v>
      </c>
      <c r="AC161" s="118"/>
      <c r="AD161" s="159">
        <f>+Table1[[#This Row],[SUBTOTAL]]+Table1[[#This Row],[IVA]]-Table1[[#This Row],[RET IVA]]-Table1[[#This Row],[RET ISR]]-Table1[[#This Row],[TOTAL]]</f>
        <v>0</v>
      </c>
      <c r="AE161" s="152"/>
      <c r="AF161" s="153"/>
      <c r="AG161" s="126"/>
      <c r="AK161" s="306">
        <f>IF(ISNUMBER(Table1[[#This Row],[FECHA DE RECIBIDO]]), Table1[[#This Row],[FECHA DE RECIBIDO]]-DATE(2023,8,30), "")</f>
        <v>-45006.295416666668</v>
      </c>
    </row>
    <row r="162" spans="1:37" ht="16.05" customHeight="1">
      <c r="A162" s="150" t="s">
        <v>1581</v>
      </c>
      <c r="B162" s="151">
        <v>116</v>
      </c>
      <c r="C162" s="126" t="s">
        <v>1790</v>
      </c>
      <c r="D162">
        <v>119</v>
      </c>
      <c r="E162" s="126" t="s">
        <v>1615</v>
      </c>
      <c r="F162" s="122">
        <v>601</v>
      </c>
      <c r="G162" s="122" t="s">
        <v>134</v>
      </c>
      <c r="H162">
        <v>23</v>
      </c>
      <c r="I162" s="122" t="s">
        <v>1546</v>
      </c>
      <c r="J162" s="307">
        <v>162.70458333333227</v>
      </c>
      <c r="K162" s="127" t="s">
        <v>1547</v>
      </c>
      <c r="L162" s="151" t="s">
        <v>118</v>
      </c>
      <c r="M162">
        <v>32</v>
      </c>
      <c r="N162" s="123">
        <v>1</v>
      </c>
      <c r="O162">
        <v>128</v>
      </c>
      <c r="P162" s="132" t="s">
        <v>77</v>
      </c>
      <c r="Q162" s="131">
        <v>817.07</v>
      </c>
      <c r="R162" s="131">
        <v>130.72999999999999</v>
      </c>
      <c r="S162" s="131"/>
      <c r="T162" s="155">
        <v>0</v>
      </c>
      <c r="U162" s="131">
        <v>0</v>
      </c>
      <c r="V162" s="131">
        <v>947.80000000000007</v>
      </c>
      <c r="W162">
        <v>25</v>
      </c>
      <c r="X162" s="151" t="s">
        <v>105</v>
      </c>
      <c r="Y162" s="135" t="s">
        <v>55</v>
      </c>
      <c r="Z162" s="307">
        <v>170</v>
      </c>
      <c r="AC162" s="118"/>
      <c r="AD162" s="159"/>
      <c r="AE162" s="150"/>
      <c r="AF162" s="151"/>
      <c r="AG162" s="126"/>
      <c r="AK162" s="306">
        <f>IF(ISNUMBER(Table1[[#This Row],[FECHA DE RECIBIDO]]), Table1[[#This Row],[FECHA DE RECIBIDO]]-DATE(2023,8,30), "")</f>
        <v>-45005.295416666668</v>
      </c>
    </row>
    <row r="163" spans="1:37" ht="16.05" customHeight="1">
      <c r="A163" s="152" t="s">
        <v>1581</v>
      </c>
      <c r="B163" s="153">
        <v>117</v>
      </c>
      <c r="C163" s="126" t="s">
        <v>2757</v>
      </c>
      <c r="D163">
        <v>120</v>
      </c>
      <c r="E163" s="126" t="s">
        <v>1616</v>
      </c>
      <c r="F163" s="125">
        <v>601</v>
      </c>
      <c r="G163" s="125" t="s">
        <v>134</v>
      </c>
      <c r="H163">
        <v>37</v>
      </c>
      <c r="I163" s="125" t="s">
        <v>1546</v>
      </c>
      <c r="J163" s="308">
        <v>163.70458333333227</v>
      </c>
      <c r="K163" s="127" t="s">
        <v>1547</v>
      </c>
      <c r="L163" s="153" t="s">
        <v>118</v>
      </c>
      <c r="M163">
        <v>48</v>
      </c>
      <c r="N163" s="123">
        <v>1</v>
      </c>
      <c r="O163">
        <v>129</v>
      </c>
      <c r="P163" s="132" t="s">
        <v>77</v>
      </c>
      <c r="Q163" s="132">
        <v>12439</v>
      </c>
      <c r="R163" s="132">
        <v>1990.24</v>
      </c>
      <c r="S163" s="132"/>
      <c r="T163" s="156">
        <v>0</v>
      </c>
      <c r="U163" s="132">
        <v>0</v>
      </c>
      <c r="V163" s="132">
        <f t="shared" si="1"/>
        <v>14429.24</v>
      </c>
      <c r="W163">
        <v>32</v>
      </c>
      <c r="X163" s="153" t="s">
        <v>1582</v>
      </c>
      <c r="Y163" s="124" t="s">
        <v>55</v>
      </c>
      <c r="Z163" s="308">
        <v>170</v>
      </c>
      <c r="AB163" t="str">
        <f>IF(Table1[[#This Row],[TIPO2]]="costo", VLOOKUP(Table1[[#This Row],[PARTIDA PRESUPUESTAL]],'Cost Report'!G:G,1,0),"Balance")</f>
        <v>3401-021</v>
      </c>
      <c r="AC163" s="118"/>
      <c r="AD163" s="159">
        <f>+Table1[[#This Row],[SUBTOTAL]]+Table1[[#This Row],[IVA]]-Table1[[#This Row],[RET IVA]]-Table1[[#This Row],[RET ISR]]-Table1[[#This Row],[TOTAL]]</f>
        <v>0</v>
      </c>
      <c r="AE163" s="152"/>
      <c r="AF163" s="153"/>
      <c r="AG163" s="126"/>
      <c r="AK163" s="306">
        <f>IF(ISNUMBER(Table1[[#This Row],[FECHA DE RECIBIDO]]), Table1[[#This Row],[FECHA DE RECIBIDO]]-DATE(2023,8,30), "")</f>
        <v>-45004.295416666668</v>
      </c>
    </row>
    <row r="164" spans="1:37" ht="16.05" customHeight="1">
      <c r="A164" s="150" t="s">
        <v>1583</v>
      </c>
      <c r="B164" s="151">
        <v>118</v>
      </c>
      <c r="C164" s="126" t="s">
        <v>1407</v>
      </c>
      <c r="D164">
        <v>121</v>
      </c>
      <c r="E164" s="126">
        <v>110010</v>
      </c>
      <c r="F164" s="122">
        <v>601</v>
      </c>
      <c r="G164" s="122" t="s">
        <v>134</v>
      </c>
      <c r="H164">
        <v>38</v>
      </c>
      <c r="I164" s="122" t="s">
        <v>1546</v>
      </c>
      <c r="J164" s="307">
        <v>164.70458333333227</v>
      </c>
      <c r="K164" s="127" t="s">
        <v>1547</v>
      </c>
      <c r="L164" s="151" t="s">
        <v>118</v>
      </c>
      <c r="M164">
        <v>49</v>
      </c>
      <c r="N164" s="123">
        <v>1</v>
      </c>
      <c r="O164">
        <v>130</v>
      </c>
      <c r="P164" s="132" t="s">
        <v>77</v>
      </c>
      <c r="Q164" s="131">
        <v>162700</v>
      </c>
      <c r="R164" s="131">
        <v>26032</v>
      </c>
      <c r="S164" s="131"/>
      <c r="T164" s="155">
        <v>0</v>
      </c>
      <c r="U164" s="131">
        <v>0</v>
      </c>
      <c r="V164" s="131">
        <f t="shared" si="1"/>
        <v>188732</v>
      </c>
      <c r="W164">
        <v>33</v>
      </c>
      <c r="X164" s="151" t="s">
        <v>1584</v>
      </c>
      <c r="Y164" s="135" t="s">
        <v>55</v>
      </c>
      <c r="Z164" s="307">
        <v>170</v>
      </c>
      <c r="AB164" t="str">
        <f>IF(Table1[[#This Row],[TIPO2]]="costo", VLOOKUP(Table1[[#This Row],[PARTIDA PRESUPUESTAL]],'Cost Report'!G:G,1,0),"Balance")</f>
        <v>7201-003</v>
      </c>
      <c r="AC164" s="118"/>
      <c r="AD164" s="159">
        <f>+Table1[[#This Row],[SUBTOTAL]]+Table1[[#This Row],[IVA]]-Table1[[#This Row],[RET IVA]]-Table1[[#This Row],[RET ISR]]-Table1[[#This Row],[TOTAL]]</f>
        <v>0</v>
      </c>
      <c r="AE164" s="150"/>
      <c r="AF164" s="151"/>
      <c r="AG164" s="126"/>
      <c r="AK164" s="306">
        <f>IF(ISNUMBER(Table1[[#This Row],[FECHA DE RECIBIDO]]), Table1[[#This Row],[FECHA DE RECIBIDO]]-DATE(2023,8,30), "")</f>
        <v>-45003.295416666668</v>
      </c>
    </row>
    <row r="165" spans="1:37" ht="16.05" customHeight="1">
      <c r="A165" s="152" t="s">
        <v>1585</v>
      </c>
      <c r="B165" s="153">
        <v>80</v>
      </c>
      <c r="C165" s="126" t="s">
        <v>2335</v>
      </c>
      <c r="D165">
        <v>122</v>
      </c>
      <c r="E165" s="126" t="s">
        <v>1618</v>
      </c>
      <c r="F165" s="125" t="s">
        <v>1607</v>
      </c>
      <c r="G165" s="125" t="s">
        <v>134</v>
      </c>
      <c r="H165">
        <v>39</v>
      </c>
      <c r="I165" s="125" t="s">
        <v>1546</v>
      </c>
      <c r="J165" s="308" t="s">
        <v>214</v>
      </c>
      <c r="K165" s="127" t="s">
        <v>1553</v>
      </c>
      <c r="L165" s="153" t="s">
        <v>1579</v>
      </c>
      <c r="M165">
        <v>50</v>
      </c>
      <c r="N165" s="123">
        <v>17</v>
      </c>
      <c r="O165">
        <v>131</v>
      </c>
      <c r="P165" s="132" t="s">
        <v>77</v>
      </c>
      <c r="Q165" s="132">
        <v>35.340000000000003</v>
      </c>
      <c r="R165" s="132">
        <v>5.66</v>
      </c>
      <c r="S165" s="132"/>
      <c r="T165" s="156">
        <v>0</v>
      </c>
      <c r="U165" s="132">
        <v>0</v>
      </c>
      <c r="V165" s="132">
        <f t="shared" si="1"/>
        <v>41</v>
      </c>
      <c r="W165">
        <v>15</v>
      </c>
      <c r="X165" s="153" t="s">
        <v>1586</v>
      </c>
      <c r="Y165" s="124" t="s">
        <v>55</v>
      </c>
      <c r="Z165" s="308" t="s">
        <v>214</v>
      </c>
      <c r="AB165" t="str">
        <f>IF(Table1[[#This Row],[TIPO2]]="costo", VLOOKUP(Table1[[#This Row],[PARTIDA PRESUPUESTAL]],'Cost Report'!G:G,1,0),"Balance")</f>
        <v>1487-003</v>
      </c>
      <c r="AC165" s="118"/>
      <c r="AD165" s="159">
        <f>+Table1[[#This Row],[SUBTOTAL]]+Table1[[#This Row],[IVA]]-Table1[[#This Row],[RET IVA]]-Table1[[#This Row],[RET ISR]]-Table1[[#This Row],[TOTAL]]</f>
        <v>0</v>
      </c>
      <c r="AE165" s="152"/>
      <c r="AF165" s="153"/>
      <c r="AG165" s="126"/>
      <c r="AK165" s="306" t="str">
        <f>IF(ISNUMBER(Table1[[#This Row],[FECHA DE RECIBIDO]]), Table1[[#This Row],[FECHA DE RECIBIDO]]-DATE(2023,8,30), "")</f>
        <v/>
      </c>
    </row>
    <row r="166" spans="1:37" ht="16.05" customHeight="1">
      <c r="A166" s="150" t="s">
        <v>1585</v>
      </c>
      <c r="B166" s="151">
        <v>81</v>
      </c>
      <c r="C166" s="126" t="s">
        <v>2327</v>
      </c>
      <c r="D166">
        <v>123</v>
      </c>
      <c r="E166" s="126" t="s">
        <v>1619</v>
      </c>
      <c r="F166" s="122" t="s">
        <v>1384</v>
      </c>
      <c r="G166" s="122" t="s">
        <v>1625</v>
      </c>
      <c r="H166">
        <v>40</v>
      </c>
      <c r="I166" s="122" t="s">
        <v>1546</v>
      </c>
      <c r="J166" s="307" t="s">
        <v>214</v>
      </c>
      <c r="K166" s="127" t="s">
        <v>1553</v>
      </c>
      <c r="L166" s="151" t="s">
        <v>1579</v>
      </c>
      <c r="M166">
        <v>51</v>
      </c>
      <c r="N166" s="123">
        <v>17</v>
      </c>
      <c r="O166">
        <v>132</v>
      </c>
      <c r="P166" s="132" t="s">
        <v>77</v>
      </c>
      <c r="Q166" s="131">
        <v>2000</v>
      </c>
      <c r="R166" s="131">
        <v>320</v>
      </c>
      <c r="S166" s="131"/>
      <c r="T166" s="155">
        <v>0</v>
      </c>
      <c r="U166" s="131">
        <v>0</v>
      </c>
      <c r="V166" s="131">
        <f t="shared" si="1"/>
        <v>2320</v>
      </c>
      <c r="W166">
        <v>15</v>
      </c>
      <c r="X166" s="151" t="s">
        <v>1586</v>
      </c>
      <c r="Y166" s="135" t="s">
        <v>55</v>
      </c>
      <c r="Z166" s="307" t="s">
        <v>214</v>
      </c>
      <c r="AB166" t="str">
        <f>IF(Table1[[#This Row],[TIPO2]]="costo", VLOOKUP(Table1[[#This Row],[PARTIDA PRESUPUESTAL]],'Cost Report'!G:G,1,0),"Balance")</f>
        <v>1426-014</v>
      </c>
      <c r="AC166" s="118"/>
      <c r="AD166" s="159">
        <f>+Table1[[#This Row],[SUBTOTAL]]+Table1[[#This Row],[IVA]]-Table1[[#This Row],[RET IVA]]-Table1[[#This Row],[RET ISR]]-Table1[[#This Row],[TOTAL]]</f>
        <v>0</v>
      </c>
      <c r="AE166" s="150"/>
      <c r="AF166" s="151"/>
      <c r="AG166" s="126"/>
      <c r="AK166" s="306" t="str">
        <f>IF(ISNUMBER(Table1[[#This Row],[FECHA DE RECIBIDO]]), Table1[[#This Row],[FECHA DE RECIBIDO]]-DATE(2023,8,30), "")</f>
        <v/>
      </c>
    </row>
    <row r="167" spans="1:37" ht="16.05" customHeight="1">
      <c r="A167" s="152" t="s">
        <v>1585</v>
      </c>
      <c r="B167" s="153">
        <v>82</v>
      </c>
      <c r="C167" s="126" t="s">
        <v>2327</v>
      </c>
      <c r="D167">
        <v>124</v>
      </c>
      <c r="E167" s="126" t="s">
        <v>1620</v>
      </c>
      <c r="F167" s="125" t="s">
        <v>1607</v>
      </c>
      <c r="G167" s="125" t="s">
        <v>134</v>
      </c>
      <c r="H167">
        <v>41</v>
      </c>
      <c r="I167" s="125" t="s">
        <v>1546</v>
      </c>
      <c r="J167" s="308" t="s">
        <v>214</v>
      </c>
      <c r="K167" s="127" t="s">
        <v>1553</v>
      </c>
      <c r="L167" s="153" t="s">
        <v>1579</v>
      </c>
      <c r="M167">
        <v>52</v>
      </c>
      <c r="N167" s="123">
        <v>17</v>
      </c>
      <c r="O167">
        <v>133</v>
      </c>
      <c r="P167" s="132" t="s">
        <v>77</v>
      </c>
      <c r="Q167" s="132">
        <v>1436.08</v>
      </c>
      <c r="R167" s="132">
        <v>24.34</v>
      </c>
      <c r="S167" s="132"/>
      <c r="T167" s="156">
        <v>0</v>
      </c>
      <c r="U167" s="132">
        <v>0</v>
      </c>
      <c r="V167" s="132">
        <f t="shared" si="1"/>
        <v>1460.4199999999998</v>
      </c>
      <c r="W167">
        <v>15</v>
      </c>
      <c r="X167" s="153" t="s">
        <v>1586</v>
      </c>
      <c r="Y167" s="124" t="s">
        <v>55</v>
      </c>
      <c r="Z167" s="308" t="s">
        <v>214</v>
      </c>
      <c r="AB167" t="str">
        <f>IF(Table1[[#This Row],[TIPO2]]="costo", VLOOKUP(Table1[[#This Row],[PARTIDA PRESUPUESTAL]],'Cost Report'!G:G,1,0),"Balance")</f>
        <v>1426-014</v>
      </c>
      <c r="AC167" s="118"/>
      <c r="AD167" s="159">
        <f>+Table1[[#This Row],[SUBTOTAL]]+Table1[[#This Row],[IVA]]-Table1[[#This Row],[RET IVA]]-Table1[[#This Row],[RET ISR]]-Table1[[#This Row],[TOTAL]]</f>
        <v>0</v>
      </c>
      <c r="AE167" s="152"/>
      <c r="AF167" s="153"/>
      <c r="AG167" s="126"/>
      <c r="AK167" s="306" t="str">
        <f>IF(ISNUMBER(Table1[[#This Row],[FECHA DE RECIBIDO]]), Table1[[#This Row],[FECHA DE RECIBIDO]]-DATE(2023,8,30), "")</f>
        <v/>
      </c>
    </row>
    <row r="168" spans="1:37" ht="16.05" customHeight="1">
      <c r="A168" s="150" t="s">
        <v>1585</v>
      </c>
      <c r="B168" s="151">
        <v>83</v>
      </c>
      <c r="C168" s="126" t="s">
        <v>2335</v>
      </c>
      <c r="D168">
        <v>125</v>
      </c>
      <c r="E168" s="126" t="s">
        <v>1618</v>
      </c>
      <c r="F168" s="122" t="s">
        <v>1607</v>
      </c>
      <c r="G168" s="122" t="s">
        <v>134</v>
      </c>
      <c r="H168">
        <v>39</v>
      </c>
      <c r="I168" s="122" t="s">
        <v>1546</v>
      </c>
      <c r="J168" s="307" t="s">
        <v>214</v>
      </c>
      <c r="K168" s="127" t="s">
        <v>1553</v>
      </c>
      <c r="L168" s="151" t="s">
        <v>1579</v>
      </c>
      <c r="M168">
        <v>50</v>
      </c>
      <c r="N168" s="123">
        <v>17</v>
      </c>
      <c r="O168">
        <v>134</v>
      </c>
      <c r="P168" s="132" t="s">
        <v>77</v>
      </c>
      <c r="Q168" s="131">
        <v>59.48</v>
      </c>
      <c r="R168" s="131">
        <v>9.52</v>
      </c>
      <c r="S168" s="131"/>
      <c r="T168" s="155">
        <v>0</v>
      </c>
      <c r="U168" s="131">
        <v>0</v>
      </c>
      <c r="V168" s="131">
        <f t="shared" si="1"/>
        <v>69</v>
      </c>
      <c r="W168">
        <v>15</v>
      </c>
      <c r="X168" s="151" t="s">
        <v>1586</v>
      </c>
      <c r="Y168" s="135" t="s">
        <v>55</v>
      </c>
      <c r="Z168" s="307" t="s">
        <v>214</v>
      </c>
      <c r="AB168" t="str">
        <f>IF(Table1[[#This Row],[TIPO2]]="costo", VLOOKUP(Table1[[#This Row],[PARTIDA PRESUPUESTAL]],'Cost Report'!G:G,1,0),"Balance")</f>
        <v>1487-003</v>
      </c>
      <c r="AC168" s="118"/>
      <c r="AD168" s="159">
        <f>+Table1[[#This Row],[SUBTOTAL]]+Table1[[#This Row],[IVA]]-Table1[[#This Row],[RET IVA]]-Table1[[#This Row],[RET ISR]]-Table1[[#This Row],[TOTAL]]</f>
        <v>0</v>
      </c>
      <c r="AE168" s="150"/>
      <c r="AF168" s="151"/>
      <c r="AG168" s="126"/>
      <c r="AK168" s="306" t="str">
        <f>IF(ISNUMBER(Table1[[#This Row],[FECHA DE RECIBIDO]]), Table1[[#This Row],[FECHA DE RECIBIDO]]-DATE(2023,8,30), "")</f>
        <v/>
      </c>
    </row>
    <row r="169" spans="1:37" ht="16.05" customHeight="1">
      <c r="A169" s="152" t="s">
        <v>1585</v>
      </c>
      <c r="B169" s="153">
        <v>84</v>
      </c>
      <c r="C169" s="126" t="s">
        <v>2327</v>
      </c>
      <c r="D169">
        <v>126</v>
      </c>
      <c r="E169" s="126" t="s">
        <v>1621</v>
      </c>
      <c r="F169" s="125" t="s">
        <v>1607</v>
      </c>
      <c r="G169" s="125" t="s">
        <v>134</v>
      </c>
      <c r="H169">
        <v>42</v>
      </c>
      <c r="I169" s="125" t="s">
        <v>1546</v>
      </c>
      <c r="J169" s="308" t="s">
        <v>214</v>
      </c>
      <c r="K169" s="127" t="s">
        <v>1553</v>
      </c>
      <c r="L169" s="153" t="s">
        <v>1579</v>
      </c>
      <c r="M169">
        <v>53</v>
      </c>
      <c r="N169" s="123">
        <v>17</v>
      </c>
      <c r="O169">
        <v>135</v>
      </c>
      <c r="P169" s="132" t="s">
        <v>77</v>
      </c>
      <c r="Q169" s="132">
        <v>601.72</v>
      </c>
      <c r="R169" s="132">
        <v>96.28</v>
      </c>
      <c r="S169" s="132"/>
      <c r="T169" s="156">
        <v>0</v>
      </c>
      <c r="U169" s="132">
        <v>0</v>
      </c>
      <c r="V169" s="132">
        <f t="shared" si="1"/>
        <v>698</v>
      </c>
      <c r="W169">
        <v>15</v>
      </c>
      <c r="X169" s="153" t="s">
        <v>1586</v>
      </c>
      <c r="Y169" s="124" t="s">
        <v>55</v>
      </c>
      <c r="Z169" s="308" t="s">
        <v>214</v>
      </c>
      <c r="AB169" t="str">
        <f>IF(Table1[[#This Row],[TIPO2]]="costo", VLOOKUP(Table1[[#This Row],[PARTIDA PRESUPUESTAL]],'Cost Report'!G:G,1,0),"Balance")</f>
        <v>1426-014</v>
      </c>
      <c r="AC169" s="118"/>
      <c r="AD169" s="159">
        <f>+Table1[[#This Row],[SUBTOTAL]]+Table1[[#This Row],[IVA]]-Table1[[#This Row],[RET IVA]]-Table1[[#This Row],[RET ISR]]-Table1[[#This Row],[TOTAL]]</f>
        <v>0</v>
      </c>
      <c r="AE169" s="152"/>
      <c r="AF169" s="153"/>
      <c r="AG169" s="126"/>
      <c r="AK169" s="306" t="str">
        <f>IF(ISNUMBER(Table1[[#This Row],[FECHA DE RECIBIDO]]), Table1[[#This Row],[FECHA DE RECIBIDO]]-DATE(2023,8,30), "")</f>
        <v/>
      </c>
    </row>
    <row r="170" spans="1:37" ht="16.05" customHeight="1">
      <c r="A170" s="150" t="s">
        <v>1585</v>
      </c>
      <c r="B170" s="151">
        <v>85</v>
      </c>
      <c r="C170" s="126" t="s">
        <v>2327</v>
      </c>
      <c r="D170">
        <v>127</v>
      </c>
      <c r="E170" s="126" t="s">
        <v>1619</v>
      </c>
      <c r="F170" s="122" t="s">
        <v>1607</v>
      </c>
      <c r="G170" s="122" t="s">
        <v>134</v>
      </c>
      <c r="H170">
        <v>43</v>
      </c>
      <c r="I170" s="122" t="s">
        <v>1546</v>
      </c>
      <c r="J170" s="307" t="s">
        <v>214</v>
      </c>
      <c r="K170" s="127" t="s">
        <v>1553</v>
      </c>
      <c r="L170" s="151" t="s">
        <v>1579</v>
      </c>
      <c r="M170">
        <v>54</v>
      </c>
      <c r="N170" s="123">
        <v>17</v>
      </c>
      <c r="O170">
        <v>136</v>
      </c>
      <c r="P170" s="132" t="s">
        <v>77</v>
      </c>
      <c r="Q170" s="131">
        <v>270</v>
      </c>
      <c r="R170" s="131">
        <v>0</v>
      </c>
      <c r="S170" s="131"/>
      <c r="T170" s="155">
        <v>0</v>
      </c>
      <c r="U170" s="131">
        <v>0</v>
      </c>
      <c r="V170" s="131">
        <f t="shared" si="1"/>
        <v>270</v>
      </c>
      <c r="W170">
        <v>15</v>
      </c>
      <c r="X170" s="151" t="s">
        <v>1586</v>
      </c>
      <c r="Y170" s="135" t="s">
        <v>55</v>
      </c>
      <c r="Z170" s="307" t="s">
        <v>214</v>
      </c>
      <c r="AB170" t="str">
        <f>IF(Table1[[#This Row],[TIPO2]]="costo", VLOOKUP(Table1[[#This Row],[PARTIDA PRESUPUESTAL]],'Cost Report'!G:G,1,0),"Balance")</f>
        <v>1426-014</v>
      </c>
      <c r="AC170" s="118"/>
      <c r="AD170" s="159">
        <f>+Table1[[#This Row],[SUBTOTAL]]+Table1[[#This Row],[IVA]]-Table1[[#This Row],[RET IVA]]-Table1[[#This Row],[RET ISR]]-Table1[[#This Row],[TOTAL]]</f>
        <v>0</v>
      </c>
      <c r="AE170" s="150"/>
      <c r="AF170" s="151"/>
      <c r="AG170" s="126"/>
      <c r="AK170" s="306" t="str">
        <f>IF(ISNUMBER(Table1[[#This Row],[FECHA DE RECIBIDO]]), Table1[[#This Row],[FECHA DE RECIBIDO]]-DATE(2023,8,30), "")</f>
        <v/>
      </c>
    </row>
    <row r="171" spans="1:37" ht="16.05" customHeight="1">
      <c r="A171" s="152" t="s">
        <v>1585</v>
      </c>
      <c r="B171" s="153">
        <v>86</v>
      </c>
      <c r="C171" s="126" t="s">
        <v>2335</v>
      </c>
      <c r="D171">
        <v>128</v>
      </c>
      <c r="E171" s="126" t="s">
        <v>1622</v>
      </c>
      <c r="F171" s="125" t="s">
        <v>1607</v>
      </c>
      <c r="G171" s="125" t="s">
        <v>134</v>
      </c>
      <c r="H171">
        <v>44</v>
      </c>
      <c r="I171" s="125" t="s">
        <v>1546</v>
      </c>
      <c r="J171" s="308" t="s">
        <v>214</v>
      </c>
      <c r="K171" s="127" t="s">
        <v>1553</v>
      </c>
      <c r="L171" s="153" t="s">
        <v>1579</v>
      </c>
      <c r="M171">
        <v>55</v>
      </c>
      <c r="N171" s="123">
        <v>17</v>
      </c>
      <c r="O171">
        <v>137</v>
      </c>
      <c r="P171" s="132" t="s">
        <v>77</v>
      </c>
      <c r="Q171" s="132">
        <v>8.6199999999999992</v>
      </c>
      <c r="R171" s="132">
        <v>1.38</v>
      </c>
      <c r="S171" s="132"/>
      <c r="T171" s="156">
        <v>0</v>
      </c>
      <c r="U171" s="132">
        <v>0</v>
      </c>
      <c r="V171" s="132">
        <f t="shared" si="1"/>
        <v>10</v>
      </c>
      <c r="W171">
        <v>15</v>
      </c>
      <c r="X171" s="153" t="s">
        <v>1586</v>
      </c>
      <c r="Y171" s="124" t="s">
        <v>55</v>
      </c>
      <c r="Z171" s="308" t="s">
        <v>214</v>
      </c>
      <c r="AB171" t="str">
        <f>IF(Table1[[#This Row],[TIPO2]]="costo", VLOOKUP(Table1[[#This Row],[PARTIDA PRESUPUESTAL]],'Cost Report'!G:G,1,0),"Balance")</f>
        <v>1487-003</v>
      </c>
      <c r="AC171" s="118"/>
      <c r="AD171" s="159">
        <f>+Table1[[#This Row],[SUBTOTAL]]+Table1[[#This Row],[IVA]]-Table1[[#This Row],[RET IVA]]-Table1[[#This Row],[RET ISR]]-Table1[[#This Row],[TOTAL]]</f>
        <v>0</v>
      </c>
      <c r="AE171" s="152"/>
      <c r="AF171" s="153"/>
      <c r="AG171" s="126"/>
      <c r="AK171" s="306" t="str">
        <f>IF(ISNUMBER(Table1[[#This Row],[FECHA DE RECIBIDO]]), Table1[[#This Row],[FECHA DE RECIBIDO]]-DATE(2023,8,30), "")</f>
        <v/>
      </c>
    </row>
    <row r="172" spans="1:37" ht="16.05" customHeight="1">
      <c r="A172" s="150" t="s">
        <v>1585</v>
      </c>
      <c r="B172" s="151">
        <v>87</v>
      </c>
      <c r="C172" s="126" t="s">
        <v>2335</v>
      </c>
      <c r="D172">
        <v>129</v>
      </c>
      <c r="E172" s="126" t="s">
        <v>1623</v>
      </c>
      <c r="F172" s="122" t="s">
        <v>1607</v>
      </c>
      <c r="G172" s="122" t="s">
        <v>134</v>
      </c>
      <c r="H172">
        <v>45</v>
      </c>
      <c r="I172" s="122" t="s">
        <v>1546</v>
      </c>
      <c r="J172" s="307" t="s">
        <v>214</v>
      </c>
      <c r="K172" s="127" t="s">
        <v>1553</v>
      </c>
      <c r="L172" s="151" t="s">
        <v>1579</v>
      </c>
      <c r="M172">
        <v>56</v>
      </c>
      <c r="N172" s="123">
        <v>17</v>
      </c>
      <c r="O172">
        <v>138</v>
      </c>
      <c r="P172" s="132" t="s">
        <v>77</v>
      </c>
      <c r="Q172" s="131">
        <v>431.03</v>
      </c>
      <c r="R172" s="131">
        <v>68.97</v>
      </c>
      <c r="S172" s="131"/>
      <c r="T172" s="155">
        <v>0</v>
      </c>
      <c r="U172" s="131">
        <v>0</v>
      </c>
      <c r="V172" s="131">
        <f t="shared" si="1"/>
        <v>500</v>
      </c>
      <c r="W172">
        <v>15</v>
      </c>
      <c r="X172" s="151" t="s">
        <v>1586</v>
      </c>
      <c r="Y172" s="135" t="s">
        <v>55</v>
      </c>
      <c r="Z172" s="307" t="s">
        <v>214</v>
      </c>
      <c r="AB172" t="str">
        <f>IF(Table1[[#This Row],[TIPO2]]="costo", VLOOKUP(Table1[[#This Row],[PARTIDA PRESUPUESTAL]],'Cost Report'!G:G,1,0),"Balance")</f>
        <v>1487-003</v>
      </c>
      <c r="AC172" s="118"/>
      <c r="AD172" s="159">
        <f>+Table1[[#This Row],[SUBTOTAL]]+Table1[[#This Row],[IVA]]-Table1[[#This Row],[RET IVA]]-Table1[[#This Row],[RET ISR]]-Table1[[#This Row],[TOTAL]]</f>
        <v>0</v>
      </c>
      <c r="AE172" s="150"/>
      <c r="AF172" s="151"/>
      <c r="AG172" s="126"/>
      <c r="AK172" s="306" t="str">
        <f>IF(ISNUMBER(Table1[[#This Row],[FECHA DE RECIBIDO]]), Table1[[#This Row],[FECHA DE RECIBIDO]]-DATE(2023,8,30), "")</f>
        <v/>
      </c>
    </row>
    <row r="173" spans="1:37" ht="16.05" customHeight="1">
      <c r="A173" s="152" t="s">
        <v>1585</v>
      </c>
      <c r="B173" s="153">
        <v>88</v>
      </c>
      <c r="C173" s="126" t="s">
        <v>2335</v>
      </c>
      <c r="D173"/>
      <c r="E173" s="126"/>
      <c r="F173" s="125"/>
      <c r="G173" s="125"/>
      <c r="H173"/>
      <c r="I173" s="125"/>
      <c r="J173" s="308" t="s">
        <v>214</v>
      </c>
      <c r="K173" s="127" t="s">
        <v>1553</v>
      </c>
      <c r="L173" s="153" t="s">
        <v>1579</v>
      </c>
      <c r="M173">
        <v>57</v>
      </c>
      <c r="N173" s="123">
        <v>17</v>
      </c>
      <c r="O173">
        <v>139</v>
      </c>
      <c r="P173" s="132" t="s">
        <v>77</v>
      </c>
      <c r="Q173" s="132">
        <v>10</v>
      </c>
      <c r="R173" s="132"/>
      <c r="S173" s="132"/>
      <c r="T173" s="156"/>
      <c r="U173" s="132"/>
      <c r="V173" s="132">
        <f>Q173</f>
        <v>10</v>
      </c>
      <c r="W173">
        <v>15</v>
      </c>
      <c r="X173" s="153" t="s">
        <v>1586</v>
      </c>
      <c r="Y173" s="124" t="s">
        <v>55</v>
      </c>
      <c r="Z173" s="308" t="s">
        <v>214</v>
      </c>
      <c r="AB173" t="str">
        <f>IF(Table1[[#This Row],[TIPO2]]="costo", VLOOKUP(Table1[[#This Row],[PARTIDA PRESUPUESTAL]],'Cost Report'!G:G,1,0),"Balance")</f>
        <v>1487-003</v>
      </c>
      <c r="AC173" s="118"/>
      <c r="AD173" s="159">
        <f>+Table1[[#This Row],[SUBTOTAL]]+Table1[[#This Row],[IVA]]-Table1[[#This Row],[RET IVA]]-Table1[[#This Row],[RET ISR]]-Table1[[#This Row],[TOTAL]]</f>
        <v>0</v>
      </c>
      <c r="AE173" s="152"/>
      <c r="AF173" s="153"/>
      <c r="AG173" s="126"/>
      <c r="AK173" s="306" t="str">
        <f>IF(ISNUMBER(Table1[[#This Row],[FECHA DE RECIBIDO]]), Table1[[#This Row],[FECHA DE RECIBIDO]]-DATE(2023,8,30), "")</f>
        <v/>
      </c>
    </row>
    <row r="174" spans="1:37" ht="14.25" customHeight="1">
      <c r="A174" s="150" t="s">
        <v>1585</v>
      </c>
      <c r="B174" s="151">
        <v>89</v>
      </c>
      <c r="C174" s="126" t="s">
        <v>2327</v>
      </c>
      <c r="D174">
        <v>130</v>
      </c>
      <c r="E174" s="126" t="s">
        <v>1624</v>
      </c>
      <c r="F174" s="122" t="s">
        <v>1607</v>
      </c>
      <c r="G174" s="122" t="s">
        <v>134</v>
      </c>
      <c r="H174">
        <v>46</v>
      </c>
      <c r="I174" s="122" t="s">
        <v>1546</v>
      </c>
      <c r="J174" s="307" t="s">
        <v>214</v>
      </c>
      <c r="K174" s="127" t="s">
        <v>1553</v>
      </c>
      <c r="L174" s="151" t="s">
        <v>1579</v>
      </c>
      <c r="M174">
        <v>58</v>
      </c>
      <c r="N174" s="123">
        <v>17</v>
      </c>
      <c r="O174">
        <v>140</v>
      </c>
      <c r="P174" s="132" t="s">
        <v>77</v>
      </c>
      <c r="Q174" s="131">
        <v>3338.24</v>
      </c>
      <c r="R174" s="131">
        <v>354.25</v>
      </c>
      <c r="S174" s="131"/>
      <c r="T174" s="155">
        <v>0</v>
      </c>
      <c r="U174" s="131">
        <v>0</v>
      </c>
      <c r="V174" s="131">
        <f t="shared" ref="V174:V175" si="2">+Q174+R174-T174-U174</f>
        <v>3692.49</v>
      </c>
      <c r="W174">
        <v>15</v>
      </c>
      <c r="X174" s="151" t="s">
        <v>1586</v>
      </c>
      <c r="Y174" s="135" t="s">
        <v>55</v>
      </c>
      <c r="Z174" s="307" t="s">
        <v>214</v>
      </c>
      <c r="AB174" t="str">
        <f>IF(Table1[[#This Row],[TIPO2]]="costo", VLOOKUP(Table1[[#This Row],[PARTIDA PRESUPUESTAL]],'Cost Report'!G:G,1,0),"Balance")</f>
        <v>1426-014</v>
      </c>
      <c r="AC174" s="118"/>
      <c r="AD174" s="159">
        <f>+Table1[[#This Row],[SUBTOTAL]]+Table1[[#This Row],[IVA]]-Table1[[#This Row],[RET IVA]]-Table1[[#This Row],[RET ISR]]-Table1[[#This Row],[TOTAL]]</f>
        <v>0</v>
      </c>
      <c r="AE174" s="150"/>
      <c r="AF174" s="151"/>
      <c r="AG174" s="126"/>
      <c r="AK174" s="306" t="str">
        <f>IF(ISNUMBER(Table1[[#This Row],[FECHA DE RECIBIDO]]), Table1[[#This Row],[FECHA DE RECIBIDO]]-DATE(2023,8,30), "")</f>
        <v/>
      </c>
    </row>
    <row r="175" spans="1:37" ht="14.25" customHeight="1">
      <c r="A175" s="152" t="s">
        <v>1587</v>
      </c>
      <c r="B175" s="153" t="s">
        <v>1576</v>
      </c>
      <c r="C175" s="126" t="s">
        <v>74</v>
      </c>
      <c r="D175">
        <v>131</v>
      </c>
      <c r="E175" s="126" t="s">
        <v>1577</v>
      </c>
      <c r="F175" s="125">
        <v>616</v>
      </c>
      <c r="G175" s="125" t="s">
        <v>104</v>
      </c>
      <c r="H175">
        <v>0</v>
      </c>
      <c r="I175" s="125" t="s">
        <v>1546</v>
      </c>
      <c r="J175" s="308">
        <v>161.73898148148146</v>
      </c>
      <c r="K175" s="127" t="s">
        <v>1547</v>
      </c>
      <c r="L175" s="153" t="s">
        <v>98</v>
      </c>
      <c r="M175">
        <v>0</v>
      </c>
      <c r="N175" s="123">
        <v>18</v>
      </c>
      <c r="O175">
        <v>2</v>
      </c>
      <c r="P175" s="131" t="s">
        <v>78</v>
      </c>
      <c r="Q175" s="132">
        <v>1818638.4</v>
      </c>
      <c r="R175" s="132">
        <v>0</v>
      </c>
      <c r="S175" s="132"/>
      <c r="T175" s="156">
        <v>0</v>
      </c>
      <c r="U175" s="132">
        <v>0</v>
      </c>
      <c r="V175" s="132">
        <f t="shared" si="2"/>
        <v>1818638.4</v>
      </c>
      <c r="W175">
        <v>34</v>
      </c>
      <c r="X175" s="153" t="s">
        <v>1576</v>
      </c>
      <c r="Y175" s="124" t="s">
        <v>55</v>
      </c>
      <c r="Z175" s="308">
        <v>161</v>
      </c>
      <c r="AB175" t="str">
        <f>IF(Table1[[#This Row],[TIPO2]]="costo", VLOOKUP(Table1[[#This Row],[PARTIDA PRESUPUESTAL]],'Cost Report'!G:G,1,0),"Balance")</f>
        <v>Balance</v>
      </c>
      <c r="AC175" s="118"/>
      <c r="AD175" s="159">
        <f>+Table1[[#This Row],[SUBTOTAL]]+Table1[[#This Row],[IVA]]-Table1[[#This Row],[RET IVA]]-Table1[[#This Row],[RET ISR]]-Table1[[#This Row],[TOTAL]]</f>
        <v>0</v>
      </c>
      <c r="AE175" s="152"/>
      <c r="AF175" s="153"/>
      <c r="AG175" s="126"/>
      <c r="AK175" s="306">
        <f>IF(ISNUMBER(Table1[[#This Row],[FECHA DE RECIBIDO]]), Table1[[#This Row],[FECHA DE RECIBIDO]]-DATE(2023,8,30), "")</f>
        <v>-45006.261018518519</v>
      </c>
    </row>
    <row r="176" spans="1:37" ht="16.05" customHeight="1">
      <c r="A176" s="150" t="s">
        <v>1630</v>
      </c>
      <c r="B176" s="151" t="s">
        <v>1576</v>
      </c>
      <c r="C176" s="126" t="s">
        <v>72</v>
      </c>
      <c r="D176"/>
      <c r="E176" s="126"/>
      <c r="F176" s="122"/>
      <c r="G176" s="122" t="s">
        <v>134</v>
      </c>
      <c r="H176"/>
      <c r="I176" s="122" t="s">
        <v>1546</v>
      </c>
      <c r="J176" s="307" t="s">
        <v>214</v>
      </c>
      <c r="K176" s="127" t="s">
        <v>1631</v>
      </c>
      <c r="L176" s="151" t="s">
        <v>156</v>
      </c>
      <c r="M176"/>
      <c r="N176" s="123"/>
      <c r="O176">
        <v>141</v>
      </c>
      <c r="P176" s="131" t="s">
        <v>78</v>
      </c>
      <c r="Q176" s="131">
        <v>318654.25</v>
      </c>
      <c r="R176" s="131">
        <v>0</v>
      </c>
      <c r="S176" s="131"/>
      <c r="T176" s="155">
        <v>0</v>
      </c>
      <c r="U176" s="131">
        <v>0</v>
      </c>
      <c r="V176" s="131">
        <v>318654.25</v>
      </c>
      <c r="W176">
        <v>35</v>
      </c>
      <c r="X176" s="151" t="s">
        <v>157</v>
      </c>
      <c r="Y176" s="135" t="s">
        <v>55</v>
      </c>
      <c r="Z176" s="307">
        <v>174</v>
      </c>
      <c r="AB176" t="str">
        <f>IF(Table1[[#This Row],[TIPO2]]="costo", VLOOKUP(Table1[[#This Row],[PARTIDA PRESUPUESTAL]],'Cost Report'!G:G,1,0),"Balance")</f>
        <v>Balance</v>
      </c>
      <c r="AC176" s="118"/>
      <c r="AD176" s="159">
        <f>+Table1[[#This Row],[SUBTOTAL]]+Table1[[#This Row],[IVA]]-Table1[[#This Row],[RET IVA]]-Table1[[#This Row],[RET ISR]]-Table1[[#This Row],[TOTAL]]</f>
        <v>0</v>
      </c>
      <c r="AE176" s="150"/>
      <c r="AF176" s="151"/>
      <c r="AG176" s="126"/>
      <c r="AK176" s="306" t="str">
        <f>IF(ISNUMBER(Table1[[#This Row],[FECHA DE RECIBIDO]]), Table1[[#This Row],[FECHA DE RECIBIDO]]-DATE(2023,8,30), "")</f>
        <v/>
      </c>
    </row>
    <row r="177" spans="1:37" ht="16.05" customHeight="1">
      <c r="A177" s="152" t="s">
        <v>1632</v>
      </c>
      <c r="B177" s="153" t="s">
        <v>1576</v>
      </c>
      <c r="C177" s="126" t="s">
        <v>73</v>
      </c>
      <c r="D177"/>
      <c r="E177" s="126"/>
      <c r="F177" s="125"/>
      <c r="G177" s="125" t="s">
        <v>134</v>
      </c>
      <c r="H177"/>
      <c r="I177" s="125" t="s">
        <v>1546</v>
      </c>
      <c r="J177" s="308" t="s">
        <v>214</v>
      </c>
      <c r="K177" s="127" t="s">
        <v>1631</v>
      </c>
      <c r="L177" s="153" t="s">
        <v>156</v>
      </c>
      <c r="M177"/>
      <c r="N177" s="123"/>
      <c r="O177">
        <v>142</v>
      </c>
      <c r="P177" s="131" t="s">
        <v>78</v>
      </c>
      <c r="Q177" s="132">
        <v>155039.14000000001</v>
      </c>
      <c r="R177" s="132">
        <v>0</v>
      </c>
      <c r="S177" s="132"/>
      <c r="T177" s="156">
        <v>0</v>
      </c>
      <c r="U177" s="132">
        <v>0</v>
      </c>
      <c r="V177" s="132">
        <v>155039.14000000001</v>
      </c>
      <c r="W177">
        <v>35</v>
      </c>
      <c r="X177" s="153" t="s">
        <v>157</v>
      </c>
      <c r="Y177" s="124" t="s">
        <v>55</v>
      </c>
      <c r="Z177" s="308">
        <v>174</v>
      </c>
      <c r="AB177" t="str">
        <f>IF(Table1[[#This Row],[TIPO2]]="costo", VLOOKUP(Table1[[#This Row],[PARTIDA PRESUPUESTAL]],'Cost Report'!G:G,1,0),"Balance")</f>
        <v>Balance</v>
      </c>
      <c r="AC177" s="118"/>
      <c r="AD177" s="159">
        <f>+Table1[[#This Row],[SUBTOTAL]]+Table1[[#This Row],[IVA]]-Table1[[#This Row],[RET IVA]]-Table1[[#This Row],[RET ISR]]-Table1[[#This Row],[TOTAL]]</f>
        <v>0</v>
      </c>
      <c r="AE177" s="152"/>
      <c r="AF177" s="153"/>
      <c r="AG177" s="126"/>
      <c r="AK177" s="306" t="str">
        <f>IF(ISNUMBER(Table1[[#This Row],[FECHA DE RECIBIDO]]), Table1[[#This Row],[FECHA DE RECIBIDO]]-DATE(2023,8,30), "")</f>
        <v/>
      </c>
    </row>
    <row r="178" spans="1:37" ht="16.05" customHeight="1">
      <c r="A178" s="150" t="s">
        <v>1633</v>
      </c>
      <c r="B178" s="151">
        <v>119</v>
      </c>
      <c r="C178" s="126" t="s">
        <v>674</v>
      </c>
      <c r="D178">
        <v>132</v>
      </c>
      <c r="E178" s="126">
        <v>45693</v>
      </c>
      <c r="F178" s="122">
        <v>601</v>
      </c>
      <c r="G178" s="122" t="s">
        <v>134</v>
      </c>
      <c r="H178">
        <v>37</v>
      </c>
      <c r="I178" s="122" t="s">
        <v>1546</v>
      </c>
      <c r="J178" s="307">
        <v>169.70856481481314</v>
      </c>
      <c r="K178" s="127" t="s">
        <v>1547</v>
      </c>
      <c r="L178" s="151" t="s">
        <v>118</v>
      </c>
      <c r="M178">
        <v>48</v>
      </c>
      <c r="N178" s="123">
        <v>1</v>
      </c>
      <c r="O178">
        <v>143</v>
      </c>
      <c r="P178" s="132" t="s">
        <v>77</v>
      </c>
      <c r="Q178" s="131">
        <v>18600</v>
      </c>
      <c r="R178" s="131">
        <v>2976</v>
      </c>
      <c r="S178" s="131"/>
      <c r="T178" s="155">
        <v>0</v>
      </c>
      <c r="U178" s="131">
        <v>0</v>
      </c>
      <c r="V178" s="131">
        <f t="shared" ref="V178:V181" si="3">+Q178+R178-T178-U178</f>
        <v>21576</v>
      </c>
      <c r="W178">
        <v>32</v>
      </c>
      <c r="X178" s="151" t="s">
        <v>1582</v>
      </c>
      <c r="Y178" s="135" t="s">
        <v>55</v>
      </c>
      <c r="Z178" s="307">
        <v>174</v>
      </c>
      <c r="AB178" t="str">
        <f>IF(Table1[[#This Row],[TIPO2]]="costo", VLOOKUP(Table1[[#This Row],[PARTIDA PRESUPUESTAL]],'Cost Report'!G:G,1,0),"Balance")</f>
        <v>2795-003</v>
      </c>
      <c r="AC178" s="118"/>
      <c r="AD178" s="159">
        <f>+Table1[[#This Row],[SUBTOTAL]]+Table1[[#This Row],[IVA]]-Table1[[#This Row],[RET IVA]]-Table1[[#This Row],[RET ISR]]-Table1[[#This Row],[TOTAL]]</f>
        <v>0</v>
      </c>
      <c r="AE178" s="150"/>
      <c r="AF178" s="151"/>
      <c r="AG178" s="126"/>
      <c r="AK178" s="306">
        <f>IF(ISNUMBER(Table1[[#This Row],[FECHA DE RECIBIDO]]), Table1[[#This Row],[FECHA DE RECIBIDO]]-DATE(2023,8,30), "")</f>
        <v>-44998.291435185187</v>
      </c>
    </row>
    <row r="179" spans="1:37" ht="16.05" customHeight="1">
      <c r="A179" s="152" t="s">
        <v>1634</v>
      </c>
      <c r="B179" s="153">
        <v>120</v>
      </c>
      <c r="C179" s="126" t="s">
        <v>937</v>
      </c>
      <c r="D179">
        <v>133</v>
      </c>
      <c r="E179" s="126">
        <v>44520</v>
      </c>
      <c r="F179" s="125">
        <v>601</v>
      </c>
      <c r="G179" s="125" t="s">
        <v>134</v>
      </c>
      <c r="H179">
        <v>47</v>
      </c>
      <c r="I179" s="125" t="s">
        <v>1546</v>
      </c>
      <c r="J179" s="308">
        <v>173.56998842592293</v>
      </c>
      <c r="K179" s="127" t="s">
        <v>1547</v>
      </c>
      <c r="L179" s="153" t="s">
        <v>118</v>
      </c>
      <c r="M179">
        <v>59</v>
      </c>
      <c r="N179" s="123">
        <v>1</v>
      </c>
      <c r="O179">
        <v>144</v>
      </c>
      <c r="P179" s="132" t="s">
        <v>77</v>
      </c>
      <c r="Q179" s="132">
        <v>22226.89</v>
      </c>
      <c r="R179" s="132">
        <v>3556.3</v>
      </c>
      <c r="S179" s="132">
        <v>0</v>
      </c>
      <c r="T179" s="156">
        <v>0</v>
      </c>
      <c r="U179" s="132">
        <v>0</v>
      </c>
      <c r="V179" s="132">
        <v>25783.19</v>
      </c>
      <c r="W179">
        <v>36</v>
      </c>
      <c r="X179" s="153" t="s">
        <v>195</v>
      </c>
      <c r="Y179" s="124" t="s">
        <v>55</v>
      </c>
      <c r="Z179" s="308">
        <v>174</v>
      </c>
      <c r="AB179" t="str">
        <f>IF(Table1[[#This Row],[TIPO2]]="costo", VLOOKUP(Table1[[#This Row],[PARTIDA PRESUPUESTAL]],'Cost Report'!G:G,1,0),"Balance")</f>
        <v>3401-004</v>
      </c>
      <c r="AC179" s="118"/>
      <c r="AD179" s="159">
        <f>+Table1[[#This Row],[SUBTOTAL]]+Table1[[#This Row],[IVA]]-Table1[[#This Row],[RET IVA]]-Table1[[#This Row],[RET ISR]]-Table1[[#This Row],[TOTAL]]</f>
        <v>0</v>
      </c>
      <c r="AE179" s="152"/>
      <c r="AF179" s="153"/>
      <c r="AG179" s="126"/>
      <c r="AK179" s="306">
        <f>IF(ISNUMBER(Table1[[#This Row],[FECHA DE RECIBIDO]]), Table1[[#This Row],[FECHA DE RECIBIDO]]-DATE(2023,8,30), "")</f>
        <v>-44994.430011574077</v>
      </c>
    </row>
    <row r="180" spans="1:37" ht="16.05" customHeight="1">
      <c r="A180" s="150" t="s">
        <v>1634</v>
      </c>
      <c r="B180" s="151">
        <v>120</v>
      </c>
      <c r="C180" s="126" t="s">
        <v>1417</v>
      </c>
      <c r="D180">
        <v>133</v>
      </c>
      <c r="E180" s="126">
        <v>44520</v>
      </c>
      <c r="F180" s="122">
        <v>601</v>
      </c>
      <c r="G180" s="122" t="s">
        <v>134</v>
      </c>
      <c r="H180">
        <v>47</v>
      </c>
      <c r="I180" s="122" t="s">
        <v>1546</v>
      </c>
      <c r="J180" s="307">
        <v>173.56998842592293</v>
      </c>
      <c r="K180" s="127" t="s">
        <v>1547</v>
      </c>
      <c r="L180" s="151" t="s">
        <v>118</v>
      </c>
      <c r="M180">
        <v>59</v>
      </c>
      <c r="N180" s="123">
        <v>1</v>
      </c>
      <c r="O180">
        <v>144</v>
      </c>
      <c r="P180" s="132" t="s">
        <v>77</v>
      </c>
      <c r="Q180" s="131">
        <v>666.81</v>
      </c>
      <c r="R180" s="131">
        <v>0</v>
      </c>
      <c r="S180" s="131">
        <v>0</v>
      </c>
      <c r="T180" s="155">
        <v>0</v>
      </c>
      <c r="U180" s="131">
        <v>0</v>
      </c>
      <c r="V180" s="131">
        <v>666.81</v>
      </c>
      <c r="W180">
        <v>36</v>
      </c>
      <c r="X180" s="151" t="s">
        <v>195</v>
      </c>
      <c r="Y180" s="135" t="s">
        <v>55</v>
      </c>
      <c r="Z180" s="307">
        <v>174</v>
      </c>
      <c r="AB180" t="str">
        <f>IF(Table1[[#This Row],[TIPO2]]="costo", VLOOKUP(Table1[[#This Row],[PARTIDA PRESUPUESTAL]],'Cost Report'!G:G,1,0),"Balance")</f>
        <v>3999-001</v>
      </c>
      <c r="AC180" s="118"/>
      <c r="AD180" s="159">
        <f>+Table1[[#This Row],[SUBTOTAL]]+Table1[[#This Row],[IVA]]-Table1[[#This Row],[RET IVA]]-Table1[[#This Row],[RET ISR]]-Table1[[#This Row],[TOTAL]]</f>
        <v>0</v>
      </c>
      <c r="AE180" s="150"/>
      <c r="AF180" s="151"/>
      <c r="AG180" s="126"/>
      <c r="AK180" s="306">
        <f>IF(ISNUMBER(Table1[[#This Row],[FECHA DE RECIBIDO]]), Table1[[#This Row],[FECHA DE RECIBIDO]]-DATE(2023,8,30), "")</f>
        <v>-44994.430011574077</v>
      </c>
    </row>
    <row r="181" spans="1:37" ht="16.05" customHeight="1">
      <c r="A181" s="152" t="s">
        <v>1635</v>
      </c>
      <c r="B181" s="153">
        <v>121</v>
      </c>
      <c r="C181" s="126" t="s">
        <v>71</v>
      </c>
      <c r="D181">
        <v>134</v>
      </c>
      <c r="E181" s="126" t="s">
        <v>1636</v>
      </c>
      <c r="F181" s="125">
        <v>601</v>
      </c>
      <c r="G181" s="125" t="s">
        <v>134</v>
      </c>
      <c r="H181">
        <v>48</v>
      </c>
      <c r="I181" s="125" t="s">
        <v>1637</v>
      </c>
      <c r="J181" s="308">
        <v>175.52709490740381</v>
      </c>
      <c r="K181" s="127" t="s">
        <v>1638</v>
      </c>
      <c r="L181" s="153" t="s">
        <v>1579</v>
      </c>
      <c r="M181">
        <v>60</v>
      </c>
      <c r="N181" s="123">
        <v>17</v>
      </c>
      <c r="O181">
        <v>145</v>
      </c>
      <c r="P181" s="131" t="s">
        <v>78</v>
      </c>
      <c r="Q181" s="132">
        <v>1535000</v>
      </c>
      <c r="R181" s="132">
        <v>0</v>
      </c>
      <c r="S181" s="132"/>
      <c r="T181" s="156">
        <v>0</v>
      </c>
      <c r="U181" s="132">
        <v>0</v>
      </c>
      <c r="V181" s="132">
        <f t="shared" si="3"/>
        <v>1535000</v>
      </c>
      <c r="W181">
        <v>37</v>
      </c>
      <c r="X181" s="153" t="s">
        <v>1639</v>
      </c>
      <c r="Y181" s="124" t="s">
        <v>55</v>
      </c>
      <c r="Z181" s="308">
        <v>175</v>
      </c>
      <c r="AB181" t="str">
        <f>IF(Table1[[#This Row],[TIPO2]]="costo", VLOOKUP(Table1[[#This Row],[PARTIDA PRESUPUESTAL]],'Cost Report'!G:G,1,0),"Balance")</f>
        <v>Balance</v>
      </c>
      <c r="AC181" s="118"/>
      <c r="AD181" s="159">
        <f>+Table1[[#This Row],[SUBTOTAL]]+Table1[[#This Row],[IVA]]-Table1[[#This Row],[RET IVA]]-Table1[[#This Row],[RET ISR]]-Table1[[#This Row],[TOTAL]]</f>
        <v>0</v>
      </c>
      <c r="AE181" s="152"/>
      <c r="AF181" s="153"/>
      <c r="AG181" s="126"/>
      <c r="AK181" s="306">
        <f>IF(ISNUMBER(Table1[[#This Row],[FECHA DE RECIBIDO]]), Table1[[#This Row],[FECHA DE RECIBIDO]]-DATE(2023,8,30), "")</f>
        <v>-44992.472905092596</v>
      </c>
    </row>
    <row r="182" spans="1:37">
      <c r="A182" s="150"/>
      <c r="B182" s="151"/>
      <c r="C182" s="126" t="s">
        <v>3097</v>
      </c>
      <c r="D182"/>
      <c r="E182" s="126"/>
      <c r="F182" s="122"/>
      <c r="G182" s="122"/>
      <c r="H182"/>
      <c r="I182" s="122"/>
      <c r="J182" s="307" t="s">
        <v>214</v>
      </c>
      <c r="K182" s="127"/>
      <c r="L182" s="151" t="s">
        <v>118</v>
      </c>
      <c r="M182">
        <v>61</v>
      </c>
      <c r="N182" s="123"/>
      <c r="O182">
        <v>146</v>
      </c>
      <c r="P182" s="132" t="s">
        <v>77</v>
      </c>
      <c r="Q182" s="131">
        <v>1818638.4</v>
      </c>
      <c r="R182" s="131"/>
      <c r="S182" s="131"/>
      <c r="T182" s="155"/>
      <c r="U182" s="131"/>
      <c r="V182" s="131">
        <f>+Table1[[#This Row],[SUBTOTAL]]+Table1[[#This Row],[IVA]]-Table1[[#This Row],[RET IVA]]-Table1[[#This Row],[RET ISR]]</f>
        <v>1818638.4</v>
      </c>
      <c r="W182"/>
      <c r="X182" s="151"/>
      <c r="Y182" s="135" t="s">
        <v>55</v>
      </c>
      <c r="Z182" s="307">
        <v>173</v>
      </c>
      <c r="AB182" t="str">
        <f>IF(Table1[[#This Row],[TIPO2]]="costo", VLOOKUP(Table1[[#This Row],[PARTIDA PRESUPUESTAL]],'Cost Report'!G:G,1,0),"Balance")</f>
        <v>7003-004</v>
      </c>
      <c r="AC182" s="118"/>
      <c r="AD182" s="159">
        <f>+Table1[[#This Row],[SUBTOTAL]]+Table1[[#This Row],[IVA]]-Table1[[#This Row],[RET IVA]]-Table1[[#This Row],[RET ISR]]-Table1[[#This Row],[TOTAL]]</f>
        <v>0</v>
      </c>
      <c r="AE182" s="150"/>
      <c r="AF182" s="151"/>
      <c r="AG182" s="126"/>
      <c r="AK182" s="306" t="str">
        <f>IF(ISNUMBER(Table1[[#This Row],[FECHA DE RECIBIDO]]), Table1[[#This Row],[FECHA DE RECIBIDO]]-DATE(2023,8,30), "")</f>
        <v/>
      </c>
    </row>
    <row r="183" spans="1:37">
      <c r="A183" s="152" t="s">
        <v>1640</v>
      </c>
      <c r="B183" s="153">
        <v>122</v>
      </c>
      <c r="C183" s="126" t="s">
        <v>2765</v>
      </c>
      <c r="D183">
        <v>135</v>
      </c>
      <c r="E183" s="126" t="s">
        <v>1641</v>
      </c>
      <c r="F183" s="125" t="s">
        <v>1607</v>
      </c>
      <c r="G183" s="125" t="s">
        <v>134</v>
      </c>
      <c r="H183">
        <v>49</v>
      </c>
      <c r="I183" s="125" t="s">
        <v>1546</v>
      </c>
      <c r="J183" s="308" t="s">
        <v>214</v>
      </c>
      <c r="K183" s="127" t="s">
        <v>1642</v>
      </c>
      <c r="L183" s="153" t="s">
        <v>1643</v>
      </c>
      <c r="M183">
        <v>62</v>
      </c>
      <c r="N183" s="123">
        <v>17</v>
      </c>
      <c r="O183">
        <v>147</v>
      </c>
      <c r="P183" s="132" t="s">
        <v>77</v>
      </c>
      <c r="Q183" s="132">
        <v>16508</v>
      </c>
      <c r="R183" s="132">
        <v>1946</v>
      </c>
      <c r="S183" s="132"/>
      <c r="T183" s="156"/>
      <c r="U183" s="132"/>
      <c r="V183" s="132">
        <v>18454</v>
      </c>
      <c r="W183">
        <v>38</v>
      </c>
      <c r="X183" s="153" t="s">
        <v>1644</v>
      </c>
      <c r="Y183" s="124" t="s">
        <v>55</v>
      </c>
      <c r="Z183" s="308">
        <v>161</v>
      </c>
      <c r="AB183" t="str">
        <f>IF(Table1[[#This Row],[TIPO2]]="costo", VLOOKUP(Table1[[#This Row],[PARTIDA PRESUPUESTAL]],'Cost Report'!G:G,1,0),"Balance")</f>
        <v>3401-031</v>
      </c>
      <c r="AC183" s="118"/>
      <c r="AD183" s="159">
        <f>+Table1[[#This Row],[SUBTOTAL]]+Table1[[#This Row],[IVA]]-Table1[[#This Row],[RET IVA]]-Table1[[#This Row],[RET ISR]]-Table1[[#This Row],[TOTAL]]</f>
        <v>0</v>
      </c>
      <c r="AE183" s="152"/>
      <c r="AF183" s="153"/>
      <c r="AG183" s="126" t="s">
        <v>3420</v>
      </c>
      <c r="AK183" s="306" t="str">
        <f>IF(ISNUMBER(Table1[[#This Row],[FECHA DE RECIBIDO]]), Table1[[#This Row],[FECHA DE RECIBIDO]]-DATE(2023,8,30), "")</f>
        <v/>
      </c>
    </row>
    <row r="184" spans="1:37" ht="16.05" customHeight="1">
      <c r="A184" s="150" t="s">
        <v>1640</v>
      </c>
      <c r="B184" s="151">
        <v>122</v>
      </c>
      <c r="C184" s="126" t="s">
        <v>2749</v>
      </c>
      <c r="D184">
        <v>136</v>
      </c>
      <c r="E184" s="126" t="s">
        <v>1614</v>
      </c>
      <c r="F184" s="122" t="s">
        <v>1593</v>
      </c>
      <c r="G184" s="122" t="s">
        <v>109</v>
      </c>
      <c r="H184">
        <v>50</v>
      </c>
      <c r="I184" s="122" t="s">
        <v>1546</v>
      </c>
      <c r="J184" s="307" t="s">
        <v>214</v>
      </c>
      <c r="K184" s="127" t="s">
        <v>1642</v>
      </c>
      <c r="L184" s="151" t="s">
        <v>1643</v>
      </c>
      <c r="M184">
        <v>63</v>
      </c>
      <c r="N184" s="123">
        <v>17</v>
      </c>
      <c r="O184">
        <v>148</v>
      </c>
      <c r="P184" s="132" t="s">
        <v>77</v>
      </c>
      <c r="Q184" s="131">
        <v>2367.2399999999998</v>
      </c>
      <c r="R184" s="131">
        <v>378.76</v>
      </c>
      <c r="S184" s="131"/>
      <c r="T184" s="155"/>
      <c r="U184" s="131"/>
      <c r="V184" s="131">
        <v>2746</v>
      </c>
      <c r="W184">
        <v>38</v>
      </c>
      <c r="X184" s="151" t="s">
        <v>1644</v>
      </c>
      <c r="Y184" s="135" t="s">
        <v>55</v>
      </c>
      <c r="Z184" s="307">
        <v>162</v>
      </c>
      <c r="AB184" t="str">
        <f>IF(Table1[[#This Row],[TIPO2]]="costo", VLOOKUP(Table1[[#This Row],[PARTIDA PRESUPUESTAL]],'Cost Report'!G:G,1,0),"Balance")</f>
        <v>3401-011</v>
      </c>
      <c r="AC184" s="118"/>
      <c r="AD184" s="159">
        <f>+Table1[[#This Row],[SUBTOTAL]]+Table1[[#This Row],[IVA]]-Table1[[#This Row],[RET IVA]]-Table1[[#This Row],[RET ISR]]-Table1[[#This Row],[TOTAL]]</f>
        <v>0</v>
      </c>
      <c r="AE184" s="150"/>
      <c r="AF184" s="151"/>
      <c r="AG184" s="126" t="s">
        <v>3420</v>
      </c>
      <c r="AK184" s="306" t="str">
        <f>IF(ISNUMBER(Table1[[#This Row],[FECHA DE RECIBIDO]]), Table1[[#This Row],[FECHA DE RECIBIDO]]-DATE(2023,8,30), "")</f>
        <v/>
      </c>
    </row>
    <row r="185" spans="1:37" ht="16.05" customHeight="1">
      <c r="A185" s="152" t="s">
        <v>1640</v>
      </c>
      <c r="B185" s="153">
        <v>122</v>
      </c>
      <c r="C185" s="126" t="s">
        <v>2749</v>
      </c>
      <c r="D185">
        <v>137</v>
      </c>
      <c r="E185" s="126" t="s">
        <v>1612</v>
      </c>
      <c r="F185" s="125" t="s">
        <v>1593</v>
      </c>
      <c r="G185" s="125" t="s">
        <v>109</v>
      </c>
      <c r="H185">
        <v>51</v>
      </c>
      <c r="I185" s="125" t="s">
        <v>1546</v>
      </c>
      <c r="J185" s="308" t="s">
        <v>214</v>
      </c>
      <c r="K185" s="127" t="s">
        <v>1642</v>
      </c>
      <c r="L185" s="153" t="s">
        <v>1643</v>
      </c>
      <c r="M185">
        <v>64</v>
      </c>
      <c r="N185" s="123">
        <v>17</v>
      </c>
      <c r="O185">
        <v>149</v>
      </c>
      <c r="P185" s="132" t="s">
        <v>77</v>
      </c>
      <c r="Q185" s="132">
        <v>2360.35</v>
      </c>
      <c r="R185" s="132">
        <v>377.66</v>
      </c>
      <c r="S185" s="132"/>
      <c r="T185" s="156"/>
      <c r="U185" s="132"/>
      <c r="V185" s="132">
        <v>2738.0099999999998</v>
      </c>
      <c r="W185">
        <v>38</v>
      </c>
      <c r="X185" s="153" t="s">
        <v>1644</v>
      </c>
      <c r="Y185" s="124" t="s">
        <v>55</v>
      </c>
      <c r="Z185" s="308">
        <v>166</v>
      </c>
      <c r="AB185" t="str">
        <f>IF(Table1[[#This Row],[TIPO2]]="costo", VLOOKUP(Table1[[#This Row],[PARTIDA PRESUPUESTAL]],'Cost Report'!G:G,1,0),"Balance")</f>
        <v>3401-011</v>
      </c>
      <c r="AC185" s="118"/>
      <c r="AD185" s="159">
        <f>+Table1[[#This Row],[SUBTOTAL]]+Table1[[#This Row],[IVA]]-Table1[[#This Row],[RET IVA]]-Table1[[#This Row],[RET ISR]]-Table1[[#This Row],[TOTAL]]</f>
        <v>0</v>
      </c>
      <c r="AE185" s="152"/>
      <c r="AF185" s="153"/>
      <c r="AG185" s="126" t="s">
        <v>3420</v>
      </c>
      <c r="AK185" s="306" t="str">
        <f>IF(ISNUMBER(Table1[[#This Row],[FECHA DE RECIBIDO]]), Table1[[#This Row],[FECHA DE RECIBIDO]]-DATE(2023,8,30), "")</f>
        <v/>
      </c>
    </row>
    <row r="186" spans="1:37" ht="16.05" customHeight="1">
      <c r="A186" s="150" t="s">
        <v>1640</v>
      </c>
      <c r="B186" s="151">
        <v>122</v>
      </c>
      <c r="C186" s="126" t="s">
        <v>2749</v>
      </c>
      <c r="D186">
        <v>138</v>
      </c>
      <c r="E186" s="126" t="s">
        <v>1645</v>
      </c>
      <c r="F186" s="122" t="s">
        <v>1607</v>
      </c>
      <c r="G186" s="122" t="s">
        <v>134</v>
      </c>
      <c r="H186">
        <v>52</v>
      </c>
      <c r="I186" s="122" t="s">
        <v>1546</v>
      </c>
      <c r="J186" s="307" t="s">
        <v>214</v>
      </c>
      <c r="K186" s="127" t="s">
        <v>1642</v>
      </c>
      <c r="L186" s="151" t="s">
        <v>1643</v>
      </c>
      <c r="M186">
        <v>65</v>
      </c>
      <c r="N186" s="123">
        <v>17</v>
      </c>
      <c r="O186">
        <v>150</v>
      </c>
      <c r="P186" s="132" t="s">
        <v>77</v>
      </c>
      <c r="Q186" s="131">
        <v>1631.9</v>
      </c>
      <c r="R186" s="131">
        <v>261.10000000000002</v>
      </c>
      <c r="S186" s="131"/>
      <c r="T186" s="155"/>
      <c r="U186" s="131"/>
      <c r="V186" s="131">
        <v>1893</v>
      </c>
      <c r="W186">
        <v>38</v>
      </c>
      <c r="X186" s="151" t="s">
        <v>1644</v>
      </c>
      <c r="Y186" s="135" t="s">
        <v>55</v>
      </c>
      <c r="Z186" s="307">
        <v>166</v>
      </c>
      <c r="AB186" t="str">
        <f>IF(Table1[[#This Row],[TIPO2]]="costo", VLOOKUP(Table1[[#This Row],[PARTIDA PRESUPUESTAL]],'Cost Report'!G:G,1,0),"Balance")</f>
        <v>3401-011</v>
      </c>
      <c r="AC186" s="118"/>
      <c r="AD186" s="159">
        <f>+Table1[[#This Row],[SUBTOTAL]]+Table1[[#This Row],[IVA]]-Table1[[#This Row],[RET IVA]]-Table1[[#This Row],[RET ISR]]-Table1[[#This Row],[TOTAL]]</f>
        <v>0</v>
      </c>
      <c r="AE186" s="150"/>
      <c r="AF186" s="151"/>
      <c r="AG186" s="126" t="s">
        <v>3420</v>
      </c>
      <c r="AK186" s="306" t="str">
        <f>IF(ISNUMBER(Table1[[#This Row],[FECHA DE RECIBIDO]]), Table1[[#This Row],[FECHA DE RECIBIDO]]-DATE(2023,8,30), "")</f>
        <v/>
      </c>
    </row>
    <row r="187" spans="1:37" ht="16.05" customHeight="1">
      <c r="A187" s="152" t="s">
        <v>1640</v>
      </c>
      <c r="B187" s="153">
        <v>122</v>
      </c>
      <c r="C187" s="126" t="s">
        <v>2749</v>
      </c>
      <c r="D187">
        <v>139</v>
      </c>
      <c r="E187" s="126" t="s">
        <v>1646</v>
      </c>
      <c r="F187" s="125" t="s">
        <v>1589</v>
      </c>
      <c r="G187" s="125" t="s">
        <v>129</v>
      </c>
      <c r="H187">
        <v>53</v>
      </c>
      <c r="I187" s="125" t="s">
        <v>1546</v>
      </c>
      <c r="J187" s="308" t="s">
        <v>214</v>
      </c>
      <c r="K187" s="127" t="s">
        <v>1642</v>
      </c>
      <c r="L187" s="153" t="s">
        <v>1643</v>
      </c>
      <c r="M187">
        <v>66</v>
      </c>
      <c r="N187" s="123">
        <v>17</v>
      </c>
      <c r="O187">
        <v>151</v>
      </c>
      <c r="P187" s="132" t="s">
        <v>77</v>
      </c>
      <c r="Q187" s="132">
        <v>2000.01</v>
      </c>
      <c r="R187" s="132">
        <v>320.02999999999997</v>
      </c>
      <c r="S187" s="132"/>
      <c r="T187" s="156"/>
      <c r="U187" s="132"/>
      <c r="V187" s="132">
        <v>2320.04</v>
      </c>
      <c r="W187">
        <v>38</v>
      </c>
      <c r="X187" s="153" t="s">
        <v>1644</v>
      </c>
      <c r="Y187" s="124" t="s">
        <v>55</v>
      </c>
      <c r="Z187" s="308">
        <v>166</v>
      </c>
      <c r="AB187" t="str">
        <f>IF(Table1[[#This Row],[TIPO2]]="costo", VLOOKUP(Table1[[#This Row],[PARTIDA PRESUPUESTAL]],'Cost Report'!G:G,1,0),"Balance")</f>
        <v>3401-011</v>
      </c>
      <c r="AC187" s="118"/>
      <c r="AD187" s="159">
        <f>+Table1[[#This Row],[SUBTOTAL]]+Table1[[#This Row],[IVA]]-Table1[[#This Row],[RET IVA]]-Table1[[#This Row],[RET ISR]]-Table1[[#This Row],[TOTAL]]</f>
        <v>0</v>
      </c>
      <c r="AE187" s="152"/>
      <c r="AF187" s="153"/>
      <c r="AG187" s="126" t="s">
        <v>3420</v>
      </c>
      <c r="AK187" s="306" t="str">
        <f>IF(ISNUMBER(Table1[[#This Row],[FECHA DE RECIBIDO]]), Table1[[#This Row],[FECHA DE RECIBIDO]]-DATE(2023,8,30), "")</f>
        <v/>
      </c>
    </row>
    <row r="188" spans="1:37" ht="16.05" customHeight="1">
      <c r="A188" s="150" t="s">
        <v>1640</v>
      </c>
      <c r="B188" s="151">
        <v>122</v>
      </c>
      <c r="C188" s="126" t="s">
        <v>2749</v>
      </c>
      <c r="D188">
        <v>140</v>
      </c>
      <c r="E188" s="126" t="s">
        <v>1603</v>
      </c>
      <c r="F188" s="122" t="s">
        <v>1607</v>
      </c>
      <c r="G188" s="122" t="s">
        <v>134</v>
      </c>
      <c r="H188">
        <v>43</v>
      </c>
      <c r="I188" s="122" t="s">
        <v>1546</v>
      </c>
      <c r="J188" s="307" t="s">
        <v>214</v>
      </c>
      <c r="K188" s="127" t="s">
        <v>1642</v>
      </c>
      <c r="L188" s="151" t="s">
        <v>1643</v>
      </c>
      <c r="M188">
        <v>67</v>
      </c>
      <c r="N188" s="123">
        <v>17</v>
      </c>
      <c r="O188">
        <v>152</v>
      </c>
      <c r="P188" s="132" t="s">
        <v>77</v>
      </c>
      <c r="Q188" s="131">
        <v>38.5</v>
      </c>
      <c r="R188" s="131"/>
      <c r="S188" s="131"/>
      <c r="T188" s="155"/>
      <c r="U188" s="131"/>
      <c r="V188" s="131">
        <v>38.5</v>
      </c>
      <c r="W188">
        <v>38</v>
      </c>
      <c r="X188" s="151" t="s">
        <v>1644</v>
      </c>
      <c r="Y188" s="135" t="s">
        <v>55</v>
      </c>
      <c r="Z188" s="307">
        <v>166</v>
      </c>
      <c r="AB188" t="str">
        <f>IF(Table1[[#This Row],[TIPO2]]="costo", VLOOKUP(Table1[[#This Row],[PARTIDA PRESUPUESTAL]],'Cost Report'!G:G,1,0),"Balance")</f>
        <v>3401-011</v>
      </c>
      <c r="AC188" s="118"/>
      <c r="AD188" s="159">
        <f>+Table1[[#This Row],[SUBTOTAL]]+Table1[[#This Row],[IVA]]-Table1[[#This Row],[RET IVA]]-Table1[[#This Row],[RET ISR]]-Table1[[#This Row],[TOTAL]]</f>
        <v>0</v>
      </c>
      <c r="AE188" s="150"/>
      <c r="AF188" s="151"/>
      <c r="AG188" s="126" t="s">
        <v>3420</v>
      </c>
      <c r="AK188" s="306" t="str">
        <f>IF(ISNUMBER(Table1[[#This Row],[FECHA DE RECIBIDO]]), Table1[[#This Row],[FECHA DE RECIBIDO]]-DATE(2023,8,30), "")</f>
        <v/>
      </c>
    </row>
    <row r="189" spans="1:37" ht="16.05" customHeight="1">
      <c r="A189" s="152" t="s">
        <v>1640</v>
      </c>
      <c r="B189" s="153">
        <v>122</v>
      </c>
      <c r="C189" s="126" t="s">
        <v>2749</v>
      </c>
      <c r="D189">
        <v>141</v>
      </c>
      <c r="E189" s="126" t="s">
        <v>1603</v>
      </c>
      <c r="F189" s="125" t="s">
        <v>1607</v>
      </c>
      <c r="G189" s="125" t="s">
        <v>134</v>
      </c>
      <c r="H189">
        <v>43</v>
      </c>
      <c r="I189" s="125" t="s">
        <v>1546</v>
      </c>
      <c r="J189" s="308" t="s">
        <v>214</v>
      </c>
      <c r="K189" s="127" t="s">
        <v>1642</v>
      </c>
      <c r="L189" s="153" t="s">
        <v>1643</v>
      </c>
      <c r="M189">
        <v>67</v>
      </c>
      <c r="N189" s="123">
        <v>17</v>
      </c>
      <c r="O189">
        <v>152</v>
      </c>
      <c r="P189" s="132" t="s">
        <v>77</v>
      </c>
      <c r="Q189" s="132">
        <v>38.5</v>
      </c>
      <c r="R189" s="132"/>
      <c r="S189" s="132"/>
      <c r="T189" s="156"/>
      <c r="U189" s="132"/>
      <c r="V189" s="132">
        <v>38.5</v>
      </c>
      <c r="W189">
        <v>38</v>
      </c>
      <c r="X189" s="153" t="s">
        <v>1644</v>
      </c>
      <c r="Y189" s="124" t="s">
        <v>55</v>
      </c>
      <c r="Z189" s="308">
        <v>166</v>
      </c>
      <c r="AB189" t="str">
        <f>IF(Table1[[#This Row],[TIPO2]]="costo", VLOOKUP(Table1[[#This Row],[PARTIDA PRESUPUESTAL]],'Cost Report'!G:G,1,0),"Balance")</f>
        <v>3401-011</v>
      </c>
      <c r="AC189" s="118"/>
      <c r="AD189" s="159">
        <f>+Table1[[#This Row],[SUBTOTAL]]+Table1[[#This Row],[IVA]]-Table1[[#This Row],[RET IVA]]-Table1[[#This Row],[RET ISR]]-Table1[[#This Row],[TOTAL]]</f>
        <v>0</v>
      </c>
      <c r="AE189" s="152"/>
      <c r="AF189" s="153"/>
      <c r="AG189" s="126" t="s">
        <v>3420</v>
      </c>
      <c r="AK189" s="306" t="str">
        <f>IF(ISNUMBER(Table1[[#This Row],[FECHA DE RECIBIDO]]), Table1[[#This Row],[FECHA DE RECIBIDO]]-DATE(2023,8,30), "")</f>
        <v/>
      </c>
    </row>
    <row r="190" spans="1:37" ht="16.05" customHeight="1">
      <c r="A190" s="150" t="s">
        <v>1640</v>
      </c>
      <c r="B190" s="151">
        <v>122</v>
      </c>
      <c r="C190" s="126" t="s">
        <v>2749</v>
      </c>
      <c r="D190">
        <v>142</v>
      </c>
      <c r="E190" s="126" t="s">
        <v>1612</v>
      </c>
      <c r="F190" s="122" t="s">
        <v>1607</v>
      </c>
      <c r="G190" s="122" t="s">
        <v>134</v>
      </c>
      <c r="H190">
        <v>54</v>
      </c>
      <c r="I190" s="122" t="s">
        <v>1546</v>
      </c>
      <c r="J190" s="307" t="s">
        <v>214</v>
      </c>
      <c r="K190" s="127" t="s">
        <v>1642</v>
      </c>
      <c r="L190" s="151" t="s">
        <v>1643</v>
      </c>
      <c r="M190">
        <v>68</v>
      </c>
      <c r="N190" s="123">
        <v>17</v>
      </c>
      <c r="O190">
        <v>153</v>
      </c>
      <c r="P190" s="132" t="s">
        <v>77</v>
      </c>
      <c r="Q190" s="131">
        <v>2922.41</v>
      </c>
      <c r="R190" s="131">
        <v>467.59</v>
      </c>
      <c r="S190" s="131"/>
      <c r="T190" s="155"/>
      <c r="U190" s="131"/>
      <c r="V190" s="131">
        <v>3390</v>
      </c>
      <c r="W190">
        <v>38</v>
      </c>
      <c r="X190" s="151" t="s">
        <v>1644</v>
      </c>
      <c r="Y190" s="135" t="s">
        <v>55</v>
      </c>
      <c r="Z190" s="307">
        <v>166</v>
      </c>
      <c r="AB190" t="str">
        <f>IF(Table1[[#This Row],[TIPO2]]="costo", VLOOKUP(Table1[[#This Row],[PARTIDA PRESUPUESTAL]],'Cost Report'!G:G,1,0),"Balance")</f>
        <v>3401-011</v>
      </c>
      <c r="AC190" s="118"/>
      <c r="AD190" s="159">
        <f>+Table1[[#This Row],[SUBTOTAL]]+Table1[[#This Row],[IVA]]-Table1[[#This Row],[RET IVA]]-Table1[[#This Row],[RET ISR]]-Table1[[#This Row],[TOTAL]]</f>
        <v>0</v>
      </c>
      <c r="AE190" s="150"/>
      <c r="AF190" s="151"/>
      <c r="AG190" s="126" t="s">
        <v>3420</v>
      </c>
      <c r="AK190" s="306" t="str">
        <f>IF(ISNUMBER(Table1[[#This Row],[FECHA DE RECIBIDO]]), Table1[[#This Row],[FECHA DE RECIBIDO]]-DATE(2023,8,30), "")</f>
        <v/>
      </c>
    </row>
    <row r="191" spans="1:37" ht="16.05" customHeight="1">
      <c r="A191" s="152" t="s">
        <v>1640</v>
      </c>
      <c r="B191" s="153">
        <v>122</v>
      </c>
      <c r="C191" s="126" t="s">
        <v>2749</v>
      </c>
      <c r="D191">
        <v>143</v>
      </c>
      <c r="E191" s="126" t="s">
        <v>1610</v>
      </c>
      <c r="F191" s="125" t="s">
        <v>1382</v>
      </c>
      <c r="G191" s="125" t="s">
        <v>134</v>
      </c>
      <c r="H191">
        <v>31</v>
      </c>
      <c r="I191" s="125" t="s">
        <v>1546</v>
      </c>
      <c r="J191" s="308" t="s">
        <v>214</v>
      </c>
      <c r="K191" s="127" t="s">
        <v>1642</v>
      </c>
      <c r="L191" s="153" t="s">
        <v>1643</v>
      </c>
      <c r="M191">
        <v>69</v>
      </c>
      <c r="N191" s="123">
        <v>17</v>
      </c>
      <c r="O191">
        <v>154</v>
      </c>
      <c r="P191" s="132" t="s">
        <v>77</v>
      </c>
      <c r="Q191" s="132">
        <v>245.22</v>
      </c>
      <c r="R191" s="132">
        <v>24.27</v>
      </c>
      <c r="S191" s="132"/>
      <c r="T191" s="156"/>
      <c r="U191" s="132"/>
      <c r="V191" s="132">
        <v>269.49</v>
      </c>
      <c r="W191">
        <v>38</v>
      </c>
      <c r="X191" s="153" t="s">
        <v>1644</v>
      </c>
      <c r="Y191" s="124" t="s">
        <v>55</v>
      </c>
      <c r="Z191" s="308">
        <v>167</v>
      </c>
      <c r="AB191" t="str">
        <f>IF(Table1[[#This Row],[TIPO2]]="costo", VLOOKUP(Table1[[#This Row],[PARTIDA PRESUPUESTAL]],'Cost Report'!G:G,1,0),"Balance")</f>
        <v>3401-011</v>
      </c>
      <c r="AC191" s="118"/>
      <c r="AD191" s="159">
        <f>+Table1[[#This Row],[SUBTOTAL]]+Table1[[#This Row],[IVA]]-Table1[[#This Row],[RET IVA]]-Table1[[#This Row],[RET ISR]]-Table1[[#This Row],[TOTAL]]</f>
        <v>0</v>
      </c>
      <c r="AE191" s="152"/>
      <c r="AF191" s="153"/>
      <c r="AG191" s="126" t="s">
        <v>3420</v>
      </c>
      <c r="AK191" s="306" t="str">
        <f>IF(ISNUMBER(Table1[[#This Row],[FECHA DE RECIBIDO]]), Table1[[#This Row],[FECHA DE RECIBIDO]]-DATE(2023,8,30), "")</f>
        <v/>
      </c>
    </row>
    <row r="192" spans="1:37" ht="16.05" customHeight="1">
      <c r="A192" s="150" t="s">
        <v>1640</v>
      </c>
      <c r="B192" s="151">
        <v>122</v>
      </c>
      <c r="C192" s="126" t="s">
        <v>2749</v>
      </c>
      <c r="D192">
        <v>144</v>
      </c>
      <c r="E192" s="126" t="s">
        <v>1647</v>
      </c>
      <c r="F192" s="122" t="s">
        <v>1607</v>
      </c>
      <c r="G192" s="122" t="s">
        <v>134</v>
      </c>
      <c r="H192">
        <v>55</v>
      </c>
      <c r="I192" s="122" t="s">
        <v>1546</v>
      </c>
      <c r="J192" s="307" t="s">
        <v>214</v>
      </c>
      <c r="K192" s="127" t="s">
        <v>1642</v>
      </c>
      <c r="L192" s="151" t="s">
        <v>1643</v>
      </c>
      <c r="M192">
        <v>70</v>
      </c>
      <c r="N192" s="123">
        <v>17</v>
      </c>
      <c r="O192">
        <v>155</v>
      </c>
      <c r="P192" s="132" t="s">
        <v>77</v>
      </c>
      <c r="Q192" s="131">
        <v>733.62</v>
      </c>
      <c r="R192" s="131">
        <v>117.38</v>
      </c>
      <c r="S192" s="131"/>
      <c r="T192" s="155"/>
      <c r="U192" s="131"/>
      <c r="V192" s="131">
        <v>851</v>
      </c>
      <c r="W192">
        <v>38</v>
      </c>
      <c r="X192" s="151" t="s">
        <v>1644</v>
      </c>
      <c r="Y192" s="135" t="s">
        <v>55</v>
      </c>
      <c r="Z192" s="307">
        <v>169</v>
      </c>
      <c r="AB192" t="str">
        <f>IF(Table1[[#This Row],[TIPO2]]="costo", VLOOKUP(Table1[[#This Row],[PARTIDA PRESUPUESTAL]],'Cost Report'!G:G,1,0),"Balance")</f>
        <v>3401-011</v>
      </c>
      <c r="AC192" s="118"/>
      <c r="AD192" s="159">
        <f>+Table1[[#This Row],[SUBTOTAL]]+Table1[[#This Row],[IVA]]-Table1[[#This Row],[RET IVA]]-Table1[[#This Row],[RET ISR]]-Table1[[#This Row],[TOTAL]]</f>
        <v>0</v>
      </c>
      <c r="AE192" s="150"/>
      <c r="AF192" s="151"/>
      <c r="AG192" s="126" t="s">
        <v>3420</v>
      </c>
      <c r="AK192" s="306" t="str">
        <f>IF(ISNUMBER(Table1[[#This Row],[FECHA DE RECIBIDO]]), Table1[[#This Row],[FECHA DE RECIBIDO]]-DATE(2023,8,30), "")</f>
        <v/>
      </c>
    </row>
    <row r="193" spans="1:37" ht="16.05" customHeight="1">
      <c r="A193" s="152" t="s">
        <v>1640</v>
      </c>
      <c r="B193" s="153">
        <v>122</v>
      </c>
      <c r="C193" s="126" t="s">
        <v>940</v>
      </c>
      <c r="D193"/>
      <c r="E193" s="126"/>
      <c r="F193" s="125"/>
      <c r="G193" s="125"/>
      <c r="H193"/>
      <c r="I193" s="125"/>
      <c r="J193" s="308">
        <v>161</v>
      </c>
      <c r="K193" s="127" t="s">
        <v>1642</v>
      </c>
      <c r="L193" s="153" t="s">
        <v>1643</v>
      </c>
      <c r="M193">
        <v>71</v>
      </c>
      <c r="N193" s="123">
        <v>17</v>
      </c>
      <c r="O193">
        <v>156</v>
      </c>
      <c r="P193" s="132" t="s">
        <v>77</v>
      </c>
      <c r="Q193" s="132">
        <v>189.3</v>
      </c>
      <c r="R193" s="132"/>
      <c r="S193" s="132"/>
      <c r="T193" s="156"/>
      <c r="U193" s="132"/>
      <c r="V193" s="132">
        <v>189.3</v>
      </c>
      <c r="W193">
        <v>38</v>
      </c>
      <c r="X193" s="153" t="s">
        <v>1644</v>
      </c>
      <c r="Y193" s="124" t="s">
        <v>55</v>
      </c>
      <c r="Z193" s="308">
        <v>161</v>
      </c>
      <c r="AB193" t="str">
        <f>IF(Table1[[#This Row],[TIPO2]]="costo", VLOOKUP(Table1[[#This Row],[PARTIDA PRESUPUESTAL]],'Cost Report'!G:G,1,0),"Balance")</f>
        <v>3401-009</v>
      </c>
      <c r="AC193" s="118"/>
      <c r="AD193" s="159">
        <f>+Table1[[#This Row],[SUBTOTAL]]+Table1[[#This Row],[IVA]]-Table1[[#This Row],[RET IVA]]-Table1[[#This Row],[RET ISR]]-Table1[[#This Row],[TOTAL]]</f>
        <v>0</v>
      </c>
      <c r="AE193" s="152"/>
      <c r="AF193" s="153"/>
      <c r="AG193" s="126" t="s">
        <v>3420</v>
      </c>
      <c r="AK193" s="306">
        <f>IF(ISNUMBER(Table1[[#This Row],[FECHA DE RECIBIDO]]), Table1[[#This Row],[FECHA DE RECIBIDO]]-DATE(2023,8,30), "")</f>
        <v>-45007</v>
      </c>
    </row>
    <row r="194" spans="1:37" ht="16.05" customHeight="1">
      <c r="A194" s="150" t="s">
        <v>1640</v>
      </c>
      <c r="B194" s="151">
        <v>122</v>
      </c>
      <c r="C194" s="126" t="s">
        <v>940</v>
      </c>
      <c r="D194"/>
      <c r="E194" s="126"/>
      <c r="F194" s="122"/>
      <c r="G194" s="122"/>
      <c r="H194"/>
      <c r="I194" s="122"/>
      <c r="J194" s="307">
        <v>161</v>
      </c>
      <c r="K194" s="127" t="s">
        <v>1642</v>
      </c>
      <c r="L194" s="151" t="s">
        <v>1643</v>
      </c>
      <c r="M194">
        <v>72</v>
      </c>
      <c r="N194" s="123">
        <v>17</v>
      </c>
      <c r="O194">
        <v>157</v>
      </c>
      <c r="P194" s="132" t="s">
        <v>77</v>
      </c>
      <c r="Q194" s="131">
        <v>339</v>
      </c>
      <c r="R194" s="131"/>
      <c r="S194" s="131"/>
      <c r="T194" s="155"/>
      <c r="U194" s="131"/>
      <c r="V194" s="131">
        <v>339</v>
      </c>
      <c r="W194">
        <v>38</v>
      </c>
      <c r="X194" s="151" t="s">
        <v>1644</v>
      </c>
      <c r="Y194" s="135" t="s">
        <v>55</v>
      </c>
      <c r="Z194" s="307">
        <v>161</v>
      </c>
      <c r="AB194" t="str">
        <f>IF(Table1[[#This Row],[TIPO2]]="costo", VLOOKUP(Table1[[#This Row],[PARTIDA PRESUPUESTAL]],'Cost Report'!G:G,1,0),"Balance")</f>
        <v>3401-009</v>
      </c>
      <c r="AC194" s="118"/>
      <c r="AD194" s="159">
        <f>+Table1[[#This Row],[SUBTOTAL]]+Table1[[#This Row],[IVA]]-Table1[[#This Row],[RET IVA]]-Table1[[#This Row],[RET ISR]]-Table1[[#This Row],[TOTAL]]</f>
        <v>0</v>
      </c>
      <c r="AE194" s="150"/>
      <c r="AF194" s="151"/>
      <c r="AG194" s="126" t="s">
        <v>3420</v>
      </c>
      <c r="AK194" s="306">
        <f>IF(ISNUMBER(Table1[[#This Row],[FECHA DE RECIBIDO]]), Table1[[#This Row],[FECHA DE RECIBIDO]]-DATE(2023,8,30), "")</f>
        <v>-45007</v>
      </c>
    </row>
    <row r="195" spans="1:37" ht="16.05" customHeight="1">
      <c r="A195" s="152" t="s">
        <v>1640</v>
      </c>
      <c r="B195" s="153">
        <v>122</v>
      </c>
      <c r="C195" s="126" t="s">
        <v>940</v>
      </c>
      <c r="D195"/>
      <c r="E195" s="126"/>
      <c r="F195" s="125"/>
      <c r="G195" s="125"/>
      <c r="H195"/>
      <c r="I195" s="125"/>
      <c r="J195" s="308">
        <v>162</v>
      </c>
      <c r="K195" s="127" t="s">
        <v>1642</v>
      </c>
      <c r="L195" s="153" t="s">
        <v>1643</v>
      </c>
      <c r="M195">
        <v>73</v>
      </c>
      <c r="N195" s="123">
        <v>17</v>
      </c>
      <c r="O195">
        <v>158</v>
      </c>
      <c r="P195" s="132" t="s">
        <v>77</v>
      </c>
      <c r="Q195" s="132">
        <v>275</v>
      </c>
      <c r="R195" s="132"/>
      <c r="S195" s="132"/>
      <c r="T195" s="156"/>
      <c r="U195" s="132"/>
      <c r="V195" s="132">
        <v>275</v>
      </c>
      <c r="W195">
        <v>38</v>
      </c>
      <c r="X195" s="153" t="s">
        <v>1644</v>
      </c>
      <c r="Y195" s="124" t="s">
        <v>55</v>
      </c>
      <c r="Z195" s="308">
        <v>162</v>
      </c>
      <c r="AB195" t="str">
        <f>IF(Table1[[#This Row],[TIPO2]]="costo", VLOOKUP(Table1[[#This Row],[PARTIDA PRESUPUESTAL]],'Cost Report'!G:G,1,0),"Balance")</f>
        <v>3401-009</v>
      </c>
      <c r="AC195" s="118"/>
      <c r="AD195" s="159">
        <f>+Table1[[#This Row],[SUBTOTAL]]+Table1[[#This Row],[IVA]]-Table1[[#This Row],[RET IVA]]-Table1[[#This Row],[RET ISR]]-Table1[[#This Row],[TOTAL]]</f>
        <v>0</v>
      </c>
      <c r="AE195" s="152"/>
      <c r="AF195" s="153"/>
      <c r="AG195" s="126" t="s">
        <v>3420</v>
      </c>
      <c r="AK195" s="306">
        <f>IF(ISNUMBER(Table1[[#This Row],[FECHA DE RECIBIDO]]), Table1[[#This Row],[FECHA DE RECIBIDO]]-DATE(2023,8,30), "")</f>
        <v>-45006</v>
      </c>
    </row>
    <row r="196" spans="1:37" ht="16.05" customHeight="1">
      <c r="A196" s="150" t="s">
        <v>1640</v>
      </c>
      <c r="B196" s="151">
        <v>122</v>
      </c>
      <c r="C196" s="126" t="s">
        <v>2758</v>
      </c>
      <c r="D196"/>
      <c r="E196" s="126"/>
      <c r="F196" s="122"/>
      <c r="G196" s="122"/>
      <c r="H196"/>
      <c r="I196" s="122"/>
      <c r="J196" s="307">
        <v>163</v>
      </c>
      <c r="K196" s="127" t="s">
        <v>1642</v>
      </c>
      <c r="L196" s="151" t="s">
        <v>1643</v>
      </c>
      <c r="M196">
        <v>74</v>
      </c>
      <c r="N196" s="123">
        <v>17</v>
      </c>
      <c r="O196">
        <v>159</v>
      </c>
      <c r="P196" s="132" t="s">
        <v>77</v>
      </c>
      <c r="Q196" s="131">
        <v>27</v>
      </c>
      <c r="R196" s="131"/>
      <c r="S196" s="131"/>
      <c r="T196" s="155"/>
      <c r="U196" s="131"/>
      <c r="V196" s="131">
        <v>27</v>
      </c>
      <c r="W196">
        <v>38</v>
      </c>
      <c r="X196" s="151" t="s">
        <v>1644</v>
      </c>
      <c r="Y196" s="135" t="s">
        <v>55</v>
      </c>
      <c r="Z196" s="307">
        <v>163</v>
      </c>
      <c r="AB196" t="str">
        <f>IF(Table1[[#This Row],[TIPO2]]="costo", VLOOKUP(Table1[[#This Row],[PARTIDA PRESUPUESTAL]],'Cost Report'!G:G,1,0),"Balance")</f>
        <v>3401-022</v>
      </c>
      <c r="AC196" s="118"/>
      <c r="AD196" s="159">
        <f>+Table1[[#This Row],[SUBTOTAL]]+Table1[[#This Row],[IVA]]-Table1[[#This Row],[RET IVA]]-Table1[[#This Row],[RET ISR]]-Table1[[#This Row],[TOTAL]]</f>
        <v>0</v>
      </c>
      <c r="AE196" s="150"/>
      <c r="AF196" s="151"/>
      <c r="AG196" s="126" t="s">
        <v>3420</v>
      </c>
      <c r="AK196" s="306">
        <f>IF(ISNUMBER(Table1[[#This Row],[FECHA DE RECIBIDO]]), Table1[[#This Row],[FECHA DE RECIBIDO]]-DATE(2023,8,30), "")</f>
        <v>-45005</v>
      </c>
    </row>
    <row r="197" spans="1:37" ht="16.05" customHeight="1">
      <c r="A197" s="152" t="s">
        <v>1640</v>
      </c>
      <c r="B197" s="153">
        <v>122</v>
      </c>
      <c r="C197" s="126" t="s">
        <v>940</v>
      </c>
      <c r="D197"/>
      <c r="E197" s="126"/>
      <c r="F197" s="125"/>
      <c r="G197" s="125"/>
      <c r="H197"/>
      <c r="I197" s="125"/>
      <c r="J197" s="308">
        <v>163</v>
      </c>
      <c r="K197" s="127" t="s">
        <v>1642</v>
      </c>
      <c r="L197" s="153" t="s">
        <v>1643</v>
      </c>
      <c r="M197">
        <v>75</v>
      </c>
      <c r="N197" s="123">
        <v>17</v>
      </c>
      <c r="O197">
        <v>160</v>
      </c>
      <c r="P197" s="132" t="s">
        <v>77</v>
      </c>
      <c r="Q197" s="132">
        <v>273.8</v>
      </c>
      <c r="R197" s="132"/>
      <c r="S197" s="132"/>
      <c r="T197" s="156"/>
      <c r="U197" s="132"/>
      <c r="V197" s="132">
        <v>273.8</v>
      </c>
      <c r="W197">
        <v>38</v>
      </c>
      <c r="X197" s="153" t="s">
        <v>1644</v>
      </c>
      <c r="Y197" s="124" t="s">
        <v>55</v>
      </c>
      <c r="Z197" s="308">
        <v>163</v>
      </c>
      <c r="AB197" t="str">
        <f>IF(Table1[[#This Row],[TIPO2]]="costo", VLOOKUP(Table1[[#This Row],[PARTIDA PRESUPUESTAL]],'Cost Report'!G:G,1,0),"Balance")</f>
        <v>3401-009</v>
      </c>
      <c r="AC197" s="118"/>
      <c r="AD197" s="159">
        <f>+Table1[[#This Row],[SUBTOTAL]]+Table1[[#This Row],[IVA]]-Table1[[#This Row],[RET IVA]]-Table1[[#This Row],[RET ISR]]-Table1[[#This Row],[TOTAL]]</f>
        <v>0</v>
      </c>
      <c r="AE197" s="152"/>
      <c r="AF197" s="153"/>
      <c r="AG197" s="126" t="s">
        <v>3420</v>
      </c>
      <c r="AK197" s="306">
        <f>IF(ISNUMBER(Table1[[#This Row],[FECHA DE RECIBIDO]]), Table1[[#This Row],[FECHA DE RECIBIDO]]-DATE(2023,8,30), "")</f>
        <v>-45005</v>
      </c>
    </row>
    <row r="198" spans="1:37" ht="16.05" customHeight="1">
      <c r="A198" s="150" t="s">
        <v>1640</v>
      </c>
      <c r="B198" s="151">
        <v>122</v>
      </c>
      <c r="C198" s="126" t="s">
        <v>940</v>
      </c>
      <c r="D198"/>
      <c r="E198" s="126"/>
      <c r="F198" s="122"/>
      <c r="G198" s="122"/>
      <c r="H198"/>
      <c r="I198" s="122"/>
      <c r="J198" s="307">
        <v>164</v>
      </c>
      <c r="K198" s="127" t="s">
        <v>1642</v>
      </c>
      <c r="L198" s="151" t="s">
        <v>1643</v>
      </c>
      <c r="M198">
        <v>76</v>
      </c>
      <c r="N198" s="123">
        <v>17</v>
      </c>
      <c r="O198">
        <v>161</v>
      </c>
      <c r="P198" s="132" t="s">
        <v>77</v>
      </c>
      <c r="Q198" s="131">
        <v>278.39999999999998</v>
      </c>
      <c r="R198" s="131"/>
      <c r="S198" s="131"/>
      <c r="T198" s="155"/>
      <c r="U198" s="131"/>
      <c r="V198" s="131">
        <v>278.39999999999998</v>
      </c>
      <c r="W198">
        <v>38</v>
      </c>
      <c r="X198" s="151" t="s">
        <v>1644</v>
      </c>
      <c r="Y198" s="135" t="s">
        <v>55</v>
      </c>
      <c r="Z198" s="307">
        <v>164</v>
      </c>
      <c r="AB198" t="str">
        <f>IF(Table1[[#This Row],[TIPO2]]="costo", VLOOKUP(Table1[[#This Row],[PARTIDA PRESUPUESTAL]],'Cost Report'!G:G,1,0),"Balance")</f>
        <v>3401-009</v>
      </c>
      <c r="AC198" s="118"/>
      <c r="AD198" s="159">
        <f>+Table1[[#This Row],[SUBTOTAL]]+Table1[[#This Row],[IVA]]-Table1[[#This Row],[RET IVA]]-Table1[[#This Row],[RET ISR]]-Table1[[#This Row],[TOTAL]]</f>
        <v>0</v>
      </c>
      <c r="AE198" s="150"/>
      <c r="AF198" s="151"/>
      <c r="AG198" s="126" t="s">
        <v>3420</v>
      </c>
      <c r="AK198" s="306">
        <f>IF(ISNUMBER(Table1[[#This Row],[FECHA DE RECIBIDO]]), Table1[[#This Row],[FECHA DE RECIBIDO]]-DATE(2023,8,30), "")</f>
        <v>-45004</v>
      </c>
    </row>
    <row r="199" spans="1:37" ht="16.05" customHeight="1">
      <c r="A199" s="152" t="s">
        <v>1640</v>
      </c>
      <c r="B199" s="153">
        <v>122</v>
      </c>
      <c r="C199" s="126" t="s">
        <v>2749</v>
      </c>
      <c r="D199"/>
      <c r="E199" s="126"/>
      <c r="F199" s="125"/>
      <c r="G199" s="125"/>
      <c r="H199"/>
      <c r="I199" s="125"/>
      <c r="J199" s="308">
        <v>168</v>
      </c>
      <c r="K199" s="127" t="s">
        <v>1642</v>
      </c>
      <c r="L199" s="153" t="s">
        <v>1643</v>
      </c>
      <c r="M199">
        <v>77</v>
      </c>
      <c r="N199" s="123">
        <v>17</v>
      </c>
      <c r="O199">
        <v>162</v>
      </c>
      <c r="P199" s="132" t="s">
        <v>77</v>
      </c>
      <c r="Q199" s="132">
        <v>30.74</v>
      </c>
      <c r="R199" s="132"/>
      <c r="S199" s="132"/>
      <c r="T199" s="156"/>
      <c r="U199" s="132"/>
      <c r="V199" s="132">
        <v>30.74</v>
      </c>
      <c r="W199">
        <v>38</v>
      </c>
      <c r="X199" s="153" t="s">
        <v>1644</v>
      </c>
      <c r="Y199" s="124" t="s">
        <v>55</v>
      </c>
      <c r="Z199" s="308">
        <v>168</v>
      </c>
      <c r="AB199" t="str">
        <f>IF(Table1[[#This Row],[TIPO2]]="costo", VLOOKUP(Table1[[#This Row],[PARTIDA PRESUPUESTAL]],'Cost Report'!G:G,1,0),"Balance")</f>
        <v>3401-011</v>
      </c>
      <c r="AC199" s="118"/>
      <c r="AD199" s="159">
        <f>+Table1[[#This Row],[SUBTOTAL]]+Table1[[#This Row],[IVA]]-Table1[[#This Row],[RET IVA]]-Table1[[#This Row],[RET ISR]]-Table1[[#This Row],[TOTAL]]</f>
        <v>0</v>
      </c>
      <c r="AE199" s="152"/>
      <c r="AF199" s="153"/>
      <c r="AG199" s="126" t="s">
        <v>3420</v>
      </c>
      <c r="AK199" s="306">
        <f>IF(ISNUMBER(Table1[[#This Row],[FECHA DE RECIBIDO]]), Table1[[#This Row],[FECHA DE RECIBIDO]]-DATE(2023,8,30), "")</f>
        <v>-45000</v>
      </c>
    </row>
    <row r="200" spans="1:37" ht="16.05" customHeight="1">
      <c r="A200" s="150" t="s">
        <v>1648</v>
      </c>
      <c r="B200" s="151">
        <v>123</v>
      </c>
      <c r="C200" s="126" t="s">
        <v>2766</v>
      </c>
      <c r="D200">
        <v>145</v>
      </c>
      <c r="E200" s="126" t="s">
        <v>1641</v>
      </c>
      <c r="F200" s="122" t="s">
        <v>1607</v>
      </c>
      <c r="G200" s="122" t="s">
        <v>134</v>
      </c>
      <c r="H200">
        <v>49</v>
      </c>
      <c r="I200" s="122" t="s">
        <v>1546</v>
      </c>
      <c r="J200" s="307" t="s">
        <v>214</v>
      </c>
      <c r="K200" s="127" t="s">
        <v>1642</v>
      </c>
      <c r="L200" s="151" t="s">
        <v>1643</v>
      </c>
      <c r="M200">
        <v>62</v>
      </c>
      <c r="N200" s="123">
        <v>17</v>
      </c>
      <c r="O200">
        <v>163</v>
      </c>
      <c r="P200" s="132" t="s">
        <v>77</v>
      </c>
      <c r="Q200" s="131">
        <v>8670</v>
      </c>
      <c r="R200" s="131">
        <v>1040</v>
      </c>
      <c r="S200" s="131"/>
      <c r="T200" s="155"/>
      <c r="U200" s="131"/>
      <c r="V200" s="131">
        <v>9710</v>
      </c>
      <c r="W200">
        <v>39</v>
      </c>
      <c r="X200" s="151" t="s">
        <v>1644</v>
      </c>
      <c r="Y200" s="135" t="s">
        <v>55</v>
      </c>
      <c r="Z200" s="307">
        <v>161</v>
      </c>
      <c r="AB200" t="str">
        <f>IF(Table1[[#This Row],[TIPO2]]="costo", VLOOKUP(Table1[[#This Row],[PARTIDA PRESUPUESTAL]],'Cost Report'!G:G,1,0),"Balance")</f>
        <v>3401-032</v>
      </c>
      <c r="AC200" s="118"/>
      <c r="AD200" s="159">
        <f>+Table1[[#This Row],[SUBTOTAL]]+Table1[[#This Row],[IVA]]-Table1[[#This Row],[RET IVA]]-Table1[[#This Row],[RET ISR]]-Table1[[#This Row],[TOTAL]]</f>
        <v>0</v>
      </c>
      <c r="AE200" s="150"/>
      <c r="AF200" s="151"/>
      <c r="AG200" s="126" t="s">
        <v>3420</v>
      </c>
      <c r="AK200" s="306" t="str">
        <f>IF(ISNUMBER(Table1[[#This Row],[FECHA DE RECIBIDO]]), Table1[[#This Row],[FECHA DE RECIBIDO]]-DATE(2023,8,30), "")</f>
        <v/>
      </c>
    </row>
    <row r="201" spans="1:37" ht="16.05" customHeight="1">
      <c r="A201" s="152" t="s">
        <v>1649</v>
      </c>
      <c r="B201" s="153">
        <v>124</v>
      </c>
      <c r="C201" s="126" t="s">
        <v>3415</v>
      </c>
      <c r="D201">
        <v>146</v>
      </c>
      <c r="E201" s="126" t="s">
        <v>1623</v>
      </c>
      <c r="F201" s="125" t="s">
        <v>1607</v>
      </c>
      <c r="G201" s="125" t="s">
        <v>134</v>
      </c>
      <c r="H201">
        <v>45</v>
      </c>
      <c r="I201" s="125" t="s">
        <v>1546</v>
      </c>
      <c r="J201" s="308" t="s">
        <v>214</v>
      </c>
      <c r="K201" s="127" t="s">
        <v>1642</v>
      </c>
      <c r="L201" s="153" t="s">
        <v>1643</v>
      </c>
      <c r="M201">
        <v>56</v>
      </c>
      <c r="N201" s="123">
        <v>17</v>
      </c>
      <c r="O201">
        <v>164</v>
      </c>
      <c r="P201" s="132" t="s">
        <v>77</v>
      </c>
      <c r="Q201" s="132">
        <v>431.03</v>
      </c>
      <c r="R201" s="132">
        <v>68.97</v>
      </c>
      <c r="S201" s="132"/>
      <c r="T201" s="156"/>
      <c r="U201" s="132"/>
      <c r="V201" s="132">
        <v>500</v>
      </c>
      <c r="W201">
        <v>38</v>
      </c>
      <c r="X201" s="153" t="s">
        <v>1644</v>
      </c>
      <c r="Y201" s="124" t="s">
        <v>55</v>
      </c>
      <c r="Z201" s="308">
        <v>-198</v>
      </c>
      <c r="AB201" t="str">
        <f>IF(Table1[[#This Row],[TIPO2]]="costo", VLOOKUP(Table1[[#This Row],[PARTIDA PRESUPUESTAL]],'Cost Report'!G:G,1,0),"Balance")</f>
        <v>3629-006</v>
      </c>
      <c r="AC201" s="118"/>
      <c r="AD201" s="159">
        <f>+Table1[[#This Row],[SUBTOTAL]]+Table1[[#This Row],[IVA]]-Table1[[#This Row],[RET IVA]]-Table1[[#This Row],[RET ISR]]-Table1[[#This Row],[TOTAL]]</f>
        <v>0</v>
      </c>
      <c r="AE201" s="152"/>
      <c r="AF201" s="153"/>
      <c r="AG201" s="126" t="s">
        <v>3420</v>
      </c>
      <c r="AK201" s="306" t="str">
        <f>IF(ISNUMBER(Table1[[#This Row],[FECHA DE RECIBIDO]]), Table1[[#This Row],[FECHA DE RECIBIDO]]-DATE(2023,8,30), "")</f>
        <v/>
      </c>
    </row>
    <row r="202" spans="1:37" ht="16.05" customHeight="1">
      <c r="A202" s="150" t="s">
        <v>1649</v>
      </c>
      <c r="B202" s="151">
        <v>124</v>
      </c>
      <c r="C202" s="126" t="s">
        <v>2749</v>
      </c>
      <c r="D202">
        <v>147</v>
      </c>
      <c r="E202" s="126" t="s">
        <v>1603</v>
      </c>
      <c r="F202" s="122" t="s">
        <v>1607</v>
      </c>
      <c r="G202" s="122" t="s">
        <v>134</v>
      </c>
      <c r="H202">
        <v>56</v>
      </c>
      <c r="I202" s="122" t="s">
        <v>1546</v>
      </c>
      <c r="J202" s="307" t="s">
        <v>214</v>
      </c>
      <c r="K202" s="127" t="s">
        <v>1642</v>
      </c>
      <c r="L202" s="151" t="s">
        <v>1643</v>
      </c>
      <c r="M202">
        <v>78</v>
      </c>
      <c r="N202" s="123">
        <v>17</v>
      </c>
      <c r="O202">
        <v>165</v>
      </c>
      <c r="P202" s="132" t="s">
        <v>77</v>
      </c>
      <c r="Q202" s="131">
        <v>743.49</v>
      </c>
      <c r="R202" s="131">
        <v>69.34</v>
      </c>
      <c r="S202" s="131"/>
      <c r="T202" s="155"/>
      <c r="U202" s="131"/>
      <c r="V202" s="131">
        <v>812.83</v>
      </c>
      <c r="W202">
        <v>38</v>
      </c>
      <c r="X202" s="151" t="s">
        <v>1644</v>
      </c>
      <c r="Y202" s="135" t="s">
        <v>55</v>
      </c>
      <c r="Z202" s="307">
        <v>170</v>
      </c>
      <c r="AB202" t="str">
        <f>IF(Table1[[#This Row],[TIPO2]]="costo", VLOOKUP(Table1[[#This Row],[PARTIDA PRESUPUESTAL]],'Cost Report'!G:G,1,0),"Balance")</f>
        <v>3401-011</v>
      </c>
      <c r="AC202" s="118"/>
      <c r="AD202" s="159">
        <f>+Table1[[#This Row],[SUBTOTAL]]+Table1[[#This Row],[IVA]]-Table1[[#This Row],[RET IVA]]-Table1[[#This Row],[RET ISR]]-Table1[[#This Row],[TOTAL]]</f>
        <v>0</v>
      </c>
      <c r="AE202" s="150"/>
      <c r="AF202" s="151"/>
      <c r="AG202" s="126" t="s">
        <v>3420</v>
      </c>
      <c r="AK202" s="306" t="str">
        <f>IF(ISNUMBER(Table1[[#This Row],[FECHA DE RECIBIDO]]), Table1[[#This Row],[FECHA DE RECIBIDO]]-DATE(2023,8,30), "")</f>
        <v/>
      </c>
    </row>
    <row r="203" spans="1:37" ht="16.05" customHeight="1">
      <c r="A203" s="152" t="s">
        <v>1649</v>
      </c>
      <c r="B203" s="153">
        <v>124</v>
      </c>
      <c r="C203" s="126" t="s">
        <v>2749</v>
      </c>
      <c r="D203">
        <v>148</v>
      </c>
      <c r="E203" s="126">
        <v>66450</v>
      </c>
      <c r="F203" s="125">
        <v>601</v>
      </c>
      <c r="G203" s="125" t="s">
        <v>134</v>
      </c>
      <c r="H203">
        <v>43</v>
      </c>
      <c r="I203" s="125" t="s">
        <v>1546</v>
      </c>
      <c r="J203" s="308">
        <v>-190</v>
      </c>
      <c r="K203" s="127" t="s">
        <v>1642</v>
      </c>
      <c r="L203" s="153" t="s">
        <v>1643</v>
      </c>
      <c r="M203">
        <v>54</v>
      </c>
      <c r="N203" s="123">
        <v>17</v>
      </c>
      <c r="O203">
        <v>166</v>
      </c>
      <c r="P203" s="132" t="s">
        <v>77</v>
      </c>
      <c r="Q203" s="132">
        <v>10.34</v>
      </c>
      <c r="R203" s="132">
        <v>1.66</v>
      </c>
      <c r="S203" s="132"/>
      <c r="T203" s="156"/>
      <c r="U203" s="132"/>
      <c r="V203" s="132">
        <v>12</v>
      </c>
      <c r="W203">
        <v>38</v>
      </c>
      <c r="X203" s="153" t="s">
        <v>1644</v>
      </c>
      <c r="Y203" s="124" t="s">
        <v>55</v>
      </c>
      <c r="Z203" s="308">
        <v>-190</v>
      </c>
      <c r="AB203" t="str">
        <f>IF(Table1[[#This Row],[TIPO2]]="costo", VLOOKUP(Table1[[#This Row],[PARTIDA PRESUPUESTAL]],'Cost Report'!G:G,1,0),"Balance")</f>
        <v>3401-011</v>
      </c>
      <c r="AC203" s="118"/>
      <c r="AD203" s="159">
        <f>+Table1[[#This Row],[SUBTOTAL]]+Table1[[#This Row],[IVA]]-Table1[[#This Row],[RET IVA]]-Table1[[#This Row],[RET ISR]]-Table1[[#This Row],[TOTAL]]</f>
        <v>0</v>
      </c>
      <c r="AE203" s="152"/>
      <c r="AF203" s="153"/>
      <c r="AG203" s="126" t="s">
        <v>3420</v>
      </c>
      <c r="AK203" s="306">
        <f>IF(ISNUMBER(Table1[[#This Row],[FECHA DE RECIBIDO]]), Table1[[#This Row],[FECHA DE RECIBIDO]]-DATE(2023,8,30), "")</f>
        <v>-45358</v>
      </c>
    </row>
    <row r="204" spans="1:37" ht="16.05" customHeight="1">
      <c r="A204" s="150" t="s">
        <v>1649</v>
      </c>
      <c r="B204" s="151">
        <v>124</v>
      </c>
      <c r="C204" s="126" t="s">
        <v>2770</v>
      </c>
      <c r="D204">
        <v>149</v>
      </c>
      <c r="E204" s="126" t="s">
        <v>1641</v>
      </c>
      <c r="F204" s="122">
        <v>601</v>
      </c>
      <c r="G204" s="122" t="s">
        <v>134</v>
      </c>
      <c r="H204">
        <v>49</v>
      </c>
      <c r="I204" s="122" t="s">
        <v>1546</v>
      </c>
      <c r="J204" s="307">
        <v>-190</v>
      </c>
      <c r="K204" s="127" t="s">
        <v>1642</v>
      </c>
      <c r="L204" s="151" t="s">
        <v>1643</v>
      </c>
      <c r="M204">
        <v>62</v>
      </c>
      <c r="N204" s="123">
        <v>17</v>
      </c>
      <c r="O204">
        <v>167</v>
      </c>
      <c r="P204" s="132" t="s">
        <v>77</v>
      </c>
      <c r="Q204" s="131">
        <v>1860</v>
      </c>
      <c r="R204" s="131">
        <v>300</v>
      </c>
      <c r="S204" s="131"/>
      <c r="T204" s="155"/>
      <c r="U204" s="131"/>
      <c r="V204" s="131">
        <v>2160</v>
      </c>
      <c r="W204">
        <v>38</v>
      </c>
      <c r="X204" s="151" t="s">
        <v>1644</v>
      </c>
      <c r="Y204" s="135" t="s">
        <v>55</v>
      </c>
      <c r="Z204" s="307">
        <v>-190</v>
      </c>
      <c r="AB204" t="str">
        <f>IF(Table1[[#This Row],[TIPO2]]="costo", VLOOKUP(Table1[[#This Row],[PARTIDA PRESUPUESTAL]],'Cost Report'!G:G,1,0),"Balance")</f>
        <v>3401-036</v>
      </c>
      <c r="AC204" s="118"/>
      <c r="AD204" s="159">
        <f>+Table1[[#This Row],[SUBTOTAL]]+Table1[[#This Row],[IVA]]-Table1[[#This Row],[RET IVA]]-Table1[[#This Row],[RET ISR]]-Table1[[#This Row],[TOTAL]]</f>
        <v>0</v>
      </c>
      <c r="AE204" s="150"/>
      <c r="AF204" s="151"/>
      <c r="AG204" s="126" t="s">
        <v>3420</v>
      </c>
      <c r="AK204" s="306">
        <f>IF(ISNUMBER(Table1[[#This Row],[FECHA DE RECIBIDO]]), Table1[[#This Row],[FECHA DE RECIBIDO]]-DATE(2023,8,30), "")</f>
        <v>-45358</v>
      </c>
    </row>
    <row r="205" spans="1:37" ht="16.05" customHeight="1">
      <c r="A205" s="152" t="s">
        <v>1649</v>
      </c>
      <c r="B205" s="153">
        <v>124</v>
      </c>
      <c r="C205" s="126" t="s">
        <v>2767</v>
      </c>
      <c r="D205">
        <v>150</v>
      </c>
      <c r="E205" s="126" t="s">
        <v>1641</v>
      </c>
      <c r="F205" s="125">
        <v>601</v>
      </c>
      <c r="G205" s="125" t="s">
        <v>134</v>
      </c>
      <c r="H205">
        <v>49</v>
      </c>
      <c r="I205" s="125" t="s">
        <v>1546</v>
      </c>
      <c r="J205" s="308">
        <v>-190</v>
      </c>
      <c r="K205" s="127" t="s">
        <v>1642</v>
      </c>
      <c r="L205" s="153" t="s">
        <v>1643</v>
      </c>
      <c r="M205">
        <v>62</v>
      </c>
      <c r="N205" s="123">
        <v>17</v>
      </c>
      <c r="O205">
        <v>167</v>
      </c>
      <c r="P205" s="132" t="s">
        <v>77</v>
      </c>
      <c r="Q205" s="132">
        <v>22436</v>
      </c>
      <c r="R205" s="132">
        <v>2548</v>
      </c>
      <c r="S205" s="132"/>
      <c r="T205" s="156"/>
      <c r="U205" s="132"/>
      <c r="V205" s="132">
        <v>24984</v>
      </c>
      <c r="W205">
        <v>38</v>
      </c>
      <c r="X205" s="153" t="s">
        <v>1644</v>
      </c>
      <c r="Y205" s="124" t="s">
        <v>55</v>
      </c>
      <c r="Z205" s="308">
        <v>-190</v>
      </c>
      <c r="AB205" t="str">
        <f>IF(Table1[[#This Row],[TIPO2]]="costo", VLOOKUP(Table1[[#This Row],[PARTIDA PRESUPUESTAL]],'Cost Report'!G:G,1,0),"Balance")</f>
        <v>3401-033</v>
      </c>
      <c r="AC205" s="118"/>
      <c r="AD205" s="159">
        <f>+Table1[[#This Row],[SUBTOTAL]]+Table1[[#This Row],[IVA]]-Table1[[#This Row],[RET IVA]]-Table1[[#This Row],[RET ISR]]-Table1[[#This Row],[TOTAL]]</f>
        <v>0</v>
      </c>
      <c r="AE205" s="152"/>
      <c r="AF205" s="153"/>
      <c r="AG205" s="126" t="s">
        <v>3420</v>
      </c>
      <c r="AK205" s="306">
        <f>IF(ISNUMBER(Table1[[#This Row],[FECHA DE RECIBIDO]]), Table1[[#This Row],[FECHA DE RECIBIDO]]-DATE(2023,8,30), "")</f>
        <v>-45358</v>
      </c>
    </row>
    <row r="206" spans="1:37" ht="16.05" customHeight="1">
      <c r="A206" s="150" t="s">
        <v>1649</v>
      </c>
      <c r="B206" s="151">
        <v>124</v>
      </c>
      <c r="C206" s="126" t="s">
        <v>2770</v>
      </c>
      <c r="D206">
        <v>151</v>
      </c>
      <c r="E206" s="126" t="s">
        <v>1641</v>
      </c>
      <c r="F206" s="122">
        <v>601</v>
      </c>
      <c r="G206" s="122" t="s">
        <v>134</v>
      </c>
      <c r="H206">
        <v>49</v>
      </c>
      <c r="I206" s="122" t="s">
        <v>1546</v>
      </c>
      <c r="J206" s="307">
        <v>-190</v>
      </c>
      <c r="K206" s="127" t="s">
        <v>1642</v>
      </c>
      <c r="L206" s="151" t="s">
        <v>1643</v>
      </c>
      <c r="M206">
        <v>62</v>
      </c>
      <c r="N206" s="123">
        <v>17</v>
      </c>
      <c r="O206">
        <v>168</v>
      </c>
      <c r="P206" s="132" t="s">
        <v>77</v>
      </c>
      <c r="Q206" s="131">
        <v>8250</v>
      </c>
      <c r="R206" s="131">
        <v>974</v>
      </c>
      <c r="S206" s="131"/>
      <c r="T206" s="155"/>
      <c r="U206" s="131"/>
      <c r="V206" s="131">
        <v>9224</v>
      </c>
      <c r="W206">
        <v>38</v>
      </c>
      <c r="X206" s="151" t="s">
        <v>1644</v>
      </c>
      <c r="Y206" s="135" t="s">
        <v>55</v>
      </c>
      <c r="Z206" s="307">
        <v>-190</v>
      </c>
      <c r="AB206" t="str">
        <f>IF(Table1[[#This Row],[TIPO2]]="costo", VLOOKUP(Table1[[#This Row],[PARTIDA PRESUPUESTAL]],'Cost Report'!G:G,1,0),"Balance")</f>
        <v>3401-036</v>
      </c>
      <c r="AC206" s="118"/>
      <c r="AD206" s="159">
        <f>+Table1[[#This Row],[SUBTOTAL]]+Table1[[#This Row],[IVA]]-Table1[[#This Row],[RET IVA]]-Table1[[#This Row],[RET ISR]]-Table1[[#This Row],[TOTAL]]</f>
        <v>0</v>
      </c>
      <c r="AE206" s="150"/>
      <c r="AF206" s="151"/>
      <c r="AG206" s="126" t="s">
        <v>3420</v>
      </c>
      <c r="AK206" s="306">
        <f>IF(ISNUMBER(Table1[[#This Row],[FECHA DE RECIBIDO]]), Table1[[#This Row],[FECHA DE RECIBIDO]]-DATE(2023,8,30), "")</f>
        <v>-45358</v>
      </c>
    </row>
    <row r="207" spans="1:37" ht="14.25" customHeight="1">
      <c r="A207" s="152" t="s">
        <v>1649</v>
      </c>
      <c r="B207" s="153">
        <v>124</v>
      </c>
      <c r="C207" s="126" t="s">
        <v>2752</v>
      </c>
      <c r="D207"/>
      <c r="E207" s="126"/>
      <c r="F207" s="125"/>
      <c r="G207" s="125"/>
      <c r="H207"/>
      <c r="I207" s="125"/>
      <c r="J207" s="308">
        <v>173</v>
      </c>
      <c r="K207" s="127" t="s">
        <v>1642</v>
      </c>
      <c r="L207" s="153" t="s">
        <v>1643</v>
      </c>
      <c r="M207">
        <v>77</v>
      </c>
      <c r="N207" s="123">
        <v>17</v>
      </c>
      <c r="O207">
        <v>162</v>
      </c>
      <c r="P207" s="132" t="s">
        <v>77</v>
      </c>
      <c r="Q207" s="132">
        <v>30.74</v>
      </c>
      <c r="R207" s="132"/>
      <c r="S207" s="132"/>
      <c r="T207" s="156"/>
      <c r="U207" s="132"/>
      <c r="V207" s="132">
        <f t="shared" ref="V207" si="4">+Q207+R207-T207-U207</f>
        <v>30.74</v>
      </c>
      <c r="W207">
        <v>40</v>
      </c>
      <c r="X207" s="153" t="s">
        <v>1644</v>
      </c>
      <c r="Y207" s="124" t="s">
        <v>55</v>
      </c>
      <c r="Z207" s="308">
        <v>173</v>
      </c>
      <c r="AB207" t="str">
        <f>IF(Table1[[#This Row],[TIPO2]]="costo", VLOOKUP(Table1[[#This Row],[PARTIDA PRESUPUESTAL]],'Cost Report'!G:G,1,0),"Balance")</f>
        <v>3401-014</v>
      </c>
      <c r="AC207" s="118"/>
      <c r="AD207" s="159"/>
      <c r="AE207" s="152"/>
      <c r="AF207" s="153"/>
      <c r="AG207" s="126" t="s">
        <v>3420</v>
      </c>
      <c r="AK207" s="306">
        <f>IF(ISNUMBER(Table1[[#This Row],[FECHA DE RECIBIDO]]), Table1[[#This Row],[FECHA DE RECIBIDO]]-DATE(2023,8,30), "")</f>
        <v>-44995</v>
      </c>
    </row>
    <row r="208" spans="1:37" ht="16.05" customHeight="1">
      <c r="A208" s="150" t="s">
        <v>1650</v>
      </c>
      <c r="B208" s="151">
        <v>125</v>
      </c>
      <c r="C208" s="126" t="s">
        <v>2769</v>
      </c>
      <c r="D208">
        <v>152</v>
      </c>
      <c r="E208" s="126" t="s">
        <v>1641</v>
      </c>
      <c r="F208" s="122">
        <v>601</v>
      </c>
      <c r="G208" s="122" t="s">
        <v>134</v>
      </c>
      <c r="H208">
        <v>49</v>
      </c>
      <c r="I208" s="122" t="s">
        <v>1546</v>
      </c>
      <c r="J208" s="307">
        <v>175</v>
      </c>
      <c r="K208" s="127" t="s">
        <v>1642</v>
      </c>
      <c r="L208" s="151" t="s">
        <v>1643</v>
      </c>
      <c r="M208">
        <v>62</v>
      </c>
      <c r="N208" s="123">
        <v>17</v>
      </c>
      <c r="O208">
        <v>169</v>
      </c>
      <c r="P208" s="132" t="s">
        <v>77</v>
      </c>
      <c r="Q208" s="131">
        <v>3747</v>
      </c>
      <c r="R208" s="131">
        <v>426</v>
      </c>
      <c r="S208" s="131"/>
      <c r="T208" s="155"/>
      <c r="U208" s="131"/>
      <c r="V208" s="131">
        <v>4173</v>
      </c>
      <c r="W208">
        <v>39</v>
      </c>
      <c r="X208" s="151" t="s">
        <v>1644</v>
      </c>
      <c r="Y208" s="135" t="s">
        <v>55</v>
      </c>
      <c r="Z208" s="307">
        <v>175</v>
      </c>
      <c r="AB208" t="str">
        <f>IF(Table1[[#This Row],[TIPO2]]="costo", VLOOKUP(Table1[[#This Row],[PARTIDA PRESUPUESTAL]],'Cost Report'!G:G,1,0),"Balance")</f>
        <v>3401-035</v>
      </c>
      <c r="AC208" s="118"/>
      <c r="AD208" s="159">
        <f>+Table1[[#This Row],[SUBTOTAL]]+Table1[[#This Row],[IVA]]-Table1[[#This Row],[RET IVA]]-Table1[[#This Row],[RET ISR]]-Table1[[#This Row],[TOTAL]]</f>
        <v>0</v>
      </c>
      <c r="AE208" s="150"/>
      <c r="AF208" s="151"/>
      <c r="AG208" s="126" t="s">
        <v>3420</v>
      </c>
      <c r="AK208" s="306">
        <f>IF(ISNUMBER(Table1[[#This Row],[FECHA DE RECIBIDO]]), Table1[[#This Row],[FECHA DE RECIBIDO]]-DATE(2023,8,30), "")</f>
        <v>-44993</v>
      </c>
    </row>
    <row r="209" spans="1:37" ht="16.05" customHeight="1">
      <c r="A209" s="152" t="s">
        <v>1650</v>
      </c>
      <c r="B209" s="153">
        <v>125</v>
      </c>
      <c r="C209" s="126" t="s">
        <v>2769</v>
      </c>
      <c r="D209">
        <v>153</v>
      </c>
      <c r="E209" s="126" t="s">
        <v>1641</v>
      </c>
      <c r="F209" s="125">
        <v>601</v>
      </c>
      <c r="G209" s="125" t="s">
        <v>134</v>
      </c>
      <c r="H209">
        <v>49</v>
      </c>
      <c r="I209" s="125" t="s">
        <v>1546</v>
      </c>
      <c r="J209" s="308">
        <v>175</v>
      </c>
      <c r="K209" s="127" t="s">
        <v>1642</v>
      </c>
      <c r="L209" s="153" t="s">
        <v>1643</v>
      </c>
      <c r="M209">
        <v>62</v>
      </c>
      <c r="N209" s="123">
        <v>17</v>
      </c>
      <c r="O209">
        <v>170</v>
      </c>
      <c r="P209" s="132" t="s">
        <v>77</v>
      </c>
      <c r="Q209" s="132">
        <v>3742</v>
      </c>
      <c r="R209" s="132">
        <v>425</v>
      </c>
      <c r="S209" s="132"/>
      <c r="T209" s="156"/>
      <c r="U209" s="132"/>
      <c r="V209" s="132">
        <v>4167</v>
      </c>
      <c r="W209">
        <v>39</v>
      </c>
      <c r="X209" s="153" t="s">
        <v>1644</v>
      </c>
      <c r="Y209" s="124" t="s">
        <v>55</v>
      </c>
      <c r="Z209" s="308">
        <v>175</v>
      </c>
      <c r="AB209" t="str">
        <f>IF(Table1[[#This Row],[TIPO2]]="costo", VLOOKUP(Table1[[#This Row],[PARTIDA PRESUPUESTAL]],'Cost Report'!G:G,1,0),"Balance")</f>
        <v>3401-035</v>
      </c>
      <c r="AC209" s="118"/>
      <c r="AD209" s="159">
        <f>+Table1[[#This Row],[SUBTOTAL]]+Table1[[#This Row],[IVA]]-Table1[[#This Row],[RET IVA]]-Table1[[#This Row],[RET ISR]]-Table1[[#This Row],[TOTAL]]</f>
        <v>0</v>
      </c>
      <c r="AE209" s="152"/>
      <c r="AF209" s="153"/>
      <c r="AG209" s="126" t="s">
        <v>3420</v>
      </c>
      <c r="AK209" s="306">
        <f>IF(ISNUMBER(Table1[[#This Row],[FECHA DE RECIBIDO]]), Table1[[#This Row],[FECHA DE RECIBIDO]]-DATE(2023,8,30), "")</f>
        <v>-44993</v>
      </c>
    </row>
    <row r="210" spans="1:37" ht="16.05" customHeight="1">
      <c r="A210" s="150" t="s">
        <v>1650</v>
      </c>
      <c r="B210" s="151">
        <v>125</v>
      </c>
      <c r="C210" s="126" t="s">
        <v>3108</v>
      </c>
      <c r="D210">
        <v>154</v>
      </c>
      <c r="E210" s="126" t="s">
        <v>1647</v>
      </c>
      <c r="F210" s="122">
        <v>601</v>
      </c>
      <c r="G210" s="122" t="s">
        <v>134</v>
      </c>
      <c r="H210">
        <v>57</v>
      </c>
      <c r="I210" s="122" t="s">
        <v>1546</v>
      </c>
      <c r="J210" s="307">
        <v>175</v>
      </c>
      <c r="K210" s="127" t="s">
        <v>1642</v>
      </c>
      <c r="L210" s="151" t="s">
        <v>1643</v>
      </c>
      <c r="M210">
        <v>79</v>
      </c>
      <c r="N210" s="123">
        <v>17</v>
      </c>
      <c r="O210">
        <v>171</v>
      </c>
      <c r="P210" s="132" t="s">
        <v>77</v>
      </c>
      <c r="Q210" s="131">
        <v>82.76</v>
      </c>
      <c r="R210" s="131">
        <v>13.24</v>
      </c>
      <c r="S210" s="131"/>
      <c r="T210" s="155"/>
      <c r="U210" s="131"/>
      <c r="V210" s="131">
        <v>96</v>
      </c>
      <c r="W210">
        <v>39</v>
      </c>
      <c r="X210" s="151" t="s">
        <v>1644</v>
      </c>
      <c r="Y210" s="135" t="s">
        <v>55</v>
      </c>
      <c r="Z210" s="307">
        <v>175</v>
      </c>
      <c r="AB210" t="str">
        <f>IF(Table1[[#This Row],[TIPO2]]="costo", VLOOKUP(Table1[[#This Row],[PARTIDA PRESUPUESTAL]],'Cost Report'!G:G,1,0),"Balance")</f>
        <v>7080-003</v>
      </c>
      <c r="AC210" s="118"/>
      <c r="AD210" s="159">
        <f>+Table1[[#This Row],[SUBTOTAL]]+Table1[[#This Row],[IVA]]-Table1[[#This Row],[RET IVA]]-Table1[[#This Row],[RET ISR]]-Table1[[#This Row],[TOTAL]]</f>
        <v>0</v>
      </c>
      <c r="AE210" s="150"/>
      <c r="AF210" s="151"/>
      <c r="AG210" s="126" t="s">
        <v>3420</v>
      </c>
      <c r="AK210" s="306">
        <f>IF(ISNUMBER(Table1[[#This Row],[FECHA DE RECIBIDO]]), Table1[[#This Row],[FECHA DE RECIBIDO]]-DATE(2023,8,30), "")</f>
        <v>-44993</v>
      </c>
    </row>
    <row r="211" spans="1:37" ht="16.05" customHeight="1">
      <c r="A211" s="152" t="s">
        <v>1650</v>
      </c>
      <c r="B211" s="153">
        <v>125</v>
      </c>
      <c r="C211" s="126" t="s">
        <v>3108</v>
      </c>
      <c r="D211">
        <v>155</v>
      </c>
      <c r="E211" s="126" t="s">
        <v>1651</v>
      </c>
      <c r="F211" s="125">
        <v>601</v>
      </c>
      <c r="G211" s="125" t="s">
        <v>134</v>
      </c>
      <c r="H211">
        <v>57</v>
      </c>
      <c r="I211" s="125" t="s">
        <v>1546</v>
      </c>
      <c r="J211" s="308">
        <v>175</v>
      </c>
      <c r="K211" s="127" t="s">
        <v>1642</v>
      </c>
      <c r="L211" s="153" t="s">
        <v>1643</v>
      </c>
      <c r="M211">
        <v>79</v>
      </c>
      <c r="N211" s="123">
        <v>17</v>
      </c>
      <c r="O211">
        <v>172</v>
      </c>
      <c r="P211" s="132" t="s">
        <v>77</v>
      </c>
      <c r="Q211" s="132">
        <v>292.24</v>
      </c>
      <c r="R211" s="132">
        <v>46.76</v>
      </c>
      <c r="S211" s="132"/>
      <c r="T211" s="156"/>
      <c r="U211" s="132"/>
      <c r="V211" s="132">
        <v>339</v>
      </c>
      <c r="W211">
        <v>39</v>
      </c>
      <c r="X211" s="153" t="s">
        <v>1644</v>
      </c>
      <c r="Y211" s="124" t="s">
        <v>55</v>
      </c>
      <c r="Z211" s="308">
        <v>175</v>
      </c>
      <c r="AB211" t="str">
        <f>IF(Table1[[#This Row],[TIPO2]]="costo", VLOOKUP(Table1[[#This Row],[PARTIDA PRESUPUESTAL]],'Cost Report'!G:G,1,0),"Balance")</f>
        <v>7080-003</v>
      </c>
      <c r="AC211" s="118"/>
      <c r="AD211" s="159">
        <f>+Table1[[#This Row],[SUBTOTAL]]+Table1[[#This Row],[IVA]]-Table1[[#This Row],[RET IVA]]-Table1[[#This Row],[RET ISR]]-Table1[[#This Row],[TOTAL]]</f>
        <v>0</v>
      </c>
      <c r="AE211" s="152"/>
      <c r="AF211" s="153"/>
      <c r="AG211" s="126" t="s">
        <v>3420</v>
      </c>
      <c r="AK211" s="306">
        <f>IF(ISNUMBER(Table1[[#This Row],[FECHA DE RECIBIDO]]), Table1[[#This Row],[FECHA DE RECIBIDO]]-DATE(2023,8,30), "")</f>
        <v>-44993</v>
      </c>
    </row>
    <row r="212" spans="1:37" ht="16.05" customHeight="1">
      <c r="A212" s="150" t="s">
        <v>1650</v>
      </c>
      <c r="B212" s="151">
        <v>125</v>
      </c>
      <c r="C212" s="126" t="s">
        <v>3108</v>
      </c>
      <c r="D212">
        <v>156</v>
      </c>
      <c r="E212" s="126" t="s">
        <v>1652</v>
      </c>
      <c r="F212" s="122">
        <v>601</v>
      </c>
      <c r="G212" s="122" t="s">
        <v>134</v>
      </c>
      <c r="H212">
        <v>58</v>
      </c>
      <c r="I212" s="122" t="s">
        <v>1546</v>
      </c>
      <c r="J212" s="307">
        <v>175</v>
      </c>
      <c r="K212" s="127" t="s">
        <v>1642</v>
      </c>
      <c r="L212" s="151" t="s">
        <v>1643</v>
      </c>
      <c r="M212">
        <v>80</v>
      </c>
      <c r="N212" s="123">
        <v>17</v>
      </c>
      <c r="O212">
        <v>173</v>
      </c>
      <c r="P212" s="132" t="s">
        <v>77</v>
      </c>
      <c r="Q212" s="131">
        <v>90</v>
      </c>
      <c r="R212" s="131">
        <v>14.4</v>
      </c>
      <c r="S212" s="131"/>
      <c r="T212" s="155"/>
      <c r="U212" s="131"/>
      <c r="V212" s="131">
        <v>104.4</v>
      </c>
      <c r="W212">
        <v>39</v>
      </c>
      <c r="X212" s="151" t="s">
        <v>1644</v>
      </c>
      <c r="Y212" s="135" t="s">
        <v>55</v>
      </c>
      <c r="Z212" s="307">
        <v>175</v>
      </c>
      <c r="AB212" t="str">
        <f>IF(Table1[[#This Row],[TIPO2]]="costo", VLOOKUP(Table1[[#This Row],[PARTIDA PRESUPUESTAL]],'Cost Report'!G:G,1,0),"Balance")</f>
        <v>7080-003</v>
      </c>
      <c r="AC212" s="118"/>
      <c r="AD212" s="159">
        <f>+Table1[[#This Row],[SUBTOTAL]]+Table1[[#This Row],[IVA]]-Table1[[#This Row],[RET IVA]]-Table1[[#This Row],[RET ISR]]-Table1[[#This Row],[TOTAL]]</f>
        <v>0</v>
      </c>
      <c r="AE212" s="150"/>
      <c r="AF212" s="151"/>
      <c r="AG212" s="126" t="s">
        <v>3420</v>
      </c>
      <c r="AK212" s="306">
        <f>IF(ISNUMBER(Table1[[#This Row],[FECHA DE RECIBIDO]]), Table1[[#This Row],[FECHA DE RECIBIDO]]-DATE(2023,8,30), "")</f>
        <v>-44993</v>
      </c>
    </row>
    <row r="213" spans="1:37" ht="16.05" customHeight="1">
      <c r="A213" s="152"/>
      <c r="B213" s="153"/>
      <c r="C213" s="126" t="s">
        <v>71</v>
      </c>
      <c r="D213"/>
      <c r="E213" s="126"/>
      <c r="F213" s="125"/>
      <c r="G213" s="125"/>
      <c r="H213"/>
      <c r="I213" s="125"/>
      <c r="J213" s="308" t="s">
        <v>214</v>
      </c>
      <c r="K213" s="127" t="s">
        <v>1642</v>
      </c>
      <c r="L213" s="153" t="s">
        <v>1643</v>
      </c>
      <c r="M213">
        <v>81</v>
      </c>
      <c r="N213" s="123"/>
      <c r="O213">
        <v>174</v>
      </c>
      <c r="P213" s="131" t="s">
        <v>78</v>
      </c>
      <c r="Q213" s="132">
        <f>-90434.01-30.74</f>
        <v>-90464.75</v>
      </c>
      <c r="R213" s="132"/>
      <c r="S213" s="132"/>
      <c r="T213" s="156"/>
      <c r="U213" s="132"/>
      <c r="V213" s="132">
        <f>+Table1[[#This Row],[SUBTOTAL]]+Table1[[#This Row],[IVA]]-Table1[[#This Row],[RET IVA]]-Table1[[#This Row],[RET ISR]]</f>
        <v>-90464.75</v>
      </c>
      <c r="W213"/>
      <c r="X213" s="153"/>
      <c r="Y213" s="124"/>
      <c r="Z213" s="308" t="s">
        <v>214</v>
      </c>
      <c r="AB213" t="str">
        <f>IF(Table1[[#This Row],[TIPO2]]="costo", VLOOKUP(Table1[[#This Row],[PARTIDA PRESUPUESTAL]],'Cost Report'!G:G,1,0),"Balance")</f>
        <v>Balance</v>
      </c>
      <c r="AC213" s="118"/>
      <c r="AD213" s="159">
        <f>+Table1[[#This Row],[SUBTOTAL]]+Table1[[#This Row],[IVA]]-Table1[[#This Row],[RET IVA]]-Table1[[#This Row],[RET ISR]]-Table1[[#This Row],[TOTAL]]</f>
        <v>0</v>
      </c>
      <c r="AE213" s="152"/>
      <c r="AF213" s="153"/>
      <c r="AG213" s="126" t="s">
        <v>3420</v>
      </c>
      <c r="AK213" s="306" t="str">
        <f>IF(ISNUMBER(Table1[[#This Row],[FECHA DE RECIBIDO]]), Table1[[#This Row],[FECHA DE RECIBIDO]]-DATE(2023,8,30), "")</f>
        <v/>
      </c>
    </row>
    <row r="214" spans="1:37" ht="16.05" customHeight="1">
      <c r="A214" s="150" t="s">
        <v>1654</v>
      </c>
      <c r="B214" s="151">
        <v>126</v>
      </c>
      <c r="C214" s="126" t="s">
        <v>71</v>
      </c>
      <c r="D214"/>
      <c r="E214" s="126" t="s">
        <v>1655</v>
      </c>
      <c r="F214" s="122">
        <v>601</v>
      </c>
      <c r="G214" s="122" t="s">
        <v>134</v>
      </c>
      <c r="H214">
        <v>59</v>
      </c>
      <c r="I214" s="122"/>
      <c r="J214" s="307">
        <v>168</v>
      </c>
      <c r="K214" s="127"/>
      <c r="L214" s="151" t="s">
        <v>1483</v>
      </c>
      <c r="M214">
        <v>82</v>
      </c>
      <c r="N214" s="123">
        <v>17</v>
      </c>
      <c r="O214">
        <v>175</v>
      </c>
      <c r="P214" s="131" t="s">
        <v>78</v>
      </c>
      <c r="Q214" s="131">
        <v>203785.83</v>
      </c>
      <c r="R214" s="131"/>
      <c r="S214" s="131"/>
      <c r="T214" s="155"/>
      <c r="U214" s="131"/>
      <c r="V214" s="131">
        <v>203785.83</v>
      </c>
      <c r="W214"/>
      <c r="X214" s="151" t="s">
        <v>1656</v>
      </c>
      <c r="Y214" s="135" t="s">
        <v>55</v>
      </c>
      <c r="Z214" s="307">
        <v>153</v>
      </c>
      <c r="AA214" t="s">
        <v>1658</v>
      </c>
      <c r="AB214" t="str">
        <f>IF(Table1[[#This Row],[TIPO2]]="costo", VLOOKUP(Table1[[#This Row],[PARTIDA PRESUPUESTAL]],'Cost Report'!G:G,1,0),"Balance")</f>
        <v>Balance</v>
      </c>
      <c r="AC214" s="118"/>
      <c r="AD214" s="159">
        <f>+Table1[[#This Row],[SUBTOTAL]]+Table1[[#This Row],[IVA]]-Table1[[#This Row],[RET IVA]]-Table1[[#This Row],[RET ISR]]-Table1[[#This Row],[TOTAL]]</f>
        <v>0</v>
      </c>
      <c r="AE214" s="150"/>
      <c r="AF214" s="151"/>
      <c r="AG214" s="126"/>
      <c r="AK214" s="306">
        <f>IF(ISNUMBER(Table1[[#This Row],[FECHA DE RECIBIDO]]), Table1[[#This Row],[FECHA DE RECIBIDO]]-DATE(2023,8,30), "")</f>
        <v>-45000</v>
      </c>
    </row>
    <row r="215" spans="1:37" ht="16.05" customHeight="1">
      <c r="A215" s="152" t="s">
        <v>1657</v>
      </c>
      <c r="B215" s="153">
        <v>127</v>
      </c>
      <c r="C215" s="126" t="s">
        <v>71</v>
      </c>
      <c r="D215"/>
      <c r="E215" s="126" t="s">
        <v>1655</v>
      </c>
      <c r="F215" s="125">
        <v>601</v>
      </c>
      <c r="G215" s="125" t="s">
        <v>134</v>
      </c>
      <c r="H215">
        <v>59</v>
      </c>
      <c r="I215" s="125"/>
      <c r="J215" s="308">
        <v>169</v>
      </c>
      <c r="K215" s="127"/>
      <c r="L215" s="153" t="s">
        <v>1579</v>
      </c>
      <c r="M215">
        <v>82</v>
      </c>
      <c r="N215" s="123">
        <v>17</v>
      </c>
      <c r="O215">
        <v>176</v>
      </c>
      <c r="P215" s="131" t="s">
        <v>78</v>
      </c>
      <c r="Q215" s="132">
        <v>38010</v>
      </c>
      <c r="R215" s="132"/>
      <c r="S215" s="132"/>
      <c r="T215" s="156"/>
      <c r="U215" s="132"/>
      <c r="V215" s="132">
        <v>38010</v>
      </c>
      <c r="W215"/>
      <c r="X215" s="153" t="s">
        <v>1656</v>
      </c>
      <c r="Y215" s="124" t="s">
        <v>55</v>
      </c>
      <c r="Z215" s="308">
        <v>168</v>
      </c>
      <c r="AA215" t="s">
        <v>1658</v>
      </c>
      <c r="AB215" t="str">
        <f>IF(Table1[[#This Row],[TIPO2]]="costo", VLOOKUP(Table1[[#This Row],[PARTIDA PRESUPUESTAL]],'Cost Report'!G:G,1,0),"Balance")</f>
        <v>Balance</v>
      </c>
      <c r="AC215" s="118"/>
      <c r="AD215" s="159">
        <f>+Table1[[#This Row],[SUBTOTAL]]+Table1[[#This Row],[IVA]]-Table1[[#This Row],[RET IVA]]-Table1[[#This Row],[RET ISR]]-Table1[[#This Row],[TOTAL]]</f>
        <v>0</v>
      </c>
      <c r="AE215" s="152"/>
      <c r="AF215" s="153"/>
      <c r="AG215" s="126"/>
      <c r="AK215" s="306">
        <f>IF(ISNUMBER(Table1[[#This Row],[FECHA DE RECIBIDO]]), Table1[[#This Row],[FECHA DE RECIBIDO]]-DATE(2023,8,30), "")</f>
        <v>-44999</v>
      </c>
    </row>
    <row r="216" spans="1:37" ht="16.05" customHeight="1">
      <c r="A216" s="150" t="s">
        <v>1654</v>
      </c>
      <c r="B216" s="151">
        <v>126</v>
      </c>
      <c r="C216" s="126" t="s">
        <v>1653</v>
      </c>
      <c r="D216"/>
      <c r="E216" s="126">
        <v>6140</v>
      </c>
      <c r="F216" s="122">
        <v>601</v>
      </c>
      <c r="G216" s="122" t="s">
        <v>134</v>
      </c>
      <c r="H216">
        <v>59</v>
      </c>
      <c r="I216" s="122"/>
      <c r="J216" s="307">
        <v>168</v>
      </c>
      <c r="K216" s="127"/>
      <c r="L216" s="151" t="s">
        <v>1483</v>
      </c>
      <c r="M216">
        <v>82</v>
      </c>
      <c r="N216" s="123">
        <v>17</v>
      </c>
      <c r="O216">
        <v>175</v>
      </c>
      <c r="P216" s="131" t="s">
        <v>78</v>
      </c>
      <c r="Q216" s="131">
        <v>203785.83</v>
      </c>
      <c r="R216" s="131"/>
      <c r="S216" s="131"/>
      <c r="T216" s="155"/>
      <c r="U216" s="131"/>
      <c r="V216" s="131">
        <v>203785.83</v>
      </c>
      <c r="W216"/>
      <c r="X216" s="151" t="s">
        <v>1656</v>
      </c>
      <c r="Y216" s="135" t="s">
        <v>55</v>
      </c>
      <c r="Z216" s="307">
        <v>153</v>
      </c>
      <c r="AA216" t="s">
        <v>1658</v>
      </c>
      <c r="AB216" t="str">
        <f>IF(Table1[[#This Row],[TIPO2]]="costo", VLOOKUP(Table1[[#This Row],[PARTIDA PRESUPUESTAL]],'Cost Report'!G:G,1,0),"Balance")</f>
        <v>Balance</v>
      </c>
      <c r="AC216" s="118"/>
      <c r="AD216" s="159">
        <f>+Table1[[#This Row],[SUBTOTAL]]+Table1[[#This Row],[IVA]]-Table1[[#This Row],[RET IVA]]-Table1[[#This Row],[RET ISR]]-Table1[[#This Row],[TOTAL]]</f>
        <v>0</v>
      </c>
      <c r="AE216" s="150"/>
      <c r="AF216" s="151"/>
      <c r="AG216" s="126"/>
      <c r="AK216" s="306">
        <f>IF(ISNUMBER(Table1[[#This Row],[FECHA DE RECIBIDO]]), Table1[[#This Row],[FECHA DE RECIBIDO]]-DATE(2023,8,30), "")</f>
        <v>-45000</v>
      </c>
    </row>
    <row r="217" spans="1:37" ht="16.05" customHeight="1">
      <c r="A217" s="152" t="s">
        <v>1657</v>
      </c>
      <c r="B217" s="153">
        <v>127</v>
      </c>
      <c r="C217" s="126" t="s">
        <v>1653</v>
      </c>
      <c r="D217"/>
      <c r="E217" s="126">
        <v>6140</v>
      </c>
      <c r="F217" s="125">
        <v>601</v>
      </c>
      <c r="G217" s="125" t="s">
        <v>134</v>
      </c>
      <c r="H217">
        <v>59</v>
      </c>
      <c r="I217" s="125"/>
      <c r="J217" s="308">
        <v>169</v>
      </c>
      <c r="K217" s="127"/>
      <c r="L217" s="153" t="s">
        <v>1579</v>
      </c>
      <c r="M217">
        <v>82</v>
      </c>
      <c r="N217" s="123">
        <v>17</v>
      </c>
      <c r="O217">
        <v>176</v>
      </c>
      <c r="P217" s="131" t="s">
        <v>78</v>
      </c>
      <c r="Q217" s="132">
        <v>38010</v>
      </c>
      <c r="R217" s="132"/>
      <c r="S217" s="132"/>
      <c r="T217" s="156"/>
      <c r="U217" s="132"/>
      <c r="V217" s="132">
        <v>38010</v>
      </c>
      <c r="W217"/>
      <c r="X217" s="153" t="s">
        <v>1656</v>
      </c>
      <c r="Y217" s="124" t="s">
        <v>55</v>
      </c>
      <c r="Z217" s="308">
        <v>168</v>
      </c>
      <c r="AA217" t="s">
        <v>1658</v>
      </c>
      <c r="AB217" t="str">
        <f>IF(Table1[[#This Row],[TIPO2]]="costo", VLOOKUP(Table1[[#This Row],[PARTIDA PRESUPUESTAL]],'Cost Report'!G:G,1,0),"Balance")</f>
        <v>Balance</v>
      </c>
      <c r="AC217" s="118"/>
      <c r="AD217" s="159">
        <f>+Table1[[#This Row],[SUBTOTAL]]+Table1[[#This Row],[IVA]]-Table1[[#This Row],[RET IVA]]-Table1[[#This Row],[RET ISR]]-Table1[[#This Row],[TOTAL]]</f>
        <v>0</v>
      </c>
      <c r="AE217" s="152"/>
      <c r="AF217" s="153"/>
      <c r="AG217" s="126"/>
      <c r="AK217" s="306">
        <f>IF(ISNUMBER(Table1[[#This Row],[FECHA DE RECIBIDO]]), Table1[[#This Row],[FECHA DE RECIBIDO]]-DATE(2023,8,30), "")</f>
        <v>-44999</v>
      </c>
    </row>
    <row r="218" spans="1:37" ht="16.05" customHeight="1">
      <c r="A218" s="150" t="s">
        <v>1659</v>
      </c>
      <c r="B218" s="151">
        <v>128</v>
      </c>
      <c r="C218" s="126" t="s">
        <v>148</v>
      </c>
      <c r="D218">
        <v>157</v>
      </c>
      <c r="E218" s="126" t="s">
        <v>1577</v>
      </c>
      <c r="F218" s="122">
        <v>601</v>
      </c>
      <c r="G218" s="122" t="s">
        <v>134</v>
      </c>
      <c r="H218">
        <v>6</v>
      </c>
      <c r="I218" s="122" t="s">
        <v>1546</v>
      </c>
      <c r="J218" s="307">
        <v>175.58658564814687</v>
      </c>
      <c r="K218" s="127" t="s">
        <v>1660</v>
      </c>
      <c r="L218" s="151" t="s">
        <v>118</v>
      </c>
      <c r="M218">
        <v>6</v>
      </c>
      <c r="N218" s="123">
        <v>0</v>
      </c>
      <c r="O218">
        <v>177</v>
      </c>
      <c r="P218" s="132" t="s">
        <v>77</v>
      </c>
      <c r="Q218" s="131">
        <v>60000</v>
      </c>
      <c r="R218" s="131">
        <v>9600</v>
      </c>
      <c r="S218" s="131"/>
      <c r="T218" s="155">
        <v>0</v>
      </c>
      <c r="U218" s="131">
        <v>0</v>
      </c>
      <c r="V218" s="131">
        <f t="shared" ref="V218:V281" si="5">+Q218+R218-T218-U218</f>
        <v>69600</v>
      </c>
      <c r="W218">
        <v>5</v>
      </c>
      <c r="X218" s="151" t="s">
        <v>105</v>
      </c>
      <c r="Y218" s="135" t="s">
        <v>55</v>
      </c>
      <c r="Z218" s="307" t="s">
        <v>214</v>
      </c>
      <c r="AB218" t="str">
        <f>IF(Table1[[#This Row],[TIPO2]]="costo", VLOOKUP(Table1[[#This Row],[PARTIDA PRESUPUESTAL]],'Cost Report'!G:G,1,0),"Balance")</f>
        <v>1193-003</v>
      </c>
      <c r="AC218" s="118"/>
      <c r="AD218" s="159">
        <f>+Table1[[#This Row],[SUBTOTAL]]+Table1[[#This Row],[IVA]]-Table1[[#This Row],[RET IVA]]-Table1[[#This Row],[RET ISR]]-Table1[[#This Row],[TOTAL]]</f>
        <v>0</v>
      </c>
      <c r="AE218" s="150"/>
      <c r="AF218" s="151"/>
      <c r="AG218" s="126"/>
      <c r="AK218" s="306">
        <f>IF(ISNUMBER(Table1[[#This Row],[FECHA DE RECIBIDO]]), Table1[[#This Row],[FECHA DE RECIBIDO]]-DATE(2023,8,30), "")</f>
        <v>-44992.413414351853</v>
      </c>
    </row>
    <row r="219" spans="1:37" ht="16.05" customHeight="1">
      <c r="A219" s="152"/>
      <c r="B219" s="153"/>
      <c r="C219" s="126" t="s">
        <v>2138</v>
      </c>
      <c r="D219">
        <v>158</v>
      </c>
      <c r="E219" s="126" t="s">
        <v>1577</v>
      </c>
      <c r="F219" s="125">
        <v>601</v>
      </c>
      <c r="G219" s="125" t="s">
        <v>134</v>
      </c>
      <c r="H219">
        <v>6</v>
      </c>
      <c r="I219" s="125" t="s">
        <v>1546</v>
      </c>
      <c r="J219" s="308">
        <v>175.58658564814687</v>
      </c>
      <c r="K219" s="127" t="s">
        <v>1660</v>
      </c>
      <c r="L219" s="153" t="s">
        <v>118</v>
      </c>
      <c r="M219">
        <v>6</v>
      </c>
      <c r="N219" s="123">
        <v>0</v>
      </c>
      <c r="O219">
        <v>178</v>
      </c>
      <c r="P219" s="132" t="s">
        <v>77</v>
      </c>
      <c r="Q219" s="132">
        <v>125000</v>
      </c>
      <c r="R219" s="132">
        <v>20000</v>
      </c>
      <c r="S219" s="132"/>
      <c r="T219" s="156">
        <v>0</v>
      </c>
      <c r="U219" s="132">
        <v>0</v>
      </c>
      <c r="V219" s="132">
        <f t="shared" si="5"/>
        <v>145000</v>
      </c>
      <c r="W219">
        <v>41</v>
      </c>
      <c r="X219" s="153" t="s">
        <v>105</v>
      </c>
      <c r="Y219" s="124" t="s">
        <v>55</v>
      </c>
      <c r="Z219" s="308" t="s">
        <v>214</v>
      </c>
      <c r="AB219" t="str">
        <f>IF(Table1[[#This Row],[TIPO2]]="costo", VLOOKUP(Table1[[#This Row],[PARTIDA PRESUPUESTAL]],'Cost Report'!G:G,1,0),"Balance")</f>
        <v>1193-007</v>
      </c>
      <c r="AC219" s="118"/>
      <c r="AD219" s="159">
        <f>+Table1[[#This Row],[SUBTOTAL]]+Table1[[#This Row],[IVA]]-Table1[[#This Row],[RET IVA]]-Table1[[#This Row],[RET ISR]]-Table1[[#This Row],[TOTAL]]</f>
        <v>0</v>
      </c>
      <c r="AE219" s="152"/>
      <c r="AF219" s="153"/>
      <c r="AG219" s="126"/>
      <c r="AK219" s="306">
        <f>IF(ISNUMBER(Table1[[#This Row],[FECHA DE RECIBIDO]]), Table1[[#This Row],[FECHA DE RECIBIDO]]-DATE(2023,8,30), "")</f>
        <v>-44992.413414351853</v>
      </c>
    </row>
    <row r="220" spans="1:37" ht="16.05" customHeight="1">
      <c r="A220" s="150" t="s">
        <v>1661</v>
      </c>
      <c r="B220" s="151">
        <v>129</v>
      </c>
      <c r="C220" s="126" t="s">
        <v>474</v>
      </c>
      <c r="D220">
        <v>159</v>
      </c>
      <c r="E220" s="126" t="s">
        <v>1588</v>
      </c>
      <c r="F220" s="122" t="s">
        <v>1589</v>
      </c>
      <c r="G220" s="122" t="s">
        <v>129</v>
      </c>
      <c r="H220">
        <v>15</v>
      </c>
      <c r="I220" s="122" t="s">
        <v>1546</v>
      </c>
      <c r="J220" s="307" t="s">
        <v>214</v>
      </c>
      <c r="K220" s="127" t="s">
        <v>1662</v>
      </c>
      <c r="L220" s="151" t="s">
        <v>110</v>
      </c>
      <c r="M220">
        <v>19</v>
      </c>
      <c r="N220" s="123">
        <v>1</v>
      </c>
      <c r="O220">
        <v>179</v>
      </c>
      <c r="P220" s="132" t="s">
        <v>77</v>
      </c>
      <c r="Q220" s="131">
        <v>37800</v>
      </c>
      <c r="R220" s="131">
        <v>6048</v>
      </c>
      <c r="S220" s="131"/>
      <c r="T220" s="155">
        <v>4032.02</v>
      </c>
      <c r="U220" s="131">
        <v>3780</v>
      </c>
      <c r="V220" s="131">
        <f t="shared" si="5"/>
        <v>36035.980000000003</v>
      </c>
      <c r="W220">
        <v>15</v>
      </c>
      <c r="X220" s="151" t="s">
        <v>1429</v>
      </c>
      <c r="Y220" s="135" t="s">
        <v>55</v>
      </c>
      <c r="Z220" s="307">
        <v>183</v>
      </c>
      <c r="AB220" t="str">
        <f>IF(Table1[[#This Row],[TIPO2]]="costo", VLOOKUP(Table1[[#This Row],[PARTIDA PRESUPUESTAL]],'Cost Report'!G:G,1,0),"Balance")</f>
        <v>2013-004</v>
      </c>
      <c r="AC220" s="118"/>
      <c r="AD220" s="159">
        <f>+Table1[[#This Row],[SUBTOTAL]]+Table1[[#This Row],[IVA]]-Table1[[#This Row],[RET IVA]]-Table1[[#This Row],[RET ISR]]-Table1[[#This Row],[TOTAL]]</f>
        <v>0</v>
      </c>
      <c r="AE220" s="150"/>
      <c r="AF220" s="151"/>
      <c r="AG220" s="126"/>
      <c r="AK220" s="306" t="str">
        <f>IF(ISNUMBER(Table1[[#This Row],[FECHA DE RECIBIDO]]), Table1[[#This Row],[FECHA DE RECIBIDO]]-DATE(2023,8,30), "")</f>
        <v/>
      </c>
    </row>
    <row r="221" spans="1:37" ht="16.05" customHeight="1">
      <c r="A221" s="152" t="s">
        <v>1663</v>
      </c>
      <c r="B221" s="153">
        <v>130</v>
      </c>
      <c r="C221" s="126" t="s">
        <v>242</v>
      </c>
      <c r="D221">
        <v>160</v>
      </c>
      <c r="E221" s="126" t="s">
        <v>1590</v>
      </c>
      <c r="F221" s="125" t="s">
        <v>1589</v>
      </c>
      <c r="G221" s="125" t="s">
        <v>129</v>
      </c>
      <c r="H221">
        <v>16</v>
      </c>
      <c r="I221" s="125" t="s">
        <v>1546</v>
      </c>
      <c r="J221" s="308" t="s">
        <v>214</v>
      </c>
      <c r="K221" s="127" t="s">
        <v>1664</v>
      </c>
      <c r="L221" s="153" t="s">
        <v>110</v>
      </c>
      <c r="M221">
        <v>21</v>
      </c>
      <c r="N221" s="123">
        <v>2</v>
      </c>
      <c r="O221">
        <v>180</v>
      </c>
      <c r="P221" s="132" t="s">
        <v>77</v>
      </c>
      <c r="Q221" s="132">
        <v>42000</v>
      </c>
      <c r="R221" s="132">
        <v>6720</v>
      </c>
      <c r="S221" s="132"/>
      <c r="T221" s="156">
        <v>4480.01</v>
      </c>
      <c r="U221" s="132">
        <v>4200</v>
      </c>
      <c r="V221" s="132">
        <f t="shared" si="5"/>
        <v>40039.99</v>
      </c>
      <c r="W221">
        <v>16</v>
      </c>
      <c r="X221" s="153" t="s">
        <v>1429</v>
      </c>
      <c r="Y221" s="124" t="s">
        <v>55</v>
      </c>
      <c r="Z221" s="308">
        <v>183</v>
      </c>
      <c r="AB221" t="str">
        <f>IF(Table1[[#This Row],[TIPO2]]="costo", VLOOKUP(Table1[[#This Row],[PARTIDA PRESUPUESTAL]],'Cost Report'!G:G,1,0),"Balance")</f>
        <v>1204-004</v>
      </c>
      <c r="AC221" s="118"/>
      <c r="AD221" s="159">
        <f>+Table1[[#This Row],[SUBTOTAL]]+Table1[[#This Row],[IVA]]-Table1[[#This Row],[RET IVA]]-Table1[[#This Row],[RET ISR]]-Table1[[#This Row],[TOTAL]]</f>
        <v>0</v>
      </c>
      <c r="AE221" s="152"/>
      <c r="AF221" s="153"/>
      <c r="AG221" s="126"/>
      <c r="AK221" s="306" t="str">
        <f>IF(ISNUMBER(Table1[[#This Row],[FECHA DE RECIBIDO]]), Table1[[#This Row],[FECHA DE RECIBIDO]]-DATE(2023,8,30), "")</f>
        <v/>
      </c>
    </row>
    <row r="222" spans="1:37" ht="16.05" customHeight="1">
      <c r="A222" s="150" t="s">
        <v>1665</v>
      </c>
      <c r="B222" s="151">
        <v>131</v>
      </c>
      <c r="C222" s="126" t="s">
        <v>242</v>
      </c>
      <c r="D222">
        <v>161</v>
      </c>
      <c r="E222" s="126" t="s">
        <v>1590</v>
      </c>
      <c r="F222" s="122" t="s">
        <v>1589</v>
      </c>
      <c r="G222" s="122" t="s">
        <v>129</v>
      </c>
      <c r="H222">
        <v>16</v>
      </c>
      <c r="I222" s="122" t="s">
        <v>1546</v>
      </c>
      <c r="J222" s="307" t="s">
        <v>214</v>
      </c>
      <c r="K222" s="127" t="s">
        <v>1666</v>
      </c>
      <c r="L222" s="151" t="s">
        <v>110</v>
      </c>
      <c r="M222">
        <v>21</v>
      </c>
      <c r="N222" s="123">
        <v>2</v>
      </c>
      <c r="O222">
        <v>181</v>
      </c>
      <c r="P222" s="132" t="s">
        <v>77</v>
      </c>
      <c r="Q222" s="131">
        <v>42000</v>
      </c>
      <c r="R222" s="131">
        <v>6720</v>
      </c>
      <c r="S222" s="131"/>
      <c r="T222" s="155">
        <v>4480.01</v>
      </c>
      <c r="U222" s="131">
        <v>4200</v>
      </c>
      <c r="V222" s="131">
        <f t="shared" si="5"/>
        <v>40039.99</v>
      </c>
      <c r="W222">
        <v>16</v>
      </c>
      <c r="X222" s="151" t="s">
        <v>1429</v>
      </c>
      <c r="Y222" s="135" t="s">
        <v>55</v>
      </c>
      <c r="Z222" s="307">
        <v>183</v>
      </c>
      <c r="AB222" t="str">
        <f>IF(Table1[[#This Row],[TIPO2]]="costo", VLOOKUP(Table1[[#This Row],[PARTIDA PRESUPUESTAL]],'Cost Report'!G:G,1,0),"Balance")</f>
        <v>1204-004</v>
      </c>
      <c r="AC222" s="118"/>
      <c r="AD222" s="159">
        <f>+Table1[[#This Row],[SUBTOTAL]]+Table1[[#This Row],[IVA]]-Table1[[#This Row],[RET IVA]]-Table1[[#This Row],[RET ISR]]-Table1[[#This Row],[TOTAL]]</f>
        <v>0</v>
      </c>
      <c r="AE222" s="150"/>
      <c r="AF222" s="151"/>
      <c r="AG222" s="126"/>
      <c r="AK222" s="306" t="str">
        <f>IF(ISNUMBER(Table1[[#This Row],[FECHA DE RECIBIDO]]), Table1[[#This Row],[FECHA DE RECIBIDO]]-DATE(2023,8,30), "")</f>
        <v/>
      </c>
    </row>
    <row r="223" spans="1:37" ht="16.05" customHeight="1">
      <c r="A223" s="152" t="s">
        <v>1667</v>
      </c>
      <c r="B223" s="153">
        <v>132</v>
      </c>
      <c r="C223" s="126" t="s">
        <v>434</v>
      </c>
      <c r="D223">
        <v>162</v>
      </c>
      <c r="E223" s="126" t="s">
        <v>1591</v>
      </c>
      <c r="F223" s="125" t="s">
        <v>1589</v>
      </c>
      <c r="G223" s="125" t="s">
        <v>129</v>
      </c>
      <c r="H223">
        <v>17</v>
      </c>
      <c r="I223" s="125" t="s">
        <v>1546</v>
      </c>
      <c r="J223" s="308" t="s">
        <v>214</v>
      </c>
      <c r="K223" s="127" t="s">
        <v>1662</v>
      </c>
      <c r="L223" s="153" t="s">
        <v>110</v>
      </c>
      <c r="M223">
        <v>22</v>
      </c>
      <c r="N223" s="123">
        <v>3</v>
      </c>
      <c r="O223">
        <v>182</v>
      </c>
      <c r="P223" s="132" t="s">
        <v>77</v>
      </c>
      <c r="Q223" s="132">
        <v>40000</v>
      </c>
      <c r="R223" s="132">
        <v>6400</v>
      </c>
      <c r="S223" s="132"/>
      <c r="T223" s="156">
        <v>4266.68</v>
      </c>
      <c r="U223" s="132">
        <v>4000</v>
      </c>
      <c r="V223" s="132">
        <f t="shared" si="5"/>
        <v>38133.32</v>
      </c>
      <c r="W223">
        <v>17</v>
      </c>
      <c r="X223" s="153" t="s">
        <v>1430</v>
      </c>
      <c r="Y223" s="124" t="s">
        <v>55</v>
      </c>
      <c r="Z223" s="308">
        <v>183</v>
      </c>
      <c r="AB223" t="str">
        <f>IF(Table1[[#This Row],[TIPO2]]="costo", VLOOKUP(Table1[[#This Row],[PARTIDA PRESUPUESTAL]],'Cost Report'!G:G,1,0),"Balance")</f>
        <v>2001-004</v>
      </c>
      <c r="AC223" s="118"/>
      <c r="AD223" s="159">
        <f>+Table1[[#This Row],[SUBTOTAL]]+Table1[[#This Row],[IVA]]-Table1[[#This Row],[RET IVA]]-Table1[[#This Row],[RET ISR]]-Table1[[#This Row],[TOTAL]]</f>
        <v>0</v>
      </c>
      <c r="AE223" s="152"/>
      <c r="AF223" s="153"/>
      <c r="AG223" s="126"/>
      <c r="AK223" s="306" t="str">
        <f>IF(ISNUMBER(Table1[[#This Row],[FECHA DE RECIBIDO]]), Table1[[#This Row],[FECHA DE RECIBIDO]]-DATE(2023,8,30), "")</f>
        <v/>
      </c>
    </row>
    <row r="224" spans="1:37" ht="16.05" customHeight="1">
      <c r="A224" s="150" t="s">
        <v>1668</v>
      </c>
      <c r="B224" s="151">
        <v>133</v>
      </c>
      <c r="C224" s="126" t="s">
        <v>2143</v>
      </c>
      <c r="D224">
        <v>163</v>
      </c>
      <c r="E224" s="126" t="s">
        <v>1592</v>
      </c>
      <c r="F224" s="122" t="s">
        <v>1593</v>
      </c>
      <c r="G224" s="122" t="s">
        <v>109</v>
      </c>
      <c r="H224">
        <v>18</v>
      </c>
      <c r="I224" s="122" t="s">
        <v>1546</v>
      </c>
      <c r="J224" s="307" t="s">
        <v>214</v>
      </c>
      <c r="K224" s="127" t="s">
        <v>1662</v>
      </c>
      <c r="L224" s="151" t="s">
        <v>110</v>
      </c>
      <c r="M224">
        <v>23</v>
      </c>
      <c r="N224" s="123">
        <v>4</v>
      </c>
      <c r="O224">
        <v>183</v>
      </c>
      <c r="P224" s="132" t="s">
        <v>77</v>
      </c>
      <c r="Q224" s="131">
        <v>20000</v>
      </c>
      <c r="R224" s="131">
        <v>3200</v>
      </c>
      <c r="S224" s="131"/>
      <c r="T224" s="155">
        <v>2133.34</v>
      </c>
      <c r="U224" s="131">
        <v>250</v>
      </c>
      <c r="V224" s="131">
        <f t="shared" si="5"/>
        <v>20816.66</v>
      </c>
      <c r="W224">
        <v>18</v>
      </c>
      <c r="X224" s="151" t="s">
        <v>1429</v>
      </c>
      <c r="Y224" s="135" t="s">
        <v>55</v>
      </c>
      <c r="Z224" s="307">
        <v>183</v>
      </c>
      <c r="AB224" t="str">
        <f>IF(Table1[[#This Row],[TIPO2]]="costo", VLOOKUP(Table1[[#This Row],[PARTIDA PRESUPUESTAL]],'Cost Report'!G:G,1,0),"Balance")</f>
        <v>1222-009</v>
      </c>
      <c r="AC224" s="118"/>
      <c r="AD224" s="159">
        <f>+Table1[[#This Row],[SUBTOTAL]]+Table1[[#This Row],[IVA]]-Table1[[#This Row],[RET IVA]]-Table1[[#This Row],[RET ISR]]-Table1[[#This Row],[TOTAL]]</f>
        <v>0</v>
      </c>
      <c r="AE224" s="150"/>
      <c r="AF224" s="151"/>
      <c r="AG224" s="126"/>
      <c r="AK224" s="306" t="str">
        <f>IF(ISNUMBER(Table1[[#This Row],[FECHA DE RECIBIDO]]), Table1[[#This Row],[FECHA DE RECIBIDO]]-DATE(2023,8,30), "")</f>
        <v/>
      </c>
    </row>
    <row r="225" spans="1:37" ht="16.05" customHeight="1">
      <c r="A225" s="152" t="s">
        <v>1669</v>
      </c>
      <c r="B225" s="153">
        <v>134</v>
      </c>
      <c r="C225" s="126" t="s">
        <v>477</v>
      </c>
      <c r="D225">
        <v>164</v>
      </c>
      <c r="E225" s="126" t="s">
        <v>1594</v>
      </c>
      <c r="F225" s="125" t="s">
        <v>1593</v>
      </c>
      <c r="G225" s="125" t="s">
        <v>109</v>
      </c>
      <c r="H225">
        <v>21</v>
      </c>
      <c r="I225" s="125" t="s">
        <v>1546</v>
      </c>
      <c r="J225" s="308" t="s">
        <v>214</v>
      </c>
      <c r="K225" s="127" t="s">
        <v>1662</v>
      </c>
      <c r="L225" s="153" t="s">
        <v>110</v>
      </c>
      <c r="M225">
        <v>27</v>
      </c>
      <c r="N225" s="123">
        <v>5</v>
      </c>
      <c r="O225">
        <v>184</v>
      </c>
      <c r="P225" s="132" t="s">
        <v>77</v>
      </c>
      <c r="Q225" s="132">
        <v>16000</v>
      </c>
      <c r="R225" s="132">
        <v>2560</v>
      </c>
      <c r="S225" s="132"/>
      <c r="T225" s="156">
        <v>1706.66</v>
      </c>
      <c r="U225" s="132">
        <v>200</v>
      </c>
      <c r="V225" s="132">
        <f t="shared" si="5"/>
        <v>16653.34</v>
      </c>
      <c r="W225">
        <v>21</v>
      </c>
      <c r="X225" s="153" t="s">
        <v>1431</v>
      </c>
      <c r="Y225" s="124" t="s">
        <v>55</v>
      </c>
      <c r="Z225" s="308">
        <v>183</v>
      </c>
      <c r="AB225" t="str">
        <f>IF(Table1[[#This Row],[TIPO2]]="costo", VLOOKUP(Table1[[#This Row],[PARTIDA PRESUPUESTAL]],'Cost Report'!G:G,1,0),"Balance")</f>
        <v>2014-003</v>
      </c>
      <c r="AC225" s="118"/>
      <c r="AD225" s="159">
        <f>+Table1[[#This Row],[SUBTOTAL]]+Table1[[#This Row],[IVA]]-Table1[[#This Row],[RET IVA]]-Table1[[#This Row],[RET ISR]]-Table1[[#This Row],[TOTAL]]</f>
        <v>0</v>
      </c>
      <c r="AE225" s="152"/>
      <c r="AF225" s="153"/>
      <c r="AG225" s="126"/>
      <c r="AK225" s="306" t="str">
        <f>IF(ISNUMBER(Table1[[#This Row],[FECHA DE RECIBIDO]]), Table1[[#This Row],[FECHA DE RECIBIDO]]-DATE(2023,8,30), "")</f>
        <v/>
      </c>
    </row>
    <row r="226" spans="1:37" ht="16.05" customHeight="1">
      <c r="A226" s="150" t="s">
        <v>1670</v>
      </c>
      <c r="B226" s="151">
        <v>135</v>
      </c>
      <c r="C226" s="126" t="s">
        <v>490</v>
      </c>
      <c r="D226">
        <v>165</v>
      </c>
      <c r="E226" s="126" t="s">
        <v>1886</v>
      </c>
      <c r="F226" s="122" t="s">
        <v>1589</v>
      </c>
      <c r="G226" s="122" t="s">
        <v>129</v>
      </c>
      <c r="H226">
        <v>60</v>
      </c>
      <c r="I226" s="122" t="s">
        <v>1546</v>
      </c>
      <c r="J226" s="307" t="s">
        <v>214</v>
      </c>
      <c r="K226" s="127" t="s">
        <v>1662</v>
      </c>
      <c r="L226" s="151" t="s">
        <v>110</v>
      </c>
      <c r="M226">
        <v>83</v>
      </c>
      <c r="N226" s="123">
        <v>19</v>
      </c>
      <c r="O226">
        <v>185</v>
      </c>
      <c r="P226" s="132" t="s">
        <v>77</v>
      </c>
      <c r="Q226" s="131">
        <v>37800</v>
      </c>
      <c r="R226" s="131">
        <v>6048</v>
      </c>
      <c r="S226" s="131"/>
      <c r="T226" s="155">
        <v>4032.02</v>
      </c>
      <c r="U226" s="131">
        <v>3780</v>
      </c>
      <c r="V226" s="131">
        <f t="shared" si="5"/>
        <v>36035.980000000003</v>
      </c>
      <c r="W226">
        <v>42</v>
      </c>
      <c r="X226" s="151" t="s">
        <v>1430</v>
      </c>
      <c r="Y226" s="135" t="s">
        <v>55</v>
      </c>
      <c r="Z226" s="307">
        <v>183</v>
      </c>
      <c r="AB226" t="str">
        <f>IF(Table1[[#This Row],[TIPO2]]="costo", VLOOKUP(Table1[[#This Row],[PARTIDA PRESUPUESTAL]],'Cost Report'!G:G,1,0),"Balance")</f>
        <v>2020-003</v>
      </c>
      <c r="AC226" s="118"/>
      <c r="AD226" s="159">
        <f>+Table1[[#This Row],[SUBTOTAL]]+Table1[[#This Row],[IVA]]-Table1[[#This Row],[RET IVA]]-Table1[[#This Row],[RET ISR]]-Table1[[#This Row],[TOTAL]]</f>
        <v>0</v>
      </c>
      <c r="AE226" s="150"/>
      <c r="AF226" s="151"/>
      <c r="AG226" s="126"/>
      <c r="AK226" s="306" t="str">
        <f>IF(ISNUMBER(Table1[[#This Row],[FECHA DE RECIBIDO]]), Table1[[#This Row],[FECHA DE RECIBIDO]]-DATE(2023,8,30), "")</f>
        <v/>
      </c>
    </row>
    <row r="227" spans="1:37" ht="16.05" customHeight="1">
      <c r="A227" s="152" t="s">
        <v>1671</v>
      </c>
      <c r="B227" s="153">
        <v>136</v>
      </c>
      <c r="C227" s="126" t="s">
        <v>237</v>
      </c>
      <c r="D227">
        <v>166</v>
      </c>
      <c r="E227" s="126" t="s">
        <v>1887</v>
      </c>
      <c r="F227" s="125" t="s">
        <v>1593</v>
      </c>
      <c r="G227" s="125" t="s">
        <v>109</v>
      </c>
      <c r="H227">
        <v>10</v>
      </c>
      <c r="I227" s="125" t="s">
        <v>1546</v>
      </c>
      <c r="J227" s="308" t="s">
        <v>214</v>
      </c>
      <c r="K227" s="127" t="s">
        <v>1672</v>
      </c>
      <c r="L227" s="153" t="s">
        <v>110</v>
      </c>
      <c r="M227">
        <v>13</v>
      </c>
      <c r="N227" s="123">
        <v>20</v>
      </c>
      <c r="O227">
        <v>186</v>
      </c>
      <c r="P227" s="132" t="s">
        <v>77</v>
      </c>
      <c r="Q227" s="132">
        <v>67000</v>
      </c>
      <c r="R227" s="132">
        <v>10720</v>
      </c>
      <c r="S227" s="132"/>
      <c r="T227" s="156">
        <v>7146.68</v>
      </c>
      <c r="U227" s="132">
        <v>837.5</v>
      </c>
      <c r="V227" s="132">
        <f t="shared" si="5"/>
        <v>69735.820000000007</v>
      </c>
      <c r="W227">
        <v>9</v>
      </c>
      <c r="X227" s="153" t="s">
        <v>1429</v>
      </c>
      <c r="Y227" s="124" t="s">
        <v>55</v>
      </c>
      <c r="Z227" s="308">
        <v>183</v>
      </c>
      <c r="AB227" t="str">
        <f>IF(Table1[[#This Row],[TIPO2]]="costo", VLOOKUP(Table1[[#This Row],[PARTIDA PRESUPUESTAL]],'Cost Report'!G:G,1,0),"Balance")</f>
        <v>1202-004</v>
      </c>
      <c r="AC227" s="118"/>
      <c r="AD227" s="159">
        <f>+Table1[[#This Row],[SUBTOTAL]]+Table1[[#This Row],[IVA]]-Table1[[#This Row],[RET IVA]]-Table1[[#This Row],[RET ISR]]-Table1[[#This Row],[TOTAL]]</f>
        <v>0</v>
      </c>
      <c r="AE227" s="152"/>
      <c r="AF227" s="153"/>
      <c r="AG227" s="126"/>
      <c r="AK227" s="306" t="str">
        <f>IF(ISNUMBER(Table1[[#This Row],[FECHA DE RECIBIDO]]), Table1[[#This Row],[FECHA DE RECIBIDO]]-DATE(2023,8,30), "")</f>
        <v/>
      </c>
    </row>
    <row r="228" spans="1:37" ht="16.05" customHeight="1">
      <c r="A228" s="150" t="s">
        <v>1673</v>
      </c>
      <c r="B228" s="151">
        <v>137</v>
      </c>
      <c r="C228" s="126" t="s">
        <v>237</v>
      </c>
      <c r="D228">
        <v>167</v>
      </c>
      <c r="E228" s="126" t="s">
        <v>1887</v>
      </c>
      <c r="F228" s="122" t="s">
        <v>1593</v>
      </c>
      <c r="G228" s="122" t="s">
        <v>109</v>
      </c>
      <c r="H228">
        <v>10</v>
      </c>
      <c r="I228" s="122" t="s">
        <v>1546</v>
      </c>
      <c r="J228" s="307" t="s">
        <v>214</v>
      </c>
      <c r="K228" s="127" t="s">
        <v>1662</v>
      </c>
      <c r="L228" s="151" t="s">
        <v>110</v>
      </c>
      <c r="M228">
        <v>13</v>
      </c>
      <c r="N228" s="123">
        <v>20</v>
      </c>
      <c r="O228">
        <v>187</v>
      </c>
      <c r="P228" s="132" t="s">
        <v>77</v>
      </c>
      <c r="Q228" s="131">
        <v>67000</v>
      </c>
      <c r="R228" s="131">
        <v>10720</v>
      </c>
      <c r="S228" s="131"/>
      <c r="T228" s="155">
        <v>7146.68</v>
      </c>
      <c r="U228" s="131">
        <v>837.5</v>
      </c>
      <c r="V228" s="131">
        <f t="shared" si="5"/>
        <v>69735.820000000007</v>
      </c>
      <c r="W228">
        <v>9</v>
      </c>
      <c r="X228" s="151" t="s">
        <v>1429</v>
      </c>
      <c r="Y228" s="135" t="s">
        <v>55</v>
      </c>
      <c r="Z228" s="307">
        <v>183</v>
      </c>
      <c r="AB228" t="str">
        <f>IF(Table1[[#This Row],[TIPO2]]="costo", VLOOKUP(Table1[[#This Row],[PARTIDA PRESUPUESTAL]],'Cost Report'!G:G,1,0),"Balance")</f>
        <v>1202-004</v>
      </c>
      <c r="AC228" s="118"/>
      <c r="AD228" s="159">
        <f>+Table1[[#This Row],[SUBTOTAL]]+Table1[[#This Row],[IVA]]-Table1[[#This Row],[RET IVA]]-Table1[[#This Row],[RET ISR]]-Table1[[#This Row],[TOTAL]]</f>
        <v>0</v>
      </c>
      <c r="AE228" s="150"/>
      <c r="AF228" s="151"/>
      <c r="AG228" s="126"/>
      <c r="AK228" s="306" t="str">
        <f>IF(ISNUMBER(Table1[[#This Row],[FECHA DE RECIBIDO]]), Table1[[#This Row],[FECHA DE RECIBIDO]]-DATE(2023,8,30), "")</f>
        <v/>
      </c>
    </row>
    <row r="229" spans="1:37" ht="16.05" customHeight="1">
      <c r="A229" s="152" t="s">
        <v>1674</v>
      </c>
      <c r="B229" s="153">
        <v>138</v>
      </c>
      <c r="C229" s="126" t="s">
        <v>2416</v>
      </c>
      <c r="D229">
        <v>168</v>
      </c>
      <c r="E229" s="126" t="s">
        <v>1888</v>
      </c>
      <c r="F229" s="125" t="s">
        <v>1593</v>
      </c>
      <c r="G229" s="125" t="s">
        <v>109</v>
      </c>
      <c r="H229">
        <v>61</v>
      </c>
      <c r="I229" s="125" t="s">
        <v>1546</v>
      </c>
      <c r="J229" s="308" t="s">
        <v>214</v>
      </c>
      <c r="K229" s="127" t="s">
        <v>1662</v>
      </c>
      <c r="L229" s="153" t="s">
        <v>110</v>
      </c>
      <c r="M229">
        <v>84</v>
      </c>
      <c r="N229" s="123">
        <v>21</v>
      </c>
      <c r="O229">
        <v>188</v>
      </c>
      <c r="P229" s="132" t="s">
        <v>77</v>
      </c>
      <c r="Q229" s="132">
        <v>25000</v>
      </c>
      <c r="R229" s="132">
        <v>4000</v>
      </c>
      <c r="S229" s="132"/>
      <c r="T229" s="156">
        <v>2666.67</v>
      </c>
      <c r="U229" s="132">
        <v>312.5</v>
      </c>
      <c r="V229" s="132">
        <f t="shared" si="5"/>
        <v>26020.83</v>
      </c>
      <c r="W229">
        <v>43</v>
      </c>
      <c r="X229" s="153" t="s">
        <v>1431</v>
      </c>
      <c r="Y229" s="124" t="s">
        <v>55</v>
      </c>
      <c r="Z229" s="308">
        <v>183</v>
      </c>
      <c r="AB229" t="str">
        <f>IF(Table1[[#This Row],[TIPO2]]="costo", VLOOKUP(Table1[[#This Row],[PARTIDA PRESUPUESTAL]],'Cost Report'!G:G,1,0),"Balance")</f>
        <v>2017-003</v>
      </c>
      <c r="AC229" s="118"/>
      <c r="AD229" s="159">
        <f>+Table1[[#This Row],[SUBTOTAL]]+Table1[[#This Row],[IVA]]-Table1[[#This Row],[RET IVA]]-Table1[[#This Row],[RET ISR]]-Table1[[#This Row],[TOTAL]]</f>
        <v>0</v>
      </c>
      <c r="AE229" s="152"/>
      <c r="AF229" s="153"/>
      <c r="AG229" s="126"/>
      <c r="AK229" s="306" t="str">
        <f>IF(ISNUMBER(Table1[[#This Row],[FECHA DE RECIBIDO]]), Table1[[#This Row],[FECHA DE RECIBIDO]]-DATE(2023,8,30), "")</f>
        <v/>
      </c>
    </row>
    <row r="230" spans="1:37" ht="16.05" customHeight="1">
      <c r="A230" s="150" t="s">
        <v>1675</v>
      </c>
      <c r="B230" s="151">
        <v>139</v>
      </c>
      <c r="C230" s="126" t="s">
        <v>444</v>
      </c>
      <c r="D230">
        <v>169</v>
      </c>
      <c r="E230" s="126" t="s">
        <v>1595</v>
      </c>
      <c r="F230" s="122" t="s">
        <v>1589</v>
      </c>
      <c r="G230" s="122" t="s">
        <v>129</v>
      </c>
      <c r="H230">
        <v>7</v>
      </c>
      <c r="I230" s="122" t="s">
        <v>1546</v>
      </c>
      <c r="J230" s="307" t="s">
        <v>214</v>
      </c>
      <c r="K230" s="127" t="s">
        <v>1662</v>
      </c>
      <c r="L230" s="151" t="s">
        <v>110</v>
      </c>
      <c r="M230">
        <v>24</v>
      </c>
      <c r="N230" s="123">
        <v>6</v>
      </c>
      <c r="O230">
        <v>189</v>
      </c>
      <c r="P230" s="132" t="s">
        <v>77</v>
      </c>
      <c r="Q230" s="131">
        <v>52500</v>
      </c>
      <c r="R230" s="131">
        <v>8400</v>
      </c>
      <c r="S230" s="131"/>
      <c r="T230" s="155">
        <v>5600.02</v>
      </c>
      <c r="U230" s="131">
        <v>5250</v>
      </c>
      <c r="V230" s="131">
        <f t="shared" si="5"/>
        <v>50049.979999999996</v>
      </c>
      <c r="W230">
        <v>7</v>
      </c>
      <c r="X230" s="151" t="s">
        <v>1431</v>
      </c>
      <c r="Y230" s="135" t="s">
        <v>55</v>
      </c>
      <c r="Z230" s="307">
        <v>183</v>
      </c>
      <c r="AB230" t="str">
        <f>IF(Table1[[#This Row],[TIPO2]]="costo", VLOOKUP(Table1[[#This Row],[PARTIDA PRESUPUESTAL]],'Cost Report'!G:G,1,0),"Balance")</f>
        <v>2004-004</v>
      </c>
      <c r="AC230" s="118"/>
      <c r="AD230" s="159">
        <f>+Table1[[#This Row],[SUBTOTAL]]+Table1[[#This Row],[IVA]]-Table1[[#This Row],[RET IVA]]-Table1[[#This Row],[RET ISR]]-Table1[[#This Row],[TOTAL]]</f>
        <v>0</v>
      </c>
      <c r="AE230" s="150"/>
      <c r="AF230" s="151"/>
      <c r="AG230" s="126"/>
      <c r="AK230" s="306" t="str">
        <f>IF(ISNUMBER(Table1[[#This Row],[FECHA DE RECIBIDO]]), Table1[[#This Row],[FECHA DE RECIBIDO]]-DATE(2023,8,30), "")</f>
        <v/>
      </c>
    </row>
    <row r="231" spans="1:37" ht="16.05" customHeight="1">
      <c r="A231" s="152" t="s">
        <v>1676</v>
      </c>
      <c r="B231" s="153">
        <v>140</v>
      </c>
      <c r="C231" s="126" t="s">
        <v>447</v>
      </c>
      <c r="D231">
        <v>170</v>
      </c>
      <c r="E231" s="126" t="s">
        <v>1577</v>
      </c>
      <c r="F231" s="125" t="s">
        <v>1593</v>
      </c>
      <c r="G231" s="125" t="s">
        <v>109</v>
      </c>
      <c r="H231">
        <v>19</v>
      </c>
      <c r="I231" s="125" t="s">
        <v>1546</v>
      </c>
      <c r="J231" s="308" t="s">
        <v>214</v>
      </c>
      <c r="K231" s="127" t="s">
        <v>1662</v>
      </c>
      <c r="L231" s="153" t="s">
        <v>110</v>
      </c>
      <c r="M231">
        <v>25</v>
      </c>
      <c r="N231" s="123">
        <v>7</v>
      </c>
      <c r="O231">
        <v>190</v>
      </c>
      <c r="P231" s="132" t="s">
        <v>77</v>
      </c>
      <c r="Q231" s="132">
        <v>31500</v>
      </c>
      <c r="R231" s="132">
        <v>5040</v>
      </c>
      <c r="S231" s="132"/>
      <c r="T231" s="156">
        <v>3360.1</v>
      </c>
      <c r="U231" s="132">
        <v>393.76</v>
      </c>
      <c r="V231" s="132">
        <f t="shared" si="5"/>
        <v>32786.14</v>
      </c>
      <c r="W231">
        <v>19</v>
      </c>
      <c r="X231" s="153" t="s">
        <v>1429</v>
      </c>
      <c r="Y231" s="124" t="s">
        <v>55</v>
      </c>
      <c r="Z231" s="308">
        <v>183</v>
      </c>
      <c r="AB231" t="str">
        <f>IF(Table1[[#This Row],[TIPO2]]="costo", VLOOKUP(Table1[[#This Row],[PARTIDA PRESUPUESTAL]],'Cost Report'!G:G,1,0),"Balance")</f>
        <v>2005-004</v>
      </c>
      <c r="AC231" s="118"/>
      <c r="AD231" s="159">
        <f>+Table1[[#This Row],[SUBTOTAL]]+Table1[[#This Row],[IVA]]-Table1[[#This Row],[RET IVA]]-Table1[[#This Row],[RET ISR]]-Table1[[#This Row],[TOTAL]]</f>
        <v>0</v>
      </c>
      <c r="AE231" s="152"/>
      <c r="AF231" s="153"/>
      <c r="AG231" s="126"/>
      <c r="AK231" s="306" t="str">
        <f>IF(ISNUMBER(Table1[[#This Row],[FECHA DE RECIBIDO]]), Table1[[#This Row],[FECHA DE RECIBIDO]]-DATE(2023,8,30), "")</f>
        <v/>
      </c>
    </row>
    <row r="232" spans="1:37" ht="16.05" customHeight="1">
      <c r="A232" s="150" t="s">
        <v>1677</v>
      </c>
      <c r="B232" s="151">
        <v>141</v>
      </c>
      <c r="C232" s="126" t="s">
        <v>440</v>
      </c>
      <c r="D232">
        <v>171</v>
      </c>
      <c r="E232" s="126" t="s">
        <v>1889</v>
      </c>
      <c r="F232" s="122" t="s">
        <v>1589</v>
      </c>
      <c r="G232" s="122" t="s">
        <v>129</v>
      </c>
      <c r="H232">
        <v>62</v>
      </c>
      <c r="I232" s="122" t="s">
        <v>1546</v>
      </c>
      <c r="J232" s="307" t="s">
        <v>214</v>
      </c>
      <c r="K232" s="127" t="s">
        <v>1678</v>
      </c>
      <c r="L232" s="151" t="s">
        <v>110</v>
      </c>
      <c r="M232">
        <v>85</v>
      </c>
      <c r="N232" s="123">
        <v>22</v>
      </c>
      <c r="O232">
        <v>191</v>
      </c>
      <c r="P232" s="132" t="s">
        <v>77</v>
      </c>
      <c r="Q232" s="131">
        <v>78750</v>
      </c>
      <c r="R232" s="131">
        <v>12600</v>
      </c>
      <c r="S232" s="131"/>
      <c r="T232" s="155">
        <v>8400.0300000000007</v>
      </c>
      <c r="U232" s="131">
        <v>7875</v>
      </c>
      <c r="V232" s="131">
        <f t="shared" si="5"/>
        <v>75074.97</v>
      </c>
      <c r="W232">
        <v>44</v>
      </c>
      <c r="X232" s="151" t="s">
        <v>1434</v>
      </c>
      <c r="Y232" s="135" t="s">
        <v>55</v>
      </c>
      <c r="Z232" s="307">
        <v>183</v>
      </c>
      <c r="AB232" t="str">
        <f>IF(Table1[[#This Row],[TIPO2]]="costo", VLOOKUP(Table1[[#This Row],[PARTIDA PRESUPUESTAL]],'Cost Report'!G:G,1,0),"Balance")</f>
        <v>2003-003</v>
      </c>
      <c r="AC232" s="118"/>
      <c r="AD232" s="159">
        <f>+Table1[[#This Row],[SUBTOTAL]]+Table1[[#This Row],[IVA]]-Table1[[#This Row],[RET IVA]]-Table1[[#This Row],[RET ISR]]-Table1[[#This Row],[TOTAL]]</f>
        <v>0</v>
      </c>
      <c r="AE232" s="150"/>
      <c r="AF232" s="151"/>
      <c r="AG232" s="126"/>
      <c r="AK232" s="306" t="str">
        <f>IF(ISNUMBER(Table1[[#This Row],[FECHA DE RECIBIDO]]), Table1[[#This Row],[FECHA DE RECIBIDO]]-DATE(2023,8,30), "")</f>
        <v/>
      </c>
    </row>
    <row r="233" spans="1:37" ht="16.05" customHeight="1">
      <c r="A233" s="152" t="s">
        <v>1679</v>
      </c>
      <c r="B233" s="153">
        <v>142</v>
      </c>
      <c r="C233" s="126" t="s">
        <v>440</v>
      </c>
      <c r="D233">
        <v>172</v>
      </c>
      <c r="E233" s="126" t="s">
        <v>1889</v>
      </c>
      <c r="F233" s="125" t="s">
        <v>1589</v>
      </c>
      <c r="G233" s="125" t="s">
        <v>129</v>
      </c>
      <c r="H233">
        <v>62</v>
      </c>
      <c r="I233" s="125" t="s">
        <v>1546</v>
      </c>
      <c r="J233" s="308" t="s">
        <v>214</v>
      </c>
      <c r="K233" s="127" t="s">
        <v>1662</v>
      </c>
      <c r="L233" s="153" t="s">
        <v>110</v>
      </c>
      <c r="M233">
        <v>85</v>
      </c>
      <c r="N233" s="123">
        <v>22</v>
      </c>
      <c r="O233">
        <v>192</v>
      </c>
      <c r="P233" s="132" t="s">
        <v>77</v>
      </c>
      <c r="Q233" s="132">
        <v>52500</v>
      </c>
      <c r="R233" s="132">
        <v>8400</v>
      </c>
      <c r="S233" s="132"/>
      <c r="T233" s="156">
        <v>5600.02</v>
      </c>
      <c r="U233" s="132">
        <v>5250</v>
      </c>
      <c r="V233" s="132">
        <f t="shared" si="5"/>
        <v>50049.979999999996</v>
      </c>
      <c r="W233">
        <v>44</v>
      </c>
      <c r="X233" s="153" t="s">
        <v>1434</v>
      </c>
      <c r="Y233" s="124" t="s">
        <v>55</v>
      </c>
      <c r="Z233" s="308">
        <v>183</v>
      </c>
      <c r="AB233" t="str">
        <f>IF(Table1[[#This Row],[TIPO2]]="costo", VLOOKUP(Table1[[#This Row],[PARTIDA PRESUPUESTAL]],'Cost Report'!G:G,1,0),"Balance")</f>
        <v>2003-003</v>
      </c>
      <c r="AC233" s="118"/>
      <c r="AD233" s="159">
        <f>+Table1[[#This Row],[SUBTOTAL]]+Table1[[#This Row],[IVA]]-Table1[[#This Row],[RET IVA]]-Table1[[#This Row],[RET ISR]]-Table1[[#This Row],[TOTAL]]</f>
        <v>0</v>
      </c>
      <c r="AE233" s="152"/>
      <c r="AF233" s="153"/>
      <c r="AG233" s="126"/>
      <c r="AK233" s="306" t="str">
        <f>IF(ISNUMBER(Table1[[#This Row],[FECHA DE RECIBIDO]]), Table1[[#This Row],[FECHA DE RECIBIDO]]-DATE(2023,8,30), "")</f>
        <v/>
      </c>
    </row>
    <row r="234" spans="1:37" ht="16.05" customHeight="1">
      <c r="A234" s="150" t="s">
        <v>1680</v>
      </c>
      <c r="B234" s="151">
        <v>143</v>
      </c>
      <c r="C234" s="126" t="s">
        <v>450</v>
      </c>
      <c r="D234">
        <v>173</v>
      </c>
      <c r="E234" s="126" t="s">
        <v>1890</v>
      </c>
      <c r="F234" s="122" t="s">
        <v>1593</v>
      </c>
      <c r="G234" s="122" t="s">
        <v>109</v>
      </c>
      <c r="H234">
        <v>63</v>
      </c>
      <c r="I234" s="122" t="s">
        <v>1546</v>
      </c>
      <c r="J234" s="307" t="s">
        <v>214</v>
      </c>
      <c r="K234" s="127" t="s">
        <v>1681</v>
      </c>
      <c r="L234" s="151" t="s">
        <v>110</v>
      </c>
      <c r="M234">
        <v>86</v>
      </c>
      <c r="N234" s="123">
        <v>23</v>
      </c>
      <c r="O234">
        <v>193</v>
      </c>
      <c r="P234" s="132" t="s">
        <v>77</v>
      </c>
      <c r="Q234" s="131">
        <v>45000</v>
      </c>
      <c r="R234" s="131">
        <v>7200</v>
      </c>
      <c r="S234" s="131"/>
      <c r="T234" s="155">
        <v>4800</v>
      </c>
      <c r="U234" s="131">
        <v>562.5</v>
      </c>
      <c r="V234" s="131">
        <f t="shared" si="5"/>
        <v>46837.5</v>
      </c>
      <c r="W234">
        <v>45</v>
      </c>
      <c r="X234" s="151" t="s">
        <v>1429</v>
      </c>
      <c r="Y234" s="135" t="s">
        <v>55</v>
      </c>
      <c r="Z234" s="307">
        <v>183</v>
      </c>
      <c r="AB234" t="str">
        <f>IF(Table1[[#This Row],[TIPO2]]="costo", VLOOKUP(Table1[[#This Row],[PARTIDA PRESUPUESTAL]],'Cost Report'!G:G,1,0),"Balance")</f>
        <v>2005-009</v>
      </c>
      <c r="AC234" s="118"/>
      <c r="AD234" s="159">
        <f>+Table1[[#This Row],[SUBTOTAL]]+Table1[[#This Row],[IVA]]-Table1[[#This Row],[RET IVA]]-Table1[[#This Row],[RET ISR]]-Table1[[#This Row],[TOTAL]]</f>
        <v>0</v>
      </c>
      <c r="AE234" s="150"/>
      <c r="AF234" s="151"/>
      <c r="AG234" s="126"/>
      <c r="AK234" s="306" t="str">
        <f>IF(ISNUMBER(Table1[[#This Row],[FECHA DE RECIBIDO]]), Table1[[#This Row],[FECHA DE RECIBIDO]]-DATE(2023,8,30), "")</f>
        <v/>
      </c>
    </row>
    <row r="235" spans="1:37" ht="16.05" customHeight="1">
      <c r="A235" s="152" t="s">
        <v>1682</v>
      </c>
      <c r="B235" s="153">
        <v>144</v>
      </c>
      <c r="C235" s="126" t="s">
        <v>952</v>
      </c>
      <c r="D235">
        <v>174</v>
      </c>
      <c r="E235" s="126" t="s">
        <v>1596</v>
      </c>
      <c r="F235" s="125" t="s">
        <v>1593</v>
      </c>
      <c r="G235" s="125" t="s">
        <v>109</v>
      </c>
      <c r="H235">
        <v>11</v>
      </c>
      <c r="I235" s="125" t="s">
        <v>1546</v>
      </c>
      <c r="J235" s="308" t="s">
        <v>214</v>
      </c>
      <c r="K235" s="127" t="s">
        <v>1662</v>
      </c>
      <c r="L235" s="153" t="s">
        <v>110</v>
      </c>
      <c r="M235">
        <v>14</v>
      </c>
      <c r="N235" s="123">
        <v>8</v>
      </c>
      <c r="O235">
        <v>194</v>
      </c>
      <c r="P235" s="132" t="s">
        <v>77</v>
      </c>
      <c r="Q235" s="132">
        <v>21000</v>
      </c>
      <c r="R235" s="132">
        <v>3360</v>
      </c>
      <c r="S235" s="132"/>
      <c r="T235" s="156">
        <v>2239.98</v>
      </c>
      <c r="U235" s="132">
        <v>262.5</v>
      </c>
      <c r="V235" s="132">
        <f t="shared" si="5"/>
        <v>21857.52</v>
      </c>
      <c r="W235">
        <v>10</v>
      </c>
      <c r="X235" s="153" t="s">
        <v>1432</v>
      </c>
      <c r="Y235" s="124" t="s">
        <v>55</v>
      </c>
      <c r="Z235" s="308">
        <v>183</v>
      </c>
      <c r="AB235" t="str">
        <f>IF(Table1[[#This Row],[TIPO2]]="costo", VLOOKUP(Table1[[#This Row],[PARTIDA PRESUPUESTAL]],'Cost Report'!G:G,1,0),"Balance")</f>
        <v>3403-010</v>
      </c>
      <c r="AC235" s="118"/>
      <c r="AD235" s="159">
        <f>+Table1[[#This Row],[SUBTOTAL]]+Table1[[#This Row],[IVA]]-Table1[[#This Row],[RET IVA]]-Table1[[#This Row],[RET ISR]]-Table1[[#This Row],[TOTAL]]</f>
        <v>0</v>
      </c>
      <c r="AE235" s="152"/>
      <c r="AF235" s="153"/>
      <c r="AG235" s="126"/>
      <c r="AK235" s="306" t="str">
        <f>IF(ISNUMBER(Table1[[#This Row],[FECHA DE RECIBIDO]]), Table1[[#This Row],[FECHA DE RECIBIDO]]-DATE(2023,8,30), "")</f>
        <v/>
      </c>
    </row>
    <row r="236" spans="1:37" ht="16.05" customHeight="1">
      <c r="A236" s="150" t="s">
        <v>1683</v>
      </c>
      <c r="B236" s="151">
        <v>145</v>
      </c>
      <c r="C236" s="126" t="s">
        <v>955</v>
      </c>
      <c r="D236">
        <v>175</v>
      </c>
      <c r="E236" s="126" t="s">
        <v>1598</v>
      </c>
      <c r="F236" s="122" t="s">
        <v>1593</v>
      </c>
      <c r="G236" s="122" t="s">
        <v>109</v>
      </c>
      <c r="H236">
        <v>25</v>
      </c>
      <c r="I236" s="122" t="s">
        <v>1546</v>
      </c>
      <c r="J236" s="307" t="s">
        <v>214</v>
      </c>
      <c r="K236" s="127" t="s">
        <v>1662</v>
      </c>
      <c r="L236" s="151" t="s">
        <v>110</v>
      </c>
      <c r="M236">
        <v>34</v>
      </c>
      <c r="N236" s="123">
        <v>10</v>
      </c>
      <c r="O236">
        <v>195</v>
      </c>
      <c r="P236" s="132" t="s">
        <v>77</v>
      </c>
      <c r="Q236" s="131">
        <v>21000</v>
      </c>
      <c r="R236" s="131">
        <v>3360</v>
      </c>
      <c r="S236" s="131"/>
      <c r="T236" s="155">
        <v>2240</v>
      </c>
      <c r="U236" s="131">
        <v>262.5</v>
      </c>
      <c r="V236" s="131">
        <f t="shared" si="5"/>
        <v>21857.5</v>
      </c>
      <c r="W236">
        <v>27</v>
      </c>
      <c r="X236" s="151" t="s">
        <v>1429</v>
      </c>
      <c r="Y236" s="135" t="s">
        <v>55</v>
      </c>
      <c r="Z236" s="307">
        <v>183</v>
      </c>
      <c r="AB236" t="str">
        <f>IF(Table1[[#This Row],[TIPO2]]="costo", VLOOKUP(Table1[[#This Row],[PARTIDA PRESUPUESTAL]],'Cost Report'!G:G,1,0),"Balance")</f>
        <v>3403-015</v>
      </c>
      <c r="AC236" s="118"/>
      <c r="AD236" s="159">
        <f>+Table1[[#This Row],[SUBTOTAL]]+Table1[[#This Row],[IVA]]-Table1[[#This Row],[RET IVA]]-Table1[[#This Row],[RET ISR]]-Table1[[#This Row],[TOTAL]]</f>
        <v>0</v>
      </c>
      <c r="AE236" s="150"/>
      <c r="AF236" s="151"/>
      <c r="AG236" s="126"/>
      <c r="AK236" s="306" t="str">
        <f>IF(ISNUMBER(Table1[[#This Row],[FECHA DE RECIBIDO]]), Table1[[#This Row],[FECHA DE RECIBIDO]]-DATE(2023,8,30), "")</f>
        <v/>
      </c>
    </row>
    <row r="237" spans="1:37" ht="16.05" customHeight="1">
      <c r="A237" s="152" t="s">
        <v>1684</v>
      </c>
      <c r="B237" s="153">
        <v>146</v>
      </c>
      <c r="C237" s="126" t="s">
        <v>947</v>
      </c>
      <c r="D237">
        <v>176</v>
      </c>
      <c r="E237" s="126" t="s">
        <v>1891</v>
      </c>
      <c r="F237" s="125" t="s">
        <v>1589</v>
      </c>
      <c r="G237" s="125" t="s">
        <v>129</v>
      </c>
      <c r="H237">
        <v>64</v>
      </c>
      <c r="I237" s="125" t="s">
        <v>1546</v>
      </c>
      <c r="J237" s="308" t="s">
        <v>214</v>
      </c>
      <c r="K237" s="127" t="s">
        <v>1681</v>
      </c>
      <c r="L237" s="153" t="s">
        <v>110</v>
      </c>
      <c r="M237">
        <v>87</v>
      </c>
      <c r="N237" s="123">
        <v>24</v>
      </c>
      <c r="O237">
        <v>196</v>
      </c>
      <c r="P237" s="132" t="s">
        <v>77</v>
      </c>
      <c r="Q237" s="132">
        <v>37800</v>
      </c>
      <c r="R237" s="132">
        <v>6048</v>
      </c>
      <c r="S237" s="132"/>
      <c r="T237" s="156">
        <v>4032</v>
      </c>
      <c r="U237" s="132">
        <v>3780</v>
      </c>
      <c r="V237" s="132">
        <f t="shared" si="5"/>
        <v>36036</v>
      </c>
      <c r="W237">
        <v>46</v>
      </c>
      <c r="X237" s="153" t="s">
        <v>1429</v>
      </c>
      <c r="Y237" s="124" t="s">
        <v>55</v>
      </c>
      <c r="Z237" s="308">
        <v>183</v>
      </c>
      <c r="AB237" t="str">
        <f>IF(Table1[[#This Row],[TIPO2]]="costo", VLOOKUP(Table1[[#This Row],[PARTIDA PRESUPUESTAL]],'Cost Report'!G:G,1,0),"Balance")</f>
        <v>3403-003</v>
      </c>
      <c r="AC237" s="118"/>
      <c r="AD237" s="159">
        <f>+Table1[[#This Row],[SUBTOTAL]]+Table1[[#This Row],[IVA]]-Table1[[#This Row],[RET IVA]]-Table1[[#This Row],[RET ISR]]-Table1[[#This Row],[TOTAL]]</f>
        <v>0</v>
      </c>
      <c r="AE237" s="152"/>
      <c r="AF237" s="153"/>
      <c r="AG237" s="126"/>
      <c r="AK237" s="306" t="str">
        <f>IF(ISNUMBER(Table1[[#This Row],[FECHA DE RECIBIDO]]), Table1[[#This Row],[FECHA DE RECIBIDO]]-DATE(2023,8,30), "")</f>
        <v/>
      </c>
    </row>
    <row r="238" spans="1:37" ht="16.05" customHeight="1">
      <c r="A238" s="150" t="s">
        <v>1685</v>
      </c>
      <c r="B238" s="151">
        <v>147</v>
      </c>
      <c r="C238" s="126" t="s">
        <v>536</v>
      </c>
      <c r="D238">
        <v>177</v>
      </c>
      <c r="E238" s="126" t="s">
        <v>1599</v>
      </c>
      <c r="F238" s="122" t="s">
        <v>1589</v>
      </c>
      <c r="G238" s="122" t="s">
        <v>129</v>
      </c>
      <c r="H238">
        <v>20</v>
      </c>
      <c r="I238" s="122" t="s">
        <v>1546</v>
      </c>
      <c r="J238" s="307" t="s">
        <v>214</v>
      </c>
      <c r="K238" s="127" t="s">
        <v>1662</v>
      </c>
      <c r="L238" s="151" t="s">
        <v>110</v>
      </c>
      <c r="M238">
        <v>26</v>
      </c>
      <c r="N238" s="123">
        <v>11</v>
      </c>
      <c r="O238">
        <v>197</v>
      </c>
      <c r="P238" s="132" t="s">
        <v>77</v>
      </c>
      <c r="Q238" s="131">
        <v>64680</v>
      </c>
      <c r="R238" s="131">
        <v>10348.799999999999</v>
      </c>
      <c r="S238" s="131"/>
      <c r="T238" s="155">
        <v>6899.22</v>
      </c>
      <c r="U238" s="131">
        <v>6468</v>
      </c>
      <c r="V238" s="131">
        <f t="shared" si="5"/>
        <v>61661.58</v>
      </c>
      <c r="W238">
        <v>20</v>
      </c>
      <c r="X238" s="151" t="s">
        <v>1434</v>
      </c>
      <c r="Y238" s="135" t="s">
        <v>55</v>
      </c>
      <c r="Z238" s="307">
        <v>183</v>
      </c>
      <c r="AB238" t="str">
        <f>IF(Table1[[#This Row],[TIPO2]]="costo", VLOOKUP(Table1[[#This Row],[PARTIDA PRESUPUESTAL]],'Cost Report'!G:G,1,0),"Balance")</f>
        <v>2201-004</v>
      </c>
      <c r="AC238" s="118"/>
      <c r="AD238" s="159">
        <f>+Table1[[#This Row],[SUBTOTAL]]+Table1[[#This Row],[IVA]]-Table1[[#This Row],[RET IVA]]-Table1[[#This Row],[RET ISR]]-Table1[[#This Row],[TOTAL]]</f>
        <v>0</v>
      </c>
      <c r="AE238" s="150"/>
      <c r="AF238" s="151"/>
      <c r="AG238" s="126"/>
      <c r="AK238" s="306" t="str">
        <f>IF(ISNUMBER(Table1[[#This Row],[FECHA DE RECIBIDO]]), Table1[[#This Row],[FECHA DE RECIBIDO]]-DATE(2023,8,30), "")</f>
        <v/>
      </c>
    </row>
    <row r="239" spans="1:37" ht="16.05" customHeight="1">
      <c r="A239" s="152" t="s">
        <v>1686</v>
      </c>
      <c r="B239" s="153">
        <v>148</v>
      </c>
      <c r="C239" s="126" t="s">
        <v>540</v>
      </c>
      <c r="D239">
        <v>178</v>
      </c>
      <c r="E239" s="126" t="s">
        <v>1600</v>
      </c>
      <c r="F239" s="125" t="s">
        <v>1593</v>
      </c>
      <c r="G239" s="125" t="s">
        <v>109</v>
      </c>
      <c r="H239">
        <v>26</v>
      </c>
      <c r="I239" s="125" t="s">
        <v>1546</v>
      </c>
      <c r="J239" s="308" t="s">
        <v>214</v>
      </c>
      <c r="K239" s="127" t="s">
        <v>1662</v>
      </c>
      <c r="L239" s="153" t="s">
        <v>110</v>
      </c>
      <c r="M239">
        <v>35</v>
      </c>
      <c r="N239" s="123">
        <v>12</v>
      </c>
      <c r="O239">
        <v>198</v>
      </c>
      <c r="P239" s="132" t="s">
        <v>77</v>
      </c>
      <c r="Q239" s="132">
        <v>43050</v>
      </c>
      <c r="R239" s="132">
        <v>6888</v>
      </c>
      <c r="S239" s="132"/>
      <c r="T239" s="156">
        <v>4592.0200000000004</v>
      </c>
      <c r="U239" s="132">
        <v>538.12</v>
      </c>
      <c r="V239" s="132">
        <f t="shared" si="5"/>
        <v>44807.859999999993</v>
      </c>
      <c r="W239">
        <v>28</v>
      </c>
      <c r="X239" s="153" t="s">
        <v>1429</v>
      </c>
      <c r="Y239" s="124" t="s">
        <v>55</v>
      </c>
      <c r="Z239" s="308">
        <v>183</v>
      </c>
      <c r="AB239" t="str">
        <f>IF(Table1[[#This Row],[TIPO2]]="costo", VLOOKUP(Table1[[#This Row],[PARTIDA PRESUPUESTAL]],'Cost Report'!G:G,1,0),"Balance")</f>
        <v>2202-003</v>
      </c>
      <c r="AC239" s="118"/>
      <c r="AD239" s="159">
        <f>+Table1[[#This Row],[SUBTOTAL]]+Table1[[#This Row],[IVA]]-Table1[[#This Row],[RET IVA]]-Table1[[#This Row],[RET ISR]]-Table1[[#This Row],[TOTAL]]</f>
        <v>0</v>
      </c>
      <c r="AE239" s="152"/>
      <c r="AF239" s="153"/>
      <c r="AG239" s="126"/>
      <c r="AK239" s="306" t="str">
        <f>IF(ISNUMBER(Table1[[#This Row],[FECHA DE RECIBIDO]]), Table1[[#This Row],[FECHA DE RECIBIDO]]-DATE(2023,8,30), "")</f>
        <v/>
      </c>
    </row>
    <row r="240" spans="1:37" ht="16.05" customHeight="1">
      <c r="A240" s="150" t="s">
        <v>1687</v>
      </c>
      <c r="B240" s="151">
        <v>149</v>
      </c>
      <c r="C240" s="126" t="s">
        <v>548</v>
      </c>
      <c r="D240">
        <v>179</v>
      </c>
      <c r="E240" s="126" t="s">
        <v>1603</v>
      </c>
      <c r="F240" s="122" t="s">
        <v>1589</v>
      </c>
      <c r="G240" s="122" t="s">
        <v>129</v>
      </c>
      <c r="H240">
        <v>28</v>
      </c>
      <c r="I240" s="122" t="s">
        <v>1546</v>
      </c>
      <c r="J240" s="307" t="s">
        <v>214</v>
      </c>
      <c r="K240" s="127" t="s">
        <v>1662</v>
      </c>
      <c r="L240" s="151" t="s">
        <v>110</v>
      </c>
      <c r="M240">
        <v>37</v>
      </c>
      <c r="N240" s="123">
        <v>14</v>
      </c>
      <c r="O240">
        <v>199</v>
      </c>
      <c r="P240" s="132" t="s">
        <v>77</v>
      </c>
      <c r="Q240" s="131">
        <v>31500</v>
      </c>
      <c r="R240" s="131">
        <v>5040</v>
      </c>
      <c r="S240" s="131"/>
      <c r="T240" s="155">
        <v>3360.02</v>
      </c>
      <c r="U240" s="131">
        <v>3150</v>
      </c>
      <c r="V240" s="131">
        <f t="shared" si="5"/>
        <v>30029.980000000003</v>
      </c>
      <c r="W240">
        <v>30</v>
      </c>
      <c r="X240" s="151" t="s">
        <v>1432</v>
      </c>
      <c r="Y240" s="135" t="s">
        <v>55</v>
      </c>
      <c r="Z240" s="307">
        <v>183</v>
      </c>
      <c r="AB240" t="str">
        <f>IF(Table1[[#This Row],[TIPO2]]="costo", VLOOKUP(Table1[[#This Row],[PARTIDA PRESUPUESTAL]],'Cost Report'!G:G,1,0),"Balance")</f>
        <v>2206-003</v>
      </c>
      <c r="AC240" s="118"/>
      <c r="AD240" s="159">
        <f>+Table1[[#This Row],[SUBTOTAL]]+Table1[[#This Row],[IVA]]-Table1[[#This Row],[RET IVA]]-Table1[[#This Row],[RET ISR]]-Table1[[#This Row],[TOTAL]]</f>
        <v>0</v>
      </c>
      <c r="AE240" s="150"/>
      <c r="AF240" s="151"/>
      <c r="AG240" s="126"/>
      <c r="AK240" s="306" t="str">
        <f>IF(ISNUMBER(Table1[[#This Row],[FECHA DE RECIBIDO]]), Table1[[#This Row],[FECHA DE RECIBIDO]]-DATE(2023,8,30), "")</f>
        <v/>
      </c>
    </row>
    <row r="241" spans="1:37" ht="16.05" customHeight="1">
      <c r="A241" s="152" t="s">
        <v>1688</v>
      </c>
      <c r="B241" s="153">
        <v>150</v>
      </c>
      <c r="C241" s="126" t="s">
        <v>579</v>
      </c>
      <c r="D241">
        <v>180</v>
      </c>
      <c r="E241" s="126" t="s">
        <v>1892</v>
      </c>
      <c r="F241" s="125" t="s">
        <v>1589</v>
      </c>
      <c r="G241" s="125" t="s">
        <v>129</v>
      </c>
      <c r="H241">
        <v>65</v>
      </c>
      <c r="I241" s="125" t="s">
        <v>1546</v>
      </c>
      <c r="J241" s="308" t="s">
        <v>214</v>
      </c>
      <c r="K241" s="127" t="s">
        <v>1662</v>
      </c>
      <c r="L241" s="153" t="s">
        <v>110</v>
      </c>
      <c r="M241">
        <v>88</v>
      </c>
      <c r="N241" s="123">
        <v>25</v>
      </c>
      <c r="O241">
        <v>200</v>
      </c>
      <c r="P241" s="132" t="s">
        <v>77</v>
      </c>
      <c r="Q241" s="132">
        <v>20000</v>
      </c>
      <c r="R241" s="132">
        <v>3200</v>
      </c>
      <c r="S241" s="132"/>
      <c r="T241" s="156">
        <v>2133.34</v>
      </c>
      <c r="U241" s="132">
        <v>2000</v>
      </c>
      <c r="V241" s="132">
        <f t="shared" si="5"/>
        <v>19066.66</v>
      </c>
      <c r="W241">
        <v>47</v>
      </c>
      <c r="X241" s="153" t="s">
        <v>1897</v>
      </c>
      <c r="Y241" s="124" t="s">
        <v>55</v>
      </c>
      <c r="Z241" s="308">
        <v>183</v>
      </c>
      <c r="AB241" t="str">
        <f>IF(Table1[[#This Row],[TIPO2]]="costo", VLOOKUP(Table1[[#This Row],[PARTIDA PRESUPUESTAL]],'Cost Report'!G:G,1,0),"Balance")</f>
        <v>2401-009</v>
      </c>
      <c r="AC241" s="118"/>
      <c r="AD241" s="159">
        <f>+Table1[[#This Row],[SUBTOTAL]]+Table1[[#This Row],[IVA]]-Table1[[#This Row],[RET IVA]]-Table1[[#This Row],[RET ISR]]-Table1[[#This Row],[TOTAL]]</f>
        <v>0</v>
      </c>
      <c r="AE241" s="152"/>
      <c r="AF241" s="153"/>
      <c r="AG241" s="126"/>
      <c r="AK241" s="306" t="str">
        <f>IF(ISNUMBER(Table1[[#This Row],[FECHA DE RECIBIDO]]), Table1[[#This Row],[FECHA DE RECIBIDO]]-DATE(2023,8,30), "")</f>
        <v/>
      </c>
    </row>
    <row r="242" spans="1:37" ht="16.05" customHeight="1">
      <c r="A242" s="150" t="s">
        <v>1689</v>
      </c>
      <c r="B242" s="151">
        <v>151</v>
      </c>
      <c r="C242" s="126" t="s">
        <v>575</v>
      </c>
      <c r="D242">
        <v>181</v>
      </c>
      <c r="E242" s="126" t="s">
        <v>1893</v>
      </c>
      <c r="F242" s="122" t="s">
        <v>1593</v>
      </c>
      <c r="G242" s="122" t="s">
        <v>109</v>
      </c>
      <c r="H242">
        <v>66</v>
      </c>
      <c r="I242" s="122" t="s">
        <v>1546</v>
      </c>
      <c r="J242" s="307" t="s">
        <v>214</v>
      </c>
      <c r="K242" s="127" t="s">
        <v>1681</v>
      </c>
      <c r="L242" s="151" t="s">
        <v>110</v>
      </c>
      <c r="M242">
        <v>89</v>
      </c>
      <c r="N242" s="123">
        <v>26</v>
      </c>
      <c r="O242">
        <v>201</v>
      </c>
      <c r="P242" s="132" t="s">
        <v>77</v>
      </c>
      <c r="Q242" s="131">
        <v>53550</v>
      </c>
      <c r="R242" s="131">
        <v>8568</v>
      </c>
      <c r="S242" s="131"/>
      <c r="T242" s="155">
        <v>5712.03</v>
      </c>
      <c r="U242" s="131">
        <v>669.39</v>
      </c>
      <c r="V242" s="131">
        <f t="shared" si="5"/>
        <v>55736.58</v>
      </c>
      <c r="W242">
        <v>48</v>
      </c>
      <c r="X242" s="151" t="s">
        <v>1430</v>
      </c>
      <c r="Y242" s="135" t="s">
        <v>55</v>
      </c>
      <c r="Z242" s="307">
        <v>183</v>
      </c>
      <c r="AB242" t="str">
        <f>IF(Table1[[#This Row],[TIPO2]]="costo", VLOOKUP(Table1[[#This Row],[PARTIDA PRESUPUESTAL]],'Cost Report'!G:G,1,0),"Balance")</f>
        <v>2401-003</v>
      </c>
      <c r="AC242" s="118"/>
      <c r="AD242" s="159">
        <f>+Table1[[#This Row],[SUBTOTAL]]+Table1[[#This Row],[IVA]]-Table1[[#This Row],[RET IVA]]-Table1[[#This Row],[RET ISR]]-Table1[[#This Row],[TOTAL]]</f>
        <v>0</v>
      </c>
      <c r="AE242" s="150"/>
      <c r="AF242" s="151"/>
      <c r="AG242" s="126"/>
      <c r="AK242" s="306" t="str">
        <f>IF(ISNUMBER(Table1[[#This Row],[FECHA DE RECIBIDO]]), Table1[[#This Row],[FECHA DE RECIBIDO]]-DATE(2023,8,30), "")</f>
        <v/>
      </c>
    </row>
    <row r="243" spans="1:37" ht="16.05" customHeight="1">
      <c r="A243" s="152" t="s">
        <v>1690</v>
      </c>
      <c r="B243" s="153">
        <v>152</v>
      </c>
      <c r="C243" s="126" t="s">
        <v>1816</v>
      </c>
      <c r="D243">
        <v>182</v>
      </c>
      <c r="E243" s="126" t="s">
        <v>1577</v>
      </c>
      <c r="F243" s="125" t="s">
        <v>1589</v>
      </c>
      <c r="G243" s="125" t="s">
        <v>129</v>
      </c>
      <c r="H243">
        <v>29</v>
      </c>
      <c r="I243" s="125" t="s">
        <v>1546</v>
      </c>
      <c r="J243" s="308" t="s">
        <v>214</v>
      </c>
      <c r="K243" s="127" t="s">
        <v>1662</v>
      </c>
      <c r="L243" s="153" t="s">
        <v>110</v>
      </c>
      <c r="M243">
        <v>38</v>
      </c>
      <c r="N243" s="123">
        <v>16</v>
      </c>
      <c r="O243">
        <v>202</v>
      </c>
      <c r="P243" s="132" t="s">
        <v>77</v>
      </c>
      <c r="Q243" s="132">
        <v>28000</v>
      </c>
      <c r="R243" s="132">
        <v>4480</v>
      </c>
      <c r="S243" s="132"/>
      <c r="T243" s="156">
        <v>2986.68</v>
      </c>
      <c r="U243" s="132">
        <v>2800</v>
      </c>
      <c r="V243" s="132">
        <f t="shared" si="5"/>
        <v>26693.32</v>
      </c>
      <c r="W243">
        <v>31</v>
      </c>
      <c r="X243" s="153" t="s">
        <v>1429</v>
      </c>
      <c r="Y243" s="124" t="s">
        <v>55</v>
      </c>
      <c r="Z243" s="308">
        <v>183</v>
      </c>
      <c r="AB243" t="str">
        <f>IF(Table1[[#This Row],[TIPO2]]="costo", VLOOKUP(Table1[[#This Row],[PARTIDA PRESUPUESTAL]],'Cost Report'!G:G,1,0),"Balance")</f>
        <v>2705-003</v>
      </c>
      <c r="AC243" s="118"/>
      <c r="AD243" s="159">
        <f>+Table1[[#This Row],[SUBTOTAL]]+Table1[[#This Row],[IVA]]-Table1[[#This Row],[RET IVA]]-Table1[[#This Row],[RET ISR]]-Table1[[#This Row],[TOTAL]]</f>
        <v>0</v>
      </c>
      <c r="AE243" s="152"/>
      <c r="AF243" s="153"/>
      <c r="AG243" s="126"/>
      <c r="AK243" s="306" t="str">
        <f>IF(ISNUMBER(Table1[[#This Row],[FECHA DE RECIBIDO]]), Table1[[#This Row],[FECHA DE RECIBIDO]]-DATE(2023,8,30), "")</f>
        <v/>
      </c>
    </row>
    <row r="244" spans="1:37">
      <c r="A244" s="150" t="s">
        <v>1691</v>
      </c>
      <c r="B244" s="151">
        <v>153</v>
      </c>
      <c r="C244" s="126" t="s">
        <v>657</v>
      </c>
      <c r="D244">
        <v>183</v>
      </c>
      <c r="E244" s="126" t="s">
        <v>1894</v>
      </c>
      <c r="F244" s="122" t="s">
        <v>1593</v>
      </c>
      <c r="G244" s="122" t="s">
        <v>109</v>
      </c>
      <c r="H244">
        <v>67</v>
      </c>
      <c r="I244" s="122" t="s">
        <v>1546</v>
      </c>
      <c r="J244" s="307" t="s">
        <v>214</v>
      </c>
      <c r="K244" s="127" t="s">
        <v>1681</v>
      </c>
      <c r="L244" s="151" t="s">
        <v>110</v>
      </c>
      <c r="M244">
        <v>90</v>
      </c>
      <c r="N244" s="123">
        <v>27</v>
      </c>
      <c r="O244">
        <v>203</v>
      </c>
      <c r="P244" s="132" t="s">
        <v>77</v>
      </c>
      <c r="Q244" s="131">
        <v>30000</v>
      </c>
      <c r="R244" s="131">
        <v>4800</v>
      </c>
      <c r="S244" s="131"/>
      <c r="T244" s="155">
        <v>3200.01</v>
      </c>
      <c r="U244" s="131">
        <v>375</v>
      </c>
      <c r="V244" s="131">
        <f t="shared" si="5"/>
        <v>31224.989999999998</v>
      </c>
      <c r="W244">
        <v>49</v>
      </c>
      <c r="X244" s="151" t="s">
        <v>1430</v>
      </c>
      <c r="Y244" s="135" t="s">
        <v>55</v>
      </c>
      <c r="Z244" s="307">
        <v>183</v>
      </c>
      <c r="AB244" t="str">
        <f>IF(Table1[[#This Row],[TIPO2]]="costo", VLOOKUP(Table1[[#This Row],[PARTIDA PRESUPUESTAL]],'Cost Report'!G:G,1,0),"Balance")</f>
        <v>2703-003</v>
      </c>
      <c r="AC244" s="118"/>
      <c r="AD244" s="159">
        <f>+Table1[[#This Row],[SUBTOTAL]]+Table1[[#This Row],[IVA]]-Table1[[#This Row],[RET IVA]]-Table1[[#This Row],[RET ISR]]-Table1[[#This Row],[TOTAL]]</f>
        <v>0</v>
      </c>
      <c r="AE244" s="150"/>
      <c r="AF244" s="151"/>
      <c r="AG244" s="126"/>
      <c r="AK244" s="306" t="str">
        <f>IF(ISNUMBER(Table1[[#This Row],[FECHA DE RECIBIDO]]), Table1[[#This Row],[FECHA DE RECIBIDO]]-DATE(2023,8,30), "")</f>
        <v/>
      </c>
    </row>
    <row r="245" spans="1:37" ht="16.05" customHeight="1">
      <c r="A245" s="152" t="s">
        <v>1692</v>
      </c>
      <c r="B245" s="153">
        <v>154</v>
      </c>
      <c r="C245" s="126" t="s">
        <v>2598</v>
      </c>
      <c r="D245">
        <v>184</v>
      </c>
      <c r="E245" s="126" t="s">
        <v>1577</v>
      </c>
      <c r="F245" s="125" t="s">
        <v>1589</v>
      </c>
      <c r="G245" s="125" t="s">
        <v>129</v>
      </c>
      <c r="H245">
        <v>68</v>
      </c>
      <c r="I245" s="125" t="s">
        <v>1546</v>
      </c>
      <c r="J245" s="308" t="s">
        <v>214</v>
      </c>
      <c r="K245" s="127" t="s">
        <v>1681</v>
      </c>
      <c r="L245" s="153" t="s">
        <v>110</v>
      </c>
      <c r="M245">
        <v>91</v>
      </c>
      <c r="N245" s="123">
        <v>28</v>
      </c>
      <c r="O245">
        <v>204</v>
      </c>
      <c r="P245" s="132" t="s">
        <v>77</v>
      </c>
      <c r="Q245" s="132">
        <v>27000</v>
      </c>
      <c r="R245" s="132">
        <v>4320</v>
      </c>
      <c r="S245" s="132"/>
      <c r="T245" s="156">
        <v>2880</v>
      </c>
      <c r="U245" s="132">
        <v>2700</v>
      </c>
      <c r="V245" s="132">
        <f t="shared" si="5"/>
        <v>25740</v>
      </c>
      <c r="W245">
        <v>50</v>
      </c>
      <c r="X245" s="153" t="s">
        <v>1434</v>
      </c>
      <c r="Y245" s="124" t="s">
        <v>55</v>
      </c>
      <c r="Z245" s="308">
        <v>183</v>
      </c>
      <c r="AB245" t="str">
        <f>IF(Table1[[#This Row],[TIPO2]]="costo", VLOOKUP(Table1[[#This Row],[PARTIDA PRESUPUESTAL]],'Cost Report'!G:G,1,0),"Balance")</f>
        <v>2795-011</v>
      </c>
      <c r="AC245" s="118"/>
      <c r="AD245" s="159">
        <f>+Table1[[#This Row],[SUBTOTAL]]+Table1[[#This Row],[IVA]]-Table1[[#This Row],[RET IVA]]-Table1[[#This Row],[RET ISR]]-Table1[[#This Row],[TOTAL]]</f>
        <v>0</v>
      </c>
      <c r="AE245" s="152"/>
      <c r="AF245" s="153"/>
      <c r="AG245" s="126"/>
      <c r="AK245" s="306" t="str">
        <f>IF(ISNUMBER(Table1[[#This Row],[FECHA DE RECIBIDO]]), Table1[[#This Row],[FECHA DE RECIBIDO]]-DATE(2023,8,30), "")</f>
        <v/>
      </c>
    </row>
    <row r="246" spans="1:37" ht="16.05" customHeight="1">
      <c r="A246" s="150" t="s">
        <v>1693</v>
      </c>
      <c r="B246" s="151">
        <v>155</v>
      </c>
      <c r="C246" s="126" t="s">
        <v>653</v>
      </c>
      <c r="D246">
        <v>185</v>
      </c>
      <c r="E246" s="126" t="s">
        <v>1895</v>
      </c>
      <c r="F246" s="122" t="s">
        <v>1589</v>
      </c>
      <c r="G246" s="122" t="s">
        <v>129</v>
      </c>
      <c r="H246">
        <v>69</v>
      </c>
      <c r="I246" s="122" t="s">
        <v>1546</v>
      </c>
      <c r="J246" s="307" t="s">
        <v>214</v>
      </c>
      <c r="K246" s="127" t="s">
        <v>1694</v>
      </c>
      <c r="L246" s="151" t="s">
        <v>110</v>
      </c>
      <c r="M246">
        <v>92</v>
      </c>
      <c r="N246" s="123">
        <v>29</v>
      </c>
      <c r="O246">
        <v>205</v>
      </c>
      <c r="P246" s="132" t="s">
        <v>77</v>
      </c>
      <c r="Q246" s="131">
        <v>112500</v>
      </c>
      <c r="R246" s="131">
        <v>18000</v>
      </c>
      <c r="S246" s="131"/>
      <c r="T246" s="155">
        <v>12000.05</v>
      </c>
      <c r="U246" s="131">
        <v>11250</v>
      </c>
      <c r="V246" s="131">
        <f t="shared" si="5"/>
        <v>107249.95</v>
      </c>
      <c r="W246">
        <v>51</v>
      </c>
      <c r="X246" s="151" t="s">
        <v>1434</v>
      </c>
      <c r="Y246" s="135" t="s">
        <v>55</v>
      </c>
      <c r="Z246" s="307">
        <v>183</v>
      </c>
      <c r="AB246" t="str">
        <f>IF(Table1[[#This Row],[TIPO2]]="costo", VLOOKUP(Table1[[#This Row],[PARTIDA PRESUPUESTAL]],'Cost Report'!G:G,1,0),"Balance")</f>
        <v>2701-003</v>
      </c>
      <c r="AC246" s="118"/>
      <c r="AD246" s="159">
        <f>+Table1[[#This Row],[SUBTOTAL]]+Table1[[#This Row],[IVA]]-Table1[[#This Row],[RET IVA]]-Table1[[#This Row],[RET ISR]]-Table1[[#This Row],[TOTAL]]</f>
        <v>0</v>
      </c>
      <c r="AE246" s="150"/>
      <c r="AF246" s="151"/>
      <c r="AG246" s="126"/>
      <c r="AK246" s="306" t="str">
        <f>IF(ISNUMBER(Table1[[#This Row],[FECHA DE RECIBIDO]]), Table1[[#This Row],[FECHA DE RECIBIDO]]-DATE(2023,8,30), "")</f>
        <v/>
      </c>
    </row>
    <row r="247" spans="1:37" ht="16.05" customHeight="1">
      <c r="A247" s="152" t="s">
        <v>1695</v>
      </c>
      <c r="B247" s="153">
        <v>156</v>
      </c>
      <c r="C247" s="126" t="s">
        <v>665</v>
      </c>
      <c r="D247">
        <v>186</v>
      </c>
      <c r="E247" s="126" t="s">
        <v>1887</v>
      </c>
      <c r="F247" s="125" t="s">
        <v>1589</v>
      </c>
      <c r="G247" s="125" t="s">
        <v>129</v>
      </c>
      <c r="H247">
        <v>70</v>
      </c>
      <c r="I247" s="125" t="s">
        <v>1546</v>
      </c>
      <c r="J247" s="308" t="s">
        <v>214</v>
      </c>
      <c r="K247" s="127" t="s">
        <v>1662</v>
      </c>
      <c r="L247" s="153" t="s">
        <v>110</v>
      </c>
      <c r="M247">
        <v>93</v>
      </c>
      <c r="N247" s="123">
        <v>30</v>
      </c>
      <c r="O247">
        <v>206</v>
      </c>
      <c r="P247" s="132" t="s">
        <v>77</v>
      </c>
      <c r="Q247" s="132">
        <v>23000</v>
      </c>
      <c r="R247" s="132">
        <v>3680</v>
      </c>
      <c r="S247" s="132"/>
      <c r="T247" s="156">
        <v>2453.34</v>
      </c>
      <c r="U247" s="132">
        <v>2300</v>
      </c>
      <c r="V247" s="132">
        <f t="shared" si="5"/>
        <v>21926.66</v>
      </c>
      <c r="W247">
        <v>52</v>
      </c>
      <c r="X247" s="153" t="s">
        <v>1431</v>
      </c>
      <c r="Y247" s="124" t="s">
        <v>55</v>
      </c>
      <c r="Z247" s="308">
        <v>183</v>
      </c>
      <c r="AB247" t="str">
        <f>IF(Table1[[#This Row],[TIPO2]]="costo", VLOOKUP(Table1[[#This Row],[PARTIDA PRESUPUESTAL]],'Cost Report'!G:G,1,0),"Balance")</f>
        <v>2707-009</v>
      </c>
      <c r="AC247" s="118"/>
      <c r="AD247" s="159">
        <f>+Table1[[#This Row],[SUBTOTAL]]+Table1[[#This Row],[IVA]]-Table1[[#This Row],[RET IVA]]-Table1[[#This Row],[RET ISR]]-Table1[[#This Row],[TOTAL]]</f>
        <v>0</v>
      </c>
      <c r="AE247" s="152"/>
      <c r="AF247" s="153"/>
      <c r="AG247" s="126"/>
      <c r="AK247" s="306" t="str">
        <f>IF(ISNUMBER(Table1[[#This Row],[FECHA DE RECIBIDO]]), Table1[[#This Row],[FECHA DE RECIBIDO]]-DATE(2023,8,30), "")</f>
        <v/>
      </c>
    </row>
    <row r="248" spans="1:37" ht="16.05" customHeight="1">
      <c r="A248" s="150" t="s">
        <v>1696</v>
      </c>
      <c r="B248" s="151">
        <v>157</v>
      </c>
      <c r="C248" s="126" t="s">
        <v>2126</v>
      </c>
      <c r="D248">
        <v>187</v>
      </c>
      <c r="E248" s="126" t="s">
        <v>1896</v>
      </c>
      <c r="F248" s="122" t="s">
        <v>1593</v>
      </c>
      <c r="G248" s="122" t="s">
        <v>109</v>
      </c>
      <c r="H248">
        <v>2</v>
      </c>
      <c r="I248" s="122" t="s">
        <v>1546</v>
      </c>
      <c r="J248" s="307" t="s">
        <v>214</v>
      </c>
      <c r="K248" s="127" t="s">
        <v>1697</v>
      </c>
      <c r="L248" s="151" t="s">
        <v>110</v>
      </c>
      <c r="M248">
        <v>2</v>
      </c>
      <c r="N248" s="123">
        <v>31</v>
      </c>
      <c r="O248">
        <v>207</v>
      </c>
      <c r="P248" s="132" t="s">
        <v>77</v>
      </c>
      <c r="Q248" s="131">
        <v>105000</v>
      </c>
      <c r="R248" s="131">
        <v>16800</v>
      </c>
      <c r="S248" s="131"/>
      <c r="T248" s="155">
        <v>11200.03</v>
      </c>
      <c r="U248" s="131">
        <v>1312.5</v>
      </c>
      <c r="V248" s="131">
        <f t="shared" si="5"/>
        <v>109287.47</v>
      </c>
      <c r="W248">
        <v>1</v>
      </c>
      <c r="X248" s="151" t="s">
        <v>1429</v>
      </c>
      <c r="Y248" s="135" t="s">
        <v>55</v>
      </c>
      <c r="Z248" s="307">
        <v>183</v>
      </c>
      <c r="AB248" t="str">
        <f>IF(Table1[[#This Row],[TIPO2]]="costo", VLOOKUP(Table1[[#This Row],[PARTIDA PRESUPUESTAL]],'Cost Report'!G:G,1,0),"Balance")</f>
        <v>1101-045</v>
      </c>
      <c r="AC248" s="118"/>
      <c r="AD248" s="159">
        <f>+Table1[[#This Row],[SUBTOTAL]]+Table1[[#This Row],[IVA]]-Table1[[#This Row],[RET IVA]]-Table1[[#This Row],[RET ISR]]-Table1[[#This Row],[TOTAL]]</f>
        <v>0</v>
      </c>
      <c r="AE248" s="150"/>
      <c r="AF248" s="151"/>
      <c r="AG248" s="126"/>
      <c r="AK248" s="306" t="str">
        <f>IF(ISNUMBER(Table1[[#This Row],[FECHA DE RECIBIDO]]), Table1[[#This Row],[FECHA DE RECIBIDO]]-DATE(2023,8,30), "")</f>
        <v/>
      </c>
    </row>
    <row r="249" spans="1:37" ht="16.05" customHeight="1">
      <c r="A249" s="152" t="s">
        <v>1698</v>
      </c>
      <c r="B249" s="153">
        <v>158</v>
      </c>
      <c r="C249" s="126" t="s">
        <v>2127</v>
      </c>
      <c r="D249">
        <v>188</v>
      </c>
      <c r="E249" s="126" t="s">
        <v>1655</v>
      </c>
      <c r="F249" s="125" t="s">
        <v>1589</v>
      </c>
      <c r="G249" s="125" t="s">
        <v>129</v>
      </c>
      <c r="H249">
        <v>4</v>
      </c>
      <c r="I249" s="125" t="s">
        <v>1546</v>
      </c>
      <c r="J249" s="308" t="s">
        <v>214</v>
      </c>
      <c r="K249" s="127" t="s">
        <v>1697</v>
      </c>
      <c r="L249" s="153" t="s">
        <v>110</v>
      </c>
      <c r="M249">
        <v>4</v>
      </c>
      <c r="N249" s="123">
        <v>32</v>
      </c>
      <c r="O249">
        <v>208</v>
      </c>
      <c r="P249" s="132" t="s">
        <v>77</v>
      </c>
      <c r="Q249" s="132">
        <v>105000</v>
      </c>
      <c r="R249" s="132">
        <v>16800</v>
      </c>
      <c r="S249" s="132"/>
      <c r="T249" s="156">
        <v>11200.03</v>
      </c>
      <c r="U249" s="132">
        <v>10500</v>
      </c>
      <c r="V249" s="132">
        <f t="shared" si="5"/>
        <v>100099.97</v>
      </c>
      <c r="W249">
        <v>3</v>
      </c>
      <c r="X249" s="153" t="s">
        <v>1429</v>
      </c>
      <c r="Y249" s="124" t="s">
        <v>55</v>
      </c>
      <c r="Z249" s="308">
        <v>183</v>
      </c>
      <c r="AB249" t="str">
        <f>IF(Table1[[#This Row],[TIPO2]]="costo", VLOOKUP(Table1[[#This Row],[PARTIDA PRESUPUESTAL]],'Cost Report'!G:G,1,0),"Balance")</f>
        <v>1101-046</v>
      </c>
      <c r="AC249" s="118"/>
      <c r="AD249" s="159">
        <f>+Table1[[#This Row],[SUBTOTAL]]+Table1[[#This Row],[IVA]]-Table1[[#This Row],[RET IVA]]-Table1[[#This Row],[RET ISR]]-Table1[[#This Row],[TOTAL]]</f>
        <v>0</v>
      </c>
      <c r="AE249" s="152"/>
      <c r="AF249" s="153"/>
      <c r="AG249" s="126"/>
      <c r="AK249" s="306" t="str">
        <f>IF(ISNUMBER(Table1[[#This Row],[FECHA DE RECIBIDO]]), Table1[[#This Row],[FECHA DE RECIBIDO]]-DATE(2023,8,30), "")</f>
        <v/>
      </c>
    </row>
    <row r="250" spans="1:37" ht="16.05" customHeight="1">
      <c r="A250" s="150" t="s">
        <v>1699</v>
      </c>
      <c r="B250" s="151">
        <v>159</v>
      </c>
      <c r="C250" s="126" t="s">
        <v>2322</v>
      </c>
      <c r="D250">
        <v>189</v>
      </c>
      <c r="E250" s="126" t="s">
        <v>1641</v>
      </c>
      <c r="F250" s="122" t="s">
        <v>1607</v>
      </c>
      <c r="G250" s="122" t="s">
        <v>134</v>
      </c>
      <c r="H250">
        <v>49</v>
      </c>
      <c r="I250" s="122" t="s">
        <v>1546</v>
      </c>
      <c r="J250" s="307" t="s">
        <v>214</v>
      </c>
      <c r="K250" s="127" t="s">
        <v>1700</v>
      </c>
      <c r="L250" s="151" t="s">
        <v>1483</v>
      </c>
      <c r="M250">
        <v>62</v>
      </c>
      <c r="N250" s="123">
        <v>17</v>
      </c>
      <c r="O250">
        <v>209</v>
      </c>
      <c r="P250" s="132" t="s">
        <v>77</v>
      </c>
      <c r="Q250" s="131">
        <v>2794</v>
      </c>
      <c r="R250" s="131">
        <v>356</v>
      </c>
      <c r="S250" s="131"/>
      <c r="T250" s="155">
        <v>0</v>
      </c>
      <c r="U250" s="131">
        <v>0</v>
      </c>
      <c r="V250" s="131">
        <f t="shared" si="5"/>
        <v>3150</v>
      </c>
      <c r="W250">
        <v>53</v>
      </c>
      <c r="X250" s="151" t="s">
        <v>1701</v>
      </c>
      <c r="Y250" s="135" t="s">
        <v>55</v>
      </c>
      <c r="Z250" s="307">
        <v>183</v>
      </c>
      <c r="AB250" t="str">
        <f>IF(Table1[[#This Row],[TIPO2]]="costo", VLOOKUP(Table1[[#This Row],[PARTIDA PRESUPUESTAL]],'Cost Report'!G:G,1,0),"Balance")</f>
        <v>1426-007</v>
      </c>
      <c r="AC250" s="118"/>
      <c r="AD250" s="159">
        <f>+Table1[[#This Row],[SUBTOTAL]]+Table1[[#This Row],[IVA]]-Table1[[#This Row],[RET IVA]]-Table1[[#This Row],[RET ISR]]-Table1[[#This Row],[TOTAL]]</f>
        <v>0</v>
      </c>
      <c r="AE250" s="150"/>
      <c r="AF250" s="151"/>
      <c r="AG250" s="126"/>
      <c r="AK250" s="306" t="str">
        <f>IF(ISNUMBER(Table1[[#This Row],[FECHA DE RECIBIDO]]), Table1[[#This Row],[FECHA DE RECIBIDO]]-DATE(2023,8,30), "")</f>
        <v/>
      </c>
    </row>
    <row r="251" spans="1:37" ht="16.05" customHeight="1">
      <c r="A251" s="152" t="s">
        <v>1702</v>
      </c>
      <c r="B251" s="153">
        <v>160</v>
      </c>
      <c r="C251" s="126" t="s">
        <v>2548</v>
      </c>
      <c r="D251">
        <v>190</v>
      </c>
      <c r="E251" s="126" t="s">
        <v>1595</v>
      </c>
      <c r="F251" s="125">
        <v>601</v>
      </c>
      <c r="G251" s="125" t="s">
        <v>134</v>
      </c>
      <c r="H251">
        <v>71</v>
      </c>
      <c r="I251" s="125" t="s">
        <v>1546</v>
      </c>
      <c r="J251" s="308" t="s">
        <v>214</v>
      </c>
      <c r="K251" s="127" t="s">
        <v>1660</v>
      </c>
      <c r="L251" s="153" t="s">
        <v>118</v>
      </c>
      <c r="M251">
        <v>94</v>
      </c>
      <c r="N251" s="123">
        <v>1</v>
      </c>
      <c r="O251">
        <v>210</v>
      </c>
      <c r="P251" s="132" t="s">
        <v>77</v>
      </c>
      <c r="Q251" s="132">
        <v>107630</v>
      </c>
      <c r="R251" s="132">
        <v>17220.8</v>
      </c>
      <c r="S251" s="132"/>
      <c r="T251" s="156">
        <v>0</v>
      </c>
      <c r="U251" s="132">
        <v>0</v>
      </c>
      <c r="V251" s="132">
        <f t="shared" si="5"/>
        <v>124850.8</v>
      </c>
      <c r="W251">
        <v>54</v>
      </c>
      <c r="X251" s="153" t="s">
        <v>1703</v>
      </c>
      <c r="Y251" s="124" t="s">
        <v>55</v>
      </c>
      <c r="Z251" s="308">
        <v>183</v>
      </c>
      <c r="AB251" t="str">
        <f>IF(Table1[[#This Row],[TIPO2]]="costo", VLOOKUP(Table1[[#This Row],[PARTIDA PRESUPUESTAL]],'Cost Report'!G:G,1,0),"Balance")</f>
        <v>2494-075</v>
      </c>
      <c r="AC251" s="118"/>
      <c r="AD251" s="159">
        <f>+Table1[[#This Row],[SUBTOTAL]]+Table1[[#This Row],[IVA]]-Table1[[#This Row],[RET IVA]]-Table1[[#This Row],[RET ISR]]-Table1[[#This Row],[TOTAL]]</f>
        <v>0</v>
      </c>
      <c r="AE251" s="152"/>
      <c r="AF251" s="153"/>
      <c r="AG251" s="126"/>
      <c r="AK251" s="306" t="str">
        <f>IF(ISNUMBER(Table1[[#This Row],[FECHA DE RECIBIDO]]), Table1[[#This Row],[FECHA DE RECIBIDO]]-DATE(2023,8,30), "")</f>
        <v/>
      </c>
    </row>
    <row r="252" spans="1:37" ht="16.05" customHeight="1">
      <c r="A252" s="150" t="s">
        <v>1704</v>
      </c>
      <c r="B252" s="151">
        <v>161</v>
      </c>
      <c r="C252" s="126" t="s">
        <v>2759</v>
      </c>
      <c r="D252">
        <v>191</v>
      </c>
      <c r="E252" s="126">
        <v>45693</v>
      </c>
      <c r="F252" s="122">
        <v>601</v>
      </c>
      <c r="G252" s="122" t="s">
        <v>134</v>
      </c>
      <c r="H252">
        <v>37</v>
      </c>
      <c r="I252" s="122" t="s">
        <v>1546</v>
      </c>
      <c r="J252" s="307">
        <v>180.65641203703854</v>
      </c>
      <c r="K252" s="127" t="s">
        <v>1660</v>
      </c>
      <c r="L252" s="151" t="s">
        <v>118</v>
      </c>
      <c r="M252">
        <v>48</v>
      </c>
      <c r="N252" s="123">
        <v>1</v>
      </c>
      <c r="O252">
        <v>211</v>
      </c>
      <c r="P252" s="132" t="s">
        <v>77</v>
      </c>
      <c r="Q252" s="131">
        <v>16039</v>
      </c>
      <c r="R252" s="131">
        <v>2566.2399999999998</v>
      </c>
      <c r="S252" s="131"/>
      <c r="T252" s="155">
        <v>0</v>
      </c>
      <c r="U252" s="131">
        <v>0</v>
      </c>
      <c r="V252" s="131">
        <f t="shared" si="5"/>
        <v>18605.239999999998</v>
      </c>
      <c r="W252">
        <v>32</v>
      </c>
      <c r="X252" s="151" t="s">
        <v>1582</v>
      </c>
      <c r="Y252" s="135" t="s">
        <v>55</v>
      </c>
      <c r="Z252" s="307">
        <v>183</v>
      </c>
      <c r="AB252" t="str">
        <f>IF(Table1[[#This Row],[TIPO2]]="costo", VLOOKUP(Table1[[#This Row],[PARTIDA PRESUPUESTAL]],'Cost Report'!G:G,1,0),"Balance")</f>
        <v>3401-023</v>
      </c>
      <c r="AC252" s="118"/>
      <c r="AD252" s="159">
        <f>+Table1[[#This Row],[SUBTOTAL]]+Table1[[#This Row],[IVA]]-Table1[[#This Row],[RET IVA]]-Table1[[#This Row],[RET ISR]]-Table1[[#This Row],[TOTAL]]</f>
        <v>0</v>
      </c>
      <c r="AE252" s="150"/>
      <c r="AF252" s="151"/>
      <c r="AG252" s="126"/>
      <c r="AK252" s="306">
        <f>IF(ISNUMBER(Table1[[#This Row],[FECHA DE RECIBIDO]]), Table1[[#This Row],[FECHA DE RECIBIDO]]-DATE(2023,8,30), "")</f>
        <v>-44987.343587962961</v>
      </c>
    </row>
    <row r="253" spans="1:37" ht="16.05" customHeight="1">
      <c r="A253" s="152" t="s">
        <v>1705</v>
      </c>
      <c r="B253" s="153">
        <v>162</v>
      </c>
      <c r="C253" s="126" t="s">
        <v>467</v>
      </c>
      <c r="D253">
        <v>192</v>
      </c>
      <c r="E253" s="126">
        <v>44200</v>
      </c>
      <c r="F253" s="125">
        <v>601</v>
      </c>
      <c r="G253" s="125" t="s">
        <v>134</v>
      </c>
      <c r="H253">
        <v>72</v>
      </c>
      <c r="I253" s="125" t="s">
        <v>1546</v>
      </c>
      <c r="J253" s="308">
        <v>180.5695023148146</v>
      </c>
      <c r="K253" s="127" t="s">
        <v>1660</v>
      </c>
      <c r="L253" s="153" t="s">
        <v>118</v>
      </c>
      <c r="M253">
        <v>5</v>
      </c>
      <c r="N253" s="123">
        <v>0</v>
      </c>
      <c r="O253">
        <v>212</v>
      </c>
      <c r="P253" s="132" t="s">
        <v>77</v>
      </c>
      <c r="Q253" s="132">
        <v>46000</v>
      </c>
      <c r="R253" s="132">
        <v>7360</v>
      </c>
      <c r="S253" s="132"/>
      <c r="T253" s="156">
        <v>0</v>
      </c>
      <c r="U253" s="132">
        <v>0</v>
      </c>
      <c r="V253" s="132">
        <f t="shared" si="5"/>
        <v>53360</v>
      </c>
      <c r="W253">
        <v>4</v>
      </c>
      <c r="X253" s="153" t="s">
        <v>1489</v>
      </c>
      <c r="Y253" s="124" t="s">
        <v>55</v>
      </c>
      <c r="Z253" s="308">
        <v>183</v>
      </c>
      <c r="AB253" t="str">
        <f>IF(Table1[[#This Row],[TIPO2]]="costo", VLOOKUP(Table1[[#This Row],[PARTIDA PRESUPUESTAL]],'Cost Report'!G:G,1,0),"Balance")</f>
        <v>2010-011</v>
      </c>
      <c r="AC253" s="118"/>
      <c r="AD253" s="159">
        <f>+Table1[[#This Row],[SUBTOTAL]]+Table1[[#This Row],[IVA]]-Table1[[#This Row],[RET IVA]]-Table1[[#This Row],[RET ISR]]-Table1[[#This Row],[TOTAL]]</f>
        <v>0</v>
      </c>
      <c r="AE253" s="152"/>
      <c r="AF253" s="153"/>
      <c r="AG253" s="126"/>
      <c r="AK253" s="306">
        <f>IF(ISNUMBER(Table1[[#This Row],[FECHA DE RECIBIDO]]), Table1[[#This Row],[FECHA DE RECIBIDO]]-DATE(2023,8,30), "")</f>
        <v>-44987.430497685185</v>
      </c>
    </row>
    <row r="254" spans="1:37" ht="16.05" customHeight="1">
      <c r="A254" s="150"/>
      <c r="B254" s="151"/>
      <c r="C254" s="126" t="s">
        <v>2394</v>
      </c>
      <c r="D254">
        <v>192</v>
      </c>
      <c r="E254" s="126">
        <v>44200</v>
      </c>
      <c r="F254" s="122">
        <v>601</v>
      </c>
      <c r="G254" s="122" t="s">
        <v>134</v>
      </c>
      <c r="H254">
        <v>72</v>
      </c>
      <c r="I254" s="122" t="s">
        <v>1546</v>
      </c>
      <c r="J254" s="307">
        <v>180.5695023148146</v>
      </c>
      <c r="K254" s="127" t="s">
        <v>1660</v>
      </c>
      <c r="L254" s="151" t="s">
        <v>118</v>
      </c>
      <c r="M254">
        <v>5</v>
      </c>
      <c r="N254" s="123">
        <v>0</v>
      </c>
      <c r="O254">
        <v>212</v>
      </c>
      <c r="P254" s="132" t="s">
        <v>77</v>
      </c>
      <c r="Q254" s="131">
        <v>24000</v>
      </c>
      <c r="R254" s="131">
        <v>3840</v>
      </c>
      <c r="S254" s="131"/>
      <c r="T254" s="155">
        <v>0</v>
      </c>
      <c r="U254" s="131">
        <v>0</v>
      </c>
      <c r="V254" s="131">
        <f t="shared" si="5"/>
        <v>27840</v>
      </c>
      <c r="W254">
        <v>4</v>
      </c>
      <c r="X254" s="151" t="s">
        <v>1489</v>
      </c>
      <c r="Y254" s="135" t="s">
        <v>55</v>
      </c>
      <c r="Z254" s="307">
        <v>183</v>
      </c>
      <c r="AB254" t="str">
        <f>IF(Table1[[#This Row],[TIPO2]]="costo", VLOOKUP(Table1[[#This Row],[PARTIDA PRESUPUESTAL]],'Cost Report'!G:G,1,0),"Balance")</f>
        <v>2011-004</v>
      </c>
      <c r="AC254" s="118"/>
      <c r="AD254" s="159">
        <f>+Table1[[#This Row],[SUBTOTAL]]+Table1[[#This Row],[IVA]]-Table1[[#This Row],[RET IVA]]-Table1[[#This Row],[RET ISR]]-Table1[[#This Row],[TOTAL]]</f>
        <v>0</v>
      </c>
      <c r="AE254" s="150"/>
      <c r="AF254" s="151"/>
      <c r="AG254" s="126"/>
      <c r="AK254" s="306">
        <f>IF(ISNUMBER(Table1[[#This Row],[FECHA DE RECIBIDO]]), Table1[[#This Row],[FECHA DE RECIBIDO]]-DATE(2023,8,30), "")</f>
        <v>-44987.430497685185</v>
      </c>
    </row>
    <row r="255" spans="1:37" ht="16.05" customHeight="1">
      <c r="A255" s="152"/>
      <c r="B255" s="153"/>
      <c r="C255" s="126" t="s">
        <v>2400</v>
      </c>
      <c r="D255">
        <v>192</v>
      </c>
      <c r="E255" s="126">
        <v>44200</v>
      </c>
      <c r="F255" s="125">
        <v>601</v>
      </c>
      <c r="G255" s="125" t="s">
        <v>134</v>
      </c>
      <c r="H255">
        <v>72</v>
      </c>
      <c r="I255" s="125" t="s">
        <v>1546</v>
      </c>
      <c r="J255" s="308">
        <v>180.5695023148146</v>
      </c>
      <c r="K255" s="127" t="s">
        <v>1660</v>
      </c>
      <c r="L255" s="153" t="s">
        <v>118</v>
      </c>
      <c r="M255">
        <v>5</v>
      </c>
      <c r="N255" s="123">
        <v>0</v>
      </c>
      <c r="O255">
        <v>212</v>
      </c>
      <c r="P255" s="132" t="s">
        <v>77</v>
      </c>
      <c r="Q255" s="132">
        <v>20000</v>
      </c>
      <c r="R255" s="132">
        <v>3200</v>
      </c>
      <c r="S255" s="132"/>
      <c r="T255" s="156">
        <v>0</v>
      </c>
      <c r="U255" s="132">
        <v>0</v>
      </c>
      <c r="V255" s="132">
        <f t="shared" si="5"/>
        <v>23200</v>
      </c>
      <c r="W255">
        <v>4</v>
      </c>
      <c r="X255" s="153" t="s">
        <v>1489</v>
      </c>
      <c r="Y255" s="124" t="s">
        <v>55</v>
      </c>
      <c r="Z255" s="308">
        <v>183</v>
      </c>
      <c r="AB255" t="str">
        <f>IF(Table1[[#This Row],[TIPO2]]="costo", VLOOKUP(Table1[[#This Row],[PARTIDA PRESUPUESTAL]],'Cost Report'!G:G,1,0),"Balance")</f>
        <v>2011-012</v>
      </c>
      <c r="AC255" s="118"/>
      <c r="AD255" s="159">
        <f>+Table1[[#This Row],[SUBTOTAL]]+Table1[[#This Row],[IVA]]-Table1[[#This Row],[RET IVA]]-Table1[[#This Row],[RET ISR]]-Table1[[#This Row],[TOTAL]]</f>
        <v>0</v>
      </c>
      <c r="AE255" s="152"/>
      <c r="AF255" s="153"/>
      <c r="AG255" s="126"/>
      <c r="AK255" s="306">
        <f>IF(ISNUMBER(Table1[[#This Row],[FECHA DE RECIBIDO]]), Table1[[#This Row],[FECHA DE RECIBIDO]]-DATE(2023,8,30), "")</f>
        <v>-44987.430497685185</v>
      </c>
    </row>
    <row r="256" spans="1:37" ht="16.05" customHeight="1">
      <c r="A256" s="150" t="s">
        <v>1706</v>
      </c>
      <c r="B256" s="151">
        <v>163</v>
      </c>
      <c r="C256" s="126" t="s">
        <v>3087</v>
      </c>
      <c r="D256">
        <v>193</v>
      </c>
      <c r="E256" s="126">
        <v>44200</v>
      </c>
      <c r="F256" s="122">
        <v>601</v>
      </c>
      <c r="G256" s="122" t="s">
        <v>134</v>
      </c>
      <c r="H256">
        <v>72</v>
      </c>
      <c r="I256" s="122" t="s">
        <v>1546</v>
      </c>
      <c r="J256" s="307">
        <v>180.57075231481576</v>
      </c>
      <c r="K256" s="127" t="s">
        <v>1660</v>
      </c>
      <c r="L256" s="151" t="s">
        <v>118</v>
      </c>
      <c r="M256">
        <v>5</v>
      </c>
      <c r="N256" s="123">
        <v>0</v>
      </c>
      <c r="O256">
        <v>213</v>
      </c>
      <c r="P256" s="132" t="s">
        <v>77</v>
      </c>
      <c r="Q256" s="131">
        <v>11000</v>
      </c>
      <c r="R256" s="131">
        <v>1760</v>
      </c>
      <c r="S256" s="131"/>
      <c r="T256" s="155">
        <v>0</v>
      </c>
      <c r="U256" s="131">
        <v>0</v>
      </c>
      <c r="V256" s="131">
        <f t="shared" si="5"/>
        <v>12760</v>
      </c>
      <c r="W256">
        <v>4</v>
      </c>
      <c r="X256" s="151" t="s">
        <v>1489</v>
      </c>
      <c r="Y256" s="135" t="s">
        <v>55</v>
      </c>
      <c r="Z256" s="307">
        <v>183</v>
      </c>
      <c r="AB256" t="str">
        <f>IF(Table1[[#This Row],[TIPO2]]="costo", VLOOKUP(Table1[[#This Row],[PARTIDA PRESUPUESTAL]],'Cost Report'!G:G,1,0),"Balance")</f>
        <v>7001-004</v>
      </c>
      <c r="AC256" s="118"/>
      <c r="AD256" s="159">
        <f>+Table1[[#This Row],[SUBTOTAL]]+Table1[[#This Row],[IVA]]-Table1[[#This Row],[RET IVA]]-Table1[[#This Row],[RET ISR]]-Table1[[#This Row],[TOTAL]]</f>
        <v>0</v>
      </c>
      <c r="AE256" s="150"/>
      <c r="AF256" s="151"/>
      <c r="AG256" s="126"/>
      <c r="AK256" s="306">
        <f>IF(ISNUMBER(Table1[[#This Row],[FECHA DE RECIBIDO]]), Table1[[#This Row],[FECHA DE RECIBIDO]]-DATE(2023,8,30), "")</f>
        <v>-44987.429247685184</v>
      </c>
    </row>
    <row r="257" spans="1:37" s="271" customFormat="1" ht="16.05" customHeight="1">
      <c r="A257" s="291" t="s">
        <v>1707</v>
      </c>
      <c r="B257" s="292">
        <v>164</v>
      </c>
      <c r="C257" s="285" t="s">
        <v>3093</v>
      </c>
      <c r="D257">
        <v>194</v>
      </c>
      <c r="E257" s="285">
        <v>44200</v>
      </c>
      <c r="F257" s="285">
        <v>601</v>
      </c>
      <c r="G257" s="285" t="s">
        <v>134</v>
      </c>
      <c r="H257">
        <v>72</v>
      </c>
      <c r="I257" s="285" t="s">
        <v>1546</v>
      </c>
      <c r="J257" s="309">
        <v>182.55957175925869</v>
      </c>
      <c r="K257" s="293" t="s">
        <v>1660</v>
      </c>
      <c r="L257" s="292" t="s">
        <v>118</v>
      </c>
      <c r="M257">
        <v>5</v>
      </c>
      <c r="N257" s="294">
        <v>0</v>
      </c>
      <c r="O257">
        <v>214</v>
      </c>
      <c r="P257" s="295" t="s">
        <v>78</v>
      </c>
      <c r="Q257" s="296">
        <v>25000</v>
      </c>
      <c r="R257" s="296">
        <v>4000</v>
      </c>
      <c r="S257" s="296"/>
      <c r="T257" s="297">
        <v>0</v>
      </c>
      <c r="U257" s="296">
        <v>0</v>
      </c>
      <c r="V257" s="296">
        <f t="shared" si="5"/>
        <v>29000</v>
      </c>
      <c r="W257">
        <v>4</v>
      </c>
      <c r="X257" s="292" t="s">
        <v>1489</v>
      </c>
      <c r="Y257" s="283" t="s">
        <v>55</v>
      </c>
      <c r="Z257" s="309">
        <v>183</v>
      </c>
      <c r="AB257" s="271" t="str">
        <f>IF(Table1[[#This Row],[TIPO2]]="costo", VLOOKUP(Table1[[#This Row],[PARTIDA PRESUPUESTAL]],'Cost Report'!G:G,1,0),"Balance")</f>
        <v>Balance</v>
      </c>
      <c r="AC257" s="298"/>
      <c r="AD257" s="272">
        <f>+Table1[[#This Row],[SUBTOTAL]]+Table1[[#This Row],[IVA]]-Table1[[#This Row],[RET IVA]]-Table1[[#This Row],[RET ISR]]-Table1[[#This Row],[TOTAL]]</f>
        <v>0</v>
      </c>
      <c r="AE257" s="291"/>
      <c r="AF257" s="292"/>
      <c r="AG257" s="285"/>
      <c r="AK257" s="306">
        <f>IF(ISNUMBER(Table1[[#This Row],[FECHA DE RECIBIDO]]), Table1[[#This Row],[FECHA DE RECIBIDO]]-DATE(2023,8,30), "")</f>
        <v>-44985.440428240741</v>
      </c>
    </row>
    <row r="258" spans="1:37" ht="16.05" customHeight="1">
      <c r="A258" s="150" t="s">
        <v>1900</v>
      </c>
      <c r="B258" s="151">
        <v>165</v>
      </c>
      <c r="C258" s="126" t="s">
        <v>2752</v>
      </c>
      <c r="D258">
        <v>195</v>
      </c>
      <c r="E258" s="126">
        <v>45300</v>
      </c>
      <c r="F258" s="122">
        <v>601</v>
      </c>
      <c r="G258" s="122" t="s">
        <v>134</v>
      </c>
      <c r="H258">
        <v>73</v>
      </c>
      <c r="I258" s="122" t="s">
        <v>1546</v>
      </c>
      <c r="J258" s="307">
        <v>175</v>
      </c>
      <c r="K258" s="127" t="s">
        <v>1909</v>
      </c>
      <c r="L258" s="151" t="s">
        <v>1643</v>
      </c>
      <c r="M258">
        <v>95</v>
      </c>
      <c r="N258" s="123">
        <v>17</v>
      </c>
      <c r="O258">
        <v>215</v>
      </c>
      <c r="P258" s="132" t="s">
        <v>77</v>
      </c>
      <c r="Q258" s="131">
        <v>2639.65</v>
      </c>
      <c r="R258" s="131">
        <v>422.35</v>
      </c>
      <c r="S258" s="131"/>
      <c r="T258" s="155"/>
      <c r="U258" s="131"/>
      <c r="V258" s="131">
        <f t="shared" si="5"/>
        <v>3062</v>
      </c>
      <c r="W258">
        <v>55</v>
      </c>
      <c r="X258" s="151" t="s">
        <v>1644</v>
      </c>
      <c r="Y258" s="135" t="s">
        <v>55</v>
      </c>
      <c r="Z258" s="307">
        <v>175</v>
      </c>
      <c r="AB258" t="str">
        <f>IF(Table1[[#This Row],[TIPO2]]="costo", VLOOKUP(Table1[[#This Row],[PARTIDA PRESUPUESTAL]],'Cost Report'!G:G,1,0),"Balance")</f>
        <v>3401-014</v>
      </c>
      <c r="AC258" s="118"/>
      <c r="AD258" s="159">
        <f>+Table1[[#This Row],[SUBTOTAL]]+Table1[[#This Row],[IVA]]-Table1[[#This Row],[RET IVA]]-Table1[[#This Row],[RET ISR]]-Table1[[#This Row],[TOTAL]]</f>
        <v>0</v>
      </c>
      <c r="AE258" s="150"/>
      <c r="AF258" s="151"/>
      <c r="AG258" s="126" t="s">
        <v>3420</v>
      </c>
      <c r="AK258" s="306">
        <f>IF(ISNUMBER(Table1[[#This Row],[FECHA DE RECIBIDO]]), Table1[[#This Row],[FECHA DE RECIBIDO]]-DATE(2023,8,30), "")</f>
        <v>-44993</v>
      </c>
    </row>
    <row r="259" spans="1:37" ht="16.05" customHeight="1">
      <c r="A259" s="152" t="s">
        <v>1900</v>
      </c>
      <c r="B259" s="153">
        <v>165</v>
      </c>
      <c r="C259" s="126" t="s">
        <v>2752</v>
      </c>
      <c r="D259">
        <v>196</v>
      </c>
      <c r="E259" s="126" t="s">
        <v>1984</v>
      </c>
      <c r="F259" s="125" t="s">
        <v>1607</v>
      </c>
      <c r="G259" s="125" t="s">
        <v>134</v>
      </c>
      <c r="H259">
        <v>74</v>
      </c>
      <c r="I259" s="125" t="s">
        <v>1546</v>
      </c>
      <c r="J259" s="308" t="s">
        <v>214</v>
      </c>
      <c r="K259" s="127" t="s">
        <v>1909</v>
      </c>
      <c r="L259" s="153" t="s">
        <v>1643</v>
      </c>
      <c r="M259">
        <v>96</v>
      </c>
      <c r="N259" s="123">
        <v>17</v>
      </c>
      <c r="O259">
        <v>215</v>
      </c>
      <c r="P259" s="132" t="s">
        <v>77</v>
      </c>
      <c r="Q259" s="132">
        <v>2274.14</v>
      </c>
      <c r="R259" s="132">
        <v>363.86</v>
      </c>
      <c r="S259" s="132"/>
      <c r="T259" s="156"/>
      <c r="U259" s="132"/>
      <c r="V259" s="132">
        <f t="shared" si="5"/>
        <v>2638</v>
      </c>
      <c r="W259">
        <v>55</v>
      </c>
      <c r="X259" s="153" t="s">
        <v>1644</v>
      </c>
      <c r="Y259" s="124" t="s">
        <v>55</v>
      </c>
      <c r="Z259" s="308">
        <v>176</v>
      </c>
      <c r="AB259" t="str">
        <f>IF(Table1[[#This Row],[TIPO2]]="costo", VLOOKUP(Table1[[#This Row],[PARTIDA PRESUPUESTAL]],'Cost Report'!G:G,1,0),"Balance")</f>
        <v>3401-014</v>
      </c>
      <c r="AC259" s="118"/>
      <c r="AD259" s="159">
        <f>+Table1[[#This Row],[SUBTOTAL]]+Table1[[#This Row],[IVA]]-Table1[[#This Row],[RET IVA]]-Table1[[#This Row],[RET ISR]]-Table1[[#This Row],[TOTAL]]</f>
        <v>0</v>
      </c>
      <c r="AE259" s="152"/>
      <c r="AF259" s="153"/>
      <c r="AG259" s="126" t="s">
        <v>3420</v>
      </c>
      <c r="AK259" s="306" t="str">
        <f>IF(ISNUMBER(Table1[[#This Row],[FECHA DE RECIBIDO]]), Table1[[#This Row],[FECHA DE RECIBIDO]]-DATE(2023,8,30), "")</f>
        <v/>
      </c>
    </row>
    <row r="260" spans="1:37" ht="16.05" customHeight="1">
      <c r="A260" s="150" t="s">
        <v>1900</v>
      </c>
      <c r="B260" s="151">
        <v>165</v>
      </c>
      <c r="C260" s="126" t="s">
        <v>2751</v>
      </c>
      <c r="D260">
        <v>197</v>
      </c>
      <c r="E260" s="126" t="s">
        <v>1985</v>
      </c>
      <c r="F260" s="122" t="s">
        <v>1607</v>
      </c>
      <c r="G260" s="122" t="s">
        <v>134</v>
      </c>
      <c r="H260">
        <v>47</v>
      </c>
      <c r="I260" s="122" t="s">
        <v>1546</v>
      </c>
      <c r="J260" s="307" t="s">
        <v>214</v>
      </c>
      <c r="K260" s="127" t="s">
        <v>1909</v>
      </c>
      <c r="L260" s="151" t="s">
        <v>1643</v>
      </c>
      <c r="M260">
        <v>97</v>
      </c>
      <c r="N260" s="123">
        <v>17</v>
      </c>
      <c r="O260">
        <v>216</v>
      </c>
      <c r="P260" s="132" t="s">
        <v>77</v>
      </c>
      <c r="Q260" s="131">
        <v>1620.69</v>
      </c>
      <c r="R260" s="131">
        <v>259.31</v>
      </c>
      <c r="S260" s="131"/>
      <c r="T260" s="155"/>
      <c r="U260" s="131"/>
      <c r="V260" s="131">
        <f t="shared" si="5"/>
        <v>1880</v>
      </c>
      <c r="W260">
        <v>55</v>
      </c>
      <c r="X260" s="151" t="s">
        <v>1644</v>
      </c>
      <c r="Y260" s="135" t="s">
        <v>55</v>
      </c>
      <c r="Z260" s="307">
        <v>178</v>
      </c>
      <c r="AB260" t="str">
        <f>IF(Table1[[#This Row],[TIPO2]]="costo", VLOOKUP(Table1[[#This Row],[PARTIDA PRESUPUESTAL]],'Cost Report'!G:G,1,0),"Balance")</f>
        <v>3401-013</v>
      </c>
      <c r="AC260" s="118"/>
      <c r="AD260" s="159">
        <f>+Table1[[#This Row],[SUBTOTAL]]+Table1[[#This Row],[IVA]]-Table1[[#This Row],[RET IVA]]-Table1[[#This Row],[RET ISR]]-Table1[[#This Row],[TOTAL]]</f>
        <v>0</v>
      </c>
      <c r="AE260" s="150"/>
      <c r="AF260" s="151"/>
      <c r="AG260" s="126" t="s">
        <v>3420</v>
      </c>
      <c r="AK260" s="306" t="str">
        <f>IF(ISNUMBER(Table1[[#This Row],[FECHA DE RECIBIDO]]), Table1[[#This Row],[FECHA DE RECIBIDO]]-DATE(2023,8,30), "")</f>
        <v/>
      </c>
    </row>
    <row r="261" spans="1:37" ht="16.05" customHeight="1">
      <c r="A261" s="152" t="s">
        <v>1900</v>
      </c>
      <c r="B261" s="153">
        <v>165</v>
      </c>
      <c r="C261" s="126" t="s">
        <v>2751</v>
      </c>
      <c r="D261">
        <v>198</v>
      </c>
      <c r="E261" s="126" t="s">
        <v>1985</v>
      </c>
      <c r="F261" s="125" t="s">
        <v>1607</v>
      </c>
      <c r="G261" s="125" t="s">
        <v>134</v>
      </c>
      <c r="H261">
        <v>47</v>
      </c>
      <c r="I261" s="125" t="s">
        <v>1546</v>
      </c>
      <c r="J261" s="308" t="s">
        <v>214</v>
      </c>
      <c r="K261" s="127" t="s">
        <v>1909</v>
      </c>
      <c r="L261" s="153" t="s">
        <v>1643</v>
      </c>
      <c r="M261">
        <v>97</v>
      </c>
      <c r="N261" s="123">
        <v>17</v>
      </c>
      <c r="O261">
        <v>217</v>
      </c>
      <c r="P261" s="132" t="s">
        <v>77</v>
      </c>
      <c r="Q261" s="132">
        <v>1650.86</v>
      </c>
      <c r="R261" s="132">
        <v>264.14</v>
      </c>
      <c r="S261" s="132"/>
      <c r="T261" s="156"/>
      <c r="U261" s="132"/>
      <c r="V261" s="132">
        <f t="shared" si="5"/>
        <v>1915</v>
      </c>
      <c r="W261">
        <v>55</v>
      </c>
      <c r="X261" s="153" t="s">
        <v>1644</v>
      </c>
      <c r="Y261" s="124" t="s">
        <v>55</v>
      </c>
      <c r="Z261" s="308">
        <v>178</v>
      </c>
      <c r="AB261" t="str">
        <f>IF(Table1[[#This Row],[TIPO2]]="costo", VLOOKUP(Table1[[#This Row],[PARTIDA PRESUPUESTAL]],'Cost Report'!G:G,1,0),"Balance")</f>
        <v>3401-013</v>
      </c>
      <c r="AC261" s="118"/>
      <c r="AD261" s="159">
        <f>+Table1[[#This Row],[SUBTOTAL]]+Table1[[#This Row],[IVA]]-Table1[[#This Row],[RET IVA]]-Table1[[#This Row],[RET ISR]]-Table1[[#This Row],[TOTAL]]</f>
        <v>0</v>
      </c>
      <c r="AE261" s="152"/>
      <c r="AF261" s="153"/>
      <c r="AG261" s="126" t="s">
        <v>3420</v>
      </c>
      <c r="AK261" s="306" t="str">
        <f>IF(ISNUMBER(Table1[[#This Row],[FECHA DE RECIBIDO]]), Table1[[#This Row],[FECHA DE RECIBIDO]]-DATE(2023,8,30), "")</f>
        <v/>
      </c>
    </row>
    <row r="262" spans="1:37" ht="16.05" customHeight="1">
      <c r="A262" s="150" t="s">
        <v>1900</v>
      </c>
      <c r="B262" s="151">
        <v>165</v>
      </c>
      <c r="C262" s="126" t="s">
        <v>2768</v>
      </c>
      <c r="D262">
        <v>199</v>
      </c>
      <c r="E262" s="126" t="s">
        <v>1986</v>
      </c>
      <c r="F262" s="122" t="s">
        <v>1607</v>
      </c>
      <c r="G262" s="122" t="s">
        <v>134</v>
      </c>
      <c r="H262">
        <v>75</v>
      </c>
      <c r="I262" s="122" t="s">
        <v>1546</v>
      </c>
      <c r="J262" s="307" t="s">
        <v>214</v>
      </c>
      <c r="K262" s="127" t="s">
        <v>1909</v>
      </c>
      <c r="L262" s="151" t="s">
        <v>1643</v>
      </c>
      <c r="M262">
        <v>98</v>
      </c>
      <c r="N262" s="123">
        <v>17</v>
      </c>
      <c r="O262">
        <v>218</v>
      </c>
      <c r="P262" s="132" t="s">
        <v>77</v>
      </c>
      <c r="Q262" s="131">
        <v>20601</v>
      </c>
      <c r="R262" s="131"/>
      <c r="S262" s="131"/>
      <c r="T262" s="155"/>
      <c r="U262" s="131"/>
      <c r="V262" s="131">
        <f t="shared" si="5"/>
        <v>20601</v>
      </c>
      <c r="W262">
        <v>55</v>
      </c>
      <c r="X262" s="151" t="s">
        <v>1644</v>
      </c>
      <c r="Y262" s="135" t="s">
        <v>55</v>
      </c>
      <c r="Z262" s="307">
        <v>178</v>
      </c>
      <c r="AB262" t="str">
        <f>IF(Table1[[#This Row],[TIPO2]]="costo", VLOOKUP(Table1[[#This Row],[PARTIDA PRESUPUESTAL]],'Cost Report'!G:G,1,0),"Balance")</f>
        <v>3401-034</v>
      </c>
      <c r="AC262" s="118"/>
      <c r="AD262" s="159">
        <f>+Table1[[#This Row],[SUBTOTAL]]+Table1[[#This Row],[IVA]]-Table1[[#This Row],[RET IVA]]-Table1[[#This Row],[RET ISR]]-Table1[[#This Row],[TOTAL]]</f>
        <v>0</v>
      </c>
      <c r="AE262" s="150"/>
      <c r="AF262" s="151"/>
      <c r="AG262" s="126" t="s">
        <v>3420</v>
      </c>
      <c r="AK262" s="306" t="str">
        <f>IF(ISNUMBER(Table1[[#This Row],[FECHA DE RECIBIDO]]), Table1[[#This Row],[FECHA DE RECIBIDO]]-DATE(2023,8,30), "")</f>
        <v/>
      </c>
    </row>
    <row r="263" spans="1:37" ht="16.05" customHeight="1">
      <c r="A263" s="152" t="s">
        <v>1900</v>
      </c>
      <c r="B263" s="153">
        <v>165</v>
      </c>
      <c r="C263" s="126" t="s">
        <v>3415</v>
      </c>
      <c r="D263">
        <v>200</v>
      </c>
      <c r="E263" s="126" t="s">
        <v>1623</v>
      </c>
      <c r="F263" s="125" t="s">
        <v>1607</v>
      </c>
      <c r="G263" s="125" t="s">
        <v>134</v>
      </c>
      <c r="H263">
        <v>45</v>
      </c>
      <c r="I263" s="125" t="s">
        <v>1546</v>
      </c>
      <c r="J263" s="308" t="s">
        <v>214</v>
      </c>
      <c r="K263" s="127" t="s">
        <v>1909</v>
      </c>
      <c r="L263" s="153" t="s">
        <v>1643</v>
      </c>
      <c r="M263">
        <v>56</v>
      </c>
      <c r="N263" s="123">
        <v>17</v>
      </c>
      <c r="O263">
        <v>219</v>
      </c>
      <c r="P263" s="132" t="s">
        <v>77</v>
      </c>
      <c r="Q263" s="132">
        <v>862.07</v>
      </c>
      <c r="R263" s="132">
        <v>137.93</v>
      </c>
      <c r="S263" s="132"/>
      <c r="T263" s="156"/>
      <c r="U263" s="132"/>
      <c r="V263" s="132">
        <f t="shared" si="5"/>
        <v>1000</v>
      </c>
      <c r="W263">
        <v>55</v>
      </c>
      <c r="X263" s="153" t="s">
        <v>1644</v>
      </c>
      <c r="Y263" s="124" t="s">
        <v>55</v>
      </c>
      <c r="Z263" s="308">
        <v>178</v>
      </c>
      <c r="AB263" t="str">
        <f>IF(Table1[[#This Row],[TIPO2]]="costo", VLOOKUP(Table1[[#This Row],[PARTIDA PRESUPUESTAL]],'Cost Report'!G:G,1,0),"Balance")</f>
        <v>3629-006</v>
      </c>
      <c r="AC263" s="118"/>
      <c r="AD263" s="159">
        <f>+Table1[[#This Row],[SUBTOTAL]]+Table1[[#This Row],[IVA]]-Table1[[#This Row],[RET IVA]]-Table1[[#This Row],[RET ISR]]-Table1[[#This Row],[TOTAL]]</f>
        <v>0</v>
      </c>
      <c r="AE263" s="152"/>
      <c r="AF263" s="153"/>
      <c r="AG263" s="126" t="s">
        <v>3420</v>
      </c>
      <c r="AK263" s="306" t="str">
        <f>IF(ISNUMBER(Table1[[#This Row],[FECHA DE RECIBIDO]]), Table1[[#This Row],[FECHA DE RECIBIDO]]-DATE(2023,8,30), "")</f>
        <v/>
      </c>
    </row>
    <row r="264" spans="1:37" ht="16.05" customHeight="1">
      <c r="A264" s="150" t="s">
        <v>1900</v>
      </c>
      <c r="B264" s="151">
        <v>165</v>
      </c>
      <c r="C264" s="126" t="s">
        <v>2752</v>
      </c>
      <c r="D264">
        <v>201</v>
      </c>
      <c r="E264" s="126" t="s">
        <v>1987</v>
      </c>
      <c r="F264" s="122" t="s">
        <v>1607</v>
      </c>
      <c r="G264" s="122" t="s">
        <v>134</v>
      </c>
      <c r="H264">
        <v>76</v>
      </c>
      <c r="I264" s="122" t="s">
        <v>1546</v>
      </c>
      <c r="J264" s="307" t="s">
        <v>214</v>
      </c>
      <c r="K264" s="127" t="s">
        <v>1909</v>
      </c>
      <c r="L264" s="151" t="s">
        <v>1643</v>
      </c>
      <c r="M264">
        <v>99</v>
      </c>
      <c r="N264" s="123">
        <v>17</v>
      </c>
      <c r="O264">
        <v>215</v>
      </c>
      <c r="P264" s="132" t="s">
        <v>77</v>
      </c>
      <c r="Q264" s="131">
        <v>3292.24</v>
      </c>
      <c r="R264" s="131">
        <v>526.76</v>
      </c>
      <c r="S264" s="131"/>
      <c r="T264" s="155"/>
      <c r="U264" s="131"/>
      <c r="V264" s="131">
        <f t="shared" si="5"/>
        <v>3819</v>
      </c>
      <c r="W264">
        <v>55</v>
      </c>
      <c r="X264" s="151" t="s">
        <v>1644</v>
      </c>
      <c r="Y264" s="135" t="s">
        <v>55</v>
      </c>
      <c r="Z264" s="307">
        <v>179</v>
      </c>
      <c r="AB264" t="str">
        <f>IF(Table1[[#This Row],[TIPO2]]="costo", VLOOKUP(Table1[[#This Row],[PARTIDA PRESUPUESTAL]],'Cost Report'!G:G,1,0),"Balance")</f>
        <v>3401-014</v>
      </c>
      <c r="AC264" s="118"/>
      <c r="AD264" s="159">
        <f>+Table1[[#This Row],[SUBTOTAL]]+Table1[[#This Row],[IVA]]-Table1[[#This Row],[RET IVA]]-Table1[[#This Row],[RET ISR]]-Table1[[#This Row],[TOTAL]]</f>
        <v>0</v>
      </c>
      <c r="AE264" s="150"/>
      <c r="AF264" s="151"/>
      <c r="AG264" s="126" t="s">
        <v>3420</v>
      </c>
      <c r="AK264" s="306" t="str">
        <f>IF(ISNUMBER(Table1[[#This Row],[FECHA DE RECIBIDO]]), Table1[[#This Row],[FECHA DE RECIBIDO]]-DATE(2023,8,30), "")</f>
        <v/>
      </c>
    </row>
    <row r="265" spans="1:37" ht="16.05" customHeight="1">
      <c r="A265" s="152" t="s">
        <v>1900</v>
      </c>
      <c r="B265" s="153">
        <v>165</v>
      </c>
      <c r="C265" s="126" t="s">
        <v>2752</v>
      </c>
      <c r="D265">
        <v>202</v>
      </c>
      <c r="E265" s="126" t="s">
        <v>1987</v>
      </c>
      <c r="F265" s="125" t="s">
        <v>1607</v>
      </c>
      <c r="G265" s="125" t="s">
        <v>134</v>
      </c>
      <c r="H265">
        <v>76</v>
      </c>
      <c r="I265" s="125" t="s">
        <v>1546</v>
      </c>
      <c r="J265" s="308" t="s">
        <v>214</v>
      </c>
      <c r="K265" s="127" t="s">
        <v>1909</v>
      </c>
      <c r="L265" s="153" t="s">
        <v>1643</v>
      </c>
      <c r="M265">
        <v>99</v>
      </c>
      <c r="N265" s="123">
        <v>17</v>
      </c>
      <c r="O265">
        <v>215</v>
      </c>
      <c r="P265" s="132" t="s">
        <v>77</v>
      </c>
      <c r="Q265" s="132">
        <v>156.04</v>
      </c>
      <c r="R265" s="132">
        <v>24.97</v>
      </c>
      <c r="S265" s="132"/>
      <c r="T265" s="156"/>
      <c r="U265" s="132"/>
      <c r="V265" s="132">
        <f t="shared" si="5"/>
        <v>181.01</v>
      </c>
      <c r="W265">
        <v>55</v>
      </c>
      <c r="X265" s="153" t="s">
        <v>1644</v>
      </c>
      <c r="Y265" s="124" t="s">
        <v>55</v>
      </c>
      <c r="Z265" s="308">
        <v>179</v>
      </c>
      <c r="AB265" t="str">
        <f>IF(Table1[[#This Row],[TIPO2]]="costo", VLOOKUP(Table1[[#This Row],[PARTIDA PRESUPUESTAL]],'Cost Report'!G:G,1,0),"Balance")</f>
        <v>3401-014</v>
      </c>
      <c r="AC265" s="118"/>
      <c r="AD265" s="159">
        <f>+Table1[[#This Row],[SUBTOTAL]]+Table1[[#This Row],[IVA]]-Table1[[#This Row],[RET IVA]]-Table1[[#This Row],[RET ISR]]-Table1[[#This Row],[TOTAL]]</f>
        <v>0</v>
      </c>
      <c r="AE265" s="152"/>
      <c r="AF265" s="153"/>
      <c r="AG265" s="126" t="s">
        <v>3420</v>
      </c>
      <c r="AK265" s="306" t="str">
        <f>IF(ISNUMBER(Table1[[#This Row],[FECHA DE RECIBIDO]]), Table1[[#This Row],[FECHA DE RECIBIDO]]-DATE(2023,8,30), "")</f>
        <v/>
      </c>
    </row>
    <row r="266" spans="1:37" ht="16.05" customHeight="1">
      <c r="A266" s="150" t="s">
        <v>1900</v>
      </c>
      <c r="B266" s="151">
        <v>165</v>
      </c>
      <c r="C266" s="126" t="s">
        <v>2752</v>
      </c>
      <c r="D266">
        <v>203</v>
      </c>
      <c r="E266" s="126" t="s">
        <v>1596</v>
      </c>
      <c r="F266" s="122" t="s">
        <v>1382</v>
      </c>
      <c r="G266" s="122" t="s">
        <v>134</v>
      </c>
      <c r="H266">
        <v>31</v>
      </c>
      <c r="I266" s="122" t="s">
        <v>1546</v>
      </c>
      <c r="J266" s="307" t="s">
        <v>214</v>
      </c>
      <c r="K266" s="127" t="s">
        <v>1909</v>
      </c>
      <c r="L266" s="151" t="s">
        <v>1643</v>
      </c>
      <c r="M266">
        <v>69</v>
      </c>
      <c r="N266" s="123">
        <v>17</v>
      </c>
      <c r="O266">
        <v>220</v>
      </c>
      <c r="P266" s="132" t="s">
        <v>77</v>
      </c>
      <c r="Q266" s="131">
        <v>29</v>
      </c>
      <c r="R266" s="131"/>
      <c r="S266" s="131"/>
      <c r="T266" s="155"/>
      <c r="U266" s="131"/>
      <c r="V266" s="131">
        <f t="shared" si="5"/>
        <v>29</v>
      </c>
      <c r="W266">
        <v>55</v>
      </c>
      <c r="X266" s="151" t="s">
        <v>1644</v>
      </c>
      <c r="Y266" s="135" t="s">
        <v>55</v>
      </c>
      <c r="Z266" s="307">
        <v>180</v>
      </c>
      <c r="AB266" t="str">
        <f>IF(Table1[[#This Row],[TIPO2]]="costo", VLOOKUP(Table1[[#This Row],[PARTIDA PRESUPUESTAL]],'Cost Report'!G:G,1,0),"Balance")</f>
        <v>3401-014</v>
      </c>
      <c r="AC266" s="118"/>
      <c r="AD266" s="159">
        <f>+Table1[[#This Row],[SUBTOTAL]]+Table1[[#This Row],[IVA]]-Table1[[#This Row],[RET IVA]]-Table1[[#This Row],[RET ISR]]-Table1[[#This Row],[TOTAL]]</f>
        <v>0</v>
      </c>
      <c r="AE266" s="150"/>
      <c r="AF266" s="151"/>
      <c r="AG266" s="126" t="s">
        <v>3420</v>
      </c>
      <c r="AK266" s="306" t="str">
        <f>IF(ISNUMBER(Table1[[#This Row],[FECHA DE RECIBIDO]]), Table1[[#This Row],[FECHA DE RECIBIDO]]-DATE(2023,8,30), "")</f>
        <v/>
      </c>
    </row>
    <row r="267" spans="1:37" ht="16.05" customHeight="1">
      <c r="A267" s="152" t="s">
        <v>1900</v>
      </c>
      <c r="B267" s="153">
        <v>165</v>
      </c>
      <c r="C267" s="126" t="s">
        <v>2752</v>
      </c>
      <c r="D267">
        <v>204</v>
      </c>
      <c r="E267" s="126" t="s">
        <v>1596</v>
      </c>
      <c r="F267" s="125" t="s">
        <v>1382</v>
      </c>
      <c r="G267" s="125" t="s">
        <v>134</v>
      </c>
      <c r="H267">
        <v>31</v>
      </c>
      <c r="I267" s="125" t="s">
        <v>1546</v>
      </c>
      <c r="J267" s="308" t="s">
        <v>214</v>
      </c>
      <c r="K267" s="127" t="s">
        <v>1909</v>
      </c>
      <c r="L267" s="153" t="s">
        <v>1643</v>
      </c>
      <c r="M267">
        <v>69</v>
      </c>
      <c r="N267" s="123">
        <v>17</v>
      </c>
      <c r="O267">
        <v>220</v>
      </c>
      <c r="P267" s="132" t="s">
        <v>77</v>
      </c>
      <c r="Q267" s="132">
        <v>31.5</v>
      </c>
      <c r="R267" s="132"/>
      <c r="S267" s="132"/>
      <c r="T267" s="156"/>
      <c r="U267" s="132"/>
      <c r="V267" s="132">
        <f t="shared" si="5"/>
        <v>31.5</v>
      </c>
      <c r="W267">
        <v>55</v>
      </c>
      <c r="X267" s="153" t="s">
        <v>1644</v>
      </c>
      <c r="Y267" s="124" t="s">
        <v>55</v>
      </c>
      <c r="Z267" s="308">
        <v>180</v>
      </c>
      <c r="AB267" t="str">
        <f>IF(Table1[[#This Row],[TIPO2]]="costo", VLOOKUP(Table1[[#This Row],[PARTIDA PRESUPUESTAL]],'Cost Report'!G:G,1,0),"Balance")</f>
        <v>3401-014</v>
      </c>
      <c r="AC267" s="118"/>
      <c r="AD267" s="159">
        <f>+Table1[[#This Row],[SUBTOTAL]]+Table1[[#This Row],[IVA]]-Table1[[#This Row],[RET IVA]]-Table1[[#This Row],[RET ISR]]-Table1[[#This Row],[TOTAL]]</f>
        <v>0</v>
      </c>
      <c r="AE267" s="152"/>
      <c r="AF267" s="153"/>
      <c r="AG267" s="126" t="s">
        <v>3420</v>
      </c>
      <c r="AK267" s="306" t="str">
        <f>IF(ISNUMBER(Table1[[#This Row],[FECHA DE RECIBIDO]]), Table1[[#This Row],[FECHA DE RECIBIDO]]-DATE(2023,8,30), "")</f>
        <v/>
      </c>
    </row>
    <row r="268" spans="1:37" ht="16.05" customHeight="1">
      <c r="A268" s="150" t="s">
        <v>1900</v>
      </c>
      <c r="B268" s="151">
        <v>165</v>
      </c>
      <c r="C268" s="126" t="s">
        <v>2752</v>
      </c>
      <c r="D268">
        <v>205</v>
      </c>
      <c r="E268" s="126" t="s">
        <v>1988</v>
      </c>
      <c r="F268" s="122" t="s">
        <v>1382</v>
      </c>
      <c r="G268" s="122" t="s">
        <v>134</v>
      </c>
      <c r="H268">
        <v>31</v>
      </c>
      <c r="I268" s="122" t="s">
        <v>1546</v>
      </c>
      <c r="J268" s="307" t="s">
        <v>214</v>
      </c>
      <c r="K268" s="127" t="s">
        <v>1909</v>
      </c>
      <c r="L268" s="151" t="s">
        <v>1643</v>
      </c>
      <c r="M268">
        <v>69</v>
      </c>
      <c r="N268" s="123">
        <v>17</v>
      </c>
      <c r="O268">
        <v>220</v>
      </c>
      <c r="P268" s="132" t="s">
        <v>77</v>
      </c>
      <c r="Q268" s="131">
        <v>69</v>
      </c>
      <c r="R268" s="131">
        <v>6</v>
      </c>
      <c r="S268" s="131"/>
      <c r="T268" s="155"/>
      <c r="U268" s="131"/>
      <c r="V268" s="131">
        <f t="shared" si="5"/>
        <v>75</v>
      </c>
      <c r="W268">
        <v>55</v>
      </c>
      <c r="X268" s="151" t="s">
        <v>1644</v>
      </c>
      <c r="Y268" s="135" t="s">
        <v>55</v>
      </c>
      <c r="Z268" s="307">
        <v>180</v>
      </c>
      <c r="AB268" t="str">
        <f>IF(Table1[[#This Row],[TIPO2]]="costo", VLOOKUP(Table1[[#This Row],[PARTIDA PRESUPUESTAL]],'Cost Report'!G:G,1,0),"Balance")</f>
        <v>3401-014</v>
      </c>
      <c r="AC268" s="118"/>
      <c r="AD268" s="159">
        <f>+Table1[[#This Row],[SUBTOTAL]]+Table1[[#This Row],[IVA]]-Table1[[#This Row],[RET IVA]]-Table1[[#This Row],[RET ISR]]-Table1[[#This Row],[TOTAL]]</f>
        <v>0</v>
      </c>
      <c r="AE268" s="150"/>
      <c r="AF268" s="151"/>
      <c r="AG268" s="126" t="s">
        <v>3420</v>
      </c>
      <c r="AK268" s="306" t="str">
        <f>IF(ISNUMBER(Table1[[#This Row],[FECHA DE RECIBIDO]]), Table1[[#This Row],[FECHA DE RECIBIDO]]-DATE(2023,8,30), "")</f>
        <v/>
      </c>
    </row>
    <row r="269" spans="1:37" ht="16.05" customHeight="1">
      <c r="A269" s="152" t="s">
        <v>1900</v>
      </c>
      <c r="B269" s="153">
        <v>165</v>
      </c>
      <c r="C269" s="126" t="s">
        <v>2860</v>
      </c>
      <c r="D269">
        <v>206</v>
      </c>
      <c r="E269" s="126" t="s">
        <v>1989</v>
      </c>
      <c r="F269" s="125" t="s">
        <v>1607</v>
      </c>
      <c r="G269" s="125" t="s">
        <v>134</v>
      </c>
      <c r="H269">
        <v>77</v>
      </c>
      <c r="I269" s="125" t="s">
        <v>1546</v>
      </c>
      <c r="J269" s="308" t="s">
        <v>214</v>
      </c>
      <c r="K269" s="127" t="s">
        <v>1909</v>
      </c>
      <c r="L269" s="153" t="s">
        <v>1643</v>
      </c>
      <c r="M269">
        <v>100</v>
      </c>
      <c r="N269" s="123">
        <v>17</v>
      </c>
      <c r="O269">
        <v>221</v>
      </c>
      <c r="P269" s="132" t="s">
        <v>77</v>
      </c>
      <c r="Q269" s="132">
        <v>95.69</v>
      </c>
      <c r="R269" s="132">
        <v>15.31</v>
      </c>
      <c r="S269" s="132"/>
      <c r="T269" s="156"/>
      <c r="U269" s="132"/>
      <c r="V269" s="132">
        <f t="shared" si="5"/>
        <v>111</v>
      </c>
      <c r="W269">
        <v>55</v>
      </c>
      <c r="X269" s="153" t="s">
        <v>1644</v>
      </c>
      <c r="Y269" s="124" t="s">
        <v>55</v>
      </c>
      <c r="Z269" s="308">
        <v>180</v>
      </c>
      <c r="AB269" t="str">
        <f>IF(Table1[[#This Row],[TIPO2]]="costo", VLOOKUP(Table1[[#This Row],[PARTIDA PRESUPUESTAL]],'Cost Report'!G:G,1,0),"Balance")</f>
        <v>3629-003</v>
      </c>
      <c r="AC269" s="118"/>
      <c r="AD269" s="159">
        <f>+Table1[[#This Row],[SUBTOTAL]]+Table1[[#This Row],[IVA]]-Table1[[#This Row],[RET IVA]]-Table1[[#This Row],[RET ISR]]-Table1[[#This Row],[TOTAL]]</f>
        <v>0</v>
      </c>
      <c r="AE269" s="152"/>
      <c r="AF269" s="153"/>
      <c r="AG269" s="126" t="s">
        <v>3420</v>
      </c>
      <c r="AK269" s="306" t="str">
        <f>IF(ISNUMBER(Table1[[#This Row],[FECHA DE RECIBIDO]]), Table1[[#This Row],[FECHA DE RECIBIDO]]-DATE(2023,8,30), "")</f>
        <v/>
      </c>
    </row>
    <row r="270" spans="1:37" ht="16.05" customHeight="1">
      <c r="A270" s="150" t="s">
        <v>1900</v>
      </c>
      <c r="B270" s="151">
        <v>165</v>
      </c>
      <c r="C270" s="126" t="s">
        <v>2860</v>
      </c>
      <c r="D270">
        <v>207</v>
      </c>
      <c r="E270" s="126" t="s">
        <v>1989</v>
      </c>
      <c r="F270" s="122" t="s">
        <v>1607</v>
      </c>
      <c r="G270" s="122" t="s">
        <v>134</v>
      </c>
      <c r="H270">
        <v>77</v>
      </c>
      <c r="I270" s="122" t="s">
        <v>1546</v>
      </c>
      <c r="J270" s="307" t="s">
        <v>214</v>
      </c>
      <c r="K270" s="127" t="s">
        <v>1909</v>
      </c>
      <c r="L270" s="151" t="s">
        <v>1643</v>
      </c>
      <c r="M270">
        <v>100</v>
      </c>
      <c r="N270" s="123">
        <v>17</v>
      </c>
      <c r="O270">
        <v>221</v>
      </c>
      <c r="P270" s="132" t="s">
        <v>77</v>
      </c>
      <c r="Q270" s="131">
        <v>95.69</v>
      </c>
      <c r="R270" s="131">
        <v>15.31</v>
      </c>
      <c r="S270" s="131"/>
      <c r="T270" s="155"/>
      <c r="U270" s="131"/>
      <c r="V270" s="131">
        <f t="shared" si="5"/>
        <v>111</v>
      </c>
      <c r="W270">
        <v>55</v>
      </c>
      <c r="X270" s="151" t="s">
        <v>1644</v>
      </c>
      <c r="Y270" s="135" t="s">
        <v>55</v>
      </c>
      <c r="Z270" s="307">
        <v>180</v>
      </c>
      <c r="AB270" t="str">
        <f>IF(Table1[[#This Row],[TIPO2]]="costo", VLOOKUP(Table1[[#This Row],[PARTIDA PRESUPUESTAL]],'Cost Report'!G:G,1,0),"Balance")</f>
        <v>3629-003</v>
      </c>
      <c r="AC270" s="118"/>
      <c r="AD270" s="159">
        <f>+Table1[[#This Row],[SUBTOTAL]]+Table1[[#This Row],[IVA]]-Table1[[#This Row],[RET IVA]]-Table1[[#This Row],[RET ISR]]-Table1[[#This Row],[TOTAL]]</f>
        <v>0</v>
      </c>
      <c r="AE270" s="150"/>
      <c r="AF270" s="151"/>
      <c r="AG270" s="126" t="s">
        <v>3420</v>
      </c>
      <c r="AK270" s="306" t="str">
        <f>IF(ISNUMBER(Table1[[#This Row],[FECHA DE RECIBIDO]]), Table1[[#This Row],[FECHA DE RECIBIDO]]-DATE(2023,8,30), "")</f>
        <v/>
      </c>
    </row>
    <row r="271" spans="1:37" ht="16.05" customHeight="1">
      <c r="A271" s="152" t="s">
        <v>1900</v>
      </c>
      <c r="B271" s="153">
        <v>165</v>
      </c>
      <c r="C271" s="126" t="s">
        <v>2752</v>
      </c>
      <c r="D271">
        <v>208</v>
      </c>
      <c r="E271" s="126" t="s">
        <v>1990</v>
      </c>
      <c r="F271" s="125" t="s">
        <v>1607</v>
      </c>
      <c r="G271" s="125" t="s">
        <v>134</v>
      </c>
      <c r="H271">
        <v>41</v>
      </c>
      <c r="I271" s="125" t="s">
        <v>1546</v>
      </c>
      <c r="J271" s="308" t="s">
        <v>214</v>
      </c>
      <c r="K271" s="127" t="s">
        <v>1909</v>
      </c>
      <c r="L271" s="153" t="s">
        <v>1643</v>
      </c>
      <c r="M271">
        <v>101</v>
      </c>
      <c r="N271" s="123">
        <v>17</v>
      </c>
      <c r="O271">
        <v>222</v>
      </c>
      <c r="P271" s="132" t="s">
        <v>77</v>
      </c>
      <c r="Q271" s="132">
        <v>102.41</v>
      </c>
      <c r="R271" s="132">
        <v>11.59</v>
      </c>
      <c r="S271" s="132"/>
      <c r="T271" s="156"/>
      <c r="U271" s="132"/>
      <c r="V271" s="132">
        <f t="shared" si="5"/>
        <v>114</v>
      </c>
      <c r="W271">
        <v>55</v>
      </c>
      <c r="X271" s="153" t="s">
        <v>1644</v>
      </c>
      <c r="Y271" s="124" t="s">
        <v>55</v>
      </c>
      <c r="Z271" s="308">
        <v>180</v>
      </c>
      <c r="AB271" t="str">
        <f>IF(Table1[[#This Row],[TIPO2]]="costo", VLOOKUP(Table1[[#This Row],[PARTIDA PRESUPUESTAL]],'Cost Report'!G:G,1,0),"Balance")</f>
        <v>3401-014</v>
      </c>
      <c r="AC271" s="118"/>
      <c r="AD271" s="159">
        <f>+Table1[[#This Row],[SUBTOTAL]]+Table1[[#This Row],[IVA]]-Table1[[#This Row],[RET IVA]]-Table1[[#This Row],[RET ISR]]-Table1[[#This Row],[TOTAL]]</f>
        <v>0</v>
      </c>
      <c r="AE271" s="152"/>
      <c r="AF271" s="153"/>
      <c r="AG271" s="126" t="s">
        <v>3420</v>
      </c>
      <c r="AK271" s="306" t="str">
        <f>IF(ISNUMBER(Table1[[#This Row],[FECHA DE RECIBIDO]]), Table1[[#This Row],[FECHA DE RECIBIDO]]-DATE(2023,8,30), "")</f>
        <v/>
      </c>
    </row>
    <row r="272" spans="1:37" ht="16.05" customHeight="1">
      <c r="A272" s="150" t="s">
        <v>1900</v>
      </c>
      <c r="B272" s="151">
        <v>165</v>
      </c>
      <c r="C272" s="126" t="s">
        <v>2761</v>
      </c>
      <c r="D272">
        <v>209</v>
      </c>
      <c r="E272" s="126" t="s">
        <v>1991</v>
      </c>
      <c r="F272" s="122" t="s">
        <v>1607</v>
      </c>
      <c r="G272" s="122" t="s">
        <v>134</v>
      </c>
      <c r="H272">
        <v>78</v>
      </c>
      <c r="I272" s="122" t="s">
        <v>1546</v>
      </c>
      <c r="J272" s="307" t="s">
        <v>214</v>
      </c>
      <c r="K272" s="127" t="s">
        <v>1909</v>
      </c>
      <c r="L272" s="151" t="s">
        <v>1643</v>
      </c>
      <c r="M272">
        <v>102</v>
      </c>
      <c r="N272" s="123">
        <v>17</v>
      </c>
      <c r="O272">
        <v>223</v>
      </c>
      <c r="P272" s="132" t="s">
        <v>77</v>
      </c>
      <c r="Q272" s="131">
        <v>47.41</v>
      </c>
      <c r="R272" s="131">
        <v>7.59</v>
      </c>
      <c r="S272" s="131"/>
      <c r="T272" s="155"/>
      <c r="U272" s="131"/>
      <c r="V272" s="131">
        <f t="shared" si="5"/>
        <v>55</v>
      </c>
      <c r="W272">
        <v>55</v>
      </c>
      <c r="X272" s="151" t="s">
        <v>1644</v>
      </c>
      <c r="Y272" s="135" t="s">
        <v>55</v>
      </c>
      <c r="Z272" s="307">
        <v>180</v>
      </c>
      <c r="AB272" t="str">
        <f>IF(Table1[[#This Row],[TIPO2]]="costo", VLOOKUP(Table1[[#This Row],[PARTIDA PRESUPUESTAL]],'Cost Report'!G:G,1,0),"Balance")</f>
        <v>3401-025</v>
      </c>
      <c r="AC272" s="118"/>
      <c r="AD272" s="159">
        <f>+Table1[[#This Row],[SUBTOTAL]]+Table1[[#This Row],[IVA]]-Table1[[#This Row],[RET IVA]]-Table1[[#This Row],[RET ISR]]-Table1[[#This Row],[TOTAL]]</f>
        <v>0</v>
      </c>
      <c r="AE272" s="150"/>
      <c r="AF272" s="151"/>
      <c r="AG272" s="126" t="s">
        <v>3420</v>
      </c>
      <c r="AK272" s="306" t="str">
        <f>IF(ISNUMBER(Table1[[#This Row],[FECHA DE RECIBIDO]]), Table1[[#This Row],[FECHA DE RECIBIDO]]-DATE(2023,8,30), "")</f>
        <v/>
      </c>
    </row>
    <row r="273" spans="1:37" ht="16.05" customHeight="1">
      <c r="A273" s="152" t="s">
        <v>1900</v>
      </c>
      <c r="B273" s="153">
        <v>165</v>
      </c>
      <c r="C273" s="126" t="s">
        <v>2752</v>
      </c>
      <c r="D273">
        <v>210</v>
      </c>
      <c r="E273" s="126" t="s">
        <v>1596</v>
      </c>
      <c r="F273" s="125" t="s">
        <v>1607</v>
      </c>
      <c r="G273" s="125" t="s">
        <v>134</v>
      </c>
      <c r="H273">
        <v>79</v>
      </c>
      <c r="I273" s="125" t="s">
        <v>1546</v>
      </c>
      <c r="J273" s="308" t="s">
        <v>214</v>
      </c>
      <c r="K273" s="127" t="s">
        <v>1909</v>
      </c>
      <c r="L273" s="153" t="s">
        <v>1643</v>
      </c>
      <c r="M273">
        <v>103</v>
      </c>
      <c r="N273" s="123">
        <v>17</v>
      </c>
      <c r="O273">
        <v>224</v>
      </c>
      <c r="P273" s="132" t="s">
        <v>77</v>
      </c>
      <c r="Q273" s="132">
        <v>214.66</v>
      </c>
      <c r="R273" s="132">
        <v>34.340000000000003</v>
      </c>
      <c r="S273" s="132"/>
      <c r="T273" s="156"/>
      <c r="U273" s="132"/>
      <c r="V273" s="132">
        <f t="shared" si="5"/>
        <v>249</v>
      </c>
      <c r="W273">
        <v>55</v>
      </c>
      <c r="X273" s="153" t="s">
        <v>1644</v>
      </c>
      <c r="Y273" s="124" t="s">
        <v>55</v>
      </c>
      <c r="Z273" s="308">
        <v>180</v>
      </c>
      <c r="AB273" t="str">
        <f>IF(Table1[[#This Row],[TIPO2]]="costo", VLOOKUP(Table1[[#This Row],[PARTIDA PRESUPUESTAL]],'Cost Report'!G:G,1,0),"Balance")</f>
        <v>3401-014</v>
      </c>
      <c r="AC273" s="118"/>
      <c r="AD273" s="159">
        <f>+Table1[[#This Row],[SUBTOTAL]]+Table1[[#This Row],[IVA]]-Table1[[#This Row],[RET IVA]]-Table1[[#This Row],[RET ISR]]-Table1[[#This Row],[TOTAL]]</f>
        <v>0</v>
      </c>
      <c r="AE273" s="152"/>
      <c r="AF273" s="153"/>
      <c r="AG273" s="126" t="s">
        <v>3420</v>
      </c>
      <c r="AK273" s="306" t="str">
        <f>IF(ISNUMBER(Table1[[#This Row],[FECHA DE RECIBIDO]]), Table1[[#This Row],[FECHA DE RECIBIDO]]-DATE(2023,8,30), "")</f>
        <v/>
      </c>
    </row>
    <row r="274" spans="1:37" ht="16.05" customHeight="1">
      <c r="A274" s="150" t="s">
        <v>1900</v>
      </c>
      <c r="B274" s="151">
        <v>165</v>
      </c>
      <c r="C274" s="126" t="s">
        <v>2752</v>
      </c>
      <c r="D274">
        <v>211</v>
      </c>
      <c r="E274" s="126" t="s">
        <v>1596</v>
      </c>
      <c r="F274" s="122" t="s">
        <v>1607</v>
      </c>
      <c r="G274" s="122" t="s">
        <v>134</v>
      </c>
      <c r="H274">
        <v>79</v>
      </c>
      <c r="I274" s="122" t="s">
        <v>1546</v>
      </c>
      <c r="J274" s="307" t="s">
        <v>214</v>
      </c>
      <c r="K274" s="127" t="s">
        <v>1909</v>
      </c>
      <c r="L274" s="151" t="s">
        <v>1643</v>
      </c>
      <c r="M274">
        <v>103</v>
      </c>
      <c r="N274" s="123">
        <v>17</v>
      </c>
      <c r="O274">
        <v>225</v>
      </c>
      <c r="P274" s="132" t="s">
        <v>77</v>
      </c>
      <c r="Q274" s="131">
        <v>257.76</v>
      </c>
      <c r="R274" s="131">
        <v>41.24</v>
      </c>
      <c r="S274" s="131"/>
      <c r="T274" s="155"/>
      <c r="U274" s="131"/>
      <c r="V274" s="131">
        <f t="shared" si="5"/>
        <v>299</v>
      </c>
      <c r="W274">
        <v>55</v>
      </c>
      <c r="X274" s="151" t="s">
        <v>1644</v>
      </c>
      <c r="Y274" s="135" t="s">
        <v>55</v>
      </c>
      <c r="Z274" s="307">
        <v>180</v>
      </c>
      <c r="AB274" t="str">
        <f>IF(Table1[[#This Row],[TIPO2]]="costo", VLOOKUP(Table1[[#This Row],[PARTIDA PRESUPUESTAL]],'Cost Report'!G:G,1,0),"Balance")</f>
        <v>3401-014</v>
      </c>
      <c r="AC274" s="118"/>
      <c r="AD274" s="159">
        <f>+Table1[[#This Row],[SUBTOTAL]]+Table1[[#This Row],[IVA]]-Table1[[#This Row],[RET IVA]]-Table1[[#This Row],[RET ISR]]-Table1[[#This Row],[TOTAL]]</f>
        <v>0</v>
      </c>
      <c r="AE274" s="150"/>
      <c r="AF274" s="151"/>
      <c r="AG274" s="126" t="s">
        <v>3420</v>
      </c>
      <c r="AK274" s="306" t="str">
        <f>IF(ISNUMBER(Table1[[#This Row],[FECHA DE RECIBIDO]]), Table1[[#This Row],[FECHA DE RECIBIDO]]-DATE(2023,8,30), "")</f>
        <v/>
      </c>
    </row>
    <row r="275" spans="1:37" ht="16.05" customHeight="1">
      <c r="A275" s="152" t="s">
        <v>1900</v>
      </c>
      <c r="B275" s="153">
        <v>165</v>
      </c>
      <c r="C275" s="126" t="s">
        <v>2752</v>
      </c>
      <c r="D275">
        <v>212</v>
      </c>
      <c r="E275" s="126" t="s">
        <v>1985</v>
      </c>
      <c r="F275" s="125" t="s">
        <v>1607</v>
      </c>
      <c r="G275" s="125" t="s">
        <v>134</v>
      </c>
      <c r="H275">
        <v>56</v>
      </c>
      <c r="I275" s="125" t="s">
        <v>1546</v>
      </c>
      <c r="J275" s="308" t="s">
        <v>214</v>
      </c>
      <c r="K275" s="127" t="s">
        <v>1909</v>
      </c>
      <c r="L275" s="153" t="s">
        <v>1643</v>
      </c>
      <c r="M275">
        <v>78</v>
      </c>
      <c r="N275" s="123">
        <v>17</v>
      </c>
      <c r="O275">
        <v>226</v>
      </c>
      <c r="P275" s="132" t="s">
        <v>77</v>
      </c>
      <c r="Q275" s="132">
        <v>1303.1600000000001</v>
      </c>
      <c r="R275" s="132">
        <v>73.739999999999995</v>
      </c>
      <c r="S275" s="132"/>
      <c r="T275" s="156"/>
      <c r="U275" s="132"/>
      <c r="V275" s="132">
        <f t="shared" si="5"/>
        <v>1376.9</v>
      </c>
      <c r="W275">
        <v>55</v>
      </c>
      <c r="X275" s="153" t="s">
        <v>1644</v>
      </c>
      <c r="Y275" s="124" t="s">
        <v>55</v>
      </c>
      <c r="Z275" s="308">
        <v>180</v>
      </c>
      <c r="AB275" t="str">
        <f>IF(Table1[[#This Row],[TIPO2]]="costo", VLOOKUP(Table1[[#This Row],[PARTIDA PRESUPUESTAL]],'Cost Report'!G:G,1,0),"Balance")</f>
        <v>3401-014</v>
      </c>
      <c r="AC275" s="118"/>
      <c r="AD275" s="159">
        <f>+Table1[[#This Row],[SUBTOTAL]]+Table1[[#This Row],[IVA]]-Table1[[#This Row],[RET IVA]]-Table1[[#This Row],[RET ISR]]-Table1[[#This Row],[TOTAL]]</f>
        <v>0</v>
      </c>
      <c r="AE275" s="152"/>
      <c r="AF275" s="153"/>
      <c r="AG275" s="126" t="s">
        <v>3420</v>
      </c>
      <c r="AK275" s="306" t="str">
        <f>IF(ISNUMBER(Table1[[#This Row],[FECHA DE RECIBIDO]]), Table1[[#This Row],[FECHA DE RECIBIDO]]-DATE(2023,8,30), "")</f>
        <v/>
      </c>
    </row>
    <row r="276" spans="1:37" ht="16.05" customHeight="1">
      <c r="A276" s="150" t="s">
        <v>1900</v>
      </c>
      <c r="B276" s="151">
        <v>165</v>
      </c>
      <c r="C276" s="126" t="s">
        <v>2751</v>
      </c>
      <c r="D276">
        <v>213</v>
      </c>
      <c r="E276" s="126" t="s">
        <v>1985</v>
      </c>
      <c r="F276" s="122" t="s">
        <v>1607</v>
      </c>
      <c r="G276" s="122" t="s">
        <v>134</v>
      </c>
      <c r="H276">
        <v>47</v>
      </c>
      <c r="I276" s="122" t="s">
        <v>1546</v>
      </c>
      <c r="J276" s="307" t="s">
        <v>214</v>
      </c>
      <c r="K276" s="127" t="s">
        <v>1909</v>
      </c>
      <c r="L276" s="151" t="s">
        <v>1643</v>
      </c>
      <c r="M276">
        <v>97</v>
      </c>
      <c r="N276" s="123">
        <v>17</v>
      </c>
      <c r="O276">
        <v>216</v>
      </c>
      <c r="P276" s="132" t="s">
        <v>77</v>
      </c>
      <c r="Q276" s="131">
        <v>1081.9000000000001</v>
      </c>
      <c r="R276" s="131">
        <v>173.1</v>
      </c>
      <c r="S276" s="131"/>
      <c r="T276" s="155"/>
      <c r="U276" s="131"/>
      <c r="V276" s="131">
        <f t="shared" si="5"/>
        <v>1255</v>
      </c>
      <c r="W276">
        <v>55</v>
      </c>
      <c r="X276" s="151" t="s">
        <v>1644</v>
      </c>
      <c r="Y276" s="135" t="s">
        <v>55</v>
      </c>
      <c r="Z276" s="307">
        <v>181</v>
      </c>
      <c r="AB276" t="str">
        <f>IF(Table1[[#This Row],[TIPO2]]="costo", VLOOKUP(Table1[[#This Row],[PARTIDA PRESUPUESTAL]],'Cost Report'!G:G,1,0),"Balance")</f>
        <v>3401-013</v>
      </c>
      <c r="AC276" s="118"/>
      <c r="AD276" s="159">
        <f>+Table1[[#This Row],[SUBTOTAL]]+Table1[[#This Row],[IVA]]-Table1[[#This Row],[RET IVA]]-Table1[[#This Row],[RET ISR]]-Table1[[#This Row],[TOTAL]]</f>
        <v>0</v>
      </c>
      <c r="AE276" s="150"/>
      <c r="AF276" s="151"/>
      <c r="AG276" s="126" t="s">
        <v>3420</v>
      </c>
      <c r="AK276" s="306" t="str">
        <f>IF(ISNUMBER(Table1[[#This Row],[FECHA DE RECIBIDO]]), Table1[[#This Row],[FECHA DE RECIBIDO]]-DATE(2023,8,30), "")</f>
        <v/>
      </c>
    </row>
    <row r="277" spans="1:37" ht="16.05" customHeight="1">
      <c r="A277" s="152" t="s">
        <v>1900</v>
      </c>
      <c r="B277" s="153">
        <v>165</v>
      </c>
      <c r="C277" s="126" t="s">
        <v>2443</v>
      </c>
      <c r="D277">
        <v>214</v>
      </c>
      <c r="E277" s="126" t="s">
        <v>1647</v>
      </c>
      <c r="F277" s="125" t="s">
        <v>1382</v>
      </c>
      <c r="G277" s="125" t="s">
        <v>134</v>
      </c>
      <c r="H277">
        <v>31</v>
      </c>
      <c r="I277" s="125" t="s">
        <v>1546</v>
      </c>
      <c r="J277" s="308" t="s">
        <v>214</v>
      </c>
      <c r="K277" s="127" t="s">
        <v>1909</v>
      </c>
      <c r="L277" s="153" t="s">
        <v>1643</v>
      </c>
      <c r="M277">
        <v>69</v>
      </c>
      <c r="N277" s="123">
        <v>17</v>
      </c>
      <c r="O277">
        <v>227</v>
      </c>
      <c r="P277" s="132" t="s">
        <v>77</v>
      </c>
      <c r="Q277" s="132">
        <v>68.099999999999994</v>
      </c>
      <c r="R277" s="132">
        <v>10.9</v>
      </c>
      <c r="S277" s="132"/>
      <c r="T277" s="156"/>
      <c r="U277" s="132"/>
      <c r="V277" s="132">
        <f t="shared" si="5"/>
        <v>79</v>
      </c>
      <c r="W277">
        <v>55</v>
      </c>
      <c r="X277" s="153" t="s">
        <v>1644</v>
      </c>
      <c r="Y277" s="124" t="s">
        <v>55</v>
      </c>
      <c r="Z277" s="308">
        <v>181</v>
      </c>
      <c r="AB277" t="str">
        <f>IF(Table1[[#This Row],[TIPO2]]="costo", VLOOKUP(Table1[[#This Row],[PARTIDA PRESUPUESTAL]],'Cost Report'!G:G,1,0),"Balance")</f>
        <v>2080-003</v>
      </c>
      <c r="AC277" s="118"/>
      <c r="AD277" s="159">
        <f>+Table1[[#This Row],[SUBTOTAL]]+Table1[[#This Row],[IVA]]-Table1[[#This Row],[RET IVA]]-Table1[[#This Row],[RET ISR]]-Table1[[#This Row],[TOTAL]]</f>
        <v>0</v>
      </c>
      <c r="AE277" s="152"/>
      <c r="AF277" s="153"/>
      <c r="AG277" s="126" t="s">
        <v>3420</v>
      </c>
      <c r="AK277" s="306" t="str">
        <f>IF(ISNUMBER(Table1[[#This Row],[FECHA DE RECIBIDO]]), Table1[[#This Row],[FECHA DE RECIBIDO]]-DATE(2023,8,30), "")</f>
        <v/>
      </c>
    </row>
    <row r="278" spans="1:37" ht="16.05" customHeight="1">
      <c r="A278" s="150" t="s">
        <v>1900</v>
      </c>
      <c r="B278" s="151">
        <v>165</v>
      </c>
      <c r="C278" s="126" t="s">
        <v>2752</v>
      </c>
      <c r="D278">
        <v>215</v>
      </c>
      <c r="E278" s="126" t="s">
        <v>1992</v>
      </c>
      <c r="F278" s="122" t="s">
        <v>1589</v>
      </c>
      <c r="G278" s="122" t="s">
        <v>134</v>
      </c>
      <c r="H278">
        <v>80</v>
      </c>
      <c r="I278" s="122" t="s">
        <v>1546</v>
      </c>
      <c r="J278" s="307" t="s">
        <v>214</v>
      </c>
      <c r="K278" s="127" t="s">
        <v>1909</v>
      </c>
      <c r="L278" s="151" t="s">
        <v>1643</v>
      </c>
      <c r="M278">
        <v>104</v>
      </c>
      <c r="N278" s="123">
        <v>17</v>
      </c>
      <c r="O278">
        <v>228</v>
      </c>
      <c r="P278" s="132" t="s">
        <v>77</v>
      </c>
      <c r="Q278" s="131">
        <v>1745.69</v>
      </c>
      <c r="R278" s="131">
        <v>279.31</v>
      </c>
      <c r="S278" s="131"/>
      <c r="T278" s="155"/>
      <c r="U278" s="131"/>
      <c r="V278" s="131">
        <f t="shared" si="5"/>
        <v>2025</v>
      </c>
      <c r="W278">
        <v>55</v>
      </c>
      <c r="X278" s="151" t="s">
        <v>1644</v>
      </c>
      <c r="Y278" s="135" t="s">
        <v>55</v>
      </c>
      <c r="Z278" s="307">
        <v>182</v>
      </c>
      <c r="AB278" t="str">
        <f>IF(Table1[[#This Row],[TIPO2]]="costo", VLOOKUP(Table1[[#This Row],[PARTIDA PRESUPUESTAL]],'Cost Report'!G:G,1,0),"Balance")</f>
        <v>3401-014</v>
      </c>
      <c r="AC278" s="118"/>
      <c r="AD278" s="159">
        <f>+Table1[[#This Row],[SUBTOTAL]]+Table1[[#This Row],[IVA]]-Table1[[#This Row],[RET IVA]]-Table1[[#This Row],[RET ISR]]-Table1[[#This Row],[TOTAL]]</f>
        <v>0</v>
      </c>
      <c r="AE278" s="150"/>
      <c r="AF278" s="151"/>
      <c r="AG278" s="126" t="s">
        <v>3420</v>
      </c>
      <c r="AK278" s="306" t="str">
        <f>IF(ISNUMBER(Table1[[#This Row],[FECHA DE RECIBIDO]]), Table1[[#This Row],[FECHA DE RECIBIDO]]-DATE(2023,8,30), "")</f>
        <v/>
      </c>
    </row>
    <row r="279" spans="1:37" ht="16.05" customHeight="1">
      <c r="A279" s="152" t="s">
        <v>1900</v>
      </c>
      <c r="B279" s="153">
        <v>165</v>
      </c>
      <c r="C279" s="126" t="s">
        <v>2752</v>
      </c>
      <c r="D279">
        <v>216</v>
      </c>
      <c r="E279" s="126">
        <v>45129</v>
      </c>
      <c r="F279" s="125">
        <v>621</v>
      </c>
      <c r="G279" s="125" t="s">
        <v>134</v>
      </c>
      <c r="H279">
        <v>81</v>
      </c>
      <c r="I279" s="125" t="s">
        <v>1546</v>
      </c>
      <c r="J279" s="308">
        <v>183</v>
      </c>
      <c r="K279" s="127" t="s">
        <v>1909</v>
      </c>
      <c r="L279" s="153" t="s">
        <v>1643</v>
      </c>
      <c r="M279">
        <v>105</v>
      </c>
      <c r="N279" s="123">
        <v>17</v>
      </c>
      <c r="O279">
        <v>229</v>
      </c>
      <c r="P279" s="132" t="s">
        <v>77</v>
      </c>
      <c r="Q279" s="132">
        <v>3947.41</v>
      </c>
      <c r="R279" s="132">
        <v>631.59</v>
      </c>
      <c r="S279" s="132"/>
      <c r="T279" s="156"/>
      <c r="U279" s="132"/>
      <c r="V279" s="132">
        <f t="shared" si="5"/>
        <v>4579</v>
      </c>
      <c r="W279">
        <v>55</v>
      </c>
      <c r="X279" s="153" t="s">
        <v>1644</v>
      </c>
      <c r="Y279" s="124" t="s">
        <v>55</v>
      </c>
      <c r="Z279" s="308">
        <v>183</v>
      </c>
      <c r="AB279" t="str">
        <f>IF(Table1[[#This Row],[TIPO2]]="costo", VLOOKUP(Table1[[#This Row],[PARTIDA PRESUPUESTAL]],'Cost Report'!G:G,1,0),"Balance")</f>
        <v>3401-014</v>
      </c>
      <c r="AC279" s="118"/>
      <c r="AD279" s="159">
        <f>+Table1[[#This Row],[SUBTOTAL]]+Table1[[#This Row],[IVA]]-Table1[[#This Row],[RET IVA]]-Table1[[#This Row],[RET ISR]]-Table1[[#This Row],[TOTAL]]</f>
        <v>0</v>
      </c>
      <c r="AE279" s="152"/>
      <c r="AF279" s="153"/>
      <c r="AG279" s="126" t="s">
        <v>3420</v>
      </c>
      <c r="AK279" s="306">
        <f>IF(ISNUMBER(Table1[[#This Row],[FECHA DE RECIBIDO]]), Table1[[#This Row],[FECHA DE RECIBIDO]]-DATE(2023,8,30), "")</f>
        <v>-44985</v>
      </c>
    </row>
    <row r="280" spans="1:37" ht="16.05" customHeight="1">
      <c r="A280" s="150" t="s">
        <v>1900</v>
      </c>
      <c r="B280" s="151">
        <v>165</v>
      </c>
      <c r="C280" s="126" t="s">
        <v>2752</v>
      </c>
      <c r="D280"/>
      <c r="E280" s="126"/>
      <c r="F280" s="122"/>
      <c r="G280" s="122"/>
      <c r="H280"/>
      <c r="I280" s="122"/>
      <c r="J280" s="307">
        <v>175</v>
      </c>
      <c r="K280" s="127" t="s">
        <v>1909</v>
      </c>
      <c r="L280" s="151" t="s">
        <v>1643</v>
      </c>
      <c r="M280">
        <v>22</v>
      </c>
      <c r="N280" s="123">
        <v>17</v>
      </c>
      <c r="O280">
        <v>230</v>
      </c>
      <c r="P280" s="132" t="s">
        <v>77</v>
      </c>
      <c r="Q280" s="131">
        <v>300</v>
      </c>
      <c r="R280" s="131"/>
      <c r="S280" s="131"/>
      <c r="T280" s="155"/>
      <c r="U280" s="131"/>
      <c r="V280" s="131">
        <f t="shared" si="5"/>
        <v>300</v>
      </c>
      <c r="W280">
        <v>55</v>
      </c>
      <c r="X280" s="151" t="s">
        <v>1644</v>
      </c>
      <c r="Y280" s="135" t="s">
        <v>55</v>
      </c>
      <c r="Z280" s="307">
        <v>175</v>
      </c>
      <c r="AB280" t="str">
        <f>IF(Table1[[#This Row],[TIPO2]]="costo", VLOOKUP(Table1[[#This Row],[PARTIDA PRESUPUESTAL]],'Cost Report'!G:G,1,0),"Balance")</f>
        <v>3401-014</v>
      </c>
      <c r="AC280" s="118"/>
      <c r="AD280" s="159">
        <f>+Table1[[#This Row],[SUBTOTAL]]+Table1[[#This Row],[IVA]]-Table1[[#This Row],[RET IVA]]-Table1[[#This Row],[RET ISR]]-Table1[[#This Row],[TOTAL]]</f>
        <v>0</v>
      </c>
      <c r="AE280" s="150"/>
      <c r="AF280" s="151"/>
      <c r="AG280" s="126" t="s">
        <v>3420</v>
      </c>
      <c r="AK280" s="306">
        <f>IF(ISNUMBER(Table1[[#This Row],[FECHA DE RECIBIDO]]), Table1[[#This Row],[FECHA DE RECIBIDO]]-DATE(2023,8,30), "")</f>
        <v>-44993</v>
      </c>
    </row>
    <row r="281" spans="1:37" ht="16.05" customHeight="1">
      <c r="A281" s="152" t="s">
        <v>1900</v>
      </c>
      <c r="B281" s="153">
        <v>165</v>
      </c>
      <c r="C281" s="126" t="s">
        <v>2750</v>
      </c>
      <c r="D281"/>
      <c r="E281" s="126"/>
      <c r="F281" s="125"/>
      <c r="G281" s="125"/>
      <c r="H281"/>
      <c r="I281" s="125"/>
      <c r="J281" s="308">
        <v>176</v>
      </c>
      <c r="K281" s="127" t="s">
        <v>1909</v>
      </c>
      <c r="L281" s="153" t="s">
        <v>1643</v>
      </c>
      <c r="M281">
        <v>106</v>
      </c>
      <c r="N281" s="123">
        <v>17</v>
      </c>
      <c r="O281">
        <v>231</v>
      </c>
      <c r="P281" s="132" t="s">
        <v>77</v>
      </c>
      <c r="Q281" s="132">
        <v>550</v>
      </c>
      <c r="R281" s="132"/>
      <c r="S281" s="132"/>
      <c r="T281" s="156"/>
      <c r="U281" s="132"/>
      <c r="V281" s="132">
        <f t="shared" si="5"/>
        <v>550</v>
      </c>
      <c r="W281">
        <v>55</v>
      </c>
      <c r="X281" s="153" t="s">
        <v>1644</v>
      </c>
      <c r="Y281" s="124" t="s">
        <v>55</v>
      </c>
      <c r="Z281" s="308">
        <v>176</v>
      </c>
      <c r="AB281" t="str">
        <f>IF(Table1[[#This Row],[TIPO2]]="costo", VLOOKUP(Table1[[#This Row],[PARTIDA PRESUPUESTAL]],'Cost Report'!G:G,1,0),"Balance")</f>
        <v>3401-012</v>
      </c>
      <c r="AC281" s="118"/>
      <c r="AD281" s="159">
        <f>+Table1[[#This Row],[SUBTOTAL]]+Table1[[#This Row],[IVA]]-Table1[[#This Row],[RET IVA]]-Table1[[#This Row],[RET ISR]]-Table1[[#This Row],[TOTAL]]</f>
        <v>0</v>
      </c>
      <c r="AE281" s="152"/>
      <c r="AF281" s="153"/>
      <c r="AG281" s="126" t="s">
        <v>3420</v>
      </c>
      <c r="AK281" s="306">
        <f>IF(ISNUMBER(Table1[[#This Row],[FECHA DE RECIBIDO]]), Table1[[#This Row],[FECHA DE RECIBIDO]]-DATE(2023,8,30), "")</f>
        <v>-44992</v>
      </c>
    </row>
    <row r="282" spans="1:37" ht="16.05" customHeight="1">
      <c r="A282" s="150" t="s">
        <v>1900</v>
      </c>
      <c r="B282" s="151">
        <v>165</v>
      </c>
      <c r="C282" s="126" t="s">
        <v>2760</v>
      </c>
      <c r="D282"/>
      <c r="E282" s="126"/>
      <c r="F282" s="122"/>
      <c r="G282" s="122"/>
      <c r="H282"/>
      <c r="I282" s="122"/>
      <c r="J282" s="307">
        <v>177</v>
      </c>
      <c r="K282" s="127" t="s">
        <v>1909</v>
      </c>
      <c r="L282" s="151" t="s">
        <v>1643</v>
      </c>
      <c r="M282">
        <v>107</v>
      </c>
      <c r="N282" s="123">
        <v>17</v>
      </c>
      <c r="O282">
        <v>232</v>
      </c>
      <c r="P282" s="132" t="s">
        <v>77</v>
      </c>
      <c r="Q282" s="131">
        <v>200</v>
      </c>
      <c r="R282" s="131"/>
      <c r="S282" s="131"/>
      <c r="T282" s="155"/>
      <c r="U282" s="131"/>
      <c r="V282" s="131">
        <f t="shared" ref="V282:V304" si="6">+Q282+R282-T282-U282</f>
        <v>200</v>
      </c>
      <c r="W282">
        <v>55</v>
      </c>
      <c r="X282" s="151" t="s">
        <v>1644</v>
      </c>
      <c r="Y282" s="135" t="s">
        <v>55</v>
      </c>
      <c r="Z282" s="307">
        <v>177</v>
      </c>
      <c r="AB282" t="str">
        <f>IF(Table1[[#This Row],[TIPO2]]="costo", VLOOKUP(Table1[[#This Row],[PARTIDA PRESUPUESTAL]],'Cost Report'!G:G,1,0),"Balance")</f>
        <v>3401-024</v>
      </c>
      <c r="AC282" s="118"/>
      <c r="AD282" s="159">
        <f>+Table1[[#This Row],[SUBTOTAL]]+Table1[[#This Row],[IVA]]-Table1[[#This Row],[RET IVA]]-Table1[[#This Row],[RET ISR]]-Table1[[#This Row],[TOTAL]]</f>
        <v>0</v>
      </c>
      <c r="AE282" s="150"/>
      <c r="AF282" s="151"/>
      <c r="AG282" s="126" t="s">
        <v>3420</v>
      </c>
      <c r="AK282" s="306">
        <f>IF(ISNUMBER(Table1[[#This Row],[FECHA DE RECIBIDO]]), Table1[[#This Row],[FECHA DE RECIBIDO]]-DATE(2023,8,30), "")</f>
        <v>-44991</v>
      </c>
    </row>
    <row r="283" spans="1:37" ht="16.05" customHeight="1">
      <c r="A283" s="152" t="s">
        <v>1900</v>
      </c>
      <c r="B283" s="153">
        <v>165</v>
      </c>
      <c r="C283" s="126" t="s">
        <v>2760</v>
      </c>
      <c r="D283"/>
      <c r="E283" s="126"/>
      <c r="F283" s="125"/>
      <c r="G283" s="125"/>
      <c r="H283"/>
      <c r="I283" s="125"/>
      <c r="J283" s="308">
        <v>177</v>
      </c>
      <c r="K283" s="127" t="s">
        <v>1909</v>
      </c>
      <c r="L283" s="153" t="s">
        <v>1643</v>
      </c>
      <c r="M283">
        <v>107</v>
      </c>
      <c r="N283" s="123">
        <v>17</v>
      </c>
      <c r="O283">
        <v>233</v>
      </c>
      <c r="P283" s="132" t="s">
        <v>77</v>
      </c>
      <c r="Q283" s="132">
        <v>2500</v>
      </c>
      <c r="R283" s="132"/>
      <c r="S283" s="132"/>
      <c r="T283" s="156"/>
      <c r="U283" s="132"/>
      <c r="V283" s="132">
        <f t="shared" si="6"/>
        <v>2500</v>
      </c>
      <c r="W283">
        <v>55</v>
      </c>
      <c r="X283" s="153" t="s">
        <v>1644</v>
      </c>
      <c r="Y283" s="124" t="s">
        <v>55</v>
      </c>
      <c r="Z283" s="308">
        <v>177</v>
      </c>
      <c r="AB283" t="str">
        <f>IF(Table1[[#This Row],[TIPO2]]="costo", VLOOKUP(Table1[[#This Row],[PARTIDA PRESUPUESTAL]],'Cost Report'!G:G,1,0),"Balance")</f>
        <v>3401-024</v>
      </c>
      <c r="AC283" s="118"/>
      <c r="AD283" s="159">
        <f>+Table1[[#This Row],[SUBTOTAL]]+Table1[[#This Row],[IVA]]-Table1[[#This Row],[RET IVA]]-Table1[[#This Row],[RET ISR]]-Table1[[#This Row],[TOTAL]]</f>
        <v>0</v>
      </c>
      <c r="AE283" s="152"/>
      <c r="AF283" s="153"/>
      <c r="AG283" s="126" t="s">
        <v>3420</v>
      </c>
      <c r="AK283" s="306">
        <f>IF(ISNUMBER(Table1[[#This Row],[FECHA DE RECIBIDO]]), Table1[[#This Row],[FECHA DE RECIBIDO]]-DATE(2023,8,30), "")</f>
        <v>-44991</v>
      </c>
    </row>
    <row r="284" spans="1:37" ht="16.05" customHeight="1">
      <c r="A284" s="150" t="s">
        <v>1900</v>
      </c>
      <c r="B284" s="151">
        <v>165</v>
      </c>
      <c r="C284" s="126" t="s">
        <v>2750</v>
      </c>
      <c r="D284"/>
      <c r="E284" s="126"/>
      <c r="F284" s="122"/>
      <c r="G284" s="122"/>
      <c r="H284"/>
      <c r="I284" s="122"/>
      <c r="J284" s="307">
        <v>177</v>
      </c>
      <c r="K284" s="127" t="s">
        <v>1909</v>
      </c>
      <c r="L284" s="151" t="s">
        <v>1643</v>
      </c>
      <c r="M284">
        <v>108</v>
      </c>
      <c r="N284" s="123">
        <v>17</v>
      </c>
      <c r="O284">
        <v>231</v>
      </c>
      <c r="P284" s="132" t="s">
        <v>77</v>
      </c>
      <c r="Q284" s="131">
        <v>480</v>
      </c>
      <c r="R284" s="131"/>
      <c r="S284" s="131"/>
      <c r="T284" s="155"/>
      <c r="U284" s="131"/>
      <c r="V284" s="131">
        <f t="shared" si="6"/>
        <v>480</v>
      </c>
      <c r="W284">
        <v>55</v>
      </c>
      <c r="X284" s="151" t="s">
        <v>1644</v>
      </c>
      <c r="Y284" s="135" t="s">
        <v>55</v>
      </c>
      <c r="Z284" s="307">
        <v>177</v>
      </c>
      <c r="AB284" t="str">
        <f>IF(Table1[[#This Row],[TIPO2]]="costo", VLOOKUP(Table1[[#This Row],[PARTIDA PRESUPUESTAL]],'Cost Report'!G:G,1,0),"Balance")</f>
        <v>3401-012</v>
      </c>
      <c r="AC284" s="118"/>
      <c r="AD284" s="159">
        <f>+Table1[[#This Row],[SUBTOTAL]]+Table1[[#This Row],[IVA]]-Table1[[#This Row],[RET IVA]]-Table1[[#This Row],[RET ISR]]-Table1[[#This Row],[TOTAL]]</f>
        <v>0</v>
      </c>
      <c r="AE284" s="150"/>
      <c r="AF284" s="151"/>
      <c r="AG284" s="126" t="s">
        <v>3420</v>
      </c>
      <c r="AK284" s="306">
        <f>IF(ISNUMBER(Table1[[#This Row],[FECHA DE RECIBIDO]]), Table1[[#This Row],[FECHA DE RECIBIDO]]-DATE(2023,8,30), "")</f>
        <v>-44991</v>
      </c>
    </row>
    <row r="285" spans="1:37" ht="16.05" customHeight="1">
      <c r="A285" s="152" t="s">
        <v>1900</v>
      </c>
      <c r="B285" s="153">
        <v>165</v>
      </c>
      <c r="C285" s="126" t="s">
        <v>2750</v>
      </c>
      <c r="D285"/>
      <c r="E285" s="126"/>
      <c r="F285" s="125"/>
      <c r="G285" s="125"/>
      <c r="H285"/>
      <c r="I285" s="125"/>
      <c r="J285" s="308">
        <v>177</v>
      </c>
      <c r="K285" s="127" t="s">
        <v>1909</v>
      </c>
      <c r="L285" s="153" t="s">
        <v>1643</v>
      </c>
      <c r="M285">
        <v>109</v>
      </c>
      <c r="N285" s="123">
        <v>17</v>
      </c>
      <c r="O285">
        <v>234</v>
      </c>
      <c r="P285" s="132" t="s">
        <v>77</v>
      </c>
      <c r="Q285" s="132">
        <v>282</v>
      </c>
      <c r="R285" s="132"/>
      <c r="S285" s="132"/>
      <c r="T285" s="156"/>
      <c r="U285" s="132"/>
      <c r="V285" s="132">
        <f t="shared" si="6"/>
        <v>282</v>
      </c>
      <c r="W285">
        <v>55</v>
      </c>
      <c r="X285" s="153" t="s">
        <v>1644</v>
      </c>
      <c r="Y285" s="124" t="s">
        <v>55</v>
      </c>
      <c r="Z285" s="308">
        <v>177</v>
      </c>
      <c r="AB285" t="str">
        <f>IF(Table1[[#This Row],[TIPO2]]="costo", VLOOKUP(Table1[[#This Row],[PARTIDA PRESUPUESTAL]],'Cost Report'!G:G,1,0),"Balance")</f>
        <v>3401-012</v>
      </c>
      <c r="AC285" s="118"/>
      <c r="AD285" s="159">
        <f>+Table1[[#This Row],[SUBTOTAL]]+Table1[[#This Row],[IVA]]-Table1[[#This Row],[RET IVA]]-Table1[[#This Row],[RET ISR]]-Table1[[#This Row],[TOTAL]]</f>
        <v>0</v>
      </c>
      <c r="AE285" s="152"/>
      <c r="AF285" s="153"/>
      <c r="AG285" s="126" t="s">
        <v>3420</v>
      </c>
      <c r="AK285" s="306">
        <f>IF(ISNUMBER(Table1[[#This Row],[FECHA DE RECIBIDO]]), Table1[[#This Row],[FECHA DE RECIBIDO]]-DATE(2023,8,30), "")</f>
        <v>-44991</v>
      </c>
    </row>
    <row r="286" spans="1:37" ht="16.05" customHeight="1">
      <c r="A286" s="150" t="s">
        <v>1900</v>
      </c>
      <c r="B286" s="151">
        <v>165</v>
      </c>
      <c r="C286" s="126" t="s">
        <v>2750</v>
      </c>
      <c r="D286"/>
      <c r="E286" s="126"/>
      <c r="F286" s="122"/>
      <c r="G286" s="122"/>
      <c r="H286"/>
      <c r="I286" s="122"/>
      <c r="J286" s="307">
        <v>178</v>
      </c>
      <c r="K286" s="127" t="s">
        <v>1909</v>
      </c>
      <c r="L286" s="151" t="s">
        <v>1643</v>
      </c>
      <c r="M286">
        <v>109</v>
      </c>
      <c r="N286" s="123">
        <v>17</v>
      </c>
      <c r="O286">
        <v>234</v>
      </c>
      <c r="P286" s="132" t="s">
        <v>77</v>
      </c>
      <c r="Q286" s="131">
        <v>188.25</v>
      </c>
      <c r="R286" s="131"/>
      <c r="S286" s="131"/>
      <c r="T286" s="155"/>
      <c r="U286" s="131"/>
      <c r="V286" s="131">
        <f t="shared" si="6"/>
        <v>188.25</v>
      </c>
      <c r="W286">
        <v>55</v>
      </c>
      <c r="X286" s="151" t="s">
        <v>1644</v>
      </c>
      <c r="Y286" s="135" t="s">
        <v>55</v>
      </c>
      <c r="Z286" s="307">
        <v>178</v>
      </c>
      <c r="AB286" t="str">
        <f>IF(Table1[[#This Row],[TIPO2]]="costo", VLOOKUP(Table1[[#This Row],[PARTIDA PRESUPUESTAL]],'Cost Report'!G:G,1,0),"Balance")</f>
        <v>3401-012</v>
      </c>
      <c r="AC286" s="118"/>
      <c r="AD286" s="159">
        <f>+Table1[[#This Row],[SUBTOTAL]]+Table1[[#This Row],[IVA]]-Table1[[#This Row],[RET IVA]]-Table1[[#This Row],[RET ISR]]-Table1[[#This Row],[TOTAL]]</f>
        <v>0</v>
      </c>
      <c r="AE286" s="150"/>
      <c r="AF286" s="151"/>
      <c r="AG286" s="126" t="s">
        <v>3420</v>
      </c>
      <c r="AK286" s="306">
        <f>IF(ISNUMBER(Table1[[#This Row],[FECHA DE RECIBIDO]]), Table1[[#This Row],[FECHA DE RECIBIDO]]-DATE(2023,8,30), "")</f>
        <v>-44990</v>
      </c>
    </row>
    <row r="287" spans="1:37" ht="16.05" customHeight="1">
      <c r="A287" s="152" t="s">
        <v>1900</v>
      </c>
      <c r="B287" s="153">
        <v>165</v>
      </c>
      <c r="C287" s="126" t="s">
        <v>2750</v>
      </c>
      <c r="D287"/>
      <c r="E287" s="126"/>
      <c r="F287" s="125"/>
      <c r="G287" s="125"/>
      <c r="H287"/>
      <c r="I287" s="125"/>
      <c r="J287" s="308">
        <v>178</v>
      </c>
      <c r="K287" s="127" t="s">
        <v>1909</v>
      </c>
      <c r="L287" s="153" t="s">
        <v>1643</v>
      </c>
      <c r="M287">
        <v>109</v>
      </c>
      <c r="N287" s="123">
        <v>17</v>
      </c>
      <c r="O287">
        <v>234</v>
      </c>
      <c r="P287" s="132" t="s">
        <v>77</v>
      </c>
      <c r="Q287" s="132">
        <v>287.25</v>
      </c>
      <c r="R287" s="132"/>
      <c r="S287" s="132"/>
      <c r="T287" s="156"/>
      <c r="U287" s="132"/>
      <c r="V287" s="132">
        <f t="shared" si="6"/>
        <v>287.25</v>
      </c>
      <c r="W287">
        <v>55</v>
      </c>
      <c r="X287" s="153" t="s">
        <v>1644</v>
      </c>
      <c r="Y287" s="124" t="s">
        <v>55</v>
      </c>
      <c r="Z287" s="308">
        <v>178</v>
      </c>
      <c r="AB287" t="str">
        <f>IF(Table1[[#This Row],[TIPO2]]="costo", VLOOKUP(Table1[[#This Row],[PARTIDA PRESUPUESTAL]],'Cost Report'!G:G,1,0),"Balance")</f>
        <v>3401-012</v>
      </c>
      <c r="AC287" s="118"/>
      <c r="AD287" s="159">
        <f>+Table1[[#This Row],[SUBTOTAL]]+Table1[[#This Row],[IVA]]-Table1[[#This Row],[RET IVA]]-Table1[[#This Row],[RET ISR]]-Table1[[#This Row],[TOTAL]]</f>
        <v>0</v>
      </c>
      <c r="AE287" s="152"/>
      <c r="AF287" s="153"/>
      <c r="AG287" s="126" t="s">
        <v>3420</v>
      </c>
      <c r="AK287" s="306">
        <f>IF(ISNUMBER(Table1[[#This Row],[FECHA DE RECIBIDO]]), Table1[[#This Row],[FECHA DE RECIBIDO]]-DATE(2023,8,30), "")</f>
        <v>-44990</v>
      </c>
    </row>
    <row r="288" spans="1:37" ht="16.05" customHeight="1">
      <c r="A288" s="150" t="s">
        <v>1902</v>
      </c>
      <c r="B288" s="151">
        <v>166</v>
      </c>
      <c r="C288" s="126" t="s">
        <v>3415</v>
      </c>
      <c r="D288">
        <v>217</v>
      </c>
      <c r="E288" s="126" t="s">
        <v>1623</v>
      </c>
      <c r="F288" s="122" t="s">
        <v>1607</v>
      </c>
      <c r="G288" s="122" t="s">
        <v>134</v>
      </c>
      <c r="H288">
        <v>45</v>
      </c>
      <c r="I288" s="122" t="s">
        <v>1546</v>
      </c>
      <c r="J288" s="307" t="s">
        <v>214</v>
      </c>
      <c r="K288" s="127" t="s">
        <v>1909</v>
      </c>
      <c r="L288" s="151" t="s">
        <v>1643</v>
      </c>
      <c r="M288">
        <v>56</v>
      </c>
      <c r="N288" s="123">
        <v>17</v>
      </c>
      <c r="O288">
        <v>235</v>
      </c>
      <c r="P288" s="132" t="s">
        <v>77</v>
      </c>
      <c r="Q288" s="131">
        <v>1465.52</v>
      </c>
      <c r="R288" s="131">
        <v>234.48</v>
      </c>
      <c r="S288" s="131"/>
      <c r="T288" s="155"/>
      <c r="U288" s="131"/>
      <c r="V288" s="131">
        <f t="shared" si="6"/>
        <v>1700</v>
      </c>
      <c r="W288">
        <v>38</v>
      </c>
      <c r="X288" s="151" t="s">
        <v>1644</v>
      </c>
      <c r="Y288" s="135" t="s">
        <v>55</v>
      </c>
      <c r="Z288" s="307">
        <v>-192</v>
      </c>
      <c r="AB288" t="str">
        <f>IF(Table1[[#This Row],[TIPO2]]="costo", VLOOKUP(Table1[[#This Row],[PARTIDA PRESUPUESTAL]],'Cost Report'!G:G,1,0),"Balance")</f>
        <v>3629-006</v>
      </c>
      <c r="AC288" s="118"/>
      <c r="AD288" s="159">
        <f>+Table1[[#This Row],[SUBTOTAL]]+Table1[[#This Row],[IVA]]-Table1[[#This Row],[RET IVA]]-Table1[[#This Row],[RET ISR]]-Table1[[#This Row],[TOTAL]]</f>
        <v>0</v>
      </c>
      <c r="AE288" s="150"/>
      <c r="AF288" s="151"/>
      <c r="AG288" s="126" t="s">
        <v>3420</v>
      </c>
      <c r="AK288" s="306" t="str">
        <f>IF(ISNUMBER(Table1[[#This Row],[FECHA DE RECIBIDO]]), Table1[[#This Row],[FECHA DE RECIBIDO]]-DATE(2023,8,30), "")</f>
        <v/>
      </c>
    </row>
    <row r="289" spans="1:37" ht="16.05" customHeight="1">
      <c r="A289" s="152" t="s">
        <v>1902</v>
      </c>
      <c r="B289" s="153">
        <v>166</v>
      </c>
      <c r="C289" s="126" t="s">
        <v>938</v>
      </c>
      <c r="D289">
        <v>218</v>
      </c>
      <c r="E289" s="126" t="s">
        <v>1613</v>
      </c>
      <c r="F289" s="125" t="s">
        <v>1607</v>
      </c>
      <c r="G289" s="125" t="s">
        <v>134</v>
      </c>
      <c r="H289">
        <v>82</v>
      </c>
      <c r="I289" s="125" t="s">
        <v>1546</v>
      </c>
      <c r="J289" s="308" t="s">
        <v>214</v>
      </c>
      <c r="K289" s="127" t="s">
        <v>1909</v>
      </c>
      <c r="L289" s="153" t="s">
        <v>1643</v>
      </c>
      <c r="M289">
        <v>110</v>
      </c>
      <c r="N289" s="123">
        <v>17</v>
      </c>
      <c r="O289">
        <v>236</v>
      </c>
      <c r="P289" s="132" t="s">
        <v>77</v>
      </c>
      <c r="Q289" s="132">
        <v>2013.45</v>
      </c>
      <c r="R289" s="132">
        <v>382.55</v>
      </c>
      <c r="S289" s="132"/>
      <c r="T289" s="156"/>
      <c r="U289" s="132"/>
      <c r="V289" s="132">
        <f t="shared" si="6"/>
        <v>2396</v>
      </c>
      <c r="W289">
        <v>38</v>
      </c>
      <c r="X289" s="153" t="s">
        <v>1644</v>
      </c>
      <c r="Y289" s="124" t="s">
        <v>55</v>
      </c>
      <c r="Z289" s="308">
        <v>178</v>
      </c>
      <c r="AB289" t="str">
        <f>IF(Table1[[#This Row],[TIPO2]]="costo", VLOOKUP(Table1[[#This Row],[PARTIDA PRESUPUESTAL]],'Cost Report'!G:G,1,0),"Balance")</f>
        <v>3401-005</v>
      </c>
      <c r="AC289" s="118"/>
      <c r="AD289" s="159">
        <f>+Table1[[#This Row],[SUBTOTAL]]+Table1[[#This Row],[IVA]]-Table1[[#This Row],[RET IVA]]-Table1[[#This Row],[RET ISR]]-Table1[[#This Row],[TOTAL]]</f>
        <v>0</v>
      </c>
      <c r="AE289" s="152"/>
      <c r="AF289" s="153"/>
      <c r="AG289" s="126" t="s">
        <v>3420</v>
      </c>
      <c r="AK289" s="306" t="str">
        <f>IF(ISNUMBER(Table1[[#This Row],[FECHA DE RECIBIDO]]), Table1[[#This Row],[FECHA DE RECIBIDO]]-DATE(2023,8,30), "")</f>
        <v/>
      </c>
    </row>
    <row r="290" spans="1:37" ht="16.05" customHeight="1">
      <c r="A290" s="150" t="s">
        <v>1902</v>
      </c>
      <c r="B290" s="151">
        <v>166</v>
      </c>
      <c r="C290" s="126" t="s">
        <v>2873</v>
      </c>
      <c r="D290">
        <v>219</v>
      </c>
      <c r="E290" s="126" t="s">
        <v>1613</v>
      </c>
      <c r="F290" s="122" t="s">
        <v>1607</v>
      </c>
      <c r="G290" s="122" t="s">
        <v>134</v>
      </c>
      <c r="H290">
        <v>83</v>
      </c>
      <c r="I290" s="122" t="s">
        <v>1546</v>
      </c>
      <c r="J290" s="307" t="s">
        <v>214</v>
      </c>
      <c r="K290" s="127" t="s">
        <v>1909</v>
      </c>
      <c r="L290" s="151" t="s">
        <v>1643</v>
      </c>
      <c r="M290">
        <v>111</v>
      </c>
      <c r="N290" s="123">
        <v>17</v>
      </c>
      <c r="O290">
        <v>237</v>
      </c>
      <c r="P290" s="132" t="s">
        <v>77</v>
      </c>
      <c r="Q290" s="131">
        <v>1403.12</v>
      </c>
      <c r="R290" s="131">
        <v>217.98</v>
      </c>
      <c r="S290" s="131"/>
      <c r="T290" s="155"/>
      <c r="U290" s="131"/>
      <c r="V290" s="131">
        <f t="shared" si="6"/>
        <v>1621.1</v>
      </c>
      <c r="W290">
        <v>38</v>
      </c>
      <c r="X290" s="151" t="s">
        <v>1644</v>
      </c>
      <c r="Y290" s="135" t="s">
        <v>55</v>
      </c>
      <c r="Z290" s="307">
        <v>181</v>
      </c>
      <c r="AB290" t="str">
        <f>IF(Table1[[#This Row],[TIPO2]]="costo", VLOOKUP(Table1[[#This Row],[PARTIDA PRESUPUESTAL]],'Cost Report'!G:G,1,0),"Balance")</f>
        <v>3632-018</v>
      </c>
      <c r="AC290" s="118"/>
      <c r="AD290" s="159">
        <f>+Table1[[#This Row],[SUBTOTAL]]+Table1[[#This Row],[IVA]]-Table1[[#This Row],[RET IVA]]-Table1[[#This Row],[RET ISR]]-Table1[[#This Row],[TOTAL]]</f>
        <v>0</v>
      </c>
      <c r="AE290" s="150"/>
      <c r="AF290" s="151"/>
      <c r="AG290" s="126" t="s">
        <v>3420</v>
      </c>
      <c r="AK290" s="306" t="str">
        <f>IF(ISNUMBER(Table1[[#This Row],[FECHA DE RECIBIDO]]), Table1[[#This Row],[FECHA DE RECIBIDO]]-DATE(2023,8,30), "")</f>
        <v/>
      </c>
    </row>
    <row r="291" spans="1:37" ht="16.05" customHeight="1">
      <c r="A291" s="152" t="s">
        <v>1902</v>
      </c>
      <c r="B291" s="153">
        <v>166</v>
      </c>
      <c r="C291" s="126" t="s">
        <v>615</v>
      </c>
      <c r="D291"/>
      <c r="E291" s="126"/>
      <c r="F291" s="125"/>
      <c r="G291" s="125"/>
      <c r="H291"/>
      <c r="I291" s="125"/>
      <c r="J291" s="308">
        <v>168</v>
      </c>
      <c r="K291" s="127" t="s">
        <v>1909</v>
      </c>
      <c r="L291" s="153" t="s">
        <v>1643</v>
      </c>
      <c r="M291">
        <v>112</v>
      </c>
      <c r="N291" s="123">
        <v>17</v>
      </c>
      <c r="O291">
        <v>238</v>
      </c>
      <c r="P291" s="132" t="s">
        <v>77</v>
      </c>
      <c r="Q291" s="132">
        <v>1084.5999999999999</v>
      </c>
      <c r="R291" s="132"/>
      <c r="S291" s="132"/>
      <c r="T291" s="156"/>
      <c r="U291" s="132"/>
      <c r="V291" s="132">
        <f t="shared" si="6"/>
        <v>1084.5999999999999</v>
      </c>
      <c r="W291">
        <v>38</v>
      </c>
      <c r="X291" s="153" t="s">
        <v>1644</v>
      </c>
      <c r="Y291" s="124" t="s">
        <v>55</v>
      </c>
      <c r="Z291" s="308">
        <v>168</v>
      </c>
      <c r="AB291" t="str">
        <f>IF(Table1[[#This Row],[TIPO2]]="costo", VLOOKUP(Table1[[#This Row],[PARTIDA PRESUPUESTAL]],'Cost Report'!G:G,1,0),"Balance")</f>
        <v>2495-003</v>
      </c>
      <c r="AC291" s="118"/>
      <c r="AD291" s="159">
        <f>+Table1[[#This Row],[SUBTOTAL]]+Table1[[#This Row],[IVA]]-Table1[[#This Row],[RET IVA]]-Table1[[#This Row],[RET ISR]]-Table1[[#This Row],[TOTAL]]</f>
        <v>0</v>
      </c>
      <c r="AE291" s="152"/>
      <c r="AF291" s="153"/>
      <c r="AG291" s="126" t="s">
        <v>3420</v>
      </c>
      <c r="AK291" s="306">
        <f>IF(ISNUMBER(Table1[[#This Row],[FECHA DE RECIBIDO]]), Table1[[#This Row],[FECHA DE RECIBIDO]]-DATE(2023,8,30), "")</f>
        <v>-45000</v>
      </c>
    </row>
    <row r="292" spans="1:37" ht="16.05" customHeight="1">
      <c r="A292" s="150" t="s">
        <v>1902</v>
      </c>
      <c r="B292" s="151">
        <v>166</v>
      </c>
      <c r="C292" s="126" t="s">
        <v>2760</v>
      </c>
      <c r="D292"/>
      <c r="E292" s="126"/>
      <c r="F292" s="122"/>
      <c r="G292" s="122"/>
      <c r="H292"/>
      <c r="I292" s="122"/>
      <c r="J292" s="307">
        <v>173</v>
      </c>
      <c r="K292" s="127" t="s">
        <v>1909</v>
      </c>
      <c r="L292" s="151" t="s">
        <v>1643</v>
      </c>
      <c r="M292">
        <v>107</v>
      </c>
      <c r="N292" s="123">
        <v>17</v>
      </c>
      <c r="O292">
        <v>239</v>
      </c>
      <c r="P292" s="132" t="s">
        <v>77</v>
      </c>
      <c r="Q292" s="131">
        <v>2600</v>
      </c>
      <c r="R292" s="131"/>
      <c r="S292" s="131"/>
      <c r="T292" s="155"/>
      <c r="U292" s="131"/>
      <c r="V292" s="131">
        <f t="shared" si="6"/>
        <v>2600</v>
      </c>
      <c r="W292">
        <v>38</v>
      </c>
      <c r="X292" s="151" t="s">
        <v>1644</v>
      </c>
      <c r="Y292" s="135" t="s">
        <v>55</v>
      </c>
      <c r="Z292" s="307">
        <v>173</v>
      </c>
      <c r="AB292" t="str">
        <f>IF(Table1[[#This Row],[TIPO2]]="costo", VLOOKUP(Table1[[#This Row],[PARTIDA PRESUPUESTAL]],'Cost Report'!G:G,1,0),"Balance")</f>
        <v>3401-024</v>
      </c>
      <c r="AC292" s="118"/>
      <c r="AD292" s="159">
        <f>+Table1[[#This Row],[SUBTOTAL]]+Table1[[#This Row],[IVA]]-Table1[[#This Row],[RET IVA]]-Table1[[#This Row],[RET ISR]]-Table1[[#This Row],[TOTAL]]</f>
        <v>0</v>
      </c>
      <c r="AE292" s="150"/>
      <c r="AF292" s="151"/>
      <c r="AG292" s="126" t="s">
        <v>3420</v>
      </c>
      <c r="AK292" s="306">
        <f>IF(ISNUMBER(Table1[[#This Row],[FECHA DE RECIBIDO]]), Table1[[#This Row],[FECHA DE RECIBIDO]]-DATE(2023,8,30), "")</f>
        <v>-44995</v>
      </c>
    </row>
    <row r="293" spans="1:37" ht="16.05" customHeight="1">
      <c r="A293" s="152"/>
      <c r="B293" s="153"/>
      <c r="C293" s="126" t="s">
        <v>71</v>
      </c>
      <c r="D293"/>
      <c r="E293" s="126"/>
      <c r="F293" s="125"/>
      <c r="G293" s="125"/>
      <c r="H293"/>
      <c r="I293" s="125"/>
      <c r="J293" s="308" t="s">
        <v>214</v>
      </c>
      <c r="K293" s="127" t="s">
        <v>1909</v>
      </c>
      <c r="L293" s="153" t="s">
        <v>1643</v>
      </c>
      <c r="M293">
        <v>113</v>
      </c>
      <c r="N293" s="123"/>
      <c r="O293">
        <v>240</v>
      </c>
      <c r="P293" s="131" t="s">
        <v>78</v>
      </c>
      <c r="Q293" s="132">
        <v>-59674.61</v>
      </c>
      <c r="R293" s="132"/>
      <c r="S293" s="132"/>
      <c r="T293" s="156"/>
      <c r="U293" s="132"/>
      <c r="V293" s="132">
        <f>+Table1[[#This Row],[SUBTOTAL]]+Table1[[#This Row],[IVA]]-Table1[[#This Row],[RET IVA]]-Table1[[#This Row],[RET ISR]]</f>
        <v>-59674.61</v>
      </c>
      <c r="W293"/>
      <c r="X293" s="153"/>
      <c r="Y293" s="124" t="s">
        <v>55</v>
      </c>
      <c r="Z293" s="308" t="s">
        <v>214</v>
      </c>
      <c r="AB293" t="str">
        <f>IF(Table1[[#This Row],[TIPO2]]="costo", VLOOKUP(Table1[[#This Row],[PARTIDA PRESUPUESTAL]],'Cost Report'!G:G,1,0),"Balance")</f>
        <v>Balance</v>
      </c>
      <c r="AC293" s="118"/>
      <c r="AD293" s="159">
        <f>+Table1[[#This Row],[SUBTOTAL]]+Table1[[#This Row],[IVA]]-Table1[[#This Row],[RET IVA]]-Table1[[#This Row],[RET ISR]]-Table1[[#This Row],[TOTAL]]</f>
        <v>0</v>
      </c>
      <c r="AE293" s="152"/>
      <c r="AF293" s="153"/>
      <c r="AG293" s="126" t="s">
        <v>3420</v>
      </c>
      <c r="AK293" s="306" t="str">
        <f>IF(ISNUMBER(Table1[[#This Row],[FECHA DE RECIBIDO]]), Table1[[#This Row],[FECHA DE RECIBIDO]]-DATE(2023,8,30), "")</f>
        <v/>
      </c>
    </row>
    <row r="294" spans="1:37" ht="16.05" customHeight="1">
      <c r="A294" s="150" t="s">
        <v>1903</v>
      </c>
      <c r="B294" s="151">
        <v>167</v>
      </c>
      <c r="C294" s="126" t="s">
        <v>71</v>
      </c>
      <c r="D294">
        <v>220</v>
      </c>
      <c r="E294" s="126" t="s">
        <v>1604</v>
      </c>
      <c r="F294" s="122">
        <v>601</v>
      </c>
      <c r="G294" s="122" t="s">
        <v>134</v>
      </c>
      <c r="H294">
        <v>48</v>
      </c>
      <c r="I294" s="122" t="s">
        <v>1546</v>
      </c>
      <c r="J294" s="307">
        <v>188</v>
      </c>
      <c r="K294" s="127" t="s">
        <v>1909</v>
      </c>
      <c r="L294" s="151" t="s">
        <v>1483</v>
      </c>
      <c r="M294">
        <v>60</v>
      </c>
      <c r="N294" s="123">
        <v>17</v>
      </c>
      <c r="O294">
        <v>241</v>
      </c>
      <c r="P294" s="131" t="s">
        <v>78</v>
      </c>
      <c r="Q294" s="131">
        <v>430000</v>
      </c>
      <c r="R294" s="131"/>
      <c r="S294" s="131"/>
      <c r="T294" s="155"/>
      <c r="U294" s="131"/>
      <c r="V294" s="131">
        <f t="shared" si="6"/>
        <v>430000</v>
      </c>
      <c r="W294">
        <v>37</v>
      </c>
      <c r="X294" s="151" t="s">
        <v>1639</v>
      </c>
      <c r="Y294" s="135" t="s">
        <v>55</v>
      </c>
      <c r="Z294" s="307">
        <v>188</v>
      </c>
      <c r="AB294" t="str">
        <f>IF(Table1[[#This Row],[TIPO2]]="costo", VLOOKUP(Table1[[#This Row],[PARTIDA PRESUPUESTAL]],'Cost Report'!G:G,1,0),"Balance")</f>
        <v>Balance</v>
      </c>
      <c r="AC294" s="118"/>
      <c r="AD294" s="159">
        <f>+Table1[[#This Row],[SUBTOTAL]]+Table1[[#This Row],[IVA]]-Table1[[#This Row],[RET IVA]]-Table1[[#This Row],[RET ISR]]-Table1[[#This Row],[TOTAL]]</f>
        <v>0</v>
      </c>
      <c r="AE294" s="150"/>
      <c r="AF294" s="151"/>
      <c r="AG294" s="126"/>
      <c r="AK294" s="306">
        <f>IF(ISNUMBER(Table1[[#This Row],[FECHA DE RECIBIDO]]), Table1[[#This Row],[FECHA DE RECIBIDO]]-DATE(2023,8,30), "")</f>
        <v>-44980</v>
      </c>
    </row>
    <row r="295" spans="1:37" ht="16.05" customHeight="1">
      <c r="A295" s="152" t="s">
        <v>1904</v>
      </c>
      <c r="B295" s="153">
        <v>168</v>
      </c>
      <c r="C295" s="126" t="s">
        <v>1153</v>
      </c>
      <c r="D295">
        <v>221</v>
      </c>
      <c r="E295" s="126">
        <v>44520</v>
      </c>
      <c r="F295" s="125">
        <v>601</v>
      </c>
      <c r="G295" s="125" t="s">
        <v>134</v>
      </c>
      <c r="H295">
        <v>47</v>
      </c>
      <c r="I295" s="125" t="s">
        <v>1546</v>
      </c>
      <c r="J295" s="308">
        <v>185.4084722222251</v>
      </c>
      <c r="K295" s="127" t="s">
        <v>1909</v>
      </c>
      <c r="L295" s="153" t="s">
        <v>118</v>
      </c>
      <c r="M295">
        <v>97</v>
      </c>
      <c r="N295" s="123">
        <v>1</v>
      </c>
      <c r="O295">
        <v>242</v>
      </c>
      <c r="P295" s="132" t="s">
        <v>77</v>
      </c>
      <c r="Q295" s="132">
        <v>3529.41</v>
      </c>
      <c r="R295" s="132">
        <v>564.71</v>
      </c>
      <c r="S295" s="132">
        <v>0</v>
      </c>
      <c r="T295" s="156">
        <v>0</v>
      </c>
      <c r="U295" s="132">
        <v>0</v>
      </c>
      <c r="V295" s="132">
        <v>4094.12</v>
      </c>
      <c r="W295">
        <v>36</v>
      </c>
      <c r="X295" s="153" t="s">
        <v>195</v>
      </c>
      <c r="Y295" s="124" t="s">
        <v>55</v>
      </c>
      <c r="Z295" s="308">
        <v>191</v>
      </c>
      <c r="AB295" t="str">
        <f>IF(Table1[[#This Row],[TIPO2]]="costo", VLOOKUP(Table1[[#This Row],[PARTIDA PRESUPUESTAL]],'Cost Report'!G:G,1,0),"Balance")</f>
        <v>3902-025</v>
      </c>
      <c r="AC295" s="118"/>
      <c r="AD295" s="159">
        <f>+Table1[[#This Row],[SUBTOTAL]]+Table1[[#This Row],[IVA]]-Table1[[#This Row],[RET IVA]]-Table1[[#This Row],[RET ISR]]-Table1[[#This Row],[TOTAL]]</f>
        <v>0</v>
      </c>
      <c r="AE295" s="152"/>
      <c r="AF295" s="153"/>
      <c r="AG295" s="126"/>
      <c r="AK295" s="306">
        <f>IF(ISNUMBER(Table1[[#This Row],[FECHA DE RECIBIDO]]), Table1[[#This Row],[FECHA DE RECIBIDO]]-DATE(2023,8,30), "")</f>
        <v>-44982.591527777775</v>
      </c>
    </row>
    <row r="296" spans="1:37" ht="16.05" customHeight="1">
      <c r="A296" s="150"/>
      <c r="B296" s="151"/>
      <c r="C296" s="126" t="s">
        <v>1417</v>
      </c>
      <c r="D296">
        <v>221</v>
      </c>
      <c r="E296" s="126">
        <v>44520</v>
      </c>
      <c r="F296" s="122">
        <v>601</v>
      </c>
      <c r="G296" s="122" t="s">
        <v>134</v>
      </c>
      <c r="H296">
        <v>47</v>
      </c>
      <c r="I296" s="122" t="s">
        <v>1546</v>
      </c>
      <c r="J296" s="307">
        <v>185.4084722222251</v>
      </c>
      <c r="K296" s="127" t="s">
        <v>1909</v>
      </c>
      <c r="L296" s="151" t="s">
        <v>118</v>
      </c>
      <c r="M296">
        <v>97</v>
      </c>
      <c r="N296" s="123">
        <v>1</v>
      </c>
      <c r="O296">
        <v>242</v>
      </c>
      <c r="P296" s="132" t="s">
        <v>77</v>
      </c>
      <c r="Q296" s="131">
        <v>105.88</v>
      </c>
      <c r="R296" s="131">
        <v>0</v>
      </c>
      <c r="S296" s="131">
        <v>0</v>
      </c>
      <c r="T296" s="155">
        <v>0</v>
      </c>
      <c r="U296" s="131">
        <v>0</v>
      </c>
      <c r="V296" s="131">
        <v>105.88</v>
      </c>
      <c r="W296">
        <v>36</v>
      </c>
      <c r="X296" s="151" t="s">
        <v>195</v>
      </c>
      <c r="Y296" s="135" t="s">
        <v>55</v>
      </c>
      <c r="Z296" s="307">
        <v>191</v>
      </c>
      <c r="AB296" t="str">
        <f>IF(Table1[[#This Row],[TIPO2]]="costo", VLOOKUP(Table1[[#This Row],[PARTIDA PRESUPUESTAL]],'Cost Report'!G:G,1,0),"Balance")</f>
        <v>3999-001</v>
      </c>
      <c r="AC296" s="118"/>
      <c r="AD296" s="159">
        <f>+Table1[[#This Row],[SUBTOTAL]]+Table1[[#This Row],[IVA]]-Table1[[#This Row],[RET IVA]]-Table1[[#This Row],[RET ISR]]-Table1[[#This Row],[TOTAL]]</f>
        <v>0</v>
      </c>
      <c r="AE296" s="150"/>
      <c r="AF296" s="151"/>
      <c r="AG296" s="126"/>
      <c r="AK296" s="306">
        <f>IF(ISNUMBER(Table1[[#This Row],[FECHA DE RECIBIDO]]), Table1[[#This Row],[FECHA DE RECIBIDO]]-DATE(2023,8,30), "")</f>
        <v>-44982.591527777775</v>
      </c>
    </row>
    <row r="297" spans="1:37" ht="16.05" customHeight="1">
      <c r="A297" s="152" t="s">
        <v>1905</v>
      </c>
      <c r="B297" s="153">
        <v>169</v>
      </c>
      <c r="C297" s="126" t="s">
        <v>970</v>
      </c>
      <c r="D297">
        <v>222</v>
      </c>
      <c r="E297" s="126">
        <v>45110</v>
      </c>
      <c r="F297" s="125">
        <v>601</v>
      </c>
      <c r="G297" s="125" t="s">
        <v>134</v>
      </c>
      <c r="H297">
        <v>84</v>
      </c>
      <c r="I297" s="125" t="s">
        <v>1546</v>
      </c>
      <c r="J297" s="308">
        <v>188.44277777777461</v>
      </c>
      <c r="K297" s="127" t="s">
        <v>1909</v>
      </c>
      <c r="L297" s="153" t="s">
        <v>118</v>
      </c>
      <c r="M297">
        <v>114</v>
      </c>
      <c r="N297" s="123">
        <v>1</v>
      </c>
      <c r="O297">
        <v>243</v>
      </c>
      <c r="P297" s="132" t="s">
        <v>77</v>
      </c>
      <c r="Q297" s="132">
        <v>170916.83</v>
      </c>
      <c r="R297" s="132">
        <v>27346.69</v>
      </c>
      <c r="S297" s="132">
        <v>0</v>
      </c>
      <c r="T297" s="156">
        <v>0</v>
      </c>
      <c r="U297" s="132">
        <v>0</v>
      </c>
      <c r="V297" s="132">
        <f t="shared" si="6"/>
        <v>198263.52</v>
      </c>
      <c r="W297">
        <v>56</v>
      </c>
      <c r="X297" s="153" t="s">
        <v>1701</v>
      </c>
      <c r="Y297" s="124" t="s">
        <v>55</v>
      </c>
      <c r="Z297" s="308">
        <v>191</v>
      </c>
      <c r="AB297" t="str">
        <f>IF(Table1[[#This Row],[TIPO2]]="costo", VLOOKUP(Table1[[#This Row],[PARTIDA PRESUPUESTAL]],'Cost Report'!G:G,1,0),"Balance")</f>
        <v>3410-003</v>
      </c>
      <c r="AC297" s="118"/>
      <c r="AD297" s="159">
        <f>+Table1[[#This Row],[SUBTOTAL]]+Table1[[#This Row],[IVA]]-Table1[[#This Row],[RET IVA]]-Table1[[#This Row],[RET ISR]]-Table1[[#This Row],[TOTAL]]</f>
        <v>0</v>
      </c>
      <c r="AE297" s="152"/>
      <c r="AF297" s="153"/>
      <c r="AG297" s="126"/>
      <c r="AK297" s="306">
        <f>IF(ISNUMBER(Table1[[#This Row],[FECHA DE RECIBIDO]]), Table1[[#This Row],[FECHA DE RECIBIDO]]-DATE(2023,8,30), "")</f>
        <v>-44979.557222222225</v>
      </c>
    </row>
    <row r="298" spans="1:37" ht="16.05" customHeight="1">
      <c r="A298" s="150"/>
      <c r="B298" s="151"/>
      <c r="C298" s="126" t="s">
        <v>971</v>
      </c>
      <c r="D298">
        <v>222</v>
      </c>
      <c r="E298" s="126">
        <v>45110</v>
      </c>
      <c r="F298" s="122">
        <v>601</v>
      </c>
      <c r="G298" s="122" t="s">
        <v>134</v>
      </c>
      <c r="H298">
        <v>84</v>
      </c>
      <c r="I298" s="122" t="s">
        <v>1546</v>
      </c>
      <c r="J298" s="307">
        <v>188.44277777777461</v>
      </c>
      <c r="K298" s="127" t="s">
        <v>1909</v>
      </c>
      <c r="L298" s="151" t="s">
        <v>118</v>
      </c>
      <c r="M298">
        <v>114</v>
      </c>
      <c r="N298" s="123">
        <v>1</v>
      </c>
      <c r="O298">
        <v>243</v>
      </c>
      <c r="P298" s="132" t="s">
        <v>77</v>
      </c>
      <c r="Q298" s="131">
        <v>82040.08</v>
      </c>
      <c r="R298" s="131">
        <v>13126.41</v>
      </c>
      <c r="S298" s="131">
        <v>0</v>
      </c>
      <c r="T298" s="155">
        <v>0</v>
      </c>
      <c r="U298" s="131">
        <v>0</v>
      </c>
      <c r="V298" s="131">
        <f t="shared" si="6"/>
        <v>95166.49</v>
      </c>
      <c r="W298">
        <v>56</v>
      </c>
      <c r="X298" s="151" t="s">
        <v>1701</v>
      </c>
      <c r="Y298" s="135" t="s">
        <v>55</v>
      </c>
      <c r="Z298" s="307">
        <v>191</v>
      </c>
      <c r="AB298" t="str">
        <f>IF(Table1[[#This Row],[TIPO2]]="costo", VLOOKUP(Table1[[#This Row],[PARTIDA PRESUPUESTAL]],'Cost Report'!G:G,1,0),"Balance")</f>
        <v>3410-004</v>
      </c>
      <c r="AC298" s="118"/>
      <c r="AD298" s="159">
        <f>+Table1[[#This Row],[SUBTOTAL]]+Table1[[#This Row],[IVA]]-Table1[[#This Row],[RET IVA]]-Table1[[#This Row],[RET ISR]]-Table1[[#This Row],[TOTAL]]</f>
        <v>0</v>
      </c>
      <c r="AE298" s="150"/>
      <c r="AF298" s="151"/>
      <c r="AG298" s="126"/>
      <c r="AK298" s="306">
        <f>IF(ISNUMBER(Table1[[#This Row],[FECHA DE RECIBIDO]]), Table1[[#This Row],[FECHA DE RECIBIDO]]-DATE(2023,8,30), "")</f>
        <v>-44979.557222222225</v>
      </c>
    </row>
    <row r="299" spans="1:37" ht="16.05" customHeight="1">
      <c r="A299" s="152"/>
      <c r="B299" s="153"/>
      <c r="C299" s="126" t="s">
        <v>972</v>
      </c>
      <c r="D299">
        <v>222</v>
      </c>
      <c r="E299" s="126">
        <v>45110</v>
      </c>
      <c r="F299" s="125">
        <v>601</v>
      </c>
      <c r="G299" s="125" t="s">
        <v>134</v>
      </c>
      <c r="H299">
        <v>84</v>
      </c>
      <c r="I299" s="125" t="s">
        <v>1546</v>
      </c>
      <c r="J299" s="308">
        <v>188.44277777777461</v>
      </c>
      <c r="K299" s="127" t="s">
        <v>1909</v>
      </c>
      <c r="L299" s="153" t="s">
        <v>118</v>
      </c>
      <c r="M299">
        <v>114</v>
      </c>
      <c r="N299" s="123">
        <v>1</v>
      </c>
      <c r="O299">
        <v>243</v>
      </c>
      <c r="P299" s="132" t="s">
        <v>77</v>
      </c>
      <c r="Q299" s="132">
        <v>259793.58</v>
      </c>
      <c r="R299" s="132">
        <v>41566.97</v>
      </c>
      <c r="S299" s="132">
        <v>0</v>
      </c>
      <c r="T299" s="156">
        <v>0</v>
      </c>
      <c r="U299" s="132">
        <v>0</v>
      </c>
      <c r="V299" s="132">
        <f t="shared" si="6"/>
        <v>301360.55</v>
      </c>
      <c r="W299">
        <v>56</v>
      </c>
      <c r="X299" s="153" t="s">
        <v>1701</v>
      </c>
      <c r="Y299" s="124" t="s">
        <v>55</v>
      </c>
      <c r="Z299" s="308">
        <v>191</v>
      </c>
      <c r="AB299" t="str">
        <f>IF(Table1[[#This Row],[TIPO2]]="costo", VLOOKUP(Table1[[#This Row],[PARTIDA PRESUPUESTAL]],'Cost Report'!G:G,1,0),"Balance")</f>
        <v>3410-005</v>
      </c>
      <c r="AC299" s="118"/>
      <c r="AD299" s="159">
        <f>+Table1[[#This Row],[SUBTOTAL]]+Table1[[#This Row],[IVA]]-Table1[[#This Row],[RET IVA]]-Table1[[#This Row],[RET ISR]]-Table1[[#This Row],[TOTAL]]</f>
        <v>0</v>
      </c>
      <c r="AE299" s="152"/>
      <c r="AF299" s="153"/>
      <c r="AG299" s="126"/>
      <c r="AK299" s="306">
        <f>IF(ISNUMBER(Table1[[#This Row],[FECHA DE RECIBIDO]]), Table1[[#This Row],[FECHA DE RECIBIDO]]-DATE(2023,8,30), "")</f>
        <v>-44979.557222222225</v>
      </c>
    </row>
    <row r="300" spans="1:37" ht="16.05" customHeight="1">
      <c r="A300" s="150"/>
      <c r="B300" s="151"/>
      <c r="C300" s="126" t="s">
        <v>973</v>
      </c>
      <c r="D300">
        <v>222</v>
      </c>
      <c r="E300" s="126">
        <v>45110</v>
      </c>
      <c r="F300" s="122">
        <v>601</v>
      </c>
      <c r="G300" s="122" t="s">
        <v>134</v>
      </c>
      <c r="H300">
        <v>84</v>
      </c>
      <c r="I300" s="122" t="s">
        <v>1546</v>
      </c>
      <c r="J300" s="307">
        <v>188.44277777777461</v>
      </c>
      <c r="K300" s="127" t="s">
        <v>1909</v>
      </c>
      <c r="L300" s="151" t="s">
        <v>118</v>
      </c>
      <c r="M300">
        <v>114</v>
      </c>
      <c r="N300" s="123">
        <v>1</v>
      </c>
      <c r="O300">
        <v>243</v>
      </c>
      <c r="P300" s="132" t="s">
        <v>77</v>
      </c>
      <c r="Q300" s="131">
        <v>123060.12</v>
      </c>
      <c r="R300" s="131">
        <v>19689.62</v>
      </c>
      <c r="S300" s="131">
        <v>0</v>
      </c>
      <c r="T300" s="155">
        <v>0</v>
      </c>
      <c r="U300" s="131">
        <v>0</v>
      </c>
      <c r="V300" s="131">
        <f t="shared" si="6"/>
        <v>142749.74</v>
      </c>
      <c r="W300">
        <v>56</v>
      </c>
      <c r="X300" s="151" t="s">
        <v>1701</v>
      </c>
      <c r="Y300" s="135" t="s">
        <v>55</v>
      </c>
      <c r="Z300" s="307">
        <v>191</v>
      </c>
      <c r="AB300" t="str">
        <f>IF(Table1[[#This Row],[TIPO2]]="costo", VLOOKUP(Table1[[#This Row],[PARTIDA PRESUPUESTAL]],'Cost Report'!G:G,1,0),"Balance")</f>
        <v>3410-006</v>
      </c>
      <c r="AC300" s="118"/>
      <c r="AD300" s="159">
        <f>+Table1[[#This Row],[SUBTOTAL]]+Table1[[#This Row],[IVA]]-Table1[[#This Row],[RET IVA]]-Table1[[#This Row],[RET ISR]]-Table1[[#This Row],[TOTAL]]</f>
        <v>0</v>
      </c>
      <c r="AE300" s="150"/>
      <c r="AF300" s="151"/>
      <c r="AG300" s="126"/>
      <c r="AK300" s="306">
        <f>IF(ISNUMBER(Table1[[#This Row],[FECHA DE RECIBIDO]]), Table1[[#This Row],[FECHA DE RECIBIDO]]-DATE(2023,8,30), "")</f>
        <v>-44979.557222222225</v>
      </c>
    </row>
    <row r="301" spans="1:37" ht="16.05" customHeight="1">
      <c r="A301" s="152"/>
      <c r="B301" s="153"/>
      <c r="C301" s="126" t="s">
        <v>974</v>
      </c>
      <c r="D301">
        <v>222</v>
      </c>
      <c r="E301" s="126">
        <v>45110</v>
      </c>
      <c r="F301" s="125">
        <v>601</v>
      </c>
      <c r="G301" s="125" t="s">
        <v>134</v>
      </c>
      <c r="H301">
        <v>84</v>
      </c>
      <c r="I301" s="125" t="s">
        <v>1546</v>
      </c>
      <c r="J301" s="308">
        <v>188.44277777777461</v>
      </c>
      <c r="K301" s="127" t="s">
        <v>1909</v>
      </c>
      <c r="L301" s="153" t="s">
        <v>118</v>
      </c>
      <c r="M301">
        <v>114</v>
      </c>
      <c r="N301" s="123">
        <v>1</v>
      </c>
      <c r="O301">
        <v>243</v>
      </c>
      <c r="P301" s="132" t="s">
        <v>77</v>
      </c>
      <c r="Q301" s="132">
        <v>123060.12</v>
      </c>
      <c r="R301" s="132">
        <v>19689.62</v>
      </c>
      <c r="S301" s="132">
        <v>0</v>
      </c>
      <c r="T301" s="156">
        <v>0</v>
      </c>
      <c r="U301" s="132">
        <v>0</v>
      </c>
      <c r="V301" s="132">
        <f t="shared" si="6"/>
        <v>142749.74</v>
      </c>
      <c r="W301">
        <v>56</v>
      </c>
      <c r="X301" s="153" t="s">
        <v>1701</v>
      </c>
      <c r="Y301" s="124" t="s">
        <v>55</v>
      </c>
      <c r="Z301" s="308">
        <v>191</v>
      </c>
      <c r="AB301" t="str">
        <f>IF(Table1[[#This Row],[TIPO2]]="costo", VLOOKUP(Table1[[#This Row],[PARTIDA PRESUPUESTAL]],'Cost Report'!G:G,1,0),"Balance")</f>
        <v>3410-007</v>
      </c>
      <c r="AC301" s="118"/>
      <c r="AD301" s="159">
        <f>+Table1[[#This Row],[SUBTOTAL]]+Table1[[#This Row],[IVA]]-Table1[[#This Row],[RET IVA]]-Table1[[#This Row],[RET ISR]]-Table1[[#This Row],[TOTAL]]</f>
        <v>0</v>
      </c>
      <c r="AE301" s="152"/>
      <c r="AF301" s="153"/>
      <c r="AG301" s="126"/>
      <c r="AK301" s="306">
        <f>IF(ISNUMBER(Table1[[#This Row],[FECHA DE RECIBIDO]]), Table1[[#This Row],[FECHA DE RECIBIDO]]-DATE(2023,8,30), "")</f>
        <v>-44979.557222222225</v>
      </c>
    </row>
    <row r="302" spans="1:37" ht="16.05" customHeight="1">
      <c r="A302" s="150"/>
      <c r="B302" s="151"/>
      <c r="C302" s="126" t="s">
        <v>972</v>
      </c>
      <c r="D302">
        <v>222</v>
      </c>
      <c r="E302" s="126">
        <v>45110</v>
      </c>
      <c r="F302" s="122">
        <v>601</v>
      </c>
      <c r="G302" s="122" t="s">
        <v>134</v>
      </c>
      <c r="H302">
        <v>84</v>
      </c>
      <c r="I302" s="122" t="s">
        <v>1546</v>
      </c>
      <c r="J302" s="307">
        <v>188.44277777777461</v>
      </c>
      <c r="K302" s="127" t="s">
        <v>1909</v>
      </c>
      <c r="L302" s="151" t="s">
        <v>118</v>
      </c>
      <c r="M302">
        <v>114</v>
      </c>
      <c r="N302" s="123">
        <v>1</v>
      </c>
      <c r="O302">
        <v>243</v>
      </c>
      <c r="P302" s="132" t="s">
        <v>77</v>
      </c>
      <c r="Q302" s="131">
        <v>27061.83</v>
      </c>
      <c r="R302" s="131">
        <v>4329.8900000000003</v>
      </c>
      <c r="S302" s="131">
        <v>0</v>
      </c>
      <c r="T302" s="155">
        <v>0</v>
      </c>
      <c r="U302" s="131">
        <v>0</v>
      </c>
      <c r="V302" s="131">
        <f t="shared" si="6"/>
        <v>31391.72</v>
      </c>
      <c r="W302">
        <v>56</v>
      </c>
      <c r="X302" s="151" t="s">
        <v>1701</v>
      </c>
      <c r="Y302" s="135" t="s">
        <v>55</v>
      </c>
      <c r="Z302" s="307">
        <v>191</v>
      </c>
      <c r="AB302" t="str">
        <f>IF(Table1[[#This Row],[TIPO2]]="costo", VLOOKUP(Table1[[#This Row],[PARTIDA PRESUPUESTAL]],'Cost Report'!G:G,1,0),"Balance")</f>
        <v>3410-005</v>
      </c>
      <c r="AC302" s="118"/>
      <c r="AD302" s="159">
        <f>+Table1[[#This Row],[SUBTOTAL]]+Table1[[#This Row],[IVA]]-Table1[[#This Row],[RET IVA]]-Table1[[#This Row],[RET ISR]]-Table1[[#This Row],[TOTAL]]</f>
        <v>0</v>
      </c>
      <c r="AE302" s="150"/>
      <c r="AF302" s="151"/>
      <c r="AG302" s="126"/>
      <c r="AK302" s="306">
        <f>IF(ISNUMBER(Table1[[#This Row],[FECHA DE RECIBIDO]]), Table1[[#This Row],[FECHA DE RECIBIDO]]-DATE(2023,8,30), "")</f>
        <v>-44979.557222222225</v>
      </c>
    </row>
    <row r="303" spans="1:37" ht="16.05" customHeight="1">
      <c r="A303" s="152"/>
      <c r="B303" s="153"/>
      <c r="C303" s="126" t="s">
        <v>2790</v>
      </c>
      <c r="D303">
        <v>222</v>
      </c>
      <c r="E303" s="126">
        <v>45110</v>
      </c>
      <c r="F303" s="125">
        <v>601</v>
      </c>
      <c r="G303" s="125" t="s">
        <v>134</v>
      </c>
      <c r="H303">
        <v>84</v>
      </c>
      <c r="I303" s="125" t="s">
        <v>1546</v>
      </c>
      <c r="J303" s="308">
        <v>188.44277777777461</v>
      </c>
      <c r="K303" s="127" t="s">
        <v>1909</v>
      </c>
      <c r="L303" s="153" t="s">
        <v>118</v>
      </c>
      <c r="M303">
        <v>114</v>
      </c>
      <c r="N303" s="123">
        <v>1</v>
      </c>
      <c r="O303">
        <v>243</v>
      </c>
      <c r="P303" s="132" t="s">
        <v>77</v>
      </c>
      <c r="Q303" s="132">
        <v>21912.41</v>
      </c>
      <c r="R303" s="132">
        <v>3505.99</v>
      </c>
      <c r="S303" s="132">
        <v>0</v>
      </c>
      <c r="T303" s="156">
        <v>0</v>
      </c>
      <c r="U303" s="132">
        <v>0</v>
      </c>
      <c r="V303" s="132">
        <f t="shared" si="6"/>
        <v>25418.400000000001</v>
      </c>
      <c r="W303">
        <v>56</v>
      </c>
      <c r="X303" s="153" t="s">
        <v>1701</v>
      </c>
      <c r="Y303" s="124" t="s">
        <v>55</v>
      </c>
      <c r="Z303" s="308">
        <v>191</v>
      </c>
      <c r="AB303" t="str">
        <f>IF(Table1[[#This Row],[TIPO2]]="costo", VLOOKUP(Table1[[#This Row],[PARTIDA PRESUPUESTAL]],'Cost Report'!G:G,1,0),"Balance")</f>
        <v>3410-018</v>
      </c>
      <c r="AC303" s="118"/>
      <c r="AD303" s="159">
        <f>+Table1[[#This Row],[SUBTOTAL]]+Table1[[#This Row],[IVA]]-Table1[[#This Row],[RET IVA]]-Table1[[#This Row],[RET ISR]]-Table1[[#This Row],[TOTAL]]</f>
        <v>0</v>
      </c>
      <c r="AE303" s="152"/>
      <c r="AF303" s="153"/>
      <c r="AG303" s="126"/>
      <c r="AK303" s="306">
        <f>IF(ISNUMBER(Table1[[#This Row],[FECHA DE RECIBIDO]]), Table1[[#This Row],[FECHA DE RECIBIDO]]-DATE(2023,8,30), "")</f>
        <v>-44979.557222222225</v>
      </c>
    </row>
    <row r="304" spans="1:37" ht="16.05" customHeight="1">
      <c r="A304" s="150"/>
      <c r="B304" s="151"/>
      <c r="C304" s="126" t="s">
        <v>2791</v>
      </c>
      <c r="D304">
        <v>222</v>
      </c>
      <c r="E304" s="126">
        <v>45110</v>
      </c>
      <c r="F304" s="122">
        <v>601</v>
      </c>
      <c r="G304" s="122" t="s">
        <v>134</v>
      </c>
      <c r="H304">
        <v>84</v>
      </c>
      <c r="I304" s="122" t="s">
        <v>1546</v>
      </c>
      <c r="J304" s="307">
        <v>188.44277777777461</v>
      </c>
      <c r="K304" s="127" t="s">
        <v>1909</v>
      </c>
      <c r="L304" s="151" t="s">
        <v>118</v>
      </c>
      <c r="M304">
        <v>114</v>
      </c>
      <c r="N304" s="123">
        <v>1</v>
      </c>
      <c r="O304">
        <v>243</v>
      </c>
      <c r="P304" s="132" t="s">
        <v>77</v>
      </c>
      <c r="Q304" s="131">
        <v>218905.02</v>
      </c>
      <c r="R304" s="131">
        <v>35024.800000000003</v>
      </c>
      <c r="S304" s="131">
        <v>0</v>
      </c>
      <c r="T304" s="155">
        <v>0</v>
      </c>
      <c r="U304" s="131">
        <v>0</v>
      </c>
      <c r="V304" s="131">
        <f t="shared" si="6"/>
        <v>253929.82</v>
      </c>
      <c r="W304">
        <v>56</v>
      </c>
      <c r="X304" s="151" t="s">
        <v>1701</v>
      </c>
      <c r="Y304" s="135" t="s">
        <v>55</v>
      </c>
      <c r="Z304" s="307">
        <v>191</v>
      </c>
      <c r="AB304" t="str">
        <f>IF(Table1[[#This Row],[TIPO2]]="costo", VLOOKUP(Table1[[#This Row],[PARTIDA PRESUPUESTAL]],'Cost Report'!G:G,1,0),"Balance")</f>
        <v>3410-019</v>
      </c>
      <c r="AC304" s="118"/>
      <c r="AD304" s="159">
        <f>+Table1[[#This Row],[SUBTOTAL]]+Table1[[#This Row],[IVA]]-Table1[[#This Row],[RET IVA]]-Table1[[#This Row],[RET ISR]]-Table1[[#This Row],[TOTAL]]</f>
        <v>0</v>
      </c>
      <c r="AE304" s="150"/>
      <c r="AF304" s="151"/>
      <c r="AG304" s="126"/>
      <c r="AK304" s="306">
        <f>IF(ISNUMBER(Table1[[#This Row],[FECHA DE RECIBIDO]]), Table1[[#This Row],[FECHA DE RECIBIDO]]-DATE(2023,8,30), "")</f>
        <v>-44979.557222222225</v>
      </c>
    </row>
    <row r="305" spans="1:37" ht="16.05" customHeight="1">
      <c r="A305" s="152" t="s">
        <v>1906</v>
      </c>
      <c r="B305" s="153">
        <v>170</v>
      </c>
      <c r="C305" s="126" t="s">
        <v>2596</v>
      </c>
      <c r="D305">
        <v>223</v>
      </c>
      <c r="E305" s="126">
        <v>13508</v>
      </c>
      <c r="F305" s="125">
        <v>612</v>
      </c>
      <c r="G305" s="125" t="s">
        <v>1907</v>
      </c>
      <c r="H305">
        <v>85</v>
      </c>
      <c r="I305" s="125" t="s">
        <v>1546</v>
      </c>
      <c r="J305" s="308" t="s">
        <v>214</v>
      </c>
      <c r="K305" s="127" t="s">
        <v>1909</v>
      </c>
      <c r="L305" s="153" t="s">
        <v>118</v>
      </c>
      <c r="M305">
        <v>115</v>
      </c>
      <c r="N305" s="123">
        <v>1</v>
      </c>
      <c r="O305">
        <v>244</v>
      </c>
      <c r="P305" s="132" t="s">
        <v>77</v>
      </c>
      <c r="Q305" s="132">
        <v>3300</v>
      </c>
      <c r="R305" s="132">
        <v>528</v>
      </c>
      <c r="S305" s="132">
        <v>0</v>
      </c>
      <c r="T305" s="156">
        <v>352</v>
      </c>
      <c r="U305" s="132">
        <v>0</v>
      </c>
      <c r="V305" s="132">
        <f>Q305+R305-T305</f>
        <v>3476</v>
      </c>
      <c r="W305">
        <v>57</v>
      </c>
      <c r="X305" s="153" t="s">
        <v>1701</v>
      </c>
      <c r="Y305" s="124" t="s">
        <v>55</v>
      </c>
      <c r="Z305" s="308">
        <v>191</v>
      </c>
      <c r="AB305" t="str">
        <f>IF(Table1[[#This Row],[TIPO2]]="costo", VLOOKUP(Table1[[#This Row],[PARTIDA PRESUPUESTAL]],'Cost Report'!G:G,1,0),"Balance")</f>
        <v>2794-003</v>
      </c>
      <c r="AC305" s="118"/>
      <c r="AD305" s="159">
        <f>+Table1[[#This Row],[SUBTOTAL]]+Table1[[#This Row],[IVA]]-Table1[[#This Row],[RET IVA]]-Table1[[#This Row],[RET ISR]]-Table1[[#This Row],[TOTAL]]</f>
        <v>0</v>
      </c>
      <c r="AE305" s="152"/>
      <c r="AF305" s="153"/>
      <c r="AG305" s="126"/>
      <c r="AK305" s="306" t="str">
        <f>IF(ISNUMBER(Table1[[#This Row],[FECHA DE RECIBIDO]]), Table1[[#This Row],[FECHA DE RECIBIDO]]-DATE(2023,8,30), "")</f>
        <v/>
      </c>
    </row>
    <row r="306" spans="1:37" ht="16.05" customHeight="1">
      <c r="A306" s="150" t="s">
        <v>1908</v>
      </c>
      <c r="B306" s="151">
        <v>171</v>
      </c>
      <c r="C306" s="126" t="s">
        <v>1790</v>
      </c>
      <c r="D306">
        <v>224</v>
      </c>
      <c r="E306" s="126">
        <v>44150</v>
      </c>
      <c r="F306" s="122">
        <v>601</v>
      </c>
      <c r="G306" s="122" t="s">
        <v>134</v>
      </c>
      <c r="H306">
        <v>23</v>
      </c>
      <c r="I306" s="122" t="s">
        <v>1546</v>
      </c>
      <c r="J306" s="307">
        <v>189.5394675925927</v>
      </c>
      <c r="K306" s="127">
        <v>-4</v>
      </c>
      <c r="L306" s="151" t="s">
        <v>118</v>
      </c>
      <c r="M306">
        <v>32</v>
      </c>
      <c r="N306" s="123">
        <v>1</v>
      </c>
      <c r="O306">
        <v>245</v>
      </c>
      <c r="P306" s="132" t="s">
        <v>77</v>
      </c>
      <c r="Q306" s="131">
        <v>240</v>
      </c>
      <c r="R306" s="131">
        <v>38.4</v>
      </c>
      <c r="S306" s="131">
        <v>0</v>
      </c>
      <c r="T306" s="155">
        <v>0</v>
      </c>
      <c r="U306" s="131">
        <v>0</v>
      </c>
      <c r="V306" s="131">
        <v>278.39999999999998</v>
      </c>
      <c r="W306">
        <v>25</v>
      </c>
      <c r="X306" s="151" t="s">
        <v>105</v>
      </c>
      <c r="Y306" s="135" t="s">
        <v>55</v>
      </c>
      <c r="Z306" s="307">
        <v>191</v>
      </c>
      <c r="AB306" t="str">
        <f>IF(Table1[[#This Row],[TIPO2]]="costo", VLOOKUP(Table1[[#This Row],[PARTIDA PRESUPUESTAL]],'Cost Report'!G:G,1,0),"Balance")</f>
        <v>1287-005</v>
      </c>
      <c r="AC306" s="118"/>
      <c r="AD306" s="159">
        <f>+Table1[[#This Row],[SUBTOTAL]]+Table1[[#This Row],[IVA]]-Table1[[#This Row],[RET IVA]]-Table1[[#This Row],[RET ISR]]-Table1[[#This Row],[TOTAL]]</f>
        <v>0</v>
      </c>
      <c r="AE306" s="150"/>
      <c r="AF306" s="151"/>
      <c r="AG306" s="126"/>
      <c r="AK306" s="306">
        <f>IF(ISNUMBER(Table1[[#This Row],[FECHA DE RECIBIDO]]), Table1[[#This Row],[FECHA DE RECIBIDO]]-DATE(2023,8,30), "")</f>
        <v>-44978.460532407407</v>
      </c>
    </row>
    <row r="307" spans="1:37" ht="16.05" customHeight="1">
      <c r="A307" s="152"/>
      <c r="B307" s="153">
        <v>172</v>
      </c>
      <c r="C307" s="126" t="s">
        <v>1790</v>
      </c>
      <c r="D307">
        <v>225</v>
      </c>
      <c r="E307" s="126">
        <v>44150</v>
      </c>
      <c r="F307" s="125">
        <v>601</v>
      </c>
      <c r="G307" s="125" t="s">
        <v>134</v>
      </c>
      <c r="H307">
        <v>23</v>
      </c>
      <c r="I307" s="125" t="s">
        <v>1546</v>
      </c>
      <c r="J307" s="308">
        <v>189.54104166666366</v>
      </c>
      <c r="K307" s="127">
        <v>-4</v>
      </c>
      <c r="L307" s="153" t="s">
        <v>118</v>
      </c>
      <c r="M307">
        <v>32</v>
      </c>
      <c r="N307" s="123">
        <v>1</v>
      </c>
      <c r="O307">
        <v>246</v>
      </c>
      <c r="P307" s="132" t="s">
        <v>77</v>
      </c>
      <c r="Q307" s="132">
        <v>563</v>
      </c>
      <c r="R307" s="132">
        <v>90.08</v>
      </c>
      <c r="S307" s="132">
        <v>0</v>
      </c>
      <c r="T307" s="156">
        <v>0</v>
      </c>
      <c r="U307" s="132">
        <v>0</v>
      </c>
      <c r="V307" s="132">
        <v>653.08000000000004</v>
      </c>
      <c r="W307">
        <v>25</v>
      </c>
      <c r="X307" s="153" t="s">
        <v>105</v>
      </c>
      <c r="Y307" s="124" t="s">
        <v>55</v>
      </c>
      <c r="Z307" s="308">
        <v>191</v>
      </c>
      <c r="AB307" t="str">
        <f>IF(Table1[[#This Row],[TIPO2]]="costo", VLOOKUP(Table1[[#This Row],[PARTIDA PRESUPUESTAL]],'Cost Report'!G:G,1,0),"Balance")</f>
        <v>1287-005</v>
      </c>
      <c r="AC307" s="118"/>
      <c r="AD307" s="159">
        <f>+Table1[[#This Row],[SUBTOTAL]]+Table1[[#This Row],[IVA]]-Table1[[#This Row],[RET IVA]]-Table1[[#This Row],[RET ISR]]-Table1[[#This Row],[TOTAL]]</f>
        <v>0</v>
      </c>
      <c r="AE307" s="152"/>
      <c r="AF307" s="153"/>
      <c r="AG307" s="126"/>
      <c r="AK307" s="306">
        <f>IF(ISNUMBER(Table1[[#This Row],[FECHA DE RECIBIDO]]), Table1[[#This Row],[FECHA DE RECIBIDO]]-DATE(2023,8,30), "")</f>
        <v>-44978.458958333336</v>
      </c>
    </row>
    <row r="308" spans="1:37" ht="16.05" customHeight="1">
      <c r="A308" s="150"/>
      <c r="B308" s="151">
        <v>173</v>
      </c>
      <c r="C308" s="126" t="s">
        <v>1790</v>
      </c>
      <c r="D308">
        <v>226</v>
      </c>
      <c r="E308" s="126">
        <v>44150</v>
      </c>
      <c r="F308" s="122">
        <v>601</v>
      </c>
      <c r="G308" s="122" t="s">
        <v>134</v>
      </c>
      <c r="H308">
        <v>23</v>
      </c>
      <c r="I308" s="122" t="s">
        <v>1546</v>
      </c>
      <c r="J308" s="307">
        <v>189.54296296296525</v>
      </c>
      <c r="K308" s="127">
        <v>-4</v>
      </c>
      <c r="L308" s="151" t="s">
        <v>118</v>
      </c>
      <c r="M308">
        <v>32</v>
      </c>
      <c r="N308" s="123">
        <v>1</v>
      </c>
      <c r="O308">
        <v>247</v>
      </c>
      <c r="P308" s="132" t="s">
        <v>77</v>
      </c>
      <c r="Q308" s="131">
        <v>4333.3</v>
      </c>
      <c r="R308" s="131">
        <v>693.35</v>
      </c>
      <c r="S308" s="131">
        <v>0</v>
      </c>
      <c r="T308" s="155">
        <v>0</v>
      </c>
      <c r="U308" s="131">
        <v>0</v>
      </c>
      <c r="V308" s="131">
        <v>5026.6500000000005</v>
      </c>
      <c r="W308">
        <v>25</v>
      </c>
      <c r="X308" s="151" t="s">
        <v>105</v>
      </c>
      <c r="Y308" s="135" t="s">
        <v>55</v>
      </c>
      <c r="Z308" s="307">
        <v>191</v>
      </c>
      <c r="AB308" t="str">
        <f>IF(Table1[[#This Row],[TIPO2]]="costo", VLOOKUP(Table1[[#This Row],[PARTIDA PRESUPUESTAL]],'Cost Report'!G:G,1,0),"Balance")</f>
        <v>1287-005</v>
      </c>
      <c r="AC308" s="118"/>
      <c r="AD308" s="159">
        <f>+Table1[[#This Row],[SUBTOTAL]]+Table1[[#This Row],[IVA]]-Table1[[#This Row],[RET IVA]]-Table1[[#This Row],[RET ISR]]-Table1[[#This Row],[TOTAL]]</f>
        <v>0</v>
      </c>
      <c r="AE308" s="150"/>
      <c r="AF308" s="151"/>
      <c r="AG308" s="126"/>
      <c r="AK308" s="306">
        <f>IF(ISNUMBER(Table1[[#This Row],[FECHA DE RECIBIDO]]), Table1[[#This Row],[FECHA DE RECIBIDO]]-DATE(2023,8,30), "")</f>
        <v>-44978.457037037035</v>
      </c>
    </row>
    <row r="309" spans="1:37" ht="16.05" customHeight="1">
      <c r="A309" s="152"/>
      <c r="B309" s="153">
        <v>174</v>
      </c>
      <c r="C309" s="126" t="s">
        <v>1790</v>
      </c>
      <c r="D309">
        <v>227</v>
      </c>
      <c r="E309" s="126">
        <v>44150</v>
      </c>
      <c r="F309" s="125">
        <v>601</v>
      </c>
      <c r="G309" s="125" t="s">
        <v>134</v>
      </c>
      <c r="H309">
        <v>23</v>
      </c>
      <c r="I309" s="125" t="s">
        <v>1546</v>
      </c>
      <c r="J309" s="308">
        <v>189.54489583333634</v>
      </c>
      <c r="K309" s="127">
        <v>-4</v>
      </c>
      <c r="L309" s="153" t="s">
        <v>118</v>
      </c>
      <c r="M309">
        <v>32</v>
      </c>
      <c r="N309" s="123">
        <v>1</v>
      </c>
      <c r="O309">
        <v>248</v>
      </c>
      <c r="P309" s="132" t="s">
        <v>77</v>
      </c>
      <c r="Q309" s="132">
        <v>4999.9799999999996</v>
      </c>
      <c r="R309" s="132">
        <v>800.02</v>
      </c>
      <c r="S309" s="132">
        <v>0</v>
      </c>
      <c r="T309" s="156">
        <v>0</v>
      </c>
      <c r="U309" s="132">
        <v>0</v>
      </c>
      <c r="V309" s="132">
        <v>5800</v>
      </c>
      <c r="W309">
        <v>25</v>
      </c>
      <c r="X309" s="153" t="s">
        <v>105</v>
      </c>
      <c r="Y309" s="124" t="s">
        <v>55</v>
      </c>
      <c r="Z309" s="308">
        <v>191</v>
      </c>
      <c r="AB309" t="str">
        <f>IF(Table1[[#This Row],[TIPO2]]="costo", VLOOKUP(Table1[[#This Row],[PARTIDA PRESUPUESTAL]],'Cost Report'!G:G,1,0),"Balance")</f>
        <v>1287-005</v>
      </c>
      <c r="AC309" s="118"/>
      <c r="AD309" s="159">
        <f>+Table1[[#This Row],[SUBTOTAL]]+Table1[[#This Row],[IVA]]-Table1[[#This Row],[RET IVA]]-Table1[[#This Row],[RET ISR]]-Table1[[#This Row],[TOTAL]]</f>
        <v>0</v>
      </c>
      <c r="AE309" s="152"/>
      <c r="AF309" s="153"/>
      <c r="AG309" s="126"/>
      <c r="AK309" s="306">
        <f>IF(ISNUMBER(Table1[[#This Row],[FECHA DE RECIBIDO]]), Table1[[#This Row],[FECHA DE RECIBIDO]]-DATE(2023,8,30), "")</f>
        <v>-44978.455104166664</v>
      </c>
    </row>
    <row r="310" spans="1:37" ht="16.05" customHeight="1">
      <c r="A310" s="150"/>
      <c r="B310" s="151">
        <v>175</v>
      </c>
      <c r="C310" s="126" t="s">
        <v>1790</v>
      </c>
      <c r="D310">
        <v>228</v>
      </c>
      <c r="E310" s="126">
        <v>44150</v>
      </c>
      <c r="F310" s="122">
        <v>601</v>
      </c>
      <c r="G310" s="122" t="s">
        <v>134</v>
      </c>
      <c r="H310">
        <v>23</v>
      </c>
      <c r="I310" s="122" t="s">
        <v>1546</v>
      </c>
      <c r="J310" s="307">
        <v>189.54574074073753</v>
      </c>
      <c r="K310" s="127">
        <v>-4</v>
      </c>
      <c r="L310" s="151" t="s">
        <v>118</v>
      </c>
      <c r="M310">
        <v>32</v>
      </c>
      <c r="N310" s="123">
        <v>1</v>
      </c>
      <c r="O310">
        <v>249</v>
      </c>
      <c r="P310" s="132" t="s">
        <v>77</v>
      </c>
      <c r="Q310" s="131">
        <v>650</v>
      </c>
      <c r="R310" s="131">
        <v>104</v>
      </c>
      <c r="S310" s="131">
        <v>0</v>
      </c>
      <c r="T310" s="155">
        <v>0</v>
      </c>
      <c r="U310" s="131">
        <v>0</v>
      </c>
      <c r="V310" s="131">
        <v>754</v>
      </c>
      <c r="W310">
        <v>25</v>
      </c>
      <c r="X310" s="151" t="s">
        <v>105</v>
      </c>
      <c r="Y310" s="135" t="s">
        <v>55</v>
      </c>
      <c r="Z310" s="307">
        <v>191</v>
      </c>
      <c r="AB310" t="str">
        <f>IF(Table1[[#This Row],[TIPO2]]="costo", VLOOKUP(Table1[[#This Row],[PARTIDA PRESUPUESTAL]],'Cost Report'!G:G,1,0),"Balance")</f>
        <v>1287-005</v>
      </c>
      <c r="AC310" s="118"/>
      <c r="AD310" s="159">
        <f>+Table1[[#This Row],[SUBTOTAL]]+Table1[[#This Row],[IVA]]-Table1[[#This Row],[RET IVA]]-Table1[[#This Row],[RET ISR]]-Table1[[#This Row],[TOTAL]]</f>
        <v>0</v>
      </c>
      <c r="AE310" s="150"/>
      <c r="AF310" s="151"/>
      <c r="AG310" s="126"/>
      <c r="AK310" s="306">
        <f>IF(ISNUMBER(Table1[[#This Row],[FECHA DE RECIBIDO]]), Table1[[#This Row],[FECHA DE RECIBIDO]]-DATE(2023,8,30), "")</f>
        <v>-44978.454259259262</v>
      </c>
    </row>
    <row r="311" spans="1:37" ht="16.05" customHeight="1">
      <c r="A311" s="152"/>
      <c r="B311" s="153">
        <v>176</v>
      </c>
      <c r="C311" s="126" t="s">
        <v>1790</v>
      </c>
      <c r="D311">
        <v>229</v>
      </c>
      <c r="E311" s="126">
        <v>44150</v>
      </c>
      <c r="F311" s="125">
        <v>601</v>
      </c>
      <c r="G311" s="125" t="s">
        <v>134</v>
      </c>
      <c r="H311">
        <v>23</v>
      </c>
      <c r="I311" s="125" t="s">
        <v>1546</v>
      </c>
      <c r="J311" s="308">
        <v>189.54651620370714</v>
      </c>
      <c r="K311" s="127">
        <v>-4</v>
      </c>
      <c r="L311" s="153" t="s">
        <v>118</v>
      </c>
      <c r="M311">
        <v>32</v>
      </c>
      <c r="N311" s="123">
        <v>1</v>
      </c>
      <c r="O311">
        <v>250</v>
      </c>
      <c r="P311" s="132" t="s">
        <v>77</v>
      </c>
      <c r="Q311" s="132">
        <v>360</v>
      </c>
      <c r="R311" s="132">
        <v>57.6</v>
      </c>
      <c r="S311" s="132">
        <v>0</v>
      </c>
      <c r="T311" s="156">
        <v>0</v>
      </c>
      <c r="U311" s="132">
        <v>0</v>
      </c>
      <c r="V311" s="132">
        <v>417.6</v>
      </c>
      <c r="W311">
        <v>25</v>
      </c>
      <c r="X311" s="153" t="s">
        <v>105</v>
      </c>
      <c r="Y311" s="124" t="s">
        <v>55</v>
      </c>
      <c r="Z311" s="308">
        <v>191</v>
      </c>
      <c r="AB311" t="str">
        <f>IF(Table1[[#This Row],[TIPO2]]="costo", VLOOKUP(Table1[[#This Row],[PARTIDA PRESUPUESTAL]],'Cost Report'!G:G,1,0),"Balance")</f>
        <v>1287-005</v>
      </c>
      <c r="AC311" s="118"/>
      <c r="AD311" s="159">
        <f>+Table1[[#This Row],[SUBTOTAL]]+Table1[[#This Row],[IVA]]-Table1[[#This Row],[RET IVA]]-Table1[[#This Row],[RET ISR]]-Table1[[#This Row],[TOTAL]]</f>
        <v>0</v>
      </c>
      <c r="AE311" s="152"/>
      <c r="AF311" s="153"/>
      <c r="AG311" s="126"/>
      <c r="AK311" s="306">
        <f>IF(ISNUMBER(Table1[[#This Row],[FECHA DE RECIBIDO]]), Table1[[#This Row],[FECHA DE RECIBIDO]]-DATE(2023,8,30), "")</f>
        <v>-44978.453483796293</v>
      </c>
    </row>
    <row r="312" spans="1:37" ht="16.05" customHeight="1">
      <c r="A312" s="150"/>
      <c r="B312" s="151">
        <v>177</v>
      </c>
      <c r="C312" s="126" t="s">
        <v>1790</v>
      </c>
      <c r="D312">
        <v>230</v>
      </c>
      <c r="E312" s="126">
        <v>44150</v>
      </c>
      <c r="F312" s="122">
        <v>601</v>
      </c>
      <c r="G312" s="122" t="s">
        <v>134</v>
      </c>
      <c r="H312">
        <v>23</v>
      </c>
      <c r="I312" s="122" t="s">
        <v>1546</v>
      </c>
      <c r="J312" s="307">
        <v>189.54871527777868</v>
      </c>
      <c r="K312" s="127">
        <v>-4</v>
      </c>
      <c r="L312" s="151" t="s">
        <v>118</v>
      </c>
      <c r="M312">
        <v>32</v>
      </c>
      <c r="N312" s="123">
        <v>1</v>
      </c>
      <c r="O312">
        <v>251</v>
      </c>
      <c r="P312" s="132" t="s">
        <v>77</v>
      </c>
      <c r="Q312" s="131">
        <v>22500</v>
      </c>
      <c r="R312" s="131">
        <v>3600</v>
      </c>
      <c r="S312" s="131">
        <v>0</v>
      </c>
      <c r="T312" s="155">
        <v>0</v>
      </c>
      <c r="U312" s="131">
        <v>0</v>
      </c>
      <c r="V312" s="131">
        <v>26100</v>
      </c>
      <c r="W312">
        <v>25</v>
      </c>
      <c r="X312" s="151" t="s">
        <v>105</v>
      </c>
      <c r="Y312" s="135" t="s">
        <v>55</v>
      </c>
      <c r="Z312" s="307">
        <v>191</v>
      </c>
      <c r="AB312" t="str">
        <f>IF(Table1[[#This Row],[TIPO2]]="costo", VLOOKUP(Table1[[#This Row],[PARTIDA PRESUPUESTAL]],'Cost Report'!G:G,1,0),"Balance")</f>
        <v>1287-005</v>
      </c>
      <c r="AC312" s="118"/>
      <c r="AD312" s="159">
        <f>+Table1[[#This Row],[SUBTOTAL]]+Table1[[#This Row],[IVA]]-Table1[[#This Row],[RET IVA]]-Table1[[#This Row],[RET ISR]]-Table1[[#This Row],[TOTAL]]</f>
        <v>0</v>
      </c>
      <c r="AE312" s="150"/>
      <c r="AF312" s="151"/>
      <c r="AG312" s="126"/>
      <c r="AK312" s="306">
        <f>IF(ISNUMBER(Table1[[#This Row],[FECHA DE RECIBIDO]]), Table1[[#This Row],[FECHA DE RECIBIDO]]-DATE(2023,8,30), "")</f>
        <v>-44978.451284722221</v>
      </c>
    </row>
    <row r="313" spans="1:37" ht="16.05" customHeight="1">
      <c r="A313" s="152"/>
      <c r="B313" s="153">
        <v>178</v>
      </c>
      <c r="C313" s="126" t="s">
        <v>1790</v>
      </c>
      <c r="D313">
        <v>231</v>
      </c>
      <c r="E313" s="126">
        <v>44150</v>
      </c>
      <c r="F313" s="125">
        <v>601</v>
      </c>
      <c r="G313" s="125" t="s">
        <v>134</v>
      </c>
      <c r="H313">
        <v>23</v>
      </c>
      <c r="I313" s="125" t="s">
        <v>1546</v>
      </c>
      <c r="J313" s="308">
        <v>189.54947916666424</v>
      </c>
      <c r="K313" s="127">
        <v>-4</v>
      </c>
      <c r="L313" s="153" t="s">
        <v>118</v>
      </c>
      <c r="M313">
        <v>32</v>
      </c>
      <c r="N313" s="123">
        <v>1</v>
      </c>
      <c r="O313">
        <v>252</v>
      </c>
      <c r="P313" s="132" t="s">
        <v>77</v>
      </c>
      <c r="Q313" s="132">
        <v>2925</v>
      </c>
      <c r="R313" s="132">
        <v>468</v>
      </c>
      <c r="S313" s="132">
        <v>0</v>
      </c>
      <c r="T313" s="156">
        <v>0</v>
      </c>
      <c r="U313" s="132">
        <v>0</v>
      </c>
      <c r="V313" s="132">
        <v>3393</v>
      </c>
      <c r="W313">
        <v>25</v>
      </c>
      <c r="X313" s="153" t="s">
        <v>105</v>
      </c>
      <c r="Y313" s="124" t="s">
        <v>55</v>
      </c>
      <c r="Z313" s="308">
        <v>191</v>
      </c>
      <c r="AB313" t="str">
        <f>IF(Table1[[#This Row],[TIPO2]]="costo", VLOOKUP(Table1[[#This Row],[PARTIDA PRESUPUESTAL]],'Cost Report'!G:G,1,0),"Balance")</f>
        <v>1287-005</v>
      </c>
      <c r="AC313" s="118"/>
      <c r="AD313" s="159">
        <f>+Table1[[#This Row],[SUBTOTAL]]+Table1[[#This Row],[IVA]]-Table1[[#This Row],[RET IVA]]-Table1[[#This Row],[RET ISR]]-Table1[[#This Row],[TOTAL]]</f>
        <v>0</v>
      </c>
      <c r="AE313" s="152"/>
      <c r="AF313" s="153"/>
      <c r="AG313" s="126"/>
      <c r="AK313" s="306">
        <f>IF(ISNUMBER(Table1[[#This Row],[FECHA DE RECIBIDO]]), Table1[[#This Row],[FECHA DE RECIBIDO]]-DATE(2023,8,30), "")</f>
        <v>-44978.450520833336</v>
      </c>
    </row>
    <row r="314" spans="1:37" ht="16.05" customHeight="1">
      <c r="A314" s="150"/>
      <c r="B314" s="151">
        <v>179</v>
      </c>
      <c r="C314" s="126" t="s">
        <v>1790</v>
      </c>
      <c r="D314">
        <v>232</v>
      </c>
      <c r="E314" s="126">
        <v>44150</v>
      </c>
      <c r="F314" s="122">
        <v>601</v>
      </c>
      <c r="G314" s="122" t="s">
        <v>134</v>
      </c>
      <c r="H314">
        <v>23</v>
      </c>
      <c r="I314" s="122" t="s">
        <v>1546</v>
      </c>
      <c r="J314" s="307">
        <v>190.7942361111127</v>
      </c>
      <c r="K314" s="127">
        <v>-4</v>
      </c>
      <c r="L314" s="151" t="s">
        <v>118</v>
      </c>
      <c r="M314">
        <v>32</v>
      </c>
      <c r="N314" s="123">
        <v>1</v>
      </c>
      <c r="O314">
        <v>253</v>
      </c>
      <c r="P314" s="132" t="s">
        <v>77</v>
      </c>
      <c r="Q314" s="131">
        <v>1200.01</v>
      </c>
      <c r="R314" s="131">
        <v>191.99</v>
      </c>
      <c r="S314" s="131">
        <v>0</v>
      </c>
      <c r="T314" s="155">
        <v>0</v>
      </c>
      <c r="U314" s="131">
        <v>0</v>
      </c>
      <c r="V314" s="131">
        <v>1392</v>
      </c>
      <c r="W314">
        <v>25</v>
      </c>
      <c r="X314" s="151" t="s">
        <v>105</v>
      </c>
      <c r="Y314" s="135" t="s">
        <v>55</v>
      </c>
      <c r="Z314" s="307">
        <v>191</v>
      </c>
      <c r="AB314" t="str">
        <f>IF(Table1[[#This Row],[TIPO2]]="costo", VLOOKUP(Table1[[#This Row],[PARTIDA PRESUPUESTAL]],'Cost Report'!G:G,1,0),"Balance")</f>
        <v>1287-005</v>
      </c>
      <c r="AC314" s="118"/>
      <c r="AD314" s="159">
        <f>+Table1[[#This Row],[SUBTOTAL]]+Table1[[#This Row],[IVA]]-Table1[[#This Row],[RET IVA]]-Table1[[#This Row],[RET ISR]]-Table1[[#This Row],[TOTAL]]</f>
        <v>0</v>
      </c>
      <c r="AE314" s="150"/>
      <c r="AF314" s="151"/>
      <c r="AG314" s="126"/>
      <c r="AK314" s="306">
        <f>IF(ISNUMBER(Table1[[#This Row],[FECHA DE RECIBIDO]]), Table1[[#This Row],[FECHA DE RECIBIDO]]-DATE(2023,8,30), "")</f>
        <v>-44977.205763888887</v>
      </c>
    </row>
    <row r="315" spans="1:37" ht="16.05" customHeight="1">
      <c r="A315" s="152" t="s">
        <v>1915</v>
      </c>
      <c r="B315" s="153">
        <v>183</v>
      </c>
      <c r="C315" s="126" t="s">
        <v>1035</v>
      </c>
      <c r="D315">
        <v>233</v>
      </c>
      <c r="E315" s="126" t="s">
        <v>2001</v>
      </c>
      <c r="F315" s="125" t="s">
        <v>1607</v>
      </c>
      <c r="G315" s="125" t="s">
        <v>134</v>
      </c>
      <c r="H315">
        <v>23</v>
      </c>
      <c r="I315" s="125" t="s">
        <v>1546</v>
      </c>
      <c r="J315" s="308" t="s">
        <v>214</v>
      </c>
      <c r="K315" s="127">
        <v>-3</v>
      </c>
      <c r="L315" s="153" t="s">
        <v>118</v>
      </c>
      <c r="M315">
        <v>32</v>
      </c>
      <c r="N315" s="123">
        <v>1</v>
      </c>
      <c r="O315">
        <v>254</v>
      </c>
      <c r="P315" s="132" t="s">
        <v>77</v>
      </c>
      <c r="Q315" s="132">
        <v>97546.2</v>
      </c>
      <c r="R315" s="132">
        <v>15607.39</v>
      </c>
      <c r="S315" s="132"/>
      <c r="T315" s="156">
        <v>0</v>
      </c>
      <c r="U315" s="132">
        <v>0</v>
      </c>
      <c r="V315" s="132">
        <v>113153.59</v>
      </c>
      <c r="W315">
        <v>58</v>
      </c>
      <c r="X315" s="153" t="s">
        <v>105</v>
      </c>
      <c r="Y315" s="124" t="s">
        <v>55</v>
      </c>
      <c r="Z315" s="308">
        <v>197</v>
      </c>
      <c r="AB315" t="str">
        <f>IF(Table1[[#This Row],[TIPO2]]="costo", VLOOKUP(Table1[[#This Row],[PARTIDA PRESUPUESTAL]],'Cost Report'!G:G,1,0),"Balance")</f>
        <v>3683-006</v>
      </c>
      <c r="AC315" s="118"/>
      <c r="AD315" s="159">
        <f>+Table1[[#This Row],[SUBTOTAL]]+Table1[[#This Row],[IVA]]-Table1[[#This Row],[RET IVA]]-Table1[[#This Row],[RET ISR]]-Table1[[#This Row],[TOTAL]]</f>
        <v>0</v>
      </c>
      <c r="AE315" s="152"/>
      <c r="AF315" s="153"/>
      <c r="AG315" s="126"/>
      <c r="AK315" s="306" t="str">
        <f>IF(ISNUMBER(Table1[[#This Row],[FECHA DE RECIBIDO]]), Table1[[#This Row],[FECHA DE RECIBIDO]]-DATE(2023,8,30), "")</f>
        <v/>
      </c>
    </row>
    <row r="316" spans="1:37" ht="16.05" customHeight="1">
      <c r="A316" s="150"/>
      <c r="B316" s="151"/>
      <c r="C316" s="126" t="s">
        <v>1039</v>
      </c>
      <c r="D316">
        <v>233</v>
      </c>
      <c r="E316" s="126" t="s">
        <v>2001</v>
      </c>
      <c r="F316" s="122" t="s">
        <v>1607</v>
      </c>
      <c r="G316" s="122" t="s">
        <v>134</v>
      </c>
      <c r="H316">
        <v>23</v>
      </c>
      <c r="I316" s="122" t="s">
        <v>1546</v>
      </c>
      <c r="J316" s="307" t="s">
        <v>214</v>
      </c>
      <c r="K316" s="127">
        <v>-3</v>
      </c>
      <c r="L316" s="151" t="s">
        <v>118</v>
      </c>
      <c r="M316">
        <v>32</v>
      </c>
      <c r="N316" s="123">
        <v>1</v>
      </c>
      <c r="O316">
        <v>254</v>
      </c>
      <c r="P316" s="132" t="s">
        <v>77</v>
      </c>
      <c r="Q316" s="131">
        <v>97546.2</v>
      </c>
      <c r="R316" s="131">
        <v>15607.39</v>
      </c>
      <c r="S316" s="131"/>
      <c r="T316" s="155">
        <v>0</v>
      </c>
      <c r="U316" s="131">
        <v>0</v>
      </c>
      <c r="V316" s="131">
        <v>113153.59</v>
      </c>
      <c r="W316">
        <v>58</v>
      </c>
      <c r="X316" s="151" t="s">
        <v>105</v>
      </c>
      <c r="Y316" s="135" t="s">
        <v>55</v>
      </c>
      <c r="Z316" s="307">
        <v>197</v>
      </c>
      <c r="AB316" t="str">
        <f>IF(Table1[[#This Row],[TIPO2]]="costo", VLOOKUP(Table1[[#This Row],[PARTIDA PRESUPUESTAL]],'Cost Report'!G:G,1,0),"Balance")</f>
        <v>3683-012</v>
      </c>
      <c r="AC316" s="118"/>
      <c r="AD316" s="159">
        <f>+Table1[[#This Row],[SUBTOTAL]]+Table1[[#This Row],[IVA]]-Table1[[#This Row],[RET IVA]]-Table1[[#This Row],[RET ISR]]-Table1[[#This Row],[TOTAL]]</f>
        <v>0</v>
      </c>
      <c r="AE316" s="150"/>
      <c r="AF316" s="151"/>
      <c r="AG316" s="126"/>
      <c r="AK316" s="306" t="str">
        <f>IF(ISNUMBER(Table1[[#This Row],[FECHA DE RECIBIDO]]), Table1[[#This Row],[FECHA DE RECIBIDO]]-DATE(2023,8,30), "")</f>
        <v/>
      </c>
    </row>
    <row r="317" spans="1:37" ht="16.05" customHeight="1">
      <c r="A317" s="152"/>
      <c r="B317" s="153"/>
      <c r="C317" s="126" t="s">
        <v>1043</v>
      </c>
      <c r="D317">
        <v>233</v>
      </c>
      <c r="E317" s="126" t="s">
        <v>2001</v>
      </c>
      <c r="F317" s="125" t="s">
        <v>1607</v>
      </c>
      <c r="G317" s="125" t="s">
        <v>134</v>
      </c>
      <c r="H317">
        <v>23</v>
      </c>
      <c r="I317" s="125" t="s">
        <v>1546</v>
      </c>
      <c r="J317" s="308" t="s">
        <v>214</v>
      </c>
      <c r="K317" s="127">
        <v>-3</v>
      </c>
      <c r="L317" s="153" t="s">
        <v>118</v>
      </c>
      <c r="M317">
        <v>32</v>
      </c>
      <c r="N317" s="123">
        <v>1</v>
      </c>
      <c r="O317">
        <v>254</v>
      </c>
      <c r="P317" s="132" t="s">
        <v>77</v>
      </c>
      <c r="Q317" s="132">
        <v>146319.29999999999</v>
      </c>
      <c r="R317" s="132">
        <v>23411.09</v>
      </c>
      <c r="S317" s="132"/>
      <c r="T317" s="156">
        <v>0</v>
      </c>
      <c r="U317" s="132">
        <v>0</v>
      </c>
      <c r="V317" s="132">
        <v>169730.38999999998</v>
      </c>
      <c r="W317">
        <v>58</v>
      </c>
      <c r="X317" s="153" t="s">
        <v>105</v>
      </c>
      <c r="Y317" s="124" t="s">
        <v>55</v>
      </c>
      <c r="Z317" s="308">
        <v>197</v>
      </c>
      <c r="AB317" t="str">
        <f>IF(Table1[[#This Row],[TIPO2]]="costo", VLOOKUP(Table1[[#This Row],[PARTIDA PRESUPUESTAL]],'Cost Report'!G:G,1,0),"Balance")</f>
        <v>3683-018</v>
      </c>
      <c r="AC317" s="118"/>
      <c r="AD317" s="159">
        <f>+Table1[[#This Row],[SUBTOTAL]]+Table1[[#This Row],[IVA]]-Table1[[#This Row],[RET IVA]]-Table1[[#This Row],[RET ISR]]-Table1[[#This Row],[TOTAL]]</f>
        <v>0</v>
      </c>
      <c r="AE317" s="152"/>
      <c r="AF317" s="153"/>
      <c r="AG317" s="126"/>
      <c r="AK317" s="306" t="str">
        <f>IF(ISNUMBER(Table1[[#This Row],[FECHA DE RECIBIDO]]), Table1[[#This Row],[FECHA DE RECIBIDO]]-DATE(2023,8,30), "")</f>
        <v/>
      </c>
    </row>
    <row r="318" spans="1:37" ht="16.05" customHeight="1">
      <c r="A318" s="150"/>
      <c r="B318" s="151"/>
      <c r="C318" s="126" t="s">
        <v>1047</v>
      </c>
      <c r="D318">
        <v>233</v>
      </c>
      <c r="E318" s="126" t="s">
        <v>2001</v>
      </c>
      <c r="F318" s="122" t="s">
        <v>1607</v>
      </c>
      <c r="G318" s="122" t="s">
        <v>134</v>
      </c>
      <c r="H318">
        <v>23</v>
      </c>
      <c r="I318" s="122" t="s">
        <v>1546</v>
      </c>
      <c r="J318" s="307" t="s">
        <v>214</v>
      </c>
      <c r="K318" s="127">
        <v>-3</v>
      </c>
      <c r="L318" s="151" t="s">
        <v>118</v>
      </c>
      <c r="M318">
        <v>32</v>
      </c>
      <c r="N318" s="123">
        <v>1</v>
      </c>
      <c r="O318">
        <v>254</v>
      </c>
      <c r="P318" s="132" t="s">
        <v>77</v>
      </c>
      <c r="Q318" s="131">
        <v>71533.88</v>
      </c>
      <c r="R318" s="131">
        <v>11445.42</v>
      </c>
      <c r="S318" s="131"/>
      <c r="T318" s="155">
        <v>0</v>
      </c>
      <c r="U318" s="131">
        <v>0</v>
      </c>
      <c r="V318" s="131">
        <v>82979.3</v>
      </c>
      <c r="W318">
        <v>58</v>
      </c>
      <c r="X318" s="151" t="s">
        <v>105</v>
      </c>
      <c r="Y318" s="135" t="s">
        <v>55</v>
      </c>
      <c r="Z318" s="307">
        <v>197</v>
      </c>
      <c r="AB318" t="str">
        <f>IF(Table1[[#This Row],[TIPO2]]="costo", VLOOKUP(Table1[[#This Row],[PARTIDA PRESUPUESTAL]],'Cost Report'!G:G,1,0),"Balance")</f>
        <v>3683-024</v>
      </c>
      <c r="AC318" s="118"/>
      <c r="AD318" s="159">
        <f>+Table1[[#This Row],[SUBTOTAL]]+Table1[[#This Row],[IVA]]-Table1[[#This Row],[RET IVA]]-Table1[[#This Row],[RET ISR]]-Table1[[#This Row],[TOTAL]]</f>
        <v>0</v>
      </c>
      <c r="AE318" s="150"/>
      <c r="AF318" s="151"/>
      <c r="AG318" s="126"/>
      <c r="AK318" s="306" t="str">
        <f>IF(ISNUMBER(Table1[[#This Row],[FECHA DE RECIBIDO]]), Table1[[#This Row],[FECHA DE RECIBIDO]]-DATE(2023,8,30), "")</f>
        <v/>
      </c>
    </row>
    <row r="319" spans="1:37" ht="16.05" customHeight="1">
      <c r="A319" s="152"/>
      <c r="B319" s="153"/>
      <c r="C319" s="126" t="s">
        <v>1051</v>
      </c>
      <c r="D319">
        <v>233</v>
      </c>
      <c r="E319" s="126" t="s">
        <v>2001</v>
      </c>
      <c r="F319" s="125" t="s">
        <v>1607</v>
      </c>
      <c r="G319" s="125" t="s">
        <v>134</v>
      </c>
      <c r="H319">
        <v>23</v>
      </c>
      <c r="I319" s="125" t="s">
        <v>1546</v>
      </c>
      <c r="J319" s="308" t="s">
        <v>214</v>
      </c>
      <c r="K319" s="127">
        <v>-3</v>
      </c>
      <c r="L319" s="153" t="s">
        <v>118</v>
      </c>
      <c r="M319">
        <v>32</v>
      </c>
      <c r="N319" s="123">
        <v>1</v>
      </c>
      <c r="O319">
        <v>254</v>
      </c>
      <c r="P319" s="132" t="s">
        <v>77</v>
      </c>
      <c r="Q319" s="132">
        <v>70233.27</v>
      </c>
      <c r="R319" s="132">
        <v>11237.32</v>
      </c>
      <c r="S319" s="132"/>
      <c r="T319" s="156">
        <v>0</v>
      </c>
      <c r="U319" s="132">
        <v>0</v>
      </c>
      <c r="V319" s="132">
        <v>81470.59</v>
      </c>
      <c r="W319">
        <v>58</v>
      </c>
      <c r="X319" s="153" t="s">
        <v>105</v>
      </c>
      <c r="Y319" s="124" t="s">
        <v>55</v>
      </c>
      <c r="Z319" s="308">
        <v>197</v>
      </c>
      <c r="AB319" t="str">
        <f>IF(Table1[[#This Row],[TIPO2]]="costo", VLOOKUP(Table1[[#This Row],[PARTIDA PRESUPUESTAL]],'Cost Report'!G:G,1,0),"Balance")</f>
        <v>3683-030</v>
      </c>
      <c r="AC319" s="118"/>
      <c r="AD319" s="159">
        <f>+Table1[[#This Row],[SUBTOTAL]]+Table1[[#This Row],[IVA]]-Table1[[#This Row],[RET IVA]]-Table1[[#This Row],[RET ISR]]-Table1[[#This Row],[TOTAL]]</f>
        <v>0</v>
      </c>
      <c r="AE319" s="152"/>
      <c r="AF319" s="153"/>
      <c r="AG319" s="126"/>
      <c r="AK319" s="306" t="str">
        <f>IF(ISNUMBER(Table1[[#This Row],[FECHA DE RECIBIDO]]), Table1[[#This Row],[FECHA DE RECIBIDO]]-DATE(2023,8,30), "")</f>
        <v/>
      </c>
    </row>
    <row r="320" spans="1:37" ht="16.05" customHeight="1">
      <c r="A320" s="150"/>
      <c r="B320" s="151"/>
      <c r="C320" s="126" t="s">
        <v>2897</v>
      </c>
      <c r="D320">
        <v>233</v>
      </c>
      <c r="E320" s="126" t="s">
        <v>2001</v>
      </c>
      <c r="F320" s="122" t="s">
        <v>1607</v>
      </c>
      <c r="G320" s="122" t="s">
        <v>134</v>
      </c>
      <c r="H320">
        <v>23</v>
      </c>
      <c r="I320" s="122" t="s">
        <v>1546</v>
      </c>
      <c r="J320" s="307" t="s">
        <v>214</v>
      </c>
      <c r="K320" s="127">
        <v>-3</v>
      </c>
      <c r="L320" s="151" t="s">
        <v>118</v>
      </c>
      <c r="M320">
        <v>32</v>
      </c>
      <c r="N320" s="123">
        <v>1</v>
      </c>
      <c r="O320">
        <v>254</v>
      </c>
      <c r="P320" s="132" t="s">
        <v>77</v>
      </c>
      <c r="Q320" s="131">
        <v>35116.629999999997</v>
      </c>
      <c r="R320" s="131">
        <v>5618.66</v>
      </c>
      <c r="S320" s="131"/>
      <c r="T320" s="155">
        <v>0</v>
      </c>
      <c r="U320" s="131">
        <v>0</v>
      </c>
      <c r="V320" s="131">
        <v>40735.289999999994</v>
      </c>
      <c r="W320">
        <v>58</v>
      </c>
      <c r="X320" s="151" t="s">
        <v>105</v>
      </c>
      <c r="Y320" s="135" t="s">
        <v>55</v>
      </c>
      <c r="Z320" s="307">
        <v>197</v>
      </c>
      <c r="AB320" t="str">
        <f>IF(Table1[[#This Row],[TIPO2]]="costo", VLOOKUP(Table1[[#This Row],[PARTIDA PRESUPUESTAL]],'Cost Report'!G:G,1,0),"Balance")</f>
        <v>3683-138</v>
      </c>
      <c r="AC320" s="118"/>
      <c r="AD320" s="159">
        <f>+Table1[[#This Row],[SUBTOTAL]]+Table1[[#This Row],[IVA]]-Table1[[#This Row],[RET IVA]]-Table1[[#This Row],[RET ISR]]-Table1[[#This Row],[TOTAL]]</f>
        <v>0</v>
      </c>
      <c r="AE320" s="150"/>
      <c r="AF320" s="151"/>
      <c r="AG320" s="126"/>
      <c r="AK320" s="306" t="str">
        <f>IF(ISNUMBER(Table1[[#This Row],[FECHA DE RECIBIDO]]), Table1[[#This Row],[FECHA DE RECIBIDO]]-DATE(2023,8,30), "")</f>
        <v/>
      </c>
    </row>
    <row r="321" spans="1:37" ht="16.05" customHeight="1">
      <c r="A321" s="152"/>
      <c r="B321" s="153"/>
      <c r="C321" s="126" t="s">
        <v>1059</v>
      </c>
      <c r="D321">
        <v>233</v>
      </c>
      <c r="E321" s="126" t="s">
        <v>2001</v>
      </c>
      <c r="F321" s="125" t="s">
        <v>1607</v>
      </c>
      <c r="G321" s="125" t="s">
        <v>134</v>
      </c>
      <c r="H321">
        <v>23</v>
      </c>
      <c r="I321" s="125" t="s">
        <v>1546</v>
      </c>
      <c r="J321" s="308" t="s">
        <v>214</v>
      </c>
      <c r="K321" s="127">
        <v>-3</v>
      </c>
      <c r="L321" s="153" t="s">
        <v>118</v>
      </c>
      <c r="M321">
        <v>32</v>
      </c>
      <c r="N321" s="123">
        <v>1</v>
      </c>
      <c r="O321">
        <v>254</v>
      </c>
      <c r="P321" s="132" t="s">
        <v>77</v>
      </c>
      <c r="Q321" s="132">
        <v>70233.27</v>
      </c>
      <c r="R321" s="132">
        <v>11237.32</v>
      </c>
      <c r="S321" s="132"/>
      <c r="T321" s="156">
        <v>0</v>
      </c>
      <c r="U321" s="132">
        <v>0</v>
      </c>
      <c r="V321" s="132">
        <v>81470.59</v>
      </c>
      <c r="W321">
        <v>58</v>
      </c>
      <c r="X321" s="153" t="s">
        <v>105</v>
      </c>
      <c r="Y321" s="124" t="s">
        <v>55</v>
      </c>
      <c r="Z321" s="308">
        <v>197</v>
      </c>
      <c r="AB321" t="str">
        <f>IF(Table1[[#This Row],[TIPO2]]="costo", VLOOKUP(Table1[[#This Row],[PARTIDA PRESUPUESTAL]],'Cost Report'!G:G,1,0),"Balance")</f>
        <v>3683-042</v>
      </c>
      <c r="AC321" s="118"/>
      <c r="AD321" s="159">
        <f>+Table1[[#This Row],[SUBTOTAL]]+Table1[[#This Row],[IVA]]-Table1[[#This Row],[RET IVA]]-Table1[[#This Row],[RET ISR]]-Table1[[#This Row],[TOTAL]]</f>
        <v>0</v>
      </c>
      <c r="AE321" s="152"/>
      <c r="AF321" s="153"/>
      <c r="AG321" s="126"/>
      <c r="AK321" s="306" t="str">
        <f>IF(ISNUMBER(Table1[[#This Row],[FECHA DE RECIBIDO]]), Table1[[#This Row],[FECHA DE RECIBIDO]]-DATE(2023,8,30), "")</f>
        <v/>
      </c>
    </row>
    <row r="322" spans="1:37" ht="16.05" customHeight="1">
      <c r="A322" s="150"/>
      <c r="B322" s="151"/>
      <c r="C322" s="126" t="s">
        <v>1063</v>
      </c>
      <c r="D322">
        <v>233</v>
      </c>
      <c r="E322" s="126" t="s">
        <v>2001</v>
      </c>
      <c r="F322" s="122" t="s">
        <v>1607</v>
      </c>
      <c r="G322" s="122" t="s">
        <v>134</v>
      </c>
      <c r="H322">
        <v>23</v>
      </c>
      <c r="I322" s="122" t="s">
        <v>1546</v>
      </c>
      <c r="J322" s="307" t="s">
        <v>214</v>
      </c>
      <c r="K322" s="127">
        <v>-3</v>
      </c>
      <c r="L322" s="151" t="s">
        <v>118</v>
      </c>
      <c r="M322">
        <v>32</v>
      </c>
      <c r="N322" s="123">
        <v>1</v>
      </c>
      <c r="O322">
        <v>254</v>
      </c>
      <c r="P322" s="132" t="s">
        <v>77</v>
      </c>
      <c r="Q322" s="131">
        <v>71533.88</v>
      </c>
      <c r="R322" s="131">
        <v>11445.42</v>
      </c>
      <c r="S322" s="131"/>
      <c r="T322" s="155">
        <v>0</v>
      </c>
      <c r="U322" s="131">
        <v>0</v>
      </c>
      <c r="V322" s="131">
        <v>82979.3</v>
      </c>
      <c r="W322">
        <v>58</v>
      </c>
      <c r="X322" s="151" t="s">
        <v>105</v>
      </c>
      <c r="Y322" s="135" t="s">
        <v>55</v>
      </c>
      <c r="Z322" s="307">
        <v>197</v>
      </c>
      <c r="AB322" t="str">
        <f>IF(Table1[[#This Row],[TIPO2]]="costo", VLOOKUP(Table1[[#This Row],[PARTIDA PRESUPUESTAL]],'Cost Report'!G:G,1,0),"Balance")</f>
        <v>3683-048</v>
      </c>
      <c r="AC322" s="118"/>
      <c r="AD322" s="159">
        <f>+Table1[[#This Row],[SUBTOTAL]]+Table1[[#This Row],[IVA]]-Table1[[#This Row],[RET IVA]]-Table1[[#This Row],[RET ISR]]-Table1[[#This Row],[TOTAL]]</f>
        <v>0</v>
      </c>
      <c r="AE322" s="150"/>
      <c r="AF322" s="151"/>
      <c r="AG322" s="126"/>
      <c r="AK322" s="306" t="str">
        <f>IF(ISNUMBER(Table1[[#This Row],[FECHA DE RECIBIDO]]), Table1[[#This Row],[FECHA DE RECIBIDO]]-DATE(2023,8,30), "")</f>
        <v/>
      </c>
    </row>
    <row r="323" spans="1:37" ht="16.05" customHeight="1">
      <c r="A323" s="152"/>
      <c r="B323" s="153"/>
      <c r="C323" s="126" t="s">
        <v>1067</v>
      </c>
      <c r="D323">
        <v>233</v>
      </c>
      <c r="E323" s="126" t="s">
        <v>2001</v>
      </c>
      <c r="F323" s="125" t="s">
        <v>1607</v>
      </c>
      <c r="G323" s="125" t="s">
        <v>134</v>
      </c>
      <c r="H323">
        <v>23</v>
      </c>
      <c r="I323" s="125" t="s">
        <v>1546</v>
      </c>
      <c r="J323" s="308" t="s">
        <v>214</v>
      </c>
      <c r="K323" s="127">
        <v>-3</v>
      </c>
      <c r="L323" s="153" t="s">
        <v>118</v>
      </c>
      <c r="M323">
        <v>32</v>
      </c>
      <c r="N323" s="123">
        <v>1</v>
      </c>
      <c r="O323">
        <v>254</v>
      </c>
      <c r="P323" s="132" t="s">
        <v>77</v>
      </c>
      <c r="Q323" s="132">
        <v>71533.88</v>
      </c>
      <c r="R323" s="132">
        <v>11445.42</v>
      </c>
      <c r="S323" s="132"/>
      <c r="T323" s="156">
        <v>0</v>
      </c>
      <c r="U323" s="132">
        <v>0</v>
      </c>
      <c r="V323" s="132">
        <v>82979.3</v>
      </c>
      <c r="W323">
        <v>58</v>
      </c>
      <c r="X323" s="153" t="s">
        <v>105</v>
      </c>
      <c r="Y323" s="124" t="s">
        <v>55</v>
      </c>
      <c r="Z323" s="308">
        <v>197</v>
      </c>
      <c r="AB323" t="str">
        <f>IF(Table1[[#This Row],[TIPO2]]="costo", VLOOKUP(Table1[[#This Row],[PARTIDA PRESUPUESTAL]],'Cost Report'!G:G,1,0),"Balance")</f>
        <v>3683-054</v>
      </c>
      <c r="AC323" s="118"/>
      <c r="AD323" s="159">
        <f>+Table1[[#This Row],[SUBTOTAL]]+Table1[[#This Row],[IVA]]-Table1[[#This Row],[RET IVA]]-Table1[[#This Row],[RET ISR]]-Table1[[#This Row],[TOTAL]]</f>
        <v>0</v>
      </c>
      <c r="AE323" s="152"/>
      <c r="AF323" s="153"/>
      <c r="AG323" s="126"/>
      <c r="AK323" s="306" t="str">
        <f>IF(ISNUMBER(Table1[[#This Row],[FECHA DE RECIBIDO]]), Table1[[#This Row],[FECHA DE RECIBIDO]]-DATE(2023,8,30), "")</f>
        <v/>
      </c>
    </row>
    <row r="324" spans="1:37" ht="16.05" customHeight="1">
      <c r="A324" s="150"/>
      <c r="B324" s="151"/>
      <c r="C324" s="126" t="s">
        <v>1071</v>
      </c>
      <c r="D324">
        <v>233</v>
      </c>
      <c r="E324" s="126" t="s">
        <v>2001</v>
      </c>
      <c r="F324" s="122" t="s">
        <v>1607</v>
      </c>
      <c r="G324" s="122" t="s">
        <v>134</v>
      </c>
      <c r="H324">
        <v>23</v>
      </c>
      <c r="I324" s="122" t="s">
        <v>1546</v>
      </c>
      <c r="J324" s="307" t="s">
        <v>214</v>
      </c>
      <c r="K324" s="127">
        <v>-3</v>
      </c>
      <c r="L324" s="151" t="s">
        <v>118</v>
      </c>
      <c r="M324">
        <v>32</v>
      </c>
      <c r="N324" s="123">
        <v>1</v>
      </c>
      <c r="O324">
        <v>254</v>
      </c>
      <c r="P324" s="132" t="s">
        <v>77</v>
      </c>
      <c r="Q324" s="131">
        <v>48773.1</v>
      </c>
      <c r="R324" s="131">
        <v>7803.7</v>
      </c>
      <c r="S324" s="131"/>
      <c r="T324" s="155">
        <v>0</v>
      </c>
      <c r="U324" s="131">
        <v>0</v>
      </c>
      <c r="V324" s="131">
        <v>56576.799999999996</v>
      </c>
      <c r="W324">
        <v>58</v>
      </c>
      <c r="X324" s="151" t="s">
        <v>105</v>
      </c>
      <c r="Y324" s="135" t="s">
        <v>55</v>
      </c>
      <c r="Z324" s="307">
        <v>197</v>
      </c>
      <c r="AB324" t="str">
        <f>IF(Table1[[#This Row],[TIPO2]]="costo", VLOOKUP(Table1[[#This Row],[PARTIDA PRESUPUESTAL]],'Cost Report'!G:G,1,0),"Balance")</f>
        <v>3683-060</v>
      </c>
      <c r="AC324" s="118"/>
      <c r="AD324" s="159">
        <f>+Table1[[#This Row],[SUBTOTAL]]+Table1[[#This Row],[IVA]]-Table1[[#This Row],[RET IVA]]-Table1[[#This Row],[RET ISR]]-Table1[[#This Row],[TOTAL]]</f>
        <v>0</v>
      </c>
      <c r="AE324" s="150"/>
      <c r="AF324" s="151"/>
      <c r="AG324" s="126"/>
      <c r="AK324" s="306" t="str">
        <f>IF(ISNUMBER(Table1[[#This Row],[FECHA DE RECIBIDO]]), Table1[[#This Row],[FECHA DE RECIBIDO]]-DATE(2023,8,30), "")</f>
        <v/>
      </c>
    </row>
    <row r="325" spans="1:37" ht="16.05" customHeight="1">
      <c r="A325" s="152"/>
      <c r="B325" s="153"/>
      <c r="C325" s="126" t="s">
        <v>1075</v>
      </c>
      <c r="D325">
        <v>233</v>
      </c>
      <c r="E325" s="126" t="s">
        <v>2001</v>
      </c>
      <c r="F325" s="125" t="s">
        <v>1607</v>
      </c>
      <c r="G325" s="125" t="s">
        <v>134</v>
      </c>
      <c r="H325">
        <v>23</v>
      </c>
      <c r="I325" s="125" t="s">
        <v>1546</v>
      </c>
      <c r="J325" s="308" t="s">
        <v>214</v>
      </c>
      <c r="K325" s="127">
        <v>-3</v>
      </c>
      <c r="L325" s="153" t="s">
        <v>118</v>
      </c>
      <c r="M325">
        <v>32</v>
      </c>
      <c r="N325" s="123">
        <v>1</v>
      </c>
      <c r="O325">
        <v>254</v>
      </c>
      <c r="P325" s="132" t="s">
        <v>77</v>
      </c>
      <c r="Q325" s="132">
        <v>48773.1</v>
      </c>
      <c r="R325" s="132">
        <v>7803.7</v>
      </c>
      <c r="S325" s="132"/>
      <c r="T325" s="156">
        <v>0</v>
      </c>
      <c r="U325" s="132">
        <v>0</v>
      </c>
      <c r="V325" s="132">
        <v>56576.799999999996</v>
      </c>
      <c r="W325">
        <v>58</v>
      </c>
      <c r="X325" s="153" t="s">
        <v>105</v>
      </c>
      <c r="Y325" s="124" t="s">
        <v>55</v>
      </c>
      <c r="Z325" s="308">
        <v>197</v>
      </c>
      <c r="AB325" t="str">
        <f>IF(Table1[[#This Row],[TIPO2]]="costo", VLOOKUP(Table1[[#This Row],[PARTIDA PRESUPUESTAL]],'Cost Report'!G:G,1,0),"Balance")</f>
        <v>3683-066</v>
      </c>
      <c r="AC325" s="118"/>
      <c r="AD325" s="159">
        <f>+Table1[[#This Row],[SUBTOTAL]]+Table1[[#This Row],[IVA]]-Table1[[#This Row],[RET IVA]]-Table1[[#This Row],[RET ISR]]-Table1[[#This Row],[TOTAL]]</f>
        <v>0</v>
      </c>
      <c r="AE325" s="152"/>
      <c r="AF325" s="153"/>
      <c r="AG325" s="126"/>
      <c r="AK325" s="306" t="str">
        <f>IF(ISNUMBER(Table1[[#This Row],[FECHA DE RECIBIDO]]), Table1[[#This Row],[FECHA DE RECIBIDO]]-DATE(2023,8,30), "")</f>
        <v/>
      </c>
    </row>
    <row r="326" spans="1:37" ht="16.05" customHeight="1">
      <c r="A326" s="150"/>
      <c r="B326" s="151"/>
      <c r="C326" s="126" t="s">
        <v>1079</v>
      </c>
      <c r="D326">
        <v>233</v>
      </c>
      <c r="E326" s="126" t="s">
        <v>2001</v>
      </c>
      <c r="F326" s="122" t="s">
        <v>1607</v>
      </c>
      <c r="G326" s="122" t="s">
        <v>134</v>
      </c>
      <c r="H326">
        <v>23</v>
      </c>
      <c r="I326" s="122" t="s">
        <v>1546</v>
      </c>
      <c r="J326" s="307" t="s">
        <v>214</v>
      </c>
      <c r="K326" s="127">
        <v>-3</v>
      </c>
      <c r="L326" s="151" t="s">
        <v>118</v>
      </c>
      <c r="M326">
        <v>32</v>
      </c>
      <c r="N326" s="123">
        <v>1</v>
      </c>
      <c r="O326">
        <v>254</v>
      </c>
      <c r="P326" s="132" t="s">
        <v>77</v>
      </c>
      <c r="Q326" s="131">
        <v>48773.1</v>
      </c>
      <c r="R326" s="131">
        <v>7803.7</v>
      </c>
      <c r="S326" s="131"/>
      <c r="T326" s="155">
        <v>0</v>
      </c>
      <c r="U326" s="131">
        <v>0</v>
      </c>
      <c r="V326" s="131">
        <v>56576.799999999996</v>
      </c>
      <c r="W326">
        <v>58</v>
      </c>
      <c r="X326" s="151" t="s">
        <v>105</v>
      </c>
      <c r="Y326" s="135" t="s">
        <v>55</v>
      </c>
      <c r="Z326" s="307">
        <v>197</v>
      </c>
      <c r="AB326" t="str">
        <f>IF(Table1[[#This Row],[TIPO2]]="costo", VLOOKUP(Table1[[#This Row],[PARTIDA PRESUPUESTAL]],'Cost Report'!G:G,1,0),"Balance")</f>
        <v>3683-072</v>
      </c>
      <c r="AC326" s="118"/>
      <c r="AD326" s="159">
        <f>+Table1[[#This Row],[SUBTOTAL]]+Table1[[#This Row],[IVA]]-Table1[[#This Row],[RET IVA]]-Table1[[#This Row],[RET ISR]]-Table1[[#This Row],[TOTAL]]</f>
        <v>0</v>
      </c>
      <c r="AE326" s="150"/>
      <c r="AF326" s="151"/>
      <c r="AG326" s="126"/>
      <c r="AK326" s="306" t="str">
        <f>IF(ISNUMBER(Table1[[#This Row],[FECHA DE RECIBIDO]]), Table1[[#This Row],[FECHA DE RECIBIDO]]-DATE(2023,8,30), "")</f>
        <v/>
      </c>
    </row>
    <row r="327" spans="1:37" ht="16.05" customHeight="1">
      <c r="A327" s="152"/>
      <c r="B327" s="153"/>
      <c r="C327" s="126" t="s">
        <v>1083</v>
      </c>
      <c r="D327">
        <v>233</v>
      </c>
      <c r="E327" s="126" t="s">
        <v>2001</v>
      </c>
      <c r="F327" s="125" t="s">
        <v>1607</v>
      </c>
      <c r="G327" s="125" t="s">
        <v>134</v>
      </c>
      <c r="H327">
        <v>23</v>
      </c>
      <c r="I327" s="125" t="s">
        <v>1546</v>
      </c>
      <c r="J327" s="308" t="s">
        <v>214</v>
      </c>
      <c r="K327" s="127">
        <v>-3</v>
      </c>
      <c r="L327" s="153" t="s">
        <v>118</v>
      </c>
      <c r="M327">
        <v>32</v>
      </c>
      <c r="N327" s="123">
        <v>1</v>
      </c>
      <c r="O327">
        <v>254</v>
      </c>
      <c r="P327" s="132" t="s">
        <v>77</v>
      </c>
      <c r="Q327" s="132">
        <v>48773.1</v>
      </c>
      <c r="R327" s="132">
        <v>7803.7</v>
      </c>
      <c r="S327" s="132"/>
      <c r="T327" s="156">
        <v>0</v>
      </c>
      <c r="U327" s="132">
        <v>0</v>
      </c>
      <c r="V327" s="132">
        <v>56576.799999999996</v>
      </c>
      <c r="W327">
        <v>58</v>
      </c>
      <c r="X327" s="153" t="s">
        <v>105</v>
      </c>
      <c r="Y327" s="124" t="s">
        <v>55</v>
      </c>
      <c r="Z327" s="308">
        <v>197</v>
      </c>
      <c r="AB327" t="str">
        <f>IF(Table1[[#This Row],[TIPO2]]="costo", VLOOKUP(Table1[[#This Row],[PARTIDA PRESUPUESTAL]],'Cost Report'!G:G,1,0),"Balance")</f>
        <v>3683-078</v>
      </c>
      <c r="AC327" s="118"/>
      <c r="AD327" s="159">
        <f>+Table1[[#This Row],[SUBTOTAL]]+Table1[[#This Row],[IVA]]-Table1[[#This Row],[RET IVA]]-Table1[[#This Row],[RET ISR]]-Table1[[#This Row],[TOTAL]]</f>
        <v>0</v>
      </c>
      <c r="AE327" s="152"/>
      <c r="AF327" s="153"/>
      <c r="AG327" s="126"/>
      <c r="AK327" s="306" t="str">
        <f>IF(ISNUMBER(Table1[[#This Row],[FECHA DE RECIBIDO]]), Table1[[#This Row],[FECHA DE RECIBIDO]]-DATE(2023,8,30), "")</f>
        <v/>
      </c>
    </row>
    <row r="328" spans="1:37" ht="16.05" customHeight="1">
      <c r="A328" s="150"/>
      <c r="B328" s="151"/>
      <c r="C328" s="126" t="s">
        <v>1087</v>
      </c>
      <c r="D328">
        <v>233</v>
      </c>
      <c r="E328" s="126" t="s">
        <v>2001</v>
      </c>
      <c r="F328" s="122" t="s">
        <v>1607</v>
      </c>
      <c r="G328" s="122" t="s">
        <v>134</v>
      </c>
      <c r="H328">
        <v>23</v>
      </c>
      <c r="I328" s="122" t="s">
        <v>1546</v>
      </c>
      <c r="J328" s="307" t="s">
        <v>214</v>
      </c>
      <c r="K328" s="127">
        <v>-3</v>
      </c>
      <c r="L328" s="151" t="s">
        <v>118</v>
      </c>
      <c r="M328">
        <v>32</v>
      </c>
      <c r="N328" s="123">
        <v>1</v>
      </c>
      <c r="O328">
        <v>254</v>
      </c>
      <c r="P328" s="132" t="s">
        <v>77</v>
      </c>
      <c r="Q328" s="131">
        <v>71533.88</v>
      </c>
      <c r="R328" s="131">
        <v>11445.42</v>
      </c>
      <c r="S328" s="131"/>
      <c r="T328" s="155">
        <v>0</v>
      </c>
      <c r="U328" s="131">
        <v>0</v>
      </c>
      <c r="V328" s="131">
        <v>82979.3</v>
      </c>
      <c r="W328">
        <v>58</v>
      </c>
      <c r="X328" s="151" t="s">
        <v>105</v>
      </c>
      <c r="Y328" s="135" t="s">
        <v>55</v>
      </c>
      <c r="Z328" s="307">
        <v>197</v>
      </c>
      <c r="AB328" t="str">
        <f>IF(Table1[[#This Row],[TIPO2]]="costo", VLOOKUP(Table1[[#This Row],[PARTIDA PRESUPUESTAL]],'Cost Report'!G:G,1,0),"Balance")</f>
        <v>3683-084</v>
      </c>
      <c r="AC328" s="118"/>
      <c r="AD328" s="159">
        <f>+Table1[[#This Row],[SUBTOTAL]]+Table1[[#This Row],[IVA]]-Table1[[#This Row],[RET IVA]]-Table1[[#This Row],[RET ISR]]-Table1[[#This Row],[TOTAL]]</f>
        <v>0</v>
      </c>
      <c r="AE328" s="150"/>
      <c r="AF328" s="151"/>
      <c r="AG328" s="126"/>
      <c r="AK328" s="306" t="str">
        <f>IF(ISNUMBER(Table1[[#This Row],[FECHA DE RECIBIDO]]), Table1[[#This Row],[FECHA DE RECIBIDO]]-DATE(2023,8,30), "")</f>
        <v/>
      </c>
    </row>
    <row r="329" spans="1:37" ht="16.05" customHeight="1">
      <c r="A329" s="152"/>
      <c r="B329" s="153"/>
      <c r="C329" s="126" t="s">
        <v>1091</v>
      </c>
      <c r="D329">
        <v>233</v>
      </c>
      <c r="E329" s="126" t="s">
        <v>2001</v>
      </c>
      <c r="F329" s="125" t="s">
        <v>1607</v>
      </c>
      <c r="G329" s="125" t="s">
        <v>134</v>
      </c>
      <c r="H329">
        <v>23</v>
      </c>
      <c r="I329" s="125" t="s">
        <v>1546</v>
      </c>
      <c r="J329" s="308" t="s">
        <v>214</v>
      </c>
      <c r="K329" s="127">
        <v>-3</v>
      </c>
      <c r="L329" s="153" t="s">
        <v>118</v>
      </c>
      <c r="M329">
        <v>32</v>
      </c>
      <c r="N329" s="123">
        <v>1</v>
      </c>
      <c r="O329">
        <v>254</v>
      </c>
      <c r="P329" s="132" t="s">
        <v>77</v>
      </c>
      <c r="Q329" s="132">
        <v>48773.1</v>
      </c>
      <c r="R329" s="132">
        <v>7803.7</v>
      </c>
      <c r="S329" s="132"/>
      <c r="T329" s="156">
        <v>0</v>
      </c>
      <c r="U329" s="132">
        <v>0</v>
      </c>
      <c r="V329" s="132">
        <v>56576.799999999996</v>
      </c>
      <c r="W329">
        <v>58</v>
      </c>
      <c r="X329" s="153" t="s">
        <v>105</v>
      </c>
      <c r="Y329" s="124" t="s">
        <v>55</v>
      </c>
      <c r="Z329" s="308">
        <v>197</v>
      </c>
      <c r="AB329" t="str">
        <f>IF(Table1[[#This Row],[TIPO2]]="costo", VLOOKUP(Table1[[#This Row],[PARTIDA PRESUPUESTAL]],'Cost Report'!G:G,1,0),"Balance")</f>
        <v>3683-090</v>
      </c>
      <c r="AC329" s="118"/>
      <c r="AD329" s="159">
        <f>+Table1[[#This Row],[SUBTOTAL]]+Table1[[#This Row],[IVA]]-Table1[[#This Row],[RET IVA]]-Table1[[#This Row],[RET ISR]]-Table1[[#This Row],[TOTAL]]</f>
        <v>0</v>
      </c>
      <c r="AE329" s="152"/>
      <c r="AF329" s="153"/>
      <c r="AG329" s="126"/>
      <c r="AK329" s="306" t="str">
        <f>IF(ISNUMBER(Table1[[#This Row],[FECHA DE RECIBIDO]]), Table1[[#This Row],[FECHA DE RECIBIDO]]-DATE(2023,8,30), "")</f>
        <v/>
      </c>
    </row>
    <row r="330" spans="1:37" ht="16.05" customHeight="1">
      <c r="A330" s="150"/>
      <c r="B330" s="151"/>
      <c r="C330" s="126" t="s">
        <v>1095</v>
      </c>
      <c r="D330">
        <v>233</v>
      </c>
      <c r="E330" s="126" t="s">
        <v>2001</v>
      </c>
      <c r="F330" s="122" t="s">
        <v>1607</v>
      </c>
      <c r="G330" s="122" t="s">
        <v>134</v>
      </c>
      <c r="H330">
        <v>23</v>
      </c>
      <c r="I330" s="122" t="s">
        <v>1546</v>
      </c>
      <c r="J330" s="307" t="s">
        <v>214</v>
      </c>
      <c r="K330" s="127">
        <v>-3</v>
      </c>
      <c r="L330" s="151" t="s">
        <v>118</v>
      </c>
      <c r="M330">
        <v>32</v>
      </c>
      <c r="N330" s="123">
        <v>1</v>
      </c>
      <c r="O330">
        <v>254</v>
      </c>
      <c r="P330" s="132" t="s">
        <v>77</v>
      </c>
      <c r="Q330" s="131">
        <v>71533.88</v>
      </c>
      <c r="R330" s="131">
        <v>11445.42</v>
      </c>
      <c r="S330" s="131"/>
      <c r="T330" s="155">
        <v>0</v>
      </c>
      <c r="U330" s="131">
        <v>0</v>
      </c>
      <c r="V330" s="131">
        <v>82979.3</v>
      </c>
      <c r="W330">
        <v>58</v>
      </c>
      <c r="X330" s="151" t="s">
        <v>105</v>
      </c>
      <c r="Y330" s="135" t="s">
        <v>55</v>
      </c>
      <c r="Z330" s="307">
        <v>197</v>
      </c>
      <c r="AB330" t="str">
        <f>IF(Table1[[#This Row],[TIPO2]]="costo", VLOOKUP(Table1[[#This Row],[PARTIDA PRESUPUESTAL]],'Cost Report'!G:G,1,0),"Balance")</f>
        <v>3683-096</v>
      </c>
      <c r="AC330" s="118"/>
      <c r="AD330" s="159">
        <f>+Table1[[#This Row],[SUBTOTAL]]+Table1[[#This Row],[IVA]]-Table1[[#This Row],[RET IVA]]-Table1[[#This Row],[RET ISR]]-Table1[[#This Row],[TOTAL]]</f>
        <v>0</v>
      </c>
      <c r="AE330" s="150"/>
      <c r="AF330" s="151"/>
      <c r="AG330" s="126"/>
      <c r="AK330" s="306" t="str">
        <f>IF(ISNUMBER(Table1[[#This Row],[FECHA DE RECIBIDO]]), Table1[[#This Row],[FECHA DE RECIBIDO]]-DATE(2023,8,30), "")</f>
        <v/>
      </c>
    </row>
    <row r="331" spans="1:37" ht="16.05" customHeight="1">
      <c r="A331" s="152"/>
      <c r="B331" s="153"/>
      <c r="C331" s="126" t="s">
        <v>1098</v>
      </c>
      <c r="D331">
        <v>233</v>
      </c>
      <c r="E331" s="126" t="s">
        <v>2001</v>
      </c>
      <c r="F331" s="125" t="s">
        <v>1607</v>
      </c>
      <c r="G331" s="125" t="s">
        <v>134</v>
      </c>
      <c r="H331">
        <v>23</v>
      </c>
      <c r="I331" s="125" t="s">
        <v>1546</v>
      </c>
      <c r="J331" s="308" t="s">
        <v>214</v>
      </c>
      <c r="K331" s="127">
        <v>-3</v>
      </c>
      <c r="L331" s="153" t="s">
        <v>118</v>
      </c>
      <c r="M331">
        <v>32</v>
      </c>
      <c r="N331" s="123">
        <v>1</v>
      </c>
      <c r="O331">
        <v>254</v>
      </c>
      <c r="P331" s="132" t="s">
        <v>77</v>
      </c>
      <c r="Q331" s="132">
        <v>73159.649999999994</v>
      </c>
      <c r="R331" s="132">
        <v>11705.54</v>
      </c>
      <c r="S331" s="132"/>
      <c r="T331" s="156">
        <v>0</v>
      </c>
      <c r="U331" s="132">
        <v>0</v>
      </c>
      <c r="V331" s="132">
        <v>84865.19</v>
      </c>
      <c r="W331">
        <v>58</v>
      </c>
      <c r="X331" s="153" t="s">
        <v>105</v>
      </c>
      <c r="Y331" s="124" t="s">
        <v>55</v>
      </c>
      <c r="Z331" s="308">
        <v>197</v>
      </c>
      <c r="AB331" t="str">
        <f>IF(Table1[[#This Row],[TIPO2]]="costo", VLOOKUP(Table1[[#This Row],[PARTIDA PRESUPUESTAL]],'Cost Report'!G:G,1,0),"Balance")</f>
        <v>3683-101</v>
      </c>
      <c r="AC331" s="118"/>
      <c r="AD331" s="159">
        <f>+Table1[[#This Row],[SUBTOTAL]]+Table1[[#This Row],[IVA]]-Table1[[#This Row],[RET IVA]]-Table1[[#This Row],[RET ISR]]-Table1[[#This Row],[TOTAL]]</f>
        <v>0</v>
      </c>
      <c r="AE331" s="152"/>
      <c r="AF331" s="153"/>
      <c r="AG331" s="126"/>
      <c r="AK331" s="306" t="str">
        <f>IF(ISNUMBER(Table1[[#This Row],[FECHA DE RECIBIDO]]), Table1[[#This Row],[FECHA DE RECIBIDO]]-DATE(2023,8,30), "")</f>
        <v/>
      </c>
    </row>
    <row r="332" spans="1:37" ht="16.05" customHeight="1">
      <c r="A332" s="150"/>
      <c r="B332" s="151"/>
      <c r="C332" s="126" t="s">
        <v>1100</v>
      </c>
      <c r="D332">
        <v>233</v>
      </c>
      <c r="E332" s="126" t="s">
        <v>2001</v>
      </c>
      <c r="F332" s="122" t="s">
        <v>1607</v>
      </c>
      <c r="G332" s="122" t="s">
        <v>134</v>
      </c>
      <c r="H332">
        <v>23</v>
      </c>
      <c r="I332" s="122" t="s">
        <v>1546</v>
      </c>
      <c r="J332" s="307" t="s">
        <v>214</v>
      </c>
      <c r="K332" s="127">
        <v>-3</v>
      </c>
      <c r="L332" s="151" t="s">
        <v>118</v>
      </c>
      <c r="M332">
        <v>32</v>
      </c>
      <c r="N332" s="123">
        <v>1</v>
      </c>
      <c r="O332">
        <v>254</v>
      </c>
      <c r="P332" s="132" t="s">
        <v>77</v>
      </c>
      <c r="Q332" s="131">
        <v>91043.12</v>
      </c>
      <c r="R332" s="131">
        <v>14566.9</v>
      </c>
      <c r="S332" s="131"/>
      <c r="T332" s="155">
        <v>0</v>
      </c>
      <c r="U332" s="131">
        <v>0</v>
      </c>
      <c r="V332" s="131">
        <v>105610.01999999999</v>
      </c>
      <c r="W332">
        <v>58</v>
      </c>
      <c r="X332" s="151" t="s">
        <v>105</v>
      </c>
      <c r="Y332" s="135" t="s">
        <v>55</v>
      </c>
      <c r="Z332" s="307">
        <v>197</v>
      </c>
      <c r="AB332" t="str">
        <f>IF(Table1[[#This Row],[TIPO2]]="costo", VLOOKUP(Table1[[#This Row],[PARTIDA PRESUPUESTAL]],'Cost Report'!G:G,1,0),"Balance")</f>
        <v>3683-105</v>
      </c>
      <c r="AC332" s="118"/>
      <c r="AD332" s="159">
        <f>+Table1[[#This Row],[SUBTOTAL]]+Table1[[#This Row],[IVA]]-Table1[[#This Row],[RET IVA]]-Table1[[#This Row],[RET ISR]]-Table1[[#This Row],[TOTAL]]</f>
        <v>0</v>
      </c>
      <c r="AE332" s="150"/>
      <c r="AF332" s="151"/>
      <c r="AG332" s="126"/>
      <c r="AK332" s="306" t="str">
        <f>IF(ISNUMBER(Table1[[#This Row],[FECHA DE RECIBIDO]]), Table1[[#This Row],[FECHA DE RECIBIDO]]-DATE(2023,8,30), "")</f>
        <v/>
      </c>
    </row>
    <row r="333" spans="1:37" ht="16.05" customHeight="1">
      <c r="A333" s="152"/>
      <c r="B333" s="153"/>
      <c r="C333" s="126" t="s">
        <v>2880</v>
      </c>
      <c r="D333">
        <v>233</v>
      </c>
      <c r="E333" s="126" t="s">
        <v>2001</v>
      </c>
      <c r="F333" s="125" t="s">
        <v>1607</v>
      </c>
      <c r="G333" s="125" t="s">
        <v>134</v>
      </c>
      <c r="H333">
        <v>23</v>
      </c>
      <c r="I333" s="125" t="s">
        <v>1546</v>
      </c>
      <c r="J333" s="308" t="s">
        <v>214</v>
      </c>
      <c r="K333" s="127">
        <v>-3</v>
      </c>
      <c r="L333" s="153" t="s">
        <v>118</v>
      </c>
      <c r="M333">
        <v>32</v>
      </c>
      <c r="N333" s="123">
        <v>1</v>
      </c>
      <c r="O333">
        <v>254</v>
      </c>
      <c r="P333" s="132" t="s">
        <v>77</v>
      </c>
      <c r="Q333" s="132">
        <v>182086.25</v>
      </c>
      <c r="R333" s="132">
        <v>29133.8</v>
      </c>
      <c r="S333" s="132"/>
      <c r="T333" s="156">
        <v>0</v>
      </c>
      <c r="U333" s="132">
        <v>0</v>
      </c>
      <c r="V333" s="132">
        <v>211220.05</v>
      </c>
      <c r="W333">
        <v>58</v>
      </c>
      <c r="X333" s="153" t="s">
        <v>105</v>
      </c>
      <c r="Y333" s="124" t="s">
        <v>55</v>
      </c>
      <c r="Z333" s="308">
        <v>197</v>
      </c>
      <c r="AB333" t="str">
        <f>IF(Table1[[#This Row],[TIPO2]]="costo", VLOOKUP(Table1[[#This Row],[PARTIDA PRESUPUESTAL]],'Cost Report'!G:G,1,0),"Balance")</f>
        <v>3683-109</v>
      </c>
      <c r="AC333" s="118"/>
      <c r="AD333" s="159">
        <f>+Table1[[#This Row],[SUBTOTAL]]+Table1[[#This Row],[IVA]]-Table1[[#This Row],[RET IVA]]-Table1[[#This Row],[RET ISR]]-Table1[[#This Row],[TOTAL]]</f>
        <v>0</v>
      </c>
      <c r="AE333" s="152"/>
      <c r="AF333" s="153"/>
      <c r="AG333" s="126"/>
      <c r="AK333" s="306" t="str">
        <f>IF(ISNUMBER(Table1[[#This Row],[FECHA DE RECIBIDO]]), Table1[[#This Row],[FECHA DE RECIBIDO]]-DATE(2023,8,30), "")</f>
        <v/>
      </c>
    </row>
    <row r="334" spans="1:37" ht="16.05" customHeight="1">
      <c r="A334" s="150"/>
      <c r="B334" s="151"/>
      <c r="C334" s="126" t="s">
        <v>2909</v>
      </c>
      <c r="D334">
        <v>233</v>
      </c>
      <c r="E334" s="126" t="s">
        <v>2001</v>
      </c>
      <c r="F334" s="122" t="s">
        <v>1607</v>
      </c>
      <c r="G334" s="122" t="s">
        <v>134</v>
      </c>
      <c r="H334">
        <v>23</v>
      </c>
      <c r="I334" s="122" t="s">
        <v>1546</v>
      </c>
      <c r="J334" s="307" t="s">
        <v>214</v>
      </c>
      <c r="K334" s="127">
        <v>-3</v>
      </c>
      <c r="L334" s="151" t="s">
        <v>118</v>
      </c>
      <c r="M334">
        <v>32</v>
      </c>
      <c r="N334" s="123">
        <v>1</v>
      </c>
      <c r="O334">
        <v>254</v>
      </c>
      <c r="P334" s="132" t="s">
        <v>77</v>
      </c>
      <c r="Q334" s="131">
        <v>91043.12</v>
      </c>
      <c r="R334" s="131">
        <v>14566.9</v>
      </c>
      <c r="S334" s="131"/>
      <c r="T334" s="155">
        <v>0</v>
      </c>
      <c r="U334" s="131">
        <v>0</v>
      </c>
      <c r="V334" s="131">
        <v>105610.01999999999</v>
      </c>
      <c r="W334">
        <v>58</v>
      </c>
      <c r="X334" s="151" t="s">
        <v>105</v>
      </c>
      <c r="Y334" s="135" t="s">
        <v>55</v>
      </c>
      <c r="Z334" s="307">
        <v>197</v>
      </c>
      <c r="AB334" t="str">
        <f>IF(Table1[[#This Row],[TIPO2]]="costo", VLOOKUP(Table1[[#This Row],[PARTIDA PRESUPUESTAL]],'Cost Report'!G:G,1,0),"Balance")</f>
        <v>3683-158</v>
      </c>
      <c r="AC334" s="118"/>
      <c r="AD334" s="159">
        <f>+Table1[[#This Row],[SUBTOTAL]]+Table1[[#This Row],[IVA]]-Table1[[#This Row],[RET IVA]]-Table1[[#This Row],[RET ISR]]-Table1[[#This Row],[TOTAL]]</f>
        <v>0</v>
      </c>
      <c r="AE334" s="150"/>
      <c r="AF334" s="151"/>
      <c r="AG334" s="126"/>
      <c r="AK334" s="306" t="str">
        <f>IF(ISNUMBER(Table1[[#This Row],[FECHA DE RECIBIDO]]), Table1[[#This Row],[FECHA DE RECIBIDO]]-DATE(2023,8,30), "")</f>
        <v/>
      </c>
    </row>
    <row r="335" spans="1:37" ht="16.05" customHeight="1">
      <c r="A335" s="152"/>
      <c r="B335" s="153"/>
      <c r="C335" s="126" t="s">
        <v>2909</v>
      </c>
      <c r="D335">
        <v>233</v>
      </c>
      <c r="E335" s="126" t="s">
        <v>2001</v>
      </c>
      <c r="F335" s="125" t="s">
        <v>1607</v>
      </c>
      <c r="G335" s="125" t="s">
        <v>134</v>
      </c>
      <c r="H335">
        <v>23</v>
      </c>
      <c r="I335" s="125" t="s">
        <v>1546</v>
      </c>
      <c r="J335" s="308" t="s">
        <v>214</v>
      </c>
      <c r="K335" s="127">
        <v>-3</v>
      </c>
      <c r="L335" s="153" t="s">
        <v>118</v>
      </c>
      <c r="M335">
        <v>32</v>
      </c>
      <c r="N335" s="123">
        <v>1</v>
      </c>
      <c r="O335">
        <v>254</v>
      </c>
      <c r="P335" s="132" t="s">
        <v>77</v>
      </c>
      <c r="Q335" s="132">
        <v>91043.12</v>
      </c>
      <c r="R335" s="132">
        <v>14566.9</v>
      </c>
      <c r="S335" s="132"/>
      <c r="T335" s="156">
        <v>0</v>
      </c>
      <c r="U335" s="132">
        <v>0</v>
      </c>
      <c r="V335" s="132">
        <v>105610.01999999999</v>
      </c>
      <c r="W335">
        <v>58</v>
      </c>
      <c r="X335" s="153" t="s">
        <v>105</v>
      </c>
      <c r="Y335" s="124" t="s">
        <v>55</v>
      </c>
      <c r="Z335" s="308">
        <v>197</v>
      </c>
      <c r="AB335" t="str">
        <f>IF(Table1[[#This Row],[TIPO2]]="costo", VLOOKUP(Table1[[#This Row],[PARTIDA PRESUPUESTAL]],'Cost Report'!G:G,1,0),"Balance")</f>
        <v>3683-158</v>
      </c>
      <c r="AC335" s="118"/>
      <c r="AD335" s="159">
        <f>+Table1[[#This Row],[SUBTOTAL]]+Table1[[#This Row],[IVA]]-Table1[[#This Row],[RET IVA]]-Table1[[#This Row],[RET ISR]]-Table1[[#This Row],[TOTAL]]</f>
        <v>0</v>
      </c>
      <c r="AE335" s="152"/>
      <c r="AF335" s="153"/>
      <c r="AG335" s="126"/>
      <c r="AK335" s="306" t="str">
        <f>IF(ISNUMBER(Table1[[#This Row],[FECHA DE RECIBIDO]]), Table1[[#This Row],[FECHA DE RECIBIDO]]-DATE(2023,8,30), "")</f>
        <v/>
      </c>
    </row>
    <row r="336" spans="1:37" ht="16.05" customHeight="1">
      <c r="A336" s="150"/>
      <c r="B336" s="151"/>
      <c r="C336" s="126" t="s">
        <v>2916</v>
      </c>
      <c r="D336">
        <v>233</v>
      </c>
      <c r="E336" s="126" t="s">
        <v>2001</v>
      </c>
      <c r="F336" s="122" t="s">
        <v>1607</v>
      </c>
      <c r="G336" s="122" t="s">
        <v>134</v>
      </c>
      <c r="H336">
        <v>23</v>
      </c>
      <c r="I336" s="122" t="s">
        <v>1546</v>
      </c>
      <c r="J336" s="307" t="s">
        <v>214</v>
      </c>
      <c r="K336" s="127">
        <v>-3</v>
      </c>
      <c r="L336" s="151" t="s">
        <v>118</v>
      </c>
      <c r="M336">
        <v>32</v>
      </c>
      <c r="N336" s="123">
        <v>1</v>
      </c>
      <c r="O336">
        <v>254</v>
      </c>
      <c r="P336" s="132" t="s">
        <v>77</v>
      </c>
      <c r="Q336" s="131">
        <v>29612.240000000002</v>
      </c>
      <c r="R336" s="131">
        <v>4737.96</v>
      </c>
      <c r="S336" s="131"/>
      <c r="T336" s="155">
        <v>0</v>
      </c>
      <c r="U336" s="131">
        <v>0</v>
      </c>
      <c r="V336" s="131">
        <v>34350.200000000004</v>
      </c>
      <c r="W336">
        <v>58</v>
      </c>
      <c r="X336" s="151" t="s">
        <v>105</v>
      </c>
      <c r="Y336" s="135" t="s">
        <v>55</v>
      </c>
      <c r="Z336" s="307">
        <v>197</v>
      </c>
      <c r="AB336" t="str">
        <f>IF(Table1[[#This Row],[TIPO2]]="costo", VLOOKUP(Table1[[#This Row],[PARTIDA PRESUPUESTAL]],'Cost Report'!G:G,1,0),"Balance")</f>
        <v>3683-171</v>
      </c>
      <c r="AC336" s="118"/>
      <c r="AD336" s="159">
        <f>+Table1[[#This Row],[SUBTOTAL]]+Table1[[#This Row],[IVA]]-Table1[[#This Row],[RET IVA]]-Table1[[#This Row],[RET ISR]]-Table1[[#This Row],[TOTAL]]</f>
        <v>0</v>
      </c>
      <c r="AE336" s="150"/>
      <c r="AF336" s="151"/>
      <c r="AG336" s="126"/>
      <c r="AK336" s="306" t="str">
        <f>IF(ISNUMBER(Table1[[#This Row],[FECHA DE RECIBIDO]]), Table1[[#This Row],[FECHA DE RECIBIDO]]-DATE(2023,8,30), "")</f>
        <v/>
      </c>
    </row>
    <row r="337" spans="1:37" ht="16.05" customHeight="1">
      <c r="A337" s="152"/>
      <c r="B337" s="153"/>
      <c r="C337" s="126" t="s">
        <v>2907</v>
      </c>
      <c r="D337">
        <v>233</v>
      </c>
      <c r="E337" s="126" t="s">
        <v>2001</v>
      </c>
      <c r="F337" s="125" t="s">
        <v>1607</v>
      </c>
      <c r="G337" s="125" t="s">
        <v>134</v>
      </c>
      <c r="H337">
        <v>23</v>
      </c>
      <c r="I337" s="125" t="s">
        <v>1546</v>
      </c>
      <c r="J337" s="308" t="s">
        <v>214</v>
      </c>
      <c r="K337" s="127">
        <v>-3</v>
      </c>
      <c r="L337" s="153" t="s">
        <v>118</v>
      </c>
      <c r="M337">
        <v>32</v>
      </c>
      <c r="N337" s="123">
        <v>1</v>
      </c>
      <c r="O337">
        <v>254</v>
      </c>
      <c r="P337" s="132" t="s">
        <v>77</v>
      </c>
      <c r="Q337" s="132">
        <v>16257.7</v>
      </c>
      <c r="R337" s="132">
        <v>2601.23</v>
      </c>
      <c r="S337" s="132"/>
      <c r="T337" s="156">
        <v>0</v>
      </c>
      <c r="U337" s="132">
        <v>0</v>
      </c>
      <c r="V337" s="132">
        <v>18858.93</v>
      </c>
      <c r="W337">
        <v>58</v>
      </c>
      <c r="X337" s="153" t="s">
        <v>105</v>
      </c>
      <c r="Y337" s="124" t="s">
        <v>55</v>
      </c>
      <c r="Z337" s="308">
        <v>197</v>
      </c>
      <c r="AB337" t="str">
        <f>IF(Table1[[#This Row],[TIPO2]]="costo", VLOOKUP(Table1[[#This Row],[PARTIDA PRESUPUESTAL]],'Cost Report'!G:G,1,0),"Balance")</f>
        <v>3683-154</v>
      </c>
      <c r="AC337" s="118"/>
      <c r="AD337" s="159">
        <f>+Table1[[#This Row],[SUBTOTAL]]+Table1[[#This Row],[IVA]]-Table1[[#This Row],[RET IVA]]-Table1[[#This Row],[RET ISR]]-Table1[[#This Row],[TOTAL]]</f>
        <v>0</v>
      </c>
      <c r="AE337" s="152"/>
      <c r="AF337" s="153"/>
      <c r="AG337" s="126"/>
      <c r="AK337" s="306" t="str">
        <f>IF(ISNUMBER(Table1[[#This Row],[FECHA DE RECIBIDO]]), Table1[[#This Row],[FECHA DE RECIBIDO]]-DATE(2023,8,30), "")</f>
        <v/>
      </c>
    </row>
    <row r="338" spans="1:37" ht="16.05" customHeight="1">
      <c r="A338" s="150"/>
      <c r="B338" s="151">
        <v>184</v>
      </c>
      <c r="C338" s="126" t="s">
        <v>2864</v>
      </c>
      <c r="D338">
        <v>234</v>
      </c>
      <c r="E338" s="126" t="s">
        <v>2001</v>
      </c>
      <c r="F338" s="122" t="s">
        <v>1607</v>
      </c>
      <c r="G338" s="122" t="s">
        <v>134</v>
      </c>
      <c r="H338">
        <v>23</v>
      </c>
      <c r="I338" s="122" t="s">
        <v>1546</v>
      </c>
      <c r="J338" s="307" t="s">
        <v>214</v>
      </c>
      <c r="K338" s="127">
        <v>-3</v>
      </c>
      <c r="L338" s="151" t="s">
        <v>118</v>
      </c>
      <c r="M338">
        <v>32</v>
      </c>
      <c r="N338" s="123">
        <v>1</v>
      </c>
      <c r="O338">
        <v>255</v>
      </c>
      <c r="P338" s="132" t="s">
        <v>77</v>
      </c>
      <c r="Q338" s="131">
        <v>217000</v>
      </c>
      <c r="R338" s="131">
        <v>34720</v>
      </c>
      <c r="S338" s="131"/>
      <c r="T338" s="155">
        <v>0</v>
      </c>
      <c r="U338" s="131">
        <v>0</v>
      </c>
      <c r="V338" s="131">
        <v>251720</v>
      </c>
      <c r="W338">
        <v>58</v>
      </c>
      <c r="X338" s="151" t="s">
        <v>105</v>
      </c>
      <c r="Y338" s="135" t="s">
        <v>55</v>
      </c>
      <c r="Z338" s="307">
        <v>197</v>
      </c>
      <c r="AB338" t="str">
        <f>IF(Table1[[#This Row],[TIPO2]]="costo", VLOOKUP(Table1[[#This Row],[PARTIDA PRESUPUESTAL]],'Cost Report'!G:G,1,0),"Balance")</f>
        <v>3632-003</v>
      </c>
      <c r="AC338" s="118"/>
      <c r="AD338" s="159">
        <f>+Table1[[#This Row],[SUBTOTAL]]+Table1[[#This Row],[IVA]]-Table1[[#This Row],[RET IVA]]-Table1[[#This Row],[RET ISR]]-Table1[[#This Row],[TOTAL]]</f>
        <v>0</v>
      </c>
      <c r="AE338" s="150"/>
      <c r="AF338" s="151"/>
      <c r="AG338" s="126"/>
      <c r="AK338" s="306" t="str">
        <f>IF(ISNUMBER(Table1[[#This Row],[FECHA DE RECIBIDO]]), Table1[[#This Row],[FECHA DE RECIBIDO]]-DATE(2023,8,30), "")</f>
        <v/>
      </c>
    </row>
    <row r="339" spans="1:37" ht="16.05" customHeight="1">
      <c r="A339" s="152"/>
      <c r="B339" s="153">
        <v>185</v>
      </c>
      <c r="C339" s="126" t="s">
        <v>2836</v>
      </c>
      <c r="D339">
        <v>235</v>
      </c>
      <c r="E339" s="126" t="s">
        <v>2001</v>
      </c>
      <c r="F339" s="125" t="s">
        <v>1607</v>
      </c>
      <c r="G339" s="125" t="s">
        <v>134</v>
      </c>
      <c r="H339">
        <v>23</v>
      </c>
      <c r="I339" s="125" t="s">
        <v>1546</v>
      </c>
      <c r="J339" s="308" t="s">
        <v>214</v>
      </c>
      <c r="K339" s="127">
        <v>-3</v>
      </c>
      <c r="L339" s="153" t="s">
        <v>118</v>
      </c>
      <c r="M339">
        <v>32</v>
      </c>
      <c r="N339" s="123">
        <v>1</v>
      </c>
      <c r="O339">
        <v>256</v>
      </c>
      <c r="P339" s="132" t="s">
        <v>77</v>
      </c>
      <c r="Q339" s="132">
        <v>28038.02</v>
      </c>
      <c r="R339" s="132">
        <v>4486.09</v>
      </c>
      <c r="S339" s="132"/>
      <c r="T339" s="156">
        <v>0</v>
      </c>
      <c r="U339" s="132">
        <v>0</v>
      </c>
      <c r="V339" s="132">
        <v>32524.11</v>
      </c>
      <c r="W339">
        <v>58</v>
      </c>
      <c r="X339" s="153" t="s">
        <v>105</v>
      </c>
      <c r="Y339" s="124" t="s">
        <v>55</v>
      </c>
      <c r="Z339" s="308">
        <v>197</v>
      </c>
      <c r="AB339" t="str">
        <f>IF(Table1[[#This Row],[TIPO2]]="costo", VLOOKUP(Table1[[#This Row],[PARTIDA PRESUPUESTAL]],'Cost Report'!G:G,1,0),"Balance")</f>
        <v>3442-025</v>
      </c>
      <c r="AC339" s="118"/>
      <c r="AD339" s="159">
        <f>+Table1[[#This Row],[SUBTOTAL]]+Table1[[#This Row],[IVA]]-Table1[[#This Row],[RET IVA]]-Table1[[#This Row],[RET ISR]]-Table1[[#This Row],[TOTAL]]</f>
        <v>0</v>
      </c>
      <c r="AE339" s="152"/>
      <c r="AF339" s="153"/>
      <c r="AG339" s="126"/>
      <c r="AK339" s="306" t="str">
        <f>IF(ISNUMBER(Table1[[#This Row],[FECHA DE RECIBIDO]]), Table1[[#This Row],[FECHA DE RECIBIDO]]-DATE(2023,8,30), "")</f>
        <v/>
      </c>
    </row>
    <row r="340" spans="1:37" ht="16.05" customHeight="1">
      <c r="A340" s="150"/>
      <c r="B340" s="151"/>
      <c r="C340" s="126" t="s">
        <v>2836</v>
      </c>
      <c r="D340">
        <v>235</v>
      </c>
      <c r="E340" s="126" t="s">
        <v>2001</v>
      </c>
      <c r="F340" s="122" t="s">
        <v>1607</v>
      </c>
      <c r="G340" s="122" t="s">
        <v>134</v>
      </c>
      <c r="H340">
        <v>23</v>
      </c>
      <c r="I340" s="122" t="s">
        <v>1546</v>
      </c>
      <c r="J340" s="307" t="s">
        <v>214</v>
      </c>
      <c r="K340" s="127">
        <v>-3</v>
      </c>
      <c r="L340" s="151" t="s">
        <v>118</v>
      </c>
      <c r="M340">
        <v>32</v>
      </c>
      <c r="N340" s="123">
        <v>1</v>
      </c>
      <c r="O340">
        <v>256</v>
      </c>
      <c r="P340" s="132" t="s">
        <v>77</v>
      </c>
      <c r="Q340" s="131">
        <v>942.08</v>
      </c>
      <c r="R340" s="131">
        <v>150.72999999999999</v>
      </c>
      <c r="S340" s="131"/>
      <c r="T340" s="155">
        <v>0</v>
      </c>
      <c r="U340" s="131">
        <v>0</v>
      </c>
      <c r="V340" s="131">
        <v>1092.81</v>
      </c>
      <c r="W340">
        <v>58</v>
      </c>
      <c r="X340" s="151" t="s">
        <v>105</v>
      </c>
      <c r="Y340" s="135" t="s">
        <v>55</v>
      </c>
      <c r="Z340" s="307">
        <v>197</v>
      </c>
      <c r="AB340" t="str">
        <f>IF(Table1[[#This Row],[TIPO2]]="costo", VLOOKUP(Table1[[#This Row],[PARTIDA PRESUPUESTAL]],'Cost Report'!G:G,1,0),"Balance")</f>
        <v>3442-025</v>
      </c>
      <c r="AC340" s="118"/>
      <c r="AD340" s="159">
        <f>+Table1[[#This Row],[SUBTOTAL]]+Table1[[#This Row],[IVA]]-Table1[[#This Row],[RET IVA]]-Table1[[#This Row],[RET ISR]]-Table1[[#This Row],[TOTAL]]</f>
        <v>0</v>
      </c>
      <c r="AE340" s="150"/>
      <c r="AF340" s="151"/>
      <c r="AG340" s="126"/>
      <c r="AK340" s="306" t="str">
        <f>IF(ISNUMBER(Table1[[#This Row],[FECHA DE RECIBIDO]]), Table1[[#This Row],[FECHA DE RECIBIDO]]-DATE(2023,8,30), "")</f>
        <v/>
      </c>
    </row>
    <row r="341" spans="1:37" ht="16.05" customHeight="1">
      <c r="A341" s="152"/>
      <c r="B341" s="153"/>
      <c r="C341" s="126" t="s">
        <v>2836</v>
      </c>
      <c r="D341">
        <v>235</v>
      </c>
      <c r="E341" s="126" t="s">
        <v>2001</v>
      </c>
      <c r="F341" s="125" t="s">
        <v>1607</v>
      </c>
      <c r="G341" s="125" t="s">
        <v>134</v>
      </c>
      <c r="H341">
        <v>23</v>
      </c>
      <c r="I341" s="125" t="s">
        <v>1546</v>
      </c>
      <c r="J341" s="308" t="s">
        <v>214</v>
      </c>
      <c r="K341" s="127">
        <v>-3</v>
      </c>
      <c r="L341" s="153" t="s">
        <v>118</v>
      </c>
      <c r="M341">
        <v>32</v>
      </c>
      <c r="N341" s="123">
        <v>1</v>
      </c>
      <c r="O341">
        <v>256</v>
      </c>
      <c r="P341" s="132" t="s">
        <v>77</v>
      </c>
      <c r="Q341" s="132">
        <v>942.08</v>
      </c>
      <c r="R341" s="132">
        <v>150.72999999999999</v>
      </c>
      <c r="S341" s="132"/>
      <c r="T341" s="156">
        <v>0</v>
      </c>
      <c r="U341" s="132">
        <v>0</v>
      </c>
      <c r="V341" s="132">
        <v>1092.81</v>
      </c>
      <c r="W341">
        <v>58</v>
      </c>
      <c r="X341" s="153" t="s">
        <v>105</v>
      </c>
      <c r="Y341" s="124" t="s">
        <v>55</v>
      </c>
      <c r="Z341" s="308">
        <v>197</v>
      </c>
      <c r="AB341" t="str">
        <f>IF(Table1[[#This Row],[TIPO2]]="costo", VLOOKUP(Table1[[#This Row],[PARTIDA PRESUPUESTAL]],'Cost Report'!G:G,1,0),"Balance")</f>
        <v>3442-025</v>
      </c>
      <c r="AC341" s="118"/>
      <c r="AD341" s="159">
        <f>+Table1[[#This Row],[SUBTOTAL]]+Table1[[#This Row],[IVA]]-Table1[[#This Row],[RET IVA]]-Table1[[#This Row],[RET ISR]]-Table1[[#This Row],[TOTAL]]</f>
        <v>0</v>
      </c>
      <c r="AE341" s="152"/>
      <c r="AF341" s="153"/>
      <c r="AG341" s="126"/>
      <c r="AK341" s="306" t="str">
        <f>IF(ISNUMBER(Table1[[#This Row],[FECHA DE RECIBIDO]]), Table1[[#This Row],[FECHA DE RECIBIDO]]-DATE(2023,8,30), "")</f>
        <v/>
      </c>
    </row>
    <row r="342" spans="1:37" ht="16.05" customHeight="1">
      <c r="A342" s="150"/>
      <c r="B342" s="151"/>
      <c r="C342" s="126" t="s">
        <v>2836</v>
      </c>
      <c r="D342">
        <v>235</v>
      </c>
      <c r="E342" s="126" t="s">
        <v>2001</v>
      </c>
      <c r="F342" s="122" t="s">
        <v>1607</v>
      </c>
      <c r="G342" s="122" t="s">
        <v>134</v>
      </c>
      <c r="H342">
        <v>23</v>
      </c>
      <c r="I342" s="122" t="s">
        <v>1546</v>
      </c>
      <c r="J342" s="307" t="s">
        <v>214</v>
      </c>
      <c r="K342" s="127">
        <v>-3</v>
      </c>
      <c r="L342" s="151" t="s">
        <v>118</v>
      </c>
      <c r="M342">
        <v>32</v>
      </c>
      <c r="N342" s="123">
        <v>1</v>
      </c>
      <c r="O342">
        <v>256</v>
      </c>
      <c r="P342" s="132" t="s">
        <v>77</v>
      </c>
      <c r="Q342" s="131">
        <v>1884.16</v>
      </c>
      <c r="R342" s="131">
        <v>301.45999999999998</v>
      </c>
      <c r="S342" s="131"/>
      <c r="T342" s="155">
        <v>0</v>
      </c>
      <c r="U342" s="131">
        <v>0</v>
      </c>
      <c r="V342" s="131">
        <v>2185.62</v>
      </c>
      <c r="W342">
        <v>58</v>
      </c>
      <c r="X342" s="151" t="s">
        <v>105</v>
      </c>
      <c r="Y342" s="135" t="s">
        <v>55</v>
      </c>
      <c r="Z342" s="307">
        <v>197</v>
      </c>
      <c r="AB342" t="str">
        <f>IF(Table1[[#This Row],[TIPO2]]="costo", VLOOKUP(Table1[[#This Row],[PARTIDA PRESUPUESTAL]],'Cost Report'!G:G,1,0),"Balance")</f>
        <v>3442-025</v>
      </c>
      <c r="AC342" s="118"/>
      <c r="AD342" s="159">
        <f>+Table1[[#This Row],[SUBTOTAL]]+Table1[[#This Row],[IVA]]-Table1[[#This Row],[RET IVA]]-Table1[[#This Row],[RET ISR]]-Table1[[#This Row],[TOTAL]]</f>
        <v>0</v>
      </c>
      <c r="AE342" s="150"/>
      <c r="AF342" s="151"/>
      <c r="AG342" s="126"/>
      <c r="AK342" s="306" t="str">
        <f>IF(ISNUMBER(Table1[[#This Row],[FECHA DE RECIBIDO]]), Table1[[#This Row],[FECHA DE RECIBIDO]]-DATE(2023,8,30), "")</f>
        <v/>
      </c>
    </row>
    <row r="343" spans="1:37" ht="16.05" customHeight="1">
      <c r="A343" s="152"/>
      <c r="B343" s="153"/>
      <c r="C343" s="126" t="s">
        <v>2836</v>
      </c>
      <c r="D343">
        <v>235</v>
      </c>
      <c r="E343" s="126" t="s">
        <v>2001</v>
      </c>
      <c r="F343" s="125" t="s">
        <v>1607</v>
      </c>
      <c r="G343" s="125" t="s">
        <v>134</v>
      </c>
      <c r="H343">
        <v>23</v>
      </c>
      <c r="I343" s="125" t="s">
        <v>1546</v>
      </c>
      <c r="J343" s="308" t="s">
        <v>214</v>
      </c>
      <c r="K343" s="127">
        <v>-3</v>
      </c>
      <c r="L343" s="153" t="s">
        <v>118</v>
      </c>
      <c r="M343">
        <v>32</v>
      </c>
      <c r="N343" s="123">
        <v>1</v>
      </c>
      <c r="O343">
        <v>256</v>
      </c>
      <c r="P343" s="132" t="s">
        <v>77</v>
      </c>
      <c r="Q343" s="132">
        <v>46027.22</v>
      </c>
      <c r="R343" s="132">
        <v>7364.36</v>
      </c>
      <c r="S343" s="132"/>
      <c r="T343" s="156">
        <v>0</v>
      </c>
      <c r="U343" s="132">
        <v>0</v>
      </c>
      <c r="V343" s="132">
        <v>53391.58</v>
      </c>
      <c r="W343">
        <v>58</v>
      </c>
      <c r="X343" s="153" t="s">
        <v>105</v>
      </c>
      <c r="Y343" s="124" t="s">
        <v>55</v>
      </c>
      <c r="Z343" s="308">
        <v>197</v>
      </c>
      <c r="AB343" t="str">
        <f>IF(Table1[[#This Row],[TIPO2]]="costo", VLOOKUP(Table1[[#This Row],[PARTIDA PRESUPUESTAL]],'Cost Report'!G:G,1,0),"Balance")</f>
        <v>3442-025</v>
      </c>
      <c r="AC343" s="118"/>
      <c r="AD343" s="159">
        <f>+Table1[[#This Row],[SUBTOTAL]]+Table1[[#This Row],[IVA]]-Table1[[#This Row],[RET IVA]]-Table1[[#This Row],[RET ISR]]-Table1[[#This Row],[TOTAL]]</f>
        <v>0</v>
      </c>
      <c r="AE343" s="152"/>
      <c r="AF343" s="153"/>
      <c r="AG343" s="126"/>
      <c r="AK343" s="306" t="str">
        <f>IF(ISNUMBER(Table1[[#This Row],[FECHA DE RECIBIDO]]), Table1[[#This Row],[FECHA DE RECIBIDO]]-DATE(2023,8,30), "")</f>
        <v/>
      </c>
    </row>
    <row r="344" spans="1:37" ht="16.05" customHeight="1">
      <c r="A344" s="150"/>
      <c r="B344" s="151"/>
      <c r="C344" s="126" t="s">
        <v>2838</v>
      </c>
      <c r="D344">
        <v>235</v>
      </c>
      <c r="E344" s="126" t="s">
        <v>2001</v>
      </c>
      <c r="F344" s="122" t="s">
        <v>1607</v>
      </c>
      <c r="G344" s="122" t="s">
        <v>134</v>
      </c>
      <c r="H344">
        <v>23</v>
      </c>
      <c r="I344" s="122" t="s">
        <v>1546</v>
      </c>
      <c r="J344" s="307" t="s">
        <v>214</v>
      </c>
      <c r="K344" s="127">
        <v>-3</v>
      </c>
      <c r="L344" s="151" t="s">
        <v>118</v>
      </c>
      <c r="M344">
        <v>32</v>
      </c>
      <c r="N344" s="123">
        <v>1</v>
      </c>
      <c r="O344">
        <v>256</v>
      </c>
      <c r="P344" s="132" t="s">
        <v>77</v>
      </c>
      <c r="Q344" s="131">
        <v>6229.25</v>
      </c>
      <c r="R344" s="131">
        <v>996.68</v>
      </c>
      <c r="S344" s="131"/>
      <c r="T344" s="155">
        <v>0</v>
      </c>
      <c r="U344" s="131">
        <v>0</v>
      </c>
      <c r="V344" s="131">
        <v>7225.93</v>
      </c>
      <c r="W344">
        <v>58</v>
      </c>
      <c r="X344" s="151" t="s">
        <v>105</v>
      </c>
      <c r="Y344" s="135" t="s">
        <v>55</v>
      </c>
      <c r="Z344" s="307">
        <v>197</v>
      </c>
      <c r="AB344" t="str">
        <f>IF(Table1[[#This Row],[TIPO2]]="costo", VLOOKUP(Table1[[#This Row],[PARTIDA PRESUPUESTAL]],'Cost Report'!G:G,1,0),"Balance")</f>
        <v>3442-029</v>
      </c>
      <c r="AC344" s="118"/>
      <c r="AD344" s="159">
        <f>+Table1[[#This Row],[SUBTOTAL]]+Table1[[#This Row],[IVA]]-Table1[[#This Row],[RET IVA]]-Table1[[#This Row],[RET ISR]]-Table1[[#This Row],[TOTAL]]</f>
        <v>0</v>
      </c>
      <c r="AE344" s="150"/>
      <c r="AF344" s="151"/>
      <c r="AG344" s="126"/>
      <c r="AK344" s="306" t="str">
        <f>IF(ISNUMBER(Table1[[#This Row],[FECHA DE RECIBIDO]]), Table1[[#This Row],[FECHA DE RECIBIDO]]-DATE(2023,8,30), "")</f>
        <v/>
      </c>
    </row>
    <row r="345" spans="1:37" ht="16.05" customHeight="1">
      <c r="A345" s="152"/>
      <c r="B345" s="153"/>
      <c r="C345" s="126" t="s">
        <v>2836</v>
      </c>
      <c r="D345">
        <v>235</v>
      </c>
      <c r="E345" s="126" t="s">
        <v>2001</v>
      </c>
      <c r="F345" s="125" t="s">
        <v>1607</v>
      </c>
      <c r="G345" s="125" t="s">
        <v>134</v>
      </c>
      <c r="H345">
        <v>23</v>
      </c>
      <c r="I345" s="125" t="s">
        <v>1546</v>
      </c>
      <c r="J345" s="308" t="s">
        <v>214</v>
      </c>
      <c r="K345" s="127">
        <v>-3</v>
      </c>
      <c r="L345" s="153" t="s">
        <v>118</v>
      </c>
      <c r="M345">
        <v>32</v>
      </c>
      <c r="N345" s="123">
        <v>1</v>
      </c>
      <c r="O345">
        <v>256</v>
      </c>
      <c r="P345" s="132" t="s">
        <v>77</v>
      </c>
      <c r="Q345" s="132">
        <v>18168.64</v>
      </c>
      <c r="R345" s="132">
        <v>2906.98</v>
      </c>
      <c r="S345" s="132"/>
      <c r="T345" s="156">
        <v>0</v>
      </c>
      <c r="U345" s="132">
        <v>0</v>
      </c>
      <c r="V345" s="132">
        <v>21075.62</v>
      </c>
      <c r="W345">
        <v>58</v>
      </c>
      <c r="X345" s="153" t="s">
        <v>105</v>
      </c>
      <c r="Y345" s="124" t="s">
        <v>55</v>
      </c>
      <c r="Z345" s="308">
        <v>197</v>
      </c>
      <c r="AB345" t="str">
        <f>IF(Table1[[#This Row],[TIPO2]]="costo", VLOOKUP(Table1[[#This Row],[PARTIDA PRESUPUESTAL]],'Cost Report'!G:G,1,0),"Balance")</f>
        <v>3442-025</v>
      </c>
      <c r="AC345" s="118"/>
      <c r="AD345" s="159">
        <f>+Table1[[#This Row],[SUBTOTAL]]+Table1[[#This Row],[IVA]]-Table1[[#This Row],[RET IVA]]-Table1[[#This Row],[RET ISR]]-Table1[[#This Row],[TOTAL]]</f>
        <v>0</v>
      </c>
      <c r="AE345" s="152"/>
      <c r="AF345" s="153"/>
      <c r="AG345" s="126"/>
      <c r="AK345" s="306" t="str">
        <f>IF(ISNUMBER(Table1[[#This Row],[FECHA DE RECIBIDO]]), Table1[[#This Row],[FECHA DE RECIBIDO]]-DATE(2023,8,30), "")</f>
        <v/>
      </c>
    </row>
    <row r="346" spans="1:37" ht="16.05" customHeight="1">
      <c r="A346" s="150"/>
      <c r="B346" s="151"/>
      <c r="C346" s="126" t="s">
        <v>2838</v>
      </c>
      <c r="D346">
        <v>235</v>
      </c>
      <c r="E346" s="126" t="s">
        <v>2001</v>
      </c>
      <c r="F346" s="122" t="s">
        <v>1607</v>
      </c>
      <c r="G346" s="122" t="s">
        <v>134</v>
      </c>
      <c r="H346">
        <v>23</v>
      </c>
      <c r="I346" s="122" t="s">
        <v>1546</v>
      </c>
      <c r="J346" s="307" t="s">
        <v>214</v>
      </c>
      <c r="K346" s="127">
        <v>-3</v>
      </c>
      <c r="L346" s="151" t="s">
        <v>118</v>
      </c>
      <c r="M346">
        <v>32</v>
      </c>
      <c r="N346" s="123">
        <v>1</v>
      </c>
      <c r="O346">
        <v>256</v>
      </c>
      <c r="P346" s="132" t="s">
        <v>77</v>
      </c>
      <c r="Q346" s="131">
        <v>2768.55</v>
      </c>
      <c r="R346" s="131">
        <v>442.97</v>
      </c>
      <c r="S346" s="131"/>
      <c r="T346" s="155">
        <v>0</v>
      </c>
      <c r="U346" s="131">
        <v>0</v>
      </c>
      <c r="V346" s="131">
        <v>3211.5200000000004</v>
      </c>
      <c r="W346">
        <v>58</v>
      </c>
      <c r="X346" s="151" t="s">
        <v>105</v>
      </c>
      <c r="Y346" s="135" t="s">
        <v>55</v>
      </c>
      <c r="Z346" s="307">
        <v>197</v>
      </c>
      <c r="AB346" t="str">
        <f>IF(Table1[[#This Row],[TIPO2]]="costo", VLOOKUP(Table1[[#This Row],[PARTIDA PRESUPUESTAL]],'Cost Report'!G:G,1,0),"Balance")</f>
        <v>3442-029</v>
      </c>
      <c r="AC346" s="118"/>
      <c r="AD346" s="159">
        <f>+Table1[[#This Row],[SUBTOTAL]]+Table1[[#This Row],[IVA]]-Table1[[#This Row],[RET IVA]]-Table1[[#This Row],[RET ISR]]-Table1[[#This Row],[TOTAL]]</f>
        <v>0</v>
      </c>
      <c r="AE346" s="150"/>
      <c r="AF346" s="151"/>
      <c r="AG346" s="126"/>
      <c r="AK346" s="306" t="str">
        <f>IF(ISNUMBER(Table1[[#This Row],[FECHA DE RECIBIDO]]), Table1[[#This Row],[FECHA DE RECIBIDO]]-DATE(2023,8,30), "")</f>
        <v/>
      </c>
    </row>
    <row r="347" spans="1:37" ht="16.05" customHeight="1">
      <c r="A347" s="152" t="s">
        <v>2057</v>
      </c>
      <c r="B347" s="153">
        <v>267</v>
      </c>
      <c r="C347" s="126" t="s">
        <v>2836</v>
      </c>
      <c r="D347">
        <v>236</v>
      </c>
      <c r="E347" s="126">
        <v>44150</v>
      </c>
      <c r="F347" s="125">
        <v>601</v>
      </c>
      <c r="G347" s="125" t="s">
        <v>134</v>
      </c>
      <c r="H347">
        <v>23</v>
      </c>
      <c r="I347" s="125" t="s">
        <v>1546</v>
      </c>
      <c r="J347" s="308">
        <v>197.58659722222365</v>
      </c>
      <c r="K347" s="127">
        <v>-4</v>
      </c>
      <c r="L347" s="153" t="s">
        <v>118</v>
      </c>
      <c r="M347">
        <v>32</v>
      </c>
      <c r="N347" s="123">
        <v>1</v>
      </c>
      <c r="O347">
        <v>257</v>
      </c>
      <c r="P347" s="132" t="s">
        <v>77</v>
      </c>
      <c r="Q347" s="132">
        <v>1602.17</v>
      </c>
      <c r="R347" s="132">
        <v>256.36</v>
      </c>
      <c r="S347" s="132"/>
      <c r="T347" s="156" t="s">
        <v>3805</v>
      </c>
      <c r="U347" s="132" t="s">
        <v>3805</v>
      </c>
      <c r="V347" s="132">
        <v>1858.53</v>
      </c>
      <c r="W347">
        <v>25</v>
      </c>
      <c r="X347" s="153" t="s">
        <v>105</v>
      </c>
      <c r="Y347" s="124" t="s">
        <v>55</v>
      </c>
      <c r="Z347" s="308">
        <v>202</v>
      </c>
      <c r="AB347" t="str">
        <f>IF(Table1[[#This Row],[TIPO2]]="costo", VLOOKUP(Table1[[#This Row],[PARTIDA PRESUPUESTAL]],'Cost Report'!G:G,1,0),"Balance")</f>
        <v>3442-025</v>
      </c>
      <c r="AC347" s="118"/>
      <c r="AD347" s="159" t="e">
        <f>+Table1[[#This Row],[SUBTOTAL]]+Table1[[#This Row],[IVA]]-Table1[[#This Row],[RET IVA]]-Table1[[#This Row],[RET ISR]]-Table1[[#This Row],[TOTAL]]</f>
        <v>#VALUE!</v>
      </c>
      <c r="AE347" s="152"/>
      <c r="AF347" s="153"/>
      <c r="AG347" s="126"/>
      <c r="AK347" s="306">
        <f>IF(ISNUMBER(Table1[[#This Row],[FECHA DE RECIBIDO]]), Table1[[#This Row],[FECHA DE RECIBIDO]]-DATE(2023,8,30), "")</f>
        <v>-44970.413402777776</v>
      </c>
    </row>
    <row r="348" spans="1:37" ht="16.05" customHeight="1">
      <c r="A348" s="150"/>
      <c r="B348" s="151"/>
      <c r="C348" s="126" t="s">
        <v>2836</v>
      </c>
      <c r="D348">
        <v>236</v>
      </c>
      <c r="E348" s="126">
        <v>44150</v>
      </c>
      <c r="F348" s="122">
        <v>601</v>
      </c>
      <c r="G348" s="122" t="s">
        <v>134</v>
      </c>
      <c r="H348">
        <v>23</v>
      </c>
      <c r="I348" s="122" t="s">
        <v>1546</v>
      </c>
      <c r="J348" s="307">
        <v>197.58659722222365</v>
      </c>
      <c r="K348" s="127">
        <v>-4</v>
      </c>
      <c r="L348" s="151" t="s">
        <v>118</v>
      </c>
      <c r="M348">
        <v>32</v>
      </c>
      <c r="N348" s="123">
        <v>1</v>
      </c>
      <c r="O348">
        <v>257</v>
      </c>
      <c r="P348" s="132" t="s">
        <v>77</v>
      </c>
      <c r="Q348" s="131">
        <v>53.83</v>
      </c>
      <c r="R348" s="131">
        <v>8.61</v>
      </c>
      <c r="S348" s="131"/>
      <c r="T348" s="155" t="s">
        <v>3805</v>
      </c>
      <c r="U348" s="131" t="s">
        <v>3805</v>
      </c>
      <c r="V348" s="131">
        <v>62.44</v>
      </c>
      <c r="W348">
        <v>25</v>
      </c>
      <c r="X348" s="151" t="s">
        <v>105</v>
      </c>
      <c r="Y348" s="135" t="s">
        <v>55</v>
      </c>
      <c r="Z348" s="307">
        <v>202</v>
      </c>
      <c r="AB348" t="str">
        <f>IF(Table1[[#This Row],[TIPO2]]="costo", VLOOKUP(Table1[[#This Row],[PARTIDA PRESUPUESTAL]],'Cost Report'!G:G,1,0),"Balance")</f>
        <v>3442-025</v>
      </c>
      <c r="AC348" s="118"/>
      <c r="AD348" s="159" t="e">
        <f>+Table1[[#This Row],[SUBTOTAL]]+Table1[[#This Row],[IVA]]-Table1[[#This Row],[RET IVA]]-Table1[[#This Row],[RET ISR]]-Table1[[#This Row],[TOTAL]]</f>
        <v>#VALUE!</v>
      </c>
      <c r="AE348" s="150"/>
      <c r="AF348" s="151"/>
      <c r="AG348" s="126"/>
      <c r="AK348" s="306">
        <f>IF(ISNUMBER(Table1[[#This Row],[FECHA DE RECIBIDO]]), Table1[[#This Row],[FECHA DE RECIBIDO]]-DATE(2023,8,30), "")</f>
        <v>-44970.413402777776</v>
      </c>
    </row>
    <row r="349" spans="1:37" ht="16.05" customHeight="1">
      <c r="A349" s="152"/>
      <c r="B349" s="153"/>
      <c r="C349" s="126" t="s">
        <v>2836</v>
      </c>
      <c r="D349">
        <v>236</v>
      </c>
      <c r="E349" s="126">
        <v>44150</v>
      </c>
      <c r="F349" s="125">
        <v>601</v>
      </c>
      <c r="G349" s="125" t="s">
        <v>134</v>
      </c>
      <c r="H349">
        <v>23</v>
      </c>
      <c r="I349" s="125" t="s">
        <v>1546</v>
      </c>
      <c r="J349" s="308">
        <v>197.58659722222365</v>
      </c>
      <c r="K349" s="127">
        <v>-4</v>
      </c>
      <c r="L349" s="153" t="s">
        <v>118</v>
      </c>
      <c r="M349">
        <v>32</v>
      </c>
      <c r="N349" s="123">
        <v>1</v>
      </c>
      <c r="O349">
        <v>257</v>
      </c>
      <c r="P349" s="132" t="s">
        <v>77</v>
      </c>
      <c r="Q349" s="132">
        <v>53.83</v>
      </c>
      <c r="R349" s="132">
        <v>8.61</v>
      </c>
      <c r="S349" s="132"/>
      <c r="T349" s="156" t="s">
        <v>3805</v>
      </c>
      <c r="U349" s="132" t="s">
        <v>3805</v>
      </c>
      <c r="V349" s="132">
        <v>62.44</v>
      </c>
      <c r="W349">
        <v>25</v>
      </c>
      <c r="X349" s="153" t="s">
        <v>105</v>
      </c>
      <c r="Y349" s="124" t="s">
        <v>55</v>
      </c>
      <c r="Z349" s="308">
        <v>202</v>
      </c>
      <c r="AB349" t="str">
        <f>IF(Table1[[#This Row],[TIPO2]]="costo", VLOOKUP(Table1[[#This Row],[PARTIDA PRESUPUESTAL]],'Cost Report'!G:G,1,0),"Balance")</f>
        <v>3442-025</v>
      </c>
      <c r="AC349" s="118"/>
      <c r="AD349" s="159" t="e">
        <f>+Table1[[#This Row],[SUBTOTAL]]+Table1[[#This Row],[IVA]]-Table1[[#This Row],[RET IVA]]-Table1[[#This Row],[RET ISR]]-Table1[[#This Row],[TOTAL]]</f>
        <v>#VALUE!</v>
      </c>
      <c r="AE349" s="152"/>
      <c r="AF349" s="153"/>
      <c r="AG349" s="126"/>
      <c r="AK349" s="306">
        <f>IF(ISNUMBER(Table1[[#This Row],[FECHA DE RECIBIDO]]), Table1[[#This Row],[FECHA DE RECIBIDO]]-DATE(2023,8,30), "")</f>
        <v>-44970.413402777776</v>
      </c>
    </row>
    <row r="350" spans="1:37" ht="16.05" customHeight="1">
      <c r="A350" s="150"/>
      <c r="B350" s="151"/>
      <c r="C350" s="126" t="s">
        <v>2836</v>
      </c>
      <c r="D350">
        <v>236</v>
      </c>
      <c r="E350" s="126">
        <v>44150</v>
      </c>
      <c r="F350" s="122">
        <v>601</v>
      </c>
      <c r="G350" s="122" t="s">
        <v>134</v>
      </c>
      <c r="H350">
        <v>23</v>
      </c>
      <c r="I350" s="122" t="s">
        <v>1546</v>
      </c>
      <c r="J350" s="307">
        <v>197.58659722222365</v>
      </c>
      <c r="K350" s="127">
        <v>-4</v>
      </c>
      <c r="L350" s="151" t="s">
        <v>118</v>
      </c>
      <c r="M350">
        <v>32</v>
      </c>
      <c r="N350" s="123">
        <v>1</v>
      </c>
      <c r="O350">
        <v>257</v>
      </c>
      <c r="P350" s="132" t="s">
        <v>77</v>
      </c>
      <c r="Q350" s="131">
        <v>107.67</v>
      </c>
      <c r="R350" s="131">
        <v>17.23</v>
      </c>
      <c r="S350" s="131"/>
      <c r="T350" s="155" t="s">
        <v>3805</v>
      </c>
      <c r="U350" s="131" t="s">
        <v>3805</v>
      </c>
      <c r="V350" s="131">
        <v>124.9</v>
      </c>
      <c r="W350">
        <v>25</v>
      </c>
      <c r="X350" s="151" t="s">
        <v>105</v>
      </c>
      <c r="Y350" s="135" t="s">
        <v>55</v>
      </c>
      <c r="Z350" s="307">
        <v>202</v>
      </c>
      <c r="AB350" t="str">
        <f>IF(Table1[[#This Row],[TIPO2]]="costo", VLOOKUP(Table1[[#This Row],[PARTIDA PRESUPUESTAL]],'Cost Report'!G:G,1,0),"Balance")</f>
        <v>3442-025</v>
      </c>
      <c r="AC350" s="118"/>
      <c r="AD350" s="159" t="e">
        <f>+Table1[[#This Row],[SUBTOTAL]]+Table1[[#This Row],[IVA]]-Table1[[#This Row],[RET IVA]]-Table1[[#This Row],[RET ISR]]-Table1[[#This Row],[TOTAL]]</f>
        <v>#VALUE!</v>
      </c>
      <c r="AE350" s="150"/>
      <c r="AF350" s="151"/>
      <c r="AG350" s="126"/>
      <c r="AK350" s="306">
        <f>IF(ISNUMBER(Table1[[#This Row],[FECHA DE RECIBIDO]]), Table1[[#This Row],[FECHA DE RECIBIDO]]-DATE(2023,8,30), "")</f>
        <v>-44970.413402777776</v>
      </c>
    </row>
    <row r="351" spans="1:37" ht="16.05" customHeight="1">
      <c r="A351" s="152"/>
      <c r="B351" s="153"/>
      <c r="C351" s="126" t="s">
        <v>2836</v>
      </c>
      <c r="D351">
        <v>236</v>
      </c>
      <c r="E351" s="126">
        <v>44150</v>
      </c>
      <c r="F351" s="125">
        <v>601</v>
      </c>
      <c r="G351" s="125" t="s">
        <v>134</v>
      </c>
      <c r="H351">
        <v>23</v>
      </c>
      <c r="I351" s="125" t="s">
        <v>1546</v>
      </c>
      <c r="J351" s="308">
        <v>197.58659722222365</v>
      </c>
      <c r="K351" s="127">
        <v>-4</v>
      </c>
      <c r="L351" s="153" t="s">
        <v>118</v>
      </c>
      <c r="M351">
        <v>32</v>
      </c>
      <c r="N351" s="123">
        <v>1</v>
      </c>
      <c r="O351">
        <v>257</v>
      </c>
      <c r="P351" s="132" t="s">
        <v>77</v>
      </c>
      <c r="Q351" s="132">
        <v>2630.13</v>
      </c>
      <c r="R351" s="132">
        <v>420.82</v>
      </c>
      <c r="S351" s="132"/>
      <c r="T351" s="156" t="s">
        <v>3805</v>
      </c>
      <c r="U351" s="132" t="s">
        <v>3805</v>
      </c>
      <c r="V351" s="132">
        <v>3050.95</v>
      </c>
      <c r="W351">
        <v>25</v>
      </c>
      <c r="X351" s="153" t="s">
        <v>105</v>
      </c>
      <c r="Y351" s="124" t="s">
        <v>55</v>
      </c>
      <c r="Z351" s="308">
        <v>202</v>
      </c>
      <c r="AB351" t="str">
        <f>IF(Table1[[#This Row],[TIPO2]]="costo", VLOOKUP(Table1[[#This Row],[PARTIDA PRESUPUESTAL]],'Cost Report'!G:G,1,0),"Balance")</f>
        <v>3442-025</v>
      </c>
      <c r="AC351" s="118"/>
      <c r="AD351" s="159" t="e">
        <f>+Table1[[#This Row],[SUBTOTAL]]+Table1[[#This Row],[IVA]]-Table1[[#This Row],[RET IVA]]-Table1[[#This Row],[RET ISR]]-Table1[[#This Row],[TOTAL]]</f>
        <v>#VALUE!</v>
      </c>
      <c r="AE351" s="152"/>
      <c r="AF351" s="153"/>
      <c r="AG351" s="126"/>
      <c r="AK351" s="306">
        <f>IF(ISNUMBER(Table1[[#This Row],[FECHA DE RECIBIDO]]), Table1[[#This Row],[FECHA DE RECIBIDO]]-DATE(2023,8,30), "")</f>
        <v>-44970.413402777776</v>
      </c>
    </row>
    <row r="352" spans="1:37" ht="16.05" customHeight="1">
      <c r="A352" s="150"/>
      <c r="B352" s="151"/>
      <c r="C352" s="126" t="s">
        <v>2838</v>
      </c>
      <c r="D352">
        <v>236</v>
      </c>
      <c r="E352" s="126">
        <v>44150</v>
      </c>
      <c r="F352" s="122">
        <v>601</v>
      </c>
      <c r="G352" s="122" t="s">
        <v>134</v>
      </c>
      <c r="H352">
        <v>23</v>
      </c>
      <c r="I352" s="122" t="s">
        <v>1546</v>
      </c>
      <c r="J352" s="307">
        <v>197.58659722222365</v>
      </c>
      <c r="K352" s="127">
        <v>-4</v>
      </c>
      <c r="L352" s="151" t="s">
        <v>118</v>
      </c>
      <c r="M352">
        <v>32</v>
      </c>
      <c r="N352" s="123">
        <v>1</v>
      </c>
      <c r="O352">
        <v>257</v>
      </c>
      <c r="P352" s="132" t="s">
        <v>77</v>
      </c>
      <c r="Q352" s="131">
        <v>355.96</v>
      </c>
      <c r="R352" s="131">
        <v>56.95</v>
      </c>
      <c r="S352" s="131"/>
      <c r="T352" s="155" t="s">
        <v>3805</v>
      </c>
      <c r="U352" s="131" t="s">
        <v>3805</v>
      </c>
      <c r="V352" s="131">
        <v>412.91</v>
      </c>
      <c r="W352">
        <v>25</v>
      </c>
      <c r="X352" s="151" t="s">
        <v>105</v>
      </c>
      <c r="Y352" s="135" t="s">
        <v>55</v>
      </c>
      <c r="Z352" s="307">
        <v>202</v>
      </c>
      <c r="AB352" t="str">
        <f>IF(Table1[[#This Row],[TIPO2]]="costo", VLOOKUP(Table1[[#This Row],[PARTIDA PRESUPUESTAL]],'Cost Report'!G:G,1,0),"Balance")</f>
        <v>3442-029</v>
      </c>
      <c r="AC352" s="118"/>
      <c r="AD352" s="159" t="e">
        <f>+Table1[[#This Row],[SUBTOTAL]]+Table1[[#This Row],[IVA]]-Table1[[#This Row],[RET IVA]]-Table1[[#This Row],[RET ISR]]-Table1[[#This Row],[TOTAL]]</f>
        <v>#VALUE!</v>
      </c>
      <c r="AE352" s="150"/>
      <c r="AF352" s="151"/>
      <c r="AG352" s="126"/>
      <c r="AK352" s="306">
        <f>IF(ISNUMBER(Table1[[#This Row],[FECHA DE RECIBIDO]]), Table1[[#This Row],[FECHA DE RECIBIDO]]-DATE(2023,8,30), "")</f>
        <v>-44970.413402777776</v>
      </c>
    </row>
    <row r="353" spans="1:37" ht="16.05" customHeight="1">
      <c r="A353" s="152"/>
      <c r="B353" s="153"/>
      <c r="C353" s="126" t="s">
        <v>2836</v>
      </c>
      <c r="D353">
        <v>236</v>
      </c>
      <c r="E353" s="126">
        <v>44150</v>
      </c>
      <c r="F353" s="125">
        <v>601</v>
      </c>
      <c r="G353" s="125" t="s">
        <v>134</v>
      </c>
      <c r="H353">
        <v>23</v>
      </c>
      <c r="I353" s="125" t="s">
        <v>1546</v>
      </c>
      <c r="J353" s="308">
        <v>197.58659722222365</v>
      </c>
      <c r="K353" s="127">
        <v>-4</v>
      </c>
      <c r="L353" s="153" t="s">
        <v>118</v>
      </c>
      <c r="M353">
        <v>32</v>
      </c>
      <c r="N353" s="123">
        <v>1</v>
      </c>
      <c r="O353">
        <v>257</v>
      </c>
      <c r="P353" s="132" t="s">
        <v>77</v>
      </c>
      <c r="Q353" s="132">
        <v>1038.21</v>
      </c>
      <c r="R353" s="132">
        <v>166.11</v>
      </c>
      <c r="S353" s="132"/>
      <c r="T353" s="156" t="s">
        <v>3805</v>
      </c>
      <c r="U353" s="132" t="s">
        <v>3805</v>
      </c>
      <c r="V353" s="132">
        <v>1204.32</v>
      </c>
      <c r="W353">
        <v>25</v>
      </c>
      <c r="X353" s="153" t="s">
        <v>105</v>
      </c>
      <c r="Y353" s="124" t="s">
        <v>55</v>
      </c>
      <c r="Z353" s="308">
        <v>202</v>
      </c>
      <c r="AB353" t="str">
        <f>IF(Table1[[#This Row],[TIPO2]]="costo", VLOOKUP(Table1[[#This Row],[PARTIDA PRESUPUESTAL]],'Cost Report'!G:G,1,0),"Balance")</f>
        <v>3442-025</v>
      </c>
      <c r="AC353" s="118"/>
      <c r="AD353" s="159" t="e">
        <f>+Table1[[#This Row],[SUBTOTAL]]+Table1[[#This Row],[IVA]]-Table1[[#This Row],[RET IVA]]-Table1[[#This Row],[RET ISR]]-Table1[[#This Row],[TOTAL]]</f>
        <v>#VALUE!</v>
      </c>
      <c r="AE353" s="152"/>
      <c r="AF353" s="153"/>
      <c r="AG353" s="126"/>
      <c r="AK353" s="306">
        <f>IF(ISNUMBER(Table1[[#This Row],[FECHA DE RECIBIDO]]), Table1[[#This Row],[FECHA DE RECIBIDO]]-DATE(2023,8,30), "")</f>
        <v>-44970.413402777776</v>
      </c>
    </row>
    <row r="354" spans="1:37" ht="16.05" customHeight="1">
      <c r="A354" s="150"/>
      <c r="B354" s="151"/>
      <c r="C354" s="126" t="s">
        <v>2838</v>
      </c>
      <c r="D354">
        <v>236</v>
      </c>
      <c r="E354" s="126">
        <v>44150</v>
      </c>
      <c r="F354" s="122">
        <v>601</v>
      </c>
      <c r="G354" s="122" t="s">
        <v>134</v>
      </c>
      <c r="H354">
        <v>23</v>
      </c>
      <c r="I354" s="122" t="s">
        <v>1546</v>
      </c>
      <c r="J354" s="307">
        <v>197.58659722222365</v>
      </c>
      <c r="K354" s="127">
        <v>-4</v>
      </c>
      <c r="L354" s="151" t="s">
        <v>118</v>
      </c>
      <c r="M354">
        <v>32</v>
      </c>
      <c r="N354" s="123">
        <v>1</v>
      </c>
      <c r="O354">
        <v>257</v>
      </c>
      <c r="P354" s="132" t="s">
        <v>77</v>
      </c>
      <c r="Q354" s="131">
        <v>158.19999999999999</v>
      </c>
      <c r="R354" s="131">
        <v>25.31</v>
      </c>
      <c r="S354" s="131"/>
      <c r="T354" s="155" t="s">
        <v>3805</v>
      </c>
      <c r="U354" s="131" t="s">
        <v>3805</v>
      </c>
      <c r="V354" s="131">
        <v>183.51</v>
      </c>
      <c r="W354">
        <v>25</v>
      </c>
      <c r="X354" s="151" t="s">
        <v>105</v>
      </c>
      <c r="Y354" s="135" t="s">
        <v>55</v>
      </c>
      <c r="Z354" s="307">
        <v>202</v>
      </c>
      <c r="AB354" t="str">
        <f>IF(Table1[[#This Row],[TIPO2]]="costo", VLOOKUP(Table1[[#This Row],[PARTIDA PRESUPUESTAL]],'Cost Report'!G:G,1,0),"Balance")</f>
        <v>3442-029</v>
      </c>
      <c r="AC354" s="118"/>
      <c r="AD354" s="159" t="e">
        <f>+Table1[[#This Row],[SUBTOTAL]]+Table1[[#This Row],[IVA]]-Table1[[#This Row],[RET IVA]]-Table1[[#This Row],[RET ISR]]-Table1[[#This Row],[TOTAL]]</f>
        <v>#VALUE!</v>
      </c>
      <c r="AE354" s="150"/>
      <c r="AF354" s="151"/>
      <c r="AG354" s="126"/>
      <c r="AK354" s="306">
        <f>IF(ISNUMBER(Table1[[#This Row],[FECHA DE RECIBIDO]]), Table1[[#This Row],[FECHA DE RECIBIDO]]-DATE(2023,8,30), "")</f>
        <v>-44970.413402777776</v>
      </c>
    </row>
    <row r="355" spans="1:37" ht="16.05" customHeight="1">
      <c r="A355" s="152"/>
      <c r="B355" s="153">
        <v>268</v>
      </c>
      <c r="C355" s="126" t="s">
        <v>2864</v>
      </c>
      <c r="D355">
        <v>237</v>
      </c>
      <c r="E355" s="126">
        <v>44150</v>
      </c>
      <c r="F355" s="125">
        <v>601</v>
      </c>
      <c r="G355" s="125" t="s">
        <v>134</v>
      </c>
      <c r="H355">
        <v>23</v>
      </c>
      <c r="I355" s="125" t="s">
        <v>1546</v>
      </c>
      <c r="J355" s="308">
        <v>197.58537037036876</v>
      </c>
      <c r="K355" s="127">
        <v>-4</v>
      </c>
      <c r="L355" s="153" t="s">
        <v>118</v>
      </c>
      <c r="M355">
        <v>32</v>
      </c>
      <c r="N355" s="123">
        <v>1</v>
      </c>
      <c r="O355">
        <v>258</v>
      </c>
      <c r="P355" s="132" t="s">
        <v>77</v>
      </c>
      <c r="Q355" s="132">
        <v>11798.19</v>
      </c>
      <c r="R355" s="132">
        <v>1887.71</v>
      </c>
      <c r="S355" s="132"/>
      <c r="T355" s="156" t="s">
        <v>3805</v>
      </c>
      <c r="U355" s="132" t="s">
        <v>3805</v>
      </c>
      <c r="V355" s="132">
        <v>13685.9</v>
      </c>
      <c r="W355">
        <v>25</v>
      </c>
      <c r="X355" s="153" t="s">
        <v>105</v>
      </c>
      <c r="Y355" s="124" t="s">
        <v>55</v>
      </c>
      <c r="Z355" s="308">
        <v>202</v>
      </c>
      <c r="AB355" t="str">
        <f>IF(Table1[[#This Row],[TIPO2]]="costo", VLOOKUP(Table1[[#This Row],[PARTIDA PRESUPUESTAL]],'Cost Report'!G:G,1,0),"Balance")</f>
        <v>3632-003</v>
      </c>
      <c r="AC355" s="118"/>
      <c r="AD355" s="159" t="e">
        <f>+Table1[[#This Row],[SUBTOTAL]]+Table1[[#This Row],[IVA]]-Table1[[#This Row],[RET IVA]]-Table1[[#This Row],[RET ISR]]-Table1[[#This Row],[TOTAL]]</f>
        <v>#VALUE!</v>
      </c>
      <c r="AE355" s="152"/>
      <c r="AF355" s="153"/>
      <c r="AG355" s="126"/>
      <c r="AK355" s="306">
        <f>IF(ISNUMBER(Table1[[#This Row],[FECHA DE RECIBIDO]]), Table1[[#This Row],[FECHA DE RECIBIDO]]-DATE(2023,8,30), "")</f>
        <v>-44970.414629629631</v>
      </c>
    </row>
    <row r="356" spans="1:37" ht="16.05" customHeight="1">
      <c r="A356" s="150"/>
      <c r="B356" s="151"/>
      <c r="C356" s="126" t="s">
        <v>2864</v>
      </c>
      <c r="D356">
        <v>237</v>
      </c>
      <c r="E356" s="126">
        <v>44150</v>
      </c>
      <c r="F356" s="122">
        <v>601</v>
      </c>
      <c r="G356" s="122" t="s">
        <v>134</v>
      </c>
      <c r="H356">
        <v>23</v>
      </c>
      <c r="I356" s="122" t="s">
        <v>1546</v>
      </c>
      <c r="J356" s="307">
        <v>197.58537037036876</v>
      </c>
      <c r="K356" s="127">
        <v>-4</v>
      </c>
      <c r="L356" s="151" t="s">
        <v>118</v>
      </c>
      <c r="M356">
        <v>32</v>
      </c>
      <c r="N356" s="123">
        <v>1</v>
      </c>
      <c r="O356">
        <v>258</v>
      </c>
      <c r="P356" s="132" t="s">
        <v>77</v>
      </c>
      <c r="Q356" s="131">
        <v>1236</v>
      </c>
      <c r="R356" s="131">
        <v>197.76</v>
      </c>
      <c r="S356" s="131"/>
      <c r="T356" s="155" t="s">
        <v>3805</v>
      </c>
      <c r="U356" s="131" t="s">
        <v>3805</v>
      </c>
      <c r="V356" s="131">
        <v>1433.76</v>
      </c>
      <c r="W356">
        <v>25</v>
      </c>
      <c r="X356" s="151" t="s">
        <v>105</v>
      </c>
      <c r="Y356" s="135" t="s">
        <v>55</v>
      </c>
      <c r="Z356" s="307">
        <v>202</v>
      </c>
      <c r="AB356" t="str">
        <f>IF(Table1[[#This Row],[TIPO2]]="costo", VLOOKUP(Table1[[#This Row],[PARTIDA PRESUPUESTAL]],'Cost Report'!G:G,1,0),"Balance")</f>
        <v>3632-003</v>
      </c>
      <c r="AC356" s="118"/>
      <c r="AD356" s="159" t="e">
        <f>+Table1[[#This Row],[SUBTOTAL]]+Table1[[#This Row],[IVA]]-Table1[[#This Row],[RET IVA]]-Table1[[#This Row],[RET ISR]]-Table1[[#This Row],[TOTAL]]</f>
        <v>#VALUE!</v>
      </c>
      <c r="AE356" s="150"/>
      <c r="AF356" s="151"/>
      <c r="AG356" s="126"/>
      <c r="AK356" s="306">
        <f>IF(ISNUMBER(Table1[[#This Row],[FECHA DE RECIBIDO]]), Table1[[#This Row],[FECHA DE RECIBIDO]]-DATE(2023,8,30), "")</f>
        <v>-44970.414629629631</v>
      </c>
    </row>
    <row r="357" spans="1:37" ht="16.05" customHeight="1">
      <c r="A357" s="152"/>
      <c r="B357" s="153">
        <v>269</v>
      </c>
      <c r="C357" s="126" t="s">
        <v>1791</v>
      </c>
      <c r="D357">
        <v>238</v>
      </c>
      <c r="E357" s="126">
        <v>44150</v>
      </c>
      <c r="F357" s="125">
        <v>601</v>
      </c>
      <c r="G357" s="125" t="s">
        <v>134</v>
      </c>
      <c r="H357">
        <v>23</v>
      </c>
      <c r="I357" s="125" t="s">
        <v>1546</v>
      </c>
      <c r="J357" s="308">
        <v>197.58407407407503</v>
      </c>
      <c r="K357" s="127">
        <v>-4</v>
      </c>
      <c r="L357" s="153" t="s">
        <v>118</v>
      </c>
      <c r="M357">
        <v>32</v>
      </c>
      <c r="N357" s="123">
        <v>1</v>
      </c>
      <c r="O357">
        <v>259</v>
      </c>
      <c r="P357" s="132" t="s">
        <v>77</v>
      </c>
      <c r="Q357" s="132">
        <v>76753.34</v>
      </c>
      <c r="R357" s="132">
        <v>12280.49</v>
      </c>
      <c r="S357" s="132"/>
      <c r="T357" s="156" t="s">
        <v>3805</v>
      </c>
      <c r="U357" s="132" t="s">
        <v>3805</v>
      </c>
      <c r="V357" s="132">
        <v>5130.57</v>
      </c>
      <c r="W357">
        <v>25</v>
      </c>
      <c r="X357" s="153" t="s">
        <v>105</v>
      </c>
      <c r="Y357" s="124" t="s">
        <v>55</v>
      </c>
      <c r="Z357" s="308">
        <v>202</v>
      </c>
      <c r="AB357" t="str">
        <f>IF(Table1[[#This Row],[TIPO2]]="costo", VLOOKUP(Table1[[#This Row],[PARTIDA PRESUPUESTAL]],'Cost Report'!G:G,1,0),"Balance")</f>
        <v>1287-006</v>
      </c>
      <c r="AC357" s="118"/>
      <c r="AD357" s="159" t="e">
        <f>+Table1[[#This Row],[SUBTOTAL]]+Table1[[#This Row],[IVA]]-Table1[[#This Row],[RET IVA]]-Table1[[#This Row],[RET ISR]]-Table1[[#This Row],[TOTAL]]</f>
        <v>#VALUE!</v>
      </c>
      <c r="AE357" s="152"/>
      <c r="AF357" s="153"/>
      <c r="AG357" s="126"/>
      <c r="AK357" s="306">
        <f>IF(ISNUMBER(Table1[[#This Row],[FECHA DE RECIBIDO]]), Table1[[#This Row],[FECHA DE RECIBIDO]]-DATE(2023,8,30), "")</f>
        <v>-44970.415925925925</v>
      </c>
    </row>
    <row r="358" spans="1:37" ht="16.05" customHeight="1">
      <c r="A358" s="150" t="s">
        <v>2039</v>
      </c>
      <c r="B358" s="151">
        <v>276</v>
      </c>
      <c r="C358" s="126" t="s">
        <v>2835</v>
      </c>
      <c r="D358">
        <v>239</v>
      </c>
      <c r="E358" s="126">
        <v>44150</v>
      </c>
      <c r="F358" s="122">
        <v>601</v>
      </c>
      <c r="G358" s="122" t="s">
        <v>134</v>
      </c>
      <c r="H358">
        <v>23</v>
      </c>
      <c r="I358" s="122" t="s">
        <v>1546</v>
      </c>
      <c r="J358" s="307">
        <v>204.50793981481547</v>
      </c>
      <c r="K358" s="127" t="s">
        <v>3397</v>
      </c>
      <c r="L358" s="151" t="s">
        <v>118</v>
      </c>
      <c r="M358">
        <v>32</v>
      </c>
      <c r="N358" s="123">
        <v>1</v>
      </c>
      <c r="O358">
        <v>260</v>
      </c>
      <c r="P358" s="132" t="s">
        <v>77</v>
      </c>
      <c r="Q358" s="131">
        <v>355</v>
      </c>
      <c r="R358" s="131">
        <v>56.8</v>
      </c>
      <c r="S358" s="131"/>
      <c r="T358" s="155" t="s">
        <v>3805</v>
      </c>
      <c r="U358" s="131" t="s">
        <v>3805</v>
      </c>
      <c r="V358" s="131">
        <v>411.8</v>
      </c>
      <c r="W358">
        <v>25</v>
      </c>
      <c r="X358" s="151" t="s">
        <v>105</v>
      </c>
      <c r="Y358" s="135" t="s">
        <v>55</v>
      </c>
      <c r="Z358" s="307">
        <v>203</v>
      </c>
      <c r="AB358" t="str">
        <f>IF(Table1[[#This Row],[TIPO2]]="costo", VLOOKUP(Table1[[#This Row],[PARTIDA PRESUPUESTAL]],'Cost Report'!G:G,1,0),"Balance")</f>
        <v>3442-024</v>
      </c>
      <c r="AC358" s="118"/>
      <c r="AD358" s="159" t="e">
        <f>+Table1[[#This Row],[SUBTOTAL]]+Table1[[#This Row],[IVA]]-Table1[[#This Row],[RET IVA]]-Table1[[#This Row],[RET ISR]]-Table1[[#This Row],[TOTAL]]</f>
        <v>#VALUE!</v>
      </c>
      <c r="AE358" s="150"/>
      <c r="AF358" s="151"/>
      <c r="AG358" s="126"/>
      <c r="AK358" s="306">
        <f>IF(ISNUMBER(Table1[[#This Row],[FECHA DE RECIBIDO]]), Table1[[#This Row],[FECHA DE RECIBIDO]]-DATE(2023,8,30), "")</f>
        <v>-44963.492060185185</v>
      </c>
    </row>
    <row r="359" spans="1:37" ht="16.05" customHeight="1">
      <c r="A359" s="152"/>
      <c r="B359" s="153">
        <v>277</v>
      </c>
      <c r="C359" s="126" t="s">
        <v>2991</v>
      </c>
      <c r="D359">
        <v>240</v>
      </c>
      <c r="E359" s="126">
        <v>44150</v>
      </c>
      <c r="F359" s="125">
        <v>601</v>
      </c>
      <c r="G359" s="125" t="s">
        <v>134</v>
      </c>
      <c r="H359">
        <v>23</v>
      </c>
      <c r="I359" s="125" t="s">
        <v>1546</v>
      </c>
      <c r="J359" s="308">
        <v>204.50696759259154</v>
      </c>
      <c r="K359" s="127" t="s">
        <v>3397</v>
      </c>
      <c r="L359" s="153" t="s">
        <v>118</v>
      </c>
      <c r="M359">
        <v>32</v>
      </c>
      <c r="N359" s="123">
        <v>1</v>
      </c>
      <c r="O359">
        <v>261</v>
      </c>
      <c r="P359" s="132" t="s">
        <v>77</v>
      </c>
      <c r="Q359" s="132">
        <v>350.23</v>
      </c>
      <c r="R359" s="132">
        <v>56.04</v>
      </c>
      <c r="S359" s="132"/>
      <c r="T359" s="156" t="s">
        <v>3805</v>
      </c>
      <c r="U359" s="132" t="s">
        <v>3805</v>
      </c>
      <c r="V359" s="132">
        <v>406.27</v>
      </c>
      <c r="W359">
        <v>25</v>
      </c>
      <c r="X359" s="153" t="s">
        <v>105</v>
      </c>
      <c r="Y359" s="124" t="s">
        <v>55</v>
      </c>
      <c r="Z359" s="308">
        <v>203</v>
      </c>
      <c r="AB359" t="str">
        <f>IF(Table1[[#This Row],[TIPO2]]="costo", VLOOKUP(Table1[[#This Row],[PARTIDA PRESUPUESTAL]],'Cost Report'!G:G,1,0),"Balance")</f>
        <v>3936-003</v>
      </c>
      <c r="AC359" s="118"/>
      <c r="AD359" s="159" t="e">
        <f>+Table1[[#This Row],[SUBTOTAL]]+Table1[[#This Row],[IVA]]-Table1[[#This Row],[RET IVA]]-Table1[[#This Row],[RET ISR]]-Table1[[#This Row],[TOTAL]]</f>
        <v>#VALUE!</v>
      </c>
      <c r="AE359" s="152"/>
      <c r="AF359" s="153"/>
      <c r="AG359" s="126"/>
      <c r="AK359" s="306">
        <f>IF(ISNUMBER(Table1[[#This Row],[FECHA DE RECIBIDO]]), Table1[[#This Row],[FECHA DE RECIBIDO]]-DATE(2023,8,30), "")</f>
        <v>-44963.493032407408</v>
      </c>
    </row>
    <row r="360" spans="1:37" ht="16.05" customHeight="1">
      <c r="A360" s="150"/>
      <c r="B360" s="151"/>
      <c r="C360" s="126" t="s">
        <v>2992</v>
      </c>
      <c r="D360">
        <v>240</v>
      </c>
      <c r="E360" s="126">
        <v>44150</v>
      </c>
      <c r="F360" s="122">
        <v>601</v>
      </c>
      <c r="G360" s="122" t="s">
        <v>134</v>
      </c>
      <c r="H360">
        <v>23</v>
      </c>
      <c r="I360" s="122" t="s">
        <v>1546</v>
      </c>
      <c r="J360" s="307">
        <v>204.50696759259154</v>
      </c>
      <c r="K360" s="127" t="s">
        <v>3397</v>
      </c>
      <c r="L360" s="151" t="s">
        <v>118</v>
      </c>
      <c r="M360">
        <v>32</v>
      </c>
      <c r="N360" s="123">
        <v>1</v>
      </c>
      <c r="O360">
        <v>261</v>
      </c>
      <c r="P360" s="132" t="s">
        <v>77</v>
      </c>
      <c r="Q360" s="131">
        <v>350.23</v>
      </c>
      <c r="R360" s="131">
        <v>56.04</v>
      </c>
      <c r="S360" s="131"/>
      <c r="T360" s="155" t="s">
        <v>3805</v>
      </c>
      <c r="U360" s="131" t="s">
        <v>3805</v>
      </c>
      <c r="V360" s="131">
        <v>406.27</v>
      </c>
      <c r="W360">
        <v>25</v>
      </c>
      <c r="X360" s="151" t="s">
        <v>105</v>
      </c>
      <c r="Y360" s="135" t="s">
        <v>55</v>
      </c>
      <c r="Z360" s="307">
        <v>203</v>
      </c>
      <c r="AB360" t="str">
        <f>IF(Table1[[#This Row],[TIPO2]]="costo", VLOOKUP(Table1[[#This Row],[PARTIDA PRESUPUESTAL]],'Cost Report'!G:G,1,0),"Balance")</f>
        <v>3936-004</v>
      </c>
      <c r="AC360" s="118"/>
      <c r="AD360" s="159" t="e">
        <f>+Table1[[#This Row],[SUBTOTAL]]+Table1[[#This Row],[IVA]]-Table1[[#This Row],[RET IVA]]-Table1[[#This Row],[RET ISR]]-Table1[[#This Row],[TOTAL]]</f>
        <v>#VALUE!</v>
      </c>
      <c r="AE360" s="150"/>
      <c r="AF360" s="151"/>
      <c r="AG360" s="126"/>
      <c r="AK360" s="306">
        <f>IF(ISNUMBER(Table1[[#This Row],[FECHA DE RECIBIDO]]), Table1[[#This Row],[FECHA DE RECIBIDO]]-DATE(2023,8,30), "")</f>
        <v>-44963.493032407408</v>
      </c>
    </row>
    <row r="361" spans="1:37" ht="16.05" customHeight="1">
      <c r="A361" s="152"/>
      <c r="B361" s="153"/>
      <c r="C361" s="126" t="s">
        <v>2994</v>
      </c>
      <c r="D361">
        <v>240</v>
      </c>
      <c r="E361" s="126">
        <v>44150</v>
      </c>
      <c r="F361" s="125">
        <v>601</v>
      </c>
      <c r="G361" s="125" t="s">
        <v>134</v>
      </c>
      <c r="H361">
        <v>23</v>
      </c>
      <c r="I361" s="125" t="s">
        <v>1546</v>
      </c>
      <c r="J361" s="308">
        <v>204.50696759259154</v>
      </c>
      <c r="K361" s="127" t="s">
        <v>3397</v>
      </c>
      <c r="L361" s="153" t="s">
        <v>118</v>
      </c>
      <c r="M361">
        <v>32</v>
      </c>
      <c r="N361" s="123">
        <v>1</v>
      </c>
      <c r="O361">
        <v>261</v>
      </c>
      <c r="P361" s="132" t="s">
        <v>77</v>
      </c>
      <c r="Q361" s="132">
        <v>181.15</v>
      </c>
      <c r="R361" s="132">
        <v>28.98</v>
      </c>
      <c r="S361" s="132"/>
      <c r="T361" s="156" t="s">
        <v>3805</v>
      </c>
      <c r="U361" s="132" t="s">
        <v>3805</v>
      </c>
      <c r="V361" s="132">
        <v>210.13</v>
      </c>
      <c r="W361">
        <v>25</v>
      </c>
      <c r="X361" s="153" t="s">
        <v>105</v>
      </c>
      <c r="Y361" s="124" t="s">
        <v>55</v>
      </c>
      <c r="Z361" s="308">
        <v>203</v>
      </c>
      <c r="AB361" t="str">
        <f>IF(Table1[[#This Row],[TIPO2]]="costo", VLOOKUP(Table1[[#This Row],[PARTIDA PRESUPUESTAL]],'Cost Report'!G:G,1,0),"Balance")</f>
        <v>3936-008</v>
      </c>
      <c r="AC361" s="118"/>
      <c r="AD361" s="159" t="e">
        <f>+Table1[[#This Row],[SUBTOTAL]]+Table1[[#This Row],[IVA]]-Table1[[#This Row],[RET IVA]]-Table1[[#This Row],[RET ISR]]-Table1[[#This Row],[TOTAL]]</f>
        <v>#VALUE!</v>
      </c>
      <c r="AE361" s="152"/>
      <c r="AF361" s="153"/>
      <c r="AG361" s="126"/>
      <c r="AK361" s="306">
        <f>IF(ISNUMBER(Table1[[#This Row],[FECHA DE RECIBIDO]]), Table1[[#This Row],[FECHA DE RECIBIDO]]-DATE(2023,8,30), "")</f>
        <v>-44963.493032407408</v>
      </c>
    </row>
    <row r="362" spans="1:37" ht="16.05" customHeight="1">
      <c r="A362" s="150"/>
      <c r="B362" s="151"/>
      <c r="C362" s="126" t="s">
        <v>2995</v>
      </c>
      <c r="D362">
        <v>240</v>
      </c>
      <c r="E362" s="126">
        <v>44150</v>
      </c>
      <c r="F362" s="122">
        <v>601</v>
      </c>
      <c r="G362" s="122" t="s">
        <v>134</v>
      </c>
      <c r="H362">
        <v>23</v>
      </c>
      <c r="I362" s="122" t="s">
        <v>1546</v>
      </c>
      <c r="J362" s="307">
        <v>204.50696759259154</v>
      </c>
      <c r="K362" s="127" t="s">
        <v>3397</v>
      </c>
      <c r="L362" s="151" t="s">
        <v>118</v>
      </c>
      <c r="M362">
        <v>32</v>
      </c>
      <c r="N362" s="123">
        <v>1</v>
      </c>
      <c r="O362">
        <v>261</v>
      </c>
      <c r="P362" s="132" t="s">
        <v>77</v>
      </c>
      <c r="Q362" s="131">
        <v>181.15</v>
      </c>
      <c r="R362" s="131">
        <v>28.98</v>
      </c>
      <c r="S362" s="131"/>
      <c r="T362" s="155" t="s">
        <v>3805</v>
      </c>
      <c r="U362" s="131" t="s">
        <v>3805</v>
      </c>
      <c r="V362" s="131">
        <v>210.13</v>
      </c>
      <c r="W362">
        <v>25</v>
      </c>
      <c r="X362" s="151" t="s">
        <v>105</v>
      </c>
      <c r="Y362" s="135" t="s">
        <v>55</v>
      </c>
      <c r="Z362" s="307">
        <v>203</v>
      </c>
      <c r="AB362" t="str">
        <f>IF(Table1[[#This Row],[TIPO2]]="costo", VLOOKUP(Table1[[#This Row],[PARTIDA PRESUPUESTAL]],'Cost Report'!G:G,1,0),"Balance")</f>
        <v>3936-009</v>
      </c>
      <c r="AC362" s="118"/>
      <c r="AD362" s="159" t="e">
        <f>+Table1[[#This Row],[SUBTOTAL]]+Table1[[#This Row],[IVA]]-Table1[[#This Row],[RET IVA]]-Table1[[#This Row],[RET ISR]]-Table1[[#This Row],[TOTAL]]</f>
        <v>#VALUE!</v>
      </c>
      <c r="AE362" s="150"/>
      <c r="AF362" s="151"/>
      <c r="AG362" s="126"/>
      <c r="AK362" s="306">
        <f>IF(ISNUMBER(Table1[[#This Row],[FECHA DE RECIBIDO]]), Table1[[#This Row],[FECHA DE RECIBIDO]]-DATE(2023,8,30), "")</f>
        <v>-44963.493032407408</v>
      </c>
    </row>
    <row r="363" spans="1:37" ht="16.05" customHeight="1">
      <c r="A363" s="152"/>
      <c r="B363" s="153"/>
      <c r="C363" s="126" t="s">
        <v>2991</v>
      </c>
      <c r="D363">
        <v>240</v>
      </c>
      <c r="E363" s="126">
        <v>44150</v>
      </c>
      <c r="F363" s="125">
        <v>601</v>
      </c>
      <c r="G363" s="125" t="s">
        <v>134</v>
      </c>
      <c r="H363">
        <v>23</v>
      </c>
      <c r="I363" s="125" t="s">
        <v>1546</v>
      </c>
      <c r="J363" s="308">
        <v>204.50696759259154</v>
      </c>
      <c r="K363" s="127" t="s">
        <v>3397</v>
      </c>
      <c r="L363" s="153" t="s">
        <v>118</v>
      </c>
      <c r="M363">
        <v>32</v>
      </c>
      <c r="N363" s="123">
        <v>1</v>
      </c>
      <c r="O363">
        <v>261</v>
      </c>
      <c r="P363" s="132" t="s">
        <v>77</v>
      </c>
      <c r="Q363" s="132">
        <v>51.97</v>
      </c>
      <c r="R363" s="132">
        <v>8.32</v>
      </c>
      <c r="S363" s="132"/>
      <c r="T363" s="156" t="s">
        <v>3805</v>
      </c>
      <c r="U363" s="132" t="s">
        <v>3805</v>
      </c>
      <c r="V363" s="132">
        <v>60.29</v>
      </c>
      <c r="W363">
        <v>25</v>
      </c>
      <c r="X363" s="153" t="s">
        <v>105</v>
      </c>
      <c r="Y363" s="124" t="s">
        <v>55</v>
      </c>
      <c r="Z363" s="308">
        <v>203</v>
      </c>
      <c r="AB363" t="str">
        <f>IF(Table1[[#This Row],[TIPO2]]="costo", VLOOKUP(Table1[[#This Row],[PARTIDA PRESUPUESTAL]],'Cost Report'!G:G,1,0),"Balance")</f>
        <v>3936-003</v>
      </c>
      <c r="AC363" s="118"/>
      <c r="AD363" s="159" t="e">
        <f>+Table1[[#This Row],[SUBTOTAL]]+Table1[[#This Row],[IVA]]-Table1[[#This Row],[RET IVA]]-Table1[[#This Row],[RET ISR]]-Table1[[#This Row],[TOTAL]]</f>
        <v>#VALUE!</v>
      </c>
      <c r="AE363" s="152"/>
      <c r="AF363" s="153"/>
      <c r="AG363" s="126"/>
      <c r="AK363" s="306">
        <f>IF(ISNUMBER(Table1[[#This Row],[FECHA DE RECIBIDO]]), Table1[[#This Row],[FECHA DE RECIBIDO]]-DATE(2023,8,30), "")</f>
        <v>-44963.493032407408</v>
      </c>
    </row>
    <row r="364" spans="1:37" ht="16.05" customHeight="1">
      <c r="A364" s="150"/>
      <c r="B364" s="151"/>
      <c r="C364" s="126" t="s">
        <v>2992</v>
      </c>
      <c r="D364">
        <v>240</v>
      </c>
      <c r="E364" s="126">
        <v>44150</v>
      </c>
      <c r="F364" s="122">
        <v>601</v>
      </c>
      <c r="G364" s="122" t="s">
        <v>134</v>
      </c>
      <c r="H364">
        <v>23</v>
      </c>
      <c r="I364" s="122" t="s">
        <v>1546</v>
      </c>
      <c r="J364" s="307">
        <v>204.50696759259154</v>
      </c>
      <c r="K364" s="127" t="s">
        <v>3397</v>
      </c>
      <c r="L364" s="151" t="s">
        <v>118</v>
      </c>
      <c r="M364">
        <v>32</v>
      </c>
      <c r="N364" s="123">
        <v>1</v>
      </c>
      <c r="O364">
        <v>261</v>
      </c>
      <c r="P364" s="132" t="s">
        <v>77</v>
      </c>
      <c r="Q364" s="131">
        <v>51.97</v>
      </c>
      <c r="R364" s="131">
        <v>8.32</v>
      </c>
      <c r="S364" s="131"/>
      <c r="T364" s="155" t="s">
        <v>3805</v>
      </c>
      <c r="U364" s="131" t="s">
        <v>3805</v>
      </c>
      <c r="V364" s="131">
        <v>60.29</v>
      </c>
      <c r="W364">
        <v>25</v>
      </c>
      <c r="X364" s="151" t="s">
        <v>105</v>
      </c>
      <c r="Y364" s="135" t="s">
        <v>55</v>
      </c>
      <c r="Z364" s="307">
        <v>203</v>
      </c>
      <c r="AB364" t="str">
        <f>IF(Table1[[#This Row],[TIPO2]]="costo", VLOOKUP(Table1[[#This Row],[PARTIDA PRESUPUESTAL]],'Cost Report'!G:G,1,0),"Balance")</f>
        <v>3936-004</v>
      </c>
      <c r="AC364" s="118"/>
      <c r="AD364" s="159" t="e">
        <f>+Table1[[#This Row],[SUBTOTAL]]+Table1[[#This Row],[IVA]]-Table1[[#This Row],[RET IVA]]-Table1[[#This Row],[RET ISR]]-Table1[[#This Row],[TOTAL]]</f>
        <v>#VALUE!</v>
      </c>
      <c r="AE364" s="150"/>
      <c r="AF364" s="151"/>
      <c r="AG364" s="126"/>
      <c r="AK364" s="306">
        <f>IF(ISNUMBER(Table1[[#This Row],[FECHA DE RECIBIDO]]), Table1[[#This Row],[FECHA DE RECIBIDO]]-DATE(2023,8,30), "")</f>
        <v>-44963.493032407408</v>
      </c>
    </row>
    <row r="365" spans="1:37" ht="16.05" customHeight="1">
      <c r="A365" s="152"/>
      <c r="B365" s="153"/>
      <c r="C365" s="126" t="s">
        <v>2991</v>
      </c>
      <c r="D365">
        <v>240</v>
      </c>
      <c r="E365" s="126">
        <v>44150</v>
      </c>
      <c r="F365" s="125">
        <v>601</v>
      </c>
      <c r="G365" s="125" t="s">
        <v>134</v>
      </c>
      <c r="H365">
        <v>23</v>
      </c>
      <c r="I365" s="125" t="s">
        <v>1546</v>
      </c>
      <c r="J365" s="308">
        <v>204.50696759259154</v>
      </c>
      <c r="K365" s="127" t="s">
        <v>3397</v>
      </c>
      <c r="L365" s="153" t="s">
        <v>118</v>
      </c>
      <c r="M365">
        <v>32</v>
      </c>
      <c r="N365" s="123">
        <v>1</v>
      </c>
      <c r="O365">
        <v>261</v>
      </c>
      <c r="P365" s="132" t="s">
        <v>77</v>
      </c>
      <c r="Q365" s="132">
        <v>34.65</v>
      </c>
      <c r="R365" s="132">
        <v>5.54</v>
      </c>
      <c r="S365" s="132"/>
      <c r="T365" s="156" t="s">
        <v>3805</v>
      </c>
      <c r="U365" s="132" t="s">
        <v>3805</v>
      </c>
      <c r="V365" s="132">
        <v>40.19</v>
      </c>
      <c r="W365">
        <v>25</v>
      </c>
      <c r="X365" s="153" t="s">
        <v>105</v>
      </c>
      <c r="Y365" s="124" t="s">
        <v>55</v>
      </c>
      <c r="Z365" s="308">
        <v>203</v>
      </c>
      <c r="AB365" t="str">
        <f>IF(Table1[[#This Row],[TIPO2]]="costo", VLOOKUP(Table1[[#This Row],[PARTIDA PRESUPUESTAL]],'Cost Report'!G:G,1,0),"Balance")</f>
        <v>3936-003</v>
      </c>
      <c r="AC365" s="118"/>
      <c r="AD365" s="159" t="e">
        <f>+Table1[[#This Row],[SUBTOTAL]]+Table1[[#This Row],[IVA]]-Table1[[#This Row],[RET IVA]]-Table1[[#This Row],[RET ISR]]-Table1[[#This Row],[TOTAL]]</f>
        <v>#VALUE!</v>
      </c>
      <c r="AE365" s="152"/>
      <c r="AF365" s="153"/>
      <c r="AG365" s="126"/>
      <c r="AK365" s="306">
        <f>IF(ISNUMBER(Table1[[#This Row],[FECHA DE RECIBIDO]]), Table1[[#This Row],[FECHA DE RECIBIDO]]-DATE(2023,8,30), "")</f>
        <v>-44963.493032407408</v>
      </c>
    </row>
    <row r="366" spans="1:37" ht="16.05" customHeight="1">
      <c r="A366" s="150"/>
      <c r="B366" s="151"/>
      <c r="C366" s="126" t="s">
        <v>2991</v>
      </c>
      <c r="D366">
        <v>240</v>
      </c>
      <c r="E366" s="126">
        <v>44150</v>
      </c>
      <c r="F366" s="122">
        <v>601</v>
      </c>
      <c r="G366" s="122" t="s">
        <v>134</v>
      </c>
      <c r="H366">
        <v>23</v>
      </c>
      <c r="I366" s="122" t="s">
        <v>1546</v>
      </c>
      <c r="J366" s="307">
        <v>204.50696759259154</v>
      </c>
      <c r="K366" s="127" t="s">
        <v>3397</v>
      </c>
      <c r="L366" s="151" t="s">
        <v>118</v>
      </c>
      <c r="M366">
        <v>32</v>
      </c>
      <c r="N366" s="123">
        <v>1</v>
      </c>
      <c r="O366">
        <v>261</v>
      </c>
      <c r="P366" s="132" t="s">
        <v>77</v>
      </c>
      <c r="Q366" s="131">
        <v>34.65</v>
      </c>
      <c r="R366" s="131">
        <v>5.54</v>
      </c>
      <c r="S366" s="131"/>
      <c r="T366" s="155" t="s">
        <v>3805</v>
      </c>
      <c r="U366" s="131" t="s">
        <v>3805</v>
      </c>
      <c r="V366" s="131">
        <v>40.19</v>
      </c>
      <c r="W366">
        <v>25</v>
      </c>
      <c r="X366" s="151" t="s">
        <v>105</v>
      </c>
      <c r="Y366" s="135" t="s">
        <v>55</v>
      </c>
      <c r="Z366" s="307">
        <v>203</v>
      </c>
      <c r="AB366" t="str">
        <f>IF(Table1[[#This Row],[TIPO2]]="costo", VLOOKUP(Table1[[#This Row],[PARTIDA PRESUPUESTAL]],'Cost Report'!G:G,1,0),"Balance")</f>
        <v>3936-003</v>
      </c>
      <c r="AC366" s="118"/>
      <c r="AD366" s="159" t="e">
        <f>+Table1[[#This Row],[SUBTOTAL]]+Table1[[#This Row],[IVA]]-Table1[[#This Row],[RET IVA]]-Table1[[#This Row],[RET ISR]]-Table1[[#This Row],[TOTAL]]</f>
        <v>#VALUE!</v>
      </c>
      <c r="AE366" s="150"/>
      <c r="AF366" s="151"/>
      <c r="AG366" s="126"/>
      <c r="AK366" s="306">
        <f>IF(ISNUMBER(Table1[[#This Row],[FECHA DE RECIBIDO]]), Table1[[#This Row],[FECHA DE RECIBIDO]]-DATE(2023,8,30), "")</f>
        <v>-44963.493032407408</v>
      </c>
    </row>
    <row r="367" spans="1:37" ht="16.05" customHeight="1">
      <c r="A367" s="152"/>
      <c r="B367" s="153">
        <v>278</v>
      </c>
      <c r="C367" s="126" t="s">
        <v>2836</v>
      </c>
      <c r="D367">
        <v>241</v>
      </c>
      <c r="E367" s="126">
        <v>44150</v>
      </c>
      <c r="F367" s="125">
        <v>601</v>
      </c>
      <c r="G367" s="125" t="s">
        <v>134</v>
      </c>
      <c r="H367">
        <v>23</v>
      </c>
      <c r="I367" s="125" t="s">
        <v>1546</v>
      </c>
      <c r="J367" s="308">
        <v>204.50880787037022</v>
      </c>
      <c r="K367" s="127" t="s">
        <v>3397</v>
      </c>
      <c r="L367" s="153" t="s">
        <v>118</v>
      </c>
      <c r="M367">
        <v>32</v>
      </c>
      <c r="N367" s="123">
        <v>1</v>
      </c>
      <c r="O367">
        <v>262</v>
      </c>
      <c r="P367" s="132" t="s">
        <v>77</v>
      </c>
      <c r="Q367" s="132">
        <v>1986.69</v>
      </c>
      <c r="R367" s="132">
        <v>317.87</v>
      </c>
      <c r="S367" s="132"/>
      <c r="T367" s="156" t="s">
        <v>3805</v>
      </c>
      <c r="U367" s="132" t="s">
        <v>3805</v>
      </c>
      <c r="V367" s="132">
        <v>2304.56</v>
      </c>
      <c r="W367">
        <v>25</v>
      </c>
      <c r="X367" s="153" t="s">
        <v>105</v>
      </c>
      <c r="Y367" s="124" t="s">
        <v>55</v>
      </c>
      <c r="Z367" s="308">
        <v>203</v>
      </c>
      <c r="AB367" t="str">
        <f>IF(Table1[[#This Row],[TIPO2]]="costo", VLOOKUP(Table1[[#This Row],[PARTIDA PRESUPUESTAL]],'Cost Report'!G:G,1,0),"Balance")</f>
        <v>3442-025</v>
      </c>
      <c r="AC367" s="118"/>
      <c r="AD367" s="159" t="e">
        <f>+Table1[[#This Row],[SUBTOTAL]]+Table1[[#This Row],[IVA]]-Table1[[#This Row],[RET IVA]]-Table1[[#This Row],[RET ISR]]-Table1[[#This Row],[TOTAL]]</f>
        <v>#VALUE!</v>
      </c>
      <c r="AE367" s="152"/>
      <c r="AF367" s="153"/>
      <c r="AG367" s="126"/>
      <c r="AK367" s="306">
        <f>IF(ISNUMBER(Table1[[#This Row],[FECHA DE RECIBIDO]]), Table1[[#This Row],[FECHA DE RECIBIDO]]-DATE(2023,8,30), "")</f>
        <v>-44963.49119212963</v>
      </c>
    </row>
    <row r="368" spans="1:37" ht="16.05" customHeight="1">
      <c r="A368" s="150"/>
      <c r="B368" s="151"/>
      <c r="C368" s="126" t="s">
        <v>2836</v>
      </c>
      <c r="D368">
        <v>241</v>
      </c>
      <c r="E368" s="126">
        <v>44150</v>
      </c>
      <c r="F368" s="122">
        <v>601</v>
      </c>
      <c r="G368" s="122" t="s">
        <v>134</v>
      </c>
      <c r="H368">
        <v>23</v>
      </c>
      <c r="I368" s="122" t="s">
        <v>1546</v>
      </c>
      <c r="J368" s="307">
        <v>204.50880787037022</v>
      </c>
      <c r="K368" s="127" t="s">
        <v>3397</v>
      </c>
      <c r="L368" s="151" t="s">
        <v>118</v>
      </c>
      <c r="M368">
        <v>32</v>
      </c>
      <c r="N368" s="123">
        <v>1</v>
      </c>
      <c r="O368">
        <v>262</v>
      </c>
      <c r="P368" s="132" t="s">
        <v>77</v>
      </c>
      <c r="Q368" s="131">
        <v>66.75</v>
      </c>
      <c r="R368" s="131">
        <v>10.68</v>
      </c>
      <c r="S368" s="131"/>
      <c r="T368" s="155" t="s">
        <v>3805</v>
      </c>
      <c r="U368" s="131" t="s">
        <v>3805</v>
      </c>
      <c r="V368" s="131">
        <v>77.430000000000007</v>
      </c>
      <c r="W368">
        <v>25</v>
      </c>
      <c r="X368" s="151" t="s">
        <v>105</v>
      </c>
      <c r="Y368" s="135" t="s">
        <v>55</v>
      </c>
      <c r="Z368" s="307">
        <v>203</v>
      </c>
      <c r="AB368" t="str">
        <f>IF(Table1[[#This Row],[TIPO2]]="costo", VLOOKUP(Table1[[#This Row],[PARTIDA PRESUPUESTAL]],'Cost Report'!G:G,1,0),"Balance")</f>
        <v>3442-025</v>
      </c>
      <c r="AC368" s="118"/>
      <c r="AD368" s="159" t="e">
        <f>+Table1[[#This Row],[SUBTOTAL]]+Table1[[#This Row],[IVA]]-Table1[[#This Row],[RET IVA]]-Table1[[#This Row],[RET ISR]]-Table1[[#This Row],[TOTAL]]</f>
        <v>#VALUE!</v>
      </c>
      <c r="AE368" s="150"/>
      <c r="AF368" s="151"/>
      <c r="AG368" s="126"/>
      <c r="AK368" s="306">
        <f>IF(ISNUMBER(Table1[[#This Row],[FECHA DE RECIBIDO]]), Table1[[#This Row],[FECHA DE RECIBIDO]]-DATE(2023,8,30), "")</f>
        <v>-44963.49119212963</v>
      </c>
    </row>
    <row r="369" spans="1:37" ht="16.05" customHeight="1">
      <c r="A369" s="152"/>
      <c r="B369" s="153"/>
      <c r="C369" s="126" t="s">
        <v>2836</v>
      </c>
      <c r="D369">
        <v>241</v>
      </c>
      <c r="E369" s="126">
        <v>44150</v>
      </c>
      <c r="F369" s="125">
        <v>601</v>
      </c>
      <c r="G369" s="125" t="s">
        <v>134</v>
      </c>
      <c r="H369">
        <v>23</v>
      </c>
      <c r="I369" s="125" t="s">
        <v>1546</v>
      </c>
      <c r="J369" s="308">
        <v>204.50880787037022</v>
      </c>
      <c r="K369" s="127" t="s">
        <v>3397</v>
      </c>
      <c r="L369" s="153" t="s">
        <v>118</v>
      </c>
      <c r="M369">
        <v>32</v>
      </c>
      <c r="N369" s="123">
        <v>1</v>
      </c>
      <c r="O369">
        <v>262</v>
      </c>
      <c r="P369" s="132" t="s">
        <v>77</v>
      </c>
      <c r="Q369" s="132">
        <v>66.75</v>
      </c>
      <c r="R369" s="132">
        <v>10.68</v>
      </c>
      <c r="S369" s="132"/>
      <c r="T369" s="156" t="s">
        <v>3805</v>
      </c>
      <c r="U369" s="132" t="s">
        <v>3805</v>
      </c>
      <c r="V369" s="132">
        <v>77.430000000000007</v>
      </c>
      <c r="W369">
        <v>25</v>
      </c>
      <c r="X369" s="153" t="s">
        <v>105</v>
      </c>
      <c r="Y369" s="124" t="s">
        <v>55</v>
      </c>
      <c r="Z369" s="308">
        <v>203</v>
      </c>
      <c r="AB369" t="str">
        <f>IF(Table1[[#This Row],[TIPO2]]="costo", VLOOKUP(Table1[[#This Row],[PARTIDA PRESUPUESTAL]],'Cost Report'!G:G,1,0),"Balance")</f>
        <v>3442-025</v>
      </c>
      <c r="AC369" s="118"/>
      <c r="AD369" s="159" t="e">
        <f>+Table1[[#This Row],[SUBTOTAL]]+Table1[[#This Row],[IVA]]-Table1[[#This Row],[RET IVA]]-Table1[[#This Row],[RET ISR]]-Table1[[#This Row],[TOTAL]]</f>
        <v>#VALUE!</v>
      </c>
      <c r="AE369" s="152"/>
      <c r="AF369" s="153"/>
      <c r="AG369" s="126"/>
      <c r="AK369" s="306">
        <f>IF(ISNUMBER(Table1[[#This Row],[FECHA DE RECIBIDO]]), Table1[[#This Row],[FECHA DE RECIBIDO]]-DATE(2023,8,30), "")</f>
        <v>-44963.49119212963</v>
      </c>
    </row>
    <row r="370" spans="1:37" ht="16.05" customHeight="1">
      <c r="A370" s="150"/>
      <c r="B370" s="151"/>
      <c r="C370" s="126" t="s">
        <v>2836</v>
      </c>
      <c r="D370">
        <v>241</v>
      </c>
      <c r="E370" s="126">
        <v>44150</v>
      </c>
      <c r="F370" s="122">
        <v>601</v>
      </c>
      <c r="G370" s="122" t="s">
        <v>134</v>
      </c>
      <c r="H370">
        <v>23</v>
      </c>
      <c r="I370" s="122" t="s">
        <v>1546</v>
      </c>
      <c r="J370" s="307">
        <v>204.50880787037022</v>
      </c>
      <c r="K370" s="127" t="s">
        <v>3397</v>
      </c>
      <c r="L370" s="151" t="s">
        <v>118</v>
      </c>
      <c r="M370">
        <v>32</v>
      </c>
      <c r="N370" s="123">
        <v>1</v>
      </c>
      <c r="O370">
        <v>262</v>
      </c>
      <c r="P370" s="132" t="s">
        <v>77</v>
      </c>
      <c r="Q370" s="131">
        <v>133.51</v>
      </c>
      <c r="R370" s="131">
        <v>21.36</v>
      </c>
      <c r="S370" s="131"/>
      <c r="T370" s="155" t="s">
        <v>3805</v>
      </c>
      <c r="U370" s="131" t="s">
        <v>3805</v>
      </c>
      <c r="V370" s="131">
        <v>154.87</v>
      </c>
      <c r="W370">
        <v>25</v>
      </c>
      <c r="X370" s="151" t="s">
        <v>105</v>
      </c>
      <c r="Y370" s="135" t="s">
        <v>55</v>
      </c>
      <c r="Z370" s="307">
        <v>203</v>
      </c>
      <c r="AB370" t="str">
        <f>IF(Table1[[#This Row],[TIPO2]]="costo", VLOOKUP(Table1[[#This Row],[PARTIDA PRESUPUESTAL]],'Cost Report'!G:G,1,0),"Balance")</f>
        <v>3442-025</v>
      </c>
      <c r="AC370" s="118"/>
      <c r="AD370" s="159" t="e">
        <f>+Table1[[#This Row],[SUBTOTAL]]+Table1[[#This Row],[IVA]]-Table1[[#This Row],[RET IVA]]-Table1[[#This Row],[RET ISR]]-Table1[[#This Row],[TOTAL]]</f>
        <v>#VALUE!</v>
      </c>
      <c r="AE370" s="150"/>
      <c r="AF370" s="151"/>
      <c r="AG370" s="126"/>
      <c r="AK370" s="306">
        <f>IF(ISNUMBER(Table1[[#This Row],[FECHA DE RECIBIDO]]), Table1[[#This Row],[FECHA DE RECIBIDO]]-DATE(2023,8,30), "")</f>
        <v>-44963.49119212963</v>
      </c>
    </row>
    <row r="371" spans="1:37" ht="16.05" customHeight="1">
      <c r="A371" s="152"/>
      <c r="B371" s="153"/>
      <c r="C371" s="126" t="s">
        <v>2836</v>
      </c>
      <c r="D371">
        <v>241</v>
      </c>
      <c r="E371" s="126">
        <v>44150</v>
      </c>
      <c r="F371" s="125">
        <v>601</v>
      </c>
      <c r="G371" s="125" t="s">
        <v>134</v>
      </c>
      <c r="H371">
        <v>23</v>
      </c>
      <c r="I371" s="125" t="s">
        <v>1546</v>
      </c>
      <c r="J371" s="308">
        <v>204.50880787037022</v>
      </c>
      <c r="K371" s="127" t="s">
        <v>3397</v>
      </c>
      <c r="L371" s="153" t="s">
        <v>118</v>
      </c>
      <c r="M371">
        <v>32</v>
      </c>
      <c r="N371" s="123">
        <v>1</v>
      </c>
      <c r="O371">
        <v>262</v>
      </c>
      <c r="P371" s="132" t="s">
        <v>77</v>
      </c>
      <c r="Q371" s="132">
        <v>3261.36</v>
      </c>
      <c r="R371" s="132">
        <v>521.82000000000005</v>
      </c>
      <c r="S371" s="132"/>
      <c r="T371" s="156" t="s">
        <v>3805</v>
      </c>
      <c r="U371" s="132" t="s">
        <v>3805</v>
      </c>
      <c r="V371" s="132">
        <v>3783.18</v>
      </c>
      <c r="W371">
        <v>25</v>
      </c>
      <c r="X371" s="153" t="s">
        <v>105</v>
      </c>
      <c r="Y371" s="124" t="s">
        <v>55</v>
      </c>
      <c r="Z371" s="308">
        <v>203</v>
      </c>
      <c r="AB371" t="str">
        <f>IF(Table1[[#This Row],[TIPO2]]="costo", VLOOKUP(Table1[[#This Row],[PARTIDA PRESUPUESTAL]],'Cost Report'!G:G,1,0),"Balance")</f>
        <v>3442-025</v>
      </c>
      <c r="AC371" s="118"/>
      <c r="AD371" s="159" t="e">
        <f>+Table1[[#This Row],[SUBTOTAL]]+Table1[[#This Row],[IVA]]-Table1[[#This Row],[RET IVA]]-Table1[[#This Row],[RET ISR]]-Table1[[#This Row],[TOTAL]]</f>
        <v>#VALUE!</v>
      </c>
      <c r="AE371" s="152"/>
      <c r="AF371" s="153"/>
      <c r="AG371" s="126"/>
      <c r="AK371" s="306">
        <f>IF(ISNUMBER(Table1[[#This Row],[FECHA DE RECIBIDO]]), Table1[[#This Row],[FECHA DE RECIBIDO]]-DATE(2023,8,30), "")</f>
        <v>-44963.49119212963</v>
      </c>
    </row>
    <row r="372" spans="1:37" ht="16.05" customHeight="1">
      <c r="A372" s="150"/>
      <c r="B372" s="151"/>
      <c r="C372" s="126" t="s">
        <v>2838</v>
      </c>
      <c r="D372">
        <v>241</v>
      </c>
      <c r="E372" s="126">
        <v>44150</v>
      </c>
      <c r="F372" s="122">
        <v>601</v>
      </c>
      <c r="G372" s="122" t="s">
        <v>134</v>
      </c>
      <c r="H372">
        <v>23</v>
      </c>
      <c r="I372" s="122" t="s">
        <v>1546</v>
      </c>
      <c r="J372" s="307">
        <v>204.50880787037022</v>
      </c>
      <c r="K372" s="127" t="s">
        <v>3397</v>
      </c>
      <c r="L372" s="151" t="s">
        <v>118</v>
      </c>
      <c r="M372">
        <v>32</v>
      </c>
      <c r="N372" s="123">
        <v>1</v>
      </c>
      <c r="O372">
        <v>262</v>
      </c>
      <c r="P372" s="132" t="s">
        <v>77</v>
      </c>
      <c r="Q372" s="131">
        <v>441.39</v>
      </c>
      <c r="R372" s="131">
        <v>70.62</v>
      </c>
      <c r="S372" s="131"/>
      <c r="T372" s="155" t="s">
        <v>3805</v>
      </c>
      <c r="U372" s="131" t="s">
        <v>3805</v>
      </c>
      <c r="V372" s="131">
        <v>512.01</v>
      </c>
      <c r="W372">
        <v>25</v>
      </c>
      <c r="X372" s="151" t="s">
        <v>105</v>
      </c>
      <c r="Y372" s="135" t="s">
        <v>55</v>
      </c>
      <c r="Z372" s="307">
        <v>203</v>
      </c>
      <c r="AB372" t="str">
        <f>IF(Table1[[#This Row],[TIPO2]]="costo", VLOOKUP(Table1[[#This Row],[PARTIDA PRESUPUESTAL]],'Cost Report'!G:G,1,0),"Balance")</f>
        <v>3442-029</v>
      </c>
      <c r="AC372" s="118"/>
      <c r="AD372" s="159" t="e">
        <f>+Table1[[#This Row],[SUBTOTAL]]+Table1[[#This Row],[IVA]]-Table1[[#This Row],[RET IVA]]-Table1[[#This Row],[RET ISR]]-Table1[[#This Row],[TOTAL]]</f>
        <v>#VALUE!</v>
      </c>
      <c r="AE372" s="150"/>
      <c r="AF372" s="151"/>
      <c r="AG372" s="126"/>
      <c r="AK372" s="306">
        <f>IF(ISNUMBER(Table1[[#This Row],[FECHA DE RECIBIDO]]), Table1[[#This Row],[FECHA DE RECIBIDO]]-DATE(2023,8,30), "")</f>
        <v>-44963.49119212963</v>
      </c>
    </row>
    <row r="373" spans="1:37" ht="16.05" customHeight="1">
      <c r="A373" s="152"/>
      <c r="B373" s="153"/>
      <c r="C373" s="126" t="s">
        <v>2836</v>
      </c>
      <c r="D373">
        <v>241</v>
      </c>
      <c r="E373" s="126">
        <v>44150</v>
      </c>
      <c r="F373" s="125">
        <v>601</v>
      </c>
      <c r="G373" s="125" t="s">
        <v>134</v>
      </c>
      <c r="H373">
        <v>23</v>
      </c>
      <c r="I373" s="125" t="s">
        <v>1546</v>
      </c>
      <c r="J373" s="308">
        <v>204.50880787037022</v>
      </c>
      <c r="K373" s="127" t="s">
        <v>3397</v>
      </c>
      <c r="L373" s="153" t="s">
        <v>118</v>
      </c>
      <c r="M373">
        <v>32</v>
      </c>
      <c r="N373" s="123">
        <v>1</v>
      </c>
      <c r="O373">
        <v>262</v>
      </c>
      <c r="P373" s="132" t="s">
        <v>77</v>
      </c>
      <c r="Q373" s="132">
        <v>1287.3800000000001</v>
      </c>
      <c r="R373" s="132">
        <v>205.98</v>
      </c>
      <c r="S373" s="132"/>
      <c r="T373" s="156" t="s">
        <v>3805</v>
      </c>
      <c r="U373" s="132" t="s">
        <v>3805</v>
      </c>
      <c r="V373" s="132">
        <v>1493.36</v>
      </c>
      <c r="W373">
        <v>25</v>
      </c>
      <c r="X373" s="153" t="s">
        <v>105</v>
      </c>
      <c r="Y373" s="124" t="s">
        <v>55</v>
      </c>
      <c r="Z373" s="308">
        <v>203</v>
      </c>
      <c r="AB373" t="str">
        <f>IF(Table1[[#This Row],[TIPO2]]="costo", VLOOKUP(Table1[[#This Row],[PARTIDA PRESUPUESTAL]],'Cost Report'!G:G,1,0),"Balance")</f>
        <v>3442-025</v>
      </c>
      <c r="AC373" s="118"/>
      <c r="AD373" s="159" t="e">
        <f>+Table1[[#This Row],[SUBTOTAL]]+Table1[[#This Row],[IVA]]-Table1[[#This Row],[RET IVA]]-Table1[[#This Row],[RET ISR]]-Table1[[#This Row],[TOTAL]]</f>
        <v>#VALUE!</v>
      </c>
      <c r="AE373" s="152"/>
      <c r="AF373" s="153"/>
      <c r="AG373" s="126"/>
      <c r="AK373" s="306">
        <f>IF(ISNUMBER(Table1[[#This Row],[FECHA DE RECIBIDO]]), Table1[[#This Row],[FECHA DE RECIBIDO]]-DATE(2023,8,30), "")</f>
        <v>-44963.49119212963</v>
      </c>
    </row>
    <row r="374" spans="1:37" ht="16.05" customHeight="1">
      <c r="A374" s="150"/>
      <c r="B374" s="151"/>
      <c r="C374" s="126" t="s">
        <v>2838</v>
      </c>
      <c r="D374">
        <v>241</v>
      </c>
      <c r="E374" s="126">
        <v>44150</v>
      </c>
      <c r="F374" s="122">
        <v>601</v>
      </c>
      <c r="G374" s="122" t="s">
        <v>134</v>
      </c>
      <c r="H374">
        <v>23</v>
      </c>
      <c r="I374" s="122" t="s">
        <v>1546</v>
      </c>
      <c r="J374" s="307">
        <v>204.50880787037022</v>
      </c>
      <c r="K374" s="127" t="s">
        <v>3397</v>
      </c>
      <c r="L374" s="151" t="s">
        <v>118</v>
      </c>
      <c r="M374">
        <v>32</v>
      </c>
      <c r="N374" s="123">
        <v>1</v>
      </c>
      <c r="O374">
        <v>262</v>
      </c>
      <c r="P374" s="132" t="s">
        <v>77</v>
      </c>
      <c r="Q374" s="131">
        <v>196.17</v>
      </c>
      <c r="R374" s="131">
        <v>31.39</v>
      </c>
      <c r="S374" s="131"/>
      <c r="T374" s="155" t="s">
        <v>3805</v>
      </c>
      <c r="U374" s="131" t="s">
        <v>3805</v>
      </c>
      <c r="V374" s="131">
        <v>227.56</v>
      </c>
      <c r="W374">
        <v>25</v>
      </c>
      <c r="X374" s="151" t="s">
        <v>105</v>
      </c>
      <c r="Y374" s="135" t="s">
        <v>55</v>
      </c>
      <c r="Z374" s="307">
        <v>203</v>
      </c>
      <c r="AB374" t="str">
        <f>IF(Table1[[#This Row],[TIPO2]]="costo", VLOOKUP(Table1[[#This Row],[PARTIDA PRESUPUESTAL]],'Cost Report'!G:G,1,0),"Balance")</f>
        <v>3442-029</v>
      </c>
      <c r="AC374" s="118"/>
      <c r="AD374" s="159" t="e">
        <f>+Table1[[#This Row],[SUBTOTAL]]+Table1[[#This Row],[IVA]]-Table1[[#This Row],[RET IVA]]-Table1[[#This Row],[RET ISR]]-Table1[[#This Row],[TOTAL]]</f>
        <v>#VALUE!</v>
      </c>
      <c r="AE374" s="150"/>
      <c r="AF374" s="151"/>
      <c r="AG374" s="126"/>
      <c r="AK374" s="306">
        <f>IF(ISNUMBER(Table1[[#This Row],[FECHA DE RECIBIDO]]), Table1[[#This Row],[FECHA DE RECIBIDO]]-DATE(2023,8,30), "")</f>
        <v>-44963.49119212963</v>
      </c>
    </row>
    <row r="375" spans="1:37" ht="16.05" customHeight="1">
      <c r="A375" s="152"/>
      <c r="B375" s="153">
        <v>279</v>
      </c>
      <c r="C375" s="126" t="s">
        <v>2864</v>
      </c>
      <c r="D375">
        <v>242</v>
      </c>
      <c r="E375" s="126">
        <v>44150</v>
      </c>
      <c r="F375" s="125">
        <v>601</v>
      </c>
      <c r="G375" s="125" t="s">
        <v>134</v>
      </c>
      <c r="H375">
        <v>23</v>
      </c>
      <c r="I375" s="125" t="s">
        <v>1546</v>
      </c>
      <c r="J375" s="308">
        <v>204.5061921296292</v>
      </c>
      <c r="K375" s="127" t="s">
        <v>3397</v>
      </c>
      <c r="L375" s="153" t="s">
        <v>118</v>
      </c>
      <c r="M375">
        <v>32</v>
      </c>
      <c r="N375" s="123">
        <v>1</v>
      </c>
      <c r="O375">
        <v>263</v>
      </c>
      <c r="P375" s="132" t="s">
        <v>77</v>
      </c>
      <c r="Q375" s="132">
        <v>12095.51</v>
      </c>
      <c r="R375" s="132">
        <v>1935.28</v>
      </c>
      <c r="S375" s="132"/>
      <c r="T375" s="156" t="s">
        <v>3805</v>
      </c>
      <c r="U375" s="132" t="s">
        <v>3805</v>
      </c>
      <c r="V375" s="132">
        <v>14030.79</v>
      </c>
      <c r="W375">
        <v>25</v>
      </c>
      <c r="X375" s="153" t="s">
        <v>105</v>
      </c>
      <c r="Y375" s="124" t="s">
        <v>55</v>
      </c>
      <c r="Z375" s="308">
        <v>203</v>
      </c>
      <c r="AB375" t="str">
        <f>IF(Table1[[#This Row],[TIPO2]]="costo", VLOOKUP(Table1[[#This Row],[PARTIDA PRESUPUESTAL]],'Cost Report'!G:G,1,0),"Balance")</f>
        <v>3632-003</v>
      </c>
      <c r="AC375" s="118"/>
      <c r="AD375" s="159" t="e">
        <f>+Table1[[#This Row],[SUBTOTAL]]+Table1[[#This Row],[IVA]]-Table1[[#This Row],[RET IVA]]-Table1[[#This Row],[RET ISR]]-Table1[[#This Row],[TOTAL]]</f>
        <v>#VALUE!</v>
      </c>
      <c r="AE375" s="152"/>
      <c r="AF375" s="153"/>
      <c r="AG375" s="126"/>
      <c r="AK375" s="306">
        <f>IF(ISNUMBER(Table1[[#This Row],[FECHA DE RECIBIDO]]), Table1[[#This Row],[FECHA DE RECIBIDO]]-DATE(2023,8,30), "")</f>
        <v>-44963.493807870371</v>
      </c>
    </row>
    <row r="376" spans="1:37" ht="16.05" customHeight="1">
      <c r="A376" s="150"/>
      <c r="B376" s="151">
        <v>280</v>
      </c>
      <c r="C376" s="126" t="s">
        <v>1035</v>
      </c>
      <c r="D376">
        <v>243</v>
      </c>
      <c r="E376" s="126">
        <v>44150</v>
      </c>
      <c r="F376" s="122">
        <v>601</v>
      </c>
      <c r="G376" s="122" t="s">
        <v>134</v>
      </c>
      <c r="H376">
        <v>23</v>
      </c>
      <c r="I376" s="122" t="s">
        <v>1546</v>
      </c>
      <c r="J376" s="307">
        <v>204.49826388889051</v>
      </c>
      <c r="K376" s="127" t="s">
        <v>3397</v>
      </c>
      <c r="L376" s="151" t="s">
        <v>118</v>
      </c>
      <c r="M376">
        <v>32</v>
      </c>
      <c r="N376" s="123">
        <v>1</v>
      </c>
      <c r="O376">
        <v>264</v>
      </c>
      <c r="P376" s="132" t="s">
        <v>77</v>
      </c>
      <c r="Q376" s="131">
        <v>4757.1400000000003</v>
      </c>
      <c r="R376" s="131">
        <v>761.13</v>
      </c>
      <c r="S376" s="131"/>
      <c r="T376" s="155" t="s">
        <v>3805</v>
      </c>
      <c r="U376" s="131" t="s">
        <v>3805</v>
      </c>
      <c r="V376" s="131">
        <v>5518.27</v>
      </c>
      <c r="W376">
        <v>25</v>
      </c>
      <c r="X376" s="151" t="s">
        <v>105</v>
      </c>
      <c r="Y376" s="135" t="s">
        <v>55</v>
      </c>
      <c r="Z376" s="307">
        <v>203</v>
      </c>
      <c r="AB376" t="str">
        <f>IF(Table1[[#This Row],[TIPO2]]="costo", VLOOKUP(Table1[[#This Row],[PARTIDA PRESUPUESTAL]],'Cost Report'!G:G,1,0),"Balance")</f>
        <v>3683-006</v>
      </c>
      <c r="AC376" s="118"/>
      <c r="AD376" s="159" t="e">
        <f>+Table1[[#This Row],[SUBTOTAL]]+Table1[[#This Row],[IVA]]-Table1[[#This Row],[RET IVA]]-Table1[[#This Row],[RET ISR]]-Table1[[#This Row],[TOTAL]]</f>
        <v>#VALUE!</v>
      </c>
      <c r="AE376" s="150"/>
      <c r="AF376" s="151"/>
      <c r="AG376" s="126"/>
      <c r="AK376" s="306">
        <f>IF(ISNUMBER(Table1[[#This Row],[FECHA DE RECIBIDO]]), Table1[[#This Row],[FECHA DE RECIBIDO]]-DATE(2023,8,30), "")</f>
        <v>-44963.501736111109</v>
      </c>
    </row>
    <row r="377" spans="1:37" ht="16.05" customHeight="1">
      <c r="A377" s="152"/>
      <c r="B377" s="153"/>
      <c r="C377" s="126" t="s">
        <v>1039</v>
      </c>
      <c r="D377">
        <v>243</v>
      </c>
      <c r="E377" s="126">
        <v>44150</v>
      </c>
      <c r="F377" s="125">
        <v>601</v>
      </c>
      <c r="G377" s="125" t="s">
        <v>134</v>
      </c>
      <c r="H377">
        <v>23</v>
      </c>
      <c r="I377" s="125" t="s">
        <v>1546</v>
      </c>
      <c r="J377" s="308">
        <v>204.49826388889051</v>
      </c>
      <c r="K377" s="127" t="s">
        <v>3397</v>
      </c>
      <c r="L377" s="153" t="s">
        <v>118</v>
      </c>
      <c r="M377">
        <v>32</v>
      </c>
      <c r="N377" s="123">
        <v>1</v>
      </c>
      <c r="O377">
        <v>264</v>
      </c>
      <c r="P377" s="132" t="s">
        <v>77</v>
      </c>
      <c r="Q377" s="132">
        <v>4757.1400000000003</v>
      </c>
      <c r="R377" s="132">
        <v>761.13</v>
      </c>
      <c r="S377" s="132"/>
      <c r="T377" s="156" t="s">
        <v>3805</v>
      </c>
      <c r="U377" s="132" t="s">
        <v>3805</v>
      </c>
      <c r="V377" s="132">
        <v>5518.27</v>
      </c>
      <c r="W377">
        <v>25</v>
      </c>
      <c r="X377" s="153" t="s">
        <v>105</v>
      </c>
      <c r="Y377" s="124" t="s">
        <v>55</v>
      </c>
      <c r="Z377" s="308">
        <v>203</v>
      </c>
      <c r="AB377" t="str">
        <f>IF(Table1[[#This Row],[TIPO2]]="costo", VLOOKUP(Table1[[#This Row],[PARTIDA PRESUPUESTAL]],'Cost Report'!G:G,1,0),"Balance")</f>
        <v>3683-012</v>
      </c>
      <c r="AC377" s="118"/>
      <c r="AD377" s="159" t="e">
        <f>+Table1[[#This Row],[SUBTOTAL]]+Table1[[#This Row],[IVA]]-Table1[[#This Row],[RET IVA]]-Table1[[#This Row],[RET ISR]]-Table1[[#This Row],[TOTAL]]</f>
        <v>#VALUE!</v>
      </c>
      <c r="AE377" s="152"/>
      <c r="AF377" s="153"/>
      <c r="AG377" s="126"/>
      <c r="AK377" s="306">
        <f>IF(ISNUMBER(Table1[[#This Row],[FECHA DE RECIBIDO]]), Table1[[#This Row],[FECHA DE RECIBIDO]]-DATE(2023,8,30), "")</f>
        <v>-44963.501736111109</v>
      </c>
    </row>
    <row r="378" spans="1:37" ht="16.05" customHeight="1">
      <c r="A378" s="150"/>
      <c r="B378" s="151"/>
      <c r="C378" s="126" t="s">
        <v>1043</v>
      </c>
      <c r="D378">
        <v>243</v>
      </c>
      <c r="E378" s="126">
        <v>44150</v>
      </c>
      <c r="F378" s="122">
        <v>601</v>
      </c>
      <c r="G378" s="122" t="s">
        <v>134</v>
      </c>
      <c r="H378">
        <v>23</v>
      </c>
      <c r="I378" s="122" t="s">
        <v>1546</v>
      </c>
      <c r="J378" s="307">
        <v>204.49826388889051</v>
      </c>
      <c r="K378" s="127" t="s">
        <v>3397</v>
      </c>
      <c r="L378" s="151" t="s">
        <v>118</v>
      </c>
      <c r="M378">
        <v>32</v>
      </c>
      <c r="N378" s="123">
        <v>1</v>
      </c>
      <c r="O378">
        <v>264</v>
      </c>
      <c r="P378" s="132" t="s">
        <v>77</v>
      </c>
      <c r="Q378" s="131">
        <v>7135.7</v>
      </c>
      <c r="R378" s="131">
        <v>1141.71</v>
      </c>
      <c r="S378" s="131"/>
      <c r="T378" s="155" t="s">
        <v>3805</v>
      </c>
      <c r="U378" s="131" t="s">
        <v>3805</v>
      </c>
      <c r="V378" s="131">
        <v>8277.41</v>
      </c>
      <c r="W378">
        <v>25</v>
      </c>
      <c r="X378" s="151" t="s">
        <v>105</v>
      </c>
      <c r="Y378" s="135" t="s">
        <v>55</v>
      </c>
      <c r="Z378" s="307">
        <v>203</v>
      </c>
      <c r="AB378" t="str">
        <f>IF(Table1[[#This Row],[TIPO2]]="costo", VLOOKUP(Table1[[#This Row],[PARTIDA PRESUPUESTAL]],'Cost Report'!G:G,1,0),"Balance")</f>
        <v>3683-018</v>
      </c>
      <c r="AC378" s="118"/>
      <c r="AD378" s="159" t="e">
        <f>+Table1[[#This Row],[SUBTOTAL]]+Table1[[#This Row],[IVA]]-Table1[[#This Row],[RET IVA]]-Table1[[#This Row],[RET ISR]]-Table1[[#This Row],[TOTAL]]</f>
        <v>#VALUE!</v>
      </c>
      <c r="AE378" s="150"/>
      <c r="AF378" s="151"/>
      <c r="AG378" s="126"/>
      <c r="AK378" s="306">
        <f>IF(ISNUMBER(Table1[[#This Row],[FECHA DE RECIBIDO]]), Table1[[#This Row],[FECHA DE RECIBIDO]]-DATE(2023,8,30), "")</f>
        <v>-44963.501736111109</v>
      </c>
    </row>
    <row r="379" spans="1:37" ht="16.05" customHeight="1">
      <c r="A379" s="152"/>
      <c r="B379" s="153"/>
      <c r="C379" s="126" t="s">
        <v>1047</v>
      </c>
      <c r="D379">
        <v>243</v>
      </c>
      <c r="E379" s="126">
        <v>44150</v>
      </c>
      <c r="F379" s="125">
        <v>601</v>
      </c>
      <c r="G379" s="125" t="s">
        <v>134</v>
      </c>
      <c r="H379">
        <v>23</v>
      </c>
      <c r="I379" s="125" t="s">
        <v>1546</v>
      </c>
      <c r="J379" s="308">
        <v>204.49826388889051</v>
      </c>
      <c r="K379" s="127" t="s">
        <v>3397</v>
      </c>
      <c r="L379" s="153" t="s">
        <v>118</v>
      </c>
      <c r="M379">
        <v>32</v>
      </c>
      <c r="N379" s="123">
        <v>1</v>
      </c>
      <c r="O379">
        <v>264</v>
      </c>
      <c r="P379" s="132" t="s">
        <v>77</v>
      </c>
      <c r="Q379" s="132">
        <v>3488.57</v>
      </c>
      <c r="R379" s="132">
        <v>558.16999999999996</v>
      </c>
      <c r="S379" s="132"/>
      <c r="T379" s="156" t="s">
        <v>3805</v>
      </c>
      <c r="U379" s="132" t="s">
        <v>3805</v>
      </c>
      <c r="V379" s="132">
        <v>4046.74</v>
      </c>
      <c r="W379">
        <v>25</v>
      </c>
      <c r="X379" s="153" t="s">
        <v>105</v>
      </c>
      <c r="Y379" s="124" t="s">
        <v>55</v>
      </c>
      <c r="Z379" s="308">
        <v>203</v>
      </c>
      <c r="AB379" t="str">
        <f>IF(Table1[[#This Row],[TIPO2]]="costo", VLOOKUP(Table1[[#This Row],[PARTIDA PRESUPUESTAL]],'Cost Report'!G:G,1,0),"Balance")</f>
        <v>3683-024</v>
      </c>
      <c r="AC379" s="118"/>
      <c r="AD379" s="159" t="e">
        <f>+Table1[[#This Row],[SUBTOTAL]]+Table1[[#This Row],[IVA]]-Table1[[#This Row],[RET IVA]]-Table1[[#This Row],[RET ISR]]-Table1[[#This Row],[TOTAL]]</f>
        <v>#VALUE!</v>
      </c>
      <c r="AE379" s="152"/>
      <c r="AF379" s="153"/>
      <c r="AG379" s="126"/>
      <c r="AK379" s="306">
        <f>IF(ISNUMBER(Table1[[#This Row],[FECHA DE RECIBIDO]]), Table1[[#This Row],[FECHA DE RECIBIDO]]-DATE(2023,8,30), "")</f>
        <v>-44963.501736111109</v>
      </c>
    </row>
    <row r="380" spans="1:37" ht="16.05" customHeight="1">
      <c r="A380" s="150"/>
      <c r="B380" s="151"/>
      <c r="C380" s="126" t="s">
        <v>1051</v>
      </c>
      <c r="D380">
        <v>243</v>
      </c>
      <c r="E380" s="126">
        <v>44150</v>
      </c>
      <c r="F380" s="122">
        <v>601</v>
      </c>
      <c r="G380" s="122" t="s">
        <v>134</v>
      </c>
      <c r="H380">
        <v>23</v>
      </c>
      <c r="I380" s="122" t="s">
        <v>1546</v>
      </c>
      <c r="J380" s="307">
        <v>204.49826388889051</v>
      </c>
      <c r="K380" s="127" t="s">
        <v>3397</v>
      </c>
      <c r="L380" s="151" t="s">
        <v>118</v>
      </c>
      <c r="M380">
        <v>32</v>
      </c>
      <c r="N380" s="123">
        <v>1</v>
      </c>
      <c r="O380">
        <v>264</v>
      </c>
      <c r="P380" s="132" t="s">
        <v>77</v>
      </c>
      <c r="Q380" s="131">
        <v>3425.14</v>
      </c>
      <c r="R380" s="131">
        <v>548.02</v>
      </c>
      <c r="S380" s="131"/>
      <c r="T380" s="155" t="s">
        <v>3805</v>
      </c>
      <c r="U380" s="131" t="s">
        <v>3805</v>
      </c>
      <c r="V380" s="131">
        <v>3973.16</v>
      </c>
      <c r="W380">
        <v>25</v>
      </c>
      <c r="X380" s="151" t="s">
        <v>105</v>
      </c>
      <c r="Y380" s="135" t="s">
        <v>55</v>
      </c>
      <c r="Z380" s="307">
        <v>203</v>
      </c>
      <c r="AB380" t="str">
        <f>IF(Table1[[#This Row],[TIPO2]]="costo", VLOOKUP(Table1[[#This Row],[PARTIDA PRESUPUESTAL]],'Cost Report'!G:G,1,0),"Balance")</f>
        <v>3683-030</v>
      </c>
      <c r="AC380" s="118"/>
      <c r="AD380" s="159" t="e">
        <f>+Table1[[#This Row],[SUBTOTAL]]+Table1[[#This Row],[IVA]]-Table1[[#This Row],[RET IVA]]-Table1[[#This Row],[RET ISR]]-Table1[[#This Row],[TOTAL]]</f>
        <v>#VALUE!</v>
      </c>
      <c r="AE380" s="150"/>
      <c r="AF380" s="151"/>
      <c r="AG380" s="126"/>
      <c r="AK380" s="306">
        <f>IF(ISNUMBER(Table1[[#This Row],[FECHA DE RECIBIDO]]), Table1[[#This Row],[FECHA DE RECIBIDO]]-DATE(2023,8,30), "")</f>
        <v>-44963.501736111109</v>
      </c>
    </row>
    <row r="381" spans="1:37" ht="16.05" customHeight="1">
      <c r="A381" s="152"/>
      <c r="B381" s="153"/>
      <c r="C381" s="126" t="s">
        <v>2897</v>
      </c>
      <c r="D381">
        <v>243</v>
      </c>
      <c r="E381" s="126">
        <v>44150</v>
      </c>
      <c r="F381" s="125">
        <v>601</v>
      </c>
      <c r="G381" s="125" t="s">
        <v>134</v>
      </c>
      <c r="H381">
        <v>23</v>
      </c>
      <c r="I381" s="125" t="s">
        <v>1546</v>
      </c>
      <c r="J381" s="308">
        <v>204.49826388889051</v>
      </c>
      <c r="K381" s="127" t="s">
        <v>3397</v>
      </c>
      <c r="L381" s="153" t="s">
        <v>118</v>
      </c>
      <c r="M381">
        <v>32</v>
      </c>
      <c r="N381" s="123">
        <v>1</v>
      </c>
      <c r="O381">
        <v>264</v>
      </c>
      <c r="P381" s="132" t="s">
        <v>77</v>
      </c>
      <c r="Q381" s="132">
        <v>1712.57</v>
      </c>
      <c r="R381" s="132">
        <v>274.01</v>
      </c>
      <c r="S381" s="132"/>
      <c r="T381" s="156" t="s">
        <v>3805</v>
      </c>
      <c r="U381" s="132" t="s">
        <v>3805</v>
      </c>
      <c r="V381" s="132">
        <v>1986.58</v>
      </c>
      <c r="W381">
        <v>25</v>
      </c>
      <c r="X381" s="153" t="s">
        <v>105</v>
      </c>
      <c r="Y381" s="124" t="s">
        <v>55</v>
      </c>
      <c r="Z381" s="308">
        <v>203</v>
      </c>
      <c r="AB381" t="str">
        <f>IF(Table1[[#This Row],[TIPO2]]="costo", VLOOKUP(Table1[[#This Row],[PARTIDA PRESUPUESTAL]],'Cost Report'!G:G,1,0),"Balance")</f>
        <v>3683-138</v>
      </c>
      <c r="AC381" s="118"/>
      <c r="AD381" s="159" t="e">
        <f>+Table1[[#This Row],[SUBTOTAL]]+Table1[[#This Row],[IVA]]-Table1[[#This Row],[RET IVA]]-Table1[[#This Row],[RET ISR]]-Table1[[#This Row],[TOTAL]]</f>
        <v>#VALUE!</v>
      </c>
      <c r="AE381" s="152"/>
      <c r="AF381" s="153"/>
      <c r="AG381" s="126"/>
      <c r="AK381" s="306">
        <f>IF(ISNUMBER(Table1[[#This Row],[FECHA DE RECIBIDO]]), Table1[[#This Row],[FECHA DE RECIBIDO]]-DATE(2023,8,30), "")</f>
        <v>-44963.501736111109</v>
      </c>
    </row>
    <row r="382" spans="1:37" ht="16.05" customHeight="1">
      <c r="A382" s="150"/>
      <c r="B382" s="151"/>
      <c r="C382" s="126" t="s">
        <v>1059</v>
      </c>
      <c r="D382">
        <v>243</v>
      </c>
      <c r="E382" s="126">
        <v>44150</v>
      </c>
      <c r="F382" s="122">
        <v>601</v>
      </c>
      <c r="G382" s="122" t="s">
        <v>134</v>
      </c>
      <c r="H382">
        <v>23</v>
      </c>
      <c r="I382" s="122" t="s">
        <v>1546</v>
      </c>
      <c r="J382" s="307">
        <v>204.49826388889051</v>
      </c>
      <c r="K382" s="127" t="s">
        <v>3397</v>
      </c>
      <c r="L382" s="151" t="s">
        <v>118</v>
      </c>
      <c r="M382">
        <v>32</v>
      </c>
      <c r="N382" s="123">
        <v>1</v>
      </c>
      <c r="O382">
        <v>264</v>
      </c>
      <c r="P382" s="132" t="s">
        <v>77</v>
      </c>
      <c r="Q382" s="131">
        <v>3425.14</v>
      </c>
      <c r="R382" s="131">
        <v>548.02</v>
      </c>
      <c r="S382" s="131"/>
      <c r="T382" s="155" t="s">
        <v>3805</v>
      </c>
      <c r="U382" s="131" t="s">
        <v>3805</v>
      </c>
      <c r="V382" s="131">
        <v>3973.16</v>
      </c>
      <c r="W382">
        <v>25</v>
      </c>
      <c r="X382" s="151" t="s">
        <v>105</v>
      </c>
      <c r="Y382" s="135" t="s">
        <v>55</v>
      </c>
      <c r="Z382" s="307">
        <v>203</v>
      </c>
      <c r="AB382" t="str">
        <f>IF(Table1[[#This Row],[TIPO2]]="costo", VLOOKUP(Table1[[#This Row],[PARTIDA PRESUPUESTAL]],'Cost Report'!G:G,1,0),"Balance")</f>
        <v>3683-042</v>
      </c>
      <c r="AC382" s="118"/>
      <c r="AD382" s="159" t="e">
        <f>+Table1[[#This Row],[SUBTOTAL]]+Table1[[#This Row],[IVA]]-Table1[[#This Row],[RET IVA]]-Table1[[#This Row],[RET ISR]]-Table1[[#This Row],[TOTAL]]</f>
        <v>#VALUE!</v>
      </c>
      <c r="AE382" s="150"/>
      <c r="AF382" s="151"/>
      <c r="AG382" s="126"/>
      <c r="AK382" s="306">
        <f>IF(ISNUMBER(Table1[[#This Row],[FECHA DE RECIBIDO]]), Table1[[#This Row],[FECHA DE RECIBIDO]]-DATE(2023,8,30), "")</f>
        <v>-44963.501736111109</v>
      </c>
    </row>
    <row r="383" spans="1:37" ht="16.05" customHeight="1">
      <c r="A383" s="152"/>
      <c r="B383" s="153"/>
      <c r="C383" s="126" t="s">
        <v>1063</v>
      </c>
      <c r="D383">
        <v>243</v>
      </c>
      <c r="E383" s="126">
        <v>44150</v>
      </c>
      <c r="F383" s="125">
        <v>601</v>
      </c>
      <c r="G383" s="125" t="s">
        <v>134</v>
      </c>
      <c r="H383">
        <v>23</v>
      </c>
      <c r="I383" s="125" t="s">
        <v>1546</v>
      </c>
      <c r="J383" s="308">
        <v>204.49826388889051</v>
      </c>
      <c r="K383" s="127" t="s">
        <v>3397</v>
      </c>
      <c r="L383" s="153" t="s">
        <v>118</v>
      </c>
      <c r="M383">
        <v>32</v>
      </c>
      <c r="N383" s="123">
        <v>1</v>
      </c>
      <c r="O383">
        <v>264</v>
      </c>
      <c r="P383" s="132" t="s">
        <v>77</v>
      </c>
      <c r="Q383" s="132">
        <v>3488.57</v>
      </c>
      <c r="R383" s="132">
        <v>558.16999999999996</v>
      </c>
      <c r="S383" s="132"/>
      <c r="T383" s="156" t="s">
        <v>3805</v>
      </c>
      <c r="U383" s="132" t="s">
        <v>3805</v>
      </c>
      <c r="V383" s="132">
        <v>4046.74</v>
      </c>
      <c r="W383">
        <v>25</v>
      </c>
      <c r="X383" s="153" t="s">
        <v>105</v>
      </c>
      <c r="Y383" s="124" t="s">
        <v>55</v>
      </c>
      <c r="Z383" s="308">
        <v>203</v>
      </c>
      <c r="AB383" t="str">
        <f>IF(Table1[[#This Row],[TIPO2]]="costo", VLOOKUP(Table1[[#This Row],[PARTIDA PRESUPUESTAL]],'Cost Report'!G:G,1,0),"Balance")</f>
        <v>3683-048</v>
      </c>
      <c r="AC383" s="118"/>
      <c r="AD383" s="159" t="e">
        <f>+Table1[[#This Row],[SUBTOTAL]]+Table1[[#This Row],[IVA]]-Table1[[#This Row],[RET IVA]]-Table1[[#This Row],[RET ISR]]-Table1[[#This Row],[TOTAL]]</f>
        <v>#VALUE!</v>
      </c>
      <c r="AE383" s="152"/>
      <c r="AF383" s="153"/>
      <c r="AG383" s="126"/>
      <c r="AK383" s="306">
        <f>IF(ISNUMBER(Table1[[#This Row],[FECHA DE RECIBIDO]]), Table1[[#This Row],[FECHA DE RECIBIDO]]-DATE(2023,8,30), "")</f>
        <v>-44963.501736111109</v>
      </c>
    </row>
    <row r="384" spans="1:37" ht="16.05" customHeight="1">
      <c r="A384" s="150"/>
      <c r="B384" s="151"/>
      <c r="C384" s="126" t="s">
        <v>1067</v>
      </c>
      <c r="D384">
        <v>243</v>
      </c>
      <c r="E384" s="126">
        <v>44150</v>
      </c>
      <c r="F384" s="122">
        <v>601</v>
      </c>
      <c r="G384" s="122" t="s">
        <v>134</v>
      </c>
      <c r="H384">
        <v>23</v>
      </c>
      <c r="I384" s="122" t="s">
        <v>1546</v>
      </c>
      <c r="J384" s="307">
        <v>204.49826388889051</v>
      </c>
      <c r="K384" s="127" t="s">
        <v>3397</v>
      </c>
      <c r="L384" s="151" t="s">
        <v>118</v>
      </c>
      <c r="M384">
        <v>32</v>
      </c>
      <c r="N384" s="123">
        <v>1</v>
      </c>
      <c r="O384">
        <v>264</v>
      </c>
      <c r="P384" s="132" t="s">
        <v>77</v>
      </c>
      <c r="Q384" s="131">
        <v>3488.57</v>
      </c>
      <c r="R384" s="131">
        <v>558.16999999999996</v>
      </c>
      <c r="S384" s="131"/>
      <c r="T384" s="155" t="s">
        <v>3805</v>
      </c>
      <c r="U384" s="131" t="s">
        <v>3805</v>
      </c>
      <c r="V384" s="131">
        <v>4046.74</v>
      </c>
      <c r="W384">
        <v>25</v>
      </c>
      <c r="X384" s="151" t="s">
        <v>105</v>
      </c>
      <c r="Y384" s="135" t="s">
        <v>55</v>
      </c>
      <c r="Z384" s="307">
        <v>203</v>
      </c>
      <c r="AB384" t="str">
        <f>IF(Table1[[#This Row],[TIPO2]]="costo", VLOOKUP(Table1[[#This Row],[PARTIDA PRESUPUESTAL]],'Cost Report'!G:G,1,0),"Balance")</f>
        <v>3683-054</v>
      </c>
      <c r="AC384" s="118"/>
      <c r="AD384" s="159" t="e">
        <f>+Table1[[#This Row],[SUBTOTAL]]+Table1[[#This Row],[IVA]]-Table1[[#This Row],[RET IVA]]-Table1[[#This Row],[RET ISR]]-Table1[[#This Row],[TOTAL]]</f>
        <v>#VALUE!</v>
      </c>
      <c r="AE384" s="150"/>
      <c r="AF384" s="151"/>
      <c r="AG384" s="126"/>
      <c r="AK384" s="306">
        <f>IF(ISNUMBER(Table1[[#This Row],[FECHA DE RECIBIDO]]), Table1[[#This Row],[FECHA DE RECIBIDO]]-DATE(2023,8,30), "")</f>
        <v>-44963.501736111109</v>
      </c>
    </row>
    <row r="385" spans="1:37" ht="16.05" customHeight="1">
      <c r="A385" s="152"/>
      <c r="B385" s="153"/>
      <c r="C385" s="126" t="s">
        <v>1071</v>
      </c>
      <c r="D385">
        <v>243</v>
      </c>
      <c r="E385" s="126">
        <v>44150</v>
      </c>
      <c r="F385" s="125">
        <v>601</v>
      </c>
      <c r="G385" s="125" t="s">
        <v>134</v>
      </c>
      <c r="H385">
        <v>23</v>
      </c>
      <c r="I385" s="125" t="s">
        <v>1546</v>
      </c>
      <c r="J385" s="308">
        <v>204.49826388889051</v>
      </c>
      <c r="K385" s="127" t="s">
        <v>3397</v>
      </c>
      <c r="L385" s="153" t="s">
        <v>118</v>
      </c>
      <c r="M385">
        <v>32</v>
      </c>
      <c r="N385" s="123">
        <v>1</v>
      </c>
      <c r="O385">
        <v>264</v>
      </c>
      <c r="P385" s="132" t="s">
        <v>77</v>
      </c>
      <c r="Q385" s="132">
        <v>2378.5700000000002</v>
      </c>
      <c r="R385" s="132">
        <v>380.57</v>
      </c>
      <c r="S385" s="132"/>
      <c r="T385" s="156" t="s">
        <v>3805</v>
      </c>
      <c r="U385" s="132" t="s">
        <v>3805</v>
      </c>
      <c r="V385" s="132">
        <v>2759.14</v>
      </c>
      <c r="W385">
        <v>25</v>
      </c>
      <c r="X385" s="153" t="s">
        <v>105</v>
      </c>
      <c r="Y385" s="124" t="s">
        <v>55</v>
      </c>
      <c r="Z385" s="308">
        <v>203</v>
      </c>
      <c r="AB385" t="str">
        <f>IF(Table1[[#This Row],[TIPO2]]="costo", VLOOKUP(Table1[[#This Row],[PARTIDA PRESUPUESTAL]],'Cost Report'!G:G,1,0),"Balance")</f>
        <v>3683-060</v>
      </c>
      <c r="AC385" s="118"/>
      <c r="AD385" s="159" t="e">
        <f>+Table1[[#This Row],[SUBTOTAL]]+Table1[[#This Row],[IVA]]-Table1[[#This Row],[RET IVA]]-Table1[[#This Row],[RET ISR]]-Table1[[#This Row],[TOTAL]]</f>
        <v>#VALUE!</v>
      </c>
      <c r="AE385" s="152"/>
      <c r="AF385" s="153"/>
      <c r="AG385" s="126"/>
      <c r="AK385" s="306">
        <f>IF(ISNUMBER(Table1[[#This Row],[FECHA DE RECIBIDO]]), Table1[[#This Row],[FECHA DE RECIBIDO]]-DATE(2023,8,30), "")</f>
        <v>-44963.501736111109</v>
      </c>
    </row>
    <row r="386" spans="1:37" ht="16.05" customHeight="1">
      <c r="A386" s="150"/>
      <c r="B386" s="151"/>
      <c r="C386" s="126" t="s">
        <v>1075</v>
      </c>
      <c r="D386">
        <v>243</v>
      </c>
      <c r="E386" s="126">
        <v>44150</v>
      </c>
      <c r="F386" s="122">
        <v>601</v>
      </c>
      <c r="G386" s="122" t="s">
        <v>134</v>
      </c>
      <c r="H386">
        <v>23</v>
      </c>
      <c r="I386" s="122" t="s">
        <v>1546</v>
      </c>
      <c r="J386" s="307">
        <v>204.49826388889051</v>
      </c>
      <c r="K386" s="127" t="s">
        <v>3397</v>
      </c>
      <c r="L386" s="151" t="s">
        <v>118</v>
      </c>
      <c r="M386">
        <v>32</v>
      </c>
      <c r="N386" s="123">
        <v>1</v>
      </c>
      <c r="O386">
        <v>264</v>
      </c>
      <c r="P386" s="132" t="s">
        <v>77</v>
      </c>
      <c r="Q386" s="131">
        <v>2378.5700000000002</v>
      </c>
      <c r="R386" s="131">
        <v>380.57</v>
      </c>
      <c r="S386" s="131"/>
      <c r="T386" s="155" t="s">
        <v>3805</v>
      </c>
      <c r="U386" s="131" t="s">
        <v>3805</v>
      </c>
      <c r="V386" s="131">
        <v>2759.14</v>
      </c>
      <c r="W386">
        <v>25</v>
      </c>
      <c r="X386" s="151" t="s">
        <v>105</v>
      </c>
      <c r="Y386" s="135" t="s">
        <v>55</v>
      </c>
      <c r="Z386" s="307">
        <v>203</v>
      </c>
      <c r="AB386" t="str">
        <f>IF(Table1[[#This Row],[TIPO2]]="costo", VLOOKUP(Table1[[#This Row],[PARTIDA PRESUPUESTAL]],'Cost Report'!G:G,1,0),"Balance")</f>
        <v>3683-066</v>
      </c>
      <c r="AC386" s="118"/>
      <c r="AD386" s="159" t="e">
        <f>+Table1[[#This Row],[SUBTOTAL]]+Table1[[#This Row],[IVA]]-Table1[[#This Row],[RET IVA]]-Table1[[#This Row],[RET ISR]]-Table1[[#This Row],[TOTAL]]</f>
        <v>#VALUE!</v>
      </c>
      <c r="AE386" s="150"/>
      <c r="AF386" s="151"/>
      <c r="AG386" s="126"/>
      <c r="AK386" s="306">
        <f>IF(ISNUMBER(Table1[[#This Row],[FECHA DE RECIBIDO]]), Table1[[#This Row],[FECHA DE RECIBIDO]]-DATE(2023,8,30), "")</f>
        <v>-44963.501736111109</v>
      </c>
    </row>
    <row r="387" spans="1:37" ht="16.05" customHeight="1">
      <c r="A387" s="152"/>
      <c r="B387" s="153"/>
      <c r="C387" s="126" t="s">
        <v>1079</v>
      </c>
      <c r="D387">
        <v>243</v>
      </c>
      <c r="E387" s="126">
        <v>44150</v>
      </c>
      <c r="F387" s="125">
        <v>601</v>
      </c>
      <c r="G387" s="125" t="s">
        <v>134</v>
      </c>
      <c r="H387">
        <v>23</v>
      </c>
      <c r="I387" s="125" t="s">
        <v>1546</v>
      </c>
      <c r="J387" s="308">
        <v>204.49826388889051</v>
      </c>
      <c r="K387" s="127" t="s">
        <v>3397</v>
      </c>
      <c r="L387" s="153" t="s">
        <v>118</v>
      </c>
      <c r="M387">
        <v>32</v>
      </c>
      <c r="N387" s="123">
        <v>1</v>
      </c>
      <c r="O387">
        <v>264</v>
      </c>
      <c r="P387" s="132" t="s">
        <v>77</v>
      </c>
      <c r="Q387" s="132">
        <v>2378.5700000000002</v>
      </c>
      <c r="R387" s="132">
        <v>380.57</v>
      </c>
      <c r="S387" s="132"/>
      <c r="T387" s="156" t="s">
        <v>3805</v>
      </c>
      <c r="U387" s="132" t="s">
        <v>3805</v>
      </c>
      <c r="V387" s="132">
        <v>2759.14</v>
      </c>
      <c r="W387">
        <v>25</v>
      </c>
      <c r="X387" s="153" t="s">
        <v>105</v>
      </c>
      <c r="Y387" s="124" t="s">
        <v>55</v>
      </c>
      <c r="Z387" s="308">
        <v>203</v>
      </c>
      <c r="AB387" t="str">
        <f>IF(Table1[[#This Row],[TIPO2]]="costo", VLOOKUP(Table1[[#This Row],[PARTIDA PRESUPUESTAL]],'Cost Report'!G:G,1,0),"Balance")</f>
        <v>3683-072</v>
      </c>
      <c r="AC387" s="118"/>
      <c r="AD387" s="159" t="e">
        <f>+Table1[[#This Row],[SUBTOTAL]]+Table1[[#This Row],[IVA]]-Table1[[#This Row],[RET IVA]]-Table1[[#This Row],[RET ISR]]-Table1[[#This Row],[TOTAL]]</f>
        <v>#VALUE!</v>
      </c>
      <c r="AE387" s="152"/>
      <c r="AF387" s="153"/>
      <c r="AG387" s="126"/>
      <c r="AK387" s="306">
        <f>IF(ISNUMBER(Table1[[#This Row],[FECHA DE RECIBIDO]]), Table1[[#This Row],[FECHA DE RECIBIDO]]-DATE(2023,8,30), "")</f>
        <v>-44963.501736111109</v>
      </c>
    </row>
    <row r="388" spans="1:37" ht="16.05" customHeight="1">
      <c r="A388" s="150"/>
      <c r="B388" s="151"/>
      <c r="C388" s="126" t="s">
        <v>1083</v>
      </c>
      <c r="D388">
        <v>243</v>
      </c>
      <c r="E388" s="126">
        <v>44150</v>
      </c>
      <c r="F388" s="122">
        <v>601</v>
      </c>
      <c r="G388" s="122" t="s">
        <v>134</v>
      </c>
      <c r="H388">
        <v>23</v>
      </c>
      <c r="I388" s="122" t="s">
        <v>1546</v>
      </c>
      <c r="J388" s="307">
        <v>204.49826388889051</v>
      </c>
      <c r="K388" s="127" t="s">
        <v>3397</v>
      </c>
      <c r="L388" s="151" t="s">
        <v>118</v>
      </c>
      <c r="M388">
        <v>32</v>
      </c>
      <c r="N388" s="123">
        <v>1</v>
      </c>
      <c r="O388">
        <v>264</v>
      </c>
      <c r="P388" s="132" t="s">
        <v>77</v>
      </c>
      <c r="Q388" s="131">
        <v>2378.5700000000002</v>
      </c>
      <c r="R388" s="131">
        <v>380.57</v>
      </c>
      <c r="S388" s="131"/>
      <c r="T388" s="155" t="s">
        <v>3805</v>
      </c>
      <c r="U388" s="131" t="s">
        <v>3805</v>
      </c>
      <c r="V388" s="131">
        <v>2759.14</v>
      </c>
      <c r="W388">
        <v>25</v>
      </c>
      <c r="X388" s="151" t="s">
        <v>105</v>
      </c>
      <c r="Y388" s="135" t="s">
        <v>55</v>
      </c>
      <c r="Z388" s="307">
        <v>203</v>
      </c>
      <c r="AB388" t="str">
        <f>IF(Table1[[#This Row],[TIPO2]]="costo", VLOOKUP(Table1[[#This Row],[PARTIDA PRESUPUESTAL]],'Cost Report'!G:G,1,0),"Balance")</f>
        <v>3683-078</v>
      </c>
      <c r="AC388" s="118"/>
      <c r="AD388" s="159" t="e">
        <f>+Table1[[#This Row],[SUBTOTAL]]+Table1[[#This Row],[IVA]]-Table1[[#This Row],[RET IVA]]-Table1[[#This Row],[RET ISR]]-Table1[[#This Row],[TOTAL]]</f>
        <v>#VALUE!</v>
      </c>
      <c r="AE388" s="150"/>
      <c r="AF388" s="151"/>
      <c r="AG388" s="126"/>
      <c r="AK388" s="306">
        <f>IF(ISNUMBER(Table1[[#This Row],[FECHA DE RECIBIDO]]), Table1[[#This Row],[FECHA DE RECIBIDO]]-DATE(2023,8,30), "")</f>
        <v>-44963.501736111109</v>
      </c>
    </row>
    <row r="389" spans="1:37" ht="16.05" customHeight="1">
      <c r="A389" s="152"/>
      <c r="B389" s="153"/>
      <c r="C389" s="126" t="s">
        <v>1087</v>
      </c>
      <c r="D389">
        <v>243</v>
      </c>
      <c r="E389" s="126">
        <v>44150</v>
      </c>
      <c r="F389" s="125">
        <v>601</v>
      </c>
      <c r="G389" s="125" t="s">
        <v>134</v>
      </c>
      <c r="H389">
        <v>23</v>
      </c>
      <c r="I389" s="125" t="s">
        <v>1546</v>
      </c>
      <c r="J389" s="308">
        <v>204.49826388889051</v>
      </c>
      <c r="K389" s="127" t="s">
        <v>3397</v>
      </c>
      <c r="L389" s="153" t="s">
        <v>118</v>
      </c>
      <c r="M389">
        <v>32</v>
      </c>
      <c r="N389" s="123">
        <v>1</v>
      </c>
      <c r="O389">
        <v>264</v>
      </c>
      <c r="P389" s="132" t="s">
        <v>77</v>
      </c>
      <c r="Q389" s="132">
        <v>3488.57</v>
      </c>
      <c r="R389" s="132">
        <v>558.16999999999996</v>
      </c>
      <c r="S389" s="132"/>
      <c r="T389" s="156" t="s">
        <v>3805</v>
      </c>
      <c r="U389" s="132" t="s">
        <v>3805</v>
      </c>
      <c r="V389" s="132">
        <v>4046.74</v>
      </c>
      <c r="W389">
        <v>25</v>
      </c>
      <c r="X389" s="153" t="s">
        <v>105</v>
      </c>
      <c r="Y389" s="124" t="s">
        <v>55</v>
      </c>
      <c r="Z389" s="308">
        <v>203</v>
      </c>
      <c r="AB389" t="str">
        <f>IF(Table1[[#This Row],[TIPO2]]="costo", VLOOKUP(Table1[[#This Row],[PARTIDA PRESUPUESTAL]],'Cost Report'!G:G,1,0),"Balance")</f>
        <v>3683-084</v>
      </c>
      <c r="AC389" s="118"/>
      <c r="AD389" s="159" t="e">
        <f>+Table1[[#This Row],[SUBTOTAL]]+Table1[[#This Row],[IVA]]-Table1[[#This Row],[RET IVA]]-Table1[[#This Row],[RET ISR]]-Table1[[#This Row],[TOTAL]]</f>
        <v>#VALUE!</v>
      </c>
      <c r="AE389" s="152"/>
      <c r="AF389" s="153"/>
      <c r="AG389" s="126"/>
      <c r="AK389" s="306">
        <f>IF(ISNUMBER(Table1[[#This Row],[FECHA DE RECIBIDO]]), Table1[[#This Row],[FECHA DE RECIBIDO]]-DATE(2023,8,30), "")</f>
        <v>-44963.501736111109</v>
      </c>
    </row>
    <row r="390" spans="1:37" ht="16.05" customHeight="1">
      <c r="A390" s="150"/>
      <c r="B390" s="151"/>
      <c r="C390" s="126" t="s">
        <v>1091</v>
      </c>
      <c r="D390">
        <v>243</v>
      </c>
      <c r="E390" s="126">
        <v>44150</v>
      </c>
      <c r="F390" s="122">
        <v>601</v>
      </c>
      <c r="G390" s="122" t="s">
        <v>134</v>
      </c>
      <c r="H390">
        <v>23</v>
      </c>
      <c r="I390" s="122" t="s">
        <v>1546</v>
      </c>
      <c r="J390" s="307">
        <v>204.49826388889051</v>
      </c>
      <c r="K390" s="127" t="s">
        <v>3397</v>
      </c>
      <c r="L390" s="151" t="s">
        <v>118</v>
      </c>
      <c r="M390">
        <v>32</v>
      </c>
      <c r="N390" s="123">
        <v>1</v>
      </c>
      <c r="O390">
        <v>264</v>
      </c>
      <c r="P390" s="132" t="s">
        <v>77</v>
      </c>
      <c r="Q390" s="131">
        <v>2378.5700000000002</v>
      </c>
      <c r="R390" s="131">
        <v>380.57</v>
      </c>
      <c r="S390" s="131"/>
      <c r="T390" s="155" t="s">
        <v>3805</v>
      </c>
      <c r="U390" s="131" t="s">
        <v>3805</v>
      </c>
      <c r="V390" s="131">
        <v>2759.14</v>
      </c>
      <c r="W390">
        <v>25</v>
      </c>
      <c r="X390" s="151" t="s">
        <v>105</v>
      </c>
      <c r="Y390" s="135" t="s">
        <v>55</v>
      </c>
      <c r="Z390" s="307">
        <v>203</v>
      </c>
      <c r="AB390" t="str">
        <f>IF(Table1[[#This Row],[TIPO2]]="costo", VLOOKUP(Table1[[#This Row],[PARTIDA PRESUPUESTAL]],'Cost Report'!G:G,1,0),"Balance")</f>
        <v>3683-090</v>
      </c>
      <c r="AC390" s="118"/>
      <c r="AD390" s="159" t="e">
        <f>+Table1[[#This Row],[SUBTOTAL]]+Table1[[#This Row],[IVA]]-Table1[[#This Row],[RET IVA]]-Table1[[#This Row],[RET ISR]]-Table1[[#This Row],[TOTAL]]</f>
        <v>#VALUE!</v>
      </c>
      <c r="AE390" s="150"/>
      <c r="AF390" s="151"/>
      <c r="AG390" s="126"/>
      <c r="AK390" s="306">
        <f>IF(ISNUMBER(Table1[[#This Row],[FECHA DE RECIBIDO]]), Table1[[#This Row],[FECHA DE RECIBIDO]]-DATE(2023,8,30), "")</f>
        <v>-44963.501736111109</v>
      </c>
    </row>
    <row r="391" spans="1:37" ht="16.05" customHeight="1">
      <c r="A391" s="152"/>
      <c r="B391" s="153"/>
      <c r="C391" s="126" t="s">
        <v>1095</v>
      </c>
      <c r="D391">
        <v>243</v>
      </c>
      <c r="E391" s="126">
        <v>44150</v>
      </c>
      <c r="F391" s="125">
        <v>601</v>
      </c>
      <c r="G391" s="125" t="s">
        <v>134</v>
      </c>
      <c r="H391">
        <v>23</v>
      </c>
      <c r="I391" s="125" t="s">
        <v>1546</v>
      </c>
      <c r="J391" s="308">
        <v>204.49826388889051</v>
      </c>
      <c r="K391" s="127" t="s">
        <v>3397</v>
      </c>
      <c r="L391" s="153" t="s">
        <v>118</v>
      </c>
      <c r="M391">
        <v>32</v>
      </c>
      <c r="N391" s="123">
        <v>1</v>
      </c>
      <c r="O391">
        <v>264</v>
      </c>
      <c r="P391" s="132" t="s">
        <v>77</v>
      </c>
      <c r="Q391" s="132">
        <v>3488.57</v>
      </c>
      <c r="R391" s="132">
        <v>558.16999999999996</v>
      </c>
      <c r="S391" s="132"/>
      <c r="T391" s="156" t="s">
        <v>3805</v>
      </c>
      <c r="U391" s="132" t="s">
        <v>3805</v>
      </c>
      <c r="V391" s="132">
        <v>4046.74</v>
      </c>
      <c r="W391">
        <v>25</v>
      </c>
      <c r="X391" s="153" t="s">
        <v>105</v>
      </c>
      <c r="Y391" s="124" t="s">
        <v>55</v>
      </c>
      <c r="Z391" s="308">
        <v>203</v>
      </c>
      <c r="AB391" t="str">
        <f>IF(Table1[[#This Row],[TIPO2]]="costo", VLOOKUP(Table1[[#This Row],[PARTIDA PRESUPUESTAL]],'Cost Report'!G:G,1,0),"Balance")</f>
        <v>3683-096</v>
      </c>
      <c r="AC391" s="118"/>
      <c r="AD391" s="159" t="e">
        <f>+Table1[[#This Row],[SUBTOTAL]]+Table1[[#This Row],[IVA]]-Table1[[#This Row],[RET IVA]]-Table1[[#This Row],[RET ISR]]-Table1[[#This Row],[TOTAL]]</f>
        <v>#VALUE!</v>
      </c>
      <c r="AE391" s="152"/>
      <c r="AF391" s="153"/>
      <c r="AG391" s="126"/>
      <c r="AK391" s="306">
        <f>IF(ISNUMBER(Table1[[#This Row],[FECHA DE RECIBIDO]]), Table1[[#This Row],[FECHA DE RECIBIDO]]-DATE(2023,8,30), "")</f>
        <v>-44963.501736111109</v>
      </c>
    </row>
    <row r="392" spans="1:37" ht="16.05" customHeight="1">
      <c r="A392" s="150"/>
      <c r="B392" s="151"/>
      <c r="C392" s="126" t="s">
        <v>1098</v>
      </c>
      <c r="D392">
        <v>243</v>
      </c>
      <c r="E392" s="126">
        <v>44150</v>
      </c>
      <c r="F392" s="122">
        <v>601</v>
      </c>
      <c r="G392" s="122" t="s">
        <v>134</v>
      </c>
      <c r="H392">
        <v>23</v>
      </c>
      <c r="I392" s="122" t="s">
        <v>1546</v>
      </c>
      <c r="J392" s="307">
        <v>204.49826388889051</v>
      </c>
      <c r="K392" s="127" t="s">
        <v>3397</v>
      </c>
      <c r="L392" s="151" t="s">
        <v>118</v>
      </c>
      <c r="M392">
        <v>32</v>
      </c>
      <c r="N392" s="123">
        <v>1</v>
      </c>
      <c r="O392">
        <v>264</v>
      </c>
      <c r="P392" s="132" t="s">
        <v>77</v>
      </c>
      <c r="Q392" s="131">
        <v>3567.85</v>
      </c>
      <c r="R392" s="131">
        <v>570.86</v>
      </c>
      <c r="S392" s="131"/>
      <c r="T392" s="155" t="s">
        <v>3805</v>
      </c>
      <c r="U392" s="131" t="s">
        <v>3805</v>
      </c>
      <c r="V392" s="131">
        <v>4138.71</v>
      </c>
      <c r="W392">
        <v>25</v>
      </c>
      <c r="X392" s="151" t="s">
        <v>105</v>
      </c>
      <c r="Y392" s="135" t="s">
        <v>55</v>
      </c>
      <c r="Z392" s="307">
        <v>203</v>
      </c>
      <c r="AB392" t="str">
        <f>IF(Table1[[#This Row],[TIPO2]]="costo", VLOOKUP(Table1[[#This Row],[PARTIDA PRESUPUESTAL]],'Cost Report'!G:G,1,0),"Balance")</f>
        <v>3683-101</v>
      </c>
      <c r="AC392" s="118"/>
      <c r="AD392" s="159" t="e">
        <f>+Table1[[#This Row],[SUBTOTAL]]+Table1[[#This Row],[IVA]]-Table1[[#This Row],[RET IVA]]-Table1[[#This Row],[RET ISR]]-Table1[[#This Row],[TOTAL]]</f>
        <v>#VALUE!</v>
      </c>
      <c r="AE392" s="150"/>
      <c r="AF392" s="151"/>
      <c r="AG392" s="126"/>
      <c r="AK392" s="306">
        <f>IF(ISNUMBER(Table1[[#This Row],[FECHA DE RECIBIDO]]), Table1[[#This Row],[FECHA DE RECIBIDO]]-DATE(2023,8,30), "")</f>
        <v>-44963.501736111109</v>
      </c>
    </row>
    <row r="393" spans="1:37" ht="16.05" customHeight="1">
      <c r="A393" s="152"/>
      <c r="B393" s="153"/>
      <c r="C393" s="126" t="s">
        <v>1100</v>
      </c>
      <c r="D393">
        <v>243</v>
      </c>
      <c r="E393" s="126">
        <v>44150</v>
      </c>
      <c r="F393" s="125">
        <v>601</v>
      </c>
      <c r="G393" s="125" t="s">
        <v>134</v>
      </c>
      <c r="H393">
        <v>23</v>
      </c>
      <c r="I393" s="125" t="s">
        <v>1546</v>
      </c>
      <c r="J393" s="308">
        <v>204.49826388889051</v>
      </c>
      <c r="K393" s="127" t="s">
        <v>3397</v>
      </c>
      <c r="L393" s="153" t="s">
        <v>118</v>
      </c>
      <c r="M393">
        <v>32</v>
      </c>
      <c r="N393" s="123">
        <v>1</v>
      </c>
      <c r="O393">
        <v>264</v>
      </c>
      <c r="P393" s="132" t="s">
        <v>77</v>
      </c>
      <c r="Q393" s="132">
        <v>4439.99</v>
      </c>
      <c r="R393" s="132">
        <v>710.4</v>
      </c>
      <c r="S393" s="132"/>
      <c r="T393" s="156" t="s">
        <v>3805</v>
      </c>
      <c r="U393" s="132" t="s">
        <v>3805</v>
      </c>
      <c r="V393" s="132">
        <v>5150.3900000000003</v>
      </c>
      <c r="W393">
        <v>25</v>
      </c>
      <c r="X393" s="153" t="s">
        <v>105</v>
      </c>
      <c r="Y393" s="124" t="s">
        <v>55</v>
      </c>
      <c r="Z393" s="308">
        <v>203</v>
      </c>
      <c r="AB393" t="str">
        <f>IF(Table1[[#This Row],[TIPO2]]="costo", VLOOKUP(Table1[[#This Row],[PARTIDA PRESUPUESTAL]],'Cost Report'!G:G,1,0),"Balance")</f>
        <v>3683-105</v>
      </c>
      <c r="AC393" s="118"/>
      <c r="AD393" s="159" t="e">
        <f>+Table1[[#This Row],[SUBTOTAL]]+Table1[[#This Row],[IVA]]-Table1[[#This Row],[RET IVA]]-Table1[[#This Row],[RET ISR]]-Table1[[#This Row],[TOTAL]]</f>
        <v>#VALUE!</v>
      </c>
      <c r="AE393" s="152"/>
      <c r="AF393" s="153"/>
      <c r="AG393" s="126"/>
      <c r="AK393" s="306">
        <f>IF(ISNUMBER(Table1[[#This Row],[FECHA DE RECIBIDO]]), Table1[[#This Row],[FECHA DE RECIBIDO]]-DATE(2023,8,30), "")</f>
        <v>-44963.501736111109</v>
      </c>
    </row>
    <row r="394" spans="1:37" ht="16.05" customHeight="1">
      <c r="A394" s="150"/>
      <c r="B394" s="151"/>
      <c r="C394" s="126" t="s">
        <v>2880</v>
      </c>
      <c r="D394">
        <v>243</v>
      </c>
      <c r="E394" s="126">
        <v>44150</v>
      </c>
      <c r="F394" s="122">
        <v>601</v>
      </c>
      <c r="G394" s="122" t="s">
        <v>134</v>
      </c>
      <c r="H394">
        <v>23</v>
      </c>
      <c r="I394" s="122" t="s">
        <v>1546</v>
      </c>
      <c r="J394" s="307">
        <v>204.49826388889051</v>
      </c>
      <c r="K394" s="127" t="s">
        <v>3397</v>
      </c>
      <c r="L394" s="151" t="s">
        <v>118</v>
      </c>
      <c r="M394">
        <v>32</v>
      </c>
      <c r="N394" s="123">
        <v>1</v>
      </c>
      <c r="O394">
        <v>264</v>
      </c>
      <c r="P394" s="132" t="s">
        <v>77</v>
      </c>
      <c r="Q394" s="131">
        <v>8879.99</v>
      </c>
      <c r="R394" s="131">
        <v>1420.8</v>
      </c>
      <c r="S394" s="131"/>
      <c r="T394" s="155" t="s">
        <v>3805</v>
      </c>
      <c r="U394" s="131" t="s">
        <v>3805</v>
      </c>
      <c r="V394" s="131">
        <v>10300.790000000001</v>
      </c>
      <c r="W394">
        <v>25</v>
      </c>
      <c r="X394" s="151" t="s">
        <v>105</v>
      </c>
      <c r="Y394" s="135" t="s">
        <v>55</v>
      </c>
      <c r="Z394" s="307">
        <v>203</v>
      </c>
      <c r="AB394" t="str">
        <f>IF(Table1[[#This Row],[TIPO2]]="costo", VLOOKUP(Table1[[#This Row],[PARTIDA PRESUPUESTAL]],'Cost Report'!G:G,1,0),"Balance")</f>
        <v>3683-109</v>
      </c>
      <c r="AC394" s="118"/>
      <c r="AD394" s="159" t="e">
        <f>+Table1[[#This Row],[SUBTOTAL]]+Table1[[#This Row],[IVA]]-Table1[[#This Row],[RET IVA]]-Table1[[#This Row],[RET ISR]]-Table1[[#This Row],[TOTAL]]</f>
        <v>#VALUE!</v>
      </c>
      <c r="AE394" s="150"/>
      <c r="AF394" s="151"/>
      <c r="AG394" s="126"/>
      <c r="AK394" s="306">
        <f>IF(ISNUMBER(Table1[[#This Row],[FECHA DE RECIBIDO]]), Table1[[#This Row],[FECHA DE RECIBIDO]]-DATE(2023,8,30), "")</f>
        <v>-44963.501736111109</v>
      </c>
    </row>
    <row r="395" spans="1:37" ht="16.05" customHeight="1">
      <c r="A395" s="152"/>
      <c r="B395" s="153"/>
      <c r="C395" s="126" t="s">
        <v>2909</v>
      </c>
      <c r="D395">
        <v>243</v>
      </c>
      <c r="E395" s="126">
        <v>44150</v>
      </c>
      <c r="F395" s="125">
        <v>601</v>
      </c>
      <c r="G395" s="125" t="s">
        <v>134</v>
      </c>
      <c r="H395">
        <v>23</v>
      </c>
      <c r="I395" s="125" t="s">
        <v>1546</v>
      </c>
      <c r="J395" s="308">
        <v>204.49826388889051</v>
      </c>
      <c r="K395" s="127" t="s">
        <v>3397</v>
      </c>
      <c r="L395" s="153" t="s">
        <v>118</v>
      </c>
      <c r="M395">
        <v>32</v>
      </c>
      <c r="N395" s="123">
        <v>1</v>
      </c>
      <c r="O395">
        <v>264</v>
      </c>
      <c r="P395" s="132" t="s">
        <v>77</v>
      </c>
      <c r="Q395" s="132">
        <v>4439.99</v>
      </c>
      <c r="R395" s="132">
        <v>710.4</v>
      </c>
      <c r="S395" s="132"/>
      <c r="T395" s="156" t="s">
        <v>3805</v>
      </c>
      <c r="U395" s="132" t="s">
        <v>3805</v>
      </c>
      <c r="V395" s="132">
        <v>5150.3900000000003</v>
      </c>
      <c r="W395">
        <v>25</v>
      </c>
      <c r="X395" s="153" t="s">
        <v>105</v>
      </c>
      <c r="Y395" s="124" t="s">
        <v>55</v>
      </c>
      <c r="Z395" s="308">
        <v>203</v>
      </c>
      <c r="AB395" t="str">
        <f>IF(Table1[[#This Row],[TIPO2]]="costo", VLOOKUP(Table1[[#This Row],[PARTIDA PRESUPUESTAL]],'Cost Report'!G:G,1,0),"Balance")</f>
        <v>3683-158</v>
      </c>
      <c r="AC395" s="118"/>
      <c r="AD395" s="159" t="e">
        <f>+Table1[[#This Row],[SUBTOTAL]]+Table1[[#This Row],[IVA]]-Table1[[#This Row],[RET IVA]]-Table1[[#This Row],[RET ISR]]-Table1[[#This Row],[TOTAL]]</f>
        <v>#VALUE!</v>
      </c>
      <c r="AE395" s="152"/>
      <c r="AF395" s="153"/>
      <c r="AG395" s="126"/>
      <c r="AK395" s="306">
        <f>IF(ISNUMBER(Table1[[#This Row],[FECHA DE RECIBIDO]]), Table1[[#This Row],[FECHA DE RECIBIDO]]-DATE(2023,8,30), "")</f>
        <v>-44963.501736111109</v>
      </c>
    </row>
    <row r="396" spans="1:37" ht="16.05" customHeight="1">
      <c r="A396" s="150"/>
      <c r="B396" s="151"/>
      <c r="C396" s="126" t="s">
        <v>2909</v>
      </c>
      <c r="D396">
        <v>243</v>
      </c>
      <c r="E396" s="126">
        <v>44150</v>
      </c>
      <c r="F396" s="122">
        <v>601</v>
      </c>
      <c r="G396" s="122" t="s">
        <v>134</v>
      </c>
      <c r="H396">
        <v>23</v>
      </c>
      <c r="I396" s="122" t="s">
        <v>1546</v>
      </c>
      <c r="J396" s="307">
        <v>204.49826388889051</v>
      </c>
      <c r="K396" s="127" t="s">
        <v>3397</v>
      </c>
      <c r="L396" s="151" t="s">
        <v>118</v>
      </c>
      <c r="M396">
        <v>32</v>
      </c>
      <c r="N396" s="123">
        <v>1</v>
      </c>
      <c r="O396">
        <v>264</v>
      </c>
      <c r="P396" s="132" t="s">
        <v>77</v>
      </c>
      <c r="Q396" s="131">
        <v>4439.99</v>
      </c>
      <c r="R396" s="131">
        <v>710.4</v>
      </c>
      <c r="S396" s="131"/>
      <c r="T396" s="155" t="s">
        <v>3805</v>
      </c>
      <c r="U396" s="131" t="s">
        <v>3805</v>
      </c>
      <c r="V396" s="131">
        <v>5150.3900000000003</v>
      </c>
      <c r="W396">
        <v>25</v>
      </c>
      <c r="X396" s="151" t="s">
        <v>105</v>
      </c>
      <c r="Y396" s="135" t="s">
        <v>55</v>
      </c>
      <c r="Z396" s="307">
        <v>203</v>
      </c>
      <c r="AB396" t="str">
        <f>IF(Table1[[#This Row],[TIPO2]]="costo", VLOOKUP(Table1[[#This Row],[PARTIDA PRESUPUESTAL]],'Cost Report'!G:G,1,0),"Balance")</f>
        <v>3683-158</v>
      </c>
      <c r="AC396" s="118"/>
      <c r="AD396" s="159" t="e">
        <f>+Table1[[#This Row],[SUBTOTAL]]+Table1[[#This Row],[IVA]]-Table1[[#This Row],[RET IVA]]-Table1[[#This Row],[RET ISR]]-Table1[[#This Row],[TOTAL]]</f>
        <v>#VALUE!</v>
      </c>
      <c r="AE396" s="150"/>
      <c r="AF396" s="151"/>
      <c r="AG396" s="126"/>
      <c r="AK396" s="306">
        <f>IF(ISNUMBER(Table1[[#This Row],[FECHA DE RECIBIDO]]), Table1[[#This Row],[FECHA DE RECIBIDO]]-DATE(2023,8,30), "")</f>
        <v>-44963.501736111109</v>
      </c>
    </row>
    <row r="397" spans="1:37" ht="16.05" customHeight="1">
      <c r="A397" s="152"/>
      <c r="B397" s="153"/>
      <c r="C397" s="126" t="s">
        <v>2916</v>
      </c>
      <c r="D397">
        <v>243</v>
      </c>
      <c r="E397" s="126">
        <v>44150</v>
      </c>
      <c r="F397" s="125">
        <v>601</v>
      </c>
      <c r="G397" s="125" t="s">
        <v>134</v>
      </c>
      <c r="H397">
        <v>23</v>
      </c>
      <c r="I397" s="125" t="s">
        <v>1546</v>
      </c>
      <c r="J397" s="308">
        <v>204.49826388889051</v>
      </c>
      <c r="K397" s="127" t="s">
        <v>3397</v>
      </c>
      <c r="L397" s="153" t="s">
        <v>118</v>
      </c>
      <c r="M397">
        <v>32</v>
      </c>
      <c r="N397" s="123">
        <v>1</v>
      </c>
      <c r="O397">
        <v>264</v>
      </c>
      <c r="P397" s="132" t="s">
        <v>77</v>
      </c>
      <c r="Q397" s="132">
        <v>1444.13</v>
      </c>
      <c r="R397" s="132">
        <v>231.06</v>
      </c>
      <c r="S397" s="132"/>
      <c r="T397" s="156" t="s">
        <v>3805</v>
      </c>
      <c r="U397" s="132" t="s">
        <v>3805</v>
      </c>
      <c r="V397" s="132">
        <v>1675.19</v>
      </c>
      <c r="W397">
        <v>25</v>
      </c>
      <c r="X397" s="153" t="s">
        <v>105</v>
      </c>
      <c r="Y397" s="124" t="s">
        <v>55</v>
      </c>
      <c r="Z397" s="308">
        <v>203</v>
      </c>
      <c r="AB397" t="str">
        <f>IF(Table1[[#This Row],[TIPO2]]="costo", VLOOKUP(Table1[[#This Row],[PARTIDA PRESUPUESTAL]],'Cost Report'!G:G,1,0),"Balance")</f>
        <v>3683-171</v>
      </c>
      <c r="AC397" s="118"/>
      <c r="AD397" s="159" t="e">
        <f>+Table1[[#This Row],[SUBTOTAL]]+Table1[[#This Row],[IVA]]-Table1[[#This Row],[RET IVA]]-Table1[[#This Row],[RET ISR]]-Table1[[#This Row],[TOTAL]]</f>
        <v>#VALUE!</v>
      </c>
      <c r="AE397" s="152"/>
      <c r="AF397" s="153"/>
      <c r="AG397" s="126"/>
      <c r="AK397" s="306">
        <f>IF(ISNUMBER(Table1[[#This Row],[FECHA DE RECIBIDO]]), Table1[[#This Row],[FECHA DE RECIBIDO]]-DATE(2023,8,30), "")</f>
        <v>-44963.501736111109</v>
      </c>
    </row>
    <row r="398" spans="1:37" ht="16.05" customHeight="1">
      <c r="A398" s="150"/>
      <c r="B398" s="151"/>
      <c r="C398" s="126" t="s">
        <v>2907</v>
      </c>
      <c r="D398">
        <v>243</v>
      </c>
      <c r="E398" s="126">
        <v>44150</v>
      </c>
      <c r="F398" s="122">
        <v>601</v>
      </c>
      <c r="G398" s="122" t="s">
        <v>134</v>
      </c>
      <c r="H398">
        <v>23</v>
      </c>
      <c r="I398" s="122" t="s">
        <v>1546</v>
      </c>
      <c r="J398" s="307">
        <v>204.49826388889051</v>
      </c>
      <c r="K398" s="127" t="s">
        <v>3397</v>
      </c>
      <c r="L398" s="151" t="s">
        <v>118</v>
      </c>
      <c r="M398">
        <v>32</v>
      </c>
      <c r="N398" s="123">
        <v>1</v>
      </c>
      <c r="O398">
        <v>264</v>
      </c>
      <c r="P398" s="132" t="s">
        <v>77</v>
      </c>
      <c r="Q398" s="131">
        <v>792.86</v>
      </c>
      <c r="R398" s="131">
        <v>126.86</v>
      </c>
      <c r="S398" s="131"/>
      <c r="T398" s="155" t="s">
        <v>3805</v>
      </c>
      <c r="U398" s="131" t="s">
        <v>3805</v>
      </c>
      <c r="V398" s="131">
        <v>919.72</v>
      </c>
      <c r="W398">
        <v>25</v>
      </c>
      <c r="X398" s="151" t="s">
        <v>105</v>
      </c>
      <c r="Y398" s="135" t="s">
        <v>55</v>
      </c>
      <c r="Z398" s="307">
        <v>203</v>
      </c>
      <c r="AB398" t="str">
        <f>IF(Table1[[#This Row],[TIPO2]]="costo", VLOOKUP(Table1[[#This Row],[PARTIDA PRESUPUESTAL]],'Cost Report'!G:G,1,0),"Balance")</f>
        <v>3683-154</v>
      </c>
      <c r="AC398" s="118"/>
      <c r="AD398" s="159" t="e">
        <f>+Table1[[#This Row],[SUBTOTAL]]+Table1[[#This Row],[IVA]]-Table1[[#This Row],[RET IVA]]-Table1[[#This Row],[RET ISR]]-Table1[[#This Row],[TOTAL]]</f>
        <v>#VALUE!</v>
      </c>
      <c r="AE398" s="150"/>
      <c r="AF398" s="151"/>
      <c r="AG398" s="126"/>
      <c r="AK398" s="306">
        <f>IF(ISNUMBER(Table1[[#This Row],[FECHA DE RECIBIDO]]), Table1[[#This Row],[FECHA DE RECIBIDO]]-DATE(2023,8,30), "")</f>
        <v>-44963.501736111109</v>
      </c>
    </row>
    <row r="399" spans="1:37" ht="16.05" customHeight="1">
      <c r="A399" s="152" t="s">
        <v>3116</v>
      </c>
      <c r="B399" s="153">
        <v>311</v>
      </c>
      <c r="C399" s="126" t="s">
        <v>3413</v>
      </c>
      <c r="D399">
        <v>244</v>
      </c>
      <c r="E399" s="126" t="s">
        <v>2001</v>
      </c>
      <c r="F399" s="125" t="s">
        <v>1607</v>
      </c>
      <c r="G399" s="125" t="s">
        <v>134</v>
      </c>
      <c r="H399">
        <v>23</v>
      </c>
      <c r="I399" s="125" t="s">
        <v>1546</v>
      </c>
      <c r="J399" s="308" t="s">
        <v>214</v>
      </c>
      <c r="K399" s="127" t="s">
        <v>3398</v>
      </c>
      <c r="L399" s="153" t="s">
        <v>118</v>
      </c>
      <c r="M399">
        <v>32</v>
      </c>
      <c r="N399" s="123">
        <v>1</v>
      </c>
      <c r="O399">
        <v>265</v>
      </c>
      <c r="P399" s="132" t="s">
        <v>77</v>
      </c>
      <c r="Q399" s="132">
        <v>90306.76</v>
      </c>
      <c r="R399" s="132">
        <v>14449.08</v>
      </c>
      <c r="S399" s="132"/>
      <c r="T399" s="156">
        <v>0</v>
      </c>
      <c r="U399" s="132">
        <v>0</v>
      </c>
      <c r="V399" s="132">
        <v>104755.84</v>
      </c>
      <c r="W399">
        <v>25</v>
      </c>
      <c r="X399" s="153" t="s">
        <v>105</v>
      </c>
      <c r="Y399" s="124" t="s">
        <v>55</v>
      </c>
      <c r="Z399" s="308">
        <v>210</v>
      </c>
      <c r="AB399" t="str">
        <f>IF(Table1[[#This Row],[TIPO2]]="costo", VLOOKUP(Table1[[#This Row],[PARTIDA PRESUPUESTAL]],'Cost Report'!G:G,1,0),"Balance")</f>
        <v>3683-202</v>
      </c>
      <c r="AC399" s="118"/>
      <c r="AD399" s="159">
        <f>+Table1[[#This Row],[SUBTOTAL]]+Table1[[#This Row],[IVA]]-Table1[[#This Row],[RET IVA]]-Table1[[#This Row],[RET ISR]]-Table1[[#This Row],[TOTAL]]</f>
        <v>0</v>
      </c>
      <c r="AE399" s="152"/>
      <c r="AF399" s="153"/>
      <c r="AG399" s="126"/>
      <c r="AK399" s="306" t="str">
        <f>IF(ISNUMBER(Table1[[#This Row],[FECHA DE RECIBIDO]]), Table1[[#This Row],[FECHA DE RECIBIDO]]-DATE(2023,8,30), "")</f>
        <v/>
      </c>
    </row>
    <row r="400" spans="1:37" ht="16.05" customHeight="1">
      <c r="A400" s="150"/>
      <c r="B400" s="151">
        <v>312</v>
      </c>
      <c r="C400" s="126" t="s">
        <v>2991</v>
      </c>
      <c r="D400">
        <v>245</v>
      </c>
      <c r="E400" s="126" t="s">
        <v>2001</v>
      </c>
      <c r="F400" s="122" t="s">
        <v>1607</v>
      </c>
      <c r="G400" s="122" t="s">
        <v>134</v>
      </c>
      <c r="H400">
        <v>23</v>
      </c>
      <c r="I400" s="122" t="s">
        <v>1546</v>
      </c>
      <c r="J400" s="307" t="s">
        <v>214</v>
      </c>
      <c r="K400" s="127" t="s">
        <v>3398</v>
      </c>
      <c r="L400" s="151" t="s">
        <v>118</v>
      </c>
      <c r="M400">
        <v>32</v>
      </c>
      <c r="N400" s="123">
        <v>1</v>
      </c>
      <c r="O400">
        <v>266</v>
      </c>
      <c r="P400" s="132" t="s">
        <v>77</v>
      </c>
      <c r="Q400" s="131">
        <v>10251.83</v>
      </c>
      <c r="R400" s="131">
        <v>1640.29</v>
      </c>
      <c r="S400" s="131"/>
      <c r="T400" s="155">
        <v>0</v>
      </c>
      <c r="U400" s="131">
        <v>0</v>
      </c>
      <c r="V400" s="131">
        <v>11892.119999999999</v>
      </c>
      <c r="W400">
        <v>25</v>
      </c>
      <c r="X400" s="151" t="s">
        <v>105</v>
      </c>
      <c r="Y400" s="135" t="s">
        <v>55</v>
      </c>
      <c r="Z400" s="307">
        <v>210</v>
      </c>
      <c r="AB400" t="str">
        <f>IF(Table1[[#This Row],[TIPO2]]="costo", VLOOKUP(Table1[[#This Row],[PARTIDA PRESUPUESTAL]],'Cost Report'!G:G,1,0),"Balance")</f>
        <v>3936-003</v>
      </c>
      <c r="AC400" s="118"/>
      <c r="AD400" s="159">
        <f>+Table1[[#This Row],[SUBTOTAL]]+Table1[[#This Row],[IVA]]-Table1[[#This Row],[RET IVA]]-Table1[[#This Row],[RET ISR]]-Table1[[#This Row],[TOTAL]]</f>
        <v>0</v>
      </c>
      <c r="AE400" s="150"/>
      <c r="AF400" s="151"/>
      <c r="AG400" s="126"/>
      <c r="AK400" s="306" t="str">
        <f>IF(ISNUMBER(Table1[[#This Row],[FECHA DE RECIBIDO]]), Table1[[#This Row],[FECHA DE RECIBIDO]]-DATE(2023,8,30), "")</f>
        <v/>
      </c>
    </row>
    <row r="401" spans="1:37" ht="16.05" customHeight="1">
      <c r="A401" s="152"/>
      <c r="B401" s="153"/>
      <c r="C401" s="126" t="s">
        <v>2992</v>
      </c>
      <c r="D401">
        <v>245</v>
      </c>
      <c r="E401" s="126" t="s">
        <v>2001</v>
      </c>
      <c r="F401" s="125" t="s">
        <v>1607</v>
      </c>
      <c r="G401" s="125" t="s">
        <v>134</v>
      </c>
      <c r="H401">
        <v>23</v>
      </c>
      <c r="I401" s="125" t="s">
        <v>1546</v>
      </c>
      <c r="J401" s="308" t="s">
        <v>214</v>
      </c>
      <c r="K401" s="127" t="s">
        <v>3398</v>
      </c>
      <c r="L401" s="153" t="s">
        <v>118</v>
      </c>
      <c r="M401">
        <v>32</v>
      </c>
      <c r="N401" s="123">
        <v>1</v>
      </c>
      <c r="O401">
        <v>266</v>
      </c>
      <c r="P401" s="132" t="s">
        <v>77</v>
      </c>
      <c r="Q401" s="132">
        <v>10251.83</v>
      </c>
      <c r="R401" s="132">
        <v>1640.29</v>
      </c>
      <c r="S401" s="132"/>
      <c r="T401" s="156">
        <v>0</v>
      </c>
      <c r="U401" s="132">
        <v>0</v>
      </c>
      <c r="V401" s="132">
        <v>11892.119999999999</v>
      </c>
      <c r="W401">
        <v>25</v>
      </c>
      <c r="X401" s="153" t="s">
        <v>105</v>
      </c>
      <c r="Y401" s="124" t="s">
        <v>55</v>
      </c>
      <c r="Z401" s="308">
        <v>210</v>
      </c>
      <c r="AB401" t="str">
        <f>IF(Table1[[#This Row],[TIPO2]]="costo", VLOOKUP(Table1[[#This Row],[PARTIDA PRESUPUESTAL]],'Cost Report'!G:G,1,0),"Balance")</f>
        <v>3936-004</v>
      </c>
      <c r="AC401" s="118"/>
      <c r="AD401" s="159">
        <f>+Table1[[#This Row],[SUBTOTAL]]+Table1[[#This Row],[IVA]]-Table1[[#This Row],[RET IVA]]-Table1[[#This Row],[RET ISR]]-Table1[[#This Row],[TOTAL]]</f>
        <v>0</v>
      </c>
      <c r="AE401" s="152"/>
      <c r="AF401" s="153"/>
      <c r="AG401" s="126"/>
      <c r="AK401" s="306" t="str">
        <f>IF(ISNUMBER(Table1[[#This Row],[FECHA DE RECIBIDO]]), Table1[[#This Row],[FECHA DE RECIBIDO]]-DATE(2023,8,30), "")</f>
        <v/>
      </c>
    </row>
    <row r="402" spans="1:37" ht="16.05" customHeight="1">
      <c r="A402" s="150"/>
      <c r="B402" s="151"/>
      <c r="C402" s="126" t="s">
        <v>2994</v>
      </c>
      <c r="D402">
        <v>245</v>
      </c>
      <c r="E402" s="126" t="s">
        <v>2001</v>
      </c>
      <c r="F402" s="122" t="s">
        <v>1607</v>
      </c>
      <c r="G402" s="122" t="s">
        <v>134</v>
      </c>
      <c r="H402">
        <v>23</v>
      </c>
      <c r="I402" s="122" t="s">
        <v>1546</v>
      </c>
      <c r="J402" s="307" t="s">
        <v>214</v>
      </c>
      <c r="K402" s="127" t="s">
        <v>3398</v>
      </c>
      <c r="L402" s="151" t="s">
        <v>118</v>
      </c>
      <c r="M402">
        <v>32</v>
      </c>
      <c r="N402" s="123">
        <v>1</v>
      </c>
      <c r="O402">
        <v>266</v>
      </c>
      <c r="P402" s="132" t="s">
        <v>77</v>
      </c>
      <c r="Q402" s="131">
        <v>5302.67</v>
      </c>
      <c r="R402" s="131">
        <v>848.43</v>
      </c>
      <c r="S402" s="131"/>
      <c r="T402" s="155">
        <v>0</v>
      </c>
      <c r="U402" s="131">
        <v>0</v>
      </c>
      <c r="V402" s="131">
        <v>6151.1</v>
      </c>
      <c r="W402">
        <v>25</v>
      </c>
      <c r="X402" s="151" t="s">
        <v>105</v>
      </c>
      <c r="Y402" s="135" t="s">
        <v>55</v>
      </c>
      <c r="Z402" s="307">
        <v>210</v>
      </c>
      <c r="AB402" t="str">
        <f>IF(Table1[[#This Row],[TIPO2]]="costo", VLOOKUP(Table1[[#This Row],[PARTIDA PRESUPUESTAL]],'Cost Report'!G:G,1,0),"Balance")</f>
        <v>3936-008</v>
      </c>
      <c r="AC402" s="118"/>
      <c r="AD402" s="159">
        <f>+Table1[[#This Row],[SUBTOTAL]]+Table1[[#This Row],[IVA]]-Table1[[#This Row],[RET IVA]]-Table1[[#This Row],[RET ISR]]-Table1[[#This Row],[TOTAL]]</f>
        <v>0</v>
      </c>
      <c r="AE402" s="150"/>
      <c r="AF402" s="151"/>
      <c r="AG402" s="126"/>
      <c r="AK402" s="306" t="str">
        <f>IF(ISNUMBER(Table1[[#This Row],[FECHA DE RECIBIDO]]), Table1[[#This Row],[FECHA DE RECIBIDO]]-DATE(2023,8,30), "")</f>
        <v/>
      </c>
    </row>
    <row r="403" spans="1:37" ht="16.05" customHeight="1">
      <c r="A403" s="152"/>
      <c r="B403" s="153"/>
      <c r="C403" s="126" t="s">
        <v>2995</v>
      </c>
      <c r="D403">
        <v>245</v>
      </c>
      <c r="E403" s="126" t="s">
        <v>2001</v>
      </c>
      <c r="F403" s="125" t="s">
        <v>1607</v>
      </c>
      <c r="G403" s="125" t="s">
        <v>134</v>
      </c>
      <c r="H403">
        <v>23</v>
      </c>
      <c r="I403" s="125" t="s">
        <v>1546</v>
      </c>
      <c r="J403" s="308" t="s">
        <v>214</v>
      </c>
      <c r="K403" s="127" t="s">
        <v>3398</v>
      </c>
      <c r="L403" s="153" t="s">
        <v>118</v>
      </c>
      <c r="M403">
        <v>32</v>
      </c>
      <c r="N403" s="123">
        <v>1</v>
      </c>
      <c r="O403">
        <v>266</v>
      </c>
      <c r="P403" s="132" t="s">
        <v>77</v>
      </c>
      <c r="Q403" s="132">
        <v>5302.67</v>
      </c>
      <c r="R403" s="132">
        <v>848.44</v>
      </c>
      <c r="S403" s="132"/>
      <c r="T403" s="156">
        <v>0</v>
      </c>
      <c r="U403" s="132">
        <v>0</v>
      </c>
      <c r="V403" s="132">
        <v>6151.1100000000006</v>
      </c>
      <c r="W403">
        <v>25</v>
      </c>
      <c r="X403" s="153" t="s">
        <v>105</v>
      </c>
      <c r="Y403" s="124" t="s">
        <v>55</v>
      </c>
      <c r="Z403" s="308">
        <v>210</v>
      </c>
      <c r="AB403" t="str">
        <f>IF(Table1[[#This Row],[TIPO2]]="costo", VLOOKUP(Table1[[#This Row],[PARTIDA PRESUPUESTAL]],'Cost Report'!G:G,1,0),"Balance")</f>
        <v>3936-009</v>
      </c>
      <c r="AC403" s="118"/>
      <c r="AD403" s="159">
        <f>+Table1[[#This Row],[SUBTOTAL]]+Table1[[#This Row],[IVA]]-Table1[[#This Row],[RET IVA]]-Table1[[#This Row],[RET ISR]]-Table1[[#This Row],[TOTAL]]</f>
        <v>0</v>
      </c>
      <c r="AE403" s="152"/>
      <c r="AF403" s="153"/>
      <c r="AG403" s="126"/>
      <c r="AK403" s="306" t="str">
        <f>IF(ISNUMBER(Table1[[#This Row],[FECHA DE RECIBIDO]]), Table1[[#This Row],[FECHA DE RECIBIDO]]-DATE(2023,8,30), "")</f>
        <v/>
      </c>
    </row>
    <row r="404" spans="1:37" ht="16.05" customHeight="1">
      <c r="A404" s="150"/>
      <c r="B404" s="151"/>
      <c r="C404" s="126" t="s">
        <v>2991</v>
      </c>
      <c r="D404">
        <v>245</v>
      </c>
      <c r="E404" s="126" t="s">
        <v>2001</v>
      </c>
      <c r="F404" s="122" t="s">
        <v>1607</v>
      </c>
      <c r="G404" s="122" t="s">
        <v>134</v>
      </c>
      <c r="H404">
        <v>23</v>
      </c>
      <c r="I404" s="122" t="s">
        <v>1546</v>
      </c>
      <c r="J404" s="307" t="s">
        <v>214</v>
      </c>
      <c r="K404" s="127" t="s">
        <v>3398</v>
      </c>
      <c r="L404" s="151" t="s">
        <v>118</v>
      </c>
      <c r="M404">
        <v>32</v>
      </c>
      <c r="N404" s="123">
        <v>1</v>
      </c>
      <c r="O404">
        <v>266</v>
      </c>
      <c r="P404" s="132" t="s">
        <v>77</v>
      </c>
      <c r="Q404" s="131">
        <v>1521.39</v>
      </c>
      <c r="R404" s="131">
        <v>243.42</v>
      </c>
      <c r="S404" s="131"/>
      <c r="T404" s="155">
        <v>0</v>
      </c>
      <c r="U404" s="131">
        <v>0</v>
      </c>
      <c r="V404" s="131">
        <v>1764.8100000000002</v>
      </c>
      <c r="W404">
        <v>25</v>
      </c>
      <c r="X404" s="151" t="s">
        <v>105</v>
      </c>
      <c r="Y404" s="135" t="s">
        <v>55</v>
      </c>
      <c r="Z404" s="307">
        <v>210</v>
      </c>
      <c r="AB404" t="str">
        <f>IF(Table1[[#This Row],[TIPO2]]="costo", VLOOKUP(Table1[[#This Row],[PARTIDA PRESUPUESTAL]],'Cost Report'!G:G,1,0),"Balance")</f>
        <v>3936-003</v>
      </c>
      <c r="AC404" s="118"/>
      <c r="AD404" s="159">
        <f>+Table1[[#This Row],[SUBTOTAL]]+Table1[[#This Row],[IVA]]-Table1[[#This Row],[RET IVA]]-Table1[[#This Row],[RET ISR]]-Table1[[#This Row],[TOTAL]]</f>
        <v>0</v>
      </c>
      <c r="AE404" s="150"/>
      <c r="AF404" s="151"/>
      <c r="AG404" s="126"/>
      <c r="AK404" s="306" t="str">
        <f>IF(ISNUMBER(Table1[[#This Row],[FECHA DE RECIBIDO]]), Table1[[#This Row],[FECHA DE RECIBIDO]]-DATE(2023,8,30), "")</f>
        <v/>
      </c>
    </row>
    <row r="405" spans="1:37" ht="16.05" customHeight="1">
      <c r="A405" s="152"/>
      <c r="B405" s="153"/>
      <c r="C405" s="126" t="s">
        <v>2992</v>
      </c>
      <c r="D405">
        <v>245</v>
      </c>
      <c r="E405" s="126" t="s">
        <v>2001</v>
      </c>
      <c r="F405" s="125" t="s">
        <v>1607</v>
      </c>
      <c r="G405" s="125" t="s">
        <v>134</v>
      </c>
      <c r="H405">
        <v>23</v>
      </c>
      <c r="I405" s="125" t="s">
        <v>1546</v>
      </c>
      <c r="J405" s="308" t="s">
        <v>214</v>
      </c>
      <c r="K405" s="127" t="s">
        <v>3398</v>
      </c>
      <c r="L405" s="153" t="s">
        <v>118</v>
      </c>
      <c r="M405">
        <v>32</v>
      </c>
      <c r="N405" s="123">
        <v>1</v>
      </c>
      <c r="O405">
        <v>266</v>
      </c>
      <c r="P405" s="132" t="s">
        <v>77</v>
      </c>
      <c r="Q405" s="132">
        <v>1521.39</v>
      </c>
      <c r="R405" s="132">
        <v>243.42</v>
      </c>
      <c r="S405" s="132"/>
      <c r="T405" s="156">
        <v>0</v>
      </c>
      <c r="U405" s="132">
        <v>0</v>
      </c>
      <c r="V405" s="132">
        <v>1764.8100000000002</v>
      </c>
      <c r="W405">
        <v>25</v>
      </c>
      <c r="X405" s="153" t="s">
        <v>105</v>
      </c>
      <c r="Y405" s="124" t="s">
        <v>55</v>
      </c>
      <c r="Z405" s="308">
        <v>210</v>
      </c>
      <c r="AB405" t="str">
        <f>IF(Table1[[#This Row],[TIPO2]]="costo", VLOOKUP(Table1[[#This Row],[PARTIDA PRESUPUESTAL]],'Cost Report'!G:G,1,0),"Balance")</f>
        <v>3936-004</v>
      </c>
      <c r="AC405" s="118"/>
      <c r="AD405" s="159">
        <f>+Table1[[#This Row],[SUBTOTAL]]+Table1[[#This Row],[IVA]]-Table1[[#This Row],[RET IVA]]-Table1[[#This Row],[RET ISR]]-Table1[[#This Row],[TOTAL]]</f>
        <v>0</v>
      </c>
      <c r="AE405" s="152"/>
      <c r="AF405" s="153"/>
      <c r="AG405" s="126"/>
      <c r="AK405" s="306" t="str">
        <f>IF(ISNUMBER(Table1[[#This Row],[FECHA DE RECIBIDO]]), Table1[[#This Row],[FECHA DE RECIBIDO]]-DATE(2023,8,30), "")</f>
        <v/>
      </c>
    </row>
    <row r="406" spans="1:37" ht="16.05" customHeight="1">
      <c r="A406" s="150"/>
      <c r="B406" s="151"/>
      <c r="C406" s="126" t="s">
        <v>2991</v>
      </c>
      <c r="D406">
        <v>245</v>
      </c>
      <c r="E406" s="126" t="s">
        <v>2001</v>
      </c>
      <c r="F406" s="122" t="s">
        <v>1607</v>
      </c>
      <c r="G406" s="122" t="s">
        <v>134</v>
      </c>
      <c r="H406">
        <v>23</v>
      </c>
      <c r="I406" s="122" t="s">
        <v>1546</v>
      </c>
      <c r="J406" s="307" t="s">
        <v>214</v>
      </c>
      <c r="K406" s="127" t="s">
        <v>3398</v>
      </c>
      <c r="L406" s="151" t="s">
        <v>118</v>
      </c>
      <c r="M406">
        <v>32</v>
      </c>
      <c r="N406" s="123">
        <v>1</v>
      </c>
      <c r="O406">
        <v>266</v>
      </c>
      <c r="P406" s="132" t="s">
        <v>77</v>
      </c>
      <c r="Q406" s="131">
        <v>1014.26</v>
      </c>
      <c r="R406" s="131">
        <v>162.28</v>
      </c>
      <c r="S406" s="131"/>
      <c r="T406" s="155">
        <v>0</v>
      </c>
      <c r="U406" s="131">
        <v>0</v>
      </c>
      <c r="V406" s="131">
        <v>1176.54</v>
      </c>
      <c r="W406">
        <v>25</v>
      </c>
      <c r="X406" s="151" t="s">
        <v>105</v>
      </c>
      <c r="Y406" s="135" t="s">
        <v>55</v>
      </c>
      <c r="Z406" s="307">
        <v>210</v>
      </c>
      <c r="AB406" t="str">
        <f>IF(Table1[[#This Row],[TIPO2]]="costo", VLOOKUP(Table1[[#This Row],[PARTIDA PRESUPUESTAL]],'Cost Report'!G:G,1,0),"Balance")</f>
        <v>3936-003</v>
      </c>
      <c r="AC406" s="118"/>
      <c r="AD406" s="159">
        <f>+Table1[[#This Row],[SUBTOTAL]]+Table1[[#This Row],[IVA]]-Table1[[#This Row],[RET IVA]]-Table1[[#This Row],[RET ISR]]-Table1[[#This Row],[TOTAL]]</f>
        <v>0</v>
      </c>
      <c r="AE406" s="150"/>
      <c r="AF406" s="151"/>
      <c r="AG406" s="126"/>
      <c r="AK406" s="306" t="str">
        <f>IF(ISNUMBER(Table1[[#This Row],[FECHA DE RECIBIDO]]), Table1[[#This Row],[FECHA DE RECIBIDO]]-DATE(2023,8,30), "")</f>
        <v/>
      </c>
    </row>
    <row r="407" spans="1:37" ht="16.05" customHeight="1">
      <c r="A407" s="152"/>
      <c r="B407" s="153"/>
      <c r="C407" s="126" t="s">
        <v>2991</v>
      </c>
      <c r="D407">
        <v>245</v>
      </c>
      <c r="E407" s="126" t="s">
        <v>2001</v>
      </c>
      <c r="F407" s="125" t="s">
        <v>1607</v>
      </c>
      <c r="G407" s="125" t="s">
        <v>134</v>
      </c>
      <c r="H407">
        <v>23</v>
      </c>
      <c r="I407" s="125" t="s">
        <v>1546</v>
      </c>
      <c r="J407" s="308" t="s">
        <v>214</v>
      </c>
      <c r="K407" s="127" t="s">
        <v>3398</v>
      </c>
      <c r="L407" s="153" t="s">
        <v>118</v>
      </c>
      <c r="M407">
        <v>32</v>
      </c>
      <c r="N407" s="123">
        <v>1</v>
      </c>
      <c r="O407">
        <v>266</v>
      </c>
      <c r="P407" s="132" t="s">
        <v>77</v>
      </c>
      <c r="Q407" s="132">
        <v>1014.26</v>
      </c>
      <c r="R407" s="132">
        <v>162.28</v>
      </c>
      <c r="S407" s="132"/>
      <c r="T407" s="156">
        <v>0</v>
      </c>
      <c r="U407" s="132">
        <v>0</v>
      </c>
      <c r="V407" s="132">
        <v>1176.54</v>
      </c>
      <c r="W407">
        <v>25</v>
      </c>
      <c r="X407" s="153" t="s">
        <v>105</v>
      </c>
      <c r="Y407" s="124" t="s">
        <v>55</v>
      </c>
      <c r="Z407" s="308">
        <v>210</v>
      </c>
      <c r="AB407" t="str">
        <f>IF(Table1[[#This Row],[TIPO2]]="costo", VLOOKUP(Table1[[#This Row],[PARTIDA PRESUPUESTAL]],'Cost Report'!G:G,1,0),"Balance")</f>
        <v>3936-003</v>
      </c>
      <c r="AC407" s="118"/>
      <c r="AD407" s="159">
        <f>+Table1[[#This Row],[SUBTOTAL]]+Table1[[#This Row],[IVA]]-Table1[[#This Row],[RET IVA]]-Table1[[#This Row],[RET ISR]]-Table1[[#This Row],[TOTAL]]</f>
        <v>0</v>
      </c>
      <c r="AE407" s="152"/>
      <c r="AF407" s="153"/>
      <c r="AG407" s="126"/>
      <c r="AK407" s="306" t="str">
        <f>IF(ISNUMBER(Table1[[#This Row],[FECHA DE RECIBIDO]]), Table1[[#This Row],[FECHA DE RECIBIDO]]-DATE(2023,8,30), "")</f>
        <v/>
      </c>
    </row>
    <row r="408" spans="1:37" ht="16.05" customHeight="1">
      <c r="A408" s="150"/>
      <c r="B408" s="151">
        <v>313</v>
      </c>
      <c r="C408" s="126" t="s">
        <v>2835</v>
      </c>
      <c r="D408">
        <v>246</v>
      </c>
      <c r="E408" s="126" t="s">
        <v>2001</v>
      </c>
      <c r="F408" s="122" t="s">
        <v>1607</v>
      </c>
      <c r="G408" s="122" t="s">
        <v>134</v>
      </c>
      <c r="H408">
        <v>23</v>
      </c>
      <c r="I408" s="122" t="s">
        <v>1546</v>
      </c>
      <c r="J408" s="307" t="s">
        <v>214</v>
      </c>
      <c r="K408" s="127" t="s">
        <v>3398</v>
      </c>
      <c r="L408" s="151" t="s">
        <v>118</v>
      </c>
      <c r="M408">
        <v>32</v>
      </c>
      <c r="N408" s="123">
        <v>1</v>
      </c>
      <c r="O408">
        <v>267</v>
      </c>
      <c r="P408" s="132" t="s">
        <v>77</v>
      </c>
      <c r="Q408" s="131">
        <v>10880</v>
      </c>
      <c r="R408" s="131">
        <v>1740.8</v>
      </c>
      <c r="S408" s="131"/>
      <c r="T408" s="155">
        <v>0</v>
      </c>
      <c r="U408" s="131">
        <v>0</v>
      </c>
      <c r="V408" s="131">
        <v>12620.8</v>
      </c>
      <c r="W408">
        <v>25</v>
      </c>
      <c r="X408" s="151" t="s">
        <v>105</v>
      </c>
      <c r="Y408" s="135" t="s">
        <v>55</v>
      </c>
      <c r="Z408" s="307">
        <v>210</v>
      </c>
      <c r="AB408" t="str">
        <f>IF(Table1[[#This Row],[TIPO2]]="costo", VLOOKUP(Table1[[#This Row],[PARTIDA PRESUPUESTAL]],'Cost Report'!G:G,1,0),"Balance")</f>
        <v>3442-024</v>
      </c>
      <c r="AC408" s="118"/>
      <c r="AD408" s="159">
        <f>+Table1[[#This Row],[SUBTOTAL]]+Table1[[#This Row],[IVA]]-Table1[[#This Row],[RET IVA]]-Table1[[#This Row],[RET ISR]]-Table1[[#This Row],[TOTAL]]</f>
        <v>0</v>
      </c>
      <c r="AE408" s="150"/>
      <c r="AF408" s="151"/>
      <c r="AG408" s="126"/>
      <c r="AK408" s="306" t="str">
        <f>IF(ISNUMBER(Table1[[#This Row],[FECHA DE RECIBIDO]]), Table1[[#This Row],[FECHA DE RECIBIDO]]-DATE(2023,8,30), "")</f>
        <v/>
      </c>
    </row>
    <row r="409" spans="1:37" ht="16.05" customHeight="1">
      <c r="A409" s="152"/>
      <c r="B409" s="153"/>
      <c r="C409" s="126" t="s">
        <v>2835</v>
      </c>
      <c r="D409">
        <v>246</v>
      </c>
      <c r="E409" s="126" t="s">
        <v>2001</v>
      </c>
      <c r="F409" s="125" t="s">
        <v>1607</v>
      </c>
      <c r="G409" s="125" t="s">
        <v>134</v>
      </c>
      <c r="H409">
        <v>23</v>
      </c>
      <c r="I409" s="125" t="s">
        <v>1546</v>
      </c>
      <c r="J409" s="308" t="s">
        <v>214</v>
      </c>
      <c r="K409" s="127" t="s">
        <v>3398</v>
      </c>
      <c r="L409" s="153" t="s">
        <v>118</v>
      </c>
      <c r="M409">
        <v>32</v>
      </c>
      <c r="N409" s="123">
        <v>1</v>
      </c>
      <c r="O409">
        <v>267</v>
      </c>
      <c r="P409" s="132" t="s">
        <v>77</v>
      </c>
      <c r="Q409" s="132">
        <v>1360</v>
      </c>
      <c r="R409" s="132">
        <v>217.6</v>
      </c>
      <c r="S409" s="132"/>
      <c r="T409" s="156">
        <v>0</v>
      </c>
      <c r="U409" s="132">
        <v>0</v>
      </c>
      <c r="V409" s="132">
        <v>1577.6</v>
      </c>
      <c r="W409">
        <v>25</v>
      </c>
      <c r="X409" s="153" t="s">
        <v>105</v>
      </c>
      <c r="Y409" s="124" t="s">
        <v>55</v>
      </c>
      <c r="Z409" s="308">
        <v>210</v>
      </c>
      <c r="AB409" t="str">
        <f>IF(Table1[[#This Row],[TIPO2]]="costo", VLOOKUP(Table1[[#This Row],[PARTIDA PRESUPUESTAL]],'Cost Report'!G:G,1,0),"Balance")</f>
        <v>3442-024</v>
      </c>
      <c r="AC409" s="118"/>
      <c r="AD409" s="159">
        <f>+Table1[[#This Row],[SUBTOTAL]]+Table1[[#This Row],[IVA]]-Table1[[#This Row],[RET IVA]]-Table1[[#This Row],[RET ISR]]-Table1[[#This Row],[TOTAL]]</f>
        <v>0</v>
      </c>
      <c r="AE409" s="152"/>
      <c r="AF409" s="153"/>
      <c r="AG409" s="126"/>
      <c r="AK409" s="306" t="str">
        <f>IF(ISNUMBER(Table1[[#This Row],[FECHA DE RECIBIDO]]), Table1[[#This Row],[FECHA DE RECIBIDO]]-DATE(2023,8,30), "")</f>
        <v/>
      </c>
    </row>
    <row r="410" spans="1:37" ht="16.05" customHeight="1">
      <c r="A410" s="150"/>
      <c r="B410" s="151"/>
      <c r="C410" s="126" t="s">
        <v>2836</v>
      </c>
      <c r="D410">
        <v>246</v>
      </c>
      <c r="E410" s="126" t="s">
        <v>2001</v>
      </c>
      <c r="F410" s="122" t="s">
        <v>1607</v>
      </c>
      <c r="G410" s="122" t="s">
        <v>134</v>
      </c>
      <c r="H410">
        <v>23</v>
      </c>
      <c r="I410" s="122" t="s">
        <v>1546</v>
      </c>
      <c r="J410" s="307" t="s">
        <v>214</v>
      </c>
      <c r="K410" s="127" t="s">
        <v>3398</v>
      </c>
      <c r="L410" s="151" t="s">
        <v>118</v>
      </c>
      <c r="M410">
        <v>32</v>
      </c>
      <c r="N410" s="123">
        <v>1</v>
      </c>
      <c r="O410">
        <v>267</v>
      </c>
      <c r="P410" s="132" t="s">
        <v>77</v>
      </c>
      <c r="Q410" s="131">
        <v>6800</v>
      </c>
      <c r="R410" s="131">
        <v>1088</v>
      </c>
      <c r="S410" s="131"/>
      <c r="T410" s="155">
        <v>0</v>
      </c>
      <c r="U410" s="131">
        <v>0</v>
      </c>
      <c r="V410" s="131">
        <v>7888</v>
      </c>
      <c r="W410">
        <v>25</v>
      </c>
      <c r="X410" s="151" t="s">
        <v>105</v>
      </c>
      <c r="Y410" s="135" t="s">
        <v>55</v>
      </c>
      <c r="Z410" s="307">
        <v>210</v>
      </c>
      <c r="AB410" t="str">
        <f>IF(Table1[[#This Row],[TIPO2]]="costo", VLOOKUP(Table1[[#This Row],[PARTIDA PRESUPUESTAL]],'Cost Report'!G:G,1,0),"Balance")</f>
        <v>3442-025</v>
      </c>
      <c r="AC410" s="118"/>
      <c r="AD410" s="159">
        <f>+Table1[[#This Row],[SUBTOTAL]]+Table1[[#This Row],[IVA]]-Table1[[#This Row],[RET IVA]]-Table1[[#This Row],[RET ISR]]-Table1[[#This Row],[TOTAL]]</f>
        <v>0</v>
      </c>
      <c r="AE410" s="150"/>
      <c r="AF410" s="151"/>
      <c r="AG410" s="126"/>
      <c r="AK410" s="306" t="str">
        <f>IF(ISNUMBER(Table1[[#This Row],[FECHA DE RECIBIDO]]), Table1[[#This Row],[FECHA DE RECIBIDO]]-DATE(2023,8,30), "")</f>
        <v/>
      </c>
    </row>
    <row r="411" spans="1:37" ht="16.05" customHeight="1">
      <c r="A411" s="152"/>
      <c r="B411" s="153"/>
      <c r="C411" s="126" t="s">
        <v>2835</v>
      </c>
      <c r="D411">
        <v>246</v>
      </c>
      <c r="E411" s="126" t="s">
        <v>2001</v>
      </c>
      <c r="F411" s="125" t="s">
        <v>1607</v>
      </c>
      <c r="G411" s="125" t="s">
        <v>134</v>
      </c>
      <c r="H411">
        <v>23</v>
      </c>
      <c r="I411" s="125" t="s">
        <v>1546</v>
      </c>
      <c r="J411" s="308" t="s">
        <v>214</v>
      </c>
      <c r="K411" s="127" t="s">
        <v>3398</v>
      </c>
      <c r="L411" s="153" t="s">
        <v>118</v>
      </c>
      <c r="M411">
        <v>32</v>
      </c>
      <c r="N411" s="123">
        <v>1</v>
      </c>
      <c r="O411">
        <v>267</v>
      </c>
      <c r="P411" s="132" t="s">
        <v>77</v>
      </c>
      <c r="Q411" s="132">
        <v>3400</v>
      </c>
      <c r="R411" s="132">
        <v>544</v>
      </c>
      <c r="S411" s="132"/>
      <c r="T411" s="156">
        <v>0</v>
      </c>
      <c r="U411" s="132">
        <v>0</v>
      </c>
      <c r="V411" s="132">
        <v>3944</v>
      </c>
      <c r="W411">
        <v>25</v>
      </c>
      <c r="X411" s="153" t="s">
        <v>105</v>
      </c>
      <c r="Y411" s="124" t="s">
        <v>55</v>
      </c>
      <c r="Z411" s="308">
        <v>210</v>
      </c>
      <c r="AB411" t="str">
        <f>IF(Table1[[#This Row],[TIPO2]]="costo", VLOOKUP(Table1[[#This Row],[PARTIDA PRESUPUESTAL]],'Cost Report'!G:G,1,0),"Balance")</f>
        <v>3442-024</v>
      </c>
      <c r="AC411" s="118"/>
      <c r="AD411" s="159">
        <f>+Table1[[#This Row],[SUBTOTAL]]+Table1[[#This Row],[IVA]]-Table1[[#This Row],[RET IVA]]-Table1[[#This Row],[RET ISR]]-Table1[[#This Row],[TOTAL]]</f>
        <v>0</v>
      </c>
      <c r="AE411" s="152"/>
      <c r="AF411" s="153"/>
      <c r="AG411" s="126"/>
      <c r="AK411" s="306" t="str">
        <f>IF(ISNUMBER(Table1[[#This Row],[FECHA DE RECIBIDO]]), Table1[[#This Row],[FECHA DE RECIBIDO]]-DATE(2023,8,30), "")</f>
        <v/>
      </c>
    </row>
    <row r="412" spans="1:37" ht="16.05" customHeight="1">
      <c r="A412" s="150"/>
      <c r="B412" s="151">
        <v>314</v>
      </c>
      <c r="C412" s="126" t="s">
        <v>1035</v>
      </c>
      <c r="D412">
        <v>247</v>
      </c>
      <c r="E412" s="126" t="s">
        <v>2001</v>
      </c>
      <c r="F412" s="122" t="s">
        <v>1607</v>
      </c>
      <c r="G412" s="122" t="s">
        <v>134</v>
      </c>
      <c r="H412">
        <v>23</v>
      </c>
      <c r="I412" s="122" t="s">
        <v>1546</v>
      </c>
      <c r="J412" s="307" t="s">
        <v>214</v>
      </c>
      <c r="K412" s="127" t="s">
        <v>3398</v>
      </c>
      <c r="L412" s="151" t="s">
        <v>118</v>
      </c>
      <c r="M412">
        <v>32</v>
      </c>
      <c r="N412" s="123">
        <v>1</v>
      </c>
      <c r="O412">
        <v>268</v>
      </c>
      <c r="P412" s="132" t="s">
        <v>77</v>
      </c>
      <c r="Q412" s="131">
        <v>17814.39</v>
      </c>
      <c r="R412" s="131">
        <v>2850.3</v>
      </c>
      <c r="S412" s="131"/>
      <c r="T412" s="155">
        <v>0</v>
      </c>
      <c r="U412" s="131">
        <v>0</v>
      </c>
      <c r="V412" s="131">
        <v>20664.689999999999</v>
      </c>
      <c r="W412">
        <v>25</v>
      </c>
      <c r="X412" s="151" t="s">
        <v>105</v>
      </c>
      <c r="Y412" s="135" t="s">
        <v>55</v>
      </c>
      <c r="Z412" s="307">
        <v>210</v>
      </c>
      <c r="AB412" t="str">
        <f>IF(Table1[[#This Row],[TIPO2]]="costo", VLOOKUP(Table1[[#This Row],[PARTIDA PRESUPUESTAL]],'Cost Report'!G:G,1,0),"Balance")</f>
        <v>3683-006</v>
      </c>
      <c r="AC412" s="118"/>
      <c r="AD412" s="159">
        <f>+Table1[[#This Row],[SUBTOTAL]]+Table1[[#This Row],[IVA]]-Table1[[#This Row],[RET IVA]]-Table1[[#This Row],[RET ISR]]-Table1[[#This Row],[TOTAL]]</f>
        <v>0</v>
      </c>
      <c r="AE412" s="150"/>
      <c r="AF412" s="151"/>
      <c r="AG412" s="126"/>
      <c r="AK412" s="306" t="str">
        <f>IF(ISNUMBER(Table1[[#This Row],[FECHA DE RECIBIDO]]), Table1[[#This Row],[FECHA DE RECIBIDO]]-DATE(2023,8,30), "")</f>
        <v/>
      </c>
    </row>
    <row r="413" spans="1:37" ht="16.05" customHeight="1">
      <c r="A413" s="152"/>
      <c r="B413" s="153"/>
      <c r="C413" s="126" t="s">
        <v>1039</v>
      </c>
      <c r="D413">
        <v>247</v>
      </c>
      <c r="E413" s="126" t="s">
        <v>2001</v>
      </c>
      <c r="F413" s="125" t="s">
        <v>1607</v>
      </c>
      <c r="G413" s="125" t="s">
        <v>134</v>
      </c>
      <c r="H413">
        <v>23</v>
      </c>
      <c r="I413" s="125" t="s">
        <v>1546</v>
      </c>
      <c r="J413" s="308" t="s">
        <v>214</v>
      </c>
      <c r="K413" s="127" t="s">
        <v>3398</v>
      </c>
      <c r="L413" s="153" t="s">
        <v>118</v>
      </c>
      <c r="M413">
        <v>32</v>
      </c>
      <c r="N413" s="123">
        <v>1</v>
      </c>
      <c r="O413">
        <v>268</v>
      </c>
      <c r="P413" s="132" t="s">
        <v>77</v>
      </c>
      <c r="Q413" s="132">
        <v>17814.39</v>
      </c>
      <c r="R413" s="132">
        <v>2850.3</v>
      </c>
      <c r="S413" s="132"/>
      <c r="T413" s="156">
        <v>0</v>
      </c>
      <c r="U413" s="132">
        <v>0</v>
      </c>
      <c r="V413" s="132">
        <v>20664.689999999999</v>
      </c>
      <c r="W413">
        <v>25</v>
      </c>
      <c r="X413" s="153" t="s">
        <v>105</v>
      </c>
      <c r="Y413" s="124" t="s">
        <v>55</v>
      </c>
      <c r="Z413" s="308">
        <v>210</v>
      </c>
      <c r="AB413" t="str">
        <f>IF(Table1[[#This Row],[TIPO2]]="costo", VLOOKUP(Table1[[#This Row],[PARTIDA PRESUPUESTAL]],'Cost Report'!G:G,1,0),"Balance")</f>
        <v>3683-012</v>
      </c>
      <c r="AC413" s="118"/>
      <c r="AD413" s="159">
        <f>+Table1[[#This Row],[SUBTOTAL]]+Table1[[#This Row],[IVA]]-Table1[[#This Row],[RET IVA]]-Table1[[#This Row],[RET ISR]]-Table1[[#This Row],[TOTAL]]</f>
        <v>0</v>
      </c>
      <c r="AE413" s="152"/>
      <c r="AF413" s="153"/>
      <c r="AG413" s="126"/>
      <c r="AK413" s="306" t="str">
        <f>IF(ISNUMBER(Table1[[#This Row],[FECHA DE RECIBIDO]]), Table1[[#This Row],[FECHA DE RECIBIDO]]-DATE(2023,8,30), "")</f>
        <v/>
      </c>
    </row>
    <row r="414" spans="1:37" ht="16.05" customHeight="1">
      <c r="A414" s="150"/>
      <c r="B414" s="151"/>
      <c r="C414" s="126" t="s">
        <v>1043</v>
      </c>
      <c r="D414">
        <v>247</v>
      </c>
      <c r="E414" s="126" t="s">
        <v>2001</v>
      </c>
      <c r="F414" s="122" t="s">
        <v>1607</v>
      </c>
      <c r="G414" s="122" t="s">
        <v>134</v>
      </c>
      <c r="H414">
        <v>23</v>
      </c>
      <c r="I414" s="122" t="s">
        <v>1546</v>
      </c>
      <c r="J414" s="307" t="s">
        <v>214</v>
      </c>
      <c r="K414" s="127" t="s">
        <v>3398</v>
      </c>
      <c r="L414" s="151" t="s">
        <v>118</v>
      </c>
      <c r="M414">
        <v>32</v>
      </c>
      <c r="N414" s="123">
        <v>1</v>
      </c>
      <c r="O414">
        <v>268</v>
      </c>
      <c r="P414" s="132" t="s">
        <v>77</v>
      </c>
      <c r="Q414" s="131">
        <v>26721.58</v>
      </c>
      <c r="R414" s="131">
        <v>4275.45</v>
      </c>
      <c r="S414" s="131"/>
      <c r="T414" s="155">
        <v>0</v>
      </c>
      <c r="U414" s="131">
        <v>0</v>
      </c>
      <c r="V414" s="131">
        <v>30997.030000000002</v>
      </c>
      <c r="W414">
        <v>25</v>
      </c>
      <c r="X414" s="151" t="s">
        <v>105</v>
      </c>
      <c r="Y414" s="135" t="s">
        <v>55</v>
      </c>
      <c r="Z414" s="307">
        <v>210</v>
      </c>
      <c r="AB414" t="str">
        <f>IF(Table1[[#This Row],[TIPO2]]="costo", VLOOKUP(Table1[[#This Row],[PARTIDA PRESUPUESTAL]],'Cost Report'!G:G,1,0),"Balance")</f>
        <v>3683-018</v>
      </c>
      <c r="AC414" s="118"/>
      <c r="AD414" s="159">
        <f>+Table1[[#This Row],[SUBTOTAL]]+Table1[[#This Row],[IVA]]-Table1[[#This Row],[RET IVA]]-Table1[[#This Row],[RET ISR]]-Table1[[#This Row],[TOTAL]]</f>
        <v>0</v>
      </c>
      <c r="AE414" s="150"/>
      <c r="AF414" s="151"/>
      <c r="AG414" s="126"/>
      <c r="AK414" s="306" t="str">
        <f>IF(ISNUMBER(Table1[[#This Row],[FECHA DE RECIBIDO]]), Table1[[#This Row],[FECHA DE RECIBIDO]]-DATE(2023,8,30), "")</f>
        <v/>
      </c>
    </row>
    <row r="415" spans="1:37" ht="16.05" customHeight="1">
      <c r="A415" s="152"/>
      <c r="B415" s="153"/>
      <c r="C415" s="126" t="s">
        <v>1047</v>
      </c>
      <c r="D415">
        <v>247</v>
      </c>
      <c r="E415" s="126" t="s">
        <v>2001</v>
      </c>
      <c r="F415" s="125" t="s">
        <v>1607</v>
      </c>
      <c r="G415" s="125" t="s">
        <v>134</v>
      </c>
      <c r="H415">
        <v>23</v>
      </c>
      <c r="I415" s="125" t="s">
        <v>1546</v>
      </c>
      <c r="J415" s="308" t="s">
        <v>214</v>
      </c>
      <c r="K415" s="127" t="s">
        <v>3398</v>
      </c>
      <c r="L415" s="153" t="s">
        <v>118</v>
      </c>
      <c r="M415">
        <v>32</v>
      </c>
      <c r="N415" s="123">
        <v>1</v>
      </c>
      <c r="O415">
        <v>268</v>
      </c>
      <c r="P415" s="132" t="s">
        <v>77</v>
      </c>
      <c r="Q415" s="132">
        <v>13063.88</v>
      </c>
      <c r="R415" s="132">
        <v>2090.2199999999998</v>
      </c>
      <c r="S415" s="132"/>
      <c r="T415" s="156">
        <v>0</v>
      </c>
      <c r="U415" s="132">
        <v>0</v>
      </c>
      <c r="V415" s="132">
        <v>15154.099999999999</v>
      </c>
      <c r="W415">
        <v>25</v>
      </c>
      <c r="X415" s="153" t="s">
        <v>105</v>
      </c>
      <c r="Y415" s="124" t="s">
        <v>55</v>
      </c>
      <c r="Z415" s="308">
        <v>210</v>
      </c>
      <c r="AB415" t="str">
        <f>IF(Table1[[#This Row],[TIPO2]]="costo", VLOOKUP(Table1[[#This Row],[PARTIDA PRESUPUESTAL]],'Cost Report'!G:G,1,0),"Balance")</f>
        <v>3683-024</v>
      </c>
      <c r="AC415" s="118"/>
      <c r="AD415" s="159">
        <f>+Table1[[#This Row],[SUBTOTAL]]+Table1[[#This Row],[IVA]]-Table1[[#This Row],[RET IVA]]-Table1[[#This Row],[RET ISR]]-Table1[[#This Row],[TOTAL]]</f>
        <v>0</v>
      </c>
      <c r="AE415" s="152"/>
      <c r="AF415" s="153"/>
      <c r="AG415" s="126"/>
      <c r="AK415" s="306" t="str">
        <f>IF(ISNUMBER(Table1[[#This Row],[FECHA DE RECIBIDO]]), Table1[[#This Row],[FECHA DE RECIBIDO]]-DATE(2023,8,30), "")</f>
        <v/>
      </c>
    </row>
    <row r="416" spans="1:37" ht="16.05" customHeight="1">
      <c r="A416" s="150"/>
      <c r="B416" s="151"/>
      <c r="C416" s="126" t="s">
        <v>1051</v>
      </c>
      <c r="D416">
        <v>247</v>
      </c>
      <c r="E416" s="126" t="s">
        <v>2001</v>
      </c>
      <c r="F416" s="122" t="s">
        <v>1607</v>
      </c>
      <c r="G416" s="122" t="s">
        <v>134</v>
      </c>
      <c r="H416">
        <v>23</v>
      </c>
      <c r="I416" s="122" t="s">
        <v>1546</v>
      </c>
      <c r="J416" s="307" t="s">
        <v>214</v>
      </c>
      <c r="K416" s="127" t="s">
        <v>3398</v>
      </c>
      <c r="L416" s="151" t="s">
        <v>118</v>
      </c>
      <c r="M416">
        <v>32</v>
      </c>
      <c r="N416" s="123">
        <v>1</v>
      </c>
      <c r="O416">
        <v>268</v>
      </c>
      <c r="P416" s="132" t="s">
        <v>77</v>
      </c>
      <c r="Q416" s="131">
        <v>12826.36</v>
      </c>
      <c r="R416" s="131">
        <v>2052.2199999999998</v>
      </c>
      <c r="S416" s="131"/>
      <c r="T416" s="155">
        <v>0</v>
      </c>
      <c r="U416" s="131">
        <v>0</v>
      </c>
      <c r="V416" s="131">
        <v>14878.58</v>
      </c>
      <c r="W416">
        <v>25</v>
      </c>
      <c r="X416" s="151" t="s">
        <v>105</v>
      </c>
      <c r="Y416" s="135" t="s">
        <v>55</v>
      </c>
      <c r="Z416" s="307">
        <v>210</v>
      </c>
      <c r="AB416" t="str">
        <f>IF(Table1[[#This Row],[TIPO2]]="costo", VLOOKUP(Table1[[#This Row],[PARTIDA PRESUPUESTAL]],'Cost Report'!G:G,1,0),"Balance")</f>
        <v>3683-030</v>
      </c>
      <c r="AC416" s="118"/>
      <c r="AD416" s="159">
        <f>+Table1[[#This Row],[SUBTOTAL]]+Table1[[#This Row],[IVA]]-Table1[[#This Row],[RET IVA]]-Table1[[#This Row],[RET ISR]]-Table1[[#This Row],[TOTAL]]</f>
        <v>0</v>
      </c>
      <c r="AE416" s="150"/>
      <c r="AF416" s="151"/>
      <c r="AG416" s="126"/>
      <c r="AK416" s="306" t="str">
        <f>IF(ISNUMBER(Table1[[#This Row],[FECHA DE RECIBIDO]]), Table1[[#This Row],[FECHA DE RECIBIDO]]-DATE(2023,8,30), "")</f>
        <v/>
      </c>
    </row>
    <row r="417" spans="1:37" ht="16.05" customHeight="1">
      <c r="A417" s="152"/>
      <c r="B417" s="153"/>
      <c r="C417" s="126" t="s">
        <v>2897</v>
      </c>
      <c r="D417">
        <v>247</v>
      </c>
      <c r="E417" s="126" t="s">
        <v>2001</v>
      </c>
      <c r="F417" s="125" t="s">
        <v>1607</v>
      </c>
      <c r="G417" s="125" t="s">
        <v>134</v>
      </c>
      <c r="H417">
        <v>23</v>
      </c>
      <c r="I417" s="125" t="s">
        <v>1546</v>
      </c>
      <c r="J417" s="308" t="s">
        <v>214</v>
      </c>
      <c r="K417" s="127" t="s">
        <v>3398</v>
      </c>
      <c r="L417" s="153" t="s">
        <v>118</v>
      </c>
      <c r="M417">
        <v>32</v>
      </c>
      <c r="N417" s="123">
        <v>1</v>
      </c>
      <c r="O417">
        <v>268</v>
      </c>
      <c r="P417" s="132" t="s">
        <v>77</v>
      </c>
      <c r="Q417" s="132">
        <v>6413.18</v>
      </c>
      <c r="R417" s="132">
        <v>1026.1099999999999</v>
      </c>
      <c r="S417" s="132"/>
      <c r="T417" s="156">
        <v>0</v>
      </c>
      <c r="U417" s="132">
        <v>0</v>
      </c>
      <c r="V417" s="132">
        <v>7439.29</v>
      </c>
      <c r="W417">
        <v>25</v>
      </c>
      <c r="X417" s="153" t="s">
        <v>105</v>
      </c>
      <c r="Y417" s="124" t="s">
        <v>55</v>
      </c>
      <c r="Z417" s="308">
        <v>210</v>
      </c>
      <c r="AB417" t="str">
        <f>IF(Table1[[#This Row],[TIPO2]]="costo", VLOOKUP(Table1[[#This Row],[PARTIDA PRESUPUESTAL]],'Cost Report'!G:G,1,0),"Balance")</f>
        <v>3683-138</v>
      </c>
      <c r="AC417" s="118"/>
      <c r="AD417" s="159">
        <f>+Table1[[#This Row],[SUBTOTAL]]+Table1[[#This Row],[IVA]]-Table1[[#This Row],[RET IVA]]-Table1[[#This Row],[RET ISR]]-Table1[[#This Row],[TOTAL]]</f>
        <v>0</v>
      </c>
      <c r="AE417" s="152"/>
      <c r="AF417" s="153"/>
      <c r="AG417" s="126"/>
      <c r="AK417" s="306" t="str">
        <f>IF(ISNUMBER(Table1[[#This Row],[FECHA DE RECIBIDO]]), Table1[[#This Row],[FECHA DE RECIBIDO]]-DATE(2023,8,30), "")</f>
        <v/>
      </c>
    </row>
    <row r="418" spans="1:37" ht="16.05" customHeight="1">
      <c r="A418" s="150"/>
      <c r="B418" s="151"/>
      <c r="C418" s="126" t="s">
        <v>1059</v>
      </c>
      <c r="D418">
        <v>247</v>
      </c>
      <c r="E418" s="126" t="s">
        <v>2001</v>
      </c>
      <c r="F418" s="122" t="s">
        <v>1607</v>
      </c>
      <c r="G418" s="122" t="s">
        <v>134</v>
      </c>
      <c r="H418">
        <v>23</v>
      </c>
      <c r="I418" s="122" t="s">
        <v>1546</v>
      </c>
      <c r="J418" s="307" t="s">
        <v>214</v>
      </c>
      <c r="K418" s="127" t="s">
        <v>3398</v>
      </c>
      <c r="L418" s="151" t="s">
        <v>118</v>
      </c>
      <c r="M418">
        <v>32</v>
      </c>
      <c r="N418" s="123">
        <v>1</v>
      </c>
      <c r="O418">
        <v>268</v>
      </c>
      <c r="P418" s="132" t="s">
        <v>77</v>
      </c>
      <c r="Q418" s="131">
        <v>12826.36</v>
      </c>
      <c r="R418" s="131">
        <v>2052.23</v>
      </c>
      <c r="S418" s="131"/>
      <c r="T418" s="155">
        <v>0</v>
      </c>
      <c r="U418" s="131">
        <v>0</v>
      </c>
      <c r="V418" s="131">
        <v>14878.59</v>
      </c>
      <c r="W418">
        <v>25</v>
      </c>
      <c r="X418" s="151" t="s">
        <v>105</v>
      </c>
      <c r="Y418" s="135" t="s">
        <v>55</v>
      </c>
      <c r="Z418" s="307">
        <v>210</v>
      </c>
      <c r="AB418" t="str">
        <f>IF(Table1[[#This Row],[TIPO2]]="costo", VLOOKUP(Table1[[#This Row],[PARTIDA PRESUPUESTAL]],'Cost Report'!G:G,1,0),"Balance")</f>
        <v>3683-042</v>
      </c>
      <c r="AC418" s="118"/>
      <c r="AD418" s="159">
        <f>+Table1[[#This Row],[SUBTOTAL]]+Table1[[#This Row],[IVA]]-Table1[[#This Row],[RET IVA]]-Table1[[#This Row],[RET ISR]]-Table1[[#This Row],[TOTAL]]</f>
        <v>0</v>
      </c>
      <c r="AE418" s="150"/>
      <c r="AF418" s="151"/>
      <c r="AG418" s="126"/>
      <c r="AK418" s="306" t="str">
        <f>IF(ISNUMBER(Table1[[#This Row],[FECHA DE RECIBIDO]]), Table1[[#This Row],[FECHA DE RECIBIDO]]-DATE(2023,8,30), "")</f>
        <v/>
      </c>
    </row>
    <row r="419" spans="1:37" ht="16.05" customHeight="1">
      <c r="A419" s="152"/>
      <c r="B419" s="153"/>
      <c r="C419" s="126" t="s">
        <v>1063</v>
      </c>
      <c r="D419">
        <v>247</v>
      </c>
      <c r="E419" s="126" t="s">
        <v>2001</v>
      </c>
      <c r="F419" s="125" t="s">
        <v>1607</v>
      </c>
      <c r="G419" s="125" t="s">
        <v>134</v>
      </c>
      <c r="H419">
        <v>23</v>
      </c>
      <c r="I419" s="125" t="s">
        <v>1546</v>
      </c>
      <c r="J419" s="308" t="s">
        <v>214</v>
      </c>
      <c r="K419" s="127" t="s">
        <v>3398</v>
      </c>
      <c r="L419" s="153" t="s">
        <v>118</v>
      </c>
      <c r="M419">
        <v>32</v>
      </c>
      <c r="N419" s="123">
        <v>1</v>
      </c>
      <c r="O419">
        <v>268</v>
      </c>
      <c r="P419" s="132" t="s">
        <v>77</v>
      </c>
      <c r="Q419" s="132">
        <v>13063.88</v>
      </c>
      <c r="R419" s="132">
        <v>2090.23</v>
      </c>
      <c r="S419" s="132"/>
      <c r="T419" s="156">
        <v>0</v>
      </c>
      <c r="U419" s="132">
        <v>0</v>
      </c>
      <c r="V419" s="132">
        <v>15154.109999999999</v>
      </c>
      <c r="W419">
        <v>25</v>
      </c>
      <c r="X419" s="153" t="s">
        <v>105</v>
      </c>
      <c r="Y419" s="124" t="s">
        <v>55</v>
      </c>
      <c r="Z419" s="308">
        <v>210</v>
      </c>
      <c r="AB419" t="str">
        <f>IF(Table1[[#This Row],[TIPO2]]="costo", VLOOKUP(Table1[[#This Row],[PARTIDA PRESUPUESTAL]],'Cost Report'!G:G,1,0),"Balance")</f>
        <v>3683-048</v>
      </c>
      <c r="AC419" s="118"/>
      <c r="AD419" s="159">
        <f>+Table1[[#This Row],[SUBTOTAL]]+Table1[[#This Row],[IVA]]-Table1[[#This Row],[RET IVA]]-Table1[[#This Row],[RET ISR]]-Table1[[#This Row],[TOTAL]]</f>
        <v>0</v>
      </c>
      <c r="AE419" s="152"/>
      <c r="AF419" s="153"/>
      <c r="AG419" s="126"/>
      <c r="AK419" s="306" t="str">
        <f>IF(ISNUMBER(Table1[[#This Row],[FECHA DE RECIBIDO]]), Table1[[#This Row],[FECHA DE RECIBIDO]]-DATE(2023,8,30), "")</f>
        <v/>
      </c>
    </row>
    <row r="420" spans="1:37" ht="16.05" customHeight="1">
      <c r="A420" s="150"/>
      <c r="B420" s="151"/>
      <c r="C420" s="126" t="s">
        <v>1067</v>
      </c>
      <c r="D420">
        <v>247</v>
      </c>
      <c r="E420" s="126" t="s">
        <v>2001</v>
      </c>
      <c r="F420" s="122" t="s">
        <v>1607</v>
      </c>
      <c r="G420" s="122" t="s">
        <v>134</v>
      </c>
      <c r="H420">
        <v>23</v>
      </c>
      <c r="I420" s="122" t="s">
        <v>1546</v>
      </c>
      <c r="J420" s="307" t="s">
        <v>214</v>
      </c>
      <c r="K420" s="127" t="s">
        <v>3398</v>
      </c>
      <c r="L420" s="151" t="s">
        <v>118</v>
      </c>
      <c r="M420">
        <v>32</v>
      </c>
      <c r="N420" s="123">
        <v>1</v>
      </c>
      <c r="O420">
        <v>268</v>
      </c>
      <c r="P420" s="132" t="s">
        <v>77</v>
      </c>
      <c r="Q420" s="131">
        <v>13063.88</v>
      </c>
      <c r="R420" s="131">
        <v>2090.23</v>
      </c>
      <c r="S420" s="131"/>
      <c r="T420" s="155">
        <v>0</v>
      </c>
      <c r="U420" s="131">
        <v>0</v>
      </c>
      <c r="V420" s="131">
        <v>15154.109999999999</v>
      </c>
      <c r="W420">
        <v>25</v>
      </c>
      <c r="X420" s="151" t="s">
        <v>105</v>
      </c>
      <c r="Y420" s="135" t="s">
        <v>55</v>
      </c>
      <c r="Z420" s="307">
        <v>210</v>
      </c>
      <c r="AB420" t="str">
        <f>IF(Table1[[#This Row],[TIPO2]]="costo", VLOOKUP(Table1[[#This Row],[PARTIDA PRESUPUESTAL]],'Cost Report'!G:G,1,0),"Balance")</f>
        <v>3683-054</v>
      </c>
      <c r="AC420" s="118"/>
      <c r="AD420" s="159">
        <f>+Table1[[#This Row],[SUBTOTAL]]+Table1[[#This Row],[IVA]]-Table1[[#This Row],[RET IVA]]-Table1[[#This Row],[RET ISR]]-Table1[[#This Row],[TOTAL]]</f>
        <v>0</v>
      </c>
      <c r="AE420" s="150"/>
      <c r="AF420" s="151"/>
      <c r="AG420" s="126"/>
      <c r="AK420" s="306" t="str">
        <f>IF(ISNUMBER(Table1[[#This Row],[FECHA DE RECIBIDO]]), Table1[[#This Row],[FECHA DE RECIBIDO]]-DATE(2023,8,30), "")</f>
        <v/>
      </c>
    </row>
    <row r="421" spans="1:37" ht="16.05" customHeight="1">
      <c r="A421" s="152"/>
      <c r="B421" s="153"/>
      <c r="C421" s="126" t="s">
        <v>1071</v>
      </c>
      <c r="D421">
        <v>247</v>
      </c>
      <c r="E421" s="126" t="s">
        <v>2001</v>
      </c>
      <c r="F421" s="125" t="s">
        <v>1607</v>
      </c>
      <c r="G421" s="125" t="s">
        <v>134</v>
      </c>
      <c r="H421">
        <v>23</v>
      </c>
      <c r="I421" s="125" t="s">
        <v>1546</v>
      </c>
      <c r="J421" s="308" t="s">
        <v>214</v>
      </c>
      <c r="K421" s="127" t="s">
        <v>3398</v>
      </c>
      <c r="L421" s="153" t="s">
        <v>118</v>
      </c>
      <c r="M421">
        <v>32</v>
      </c>
      <c r="N421" s="123">
        <v>1</v>
      </c>
      <c r="O421">
        <v>268</v>
      </c>
      <c r="P421" s="132" t="s">
        <v>77</v>
      </c>
      <c r="Q421" s="132">
        <v>8907.19</v>
      </c>
      <c r="R421" s="132">
        <v>1425.16</v>
      </c>
      <c r="S421" s="132"/>
      <c r="T421" s="156">
        <v>0</v>
      </c>
      <c r="U421" s="132">
        <v>0</v>
      </c>
      <c r="V421" s="132">
        <v>10332.35</v>
      </c>
      <c r="W421">
        <v>25</v>
      </c>
      <c r="X421" s="153" t="s">
        <v>105</v>
      </c>
      <c r="Y421" s="124" t="s">
        <v>55</v>
      </c>
      <c r="Z421" s="308">
        <v>210</v>
      </c>
      <c r="AB421" t="str">
        <f>IF(Table1[[#This Row],[TIPO2]]="costo", VLOOKUP(Table1[[#This Row],[PARTIDA PRESUPUESTAL]],'Cost Report'!G:G,1,0),"Balance")</f>
        <v>3683-060</v>
      </c>
      <c r="AC421" s="118"/>
      <c r="AD421" s="159">
        <f>+Table1[[#This Row],[SUBTOTAL]]+Table1[[#This Row],[IVA]]-Table1[[#This Row],[RET IVA]]-Table1[[#This Row],[RET ISR]]-Table1[[#This Row],[TOTAL]]</f>
        <v>0</v>
      </c>
      <c r="AE421" s="152"/>
      <c r="AF421" s="153"/>
      <c r="AG421" s="126"/>
      <c r="AK421" s="306" t="str">
        <f>IF(ISNUMBER(Table1[[#This Row],[FECHA DE RECIBIDO]]), Table1[[#This Row],[FECHA DE RECIBIDO]]-DATE(2023,8,30), "")</f>
        <v/>
      </c>
    </row>
    <row r="422" spans="1:37" ht="16.05" customHeight="1">
      <c r="A422" s="150"/>
      <c r="B422" s="151"/>
      <c r="C422" s="126" t="s">
        <v>1075</v>
      </c>
      <c r="D422">
        <v>247</v>
      </c>
      <c r="E422" s="126" t="s">
        <v>2001</v>
      </c>
      <c r="F422" s="122" t="s">
        <v>1607</v>
      </c>
      <c r="G422" s="122" t="s">
        <v>134</v>
      </c>
      <c r="H422">
        <v>23</v>
      </c>
      <c r="I422" s="122" t="s">
        <v>1546</v>
      </c>
      <c r="J422" s="307" t="s">
        <v>214</v>
      </c>
      <c r="K422" s="127" t="s">
        <v>3398</v>
      </c>
      <c r="L422" s="151" t="s">
        <v>118</v>
      </c>
      <c r="M422">
        <v>32</v>
      </c>
      <c r="N422" s="123">
        <v>1</v>
      </c>
      <c r="O422">
        <v>268</v>
      </c>
      <c r="P422" s="132" t="s">
        <v>77</v>
      </c>
      <c r="Q422" s="131">
        <v>8907.19</v>
      </c>
      <c r="R422" s="131">
        <v>1425.15</v>
      </c>
      <c r="S422" s="131"/>
      <c r="T422" s="155">
        <v>0</v>
      </c>
      <c r="U422" s="131">
        <v>0</v>
      </c>
      <c r="V422" s="131">
        <v>10332.34</v>
      </c>
      <c r="W422">
        <v>25</v>
      </c>
      <c r="X422" s="151" t="s">
        <v>105</v>
      </c>
      <c r="Y422" s="135" t="s">
        <v>55</v>
      </c>
      <c r="Z422" s="307">
        <v>210</v>
      </c>
      <c r="AB422" t="str">
        <f>IF(Table1[[#This Row],[TIPO2]]="costo", VLOOKUP(Table1[[#This Row],[PARTIDA PRESUPUESTAL]],'Cost Report'!G:G,1,0),"Balance")</f>
        <v>3683-066</v>
      </c>
      <c r="AC422" s="118"/>
      <c r="AD422" s="159">
        <f>+Table1[[#This Row],[SUBTOTAL]]+Table1[[#This Row],[IVA]]-Table1[[#This Row],[RET IVA]]-Table1[[#This Row],[RET ISR]]-Table1[[#This Row],[TOTAL]]</f>
        <v>0</v>
      </c>
      <c r="AE422" s="150"/>
      <c r="AF422" s="151"/>
      <c r="AG422" s="126"/>
      <c r="AK422" s="306" t="str">
        <f>IF(ISNUMBER(Table1[[#This Row],[FECHA DE RECIBIDO]]), Table1[[#This Row],[FECHA DE RECIBIDO]]-DATE(2023,8,30), "")</f>
        <v/>
      </c>
    </row>
    <row r="423" spans="1:37" ht="16.05" customHeight="1">
      <c r="A423" s="152"/>
      <c r="B423" s="153"/>
      <c r="C423" s="126" t="s">
        <v>1079</v>
      </c>
      <c r="D423">
        <v>247</v>
      </c>
      <c r="E423" s="126" t="s">
        <v>2001</v>
      </c>
      <c r="F423" s="125" t="s">
        <v>1607</v>
      </c>
      <c r="G423" s="125" t="s">
        <v>134</v>
      </c>
      <c r="H423">
        <v>23</v>
      </c>
      <c r="I423" s="125" t="s">
        <v>1546</v>
      </c>
      <c r="J423" s="308" t="s">
        <v>214</v>
      </c>
      <c r="K423" s="127" t="s">
        <v>3398</v>
      </c>
      <c r="L423" s="153" t="s">
        <v>118</v>
      </c>
      <c r="M423">
        <v>32</v>
      </c>
      <c r="N423" s="123">
        <v>1</v>
      </c>
      <c r="O423">
        <v>268</v>
      </c>
      <c r="P423" s="132" t="s">
        <v>77</v>
      </c>
      <c r="Q423" s="132">
        <v>8907.19</v>
      </c>
      <c r="R423" s="132">
        <v>1425.15</v>
      </c>
      <c r="S423" s="132"/>
      <c r="T423" s="156">
        <v>0</v>
      </c>
      <c r="U423" s="132">
        <v>0</v>
      </c>
      <c r="V423" s="132">
        <v>10332.34</v>
      </c>
      <c r="W423">
        <v>25</v>
      </c>
      <c r="X423" s="153" t="s">
        <v>105</v>
      </c>
      <c r="Y423" s="124" t="s">
        <v>55</v>
      </c>
      <c r="Z423" s="308">
        <v>210</v>
      </c>
      <c r="AB423" t="str">
        <f>IF(Table1[[#This Row],[TIPO2]]="costo", VLOOKUP(Table1[[#This Row],[PARTIDA PRESUPUESTAL]],'Cost Report'!G:G,1,0),"Balance")</f>
        <v>3683-072</v>
      </c>
      <c r="AC423" s="118"/>
      <c r="AD423" s="159">
        <f>+Table1[[#This Row],[SUBTOTAL]]+Table1[[#This Row],[IVA]]-Table1[[#This Row],[RET IVA]]-Table1[[#This Row],[RET ISR]]-Table1[[#This Row],[TOTAL]]</f>
        <v>0</v>
      </c>
      <c r="AE423" s="152"/>
      <c r="AF423" s="153"/>
      <c r="AG423" s="126"/>
      <c r="AK423" s="306" t="str">
        <f>IF(ISNUMBER(Table1[[#This Row],[FECHA DE RECIBIDO]]), Table1[[#This Row],[FECHA DE RECIBIDO]]-DATE(2023,8,30), "")</f>
        <v/>
      </c>
    </row>
    <row r="424" spans="1:37" ht="16.05" customHeight="1">
      <c r="A424" s="150"/>
      <c r="B424" s="151"/>
      <c r="C424" s="126" t="s">
        <v>1083</v>
      </c>
      <c r="D424">
        <v>247</v>
      </c>
      <c r="E424" s="126" t="s">
        <v>2001</v>
      </c>
      <c r="F424" s="122" t="s">
        <v>1607</v>
      </c>
      <c r="G424" s="122" t="s">
        <v>134</v>
      </c>
      <c r="H424">
        <v>23</v>
      </c>
      <c r="I424" s="122" t="s">
        <v>1546</v>
      </c>
      <c r="J424" s="307" t="s">
        <v>214</v>
      </c>
      <c r="K424" s="127" t="s">
        <v>3398</v>
      </c>
      <c r="L424" s="151" t="s">
        <v>118</v>
      </c>
      <c r="M424">
        <v>32</v>
      </c>
      <c r="N424" s="123">
        <v>1</v>
      </c>
      <c r="O424">
        <v>268</v>
      </c>
      <c r="P424" s="132" t="s">
        <v>77</v>
      </c>
      <c r="Q424" s="131">
        <v>8907.19</v>
      </c>
      <c r="R424" s="131">
        <v>1425.15</v>
      </c>
      <c r="S424" s="131"/>
      <c r="T424" s="155">
        <v>0</v>
      </c>
      <c r="U424" s="131">
        <v>0</v>
      </c>
      <c r="V424" s="131">
        <v>10332.34</v>
      </c>
      <c r="W424">
        <v>25</v>
      </c>
      <c r="X424" s="151" t="s">
        <v>105</v>
      </c>
      <c r="Y424" s="135" t="s">
        <v>55</v>
      </c>
      <c r="Z424" s="307">
        <v>210</v>
      </c>
      <c r="AB424" t="str">
        <f>IF(Table1[[#This Row],[TIPO2]]="costo", VLOOKUP(Table1[[#This Row],[PARTIDA PRESUPUESTAL]],'Cost Report'!G:G,1,0),"Balance")</f>
        <v>3683-078</v>
      </c>
      <c r="AC424" s="118"/>
      <c r="AD424" s="159">
        <f>+Table1[[#This Row],[SUBTOTAL]]+Table1[[#This Row],[IVA]]-Table1[[#This Row],[RET IVA]]-Table1[[#This Row],[RET ISR]]-Table1[[#This Row],[TOTAL]]</f>
        <v>0</v>
      </c>
      <c r="AE424" s="150"/>
      <c r="AF424" s="151"/>
      <c r="AG424" s="126"/>
      <c r="AK424" s="306" t="str">
        <f>IF(ISNUMBER(Table1[[#This Row],[FECHA DE RECIBIDO]]), Table1[[#This Row],[FECHA DE RECIBIDO]]-DATE(2023,8,30), "")</f>
        <v/>
      </c>
    </row>
    <row r="425" spans="1:37" ht="16.05" customHeight="1">
      <c r="A425" s="152"/>
      <c r="B425" s="153"/>
      <c r="C425" s="126" t="s">
        <v>1087</v>
      </c>
      <c r="D425">
        <v>247</v>
      </c>
      <c r="E425" s="126" t="s">
        <v>2001</v>
      </c>
      <c r="F425" s="125" t="s">
        <v>1607</v>
      </c>
      <c r="G425" s="125" t="s">
        <v>134</v>
      </c>
      <c r="H425">
        <v>23</v>
      </c>
      <c r="I425" s="125" t="s">
        <v>1546</v>
      </c>
      <c r="J425" s="308" t="s">
        <v>214</v>
      </c>
      <c r="K425" s="127" t="s">
        <v>3398</v>
      </c>
      <c r="L425" s="153" t="s">
        <v>118</v>
      </c>
      <c r="M425">
        <v>32</v>
      </c>
      <c r="N425" s="123">
        <v>1</v>
      </c>
      <c r="O425">
        <v>268</v>
      </c>
      <c r="P425" s="132" t="s">
        <v>77</v>
      </c>
      <c r="Q425" s="132">
        <v>13063.88</v>
      </c>
      <c r="R425" s="132">
        <v>2090.2199999999998</v>
      </c>
      <c r="S425" s="132"/>
      <c r="T425" s="156">
        <v>0</v>
      </c>
      <c r="U425" s="132">
        <v>0</v>
      </c>
      <c r="V425" s="132">
        <v>15154.099999999999</v>
      </c>
      <c r="W425">
        <v>25</v>
      </c>
      <c r="X425" s="153" t="s">
        <v>105</v>
      </c>
      <c r="Y425" s="124" t="s">
        <v>55</v>
      </c>
      <c r="Z425" s="308">
        <v>210</v>
      </c>
      <c r="AB425" t="str">
        <f>IF(Table1[[#This Row],[TIPO2]]="costo", VLOOKUP(Table1[[#This Row],[PARTIDA PRESUPUESTAL]],'Cost Report'!G:G,1,0),"Balance")</f>
        <v>3683-084</v>
      </c>
      <c r="AC425" s="118"/>
      <c r="AD425" s="159">
        <f>+Table1[[#This Row],[SUBTOTAL]]+Table1[[#This Row],[IVA]]-Table1[[#This Row],[RET IVA]]-Table1[[#This Row],[RET ISR]]-Table1[[#This Row],[TOTAL]]</f>
        <v>0</v>
      </c>
      <c r="AE425" s="152"/>
      <c r="AF425" s="153"/>
      <c r="AG425" s="126"/>
      <c r="AK425" s="306" t="str">
        <f>IF(ISNUMBER(Table1[[#This Row],[FECHA DE RECIBIDO]]), Table1[[#This Row],[FECHA DE RECIBIDO]]-DATE(2023,8,30), "")</f>
        <v/>
      </c>
    </row>
    <row r="426" spans="1:37" ht="16.05" customHeight="1">
      <c r="A426" s="150"/>
      <c r="B426" s="151"/>
      <c r="C426" s="126" t="s">
        <v>1091</v>
      </c>
      <c r="D426">
        <v>247</v>
      </c>
      <c r="E426" s="126" t="s">
        <v>2001</v>
      </c>
      <c r="F426" s="122" t="s">
        <v>1607</v>
      </c>
      <c r="G426" s="122" t="s">
        <v>134</v>
      </c>
      <c r="H426">
        <v>23</v>
      </c>
      <c r="I426" s="122" t="s">
        <v>1546</v>
      </c>
      <c r="J426" s="307" t="s">
        <v>214</v>
      </c>
      <c r="K426" s="127" t="s">
        <v>3398</v>
      </c>
      <c r="L426" s="151" t="s">
        <v>118</v>
      </c>
      <c r="M426">
        <v>32</v>
      </c>
      <c r="N426" s="123">
        <v>1</v>
      </c>
      <c r="O426">
        <v>268</v>
      </c>
      <c r="P426" s="132" t="s">
        <v>77</v>
      </c>
      <c r="Q426" s="131">
        <v>8907.19</v>
      </c>
      <c r="R426" s="131">
        <v>1425.15</v>
      </c>
      <c r="S426" s="131"/>
      <c r="T426" s="155">
        <v>0</v>
      </c>
      <c r="U426" s="131">
        <v>0</v>
      </c>
      <c r="V426" s="131">
        <v>10332.34</v>
      </c>
      <c r="W426">
        <v>25</v>
      </c>
      <c r="X426" s="151" t="s">
        <v>105</v>
      </c>
      <c r="Y426" s="135" t="s">
        <v>55</v>
      </c>
      <c r="Z426" s="307">
        <v>210</v>
      </c>
      <c r="AB426" t="str">
        <f>IF(Table1[[#This Row],[TIPO2]]="costo", VLOOKUP(Table1[[#This Row],[PARTIDA PRESUPUESTAL]],'Cost Report'!G:G,1,0),"Balance")</f>
        <v>3683-090</v>
      </c>
      <c r="AC426" s="118"/>
      <c r="AD426" s="159">
        <f>+Table1[[#This Row],[SUBTOTAL]]+Table1[[#This Row],[IVA]]-Table1[[#This Row],[RET IVA]]-Table1[[#This Row],[RET ISR]]-Table1[[#This Row],[TOTAL]]</f>
        <v>0</v>
      </c>
      <c r="AE426" s="150"/>
      <c r="AF426" s="151"/>
      <c r="AG426" s="126"/>
      <c r="AK426" s="306" t="str">
        <f>IF(ISNUMBER(Table1[[#This Row],[FECHA DE RECIBIDO]]), Table1[[#This Row],[FECHA DE RECIBIDO]]-DATE(2023,8,30), "")</f>
        <v/>
      </c>
    </row>
    <row r="427" spans="1:37" ht="16.05" customHeight="1">
      <c r="A427" s="152"/>
      <c r="B427" s="153"/>
      <c r="C427" s="126" t="s">
        <v>1095</v>
      </c>
      <c r="D427">
        <v>247</v>
      </c>
      <c r="E427" s="126" t="s">
        <v>2001</v>
      </c>
      <c r="F427" s="125" t="s">
        <v>1607</v>
      </c>
      <c r="G427" s="125" t="s">
        <v>134</v>
      </c>
      <c r="H427">
        <v>23</v>
      </c>
      <c r="I427" s="125" t="s">
        <v>1546</v>
      </c>
      <c r="J427" s="308" t="s">
        <v>214</v>
      </c>
      <c r="K427" s="127" t="s">
        <v>3398</v>
      </c>
      <c r="L427" s="153" t="s">
        <v>118</v>
      </c>
      <c r="M427">
        <v>32</v>
      </c>
      <c r="N427" s="123">
        <v>1</v>
      </c>
      <c r="O427">
        <v>268</v>
      </c>
      <c r="P427" s="132" t="s">
        <v>77</v>
      </c>
      <c r="Q427" s="132">
        <v>13063.88</v>
      </c>
      <c r="R427" s="132">
        <v>2090.2199999999998</v>
      </c>
      <c r="S427" s="132"/>
      <c r="T427" s="156">
        <v>0</v>
      </c>
      <c r="U427" s="132">
        <v>0</v>
      </c>
      <c r="V427" s="132">
        <v>15154.099999999999</v>
      </c>
      <c r="W427">
        <v>25</v>
      </c>
      <c r="X427" s="153" t="s">
        <v>105</v>
      </c>
      <c r="Y427" s="124" t="s">
        <v>55</v>
      </c>
      <c r="Z427" s="308">
        <v>210</v>
      </c>
      <c r="AB427" t="str">
        <f>IF(Table1[[#This Row],[TIPO2]]="costo", VLOOKUP(Table1[[#This Row],[PARTIDA PRESUPUESTAL]],'Cost Report'!G:G,1,0),"Balance")</f>
        <v>3683-096</v>
      </c>
      <c r="AC427" s="118"/>
      <c r="AD427" s="159">
        <f>+Table1[[#This Row],[SUBTOTAL]]+Table1[[#This Row],[IVA]]-Table1[[#This Row],[RET IVA]]-Table1[[#This Row],[RET ISR]]-Table1[[#This Row],[TOTAL]]</f>
        <v>0</v>
      </c>
      <c r="AE427" s="152"/>
      <c r="AF427" s="153"/>
      <c r="AG427" s="126"/>
      <c r="AK427" s="306" t="str">
        <f>IF(ISNUMBER(Table1[[#This Row],[FECHA DE RECIBIDO]]), Table1[[#This Row],[FECHA DE RECIBIDO]]-DATE(2023,8,30), "")</f>
        <v/>
      </c>
    </row>
    <row r="428" spans="1:37" ht="16.05" customHeight="1">
      <c r="A428" s="150"/>
      <c r="B428" s="151"/>
      <c r="C428" s="126" t="s">
        <v>1098</v>
      </c>
      <c r="D428">
        <v>247</v>
      </c>
      <c r="E428" s="126" t="s">
        <v>2001</v>
      </c>
      <c r="F428" s="122" t="s">
        <v>1607</v>
      </c>
      <c r="G428" s="122" t="s">
        <v>134</v>
      </c>
      <c r="H428">
        <v>23</v>
      </c>
      <c r="I428" s="122" t="s">
        <v>1546</v>
      </c>
      <c r="J428" s="307" t="s">
        <v>214</v>
      </c>
      <c r="K428" s="127" t="s">
        <v>3398</v>
      </c>
      <c r="L428" s="151" t="s">
        <v>118</v>
      </c>
      <c r="M428">
        <v>32</v>
      </c>
      <c r="N428" s="123">
        <v>1</v>
      </c>
      <c r="O428">
        <v>268</v>
      </c>
      <c r="P428" s="132" t="s">
        <v>77</v>
      </c>
      <c r="Q428" s="131">
        <v>13360.79</v>
      </c>
      <c r="R428" s="131">
        <v>2137.73</v>
      </c>
      <c r="S428" s="131"/>
      <c r="T428" s="155">
        <v>0</v>
      </c>
      <c r="U428" s="131">
        <v>0</v>
      </c>
      <c r="V428" s="131">
        <v>15498.52</v>
      </c>
      <c r="W428">
        <v>25</v>
      </c>
      <c r="X428" s="151" t="s">
        <v>105</v>
      </c>
      <c r="Y428" s="135" t="s">
        <v>55</v>
      </c>
      <c r="Z428" s="307">
        <v>210</v>
      </c>
      <c r="AB428" t="str">
        <f>IF(Table1[[#This Row],[TIPO2]]="costo", VLOOKUP(Table1[[#This Row],[PARTIDA PRESUPUESTAL]],'Cost Report'!G:G,1,0),"Balance")</f>
        <v>3683-101</v>
      </c>
      <c r="AC428" s="118"/>
      <c r="AD428" s="159">
        <f>+Table1[[#This Row],[SUBTOTAL]]+Table1[[#This Row],[IVA]]-Table1[[#This Row],[RET IVA]]-Table1[[#This Row],[RET ISR]]-Table1[[#This Row],[TOTAL]]</f>
        <v>0</v>
      </c>
      <c r="AE428" s="150"/>
      <c r="AF428" s="151"/>
      <c r="AG428" s="126"/>
      <c r="AK428" s="306" t="str">
        <f>IF(ISNUMBER(Table1[[#This Row],[FECHA DE RECIBIDO]]), Table1[[#This Row],[FECHA DE RECIBIDO]]-DATE(2023,8,30), "")</f>
        <v/>
      </c>
    </row>
    <row r="429" spans="1:37" ht="16.05" customHeight="1">
      <c r="A429" s="152"/>
      <c r="B429" s="153"/>
      <c r="C429" s="126" t="s">
        <v>1100</v>
      </c>
      <c r="D429">
        <v>247</v>
      </c>
      <c r="E429" s="126" t="s">
        <v>2001</v>
      </c>
      <c r="F429" s="125" t="s">
        <v>1607</v>
      </c>
      <c r="G429" s="125" t="s">
        <v>134</v>
      </c>
      <c r="H429">
        <v>23</v>
      </c>
      <c r="I429" s="125" t="s">
        <v>1546</v>
      </c>
      <c r="J429" s="308" t="s">
        <v>214</v>
      </c>
      <c r="K429" s="127" t="s">
        <v>3398</v>
      </c>
      <c r="L429" s="153" t="s">
        <v>118</v>
      </c>
      <c r="M429">
        <v>32</v>
      </c>
      <c r="N429" s="123">
        <v>1</v>
      </c>
      <c r="O429">
        <v>268</v>
      </c>
      <c r="P429" s="132" t="s">
        <v>77</v>
      </c>
      <c r="Q429" s="132">
        <v>16626.759999999998</v>
      </c>
      <c r="R429" s="132">
        <v>2660.28</v>
      </c>
      <c r="S429" s="132"/>
      <c r="T429" s="156">
        <v>0</v>
      </c>
      <c r="U429" s="132">
        <v>0</v>
      </c>
      <c r="V429" s="132">
        <v>19287.039999999997</v>
      </c>
      <c r="W429">
        <v>25</v>
      </c>
      <c r="X429" s="153" t="s">
        <v>105</v>
      </c>
      <c r="Y429" s="124" t="s">
        <v>55</v>
      </c>
      <c r="Z429" s="308">
        <v>210</v>
      </c>
      <c r="AB429" t="str">
        <f>IF(Table1[[#This Row],[TIPO2]]="costo", VLOOKUP(Table1[[#This Row],[PARTIDA PRESUPUESTAL]],'Cost Report'!G:G,1,0),"Balance")</f>
        <v>3683-105</v>
      </c>
      <c r="AC429" s="118"/>
      <c r="AD429" s="159">
        <f>+Table1[[#This Row],[SUBTOTAL]]+Table1[[#This Row],[IVA]]-Table1[[#This Row],[RET IVA]]-Table1[[#This Row],[RET ISR]]-Table1[[#This Row],[TOTAL]]</f>
        <v>0</v>
      </c>
      <c r="AE429" s="152"/>
      <c r="AF429" s="153"/>
      <c r="AG429" s="126"/>
      <c r="AK429" s="306" t="str">
        <f>IF(ISNUMBER(Table1[[#This Row],[FECHA DE RECIBIDO]]), Table1[[#This Row],[FECHA DE RECIBIDO]]-DATE(2023,8,30), "")</f>
        <v/>
      </c>
    </row>
    <row r="430" spans="1:37" ht="16.05" customHeight="1">
      <c r="A430" s="150"/>
      <c r="B430" s="151"/>
      <c r="C430" s="126" t="s">
        <v>2880</v>
      </c>
      <c r="D430">
        <v>247</v>
      </c>
      <c r="E430" s="126" t="s">
        <v>2001</v>
      </c>
      <c r="F430" s="122" t="s">
        <v>1607</v>
      </c>
      <c r="G430" s="122" t="s">
        <v>134</v>
      </c>
      <c r="H430">
        <v>23</v>
      </c>
      <c r="I430" s="122" t="s">
        <v>1546</v>
      </c>
      <c r="J430" s="307" t="s">
        <v>214</v>
      </c>
      <c r="K430" s="127" t="s">
        <v>3398</v>
      </c>
      <c r="L430" s="151" t="s">
        <v>118</v>
      </c>
      <c r="M430">
        <v>32</v>
      </c>
      <c r="N430" s="123">
        <v>1</v>
      </c>
      <c r="O430">
        <v>268</v>
      </c>
      <c r="P430" s="132" t="s">
        <v>77</v>
      </c>
      <c r="Q430" s="131">
        <v>33253.519999999997</v>
      </c>
      <c r="R430" s="131">
        <v>5320.56</v>
      </c>
      <c r="S430" s="131"/>
      <c r="T430" s="155">
        <v>0</v>
      </c>
      <c r="U430" s="131">
        <v>0</v>
      </c>
      <c r="V430" s="131">
        <v>38574.079999999994</v>
      </c>
      <c r="W430">
        <v>25</v>
      </c>
      <c r="X430" s="151" t="s">
        <v>105</v>
      </c>
      <c r="Y430" s="135" t="s">
        <v>55</v>
      </c>
      <c r="Z430" s="307">
        <v>210</v>
      </c>
      <c r="AB430" t="str">
        <f>IF(Table1[[#This Row],[TIPO2]]="costo", VLOOKUP(Table1[[#This Row],[PARTIDA PRESUPUESTAL]],'Cost Report'!G:G,1,0),"Balance")</f>
        <v>3683-109</v>
      </c>
      <c r="AC430" s="118"/>
      <c r="AD430" s="159">
        <f>+Table1[[#This Row],[SUBTOTAL]]+Table1[[#This Row],[IVA]]-Table1[[#This Row],[RET IVA]]-Table1[[#This Row],[RET ISR]]-Table1[[#This Row],[TOTAL]]</f>
        <v>0</v>
      </c>
      <c r="AE430" s="150"/>
      <c r="AF430" s="151"/>
      <c r="AG430" s="126"/>
      <c r="AK430" s="306" t="str">
        <f>IF(ISNUMBER(Table1[[#This Row],[FECHA DE RECIBIDO]]), Table1[[#This Row],[FECHA DE RECIBIDO]]-DATE(2023,8,30), "")</f>
        <v/>
      </c>
    </row>
    <row r="431" spans="1:37" ht="16.05" customHeight="1">
      <c r="A431" s="152"/>
      <c r="B431" s="153"/>
      <c r="C431" s="126" t="s">
        <v>2909</v>
      </c>
      <c r="D431">
        <v>247</v>
      </c>
      <c r="E431" s="126" t="s">
        <v>2001</v>
      </c>
      <c r="F431" s="125" t="s">
        <v>1607</v>
      </c>
      <c r="G431" s="125" t="s">
        <v>134</v>
      </c>
      <c r="H431">
        <v>23</v>
      </c>
      <c r="I431" s="125" t="s">
        <v>1546</v>
      </c>
      <c r="J431" s="308" t="s">
        <v>214</v>
      </c>
      <c r="K431" s="127" t="s">
        <v>3398</v>
      </c>
      <c r="L431" s="153" t="s">
        <v>118</v>
      </c>
      <c r="M431">
        <v>32</v>
      </c>
      <c r="N431" s="123">
        <v>1</v>
      </c>
      <c r="O431">
        <v>268</v>
      </c>
      <c r="P431" s="132" t="s">
        <v>77</v>
      </c>
      <c r="Q431" s="132">
        <v>16626.759999999998</v>
      </c>
      <c r="R431" s="132">
        <v>2660.28</v>
      </c>
      <c r="S431" s="132"/>
      <c r="T431" s="156">
        <v>0</v>
      </c>
      <c r="U431" s="132">
        <v>0</v>
      </c>
      <c r="V431" s="132">
        <v>19287.039999999997</v>
      </c>
      <c r="W431">
        <v>25</v>
      </c>
      <c r="X431" s="153" t="s">
        <v>105</v>
      </c>
      <c r="Y431" s="124" t="s">
        <v>55</v>
      </c>
      <c r="Z431" s="308">
        <v>210</v>
      </c>
      <c r="AB431" t="str">
        <f>IF(Table1[[#This Row],[TIPO2]]="costo", VLOOKUP(Table1[[#This Row],[PARTIDA PRESUPUESTAL]],'Cost Report'!G:G,1,0),"Balance")</f>
        <v>3683-158</v>
      </c>
      <c r="AC431" s="118"/>
      <c r="AD431" s="159">
        <f>+Table1[[#This Row],[SUBTOTAL]]+Table1[[#This Row],[IVA]]-Table1[[#This Row],[RET IVA]]-Table1[[#This Row],[RET ISR]]-Table1[[#This Row],[TOTAL]]</f>
        <v>0</v>
      </c>
      <c r="AE431" s="152"/>
      <c r="AF431" s="153"/>
      <c r="AG431" s="126"/>
      <c r="AK431" s="306" t="str">
        <f>IF(ISNUMBER(Table1[[#This Row],[FECHA DE RECIBIDO]]), Table1[[#This Row],[FECHA DE RECIBIDO]]-DATE(2023,8,30), "")</f>
        <v/>
      </c>
    </row>
    <row r="432" spans="1:37" ht="16.05" customHeight="1">
      <c r="A432" s="150"/>
      <c r="B432" s="151"/>
      <c r="C432" s="126" t="s">
        <v>2909</v>
      </c>
      <c r="D432">
        <v>247</v>
      </c>
      <c r="E432" s="126" t="s">
        <v>2001</v>
      </c>
      <c r="F432" s="122" t="s">
        <v>1607</v>
      </c>
      <c r="G432" s="122" t="s">
        <v>134</v>
      </c>
      <c r="H432">
        <v>23</v>
      </c>
      <c r="I432" s="122" t="s">
        <v>1546</v>
      </c>
      <c r="J432" s="307" t="s">
        <v>214</v>
      </c>
      <c r="K432" s="127" t="s">
        <v>3398</v>
      </c>
      <c r="L432" s="151" t="s">
        <v>118</v>
      </c>
      <c r="M432">
        <v>32</v>
      </c>
      <c r="N432" s="123">
        <v>1</v>
      </c>
      <c r="O432">
        <v>268</v>
      </c>
      <c r="P432" s="132" t="s">
        <v>77</v>
      </c>
      <c r="Q432" s="131">
        <v>16626.759999999998</v>
      </c>
      <c r="R432" s="131">
        <v>2660.28</v>
      </c>
      <c r="S432" s="131"/>
      <c r="T432" s="155">
        <v>0</v>
      </c>
      <c r="U432" s="131">
        <v>0</v>
      </c>
      <c r="V432" s="131">
        <v>19287.039999999997</v>
      </c>
      <c r="W432">
        <v>25</v>
      </c>
      <c r="X432" s="151" t="s">
        <v>105</v>
      </c>
      <c r="Y432" s="135" t="s">
        <v>55</v>
      </c>
      <c r="Z432" s="307">
        <v>210</v>
      </c>
      <c r="AB432" t="str">
        <f>IF(Table1[[#This Row],[TIPO2]]="costo", VLOOKUP(Table1[[#This Row],[PARTIDA PRESUPUESTAL]],'Cost Report'!G:G,1,0),"Balance")</f>
        <v>3683-158</v>
      </c>
      <c r="AC432" s="118"/>
      <c r="AD432" s="159">
        <f>+Table1[[#This Row],[SUBTOTAL]]+Table1[[#This Row],[IVA]]-Table1[[#This Row],[RET IVA]]-Table1[[#This Row],[RET ISR]]-Table1[[#This Row],[TOTAL]]</f>
        <v>0</v>
      </c>
      <c r="AE432" s="150"/>
      <c r="AF432" s="151"/>
      <c r="AG432" s="126"/>
      <c r="AK432" s="306" t="str">
        <f>IF(ISNUMBER(Table1[[#This Row],[FECHA DE RECIBIDO]]), Table1[[#This Row],[FECHA DE RECIBIDO]]-DATE(2023,8,30), "")</f>
        <v/>
      </c>
    </row>
    <row r="433" spans="1:37" ht="16.05" customHeight="1">
      <c r="A433" s="152"/>
      <c r="B433" s="153"/>
      <c r="C433" s="126" t="s">
        <v>2916</v>
      </c>
      <c r="D433">
        <v>247</v>
      </c>
      <c r="E433" s="126" t="s">
        <v>2001</v>
      </c>
      <c r="F433" s="125" t="s">
        <v>1607</v>
      </c>
      <c r="G433" s="125" t="s">
        <v>134</v>
      </c>
      <c r="H433">
        <v>23</v>
      </c>
      <c r="I433" s="125" t="s">
        <v>1546</v>
      </c>
      <c r="J433" s="308" t="s">
        <v>214</v>
      </c>
      <c r="K433" s="127" t="s">
        <v>3398</v>
      </c>
      <c r="L433" s="153" t="s">
        <v>118</v>
      </c>
      <c r="M433">
        <v>32</v>
      </c>
      <c r="N433" s="123">
        <v>1</v>
      </c>
      <c r="O433">
        <v>268</v>
      </c>
      <c r="P433" s="132" t="s">
        <v>77</v>
      </c>
      <c r="Q433" s="132">
        <v>5407.94</v>
      </c>
      <c r="R433" s="132">
        <v>865.27</v>
      </c>
      <c r="S433" s="132"/>
      <c r="T433" s="156">
        <v>0</v>
      </c>
      <c r="U433" s="132">
        <v>0</v>
      </c>
      <c r="V433" s="132">
        <v>6273.2099999999991</v>
      </c>
      <c r="W433">
        <v>25</v>
      </c>
      <c r="X433" s="153" t="s">
        <v>105</v>
      </c>
      <c r="Y433" s="124" t="s">
        <v>55</v>
      </c>
      <c r="Z433" s="308">
        <v>210</v>
      </c>
      <c r="AB433" t="str">
        <f>IF(Table1[[#This Row],[TIPO2]]="costo", VLOOKUP(Table1[[#This Row],[PARTIDA PRESUPUESTAL]],'Cost Report'!G:G,1,0),"Balance")</f>
        <v>3683-171</v>
      </c>
      <c r="AC433" s="118"/>
      <c r="AD433" s="159">
        <f>+Table1[[#This Row],[SUBTOTAL]]+Table1[[#This Row],[IVA]]-Table1[[#This Row],[RET IVA]]-Table1[[#This Row],[RET ISR]]-Table1[[#This Row],[TOTAL]]</f>
        <v>0</v>
      </c>
      <c r="AE433" s="152"/>
      <c r="AF433" s="153"/>
      <c r="AG433" s="126"/>
      <c r="AK433" s="306" t="str">
        <f>IF(ISNUMBER(Table1[[#This Row],[FECHA DE RECIBIDO]]), Table1[[#This Row],[FECHA DE RECIBIDO]]-DATE(2023,8,30), "")</f>
        <v/>
      </c>
    </row>
    <row r="434" spans="1:37" ht="16.05" customHeight="1">
      <c r="A434" s="150"/>
      <c r="B434" s="151"/>
      <c r="C434" s="126" t="s">
        <v>2907</v>
      </c>
      <c r="D434">
        <v>247</v>
      </c>
      <c r="E434" s="126" t="s">
        <v>2001</v>
      </c>
      <c r="F434" s="122" t="s">
        <v>1607</v>
      </c>
      <c r="G434" s="122" t="s">
        <v>134</v>
      </c>
      <c r="H434">
        <v>23</v>
      </c>
      <c r="I434" s="122" t="s">
        <v>1546</v>
      </c>
      <c r="J434" s="307" t="s">
        <v>214</v>
      </c>
      <c r="K434" s="127" t="s">
        <v>3398</v>
      </c>
      <c r="L434" s="151" t="s">
        <v>118</v>
      </c>
      <c r="M434">
        <v>32</v>
      </c>
      <c r="N434" s="123">
        <v>1</v>
      </c>
      <c r="O434">
        <v>268</v>
      </c>
      <c r="P434" s="132" t="s">
        <v>77</v>
      </c>
      <c r="Q434" s="131">
        <v>2969.06</v>
      </c>
      <c r="R434" s="131">
        <v>475.05</v>
      </c>
      <c r="S434" s="131"/>
      <c r="T434" s="155">
        <v>0</v>
      </c>
      <c r="U434" s="131">
        <v>0</v>
      </c>
      <c r="V434" s="131">
        <v>3444.11</v>
      </c>
      <c r="W434">
        <v>25</v>
      </c>
      <c r="X434" s="151" t="s">
        <v>105</v>
      </c>
      <c r="Y434" s="135" t="s">
        <v>55</v>
      </c>
      <c r="Z434" s="307">
        <v>210</v>
      </c>
      <c r="AB434" t="str">
        <f>IF(Table1[[#This Row],[TIPO2]]="costo", VLOOKUP(Table1[[#This Row],[PARTIDA PRESUPUESTAL]],'Cost Report'!G:G,1,0),"Balance")</f>
        <v>3683-154</v>
      </c>
      <c r="AC434" s="118"/>
      <c r="AD434" s="159">
        <f>+Table1[[#This Row],[SUBTOTAL]]+Table1[[#This Row],[IVA]]-Table1[[#This Row],[RET IVA]]-Table1[[#This Row],[RET ISR]]-Table1[[#This Row],[TOTAL]]</f>
        <v>0</v>
      </c>
      <c r="AE434" s="150"/>
      <c r="AF434" s="151"/>
      <c r="AG434" s="126"/>
      <c r="AK434" s="306" t="str">
        <f>IF(ISNUMBER(Table1[[#This Row],[FECHA DE RECIBIDO]]), Table1[[#This Row],[FECHA DE RECIBIDO]]-DATE(2023,8,30), "")</f>
        <v/>
      </c>
    </row>
    <row r="435" spans="1:37" ht="16.05" customHeight="1">
      <c r="A435" s="152" t="s">
        <v>1910</v>
      </c>
      <c r="B435" s="153">
        <v>180</v>
      </c>
      <c r="C435" s="126" t="s">
        <v>2973</v>
      </c>
      <c r="D435">
        <v>248</v>
      </c>
      <c r="E435" s="126">
        <v>45900</v>
      </c>
      <c r="F435" s="125">
        <v>601</v>
      </c>
      <c r="G435" s="125" t="s">
        <v>134</v>
      </c>
      <c r="H435">
        <v>86</v>
      </c>
      <c r="I435" s="125" t="s">
        <v>1546</v>
      </c>
      <c r="J435" s="308">
        <v>197.63482638888672</v>
      </c>
      <c r="K435" s="127" t="s">
        <v>1785</v>
      </c>
      <c r="L435" s="153" t="s">
        <v>118</v>
      </c>
      <c r="M435">
        <v>116</v>
      </c>
      <c r="N435" s="123">
        <v>1</v>
      </c>
      <c r="O435">
        <v>269</v>
      </c>
      <c r="P435" s="132" t="s">
        <v>77</v>
      </c>
      <c r="Q435" s="132">
        <v>29344.44</v>
      </c>
      <c r="R435" s="132">
        <f t="shared" ref="R435:R440" si="7">Q435*0.16</f>
        <v>4695.1103999999996</v>
      </c>
      <c r="S435" s="132">
        <v>0</v>
      </c>
      <c r="T435" s="156">
        <v>0</v>
      </c>
      <c r="U435" s="132">
        <v>0</v>
      </c>
      <c r="V435" s="132">
        <f t="shared" ref="V435:V440" si="8">Q435+R435</f>
        <v>34039.5504</v>
      </c>
      <c r="W435">
        <v>59</v>
      </c>
      <c r="X435" s="153" t="s">
        <v>1912</v>
      </c>
      <c r="Y435" s="124" t="s">
        <v>55</v>
      </c>
      <c r="Z435" s="308" t="s">
        <v>214</v>
      </c>
      <c r="AB435" t="str">
        <f>IF(Table1[[#This Row],[TIPO2]]="costo", VLOOKUP(Table1[[#This Row],[PARTIDA PRESUPUESTAL]],'Cost Report'!G:G,1,0),"Balance")</f>
        <v>3902-061</v>
      </c>
      <c r="AC435" s="118"/>
      <c r="AD435" s="159">
        <f>+Table1[[#This Row],[SUBTOTAL]]+Table1[[#This Row],[IVA]]-Table1[[#This Row],[RET IVA]]-Table1[[#This Row],[RET ISR]]-Table1[[#This Row],[TOTAL]]</f>
        <v>0</v>
      </c>
      <c r="AE435" s="152"/>
      <c r="AF435" s="153"/>
      <c r="AG435" s="126"/>
      <c r="AK435" s="306">
        <f>IF(ISNUMBER(Table1[[#This Row],[FECHA DE RECIBIDO]]), Table1[[#This Row],[FECHA DE RECIBIDO]]-DATE(2023,8,30), "")</f>
        <v>-44970.365173611113</v>
      </c>
    </row>
    <row r="436" spans="1:37" ht="16.05" customHeight="1">
      <c r="A436" s="150"/>
      <c r="B436" s="151"/>
      <c r="C436" s="126" t="s">
        <v>2975</v>
      </c>
      <c r="D436">
        <v>248</v>
      </c>
      <c r="E436" s="126">
        <v>45900</v>
      </c>
      <c r="F436" s="122">
        <v>601</v>
      </c>
      <c r="G436" s="122" t="s">
        <v>134</v>
      </c>
      <c r="H436">
        <v>86</v>
      </c>
      <c r="I436" s="122" t="s">
        <v>1546</v>
      </c>
      <c r="J436" s="307">
        <v>197.63482638888672</v>
      </c>
      <c r="K436" s="127" t="s">
        <v>1785</v>
      </c>
      <c r="L436" s="151" t="s">
        <v>118</v>
      </c>
      <c r="M436">
        <v>116</v>
      </c>
      <c r="N436" s="123">
        <v>1</v>
      </c>
      <c r="O436">
        <v>269</v>
      </c>
      <c r="P436" s="132" t="s">
        <v>77</v>
      </c>
      <c r="Q436" s="131">
        <v>4800</v>
      </c>
      <c r="R436" s="131">
        <f t="shared" si="7"/>
        <v>768</v>
      </c>
      <c r="S436" s="131">
        <v>0</v>
      </c>
      <c r="T436" s="155">
        <v>0</v>
      </c>
      <c r="U436" s="131">
        <v>0</v>
      </c>
      <c r="V436" s="131">
        <f t="shared" si="8"/>
        <v>5568</v>
      </c>
      <c r="W436">
        <v>59</v>
      </c>
      <c r="X436" s="151" t="s">
        <v>1912</v>
      </c>
      <c r="Y436" s="135" t="s">
        <v>55</v>
      </c>
      <c r="Z436" s="307" t="s">
        <v>214</v>
      </c>
      <c r="AB436" t="str">
        <f>IF(Table1[[#This Row],[TIPO2]]="costo", VLOOKUP(Table1[[#This Row],[PARTIDA PRESUPUESTAL]],'Cost Report'!G:G,1,0),"Balance")</f>
        <v>3902-065</v>
      </c>
      <c r="AC436" s="118"/>
      <c r="AD436" s="159">
        <f>+Table1[[#This Row],[SUBTOTAL]]+Table1[[#This Row],[IVA]]-Table1[[#This Row],[RET IVA]]-Table1[[#This Row],[RET ISR]]-Table1[[#This Row],[TOTAL]]</f>
        <v>0</v>
      </c>
      <c r="AE436" s="150"/>
      <c r="AF436" s="151"/>
      <c r="AG436" s="126"/>
      <c r="AK436" s="306">
        <f>IF(ISNUMBER(Table1[[#This Row],[FECHA DE RECIBIDO]]), Table1[[#This Row],[FECHA DE RECIBIDO]]-DATE(2023,8,30), "")</f>
        <v>-44970.365173611113</v>
      </c>
    </row>
    <row r="437" spans="1:37" ht="16.05" customHeight="1">
      <c r="A437" s="152"/>
      <c r="B437" s="153"/>
      <c r="C437" s="126" t="s">
        <v>2971</v>
      </c>
      <c r="D437">
        <v>248</v>
      </c>
      <c r="E437" s="126">
        <v>45900</v>
      </c>
      <c r="F437" s="125">
        <v>601</v>
      </c>
      <c r="G437" s="125" t="s">
        <v>134</v>
      </c>
      <c r="H437">
        <v>86</v>
      </c>
      <c r="I437" s="125" t="s">
        <v>1546</v>
      </c>
      <c r="J437" s="308">
        <v>197.63482638888672</v>
      </c>
      <c r="K437" s="127" t="s">
        <v>1785</v>
      </c>
      <c r="L437" s="153" t="s">
        <v>118</v>
      </c>
      <c r="M437">
        <v>116</v>
      </c>
      <c r="N437" s="123">
        <v>1</v>
      </c>
      <c r="O437">
        <v>269</v>
      </c>
      <c r="P437" s="132" t="s">
        <v>77</v>
      </c>
      <c r="Q437" s="132">
        <v>14672.22</v>
      </c>
      <c r="R437" s="132">
        <f t="shared" si="7"/>
        <v>2347.5551999999998</v>
      </c>
      <c r="S437" s="132">
        <v>0</v>
      </c>
      <c r="T437" s="156">
        <v>0</v>
      </c>
      <c r="U437" s="132">
        <v>0</v>
      </c>
      <c r="V437" s="132">
        <f t="shared" si="8"/>
        <v>17019.7752</v>
      </c>
      <c r="W437">
        <v>59</v>
      </c>
      <c r="X437" s="153" t="s">
        <v>1912</v>
      </c>
      <c r="Y437" s="124" t="s">
        <v>55</v>
      </c>
      <c r="Z437" s="308" t="s">
        <v>214</v>
      </c>
      <c r="AB437" t="str">
        <f>IF(Table1[[#This Row],[TIPO2]]="costo", VLOOKUP(Table1[[#This Row],[PARTIDA PRESUPUESTAL]],'Cost Report'!G:G,1,0),"Balance")</f>
        <v>3902-057</v>
      </c>
      <c r="AC437" s="118"/>
      <c r="AD437" s="159">
        <f>+Table1[[#This Row],[SUBTOTAL]]+Table1[[#This Row],[IVA]]-Table1[[#This Row],[RET IVA]]-Table1[[#This Row],[RET ISR]]-Table1[[#This Row],[TOTAL]]</f>
        <v>0</v>
      </c>
      <c r="AE437" s="152"/>
      <c r="AF437" s="153"/>
      <c r="AG437" s="126"/>
      <c r="AK437" s="306">
        <f>IF(ISNUMBER(Table1[[#This Row],[FECHA DE RECIBIDO]]), Table1[[#This Row],[FECHA DE RECIBIDO]]-DATE(2023,8,30), "")</f>
        <v>-44970.365173611113</v>
      </c>
    </row>
    <row r="438" spans="1:37" ht="16.05" customHeight="1">
      <c r="A438" s="150"/>
      <c r="B438" s="151"/>
      <c r="C438" s="126" t="s">
        <v>2975</v>
      </c>
      <c r="D438">
        <v>248</v>
      </c>
      <c r="E438" s="126">
        <v>45900</v>
      </c>
      <c r="F438" s="122">
        <v>601</v>
      </c>
      <c r="G438" s="122" t="s">
        <v>134</v>
      </c>
      <c r="H438">
        <v>86</v>
      </c>
      <c r="I438" s="122" t="s">
        <v>1546</v>
      </c>
      <c r="J438" s="307">
        <v>197.63482638888672</v>
      </c>
      <c r="K438" s="127" t="s">
        <v>1785</v>
      </c>
      <c r="L438" s="151" t="s">
        <v>118</v>
      </c>
      <c r="M438">
        <v>116</v>
      </c>
      <c r="N438" s="123">
        <v>1</v>
      </c>
      <c r="O438">
        <v>269</v>
      </c>
      <c r="P438" s="132" t="s">
        <v>77</v>
      </c>
      <c r="Q438" s="131">
        <v>4800</v>
      </c>
      <c r="R438" s="131">
        <f t="shared" si="7"/>
        <v>768</v>
      </c>
      <c r="S438" s="131">
        <v>0</v>
      </c>
      <c r="T438" s="155">
        <v>0</v>
      </c>
      <c r="U438" s="131">
        <v>0</v>
      </c>
      <c r="V438" s="131">
        <f t="shared" si="8"/>
        <v>5568</v>
      </c>
      <c r="W438">
        <v>59</v>
      </c>
      <c r="X438" s="151" t="s">
        <v>1912</v>
      </c>
      <c r="Y438" s="135" t="s">
        <v>55</v>
      </c>
      <c r="Z438" s="307" t="s">
        <v>214</v>
      </c>
      <c r="AB438" t="str">
        <f>IF(Table1[[#This Row],[TIPO2]]="costo", VLOOKUP(Table1[[#This Row],[PARTIDA PRESUPUESTAL]],'Cost Report'!G:G,1,0),"Balance")</f>
        <v>3902-065</v>
      </c>
      <c r="AC438" s="118"/>
      <c r="AD438" s="159">
        <f>+Table1[[#This Row],[SUBTOTAL]]+Table1[[#This Row],[IVA]]-Table1[[#This Row],[RET IVA]]-Table1[[#This Row],[RET ISR]]-Table1[[#This Row],[TOTAL]]</f>
        <v>0</v>
      </c>
      <c r="AE438" s="150"/>
      <c r="AF438" s="151"/>
      <c r="AG438" s="126"/>
      <c r="AK438" s="306">
        <f>IF(ISNUMBER(Table1[[#This Row],[FECHA DE RECIBIDO]]), Table1[[#This Row],[FECHA DE RECIBIDO]]-DATE(2023,8,30), "")</f>
        <v>-44970.365173611113</v>
      </c>
    </row>
    <row r="439" spans="1:37" ht="16.05" customHeight="1">
      <c r="A439" s="152"/>
      <c r="B439" s="153"/>
      <c r="C439" s="126" t="s">
        <v>2970</v>
      </c>
      <c r="D439">
        <v>248</v>
      </c>
      <c r="E439" s="126">
        <v>45900</v>
      </c>
      <c r="F439" s="125">
        <v>601</v>
      </c>
      <c r="G439" s="125" t="s">
        <v>134</v>
      </c>
      <c r="H439">
        <v>86</v>
      </c>
      <c r="I439" s="125" t="s">
        <v>1546</v>
      </c>
      <c r="J439" s="308">
        <v>197.63482638888672</v>
      </c>
      <c r="K439" s="127" t="s">
        <v>1785</v>
      </c>
      <c r="L439" s="153" t="s">
        <v>118</v>
      </c>
      <c r="M439">
        <v>116</v>
      </c>
      <c r="N439" s="123">
        <v>1</v>
      </c>
      <c r="O439">
        <v>269</v>
      </c>
      <c r="P439" s="132" t="s">
        <v>77</v>
      </c>
      <c r="Q439" s="132">
        <v>41457.360000000001</v>
      </c>
      <c r="R439" s="132">
        <f t="shared" si="7"/>
        <v>6633.1776</v>
      </c>
      <c r="S439" s="132">
        <v>0</v>
      </c>
      <c r="T439" s="156">
        <v>0</v>
      </c>
      <c r="U439" s="132">
        <v>0</v>
      </c>
      <c r="V439" s="132">
        <f t="shared" si="8"/>
        <v>48090.537600000003</v>
      </c>
      <c r="W439">
        <v>59</v>
      </c>
      <c r="X439" s="153" t="s">
        <v>1912</v>
      </c>
      <c r="Y439" s="124" t="s">
        <v>55</v>
      </c>
      <c r="Z439" s="308" t="s">
        <v>214</v>
      </c>
      <c r="AB439" t="str">
        <f>IF(Table1[[#This Row],[TIPO2]]="costo", VLOOKUP(Table1[[#This Row],[PARTIDA PRESUPUESTAL]],'Cost Report'!G:G,1,0),"Balance")</f>
        <v>3902-056</v>
      </c>
      <c r="AC439" s="118"/>
      <c r="AD439" s="159">
        <f>+Table1[[#This Row],[SUBTOTAL]]+Table1[[#This Row],[IVA]]-Table1[[#This Row],[RET IVA]]-Table1[[#This Row],[RET ISR]]-Table1[[#This Row],[TOTAL]]</f>
        <v>0</v>
      </c>
      <c r="AE439" s="152"/>
      <c r="AF439" s="153"/>
      <c r="AG439" s="126"/>
      <c r="AK439" s="306">
        <f>IF(ISNUMBER(Table1[[#This Row],[FECHA DE RECIBIDO]]), Table1[[#This Row],[FECHA DE RECIBIDO]]-DATE(2023,8,30), "")</f>
        <v>-44970.365173611113</v>
      </c>
    </row>
    <row r="440" spans="1:37" ht="16.05" customHeight="1">
      <c r="A440" s="150"/>
      <c r="B440" s="151"/>
      <c r="C440" s="126" t="s">
        <v>2970</v>
      </c>
      <c r="D440">
        <v>248</v>
      </c>
      <c r="E440" s="126">
        <v>45900</v>
      </c>
      <c r="F440" s="125">
        <v>601</v>
      </c>
      <c r="G440" s="125" t="s">
        <v>134</v>
      </c>
      <c r="H440">
        <v>86</v>
      </c>
      <c r="I440" s="125" t="s">
        <v>1546</v>
      </c>
      <c r="J440" s="308">
        <v>197.63482638888672</v>
      </c>
      <c r="K440" s="127" t="s">
        <v>1785</v>
      </c>
      <c r="L440" s="151" t="s">
        <v>118</v>
      </c>
      <c r="M440">
        <v>116</v>
      </c>
      <c r="N440" s="123">
        <v>1</v>
      </c>
      <c r="O440">
        <v>269</v>
      </c>
      <c r="P440" s="132" t="s">
        <v>77</v>
      </c>
      <c r="Q440" s="131">
        <v>40000</v>
      </c>
      <c r="R440" s="131">
        <f t="shared" si="7"/>
        <v>6400</v>
      </c>
      <c r="S440" s="131">
        <v>0</v>
      </c>
      <c r="T440" s="155">
        <v>0</v>
      </c>
      <c r="U440" s="131">
        <v>0</v>
      </c>
      <c r="V440" s="131">
        <f t="shared" si="8"/>
        <v>46400</v>
      </c>
      <c r="W440">
        <v>59</v>
      </c>
      <c r="X440" s="151" t="s">
        <v>1912</v>
      </c>
      <c r="Y440" s="135" t="s">
        <v>55</v>
      </c>
      <c r="Z440" s="307" t="s">
        <v>214</v>
      </c>
      <c r="AB440" t="str">
        <f>IF(Table1[[#This Row],[TIPO2]]="costo", VLOOKUP(Table1[[#This Row],[PARTIDA PRESUPUESTAL]],'Cost Report'!G:G,1,0),"Balance")</f>
        <v>3902-056</v>
      </c>
      <c r="AC440" s="118"/>
      <c r="AD440" s="159">
        <f>+Table1[[#This Row],[SUBTOTAL]]+Table1[[#This Row],[IVA]]-Table1[[#This Row],[RET IVA]]-Table1[[#This Row],[RET ISR]]-Table1[[#This Row],[TOTAL]]</f>
        <v>0</v>
      </c>
      <c r="AE440" s="150"/>
      <c r="AF440" s="151"/>
      <c r="AG440" s="126"/>
      <c r="AK440" s="306">
        <f>IF(ISNUMBER(Table1[[#This Row],[FECHA DE RECIBIDO]]), Table1[[#This Row],[FECHA DE RECIBIDO]]-DATE(2023,8,30), "")</f>
        <v>-44970.365173611113</v>
      </c>
    </row>
    <row r="441" spans="1:37" ht="16.05" customHeight="1">
      <c r="A441" s="152" t="s">
        <v>1913</v>
      </c>
      <c r="B441" s="153">
        <v>182</v>
      </c>
      <c r="C441" s="126" t="s">
        <v>2755</v>
      </c>
      <c r="D441">
        <v>249</v>
      </c>
      <c r="E441" s="126" t="s">
        <v>1988</v>
      </c>
      <c r="F441" s="125" t="s">
        <v>1589</v>
      </c>
      <c r="G441" s="125" t="s">
        <v>129</v>
      </c>
      <c r="H441">
        <v>87</v>
      </c>
      <c r="I441" s="125" t="s">
        <v>1546</v>
      </c>
      <c r="J441" s="308" t="s">
        <v>214</v>
      </c>
      <c r="K441" s="127" t="s">
        <v>1785</v>
      </c>
      <c r="L441" s="153" t="s">
        <v>1914</v>
      </c>
      <c r="M441">
        <v>117</v>
      </c>
      <c r="N441" s="123">
        <v>17</v>
      </c>
      <c r="O441">
        <v>270</v>
      </c>
      <c r="P441" s="132" t="s">
        <v>77</v>
      </c>
      <c r="Q441" s="132">
        <v>472.25</v>
      </c>
      <c r="R441" s="132">
        <v>75.56</v>
      </c>
      <c r="S441" s="132"/>
      <c r="T441" s="156"/>
      <c r="U441" s="132"/>
      <c r="V441" s="132">
        <f t="shared" ref="V441:V481" si="9">+Q441+R441-T441-U441</f>
        <v>547.80999999999995</v>
      </c>
      <c r="W441">
        <v>60</v>
      </c>
      <c r="X441" s="153" t="s">
        <v>1644</v>
      </c>
      <c r="Y441" s="124" t="s">
        <v>55</v>
      </c>
      <c r="Z441" s="308">
        <v>197</v>
      </c>
      <c r="AB441" t="str">
        <f>IF(Table1[[#This Row],[TIPO2]]="costo", VLOOKUP(Table1[[#This Row],[PARTIDA PRESUPUESTAL]],'Cost Report'!G:G,1,0),"Balance")</f>
        <v>3401-017</v>
      </c>
      <c r="AC441" s="118"/>
      <c r="AD441" s="159">
        <f>+Table1[[#This Row],[SUBTOTAL]]+Table1[[#This Row],[IVA]]-Table1[[#This Row],[RET IVA]]-Table1[[#This Row],[RET ISR]]-Table1[[#This Row],[TOTAL]]</f>
        <v>0</v>
      </c>
      <c r="AE441" s="152"/>
      <c r="AF441" s="153"/>
      <c r="AG441" s="126"/>
      <c r="AK441" s="306" t="str">
        <f>IF(ISNUMBER(Table1[[#This Row],[FECHA DE RECIBIDO]]), Table1[[#This Row],[FECHA DE RECIBIDO]]-DATE(2023,8,30), "")</f>
        <v/>
      </c>
    </row>
    <row r="442" spans="1:37" ht="16.05" customHeight="1">
      <c r="A442" s="150" t="s">
        <v>1913</v>
      </c>
      <c r="B442" s="151">
        <v>182</v>
      </c>
      <c r="C442" s="126" t="s">
        <v>2874</v>
      </c>
      <c r="D442">
        <v>250</v>
      </c>
      <c r="E442" s="126" t="s">
        <v>1598</v>
      </c>
      <c r="F442" s="122" t="s">
        <v>1607</v>
      </c>
      <c r="G442" s="122" t="s">
        <v>134</v>
      </c>
      <c r="H442">
        <v>88</v>
      </c>
      <c r="I442" s="122" t="s">
        <v>1546</v>
      </c>
      <c r="J442" s="307" t="s">
        <v>214</v>
      </c>
      <c r="K442" s="127" t="s">
        <v>1785</v>
      </c>
      <c r="L442" s="151" t="s">
        <v>1914</v>
      </c>
      <c r="M442">
        <v>118</v>
      </c>
      <c r="N442" s="123">
        <v>17</v>
      </c>
      <c r="O442">
        <v>271</v>
      </c>
      <c r="P442" s="132" t="s">
        <v>77</v>
      </c>
      <c r="Q442" s="131">
        <v>673.81</v>
      </c>
      <c r="R442" s="131">
        <v>104.98</v>
      </c>
      <c r="S442" s="131"/>
      <c r="T442" s="155"/>
      <c r="U442" s="131"/>
      <c r="V442" s="131">
        <f t="shared" si="9"/>
        <v>778.79</v>
      </c>
      <c r="W442">
        <v>60</v>
      </c>
      <c r="X442" s="151" t="s">
        <v>1644</v>
      </c>
      <c r="Y442" s="135" t="s">
        <v>55</v>
      </c>
      <c r="Z442" s="307">
        <v>197</v>
      </c>
      <c r="AB442" t="str">
        <f>IF(Table1[[#This Row],[TIPO2]]="costo", VLOOKUP(Table1[[#This Row],[PARTIDA PRESUPUESTAL]],'Cost Report'!G:G,1,0),"Balance")</f>
        <v>3632-019</v>
      </c>
      <c r="AC442" s="118"/>
      <c r="AD442" s="159">
        <f>+Table1[[#This Row],[SUBTOTAL]]+Table1[[#This Row],[IVA]]-Table1[[#This Row],[RET IVA]]-Table1[[#This Row],[RET ISR]]-Table1[[#This Row],[TOTAL]]</f>
        <v>0</v>
      </c>
      <c r="AE442" s="150"/>
      <c r="AF442" s="151"/>
      <c r="AG442" s="126"/>
      <c r="AK442" s="306" t="str">
        <f>IF(ISNUMBER(Table1[[#This Row],[FECHA DE RECIBIDO]]), Table1[[#This Row],[FECHA DE RECIBIDO]]-DATE(2023,8,30), "")</f>
        <v/>
      </c>
    </row>
    <row r="443" spans="1:37" ht="16.05" customHeight="1">
      <c r="A443" s="152" t="s">
        <v>1913</v>
      </c>
      <c r="B443" s="153">
        <v>182</v>
      </c>
      <c r="C443" s="126" t="s">
        <v>2755</v>
      </c>
      <c r="D443">
        <v>251</v>
      </c>
      <c r="E443" s="126" t="s">
        <v>1993</v>
      </c>
      <c r="F443" s="125" t="s">
        <v>1607</v>
      </c>
      <c r="G443" s="125" t="s">
        <v>134</v>
      </c>
      <c r="H443">
        <v>89</v>
      </c>
      <c r="I443" s="125" t="s">
        <v>1546</v>
      </c>
      <c r="J443" s="308" t="s">
        <v>214</v>
      </c>
      <c r="K443" s="127" t="s">
        <v>1785</v>
      </c>
      <c r="L443" s="153" t="s">
        <v>1914</v>
      </c>
      <c r="M443">
        <v>119</v>
      </c>
      <c r="N443" s="123">
        <v>17</v>
      </c>
      <c r="O443">
        <v>272</v>
      </c>
      <c r="P443" s="132" t="s">
        <v>77</v>
      </c>
      <c r="Q443" s="132">
        <v>350</v>
      </c>
      <c r="R443" s="132">
        <v>56</v>
      </c>
      <c r="S443" s="132"/>
      <c r="T443" s="156"/>
      <c r="U443" s="132"/>
      <c r="V443" s="132">
        <f t="shared" si="9"/>
        <v>406</v>
      </c>
      <c r="W443">
        <v>60</v>
      </c>
      <c r="X443" s="153" t="s">
        <v>1644</v>
      </c>
      <c r="Y443" s="124" t="s">
        <v>55</v>
      </c>
      <c r="Z443" s="308">
        <v>197</v>
      </c>
      <c r="AB443" t="str">
        <f>IF(Table1[[#This Row],[TIPO2]]="costo", VLOOKUP(Table1[[#This Row],[PARTIDA PRESUPUESTAL]],'Cost Report'!G:G,1,0),"Balance")</f>
        <v>3401-017</v>
      </c>
      <c r="AC443" s="118"/>
      <c r="AD443" s="159">
        <f>+Table1[[#This Row],[SUBTOTAL]]+Table1[[#This Row],[IVA]]-Table1[[#This Row],[RET IVA]]-Table1[[#This Row],[RET ISR]]-Table1[[#This Row],[TOTAL]]</f>
        <v>0</v>
      </c>
      <c r="AE443" s="152"/>
      <c r="AF443" s="153"/>
      <c r="AG443" s="126"/>
      <c r="AK443" s="306" t="str">
        <f>IF(ISNUMBER(Table1[[#This Row],[FECHA DE RECIBIDO]]), Table1[[#This Row],[FECHA DE RECIBIDO]]-DATE(2023,8,30), "")</f>
        <v/>
      </c>
    </row>
    <row r="444" spans="1:37" ht="16.05" customHeight="1">
      <c r="A444" s="150" t="s">
        <v>1913</v>
      </c>
      <c r="B444" s="151">
        <v>182</v>
      </c>
      <c r="C444" s="126" t="s">
        <v>2755</v>
      </c>
      <c r="D444">
        <v>252</v>
      </c>
      <c r="E444" s="126" t="s">
        <v>1994</v>
      </c>
      <c r="F444" s="122" t="s">
        <v>1607</v>
      </c>
      <c r="G444" s="122" t="s">
        <v>134</v>
      </c>
      <c r="H444">
        <v>32</v>
      </c>
      <c r="I444" s="122" t="s">
        <v>1546</v>
      </c>
      <c r="J444" s="307" t="s">
        <v>214</v>
      </c>
      <c r="K444" s="127" t="s">
        <v>1785</v>
      </c>
      <c r="L444" s="151" t="s">
        <v>1914</v>
      </c>
      <c r="M444">
        <v>120</v>
      </c>
      <c r="N444" s="123">
        <v>17</v>
      </c>
      <c r="O444">
        <v>273</v>
      </c>
      <c r="P444" s="132" t="s">
        <v>77</v>
      </c>
      <c r="Q444" s="131">
        <v>247.41</v>
      </c>
      <c r="R444" s="131">
        <v>39.590000000000003</v>
      </c>
      <c r="S444" s="131"/>
      <c r="T444" s="155"/>
      <c r="U444" s="131"/>
      <c r="V444" s="131">
        <f t="shared" si="9"/>
        <v>287</v>
      </c>
      <c r="W444">
        <v>60</v>
      </c>
      <c r="X444" s="151" t="s">
        <v>1644</v>
      </c>
      <c r="Y444" s="135" t="s">
        <v>55</v>
      </c>
      <c r="Z444" s="307">
        <v>197</v>
      </c>
      <c r="AB444" t="str">
        <f>IF(Table1[[#This Row],[TIPO2]]="costo", VLOOKUP(Table1[[#This Row],[PARTIDA PRESUPUESTAL]],'Cost Report'!G:G,1,0),"Balance")</f>
        <v>3401-017</v>
      </c>
      <c r="AC444" s="118"/>
      <c r="AD444" s="159">
        <f>+Table1[[#This Row],[SUBTOTAL]]+Table1[[#This Row],[IVA]]-Table1[[#This Row],[RET IVA]]-Table1[[#This Row],[RET ISR]]-Table1[[#This Row],[TOTAL]]</f>
        <v>0</v>
      </c>
      <c r="AE444" s="150"/>
      <c r="AF444" s="151"/>
      <c r="AG444" s="126"/>
      <c r="AK444" s="306" t="str">
        <f>IF(ISNUMBER(Table1[[#This Row],[FECHA DE RECIBIDO]]), Table1[[#This Row],[FECHA DE RECIBIDO]]-DATE(2023,8,30), "")</f>
        <v/>
      </c>
    </row>
    <row r="445" spans="1:37" ht="16.05" customHeight="1">
      <c r="A445" s="152" t="s">
        <v>1913</v>
      </c>
      <c r="B445" s="153">
        <v>182</v>
      </c>
      <c r="C445" s="126" t="s">
        <v>2755</v>
      </c>
      <c r="D445">
        <v>253</v>
      </c>
      <c r="E445" s="126" t="s">
        <v>1995</v>
      </c>
      <c r="F445" s="125" t="s">
        <v>1607</v>
      </c>
      <c r="G445" s="125" t="s">
        <v>134</v>
      </c>
      <c r="H445">
        <v>43</v>
      </c>
      <c r="I445" s="125" t="s">
        <v>1546</v>
      </c>
      <c r="J445" s="308" t="s">
        <v>214</v>
      </c>
      <c r="K445" s="127" t="s">
        <v>1785</v>
      </c>
      <c r="L445" s="153" t="s">
        <v>1914</v>
      </c>
      <c r="M445">
        <v>67</v>
      </c>
      <c r="N445" s="123">
        <v>17</v>
      </c>
      <c r="O445">
        <v>274</v>
      </c>
      <c r="P445" s="132" t="s">
        <v>77</v>
      </c>
      <c r="Q445" s="132">
        <v>83.19</v>
      </c>
      <c r="R445" s="132">
        <v>5.81</v>
      </c>
      <c r="S445" s="132"/>
      <c r="T445" s="156"/>
      <c r="U445" s="132"/>
      <c r="V445" s="132">
        <f t="shared" si="9"/>
        <v>89</v>
      </c>
      <c r="W445">
        <v>60</v>
      </c>
      <c r="X445" s="153" t="s">
        <v>1644</v>
      </c>
      <c r="Y445" s="124" t="s">
        <v>55</v>
      </c>
      <c r="Z445" s="308">
        <v>197</v>
      </c>
      <c r="AB445" t="str">
        <f>IF(Table1[[#This Row],[TIPO2]]="costo", VLOOKUP(Table1[[#This Row],[PARTIDA PRESUPUESTAL]],'Cost Report'!G:G,1,0),"Balance")</f>
        <v>3401-017</v>
      </c>
      <c r="AC445" s="118"/>
      <c r="AD445" s="159">
        <f>+Table1[[#This Row],[SUBTOTAL]]+Table1[[#This Row],[IVA]]-Table1[[#This Row],[RET IVA]]-Table1[[#This Row],[RET ISR]]-Table1[[#This Row],[TOTAL]]</f>
        <v>0</v>
      </c>
      <c r="AE445" s="152"/>
      <c r="AF445" s="153"/>
      <c r="AG445" s="126"/>
      <c r="AK445" s="306" t="str">
        <f>IF(ISNUMBER(Table1[[#This Row],[FECHA DE RECIBIDO]]), Table1[[#This Row],[FECHA DE RECIBIDO]]-DATE(2023,8,30), "")</f>
        <v/>
      </c>
    </row>
    <row r="446" spans="1:37" ht="16.05" customHeight="1">
      <c r="A446" s="150" t="s">
        <v>1913</v>
      </c>
      <c r="B446" s="151">
        <v>182</v>
      </c>
      <c r="C446" s="126" t="s">
        <v>2755</v>
      </c>
      <c r="D446">
        <v>254</v>
      </c>
      <c r="E446" s="126" t="s">
        <v>1996</v>
      </c>
      <c r="F446" s="122" t="s">
        <v>1607</v>
      </c>
      <c r="G446" s="122" t="s">
        <v>134</v>
      </c>
      <c r="H446">
        <v>32</v>
      </c>
      <c r="I446" s="122" t="s">
        <v>1546</v>
      </c>
      <c r="J446" s="307" t="s">
        <v>214</v>
      </c>
      <c r="K446" s="127" t="s">
        <v>1785</v>
      </c>
      <c r="L446" s="151" t="s">
        <v>1914</v>
      </c>
      <c r="M446">
        <v>120</v>
      </c>
      <c r="N446" s="123">
        <v>17</v>
      </c>
      <c r="O446">
        <v>275</v>
      </c>
      <c r="P446" s="132" t="s">
        <v>77</v>
      </c>
      <c r="Q446" s="131">
        <v>237.93</v>
      </c>
      <c r="R446" s="131">
        <v>38.07</v>
      </c>
      <c r="S446" s="131"/>
      <c r="T446" s="155"/>
      <c r="U446" s="131"/>
      <c r="V446" s="131">
        <f t="shared" si="9"/>
        <v>276</v>
      </c>
      <c r="W446">
        <v>60</v>
      </c>
      <c r="X446" s="151" t="s">
        <v>1644</v>
      </c>
      <c r="Y446" s="135" t="s">
        <v>55</v>
      </c>
      <c r="Z446" s="307">
        <v>197</v>
      </c>
      <c r="AB446" t="str">
        <f>IF(Table1[[#This Row],[TIPO2]]="costo", VLOOKUP(Table1[[#This Row],[PARTIDA PRESUPUESTAL]],'Cost Report'!G:G,1,0),"Balance")</f>
        <v>3401-017</v>
      </c>
      <c r="AC446" s="118"/>
      <c r="AD446" s="159">
        <f>+Table1[[#This Row],[SUBTOTAL]]+Table1[[#This Row],[IVA]]-Table1[[#This Row],[RET IVA]]-Table1[[#This Row],[RET ISR]]-Table1[[#This Row],[TOTAL]]</f>
        <v>0</v>
      </c>
      <c r="AE446" s="150"/>
      <c r="AF446" s="151"/>
      <c r="AG446" s="126"/>
      <c r="AK446" s="306" t="str">
        <f>IF(ISNUMBER(Table1[[#This Row],[FECHA DE RECIBIDO]]), Table1[[#This Row],[FECHA DE RECIBIDO]]-DATE(2023,8,30), "")</f>
        <v/>
      </c>
    </row>
    <row r="447" spans="1:37" ht="16.05" customHeight="1">
      <c r="A447" s="152" t="s">
        <v>1913</v>
      </c>
      <c r="B447" s="153">
        <v>182</v>
      </c>
      <c r="C447" s="126" t="s">
        <v>2865</v>
      </c>
      <c r="D447">
        <v>255</v>
      </c>
      <c r="E447" s="126" t="s">
        <v>1997</v>
      </c>
      <c r="F447" s="125" t="s">
        <v>1607</v>
      </c>
      <c r="G447" s="125" t="s">
        <v>134</v>
      </c>
      <c r="H447">
        <v>90</v>
      </c>
      <c r="I447" s="125" t="s">
        <v>1546</v>
      </c>
      <c r="J447" s="308" t="s">
        <v>214</v>
      </c>
      <c r="K447" s="127" t="s">
        <v>1785</v>
      </c>
      <c r="L447" s="153" t="s">
        <v>1914</v>
      </c>
      <c r="M447">
        <v>121</v>
      </c>
      <c r="N447" s="123">
        <v>17</v>
      </c>
      <c r="O447">
        <v>276</v>
      </c>
      <c r="P447" s="132" t="s">
        <v>77</v>
      </c>
      <c r="Q447" s="132">
        <v>601.05999999999995</v>
      </c>
      <c r="R447" s="132">
        <v>92.96</v>
      </c>
      <c r="S447" s="132"/>
      <c r="T447" s="156"/>
      <c r="U447" s="132"/>
      <c r="V447" s="132">
        <f t="shared" si="9"/>
        <v>694.02</v>
      </c>
      <c r="W447">
        <v>60</v>
      </c>
      <c r="X447" s="153" t="s">
        <v>1644</v>
      </c>
      <c r="Y447" s="124" t="s">
        <v>55</v>
      </c>
      <c r="Z447" s="308">
        <v>197</v>
      </c>
      <c r="AB447" t="str">
        <f>IF(Table1[[#This Row],[TIPO2]]="costo", VLOOKUP(Table1[[#This Row],[PARTIDA PRESUPUESTAL]],'Cost Report'!G:G,1,0),"Balance")</f>
        <v>3632-004</v>
      </c>
      <c r="AC447" s="118"/>
      <c r="AD447" s="159">
        <f>+Table1[[#This Row],[SUBTOTAL]]+Table1[[#This Row],[IVA]]-Table1[[#This Row],[RET IVA]]-Table1[[#This Row],[RET ISR]]-Table1[[#This Row],[TOTAL]]</f>
        <v>0</v>
      </c>
      <c r="AE447" s="152"/>
      <c r="AF447" s="153"/>
      <c r="AG447" s="126"/>
      <c r="AK447" s="306" t="str">
        <f>IF(ISNUMBER(Table1[[#This Row],[FECHA DE RECIBIDO]]), Table1[[#This Row],[FECHA DE RECIBIDO]]-DATE(2023,8,30), "")</f>
        <v/>
      </c>
    </row>
    <row r="448" spans="1:37" ht="16.05" customHeight="1">
      <c r="A448" s="150" t="s">
        <v>1913</v>
      </c>
      <c r="B448" s="151">
        <v>182</v>
      </c>
      <c r="C448" s="126" t="s">
        <v>2755</v>
      </c>
      <c r="D448">
        <v>256</v>
      </c>
      <c r="E448" s="126" t="s">
        <v>1998</v>
      </c>
      <c r="F448" s="122" t="s">
        <v>1607</v>
      </c>
      <c r="G448" s="122" t="s">
        <v>134</v>
      </c>
      <c r="H448">
        <v>91</v>
      </c>
      <c r="I448" s="122" t="s">
        <v>1546</v>
      </c>
      <c r="J448" s="307" t="s">
        <v>214</v>
      </c>
      <c r="K448" s="127" t="s">
        <v>1785</v>
      </c>
      <c r="L448" s="151" t="s">
        <v>1914</v>
      </c>
      <c r="M448">
        <v>122</v>
      </c>
      <c r="N448" s="123">
        <v>17</v>
      </c>
      <c r="O448">
        <v>277</v>
      </c>
      <c r="P448" s="132" t="s">
        <v>77</v>
      </c>
      <c r="Q448" s="131">
        <v>33.9</v>
      </c>
      <c r="R448" s="131"/>
      <c r="S448" s="131"/>
      <c r="T448" s="155"/>
      <c r="U448" s="131"/>
      <c r="V448" s="131">
        <f t="shared" si="9"/>
        <v>33.9</v>
      </c>
      <c r="W448">
        <v>60</v>
      </c>
      <c r="X448" s="151" t="s">
        <v>1644</v>
      </c>
      <c r="Y448" s="135" t="s">
        <v>55</v>
      </c>
      <c r="Z448" s="307">
        <v>197</v>
      </c>
      <c r="AB448" t="str">
        <f>IF(Table1[[#This Row],[TIPO2]]="costo", VLOOKUP(Table1[[#This Row],[PARTIDA PRESUPUESTAL]],'Cost Report'!G:G,1,0),"Balance")</f>
        <v>3401-017</v>
      </c>
      <c r="AC448" s="118"/>
      <c r="AD448" s="159">
        <f>+Table1[[#This Row],[SUBTOTAL]]+Table1[[#This Row],[IVA]]-Table1[[#This Row],[RET IVA]]-Table1[[#This Row],[RET ISR]]-Table1[[#This Row],[TOTAL]]</f>
        <v>0</v>
      </c>
      <c r="AE448" s="150"/>
      <c r="AF448" s="151"/>
      <c r="AG448" s="126"/>
      <c r="AK448" s="306" t="str">
        <f>IF(ISNUMBER(Table1[[#This Row],[FECHA DE RECIBIDO]]), Table1[[#This Row],[FECHA DE RECIBIDO]]-DATE(2023,8,30), "")</f>
        <v/>
      </c>
    </row>
    <row r="449" spans="1:37" ht="16.05" customHeight="1">
      <c r="A449" s="152" t="s">
        <v>1913</v>
      </c>
      <c r="B449" s="153">
        <v>182</v>
      </c>
      <c r="C449" s="126" t="s">
        <v>2755</v>
      </c>
      <c r="D449">
        <v>257</v>
      </c>
      <c r="E449" s="126" t="s">
        <v>1999</v>
      </c>
      <c r="F449" s="125" t="s">
        <v>1602</v>
      </c>
      <c r="G449" s="125" t="s">
        <v>1617</v>
      </c>
      <c r="H449">
        <v>92</v>
      </c>
      <c r="I449" s="125" t="s">
        <v>1546</v>
      </c>
      <c r="J449" s="308" t="s">
        <v>214</v>
      </c>
      <c r="K449" s="127" t="s">
        <v>1785</v>
      </c>
      <c r="L449" s="153" t="s">
        <v>1914</v>
      </c>
      <c r="M449">
        <v>123</v>
      </c>
      <c r="N449" s="123">
        <v>17</v>
      </c>
      <c r="O449">
        <v>278</v>
      </c>
      <c r="P449" s="132" t="s">
        <v>77</v>
      </c>
      <c r="Q449" s="132">
        <v>512.07000000000005</v>
      </c>
      <c r="R449" s="132">
        <v>81.93</v>
      </c>
      <c r="S449" s="132"/>
      <c r="T449" s="156"/>
      <c r="U449" s="132"/>
      <c r="V449" s="132">
        <f t="shared" si="9"/>
        <v>594</v>
      </c>
      <c r="W449">
        <v>60</v>
      </c>
      <c r="X449" s="153" t="s">
        <v>1644</v>
      </c>
      <c r="Y449" s="124" t="s">
        <v>55</v>
      </c>
      <c r="Z449" s="308">
        <v>197</v>
      </c>
      <c r="AB449" t="str">
        <f>IF(Table1[[#This Row],[TIPO2]]="costo", VLOOKUP(Table1[[#This Row],[PARTIDA PRESUPUESTAL]],'Cost Report'!G:G,1,0),"Balance")</f>
        <v>3401-017</v>
      </c>
      <c r="AC449" s="118"/>
      <c r="AD449" s="159">
        <f>+Table1[[#This Row],[SUBTOTAL]]+Table1[[#This Row],[IVA]]-Table1[[#This Row],[RET IVA]]-Table1[[#This Row],[RET ISR]]-Table1[[#This Row],[TOTAL]]</f>
        <v>0</v>
      </c>
      <c r="AE449" s="152"/>
      <c r="AF449" s="153"/>
      <c r="AG449" s="126"/>
      <c r="AK449" s="306" t="str">
        <f>IF(ISNUMBER(Table1[[#This Row],[FECHA DE RECIBIDO]]), Table1[[#This Row],[FECHA DE RECIBIDO]]-DATE(2023,8,30), "")</f>
        <v/>
      </c>
    </row>
    <row r="450" spans="1:37" ht="16.05" customHeight="1">
      <c r="A450" s="150" t="s">
        <v>1913</v>
      </c>
      <c r="B450" s="151">
        <v>182</v>
      </c>
      <c r="C450" s="126" t="s">
        <v>2755</v>
      </c>
      <c r="D450">
        <v>258</v>
      </c>
      <c r="E450" s="126" t="s">
        <v>2000</v>
      </c>
      <c r="F450" s="122" t="s">
        <v>1607</v>
      </c>
      <c r="G450" s="122" t="s">
        <v>134</v>
      </c>
      <c r="H450">
        <v>93</v>
      </c>
      <c r="I450" s="122" t="s">
        <v>1546</v>
      </c>
      <c r="J450" s="307" t="s">
        <v>214</v>
      </c>
      <c r="K450" s="127" t="s">
        <v>1785</v>
      </c>
      <c r="L450" s="151" t="s">
        <v>1914</v>
      </c>
      <c r="M450">
        <v>124</v>
      </c>
      <c r="N450" s="123">
        <v>17</v>
      </c>
      <c r="O450">
        <v>279</v>
      </c>
      <c r="P450" s="132" t="s">
        <v>77</v>
      </c>
      <c r="Q450" s="131">
        <v>284.48</v>
      </c>
      <c r="R450" s="131">
        <v>45.52</v>
      </c>
      <c r="S450" s="131"/>
      <c r="T450" s="155"/>
      <c r="U450" s="131"/>
      <c r="V450" s="131">
        <f t="shared" si="9"/>
        <v>330</v>
      </c>
      <c r="W450">
        <v>60</v>
      </c>
      <c r="X450" s="151" t="s">
        <v>1644</v>
      </c>
      <c r="Y450" s="135" t="s">
        <v>55</v>
      </c>
      <c r="Z450" s="307">
        <v>197</v>
      </c>
      <c r="AB450" t="str">
        <f>IF(Table1[[#This Row],[TIPO2]]="costo", VLOOKUP(Table1[[#This Row],[PARTIDA PRESUPUESTAL]],'Cost Report'!G:G,1,0),"Balance")</f>
        <v>3401-017</v>
      </c>
      <c r="AC450" s="118"/>
      <c r="AD450" s="159">
        <f>+Table1[[#This Row],[SUBTOTAL]]+Table1[[#This Row],[IVA]]-Table1[[#This Row],[RET IVA]]-Table1[[#This Row],[RET ISR]]-Table1[[#This Row],[TOTAL]]</f>
        <v>0</v>
      </c>
      <c r="AE450" s="150"/>
      <c r="AF450" s="151"/>
      <c r="AG450" s="126"/>
      <c r="AK450" s="306" t="str">
        <f>IF(ISNUMBER(Table1[[#This Row],[FECHA DE RECIBIDO]]), Table1[[#This Row],[FECHA DE RECIBIDO]]-DATE(2023,8,30), "")</f>
        <v/>
      </c>
    </row>
    <row r="451" spans="1:37" ht="16.05" customHeight="1">
      <c r="A451" s="152" t="s">
        <v>1913</v>
      </c>
      <c r="B451" s="153">
        <v>182</v>
      </c>
      <c r="C451" s="126" t="s">
        <v>2755</v>
      </c>
      <c r="D451"/>
      <c r="E451" s="126"/>
      <c r="F451" s="125"/>
      <c r="G451" s="125"/>
      <c r="H451"/>
      <c r="I451" s="125"/>
      <c r="J451" s="308">
        <v>166</v>
      </c>
      <c r="K451" s="127">
        <v>-3</v>
      </c>
      <c r="L451" s="153" t="s">
        <v>1914</v>
      </c>
      <c r="M451">
        <v>125</v>
      </c>
      <c r="N451" s="123">
        <v>17</v>
      </c>
      <c r="O451">
        <v>280</v>
      </c>
      <c r="P451" s="132" t="s">
        <v>77</v>
      </c>
      <c r="Q451" s="132">
        <v>352</v>
      </c>
      <c r="R451" s="132"/>
      <c r="S451" s="132"/>
      <c r="T451" s="156"/>
      <c r="U451" s="132"/>
      <c r="V451" s="132">
        <f t="shared" si="9"/>
        <v>352</v>
      </c>
      <c r="W451">
        <v>60</v>
      </c>
      <c r="X451" s="153" t="s">
        <v>195</v>
      </c>
      <c r="Y451" s="124" t="s">
        <v>55</v>
      </c>
      <c r="Z451" s="308">
        <v>197</v>
      </c>
      <c r="AB451" t="str">
        <f>IF(Table1[[#This Row],[TIPO2]]="costo", VLOOKUP(Table1[[#This Row],[PARTIDA PRESUPUESTAL]],'Cost Report'!G:G,1,0),"Balance")</f>
        <v>3401-017</v>
      </c>
      <c r="AC451" s="118"/>
      <c r="AD451" s="159">
        <f>+Table1[[#This Row],[SUBTOTAL]]+Table1[[#This Row],[IVA]]-Table1[[#This Row],[RET IVA]]-Table1[[#This Row],[RET ISR]]-Table1[[#This Row],[TOTAL]]</f>
        <v>0</v>
      </c>
      <c r="AE451" s="152"/>
      <c r="AF451" s="153"/>
      <c r="AG451" s="126"/>
      <c r="AK451" s="306">
        <f>IF(ISNUMBER(Table1[[#This Row],[FECHA DE RECIBIDO]]), Table1[[#This Row],[FECHA DE RECIBIDO]]-DATE(2023,8,30), "")</f>
        <v>-45002</v>
      </c>
    </row>
    <row r="452" spans="1:37" ht="16.05" customHeight="1">
      <c r="A452" s="150" t="s">
        <v>1913</v>
      </c>
      <c r="B452" s="151">
        <v>182</v>
      </c>
      <c r="C452" s="126" t="s">
        <v>2755</v>
      </c>
      <c r="D452"/>
      <c r="E452" s="126"/>
      <c r="F452" s="122"/>
      <c r="G452" s="122"/>
      <c r="H452"/>
      <c r="I452" s="122"/>
      <c r="J452" s="307">
        <v>166</v>
      </c>
      <c r="K452" s="127">
        <v>-3</v>
      </c>
      <c r="L452" s="151" t="s">
        <v>1914</v>
      </c>
      <c r="M452">
        <v>126</v>
      </c>
      <c r="N452" s="123">
        <v>17</v>
      </c>
      <c r="O452">
        <v>281</v>
      </c>
      <c r="P452" s="132" t="s">
        <v>77</v>
      </c>
      <c r="Q452" s="131">
        <v>218</v>
      </c>
      <c r="R452" s="131"/>
      <c r="S452" s="131"/>
      <c r="T452" s="155"/>
      <c r="U452" s="131"/>
      <c r="V452" s="131">
        <f t="shared" si="9"/>
        <v>218</v>
      </c>
      <c r="W452">
        <v>60</v>
      </c>
      <c r="X452" s="151" t="s">
        <v>195</v>
      </c>
      <c r="Y452" s="135" t="s">
        <v>55</v>
      </c>
      <c r="Z452" s="307">
        <v>197</v>
      </c>
      <c r="AB452" t="str">
        <f>IF(Table1[[#This Row],[TIPO2]]="costo", VLOOKUP(Table1[[#This Row],[PARTIDA PRESUPUESTAL]],'Cost Report'!G:G,1,0),"Balance")</f>
        <v>3401-017</v>
      </c>
      <c r="AC452" s="118"/>
      <c r="AD452" s="159">
        <f>+Table1[[#This Row],[SUBTOTAL]]+Table1[[#This Row],[IVA]]-Table1[[#This Row],[RET IVA]]-Table1[[#This Row],[RET ISR]]-Table1[[#This Row],[TOTAL]]</f>
        <v>0</v>
      </c>
      <c r="AE452" s="150"/>
      <c r="AF452" s="151"/>
      <c r="AG452" s="126"/>
      <c r="AK452" s="306">
        <f>IF(ISNUMBER(Table1[[#This Row],[FECHA DE RECIBIDO]]), Table1[[#This Row],[FECHA DE RECIBIDO]]-DATE(2023,8,30), "")</f>
        <v>-45002</v>
      </c>
    </row>
    <row r="453" spans="1:37" ht="16.05" customHeight="1">
      <c r="A453" s="152" t="s">
        <v>1913</v>
      </c>
      <c r="B453" s="153">
        <v>182</v>
      </c>
      <c r="C453" s="126" t="s">
        <v>2755</v>
      </c>
      <c r="D453"/>
      <c r="E453" s="126"/>
      <c r="F453" s="125"/>
      <c r="G453" s="125"/>
      <c r="H453"/>
      <c r="I453" s="125"/>
      <c r="J453" s="308">
        <v>168</v>
      </c>
      <c r="K453" s="127">
        <v>-3</v>
      </c>
      <c r="L453" s="153" t="s">
        <v>1914</v>
      </c>
      <c r="M453">
        <v>127</v>
      </c>
      <c r="N453" s="123">
        <v>17</v>
      </c>
      <c r="O453">
        <v>282</v>
      </c>
      <c r="P453" s="132" t="s">
        <v>77</v>
      </c>
      <c r="Q453" s="132">
        <v>65</v>
      </c>
      <c r="R453" s="132"/>
      <c r="S453" s="132"/>
      <c r="T453" s="156"/>
      <c r="U453" s="132"/>
      <c r="V453" s="132">
        <f t="shared" si="9"/>
        <v>65</v>
      </c>
      <c r="W453">
        <v>60</v>
      </c>
      <c r="X453" s="153" t="s">
        <v>195</v>
      </c>
      <c r="Y453" s="124" t="s">
        <v>55</v>
      </c>
      <c r="Z453" s="308">
        <v>197</v>
      </c>
      <c r="AB453" t="str">
        <f>IF(Table1[[#This Row],[TIPO2]]="costo", VLOOKUP(Table1[[#This Row],[PARTIDA PRESUPUESTAL]],'Cost Report'!G:G,1,0),"Balance")</f>
        <v>3401-017</v>
      </c>
      <c r="AC453" s="118"/>
      <c r="AD453" s="159">
        <f>+Table1[[#This Row],[SUBTOTAL]]+Table1[[#This Row],[IVA]]-Table1[[#This Row],[RET IVA]]-Table1[[#This Row],[RET ISR]]-Table1[[#This Row],[TOTAL]]</f>
        <v>0</v>
      </c>
      <c r="AE453" s="152"/>
      <c r="AF453" s="153"/>
      <c r="AG453" s="126"/>
      <c r="AK453" s="306">
        <f>IF(ISNUMBER(Table1[[#This Row],[FECHA DE RECIBIDO]]), Table1[[#This Row],[FECHA DE RECIBIDO]]-DATE(2023,8,30), "")</f>
        <v>-45000</v>
      </c>
    </row>
    <row r="454" spans="1:37" ht="16.05" customHeight="1">
      <c r="A454" s="150" t="s">
        <v>1913</v>
      </c>
      <c r="B454" s="151">
        <v>182</v>
      </c>
      <c r="C454" s="126" t="s">
        <v>2755</v>
      </c>
      <c r="D454"/>
      <c r="E454" s="126"/>
      <c r="F454" s="122"/>
      <c r="G454" s="122"/>
      <c r="H454"/>
      <c r="I454" s="122"/>
      <c r="J454" s="307" t="s">
        <v>214</v>
      </c>
      <c r="K454" s="127" t="s">
        <v>1785</v>
      </c>
      <c r="L454" s="151" t="s">
        <v>1914</v>
      </c>
      <c r="M454">
        <v>128</v>
      </c>
      <c r="N454" s="123">
        <v>17</v>
      </c>
      <c r="O454">
        <v>283</v>
      </c>
      <c r="P454" s="132" t="s">
        <v>77</v>
      </c>
      <c r="Q454" s="131">
        <v>115</v>
      </c>
      <c r="R454" s="131"/>
      <c r="S454" s="131"/>
      <c r="T454" s="155"/>
      <c r="U454" s="131"/>
      <c r="V454" s="131">
        <f t="shared" si="9"/>
        <v>115</v>
      </c>
      <c r="W454">
        <v>60</v>
      </c>
      <c r="X454" s="151" t="s">
        <v>1644</v>
      </c>
      <c r="Y454" s="135" t="s">
        <v>55</v>
      </c>
      <c r="Z454" s="307">
        <v>197</v>
      </c>
      <c r="AB454" t="str">
        <f>IF(Table1[[#This Row],[TIPO2]]="costo", VLOOKUP(Table1[[#This Row],[PARTIDA PRESUPUESTAL]],'Cost Report'!G:G,1,0),"Balance")</f>
        <v>3401-017</v>
      </c>
      <c r="AC454" s="118"/>
      <c r="AD454" s="159">
        <f>+Table1[[#This Row],[SUBTOTAL]]+Table1[[#This Row],[IVA]]-Table1[[#This Row],[RET IVA]]-Table1[[#This Row],[RET ISR]]-Table1[[#This Row],[TOTAL]]</f>
        <v>0</v>
      </c>
      <c r="AE454" s="150"/>
      <c r="AF454" s="151"/>
      <c r="AG454" s="126"/>
      <c r="AK454" s="306" t="str">
        <f>IF(ISNUMBER(Table1[[#This Row],[FECHA DE RECIBIDO]]), Table1[[#This Row],[FECHA DE RECIBIDO]]-DATE(2023,8,30), "")</f>
        <v/>
      </c>
    </row>
    <row r="455" spans="1:37" ht="15" customHeight="1">
      <c r="A455" s="152" t="s">
        <v>1916</v>
      </c>
      <c r="B455" s="153">
        <v>186</v>
      </c>
      <c r="C455" s="126" t="s">
        <v>2596</v>
      </c>
      <c r="D455">
        <v>259</v>
      </c>
      <c r="E455" s="126" t="s">
        <v>2002</v>
      </c>
      <c r="F455" s="125" t="s">
        <v>1607</v>
      </c>
      <c r="G455" s="125" t="s">
        <v>134</v>
      </c>
      <c r="H455">
        <v>94</v>
      </c>
      <c r="I455" s="125" t="s">
        <v>1637</v>
      </c>
      <c r="J455" s="308" t="s">
        <v>214</v>
      </c>
      <c r="K455" s="127" t="s">
        <v>1785</v>
      </c>
      <c r="L455" s="153" t="s">
        <v>1917</v>
      </c>
      <c r="M455">
        <v>129</v>
      </c>
      <c r="N455" s="123">
        <v>17</v>
      </c>
      <c r="O455">
        <v>284</v>
      </c>
      <c r="P455" s="132" t="s">
        <v>77</v>
      </c>
      <c r="Q455" s="132">
        <v>956.57</v>
      </c>
      <c r="R455" s="132">
        <v>153.05000000000001</v>
      </c>
      <c r="S455" s="132"/>
      <c r="T455" s="156"/>
      <c r="U455" s="132"/>
      <c r="V455" s="132">
        <f t="shared" si="9"/>
        <v>1109.6200000000001</v>
      </c>
      <c r="W455">
        <v>61</v>
      </c>
      <c r="X455" s="153" t="s">
        <v>1644</v>
      </c>
      <c r="Y455" s="124" t="s">
        <v>55</v>
      </c>
      <c r="Z455" s="308">
        <v>177</v>
      </c>
      <c r="AB455" t="str">
        <f>IF(Table1[[#This Row],[TIPO2]]="costo", VLOOKUP(Table1[[#This Row],[PARTIDA PRESUPUESTAL]],'Cost Report'!G:G,1,0),"Balance")</f>
        <v>2794-003</v>
      </c>
      <c r="AC455" s="118"/>
      <c r="AD455" s="159">
        <f>+Table1[[#This Row],[SUBTOTAL]]+Table1[[#This Row],[IVA]]-Table1[[#This Row],[RET IVA]]-Table1[[#This Row],[RET ISR]]-Table1[[#This Row],[TOTAL]]</f>
        <v>0</v>
      </c>
      <c r="AE455" s="152"/>
      <c r="AF455" s="153"/>
      <c r="AG455" s="126"/>
      <c r="AH455" s="115"/>
      <c r="AK455" s="306" t="str">
        <f>IF(ISNUMBER(Table1[[#This Row],[FECHA DE RECIBIDO]]), Table1[[#This Row],[FECHA DE RECIBIDO]]-DATE(2023,8,30), "")</f>
        <v/>
      </c>
    </row>
    <row r="456" spans="1:37" ht="15" customHeight="1">
      <c r="A456" s="150" t="s">
        <v>1916</v>
      </c>
      <c r="B456" s="151">
        <v>186</v>
      </c>
      <c r="C456" s="126" t="s">
        <v>2596</v>
      </c>
      <c r="D456">
        <v>260</v>
      </c>
      <c r="E456" s="126" t="s">
        <v>2003</v>
      </c>
      <c r="F456" s="122" t="s">
        <v>1589</v>
      </c>
      <c r="G456" s="122" t="s">
        <v>129</v>
      </c>
      <c r="H456">
        <v>95</v>
      </c>
      <c r="I456" s="122" t="s">
        <v>1637</v>
      </c>
      <c r="J456" s="307" t="s">
        <v>214</v>
      </c>
      <c r="K456" s="127" t="s">
        <v>1785</v>
      </c>
      <c r="L456" s="151" t="s">
        <v>1917</v>
      </c>
      <c r="M456">
        <v>130</v>
      </c>
      <c r="N456" s="123">
        <v>17</v>
      </c>
      <c r="O456">
        <v>285</v>
      </c>
      <c r="P456" s="132" t="s">
        <v>77</v>
      </c>
      <c r="Q456" s="131">
        <v>1600</v>
      </c>
      <c r="R456" s="131">
        <v>256</v>
      </c>
      <c r="S456" s="131"/>
      <c r="T456" s="155"/>
      <c r="U456" s="131"/>
      <c r="V456" s="131">
        <f t="shared" si="9"/>
        <v>1856</v>
      </c>
      <c r="W456">
        <v>61</v>
      </c>
      <c r="X456" s="151" t="s">
        <v>1644</v>
      </c>
      <c r="Y456" s="135" t="s">
        <v>55</v>
      </c>
      <c r="Z456" s="307">
        <v>181</v>
      </c>
      <c r="AB456" t="str">
        <f>IF(Table1[[#This Row],[TIPO2]]="costo", VLOOKUP(Table1[[#This Row],[PARTIDA PRESUPUESTAL]],'Cost Report'!G:G,1,0),"Balance")</f>
        <v>2794-003</v>
      </c>
      <c r="AC456" s="118"/>
      <c r="AD456" s="159">
        <f>+Table1[[#This Row],[SUBTOTAL]]+Table1[[#This Row],[IVA]]-Table1[[#This Row],[RET IVA]]-Table1[[#This Row],[RET ISR]]-Table1[[#This Row],[TOTAL]]</f>
        <v>0</v>
      </c>
      <c r="AE456" s="150"/>
      <c r="AF456" s="151"/>
      <c r="AG456" s="126"/>
      <c r="AH456" s="115"/>
      <c r="AK456" s="306" t="str">
        <f>IF(ISNUMBER(Table1[[#This Row],[FECHA DE RECIBIDO]]), Table1[[#This Row],[FECHA DE RECIBIDO]]-DATE(2023,8,30), "")</f>
        <v/>
      </c>
    </row>
    <row r="457" spans="1:37" ht="15" customHeight="1">
      <c r="A457" s="152" t="s">
        <v>1916</v>
      </c>
      <c r="B457" s="153">
        <v>186</v>
      </c>
      <c r="C457" s="126" t="s">
        <v>2596</v>
      </c>
      <c r="D457">
        <v>261</v>
      </c>
      <c r="E457" s="126" t="s">
        <v>2003</v>
      </c>
      <c r="F457" s="125" t="s">
        <v>1589</v>
      </c>
      <c r="G457" s="125" t="s">
        <v>129</v>
      </c>
      <c r="H457">
        <v>95</v>
      </c>
      <c r="I457" s="125" t="s">
        <v>1637</v>
      </c>
      <c r="J457" s="308" t="s">
        <v>214</v>
      </c>
      <c r="K457" s="127" t="s">
        <v>1785</v>
      </c>
      <c r="L457" s="153" t="s">
        <v>1917</v>
      </c>
      <c r="M457">
        <v>130</v>
      </c>
      <c r="N457" s="123">
        <v>17</v>
      </c>
      <c r="O457">
        <v>285</v>
      </c>
      <c r="P457" s="132" t="s">
        <v>77</v>
      </c>
      <c r="Q457" s="132">
        <v>1600</v>
      </c>
      <c r="R457" s="132">
        <v>256</v>
      </c>
      <c r="S457" s="132"/>
      <c r="T457" s="156"/>
      <c r="U457" s="132"/>
      <c r="V457" s="132">
        <f t="shared" si="9"/>
        <v>1856</v>
      </c>
      <c r="W457">
        <v>61</v>
      </c>
      <c r="X457" s="153" t="s">
        <v>1644</v>
      </c>
      <c r="Y457" s="124" t="s">
        <v>55</v>
      </c>
      <c r="Z457" s="308">
        <v>181</v>
      </c>
      <c r="AB457" t="str">
        <f>IF(Table1[[#This Row],[TIPO2]]="costo", VLOOKUP(Table1[[#This Row],[PARTIDA PRESUPUESTAL]],'Cost Report'!G:G,1,0),"Balance")</f>
        <v>2794-003</v>
      </c>
      <c r="AC457" s="118"/>
      <c r="AD457" s="159">
        <f>+Table1[[#This Row],[SUBTOTAL]]+Table1[[#This Row],[IVA]]-Table1[[#This Row],[RET IVA]]-Table1[[#This Row],[RET ISR]]-Table1[[#This Row],[TOTAL]]</f>
        <v>0</v>
      </c>
      <c r="AE457" s="152"/>
      <c r="AF457" s="153"/>
      <c r="AG457" s="126"/>
      <c r="AH457" s="115"/>
      <c r="AK457" s="306" t="str">
        <f>IF(ISNUMBER(Table1[[#This Row],[FECHA DE RECIBIDO]]), Table1[[#This Row],[FECHA DE RECIBIDO]]-DATE(2023,8,30), "")</f>
        <v/>
      </c>
    </row>
    <row r="458" spans="1:37" ht="15" customHeight="1">
      <c r="A458" s="150" t="s">
        <v>1916</v>
      </c>
      <c r="B458" s="151">
        <v>186</v>
      </c>
      <c r="C458" s="126" t="s">
        <v>2596</v>
      </c>
      <c r="D458">
        <v>262</v>
      </c>
      <c r="E458" s="126" t="s">
        <v>2004</v>
      </c>
      <c r="F458" s="122" t="s">
        <v>1607</v>
      </c>
      <c r="G458" s="122" t="s">
        <v>134</v>
      </c>
      <c r="H458">
        <v>96</v>
      </c>
      <c r="I458" s="122" t="s">
        <v>1637</v>
      </c>
      <c r="J458" s="307" t="s">
        <v>214</v>
      </c>
      <c r="K458" s="127" t="s">
        <v>1785</v>
      </c>
      <c r="L458" s="151" t="s">
        <v>1917</v>
      </c>
      <c r="M458">
        <v>131</v>
      </c>
      <c r="N458" s="123">
        <v>17</v>
      </c>
      <c r="O458">
        <v>286</v>
      </c>
      <c r="P458" s="132" t="s">
        <v>77</v>
      </c>
      <c r="Q458" s="131">
        <v>3401.72</v>
      </c>
      <c r="R458" s="131">
        <v>544.28</v>
      </c>
      <c r="S458" s="131"/>
      <c r="T458" s="155"/>
      <c r="U458" s="131"/>
      <c r="V458" s="131">
        <f t="shared" si="9"/>
        <v>3946</v>
      </c>
      <c r="W458">
        <v>61</v>
      </c>
      <c r="X458" s="151" t="s">
        <v>1644</v>
      </c>
      <c r="Y458" s="135" t="s">
        <v>55</v>
      </c>
      <c r="Z458" s="307">
        <v>182</v>
      </c>
      <c r="AB458" t="str">
        <f>IF(Table1[[#This Row],[TIPO2]]="costo", VLOOKUP(Table1[[#This Row],[PARTIDA PRESUPUESTAL]],'Cost Report'!G:G,1,0),"Balance")</f>
        <v>2794-003</v>
      </c>
      <c r="AC458" s="118"/>
      <c r="AD458" s="159">
        <f>+Table1[[#This Row],[SUBTOTAL]]+Table1[[#This Row],[IVA]]-Table1[[#This Row],[RET IVA]]-Table1[[#This Row],[RET ISR]]-Table1[[#This Row],[TOTAL]]</f>
        <v>0</v>
      </c>
      <c r="AE458" s="150"/>
      <c r="AF458" s="151"/>
      <c r="AG458" s="126"/>
      <c r="AH458" s="115"/>
      <c r="AK458" s="306" t="str">
        <f>IF(ISNUMBER(Table1[[#This Row],[FECHA DE RECIBIDO]]), Table1[[#This Row],[FECHA DE RECIBIDO]]-DATE(2023,8,30), "")</f>
        <v/>
      </c>
    </row>
    <row r="459" spans="1:37" ht="15" customHeight="1">
      <c r="A459" s="152" t="s">
        <v>1916</v>
      </c>
      <c r="B459" s="153">
        <v>186</v>
      </c>
      <c r="C459" s="126" t="s">
        <v>2596</v>
      </c>
      <c r="D459">
        <v>263</v>
      </c>
      <c r="E459" s="126" t="s">
        <v>2004</v>
      </c>
      <c r="F459" s="125" t="s">
        <v>1607</v>
      </c>
      <c r="G459" s="125" t="s">
        <v>134</v>
      </c>
      <c r="H459">
        <v>96</v>
      </c>
      <c r="I459" s="125" t="s">
        <v>1637</v>
      </c>
      <c r="J459" s="308" t="s">
        <v>214</v>
      </c>
      <c r="K459" s="127" t="s">
        <v>1785</v>
      </c>
      <c r="L459" s="153" t="s">
        <v>1917</v>
      </c>
      <c r="M459">
        <v>131</v>
      </c>
      <c r="N459" s="123">
        <v>17</v>
      </c>
      <c r="O459">
        <v>287</v>
      </c>
      <c r="P459" s="132" t="s">
        <v>77</v>
      </c>
      <c r="Q459" s="132">
        <v>2970.7</v>
      </c>
      <c r="R459" s="132">
        <v>475.31</v>
      </c>
      <c r="S459" s="132"/>
      <c r="T459" s="156"/>
      <c r="U459" s="132"/>
      <c r="V459" s="132">
        <f t="shared" si="9"/>
        <v>3446.0099999999998</v>
      </c>
      <c r="W459">
        <v>61</v>
      </c>
      <c r="X459" s="153" t="s">
        <v>1644</v>
      </c>
      <c r="Y459" s="124" t="s">
        <v>55</v>
      </c>
      <c r="Z459" s="308">
        <v>182</v>
      </c>
      <c r="AB459" t="str">
        <f>IF(Table1[[#This Row],[TIPO2]]="costo", VLOOKUP(Table1[[#This Row],[PARTIDA PRESUPUESTAL]],'Cost Report'!G:G,1,0),"Balance")</f>
        <v>2794-003</v>
      </c>
      <c r="AC459" s="118"/>
      <c r="AD459" s="159">
        <f>+Table1[[#This Row],[SUBTOTAL]]+Table1[[#This Row],[IVA]]-Table1[[#This Row],[RET IVA]]-Table1[[#This Row],[RET ISR]]-Table1[[#This Row],[TOTAL]]</f>
        <v>0</v>
      </c>
      <c r="AE459" s="152"/>
      <c r="AF459" s="153"/>
      <c r="AG459" s="126"/>
      <c r="AH459" s="115"/>
      <c r="AK459" s="306" t="str">
        <f>IF(ISNUMBER(Table1[[#This Row],[FECHA DE RECIBIDO]]), Table1[[#This Row],[FECHA DE RECIBIDO]]-DATE(2023,8,30), "")</f>
        <v/>
      </c>
    </row>
    <row r="460" spans="1:37" ht="15" customHeight="1">
      <c r="A460" s="150" t="s">
        <v>1916</v>
      </c>
      <c r="B460" s="151">
        <v>186</v>
      </c>
      <c r="C460" s="126" t="s">
        <v>2596</v>
      </c>
      <c r="D460">
        <v>264</v>
      </c>
      <c r="E460" s="126" t="s">
        <v>1895</v>
      </c>
      <c r="F460" s="122">
        <v>601</v>
      </c>
      <c r="G460" s="122" t="s">
        <v>134</v>
      </c>
      <c r="H460">
        <v>97</v>
      </c>
      <c r="I460" s="122" t="s">
        <v>1637</v>
      </c>
      <c r="J460" s="307">
        <v>183</v>
      </c>
      <c r="K460" s="127" t="s">
        <v>1785</v>
      </c>
      <c r="L460" s="151" t="s">
        <v>1917</v>
      </c>
      <c r="M460">
        <v>132</v>
      </c>
      <c r="N460" s="123">
        <v>17</v>
      </c>
      <c r="O460">
        <v>288</v>
      </c>
      <c r="P460" s="132" t="s">
        <v>77</v>
      </c>
      <c r="Q460" s="131">
        <v>645.69000000000005</v>
      </c>
      <c r="R460" s="131">
        <v>103.31</v>
      </c>
      <c r="S460" s="131"/>
      <c r="T460" s="155"/>
      <c r="U460" s="131"/>
      <c r="V460" s="131">
        <f t="shared" si="9"/>
        <v>749</v>
      </c>
      <c r="W460">
        <v>61</v>
      </c>
      <c r="X460" s="151" t="s">
        <v>1644</v>
      </c>
      <c r="Y460" s="135" t="s">
        <v>55</v>
      </c>
      <c r="Z460" s="307">
        <v>183</v>
      </c>
      <c r="AB460" t="str">
        <f>IF(Table1[[#This Row],[TIPO2]]="costo", VLOOKUP(Table1[[#This Row],[PARTIDA PRESUPUESTAL]],'Cost Report'!G:G,1,0),"Balance")</f>
        <v>2794-003</v>
      </c>
      <c r="AC460" s="118"/>
      <c r="AD460" s="159">
        <f>+Table1[[#This Row],[SUBTOTAL]]+Table1[[#This Row],[IVA]]-Table1[[#This Row],[RET IVA]]-Table1[[#This Row],[RET ISR]]-Table1[[#This Row],[TOTAL]]</f>
        <v>0</v>
      </c>
      <c r="AE460" s="150"/>
      <c r="AF460" s="151"/>
      <c r="AG460" s="126"/>
      <c r="AH460" s="115"/>
      <c r="AK460" s="306">
        <f>IF(ISNUMBER(Table1[[#This Row],[FECHA DE RECIBIDO]]), Table1[[#This Row],[FECHA DE RECIBIDO]]-DATE(2023,8,30), "")</f>
        <v>-44985</v>
      </c>
    </row>
    <row r="461" spans="1:37" ht="15" customHeight="1">
      <c r="A461" s="152" t="s">
        <v>1916</v>
      </c>
      <c r="B461" s="153">
        <v>186</v>
      </c>
      <c r="C461" s="126" t="s">
        <v>2596</v>
      </c>
      <c r="D461">
        <v>265</v>
      </c>
      <c r="E461" s="126" t="s">
        <v>1895</v>
      </c>
      <c r="F461" s="125">
        <v>601</v>
      </c>
      <c r="G461" s="125" t="s">
        <v>134</v>
      </c>
      <c r="H461">
        <v>97</v>
      </c>
      <c r="I461" s="125" t="s">
        <v>1637</v>
      </c>
      <c r="J461" s="308">
        <v>183</v>
      </c>
      <c r="K461" s="127" t="s">
        <v>1785</v>
      </c>
      <c r="L461" s="153" t="s">
        <v>1917</v>
      </c>
      <c r="M461">
        <v>132</v>
      </c>
      <c r="N461" s="123">
        <v>17</v>
      </c>
      <c r="O461">
        <v>289</v>
      </c>
      <c r="P461" s="132" t="s">
        <v>77</v>
      </c>
      <c r="Q461" s="132">
        <v>2164.66</v>
      </c>
      <c r="R461" s="132">
        <v>346.35</v>
      </c>
      <c r="S461" s="132"/>
      <c r="T461" s="156"/>
      <c r="U461" s="132"/>
      <c r="V461" s="132">
        <f t="shared" si="9"/>
        <v>2511.0099999999998</v>
      </c>
      <c r="W461">
        <v>61</v>
      </c>
      <c r="X461" s="153" t="s">
        <v>1644</v>
      </c>
      <c r="Y461" s="124" t="s">
        <v>55</v>
      </c>
      <c r="Z461" s="308">
        <v>183</v>
      </c>
      <c r="AB461" t="str">
        <f>IF(Table1[[#This Row],[TIPO2]]="costo", VLOOKUP(Table1[[#This Row],[PARTIDA PRESUPUESTAL]],'Cost Report'!G:G,1,0),"Balance")</f>
        <v>2794-003</v>
      </c>
      <c r="AC461" s="118"/>
      <c r="AD461" s="159">
        <f>+Table1[[#This Row],[SUBTOTAL]]+Table1[[#This Row],[IVA]]-Table1[[#This Row],[RET IVA]]-Table1[[#This Row],[RET ISR]]-Table1[[#This Row],[TOTAL]]</f>
        <v>0</v>
      </c>
      <c r="AE461" s="152"/>
      <c r="AF461" s="153"/>
      <c r="AG461" s="126"/>
      <c r="AH461" s="115"/>
      <c r="AK461" s="306">
        <f>IF(ISNUMBER(Table1[[#This Row],[FECHA DE RECIBIDO]]), Table1[[#This Row],[FECHA DE RECIBIDO]]-DATE(2023,8,30), "")</f>
        <v>-44985</v>
      </c>
    </row>
    <row r="462" spans="1:37" ht="15" customHeight="1">
      <c r="A462" s="150" t="s">
        <v>1916</v>
      </c>
      <c r="B462" s="151">
        <v>186</v>
      </c>
      <c r="C462" s="126" t="s">
        <v>2596</v>
      </c>
      <c r="D462">
        <v>266</v>
      </c>
      <c r="E462" s="126" t="s">
        <v>1895</v>
      </c>
      <c r="F462" s="122">
        <v>601</v>
      </c>
      <c r="G462" s="122" t="s">
        <v>134</v>
      </c>
      <c r="H462">
        <v>97</v>
      </c>
      <c r="I462" s="122" t="s">
        <v>1637</v>
      </c>
      <c r="J462" s="307">
        <v>183</v>
      </c>
      <c r="K462" s="127" t="s">
        <v>1785</v>
      </c>
      <c r="L462" s="151" t="s">
        <v>1917</v>
      </c>
      <c r="M462">
        <v>132</v>
      </c>
      <c r="N462" s="123">
        <v>17</v>
      </c>
      <c r="O462">
        <v>290</v>
      </c>
      <c r="P462" s="132" t="s">
        <v>77</v>
      </c>
      <c r="Q462" s="131">
        <v>4243.97</v>
      </c>
      <c r="R462" s="131">
        <v>679.04</v>
      </c>
      <c r="S462" s="131"/>
      <c r="T462" s="155"/>
      <c r="U462" s="131"/>
      <c r="V462" s="131">
        <f t="shared" si="9"/>
        <v>4923.01</v>
      </c>
      <c r="W462">
        <v>61</v>
      </c>
      <c r="X462" s="151" t="s">
        <v>1644</v>
      </c>
      <c r="Y462" s="135" t="s">
        <v>55</v>
      </c>
      <c r="Z462" s="307">
        <v>183</v>
      </c>
      <c r="AB462" t="str">
        <f>IF(Table1[[#This Row],[TIPO2]]="costo", VLOOKUP(Table1[[#This Row],[PARTIDA PRESUPUESTAL]],'Cost Report'!G:G,1,0),"Balance")</f>
        <v>2794-003</v>
      </c>
      <c r="AC462" s="118"/>
      <c r="AD462" s="159">
        <f>+Table1[[#This Row],[SUBTOTAL]]+Table1[[#This Row],[IVA]]-Table1[[#This Row],[RET IVA]]-Table1[[#This Row],[RET ISR]]-Table1[[#This Row],[TOTAL]]</f>
        <v>0</v>
      </c>
      <c r="AE462" s="150"/>
      <c r="AF462" s="151"/>
      <c r="AG462" s="126"/>
      <c r="AH462" s="115"/>
      <c r="AK462" s="306">
        <f>IF(ISNUMBER(Table1[[#This Row],[FECHA DE RECIBIDO]]), Table1[[#This Row],[FECHA DE RECIBIDO]]-DATE(2023,8,30), "")</f>
        <v>-44985</v>
      </c>
    </row>
    <row r="463" spans="1:37" ht="15" customHeight="1">
      <c r="A463" s="152" t="s">
        <v>1916</v>
      </c>
      <c r="B463" s="153">
        <v>186</v>
      </c>
      <c r="C463" s="126" t="s">
        <v>2596</v>
      </c>
      <c r="D463">
        <v>267</v>
      </c>
      <c r="E463" s="126" t="s">
        <v>1895</v>
      </c>
      <c r="F463" s="125">
        <v>601</v>
      </c>
      <c r="G463" s="125" t="s">
        <v>134</v>
      </c>
      <c r="H463">
        <v>97</v>
      </c>
      <c r="I463" s="125" t="s">
        <v>1637</v>
      </c>
      <c r="J463" s="308">
        <v>183</v>
      </c>
      <c r="K463" s="127" t="s">
        <v>1785</v>
      </c>
      <c r="L463" s="153" t="s">
        <v>1917</v>
      </c>
      <c r="M463">
        <v>132</v>
      </c>
      <c r="N463" s="123">
        <v>17</v>
      </c>
      <c r="O463">
        <v>291</v>
      </c>
      <c r="P463" s="132" t="s">
        <v>77</v>
      </c>
      <c r="Q463" s="132">
        <v>1644.83</v>
      </c>
      <c r="R463" s="132">
        <v>263.17</v>
      </c>
      <c r="S463" s="132"/>
      <c r="T463" s="156"/>
      <c r="U463" s="132"/>
      <c r="V463" s="132">
        <f t="shared" si="9"/>
        <v>1908</v>
      </c>
      <c r="W463">
        <v>61</v>
      </c>
      <c r="X463" s="153" t="s">
        <v>1644</v>
      </c>
      <c r="Y463" s="124" t="s">
        <v>55</v>
      </c>
      <c r="Z463" s="308">
        <v>183</v>
      </c>
      <c r="AB463" t="str">
        <f>IF(Table1[[#This Row],[TIPO2]]="costo", VLOOKUP(Table1[[#This Row],[PARTIDA PRESUPUESTAL]],'Cost Report'!G:G,1,0),"Balance")</f>
        <v>2794-003</v>
      </c>
      <c r="AC463" s="118"/>
      <c r="AD463" s="159">
        <f>+Table1[[#This Row],[SUBTOTAL]]+Table1[[#This Row],[IVA]]-Table1[[#This Row],[RET IVA]]-Table1[[#This Row],[RET ISR]]-Table1[[#This Row],[TOTAL]]</f>
        <v>0</v>
      </c>
      <c r="AE463" s="152"/>
      <c r="AF463" s="153"/>
      <c r="AG463" s="126"/>
      <c r="AH463" s="115"/>
      <c r="AK463" s="306">
        <f>IF(ISNUMBER(Table1[[#This Row],[FECHA DE RECIBIDO]]), Table1[[#This Row],[FECHA DE RECIBIDO]]-DATE(2023,8,30), "")</f>
        <v>-44985</v>
      </c>
    </row>
    <row r="464" spans="1:37" ht="15" customHeight="1">
      <c r="A464" s="150" t="s">
        <v>1916</v>
      </c>
      <c r="B464" s="151">
        <v>186</v>
      </c>
      <c r="C464" s="126" t="s">
        <v>2596</v>
      </c>
      <c r="D464">
        <v>268</v>
      </c>
      <c r="E464" s="126" t="s">
        <v>2003</v>
      </c>
      <c r="F464" s="122" t="s">
        <v>1589</v>
      </c>
      <c r="G464" s="122" t="s">
        <v>129</v>
      </c>
      <c r="H464">
        <v>95</v>
      </c>
      <c r="I464" s="122" t="s">
        <v>1637</v>
      </c>
      <c r="J464" s="307" t="s">
        <v>214</v>
      </c>
      <c r="K464" s="127" t="s">
        <v>1785</v>
      </c>
      <c r="L464" s="151" t="s">
        <v>1917</v>
      </c>
      <c r="M464">
        <v>130</v>
      </c>
      <c r="N464" s="123">
        <v>17</v>
      </c>
      <c r="O464">
        <v>285</v>
      </c>
      <c r="P464" s="132" t="s">
        <v>77</v>
      </c>
      <c r="Q464" s="131">
        <v>1160</v>
      </c>
      <c r="R464" s="131">
        <v>185.6</v>
      </c>
      <c r="S464" s="131"/>
      <c r="T464" s="155"/>
      <c r="U464" s="131"/>
      <c r="V464" s="131">
        <f t="shared" si="9"/>
        <v>1345.6</v>
      </c>
      <c r="W464">
        <v>61</v>
      </c>
      <c r="X464" s="151" t="s">
        <v>1644</v>
      </c>
      <c r="Y464" s="135" t="s">
        <v>55</v>
      </c>
      <c r="Z464" s="307" t="s">
        <v>214</v>
      </c>
      <c r="AB464" t="str">
        <f>IF(Table1[[#This Row],[TIPO2]]="costo", VLOOKUP(Table1[[#This Row],[PARTIDA PRESUPUESTAL]],'Cost Report'!G:G,1,0),"Balance")</f>
        <v>2794-003</v>
      </c>
      <c r="AC464" s="118"/>
      <c r="AD464" s="159">
        <f>+Table1[[#This Row],[SUBTOTAL]]+Table1[[#This Row],[IVA]]-Table1[[#This Row],[RET IVA]]-Table1[[#This Row],[RET ISR]]-Table1[[#This Row],[TOTAL]]</f>
        <v>0</v>
      </c>
      <c r="AE464" s="150"/>
      <c r="AF464" s="151"/>
      <c r="AG464" s="126"/>
      <c r="AH464" s="115"/>
      <c r="AK464" s="306" t="str">
        <f>IF(ISNUMBER(Table1[[#This Row],[FECHA DE RECIBIDO]]), Table1[[#This Row],[FECHA DE RECIBIDO]]-DATE(2023,8,30), "")</f>
        <v/>
      </c>
    </row>
    <row r="465" spans="1:37" ht="15" customHeight="1">
      <c r="A465" s="152" t="s">
        <v>1916</v>
      </c>
      <c r="B465" s="153">
        <v>186</v>
      </c>
      <c r="C465" s="126" t="s">
        <v>2596</v>
      </c>
      <c r="D465">
        <v>269</v>
      </c>
      <c r="E465" s="126" t="s">
        <v>2003</v>
      </c>
      <c r="F465" s="125" t="s">
        <v>1589</v>
      </c>
      <c r="G465" s="125" t="s">
        <v>129</v>
      </c>
      <c r="H465">
        <v>95</v>
      </c>
      <c r="I465" s="125" t="s">
        <v>1637</v>
      </c>
      <c r="J465" s="308" t="s">
        <v>214</v>
      </c>
      <c r="K465" s="127" t="s">
        <v>1785</v>
      </c>
      <c r="L465" s="153" t="s">
        <v>1917</v>
      </c>
      <c r="M465">
        <v>130</v>
      </c>
      <c r="N465" s="123">
        <v>17</v>
      </c>
      <c r="O465">
        <v>285</v>
      </c>
      <c r="P465" s="132" t="s">
        <v>77</v>
      </c>
      <c r="Q465" s="132">
        <v>1400</v>
      </c>
      <c r="R465" s="132">
        <v>224</v>
      </c>
      <c r="S465" s="132"/>
      <c r="T465" s="156"/>
      <c r="U465" s="132"/>
      <c r="V465" s="132">
        <f t="shared" si="9"/>
        <v>1624</v>
      </c>
      <c r="W465">
        <v>61</v>
      </c>
      <c r="X465" s="153" t="s">
        <v>1644</v>
      </c>
      <c r="Y465" s="124" t="s">
        <v>55</v>
      </c>
      <c r="Z465" s="308" t="s">
        <v>214</v>
      </c>
      <c r="AB465" t="str">
        <f>IF(Table1[[#This Row],[TIPO2]]="costo", VLOOKUP(Table1[[#This Row],[PARTIDA PRESUPUESTAL]],'Cost Report'!G:G,1,0),"Balance")</f>
        <v>2794-003</v>
      </c>
      <c r="AC465" s="118"/>
      <c r="AD465" s="159">
        <f>+Table1[[#This Row],[SUBTOTAL]]+Table1[[#This Row],[IVA]]-Table1[[#This Row],[RET IVA]]-Table1[[#This Row],[RET ISR]]-Table1[[#This Row],[TOTAL]]</f>
        <v>0</v>
      </c>
      <c r="AE465" s="152"/>
      <c r="AF465" s="153"/>
      <c r="AG465" s="126"/>
      <c r="AH465" s="115"/>
      <c r="AK465" s="306" t="str">
        <f>IF(ISNUMBER(Table1[[#This Row],[FECHA DE RECIBIDO]]), Table1[[#This Row],[FECHA DE RECIBIDO]]-DATE(2023,8,30), "")</f>
        <v/>
      </c>
    </row>
    <row r="466" spans="1:37" ht="15" customHeight="1">
      <c r="A466" s="150" t="s">
        <v>1918</v>
      </c>
      <c r="B466" s="151">
        <v>187</v>
      </c>
      <c r="C466" s="126" t="s">
        <v>2596</v>
      </c>
      <c r="D466">
        <v>270</v>
      </c>
      <c r="E466" s="126" t="s">
        <v>2004</v>
      </c>
      <c r="F466" s="122" t="s">
        <v>1589</v>
      </c>
      <c r="G466" s="122" t="s">
        <v>129</v>
      </c>
      <c r="H466">
        <v>98</v>
      </c>
      <c r="I466" s="122" t="s">
        <v>1637</v>
      </c>
      <c r="J466" s="307" t="s">
        <v>214</v>
      </c>
      <c r="K466" s="127" t="s">
        <v>1785</v>
      </c>
      <c r="L466" s="151" t="s">
        <v>1917</v>
      </c>
      <c r="M466">
        <v>133</v>
      </c>
      <c r="N466" s="123">
        <v>17</v>
      </c>
      <c r="O466">
        <v>292</v>
      </c>
      <c r="P466" s="132" t="s">
        <v>77</v>
      </c>
      <c r="Q466" s="131">
        <v>3992.41</v>
      </c>
      <c r="R466" s="131">
        <v>627.59</v>
      </c>
      <c r="S466" s="131"/>
      <c r="T466" s="155"/>
      <c r="U466" s="131"/>
      <c r="V466" s="131">
        <f t="shared" si="9"/>
        <v>4620</v>
      </c>
      <c r="W466">
        <v>62</v>
      </c>
      <c r="X466" s="151" t="s">
        <v>1644</v>
      </c>
      <c r="Y466" s="135" t="s">
        <v>55</v>
      </c>
      <c r="Z466" s="307">
        <v>177</v>
      </c>
      <c r="AB466" t="str">
        <f>IF(Table1[[#This Row],[TIPO2]]="costo", VLOOKUP(Table1[[#This Row],[PARTIDA PRESUPUESTAL]],'Cost Report'!G:G,1,0),"Balance")</f>
        <v>2794-003</v>
      </c>
      <c r="AC466" s="118"/>
      <c r="AD466" s="159">
        <f>+Table1[[#This Row],[SUBTOTAL]]+Table1[[#This Row],[IVA]]-Table1[[#This Row],[RET IVA]]-Table1[[#This Row],[RET ISR]]-Table1[[#This Row],[TOTAL]]</f>
        <v>0</v>
      </c>
      <c r="AE466" s="150"/>
      <c r="AF466" s="151"/>
      <c r="AG466" s="126"/>
      <c r="AH466" s="115"/>
      <c r="AK466" s="306" t="str">
        <f>IF(ISNUMBER(Table1[[#This Row],[FECHA DE RECIBIDO]]), Table1[[#This Row],[FECHA DE RECIBIDO]]-DATE(2023,8,30), "")</f>
        <v/>
      </c>
    </row>
    <row r="467" spans="1:37" ht="15" customHeight="1">
      <c r="A467" s="152" t="s">
        <v>1918</v>
      </c>
      <c r="B467" s="153">
        <v>187</v>
      </c>
      <c r="C467" s="126" t="s">
        <v>2596</v>
      </c>
      <c r="D467">
        <v>271</v>
      </c>
      <c r="E467" s="126" t="s">
        <v>2004</v>
      </c>
      <c r="F467" s="125" t="s">
        <v>1589</v>
      </c>
      <c r="G467" s="125" t="s">
        <v>129</v>
      </c>
      <c r="H467">
        <v>98</v>
      </c>
      <c r="I467" s="125" t="s">
        <v>1637</v>
      </c>
      <c r="J467" s="308" t="s">
        <v>214</v>
      </c>
      <c r="K467" s="127" t="s">
        <v>1785</v>
      </c>
      <c r="L467" s="153" t="s">
        <v>1917</v>
      </c>
      <c r="M467">
        <v>133</v>
      </c>
      <c r="N467" s="123">
        <v>17</v>
      </c>
      <c r="O467">
        <v>293</v>
      </c>
      <c r="P467" s="132" t="s">
        <v>77</v>
      </c>
      <c r="Q467" s="132">
        <v>827.59</v>
      </c>
      <c r="R467" s="132">
        <v>132.41</v>
      </c>
      <c r="S467" s="132"/>
      <c r="T467" s="156"/>
      <c r="U467" s="132"/>
      <c r="V467" s="132">
        <f t="shared" si="9"/>
        <v>960</v>
      </c>
      <c r="W467">
        <v>62</v>
      </c>
      <c r="X467" s="153" t="s">
        <v>1644</v>
      </c>
      <c r="Y467" s="124" t="s">
        <v>55</v>
      </c>
      <c r="Z467" s="308">
        <v>177</v>
      </c>
      <c r="AB467" t="str">
        <f>IF(Table1[[#This Row],[TIPO2]]="costo", VLOOKUP(Table1[[#This Row],[PARTIDA PRESUPUESTAL]],'Cost Report'!G:G,1,0),"Balance")</f>
        <v>2794-003</v>
      </c>
      <c r="AC467" s="118"/>
      <c r="AD467" s="159">
        <f>+Table1[[#This Row],[SUBTOTAL]]+Table1[[#This Row],[IVA]]-Table1[[#This Row],[RET IVA]]-Table1[[#This Row],[RET ISR]]-Table1[[#This Row],[TOTAL]]</f>
        <v>0</v>
      </c>
      <c r="AE467" s="152"/>
      <c r="AF467" s="153"/>
      <c r="AG467" s="126"/>
      <c r="AH467" s="115"/>
      <c r="AK467" s="306" t="str">
        <f>IF(ISNUMBER(Table1[[#This Row],[FECHA DE RECIBIDO]]), Table1[[#This Row],[FECHA DE RECIBIDO]]-DATE(2023,8,30), "")</f>
        <v/>
      </c>
    </row>
    <row r="468" spans="1:37" ht="15" customHeight="1">
      <c r="A468" s="150" t="s">
        <v>1918</v>
      </c>
      <c r="B468" s="151">
        <v>187</v>
      </c>
      <c r="C468" s="126" t="s">
        <v>2596</v>
      </c>
      <c r="D468">
        <v>272</v>
      </c>
      <c r="E468" s="126" t="s">
        <v>2005</v>
      </c>
      <c r="F468" s="122" t="s">
        <v>1607</v>
      </c>
      <c r="G468" s="122" t="s">
        <v>134</v>
      </c>
      <c r="H468">
        <v>57</v>
      </c>
      <c r="I468" s="122" t="s">
        <v>1637</v>
      </c>
      <c r="J468" s="307" t="s">
        <v>214</v>
      </c>
      <c r="K468" s="127" t="s">
        <v>1785</v>
      </c>
      <c r="L468" s="151" t="s">
        <v>1917</v>
      </c>
      <c r="M468">
        <v>79</v>
      </c>
      <c r="N468" s="123">
        <v>17</v>
      </c>
      <c r="O468">
        <v>294</v>
      </c>
      <c r="P468" s="132" t="s">
        <v>77</v>
      </c>
      <c r="Q468" s="131">
        <v>1047.24</v>
      </c>
      <c r="R468" s="131">
        <v>167.56</v>
      </c>
      <c r="S468" s="131"/>
      <c r="T468" s="155"/>
      <c r="U468" s="131"/>
      <c r="V468" s="131">
        <f t="shared" si="9"/>
        <v>1214.8</v>
      </c>
      <c r="W468">
        <v>62</v>
      </c>
      <c r="X468" s="151" t="s">
        <v>1644</v>
      </c>
      <c r="Y468" s="135" t="s">
        <v>55</v>
      </c>
      <c r="Z468" s="307">
        <v>178</v>
      </c>
      <c r="AB468" t="str">
        <f>IF(Table1[[#This Row],[TIPO2]]="costo", VLOOKUP(Table1[[#This Row],[PARTIDA PRESUPUESTAL]],'Cost Report'!G:G,1,0),"Balance")</f>
        <v>2794-003</v>
      </c>
      <c r="AC468" s="118"/>
      <c r="AD468" s="159">
        <f>+Table1[[#This Row],[SUBTOTAL]]+Table1[[#This Row],[IVA]]-Table1[[#This Row],[RET IVA]]-Table1[[#This Row],[RET ISR]]-Table1[[#This Row],[TOTAL]]</f>
        <v>0</v>
      </c>
      <c r="AE468" s="150"/>
      <c r="AF468" s="151"/>
      <c r="AG468" s="126"/>
      <c r="AH468" s="115"/>
      <c r="AK468" s="306" t="str">
        <f>IF(ISNUMBER(Table1[[#This Row],[FECHA DE RECIBIDO]]), Table1[[#This Row],[FECHA DE RECIBIDO]]-DATE(2023,8,30), "")</f>
        <v/>
      </c>
    </row>
    <row r="469" spans="1:37" ht="15" customHeight="1">
      <c r="A469" s="152" t="s">
        <v>1919</v>
      </c>
      <c r="B469" s="153">
        <v>188</v>
      </c>
      <c r="C469" s="126" t="s">
        <v>2596</v>
      </c>
      <c r="D469">
        <v>273</v>
      </c>
      <c r="E469" s="126" t="s">
        <v>2006</v>
      </c>
      <c r="F469" s="125" t="s">
        <v>1607</v>
      </c>
      <c r="G469" s="125" t="s">
        <v>1901</v>
      </c>
      <c r="H469">
        <v>41</v>
      </c>
      <c r="I469" s="125" t="s">
        <v>1637</v>
      </c>
      <c r="J469" s="308">
        <v>190</v>
      </c>
      <c r="K469" s="127" t="s">
        <v>1785</v>
      </c>
      <c r="L469" s="153" t="s">
        <v>1917</v>
      </c>
      <c r="M469">
        <v>101</v>
      </c>
      <c r="N469" s="123">
        <v>17</v>
      </c>
      <c r="O469">
        <v>295</v>
      </c>
      <c r="P469" s="132" t="s">
        <v>77</v>
      </c>
      <c r="Q469" s="132">
        <v>3258.3</v>
      </c>
      <c r="R469" s="132">
        <v>521.33000000000004</v>
      </c>
      <c r="S469" s="132"/>
      <c r="T469" s="156"/>
      <c r="U469" s="132"/>
      <c r="V469" s="132">
        <f t="shared" si="9"/>
        <v>3779.63</v>
      </c>
      <c r="W469">
        <v>61</v>
      </c>
      <c r="X469" s="153" t="s">
        <v>1644</v>
      </c>
      <c r="Y469" s="124" t="s">
        <v>55</v>
      </c>
      <c r="Z469" s="308">
        <v>190</v>
      </c>
      <c r="AB469" t="str">
        <f>IF(Table1[[#This Row],[TIPO2]]="costo", VLOOKUP(Table1[[#This Row],[PARTIDA PRESUPUESTAL]],'Cost Report'!G:G,1,0),"Balance")</f>
        <v>2794-003</v>
      </c>
      <c r="AC469" s="118"/>
      <c r="AD469" s="159">
        <f>+Table1[[#This Row],[SUBTOTAL]]+Table1[[#This Row],[IVA]]-Table1[[#This Row],[RET IVA]]-Table1[[#This Row],[RET ISR]]-Table1[[#This Row],[TOTAL]]</f>
        <v>0</v>
      </c>
      <c r="AE469" s="152"/>
      <c r="AF469" s="153"/>
      <c r="AG469" s="126"/>
      <c r="AH469" s="115"/>
      <c r="AK469" s="306">
        <f>IF(ISNUMBER(Table1[[#This Row],[FECHA DE RECIBIDO]]), Table1[[#This Row],[FECHA DE RECIBIDO]]-DATE(2023,8,30), "")</f>
        <v>-44978</v>
      </c>
    </row>
    <row r="470" spans="1:37" ht="15" customHeight="1">
      <c r="A470" s="150" t="s">
        <v>1919</v>
      </c>
      <c r="B470" s="151">
        <v>188</v>
      </c>
      <c r="C470" s="126" t="s">
        <v>2596</v>
      </c>
      <c r="D470">
        <v>274</v>
      </c>
      <c r="E470" s="126" t="s">
        <v>2006</v>
      </c>
      <c r="F470" s="122" t="s">
        <v>1607</v>
      </c>
      <c r="G470" s="122" t="s">
        <v>1901</v>
      </c>
      <c r="H470">
        <v>41</v>
      </c>
      <c r="I470" s="122" t="s">
        <v>1637</v>
      </c>
      <c r="J470" s="307" t="s">
        <v>214</v>
      </c>
      <c r="K470" s="127" t="s">
        <v>1785</v>
      </c>
      <c r="L470" s="151" t="s">
        <v>1917</v>
      </c>
      <c r="M470">
        <v>101</v>
      </c>
      <c r="N470" s="123">
        <v>17</v>
      </c>
      <c r="O470">
        <v>295</v>
      </c>
      <c r="P470" s="132" t="s">
        <v>77</v>
      </c>
      <c r="Q470" s="131">
        <v>863</v>
      </c>
      <c r="R470" s="131">
        <v>138.08000000000001</v>
      </c>
      <c r="S470" s="131"/>
      <c r="T470" s="155"/>
      <c r="U470" s="131"/>
      <c r="V470" s="131">
        <f t="shared" si="9"/>
        <v>1001.08</v>
      </c>
      <c r="W470">
        <v>61</v>
      </c>
      <c r="X470" s="151" t="s">
        <v>1644</v>
      </c>
      <c r="Y470" s="135" t="s">
        <v>55</v>
      </c>
      <c r="Z470" s="307" t="s">
        <v>214</v>
      </c>
      <c r="AB470" t="str">
        <f>IF(Table1[[#This Row],[TIPO2]]="costo", VLOOKUP(Table1[[#This Row],[PARTIDA PRESUPUESTAL]],'Cost Report'!G:G,1,0),"Balance")</f>
        <v>2794-003</v>
      </c>
      <c r="AC470" s="118"/>
      <c r="AD470" s="159">
        <f>+Table1[[#This Row],[SUBTOTAL]]+Table1[[#This Row],[IVA]]-Table1[[#This Row],[RET IVA]]-Table1[[#This Row],[RET ISR]]-Table1[[#This Row],[TOTAL]]</f>
        <v>0</v>
      </c>
      <c r="AE470" s="150"/>
      <c r="AF470" s="151"/>
      <c r="AG470" s="126"/>
      <c r="AH470" s="115"/>
      <c r="AK470" s="306" t="str">
        <f>IF(ISNUMBER(Table1[[#This Row],[FECHA DE RECIBIDO]]), Table1[[#This Row],[FECHA DE RECIBIDO]]-DATE(2023,8,30), "")</f>
        <v/>
      </c>
    </row>
    <row r="471" spans="1:37" ht="15" customHeight="1">
      <c r="A471" s="152" t="s">
        <v>1919</v>
      </c>
      <c r="B471" s="153">
        <v>188</v>
      </c>
      <c r="C471" s="126" t="s">
        <v>2596</v>
      </c>
      <c r="D471">
        <v>275</v>
      </c>
      <c r="E471" s="126" t="s">
        <v>2007</v>
      </c>
      <c r="F471" s="125" t="s">
        <v>1607</v>
      </c>
      <c r="G471" s="125" t="s">
        <v>1920</v>
      </c>
      <c r="H471">
        <v>99</v>
      </c>
      <c r="I471" s="125" t="s">
        <v>1637</v>
      </c>
      <c r="J471" s="308">
        <v>190</v>
      </c>
      <c r="K471" s="127" t="s">
        <v>1785</v>
      </c>
      <c r="L471" s="153" t="s">
        <v>1917</v>
      </c>
      <c r="M471">
        <v>134</v>
      </c>
      <c r="N471" s="123">
        <v>17</v>
      </c>
      <c r="O471">
        <v>296</v>
      </c>
      <c r="P471" s="132" t="s">
        <v>77</v>
      </c>
      <c r="Q471" s="132">
        <v>3741.38</v>
      </c>
      <c r="R471" s="132">
        <v>598.62</v>
      </c>
      <c r="S471" s="132"/>
      <c r="T471" s="156"/>
      <c r="U471" s="132"/>
      <c r="V471" s="132">
        <f t="shared" si="9"/>
        <v>4340</v>
      </c>
      <c r="W471">
        <v>61</v>
      </c>
      <c r="X471" s="153" t="s">
        <v>1644</v>
      </c>
      <c r="Y471" s="124" t="s">
        <v>55</v>
      </c>
      <c r="Z471" s="308">
        <v>190</v>
      </c>
      <c r="AB471" t="str">
        <f>IF(Table1[[#This Row],[TIPO2]]="costo", VLOOKUP(Table1[[#This Row],[PARTIDA PRESUPUESTAL]],'Cost Report'!G:G,1,0),"Balance")</f>
        <v>2794-003</v>
      </c>
      <c r="AC471" s="118"/>
      <c r="AD471" s="159">
        <f>+Table1[[#This Row],[SUBTOTAL]]+Table1[[#This Row],[IVA]]-Table1[[#This Row],[RET IVA]]-Table1[[#This Row],[RET ISR]]-Table1[[#This Row],[TOTAL]]</f>
        <v>0</v>
      </c>
      <c r="AE471" s="152"/>
      <c r="AF471" s="153"/>
      <c r="AG471" s="126"/>
      <c r="AH471" s="115"/>
      <c r="AK471" s="306">
        <f>IF(ISNUMBER(Table1[[#This Row],[FECHA DE RECIBIDO]]), Table1[[#This Row],[FECHA DE RECIBIDO]]-DATE(2023,8,30), "")</f>
        <v>-44978</v>
      </c>
    </row>
    <row r="472" spans="1:37" ht="15" customHeight="1">
      <c r="A472" s="150" t="s">
        <v>1919</v>
      </c>
      <c r="B472" s="151">
        <v>188</v>
      </c>
      <c r="C472" s="126" t="s">
        <v>2596</v>
      </c>
      <c r="D472">
        <v>276</v>
      </c>
      <c r="E472" s="126" t="s">
        <v>2008</v>
      </c>
      <c r="F472" s="122" t="s">
        <v>1607</v>
      </c>
      <c r="G472" s="122" t="s">
        <v>1921</v>
      </c>
      <c r="H472">
        <v>100</v>
      </c>
      <c r="I472" s="122" t="s">
        <v>1637</v>
      </c>
      <c r="J472" s="307">
        <v>190</v>
      </c>
      <c r="K472" s="127" t="s">
        <v>1785</v>
      </c>
      <c r="L472" s="151" t="s">
        <v>1917</v>
      </c>
      <c r="M472">
        <v>135</v>
      </c>
      <c r="N472" s="123">
        <v>17</v>
      </c>
      <c r="O472">
        <v>297</v>
      </c>
      <c r="P472" s="132" t="s">
        <v>77</v>
      </c>
      <c r="Q472" s="131">
        <v>154.31</v>
      </c>
      <c r="R472" s="131">
        <v>24.69</v>
      </c>
      <c r="S472" s="131"/>
      <c r="T472" s="155"/>
      <c r="U472" s="131"/>
      <c r="V472" s="131">
        <f t="shared" si="9"/>
        <v>179</v>
      </c>
      <c r="W472">
        <v>61</v>
      </c>
      <c r="X472" s="151" t="s">
        <v>1644</v>
      </c>
      <c r="Y472" s="135" t="s">
        <v>55</v>
      </c>
      <c r="Z472" s="307">
        <v>190</v>
      </c>
      <c r="AB472" t="str">
        <f>IF(Table1[[#This Row],[TIPO2]]="costo", VLOOKUP(Table1[[#This Row],[PARTIDA PRESUPUESTAL]],'Cost Report'!G:G,1,0),"Balance")</f>
        <v>2794-003</v>
      </c>
      <c r="AC472" s="118"/>
      <c r="AD472" s="159">
        <f>+Table1[[#This Row],[SUBTOTAL]]+Table1[[#This Row],[IVA]]-Table1[[#This Row],[RET IVA]]-Table1[[#This Row],[RET ISR]]-Table1[[#This Row],[TOTAL]]</f>
        <v>0</v>
      </c>
      <c r="AE472" s="150"/>
      <c r="AF472" s="151"/>
      <c r="AG472" s="126"/>
      <c r="AH472" s="115"/>
      <c r="AK472" s="306">
        <f>IF(ISNUMBER(Table1[[#This Row],[FECHA DE RECIBIDO]]), Table1[[#This Row],[FECHA DE RECIBIDO]]-DATE(2023,8,30), "")</f>
        <v>-44978</v>
      </c>
    </row>
    <row r="473" spans="1:37" ht="15" customHeight="1">
      <c r="A473" s="152" t="s">
        <v>1919</v>
      </c>
      <c r="B473" s="153">
        <v>188</v>
      </c>
      <c r="C473" s="126" t="s">
        <v>2596</v>
      </c>
      <c r="D473">
        <v>277</v>
      </c>
      <c r="E473" s="126" t="s">
        <v>2009</v>
      </c>
      <c r="F473" s="125" t="s">
        <v>1607</v>
      </c>
      <c r="G473" s="125" t="s">
        <v>1922</v>
      </c>
      <c r="H473">
        <v>101</v>
      </c>
      <c r="I473" s="125" t="s">
        <v>1637</v>
      </c>
      <c r="J473" s="308">
        <v>190</v>
      </c>
      <c r="K473" s="127" t="s">
        <v>1785</v>
      </c>
      <c r="L473" s="153" t="s">
        <v>1917</v>
      </c>
      <c r="M473">
        <v>136</v>
      </c>
      <c r="N473" s="123">
        <v>17</v>
      </c>
      <c r="O473">
        <v>298</v>
      </c>
      <c r="P473" s="132" t="s">
        <v>77</v>
      </c>
      <c r="Q473" s="132">
        <v>2585.35</v>
      </c>
      <c r="R473" s="132">
        <v>413.66</v>
      </c>
      <c r="S473" s="132"/>
      <c r="T473" s="156"/>
      <c r="U473" s="132"/>
      <c r="V473" s="132">
        <f t="shared" si="9"/>
        <v>2999.0099999999998</v>
      </c>
      <c r="W473">
        <v>61</v>
      </c>
      <c r="X473" s="153" t="s">
        <v>1644</v>
      </c>
      <c r="Y473" s="124" t="s">
        <v>55</v>
      </c>
      <c r="Z473" s="308">
        <v>190</v>
      </c>
      <c r="AB473" t="str">
        <f>IF(Table1[[#This Row],[TIPO2]]="costo", VLOOKUP(Table1[[#This Row],[PARTIDA PRESUPUESTAL]],'Cost Report'!G:G,1,0),"Balance")</f>
        <v>2794-003</v>
      </c>
      <c r="AC473" s="118"/>
      <c r="AD473" s="159">
        <f>+Table1[[#This Row],[SUBTOTAL]]+Table1[[#This Row],[IVA]]-Table1[[#This Row],[RET IVA]]-Table1[[#This Row],[RET ISR]]-Table1[[#This Row],[TOTAL]]</f>
        <v>0</v>
      </c>
      <c r="AE473" s="152"/>
      <c r="AF473" s="153"/>
      <c r="AG473" s="126"/>
      <c r="AH473" s="115"/>
      <c r="AK473" s="306">
        <f>IF(ISNUMBER(Table1[[#This Row],[FECHA DE RECIBIDO]]), Table1[[#This Row],[FECHA DE RECIBIDO]]-DATE(2023,8,30), "")</f>
        <v>-44978</v>
      </c>
    </row>
    <row r="474" spans="1:37" ht="15" customHeight="1">
      <c r="A474" s="150" t="s">
        <v>1919</v>
      </c>
      <c r="B474" s="151">
        <v>188</v>
      </c>
      <c r="C474" s="126" t="s">
        <v>2596</v>
      </c>
      <c r="D474">
        <v>278</v>
      </c>
      <c r="E474" s="126" t="s">
        <v>2009</v>
      </c>
      <c r="F474" s="122" t="s">
        <v>1607</v>
      </c>
      <c r="G474" s="122" t="s">
        <v>1922</v>
      </c>
      <c r="H474">
        <v>101</v>
      </c>
      <c r="I474" s="122" t="s">
        <v>1637</v>
      </c>
      <c r="J474" s="307">
        <v>190</v>
      </c>
      <c r="K474" s="127" t="s">
        <v>1785</v>
      </c>
      <c r="L474" s="151" t="s">
        <v>1917</v>
      </c>
      <c r="M474">
        <v>136</v>
      </c>
      <c r="N474" s="123">
        <v>17</v>
      </c>
      <c r="O474">
        <v>299</v>
      </c>
      <c r="P474" s="132" t="s">
        <v>77</v>
      </c>
      <c r="Q474" s="131">
        <v>5687.07</v>
      </c>
      <c r="R474" s="131">
        <v>909.93</v>
      </c>
      <c r="S474" s="131"/>
      <c r="T474" s="155"/>
      <c r="U474" s="131"/>
      <c r="V474" s="131">
        <f t="shared" si="9"/>
        <v>6597</v>
      </c>
      <c r="W474">
        <v>61</v>
      </c>
      <c r="X474" s="151" t="s">
        <v>1644</v>
      </c>
      <c r="Y474" s="135" t="s">
        <v>55</v>
      </c>
      <c r="Z474" s="307">
        <v>190</v>
      </c>
      <c r="AB474" t="str">
        <f>IF(Table1[[#This Row],[TIPO2]]="costo", VLOOKUP(Table1[[#This Row],[PARTIDA PRESUPUESTAL]],'Cost Report'!G:G,1,0),"Balance")</f>
        <v>2794-003</v>
      </c>
      <c r="AC474" s="118"/>
      <c r="AD474" s="159">
        <f>+Table1[[#This Row],[SUBTOTAL]]+Table1[[#This Row],[IVA]]-Table1[[#This Row],[RET IVA]]-Table1[[#This Row],[RET ISR]]-Table1[[#This Row],[TOTAL]]</f>
        <v>0</v>
      </c>
      <c r="AE474" s="150"/>
      <c r="AF474" s="151"/>
      <c r="AG474" s="126"/>
      <c r="AH474" s="115"/>
      <c r="AK474" s="306">
        <f>IF(ISNUMBER(Table1[[#This Row],[FECHA DE RECIBIDO]]), Table1[[#This Row],[FECHA DE RECIBIDO]]-DATE(2023,8,30), "")</f>
        <v>-44978</v>
      </c>
    </row>
    <row r="475" spans="1:37" ht="15" customHeight="1">
      <c r="A475" s="152" t="s">
        <v>1919</v>
      </c>
      <c r="B475" s="153">
        <v>188</v>
      </c>
      <c r="C475" s="126" t="s">
        <v>2596</v>
      </c>
      <c r="D475">
        <v>279</v>
      </c>
      <c r="E475" s="126" t="s">
        <v>2008</v>
      </c>
      <c r="F475" s="125" t="s">
        <v>1607</v>
      </c>
      <c r="G475" s="125" t="s">
        <v>1921</v>
      </c>
      <c r="H475">
        <v>100</v>
      </c>
      <c r="I475" s="125" t="s">
        <v>1637</v>
      </c>
      <c r="J475" s="308">
        <v>190</v>
      </c>
      <c r="K475" s="127" t="s">
        <v>1785</v>
      </c>
      <c r="L475" s="153" t="s">
        <v>1917</v>
      </c>
      <c r="M475">
        <v>135</v>
      </c>
      <c r="N475" s="123">
        <v>17</v>
      </c>
      <c r="O475">
        <v>300</v>
      </c>
      <c r="P475" s="132" t="s">
        <v>77</v>
      </c>
      <c r="Q475" s="132">
        <v>601.72</v>
      </c>
      <c r="R475" s="132">
        <v>96.28</v>
      </c>
      <c r="S475" s="132"/>
      <c r="T475" s="156"/>
      <c r="U475" s="132"/>
      <c r="V475" s="132">
        <f t="shared" si="9"/>
        <v>698</v>
      </c>
      <c r="W475">
        <v>61</v>
      </c>
      <c r="X475" s="153" t="s">
        <v>1644</v>
      </c>
      <c r="Y475" s="124" t="s">
        <v>55</v>
      </c>
      <c r="Z475" s="308">
        <v>190</v>
      </c>
      <c r="AB475" t="str">
        <f>IF(Table1[[#This Row],[TIPO2]]="costo", VLOOKUP(Table1[[#This Row],[PARTIDA PRESUPUESTAL]],'Cost Report'!G:G,1,0),"Balance")</f>
        <v>2794-003</v>
      </c>
      <c r="AC475" s="118"/>
      <c r="AD475" s="159">
        <f>+Table1[[#This Row],[SUBTOTAL]]+Table1[[#This Row],[IVA]]-Table1[[#This Row],[RET IVA]]-Table1[[#This Row],[RET ISR]]-Table1[[#This Row],[TOTAL]]</f>
        <v>0</v>
      </c>
      <c r="AE475" s="152"/>
      <c r="AF475" s="153"/>
      <c r="AG475" s="126"/>
      <c r="AH475" s="115"/>
      <c r="AK475" s="306">
        <f>IF(ISNUMBER(Table1[[#This Row],[FECHA DE RECIBIDO]]), Table1[[#This Row],[FECHA DE RECIBIDO]]-DATE(2023,8,30), "")</f>
        <v>-44978</v>
      </c>
    </row>
    <row r="476" spans="1:37" ht="15" customHeight="1">
      <c r="A476" s="150" t="s">
        <v>1919</v>
      </c>
      <c r="B476" s="151">
        <v>188</v>
      </c>
      <c r="C476" s="126" t="s">
        <v>2596</v>
      </c>
      <c r="D476">
        <v>280</v>
      </c>
      <c r="E476" s="126" t="s">
        <v>2008</v>
      </c>
      <c r="F476" s="122" t="s">
        <v>1607</v>
      </c>
      <c r="G476" s="122" t="s">
        <v>1923</v>
      </c>
      <c r="H476">
        <v>102</v>
      </c>
      <c r="I476" s="122" t="s">
        <v>1637</v>
      </c>
      <c r="J476" s="307">
        <v>190</v>
      </c>
      <c r="K476" s="127" t="s">
        <v>1785</v>
      </c>
      <c r="L476" s="151" t="s">
        <v>1917</v>
      </c>
      <c r="M476">
        <v>137</v>
      </c>
      <c r="N476" s="123">
        <v>17</v>
      </c>
      <c r="O476">
        <v>301</v>
      </c>
      <c r="P476" s="132" t="s">
        <v>77</v>
      </c>
      <c r="Q476" s="131">
        <v>1720.7</v>
      </c>
      <c r="R476" s="131">
        <v>275.3</v>
      </c>
      <c r="S476" s="131"/>
      <c r="T476" s="155"/>
      <c r="U476" s="131"/>
      <c r="V476" s="131">
        <f t="shared" si="9"/>
        <v>1996</v>
      </c>
      <c r="W476">
        <v>61</v>
      </c>
      <c r="X476" s="151" t="s">
        <v>1644</v>
      </c>
      <c r="Y476" s="135" t="s">
        <v>55</v>
      </c>
      <c r="Z476" s="307">
        <v>190</v>
      </c>
      <c r="AB476" t="str">
        <f>IF(Table1[[#This Row],[TIPO2]]="costo", VLOOKUP(Table1[[#This Row],[PARTIDA PRESUPUESTAL]],'Cost Report'!G:G,1,0),"Balance")</f>
        <v>2794-003</v>
      </c>
      <c r="AC476" s="118"/>
      <c r="AD476" s="159">
        <f>+Table1[[#This Row],[SUBTOTAL]]+Table1[[#This Row],[IVA]]-Table1[[#This Row],[RET IVA]]-Table1[[#This Row],[RET ISR]]-Table1[[#This Row],[TOTAL]]</f>
        <v>0</v>
      </c>
      <c r="AE476" s="150"/>
      <c r="AF476" s="151"/>
      <c r="AG476" s="126"/>
      <c r="AH476" s="115"/>
      <c r="AK476" s="306">
        <f>IF(ISNUMBER(Table1[[#This Row],[FECHA DE RECIBIDO]]), Table1[[#This Row],[FECHA DE RECIBIDO]]-DATE(2023,8,30), "")</f>
        <v>-44978</v>
      </c>
    </row>
    <row r="477" spans="1:37" ht="15" customHeight="1">
      <c r="A477" s="152" t="s">
        <v>1919</v>
      </c>
      <c r="B477" s="153">
        <v>188</v>
      </c>
      <c r="C477" s="126" t="s">
        <v>2596</v>
      </c>
      <c r="D477">
        <v>281</v>
      </c>
      <c r="E477" s="126" t="s">
        <v>2008</v>
      </c>
      <c r="F477" s="125" t="s">
        <v>1607</v>
      </c>
      <c r="G477" s="125" t="s">
        <v>1921</v>
      </c>
      <c r="H477">
        <v>100</v>
      </c>
      <c r="I477" s="125" t="s">
        <v>1637</v>
      </c>
      <c r="J477" s="308">
        <v>190</v>
      </c>
      <c r="K477" s="127" t="s">
        <v>1785</v>
      </c>
      <c r="L477" s="153" t="s">
        <v>1917</v>
      </c>
      <c r="M477">
        <v>135</v>
      </c>
      <c r="N477" s="123">
        <v>17</v>
      </c>
      <c r="O477">
        <v>302</v>
      </c>
      <c r="P477" s="132" t="s">
        <v>77</v>
      </c>
      <c r="Q477" s="132">
        <v>1719.83</v>
      </c>
      <c r="R477" s="132">
        <v>275.17</v>
      </c>
      <c r="S477" s="132"/>
      <c r="T477" s="156"/>
      <c r="U477" s="132"/>
      <c r="V477" s="132">
        <f t="shared" si="9"/>
        <v>1995</v>
      </c>
      <c r="W477">
        <v>61</v>
      </c>
      <c r="X477" s="153" t="s">
        <v>1644</v>
      </c>
      <c r="Y477" s="124" t="s">
        <v>55</v>
      </c>
      <c r="Z477" s="308">
        <v>190</v>
      </c>
      <c r="AB477" t="str">
        <f>IF(Table1[[#This Row],[TIPO2]]="costo", VLOOKUP(Table1[[#This Row],[PARTIDA PRESUPUESTAL]],'Cost Report'!G:G,1,0),"Balance")</f>
        <v>2794-003</v>
      </c>
      <c r="AC477" s="118"/>
      <c r="AD477" s="159">
        <f>+Table1[[#This Row],[SUBTOTAL]]+Table1[[#This Row],[IVA]]-Table1[[#This Row],[RET IVA]]-Table1[[#This Row],[RET ISR]]-Table1[[#This Row],[TOTAL]]</f>
        <v>0</v>
      </c>
      <c r="AE477" s="152"/>
      <c r="AF477" s="153"/>
      <c r="AG477" s="126"/>
      <c r="AH477" s="115"/>
      <c r="AK477" s="306">
        <f>IF(ISNUMBER(Table1[[#This Row],[FECHA DE RECIBIDO]]), Table1[[#This Row],[FECHA DE RECIBIDO]]-DATE(2023,8,30), "")</f>
        <v>-44978</v>
      </c>
    </row>
    <row r="478" spans="1:37" ht="15" customHeight="1">
      <c r="A478" s="150" t="s">
        <v>1919</v>
      </c>
      <c r="B478" s="151">
        <v>188</v>
      </c>
      <c r="C478" s="126" t="s">
        <v>2596</v>
      </c>
      <c r="D478">
        <v>282</v>
      </c>
      <c r="E478" s="126" t="s">
        <v>2008</v>
      </c>
      <c r="F478" s="122" t="s">
        <v>1607</v>
      </c>
      <c r="G478" s="122" t="s">
        <v>1923</v>
      </c>
      <c r="H478">
        <v>102</v>
      </c>
      <c r="I478" s="122" t="s">
        <v>1637</v>
      </c>
      <c r="J478" s="307">
        <v>308</v>
      </c>
      <c r="K478" s="127" t="s">
        <v>1785</v>
      </c>
      <c r="L478" s="151" t="s">
        <v>1917</v>
      </c>
      <c r="M478">
        <v>137</v>
      </c>
      <c r="N478" s="123">
        <v>17</v>
      </c>
      <c r="O478">
        <v>303</v>
      </c>
      <c r="P478" s="132" t="s">
        <v>77</v>
      </c>
      <c r="Q478" s="131">
        <v>1854.31</v>
      </c>
      <c r="R478" s="131">
        <v>296.69</v>
      </c>
      <c r="S478" s="131"/>
      <c r="T478" s="155"/>
      <c r="U478" s="131"/>
      <c r="V478" s="131">
        <f t="shared" si="9"/>
        <v>2151</v>
      </c>
      <c r="W478">
        <v>61</v>
      </c>
      <c r="X478" s="151" t="s">
        <v>1644</v>
      </c>
      <c r="Y478" s="135" t="s">
        <v>55</v>
      </c>
      <c r="Z478" s="307">
        <v>308</v>
      </c>
      <c r="AB478" t="str">
        <f>IF(Table1[[#This Row],[TIPO2]]="costo", VLOOKUP(Table1[[#This Row],[PARTIDA PRESUPUESTAL]],'Cost Report'!G:G,1,0),"Balance")</f>
        <v>2794-003</v>
      </c>
      <c r="AC478" s="118"/>
      <c r="AD478" s="159">
        <f>+Table1[[#This Row],[SUBTOTAL]]+Table1[[#This Row],[IVA]]-Table1[[#This Row],[RET IVA]]-Table1[[#This Row],[RET ISR]]-Table1[[#This Row],[TOTAL]]</f>
        <v>0</v>
      </c>
      <c r="AE478" s="150"/>
      <c r="AF478" s="151"/>
      <c r="AG478" s="126"/>
      <c r="AH478" s="115"/>
      <c r="AK478" s="306">
        <f>IF(ISNUMBER(Table1[[#This Row],[FECHA DE RECIBIDO]]), Table1[[#This Row],[FECHA DE RECIBIDO]]-DATE(2023,8,30), "")</f>
        <v>-44860</v>
      </c>
    </row>
    <row r="479" spans="1:37" ht="15" customHeight="1">
      <c r="A479" s="152" t="s">
        <v>1919</v>
      </c>
      <c r="B479" s="153">
        <v>188</v>
      </c>
      <c r="C479" s="126" t="s">
        <v>2596</v>
      </c>
      <c r="D479">
        <v>283</v>
      </c>
      <c r="E479" s="126" t="s">
        <v>2008</v>
      </c>
      <c r="F479" s="125" t="s">
        <v>1607</v>
      </c>
      <c r="G479" s="125" t="s">
        <v>1923</v>
      </c>
      <c r="H479">
        <v>102</v>
      </c>
      <c r="I479" s="125" t="s">
        <v>1637</v>
      </c>
      <c r="J479" s="308">
        <v>339</v>
      </c>
      <c r="K479" s="127" t="s">
        <v>1785</v>
      </c>
      <c r="L479" s="153" t="s">
        <v>1917</v>
      </c>
      <c r="M479">
        <v>137</v>
      </c>
      <c r="N479" s="123">
        <v>17</v>
      </c>
      <c r="O479">
        <v>304</v>
      </c>
      <c r="P479" s="132" t="s">
        <v>77</v>
      </c>
      <c r="Q479" s="132">
        <v>688.79</v>
      </c>
      <c r="R479" s="132">
        <v>110.21</v>
      </c>
      <c r="S479" s="132"/>
      <c r="T479" s="156"/>
      <c r="U479" s="132"/>
      <c r="V479" s="132">
        <f t="shared" si="9"/>
        <v>799</v>
      </c>
      <c r="W479">
        <v>61</v>
      </c>
      <c r="X479" s="153" t="s">
        <v>1644</v>
      </c>
      <c r="Y479" s="124" t="s">
        <v>55</v>
      </c>
      <c r="Z479" s="308">
        <v>339</v>
      </c>
      <c r="AB479" t="str">
        <f>IF(Table1[[#This Row],[TIPO2]]="costo", VLOOKUP(Table1[[#This Row],[PARTIDA PRESUPUESTAL]],'Cost Report'!G:G,1,0),"Balance")</f>
        <v>2794-003</v>
      </c>
      <c r="AC479" s="118"/>
      <c r="AD479" s="159">
        <f>+Table1[[#This Row],[SUBTOTAL]]+Table1[[#This Row],[IVA]]-Table1[[#This Row],[RET IVA]]-Table1[[#This Row],[RET ISR]]-Table1[[#This Row],[TOTAL]]</f>
        <v>0</v>
      </c>
      <c r="AE479" s="152"/>
      <c r="AF479" s="153"/>
      <c r="AG479" s="126"/>
      <c r="AH479" s="115"/>
      <c r="AK479" s="306">
        <f>IF(ISNUMBER(Table1[[#This Row],[FECHA DE RECIBIDO]]), Table1[[#This Row],[FECHA DE RECIBIDO]]-DATE(2023,8,30), "")</f>
        <v>-44829</v>
      </c>
    </row>
    <row r="480" spans="1:37" ht="15" customHeight="1">
      <c r="A480" s="150" t="s">
        <v>1919</v>
      </c>
      <c r="B480" s="151">
        <v>188</v>
      </c>
      <c r="C480" s="126" t="s">
        <v>2596</v>
      </c>
      <c r="D480">
        <v>284</v>
      </c>
      <c r="E480" s="126" t="s">
        <v>2008</v>
      </c>
      <c r="F480" s="122" t="s">
        <v>1607</v>
      </c>
      <c r="G480" s="122" t="s">
        <v>1921</v>
      </c>
      <c r="H480">
        <v>100</v>
      </c>
      <c r="I480" s="122" t="s">
        <v>1637</v>
      </c>
      <c r="J480" s="307">
        <v>339</v>
      </c>
      <c r="K480" s="127" t="s">
        <v>1785</v>
      </c>
      <c r="L480" s="151" t="s">
        <v>1917</v>
      </c>
      <c r="M480">
        <v>135</v>
      </c>
      <c r="N480" s="123">
        <v>17</v>
      </c>
      <c r="O480">
        <v>305</v>
      </c>
      <c r="P480" s="132" t="s">
        <v>77</v>
      </c>
      <c r="Q480" s="131">
        <v>387.07</v>
      </c>
      <c r="R480" s="131">
        <v>61.93</v>
      </c>
      <c r="S480" s="131"/>
      <c r="T480" s="155"/>
      <c r="U480" s="131"/>
      <c r="V480" s="131">
        <f t="shared" si="9"/>
        <v>449</v>
      </c>
      <c r="W480">
        <v>61</v>
      </c>
      <c r="X480" s="151" t="s">
        <v>1644</v>
      </c>
      <c r="Y480" s="135" t="s">
        <v>55</v>
      </c>
      <c r="Z480" s="307">
        <v>339</v>
      </c>
      <c r="AB480" t="str">
        <f>IF(Table1[[#This Row],[TIPO2]]="costo", VLOOKUP(Table1[[#This Row],[PARTIDA PRESUPUESTAL]],'Cost Report'!G:G,1,0),"Balance")</f>
        <v>2794-003</v>
      </c>
      <c r="AC480" s="118"/>
      <c r="AD480" s="159">
        <f>+Table1[[#This Row],[SUBTOTAL]]+Table1[[#This Row],[IVA]]-Table1[[#This Row],[RET IVA]]-Table1[[#This Row],[RET ISR]]-Table1[[#This Row],[TOTAL]]</f>
        <v>0</v>
      </c>
      <c r="AE480" s="150"/>
      <c r="AF480" s="151"/>
      <c r="AG480" s="126"/>
      <c r="AH480" s="115"/>
      <c r="AK480" s="306">
        <f>IF(ISNUMBER(Table1[[#This Row],[FECHA DE RECIBIDO]]), Table1[[#This Row],[FECHA DE RECIBIDO]]-DATE(2023,8,30), "")</f>
        <v>-44829</v>
      </c>
    </row>
    <row r="481" spans="1:37" ht="15" customHeight="1">
      <c r="A481" s="152" t="s">
        <v>1926</v>
      </c>
      <c r="B481" s="153">
        <v>192</v>
      </c>
      <c r="C481" s="126" t="s">
        <v>2596</v>
      </c>
      <c r="D481">
        <v>285</v>
      </c>
      <c r="E481" s="126" t="s">
        <v>2004</v>
      </c>
      <c r="F481" s="125" t="s">
        <v>1607</v>
      </c>
      <c r="G481" s="125" t="s">
        <v>134</v>
      </c>
      <c r="H481">
        <v>96</v>
      </c>
      <c r="I481" s="125" t="s">
        <v>1637</v>
      </c>
      <c r="J481" s="308" t="s">
        <v>214</v>
      </c>
      <c r="K481" s="127" t="s">
        <v>1785</v>
      </c>
      <c r="L481" s="153" t="s">
        <v>1917</v>
      </c>
      <c r="M481">
        <v>131</v>
      </c>
      <c r="N481" s="123">
        <v>17</v>
      </c>
      <c r="O481">
        <v>306</v>
      </c>
      <c r="P481" s="132" t="s">
        <v>77</v>
      </c>
      <c r="Q481" s="132">
        <v>11030.61</v>
      </c>
      <c r="R481" s="132">
        <v>1764.9</v>
      </c>
      <c r="S481" s="132"/>
      <c r="T481" s="156"/>
      <c r="U481" s="132"/>
      <c r="V481" s="132">
        <f t="shared" si="9"/>
        <v>12795.51</v>
      </c>
      <c r="W481">
        <v>61</v>
      </c>
      <c r="X481" s="153" t="s">
        <v>1644</v>
      </c>
      <c r="Y481" s="124" t="s">
        <v>55</v>
      </c>
      <c r="Z481" s="308">
        <v>181</v>
      </c>
      <c r="AB481" t="str">
        <f>IF(Table1[[#This Row],[TIPO2]]="costo", VLOOKUP(Table1[[#This Row],[PARTIDA PRESUPUESTAL]],'Cost Report'!G:G,1,0),"Balance")</f>
        <v>2794-003</v>
      </c>
      <c r="AC481" s="118"/>
      <c r="AD481" s="159">
        <f>+Table1[[#This Row],[SUBTOTAL]]+Table1[[#This Row],[IVA]]-Table1[[#This Row],[RET IVA]]-Table1[[#This Row],[RET ISR]]-Table1[[#This Row],[TOTAL]]</f>
        <v>0</v>
      </c>
      <c r="AE481" s="152"/>
      <c r="AF481" s="153"/>
      <c r="AG481" s="126"/>
      <c r="AH481" s="115"/>
      <c r="AK481" s="306" t="str">
        <f>IF(ISNUMBER(Table1[[#This Row],[FECHA DE RECIBIDO]]), Table1[[#This Row],[FECHA DE RECIBIDO]]-DATE(2023,8,30), "")</f>
        <v/>
      </c>
    </row>
    <row r="482" spans="1:37" ht="16.05" customHeight="1">
      <c r="A482" s="150"/>
      <c r="B482" s="151"/>
      <c r="C482" s="126" t="s">
        <v>71</v>
      </c>
      <c r="D482"/>
      <c r="E482" s="126"/>
      <c r="F482" s="122"/>
      <c r="G482" s="122"/>
      <c r="H482"/>
      <c r="I482" s="122"/>
      <c r="J482" s="307" t="s">
        <v>214</v>
      </c>
      <c r="K482" s="127" t="s">
        <v>1785</v>
      </c>
      <c r="L482" s="151" t="s">
        <v>1643</v>
      </c>
      <c r="M482">
        <v>113</v>
      </c>
      <c r="N482" s="123"/>
      <c r="O482">
        <v>240</v>
      </c>
      <c r="P482" s="131" t="s">
        <v>78</v>
      </c>
      <c r="Q482" s="131">
        <v>-71848.28</v>
      </c>
      <c r="R482" s="131"/>
      <c r="S482" s="131"/>
      <c r="T482" s="155"/>
      <c r="U482" s="131"/>
      <c r="V482" s="131">
        <f>+Table1[[#This Row],[SUBTOTAL]]+Table1[[#This Row],[IVA]]-Table1[[#This Row],[RET IVA]]-Table1[[#This Row],[RET ISR]]</f>
        <v>-71848.28</v>
      </c>
      <c r="W482"/>
      <c r="X482" s="151"/>
      <c r="Y482" s="135" t="s">
        <v>55</v>
      </c>
      <c r="Z482" s="307" t="s">
        <v>214</v>
      </c>
      <c r="AB482" t="str">
        <f>IF(Table1[[#This Row],[TIPO2]]="costo", VLOOKUP(Table1[[#This Row],[PARTIDA PRESUPUESTAL]],'Cost Report'!G:G,1,0),"Balance")</f>
        <v>Balance</v>
      </c>
      <c r="AC482" s="118"/>
      <c r="AD482" s="159">
        <f>+Table1[[#This Row],[SUBTOTAL]]+Table1[[#This Row],[IVA]]-Table1[[#This Row],[RET IVA]]-Table1[[#This Row],[RET ISR]]-Table1[[#This Row],[TOTAL]]</f>
        <v>0</v>
      </c>
      <c r="AE482" s="150"/>
      <c r="AF482" s="151"/>
      <c r="AG482" s="126"/>
      <c r="AK482" s="306" t="str">
        <f>IF(ISNUMBER(Table1[[#This Row],[FECHA DE RECIBIDO]]), Table1[[#This Row],[FECHA DE RECIBIDO]]-DATE(2023,8,30), "")</f>
        <v/>
      </c>
    </row>
    <row r="483" spans="1:37" ht="15" customHeight="1">
      <c r="A483" s="152" t="s">
        <v>1924</v>
      </c>
      <c r="B483" s="153">
        <v>189</v>
      </c>
      <c r="C483" s="126" t="s">
        <v>2354</v>
      </c>
      <c r="D483"/>
      <c r="E483" s="126" t="s">
        <v>1911</v>
      </c>
      <c r="F483" s="125" t="s">
        <v>1911</v>
      </c>
      <c r="G483" s="125" t="s">
        <v>1911</v>
      </c>
      <c r="H483"/>
      <c r="I483" s="125" t="s">
        <v>1911</v>
      </c>
      <c r="J483" s="308" t="s">
        <v>214</v>
      </c>
      <c r="K483" s="127" t="s">
        <v>1785</v>
      </c>
      <c r="L483" s="153" t="s">
        <v>118</v>
      </c>
      <c r="M483">
        <v>138</v>
      </c>
      <c r="N483" s="123">
        <v>1</v>
      </c>
      <c r="O483">
        <v>307</v>
      </c>
      <c r="P483" s="132" t="s">
        <v>77</v>
      </c>
      <c r="Q483" s="132">
        <v>6835.5</v>
      </c>
      <c r="R483" s="132">
        <f>Q483*0.16</f>
        <v>1093.68</v>
      </c>
      <c r="S483" s="132"/>
      <c r="T483" s="156">
        <v>0</v>
      </c>
      <c r="U483" s="132">
        <v>0</v>
      </c>
      <c r="V483" s="132">
        <f>Q483+R483+S483</f>
        <v>7929.18</v>
      </c>
      <c r="W483">
        <v>63</v>
      </c>
      <c r="X483" s="153" t="s">
        <v>111</v>
      </c>
      <c r="Y483" s="124" t="s">
        <v>55</v>
      </c>
      <c r="Z483" s="308" t="s">
        <v>214</v>
      </c>
      <c r="AB483" t="str">
        <f>IF(Table1[[#This Row],[TIPO2]]="costo", VLOOKUP(Table1[[#This Row],[PARTIDA PRESUPUESTAL]],'Cost Report'!G:G,1,0),"Balance")</f>
        <v>1641-012</v>
      </c>
      <c r="AC483" s="118"/>
      <c r="AD483" s="159">
        <f>+Table1[[#This Row],[SUBTOTAL]]+Table1[[#This Row],[IVA]]-Table1[[#This Row],[RET IVA]]-Table1[[#This Row],[RET ISR]]-Table1[[#This Row],[TOTAL]]</f>
        <v>0</v>
      </c>
      <c r="AE483" s="152"/>
      <c r="AF483" s="153"/>
      <c r="AG483" s="126"/>
      <c r="AH483" s="115"/>
      <c r="AK483" s="306" t="str">
        <f>IF(ISNUMBER(Table1[[#This Row],[FECHA DE RECIBIDO]]), Table1[[#This Row],[FECHA DE RECIBIDO]]-DATE(2023,8,30), "")</f>
        <v/>
      </c>
    </row>
    <row r="484" spans="1:37" ht="15" customHeight="1">
      <c r="A484" s="150" t="s">
        <v>1924</v>
      </c>
      <c r="B484" s="151">
        <v>189</v>
      </c>
      <c r="C484" s="126" t="s">
        <v>1418</v>
      </c>
      <c r="D484"/>
      <c r="E484" s="126" t="s">
        <v>1911</v>
      </c>
      <c r="F484" s="122" t="s">
        <v>1911</v>
      </c>
      <c r="G484" s="122" t="s">
        <v>1911</v>
      </c>
      <c r="H484"/>
      <c r="I484" s="122" t="s">
        <v>1911</v>
      </c>
      <c r="J484" s="307" t="s">
        <v>214</v>
      </c>
      <c r="K484" s="127" t="s">
        <v>1785</v>
      </c>
      <c r="L484" s="151" t="s">
        <v>118</v>
      </c>
      <c r="M484">
        <v>138</v>
      </c>
      <c r="N484" s="123">
        <v>1</v>
      </c>
      <c r="O484">
        <v>307</v>
      </c>
      <c r="P484" s="132" t="s">
        <v>77</v>
      </c>
      <c r="Q484" s="131">
        <v>239.24</v>
      </c>
      <c r="R484" s="131"/>
      <c r="S484" s="131"/>
      <c r="T484" s="155">
        <v>0</v>
      </c>
      <c r="U484" s="131"/>
      <c r="V484" s="131">
        <f>+Table1[[#This Row],[SUBTOTAL]]+Table1[[#This Row],[IVA]]-Table1[[#This Row],[RET IVA]]-Table1[[#This Row],[RET ISR]]</f>
        <v>239.24</v>
      </c>
      <c r="W484">
        <v>63</v>
      </c>
      <c r="X484" s="151" t="s">
        <v>111</v>
      </c>
      <c r="Y484" s="135" t="s">
        <v>55</v>
      </c>
      <c r="Z484" s="307" t="s">
        <v>214</v>
      </c>
      <c r="AB484" t="str">
        <f>IF(Table1[[#This Row],[TIPO2]]="costo", VLOOKUP(Table1[[#This Row],[PARTIDA PRESUPUESTAL]],'Cost Report'!G:G,1,0),"Balance")</f>
        <v>1699-001</v>
      </c>
      <c r="AC484" s="118"/>
      <c r="AD484" s="159">
        <f>+Table1[[#This Row],[SUBTOTAL]]+Table1[[#This Row],[IVA]]-Table1[[#This Row],[RET IVA]]-Table1[[#This Row],[RET ISR]]-Table1[[#This Row],[TOTAL]]</f>
        <v>0</v>
      </c>
      <c r="AE484" s="150"/>
      <c r="AF484" s="151"/>
      <c r="AG484" s="126"/>
      <c r="AH484" s="115"/>
      <c r="AK484" s="306" t="str">
        <f>IF(ISNUMBER(Table1[[#This Row],[FECHA DE RECIBIDO]]), Table1[[#This Row],[FECHA DE RECIBIDO]]-DATE(2023,8,30), "")</f>
        <v/>
      </c>
    </row>
    <row r="485" spans="1:37" ht="15" customHeight="1">
      <c r="A485" s="152"/>
      <c r="B485" s="153">
        <v>190</v>
      </c>
      <c r="C485" s="126" t="s">
        <v>69</v>
      </c>
      <c r="D485"/>
      <c r="E485" s="126" t="s">
        <v>1911</v>
      </c>
      <c r="F485" s="125" t="s">
        <v>1911</v>
      </c>
      <c r="G485" s="125" t="s">
        <v>1911</v>
      </c>
      <c r="H485"/>
      <c r="I485" s="125" t="s">
        <v>1911</v>
      </c>
      <c r="J485" s="308" t="s">
        <v>214</v>
      </c>
      <c r="K485" s="127" t="s">
        <v>1785</v>
      </c>
      <c r="L485" s="153" t="s">
        <v>118</v>
      </c>
      <c r="M485">
        <v>139</v>
      </c>
      <c r="N485" s="123">
        <v>1</v>
      </c>
      <c r="O485">
        <v>308</v>
      </c>
      <c r="P485" s="131" t="s">
        <v>78</v>
      </c>
      <c r="Q485" s="236">
        <v>15000</v>
      </c>
      <c r="R485" s="132">
        <v>0</v>
      </c>
      <c r="S485" s="132">
        <v>0</v>
      </c>
      <c r="T485" s="156">
        <v>0</v>
      </c>
      <c r="U485" s="132">
        <v>0</v>
      </c>
      <c r="V485" s="132">
        <f>Q485</f>
        <v>15000</v>
      </c>
      <c r="W485">
        <v>64</v>
      </c>
      <c r="X485" s="153" t="s">
        <v>1925</v>
      </c>
      <c r="Y485" s="124" t="s">
        <v>55</v>
      </c>
      <c r="Z485" s="308" t="s">
        <v>214</v>
      </c>
      <c r="AB485" t="str">
        <f>IF(Table1[[#This Row],[TIPO2]]="costo", VLOOKUP(Table1[[#This Row],[PARTIDA PRESUPUESTAL]],'Cost Report'!G:G,1,0),"Balance")</f>
        <v>Balance</v>
      </c>
      <c r="AC485" s="118"/>
      <c r="AD485" s="159">
        <f>+Table1[[#This Row],[SUBTOTAL]]+Table1[[#This Row],[IVA]]-Table1[[#This Row],[RET IVA]]-Table1[[#This Row],[RET ISR]]-Table1[[#This Row],[TOTAL]]</f>
        <v>0</v>
      </c>
      <c r="AE485" s="152"/>
      <c r="AF485" s="153"/>
      <c r="AG485" s="126"/>
      <c r="AH485" s="115"/>
      <c r="AK485" s="306" t="str">
        <f>IF(ISNUMBER(Table1[[#This Row],[FECHA DE RECIBIDO]]), Table1[[#This Row],[FECHA DE RECIBIDO]]-DATE(2023,8,30), "")</f>
        <v/>
      </c>
    </row>
    <row r="486" spans="1:37" ht="15" customHeight="1">
      <c r="A486" s="150"/>
      <c r="B486" s="151">
        <v>191</v>
      </c>
      <c r="C486" s="126" t="s">
        <v>2757</v>
      </c>
      <c r="D486">
        <v>286</v>
      </c>
      <c r="E486" s="126" t="s">
        <v>1616</v>
      </c>
      <c r="F486" s="122" t="s">
        <v>1607</v>
      </c>
      <c r="G486" s="122" t="s">
        <v>134</v>
      </c>
      <c r="H486">
        <v>37</v>
      </c>
      <c r="I486" s="122" t="s">
        <v>1546</v>
      </c>
      <c r="J486" s="307" t="s">
        <v>214</v>
      </c>
      <c r="K486" s="127" t="s">
        <v>1785</v>
      </c>
      <c r="L486" s="151" t="s">
        <v>118</v>
      </c>
      <c r="M486">
        <v>140</v>
      </c>
      <c r="N486" s="123">
        <v>1</v>
      </c>
      <c r="O486">
        <v>309</v>
      </c>
      <c r="P486" s="132" t="s">
        <v>77</v>
      </c>
      <c r="Q486" s="131">
        <v>3439</v>
      </c>
      <c r="R486" s="131">
        <f>Q486*0.16</f>
        <v>550.24</v>
      </c>
      <c r="S486" s="131">
        <v>0</v>
      </c>
      <c r="T486" s="155">
        <v>0</v>
      </c>
      <c r="U486" s="131">
        <v>0</v>
      </c>
      <c r="V486" s="131">
        <f>Q486+R486</f>
        <v>3989.24</v>
      </c>
      <c r="W486">
        <v>32</v>
      </c>
      <c r="X486" s="151" t="s">
        <v>1582</v>
      </c>
      <c r="Y486" s="135" t="s">
        <v>55</v>
      </c>
      <c r="Z486" s="307" t="s">
        <v>214</v>
      </c>
      <c r="AB486" t="str">
        <f>IF(Table1[[#This Row],[TIPO2]]="costo", VLOOKUP(Table1[[#This Row],[PARTIDA PRESUPUESTAL]],'Cost Report'!G:G,1,0),"Balance")</f>
        <v>3401-021</v>
      </c>
      <c r="AC486" s="118"/>
      <c r="AD486" s="159">
        <f>+Table1[[#This Row],[SUBTOTAL]]+Table1[[#This Row],[IVA]]-Table1[[#This Row],[RET IVA]]-Table1[[#This Row],[RET ISR]]-Table1[[#This Row],[TOTAL]]</f>
        <v>0</v>
      </c>
      <c r="AE486" s="150"/>
      <c r="AF486" s="151"/>
      <c r="AG486" s="126"/>
      <c r="AH486" s="115"/>
      <c r="AK486" s="306" t="str">
        <f>IF(ISNUMBER(Table1[[#This Row],[FECHA DE RECIBIDO]]), Table1[[#This Row],[FECHA DE RECIBIDO]]-DATE(2023,8,30), "")</f>
        <v/>
      </c>
    </row>
    <row r="487" spans="1:37" ht="15" customHeight="1">
      <c r="A487" s="152" t="s">
        <v>1698</v>
      </c>
      <c r="B487" s="153">
        <v>193</v>
      </c>
      <c r="C487" s="126" t="s">
        <v>474</v>
      </c>
      <c r="D487">
        <v>287</v>
      </c>
      <c r="E487" s="126" t="s">
        <v>1588</v>
      </c>
      <c r="F487" s="125" t="s">
        <v>1589</v>
      </c>
      <c r="G487" s="125" t="s">
        <v>129</v>
      </c>
      <c r="H487">
        <v>15</v>
      </c>
      <c r="I487" s="125" t="s">
        <v>1546</v>
      </c>
      <c r="J487" s="308" t="s">
        <v>214</v>
      </c>
      <c r="K487" s="127" t="s">
        <v>1785</v>
      </c>
      <c r="L487" s="153" t="s">
        <v>110</v>
      </c>
      <c r="M487">
        <v>19</v>
      </c>
      <c r="N487" s="123">
        <v>1</v>
      </c>
      <c r="O487">
        <v>310</v>
      </c>
      <c r="P487" s="132" t="s">
        <v>77</v>
      </c>
      <c r="Q487" s="132">
        <v>37800</v>
      </c>
      <c r="R487" s="132">
        <v>6048</v>
      </c>
      <c r="S487" s="132"/>
      <c r="T487" s="156">
        <v>4032.02</v>
      </c>
      <c r="U487" s="132">
        <v>3780</v>
      </c>
      <c r="V487" s="132">
        <f t="shared" ref="V487:V564" si="10">+Q487+R487-T487-U487</f>
        <v>36035.980000000003</v>
      </c>
      <c r="W487">
        <v>15</v>
      </c>
      <c r="X487" s="153" t="s">
        <v>1429</v>
      </c>
      <c r="Y487" s="124" t="s">
        <v>55</v>
      </c>
      <c r="Z487" s="308">
        <v>198</v>
      </c>
      <c r="AB487" t="str">
        <f>IF(Table1[[#This Row],[TIPO2]]="costo", VLOOKUP(Table1[[#This Row],[PARTIDA PRESUPUESTAL]],'Cost Report'!G:G,1,0),"Balance")</f>
        <v>2013-004</v>
      </c>
      <c r="AC487" s="118"/>
      <c r="AD487" s="159">
        <f>+Table1[[#This Row],[SUBTOTAL]]+Table1[[#This Row],[IVA]]-Table1[[#This Row],[RET IVA]]-Table1[[#This Row],[RET ISR]]-Table1[[#This Row],[TOTAL]]</f>
        <v>0</v>
      </c>
      <c r="AE487" s="152"/>
      <c r="AF487" s="153"/>
      <c r="AG487" s="126"/>
      <c r="AH487" s="115"/>
      <c r="AK487" s="306" t="str">
        <f>IF(ISNUMBER(Table1[[#This Row],[FECHA DE RECIBIDO]]), Table1[[#This Row],[FECHA DE RECIBIDO]]-DATE(2023,8,30), "")</f>
        <v/>
      </c>
    </row>
    <row r="488" spans="1:37" ht="15" customHeight="1">
      <c r="A488" s="150" t="s">
        <v>1927</v>
      </c>
      <c r="B488" s="151">
        <v>194</v>
      </c>
      <c r="C488" s="126" t="s">
        <v>237</v>
      </c>
      <c r="D488">
        <v>288</v>
      </c>
      <c r="E488" s="126" t="s">
        <v>1887</v>
      </c>
      <c r="F488" s="122" t="s">
        <v>1593</v>
      </c>
      <c r="G488" s="122" t="s">
        <v>109</v>
      </c>
      <c r="H488">
        <v>10</v>
      </c>
      <c r="I488" s="122" t="s">
        <v>1546</v>
      </c>
      <c r="J488" s="307" t="s">
        <v>214</v>
      </c>
      <c r="K488" s="127" t="s">
        <v>1785</v>
      </c>
      <c r="L488" s="151" t="s">
        <v>110</v>
      </c>
      <c r="M488">
        <v>13</v>
      </c>
      <c r="N488" s="123">
        <v>20</v>
      </c>
      <c r="O488">
        <v>311</v>
      </c>
      <c r="P488" s="132" t="s">
        <v>77</v>
      </c>
      <c r="Q488" s="131">
        <v>67000</v>
      </c>
      <c r="R488" s="131">
        <v>10720</v>
      </c>
      <c r="S488" s="131"/>
      <c r="T488" s="155">
        <v>7146.68</v>
      </c>
      <c r="U488" s="131">
        <v>837.5</v>
      </c>
      <c r="V488" s="131">
        <f t="shared" si="10"/>
        <v>69735.820000000007</v>
      </c>
      <c r="W488">
        <v>9</v>
      </c>
      <c r="X488" s="151" t="s">
        <v>1429</v>
      </c>
      <c r="Y488" s="135" t="s">
        <v>55</v>
      </c>
      <c r="Z488" s="307">
        <v>198</v>
      </c>
      <c r="AB488" t="str">
        <f>IF(Table1[[#This Row],[TIPO2]]="costo", VLOOKUP(Table1[[#This Row],[PARTIDA PRESUPUESTAL]],'Cost Report'!G:G,1,0),"Balance")</f>
        <v>1202-004</v>
      </c>
      <c r="AC488" s="118"/>
      <c r="AD488" s="159">
        <f>+Table1[[#This Row],[SUBTOTAL]]+Table1[[#This Row],[IVA]]-Table1[[#This Row],[RET IVA]]-Table1[[#This Row],[RET ISR]]-Table1[[#This Row],[TOTAL]]</f>
        <v>0</v>
      </c>
      <c r="AE488" s="150"/>
      <c r="AF488" s="151"/>
      <c r="AG488" s="126"/>
      <c r="AH488" s="115"/>
      <c r="AK488" s="306" t="str">
        <f>IF(ISNUMBER(Table1[[#This Row],[FECHA DE RECIBIDO]]), Table1[[#This Row],[FECHA DE RECIBIDO]]-DATE(2023,8,30), "")</f>
        <v/>
      </c>
    </row>
    <row r="489" spans="1:37" ht="15" customHeight="1">
      <c r="A489" s="152" t="s">
        <v>1928</v>
      </c>
      <c r="B489" s="153">
        <v>195</v>
      </c>
      <c r="C489" s="126" t="s">
        <v>242</v>
      </c>
      <c r="D489">
        <v>289</v>
      </c>
      <c r="E489" s="126" t="s">
        <v>1590</v>
      </c>
      <c r="F489" s="125" t="s">
        <v>1589</v>
      </c>
      <c r="G489" s="125" t="s">
        <v>129</v>
      </c>
      <c r="H489">
        <v>16</v>
      </c>
      <c r="I489" s="125" t="s">
        <v>1546</v>
      </c>
      <c r="J489" s="308" t="s">
        <v>214</v>
      </c>
      <c r="K489" s="127" t="s">
        <v>1785</v>
      </c>
      <c r="L489" s="153" t="s">
        <v>110</v>
      </c>
      <c r="M489">
        <v>21</v>
      </c>
      <c r="N489" s="123">
        <v>2</v>
      </c>
      <c r="O489">
        <v>312</v>
      </c>
      <c r="P489" s="132" t="s">
        <v>77</v>
      </c>
      <c r="Q489" s="132">
        <v>42000</v>
      </c>
      <c r="R489" s="132">
        <v>6720</v>
      </c>
      <c r="S489" s="132"/>
      <c r="T489" s="156">
        <v>4480.01</v>
      </c>
      <c r="U489" s="132">
        <v>4200</v>
      </c>
      <c r="V489" s="132">
        <f t="shared" si="10"/>
        <v>40039.99</v>
      </c>
      <c r="W489">
        <v>16</v>
      </c>
      <c r="X489" s="153" t="s">
        <v>1429</v>
      </c>
      <c r="Y489" s="124" t="s">
        <v>55</v>
      </c>
      <c r="Z489" s="308">
        <v>198</v>
      </c>
      <c r="AB489" t="str">
        <f>IF(Table1[[#This Row],[TIPO2]]="costo", VLOOKUP(Table1[[#This Row],[PARTIDA PRESUPUESTAL]],'Cost Report'!G:G,1,0),"Balance")</f>
        <v>1204-004</v>
      </c>
      <c r="AC489" s="118"/>
      <c r="AD489" s="159">
        <f>+Table1[[#This Row],[SUBTOTAL]]+Table1[[#This Row],[IVA]]-Table1[[#This Row],[RET IVA]]-Table1[[#This Row],[RET ISR]]-Table1[[#This Row],[TOTAL]]</f>
        <v>0</v>
      </c>
      <c r="AE489" s="152"/>
      <c r="AF489" s="153"/>
      <c r="AG489" s="126"/>
      <c r="AH489" s="115"/>
      <c r="AK489" s="306" t="str">
        <f>IF(ISNUMBER(Table1[[#This Row],[FECHA DE RECIBIDO]]), Table1[[#This Row],[FECHA DE RECIBIDO]]-DATE(2023,8,30), "")</f>
        <v/>
      </c>
    </row>
    <row r="490" spans="1:37" ht="15" customHeight="1">
      <c r="A490" s="150" t="s">
        <v>1929</v>
      </c>
      <c r="B490" s="151">
        <v>196</v>
      </c>
      <c r="C490" s="126" t="s">
        <v>242</v>
      </c>
      <c r="D490">
        <v>290</v>
      </c>
      <c r="E490" s="126" t="s">
        <v>1590</v>
      </c>
      <c r="F490" s="122" t="s">
        <v>1589</v>
      </c>
      <c r="G490" s="122" t="s">
        <v>129</v>
      </c>
      <c r="H490">
        <v>16</v>
      </c>
      <c r="I490" s="122" t="s">
        <v>1546</v>
      </c>
      <c r="J490" s="307" t="s">
        <v>214</v>
      </c>
      <c r="K490" s="127" t="s">
        <v>1785</v>
      </c>
      <c r="L490" s="151" t="s">
        <v>110</v>
      </c>
      <c r="M490">
        <v>21</v>
      </c>
      <c r="N490" s="123">
        <v>2</v>
      </c>
      <c r="O490">
        <v>313</v>
      </c>
      <c r="P490" s="132" t="s">
        <v>77</v>
      </c>
      <c r="Q490" s="131">
        <v>42000</v>
      </c>
      <c r="R490" s="131">
        <v>6720</v>
      </c>
      <c r="S490" s="131"/>
      <c r="T490" s="155">
        <v>4480.01</v>
      </c>
      <c r="U490" s="131">
        <v>4200</v>
      </c>
      <c r="V490" s="131">
        <f t="shared" si="10"/>
        <v>40039.99</v>
      </c>
      <c r="W490">
        <v>16</v>
      </c>
      <c r="X490" s="151" t="s">
        <v>1429</v>
      </c>
      <c r="Y490" s="135" t="s">
        <v>55</v>
      </c>
      <c r="Z490" s="307">
        <v>198</v>
      </c>
      <c r="AB490" t="str">
        <f>IF(Table1[[#This Row],[TIPO2]]="costo", VLOOKUP(Table1[[#This Row],[PARTIDA PRESUPUESTAL]],'Cost Report'!G:G,1,0),"Balance")</f>
        <v>1204-004</v>
      </c>
      <c r="AC490" s="118"/>
      <c r="AD490" s="159">
        <f>+Table1[[#This Row],[SUBTOTAL]]+Table1[[#This Row],[IVA]]-Table1[[#This Row],[RET IVA]]-Table1[[#This Row],[RET ISR]]-Table1[[#This Row],[TOTAL]]</f>
        <v>0</v>
      </c>
      <c r="AE490" s="150"/>
      <c r="AF490" s="151"/>
      <c r="AG490" s="126"/>
      <c r="AH490" s="115"/>
      <c r="AK490" s="306" t="str">
        <f>IF(ISNUMBER(Table1[[#This Row],[FECHA DE RECIBIDO]]), Table1[[#This Row],[FECHA DE RECIBIDO]]-DATE(2023,8,30), "")</f>
        <v/>
      </c>
    </row>
    <row r="491" spans="1:37" ht="15" customHeight="1">
      <c r="A491" s="152" t="s">
        <v>1930</v>
      </c>
      <c r="B491" s="153">
        <v>197</v>
      </c>
      <c r="C491" s="126" t="s">
        <v>434</v>
      </c>
      <c r="D491">
        <v>291</v>
      </c>
      <c r="E491" s="126" t="s">
        <v>1591</v>
      </c>
      <c r="F491" s="125" t="s">
        <v>1589</v>
      </c>
      <c r="G491" s="125" t="s">
        <v>129</v>
      </c>
      <c r="H491">
        <v>17</v>
      </c>
      <c r="I491" s="125" t="s">
        <v>1546</v>
      </c>
      <c r="J491" s="308" t="s">
        <v>214</v>
      </c>
      <c r="K491" s="127" t="s">
        <v>1785</v>
      </c>
      <c r="L491" s="153" t="s">
        <v>110</v>
      </c>
      <c r="M491">
        <v>22</v>
      </c>
      <c r="N491" s="123">
        <v>3</v>
      </c>
      <c r="O491">
        <v>314</v>
      </c>
      <c r="P491" s="132" t="s">
        <v>77</v>
      </c>
      <c r="Q491" s="132">
        <v>40000</v>
      </c>
      <c r="R491" s="132">
        <v>6400</v>
      </c>
      <c r="S491" s="132"/>
      <c r="T491" s="156">
        <v>4266.68</v>
      </c>
      <c r="U491" s="132">
        <v>4000</v>
      </c>
      <c r="V491" s="132">
        <f t="shared" si="10"/>
        <v>38133.32</v>
      </c>
      <c r="W491">
        <v>17</v>
      </c>
      <c r="X491" s="153" t="s">
        <v>1430</v>
      </c>
      <c r="Y491" s="124" t="s">
        <v>55</v>
      </c>
      <c r="Z491" s="308">
        <v>198</v>
      </c>
      <c r="AB491" t="str">
        <f>IF(Table1[[#This Row],[TIPO2]]="costo", VLOOKUP(Table1[[#This Row],[PARTIDA PRESUPUESTAL]],'Cost Report'!G:G,1,0),"Balance")</f>
        <v>2001-004</v>
      </c>
      <c r="AC491" s="118"/>
      <c r="AD491" s="159">
        <f>+Table1[[#This Row],[SUBTOTAL]]+Table1[[#This Row],[IVA]]-Table1[[#This Row],[RET IVA]]-Table1[[#This Row],[RET ISR]]-Table1[[#This Row],[TOTAL]]</f>
        <v>0</v>
      </c>
      <c r="AE491" s="152"/>
      <c r="AF491" s="153"/>
      <c r="AG491" s="126"/>
      <c r="AH491" s="115"/>
      <c r="AK491" s="306" t="str">
        <f>IF(ISNUMBER(Table1[[#This Row],[FECHA DE RECIBIDO]]), Table1[[#This Row],[FECHA DE RECIBIDO]]-DATE(2023,8,30), "")</f>
        <v/>
      </c>
    </row>
    <row r="492" spans="1:37" ht="15" customHeight="1">
      <c r="A492" s="150" t="s">
        <v>1931</v>
      </c>
      <c r="B492" s="151">
        <v>198</v>
      </c>
      <c r="C492" s="126" t="s">
        <v>2143</v>
      </c>
      <c r="D492">
        <v>292</v>
      </c>
      <c r="E492" s="126" t="s">
        <v>1592</v>
      </c>
      <c r="F492" s="122" t="s">
        <v>1593</v>
      </c>
      <c r="G492" s="122" t="s">
        <v>109</v>
      </c>
      <c r="H492">
        <v>18</v>
      </c>
      <c r="I492" s="122" t="s">
        <v>1546</v>
      </c>
      <c r="J492" s="307" t="s">
        <v>214</v>
      </c>
      <c r="K492" s="127" t="s">
        <v>1785</v>
      </c>
      <c r="L492" s="151" t="s">
        <v>110</v>
      </c>
      <c r="M492">
        <v>23</v>
      </c>
      <c r="N492" s="123">
        <v>4</v>
      </c>
      <c r="O492">
        <v>315</v>
      </c>
      <c r="P492" s="132" t="s">
        <v>77</v>
      </c>
      <c r="Q492" s="131">
        <v>20000</v>
      </c>
      <c r="R492" s="131">
        <v>3200</v>
      </c>
      <c r="S492" s="131"/>
      <c r="T492" s="155">
        <v>2133.34</v>
      </c>
      <c r="U492" s="131">
        <v>250</v>
      </c>
      <c r="V492" s="131">
        <f t="shared" si="10"/>
        <v>20816.66</v>
      </c>
      <c r="W492">
        <v>18</v>
      </c>
      <c r="X492" s="151" t="s">
        <v>1429</v>
      </c>
      <c r="Y492" s="135" t="s">
        <v>55</v>
      </c>
      <c r="Z492" s="307">
        <v>198</v>
      </c>
      <c r="AB492" t="str">
        <f>IF(Table1[[#This Row],[TIPO2]]="costo", VLOOKUP(Table1[[#This Row],[PARTIDA PRESUPUESTAL]],'Cost Report'!G:G,1,0),"Balance")</f>
        <v>1222-009</v>
      </c>
      <c r="AC492" s="118"/>
      <c r="AD492" s="159">
        <f>+Table1[[#This Row],[SUBTOTAL]]+Table1[[#This Row],[IVA]]-Table1[[#This Row],[RET IVA]]-Table1[[#This Row],[RET ISR]]-Table1[[#This Row],[TOTAL]]</f>
        <v>0</v>
      </c>
      <c r="AE492" s="150"/>
      <c r="AF492" s="151"/>
      <c r="AG492" s="126"/>
      <c r="AH492" s="115"/>
      <c r="AK492" s="306" t="str">
        <f>IF(ISNUMBER(Table1[[#This Row],[FECHA DE RECIBIDO]]), Table1[[#This Row],[FECHA DE RECIBIDO]]-DATE(2023,8,30), "")</f>
        <v/>
      </c>
    </row>
    <row r="493" spans="1:37" ht="15" customHeight="1">
      <c r="A493" s="152" t="s">
        <v>1932</v>
      </c>
      <c r="B493" s="153">
        <v>199</v>
      </c>
      <c r="C493" s="126" t="s">
        <v>477</v>
      </c>
      <c r="D493">
        <v>293</v>
      </c>
      <c r="E493" s="126" t="s">
        <v>1594</v>
      </c>
      <c r="F493" s="125" t="s">
        <v>1593</v>
      </c>
      <c r="G493" s="125" t="s">
        <v>109</v>
      </c>
      <c r="H493">
        <v>21</v>
      </c>
      <c r="I493" s="125" t="s">
        <v>1546</v>
      </c>
      <c r="J493" s="308" t="s">
        <v>214</v>
      </c>
      <c r="K493" s="127" t="s">
        <v>1785</v>
      </c>
      <c r="L493" s="153" t="s">
        <v>110</v>
      </c>
      <c r="M493">
        <v>27</v>
      </c>
      <c r="N493" s="123">
        <v>5</v>
      </c>
      <c r="O493">
        <v>316</v>
      </c>
      <c r="P493" s="132" t="s">
        <v>77</v>
      </c>
      <c r="Q493" s="132">
        <v>16000</v>
      </c>
      <c r="R493" s="132">
        <v>2560</v>
      </c>
      <c r="S493" s="132"/>
      <c r="T493" s="156">
        <v>1706.66</v>
      </c>
      <c r="U493" s="132">
        <v>200</v>
      </c>
      <c r="V493" s="132">
        <f t="shared" si="10"/>
        <v>16653.34</v>
      </c>
      <c r="W493">
        <v>21</v>
      </c>
      <c r="X493" s="153" t="s">
        <v>1431</v>
      </c>
      <c r="Y493" s="124" t="s">
        <v>55</v>
      </c>
      <c r="Z493" s="308">
        <v>198</v>
      </c>
      <c r="AB493" t="str">
        <f>IF(Table1[[#This Row],[TIPO2]]="costo", VLOOKUP(Table1[[#This Row],[PARTIDA PRESUPUESTAL]],'Cost Report'!G:G,1,0),"Balance")</f>
        <v>2014-003</v>
      </c>
      <c r="AC493" s="118"/>
      <c r="AD493" s="159">
        <f>+Table1[[#This Row],[SUBTOTAL]]+Table1[[#This Row],[IVA]]-Table1[[#This Row],[RET IVA]]-Table1[[#This Row],[RET ISR]]-Table1[[#This Row],[TOTAL]]</f>
        <v>0</v>
      </c>
      <c r="AE493" s="152"/>
      <c r="AF493" s="153"/>
      <c r="AG493" s="126"/>
      <c r="AH493" s="115"/>
      <c r="AK493" s="306" t="str">
        <f>IF(ISNUMBER(Table1[[#This Row],[FECHA DE RECIBIDO]]), Table1[[#This Row],[FECHA DE RECIBIDO]]-DATE(2023,8,30), "")</f>
        <v/>
      </c>
    </row>
    <row r="494" spans="1:37" ht="15" customHeight="1">
      <c r="A494" s="150" t="s">
        <v>1933</v>
      </c>
      <c r="B494" s="151">
        <v>200</v>
      </c>
      <c r="C494" s="126" t="s">
        <v>490</v>
      </c>
      <c r="D494">
        <v>294</v>
      </c>
      <c r="E494" s="126" t="s">
        <v>2010</v>
      </c>
      <c r="F494" s="122" t="s">
        <v>1589</v>
      </c>
      <c r="G494" s="122" t="s">
        <v>129</v>
      </c>
      <c r="H494">
        <v>60</v>
      </c>
      <c r="I494" s="122" t="s">
        <v>1546</v>
      </c>
      <c r="J494" s="307" t="s">
        <v>214</v>
      </c>
      <c r="K494" s="127" t="s">
        <v>1785</v>
      </c>
      <c r="L494" s="151" t="s">
        <v>110</v>
      </c>
      <c r="M494">
        <v>83</v>
      </c>
      <c r="N494" s="123">
        <v>19</v>
      </c>
      <c r="O494">
        <v>317</v>
      </c>
      <c r="P494" s="132" t="s">
        <v>77</v>
      </c>
      <c r="Q494" s="131">
        <v>37800</v>
      </c>
      <c r="R494" s="131">
        <v>6048</v>
      </c>
      <c r="S494" s="131"/>
      <c r="T494" s="155">
        <v>4032.02</v>
      </c>
      <c r="U494" s="131">
        <v>3780</v>
      </c>
      <c r="V494" s="131">
        <f t="shared" si="10"/>
        <v>36035.980000000003</v>
      </c>
      <c r="W494">
        <v>42</v>
      </c>
      <c r="X494" s="151" t="s">
        <v>1430</v>
      </c>
      <c r="Y494" s="135" t="s">
        <v>55</v>
      </c>
      <c r="Z494" s="307">
        <v>198</v>
      </c>
      <c r="AB494" t="str">
        <f>IF(Table1[[#This Row],[TIPO2]]="costo", VLOOKUP(Table1[[#This Row],[PARTIDA PRESUPUESTAL]],'Cost Report'!G:G,1,0),"Balance")</f>
        <v>2020-003</v>
      </c>
      <c r="AC494" s="118"/>
      <c r="AD494" s="159">
        <f>+Table1[[#This Row],[SUBTOTAL]]+Table1[[#This Row],[IVA]]-Table1[[#This Row],[RET IVA]]-Table1[[#This Row],[RET ISR]]-Table1[[#This Row],[TOTAL]]</f>
        <v>0</v>
      </c>
      <c r="AE494" s="150"/>
      <c r="AF494" s="151"/>
      <c r="AG494" s="126"/>
      <c r="AH494" s="115"/>
      <c r="AK494" s="306" t="str">
        <f>IF(ISNUMBER(Table1[[#This Row],[FECHA DE RECIBIDO]]), Table1[[#This Row],[FECHA DE RECIBIDO]]-DATE(2023,8,30), "")</f>
        <v/>
      </c>
    </row>
    <row r="495" spans="1:37" ht="15" customHeight="1">
      <c r="A495" s="152" t="s">
        <v>1934</v>
      </c>
      <c r="B495" s="153">
        <v>201</v>
      </c>
      <c r="C495" s="126" t="s">
        <v>2416</v>
      </c>
      <c r="D495">
        <v>295</v>
      </c>
      <c r="E495" s="126" t="s">
        <v>1888</v>
      </c>
      <c r="F495" s="125" t="s">
        <v>1593</v>
      </c>
      <c r="G495" s="125" t="s">
        <v>109</v>
      </c>
      <c r="H495">
        <v>61</v>
      </c>
      <c r="I495" s="125" t="s">
        <v>1546</v>
      </c>
      <c r="J495" s="308" t="s">
        <v>214</v>
      </c>
      <c r="K495" s="127" t="s">
        <v>1785</v>
      </c>
      <c r="L495" s="153" t="s">
        <v>110</v>
      </c>
      <c r="M495">
        <v>84</v>
      </c>
      <c r="N495" s="123">
        <v>21</v>
      </c>
      <c r="O495">
        <v>318</v>
      </c>
      <c r="P495" s="132" t="s">
        <v>77</v>
      </c>
      <c r="Q495" s="132">
        <v>25000</v>
      </c>
      <c r="R495" s="132">
        <v>4000</v>
      </c>
      <c r="S495" s="132"/>
      <c r="T495" s="156">
        <v>2666.68</v>
      </c>
      <c r="U495" s="132">
        <v>312.5</v>
      </c>
      <c r="V495" s="132">
        <f t="shared" si="10"/>
        <v>26020.82</v>
      </c>
      <c r="W495">
        <v>43</v>
      </c>
      <c r="X495" s="153" t="s">
        <v>1431</v>
      </c>
      <c r="Y495" s="124" t="s">
        <v>55</v>
      </c>
      <c r="Z495" s="308">
        <v>198</v>
      </c>
      <c r="AB495" t="str">
        <f>IF(Table1[[#This Row],[TIPO2]]="costo", VLOOKUP(Table1[[#This Row],[PARTIDA PRESUPUESTAL]],'Cost Report'!G:G,1,0),"Balance")</f>
        <v>2017-003</v>
      </c>
      <c r="AC495" s="118"/>
      <c r="AD495" s="159">
        <f>+Table1[[#This Row],[SUBTOTAL]]+Table1[[#This Row],[IVA]]-Table1[[#This Row],[RET IVA]]-Table1[[#This Row],[RET ISR]]-Table1[[#This Row],[TOTAL]]</f>
        <v>0</v>
      </c>
      <c r="AE495" s="152"/>
      <c r="AF495" s="153"/>
      <c r="AG495" s="126"/>
      <c r="AH495" s="115"/>
      <c r="AK495" s="306" t="str">
        <f>IF(ISNUMBER(Table1[[#This Row],[FECHA DE RECIBIDO]]), Table1[[#This Row],[FECHA DE RECIBIDO]]-DATE(2023,8,30), "")</f>
        <v/>
      </c>
    </row>
    <row r="496" spans="1:37" ht="15" customHeight="1">
      <c r="A496" s="150" t="s">
        <v>1935</v>
      </c>
      <c r="B496" s="151">
        <v>202</v>
      </c>
      <c r="C496" s="126" t="s">
        <v>494</v>
      </c>
      <c r="D496">
        <v>296</v>
      </c>
      <c r="E496" s="126" t="s">
        <v>2011</v>
      </c>
      <c r="F496" s="122" t="s">
        <v>1593</v>
      </c>
      <c r="G496" s="122" t="s">
        <v>109</v>
      </c>
      <c r="H496">
        <v>103</v>
      </c>
      <c r="I496" s="122" t="s">
        <v>1546</v>
      </c>
      <c r="J496" s="307" t="s">
        <v>214</v>
      </c>
      <c r="K496" s="127" t="s">
        <v>1785</v>
      </c>
      <c r="L496" s="151" t="s">
        <v>110</v>
      </c>
      <c r="M496">
        <v>141</v>
      </c>
      <c r="N496" s="123">
        <v>33</v>
      </c>
      <c r="O496">
        <v>319</v>
      </c>
      <c r="P496" s="132" t="s">
        <v>77</v>
      </c>
      <c r="Q496" s="131">
        <v>18000</v>
      </c>
      <c r="R496" s="131">
        <v>2880</v>
      </c>
      <c r="S496" s="131"/>
      <c r="T496" s="155">
        <v>1920</v>
      </c>
      <c r="U496" s="131">
        <v>225</v>
      </c>
      <c r="V496" s="131">
        <f t="shared" si="10"/>
        <v>18735</v>
      </c>
      <c r="W496">
        <v>65</v>
      </c>
      <c r="X496" s="151" t="s">
        <v>1431</v>
      </c>
      <c r="Y496" s="135" t="s">
        <v>55</v>
      </c>
      <c r="Z496" s="307">
        <v>198</v>
      </c>
      <c r="AB496" t="str">
        <f>IF(Table1[[#This Row],[TIPO2]]="costo", VLOOKUP(Table1[[#This Row],[PARTIDA PRESUPUESTAL]],'Cost Report'!G:G,1,0),"Balance")</f>
        <v>2020-009</v>
      </c>
      <c r="AC496" s="118"/>
      <c r="AD496" s="159">
        <f>+Table1[[#This Row],[SUBTOTAL]]+Table1[[#This Row],[IVA]]-Table1[[#This Row],[RET IVA]]-Table1[[#This Row],[RET ISR]]-Table1[[#This Row],[TOTAL]]</f>
        <v>0</v>
      </c>
      <c r="AE496" s="150"/>
      <c r="AF496" s="151"/>
      <c r="AG496" s="126"/>
      <c r="AH496" s="115"/>
      <c r="AK496" s="306" t="str">
        <f>IF(ISNUMBER(Table1[[#This Row],[FECHA DE RECIBIDO]]), Table1[[#This Row],[FECHA DE RECIBIDO]]-DATE(2023,8,30), "")</f>
        <v/>
      </c>
    </row>
    <row r="497" spans="1:37" ht="15" customHeight="1">
      <c r="A497" s="152" t="s">
        <v>1936</v>
      </c>
      <c r="B497" s="153">
        <v>203</v>
      </c>
      <c r="C497" s="126" t="s">
        <v>245</v>
      </c>
      <c r="D497">
        <v>297</v>
      </c>
      <c r="E497" s="126" t="s">
        <v>1595</v>
      </c>
      <c r="F497" s="125" t="s">
        <v>1589</v>
      </c>
      <c r="G497" s="125" t="s">
        <v>129</v>
      </c>
      <c r="H497">
        <v>104</v>
      </c>
      <c r="I497" s="125" t="s">
        <v>1546</v>
      </c>
      <c r="J497" s="308" t="s">
        <v>214</v>
      </c>
      <c r="K497" s="127" t="s">
        <v>1785</v>
      </c>
      <c r="L497" s="153" t="s">
        <v>110</v>
      </c>
      <c r="M497">
        <v>142</v>
      </c>
      <c r="N497" s="123">
        <v>34</v>
      </c>
      <c r="O497">
        <v>320</v>
      </c>
      <c r="P497" s="132" t="s">
        <v>77</v>
      </c>
      <c r="Q497" s="132">
        <v>21000</v>
      </c>
      <c r="R497" s="132">
        <v>3360</v>
      </c>
      <c r="S497" s="132"/>
      <c r="T497" s="156">
        <v>2240</v>
      </c>
      <c r="U497" s="132">
        <v>2100</v>
      </c>
      <c r="V497" s="132">
        <f t="shared" si="10"/>
        <v>20020</v>
      </c>
      <c r="W497">
        <v>66</v>
      </c>
      <c r="X497" s="153" t="s">
        <v>1429</v>
      </c>
      <c r="Y497" s="124" t="s">
        <v>55</v>
      </c>
      <c r="Z497" s="308">
        <v>198</v>
      </c>
      <c r="AB497" t="str">
        <f>IF(Table1[[#This Row],[TIPO2]]="costo", VLOOKUP(Table1[[#This Row],[PARTIDA PRESUPUESTAL]],'Cost Report'!G:G,1,0),"Balance")</f>
        <v>1222-003</v>
      </c>
      <c r="AC497" s="118"/>
      <c r="AD497" s="159">
        <f>+Table1[[#This Row],[SUBTOTAL]]+Table1[[#This Row],[IVA]]-Table1[[#This Row],[RET IVA]]-Table1[[#This Row],[RET ISR]]-Table1[[#This Row],[TOTAL]]</f>
        <v>0</v>
      </c>
      <c r="AE497" s="152"/>
      <c r="AF497" s="153"/>
      <c r="AG497" s="126"/>
      <c r="AH497" s="115"/>
      <c r="AK497" s="306" t="str">
        <f>IF(ISNUMBER(Table1[[#This Row],[FECHA DE RECIBIDO]]), Table1[[#This Row],[FECHA DE RECIBIDO]]-DATE(2023,8,30), "")</f>
        <v/>
      </c>
    </row>
    <row r="498" spans="1:37" ht="15" customHeight="1">
      <c r="A498" s="150" t="s">
        <v>1937</v>
      </c>
      <c r="B498" s="151">
        <v>204</v>
      </c>
      <c r="C498" s="126" t="s">
        <v>245</v>
      </c>
      <c r="D498">
        <v>298</v>
      </c>
      <c r="E498" s="126" t="s">
        <v>1595</v>
      </c>
      <c r="F498" s="122" t="s">
        <v>1589</v>
      </c>
      <c r="G498" s="122" t="s">
        <v>129</v>
      </c>
      <c r="H498">
        <v>104</v>
      </c>
      <c r="I498" s="122" t="s">
        <v>1546</v>
      </c>
      <c r="J498" s="307" t="s">
        <v>214</v>
      </c>
      <c r="K498" s="127" t="s">
        <v>1785</v>
      </c>
      <c r="L498" s="151" t="s">
        <v>110</v>
      </c>
      <c r="M498">
        <v>142</v>
      </c>
      <c r="N498" s="123">
        <v>34</v>
      </c>
      <c r="O498">
        <v>321</v>
      </c>
      <c r="P498" s="132" t="s">
        <v>77</v>
      </c>
      <c r="Q498" s="131">
        <v>21000</v>
      </c>
      <c r="R498" s="131">
        <v>3360</v>
      </c>
      <c r="S498" s="131"/>
      <c r="T498" s="155">
        <v>2240</v>
      </c>
      <c r="U498" s="131">
        <v>2100</v>
      </c>
      <c r="V498" s="131">
        <f t="shared" si="10"/>
        <v>20020</v>
      </c>
      <c r="W498">
        <v>66</v>
      </c>
      <c r="X498" s="151" t="s">
        <v>1429</v>
      </c>
      <c r="Y498" s="135" t="s">
        <v>55</v>
      </c>
      <c r="Z498" s="307">
        <v>198</v>
      </c>
      <c r="AB498" t="str">
        <f>IF(Table1[[#This Row],[TIPO2]]="costo", VLOOKUP(Table1[[#This Row],[PARTIDA PRESUPUESTAL]],'Cost Report'!G:G,1,0),"Balance")</f>
        <v>1222-003</v>
      </c>
      <c r="AC498" s="118"/>
      <c r="AD498" s="159">
        <f>+Table1[[#This Row],[SUBTOTAL]]+Table1[[#This Row],[IVA]]-Table1[[#This Row],[RET IVA]]-Table1[[#This Row],[RET ISR]]-Table1[[#This Row],[TOTAL]]</f>
        <v>0</v>
      </c>
      <c r="AE498" s="150"/>
      <c r="AF498" s="151"/>
      <c r="AG498" s="126"/>
      <c r="AH498" s="115"/>
      <c r="AK498" s="306" t="str">
        <f>IF(ISNUMBER(Table1[[#This Row],[FECHA DE RECIBIDO]]), Table1[[#This Row],[FECHA DE RECIBIDO]]-DATE(2023,8,30), "")</f>
        <v/>
      </c>
    </row>
    <row r="499" spans="1:37" ht="15" customHeight="1">
      <c r="A499" s="152" t="s">
        <v>1938</v>
      </c>
      <c r="B499" s="153">
        <v>205</v>
      </c>
      <c r="C499" s="126" t="s">
        <v>444</v>
      </c>
      <c r="D499">
        <v>299</v>
      </c>
      <c r="E499" s="126" t="s">
        <v>1595</v>
      </c>
      <c r="F499" s="125" t="s">
        <v>1589</v>
      </c>
      <c r="G499" s="125" t="s">
        <v>129</v>
      </c>
      <c r="H499">
        <v>7</v>
      </c>
      <c r="I499" s="125" t="s">
        <v>1546</v>
      </c>
      <c r="J499" s="308" t="s">
        <v>214</v>
      </c>
      <c r="K499" s="127" t="s">
        <v>1785</v>
      </c>
      <c r="L499" s="153" t="s">
        <v>110</v>
      </c>
      <c r="M499">
        <v>24</v>
      </c>
      <c r="N499" s="123">
        <v>6</v>
      </c>
      <c r="O499">
        <v>322</v>
      </c>
      <c r="P499" s="132" t="s">
        <v>77</v>
      </c>
      <c r="Q499" s="132">
        <v>52500</v>
      </c>
      <c r="R499" s="132">
        <v>8400</v>
      </c>
      <c r="S499" s="132"/>
      <c r="T499" s="156">
        <v>5600.02</v>
      </c>
      <c r="U499" s="132">
        <v>5250</v>
      </c>
      <c r="V499" s="132">
        <f t="shared" si="10"/>
        <v>50049.979999999996</v>
      </c>
      <c r="W499">
        <v>7</v>
      </c>
      <c r="X499" s="153" t="s">
        <v>1431</v>
      </c>
      <c r="Y499" s="124" t="s">
        <v>55</v>
      </c>
      <c r="Z499" s="308">
        <v>198</v>
      </c>
      <c r="AB499" t="str">
        <f>IF(Table1[[#This Row],[TIPO2]]="costo", VLOOKUP(Table1[[#This Row],[PARTIDA PRESUPUESTAL]],'Cost Report'!G:G,1,0),"Balance")</f>
        <v>2004-004</v>
      </c>
      <c r="AC499" s="118"/>
      <c r="AD499" s="159">
        <f>+Table1[[#This Row],[SUBTOTAL]]+Table1[[#This Row],[IVA]]-Table1[[#This Row],[RET IVA]]-Table1[[#This Row],[RET ISR]]-Table1[[#This Row],[TOTAL]]</f>
        <v>0</v>
      </c>
      <c r="AE499" s="152"/>
      <c r="AF499" s="153"/>
      <c r="AG499" s="126"/>
      <c r="AH499" s="115"/>
      <c r="AK499" s="306" t="str">
        <f>IF(ISNUMBER(Table1[[#This Row],[FECHA DE RECIBIDO]]), Table1[[#This Row],[FECHA DE RECIBIDO]]-DATE(2023,8,30), "")</f>
        <v/>
      </c>
    </row>
    <row r="500" spans="1:37" ht="15" customHeight="1">
      <c r="A500" s="150" t="s">
        <v>1939</v>
      </c>
      <c r="B500" s="151">
        <v>206</v>
      </c>
      <c r="C500" s="126" t="s">
        <v>447</v>
      </c>
      <c r="D500">
        <v>300</v>
      </c>
      <c r="E500" s="126" t="s">
        <v>1577</v>
      </c>
      <c r="F500" s="122" t="s">
        <v>1593</v>
      </c>
      <c r="G500" s="122" t="s">
        <v>109</v>
      </c>
      <c r="H500">
        <v>19</v>
      </c>
      <c r="I500" s="122" t="s">
        <v>1546</v>
      </c>
      <c r="J500" s="307" t="s">
        <v>214</v>
      </c>
      <c r="K500" s="127" t="s">
        <v>1785</v>
      </c>
      <c r="L500" s="151" t="s">
        <v>110</v>
      </c>
      <c r="M500">
        <v>25</v>
      </c>
      <c r="N500" s="123">
        <v>7</v>
      </c>
      <c r="O500">
        <v>323</v>
      </c>
      <c r="P500" s="132" t="s">
        <v>77</v>
      </c>
      <c r="Q500" s="131">
        <v>31500</v>
      </c>
      <c r="R500" s="131">
        <v>5040</v>
      </c>
      <c r="S500" s="131"/>
      <c r="T500" s="155">
        <v>3360.1</v>
      </c>
      <c r="U500" s="131">
        <v>393.76</v>
      </c>
      <c r="V500" s="131">
        <f t="shared" si="10"/>
        <v>32786.14</v>
      </c>
      <c r="W500">
        <v>19</v>
      </c>
      <c r="X500" s="151" t="s">
        <v>1429</v>
      </c>
      <c r="Y500" s="135" t="s">
        <v>55</v>
      </c>
      <c r="Z500" s="307">
        <v>198</v>
      </c>
      <c r="AB500" t="str">
        <f>IF(Table1[[#This Row],[TIPO2]]="costo", VLOOKUP(Table1[[#This Row],[PARTIDA PRESUPUESTAL]],'Cost Report'!G:G,1,0),"Balance")</f>
        <v>2005-004</v>
      </c>
      <c r="AC500" s="118"/>
      <c r="AD500" s="159">
        <f>+Table1[[#This Row],[SUBTOTAL]]+Table1[[#This Row],[IVA]]-Table1[[#This Row],[RET IVA]]-Table1[[#This Row],[RET ISR]]-Table1[[#This Row],[TOTAL]]</f>
        <v>0</v>
      </c>
      <c r="AE500" s="150"/>
      <c r="AF500" s="151"/>
      <c r="AG500" s="126"/>
      <c r="AH500" s="115"/>
      <c r="AK500" s="306" t="str">
        <f>IF(ISNUMBER(Table1[[#This Row],[FECHA DE RECIBIDO]]), Table1[[#This Row],[FECHA DE RECIBIDO]]-DATE(2023,8,30), "")</f>
        <v/>
      </c>
    </row>
    <row r="501" spans="1:37" ht="15" customHeight="1">
      <c r="A501" s="152" t="s">
        <v>1940</v>
      </c>
      <c r="B501" s="153">
        <v>207</v>
      </c>
      <c r="C501" s="126" t="s">
        <v>440</v>
      </c>
      <c r="D501">
        <v>301</v>
      </c>
      <c r="E501" s="126" t="s">
        <v>1889</v>
      </c>
      <c r="F501" s="125" t="s">
        <v>1589</v>
      </c>
      <c r="G501" s="125" t="s">
        <v>129</v>
      </c>
      <c r="H501">
        <v>62</v>
      </c>
      <c r="I501" s="125" t="s">
        <v>1546</v>
      </c>
      <c r="J501" s="308" t="s">
        <v>214</v>
      </c>
      <c r="K501" s="127" t="s">
        <v>1785</v>
      </c>
      <c r="L501" s="153" t="s">
        <v>110</v>
      </c>
      <c r="M501">
        <v>85</v>
      </c>
      <c r="N501" s="123">
        <v>22</v>
      </c>
      <c r="O501">
        <v>324</v>
      </c>
      <c r="P501" s="132" t="s">
        <v>77</v>
      </c>
      <c r="Q501" s="132">
        <v>52500</v>
      </c>
      <c r="R501" s="132">
        <v>8400</v>
      </c>
      <c r="S501" s="132"/>
      <c r="T501" s="156">
        <v>5600.02</v>
      </c>
      <c r="U501" s="132">
        <v>5250</v>
      </c>
      <c r="V501" s="132">
        <f t="shared" si="10"/>
        <v>50049.979999999996</v>
      </c>
      <c r="W501">
        <v>44</v>
      </c>
      <c r="X501" s="153" t="s">
        <v>1434</v>
      </c>
      <c r="Y501" s="124" t="s">
        <v>55</v>
      </c>
      <c r="Z501" s="308">
        <v>198</v>
      </c>
      <c r="AB501" t="str">
        <f>IF(Table1[[#This Row],[TIPO2]]="costo", VLOOKUP(Table1[[#This Row],[PARTIDA PRESUPUESTAL]],'Cost Report'!G:G,1,0),"Balance")</f>
        <v>2003-003</v>
      </c>
      <c r="AC501" s="118"/>
      <c r="AD501" s="159">
        <f>+Table1[[#This Row],[SUBTOTAL]]+Table1[[#This Row],[IVA]]-Table1[[#This Row],[RET IVA]]-Table1[[#This Row],[RET ISR]]-Table1[[#This Row],[TOTAL]]</f>
        <v>0</v>
      </c>
      <c r="AE501" s="152"/>
      <c r="AF501" s="153"/>
      <c r="AG501" s="126"/>
      <c r="AH501" s="115"/>
      <c r="AK501" s="306" t="str">
        <f>IF(ISNUMBER(Table1[[#This Row],[FECHA DE RECIBIDO]]), Table1[[#This Row],[FECHA DE RECIBIDO]]-DATE(2023,8,30), "")</f>
        <v/>
      </c>
    </row>
    <row r="502" spans="1:37" ht="15" customHeight="1">
      <c r="A502" s="150" t="s">
        <v>1941</v>
      </c>
      <c r="B502" s="151">
        <v>208</v>
      </c>
      <c r="C502" s="126" t="s">
        <v>450</v>
      </c>
      <c r="D502">
        <v>302</v>
      </c>
      <c r="E502" s="126" t="s">
        <v>1890</v>
      </c>
      <c r="F502" s="122" t="s">
        <v>1593</v>
      </c>
      <c r="G502" s="122" t="s">
        <v>109</v>
      </c>
      <c r="H502">
        <v>63</v>
      </c>
      <c r="I502" s="122" t="s">
        <v>1546</v>
      </c>
      <c r="J502" s="307" t="s">
        <v>214</v>
      </c>
      <c r="K502" s="127" t="s">
        <v>1785</v>
      </c>
      <c r="L502" s="151" t="s">
        <v>110</v>
      </c>
      <c r="M502">
        <v>86</v>
      </c>
      <c r="N502" s="123">
        <v>23</v>
      </c>
      <c r="O502">
        <v>325</v>
      </c>
      <c r="P502" s="132" t="s">
        <v>77</v>
      </c>
      <c r="Q502" s="131">
        <v>30000</v>
      </c>
      <c r="R502" s="131">
        <v>4800</v>
      </c>
      <c r="S502" s="131"/>
      <c r="T502" s="155">
        <v>3200</v>
      </c>
      <c r="U502" s="131">
        <v>375</v>
      </c>
      <c r="V502" s="131">
        <f t="shared" si="10"/>
        <v>31225</v>
      </c>
      <c r="W502">
        <v>45</v>
      </c>
      <c r="X502" s="151" t="s">
        <v>1429</v>
      </c>
      <c r="Y502" s="135" t="s">
        <v>55</v>
      </c>
      <c r="Z502" s="307">
        <v>198</v>
      </c>
      <c r="AB502" t="str">
        <f>IF(Table1[[#This Row],[TIPO2]]="costo", VLOOKUP(Table1[[#This Row],[PARTIDA PRESUPUESTAL]],'Cost Report'!G:G,1,0),"Balance")</f>
        <v>2005-009</v>
      </c>
      <c r="AC502" s="118"/>
      <c r="AD502" s="159">
        <f>+Table1[[#This Row],[SUBTOTAL]]+Table1[[#This Row],[IVA]]-Table1[[#This Row],[RET IVA]]-Table1[[#This Row],[RET ISR]]-Table1[[#This Row],[TOTAL]]</f>
        <v>0</v>
      </c>
      <c r="AE502" s="150"/>
      <c r="AF502" s="151"/>
      <c r="AG502" s="126"/>
      <c r="AH502" s="115"/>
      <c r="AK502" s="306" t="str">
        <f>IF(ISNUMBER(Table1[[#This Row],[FECHA DE RECIBIDO]]), Table1[[#This Row],[FECHA DE RECIBIDO]]-DATE(2023,8,30), "")</f>
        <v/>
      </c>
    </row>
    <row r="503" spans="1:37" ht="15" customHeight="1">
      <c r="A503" s="152" t="s">
        <v>1942</v>
      </c>
      <c r="B503" s="153">
        <v>209</v>
      </c>
      <c r="C503" s="126" t="s">
        <v>2376</v>
      </c>
      <c r="D503">
        <v>303</v>
      </c>
      <c r="E503" s="126" t="s">
        <v>2012</v>
      </c>
      <c r="F503" s="125" t="s">
        <v>1589</v>
      </c>
      <c r="G503" s="125" t="s">
        <v>129</v>
      </c>
      <c r="H503">
        <v>105</v>
      </c>
      <c r="I503" s="125" t="s">
        <v>1546</v>
      </c>
      <c r="J503" s="308" t="s">
        <v>214</v>
      </c>
      <c r="K503" s="127" t="s">
        <v>1785</v>
      </c>
      <c r="L503" s="153" t="s">
        <v>110</v>
      </c>
      <c r="M503">
        <v>143</v>
      </c>
      <c r="N503" s="123">
        <v>35</v>
      </c>
      <c r="O503">
        <v>326</v>
      </c>
      <c r="P503" s="132" t="s">
        <v>77</v>
      </c>
      <c r="Q503" s="132">
        <v>75000</v>
      </c>
      <c r="R503" s="132">
        <v>12000</v>
      </c>
      <c r="S503" s="132"/>
      <c r="T503" s="156">
        <v>8002.5</v>
      </c>
      <c r="U503" s="132">
        <v>7500</v>
      </c>
      <c r="V503" s="132">
        <f t="shared" si="10"/>
        <v>71497.5</v>
      </c>
      <c r="W503">
        <v>67</v>
      </c>
      <c r="X503" s="153" t="s">
        <v>1431</v>
      </c>
      <c r="Y503" s="124" t="s">
        <v>55</v>
      </c>
      <c r="Z503" s="308">
        <v>198</v>
      </c>
      <c r="AB503" t="str">
        <f>IF(Table1[[#This Row],[TIPO2]]="costo", VLOOKUP(Table1[[#This Row],[PARTIDA PRESUPUESTAL]],'Cost Report'!G:G,1,0),"Balance")</f>
        <v>2003-013</v>
      </c>
      <c r="AC503" s="118"/>
      <c r="AD503" s="159">
        <f>+Table1[[#This Row],[SUBTOTAL]]+Table1[[#This Row],[IVA]]-Table1[[#This Row],[RET IVA]]-Table1[[#This Row],[RET ISR]]-Table1[[#This Row],[TOTAL]]</f>
        <v>0</v>
      </c>
      <c r="AE503" s="152"/>
      <c r="AF503" s="153"/>
      <c r="AG503" s="126"/>
      <c r="AH503" s="115"/>
      <c r="AK503" s="306" t="str">
        <f>IF(ISNUMBER(Table1[[#This Row],[FECHA DE RECIBIDO]]), Table1[[#This Row],[FECHA DE RECIBIDO]]-DATE(2023,8,30), "")</f>
        <v/>
      </c>
    </row>
    <row r="504" spans="1:37" ht="15" customHeight="1">
      <c r="A504" s="150" t="s">
        <v>1943</v>
      </c>
      <c r="B504" s="151">
        <v>210</v>
      </c>
      <c r="C504" s="126" t="s">
        <v>2379</v>
      </c>
      <c r="D504">
        <v>304</v>
      </c>
      <c r="E504" s="126" t="s">
        <v>1622</v>
      </c>
      <c r="F504" s="122" t="s">
        <v>1589</v>
      </c>
      <c r="G504" s="122" t="s">
        <v>129</v>
      </c>
      <c r="H504">
        <v>106</v>
      </c>
      <c r="I504" s="122" t="s">
        <v>1546</v>
      </c>
      <c r="J504" s="307" t="s">
        <v>214</v>
      </c>
      <c r="K504" s="127" t="s">
        <v>1785</v>
      </c>
      <c r="L504" s="151" t="s">
        <v>110</v>
      </c>
      <c r="M504">
        <v>144</v>
      </c>
      <c r="N504" s="123">
        <v>36</v>
      </c>
      <c r="O504">
        <v>327</v>
      </c>
      <c r="P504" s="132" t="s">
        <v>77</v>
      </c>
      <c r="Q504" s="131">
        <v>30000</v>
      </c>
      <c r="R504" s="131">
        <v>4800</v>
      </c>
      <c r="S504" s="131"/>
      <c r="T504" s="155">
        <v>3200</v>
      </c>
      <c r="U504" s="131">
        <v>3000</v>
      </c>
      <c r="V504" s="131">
        <f t="shared" si="10"/>
        <v>28600</v>
      </c>
      <c r="W504">
        <v>68</v>
      </c>
      <c r="X504" s="151" t="s">
        <v>1429</v>
      </c>
      <c r="Y504" s="135" t="s">
        <v>55</v>
      </c>
      <c r="Z504" s="307">
        <v>198</v>
      </c>
      <c r="AB504" t="str">
        <f>IF(Table1[[#This Row],[TIPO2]]="costo", VLOOKUP(Table1[[#This Row],[PARTIDA PRESUPUESTAL]],'Cost Report'!G:G,1,0),"Balance")</f>
        <v>2005-014</v>
      </c>
      <c r="AC504" s="118"/>
      <c r="AD504" s="159">
        <f>+Table1[[#This Row],[SUBTOTAL]]+Table1[[#This Row],[IVA]]-Table1[[#This Row],[RET IVA]]-Table1[[#This Row],[RET ISR]]-Table1[[#This Row],[TOTAL]]</f>
        <v>0</v>
      </c>
      <c r="AE504" s="150"/>
      <c r="AF504" s="151"/>
      <c r="AG504" s="126"/>
      <c r="AH504" s="115"/>
      <c r="AK504" s="306" t="str">
        <f>IF(ISNUMBER(Table1[[#This Row],[FECHA DE RECIBIDO]]), Table1[[#This Row],[FECHA DE RECIBIDO]]-DATE(2023,8,30), "")</f>
        <v/>
      </c>
    </row>
    <row r="505" spans="1:37" ht="15" customHeight="1">
      <c r="A505" s="152" t="s">
        <v>1944</v>
      </c>
      <c r="B505" s="153">
        <v>211</v>
      </c>
      <c r="C505" s="126" t="s">
        <v>944</v>
      </c>
      <c r="D505">
        <v>305</v>
      </c>
      <c r="E505" s="126" t="s">
        <v>1597</v>
      </c>
      <c r="F505" s="125" t="s">
        <v>1589</v>
      </c>
      <c r="G505" s="125" t="s">
        <v>129</v>
      </c>
      <c r="H505">
        <v>8</v>
      </c>
      <c r="I505" s="125" t="s">
        <v>1546</v>
      </c>
      <c r="J505" s="308" t="s">
        <v>214</v>
      </c>
      <c r="K505" s="127" t="s">
        <v>1785</v>
      </c>
      <c r="L505" s="153" t="s">
        <v>110</v>
      </c>
      <c r="M505">
        <v>11</v>
      </c>
      <c r="N505" s="123">
        <v>9</v>
      </c>
      <c r="O505">
        <v>328</v>
      </c>
      <c r="P505" s="132" t="s">
        <v>77</v>
      </c>
      <c r="Q505" s="132">
        <v>16800</v>
      </c>
      <c r="R505" s="132">
        <v>2688</v>
      </c>
      <c r="S505" s="132"/>
      <c r="T505" s="156">
        <v>1792.01</v>
      </c>
      <c r="U505" s="132">
        <v>1680</v>
      </c>
      <c r="V505" s="132">
        <f t="shared" si="10"/>
        <v>16015.990000000002</v>
      </c>
      <c r="W505">
        <v>6</v>
      </c>
      <c r="X505" s="153" t="s">
        <v>1430</v>
      </c>
      <c r="Y505" s="124" t="s">
        <v>55</v>
      </c>
      <c r="Z505" s="308">
        <v>198</v>
      </c>
      <c r="AB505" t="str">
        <f>IF(Table1[[#This Row],[TIPO2]]="costo", VLOOKUP(Table1[[#This Row],[PARTIDA PRESUPUESTAL]],'Cost Report'!G:G,1,0),"Balance")</f>
        <v>3402-004</v>
      </c>
      <c r="AC505" s="118"/>
      <c r="AD505" s="159">
        <f>+Table1[[#This Row],[SUBTOTAL]]+Table1[[#This Row],[IVA]]-Table1[[#This Row],[RET IVA]]-Table1[[#This Row],[RET ISR]]-Table1[[#This Row],[TOTAL]]</f>
        <v>0</v>
      </c>
      <c r="AE505" s="152"/>
      <c r="AF505" s="153"/>
      <c r="AG505" s="126"/>
      <c r="AH505" s="115"/>
      <c r="AK505" s="306" t="str">
        <f>IF(ISNUMBER(Table1[[#This Row],[FECHA DE RECIBIDO]]), Table1[[#This Row],[FECHA DE RECIBIDO]]-DATE(2023,8,30), "")</f>
        <v/>
      </c>
    </row>
    <row r="506" spans="1:37" ht="15" customHeight="1">
      <c r="A506" s="150" t="s">
        <v>1945</v>
      </c>
      <c r="B506" s="151">
        <v>212</v>
      </c>
      <c r="C506" s="126" t="s">
        <v>944</v>
      </c>
      <c r="D506">
        <v>306</v>
      </c>
      <c r="E506" s="126" t="s">
        <v>1597</v>
      </c>
      <c r="F506" s="122" t="s">
        <v>1589</v>
      </c>
      <c r="G506" s="122" t="s">
        <v>129</v>
      </c>
      <c r="H506">
        <v>8</v>
      </c>
      <c r="I506" s="122" t="s">
        <v>1546</v>
      </c>
      <c r="J506" s="307" t="s">
        <v>214</v>
      </c>
      <c r="K506" s="127" t="s">
        <v>1785</v>
      </c>
      <c r="L506" s="151" t="s">
        <v>110</v>
      </c>
      <c r="M506">
        <v>11</v>
      </c>
      <c r="N506" s="123">
        <v>9</v>
      </c>
      <c r="O506">
        <v>329</v>
      </c>
      <c r="P506" s="132" t="s">
        <v>77</v>
      </c>
      <c r="Q506" s="131">
        <v>42000</v>
      </c>
      <c r="R506" s="131">
        <v>6720</v>
      </c>
      <c r="S506" s="131"/>
      <c r="T506" s="155">
        <v>4480.0200000000004</v>
      </c>
      <c r="U506" s="131">
        <v>4200</v>
      </c>
      <c r="V506" s="131">
        <f t="shared" si="10"/>
        <v>40039.979999999996</v>
      </c>
      <c r="W506">
        <v>6</v>
      </c>
      <c r="X506" s="151" t="s">
        <v>1430</v>
      </c>
      <c r="Y506" s="135" t="s">
        <v>55</v>
      </c>
      <c r="Z506" s="307">
        <v>198</v>
      </c>
      <c r="AB506" t="str">
        <f>IF(Table1[[#This Row],[TIPO2]]="costo", VLOOKUP(Table1[[#This Row],[PARTIDA PRESUPUESTAL]],'Cost Report'!G:G,1,0),"Balance")</f>
        <v>3402-004</v>
      </c>
      <c r="AC506" s="118"/>
      <c r="AD506" s="159">
        <f>+Table1[[#This Row],[SUBTOTAL]]+Table1[[#This Row],[IVA]]-Table1[[#This Row],[RET IVA]]-Table1[[#This Row],[RET ISR]]-Table1[[#This Row],[TOTAL]]</f>
        <v>0</v>
      </c>
      <c r="AE506" s="150"/>
      <c r="AF506" s="151"/>
      <c r="AG506" s="126"/>
      <c r="AH506" s="115"/>
      <c r="AK506" s="306" t="str">
        <f>IF(ISNUMBER(Table1[[#This Row],[FECHA DE RECIBIDO]]), Table1[[#This Row],[FECHA DE RECIBIDO]]-DATE(2023,8,30), "")</f>
        <v/>
      </c>
    </row>
    <row r="507" spans="1:37" ht="15" customHeight="1">
      <c r="A507" s="152" t="s">
        <v>1946</v>
      </c>
      <c r="B507" s="153">
        <v>213</v>
      </c>
      <c r="C507" s="126" t="s">
        <v>952</v>
      </c>
      <c r="D507">
        <v>307</v>
      </c>
      <c r="E507" s="126" t="s">
        <v>1596</v>
      </c>
      <c r="F507" s="125" t="s">
        <v>1593</v>
      </c>
      <c r="G507" s="125" t="s">
        <v>109</v>
      </c>
      <c r="H507">
        <v>11</v>
      </c>
      <c r="I507" s="125" t="s">
        <v>1546</v>
      </c>
      <c r="J507" s="308" t="s">
        <v>214</v>
      </c>
      <c r="K507" s="127" t="s">
        <v>1785</v>
      </c>
      <c r="L507" s="153" t="s">
        <v>110</v>
      </c>
      <c r="M507">
        <v>14</v>
      </c>
      <c r="N507" s="123">
        <v>8</v>
      </c>
      <c r="O507">
        <v>330</v>
      </c>
      <c r="P507" s="132" t="s">
        <v>77</v>
      </c>
      <c r="Q507" s="132">
        <v>21000</v>
      </c>
      <c r="R507" s="132">
        <v>3360</v>
      </c>
      <c r="S507" s="132"/>
      <c r="T507" s="156">
        <v>2239.98</v>
      </c>
      <c r="U507" s="132">
        <v>262.5</v>
      </c>
      <c r="V507" s="132">
        <f t="shared" si="10"/>
        <v>21857.52</v>
      </c>
      <c r="W507">
        <v>10</v>
      </c>
      <c r="X507" s="153" t="s">
        <v>1432</v>
      </c>
      <c r="Y507" s="124" t="s">
        <v>55</v>
      </c>
      <c r="Z507" s="308">
        <v>198</v>
      </c>
      <c r="AB507" t="str">
        <f>IF(Table1[[#This Row],[TIPO2]]="costo", VLOOKUP(Table1[[#This Row],[PARTIDA PRESUPUESTAL]],'Cost Report'!G:G,1,0),"Balance")</f>
        <v>3403-010</v>
      </c>
      <c r="AC507" s="118"/>
      <c r="AD507" s="159">
        <f>+Table1[[#This Row],[SUBTOTAL]]+Table1[[#This Row],[IVA]]-Table1[[#This Row],[RET IVA]]-Table1[[#This Row],[RET ISR]]-Table1[[#This Row],[TOTAL]]</f>
        <v>0</v>
      </c>
      <c r="AE507" s="152"/>
      <c r="AF507" s="153"/>
      <c r="AG507" s="126"/>
      <c r="AH507" s="115"/>
      <c r="AK507" s="306" t="str">
        <f>IF(ISNUMBER(Table1[[#This Row],[FECHA DE RECIBIDO]]), Table1[[#This Row],[FECHA DE RECIBIDO]]-DATE(2023,8,30), "")</f>
        <v/>
      </c>
    </row>
    <row r="508" spans="1:37" ht="15" customHeight="1">
      <c r="A508" s="150" t="s">
        <v>1947</v>
      </c>
      <c r="B508" s="151">
        <v>214</v>
      </c>
      <c r="C508" s="126" t="s">
        <v>955</v>
      </c>
      <c r="D508">
        <v>308</v>
      </c>
      <c r="E508" s="126" t="s">
        <v>1598</v>
      </c>
      <c r="F508" s="122" t="s">
        <v>1593</v>
      </c>
      <c r="G508" s="122" t="s">
        <v>109</v>
      </c>
      <c r="H508">
        <v>25</v>
      </c>
      <c r="I508" s="122" t="s">
        <v>1546</v>
      </c>
      <c r="J508" s="307" t="s">
        <v>214</v>
      </c>
      <c r="K508" s="127" t="s">
        <v>1785</v>
      </c>
      <c r="L508" s="151" t="s">
        <v>110</v>
      </c>
      <c r="M508">
        <v>34</v>
      </c>
      <c r="N508" s="123">
        <v>10</v>
      </c>
      <c r="O508">
        <v>331</v>
      </c>
      <c r="P508" s="132" t="s">
        <v>77</v>
      </c>
      <c r="Q508" s="131">
        <v>21000</v>
      </c>
      <c r="R508" s="131">
        <v>3360</v>
      </c>
      <c r="S508" s="131"/>
      <c r="T508" s="155">
        <v>2240</v>
      </c>
      <c r="U508" s="131">
        <v>262.5</v>
      </c>
      <c r="V508" s="131">
        <f t="shared" si="10"/>
        <v>21857.5</v>
      </c>
      <c r="W508">
        <v>27</v>
      </c>
      <c r="X508" s="151" t="s">
        <v>1429</v>
      </c>
      <c r="Y508" s="135" t="s">
        <v>55</v>
      </c>
      <c r="Z508" s="307">
        <v>198</v>
      </c>
      <c r="AB508" t="str">
        <f>IF(Table1[[#This Row],[TIPO2]]="costo", VLOOKUP(Table1[[#This Row],[PARTIDA PRESUPUESTAL]],'Cost Report'!G:G,1,0),"Balance")</f>
        <v>3403-015</v>
      </c>
      <c r="AC508" s="118"/>
      <c r="AD508" s="159">
        <f>+Table1[[#This Row],[SUBTOTAL]]+Table1[[#This Row],[IVA]]-Table1[[#This Row],[RET IVA]]-Table1[[#This Row],[RET ISR]]-Table1[[#This Row],[TOTAL]]</f>
        <v>0</v>
      </c>
      <c r="AE508" s="150"/>
      <c r="AF508" s="151"/>
      <c r="AG508" s="126"/>
      <c r="AH508" s="115"/>
      <c r="AK508" s="306" t="str">
        <f>IF(ISNUMBER(Table1[[#This Row],[FECHA DE RECIBIDO]]), Table1[[#This Row],[FECHA DE RECIBIDO]]-DATE(2023,8,30), "")</f>
        <v/>
      </c>
    </row>
    <row r="509" spans="1:37" ht="15" customHeight="1">
      <c r="A509" s="152" t="s">
        <v>1948</v>
      </c>
      <c r="B509" s="153">
        <v>215</v>
      </c>
      <c r="C509" s="126" t="s">
        <v>947</v>
      </c>
      <c r="D509">
        <v>309</v>
      </c>
      <c r="E509" s="126" t="s">
        <v>1891</v>
      </c>
      <c r="F509" s="125" t="s">
        <v>1589</v>
      </c>
      <c r="G509" s="125" t="s">
        <v>129</v>
      </c>
      <c r="H509">
        <v>64</v>
      </c>
      <c r="I509" s="125" t="s">
        <v>1546</v>
      </c>
      <c r="J509" s="308" t="s">
        <v>214</v>
      </c>
      <c r="K509" s="127" t="s">
        <v>1785</v>
      </c>
      <c r="L509" s="153" t="s">
        <v>110</v>
      </c>
      <c r="M509">
        <v>87</v>
      </c>
      <c r="N509" s="123">
        <v>24</v>
      </c>
      <c r="O509">
        <v>332</v>
      </c>
      <c r="P509" s="132" t="s">
        <v>77</v>
      </c>
      <c r="Q509" s="132">
        <v>25200</v>
      </c>
      <c r="R509" s="132">
        <v>4032</v>
      </c>
      <c r="S509" s="132"/>
      <c r="T509" s="156">
        <v>2688</v>
      </c>
      <c r="U509" s="132">
        <v>2520</v>
      </c>
      <c r="V509" s="132">
        <f t="shared" si="10"/>
        <v>24024</v>
      </c>
      <c r="W509">
        <v>46</v>
      </c>
      <c r="X509" s="153" t="s">
        <v>1429</v>
      </c>
      <c r="Y509" s="124" t="s">
        <v>55</v>
      </c>
      <c r="Z509" s="308">
        <v>198</v>
      </c>
      <c r="AB509" t="str">
        <f>IF(Table1[[#This Row],[TIPO2]]="costo", VLOOKUP(Table1[[#This Row],[PARTIDA PRESUPUESTAL]],'Cost Report'!G:G,1,0),"Balance")</f>
        <v>3403-003</v>
      </c>
      <c r="AC509" s="118"/>
      <c r="AD509" s="159">
        <f>+Table1[[#This Row],[SUBTOTAL]]+Table1[[#This Row],[IVA]]-Table1[[#This Row],[RET IVA]]-Table1[[#This Row],[RET ISR]]-Table1[[#This Row],[TOTAL]]</f>
        <v>0</v>
      </c>
      <c r="AE509" s="152"/>
      <c r="AF509" s="153"/>
      <c r="AG509" s="126"/>
      <c r="AH509" s="115"/>
      <c r="AK509" s="306" t="str">
        <f>IF(ISNUMBER(Table1[[#This Row],[FECHA DE RECIBIDO]]), Table1[[#This Row],[FECHA DE RECIBIDO]]-DATE(2023,8,30), "")</f>
        <v/>
      </c>
    </row>
    <row r="510" spans="1:37" ht="15" customHeight="1">
      <c r="A510" s="150" t="s">
        <v>1949</v>
      </c>
      <c r="B510" s="151">
        <v>216</v>
      </c>
      <c r="C510" s="126" t="s">
        <v>536</v>
      </c>
      <c r="D510">
        <v>310</v>
      </c>
      <c r="E510" s="126" t="s">
        <v>1599</v>
      </c>
      <c r="F510" s="122" t="s">
        <v>1589</v>
      </c>
      <c r="G510" s="122" t="s">
        <v>129</v>
      </c>
      <c r="H510">
        <v>20</v>
      </c>
      <c r="I510" s="122" t="s">
        <v>1546</v>
      </c>
      <c r="J510" s="307" t="s">
        <v>214</v>
      </c>
      <c r="K510" s="127" t="s">
        <v>1785</v>
      </c>
      <c r="L510" s="151" t="s">
        <v>110</v>
      </c>
      <c r="M510">
        <v>26</v>
      </c>
      <c r="N510" s="123">
        <v>11</v>
      </c>
      <c r="O510">
        <v>333</v>
      </c>
      <c r="P510" s="132" t="s">
        <v>77</v>
      </c>
      <c r="Q510" s="131">
        <v>64680</v>
      </c>
      <c r="R510" s="131">
        <v>10348.799999999999</v>
      </c>
      <c r="S510" s="131"/>
      <c r="T510" s="155">
        <v>6899.22</v>
      </c>
      <c r="U510" s="131">
        <v>6468</v>
      </c>
      <c r="V510" s="131">
        <f t="shared" si="10"/>
        <v>61661.58</v>
      </c>
      <c r="W510">
        <v>20</v>
      </c>
      <c r="X510" s="151" t="s">
        <v>1434</v>
      </c>
      <c r="Y510" s="135" t="s">
        <v>55</v>
      </c>
      <c r="Z510" s="307">
        <v>198</v>
      </c>
      <c r="AB510" t="str">
        <f>IF(Table1[[#This Row],[TIPO2]]="costo", VLOOKUP(Table1[[#This Row],[PARTIDA PRESUPUESTAL]],'Cost Report'!G:G,1,0),"Balance")</f>
        <v>2201-004</v>
      </c>
      <c r="AC510" s="118"/>
      <c r="AD510" s="159">
        <f>+Table1[[#This Row],[SUBTOTAL]]+Table1[[#This Row],[IVA]]-Table1[[#This Row],[RET IVA]]-Table1[[#This Row],[RET ISR]]-Table1[[#This Row],[TOTAL]]</f>
        <v>0</v>
      </c>
      <c r="AE510" s="150"/>
      <c r="AF510" s="151"/>
      <c r="AG510" s="126"/>
      <c r="AH510" s="115"/>
      <c r="AK510" s="306" t="str">
        <f>IF(ISNUMBER(Table1[[#This Row],[FECHA DE RECIBIDO]]), Table1[[#This Row],[FECHA DE RECIBIDO]]-DATE(2023,8,30), "")</f>
        <v/>
      </c>
    </row>
    <row r="511" spans="1:37" ht="15" customHeight="1">
      <c r="A511" s="152" t="s">
        <v>1950</v>
      </c>
      <c r="B511" s="153">
        <v>217</v>
      </c>
      <c r="C511" s="126" t="s">
        <v>540</v>
      </c>
      <c r="D511">
        <v>311</v>
      </c>
      <c r="E511" s="126" t="s">
        <v>1600</v>
      </c>
      <c r="F511" s="125" t="s">
        <v>1593</v>
      </c>
      <c r="G511" s="125" t="s">
        <v>109</v>
      </c>
      <c r="H511">
        <v>26</v>
      </c>
      <c r="I511" s="125" t="s">
        <v>1546</v>
      </c>
      <c r="J511" s="308" t="s">
        <v>214</v>
      </c>
      <c r="K511" s="127" t="s">
        <v>1785</v>
      </c>
      <c r="L511" s="153" t="s">
        <v>110</v>
      </c>
      <c r="M511">
        <v>35</v>
      </c>
      <c r="N511" s="123">
        <v>12</v>
      </c>
      <c r="O511">
        <v>334</v>
      </c>
      <c r="P511" s="132" t="s">
        <v>77</v>
      </c>
      <c r="Q511" s="132">
        <v>43050</v>
      </c>
      <c r="R511" s="132">
        <v>6888</v>
      </c>
      <c r="S511" s="132"/>
      <c r="T511" s="156">
        <v>4592.0200000000004</v>
      </c>
      <c r="U511" s="132">
        <v>538.12</v>
      </c>
      <c r="V511" s="132">
        <f t="shared" si="10"/>
        <v>44807.859999999993</v>
      </c>
      <c r="W511">
        <v>28</v>
      </c>
      <c r="X511" s="153" t="s">
        <v>1429</v>
      </c>
      <c r="Y511" s="124" t="s">
        <v>55</v>
      </c>
      <c r="Z511" s="308">
        <v>198</v>
      </c>
      <c r="AB511" t="str">
        <f>IF(Table1[[#This Row],[TIPO2]]="costo", VLOOKUP(Table1[[#This Row],[PARTIDA PRESUPUESTAL]],'Cost Report'!G:G,1,0),"Balance")</f>
        <v>2202-003</v>
      </c>
      <c r="AC511" s="118"/>
      <c r="AD511" s="159">
        <f>+Table1[[#This Row],[SUBTOTAL]]+Table1[[#This Row],[IVA]]-Table1[[#This Row],[RET IVA]]-Table1[[#This Row],[RET ISR]]-Table1[[#This Row],[TOTAL]]</f>
        <v>0</v>
      </c>
      <c r="AE511" s="152"/>
      <c r="AF511" s="153"/>
      <c r="AG511" s="126"/>
      <c r="AH511" s="115"/>
      <c r="AK511" s="306" t="str">
        <f>IF(ISNUMBER(Table1[[#This Row],[FECHA DE RECIBIDO]]), Table1[[#This Row],[FECHA DE RECIBIDO]]-DATE(2023,8,30), "")</f>
        <v/>
      </c>
    </row>
    <row r="512" spans="1:37" ht="15" customHeight="1">
      <c r="A512" s="150" t="s">
        <v>1951</v>
      </c>
      <c r="B512" s="151">
        <v>218</v>
      </c>
      <c r="C512" s="126" t="s">
        <v>548</v>
      </c>
      <c r="D512">
        <v>312</v>
      </c>
      <c r="E512" s="126" t="s">
        <v>1603</v>
      </c>
      <c r="F512" s="122" t="s">
        <v>1589</v>
      </c>
      <c r="G512" s="122" t="s">
        <v>129</v>
      </c>
      <c r="H512">
        <v>28</v>
      </c>
      <c r="I512" s="122" t="s">
        <v>1546</v>
      </c>
      <c r="J512" s="307" t="s">
        <v>214</v>
      </c>
      <c r="K512" s="127" t="s">
        <v>1785</v>
      </c>
      <c r="L512" s="151" t="s">
        <v>110</v>
      </c>
      <c r="M512">
        <v>37</v>
      </c>
      <c r="N512" s="123">
        <v>14</v>
      </c>
      <c r="O512">
        <v>335</v>
      </c>
      <c r="P512" s="132" t="s">
        <v>77</v>
      </c>
      <c r="Q512" s="131">
        <v>31500</v>
      </c>
      <c r="R512" s="131">
        <v>5040</v>
      </c>
      <c r="S512" s="131"/>
      <c r="T512" s="155">
        <v>3360.02</v>
      </c>
      <c r="U512" s="131">
        <v>3150</v>
      </c>
      <c r="V512" s="131">
        <f t="shared" si="10"/>
        <v>30029.980000000003</v>
      </c>
      <c r="W512">
        <v>30</v>
      </c>
      <c r="X512" s="151" t="s">
        <v>1432</v>
      </c>
      <c r="Y512" s="135" t="s">
        <v>55</v>
      </c>
      <c r="Z512" s="307">
        <v>198</v>
      </c>
      <c r="AB512" t="str">
        <f>IF(Table1[[#This Row],[TIPO2]]="costo", VLOOKUP(Table1[[#This Row],[PARTIDA PRESUPUESTAL]],'Cost Report'!G:G,1,0),"Balance")</f>
        <v>2206-003</v>
      </c>
      <c r="AC512" s="118"/>
      <c r="AD512" s="159">
        <f>+Table1[[#This Row],[SUBTOTAL]]+Table1[[#This Row],[IVA]]-Table1[[#This Row],[RET IVA]]-Table1[[#This Row],[RET ISR]]-Table1[[#This Row],[TOTAL]]</f>
        <v>0</v>
      </c>
      <c r="AE512" s="150"/>
      <c r="AF512" s="151"/>
      <c r="AG512" s="126"/>
      <c r="AH512" s="115"/>
      <c r="AK512" s="306" t="str">
        <f>IF(ISNUMBER(Table1[[#This Row],[FECHA DE RECIBIDO]]), Table1[[#This Row],[FECHA DE RECIBIDO]]-DATE(2023,8,30), "")</f>
        <v/>
      </c>
    </row>
    <row r="513" spans="1:37" ht="15" customHeight="1">
      <c r="A513" s="152" t="s">
        <v>1952</v>
      </c>
      <c r="B513" s="153">
        <v>219</v>
      </c>
      <c r="C513" s="126" t="s">
        <v>579</v>
      </c>
      <c r="D513">
        <v>313</v>
      </c>
      <c r="E513" s="126" t="s">
        <v>1892</v>
      </c>
      <c r="F513" s="125" t="s">
        <v>1589</v>
      </c>
      <c r="G513" s="125" t="s">
        <v>129</v>
      </c>
      <c r="H513">
        <v>65</v>
      </c>
      <c r="I513" s="125" t="s">
        <v>1546</v>
      </c>
      <c r="J513" s="308" t="s">
        <v>214</v>
      </c>
      <c r="K513" s="127" t="s">
        <v>1785</v>
      </c>
      <c r="L513" s="153" t="s">
        <v>110</v>
      </c>
      <c r="M513">
        <v>88</v>
      </c>
      <c r="N513" s="123">
        <v>25</v>
      </c>
      <c r="O513">
        <v>336</v>
      </c>
      <c r="P513" s="132" t="s">
        <v>77</v>
      </c>
      <c r="Q513" s="132">
        <v>20000</v>
      </c>
      <c r="R513" s="132">
        <v>3200</v>
      </c>
      <c r="S513" s="132"/>
      <c r="T513" s="156">
        <v>2133.34</v>
      </c>
      <c r="U513" s="132">
        <v>2000</v>
      </c>
      <c r="V513" s="132">
        <f t="shared" si="10"/>
        <v>19066.66</v>
      </c>
      <c r="W513">
        <v>47</v>
      </c>
      <c r="X513" s="153" t="s">
        <v>1897</v>
      </c>
      <c r="Y513" s="124" t="s">
        <v>55</v>
      </c>
      <c r="Z513" s="308">
        <v>198</v>
      </c>
      <c r="AB513" t="str">
        <f>IF(Table1[[#This Row],[TIPO2]]="costo", VLOOKUP(Table1[[#This Row],[PARTIDA PRESUPUESTAL]],'Cost Report'!G:G,1,0),"Balance")</f>
        <v>2401-009</v>
      </c>
      <c r="AC513" s="118"/>
      <c r="AD513" s="159">
        <f>+Table1[[#This Row],[SUBTOTAL]]+Table1[[#This Row],[IVA]]-Table1[[#This Row],[RET IVA]]-Table1[[#This Row],[RET ISR]]-Table1[[#This Row],[TOTAL]]</f>
        <v>0</v>
      </c>
      <c r="AE513" s="152"/>
      <c r="AF513" s="153"/>
      <c r="AG513" s="126"/>
      <c r="AH513" s="115"/>
      <c r="AK513" s="306" t="str">
        <f>IF(ISNUMBER(Table1[[#This Row],[FECHA DE RECIBIDO]]), Table1[[#This Row],[FECHA DE RECIBIDO]]-DATE(2023,8,30), "")</f>
        <v/>
      </c>
    </row>
    <row r="514" spans="1:37" ht="15" customHeight="1">
      <c r="A514" s="150" t="s">
        <v>1953</v>
      </c>
      <c r="B514" s="151">
        <v>220</v>
      </c>
      <c r="C514" s="126" t="s">
        <v>575</v>
      </c>
      <c r="D514">
        <v>314</v>
      </c>
      <c r="E514" s="126" t="s">
        <v>1893</v>
      </c>
      <c r="F514" s="122" t="s">
        <v>1593</v>
      </c>
      <c r="G514" s="122" t="s">
        <v>109</v>
      </c>
      <c r="H514">
        <v>66</v>
      </c>
      <c r="I514" s="122" t="s">
        <v>1546</v>
      </c>
      <c r="J514" s="307" t="s">
        <v>214</v>
      </c>
      <c r="K514" s="127" t="s">
        <v>1785</v>
      </c>
      <c r="L514" s="151" t="s">
        <v>110</v>
      </c>
      <c r="M514">
        <v>89</v>
      </c>
      <c r="N514" s="123">
        <v>26</v>
      </c>
      <c r="O514">
        <v>337</v>
      </c>
      <c r="P514" s="132" t="s">
        <v>77</v>
      </c>
      <c r="Q514" s="131">
        <v>35700</v>
      </c>
      <c r="R514" s="131">
        <v>5712</v>
      </c>
      <c r="S514" s="131"/>
      <c r="T514" s="155">
        <v>3808.02</v>
      </c>
      <c r="U514" s="131">
        <v>446.26</v>
      </c>
      <c r="V514" s="131">
        <f t="shared" si="10"/>
        <v>37157.72</v>
      </c>
      <c r="W514">
        <v>48</v>
      </c>
      <c r="X514" s="151" t="s">
        <v>1430</v>
      </c>
      <c r="Y514" s="135" t="s">
        <v>55</v>
      </c>
      <c r="Z514" s="307">
        <v>198</v>
      </c>
      <c r="AB514" t="str">
        <f>IF(Table1[[#This Row],[TIPO2]]="costo", VLOOKUP(Table1[[#This Row],[PARTIDA PRESUPUESTAL]],'Cost Report'!G:G,1,0),"Balance")</f>
        <v>2401-003</v>
      </c>
      <c r="AC514" s="118"/>
      <c r="AD514" s="159">
        <f>+Table1[[#This Row],[SUBTOTAL]]+Table1[[#This Row],[IVA]]-Table1[[#This Row],[RET IVA]]-Table1[[#This Row],[RET ISR]]-Table1[[#This Row],[TOTAL]]</f>
        <v>0</v>
      </c>
      <c r="AE514" s="150"/>
      <c r="AF514" s="151"/>
      <c r="AG514" s="126"/>
      <c r="AH514" s="115"/>
      <c r="AK514" s="306" t="str">
        <f>IF(ISNUMBER(Table1[[#This Row],[FECHA DE RECIBIDO]]), Table1[[#This Row],[FECHA DE RECIBIDO]]-DATE(2023,8,30), "")</f>
        <v/>
      </c>
    </row>
    <row r="515" spans="1:37" ht="15" customHeight="1">
      <c r="A515" s="152" t="s">
        <v>1954</v>
      </c>
      <c r="B515" s="153">
        <v>221</v>
      </c>
      <c r="C515" s="126" t="s">
        <v>624</v>
      </c>
      <c r="D515">
        <v>315</v>
      </c>
      <c r="E515" s="126" t="s">
        <v>1994</v>
      </c>
      <c r="F515" s="125" t="s">
        <v>1602</v>
      </c>
      <c r="G515" s="125" t="s">
        <v>1617</v>
      </c>
      <c r="H515">
        <v>107</v>
      </c>
      <c r="I515" s="125" t="s">
        <v>1546</v>
      </c>
      <c r="J515" s="308" t="s">
        <v>214</v>
      </c>
      <c r="K515" s="127" t="s">
        <v>1785</v>
      </c>
      <c r="L515" s="153" t="s">
        <v>110</v>
      </c>
      <c r="M515">
        <v>145</v>
      </c>
      <c r="N515" s="123">
        <v>37</v>
      </c>
      <c r="O515">
        <v>338</v>
      </c>
      <c r="P515" s="132" t="s">
        <v>77</v>
      </c>
      <c r="Q515" s="132">
        <v>51000</v>
      </c>
      <c r="R515" s="132">
        <v>8160</v>
      </c>
      <c r="S515" s="132"/>
      <c r="T515" s="156">
        <v>5439.99</v>
      </c>
      <c r="U515" s="132">
        <v>0</v>
      </c>
      <c r="V515" s="132">
        <f t="shared" si="10"/>
        <v>53720.01</v>
      </c>
      <c r="W515">
        <v>69</v>
      </c>
      <c r="X515" s="153" t="s">
        <v>1430</v>
      </c>
      <c r="Y515" s="124" t="s">
        <v>55</v>
      </c>
      <c r="Z515" s="308">
        <v>198</v>
      </c>
      <c r="AB515" t="str">
        <f>IF(Table1[[#This Row],[TIPO2]]="costo", VLOOKUP(Table1[[#This Row],[PARTIDA PRESUPUESTAL]],'Cost Report'!G:G,1,0),"Balance")</f>
        <v>2501-003</v>
      </c>
      <c r="AC515" s="118"/>
      <c r="AD515" s="159">
        <f>+Table1[[#This Row],[SUBTOTAL]]+Table1[[#This Row],[IVA]]-Table1[[#This Row],[RET IVA]]-Table1[[#This Row],[RET ISR]]-Table1[[#This Row],[TOTAL]]</f>
        <v>0</v>
      </c>
      <c r="AE515" s="152"/>
      <c r="AF515" s="153"/>
      <c r="AG515" s="126"/>
      <c r="AH515" s="115"/>
      <c r="AK515" s="306" t="str">
        <f>IF(ISNUMBER(Table1[[#This Row],[FECHA DE RECIBIDO]]), Table1[[#This Row],[FECHA DE RECIBIDO]]-DATE(2023,8,30), "")</f>
        <v/>
      </c>
    </row>
    <row r="516" spans="1:37" ht="15" customHeight="1">
      <c r="A516" s="150" t="s">
        <v>1955</v>
      </c>
      <c r="B516" s="151">
        <v>222</v>
      </c>
      <c r="C516" s="126" t="s">
        <v>635</v>
      </c>
      <c r="D516">
        <v>316</v>
      </c>
      <c r="E516" s="126" t="s">
        <v>2013</v>
      </c>
      <c r="F516" s="122" t="s">
        <v>1589</v>
      </c>
      <c r="G516" s="122" t="s">
        <v>129</v>
      </c>
      <c r="H516">
        <v>108</v>
      </c>
      <c r="I516" s="122" t="s">
        <v>1546</v>
      </c>
      <c r="J516" s="307" t="s">
        <v>214</v>
      </c>
      <c r="K516" s="127" t="s">
        <v>1785</v>
      </c>
      <c r="L516" s="151" t="s">
        <v>110</v>
      </c>
      <c r="M516">
        <v>146</v>
      </c>
      <c r="N516" s="123">
        <v>38</v>
      </c>
      <c r="O516">
        <v>339</v>
      </c>
      <c r="P516" s="132" t="s">
        <v>77</v>
      </c>
      <c r="Q516" s="131">
        <v>7500</v>
      </c>
      <c r="R516" s="131">
        <v>1200</v>
      </c>
      <c r="S516" s="131"/>
      <c r="T516" s="155">
        <v>800</v>
      </c>
      <c r="U516" s="131">
        <v>750</v>
      </c>
      <c r="V516" s="131">
        <f t="shared" si="10"/>
        <v>7150</v>
      </c>
      <c r="W516">
        <v>70</v>
      </c>
      <c r="X516" s="151" t="s">
        <v>1429</v>
      </c>
      <c r="Y516" s="135" t="s">
        <v>55</v>
      </c>
      <c r="Z516" s="307">
        <v>198</v>
      </c>
      <c r="AB516" t="str">
        <f>IF(Table1[[#This Row],[TIPO2]]="costo", VLOOKUP(Table1[[#This Row],[PARTIDA PRESUPUESTAL]],'Cost Report'!G:G,1,0),"Balance")</f>
        <v>2508-003</v>
      </c>
      <c r="AC516" s="118"/>
      <c r="AD516" s="159">
        <f>+Table1[[#This Row],[SUBTOTAL]]+Table1[[#This Row],[IVA]]-Table1[[#This Row],[RET IVA]]-Table1[[#This Row],[RET ISR]]-Table1[[#This Row],[TOTAL]]</f>
        <v>0</v>
      </c>
      <c r="AE516" s="150"/>
      <c r="AF516" s="151"/>
      <c r="AG516" s="126"/>
      <c r="AH516" s="115"/>
      <c r="AK516" s="306" t="str">
        <f>IF(ISNUMBER(Table1[[#This Row],[FECHA DE RECIBIDO]]), Table1[[#This Row],[FECHA DE RECIBIDO]]-DATE(2023,8,30), "")</f>
        <v/>
      </c>
    </row>
    <row r="517" spans="1:37" ht="15" customHeight="1">
      <c r="A517" s="152" t="s">
        <v>1956</v>
      </c>
      <c r="B517" s="153">
        <v>223</v>
      </c>
      <c r="C517" s="126" t="s">
        <v>544</v>
      </c>
      <c r="D517">
        <v>317</v>
      </c>
      <c r="E517" s="126" t="s">
        <v>1600</v>
      </c>
      <c r="F517" s="125" t="s">
        <v>1593</v>
      </c>
      <c r="G517" s="125" t="s">
        <v>109</v>
      </c>
      <c r="H517">
        <v>109</v>
      </c>
      <c r="I517" s="125" t="s">
        <v>1546</v>
      </c>
      <c r="J517" s="308" t="s">
        <v>214</v>
      </c>
      <c r="K517" s="127" t="s">
        <v>1785</v>
      </c>
      <c r="L517" s="153" t="s">
        <v>110</v>
      </c>
      <c r="M517">
        <v>147</v>
      </c>
      <c r="N517" s="123">
        <v>39</v>
      </c>
      <c r="O517">
        <v>340</v>
      </c>
      <c r="P517" s="132" t="s">
        <v>77</v>
      </c>
      <c r="Q517" s="132">
        <v>25200</v>
      </c>
      <c r="R517" s="132">
        <v>4032</v>
      </c>
      <c r="S517" s="132"/>
      <c r="T517" s="156">
        <v>2688</v>
      </c>
      <c r="U517" s="132">
        <v>315</v>
      </c>
      <c r="V517" s="132">
        <f t="shared" si="10"/>
        <v>26229</v>
      </c>
      <c r="W517">
        <v>71</v>
      </c>
      <c r="X517" s="153" t="s">
        <v>2023</v>
      </c>
      <c r="Y517" s="124" t="s">
        <v>55</v>
      </c>
      <c r="Z517" s="308">
        <v>198</v>
      </c>
      <c r="AB517" t="str">
        <f>IF(Table1[[#This Row],[TIPO2]]="costo", VLOOKUP(Table1[[#This Row],[PARTIDA PRESUPUESTAL]],'Cost Report'!G:G,1,0),"Balance")</f>
        <v>2203-003</v>
      </c>
      <c r="AC517" s="118"/>
      <c r="AD517" s="159">
        <f>+Table1[[#This Row],[SUBTOTAL]]+Table1[[#This Row],[IVA]]-Table1[[#This Row],[RET IVA]]-Table1[[#This Row],[RET ISR]]-Table1[[#This Row],[TOTAL]]</f>
        <v>0</v>
      </c>
      <c r="AE517" s="152"/>
      <c r="AF517" s="153"/>
      <c r="AG517" s="126"/>
      <c r="AH517" s="115"/>
      <c r="AK517" s="306" t="str">
        <f>IF(ISNUMBER(Table1[[#This Row],[FECHA DE RECIBIDO]]), Table1[[#This Row],[FECHA DE RECIBIDO]]-DATE(2023,8,30), "")</f>
        <v/>
      </c>
    </row>
    <row r="518" spans="1:37" ht="15" customHeight="1">
      <c r="A518" s="150" t="s">
        <v>1957</v>
      </c>
      <c r="B518" s="151">
        <v>224</v>
      </c>
      <c r="C518" s="126" t="s">
        <v>2451</v>
      </c>
      <c r="D518">
        <v>318</v>
      </c>
      <c r="E518" s="126" t="s">
        <v>1613</v>
      </c>
      <c r="F518" s="122" t="s">
        <v>1593</v>
      </c>
      <c r="G518" s="122" t="s">
        <v>109</v>
      </c>
      <c r="H518">
        <v>110</v>
      </c>
      <c r="I518" s="122" t="s">
        <v>1546</v>
      </c>
      <c r="J518" s="307" t="s">
        <v>214</v>
      </c>
      <c r="K518" s="127" t="s">
        <v>1785</v>
      </c>
      <c r="L518" s="151" t="s">
        <v>110</v>
      </c>
      <c r="M518">
        <v>148</v>
      </c>
      <c r="N518" s="123">
        <v>40</v>
      </c>
      <c r="O518">
        <v>341</v>
      </c>
      <c r="P518" s="132" t="s">
        <v>77</v>
      </c>
      <c r="Q518" s="131">
        <v>14000</v>
      </c>
      <c r="R518" s="131">
        <v>2240</v>
      </c>
      <c r="S518" s="131"/>
      <c r="T518" s="155">
        <v>1493.34</v>
      </c>
      <c r="U518" s="131">
        <v>175</v>
      </c>
      <c r="V518" s="131">
        <f t="shared" si="10"/>
        <v>14571.66</v>
      </c>
      <c r="W518">
        <v>72</v>
      </c>
      <c r="X518" s="151" t="s">
        <v>1429</v>
      </c>
      <c r="Y518" s="135" t="s">
        <v>55</v>
      </c>
      <c r="Z518" s="307">
        <v>198</v>
      </c>
      <c r="AB518" t="str">
        <f>IF(Table1[[#This Row],[TIPO2]]="costo", VLOOKUP(Table1[[#This Row],[PARTIDA PRESUPUESTAL]],'Cost Report'!G:G,1,0),"Balance")</f>
        <v>2206-015</v>
      </c>
      <c r="AC518" s="118"/>
      <c r="AD518" s="159">
        <f>+Table1[[#This Row],[SUBTOTAL]]+Table1[[#This Row],[IVA]]-Table1[[#This Row],[RET IVA]]-Table1[[#This Row],[RET ISR]]-Table1[[#This Row],[TOTAL]]</f>
        <v>0</v>
      </c>
      <c r="AE518" s="150"/>
      <c r="AF518" s="151"/>
      <c r="AG518" s="126"/>
      <c r="AH518" s="115"/>
      <c r="AK518" s="306" t="str">
        <f>IF(ISNUMBER(Table1[[#This Row],[FECHA DE RECIBIDO]]), Table1[[#This Row],[FECHA DE RECIBIDO]]-DATE(2023,8,30), "")</f>
        <v/>
      </c>
    </row>
    <row r="519" spans="1:37" ht="15" customHeight="1">
      <c r="A519" s="152" t="s">
        <v>1958</v>
      </c>
      <c r="B519" s="153">
        <v>225</v>
      </c>
      <c r="C519" s="126" t="s">
        <v>582</v>
      </c>
      <c r="D519">
        <v>319</v>
      </c>
      <c r="E519" s="126" t="s">
        <v>2014</v>
      </c>
      <c r="F519" s="125" t="s">
        <v>1589</v>
      </c>
      <c r="G519" s="125" t="s">
        <v>129</v>
      </c>
      <c r="H519">
        <v>111</v>
      </c>
      <c r="I519" s="125" t="s">
        <v>1546</v>
      </c>
      <c r="J519" s="308" t="s">
        <v>214</v>
      </c>
      <c r="K519" s="127" t="s">
        <v>1785</v>
      </c>
      <c r="L519" s="153" t="s">
        <v>110</v>
      </c>
      <c r="M519">
        <v>149</v>
      </c>
      <c r="N519" s="123">
        <v>41</v>
      </c>
      <c r="O519">
        <v>342</v>
      </c>
      <c r="P519" s="132" t="s">
        <v>77</v>
      </c>
      <c r="Q519" s="132">
        <v>26775</v>
      </c>
      <c r="R519" s="132">
        <v>4284</v>
      </c>
      <c r="S519" s="132"/>
      <c r="T519" s="156">
        <v>2856</v>
      </c>
      <c r="U519" s="132">
        <v>2677.5</v>
      </c>
      <c r="V519" s="132">
        <f t="shared" si="10"/>
        <v>25525.5</v>
      </c>
      <c r="W519">
        <v>73</v>
      </c>
      <c r="X519" s="153" t="s">
        <v>1430</v>
      </c>
      <c r="Y519" s="124" t="s">
        <v>55</v>
      </c>
      <c r="Z519" s="308">
        <v>198</v>
      </c>
      <c r="AB519" t="str">
        <f>IF(Table1[[#This Row],[TIPO2]]="costo", VLOOKUP(Table1[[#This Row],[PARTIDA PRESUPUESTAL]],'Cost Report'!G:G,1,0),"Balance")</f>
        <v>2401-014</v>
      </c>
      <c r="AC519" s="118"/>
      <c r="AD519" s="159">
        <f>+Table1[[#This Row],[SUBTOTAL]]+Table1[[#This Row],[IVA]]-Table1[[#This Row],[RET IVA]]-Table1[[#This Row],[RET ISR]]-Table1[[#This Row],[TOTAL]]</f>
        <v>0</v>
      </c>
      <c r="AE519" s="152"/>
      <c r="AF519" s="153"/>
      <c r="AG519" s="126"/>
      <c r="AH519" s="115"/>
      <c r="AK519" s="306" t="str">
        <f>IF(ISNUMBER(Table1[[#This Row],[FECHA DE RECIBIDO]]), Table1[[#This Row],[FECHA DE RECIBIDO]]-DATE(2023,8,30), "")</f>
        <v/>
      </c>
    </row>
    <row r="520" spans="1:37" ht="15" customHeight="1">
      <c r="A520" s="150" t="s">
        <v>1959</v>
      </c>
      <c r="B520" s="151">
        <v>226</v>
      </c>
      <c r="C520" s="126" t="s">
        <v>586</v>
      </c>
      <c r="D520">
        <v>320</v>
      </c>
      <c r="E520" s="126" t="s">
        <v>2015</v>
      </c>
      <c r="F520" s="122" t="s">
        <v>1593</v>
      </c>
      <c r="G520" s="122" t="s">
        <v>109</v>
      </c>
      <c r="H520">
        <v>112</v>
      </c>
      <c r="I520" s="122" t="s">
        <v>1546</v>
      </c>
      <c r="J520" s="307" t="s">
        <v>214</v>
      </c>
      <c r="K520" s="127" t="s">
        <v>1785</v>
      </c>
      <c r="L520" s="151" t="s">
        <v>110</v>
      </c>
      <c r="M520">
        <v>150</v>
      </c>
      <c r="N520" s="123">
        <v>42</v>
      </c>
      <c r="O520">
        <v>343</v>
      </c>
      <c r="P520" s="132" t="s">
        <v>77</v>
      </c>
      <c r="Q520" s="131">
        <v>17850</v>
      </c>
      <c r="R520" s="131">
        <v>2856</v>
      </c>
      <c r="S520" s="131"/>
      <c r="T520" s="155">
        <v>1904</v>
      </c>
      <c r="U520" s="131">
        <v>223.12</v>
      </c>
      <c r="V520" s="131">
        <f t="shared" si="10"/>
        <v>18578.88</v>
      </c>
      <c r="W520">
        <v>74</v>
      </c>
      <c r="X520" s="151" t="s">
        <v>1429</v>
      </c>
      <c r="Y520" s="135" t="s">
        <v>55</v>
      </c>
      <c r="Z520" s="307">
        <v>198</v>
      </c>
      <c r="AB520" t="str">
        <f>IF(Table1[[#This Row],[TIPO2]]="costo", VLOOKUP(Table1[[#This Row],[PARTIDA PRESUPUESTAL]],'Cost Report'!G:G,1,0),"Balance")</f>
        <v>2401-020</v>
      </c>
      <c r="AC520" s="118"/>
      <c r="AD520" s="159">
        <f>+Table1[[#This Row],[SUBTOTAL]]+Table1[[#This Row],[IVA]]-Table1[[#This Row],[RET IVA]]-Table1[[#This Row],[RET ISR]]-Table1[[#This Row],[TOTAL]]</f>
        <v>0</v>
      </c>
      <c r="AE520" s="150"/>
      <c r="AF520" s="151"/>
      <c r="AG520" s="126"/>
      <c r="AH520" s="115"/>
      <c r="AK520" s="306" t="str">
        <f>IF(ISNUMBER(Table1[[#This Row],[FECHA DE RECIBIDO]]), Table1[[#This Row],[FECHA DE RECIBIDO]]-DATE(2023,8,30), "")</f>
        <v/>
      </c>
    </row>
    <row r="521" spans="1:37" ht="15" customHeight="1">
      <c r="A521" s="152" t="s">
        <v>1960</v>
      </c>
      <c r="B521" s="153">
        <v>227</v>
      </c>
      <c r="C521" s="126" t="s">
        <v>2557</v>
      </c>
      <c r="D521">
        <v>321</v>
      </c>
      <c r="E521" s="126" t="s">
        <v>2016</v>
      </c>
      <c r="F521" s="125" t="s">
        <v>1589</v>
      </c>
      <c r="G521" s="125" t="s">
        <v>129</v>
      </c>
      <c r="H521">
        <v>113</v>
      </c>
      <c r="I521" s="125" t="s">
        <v>1546</v>
      </c>
      <c r="J521" s="308" t="s">
        <v>214</v>
      </c>
      <c r="K521" s="127" t="s">
        <v>1785</v>
      </c>
      <c r="L521" s="153" t="s">
        <v>110</v>
      </c>
      <c r="M521">
        <v>151</v>
      </c>
      <c r="N521" s="123">
        <v>43</v>
      </c>
      <c r="O521">
        <v>344</v>
      </c>
      <c r="P521" s="132" t="s">
        <v>77</v>
      </c>
      <c r="Q521" s="132">
        <v>19600</v>
      </c>
      <c r="R521" s="132">
        <v>3136</v>
      </c>
      <c r="S521" s="132"/>
      <c r="T521" s="156">
        <v>2090.6799999999998</v>
      </c>
      <c r="U521" s="132">
        <v>1960</v>
      </c>
      <c r="V521" s="132">
        <f t="shared" si="10"/>
        <v>18685.32</v>
      </c>
      <c r="W521">
        <v>75</v>
      </c>
      <c r="X521" s="153" t="s">
        <v>2024</v>
      </c>
      <c r="Y521" s="124" t="s">
        <v>55</v>
      </c>
      <c r="Z521" s="308">
        <v>198</v>
      </c>
      <c r="AB521" t="str">
        <f>IF(Table1[[#This Row],[TIPO2]]="costo", VLOOKUP(Table1[[#This Row],[PARTIDA PRESUPUESTAL]],'Cost Report'!G:G,1,0),"Balance")</f>
        <v>2501-009</v>
      </c>
      <c r="AC521" s="118"/>
      <c r="AD521" s="159">
        <f>+Table1[[#This Row],[SUBTOTAL]]+Table1[[#This Row],[IVA]]-Table1[[#This Row],[RET IVA]]-Table1[[#This Row],[RET ISR]]-Table1[[#This Row],[TOTAL]]</f>
        <v>0</v>
      </c>
      <c r="AE521" s="152"/>
      <c r="AF521" s="153"/>
      <c r="AG521" s="126"/>
      <c r="AH521" s="115"/>
      <c r="AK521" s="306" t="str">
        <f>IF(ISNUMBER(Table1[[#This Row],[FECHA DE RECIBIDO]]), Table1[[#This Row],[FECHA DE RECIBIDO]]-DATE(2023,8,30), "")</f>
        <v/>
      </c>
    </row>
    <row r="522" spans="1:37" ht="15" customHeight="1">
      <c r="A522" s="150" t="s">
        <v>1961</v>
      </c>
      <c r="B522" s="151">
        <v>228</v>
      </c>
      <c r="C522" s="126" t="s">
        <v>552</v>
      </c>
      <c r="D522">
        <v>322</v>
      </c>
      <c r="E522" s="126" t="s">
        <v>1614</v>
      </c>
      <c r="F522" s="122" t="s">
        <v>1593</v>
      </c>
      <c r="G522" s="122" t="s">
        <v>109</v>
      </c>
      <c r="H522">
        <v>114</v>
      </c>
      <c r="I522" s="122" t="s">
        <v>1546</v>
      </c>
      <c r="J522" s="307" t="s">
        <v>214</v>
      </c>
      <c r="K522" s="127" t="s">
        <v>1785</v>
      </c>
      <c r="L522" s="151" t="s">
        <v>110</v>
      </c>
      <c r="M522">
        <v>152</v>
      </c>
      <c r="N522" s="123">
        <v>44</v>
      </c>
      <c r="O522">
        <v>345</v>
      </c>
      <c r="P522" s="132" t="s">
        <v>77</v>
      </c>
      <c r="Q522" s="131">
        <v>23100</v>
      </c>
      <c r="R522" s="131">
        <v>3696</v>
      </c>
      <c r="S522" s="131"/>
      <c r="T522" s="155">
        <v>2464.02</v>
      </c>
      <c r="U522" s="131">
        <v>288.75</v>
      </c>
      <c r="V522" s="131">
        <f t="shared" si="10"/>
        <v>24043.23</v>
      </c>
      <c r="W522">
        <v>76</v>
      </c>
      <c r="X522" s="151" t="s">
        <v>1429</v>
      </c>
      <c r="Y522" s="135" t="s">
        <v>55</v>
      </c>
      <c r="Z522" s="307">
        <v>198</v>
      </c>
      <c r="AB522" t="str">
        <f>IF(Table1[[#This Row],[TIPO2]]="costo", VLOOKUP(Table1[[#This Row],[PARTIDA PRESUPUESTAL]],'Cost Report'!G:G,1,0),"Balance")</f>
        <v>2206-009</v>
      </c>
      <c r="AC522" s="118"/>
      <c r="AD522" s="159">
        <f>+Table1[[#This Row],[SUBTOTAL]]+Table1[[#This Row],[IVA]]-Table1[[#This Row],[RET IVA]]-Table1[[#This Row],[RET ISR]]-Table1[[#This Row],[TOTAL]]</f>
        <v>0</v>
      </c>
      <c r="AE522" s="150"/>
      <c r="AF522" s="151"/>
      <c r="AG522" s="126"/>
      <c r="AH522" s="115"/>
      <c r="AK522" s="306" t="str">
        <f>IF(ISNUMBER(Table1[[#This Row],[FECHA DE RECIBIDO]]), Table1[[#This Row],[FECHA DE RECIBIDO]]-DATE(2023,8,30), "")</f>
        <v/>
      </c>
    </row>
    <row r="523" spans="1:37" ht="15" customHeight="1">
      <c r="A523" s="152" t="s">
        <v>1962</v>
      </c>
      <c r="B523" s="153">
        <v>229</v>
      </c>
      <c r="C523" s="126" t="s">
        <v>1816</v>
      </c>
      <c r="D523">
        <v>323</v>
      </c>
      <c r="E523" s="126" t="s">
        <v>1577</v>
      </c>
      <c r="F523" s="125" t="s">
        <v>1589</v>
      </c>
      <c r="G523" s="125" t="s">
        <v>129</v>
      </c>
      <c r="H523">
        <v>29</v>
      </c>
      <c r="I523" s="125" t="s">
        <v>1546</v>
      </c>
      <c r="J523" s="308" t="s">
        <v>214</v>
      </c>
      <c r="K523" s="127" t="s">
        <v>1785</v>
      </c>
      <c r="L523" s="153" t="s">
        <v>110</v>
      </c>
      <c r="M523">
        <v>38</v>
      </c>
      <c r="N523" s="123">
        <v>16</v>
      </c>
      <c r="O523">
        <v>346</v>
      </c>
      <c r="P523" s="132" t="s">
        <v>77</v>
      </c>
      <c r="Q523" s="132">
        <v>28000</v>
      </c>
      <c r="R523" s="132">
        <v>4480</v>
      </c>
      <c r="S523" s="132"/>
      <c r="T523" s="156">
        <v>2986.68</v>
      </c>
      <c r="U523" s="132">
        <v>2800</v>
      </c>
      <c r="V523" s="132">
        <f t="shared" si="10"/>
        <v>26693.32</v>
      </c>
      <c r="W523">
        <v>31</v>
      </c>
      <c r="X523" s="153" t="s">
        <v>1429</v>
      </c>
      <c r="Y523" s="124" t="s">
        <v>55</v>
      </c>
      <c r="Z523" s="308">
        <v>198</v>
      </c>
      <c r="AB523" t="str">
        <f>IF(Table1[[#This Row],[TIPO2]]="costo", VLOOKUP(Table1[[#This Row],[PARTIDA PRESUPUESTAL]],'Cost Report'!G:G,1,0),"Balance")</f>
        <v>2705-003</v>
      </c>
      <c r="AC523" s="118"/>
      <c r="AD523" s="159">
        <f>+Table1[[#This Row],[SUBTOTAL]]+Table1[[#This Row],[IVA]]-Table1[[#This Row],[RET IVA]]-Table1[[#This Row],[RET ISR]]-Table1[[#This Row],[TOTAL]]</f>
        <v>0</v>
      </c>
      <c r="AE523" s="152"/>
      <c r="AF523" s="153"/>
      <c r="AG523" s="126"/>
      <c r="AH523" s="115"/>
      <c r="AK523" s="306" t="str">
        <f>IF(ISNUMBER(Table1[[#This Row],[FECHA DE RECIBIDO]]), Table1[[#This Row],[FECHA DE RECIBIDO]]-DATE(2023,8,30), "")</f>
        <v/>
      </c>
    </row>
    <row r="524" spans="1:37" ht="15" customHeight="1">
      <c r="A524" s="150" t="s">
        <v>1963</v>
      </c>
      <c r="B524" s="151">
        <v>230</v>
      </c>
      <c r="C524" s="126" t="s">
        <v>657</v>
      </c>
      <c r="D524">
        <v>324</v>
      </c>
      <c r="E524" s="126" t="s">
        <v>1894</v>
      </c>
      <c r="F524" s="122" t="s">
        <v>1593</v>
      </c>
      <c r="G524" s="122" t="s">
        <v>109</v>
      </c>
      <c r="H524">
        <v>67</v>
      </c>
      <c r="I524" s="122" t="s">
        <v>1546</v>
      </c>
      <c r="J524" s="307" t="s">
        <v>214</v>
      </c>
      <c r="K524" s="127" t="s">
        <v>1785</v>
      </c>
      <c r="L524" s="151" t="s">
        <v>110</v>
      </c>
      <c r="M524">
        <v>90</v>
      </c>
      <c r="N524" s="123">
        <v>27</v>
      </c>
      <c r="O524">
        <v>347</v>
      </c>
      <c r="P524" s="132" t="s">
        <v>77</v>
      </c>
      <c r="Q524" s="131">
        <v>20000</v>
      </c>
      <c r="R524" s="131">
        <v>3200</v>
      </c>
      <c r="S524" s="131"/>
      <c r="T524" s="155">
        <v>2133.34</v>
      </c>
      <c r="U524" s="131">
        <v>250</v>
      </c>
      <c r="V524" s="131">
        <f t="shared" si="10"/>
        <v>20816.66</v>
      </c>
      <c r="W524">
        <v>49</v>
      </c>
      <c r="X524" s="151" t="s">
        <v>1430</v>
      </c>
      <c r="Y524" s="135" t="s">
        <v>55</v>
      </c>
      <c r="Z524" s="307">
        <v>198</v>
      </c>
      <c r="AB524" t="str">
        <f>IF(Table1[[#This Row],[TIPO2]]="costo", VLOOKUP(Table1[[#This Row],[PARTIDA PRESUPUESTAL]],'Cost Report'!G:G,1,0),"Balance")</f>
        <v>2703-003</v>
      </c>
      <c r="AC524" s="118"/>
      <c r="AD524" s="159">
        <f>+Table1[[#This Row],[SUBTOTAL]]+Table1[[#This Row],[IVA]]-Table1[[#This Row],[RET IVA]]-Table1[[#This Row],[RET ISR]]-Table1[[#This Row],[TOTAL]]</f>
        <v>0</v>
      </c>
      <c r="AE524" s="150"/>
      <c r="AF524" s="151"/>
      <c r="AG524" s="126"/>
      <c r="AH524" s="115"/>
      <c r="AK524" s="306" t="str">
        <f>IF(ISNUMBER(Table1[[#This Row],[FECHA DE RECIBIDO]]), Table1[[#This Row],[FECHA DE RECIBIDO]]-DATE(2023,8,30), "")</f>
        <v/>
      </c>
    </row>
    <row r="525" spans="1:37" ht="15" customHeight="1">
      <c r="A525" s="152" t="s">
        <v>1964</v>
      </c>
      <c r="B525" s="153">
        <v>231</v>
      </c>
      <c r="C525" s="126" t="s">
        <v>2598</v>
      </c>
      <c r="D525">
        <v>325</v>
      </c>
      <c r="E525" s="126" t="s">
        <v>1577</v>
      </c>
      <c r="F525" s="125" t="s">
        <v>1589</v>
      </c>
      <c r="G525" s="125" t="s">
        <v>129</v>
      </c>
      <c r="H525">
        <v>68</v>
      </c>
      <c r="I525" s="125" t="s">
        <v>1546</v>
      </c>
      <c r="J525" s="308" t="s">
        <v>214</v>
      </c>
      <c r="K525" s="127" t="s">
        <v>1785</v>
      </c>
      <c r="L525" s="153" t="s">
        <v>110</v>
      </c>
      <c r="M525">
        <v>91</v>
      </c>
      <c r="N525" s="123">
        <v>28</v>
      </c>
      <c r="O525">
        <v>348</v>
      </c>
      <c r="P525" s="132" t="s">
        <v>77</v>
      </c>
      <c r="Q525" s="132">
        <v>18000</v>
      </c>
      <c r="R525" s="132">
        <v>2880</v>
      </c>
      <c r="S525" s="132"/>
      <c r="T525" s="156">
        <v>1920</v>
      </c>
      <c r="U525" s="132">
        <v>1800</v>
      </c>
      <c r="V525" s="132">
        <f t="shared" si="10"/>
        <v>17160</v>
      </c>
      <c r="W525">
        <v>50</v>
      </c>
      <c r="X525" s="153" t="s">
        <v>1434</v>
      </c>
      <c r="Y525" s="124" t="s">
        <v>55</v>
      </c>
      <c r="Z525" s="308">
        <v>198</v>
      </c>
      <c r="AB525" t="str">
        <f>IF(Table1[[#This Row],[TIPO2]]="costo", VLOOKUP(Table1[[#This Row],[PARTIDA PRESUPUESTAL]],'Cost Report'!G:G,1,0),"Balance")</f>
        <v>2795-011</v>
      </c>
      <c r="AC525" s="118"/>
      <c r="AD525" s="159">
        <f>+Table1[[#This Row],[SUBTOTAL]]+Table1[[#This Row],[IVA]]-Table1[[#This Row],[RET IVA]]-Table1[[#This Row],[RET ISR]]-Table1[[#This Row],[TOTAL]]</f>
        <v>0</v>
      </c>
      <c r="AE525" s="152"/>
      <c r="AF525" s="153"/>
      <c r="AG525" s="126"/>
      <c r="AH525" s="115"/>
      <c r="AK525" s="306" t="str">
        <f>IF(ISNUMBER(Table1[[#This Row],[FECHA DE RECIBIDO]]), Table1[[#This Row],[FECHA DE RECIBIDO]]-DATE(2023,8,30), "")</f>
        <v/>
      </c>
    </row>
    <row r="526" spans="1:37" ht="15" customHeight="1">
      <c r="A526" s="150" t="s">
        <v>1965</v>
      </c>
      <c r="B526" s="151">
        <v>232</v>
      </c>
      <c r="C526" s="126" t="s">
        <v>653</v>
      </c>
      <c r="D526">
        <v>326</v>
      </c>
      <c r="E526" s="126" t="s">
        <v>1895</v>
      </c>
      <c r="F526" s="122" t="s">
        <v>1589</v>
      </c>
      <c r="G526" s="122" t="s">
        <v>129</v>
      </c>
      <c r="H526">
        <v>69</v>
      </c>
      <c r="I526" s="122" t="s">
        <v>1546</v>
      </c>
      <c r="J526" s="307" t="s">
        <v>214</v>
      </c>
      <c r="K526" s="127" t="s">
        <v>1785</v>
      </c>
      <c r="L526" s="151" t="s">
        <v>110</v>
      </c>
      <c r="M526">
        <v>92</v>
      </c>
      <c r="N526" s="123">
        <v>29</v>
      </c>
      <c r="O526">
        <v>349</v>
      </c>
      <c r="P526" s="132" t="s">
        <v>77</v>
      </c>
      <c r="Q526" s="131">
        <v>45000</v>
      </c>
      <c r="R526" s="131">
        <v>7200</v>
      </c>
      <c r="S526" s="131"/>
      <c r="T526" s="155">
        <v>4800.0200000000004</v>
      </c>
      <c r="U526" s="131">
        <v>4500</v>
      </c>
      <c r="V526" s="131">
        <f t="shared" si="10"/>
        <v>42899.979999999996</v>
      </c>
      <c r="W526">
        <v>51</v>
      </c>
      <c r="X526" s="151" t="s">
        <v>1434</v>
      </c>
      <c r="Y526" s="135" t="s">
        <v>55</v>
      </c>
      <c r="Z526" s="307">
        <v>198</v>
      </c>
      <c r="AB526" t="str">
        <f>IF(Table1[[#This Row],[TIPO2]]="costo", VLOOKUP(Table1[[#This Row],[PARTIDA PRESUPUESTAL]],'Cost Report'!G:G,1,0),"Balance")</f>
        <v>2701-003</v>
      </c>
      <c r="AC526" s="118"/>
      <c r="AD526" s="159">
        <f>+Table1[[#This Row],[SUBTOTAL]]+Table1[[#This Row],[IVA]]-Table1[[#This Row],[RET IVA]]-Table1[[#This Row],[RET ISR]]-Table1[[#This Row],[TOTAL]]</f>
        <v>0</v>
      </c>
      <c r="AE526" s="150"/>
      <c r="AF526" s="151"/>
      <c r="AG526" s="126"/>
      <c r="AH526" s="115"/>
      <c r="AK526" s="306" t="str">
        <f>IF(ISNUMBER(Table1[[#This Row],[FECHA DE RECIBIDO]]), Table1[[#This Row],[FECHA DE RECIBIDO]]-DATE(2023,8,30), "")</f>
        <v/>
      </c>
    </row>
    <row r="527" spans="1:37" ht="15" customHeight="1">
      <c r="A527" s="152" t="s">
        <v>1966</v>
      </c>
      <c r="B527" s="153">
        <v>233</v>
      </c>
      <c r="C527" s="126" t="s">
        <v>665</v>
      </c>
      <c r="D527">
        <v>327</v>
      </c>
      <c r="E527" s="126" t="s">
        <v>1887</v>
      </c>
      <c r="F527" s="125" t="s">
        <v>1589</v>
      </c>
      <c r="G527" s="125" t="s">
        <v>129</v>
      </c>
      <c r="H527">
        <v>70</v>
      </c>
      <c r="I527" s="125" t="s">
        <v>1546</v>
      </c>
      <c r="J527" s="308" t="s">
        <v>214</v>
      </c>
      <c r="K527" s="127" t="s">
        <v>1785</v>
      </c>
      <c r="L527" s="153" t="s">
        <v>110</v>
      </c>
      <c r="M527">
        <v>93</v>
      </c>
      <c r="N527" s="123">
        <v>30</v>
      </c>
      <c r="O527">
        <v>350</v>
      </c>
      <c r="P527" s="132" t="s">
        <v>77</v>
      </c>
      <c r="Q527" s="132">
        <v>11500</v>
      </c>
      <c r="R527" s="132">
        <v>1840</v>
      </c>
      <c r="S527" s="132"/>
      <c r="T527" s="156">
        <v>1226.67</v>
      </c>
      <c r="U527" s="132">
        <v>1150</v>
      </c>
      <c r="V527" s="132">
        <f t="shared" si="10"/>
        <v>10963.33</v>
      </c>
      <c r="W527">
        <v>52</v>
      </c>
      <c r="X527" s="153" t="s">
        <v>1431</v>
      </c>
      <c r="Y527" s="124" t="s">
        <v>55</v>
      </c>
      <c r="Z527" s="308">
        <v>198</v>
      </c>
      <c r="AB527" t="str">
        <f>IF(Table1[[#This Row],[TIPO2]]="costo", VLOOKUP(Table1[[#This Row],[PARTIDA PRESUPUESTAL]],'Cost Report'!G:G,1,0),"Balance")</f>
        <v>2707-009</v>
      </c>
      <c r="AC527" s="118"/>
      <c r="AD527" s="159">
        <f>+Table1[[#This Row],[SUBTOTAL]]+Table1[[#This Row],[IVA]]-Table1[[#This Row],[RET IVA]]-Table1[[#This Row],[RET ISR]]-Table1[[#This Row],[TOTAL]]</f>
        <v>0</v>
      </c>
      <c r="AE527" s="152"/>
      <c r="AF527" s="153"/>
      <c r="AG527" s="126"/>
      <c r="AH527" s="115"/>
      <c r="AK527" s="306" t="str">
        <f>IF(ISNUMBER(Table1[[#This Row],[FECHA DE RECIBIDO]]), Table1[[#This Row],[FECHA DE RECIBIDO]]-DATE(2023,8,30), "")</f>
        <v/>
      </c>
    </row>
    <row r="528" spans="1:37" ht="15" customHeight="1">
      <c r="A528" s="150" t="s">
        <v>1967</v>
      </c>
      <c r="B528" s="151">
        <v>234</v>
      </c>
      <c r="C528" s="126" t="s">
        <v>792</v>
      </c>
      <c r="D528">
        <v>328</v>
      </c>
      <c r="E528" s="126" t="s">
        <v>2017</v>
      </c>
      <c r="F528" s="122" t="s">
        <v>1593</v>
      </c>
      <c r="G528" s="122" t="s">
        <v>109</v>
      </c>
      <c r="H528">
        <v>115</v>
      </c>
      <c r="I528" s="122" t="s">
        <v>1546</v>
      </c>
      <c r="J528" s="307" t="s">
        <v>214</v>
      </c>
      <c r="K528" s="127" t="s">
        <v>1785</v>
      </c>
      <c r="L528" s="151" t="s">
        <v>110</v>
      </c>
      <c r="M528">
        <v>153</v>
      </c>
      <c r="N528" s="123">
        <v>45</v>
      </c>
      <c r="O528">
        <v>351</v>
      </c>
      <c r="P528" s="132" t="s">
        <v>77</v>
      </c>
      <c r="Q528" s="131">
        <v>21000</v>
      </c>
      <c r="R528" s="131">
        <v>3360</v>
      </c>
      <c r="S528" s="131"/>
      <c r="T528" s="155">
        <v>2240.0100000000002</v>
      </c>
      <c r="U528" s="131">
        <v>262.5</v>
      </c>
      <c r="V528" s="131">
        <f t="shared" si="10"/>
        <v>21857.489999999998</v>
      </c>
      <c r="W528">
        <v>77</v>
      </c>
      <c r="X528" s="151" t="s">
        <v>1431</v>
      </c>
      <c r="Y528" s="135" t="s">
        <v>55</v>
      </c>
      <c r="Z528" s="307">
        <v>198</v>
      </c>
      <c r="AB528" t="str">
        <f>IF(Table1[[#This Row],[TIPO2]]="costo", VLOOKUP(Table1[[#This Row],[PARTIDA PRESUPUESTAL]],'Cost Report'!G:G,1,0),"Balance")</f>
        <v>3101-003</v>
      </c>
      <c r="AC528" s="118"/>
      <c r="AD528" s="159">
        <f>+Table1[[#This Row],[SUBTOTAL]]+Table1[[#This Row],[IVA]]-Table1[[#This Row],[RET IVA]]-Table1[[#This Row],[RET ISR]]-Table1[[#This Row],[TOTAL]]</f>
        <v>0</v>
      </c>
      <c r="AE528" s="150"/>
      <c r="AF528" s="151"/>
      <c r="AG528" s="126"/>
      <c r="AH528" s="115"/>
      <c r="AK528" s="306" t="str">
        <f>IF(ISNUMBER(Table1[[#This Row],[FECHA DE RECIBIDO]]), Table1[[#This Row],[FECHA DE RECIBIDO]]-DATE(2023,8,30), "")</f>
        <v/>
      </c>
    </row>
    <row r="529" spans="1:37" ht="15" customHeight="1">
      <c r="A529" s="152" t="s">
        <v>1968</v>
      </c>
      <c r="B529" s="153">
        <v>235</v>
      </c>
      <c r="C529" s="126" t="s">
        <v>793</v>
      </c>
      <c r="D529">
        <v>329</v>
      </c>
      <c r="E529" s="126" t="s">
        <v>2017</v>
      </c>
      <c r="F529" s="125" t="s">
        <v>1593</v>
      </c>
      <c r="G529" s="125" t="s">
        <v>109</v>
      </c>
      <c r="H529">
        <v>115</v>
      </c>
      <c r="I529" s="125" t="s">
        <v>1546</v>
      </c>
      <c r="J529" s="308" t="s">
        <v>214</v>
      </c>
      <c r="K529" s="127" t="s">
        <v>1785</v>
      </c>
      <c r="L529" s="153" t="s">
        <v>110</v>
      </c>
      <c r="M529">
        <v>153</v>
      </c>
      <c r="N529" s="123">
        <v>45</v>
      </c>
      <c r="O529">
        <v>352</v>
      </c>
      <c r="P529" s="132" t="s">
        <v>77</v>
      </c>
      <c r="Q529" s="132">
        <v>126000</v>
      </c>
      <c r="R529" s="132">
        <v>20160</v>
      </c>
      <c r="S529" s="132"/>
      <c r="T529" s="156">
        <v>13440.03</v>
      </c>
      <c r="U529" s="132">
        <v>1575</v>
      </c>
      <c r="V529" s="132">
        <f t="shared" si="10"/>
        <v>131144.97</v>
      </c>
      <c r="W529">
        <v>77</v>
      </c>
      <c r="X529" s="153" t="s">
        <v>1431</v>
      </c>
      <c r="Y529" s="124" t="s">
        <v>55</v>
      </c>
      <c r="Z529" s="308">
        <v>198</v>
      </c>
      <c r="AB529" t="str">
        <f>IF(Table1[[#This Row],[TIPO2]]="costo", VLOOKUP(Table1[[#This Row],[PARTIDA PRESUPUESTAL]],'Cost Report'!G:G,1,0),"Balance")</f>
        <v>3101-004</v>
      </c>
      <c r="AC529" s="118"/>
      <c r="AD529" s="159">
        <f>+Table1[[#This Row],[SUBTOTAL]]+Table1[[#This Row],[IVA]]-Table1[[#This Row],[RET IVA]]-Table1[[#This Row],[RET ISR]]-Table1[[#This Row],[TOTAL]]</f>
        <v>0</v>
      </c>
      <c r="AE529" s="152"/>
      <c r="AF529" s="153"/>
      <c r="AG529" s="126"/>
      <c r="AH529" s="115"/>
      <c r="AK529" s="306" t="str">
        <f>IF(ISNUMBER(Table1[[#This Row],[FECHA DE RECIBIDO]]), Table1[[#This Row],[FECHA DE RECIBIDO]]-DATE(2023,8,30), "")</f>
        <v/>
      </c>
    </row>
    <row r="530" spans="1:37" ht="15" customHeight="1">
      <c r="A530" s="150" t="s">
        <v>1969</v>
      </c>
      <c r="B530" s="151">
        <v>236</v>
      </c>
      <c r="C530" s="126" t="s">
        <v>1198</v>
      </c>
      <c r="D530">
        <v>330</v>
      </c>
      <c r="E530" s="126" t="s">
        <v>2018</v>
      </c>
      <c r="F530" s="122" t="s">
        <v>1593</v>
      </c>
      <c r="G530" s="122" t="s">
        <v>109</v>
      </c>
      <c r="H530">
        <v>116</v>
      </c>
      <c r="I530" s="122" t="s">
        <v>1546</v>
      </c>
      <c r="J530" s="307" t="s">
        <v>214</v>
      </c>
      <c r="K530" s="127" t="s">
        <v>1785</v>
      </c>
      <c r="L530" s="151" t="s">
        <v>110</v>
      </c>
      <c r="M530">
        <v>154</v>
      </c>
      <c r="N530" s="123">
        <v>46</v>
      </c>
      <c r="O530">
        <v>353</v>
      </c>
      <c r="P530" s="132" t="s">
        <v>77</v>
      </c>
      <c r="Q530" s="131">
        <v>44000</v>
      </c>
      <c r="R530" s="131">
        <v>7040</v>
      </c>
      <c r="S530" s="131"/>
      <c r="T530" s="155">
        <v>4693.3599999999997</v>
      </c>
      <c r="U530" s="131">
        <v>550</v>
      </c>
      <c r="V530" s="131">
        <f t="shared" si="10"/>
        <v>45796.639999999999</v>
      </c>
      <c r="W530">
        <v>78</v>
      </c>
      <c r="X530" s="151" t="s">
        <v>1430</v>
      </c>
      <c r="Y530" s="135" t="s">
        <v>55</v>
      </c>
      <c r="Z530" s="307">
        <v>198</v>
      </c>
      <c r="AB530" t="str">
        <f>IF(Table1[[#This Row],[TIPO2]]="costo", VLOOKUP(Table1[[#This Row],[PARTIDA PRESUPUESTAL]],'Cost Report'!G:G,1,0),"Balance")</f>
        <v>5009-004</v>
      </c>
      <c r="AC530" s="118"/>
      <c r="AD530" s="159">
        <f>+Table1[[#This Row],[SUBTOTAL]]+Table1[[#This Row],[IVA]]-Table1[[#This Row],[RET IVA]]-Table1[[#This Row],[RET ISR]]-Table1[[#This Row],[TOTAL]]</f>
        <v>0</v>
      </c>
      <c r="AE530" s="150"/>
      <c r="AF530" s="151"/>
      <c r="AG530" s="126"/>
      <c r="AH530" s="115"/>
      <c r="AK530" s="306" t="str">
        <f>IF(ISNUMBER(Table1[[#This Row],[FECHA DE RECIBIDO]]), Table1[[#This Row],[FECHA DE RECIBIDO]]-DATE(2023,8,30), "")</f>
        <v/>
      </c>
    </row>
    <row r="531" spans="1:37" ht="15" customHeight="1">
      <c r="A531" s="152" t="s">
        <v>1970</v>
      </c>
      <c r="B531" s="153">
        <v>237</v>
      </c>
      <c r="C531" s="126" t="s">
        <v>2602</v>
      </c>
      <c r="D531">
        <v>331</v>
      </c>
      <c r="E531" s="126" t="s">
        <v>2019</v>
      </c>
      <c r="F531" s="125" t="s">
        <v>1602</v>
      </c>
      <c r="G531" s="125" t="s">
        <v>1617</v>
      </c>
      <c r="H531">
        <v>117</v>
      </c>
      <c r="I531" s="125" t="s">
        <v>1546</v>
      </c>
      <c r="J531" s="308" t="s">
        <v>214</v>
      </c>
      <c r="K531" s="127" t="s">
        <v>1785</v>
      </c>
      <c r="L531" s="153" t="s">
        <v>110</v>
      </c>
      <c r="M531">
        <v>155</v>
      </c>
      <c r="N531" s="123">
        <v>47</v>
      </c>
      <c r="O531">
        <v>354</v>
      </c>
      <c r="P531" s="132" t="s">
        <v>77</v>
      </c>
      <c r="Q531" s="132">
        <v>36900</v>
      </c>
      <c r="R531" s="132">
        <v>5904</v>
      </c>
      <c r="S531" s="132"/>
      <c r="T531" s="156">
        <v>3936.01</v>
      </c>
      <c r="U531" s="132">
        <v>0</v>
      </c>
      <c r="V531" s="132">
        <f t="shared" si="10"/>
        <v>38867.99</v>
      </c>
      <c r="W531">
        <v>79</v>
      </c>
      <c r="X531" s="153" t="s">
        <v>1429</v>
      </c>
      <c r="Y531" s="124" t="s">
        <v>55</v>
      </c>
      <c r="Z531" s="308">
        <v>198</v>
      </c>
      <c r="AB531" t="str">
        <f>IF(Table1[[#This Row],[TIPO2]]="costo", VLOOKUP(Table1[[#This Row],[PARTIDA PRESUPUESTAL]],'Cost Report'!G:G,1,0),"Balance")</f>
        <v>2801-009</v>
      </c>
      <c r="AC531" s="118"/>
      <c r="AD531" s="159">
        <f>+Table1[[#This Row],[SUBTOTAL]]+Table1[[#This Row],[IVA]]-Table1[[#This Row],[RET IVA]]-Table1[[#This Row],[RET ISR]]-Table1[[#This Row],[TOTAL]]</f>
        <v>0</v>
      </c>
      <c r="AE531" s="152"/>
      <c r="AF531" s="153"/>
      <c r="AG531" s="126"/>
      <c r="AH531" s="115"/>
      <c r="AK531" s="306" t="str">
        <f>IF(ISNUMBER(Table1[[#This Row],[FECHA DE RECIBIDO]]), Table1[[#This Row],[FECHA DE RECIBIDO]]-DATE(2023,8,30), "")</f>
        <v/>
      </c>
    </row>
    <row r="532" spans="1:37" ht="15" customHeight="1">
      <c r="A532" s="150" t="s">
        <v>1971</v>
      </c>
      <c r="B532" s="151">
        <v>238</v>
      </c>
      <c r="C532" s="126" t="s">
        <v>694</v>
      </c>
      <c r="D532">
        <v>332</v>
      </c>
      <c r="E532" s="126" t="s">
        <v>2020</v>
      </c>
      <c r="F532" s="122" t="s">
        <v>1602</v>
      </c>
      <c r="G532" s="122" t="s">
        <v>1617</v>
      </c>
      <c r="H532">
        <v>118</v>
      </c>
      <c r="I532" s="122" t="s">
        <v>1546</v>
      </c>
      <c r="J532" s="307" t="s">
        <v>214</v>
      </c>
      <c r="K532" s="127" t="s">
        <v>1785</v>
      </c>
      <c r="L532" s="151" t="s">
        <v>110</v>
      </c>
      <c r="M532">
        <v>156</v>
      </c>
      <c r="N532" s="123">
        <v>48</v>
      </c>
      <c r="O532">
        <v>355</v>
      </c>
      <c r="P532" s="132" t="s">
        <v>77</v>
      </c>
      <c r="Q532" s="131">
        <v>12000</v>
      </c>
      <c r="R532" s="131">
        <v>1920</v>
      </c>
      <c r="S532" s="131"/>
      <c r="T532" s="155">
        <v>1280</v>
      </c>
      <c r="U532" s="131">
        <v>0</v>
      </c>
      <c r="V532" s="131">
        <f t="shared" si="10"/>
        <v>12640</v>
      </c>
      <c r="W532">
        <v>80</v>
      </c>
      <c r="X532" s="151" t="s">
        <v>1429</v>
      </c>
      <c r="Y532" s="135" t="s">
        <v>55</v>
      </c>
      <c r="Z532" s="307">
        <v>198</v>
      </c>
      <c r="AB532" t="str">
        <f>IF(Table1[[#This Row],[TIPO2]]="costo", VLOOKUP(Table1[[#This Row],[PARTIDA PRESUPUESTAL]],'Cost Report'!G:G,1,0),"Balance")</f>
        <v>2804-003</v>
      </c>
      <c r="AC532" s="118"/>
      <c r="AD532" s="159">
        <f>+Table1[[#This Row],[SUBTOTAL]]+Table1[[#This Row],[IVA]]-Table1[[#This Row],[RET IVA]]-Table1[[#This Row],[RET ISR]]-Table1[[#This Row],[TOTAL]]</f>
        <v>0</v>
      </c>
      <c r="AE532" s="150"/>
      <c r="AF532" s="151"/>
      <c r="AG532" s="126"/>
      <c r="AH532" s="115"/>
      <c r="AK532" s="306" t="str">
        <f>IF(ISNUMBER(Table1[[#This Row],[FECHA DE RECIBIDO]]), Table1[[#This Row],[FECHA DE RECIBIDO]]-DATE(2023,8,30), "")</f>
        <v/>
      </c>
    </row>
    <row r="533" spans="1:37" ht="15" customHeight="1">
      <c r="A533" s="152" t="s">
        <v>1972</v>
      </c>
      <c r="B533" s="153">
        <v>239</v>
      </c>
      <c r="C533" s="126" t="s">
        <v>680</v>
      </c>
      <c r="D533">
        <v>333</v>
      </c>
      <c r="E533" s="126" t="s">
        <v>2021</v>
      </c>
      <c r="F533" s="125" t="s">
        <v>1593</v>
      </c>
      <c r="G533" s="125" t="s">
        <v>109</v>
      </c>
      <c r="H533">
        <v>119</v>
      </c>
      <c r="I533" s="125" t="s">
        <v>1546</v>
      </c>
      <c r="J533" s="308" t="s">
        <v>214</v>
      </c>
      <c r="K533" s="127" t="s">
        <v>1785</v>
      </c>
      <c r="L533" s="153" t="s">
        <v>110</v>
      </c>
      <c r="M533">
        <v>157</v>
      </c>
      <c r="N533" s="123">
        <v>49</v>
      </c>
      <c r="O533">
        <v>356</v>
      </c>
      <c r="P533" s="132" t="s">
        <v>77</v>
      </c>
      <c r="Q533" s="132">
        <v>105000</v>
      </c>
      <c r="R533" s="132">
        <v>16800</v>
      </c>
      <c r="S533" s="132"/>
      <c r="T533" s="156">
        <v>11200.05</v>
      </c>
      <c r="U533" s="132">
        <v>1312.5</v>
      </c>
      <c r="V533" s="132">
        <f t="shared" si="10"/>
        <v>109287.45</v>
      </c>
      <c r="W533">
        <v>81</v>
      </c>
      <c r="X533" s="153" t="s">
        <v>1431</v>
      </c>
      <c r="Y533" s="124" t="s">
        <v>55</v>
      </c>
      <c r="Z533" s="308">
        <v>198</v>
      </c>
      <c r="AB533" t="str">
        <f>IF(Table1[[#This Row],[TIPO2]]="costo", VLOOKUP(Table1[[#This Row],[PARTIDA PRESUPUESTAL]],'Cost Report'!G:G,1,0),"Balance")</f>
        <v>2801-003</v>
      </c>
      <c r="AC533" s="118"/>
      <c r="AD533" s="159">
        <f>+Table1[[#This Row],[SUBTOTAL]]+Table1[[#This Row],[IVA]]-Table1[[#This Row],[RET IVA]]-Table1[[#This Row],[RET ISR]]-Table1[[#This Row],[TOTAL]]</f>
        <v>0</v>
      </c>
      <c r="AE533" s="152"/>
      <c r="AF533" s="153"/>
      <c r="AG533" s="126"/>
      <c r="AH533" s="115"/>
      <c r="AK533" s="306" t="str">
        <f>IF(ISNUMBER(Table1[[#This Row],[FECHA DE RECIBIDO]]), Table1[[#This Row],[FECHA DE RECIBIDO]]-DATE(2023,8,30), "")</f>
        <v/>
      </c>
    </row>
    <row r="534" spans="1:37" ht="15" customHeight="1">
      <c r="A534" s="150" t="s">
        <v>1973</v>
      </c>
      <c r="B534" s="151">
        <v>240</v>
      </c>
      <c r="C534" s="126" t="s">
        <v>3103</v>
      </c>
      <c r="D534">
        <v>334</v>
      </c>
      <c r="E534" s="126" t="s">
        <v>1604</v>
      </c>
      <c r="F534" s="122">
        <v>601</v>
      </c>
      <c r="G534" s="122" t="s">
        <v>134</v>
      </c>
      <c r="H534">
        <v>48</v>
      </c>
      <c r="I534" s="122" t="s">
        <v>1546</v>
      </c>
      <c r="J534" s="307">
        <v>198</v>
      </c>
      <c r="K534" s="127" t="s">
        <v>1785</v>
      </c>
      <c r="L534" s="151" t="s">
        <v>1483</v>
      </c>
      <c r="M534">
        <v>60</v>
      </c>
      <c r="N534" s="123">
        <v>17</v>
      </c>
      <c r="O534">
        <v>357</v>
      </c>
      <c r="P534" s="132" t="s">
        <v>77</v>
      </c>
      <c r="Q534" s="131">
        <v>696</v>
      </c>
      <c r="R534" s="131">
        <v>111.36</v>
      </c>
      <c r="S534" s="131"/>
      <c r="T534" s="155"/>
      <c r="U534" s="131"/>
      <c r="V534" s="131">
        <f t="shared" si="10"/>
        <v>807.36</v>
      </c>
      <c r="W534">
        <v>37</v>
      </c>
      <c r="X534" s="151" t="s">
        <v>1639</v>
      </c>
      <c r="Y534" s="135" t="s">
        <v>55</v>
      </c>
      <c r="Z534" s="307">
        <v>198</v>
      </c>
      <c r="AB534" t="str">
        <f>IF(Table1[[#This Row],[TIPO2]]="costo", VLOOKUP(Table1[[#This Row],[PARTIDA PRESUPUESTAL]],'Cost Report'!G:G,1,0),"Balance")</f>
        <v>7038-009</v>
      </c>
      <c r="AC534" s="118"/>
      <c r="AD534" s="159">
        <f>+Table1[[#This Row],[SUBTOTAL]]+Table1[[#This Row],[IVA]]-Table1[[#This Row],[RET IVA]]-Table1[[#This Row],[RET ISR]]-Table1[[#This Row],[TOTAL]]</f>
        <v>0</v>
      </c>
      <c r="AE534" s="150"/>
      <c r="AF534" s="151"/>
      <c r="AG534" s="126"/>
      <c r="AH534" s="115"/>
      <c r="AK534" s="306">
        <f>IF(ISNUMBER(Table1[[#This Row],[FECHA DE RECIBIDO]]), Table1[[#This Row],[FECHA DE RECIBIDO]]-DATE(2023,8,30), "")</f>
        <v>-44970</v>
      </c>
    </row>
    <row r="535" spans="1:37" ht="15" customHeight="1">
      <c r="A535" s="152" t="s">
        <v>1974</v>
      </c>
      <c r="B535" s="153">
        <v>241</v>
      </c>
      <c r="C535" s="126" t="s">
        <v>2616</v>
      </c>
      <c r="D535">
        <v>335</v>
      </c>
      <c r="E535" s="126" t="s">
        <v>1975</v>
      </c>
      <c r="F535" s="125">
        <v>601</v>
      </c>
      <c r="G535" s="125" t="s">
        <v>134</v>
      </c>
      <c r="H535">
        <v>120</v>
      </c>
      <c r="I535" s="125" t="s">
        <v>1546</v>
      </c>
      <c r="J535" s="308">
        <v>198</v>
      </c>
      <c r="K535" s="127" t="s">
        <v>1785</v>
      </c>
      <c r="L535" s="153" t="s">
        <v>1483</v>
      </c>
      <c r="M535">
        <v>158</v>
      </c>
      <c r="N535" s="123">
        <v>17</v>
      </c>
      <c r="O535">
        <v>358</v>
      </c>
      <c r="P535" s="132" t="s">
        <v>77</v>
      </c>
      <c r="Q535" s="132">
        <v>3344.83</v>
      </c>
      <c r="R535" s="132">
        <v>535.16999999999996</v>
      </c>
      <c r="S535" s="132"/>
      <c r="T535" s="156"/>
      <c r="U535" s="132"/>
      <c r="V535" s="132">
        <f t="shared" si="10"/>
        <v>3880</v>
      </c>
      <c r="W535">
        <v>82</v>
      </c>
      <c r="X535" s="153" t="s">
        <v>1976</v>
      </c>
      <c r="Y535" s="124" t="s">
        <v>55</v>
      </c>
      <c r="Z535" s="308">
        <v>198</v>
      </c>
      <c r="AB535" t="str">
        <f>IF(Table1[[#This Row],[TIPO2]]="costo", VLOOKUP(Table1[[#This Row],[PARTIDA PRESUPUESTAL]],'Cost Report'!G:G,1,0),"Balance")</f>
        <v>2808-003</v>
      </c>
      <c r="AC535" s="118"/>
      <c r="AD535" s="159">
        <f>+Table1[[#This Row],[SUBTOTAL]]+Table1[[#This Row],[IVA]]-Table1[[#This Row],[RET IVA]]-Table1[[#This Row],[RET ISR]]-Table1[[#This Row],[TOTAL]]</f>
        <v>0</v>
      </c>
      <c r="AE535" s="152"/>
      <c r="AF535" s="153"/>
      <c r="AG535" s="126"/>
      <c r="AH535" s="115"/>
      <c r="AK535" s="306">
        <f>IF(ISNUMBER(Table1[[#This Row],[FECHA DE RECIBIDO]]), Table1[[#This Row],[FECHA DE RECIBIDO]]-DATE(2023,8,30), "")</f>
        <v>-44970</v>
      </c>
    </row>
    <row r="536" spans="1:37" ht="15" customHeight="1">
      <c r="A536" s="150" t="s">
        <v>1977</v>
      </c>
      <c r="B536" s="151">
        <v>242</v>
      </c>
      <c r="C536" s="126" t="s">
        <v>71</v>
      </c>
      <c r="D536">
        <v>336</v>
      </c>
      <c r="E536" s="126" t="s">
        <v>1604</v>
      </c>
      <c r="F536" s="122">
        <v>601</v>
      </c>
      <c r="G536" s="122" t="s">
        <v>134</v>
      </c>
      <c r="H536">
        <v>48</v>
      </c>
      <c r="I536" s="122" t="s">
        <v>1546</v>
      </c>
      <c r="J536" s="307">
        <v>198</v>
      </c>
      <c r="K536" s="127" t="s">
        <v>1785</v>
      </c>
      <c r="L536" s="151" t="s">
        <v>1483</v>
      </c>
      <c r="M536">
        <v>60</v>
      </c>
      <c r="N536" s="123">
        <v>17</v>
      </c>
      <c r="O536">
        <v>359</v>
      </c>
      <c r="P536" s="131" t="s">
        <v>78</v>
      </c>
      <c r="Q536" s="131">
        <v>150000</v>
      </c>
      <c r="R536" s="131"/>
      <c r="S536" s="131"/>
      <c r="T536" s="155"/>
      <c r="U536" s="131"/>
      <c r="V536" s="131">
        <f t="shared" si="10"/>
        <v>150000</v>
      </c>
      <c r="W536">
        <v>37</v>
      </c>
      <c r="X536" s="151" t="s">
        <v>1639</v>
      </c>
      <c r="Y536" s="135" t="s">
        <v>55</v>
      </c>
      <c r="Z536" s="307">
        <v>198</v>
      </c>
      <c r="AB536" t="str">
        <f>IF(Table1[[#This Row],[TIPO2]]="costo", VLOOKUP(Table1[[#This Row],[PARTIDA PRESUPUESTAL]],'Cost Report'!G:G,1,0),"Balance")</f>
        <v>Balance</v>
      </c>
      <c r="AC536" s="118"/>
      <c r="AD536" s="159">
        <f>+Table1[[#This Row],[SUBTOTAL]]+Table1[[#This Row],[IVA]]-Table1[[#This Row],[RET IVA]]-Table1[[#This Row],[RET ISR]]-Table1[[#This Row],[TOTAL]]</f>
        <v>0</v>
      </c>
      <c r="AE536" s="150"/>
      <c r="AF536" s="151"/>
      <c r="AG536" s="126"/>
      <c r="AH536" s="115"/>
      <c r="AK536" s="306">
        <f>IF(ISNUMBER(Table1[[#This Row],[FECHA DE RECIBIDO]]), Table1[[#This Row],[FECHA DE RECIBIDO]]-DATE(2023,8,30), "")</f>
        <v>-44970</v>
      </c>
    </row>
    <row r="537" spans="1:37" ht="15" customHeight="1">
      <c r="A537" s="152" t="s">
        <v>1977</v>
      </c>
      <c r="B537" s="153">
        <v>242</v>
      </c>
      <c r="C537" s="126" t="s">
        <v>3103</v>
      </c>
      <c r="D537">
        <v>336</v>
      </c>
      <c r="E537" s="126" t="s">
        <v>1604</v>
      </c>
      <c r="F537" s="125">
        <v>601</v>
      </c>
      <c r="G537" s="125" t="s">
        <v>134</v>
      </c>
      <c r="H537">
        <v>48</v>
      </c>
      <c r="I537" s="125" t="s">
        <v>1546</v>
      </c>
      <c r="J537" s="308">
        <v>198</v>
      </c>
      <c r="K537" s="127" t="s">
        <v>1785</v>
      </c>
      <c r="L537" s="153" t="s">
        <v>1483</v>
      </c>
      <c r="M537">
        <v>60</v>
      </c>
      <c r="N537" s="123">
        <v>17</v>
      </c>
      <c r="O537">
        <v>360</v>
      </c>
      <c r="P537" s="132" t="s">
        <v>77</v>
      </c>
      <c r="Q537" s="132">
        <v>3660</v>
      </c>
      <c r="R537" s="132">
        <v>585.6</v>
      </c>
      <c r="S537" s="132"/>
      <c r="T537" s="156"/>
      <c r="U537" s="132"/>
      <c r="V537" s="132">
        <f t="shared" si="10"/>
        <v>4245.6000000000004</v>
      </c>
      <c r="W537">
        <v>37</v>
      </c>
      <c r="X537" s="153" t="s">
        <v>1639</v>
      </c>
      <c r="Y537" s="124" t="s">
        <v>55</v>
      </c>
      <c r="Z537" s="308">
        <v>198</v>
      </c>
      <c r="AB537" t="str">
        <f>IF(Table1[[#This Row],[TIPO2]]="costo", VLOOKUP(Table1[[#This Row],[PARTIDA PRESUPUESTAL]],'Cost Report'!G:G,1,0),"Balance")</f>
        <v>7038-009</v>
      </c>
      <c r="AC537" s="118"/>
      <c r="AD537" s="159">
        <f>+Table1[[#This Row],[SUBTOTAL]]+Table1[[#This Row],[IVA]]-Table1[[#This Row],[RET IVA]]-Table1[[#This Row],[RET ISR]]-Table1[[#This Row],[TOTAL]]</f>
        <v>0</v>
      </c>
      <c r="AE537" s="152"/>
      <c r="AF537" s="153"/>
      <c r="AG537" s="126"/>
      <c r="AH537" s="115"/>
      <c r="AK537" s="306">
        <f>IF(ISNUMBER(Table1[[#This Row],[FECHA DE RECIBIDO]]), Table1[[#This Row],[FECHA DE RECIBIDO]]-DATE(2023,8,30), "")</f>
        <v>-44970</v>
      </c>
    </row>
    <row r="538" spans="1:37" ht="15" customHeight="1">
      <c r="A538" s="150" t="s">
        <v>1978</v>
      </c>
      <c r="B538" s="151">
        <v>243</v>
      </c>
      <c r="C538" s="126" t="s">
        <v>1775</v>
      </c>
      <c r="D538">
        <v>337</v>
      </c>
      <c r="E538" s="126" t="s">
        <v>2001</v>
      </c>
      <c r="F538" s="122" t="s">
        <v>1607</v>
      </c>
      <c r="G538" s="122" t="s">
        <v>134</v>
      </c>
      <c r="H538">
        <v>121</v>
      </c>
      <c r="I538" s="122" t="s">
        <v>1546</v>
      </c>
      <c r="J538" s="307" t="s">
        <v>214</v>
      </c>
      <c r="K538" s="127" t="s">
        <v>1785</v>
      </c>
      <c r="L538" s="151" t="s">
        <v>118</v>
      </c>
      <c r="M538">
        <v>159</v>
      </c>
      <c r="N538" s="123">
        <v>1</v>
      </c>
      <c r="O538">
        <v>361</v>
      </c>
      <c r="P538" s="132" t="s">
        <v>77</v>
      </c>
      <c r="Q538" s="131">
        <v>96000</v>
      </c>
      <c r="R538" s="131">
        <f t="shared" ref="R538:R564" si="11">Q538*0.16</f>
        <v>15360</v>
      </c>
      <c r="S538" s="131"/>
      <c r="T538" s="155">
        <v>0</v>
      </c>
      <c r="U538" s="131">
        <v>0</v>
      </c>
      <c r="V538" s="131">
        <f t="shared" si="10"/>
        <v>111360</v>
      </c>
      <c r="W538">
        <v>83</v>
      </c>
      <c r="X538" s="151" t="s">
        <v>195</v>
      </c>
      <c r="Y538" s="135" t="s">
        <v>55</v>
      </c>
      <c r="Z538" s="307">
        <v>198</v>
      </c>
      <c r="AB538" t="str">
        <f>IF(Table1[[#This Row],[TIPO2]]="costo", VLOOKUP(Table1[[#This Row],[PARTIDA PRESUPUESTAL]],'Cost Report'!G:G,1,0),"Balance")</f>
        <v>5018-003</v>
      </c>
      <c r="AC538" s="118"/>
      <c r="AD538" s="159">
        <f>+Table1[[#This Row],[SUBTOTAL]]+Table1[[#This Row],[IVA]]-Table1[[#This Row],[RET IVA]]-Table1[[#This Row],[RET ISR]]-Table1[[#This Row],[TOTAL]]</f>
        <v>0</v>
      </c>
      <c r="AE538" s="150"/>
      <c r="AF538" s="151"/>
      <c r="AG538" s="126"/>
      <c r="AH538" s="115"/>
      <c r="AK538" s="306" t="str">
        <f>IF(ISNUMBER(Table1[[#This Row],[FECHA DE RECIBIDO]]), Table1[[#This Row],[FECHA DE RECIBIDO]]-DATE(2023,8,30), "")</f>
        <v/>
      </c>
    </row>
    <row r="539" spans="1:37" ht="15" customHeight="1">
      <c r="A539" s="152"/>
      <c r="B539" s="153"/>
      <c r="C539" s="126" t="s">
        <v>1211</v>
      </c>
      <c r="D539">
        <v>337</v>
      </c>
      <c r="E539" s="126" t="s">
        <v>2001</v>
      </c>
      <c r="F539" s="125" t="s">
        <v>1607</v>
      </c>
      <c r="G539" s="125" t="s">
        <v>134</v>
      </c>
      <c r="H539">
        <v>121</v>
      </c>
      <c r="I539" s="125" t="s">
        <v>1546</v>
      </c>
      <c r="J539" s="308" t="s">
        <v>214</v>
      </c>
      <c r="K539" s="127" t="s">
        <v>1785</v>
      </c>
      <c r="L539" s="153" t="s">
        <v>118</v>
      </c>
      <c r="M539">
        <v>159</v>
      </c>
      <c r="N539" s="123">
        <v>1</v>
      </c>
      <c r="O539">
        <v>361</v>
      </c>
      <c r="P539" s="132" t="s">
        <v>77</v>
      </c>
      <c r="Q539" s="132">
        <v>52000</v>
      </c>
      <c r="R539" s="132">
        <f t="shared" si="11"/>
        <v>8320</v>
      </c>
      <c r="S539" s="132"/>
      <c r="T539" s="156">
        <v>0</v>
      </c>
      <c r="U539" s="132">
        <v>0</v>
      </c>
      <c r="V539" s="132">
        <f t="shared" si="10"/>
        <v>60320</v>
      </c>
      <c r="W539">
        <v>83</v>
      </c>
      <c r="X539" s="153" t="s">
        <v>195</v>
      </c>
      <c r="Y539" s="124" t="s">
        <v>55</v>
      </c>
      <c r="Z539" s="308">
        <v>198</v>
      </c>
      <c r="AB539" t="str">
        <f>IF(Table1[[#This Row],[TIPO2]]="costo", VLOOKUP(Table1[[#This Row],[PARTIDA PRESUPUESTAL]],'Cost Report'!G:G,1,0),"Balance")</f>
        <v>5022-005</v>
      </c>
      <c r="AC539" s="118"/>
      <c r="AD539" s="159">
        <f>+Table1[[#This Row],[SUBTOTAL]]+Table1[[#This Row],[IVA]]-Table1[[#This Row],[RET IVA]]-Table1[[#This Row],[RET ISR]]-Table1[[#This Row],[TOTAL]]</f>
        <v>0</v>
      </c>
      <c r="AE539" s="152"/>
      <c r="AF539" s="153"/>
      <c r="AG539" s="126"/>
      <c r="AH539" s="115"/>
      <c r="AK539" s="306" t="str">
        <f>IF(ISNUMBER(Table1[[#This Row],[FECHA DE RECIBIDO]]), Table1[[#This Row],[FECHA DE RECIBIDO]]-DATE(2023,8,30), "")</f>
        <v/>
      </c>
    </row>
    <row r="540" spans="1:37" ht="15" customHeight="1">
      <c r="A540" s="150"/>
      <c r="B540" s="151"/>
      <c r="C540" s="126" t="s">
        <v>1213</v>
      </c>
      <c r="D540">
        <v>337</v>
      </c>
      <c r="E540" s="126" t="s">
        <v>2001</v>
      </c>
      <c r="F540" s="122" t="s">
        <v>1607</v>
      </c>
      <c r="G540" s="122" t="s">
        <v>134</v>
      </c>
      <c r="H540">
        <v>121</v>
      </c>
      <c r="I540" s="122" t="s">
        <v>1546</v>
      </c>
      <c r="J540" s="307" t="s">
        <v>214</v>
      </c>
      <c r="K540" s="127" t="s">
        <v>1785</v>
      </c>
      <c r="L540" s="151" t="s">
        <v>118</v>
      </c>
      <c r="M540">
        <v>159</v>
      </c>
      <c r="N540" s="123">
        <v>1</v>
      </c>
      <c r="O540">
        <v>361</v>
      </c>
      <c r="P540" s="132" t="s">
        <v>77</v>
      </c>
      <c r="Q540" s="131">
        <v>3000</v>
      </c>
      <c r="R540" s="131">
        <f t="shared" si="11"/>
        <v>480</v>
      </c>
      <c r="S540" s="131"/>
      <c r="T540" s="155">
        <v>0</v>
      </c>
      <c r="U540" s="131">
        <v>0</v>
      </c>
      <c r="V540" s="131">
        <f t="shared" si="10"/>
        <v>3480</v>
      </c>
      <c r="W540">
        <v>83</v>
      </c>
      <c r="X540" s="151" t="s">
        <v>195</v>
      </c>
      <c r="Y540" s="135" t="s">
        <v>55</v>
      </c>
      <c r="Z540" s="307">
        <v>198</v>
      </c>
      <c r="AB540" t="str">
        <f>IF(Table1[[#This Row],[TIPO2]]="costo", VLOOKUP(Table1[[#This Row],[PARTIDA PRESUPUESTAL]],'Cost Report'!G:G,1,0),"Balance")</f>
        <v>5022-009</v>
      </c>
      <c r="AC540" s="118"/>
      <c r="AD540" s="159">
        <f>+Table1[[#This Row],[SUBTOTAL]]+Table1[[#This Row],[IVA]]-Table1[[#This Row],[RET IVA]]-Table1[[#This Row],[RET ISR]]-Table1[[#This Row],[TOTAL]]</f>
        <v>0</v>
      </c>
      <c r="AE540" s="150"/>
      <c r="AF540" s="151"/>
      <c r="AG540" s="126"/>
      <c r="AH540" s="115"/>
      <c r="AK540" s="306" t="str">
        <f>IF(ISNUMBER(Table1[[#This Row],[FECHA DE RECIBIDO]]), Table1[[#This Row],[FECHA DE RECIBIDO]]-DATE(2023,8,30), "")</f>
        <v/>
      </c>
    </row>
    <row r="541" spans="1:37" ht="15" customHeight="1">
      <c r="A541" s="152"/>
      <c r="B541" s="153"/>
      <c r="C541" s="126" t="s">
        <v>1214</v>
      </c>
      <c r="D541">
        <v>337</v>
      </c>
      <c r="E541" s="126" t="s">
        <v>2001</v>
      </c>
      <c r="F541" s="125" t="s">
        <v>1607</v>
      </c>
      <c r="G541" s="125" t="s">
        <v>134</v>
      </c>
      <c r="H541">
        <v>121</v>
      </c>
      <c r="I541" s="125" t="s">
        <v>1546</v>
      </c>
      <c r="J541" s="308" t="s">
        <v>214</v>
      </c>
      <c r="K541" s="127" t="s">
        <v>1785</v>
      </c>
      <c r="L541" s="153" t="s">
        <v>118</v>
      </c>
      <c r="M541">
        <v>159</v>
      </c>
      <c r="N541" s="123">
        <v>1</v>
      </c>
      <c r="O541">
        <v>361</v>
      </c>
      <c r="P541" s="132" t="s">
        <v>77</v>
      </c>
      <c r="Q541" s="132">
        <v>312000</v>
      </c>
      <c r="R541" s="132">
        <f t="shared" si="11"/>
        <v>49920</v>
      </c>
      <c r="S541" s="132"/>
      <c r="T541" s="156">
        <v>0</v>
      </c>
      <c r="U541" s="132">
        <v>0</v>
      </c>
      <c r="V541" s="132">
        <f t="shared" si="10"/>
        <v>361920</v>
      </c>
      <c r="W541">
        <v>83</v>
      </c>
      <c r="X541" s="153" t="s">
        <v>195</v>
      </c>
      <c r="Y541" s="124" t="s">
        <v>55</v>
      </c>
      <c r="Z541" s="308">
        <v>198</v>
      </c>
      <c r="AB541" t="str">
        <f>IF(Table1[[#This Row],[TIPO2]]="costo", VLOOKUP(Table1[[#This Row],[PARTIDA PRESUPUESTAL]],'Cost Report'!G:G,1,0),"Balance")</f>
        <v>5022-010</v>
      </c>
      <c r="AC541" s="118"/>
      <c r="AD541" s="159">
        <f>+Table1[[#This Row],[SUBTOTAL]]+Table1[[#This Row],[IVA]]-Table1[[#This Row],[RET IVA]]-Table1[[#This Row],[RET ISR]]-Table1[[#This Row],[TOTAL]]</f>
        <v>0</v>
      </c>
      <c r="AE541" s="152"/>
      <c r="AF541" s="153"/>
      <c r="AG541" s="126"/>
      <c r="AH541" s="115"/>
      <c r="AK541" s="306" t="str">
        <f>IF(ISNUMBER(Table1[[#This Row],[FECHA DE RECIBIDO]]), Table1[[#This Row],[FECHA DE RECIBIDO]]-DATE(2023,8,30), "")</f>
        <v/>
      </c>
    </row>
    <row r="542" spans="1:37" ht="15" customHeight="1">
      <c r="A542" s="150"/>
      <c r="B542" s="151"/>
      <c r="C542" s="126" t="s">
        <v>1216</v>
      </c>
      <c r="D542">
        <v>337</v>
      </c>
      <c r="E542" s="126" t="s">
        <v>2001</v>
      </c>
      <c r="F542" s="122" t="s">
        <v>1607</v>
      </c>
      <c r="G542" s="122" t="s">
        <v>134</v>
      </c>
      <c r="H542">
        <v>121</v>
      </c>
      <c r="I542" s="122" t="s">
        <v>1546</v>
      </c>
      <c r="J542" s="307" t="s">
        <v>214</v>
      </c>
      <c r="K542" s="127" t="s">
        <v>1785</v>
      </c>
      <c r="L542" s="151" t="s">
        <v>118</v>
      </c>
      <c r="M542">
        <v>159</v>
      </c>
      <c r="N542" s="123">
        <v>1</v>
      </c>
      <c r="O542">
        <v>361</v>
      </c>
      <c r="P542" s="132" t="s">
        <v>77</v>
      </c>
      <c r="Q542" s="131">
        <v>150000</v>
      </c>
      <c r="R542" s="131">
        <f t="shared" si="11"/>
        <v>24000</v>
      </c>
      <c r="S542" s="131"/>
      <c r="T542" s="155">
        <v>0</v>
      </c>
      <c r="U542" s="131">
        <v>0</v>
      </c>
      <c r="V542" s="131">
        <f t="shared" si="10"/>
        <v>174000</v>
      </c>
      <c r="W542">
        <v>83</v>
      </c>
      <c r="X542" s="151" t="s">
        <v>195</v>
      </c>
      <c r="Y542" s="135" t="s">
        <v>55</v>
      </c>
      <c r="Z542" s="307">
        <v>198</v>
      </c>
      <c r="AB542" t="str">
        <f>IF(Table1[[#This Row],[TIPO2]]="costo", VLOOKUP(Table1[[#This Row],[PARTIDA PRESUPUESTAL]],'Cost Report'!G:G,1,0),"Balance")</f>
        <v>5022-014</v>
      </c>
      <c r="AC542" s="118"/>
      <c r="AD542" s="159">
        <f>+Table1[[#This Row],[SUBTOTAL]]+Table1[[#This Row],[IVA]]-Table1[[#This Row],[RET IVA]]-Table1[[#This Row],[RET ISR]]-Table1[[#This Row],[TOTAL]]</f>
        <v>0</v>
      </c>
      <c r="AE542" s="150"/>
      <c r="AF542" s="151"/>
      <c r="AG542" s="126"/>
      <c r="AH542" s="115"/>
      <c r="AK542" s="306" t="str">
        <f>IF(ISNUMBER(Table1[[#This Row],[FECHA DE RECIBIDO]]), Table1[[#This Row],[FECHA DE RECIBIDO]]-DATE(2023,8,30), "")</f>
        <v/>
      </c>
    </row>
    <row r="543" spans="1:37" ht="15" customHeight="1">
      <c r="A543" s="152"/>
      <c r="B543" s="153"/>
      <c r="C543" s="126" t="s">
        <v>1218</v>
      </c>
      <c r="D543">
        <v>337</v>
      </c>
      <c r="E543" s="126" t="s">
        <v>2001</v>
      </c>
      <c r="F543" s="125" t="s">
        <v>1607</v>
      </c>
      <c r="G543" s="125" t="s">
        <v>134</v>
      </c>
      <c r="H543">
        <v>121</v>
      </c>
      <c r="I543" s="125" t="s">
        <v>1546</v>
      </c>
      <c r="J543" s="308" t="s">
        <v>214</v>
      </c>
      <c r="K543" s="127" t="s">
        <v>1785</v>
      </c>
      <c r="L543" s="153" t="s">
        <v>118</v>
      </c>
      <c r="M543">
        <v>159</v>
      </c>
      <c r="N543" s="123">
        <v>1</v>
      </c>
      <c r="O543">
        <v>361</v>
      </c>
      <c r="P543" s="132" t="s">
        <v>77</v>
      </c>
      <c r="Q543" s="132">
        <v>5000</v>
      </c>
      <c r="R543" s="132">
        <f t="shared" si="11"/>
        <v>800</v>
      </c>
      <c r="S543" s="132"/>
      <c r="T543" s="156">
        <v>0</v>
      </c>
      <c r="U543" s="132">
        <v>0</v>
      </c>
      <c r="V543" s="132">
        <f t="shared" si="10"/>
        <v>5800</v>
      </c>
      <c r="W543">
        <v>83</v>
      </c>
      <c r="X543" s="153" t="s">
        <v>195</v>
      </c>
      <c r="Y543" s="124" t="s">
        <v>55</v>
      </c>
      <c r="Z543" s="308">
        <v>198</v>
      </c>
      <c r="AB543" t="str">
        <f>IF(Table1[[#This Row],[TIPO2]]="costo", VLOOKUP(Table1[[#This Row],[PARTIDA PRESUPUESTAL]],'Cost Report'!G:G,1,0),"Balance")</f>
        <v>5022-018</v>
      </c>
      <c r="AC543" s="118"/>
      <c r="AD543" s="159">
        <f>+Table1[[#This Row],[SUBTOTAL]]+Table1[[#This Row],[IVA]]-Table1[[#This Row],[RET IVA]]-Table1[[#This Row],[RET ISR]]-Table1[[#This Row],[TOTAL]]</f>
        <v>0</v>
      </c>
      <c r="AE543" s="152"/>
      <c r="AF543" s="153"/>
      <c r="AG543" s="126"/>
      <c r="AH543" s="115"/>
      <c r="AK543" s="306" t="str">
        <f>IF(ISNUMBER(Table1[[#This Row],[FECHA DE RECIBIDO]]), Table1[[#This Row],[FECHA DE RECIBIDO]]-DATE(2023,8,30), "")</f>
        <v/>
      </c>
    </row>
    <row r="544" spans="1:37" ht="15" customHeight="1">
      <c r="A544" s="150"/>
      <c r="B544" s="151"/>
      <c r="C544" s="126" t="s">
        <v>1219</v>
      </c>
      <c r="D544">
        <v>337</v>
      </c>
      <c r="E544" s="126" t="s">
        <v>2001</v>
      </c>
      <c r="F544" s="122" t="s">
        <v>1607</v>
      </c>
      <c r="G544" s="122" t="s">
        <v>134</v>
      </c>
      <c r="H544">
        <v>121</v>
      </c>
      <c r="I544" s="122" t="s">
        <v>1546</v>
      </c>
      <c r="J544" s="307" t="s">
        <v>214</v>
      </c>
      <c r="K544" s="127" t="s">
        <v>1785</v>
      </c>
      <c r="L544" s="151" t="s">
        <v>118</v>
      </c>
      <c r="M544">
        <v>159</v>
      </c>
      <c r="N544" s="123">
        <v>1</v>
      </c>
      <c r="O544">
        <v>361</v>
      </c>
      <c r="P544" s="132" t="s">
        <v>77</v>
      </c>
      <c r="Q544" s="131">
        <v>117000</v>
      </c>
      <c r="R544" s="131">
        <f t="shared" si="11"/>
        <v>18720</v>
      </c>
      <c r="S544" s="131"/>
      <c r="T544" s="155">
        <v>0</v>
      </c>
      <c r="U544" s="131">
        <v>0</v>
      </c>
      <c r="V544" s="131">
        <f t="shared" si="10"/>
        <v>135720</v>
      </c>
      <c r="W544">
        <v>83</v>
      </c>
      <c r="X544" s="151" t="s">
        <v>195</v>
      </c>
      <c r="Y544" s="135" t="s">
        <v>55</v>
      </c>
      <c r="Z544" s="307">
        <v>198</v>
      </c>
      <c r="AB544" t="str">
        <f>IF(Table1[[#This Row],[TIPO2]]="costo", VLOOKUP(Table1[[#This Row],[PARTIDA PRESUPUESTAL]],'Cost Report'!G:G,1,0),"Balance")</f>
        <v>5022-019</v>
      </c>
      <c r="AC544" s="118"/>
      <c r="AD544" s="159">
        <f>+Table1[[#This Row],[SUBTOTAL]]+Table1[[#This Row],[IVA]]-Table1[[#This Row],[RET IVA]]-Table1[[#This Row],[RET ISR]]-Table1[[#This Row],[TOTAL]]</f>
        <v>0</v>
      </c>
      <c r="AE544" s="150"/>
      <c r="AF544" s="151"/>
      <c r="AG544" s="126"/>
      <c r="AH544" s="115"/>
      <c r="AK544" s="306" t="str">
        <f>IF(ISNUMBER(Table1[[#This Row],[FECHA DE RECIBIDO]]), Table1[[#This Row],[FECHA DE RECIBIDO]]-DATE(2023,8,30), "")</f>
        <v/>
      </c>
    </row>
    <row r="545" spans="1:37" ht="15" customHeight="1">
      <c r="A545" s="152"/>
      <c r="B545" s="153"/>
      <c r="C545" s="126" t="s">
        <v>1221</v>
      </c>
      <c r="D545">
        <v>337</v>
      </c>
      <c r="E545" s="126" t="s">
        <v>2001</v>
      </c>
      <c r="F545" s="125" t="s">
        <v>1607</v>
      </c>
      <c r="G545" s="125" t="s">
        <v>134</v>
      </c>
      <c r="H545">
        <v>121</v>
      </c>
      <c r="I545" s="125" t="s">
        <v>1546</v>
      </c>
      <c r="J545" s="308" t="s">
        <v>214</v>
      </c>
      <c r="K545" s="127" t="s">
        <v>1785</v>
      </c>
      <c r="L545" s="153" t="s">
        <v>118</v>
      </c>
      <c r="M545">
        <v>159</v>
      </c>
      <c r="N545" s="123">
        <v>1</v>
      </c>
      <c r="O545">
        <v>361</v>
      </c>
      <c r="P545" s="132" t="s">
        <v>77</v>
      </c>
      <c r="Q545" s="132">
        <v>208000</v>
      </c>
      <c r="R545" s="132">
        <f t="shared" si="11"/>
        <v>33280</v>
      </c>
      <c r="S545" s="132"/>
      <c r="T545" s="156">
        <v>0</v>
      </c>
      <c r="U545" s="132">
        <v>0</v>
      </c>
      <c r="V545" s="132">
        <f t="shared" si="10"/>
        <v>241280</v>
      </c>
      <c r="W545">
        <v>83</v>
      </c>
      <c r="X545" s="153" t="s">
        <v>195</v>
      </c>
      <c r="Y545" s="124" t="s">
        <v>55</v>
      </c>
      <c r="Z545" s="308">
        <v>198</v>
      </c>
      <c r="AB545" t="str">
        <f>IF(Table1[[#This Row],[TIPO2]]="costo", VLOOKUP(Table1[[#This Row],[PARTIDA PRESUPUESTAL]],'Cost Report'!G:G,1,0),"Balance")</f>
        <v>5022-023</v>
      </c>
      <c r="AC545" s="118"/>
      <c r="AD545" s="159">
        <f>+Table1[[#This Row],[SUBTOTAL]]+Table1[[#This Row],[IVA]]-Table1[[#This Row],[RET IVA]]-Table1[[#This Row],[RET ISR]]-Table1[[#This Row],[TOTAL]]</f>
        <v>0</v>
      </c>
      <c r="AE545" s="152"/>
      <c r="AF545" s="153"/>
      <c r="AG545" s="126"/>
      <c r="AH545" s="115"/>
      <c r="AK545" s="306" t="str">
        <f>IF(ISNUMBER(Table1[[#This Row],[FECHA DE RECIBIDO]]), Table1[[#This Row],[FECHA DE RECIBIDO]]-DATE(2023,8,30), "")</f>
        <v/>
      </c>
    </row>
    <row r="546" spans="1:37" ht="15" customHeight="1">
      <c r="A546" s="150"/>
      <c r="B546" s="151"/>
      <c r="C546" s="126" t="s">
        <v>1777</v>
      </c>
      <c r="D546">
        <v>337</v>
      </c>
      <c r="E546" s="126" t="s">
        <v>2001</v>
      </c>
      <c r="F546" s="122" t="s">
        <v>1607</v>
      </c>
      <c r="G546" s="122" t="s">
        <v>134</v>
      </c>
      <c r="H546">
        <v>121</v>
      </c>
      <c r="I546" s="122" t="s">
        <v>1546</v>
      </c>
      <c r="J546" s="307" t="s">
        <v>214</v>
      </c>
      <c r="K546" s="127" t="s">
        <v>1785</v>
      </c>
      <c r="L546" s="151" t="s">
        <v>118</v>
      </c>
      <c r="M546">
        <v>159</v>
      </c>
      <c r="N546" s="123">
        <v>1</v>
      </c>
      <c r="O546">
        <v>361</v>
      </c>
      <c r="P546" s="132" t="s">
        <v>77</v>
      </c>
      <c r="Q546" s="131">
        <v>208000</v>
      </c>
      <c r="R546" s="131">
        <f t="shared" si="11"/>
        <v>33280</v>
      </c>
      <c r="S546" s="131"/>
      <c r="T546" s="155">
        <v>0</v>
      </c>
      <c r="U546" s="131">
        <v>0</v>
      </c>
      <c r="V546" s="131">
        <f t="shared" si="10"/>
        <v>241280</v>
      </c>
      <c r="W546">
        <v>83</v>
      </c>
      <c r="X546" s="151" t="s">
        <v>195</v>
      </c>
      <c r="Y546" s="135" t="s">
        <v>55</v>
      </c>
      <c r="Z546" s="307">
        <v>198</v>
      </c>
      <c r="AB546" t="str">
        <f>IF(Table1[[#This Row],[TIPO2]]="costo", VLOOKUP(Table1[[#This Row],[PARTIDA PRESUPUESTAL]],'Cost Report'!G:G,1,0),"Balance")</f>
        <v>5022-027</v>
      </c>
      <c r="AC546" s="118"/>
      <c r="AD546" s="159">
        <f>+Table1[[#This Row],[SUBTOTAL]]+Table1[[#This Row],[IVA]]-Table1[[#This Row],[RET IVA]]-Table1[[#This Row],[RET ISR]]-Table1[[#This Row],[TOTAL]]</f>
        <v>0</v>
      </c>
      <c r="AE546" s="150"/>
      <c r="AF546" s="151"/>
      <c r="AG546" s="126"/>
      <c r="AH546" s="115"/>
      <c r="AK546" s="306" t="str">
        <f>IF(ISNUMBER(Table1[[#This Row],[FECHA DE RECIBIDO]]), Table1[[#This Row],[FECHA DE RECIBIDO]]-DATE(2023,8,30), "")</f>
        <v/>
      </c>
    </row>
    <row r="547" spans="1:37" ht="15" customHeight="1">
      <c r="A547" s="152"/>
      <c r="B547" s="153"/>
      <c r="C547" s="126" t="s">
        <v>3020</v>
      </c>
      <c r="D547">
        <v>337</v>
      </c>
      <c r="E547" s="126" t="s">
        <v>2001</v>
      </c>
      <c r="F547" s="125" t="s">
        <v>1607</v>
      </c>
      <c r="G547" s="125" t="s">
        <v>134</v>
      </c>
      <c r="H547">
        <v>121</v>
      </c>
      <c r="I547" s="125" t="s">
        <v>1546</v>
      </c>
      <c r="J547" s="308" t="s">
        <v>214</v>
      </c>
      <c r="K547" s="127" t="s">
        <v>1785</v>
      </c>
      <c r="L547" s="153" t="s">
        <v>118</v>
      </c>
      <c r="M547">
        <v>159</v>
      </c>
      <c r="N547" s="123">
        <v>1</v>
      </c>
      <c r="O547">
        <v>361</v>
      </c>
      <c r="P547" s="132" t="s">
        <v>77</v>
      </c>
      <c r="Q547" s="132">
        <v>208000</v>
      </c>
      <c r="R547" s="132">
        <f t="shared" si="11"/>
        <v>33280</v>
      </c>
      <c r="S547" s="132"/>
      <c r="T547" s="156">
        <v>0</v>
      </c>
      <c r="U547" s="132">
        <v>0</v>
      </c>
      <c r="V547" s="132">
        <f t="shared" si="10"/>
        <v>241280</v>
      </c>
      <c r="W547">
        <v>83</v>
      </c>
      <c r="X547" s="153" t="s">
        <v>195</v>
      </c>
      <c r="Y547" s="124" t="s">
        <v>55</v>
      </c>
      <c r="Z547" s="308">
        <v>198</v>
      </c>
      <c r="AB547" t="str">
        <f>IF(Table1[[#This Row],[TIPO2]]="costo", VLOOKUP(Table1[[#This Row],[PARTIDA PRESUPUESTAL]],'Cost Report'!G:G,1,0),"Balance")</f>
        <v>5022-031</v>
      </c>
      <c r="AC547" s="118"/>
      <c r="AD547" s="159">
        <f>+Table1[[#This Row],[SUBTOTAL]]+Table1[[#This Row],[IVA]]-Table1[[#This Row],[RET IVA]]-Table1[[#This Row],[RET ISR]]-Table1[[#This Row],[TOTAL]]</f>
        <v>0</v>
      </c>
      <c r="AE547" s="152"/>
      <c r="AF547" s="153"/>
      <c r="AG547" s="126"/>
      <c r="AH547" s="115"/>
      <c r="AK547" s="306" t="str">
        <f>IF(ISNUMBER(Table1[[#This Row],[FECHA DE RECIBIDO]]), Table1[[#This Row],[FECHA DE RECIBIDO]]-DATE(2023,8,30), "")</f>
        <v/>
      </c>
    </row>
    <row r="548" spans="1:37" ht="15" customHeight="1">
      <c r="A548" s="150"/>
      <c r="B548" s="151"/>
      <c r="C548" s="126" t="s">
        <v>3022</v>
      </c>
      <c r="D548">
        <v>337</v>
      </c>
      <c r="E548" s="126" t="s">
        <v>2001</v>
      </c>
      <c r="F548" s="122" t="s">
        <v>1607</v>
      </c>
      <c r="G548" s="122" t="s">
        <v>134</v>
      </c>
      <c r="H548">
        <v>121</v>
      </c>
      <c r="I548" s="122" t="s">
        <v>1546</v>
      </c>
      <c r="J548" s="307" t="s">
        <v>214</v>
      </c>
      <c r="K548" s="127" t="s">
        <v>1785</v>
      </c>
      <c r="L548" s="151" t="s">
        <v>118</v>
      </c>
      <c r="M548">
        <v>159</v>
      </c>
      <c r="N548" s="123">
        <v>1</v>
      </c>
      <c r="O548">
        <v>361</v>
      </c>
      <c r="P548" s="132" t="s">
        <v>77</v>
      </c>
      <c r="Q548" s="131">
        <v>152000</v>
      </c>
      <c r="R548" s="131">
        <f t="shared" si="11"/>
        <v>24320</v>
      </c>
      <c r="S548" s="131"/>
      <c r="T548" s="155">
        <v>0</v>
      </c>
      <c r="U548" s="131">
        <v>0</v>
      </c>
      <c r="V548" s="131">
        <f t="shared" si="10"/>
        <v>176320</v>
      </c>
      <c r="W548">
        <v>83</v>
      </c>
      <c r="X548" s="151" t="s">
        <v>195</v>
      </c>
      <c r="Y548" s="135" t="s">
        <v>55</v>
      </c>
      <c r="Z548" s="307">
        <v>198</v>
      </c>
      <c r="AB548" t="str">
        <f>IF(Table1[[#This Row],[TIPO2]]="costo", VLOOKUP(Table1[[#This Row],[PARTIDA PRESUPUESTAL]],'Cost Report'!G:G,1,0),"Balance")</f>
        <v>5022-035</v>
      </c>
      <c r="AC548" s="118"/>
      <c r="AD548" s="159">
        <f>+Table1[[#This Row],[SUBTOTAL]]+Table1[[#This Row],[IVA]]-Table1[[#This Row],[RET IVA]]-Table1[[#This Row],[RET ISR]]-Table1[[#This Row],[TOTAL]]</f>
        <v>0</v>
      </c>
      <c r="AE548" s="150"/>
      <c r="AF548" s="151"/>
      <c r="AG548" s="126"/>
      <c r="AH548" s="115"/>
      <c r="AK548" s="306" t="str">
        <f>IF(ISNUMBER(Table1[[#This Row],[FECHA DE RECIBIDO]]), Table1[[#This Row],[FECHA DE RECIBIDO]]-DATE(2023,8,30), "")</f>
        <v/>
      </c>
    </row>
    <row r="549" spans="1:37" ht="15" customHeight="1">
      <c r="A549" s="152"/>
      <c r="B549" s="153"/>
      <c r="C549" s="126" t="s">
        <v>3024</v>
      </c>
      <c r="D549">
        <v>337</v>
      </c>
      <c r="E549" s="126" t="s">
        <v>2001</v>
      </c>
      <c r="F549" s="125" t="s">
        <v>1607</v>
      </c>
      <c r="G549" s="125" t="s">
        <v>134</v>
      </c>
      <c r="H549">
        <v>121</v>
      </c>
      <c r="I549" s="125" t="s">
        <v>1546</v>
      </c>
      <c r="J549" s="308" t="s">
        <v>214</v>
      </c>
      <c r="K549" s="127" t="s">
        <v>1785</v>
      </c>
      <c r="L549" s="153" t="s">
        <v>118</v>
      </c>
      <c r="M549">
        <v>159</v>
      </c>
      <c r="N549" s="123">
        <v>1</v>
      </c>
      <c r="O549">
        <v>361</v>
      </c>
      <c r="P549" s="132" t="s">
        <v>77</v>
      </c>
      <c r="Q549" s="132">
        <v>180000</v>
      </c>
      <c r="R549" s="132">
        <f t="shared" si="11"/>
        <v>28800</v>
      </c>
      <c r="S549" s="132"/>
      <c r="T549" s="156">
        <v>0</v>
      </c>
      <c r="U549" s="132">
        <v>0</v>
      </c>
      <c r="V549" s="132">
        <f t="shared" si="10"/>
        <v>208800</v>
      </c>
      <c r="W549">
        <v>83</v>
      </c>
      <c r="X549" s="153" t="s">
        <v>195</v>
      </c>
      <c r="Y549" s="124" t="s">
        <v>55</v>
      </c>
      <c r="Z549" s="308">
        <v>198</v>
      </c>
      <c r="AB549" t="str">
        <f>IF(Table1[[#This Row],[TIPO2]]="costo", VLOOKUP(Table1[[#This Row],[PARTIDA PRESUPUESTAL]],'Cost Report'!G:G,1,0),"Balance")</f>
        <v>5022-039</v>
      </c>
      <c r="AC549" s="118"/>
      <c r="AD549" s="159">
        <f>+Table1[[#This Row],[SUBTOTAL]]+Table1[[#This Row],[IVA]]-Table1[[#This Row],[RET IVA]]-Table1[[#This Row],[RET ISR]]-Table1[[#This Row],[TOTAL]]</f>
        <v>0</v>
      </c>
      <c r="AE549" s="152"/>
      <c r="AF549" s="153"/>
      <c r="AG549" s="126"/>
      <c r="AH549" s="115"/>
      <c r="AK549" s="306" t="str">
        <f>IF(ISNUMBER(Table1[[#This Row],[FECHA DE RECIBIDO]]), Table1[[#This Row],[FECHA DE RECIBIDO]]-DATE(2023,8,30), "")</f>
        <v/>
      </c>
    </row>
    <row r="550" spans="1:37" ht="15" customHeight="1">
      <c r="A550" s="150"/>
      <c r="B550" s="151"/>
      <c r="C550" s="126" t="s">
        <v>3026</v>
      </c>
      <c r="D550">
        <v>337</v>
      </c>
      <c r="E550" s="126" t="s">
        <v>2001</v>
      </c>
      <c r="F550" s="122" t="s">
        <v>1607</v>
      </c>
      <c r="G550" s="122" t="s">
        <v>134</v>
      </c>
      <c r="H550">
        <v>121</v>
      </c>
      <c r="I550" s="122" t="s">
        <v>1546</v>
      </c>
      <c r="J550" s="307" t="s">
        <v>214</v>
      </c>
      <c r="K550" s="127" t="s">
        <v>1785</v>
      </c>
      <c r="L550" s="151" t="s">
        <v>118</v>
      </c>
      <c r="M550">
        <v>159</v>
      </c>
      <c r="N550" s="123">
        <v>1</v>
      </c>
      <c r="O550">
        <v>361</v>
      </c>
      <c r="P550" s="132" t="s">
        <v>77</v>
      </c>
      <c r="Q550" s="131">
        <v>126000</v>
      </c>
      <c r="R550" s="131">
        <f t="shared" si="11"/>
        <v>20160</v>
      </c>
      <c r="S550" s="131"/>
      <c r="T550" s="155">
        <v>0</v>
      </c>
      <c r="U550" s="131">
        <v>0</v>
      </c>
      <c r="V550" s="131">
        <f t="shared" si="10"/>
        <v>146160</v>
      </c>
      <c r="W550">
        <v>83</v>
      </c>
      <c r="X550" s="151" t="s">
        <v>195</v>
      </c>
      <c r="Y550" s="135" t="s">
        <v>55</v>
      </c>
      <c r="Z550" s="307">
        <v>198</v>
      </c>
      <c r="AB550" t="str">
        <f>IF(Table1[[#This Row],[TIPO2]]="costo", VLOOKUP(Table1[[#This Row],[PARTIDA PRESUPUESTAL]],'Cost Report'!G:G,1,0),"Balance")</f>
        <v>5022-043</v>
      </c>
      <c r="AC550" s="118"/>
      <c r="AD550" s="159">
        <f>+Table1[[#This Row],[SUBTOTAL]]+Table1[[#This Row],[IVA]]-Table1[[#This Row],[RET IVA]]-Table1[[#This Row],[RET ISR]]-Table1[[#This Row],[TOTAL]]</f>
        <v>0</v>
      </c>
      <c r="AE550" s="150"/>
      <c r="AF550" s="151"/>
      <c r="AG550" s="126"/>
      <c r="AH550" s="115"/>
      <c r="AK550" s="306" t="str">
        <f>IF(ISNUMBER(Table1[[#This Row],[FECHA DE RECIBIDO]]), Table1[[#This Row],[FECHA DE RECIBIDO]]-DATE(2023,8,30), "")</f>
        <v/>
      </c>
    </row>
    <row r="551" spans="1:37" ht="15" customHeight="1">
      <c r="A551" s="152"/>
      <c r="B551" s="153"/>
      <c r="C551" s="126" t="s">
        <v>3033</v>
      </c>
      <c r="D551">
        <v>337</v>
      </c>
      <c r="E551" s="126" t="s">
        <v>2001</v>
      </c>
      <c r="F551" s="125" t="s">
        <v>1607</v>
      </c>
      <c r="G551" s="125" t="s">
        <v>134</v>
      </c>
      <c r="H551">
        <v>121</v>
      </c>
      <c r="I551" s="125" t="s">
        <v>1546</v>
      </c>
      <c r="J551" s="308" t="s">
        <v>214</v>
      </c>
      <c r="K551" s="127" t="s">
        <v>1785</v>
      </c>
      <c r="L551" s="153" t="s">
        <v>118</v>
      </c>
      <c r="M551">
        <v>159</v>
      </c>
      <c r="N551" s="123">
        <v>1</v>
      </c>
      <c r="O551">
        <v>361</v>
      </c>
      <c r="P551" s="132" t="s">
        <v>77</v>
      </c>
      <c r="Q551" s="132">
        <v>168000</v>
      </c>
      <c r="R551" s="132">
        <f t="shared" si="11"/>
        <v>26880</v>
      </c>
      <c r="S551" s="132"/>
      <c r="T551" s="156">
        <v>0</v>
      </c>
      <c r="U551" s="132">
        <v>0</v>
      </c>
      <c r="V551" s="132">
        <f t="shared" si="10"/>
        <v>194880</v>
      </c>
      <c r="W551">
        <v>83</v>
      </c>
      <c r="X551" s="153" t="s">
        <v>195</v>
      </c>
      <c r="Y551" s="124" t="s">
        <v>55</v>
      </c>
      <c r="Z551" s="308">
        <v>198</v>
      </c>
      <c r="AB551" t="str">
        <f>IF(Table1[[#This Row],[TIPO2]]="costo", VLOOKUP(Table1[[#This Row],[PARTIDA PRESUPUESTAL]],'Cost Report'!G:G,1,0),"Balance")</f>
        <v>5101-007</v>
      </c>
      <c r="AC551" s="118"/>
      <c r="AD551" s="159">
        <f>+Table1[[#This Row],[SUBTOTAL]]+Table1[[#This Row],[IVA]]-Table1[[#This Row],[RET IVA]]-Table1[[#This Row],[RET ISR]]-Table1[[#This Row],[TOTAL]]</f>
        <v>0</v>
      </c>
      <c r="AE551" s="152"/>
      <c r="AF551" s="153"/>
      <c r="AG551" s="126"/>
      <c r="AH551" s="115"/>
      <c r="AK551" s="306" t="str">
        <f>IF(ISNUMBER(Table1[[#This Row],[FECHA DE RECIBIDO]]), Table1[[#This Row],[FECHA DE RECIBIDO]]-DATE(2023,8,30), "")</f>
        <v/>
      </c>
    </row>
    <row r="552" spans="1:37" ht="15" customHeight="1">
      <c r="A552" s="150"/>
      <c r="B552" s="151"/>
      <c r="C552" s="126" t="s">
        <v>3035</v>
      </c>
      <c r="D552">
        <v>337</v>
      </c>
      <c r="E552" s="126" t="s">
        <v>2001</v>
      </c>
      <c r="F552" s="122" t="s">
        <v>1607</v>
      </c>
      <c r="G552" s="122" t="s">
        <v>134</v>
      </c>
      <c r="H552">
        <v>121</v>
      </c>
      <c r="I552" s="122" t="s">
        <v>1546</v>
      </c>
      <c r="J552" s="307" t="s">
        <v>214</v>
      </c>
      <c r="K552" s="127" t="s">
        <v>1785</v>
      </c>
      <c r="L552" s="151" t="s">
        <v>118</v>
      </c>
      <c r="M552">
        <v>159</v>
      </c>
      <c r="N552" s="123">
        <v>1</v>
      </c>
      <c r="O552">
        <v>361</v>
      </c>
      <c r="P552" s="132" t="s">
        <v>77</v>
      </c>
      <c r="Q552" s="131">
        <v>16000</v>
      </c>
      <c r="R552" s="131">
        <f t="shared" si="11"/>
        <v>2560</v>
      </c>
      <c r="S552" s="131"/>
      <c r="T552" s="155">
        <v>0</v>
      </c>
      <c r="U552" s="131">
        <v>0</v>
      </c>
      <c r="V552" s="131">
        <f t="shared" si="10"/>
        <v>18560</v>
      </c>
      <c r="W552">
        <v>83</v>
      </c>
      <c r="X552" s="151" t="s">
        <v>195</v>
      </c>
      <c r="Y552" s="135" t="s">
        <v>55</v>
      </c>
      <c r="Z552" s="307">
        <v>198</v>
      </c>
      <c r="AB552" t="str">
        <f>IF(Table1[[#This Row],[TIPO2]]="costo", VLOOKUP(Table1[[#This Row],[PARTIDA PRESUPUESTAL]],'Cost Report'!G:G,1,0),"Balance")</f>
        <v>5101-011</v>
      </c>
      <c r="AC552" s="118"/>
      <c r="AD552" s="159">
        <f>+Table1[[#This Row],[SUBTOTAL]]+Table1[[#This Row],[IVA]]-Table1[[#This Row],[RET IVA]]-Table1[[#This Row],[RET ISR]]-Table1[[#This Row],[TOTAL]]</f>
        <v>0</v>
      </c>
      <c r="AE552" s="150"/>
      <c r="AF552" s="151"/>
      <c r="AG552" s="126"/>
      <c r="AH552" s="115"/>
      <c r="AK552" s="306" t="str">
        <f>IF(ISNUMBER(Table1[[#This Row],[FECHA DE RECIBIDO]]), Table1[[#This Row],[FECHA DE RECIBIDO]]-DATE(2023,8,30), "")</f>
        <v/>
      </c>
    </row>
    <row r="553" spans="1:37" ht="15" customHeight="1">
      <c r="A553" s="152"/>
      <c r="B553" s="153"/>
      <c r="C553" s="126" t="s">
        <v>3036</v>
      </c>
      <c r="D553">
        <v>337</v>
      </c>
      <c r="E553" s="126" t="s">
        <v>2001</v>
      </c>
      <c r="F553" s="125" t="s">
        <v>1607</v>
      </c>
      <c r="G553" s="125" t="s">
        <v>134</v>
      </c>
      <c r="H553">
        <v>121</v>
      </c>
      <c r="I553" s="125" t="s">
        <v>1546</v>
      </c>
      <c r="J553" s="308" t="s">
        <v>214</v>
      </c>
      <c r="K553" s="127" t="s">
        <v>1785</v>
      </c>
      <c r="L553" s="153" t="s">
        <v>118</v>
      </c>
      <c r="M553">
        <v>159</v>
      </c>
      <c r="N553" s="123">
        <v>1</v>
      </c>
      <c r="O553">
        <v>361</v>
      </c>
      <c r="P553" s="132" t="s">
        <v>77</v>
      </c>
      <c r="Q553" s="132">
        <v>900000</v>
      </c>
      <c r="R553" s="132">
        <f t="shared" si="11"/>
        <v>144000</v>
      </c>
      <c r="S553" s="132"/>
      <c r="T553" s="156">
        <v>0</v>
      </c>
      <c r="U553" s="132">
        <v>0</v>
      </c>
      <c r="V553" s="132">
        <f t="shared" si="10"/>
        <v>1044000</v>
      </c>
      <c r="W553">
        <v>83</v>
      </c>
      <c r="X553" s="153" t="s">
        <v>195</v>
      </c>
      <c r="Y553" s="124" t="s">
        <v>55</v>
      </c>
      <c r="Z553" s="308">
        <v>198</v>
      </c>
      <c r="AB553" t="str">
        <f>IF(Table1[[#This Row],[TIPO2]]="costo", VLOOKUP(Table1[[#This Row],[PARTIDA PRESUPUESTAL]],'Cost Report'!G:G,1,0),"Balance")</f>
        <v>5105-008</v>
      </c>
      <c r="AC553" s="118"/>
      <c r="AD553" s="159">
        <f>+Table1[[#This Row],[SUBTOTAL]]+Table1[[#This Row],[IVA]]-Table1[[#This Row],[RET IVA]]-Table1[[#This Row],[RET ISR]]-Table1[[#This Row],[TOTAL]]</f>
        <v>0</v>
      </c>
      <c r="AE553" s="152"/>
      <c r="AF553" s="153"/>
      <c r="AG553" s="126"/>
      <c r="AH553" s="115"/>
      <c r="AK553" s="306" t="str">
        <f>IF(ISNUMBER(Table1[[#This Row],[FECHA DE RECIBIDO]]), Table1[[#This Row],[FECHA DE RECIBIDO]]-DATE(2023,8,30), "")</f>
        <v/>
      </c>
    </row>
    <row r="554" spans="1:37" ht="15" customHeight="1">
      <c r="A554" s="150"/>
      <c r="B554" s="151"/>
      <c r="C554" s="126" t="s">
        <v>3038</v>
      </c>
      <c r="D554">
        <v>337</v>
      </c>
      <c r="E554" s="126" t="s">
        <v>2001</v>
      </c>
      <c r="F554" s="122" t="s">
        <v>1607</v>
      </c>
      <c r="G554" s="122" t="s">
        <v>134</v>
      </c>
      <c r="H554">
        <v>121</v>
      </c>
      <c r="I554" s="122" t="s">
        <v>1546</v>
      </c>
      <c r="J554" s="307" t="s">
        <v>214</v>
      </c>
      <c r="K554" s="127" t="s">
        <v>1785</v>
      </c>
      <c r="L554" s="151" t="s">
        <v>118</v>
      </c>
      <c r="M554">
        <v>159</v>
      </c>
      <c r="N554" s="123">
        <v>1</v>
      </c>
      <c r="O554">
        <v>361</v>
      </c>
      <c r="P554" s="132" t="s">
        <v>77</v>
      </c>
      <c r="Q554" s="131">
        <v>5000</v>
      </c>
      <c r="R554" s="131">
        <f t="shared" si="11"/>
        <v>800</v>
      </c>
      <c r="S554" s="131"/>
      <c r="T554" s="155">
        <v>0</v>
      </c>
      <c r="U554" s="131">
        <v>0</v>
      </c>
      <c r="V554" s="131">
        <f t="shared" si="10"/>
        <v>5800</v>
      </c>
      <c r="W554">
        <v>83</v>
      </c>
      <c r="X554" s="151" t="s">
        <v>195</v>
      </c>
      <c r="Y554" s="135" t="s">
        <v>55</v>
      </c>
      <c r="Z554" s="307">
        <v>198</v>
      </c>
      <c r="AB554" t="str">
        <f>IF(Table1[[#This Row],[TIPO2]]="costo", VLOOKUP(Table1[[#This Row],[PARTIDA PRESUPUESTAL]],'Cost Report'!G:G,1,0),"Balance")</f>
        <v>5105-012</v>
      </c>
      <c r="AC554" s="118"/>
      <c r="AD554" s="159">
        <f>+Table1[[#This Row],[SUBTOTAL]]+Table1[[#This Row],[IVA]]-Table1[[#This Row],[RET IVA]]-Table1[[#This Row],[RET ISR]]-Table1[[#This Row],[TOTAL]]</f>
        <v>0</v>
      </c>
      <c r="AE554" s="150"/>
      <c r="AF554" s="151"/>
      <c r="AG554" s="126"/>
      <c r="AH554" s="115"/>
      <c r="AK554" s="306" t="str">
        <f>IF(ISNUMBER(Table1[[#This Row],[FECHA DE RECIBIDO]]), Table1[[#This Row],[FECHA DE RECIBIDO]]-DATE(2023,8,30), "")</f>
        <v/>
      </c>
    </row>
    <row r="555" spans="1:37" ht="15" customHeight="1">
      <c r="A555" s="152"/>
      <c r="B555" s="153"/>
      <c r="C555" s="126" t="s">
        <v>3039</v>
      </c>
      <c r="D555">
        <v>337</v>
      </c>
      <c r="E555" s="126" t="s">
        <v>2001</v>
      </c>
      <c r="F555" s="125" t="s">
        <v>1607</v>
      </c>
      <c r="G555" s="125" t="s">
        <v>134</v>
      </c>
      <c r="H555">
        <v>121</v>
      </c>
      <c r="I555" s="125" t="s">
        <v>1546</v>
      </c>
      <c r="J555" s="308" t="s">
        <v>214</v>
      </c>
      <c r="K555" s="127" t="s">
        <v>1785</v>
      </c>
      <c r="L555" s="153" t="s">
        <v>118</v>
      </c>
      <c r="M555">
        <v>159</v>
      </c>
      <c r="N555" s="123">
        <v>1</v>
      </c>
      <c r="O555">
        <v>361</v>
      </c>
      <c r="P555" s="132" t="s">
        <v>77</v>
      </c>
      <c r="Q555" s="132">
        <v>80000</v>
      </c>
      <c r="R555" s="132">
        <f t="shared" si="11"/>
        <v>12800</v>
      </c>
      <c r="S555" s="132"/>
      <c r="T555" s="156">
        <v>0</v>
      </c>
      <c r="U555" s="132">
        <v>0</v>
      </c>
      <c r="V555" s="132">
        <f t="shared" si="10"/>
        <v>92800</v>
      </c>
      <c r="W555">
        <v>83</v>
      </c>
      <c r="X555" s="153" t="s">
        <v>195</v>
      </c>
      <c r="Y555" s="124" t="s">
        <v>55</v>
      </c>
      <c r="Z555" s="308">
        <v>198</v>
      </c>
      <c r="AB555" t="str">
        <f>IF(Table1[[#This Row],[TIPO2]]="costo", VLOOKUP(Table1[[#This Row],[PARTIDA PRESUPUESTAL]],'Cost Report'!G:G,1,0),"Balance")</f>
        <v>5109-003</v>
      </c>
      <c r="AC555" s="118"/>
      <c r="AD555" s="159">
        <f>+Table1[[#This Row],[SUBTOTAL]]+Table1[[#This Row],[IVA]]-Table1[[#This Row],[RET IVA]]-Table1[[#This Row],[RET ISR]]-Table1[[#This Row],[TOTAL]]</f>
        <v>0</v>
      </c>
      <c r="AE555" s="152"/>
      <c r="AF555" s="153"/>
      <c r="AG555" s="126"/>
      <c r="AH555" s="115"/>
      <c r="AK555" s="306" t="str">
        <f>IF(ISNUMBER(Table1[[#This Row],[FECHA DE RECIBIDO]]), Table1[[#This Row],[FECHA DE RECIBIDO]]-DATE(2023,8,30), "")</f>
        <v/>
      </c>
    </row>
    <row r="556" spans="1:37" ht="15" customHeight="1">
      <c r="A556" s="150"/>
      <c r="B556" s="151"/>
      <c r="C556" s="126" t="s">
        <v>1238</v>
      </c>
      <c r="D556">
        <v>337</v>
      </c>
      <c r="E556" s="126" t="s">
        <v>2001</v>
      </c>
      <c r="F556" s="122" t="s">
        <v>1607</v>
      </c>
      <c r="G556" s="122" t="s">
        <v>134</v>
      </c>
      <c r="H556">
        <v>121</v>
      </c>
      <c r="I556" s="122" t="s">
        <v>1546</v>
      </c>
      <c r="J556" s="307" t="s">
        <v>214</v>
      </c>
      <c r="K556" s="127" t="s">
        <v>1785</v>
      </c>
      <c r="L556" s="151" t="s">
        <v>118</v>
      </c>
      <c r="M556">
        <v>159</v>
      </c>
      <c r="N556" s="123">
        <v>1</v>
      </c>
      <c r="O556">
        <v>361</v>
      </c>
      <c r="P556" s="132" t="s">
        <v>77</v>
      </c>
      <c r="Q556" s="131">
        <v>35089.56</v>
      </c>
      <c r="R556" s="131">
        <f t="shared" si="11"/>
        <v>5614.3296</v>
      </c>
      <c r="S556" s="131"/>
      <c r="T556" s="155">
        <v>0</v>
      </c>
      <c r="U556" s="131">
        <v>0</v>
      </c>
      <c r="V556" s="131">
        <f t="shared" si="10"/>
        <v>40703.889599999995</v>
      </c>
      <c r="W556">
        <v>83</v>
      </c>
      <c r="X556" s="151" t="s">
        <v>195</v>
      </c>
      <c r="Y556" s="135" t="s">
        <v>55</v>
      </c>
      <c r="Z556" s="307">
        <v>198</v>
      </c>
      <c r="AB556" t="str">
        <f>IF(Table1[[#This Row],[TIPO2]]="costo", VLOOKUP(Table1[[#This Row],[PARTIDA PRESUPUESTAL]],'Cost Report'!G:G,1,0),"Balance")</f>
        <v>5110-003</v>
      </c>
      <c r="AC556" s="118"/>
      <c r="AD556" s="159">
        <f>+Table1[[#This Row],[SUBTOTAL]]+Table1[[#This Row],[IVA]]-Table1[[#This Row],[RET IVA]]-Table1[[#This Row],[RET ISR]]-Table1[[#This Row],[TOTAL]]</f>
        <v>0</v>
      </c>
      <c r="AE556" s="150"/>
      <c r="AF556" s="151"/>
      <c r="AG556" s="126"/>
      <c r="AH556" s="115"/>
      <c r="AK556" s="306" t="str">
        <f>IF(ISNUMBER(Table1[[#This Row],[FECHA DE RECIBIDO]]), Table1[[#This Row],[FECHA DE RECIBIDO]]-DATE(2023,8,30), "")</f>
        <v/>
      </c>
    </row>
    <row r="557" spans="1:37" ht="15" customHeight="1">
      <c r="A557" s="152"/>
      <c r="B557" s="153">
        <v>244</v>
      </c>
      <c r="C557" s="126" t="s">
        <v>1773</v>
      </c>
      <c r="D557">
        <v>338</v>
      </c>
      <c r="E557" s="126" t="s">
        <v>2001</v>
      </c>
      <c r="F557" s="125" t="s">
        <v>1607</v>
      </c>
      <c r="G557" s="125" t="s">
        <v>134</v>
      </c>
      <c r="H557">
        <v>121</v>
      </c>
      <c r="I557" s="125" t="s">
        <v>1546</v>
      </c>
      <c r="J557" s="308" t="s">
        <v>214</v>
      </c>
      <c r="K557" s="127" t="s">
        <v>1785</v>
      </c>
      <c r="L557" s="153" t="s">
        <v>118</v>
      </c>
      <c r="M557">
        <v>159</v>
      </c>
      <c r="N557" s="123">
        <v>1</v>
      </c>
      <c r="O557">
        <v>362</v>
      </c>
      <c r="P557" s="132" t="s">
        <v>77</v>
      </c>
      <c r="Q557" s="132">
        <v>6250</v>
      </c>
      <c r="R557" s="132">
        <f t="shared" si="11"/>
        <v>1000</v>
      </c>
      <c r="S557" s="132"/>
      <c r="T557" s="156">
        <v>0</v>
      </c>
      <c r="U557" s="132">
        <v>0</v>
      </c>
      <c r="V557" s="132">
        <f t="shared" si="10"/>
        <v>7250</v>
      </c>
      <c r="W557">
        <v>83</v>
      </c>
      <c r="X557" s="153" t="s">
        <v>195</v>
      </c>
      <c r="Y557" s="124" t="s">
        <v>55</v>
      </c>
      <c r="Z557" s="308">
        <v>198</v>
      </c>
      <c r="AB557" t="str">
        <f>IF(Table1[[#This Row],[TIPO2]]="costo", VLOOKUP(Table1[[#This Row],[PARTIDA PRESUPUESTAL]],'Cost Report'!G:G,1,0),"Balance")</f>
        <v>5001-012</v>
      </c>
      <c r="AC557" s="118"/>
      <c r="AD557" s="159">
        <f>+Table1[[#This Row],[SUBTOTAL]]+Table1[[#This Row],[IVA]]-Table1[[#This Row],[RET IVA]]-Table1[[#This Row],[RET ISR]]-Table1[[#This Row],[TOTAL]]</f>
        <v>0</v>
      </c>
      <c r="AE557" s="152"/>
      <c r="AF557" s="153"/>
      <c r="AG557" s="126"/>
      <c r="AH557" s="115"/>
      <c r="AK557" s="306" t="str">
        <f>IF(ISNUMBER(Table1[[#This Row],[FECHA DE RECIBIDO]]), Table1[[#This Row],[FECHA DE RECIBIDO]]-DATE(2023,8,30), "")</f>
        <v/>
      </c>
    </row>
    <row r="558" spans="1:37" ht="15" customHeight="1">
      <c r="A558" s="150"/>
      <c r="B558" s="151"/>
      <c r="C558" s="126" t="s">
        <v>3015</v>
      </c>
      <c r="D558">
        <v>338</v>
      </c>
      <c r="E558" s="126" t="s">
        <v>2001</v>
      </c>
      <c r="F558" s="122" t="s">
        <v>1607</v>
      </c>
      <c r="G558" s="122" t="s">
        <v>134</v>
      </c>
      <c r="H558">
        <v>121</v>
      </c>
      <c r="I558" s="122" t="s">
        <v>1546</v>
      </c>
      <c r="J558" s="307" t="s">
        <v>214</v>
      </c>
      <c r="K558" s="127" t="s">
        <v>1785</v>
      </c>
      <c r="L558" s="151" t="s">
        <v>118</v>
      </c>
      <c r="M558">
        <v>159</v>
      </c>
      <c r="N558" s="123">
        <v>1</v>
      </c>
      <c r="O558">
        <v>362</v>
      </c>
      <c r="P558" s="132" t="s">
        <v>77</v>
      </c>
      <c r="Q558" s="131">
        <v>4000</v>
      </c>
      <c r="R558" s="131">
        <f t="shared" si="11"/>
        <v>640</v>
      </c>
      <c r="S558" s="131"/>
      <c r="T558" s="155">
        <v>0</v>
      </c>
      <c r="U558" s="131">
        <v>0</v>
      </c>
      <c r="V558" s="131">
        <f t="shared" si="10"/>
        <v>4640</v>
      </c>
      <c r="W558">
        <v>83</v>
      </c>
      <c r="X558" s="151" t="s">
        <v>195</v>
      </c>
      <c r="Y558" s="135" t="s">
        <v>55</v>
      </c>
      <c r="Z558" s="307">
        <v>198</v>
      </c>
      <c r="AB558" t="str">
        <f>IF(Table1[[#This Row],[TIPO2]]="costo", VLOOKUP(Table1[[#This Row],[PARTIDA PRESUPUESTAL]],'Cost Report'!G:G,1,0),"Balance")</f>
        <v>5011-010</v>
      </c>
      <c r="AC558" s="118"/>
      <c r="AD558" s="159">
        <f>+Table1[[#This Row],[SUBTOTAL]]+Table1[[#This Row],[IVA]]-Table1[[#This Row],[RET IVA]]-Table1[[#This Row],[RET ISR]]-Table1[[#This Row],[TOTAL]]</f>
        <v>0</v>
      </c>
      <c r="AE558" s="150"/>
      <c r="AF558" s="151"/>
      <c r="AG558" s="126"/>
      <c r="AH558" s="115"/>
      <c r="AK558" s="306" t="str">
        <f>IF(ISNUMBER(Table1[[#This Row],[FECHA DE RECIBIDO]]), Table1[[#This Row],[FECHA DE RECIBIDO]]-DATE(2023,8,30), "")</f>
        <v/>
      </c>
    </row>
    <row r="559" spans="1:37" ht="15" customHeight="1">
      <c r="A559" s="152"/>
      <c r="B559" s="153"/>
      <c r="C559" s="126" t="s">
        <v>3018</v>
      </c>
      <c r="D559">
        <v>338</v>
      </c>
      <c r="E559" s="126" t="s">
        <v>2001</v>
      </c>
      <c r="F559" s="125" t="s">
        <v>1607</v>
      </c>
      <c r="G559" s="125" t="s">
        <v>134</v>
      </c>
      <c r="H559">
        <v>121</v>
      </c>
      <c r="I559" s="125" t="s">
        <v>1546</v>
      </c>
      <c r="J559" s="308" t="s">
        <v>214</v>
      </c>
      <c r="K559" s="127" t="s">
        <v>1785</v>
      </c>
      <c r="L559" s="153" t="s">
        <v>118</v>
      </c>
      <c r="M559">
        <v>159</v>
      </c>
      <c r="N559" s="123">
        <v>1</v>
      </c>
      <c r="O559">
        <v>362</v>
      </c>
      <c r="P559" s="132" t="s">
        <v>77</v>
      </c>
      <c r="Q559" s="132">
        <v>400</v>
      </c>
      <c r="R559" s="132">
        <f t="shared" si="11"/>
        <v>64</v>
      </c>
      <c r="S559" s="132"/>
      <c r="T559" s="156">
        <v>0</v>
      </c>
      <c r="U559" s="132">
        <v>0</v>
      </c>
      <c r="V559" s="132">
        <f t="shared" si="10"/>
        <v>464</v>
      </c>
      <c r="W559">
        <v>83</v>
      </c>
      <c r="X559" s="153" t="s">
        <v>195</v>
      </c>
      <c r="Y559" s="124" t="s">
        <v>55</v>
      </c>
      <c r="Z559" s="308">
        <v>198</v>
      </c>
      <c r="AB559" t="str">
        <f>IF(Table1[[#This Row],[TIPO2]]="costo", VLOOKUP(Table1[[#This Row],[PARTIDA PRESUPUESTAL]],'Cost Report'!G:G,1,0),"Balance")</f>
        <v>5018-008</v>
      </c>
      <c r="AC559" s="118"/>
      <c r="AD559" s="159">
        <f>+Table1[[#This Row],[SUBTOTAL]]+Table1[[#This Row],[IVA]]-Table1[[#This Row],[RET IVA]]-Table1[[#This Row],[RET ISR]]-Table1[[#This Row],[TOTAL]]</f>
        <v>0</v>
      </c>
      <c r="AE559" s="152"/>
      <c r="AF559" s="153"/>
      <c r="AG559" s="126"/>
      <c r="AH559" s="115"/>
      <c r="AK559" s="306" t="str">
        <f>IF(ISNUMBER(Table1[[#This Row],[FECHA DE RECIBIDO]]), Table1[[#This Row],[FECHA DE RECIBIDO]]-DATE(2023,8,30), "")</f>
        <v/>
      </c>
    </row>
    <row r="560" spans="1:37" ht="15" customHeight="1">
      <c r="A560" s="150"/>
      <c r="B560" s="151"/>
      <c r="C560" s="126" t="s">
        <v>3029</v>
      </c>
      <c r="D560">
        <v>338</v>
      </c>
      <c r="E560" s="126" t="s">
        <v>2001</v>
      </c>
      <c r="F560" s="122" t="s">
        <v>1607</v>
      </c>
      <c r="G560" s="122" t="s">
        <v>134</v>
      </c>
      <c r="H560">
        <v>121</v>
      </c>
      <c r="I560" s="122" t="s">
        <v>1546</v>
      </c>
      <c r="J560" s="307" t="s">
        <v>214</v>
      </c>
      <c r="K560" s="127" t="s">
        <v>1785</v>
      </c>
      <c r="L560" s="151" t="s">
        <v>118</v>
      </c>
      <c r="M560">
        <v>159</v>
      </c>
      <c r="N560" s="123">
        <v>1</v>
      </c>
      <c r="O560">
        <v>362</v>
      </c>
      <c r="P560" s="132" t="s">
        <v>77</v>
      </c>
      <c r="Q560" s="131">
        <v>12000</v>
      </c>
      <c r="R560" s="131">
        <f t="shared" si="11"/>
        <v>1920</v>
      </c>
      <c r="S560" s="131"/>
      <c r="T560" s="155">
        <v>0</v>
      </c>
      <c r="U560" s="131">
        <v>0</v>
      </c>
      <c r="V560" s="131">
        <f t="shared" si="10"/>
        <v>13920</v>
      </c>
      <c r="W560">
        <v>83</v>
      </c>
      <c r="X560" s="151" t="s">
        <v>195</v>
      </c>
      <c r="Y560" s="135" t="s">
        <v>55</v>
      </c>
      <c r="Z560" s="307">
        <v>198</v>
      </c>
      <c r="AB560" t="str">
        <f>IF(Table1[[#This Row],[TIPO2]]="costo", VLOOKUP(Table1[[#This Row],[PARTIDA PRESUPUESTAL]],'Cost Report'!G:G,1,0),"Balance")</f>
        <v>5022-049</v>
      </c>
      <c r="AC560" s="118"/>
      <c r="AD560" s="159">
        <f>+Table1[[#This Row],[SUBTOTAL]]+Table1[[#This Row],[IVA]]-Table1[[#This Row],[RET IVA]]-Table1[[#This Row],[RET ISR]]-Table1[[#This Row],[TOTAL]]</f>
        <v>0</v>
      </c>
      <c r="AE560" s="150"/>
      <c r="AF560" s="151"/>
      <c r="AG560" s="126"/>
      <c r="AH560" s="115"/>
      <c r="AK560" s="306" t="str">
        <f>IF(ISNUMBER(Table1[[#This Row],[FECHA DE RECIBIDO]]), Table1[[#This Row],[FECHA DE RECIBIDO]]-DATE(2023,8,30), "")</f>
        <v/>
      </c>
    </row>
    <row r="561" spans="1:37" ht="15" customHeight="1">
      <c r="A561" s="152"/>
      <c r="B561" s="153"/>
      <c r="C561" s="126" t="s">
        <v>3031</v>
      </c>
      <c r="D561">
        <v>338</v>
      </c>
      <c r="E561" s="126" t="s">
        <v>2001</v>
      </c>
      <c r="F561" s="125" t="s">
        <v>1607</v>
      </c>
      <c r="G561" s="125" t="s">
        <v>134</v>
      </c>
      <c r="H561">
        <v>121</v>
      </c>
      <c r="I561" s="125" t="s">
        <v>1546</v>
      </c>
      <c r="J561" s="308" t="s">
        <v>214</v>
      </c>
      <c r="K561" s="127" t="s">
        <v>1785</v>
      </c>
      <c r="L561" s="153" t="s">
        <v>118</v>
      </c>
      <c r="M561">
        <v>159</v>
      </c>
      <c r="N561" s="123">
        <v>1</v>
      </c>
      <c r="O561">
        <v>362</v>
      </c>
      <c r="P561" s="132" t="s">
        <v>77</v>
      </c>
      <c r="Q561" s="132">
        <v>5000</v>
      </c>
      <c r="R561" s="132">
        <f t="shared" si="11"/>
        <v>800</v>
      </c>
      <c r="S561" s="132"/>
      <c r="T561" s="156">
        <v>0</v>
      </c>
      <c r="U561" s="132">
        <v>0</v>
      </c>
      <c r="V561" s="132">
        <f t="shared" si="10"/>
        <v>5800</v>
      </c>
      <c r="W561">
        <v>83</v>
      </c>
      <c r="X561" s="153" t="s">
        <v>195</v>
      </c>
      <c r="Y561" s="124" t="s">
        <v>55</v>
      </c>
      <c r="Z561" s="308">
        <v>198</v>
      </c>
      <c r="AB561" t="str">
        <f>IF(Table1[[#This Row],[TIPO2]]="costo", VLOOKUP(Table1[[#This Row],[PARTIDA PRESUPUESTAL]],'Cost Report'!G:G,1,0),"Balance")</f>
        <v>5022-053</v>
      </c>
      <c r="AC561" s="118"/>
      <c r="AD561" s="159">
        <f>+Table1[[#This Row],[SUBTOTAL]]+Table1[[#This Row],[IVA]]-Table1[[#This Row],[RET IVA]]-Table1[[#This Row],[RET ISR]]-Table1[[#This Row],[TOTAL]]</f>
        <v>0</v>
      </c>
      <c r="AE561" s="152"/>
      <c r="AF561" s="153"/>
      <c r="AG561" s="126"/>
      <c r="AH561" s="115"/>
      <c r="AK561" s="306" t="str">
        <f>IF(ISNUMBER(Table1[[#This Row],[FECHA DE RECIBIDO]]), Table1[[#This Row],[FECHA DE RECIBIDO]]-DATE(2023,8,30), "")</f>
        <v/>
      </c>
    </row>
    <row r="562" spans="1:37" ht="15" customHeight="1">
      <c r="A562" s="150"/>
      <c r="B562" s="151"/>
      <c r="C562" s="126" t="s">
        <v>3053</v>
      </c>
      <c r="D562">
        <v>338</v>
      </c>
      <c r="E562" s="126" t="s">
        <v>2001</v>
      </c>
      <c r="F562" s="122" t="s">
        <v>1607</v>
      </c>
      <c r="G562" s="122" t="s">
        <v>134</v>
      </c>
      <c r="H562">
        <v>121</v>
      </c>
      <c r="I562" s="122" t="s">
        <v>1546</v>
      </c>
      <c r="J562" s="307" t="s">
        <v>214</v>
      </c>
      <c r="K562" s="127" t="s">
        <v>1785</v>
      </c>
      <c r="L562" s="151" t="s">
        <v>118</v>
      </c>
      <c r="M562">
        <v>159</v>
      </c>
      <c r="N562" s="123">
        <v>1</v>
      </c>
      <c r="O562">
        <v>362</v>
      </c>
      <c r="P562" s="132" t="s">
        <v>77</v>
      </c>
      <c r="Q562" s="131">
        <v>3000</v>
      </c>
      <c r="R562" s="131">
        <f t="shared" si="11"/>
        <v>480</v>
      </c>
      <c r="S562" s="131"/>
      <c r="T562" s="155">
        <v>0</v>
      </c>
      <c r="U562" s="131">
        <v>0</v>
      </c>
      <c r="V562" s="131">
        <f t="shared" si="10"/>
        <v>3480</v>
      </c>
      <c r="W562">
        <v>83</v>
      </c>
      <c r="X562" s="151" t="s">
        <v>195</v>
      </c>
      <c r="Y562" s="135" t="s">
        <v>55</v>
      </c>
      <c r="Z562" s="307">
        <v>198</v>
      </c>
      <c r="AB562" t="str">
        <f>IF(Table1[[#This Row],[TIPO2]]="costo", VLOOKUP(Table1[[#This Row],[PARTIDA PRESUPUESTAL]],'Cost Report'!G:G,1,0),"Balance")</f>
        <v>5202-008</v>
      </c>
      <c r="AC562" s="118"/>
      <c r="AD562" s="159">
        <f>+Table1[[#This Row],[SUBTOTAL]]+Table1[[#This Row],[IVA]]-Table1[[#This Row],[RET IVA]]-Table1[[#This Row],[RET ISR]]-Table1[[#This Row],[TOTAL]]</f>
        <v>0</v>
      </c>
      <c r="AE562" s="150"/>
      <c r="AF562" s="151"/>
      <c r="AG562" s="126"/>
      <c r="AH562" s="115"/>
      <c r="AK562" s="306" t="str">
        <f>IF(ISNUMBER(Table1[[#This Row],[FECHA DE RECIBIDO]]), Table1[[#This Row],[FECHA DE RECIBIDO]]-DATE(2023,8,30), "")</f>
        <v/>
      </c>
    </row>
    <row r="563" spans="1:37" ht="15" customHeight="1">
      <c r="A563" s="152"/>
      <c r="B563" s="153"/>
      <c r="C563" s="126" t="s">
        <v>3061</v>
      </c>
      <c r="D563">
        <v>338</v>
      </c>
      <c r="E563" s="126" t="s">
        <v>2001</v>
      </c>
      <c r="F563" s="125" t="s">
        <v>1607</v>
      </c>
      <c r="G563" s="125" t="s">
        <v>134</v>
      </c>
      <c r="H563">
        <v>121</v>
      </c>
      <c r="I563" s="125" t="s">
        <v>1546</v>
      </c>
      <c r="J563" s="308" t="s">
        <v>214</v>
      </c>
      <c r="K563" s="127" t="s">
        <v>1785</v>
      </c>
      <c r="L563" s="153" t="s">
        <v>118</v>
      </c>
      <c r="M563">
        <v>159</v>
      </c>
      <c r="N563" s="123">
        <v>1</v>
      </c>
      <c r="O563">
        <v>362</v>
      </c>
      <c r="P563" s="132" t="s">
        <v>77</v>
      </c>
      <c r="Q563" s="132">
        <v>5000</v>
      </c>
      <c r="R563" s="132">
        <f t="shared" si="11"/>
        <v>800</v>
      </c>
      <c r="S563" s="132"/>
      <c r="T563" s="156">
        <v>0</v>
      </c>
      <c r="U563" s="132">
        <v>0</v>
      </c>
      <c r="V563" s="132">
        <f t="shared" si="10"/>
        <v>5800</v>
      </c>
      <c r="W563">
        <v>83</v>
      </c>
      <c r="X563" s="153" t="s">
        <v>195</v>
      </c>
      <c r="Y563" s="124" t="s">
        <v>55</v>
      </c>
      <c r="Z563" s="308">
        <v>198</v>
      </c>
      <c r="AB563" t="str">
        <f>IF(Table1[[#This Row],[TIPO2]]="costo", VLOOKUP(Table1[[#This Row],[PARTIDA PRESUPUESTAL]],'Cost Report'!G:G,1,0),"Balance")</f>
        <v>5222-015</v>
      </c>
      <c r="AC563" s="118"/>
      <c r="AD563" s="159">
        <f>+Table1[[#This Row],[SUBTOTAL]]+Table1[[#This Row],[IVA]]-Table1[[#This Row],[RET IVA]]-Table1[[#This Row],[RET ISR]]-Table1[[#This Row],[TOTAL]]</f>
        <v>0</v>
      </c>
      <c r="AE563" s="152"/>
      <c r="AF563" s="153"/>
      <c r="AG563" s="126"/>
      <c r="AH563" s="115"/>
      <c r="AK563" s="306" t="str">
        <f>IF(ISNUMBER(Table1[[#This Row],[FECHA DE RECIBIDO]]), Table1[[#This Row],[FECHA DE RECIBIDO]]-DATE(2023,8,30), "")</f>
        <v/>
      </c>
    </row>
    <row r="564" spans="1:37" ht="15" customHeight="1">
      <c r="A564" s="150"/>
      <c r="B564" s="151"/>
      <c r="C564" s="126" t="s">
        <v>3057</v>
      </c>
      <c r="D564">
        <v>338</v>
      </c>
      <c r="E564" s="126" t="s">
        <v>2001</v>
      </c>
      <c r="F564" s="122" t="s">
        <v>1607</v>
      </c>
      <c r="G564" s="122" t="s">
        <v>134</v>
      </c>
      <c r="H564">
        <v>121</v>
      </c>
      <c r="I564" s="122" t="s">
        <v>1546</v>
      </c>
      <c r="J564" s="307" t="s">
        <v>214</v>
      </c>
      <c r="K564" s="127" t="s">
        <v>1785</v>
      </c>
      <c r="L564" s="151" t="s">
        <v>118</v>
      </c>
      <c r="M564">
        <v>159</v>
      </c>
      <c r="N564" s="123">
        <v>1</v>
      </c>
      <c r="O564">
        <v>362</v>
      </c>
      <c r="P564" s="132" t="s">
        <v>77</v>
      </c>
      <c r="Q564" s="131">
        <v>5000</v>
      </c>
      <c r="R564" s="131">
        <f t="shared" si="11"/>
        <v>800</v>
      </c>
      <c r="S564" s="131"/>
      <c r="T564" s="155">
        <v>0</v>
      </c>
      <c r="U564" s="131">
        <v>0</v>
      </c>
      <c r="V564" s="131">
        <f t="shared" si="10"/>
        <v>5800</v>
      </c>
      <c r="W564">
        <v>83</v>
      </c>
      <c r="X564" s="151" t="s">
        <v>195</v>
      </c>
      <c r="Y564" s="135" t="s">
        <v>55</v>
      </c>
      <c r="Z564" s="307">
        <v>198</v>
      </c>
      <c r="AB564" t="str">
        <f>IF(Table1[[#This Row],[TIPO2]]="costo", VLOOKUP(Table1[[#This Row],[PARTIDA PRESUPUESTAL]],'Cost Report'!G:G,1,0),"Balance")</f>
        <v>5207-008</v>
      </c>
      <c r="AC564" s="118"/>
      <c r="AD564" s="159">
        <f>+Table1[[#This Row],[SUBTOTAL]]+Table1[[#This Row],[IVA]]-Table1[[#This Row],[RET IVA]]-Table1[[#This Row],[RET ISR]]-Table1[[#This Row],[TOTAL]]</f>
        <v>0</v>
      </c>
      <c r="AE564" s="150"/>
      <c r="AF564" s="151"/>
      <c r="AG564" s="126"/>
      <c r="AH564" s="115"/>
      <c r="AK564" s="306" t="str">
        <f>IF(ISNUMBER(Table1[[#This Row],[FECHA DE RECIBIDO]]), Table1[[#This Row],[FECHA DE RECIBIDO]]-DATE(2023,8,30), "")</f>
        <v/>
      </c>
    </row>
    <row r="565" spans="1:37" ht="15" customHeight="1">
      <c r="A565" s="152" t="s">
        <v>1979</v>
      </c>
      <c r="B565" s="153">
        <v>245</v>
      </c>
      <c r="C565" s="126" t="s">
        <v>69</v>
      </c>
      <c r="D565"/>
      <c r="E565" s="126" t="s">
        <v>1911</v>
      </c>
      <c r="F565" s="125" t="s">
        <v>1911</v>
      </c>
      <c r="G565" s="125" t="s">
        <v>1911</v>
      </c>
      <c r="H565"/>
      <c r="I565" s="125" t="s">
        <v>1911</v>
      </c>
      <c r="J565" s="308" t="s">
        <v>214</v>
      </c>
      <c r="K565" s="127" t="s">
        <v>1785</v>
      </c>
      <c r="L565" s="153" t="s">
        <v>118</v>
      </c>
      <c r="M565">
        <v>160</v>
      </c>
      <c r="N565" s="123">
        <v>1</v>
      </c>
      <c r="O565">
        <v>363</v>
      </c>
      <c r="P565" s="131" t="s">
        <v>78</v>
      </c>
      <c r="Q565" s="236">
        <v>14000</v>
      </c>
      <c r="R565" s="132">
        <v>0</v>
      </c>
      <c r="S565" s="132">
        <v>0</v>
      </c>
      <c r="T565" s="156">
        <v>0</v>
      </c>
      <c r="U565" s="132">
        <v>0</v>
      </c>
      <c r="V565" s="132">
        <f>Q565</f>
        <v>14000</v>
      </c>
      <c r="W565">
        <v>84</v>
      </c>
      <c r="X565" s="153" t="s">
        <v>1980</v>
      </c>
      <c r="Y565" s="124" t="s">
        <v>55</v>
      </c>
      <c r="Z565" s="308">
        <v>198</v>
      </c>
      <c r="AB565" t="str">
        <f>IF(Table1[[#This Row],[TIPO2]]="costo", VLOOKUP(Table1[[#This Row],[PARTIDA PRESUPUESTAL]],'Cost Report'!G:G,1,0),"Balance")</f>
        <v>Balance</v>
      </c>
      <c r="AC565" s="118"/>
      <c r="AD565" s="159">
        <f>+Table1[[#This Row],[SUBTOTAL]]+Table1[[#This Row],[IVA]]-Table1[[#This Row],[RET IVA]]-Table1[[#This Row],[RET ISR]]-Table1[[#This Row],[TOTAL]]</f>
        <v>0</v>
      </c>
      <c r="AE565" s="152"/>
      <c r="AF565" s="153"/>
      <c r="AG565" s="126"/>
      <c r="AH565" s="115"/>
      <c r="AK565" s="306" t="str">
        <f>IF(ISNUMBER(Table1[[#This Row],[FECHA DE RECIBIDO]]), Table1[[#This Row],[FECHA DE RECIBIDO]]-DATE(2023,8,30), "")</f>
        <v/>
      </c>
    </row>
    <row r="566" spans="1:37" ht="15" customHeight="1">
      <c r="A566" s="150" t="s">
        <v>1981</v>
      </c>
      <c r="B566" s="151">
        <v>246</v>
      </c>
      <c r="C566" s="126" t="s">
        <v>970</v>
      </c>
      <c r="D566">
        <v>339</v>
      </c>
      <c r="E566" s="126" t="s">
        <v>1605</v>
      </c>
      <c r="F566" s="122" t="s">
        <v>1607</v>
      </c>
      <c r="G566" s="122" t="s">
        <v>134</v>
      </c>
      <c r="H566">
        <v>84</v>
      </c>
      <c r="I566" s="122" t="s">
        <v>1546</v>
      </c>
      <c r="J566" s="307" t="s">
        <v>214</v>
      </c>
      <c r="K566" s="127" t="s">
        <v>1785</v>
      </c>
      <c r="L566" s="151" t="s">
        <v>118</v>
      </c>
      <c r="M566">
        <v>161</v>
      </c>
      <c r="N566" s="123">
        <v>1</v>
      </c>
      <c r="O566">
        <v>364</v>
      </c>
      <c r="P566" s="132" t="s">
        <v>77</v>
      </c>
      <c r="Q566" s="131">
        <v>120712.5</v>
      </c>
      <c r="R566" s="131">
        <f t="shared" ref="R566:R591" si="12">Q566*0.16</f>
        <v>19314</v>
      </c>
      <c r="S566" s="131"/>
      <c r="T566" s="155">
        <v>0</v>
      </c>
      <c r="U566" s="131">
        <v>0</v>
      </c>
      <c r="V566" s="131">
        <f t="shared" ref="V566:V587" si="13">+Q566+R566-T566-U566</f>
        <v>140026.5</v>
      </c>
      <c r="W566">
        <v>56</v>
      </c>
      <c r="X566" s="151" t="s">
        <v>1701</v>
      </c>
      <c r="Y566" s="135" t="s">
        <v>55</v>
      </c>
      <c r="Z566" s="307">
        <v>198</v>
      </c>
      <c r="AB566" t="str">
        <f>IF(Table1[[#This Row],[TIPO2]]="costo", VLOOKUP(Table1[[#This Row],[PARTIDA PRESUPUESTAL]],'Cost Report'!G:G,1,0),"Balance")</f>
        <v>3410-003</v>
      </c>
      <c r="AC566" s="118"/>
      <c r="AD566" s="159">
        <f>+Table1[[#This Row],[SUBTOTAL]]+Table1[[#This Row],[IVA]]-Table1[[#This Row],[RET IVA]]-Table1[[#This Row],[RET ISR]]-Table1[[#This Row],[TOTAL]]</f>
        <v>0</v>
      </c>
      <c r="AE566" s="150"/>
      <c r="AF566" s="151"/>
      <c r="AG566" s="126"/>
      <c r="AH566" s="115"/>
      <c r="AK566" s="306" t="str">
        <f>IF(ISNUMBER(Table1[[#This Row],[FECHA DE RECIBIDO]]), Table1[[#This Row],[FECHA DE RECIBIDO]]-DATE(2023,8,30), "")</f>
        <v/>
      </c>
    </row>
    <row r="567" spans="1:37" ht="15" customHeight="1">
      <c r="A567" s="152"/>
      <c r="B567" s="153"/>
      <c r="C567" s="126" t="s">
        <v>971</v>
      </c>
      <c r="D567">
        <v>339</v>
      </c>
      <c r="E567" s="126" t="s">
        <v>1605</v>
      </c>
      <c r="F567" s="125" t="s">
        <v>1607</v>
      </c>
      <c r="G567" s="125" t="s">
        <v>134</v>
      </c>
      <c r="H567">
        <v>84</v>
      </c>
      <c r="I567" s="125" t="s">
        <v>1546</v>
      </c>
      <c r="J567" s="308" t="s">
        <v>214</v>
      </c>
      <c r="K567" s="127" t="s">
        <v>1785</v>
      </c>
      <c r="L567" s="153" t="s">
        <v>118</v>
      </c>
      <c r="M567">
        <v>161</v>
      </c>
      <c r="N567" s="123">
        <v>1</v>
      </c>
      <c r="O567">
        <v>364</v>
      </c>
      <c r="P567" s="132" t="s">
        <v>77</v>
      </c>
      <c r="Q567" s="132">
        <v>120712.5</v>
      </c>
      <c r="R567" s="132">
        <f t="shared" si="12"/>
        <v>19314</v>
      </c>
      <c r="S567" s="132"/>
      <c r="T567" s="156">
        <v>0</v>
      </c>
      <c r="U567" s="132">
        <v>0</v>
      </c>
      <c r="V567" s="132">
        <f t="shared" si="13"/>
        <v>140026.5</v>
      </c>
      <c r="W567">
        <v>56</v>
      </c>
      <c r="X567" s="153" t="s">
        <v>1701</v>
      </c>
      <c r="Y567" s="124" t="s">
        <v>55</v>
      </c>
      <c r="Z567" s="308">
        <v>198</v>
      </c>
      <c r="AB567" t="str">
        <f>IF(Table1[[#This Row],[TIPO2]]="costo", VLOOKUP(Table1[[#This Row],[PARTIDA PRESUPUESTAL]],'Cost Report'!G:G,1,0),"Balance")</f>
        <v>3410-004</v>
      </c>
      <c r="AC567" s="118"/>
      <c r="AD567" s="159">
        <f>+Table1[[#This Row],[SUBTOTAL]]+Table1[[#This Row],[IVA]]-Table1[[#This Row],[RET IVA]]-Table1[[#This Row],[RET ISR]]-Table1[[#This Row],[TOTAL]]</f>
        <v>0</v>
      </c>
      <c r="AE567" s="152"/>
      <c r="AF567" s="153"/>
      <c r="AG567" s="126"/>
      <c r="AH567" s="115"/>
      <c r="AK567" s="306" t="str">
        <f>IF(ISNUMBER(Table1[[#This Row],[FECHA DE RECIBIDO]]), Table1[[#This Row],[FECHA DE RECIBIDO]]-DATE(2023,8,30), "")</f>
        <v/>
      </c>
    </row>
    <row r="568" spans="1:37" ht="15" customHeight="1">
      <c r="A568" s="150"/>
      <c r="B568" s="151"/>
      <c r="C568" s="126" t="s">
        <v>972</v>
      </c>
      <c r="D568">
        <v>339</v>
      </c>
      <c r="E568" s="126" t="s">
        <v>1605</v>
      </c>
      <c r="F568" s="122" t="s">
        <v>1607</v>
      </c>
      <c r="G568" s="122" t="s">
        <v>134</v>
      </c>
      <c r="H568">
        <v>84</v>
      </c>
      <c r="I568" s="122" t="s">
        <v>1546</v>
      </c>
      <c r="J568" s="307" t="s">
        <v>214</v>
      </c>
      <c r="K568" s="127" t="s">
        <v>1785</v>
      </c>
      <c r="L568" s="151" t="s">
        <v>118</v>
      </c>
      <c r="M568">
        <v>161</v>
      </c>
      <c r="N568" s="123">
        <v>1</v>
      </c>
      <c r="O568">
        <v>364</v>
      </c>
      <c r="P568" s="132" t="s">
        <v>77</v>
      </c>
      <c r="Q568" s="131">
        <v>120712.5</v>
      </c>
      <c r="R568" s="131">
        <f t="shared" si="12"/>
        <v>19314</v>
      </c>
      <c r="S568" s="131"/>
      <c r="T568" s="155">
        <v>0</v>
      </c>
      <c r="U568" s="131">
        <v>0</v>
      </c>
      <c r="V568" s="131">
        <f t="shared" si="13"/>
        <v>140026.5</v>
      </c>
      <c r="W568">
        <v>56</v>
      </c>
      <c r="X568" s="151" t="s">
        <v>1701</v>
      </c>
      <c r="Y568" s="135" t="s">
        <v>55</v>
      </c>
      <c r="Z568" s="307">
        <v>198</v>
      </c>
      <c r="AB568" t="str">
        <f>IF(Table1[[#This Row],[TIPO2]]="costo", VLOOKUP(Table1[[#This Row],[PARTIDA PRESUPUESTAL]],'Cost Report'!G:G,1,0),"Balance")</f>
        <v>3410-005</v>
      </c>
      <c r="AC568" s="118"/>
      <c r="AD568" s="159">
        <f>+Table1[[#This Row],[SUBTOTAL]]+Table1[[#This Row],[IVA]]-Table1[[#This Row],[RET IVA]]-Table1[[#This Row],[RET ISR]]-Table1[[#This Row],[TOTAL]]</f>
        <v>0</v>
      </c>
      <c r="AE568" s="150"/>
      <c r="AF568" s="151"/>
      <c r="AG568" s="126"/>
      <c r="AH568" s="115"/>
      <c r="AK568" s="306" t="str">
        <f>IF(ISNUMBER(Table1[[#This Row],[FECHA DE RECIBIDO]]), Table1[[#This Row],[FECHA DE RECIBIDO]]-DATE(2023,8,30), "")</f>
        <v/>
      </c>
    </row>
    <row r="569" spans="1:37" ht="15" customHeight="1">
      <c r="A569" s="152"/>
      <c r="B569" s="153"/>
      <c r="C569" s="126" t="s">
        <v>973</v>
      </c>
      <c r="D569">
        <v>339</v>
      </c>
      <c r="E569" s="126" t="s">
        <v>1605</v>
      </c>
      <c r="F569" s="125" t="s">
        <v>1607</v>
      </c>
      <c r="G569" s="125" t="s">
        <v>134</v>
      </c>
      <c r="H569">
        <v>84</v>
      </c>
      <c r="I569" s="125" t="s">
        <v>1546</v>
      </c>
      <c r="J569" s="308" t="s">
        <v>214</v>
      </c>
      <c r="K569" s="127" t="s">
        <v>1785</v>
      </c>
      <c r="L569" s="153" t="s">
        <v>118</v>
      </c>
      <c r="M569">
        <v>161</v>
      </c>
      <c r="N569" s="123">
        <v>1</v>
      </c>
      <c r="O569">
        <v>364</v>
      </c>
      <c r="P569" s="132" t="s">
        <v>77</v>
      </c>
      <c r="Q569" s="132">
        <v>120712.5</v>
      </c>
      <c r="R569" s="132">
        <f t="shared" si="12"/>
        <v>19314</v>
      </c>
      <c r="S569" s="132"/>
      <c r="T569" s="156">
        <v>0</v>
      </c>
      <c r="U569" s="132">
        <v>0</v>
      </c>
      <c r="V569" s="132">
        <f t="shared" si="13"/>
        <v>140026.5</v>
      </c>
      <c r="W569">
        <v>56</v>
      </c>
      <c r="X569" s="153" t="s">
        <v>1701</v>
      </c>
      <c r="Y569" s="124" t="s">
        <v>55</v>
      </c>
      <c r="Z569" s="308">
        <v>198</v>
      </c>
      <c r="AB569" t="str">
        <f>IF(Table1[[#This Row],[TIPO2]]="costo", VLOOKUP(Table1[[#This Row],[PARTIDA PRESUPUESTAL]],'Cost Report'!G:G,1,0),"Balance")</f>
        <v>3410-006</v>
      </c>
      <c r="AC569" s="118"/>
      <c r="AD569" s="159">
        <f>+Table1[[#This Row],[SUBTOTAL]]+Table1[[#This Row],[IVA]]-Table1[[#This Row],[RET IVA]]-Table1[[#This Row],[RET ISR]]-Table1[[#This Row],[TOTAL]]</f>
        <v>0</v>
      </c>
      <c r="AE569" s="152"/>
      <c r="AF569" s="153"/>
      <c r="AG569" s="126"/>
      <c r="AH569" s="115"/>
      <c r="AK569" s="306" t="str">
        <f>IF(ISNUMBER(Table1[[#This Row],[FECHA DE RECIBIDO]]), Table1[[#This Row],[FECHA DE RECIBIDO]]-DATE(2023,8,30), "")</f>
        <v/>
      </c>
    </row>
    <row r="570" spans="1:37" ht="15" customHeight="1">
      <c r="A570" s="150"/>
      <c r="B570" s="151"/>
      <c r="C570" s="126" t="s">
        <v>974</v>
      </c>
      <c r="D570">
        <v>339</v>
      </c>
      <c r="E570" s="126" t="s">
        <v>1605</v>
      </c>
      <c r="F570" s="122" t="s">
        <v>1607</v>
      </c>
      <c r="G570" s="122" t="s">
        <v>134</v>
      </c>
      <c r="H570">
        <v>84</v>
      </c>
      <c r="I570" s="122" t="s">
        <v>1546</v>
      </c>
      <c r="J570" s="307" t="s">
        <v>214</v>
      </c>
      <c r="K570" s="127" t="s">
        <v>1785</v>
      </c>
      <c r="L570" s="151" t="s">
        <v>118</v>
      </c>
      <c r="M570">
        <v>161</v>
      </c>
      <c r="N570" s="123">
        <v>1</v>
      </c>
      <c r="O570">
        <v>364</v>
      </c>
      <c r="P570" s="132" t="s">
        <v>77</v>
      </c>
      <c r="Q570" s="131">
        <v>120712.5</v>
      </c>
      <c r="R570" s="131">
        <f t="shared" si="12"/>
        <v>19314</v>
      </c>
      <c r="S570" s="131"/>
      <c r="T570" s="155">
        <v>0</v>
      </c>
      <c r="U570" s="131">
        <v>0</v>
      </c>
      <c r="V570" s="131">
        <f t="shared" si="13"/>
        <v>140026.5</v>
      </c>
      <c r="W570">
        <v>56</v>
      </c>
      <c r="X570" s="151" t="s">
        <v>1701</v>
      </c>
      <c r="Y570" s="135" t="s">
        <v>55</v>
      </c>
      <c r="Z570" s="307">
        <v>198</v>
      </c>
      <c r="AB570" t="str">
        <f>IF(Table1[[#This Row],[TIPO2]]="costo", VLOOKUP(Table1[[#This Row],[PARTIDA PRESUPUESTAL]],'Cost Report'!G:G,1,0),"Balance")</f>
        <v>3410-007</v>
      </c>
      <c r="AC570" s="118"/>
      <c r="AD570" s="159">
        <f>+Table1[[#This Row],[SUBTOTAL]]+Table1[[#This Row],[IVA]]-Table1[[#This Row],[RET IVA]]-Table1[[#This Row],[RET ISR]]-Table1[[#This Row],[TOTAL]]</f>
        <v>0</v>
      </c>
      <c r="AE570" s="150"/>
      <c r="AF570" s="151"/>
      <c r="AG570" s="126"/>
      <c r="AH570" s="115"/>
      <c r="AK570" s="306" t="str">
        <f>IF(ISNUMBER(Table1[[#This Row],[FECHA DE RECIBIDO]]), Table1[[#This Row],[FECHA DE RECIBIDO]]-DATE(2023,8,30), "")</f>
        <v/>
      </c>
    </row>
    <row r="571" spans="1:37" ht="15" customHeight="1">
      <c r="A571" s="152"/>
      <c r="B571" s="153"/>
      <c r="C571" s="126" t="s">
        <v>972</v>
      </c>
      <c r="D571">
        <v>339</v>
      </c>
      <c r="E571" s="126" t="s">
        <v>1605</v>
      </c>
      <c r="F571" s="125" t="s">
        <v>1607</v>
      </c>
      <c r="G571" s="125" t="s">
        <v>134</v>
      </c>
      <c r="H571">
        <v>84</v>
      </c>
      <c r="I571" s="125" t="s">
        <v>1546</v>
      </c>
      <c r="J571" s="308" t="s">
        <v>214</v>
      </c>
      <c r="K571" s="127" t="s">
        <v>1785</v>
      </c>
      <c r="L571" s="153" t="s">
        <v>118</v>
      </c>
      <c r="M571">
        <v>161</v>
      </c>
      <c r="N571" s="123">
        <v>1</v>
      </c>
      <c r="O571">
        <v>364</v>
      </c>
      <c r="P571" s="132" t="s">
        <v>77</v>
      </c>
      <c r="Q571" s="132">
        <v>120712.5</v>
      </c>
      <c r="R571" s="132">
        <f t="shared" si="12"/>
        <v>19314</v>
      </c>
      <c r="S571" s="132"/>
      <c r="T571" s="156">
        <v>0</v>
      </c>
      <c r="U571" s="132">
        <v>0</v>
      </c>
      <c r="V571" s="132">
        <f t="shared" si="13"/>
        <v>140026.5</v>
      </c>
      <c r="W571">
        <v>56</v>
      </c>
      <c r="X571" s="153" t="s">
        <v>1701</v>
      </c>
      <c r="Y571" s="124" t="s">
        <v>55</v>
      </c>
      <c r="Z571" s="308">
        <v>198</v>
      </c>
      <c r="AB571" t="str">
        <f>IF(Table1[[#This Row],[TIPO2]]="costo", VLOOKUP(Table1[[#This Row],[PARTIDA PRESUPUESTAL]],'Cost Report'!G:G,1,0),"Balance")</f>
        <v>3410-005</v>
      </c>
      <c r="AC571" s="118"/>
      <c r="AD571" s="159">
        <f>+Table1[[#This Row],[SUBTOTAL]]+Table1[[#This Row],[IVA]]-Table1[[#This Row],[RET IVA]]-Table1[[#This Row],[RET ISR]]-Table1[[#This Row],[TOTAL]]</f>
        <v>0</v>
      </c>
      <c r="AE571" s="152"/>
      <c r="AF571" s="153"/>
      <c r="AG571" s="126"/>
      <c r="AH571" s="115"/>
      <c r="AK571" s="306" t="str">
        <f>IF(ISNUMBER(Table1[[#This Row],[FECHA DE RECIBIDO]]), Table1[[#This Row],[FECHA DE RECIBIDO]]-DATE(2023,8,30), "")</f>
        <v/>
      </c>
    </row>
    <row r="572" spans="1:37" ht="15" customHeight="1">
      <c r="A572" s="150"/>
      <c r="B572" s="151"/>
      <c r="C572" s="126" t="s">
        <v>972</v>
      </c>
      <c r="D572">
        <v>339</v>
      </c>
      <c r="E572" s="126" t="s">
        <v>1605</v>
      </c>
      <c r="F572" s="122" t="s">
        <v>1607</v>
      </c>
      <c r="G572" s="122" t="s">
        <v>134</v>
      </c>
      <c r="H572">
        <v>84</v>
      </c>
      <c r="I572" s="122" t="s">
        <v>1546</v>
      </c>
      <c r="J572" s="307" t="s">
        <v>214</v>
      </c>
      <c r="K572" s="127" t="s">
        <v>1785</v>
      </c>
      <c r="L572" s="151" t="s">
        <v>118</v>
      </c>
      <c r="M572">
        <v>161</v>
      </c>
      <c r="N572" s="123">
        <v>1</v>
      </c>
      <c r="O572">
        <v>364</v>
      </c>
      <c r="P572" s="132" t="s">
        <v>77</v>
      </c>
      <c r="Q572" s="131">
        <v>120712.5</v>
      </c>
      <c r="R572" s="131">
        <f t="shared" si="12"/>
        <v>19314</v>
      </c>
      <c r="S572" s="131"/>
      <c r="T572" s="155">
        <v>0</v>
      </c>
      <c r="U572" s="131">
        <v>0</v>
      </c>
      <c r="V572" s="131">
        <f t="shared" si="13"/>
        <v>140026.5</v>
      </c>
      <c r="W572">
        <v>56</v>
      </c>
      <c r="X572" s="151" t="s">
        <v>1701</v>
      </c>
      <c r="Y572" s="135" t="s">
        <v>55</v>
      </c>
      <c r="Z572" s="307">
        <v>198</v>
      </c>
      <c r="AB572" t="str">
        <f>IF(Table1[[#This Row],[TIPO2]]="costo", VLOOKUP(Table1[[#This Row],[PARTIDA PRESUPUESTAL]],'Cost Report'!G:G,1,0),"Balance")</f>
        <v>3410-005</v>
      </c>
      <c r="AC572" s="118"/>
      <c r="AD572" s="159">
        <f>+Table1[[#This Row],[SUBTOTAL]]+Table1[[#This Row],[IVA]]-Table1[[#This Row],[RET IVA]]-Table1[[#This Row],[RET ISR]]-Table1[[#This Row],[TOTAL]]</f>
        <v>0</v>
      </c>
      <c r="AE572" s="150"/>
      <c r="AF572" s="151"/>
      <c r="AG572" s="126"/>
      <c r="AH572" s="115"/>
      <c r="AK572" s="306" t="str">
        <f>IF(ISNUMBER(Table1[[#This Row],[FECHA DE RECIBIDO]]), Table1[[#This Row],[FECHA DE RECIBIDO]]-DATE(2023,8,30), "")</f>
        <v/>
      </c>
    </row>
    <row r="573" spans="1:37" ht="15" customHeight="1">
      <c r="A573" s="152"/>
      <c r="B573" s="153"/>
      <c r="C573" s="126" t="s">
        <v>2792</v>
      </c>
      <c r="D573">
        <v>339</v>
      </c>
      <c r="E573" s="126" t="s">
        <v>1605</v>
      </c>
      <c r="F573" s="125" t="s">
        <v>1607</v>
      </c>
      <c r="G573" s="125" t="s">
        <v>134</v>
      </c>
      <c r="H573">
        <v>84</v>
      </c>
      <c r="I573" s="125" t="s">
        <v>1546</v>
      </c>
      <c r="J573" s="308" t="s">
        <v>214</v>
      </c>
      <c r="K573" s="127" t="s">
        <v>1785</v>
      </c>
      <c r="L573" s="153" t="s">
        <v>118</v>
      </c>
      <c r="M573">
        <v>161</v>
      </c>
      <c r="N573" s="123">
        <v>1</v>
      </c>
      <c r="O573">
        <v>364</v>
      </c>
      <c r="P573" s="132" t="s">
        <v>77</v>
      </c>
      <c r="Q573" s="132">
        <v>120712.5</v>
      </c>
      <c r="R573" s="132">
        <f t="shared" si="12"/>
        <v>19314</v>
      </c>
      <c r="S573" s="132"/>
      <c r="T573" s="156">
        <v>0</v>
      </c>
      <c r="U573" s="132">
        <v>0</v>
      </c>
      <c r="V573" s="132">
        <f t="shared" si="13"/>
        <v>140026.5</v>
      </c>
      <c r="W573">
        <v>56</v>
      </c>
      <c r="X573" s="153" t="s">
        <v>1701</v>
      </c>
      <c r="Y573" s="124" t="s">
        <v>55</v>
      </c>
      <c r="Z573" s="308">
        <v>198</v>
      </c>
      <c r="AB573" t="str">
        <f>IF(Table1[[#This Row],[TIPO2]]="costo", VLOOKUP(Table1[[#This Row],[PARTIDA PRESUPUESTAL]],'Cost Report'!G:G,1,0),"Balance")</f>
        <v>3410-020</v>
      </c>
      <c r="AC573" s="118"/>
      <c r="AD573" s="159">
        <f>+Table1[[#This Row],[SUBTOTAL]]+Table1[[#This Row],[IVA]]-Table1[[#This Row],[RET IVA]]-Table1[[#This Row],[RET ISR]]-Table1[[#This Row],[TOTAL]]</f>
        <v>0</v>
      </c>
      <c r="AE573" s="152"/>
      <c r="AF573" s="153"/>
      <c r="AG573" s="126"/>
      <c r="AH573" s="115"/>
      <c r="AK573" s="306" t="str">
        <f>IF(ISNUMBER(Table1[[#This Row],[FECHA DE RECIBIDO]]), Table1[[#This Row],[FECHA DE RECIBIDO]]-DATE(2023,8,30), "")</f>
        <v/>
      </c>
    </row>
    <row r="574" spans="1:37" ht="15" customHeight="1">
      <c r="A574" s="150"/>
      <c r="B574" s="151"/>
      <c r="C574" s="126" t="s">
        <v>2793</v>
      </c>
      <c r="D574">
        <v>339</v>
      </c>
      <c r="E574" s="126" t="s">
        <v>1605</v>
      </c>
      <c r="F574" s="122" t="s">
        <v>1607</v>
      </c>
      <c r="G574" s="122" t="s">
        <v>134</v>
      </c>
      <c r="H574">
        <v>84</v>
      </c>
      <c r="I574" s="122" t="s">
        <v>1546</v>
      </c>
      <c r="J574" s="307" t="s">
        <v>214</v>
      </c>
      <c r="K574" s="127" t="s">
        <v>1785</v>
      </c>
      <c r="L574" s="151" t="s">
        <v>118</v>
      </c>
      <c r="M574">
        <v>161</v>
      </c>
      <c r="N574" s="123">
        <v>1</v>
      </c>
      <c r="O574">
        <v>364</v>
      </c>
      <c r="P574" s="132" t="s">
        <v>77</v>
      </c>
      <c r="Q574" s="131">
        <v>120712.5</v>
      </c>
      <c r="R574" s="131">
        <f t="shared" si="12"/>
        <v>19314</v>
      </c>
      <c r="S574" s="131"/>
      <c r="T574" s="155">
        <v>0</v>
      </c>
      <c r="U574" s="131">
        <v>0</v>
      </c>
      <c r="V574" s="131">
        <f t="shared" si="13"/>
        <v>140026.5</v>
      </c>
      <c r="W574">
        <v>56</v>
      </c>
      <c r="X574" s="151" t="s">
        <v>1701</v>
      </c>
      <c r="Y574" s="135" t="s">
        <v>55</v>
      </c>
      <c r="Z574" s="307">
        <v>198</v>
      </c>
      <c r="AB574" t="str">
        <f>IF(Table1[[#This Row],[TIPO2]]="costo", VLOOKUP(Table1[[#This Row],[PARTIDA PRESUPUESTAL]],'Cost Report'!G:G,1,0),"Balance")</f>
        <v>3410-021</v>
      </c>
      <c r="AC574" s="118"/>
      <c r="AD574" s="159">
        <f>+Table1[[#This Row],[SUBTOTAL]]+Table1[[#This Row],[IVA]]-Table1[[#This Row],[RET IVA]]-Table1[[#This Row],[RET ISR]]-Table1[[#This Row],[TOTAL]]</f>
        <v>0</v>
      </c>
      <c r="AE574" s="150"/>
      <c r="AF574" s="151"/>
      <c r="AG574" s="126"/>
      <c r="AH574" s="115"/>
      <c r="AK574" s="306" t="str">
        <f>IF(ISNUMBER(Table1[[#This Row],[FECHA DE RECIBIDO]]), Table1[[#This Row],[FECHA DE RECIBIDO]]-DATE(2023,8,30), "")</f>
        <v/>
      </c>
    </row>
    <row r="575" spans="1:37" ht="15" customHeight="1">
      <c r="A575" s="152"/>
      <c r="B575" s="153">
        <v>247</v>
      </c>
      <c r="C575" s="126" t="s">
        <v>970</v>
      </c>
      <c r="D575">
        <v>340</v>
      </c>
      <c r="E575" s="126" t="s">
        <v>1605</v>
      </c>
      <c r="F575" s="125" t="s">
        <v>1607</v>
      </c>
      <c r="G575" s="125" t="s">
        <v>134</v>
      </c>
      <c r="H575">
        <v>84</v>
      </c>
      <c r="I575" s="125" t="s">
        <v>1546</v>
      </c>
      <c r="J575" s="308" t="s">
        <v>214</v>
      </c>
      <c r="K575" s="127" t="s">
        <v>1785</v>
      </c>
      <c r="L575" s="153" t="s">
        <v>118</v>
      </c>
      <c r="M575">
        <v>161</v>
      </c>
      <c r="N575" s="123">
        <v>1</v>
      </c>
      <c r="O575">
        <v>365</v>
      </c>
      <c r="P575" s="132" t="s">
        <v>77</v>
      </c>
      <c r="Q575" s="132">
        <v>6629.16</v>
      </c>
      <c r="R575" s="132">
        <f t="shared" si="12"/>
        <v>1060.6656</v>
      </c>
      <c r="S575" s="132"/>
      <c r="T575" s="156">
        <v>0</v>
      </c>
      <c r="U575" s="132">
        <v>0</v>
      </c>
      <c r="V575" s="132">
        <f t="shared" si="13"/>
        <v>7689.8256000000001</v>
      </c>
      <c r="W575">
        <v>56</v>
      </c>
      <c r="X575" s="153" t="s">
        <v>1701</v>
      </c>
      <c r="Y575" s="124" t="s">
        <v>55</v>
      </c>
      <c r="Z575" s="308">
        <v>198</v>
      </c>
      <c r="AB575" t="str">
        <f>IF(Table1[[#This Row],[TIPO2]]="costo", VLOOKUP(Table1[[#This Row],[PARTIDA PRESUPUESTAL]],'Cost Report'!G:G,1,0),"Balance")</f>
        <v>3410-003</v>
      </c>
      <c r="AC575" s="118"/>
      <c r="AD575" s="159">
        <f>+Table1[[#This Row],[SUBTOTAL]]+Table1[[#This Row],[IVA]]-Table1[[#This Row],[RET IVA]]-Table1[[#This Row],[RET ISR]]-Table1[[#This Row],[TOTAL]]</f>
        <v>0</v>
      </c>
      <c r="AE575" s="152"/>
      <c r="AF575" s="153"/>
      <c r="AG575" s="126"/>
      <c r="AH575" s="115"/>
      <c r="AK575" s="306" t="str">
        <f>IF(ISNUMBER(Table1[[#This Row],[FECHA DE RECIBIDO]]), Table1[[#This Row],[FECHA DE RECIBIDO]]-DATE(2023,8,30), "")</f>
        <v/>
      </c>
    </row>
    <row r="576" spans="1:37" ht="15" customHeight="1">
      <c r="A576" s="150"/>
      <c r="B576" s="151"/>
      <c r="C576" s="126" t="s">
        <v>971</v>
      </c>
      <c r="D576">
        <v>340</v>
      </c>
      <c r="E576" s="126" t="s">
        <v>1605</v>
      </c>
      <c r="F576" s="122" t="s">
        <v>1607</v>
      </c>
      <c r="G576" s="122" t="s">
        <v>134</v>
      </c>
      <c r="H576">
        <v>84</v>
      </c>
      <c r="I576" s="122" t="s">
        <v>1546</v>
      </c>
      <c r="J576" s="307" t="s">
        <v>214</v>
      </c>
      <c r="K576" s="127" t="s">
        <v>1785</v>
      </c>
      <c r="L576" s="151" t="s">
        <v>118</v>
      </c>
      <c r="M576">
        <v>161</v>
      </c>
      <c r="N576" s="123">
        <v>1</v>
      </c>
      <c r="O576">
        <v>365</v>
      </c>
      <c r="P576" s="132" t="s">
        <v>77</v>
      </c>
      <c r="Q576" s="131">
        <v>6629.16</v>
      </c>
      <c r="R576" s="131">
        <f t="shared" si="12"/>
        <v>1060.6656</v>
      </c>
      <c r="S576" s="131"/>
      <c r="T576" s="155">
        <v>0</v>
      </c>
      <c r="U576" s="131">
        <v>0</v>
      </c>
      <c r="V576" s="131">
        <f t="shared" si="13"/>
        <v>7689.8256000000001</v>
      </c>
      <c r="W576">
        <v>56</v>
      </c>
      <c r="X576" s="151" t="s">
        <v>1701</v>
      </c>
      <c r="Y576" s="135" t="s">
        <v>55</v>
      </c>
      <c r="Z576" s="307">
        <v>198</v>
      </c>
      <c r="AB576" t="str">
        <f>IF(Table1[[#This Row],[TIPO2]]="costo", VLOOKUP(Table1[[#This Row],[PARTIDA PRESUPUESTAL]],'Cost Report'!G:G,1,0),"Balance")</f>
        <v>3410-004</v>
      </c>
      <c r="AC576" s="118"/>
      <c r="AD576" s="159">
        <f>+Table1[[#This Row],[SUBTOTAL]]+Table1[[#This Row],[IVA]]-Table1[[#This Row],[RET IVA]]-Table1[[#This Row],[RET ISR]]-Table1[[#This Row],[TOTAL]]</f>
        <v>0</v>
      </c>
      <c r="AE576" s="150"/>
      <c r="AF576" s="151"/>
      <c r="AG576" s="126"/>
      <c r="AH576" s="115"/>
      <c r="AK576" s="306" t="str">
        <f>IF(ISNUMBER(Table1[[#This Row],[FECHA DE RECIBIDO]]), Table1[[#This Row],[FECHA DE RECIBIDO]]-DATE(2023,8,30), "")</f>
        <v/>
      </c>
    </row>
    <row r="577" spans="1:37" ht="15" customHeight="1">
      <c r="A577" s="152"/>
      <c r="B577" s="153"/>
      <c r="C577" s="126" t="s">
        <v>972</v>
      </c>
      <c r="D577">
        <v>340</v>
      </c>
      <c r="E577" s="126" t="s">
        <v>1605</v>
      </c>
      <c r="F577" s="125" t="s">
        <v>1607</v>
      </c>
      <c r="G577" s="125" t="s">
        <v>134</v>
      </c>
      <c r="H577">
        <v>84</v>
      </c>
      <c r="I577" s="125" t="s">
        <v>1546</v>
      </c>
      <c r="J577" s="308" t="s">
        <v>214</v>
      </c>
      <c r="K577" s="127" t="s">
        <v>1785</v>
      </c>
      <c r="L577" s="153" t="s">
        <v>118</v>
      </c>
      <c r="M577">
        <v>161</v>
      </c>
      <c r="N577" s="123">
        <v>1</v>
      </c>
      <c r="O577">
        <v>365</v>
      </c>
      <c r="P577" s="132" t="s">
        <v>77</v>
      </c>
      <c r="Q577" s="132">
        <v>6629.16</v>
      </c>
      <c r="R577" s="132">
        <f t="shared" si="12"/>
        <v>1060.6656</v>
      </c>
      <c r="S577" s="132"/>
      <c r="T577" s="156">
        <v>0</v>
      </c>
      <c r="U577" s="132">
        <v>0</v>
      </c>
      <c r="V577" s="132">
        <f t="shared" si="13"/>
        <v>7689.8256000000001</v>
      </c>
      <c r="W577">
        <v>56</v>
      </c>
      <c r="X577" s="153" t="s">
        <v>1701</v>
      </c>
      <c r="Y577" s="124" t="s">
        <v>55</v>
      </c>
      <c r="Z577" s="308">
        <v>198</v>
      </c>
      <c r="AB577" t="str">
        <f>IF(Table1[[#This Row],[TIPO2]]="costo", VLOOKUP(Table1[[#This Row],[PARTIDA PRESUPUESTAL]],'Cost Report'!G:G,1,0),"Balance")</f>
        <v>3410-005</v>
      </c>
      <c r="AC577" s="118"/>
      <c r="AD577" s="159">
        <f>+Table1[[#This Row],[SUBTOTAL]]+Table1[[#This Row],[IVA]]-Table1[[#This Row],[RET IVA]]-Table1[[#This Row],[RET ISR]]-Table1[[#This Row],[TOTAL]]</f>
        <v>0</v>
      </c>
      <c r="AE577" s="152"/>
      <c r="AF577" s="153"/>
      <c r="AG577" s="126"/>
      <c r="AH577" s="115"/>
      <c r="AK577" s="306" t="str">
        <f>IF(ISNUMBER(Table1[[#This Row],[FECHA DE RECIBIDO]]), Table1[[#This Row],[FECHA DE RECIBIDO]]-DATE(2023,8,30), "")</f>
        <v/>
      </c>
    </row>
    <row r="578" spans="1:37" ht="15" customHeight="1">
      <c r="A578" s="150"/>
      <c r="B578" s="151"/>
      <c r="C578" s="126" t="s">
        <v>973</v>
      </c>
      <c r="D578">
        <v>340</v>
      </c>
      <c r="E578" s="126" t="s">
        <v>1605</v>
      </c>
      <c r="F578" s="122" t="s">
        <v>1607</v>
      </c>
      <c r="G578" s="122" t="s">
        <v>134</v>
      </c>
      <c r="H578">
        <v>84</v>
      </c>
      <c r="I578" s="122" t="s">
        <v>1546</v>
      </c>
      <c r="J578" s="307" t="s">
        <v>214</v>
      </c>
      <c r="K578" s="127" t="s">
        <v>1785</v>
      </c>
      <c r="L578" s="151" t="s">
        <v>118</v>
      </c>
      <c r="M578">
        <v>161</v>
      </c>
      <c r="N578" s="123">
        <v>1</v>
      </c>
      <c r="O578">
        <v>365</v>
      </c>
      <c r="P578" s="132" t="s">
        <v>77</v>
      </c>
      <c r="Q578" s="131">
        <v>6629.17</v>
      </c>
      <c r="R578" s="131">
        <f t="shared" si="12"/>
        <v>1060.6672000000001</v>
      </c>
      <c r="S578" s="131"/>
      <c r="T578" s="155">
        <v>0</v>
      </c>
      <c r="U578" s="131">
        <v>0</v>
      </c>
      <c r="V578" s="131">
        <f t="shared" si="13"/>
        <v>7689.8371999999999</v>
      </c>
      <c r="W578">
        <v>56</v>
      </c>
      <c r="X578" s="151" t="s">
        <v>1701</v>
      </c>
      <c r="Y578" s="135" t="s">
        <v>55</v>
      </c>
      <c r="Z578" s="307">
        <v>198</v>
      </c>
      <c r="AB578" t="str">
        <f>IF(Table1[[#This Row],[TIPO2]]="costo", VLOOKUP(Table1[[#This Row],[PARTIDA PRESUPUESTAL]],'Cost Report'!G:G,1,0),"Balance")</f>
        <v>3410-006</v>
      </c>
      <c r="AC578" s="118"/>
      <c r="AD578" s="159">
        <f>+Table1[[#This Row],[SUBTOTAL]]+Table1[[#This Row],[IVA]]-Table1[[#This Row],[RET IVA]]-Table1[[#This Row],[RET ISR]]-Table1[[#This Row],[TOTAL]]</f>
        <v>0</v>
      </c>
      <c r="AE578" s="150"/>
      <c r="AF578" s="151"/>
      <c r="AG578" s="126"/>
      <c r="AH578" s="115"/>
      <c r="AK578" s="306" t="str">
        <f>IF(ISNUMBER(Table1[[#This Row],[FECHA DE RECIBIDO]]), Table1[[#This Row],[FECHA DE RECIBIDO]]-DATE(2023,8,30), "")</f>
        <v/>
      </c>
    </row>
    <row r="579" spans="1:37" ht="15" customHeight="1">
      <c r="A579" s="152"/>
      <c r="B579" s="153"/>
      <c r="C579" s="126" t="s">
        <v>974</v>
      </c>
      <c r="D579">
        <v>340</v>
      </c>
      <c r="E579" s="126" t="s">
        <v>1605</v>
      </c>
      <c r="F579" s="125" t="s">
        <v>1607</v>
      </c>
      <c r="G579" s="125" t="s">
        <v>134</v>
      </c>
      <c r="H579">
        <v>84</v>
      </c>
      <c r="I579" s="125" t="s">
        <v>1546</v>
      </c>
      <c r="J579" s="308" t="s">
        <v>214</v>
      </c>
      <c r="K579" s="127" t="s">
        <v>1785</v>
      </c>
      <c r="L579" s="153" t="s">
        <v>118</v>
      </c>
      <c r="M579">
        <v>161</v>
      </c>
      <c r="N579" s="123">
        <v>1</v>
      </c>
      <c r="O579">
        <v>365</v>
      </c>
      <c r="P579" s="132" t="s">
        <v>77</v>
      </c>
      <c r="Q579" s="132">
        <v>6629.17</v>
      </c>
      <c r="R579" s="132">
        <f t="shared" si="12"/>
        <v>1060.6672000000001</v>
      </c>
      <c r="S579" s="132"/>
      <c r="T579" s="156">
        <v>0</v>
      </c>
      <c r="U579" s="132">
        <v>0</v>
      </c>
      <c r="V579" s="132">
        <f t="shared" si="13"/>
        <v>7689.8371999999999</v>
      </c>
      <c r="W579">
        <v>56</v>
      </c>
      <c r="X579" s="153" t="s">
        <v>1701</v>
      </c>
      <c r="Y579" s="124" t="s">
        <v>55</v>
      </c>
      <c r="Z579" s="308">
        <v>198</v>
      </c>
      <c r="AB579" t="str">
        <f>IF(Table1[[#This Row],[TIPO2]]="costo", VLOOKUP(Table1[[#This Row],[PARTIDA PRESUPUESTAL]],'Cost Report'!G:G,1,0),"Balance")</f>
        <v>3410-007</v>
      </c>
      <c r="AC579" s="118"/>
      <c r="AD579" s="159">
        <f>+Table1[[#This Row],[SUBTOTAL]]+Table1[[#This Row],[IVA]]-Table1[[#This Row],[RET IVA]]-Table1[[#This Row],[RET ISR]]-Table1[[#This Row],[TOTAL]]</f>
        <v>0</v>
      </c>
      <c r="AE579" s="152"/>
      <c r="AF579" s="153"/>
      <c r="AG579" s="126"/>
      <c r="AH579" s="115"/>
      <c r="AK579" s="306" t="str">
        <f>IF(ISNUMBER(Table1[[#This Row],[FECHA DE RECIBIDO]]), Table1[[#This Row],[FECHA DE RECIBIDO]]-DATE(2023,8,30), "")</f>
        <v/>
      </c>
    </row>
    <row r="580" spans="1:37" ht="15" customHeight="1">
      <c r="A580" s="150"/>
      <c r="B580" s="151"/>
      <c r="C580" s="126" t="s">
        <v>972</v>
      </c>
      <c r="D580">
        <v>340</v>
      </c>
      <c r="E580" s="126" t="s">
        <v>1605</v>
      </c>
      <c r="F580" s="122" t="s">
        <v>1607</v>
      </c>
      <c r="G580" s="122" t="s">
        <v>134</v>
      </c>
      <c r="H580">
        <v>84</v>
      </c>
      <c r="I580" s="122" t="s">
        <v>1546</v>
      </c>
      <c r="J580" s="307" t="s">
        <v>214</v>
      </c>
      <c r="K580" s="127" t="s">
        <v>1785</v>
      </c>
      <c r="L580" s="151" t="s">
        <v>118</v>
      </c>
      <c r="M580">
        <v>161</v>
      </c>
      <c r="N580" s="123">
        <v>1</v>
      </c>
      <c r="O580">
        <v>365</v>
      </c>
      <c r="P580" s="132" t="s">
        <v>77</v>
      </c>
      <c r="Q580" s="131">
        <v>6629.17</v>
      </c>
      <c r="R580" s="131">
        <f t="shared" si="12"/>
        <v>1060.6672000000001</v>
      </c>
      <c r="S580" s="131"/>
      <c r="T580" s="155">
        <v>0</v>
      </c>
      <c r="U580" s="131">
        <v>0</v>
      </c>
      <c r="V580" s="131">
        <f t="shared" si="13"/>
        <v>7689.8371999999999</v>
      </c>
      <c r="W580">
        <v>56</v>
      </c>
      <c r="X580" s="151" t="s">
        <v>1701</v>
      </c>
      <c r="Y580" s="135" t="s">
        <v>55</v>
      </c>
      <c r="Z580" s="307">
        <v>198</v>
      </c>
      <c r="AB580" t="str">
        <f>IF(Table1[[#This Row],[TIPO2]]="costo", VLOOKUP(Table1[[#This Row],[PARTIDA PRESUPUESTAL]],'Cost Report'!G:G,1,0),"Balance")</f>
        <v>3410-005</v>
      </c>
      <c r="AC580" s="118"/>
      <c r="AD580" s="159">
        <f>+Table1[[#This Row],[SUBTOTAL]]+Table1[[#This Row],[IVA]]-Table1[[#This Row],[RET IVA]]-Table1[[#This Row],[RET ISR]]-Table1[[#This Row],[TOTAL]]</f>
        <v>0</v>
      </c>
      <c r="AE580" s="150"/>
      <c r="AF580" s="151"/>
      <c r="AG580" s="126"/>
      <c r="AH580" s="115"/>
      <c r="AK580" s="306" t="str">
        <f>IF(ISNUMBER(Table1[[#This Row],[FECHA DE RECIBIDO]]), Table1[[#This Row],[FECHA DE RECIBIDO]]-DATE(2023,8,30), "")</f>
        <v/>
      </c>
    </row>
    <row r="581" spans="1:37" ht="15" customHeight="1">
      <c r="A581" s="152"/>
      <c r="B581" s="153"/>
      <c r="C581" s="126" t="s">
        <v>972</v>
      </c>
      <c r="D581">
        <v>340</v>
      </c>
      <c r="E581" s="126" t="s">
        <v>1605</v>
      </c>
      <c r="F581" s="125" t="s">
        <v>1607</v>
      </c>
      <c r="G581" s="125" t="s">
        <v>134</v>
      </c>
      <c r="H581">
        <v>84</v>
      </c>
      <c r="I581" s="125" t="s">
        <v>1546</v>
      </c>
      <c r="J581" s="308" t="s">
        <v>214</v>
      </c>
      <c r="K581" s="127" t="s">
        <v>1785</v>
      </c>
      <c r="L581" s="153" t="s">
        <v>118</v>
      </c>
      <c r="M581">
        <v>161</v>
      </c>
      <c r="N581" s="123">
        <v>1</v>
      </c>
      <c r="O581">
        <v>365</v>
      </c>
      <c r="P581" s="132" t="s">
        <v>77</v>
      </c>
      <c r="Q581" s="132">
        <v>6629.17</v>
      </c>
      <c r="R581" s="132">
        <f t="shared" si="12"/>
        <v>1060.6672000000001</v>
      </c>
      <c r="S581" s="132"/>
      <c r="T581" s="156">
        <v>0</v>
      </c>
      <c r="U581" s="132">
        <v>0</v>
      </c>
      <c r="V581" s="132">
        <f t="shared" si="13"/>
        <v>7689.8371999999999</v>
      </c>
      <c r="W581">
        <v>56</v>
      </c>
      <c r="X581" s="153" t="s">
        <v>1701</v>
      </c>
      <c r="Y581" s="124" t="s">
        <v>55</v>
      </c>
      <c r="Z581" s="308">
        <v>198</v>
      </c>
      <c r="AB581" t="str">
        <f>IF(Table1[[#This Row],[TIPO2]]="costo", VLOOKUP(Table1[[#This Row],[PARTIDA PRESUPUESTAL]],'Cost Report'!G:G,1,0),"Balance")</f>
        <v>3410-005</v>
      </c>
      <c r="AC581" s="118"/>
      <c r="AD581" s="159">
        <f>+Table1[[#This Row],[SUBTOTAL]]+Table1[[#This Row],[IVA]]-Table1[[#This Row],[RET IVA]]-Table1[[#This Row],[RET ISR]]-Table1[[#This Row],[TOTAL]]</f>
        <v>0</v>
      </c>
      <c r="AE581" s="152"/>
      <c r="AF581" s="153"/>
      <c r="AG581" s="126"/>
      <c r="AH581" s="115"/>
      <c r="AK581" s="306" t="str">
        <f>IF(ISNUMBER(Table1[[#This Row],[FECHA DE RECIBIDO]]), Table1[[#This Row],[FECHA DE RECIBIDO]]-DATE(2023,8,30), "")</f>
        <v/>
      </c>
    </row>
    <row r="582" spans="1:37" ht="15" customHeight="1">
      <c r="A582" s="150"/>
      <c r="B582" s="151"/>
      <c r="C582" s="126" t="s">
        <v>978</v>
      </c>
      <c r="D582">
        <v>340</v>
      </c>
      <c r="E582" s="126" t="s">
        <v>1605</v>
      </c>
      <c r="F582" s="122" t="s">
        <v>1607</v>
      </c>
      <c r="G582" s="122" t="s">
        <v>134</v>
      </c>
      <c r="H582">
        <v>84</v>
      </c>
      <c r="I582" s="122" t="s">
        <v>1546</v>
      </c>
      <c r="J582" s="307" t="s">
        <v>214</v>
      </c>
      <c r="K582" s="127" t="s">
        <v>1785</v>
      </c>
      <c r="L582" s="151" t="s">
        <v>118</v>
      </c>
      <c r="M582">
        <v>161</v>
      </c>
      <c r="N582" s="123">
        <v>1</v>
      </c>
      <c r="O582">
        <v>365</v>
      </c>
      <c r="P582" s="132" t="s">
        <v>77</v>
      </c>
      <c r="Q582" s="131">
        <v>6629.17</v>
      </c>
      <c r="R582" s="131">
        <f t="shared" si="12"/>
        <v>1060.6672000000001</v>
      </c>
      <c r="S582" s="131"/>
      <c r="T582" s="155">
        <v>0</v>
      </c>
      <c r="U582" s="131">
        <v>0</v>
      </c>
      <c r="V582" s="131">
        <f t="shared" si="13"/>
        <v>7689.8371999999999</v>
      </c>
      <c r="W582">
        <v>56</v>
      </c>
      <c r="X582" s="151" t="s">
        <v>1701</v>
      </c>
      <c r="Y582" s="135" t="s">
        <v>55</v>
      </c>
      <c r="Z582" s="307">
        <v>198</v>
      </c>
      <c r="AB582" t="str">
        <f>IF(Table1[[#This Row],[TIPO2]]="costo", VLOOKUP(Table1[[#This Row],[PARTIDA PRESUPUESTAL]],'Cost Report'!G:G,1,0),"Balance")</f>
        <v>3410-013</v>
      </c>
      <c r="AC582" s="118"/>
      <c r="AD582" s="159">
        <f>+Table1[[#This Row],[SUBTOTAL]]+Table1[[#This Row],[IVA]]-Table1[[#This Row],[RET IVA]]-Table1[[#This Row],[RET ISR]]-Table1[[#This Row],[TOTAL]]</f>
        <v>0</v>
      </c>
      <c r="AE582" s="150"/>
      <c r="AF582" s="151"/>
      <c r="AG582" s="126"/>
      <c r="AH582" s="115"/>
      <c r="AK582" s="306" t="str">
        <f>IF(ISNUMBER(Table1[[#This Row],[FECHA DE RECIBIDO]]), Table1[[#This Row],[FECHA DE RECIBIDO]]-DATE(2023,8,30), "")</f>
        <v/>
      </c>
    </row>
    <row r="583" spans="1:37" ht="15" customHeight="1">
      <c r="A583" s="152"/>
      <c r="B583" s="153"/>
      <c r="C583" s="126" t="s">
        <v>978</v>
      </c>
      <c r="D583">
        <v>340</v>
      </c>
      <c r="E583" s="126" t="s">
        <v>1605</v>
      </c>
      <c r="F583" s="125" t="s">
        <v>1607</v>
      </c>
      <c r="G583" s="125" t="s">
        <v>134</v>
      </c>
      <c r="H583">
        <v>84</v>
      </c>
      <c r="I583" s="125" t="s">
        <v>1546</v>
      </c>
      <c r="J583" s="308" t="s">
        <v>214</v>
      </c>
      <c r="K583" s="127" t="s">
        <v>1785</v>
      </c>
      <c r="L583" s="153" t="s">
        <v>118</v>
      </c>
      <c r="M583">
        <v>161</v>
      </c>
      <c r="N583" s="123">
        <v>1</v>
      </c>
      <c r="O583">
        <v>365</v>
      </c>
      <c r="P583" s="132" t="s">
        <v>77</v>
      </c>
      <c r="Q583" s="132">
        <v>6629.17</v>
      </c>
      <c r="R583" s="132">
        <f t="shared" si="12"/>
        <v>1060.6672000000001</v>
      </c>
      <c r="S583" s="132"/>
      <c r="T583" s="156">
        <v>0</v>
      </c>
      <c r="U583" s="132">
        <v>0</v>
      </c>
      <c r="V583" s="132">
        <f t="shared" si="13"/>
        <v>7689.8371999999999</v>
      </c>
      <c r="W583">
        <v>56</v>
      </c>
      <c r="X583" s="153" t="s">
        <v>1701</v>
      </c>
      <c r="Y583" s="124" t="s">
        <v>55</v>
      </c>
      <c r="Z583" s="308">
        <v>198</v>
      </c>
      <c r="AB583" t="str">
        <f>IF(Table1[[#This Row],[TIPO2]]="costo", VLOOKUP(Table1[[#This Row],[PARTIDA PRESUPUESTAL]],'Cost Report'!G:G,1,0),"Balance")</f>
        <v>3410-013</v>
      </c>
      <c r="AC583" s="118"/>
      <c r="AD583" s="159">
        <f>+Table1[[#This Row],[SUBTOTAL]]+Table1[[#This Row],[IVA]]-Table1[[#This Row],[RET IVA]]-Table1[[#This Row],[RET ISR]]-Table1[[#This Row],[TOTAL]]</f>
        <v>0</v>
      </c>
      <c r="AE583" s="152"/>
      <c r="AF583" s="153"/>
      <c r="AG583" s="126"/>
      <c r="AH583" s="115"/>
      <c r="AK583" s="306" t="str">
        <f>IF(ISNUMBER(Table1[[#This Row],[FECHA DE RECIBIDO]]), Table1[[#This Row],[FECHA DE RECIBIDO]]-DATE(2023,8,30), "")</f>
        <v/>
      </c>
    </row>
    <row r="584" spans="1:37" ht="15" customHeight="1">
      <c r="A584" s="150"/>
      <c r="B584" s="151">
        <v>248</v>
      </c>
      <c r="C584" s="126" t="s">
        <v>3002</v>
      </c>
      <c r="D584">
        <v>341</v>
      </c>
      <c r="E584" s="126" t="s">
        <v>1605</v>
      </c>
      <c r="F584" s="122" t="s">
        <v>1607</v>
      </c>
      <c r="G584" s="122" t="s">
        <v>134</v>
      </c>
      <c r="H584">
        <v>84</v>
      </c>
      <c r="I584" s="122" t="s">
        <v>1546</v>
      </c>
      <c r="J584" s="307" t="s">
        <v>214</v>
      </c>
      <c r="K584" s="127" t="s">
        <v>1785</v>
      </c>
      <c r="L584" s="151" t="s">
        <v>118</v>
      </c>
      <c r="M584">
        <v>161</v>
      </c>
      <c r="N584" s="123">
        <v>1</v>
      </c>
      <c r="O584">
        <v>366</v>
      </c>
      <c r="P584" s="132" t="s">
        <v>77</v>
      </c>
      <c r="Q584" s="131">
        <v>66600</v>
      </c>
      <c r="R584" s="131">
        <f t="shared" si="12"/>
        <v>10656</v>
      </c>
      <c r="S584" s="131"/>
      <c r="T584" s="155">
        <v>0</v>
      </c>
      <c r="U584" s="131">
        <v>0</v>
      </c>
      <c r="V584" s="131">
        <f t="shared" si="13"/>
        <v>77256</v>
      </c>
      <c r="W584">
        <v>56</v>
      </c>
      <c r="X584" s="151" t="s">
        <v>1701</v>
      </c>
      <c r="Y584" s="135" t="s">
        <v>55</v>
      </c>
      <c r="Z584" s="307">
        <v>198</v>
      </c>
      <c r="AB584" t="str">
        <f>IF(Table1[[#This Row],[TIPO2]]="costo", VLOOKUP(Table1[[#This Row],[PARTIDA PRESUPUESTAL]],'Cost Report'!G:G,1,0),"Balance")</f>
        <v>4180-003</v>
      </c>
      <c r="AC584" s="118"/>
      <c r="AD584" s="159">
        <f>+Table1[[#This Row],[SUBTOTAL]]+Table1[[#This Row],[IVA]]-Table1[[#This Row],[RET IVA]]-Table1[[#This Row],[RET ISR]]-Table1[[#This Row],[TOTAL]]</f>
        <v>0</v>
      </c>
      <c r="AE584" s="150"/>
      <c r="AF584" s="151"/>
      <c r="AG584" s="126"/>
      <c r="AH584" s="115"/>
      <c r="AK584" s="306" t="str">
        <f>IF(ISNUMBER(Table1[[#This Row],[FECHA DE RECIBIDO]]), Table1[[#This Row],[FECHA DE RECIBIDO]]-DATE(2023,8,30), "")</f>
        <v/>
      </c>
    </row>
    <row r="585" spans="1:37" ht="15" customHeight="1">
      <c r="A585" s="152" t="s">
        <v>1982</v>
      </c>
      <c r="B585" s="153">
        <v>249</v>
      </c>
      <c r="C585" s="126" t="s">
        <v>610</v>
      </c>
      <c r="D585">
        <v>342</v>
      </c>
      <c r="E585" s="126" t="s">
        <v>2022</v>
      </c>
      <c r="F585" s="125" t="s">
        <v>1593</v>
      </c>
      <c r="G585" s="125" t="s">
        <v>109</v>
      </c>
      <c r="H585">
        <v>122</v>
      </c>
      <c r="I585" s="125" t="s">
        <v>1546</v>
      </c>
      <c r="J585" s="308" t="s">
        <v>214</v>
      </c>
      <c r="K585" s="127" t="s">
        <v>1785</v>
      </c>
      <c r="L585" s="153" t="s">
        <v>118</v>
      </c>
      <c r="M585">
        <v>162</v>
      </c>
      <c r="N585" s="123">
        <v>1</v>
      </c>
      <c r="O585">
        <v>367</v>
      </c>
      <c r="P585" s="132" t="s">
        <v>77</v>
      </c>
      <c r="Q585" s="132">
        <v>55003</v>
      </c>
      <c r="R585" s="132">
        <f t="shared" si="12"/>
        <v>8800.48</v>
      </c>
      <c r="S585" s="132"/>
      <c r="T585" s="156">
        <v>0</v>
      </c>
      <c r="U585" s="132">
        <v>0</v>
      </c>
      <c r="V585" s="132">
        <f t="shared" si="13"/>
        <v>63803.479999999996</v>
      </c>
      <c r="W585">
        <v>85</v>
      </c>
      <c r="X585" s="153" t="s">
        <v>1701</v>
      </c>
      <c r="Y585" s="124" t="s">
        <v>55</v>
      </c>
      <c r="Z585" s="308">
        <v>198</v>
      </c>
      <c r="AB585" t="str">
        <f>IF(Table1[[#This Row],[TIPO2]]="costo", VLOOKUP(Table1[[#This Row],[PARTIDA PRESUPUESTAL]],'Cost Report'!G:G,1,0),"Balance")</f>
        <v>2485-003</v>
      </c>
      <c r="AC585" s="118"/>
      <c r="AD585" s="159">
        <f>+Table1[[#This Row],[SUBTOTAL]]+Table1[[#This Row],[IVA]]-Table1[[#This Row],[RET IVA]]-Table1[[#This Row],[RET ISR]]-Table1[[#This Row],[TOTAL]]</f>
        <v>0</v>
      </c>
      <c r="AE585" s="152"/>
      <c r="AF585" s="153"/>
      <c r="AG585" s="126"/>
      <c r="AH585" s="115"/>
      <c r="AK585" s="306" t="str">
        <f>IF(ISNUMBER(Table1[[#This Row],[FECHA DE RECIBIDO]]), Table1[[#This Row],[FECHA DE RECIBIDO]]-DATE(2023,8,30), "")</f>
        <v/>
      </c>
    </row>
    <row r="586" spans="1:37" ht="15" customHeight="1">
      <c r="A586" s="150"/>
      <c r="B586" s="151">
        <v>250</v>
      </c>
      <c r="C586" s="126" t="s">
        <v>2461</v>
      </c>
      <c r="D586">
        <v>343</v>
      </c>
      <c r="E586" s="126" t="s">
        <v>2022</v>
      </c>
      <c r="F586" s="122" t="s">
        <v>1593</v>
      </c>
      <c r="G586" s="122" t="s">
        <v>109</v>
      </c>
      <c r="H586">
        <v>122</v>
      </c>
      <c r="I586" s="122" t="s">
        <v>1546</v>
      </c>
      <c r="J586" s="307" t="s">
        <v>214</v>
      </c>
      <c r="K586" s="127" t="s">
        <v>1785</v>
      </c>
      <c r="L586" s="151" t="s">
        <v>118</v>
      </c>
      <c r="M586">
        <v>162</v>
      </c>
      <c r="N586" s="123">
        <v>1</v>
      </c>
      <c r="O586">
        <v>367</v>
      </c>
      <c r="P586" s="132" t="s">
        <v>77</v>
      </c>
      <c r="Q586" s="131">
        <v>45398.5</v>
      </c>
      <c r="R586" s="131">
        <f t="shared" si="12"/>
        <v>7263.76</v>
      </c>
      <c r="S586" s="131"/>
      <c r="T586" s="155">
        <v>0</v>
      </c>
      <c r="U586" s="131">
        <v>0</v>
      </c>
      <c r="V586" s="131">
        <f t="shared" si="13"/>
        <v>52662.26</v>
      </c>
      <c r="W586">
        <v>85</v>
      </c>
      <c r="X586" s="151" t="s">
        <v>1701</v>
      </c>
      <c r="Y586" s="135" t="s">
        <v>55</v>
      </c>
      <c r="Z586" s="307">
        <v>198</v>
      </c>
      <c r="AB586" t="str">
        <f>IF(Table1[[#This Row],[TIPO2]]="costo", VLOOKUP(Table1[[#This Row],[PARTIDA PRESUPUESTAL]],'Cost Report'!G:G,1,0),"Balance")</f>
        <v>2385-003</v>
      </c>
      <c r="AC586" s="118"/>
      <c r="AD586" s="159">
        <f>+Table1[[#This Row],[SUBTOTAL]]+Table1[[#This Row],[IVA]]-Table1[[#This Row],[RET IVA]]-Table1[[#This Row],[RET ISR]]-Table1[[#This Row],[TOTAL]]</f>
        <v>0</v>
      </c>
      <c r="AE586" s="150"/>
      <c r="AF586" s="151"/>
      <c r="AG586" s="126"/>
      <c r="AH586" s="115"/>
      <c r="AK586" s="306" t="str">
        <f>IF(ISNUMBER(Table1[[#This Row],[FECHA DE RECIBIDO]]), Table1[[#This Row],[FECHA DE RECIBIDO]]-DATE(2023,8,30), "")</f>
        <v/>
      </c>
    </row>
    <row r="587" spans="1:37" ht="15" customHeight="1">
      <c r="A587" s="152"/>
      <c r="B587" s="153">
        <v>251</v>
      </c>
      <c r="C587" s="126" t="s">
        <v>2565</v>
      </c>
      <c r="D587">
        <v>344</v>
      </c>
      <c r="E587" s="126" t="s">
        <v>2022</v>
      </c>
      <c r="F587" s="125" t="s">
        <v>1593</v>
      </c>
      <c r="G587" s="125" t="s">
        <v>109</v>
      </c>
      <c r="H587">
        <v>122</v>
      </c>
      <c r="I587" s="125" t="s">
        <v>1546</v>
      </c>
      <c r="J587" s="308" t="s">
        <v>214</v>
      </c>
      <c r="K587" s="127" t="s">
        <v>1785</v>
      </c>
      <c r="L587" s="153" t="s">
        <v>118</v>
      </c>
      <c r="M587">
        <v>162</v>
      </c>
      <c r="N587" s="123">
        <v>1</v>
      </c>
      <c r="O587">
        <v>367</v>
      </c>
      <c r="P587" s="132" t="s">
        <v>77</v>
      </c>
      <c r="Q587" s="132">
        <v>15876.9</v>
      </c>
      <c r="R587" s="132">
        <f t="shared" si="12"/>
        <v>2540.3040000000001</v>
      </c>
      <c r="S587" s="132"/>
      <c r="T587" s="156">
        <v>0</v>
      </c>
      <c r="U587" s="132">
        <v>0</v>
      </c>
      <c r="V587" s="132">
        <f t="shared" si="13"/>
        <v>18417.203999999998</v>
      </c>
      <c r="W587">
        <v>85</v>
      </c>
      <c r="X587" s="153" t="s">
        <v>1701</v>
      </c>
      <c r="Y587" s="124" t="s">
        <v>55</v>
      </c>
      <c r="Z587" s="308">
        <v>198</v>
      </c>
      <c r="AB587" t="str">
        <f>IF(Table1[[#This Row],[TIPO2]]="costo", VLOOKUP(Table1[[#This Row],[PARTIDA PRESUPUESTAL]],'Cost Report'!G:G,1,0),"Balance")</f>
        <v>2585-003</v>
      </c>
      <c r="AC587" s="118"/>
      <c r="AD587" s="159">
        <f>+Table1[[#This Row],[SUBTOTAL]]+Table1[[#This Row],[IVA]]-Table1[[#This Row],[RET IVA]]-Table1[[#This Row],[RET ISR]]-Table1[[#This Row],[TOTAL]]</f>
        <v>0</v>
      </c>
      <c r="AE587" s="152"/>
      <c r="AF587" s="153"/>
      <c r="AG587" s="126"/>
      <c r="AH587" s="115"/>
      <c r="AK587" s="306" t="str">
        <f>IF(ISNUMBER(Table1[[#This Row],[FECHA DE RECIBIDO]]), Table1[[#This Row],[FECHA DE RECIBIDO]]-DATE(2023,8,30), "")</f>
        <v/>
      </c>
    </row>
    <row r="588" spans="1:37" ht="15" customHeight="1">
      <c r="A588" s="150" t="s">
        <v>1983</v>
      </c>
      <c r="B588" s="151">
        <v>252</v>
      </c>
      <c r="C588" s="126" t="s">
        <v>467</v>
      </c>
      <c r="D588">
        <v>345</v>
      </c>
      <c r="E588" s="126" t="s">
        <v>1605</v>
      </c>
      <c r="F588" s="122" t="s">
        <v>1607</v>
      </c>
      <c r="G588" s="122" t="s">
        <v>134</v>
      </c>
      <c r="H588">
        <v>5</v>
      </c>
      <c r="I588" s="122" t="s">
        <v>1546</v>
      </c>
      <c r="J588" s="307" t="s">
        <v>214</v>
      </c>
      <c r="K588" s="127" t="s">
        <v>1785</v>
      </c>
      <c r="L588" s="151" t="s">
        <v>118</v>
      </c>
      <c r="M588">
        <v>5</v>
      </c>
      <c r="N588" s="123">
        <v>0</v>
      </c>
      <c r="O588">
        <v>368</v>
      </c>
      <c r="P588" s="132" t="s">
        <v>77</v>
      </c>
      <c r="Q588" s="131">
        <v>46000</v>
      </c>
      <c r="R588" s="131">
        <f t="shared" si="12"/>
        <v>7360</v>
      </c>
      <c r="S588" s="131"/>
      <c r="T588" s="155">
        <v>0</v>
      </c>
      <c r="U588" s="131">
        <v>0</v>
      </c>
      <c r="V588" s="131">
        <f t="shared" ref="V588:V591" si="14">Q588+R588</f>
        <v>53360</v>
      </c>
      <c r="W588">
        <v>4</v>
      </c>
      <c r="X588" s="151" t="s">
        <v>1489</v>
      </c>
      <c r="Y588" s="135" t="s">
        <v>55</v>
      </c>
      <c r="Z588" s="307">
        <v>198</v>
      </c>
      <c r="AB588" t="str">
        <f>IF(Table1[[#This Row],[TIPO2]]="costo", VLOOKUP(Table1[[#This Row],[PARTIDA PRESUPUESTAL]],'Cost Report'!G:G,1,0),"Balance")</f>
        <v>2010-011</v>
      </c>
      <c r="AC588" s="118"/>
      <c r="AD588" s="159">
        <f>+Table1[[#This Row],[SUBTOTAL]]+Table1[[#This Row],[IVA]]-Table1[[#This Row],[RET IVA]]-Table1[[#This Row],[RET ISR]]-Table1[[#This Row],[TOTAL]]</f>
        <v>0</v>
      </c>
      <c r="AE588" s="150"/>
      <c r="AF588" s="151"/>
      <c r="AG588" s="126"/>
      <c r="AH588" s="115"/>
      <c r="AK588" s="306" t="str">
        <f>IF(ISNUMBER(Table1[[#This Row],[FECHA DE RECIBIDO]]), Table1[[#This Row],[FECHA DE RECIBIDO]]-DATE(2023,8,30), "")</f>
        <v/>
      </c>
    </row>
    <row r="589" spans="1:37" ht="15" customHeight="1">
      <c r="A589" s="152"/>
      <c r="B589" s="153"/>
      <c r="C589" s="126" t="s">
        <v>2394</v>
      </c>
      <c r="D589">
        <v>345</v>
      </c>
      <c r="E589" s="126" t="s">
        <v>1605</v>
      </c>
      <c r="F589" s="125" t="s">
        <v>1607</v>
      </c>
      <c r="G589" s="125" t="s">
        <v>134</v>
      </c>
      <c r="H589">
        <v>5</v>
      </c>
      <c r="I589" s="125" t="s">
        <v>1546</v>
      </c>
      <c r="J589" s="308" t="s">
        <v>214</v>
      </c>
      <c r="K589" s="127" t="s">
        <v>1785</v>
      </c>
      <c r="L589" s="153" t="s">
        <v>118</v>
      </c>
      <c r="M589">
        <v>5</v>
      </c>
      <c r="N589" s="123">
        <v>0</v>
      </c>
      <c r="O589">
        <v>368</v>
      </c>
      <c r="P589" s="132" t="s">
        <v>77</v>
      </c>
      <c r="Q589" s="132">
        <v>24000</v>
      </c>
      <c r="R589" s="132">
        <f t="shared" si="12"/>
        <v>3840</v>
      </c>
      <c r="S589" s="132"/>
      <c r="T589" s="156">
        <v>0</v>
      </c>
      <c r="U589" s="132">
        <v>0</v>
      </c>
      <c r="V589" s="132">
        <f t="shared" si="14"/>
        <v>27840</v>
      </c>
      <c r="W589">
        <v>4</v>
      </c>
      <c r="X589" s="153" t="s">
        <v>1489</v>
      </c>
      <c r="Y589" s="124" t="s">
        <v>55</v>
      </c>
      <c r="Z589" s="308">
        <v>198</v>
      </c>
      <c r="AB589" t="str">
        <f>IF(Table1[[#This Row],[TIPO2]]="costo", VLOOKUP(Table1[[#This Row],[PARTIDA PRESUPUESTAL]],'Cost Report'!G:G,1,0),"Balance")</f>
        <v>2011-004</v>
      </c>
      <c r="AC589" s="118"/>
      <c r="AD589" s="159">
        <f>+Table1[[#This Row],[SUBTOTAL]]+Table1[[#This Row],[IVA]]-Table1[[#This Row],[RET IVA]]-Table1[[#This Row],[RET ISR]]-Table1[[#This Row],[TOTAL]]</f>
        <v>0</v>
      </c>
      <c r="AE589" s="152"/>
      <c r="AF589" s="153"/>
      <c r="AG589" s="126"/>
      <c r="AH589" s="115"/>
      <c r="AK589" s="306" t="str">
        <f>IF(ISNUMBER(Table1[[#This Row],[FECHA DE RECIBIDO]]), Table1[[#This Row],[FECHA DE RECIBIDO]]-DATE(2023,8,30), "")</f>
        <v/>
      </c>
    </row>
    <row r="590" spans="1:37" ht="15" customHeight="1">
      <c r="A590" s="150"/>
      <c r="B590" s="151"/>
      <c r="C590" s="126" t="s">
        <v>2400</v>
      </c>
      <c r="D590">
        <v>345</v>
      </c>
      <c r="E590" s="126" t="s">
        <v>1605</v>
      </c>
      <c r="F590" s="122" t="s">
        <v>1607</v>
      </c>
      <c r="G590" s="122" t="s">
        <v>134</v>
      </c>
      <c r="H590">
        <v>5</v>
      </c>
      <c r="I590" s="122" t="s">
        <v>1546</v>
      </c>
      <c r="J590" s="307" t="s">
        <v>214</v>
      </c>
      <c r="K590" s="127" t="s">
        <v>1785</v>
      </c>
      <c r="L590" s="151" t="s">
        <v>118</v>
      </c>
      <c r="M590">
        <v>5</v>
      </c>
      <c r="N590" s="123">
        <v>0</v>
      </c>
      <c r="O590">
        <v>368</v>
      </c>
      <c r="P590" s="132" t="s">
        <v>77</v>
      </c>
      <c r="Q590" s="131">
        <v>20000</v>
      </c>
      <c r="R590" s="131">
        <f t="shared" si="12"/>
        <v>3200</v>
      </c>
      <c r="S590" s="131"/>
      <c r="T590" s="155">
        <v>0</v>
      </c>
      <c r="U590" s="131">
        <v>0</v>
      </c>
      <c r="V590" s="131">
        <f t="shared" si="14"/>
        <v>23200</v>
      </c>
      <c r="W590">
        <v>4</v>
      </c>
      <c r="X590" s="151" t="s">
        <v>1489</v>
      </c>
      <c r="Y590" s="135" t="s">
        <v>55</v>
      </c>
      <c r="Z590" s="307">
        <v>198</v>
      </c>
      <c r="AB590" t="str">
        <f>IF(Table1[[#This Row],[TIPO2]]="costo", VLOOKUP(Table1[[#This Row],[PARTIDA PRESUPUESTAL]],'Cost Report'!G:G,1,0),"Balance")</f>
        <v>2011-012</v>
      </c>
      <c r="AC590" s="118"/>
      <c r="AD590" s="159">
        <f>+Table1[[#This Row],[SUBTOTAL]]+Table1[[#This Row],[IVA]]-Table1[[#This Row],[RET IVA]]-Table1[[#This Row],[RET ISR]]-Table1[[#This Row],[TOTAL]]</f>
        <v>0</v>
      </c>
      <c r="AE590" s="150"/>
      <c r="AF590" s="151"/>
      <c r="AG590" s="126"/>
      <c r="AH590" s="115"/>
      <c r="AK590" s="306" t="str">
        <f>IF(ISNUMBER(Table1[[#This Row],[FECHA DE RECIBIDO]]), Table1[[#This Row],[FECHA DE RECIBIDO]]-DATE(2023,8,30), "")</f>
        <v/>
      </c>
    </row>
    <row r="591" spans="1:37" ht="15" customHeight="1">
      <c r="A591" s="152"/>
      <c r="B591" s="153">
        <v>253</v>
      </c>
      <c r="C591" s="126" t="s">
        <v>3087</v>
      </c>
      <c r="D591">
        <v>346</v>
      </c>
      <c r="E591" s="126" t="s">
        <v>1605</v>
      </c>
      <c r="F591" s="125" t="s">
        <v>1607</v>
      </c>
      <c r="G591" s="125" t="s">
        <v>134</v>
      </c>
      <c r="H591">
        <v>5</v>
      </c>
      <c r="I591" s="125" t="s">
        <v>1546</v>
      </c>
      <c r="J591" s="308" t="s">
        <v>214</v>
      </c>
      <c r="K591" s="127" t="s">
        <v>1785</v>
      </c>
      <c r="L591" s="153" t="s">
        <v>118</v>
      </c>
      <c r="M591">
        <v>5</v>
      </c>
      <c r="N591" s="123">
        <v>0</v>
      </c>
      <c r="O591">
        <v>368</v>
      </c>
      <c r="P591" s="132" t="s">
        <v>77</v>
      </c>
      <c r="Q591" s="132">
        <v>11000</v>
      </c>
      <c r="R591" s="132">
        <f t="shared" si="12"/>
        <v>1760</v>
      </c>
      <c r="S591" s="132"/>
      <c r="T591" s="156">
        <v>0</v>
      </c>
      <c r="U591" s="132">
        <v>0</v>
      </c>
      <c r="V591" s="132">
        <f t="shared" si="14"/>
        <v>12760</v>
      </c>
      <c r="W591">
        <v>4</v>
      </c>
      <c r="X591" s="153" t="s">
        <v>1489</v>
      </c>
      <c r="Y591" s="124" t="s">
        <v>55</v>
      </c>
      <c r="Z591" s="308">
        <v>198</v>
      </c>
      <c r="AB591" t="str">
        <f>IF(Table1[[#This Row],[TIPO2]]="costo", VLOOKUP(Table1[[#This Row],[PARTIDA PRESUPUESTAL]],'Cost Report'!G:G,1,0),"Balance")</f>
        <v>7001-004</v>
      </c>
      <c r="AC591" s="118"/>
      <c r="AD591" s="159">
        <f>+Table1[[#This Row],[SUBTOTAL]]+Table1[[#This Row],[IVA]]-Table1[[#This Row],[RET IVA]]-Table1[[#This Row],[RET ISR]]-Table1[[#This Row],[TOTAL]]</f>
        <v>0</v>
      </c>
      <c r="AE591" s="152"/>
      <c r="AF591" s="153"/>
      <c r="AG591" s="126"/>
      <c r="AH591" s="115"/>
      <c r="AK591" s="306" t="str">
        <f>IF(ISNUMBER(Table1[[#This Row],[FECHA DE RECIBIDO]]), Table1[[#This Row],[FECHA DE RECIBIDO]]-DATE(2023,8,30), "")</f>
        <v/>
      </c>
    </row>
    <row r="592" spans="1:37" ht="15" customHeight="1">
      <c r="A592" s="150" t="s">
        <v>2025</v>
      </c>
      <c r="B592" s="151" t="s">
        <v>1576</v>
      </c>
      <c r="C592" s="126" t="s">
        <v>74</v>
      </c>
      <c r="D592">
        <v>347</v>
      </c>
      <c r="E592" s="126" t="s">
        <v>1577</v>
      </c>
      <c r="F592" s="122">
        <v>616</v>
      </c>
      <c r="G592" s="122" t="s">
        <v>1490</v>
      </c>
      <c r="H592">
        <v>0</v>
      </c>
      <c r="I592" s="122" t="s">
        <v>1546</v>
      </c>
      <c r="J592" s="307">
        <v>194.45960648148321</v>
      </c>
      <c r="K592" s="127" t="s">
        <v>1785</v>
      </c>
      <c r="L592" s="151" t="s">
        <v>98</v>
      </c>
      <c r="M592">
        <v>28</v>
      </c>
      <c r="N592" s="123"/>
      <c r="O592">
        <v>369</v>
      </c>
      <c r="P592" s="131" t="s">
        <v>78</v>
      </c>
      <c r="Q592" s="131">
        <v>16567505.77</v>
      </c>
      <c r="R592" s="131">
        <v>0</v>
      </c>
      <c r="S592" s="131"/>
      <c r="T592" s="155">
        <v>0</v>
      </c>
      <c r="U592" s="131">
        <v>0</v>
      </c>
      <c r="V592" s="131">
        <f t="shared" ref="V592:V598" si="15">+Q592+R592-T592-U592</f>
        <v>16567505.77</v>
      </c>
      <c r="W592">
        <v>34</v>
      </c>
      <c r="X592" s="151" t="s">
        <v>1576</v>
      </c>
      <c r="Y592" s="135" t="s">
        <v>55</v>
      </c>
      <c r="Z592" s="307">
        <v>198</v>
      </c>
      <c r="AB592" t="str">
        <f>IF(Table1[[#This Row],[TIPO2]]="costo", VLOOKUP(Table1[[#This Row],[PARTIDA PRESUPUESTAL]],'Cost Report'!G:G,1,0),"Balance")</f>
        <v>Balance</v>
      </c>
      <c r="AC592" s="118"/>
      <c r="AD592" s="159">
        <f>+Table1[[#This Row],[SUBTOTAL]]+Table1[[#This Row],[IVA]]-Table1[[#This Row],[RET IVA]]-Table1[[#This Row],[RET ISR]]-Table1[[#This Row],[TOTAL]]</f>
        <v>0</v>
      </c>
      <c r="AE592" s="150"/>
      <c r="AF592" s="151"/>
      <c r="AG592" s="126"/>
      <c r="AH592" s="115"/>
      <c r="AK592" s="306">
        <f>IF(ISNUMBER(Table1[[#This Row],[FECHA DE RECIBIDO]]), Table1[[#This Row],[FECHA DE RECIBIDO]]-DATE(2023,8,30), "")</f>
        <v>-44973.540393518517</v>
      </c>
    </row>
    <row r="593" spans="1:37" ht="15" customHeight="1">
      <c r="A593" s="152" t="s">
        <v>2026</v>
      </c>
      <c r="B593" s="153" t="s">
        <v>1576</v>
      </c>
      <c r="C593" s="126" t="s">
        <v>75</v>
      </c>
      <c r="D593">
        <v>348</v>
      </c>
      <c r="E593" s="126" t="s">
        <v>1577</v>
      </c>
      <c r="F593" s="125">
        <v>616</v>
      </c>
      <c r="G593" s="125" t="s">
        <v>1490</v>
      </c>
      <c r="H593">
        <v>0</v>
      </c>
      <c r="I593" s="125" t="s">
        <v>1546</v>
      </c>
      <c r="J593" s="308">
        <v>194.46583333333547</v>
      </c>
      <c r="K593" s="127" t="s">
        <v>1785</v>
      </c>
      <c r="L593" s="153" t="s">
        <v>98</v>
      </c>
      <c r="M593">
        <v>28</v>
      </c>
      <c r="N593" s="123"/>
      <c r="O593">
        <v>23</v>
      </c>
      <c r="P593" s="131" t="s">
        <v>78</v>
      </c>
      <c r="Q593" s="132">
        <v>2650800.9232000001</v>
      </c>
      <c r="R593" s="132">
        <v>0</v>
      </c>
      <c r="S593" s="132"/>
      <c r="T593" s="156">
        <v>0</v>
      </c>
      <c r="U593" s="132">
        <v>0</v>
      </c>
      <c r="V593" s="132">
        <f t="shared" si="15"/>
        <v>2650800.9232000001</v>
      </c>
      <c r="W593">
        <v>34</v>
      </c>
      <c r="X593" s="153" t="s">
        <v>1576</v>
      </c>
      <c r="Y593" s="124" t="s">
        <v>55</v>
      </c>
      <c r="Z593" s="308">
        <v>198</v>
      </c>
      <c r="AB593" t="str">
        <f>IF(Table1[[#This Row],[TIPO2]]="costo", VLOOKUP(Table1[[#This Row],[PARTIDA PRESUPUESTAL]],'Cost Report'!G:G,1,0),"Balance")</f>
        <v>Balance</v>
      </c>
      <c r="AC593" s="118"/>
      <c r="AD593" s="159">
        <f>+Table1[[#This Row],[SUBTOTAL]]+Table1[[#This Row],[IVA]]-Table1[[#This Row],[RET IVA]]-Table1[[#This Row],[RET ISR]]-Table1[[#This Row],[TOTAL]]</f>
        <v>0</v>
      </c>
      <c r="AE593" s="152"/>
      <c r="AF593" s="153"/>
      <c r="AG593" s="126"/>
      <c r="AH593" s="115"/>
      <c r="AK593" s="306">
        <f>IF(ISNUMBER(Table1[[#This Row],[FECHA DE RECIBIDO]]), Table1[[#This Row],[FECHA DE RECIBIDO]]-DATE(2023,8,30), "")</f>
        <v>-44973.534166666665</v>
      </c>
    </row>
    <row r="594" spans="1:37" ht="15" customHeight="1">
      <c r="A594" s="150" t="s">
        <v>2027</v>
      </c>
      <c r="B594" s="151">
        <v>254</v>
      </c>
      <c r="C594" s="126" t="s">
        <v>1867</v>
      </c>
      <c r="D594">
        <v>349</v>
      </c>
      <c r="E594" s="126" t="s">
        <v>1892</v>
      </c>
      <c r="F594" s="122" t="s">
        <v>1589</v>
      </c>
      <c r="G594" s="122" t="s">
        <v>129</v>
      </c>
      <c r="H594">
        <v>65</v>
      </c>
      <c r="I594" s="122" t="s">
        <v>1546</v>
      </c>
      <c r="J594" s="307" t="s">
        <v>214</v>
      </c>
      <c r="K594" s="127" t="s">
        <v>1785</v>
      </c>
      <c r="L594" s="151" t="s">
        <v>2028</v>
      </c>
      <c r="M594">
        <v>88</v>
      </c>
      <c r="N594" s="123">
        <v>25</v>
      </c>
      <c r="O594">
        <v>370</v>
      </c>
      <c r="P594" s="132" t="s">
        <v>77</v>
      </c>
      <c r="Q594" s="131">
        <v>4200</v>
      </c>
      <c r="R594" s="131">
        <v>672</v>
      </c>
      <c r="S594" s="131"/>
      <c r="T594" s="155">
        <v>448</v>
      </c>
      <c r="U594" s="131">
        <v>420</v>
      </c>
      <c r="V594" s="131">
        <f t="shared" si="15"/>
        <v>4004</v>
      </c>
      <c r="W594">
        <v>47</v>
      </c>
      <c r="X594" s="151" t="s">
        <v>1897</v>
      </c>
      <c r="Y594" s="135" t="s">
        <v>55</v>
      </c>
      <c r="Z594" s="307">
        <v>203</v>
      </c>
      <c r="AB594" t="str">
        <f>IF(Table1[[#This Row],[TIPO2]]="costo", VLOOKUP(Table1[[#This Row],[PARTIDA PRESUPUESTAL]],'Cost Report'!G:G,1,0),"Balance")</f>
        <v>3442-005</v>
      </c>
      <c r="AC594" s="118"/>
      <c r="AD594" s="159">
        <f>+Table1[[#This Row],[SUBTOTAL]]+Table1[[#This Row],[IVA]]-Table1[[#This Row],[RET IVA]]-Table1[[#This Row],[RET ISR]]-Table1[[#This Row],[TOTAL]]</f>
        <v>0</v>
      </c>
      <c r="AE594" s="150"/>
      <c r="AF594" s="151"/>
      <c r="AG594" s="126"/>
      <c r="AH594" s="115"/>
      <c r="AK594" s="306" t="str">
        <f>IF(ISNUMBER(Table1[[#This Row],[FECHA DE RECIBIDO]]), Table1[[#This Row],[FECHA DE RECIBIDO]]-DATE(2023,8,30), "")</f>
        <v/>
      </c>
    </row>
    <row r="595" spans="1:37" ht="15" customHeight="1">
      <c r="A595" s="152" t="s">
        <v>2029</v>
      </c>
      <c r="B595" s="153">
        <v>255</v>
      </c>
      <c r="C595" s="126" t="s">
        <v>1867</v>
      </c>
      <c r="D595">
        <v>350</v>
      </c>
      <c r="E595" s="126" t="s">
        <v>1893</v>
      </c>
      <c r="F595" s="125" t="s">
        <v>1593</v>
      </c>
      <c r="G595" s="125" t="s">
        <v>109</v>
      </c>
      <c r="H595">
        <v>66</v>
      </c>
      <c r="I595" s="125" t="s">
        <v>1546</v>
      </c>
      <c r="J595" s="308" t="s">
        <v>214</v>
      </c>
      <c r="K595" s="127" t="s">
        <v>1785</v>
      </c>
      <c r="L595" s="153" t="s">
        <v>2028</v>
      </c>
      <c r="M595">
        <v>89</v>
      </c>
      <c r="N595" s="123">
        <v>26</v>
      </c>
      <c r="O595">
        <v>371</v>
      </c>
      <c r="P595" s="132" t="s">
        <v>77</v>
      </c>
      <c r="Q595" s="132">
        <v>4786.67</v>
      </c>
      <c r="R595" s="132">
        <v>765.87</v>
      </c>
      <c r="S595" s="132"/>
      <c r="T595" s="156">
        <v>510.58</v>
      </c>
      <c r="U595" s="132">
        <v>59.83</v>
      </c>
      <c r="V595" s="132">
        <f t="shared" si="15"/>
        <v>4982.13</v>
      </c>
      <c r="W595">
        <v>48</v>
      </c>
      <c r="X595" s="153" t="s">
        <v>1430</v>
      </c>
      <c r="Y595" s="124" t="s">
        <v>55</v>
      </c>
      <c r="Z595" s="308">
        <v>203</v>
      </c>
      <c r="AB595" t="str">
        <f>IF(Table1[[#This Row],[TIPO2]]="costo", VLOOKUP(Table1[[#This Row],[PARTIDA PRESUPUESTAL]],'Cost Report'!G:G,1,0),"Balance")</f>
        <v>3442-005</v>
      </c>
      <c r="AC595" s="118"/>
      <c r="AD595" s="159">
        <f>+Table1[[#This Row],[SUBTOTAL]]+Table1[[#This Row],[IVA]]-Table1[[#This Row],[RET IVA]]-Table1[[#This Row],[RET ISR]]-Table1[[#This Row],[TOTAL]]</f>
        <v>0</v>
      </c>
      <c r="AE595" s="152"/>
      <c r="AF595" s="153"/>
      <c r="AG595" s="126"/>
      <c r="AH595" s="115"/>
      <c r="AK595" s="306" t="str">
        <f>IF(ISNUMBER(Table1[[#This Row],[FECHA DE RECIBIDO]]), Table1[[#This Row],[FECHA DE RECIBIDO]]-DATE(2023,8,30), "")</f>
        <v/>
      </c>
    </row>
    <row r="596" spans="1:37" ht="15" customHeight="1">
      <c r="A596" s="150" t="s">
        <v>2030</v>
      </c>
      <c r="B596" s="151">
        <v>256</v>
      </c>
      <c r="C596" s="126" t="s">
        <v>1867</v>
      </c>
      <c r="D596">
        <v>351</v>
      </c>
      <c r="E596" s="126" t="s">
        <v>1600</v>
      </c>
      <c r="F596" s="122" t="s">
        <v>1593</v>
      </c>
      <c r="G596" s="122" t="s">
        <v>109</v>
      </c>
      <c r="H596">
        <v>109</v>
      </c>
      <c r="I596" s="122" t="s">
        <v>1546</v>
      </c>
      <c r="J596" s="307" t="s">
        <v>214</v>
      </c>
      <c r="K596" s="127" t="s">
        <v>1785</v>
      </c>
      <c r="L596" s="151" t="s">
        <v>2028</v>
      </c>
      <c r="M596">
        <v>147</v>
      </c>
      <c r="N596" s="123">
        <v>39</v>
      </c>
      <c r="O596">
        <v>372</v>
      </c>
      <c r="P596" s="132" t="s">
        <v>77</v>
      </c>
      <c r="Q596" s="131">
        <v>4546.67</v>
      </c>
      <c r="R596" s="131">
        <v>727.47</v>
      </c>
      <c r="S596" s="131"/>
      <c r="T596" s="155">
        <v>484.98</v>
      </c>
      <c r="U596" s="131">
        <v>56.83</v>
      </c>
      <c r="V596" s="131">
        <f t="shared" si="15"/>
        <v>4732.33</v>
      </c>
      <c r="W596">
        <v>71</v>
      </c>
      <c r="X596" s="151" t="s">
        <v>2023</v>
      </c>
      <c r="Y596" s="135" t="s">
        <v>55</v>
      </c>
      <c r="Z596" s="307">
        <v>203</v>
      </c>
      <c r="AB596" t="str">
        <f>IF(Table1[[#This Row],[TIPO2]]="costo", VLOOKUP(Table1[[#This Row],[PARTIDA PRESUPUESTAL]],'Cost Report'!G:G,1,0),"Balance")</f>
        <v>3442-005</v>
      </c>
      <c r="AC596" s="118"/>
      <c r="AD596" s="159">
        <f>+Table1[[#This Row],[SUBTOTAL]]+Table1[[#This Row],[IVA]]-Table1[[#This Row],[RET IVA]]-Table1[[#This Row],[RET ISR]]-Table1[[#This Row],[TOTAL]]</f>
        <v>0</v>
      </c>
      <c r="AE596" s="150"/>
      <c r="AF596" s="151"/>
      <c r="AG596" s="126"/>
      <c r="AH596" s="115"/>
      <c r="AK596" s="306" t="str">
        <f>IF(ISNUMBER(Table1[[#This Row],[FECHA DE RECIBIDO]]), Table1[[#This Row],[FECHA DE RECIBIDO]]-DATE(2023,8,30), "")</f>
        <v/>
      </c>
    </row>
    <row r="597" spans="1:37" ht="15" customHeight="1">
      <c r="A597" s="152" t="s">
        <v>2031</v>
      </c>
      <c r="B597" s="153">
        <v>257</v>
      </c>
      <c r="C597" s="126" t="s">
        <v>1867</v>
      </c>
      <c r="D597">
        <v>352</v>
      </c>
      <c r="E597" s="126" t="s">
        <v>2014</v>
      </c>
      <c r="F597" s="125" t="s">
        <v>1589</v>
      </c>
      <c r="G597" s="125" t="s">
        <v>129</v>
      </c>
      <c r="H597">
        <v>111</v>
      </c>
      <c r="I597" s="125" t="s">
        <v>1546</v>
      </c>
      <c r="J597" s="308" t="s">
        <v>214</v>
      </c>
      <c r="K597" s="127" t="s">
        <v>1785</v>
      </c>
      <c r="L597" s="153" t="s">
        <v>2028</v>
      </c>
      <c r="M597">
        <v>149</v>
      </c>
      <c r="N597" s="123">
        <v>41</v>
      </c>
      <c r="O597">
        <v>373</v>
      </c>
      <c r="P597" s="132" t="s">
        <v>77</v>
      </c>
      <c r="Q597" s="132">
        <v>4853</v>
      </c>
      <c r="R597" s="132">
        <v>776.48</v>
      </c>
      <c r="S597" s="132"/>
      <c r="T597" s="156">
        <v>517.65</v>
      </c>
      <c r="U597" s="132">
        <v>485.3</v>
      </c>
      <c r="V597" s="132">
        <f t="shared" si="15"/>
        <v>4626.53</v>
      </c>
      <c r="W597">
        <v>73</v>
      </c>
      <c r="X597" s="153" t="s">
        <v>1430</v>
      </c>
      <c r="Y597" s="124" t="s">
        <v>55</v>
      </c>
      <c r="Z597" s="308">
        <v>203</v>
      </c>
      <c r="AB597" t="str">
        <f>IF(Table1[[#This Row],[TIPO2]]="costo", VLOOKUP(Table1[[#This Row],[PARTIDA PRESUPUESTAL]],'Cost Report'!G:G,1,0),"Balance")</f>
        <v>3442-005</v>
      </c>
      <c r="AC597" s="118"/>
      <c r="AD597" s="159">
        <f>+Table1[[#This Row],[SUBTOTAL]]+Table1[[#This Row],[IVA]]-Table1[[#This Row],[RET IVA]]-Table1[[#This Row],[RET ISR]]-Table1[[#This Row],[TOTAL]]</f>
        <v>0</v>
      </c>
      <c r="AE597" s="152"/>
      <c r="AF597" s="153"/>
      <c r="AG597" s="126"/>
      <c r="AH597" s="115"/>
      <c r="AK597" s="306" t="str">
        <f>IF(ISNUMBER(Table1[[#This Row],[FECHA DE RECIBIDO]]), Table1[[#This Row],[FECHA DE RECIBIDO]]-DATE(2023,8,30), "")</f>
        <v/>
      </c>
    </row>
    <row r="598" spans="1:37" ht="15" customHeight="1">
      <c r="A598" s="150" t="s">
        <v>2032</v>
      </c>
      <c r="B598" s="151">
        <v>258</v>
      </c>
      <c r="C598" s="126" t="s">
        <v>1867</v>
      </c>
      <c r="D598">
        <v>353</v>
      </c>
      <c r="E598" s="126" t="s">
        <v>2015</v>
      </c>
      <c r="F598" s="122" t="s">
        <v>1593</v>
      </c>
      <c r="G598" s="122" t="s">
        <v>109</v>
      </c>
      <c r="H598">
        <v>112</v>
      </c>
      <c r="I598" s="122" t="s">
        <v>1546</v>
      </c>
      <c r="J598" s="307" t="s">
        <v>214</v>
      </c>
      <c r="K598" s="127" t="s">
        <v>1785</v>
      </c>
      <c r="L598" s="151" t="s">
        <v>2028</v>
      </c>
      <c r="M598">
        <v>150</v>
      </c>
      <c r="N598" s="123">
        <v>42</v>
      </c>
      <c r="O598">
        <v>374</v>
      </c>
      <c r="P598" s="132" t="s">
        <v>77</v>
      </c>
      <c r="Q598" s="131">
        <v>4546.67</v>
      </c>
      <c r="R598" s="131">
        <v>727.47</v>
      </c>
      <c r="S598" s="131"/>
      <c r="T598" s="155">
        <v>484.98</v>
      </c>
      <c r="U598" s="131">
        <v>56.83</v>
      </c>
      <c r="V598" s="131">
        <f t="shared" si="15"/>
        <v>4732.33</v>
      </c>
      <c r="W598">
        <v>74</v>
      </c>
      <c r="X598" s="151" t="s">
        <v>1429</v>
      </c>
      <c r="Y598" s="135" t="s">
        <v>55</v>
      </c>
      <c r="Z598" s="307">
        <v>203</v>
      </c>
      <c r="AB598" t="str">
        <f>IF(Table1[[#This Row],[TIPO2]]="costo", VLOOKUP(Table1[[#This Row],[PARTIDA PRESUPUESTAL]],'Cost Report'!G:G,1,0),"Balance")</f>
        <v>3442-005</v>
      </c>
      <c r="AC598" s="118"/>
      <c r="AD598" s="159">
        <f>+Table1[[#This Row],[SUBTOTAL]]+Table1[[#This Row],[IVA]]-Table1[[#This Row],[RET IVA]]-Table1[[#This Row],[RET ISR]]-Table1[[#This Row],[TOTAL]]</f>
        <v>0</v>
      </c>
      <c r="AE598" s="150"/>
      <c r="AF598" s="151"/>
      <c r="AG598" s="126"/>
      <c r="AH598" s="115"/>
      <c r="AK598" s="306" t="str">
        <f>IF(ISNUMBER(Table1[[#This Row],[FECHA DE RECIBIDO]]), Table1[[#This Row],[FECHA DE RECIBIDO]]-DATE(2023,8,30), "")</f>
        <v/>
      </c>
    </row>
    <row r="599" spans="1:37" ht="15" customHeight="1">
      <c r="A599" s="152" t="s">
        <v>2033</v>
      </c>
      <c r="B599" s="153">
        <v>263</v>
      </c>
      <c r="C599" s="126" t="s">
        <v>2140</v>
      </c>
      <c r="D599">
        <v>354</v>
      </c>
      <c r="E599" s="126" t="s">
        <v>1604</v>
      </c>
      <c r="F599" s="125" t="s">
        <v>1593</v>
      </c>
      <c r="G599" s="125" t="s">
        <v>109</v>
      </c>
      <c r="H599">
        <v>123</v>
      </c>
      <c r="I599" s="125" t="s">
        <v>1546</v>
      </c>
      <c r="J599" s="308" t="s">
        <v>214</v>
      </c>
      <c r="K599" s="127" t="s">
        <v>1785</v>
      </c>
      <c r="L599" s="153" t="s">
        <v>110</v>
      </c>
      <c r="M599">
        <v>29</v>
      </c>
      <c r="N599" s="123">
        <v>50</v>
      </c>
      <c r="O599">
        <v>375</v>
      </c>
      <c r="P599" s="132" t="s">
        <v>77</v>
      </c>
      <c r="Q599" s="132">
        <v>500000</v>
      </c>
      <c r="R599" s="132">
        <v>80000</v>
      </c>
      <c r="S599" s="132"/>
      <c r="T599" s="156">
        <v>53333.5</v>
      </c>
      <c r="U599" s="132">
        <v>6250</v>
      </c>
      <c r="V599" s="132">
        <f>+Q599+R599-T599-U599</f>
        <v>520416.5</v>
      </c>
      <c r="W599">
        <v>22</v>
      </c>
      <c r="X599" s="153" t="s">
        <v>1429</v>
      </c>
      <c r="Y599" s="124" t="s">
        <v>55</v>
      </c>
      <c r="Z599" s="308">
        <v>203</v>
      </c>
      <c r="AB599" t="str">
        <f>IF(Table1[[#This Row],[TIPO2]]="costo", VLOOKUP(Table1[[#This Row],[PARTIDA PRESUPUESTAL]],'Cost Report'!G:G,1,0),"Balance")</f>
        <v>1201-009</v>
      </c>
      <c r="AC599" s="118"/>
      <c r="AD599" s="159">
        <f>+Table1[[#This Row],[SUBTOTAL]]+Table1[[#This Row],[IVA]]-Table1[[#This Row],[RET IVA]]-Table1[[#This Row],[RET ISR]]-Table1[[#This Row],[TOTAL]]</f>
        <v>0</v>
      </c>
      <c r="AE599" s="152"/>
      <c r="AF599" s="153"/>
      <c r="AG599" s="126"/>
      <c r="AH599" s="115"/>
      <c r="AK599" s="306" t="str">
        <f>IF(ISNUMBER(Table1[[#This Row],[FECHA DE RECIBIDO]]), Table1[[#This Row],[FECHA DE RECIBIDO]]-DATE(2023,8,30), "")</f>
        <v/>
      </c>
    </row>
    <row r="600" spans="1:37" ht="15" customHeight="1">
      <c r="A600" s="150" t="s">
        <v>2034</v>
      </c>
      <c r="B600" s="151">
        <v>270</v>
      </c>
      <c r="C600" s="126" t="s">
        <v>635</v>
      </c>
      <c r="D600">
        <v>355</v>
      </c>
      <c r="E600" s="126" t="s">
        <v>3294</v>
      </c>
      <c r="F600" s="122" t="s">
        <v>1589</v>
      </c>
      <c r="G600" s="122" t="s">
        <v>129</v>
      </c>
      <c r="H600">
        <v>124</v>
      </c>
      <c r="I600" s="122" t="s">
        <v>1546</v>
      </c>
      <c r="J600" s="307" t="s">
        <v>214</v>
      </c>
      <c r="K600" s="127" t="s">
        <v>1785</v>
      </c>
      <c r="L600" s="151" t="s">
        <v>118</v>
      </c>
      <c r="M600">
        <v>163</v>
      </c>
      <c r="N600" s="123">
        <v>51</v>
      </c>
      <c r="O600">
        <v>376</v>
      </c>
      <c r="P600" s="132" t="s">
        <v>77</v>
      </c>
      <c r="Q600" s="131">
        <v>30500</v>
      </c>
      <c r="R600" s="131">
        <v>4880</v>
      </c>
      <c r="S600" s="131"/>
      <c r="T600" s="155">
        <v>0</v>
      </c>
      <c r="U600" s="131">
        <v>0</v>
      </c>
      <c r="V600" s="131">
        <f t="shared" ref="V600" si="16">+Q600+R600-T600-U600</f>
        <v>35380</v>
      </c>
      <c r="W600">
        <v>86</v>
      </c>
      <c r="X600" s="151" t="s">
        <v>2035</v>
      </c>
      <c r="Y600" s="135" t="s">
        <v>55</v>
      </c>
      <c r="Z600" s="307">
        <v>203</v>
      </c>
      <c r="AB600" t="str">
        <f>IF(Table1[[#This Row],[TIPO2]]="costo", VLOOKUP(Table1[[#This Row],[PARTIDA PRESUPUESTAL]],'Cost Report'!G:G,1,0),"Balance")</f>
        <v>2508-003</v>
      </c>
      <c r="AC600" s="118"/>
      <c r="AD600" s="159">
        <f>+Table1[[#This Row],[SUBTOTAL]]+Table1[[#This Row],[IVA]]-Table1[[#This Row],[RET IVA]]-Table1[[#This Row],[RET ISR]]-Table1[[#This Row],[TOTAL]]</f>
        <v>0</v>
      </c>
      <c r="AE600" s="150"/>
      <c r="AF600" s="151"/>
      <c r="AG600" s="126"/>
      <c r="AH600" s="115"/>
      <c r="AK600" s="306" t="str">
        <f>IF(ISNUMBER(Table1[[#This Row],[FECHA DE RECIBIDO]]), Table1[[#This Row],[FECHA DE RECIBIDO]]-DATE(2023,8,30), "")</f>
        <v/>
      </c>
    </row>
    <row r="601" spans="1:37" ht="15" customHeight="1">
      <c r="A601" s="152" t="s">
        <v>2036</v>
      </c>
      <c r="B601" s="153">
        <v>271</v>
      </c>
      <c r="C601" s="126" t="s">
        <v>69</v>
      </c>
      <c r="D601"/>
      <c r="E601" s="126" t="s">
        <v>1911</v>
      </c>
      <c r="F601" s="125" t="s">
        <v>1911</v>
      </c>
      <c r="G601" s="125" t="s">
        <v>1911</v>
      </c>
      <c r="H601"/>
      <c r="I601" s="125" t="s">
        <v>1911</v>
      </c>
      <c r="J601" s="308" t="s">
        <v>214</v>
      </c>
      <c r="K601" s="127" t="s">
        <v>1785</v>
      </c>
      <c r="L601" s="153" t="s">
        <v>118</v>
      </c>
      <c r="M601">
        <v>164</v>
      </c>
      <c r="N601" s="123">
        <v>51</v>
      </c>
      <c r="O601">
        <v>377</v>
      </c>
      <c r="P601" s="131" t="s">
        <v>78</v>
      </c>
      <c r="Q601" s="236">
        <v>30000</v>
      </c>
      <c r="R601" s="132">
        <v>0</v>
      </c>
      <c r="S601" s="132">
        <v>0</v>
      </c>
      <c r="T601" s="156">
        <v>0</v>
      </c>
      <c r="U601" s="132">
        <v>0</v>
      </c>
      <c r="V601" s="132">
        <v>30000</v>
      </c>
      <c r="W601">
        <v>87</v>
      </c>
      <c r="X601" s="153" t="s">
        <v>2037</v>
      </c>
      <c r="Y601" s="124" t="s">
        <v>55</v>
      </c>
      <c r="Z601" s="308">
        <v>203</v>
      </c>
      <c r="AB601" t="str">
        <f>IF(Table1[[#This Row],[TIPO2]]="costo", VLOOKUP(Table1[[#This Row],[PARTIDA PRESUPUESTAL]],'Cost Report'!G:G,1,0),"Balance")</f>
        <v>Balance</v>
      </c>
      <c r="AC601" s="118"/>
      <c r="AD601" s="159">
        <f>+Table1[[#This Row],[SUBTOTAL]]+Table1[[#This Row],[IVA]]-Table1[[#This Row],[RET IVA]]-Table1[[#This Row],[RET ISR]]-Table1[[#This Row],[TOTAL]]</f>
        <v>0</v>
      </c>
      <c r="AE601" s="152"/>
      <c r="AF601" s="153"/>
      <c r="AG601" s="126"/>
      <c r="AH601" s="115"/>
      <c r="AK601" s="306" t="str">
        <f>IF(ISNUMBER(Table1[[#This Row],[FECHA DE RECIBIDO]]), Table1[[#This Row],[FECHA DE RECIBIDO]]-DATE(2023,8,30), "")</f>
        <v/>
      </c>
    </row>
    <row r="602" spans="1:37" ht="15" customHeight="1">
      <c r="A602" s="150" t="s">
        <v>2038</v>
      </c>
      <c r="B602" s="151">
        <v>272</v>
      </c>
      <c r="C602" s="126" t="s">
        <v>467</v>
      </c>
      <c r="D602">
        <v>356</v>
      </c>
      <c r="E602" s="126" t="s">
        <v>1605</v>
      </c>
      <c r="F602" s="122" t="s">
        <v>1607</v>
      </c>
      <c r="G602" s="122" t="s">
        <v>134</v>
      </c>
      <c r="H602">
        <v>5</v>
      </c>
      <c r="I602" s="122" t="s">
        <v>1546</v>
      </c>
      <c r="J602" s="307" t="s">
        <v>214</v>
      </c>
      <c r="K602" s="127" t="s">
        <v>1785</v>
      </c>
      <c r="L602" s="151" t="s">
        <v>118</v>
      </c>
      <c r="M602">
        <v>5</v>
      </c>
      <c r="N602" s="123">
        <v>0</v>
      </c>
      <c r="O602">
        <v>378</v>
      </c>
      <c r="P602" s="132" t="s">
        <v>77</v>
      </c>
      <c r="Q602" s="131">
        <v>46000</v>
      </c>
      <c r="R602" s="131">
        <f t="shared" ref="R602:R604" si="17">Q602*0.16</f>
        <v>7360</v>
      </c>
      <c r="S602" s="131"/>
      <c r="T602" s="155">
        <v>0</v>
      </c>
      <c r="U602" s="131">
        <v>0</v>
      </c>
      <c r="V602" s="131">
        <f t="shared" ref="V602:V606" si="18">+Q602+R602-T602-U602</f>
        <v>53360</v>
      </c>
      <c r="W602">
        <v>4</v>
      </c>
      <c r="X602" s="151" t="s">
        <v>1472</v>
      </c>
      <c r="Y602" s="135" t="s">
        <v>55</v>
      </c>
      <c r="Z602" s="307">
        <v>203</v>
      </c>
      <c r="AB602" t="str">
        <f>IF(Table1[[#This Row],[TIPO2]]="costo", VLOOKUP(Table1[[#This Row],[PARTIDA PRESUPUESTAL]],'Cost Report'!G:G,1,0),"Balance")</f>
        <v>2010-011</v>
      </c>
      <c r="AC602" s="118"/>
      <c r="AD602" s="159">
        <f>+Table1[[#This Row],[SUBTOTAL]]+Table1[[#This Row],[IVA]]-Table1[[#This Row],[RET IVA]]-Table1[[#This Row],[RET ISR]]-Table1[[#This Row],[TOTAL]]</f>
        <v>0</v>
      </c>
      <c r="AE602" s="150"/>
      <c r="AF602" s="151"/>
      <c r="AG602" s="126"/>
      <c r="AH602" s="115"/>
      <c r="AK602" s="306" t="str">
        <f>IF(ISNUMBER(Table1[[#This Row],[FECHA DE RECIBIDO]]), Table1[[#This Row],[FECHA DE RECIBIDO]]-DATE(2023,8,30), "")</f>
        <v/>
      </c>
    </row>
    <row r="603" spans="1:37" ht="15" customHeight="1">
      <c r="A603" s="152"/>
      <c r="B603" s="153"/>
      <c r="C603" s="126" t="s">
        <v>2394</v>
      </c>
      <c r="D603">
        <v>356</v>
      </c>
      <c r="E603" s="126" t="s">
        <v>1605</v>
      </c>
      <c r="F603" s="125" t="s">
        <v>1607</v>
      </c>
      <c r="G603" s="125" t="s">
        <v>134</v>
      </c>
      <c r="H603">
        <v>5</v>
      </c>
      <c r="I603" s="125" t="s">
        <v>1546</v>
      </c>
      <c r="J603" s="308" t="s">
        <v>214</v>
      </c>
      <c r="K603" s="127" t="s">
        <v>1785</v>
      </c>
      <c r="L603" s="153" t="s">
        <v>118</v>
      </c>
      <c r="M603">
        <v>5</v>
      </c>
      <c r="N603" s="123">
        <v>0</v>
      </c>
      <c r="O603">
        <v>378</v>
      </c>
      <c r="P603" s="132" t="s">
        <v>77</v>
      </c>
      <c r="Q603" s="132">
        <v>24000</v>
      </c>
      <c r="R603" s="132">
        <f t="shared" si="17"/>
        <v>3840</v>
      </c>
      <c r="S603" s="132"/>
      <c r="T603" s="156">
        <v>0</v>
      </c>
      <c r="U603" s="132">
        <v>0</v>
      </c>
      <c r="V603" s="132">
        <f t="shared" si="18"/>
        <v>27840</v>
      </c>
      <c r="W603">
        <v>4</v>
      </c>
      <c r="X603" s="153" t="s">
        <v>1472</v>
      </c>
      <c r="Y603" s="124" t="s">
        <v>55</v>
      </c>
      <c r="Z603" s="308">
        <v>203</v>
      </c>
      <c r="AB603" t="str">
        <f>IF(Table1[[#This Row],[TIPO2]]="costo", VLOOKUP(Table1[[#This Row],[PARTIDA PRESUPUESTAL]],'Cost Report'!G:G,1,0),"Balance")</f>
        <v>2011-004</v>
      </c>
      <c r="AC603" s="118"/>
      <c r="AD603" s="159">
        <f>+Table1[[#This Row],[SUBTOTAL]]+Table1[[#This Row],[IVA]]-Table1[[#This Row],[RET IVA]]-Table1[[#This Row],[RET ISR]]-Table1[[#This Row],[TOTAL]]</f>
        <v>0</v>
      </c>
      <c r="AE603" s="152"/>
      <c r="AF603" s="153"/>
      <c r="AG603" s="126"/>
      <c r="AH603" s="115"/>
      <c r="AK603" s="306" t="str">
        <f>IF(ISNUMBER(Table1[[#This Row],[FECHA DE RECIBIDO]]), Table1[[#This Row],[FECHA DE RECIBIDO]]-DATE(2023,8,30), "")</f>
        <v/>
      </c>
    </row>
    <row r="604" spans="1:37" ht="15" customHeight="1">
      <c r="A604" s="150"/>
      <c r="B604" s="151"/>
      <c r="C604" s="126" t="s">
        <v>2400</v>
      </c>
      <c r="D604">
        <v>356</v>
      </c>
      <c r="E604" s="126" t="s">
        <v>1605</v>
      </c>
      <c r="F604" s="122" t="s">
        <v>1607</v>
      </c>
      <c r="G604" s="122" t="s">
        <v>134</v>
      </c>
      <c r="H604">
        <v>5</v>
      </c>
      <c r="I604" s="122" t="s">
        <v>1546</v>
      </c>
      <c r="J604" s="307" t="s">
        <v>214</v>
      </c>
      <c r="K604" s="127" t="s">
        <v>1785</v>
      </c>
      <c r="L604" s="151" t="s">
        <v>118</v>
      </c>
      <c r="M604">
        <v>5</v>
      </c>
      <c r="N604" s="123">
        <v>0</v>
      </c>
      <c r="O604">
        <v>378</v>
      </c>
      <c r="P604" s="132" t="s">
        <v>77</v>
      </c>
      <c r="Q604" s="131">
        <v>20000</v>
      </c>
      <c r="R604" s="131">
        <f t="shared" si="17"/>
        <v>3200</v>
      </c>
      <c r="S604" s="131"/>
      <c r="T604" s="155">
        <v>0</v>
      </c>
      <c r="U604" s="131">
        <v>0</v>
      </c>
      <c r="V604" s="131">
        <f t="shared" si="18"/>
        <v>23200</v>
      </c>
      <c r="W604">
        <v>4</v>
      </c>
      <c r="X604" s="151" t="s">
        <v>1472</v>
      </c>
      <c r="Y604" s="135" t="s">
        <v>55</v>
      </c>
      <c r="Z604" s="307">
        <v>203</v>
      </c>
      <c r="AB604" t="str">
        <f>IF(Table1[[#This Row],[TIPO2]]="costo", VLOOKUP(Table1[[#This Row],[PARTIDA PRESUPUESTAL]],'Cost Report'!G:G,1,0),"Balance")</f>
        <v>2011-012</v>
      </c>
      <c r="AC604" s="118"/>
      <c r="AD604" s="159">
        <f>+Table1[[#This Row],[SUBTOTAL]]+Table1[[#This Row],[IVA]]-Table1[[#This Row],[RET IVA]]-Table1[[#This Row],[RET ISR]]-Table1[[#This Row],[TOTAL]]</f>
        <v>0</v>
      </c>
      <c r="AE604" s="150"/>
      <c r="AF604" s="151"/>
      <c r="AG604" s="126"/>
      <c r="AH604" s="115"/>
      <c r="AK604" s="306" t="str">
        <f>IF(ISNUMBER(Table1[[#This Row],[FECHA DE RECIBIDO]]), Table1[[#This Row],[FECHA DE RECIBIDO]]-DATE(2023,8,30), "")</f>
        <v/>
      </c>
    </row>
    <row r="605" spans="1:37" ht="15" customHeight="1">
      <c r="A605" s="152"/>
      <c r="B605" s="153">
        <v>273</v>
      </c>
      <c r="C605" s="126" t="s">
        <v>3087</v>
      </c>
      <c r="D605">
        <v>357</v>
      </c>
      <c r="E605" s="126" t="s">
        <v>1605</v>
      </c>
      <c r="F605" s="125" t="s">
        <v>1607</v>
      </c>
      <c r="G605" s="125" t="s">
        <v>134</v>
      </c>
      <c r="H605">
        <v>5</v>
      </c>
      <c r="I605" s="125" t="s">
        <v>1546</v>
      </c>
      <c r="J605" s="308" t="s">
        <v>214</v>
      </c>
      <c r="K605" s="127" t="s">
        <v>1785</v>
      </c>
      <c r="L605" s="153" t="s">
        <v>118</v>
      </c>
      <c r="M605">
        <v>5</v>
      </c>
      <c r="N605" s="123">
        <v>0</v>
      </c>
      <c r="O605">
        <v>379</v>
      </c>
      <c r="P605" s="132" t="s">
        <v>77</v>
      </c>
      <c r="Q605" s="132">
        <v>11000</v>
      </c>
      <c r="R605" s="132">
        <v>1760</v>
      </c>
      <c r="S605" s="132"/>
      <c r="T605" s="156">
        <v>0</v>
      </c>
      <c r="U605" s="132">
        <v>0</v>
      </c>
      <c r="V605" s="132">
        <f t="shared" si="18"/>
        <v>12760</v>
      </c>
      <c r="W605">
        <v>4</v>
      </c>
      <c r="X605" s="153" t="s">
        <v>1472</v>
      </c>
      <c r="Y605" s="124" t="s">
        <v>55</v>
      </c>
      <c r="Z605" s="308">
        <v>203</v>
      </c>
      <c r="AB605" t="str">
        <f>IF(Table1[[#This Row],[TIPO2]]="costo", VLOOKUP(Table1[[#This Row],[PARTIDA PRESUPUESTAL]],'Cost Report'!G:G,1,0),"Balance")</f>
        <v>7001-004</v>
      </c>
      <c r="AC605" s="118"/>
      <c r="AD605" s="159">
        <f>+Table1[[#This Row],[SUBTOTAL]]+Table1[[#This Row],[IVA]]-Table1[[#This Row],[RET IVA]]-Table1[[#This Row],[RET ISR]]-Table1[[#This Row],[TOTAL]]</f>
        <v>0</v>
      </c>
      <c r="AE605" s="152"/>
      <c r="AF605" s="153"/>
      <c r="AG605" s="126"/>
      <c r="AH605" s="115"/>
      <c r="AK605" s="306" t="str">
        <f>IF(ISNUMBER(Table1[[#This Row],[FECHA DE RECIBIDO]]), Table1[[#This Row],[FECHA DE RECIBIDO]]-DATE(2023,8,30), "")</f>
        <v/>
      </c>
    </row>
    <row r="606" spans="1:37" s="271" customFormat="1" ht="15" customHeight="1">
      <c r="A606" s="299"/>
      <c r="B606" s="300">
        <v>274</v>
      </c>
      <c r="C606" s="285" t="s">
        <v>3093</v>
      </c>
      <c r="D606">
        <v>358</v>
      </c>
      <c r="E606" s="285" t="s">
        <v>1605</v>
      </c>
      <c r="F606" s="301" t="s">
        <v>1607</v>
      </c>
      <c r="G606" s="301" t="s">
        <v>134</v>
      </c>
      <c r="H606">
        <v>5</v>
      </c>
      <c r="I606" s="301" t="s">
        <v>1546</v>
      </c>
      <c r="J606" s="310" t="s">
        <v>214</v>
      </c>
      <c r="K606" s="293" t="s">
        <v>1785</v>
      </c>
      <c r="L606" s="300" t="s">
        <v>118</v>
      </c>
      <c r="M606">
        <v>5</v>
      </c>
      <c r="N606" s="294">
        <v>0</v>
      </c>
      <c r="O606">
        <v>380</v>
      </c>
      <c r="P606" s="295" t="s">
        <v>78</v>
      </c>
      <c r="Q606" s="295">
        <v>25000</v>
      </c>
      <c r="R606" s="295">
        <v>4000</v>
      </c>
      <c r="S606" s="295"/>
      <c r="T606" s="302">
        <v>0</v>
      </c>
      <c r="U606" s="295">
        <v>0</v>
      </c>
      <c r="V606" s="295">
        <f t="shared" si="18"/>
        <v>29000</v>
      </c>
      <c r="W606">
        <v>4</v>
      </c>
      <c r="X606" s="300" t="s">
        <v>1472</v>
      </c>
      <c r="Y606" s="283" t="s">
        <v>55</v>
      </c>
      <c r="Z606" s="310">
        <v>203</v>
      </c>
      <c r="AB606" s="271" t="str">
        <f>IF(Table1[[#This Row],[TIPO2]]="costo", VLOOKUP(Table1[[#This Row],[PARTIDA PRESUPUESTAL]],'Cost Report'!G:G,1,0),"Balance")</f>
        <v>Balance</v>
      </c>
      <c r="AC606" s="298"/>
      <c r="AD606" s="272">
        <f>+Table1[[#This Row],[SUBTOTAL]]+Table1[[#This Row],[IVA]]-Table1[[#This Row],[RET IVA]]-Table1[[#This Row],[RET ISR]]-Table1[[#This Row],[TOTAL]]</f>
        <v>0</v>
      </c>
      <c r="AE606" s="299"/>
      <c r="AF606" s="300"/>
      <c r="AG606" s="285"/>
      <c r="AH606" s="303"/>
      <c r="AK606" s="306" t="str">
        <f>IF(ISNUMBER(Table1[[#This Row],[FECHA DE RECIBIDO]]), Table1[[#This Row],[FECHA DE RECIBIDO]]-DATE(2023,8,30), "")</f>
        <v/>
      </c>
    </row>
    <row r="607" spans="1:37" ht="15" customHeight="1">
      <c r="A607" s="152" t="s">
        <v>2040</v>
      </c>
      <c r="B607" s="153">
        <v>281</v>
      </c>
      <c r="C607" s="126" t="s">
        <v>1407</v>
      </c>
      <c r="D607">
        <v>359</v>
      </c>
      <c r="E607" s="126">
        <v>11010</v>
      </c>
      <c r="F607" s="125">
        <v>601</v>
      </c>
      <c r="G607" s="125" t="s">
        <v>134</v>
      </c>
      <c r="H607">
        <v>125</v>
      </c>
      <c r="I607" s="125" t="s">
        <v>1546</v>
      </c>
      <c r="J607" s="308">
        <v>197.77795138888905</v>
      </c>
      <c r="K607" s="127" t="s">
        <v>1785</v>
      </c>
      <c r="L607" s="153" t="s">
        <v>118</v>
      </c>
      <c r="M607">
        <v>165</v>
      </c>
      <c r="N607" s="123">
        <v>1</v>
      </c>
      <c r="O607">
        <v>381</v>
      </c>
      <c r="P607" s="132" t="s">
        <v>77</v>
      </c>
      <c r="Q607" s="132">
        <f>293534+200</f>
        <v>293734</v>
      </c>
      <c r="R607" s="132">
        <f t="shared" ref="R607:R610" si="19">Q607*0.16</f>
        <v>46997.440000000002</v>
      </c>
      <c r="S607" s="132">
        <v>0</v>
      </c>
      <c r="T607" s="156">
        <v>0</v>
      </c>
      <c r="U607" s="132">
        <v>0</v>
      </c>
      <c r="V607" s="132">
        <f t="shared" ref="V607:V610" si="20">Q607+R607</f>
        <v>340731.44</v>
      </c>
      <c r="W607">
        <v>88</v>
      </c>
      <c r="X607" s="153" t="s">
        <v>2041</v>
      </c>
      <c r="Y607" s="124" t="s">
        <v>55</v>
      </c>
      <c r="Z607" s="308">
        <v>203</v>
      </c>
      <c r="AB607" t="str">
        <f>IF(Table1[[#This Row],[TIPO2]]="costo", VLOOKUP(Table1[[#This Row],[PARTIDA PRESUPUESTAL]],'Cost Report'!G:G,1,0),"Balance")</f>
        <v>7201-003</v>
      </c>
      <c r="AC607" s="118"/>
      <c r="AD607" s="159">
        <f>+Table1[[#This Row],[SUBTOTAL]]+Table1[[#This Row],[IVA]]-Table1[[#This Row],[RET IVA]]-Table1[[#This Row],[RET ISR]]-Table1[[#This Row],[TOTAL]]</f>
        <v>0</v>
      </c>
      <c r="AE607" s="152"/>
      <c r="AF607" s="153"/>
      <c r="AG607" s="126"/>
      <c r="AH607" s="115"/>
      <c r="AK607" s="306">
        <f>IF(ISNUMBER(Table1[[#This Row],[FECHA DE RECIBIDO]]), Table1[[#This Row],[FECHA DE RECIBIDO]]-DATE(2023,8,30), "")</f>
        <v>-44970.222048611111</v>
      </c>
    </row>
    <row r="608" spans="1:37" ht="15" customHeight="1">
      <c r="A608" s="150"/>
      <c r="B608" s="151">
        <v>282</v>
      </c>
      <c r="C608" s="126" t="s">
        <v>1407</v>
      </c>
      <c r="D608">
        <v>360</v>
      </c>
      <c r="E608" s="126">
        <v>11010</v>
      </c>
      <c r="F608" s="122">
        <v>601</v>
      </c>
      <c r="G608" s="122" t="s">
        <v>134</v>
      </c>
      <c r="H608">
        <v>125</v>
      </c>
      <c r="I608" s="122" t="s">
        <v>1546</v>
      </c>
      <c r="J608" s="307">
        <v>197.7710069444438</v>
      </c>
      <c r="K608" s="127" t="s">
        <v>1785</v>
      </c>
      <c r="L608" s="151" t="s">
        <v>118</v>
      </c>
      <c r="M608">
        <v>165</v>
      </c>
      <c r="N608" s="123">
        <v>1</v>
      </c>
      <c r="O608">
        <v>381</v>
      </c>
      <c r="P608" s="132" t="s">
        <v>77</v>
      </c>
      <c r="Q608" s="131">
        <v>85200</v>
      </c>
      <c r="R608" s="131">
        <f t="shared" si="19"/>
        <v>13632</v>
      </c>
      <c r="S608" s="131">
        <v>0</v>
      </c>
      <c r="T608" s="155">
        <v>0</v>
      </c>
      <c r="U608" s="131">
        <v>0</v>
      </c>
      <c r="V608" s="131">
        <f t="shared" si="20"/>
        <v>98832</v>
      </c>
      <c r="W608">
        <v>88</v>
      </c>
      <c r="X608" s="151" t="s">
        <v>2041</v>
      </c>
      <c r="Y608" s="135" t="s">
        <v>55</v>
      </c>
      <c r="Z608" s="307">
        <v>203</v>
      </c>
      <c r="AB608" t="str">
        <f>IF(Table1[[#This Row],[TIPO2]]="costo", VLOOKUP(Table1[[#This Row],[PARTIDA PRESUPUESTAL]],'Cost Report'!G:G,1,0),"Balance")</f>
        <v>7201-003</v>
      </c>
      <c r="AC608" s="118"/>
      <c r="AD608" s="159">
        <f>+Table1[[#This Row],[SUBTOTAL]]+Table1[[#This Row],[IVA]]-Table1[[#This Row],[RET IVA]]-Table1[[#This Row],[RET ISR]]-Table1[[#This Row],[TOTAL]]</f>
        <v>0</v>
      </c>
      <c r="AE608" s="150"/>
      <c r="AF608" s="151"/>
      <c r="AG608" s="126"/>
      <c r="AH608" s="115"/>
      <c r="AK608" s="306">
        <f>IF(ISNUMBER(Table1[[#This Row],[FECHA DE RECIBIDO]]), Table1[[#This Row],[FECHA DE RECIBIDO]]-DATE(2023,8,30), "")</f>
        <v>-44970.228993055556</v>
      </c>
    </row>
    <row r="609" spans="1:37" ht="15" customHeight="1">
      <c r="A609" s="152"/>
      <c r="B609" s="153">
        <v>283</v>
      </c>
      <c r="C609" s="126" t="s">
        <v>1407</v>
      </c>
      <c r="D609">
        <v>361</v>
      </c>
      <c r="E609" s="126">
        <v>11010</v>
      </c>
      <c r="F609" s="125">
        <v>601</v>
      </c>
      <c r="G609" s="125" t="s">
        <v>134</v>
      </c>
      <c r="H609">
        <v>125</v>
      </c>
      <c r="I609" s="125" t="s">
        <v>1546</v>
      </c>
      <c r="J609" s="308">
        <v>197.76406249999854</v>
      </c>
      <c r="K609" s="127" t="s">
        <v>1785</v>
      </c>
      <c r="L609" s="153" t="s">
        <v>118</v>
      </c>
      <c r="M609">
        <v>165</v>
      </c>
      <c r="N609" s="123">
        <v>1</v>
      </c>
      <c r="O609">
        <v>381</v>
      </c>
      <c r="P609" s="132" t="s">
        <v>77</v>
      </c>
      <c r="Q609" s="132">
        <f>476236.02+200</f>
        <v>476436.02</v>
      </c>
      <c r="R609" s="132">
        <f t="shared" si="19"/>
        <v>76229.763200000001</v>
      </c>
      <c r="S609" s="132">
        <v>0</v>
      </c>
      <c r="T609" s="156">
        <v>0</v>
      </c>
      <c r="U609" s="132">
        <v>0</v>
      </c>
      <c r="V609" s="132">
        <f t="shared" si="20"/>
        <v>552665.78320000006</v>
      </c>
      <c r="W609">
        <v>88</v>
      </c>
      <c r="X609" s="153" t="s">
        <v>2041</v>
      </c>
      <c r="Y609" s="124" t="s">
        <v>55</v>
      </c>
      <c r="Z609" s="308">
        <v>203</v>
      </c>
      <c r="AB609" t="str">
        <f>IF(Table1[[#This Row],[TIPO2]]="costo", VLOOKUP(Table1[[#This Row],[PARTIDA PRESUPUESTAL]],'Cost Report'!G:G,1,0),"Balance")</f>
        <v>7201-003</v>
      </c>
      <c r="AC609" s="118"/>
      <c r="AD609" s="159">
        <f>+Table1[[#This Row],[SUBTOTAL]]+Table1[[#This Row],[IVA]]-Table1[[#This Row],[RET IVA]]-Table1[[#This Row],[RET ISR]]-Table1[[#This Row],[TOTAL]]</f>
        <v>0</v>
      </c>
      <c r="AE609" s="152"/>
      <c r="AF609" s="153"/>
      <c r="AG609" s="126"/>
      <c r="AH609" s="115"/>
      <c r="AK609" s="306">
        <f>IF(ISNUMBER(Table1[[#This Row],[FECHA DE RECIBIDO]]), Table1[[#This Row],[FECHA DE RECIBIDO]]-DATE(2023,8,30), "")</f>
        <v>-44970.235937500001</v>
      </c>
    </row>
    <row r="610" spans="1:37" ht="15" customHeight="1">
      <c r="A610" s="150"/>
      <c r="B610" s="151">
        <v>284</v>
      </c>
      <c r="C610" s="126" t="s">
        <v>1407</v>
      </c>
      <c r="D610">
        <v>362</v>
      </c>
      <c r="E610" s="126">
        <v>11010</v>
      </c>
      <c r="F610" s="122">
        <v>601</v>
      </c>
      <c r="G610" s="122" t="s">
        <v>134</v>
      </c>
      <c r="H610">
        <v>125</v>
      </c>
      <c r="I610" s="122" t="s">
        <v>1546</v>
      </c>
      <c r="J610" s="307">
        <v>197.77101851852058</v>
      </c>
      <c r="K610" s="127" t="s">
        <v>1785</v>
      </c>
      <c r="L610" s="151" t="s">
        <v>118</v>
      </c>
      <c r="M610">
        <v>165</v>
      </c>
      <c r="N610" s="123">
        <v>1</v>
      </c>
      <c r="O610">
        <v>381</v>
      </c>
      <c r="P610" s="132" t="s">
        <v>77</v>
      </c>
      <c r="Q610" s="131">
        <v>250200</v>
      </c>
      <c r="R610" s="131">
        <f t="shared" si="19"/>
        <v>40032</v>
      </c>
      <c r="S610" s="131">
        <v>0</v>
      </c>
      <c r="T610" s="155">
        <v>0</v>
      </c>
      <c r="U610" s="131">
        <v>0</v>
      </c>
      <c r="V610" s="131">
        <f t="shared" si="20"/>
        <v>290232</v>
      </c>
      <c r="W610">
        <v>88</v>
      </c>
      <c r="X610" s="151" t="s">
        <v>2041</v>
      </c>
      <c r="Y610" s="135" t="s">
        <v>55</v>
      </c>
      <c r="Z610" s="307">
        <v>203</v>
      </c>
      <c r="AB610" t="str">
        <f>IF(Table1[[#This Row],[TIPO2]]="costo", VLOOKUP(Table1[[#This Row],[PARTIDA PRESUPUESTAL]],'Cost Report'!G:G,1,0),"Balance")</f>
        <v>7201-003</v>
      </c>
      <c r="AC610" s="118"/>
      <c r="AD610" s="159">
        <f>+Table1[[#This Row],[SUBTOTAL]]+Table1[[#This Row],[IVA]]-Table1[[#This Row],[RET IVA]]-Table1[[#This Row],[RET ISR]]-Table1[[#This Row],[TOTAL]]</f>
        <v>0</v>
      </c>
      <c r="AE610" s="150"/>
      <c r="AF610" s="151"/>
      <c r="AG610" s="126"/>
      <c r="AH610" s="115"/>
      <c r="AK610" s="306">
        <f>IF(ISNUMBER(Table1[[#This Row],[FECHA DE RECIBIDO]]), Table1[[#This Row],[FECHA DE RECIBIDO]]-DATE(2023,8,30), "")</f>
        <v>-44970.228981481479</v>
      </c>
    </row>
    <row r="611" spans="1:37" ht="15" customHeight="1">
      <c r="A611" s="152" t="s">
        <v>2042</v>
      </c>
      <c r="B611" s="153">
        <v>285</v>
      </c>
      <c r="C611" s="126" t="s">
        <v>2474</v>
      </c>
      <c r="D611">
        <v>363</v>
      </c>
      <c r="E611" s="126" t="s">
        <v>1996</v>
      </c>
      <c r="F611" s="125" t="s">
        <v>1589</v>
      </c>
      <c r="G611" s="125" t="s">
        <v>129</v>
      </c>
      <c r="H611">
        <v>126</v>
      </c>
      <c r="I611" s="125" t="s">
        <v>1546</v>
      </c>
      <c r="J611" s="308" t="s">
        <v>214</v>
      </c>
      <c r="K611" s="127" t="s">
        <v>1785</v>
      </c>
      <c r="L611" s="153" t="s">
        <v>118</v>
      </c>
      <c r="M611">
        <v>166</v>
      </c>
      <c r="N611" s="123">
        <v>51</v>
      </c>
      <c r="O611">
        <v>382</v>
      </c>
      <c r="P611" s="132" t="s">
        <v>77</v>
      </c>
      <c r="Q611" s="132">
        <v>63074</v>
      </c>
      <c r="R611" s="132">
        <v>10091.84</v>
      </c>
      <c r="S611" s="132">
        <v>0</v>
      </c>
      <c r="T611" s="156">
        <v>6727.91</v>
      </c>
      <c r="U611" s="132">
        <v>6307.4</v>
      </c>
      <c r="V611" s="132">
        <f t="shared" ref="V611:V613" si="21">+Q611+R611-T611-U611</f>
        <v>60130.529999999992</v>
      </c>
      <c r="W611">
        <v>89</v>
      </c>
      <c r="X611" s="153" t="s">
        <v>114</v>
      </c>
      <c r="Y611" s="124" t="s">
        <v>55</v>
      </c>
      <c r="Z611" s="308">
        <v>203</v>
      </c>
      <c r="AB611" t="str">
        <f>IF(Table1[[#This Row],[TIPO2]]="costo", VLOOKUP(Table1[[#This Row],[PARTIDA PRESUPUESTAL]],'Cost Report'!G:G,1,0),"Balance")</f>
        <v>2394-021</v>
      </c>
      <c r="AC611" s="118"/>
      <c r="AD611" s="159">
        <f>+Table1[[#This Row],[SUBTOTAL]]+Table1[[#This Row],[IVA]]-Table1[[#This Row],[RET IVA]]-Table1[[#This Row],[RET ISR]]-Table1[[#This Row],[TOTAL]]</f>
        <v>0</v>
      </c>
      <c r="AE611" s="152"/>
      <c r="AF611" s="153"/>
      <c r="AG611" s="126"/>
      <c r="AH611" s="115"/>
      <c r="AK611" s="306" t="str">
        <f>IF(ISNUMBER(Table1[[#This Row],[FECHA DE RECIBIDO]]), Table1[[#This Row],[FECHA DE RECIBIDO]]-DATE(2023,8,30), "")</f>
        <v/>
      </c>
    </row>
    <row r="612" spans="1:37" ht="15" customHeight="1">
      <c r="A612" s="150" t="s">
        <v>2043</v>
      </c>
      <c r="B612" s="151">
        <v>286</v>
      </c>
      <c r="C612" s="126" t="s">
        <v>1505</v>
      </c>
      <c r="D612">
        <v>364</v>
      </c>
      <c r="E612" s="126" t="s">
        <v>3295</v>
      </c>
      <c r="F612" s="122" t="s">
        <v>1593</v>
      </c>
      <c r="G612" s="122" t="s">
        <v>109</v>
      </c>
      <c r="H612">
        <v>127</v>
      </c>
      <c r="I612" s="122" t="s">
        <v>1546</v>
      </c>
      <c r="J612" s="307" t="s">
        <v>214</v>
      </c>
      <c r="K612" s="127" t="s">
        <v>1785</v>
      </c>
      <c r="L612" s="151" t="s">
        <v>118</v>
      </c>
      <c r="M612">
        <v>167</v>
      </c>
      <c r="N612" s="123">
        <v>51</v>
      </c>
      <c r="O612">
        <v>383</v>
      </c>
      <c r="P612" s="132" t="s">
        <v>77</v>
      </c>
      <c r="Q612" s="131">
        <v>50400</v>
      </c>
      <c r="R612" s="131">
        <v>8064</v>
      </c>
      <c r="S612" s="131"/>
      <c r="T612" s="155">
        <v>0</v>
      </c>
      <c r="U612" s="131">
        <v>630</v>
      </c>
      <c r="V612" s="131">
        <f t="shared" si="21"/>
        <v>57834</v>
      </c>
      <c r="W612">
        <v>90</v>
      </c>
      <c r="X612" s="151" t="s">
        <v>2035</v>
      </c>
      <c r="Y612" s="135" t="s">
        <v>55</v>
      </c>
      <c r="Z612" s="307">
        <v>203</v>
      </c>
      <c r="AB612" t="str">
        <f>IF(Table1[[#This Row],[TIPO2]]="costo", VLOOKUP(Table1[[#This Row],[PARTIDA PRESUPUESTAL]],'Cost Report'!G:G,1,0),"Balance")</f>
        <v>2494-003</v>
      </c>
      <c r="AC612" s="118"/>
      <c r="AD612" s="159">
        <f>+Table1[[#This Row],[SUBTOTAL]]+Table1[[#This Row],[IVA]]-Table1[[#This Row],[RET IVA]]-Table1[[#This Row],[RET ISR]]-Table1[[#This Row],[TOTAL]]</f>
        <v>0</v>
      </c>
      <c r="AE612" s="150"/>
      <c r="AF612" s="151"/>
      <c r="AG612" s="126"/>
      <c r="AH612" s="115"/>
      <c r="AK612" s="306" t="str">
        <f>IF(ISNUMBER(Table1[[#This Row],[FECHA DE RECIBIDO]]), Table1[[#This Row],[FECHA DE RECIBIDO]]-DATE(2023,8,30), "")</f>
        <v/>
      </c>
    </row>
    <row r="613" spans="1:37" ht="15" customHeight="1">
      <c r="A613" s="152" t="s">
        <v>2044</v>
      </c>
      <c r="B613" s="153">
        <v>287</v>
      </c>
      <c r="C613" s="126" t="s">
        <v>69</v>
      </c>
      <c r="D613"/>
      <c r="E613" s="126" t="s">
        <v>1911</v>
      </c>
      <c r="F613" s="125" t="s">
        <v>1911</v>
      </c>
      <c r="G613" s="125" t="s">
        <v>1911</v>
      </c>
      <c r="H613"/>
      <c r="I613" s="125" t="s">
        <v>1911</v>
      </c>
      <c r="J613" s="308" t="s">
        <v>214</v>
      </c>
      <c r="K613" s="127" t="s">
        <v>1785</v>
      </c>
      <c r="L613" s="153" t="s">
        <v>118</v>
      </c>
      <c r="M613">
        <v>160</v>
      </c>
      <c r="N613" s="123">
        <v>51</v>
      </c>
      <c r="O613">
        <v>384</v>
      </c>
      <c r="P613" s="131" t="s">
        <v>78</v>
      </c>
      <c r="Q613" s="236">
        <v>10000</v>
      </c>
      <c r="R613" s="132">
        <v>0</v>
      </c>
      <c r="S613" s="132">
        <v>0</v>
      </c>
      <c r="T613" s="156">
        <v>0</v>
      </c>
      <c r="U613" s="132">
        <v>0</v>
      </c>
      <c r="V613" s="132">
        <f t="shared" si="21"/>
        <v>10000</v>
      </c>
      <c r="W613">
        <v>84</v>
      </c>
      <c r="X613" s="153" t="s">
        <v>1980</v>
      </c>
      <c r="Y613" s="124" t="s">
        <v>55</v>
      </c>
      <c r="Z613" s="308">
        <v>203</v>
      </c>
      <c r="AB613" t="str">
        <f>IF(Table1[[#This Row],[TIPO2]]="costo", VLOOKUP(Table1[[#This Row],[PARTIDA PRESUPUESTAL]],'Cost Report'!G:G,1,0),"Balance")</f>
        <v>Balance</v>
      </c>
      <c r="AC613" s="118"/>
      <c r="AD613" s="159">
        <f>+Table1[[#This Row],[SUBTOTAL]]+Table1[[#This Row],[IVA]]-Table1[[#This Row],[RET IVA]]-Table1[[#This Row],[RET ISR]]-Table1[[#This Row],[TOTAL]]</f>
        <v>0</v>
      </c>
      <c r="AE613" s="152"/>
      <c r="AF613" s="153"/>
      <c r="AG613" s="126"/>
      <c r="AH613" s="115"/>
      <c r="AK613" s="306" t="str">
        <f>IF(ISNUMBER(Table1[[#This Row],[FECHA DE RECIBIDO]]), Table1[[#This Row],[FECHA DE RECIBIDO]]-DATE(2023,8,30), "")</f>
        <v/>
      </c>
    </row>
    <row r="614" spans="1:37" ht="15" customHeight="1">
      <c r="A614" s="150" t="s">
        <v>2045</v>
      </c>
      <c r="B614" s="151">
        <v>288</v>
      </c>
      <c r="C614" s="126" t="s">
        <v>1732</v>
      </c>
      <c r="D614">
        <v>365</v>
      </c>
      <c r="E614" s="126" t="s">
        <v>2046</v>
      </c>
      <c r="F614" s="122">
        <v>601</v>
      </c>
      <c r="G614" s="122" t="s">
        <v>134</v>
      </c>
      <c r="H614">
        <v>128</v>
      </c>
      <c r="I614" s="122" t="s">
        <v>1546</v>
      </c>
      <c r="J614" s="307">
        <v>204.74746527777461</v>
      </c>
      <c r="K614" s="127" t="s">
        <v>1785</v>
      </c>
      <c r="L614" s="151" t="s">
        <v>118</v>
      </c>
      <c r="M614">
        <v>139</v>
      </c>
      <c r="N614" s="123">
        <v>51</v>
      </c>
      <c r="O614">
        <v>385</v>
      </c>
      <c r="P614" s="132" t="s">
        <v>77</v>
      </c>
      <c r="Q614" s="131">
        <v>21700</v>
      </c>
      <c r="R614" s="131">
        <v>3472</v>
      </c>
      <c r="S614" s="131">
        <v>0</v>
      </c>
      <c r="T614" s="155">
        <v>0</v>
      </c>
      <c r="U614" s="131">
        <v>0</v>
      </c>
      <c r="V614" s="131">
        <f>Q614+R614</f>
        <v>25172</v>
      </c>
      <c r="W614">
        <v>64</v>
      </c>
      <c r="X614" s="151" t="s">
        <v>2047</v>
      </c>
      <c r="Y614" s="135" t="s">
        <v>55</v>
      </c>
      <c r="Z614" s="307">
        <v>203</v>
      </c>
      <c r="AB614" t="str">
        <f>IF(Table1[[#This Row],[TIPO2]]="costo", VLOOKUP(Table1[[#This Row],[PARTIDA PRESUPUESTAL]],'Cost Report'!G:G,1,0),"Balance")</f>
        <v>2494-035</v>
      </c>
      <c r="AC614" s="118"/>
      <c r="AD614" s="159">
        <f>+Table1[[#This Row],[SUBTOTAL]]+Table1[[#This Row],[IVA]]-Table1[[#This Row],[RET IVA]]-Table1[[#This Row],[RET ISR]]-Table1[[#This Row],[TOTAL]]</f>
        <v>0</v>
      </c>
      <c r="AE614" s="150"/>
      <c r="AF614" s="151"/>
      <c r="AG614" s="126"/>
      <c r="AH614" s="115"/>
      <c r="AK614" s="306">
        <f>IF(ISNUMBER(Table1[[#This Row],[FECHA DE RECIBIDO]]), Table1[[#This Row],[FECHA DE RECIBIDO]]-DATE(2023,8,30), "")</f>
        <v>-44963.252534722225</v>
      </c>
    </row>
    <row r="615" spans="1:37" ht="15" customHeight="1">
      <c r="A615" s="152"/>
      <c r="B615" s="153">
        <v>289</v>
      </c>
      <c r="C615" s="126" t="s">
        <v>1505</v>
      </c>
      <c r="D615">
        <v>366</v>
      </c>
      <c r="E615" s="126" t="s">
        <v>2046</v>
      </c>
      <c r="F615" s="125">
        <v>601</v>
      </c>
      <c r="G615" s="125" t="s">
        <v>134</v>
      </c>
      <c r="H615">
        <v>128</v>
      </c>
      <c r="I615" s="125" t="s">
        <v>1546</v>
      </c>
      <c r="J615" s="308">
        <v>204.81028935185168</v>
      </c>
      <c r="K615" s="127" t="s">
        <v>1785</v>
      </c>
      <c r="L615" s="153" t="s">
        <v>118</v>
      </c>
      <c r="M615">
        <v>139</v>
      </c>
      <c r="N615" s="123">
        <v>51</v>
      </c>
      <c r="O615">
        <v>386</v>
      </c>
      <c r="P615" s="132" t="s">
        <v>77</v>
      </c>
      <c r="Q615" s="132">
        <v>162100</v>
      </c>
      <c r="R615" s="132">
        <f>Q615*0.16</f>
        <v>25936</v>
      </c>
      <c r="S615" s="132">
        <v>0</v>
      </c>
      <c r="T615" s="156">
        <v>0</v>
      </c>
      <c r="U615" s="132">
        <v>0</v>
      </c>
      <c r="V615" s="132">
        <f>+Q615+R615-T615-U615</f>
        <v>188036</v>
      </c>
      <c r="W615">
        <v>64</v>
      </c>
      <c r="X615" s="153" t="s">
        <v>2047</v>
      </c>
      <c r="Y615" s="124" t="s">
        <v>55</v>
      </c>
      <c r="Z615" s="308">
        <v>203</v>
      </c>
      <c r="AB615" t="str">
        <f>IF(Table1[[#This Row],[TIPO2]]="costo", VLOOKUP(Table1[[#This Row],[PARTIDA PRESUPUESTAL]],'Cost Report'!G:G,1,0),"Balance")</f>
        <v>2494-003</v>
      </c>
      <c r="AC615" s="118"/>
      <c r="AD615" s="159">
        <f>+Table1[[#This Row],[SUBTOTAL]]+Table1[[#This Row],[IVA]]-Table1[[#This Row],[RET IVA]]-Table1[[#This Row],[RET ISR]]-Table1[[#This Row],[TOTAL]]</f>
        <v>0</v>
      </c>
      <c r="AE615" s="152"/>
      <c r="AF615" s="153"/>
      <c r="AG615" s="126"/>
      <c r="AH615" s="115"/>
      <c r="AK615" s="306">
        <f>IF(ISNUMBER(Table1[[#This Row],[FECHA DE RECIBIDO]]), Table1[[#This Row],[FECHA DE RECIBIDO]]-DATE(2023,8,30), "")</f>
        <v>-44963.189710648148</v>
      </c>
    </row>
    <row r="616" spans="1:37" ht="15" customHeight="1">
      <c r="A616" s="150" t="s">
        <v>2048</v>
      </c>
      <c r="B616" s="151" t="s">
        <v>1576</v>
      </c>
      <c r="C616" s="126" t="s">
        <v>74</v>
      </c>
      <c r="D616">
        <v>367</v>
      </c>
      <c r="E616" s="126" t="s">
        <v>1577</v>
      </c>
      <c r="F616" s="122">
        <v>616</v>
      </c>
      <c r="G616" s="122" t="s">
        <v>1490</v>
      </c>
      <c r="H616">
        <v>0</v>
      </c>
      <c r="I616" s="122" t="s">
        <v>1546</v>
      </c>
      <c r="J616" s="307">
        <v>203.40843750000204</v>
      </c>
      <c r="K616" s="127" t="s">
        <v>1785</v>
      </c>
      <c r="L616" s="151" t="s">
        <v>98</v>
      </c>
      <c r="M616">
        <v>28</v>
      </c>
      <c r="N616" s="123"/>
      <c r="O616">
        <v>369</v>
      </c>
      <c r="P616" s="131" t="s">
        <v>78</v>
      </c>
      <c r="Q616" s="131">
        <v>2700241.48</v>
      </c>
      <c r="R616" s="131">
        <v>0</v>
      </c>
      <c r="S616" s="131"/>
      <c r="T616" s="155">
        <v>0</v>
      </c>
      <c r="U616" s="131">
        <v>0</v>
      </c>
      <c r="V616" s="131">
        <f t="shared" ref="V616:V617" si="22">+Q616+R616-T616-U616</f>
        <v>2700241.48</v>
      </c>
      <c r="W616">
        <v>34</v>
      </c>
      <c r="X616" s="151" t="s">
        <v>1576</v>
      </c>
      <c r="Y616" s="135" t="s">
        <v>55</v>
      </c>
      <c r="Z616" s="307">
        <v>203</v>
      </c>
      <c r="AB616" t="str">
        <f>IF(Table1[[#This Row],[TIPO2]]="costo", VLOOKUP(Table1[[#This Row],[PARTIDA PRESUPUESTAL]],'Cost Report'!G:G,1,0),"Balance")</f>
        <v>Balance</v>
      </c>
      <c r="AC616" s="118"/>
      <c r="AD616" s="159">
        <f>+Table1[[#This Row],[SUBTOTAL]]+Table1[[#This Row],[IVA]]-Table1[[#This Row],[RET IVA]]-Table1[[#This Row],[RET ISR]]-Table1[[#This Row],[TOTAL]]</f>
        <v>0</v>
      </c>
      <c r="AE616" s="150"/>
      <c r="AF616" s="151"/>
      <c r="AG616" s="126"/>
      <c r="AH616" s="115"/>
      <c r="AK616" s="306">
        <f>IF(ISNUMBER(Table1[[#This Row],[FECHA DE RECIBIDO]]), Table1[[#This Row],[FECHA DE RECIBIDO]]-DATE(2023,8,30), "")</f>
        <v>-44964.591562499998</v>
      </c>
    </row>
    <row r="617" spans="1:37" ht="15" customHeight="1">
      <c r="A617" s="152" t="s">
        <v>2049</v>
      </c>
      <c r="B617" s="153" t="s">
        <v>1576</v>
      </c>
      <c r="C617" s="126" t="s">
        <v>75</v>
      </c>
      <c r="D617">
        <v>368</v>
      </c>
      <c r="E617" s="126" t="s">
        <v>1577</v>
      </c>
      <c r="F617" s="125">
        <v>616</v>
      </c>
      <c r="G617" s="125" t="s">
        <v>1490</v>
      </c>
      <c r="H617">
        <v>0</v>
      </c>
      <c r="I617" s="125" t="s">
        <v>1546</v>
      </c>
      <c r="J617" s="308">
        <v>203.40843750000204</v>
      </c>
      <c r="K617" s="127" t="s">
        <v>1785</v>
      </c>
      <c r="L617" s="153" t="s">
        <v>98</v>
      </c>
      <c r="M617">
        <v>28</v>
      </c>
      <c r="N617" s="123"/>
      <c r="O617">
        <v>23</v>
      </c>
      <c r="P617" s="131" t="s">
        <v>78</v>
      </c>
      <c r="Q617" s="132">
        <v>432038.64</v>
      </c>
      <c r="R617" s="132">
        <v>0</v>
      </c>
      <c r="S617" s="132"/>
      <c r="T617" s="156">
        <v>0</v>
      </c>
      <c r="U617" s="132">
        <v>0</v>
      </c>
      <c r="V617" s="132">
        <f t="shared" si="22"/>
        <v>432038.64</v>
      </c>
      <c r="W617">
        <v>34</v>
      </c>
      <c r="X617" s="153" t="s">
        <v>1576</v>
      </c>
      <c r="Y617" s="124" t="s">
        <v>55</v>
      </c>
      <c r="Z617" s="308">
        <v>203</v>
      </c>
      <c r="AB617" t="str">
        <f>IF(Table1[[#This Row],[TIPO2]]="costo", VLOOKUP(Table1[[#This Row],[PARTIDA PRESUPUESTAL]],'Cost Report'!G:G,1,0),"Balance")</f>
        <v>Balance</v>
      </c>
      <c r="AC617" s="118"/>
      <c r="AD617" s="159">
        <f>+Table1[[#This Row],[SUBTOTAL]]+Table1[[#This Row],[IVA]]-Table1[[#This Row],[RET IVA]]-Table1[[#This Row],[RET ISR]]-Table1[[#This Row],[TOTAL]]</f>
        <v>0</v>
      </c>
      <c r="AE617" s="152"/>
      <c r="AF617" s="153"/>
      <c r="AG617" s="126"/>
      <c r="AH617" s="115"/>
      <c r="AK617" s="306">
        <f>IF(ISNUMBER(Table1[[#This Row],[FECHA DE RECIBIDO]]), Table1[[#This Row],[FECHA DE RECIBIDO]]-DATE(2023,8,30), "")</f>
        <v>-44964.591562499998</v>
      </c>
    </row>
    <row r="618" spans="1:37" ht="15" customHeight="1">
      <c r="A618" s="150" t="s">
        <v>2050</v>
      </c>
      <c r="B618" s="151" t="s">
        <v>1576</v>
      </c>
      <c r="C618" s="126" t="s">
        <v>72</v>
      </c>
      <c r="D618"/>
      <c r="E618" s="126"/>
      <c r="F618" s="122"/>
      <c r="G618" s="122" t="s">
        <v>134</v>
      </c>
      <c r="H618"/>
      <c r="I618" s="122" t="s">
        <v>1546</v>
      </c>
      <c r="J618" s="307" t="s">
        <v>214</v>
      </c>
      <c r="K618" s="127" t="s">
        <v>1785</v>
      </c>
      <c r="L618" s="151" t="s">
        <v>156</v>
      </c>
      <c r="M618"/>
      <c r="N618" s="123"/>
      <c r="O618">
        <v>387</v>
      </c>
      <c r="P618" s="131" t="s">
        <v>78</v>
      </c>
      <c r="Q618" s="131">
        <v>304197.76000000001</v>
      </c>
      <c r="R618" s="131">
        <v>0</v>
      </c>
      <c r="S618" s="131"/>
      <c r="T618" s="155">
        <v>0</v>
      </c>
      <c r="U618" s="131">
        <v>0</v>
      </c>
      <c r="V618" s="131">
        <v>304197.76000000001</v>
      </c>
      <c r="W618">
        <v>35</v>
      </c>
      <c r="X618" s="151" t="s">
        <v>157</v>
      </c>
      <c r="Y618" s="135" t="s">
        <v>55</v>
      </c>
      <c r="Z618" s="307">
        <v>203</v>
      </c>
      <c r="AB618" t="str">
        <f>IF(Table1[[#This Row],[TIPO2]]="costo", VLOOKUP(Table1[[#This Row],[PARTIDA PRESUPUESTAL]],'Cost Report'!G:G,1,0),"Balance")</f>
        <v>Balance</v>
      </c>
      <c r="AC618" s="118"/>
      <c r="AD618" s="159">
        <f>+Table1[[#This Row],[SUBTOTAL]]+Table1[[#This Row],[IVA]]-Table1[[#This Row],[RET IVA]]-Table1[[#This Row],[RET ISR]]-Table1[[#This Row],[TOTAL]]</f>
        <v>0</v>
      </c>
      <c r="AE618" s="150"/>
      <c r="AF618" s="151"/>
      <c r="AG618" s="126"/>
      <c r="AH618" s="115"/>
      <c r="AK618" s="306" t="str">
        <f>IF(ISNUMBER(Table1[[#This Row],[FECHA DE RECIBIDO]]), Table1[[#This Row],[FECHA DE RECIBIDO]]-DATE(2023,8,30), "")</f>
        <v/>
      </c>
    </row>
    <row r="619" spans="1:37" ht="15" customHeight="1">
      <c r="A619" s="152" t="s">
        <v>2051</v>
      </c>
      <c r="B619" s="153" t="s">
        <v>1576</v>
      </c>
      <c r="C619" s="126" t="s">
        <v>73</v>
      </c>
      <c r="D619"/>
      <c r="E619" s="126"/>
      <c r="F619" s="125"/>
      <c r="G619" s="125" t="s">
        <v>134</v>
      </c>
      <c r="H619"/>
      <c r="I619" s="125" t="s">
        <v>1546</v>
      </c>
      <c r="J619" s="308" t="s">
        <v>214</v>
      </c>
      <c r="K619" s="127" t="s">
        <v>1785</v>
      </c>
      <c r="L619" s="153" t="s">
        <v>156</v>
      </c>
      <c r="M619"/>
      <c r="N619" s="123"/>
      <c r="O619">
        <v>388</v>
      </c>
      <c r="P619" s="131" t="s">
        <v>78</v>
      </c>
      <c r="Q619" s="132">
        <v>173808.09</v>
      </c>
      <c r="R619" s="132">
        <v>0</v>
      </c>
      <c r="S619" s="132"/>
      <c r="T619" s="156">
        <v>0</v>
      </c>
      <c r="U619" s="132">
        <v>0</v>
      </c>
      <c r="V619" s="132">
        <v>173808.09</v>
      </c>
      <c r="W619">
        <v>35</v>
      </c>
      <c r="X619" s="153" t="s">
        <v>157</v>
      </c>
      <c r="Y619" s="124" t="s">
        <v>55</v>
      </c>
      <c r="Z619" s="308">
        <v>203</v>
      </c>
      <c r="AB619" t="str">
        <f>IF(Table1[[#This Row],[TIPO2]]="costo", VLOOKUP(Table1[[#This Row],[PARTIDA PRESUPUESTAL]],'Cost Report'!G:G,1,0),"Balance")</f>
        <v>Balance</v>
      </c>
      <c r="AC619" s="118"/>
      <c r="AD619" s="159">
        <f>+Table1[[#This Row],[SUBTOTAL]]+Table1[[#This Row],[IVA]]-Table1[[#This Row],[RET IVA]]-Table1[[#This Row],[RET ISR]]-Table1[[#This Row],[TOTAL]]</f>
        <v>0</v>
      </c>
      <c r="AE619" s="152"/>
      <c r="AF619" s="153"/>
      <c r="AG619" s="126"/>
      <c r="AH619" s="115"/>
      <c r="AK619" s="306" t="str">
        <f>IF(ISNUMBER(Table1[[#This Row],[FECHA DE RECIBIDO]]), Table1[[#This Row],[FECHA DE RECIBIDO]]-DATE(2023,8,30), "")</f>
        <v/>
      </c>
    </row>
    <row r="620" spans="1:37" ht="15" customHeight="1">
      <c r="A620" s="150" t="s">
        <v>2053</v>
      </c>
      <c r="B620" s="151">
        <v>261</v>
      </c>
      <c r="C620" s="126" t="s">
        <v>1141</v>
      </c>
      <c r="D620">
        <v>369</v>
      </c>
      <c r="E620" s="126">
        <v>45110</v>
      </c>
      <c r="F620" s="122">
        <v>601</v>
      </c>
      <c r="G620" s="122" t="s">
        <v>134</v>
      </c>
      <c r="H620">
        <v>24</v>
      </c>
      <c r="I620" s="122" t="s">
        <v>1546</v>
      </c>
      <c r="J620" s="307" t="s">
        <v>214</v>
      </c>
      <c r="K620" s="127">
        <v>-3</v>
      </c>
      <c r="L620" s="151" t="s">
        <v>2054</v>
      </c>
      <c r="M620">
        <v>168</v>
      </c>
      <c r="N620" s="123">
        <v>1</v>
      </c>
      <c r="O620">
        <v>389</v>
      </c>
      <c r="P620" s="132" t="s">
        <v>77</v>
      </c>
      <c r="Q620" s="131">
        <v>374400</v>
      </c>
      <c r="R620" s="131">
        <v>59904</v>
      </c>
      <c r="S620" s="131"/>
      <c r="T620" s="155">
        <v>0</v>
      </c>
      <c r="U620" s="131">
        <v>0</v>
      </c>
      <c r="V620" s="131">
        <v>434304</v>
      </c>
      <c r="W620">
        <v>26</v>
      </c>
      <c r="X620" s="151" t="s">
        <v>195</v>
      </c>
      <c r="Y620" s="135" t="s">
        <v>55</v>
      </c>
      <c r="Z620" s="307">
        <v>202</v>
      </c>
      <c r="AB620" t="str">
        <f>IF(Table1[[#This Row],[TIPO2]]="costo", VLOOKUP(Table1[[#This Row],[PARTIDA PRESUPUESTAL]],'Cost Report'!G:G,1,0),"Balance")</f>
        <v>3902-007</v>
      </c>
      <c r="AC620" s="118"/>
      <c r="AD620" s="159">
        <f>+Table1[[#This Row],[SUBTOTAL]]+Table1[[#This Row],[IVA]]-Table1[[#This Row],[RET IVA]]-Table1[[#This Row],[RET ISR]]-Table1[[#This Row],[TOTAL]]</f>
        <v>0</v>
      </c>
      <c r="AE620" s="150"/>
      <c r="AF620" s="151"/>
      <c r="AG620" s="126"/>
      <c r="AH620" s="115"/>
      <c r="AK620" s="306" t="str">
        <f>IF(ISNUMBER(Table1[[#This Row],[FECHA DE RECIBIDO]]), Table1[[#This Row],[FECHA DE RECIBIDO]]-DATE(2023,8,30), "")</f>
        <v/>
      </c>
    </row>
    <row r="621" spans="1:37" ht="15" customHeight="1">
      <c r="A621" s="152"/>
      <c r="B621" s="153"/>
      <c r="C621" s="126" t="s">
        <v>1141</v>
      </c>
      <c r="D621">
        <v>369</v>
      </c>
      <c r="E621" s="126">
        <v>45110</v>
      </c>
      <c r="F621" s="125">
        <v>601</v>
      </c>
      <c r="G621" s="125" t="s">
        <v>134</v>
      </c>
      <c r="H621">
        <v>24</v>
      </c>
      <c r="I621" s="125" t="s">
        <v>1546</v>
      </c>
      <c r="J621" s="308" t="s">
        <v>214</v>
      </c>
      <c r="K621" s="127">
        <v>-3</v>
      </c>
      <c r="L621" s="153" t="s">
        <v>2054</v>
      </c>
      <c r="M621">
        <v>168</v>
      </c>
      <c r="N621" s="123">
        <v>1</v>
      </c>
      <c r="O621">
        <v>389</v>
      </c>
      <c r="P621" s="132" t="s">
        <v>77</v>
      </c>
      <c r="Q621" s="132">
        <v>389366.16</v>
      </c>
      <c r="R621" s="132">
        <v>62298.585599999999</v>
      </c>
      <c r="S621" s="132"/>
      <c r="T621" s="156">
        <v>0</v>
      </c>
      <c r="U621" s="132">
        <v>0</v>
      </c>
      <c r="V621" s="132">
        <v>451664.74559999997</v>
      </c>
      <c r="W621">
        <v>26</v>
      </c>
      <c r="X621" s="153" t="s">
        <v>195</v>
      </c>
      <c r="Y621" s="124" t="s">
        <v>55</v>
      </c>
      <c r="Z621" s="308">
        <v>202</v>
      </c>
      <c r="AB621" t="str">
        <f>IF(Table1[[#This Row],[TIPO2]]="costo", VLOOKUP(Table1[[#This Row],[PARTIDA PRESUPUESTAL]],'Cost Report'!G:G,1,0),"Balance")</f>
        <v>3902-007</v>
      </c>
      <c r="AC621" s="118"/>
      <c r="AD621" s="159">
        <f>+Table1[[#This Row],[SUBTOTAL]]+Table1[[#This Row],[IVA]]-Table1[[#This Row],[RET IVA]]-Table1[[#This Row],[RET ISR]]-Table1[[#This Row],[TOTAL]]</f>
        <v>0</v>
      </c>
      <c r="AE621" s="152"/>
      <c r="AF621" s="153"/>
      <c r="AG621" s="126"/>
      <c r="AH621" s="115"/>
      <c r="AK621" s="306" t="str">
        <f>IF(ISNUMBER(Table1[[#This Row],[FECHA DE RECIBIDO]]), Table1[[#This Row],[FECHA DE RECIBIDO]]-DATE(2023,8,30), "")</f>
        <v/>
      </c>
    </row>
    <row r="622" spans="1:37" ht="15" customHeight="1">
      <c r="A622" s="150"/>
      <c r="B622" s="151">
        <v>262</v>
      </c>
      <c r="C622" s="126" t="s">
        <v>1158</v>
      </c>
      <c r="D622">
        <v>370</v>
      </c>
      <c r="E622" s="126">
        <v>45110</v>
      </c>
      <c r="F622" s="122">
        <v>601</v>
      </c>
      <c r="G622" s="122" t="s">
        <v>134</v>
      </c>
      <c r="H622">
        <v>24</v>
      </c>
      <c r="I622" s="122" t="s">
        <v>1546</v>
      </c>
      <c r="J622" s="307" t="s">
        <v>214</v>
      </c>
      <c r="K622" s="127">
        <v>-3</v>
      </c>
      <c r="L622" s="151" t="s">
        <v>2054</v>
      </c>
      <c r="M622">
        <v>168</v>
      </c>
      <c r="N622" s="123">
        <v>1</v>
      </c>
      <c r="O622">
        <v>390</v>
      </c>
      <c r="P622" s="132" t="s">
        <v>77</v>
      </c>
      <c r="Q622" s="131">
        <v>46446.400000000001</v>
      </c>
      <c r="R622" s="131">
        <v>7431.424</v>
      </c>
      <c r="S622" s="131"/>
      <c r="T622" s="155">
        <v>0</v>
      </c>
      <c r="U622" s="131">
        <v>0</v>
      </c>
      <c r="V622" s="131">
        <v>53877.824000000001</v>
      </c>
      <c r="W622">
        <v>26</v>
      </c>
      <c r="X622" s="151" t="s">
        <v>195</v>
      </c>
      <c r="Y622" s="135" t="s">
        <v>55</v>
      </c>
      <c r="Z622" s="307">
        <v>202</v>
      </c>
      <c r="AB622" t="str">
        <f>IF(Table1[[#This Row],[TIPO2]]="costo", VLOOKUP(Table1[[#This Row],[PARTIDA PRESUPUESTAL]],'Cost Report'!G:G,1,0),"Balance")</f>
        <v>3903-003</v>
      </c>
      <c r="AC622" s="118"/>
      <c r="AD622" s="159">
        <f>+Table1[[#This Row],[SUBTOTAL]]+Table1[[#This Row],[IVA]]-Table1[[#This Row],[RET IVA]]-Table1[[#This Row],[RET ISR]]-Table1[[#This Row],[TOTAL]]</f>
        <v>0</v>
      </c>
      <c r="AE622" s="150"/>
      <c r="AF622" s="151"/>
      <c r="AG622" s="126"/>
      <c r="AH622" s="115"/>
      <c r="AK622" s="306" t="str">
        <f>IF(ISNUMBER(Table1[[#This Row],[FECHA DE RECIBIDO]]), Table1[[#This Row],[FECHA DE RECIBIDO]]-DATE(2023,8,30), "")</f>
        <v/>
      </c>
    </row>
    <row r="623" spans="1:37" ht="15" customHeight="1">
      <c r="A623" s="152"/>
      <c r="B623" s="153"/>
      <c r="C623" s="126" t="s">
        <v>1167</v>
      </c>
      <c r="D623">
        <v>370</v>
      </c>
      <c r="E623" s="126">
        <v>45110</v>
      </c>
      <c r="F623" s="125">
        <v>601</v>
      </c>
      <c r="G623" s="125" t="s">
        <v>134</v>
      </c>
      <c r="H623">
        <v>24</v>
      </c>
      <c r="I623" s="125" t="s">
        <v>1546</v>
      </c>
      <c r="J623" s="308" t="s">
        <v>214</v>
      </c>
      <c r="K623" s="127">
        <v>-3</v>
      </c>
      <c r="L623" s="153" t="s">
        <v>2054</v>
      </c>
      <c r="M623">
        <v>168</v>
      </c>
      <c r="N623" s="123">
        <v>1</v>
      </c>
      <c r="O623">
        <v>390</v>
      </c>
      <c r="P623" s="132" t="s">
        <v>77</v>
      </c>
      <c r="Q623" s="132">
        <v>13933.92</v>
      </c>
      <c r="R623" s="132">
        <v>2229.4272000000001</v>
      </c>
      <c r="S623" s="132"/>
      <c r="T623" s="156">
        <v>0</v>
      </c>
      <c r="U623" s="132">
        <v>0</v>
      </c>
      <c r="V623" s="132">
        <v>16163.3472</v>
      </c>
      <c r="W623">
        <v>26</v>
      </c>
      <c r="X623" s="153" t="s">
        <v>195</v>
      </c>
      <c r="Y623" s="124" t="s">
        <v>55</v>
      </c>
      <c r="Z623" s="308">
        <v>202</v>
      </c>
      <c r="AB623" t="str">
        <f>IF(Table1[[#This Row],[TIPO2]]="costo", VLOOKUP(Table1[[#This Row],[PARTIDA PRESUPUESTAL]],'Cost Report'!G:G,1,0),"Balance")</f>
        <v>3903-016</v>
      </c>
      <c r="AC623" s="118"/>
      <c r="AD623" s="159">
        <f>+Table1[[#This Row],[SUBTOTAL]]+Table1[[#This Row],[IVA]]-Table1[[#This Row],[RET IVA]]-Table1[[#This Row],[RET ISR]]-Table1[[#This Row],[TOTAL]]</f>
        <v>0</v>
      </c>
      <c r="AE623" s="152"/>
      <c r="AF623" s="153"/>
      <c r="AG623" s="126"/>
      <c r="AH623" s="115"/>
      <c r="AK623" s="306" t="str">
        <f>IF(ISNUMBER(Table1[[#This Row],[FECHA DE RECIBIDO]]), Table1[[#This Row],[FECHA DE RECIBIDO]]-DATE(2023,8,30), "")</f>
        <v/>
      </c>
    </row>
    <row r="624" spans="1:37" ht="15" customHeight="1">
      <c r="A624" s="150"/>
      <c r="B624" s="151"/>
      <c r="C624" s="126" t="s">
        <v>1163</v>
      </c>
      <c r="D624">
        <v>370</v>
      </c>
      <c r="E624" s="126">
        <v>45110</v>
      </c>
      <c r="F624" s="122">
        <v>601</v>
      </c>
      <c r="G624" s="122" t="s">
        <v>134</v>
      </c>
      <c r="H624">
        <v>24</v>
      </c>
      <c r="I624" s="122" t="s">
        <v>1546</v>
      </c>
      <c r="J624" s="307" t="s">
        <v>214</v>
      </c>
      <c r="K624" s="127">
        <v>-3</v>
      </c>
      <c r="L624" s="151" t="s">
        <v>2054</v>
      </c>
      <c r="M624">
        <v>168</v>
      </c>
      <c r="N624" s="123">
        <v>1</v>
      </c>
      <c r="O624">
        <v>390</v>
      </c>
      <c r="P624" s="132" t="s">
        <v>77</v>
      </c>
      <c r="Q624" s="131">
        <v>34834.800000000003</v>
      </c>
      <c r="R624" s="131">
        <v>5573.5680000000002</v>
      </c>
      <c r="S624" s="131"/>
      <c r="T624" s="155">
        <v>0</v>
      </c>
      <c r="U624" s="131">
        <v>0</v>
      </c>
      <c r="V624" s="131">
        <v>40408.368000000002</v>
      </c>
      <c r="W624">
        <v>26</v>
      </c>
      <c r="X624" s="151" t="s">
        <v>195</v>
      </c>
      <c r="Y624" s="135" t="s">
        <v>55</v>
      </c>
      <c r="Z624" s="307">
        <v>202</v>
      </c>
      <c r="AB624" t="str">
        <f>IF(Table1[[#This Row],[TIPO2]]="costo", VLOOKUP(Table1[[#This Row],[PARTIDA PRESUPUESTAL]],'Cost Report'!G:G,1,0),"Balance")</f>
        <v>3903-010</v>
      </c>
      <c r="AC624" s="118"/>
      <c r="AD624" s="159">
        <f>+Table1[[#This Row],[SUBTOTAL]]+Table1[[#This Row],[IVA]]-Table1[[#This Row],[RET IVA]]-Table1[[#This Row],[RET ISR]]-Table1[[#This Row],[TOTAL]]</f>
        <v>0</v>
      </c>
      <c r="AE624" s="150"/>
      <c r="AF624" s="151"/>
      <c r="AG624" s="126"/>
      <c r="AH624" s="115"/>
      <c r="AK624" s="306" t="str">
        <f>IF(ISNUMBER(Table1[[#This Row],[FECHA DE RECIBIDO]]), Table1[[#This Row],[FECHA DE RECIBIDO]]-DATE(2023,8,30), "")</f>
        <v/>
      </c>
    </row>
    <row r="625" spans="1:37" ht="15" customHeight="1">
      <c r="A625" s="152"/>
      <c r="B625" s="153"/>
      <c r="C625" s="126" t="s">
        <v>1171</v>
      </c>
      <c r="D625">
        <v>370</v>
      </c>
      <c r="E625" s="126">
        <v>45110</v>
      </c>
      <c r="F625" s="125">
        <v>601</v>
      </c>
      <c r="G625" s="125" t="s">
        <v>134</v>
      </c>
      <c r="H625">
        <v>24</v>
      </c>
      <c r="I625" s="125" t="s">
        <v>1546</v>
      </c>
      <c r="J625" s="308" t="s">
        <v>214</v>
      </c>
      <c r="K625" s="127">
        <v>-3</v>
      </c>
      <c r="L625" s="153" t="s">
        <v>2054</v>
      </c>
      <c r="M625">
        <v>168</v>
      </c>
      <c r="N625" s="123">
        <v>1</v>
      </c>
      <c r="O625">
        <v>390</v>
      </c>
      <c r="P625" s="132" t="s">
        <v>77</v>
      </c>
      <c r="Q625" s="132">
        <v>23223.200000000001</v>
      </c>
      <c r="R625" s="132">
        <v>3715.712</v>
      </c>
      <c r="S625" s="132"/>
      <c r="T625" s="156">
        <v>0</v>
      </c>
      <c r="U625" s="132">
        <v>0</v>
      </c>
      <c r="V625" s="132">
        <v>26938.912</v>
      </c>
      <c r="W625">
        <v>26</v>
      </c>
      <c r="X625" s="153" t="s">
        <v>195</v>
      </c>
      <c r="Y625" s="124" t="s">
        <v>55</v>
      </c>
      <c r="Z625" s="308">
        <v>202</v>
      </c>
      <c r="AB625" t="str">
        <f>IF(Table1[[#This Row],[TIPO2]]="costo", VLOOKUP(Table1[[#This Row],[PARTIDA PRESUPUESTAL]],'Cost Report'!G:G,1,0),"Balance")</f>
        <v>3903-022</v>
      </c>
      <c r="AC625" s="118"/>
      <c r="AD625" s="159">
        <f>+Table1[[#This Row],[SUBTOTAL]]+Table1[[#This Row],[IVA]]-Table1[[#This Row],[RET IVA]]-Table1[[#This Row],[RET ISR]]-Table1[[#This Row],[TOTAL]]</f>
        <v>0</v>
      </c>
      <c r="AE625" s="152"/>
      <c r="AF625" s="153"/>
      <c r="AG625" s="126"/>
      <c r="AH625" s="115"/>
      <c r="AK625" s="306" t="str">
        <f>IF(ISNUMBER(Table1[[#This Row],[FECHA DE RECIBIDO]]), Table1[[#This Row],[FECHA DE RECIBIDO]]-DATE(2023,8,30), "")</f>
        <v/>
      </c>
    </row>
    <row r="626" spans="1:37" ht="15" customHeight="1">
      <c r="A626" s="150"/>
      <c r="B626" s="151"/>
      <c r="C626" s="126" t="s">
        <v>1172</v>
      </c>
      <c r="D626">
        <v>370</v>
      </c>
      <c r="E626" s="126">
        <v>45110</v>
      </c>
      <c r="F626" s="122">
        <v>601</v>
      </c>
      <c r="G626" s="122" t="s">
        <v>134</v>
      </c>
      <c r="H626">
        <v>24</v>
      </c>
      <c r="I626" s="122" t="s">
        <v>1546</v>
      </c>
      <c r="J626" s="307" t="s">
        <v>214</v>
      </c>
      <c r="K626" s="127">
        <v>-3</v>
      </c>
      <c r="L626" s="151" t="s">
        <v>2054</v>
      </c>
      <c r="M626">
        <v>168</v>
      </c>
      <c r="N626" s="123">
        <v>1</v>
      </c>
      <c r="O626">
        <v>390</v>
      </c>
      <c r="P626" s="132" t="s">
        <v>77</v>
      </c>
      <c r="Q626" s="131">
        <v>14099.8</v>
      </c>
      <c r="R626" s="131">
        <v>2255.9679999999998</v>
      </c>
      <c r="S626" s="131"/>
      <c r="T626" s="155"/>
      <c r="U626" s="131"/>
      <c r="V626" s="131">
        <v>16355.768</v>
      </c>
      <c r="W626">
        <v>26</v>
      </c>
      <c r="X626" s="151" t="s">
        <v>195</v>
      </c>
      <c r="Y626" s="135" t="s">
        <v>55</v>
      </c>
      <c r="Z626" s="307">
        <v>202</v>
      </c>
      <c r="AB626" t="str">
        <f>IF(Table1[[#This Row],[TIPO2]]="costo", VLOOKUP(Table1[[#This Row],[PARTIDA PRESUPUESTAL]],'Cost Report'!G:G,1,0),"Balance")</f>
        <v>3903-023</v>
      </c>
      <c r="AC626" s="118"/>
      <c r="AD626" s="159">
        <f>+Table1[[#This Row],[SUBTOTAL]]+Table1[[#This Row],[IVA]]-Table1[[#This Row],[RET IVA]]-Table1[[#This Row],[RET ISR]]-Table1[[#This Row],[TOTAL]]</f>
        <v>0</v>
      </c>
      <c r="AE626" s="150"/>
      <c r="AF626" s="151"/>
      <c r="AG626" s="126"/>
      <c r="AH626" s="115"/>
      <c r="AK626" s="306" t="str">
        <f>IF(ISNUMBER(Table1[[#This Row],[FECHA DE RECIBIDO]]), Table1[[#This Row],[FECHA DE RECIBIDO]]-DATE(2023,8,30), "")</f>
        <v/>
      </c>
    </row>
    <row r="627" spans="1:37" ht="15" customHeight="1">
      <c r="A627" s="152"/>
      <c r="B627" s="153"/>
      <c r="C627" s="126" t="s">
        <v>1158</v>
      </c>
      <c r="D627">
        <v>370</v>
      </c>
      <c r="E627" s="126">
        <v>45110</v>
      </c>
      <c r="F627" s="125">
        <v>601</v>
      </c>
      <c r="G627" s="125" t="s">
        <v>134</v>
      </c>
      <c r="H627">
        <v>24</v>
      </c>
      <c r="I627" s="125" t="s">
        <v>1546</v>
      </c>
      <c r="J627" s="308" t="s">
        <v>214</v>
      </c>
      <c r="K627" s="127">
        <v>-3</v>
      </c>
      <c r="L627" s="153" t="s">
        <v>2054</v>
      </c>
      <c r="M627">
        <v>168</v>
      </c>
      <c r="N627" s="123">
        <v>1</v>
      </c>
      <c r="O627">
        <v>390</v>
      </c>
      <c r="P627" s="132" t="s">
        <v>77</v>
      </c>
      <c r="Q627" s="132">
        <v>104504.4</v>
      </c>
      <c r="R627" s="132">
        <v>16720.703999999998</v>
      </c>
      <c r="S627" s="132"/>
      <c r="T627" s="156">
        <v>0</v>
      </c>
      <c r="U627" s="132">
        <v>0</v>
      </c>
      <c r="V627" s="132">
        <v>121225.10399999999</v>
      </c>
      <c r="W627">
        <v>26</v>
      </c>
      <c r="X627" s="153" t="s">
        <v>195</v>
      </c>
      <c r="Y627" s="124" t="s">
        <v>55</v>
      </c>
      <c r="Z627" s="308">
        <v>202</v>
      </c>
      <c r="AB627" t="str">
        <f>IF(Table1[[#This Row],[TIPO2]]="costo", VLOOKUP(Table1[[#This Row],[PARTIDA PRESUPUESTAL]],'Cost Report'!G:G,1,0),"Balance")</f>
        <v>3903-003</v>
      </c>
      <c r="AC627" s="118"/>
      <c r="AD627" s="159">
        <f>+Table1[[#This Row],[SUBTOTAL]]+Table1[[#This Row],[IVA]]-Table1[[#This Row],[RET IVA]]-Table1[[#This Row],[RET ISR]]-Table1[[#This Row],[TOTAL]]</f>
        <v>0</v>
      </c>
      <c r="AE627" s="152"/>
      <c r="AF627" s="153"/>
      <c r="AG627" s="126"/>
      <c r="AH627" s="115"/>
      <c r="AK627" s="306" t="str">
        <f>IF(ISNUMBER(Table1[[#This Row],[FECHA DE RECIBIDO]]), Table1[[#This Row],[FECHA DE RECIBIDO]]-DATE(2023,8,30), "")</f>
        <v/>
      </c>
    </row>
    <row r="628" spans="1:37" ht="15" customHeight="1">
      <c r="A628" s="150"/>
      <c r="B628" s="151"/>
      <c r="C628" s="126" t="s">
        <v>1163</v>
      </c>
      <c r="D628">
        <v>370</v>
      </c>
      <c r="E628" s="126">
        <v>45110</v>
      </c>
      <c r="F628" s="122">
        <v>601</v>
      </c>
      <c r="G628" s="122" t="s">
        <v>134</v>
      </c>
      <c r="H628">
        <v>24</v>
      </c>
      <c r="I628" s="122" t="s">
        <v>1546</v>
      </c>
      <c r="J628" s="307" t="s">
        <v>214</v>
      </c>
      <c r="K628" s="127">
        <v>-3</v>
      </c>
      <c r="L628" s="151" t="s">
        <v>2054</v>
      </c>
      <c r="M628">
        <v>168</v>
      </c>
      <c r="N628" s="123">
        <v>1</v>
      </c>
      <c r="O628">
        <v>390</v>
      </c>
      <c r="P628" s="132" t="s">
        <v>77</v>
      </c>
      <c r="Q628" s="131">
        <v>12957.48</v>
      </c>
      <c r="R628" s="131">
        <v>2073.1968000000002</v>
      </c>
      <c r="S628" s="131"/>
      <c r="T628" s="155">
        <v>0</v>
      </c>
      <c r="U628" s="131">
        <v>0</v>
      </c>
      <c r="V628" s="131">
        <v>15030.676799999999</v>
      </c>
      <c r="W628">
        <v>26</v>
      </c>
      <c r="X628" s="151" t="s">
        <v>195</v>
      </c>
      <c r="Y628" s="135" t="s">
        <v>55</v>
      </c>
      <c r="Z628" s="307">
        <v>202</v>
      </c>
      <c r="AB628" t="str">
        <f>IF(Table1[[#This Row],[TIPO2]]="costo", VLOOKUP(Table1[[#This Row],[PARTIDA PRESUPUESTAL]],'Cost Report'!G:G,1,0),"Balance")</f>
        <v>3903-010</v>
      </c>
      <c r="AC628" s="118"/>
      <c r="AD628" s="159">
        <f>+Table1[[#This Row],[SUBTOTAL]]+Table1[[#This Row],[IVA]]-Table1[[#This Row],[RET IVA]]-Table1[[#This Row],[RET ISR]]-Table1[[#This Row],[TOTAL]]</f>
        <v>0</v>
      </c>
      <c r="AE628" s="150"/>
      <c r="AF628" s="151"/>
      <c r="AG628" s="126"/>
      <c r="AH628" s="115"/>
      <c r="AK628" s="306" t="str">
        <f>IF(ISNUMBER(Table1[[#This Row],[FECHA DE RECIBIDO]]), Table1[[#This Row],[FECHA DE RECIBIDO]]-DATE(2023,8,30), "")</f>
        <v/>
      </c>
    </row>
    <row r="629" spans="1:37" ht="15" customHeight="1">
      <c r="A629" s="152" t="s">
        <v>2055</v>
      </c>
      <c r="B629" s="153">
        <v>265</v>
      </c>
      <c r="C629" s="126" t="s">
        <v>2746</v>
      </c>
      <c r="D629"/>
      <c r="E629" s="126" t="s">
        <v>1911</v>
      </c>
      <c r="F629" s="125" t="s">
        <v>1911</v>
      </c>
      <c r="G629" s="125" t="s">
        <v>1911</v>
      </c>
      <c r="H629"/>
      <c r="I629" s="125" t="s">
        <v>1911</v>
      </c>
      <c r="J629" s="308" t="s">
        <v>214</v>
      </c>
      <c r="K629" s="127" t="s">
        <v>1785</v>
      </c>
      <c r="L629" s="153" t="s">
        <v>2054</v>
      </c>
      <c r="M629">
        <v>169</v>
      </c>
      <c r="N629" s="123">
        <v>1</v>
      </c>
      <c r="O629">
        <v>391</v>
      </c>
      <c r="P629" s="132" t="s">
        <v>77</v>
      </c>
      <c r="Q629" s="132">
        <v>13125.76</v>
      </c>
      <c r="R629" s="132">
        <f t="shared" ref="R629:R634" si="23">Q629*0.16</f>
        <v>2100.1215999999999</v>
      </c>
      <c r="S629" s="132"/>
      <c r="T629" s="156">
        <v>0</v>
      </c>
      <c r="U629" s="132">
        <v>0</v>
      </c>
      <c r="V629" s="132">
        <f t="shared" ref="V629:V637" si="24">+Q629+R629-T629-U629</f>
        <v>15225.881600000001</v>
      </c>
      <c r="W629">
        <v>91</v>
      </c>
      <c r="X629" s="153" t="s">
        <v>2035</v>
      </c>
      <c r="Y629" s="124" t="s">
        <v>55</v>
      </c>
      <c r="Z629" s="308">
        <v>202</v>
      </c>
      <c r="AB629" t="str">
        <f>IF(Table1[[#This Row],[TIPO2]]="costo", VLOOKUP(Table1[[#This Row],[PARTIDA PRESUPUESTAL]],'Cost Report'!G:G,1,0),"Balance")</f>
        <v>3294-003</v>
      </c>
      <c r="AC629" s="118"/>
      <c r="AD629" s="159">
        <f>+Table1[[#This Row],[SUBTOTAL]]+Table1[[#This Row],[IVA]]-Table1[[#This Row],[RET IVA]]-Table1[[#This Row],[RET ISR]]-Table1[[#This Row],[TOTAL]]</f>
        <v>0</v>
      </c>
      <c r="AE629" s="152"/>
      <c r="AF629" s="153"/>
      <c r="AG629" s="126"/>
      <c r="AH629" s="115"/>
      <c r="AK629" s="306" t="str">
        <f>IF(ISNUMBER(Table1[[#This Row],[FECHA DE RECIBIDO]]), Table1[[#This Row],[FECHA DE RECIBIDO]]-DATE(2023,8,30), "")</f>
        <v/>
      </c>
    </row>
    <row r="630" spans="1:37" ht="15" customHeight="1">
      <c r="A630" s="150"/>
      <c r="B630" s="151"/>
      <c r="C630" s="126" t="s">
        <v>2700</v>
      </c>
      <c r="D630"/>
      <c r="E630" s="126" t="s">
        <v>1911</v>
      </c>
      <c r="F630" s="122" t="s">
        <v>1911</v>
      </c>
      <c r="G630" s="122" t="s">
        <v>1911</v>
      </c>
      <c r="H630"/>
      <c r="I630" s="122" t="s">
        <v>1911</v>
      </c>
      <c r="J630" s="307" t="s">
        <v>214</v>
      </c>
      <c r="K630" s="127" t="s">
        <v>1785</v>
      </c>
      <c r="L630" s="151" t="s">
        <v>2054</v>
      </c>
      <c r="M630">
        <v>169</v>
      </c>
      <c r="N630" s="123">
        <v>1</v>
      </c>
      <c r="O630">
        <v>391</v>
      </c>
      <c r="P630" s="132" t="s">
        <v>77</v>
      </c>
      <c r="Q630" s="131">
        <v>10868.54</v>
      </c>
      <c r="R630" s="131">
        <f t="shared" si="23"/>
        <v>1738.9664000000002</v>
      </c>
      <c r="S630" s="131"/>
      <c r="T630" s="155">
        <v>0</v>
      </c>
      <c r="U630" s="131">
        <v>0</v>
      </c>
      <c r="V630" s="131">
        <f t="shared" si="24"/>
        <v>12607.506400000002</v>
      </c>
      <c r="W630">
        <v>91</v>
      </c>
      <c r="X630" s="151" t="s">
        <v>2035</v>
      </c>
      <c r="Y630" s="135" t="s">
        <v>55</v>
      </c>
      <c r="Z630" s="307">
        <v>202</v>
      </c>
      <c r="AB630" t="str">
        <f>IF(Table1[[#This Row],[TIPO2]]="costo", VLOOKUP(Table1[[#This Row],[PARTIDA PRESUPUESTAL]],'Cost Report'!G:G,1,0),"Balance")</f>
        <v>3185-003</v>
      </c>
      <c r="AC630" s="118"/>
      <c r="AD630" s="159">
        <f>+Table1[[#This Row],[SUBTOTAL]]+Table1[[#This Row],[IVA]]-Table1[[#This Row],[RET IVA]]-Table1[[#This Row],[RET ISR]]-Table1[[#This Row],[TOTAL]]</f>
        <v>0</v>
      </c>
      <c r="AE630" s="150"/>
      <c r="AF630" s="151"/>
      <c r="AG630" s="126"/>
      <c r="AH630" s="115"/>
      <c r="AK630" s="306" t="str">
        <f>IF(ISNUMBER(Table1[[#This Row],[FECHA DE RECIBIDO]]), Table1[[#This Row],[FECHA DE RECIBIDO]]-DATE(2023,8,30), "")</f>
        <v/>
      </c>
    </row>
    <row r="631" spans="1:37" ht="15" customHeight="1">
      <c r="A631" s="152"/>
      <c r="B631" s="153"/>
      <c r="C631" s="126" t="s">
        <v>2654</v>
      </c>
      <c r="D631"/>
      <c r="E631" s="126" t="s">
        <v>1911</v>
      </c>
      <c r="F631" s="125" t="s">
        <v>1911</v>
      </c>
      <c r="G631" s="125" t="s">
        <v>1911</v>
      </c>
      <c r="H631"/>
      <c r="I631" s="125" t="s">
        <v>1911</v>
      </c>
      <c r="J631" s="308" t="s">
        <v>214</v>
      </c>
      <c r="K631" s="127" t="s">
        <v>1785</v>
      </c>
      <c r="L631" s="153" t="s">
        <v>2054</v>
      </c>
      <c r="M631">
        <v>169</v>
      </c>
      <c r="N631" s="123">
        <v>1</v>
      </c>
      <c r="O631">
        <v>391</v>
      </c>
      <c r="P631" s="132" t="s">
        <v>77</v>
      </c>
      <c r="Q631" s="132">
        <v>57844.82</v>
      </c>
      <c r="R631" s="132">
        <f t="shared" si="23"/>
        <v>9255.1712000000007</v>
      </c>
      <c r="S631" s="132"/>
      <c r="T631" s="156">
        <v>0</v>
      </c>
      <c r="U631" s="132">
        <v>0</v>
      </c>
      <c r="V631" s="132">
        <f t="shared" si="24"/>
        <v>67099.991200000004</v>
      </c>
      <c r="W631">
        <v>91</v>
      </c>
      <c r="X631" s="153" t="s">
        <v>2035</v>
      </c>
      <c r="Y631" s="124" t="s">
        <v>55</v>
      </c>
      <c r="Z631" s="308">
        <v>202</v>
      </c>
      <c r="AB631" t="str">
        <f>IF(Table1[[#This Row],[TIPO2]]="costo", VLOOKUP(Table1[[#This Row],[PARTIDA PRESUPUESTAL]],'Cost Report'!G:G,1,0),"Balance")</f>
        <v>3085-004</v>
      </c>
      <c r="AC631" s="118"/>
      <c r="AD631" s="159">
        <f>+Table1[[#This Row],[SUBTOTAL]]+Table1[[#This Row],[IVA]]-Table1[[#This Row],[RET IVA]]-Table1[[#This Row],[RET ISR]]-Table1[[#This Row],[TOTAL]]</f>
        <v>0</v>
      </c>
      <c r="AE631" s="152"/>
      <c r="AF631" s="153"/>
      <c r="AG631" s="126"/>
      <c r="AH631" s="115"/>
      <c r="AK631" s="306" t="str">
        <f>IF(ISNUMBER(Table1[[#This Row],[FECHA DE RECIBIDO]]), Table1[[#This Row],[FECHA DE RECIBIDO]]-DATE(2023,8,30), "")</f>
        <v/>
      </c>
    </row>
    <row r="632" spans="1:37" ht="15" customHeight="1">
      <c r="A632" s="150"/>
      <c r="B632" s="151"/>
      <c r="C632" s="126" t="s">
        <v>2851</v>
      </c>
      <c r="D632"/>
      <c r="E632" s="126" t="s">
        <v>1911</v>
      </c>
      <c r="F632" s="122" t="s">
        <v>1911</v>
      </c>
      <c r="G632" s="122" t="s">
        <v>1911</v>
      </c>
      <c r="H632"/>
      <c r="I632" s="122" t="s">
        <v>1911</v>
      </c>
      <c r="J632" s="307" t="s">
        <v>214</v>
      </c>
      <c r="K632" s="127" t="s">
        <v>1785</v>
      </c>
      <c r="L632" s="151" t="s">
        <v>2054</v>
      </c>
      <c r="M632">
        <v>169</v>
      </c>
      <c r="N632" s="123">
        <v>1</v>
      </c>
      <c r="O632">
        <v>391</v>
      </c>
      <c r="P632" s="132" t="s">
        <v>77</v>
      </c>
      <c r="Q632" s="131">
        <v>22752.78</v>
      </c>
      <c r="R632" s="131">
        <f t="shared" si="23"/>
        <v>3640.4447999999998</v>
      </c>
      <c r="S632" s="131"/>
      <c r="T632" s="155">
        <v>0</v>
      </c>
      <c r="U632" s="131">
        <v>0</v>
      </c>
      <c r="V632" s="131">
        <f t="shared" si="24"/>
        <v>26393.2248</v>
      </c>
      <c r="W632">
        <v>91</v>
      </c>
      <c r="X632" s="151" t="s">
        <v>2035</v>
      </c>
      <c r="Y632" s="135" t="s">
        <v>55</v>
      </c>
      <c r="Z632" s="307">
        <v>202</v>
      </c>
      <c r="AB632" t="str">
        <f>IF(Table1[[#This Row],[TIPO2]]="costo", VLOOKUP(Table1[[#This Row],[PARTIDA PRESUPUESTAL]],'Cost Report'!G:G,1,0),"Balance")</f>
        <v>3485-003</v>
      </c>
      <c r="AC632" s="118"/>
      <c r="AD632" s="159">
        <f>+Table1[[#This Row],[SUBTOTAL]]+Table1[[#This Row],[IVA]]-Table1[[#This Row],[RET IVA]]-Table1[[#This Row],[RET ISR]]-Table1[[#This Row],[TOTAL]]</f>
        <v>0</v>
      </c>
      <c r="AE632" s="150"/>
      <c r="AF632" s="151"/>
      <c r="AG632" s="126"/>
      <c r="AH632" s="115"/>
      <c r="AK632" s="306" t="str">
        <f>IF(ISNUMBER(Table1[[#This Row],[FECHA DE RECIBIDO]]), Table1[[#This Row],[FECHA DE RECIBIDO]]-DATE(2023,8,30), "")</f>
        <v/>
      </c>
    </row>
    <row r="633" spans="1:37" ht="15" customHeight="1">
      <c r="A633" s="152"/>
      <c r="B633" s="153"/>
      <c r="C633" s="126" t="s">
        <v>2700</v>
      </c>
      <c r="D633"/>
      <c r="E633" s="126" t="s">
        <v>1911</v>
      </c>
      <c r="F633" s="125" t="s">
        <v>1911</v>
      </c>
      <c r="G633" s="125" t="s">
        <v>1911</v>
      </c>
      <c r="H633"/>
      <c r="I633" s="125" t="s">
        <v>1911</v>
      </c>
      <c r="J633" s="308" t="s">
        <v>214</v>
      </c>
      <c r="K633" s="127" t="s">
        <v>1785</v>
      </c>
      <c r="L633" s="153" t="s">
        <v>2054</v>
      </c>
      <c r="M633">
        <v>169</v>
      </c>
      <c r="N633" s="123">
        <v>1</v>
      </c>
      <c r="O633">
        <v>391</v>
      </c>
      <c r="P633" s="132" t="s">
        <v>77</v>
      </c>
      <c r="Q633" s="132">
        <v>56396.9</v>
      </c>
      <c r="R633" s="132">
        <f t="shared" si="23"/>
        <v>9023.5040000000008</v>
      </c>
      <c r="S633" s="132"/>
      <c r="T633" s="156">
        <v>0</v>
      </c>
      <c r="U633" s="132">
        <v>0</v>
      </c>
      <c r="V633" s="132">
        <f t="shared" si="24"/>
        <v>65420.404000000002</v>
      </c>
      <c r="W633">
        <v>91</v>
      </c>
      <c r="X633" s="153" t="s">
        <v>2035</v>
      </c>
      <c r="Y633" s="124" t="s">
        <v>55</v>
      </c>
      <c r="Z633" s="308">
        <v>202</v>
      </c>
      <c r="AB633" t="str">
        <f>IF(Table1[[#This Row],[TIPO2]]="costo", VLOOKUP(Table1[[#This Row],[PARTIDA PRESUPUESTAL]],'Cost Report'!G:G,1,0),"Balance")</f>
        <v>3185-003</v>
      </c>
      <c r="AC633" s="118"/>
      <c r="AD633" s="159">
        <f>+Table1[[#This Row],[SUBTOTAL]]+Table1[[#This Row],[IVA]]-Table1[[#This Row],[RET IVA]]-Table1[[#This Row],[RET ISR]]-Table1[[#This Row],[TOTAL]]</f>
        <v>0</v>
      </c>
      <c r="AE633" s="152"/>
      <c r="AF633" s="153"/>
      <c r="AG633" s="126"/>
      <c r="AH633" s="115"/>
      <c r="AK633" s="306" t="str">
        <f>IF(ISNUMBER(Table1[[#This Row],[FECHA DE RECIBIDO]]), Table1[[#This Row],[FECHA DE RECIBIDO]]-DATE(2023,8,30), "")</f>
        <v/>
      </c>
    </row>
    <row r="634" spans="1:37" ht="15" customHeight="1">
      <c r="A634" s="150"/>
      <c r="B634" s="151"/>
      <c r="C634" s="126" t="s">
        <v>3002</v>
      </c>
      <c r="D634"/>
      <c r="E634" s="126" t="s">
        <v>1911</v>
      </c>
      <c r="F634" s="122" t="s">
        <v>1911</v>
      </c>
      <c r="G634" s="122" t="s">
        <v>1911</v>
      </c>
      <c r="H634"/>
      <c r="I634" s="122" t="s">
        <v>1911</v>
      </c>
      <c r="J634" s="307" t="s">
        <v>214</v>
      </c>
      <c r="K634" s="127" t="s">
        <v>1785</v>
      </c>
      <c r="L634" s="151" t="s">
        <v>2054</v>
      </c>
      <c r="M634">
        <v>169</v>
      </c>
      <c r="N634" s="123">
        <v>1</v>
      </c>
      <c r="O634">
        <v>391</v>
      </c>
      <c r="P634" s="132" t="s">
        <v>77</v>
      </c>
      <c r="Q634" s="131">
        <v>59346.2</v>
      </c>
      <c r="R634" s="131">
        <f t="shared" si="23"/>
        <v>9495.3919999999998</v>
      </c>
      <c r="S634" s="131"/>
      <c r="T634" s="155">
        <v>0</v>
      </c>
      <c r="U634" s="131">
        <v>0</v>
      </c>
      <c r="V634" s="131">
        <f t="shared" si="24"/>
        <v>68841.592000000004</v>
      </c>
      <c r="W634">
        <v>91</v>
      </c>
      <c r="X634" s="151" t="s">
        <v>2035</v>
      </c>
      <c r="Y634" s="135" t="s">
        <v>55</v>
      </c>
      <c r="Z634" s="307">
        <v>202</v>
      </c>
      <c r="AB634" t="str">
        <f>IF(Table1[[#This Row],[TIPO2]]="costo", VLOOKUP(Table1[[#This Row],[PARTIDA PRESUPUESTAL]],'Cost Report'!G:G,1,0),"Balance")</f>
        <v>4180-003</v>
      </c>
      <c r="AC634" s="118"/>
      <c r="AD634" s="159">
        <f>+Table1[[#This Row],[SUBTOTAL]]+Table1[[#This Row],[IVA]]-Table1[[#This Row],[RET IVA]]-Table1[[#This Row],[RET ISR]]-Table1[[#This Row],[TOTAL]]</f>
        <v>0</v>
      </c>
      <c r="AE634" s="150"/>
      <c r="AF634" s="151"/>
      <c r="AG634" s="126"/>
      <c r="AH634" s="115"/>
      <c r="AK634" s="306" t="str">
        <f>IF(ISNUMBER(Table1[[#This Row],[FECHA DE RECIBIDO]]), Table1[[#This Row],[FECHA DE RECIBIDO]]-DATE(2023,8,30), "")</f>
        <v/>
      </c>
    </row>
    <row r="635" spans="1:37" ht="15" customHeight="1">
      <c r="A635" s="152" t="s">
        <v>2056</v>
      </c>
      <c r="B635" s="153">
        <v>266</v>
      </c>
      <c r="C635" s="126" t="s">
        <v>1153</v>
      </c>
      <c r="D635">
        <v>371</v>
      </c>
      <c r="E635" s="126">
        <v>44520</v>
      </c>
      <c r="F635" s="125">
        <v>601</v>
      </c>
      <c r="G635" s="125" t="s">
        <v>134</v>
      </c>
      <c r="H635">
        <v>47</v>
      </c>
      <c r="I635" s="125" t="s">
        <v>1546</v>
      </c>
      <c r="J635" s="308" t="s">
        <v>214</v>
      </c>
      <c r="K635" s="127">
        <v>-2</v>
      </c>
      <c r="L635" s="153" t="s">
        <v>118</v>
      </c>
      <c r="M635">
        <v>59</v>
      </c>
      <c r="N635" s="123">
        <v>1</v>
      </c>
      <c r="O635">
        <v>392</v>
      </c>
      <c r="P635" s="132" t="s">
        <v>77</v>
      </c>
      <c r="Q635" s="132">
        <v>3529.41</v>
      </c>
      <c r="R635" s="132">
        <v>564.71</v>
      </c>
      <c r="S635" s="132">
        <v>0</v>
      </c>
      <c r="T635" s="156">
        <v>0</v>
      </c>
      <c r="U635" s="132">
        <v>0</v>
      </c>
      <c r="V635" s="132">
        <v>4094.12</v>
      </c>
      <c r="W635">
        <v>36</v>
      </c>
      <c r="X635" s="153" t="s">
        <v>195</v>
      </c>
      <c r="Y635" s="124" t="s">
        <v>55</v>
      </c>
      <c r="Z635" s="308">
        <v>202</v>
      </c>
      <c r="AB635" t="str">
        <f>IF(Table1[[#This Row],[TIPO2]]="costo", VLOOKUP(Table1[[#This Row],[PARTIDA PRESUPUESTAL]],'Cost Report'!G:G,1,0),"Balance")</f>
        <v>3902-025</v>
      </c>
      <c r="AC635" s="118"/>
      <c r="AD635" s="159">
        <f>+Table1[[#This Row],[SUBTOTAL]]+Table1[[#This Row],[IVA]]-Table1[[#This Row],[RET IVA]]-Table1[[#This Row],[RET ISR]]-Table1[[#This Row],[TOTAL]]</f>
        <v>0</v>
      </c>
      <c r="AE635" s="152"/>
      <c r="AF635" s="153"/>
      <c r="AG635" s="126"/>
      <c r="AH635" s="115"/>
      <c r="AK635" s="306" t="str">
        <f>IF(ISNUMBER(Table1[[#This Row],[FECHA DE RECIBIDO]]), Table1[[#This Row],[FECHA DE RECIBIDO]]-DATE(2023,8,30), "")</f>
        <v/>
      </c>
    </row>
    <row r="636" spans="1:37" ht="15" customHeight="1">
      <c r="A636" s="150"/>
      <c r="B636" s="151"/>
      <c r="C636" s="126" t="s">
        <v>1417</v>
      </c>
      <c r="D636">
        <v>371</v>
      </c>
      <c r="E636" s="126">
        <v>44520</v>
      </c>
      <c r="F636" s="122">
        <v>601</v>
      </c>
      <c r="G636" s="122" t="s">
        <v>134</v>
      </c>
      <c r="H636">
        <v>47</v>
      </c>
      <c r="I636" s="122" t="s">
        <v>1546</v>
      </c>
      <c r="J636" s="307" t="s">
        <v>214</v>
      </c>
      <c r="K636" s="127">
        <v>-2</v>
      </c>
      <c r="L636" s="151" t="s">
        <v>118</v>
      </c>
      <c r="M636">
        <v>59</v>
      </c>
      <c r="N636" s="123">
        <v>1</v>
      </c>
      <c r="O636">
        <v>392</v>
      </c>
      <c r="P636" s="132" t="s">
        <v>77</v>
      </c>
      <c r="Q636" s="131">
        <v>105.88</v>
      </c>
      <c r="R636" s="131"/>
      <c r="S636" s="131">
        <v>0</v>
      </c>
      <c r="T636" s="155">
        <v>0</v>
      </c>
      <c r="U636" s="131">
        <v>0</v>
      </c>
      <c r="V636" s="131">
        <v>105.88</v>
      </c>
      <c r="W636">
        <v>36</v>
      </c>
      <c r="X636" s="151" t="s">
        <v>195</v>
      </c>
      <c r="Y636" s="135" t="s">
        <v>55</v>
      </c>
      <c r="Z636" s="307">
        <v>202</v>
      </c>
      <c r="AB636" t="str">
        <f>IF(Table1[[#This Row],[TIPO2]]="costo", VLOOKUP(Table1[[#This Row],[PARTIDA PRESUPUESTAL]],'Cost Report'!G:G,1,0),"Balance")</f>
        <v>3999-001</v>
      </c>
      <c r="AC636" s="118"/>
      <c r="AD636" s="159">
        <f>+Table1[[#This Row],[SUBTOTAL]]+Table1[[#This Row],[IVA]]-Table1[[#This Row],[RET IVA]]-Table1[[#This Row],[RET ISR]]-Table1[[#This Row],[TOTAL]]</f>
        <v>0</v>
      </c>
      <c r="AE636" s="150"/>
      <c r="AF636" s="151"/>
      <c r="AG636" s="126"/>
      <c r="AH636" s="115"/>
      <c r="AK636" s="306" t="str">
        <f>IF(ISNUMBER(Table1[[#This Row],[FECHA DE RECIBIDO]]), Table1[[#This Row],[FECHA DE RECIBIDO]]-DATE(2023,8,30), "")</f>
        <v/>
      </c>
    </row>
    <row r="637" spans="1:37" ht="14.25" customHeight="1">
      <c r="A637" s="152" t="s">
        <v>2058</v>
      </c>
      <c r="B637" s="153">
        <v>264</v>
      </c>
      <c r="C637" s="126" t="s">
        <v>1139</v>
      </c>
      <c r="D637">
        <v>372</v>
      </c>
      <c r="E637" s="126" t="s">
        <v>3292</v>
      </c>
      <c r="F637" s="125" t="s">
        <v>3296</v>
      </c>
      <c r="G637" s="125" t="s">
        <v>3297</v>
      </c>
      <c r="H637">
        <v>129</v>
      </c>
      <c r="I637" s="125" t="s">
        <v>1546</v>
      </c>
      <c r="J637" s="308" t="s">
        <v>214</v>
      </c>
      <c r="K637" s="127" t="s">
        <v>1785</v>
      </c>
      <c r="L637" s="153" t="s">
        <v>2054</v>
      </c>
      <c r="M637">
        <v>170</v>
      </c>
      <c r="N637" s="123">
        <v>1</v>
      </c>
      <c r="O637">
        <v>393</v>
      </c>
      <c r="P637" s="132" t="s">
        <v>77</v>
      </c>
      <c r="Q637" s="132">
        <v>40000</v>
      </c>
      <c r="R637" s="132">
        <v>6400</v>
      </c>
      <c r="S637" s="132"/>
      <c r="T637" s="156">
        <v>4268</v>
      </c>
      <c r="U637" s="132">
        <v>4000</v>
      </c>
      <c r="V637" s="132">
        <f t="shared" si="24"/>
        <v>38132</v>
      </c>
      <c r="W637">
        <v>92</v>
      </c>
      <c r="X637" s="153" t="s">
        <v>195</v>
      </c>
      <c r="Y637" s="124" t="s">
        <v>55</v>
      </c>
      <c r="Z637" s="308">
        <v>202</v>
      </c>
      <c r="AB637" t="str">
        <f>IF(Table1[[#This Row],[TIPO2]]="costo", VLOOKUP(Table1[[#This Row],[PARTIDA PRESUPUESTAL]],'Cost Report'!G:G,1,0),"Balance")</f>
        <v>3902-003</v>
      </c>
      <c r="AC637" s="118"/>
      <c r="AD637" s="159"/>
      <c r="AE637" s="152"/>
      <c r="AF637" s="153"/>
      <c r="AG637" s="126"/>
      <c r="AK637" s="306" t="str">
        <f>IF(ISNUMBER(Table1[[#This Row],[FECHA DE RECIBIDO]]), Table1[[#This Row],[FECHA DE RECIBIDO]]-DATE(2023,8,30), "")</f>
        <v/>
      </c>
    </row>
    <row r="638" spans="1:37" ht="15" customHeight="1">
      <c r="A638" s="150" t="s">
        <v>2059</v>
      </c>
      <c r="B638" s="151">
        <v>259</v>
      </c>
      <c r="C638" s="126" t="s">
        <v>71</v>
      </c>
      <c r="D638"/>
      <c r="E638" s="126"/>
      <c r="F638" s="122"/>
      <c r="G638" s="122"/>
      <c r="H638"/>
      <c r="I638" s="122"/>
      <c r="J638" s="307" t="s">
        <v>214</v>
      </c>
      <c r="K638" s="127" t="s">
        <v>1785</v>
      </c>
      <c r="L638" s="151"/>
      <c r="M638"/>
      <c r="N638" s="123"/>
      <c r="O638">
        <v>394</v>
      </c>
      <c r="P638" s="131" t="s">
        <v>78</v>
      </c>
      <c r="Q638" s="131">
        <v>60000</v>
      </c>
      <c r="R638" s="131"/>
      <c r="S638" s="131"/>
      <c r="T638" s="155"/>
      <c r="U638" s="131"/>
      <c r="V638" s="131">
        <f t="shared" ref="V638:V639" si="25">Q638</f>
        <v>60000</v>
      </c>
      <c r="W638"/>
      <c r="X638" s="151"/>
      <c r="Y638" s="135" t="s">
        <v>55</v>
      </c>
      <c r="Z638" s="307" t="s">
        <v>214</v>
      </c>
      <c r="AB638" t="str">
        <f>IF(Table1[[#This Row],[TIPO2]]="costo", VLOOKUP(Table1[[#This Row],[PARTIDA PRESUPUESTAL]],'Cost Report'!G:G,1,0),"Balance")</f>
        <v>Balance</v>
      </c>
      <c r="AC638" s="118"/>
      <c r="AD638" s="159">
        <f>+Table1[[#This Row],[SUBTOTAL]]+Table1[[#This Row],[IVA]]-Table1[[#This Row],[RET IVA]]-Table1[[#This Row],[RET ISR]]-Table1[[#This Row],[TOTAL]]</f>
        <v>0</v>
      </c>
      <c r="AE638" s="150"/>
      <c r="AF638" s="151"/>
      <c r="AG638" s="126"/>
      <c r="AH638" s="115"/>
      <c r="AK638" s="306" t="str">
        <f>IF(ISNUMBER(Table1[[#This Row],[FECHA DE RECIBIDO]]), Table1[[#This Row],[FECHA DE RECIBIDO]]-DATE(2023,8,30), "")</f>
        <v/>
      </c>
    </row>
    <row r="639" spans="1:37" ht="15" customHeight="1">
      <c r="A639" s="152" t="s">
        <v>2059</v>
      </c>
      <c r="B639" s="153">
        <v>259</v>
      </c>
      <c r="C639" s="126" t="s">
        <v>3103</v>
      </c>
      <c r="D639"/>
      <c r="E639" s="126"/>
      <c r="F639" s="125"/>
      <c r="G639" s="125"/>
      <c r="H639"/>
      <c r="I639" s="125"/>
      <c r="J639" s="308" t="s">
        <v>214</v>
      </c>
      <c r="K639" s="127" t="s">
        <v>1785</v>
      </c>
      <c r="L639" s="153"/>
      <c r="M639"/>
      <c r="N639" s="123"/>
      <c r="O639">
        <v>395</v>
      </c>
      <c r="P639" s="132" t="s">
        <v>77</v>
      </c>
      <c r="Q639" s="132">
        <v>1800</v>
      </c>
      <c r="R639" s="132">
        <v>288</v>
      </c>
      <c r="S639" s="132"/>
      <c r="T639" s="156"/>
      <c r="U639" s="132"/>
      <c r="V639" s="132">
        <f t="shared" si="25"/>
        <v>1800</v>
      </c>
      <c r="W639"/>
      <c r="X639" s="153"/>
      <c r="Y639" s="124" t="s">
        <v>55</v>
      </c>
      <c r="Z639" s="308" t="s">
        <v>214</v>
      </c>
      <c r="AB639" t="str">
        <f>IF(Table1[[#This Row],[TIPO2]]="costo", VLOOKUP(Table1[[#This Row],[PARTIDA PRESUPUESTAL]],'Cost Report'!G:G,1,0),"Balance")</f>
        <v>7038-009</v>
      </c>
      <c r="AC639" s="118"/>
      <c r="AD639" s="159">
        <f>+Table1[[#This Row],[SUBTOTAL]]+Table1[[#This Row],[IVA]]-Table1[[#This Row],[RET IVA]]-Table1[[#This Row],[RET ISR]]-Table1[[#This Row],[TOTAL]]</f>
        <v>288</v>
      </c>
      <c r="AE639" s="152"/>
      <c r="AF639" s="153"/>
      <c r="AG639" s="126"/>
      <c r="AH639" s="115"/>
      <c r="AK639" s="306" t="str">
        <f>IF(ISNUMBER(Table1[[#This Row],[FECHA DE RECIBIDO]]), Table1[[#This Row],[FECHA DE RECIBIDO]]-DATE(2023,8,30), "")</f>
        <v/>
      </c>
    </row>
    <row r="640" spans="1:37" ht="15" customHeight="1">
      <c r="A640" s="150" t="s">
        <v>2060</v>
      </c>
      <c r="B640" s="151">
        <v>260</v>
      </c>
      <c r="C640" s="126" t="s">
        <v>71</v>
      </c>
      <c r="D640"/>
      <c r="E640" s="126"/>
      <c r="F640" s="122"/>
      <c r="G640" s="122"/>
      <c r="H640"/>
      <c r="I640" s="122"/>
      <c r="J640" s="307" t="s">
        <v>214</v>
      </c>
      <c r="K640" s="127" t="s">
        <v>1785</v>
      </c>
      <c r="L640" s="151"/>
      <c r="M640"/>
      <c r="N640" s="123"/>
      <c r="O640">
        <v>396</v>
      </c>
      <c r="P640" s="131" t="s">
        <v>78</v>
      </c>
      <c r="Q640" s="131">
        <v>150000</v>
      </c>
      <c r="R640" s="131"/>
      <c r="S640" s="131"/>
      <c r="T640" s="155"/>
      <c r="U640" s="131"/>
      <c r="V640" s="131">
        <f t="shared" ref="V640:V643" si="26">+Q640+R640-T640-U640</f>
        <v>150000</v>
      </c>
      <c r="W640">
        <v>37</v>
      </c>
      <c r="X640" s="151" t="s">
        <v>1639</v>
      </c>
      <c r="Y640" s="135" t="s">
        <v>55</v>
      </c>
      <c r="Z640" s="307" t="s">
        <v>214</v>
      </c>
      <c r="AB640" t="str">
        <f>IF(Table1[[#This Row],[TIPO2]]="costo", VLOOKUP(Table1[[#This Row],[PARTIDA PRESUPUESTAL]],'Cost Report'!G:G,1,0),"Balance")</f>
        <v>Balance</v>
      </c>
      <c r="AC640" s="118"/>
      <c r="AD640" s="159">
        <f>+Table1[[#This Row],[SUBTOTAL]]+Table1[[#This Row],[IVA]]-Table1[[#This Row],[RET IVA]]-Table1[[#This Row],[RET ISR]]-Table1[[#This Row],[TOTAL]]</f>
        <v>0</v>
      </c>
      <c r="AE640" s="150"/>
      <c r="AF640" s="151"/>
      <c r="AG640" s="126"/>
      <c r="AH640" s="115"/>
      <c r="AK640" s="306" t="str">
        <f>IF(ISNUMBER(Table1[[#This Row],[FECHA DE RECIBIDO]]), Table1[[#This Row],[FECHA DE RECIBIDO]]-DATE(2023,8,30), "")</f>
        <v/>
      </c>
    </row>
    <row r="641" spans="1:37" ht="15" customHeight="1">
      <c r="A641" s="152" t="s">
        <v>2060</v>
      </c>
      <c r="B641" s="153">
        <v>260</v>
      </c>
      <c r="C641" s="126" t="s">
        <v>3103</v>
      </c>
      <c r="D641"/>
      <c r="E641" s="126"/>
      <c r="F641" s="125"/>
      <c r="G641" s="125"/>
      <c r="H641"/>
      <c r="I641" s="125"/>
      <c r="J641" s="308" t="s">
        <v>214</v>
      </c>
      <c r="K641" s="127" t="s">
        <v>1785</v>
      </c>
      <c r="L641" s="153"/>
      <c r="M641"/>
      <c r="N641" s="123"/>
      <c r="O641">
        <v>395</v>
      </c>
      <c r="P641" s="132" t="s">
        <v>77</v>
      </c>
      <c r="Q641" s="132">
        <v>3660</v>
      </c>
      <c r="R641" s="132">
        <v>585.6</v>
      </c>
      <c r="S641" s="132"/>
      <c r="T641" s="156"/>
      <c r="U641" s="132"/>
      <c r="V641" s="132">
        <f t="shared" si="26"/>
        <v>4245.6000000000004</v>
      </c>
      <c r="W641">
        <v>37</v>
      </c>
      <c r="X641" s="153" t="s">
        <v>1639</v>
      </c>
      <c r="Y641" s="124" t="s">
        <v>55</v>
      </c>
      <c r="Z641" s="308" t="s">
        <v>214</v>
      </c>
      <c r="AB641" t="str">
        <f>IF(Table1[[#This Row],[TIPO2]]="costo", VLOOKUP(Table1[[#This Row],[PARTIDA PRESUPUESTAL]],'Cost Report'!G:G,1,0),"Balance")</f>
        <v>7038-009</v>
      </c>
      <c r="AC641" s="118"/>
      <c r="AD641" s="159">
        <f>+Table1[[#This Row],[SUBTOTAL]]+Table1[[#This Row],[IVA]]-Table1[[#This Row],[RET IVA]]-Table1[[#This Row],[RET ISR]]-Table1[[#This Row],[TOTAL]]</f>
        <v>0</v>
      </c>
      <c r="AE641" s="152"/>
      <c r="AF641" s="153"/>
      <c r="AG641" s="126"/>
      <c r="AH641" s="115"/>
      <c r="AK641" s="306" t="str">
        <f>IF(ISNUMBER(Table1[[#This Row],[FECHA DE RECIBIDO]]), Table1[[#This Row],[FECHA DE RECIBIDO]]-DATE(2023,8,30), "")</f>
        <v/>
      </c>
    </row>
    <row r="642" spans="1:37" ht="15" customHeight="1">
      <c r="A642" s="150"/>
      <c r="B642" s="151">
        <v>275</v>
      </c>
      <c r="C642" s="126" t="s">
        <v>71</v>
      </c>
      <c r="D642"/>
      <c r="E642" s="126"/>
      <c r="F642" s="122"/>
      <c r="G642" s="122"/>
      <c r="H642"/>
      <c r="I642" s="122"/>
      <c r="J642" s="307" t="s">
        <v>214</v>
      </c>
      <c r="K642" s="127" t="s">
        <v>1785</v>
      </c>
      <c r="L642" s="151"/>
      <c r="M642"/>
      <c r="N642" s="123"/>
      <c r="O642">
        <v>397</v>
      </c>
      <c r="P642" s="131" t="s">
        <v>78</v>
      </c>
      <c r="Q642" s="131">
        <v>60000</v>
      </c>
      <c r="R642" s="131"/>
      <c r="S642" s="131"/>
      <c r="T642" s="155"/>
      <c r="U642" s="131"/>
      <c r="V642" s="131">
        <f t="shared" si="26"/>
        <v>60000</v>
      </c>
      <c r="W642"/>
      <c r="X642" s="151"/>
      <c r="Y642" s="135" t="s">
        <v>55</v>
      </c>
      <c r="Z642" s="307" t="s">
        <v>214</v>
      </c>
      <c r="AB642" t="str">
        <f>IF(Table1[[#This Row],[TIPO2]]="costo", VLOOKUP(Table1[[#This Row],[PARTIDA PRESUPUESTAL]],'Cost Report'!G:G,1,0),"Balance")</f>
        <v>Balance</v>
      </c>
      <c r="AC642" s="118"/>
      <c r="AD642" s="159">
        <f>+Table1[[#This Row],[SUBTOTAL]]+Table1[[#This Row],[IVA]]-Table1[[#This Row],[RET IVA]]-Table1[[#This Row],[RET ISR]]-Table1[[#This Row],[TOTAL]]</f>
        <v>0</v>
      </c>
      <c r="AE642" s="150"/>
      <c r="AF642" s="151"/>
      <c r="AG642" s="126"/>
      <c r="AH642" s="115"/>
      <c r="AK642" s="306" t="str">
        <f>IF(ISNUMBER(Table1[[#This Row],[FECHA DE RECIBIDO]]), Table1[[#This Row],[FECHA DE RECIBIDO]]-DATE(2023,8,30), "")</f>
        <v/>
      </c>
    </row>
    <row r="643" spans="1:37" ht="15" customHeight="1">
      <c r="A643" s="152"/>
      <c r="B643" s="153"/>
      <c r="C643" s="126" t="s">
        <v>3103</v>
      </c>
      <c r="D643"/>
      <c r="E643" s="126"/>
      <c r="F643" s="125"/>
      <c r="G643" s="125"/>
      <c r="H643"/>
      <c r="I643" s="125"/>
      <c r="J643" s="308" t="s">
        <v>214</v>
      </c>
      <c r="K643" s="127" t="s">
        <v>1785</v>
      </c>
      <c r="L643" s="153"/>
      <c r="M643"/>
      <c r="N643" s="123"/>
      <c r="O643">
        <v>395</v>
      </c>
      <c r="P643" s="132" t="s">
        <v>77</v>
      </c>
      <c r="Q643" s="132">
        <v>1800</v>
      </c>
      <c r="R643" s="132">
        <v>288</v>
      </c>
      <c r="S643" s="132"/>
      <c r="T643" s="156"/>
      <c r="U643" s="132"/>
      <c r="V643" s="132">
        <f t="shared" si="26"/>
        <v>2088</v>
      </c>
      <c r="W643"/>
      <c r="X643" s="153"/>
      <c r="Y643" s="124" t="s">
        <v>55</v>
      </c>
      <c r="Z643" s="308" t="s">
        <v>214</v>
      </c>
      <c r="AB643" t="str">
        <f>IF(Table1[[#This Row],[TIPO2]]="costo", VLOOKUP(Table1[[#This Row],[PARTIDA PRESUPUESTAL]],'Cost Report'!G:G,1,0),"Balance")</f>
        <v>7038-009</v>
      </c>
      <c r="AC643" s="118"/>
      <c r="AD643" s="159">
        <f>+Table1[[#This Row],[SUBTOTAL]]+Table1[[#This Row],[IVA]]-Table1[[#This Row],[RET IVA]]-Table1[[#This Row],[RET ISR]]-Table1[[#This Row],[TOTAL]]</f>
        <v>0</v>
      </c>
      <c r="AE643" s="152"/>
      <c r="AF643" s="153"/>
      <c r="AG643" s="126"/>
      <c r="AH643" s="115"/>
      <c r="AK643" s="306" t="str">
        <f>IF(ISNUMBER(Table1[[#This Row],[FECHA DE RECIBIDO]]), Table1[[#This Row],[FECHA DE RECIBIDO]]-DATE(2023,8,30), "")</f>
        <v/>
      </c>
    </row>
    <row r="644" spans="1:37" ht="15" customHeight="1">
      <c r="A644" s="150" t="s">
        <v>2061</v>
      </c>
      <c r="B644" s="151">
        <v>294</v>
      </c>
      <c r="C644" s="126" t="s">
        <v>2324</v>
      </c>
      <c r="D644">
        <v>373</v>
      </c>
      <c r="E644" s="126" t="s">
        <v>1991</v>
      </c>
      <c r="F644" s="122" t="s">
        <v>2062</v>
      </c>
      <c r="G644" s="122" t="s">
        <v>134</v>
      </c>
      <c r="H644">
        <v>130</v>
      </c>
      <c r="I644" s="122" t="s">
        <v>1546</v>
      </c>
      <c r="J644" s="307" t="s">
        <v>214</v>
      </c>
      <c r="K644" s="127" t="s">
        <v>1785</v>
      </c>
      <c r="L644" s="151" t="s">
        <v>1483</v>
      </c>
      <c r="M644">
        <v>171</v>
      </c>
      <c r="N644" s="123"/>
      <c r="O644">
        <v>398</v>
      </c>
      <c r="P644" s="132" t="s">
        <v>77</v>
      </c>
      <c r="Q644" s="131">
        <v>420</v>
      </c>
      <c r="R644" s="131"/>
      <c r="S644" s="131"/>
      <c r="T644" s="155"/>
      <c r="U644" s="131"/>
      <c r="V644" s="131">
        <v>420</v>
      </c>
      <c r="W644">
        <v>38</v>
      </c>
      <c r="X644" s="151" t="s">
        <v>1644</v>
      </c>
      <c r="Y644" s="135" t="s">
        <v>55</v>
      </c>
      <c r="Z644" s="307">
        <v>195</v>
      </c>
      <c r="AB644" t="str">
        <f>IF(Table1[[#This Row],[TIPO2]]="costo", VLOOKUP(Table1[[#This Row],[PARTIDA PRESUPUESTAL]],'Cost Report'!G:G,1,0),"Balance")</f>
        <v>1426-009</v>
      </c>
      <c r="AC644" s="118"/>
      <c r="AD644" s="159">
        <f>+Table1[[#This Row],[SUBTOTAL]]+Table1[[#This Row],[IVA]]-Table1[[#This Row],[RET IVA]]-Table1[[#This Row],[RET ISR]]-Table1[[#This Row],[TOTAL]]</f>
        <v>0</v>
      </c>
      <c r="AE644" s="150"/>
      <c r="AF644" s="151"/>
      <c r="AG644" s="126" t="s">
        <v>3420</v>
      </c>
      <c r="AH644" s="115"/>
      <c r="AK644" s="306" t="str">
        <f>IF(ISNUMBER(Table1[[#This Row],[FECHA DE RECIBIDO]]), Table1[[#This Row],[FECHA DE RECIBIDO]]-DATE(2023,8,30), "")</f>
        <v/>
      </c>
    </row>
    <row r="645" spans="1:37" ht="15" customHeight="1">
      <c r="A645" s="152" t="s">
        <v>2061</v>
      </c>
      <c r="B645" s="153">
        <v>294</v>
      </c>
      <c r="C645" s="126" t="s">
        <v>2323</v>
      </c>
      <c r="D645">
        <v>374</v>
      </c>
      <c r="E645" s="126" t="s">
        <v>1598</v>
      </c>
      <c r="F645" s="125" t="s">
        <v>1607</v>
      </c>
      <c r="G645" s="125" t="s">
        <v>134</v>
      </c>
      <c r="H645">
        <v>131</v>
      </c>
      <c r="I645" s="125" t="s">
        <v>1546</v>
      </c>
      <c r="J645" s="308" t="s">
        <v>214</v>
      </c>
      <c r="K645" s="127" t="s">
        <v>1785</v>
      </c>
      <c r="L645" s="153" t="s">
        <v>1483</v>
      </c>
      <c r="M645">
        <v>172</v>
      </c>
      <c r="N645" s="123"/>
      <c r="O645">
        <v>399</v>
      </c>
      <c r="P645" s="132" t="s">
        <v>77</v>
      </c>
      <c r="Q645" s="132">
        <v>194.83</v>
      </c>
      <c r="R645" s="132">
        <v>31.17</v>
      </c>
      <c r="S645" s="132"/>
      <c r="T645" s="156"/>
      <c r="U645" s="132"/>
      <c r="V645" s="132">
        <v>226</v>
      </c>
      <c r="W645">
        <v>38</v>
      </c>
      <c r="X645" s="153" t="s">
        <v>1644</v>
      </c>
      <c r="Y645" s="124" t="s">
        <v>55</v>
      </c>
      <c r="Z645" s="308">
        <v>195</v>
      </c>
      <c r="AB645" t="str">
        <f>IF(Table1[[#This Row],[TIPO2]]="costo", VLOOKUP(Table1[[#This Row],[PARTIDA PRESUPUESTAL]],'Cost Report'!G:G,1,0),"Balance")</f>
        <v>1426-008</v>
      </c>
      <c r="AC645" s="118"/>
      <c r="AD645" s="159">
        <f>+Table1[[#This Row],[SUBTOTAL]]+Table1[[#This Row],[IVA]]-Table1[[#This Row],[RET IVA]]-Table1[[#This Row],[RET ISR]]-Table1[[#This Row],[TOTAL]]</f>
        <v>0</v>
      </c>
      <c r="AE645" s="152"/>
      <c r="AF645" s="153"/>
      <c r="AG645" s="126" t="s">
        <v>3420</v>
      </c>
      <c r="AH645" s="115"/>
      <c r="AK645" s="306" t="str">
        <f>IF(ISNUMBER(Table1[[#This Row],[FECHA DE RECIBIDO]]), Table1[[#This Row],[FECHA DE RECIBIDO]]-DATE(2023,8,30), "")</f>
        <v/>
      </c>
    </row>
    <row r="646" spans="1:37" ht="15" customHeight="1">
      <c r="A646" s="150" t="s">
        <v>2061</v>
      </c>
      <c r="B646" s="151">
        <v>294</v>
      </c>
      <c r="C646" s="126" t="s">
        <v>2324</v>
      </c>
      <c r="D646">
        <v>375</v>
      </c>
      <c r="E646" s="126" t="s">
        <v>2063</v>
      </c>
      <c r="F646" s="122" t="s">
        <v>1602</v>
      </c>
      <c r="G646" s="122" t="s">
        <v>1617</v>
      </c>
      <c r="H646">
        <v>132</v>
      </c>
      <c r="I646" s="122" t="s">
        <v>1546</v>
      </c>
      <c r="J646" s="307" t="s">
        <v>214</v>
      </c>
      <c r="K646" s="127" t="s">
        <v>1785</v>
      </c>
      <c r="L646" s="151" t="s">
        <v>1483</v>
      </c>
      <c r="M646">
        <v>173</v>
      </c>
      <c r="N646" s="123"/>
      <c r="O646">
        <v>398</v>
      </c>
      <c r="P646" s="132" t="s">
        <v>77</v>
      </c>
      <c r="Q646" s="131">
        <v>450</v>
      </c>
      <c r="R646" s="131"/>
      <c r="S646" s="131"/>
      <c r="T646" s="155"/>
      <c r="U646" s="131"/>
      <c r="V646" s="131">
        <v>450</v>
      </c>
      <c r="W646">
        <v>38</v>
      </c>
      <c r="X646" s="151" t="s">
        <v>1644</v>
      </c>
      <c r="Y646" s="135" t="s">
        <v>55</v>
      </c>
      <c r="Z646" s="307">
        <v>195</v>
      </c>
      <c r="AB646" t="str">
        <f>IF(Table1[[#This Row],[TIPO2]]="costo", VLOOKUP(Table1[[#This Row],[PARTIDA PRESUPUESTAL]],'Cost Report'!G:G,1,0),"Balance")</f>
        <v>1426-009</v>
      </c>
      <c r="AC646" s="118"/>
      <c r="AD646" s="159">
        <f>+Table1[[#This Row],[SUBTOTAL]]+Table1[[#This Row],[IVA]]-Table1[[#This Row],[RET IVA]]-Table1[[#This Row],[RET ISR]]-Table1[[#This Row],[TOTAL]]</f>
        <v>0</v>
      </c>
      <c r="AE646" s="150"/>
      <c r="AF646" s="151"/>
      <c r="AG646" s="126" t="s">
        <v>3420</v>
      </c>
      <c r="AH646" s="115"/>
      <c r="AK646" s="306" t="str">
        <f>IF(ISNUMBER(Table1[[#This Row],[FECHA DE RECIBIDO]]), Table1[[#This Row],[FECHA DE RECIBIDO]]-DATE(2023,8,30), "")</f>
        <v/>
      </c>
    </row>
    <row r="647" spans="1:37" ht="15" customHeight="1">
      <c r="A647" s="152" t="s">
        <v>2061</v>
      </c>
      <c r="B647" s="153">
        <v>294</v>
      </c>
      <c r="C647" s="126" t="s">
        <v>2323</v>
      </c>
      <c r="D647">
        <v>376</v>
      </c>
      <c r="E647" s="126" t="s">
        <v>2064</v>
      </c>
      <c r="F647" s="125" t="s">
        <v>1607</v>
      </c>
      <c r="G647" s="125" t="s">
        <v>134</v>
      </c>
      <c r="H647">
        <v>133</v>
      </c>
      <c r="I647" s="125" t="s">
        <v>1546</v>
      </c>
      <c r="J647" s="308" t="s">
        <v>214</v>
      </c>
      <c r="K647" s="127" t="s">
        <v>1785</v>
      </c>
      <c r="L647" s="153" t="s">
        <v>1483</v>
      </c>
      <c r="M647">
        <v>174</v>
      </c>
      <c r="N647" s="123"/>
      <c r="O647">
        <v>399</v>
      </c>
      <c r="P647" s="132" t="s">
        <v>77</v>
      </c>
      <c r="Q647" s="132">
        <v>343.97</v>
      </c>
      <c r="R647" s="132">
        <v>55.03</v>
      </c>
      <c r="S647" s="132"/>
      <c r="T647" s="156"/>
      <c r="U647" s="132"/>
      <c r="V647" s="132">
        <v>399</v>
      </c>
      <c r="W647">
        <v>38</v>
      </c>
      <c r="X647" s="153" t="s">
        <v>1644</v>
      </c>
      <c r="Y647" s="124" t="s">
        <v>55</v>
      </c>
      <c r="Z647" s="308">
        <v>195</v>
      </c>
      <c r="AB647" t="str">
        <f>IF(Table1[[#This Row],[TIPO2]]="costo", VLOOKUP(Table1[[#This Row],[PARTIDA PRESUPUESTAL]],'Cost Report'!G:G,1,0),"Balance")</f>
        <v>1426-008</v>
      </c>
      <c r="AC647" s="118"/>
      <c r="AD647" s="159">
        <f>+Table1[[#This Row],[SUBTOTAL]]+Table1[[#This Row],[IVA]]-Table1[[#This Row],[RET IVA]]-Table1[[#This Row],[RET ISR]]-Table1[[#This Row],[TOTAL]]</f>
        <v>0</v>
      </c>
      <c r="AE647" s="152"/>
      <c r="AF647" s="153"/>
      <c r="AG647" s="126" t="s">
        <v>3420</v>
      </c>
      <c r="AH647" s="115"/>
      <c r="AK647" s="306" t="str">
        <f>IF(ISNUMBER(Table1[[#This Row],[FECHA DE RECIBIDO]]), Table1[[#This Row],[FECHA DE RECIBIDO]]-DATE(2023,8,30), "")</f>
        <v/>
      </c>
    </row>
    <row r="648" spans="1:37" ht="15" customHeight="1">
      <c r="A648" s="150" t="s">
        <v>2061</v>
      </c>
      <c r="B648" s="151">
        <v>294</v>
      </c>
      <c r="C648" s="126" t="s">
        <v>2323</v>
      </c>
      <c r="D648">
        <v>377</v>
      </c>
      <c r="E648" s="126" t="s">
        <v>1996</v>
      </c>
      <c r="F648" s="122" t="s">
        <v>1602</v>
      </c>
      <c r="G648" s="122" t="s">
        <v>1617</v>
      </c>
      <c r="H648">
        <v>134</v>
      </c>
      <c r="I648" s="122" t="s">
        <v>1546</v>
      </c>
      <c r="J648" s="307" t="s">
        <v>214</v>
      </c>
      <c r="K648" s="127" t="s">
        <v>1785</v>
      </c>
      <c r="L648" s="151" t="s">
        <v>1483</v>
      </c>
      <c r="M648">
        <v>105</v>
      </c>
      <c r="N648" s="123"/>
      <c r="O648">
        <v>399</v>
      </c>
      <c r="P648" s="132" t="s">
        <v>77</v>
      </c>
      <c r="Q648" s="131">
        <v>198.28</v>
      </c>
      <c r="R648" s="131">
        <v>31.72</v>
      </c>
      <c r="S648" s="131"/>
      <c r="T648" s="155"/>
      <c r="U648" s="131"/>
      <c r="V648" s="131">
        <v>230</v>
      </c>
      <c r="W648">
        <v>38</v>
      </c>
      <c r="X648" s="151" t="s">
        <v>1644</v>
      </c>
      <c r="Y648" s="135" t="s">
        <v>55</v>
      </c>
      <c r="Z648" s="307">
        <v>195</v>
      </c>
      <c r="AB648" t="str">
        <f>IF(Table1[[#This Row],[TIPO2]]="costo", VLOOKUP(Table1[[#This Row],[PARTIDA PRESUPUESTAL]],'Cost Report'!G:G,1,0),"Balance")</f>
        <v>1426-008</v>
      </c>
      <c r="AC648" s="118"/>
      <c r="AD648" s="159">
        <f>+Table1[[#This Row],[SUBTOTAL]]+Table1[[#This Row],[IVA]]-Table1[[#This Row],[RET IVA]]-Table1[[#This Row],[RET ISR]]-Table1[[#This Row],[TOTAL]]</f>
        <v>0</v>
      </c>
      <c r="AE648" s="150"/>
      <c r="AF648" s="151"/>
      <c r="AG648" s="126" t="s">
        <v>3420</v>
      </c>
      <c r="AH648" s="115"/>
      <c r="AK648" s="306" t="str">
        <f>IF(ISNUMBER(Table1[[#This Row],[FECHA DE RECIBIDO]]), Table1[[#This Row],[FECHA DE RECIBIDO]]-DATE(2023,8,30), "")</f>
        <v/>
      </c>
    </row>
    <row r="649" spans="1:37" ht="15" customHeight="1">
      <c r="A649" s="152" t="s">
        <v>2061</v>
      </c>
      <c r="B649" s="153">
        <v>294</v>
      </c>
      <c r="C649" s="126" t="s">
        <v>2752</v>
      </c>
      <c r="D649">
        <v>378</v>
      </c>
      <c r="E649" s="126" t="s">
        <v>1596</v>
      </c>
      <c r="F649" s="125" t="s">
        <v>1371</v>
      </c>
      <c r="G649" s="125" t="s">
        <v>2065</v>
      </c>
      <c r="H649">
        <v>135</v>
      </c>
      <c r="I649" s="125" t="s">
        <v>1546</v>
      </c>
      <c r="J649" s="308" t="s">
        <v>214</v>
      </c>
      <c r="K649" s="127" t="s">
        <v>1785</v>
      </c>
      <c r="L649" s="153" t="s">
        <v>1483</v>
      </c>
      <c r="M649">
        <v>175</v>
      </c>
      <c r="N649" s="123"/>
      <c r="O649">
        <v>400</v>
      </c>
      <c r="P649" s="132" t="s">
        <v>77</v>
      </c>
      <c r="Q649" s="132">
        <v>598.5</v>
      </c>
      <c r="R649" s="132"/>
      <c r="S649" s="132"/>
      <c r="T649" s="156"/>
      <c r="U649" s="132"/>
      <c r="V649" s="132">
        <v>598.5</v>
      </c>
      <c r="W649">
        <v>38</v>
      </c>
      <c r="X649" s="153" t="s">
        <v>1644</v>
      </c>
      <c r="Y649" s="124" t="s">
        <v>55</v>
      </c>
      <c r="Z649" s="308">
        <v>187</v>
      </c>
      <c r="AB649" t="str">
        <f>IF(Table1[[#This Row],[TIPO2]]="costo", VLOOKUP(Table1[[#This Row],[PARTIDA PRESUPUESTAL]],'Cost Report'!G:G,1,0),"Balance")</f>
        <v>3401-014</v>
      </c>
      <c r="AC649" s="118"/>
      <c r="AD649" s="159">
        <f>+Table1[[#This Row],[SUBTOTAL]]+Table1[[#This Row],[IVA]]-Table1[[#This Row],[RET IVA]]-Table1[[#This Row],[RET ISR]]-Table1[[#This Row],[TOTAL]]</f>
        <v>0</v>
      </c>
      <c r="AE649" s="152"/>
      <c r="AF649" s="153"/>
      <c r="AG649" s="126" t="s">
        <v>3420</v>
      </c>
      <c r="AH649" s="115"/>
      <c r="AK649" s="306" t="str">
        <f>IF(ISNUMBER(Table1[[#This Row],[FECHA DE RECIBIDO]]), Table1[[#This Row],[FECHA DE RECIBIDO]]-DATE(2023,8,30), "")</f>
        <v/>
      </c>
    </row>
    <row r="650" spans="1:37" ht="15" customHeight="1">
      <c r="A650" s="150" t="s">
        <v>2061</v>
      </c>
      <c r="B650" s="151">
        <v>294</v>
      </c>
      <c r="C650" s="126" t="s">
        <v>2323</v>
      </c>
      <c r="D650">
        <v>379</v>
      </c>
      <c r="E650" s="126"/>
      <c r="F650" s="122"/>
      <c r="G650" s="122"/>
      <c r="H650"/>
      <c r="I650" s="122"/>
      <c r="J650" s="307" t="s">
        <v>214</v>
      </c>
      <c r="K650" s="127" t="s">
        <v>1785</v>
      </c>
      <c r="L650" s="151" t="s">
        <v>1483</v>
      </c>
      <c r="M650">
        <v>176</v>
      </c>
      <c r="N650" s="123"/>
      <c r="O650">
        <v>401</v>
      </c>
      <c r="P650" s="132" t="s">
        <v>77</v>
      </c>
      <c r="Q650" s="131">
        <v>23</v>
      </c>
      <c r="R650" s="131"/>
      <c r="S650" s="131"/>
      <c r="T650" s="155"/>
      <c r="U650" s="131"/>
      <c r="V650" s="131">
        <v>23</v>
      </c>
      <c r="W650">
        <v>38</v>
      </c>
      <c r="X650" s="151" t="s">
        <v>1644</v>
      </c>
      <c r="Y650" s="135" t="s">
        <v>55</v>
      </c>
      <c r="Z650" s="307">
        <v>188</v>
      </c>
      <c r="AB650" t="str">
        <f>IF(Table1[[#This Row],[TIPO2]]="costo", VLOOKUP(Table1[[#This Row],[PARTIDA PRESUPUESTAL]],'Cost Report'!G:G,1,0),"Balance")</f>
        <v>1426-008</v>
      </c>
      <c r="AC650" s="118"/>
      <c r="AD650" s="159">
        <f>+Table1[[#This Row],[SUBTOTAL]]+Table1[[#This Row],[IVA]]-Table1[[#This Row],[RET IVA]]-Table1[[#This Row],[RET ISR]]-Table1[[#This Row],[TOTAL]]</f>
        <v>0</v>
      </c>
      <c r="AE650" s="150"/>
      <c r="AF650" s="151"/>
      <c r="AG650" s="126" t="s">
        <v>3420</v>
      </c>
      <c r="AH650" s="115"/>
      <c r="AK650" s="306" t="str">
        <f>IF(ISNUMBER(Table1[[#This Row],[FECHA DE RECIBIDO]]), Table1[[#This Row],[FECHA DE RECIBIDO]]-DATE(2023,8,30), "")</f>
        <v/>
      </c>
    </row>
    <row r="651" spans="1:37" ht="15" customHeight="1">
      <c r="A651" s="152" t="s">
        <v>2061</v>
      </c>
      <c r="B651" s="153">
        <v>294</v>
      </c>
      <c r="C651" s="126" t="s">
        <v>2323</v>
      </c>
      <c r="D651">
        <v>380</v>
      </c>
      <c r="E651" s="126"/>
      <c r="F651" s="125"/>
      <c r="G651" s="125"/>
      <c r="H651"/>
      <c r="I651" s="125"/>
      <c r="J651" s="308" t="s">
        <v>214</v>
      </c>
      <c r="K651" s="127" t="s">
        <v>1785</v>
      </c>
      <c r="L651" s="153" t="s">
        <v>1483</v>
      </c>
      <c r="M651">
        <v>177</v>
      </c>
      <c r="N651" s="123"/>
      <c r="O651">
        <v>401</v>
      </c>
      <c r="P651" s="132" t="s">
        <v>77</v>
      </c>
      <c r="Q651" s="132">
        <v>122</v>
      </c>
      <c r="R651" s="132"/>
      <c r="S651" s="132"/>
      <c r="T651" s="156"/>
      <c r="U651" s="132"/>
      <c r="V651" s="132">
        <v>122</v>
      </c>
      <c r="W651">
        <v>38</v>
      </c>
      <c r="X651" s="153" t="s">
        <v>1644</v>
      </c>
      <c r="Y651" s="124" t="s">
        <v>55</v>
      </c>
      <c r="Z651" s="308">
        <v>190</v>
      </c>
      <c r="AB651" t="str">
        <f>IF(Table1[[#This Row],[TIPO2]]="costo", VLOOKUP(Table1[[#This Row],[PARTIDA PRESUPUESTAL]],'Cost Report'!G:G,1,0),"Balance")</f>
        <v>1426-008</v>
      </c>
      <c r="AC651" s="118"/>
      <c r="AD651" s="159">
        <f>+Table1[[#This Row],[SUBTOTAL]]+Table1[[#This Row],[IVA]]-Table1[[#This Row],[RET IVA]]-Table1[[#This Row],[RET ISR]]-Table1[[#This Row],[TOTAL]]</f>
        <v>0</v>
      </c>
      <c r="AE651" s="152"/>
      <c r="AF651" s="153"/>
      <c r="AG651" s="126" t="s">
        <v>3420</v>
      </c>
      <c r="AH651" s="115"/>
      <c r="AK651" s="306" t="str">
        <f>IF(ISNUMBER(Table1[[#This Row],[FECHA DE RECIBIDO]]), Table1[[#This Row],[FECHA DE RECIBIDO]]-DATE(2023,8,30), "")</f>
        <v/>
      </c>
    </row>
    <row r="652" spans="1:37" ht="15" customHeight="1">
      <c r="A652" s="150" t="s">
        <v>2061</v>
      </c>
      <c r="B652" s="151">
        <v>294</v>
      </c>
      <c r="C652" s="126" t="s">
        <v>2752</v>
      </c>
      <c r="D652">
        <v>381</v>
      </c>
      <c r="E652" s="126"/>
      <c r="F652" s="122"/>
      <c r="G652" s="122"/>
      <c r="H652"/>
      <c r="I652" s="122"/>
      <c r="J652" s="307" t="s">
        <v>214</v>
      </c>
      <c r="K652" s="127" t="s">
        <v>1785</v>
      </c>
      <c r="L652" s="151" t="s">
        <v>1483</v>
      </c>
      <c r="M652">
        <v>77</v>
      </c>
      <c r="N652" s="123"/>
      <c r="O652">
        <v>162</v>
      </c>
      <c r="P652" s="132" t="s">
        <v>77</v>
      </c>
      <c r="Q652" s="131">
        <v>30.74</v>
      </c>
      <c r="R652" s="131"/>
      <c r="S652" s="131"/>
      <c r="T652" s="155"/>
      <c r="U652" s="131"/>
      <c r="V652" s="131">
        <v>30.74</v>
      </c>
      <c r="W652">
        <v>38</v>
      </c>
      <c r="X652" s="151" t="s">
        <v>1644</v>
      </c>
      <c r="Y652" s="135" t="s">
        <v>55</v>
      </c>
      <c r="Z652" s="307">
        <v>195</v>
      </c>
      <c r="AB652" t="str">
        <f>IF(Table1[[#This Row],[TIPO2]]="costo", VLOOKUP(Table1[[#This Row],[PARTIDA PRESUPUESTAL]],'Cost Report'!G:G,1,0),"Balance")</f>
        <v>3401-014</v>
      </c>
      <c r="AC652" s="118"/>
      <c r="AD652" s="159">
        <f>+Table1[[#This Row],[SUBTOTAL]]+Table1[[#This Row],[IVA]]-Table1[[#This Row],[RET IVA]]-Table1[[#This Row],[RET ISR]]-Table1[[#This Row],[TOTAL]]</f>
        <v>0</v>
      </c>
      <c r="AE652" s="150"/>
      <c r="AF652" s="151"/>
      <c r="AG652" s="126" t="s">
        <v>3420</v>
      </c>
      <c r="AH652" s="115"/>
      <c r="AK652" s="306" t="str">
        <f>IF(ISNUMBER(Table1[[#This Row],[FECHA DE RECIBIDO]]), Table1[[#This Row],[FECHA DE RECIBIDO]]-DATE(2023,8,30), "")</f>
        <v/>
      </c>
    </row>
    <row r="653" spans="1:37" ht="15" customHeight="1">
      <c r="A653" s="152" t="s">
        <v>2066</v>
      </c>
      <c r="B653" s="153">
        <v>295</v>
      </c>
      <c r="C653" s="126" t="s">
        <v>2772</v>
      </c>
      <c r="D653">
        <v>382</v>
      </c>
      <c r="E653" s="126" t="s">
        <v>1641</v>
      </c>
      <c r="F653" s="125" t="s">
        <v>1607</v>
      </c>
      <c r="G653" s="125" t="s">
        <v>134</v>
      </c>
      <c r="H653">
        <v>49</v>
      </c>
      <c r="I653" s="125" t="s">
        <v>1546</v>
      </c>
      <c r="J653" s="308" t="s">
        <v>214</v>
      </c>
      <c r="K653" s="127" t="s">
        <v>1785</v>
      </c>
      <c r="L653" s="153" t="s">
        <v>1483</v>
      </c>
      <c r="M653">
        <v>62</v>
      </c>
      <c r="N653" s="123"/>
      <c r="O653">
        <v>402</v>
      </c>
      <c r="P653" s="132" t="s">
        <v>77</v>
      </c>
      <c r="Q653" s="132">
        <v>3590</v>
      </c>
      <c r="R653" s="132">
        <v>403</v>
      </c>
      <c r="S653" s="132"/>
      <c r="T653" s="156"/>
      <c r="U653" s="132"/>
      <c r="V653" s="132">
        <v>3993</v>
      </c>
      <c r="W653">
        <v>93</v>
      </c>
      <c r="X653" s="153" t="s">
        <v>1644</v>
      </c>
      <c r="Y653" s="124" t="s">
        <v>55</v>
      </c>
      <c r="Z653" s="308">
        <v>189</v>
      </c>
      <c r="AB653" t="str">
        <f>IF(Table1[[#This Row],[TIPO2]]="costo", VLOOKUP(Table1[[#This Row],[PARTIDA PRESUPUESTAL]],'Cost Report'!G:G,1,0),"Balance")</f>
        <v>3401-038</v>
      </c>
      <c r="AC653" s="118"/>
      <c r="AD653" s="159">
        <f>+Table1[[#This Row],[SUBTOTAL]]+Table1[[#This Row],[IVA]]-Table1[[#This Row],[RET IVA]]-Table1[[#This Row],[RET ISR]]-Table1[[#This Row],[TOTAL]]</f>
        <v>0</v>
      </c>
      <c r="AE653" s="152"/>
      <c r="AF653" s="153"/>
      <c r="AG653" s="126" t="s">
        <v>3420</v>
      </c>
      <c r="AH653" s="115"/>
      <c r="AK653" s="306" t="str">
        <f>IF(ISNUMBER(Table1[[#This Row],[FECHA DE RECIBIDO]]), Table1[[#This Row],[FECHA DE RECIBIDO]]-DATE(2023,8,30), "")</f>
        <v/>
      </c>
    </row>
    <row r="654" spans="1:37" ht="15" customHeight="1">
      <c r="A654" s="150" t="s">
        <v>2066</v>
      </c>
      <c r="B654" s="151">
        <v>295</v>
      </c>
      <c r="C654" s="126" t="s">
        <v>2771</v>
      </c>
      <c r="D654">
        <v>383</v>
      </c>
      <c r="E654" s="126" t="s">
        <v>1641</v>
      </c>
      <c r="F654" s="122" t="s">
        <v>1607</v>
      </c>
      <c r="G654" s="122" t="s">
        <v>134</v>
      </c>
      <c r="H654">
        <v>49</v>
      </c>
      <c r="I654" s="122" t="s">
        <v>1546</v>
      </c>
      <c r="J654" s="307" t="s">
        <v>214</v>
      </c>
      <c r="K654" s="127" t="s">
        <v>1785</v>
      </c>
      <c r="L654" s="151" t="s">
        <v>1483</v>
      </c>
      <c r="M654">
        <v>62</v>
      </c>
      <c r="N654" s="123"/>
      <c r="O654">
        <v>403</v>
      </c>
      <c r="P654" s="132" t="s">
        <v>77</v>
      </c>
      <c r="Q654" s="131">
        <v>948</v>
      </c>
      <c r="R654" s="131">
        <v>151.68</v>
      </c>
      <c r="S654" s="131"/>
      <c r="T654" s="155"/>
      <c r="U654" s="131"/>
      <c r="V654" s="131">
        <v>1099.68</v>
      </c>
      <c r="W654">
        <v>93</v>
      </c>
      <c r="X654" s="151" t="s">
        <v>1644</v>
      </c>
      <c r="Y654" s="135" t="s">
        <v>55</v>
      </c>
      <c r="Z654" s="307">
        <v>189</v>
      </c>
      <c r="AB654" t="str">
        <f>IF(Table1[[#This Row],[TIPO2]]="costo", VLOOKUP(Table1[[#This Row],[PARTIDA PRESUPUESTAL]],'Cost Report'!G:G,1,0),"Balance")</f>
        <v>3401-037</v>
      </c>
      <c r="AC654" s="118"/>
      <c r="AD654" s="159">
        <f>+Table1[[#This Row],[SUBTOTAL]]+Table1[[#This Row],[IVA]]-Table1[[#This Row],[RET IVA]]-Table1[[#This Row],[RET ISR]]-Table1[[#This Row],[TOTAL]]</f>
        <v>0</v>
      </c>
      <c r="AE654" s="150"/>
      <c r="AF654" s="151"/>
      <c r="AG654" s="126" t="s">
        <v>3420</v>
      </c>
      <c r="AH654" s="115"/>
      <c r="AK654" s="306" t="str">
        <f>IF(ISNUMBER(Table1[[#This Row],[FECHA DE RECIBIDO]]), Table1[[#This Row],[FECHA DE RECIBIDO]]-DATE(2023,8,30), "")</f>
        <v/>
      </c>
    </row>
    <row r="655" spans="1:37" ht="15" customHeight="1">
      <c r="A655" s="152" t="s">
        <v>2066</v>
      </c>
      <c r="B655" s="153">
        <v>295</v>
      </c>
      <c r="C655" s="126" t="s">
        <v>2771</v>
      </c>
      <c r="D655">
        <v>384</v>
      </c>
      <c r="E655" s="126" t="s">
        <v>1641</v>
      </c>
      <c r="F655" s="125" t="s">
        <v>1607</v>
      </c>
      <c r="G655" s="125" t="s">
        <v>134</v>
      </c>
      <c r="H655">
        <v>49</v>
      </c>
      <c r="I655" s="125" t="s">
        <v>1546</v>
      </c>
      <c r="J655" s="308" t="s">
        <v>214</v>
      </c>
      <c r="K655" s="127" t="s">
        <v>1785</v>
      </c>
      <c r="L655" s="153" t="s">
        <v>1483</v>
      </c>
      <c r="M655">
        <v>62</v>
      </c>
      <c r="N655" s="123"/>
      <c r="O655">
        <v>403</v>
      </c>
      <c r="P655" s="132" t="s">
        <v>77</v>
      </c>
      <c r="Q655" s="132">
        <v>14132</v>
      </c>
      <c r="R655" s="132">
        <v>1574</v>
      </c>
      <c r="S655" s="132"/>
      <c r="T655" s="156"/>
      <c r="U655" s="132"/>
      <c r="V655" s="132">
        <v>15706</v>
      </c>
      <c r="W655">
        <v>93</v>
      </c>
      <c r="X655" s="153" t="s">
        <v>1644</v>
      </c>
      <c r="Y655" s="124" t="s">
        <v>55</v>
      </c>
      <c r="Z655" s="308">
        <v>189</v>
      </c>
      <c r="AB655" t="str">
        <f>IF(Table1[[#This Row],[TIPO2]]="costo", VLOOKUP(Table1[[#This Row],[PARTIDA PRESUPUESTAL]],'Cost Report'!G:G,1,0),"Balance")</f>
        <v>3401-037</v>
      </c>
      <c r="AC655" s="118"/>
      <c r="AD655" s="159">
        <f>+Table1[[#This Row],[SUBTOTAL]]+Table1[[#This Row],[IVA]]-Table1[[#This Row],[RET IVA]]-Table1[[#This Row],[RET ISR]]-Table1[[#This Row],[TOTAL]]</f>
        <v>0</v>
      </c>
      <c r="AE655" s="152"/>
      <c r="AF655" s="153"/>
      <c r="AG655" s="126" t="s">
        <v>3420</v>
      </c>
      <c r="AH655" s="115"/>
      <c r="AK655" s="306" t="str">
        <f>IF(ISNUMBER(Table1[[#This Row],[FECHA DE RECIBIDO]]), Table1[[#This Row],[FECHA DE RECIBIDO]]-DATE(2023,8,30), "")</f>
        <v/>
      </c>
    </row>
    <row r="656" spans="1:37" ht="15" customHeight="1">
      <c r="A656" s="150" t="s">
        <v>2066</v>
      </c>
      <c r="B656" s="151">
        <v>295</v>
      </c>
      <c r="C656" s="126" t="s">
        <v>3108</v>
      </c>
      <c r="D656">
        <v>385</v>
      </c>
      <c r="E656" s="126" t="s">
        <v>1647</v>
      </c>
      <c r="F656" s="122" t="s">
        <v>1607</v>
      </c>
      <c r="G656" s="122" t="s">
        <v>134</v>
      </c>
      <c r="H656">
        <v>57</v>
      </c>
      <c r="I656" s="122" t="s">
        <v>1546</v>
      </c>
      <c r="J656" s="307" t="s">
        <v>214</v>
      </c>
      <c r="K656" s="127" t="s">
        <v>1785</v>
      </c>
      <c r="L656" s="151" t="s">
        <v>1483</v>
      </c>
      <c r="M656">
        <v>79</v>
      </c>
      <c r="N656" s="123"/>
      <c r="O656">
        <v>404</v>
      </c>
      <c r="P656" s="132" t="s">
        <v>77</v>
      </c>
      <c r="Q656" s="131">
        <v>25</v>
      </c>
      <c r="R656" s="131">
        <v>4</v>
      </c>
      <c r="S656" s="131"/>
      <c r="T656" s="155"/>
      <c r="U656" s="131"/>
      <c r="V656" s="131">
        <v>29</v>
      </c>
      <c r="W656">
        <v>93</v>
      </c>
      <c r="X656" s="151" t="s">
        <v>1644</v>
      </c>
      <c r="Y656" s="135" t="s">
        <v>55</v>
      </c>
      <c r="Z656" s="307">
        <v>191</v>
      </c>
      <c r="AB656" t="str">
        <f>IF(Table1[[#This Row],[TIPO2]]="costo", VLOOKUP(Table1[[#This Row],[PARTIDA PRESUPUESTAL]],'Cost Report'!G:G,1,0),"Balance")</f>
        <v>7080-003</v>
      </c>
      <c r="AC656" s="118"/>
      <c r="AD656" s="159">
        <f>+Table1[[#This Row],[SUBTOTAL]]+Table1[[#This Row],[IVA]]-Table1[[#This Row],[RET IVA]]-Table1[[#This Row],[RET ISR]]-Table1[[#This Row],[TOTAL]]</f>
        <v>0</v>
      </c>
      <c r="AE656" s="150"/>
      <c r="AF656" s="151"/>
      <c r="AG656" s="126" t="s">
        <v>3420</v>
      </c>
      <c r="AH656" s="115"/>
      <c r="AK656" s="306" t="str">
        <f>IF(ISNUMBER(Table1[[#This Row],[FECHA DE RECIBIDO]]), Table1[[#This Row],[FECHA DE RECIBIDO]]-DATE(2023,8,30), "")</f>
        <v/>
      </c>
    </row>
    <row r="657" spans="1:37" ht="15" customHeight="1">
      <c r="A657" s="152" t="s">
        <v>2066</v>
      </c>
      <c r="B657" s="153">
        <v>295</v>
      </c>
      <c r="C657" s="126" t="s">
        <v>396</v>
      </c>
      <c r="D657">
        <v>386</v>
      </c>
      <c r="E657" s="126" t="s">
        <v>2067</v>
      </c>
      <c r="F657" s="125" t="s">
        <v>1607</v>
      </c>
      <c r="G657" s="125" t="s">
        <v>134</v>
      </c>
      <c r="H657">
        <v>136</v>
      </c>
      <c r="I657" s="125" t="s">
        <v>1546</v>
      </c>
      <c r="J657" s="308" t="s">
        <v>214</v>
      </c>
      <c r="K657" s="127" t="s">
        <v>1785</v>
      </c>
      <c r="L657" s="153" t="s">
        <v>1483</v>
      </c>
      <c r="M657">
        <v>178</v>
      </c>
      <c r="N657" s="123"/>
      <c r="O657">
        <v>405</v>
      </c>
      <c r="P657" s="132" t="s">
        <v>77</v>
      </c>
      <c r="Q657" s="132">
        <v>7208.97</v>
      </c>
      <c r="R657" s="132">
        <v>1059.03</v>
      </c>
      <c r="S657" s="132"/>
      <c r="T657" s="156"/>
      <c r="U657" s="132"/>
      <c r="V657" s="132">
        <v>8268</v>
      </c>
      <c r="W657">
        <v>93</v>
      </c>
      <c r="X657" s="153" t="s">
        <v>1644</v>
      </c>
      <c r="Y657" s="124" t="s">
        <v>55</v>
      </c>
      <c r="Z657" s="308">
        <v>194</v>
      </c>
      <c r="AB657" t="str">
        <f>IF(Table1[[#This Row],[TIPO2]]="costo", VLOOKUP(Table1[[#This Row],[PARTIDA PRESUPUESTAL]],'Cost Report'!G:G,1,0),"Balance")</f>
        <v>1620-004</v>
      </c>
      <c r="AC657" s="118"/>
      <c r="AD657" s="159">
        <f>+Table1[[#This Row],[SUBTOTAL]]+Table1[[#This Row],[IVA]]-Table1[[#This Row],[RET IVA]]-Table1[[#This Row],[RET ISR]]-Table1[[#This Row],[TOTAL]]</f>
        <v>0</v>
      </c>
      <c r="AE657" s="152"/>
      <c r="AF657" s="153"/>
      <c r="AG657" s="126" t="s">
        <v>3420</v>
      </c>
      <c r="AH657" s="115"/>
      <c r="AK657" s="306" t="str">
        <f>IF(ISNUMBER(Table1[[#This Row],[FECHA DE RECIBIDO]]), Table1[[#This Row],[FECHA DE RECIBIDO]]-DATE(2023,8,30), "")</f>
        <v/>
      </c>
    </row>
    <row r="658" spans="1:37" ht="15" customHeight="1">
      <c r="A658" s="150" t="s">
        <v>2066</v>
      </c>
      <c r="B658" s="151">
        <v>295</v>
      </c>
      <c r="C658" s="126" t="s">
        <v>1714</v>
      </c>
      <c r="D658">
        <v>387</v>
      </c>
      <c r="E658" s="126" t="s">
        <v>2068</v>
      </c>
      <c r="F658" s="122" t="s">
        <v>1382</v>
      </c>
      <c r="G658" s="122" t="s">
        <v>134</v>
      </c>
      <c r="H658">
        <v>31</v>
      </c>
      <c r="I658" s="122" t="s">
        <v>1546</v>
      </c>
      <c r="J658" s="307" t="s">
        <v>214</v>
      </c>
      <c r="K658" s="127" t="s">
        <v>1785</v>
      </c>
      <c r="L658" s="151" t="s">
        <v>1483</v>
      </c>
      <c r="M658">
        <v>69</v>
      </c>
      <c r="N658" s="123"/>
      <c r="O658">
        <v>406</v>
      </c>
      <c r="P658" s="132" t="s">
        <v>77</v>
      </c>
      <c r="Q658" s="131">
        <v>16</v>
      </c>
      <c r="R658" s="131"/>
      <c r="S658" s="131"/>
      <c r="T658" s="155"/>
      <c r="U658" s="131"/>
      <c r="V658" s="131">
        <v>16</v>
      </c>
      <c r="W658">
        <v>93</v>
      </c>
      <c r="X658" s="151" t="s">
        <v>1644</v>
      </c>
      <c r="Y658" s="135" t="s">
        <v>55</v>
      </c>
      <c r="Z658" s="307">
        <v>194</v>
      </c>
      <c r="AB658" t="str">
        <f>IF(Table1[[#This Row],[TIPO2]]="costo", VLOOKUP(Table1[[#This Row],[PARTIDA PRESUPUESTAL]],'Cost Report'!G:G,1,0),"Balance")</f>
        <v>1426-003</v>
      </c>
      <c r="AC658" s="118"/>
      <c r="AD658" s="159">
        <f>+Table1[[#This Row],[SUBTOTAL]]+Table1[[#This Row],[IVA]]-Table1[[#This Row],[RET IVA]]-Table1[[#This Row],[RET ISR]]-Table1[[#This Row],[TOTAL]]</f>
        <v>0</v>
      </c>
      <c r="AE658" s="150"/>
      <c r="AF658" s="151"/>
      <c r="AG658" s="126" t="s">
        <v>3420</v>
      </c>
      <c r="AH658" s="115"/>
      <c r="AK658" s="306" t="str">
        <f>IF(ISNUMBER(Table1[[#This Row],[FECHA DE RECIBIDO]]), Table1[[#This Row],[FECHA DE RECIBIDO]]-DATE(2023,8,30), "")</f>
        <v/>
      </c>
    </row>
    <row r="659" spans="1:37" ht="15" customHeight="1">
      <c r="A659" s="152" t="s">
        <v>2066</v>
      </c>
      <c r="B659" s="153">
        <v>295</v>
      </c>
      <c r="C659" s="126" t="s">
        <v>1714</v>
      </c>
      <c r="D659">
        <v>388</v>
      </c>
      <c r="E659" s="126" t="s">
        <v>2068</v>
      </c>
      <c r="F659" s="125" t="s">
        <v>1382</v>
      </c>
      <c r="G659" s="125" t="s">
        <v>134</v>
      </c>
      <c r="H659">
        <v>31</v>
      </c>
      <c r="I659" s="125" t="s">
        <v>1546</v>
      </c>
      <c r="J659" s="308" t="s">
        <v>214</v>
      </c>
      <c r="K659" s="127" t="s">
        <v>1785</v>
      </c>
      <c r="L659" s="153" t="s">
        <v>1483</v>
      </c>
      <c r="M659">
        <v>69</v>
      </c>
      <c r="N659" s="123"/>
      <c r="O659">
        <v>406</v>
      </c>
      <c r="P659" s="132" t="s">
        <v>77</v>
      </c>
      <c r="Q659" s="132">
        <v>16</v>
      </c>
      <c r="R659" s="132"/>
      <c r="S659" s="132"/>
      <c r="T659" s="156"/>
      <c r="U659" s="132"/>
      <c r="V659" s="132">
        <v>16</v>
      </c>
      <c r="W659">
        <v>93</v>
      </c>
      <c r="X659" s="153" t="s">
        <v>1644</v>
      </c>
      <c r="Y659" s="124" t="s">
        <v>55</v>
      </c>
      <c r="Z659" s="308">
        <v>194</v>
      </c>
      <c r="AB659" t="str">
        <f>IF(Table1[[#This Row],[TIPO2]]="costo", VLOOKUP(Table1[[#This Row],[PARTIDA PRESUPUESTAL]],'Cost Report'!G:G,1,0),"Balance")</f>
        <v>1426-003</v>
      </c>
      <c r="AC659" s="118"/>
      <c r="AD659" s="159">
        <f>+Table1[[#This Row],[SUBTOTAL]]+Table1[[#This Row],[IVA]]-Table1[[#This Row],[RET IVA]]-Table1[[#This Row],[RET ISR]]-Table1[[#This Row],[TOTAL]]</f>
        <v>0</v>
      </c>
      <c r="AE659" s="152"/>
      <c r="AF659" s="153"/>
      <c r="AG659" s="126" t="s">
        <v>3420</v>
      </c>
      <c r="AH659" s="115"/>
      <c r="AK659" s="306" t="str">
        <f>IF(ISNUMBER(Table1[[#This Row],[FECHA DE RECIBIDO]]), Table1[[#This Row],[FECHA DE RECIBIDO]]-DATE(2023,8,30), "")</f>
        <v/>
      </c>
    </row>
    <row r="660" spans="1:37" ht="15" customHeight="1">
      <c r="A660" s="150" t="s">
        <v>2066</v>
      </c>
      <c r="B660" s="151">
        <v>295</v>
      </c>
      <c r="C660" s="126" t="s">
        <v>1714</v>
      </c>
      <c r="D660">
        <v>389</v>
      </c>
      <c r="E660" s="126" t="s">
        <v>2069</v>
      </c>
      <c r="F660" s="122" t="s">
        <v>1382</v>
      </c>
      <c r="G660" s="122" t="s">
        <v>134</v>
      </c>
      <c r="H660">
        <v>31</v>
      </c>
      <c r="I660" s="122" t="s">
        <v>1546</v>
      </c>
      <c r="J660" s="307" t="s">
        <v>214</v>
      </c>
      <c r="K660" s="127" t="s">
        <v>1785</v>
      </c>
      <c r="L660" s="151" t="s">
        <v>1483</v>
      </c>
      <c r="M660">
        <v>69</v>
      </c>
      <c r="N660" s="123"/>
      <c r="O660">
        <v>407</v>
      </c>
      <c r="P660" s="132" t="s">
        <v>77</v>
      </c>
      <c r="Q660" s="131">
        <v>31</v>
      </c>
      <c r="R660" s="131"/>
      <c r="S660" s="131"/>
      <c r="T660" s="155"/>
      <c r="U660" s="131"/>
      <c r="V660" s="131">
        <v>31</v>
      </c>
      <c r="W660">
        <v>93</v>
      </c>
      <c r="X660" s="151" t="s">
        <v>1644</v>
      </c>
      <c r="Y660" s="135" t="s">
        <v>55</v>
      </c>
      <c r="Z660" s="307">
        <v>194</v>
      </c>
      <c r="AB660" t="str">
        <f>IF(Table1[[#This Row],[TIPO2]]="costo", VLOOKUP(Table1[[#This Row],[PARTIDA PRESUPUESTAL]],'Cost Report'!G:G,1,0),"Balance")</f>
        <v>1426-003</v>
      </c>
      <c r="AC660" s="118"/>
      <c r="AD660" s="159">
        <f>+Table1[[#This Row],[SUBTOTAL]]+Table1[[#This Row],[IVA]]-Table1[[#This Row],[RET IVA]]-Table1[[#This Row],[RET ISR]]-Table1[[#This Row],[TOTAL]]</f>
        <v>0</v>
      </c>
      <c r="AE660" s="150"/>
      <c r="AF660" s="151"/>
      <c r="AG660" s="126" t="s">
        <v>3420</v>
      </c>
      <c r="AH660" s="115"/>
      <c r="AK660" s="306" t="str">
        <f>IF(ISNUMBER(Table1[[#This Row],[FECHA DE RECIBIDO]]), Table1[[#This Row],[FECHA DE RECIBIDO]]-DATE(2023,8,30), "")</f>
        <v/>
      </c>
    </row>
    <row r="661" spans="1:37" ht="15" customHeight="1">
      <c r="A661" s="152" t="s">
        <v>2066</v>
      </c>
      <c r="B661" s="153">
        <v>295</v>
      </c>
      <c r="C661" s="126" t="s">
        <v>1714</v>
      </c>
      <c r="D661">
        <v>390</v>
      </c>
      <c r="E661" s="126" t="s">
        <v>2070</v>
      </c>
      <c r="F661" s="125" t="s">
        <v>1382</v>
      </c>
      <c r="G661" s="125" t="s">
        <v>134</v>
      </c>
      <c r="H661">
        <v>31</v>
      </c>
      <c r="I661" s="125" t="s">
        <v>1546</v>
      </c>
      <c r="J661" s="308" t="s">
        <v>214</v>
      </c>
      <c r="K661" s="127" t="s">
        <v>1785</v>
      </c>
      <c r="L661" s="153" t="s">
        <v>1483</v>
      </c>
      <c r="M661">
        <v>69</v>
      </c>
      <c r="N661" s="123"/>
      <c r="O661">
        <v>408</v>
      </c>
      <c r="P661" s="132" t="s">
        <v>77</v>
      </c>
      <c r="Q661" s="132">
        <v>78.86</v>
      </c>
      <c r="R661" s="132">
        <v>2.14</v>
      </c>
      <c r="S661" s="132"/>
      <c r="T661" s="156"/>
      <c r="U661" s="132"/>
      <c r="V661" s="132">
        <v>81</v>
      </c>
      <c r="W661">
        <v>93</v>
      </c>
      <c r="X661" s="153" t="s">
        <v>1644</v>
      </c>
      <c r="Y661" s="124" t="s">
        <v>55</v>
      </c>
      <c r="Z661" s="308">
        <v>194</v>
      </c>
      <c r="AB661" t="str">
        <f>IF(Table1[[#This Row],[TIPO2]]="costo", VLOOKUP(Table1[[#This Row],[PARTIDA PRESUPUESTAL]],'Cost Report'!G:G,1,0),"Balance")</f>
        <v>1426-003</v>
      </c>
      <c r="AC661" s="118"/>
      <c r="AD661" s="159">
        <f>+Table1[[#This Row],[SUBTOTAL]]+Table1[[#This Row],[IVA]]-Table1[[#This Row],[RET IVA]]-Table1[[#This Row],[RET ISR]]-Table1[[#This Row],[TOTAL]]</f>
        <v>0</v>
      </c>
      <c r="AE661" s="152"/>
      <c r="AF661" s="153"/>
      <c r="AG661" s="126" t="s">
        <v>3420</v>
      </c>
      <c r="AH661" s="115"/>
      <c r="AK661" s="306" t="str">
        <f>IF(ISNUMBER(Table1[[#This Row],[FECHA DE RECIBIDO]]), Table1[[#This Row],[FECHA DE RECIBIDO]]-DATE(2023,8,30), "")</f>
        <v/>
      </c>
    </row>
    <row r="662" spans="1:37" ht="15" customHeight="1">
      <c r="A662" s="150" t="s">
        <v>2066</v>
      </c>
      <c r="B662" s="151">
        <v>295</v>
      </c>
      <c r="C662" s="126" t="s">
        <v>1714</v>
      </c>
      <c r="D662">
        <v>391</v>
      </c>
      <c r="E662" s="126" t="s">
        <v>2070</v>
      </c>
      <c r="F662" s="122" t="s">
        <v>1607</v>
      </c>
      <c r="G662" s="122" t="s">
        <v>134</v>
      </c>
      <c r="H662">
        <v>137</v>
      </c>
      <c r="I662" s="122" t="s">
        <v>1546</v>
      </c>
      <c r="J662" s="307" t="s">
        <v>214</v>
      </c>
      <c r="K662" s="127" t="s">
        <v>1785</v>
      </c>
      <c r="L662" s="151" t="s">
        <v>1483</v>
      </c>
      <c r="M662">
        <v>179</v>
      </c>
      <c r="N662" s="123"/>
      <c r="O662">
        <v>409</v>
      </c>
      <c r="P662" s="132" t="s">
        <v>77</v>
      </c>
      <c r="Q662" s="131">
        <v>1523.28</v>
      </c>
      <c r="R662" s="131">
        <v>243.72</v>
      </c>
      <c r="S662" s="131"/>
      <c r="T662" s="155"/>
      <c r="U662" s="131"/>
      <c r="V662" s="131">
        <v>1767</v>
      </c>
      <c r="W662">
        <v>93</v>
      </c>
      <c r="X662" s="151" t="s">
        <v>1644</v>
      </c>
      <c r="Y662" s="135" t="s">
        <v>55</v>
      </c>
      <c r="Z662" s="307">
        <v>194</v>
      </c>
      <c r="AB662" t="str">
        <f>IF(Table1[[#This Row],[TIPO2]]="costo", VLOOKUP(Table1[[#This Row],[PARTIDA PRESUPUESTAL]],'Cost Report'!G:G,1,0),"Balance")</f>
        <v>1426-003</v>
      </c>
      <c r="AC662" s="118"/>
      <c r="AD662" s="159">
        <f>+Table1[[#This Row],[SUBTOTAL]]+Table1[[#This Row],[IVA]]-Table1[[#This Row],[RET IVA]]-Table1[[#This Row],[RET ISR]]-Table1[[#This Row],[TOTAL]]</f>
        <v>0</v>
      </c>
      <c r="AE662" s="150"/>
      <c r="AF662" s="151"/>
      <c r="AG662" s="126" t="s">
        <v>3420</v>
      </c>
      <c r="AH662" s="115"/>
      <c r="AK662" s="306" t="str">
        <f>IF(ISNUMBER(Table1[[#This Row],[FECHA DE RECIBIDO]]), Table1[[#This Row],[FECHA DE RECIBIDO]]-DATE(2023,8,30), "")</f>
        <v/>
      </c>
    </row>
    <row r="663" spans="1:37" ht="15" customHeight="1">
      <c r="A663" s="152" t="s">
        <v>2066</v>
      </c>
      <c r="B663" s="153">
        <v>295</v>
      </c>
      <c r="C663" s="126" t="s">
        <v>1714</v>
      </c>
      <c r="D663">
        <v>392</v>
      </c>
      <c r="E663" s="126" t="s">
        <v>2071</v>
      </c>
      <c r="F663" s="125" t="s">
        <v>1607</v>
      </c>
      <c r="G663" s="125" t="s">
        <v>134</v>
      </c>
      <c r="H663">
        <v>138</v>
      </c>
      <c r="I663" s="125" t="s">
        <v>1546</v>
      </c>
      <c r="J663" s="308" t="s">
        <v>214</v>
      </c>
      <c r="K663" s="127" t="s">
        <v>1785</v>
      </c>
      <c r="L663" s="153" t="s">
        <v>1483</v>
      </c>
      <c r="M663">
        <v>180</v>
      </c>
      <c r="N663" s="123"/>
      <c r="O663">
        <v>409</v>
      </c>
      <c r="P663" s="132" t="s">
        <v>77</v>
      </c>
      <c r="Q663" s="132">
        <v>900.86</v>
      </c>
      <c r="R663" s="132">
        <v>144.13999999999999</v>
      </c>
      <c r="S663" s="132"/>
      <c r="T663" s="156"/>
      <c r="U663" s="132"/>
      <c r="V663" s="132">
        <v>1045</v>
      </c>
      <c r="W663">
        <v>93</v>
      </c>
      <c r="X663" s="153" t="s">
        <v>1644</v>
      </c>
      <c r="Y663" s="124" t="s">
        <v>55</v>
      </c>
      <c r="Z663" s="308">
        <v>194</v>
      </c>
      <c r="AB663" t="str">
        <f>IF(Table1[[#This Row],[TIPO2]]="costo", VLOOKUP(Table1[[#This Row],[PARTIDA PRESUPUESTAL]],'Cost Report'!G:G,1,0),"Balance")</f>
        <v>1426-003</v>
      </c>
      <c r="AC663" s="118"/>
      <c r="AD663" s="159">
        <f>+Table1[[#This Row],[SUBTOTAL]]+Table1[[#This Row],[IVA]]-Table1[[#This Row],[RET IVA]]-Table1[[#This Row],[RET ISR]]-Table1[[#This Row],[TOTAL]]</f>
        <v>0</v>
      </c>
      <c r="AE663" s="152"/>
      <c r="AF663" s="153"/>
      <c r="AG663" s="126" t="s">
        <v>3420</v>
      </c>
      <c r="AH663" s="115"/>
      <c r="AK663" s="306" t="str">
        <f>IF(ISNUMBER(Table1[[#This Row],[FECHA DE RECIBIDO]]), Table1[[#This Row],[FECHA DE RECIBIDO]]-DATE(2023,8,30), "")</f>
        <v/>
      </c>
    </row>
    <row r="664" spans="1:37" ht="15" customHeight="1">
      <c r="A664" s="150" t="s">
        <v>2072</v>
      </c>
      <c r="B664" s="151">
        <v>296</v>
      </c>
      <c r="C664" s="126" t="s">
        <v>2616</v>
      </c>
      <c r="D664">
        <v>393</v>
      </c>
      <c r="E664" s="126" t="s">
        <v>2073</v>
      </c>
      <c r="F664" s="122" t="s">
        <v>1607</v>
      </c>
      <c r="G664" s="122" t="s">
        <v>134</v>
      </c>
      <c r="H664">
        <v>139</v>
      </c>
      <c r="I664" s="122" t="s">
        <v>1546</v>
      </c>
      <c r="J664" s="307" t="s">
        <v>214</v>
      </c>
      <c r="K664" s="127" t="s">
        <v>1785</v>
      </c>
      <c r="L664" s="151" t="s">
        <v>1483</v>
      </c>
      <c r="M664">
        <v>181</v>
      </c>
      <c r="N664" s="123"/>
      <c r="O664">
        <v>410</v>
      </c>
      <c r="P664" s="132" t="s">
        <v>77</v>
      </c>
      <c r="Q664" s="131">
        <v>323.52999999999997</v>
      </c>
      <c r="R664" s="131">
        <v>51.77</v>
      </c>
      <c r="S664" s="131"/>
      <c r="T664" s="155"/>
      <c r="U664" s="131"/>
      <c r="V664" s="131">
        <v>375.29999999999995</v>
      </c>
      <c r="W664">
        <v>39</v>
      </c>
      <c r="X664" s="151" t="s">
        <v>1644</v>
      </c>
      <c r="Y664" s="135" t="s">
        <v>55</v>
      </c>
      <c r="Z664" s="307">
        <v>188</v>
      </c>
      <c r="AB664" t="str">
        <f>IF(Table1[[#This Row],[TIPO2]]="costo", VLOOKUP(Table1[[#This Row],[PARTIDA PRESUPUESTAL]],'Cost Report'!G:G,1,0),"Balance")</f>
        <v>2808-003</v>
      </c>
      <c r="AC664" s="118"/>
      <c r="AD664" s="159">
        <f>+Table1[[#This Row],[SUBTOTAL]]+Table1[[#This Row],[IVA]]-Table1[[#This Row],[RET IVA]]-Table1[[#This Row],[RET ISR]]-Table1[[#This Row],[TOTAL]]</f>
        <v>0</v>
      </c>
      <c r="AE664" s="150"/>
      <c r="AF664" s="151"/>
      <c r="AG664" s="126" t="s">
        <v>3420</v>
      </c>
      <c r="AH664" s="115"/>
      <c r="AK664" s="306" t="str">
        <f>IF(ISNUMBER(Table1[[#This Row],[FECHA DE RECIBIDO]]), Table1[[#This Row],[FECHA DE RECIBIDO]]-DATE(2023,8,30), "")</f>
        <v/>
      </c>
    </row>
    <row r="665" spans="1:37" ht="15" customHeight="1">
      <c r="A665" s="152" t="s">
        <v>2072</v>
      </c>
      <c r="B665" s="153">
        <v>296</v>
      </c>
      <c r="C665" s="126" t="s">
        <v>2616</v>
      </c>
      <c r="D665">
        <v>394</v>
      </c>
      <c r="E665" s="126" t="s">
        <v>2010</v>
      </c>
      <c r="F665" s="125" t="s">
        <v>1593</v>
      </c>
      <c r="G665" s="125" t="s">
        <v>109</v>
      </c>
      <c r="H665">
        <v>140</v>
      </c>
      <c r="I665" s="125" t="s">
        <v>1546</v>
      </c>
      <c r="J665" s="308" t="s">
        <v>214</v>
      </c>
      <c r="K665" s="127" t="s">
        <v>1785</v>
      </c>
      <c r="L665" s="153" t="s">
        <v>1483</v>
      </c>
      <c r="M665">
        <v>182</v>
      </c>
      <c r="N665" s="123"/>
      <c r="O665">
        <v>411</v>
      </c>
      <c r="P665" s="132" t="s">
        <v>77</v>
      </c>
      <c r="Q665" s="132">
        <v>793.1</v>
      </c>
      <c r="R665" s="132">
        <v>126.9</v>
      </c>
      <c r="S665" s="132"/>
      <c r="T665" s="156"/>
      <c r="U665" s="132"/>
      <c r="V665" s="132">
        <v>920</v>
      </c>
      <c r="W665">
        <v>39</v>
      </c>
      <c r="X665" s="153" t="s">
        <v>1644</v>
      </c>
      <c r="Y665" s="124" t="s">
        <v>55</v>
      </c>
      <c r="Z665" s="308">
        <v>189</v>
      </c>
      <c r="AB665" t="str">
        <f>IF(Table1[[#This Row],[TIPO2]]="costo", VLOOKUP(Table1[[#This Row],[PARTIDA PRESUPUESTAL]],'Cost Report'!G:G,1,0),"Balance")</f>
        <v>2808-003</v>
      </c>
      <c r="AC665" s="118"/>
      <c r="AD665" s="159">
        <f>+Table1[[#This Row],[SUBTOTAL]]+Table1[[#This Row],[IVA]]-Table1[[#This Row],[RET IVA]]-Table1[[#This Row],[RET ISR]]-Table1[[#This Row],[TOTAL]]</f>
        <v>0</v>
      </c>
      <c r="AE665" s="152"/>
      <c r="AF665" s="153"/>
      <c r="AG665" s="126" t="s">
        <v>3420</v>
      </c>
      <c r="AH665" s="115"/>
      <c r="AK665" s="306" t="str">
        <f>IF(ISNUMBER(Table1[[#This Row],[FECHA DE RECIBIDO]]), Table1[[#This Row],[FECHA DE RECIBIDO]]-DATE(2023,8,30), "")</f>
        <v/>
      </c>
    </row>
    <row r="666" spans="1:37" ht="15" customHeight="1">
      <c r="A666" s="150" t="s">
        <v>2072</v>
      </c>
      <c r="B666" s="151">
        <v>296</v>
      </c>
      <c r="C666" s="126" t="s">
        <v>2616</v>
      </c>
      <c r="D666">
        <v>395</v>
      </c>
      <c r="E666" s="126" t="s">
        <v>2005</v>
      </c>
      <c r="F666" s="122" t="s">
        <v>1607</v>
      </c>
      <c r="G666" s="122" t="s">
        <v>134</v>
      </c>
      <c r="H666">
        <v>141</v>
      </c>
      <c r="I666" s="122" t="s">
        <v>1546</v>
      </c>
      <c r="J666" s="307" t="s">
        <v>214</v>
      </c>
      <c r="K666" s="127" t="s">
        <v>1785</v>
      </c>
      <c r="L666" s="151" t="s">
        <v>1483</v>
      </c>
      <c r="M666">
        <v>183</v>
      </c>
      <c r="N666" s="123"/>
      <c r="O666">
        <v>412</v>
      </c>
      <c r="P666" s="132" t="s">
        <v>77</v>
      </c>
      <c r="Q666" s="131">
        <v>1133.6199999999999</v>
      </c>
      <c r="R666" s="131">
        <v>181.38</v>
      </c>
      <c r="S666" s="131"/>
      <c r="T666" s="155"/>
      <c r="U666" s="131"/>
      <c r="V666" s="131">
        <v>1315</v>
      </c>
      <c r="W666">
        <v>39</v>
      </c>
      <c r="X666" s="151" t="s">
        <v>1644</v>
      </c>
      <c r="Y666" s="135" t="s">
        <v>55</v>
      </c>
      <c r="Z666" s="307">
        <v>189</v>
      </c>
      <c r="AB666" t="str">
        <f>IF(Table1[[#This Row],[TIPO2]]="costo", VLOOKUP(Table1[[#This Row],[PARTIDA PRESUPUESTAL]],'Cost Report'!G:G,1,0),"Balance")</f>
        <v>2808-003</v>
      </c>
      <c r="AC666" s="118"/>
      <c r="AD666" s="159">
        <f>+Table1[[#This Row],[SUBTOTAL]]+Table1[[#This Row],[IVA]]-Table1[[#This Row],[RET IVA]]-Table1[[#This Row],[RET ISR]]-Table1[[#This Row],[TOTAL]]</f>
        <v>0</v>
      </c>
      <c r="AE666" s="150"/>
      <c r="AF666" s="151"/>
      <c r="AG666" s="126" t="s">
        <v>3420</v>
      </c>
      <c r="AH666" s="115"/>
      <c r="AK666" s="306" t="str">
        <f>IF(ISNUMBER(Table1[[#This Row],[FECHA DE RECIBIDO]]), Table1[[#This Row],[FECHA DE RECIBIDO]]-DATE(2023,8,30), "")</f>
        <v/>
      </c>
    </row>
    <row r="667" spans="1:37" ht="15" customHeight="1">
      <c r="A667" s="152" t="s">
        <v>2072</v>
      </c>
      <c r="B667" s="153">
        <v>296</v>
      </c>
      <c r="C667" s="126" t="s">
        <v>2616</v>
      </c>
      <c r="D667">
        <v>396</v>
      </c>
      <c r="E667" s="126" t="s">
        <v>2074</v>
      </c>
      <c r="F667" s="125" t="s">
        <v>1607</v>
      </c>
      <c r="G667" s="125" t="s">
        <v>134</v>
      </c>
      <c r="H667">
        <v>56</v>
      </c>
      <c r="I667" s="125" t="s">
        <v>1546</v>
      </c>
      <c r="J667" s="308" t="s">
        <v>214</v>
      </c>
      <c r="K667" s="127" t="s">
        <v>1785</v>
      </c>
      <c r="L667" s="153" t="s">
        <v>1483</v>
      </c>
      <c r="M667">
        <v>184</v>
      </c>
      <c r="N667" s="123"/>
      <c r="O667">
        <v>413</v>
      </c>
      <c r="P667" s="132" t="s">
        <v>77</v>
      </c>
      <c r="Q667" s="132">
        <v>103.37</v>
      </c>
      <c r="R667" s="132">
        <v>16.53</v>
      </c>
      <c r="S667" s="132"/>
      <c r="T667" s="156"/>
      <c r="U667" s="132"/>
      <c r="V667" s="132">
        <v>119.9</v>
      </c>
      <c r="W667">
        <v>39</v>
      </c>
      <c r="X667" s="153" t="s">
        <v>1644</v>
      </c>
      <c r="Y667" s="124" t="s">
        <v>55</v>
      </c>
      <c r="Z667" s="308">
        <v>189</v>
      </c>
      <c r="AB667" t="str">
        <f>IF(Table1[[#This Row],[TIPO2]]="costo", VLOOKUP(Table1[[#This Row],[PARTIDA PRESUPUESTAL]],'Cost Report'!G:G,1,0),"Balance")</f>
        <v>2808-003</v>
      </c>
      <c r="AC667" s="118"/>
      <c r="AD667" s="159">
        <f>+Table1[[#This Row],[SUBTOTAL]]+Table1[[#This Row],[IVA]]-Table1[[#This Row],[RET IVA]]-Table1[[#This Row],[RET ISR]]-Table1[[#This Row],[TOTAL]]</f>
        <v>0</v>
      </c>
      <c r="AE667" s="152"/>
      <c r="AF667" s="153"/>
      <c r="AG667" s="126" t="s">
        <v>3420</v>
      </c>
      <c r="AH667" s="115"/>
      <c r="AK667" s="306" t="str">
        <f>IF(ISNUMBER(Table1[[#This Row],[FECHA DE RECIBIDO]]), Table1[[#This Row],[FECHA DE RECIBIDO]]-DATE(2023,8,30), "")</f>
        <v/>
      </c>
    </row>
    <row r="668" spans="1:37" ht="15" customHeight="1">
      <c r="A668" s="150" t="s">
        <v>2072</v>
      </c>
      <c r="B668" s="151">
        <v>296</v>
      </c>
      <c r="C668" s="126" t="s">
        <v>2616</v>
      </c>
      <c r="D668">
        <v>397</v>
      </c>
      <c r="E668" s="126" t="s">
        <v>2005</v>
      </c>
      <c r="F668" s="122" t="s">
        <v>1607</v>
      </c>
      <c r="G668" s="122" t="s">
        <v>134</v>
      </c>
      <c r="H668">
        <v>142</v>
      </c>
      <c r="I668" s="122" t="s">
        <v>1546</v>
      </c>
      <c r="J668" s="307" t="s">
        <v>214</v>
      </c>
      <c r="K668" s="127" t="s">
        <v>1785</v>
      </c>
      <c r="L668" s="151" t="s">
        <v>1483</v>
      </c>
      <c r="M668">
        <v>185</v>
      </c>
      <c r="N668" s="123"/>
      <c r="O668">
        <v>414</v>
      </c>
      <c r="P668" s="132" t="s">
        <v>77</v>
      </c>
      <c r="Q668" s="131">
        <v>34.4</v>
      </c>
      <c r="R668" s="131">
        <v>5.5</v>
      </c>
      <c r="S668" s="131"/>
      <c r="T668" s="155"/>
      <c r="U668" s="131"/>
      <c r="V668" s="131">
        <v>39.9</v>
      </c>
      <c r="W668">
        <v>39</v>
      </c>
      <c r="X668" s="151" t="s">
        <v>1644</v>
      </c>
      <c r="Y668" s="135" t="s">
        <v>55</v>
      </c>
      <c r="Z668" s="307">
        <v>190</v>
      </c>
      <c r="AB668" t="str">
        <f>IF(Table1[[#This Row],[TIPO2]]="costo", VLOOKUP(Table1[[#This Row],[PARTIDA PRESUPUESTAL]],'Cost Report'!G:G,1,0),"Balance")</f>
        <v>2808-003</v>
      </c>
      <c r="AC668" s="118"/>
      <c r="AD668" s="159">
        <f>+Table1[[#This Row],[SUBTOTAL]]+Table1[[#This Row],[IVA]]-Table1[[#This Row],[RET IVA]]-Table1[[#This Row],[RET ISR]]-Table1[[#This Row],[TOTAL]]</f>
        <v>0</v>
      </c>
      <c r="AE668" s="150"/>
      <c r="AF668" s="151"/>
      <c r="AG668" s="126" t="s">
        <v>3420</v>
      </c>
      <c r="AH668" s="115"/>
      <c r="AK668" s="306" t="str">
        <f>IF(ISNUMBER(Table1[[#This Row],[FECHA DE RECIBIDO]]), Table1[[#This Row],[FECHA DE RECIBIDO]]-DATE(2023,8,30), "")</f>
        <v/>
      </c>
    </row>
    <row r="669" spans="1:37" ht="15" customHeight="1">
      <c r="A669" s="152" t="s">
        <v>2072</v>
      </c>
      <c r="B669" s="153">
        <v>296</v>
      </c>
      <c r="C669" s="126" t="s">
        <v>2616</v>
      </c>
      <c r="D669">
        <v>398</v>
      </c>
      <c r="E669" s="126" t="s">
        <v>2075</v>
      </c>
      <c r="F669" s="125" t="s">
        <v>1607</v>
      </c>
      <c r="G669" s="125" t="s">
        <v>134</v>
      </c>
      <c r="H669">
        <v>143</v>
      </c>
      <c r="I669" s="125" t="s">
        <v>1546</v>
      </c>
      <c r="J669" s="308" t="s">
        <v>214</v>
      </c>
      <c r="K669" s="127" t="s">
        <v>1785</v>
      </c>
      <c r="L669" s="153" t="s">
        <v>1483</v>
      </c>
      <c r="M669">
        <v>186</v>
      </c>
      <c r="N669" s="123"/>
      <c r="O669">
        <v>415</v>
      </c>
      <c r="P669" s="132" t="s">
        <v>77</v>
      </c>
      <c r="Q669" s="132">
        <v>1721.98</v>
      </c>
      <c r="R669" s="132">
        <v>275.52</v>
      </c>
      <c r="S669" s="132"/>
      <c r="T669" s="156"/>
      <c r="U669" s="132"/>
      <c r="V669" s="132">
        <v>1997.5</v>
      </c>
      <c r="W669">
        <v>39</v>
      </c>
      <c r="X669" s="153" t="s">
        <v>1644</v>
      </c>
      <c r="Y669" s="124" t="s">
        <v>55</v>
      </c>
      <c r="Z669" s="308">
        <v>191</v>
      </c>
      <c r="AB669" t="str">
        <f>IF(Table1[[#This Row],[TIPO2]]="costo", VLOOKUP(Table1[[#This Row],[PARTIDA PRESUPUESTAL]],'Cost Report'!G:G,1,0),"Balance")</f>
        <v>2808-003</v>
      </c>
      <c r="AC669" s="118"/>
      <c r="AD669" s="159">
        <f>+Table1[[#This Row],[SUBTOTAL]]+Table1[[#This Row],[IVA]]-Table1[[#This Row],[RET IVA]]-Table1[[#This Row],[RET ISR]]-Table1[[#This Row],[TOTAL]]</f>
        <v>0</v>
      </c>
      <c r="AE669" s="152"/>
      <c r="AF669" s="153"/>
      <c r="AG669" s="126" t="s">
        <v>3420</v>
      </c>
      <c r="AH669" s="115"/>
      <c r="AK669" s="306" t="str">
        <f>IF(ISNUMBER(Table1[[#This Row],[FECHA DE RECIBIDO]]), Table1[[#This Row],[FECHA DE RECIBIDO]]-DATE(2023,8,30), "")</f>
        <v/>
      </c>
    </row>
    <row r="670" spans="1:37" ht="15" customHeight="1">
      <c r="A670" s="150" t="s">
        <v>2072</v>
      </c>
      <c r="B670" s="151">
        <v>296</v>
      </c>
      <c r="C670" s="126" t="s">
        <v>2829</v>
      </c>
      <c r="D670">
        <v>399</v>
      </c>
      <c r="E670" s="126"/>
      <c r="F670" s="122"/>
      <c r="G670" s="122"/>
      <c r="H670"/>
      <c r="I670" s="122"/>
      <c r="J670" s="307">
        <v>189</v>
      </c>
      <c r="K670" s="127" t="s">
        <v>1785</v>
      </c>
      <c r="L670" s="151" t="s">
        <v>1483</v>
      </c>
      <c r="M670">
        <v>187</v>
      </c>
      <c r="N670" s="123"/>
      <c r="O670">
        <v>416</v>
      </c>
      <c r="P670" s="132" t="s">
        <v>77</v>
      </c>
      <c r="Q670" s="131">
        <v>14</v>
      </c>
      <c r="R670" s="131"/>
      <c r="S670" s="131"/>
      <c r="T670" s="155"/>
      <c r="U670" s="131"/>
      <c r="V670" s="131">
        <v>14</v>
      </c>
      <c r="W670">
        <v>39</v>
      </c>
      <c r="X670" s="151" t="s">
        <v>1644</v>
      </c>
      <c r="Y670" s="135" t="s">
        <v>55</v>
      </c>
      <c r="Z670" s="307">
        <v>189</v>
      </c>
      <c r="AB670" t="str">
        <f>IF(Table1[[#This Row],[TIPO2]]="costo", VLOOKUP(Table1[[#This Row],[PARTIDA PRESUPUESTAL]],'Cost Report'!G:G,1,0),"Balance")</f>
        <v>3412-138</v>
      </c>
      <c r="AC670" s="118"/>
      <c r="AD670" s="159">
        <f>+Table1[[#This Row],[SUBTOTAL]]+Table1[[#This Row],[IVA]]-Table1[[#This Row],[RET IVA]]-Table1[[#This Row],[RET ISR]]-Table1[[#This Row],[TOTAL]]</f>
        <v>0</v>
      </c>
      <c r="AE670" s="150"/>
      <c r="AF670" s="151"/>
      <c r="AG670" s="126" t="s">
        <v>3420</v>
      </c>
      <c r="AH670" s="115"/>
      <c r="AK670" s="306">
        <f>IF(ISNUMBER(Table1[[#This Row],[FECHA DE RECIBIDO]]), Table1[[#This Row],[FECHA DE RECIBIDO]]-DATE(2023,8,30), "")</f>
        <v>-44979</v>
      </c>
    </row>
    <row r="671" spans="1:37" ht="15" customHeight="1">
      <c r="A671" s="152" t="s">
        <v>2072</v>
      </c>
      <c r="B671" s="153">
        <v>296</v>
      </c>
      <c r="C671" s="126" t="s">
        <v>2829</v>
      </c>
      <c r="D671">
        <v>400</v>
      </c>
      <c r="E671" s="126"/>
      <c r="F671" s="125"/>
      <c r="G671" s="125"/>
      <c r="H671"/>
      <c r="I671" s="125"/>
      <c r="J671" s="308">
        <v>189</v>
      </c>
      <c r="K671" s="127" t="s">
        <v>1785</v>
      </c>
      <c r="L671" s="153" t="s">
        <v>1483</v>
      </c>
      <c r="M671">
        <v>187</v>
      </c>
      <c r="N671" s="123"/>
      <c r="O671">
        <v>416</v>
      </c>
      <c r="P671" s="132" t="s">
        <v>77</v>
      </c>
      <c r="Q671" s="132">
        <v>15</v>
      </c>
      <c r="R671" s="132"/>
      <c r="S671" s="132"/>
      <c r="T671" s="156"/>
      <c r="U671" s="132"/>
      <c r="V671" s="132">
        <v>15</v>
      </c>
      <c r="W671">
        <v>39</v>
      </c>
      <c r="X671" s="153" t="s">
        <v>1644</v>
      </c>
      <c r="Y671" s="124" t="s">
        <v>55</v>
      </c>
      <c r="Z671" s="308">
        <v>189</v>
      </c>
      <c r="AB671" t="str">
        <f>IF(Table1[[#This Row],[TIPO2]]="costo", VLOOKUP(Table1[[#This Row],[PARTIDA PRESUPUESTAL]],'Cost Report'!G:G,1,0),"Balance")</f>
        <v>3412-138</v>
      </c>
      <c r="AC671" s="118"/>
      <c r="AD671" s="159">
        <f>+Table1[[#This Row],[SUBTOTAL]]+Table1[[#This Row],[IVA]]-Table1[[#This Row],[RET IVA]]-Table1[[#This Row],[RET ISR]]-Table1[[#This Row],[TOTAL]]</f>
        <v>0</v>
      </c>
      <c r="AE671" s="152"/>
      <c r="AF671" s="153"/>
      <c r="AG671" s="126" t="s">
        <v>3420</v>
      </c>
      <c r="AH671" s="115"/>
      <c r="AK671" s="306">
        <f>IF(ISNUMBER(Table1[[#This Row],[FECHA DE RECIBIDO]]), Table1[[#This Row],[FECHA DE RECIBIDO]]-DATE(2023,8,30), "")</f>
        <v>-44979</v>
      </c>
    </row>
    <row r="672" spans="1:37" ht="15" customHeight="1">
      <c r="A672" s="150" t="s">
        <v>2072</v>
      </c>
      <c r="B672" s="151">
        <v>296</v>
      </c>
      <c r="C672" s="126" t="s">
        <v>2829</v>
      </c>
      <c r="D672">
        <v>401</v>
      </c>
      <c r="E672" s="126"/>
      <c r="F672" s="122"/>
      <c r="G672" s="122"/>
      <c r="H672"/>
      <c r="I672" s="122"/>
      <c r="J672" s="307">
        <v>189</v>
      </c>
      <c r="K672" s="127" t="s">
        <v>1785</v>
      </c>
      <c r="L672" s="151" t="s">
        <v>1483</v>
      </c>
      <c r="M672">
        <v>187</v>
      </c>
      <c r="N672" s="123"/>
      <c r="O672">
        <v>416</v>
      </c>
      <c r="P672" s="132" t="s">
        <v>77</v>
      </c>
      <c r="Q672" s="131">
        <v>16</v>
      </c>
      <c r="R672" s="131"/>
      <c r="S672" s="131"/>
      <c r="T672" s="155"/>
      <c r="U672" s="131"/>
      <c r="V672" s="131">
        <v>16</v>
      </c>
      <c r="W672">
        <v>39</v>
      </c>
      <c r="X672" s="151" t="s">
        <v>1644</v>
      </c>
      <c r="Y672" s="135" t="s">
        <v>55</v>
      </c>
      <c r="Z672" s="307">
        <v>189</v>
      </c>
      <c r="AB672" t="str">
        <f>IF(Table1[[#This Row],[TIPO2]]="costo", VLOOKUP(Table1[[#This Row],[PARTIDA PRESUPUESTAL]],'Cost Report'!G:G,1,0),"Balance")</f>
        <v>3412-138</v>
      </c>
      <c r="AC672" s="118"/>
      <c r="AD672" s="159">
        <f>+Table1[[#This Row],[SUBTOTAL]]+Table1[[#This Row],[IVA]]-Table1[[#This Row],[RET IVA]]-Table1[[#This Row],[RET ISR]]-Table1[[#This Row],[TOTAL]]</f>
        <v>0</v>
      </c>
      <c r="AE672" s="150"/>
      <c r="AF672" s="151"/>
      <c r="AG672" s="126" t="s">
        <v>3420</v>
      </c>
      <c r="AH672" s="115"/>
      <c r="AK672" s="306">
        <f>IF(ISNUMBER(Table1[[#This Row],[FECHA DE RECIBIDO]]), Table1[[#This Row],[FECHA DE RECIBIDO]]-DATE(2023,8,30), "")</f>
        <v>-44979</v>
      </c>
    </row>
    <row r="673" spans="1:37" ht="15" customHeight="1">
      <c r="A673" s="152" t="s">
        <v>2072</v>
      </c>
      <c r="B673" s="153">
        <v>296</v>
      </c>
      <c r="C673" s="126" t="s">
        <v>2829</v>
      </c>
      <c r="D673">
        <v>402</v>
      </c>
      <c r="E673" s="126"/>
      <c r="F673" s="125"/>
      <c r="G673" s="125"/>
      <c r="H673"/>
      <c r="I673" s="125"/>
      <c r="J673" s="308">
        <v>189</v>
      </c>
      <c r="K673" s="127" t="s">
        <v>1785</v>
      </c>
      <c r="L673" s="153" t="s">
        <v>1483</v>
      </c>
      <c r="M673">
        <v>187</v>
      </c>
      <c r="N673" s="123"/>
      <c r="O673">
        <v>416</v>
      </c>
      <c r="P673" s="132" t="s">
        <v>77</v>
      </c>
      <c r="Q673" s="132">
        <v>15</v>
      </c>
      <c r="R673" s="132"/>
      <c r="S673" s="132"/>
      <c r="T673" s="156"/>
      <c r="U673" s="132"/>
      <c r="V673" s="132">
        <v>15</v>
      </c>
      <c r="W673">
        <v>39</v>
      </c>
      <c r="X673" s="153" t="s">
        <v>1644</v>
      </c>
      <c r="Y673" s="124" t="s">
        <v>55</v>
      </c>
      <c r="Z673" s="308">
        <v>189</v>
      </c>
      <c r="AB673" t="str">
        <f>IF(Table1[[#This Row],[TIPO2]]="costo", VLOOKUP(Table1[[#This Row],[PARTIDA PRESUPUESTAL]],'Cost Report'!G:G,1,0),"Balance")</f>
        <v>3412-138</v>
      </c>
      <c r="AC673" s="118"/>
      <c r="AD673" s="159">
        <f>+Table1[[#This Row],[SUBTOTAL]]+Table1[[#This Row],[IVA]]-Table1[[#This Row],[RET IVA]]-Table1[[#This Row],[RET ISR]]-Table1[[#This Row],[TOTAL]]</f>
        <v>0</v>
      </c>
      <c r="AE673" s="152"/>
      <c r="AF673" s="153"/>
      <c r="AG673" s="126" t="s">
        <v>3420</v>
      </c>
      <c r="AH673" s="115"/>
      <c r="AK673" s="306">
        <f>IF(ISNUMBER(Table1[[#This Row],[FECHA DE RECIBIDO]]), Table1[[#This Row],[FECHA DE RECIBIDO]]-DATE(2023,8,30), "")</f>
        <v>-44979</v>
      </c>
    </row>
    <row r="674" spans="1:37" ht="15" customHeight="1">
      <c r="A674" s="150" t="s">
        <v>2072</v>
      </c>
      <c r="B674" s="151">
        <v>296</v>
      </c>
      <c r="C674" s="126" t="s">
        <v>2753</v>
      </c>
      <c r="D674">
        <v>403</v>
      </c>
      <c r="E674" s="126"/>
      <c r="F674" s="122"/>
      <c r="G674" s="122"/>
      <c r="H674"/>
      <c r="I674" s="122"/>
      <c r="J674" s="307">
        <v>191</v>
      </c>
      <c r="K674" s="127" t="s">
        <v>1785</v>
      </c>
      <c r="L674" s="151" t="s">
        <v>1483</v>
      </c>
      <c r="M674">
        <v>188</v>
      </c>
      <c r="N674" s="123"/>
      <c r="O674">
        <v>417</v>
      </c>
      <c r="P674" s="132" t="s">
        <v>77</v>
      </c>
      <c r="Q674" s="131">
        <v>43</v>
      </c>
      <c r="R674" s="131"/>
      <c r="S674" s="131"/>
      <c r="T674" s="155"/>
      <c r="U674" s="131"/>
      <c r="V674" s="131">
        <v>43</v>
      </c>
      <c r="W674">
        <v>39</v>
      </c>
      <c r="X674" s="151" t="s">
        <v>1644</v>
      </c>
      <c r="Y674" s="135" t="s">
        <v>55</v>
      </c>
      <c r="Z674" s="307">
        <v>191</v>
      </c>
      <c r="AB674" t="str">
        <f>IF(Table1[[#This Row],[TIPO2]]="costo", VLOOKUP(Table1[[#This Row],[PARTIDA PRESUPUESTAL]],'Cost Report'!G:G,1,0),"Balance")</f>
        <v>3401-015</v>
      </c>
      <c r="AC674" s="118"/>
      <c r="AD674" s="159">
        <f>+Table1[[#This Row],[SUBTOTAL]]+Table1[[#This Row],[IVA]]-Table1[[#This Row],[RET IVA]]-Table1[[#This Row],[RET ISR]]-Table1[[#This Row],[TOTAL]]</f>
        <v>0</v>
      </c>
      <c r="AE674" s="150"/>
      <c r="AF674" s="151"/>
      <c r="AG674" s="126" t="s">
        <v>3420</v>
      </c>
      <c r="AH674" s="115"/>
      <c r="AK674" s="306">
        <f>IF(ISNUMBER(Table1[[#This Row],[FECHA DE RECIBIDO]]), Table1[[#This Row],[FECHA DE RECIBIDO]]-DATE(2023,8,30), "")</f>
        <v>-44977</v>
      </c>
    </row>
    <row r="675" spans="1:37" ht="15" customHeight="1">
      <c r="A675" s="152" t="s">
        <v>2072</v>
      </c>
      <c r="B675" s="153">
        <v>296</v>
      </c>
      <c r="C675" s="126" t="s">
        <v>2753</v>
      </c>
      <c r="D675">
        <v>404</v>
      </c>
      <c r="E675" s="126"/>
      <c r="F675" s="125"/>
      <c r="G675" s="125"/>
      <c r="H675"/>
      <c r="I675" s="125"/>
      <c r="J675" s="308">
        <v>191</v>
      </c>
      <c r="K675" s="127" t="s">
        <v>1785</v>
      </c>
      <c r="L675" s="153" t="s">
        <v>1483</v>
      </c>
      <c r="M675">
        <v>189</v>
      </c>
      <c r="N675" s="123"/>
      <c r="O675">
        <v>418</v>
      </c>
      <c r="P675" s="132" t="s">
        <v>77</v>
      </c>
      <c r="Q675" s="132">
        <v>98.8</v>
      </c>
      <c r="R675" s="132"/>
      <c r="S675" s="132"/>
      <c r="T675" s="156"/>
      <c r="U675" s="132"/>
      <c r="V675" s="132">
        <v>98.8</v>
      </c>
      <c r="W675">
        <v>39</v>
      </c>
      <c r="X675" s="153" t="s">
        <v>1644</v>
      </c>
      <c r="Y675" s="124" t="s">
        <v>55</v>
      </c>
      <c r="Z675" s="308">
        <v>191</v>
      </c>
      <c r="AB675" t="str">
        <f>IF(Table1[[#This Row],[TIPO2]]="costo", VLOOKUP(Table1[[#This Row],[PARTIDA PRESUPUESTAL]],'Cost Report'!G:G,1,0),"Balance")</f>
        <v>3401-015</v>
      </c>
      <c r="AC675" s="118"/>
      <c r="AD675" s="159">
        <f>+Table1[[#This Row],[SUBTOTAL]]+Table1[[#This Row],[IVA]]-Table1[[#This Row],[RET IVA]]-Table1[[#This Row],[RET ISR]]-Table1[[#This Row],[TOTAL]]</f>
        <v>0</v>
      </c>
      <c r="AE675" s="152"/>
      <c r="AF675" s="153"/>
      <c r="AG675" s="126" t="s">
        <v>3420</v>
      </c>
      <c r="AH675" s="115"/>
      <c r="AK675" s="306">
        <f>IF(ISNUMBER(Table1[[#This Row],[FECHA DE RECIBIDO]]), Table1[[#This Row],[FECHA DE RECIBIDO]]-DATE(2023,8,30), "")</f>
        <v>-44977</v>
      </c>
    </row>
    <row r="676" spans="1:37" ht="15" customHeight="1">
      <c r="A676" s="150" t="s">
        <v>2072</v>
      </c>
      <c r="B676" s="151">
        <v>296</v>
      </c>
      <c r="C676" s="126" t="s">
        <v>2753</v>
      </c>
      <c r="D676">
        <v>405</v>
      </c>
      <c r="E676" s="126"/>
      <c r="F676" s="122"/>
      <c r="G676" s="122"/>
      <c r="H676"/>
      <c r="I676" s="122"/>
      <c r="J676" s="307">
        <v>191</v>
      </c>
      <c r="K676" s="127" t="s">
        <v>1785</v>
      </c>
      <c r="L676" s="151" t="s">
        <v>1483</v>
      </c>
      <c r="M676">
        <v>189</v>
      </c>
      <c r="N676" s="123"/>
      <c r="O676">
        <v>418</v>
      </c>
      <c r="P676" s="132" t="s">
        <v>77</v>
      </c>
      <c r="Q676" s="131">
        <v>109.2</v>
      </c>
      <c r="R676" s="131"/>
      <c r="S676" s="131"/>
      <c r="T676" s="155"/>
      <c r="U676" s="131"/>
      <c r="V676" s="131">
        <v>109.2</v>
      </c>
      <c r="W676">
        <v>39</v>
      </c>
      <c r="X676" s="151" t="s">
        <v>1644</v>
      </c>
      <c r="Y676" s="135" t="s">
        <v>55</v>
      </c>
      <c r="Z676" s="307">
        <v>191</v>
      </c>
      <c r="AB676" t="str">
        <f>IF(Table1[[#This Row],[TIPO2]]="costo", VLOOKUP(Table1[[#This Row],[PARTIDA PRESUPUESTAL]],'Cost Report'!G:G,1,0),"Balance")</f>
        <v>3401-015</v>
      </c>
      <c r="AC676" s="118"/>
      <c r="AD676" s="159">
        <f>+Table1[[#This Row],[SUBTOTAL]]+Table1[[#This Row],[IVA]]-Table1[[#This Row],[RET IVA]]-Table1[[#This Row],[RET ISR]]-Table1[[#This Row],[TOTAL]]</f>
        <v>0</v>
      </c>
      <c r="AE676" s="150"/>
      <c r="AF676" s="151"/>
      <c r="AG676" s="126" t="s">
        <v>3420</v>
      </c>
      <c r="AH676" s="115"/>
      <c r="AK676" s="306">
        <f>IF(ISNUMBER(Table1[[#This Row],[FECHA DE RECIBIDO]]), Table1[[#This Row],[FECHA DE RECIBIDO]]-DATE(2023,8,30), "")</f>
        <v>-44977</v>
      </c>
    </row>
    <row r="677" spans="1:37" ht="15" customHeight="1">
      <c r="A677" s="152" t="s">
        <v>2072</v>
      </c>
      <c r="B677" s="153">
        <v>296</v>
      </c>
      <c r="C677" s="126" t="s">
        <v>2753</v>
      </c>
      <c r="D677">
        <v>381</v>
      </c>
      <c r="E677" s="126"/>
      <c r="F677" s="125"/>
      <c r="G677" s="125"/>
      <c r="H677"/>
      <c r="I677" s="125"/>
      <c r="J677" s="308">
        <v>195</v>
      </c>
      <c r="K677" s="127" t="s">
        <v>1785</v>
      </c>
      <c r="L677" s="153" t="s">
        <v>1483</v>
      </c>
      <c r="M677">
        <v>77</v>
      </c>
      <c r="N677" s="123"/>
      <c r="O677">
        <v>162</v>
      </c>
      <c r="P677" s="132" t="s">
        <v>77</v>
      </c>
      <c r="Q677" s="132">
        <v>30.74</v>
      </c>
      <c r="R677" s="132"/>
      <c r="S677" s="132"/>
      <c r="T677" s="156"/>
      <c r="U677" s="132"/>
      <c r="V677" s="132">
        <v>30.74</v>
      </c>
      <c r="W677">
        <v>39</v>
      </c>
      <c r="X677" s="153" t="s">
        <v>1644</v>
      </c>
      <c r="Y677" s="124" t="s">
        <v>55</v>
      </c>
      <c r="Z677" s="308">
        <v>195</v>
      </c>
      <c r="AB677" t="str">
        <f>IF(Table1[[#This Row],[TIPO2]]="costo", VLOOKUP(Table1[[#This Row],[PARTIDA PRESUPUESTAL]],'Cost Report'!G:G,1,0),"Balance")</f>
        <v>3401-015</v>
      </c>
      <c r="AC677" s="118"/>
      <c r="AD677" s="159">
        <f>+Table1[[#This Row],[SUBTOTAL]]+Table1[[#This Row],[IVA]]-Table1[[#This Row],[RET IVA]]-Table1[[#This Row],[RET ISR]]-Table1[[#This Row],[TOTAL]]</f>
        <v>0</v>
      </c>
      <c r="AE677" s="152"/>
      <c r="AF677" s="153"/>
      <c r="AG677" s="126" t="s">
        <v>3420</v>
      </c>
      <c r="AH677" s="115"/>
      <c r="AK677" s="306">
        <f>IF(ISNUMBER(Table1[[#This Row],[FECHA DE RECIBIDO]]), Table1[[#This Row],[FECHA DE RECIBIDO]]-DATE(2023,8,30), "")</f>
        <v>-44973</v>
      </c>
    </row>
    <row r="678" spans="1:37" ht="15" customHeight="1">
      <c r="A678" s="150" t="s">
        <v>2076</v>
      </c>
      <c r="B678" s="151">
        <v>297</v>
      </c>
      <c r="C678" s="126" t="s">
        <v>2755</v>
      </c>
      <c r="D678">
        <v>406</v>
      </c>
      <c r="E678" s="126" t="s">
        <v>1603</v>
      </c>
      <c r="F678" s="122" t="s">
        <v>1593</v>
      </c>
      <c r="G678" s="122" t="s">
        <v>109</v>
      </c>
      <c r="H678">
        <v>144</v>
      </c>
      <c r="I678" s="122" t="s">
        <v>1546</v>
      </c>
      <c r="J678" s="307" t="s">
        <v>214</v>
      </c>
      <c r="K678" s="127" t="s">
        <v>1785</v>
      </c>
      <c r="L678" s="151" t="s">
        <v>1483</v>
      </c>
      <c r="M678">
        <v>190</v>
      </c>
      <c r="N678" s="123"/>
      <c r="O678">
        <v>419</v>
      </c>
      <c r="P678" s="132" t="s">
        <v>77</v>
      </c>
      <c r="Q678" s="131">
        <f>726.81+9.09</f>
        <v>735.9</v>
      </c>
      <c r="R678" s="131">
        <v>116.28</v>
      </c>
      <c r="S678" s="131">
        <v>9.09</v>
      </c>
      <c r="T678" s="155"/>
      <c r="U678" s="131"/>
      <c r="V678" s="131">
        <v>852.18</v>
      </c>
      <c r="W678">
        <v>39</v>
      </c>
      <c r="X678" s="151" t="s">
        <v>1644</v>
      </c>
      <c r="Y678" s="135" t="s">
        <v>55</v>
      </c>
      <c r="Z678" s="307">
        <v>196</v>
      </c>
      <c r="AB678" t="str">
        <f>IF(Table1[[#This Row],[TIPO2]]="costo", VLOOKUP(Table1[[#This Row],[PARTIDA PRESUPUESTAL]],'Cost Report'!G:G,1,0),"Balance")</f>
        <v>3401-017</v>
      </c>
      <c r="AC678" s="118"/>
      <c r="AD678" s="159">
        <f>+Table1[[#This Row],[SUBTOTAL]]+Table1[[#This Row],[IVA]]-Table1[[#This Row],[RET IVA]]-Table1[[#This Row],[RET ISR]]-Table1[[#This Row],[TOTAL]]</f>
        <v>0</v>
      </c>
      <c r="AE678" s="150"/>
      <c r="AF678" s="151"/>
      <c r="AG678" s="126" t="s">
        <v>3420</v>
      </c>
      <c r="AH678" s="115"/>
      <c r="AK678" s="306" t="str">
        <f>IF(ISNUMBER(Table1[[#This Row],[FECHA DE RECIBIDO]]), Table1[[#This Row],[FECHA DE RECIBIDO]]-DATE(2023,8,30), "")</f>
        <v/>
      </c>
    </row>
    <row r="679" spans="1:37" ht="15" customHeight="1">
      <c r="A679" s="152" t="s">
        <v>2076</v>
      </c>
      <c r="B679" s="153">
        <v>297</v>
      </c>
      <c r="C679" s="126" t="s">
        <v>2755</v>
      </c>
      <c r="D679">
        <v>407</v>
      </c>
      <c r="E679" s="126" t="s">
        <v>1646</v>
      </c>
      <c r="F679" s="125" t="s">
        <v>1589</v>
      </c>
      <c r="G679" s="125" t="s">
        <v>129</v>
      </c>
      <c r="H679">
        <v>53</v>
      </c>
      <c r="I679" s="125" t="s">
        <v>1546</v>
      </c>
      <c r="J679" s="308" t="s">
        <v>214</v>
      </c>
      <c r="K679" s="127" t="s">
        <v>1785</v>
      </c>
      <c r="L679" s="153" t="s">
        <v>1483</v>
      </c>
      <c r="M679">
        <v>66</v>
      </c>
      <c r="N679" s="123"/>
      <c r="O679">
        <v>420</v>
      </c>
      <c r="P679" s="132" t="s">
        <v>77</v>
      </c>
      <c r="Q679" s="132">
        <v>3767</v>
      </c>
      <c r="R679" s="132">
        <v>602.78</v>
      </c>
      <c r="S679" s="132"/>
      <c r="T679" s="156"/>
      <c r="U679" s="132"/>
      <c r="V679" s="132">
        <v>4369.78</v>
      </c>
      <c r="W679">
        <v>39</v>
      </c>
      <c r="X679" s="153" t="s">
        <v>1644</v>
      </c>
      <c r="Y679" s="124" t="s">
        <v>55</v>
      </c>
      <c r="Z679" s="308">
        <v>197</v>
      </c>
      <c r="AB679" t="str">
        <f>IF(Table1[[#This Row],[TIPO2]]="costo", VLOOKUP(Table1[[#This Row],[PARTIDA PRESUPUESTAL]],'Cost Report'!G:G,1,0),"Balance")</f>
        <v>3401-017</v>
      </c>
      <c r="AC679" s="118"/>
      <c r="AD679" s="159">
        <f>+Table1[[#This Row],[SUBTOTAL]]+Table1[[#This Row],[IVA]]-Table1[[#This Row],[RET IVA]]-Table1[[#This Row],[RET ISR]]-Table1[[#This Row],[TOTAL]]</f>
        <v>0</v>
      </c>
      <c r="AE679" s="152"/>
      <c r="AF679" s="153"/>
      <c r="AG679" s="126" t="s">
        <v>3420</v>
      </c>
      <c r="AH679" s="115"/>
      <c r="AK679" s="306" t="str">
        <f>IF(ISNUMBER(Table1[[#This Row],[FECHA DE RECIBIDO]]), Table1[[#This Row],[FECHA DE RECIBIDO]]-DATE(2023,8,30), "")</f>
        <v/>
      </c>
    </row>
    <row r="680" spans="1:37" ht="15" customHeight="1">
      <c r="A680" s="150" t="s">
        <v>2076</v>
      </c>
      <c r="B680" s="151">
        <v>297</v>
      </c>
      <c r="C680" s="126" t="s">
        <v>2755</v>
      </c>
      <c r="D680">
        <v>408</v>
      </c>
      <c r="E680" s="126" t="s">
        <v>2077</v>
      </c>
      <c r="F680" s="122" t="s">
        <v>1607</v>
      </c>
      <c r="G680" s="122" t="s">
        <v>134</v>
      </c>
      <c r="H680">
        <v>145</v>
      </c>
      <c r="I680" s="122" t="s">
        <v>1546</v>
      </c>
      <c r="J680" s="307" t="s">
        <v>214</v>
      </c>
      <c r="K680" s="127" t="s">
        <v>1785</v>
      </c>
      <c r="L680" s="151" t="s">
        <v>1483</v>
      </c>
      <c r="M680">
        <v>191</v>
      </c>
      <c r="N680" s="123"/>
      <c r="O680">
        <v>421</v>
      </c>
      <c r="P680" s="132" t="s">
        <v>77</v>
      </c>
      <c r="Q680" s="131">
        <v>851.72</v>
      </c>
      <c r="R680" s="131">
        <v>136.28</v>
      </c>
      <c r="S680" s="131"/>
      <c r="T680" s="155"/>
      <c r="U680" s="131"/>
      <c r="V680" s="131">
        <v>988</v>
      </c>
      <c r="W680">
        <v>39</v>
      </c>
      <c r="X680" s="151" t="s">
        <v>1644</v>
      </c>
      <c r="Y680" s="135" t="s">
        <v>55</v>
      </c>
      <c r="Z680" s="307">
        <v>198</v>
      </c>
      <c r="AB680" t="str">
        <f>IF(Table1[[#This Row],[TIPO2]]="costo", VLOOKUP(Table1[[#This Row],[PARTIDA PRESUPUESTAL]],'Cost Report'!G:G,1,0),"Balance")</f>
        <v>3401-017</v>
      </c>
      <c r="AC680" s="118"/>
      <c r="AD680" s="159">
        <f>+Table1[[#This Row],[SUBTOTAL]]+Table1[[#This Row],[IVA]]-Table1[[#This Row],[RET IVA]]-Table1[[#This Row],[RET ISR]]-Table1[[#This Row],[TOTAL]]</f>
        <v>0</v>
      </c>
      <c r="AE680" s="150"/>
      <c r="AF680" s="151"/>
      <c r="AG680" s="126" t="s">
        <v>3420</v>
      </c>
      <c r="AH680" s="115"/>
      <c r="AK680" s="306" t="str">
        <f>IF(ISNUMBER(Table1[[#This Row],[FECHA DE RECIBIDO]]), Table1[[#This Row],[FECHA DE RECIBIDO]]-DATE(2023,8,30), "")</f>
        <v/>
      </c>
    </row>
    <row r="681" spans="1:37" ht="15" customHeight="1">
      <c r="A681" s="152" t="s">
        <v>2076</v>
      </c>
      <c r="B681" s="153">
        <v>297</v>
      </c>
      <c r="C681" s="126" t="s">
        <v>2755</v>
      </c>
      <c r="D681">
        <v>409</v>
      </c>
      <c r="E681" s="126" t="s">
        <v>2077</v>
      </c>
      <c r="F681" s="125" t="s">
        <v>1607</v>
      </c>
      <c r="G681" s="125" t="s">
        <v>134</v>
      </c>
      <c r="H681">
        <v>145</v>
      </c>
      <c r="I681" s="125" t="s">
        <v>1546</v>
      </c>
      <c r="J681" s="308" t="s">
        <v>214</v>
      </c>
      <c r="K681" s="127" t="s">
        <v>1785</v>
      </c>
      <c r="L681" s="153" t="s">
        <v>1483</v>
      </c>
      <c r="M681">
        <v>191</v>
      </c>
      <c r="N681" s="123"/>
      <c r="O681">
        <v>421</v>
      </c>
      <c r="P681" s="132" t="s">
        <v>77</v>
      </c>
      <c r="Q681" s="132">
        <v>941.38</v>
      </c>
      <c r="R681" s="132">
        <v>150.62</v>
      </c>
      <c r="S681" s="132"/>
      <c r="T681" s="156"/>
      <c r="U681" s="132"/>
      <c r="V681" s="132">
        <v>1092</v>
      </c>
      <c r="W681">
        <v>39</v>
      </c>
      <c r="X681" s="153" t="s">
        <v>1644</v>
      </c>
      <c r="Y681" s="124" t="s">
        <v>55</v>
      </c>
      <c r="Z681" s="308">
        <v>199</v>
      </c>
      <c r="AB681" t="str">
        <f>IF(Table1[[#This Row],[TIPO2]]="costo", VLOOKUP(Table1[[#This Row],[PARTIDA PRESUPUESTAL]],'Cost Report'!G:G,1,0),"Balance")</f>
        <v>3401-017</v>
      </c>
      <c r="AC681" s="118"/>
      <c r="AD681" s="159">
        <f>+Table1[[#This Row],[SUBTOTAL]]+Table1[[#This Row],[IVA]]-Table1[[#This Row],[RET IVA]]-Table1[[#This Row],[RET ISR]]-Table1[[#This Row],[TOTAL]]</f>
        <v>0</v>
      </c>
      <c r="AE681" s="152"/>
      <c r="AF681" s="153"/>
      <c r="AG681" s="126" t="s">
        <v>3420</v>
      </c>
      <c r="AH681" s="115"/>
      <c r="AK681" s="306" t="str">
        <f>IF(ISNUMBER(Table1[[#This Row],[FECHA DE RECIBIDO]]), Table1[[#This Row],[FECHA DE RECIBIDO]]-DATE(2023,8,30), "")</f>
        <v/>
      </c>
    </row>
    <row r="682" spans="1:37" ht="15" customHeight="1">
      <c r="A682" s="150" t="s">
        <v>2076</v>
      </c>
      <c r="B682" s="151">
        <v>297</v>
      </c>
      <c r="C682" s="126" t="s">
        <v>1714</v>
      </c>
      <c r="D682">
        <v>410</v>
      </c>
      <c r="E682" s="126" t="s">
        <v>1595</v>
      </c>
      <c r="F682" s="122" t="s">
        <v>1607</v>
      </c>
      <c r="G682" s="122" t="s">
        <v>134</v>
      </c>
      <c r="H682">
        <v>41</v>
      </c>
      <c r="I682" s="122" t="s">
        <v>1546</v>
      </c>
      <c r="J682" s="307" t="s">
        <v>214</v>
      </c>
      <c r="K682" s="127" t="s">
        <v>1785</v>
      </c>
      <c r="L682" s="151" t="s">
        <v>1483</v>
      </c>
      <c r="M682">
        <v>101</v>
      </c>
      <c r="N682" s="123"/>
      <c r="O682">
        <v>422</v>
      </c>
      <c r="P682" s="132" t="s">
        <v>77</v>
      </c>
      <c r="Q682" s="131">
        <v>1559.14</v>
      </c>
      <c r="R682" s="131">
        <v>81.38</v>
      </c>
      <c r="S682" s="131"/>
      <c r="T682" s="155"/>
      <c r="U682" s="131"/>
      <c r="V682" s="131">
        <v>1640.52</v>
      </c>
      <c r="W682">
        <v>39</v>
      </c>
      <c r="X682" s="151" t="s">
        <v>1644</v>
      </c>
      <c r="Y682" s="135" t="s">
        <v>55</v>
      </c>
      <c r="Z682" s="307">
        <v>200</v>
      </c>
      <c r="AB682" t="str">
        <f>IF(Table1[[#This Row],[TIPO2]]="costo", VLOOKUP(Table1[[#This Row],[PARTIDA PRESUPUESTAL]],'Cost Report'!G:G,1,0),"Balance")</f>
        <v>1426-003</v>
      </c>
      <c r="AC682" s="118"/>
      <c r="AD682" s="159">
        <f>+Table1[[#This Row],[SUBTOTAL]]+Table1[[#This Row],[IVA]]-Table1[[#This Row],[RET IVA]]-Table1[[#This Row],[RET ISR]]-Table1[[#This Row],[TOTAL]]</f>
        <v>0</v>
      </c>
      <c r="AE682" s="150"/>
      <c r="AF682" s="151"/>
      <c r="AG682" s="126" t="s">
        <v>3420</v>
      </c>
      <c r="AH682" s="115"/>
      <c r="AK682" s="306" t="str">
        <f>IF(ISNUMBER(Table1[[#This Row],[FECHA DE RECIBIDO]]), Table1[[#This Row],[FECHA DE RECIBIDO]]-DATE(2023,8,30), "")</f>
        <v/>
      </c>
    </row>
    <row r="683" spans="1:37" ht="15" customHeight="1">
      <c r="A683" s="152" t="s">
        <v>2076</v>
      </c>
      <c r="B683" s="153">
        <v>297</v>
      </c>
      <c r="C683" s="126" t="s">
        <v>1181</v>
      </c>
      <c r="D683">
        <v>411</v>
      </c>
      <c r="E683" s="126" t="s">
        <v>2075</v>
      </c>
      <c r="F683" s="125" t="s">
        <v>2062</v>
      </c>
      <c r="G683" s="125" t="s">
        <v>134</v>
      </c>
      <c r="H683">
        <v>146</v>
      </c>
      <c r="I683" s="125" t="s">
        <v>1546</v>
      </c>
      <c r="J683" s="308" t="s">
        <v>214</v>
      </c>
      <c r="K683" s="127" t="s">
        <v>1785</v>
      </c>
      <c r="L683" s="153" t="s">
        <v>1483</v>
      </c>
      <c r="M683">
        <v>192</v>
      </c>
      <c r="N683" s="123"/>
      <c r="O683">
        <v>423</v>
      </c>
      <c r="P683" s="132" t="s">
        <v>77</v>
      </c>
      <c r="Q683" s="132">
        <v>870.69</v>
      </c>
      <c r="R683" s="132">
        <v>139.31</v>
      </c>
      <c r="S683" s="132"/>
      <c r="T683" s="156"/>
      <c r="U683" s="132"/>
      <c r="V683" s="132">
        <v>1010</v>
      </c>
      <c r="W683">
        <v>39</v>
      </c>
      <c r="X683" s="153" t="s">
        <v>1644</v>
      </c>
      <c r="Y683" s="124" t="s">
        <v>55</v>
      </c>
      <c r="Z683" s="308">
        <v>201</v>
      </c>
      <c r="AB683" t="str">
        <f>IF(Table1[[#This Row],[TIPO2]]="costo", VLOOKUP(Table1[[#This Row],[PARTIDA PRESUPUESTAL]],'Cost Report'!G:G,1,0),"Balance")</f>
        <v>3904-003</v>
      </c>
      <c r="AC683" s="118"/>
      <c r="AD683" s="159">
        <f>+Table1[[#This Row],[SUBTOTAL]]+Table1[[#This Row],[IVA]]-Table1[[#This Row],[RET IVA]]-Table1[[#This Row],[RET ISR]]-Table1[[#This Row],[TOTAL]]</f>
        <v>0</v>
      </c>
      <c r="AE683" s="152"/>
      <c r="AF683" s="153"/>
      <c r="AG683" s="126" t="s">
        <v>3420</v>
      </c>
      <c r="AH683" s="115"/>
      <c r="AK683" s="306" t="str">
        <f>IF(ISNUMBER(Table1[[#This Row],[FECHA DE RECIBIDO]]), Table1[[#This Row],[FECHA DE RECIBIDO]]-DATE(2023,8,30), "")</f>
        <v/>
      </c>
    </row>
    <row r="684" spans="1:37" ht="15" customHeight="1">
      <c r="A684" s="150" t="s">
        <v>2076</v>
      </c>
      <c r="B684" s="151">
        <v>297</v>
      </c>
      <c r="C684" s="126" t="s">
        <v>2829</v>
      </c>
      <c r="D684">
        <v>412</v>
      </c>
      <c r="E684" s="126"/>
      <c r="F684" s="122"/>
      <c r="G684" s="122"/>
      <c r="H684"/>
      <c r="I684" s="122"/>
      <c r="J684" s="307">
        <v>189</v>
      </c>
      <c r="K684" s="127" t="s">
        <v>1785</v>
      </c>
      <c r="L684" s="151" t="s">
        <v>1483</v>
      </c>
      <c r="M684">
        <v>187</v>
      </c>
      <c r="N684" s="123"/>
      <c r="O684">
        <v>416</v>
      </c>
      <c r="P684" s="132" t="s">
        <v>77</v>
      </c>
      <c r="Q684" s="131">
        <v>14</v>
      </c>
      <c r="R684" s="131"/>
      <c r="S684" s="131"/>
      <c r="T684" s="155"/>
      <c r="U684" s="131"/>
      <c r="V684" s="131">
        <f>+Table1[[#This Row],[SUBTOTAL]]+Table1[[#This Row],[IVA]]</f>
        <v>14</v>
      </c>
      <c r="W684">
        <v>39</v>
      </c>
      <c r="X684" s="151" t="s">
        <v>1644</v>
      </c>
      <c r="Y684" s="135" t="s">
        <v>55</v>
      </c>
      <c r="Z684" s="307">
        <v>202</v>
      </c>
      <c r="AB684" t="str">
        <f>IF(Table1[[#This Row],[TIPO2]]="costo", VLOOKUP(Table1[[#This Row],[PARTIDA PRESUPUESTAL]],'Cost Report'!G:G,1,0),"Balance")</f>
        <v>3412-138</v>
      </c>
      <c r="AC684" s="118"/>
      <c r="AD684" s="159">
        <f>+Table1[[#This Row],[SUBTOTAL]]+Table1[[#This Row],[IVA]]-Table1[[#This Row],[RET IVA]]-Table1[[#This Row],[RET ISR]]-Table1[[#This Row],[TOTAL]]</f>
        <v>0</v>
      </c>
      <c r="AE684" s="150"/>
      <c r="AF684" s="151"/>
      <c r="AG684" s="126" t="s">
        <v>3420</v>
      </c>
      <c r="AH684" s="115"/>
      <c r="AK684" s="306">
        <f>IF(ISNUMBER(Table1[[#This Row],[FECHA DE RECIBIDO]]), Table1[[#This Row],[FECHA DE RECIBIDO]]-DATE(2023,8,30), "")</f>
        <v>-44979</v>
      </c>
    </row>
    <row r="685" spans="1:37" ht="15" customHeight="1">
      <c r="A685" s="152" t="s">
        <v>2076</v>
      </c>
      <c r="B685" s="153">
        <v>297</v>
      </c>
      <c r="C685" s="126" t="s">
        <v>2829</v>
      </c>
      <c r="D685">
        <v>413</v>
      </c>
      <c r="E685" s="126"/>
      <c r="F685" s="125"/>
      <c r="G685" s="125"/>
      <c r="H685"/>
      <c r="I685" s="125"/>
      <c r="J685" s="308">
        <v>189</v>
      </c>
      <c r="K685" s="127" t="s">
        <v>1785</v>
      </c>
      <c r="L685" s="153" t="s">
        <v>1483</v>
      </c>
      <c r="M685">
        <v>187</v>
      </c>
      <c r="N685" s="123"/>
      <c r="O685">
        <v>416</v>
      </c>
      <c r="P685" s="132" t="s">
        <v>77</v>
      </c>
      <c r="Q685" s="132">
        <v>15</v>
      </c>
      <c r="R685" s="132"/>
      <c r="S685" s="132"/>
      <c r="T685" s="156"/>
      <c r="U685" s="132"/>
      <c r="V685" s="132">
        <f>+Table1[[#This Row],[SUBTOTAL]]+Table1[[#This Row],[IVA]]</f>
        <v>15</v>
      </c>
      <c r="W685">
        <v>39</v>
      </c>
      <c r="X685" s="153" t="s">
        <v>1644</v>
      </c>
      <c r="Y685" s="124" t="s">
        <v>55</v>
      </c>
      <c r="Z685" s="308">
        <v>203</v>
      </c>
      <c r="AB685" t="str">
        <f>IF(Table1[[#This Row],[TIPO2]]="costo", VLOOKUP(Table1[[#This Row],[PARTIDA PRESUPUESTAL]],'Cost Report'!G:G,1,0),"Balance")</f>
        <v>3412-138</v>
      </c>
      <c r="AC685" s="118"/>
      <c r="AD685" s="159">
        <f>+Table1[[#This Row],[SUBTOTAL]]+Table1[[#This Row],[IVA]]-Table1[[#This Row],[RET IVA]]-Table1[[#This Row],[RET ISR]]-Table1[[#This Row],[TOTAL]]</f>
        <v>0</v>
      </c>
      <c r="AE685" s="152"/>
      <c r="AF685" s="153"/>
      <c r="AG685" s="126" t="s">
        <v>3420</v>
      </c>
      <c r="AH685" s="115"/>
      <c r="AK685" s="306">
        <f>IF(ISNUMBER(Table1[[#This Row],[FECHA DE RECIBIDO]]), Table1[[#This Row],[FECHA DE RECIBIDO]]-DATE(2023,8,30), "")</f>
        <v>-44979</v>
      </c>
    </row>
    <row r="686" spans="1:37" ht="15" customHeight="1">
      <c r="A686" s="150" t="s">
        <v>2076</v>
      </c>
      <c r="B686" s="151">
        <v>297</v>
      </c>
      <c r="C686" s="126" t="s">
        <v>2829</v>
      </c>
      <c r="D686">
        <v>414</v>
      </c>
      <c r="E686" s="126"/>
      <c r="F686" s="122"/>
      <c r="G686" s="122"/>
      <c r="H686"/>
      <c r="I686" s="122"/>
      <c r="J686" s="307">
        <v>189</v>
      </c>
      <c r="K686" s="127" t="s">
        <v>1785</v>
      </c>
      <c r="L686" s="151" t="s">
        <v>1483</v>
      </c>
      <c r="M686">
        <v>187</v>
      </c>
      <c r="N686" s="123"/>
      <c r="O686">
        <v>416</v>
      </c>
      <c r="P686" s="132" t="s">
        <v>77</v>
      </c>
      <c r="Q686" s="131">
        <v>16</v>
      </c>
      <c r="R686" s="131"/>
      <c r="S686" s="131"/>
      <c r="T686" s="155"/>
      <c r="U686" s="131"/>
      <c r="V686" s="131">
        <f>+Table1[[#This Row],[SUBTOTAL]]+Table1[[#This Row],[IVA]]</f>
        <v>16</v>
      </c>
      <c r="W686">
        <v>39</v>
      </c>
      <c r="X686" s="151" t="s">
        <v>1644</v>
      </c>
      <c r="Y686" s="135" t="s">
        <v>55</v>
      </c>
      <c r="Z686" s="307">
        <v>204</v>
      </c>
      <c r="AB686" t="str">
        <f>IF(Table1[[#This Row],[TIPO2]]="costo", VLOOKUP(Table1[[#This Row],[PARTIDA PRESUPUESTAL]],'Cost Report'!G:G,1,0),"Balance")</f>
        <v>3412-138</v>
      </c>
      <c r="AC686" s="118"/>
      <c r="AD686" s="159">
        <f>+Table1[[#This Row],[SUBTOTAL]]+Table1[[#This Row],[IVA]]-Table1[[#This Row],[RET IVA]]-Table1[[#This Row],[RET ISR]]-Table1[[#This Row],[TOTAL]]</f>
        <v>0</v>
      </c>
      <c r="AE686" s="150"/>
      <c r="AF686" s="151"/>
      <c r="AG686" s="126" t="s">
        <v>3420</v>
      </c>
      <c r="AH686" s="115"/>
      <c r="AK686" s="306">
        <f>IF(ISNUMBER(Table1[[#This Row],[FECHA DE RECIBIDO]]), Table1[[#This Row],[FECHA DE RECIBIDO]]-DATE(2023,8,30), "")</f>
        <v>-44979</v>
      </c>
    </row>
    <row r="687" spans="1:37" ht="15" customHeight="1">
      <c r="A687" s="152" t="s">
        <v>2076</v>
      </c>
      <c r="B687" s="153">
        <v>297</v>
      </c>
      <c r="C687" s="126" t="s">
        <v>2829</v>
      </c>
      <c r="D687">
        <v>415</v>
      </c>
      <c r="E687" s="126"/>
      <c r="F687" s="125"/>
      <c r="G687" s="125"/>
      <c r="H687"/>
      <c r="I687" s="125"/>
      <c r="J687" s="308">
        <v>189</v>
      </c>
      <c r="K687" s="127" t="s">
        <v>1785</v>
      </c>
      <c r="L687" s="153" t="s">
        <v>1483</v>
      </c>
      <c r="M687">
        <v>187</v>
      </c>
      <c r="N687" s="123"/>
      <c r="O687">
        <v>416</v>
      </c>
      <c r="P687" s="132" t="s">
        <v>77</v>
      </c>
      <c r="Q687" s="132">
        <v>15</v>
      </c>
      <c r="R687" s="132"/>
      <c r="S687" s="132"/>
      <c r="T687" s="156"/>
      <c r="U687" s="132"/>
      <c r="V687" s="132">
        <f>+Table1[[#This Row],[SUBTOTAL]]+Table1[[#This Row],[IVA]]</f>
        <v>15</v>
      </c>
      <c r="W687">
        <v>39</v>
      </c>
      <c r="X687" s="153" t="s">
        <v>1644</v>
      </c>
      <c r="Y687" s="124" t="s">
        <v>55</v>
      </c>
      <c r="Z687" s="308">
        <v>205</v>
      </c>
      <c r="AB687" t="str">
        <f>IF(Table1[[#This Row],[TIPO2]]="costo", VLOOKUP(Table1[[#This Row],[PARTIDA PRESUPUESTAL]],'Cost Report'!G:G,1,0),"Balance")</f>
        <v>3412-138</v>
      </c>
      <c r="AC687" s="118"/>
      <c r="AD687" s="159">
        <f>+Table1[[#This Row],[SUBTOTAL]]+Table1[[#This Row],[IVA]]-Table1[[#This Row],[RET IVA]]-Table1[[#This Row],[RET ISR]]-Table1[[#This Row],[TOTAL]]</f>
        <v>0</v>
      </c>
      <c r="AE687" s="152"/>
      <c r="AF687" s="153"/>
      <c r="AG687" s="126" t="s">
        <v>3420</v>
      </c>
      <c r="AH687" s="115"/>
      <c r="AK687" s="306">
        <f>IF(ISNUMBER(Table1[[#This Row],[FECHA DE RECIBIDO]]), Table1[[#This Row],[FECHA DE RECIBIDO]]-DATE(2023,8,30), "")</f>
        <v>-44979</v>
      </c>
    </row>
    <row r="688" spans="1:37" ht="15" customHeight="1">
      <c r="A688" s="150" t="s">
        <v>2076</v>
      </c>
      <c r="B688" s="151">
        <v>297</v>
      </c>
      <c r="C688" s="126" t="s">
        <v>2753</v>
      </c>
      <c r="D688">
        <v>403</v>
      </c>
      <c r="E688" s="126"/>
      <c r="F688" s="122"/>
      <c r="G688" s="122"/>
      <c r="H688"/>
      <c r="I688" s="122"/>
      <c r="J688" s="307">
        <v>191</v>
      </c>
      <c r="K688" s="127" t="s">
        <v>1785</v>
      </c>
      <c r="L688" s="151" t="s">
        <v>1483</v>
      </c>
      <c r="M688">
        <v>188</v>
      </c>
      <c r="N688" s="123"/>
      <c r="O688">
        <v>417</v>
      </c>
      <c r="P688" s="132" t="s">
        <v>77</v>
      </c>
      <c r="Q688" s="131">
        <v>43</v>
      </c>
      <c r="R688" s="131"/>
      <c r="S688" s="131"/>
      <c r="T688" s="155"/>
      <c r="U688" s="131"/>
      <c r="V688" s="131">
        <f>+Table1[[#This Row],[SUBTOTAL]]+Table1[[#This Row],[IVA]]</f>
        <v>43</v>
      </c>
      <c r="W688">
        <v>39</v>
      </c>
      <c r="X688" s="151" t="s">
        <v>1644</v>
      </c>
      <c r="Y688" s="135" t="s">
        <v>55</v>
      </c>
      <c r="Z688" s="307">
        <v>206</v>
      </c>
      <c r="AB688" t="str">
        <f>IF(Table1[[#This Row],[TIPO2]]="costo", VLOOKUP(Table1[[#This Row],[PARTIDA PRESUPUESTAL]],'Cost Report'!G:G,1,0),"Balance")</f>
        <v>3401-015</v>
      </c>
      <c r="AC688" s="118"/>
      <c r="AD688" s="159">
        <f>+Table1[[#This Row],[SUBTOTAL]]+Table1[[#This Row],[IVA]]-Table1[[#This Row],[RET IVA]]-Table1[[#This Row],[RET ISR]]-Table1[[#This Row],[TOTAL]]</f>
        <v>0</v>
      </c>
      <c r="AE688" s="150"/>
      <c r="AF688" s="151"/>
      <c r="AG688" s="126" t="s">
        <v>3420</v>
      </c>
      <c r="AH688" s="115"/>
      <c r="AK688" s="306">
        <f>IF(ISNUMBER(Table1[[#This Row],[FECHA DE RECIBIDO]]), Table1[[#This Row],[FECHA DE RECIBIDO]]-DATE(2023,8,30), "")</f>
        <v>-44977</v>
      </c>
    </row>
    <row r="689" spans="1:37" ht="15" customHeight="1">
      <c r="A689" s="152" t="s">
        <v>2076</v>
      </c>
      <c r="B689" s="153">
        <v>297</v>
      </c>
      <c r="C689" s="126" t="s">
        <v>2753</v>
      </c>
      <c r="D689">
        <v>404</v>
      </c>
      <c r="E689" s="126"/>
      <c r="F689" s="125"/>
      <c r="G689" s="125"/>
      <c r="H689"/>
      <c r="I689" s="125"/>
      <c r="J689" s="308">
        <v>191</v>
      </c>
      <c r="K689" s="127" t="s">
        <v>1785</v>
      </c>
      <c r="L689" s="153" t="s">
        <v>1483</v>
      </c>
      <c r="M689">
        <v>189</v>
      </c>
      <c r="N689" s="123"/>
      <c r="O689">
        <v>418</v>
      </c>
      <c r="P689" s="132" t="s">
        <v>77</v>
      </c>
      <c r="Q689" s="132">
        <v>98.8</v>
      </c>
      <c r="R689" s="132"/>
      <c r="S689" s="132"/>
      <c r="T689" s="156"/>
      <c r="U689" s="132"/>
      <c r="V689" s="132">
        <f>+Table1[[#This Row],[SUBTOTAL]]+Table1[[#This Row],[IVA]]</f>
        <v>98.8</v>
      </c>
      <c r="W689">
        <v>39</v>
      </c>
      <c r="X689" s="153" t="s">
        <v>1644</v>
      </c>
      <c r="Y689" s="124" t="s">
        <v>55</v>
      </c>
      <c r="Z689" s="308">
        <v>207</v>
      </c>
      <c r="AB689" t="str">
        <f>IF(Table1[[#This Row],[TIPO2]]="costo", VLOOKUP(Table1[[#This Row],[PARTIDA PRESUPUESTAL]],'Cost Report'!G:G,1,0),"Balance")</f>
        <v>3401-015</v>
      </c>
      <c r="AC689" s="118"/>
      <c r="AD689" s="159">
        <f>+Table1[[#This Row],[SUBTOTAL]]+Table1[[#This Row],[IVA]]-Table1[[#This Row],[RET IVA]]-Table1[[#This Row],[RET ISR]]-Table1[[#This Row],[TOTAL]]</f>
        <v>0</v>
      </c>
      <c r="AE689" s="152"/>
      <c r="AF689" s="153"/>
      <c r="AG689" s="126" t="s">
        <v>3420</v>
      </c>
      <c r="AH689" s="115"/>
      <c r="AK689" s="306">
        <f>IF(ISNUMBER(Table1[[#This Row],[FECHA DE RECIBIDO]]), Table1[[#This Row],[FECHA DE RECIBIDO]]-DATE(2023,8,30), "")</f>
        <v>-44977</v>
      </c>
    </row>
    <row r="690" spans="1:37" ht="15" customHeight="1">
      <c r="A690" s="150" t="s">
        <v>2076</v>
      </c>
      <c r="B690" s="151">
        <v>297</v>
      </c>
      <c r="C690" s="126" t="s">
        <v>2753</v>
      </c>
      <c r="D690">
        <v>405</v>
      </c>
      <c r="E690" s="126"/>
      <c r="F690" s="122"/>
      <c r="G690" s="122"/>
      <c r="H690"/>
      <c r="I690" s="122"/>
      <c r="J690" s="307">
        <v>191</v>
      </c>
      <c r="K690" s="127" t="s">
        <v>1785</v>
      </c>
      <c r="L690" s="151" t="s">
        <v>1483</v>
      </c>
      <c r="M690">
        <v>189</v>
      </c>
      <c r="N690" s="123"/>
      <c r="O690">
        <v>418</v>
      </c>
      <c r="P690" s="132" t="s">
        <v>77</v>
      </c>
      <c r="Q690" s="131">
        <v>109.2</v>
      </c>
      <c r="R690" s="131"/>
      <c r="S690" s="131"/>
      <c r="T690" s="155"/>
      <c r="U690" s="131"/>
      <c r="V690" s="131">
        <f>+Table1[[#This Row],[SUBTOTAL]]+Table1[[#This Row],[IVA]]</f>
        <v>109.2</v>
      </c>
      <c r="W690">
        <v>39</v>
      </c>
      <c r="X690" s="151" t="s">
        <v>1644</v>
      </c>
      <c r="Y690" s="135" t="s">
        <v>55</v>
      </c>
      <c r="Z690" s="307">
        <v>208</v>
      </c>
      <c r="AB690" t="str">
        <f>IF(Table1[[#This Row],[TIPO2]]="costo", VLOOKUP(Table1[[#This Row],[PARTIDA PRESUPUESTAL]],'Cost Report'!G:G,1,0),"Balance")</f>
        <v>3401-015</v>
      </c>
      <c r="AC690" s="118"/>
      <c r="AD690" s="159">
        <f>+Table1[[#This Row],[SUBTOTAL]]+Table1[[#This Row],[IVA]]-Table1[[#This Row],[RET IVA]]-Table1[[#This Row],[RET ISR]]-Table1[[#This Row],[TOTAL]]</f>
        <v>0</v>
      </c>
      <c r="AE690" s="150"/>
      <c r="AF690" s="151"/>
      <c r="AG690" s="126" t="s">
        <v>3420</v>
      </c>
      <c r="AH690" s="115"/>
      <c r="AK690" s="306">
        <f>IF(ISNUMBER(Table1[[#This Row],[FECHA DE RECIBIDO]]), Table1[[#This Row],[FECHA DE RECIBIDO]]-DATE(2023,8,30), "")</f>
        <v>-44977</v>
      </c>
    </row>
    <row r="691" spans="1:37" ht="15" customHeight="1">
      <c r="A691" s="152" t="s">
        <v>2076</v>
      </c>
      <c r="B691" s="153">
        <v>297</v>
      </c>
      <c r="C691" s="126" t="s">
        <v>2753</v>
      </c>
      <c r="D691">
        <v>381</v>
      </c>
      <c r="E691" s="126"/>
      <c r="F691" s="125"/>
      <c r="G691" s="125"/>
      <c r="H691"/>
      <c r="I691" s="125"/>
      <c r="J691" s="308">
        <v>195</v>
      </c>
      <c r="K691" s="127" t="s">
        <v>1785</v>
      </c>
      <c r="L691" s="153" t="s">
        <v>1483</v>
      </c>
      <c r="M691">
        <v>77</v>
      </c>
      <c r="N691" s="123"/>
      <c r="O691">
        <v>162</v>
      </c>
      <c r="P691" s="132" t="s">
        <v>77</v>
      </c>
      <c r="Q691" s="132">
        <v>30.74</v>
      </c>
      <c r="R691" s="132"/>
      <c r="S691" s="132"/>
      <c r="T691" s="156"/>
      <c r="U691" s="132"/>
      <c r="V691" s="132">
        <f>+Table1[[#This Row],[SUBTOTAL]]+Table1[[#This Row],[IVA]]</f>
        <v>30.74</v>
      </c>
      <c r="W691">
        <v>39</v>
      </c>
      <c r="X691" s="153" t="s">
        <v>1644</v>
      </c>
      <c r="Y691" s="124" t="s">
        <v>55</v>
      </c>
      <c r="Z691" s="308">
        <v>209</v>
      </c>
      <c r="AB691" t="str">
        <f>IF(Table1[[#This Row],[TIPO2]]="costo", VLOOKUP(Table1[[#This Row],[PARTIDA PRESUPUESTAL]],'Cost Report'!G:G,1,0),"Balance")</f>
        <v>3401-015</v>
      </c>
      <c r="AC691" s="118"/>
      <c r="AD691" s="159">
        <f>+Table1[[#This Row],[SUBTOTAL]]+Table1[[#This Row],[IVA]]-Table1[[#This Row],[RET IVA]]-Table1[[#This Row],[RET ISR]]-Table1[[#This Row],[TOTAL]]</f>
        <v>0</v>
      </c>
      <c r="AE691" s="152"/>
      <c r="AF691" s="153"/>
      <c r="AG691" s="126" t="s">
        <v>3420</v>
      </c>
      <c r="AH691" s="115"/>
      <c r="AK691" s="306">
        <f>IF(ISNUMBER(Table1[[#This Row],[FECHA DE RECIBIDO]]), Table1[[#This Row],[FECHA DE RECIBIDO]]-DATE(2023,8,30), "")</f>
        <v>-44973</v>
      </c>
    </row>
    <row r="692" spans="1:37" ht="15" customHeight="1">
      <c r="A692" s="150" t="s">
        <v>2078</v>
      </c>
      <c r="B692" s="151">
        <v>298</v>
      </c>
      <c r="C692" s="126" t="s">
        <v>2596</v>
      </c>
      <c r="D692">
        <v>416</v>
      </c>
      <c r="E692" s="126" t="s">
        <v>1615</v>
      </c>
      <c r="F692" s="122" t="s">
        <v>1607</v>
      </c>
      <c r="G692" s="122" t="s">
        <v>134</v>
      </c>
      <c r="H692">
        <v>97</v>
      </c>
      <c r="I692" s="122" t="s">
        <v>1546</v>
      </c>
      <c r="J692" s="307" t="s">
        <v>214</v>
      </c>
      <c r="K692" s="127" t="s">
        <v>2052</v>
      </c>
      <c r="L692" s="151" t="s">
        <v>1483</v>
      </c>
      <c r="M692">
        <v>193</v>
      </c>
      <c r="N692" s="123"/>
      <c r="O692">
        <v>424</v>
      </c>
      <c r="P692" s="132" t="s">
        <v>77</v>
      </c>
      <c r="Q692" s="131">
        <v>2708.59</v>
      </c>
      <c r="R692" s="131">
        <v>433.41</v>
      </c>
      <c r="S692" s="131"/>
      <c r="T692" s="155"/>
      <c r="U692" s="131"/>
      <c r="V692" s="131">
        <f>+Table1[[#This Row],[SUBTOTAL]]+Table1[[#This Row],[IVA]]</f>
        <v>3142</v>
      </c>
      <c r="W692">
        <v>39</v>
      </c>
      <c r="X692" s="151" t="s">
        <v>1644</v>
      </c>
      <c r="Y692" s="135" t="s">
        <v>55</v>
      </c>
      <c r="Z692" s="307">
        <v>183</v>
      </c>
      <c r="AB692" t="str">
        <f>IF(Table1[[#This Row],[TIPO2]]="costo", VLOOKUP(Table1[[#This Row],[PARTIDA PRESUPUESTAL]],'Cost Report'!G:G,1,0),"Balance")</f>
        <v>2794-003</v>
      </c>
      <c r="AC692" s="118"/>
      <c r="AD692" s="159">
        <f>+Table1[[#This Row],[SUBTOTAL]]+Table1[[#This Row],[IVA]]-Table1[[#This Row],[RET IVA]]-Table1[[#This Row],[RET ISR]]-Table1[[#This Row],[TOTAL]]</f>
        <v>0</v>
      </c>
      <c r="AE692" s="150"/>
      <c r="AF692" s="151"/>
      <c r="AG692" s="126" t="s">
        <v>3420</v>
      </c>
      <c r="AH692" s="115"/>
      <c r="AK692" s="306" t="str">
        <f>IF(ISNUMBER(Table1[[#This Row],[FECHA DE RECIBIDO]]), Table1[[#This Row],[FECHA DE RECIBIDO]]-DATE(2023,8,30), "")</f>
        <v/>
      </c>
    </row>
    <row r="693" spans="1:37" ht="15" customHeight="1">
      <c r="A693" s="152" t="s">
        <v>2079</v>
      </c>
      <c r="B693" s="153">
        <v>298</v>
      </c>
      <c r="C693" s="126" t="s">
        <v>2596</v>
      </c>
      <c r="D693">
        <v>417</v>
      </c>
      <c r="E693" s="126" t="s">
        <v>2008</v>
      </c>
      <c r="F693" s="125" t="s">
        <v>1607</v>
      </c>
      <c r="G693" s="125" t="s">
        <v>134</v>
      </c>
      <c r="H693">
        <v>102</v>
      </c>
      <c r="I693" s="125" t="s">
        <v>1546</v>
      </c>
      <c r="J693" s="308" t="s">
        <v>214</v>
      </c>
      <c r="K693" s="127" t="s">
        <v>2052</v>
      </c>
      <c r="L693" s="153" t="s">
        <v>1483</v>
      </c>
      <c r="M693">
        <v>137</v>
      </c>
      <c r="N693" s="123"/>
      <c r="O693">
        <v>425</v>
      </c>
      <c r="P693" s="132" t="s">
        <v>77</v>
      </c>
      <c r="Q693" s="132">
        <v>3635.36</v>
      </c>
      <c r="R693" s="132">
        <v>581.64</v>
      </c>
      <c r="S693" s="132"/>
      <c r="T693" s="156"/>
      <c r="U693" s="132"/>
      <c r="V693" s="132">
        <f>+Table1[[#This Row],[SUBTOTAL]]+Table1[[#This Row],[IVA]]</f>
        <v>4217</v>
      </c>
      <c r="W693">
        <v>39</v>
      </c>
      <c r="X693" s="153" t="s">
        <v>1644</v>
      </c>
      <c r="Y693" s="124" t="s">
        <v>55</v>
      </c>
      <c r="Z693" s="308">
        <v>191</v>
      </c>
      <c r="AB693" t="str">
        <f>IF(Table1[[#This Row],[TIPO2]]="costo", VLOOKUP(Table1[[#This Row],[PARTIDA PRESUPUESTAL]],'Cost Report'!G:G,1,0),"Balance")</f>
        <v>2794-003</v>
      </c>
      <c r="AC693" s="118"/>
      <c r="AD693" s="159">
        <f>+Table1[[#This Row],[SUBTOTAL]]+Table1[[#This Row],[IVA]]-Table1[[#This Row],[RET IVA]]-Table1[[#This Row],[RET ISR]]-Table1[[#This Row],[TOTAL]]</f>
        <v>0</v>
      </c>
      <c r="AE693" s="152"/>
      <c r="AF693" s="153"/>
      <c r="AG693" s="126" t="s">
        <v>3420</v>
      </c>
      <c r="AH693" s="115"/>
      <c r="AK693" s="306" t="str">
        <f>IF(ISNUMBER(Table1[[#This Row],[FECHA DE RECIBIDO]]), Table1[[#This Row],[FECHA DE RECIBIDO]]-DATE(2023,8,30), "")</f>
        <v/>
      </c>
    </row>
    <row r="694" spans="1:37" ht="15" customHeight="1">
      <c r="A694" s="150" t="s">
        <v>2080</v>
      </c>
      <c r="B694" s="151">
        <v>298</v>
      </c>
      <c r="C694" s="126" t="s">
        <v>2596</v>
      </c>
      <c r="D694">
        <v>418</v>
      </c>
      <c r="E694" s="126" t="s">
        <v>2008</v>
      </c>
      <c r="F694" s="122" t="s">
        <v>1607</v>
      </c>
      <c r="G694" s="122" t="s">
        <v>134</v>
      </c>
      <c r="H694">
        <v>100</v>
      </c>
      <c r="I694" s="122" t="s">
        <v>1546</v>
      </c>
      <c r="J694" s="307" t="s">
        <v>214</v>
      </c>
      <c r="K694" s="127" t="s">
        <v>2052</v>
      </c>
      <c r="L694" s="151" t="s">
        <v>1483</v>
      </c>
      <c r="M694">
        <v>135</v>
      </c>
      <c r="N694" s="123"/>
      <c r="O694">
        <v>426</v>
      </c>
      <c r="P694" s="132" t="s">
        <v>77</v>
      </c>
      <c r="Q694" s="131">
        <v>308.62</v>
      </c>
      <c r="R694" s="131">
        <v>49.38</v>
      </c>
      <c r="S694" s="131"/>
      <c r="T694" s="155"/>
      <c r="U694" s="131"/>
      <c r="V694" s="131">
        <f>+Table1[[#This Row],[SUBTOTAL]]+Table1[[#This Row],[IVA]]</f>
        <v>358</v>
      </c>
      <c r="W694">
        <v>39</v>
      </c>
      <c r="X694" s="151" t="s">
        <v>1644</v>
      </c>
      <c r="Y694" s="135" t="s">
        <v>55</v>
      </c>
      <c r="Z694" s="307">
        <v>193</v>
      </c>
      <c r="AB694" t="str">
        <f>IF(Table1[[#This Row],[TIPO2]]="costo", VLOOKUP(Table1[[#This Row],[PARTIDA PRESUPUESTAL]],'Cost Report'!G:G,1,0),"Balance")</f>
        <v>2794-003</v>
      </c>
      <c r="AC694" s="118"/>
      <c r="AD694" s="159">
        <f>+Table1[[#This Row],[SUBTOTAL]]+Table1[[#This Row],[IVA]]-Table1[[#This Row],[RET IVA]]-Table1[[#This Row],[RET ISR]]-Table1[[#This Row],[TOTAL]]</f>
        <v>0</v>
      </c>
      <c r="AE694" s="150"/>
      <c r="AF694" s="151"/>
      <c r="AG694" s="126" t="s">
        <v>3420</v>
      </c>
      <c r="AH694" s="115"/>
      <c r="AK694" s="306" t="str">
        <f>IF(ISNUMBER(Table1[[#This Row],[FECHA DE RECIBIDO]]), Table1[[#This Row],[FECHA DE RECIBIDO]]-DATE(2023,8,30), "")</f>
        <v/>
      </c>
    </row>
    <row r="695" spans="1:37" ht="15" customHeight="1">
      <c r="A695" s="152" t="s">
        <v>2081</v>
      </c>
      <c r="B695" s="153">
        <v>298</v>
      </c>
      <c r="C695" s="126" t="s">
        <v>2596</v>
      </c>
      <c r="D695">
        <v>419</v>
      </c>
      <c r="E695" s="126" t="s">
        <v>2082</v>
      </c>
      <c r="F695" s="125" t="s">
        <v>1607</v>
      </c>
      <c r="G695" s="125" t="s">
        <v>134</v>
      </c>
      <c r="H695">
        <v>147</v>
      </c>
      <c r="I695" s="125" t="s">
        <v>1546</v>
      </c>
      <c r="J695" s="308" t="s">
        <v>214</v>
      </c>
      <c r="K695" s="127" t="s">
        <v>2052</v>
      </c>
      <c r="L695" s="153" t="s">
        <v>1483</v>
      </c>
      <c r="M695">
        <v>194</v>
      </c>
      <c r="N695" s="123"/>
      <c r="O695">
        <v>427</v>
      </c>
      <c r="P695" s="132" t="s">
        <v>77</v>
      </c>
      <c r="Q695" s="132">
        <v>12548.09</v>
      </c>
      <c r="R695" s="132">
        <v>2007.69</v>
      </c>
      <c r="S695" s="132"/>
      <c r="T695" s="156"/>
      <c r="U695" s="132"/>
      <c r="V695" s="132">
        <f>+Table1[[#This Row],[SUBTOTAL]]+Table1[[#This Row],[IVA]]</f>
        <v>14555.78</v>
      </c>
      <c r="W695">
        <v>39</v>
      </c>
      <c r="X695" s="153" t="s">
        <v>1644</v>
      </c>
      <c r="Y695" s="124" t="s">
        <v>55</v>
      </c>
      <c r="Z695" s="308">
        <v>-173</v>
      </c>
      <c r="AB695" t="str">
        <f>IF(Table1[[#This Row],[TIPO2]]="costo", VLOOKUP(Table1[[#This Row],[PARTIDA PRESUPUESTAL]],'Cost Report'!G:G,1,0),"Balance")</f>
        <v>2794-003</v>
      </c>
      <c r="AC695" s="118"/>
      <c r="AD695" s="159">
        <f>+Table1[[#This Row],[SUBTOTAL]]+Table1[[#This Row],[IVA]]-Table1[[#This Row],[RET IVA]]-Table1[[#This Row],[RET ISR]]-Table1[[#This Row],[TOTAL]]</f>
        <v>0</v>
      </c>
      <c r="AE695" s="152"/>
      <c r="AF695" s="153"/>
      <c r="AG695" s="126" t="s">
        <v>3420</v>
      </c>
      <c r="AH695" s="115"/>
      <c r="AK695" s="306" t="str">
        <f>IF(ISNUMBER(Table1[[#This Row],[FECHA DE RECIBIDO]]), Table1[[#This Row],[FECHA DE RECIBIDO]]-DATE(2023,8,30), "")</f>
        <v/>
      </c>
    </row>
    <row r="696" spans="1:37" ht="15" customHeight="1">
      <c r="A696" s="150" t="s">
        <v>2083</v>
      </c>
      <c r="B696" s="151">
        <v>298</v>
      </c>
      <c r="C696" s="126" t="s">
        <v>2596</v>
      </c>
      <c r="D696">
        <v>420</v>
      </c>
      <c r="E696" s="126" t="s">
        <v>2008</v>
      </c>
      <c r="F696" s="122" t="s">
        <v>1607</v>
      </c>
      <c r="G696" s="122" t="s">
        <v>134</v>
      </c>
      <c r="H696">
        <v>100</v>
      </c>
      <c r="I696" s="122" t="s">
        <v>1546</v>
      </c>
      <c r="J696" s="307" t="s">
        <v>214</v>
      </c>
      <c r="K696" s="127" t="s">
        <v>2052</v>
      </c>
      <c r="L696" s="151" t="s">
        <v>1483</v>
      </c>
      <c r="M696">
        <v>135</v>
      </c>
      <c r="N696" s="123"/>
      <c r="O696">
        <v>428</v>
      </c>
      <c r="P696" s="132" t="s">
        <v>77</v>
      </c>
      <c r="Q696" s="131">
        <v>206.03</v>
      </c>
      <c r="R696" s="131">
        <v>32.97</v>
      </c>
      <c r="S696" s="131"/>
      <c r="T696" s="155"/>
      <c r="U696" s="131"/>
      <c r="V696" s="131">
        <f>+Table1[[#This Row],[SUBTOTAL]]+Table1[[#This Row],[IVA]]</f>
        <v>239</v>
      </c>
      <c r="W696">
        <v>39</v>
      </c>
      <c r="X696" s="151" t="s">
        <v>1644</v>
      </c>
      <c r="Y696" s="135" t="s">
        <v>55</v>
      </c>
      <c r="Z696" s="307">
        <v>193</v>
      </c>
      <c r="AB696" t="str">
        <f>IF(Table1[[#This Row],[TIPO2]]="costo", VLOOKUP(Table1[[#This Row],[PARTIDA PRESUPUESTAL]],'Cost Report'!G:G,1,0),"Balance")</f>
        <v>2794-003</v>
      </c>
      <c r="AC696" s="118"/>
      <c r="AD696" s="159">
        <f>+Table1[[#This Row],[SUBTOTAL]]+Table1[[#This Row],[IVA]]-Table1[[#This Row],[RET IVA]]-Table1[[#This Row],[RET ISR]]-Table1[[#This Row],[TOTAL]]</f>
        <v>0</v>
      </c>
      <c r="AE696" s="150"/>
      <c r="AF696" s="151"/>
      <c r="AG696" s="126" t="s">
        <v>3420</v>
      </c>
      <c r="AH696" s="115"/>
      <c r="AK696" s="306" t="str">
        <f>IF(ISNUMBER(Table1[[#This Row],[FECHA DE RECIBIDO]]), Table1[[#This Row],[FECHA DE RECIBIDO]]-DATE(2023,8,30), "")</f>
        <v/>
      </c>
    </row>
    <row r="697" spans="1:37" ht="15" customHeight="1">
      <c r="A697" s="152" t="s">
        <v>2084</v>
      </c>
      <c r="B697" s="153">
        <v>298</v>
      </c>
      <c r="C697" s="126" t="s">
        <v>2596</v>
      </c>
      <c r="D697">
        <v>421</v>
      </c>
      <c r="E697" s="126" t="s">
        <v>2085</v>
      </c>
      <c r="F697" s="125" t="s">
        <v>1607</v>
      </c>
      <c r="G697" s="125" t="s">
        <v>134</v>
      </c>
      <c r="H697">
        <v>101</v>
      </c>
      <c r="I697" s="125" t="s">
        <v>1546</v>
      </c>
      <c r="J697" s="308" t="s">
        <v>214</v>
      </c>
      <c r="K697" s="127" t="s">
        <v>2052</v>
      </c>
      <c r="L697" s="153" t="s">
        <v>1483</v>
      </c>
      <c r="M697">
        <v>136</v>
      </c>
      <c r="N697" s="123"/>
      <c r="O697">
        <v>429</v>
      </c>
      <c r="P697" s="132" t="s">
        <v>77</v>
      </c>
      <c r="Q697" s="132">
        <v>16395.830000000002</v>
      </c>
      <c r="R697" s="132">
        <v>2623.33</v>
      </c>
      <c r="S697" s="132"/>
      <c r="T697" s="156"/>
      <c r="U697" s="132"/>
      <c r="V697" s="132">
        <f>+Table1[[#This Row],[SUBTOTAL]]+Table1[[#This Row],[IVA]]</f>
        <v>19019.160000000003</v>
      </c>
      <c r="W697">
        <v>39</v>
      </c>
      <c r="X697" s="153" t="s">
        <v>1644</v>
      </c>
      <c r="Y697" s="124" t="s">
        <v>55</v>
      </c>
      <c r="Z697" s="308">
        <v>193</v>
      </c>
      <c r="AB697" t="str">
        <f>IF(Table1[[#This Row],[TIPO2]]="costo", VLOOKUP(Table1[[#This Row],[PARTIDA PRESUPUESTAL]],'Cost Report'!G:G,1,0),"Balance")</f>
        <v>2794-003</v>
      </c>
      <c r="AC697" s="118"/>
      <c r="AD697" s="159">
        <f>+Table1[[#This Row],[SUBTOTAL]]+Table1[[#This Row],[IVA]]-Table1[[#This Row],[RET IVA]]-Table1[[#This Row],[RET ISR]]-Table1[[#This Row],[TOTAL]]</f>
        <v>0</v>
      </c>
      <c r="AE697" s="152"/>
      <c r="AF697" s="153"/>
      <c r="AG697" s="126" t="s">
        <v>3420</v>
      </c>
      <c r="AH697" s="115"/>
      <c r="AK697" s="306" t="str">
        <f>IF(ISNUMBER(Table1[[#This Row],[FECHA DE RECIBIDO]]), Table1[[#This Row],[FECHA DE RECIBIDO]]-DATE(2023,8,30), "")</f>
        <v/>
      </c>
    </row>
    <row r="698" spans="1:37" ht="15" customHeight="1">
      <c r="A698" s="150" t="s">
        <v>2086</v>
      </c>
      <c r="B698" s="151">
        <v>298</v>
      </c>
      <c r="C698" s="126" t="s">
        <v>2596</v>
      </c>
      <c r="D698">
        <v>422</v>
      </c>
      <c r="E698" s="126" t="s">
        <v>2005</v>
      </c>
      <c r="F698" s="122" t="s">
        <v>1607</v>
      </c>
      <c r="G698" s="122" t="s">
        <v>134</v>
      </c>
      <c r="H698">
        <v>97</v>
      </c>
      <c r="I698" s="122" t="s">
        <v>1546</v>
      </c>
      <c r="J698" s="307" t="s">
        <v>214</v>
      </c>
      <c r="K698" s="127" t="s">
        <v>2052</v>
      </c>
      <c r="L698" s="151" t="s">
        <v>1483</v>
      </c>
      <c r="M698">
        <v>193</v>
      </c>
      <c r="N698" s="123"/>
      <c r="O698">
        <v>430</v>
      </c>
      <c r="P698" s="132" t="s">
        <v>77</v>
      </c>
      <c r="Q698" s="131">
        <v>464.66</v>
      </c>
      <c r="R698" s="131">
        <v>74.349999999999994</v>
      </c>
      <c r="S698" s="131"/>
      <c r="T698" s="155"/>
      <c r="U698" s="131"/>
      <c r="V698" s="131">
        <f>+Table1[[#This Row],[SUBTOTAL]]+Table1[[#This Row],[IVA]]</f>
        <v>539.01</v>
      </c>
      <c r="W698">
        <v>39</v>
      </c>
      <c r="X698" s="151" t="s">
        <v>1644</v>
      </c>
      <c r="Y698" s="135" t="s">
        <v>55</v>
      </c>
      <c r="Z698" s="307">
        <v>193</v>
      </c>
      <c r="AB698" t="str">
        <f>IF(Table1[[#This Row],[TIPO2]]="costo", VLOOKUP(Table1[[#This Row],[PARTIDA PRESUPUESTAL]],'Cost Report'!G:G,1,0),"Balance")</f>
        <v>2794-003</v>
      </c>
      <c r="AC698" s="118"/>
      <c r="AD698" s="159">
        <f>+Table1[[#This Row],[SUBTOTAL]]+Table1[[#This Row],[IVA]]-Table1[[#This Row],[RET IVA]]-Table1[[#This Row],[RET ISR]]-Table1[[#This Row],[TOTAL]]</f>
        <v>0</v>
      </c>
      <c r="AE698" s="150"/>
      <c r="AF698" s="151"/>
      <c r="AG698" s="126" t="s">
        <v>3420</v>
      </c>
      <c r="AH698" s="115"/>
      <c r="AK698" s="306" t="str">
        <f>IF(ISNUMBER(Table1[[#This Row],[FECHA DE RECIBIDO]]), Table1[[#This Row],[FECHA DE RECIBIDO]]-DATE(2023,8,30), "")</f>
        <v/>
      </c>
    </row>
    <row r="699" spans="1:37" ht="15" customHeight="1">
      <c r="A699" s="152" t="s">
        <v>2087</v>
      </c>
      <c r="B699" s="153">
        <v>298</v>
      </c>
      <c r="C699" s="126" t="s">
        <v>2596</v>
      </c>
      <c r="D699">
        <v>423</v>
      </c>
      <c r="E699" s="126" t="s">
        <v>2008</v>
      </c>
      <c r="F699" s="125" t="s">
        <v>1607</v>
      </c>
      <c r="G699" s="125" t="s">
        <v>134</v>
      </c>
      <c r="H699">
        <v>100</v>
      </c>
      <c r="I699" s="125" t="s">
        <v>1546</v>
      </c>
      <c r="J699" s="308" t="s">
        <v>214</v>
      </c>
      <c r="K699" s="127" t="s">
        <v>2052</v>
      </c>
      <c r="L699" s="153" t="s">
        <v>1483</v>
      </c>
      <c r="M699">
        <v>135</v>
      </c>
      <c r="N699" s="123"/>
      <c r="O699">
        <v>431</v>
      </c>
      <c r="P699" s="132" t="s">
        <v>77</v>
      </c>
      <c r="Q699" s="132">
        <v>239.65</v>
      </c>
      <c r="R699" s="132">
        <v>38.35</v>
      </c>
      <c r="S699" s="132"/>
      <c r="T699" s="156"/>
      <c r="U699" s="132"/>
      <c r="V699" s="132">
        <f>+Table1[[#This Row],[SUBTOTAL]]+Table1[[#This Row],[IVA]]</f>
        <v>278</v>
      </c>
      <c r="W699">
        <v>39</v>
      </c>
      <c r="X699" s="153" t="s">
        <v>1644</v>
      </c>
      <c r="Y699" s="124" t="s">
        <v>55</v>
      </c>
      <c r="Z699" s="308">
        <v>193</v>
      </c>
      <c r="AB699" t="str">
        <f>IF(Table1[[#This Row],[TIPO2]]="costo", VLOOKUP(Table1[[#This Row],[PARTIDA PRESUPUESTAL]],'Cost Report'!G:G,1,0),"Balance")</f>
        <v>2794-003</v>
      </c>
      <c r="AC699" s="118"/>
      <c r="AD699" s="159">
        <f>+Table1[[#This Row],[SUBTOTAL]]+Table1[[#This Row],[IVA]]-Table1[[#This Row],[RET IVA]]-Table1[[#This Row],[RET ISR]]-Table1[[#This Row],[TOTAL]]</f>
        <v>0</v>
      </c>
      <c r="AE699" s="152"/>
      <c r="AF699" s="153"/>
      <c r="AG699" s="126" t="s">
        <v>3420</v>
      </c>
      <c r="AH699" s="115"/>
      <c r="AK699" s="306" t="str">
        <f>IF(ISNUMBER(Table1[[#This Row],[FECHA DE RECIBIDO]]), Table1[[#This Row],[FECHA DE RECIBIDO]]-DATE(2023,8,30), "")</f>
        <v/>
      </c>
    </row>
    <row r="700" spans="1:37" ht="15" customHeight="1">
      <c r="A700" s="150" t="s">
        <v>2088</v>
      </c>
      <c r="B700" s="151">
        <v>298</v>
      </c>
      <c r="C700" s="126" t="s">
        <v>2596</v>
      </c>
      <c r="D700">
        <v>424</v>
      </c>
      <c r="E700" s="126" t="s">
        <v>2008</v>
      </c>
      <c r="F700" s="122" t="s">
        <v>1607</v>
      </c>
      <c r="G700" s="122" t="s">
        <v>134</v>
      </c>
      <c r="H700">
        <v>100</v>
      </c>
      <c r="I700" s="122" t="s">
        <v>1546</v>
      </c>
      <c r="J700" s="307" t="s">
        <v>214</v>
      </c>
      <c r="K700" s="127" t="s">
        <v>2052</v>
      </c>
      <c r="L700" s="151" t="s">
        <v>1483</v>
      </c>
      <c r="M700">
        <v>135</v>
      </c>
      <c r="N700" s="123"/>
      <c r="O700">
        <v>432</v>
      </c>
      <c r="P700" s="132" t="s">
        <v>77</v>
      </c>
      <c r="Q700" s="131">
        <v>516.38</v>
      </c>
      <c r="R700" s="131">
        <v>82.62</v>
      </c>
      <c r="S700" s="131"/>
      <c r="T700" s="155"/>
      <c r="U700" s="131"/>
      <c r="V700" s="131">
        <f>+Table1[[#This Row],[SUBTOTAL]]+Table1[[#This Row],[IVA]]</f>
        <v>599</v>
      </c>
      <c r="W700">
        <v>39</v>
      </c>
      <c r="X700" s="151" t="s">
        <v>1644</v>
      </c>
      <c r="Y700" s="135" t="s">
        <v>55</v>
      </c>
      <c r="Z700" s="307">
        <v>193</v>
      </c>
      <c r="AB700" t="str">
        <f>IF(Table1[[#This Row],[TIPO2]]="costo", VLOOKUP(Table1[[#This Row],[PARTIDA PRESUPUESTAL]],'Cost Report'!G:G,1,0),"Balance")</f>
        <v>2794-003</v>
      </c>
      <c r="AC700" s="118"/>
      <c r="AD700" s="159">
        <f>+Table1[[#This Row],[SUBTOTAL]]+Table1[[#This Row],[IVA]]-Table1[[#This Row],[RET IVA]]-Table1[[#This Row],[RET ISR]]-Table1[[#This Row],[TOTAL]]</f>
        <v>0</v>
      </c>
      <c r="AE700" s="150"/>
      <c r="AF700" s="151"/>
      <c r="AG700" s="126" t="s">
        <v>3420</v>
      </c>
      <c r="AH700" s="115"/>
      <c r="AK700" s="306" t="str">
        <f>IF(ISNUMBER(Table1[[#This Row],[FECHA DE RECIBIDO]]), Table1[[#This Row],[FECHA DE RECIBIDO]]-DATE(2023,8,30), "")</f>
        <v/>
      </c>
    </row>
    <row r="701" spans="1:37" ht="15" customHeight="1">
      <c r="A701" s="152" t="s">
        <v>2089</v>
      </c>
      <c r="B701" s="153">
        <v>299</v>
      </c>
      <c r="C701" s="126" t="s">
        <v>2596</v>
      </c>
      <c r="D701">
        <v>425</v>
      </c>
      <c r="E701" s="126" t="s">
        <v>2009</v>
      </c>
      <c r="F701" s="125" t="s">
        <v>1607</v>
      </c>
      <c r="G701" s="125" t="s">
        <v>134</v>
      </c>
      <c r="H701">
        <v>101</v>
      </c>
      <c r="I701" s="125" t="s">
        <v>1546</v>
      </c>
      <c r="J701" s="308" t="s">
        <v>214</v>
      </c>
      <c r="K701" s="127" t="s">
        <v>2052</v>
      </c>
      <c r="L701" s="153" t="s">
        <v>1483</v>
      </c>
      <c r="M701">
        <v>195</v>
      </c>
      <c r="N701" s="123"/>
      <c r="O701">
        <v>433</v>
      </c>
      <c r="P701" s="132" t="s">
        <v>77</v>
      </c>
      <c r="Q701" s="132">
        <v>515.52</v>
      </c>
      <c r="R701" s="132">
        <v>82.48</v>
      </c>
      <c r="S701" s="132"/>
      <c r="T701" s="156"/>
      <c r="U701" s="132"/>
      <c r="V701" s="132">
        <v>598</v>
      </c>
      <c r="W701">
        <v>61</v>
      </c>
      <c r="X701" s="153" t="s">
        <v>1644</v>
      </c>
      <c r="Y701" s="124" t="s">
        <v>55</v>
      </c>
      <c r="Z701" s="308">
        <v>193</v>
      </c>
      <c r="AB701" t="str">
        <f>IF(Table1[[#This Row],[TIPO2]]="costo", VLOOKUP(Table1[[#This Row],[PARTIDA PRESUPUESTAL]],'Cost Report'!G:G,1,0),"Balance")</f>
        <v>2794-003</v>
      </c>
      <c r="AC701" s="118"/>
      <c r="AD701" s="159">
        <f>+Table1[[#This Row],[SUBTOTAL]]+Table1[[#This Row],[IVA]]-Table1[[#This Row],[RET IVA]]-Table1[[#This Row],[RET ISR]]-Table1[[#This Row],[TOTAL]]</f>
        <v>0</v>
      </c>
      <c r="AE701" s="152"/>
      <c r="AF701" s="153"/>
      <c r="AG701" s="126" t="s">
        <v>3420</v>
      </c>
      <c r="AH701" s="115"/>
      <c r="AK701" s="306" t="str">
        <f>IF(ISNUMBER(Table1[[#This Row],[FECHA DE RECIBIDO]]), Table1[[#This Row],[FECHA DE RECIBIDO]]-DATE(2023,8,30), "")</f>
        <v/>
      </c>
    </row>
    <row r="702" spans="1:37" ht="15" customHeight="1">
      <c r="A702" s="150" t="s">
        <v>2089</v>
      </c>
      <c r="B702" s="151">
        <v>299</v>
      </c>
      <c r="C702" s="126" t="s">
        <v>2596</v>
      </c>
      <c r="D702">
        <v>426</v>
      </c>
      <c r="E702" s="126" t="s">
        <v>2082</v>
      </c>
      <c r="F702" s="122" t="s">
        <v>1607</v>
      </c>
      <c r="G702" s="122" t="s">
        <v>134</v>
      </c>
      <c r="H702">
        <v>97</v>
      </c>
      <c r="I702" s="122" t="s">
        <v>1546</v>
      </c>
      <c r="J702" s="307" t="s">
        <v>214</v>
      </c>
      <c r="K702" s="127" t="s">
        <v>2052</v>
      </c>
      <c r="L702" s="151" t="s">
        <v>1483</v>
      </c>
      <c r="M702">
        <v>193</v>
      </c>
      <c r="N702" s="123"/>
      <c r="O702">
        <v>434</v>
      </c>
      <c r="P702" s="132" t="s">
        <v>77</v>
      </c>
      <c r="Q702" s="131">
        <v>214.66</v>
      </c>
      <c r="R702" s="131">
        <v>34.340000000000003</v>
      </c>
      <c r="S702" s="131"/>
      <c r="T702" s="155"/>
      <c r="U702" s="131"/>
      <c r="V702" s="131">
        <v>249</v>
      </c>
      <c r="W702">
        <v>61</v>
      </c>
      <c r="X702" s="151" t="s">
        <v>1644</v>
      </c>
      <c r="Y702" s="135" t="s">
        <v>55</v>
      </c>
      <c r="Z702" s="307">
        <v>193</v>
      </c>
      <c r="AB702" t="str">
        <f>IF(Table1[[#This Row],[TIPO2]]="costo", VLOOKUP(Table1[[#This Row],[PARTIDA PRESUPUESTAL]],'Cost Report'!G:G,1,0),"Balance")</f>
        <v>2794-003</v>
      </c>
      <c r="AC702" s="118"/>
      <c r="AD702" s="159">
        <f>+Table1[[#This Row],[SUBTOTAL]]+Table1[[#This Row],[IVA]]-Table1[[#This Row],[RET IVA]]-Table1[[#This Row],[RET ISR]]-Table1[[#This Row],[TOTAL]]</f>
        <v>0</v>
      </c>
      <c r="AE702" s="150"/>
      <c r="AF702" s="151"/>
      <c r="AG702" s="126" t="s">
        <v>3420</v>
      </c>
      <c r="AH702" s="115"/>
      <c r="AK702" s="306" t="str">
        <f>IF(ISNUMBER(Table1[[#This Row],[FECHA DE RECIBIDO]]), Table1[[#This Row],[FECHA DE RECIBIDO]]-DATE(2023,8,30), "")</f>
        <v/>
      </c>
    </row>
    <row r="703" spans="1:37" ht="15" customHeight="1">
      <c r="A703" s="152" t="s">
        <v>2089</v>
      </c>
      <c r="B703" s="153">
        <v>299</v>
      </c>
      <c r="C703" s="126" t="s">
        <v>2596</v>
      </c>
      <c r="D703">
        <v>427</v>
      </c>
      <c r="E703" s="126" t="s">
        <v>2085</v>
      </c>
      <c r="F703" s="125" t="s">
        <v>1607</v>
      </c>
      <c r="G703" s="125" t="s">
        <v>134</v>
      </c>
      <c r="H703">
        <v>101</v>
      </c>
      <c r="I703" s="125" t="s">
        <v>1546</v>
      </c>
      <c r="J703" s="308" t="s">
        <v>214</v>
      </c>
      <c r="K703" s="127" t="s">
        <v>2052</v>
      </c>
      <c r="L703" s="153" t="s">
        <v>1483</v>
      </c>
      <c r="M703">
        <v>195</v>
      </c>
      <c r="N703" s="123"/>
      <c r="O703">
        <v>435</v>
      </c>
      <c r="P703" s="132" t="s">
        <v>77</v>
      </c>
      <c r="Q703" s="132">
        <v>11352.6</v>
      </c>
      <c r="R703" s="132">
        <v>1816.4160000000002</v>
      </c>
      <c r="S703" s="132"/>
      <c r="T703" s="156"/>
      <c r="U703" s="132"/>
      <c r="V703" s="132">
        <v>13169.016</v>
      </c>
      <c r="W703">
        <v>61</v>
      </c>
      <c r="X703" s="153" t="s">
        <v>1644</v>
      </c>
      <c r="Y703" s="124" t="s">
        <v>55</v>
      </c>
      <c r="Z703" s="308">
        <v>193</v>
      </c>
      <c r="AB703" t="str">
        <f>IF(Table1[[#This Row],[TIPO2]]="costo", VLOOKUP(Table1[[#This Row],[PARTIDA PRESUPUESTAL]],'Cost Report'!G:G,1,0),"Balance")</f>
        <v>2794-003</v>
      </c>
      <c r="AC703" s="118"/>
      <c r="AD703" s="159">
        <f>+Table1[[#This Row],[SUBTOTAL]]+Table1[[#This Row],[IVA]]-Table1[[#This Row],[RET IVA]]-Table1[[#This Row],[RET ISR]]-Table1[[#This Row],[TOTAL]]</f>
        <v>0</v>
      </c>
      <c r="AE703" s="152"/>
      <c r="AF703" s="153"/>
      <c r="AG703" s="126" t="s">
        <v>3420</v>
      </c>
      <c r="AH703" s="115"/>
      <c r="AK703" s="306" t="str">
        <f>IF(ISNUMBER(Table1[[#This Row],[FECHA DE RECIBIDO]]), Table1[[#This Row],[FECHA DE RECIBIDO]]-DATE(2023,8,30), "")</f>
        <v/>
      </c>
    </row>
    <row r="704" spans="1:37" ht="15" customHeight="1">
      <c r="A704" s="150" t="s">
        <v>2089</v>
      </c>
      <c r="B704" s="151">
        <v>299</v>
      </c>
      <c r="C704" s="126" t="s">
        <v>2596</v>
      </c>
      <c r="D704">
        <v>428</v>
      </c>
      <c r="E704" s="126" t="s">
        <v>2008</v>
      </c>
      <c r="F704" s="122" t="s">
        <v>1607</v>
      </c>
      <c r="G704" s="122" t="s">
        <v>134</v>
      </c>
      <c r="H704">
        <v>100</v>
      </c>
      <c r="I704" s="122" t="s">
        <v>1546</v>
      </c>
      <c r="J704" s="307" t="s">
        <v>214</v>
      </c>
      <c r="K704" s="127" t="s">
        <v>2052</v>
      </c>
      <c r="L704" s="151" t="s">
        <v>1483</v>
      </c>
      <c r="M704">
        <v>196</v>
      </c>
      <c r="N704" s="123"/>
      <c r="O704">
        <v>436</v>
      </c>
      <c r="P704" s="132" t="s">
        <v>77</v>
      </c>
      <c r="Q704" s="131">
        <v>1506.9</v>
      </c>
      <c r="R704" s="131">
        <v>241.10400000000001</v>
      </c>
      <c r="S704" s="131"/>
      <c r="T704" s="155"/>
      <c r="U704" s="131"/>
      <c r="V704" s="131">
        <v>1748.0040000000001</v>
      </c>
      <c r="W704">
        <v>61</v>
      </c>
      <c r="X704" s="151" t="s">
        <v>1644</v>
      </c>
      <c r="Y704" s="135" t="s">
        <v>55</v>
      </c>
      <c r="Z704" s="307">
        <v>193</v>
      </c>
      <c r="AB704" t="str">
        <f>IF(Table1[[#This Row],[TIPO2]]="costo", VLOOKUP(Table1[[#This Row],[PARTIDA PRESUPUESTAL]],'Cost Report'!G:G,1,0),"Balance")</f>
        <v>2794-003</v>
      </c>
      <c r="AC704" s="118"/>
      <c r="AD704" s="159">
        <f>+Table1[[#This Row],[SUBTOTAL]]+Table1[[#This Row],[IVA]]-Table1[[#This Row],[RET IVA]]-Table1[[#This Row],[RET ISR]]-Table1[[#This Row],[TOTAL]]</f>
        <v>0</v>
      </c>
      <c r="AE704" s="150"/>
      <c r="AF704" s="151"/>
      <c r="AG704" s="126" t="s">
        <v>3420</v>
      </c>
      <c r="AH704" s="115"/>
      <c r="AK704" s="306" t="str">
        <f>IF(ISNUMBER(Table1[[#This Row],[FECHA DE RECIBIDO]]), Table1[[#This Row],[FECHA DE RECIBIDO]]-DATE(2023,8,30), "")</f>
        <v/>
      </c>
    </row>
    <row r="705" spans="1:37" ht="15" customHeight="1">
      <c r="A705" s="152" t="s">
        <v>2089</v>
      </c>
      <c r="B705" s="153">
        <v>299</v>
      </c>
      <c r="C705" s="126" t="s">
        <v>2596</v>
      </c>
      <c r="D705">
        <v>429</v>
      </c>
      <c r="E705" s="126" t="s">
        <v>2090</v>
      </c>
      <c r="F705" s="125" t="s">
        <v>1607</v>
      </c>
      <c r="G705" s="125" t="s">
        <v>134</v>
      </c>
      <c r="H705">
        <v>148</v>
      </c>
      <c r="I705" s="125" t="s">
        <v>1546</v>
      </c>
      <c r="J705" s="308" t="s">
        <v>214</v>
      </c>
      <c r="K705" s="127" t="s">
        <v>2052</v>
      </c>
      <c r="L705" s="153" t="s">
        <v>1483</v>
      </c>
      <c r="M705">
        <v>197</v>
      </c>
      <c r="N705" s="123"/>
      <c r="O705">
        <v>437</v>
      </c>
      <c r="P705" s="132" t="s">
        <v>77</v>
      </c>
      <c r="Q705" s="132">
        <v>2171.7199999999998</v>
      </c>
      <c r="R705" s="132">
        <v>347.47519999999997</v>
      </c>
      <c r="S705" s="132"/>
      <c r="T705" s="156"/>
      <c r="U705" s="132"/>
      <c r="V705" s="132">
        <v>2519.1951999999997</v>
      </c>
      <c r="W705">
        <v>61</v>
      </c>
      <c r="X705" s="153" t="s">
        <v>1644</v>
      </c>
      <c r="Y705" s="124" t="s">
        <v>55</v>
      </c>
      <c r="Z705" s="308">
        <v>193</v>
      </c>
      <c r="AB705" t="str">
        <f>IF(Table1[[#This Row],[TIPO2]]="costo", VLOOKUP(Table1[[#This Row],[PARTIDA PRESUPUESTAL]],'Cost Report'!G:G,1,0),"Balance")</f>
        <v>2794-003</v>
      </c>
      <c r="AC705" s="118"/>
      <c r="AD705" s="159">
        <f>+Table1[[#This Row],[SUBTOTAL]]+Table1[[#This Row],[IVA]]-Table1[[#This Row],[RET IVA]]-Table1[[#This Row],[RET ISR]]-Table1[[#This Row],[TOTAL]]</f>
        <v>0</v>
      </c>
      <c r="AE705" s="152"/>
      <c r="AF705" s="153"/>
      <c r="AG705" s="126" t="s">
        <v>3420</v>
      </c>
      <c r="AH705" s="115"/>
      <c r="AK705" s="306" t="str">
        <f>IF(ISNUMBER(Table1[[#This Row],[FECHA DE RECIBIDO]]), Table1[[#This Row],[FECHA DE RECIBIDO]]-DATE(2023,8,30), "")</f>
        <v/>
      </c>
    </row>
    <row r="706" spans="1:37" ht="15" customHeight="1">
      <c r="A706" s="150" t="s">
        <v>2089</v>
      </c>
      <c r="B706" s="151">
        <v>299</v>
      </c>
      <c r="C706" s="126" t="s">
        <v>2596</v>
      </c>
      <c r="D706">
        <v>430</v>
      </c>
      <c r="E706" s="126" t="s">
        <v>2082</v>
      </c>
      <c r="F706" s="122" t="s">
        <v>1607</v>
      </c>
      <c r="G706" s="122" t="s">
        <v>134</v>
      </c>
      <c r="H706">
        <v>97</v>
      </c>
      <c r="I706" s="122" t="s">
        <v>1546</v>
      </c>
      <c r="J706" s="307" t="s">
        <v>214</v>
      </c>
      <c r="K706" s="127" t="s">
        <v>2052</v>
      </c>
      <c r="L706" s="151" t="s">
        <v>1483</v>
      </c>
      <c r="M706">
        <v>193</v>
      </c>
      <c r="N706" s="123"/>
      <c r="O706">
        <v>438</v>
      </c>
      <c r="P706" s="132" t="s">
        <v>77</v>
      </c>
      <c r="Q706" s="131">
        <v>1273.27</v>
      </c>
      <c r="R706" s="131">
        <v>203.72319999999999</v>
      </c>
      <c r="S706" s="131"/>
      <c r="T706" s="155"/>
      <c r="U706" s="131"/>
      <c r="V706" s="131">
        <v>1476.9931999999999</v>
      </c>
      <c r="W706">
        <v>61</v>
      </c>
      <c r="X706" s="151" t="s">
        <v>1644</v>
      </c>
      <c r="Y706" s="135" t="s">
        <v>55</v>
      </c>
      <c r="Z706" s="307">
        <v>193</v>
      </c>
      <c r="AB706" t="str">
        <f>IF(Table1[[#This Row],[TIPO2]]="costo", VLOOKUP(Table1[[#This Row],[PARTIDA PRESUPUESTAL]],'Cost Report'!G:G,1,0),"Balance")</f>
        <v>2794-003</v>
      </c>
      <c r="AC706" s="118"/>
      <c r="AD706" s="159">
        <f>+Table1[[#This Row],[SUBTOTAL]]+Table1[[#This Row],[IVA]]-Table1[[#This Row],[RET IVA]]-Table1[[#This Row],[RET ISR]]-Table1[[#This Row],[TOTAL]]</f>
        <v>0</v>
      </c>
      <c r="AE706" s="150"/>
      <c r="AF706" s="151"/>
      <c r="AG706" s="126" t="s">
        <v>3420</v>
      </c>
      <c r="AH706" s="115"/>
      <c r="AK706" s="306" t="str">
        <f>IF(ISNUMBER(Table1[[#This Row],[FECHA DE RECIBIDO]]), Table1[[#This Row],[FECHA DE RECIBIDO]]-DATE(2023,8,30), "")</f>
        <v/>
      </c>
    </row>
    <row r="707" spans="1:37" ht="15" customHeight="1">
      <c r="A707" s="152" t="s">
        <v>2089</v>
      </c>
      <c r="B707" s="153">
        <v>299</v>
      </c>
      <c r="C707" s="126" t="s">
        <v>2596</v>
      </c>
      <c r="D707">
        <v>431</v>
      </c>
      <c r="E707" s="126" t="s">
        <v>1615</v>
      </c>
      <c r="F707" s="125" t="s">
        <v>1607</v>
      </c>
      <c r="G707" s="125" t="s">
        <v>134</v>
      </c>
      <c r="H707">
        <v>97</v>
      </c>
      <c r="I707" s="125" t="s">
        <v>1546</v>
      </c>
      <c r="J707" s="308" t="s">
        <v>214</v>
      </c>
      <c r="K707" s="127" t="s">
        <v>2052</v>
      </c>
      <c r="L707" s="153" t="s">
        <v>1483</v>
      </c>
      <c r="M707">
        <v>193</v>
      </c>
      <c r="N707" s="123"/>
      <c r="O707">
        <v>439</v>
      </c>
      <c r="P707" s="132" t="s">
        <v>77</v>
      </c>
      <c r="Q707" s="132">
        <v>283.62</v>
      </c>
      <c r="R707" s="132">
        <v>45.379200000000004</v>
      </c>
      <c r="S707" s="132"/>
      <c r="T707" s="156"/>
      <c r="U707" s="132"/>
      <c r="V707" s="132">
        <v>328.99920000000003</v>
      </c>
      <c r="W707">
        <v>61</v>
      </c>
      <c r="X707" s="153" t="s">
        <v>1644</v>
      </c>
      <c r="Y707" s="124" t="s">
        <v>55</v>
      </c>
      <c r="Z707" s="308">
        <v>190</v>
      </c>
      <c r="AB707" t="str">
        <f>IF(Table1[[#This Row],[TIPO2]]="costo", VLOOKUP(Table1[[#This Row],[PARTIDA PRESUPUESTAL]],'Cost Report'!G:G,1,0),"Balance")</f>
        <v>2794-003</v>
      </c>
      <c r="AC707" s="118"/>
      <c r="AD707" s="159">
        <f>+Table1[[#This Row],[SUBTOTAL]]+Table1[[#This Row],[IVA]]-Table1[[#This Row],[RET IVA]]-Table1[[#This Row],[RET ISR]]-Table1[[#This Row],[TOTAL]]</f>
        <v>0</v>
      </c>
      <c r="AE707" s="152"/>
      <c r="AF707" s="153"/>
      <c r="AG707" s="126" t="s">
        <v>3420</v>
      </c>
      <c r="AH707" s="115"/>
      <c r="AK707" s="306" t="str">
        <f>IF(ISNUMBER(Table1[[#This Row],[FECHA DE RECIBIDO]]), Table1[[#This Row],[FECHA DE RECIBIDO]]-DATE(2023,8,30), "")</f>
        <v/>
      </c>
    </row>
    <row r="708" spans="1:37" ht="15" customHeight="1">
      <c r="A708" s="150" t="s">
        <v>2089</v>
      </c>
      <c r="B708" s="151">
        <v>299</v>
      </c>
      <c r="C708" s="126" t="s">
        <v>2596</v>
      </c>
      <c r="D708">
        <v>432</v>
      </c>
      <c r="E708" s="126" t="s">
        <v>2091</v>
      </c>
      <c r="F708" s="122" t="s">
        <v>1589</v>
      </c>
      <c r="G708" s="122" t="s">
        <v>129</v>
      </c>
      <c r="H708">
        <v>149</v>
      </c>
      <c r="I708" s="122" t="s">
        <v>1546</v>
      </c>
      <c r="J708" s="307" t="s">
        <v>214</v>
      </c>
      <c r="K708" s="127" t="s">
        <v>2052</v>
      </c>
      <c r="L708" s="151" t="s">
        <v>1483</v>
      </c>
      <c r="M708">
        <v>198</v>
      </c>
      <c r="N708" s="123"/>
      <c r="O708">
        <v>440</v>
      </c>
      <c r="P708" s="132" t="s">
        <v>77</v>
      </c>
      <c r="Q708" s="131">
        <v>1405</v>
      </c>
      <c r="R708" s="131">
        <v>224.8</v>
      </c>
      <c r="S708" s="131"/>
      <c r="T708" s="155"/>
      <c r="U708" s="131"/>
      <c r="V708" s="131">
        <v>1629.8</v>
      </c>
      <c r="W708">
        <v>61</v>
      </c>
      <c r="X708" s="151" t="s">
        <v>1644</v>
      </c>
      <c r="Y708" s="135" t="s">
        <v>55</v>
      </c>
      <c r="Z708" s="307">
        <v>193</v>
      </c>
      <c r="AB708" t="str">
        <f>IF(Table1[[#This Row],[TIPO2]]="costo", VLOOKUP(Table1[[#This Row],[PARTIDA PRESUPUESTAL]],'Cost Report'!G:G,1,0),"Balance")</f>
        <v>2794-003</v>
      </c>
      <c r="AC708" s="118"/>
      <c r="AD708" s="159">
        <f>+Table1[[#This Row],[SUBTOTAL]]+Table1[[#This Row],[IVA]]-Table1[[#This Row],[RET IVA]]-Table1[[#This Row],[RET ISR]]-Table1[[#This Row],[TOTAL]]</f>
        <v>0</v>
      </c>
      <c r="AE708" s="150"/>
      <c r="AF708" s="151"/>
      <c r="AG708" s="126" t="s">
        <v>3420</v>
      </c>
      <c r="AH708" s="115"/>
      <c r="AK708" s="306" t="str">
        <f>IF(ISNUMBER(Table1[[#This Row],[FECHA DE RECIBIDO]]), Table1[[#This Row],[FECHA DE RECIBIDO]]-DATE(2023,8,30), "")</f>
        <v/>
      </c>
    </row>
    <row r="709" spans="1:37" ht="15" customHeight="1">
      <c r="A709" s="152" t="s">
        <v>2089</v>
      </c>
      <c r="B709" s="153">
        <v>299</v>
      </c>
      <c r="C709" s="126" t="s">
        <v>2596</v>
      </c>
      <c r="D709">
        <v>433</v>
      </c>
      <c r="E709" s="126" t="s">
        <v>2005</v>
      </c>
      <c r="F709" s="125" t="s">
        <v>1607</v>
      </c>
      <c r="G709" s="125" t="s">
        <v>134</v>
      </c>
      <c r="H709">
        <v>150</v>
      </c>
      <c r="I709" s="125" t="s">
        <v>1546</v>
      </c>
      <c r="J709" s="308" t="s">
        <v>214</v>
      </c>
      <c r="K709" s="127" t="s">
        <v>2052</v>
      </c>
      <c r="L709" s="153" t="s">
        <v>1483</v>
      </c>
      <c r="M709">
        <v>199</v>
      </c>
      <c r="N709" s="123"/>
      <c r="O709">
        <v>441</v>
      </c>
      <c r="P709" s="132" t="s">
        <v>77</v>
      </c>
      <c r="Q709" s="132">
        <v>343.97</v>
      </c>
      <c r="R709" s="132">
        <v>55.035200000000003</v>
      </c>
      <c r="S709" s="132"/>
      <c r="T709" s="156"/>
      <c r="U709" s="132"/>
      <c r="V709" s="132">
        <v>399.00520000000006</v>
      </c>
      <c r="W709">
        <v>61</v>
      </c>
      <c r="X709" s="153" t="s">
        <v>1644</v>
      </c>
      <c r="Y709" s="124" t="s">
        <v>55</v>
      </c>
      <c r="Z709" s="308">
        <v>194</v>
      </c>
      <c r="AB709" t="str">
        <f>IF(Table1[[#This Row],[TIPO2]]="costo", VLOOKUP(Table1[[#This Row],[PARTIDA PRESUPUESTAL]],'Cost Report'!G:G,1,0),"Balance")</f>
        <v>2794-003</v>
      </c>
      <c r="AC709" s="118"/>
      <c r="AD709" s="159">
        <f>+Table1[[#This Row],[SUBTOTAL]]+Table1[[#This Row],[IVA]]-Table1[[#This Row],[RET IVA]]-Table1[[#This Row],[RET ISR]]-Table1[[#This Row],[TOTAL]]</f>
        <v>0</v>
      </c>
      <c r="AE709" s="152"/>
      <c r="AF709" s="153"/>
      <c r="AG709" s="126" t="s">
        <v>3420</v>
      </c>
      <c r="AH709" s="115"/>
      <c r="AK709" s="306" t="str">
        <f>IF(ISNUMBER(Table1[[#This Row],[FECHA DE RECIBIDO]]), Table1[[#This Row],[FECHA DE RECIBIDO]]-DATE(2023,8,30), "")</f>
        <v/>
      </c>
    </row>
    <row r="710" spans="1:37" ht="15" customHeight="1">
      <c r="A710" s="150" t="s">
        <v>2089</v>
      </c>
      <c r="B710" s="151">
        <v>299</v>
      </c>
      <c r="C710" s="126" t="s">
        <v>2596</v>
      </c>
      <c r="D710">
        <v>434</v>
      </c>
      <c r="E710" s="126" t="s">
        <v>2008</v>
      </c>
      <c r="F710" s="122" t="s">
        <v>1607</v>
      </c>
      <c r="G710" s="122" t="s">
        <v>134</v>
      </c>
      <c r="H710">
        <v>100</v>
      </c>
      <c r="I710" s="122" t="s">
        <v>1546</v>
      </c>
      <c r="J710" s="307" t="s">
        <v>214</v>
      </c>
      <c r="K710" s="127" t="s">
        <v>2052</v>
      </c>
      <c r="L710" s="151" t="s">
        <v>1483</v>
      </c>
      <c r="M710">
        <v>200</v>
      </c>
      <c r="N710" s="123"/>
      <c r="O710">
        <v>442</v>
      </c>
      <c r="P710" s="132" t="s">
        <v>77</v>
      </c>
      <c r="Q710" s="131">
        <v>839.66</v>
      </c>
      <c r="R710" s="131">
        <v>134.34</v>
      </c>
      <c r="S710" s="131"/>
      <c r="T710" s="155"/>
      <c r="U710" s="131"/>
      <c r="V710" s="131">
        <v>974</v>
      </c>
      <c r="W710">
        <v>61</v>
      </c>
      <c r="X710" s="151" t="s">
        <v>1644</v>
      </c>
      <c r="Y710" s="135" t="s">
        <v>55</v>
      </c>
      <c r="Z710" s="307">
        <v>308</v>
      </c>
      <c r="AB710" t="str">
        <f>IF(Table1[[#This Row],[TIPO2]]="costo", VLOOKUP(Table1[[#This Row],[PARTIDA PRESUPUESTAL]],'Cost Report'!G:G,1,0),"Balance")</f>
        <v>2794-003</v>
      </c>
      <c r="AC710" s="118"/>
      <c r="AD710" s="159">
        <f>+Table1[[#This Row],[SUBTOTAL]]+Table1[[#This Row],[IVA]]-Table1[[#This Row],[RET IVA]]-Table1[[#This Row],[RET ISR]]-Table1[[#This Row],[TOTAL]]</f>
        <v>0</v>
      </c>
      <c r="AE710" s="150"/>
      <c r="AF710" s="151"/>
      <c r="AG710" s="126" t="s">
        <v>3420</v>
      </c>
      <c r="AH710" s="115"/>
      <c r="AK710" s="306" t="str">
        <f>IF(ISNUMBER(Table1[[#This Row],[FECHA DE RECIBIDO]]), Table1[[#This Row],[FECHA DE RECIBIDO]]-DATE(2023,8,30), "")</f>
        <v/>
      </c>
    </row>
    <row r="711" spans="1:37" ht="15" customHeight="1">
      <c r="A711" s="152" t="s">
        <v>2089</v>
      </c>
      <c r="B711" s="153">
        <v>299</v>
      </c>
      <c r="C711" s="126" t="s">
        <v>2596</v>
      </c>
      <c r="D711">
        <v>435</v>
      </c>
      <c r="E711" s="126" t="s">
        <v>2002</v>
      </c>
      <c r="F711" s="125" t="s">
        <v>1593</v>
      </c>
      <c r="G711" s="125" t="s">
        <v>109</v>
      </c>
      <c r="H711">
        <v>151</v>
      </c>
      <c r="I711" s="125" t="s">
        <v>1546</v>
      </c>
      <c r="J711" s="308" t="s">
        <v>214</v>
      </c>
      <c r="K711" s="127" t="s">
        <v>2052</v>
      </c>
      <c r="L711" s="153" t="s">
        <v>1483</v>
      </c>
      <c r="M711">
        <v>201</v>
      </c>
      <c r="N711" s="123"/>
      <c r="O711">
        <v>443</v>
      </c>
      <c r="P711" s="132" t="s">
        <v>77</v>
      </c>
      <c r="Q711" s="132">
        <v>507</v>
      </c>
      <c r="R711" s="132">
        <v>81.12</v>
      </c>
      <c r="S711" s="132"/>
      <c r="T711" s="156"/>
      <c r="U711" s="132"/>
      <c r="V711" s="132">
        <v>588.12</v>
      </c>
      <c r="W711">
        <v>61</v>
      </c>
      <c r="X711" s="153" t="s">
        <v>1644</v>
      </c>
      <c r="Y711" s="124" t="s">
        <v>55</v>
      </c>
      <c r="Z711" s="308" t="s">
        <v>214</v>
      </c>
      <c r="AB711" t="str">
        <f>IF(Table1[[#This Row],[TIPO2]]="costo", VLOOKUP(Table1[[#This Row],[PARTIDA PRESUPUESTAL]],'Cost Report'!G:G,1,0),"Balance")</f>
        <v>2794-003</v>
      </c>
      <c r="AC711" s="118"/>
      <c r="AD711" s="159">
        <f>+Table1[[#This Row],[SUBTOTAL]]+Table1[[#This Row],[IVA]]-Table1[[#This Row],[RET IVA]]-Table1[[#This Row],[RET ISR]]-Table1[[#This Row],[TOTAL]]</f>
        <v>0</v>
      </c>
      <c r="AE711" s="152"/>
      <c r="AF711" s="153"/>
      <c r="AG711" s="126" t="s">
        <v>3420</v>
      </c>
      <c r="AH711" s="115"/>
      <c r="AK711" s="306" t="str">
        <f>IF(ISNUMBER(Table1[[#This Row],[FECHA DE RECIBIDO]]), Table1[[#This Row],[FECHA DE RECIBIDO]]-DATE(2023,8,30), "")</f>
        <v/>
      </c>
    </row>
    <row r="712" spans="1:37" ht="15" customHeight="1">
      <c r="A712" s="150" t="s">
        <v>2092</v>
      </c>
      <c r="B712" s="151">
        <v>300</v>
      </c>
      <c r="C712" s="126" t="s">
        <v>2596</v>
      </c>
      <c r="D712">
        <v>436</v>
      </c>
      <c r="E712" s="126" t="s">
        <v>2005</v>
      </c>
      <c r="F712" s="122" t="s">
        <v>1607</v>
      </c>
      <c r="G712" s="122" t="s">
        <v>134</v>
      </c>
      <c r="H712">
        <v>152</v>
      </c>
      <c r="I712" s="122" t="s">
        <v>1546</v>
      </c>
      <c r="J712" s="307" t="s">
        <v>214</v>
      </c>
      <c r="K712" s="127" t="s">
        <v>2052</v>
      </c>
      <c r="L712" s="151" t="s">
        <v>1483</v>
      </c>
      <c r="M712">
        <v>202</v>
      </c>
      <c r="N712" s="123"/>
      <c r="O712">
        <v>444</v>
      </c>
      <c r="P712" s="132" t="s">
        <v>77</v>
      </c>
      <c r="Q712" s="131">
        <v>1378.45</v>
      </c>
      <c r="R712" s="131">
        <v>220.55</v>
      </c>
      <c r="S712" s="131"/>
      <c r="T712" s="155"/>
      <c r="U712" s="131"/>
      <c r="V712" s="131">
        <v>1599</v>
      </c>
      <c r="W712">
        <v>62</v>
      </c>
      <c r="X712" s="151" t="s">
        <v>1644</v>
      </c>
      <c r="Y712" s="135" t="s">
        <v>55</v>
      </c>
      <c r="Z712" s="307">
        <v>183</v>
      </c>
      <c r="AB712" t="str">
        <f>IF(Table1[[#This Row],[TIPO2]]="costo", VLOOKUP(Table1[[#This Row],[PARTIDA PRESUPUESTAL]],'Cost Report'!G:G,1,0),"Balance")</f>
        <v>2794-003</v>
      </c>
      <c r="AC712" s="118"/>
      <c r="AD712" s="159">
        <f>+Table1[[#This Row],[SUBTOTAL]]+Table1[[#This Row],[IVA]]-Table1[[#This Row],[RET IVA]]-Table1[[#This Row],[RET ISR]]-Table1[[#This Row],[TOTAL]]</f>
        <v>0</v>
      </c>
      <c r="AE712" s="150"/>
      <c r="AF712" s="151"/>
      <c r="AG712" s="126" t="s">
        <v>3420</v>
      </c>
      <c r="AH712" s="115"/>
      <c r="AK712" s="306" t="str">
        <f>IF(ISNUMBER(Table1[[#This Row],[FECHA DE RECIBIDO]]), Table1[[#This Row],[FECHA DE RECIBIDO]]-DATE(2023,8,30), "")</f>
        <v/>
      </c>
    </row>
    <row r="713" spans="1:37" ht="15" customHeight="1">
      <c r="A713" s="152" t="s">
        <v>2092</v>
      </c>
      <c r="B713" s="153">
        <v>300</v>
      </c>
      <c r="C713" s="126" t="s">
        <v>2596</v>
      </c>
      <c r="D713">
        <v>437</v>
      </c>
      <c r="E713" s="126" t="s">
        <v>2004</v>
      </c>
      <c r="F713" s="125" t="s">
        <v>1607</v>
      </c>
      <c r="G713" s="125" t="s">
        <v>134</v>
      </c>
      <c r="H713">
        <v>96</v>
      </c>
      <c r="I713" s="125" t="s">
        <v>1546</v>
      </c>
      <c r="J713" s="308" t="s">
        <v>214</v>
      </c>
      <c r="K713" s="127" t="s">
        <v>2052</v>
      </c>
      <c r="L713" s="153" t="s">
        <v>1483</v>
      </c>
      <c r="M713">
        <v>203</v>
      </c>
      <c r="N713" s="123"/>
      <c r="O713">
        <v>445</v>
      </c>
      <c r="P713" s="132" t="s">
        <v>77</v>
      </c>
      <c r="Q713" s="132">
        <v>781.46</v>
      </c>
      <c r="R713" s="132">
        <v>125.03</v>
      </c>
      <c r="S713" s="132"/>
      <c r="T713" s="156"/>
      <c r="U713" s="132"/>
      <c r="V713" s="132">
        <v>906.49</v>
      </c>
      <c r="W713">
        <v>62</v>
      </c>
      <c r="X713" s="153" t="s">
        <v>1644</v>
      </c>
      <c r="Y713" s="124" t="s">
        <v>55</v>
      </c>
      <c r="Z713" s="308">
        <v>183</v>
      </c>
      <c r="AB713" t="str">
        <f>IF(Table1[[#This Row],[TIPO2]]="costo", VLOOKUP(Table1[[#This Row],[PARTIDA PRESUPUESTAL]],'Cost Report'!G:G,1,0),"Balance")</f>
        <v>2794-003</v>
      </c>
      <c r="AC713" s="118"/>
      <c r="AD713" s="159">
        <f>+Table1[[#This Row],[SUBTOTAL]]+Table1[[#This Row],[IVA]]-Table1[[#This Row],[RET IVA]]-Table1[[#This Row],[RET ISR]]-Table1[[#This Row],[TOTAL]]</f>
        <v>0</v>
      </c>
      <c r="AE713" s="152"/>
      <c r="AF713" s="153"/>
      <c r="AG713" s="126" t="s">
        <v>3420</v>
      </c>
      <c r="AH713" s="115"/>
      <c r="AK713" s="306" t="str">
        <f>IF(ISNUMBER(Table1[[#This Row],[FECHA DE RECIBIDO]]), Table1[[#This Row],[FECHA DE RECIBIDO]]-DATE(2023,8,30), "")</f>
        <v/>
      </c>
    </row>
    <row r="714" spans="1:37" ht="15" customHeight="1">
      <c r="A714" s="150" t="s">
        <v>2092</v>
      </c>
      <c r="B714" s="151">
        <v>300</v>
      </c>
      <c r="C714" s="126" t="s">
        <v>2596</v>
      </c>
      <c r="D714">
        <v>438</v>
      </c>
      <c r="E714" s="126" t="s">
        <v>2008</v>
      </c>
      <c r="F714" s="122" t="s">
        <v>1607</v>
      </c>
      <c r="G714" s="122" t="s">
        <v>134</v>
      </c>
      <c r="H714">
        <v>102</v>
      </c>
      <c r="I714" s="122" t="s">
        <v>1546</v>
      </c>
      <c r="J714" s="307" t="s">
        <v>214</v>
      </c>
      <c r="K714" s="127" t="s">
        <v>2052</v>
      </c>
      <c r="L714" s="151" t="s">
        <v>1483</v>
      </c>
      <c r="M714">
        <v>137</v>
      </c>
      <c r="N714" s="123"/>
      <c r="O714">
        <v>434</v>
      </c>
      <c r="P714" s="132" t="s">
        <v>77</v>
      </c>
      <c r="Q714" s="131">
        <v>601.73</v>
      </c>
      <c r="R714" s="131">
        <v>96.27</v>
      </c>
      <c r="S714" s="131"/>
      <c r="T714" s="155"/>
      <c r="U714" s="131"/>
      <c r="V714" s="131">
        <v>698</v>
      </c>
      <c r="W714">
        <v>62</v>
      </c>
      <c r="X714" s="151" t="s">
        <v>1644</v>
      </c>
      <c r="Y714" s="135" t="s">
        <v>55</v>
      </c>
      <c r="Z714" s="307">
        <v>191</v>
      </c>
      <c r="AB714" t="str">
        <f>IF(Table1[[#This Row],[TIPO2]]="costo", VLOOKUP(Table1[[#This Row],[PARTIDA PRESUPUESTAL]],'Cost Report'!G:G,1,0),"Balance")</f>
        <v>2794-003</v>
      </c>
      <c r="AC714" s="118"/>
      <c r="AD714" s="159">
        <f>+Table1[[#This Row],[SUBTOTAL]]+Table1[[#This Row],[IVA]]-Table1[[#This Row],[RET IVA]]-Table1[[#This Row],[RET ISR]]-Table1[[#This Row],[TOTAL]]</f>
        <v>0</v>
      </c>
      <c r="AE714" s="150"/>
      <c r="AF714" s="151"/>
      <c r="AG714" s="126" t="s">
        <v>3420</v>
      </c>
      <c r="AH714" s="115"/>
      <c r="AK714" s="306" t="str">
        <f>IF(ISNUMBER(Table1[[#This Row],[FECHA DE RECIBIDO]]), Table1[[#This Row],[FECHA DE RECIBIDO]]-DATE(2023,8,30), "")</f>
        <v/>
      </c>
    </row>
    <row r="715" spans="1:37" ht="15" customHeight="1">
      <c r="A715" s="152" t="s">
        <v>2092</v>
      </c>
      <c r="B715" s="153">
        <v>300</v>
      </c>
      <c r="C715" s="126" t="s">
        <v>2596</v>
      </c>
      <c r="D715">
        <v>439</v>
      </c>
      <c r="E715" s="126" t="s">
        <v>2005</v>
      </c>
      <c r="F715" s="125" t="s">
        <v>1607</v>
      </c>
      <c r="G715" s="125" t="s">
        <v>134</v>
      </c>
      <c r="H715">
        <v>152</v>
      </c>
      <c r="I715" s="125" t="s">
        <v>1546</v>
      </c>
      <c r="J715" s="308" t="s">
        <v>214</v>
      </c>
      <c r="K715" s="127" t="s">
        <v>2052</v>
      </c>
      <c r="L715" s="153" t="s">
        <v>1483</v>
      </c>
      <c r="M715">
        <v>202</v>
      </c>
      <c r="N715" s="123"/>
      <c r="O715">
        <v>446</v>
      </c>
      <c r="P715" s="132" t="s">
        <v>77</v>
      </c>
      <c r="Q715" s="132">
        <v>4470.87</v>
      </c>
      <c r="R715" s="132">
        <v>715.34</v>
      </c>
      <c r="S715" s="132"/>
      <c r="T715" s="156"/>
      <c r="U715" s="132"/>
      <c r="V715" s="132">
        <v>5186.21</v>
      </c>
      <c r="W715">
        <v>62</v>
      </c>
      <c r="X715" s="153" t="s">
        <v>1644</v>
      </c>
      <c r="Y715" s="124" t="s">
        <v>55</v>
      </c>
      <c r="Z715" s="308">
        <v>184</v>
      </c>
      <c r="AB715" t="str">
        <f>IF(Table1[[#This Row],[TIPO2]]="costo", VLOOKUP(Table1[[#This Row],[PARTIDA PRESUPUESTAL]],'Cost Report'!G:G,1,0),"Balance")</f>
        <v>2794-003</v>
      </c>
      <c r="AC715" s="118"/>
      <c r="AD715" s="159">
        <f>+Table1[[#This Row],[SUBTOTAL]]+Table1[[#This Row],[IVA]]-Table1[[#This Row],[RET IVA]]-Table1[[#This Row],[RET ISR]]-Table1[[#This Row],[TOTAL]]</f>
        <v>0</v>
      </c>
      <c r="AE715" s="152"/>
      <c r="AF715" s="153"/>
      <c r="AG715" s="126" t="s">
        <v>3420</v>
      </c>
      <c r="AH715" s="115"/>
      <c r="AK715" s="306" t="str">
        <f>IF(ISNUMBER(Table1[[#This Row],[FECHA DE RECIBIDO]]), Table1[[#This Row],[FECHA DE RECIBIDO]]-DATE(2023,8,30), "")</f>
        <v/>
      </c>
    </row>
    <row r="716" spans="1:37" ht="15" customHeight="1">
      <c r="A716" s="152" t="s">
        <v>2092</v>
      </c>
      <c r="B716" s="153">
        <v>300</v>
      </c>
      <c r="C716" s="126" t="s">
        <v>2596</v>
      </c>
      <c r="D716">
        <v>440</v>
      </c>
      <c r="E716" s="126" t="s">
        <v>2008</v>
      </c>
      <c r="F716" s="125" t="s">
        <v>1607</v>
      </c>
      <c r="G716" s="125" t="s">
        <v>134</v>
      </c>
      <c r="H716">
        <v>100</v>
      </c>
      <c r="I716" s="125" t="s">
        <v>1546</v>
      </c>
      <c r="J716" s="308" t="s">
        <v>214</v>
      </c>
      <c r="K716" s="127" t="s">
        <v>2052</v>
      </c>
      <c r="L716" s="153" t="s">
        <v>1483</v>
      </c>
      <c r="M716">
        <v>135</v>
      </c>
      <c r="N716" s="123"/>
      <c r="O716">
        <v>434</v>
      </c>
      <c r="P716" s="132" t="s">
        <v>77</v>
      </c>
      <c r="Q716" s="132">
        <v>3539.66</v>
      </c>
      <c r="R716" s="132">
        <v>586.34</v>
      </c>
      <c r="S716" s="132"/>
      <c r="T716" s="156"/>
      <c r="U716" s="132"/>
      <c r="V716" s="132">
        <v>4126</v>
      </c>
      <c r="W716">
        <v>62</v>
      </c>
      <c r="X716" s="153" t="s">
        <v>1644</v>
      </c>
      <c r="Y716" s="124" t="s">
        <v>55</v>
      </c>
      <c r="Z716" s="308">
        <v>195</v>
      </c>
      <c r="AB716" t="str">
        <f>IF(Table1[[#This Row],[TIPO2]]="costo", VLOOKUP(Table1[[#This Row],[PARTIDA PRESUPUESTAL]],'Cost Report'!G:G,1,0),"Balance")</f>
        <v>2794-003</v>
      </c>
      <c r="AC716" s="118"/>
      <c r="AD716" s="159">
        <f>+Table1[[#This Row],[SUBTOTAL]]+Table1[[#This Row],[IVA]]-Table1[[#This Row],[RET IVA]]-Table1[[#This Row],[RET ISR]]-Table1[[#This Row],[TOTAL]]</f>
        <v>0</v>
      </c>
      <c r="AE716" s="152"/>
      <c r="AF716" s="153"/>
      <c r="AG716" s="126" t="s">
        <v>3420</v>
      </c>
      <c r="AH716" s="115"/>
      <c r="AK716" s="306" t="str">
        <f>IF(ISNUMBER(Table1[[#This Row],[FECHA DE RECIBIDO]]), Table1[[#This Row],[FECHA DE RECIBIDO]]-DATE(2023,8,30), "")</f>
        <v/>
      </c>
    </row>
    <row r="717" spans="1:37" ht="15" customHeight="1">
      <c r="A717" s="150" t="s">
        <v>2092</v>
      </c>
      <c r="B717" s="151">
        <v>300</v>
      </c>
      <c r="C717" s="126" t="s">
        <v>2596</v>
      </c>
      <c r="D717">
        <v>441</v>
      </c>
      <c r="E717" s="126" t="s">
        <v>2005</v>
      </c>
      <c r="F717" s="122" t="s">
        <v>1607</v>
      </c>
      <c r="G717" s="122" t="s">
        <v>134</v>
      </c>
      <c r="H717">
        <v>153</v>
      </c>
      <c r="I717" s="122" t="s">
        <v>1546</v>
      </c>
      <c r="J717" s="307" t="s">
        <v>214</v>
      </c>
      <c r="K717" s="127" t="s">
        <v>2052</v>
      </c>
      <c r="L717" s="151" t="s">
        <v>1483</v>
      </c>
      <c r="M717">
        <v>204</v>
      </c>
      <c r="N717" s="123"/>
      <c r="O717">
        <v>447</v>
      </c>
      <c r="P717" s="132" t="s">
        <v>77</v>
      </c>
      <c r="Q717" s="131">
        <v>360.35</v>
      </c>
      <c r="R717" s="131">
        <v>57.65</v>
      </c>
      <c r="S717" s="131"/>
      <c r="T717" s="155"/>
      <c r="U717" s="131"/>
      <c r="V717" s="131">
        <v>418</v>
      </c>
      <c r="W717">
        <v>62</v>
      </c>
      <c r="X717" s="151" t="s">
        <v>1644</v>
      </c>
      <c r="Y717" s="135" t="s">
        <v>55</v>
      </c>
      <c r="Z717" s="307">
        <v>195</v>
      </c>
      <c r="AB717" t="str">
        <f>IF(Table1[[#This Row],[TIPO2]]="costo", VLOOKUP(Table1[[#This Row],[PARTIDA PRESUPUESTAL]],'Cost Report'!G:G,1,0),"Balance")</f>
        <v>2794-003</v>
      </c>
      <c r="AC717" s="118"/>
      <c r="AD717" s="159">
        <f>+Table1[[#This Row],[SUBTOTAL]]+Table1[[#This Row],[IVA]]-Table1[[#This Row],[RET IVA]]-Table1[[#This Row],[RET ISR]]-Table1[[#This Row],[TOTAL]]</f>
        <v>0</v>
      </c>
      <c r="AE717" s="150"/>
      <c r="AF717" s="151"/>
      <c r="AG717" s="126" t="s">
        <v>3420</v>
      </c>
      <c r="AH717" s="115"/>
      <c r="AK717" s="306" t="str">
        <f>IF(ISNUMBER(Table1[[#This Row],[FECHA DE RECIBIDO]]), Table1[[#This Row],[FECHA DE RECIBIDO]]-DATE(2023,8,30), "")</f>
        <v/>
      </c>
    </row>
    <row r="718" spans="1:37" ht="15" customHeight="1">
      <c r="A718" s="152" t="s">
        <v>2092</v>
      </c>
      <c r="B718" s="153">
        <v>300</v>
      </c>
      <c r="C718" s="126" t="s">
        <v>2596</v>
      </c>
      <c r="D718">
        <v>442</v>
      </c>
      <c r="E718" s="126" t="s">
        <v>2005</v>
      </c>
      <c r="F718" s="125" t="s">
        <v>1607</v>
      </c>
      <c r="G718" s="125" t="s">
        <v>134</v>
      </c>
      <c r="H718">
        <v>154</v>
      </c>
      <c r="I718" s="125" t="s">
        <v>1546</v>
      </c>
      <c r="J718" s="308" t="s">
        <v>214</v>
      </c>
      <c r="K718" s="127" t="s">
        <v>2052</v>
      </c>
      <c r="L718" s="153" t="s">
        <v>1483</v>
      </c>
      <c r="M718">
        <v>205</v>
      </c>
      <c r="N718" s="123"/>
      <c r="O718">
        <v>425</v>
      </c>
      <c r="P718" s="132" t="s">
        <v>77</v>
      </c>
      <c r="Q718" s="132">
        <v>3485.35</v>
      </c>
      <c r="R718" s="132">
        <v>557.66</v>
      </c>
      <c r="S718" s="132"/>
      <c r="T718" s="156"/>
      <c r="U718" s="132"/>
      <c r="V718" s="132">
        <v>4043.0099999999998</v>
      </c>
      <c r="W718">
        <v>62</v>
      </c>
      <c r="X718" s="153" t="s">
        <v>1644</v>
      </c>
      <c r="Y718" s="124" t="s">
        <v>55</v>
      </c>
      <c r="Z718" s="308">
        <v>184</v>
      </c>
      <c r="AB718" t="str">
        <f>IF(Table1[[#This Row],[TIPO2]]="costo", VLOOKUP(Table1[[#This Row],[PARTIDA PRESUPUESTAL]],'Cost Report'!G:G,1,0),"Balance")</f>
        <v>2794-003</v>
      </c>
      <c r="AC718" s="118"/>
      <c r="AD718" s="159">
        <f>+Table1[[#This Row],[SUBTOTAL]]+Table1[[#This Row],[IVA]]-Table1[[#This Row],[RET IVA]]-Table1[[#This Row],[RET ISR]]-Table1[[#This Row],[TOTAL]]</f>
        <v>0</v>
      </c>
      <c r="AE718" s="152"/>
      <c r="AF718" s="153"/>
      <c r="AG718" s="126" t="s">
        <v>3420</v>
      </c>
      <c r="AH718" s="115"/>
      <c r="AK718" s="306" t="str">
        <f>IF(ISNUMBER(Table1[[#This Row],[FECHA DE RECIBIDO]]), Table1[[#This Row],[FECHA DE RECIBIDO]]-DATE(2023,8,30), "")</f>
        <v/>
      </c>
    </row>
    <row r="719" spans="1:37" ht="15" customHeight="1">
      <c r="A719" s="150" t="s">
        <v>2092</v>
      </c>
      <c r="B719" s="151">
        <v>300</v>
      </c>
      <c r="C719" s="126" t="s">
        <v>2596</v>
      </c>
      <c r="D719">
        <v>443</v>
      </c>
      <c r="E719" s="126" t="s">
        <v>2008</v>
      </c>
      <c r="F719" s="122" t="s">
        <v>1607</v>
      </c>
      <c r="G719" s="122" t="s">
        <v>134</v>
      </c>
      <c r="H719">
        <v>100</v>
      </c>
      <c r="I719" s="122" t="s">
        <v>1546</v>
      </c>
      <c r="J719" s="307" t="s">
        <v>214</v>
      </c>
      <c r="K719" s="127" t="s">
        <v>2052</v>
      </c>
      <c r="L719" s="151" t="s">
        <v>1483</v>
      </c>
      <c r="M719">
        <v>135</v>
      </c>
      <c r="N719" s="123"/>
      <c r="O719">
        <v>448</v>
      </c>
      <c r="P719" s="132" t="s">
        <v>77</v>
      </c>
      <c r="Q719" s="131">
        <v>1375</v>
      </c>
      <c r="R719" s="131">
        <v>220</v>
      </c>
      <c r="S719" s="131"/>
      <c r="T719" s="155"/>
      <c r="U719" s="131"/>
      <c r="V719" s="131">
        <v>1595</v>
      </c>
      <c r="W719">
        <v>62</v>
      </c>
      <c r="X719" s="151" t="s">
        <v>1644</v>
      </c>
      <c r="Y719" s="135" t="s">
        <v>55</v>
      </c>
      <c r="Z719" s="307">
        <v>195</v>
      </c>
      <c r="AB719" t="str">
        <f>IF(Table1[[#This Row],[TIPO2]]="costo", VLOOKUP(Table1[[#This Row],[PARTIDA PRESUPUESTAL]],'Cost Report'!G:G,1,0),"Balance")</f>
        <v>2794-003</v>
      </c>
      <c r="AC719" s="118"/>
      <c r="AD719" s="159">
        <f>+Table1[[#This Row],[SUBTOTAL]]+Table1[[#This Row],[IVA]]-Table1[[#This Row],[RET IVA]]-Table1[[#This Row],[RET ISR]]-Table1[[#This Row],[TOTAL]]</f>
        <v>0</v>
      </c>
      <c r="AE719" s="150"/>
      <c r="AF719" s="151"/>
      <c r="AG719" s="126" t="s">
        <v>3420</v>
      </c>
      <c r="AH719" s="115"/>
      <c r="AK719" s="306" t="str">
        <f>IF(ISNUMBER(Table1[[#This Row],[FECHA DE RECIBIDO]]), Table1[[#This Row],[FECHA DE RECIBIDO]]-DATE(2023,8,30), "")</f>
        <v/>
      </c>
    </row>
    <row r="720" spans="1:37" ht="16.05" customHeight="1">
      <c r="A720" s="152" t="s">
        <v>2092</v>
      </c>
      <c r="B720" s="153">
        <v>300</v>
      </c>
      <c r="C720" s="126" t="s">
        <v>2596</v>
      </c>
      <c r="D720">
        <v>444</v>
      </c>
      <c r="E720" s="126" t="s">
        <v>2008</v>
      </c>
      <c r="F720" s="125" t="s">
        <v>1607</v>
      </c>
      <c r="G720" s="125" t="s">
        <v>134</v>
      </c>
      <c r="H720">
        <v>100</v>
      </c>
      <c r="I720" s="125" t="s">
        <v>1546</v>
      </c>
      <c r="J720" s="308" t="s">
        <v>214</v>
      </c>
      <c r="K720" s="127" t="s">
        <v>2052</v>
      </c>
      <c r="L720" s="153" t="s">
        <v>1483</v>
      </c>
      <c r="M720">
        <v>135</v>
      </c>
      <c r="N720" s="123"/>
      <c r="O720">
        <v>449</v>
      </c>
      <c r="P720" s="132" t="s">
        <v>77</v>
      </c>
      <c r="Q720" s="132">
        <v>430.17</v>
      </c>
      <c r="R720" s="132">
        <v>68.83</v>
      </c>
      <c r="S720" s="132"/>
      <c r="T720" s="156"/>
      <c r="U720" s="132"/>
      <c r="V720" s="132">
        <v>499</v>
      </c>
      <c r="W720">
        <v>62</v>
      </c>
      <c r="X720" s="153" t="s">
        <v>1644</v>
      </c>
      <c r="Y720" s="124" t="s">
        <v>55</v>
      </c>
      <c r="Z720" s="308">
        <v>195</v>
      </c>
      <c r="AB720" t="str">
        <f>IF(Table1[[#This Row],[TIPO2]]="costo", VLOOKUP(Table1[[#This Row],[PARTIDA PRESUPUESTAL]],'Cost Report'!G:G,1,0),"Balance")</f>
        <v>2794-003</v>
      </c>
      <c r="AC720" s="118"/>
      <c r="AD720" s="159">
        <f>+Table1[[#This Row],[SUBTOTAL]]+Table1[[#This Row],[IVA]]-Table1[[#This Row],[RET IVA]]-Table1[[#This Row],[RET ISR]]-Table1[[#This Row],[TOTAL]]</f>
        <v>0</v>
      </c>
      <c r="AE720" s="152"/>
      <c r="AF720" s="153"/>
      <c r="AG720" s="126" t="s">
        <v>3420</v>
      </c>
      <c r="AH720" s="115"/>
      <c r="AK720" s="306" t="str">
        <f>IF(ISNUMBER(Table1[[#This Row],[FECHA DE RECIBIDO]]), Table1[[#This Row],[FECHA DE RECIBIDO]]-DATE(2023,8,30), "")</f>
        <v/>
      </c>
    </row>
    <row r="721" spans="1:38">
      <c r="A721" s="150" t="s">
        <v>2092</v>
      </c>
      <c r="B721" s="151">
        <v>300</v>
      </c>
      <c r="C721" s="126" t="s">
        <v>2596</v>
      </c>
      <c r="D721">
        <v>445</v>
      </c>
      <c r="E721" s="126" t="s">
        <v>2008</v>
      </c>
      <c r="F721" s="122" t="s">
        <v>1607</v>
      </c>
      <c r="G721" s="122" t="s">
        <v>134</v>
      </c>
      <c r="H721">
        <v>100</v>
      </c>
      <c r="I721" s="122" t="s">
        <v>1546</v>
      </c>
      <c r="J721" s="307" t="s">
        <v>214</v>
      </c>
      <c r="K721" s="127" t="s">
        <v>2052</v>
      </c>
      <c r="L721" s="151" t="s">
        <v>1483</v>
      </c>
      <c r="M721">
        <v>135</v>
      </c>
      <c r="N721" s="123"/>
      <c r="O721">
        <v>450</v>
      </c>
      <c r="P721" s="132" t="s">
        <v>77</v>
      </c>
      <c r="Q721" s="131">
        <v>583.61</v>
      </c>
      <c r="R721" s="131">
        <v>93.39</v>
      </c>
      <c r="S721" s="131"/>
      <c r="T721" s="155"/>
      <c r="U721" s="131"/>
      <c r="V721" s="131">
        <v>677</v>
      </c>
      <c r="W721">
        <v>62</v>
      </c>
      <c r="X721" s="151" t="s">
        <v>1644</v>
      </c>
      <c r="Y721" s="135" t="s">
        <v>55</v>
      </c>
      <c r="Z721" s="307">
        <v>195</v>
      </c>
      <c r="AB721" t="str">
        <f>IF(Table1[[#This Row],[TIPO2]]="costo", VLOOKUP(Table1[[#This Row],[PARTIDA PRESUPUESTAL]],'Cost Report'!G:G,1,0),"Balance")</f>
        <v>2794-003</v>
      </c>
      <c r="AC721" s="118"/>
      <c r="AD721" s="159">
        <f>+Table1[[#This Row],[SUBTOTAL]]+Table1[[#This Row],[IVA]]-Table1[[#This Row],[RET IVA]]-Table1[[#This Row],[RET ISR]]-Table1[[#This Row],[TOTAL]]</f>
        <v>0</v>
      </c>
      <c r="AE721" s="150"/>
      <c r="AF721" s="151"/>
      <c r="AG721" s="126" t="s">
        <v>3420</v>
      </c>
      <c r="AH721" s="115"/>
      <c r="AK721" s="306" t="str">
        <f>IF(ISNUMBER(Table1[[#This Row],[FECHA DE RECIBIDO]]), Table1[[#This Row],[FECHA DE RECIBIDO]]-DATE(2023,8,30), "")</f>
        <v/>
      </c>
    </row>
    <row r="722" spans="1:38" ht="16.05" customHeight="1">
      <c r="A722" s="152" t="s">
        <v>2092</v>
      </c>
      <c r="B722" s="153">
        <v>300</v>
      </c>
      <c r="C722" s="126" t="s">
        <v>2596</v>
      </c>
      <c r="D722">
        <v>446</v>
      </c>
      <c r="E722" s="126" t="s">
        <v>2082</v>
      </c>
      <c r="F722" s="125" t="s">
        <v>1382</v>
      </c>
      <c r="G722" s="125" t="s">
        <v>134</v>
      </c>
      <c r="H722">
        <v>155</v>
      </c>
      <c r="I722" s="125" t="s">
        <v>1546</v>
      </c>
      <c r="J722" s="308" t="s">
        <v>214</v>
      </c>
      <c r="K722" s="127" t="s">
        <v>2052</v>
      </c>
      <c r="L722" s="153" t="s">
        <v>1483</v>
      </c>
      <c r="M722">
        <v>206</v>
      </c>
      <c r="N722" s="123"/>
      <c r="O722">
        <v>430</v>
      </c>
      <c r="P722" s="132" t="s">
        <v>77</v>
      </c>
      <c r="Q722" s="132">
        <v>274.14</v>
      </c>
      <c r="R722" s="132">
        <v>43.86</v>
      </c>
      <c r="S722" s="132"/>
      <c r="T722" s="156"/>
      <c r="U722" s="132"/>
      <c r="V722" s="132">
        <v>318</v>
      </c>
      <c r="W722">
        <v>62</v>
      </c>
      <c r="X722" s="153" t="s">
        <v>1644</v>
      </c>
      <c r="Y722" s="124" t="s">
        <v>55</v>
      </c>
      <c r="Z722" s="308">
        <v>195</v>
      </c>
      <c r="AB722" t="str">
        <f>IF(Table1[[#This Row],[TIPO2]]="costo", VLOOKUP(Table1[[#This Row],[PARTIDA PRESUPUESTAL]],'Cost Report'!G:G,1,0),"Balance")</f>
        <v>2794-003</v>
      </c>
      <c r="AC722" s="118"/>
      <c r="AD722" s="159">
        <f>+Table1[[#This Row],[SUBTOTAL]]+Table1[[#This Row],[IVA]]-Table1[[#This Row],[RET IVA]]-Table1[[#This Row],[RET ISR]]-Table1[[#This Row],[TOTAL]]</f>
        <v>0</v>
      </c>
      <c r="AE722" s="152"/>
      <c r="AF722" s="153"/>
      <c r="AG722" s="126" t="s">
        <v>3420</v>
      </c>
      <c r="AH722" s="115"/>
      <c r="AK722" s="306" t="str">
        <f>IF(ISNUMBER(Table1[[#This Row],[FECHA DE RECIBIDO]]), Table1[[#This Row],[FECHA DE RECIBIDO]]-DATE(2023,8,30), "")</f>
        <v/>
      </c>
    </row>
    <row r="723" spans="1:38" ht="16.05" customHeight="1">
      <c r="A723" s="150" t="s">
        <v>2092</v>
      </c>
      <c r="B723" s="151">
        <v>300</v>
      </c>
      <c r="C723" s="126" t="s">
        <v>2596</v>
      </c>
      <c r="D723">
        <v>447</v>
      </c>
      <c r="E723" s="126" t="s">
        <v>2005</v>
      </c>
      <c r="F723" s="122" t="s">
        <v>1607</v>
      </c>
      <c r="G723" s="122" t="s">
        <v>134</v>
      </c>
      <c r="H723">
        <v>156</v>
      </c>
      <c r="I723" s="122" t="s">
        <v>1546</v>
      </c>
      <c r="J723" s="307" t="s">
        <v>214</v>
      </c>
      <c r="K723" s="127" t="s">
        <v>2052</v>
      </c>
      <c r="L723" s="151" t="s">
        <v>1483</v>
      </c>
      <c r="M723">
        <v>207</v>
      </c>
      <c r="N723" s="123"/>
      <c r="O723">
        <v>451</v>
      </c>
      <c r="P723" s="132" t="s">
        <v>77</v>
      </c>
      <c r="Q723" s="131">
        <v>413.1</v>
      </c>
      <c r="R723" s="131">
        <v>66.099999999999994</v>
      </c>
      <c r="S723" s="131"/>
      <c r="T723" s="155"/>
      <c r="U723" s="131"/>
      <c r="V723" s="131">
        <v>479.20000000000005</v>
      </c>
      <c r="W723">
        <v>62</v>
      </c>
      <c r="X723" s="151" t="s">
        <v>1644</v>
      </c>
      <c r="Y723" s="135" t="s">
        <v>55</v>
      </c>
      <c r="Z723" s="307">
        <v>195</v>
      </c>
      <c r="AB723" t="str">
        <f>IF(Table1[[#This Row],[TIPO2]]="costo", VLOOKUP(Table1[[#This Row],[PARTIDA PRESUPUESTAL]],'Cost Report'!G:G,1,0),"Balance")</f>
        <v>2794-003</v>
      </c>
      <c r="AC723" s="118"/>
      <c r="AD723" s="159">
        <f>+Table1[[#This Row],[SUBTOTAL]]+Table1[[#This Row],[IVA]]-Table1[[#This Row],[RET IVA]]-Table1[[#This Row],[RET ISR]]-Table1[[#This Row],[TOTAL]]</f>
        <v>0</v>
      </c>
      <c r="AE723" s="150"/>
      <c r="AF723" s="151"/>
      <c r="AG723" s="126" t="s">
        <v>3420</v>
      </c>
      <c r="AH723" s="115"/>
      <c r="AK723" s="306" t="str">
        <f>IF(ISNUMBER(Table1[[#This Row],[FECHA DE RECIBIDO]]), Table1[[#This Row],[FECHA DE RECIBIDO]]-DATE(2023,8,30), "")</f>
        <v/>
      </c>
    </row>
    <row r="724" spans="1:38" ht="16.05" customHeight="1">
      <c r="A724" s="152" t="s">
        <v>2092</v>
      </c>
      <c r="B724" s="153">
        <v>300</v>
      </c>
      <c r="C724" s="126" t="s">
        <v>2596</v>
      </c>
      <c r="D724">
        <v>448</v>
      </c>
      <c r="E724" s="126" t="s">
        <v>2005</v>
      </c>
      <c r="F724" s="125" t="s">
        <v>1607</v>
      </c>
      <c r="G724" s="125" t="s">
        <v>134</v>
      </c>
      <c r="H724">
        <v>156</v>
      </c>
      <c r="I724" s="125" t="s">
        <v>1546</v>
      </c>
      <c r="J724" s="308" t="s">
        <v>214</v>
      </c>
      <c r="K724" s="127" t="s">
        <v>2052</v>
      </c>
      <c r="L724" s="153" t="s">
        <v>1483</v>
      </c>
      <c r="M724">
        <v>207</v>
      </c>
      <c r="N724" s="123"/>
      <c r="O724">
        <v>452</v>
      </c>
      <c r="P724" s="132" t="s">
        <v>77</v>
      </c>
      <c r="Q724" s="132">
        <v>1292.24</v>
      </c>
      <c r="R724" s="132">
        <v>206.76</v>
      </c>
      <c r="S724" s="132"/>
      <c r="T724" s="156"/>
      <c r="U724" s="132"/>
      <c r="V724" s="132">
        <v>1499</v>
      </c>
      <c r="W724">
        <v>62</v>
      </c>
      <c r="X724" s="153" t="s">
        <v>1644</v>
      </c>
      <c r="Y724" s="124" t="s">
        <v>55</v>
      </c>
      <c r="Z724" s="308">
        <v>187</v>
      </c>
      <c r="AB724" t="str">
        <f>IF(Table1[[#This Row],[TIPO2]]="costo", VLOOKUP(Table1[[#This Row],[PARTIDA PRESUPUESTAL]],'Cost Report'!G:G,1,0),"Balance")</f>
        <v>2794-003</v>
      </c>
      <c r="AC724" s="118"/>
      <c r="AD724" s="159">
        <f>+Table1[[#This Row],[SUBTOTAL]]+Table1[[#This Row],[IVA]]-Table1[[#This Row],[RET IVA]]-Table1[[#This Row],[RET ISR]]-Table1[[#This Row],[TOTAL]]</f>
        <v>0</v>
      </c>
      <c r="AE724" s="152"/>
      <c r="AF724" s="153"/>
      <c r="AG724" s="126" t="s">
        <v>3420</v>
      </c>
      <c r="AH724" s="115"/>
      <c r="AK724" s="306" t="str">
        <f>IF(ISNUMBER(Table1[[#This Row],[FECHA DE RECIBIDO]]), Table1[[#This Row],[FECHA DE RECIBIDO]]-DATE(2023,8,30), "")</f>
        <v/>
      </c>
    </row>
    <row r="725" spans="1:38" ht="16.05" customHeight="1">
      <c r="A725" s="150" t="s">
        <v>2092</v>
      </c>
      <c r="B725" s="151">
        <v>300</v>
      </c>
      <c r="C725" s="126" t="s">
        <v>2596</v>
      </c>
      <c r="D725">
        <v>449</v>
      </c>
      <c r="E725" s="126" t="s">
        <v>2005</v>
      </c>
      <c r="F725" s="122" t="s">
        <v>1607</v>
      </c>
      <c r="G725" s="122" t="s">
        <v>134</v>
      </c>
      <c r="H725">
        <v>150</v>
      </c>
      <c r="I725" s="122" t="s">
        <v>1546</v>
      </c>
      <c r="J725" s="307" t="s">
        <v>214</v>
      </c>
      <c r="K725" s="127" t="s">
        <v>2052</v>
      </c>
      <c r="L725" s="151" t="s">
        <v>1483</v>
      </c>
      <c r="M725">
        <v>208</v>
      </c>
      <c r="N725" s="123"/>
      <c r="O725">
        <v>450</v>
      </c>
      <c r="P725" s="132" t="s">
        <v>77</v>
      </c>
      <c r="Q725" s="131">
        <v>693.96</v>
      </c>
      <c r="R725" s="131">
        <v>111.05</v>
      </c>
      <c r="S725" s="131"/>
      <c r="T725" s="155"/>
      <c r="U725" s="131"/>
      <c r="V725" s="131">
        <v>805.01</v>
      </c>
      <c r="W725">
        <v>62</v>
      </c>
      <c r="X725" s="151" t="s">
        <v>1644</v>
      </c>
      <c r="Y725" s="135" t="s">
        <v>55</v>
      </c>
      <c r="Z725" s="307">
        <v>195</v>
      </c>
      <c r="AB725" t="str">
        <f>IF(Table1[[#This Row],[TIPO2]]="costo", VLOOKUP(Table1[[#This Row],[PARTIDA PRESUPUESTAL]],'Cost Report'!G:G,1,0),"Balance")</f>
        <v>2794-003</v>
      </c>
      <c r="AC725" s="118"/>
      <c r="AD725" s="159">
        <f>+Table1[[#This Row],[SUBTOTAL]]+Table1[[#This Row],[IVA]]-Table1[[#This Row],[RET IVA]]-Table1[[#This Row],[RET ISR]]-Table1[[#This Row],[TOTAL]]</f>
        <v>0</v>
      </c>
      <c r="AE725" s="150"/>
      <c r="AF725" s="151"/>
      <c r="AG725" s="126" t="s">
        <v>3420</v>
      </c>
      <c r="AH725" s="115"/>
      <c r="AK725" s="306" t="str">
        <f>IF(ISNUMBER(Table1[[#This Row],[FECHA DE RECIBIDO]]), Table1[[#This Row],[FECHA DE RECIBIDO]]-DATE(2023,8,30), "")</f>
        <v/>
      </c>
    </row>
    <row r="726" spans="1:38" ht="16.05" customHeight="1">
      <c r="A726" s="152" t="s">
        <v>2092</v>
      </c>
      <c r="B726" s="153">
        <v>300</v>
      </c>
      <c r="C726" s="126" t="s">
        <v>2596</v>
      </c>
      <c r="D726">
        <v>450</v>
      </c>
      <c r="E726" s="126" t="s">
        <v>2005</v>
      </c>
      <c r="F726" s="125" t="s">
        <v>1607</v>
      </c>
      <c r="G726" s="125" t="s">
        <v>134</v>
      </c>
      <c r="H726">
        <v>150</v>
      </c>
      <c r="I726" s="125" t="s">
        <v>1546</v>
      </c>
      <c r="J726" s="308" t="s">
        <v>214</v>
      </c>
      <c r="K726" s="127" t="s">
        <v>2052</v>
      </c>
      <c r="L726" s="153" t="s">
        <v>1483</v>
      </c>
      <c r="M726">
        <v>208</v>
      </c>
      <c r="N726" s="123"/>
      <c r="O726">
        <v>450</v>
      </c>
      <c r="P726" s="132" t="s">
        <v>77</v>
      </c>
      <c r="Q726" s="132">
        <v>195.68</v>
      </c>
      <c r="R726" s="132">
        <v>31.32</v>
      </c>
      <c r="S726" s="132"/>
      <c r="T726" s="156"/>
      <c r="U726" s="132"/>
      <c r="V726" s="132">
        <v>227</v>
      </c>
      <c r="W726">
        <v>62</v>
      </c>
      <c r="X726" s="153" t="s">
        <v>1644</v>
      </c>
      <c r="Y726" s="124" t="s">
        <v>55</v>
      </c>
      <c r="Z726" s="308">
        <v>195</v>
      </c>
      <c r="AB726" t="str">
        <f>IF(Table1[[#This Row],[TIPO2]]="costo", VLOOKUP(Table1[[#This Row],[PARTIDA PRESUPUESTAL]],'Cost Report'!G:G,1,0),"Balance")</f>
        <v>2794-003</v>
      </c>
      <c r="AC726" s="118"/>
      <c r="AD726" s="159">
        <f>+Table1[[#This Row],[SUBTOTAL]]+Table1[[#This Row],[IVA]]-Table1[[#This Row],[RET IVA]]-Table1[[#This Row],[RET ISR]]-Table1[[#This Row],[TOTAL]]</f>
        <v>0</v>
      </c>
      <c r="AE726" s="152"/>
      <c r="AF726" s="153"/>
      <c r="AG726" s="126" t="s">
        <v>3420</v>
      </c>
      <c r="AH726" s="115"/>
      <c r="AK726" s="306" t="str">
        <f>IF(ISNUMBER(Table1[[#This Row],[FECHA DE RECIBIDO]]), Table1[[#This Row],[FECHA DE RECIBIDO]]-DATE(2023,8,30), "")</f>
        <v/>
      </c>
    </row>
    <row r="727" spans="1:38" ht="16.05" customHeight="1">
      <c r="A727" s="150" t="s">
        <v>2092</v>
      </c>
      <c r="B727" s="151">
        <v>300</v>
      </c>
      <c r="C727" s="126" t="s">
        <v>2596</v>
      </c>
      <c r="D727">
        <v>451</v>
      </c>
      <c r="E727" s="126" t="s">
        <v>2005</v>
      </c>
      <c r="F727" s="122" t="s">
        <v>1607</v>
      </c>
      <c r="G727" s="122" t="s">
        <v>134</v>
      </c>
      <c r="H727">
        <v>150</v>
      </c>
      <c r="I727" s="122" t="s">
        <v>1546</v>
      </c>
      <c r="J727" s="307" t="s">
        <v>214</v>
      </c>
      <c r="K727" s="127" t="s">
        <v>2052</v>
      </c>
      <c r="L727" s="151" t="s">
        <v>1483</v>
      </c>
      <c r="M727">
        <v>208</v>
      </c>
      <c r="N727" s="123"/>
      <c r="O727">
        <v>453</v>
      </c>
      <c r="P727" s="132" t="s">
        <v>77</v>
      </c>
      <c r="Q727" s="131">
        <v>300.86</v>
      </c>
      <c r="R727" s="131">
        <v>48.14</v>
      </c>
      <c r="S727" s="131"/>
      <c r="T727" s="155"/>
      <c r="U727" s="131"/>
      <c r="V727" s="131">
        <v>349</v>
      </c>
      <c r="W727">
        <v>62</v>
      </c>
      <c r="X727" s="151" t="s">
        <v>1644</v>
      </c>
      <c r="Y727" s="135" t="s">
        <v>55</v>
      </c>
      <c r="Z727" s="307">
        <v>195</v>
      </c>
      <c r="AB727" t="str">
        <f>IF(Table1[[#This Row],[TIPO2]]="costo", VLOOKUP(Table1[[#This Row],[PARTIDA PRESUPUESTAL]],'Cost Report'!G:G,1,0),"Balance")</f>
        <v>2794-003</v>
      </c>
      <c r="AC727" s="118"/>
      <c r="AD727" s="159">
        <f>+Table1[[#This Row],[SUBTOTAL]]+Table1[[#This Row],[IVA]]-Table1[[#This Row],[RET IVA]]-Table1[[#This Row],[RET ISR]]-Table1[[#This Row],[TOTAL]]</f>
        <v>0</v>
      </c>
      <c r="AE727" s="150"/>
      <c r="AF727" s="151"/>
      <c r="AG727" s="126" t="s">
        <v>3420</v>
      </c>
      <c r="AH727" s="115"/>
      <c r="AK727" s="306" t="str">
        <f>IF(ISNUMBER(Table1[[#This Row],[FECHA DE RECIBIDO]]), Table1[[#This Row],[FECHA DE RECIBIDO]]-DATE(2023,8,30), "")</f>
        <v/>
      </c>
    </row>
    <row r="728" spans="1:38" ht="16.05" customHeight="1">
      <c r="A728" s="152" t="s">
        <v>2092</v>
      </c>
      <c r="B728" s="153">
        <v>300</v>
      </c>
      <c r="C728" s="126" t="s">
        <v>2596</v>
      </c>
      <c r="D728">
        <v>452</v>
      </c>
      <c r="E728" s="126" t="s">
        <v>2005</v>
      </c>
      <c r="F728" s="125" t="s">
        <v>1607</v>
      </c>
      <c r="G728" s="125" t="s">
        <v>134</v>
      </c>
      <c r="H728">
        <v>150</v>
      </c>
      <c r="I728" s="125" t="s">
        <v>1546</v>
      </c>
      <c r="J728" s="308" t="s">
        <v>214</v>
      </c>
      <c r="K728" s="127" t="s">
        <v>2052</v>
      </c>
      <c r="L728" s="153" t="s">
        <v>1483</v>
      </c>
      <c r="M728">
        <v>208</v>
      </c>
      <c r="N728" s="123"/>
      <c r="O728">
        <v>454</v>
      </c>
      <c r="P728" s="132" t="s">
        <v>77</v>
      </c>
      <c r="Q728" s="132">
        <v>946.56</v>
      </c>
      <c r="R728" s="132">
        <v>151.44</v>
      </c>
      <c r="S728" s="132"/>
      <c r="T728" s="156"/>
      <c r="U728" s="132"/>
      <c r="V728" s="132">
        <v>1098</v>
      </c>
      <c r="W728">
        <v>62</v>
      </c>
      <c r="X728" s="153" t="s">
        <v>1644</v>
      </c>
      <c r="Y728" s="124" t="s">
        <v>55</v>
      </c>
      <c r="Z728" s="308">
        <v>195</v>
      </c>
      <c r="AB728" t="str">
        <f>IF(Table1[[#This Row],[TIPO2]]="costo", VLOOKUP(Table1[[#This Row],[PARTIDA PRESUPUESTAL]],'Cost Report'!G:G,1,0),"Balance")</f>
        <v>2794-003</v>
      </c>
      <c r="AC728" s="118"/>
      <c r="AD728" s="159">
        <f>+Table1[[#This Row],[SUBTOTAL]]+Table1[[#This Row],[IVA]]-Table1[[#This Row],[RET IVA]]-Table1[[#This Row],[RET ISR]]-Table1[[#This Row],[TOTAL]]</f>
        <v>0</v>
      </c>
      <c r="AE728" s="152"/>
      <c r="AF728" s="153"/>
      <c r="AG728" s="126" t="s">
        <v>3420</v>
      </c>
      <c r="AH728" s="115"/>
      <c r="AK728" s="306" t="str">
        <f>IF(ISNUMBER(Table1[[#This Row],[FECHA DE RECIBIDO]]), Table1[[#This Row],[FECHA DE RECIBIDO]]-DATE(2023,8,30), "")</f>
        <v/>
      </c>
    </row>
    <row r="729" spans="1:38" ht="16.05" customHeight="1">
      <c r="A729" s="150" t="s">
        <v>2092</v>
      </c>
      <c r="B729" s="151">
        <v>300</v>
      </c>
      <c r="C729" s="126" t="s">
        <v>2596</v>
      </c>
      <c r="D729">
        <v>453</v>
      </c>
      <c r="E729" s="126" t="s">
        <v>2005</v>
      </c>
      <c r="F729" s="122" t="s">
        <v>1607</v>
      </c>
      <c r="G729" s="122" t="s">
        <v>134</v>
      </c>
      <c r="H729">
        <v>156</v>
      </c>
      <c r="I729" s="122" t="s">
        <v>1546</v>
      </c>
      <c r="J729" s="307" t="s">
        <v>214</v>
      </c>
      <c r="K729" s="127" t="s">
        <v>2052</v>
      </c>
      <c r="L729" s="151" t="s">
        <v>1483</v>
      </c>
      <c r="M729">
        <v>207</v>
      </c>
      <c r="N729" s="123"/>
      <c r="O729">
        <v>455</v>
      </c>
      <c r="P729" s="132" t="s">
        <v>77</v>
      </c>
      <c r="Q729" s="131">
        <v>742.24</v>
      </c>
      <c r="R729" s="131">
        <v>118.75</v>
      </c>
      <c r="S729" s="131"/>
      <c r="T729" s="155"/>
      <c r="U729" s="131"/>
      <c r="V729" s="131">
        <v>860.99</v>
      </c>
      <c r="W729">
        <v>62</v>
      </c>
      <c r="X729" s="151" t="s">
        <v>1644</v>
      </c>
      <c r="Y729" s="135" t="s">
        <v>55</v>
      </c>
      <c r="Z729" s="307">
        <v>195</v>
      </c>
      <c r="AB729" t="str">
        <f>IF(Table1[[#This Row],[TIPO2]]="costo", VLOOKUP(Table1[[#This Row],[PARTIDA PRESUPUESTAL]],'Cost Report'!G:G,1,0),"Balance")</f>
        <v>2794-003</v>
      </c>
      <c r="AC729" s="118"/>
      <c r="AD729" s="159">
        <f>+Table1[[#This Row],[SUBTOTAL]]+Table1[[#This Row],[IVA]]-Table1[[#This Row],[RET IVA]]-Table1[[#This Row],[RET ISR]]-Table1[[#This Row],[TOTAL]]</f>
        <v>0</v>
      </c>
      <c r="AE729" s="150"/>
      <c r="AF729" s="151"/>
      <c r="AG729" s="126" t="s">
        <v>3420</v>
      </c>
      <c r="AH729" s="115"/>
      <c r="AK729" s="306" t="str">
        <f>IF(ISNUMBER(Table1[[#This Row],[FECHA DE RECIBIDO]]), Table1[[#This Row],[FECHA DE RECIBIDO]]-DATE(2023,8,30), "")</f>
        <v/>
      </c>
    </row>
    <row r="730" spans="1:38" ht="16.05" customHeight="1">
      <c r="A730" s="152" t="s">
        <v>2093</v>
      </c>
      <c r="B730" s="153">
        <v>301</v>
      </c>
      <c r="C730" s="126" t="s">
        <v>2596</v>
      </c>
      <c r="D730">
        <v>454</v>
      </c>
      <c r="E730" s="126" t="s">
        <v>2008</v>
      </c>
      <c r="F730" s="125" t="s">
        <v>1607</v>
      </c>
      <c r="G730" s="125" t="s">
        <v>134</v>
      </c>
      <c r="H730">
        <v>100</v>
      </c>
      <c r="I730" s="125" t="s">
        <v>1546</v>
      </c>
      <c r="J730" s="308" t="s">
        <v>214</v>
      </c>
      <c r="K730" s="127" t="s">
        <v>2052</v>
      </c>
      <c r="L730" s="153" t="s">
        <v>1483</v>
      </c>
      <c r="M730">
        <v>135</v>
      </c>
      <c r="N730" s="123"/>
      <c r="O730">
        <v>456</v>
      </c>
      <c r="P730" s="132" t="s">
        <v>77</v>
      </c>
      <c r="Q730" s="132">
        <v>4219.83</v>
      </c>
      <c r="R730" s="132">
        <v>675.17</v>
      </c>
      <c r="S730" s="132"/>
      <c r="T730" s="156"/>
      <c r="U730" s="132"/>
      <c r="V730" s="132">
        <v>4895</v>
      </c>
      <c r="W730">
        <v>61</v>
      </c>
      <c r="X730" s="153" t="s">
        <v>1644</v>
      </c>
      <c r="Y730" s="124" t="s">
        <v>55</v>
      </c>
      <c r="Z730" s="308">
        <v>199</v>
      </c>
      <c r="AB730" t="str">
        <f>IF(Table1[[#This Row],[TIPO2]]="costo", VLOOKUP(Table1[[#This Row],[PARTIDA PRESUPUESTAL]],'Cost Report'!G:G,1,0),"Balance")</f>
        <v>2794-003</v>
      </c>
      <c r="AC730" s="118"/>
      <c r="AD730" s="159">
        <f>+Table1[[#This Row],[SUBTOTAL]]+Table1[[#This Row],[IVA]]-Table1[[#This Row],[RET IVA]]-Table1[[#This Row],[RET ISR]]-Table1[[#This Row],[TOTAL]]</f>
        <v>0</v>
      </c>
      <c r="AE730" s="152"/>
      <c r="AF730" s="153"/>
      <c r="AG730" s="126" t="s">
        <v>3420</v>
      </c>
      <c r="AH730" s="115"/>
      <c r="AK730" s="306" t="str">
        <f>IF(ISNUMBER(Table1[[#This Row],[FECHA DE RECIBIDO]]), Table1[[#This Row],[FECHA DE RECIBIDO]]-DATE(2023,8,30), "")</f>
        <v/>
      </c>
    </row>
    <row r="731" spans="1:38" ht="16.05" customHeight="1">
      <c r="A731" s="150" t="s">
        <v>2093</v>
      </c>
      <c r="B731" s="151">
        <v>301</v>
      </c>
      <c r="C731" s="126" t="s">
        <v>2596</v>
      </c>
      <c r="D731">
        <v>455</v>
      </c>
      <c r="E731" s="126" t="s">
        <v>2008</v>
      </c>
      <c r="F731" s="122" t="s">
        <v>1607</v>
      </c>
      <c r="G731" s="122" t="s">
        <v>134</v>
      </c>
      <c r="H731">
        <v>100</v>
      </c>
      <c r="I731" s="122" t="s">
        <v>1546</v>
      </c>
      <c r="J731" s="307" t="s">
        <v>214</v>
      </c>
      <c r="K731" s="127" t="s">
        <v>2052</v>
      </c>
      <c r="L731" s="151" t="s">
        <v>1483</v>
      </c>
      <c r="M731">
        <v>135</v>
      </c>
      <c r="N731" s="123"/>
      <c r="O731">
        <v>427</v>
      </c>
      <c r="P731" s="132" t="s">
        <v>77</v>
      </c>
      <c r="Q731" s="131">
        <v>3854.32</v>
      </c>
      <c r="R731" s="131">
        <v>616.67999999999995</v>
      </c>
      <c r="S731" s="131"/>
      <c r="T731" s="155"/>
      <c r="U731" s="131"/>
      <c r="V731" s="131">
        <v>4471</v>
      </c>
      <c r="W731">
        <v>61</v>
      </c>
      <c r="X731" s="151" t="s">
        <v>1644</v>
      </c>
      <c r="Y731" s="135" t="s">
        <v>55</v>
      </c>
      <c r="Z731" s="307">
        <v>199</v>
      </c>
      <c r="AB731" t="str">
        <f>IF(Table1[[#This Row],[TIPO2]]="costo", VLOOKUP(Table1[[#This Row],[PARTIDA PRESUPUESTAL]],'Cost Report'!G:G,1,0),"Balance")</f>
        <v>2794-003</v>
      </c>
      <c r="AC731" s="118"/>
      <c r="AD731" s="159">
        <f>+Table1[[#This Row],[SUBTOTAL]]+Table1[[#This Row],[IVA]]-Table1[[#This Row],[RET IVA]]-Table1[[#This Row],[RET ISR]]-Table1[[#This Row],[TOTAL]]</f>
        <v>0</v>
      </c>
      <c r="AE731" s="150"/>
      <c r="AF731" s="151"/>
      <c r="AG731" s="126" t="s">
        <v>3420</v>
      </c>
      <c r="AH731" s="115"/>
      <c r="AI731" s="115"/>
      <c r="AK731" s="306" t="str">
        <f>IF(ISNUMBER(Table1[[#This Row],[FECHA DE RECIBIDO]]), Table1[[#This Row],[FECHA DE RECIBIDO]]-DATE(2023,8,30), "")</f>
        <v/>
      </c>
      <c r="AL731" s="115"/>
    </row>
    <row r="732" spans="1:38" ht="16.05" customHeight="1">
      <c r="A732" s="152" t="s">
        <v>2093</v>
      </c>
      <c r="B732" s="153">
        <v>301</v>
      </c>
      <c r="C732" s="126" t="s">
        <v>2596</v>
      </c>
      <c r="D732">
        <v>456</v>
      </c>
      <c r="E732" s="126" t="s">
        <v>2008</v>
      </c>
      <c r="F732" s="125" t="s">
        <v>1607</v>
      </c>
      <c r="G732" s="125" t="s">
        <v>134</v>
      </c>
      <c r="H732">
        <v>100</v>
      </c>
      <c r="I732" s="125" t="s">
        <v>1546</v>
      </c>
      <c r="J732" s="308" t="s">
        <v>214</v>
      </c>
      <c r="K732" s="127" t="s">
        <v>2052</v>
      </c>
      <c r="L732" s="153" t="s">
        <v>1483</v>
      </c>
      <c r="M732">
        <v>135</v>
      </c>
      <c r="N732" s="123"/>
      <c r="O732">
        <v>457</v>
      </c>
      <c r="P732" s="132" t="s">
        <v>77</v>
      </c>
      <c r="Q732" s="132">
        <v>2755.18</v>
      </c>
      <c r="R732" s="132">
        <v>440.82</v>
      </c>
      <c r="S732" s="132"/>
      <c r="T732" s="156"/>
      <c r="U732" s="132"/>
      <c r="V732" s="132">
        <v>3196</v>
      </c>
      <c r="W732">
        <v>61</v>
      </c>
      <c r="X732" s="153" t="s">
        <v>1644</v>
      </c>
      <c r="Y732" s="124" t="s">
        <v>55</v>
      </c>
      <c r="Z732" s="308">
        <v>199</v>
      </c>
      <c r="AB732" t="str">
        <f>IF(Table1[[#This Row],[TIPO2]]="costo", VLOOKUP(Table1[[#This Row],[PARTIDA PRESUPUESTAL]],'Cost Report'!G:G,1,0),"Balance")</f>
        <v>2794-003</v>
      </c>
      <c r="AC732" s="118"/>
      <c r="AD732" s="159">
        <f>+Table1[[#This Row],[SUBTOTAL]]+Table1[[#This Row],[IVA]]-Table1[[#This Row],[RET IVA]]-Table1[[#This Row],[RET ISR]]-Table1[[#This Row],[TOTAL]]</f>
        <v>0</v>
      </c>
      <c r="AE732" s="152"/>
      <c r="AF732" s="153"/>
      <c r="AG732" s="126" t="s">
        <v>3420</v>
      </c>
      <c r="AH732" s="115"/>
      <c r="AK732" s="306" t="str">
        <f>IF(ISNUMBER(Table1[[#This Row],[FECHA DE RECIBIDO]]), Table1[[#This Row],[FECHA DE RECIBIDO]]-DATE(2023,8,30), "")</f>
        <v/>
      </c>
    </row>
    <row r="733" spans="1:38" ht="16.05" customHeight="1">
      <c r="A733" s="150" t="s">
        <v>2093</v>
      </c>
      <c r="B733" s="151">
        <v>301</v>
      </c>
      <c r="C733" s="126" t="s">
        <v>2596</v>
      </c>
      <c r="D733">
        <v>457</v>
      </c>
      <c r="E733" s="126" t="s">
        <v>2005</v>
      </c>
      <c r="F733" s="122" t="s">
        <v>1607</v>
      </c>
      <c r="G733" s="122" t="s">
        <v>134</v>
      </c>
      <c r="H733">
        <v>97</v>
      </c>
      <c r="I733" s="122" t="s">
        <v>1546</v>
      </c>
      <c r="J733" s="307" t="s">
        <v>214</v>
      </c>
      <c r="K733" s="127" t="s">
        <v>2052</v>
      </c>
      <c r="L733" s="151" t="s">
        <v>1483</v>
      </c>
      <c r="M733">
        <v>209</v>
      </c>
      <c r="N733" s="123"/>
      <c r="O733">
        <v>458</v>
      </c>
      <c r="P733" s="132" t="s">
        <v>77</v>
      </c>
      <c r="Q733" s="131">
        <v>2090.52</v>
      </c>
      <c r="R733" s="131">
        <v>334.48</v>
      </c>
      <c r="S733" s="131"/>
      <c r="T733" s="155"/>
      <c r="U733" s="131"/>
      <c r="V733" s="131">
        <v>2425</v>
      </c>
      <c r="W733">
        <v>61</v>
      </c>
      <c r="X733" s="151" t="s">
        <v>1644</v>
      </c>
      <c r="Y733" s="135" t="s">
        <v>55</v>
      </c>
      <c r="Z733" s="307">
        <v>200</v>
      </c>
      <c r="AB733" t="str">
        <f>IF(Table1[[#This Row],[TIPO2]]="costo", VLOOKUP(Table1[[#This Row],[PARTIDA PRESUPUESTAL]],'Cost Report'!G:G,1,0),"Balance")</f>
        <v>2794-003</v>
      </c>
      <c r="AC733" s="118"/>
      <c r="AD733" s="159">
        <f>+Table1[[#This Row],[SUBTOTAL]]+Table1[[#This Row],[IVA]]-Table1[[#This Row],[RET IVA]]-Table1[[#This Row],[RET ISR]]-Table1[[#This Row],[TOTAL]]</f>
        <v>0</v>
      </c>
      <c r="AE733" s="150"/>
      <c r="AF733" s="151"/>
      <c r="AG733" s="126" t="s">
        <v>3420</v>
      </c>
      <c r="AH733" s="115"/>
      <c r="AK733" s="306" t="str">
        <f>IF(ISNUMBER(Table1[[#This Row],[FECHA DE RECIBIDO]]), Table1[[#This Row],[FECHA DE RECIBIDO]]-DATE(2023,8,30), "")</f>
        <v/>
      </c>
    </row>
    <row r="734" spans="1:38" ht="16.05" customHeight="1">
      <c r="A734" s="152" t="s">
        <v>2093</v>
      </c>
      <c r="B734" s="153">
        <v>301</v>
      </c>
      <c r="C734" s="126" t="s">
        <v>2596</v>
      </c>
      <c r="D734">
        <v>458</v>
      </c>
      <c r="E734" s="126" t="s">
        <v>2008</v>
      </c>
      <c r="F734" s="125" t="s">
        <v>1607</v>
      </c>
      <c r="G734" s="125" t="s">
        <v>134</v>
      </c>
      <c r="H734">
        <v>100</v>
      </c>
      <c r="I734" s="125" t="s">
        <v>1546</v>
      </c>
      <c r="J734" s="308" t="s">
        <v>214</v>
      </c>
      <c r="K734" s="127" t="s">
        <v>2052</v>
      </c>
      <c r="L734" s="153" t="s">
        <v>1483</v>
      </c>
      <c r="M734">
        <v>135</v>
      </c>
      <c r="N734" s="123"/>
      <c r="O734">
        <v>459</v>
      </c>
      <c r="P734" s="132" t="s">
        <v>77</v>
      </c>
      <c r="Q734" s="132">
        <v>2877.59</v>
      </c>
      <c r="R734" s="132">
        <v>460.41</v>
      </c>
      <c r="S734" s="132"/>
      <c r="T734" s="156"/>
      <c r="U734" s="132"/>
      <c r="V734" s="132">
        <v>3338</v>
      </c>
      <c r="W734">
        <v>61</v>
      </c>
      <c r="X734" s="153" t="s">
        <v>1644</v>
      </c>
      <c r="Y734" s="124" t="s">
        <v>55</v>
      </c>
      <c r="Z734" s="308">
        <v>194</v>
      </c>
      <c r="AB734" t="str">
        <f>IF(Table1[[#This Row],[TIPO2]]="costo", VLOOKUP(Table1[[#This Row],[PARTIDA PRESUPUESTAL]],'Cost Report'!G:G,1,0),"Balance")</f>
        <v>2794-003</v>
      </c>
      <c r="AC734" s="118"/>
      <c r="AD734" s="159">
        <f>+Table1[[#This Row],[SUBTOTAL]]+Table1[[#This Row],[IVA]]-Table1[[#This Row],[RET IVA]]-Table1[[#This Row],[RET ISR]]-Table1[[#This Row],[TOTAL]]</f>
        <v>0</v>
      </c>
      <c r="AE734" s="152"/>
      <c r="AF734" s="153"/>
      <c r="AG734" s="126" t="s">
        <v>3420</v>
      </c>
      <c r="AH734" s="115"/>
      <c r="AK734" s="306" t="str">
        <f>IF(ISNUMBER(Table1[[#This Row],[FECHA DE RECIBIDO]]), Table1[[#This Row],[FECHA DE RECIBIDO]]-DATE(2023,8,30), "")</f>
        <v/>
      </c>
    </row>
    <row r="735" spans="1:38" ht="16.05" customHeight="1">
      <c r="A735" s="152" t="s">
        <v>2093</v>
      </c>
      <c r="B735" s="153">
        <v>301</v>
      </c>
      <c r="C735" s="126" t="s">
        <v>2596</v>
      </c>
      <c r="D735">
        <v>459</v>
      </c>
      <c r="E735" s="126" t="s">
        <v>2008</v>
      </c>
      <c r="F735" s="125" t="s">
        <v>1607</v>
      </c>
      <c r="G735" s="125" t="s">
        <v>134</v>
      </c>
      <c r="H735">
        <v>100</v>
      </c>
      <c r="I735" s="125" t="s">
        <v>1546</v>
      </c>
      <c r="J735" s="308" t="s">
        <v>214</v>
      </c>
      <c r="K735" s="127" t="s">
        <v>2052</v>
      </c>
      <c r="L735" s="153" t="s">
        <v>1483</v>
      </c>
      <c r="M735">
        <v>135</v>
      </c>
      <c r="N735" s="123"/>
      <c r="O735">
        <v>427</v>
      </c>
      <c r="P735" s="132" t="s">
        <v>77</v>
      </c>
      <c r="Q735" s="132">
        <v>824.14</v>
      </c>
      <c r="R735" s="132">
        <v>131.86000000000001</v>
      </c>
      <c r="S735" s="132"/>
      <c r="T735" s="156"/>
      <c r="U735" s="132"/>
      <c r="V735" s="132">
        <v>956</v>
      </c>
      <c r="W735">
        <v>61</v>
      </c>
      <c r="X735" s="153" t="s">
        <v>1644</v>
      </c>
      <c r="Y735" s="124" t="s">
        <v>55</v>
      </c>
      <c r="Z735" s="308">
        <v>200</v>
      </c>
      <c r="AB735" t="str">
        <f>IF(Table1[[#This Row],[TIPO2]]="costo", VLOOKUP(Table1[[#This Row],[PARTIDA PRESUPUESTAL]],'Cost Report'!G:G,1,0),"Balance")</f>
        <v>2794-003</v>
      </c>
      <c r="AC735" s="118"/>
      <c r="AD735" s="159">
        <f>+Table1[[#This Row],[SUBTOTAL]]+Table1[[#This Row],[IVA]]-Table1[[#This Row],[RET IVA]]-Table1[[#This Row],[RET ISR]]-Table1[[#This Row],[TOTAL]]</f>
        <v>0</v>
      </c>
      <c r="AE735" s="152"/>
      <c r="AF735" s="153"/>
      <c r="AG735" s="126" t="s">
        <v>3420</v>
      </c>
      <c r="AH735" s="115"/>
      <c r="AK735" s="306" t="str">
        <f>IF(ISNUMBER(Table1[[#This Row],[FECHA DE RECIBIDO]]), Table1[[#This Row],[FECHA DE RECIBIDO]]-DATE(2023,8,30), "")</f>
        <v/>
      </c>
    </row>
    <row r="736" spans="1:38" ht="16.05" customHeight="1">
      <c r="A736" s="150" t="s">
        <v>2093</v>
      </c>
      <c r="B736" s="151">
        <v>301</v>
      </c>
      <c r="C736" s="126" t="s">
        <v>2596</v>
      </c>
      <c r="D736">
        <v>460</v>
      </c>
      <c r="E736" s="126" t="s">
        <v>2094</v>
      </c>
      <c r="F736" s="122" t="s">
        <v>1607</v>
      </c>
      <c r="G736" s="122" t="s">
        <v>134</v>
      </c>
      <c r="H736">
        <v>157</v>
      </c>
      <c r="I736" s="122" t="s">
        <v>1546</v>
      </c>
      <c r="J736" s="307" t="s">
        <v>214</v>
      </c>
      <c r="K736" s="127" t="s">
        <v>2052</v>
      </c>
      <c r="L736" s="151" t="s">
        <v>1483</v>
      </c>
      <c r="M736">
        <v>210</v>
      </c>
      <c r="N736" s="123"/>
      <c r="O736">
        <v>460</v>
      </c>
      <c r="P736" s="132" t="s">
        <v>77</v>
      </c>
      <c r="Q736" s="131">
        <v>6379.35</v>
      </c>
      <c r="R736" s="131">
        <v>1020.7</v>
      </c>
      <c r="S736" s="131"/>
      <c r="T736" s="155"/>
      <c r="U736" s="131"/>
      <c r="V736" s="131">
        <v>7400.05</v>
      </c>
      <c r="W736">
        <v>61</v>
      </c>
      <c r="X736" s="151" t="s">
        <v>1644</v>
      </c>
      <c r="Y736" s="135" t="s">
        <v>55</v>
      </c>
      <c r="Z736" s="307">
        <v>196</v>
      </c>
      <c r="AB736" t="str">
        <f>IF(Table1[[#This Row],[TIPO2]]="costo", VLOOKUP(Table1[[#This Row],[PARTIDA PRESUPUESTAL]],'Cost Report'!G:G,1,0),"Balance")</f>
        <v>2794-003</v>
      </c>
      <c r="AC736" s="118"/>
      <c r="AD736" s="159">
        <f>+Table1[[#This Row],[SUBTOTAL]]+Table1[[#This Row],[IVA]]-Table1[[#This Row],[RET IVA]]-Table1[[#This Row],[RET ISR]]-Table1[[#This Row],[TOTAL]]</f>
        <v>0</v>
      </c>
      <c r="AE736" s="150"/>
      <c r="AF736" s="151"/>
      <c r="AG736" s="126" t="s">
        <v>3420</v>
      </c>
      <c r="AH736" s="115"/>
      <c r="AK736" s="306" t="str">
        <f>IF(ISNUMBER(Table1[[#This Row],[FECHA DE RECIBIDO]]), Table1[[#This Row],[FECHA DE RECIBIDO]]-DATE(2023,8,30), "")</f>
        <v/>
      </c>
    </row>
    <row r="737" spans="1:37" ht="16.05" customHeight="1">
      <c r="A737" s="152" t="s">
        <v>2093</v>
      </c>
      <c r="B737" s="153">
        <v>301</v>
      </c>
      <c r="C737" s="126" t="s">
        <v>2596</v>
      </c>
      <c r="D737">
        <v>461</v>
      </c>
      <c r="E737" s="126" t="s">
        <v>2008</v>
      </c>
      <c r="F737" s="125" t="s">
        <v>1607</v>
      </c>
      <c r="G737" s="125" t="s">
        <v>134</v>
      </c>
      <c r="H737">
        <v>102</v>
      </c>
      <c r="I737" s="125" t="s">
        <v>1546</v>
      </c>
      <c r="J737" s="308" t="s">
        <v>214</v>
      </c>
      <c r="K737" s="127" t="s">
        <v>2052</v>
      </c>
      <c r="L737" s="153" t="s">
        <v>1483</v>
      </c>
      <c r="M737">
        <v>137</v>
      </c>
      <c r="N737" s="123"/>
      <c r="O737">
        <v>461</v>
      </c>
      <c r="P737" s="132" t="s">
        <v>77</v>
      </c>
      <c r="Q737" s="132">
        <v>6243.1</v>
      </c>
      <c r="R737" s="132">
        <v>998.9</v>
      </c>
      <c r="S737" s="132"/>
      <c r="T737" s="156"/>
      <c r="U737" s="132"/>
      <c r="V737" s="132">
        <v>7242</v>
      </c>
      <c r="W737">
        <v>61</v>
      </c>
      <c r="X737" s="153" t="s">
        <v>1644</v>
      </c>
      <c r="Y737" s="124" t="s">
        <v>55</v>
      </c>
      <c r="Z737" s="308">
        <v>199</v>
      </c>
      <c r="AB737" t="str">
        <f>IF(Table1[[#This Row],[TIPO2]]="costo", VLOOKUP(Table1[[#This Row],[PARTIDA PRESUPUESTAL]],'Cost Report'!G:G,1,0),"Balance")</f>
        <v>2794-003</v>
      </c>
      <c r="AC737" s="118"/>
      <c r="AD737" s="159">
        <f>+Table1[[#This Row],[SUBTOTAL]]+Table1[[#This Row],[IVA]]-Table1[[#This Row],[RET IVA]]-Table1[[#This Row],[RET ISR]]-Table1[[#This Row],[TOTAL]]</f>
        <v>0</v>
      </c>
      <c r="AE737" s="152"/>
      <c r="AF737" s="153"/>
      <c r="AG737" s="126" t="s">
        <v>3420</v>
      </c>
      <c r="AH737" s="115"/>
      <c r="AK737" s="306" t="str">
        <f>IF(ISNUMBER(Table1[[#This Row],[FECHA DE RECIBIDO]]), Table1[[#This Row],[FECHA DE RECIBIDO]]-DATE(2023,8,30), "")</f>
        <v/>
      </c>
    </row>
    <row r="738" spans="1:37" ht="16.05" customHeight="1">
      <c r="A738" s="150" t="s">
        <v>2093</v>
      </c>
      <c r="B738" s="151">
        <v>301</v>
      </c>
      <c r="C738" s="126" t="s">
        <v>2596</v>
      </c>
      <c r="D738">
        <v>462</v>
      </c>
      <c r="E738" s="126" t="s">
        <v>2008</v>
      </c>
      <c r="F738" s="122" t="s">
        <v>1607</v>
      </c>
      <c r="G738" s="122" t="s">
        <v>134</v>
      </c>
      <c r="H738">
        <v>102</v>
      </c>
      <c r="I738" s="122" t="s">
        <v>1546</v>
      </c>
      <c r="J738" s="307" t="s">
        <v>214</v>
      </c>
      <c r="K738" s="127" t="s">
        <v>2052</v>
      </c>
      <c r="L738" s="151" t="s">
        <v>1483</v>
      </c>
      <c r="M738">
        <v>137</v>
      </c>
      <c r="N738" s="123"/>
      <c r="O738">
        <v>462</v>
      </c>
      <c r="P738" s="132" t="s">
        <v>77</v>
      </c>
      <c r="Q738" s="131">
        <v>1291.3800000000001</v>
      </c>
      <c r="R738" s="131">
        <v>206.62</v>
      </c>
      <c r="S738" s="131"/>
      <c r="T738" s="155"/>
      <c r="U738" s="131"/>
      <c r="V738" s="131">
        <v>1498</v>
      </c>
      <c r="W738">
        <v>61</v>
      </c>
      <c r="X738" s="151" t="s">
        <v>1644</v>
      </c>
      <c r="Y738" s="135" t="s">
        <v>55</v>
      </c>
      <c r="Z738" s="307">
        <v>199</v>
      </c>
      <c r="AB738" t="str">
        <f>IF(Table1[[#This Row],[TIPO2]]="costo", VLOOKUP(Table1[[#This Row],[PARTIDA PRESUPUESTAL]],'Cost Report'!G:G,1,0),"Balance")</f>
        <v>2794-003</v>
      </c>
      <c r="AC738" s="118"/>
      <c r="AD738" s="159">
        <f>+Table1[[#This Row],[SUBTOTAL]]+Table1[[#This Row],[IVA]]-Table1[[#This Row],[RET IVA]]-Table1[[#This Row],[RET ISR]]-Table1[[#This Row],[TOTAL]]</f>
        <v>0</v>
      </c>
      <c r="AE738" s="150"/>
      <c r="AF738" s="151"/>
      <c r="AG738" s="126" t="s">
        <v>3420</v>
      </c>
      <c r="AH738" s="115"/>
      <c r="AK738" s="306" t="str">
        <f>IF(ISNUMBER(Table1[[#This Row],[FECHA DE RECIBIDO]]), Table1[[#This Row],[FECHA DE RECIBIDO]]-DATE(2023,8,30), "")</f>
        <v/>
      </c>
    </row>
    <row r="739" spans="1:37" ht="16.05" customHeight="1">
      <c r="A739" s="152" t="s">
        <v>2095</v>
      </c>
      <c r="B739" s="153">
        <v>302</v>
      </c>
      <c r="C739" s="126" t="s">
        <v>2596</v>
      </c>
      <c r="D739">
        <v>463</v>
      </c>
      <c r="E739" s="126" t="s">
        <v>2008</v>
      </c>
      <c r="F739" s="125" t="s">
        <v>1607</v>
      </c>
      <c r="G739" s="125" t="s">
        <v>134</v>
      </c>
      <c r="H739">
        <v>100</v>
      </c>
      <c r="I739" s="125" t="s">
        <v>1546</v>
      </c>
      <c r="J739" s="308" t="s">
        <v>214</v>
      </c>
      <c r="K739" s="127" t="s">
        <v>2052</v>
      </c>
      <c r="L739" s="153" t="s">
        <v>1483</v>
      </c>
      <c r="M739">
        <v>135</v>
      </c>
      <c r="N739" s="123"/>
      <c r="O739">
        <v>463</v>
      </c>
      <c r="P739" s="132" t="s">
        <v>77</v>
      </c>
      <c r="Q739" s="132">
        <v>688.79</v>
      </c>
      <c r="R739" s="132">
        <v>110.21</v>
      </c>
      <c r="S739" s="132"/>
      <c r="T739" s="156"/>
      <c r="U739" s="132"/>
      <c r="V739" s="132">
        <v>799</v>
      </c>
      <c r="W739">
        <v>62</v>
      </c>
      <c r="X739" s="153" t="s">
        <v>1644</v>
      </c>
      <c r="Y739" s="124" t="s">
        <v>55</v>
      </c>
      <c r="Z739" s="308">
        <v>199</v>
      </c>
      <c r="AB739" t="str">
        <f>IF(Table1[[#This Row],[TIPO2]]="costo", VLOOKUP(Table1[[#This Row],[PARTIDA PRESUPUESTAL]],'Cost Report'!G:G,1,0),"Balance")</f>
        <v>2794-003</v>
      </c>
      <c r="AC739" s="118"/>
      <c r="AD739" s="159">
        <f>+Table1[[#This Row],[SUBTOTAL]]+Table1[[#This Row],[IVA]]-Table1[[#This Row],[RET IVA]]-Table1[[#This Row],[RET ISR]]-Table1[[#This Row],[TOTAL]]</f>
        <v>0</v>
      </c>
      <c r="AE739" s="152"/>
      <c r="AF739" s="153"/>
      <c r="AG739" s="126" t="s">
        <v>3420</v>
      </c>
      <c r="AH739" s="115"/>
      <c r="AK739" s="306" t="str">
        <f>IF(ISNUMBER(Table1[[#This Row],[FECHA DE RECIBIDO]]), Table1[[#This Row],[FECHA DE RECIBIDO]]-DATE(2023,8,30), "")</f>
        <v/>
      </c>
    </row>
    <row r="740" spans="1:37" ht="16.05" customHeight="1">
      <c r="A740" s="150" t="s">
        <v>2095</v>
      </c>
      <c r="B740" s="151">
        <v>302</v>
      </c>
      <c r="C740" s="126" t="s">
        <v>2596</v>
      </c>
      <c r="D740">
        <v>464</v>
      </c>
      <c r="E740" s="126" t="s">
        <v>2008</v>
      </c>
      <c r="F740" s="122" t="s">
        <v>1607</v>
      </c>
      <c r="G740" s="122" t="s">
        <v>134</v>
      </c>
      <c r="H740">
        <v>102</v>
      </c>
      <c r="I740" s="122" t="s">
        <v>1546</v>
      </c>
      <c r="J740" s="307" t="s">
        <v>214</v>
      </c>
      <c r="K740" s="127" t="s">
        <v>2052</v>
      </c>
      <c r="L740" s="151" t="s">
        <v>1483</v>
      </c>
      <c r="M740">
        <v>137</v>
      </c>
      <c r="N740" s="123"/>
      <c r="O740">
        <v>427</v>
      </c>
      <c r="P740" s="132" t="s">
        <v>77</v>
      </c>
      <c r="Q740" s="131">
        <v>12487.93</v>
      </c>
      <c r="R740" s="131">
        <v>1998.07</v>
      </c>
      <c r="S740" s="131"/>
      <c r="T740" s="155"/>
      <c r="U740" s="131"/>
      <c r="V740" s="131">
        <v>14486</v>
      </c>
      <c r="W740">
        <v>62</v>
      </c>
      <c r="X740" s="151" t="s">
        <v>1644</v>
      </c>
      <c r="Y740" s="135" t="s">
        <v>55</v>
      </c>
      <c r="Z740" s="307">
        <v>200</v>
      </c>
      <c r="AB740" t="str">
        <f>IF(Table1[[#This Row],[TIPO2]]="costo", VLOOKUP(Table1[[#This Row],[PARTIDA PRESUPUESTAL]],'Cost Report'!G:G,1,0),"Balance")</f>
        <v>2794-003</v>
      </c>
      <c r="AC740" s="118"/>
      <c r="AD740" s="159">
        <f>+Table1[[#This Row],[SUBTOTAL]]+Table1[[#This Row],[IVA]]-Table1[[#This Row],[RET IVA]]-Table1[[#This Row],[RET ISR]]-Table1[[#This Row],[TOTAL]]</f>
        <v>0</v>
      </c>
      <c r="AE740" s="150"/>
      <c r="AF740" s="151"/>
      <c r="AG740" s="126" t="s">
        <v>3420</v>
      </c>
      <c r="AH740" s="115"/>
      <c r="AK740" s="306" t="str">
        <f>IF(ISNUMBER(Table1[[#This Row],[FECHA DE RECIBIDO]]), Table1[[#This Row],[FECHA DE RECIBIDO]]-DATE(2023,8,30), "")</f>
        <v/>
      </c>
    </row>
    <row r="741" spans="1:37" ht="16.05" customHeight="1">
      <c r="A741" s="152" t="s">
        <v>2095</v>
      </c>
      <c r="B741" s="153">
        <v>302</v>
      </c>
      <c r="C741" s="126" t="s">
        <v>2596</v>
      </c>
      <c r="D741">
        <v>465</v>
      </c>
      <c r="E741" s="126" t="s">
        <v>1615</v>
      </c>
      <c r="F741" s="125" t="s">
        <v>1607</v>
      </c>
      <c r="G741" s="125" t="s">
        <v>134</v>
      </c>
      <c r="H741">
        <v>158</v>
      </c>
      <c r="I741" s="125" t="s">
        <v>1546</v>
      </c>
      <c r="J741" s="308" t="s">
        <v>214</v>
      </c>
      <c r="K741" s="127" t="s">
        <v>2052</v>
      </c>
      <c r="L741" s="153" t="s">
        <v>1483</v>
      </c>
      <c r="M741">
        <v>211</v>
      </c>
      <c r="N741" s="123"/>
      <c r="O741">
        <v>464</v>
      </c>
      <c r="P741" s="132" t="s">
        <v>77</v>
      </c>
      <c r="Q741" s="132">
        <v>2343.62</v>
      </c>
      <c r="R741" s="132">
        <v>374.62</v>
      </c>
      <c r="S741" s="132"/>
      <c r="T741" s="156"/>
      <c r="U741" s="132"/>
      <c r="V741" s="132">
        <v>2718.24</v>
      </c>
      <c r="W741">
        <v>62</v>
      </c>
      <c r="X741" s="153" t="s">
        <v>1644</v>
      </c>
      <c r="Y741" s="124" t="s">
        <v>55</v>
      </c>
      <c r="Z741" s="308">
        <v>183</v>
      </c>
      <c r="AB741" t="str">
        <f>IF(Table1[[#This Row],[TIPO2]]="costo", VLOOKUP(Table1[[#This Row],[PARTIDA PRESUPUESTAL]],'Cost Report'!G:G,1,0),"Balance")</f>
        <v>2794-003</v>
      </c>
      <c r="AC741" s="118"/>
      <c r="AD741" s="159">
        <f>+Table1[[#This Row],[SUBTOTAL]]+Table1[[#This Row],[IVA]]-Table1[[#This Row],[RET IVA]]-Table1[[#This Row],[RET ISR]]-Table1[[#This Row],[TOTAL]]</f>
        <v>0</v>
      </c>
      <c r="AE741" s="152"/>
      <c r="AF741" s="153"/>
      <c r="AG741" s="126" t="s">
        <v>3420</v>
      </c>
      <c r="AH741" s="115"/>
      <c r="AK741" s="306" t="str">
        <f>IF(ISNUMBER(Table1[[#This Row],[FECHA DE RECIBIDO]]), Table1[[#This Row],[FECHA DE RECIBIDO]]-DATE(2023,8,30), "")</f>
        <v/>
      </c>
    </row>
    <row r="742" spans="1:37" ht="16.05" customHeight="1">
      <c r="A742" s="150" t="s">
        <v>2095</v>
      </c>
      <c r="B742" s="151">
        <v>302</v>
      </c>
      <c r="C742" s="126" t="s">
        <v>2596</v>
      </c>
      <c r="D742">
        <v>466</v>
      </c>
      <c r="E742" s="126" t="s">
        <v>1615</v>
      </c>
      <c r="F742" s="122" t="s">
        <v>1607</v>
      </c>
      <c r="G742" s="122" t="s">
        <v>134</v>
      </c>
      <c r="H742">
        <v>158</v>
      </c>
      <c r="I742" s="122" t="s">
        <v>1546</v>
      </c>
      <c r="J742" s="307" t="s">
        <v>214</v>
      </c>
      <c r="K742" s="127" t="s">
        <v>2052</v>
      </c>
      <c r="L742" s="151" t="s">
        <v>1483</v>
      </c>
      <c r="M742">
        <v>211</v>
      </c>
      <c r="N742" s="123"/>
      <c r="O742">
        <v>436</v>
      </c>
      <c r="P742" s="132" t="s">
        <v>77</v>
      </c>
      <c r="Q742" s="131">
        <v>5168.1099999999997</v>
      </c>
      <c r="R742" s="131">
        <v>826.89</v>
      </c>
      <c r="S742" s="131"/>
      <c r="T742" s="155"/>
      <c r="U742" s="131"/>
      <c r="V742" s="131">
        <v>5995</v>
      </c>
      <c r="W742">
        <v>62</v>
      </c>
      <c r="X742" s="151" t="s">
        <v>1644</v>
      </c>
      <c r="Y742" s="135" t="s">
        <v>55</v>
      </c>
      <c r="Z742" s="307">
        <v>183</v>
      </c>
      <c r="AB742" t="str">
        <f>IF(Table1[[#This Row],[TIPO2]]="costo", VLOOKUP(Table1[[#This Row],[PARTIDA PRESUPUESTAL]],'Cost Report'!G:G,1,0),"Balance")</f>
        <v>2794-003</v>
      </c>
      <c r="AC742" s="118"/>
      <c r="AD742" s="159">
        <f>+Table1[[#This Row],[SUBTOTAL]]+Table1[[#This Row],[IVA]]-Table1[[#This Row],[RET IVA]]-Table1[[#This Row],[RET ISR]]-Table1[[#This Row],[TOTAL]]</f>
        <v>0</v>
      </c>
      <c r="AE742" s="150"/>
      <c r="AF742" s="151"/>
      <c r="AG742" s="126" t="s">
        <v>3420</v>
      </c>
      <c r="AH742" s="115"/>
      <c r="AK742" s="306" t="str">
        <f>IF(ISNUMBER(Table1[[#This Row],[FECHA DE RECIBIDO]]), Table1[[#This Row],[FECHA DE RECIBIDO]]-DATE(2023,8,30), "")</f>
        <v/>
      </c>
    </row>
    <row r="743" spans="1:37" ht="16.05" customHeight="1">
      <c r="A743" s="152" t="s">
        <v>2095</v>
      </c>
      <c r="B743" s="153">
        <v>302</v>
      </c>
      <c r="C743" s="126" t="s">
        <v>2596</v>
      </c>
      <c r="D743">
        <v>467</v>
      </c>
      <c r="E743" s="126" t="s">
        <v>2004</v>
      </c>
      <c r="F743" s="125" t="s">
        <v>1589</v>
      </c>
      <c r="G743" s="125" t="s">
        <v>129</v>
      </c>
      <c r="H743">
        <v>98</v>
      </c>
      <c r="I743" s="125" t="s">
        <v>1546</v>
      </c>
      <c r="J743" s="308" t="s">
        <v>214</v>
      </c>
      <c r="K743" s="127" t="s">
        <v>2052</v>
      </c>
      <c r="L743" s="153" t="s">
        <v>1483</v>
      </c>
      <c r="M743">
        <v>133</v>
      </c>
      <c r="N743" s="123"/>
      <c r="O743">
        <v>465</v>
      </c>
      <c r="P743" s="132" t="s">
        <v>77</v>
      </c>
      <c r="Q743" s="132">
        <v>948.28</v>
      </c>
      <c r="R743" s="132">
        <v>151.72</v>
      </c>
      <c r="S743" s="132"/>
      <c r="T743" s="156"/>
      <c r="U743" s="132"/>
      <c r="V743" s="132">
        <v>1100</v>
      </c>
      <c r="W743">
        <v>62</v>
      </c>
      <c r="X743" s="153" t="s">
        <v>1644</v>
      </c>
      <c r="Y743" s="124" t="s">
        <v>55</v>
      </c>
      <c r="Z743" s="308">
        <v>180</v>
      </c>
      <c r="AB743" t="str">
        <f>IF(Table1[[#This Row],[TIPO2]]="costo", VLOOKUP(Table1[[#This Row],[PARTIDA PRESUPUESTAL]],'Cost Report'!G:G,1,0),"Balance")</f>
        <v>2794-003</v>
      </c>
      <c r="AC743" s="118"/>
      <c r="AD743" s="159">
        <f>+Table1[[#This Row],[SUBTOTAL]]+Table1[[#This Row],[IVA]]-Table1[[#This Row],[RET IVA]]-Table1[[#This Row],[RET ISR]]-Table1[[#This Row],[TOTAL]]</f>
        <v>0</v>
      </c>
      <c r="AE743" s="152"/>
      <c r="AF743" s="153"/>
      <c r="AG743" s="126" t="s">
        <v>3420</v>
      </c>
      <c r="AH743" s="115"/>
      <c r="AK743" s="306" t="str">
        <f>IF(ISNUMBER(Table1[[#This Row],[FECHA DE RECIBIDO]]), Table1[[#This Row],[FECHA DE RECIBIDO]]-DATE(2023,8,30), "")</f>
        <v/>
      </c>
    </row>
    <row r="744" spans="1:37" ht="16.05" customHeight="1">
      <c r="A744" s="150" t="s">
        <v>2095</v>
      </c>
      <c r="B744" s="151">
        <v>302</v>
      </c>
      <c r="C744" s="126" t="s">
        <v>2596</v>
      </c>
      <c r="D744">
        <v>468</v>
      </c>
      <c r="E744" s="126" t="s">
        <v>2004</v>
      </c>
      <c r="F744" s="122" t="s">
        <v>1589</v>
      </c>
      <c r="G744" s="122" t="s">
        <v>129</v>
      </c>
      <c r="H744">
        <v>98</v>
      </c>
      <c r="I744" s="122" t="s">
        <v>1546</v>
      </c>
      <c r="J744" s="307" t="s">
        <v>214</v>
      </c>
      <c r="K744" s="127" t="s">
        <v>2052</v>
      </c>
      <c r="L744" s="151" t="s">
        <v>1483</v>
      </c>
      <c r="M744">
        <v>133</v>
      </c>
      <c r="N744" s="123"/>
      <c r="O744">
        <v>466</v>
      </c>
      <c r="P744" s="132" t="s">
        <v>77</v>
      </c>
      <c r="Q744" s="131">
        <v>3181.03</v>
      </c>
      <c r="R744" s="131">
        <v>508.97</v>
      </c>
      <c r="S744" s="131"/>
      <c r="T744" s="155"/>
      <c r="U744" s="131"/>
      <c r="V744" s="131">
        <v>3690</v>
      </c>
      <c r="W744">
        <v>62</v>
      </c>
      <c r="X744" s="151" t="s">
        <v>1644</v>
      </c>
      <c r="Y744" s="135" t="s">
        <v>55</v>
      </c>
      <c r="Z744" s="307">
        <v>183</v>
      </c>
      <c r="AB744" t="str">
        <f>IF(Table1[[#This Row],[TIPO2]]="costo", VLOOKUP(Table1[[#This Row],[PARTIDA PRESUPUESTAL]],'Cost Report'!G:G,1,0),"Balance")</f>
        <v>2794-003</v>
      </c>
      <c r="AC744" s="118"/>
      <c r="AD744" s="159">
        <f>+Table1[[#This Row],[SUBTOTAL]]+Table1[[#This Row],[IVA]]-Table1[[#This Row],[RET IVA]]-Table1[[#This Row],[RET ISR]]-Table1[[#This Row],[TOTAL]]</f>
        <v>0</v>
      </c>
      <c r="AE744" s="150"/>
      <c r="AF744" s="151"/>
      <c r="AG744" s="126" t="s">
        <v>3420</v>
      </c>
      <c r="AH744" s="115"/>
      <c r="AK744" s="306" t="str">
        <f>IF(ISNUMBER(Table1[[#This Row],[FECHA DE RECIBIDO]]), Table1[[#This Row],[FECHA DE RECIBIDO]]-DATE(2023,8,30), "")</f>
        <v/>
      </c>
    </row>
    <row r="745" spans="1:37" ht="16.05" customHeight="1">
      <c r="A745" s="152" t="s">
        <v>2095</v>
      </c>
      <c r="B745" s="153">
        <v>302</v>
      </c>
      <c r="C745" s="126" t="s">
        <v>2596</v>
      </c>
      <c r="D745">
        <v>469</v>
      </c>
      <c r="E745" s="126" t="s">
        <v>2004</v>
      </c>
      <c r="F745" s="125" t="s">
        <v>1589</v>
      </c>
      <c r="G745" s="125" t="s">
        <v>129</v>
      </c>
      <c r="H745">
        <v>98</v>
      </c>
      <c r="I745" s="125" t="s">
        <v>1546</v>
      </c>
      <c r="J745" s="308" t="s">
        <v>214</v>
      </c>
      <c r="K745" s="127" t="s">
        <v>2052</v>
      </c>
      <c r="L745" s="153" t="s">
        <v>1483</v>
      </c>
      <c r="M745">
        <v>133</v>
      </c>
      <c r="N745" s="123"/>
      <c r="O745">
        <v>467</v>
      </c>
      <c r="P745" s="132" t="s">
        <v>77</v>
      </c>
      <c r="Q745" s="132">
        <v>3275.86</v>
      </c>
      <c r="R745" s="132">
        <v>524.14</v>
      </c>
      <c r="S745" s="132"/>
      <c r="T745" s="156"/>
      <c r="U745" s="132"/>
      <c r="V745" s="132">
        <v>3800</v>
      </c>
      <c r="W745">
        <v>62</v>
      </c>
      <c r="X745" s="153" t="s">
        <v>1644</v>
      </c>
      <c r="Y745" s="124" t="s">
        <v>55</v>
      </c>
      <c r="Z745" s="308">
        <v>183</v>
      </c>
      <c r="AB745" t="str">
        <f>IF(Table1[[#This Row],[TIPO2]]="costo", VLOOKUP(Table1[[#This Row],[PARTIDA PRESUPUESTAL]],'Cost Report'!G:G,1,0),"Balance")</f>
        <v>2794-003</v>
      </c>
      <c r="AC745" s="118"/>
      <c r="AD745" s="159">
        <f>+Table1[[#This Row],[SUBTOTAL]]+Table1[[#This Row],[IVA]]-Table1[[#This Row],[RET IVA]]-Table1[[#This Row],[RET ISR]]-Table1[[#This Row],[TOTAL]]</f>
        <v>0</v>
      </c>
      <c r="AE745" s="152"/>
      <c r="AF745" s="153"/>
      <c r="AG745" s="126" t="s">
        <v>3420</v>
      </c>
      <c r="AH745" s="115"/>
      <c r="AK745" s="306" t="str">
        <f>IF(ISNUMBER(Table1[[#This Row],[FECHA DE RECIBIDO]]), Table1[[#This Row],[FECHA DE RECIBIDO]]-DATE(2023,8,30), "")</f>
        <v/>
      </c>
    </row>
    <row r="746" spans="1:37" ht="16.05" customHeight="1">
      <c r="A746" s="150" t="s">
        <v>2095</v>
      </c>
      <c r="B746" s="151">
        <v>302</v>
      </c>
      <c r="C746" s="126" t="s">
        <v>2596</v>
      </c>
      <c r="D746">
        <v>470</v>
      </c>
      <c r="E746" s="126" t="s">
        <v>1615</v>
      </c>
      <c r="F746" s="122" t="s">
        <v>1607</v>
      </c>
      <c r="G746" s="122" t="s">
        <v>134</v>
      </c>
      <c r="H746">
        <v>159</v>
      </c>
      <c r="I746" s="122" t="s">
        <v>1546</v>
      </c>
      <c r="J746" s="307" t="s">
        <v>214</v>
      </c>
      <c r="K746" s="127" t="s">
        <v>2052</v>
      </c>
      <c r="L746" s="151" t="s">
        <v>1483</v>
      </c>
      <c r="M746">
        <v>212</v>
      </c>
      <c r="N746" s="123"/>
      <c r="O746">
        <v>468</v>
      </c>
      <c r="P746" s="132" t="s">
        <v>77</v>
      </c>
      <c r="Q746" s="131">
        <v>5724.54</v>
      </c>
      <c r="R746" s="131">
        <v>915.93</v>
      </c>
      <c r="S746" s="131"/>
      <c r="T746" s="155"/>
      <c r="U746" s="131"/>
      <c r="V746" s="131">
        <v>6640.47</v>
      </c>
      <c r="W746">
        <v>62</v>
      </c>
      <c r="X746" s="151" t="s">
        <v>1644</v>
      </c>
      <c r="Y746" s="135" t="s">
        <v>55</v>
      </c>
      <c r="Z746" s="307">
        <v>200</v>
      </c>
      <c r="AB746" t="str">
        <f>IF(Table1[[#This Row],[TIPO2]]="costo", VLOOKUP(Table1[[#This Row],[PARTIDA PRESUPUESTAL]],'Cost Report'!G:G,1,0),"Balance")</f>
        <v>2794-003</v>
      </c>
      <c r="AC746" s="118"/>
      <c r="AD746" s="159">
        <f>+Table1[[#This Row],[SUBTOTAL]]+Table1[[#This Row],[IVA]]-Table1[[#This Row],[RET IVA]]-Table1[[#This Row],[RET ISR]]-Table1[[#This Row],[TOTAL]]</f>
        <v>0</v>
      </c>
      <c r="AE746" s="150"/>
      <c r="AF746" s="151"/>
      <c r="AG746" s="126" t="s">
        <v>3420</v>
      </c>
      <c r="AH746" s="115"/>
      <c r="AK746" s="306" t="str">
        <f>IF(ISNUMBER(Table1[[#This Row],[FECHA DE RECIBIDO]]), Table1[[#This Row],[FECHA DE RECIBIDO]]-DATE(2023,8,30), "")</f>
        <v/>
      </c>
    </row>
    <row r="747" spans="1:37" ht="16.05" customHeight="1">
      <c r="A747" s="152" t="s">
        <v>2095</v>
      </c>
      <c r="B747" s="153">
        <v>302</v>
      </c>
      <c r="C747" s="126" t="s">
        <v>2596</v>
      </c>
      <c r="D747">
        <v>471</v>
      </c>
      <c r="E747" s="126" t="s">
        <v>1615</v>
      </c>
      <c r="F747" s="125" t="s">
        <v>1607</v>
      </c>
      <c r="G747" s="125" t="s">
        <v>134</v>
      </c>
      <c r="H747">
        <v>159</v>
      </c>
      <c r="I747" s="125" t="s">
        <v>1546</v>
      </c>
      <c r="J747" s="308" t="s">
        <v>214</v>
      </c>
      <c r="K747" s="127" t="s">
        <v>2052</v>
      </c>
      <c r="L747" s="153" t="s">
        <v>1483</v>
      </c>
      <c r="M747">
        <v>212</v>
      </c>
      <c r="N747" s="123"/>
      <c r="O747">
        <v>469</v>
      </c>
      <c r="P747" s="132" t="s">
        <v>77</v>
      </c>
      <c r="Q747" s="132">
        <v>688.79</v>
      </c>
      <c r="R747" s="132">
        <v>110.21</v>
      </c>
      <c r="S747" s="132"/>
      <c r="T747" s="156"/>
      <c r="U747" s="132"/>
      <c r="V747" s="132">
        <v>799</v>
      </c>
      <c r="W747">
        <v>62</v>
      </c>
      <c r="X747" s="153" t="s">
        <v>1644</v>
      </c>
      <c r="Y747" s="124" t="s">
        <v>55</v>
      </c>
      <c r="Z747" s="308">
        <v>200</v>
      </c>
      <c r="AB747" t="str">
        <f>IF(Table1[[#This Row],[TIPO2]]="costo", VLOOKUP(Table1[[#This Row],[PARTIDA PRESUPUESTAL]],'Cost Report'!G:G,1,0),"Balance")</f>
        <v>2794-003</v>
      </c>
      <c r="AC747" s="118"/>
      <c r="AD747" s="159">
        <f>+Table1[[#This Row],[SUBTOTAL]]+Table1[[#This Row],[IVA]]-Table1[[#This Row],[RET IVA]]-Table1[[#This Row],[RET ISR]]-Table1[[#This Row],[TOTAL]]</f>
        <v>0</v>
      </c>
      <c r="AE747" s="152"/>
      <c r="AF747" s="153"/>
      <c r="AG747" s="126" t="s">
        <v>3420</v>
      </c>
      <c r="AH747" s="115"/>
      <c r="AK747" s="306" t="str">
        <f>IF(ISNUMBER(Table1[[#This Row],[FECHA DE RECIBIDO]]), Table1[[#This Row],[FECHA DE RECIBIDO]]-DATE(2023,8,30), "")</f>
        <v/>
      </c>
    </row>
    <row r="748" spans="1:37" ht="16.05" customHeight="1">
      <c r="A748" s="150" t="s">
        <v>2095</v>
      </c>
      <c r="B748" s="151">
        <v>302</v>
      </c>
      <c r="C748" s="126" t="s">
        <v>2596</v>
      </c>
      <c r="D748">
        <v>472</v>
      </c>
      <c r="E748" s="126" t="s">
        <v>2008</v>
      </c>
      <c r="F748" s="122" t="s">
        <v>1607</v>
      </c>
      <c r="G748" s="122" t="s">
        <v>134</v>
      </c>
      <c r="H748">
        <v>100</v>
      </c>
      <c r="I748" s="122" t="s">
        <v>1546</v>
      </c>
      <c r="J748" s="307" t="s">
        <v>214</v>
      </c>
      <c r="K748" s="127" t="s">
        <v>2052</v>
      </c>
      <c r="L748" s="151" t="s">
        <v>1483</v>
      </c>
      <c r="M748">
        <v>135</v>
      </c>
      <c r="N748" s="123"/>
      <c r="O748">
        <v>470</v>
      </c>
      <c r="P748" s="132" t="s">
        <v>77</v>
      </c>
      <c r="Q748" s="131">
        <v>2669.83</v>
      </c>
      <c r="R748" s="131">
        <v>427.17</v>
      </c>
      <c r="S748" s="131"/>
      <c r="T748" s="155"/>
      <c r="U748" s="131"/>
      <c r="V748" s="131">
        <v>3097</v>
      </c>
      <c r="W748">
        <v>62</v>
      </c>
      <c r="X748" s="151" t="s">
        <v>1644</v>
      </c>
      <c r="Y748" s="135" t="s">
        <v>55</v>
      </c>
      <c r="Z748" s="307">
        <v>197</v>
      </c>
      <c r="AB748" t="str">
        <f>IF(Table1[[#This Row],[TIPO2]]="costo", VLOOKUP(Table1[[#This Row],[PARTIDA PRESUPUESTAL]],'Cost Report'!G:G,1,0),"Balance")</f>
        <v>2794-003</v>
      </c>
      <c r="AC748" s="118"/>
      <c r="AD748" s="159">
        <f>+Table1[[#This Row],[SUBTOTAL]]+Table1[[#This Row],[IVA]]-Table1[[#This Row],[RET IVA]]-Table1[[#This Row],[RET ISR]]-Table1[[#This Row],[TOTAL]]</f>
        <v>0</v>
      </c>
      <c r="AE748" s="150"/>
      <c r="AF748" s="151"/>
      <c r="AG748" s="126" t="s">
        <v>3420</v>
      </c>
      <c r="AH748" s="115"/>
      <c r="AK748" s="306" t="str">
        <f>IF(ISNUMBER(Table1[[#This Row],[FECHA DE RECIBIDO]]), Table1[[#This Row],[FECHA DE RECIBIDO]]-DATE(2023,8,30), "")</f>
        <v/>
      </c>
    </row>
    <row r="749" spans="1:37" ht="16.05" customHeight="1">
      <c r="A749" s="152" t="s">
        <v>2095</v>
      </c>
      <c r="B749" s="153">
        <v>302</v>
      </c>
      <c r="C749" s="126" t="s">
        <v>2596</v>
      </c>
      <c r="D749">
        <v>473</v>
      </c>
      <c r="E749" s="126" t="s">
        <v>2096</v>
      </c>
      <c r="F749" s="125" t="s">
        <v>1607</v>
      </c>
      <c r="G749" s="125" t="s">
        <v>134</v>
      </c>
      <c r="H749">
        <v>160</v>
      </c>
      <c r="I749" s="125" t="s">
        <v>1546</v>
      </c>
      <c r="J749" s="308" t="s">
        <v>214</v>
      </c>
      <c r="K749" s="127" t="s">
        <v>2052</v>
      </c>
      <c r="L749" s="153" t="s">
        <v>1483</v>
      </c>
      <c r="M749">
        <v>213</v>
      </c>
      <c r="N749" s="123"/>
      <c r="O749">
        <v>471</v>
      </c>
      <c r="P749" s="132" t="s">
        <v>77</v>
      </c>
      <c r="Q749" s="132">
        <v>106.9</v>
      </c>
      <c r="R749" s="132">
        <v>17.100000000000001</v>
      </c>
      <c r="S749" s="132"/>
      <c r="T749" s="156"/>
      <c r="U749" s="132"/>
      <c r="V749" s="132">
        <v>124</v>
      </c>
      <c r="W749">
        <v>62</v>
      </c>
      <c r="X749" s="153" t="s">
        <v>1644</v>
      </c>
      <c r="Y749" s="124" t="s">
        <v>55</v>
      </c>
      <c r="Z749" s="308">
        <v>200</v>
      </c>
      <c r="AB749" t="str">
        <f>IF(Table1[[#This Row],[TIPO2]]="costo", VLOOKUP(Table1[[#This Row],[PARTIDA PRESUPUESTAL]],'Cost Report'!G:G,1,0),"Balance")</f>
        <v>2794-003</v>
      </c>
      <c r="AC749" s="118"/>
      <c r="AD749" s="159">
        <f>+Table1[[#This Row],[SUBTOTAL]]+Table1[[#This Row],[IVA]]-Table1[[#This Row],[RET IVA]]-Table1[[#This Row],[RET ISR]]-Table1[[#This Row],[TOTAL]]</f>
        <v>0</v>
      </c>
      <c r="AE749" s="152"/>
      <c r="AF749" s="153"/>
      <c r="AG749" s="126" t="s">
        <v>3420</v>
      </c>
      <c r="AH749" s="115"/>
      <c r="AK749" s="306" t="str">
        <f>IF(ISNUMBER(Table1[[#This Row],[FECHA DE RECIBIDO]]), Table1[[#This Row],[FECHA DE RECIBIDO]]-DATE(2023,8,30), "")</f>
        <v/>
      </c>
    </row>
    <row r="750" spans="1:37" ht="16.05" customHeight="1">
      <c r="A750" s="150" t="s">
        <v>2095</v>
      </c>
      <c r="B750" s="151">
        <v>302</v>
      </c>
      <c r="C750" s="126" t="s">
        <v>2596</v>
      </c>
      <c r="D750">
        <v>474</v>
      </c>
      <c r="E750" s="126" t="s">
        <v>2005</v>
      </c>
      <c r="F750" s="122" t="s">
        <v>1607</v>
      </c>
      <c r="G750" s="122" t="s">
        <v>134</v>
      </c>
      <c r="H750">
        <v>153</v>
      </c>
      <c r="I750" s="122" t="s">
        <v>1546</v>
      </c>
      <c r="J750" s="307" t="s">
        <v>214</v>
      </c>
      <c r="K750" s="127" t="s">
        <v>2052</v>
      </c>
      <c r="L750" s="151" t="s">
        <v>1483</v>
      </c>
      <c r="M750">
        <v>204</v>
      </c>
      <c r="N750" s="123"/>
      <c r="O750">
        <v>427</v>
      </c>
      <c r="P750" s="132" t="s">
        <v>77</v>
      </c>
      <c r="Q750" s="131">
        <v>1462.07</v>
      </c>
      <c r="R750" s="131">
        <v>233.93</v>
      </c>
      <c r="S750" s="131"/>
      <c r="T750" s="155"/>
      <c r="U750" s="131"/>
      <c r="V750" s="131">
        <v>1696</v>
      </c>
      <c r="W750">
        <v>62</v>
      </c>
      <c r="X750" s="151" t="s">
        <v>1644</v>
      </c>
      <c r="Y750" s="135" t="s">
        <v>55</v>
      </c>
      <c r="Z750" s="307">
        <v>200</v>
      </c>
      <c r="AB750" t="str">
        <f>IF(Table1[[#This Row],[TIPO2]]="costo", VLOOKUP(Table1[[#This Row],[PARTIDA PRESUPUESTAL]],'Cost Report'!G:G,1,0),"Balance")</f>
        <v>2794-003</v>
      </c>
      <c r="AC750" s="118"/>
      <c r="AD750" s="159">
        <f>+Table1[[#This Row],[SUBTOTAL]]+Table1[[#This Row],[IVA]]-Table1[[#This Row],[RET IVA]]-Table1[[#This Row],[RET ISR]]-Table1[[#This Row],[TOTAL]]</f>
        <v>0</v>
      </c>
      <c r="AE750" s="150"/>
      <c r="AF750" s="151"/>
      <c r="AG750" s="126" t="s">
        <v>3420</v>
      </c>
      <c r="AH750" s="115"/>
      <c r="AK750" s="306" t="str">
        <f>IF(ISNUMBER(Table1[[#This Row],[FECHA DE RECIBIDO]]), Table1[[#This Row],[FECHA DE RECIBIDO]]-DATE(2023,8,30), "")</f>
        <v/>
      </c>
    </row>
    <row r="751" spans="1:37" ht="16.05" customHeight="1">
      <c r="A751" s="152" t="s">
        <v>2095</v>
      </c>
      <c r="B751" s="153">
        <v>302</v>
      </c>
      <c r="C751" s="126" t="s">
        <v>2596</v>
      </c>
      <c r="D751">
        <v>475</v>
      </c>
      <c r="E751" s="126" t="s">
        <v>2005</v>
      </c>
      <c r="F751" s="125" t="s">
        <v>1607</v>
      </c>
      <c r="G751" s="125" t="s">
        <v>134</v>
      </c>
      <c r="H751">
        <v>153</v>
      </c>
      <c r="I751" s="125" t="s">
        <v>1546</v>
      </c>
      <c r="J751" s="308" t="s">
        <v>214</v>
      </c>
      <c r="K751" s="127" t="s">
        <v>2052</v>
      </c>
      <c r="L751" s="153" t="s">
        <v>1483</v>
      </c>
      <c r="M751">
        <v>204</v>
      </c>
      <c r="N751" s="123"/>
      <c r="O751">
        <v>472</v>
      </c>
      <c r="P751" s="132" t="s">
        <v>77</v>
      </c>
      <c r="Q751" s="132">
        <v>429.31</v>
      </c>
      <c r="R751" s="132">
        <v>68.69</v>
      </c>
      <c r="S751" s="132"/>
      <c r="T751" s="156"/>
      <c r="U751" s="132"/>
      <c r="V751" s="132">
        <v>498</v>
      </c>
      <c r="W751">
        <v>62</v>
      </c>
      <c r="X751" s="153" t="s">
        <v>1644</v>
      </c>
      <c r="Y751" s="124" t="s">
        <v>55</v>
      </c>
      <c r="Z751" s="308">
        <v>200</v>
      </c>
      <c r="AB751" t="str">
        <f>IF(Table1[[#This Row],[TIPO2]]="costo", VLOOKUP(Table1[[#This Row],[PARTIDA PRESUPUESTAL]],'Cost Report'!G:G,1,0),"Balance")</f>
        <v>2794-003</v>
      </c>
      <c r="AC751" s="118"/>
      <c r="AD751" s="159">
        <f>+Table1[[#This Row],[SUBTOTAL]]+Table1[[#This Row],[IVA]]-Table1[[#This Row],[RET IVA]]-Table1[[#This Row],[RET ISR]]-Table1[[#This Row],[TOTAL]]</f>
        <v>0</v>
      </c>
      <c r="AE751" s="152"/>
      <c r="AF751" s="153"/>
      <c r="AG751" s="126" t="s">
        <v>3420</v>
      </c>
      <c r="AH751" s="115"/>
      <c r="AK751" s="306" t="str">
        <f>IF(ISNUMBER(Table1[[#This Row],[FECHA DE RECIBIDO]]), Table1[[#This Row],[FECHA DE RECIBIDO]]-DATE(2023,8,30), "")</f>
        <v/>
      </c>
    </row>
    <row r="752" spans="1:37" ht="16.05" customHeight="1">
      <c r="A752" s="150" t="s">
        <v>2097</v>
      </c>
      <c r="B752" s="151">
        <v>303</v>
      </c>
      <c r="C752" s="126" t="s">
        <v>2323</v>
      </c>
      <c r="D752">
        <v>476</v>
      </c>
      <c r="E752" s="126"/>
      <c r="F752" s="122"/>
      <c r="G752" s="122"/>
      <c r="H752"/>
      <c r="I752" s="122"/>
      <c r="J752" s="307">
        <v>183</v>
      </c>
      <c r="K752" s="127" t="s">
        <v>2052</v>
      </c>
      <c r="L752" s="151" t="s">
        <v>1483</v>
      </c>
      <c r="M752">
        <v>214</v>
      </c>
      <c r="N752" s="123"/>
      <c r="O752">
        <v>473</v>
      </c>
      <c r="P752" s="132" t="s">
        <v>77</v>
      </c>
      <c r="Q752" s="131">
        <v>34.11</v>
      </c>
      <c r="R752" s="131"/>
      <c r="S752" s="131"/>
      <c r="T752" s="155"/>
      <c r="U752" s="131"/>
      <c r="V752" s="131">
        <v>34.11</v>
      </c>
      <c r="W752">
        <v>38</v>
      </c>
      <c r="X752" s="151" t="s">
        <v>1644</v>
      </c>
      <c r="Y752" s="135" t="s">
        <v>55</v>
      </c>
      <c r="Z752" s="307">
        <v>183</v>
      </c>
      <c r="AB752" t="str">
        <f>IF(Table1[[#This Row],[TIPO2]]="costo", VLOOKUP(Table1[[#This Row],[PARTIDA PRESUPUESTAL]],'Cost Report'!G:G,1,0),"Balance")</f>
        <v>1426-008</v>
      </c>
      <c r="AC752" s="118"/>
      <c r="AD752" s="159">
        <f>+Table1[[#This Row],[SUBTOTAL]]+Table1[[#This Row],[IVA]]-Table1[[#This Row],[RET IVA]]-Table1[[#This Row],[RET ISR]]-Table1[[#This Row],[TOTAL]]</f>
        <v>0</v>
      </c>
      <c r="AE752" s="150"/>
      <c r="AF752" s="151"/>
      <c r="AG752" s="126" t="s">
        <v>3420</v>
      </c>
      <c r="AH752" s="115"/>
      <c r="AK752" s="306">
        <f>IF(ISNUMBER(Table1[[#This Row],[FECHA DE RECIBIDO]]), Table1[[#This Row],[FECHA DE RECIBIDO]]-DATE(2023,8,30), "")</f>
        <v>-44985</v>
      </c>
    </row>
    <row r="753" spans="1:37" ht="16.05" customHeight="1">
      <c r="A753" s="152" t="s">
        <v>2097</v>
      </c>
      <c r="B753" s="153">
        <v>303</v>
      </c>
      <c r="C753" s="126" t="s">
        <v>2335</v>
      </c>
      <c r="D753">
        <v>477</v>
      </c>
      <c r="E753" s="126"/>
      <c r="F753" s="125"/>
      <c r="G753" s="125"/>
      <c r="H753"/>
      <c r="I753" s="125"/>
      <c r="J753" s="308">
        <v>195</v>
      </c>
      <c r="K753" s="127" t="s">
        <v>2052</v>
      </c>
      <c r="L753" s="153" t="s">
        <v>1483</v>
      </c>
      <c r="M753">
        <v>215</v>
      </c>
      <c r="N753" s="123"/>
      <c r="O753">
        <v>474</v>
      </c>
      <c r="P753" s="132" t="s">
        <v>77</v>
      </c>
      <c r="Q753" s="132">
        <v>513.38</v>
      </c>
      <c r="R753" s="132"/>
      <c r="S753" s="132"/>
      <c r="T753" s="156"/>
      <c r="U753" s="132"/>
      <c r="V753" s="132">
        <v>513.38</v>
      </c>
      <c r="W753">
        <v>38</v>
      </c>
      <c r="X753" s="153" t="s">
        <v>1644</v>
      </c>
      <c r="Y753" s="124" t="s">
        <v>55</v>
      </c>
      <c r="Z753" s="308">
        <v>195</v>
      </c>
      <c r="AB753" t="str">
        <f>IF(Table1[[#This Row],[TIPO2]]="costo", VLOOKUP(Table1[[#This Row],[PARTIDA PRESUPUESTAL]],'Cost Report'!G:G,1,0),"Balance")</f>
        <v>1487-003</v>
      </c>
      <c r="AC753" s="118"/>
      <c r="AD753" s="159">
        <f>+Table1[[#This Row],[SUBTOTAL]]+Table1[[#This Row],[IVA]]-Table1[[#This Row],[RET IVA]]-Table1[[#This Row],[RET ISR]]-Table1[[#This Row],[TOTAL]]</f>
        <v>0</v>
      </c>
      <c r="AE753" s="152"/>
      <c r="AF753" s="153"/>
      <c r="AG753" s="126" t="s">
        <v>3420</v>
      </c>
      <c r="AH753" s="115"/>
      <c r="AK753" s="306">
        <f>IF(ISNUMBER(Table1[[#This Row],[FECHA DE RECIBIDO]]), Table1[[#This Row],[FECHA DE RECIBIDO]]-DATE(2023,8,30), "")</f>
        <v>-44973</v>
      </c>
    </row>
    <row r="754" spans="1:37" ht="16.05" customHeight="1">
      <c r="A754" s="150" t="s">
        <v>2097</v>
      </c>
      <c r="B754" s="151">
        <v>303</v>
      </c>
      <c r="C754" s="126" t="s">
        <v>2335</v>
      </c>
      <c r="D754">
        <v>477</v>
      </c>
      <c r="E754" s="126"/>
      <c r="F754" s="122"/>
      <c r="G754" s="122"/>
      <c r="H754"/>
      <c r="I754" s="122"/>
      <c r="J754" s="307">
        <v>195</v>
      </c>
      <c r="K754" s="127" t="s">
        <v>2052</v>
      </c>
      <c r="L754" s="151" t="s">
        <v>1483</v>
      </c>
      <c r="M754">
        <v>215</v>
      </c>
      <c r="N754" s="123"/>
      <c r="O754">
        <v>475</v>
      </c>
      <c r="P754" s="132" t="s">
        <v>77</v>
      </c>
      <c r="Q754" s="131">
        <v>536.45000000000005</v>
      </c>
      <c r="R754" s="131"/>
      <c r="S754" s="131"/>
      <c r="T754" s="155"/>
      <c r="U754" s="131"/>
      <c r="V754" s="131">
        <v>536.45000000000005</v>
      </c>
      <c r="W754">
        <v>38</v>
      </c>
      <c r="X754" s="151" t="s">
        <v>1644</v>
      </c>
      <c r="Y754" s="135" t="s">
        <v>55</v>
      </c>
      <c r="Z754" s="307">
        <v>195</v>
      </c>
      <c r="AB754" t="str">
        <f>IF(Table1[[#This Row],[TIPO2]]="costo", VLOOKUP(Table1[[#This Row],[PARTIDA PRESUPUESTAL]],'Cost Report'!G:G,1,0),"Balance")</f>
        <v>1487-003</v>
      </c>
      <c r="AC754" s="118"/>
      <c r="AD754" s="159">
        <f>+Table1[[#This Row],[SUBTOTAL]]+Table1[[#This Row],[IVA]]-Table1[[#This Row],[RET IVA]]-Table1[[#This Row],[RET ISR]]-Table1[[#This Row],[TOTAL]]</f>
        <v>0</v>
      </c>
      <c r="AE754" s="150"/>
      <c r="AF754" s="151"/>
      <c r="AG754" s="126" t="s">
        <v>3420</v>
      </c>
      <c r="AH754" s="115"/>
      <c r="AK754" s="306">
        <f>IF(ISNUMBER(Table1[[#This Row],[FECHA DE RECIBIDO]]), Table1[[#This Row],[FECHA DE RECIBIDO]]-DATE(2023,8,30), "")</f>
        <v>-44973</v>
      </c>
    </row>
    <row r="755" spans="1:37" ht="16.05" customHeight="1">
      <c r="A755" s="152" t="s">
        <v>2098</v>
      </c>
      <c r="B755" s="153">
        <v>304</v>
      </c>
      <c r="C755" s="126" t="s">
        <v>3002</v>
      </c>
      <c r="D755">
        <v>478</v>
      </c>
      <c r="E755" s="126" t="s">
        <v>1641</v>
      </c>
      <c r="F755" s="125" t="s">
        <v>1607</v>
      </c>
      <c r="G755" s="125" t="s">
        <v>134</v>
      </c>
      <c r="H755">
        <v>49</v>
      </c>
      <c r="I755" s="125" t="s">
        <v>1546</v>
      </c>
      <c r="J755" s="308" t="s">
        <v>214</v>
      </c>
      <c r="K755" s="127" t="s">
        <v>2052</v>
      </c>
      <c r="L755" s="153" t="s">
        <v>1483</v>
      </c>
      <c r="M755">
        <v>62</v>
      </c>
      <c r="N755" s="123"/>
      <c r="O755">
        <v>476</v>
      </c>
      <c r="P755" s="132" t="s">
        <v>77</v>
      </c>
      <c r="Q755" s="132">
        <v>3497</v>
      </c>
      <c r="R755" s="132">
        <v>467</v>
      </c>
      <c r="S755" s="132"/>
      <c r="T755" s="156"/>
      <c r="U755" s="132"/>
      <c r="V755" s="132">
        <v>3964</v>
      </c>
      <c r="W755">
        <v>39</v>
      </c>
      <c r="X755" s="153" t="s">
        <v>1644</v>
      </c>
      <c r="Y755" s="124" t="s">
        <v>55</v>
      </c>
      <c r="Z755" s="308">
        <v>195</v>
      </c>
      <c r="AB755" t="str">
        <f>IF(Table1[[#This Row],[TIPO2]]="costo", VLOOKUP(Table1[[#This Row],[PARTIDA PRESUPUESTAL]],'Cost Report'!G:G,1,0),"Balance")</f>
        <v>4180-003</v>
      </c>
      <c r="AC755" s="118"/>
      <c r="AD755" s="159">
        <f>+Table1[[#This Row],[SUBTOTAL]]+Table1[[#This Row],[IVA]]-Table1[[#This Row],[RET IVA]]-Table1[[#This Row],[RET ISR]]-Table1[[#This Row],[TOTAL]]</f>
        <v>0</v>
      </c>
      <c r="AE755" s="152"/>
      <c r="AF755" s="153"/>
      <c r="AG755" s="126" t="s">
        <v>3420</v>
      </c>
      <c r="AH755" s="115"/>
      <c r="AK755" s="306" t="str">
        <f>IF(ISNUMBER(Table1[[#This Row],[FECHA DE RECIBIDO]]), Table1[[#This Row],[FECHA DE RECIBIDO]]-DATE(2023,8,30), "")</f>
        <v/>
      </c>
    </row>
    <row r="756" spans="1:37" ht="16.05" customHeight="1">
      <c r="A756" s="150" t="s">
        <v>2098</v>
      </c>
      <c r="B756" s="151">
        <v>304</v>
      </c>
      <c r="C756" s="126" t="s">
        <v>1124</v>
      </c>
      <c r="D756">
        <v>479</v>
      </c>
      <c r="E756" s="126" t="s">
        <v>1641</v>
      </c>
      <c r="F756" s="122" t="s">
        <v>1607</v>
      </c>
      <c r="G756" s="122" t="s">
        <v>134</v>
      </c>
      <c r="H756">
        <v>49</v>
      </c>
      <c r="I756" s="122" t="s">
        <v>1546</v>
      </c>
      <c r="J756" s="307" t="s">
        <v>214</v>
      </c>
      <c r="K756" s="127" t="s">
        <v>2052</v>
      </c>
      <c r="L756" s="151" t="s">
        <v>1483</v>
      </c>
      <c r="M756">
        <v>62</v>
      </c>
      <c r="N756" s="123"/>
      <c r="O756">
        <v>477</v>
      </c>
      <c r="P756" s="132" t="s">
        <v>77</v>
      </c>
      <c r="Q756" s="131">
        <v>4551</v>
      </c>
      <c r="R756" s="131">
        <v>556</v>
      </c>
      <c r="S756" s="131"/>
      <c r="T756" s="155"/>
      <c r="U756" s="131"/>
      <c r="V756" s="131">
        <v>5107</v>
      </c>
      <c r="W756">
        <v>39</v>
      </c>
      <c r="X756" s="151" t="s">
        <v>1644</v>
      </c>
      <c r="Y756" s="135" t="s">
        <v>55</v>
      </c>
      <c r="Z756" s="307">
        <v>195</v>
      </c>
      <c r="AB756" t="str">
        <f>IF(Table1[[#This Row],[TIPO2]]="costo", VLOOKUP(Table1[[#This Row],[PARTIDA PRESUPUESTAL]],'Cost Report'!G:G,1,0),"Balance")</f>
        <v>3901-009</v>
      </c>
      <c r="AC756" s="118"/>
      <c r="AD756" s="159">
        <f>+Table1[[#This Row],[SUBTOTAL]]+Table1[[#This Row],[IVA]]-Table1[[#This Row],[RET IVA]]-Table1[[#This Row],[RET ISR]]-Table1[[#This Row],[TOTAL]]</f>
        <v>0</v>
      </c>
      <c r="AE756" s="150"/>
      <c r="AF756" s="151"/>
      <c r="AG756" s="126" t="s">
        <v>3420</v>
      </c>
      <c r="AH756" s="115"/>
      <c r="AK756" s="306" t="str">
        <f>IF(ISNUMBER(Table1[[#This Row],[FECHA DE RECIBIDO]]), Table1[[#This Row],[FECHA DE RECIBIDO]]-DATE(2023,8,30), "")</f>
        <v/>
      </c>
    </row>
    <row r="757" spans="1:37" ht="16.05" customHeight="1">
      <c r="A757" s="152" t="s">
        <v>2098</v>
      </c>
      <c r="B757" s="153">
        <v>304</v>
      </c>
      <c r="C757" s="126" t="s">
        <v>1714</v>
      </c>
      <c r="D757">
        <v>480</v>
      </c>
      <c r="E757" s="126" t="s">
        <v>2099</v>
      </c>
      <c r="F757" s="125" t="s">
        <v>1382</v>
      </c>
      <c r="G757" s="125" t="s">
        <v>134</v>
      </c>
      <c r="H757">
        <v>31</v>
      </c>
      <c r="I757" s="125" t="s">
        <v>1546</v>
      </c>
      <c r="J757" s="308" t="s">
        <v>214</v>
      </c>
      <c r="K757" s="127" t="s">
        <v>2052</v>
      </c>
      <c r="L757" s="153" t="s">
        <v>1483</v>
      </c>
      <c r="M757">
        <v>69</v>
      </c>
      <c r="N757" s="123"/>
      <c r="O757">
        <v>478</v>
      </c>
      <c r="P757" s="132" t="s">
        <v>77</v>
      </c>
      <c r="Q757" s="132">
        <v>17</v>
      </c>
      <c r="R757" s="132"/>
      <c r="S757" s="132"/>
      <c r="T757" s="156"/>
      <c r="U757" s="132"/>
      <c r="V757" s="132">
        <v>17</v>
      </c>
      <c r="W757">
        <v>39</v>
      </c>
      <c r="X757" s="153" t="s">
        <v>1644</v>
      </c>
      <c r="Y757" s="124" t="s">
        <v>55</v>
      </c>
      <c r="Z757" s="308">
        <v>197</v>
      </c>
      <c r="AB757" t="str">
        <f>IF(Table1[[#This Row],[TIPO2]]="costo", VLOOKUP(Table1[[#This Row],[PARTIDA PRESUPUESTAL]],'Cost Report'!G:G,1,0),"Balance")</f>
        <v>1426-003</v>
      </c>
      <c r="AC757" s="118"/>
      <c r="AD757" s="159">
        <f>+Table1[[#This Row],[SUBTOTAL]]+Table1[[#This Row],[IVA]]-Table1[[#This Row],[RET IVA]]-Table1[[#This Row],[RET ISR]]-Table1[[#This Row],[TOTAL]]</f>
        <v>0</v>
      </c>
      <c r="AE757" s="152"/>
      <c r="AF757" s="153"/>
      <c r="AG757" s="126" t="s">
        <v>3420</v>
      </c>
      <c r="AH757" s="115"/>
      <c r="AK757" s="306" t="str">
        <f>IF(ISNUMBER(Table1[[#This Row],[FECHA DE RECIBIDO]]), Table1[[#This Row],[FECHA DE RECIBIDO]]-DATE(2023,8,30), "")</f>
        <v/>
      </c>
    </row>
    <row r="758" spans="1:37" ht="16.05" customHeight="1">
      <c r="A758" s="150" t="s">
        <v>2098</v>
      </c>
      <c r="B758" s="151">
        <v>304</v>
      </c>
      <c r="C758" s="126" t="s">
        <v>1714</v>
      </c>
      <c r="D758">
        <v>481</v>
      </c>
      <c r="E758" s="126" t="s">
        <v>2099</v>
      </c>
      <c r="F758" s="122" t="s">
        <v>1382</v>
      </c>
      <c r="G758" s="122" t="s">
        <v>134</v>
      </c>
      <c r="H758">
        <v>31</v>
      </c>
      <c r="I758" s="122" t="s">
        <v>1546</v>
      </c>
      <c r="J758" s="307" t="s">
        <v>214</v>
      </c>
      <c r="K758" s="127" t="s">
        <v>2052</v>
      </c>
      <c r="L758" s="151" t="s">
        <v>1483</v>
      </c>
      <c r="M758">
        <v>69</v>
      </c>
      <c r="N758" s="123"/>
      <c r="O758">
        <v>478</v>
      </c>
      <c r="P758" s="132" t="s">
        <v>77</v>
      </c>
      <c r="Q758" s="131">
        <v>17.59</v>
      </c>
      <c r="R758" s="131">
        <v>1.41</v>
      </c>
      <c r="S758" s="131"/>
      <c r="T758" s="155"/>
      <c r="U758" s="131"/>
      <c r="V758" s="131">
        <v>19</v>
      </c>
      <c r="W758">
        <v>39</v>
      </c>
      <c r="X758" s="151" t="s">
        <v>1644</v>
      </c>
      <c r="Y758" s="135" t="s">
        <v>55</v>
      </c>
      <c r="Z758" s="307">
        <v>197</v>
      </c>
      <c r="AB758" t="str">
        <f>IF(Table1[[#This Row],[TIPO2]]="costo", VLOOKUP(Table1[[#This Row],[PARTIDA PRESUPUESTAL]],'Cost Report'!G:G,1,0),"Balance")</f>
        <v>1426-003</v>
      </c>
      <c r="AC758" s="118"/>
      <c r="AD758" s="159">
        <f>+Table1[[#This Row],[SUBTOTAL]]+Table1[[#This Row],[IVA]]-Table1[[#This Row],[RET IVA]]-Table1[[#This Row],[RET ISR]]-Table1[[#This Row],[TOTAL]]</f>
        <v>0</v>
      </c>
      <c r="AE758" s="150"/>
      <c r="AF758" s="151"/>
      <c r="AG758" s="126" t="s">
        <v>3420</v>
      </c>
      <c r="AH758" s="115"/>
      <c r="AK758" s="306" t="str">
        <f>IF(ISNUMBER(Table1[[#This Row],[FECHA DE RECIBIDO]]), Table1[[#This Row],[FECHA DE RECIBIDO]]-DATE(2023,8,30), "")</f>
        <v/>
      </c>
    </row>
    <row r="759" spans="1:37" ht="16.05" customHeight="1">
      <c r="A759" s="152" t="s">
        <v>2098</v>
      </c>
      <c r="B759" s="153">
        <v>304</v>
      </c>
      <c r="C759" s="126" t="s">
        <v>2335</v>
      </c>
      <c r="D759">
        <v>477</v>
      </c>
      <c r="E759" s="126"/>
      <c r="F759" s="125"/>
      <c r="G759" s="125"/>
      <c r="H759"/>
      <c r="I759" s="125"/>
      <c r="J759" s="308">
        <v>178</v>
      </c>
      <c r="K759" s="127" t="s">
        <v>2052</v>
      </c>
      <c r="L759" s="153" t="s">
        <v>1483</v>
      </c>
      <c r="M759">
        <v>215</v>
      </c>
      <c r="N759" s="123"/>
      <c r="O759">
        <v>479</v>
      </c>
      <c r="P759" s="132" t="s">
        <v>77</v>
      </c>
      <c r="Q759" s="132">
        <v>88</v>
      </c>
      <c r="R759" s="132"/>
      <c r="S759" s="132"/>
      <c r="T759" s="156"/>
      <c r="U759" s="132"/>
      <c r="V759" s="132">
        <v>88</v>
      </c>
      <c r="W759">
        <v>94</v>
      </c>
      <c r="X759" s="153" t="s">
        <v>1644</v>
      </c>
      <c r="Y759" s="124" t="s">
        <v>55</v>
      </c>
      <c r="Z759" s="308">
        <v>178</v>
      </c>
      <c r="AB759" t="str">
        <f>IF(Table1[[#This Row],[TIPO2]]="costo", VLOOKUP(Table1[[#This Row],[PARTIDA PRESUPUESTAL]],'Cost Report'!G:G,1,0),"Balance")</f>
        <v>1487-003</v>
      </c>
      <c r="AC759" s="118"/>
      <c r="AD759" s="159">
        <f>+Table1[[#This Row],[SUBTOTAL]]+Table1[[#This Row],[IVA]]-Table1[[#This Row],[RET IVA]]-Table1[[#This Row],[RET ISR]]-Table1[[#This Row],[TOTAL]]</f>
        <v>0</v>
      </c>
      <c r="AE759" s="152"/>
      <c r="AF759" s="153"/>
      <c r="AG759" s="126" t="s">
        <v>3420</v>
      </c>
      <c r="AH759" s="115"/>
      <c r="AK759" s="306">
        <f>IF(ISNUMBER(Table1[[#This Row],[FECHA DE RECIBIDO]]), Table1[[#This Row],[FECHA DE RECIBIDO]]-DATE(2023,8,30), "")</f>
        <v>-44990</v>
      </c>
    </row>
    <row r="760" spans="1:37" ht="16.05" customHeight="1">
      <c r="A760" s="150" t="s">
        <v>2098</v>
      </c>
      <c r="B760" s="151">
        <v>304</v>
      </c>
      <c r="C760" s="126" t="s">
        <v>2335</v>
      </c>
      <c r="D760">
        <v>477</v>
      </c>
      <c r="E760" s="126"/>
      <c r="F760" s="122"/>
      <c r="G760" s="122"/>
      <c r="H760"/>
      <c r="I760" s="122"/>
      <c r="J760" s="307">
        <v>178</v>
      </c>
      <c r="K760" s="127" t="s">
        <v>2052</v>
      </c>
      <c r="L760" s="151" t="s">
        <v>1483</v>
      </c>
      <c r="M760">
        <v>215</v>
      </c>
      <c r="N760" s="123"/>
      <c r="O760">
        <v>480</v>
      </c>
      <c r="P760" s="132" t="s">
        <v>77</v>
      </c>
      <c r="Q760" s="131">
        <v>349.91</v>
      </c>
      <c r="R760" s="131"/>
      <c r="S760" s="131"/>
      <c r="T760" s="155"/>
      <c r="U760" s="131"/>
      <c r="V760" s="131">
        <v>349.91</v>
      </c>
      <c r="W760">
        <v>95</v>
      </c>
      <c r="X760" s="151" t="s">
        <v>1644</v>
      </c>
      <c r="Y760" s="135" t="s">
        <v>55</v>
      </c>
      <c r="Z760" s="307">
        <v>178</v>
      </c>
      <c r="AB760" t="str">
        <f>IF(Table1[[#This Row],[TIPO2]]="costo", VLOOKUP(Table1[[#This Row],[PARTIDA PRESUPUESTAL]],'Cost Report'!G:G,1,0),"Balance")</f>
        <v>1487-003</v>
      </c>
      <c r="AC760" s="118"/>
      <c r="AD760" s="159">
        <f>+Table1[[#This Row],[SUBTOTAL]]+Table1[[#This Row],[IVA]]-Table1[[#This Row],[RET IVA]]-Table1[[#This Row],[RET ISR]]-Table1[[#This Row],[TOTAL]]</f>
        <v>0</v>
      </c>
      <c r="AE760" s="150"/>
      <c r="AF760" s="151"/>
      <c r="AG760" s="126" t="s">
        <v>3420</v>
      </c>
      <c r="AH760" s="115"/>
      <c r="AK760" s="306">
        <f>IF(ISNUMBER(Table1[[#This Row],[FECHA DE RECIBIDO]]), Table1[[#This Row],[FECHA DE RECIBIDO]]-DATE(2023,8,30), "")</f>
        <v>-44990</v>
      </c>
    </row>
    <row r="761" spans="1:37" ht="16.05" customHeight="1">
      <c r="A761" s="152" t="s">
        <v>2098</v>
      </c>
      <c r="B761" s="153">
        <v>304</v>
      </c>
      <c r="C761" s="126" t="s">
        <v>2335</v>
      </c>
      <c r="D761">
        <v>477</v>
      </c>
      <c r="E761" s="126"/>
      <c r="F761" s="125"/>
      <c r="G761" s="125"/>
      <c r="H761"/>
      <c r="I761" s="125"/>
      <c r="J761" s="308">
        <v>178</v>
      </c>
      <c r="K761" s="127" t="s">
        <v>2052</v>
      </c>
      <c r="L761" s="153" t="s">
        <v>1483</v>
      </c>
      <c r="M761">
        <v>215</v>
      </c>
      <c r="N761" s="123"/>
      <c r="O761">
        <v>481</v>
      </c>
      <c r="P761" s="132" t="s">
        <v>77</v>
      </c>
      <c r="Q761" s="132">
        <v>399.89</v>
      </c>
      <c r="R761" s="132"/>
      <c r="S761" s="132"/>
      <c r="T761" s="156"/>
      <c r="U761" s="132"/>
      <c r="V761" s="132">
        <v>399.89</v>
      </c>
      <c r="W761">
        <v>96</v>
      </c>
      <c r="X761" s="153" t="s">
        <v>1644</v>
      </c>
      <c r="Y761" s="124" t="s">
        <v>55</v>
      </c>
      <c r="Z761" s="308">
        <v>178</v>
      </c>
      <c r="AB761" t="str">
        <f>IF(Table1[[#This Row],[TIPO2]]="costo", VLOOKUP(Table1[[#This Row],[PARTIDA PRESUPUESTAL]],'Cost Report'!G:G,1,0),"Balance")</f>
        <v>1487-003</v>
      </c>
      <c r="AC761" s="118"/>
      <c r="AD761" s="159">
        <f>+Table1[[#This Row],[SUBTOTAL]]+Table1[[#This Row],[IVA]]-Table1[[#This Row],[RET IVA]]-Table1[[#This Row],[RET ISR]]-Table1[[#This Row],[TOTAL]]</f>
        <v>0</v>
      </c>
      <c r="AE761" s="152"/>
      <c r="AF761" s="153"/>
      <c r="AG761" s="126" t="s">
        <v>3420</v>
      </c>
      <c r="AH761" s="115"/>
      <c r="AK761" s="306">
        <f>IF(ISNUMBER(Table1[[#This Row],[FECHA DE RECIBIDO]]), Table1[[#This Row],[FECHA DE RECIBIDO]]-DATE(2023,8,30), "")</f>
        <v>-44990</v>
      </c>
    </row>
    <row r="762" spans="1:37" ht="16.05" customHeight="1">
      <c r="A762" s="150" t="s">
        <v>2098</v>
      </c>
      <c r="B762" s="151">
        <v>304</v>
      </c>
      <c r="C762" s="126" t="s">
        <v>3002</v>
      </c>
      <c r="D762">
        <v>482</v>
      </c>
      <c r="E762" s="126"/>
      <c r="F762" s="122"/>
      <c r="G762" s="122"/>
      <c r="H762"/>
      <c r="I762" s="122"/>
      <c r="J762" s="307">
        <v>196</v>
      </c>
      <c r="K762" s="127" t="s">
        <v>2052</v>
      </c>
      <c r="L762" s="151" t="s">
        <v>1483</v>
      </c>
      <c r="M762">
        <v>216</v>
      </c>
      <c r="N762" s="123"/>
      <c r="O762">
        <v>482</v>
      </c>
      <c r="P762" s="132" t="s">
        <v>77</v>
      </c>
      <c r="Q762" s="131">
        <v>3535.57</v>
      </c>
      <c r="R762" s="131"/>
      <c r="S762" s="131"/>
      <c r="T762" s="155"/>
      <c r="U762" s="131"/>
      <c r="V762" s="131">
        <v>3535.57</v>
      </c>
      <c r="W762">
        <v>97</v>
      </c>
      <c r="X762" s="151" t="s">
        <v>1644</v>
      </c>
      <c r="Y762" s="135" t="s">
        <v>55</v>
      </c>
      <c r="Z762" s="307">
        <v>196</v>
      </c>
      <c r="AB762" t="str">
        <f>IF(Table1[[#This Row],[TIPO2]]="costo", VLOOKUP(Table1[[#This Row],[PARTIDA PRESUPUESTAL]],'Cost Report'!G:G,1,0),"Balance")</f>
        <v>4180-003</v>
      </c>
      <c r="AC762" s="118"/>
      <c r="AD762" s="159">
        <f>+Table1[[#This Row],[SUBTOTAL]]+Table1[[#This Row],[IVA]]-Table1[[#This Row],[RET IVA]]-Table1[[#This Row],[RET ISR]]-Table1[[#This Row],[TOTAL]]</f>
        <v>0</v>
      </c>
      <c r="AE762" s="150"/>
      <c r="AF762" s="151"/>
      <c r="AG762" s="126" t="s">
        <v>3420</v>
      </c>
      <c r="AH762" s="115"/>
      <c r="AK762" s="306">
        <f>IF(ISNUMBER(Table1[[#This Row],[FECHA DE RECIBIDO]]), Table1[[#This Row],[FECHA DE RECIBIDO]]-DATE(2023,8,30), "")</f>
        <v>-44972</v>
      </c>
    </row>
    <row r="763" spans="1:37" ht="16.05" customHeight="1">
      <c r="A763" s="152" t="s">
        <v>2098</v>
      </c>
      <c r="B763" s="153">
        <v>304</v>
      </c>
      <c r="C763" s="126" t="s">
        <v>2335</v>
      </c>
      <c r="D763">
        <v>477</v>
      </c>
      <c r="E763" s="126"/>
      <c r="F763" s="125"/>
      <c r="G763" s="125"/>
      <c r="H763"/>
      <c r="I763" s="125"/>
      <c r="J763" s="308">
        <v>198</v>
      </c>
      <c r="K763" s="127" t="s">
        <v>2052</v>
      </c>
      <c r="L763" s="153" t="s">
        <v>1483</v>
      </c>
      <c r="M763">
        <v>215</v>
      </c>
      <c r="N763" s="123"/>
      <c r="O763">
        <v>483</v>
      </c>
      <c r="P763" s="132" t="s">
        <v>77</v>
      </c>
      <c r="Q763" s="132">
        <v>365.39</v>
      </c>
      <c r="R763" s="132"/>
      <c r="S763" s="132"/>
      <c r="T763" s="156"/>
      <c r="U763" s="132"/>
      <c r="V763" s="132">
        <v>365.39</v>
      </c>
      <c r="W763">
        <v>98</v>
      </c>
      <c r="X763" s="153" t="s">
        <v>1644</v>
      </c>
      <c r="Y763" s="124" t="s">
        <v>55</v>
      </c>
      <c r="Z763" s="308">
        <v>198</v>
      </c>
      <c r="AB763" t="str">
        <f>IF(Table1[[#This Row],[TIPO2]]="costo", VLOOKUP(Table1[[#This Row],[PARTIDA PRESUPUESTAL]],'Cost Report'!G:G,1,0),"Balance")</f>
        <v>1487-003</v>
      </c>
      <c r="AC763" s="118"/>
      <c r="AD763" s="159">
        <f>+Table1[[#This Row],[SUBTOTAL]]+Table1[[#This Row],[IVA]]-Table1[[#This Row],[RET IVA]]-Table1[[#This Row],[RET ISR]]-Table1[[#This Row],[TOTAL]]</f>
        <v>0</v>
      </c>
      <c r="AE763" s="152"/>
      <c r="AF763" s="153"/>
      <c r="AG763" s="126" t="s">
        <v>3420</v>
      </c>
      <c r="AH763" s="115"/>
      <c r="AK763" s="306">
        <f>IF(ISNUMBER(Table1[[#This Row],[FECHA DE RECIBIDO]]), Table1[[#This Row],[FECHA DE RECIBIDO]]-DATE(2023,8,30), "")</f>
        <v>-44970</v>
      </c>
    </row>
    <row r="764" spans="1:37" ht="16.05" customHeight="1">
      <c r="A764" s="150" t="s">
        <v>2098</v>
      </c>
      <c r="B764" s="151">
        <v>304</v>
      </c>
      <c r="C764" s="126" t="s">
        <v>2335</v>
      </c>
      <c r="D764">
        <v>477</v>
      </c>
      <c r="E764" s="126"/>
      <c r="F764" s="122"/>
      <c r="G764" s="122"/>
      <c r="H764"/>
      <c r="I764" s="122"/>
      <c r="J764" s="307">
        <v>201</v>
      </c>
      <c r="K764" s="127" t="s">
        <v>2052</v>
      </c>
      <c r="L764" s="151" t="s">
        <v>1483</v>
      </c>
      <c r="M764">
        <v>215</v>
      </c>
      <c r="N764" s="123"/>
      <c r="O764">
        <v>483</v>
      </c>
      <c r="P764" s="132" t="s">
        <v>77</v>
      </c>
      <c r="Q764" s="131">
        <v>162.87</v>
      </c>
      <c r="R764" s="131"/>
      <c r="S764" s="131"/>
      <c r="T764" s="155"/>
      <c r="U764" s="131"/>
      <c r="V764" s="131">
        <v>162.87</v>
      </c>
      <c r="W764">
        <v>99</v>
      </c>
      <c r="X764" s="151" t="s">
        <v>1644</v>
      </c>
      <c r="Y764" s="135" t="s">
        <v>55</v>
      </c>
      <c r="Z764" s="307">
        <v>201</v>
      </c>
      <c r="AB764" t="str">
        <f>IF(Table1[[#This Row],[TIPO2]]="costo", VLOOKUP(Table1[[#This Row],[PARTIDA PRESUPUESTAL]],'Cost Report'!G:G,1,0),"Balance")</f>
        <v>1487-003</v>
      </c>
      <c r="AC764" s="118"/>
      <c r="AD764" s="159">
        <f>+Table1[[#This Row],[SUBTOTAL]]+Table1[[#This Row],[IVA]]-Table1[[#This Row],[RET IVA]]-Table1[[#This Row],[RET ISR]]-Table1[[#This Row],[TOTAL]]</f>
        <v>0</v>
      </c>
      <c r="AE764" s="150"/>
      <c r="AF764" s="151"/>
      <c r="AG764" s="126" t="s">
        <v>3420</v>
      </c>
      <c r="AH764" s="115"/>
      <c r="AK764" s="306">
        <f>IF(ISNUMBER(Table1[[#This Row],[FECHA DE RECIBIDO]]), Table1[[#This Row],[FECHA DE RECIBIDO]]-DATE(2023,8,30), "")</f>
        <v>-44967</v>
      </c>
    </row>
    <row r="765" spans="1:37" ht="16.05" customHeight="1">
      <c r="A765" s="152" t="s">
        <v>2100</v>
      </c>
      <c r="B765" s="153">
        <v>305</v>
      </c>
      <c r="C765" s="126" t="s">
        <v>1181</v>
      </c>
      <c r="D765">
        <v>483</v>
      </c>
      <c r="E765" s="126" t="s">
        <v>2101</v>
      </c>
      <c r="F765" s="125" t="s">
        <v>1607</v>
      </c>
      <c r="G765" s="125" t="s">
        <v>134</v>
      </c>
      <c r="H765">
        <v>161</v>
      </c>
      <c r="I765" s="125" t="s">
        <v>1546</v>
      </c>
      <c r="J765" s="308" t="s">
        <v>214</v>
      </c>
      <c r="K765" s="127" t="s">
        <v>2052</v>
      </c>
      <c r="L765" s="153" t="s">
        <v>1483</v>
      </c>
      <c r="M765">
        <v>217</v>
      </c>
      <c r="N765" s="123"/>
      <c r="O765">
        <v>484</v>
      </c>
      <c r="P765" s="132" t="s">
        <v>77</v>
      </c>
      <c r="Q765" s="132">
        <v>1232.76</v>
      </c>
      <c r="R765" s="132">
        <v>197.24</v>
      </c>
      <c r="S765" s="132"/>
      <c r="T765" s="156"/>
      <c r="U765" s="132"/>
      <c r="V765" s="132">
        <v>1430</v>
      </c>
      <c r="W765">
        <v>93</v>
      </c>
      <c r="X765" s="153" t="s">
        <v>1644</v>
      </c>
      <c r="Y765" s="124" t="s">
        <v>55</v>
      </c>
      <c r="Z765" s="308">
        <v>196</v>
      </c>
      <c r="AB765" t="str">
        <f>IF(Table1[[#This Row],[TIPO2]]="costo", VLOOKUP(Table1[[#This Row],[PARTIDA PRESUPUESTAL]],'Cost Report'!G:G,1,0),"Balance")</f>
        <v>3904-003</v>
      </c>
      <c r="AC765" s="118"/>
      <c r="AD765" s="159">
        <f>+Table1[[#This Row],[SUBTOTAL]]+Table1[[#This Row],[IVA]]-Table1[[#This Row],[RET IVA]]-Table1[[#This Row],[RET ISR]]-Table1[[#This Row],[TOTAL]]</f>
        <v>0</v>
      </c>
      <c r="AE765" s="152"/>
      <c r="AF765" s="153"/>
      <c r="AG765" s="126" t="s">
        <v>3420</v>
      </c>
      <c r="AH765" s="115"/>
      <c r="AK765" s="306" t="str">
        <f>IF(ISNUMBER(Table1[[#This Row],[FECHA DE RECIBIDO]]), Table1[[#This Row],[FECHA DE RECIBIDO]]-DATE(2023,8,30), "")</f>
        <v/>
      </c>
    </row>
    <row r="766" spans="1:37" ht="16.05" customHeight="1">
      <c r="A766" s="150" t="s">
        <v>2100</v>
      </c>
      <c r="B766" s="151">
        <v>305</v>
      </c>
      <c r="C766" s="126" t="s">
        <v>396</v>
      </c>
      <c r="D766">
        <v>484</v>
      </c>
      <c r="E766" s="126" t="s">
        <v>1986</v>
      </c>
      <c r="F766" s="122" t="s">
        <v>1607</v>
      </c>
      <c r="G766" s="122" t="s">
        <v>134</v>
      </c>
      <c r="H766">
        <v>75</v>
      </c>
      <c r="I766" s="122" t="s">
        <v>1546</v>
      </c>
      <c r="J766" s="307" t="s">
        <v>214</v>
      </c>
      <c r="K766" s="127" t="s">
        <v>2052</v>
      </c>
      <c r="L766" s="151" t="s">
        <v>1483</v>
      </c>
      <c r="M766">
        <v>98</v>
      </c>
      <c r="N766" s="123"/>
      <c r="O766">
        <v>485</v>
      </c>
      <c r="P766" s="132" t="s">
        <v>77</v>
      </c>
      <c r="Q766" s="131">
        <v>7869.76</v>
      </c>
      <c r="R766" s="131"/>
      <c r="S766" s="131"/>
      <c r="T766" s="155"/>
      <c r="U766" s="131"/>
      <c r="V766" s="131">
        <v>7869.76</v>
      </c>
      <c r="W766">
        <v>93</v>
      </c>
      <c r="X766" s="151" t="s">
        <v>1644</v>
      </c>
      <c r="Y766" s="135" t="s">
        <v>55</v>
      </c>
      <c r="Z766" s="307">
        <v>196</v>
      </c>
      <c r="AB766" t="str">
        <f>IF(Table1[[#This Row],[TIPO2]]="costo", VLOOKUP(Table1[[#This Row],[PARTIDA PRESUPUESTAL]],'Cost Report'!G:G,1,0),"Balance")</f>
        <v>1620-004</v>
      </c>
      <c r="AC766" s="118"/>
      <c r="AD766" s="159">
        <f>+Table1[[#This Row],[SUBTOTAL]]+Table1[[#This Row],[IVA]]-Table1[[#This Row],[RET IVA]]-Table1[[#This Row],[RET ISR]]-Table1[[#This Row],[TOTAL]]</f>
        <v>0</v>
      </c>
      <c r="AE766" s="150"/>
      <c r="AF766" s="151"/>
      <c r="AG766" s="126" t="s">
        <v>3420</v>
      </c>
      <c r="AH766" s="115"/>
      <c r="AK766" s="306" t="str">
        <f>IF(ISNUMBER(Table1[[#This Row],[FECHA DE RECIBIDO]]), Table1[[#This Row],[FECHA DE RECIBIDO]]-DATE(2023,8,30), "")</f>
        <v/>
      </c>
    </row>
    <row r="767" spans="1:37" ht="16.05" customHeight="1">
      <c r="A767" s="152" t="s">
        <v>2100</v>
      </c>
      <c r="B767" s="153">
        <v>305</v>
      </c>
      <c r="C767" s="126" t="s">
        <v>3002</v>
      </c>
      <c r="D767">
        <v>485</v>
      </c>
      <c r="E767" s="126" t="s">
        <v>1641</v>
      </c>
      <c r="F767" s="125" t="s">
        <v>1607</v>
      </c>
      <c r="G767" s="125" t="s">
        <v>134</v>
      </c>
      <c r="H767">
        <v>49</v>
      </c>
      <c r="I767" s="125" t="s">
        <v>1546</v>
      </c>
      <c r="J767" s="308" t="s">
        <v>214</v>
      </c>
      <c r="K767" s="127" t="s">
        <v>2052</v>
      </c>
      <c r="L767" s="153" t="s">
        <v>1483</v>
      </c>
      <c r="M767">
        <v>62</v>
      </c>
      <c r="N767" s="123"/>
      <c r="O767">
        <v>486</v>
      </c>
      <c r="P767" s="132" t="s">
        <v>77</v>
      </c>
      <c r="Q767" s="132">
        <v>2611</v>
      </c>
      <c r="R767" s="132">
        <v>326</v>
      </c>
      <c r="S767" s="132"/>
      <c r="T767" s="156"/>
      <c r="U767" s="132"/>
      <c r="V767" s="132">
        <v>2937</v>
      </c>
      <c r="W767">
        <v>93</v>
      </c>
      <c r="X767" s="153" t="s">
        <v>1644</v>
      </c>
      <c r="Y767" s="124" t="s">
        <v>55</v>
      </c>
      <c r="Z767" s="308">
        <v>197</v>
      </c>
      <c r="AB767" t="str">
        <f>IF(Table1[[#This Row],[TIPO2]]="costo", VLOOKUP(Table1[[#This Row],[PARTIDA PRESUPUESTAL]],'Cost Report'!G:G,1,0),"Balance")</f>
        <v>4180-003</v>
      </c>
      <c r="AC767" s="118"/>
      <c r="AD767" s="159">
        <f>+Table1[[#This Row],[SUBTOTAL]]+Table1[[#This Row],[IVA]]-Table1[[#This Row],[RET IVA]]-Table1[[#This Row],[RET ISR]]-Table1[[#This Row],[TOTAL]]</f>
        <v>0</v>
      </c>
      <c r="AE767" s="152"/>
      <c r="AF767" s="153"/>
      <c r="AG767" s="126" t="s">
        <v>3420</v>
      </c>
      <c r="AH767" s="115"/>
      <c r="AK767" s="306" t="str">
        <f>IF(ISNUMBER(Table1[[#This Row],[FECHA DE RECIBIDO]]), Table1[[#This Row],[FECHA DE RECIBIDO]]-DATE(2023,8,30), "")</f>
        <v/>
      </c>
    </row>
    <row r="768" spans="1:37" ht="16.05" customHeight="1">
      <c r="A768" s="150" t="s">
        <v>2100</v>
      </c>
      <c r="B768" s="151">
        <v>305</v>
      </c>
      <c r="C768" s="126" t="s">
        <v>3002</v>
      </c>
      <c r="D768">
        <v>486</v>
      </c>
      <c r="E768" s="126" t="s">
        <v>1641</v>
      </c>
      <c r="F768" s="122" t="s">
        <v>1607</v>
      </c>
      <c r="G768" s="122" t="s">
        <v>134</v>
      </c>
      <c r="H768">
        <v>49</v>
      </c>
      <c r="I768" s="122" t="s">
        <v>1546</v>
      </c>
      <c r="J768" s="307" t="s">
        <v>214</v>
      </c>
      <c r="K768" s="127" t="s">
        <v>2052</v>
      </c>
      <c r="L768" s="151" t="s">
        <v>1483</v>
      </c>
      <c r="M768">
        <v>62</v>
      </c>
      <c r="N768" s="123"/>
      <c r="O768">
        <v>487</v>
      </c>
      <c r="P768" s="132" t="s">
        <v>77</v>
      </c>
      <c r="Q768" s="131">
        <v>3497</v>
      </c>
      <c r="R768" s="131">
        <v>467</v>
      </c>
      <c r="S768" s="131"/>
      <c r="T768" s="155"/>
      <c r="U768" s="131"/>
      <c r="V768" s="131">
        <v>3964</v>
      </c>
      <c r="W768">
        <v>93</v>
      </c>
      <c r="X768" s="151" t="s">
        <v>1644</v>
      </c>
      <c r="Y768" s="135" t="s">
        <v>55</v>
      </c>
      <c r="Z768" s="307">
        <v>197</v>
      </c>
      <c r="AB768" t="str">
        <f>IF(Table1[[#This Row],[TIPO2]]="costo", VLOOKUP(Table1[[#This Row],[PARTIDA PRESUPUESTAL]],'Cost Report'!G:G,1,0),"Balance")</f>
        <v>4180-003</v>
      </c>
      <c r="AC768" s="118"/>
      <c r="AD768" s="159">
        <f>+Table1[[#This Row],[SUBTOTAL]]+Table1[[#This Row],[IVA]]-Table1[[#This Row],[RET IVA]]-Table1[[#This Row],[RET ISR]]-Table1[[#This Row],[TOTAL]]</f>
        <v>0</v>
      </c>
      <c r="AE768" s="150"/>
      <c r="AF768" s="151"/>
      <c r="AG768" s="126" t="s">
        <v>3420</v>
      </c>
      <c r="AH768" s="115"/>
      <c r="AK768" s="306" t="str">
        <f>IF(ISNUMBER(Table1[[#This Row],[FECHA DE RECIBIDO]]), Table1[[#This Row],[FECHA DE RECIBIDO]]-DATE(2023,8,30), "")</f>
        <v/>
      </c>
    </row>
    <row r="769" spans="1:37" ht="16.05" customHeight="1">
      <c r="A769" s="152" t="s">
        <v>2100</v>
      </c>
      <c r="B769" s="153">
        <v>305</v>
      </c>
      <c r="C769" s="126" t="s">
        <v>3002</v>
      </c>
      <c r="D769">
        <v>487</v>
      </c>
      <c r="E769" s="126" t="s">
        <v>1624</v>
      </c>
      <c r="F769" s="125" t="s">
        <v>1607</v>
      </c>
      <c r="G769" s="125" t="s">
        <v>134</v>
      </c>
      <c r="H769">
        <v>46</v>
      </c>
      <c r="I769" s="125" t="s">
        <v>1546</v>
      </c>
      <c r="J769" s="308" t="s">
        <v>214</v>
      </c>
      <c r="K769" s="127" t="s">
        <v>2052</v>
      </c>
      <c r="L769" s="153" t="s">
        <v>1483</v>
      </c>
      <c r="M769">
        <v>58</v>
      </c>
      <c r="N769" s="123"/>
      <c r="O769">
        <v>488</v>
      </c>
      <c r="P769" s="132" t="s">
        <v>77</v>
      </c>
      <c r="Q769" s="132">
        <v>4083.85</v>
      </c>
      <c r="R769" s="132">
        <v>571.63</v>
      </c>
      <c r="S769" s="132"/>
      <c r="T769" s="156"/>
      <c r="U769" s="132"/>
      <c r="V769" s="132">
        <v>4655.4799999999996</v>
      </c>
      <c r="W769">
        <v>93</v>
      </c>
      <c r="X769" s="153" t="s">
        <v>1644</v>
      </c>
      <c r="Y769" s="124" t="s">
        <v>55</v>
      </c>
      <c r="Z769" s="308">
        <v>197</v>
      </c>
      <c r="AB769" t="str">
        <f>IF(Table1[[#This Row],[TIPO2]]="costo", VLOOKUP(Table1[[#This Row],[PARTIDA PRESUPUESTAL]],'Cost Report'!G:G,1,0),"Balance")</f>
        <v>4180-003</v>
      </c>
      <c r="AC769" s="118"/>
      <c r="AD769" s="159">
        <f>+Table1[[#This Row],[SUBTOTAL]]+Table1[[#This Row],[IVA]]-Table1[[#This Row],[RET IVA]]-Table1[[#This Row],[RET ISR]]-Table1[[#This Row],[TOTAL]]</f>
        <v>0</v>
      </c>
      <c r="AE769" s="152"/>
      <c r="AF769" s="153"/>
      <c r="AG769" s="126" t="s">
        <v>3420</v>
      </c>
      <c r="AH769" s="115"/>
      <c r="AK769" s="306" t="str">
        <f>IF(ISNUMBER(Table1[[#This Row],[FECHA DE RECIBIDO]]), Table1[[#This Row],[FECHA DE RECIBIDO]]-DATE(2023,8,30), "")</f>
        <v/>
      </c>
    </row>
    <row r="770" spans="1:37" ht="16.05" customHeight="1">
      <c r="A770" s="150" t="s">
        <v>2100</v>
      </c>
      <c r="B770" s="151">
        <v>305</v>
      </c>
      <c r="C770" s="126" t="s">
        <v>2352</v>
      </c>
      <c r="D770">
        <v>488</v>
      </c>
      <c r="E770" s="126" t="s">
        <v>1624</v>
      </c>
      <c r="F770" s="122" t="s">
        <v>1607</v>
      </c>
      <c r="G770" s="122" t="s">
        <v>134</v>
      </c>
      <c r="H770">
        <v>46</v>
      </c>
      <c r="I770" s="122" t="s">
        <v>1546</v>
      </c>
      <c r="J770" s="307" t="s">
        <v>214</v>
      </c>
      <c r="K770" s="127" t="s">
        <v>2052</v>
      </c>
      <c r="L770" s="151" t="s">
        <v>1483</v>
      </c>
      <c r="M770">
        <v>58</v>
      </c>
      <c r="N770" s="123"/>
      <c r="O770">
        <v>489</v>
      </c>
      <c r="P770" s="132" t="s">
        <v>77</v>
      </c>
      <c r="Q770" s="131">
        <v>12919.04</v>
      </c>
      <c r="R770" s="131">
        <v>1708.56</v>
      </c>
      <c r="S770" s="131"/>
      <c r="T770" s="155"/>
      <c r="U770" s="131"/>
      <c r="V770" s="131">
        <v>14627.6</v>
      </c>
      <c r="W770">
        <v>93</v>
      </c>
      <c r="X770" s="151" t="s">
        <v>1644</v>
      </c>
      <c r="Y770" s="135" t="s">
        <v>55</v>
      </c>
      <c r="Z770" s="307">
        <v>198</v>
      </c>
      <c r="AB770" t="str">
        <f>IF(Table1[[#This Row],[TIPO2]]="costo", VLOOKUP(Table1[[#This Row],[PARTIDA PRESUPUESTAL]],'Cost Report'!G:G,1,0),"Balance")</f>
        <v>1640-009</v>
      </c>
      <c r="AC770" s="118"/>
      <c r="AD770" s="159">
        <f>+Table1[[#This Row],[SUBTOTAL]]+Table1[[#This Row],[IVA]]-Table1[[#This Row],[RET IVA]]-Table1[[#This Row],[RET ISR]]-Table1[[#This Row],[TOTAL]]</f>
        <v>0</v>
      </c>
      <c r="AE770" s="150"/>
      <c r="AF770" s="151"/>
      <c r="AG770" s="126" t="s">
        <v>3420</v>
      </c>
      <c r="AH770" s="115"/>
      <c r="AK770" s="306" t="str">
        <f>IF(ISNUMBER(Table1[[#This Row],[FECHA DE RECIBIDO]]), Table1[[#This Row],[FECHA DE RECIBIDO]]-DATE(2023,8,30), "")</f>
        <v/>
      </c>
    </row>
    <row r="771" spans="1:37" ht="16.05" customHeight="1">
      <c r="A771" s="152" t="s">
        <v>2100</v>
      </c>
      <c r="B771" s="153">
        <v>305</v>
      </c>
      <c r="C771" s="126" t="s">
        <v>2352</v>
      </c>
      <c r="D771">
        <v>489</v>
      </c>
      <c r="E771" s="126" t="s">
        <v>1624</v>
      </c>
      <c r="F771" s="125" t="s">
        <v>1607</v>
      </c>
      <c r="G771" s="125" t="s">
        <v>134</v>
      </c>
      <c r="H771">
        <v>46</v>
      </c>
      <c r="I771" s="125" t="s">
        <v>1546</v>
      </c>
      <c r="J771" s="308" t="s">
        <v>214</v>
      </c>
      <c r="K771" s="127" t="s">
        <v>2052</v>
      </c>
      <c r="L771" s="153" t="s">
        <v>1483</v>
      </c>
      <c r="M771">
        <v>58</v>
      </c>
      <c r="N771" s="123"/>
      <c r="O771">
        <v>490</v>
      </c>
      <c r="P771" s="132" t="s">
        <v>77</v>
      </c>
      <c r="Q771" s="132">
        <v>13322.46</v>
      </c>
      <c r="R771" s="132">
        <v>1773.1</v>
      </c>
      <c r="S771" s="132"/>
      <c r="T771" s="156"/>
      <c r="U771" s="132"/>
      <c r="V771" s="132">
        <v>15095.56</v>
      </c>
      <c r="W771">
        <v>93</v>
      </c>
      <c r="X771" s="153" t="s">
        <v>1644</v>
      </c>
      <c r="Y771" s="124" t="s">
        <v>55</v>
      </c>
      <c r="Z771" s="308">
        <v>198</v>
      </c>
      <c r="AB771" t="str">
        <f>IF(Table1[[#This Row],[TIPO2]]="costo", VLOOKUP(Table1[[#This Row],[PARTIDA PRESUPUESTAL]],'Cost Report'!G:G,1,0),"Balance")</f>
        <v>1640-009</v>
      </c>
      <c r="AC771" s="118"/>
      <c r="AD771" s="159">
        <f>+Table1[[#This Row],[SUBTOTAL]]+Table1[[#This Row],[IVA]]-Table1[[#This Row],[RET IVA]]-Table1[[#This Row],[RET ISR]]-Table1[[#This Row],[TOTAL]]</f>
        <v>0</v>
      </c>
      <c r="AE771" s="152"/>
      <c r="AF771" s="153"/>
      <c r="AG771" s="126" t="s">
        <v>3420</v>
      </c>
      <c r="AH771" s="115"/>
      <c r="AK771" s="306" t="str">
        <f>IF(ISNUMBER(Table1[[#This Row],[FECHA DE RECIBIDO]]), Table1[[#This Row],[FECHA DE RECIBIDO]]-DATE(2023,8,30), "")</f>
        <v/>
      </c>
    </row>
    <row r="772" spans="1:37" ht="16.05" customHeight="1">
      <c r="A772" s="150" t="s">
        <v>2100</v>
      </c>
      <c r="B772" s="151">
        <v>305</v>
      </c>
      <c r="C772" s="126" t="s">
        <v>2352</v>
      </c>
      <c r="D772">
        <v>490</v>
      </c>
      <c r="E772" s="126" t="s">
        <v>1624</v>
      </c>
      <c r="F772" s="122" t="s">
        <v>1607</v>
      </c>
      <c r="G772" s="122" t="s">
        <v>134</v>
      </c>
      <c r="H772">
        <v>46</v>
      </c>
      <c r="I772" s="122" t="s">
        <v>1546</v>
      </c>
      <c r="J772" s="307" t="s">
        <v>214</v>
      </c>
      <c r="K772" s="127" t="s">
        <v>2052</v>
      </c>
      <c r="L772" s="151" t="s">
        <v>1483</v>
      </c>
      <c r="M772">
        <v>58</v>
      </c>
      <c r="N772" s="123"/>
      <c r="O772">
        <v>491</v>
      </c>
      <c r="P772" s="132" t="s">
        <v>77</v>
      </c>
      <c r="Q772" s="131">
        <v>12546.6</v>
      </c>
      <c r="R772" s="131">
        <v>1648.96</v>
      </c>
      <c r="S772" s="131"/>
      <c r="T772" s="155"/>
      <c r="U772" s="131"/>
      <c r="V772" s="131">
        <v>14195.560000000001</v>
      </c>
      <c r="W772">
        <v>93</v>
      </c>
      <c r="X772" s="151" t="s">
        <v>1644</v>
      </c>
      <c r="Y772" s="135" t="s">
        <v>55</v>
      </c>
      <c r="Z772" s="307">
        <v>198</v>
      </c>
      <c r="AB772" t="str">
        <f>IF(Table1[[#This Row],[TIPO2]]="costo", VLOOKUP(Table1[[#This Row],[PARTIDA PRESUPUESTAL]],'Cost Report'!G:G,1,0),"Balance")</f>
        <v>1640-009</v>
      </c>
      <c r="AC772" s="118"/>
      <c r="AD772" s="159">
        <f>+Table1[[#This Row],[SUBTOTAL]]+Table1[[#This Row],[IVA]]-Table1[[#This Row],[RET IVA]]-Table1[[#This Row],[RET ISR]]-Table1[[#This Row],[TOTAL]]</f>
        <v>0</v>
      </c>
      <c r="AE772" s="150"/>
      <c r="AF772" s="151"/>
      <c r="AG772" s="126" t="s">
        <v>3420</v>
      </c>
      <c r="AH772" s="115"/>
      <c r="AK772" s="306" t="str">
        <f>IF(ISNUMBER(Table1[[#This Row],[FECHA DE RECIBIDO]]), Table1[[#This Row],[FECHA DE RECIBIDO]]-DATE(2023,8,30), "")</f>
        <v/>
      </c>
    </row>
    <row r="773" spans="1:37" ht="16.05" customHeight="1">
      <c r="A773" s="152" t="s">
        <v>2100</v>
      </c>
      <c r="B773" s="153">
        <v>305</v>
      </c>
      <c r="C773" s="126" t="s">
        <v>3002</v>
      </c>
      <c r="D773">
        <v>491</v>
      </c>
      <c r="E773" s="126" t="s">
        <v>1624</v>
      </c>
      <c r="F773" s="125" t="s">
        <v>1607</v>
      </c>
      <c r="G773" s="125" t="s">
        <v>134</v>
      </c>
      <c r="H773">
        <v>46</v>
      </c>
      <c r="I773" s="125" t="s">
        <v>1546</v>
      </c>
      <c r="J773" s="308" t="s">
        <v>214</v>
      </c>
      <c r="K773" s="127" t="s">
        <v>2052</v>
      </c>
      <c r="L773" s="153" t="s">
        <v>1483</v>
      </c>
      <c r="M773">
        <v>58</v>
      </c>
      <c r="N773" s="123"/>
      <c r="O773">
        <v>492</v>
      </c>
      <c r="P773" s="132" t="s">
        <v>77</v>
      </c>
      <c r="Q773" s="132">
        <v>5554.11</v>
      </c>
      <c r="R773" s="132">
        <v>709.41</v>
      </c>
      <c r="S773" s="132"/>
      <c r="T773" s="156"/>
      <c r="U773" s="132"/>
      <c r="V773" s="132">
        <v>6263.5199999999995</v>
      </c>
      <c r="W773">
        <v>93</v>
      </c>
      <c r="X773" s="153" t="s">
        <v>1644</v>
      </c>
      <c r="Y773" s="124" t="s">
        <v>55</v>
      </c>
      <c r="Z773" s="308">
        <v>198</v>
      </c>
      <c r="AB773" t="str">
        <f>IF(Table1[[#This Row],[TIPO2]]="costo", VLOOKUP(Table1[[#This Row],[PARTIDA PRESUPUESTAL]],'Cost Report'!G:G,1,0),"Balance")</f>
        <v>4180-003</v>
      </c>
      <c r="AC773" s="118"/>
      <c r="AD773" s="159">
        <f>+Table1[[#This Row],[SUBTOTAL]]+Table1[[#This Row],[IVA]]-Table1[[#This Row],[RET IVA]]-Table1[[#This Row],[RET ISR]]-Table1[[#This Row],[TOTAL]]</f>
        <v>0</v>
      </c>
      <c r="AE773" s="152"/>
      <c r="AF773" s="153"/>
      <c r="AG773" s="126" t="s">
        <v>3420</v>
      </c>
      <c r="AH773" s="115"/>
      <c r="AK773" s="306" t="str">
        <f>IF(ISNUMBER(Table1[[#This Row],[FECHA DE RECIBIDO]]), Table1[[#This Row],[FECHA DE RECIBIDO]]-DATE(2023,8,30), "")</f>
        <v/>
      </c>
    </row>
    <row r="774" spans="1:37" ht="16.05" customHeight="1">
      <c r="A774" s="150" t="s">
        <v>2100</v>
      </c>
      <c r="B774" s="151">
        <v>305</v>
      </c>
      <c r="C774" s="126" t="s">
        <v>396</v>
      </c>
      <c r="D774">
        <v>492</v>
      </c>
      <c r="E774" s="126" t="s">
        <v>2067</v>
      </c>
      <c r="F774" s="122" t="s">
        <v>1607</v>
      </c>
      <c r="G774" s="122" t="s">
        <v>134</v>
      </c>
      <c r="H774">
        <v>136</v>
      </c>
      <c r="I774" s="122" t="s">
        <v>1546</v>
      </c>
      <c r="J774" s="307" t="s">
        <v>214</v>
      </c>
      <c r="K774" s="127" t="s">
        <v>2052</v>
      </c>
      <c r="L774" s="151" t="s">
        <v>1483</v>
      </c>
      <c r="M774">
        <v>178</v>
      </c>
      <c r="N774" s="123"/>
      <c r="O774">
        <v>493</v>
      </c>
      <c r="P774" s="132" t="s">
        <v>77</v>
      </c>
      <c r="Q774" s="131">
        <v>2913.28</v>
      </c>
      <c r="R774" s="131">
        <v>371.72</v>
      </c>
      <c r="S774" s="131"/>
      <c r="T774" s="155"/>
      <c r="U774" s="131"/>
      <c r="V774" s="131">
        <v>3285</v>
      </c>
      <c r="W774">
        <v>93</v>
      </c>
      <c r="X774" s="151" t="s">
        <v>1644</v>
      </c>
      <c r="Y774" s="135" t="s">
        <v>55</v>
      </c>
      <c r="Z774" s="307">
        <v>198</v>
      </c>
      <c r="AB774" t="str">
        <f>IF(Table1[[#This Row],[TIPO2]]="costo", VLOOKUP(Table1[[#This Row],[PARTIDA PRESUPUESTAL]],'Cost Report'!G:G,1,0),"Balance")</f>
        <v>1620-004</v>
      </c>
      <c r="AC774" s="118"/>
      <c r="AD774" s="159">
        <f>+Table1[[#This Row],[SUBTOTAL]]+Table1[[#This Row],[IVA]]-Table1[[#This Row],[RET IVA]]-Table1[[#This Row],[RET ISR]]-Table1[[#This Row],[TOTAL]]</f>
        <v>0</v>
      </c>
      <c r="AE774" s="150"/>
      <c r="AF774" s="151"/>
      <c r="AG774" s="126" t="s">
        <v>3420</v>
      </c>
      <c r="AH774" s="115"/>
      <c r="AK774" s="306" t="str">
        <f>IF(ISNUMBER(Table1[[#This Row],[FECHA DE RECIBIDO]]), Table1[[#This Row],[FECHA DE RECIBIDO]]-DATE(2023,8,30), "")</f>
        <v/>
      </c>
    </row>
    <row r="775" spans="1:37" ht="16.05" customHeight="1">
      <c r="A775" s="152" t="s">
        <v>2100</v>
      </c>
      <c r="B775" s="153">
        <v>305</v>
      </c>
      <c r="C775" s="126" t="s">
        <v>405</v>
      </c>
      <c r="D775">
        <v>493</v>
      </c>
      <c r="E775" s="126" t="s">
        <v>1624</v>
      </c>
      <c r="F775" s="125" t="s">
        <v>1607</v>
      </c>
      <c r="G775" s="125" t="s">
        <v>134</v>
      </c>
      <c r="H775">
        <v>46</v>
      </c>
      <c r="I775" s="125" t="s">
        <v>1546</v>
      </c>
      <c r="J775" s="308" t="s">
        <v>214</v>
      </c>
      <c r="K775" s="127" t="s">
        <v>2052</v>
      </c>
      <c r="L775" s="153" t="s">
        <v>1483</v>
      </c>
      <c r="M775">
        <v>178</v>
      </c>
      <c r="N775" s="123"/>
      <c r="O775">
        <v>494</v>
      </c>
      <c r="P775" s="132" t="s">
        <v>77</v>
      </c>
      <c r="Q775" s="132">
        <v>2877.6</v>
      </c>
      <c r="R775" s="132">
        <v>362.95</v>
      </c>
      <c r="S775" s="132"/>
      <c r="T775" s="156"/>
      <c r="U775" s="132"/>
      <c r="V775" s="132">
        <v>3240.5499999999997</v>
      </c>
      <c r="W775">
        <v>93</v>
      </c>
      <c r="X775" s="153" t="s">
        <v>1644</v>
      </c>
      <c r="Y775" s="124" t="s">
        <v>55</v>
      </c>
      <c r="Z775" s="308">
        <v>198</v>
      </c>
      <c r="AB775" t="str">
        <f>IF(Table1[[#This Row],[TIPO2]]="costo", VLOOKUP(Table1[[#This Row],[PARTIDA PRESUPUESTAL]],'Cost Report'!G:G,1,0),"Balance")</f>
        <v>1630-006</v>
      </c>
      <c r="AC775" s="118"/>
      <c r="AD775" s="159">
        <f>+Table1[[#This Row],[SUBTOTAL]]+Table1[[#This Row],[IVA]]-Table1[[#This Row],[RET IVA]]-Table1[[#This Row],[RET ISR]]-Table1[[#This Row],[TOTAL]]</f>
        <v>0</v>
      </c>
      <c r="AE775" s="152"/>
      <c r="AF775" s="153"/>
      <c r="AG775" s="126" t="s">
        <v>3420</v>
      </c>
      <c r="AH775" s="115"/>
      <c r="AK775" s="306" t="str">
        <f>IF(ISNUMBER(Table1[[#This Row],[FECHA DE RECIBIDO]]), Table1[[#This Row],[FECHA DE RECIBIDO]]-DATE(2023,8,30), "")</f>
        <v/>
      </c>
    </row>
    <row r="776" spans="1:37" ht="16.05" customHeight="1">
      <c r="A776" s="150" t="s">
        <v>2100</v>
      </c>
      <c r="B776" s="151">
        <v>305</v>
      </c>
      <c r="C776" s="126" t="s">
        <v>3105</v>
      </c>
      <c r="D776">
        <v>494</v>
      </c>
      <c r="E776" s="126" t="s">
        <v>2102</v>
      </c>
      <c r="F776" s="122" t="s">
        <v>1607</v>
      </c>
      <c r="G776" s="122" t="s">
        <v>134</v>
      </c>
      <c r="H776">
        <v>162</v>
      </c>
      <c r="I776" s="122" t="s">
        <v>1546</v>
      </c>
      <c r="J776" s="307" t="s">
        <v>214</v>
      </c>
      <c r="K776" s="127" t="s">
        <v>2052</v>
      </c>
      <c r="L776" s="151" t="s">
        <v>1483</v>
      </c>
      <c r="M776">
        <v>218</v>
      </c>
      <c r="N776" s="123"/>
      <c r="O776">
        <v>495</v>
      </c>
      <c r="P776" s="132" t="s">
        <v>77</v>
      </c>
      <c r="Q776" s="131">
        <v>619.83000000000004</v>
      </c>
      <c r="R776" s="131">
        <v>99.17</v>
      </c>
      <c r="S776" s="131"/>
      <c r="T776" s="155"/>
      <c r="U776" s="131"/>
      <c r="V776" s="131">
        <v>719</v>
      </c>
      <c r="W776">
        <v>93</v>
      </c>
      <c r="X776" s="151" t="s">
        <v>1644</v>
      </c>
      <c r="Y776" s="135" t="s">
        <v>55</v>
      </c>
      <c r="Z776" s="307">
        <v>198</v>
      </c>
      <c r="AB776" t="str">
        <f>IF(Table1[[#This Row],[TIPO2]]="costo", VLOOKUP(Table1[[#This Row],[PARTIDA PRESUPUESTAL]],'Cost Report'!G:G,1,0),"Balance")</f>
        <v>7050-005</v>
      </c>
      <c r="AC776" s="118"/>
      <c r="AD776" s="159">
        <f>+Table1[[#This Row],[SUBTOTAL]]+Table1[[#This Row],[IVA]]-Table1[[#This Row],[RET IVA]]-Table1[[#This Row],[RET ISR]]-Table1[[#This Row],[TOTAL]]</f>
        <v>0</v>
      </c>
      <c r="AE776" s="150"/>
      <c r="AF776" s="151"/>
      <c r="AG776" s="126" t="s">
        <v>3420</v>
      </c>
      <c r="AH776" s="115"/>
      <c r="AK776" s="306" t="str">
        <f>IF(ISNUMBER(Table1[[#This Row],[FECHA DE RECIBIDO]]), Table1[[#This Row],[FECHA DE RECIBIDO]]-DATE(2023,8,30), "")</f>
        <v/>
      </c>
    </row>
    <row r="777" spans="1:37" ht="16.05" customHeight="1">
      <c r="A777" s="152" t="s">
        <v>2100</v>
      </c>
      <c r="B777" s="153">
        <v>305</v>
      </c>
      <c r="C777" s="126" t="s">
        <v>3002</v>
      </c>
      <c r="D777">
        <v>495</v>
      </c>
      <c r="E777" s="126" t="s">
        <v>1624</v>
      </c>
      <c r="F777" s="125" t="s">
        <v>1607</v>
      </c>
      <c r="G777" s="125" t="s">
        <v>134</v>
      </c>
      <c r="H777">
        <v>46</v>
      </c>
      <c r="I777" s="125" t="s">
        <v>1546</v>
      </c>
      <c r="J777" s="308" t="s">
        <v>214</v>
      </c>
      <c r="K777" s="127" t="s">
        <v>2052</v>
      </c>
      <c r="L777" s="153" t="s">
        <v>1483</v>
      </c>
      <c r="M777">
        <v>58</v>
      </c>
      <c r="N777" s="123"/>
      <c r="O777">
        <v>496</v>
      </c>
      <c r="P777" s="132" t="s">
        <v>77</v>
      </c>
      <c r="Q777" s="132">
        <v>3018.11</v>
      </c>
      <c r="R777" s="132">
        <v>385.44</v>
      </c>
      <c r="S777" s="132"/>
      <c r="T777" s="156"/>
      <c r="U777" s="132"/>
      <c r="V777" s="132">
        <v>3403.55</v>
      </c>
      <c r="W777">
        <v>93</v>
      </c>
      <c r="X777" s="153" t="s">
        <v>1644</v>
      </c>
      <c r="Y777" s="124" t="s">
        <v>55</v>
      </c>
      <c r="Z777" s="308">
        <v>198</v>
      </c>
      <c r="AB777" t="str">
        <f>IF(Table1[[#This Row],[TIPO2]]="costo", VLOOKUP(Table1[[#This Row],[PARTIDA PRESUPUESTAL]],'Cost Report'!G:G,1,0),"Balance")</f>
        <v>4180-003</v>
      </c>
      <c r="AC777" s="118"/>
      <c r="AD777" s="159">
        <f>+Table1[[#This Row],[SUBTOTAL]]+Table1[[#This Row],[IVA]]-Table1[[#This Row],[RET IVA]]-Table1[[#This Row],[RET ISR]]-Table1[[#This Row],[TOTAL]]</f>
        <v>0</v>
      </c>
      <c r="AE777" s="152"/>
      <c r="AF777" s="153"/>
      <c r="AG777" s="126" t="s">
        <v>3420</v>
      </c>
      <c r="AH777" s="115"/>
      <c r="AK777" s="306" t="str">
        <f>IF(ISNUMBER(Table1[[#This Row],[FECHA DE RECIBIDO]]), Table1[[#This Row],[FECHA DE RECIBIDO]]-DATE(2023,8,30), "")</f>
        <v/>
      </c>
    </row>
    <row r="778" spans="1:37" ht="16.05" customHeight="1">
      <c r="A778" s="150" t="s">
        <v>2100</v>
      </c>
      <c r="B778" s="151">
        <v>305</v>
      </c>
      <c r="C778" s="126" t="s">
        <v>3002</v>
      </c>
      <c r="D778">
        <v>496</v>
      </c>
      <c r="E778" s="126" t="s">
        <v>1624</v>
      </c>
      <c r="F778" s="122" t="s">
        <v>1607</v>
      </c>
      <c r="G778" s="122" t="s">
        <v>134</v>
      </c>
      <c r="H778">
        <v>46</v>
      </c>
      <c r="I778" s="122" t="s">
        <v>1546</v>
      </c>
      <c r="J778" s="307" t="s">
        <v>214</v>
      </c>
      <c r="K778" s="127" t="s">
        <v>2052</v>
      </c>
      <c r="L778" s="151" t="s">
        <v>1483</v>
      </c>
      <c r="M778">
        <v>58</v>
      </c>
      <c r="N778" s="123"/>
      <c r="O778">
        <v>497</v>
      </c>
      <c r="P778" s="132" t="s">
        <v>77</v>
      </c>
      <c r="Q778" s="131">
        <v>6601.37</v>
      </c>
      <c r="R778" s="131">
        <v>876.97</v>
      </c>
      <c r="S778" s="131"/>
      <c r="T778" s="155"/>
      <c r="U778" s="131"/>
      <c r="V778" s="131">
        <v>7478.34</v>
      </c>
      <c r="W778">
        <v>93</v>
      </c>
      <c r="X778" s="151" t="s">
        <v>1644</v>
      </c>
      <c r="Y778" s="135" t="s">
        <v>55</v>
      </c>
      <c r="Z778" s="307">
        <v>198</v>
      </c>
      <c r="AB778" t="str">
        <f>IF(Table1[[#This Row],[TIPO2]]="costo", VLOOKUP(Table1[[#This Row],[PARTIDA PRESUPUESTAL]],'Cost Report'!G:G,1,0),"Balance")</f>
        <v>4180-003</v>
      </c>
      <c r="AC778" s="118"/>
      <c r="AD778" s="159">
        <f>+Table1[[#This Row],[SUBTOTAL]]+Table1[[#This Row],[IVA]]-Table1[[#This Row],[RET IVA]]-Table1[[#This Row],[RET ISR]]-Table1[[#This Row],[TOTAL]]</f>
        <v>0</v>
      </c>
      <c r="AE778" s="150"/>
      <c r="AF778" s="151"/>
      <c r="AG778" s="126" t="s">
        <v>3420</v>
      </c>
      <c r="AH778" s="115"/>
      <c r="AK778" s="306" t="str">
        <f>IF(ISNUMBER(Table1[[#This Row],[FECHA DE RECIBIDO]]), Table1[[#This Row],[FECHA DE RECIBIDO]]-DATE(2023,8,30), "")</f>
        <v/>
      </c>
    </row>
    <row r="779" spans="1:37" ht="16.05" customHeight="1">
      <c r="A779" s="152" t="s">
        <v>2100</v>
      </c>
      <c r="B779" s="153">
        <v>305</v>
      </c>
      <c r="C779" s="126" t="s">
        <v>1132</v>
      </c>
      <c r="D779">
        <v>497</v>
      </c>
      <c r="E779" s="126" t="s">
        <v>1624</v>
      </c>
      <c r="F779" s="125" t="s">
        <v>1607</v>
      </c>
      <c r="G779" s="125" t="s">
        <v>134</v>
      </c>
      <c r="H779">
        <v>46</v>
      </c>
      <c r="I779" s="125" t="s">
        <v>1546</v>
      </c>
      <c r="J779" s="308" t="s">
        <v>214</v>
      </c>
      <c r="K779" s="127" t="s">
        <v>2052</v>
      </c>
      <c r="L779" s="153" t="s">
        <v>1483</v>
      </c>
      <c r="M779">
        <v>58</v>
      </c>
      <c r="N779" s="123"/>
      <c r="O779">
        <v>498</v>
      </c>
      <c r="P779" s="132" t="s">
        <v>77</v>
      </c>
      <c r="Q779" s="132">
        <v>2128.0500000000002</v>
      </c>
      <c r="R779" s="132">
        <v>243.02</v>
      </c>
      <c r="S779" s="132"/>
      <c r="T779" s="156"/>
      <c r="U779" s="132"/>
      <c r="V779" s="132">
        <v>2371.0700000000002</v>
      </c>
      <c r="W779">
        <v>93</v>
      </c>
      <c r="X779" s="153" t="s">
        <v>1644</v>
      </c>
      <c r="Y779" s="124" t="s">
        <v>55</v>
      </c>
      <c r="Z779" s="308">
        <v>198</v>
      </c>
      <c r="AB779" t="str">
        <f>IF(Table1[[#This Row],[TIPO2]]="costo", VLOOKUP(Table1[[#This Row],[PARTIDA PRESUPUESTAL]],'Cost Report'!G:G,1,0),"Balance")</f>
        <v>3901-023</v>
      </c>
      <c r="AC779" s="118"/>
      <c r="AD779" s="159">
        <f>+Table1[[#This Row],[SUBTOTAL]]+Table1[[#This Row],[IVA]]-Table1[[#This Row],[RET IVA]]-Table1[[#This Row],[RET ISR]]-Table1[[#This Row],[TOTAL]]</f>
        <v>0</v>
      </c>
      <c r="AE779" s="152"/>
      <c r="AF779" s="153"/>
      <c r="AG779" s="126" t="s">
        <v>3420</v>
      </c>
      <c r="AH779" s="115"/>
      <c r="AK779" s="306" t="str">
        <f>IF(ISNUMBER(Table1[[#This Row],[FECHA DE RECIBIDO]]), Table1[[#This Row],[FECHA DE RECIBIDO]]-DATE(2023,8,30), "")</f>
        <v/>
      </c>
    </row>
    <row r="780" spans="1:37" ht="16.05" customHeight="1">
      <c r="A780" s="150" t="s">
        <v>2100</v>
      </c>
      <c r="B780" s="151">
        <v>305</v>
      </c>
      <c r="C780" s="126" t="s">
        <v>1126</v>
      </c>
      <c r="D780">
        <v>498</v>
      </c>
      <c r="E780" s="126" t="s">
        <v>1624</v>
      </c>
      <c r="F780" s="122" t="s">
        <v>1607</v>
      </c>
      <c r="G780" s="122" t="s">
        <v>134</v>
      </c>
      <c r="H780">
        <v>46</v>
      </c>
      <c r="I780" s="122" t="s">
        <v>1546</v>
      </c>
      <c r="J780" s="307" t="s">
        <v>214</v>
      </c>
      <c r="K780" s="127" t="s">
        <v>2052</v>
      </c>
      <c r="L780" s="151" t="s">
        <v>1483</v>
      </c>
      <c r="M780">
        <v>58</v>
      </c>
      <c r="N780" s="123"/>
      <c r="O780">
        <v>499</v>
      </c>
      <c r="P780" s="132" t="s">
        <v>77</v>
      </c>
      <c r="Q780" s="131">
        <v>4809.49</v>
      </c>
      <c r="R780" s="131">
        <v>672.05</v>
      </c>
      <c r="S780" s="131"/>
      <c r="T780" s="155"/>
      <c r="U780" s="131"/>
      <c r="V780" s="131">
        <v>5481.54</v>
      </c>
      <c r="W780">
        <v>93</v>
      </c>
      <c r="X780" s="151" t="s">
        <v>1644</v>
      </c>
      <c r="Y780" s="135" t="s">
        <v>55</v>
      </c>
      <c r="Z780" s="307">
        <v>198</v>
      </c>
      <c r="AB780" t="str">
        <f>IF(Table1[[#This Row],[TIPO2]]="costo", VLOOKUP(Table1[[#This Row],[PARTIDA PRESUPUESTAL]],'Cost Report'!G:G,1,0),"Balance")</f>
        <v>3901-013</v>
      </c>
      <c r="AC780" s="118"/>
      <c r="AD780" s="159">
        <f>+Table1[[#This Row],[SUBTOTAL]]+Table1[[#This Row],[IVA]]-Table1[[#This Row],[RET IVA]]-Table1[[#This Row],[RET ISR]]-Table1[[#This Row],[TOTAL]]</f>
        <v>0</v>
      </c>
      <c r="AE780" s="150"/>
      <c r="AF780" s="151"/>
      <c r="AG780" s="126" t="s">
        <v>3420</v>
      </c>
      <c r="AH780" s="115"/>
      <c r="AK780" s="306" t="str">
        <f>IF(ISNUMBER(Table1[[#This Row],[FECHA DE RECIBIDO]]), Table1[[#This Row],[FECHA DE RECIBIDO]]-DATE(2023,8,30), "")</f>
        <v/>
      </c>
    </row>
    <row r="781" spans="1:37" ht="16.05" customHeight="1">
      <c r="A781" s="152" t="s">
        <v>2100</v>
      </c>
      <c r="B781" s="153">
        <v>305</v>
      </c>
      <c r="C781" s="126" t="s">
        <v>3002</v>
      </c>
      <c r="D781">
        <v>499</v>
      </c>
      <c r="E781" s="126" t="s">
        <v>1624</v>
      </c>
      <c r="F781" s="125" t="s">
        <v>1607</v>
      </c>
      <c r="G781" s="125" t="s">
        <v>134</v>
      </c>
      <c r="H781">
        <v>46</v>
      </c>
      <c r="I781" s="125" t="s">
        <v>1546</v>
      </c>
      <c r="J781" s="308" t="s">
        <v>214</v>
      </c>
      <c r="K781" s="127" t="s">
        <v>2052</v>
      </c>
      <c r="L781" s="153" t="s">
        <v>1483</v>
      </c>
      <c r="M781">
        <v>58</v>
      </c>
      <c r="N781" s="123"/>
      <c r="O781">
        <v>500</v>
      </c>
      <c r="P781" s="132" t="s">
        <v>77</v>
      </c>
      <c r="Q781" s="132">
        <v>1907.52</v>
      </c>
      <c r="R781" s="132">
        <v>305.2</v>
      </c>
      <c r="S781" s="132"/>
      <c r="T781" s="156"/>
      <c r="U781" s="132"/>
      <c r="V781" s="132">
        <v>2212.7199999999998</v>
      </c>
      <c r="W781">
        <v>93</v>
      </c>
      <c r="X781" s="153" t="s">
        <v>1644</v>
      </c>
      <c r="Y781" s="124" t="s">
        <v>55</v>
      </c>
      <c r="Z781" s="308">
        <v>198</v>
      </c>
      <c r="AB781" t="str">
        <f>IF(Table1[[#This Row],[TIPO2]]="costo", VLOOKUP(Table1[[#This Row],[PARTIDA PRESUPUESTAL]],'Cost Report'!G:G,1,0),"Balance")</f>
        <v>4180-003</v>
      </c>
      <c r="AC781" s="118"/>
      <c r="AD781" s="159">
        <f>+Table1[[#This Row],[SUBTOTAL]]+Table1[[#This Row],[IVA]]-Table1[[#This Row],[RET IVA]]-Table1[[#This Row],[RET ISR]]-Table1[[#This Row],[TOTAL]]</f>
        <v>0</v>
      </c>
      <c r="AE781" s="152"/>
      <c r="AF781" s="153"/>
      <c r="AG781" s="126" t="s">
        <v>3420</v>
      </c>
      <c r="AH781" s="115"/>
      <c r="AK781" s="306" t="str">
        <f>IF(ISNUMBER(Table1[[#This Row],[FECHA DE RECIBIDO]]), Table1[[#This Row],[FECHA DE RECIBIDO]]-DATE(2023,8,30), "")</f>
        <v/>
      </c>
    </row>
    <row r="782" spans="1:37" ht="16.05" customHeight="1">
      <c r="A782" s="150" t="s">
        <v>2100</v>
      </c>
      <c r="B782" s="151">
        <v>305</v>
      </c>
      <c r="C782" s="126" t="s">
        <v>3002</v>
      </c>
      <c r="D782">
        <v>500</v>
      </c>
      <c r="E782" s="126" t="s">
        <v>1641</v>
      </c>
      <c r="F782" s="122" t="s">
        <v>1607</v>
      </c>
      <c r="G782" s="122" t="s">
        <v>134</v>
      </c>
      <c r="H782">
        <v>49</v>
      </c>
      <c r="I782" s="122" t="s">
        <v>1546</v>
      </c>
      <c r="J782" s="307" t="s">
        <v>214</v>
      </c>
      <c r="K782" s="127" t="s">
        <v>2052</v>
      </c>
      <c r="L782" s="151" t="s">
        <v>1483</v>
      </c>
      <c r="M782">
        <v>62</v>
      </c>
      <c r="N782" s="123"/>
      <c r="O782">
        <v>501</v>
      </c>
      <c r="P782" s="132" t="s">
        <v>77</v>
      </c>
      <c r="Q782" s="131">
        <v>4922</v>
      </c>
      <c r="R782" s="131">
        <v>707</v>
      </c>
      <c r="S782" s="131"/>
      <c r="T782" s="155"/>
      <c r="U782" s="131"/>
      <c r="V782" s="131">
        <v>5629</v>
      </c>
      <c r="W782">
        <v>93</v>
      </c>
      <c r="X782" s="151" t="s">
        <v>1644</v>
      </c>
      <c r="Y782" s="135" t="s">
        <v>55</v>
      </c>
      <c r="Z782" s="307">
        <v>199</v>
      </c>
      <c r="AB782" t="str">
        <f>IF(Table1[[#This Row],[TIPO2]]="costo", VLOOKUP(Table1[[#This Row],[PARTIDA PRESUPUESTAL]],'Cost Report'!G:G,1,0),"Balance")</f>
        <v>4180-003</v>
      </c>
      <c r="AC782" s="118"/>
      <c r="AD782" s="159">
        <f>+Table1[[#This Row],[SUBTOTAL]]+Table1[[#This Row],[IVA]]-Table1[[#This Row],[RET IVA]]-Table1[[#This Row],[RET ISR]]-Table1[[#This Row],[TOTAL]]</f>
        <v>0</v>
      </c>
      <c r="AE782" s="150"/>
      <c r="AF782" s="151"/>
      <c r="AG782" s="126" t="s">
        <v>3420</v>
      </c>
      <c r="AH782" s="115"/>
      <c r="AK782" s="306" t="str">
        <f>IF(ISNUMBER(Table1[[#This Row],[FECHA DE RECIBIDO]]), Table1[[#This Row],[FECHA DE RECIBIDO]]-DATE(2023,8,30), "")</f>
        <v/>
      </c>
    </row>
    <row r="783" spans="1:37" ht="16.05" customHeight="1">
      <c r="A783" s="152" t="s">
        <v>2100</v>
      </c>
      <c r="B783" s="153">
        <v>305</v>
      </c>
      <c r="C783" s="126" t="s">
        <v>2322</v>
      </c>
      <c r="D783">
        <v>501</v>
      </c>
      <c r="E783" s="126" t="s">
        <v>1641</v>
      </c>
      <c r="F783" s="125" t="s">
        <v>1607</v>
      </c>
      <c r="G783" s="125" t="s">
        <v>134</v>
      </c>
      <c r="H783">
        <v>49</v>
      </c>
      <c r="I783" s="125" t="s">
        <v>1546</v>
      </c>
      <c r="J783" s="308" t="s">
        <v>214</v>
      </c>
      <c r="K783" s="127" t="s">
        <v>2052</v>
      </c>
      <c r="L783" s="153" t="s">
        <v>1483</v>
      </c>
      <c r="M783">
        <v>62</v>
      </c>
      <c r="N783" s="123"/>
      <c r="O783">
        <v>502</v>
      </c>
      <c r="P783" s="132" t="s">
        <v>77</v>
      </c>
      <c r="Q783" s="132">
        <v>2887</v>
      </c>
      <c r="R783" s="132">
        <v>397</v>
      </c>
      <c r="S783" s="132"/>
      <c r="T783" s="156"/>
      <c r="U783" s="132"/>
      <c r="V783" s="132">
        <v>3284</v>
      </c>
      <c r="W783">
        <v>93</v>
      </c>
      <c r="X783" s="153" t="s">
        <v>1644</v>
      </c>
      <c r="Y783" s="124" t="s">
        <v>55</v>
      </c>
      <c r="Z783" s="308">
        <v>201</v>
      </c>
      <c r="AB783" t="str">
        <f>IF(Table1[[#This Row],[TIPO2]]="costo", VLOOKUP(Table1[[#This Row],[PARTIDA PRESUPUESTAL]],'Cost Report'!G:G,1,0),"Balance")</f>
        <v>1426-007</v>
      </c>
      <c r="AC783" s="118"/>
      <c r="AD783" s="159">
        <f>+Table1[[#This Row],[SUBTOTAL]]+Table1[[#This Row],[IVA]]-Table1[[#This Row],[RET IVA]]-Table1[[#This Row],[RET ISR]]-Table1[[#This Row],[TOTAL]]</f>
        <v>0</v>
      </c>
      <c r="AE783" s="152"/>
      <c r="AF783" s="153"/>
      <c r="AG783" s="126" t="s">
        <v>3420</v>
      </c>
      <c r="AH783" s="115"/>
      <c r="AK783" s="306" t="str">
        <f>IF(ISNUMBER(Table1[[#This Row],[FECHA DE RECIBIDO]]), Table1[[#This Row],[FECHA DE RECIBIDO]]-DATE(2023,8,30), "")</f>
        <v/>
      </c>
    </row>
    <row r="784" spans="1:37" ht="16.05" customHeight="1">
      <c r="A784" s="150" t="s">
        <v>2100</v>
      </c>
      <c r="B784" s="151">
        <v>305</v>
      </c>
      <c r="C784" s="126" t="s">
        <v>2335</v>
      </c>
      <c r="D784">
        <v>502</v>
      </c>
      <c r="E784" s="126" t="s">
        <v>2103</v>
      </c>
      <c r="F784" s="122" t="s">
        <v>1384</v>
      </c>
      <c r="G784" s="122" t="s">
        <v>1625</v>
      </c>
      <c r="H784">
        <v>163</v>
      </c>
      <c r="I784" s="122" t="s">
        <v>1546</v>
      </c>
      <c r="J784" s="307" t="s">
        <v>214</v>
      </c>
      <c r="K784" s="127" t="s">
        <v>2052</v>
      </c>
      <c r="L784" s="151" t="s">
        <v>1483</v>
      </c>
      <c r="M784">
        <v>219</v>
      </c>
      <c r="N784" s="123"/>
      <c r="O784">
        <v>503</v>
      </c>
      <c r="P784" s="132" t="s">
        <v>77</v>
      </c>
      <c r="Q784" s="131">
        <v>413.78</v>
      </c>
      <c r="R784" s="131">
        <v>66.209999999999994</v>
      </c>
      <c r="S784" s="131"/>
      <c r="T784" s="155"/>
      <c r="U784" s="131"/>
      <c r="V784" s="131">
        <v>479.98999999999995</v>
      </c>
      <c r="W784">
        <v>93</v>
      </c>
      <c r="X784" s="151" t="s">
        <v>1644</v>
      </c>
      <c r="Y784" s="135" t="s">
        <v>55</v>
      </c>
      <c r="Z784" s="307">
        <v>201</v>
      </c>
      <c r="AB784" t="str">
        <f>IF(Table1[[#This Row],[TIPO2]]="costo", VLOOKUP(Table1[[#This Row],[PARTIDA PRESUPUESTAL]],'Cost Report'!G:G,1,0),"Balance")</f>
        <v>1487-003</v>
      </c>
      <c r="AC784" s="118"/>
      <c r="AD784" s="159">
        <f>+Table1[[#This Row],[SUBTOTAL]]+Table1[[#This Row],[IVA]]-Table1[[#This Row],[RET IVA]]-Table1[[#This Row],[RET ISR]]-Table1[[#This Row],[TOTAL]]</f>
        <v>0</v>
      </c>
      <c r="AE784" s="150"/>
      <c r="AF784" s="151"/>
      <c r="AG784" s="126" t="s">
        <v>3420</v>
      </c>
      <c r="AH784" s="115"/>
      <c r="AK784" s="306" t="str">
        <f>IF(ISNUMBER(Table1[[#This Row],[FECHA DE RECIBIDO]]), Table1[[#This Row],[FECHA DE RECIBIDO]]-DATE(2023,8,30), "")</f>
        <v/>
      </c>
    </row>
    <row r="785" spans="1:37" ht="16.05" customHeight="1">
      <c r="A785" s="152" t="s">
        <v>2100</v>
      </c>
      <c r="B785" s="153">
        <v>305</v>
      </c>
      <c r="C785" s="126" t="s">
        <v>2335</v>
      </c>
      <c r="D785">
        <v>503</v>
      </c>
      <c r="E785" s="126" t="s">
        <v>2104</v>
      </c>
      <c r="F785" s="125" t="s">
        <v>1384</v>
      </c>
      <c r="G785" s="125" t="s">
        <v>1625</v>
      </c>
      <c r="H785">
        <v>164</v>
      </c>
      <c r="I785" s="125" t="s">
        <v>1546</v>
      </c>
      <c r="J785" s="308" t="s">
        <v>214</v>
      </c>
      <c r="K785" s="127" t="s">
        <v>2052</v>
      </c>
      <c r="L785" s="153" t="s">
        <v>1483</v>
      </c>
      <c r="M785">
        <v>220</v>
      </c>
      <c r="N785" s="123"/>
      <c r="O785">
        <v>504</v>
      </c>
      <c r="P785" s="132" t="s">
        <v>77</v>
      </c>
      <c r="Q785" s="132">
        <v>314.99</v>
      </c>
      <c r="R785" s="132">
        <v>50.4</v>
      </c>
      <c r="S785" s="132"/>
      <c r="T785" s="156"/>
      <c r="U785" s="132"/>
      <c r="V785" s="132">
        <v>365.39</v>
      </c>
      <c r="W785">
        <v>93</v>
      </c>
      <c r="X785" s="153" t="s">
        <v>1644</v>
      </c>
      <c r="Y785" s="124" t="s">
        <v>55</v>
      </c>
      <c r="Z785" s="308">
        <v>201</v>
      </c>
      <c r="AB785" t="str">
        <f>IF(Table1[[#This Row],[TIPO2]]="costo", VLOOKUP(Table1[[#This Row],[PARTIDA PRESUPUESTAL]],'Cost Report'!G:G,1,0),"Balance")</f>
        <v>1487-003</v>
      </c>
      <c r="AC785" s="118"/>
      <c r="AD785" s="159">
        <f>+Table1[[#This Row],[SUBTOTAL]]+Table1[[#This Row],[IVA]]-Table1[[#This Row],[RET IVA]]-Table1[[#This Row],[RET ISR]]-Table1[[#This Row],[TOTAL]]</f>
        <v>0</v>
      </c>
      <c r="AE785" s="152"/>
      <c r="AF785" s="153"/>
      <c r="AG785" s="126" t="s">
        <v>3420</v>
      </c>
      <c r="AH785" s="115"/>
      <c r="AK785" s="306" t="str">
        <f>IF(ISNUMBER(Table1[[#This Row],[FECHA DE RECIBIDO]]), Table1[[#This Row],[FECHA DE RECIBIDO]]-DATE(2023,8,30), "")</f>
        <v/>
      </c>
    </row>
    <row r="786" spans="1:37" ht="16.05" customHeight="1">
      <c r="A786" s="150" t="s">
        <v>2100</v>
      </c>
      <c r="B786" s="151">
        <v>305</v>
      </c>
      <c r="C786" s="126" t="s">
        <v>2335</v>
      </c>
      <c r="D786">
        <v>504</v>
      </c>
      <c r="E786" s="126" t="s">
        <v>1986</v>
      </c>
      <c r="F786" s="122" t="s">
        <v>1607</v>
      </c>
      <c r="G786" s="122" t="s">
        <v>134</v>
      </c>
      <c r="H786">
        <v>165</v>
      </c>
      <c r="I786" s="122" t="s">
        <v>1546</v>
      </c>
      <c r="J786" s="307" t="s">
        <v>214</v>
      </c>
      <c r="K786" s="127" t="s">
        <v>2052</v>
      </c>
      <c r="L786" s="151" t="s">
        <v>1483</v>
      </c>
      <c r="M786">
        <v>221</v>
      </c>
      <c r="N786" s="123"/>
      <c r="O786">
        <v>505</v>
      </c>
      <c r="P786" s="132" t="s">
        <v>77</v>
      </c>
      <c r="Q786" s="131">
        <v>140.41</v>
      </c>
      <c r="R786" s="131">
        <v>22.47</v>
      </c>
      <c r="S786" s="131"/>
      <c r="T786" s="155"/>
      <c r="U786" s="131"/>
      <c r="V786" s="131">
        <v>162.88</v>
      </c>
      <c r="W786">
        <v>93</v>
      </c>
      <c r="X786" s="151" t="s">
        <v>1644</v>
      </c>
      <c r="Y786" s="135" t="s">
        <v>55</v>
      </c>
      <c r="Z786" s="307">
        <v>201</v>
      </c>
      <c r="AB786" t="str">
        <f>IF(Table1[[#This Row],[TIPO2]]="costo", VLOOKUP(Table1[[#This Row],[PARTIDA PRESUPUESTAL]],'Cost Report'!G:G,1,0),"Balance")</f>
        <v>1487-003</v>
      </c>
      <c r="AC786" s="118"/>
      <c r="AD786" s="159">
        <f>+Table1[[#This Row],[SUBTOTAL]]+Table1[[#This Row],[IVA]]-Table1[[#This Row],[RET IVA]]-Table1[[#This Row],[RET ISR]]-Table1[[#This Row],[TOTAL]]</f>
        <v>0</v>
      </c>
      <c r="AE786" s="150"/>
      <c r="AF786" s="151"/>
      <c r="AG786" s="126" t="s">
        <v>3420</v>
      </c>
      <c r="AH786" s="115"/>
      <c r="AK786" s="306" t="str">
        <f>IF(ISNUMBER(Table1[[#This Row],[FECHA DE RECIBIDO]]), Table1[[#This Row],[FECHA DE RECIBIDO]]-DATE(2023,8,30), "")</f>
        <v/>
      </c>
    </row>
    <row r="787" spans="1:37" ht="16.05" customHeight="1">
      <c r="A787" s="152" t="s">
        <v>2100</v>
      </c>
      <c r="B787" s="153">
        <v>305</v>
      </c>
      <c r="C787" s="126" t="s">
        <v>2335</v>
      </c>
      <c r="D787"/>
      <c r="E787" s="126"/>
      <c r="F787" s="125"/>
      <c r="G787" s="125"/>
      <c r="H787"/>
      <c r="I787" s="125"/>
      <c r="J787" s="308">
        <v>189</v>
      </c>
      <c r="K787" s="127" t="s">
        <v>2052</v>
      </c>
      <c r="L787" s="153" t="s">
        <v>1483</v>
      </c>
      <c r="M787">
        <v>215</v>
      </c>
      <c r="N787" s="123"/>
      <c r="O787">
        <v>506</v>
      </c>
      <c r="P787" s="132" t="s">
        <v>77</v>
      </c>
      <c r="Q787" s="132">
        <v>590.80999999999995</v>
      </c>
      <c r="R787" s="132"/>
      <c r="S787" s="132"/>
      <c r="T787" s="156"/>
      <c r="U787" s="132"/>
      <c r="V787" s="132">
        <v>590.80999999999995</v>
      </c>
      <c r="W787">
        <v>93</v>
      </c>
      <c r="X787" s="153" t="s">
        <v>1644</v>
      </c>
      <c r="Y787" s="124" t="s">
        <v>55</v>
      </c>
      <c r="Z787" s="308">
        <v>189</v>
      </c>
      <c r="AB787" t="str">
        <f>IF(Table1[[#This Row],[TIPO2]]="costo", VLOOKUP(Table1[[#This Row],[PARTIDA PRESUPUESTAL]],'Cost Report'!G:G,1,0),"Balance")</f>
        <v>1487-003</v>
      </c>
      <c r="AC787" s="118"/>
      <c r="AD787" s="159">
        <f>+Table1[[#This Row],[SUBTOTAL]]+Table1[[#This Row],[IVA]]-Table1[[#This Row],[RET IVA]]-Table1[[#This Row],[RET ISR]]-Table1[[#This Row],[TOTAL]]</f>
        <v>0</v>
      </c>
      <c r="AE787" s="152"/>
      <c r="AF787" s="153"/>
      <c r="AG787" s="126" t="s">
        <v>3420</v>
      </c>
      <c r="AH787" s="115"/>
      <c r="AK787" s="306">
        <f>IF(ISNUMBER(Table1[[#This Row],[FECHA DE RECIBIDO]]), Table1[[#This Row],[FECHA DE RECIBIDO]]-DATE(2023,8,30), "")</f>
        <v>-44979</v>
      </c>
    </row>
    <row r="788" spans="1:37" ht="16.05" customHeight="1">
      <c r="A788" s="150" t="s">
        <v>2100</v>
      </c>
      <c r="B788" s="151">
        <v>305</v>
      </c>
      <c r="C788" s="126" t="s">
        <v>417</v>
      </c>
      <c r="D788"/>
      <c r="E788" s="126"/>
      <c r="F788" s="122"/>
      <c r="G788" s="122"/>
      <c r="H788"/>
      <c r="I788" s="122"/>
      <c r="J788" s="307">
        <v>189</v>
      </c>
      <c r="K788" s="127" t="s">
        <v>2052</v>
      </c>
      <c r="L788" s="151" t="s">
        <v>1483</v>
      </c>
      <c r="M788">
        <v>222</v>
      </c>
      <c r="N788" s="123"/>
      <c r="O788">
        <v>507</v>
      </c>
      <c r="P788" s="132" t="s">
        <v>77</v>
      </c>
      <c r="Q788" s="131">
        <v>21441.63</v>
      </c>
      <c r="R788" s="131"/>
      <c r="S788" s="131"/>
      <c r="T788" s="155"/>
      <c r="U788" s="131"/>
      <c r="V788" s="131">
        <v>21441.63</v>
      </c>
      <c r="W788">
        <v>93</v>
      </c>
      <c r="X788" s="151" t="s">
        <v>1644</v>
      </c>
      <c r="Y788" s="135" t="s">
        <v>55</v>
      </c>
      <c r="Z788" s="307">
        <v>189</v>
      </c>
      <c r="AB788" t="str">
        <f>IF(Table1[[#This Row],[TIPO2]]="costo", VLOOKUP(Table1[[#This Row],[PARTIDA PRESUPUESTAL]],'Cost Report'!G:G,1,0),"Balance")</f>
        <v>1640-005</v>
      </c>
      <c r="AC788" s="118"/>
      <c r="AD788" s="159">
        <f>+Table1[[#This Row],[SUBTOTAL]]+Table1[[#This Row],[IVA]]-Table1[[#This Row],[RET IVA]]-Table1[[#This Row],[RET ISR]]-Table1[[#This Row],[TOTAL]]</f>
        <v>0</v>
      </c>
      <c r="AE788" s="150"/>
      <c r="AF788" s="151"/>
      <c r="AG788" s="126" t="s">
        <v>3420</v>
      </c>
      <c r="AH788" s="115"/>
      <c r="AK788" s="306">
        <f>IF(ISNUMBER(Table1[[#This Row],[FECHA DE RECIBIDO]]), Table1[[#This Row],[FECHA DE RECIBIDO]]-DATE(2023,8,30), "")</f>
        <v>-44979</v>
      </c>
    </row>
    <row r="789" spans="1:37" ht="16.05" customHeight="1">
      <c r="A789" s="152" t="s">
        <v>2105</v>
      </c>
      <c r="B789" s="153">
        <v>306</v>
      </c>
      <c r="C789" s="126" t="s">
        <v>2617</v>
      </c>
      <c r="D789">
        <v>505</v>
      </c>
      <c r="E789" s="126" t="s">
        <v>1604</v>
      </c>
      <c r="F789" s="125" t="s">
        <v>1607</v>
      </c>
      <c r="G789" s="125" t="s">
        <v>134</v>
      </c>
      <c r="H789">
        <v>166</v>
      </c>
      <c r="I789" s="125" t="s">
        <v>1546</v>
      </c>
      <c r="J789" s="308" t="s">
        <v>214</v>
      </c>
      <c r="K789" s="127" t="s">
        <v>2052</v>
      </c>
      <c r="L789" s="153" t="s">
        <v>1483</v>
      </c>
      <c r="M789">
        <v>223</v>
      </c>
      <c r="N789" s="123"/>
      <c r="O789">
        <v>508</v>
      </c>
      <c r="P789" s="132" t="s">
        <v>77</v>
      </c>
      <c r="Q789" s="132">
        <v>11258.83</v>
      </c>
      <c r="R789" s="132">
        <v>1699.17</v>
      </c>
      <c r="S789" s="132"/>
      <c r="T789" s="156"/>
      <c r="U789" s="132"/>
      <c r="V789" s="132">
        <v>12958</v>
      </c>
      <c r="W789">
        <v>100</v>
      </c>
      <c r="X789" s="153" t="s">
        <v>1644</v>
      </c>
      <c r="Y789" s="124" t="s">
        <v>55</v>
      </c>
      <c r="Z789" s="308">
        <v>197</v>
      </c>
      <c r="AB789" t="str">
        <f>IF(Table1[[#This Row],[TIPO2]]="costo", VLOOKUP(Table1[[#This Row],[PARTIDA PRESUPUESTAL]],'Cost Report'!G:G,1,0),"Balance")</f>
        <v>2885-003</v>
      </c>
      <c r="AC789" s="118"/>
      <c r="AD789" s="159">
        <f>+Table1[[#This Row],[SUBTOTAL]]+Table1[[#This Row],[IVA]]-Table1[[#This Row],[RET IVA]]-Table1[[#This Row],[RET ISR]]-Table1[[#This Row],[TOTAL]]</f>
        <v>0</v>
      </c>
      <c r="AE789" s="152"/>
      <c r="AF789" s="153"/>
      <c r="AG789" s="126" t="s">
        <v>3420</v>
      </c>
      <c r="AH789" s="115"/>
      <c r="AK789" s="306" t="str">
        <f>IF(ISNUMBER(Table1[[#This Row],[FECHA DE RECIBIDO]]), Table1[[#This Row],[FECHA DE RECIBIDO]]-DATE(2023,8,30), "")</f>
        <v/>
      </c>
    </row>
    <row r="790" spans="1:37" ht="16.05" customHeight="1">
      <c r="A790" s="150" t="s">
        <v>2106</v>
      </c>
      <c r="B790" s="151">
        <v>307</v>
      </c>
      <c r="C790" s="126" t="s">
        <v>1732</v>
      </c>
      <c r="D790">
        <v>506</v>
      </c>
      <c r="E790" s="126" t="s">
        <v>2107</v>
      </c>
      <c r="F790" s="122" t="s">
        <v>1589</v>
      </c>
      <c r="G790" s="122" t="s">
        <v>129</v>
      </c>
      <c r="H790">
        <v>167</v>
      </c>
      <c r="I790" s="122" t="s">
        <v>1546</v>
      </c>
      <c r="J790" s="307" t="s">
        <v>214</v>
      </c>
      <c r="K790" s="127" t="s">
        <v>2052</v>
      </c>
      <c r="L790" s="151" t="s">
        <v>1483</v>
      </c>
      <c r="M790">
        <v>224</v>
      </c>
      <c r="N790" s="123"/>
      <c r="O790">
        <v>509</v>
      </c>
      <c r="P790" s="132" t="s">
        <v>77</v>
      </c>
      <c r="Q790" s="131">
        <v>160</v>
      </c>
      <c r="R790" s="131">
        <v>25.6</v>
      </c>
      <c r="S790" s="131"/>
      <c r="T790" s="155"/>
      <c r="U790" s="131"/>
      <c r="V790" s="131">
        <v>185.6</v>
      </c>
      <c r="W790">
        <v>101</v>
      </c>
      <c r="X790" s="151" t="s">
        <v>1644</v>
      </c>
      <c r="Y790" s="135" t="s">
        <v>55</v>
      </c>
      <c r="Z790" s="307">
        <v>196</v>
      </c>
      <c r="AB790" t="str">
        <f>IF(Table1[[#This Row],[TIPO2]]="costo", VLOOKUP(Table1[[#This Row],[PARTIDA PRESUPUESTAL]],'Cost Report'!G:G,1,0),"Balance")</f>
        <v>2494-035</v>
      </c>
      <c r="AC790" s="118"/>
      <c r="AD790" s="159">
        <f>+Table1[[#This Row],[SUBTOTAL]]+Table1[[#This Row],[IVA]]-Table1[[#This Row],[RET IVA]]-Table1[[#This Row],[RET ISR]]-Table1[[#This Row],[TOTAL]]</f>
        <v>0</v>
      </c>
      <c r="AE790" s="150"/>
      <c r="AF790" s="151"/>
      <c r="AG790" s="126" t="s">
        <v>3420</v>
      </c>
      <c r="AH790" s="115"/>
      <c r="AK790" s="306" t="str">
        <f>IF(ISNUMBER(Table1[[#This Row],[FECHA DE RECIBIDO]]), Table1[[#This Row],[FECHA DE RECIBIDO]]-DATE(2023,8,30), "")</f>
        <v/>
      </c>
    </row>
    <row r="791" spans="1:37" ht="16.05" customHeight="1">
      <c r="A791" s="152" t="s">
        <v>2106</v>
      </c>
      <c r="B791" s="153">
        <v>307</v>
      </c>
      <c r="C791" s="126" t="s">
        <v>1732</v>
      </c>
      <c r="D791">
        <v>507</v>
      </c>
      <c r="E791" s="126" t="s">
        <v>2107</v>
      </c>
      <c r="F791" s="125" t="s">
        <v>1589</v>
      </c>
      <c r="G791" s="125" t="s">
        <v>129</v>
      </c>
      <c r="H791">
        <v>168</v>
      </c>
      <c r="I791" s="125" t="s">
        <v>1546</v>
      </c>
      <c r="J791" s="308" t="s">
        <v>214</v>
      </c>
      <c r="K791" s="127" t="s">
        <v>2052</v>
      </c>
      <c r="L791" s="153" t="s">
        <v>1483</v>
      </c>
      <c r="M791">
        <v>225</v>
      </c>
      <c r="N791" s="123"/>
      <c r="O791">
        <v>510</v>
      </c>
      <c r="P791" s="132" t="s">
        <v>77</v>
      </c>
      <c r="Q791" s="132">
        <v>450</v>
      </c>
      <c r="R791" s="132">
        <v>72</v>
      </c>
      <c r="S791" s="132"/>
      <c r="T791" s="156"/>
      <c r="U791" s="132"/>
      <c r="V791" s="132">
        <v>522</v>
      </c>
      <c r="W791">
        <v>101</v>
      </c>
      <c r="X791" s="153" t="s">
        <v>1644</v>
      </c>
      <c r="Y791" s="124" t="s">
        <v>55</v>
      </c>
      <c r="Z791" s="308">
        <v>196</v>
      </c>
      <c r="AB791" t="str">
        <f>IF(Table1[[#This Row],[TIPO2]]="costo", VLOOKUP(Table1[[#This Row],[PARTIDA PRESUPUESTAL]],'Cost Report'!G:G,1,0),"Balance")</f>
        <v>2494-035</v>
      </c>
      <c r="AC791" s="118"/>
      <c r="AD791" s="159">
        <f>+Table1[[#This Row],[SUBTOTAL]]+Table1[[#This Row],[IVA]]-Table1[[#This Row],[RET IVA]]-Table1[[#This Row],[RET ISR]]-Table1[[#This Row],[TOTAL]]</f>
        <v>0</v>
      </c>
      <c r="AE791" s="152"/>
      <c r="AF791" s="153"/>
      <c r="AG791" s="126" t="s">
        <v>3420</v>
      </c>
      <c r="AH791" s="115"/>
      <c r="AK791" s="306" t="str">
        <f>IF(ISNUMBER(Table1[[#This Row],[FECHA DE RECIBIDO]]), Table1[[#This Row],[FECHA DE RECIBIDO]]-DATE(2023,8,30), "")</f>
        <v/>
      </c>
    </row>
    <row r="792" spans="1:37" ht="16.05" customHeight="1">
      <c r="A792" s="150" t="s">
        <v>2106</v>
      </c>
      <c r="B792" s="151">
        <v>307</v>
      </c>
      <c r="C792" s="126" t="s">
        <v>1519</v>
      </c>
      <c r="D792">
        <v>508</v>
      </c>
      <c r="E792" s="126" t="s">
        <v>2107</v>
      </c>
      <c r="F792" s="122" t="s">
        <v>1589</v>
      </c>
      <c r="G792" s="122" t="s">
        <v>129</v>
      </c>
      <c r="H792">
        <v>168</v>
      </c>
      <c r="I792" s="122" t="s">
        <v>1546</v>
      </c>
      <c r="J792" s="307" t="s">
        <v>214</v>
      </c>
      <c r="K792" s="127" t="s">
        <v>2052</v>
      </c>
      <c r="L792" s="151" t="s">
        <v>1483</v>
      </c>
      <c r="M792">
        <v>225</v>
      </c>
      <c r="N792" s="123"/>
      <c r="O792">
        <v>511</v>
      </c>
      <c r="P792" s="132" t="s">
        <v>77</v>
      </c>
      <c r="Q792" s="131">
        <v>1690</v>
      </c>
      <c r="R792" s="131">
        <v>270.39999999999998</v>
      </c>
      <c r="S792" s="131"/>
      <c r="T792" s="155"/>
      <c r="U792" s="131"/>
      <c r="V792" s="131">
        <v>1960.4</v>
      </c>
      <c r="W792">
        <v>101</v>
      </c>
      <c r="X792" s="151" t="s">
        <v>1644</v>
      </c>
      <c r="Y792" s="135" t="s">
        <v>55</v>
      </c>
      <c r="Z792" s="307">
        <v>196</v>
      </c>
      <c r="AB792" t="str">
        <f>IF(Table1[[#This Row],[TIPO2]]="costo", VLOOKUP(Table1[[#This Row],[PARTIDA PRESUPUESTAL]],'Cost Report'!G:G,1,0),"Balance")</f>
        <v>2494-031</v>
      </c>
      <c r="AC792" s="118"/>
      <c r="AD792" s="159">
        <f>+Table1[[#This Row],[SUBTOTAL]]+Table1[[#This Row],[IVA]]-Table1[[#This Row],[RET IVA]]-Table1[[#This Row],[RET ISR]]-Table1[[#This Row],[TOTAL]]</f>
        <v>0</v>
      </c>
      <c r="AE792" s="150"/>
      <c r="AF792" s="151"/>
      <c r="AG792" s="126" t="s">
        <v>3420</v>
      </c>
      <c r="AH792" s="115"/>
      <c r="AK792" s="306" t="str">
        <f>IF(ISNUMBER(Table1[[#This Row],[FECHA DE RECIBIDO]]), Table1[[#This Row],[FECHA DE RECIBIDO]]-DATE(2023,8,30), "")</f>
        <v/>
      </c>
    </row>
    <row r="793" spans="1:37" ht="16.05" customHeight="1">
      <c r="A793" s="152" t="s">
        <v>2106</v>
      </c>
      <c r="B793" s="153">
        <v>307</v>
      </c>
      <c r="C793" s="126" t="s">
        <v>1519</v>
      </c>
      <c r="D793">
        <v>509</v>
      </c>
      <c r="E793" s="126" t="s">
        <v>2107</v>
      </c>
      <c r="F793" s="125" t="s">
        <v>1589</v>
      </c>
      <c r="G793" s="125" t="s">
        <v>129</v>
      </c>
      <c r="H793">
        <v>168</v>
      </c>
      <c r="I793" s="125" t="s">
        <v>1546</v>
      </c>
      <c r="J793" s="308" t="s">
        <v>214</v>
      </c>
      <c r="K793" s="127" t="s">
        <v>2052</v>
      </c>
      <c r="L793" s="153" t="s">
        <v>1483</v>
      </c>
      <c r="M793">
        <v>225</v>
      </c>
      <c r="N793" s="123"/>
      <c r="O793">
        <v>512</v>
      </c>
      <c r="P793" s="132" t="s">
        <v>77</v>
      </c>
      <c r="Q793" s="132">
        <v>3500</v>
      </c>
      <c r="R793" s="132">
        <v>560</v>
      </c>
      <c r="S793" s="132"/>
      <c r="T793" s="156"/>
      <c r="U793" s="132"/>
      <c r="V793" s="132">
        <v>4060</v>
      </c>
      <c r="W793">
        <v>101</v>
      </c>
      <c r="X793" s="153" t="s">
        <v>1644</v>
      </c>
      <c r="Y793" s="124" t="s">
        <v>55</v>
      </c>
      <c r="Z793" s="308">
        <v>196</v>
      </c>
      <c r="AB793" t="str">
        <f>IF(Table1[[#This Row],[TIPO2]]="costo", VLOOKUP(Table1[[#This Row],[PARTIDA PRESUPUESTAL]],'Cost Report'!G:G,1,0),"Balance")</f>
        <v>2494-031</v>
      </c>
      <c r="AC793" s="118"/>
      <c r="AD793" s="159">
        <f>+Table1[[#This Row],[SUBTOTAL]]+Table1[[#This Row],[IVA]]-Table1[[#This Row],[RET IVA]]-Table1[[#This Row],[RET ISR]]-Table1[[#This Row],[TOTAL]]</f>
        <v>0</v>
      </c>
      <c r="AE793" s="152"/>
      <c r="AF793" s="153"/>
      <c r="AG793" s="126" t="s">
        <v>3420</v>
      </c>
      <c r="AH793" s="115"/>
      <c r="AK793" s="306" t="str">
        <f>IF(ISNUMBER(Table1[[#This Row],[FECHA DE RECIBIDO]]), Table1[[#This Row],[FECHA DE RECIBIDO]]-DATE(2023,8,30), "")</f>
        <v/>
      </c>
    </row>
    <row r="794" spans="1:37" ht="16.05" customHeight="1">
      <c r="A794" s="150" t="s">
        <v>2106</v>
      </c>
      <c r="B794" s="151">
        <v>307</v>
      </c>
      <c r="C794" s="126" t="s">
        <v>1732</v>
      </c>
      <c r="D794">
        <v>510</v>
      </c>
      <c r="E794" s="126" t="s">
        <v>1597</v>
      </c>
      <c r="F794" s="122" t="s">
        <v>1589</v>
      </c>
      <c r="G794" s="122" t="s">
        <v>129</v>
      </c>
      <c r="H794">
        <v>169</v>
      </c>
      <c r="I794" s="122" t="s">
        <v>1546</v>
      </c>
      <c r="J794" s="307" t="s">
        <v>214</v>
      </c>
      <c r="K794" s="127" t="s">
        <v>2052</v>
      </c>
      <c r="L794" s="151" t="s">
        <v>1483</v>
      </c>
      <c r="M794">
        <v>226</v>
      </c>
      <c r="N794" s="123"/>
      <c r="O794">
        <v>513</v>
      </c>
      <c r="P794" s="132" t="s">
        <v>77</v>
      </c>
      <c r="Q794" s="131">
        <v>2519</v>
      </c>
      <c r="R794" s="131">
        <v>403.04</v>
      </c>
      <c r="S794" s="131"/>
      <c r="T794" s="155"/>
      <c r="U794" s="131"/>
      <c r="V794" s="131">
        <v>2922.04</v>
      </c>
      <c r="W794">
        <v>101</v>
      </c>
      <c r="X794" s="151" t="s">
        <v>1644</v>
      </c>
      <c r="Y794" s="135" t="s">
        <v>55</v>
      </c>
      <c r="Z794" s="307">
        <v>198</v>
      </c>
      <c r="AB794" t="str">
        <f>IF(Table1[[#This Row],[TIPO2]]="costo", VLOOKUP(Table1[[#This Row],[PARTIDA PRESUPUESTAL]],'Cost Report'!G:G,1,0),"Balance")</f>
        <v>2494-035</v>
      </c>
      <c r="AC794" s="118"/>
      <c r="AD794" s="159">
        <f>+Table1[[#This Row],[SUBTOTAL]]+Table1[[#This Row],[IVA]]-Table1[[#This Row],[RET IVA]]-Table1[[#This Row],[RET ISR]]-Table1[[#This Row],[TOTAL]]</f>
        <v>0</v>
      </c>
      <c r="AE794" s="150"/>
      <c r="AF794" s="151"/>
      <c r="AG794" s="126" t="s">
        <v>3420</v>
      </c>
      <c r="AH794" s="115"/>
      <c r="AK794" s="306" t="str">
        <f>IF(ISNUMBER(Table1[[#This Row],[FECHA DE RECIBIDO]]), Table1[[#This Row],[FECHA DE RECIBIDO]]-DATE(2023,8,30), "")</f>
        <v/>
      </c>
    </row>
    <row r="795" spans="1:37" ht="16.05" customHeight="1">
      <c r="A795" s="152" t="s">
        <v>2106</v>
      </c>
      <c r="B795" s="153">
        <v>307</v>
      </c>
      <c r="C795" s="126" t="s">
        <v>1732</v>
      </c>
      <c r="D795">
        <v>511</v>
      </c>
      <c r="E795" s="126" t="s">
        <v>1597</v>
      </c>
      <c r="F795" s="125" t="s">
        <v>1589</v>
      </c>
      <c r="G795" s="125" t="s">
        <v>129</v>
      </c>
      <c r="H795">
        <v>169</v>
      </c>
      <c r="I795" s="125" t="s">
        <v>1546</v>
      </c>
      <c r="J795" s="308" t="s">
        <v>214</v>
      </c>
      <c r="K795" s="127" t="s">
        <v>2052</v>
      </c>
      <c r="L795" s="153" t="s">
        <v>1483</v>
      </c>
      <c r="M795">
        <v>226</v>
      </c>
      <c r="N795" s="123"/>
      <c r="O795">
        <v>514</v>
      </c>
      <c r="P795" s="132" t="s">
        <v>77</v>
      </c>
      <c r="Q795" s="132">
        <v>1836</v>
      </c>
      <c r="R795" s="132">
        <v>293.76</v>
      </c>
      <c r="S795" s="132"/>
      <c r="T795" s="156"/>
      <c r="U795" s="132"/>
      <c r="V795" s="132">
        <v>2129.7600000000002</v>
      </c>
      <c r="W795">
        <v>101</v>
      </c>
      <c r="X795" s="153" t="s">
        <v>1644</v>
      </c>
      <c r="Y795" s="124" t="s">
        <v>55</v>
      </c>
      <c r="Z795" s="308">
        <v>198</v>
      </c>
      <c r="AB795" t="str">
        <f>IF(Table1[[#This Row],[TIPO2]]="costo", VLOOKUP(Table1[[#This Row],[PARTIDA PRESUPUESTAL]],'Cost Report'!G:G,1,0),"Balance")</f>
        <v>2494-035</v>
      </c>
      <c r="AC795" s="118"/>
      <c r="AD795" s="159">
        <f>+Table1[[#This Row],[SUBTOTAL]]+Table1[[#This Row],[IVA]]-Table1[[#This Row],[RET IVA]]-Table1[[#This Row],[RET ISR]]-Table1[[#This Row],[TOTAL]]</f>
        <v>0</v>
      </c>
      <c r="AE795" s="152"/>
      <c r="AF795" s="153"/>
      <c r="AG795" s="126" t="s">
        <v>3420</v>
      </c>
      <c r="AH795" s="115"/>
      <c r="AK795" s="306" t="str">
        <f>IF(ISNUMBER(Table1[[#This Row],[FECHA DE RECIBIDO]]), Table1[[#This Row],[FECHA DE RECIBIDO]]-DATE(2023,8,30), "")</f>
        <v/>
      </c>
    </row>
    <row r="796" spans="1:37" ht="16.05" customHeight="1">
      <c r="A796" s="150" t="s">
        <v>2106</v>
      </c>
      <c r="B796" s="151">
        <v>307</v>
      </c>
      <c r="C796" s="126" t="s">
        <v>1732</v>
      </c>
      <c r="D796">
        <v>512</v>
      </c>
      <c r="E796" s="126" t="s">
        <v>1597</v>
      </c>
      <c r="F796" s="122" t="s">
        <v>1589</v>
      </c>
      <c r="G796" s="122" t="s">
        <v>129</v>
      </c>
      <c r="H796">
        <v>169</v>
      </c>
      <c r="I796" s="122" t="s">
        <v>1546</v>
      </c>
      <c r="J796" s="307" t="s">
        <v>214</v>
      </c>
      <c r="K796" s="127" t="s">
        <v>2052</v>
      </c>
      <c r="L796" s="151" t="s">
        <v>1483</v>
      </c>
      <c r="M796">
        <v>226</v>
      </c>
      <c r="N796" s="123"/>
      <c r="O796">
        <v>515</v>
      </c>
      <c r="P796" s="132" t="s">
        <v>77</v>
      </c>
      <c r="Q796" s="131">
        <v>350</v>
      </c>
      <c r="R796" s="131">
        <v>56</v>
      </c>
      <c r="S796" s="131"/>
      <c r="T796" s="155"/>
      <c r="U796" s="131"/>
      <c r="V796" s="131">
        <v>406</v>
      </c>
      <c r="W796">
        <v>101</v>
      </c>
      <c r="X796" s="151" t="s">
        <v>1644</v>
      </c>
      <c r="Y796" s="135" t="s">
        <v>55</v>
      </c>
      <c r="Z796" s="307">
        <v>198</v>
      </c>
      <c r="AB796" t="str">
        <f>IF(Table1[[#This Row],[TIPO2]]="costo", VLOOKUP(Table1[[#This Row],[PARTIDA PRESUPUESTAL]],'Cost Report'!G:G,1,0),"Balance")</f>
        <v>2494-035</v>
      </c>
      <c r="AC796" s="118"/>
      <c r="AD796" s="159">
        <f>+Table1[[#This Row],[SUBTOTAL]]+Table1[[#This Row],[IVA]]-Table1[[#This Row],[RET IVA]]-Table1[[#This Row],[RET ISR]]-Table1[[#This Row],[TOTAL]]</f>
        <v>0</v>
      </c>
      <c r="AE796" s="150"/>
      <c r="AF796" s="151"/>
      <c r="AG796" s="126" t="s">
        <v>3420</v>
      </c>
      <c r="AH796" s="115"/>
      <c r="AK796" s="306" t="str">
        <f>IF(ISNUMBER(Table1[[#This Row],[FECHA DE RECIBIDO]]), Table1[[#This Row],[FECHA DE RECIBIDO]]-DATE(2023,8,30), "")</f>
        <v/>
      </c>
    </row>
    <row r="797" spans="1:37" ht="16.05" customHeight="1">
      <c r="A797" s="152" t="s">
        <v>2106</v>
      </c>
      <c r="B797" s="153">
        <v>307</v>
      </c>
      <c r="C797" s="126" t="s">
        <v>1505</v>
      </c>
      <c r="D797">
        <v>513</v>
      </c>
      <c r="E797" s="126" t="s">
        <v>1992</v>
      </c>
      <c r="F797" s="125" t="s">
        <v>1602</v>
      </c>
      <c r="G797" s="125" t="s">
        <v>1617</v>
      </c>
      <c r="H797">
        <v>170</v>
      </c>
      <c r="I797" s="125" t="s">
        <v>1546</v>
      </c>
      <c r="J797" s="308" t="s">
        <v>214</v>
      </c>
      <c r="K797" s="127" t="s">
        <v>2052</v>
      </c>
      <c r="L797" s="153" t="s">
        <v>1483</v>
      </c>
      <c r="M797">
        <v>227</v>
      </c>
      <c r="N797" s="123"/>
      <c r="O797">
        <v>516</v>
      </c>
      <c r="P797" s="132" t="s">
        <v>77</v>
      </c>
      <c r="Q797" s="132">
        <v>999.14</v>
      </c>
      <c r="R797" s="132">
        <v>159.87</v>
      </c>
      <c r="S797" s="132"/>
      <c r="T797" s="156"/>
      <c r="U797" s="132"/>
      <c r="V797" s="132">
        <v>1159.01</v>
      </c>
      <c r="W797">
        <v>101</v>
      </c>
      <c r="X797" s="153" t="s">
        <v>1644</v>
      </c>
      <c r="Y797" s="124" t="s">
        <v>55</v>
      </c>
      <c r="Z797" s="308">
        <v>197</v>
      </c>
      <c r="AB797" t="str">
        <f>IF(Table1[[#This Row],[TIPO2]]="costo", VLOOKUP(Table1[[#This Row],[PARTIDA PRESUPUESTAL]],'Cost Report'!G:G,1,0),"Balance")</f>
        <v>2494-003</v>
      </c>
      <c r="AC797" s="118"/>
      <c r="AD797" s="159">
        <f>+Table1[[#This Row],[SUBTOTAL]]+Table1[[#This Row],[IVA]]-Table1[[#This Row],[RET IVA]]-Table1[[#This Row],[RET ISR]]-Table1[[#This Row],[TOTAL]]</f>
        <v>0</v>
      </c>
      <c r="AE797" s="152"/>
      <c r="AF797" s="153"/>
      <c r="AG797" s="126" t="s">
        <v>3420</v>
      </c>
      <c r="AH797" s="115"/>
      <c r="AK797" s="306" t="str">
        <f>IF(ISNUMBER(Table1[[#This Row],[FECHA DE RECIBIDO]]), Table1[[#This Row],[FECHA DE RECIBIDO]]-DATE(2023,8,30), "")</f>
        <v/>
      </c>
    </row>
    <row r="798" spans="1:37" ht="16.05" customHeight="1">
      <c r="A798" s="150" t="s">
        <v>2106</v>
      </c>
      <c r="B798" s="151">
        <v>307</v>
      </c>
      <c r="C798" s="126" t="s">
        <v>610</v>
      </c>
      <c r="D798">
        <v>514</v>
      </c>
      <c r="E798" s="126" t="s">
        <v>1992</v>
      </c>
      <c r="F798" s="122" t="s">
        <v>1589</v>
      </c>
      <c r="G798" s="122" t="s">
        <v>129</v>
      </c>
      <c r="H798">
        <v>171</v>
      </c>
      <c r="I798" s="122" t="s">
        <v>1546</v>
      </c>
      <c r="J798" s="307" t="s">
        <v>214</v>
      </c>
      <c r="K798" s="127" t="s">
        <v>2052</v>
      </c>
      <c r="L798" s="151" t="s">
        <v>1483</v>
      </c>
      <c r="M798">
        <v>228</v>
      </c>
      <c r="N798" s="123"/>
      <c r="O798">
        <v>517</v>
      </c>
      <c r="P798" s="132" t="s">
        <v>77</v>
      </c>
      <c r="Q798" s="131">
        <v>1800</v>
      </c>
      <c r="R798" s="131">
        <v>288</v>
      </c>
      <c r="S798" s="131"/>
      <c r="T798" s="155"/>
      <c r="U798" s="131"/>
      <c r="V798" s="131">
        <v>2088</v>
      </c>
      <c r="W798">
        <v>101</v>
      </c>
      <c r="X798" s="151" t="s">
        <v>1644</v>
      </c>
      <c r="Y798" s="135" t="s">
        <v>55</v>
      </c>
      <c r="Z798" s="307">
        <v>198</v>
      </c>
      <c r="AB798" t="str">
        <f>IF(Table1[[#This Row],[TIPO2]]="costo", VLOOKUP(Table1[[#This Row],[PARTIDA PRESUPUESTAL]],'Cost Report'!G:G,1,0),"Balance")</f>
        <v>2485-003</v>
      </c>
      <c r="AC798" s="118"/>
      <c r="AD798" s="159">
        <f>+Table1[[#This Row],[SUBTOTAL]]+Table1[[#This Row],[IVA]]-Table1[[#This Row],[RET IVA]]-Table1[[#This Row],[RET ISR]]-Table1[[#This Row],[TOTAL]]</f>
        <v>0</v>
      </c>
      <c r="AE798" s="150"/>
      <c r="AF798" s="151"/>
      <c r="AG798" s="126" t="s">
        <v>3420</v>
      </c>
      <c r="AH798" s="115"/>
      <c r="AK798" s="306" t="str">
        <f>IF(ISNUMBER(Table1[[#This Row],[FECHA DE RECIBIDO]]), Table1[[#This Row],[FECHA DE RECIBIDO]]-DATE(2023,8,30), "")</f>
        <v/>
      </c>
    </row>
    <row r="799" spans="1:37" ht="16.05" customHeight="1">
      <c r="A799" s="152" t="s">
        <v>2106</v>
      </c>
      <c r="B799" s="153">
        <v>307</v>
      </c>
      <c r="C799" s="126" t="s">
        <v>1517</v>
      </c>
      <c r="D799">
        <v>515</v>
      </c>
      <c r="E799" s="126" t="s">
        <v>1614</v>
      </c>
      <c r="F799" s="125" t="s">
        <v>1607</v>
      </c>
      <c r="G799" s="125" t="s">
        <v>134</v>
      </c>
      <c r="H799">
        <v>172</v>
      </c>
      <c r="I799" s="125" t="s">
        <v>1546</v>
      </c>
      <c r="J799" s="308" t="s">
        <v>214</v>
      </c>
      <c r="K799" s="127" t="s">
        <v>2052</v>
      </c>
      <c r="L799" s="153" t="s">
        <v>1483</v>
      </c>
      <c r="M799">
        <v>229</v>
      </c>
      <c r="N799" s="123"/>
      <c r="O799">
        <v>518</v>
      </c>
      <c r="P799" s="132" t="s">
        <v>77</v>
      </c>
      <c r="Q799" s="132">
        <v>276.33</v>
      </c>
      <c r="R799" s="132">
        <v>44.21</v>
      </c>
      <c r="S799" s="132"/>
      <c r="T799" s="156"/>
      <c r="U799" s="132"/>
      <c r="V799" s="132">
        <v>320.53999999999996</v>
      </c>
      <c r="W799">
        <v>101</v>
      </c>
      <c r="X799" s="153" t="s">
        <v>1644</v>
      </c>
      <c r="Y799" s="124" t="s">
        <v>55</v>
      </c>
      <c r="Z799" s="308">
        <v>198</v>
      </c>
      <c r="AB799" t="str">
        <f>IF(Table1[[#This Row],[TIPO2]]="costo", VLOOKUP(Table1[[#This Row],[PARTIDA PRESUPUESTAL]],'Cost Report'!G:G,1,0),"Balance")</f>
        <v>2494-027</v>
      </c>
      <c r="AC799" s="118"/>
      <c r="AD799" s="159">
        <f>+Table1[[#This Row],[SUBTOTAL]]+Table1[[#This Row],[IVA]]-Table1[[#This Row],[RET IVA]]-Table1[[#This Row],[RET ISR]]-Table1[[#This Row],[TOTAL]]</f>
        <v>0</v>
      </c>
      <c r="AE799" s="152"/>
      <c r="AF799" s="153"/>
      <c r="AG799" s="126" t="s">
        <v>3420</v>
      </c>
      <c r="AH799" s="115"/>
      <c r="AK799" s="306" t="str">
        <f>IF(ISNUMBER(Table1[[#This Row],[FECHA DE RECIBIDO]]), Table1[[#This Row],[FECHA DE RECIBIDO]]-DATE(2023,8,30), "")</f>
        <v/>
      </c>
    </row>
    <row r="800" spans="1:37" ht="16.05" customHeight="1">
      <c r="A800" s="150" t="s">
        <v>2106</v>
      </c>
      <c r="B800" s="151">
        <v>307</v>
      </c>
      <c r="C800" s="126" t="s">
        <v>1505</v>
      </c>
      <c r="D800">
        <v>516</v>
      </c>
      <c r="E800" s="126" t="s">
        <v>1993</v>
      </c>
      <c r="F800" s="122" t="s">
        <v>1607</v>
      </c>
      <c r="G800" s="122" t="s">
        <v>134</v>
      </c>
      <c r="H800">
        <v>173</v>
      </c>
      <c r="I800" s="122" t="s">
        <v>1546</v>
      </c>
      <c r="J800" s="307" t="s">
        <v>214</v>
      </c>
      <c r="K800" s="127" t="s">
        <v>2052</v>
      </c>
      <c r="L800" s="151" t="s">
        <v>1483</v>
      </c>
      <c r="M800">
        <v>230</v>
      </c>
      <c r="N800" s="123"/>
      <c r="O800">
        <v>519</v>
      </c>
      <c r="P800" s="132" t="s">
        <v>77</v>
      </c>
      <c r="Q800" s="131">
        <v>575.86</v>
      </c>
      <c r="R800" s="131">
        <v>92.14</v>
      </c>
      <c r="S800" s="131"/>
      <c r="T800" s="155"/>
      <c r="U800" s="131"/>
      <c r="V800" s="131">
        <v>668</v>
      </c>
      <c r="W800">
        <v>101</v>
      </c>
      <c r="X800" s="151" t="s">
        <v>1644</v>
      </c>
      <c r="Y800" s="135" t="s">
        <v>55</v>
      </c>
      <c r="Z800" s="307">
        <v>198</v>
      </c>
      <c r="AB800" t="str">
        <f>IF(Table1[[#This Row],[TIPO2]]="costo", VLOOKUP(Table1[[#This Row],[PARTIDA PRESUPUESTAL]],'Cost Report'!G:G,1,0),"Balance")</f>
        <v>2494-003</v>
      </c>
      <c r="AC800" s="118"/>
      <c r="AD800" s="159">
        <f>+Table1[[#This Row],[SUBTOTAL]]+Table1[[#This Row],[IVA]]-Table1[[#This Row],[RET IVA]]-Table1[[#This Row],[RET ISR]]-Table1[[#This Row],[TOTAL]]</f>
        <v>0</v>
      </c>
      <c r="AE800" s="150"/>
      <c r="AF800" s="151"/>
      <c r="AG800" s="126" t="s">
        <v>3420</v>
      </c>
      <c r="AH800" s="115"/>
      <c r="AK800" s="306" t="str">
        <f>IF(ISNUMBER(Table1[[#This Row],[FECHA DE RECIBIDO]]), Table1[[#This Row],[FECHA DE RECIBIDO]]-DATE(2023,8,30), "")</f>
        <v/>
      </c>
    </row>
    <row r="801" spans="1:37" ht="16.05" customHeight="1">
      <c r="A801" s="152" t="s">
        <v>2106</v>
      </c>
      <c r="B801" s="153">
        <v>307</v>
      </c>
      <c r="C801" s="126" t="s">
        <v>2455</v>
      </c>
      <c r="D801"/>
      <c r="E801" s="126"/>
      <c r="F801" s="125"/>
      <c r="G801" s="125"/>
      <c r="H801"/>
      <c r="I801" s="125"/>
      <c r="J801" s="308" t="s">
        <v>214</v>
      </c>
      <c r="K801" s="127" t="s">
        <v>2052</v>
      </c>
      <c r="L801" s="153" t="s">
        <v>1483</v>
      </c>
      <c r="M801">
        <v>231</v>
      </c>
      <c r="N801" s="123"/>
      <c r="O801">
        <v>520</v>
      </c>
      <c r="P801" s="132" t="s">
        <v>77</v>
      </c>
      <c r="Q801" s="132">
        <v>31.32</v>
      </c>
      <c r="R801" s="132"/>
      <c r="S801" s="132"/>
      <c r="T801" s="156"/>
      <c r="U801" s="132"/>
      <c r="V801" s="132">
        <v>31.32</v>
      </c>
      <c r="W801">
        <v>101</v>
      </c>
      <c r="X801" s="153" t="s">
        <v>1644</v>
      </c>
      <c r="Y801" s="124" t="s">
        <v>55</v>
      </c>
      <c r="Z801" s="308">
        <v>189</v>
      </c>
      <c r="AB801" t="str">
        <f>IF(Table1[[#This Row],[TIPO2]]="costo", VLOOKUP(Table1[[#This Row],[PARTIDA PRESUPUESTAL]],'Cost Report'!G:G,1,0),"Balance")</f>
        <v>2285-003</v>
      </c>
      <c r="AC801" s="118"/>
      <c r="AD801" s="159">
        <f>+Table1[[#This Row],[SUBTOTAL]]+Table1[[#This Row],[IVA]]-Table1[[#This Row],[RET IVA]]-Table1[[#This Row],[RET ISR]]-Table1[[#This Row],[TOTAL]]</f>
        <v>0</v>
      </c>
      <c r="AE801" s="152"/>
      <c r="AF801" s="153"/>
      <c r="AG801" s="126" t="s">
        <v>3420</v>
      </c>
      <c r="AH801" s="115"/>
      <c r="AK801" s="306" t="str">
        <f>IF(ISNUMBER(Table1[[#This Row],[FECHA DE RECIBIDO]]), Table1[[#This Row],[FECHA DE RECIBIDO]]-DATE(2023,8,30), "")</f>
        <v/>
      </c>
    </row>
    <row r="802" spans="1:37" ht="16.05" customHeight="1">
      <c r="A802" s="150" t="s">
        <v>2106</v>
      </c>
      <c r="B802" s="151">
        <v>307</v>
      </c>
      <c r="C802" s="126" t="s">
        <v>2455</v>
      </c>
      <c r="D802"/>
      <c r="E802" s="126"/>
      <c r="F802" s="122"/>
      <c r="G802" s="122"/>
      <c r="H802"/>
      <c r="I802" s="122"/>
      <c r="J802" s="307" t="s">
        <v>214</v>
      </c>
      <c r="K802" s="127" t="s">
        <v>2052</v>
      </c>
      <c r="L802" s="151" t="s">
        <v>1483</v>
      </c>
      <c r="M802">
        <v>232</v>
      </c>
      <c r="N802" s="123"/>
      <c r="O802">
        <v>521</v>
      </c>
      <c r="P802" s="132" t="s">
        <v>77</v>
      </c>
      <c r="Q802" s="131">
        <v>182.7</v>
      </c>
      <c r="R802" s="131"/>
      <c r="S802" s="131"/>
      <c r="T802" s="155"/>
      <c r="U802" s="131"/>
      <c r="V802" s="131">
        <v>182.7</v>
      </c>
      <c r="W802">
        <v>101</v>
      </c>
      <c r="X802" s="151" t="s">
        <v>1644</v>
      </c>
      <c r="Y802" s="135" t="s">
        <v>55</v>
      </c>
      <c r="Z802" s="307">
        <v>196</v>
      </c>
      <c r="AB802" t="str">
        <f>IF(Table1[[#This Row],[TIPO2]]="costo", VLOOKUP(Table1[[#This Row],[PARTIDA PRESUPUESTAL]],'Cost Report'!G:G,1,0),"Balance")</f>
        <v>2285-003</v>
      </c>
      <c r="AC802" s="118"/>
      <c r="AD802" s="159">
        <f>+Table1[[#This Row],[SUBTOTAL]]+Table1[[#This Row],[IVA]]-Table1[[#This Row],[RET IVA]]-Table1[[#This Row],[RET ISR]]-Table1[[#This Row],[TOTAL]]</f>
        <v>0</v>
      </c>
      <c r="AE802" s="150"/>
      <c r="AF802" s="151"/>
      <c r="AG802" s="126" t="s">
        <v>3420</v>
      </c>
      <c r="AH802" s="115"/>
      <c r="AK802" s="306" t="str">
        <f>IF(ISNUMBER(Table1[[#This Row],[FECHA DE RECIBIDO]]), Table1[[#This Row],[FECHA DE RECIBIDO]]-DATE(2023,8,30), "")</f>
        <v/>
      </c>
    </row>
    <row r="803" spans="1:37" ht="16.05" customHeight="1">
      <c r="A803" s="152" t="s">
        <v>2106</v>
      </c>
      <c r="B803" s="153">
        <v>307</v>
      </c>
      <c r="C803" s="126" t="s">
        <v>2455</v>
      </c>
      <c r="D803"/>
      <c r="E803" s="126"/>
      <c r="F803" s="125"/>
      <c r="G803" s="125"/>
      <c r="H803"/>
      <c r="I803" s="125"/>
      <c r="J803" s="308" t="s">
        <v>214</v>
      </c>
      <c r="K803" s="127" t="s">
        <v>2052</v>
      </c>
      <c r="L803" s="153" t="s">
        <v>1483</v>
      </c>
      <c r="M803">
        <v>233</v>
      </c>
      <c r="N803" s="123"/>
      <c r="O803">
        <v>522</v>
      </c>
      <c r="P803" s="132" t="s">
        <v>77</v>
      </c>
      <c r="Q803" s="132">
        <v>31.32</v>
      </c>
      <c r="R803" s="132"/>
      <c r="S803" s="132"/>
      <c r="T803" s="156"/>
      <c r="U803" s="132"/>
      <c r="V803" s="132">
        <v>31.32</v>
      </c>
      <c r="W803">
        <v>101</v>
      </c>
      <c r="X803" s="153" t="s">
        <v>1644</v>
      </c>
      <c r="Y803" s="124" t="s">
        <v>55</v>
      </c>
      <c r="Z803" s="308">
        <v>196</v>
      </c>
      <c r="AB803" t="str">
        <f>IF(Table1[[#This Row],[TIPO2]]="costo", VLOOKUP(Table1[[#This Row],[PARTIDA PRESUPUESTAL]],'Cost Report'!G:G,1,0),"Balance")</f>
        <v>2285-003</v>
      </c>
      <c r="AC803" s="118"/>
      <c r="AD803" s="159">
        <f>+Table1[[#This Row],[SUBTOTAL]]+Table1[[#This Row],[IVA]]-Table1[[#This Row],[RET IVA]]-Table1[[#This Row],[RET ISR]]-Table1[[#This Row],[TOTAL]]</f>
        <v>0</v>
      </c>
      <c r="AE803" s="152"/>
      <c r="AF803" s="153"/>
      <c r="AG803" s="126" t="s">
        <v>3420</v>
      </c>
      <c r="AH803" s="115"/>
      <c r="AK803" s="306" t="str">
        <f>IF(ISNUMBER(Table1[[#This Row],[FECHA DE RECIBIDO]]), Table1[[#This Row],[FECHA DE RECIBIDO]]-DATE(2023,8,30), "")</f>
        <v/>
      </c>
    </row>
    <row r="804" spans="1:37" ht="16.05" customHeight="1">
      <c r="A804" s="150" t="s">
        <v>2106</v>
      </c>
      <c r="B804" s="151">
        <v>307</v>
      </c>
      <c r="C804" s="126" t="s">
        <v>2455</v>
      </c>
      <c r="D804"/>
      <c r="E804" s="126"/>
      <c r="F804" s="122"/>
      <c r="G804" s="122"/>
      <c r="H804"/>
      <c r="I804" s="122"/>
      <c r="J804" s="307" t="s">
        <v>214</v>
      </c>
      <c r="K804" s="127" t="s">
        <v>2052</v>
      </c>
      <c r="L804" s="151" t="s">
        <v>1483</v>
      </c>
      <c r="M804">
        <v>234</v>
      </c>
      <c r="N804" s="123"/>
      <c r="O804">
        <v>522</v>
      </c>
      <c r="P804" s="132" t="s">
        <v>77</v>
      </c>
      <c r="Q804" s="131">
        <v>34.799999999999997</v>
      </c>
      <c r="R804" s="131"/>
      <c r="S804" s="131"/>
      <c r="T804" s="155"/>
      <c r="U804" s="131"/>
      <c r="V804" s="131">
        <v>34.799999999999997</v>
      </c>
      <c r="W804">
        <v>101</v>
      </c>
      <c r="X804" s="151" t="s">
        <v>1644</v>
      </c>
      <c r="Y804" s="135" t="s">
        <v>55</v>
      </c>
      <c r="Z804" s="307">
        <v>198</v>
      </c>
      <c r="AB804" t="str">
        <f>IF(Table1[[#This Row],[TIPO2]]="costo", VLOOKUP(Table1[[#This Row],[PARTIDA PRESUPUESTAL]],'Cost Report'!G:G,1,0),"Balance")</f>
        <v>2285-003</v>
      </c>
      <c r="AC804" s="118"/>
      <c r="AD804" s="159">
        <f>+Table1[[#This Row],[SUBTOTAL]]+Table1[[#This Row],[IVA]]-Table1[[#This Row],[RET IVA]]-Table1[[#This Row],[RET ISR]]-Table1[[#This Row],[TOTAL]]</f>
        <v>0</v>
      </c>
      <c r="AE804" s="150"/>
      <c r="AF804" s="151"/>
      <c r="AG804" s="126" t="s">
        <v>3420</v>
      </c>
      <c r="AH804" s="115"/>
      <c r="AK804" s="306" t="str">
        <f>IF(ISNUMBER(Table1[[#This Row],[FECHA DE RECIBIDO]]), Table1[[#This Row],[FECHA DE RECIBIDO]]-DATE(2023,8,30), "")</f>
        <v/>
      </c>
    </row>
    <row r="805" spans="1:37" ht="16.05" customHeight="1">
      <c r="A805" s="152" t="s">
        <v>2108</v>
      </c>
      <c r="B805" s="153">
        <v>308</v>
      </c>
      <c r="C805" s="126" t="s">
        <v>2455</v>
      </c>
      <c r="D805">
        <v>517</v>
      </c>
      <c r="E805" s="126" t="s">
        <v>2109</v>
      </c>
      <c r="F805" s="125" t="s">
        <v>1607</v>
      </c>
      <c r="G805" s="125" t="s">
        <v>134</v>
      </c>
      <c r="H805">
        <v>174</v>
      </c>
      <c r="I805" s="125" t="s">
        <v>1546</v>
      </c>
      <c r="J805" s="308" t="s">
        <v>214</v>
      </c>
      <c r="K805" s="127" t="s">
        <v>2052</v>
      </c>
      <c r="L805" s="153" t="s">
        <v>1483</v>
      </c>
      <c r="M805">
        <v>235</v>
      </c>
      <c r="N805" s="123"/>
      <c r="O805">
        <v>523</v>
      </c>
      <c r="P805" s="132" t="s">
        <v>77</v>
      </c>
      <c r="Q805" s="132">
        <v>94.83</v>
      </c>
      <c r="R805" s="132">
        <v>15.17</v>
      </c>
      <c r="S805" s="132"/>
      <c r="T805" s="156"/>
      <c r="U805" s="132"/>
      <c r="V805" s="132">
        <v>110</v>
      </c>
      <c r="W805">
        <v>102</v>
      </c>
      <c r="X805" s="153" t="s">
        <v>1644</v>
      </c>
      <c r="Y805" s="124" t="s">
        <v>55</v>
      </c>
      <c r="Z805" s="308">
        <v>190</v>
      </c>
      <c r="AB805" t="str">
        <f>IF(Table1[[#This Row],[TIPO2]]="costo", VLOOKUP(Table1[[#This Row],[PARTIDA PRESUPUESTAL]],'Cost Report'!G:G,1,0),"Balance")</f>
        <v>2285-003</v>
      </c>
      <c r="AC805" s="118"/>
      <c r="AD805" s="159">
        <f>+Table1[[#This Row],[SUBTOTAL]]+Table1[[#This Row],[IVA]]-Table1[[#This Row],[RET IVA]]-Table1[[#This Row],[RET ISR]]-Table1[[#This Row],[TOTAL]]</f>
        <v>0</v>
      </c>
      <c r="AE805" s="152"/>
      <c r="AF805" s="153"/>
      <c r="AG805" s="126" t="s">
        <v>3420</v>
      </c>
      <c r="AH805" s="115"/>
      <c r="AK805" s="306" t="str">
        <f>IF(ISNUMBER(Table1[[#This Row],[FECHA DE RECIBIDO]]), Table1[[#This Row],[FECHA DE RECIBIDO]]-DATE(2023,8,30), "")</f>
        <v/>
      </c>
    </row>
    <row r="806" spans="1:37" ht="16.05" customHeight="1">
      <c r="A806" s="150" t="s">
        <v>2108</v>
      </c>
      <c r="B806" s="151">
        <v>308</v>
      </c>
      <c r="C806" s="126" t="s">
        <v>2540</v>
      </c>
      <c r="D806">
        <v>518</v>
      </c>
      <c r="E806" s="126" t="s">
        <v>2096</v>
      </c>
      <c r="F806" s="122" t="s">
        <v>1589</v>
      </c>
      <c r="G806" s="122" t="s">
        <v>129</v>
      </c>
      <c r="H806">
        <v>175</v>
      </c>
      <c r="I806" s="122" t="s">
        <v>1546</v>
      </c>
      <c r="J806" s="307" t="s">
        <v>214</v>
      </c>
      <c r="K806" s="127" t="s">
        <v>2052</v>
      </c>
      <c r="L806" s="151" t="s">
        <v>1483</v>
      </c>
      <c r="M806">
        <v>236</v>
      </c>
      <c r="N806" s="123"/>
      <c r="O806">
        <v>524</v>
      </c>
      <c r="P806" s="132" t="s">
        <v>77</v>
      </c>
      <c r="Q806" s="131">
        <v>6390</v>
      </c>
      <c r="R806" s="131">
        <v>1022.4</v>
      </c>
      <c r="S806" s="131"/>
      <c r="T806" s="155"/>
      <c r="U806" s="131"/>
      <c r="V806" s="131">
        <v>7412.4</v>
      </c>
      <c r="W806">
        <v>102</v>
      </c>
      <c r="X806" s="151" t="s">
        <v>1644</v>
      </c>
      <c r="Y806" s="135" t="s">
        <v>55</v>
      </c>
      <c r="Z806" s="307">
        <v>194</v>
      </c>
      <c r="AB806" t="str">
        <f>IF(Table1[[#This Row],[TIPO2]]="costo", VLOOKUP(Table1[[#This Row],[PARTIDA PRESUPUESTAL]],'Cost Report'!G:G,1,0),"Balance")</f>
        <v>2494-059</v>
      </c>
      <c r="AC806" s="118"/>
      <c r="AD806" s="159">
        <f>+Table1[[#This Row],[SUBTOTAL]]+Table1[[#This Row],[IVA]]-Table1[[#This Row],[RET IVA]]-Table1[[#This Row],[RET ISR]]-Table1[[#This Row],[TOTAL]]</f>
        <v>0</v>
      </c>
      <c r="AE806" s="150"/>
      <c r="AF806" s="151"/>
      <c r="AG806" s="126" t="s">
        <v>3420</v>
      </c>
      <c r="AH806" s="115"/>
      <c r="AK806" s="306" t="str">
        <f>IF(ISNUMBER(Table1[[#This Row],[FECHA DE RECIBIDO]]), Table1[[#This Row],[FECHA DE RECIBIDO]]-DATE(2023,8,30), "")</f>
        <v/>
      </c>
    </row>
    <row r="807" spans="1:37" ht="16.05" customHeight="1">
      <c r="A807" s="152" t="s">
        <v>2108</v>
      </c>
      <c r="B807" s="153">
        <v>308</v>
      </c>
      <c r="C807" s="126" t="s">
        <v>1515</v>
      </c>
      <c r="D807">
        <v>519</v>
      </c>
      <c r="E807" s="126" t="s">
        <v>1621</v>
      </c>
      <c r="F807" s="125" t="s">
        <v>1607</v>
      </c>
      <c r="G807" s="125" t="s">
        <v>134</v>
      </c>
      <c r="H807">
        <v>176</v>
      </c>
      <c r="I807" s="125" t="s">
        <v>1546</v>
      </c>
      <c r="J807" s="308" t="s">
        <v>214</v>
      </c>
      <c r="K807" s="127" t="s">
        <v>2052</v>
      </c>
      <c r="L807" s="153" t="s">
        <v>1483</v>
      </c>
      <c r="M807">
        <v>237</v>
      </c>
      <c r="N807" s="123"/>
      <c r="O807">
        <v>525</v>
      </c>
      <c r="P807" s="132" t="s">
        <v>77</v>
      </c>
      <c r="Q807" s="132">
        <v>375.86</v>
      </c>
      <c r="R807" s="132">
        <v>60.14</v>
      </c>
      <c r="S807" s="132"/>
      <c r="T807" s="156"/>
      <c r="U807" s="132"/>
      <c r="V807" s="132">
        <v>436</v>
      </c>
      <c r="W807">
        <v>103</v>
      </c>
      <c r="X807" s="153" t="s">
        <v>1644</v>
      </c>
      <c r="Y807" s="124" t="s">
        <v>55</v>
      </c>
      <c r="Z807" s="308">
        <v>195</v>
      </c>
      <c r="AB807" t="str">
        <f>IF(Table1[[#This Row],[TIPO2]]="costo", VLOOKUP(Table1[[#This Row],[PARTIDA PRESUPUESTAL]],'Cost Report'!G:G,1,0),"Balance")</f>
        <v>2494-023</v>
      </c>
      <c r="AC807" s="118"/>
      <c r="AD807" s="159">
        <f>+Table1[[#This Row],[SUBTOTAL]]+Table1[[#This Row],[IVA]]-Table1[[#This Row],[RET IVA]]-Table1[[#This Row],[RET ISR]]-Table1[[#This Row],[TOTAL]]</f>
        <v>0</v>
      </c>
      <c r="AE807" s="152"/>
      <c r="AF807" s="153"/>
      <c r="AG807" s="126" t="s">
        <v>3420</v>
      </c>
      <c r="AH807" s="115"/>
      <c r="AK807" s="306" t="str">
        <f>IF(ISNUMBER(Table1[[#This Row],[FECHA DE RECIBIDO]]), Table1[[#This Row],[FECHA DE RECIBIDO]]-DATE(2023,8,30), "")</f>
        <v/>
      </c>
    </row>
    <row r="808" spans="1:37" ht="16.05" customHeight="1">
      <c r="A808" s="150" t="s">
        <v>2108</v>
      </c>
      <c r="B808" s="151">
        <v>308</v>
      </c>
      <c r="C808" s="126" t="s">
        <v>2546</v>
      </c>
      <c r="D808">
        <v>520</v>
      </c>
      <c r="E808" s="126" t="s">
        <v>1621</v>
      </c>
      <c r="F808" s="122" t="s">
        <v>1607</v>
      </c>
      <c r="G808" s="122" t="s">
        <v>134</v>
      </c>
      <c r="H808">
        <v>176</v>
      </c>
      <c r="I808" s="122" t="s">
        <v>1546</v>
      </c>
      <c r="J808" s="307" t="s">
        <v>214</v>
      </c>
      <c r="K808" s="127" t="s">
        <v>2052</v>
      </c>
      <c r="L808" s="151" t="s">
        <v>1483</v>
      </c>
      <c r="M808">
        <v>237</v>
      </c>
      <c r="N808" s="123"/>
      <c r="O808">
        <v>526</v>
      </c>
      <c r="P808" s="132" t="s">
        <v>77</v>
      </c>
      <c r="Q808" s="131">
        <v>168.96</v>
      </c>
      <c r="R808" s="131">
        <v>27.04</v>
      </c>
      <c r="S808" s="131"/>
      <c r="T808" s="155"/>
      <c r="U808" s="131"/>
      <c r="V808" s="131">
        <v>196</v>
      </c>
      <c r="W808">
        <v>103</v>
      </c>
      <c r="X808" s="151" t="s">
        <v>1644</v>
      </c>
      <c r="Y808" s="135" t="s">
        <v>55</v>
      </c>
      <c r="Z808" s="307">
        <v>196</v>
      </c>
      <c r="AB808" t="str">
        <f>IF(Table1[[#This Row],[TIPO2]]="costo", VLOOKUP(Table1[[#This Row],[PARTIDA PRESUPUESTAL]],'Cost Report'!G:G,1,0),"Balance")</f>
        <v>2494-071</v>
      </c>
      <c r="AC808" s="118"/>
      <c r="AD808" s="159">
        <f>+Table1[[#This Row],[SUBTOTAL]]+Table1[[#This Row],[IVA]]-Table1[[#This Row],[RET IVA]]-Table1[[#This Row],[RET ISR]]-Table1[[#This Row],[TOTAL]]</f>
        <v>0</v>
      </c>
      <c r="AE808" s="150"/>
      <c r="AF808" s="151"/>
      <c r="AG808" s="126" t="s">
        <v>3420</v>
      </c>
      <c r="AH808" s="115"/>
      <c r="AK808" s="306" t="str">
        <f>IF(ISNUMBER(Table1[[#This Row],[FECHA DE RECIBIDO]]), Table1[[#This Row],[FECHA DE RECIBIDO]]-DATE(2023,8,30), "")</f>
        <v/>
      </c>
    </row>
    <row r="809" spans="1:37" ht="16.05" customHeight="1">
      <c r="A809" s="152" t="s">
        <v>2108</v>
      </c>
      <c r="B809" s="153">
        <v>308</v>
      </c>
      <c r="C809" s="126" t="s">
        <v>1732</v>
      </c>
      <c r="D809">
        <v>521</v>
      </c>
      <c r="E809" s="126" t="s">
        <v>1621</v>
      </c>
      <c r="F809" s="125" t="s">
        <v>1607</v>
      </c>
      <c r="G809" s="125" t="s">
        <v>134</v>
      </c>
      <c r="H809">
        <v>176</v>
      </c>
      <c r="I809" s="125" t="s">
        <v>1546</v>
      </c>
      <c r="J809" s="308" t="s">
        <v>214</v>
      </c>
      <c r="K809" s="127" t="s">
        <v>2052</v>
      </c>
      <c r="L809" s="153" t="s">
        <v>1483</v>
      </c>
      <c r="M809">
        <v>237</v>
      </c>
      <c r="N809" s="123"/>
      <c r="O809">
        <v>527</v>
      </c>
      <c r="P809" s="132" t="s">
        <v>77</v>
      </c>
      <c r="Q809" s="132">
        <v>12112.06</v>
      </c>
      <c r="R809" s="132">
        <v>1937.94</v>
      </c>
      <c r="S809" s="132"/>
      <c r="T809" s="156"/>
      <c r="U809" s="132"/>
      <c r="V809" s="132">
        <v>14050</v>
      </c>
      <c r="W809">
        <v>103</v>
      </c>
      <c r="X809" s="153" t="s">
        <v>1644</v>
      </c>
      <c r="Y809" s="124" t="s">
        <v>55</v>
      </c>
      <c r="Z809" s="308">
        <v>195</v>
      </c>
      <c r="AB809" t="str">
        <f>IF(Table1[[#This Row],[TIPO2]]="costo", VLOOKUP(Table1[[#This Row],[PARTIDA PRESUPUESTAL]],'Cost Report'!G:G,1,0),"Balance")</f>
        <v>2494-035</v>
      </c>
      <c r="AC809" s="118"/>
      <c r="AD809" s="159">
        <f>+Table1[[#This Row],[SUBTOTAL]]+Table1[[#This Row],[IVA]]-Table1[[#This Row],[RET IVA]]-Table1[[#This Row],[RET ISR]]-Table1[[#This Row],[TOTAL]]</f>
        <v>0</v>
      </c>
      <c r="AE809" s="152"/>
      <c r="AF809" s="153"/>
      <c r="AG809" s="126" t="s">
        <v>3420</v>
      </c>
      <c r="AH809" s="115"/>
      <c r="AK809" s="306" t="str">
        <f>IF(ISNUMBER(Table1[[#This Row],[FECHA DE RECIBIDO]]), Table1[[#This Row],[FECHA DE RECIBIDO]]-DATE(2023,8,30), "")</f>
        <v/>
      </c>
    </row>
    <row r="810" spans="1:37" ht="16.05" customHeight="1">
      <c r="A810" s="150" t="s">
        <v>2108</v>
      </c>
      <c r="B810" s="151">
        <v>308</v>
      </c>
      <c r="C810" s="126" t="s">
        <v>1517</v>
      </c>
      <c r="D810">
        <v>522</v>
      </c>
      <c r="E810" s="126" t="s">
        <v>2110</v>
      </c>
      <c r="F810" s="122" t="s">
        <v>1607</v>
      </c>
      <c r="G810" s="122" t="s">
        <v>134</v>
      </c>
      <c r="H810">
        <v>177</v>
      </c>
      <c r="I810" s="122" t="s">
        <v>1546</v>
      </c>
      <c r="J810" s="307" t="s">
        <v>214</v>
      </c>
      <c r="K810" s="127" t="s">
        <v>2052</v>
      </c>
      <c r="L810" s="151" t="s">
        <v>1483</v>
      </c>
      <c r="M810">
        <v>238</v>
      </c>
      <c r="N810" s="123"/>
      <c r="O810">
        <v>528</v>
      </c>
      <c r="P810" s="132" t="s">
        <v>77</v>
      </c>
      <c r="Q810" s="131">
        <v>4223.3900000000003</v>
      </c>
      <c r="R810" s="131">
        <v>675.74</v>
      </c>
      <c r="S810" s="131"/>
      <c r="T810" s="155"/>
      <c r="U810" s="131"/>
      <c r="V810" s="131">
        <v>4899.13</v>
      </c>
      <c r="W810">
        <v>103</v>
      </c>
      <c r="X810" s="151" t="s">
        <v>1644</v>
      </c>
      <c r="Y810" s="135" t="s">
        <v>55</v>
      </c>
      <c r="Z810" s="307">
        <v>196</v>
      </c>
      <c r="AB810" t="str">
        <f>IF(Table1[[#This Row],[TIPO2]]="costo", VLOOKUP(Table1[[#This Row],[PARTIDA PRESUPUESTAL]],'Cost Report'!G:G,1,0),"Balance")</f>
        <v>2494-027</v>
      </c>
      <c r="AC810" s="118"/>
      <c r="AD810" s="159">
        <f>+Table1[[#This Row],[SUBTOTAL]]+Table1[[#This Row],[IVA]]-Table1[[#This Row],[RET IVA]]-Table1[[#This Row],[RET ISR]]-Table1[[#This Row],[TOTAL]]</f>
        <v>0</v>
      </c>
      <c r="AE810" s="150"/>
      <c r="AF810" s="151"/>
      <c r="AG810" s="126" t="s">
        <v>3420</v>
      </c>
      <c r="AH810" s="115"/>
      <c r="AK810" s="306" t="str">
        <f>IF(ISNUMBER(Table1[[#This Row],[FECHA DE RECIBIDO]]), Table1[[#This Row],[FECHA DE RECIBIDO]]-DATE(2023,8,30), "")</f>
        <v/>
      </c>
    </row>
    <row r="811" spans="1:37" ht="16.05" customHeight="1">
      <c r="A811" s="152" t="s">
        <v>2108</v>
      </c>
      <c r="B811" s="153">
        <v>308</v>
      </c>
      <c r="C811" s="126" t="s">
        <v>610</v>
      </c>
      <c r="D811">
        <v>523</v>
      </c>
      <c r="E811" s="126" t="s">
        <v>1621</v>
      </c>
      <c r="F811" s="125" t="s">
        <v>1607</v>
      </c>
      <c r="G811" s="125" t="s">
        <v>134</v>
      </c>
      <c r="H811">
        <v>176</v>
      </c>
      <c r="I811" s="125" t="s">
        <v>1546</v>
      </c>
      <c r="J811" s="308" t="s">
        <v>214</v>
      </c>
      <c r="K811" s="127" t="s">
        <v>2052</v>
      </c>
      <c r="L811" s="153" t="s">
        <v>1483</v>
      </c>
      <c r="M811">
        <v>237</v>
      </c>
      <c r="N811" s="123"/>
      <c r="O811">
        <v>529</v>
      </c>
      <c r="P811" s="132" t="s">
        <v>77</v>
      </c>
      <c r="Q811" s="132">
        <v>10.34</v>
      </c>
      <c r="R811" s="132">
        <v>1.66</v>
      </c>
      <c r="S811" s="132"/>
      <c r="T811" s="156"/>
      <c r="U811" s="132"/>
      <c r="V811" s="132">
        <v>12</v>
      </c>
      <c r="W811">
        <v>103</v>
      </c>
      <c r="X811" s="153" t="s">
        <v>1644</v>
      </c>
      <c r="Y811" s="124" t="s">
        <v>55</v>
      </c>
      <c r="Z811" s="308">
        <v>195</v>
      </c>
      <c r="AB811" t="str">
        <f>IF(Table1[[#This Row],[TIPO2]]="costo", VLOOKUP(Table1[[#This Row],[PARTIDA PRESUPUESTAL]],'Cost Report'!G:G,1,0),"Balance")</f>
        <v>2485-003</v>
      </c>
      <c r="AC811" s="118"/>
      <c r="AD811" s="159">
        <f>+Table1[[#This Row],[SUBTOTAL]]+Table1[[#This Row],[IVA]]-Table1[[#This Row],[RET IVA]]-Table1[[#This Row],[RET ISR]]-Table1[[#This Row],[TOTAL]]</f>
        <v>0</v>
      </c>
      <c r="AE811" s="152"/>
      <c r="AF811" s="153"/>
      <c r="AG811" s="126" t="s">
        <v>3420</v>
      </c>
      <c r="AH811" s="115"/>
      <c r="AK811" s="306" t="str">
        <f>IF(ISNUMBER(Table1[[#This Row],[FECHA DE RECIBIDO]]), Table1[[#This Row],[FECHA DE RECIBIDO]]-DATE(2023,8,30), "")</f>
        <v/>
      </c>
    </row>
    <row r="812" spans="1:37" ht="16.05" customHeight="1">
      <c r="A812" s="150" t="s">
        <v>2108</v>
      </c>
      <c r="B812" s="151">
        <v>308</v>
      </c>
      <c r="C812" s="126" t="s">
        <v>610</v>
      </c>
      <c r="D812">
        <v>524</v>
      </c>
      <c r="E812" s="126" t="s">
        <v>1621</v>
      </c>
      <c r="F812" s="122" t="s">
        <v>1607</v>
      </c>
      <c r="G812" s="122" t="s">
        <v>134</v>
      </c>
      <c r="H812">
        <v>176</v>
      </c>
      <c r="I812" s="122" t="s">
        <v>1546</v>
      </c>
      <c r="J812" s="307" t="s">
        <v>214</v>
      </c>
      <c r="K812" s="127" t="s">
        <v>2052</v>
      </c>
      <c r="L812" s="151" t="s">
        <v>1483</v>
      </c>
      <c r="M812">
        <v>237</v>
      </c>
      <c r="N812" s="123"/>
      <c r="O812">
        <v>529</v>
      </c>
      <c r="P812" s="132" t="s">
        <v>77</v>
      </c>
      <c r="Q812" s="131">
        <v>32.76</v>
      </c>
      <c r="R812" s="131">
        <v>5.24</v>
      </c>
      <c r="S812" s="131"/>
      <c r="T812" s="155"/>
      <c r="U812" s="131"/>
      <c r="V812" s="131">
        <v>38</v>
      </c>
      <c r="W812">
        <v>103</v>
      </c>
      <c r="X812" s="151" t="s">
        <v>1644</v>
      </c>
      <c r="Y812" s="135" t="s">
        <v>55</v>
      </c>
      <c r="Z812" s="307">
        <v>195</v>
      </c>
      <c r="AB812" t="str">
        <f>IF(Table1[[#This Row],[TIPO2]]="costo", VLOOKUP(Table1[[#This Row],[PARTIDA PRESUPUESTAL]],'Cost Report'!G:G,1,0),"Balance")</f>
        <v>2485-003</v>
      </c>
      <c r="AC812" s="118"/>
      <c r="AD812" s="159">
        <f>+Table1[[#This Row],[SUBTOTAL]]+Table1[[#This Row],[IVA]]-Table1[[#This Row],[RET IVA]]-Table1[[#This Row],[RET ISR]]-Table1[[#This Row],[TOTAL]]</f>
        <v>0</v>
      </c>
      <c r="AE812" s="150"/>
      <c r="AF812" s="151"/>
      <c r="AG812" s="126" t="s">
        <v>3420</v>
      </c>
      <c r="AH812" s="115"/>
      <c r="AK812" s="306" t="str">
        <f>IF(ISNUMBER(Table1[[#This Row],[FECHA DE RECIBIDO]]), Table1[[#This Row],[FECHA DE RECIBIDO]]-DATE(2023,8,30), "")</f>
        <v/>
      </c>
    </row>
    <row r="813" spans="1:37" ht="16.05" customHeight="1">
      <c r="A813" s="152" t="s">
        <v>2108</v>
      </c>
      <c r="B813" s="153">
        <v>308</v>
      </c>
      <c r="C813" s="126" t="s">
        <v>1505</v>
      </c>
      <c r="D813">
        <v>525</v>
      </c>
      <c r="E813" s="126" t="s">
        <v>1621</v>
      </c>
      <c r="F813" s="125" t="s">
        <v>1607</v>
      </c>
      <c r="G813" s="125" t="s">
        <v>134</v>
      </c>
      <c r="H813">
        <v>176</v>
      </c>
      <c r="I813" s="125" t="s">
        <v>1546</v>
      </c>
      <c r="J813" s="308" t="s">
        <v>214</v>
      </c>
      <c r="K813" s="127" t="s">
        <v>2052</v>
      </c>
      <c r="L813" s="153" t="s">
        <v>1483</v>
      </c>
      <c r="M813">
        <v>237</v>
      </c>
      <c r="N813" s="123"/>
      <c r="O813">
        <v>530</v>
      </c>
      <c r="P813" s="132" t="s">
        <v>77</v>
      </c>
      <c r="Q813" s="132">
        <v>7418.1</v>
      </c>
      <c r="R813" s="132">
        <v>1186.9000000000001</v>
      </c>
      <c r="S813" s="132"/>
      <c r="T813" s="156"/>
      <c r="U813" s="132"/>
      <c r="V813" s="132">
        <v>8605</v>
      </c>
      <c r="W813">
        <v>103</v>
      </c>
      <c r="X813" s="153" t="s">
        <v>1644</v>
      </c>
      <c r="Y813" s="124" t="s">
        <v>55</v>
      </c>
      <c r="Z813" s="308">
        <v>195</v>
      </c>
      <c r="AB813" t="str">
        <f>IF(Table1[[#This Row],[TIPO2]]="costo", VLOOKUP(Table1[[#This Row],[PARTIDA PRESUPUESTAL]],'Cost Report'!G:G,1,0),"Balance")</f>
        <v>2494-003</v>
      </c>
      <c r="AC813" s="118"/>
      <c r="AD813" s="159">
        <f>+Table1[[#This Row],[SUBTOTAL]]+Table1[[#This Row],[IVA]]-Table1[[#This Row],[RET IVA]]-Table1[[#This Row],[RET ISR]]-Table1[[#This Row],[TOTAL]]</f>
        <v>0</v>
      </c>
      <c r="AE813" s="152"/>
      <c r="AF813" s="153"/>
      <c r="AG813" s="126" t="s">
        <v>3420</v>
      </c>
      <c r="AH813" s="115"/>
      <c r="AK813" s="306" t="str">
        <f>IF(ISNUMBER(Table1[[#This Row],[FECHA DE RECIBIDO]]), Table1[[#This Row],[FECHA DE RECIBIDO]]-DATE(2023,8,30), "")</f>
        <v/>
      </c>
    </row>
    <row r="814" spans="1:37" ht="16.05" customHeight="1">
      <c r="A814" s="150" t="s">
        <v>2108</v>
      </c>
      <c r="B814" s="151">
        <v>308</v>
      </c>
      <c r="C814" s="126" t="s">
        <v>1509</v>
      </c>
      <c r="D814">
        <v>526</v>
      </c>
      <c r="E814" s="126" t="s">
        <v>2006</v>
      </c>
      <c r="F814" s="122" t="s">
        <v>1589</v>
      </c>
      <c r="G814" s="122" t="s">
        <v>129</v>
      </c>
      <c r="H814">
        <v>178</v>
      </c>
      <c r="I814" s="122" t="s">
        <v>1546</v>
      </c>
      <c r="J814" s="307" t="s">
        <v>214</v>
      </c>
      <c r="K814" s="127" t="s">
        <v>2052</v>
      </c>
      <c r="L814" s="151" t="s">
        <v>1483</v>
      </c>
      <c r="M814">
        <v>239</v>
      </c>
      <c r="N814" s="123"/>
      <c r="O814">
        <v>531</v>
      </c>
      <c r="P814" s="132" t="s">
        <v>77</v>
      </c>
      <c r="Q814" s="131">
        <v>519.1</v>
      </c>
      <c r="R814" s="131">
        <v>79.900000000000006</v>
      </c>
      <c r="S814" s="131"/>
      <c r="T814" s="155"/>
      <c r="U814" s="131"/>
      <c r="V814" s="131">
        <v>599</v>
      </c>
      <c r="W814">
        <v>103</v>
      </c>
      <c r="X814" s="151" t="s">
        <v>1644</v>
      </c>
      <c r="Y814" s="135" t="s">
        <v>55</v>
      </c>
      <c r="Z814" s="307">
        <v>196</v>
      </c>
      <c r="AB814" t="str">
        <f>IF(Table1[[#This Row],[TIPO2]]="costo", VLOOKUP(Table1[[#This Row],[PARTIDA PRESUPUESTAL]],'Cost Report'!G:G,1,0),"Balance")</f>
        <v>2494-011</v>
      </c>
      <c r="AC814" s="118"/>
      <c r="AD814" s="159">
        <f>+Table1[[#This Row],[SUBTOTAL]]+Table1[[#This Row],[IVA]]-Table1[[#This Row],[RET IVA]]-Table1[[#This Row],[RET ISR]]-Table1[[#This Row],[TOTAL]]</f>
        <v>0</v>
      </c>
      <c r="AE814" s="150"/>
      <c r="AF814" s="151"/>
      <c r="AG814" s="126" t="s">
        <v>3420</v>
      </c>
      <c r="AH814" s="115"/>
      <c r="AK814" s="306" t="str">
        <f>IF(ISNUMBER(Table1[[#This Row],[FECHA DE RECIBIDO]]), Table1[[#This Row],[FECHA DE RECIBIDO]]-DATE(2023,8,30), "")</f>
        <v/>
      </c>
    </row>
    <row r="815" spans="1:37" ht="16.05" customHeight="1">
      <c r="A815" s="152" t="s">
        <v>2108</v>
      </c>
      <c r="B815" s="153">
        <v>308</v>
      </c>
      <c r="C815" s="126" t="s">
        <v>2455</v>
      </c>
      <c r="D815"/>
      <c r="E815" s="126"/>
      <c r="F815" s="125"/>
      <c r="G815" s="125"/>
      <c r="H815"/>
      <c r="I815" s="125"/>
      <c r="J815" s="308" t="s">
        <v>214</v>
      </c>
      <c r="K815" s="127" t="s">
        <v>2052</v>
      </c>
      <c r="L815" s="153" t="s">
        <v>1483</v>
      </c>
      <c r="M815">
        <v>240</v>
      </c>
      <c r="N815" s="123"/>
      <c r="O815">
        <v>532</v>
      </c>
      <c r="P815" s="132" t="s">
        <v>77</v>
      </c>
      <c r="Q815" s="132">
        <v>33.92</v>
      </c>
      <c r="R815" s="132"/>
      <c r="S815" s="132"/>
      <c r="T815" s="156"/>
      <c r="U815" s="132"/>
      <c r="V815" s="132">
        <v>33.92</v>
      </c>
      <c r="W815">
        <v>103</v>
      </c>
      <c r="X815" s="153" t="s">
        <v>1644</v>
      </c>
      <c r="Y815" s="124" t="s">
        <v>55</v>
      </c>
      <c r="Z815" s="308">
        <v>189</v>
      </c>
      <c r="AB815" t="str">
        <f>IF(Table1[[#This Row],[TIPO2]]="costo", VLOOKUP(Table1[[#This Row],[PARTIDA PRESUPUESTAL]],'Cost Report'!G:G,1,0),"Balance")</f>
        <v>2285-003</v>
      </c>
      <c r="AC815" s="118"/>
      <c r="AD815" s="159">
        <f>+Table1[[#This Row],[SUBTOTAL]]+Table1[[#This Row],[IVA]]-Table1[[#This Row],[RET IVA]]-Table1[[#This Row],[RET ISR]]-Table1[[#This Row],[TOTAL]]</f>
        <v>0</v>
      </c>
      <c r="AE815" s="152"/>
      <c r="AF815" s="153"/>
      <c r="AG815" s="126" t="s">
        <v>3420</v>
      </c>
      <c r="AH815" s="115"/>
      <c r="AK815" s="306" t="str">
        <f>IF(ISNUMBER(Table1[[#This Row],[FECHA DE RECIBIDO]]), Table1[[#This Row],[FECHA DE RECIBIDO]]-DATE(2023,8,30), "")</f>
        <v/>
      </c>
    </row>
    <row r="816" spans="1:37" ht="16.05" customHeight="1">
      <c r="A816" s="150" t="s">
        <v>2108</v>
      </c>
      <c r="B816" s="151">
        <v>308</v>
      </c>
      <c r="C816" s="126" t="s">
        <v>2455</v>
      </c>
      <c r="D816"/>
      <c r="E816" s="126"/>
      <c r="F816" s="122"/>
      <c r="G816" s="122"/>
      <c r="H816"/>
      <c r="I816" s="122"/>
      <c r="J816" s="307" t="s">
        <v>214</v>
      </c>
      <c r="K816" s="127" t="s">
        <v>2052</v>
      </c>
      <c r="L816" s="151" t="s">
        <v>1483</v>
      </c>
      <c r="M816">
        <v>241</v>
      </c>
      <c r="N816" s="123"/>
      <c r="O816">
        <v>533</v>
      </c>
      <c r="P816" s="132" t="s">
        <v>77</v>
      </c>
      <c r="Q816" s="131">
        <v>10</v>
      </c>
      <c r="R816" s="131"/>
      <c r="S816" s="131"/>
      <c r="T816" s="155"/>
      <c r="U816" s="131"/>
      <c r="V816" s="131">
        <v>10</v>
      </c>
      <c r="W816">
        <v>103</v>
      </c>
      <c r="X816" s="151" t="s">
        <v>1644</v>
      </c>
      <c r="Y816" s="135" t="s">
        <v>55</v>
      </c>
      <c r="Z816" s="307">
        <v>196</v>
      </c>
      <c r="AB816" t="str">
        <f>IF(Table1[[#This Row],[TIPO2]]="costo", VLOOKUP(Table1[[#This Row],[PARTIDA PRESUPUESTAL]],'Cost Report'!G:G,1,0),"Balance")</f>
        <v>2285-003</v>
      </c>
      <c r="AC816" s="118"/>
      <c r="AD816" s="159">
        <f>+Table1[[#This Row],[SUBTOTAL]]+Table1[[#This Row],[IVA]]-Table1[[#This Row],[RET IVA]]-Table1[[#This Row],[RET ISR]]-Table1[[#This Row],[TOTAL]]</f>
        <v>0</v>
      </c>
      <c r="AE816" s="150"/>
      <c r="AF816" s="151"/>
      <c r="AG816" s="126" t="s">
        <v>3420</v>
      </c>
      <c r="AH816" s="115"/>
      <c r="AK816" s="306" t="str">
        <f>IF(ISNUMBER(Table1[[#This Row],[FECHA DE RECIBIDO]]), Table1[[#This Row],[FECHA DE RECIBIDO]]-DATE(2023,8,30), "")</f>
        <v/>
      </c>
    </row>
    <row r="817" spans="1:37" ht="16.05" customHeight="1">
      <c r="A817" s="152" t="s">
        <v>2111</v>
      </c>
      <c r="B817" s="153">
        <v>309</v>
      </c>
      <c r="C817" s="126" t="s">
        <v>2544</v>
      </c>
      <c r="D817">
        <v>527</v>
      </c>
      <c r="E817" s="126" t="s">
        <v>1621</v>
      </c>
      <c r="F817" s="125" t="s">
        <v>1607</v>
      </c>
      <c r="G817" s="125" t="s">
        <v>134</v>
      </c>
      <c r="H817">
        <v>176</v>
      </c>
      <c r="I817" s="125" t="s">
        <v>1546</v>
      </c>
      <c r="J817" s="308" t="s">
        <v>214</v>
      </c>
      <c r="K817" s="127" t="s">
        <v>2052</v>
      </c>
      <c r="L817" s="153" t="s">
        <v>1483</v>
      </c>
      <c r="M817">
        <v>237</v>
      </c>
      <c r="N817" s="123"/>
      <c r="O817">
        <v>534</v>
      </c>
      <c r="P817" s="132" t="s">
        <v>77</v>
      </c>
      <c r="Q817" s="132">
        <v>2406.9</v>
      </c>
      <c r="R817" s="132">
        <v>385.1</v>
      </c>
      <c r="S817" s="132"/>
      <c r="T817" s="156"/>
      <c r="U817" s="132"/>
      <c r="V817" s="132">
        <v>2792</v>
      </c>
      <c r="W817">
        <v>104</v>
      </c>
      <c r="X817" s="153" t="s">
        <v>1644</v>
      </c>
      <c r="Y817" s="124" t="s">
        <v>55</v>
      </c>
      <c r="Z817" s="308">
        <v>194</v>
      </c>
      <c r="AB817" t="str">
        <f>IF(Table1[[#This Row],[TIPO2]]="costo", VLOOKUP(Table1[[#This Row],[PARTIDA PRESUPUESTAL]],'Cost Report'!G:G,1,0),"Balance")</f>
        <v>2494-067</v>
      </c>
      <c r="AC817" s="118"/>
      <c r="AD817" s="159">
        <f>+Table1[[#This Row],[SUBTOTAL]]+Table1[[#This Row],[IVA]]-Table1[[#This Row],[RET IVA]]-Table1[[#This Row],[RET ISR]]-Table1[[#This Row],[TOTAL]]</f>
        <v>0</v>
      </c>
      <c r="AE817" s="152"/>
      <c r="AF817" s="153"/>
      <c r="AG817" s="126" t="s">
        <v>3420</v>
      </c>
      <c r="AH817" s="115"/>
      <c r="AK817" s="306" t="str">
        <f>IF(ISNUMBER(Table1[[#This Row],[FECHA DE RECIBIDO]]), Table1[[#This Row],[FECHA DE RECIBIDO]]-DATE(2023,8,30), "")</f>
        <v/>
      </c>
    </row>
    <row r="818" spans="1:37" ht="16.05" customHeight="1">
      <c r="A818" s="150" t="s">
        <v>2111</v>
      </c>
      <c r="B818" s="151">
        <v>309</v>
      </c>
      <c r="C818" s="126" t="s">
        <v>1505</v>
      </c>
      <c r="D818">
        <v>528</v>
      </c>
      <c r="E818" s="126" t="s">
        <v>1621</v>
      </c>
      <c r="F818" s="122" t="s">
        <v>1607</v>
      </c>
      <c r="G818" s="122" t="s">
        <v>134</v>
      </c>
      <c r="H818">
        <v>176</v>
      </c>
      <c r="I818" s="122" t="s">
        <v>1546</v>
      </c>
      <c r="J818" s="307" t="s">
        <v>214</v>
      </c>
      <c r="K818" s="127" t="s">
        <v>2052</v>
      </c>
      <c r="L818" s="151" t="s">
        <v>1483</v>
      </c>
      <c r="M818">
        <v>237</v>
      </c>
      <c r="N818" s="123"/>
      <c r="O818">
        <v>535</v>
      </c>
      <c r="P818" s="132" t="s">
        <v>77</v>
      </c>
      <c r="Q818" s="131">
        <v>2273.27</v>
      </c>
      <c r="R818" s="131">
        <v>363.73</v>
      </c>
      <c r="S818" s="131"/>
      <c r="T818" s="155"/>
      <c r="U818" s="131"/>
      <c r="V818" s="131">
        <v>2637</v>
      </c>
      <c r="W818">
        <v>104</v>
      </c>
      <c r="X818" s="151" t="s">
        <v>1644</v>
      </c>
      <c r="Y818" s="135" t="s">
        <v>55</v>
      </c>
      <c r="Z818" s="307">
        <v>196</v>
      </c>
      <c r="AB818" t="str">
        <f>IF(Table1[[#This Row],[TIPO2]]="costo", VLOOKUP(Table1[[#This Row],[PARTIDA PRESUPUESTAL]],'Cost Report'!G:G,1,0),"Balance")</f>
        <v>2494-003</v>
      </c>
      <c r="AC818" s="118"/>
      <c r="AD818" s="159">
        <f>+Table1[[#This Row],[SUBTOTAL]]+Table1[[#This Row],[IVA]]-Table1[[#This Row],[RET IVA]]-Table1[[#This Row],[RET ISR]]-Table1[[#This Row],[TOTAL]]</f>
        <v>0</v>
      </c>
      <c r="AE818" s="150"/>
      <c r="AF818" s="151"/>
      <c r="AG818" s="126" t="s">
        <v>3420</v>
      </c>
      <c r="AH818" s="115"/>
      <c r="AK818" s="306" t="str">
        <f>IF(ISNUMBER(Table1[[#This Row],[FECHA DE RECIBIDO]]), Table1[[#This Row],[FECHA DE RECIBIDO]]-DATE(2023,8,30), "")</f>
        <v/>
      </c>
    </row>
    <row r="819" spans="1:37" ht="16.05" customHeight="1">
      <c r="A819" s="152" t="s">
        <v>2111</v>
      </c>
      <c r="B819" s="153">
        <v>309</v>
      </c>
      <c r="C819" s="126" t="s">
        <v>1732</v>
      </c>
      <c r="D819">
        <v>529</v>
      </c>
      <c r="E819" s="126" t="s">
        <v>1621</v>
      </c>
      <c r="F819" s="125" t="s">
        <v>1607</v>
      </c>
      <c r="G819" s="125" t="s">
        <v>134</v>
      </c>
      <c r="H819">
        <v>176</v>
      </c>
      <c r="I819" s="125" t="s">
        <v>1546</v>
      </c>
      <c r="J819" s="308" t="s">
        <v>214</v>
      </c>
      <c r="K819" s="127" t="s">
        <v>2052</v>
      </c>
      <c r="L819" s="153" t="s">
        <v>1483</v>
      </c>
      <c r="M819">
        <v>237</v>
      </c>
      <c r="N819" s="123"/>
      <c r="O819">
        <v>536</v>
      </c>
      <c r="P819" s="132" t="s">
        <v>77</v>
      </c>
      <c r="Q819" s="132">
        <v>1201.73</v>
      </c>
      <c r="R819" s="132">
        <v>192.27</v>
      </c>
      <c r="S819" s="132"/>
      <c r="T819" s="156"/>
      <c r="U819" s="132"/>
      <c r="V819" s="132">
        <v>1394</v>
      </c>
      <c r="W819">
        <v>104</v>
      </c>
      <c r="X819" s="153" t="s">
        <v>1644</v>
      </c>
      <c r="Y819" s="124" t="s">
        <v>55</v>
      </c>
      <c r="Z819" s="308">
        <v>196</v>
      </c>
      <c r="AB819" t="str">
        <f>IF(Table1[[#This Row],[TIPO2]]="costo", VLOOKUP(Table1[[#This Row],[PARTIDA PRESUPUESTAL]],'Cost Report'!G:G,1,0),"Balance")</f>
        <v>2494-035</v>
      </c>
      <c r="AC819" s="118"/>
      <c r="AD819" s="159">
        <f>+Table1[[#This Row],[SUBTOTAL]]+Table1[[#This Row],[IVA]]-Table1[[#This Row],[RET IVA]]-Table1[[#This Row],[RET ISR]]-Table1[[#This Row],[TOTAL]]</f>
        <v>0</v>
      </c>
      <c r="AE819" s="152"/>
      <c r="AF819" s="153"/>
      <c r="AG819" s="126" t="s">
        <v>3420</v>
      </c>
      <c r="AH819" s="115"/>
      <c r="AK819" s="306" t="str">
        <f>IF(ISNUMBER(Table1[[#This Row],[FECHA DE RECIBIDO]]), Table1[[#This Row],[FECHA DE RECIBIDO]]-DATE(2023,8,30), "")</f>
        <v/>
      </c>
    </row>
    <row r="820" spans="1:37" ht="16.05" customHeight="1">
      <c r="A820" s="150" t="s">
        <v>2111</v>
      </c>
      <c r="B820" s="151">
        <v>309</v>
      </c>
      <c r="C820" s="126" t="s">
        <v>1507</v>
      </c>
      <c r="D820">
        <v>530</v>
      </c>
      <c r="E820" s="126" t="s">
        <v>2110</v>
      </c>
      <c r="F820" s="122" t="s">
        <v>1607</v>
      </c>
      <c r="G820" s="122" t="s">
        <v>134</v>
      </c>
      <c r="H820">
        <v>177</v>
      </c>
      <c r="I820" s="122" t="s">
        <v>1546</v>
      </c>
      <c r="J820" s="307" t="s">
        <v>214</v>
      </c>
      <c r="K820" s="127" t="s">
        <v>2052</v>
      </c>
      <c r="L820" s="151" t="s">
        <v>1483</v>
      </c>
      <c r="M820">
        <v>238</v>
      </c>
      <c r="N820" s="123"/>
      <c r="O820">
        <v>537</v>
      </c>
      <c r="P820" s="132" t="s">
        <v>77</v>
      </c>
      <c r="Q820" s="131">
        <v>258.61</v>
      </c>
      <c r="R820" s="131">
        <v>41.38</v>
      </c>
      <c r="S820" s="131"/>
      <c r="T820" s="155"/>
      <c r="U820" s="131"/>
      <c r="V820" s="131">
        <v>299.99</v>
      </c>
      <c r="W820">
        <v>104</v>
      </c>
      <c r="X820" s="151" t="s">
        <v>1644</v>
      </c>
      <c r="Y820" s="135" t="s">
        <v>55</v>
      </c>
      <c r="Z820" s="307">
        <v>196</v>
      </c>
      <c r="AB820" t="str">
        <f>IF(Table1[[#This Row],[TIPO2]]="costo", VLOOKUP(Table1[[#This Row],[PARTIDA PRESUPUESTAL]],'Cost Report'!G:G,1,0),"Balance")</f>
        <v>2494-007</v>
      </c>
      <c r="AC820" s="118"/>
      <c r="AD820" s="159">
        <f>+Table1[[#This Row],[SUBTOTAL]]+Table1[[#This Row],[IVA]]-Table1[[#This Row],[RET IVA]]-Table1[[#This Row],[RET ISR]]-Table1[[#This Row],[TOTAL]]</f>
        <v>0</v>
      </c>
      <c r="AE820" s="150"/>
      <c r="AF820" s="151"/>
      <c r="AG820" s="126" t="s">
        <v>3420</v>
      </c>
      <c r="AH820" s="115"/>
      <c r="AK820" s="306" t="str">
        <f>IF(ISNUMBER(Table1[[#This Row],[FECHA DE RECIBIDO]]), Table1[[#This Row],[FECHA DE RECIBIDO]]-DATE(2023,8,30), "")</f>
        <v/>
      </c>
    </row>
    <row r="821" spans="1:37" ht="16.05" customHeight="1">
      <c r="A821" s="152" t="s">
        <v>2111</v>
      </c>
      <c r="B821" s="153">
        <v>309</v>
      </c>
      <c r="C821" s="126" t="s">
        <v>1505</v>
      </c>
      <c r="D821">
        <v>531</v>
      </c>
      <c r="E821" s="126" t="s">
        <v>2110</v>
      </c>
      <c r="F821" s="125" t="s">
        <v>1607</v>
      </c>
      <c r="G821" s="125" t="s">
        <v>134</v>
      </c>
      <c r="H821">
        <v>177</v>
      </c>
      <c r="I821" s="125" t="s">
        <v>1546</v>
      </c>
      <c r="J821" s="308" t="s">
        <v>214</v>
      </c>
      <c r="K821" s="127" t="s">
        <v>2052</v>
      </c>
      <c r="L821" s="153" t="s">
        <v>1483</v>
      </c>
      <c r="M821">
        <v>238</v>
      </c>
      <c r="N821" s="123"/>
      <c r="O821">
        <v>538</v>
      </c>
      <c r="P821" s="132" t="s">
        <v>77</v>
      </c>
      <c r="Q821" s="132">
        <v>418.02</v>
      </c>
      <c r="R821" s="132">
        <v>66.88</v>
      </c>
      <c r="S821" s="132"/>
      <c r="T821" s="156"/>
      <c r="U821" s="132"/>
      <c r="V821" s="132">
        <v>484.9</v>
      </c>
      <c r="W821">
        <v>104</v>
      </c>
      <c r="X821" s="153" t="s">
        <v>1644</v>
      </c>
      <c r="Y821" s="124" t="s">
        <v>55</v>
      </c>
      <c r="Z821" s="308">
        <v>196</v>
      </c>
      <c r="AB821" t="str">
        <f>IF(Table1[[#This Row],[TIPO2]]="costo", VLOOKUP(Table1[[#This Row],[PARTIDA PRESUPUESTAL]],'Cost Report'!G:G,1,0),"Balance")</f>
        <v>2494-003</v>
      </c>
      <c r="AC821" s="118"/>
      <c r="AD821" s="159">
        <f>+Table1[[#This Row],[SUBTOTAL]]+Table1[[#This Row],[IVA]]-Table1[[#This Row],[RET IVA]]-Table1[[#This Row],[RET ISR]]-Table1[[#This Row],[TOTAL]]</f>
        <v>0</v>
      </c>
      <c r="AE821" s="152"/>
      <c r="AF821" s="153"/>
      <c r="AG821" s="126" t="s">
        <v>3420</v>
      </c>
      <c r="AH821" s="115"/>
      <c r="AK821" s="306" t="str">
        <f>IF(ISNUMBER(Table1[[#This Row],[FECHA DE RECIBIDO]]), Table1[[#This Row],[FECHA DE RECIBIDO]]-DATE(2023,8,30), "")</f>
        <v/>
      </c>
    </row>
    <row r="822" spans="1:37" ht="16.05" customHeight="1">
      <c r="A822" s="150" t="s">
        <v>2111</v>
      </c>
      <c r="B822" s="151">
        <v>309</v>
      </c>
      <c r="C822" s="126" t="s">
        <v>1732</v>
      </c>
      <c r="D822">
        <v>532</v>
      </c>
      <c r="E822" s="126" t="s">
        <v>2110</v>
      </c>
      <c r="F822" s="122" t="s">
        <v>1607</v>
      </c>
      <c r="G822" s="122" t="s">
        <v>134</v>
      </c>
      <c r="H822">
        <v>177</v>
      </c>
      <c r="I822" s="122" t="s">
        <v>1546</v>
      </c>
      <c r="J822" s="307" t="s">
        <v>214</v>
      </c>
      <c r="K822" s="127" t="s">
        <v>2052</v>
      </c>
      <c r="L822" s="151" t="s">
        <v>1483</v>
      </c>
      <c r="M822">
        <v>238</v>
      </c>
      <c r="N822" s="123"/>
      <c r="O822">
        <v>539</v>
      </c>
      <c r="P822" s="132" t="s">
        <v>77</v>
      </c>
      <c r="Q822" s="131">
        <v>8.61</v>
      </c>
      <c r="R822" s="131">
        <v>1.38</v>
      </c>
      <c r="S822" s="131"/>
      <c r="T822" s="155"/>
      <c r="U822" s="131"/>
      <c r="V822" s="131">
        <v>9.9899999999999984</v>
      </c>
      <c r="W822">
        <v>104</v>
      </c>
      <c r="X822" s="151" t="s">
        <v>1644</v>
      </c>
      <c r="Y822" s="135" t="s">
        <v>55</v>
      </c>
      <c r="Z822" s="307">
        <v>196</v>
      </c>
      <c r="AB822" t="str">
        <f>IF(Table1[[#This Row],[TIPO2]]="costo", VLOOKUP(Table1[[#This Row],[PARTIDA PRESUPUESTAL]],'Cost Report'!G:G,1,0),"Balance")</f>
        <v>2494-035</v>
      </c>
      <c r="AC822" s="118"/>
      <c r="AD822" s="159">
        <f>+Table1[[#This Row],[SUBTOTAL]]+Table1[[#This Row],[IVA]]-Table1[[#This Row],[RET IVA]]-Table1[[#This Row],[RET ISR]]-Table1[[#This Row],[TOTAL]]</f>
        <v>0</v>
      </c>
      <c r="AE822" s="150"/>
      <c r="AF822" s="151"/>
      <c r="AG822" s="126" t="s">
        <v>3420</v>
      </c>
      <c r="AH822" s="115"/>
      <c r="AK822" s="306" t="str">
        <f>IF(ISNUMBER(Table1[[#This Row],[FECHA DE RECIBIDO]]), Table1[[#This Row],[FECHA DE RECIBIDO]]-DATE(2023,8,30), "")</f>
        <v/>
      </c>
    </row>
    <row r="823" spans="1:37" ht="16.05" customHeight="1">
      <c r="A823" s="152" t="s">
        <v>2111</v>
      </c>
      <c r="B823" s="153">
        <v>309</v>
      </c>
      <c r="C823" s="126" t="s">
        <v>1505</v>
      </c>
      <c r="D823">
        <v>533</v>
      </c>
      <c r="E823" s="126" t="s">
        <v>2110</v>
      </c>
      <c r="F823" s="125" t="s">
        <v>1607</v>
      </c>
      <c r="G823" s="125" t="s">
        <v>134</v>
      </c>
      <c r="H823">
        <v>177</v>
      </c>
      <c r="I823" s="125" t="s">
        <v>1546</v>
      </c>
      <c r="J823" s="308" t="s">
        <v>214</v>
      </c>
      <c r="K823" s="127" t="s">
        <v>2052</v>
      </c>
      <c r="L823" s="153" t="s">
        <v>1483</v>
      </c>
      <c r="M823">
        <v>238</v>
      </c>
      <c r="N823" s="123"/>
      <c r="O823">
        <v>530</v>
      </c>
      <c r="P823" s="132" t="s">
        <v>77</v>
      </c>
      <c r="Q823" s="132">
        <v>603.41</v>
      </c>
      <c r="R823" s="132">
        <v>96.54</v>
      </c>
      <c r="S823" s="132"/>
      <c r="T823" s="156"/>
      <c r="U823" s="132"/>
      <c r="V823" s="132">
        <v>699.94999999999993</v>
      </c>
      <c r="W823">
        <v>104</v>
      </c>
      <c r="X823" s="153" t="s">
        <v>1644</v>
      </c>
      <c r="Y823" s="124" t="s">
        <v>55</v>
      </c>
      <c r="Z823" s="308">
        <v>196</v>
      </c>
      <c r="AB823" t="str">
        <f>IF(Table1[[#This Row],[TIPO2]]="costo", VLOOKUP(Table1[[#This Row],[PARTIDA PRESUPUESTAL]],'Cost Report'!G:G,1,0),"Balance")</f>
        <v>2494-003</v>
      </c>
      <c r="AC823" s="118"/>
      <c r="AD823" s="159">
        <f>+Table1[[#This Row],[SUBTOTAL]]+Table1[[#This Row],[IVA]]-Table1[[#This Row],[RET IVA]]-Table1[[#This Row],[RET ISR]]-Table1[[#This Row],[TOTAL]]</f>
        <v>0</v>
      </c>
      <c r="AE823" s="152"/>
      <c r="AF823" s="153"/>
      <c r="AG823" s="126" t="s">
        <v>3420</v>
      </c>
      <c r="AH823" s="115"/>
      <c r="AK823" s="306" t="str">
        <f>IF(ISNUMBER(Table1[[#This Row],[FECHA DE RECIBIDO]]), Table1[[#This Row],[FECHA DE RECIBIDO]]-DATE(2023,8,30), "")</f>
        <v/>
      </c>
    </row>
    <row r="824" spans="1:37" ht="16.05" customHeight="1">
      <c r="A824" s="150" t="s">
        <v>2111</v>
      </c>
      <c r="B824" s="151">
        <v>309</v>
      </c>
      <c r="C824" s="126" t="s">
        <v>1505</v>
      </c>
      <c r="D824">
        <v>534</v>
      </c>
      <c r="E824" s="126" t="s">
        <v>2003</v>
      </c>
      <c r="F824" s="122" t="s">
        <v>1607</v>
      </c>
      <c r="G824" s="122" t="s">
        <v>134</v>
      </c>
      <c r="H824">
        <v>139</v>
      </c>
      <c r="I824" s="122" t="s">
        <v>1546</v>
      </c>
      <c r="J824" s="307" t="s">
        <v>214</v>
      </c>
      <c r="K824" s="127" t="s">
        <v>2052</v>
      </c>
      <c r="L824" s="151" t="s">
        <v>1483</v>
      </c>
      <c r="M824">
        <v>181</v>
      </c>
      <c r="N824" s="123"/>
      <c r="O824">
        <v>538</v>
      </c>
      <c r="P824" s="132" t="s">
        <v>77</v>
      </c>
      <c r="Q824" s="131">
        <v>780.85</v>
      </c>
      <c r="R824" s="131">
        <v>124.94</v>
      </c>
      <c r="S824" s="131"/>
      <c r="T824" s="155"/>
      <c r="U824" s="131"/>
      <c r="V824" s="131">
        <v>905.79</v>
      </c>
      <c r="W824">
        <v>104</v>
      </c>
      <c r="X824" s="151" t="s">
        <v>1644</v>
      </c>
      <c r="Y824" s="135" t="s">
        <v>55</v>
      </c>
      <c r="Z824" s="307">
        <v>197</v>
      </c>
      <c r="AB824" t="str">
        <f>IF(Table1[[#This Row],[TIPO2]]="costo", VLOOKUP(Table1[[#This Row],[PARTIDA PRESUPUESTAL]],'Cost Report'!G:G,1,0),"Balance")</f>
        <v>2494-003</v>
      </c>
      <c r="AC824" s="118"/>
      <c r="AD824" s="159">
        <f>+Table1[[#This Row],[SUBTOTAL]]+Table1[[#This Row],[IVA]]-Table1[[#This Row],[RET IVA]]-Table1[[#This Row],[RET ISR]]-Table1[[#This Row],[TOTAL]]</f>
        <v>0</v>
      </c>
      <c r="AE824" s="150"/>
      <c r="AF824" s="151"/>
      <c r="AG824" s="126" t="s">
        <v>3420</v>
      </c>
      <c r="AH824" s="115"/>
      <c r="AK824" s="306" t="str">
        <f>IF(ISNUMBER(Table1[[#This Row],[FECHA DE RECIBIDO]]), Table1[[#This Row],[FECHA DE RECIBIDO]]-DATE(2023,8,30), "")</f>
        <v/>
      </c>
    </row>
    <row r="825" spans="1:37" ht="16.05" customHeight="1">
      <c r="A825" s="152" t="s">
        <v>2111</v>
      </c>
      <c r="B825" s="153">
        <v>309</v>
      </c>
      <c r="C825" s="126" t="s">
        <v>1509</v>
      </c>
      <c r="D825">
        <v>535</v>
      </c>
      <c r="E825" s="126" t="s">
        <v>2003</v>
      </c>
      <c r="F825" s="125" t="s">
        <v>1607</v>
      </c>
      <c r="G825" s="125" t="s">
        <v>134</v>
      </c>
      <c r="H825">
        <v>179</v>
      </c>
      <c r="I825" s="125" t="s">
        <v>1546</v>
      </c>
      <c r="J825" s="308" t="s">
        <v>214</v>
      </c>
      <c r="K825" s="127" t="s">
        <v>2052</v>
      </c>
      <c r="L825" s="153" t="s">
        <v>1483</v>
      </c>
      <c r="M825">
        <v>242</v>
      </c>
      <c r="N825" s="123"/>
      <c r="O825">
        <v>540</v>
      </c>
      <c r="P825" s="132" t="s">
        <v>77</v>
      </c>
      <c r="Q825" s="132">
        <v>38.79</v>
      </c>
      <c r="R825" s="132">
        <v>6.21</v>
      </c>
      <c r="S825" s="132"/>
      <c r="T825" s="156"/>
      <c r="U825" s="132"/>
      <c r="V825" s="132">
        <v>45</v>
      </c>
      <c r="W825">
        <v>104</v>
      </c>
      <c r="X825" s="153" t="s">
        <v>1644</v>
      </c>
      <c r="Y825" s="124" t="s">
        <v>55</v>
      </c>
      <c r="Z825" s="308">
        <v>197</v>
      </c>
      <c r="AB825" t="str">
        <f>IF(Table1[[#This Row],[TIPO2]]="costo", VLOOKUP(Table1[[#This Row],[PARTIDA PRESUPUESTAL]],'Cost Report'!G:G,1,0),"Balance")</f>
        <v>2494-011</v>
      </c>
      <c r="AC825" s="118"/>
      <c r="AD825" s="159">
        <f>+Table1[[#This Row],[SUBTOTAL]]+Table1[[#This Row],[IVA]]-Table1[[#This Row],[RET IVA]]-Table1[[#This Row],[RET ISR]]-Table1[[#This Row],[TOTAL]]</f>
        <v>0</v>
      </c>
      <c r="AE825" s="152"/>
      <c r="AF825" s="153"/>
      <c r="AG825" s="126" t="s">
        <v>3420</v>
      </c>
      <c r="AH825" s="115"/>
      <c r="AK825" s="306" t="str">
        <f>IF(ISNUMBER(Table1[[#This Row],[FECHA DE RECIBIDO]]), Table1[[#This Row],[FECHA DE RECIBIDO]]-DATE(2023,8,30), "")</f>
        <v/>
      </c>
    </row>
    <row r="826" spans="1:37" ht="16.05" customHeight="1">
      <c r="A826" s="150" t="s">
        <v>2111</v>
      </c>
      <c r="B826" s="151">
        <v>309</v>
      </c>
      <c r="C826" s="126" t="s">
        <v>1509</v>
      </c>
      <c r="D826">
        <v>536</v>
      </c>
      <c r="E826" s="126" t="s">
        <v>2003</v>
      </c>
      <c r="F826" s="122" t="s">
        <v>1607</v>
      </c>
      <c r="G826" s="122" t="s">
        <v>134</v>
      </c>
      <c r="H826">
        <v>179</v>
      </c>
      <c r="I826" s="122" t="s">
        <v>1546</v>
      </c>
      <c r="J826" s="307" t="s">
        <v>214</v>
      </c>
      <c r="K826" s="127" t="s">
        <v>2052</v>
      </c>
      <c r="L826" s="151" t="s">
        <v>1483</v>
      </c>
      <c r="M826">
        <v>242</v>
      </c>
      <c r="N826" s="123"/>
      <c r="O826">
        <v>540</v>
      </c>
      <c r="P826" s="132" t="s">
        <v>77</v>
      </c>
      <c r="Q826" s="131">
        <v>476.65</v>
      </c>
      <c r="R826" s="131">
        <v>76.27</v>
      </c>
      <c r="S826" s="131"/>
      <c r="T826" s="155"/>
      <c r="U826" s="131"/>
      <c r="V826" s="131">
        <v>552.91999999999996</v>
      </c>
      <c r="W826">
        <v>104</v>
      </c>
      <c r="X826" s="151" t="s">
        <v>1644</v>
      </c>
      <c r="Y826" s="135" t="s">
        <v>55</v>
      </c>
      <c r="Z826" s="307">
        <v>197</v>
      </c>
      <c r="AB826" t="str">
        <f>IF(Table1[[#This Row],[TIPO2]]="costo", VLOOKUP(Table1[[#This Row],[PARTIDA PRESUPUESTAL]],'Cost Report'!G:G,1,0),"Balance")</f>
        <v>2494-011</v>
      </c>
      <c r="AC826" s="118"/>
      <c r="AD826" s="159">
        <f>+Table1[[#This Row],[SUBTOTAL]]+Table1[[#This Row],[IVA]]-Table1[[#This Row],[RET IVA]]-Table1[[#This Row],[RET ISR]]-Table1[[#This Row],[TOTAL]]</f>
        <v>0</v>
      </c>
      <c r="AE826" s="150"/>
      <c r="AF826" s="151"/>
      <c r="AG826" s="126" t="s">
        <v>3420</v>
      </c>
      <c r="AH826" s="115"/>
      <c r="AK826" s="306" t="str">
        <f>IF(ISNUMBER(Table1[[#This Row],[FECHA DE RECIBIDO]]), Table1[[#This Row],[FECHA DE RECIBIDO]]-DATE(2023,8,30), "")</f>
        <v/>
      </c>
    </row>
    <row r="827" spans="1:37" ht="16.05" customHeight="1">
      <c r="A827" s="152" t="s">
        <v>2111</v>
      </c>
      <c r="B827" s="153">
        <v>309</v>
      </c>
      <c r="C827" s="126" t="s">
        <v>1509</v>
      </c>
      <c r="D827">
        <v>537</v>
      </c>
      <c r="E827" s="126" t="s">
        <v>2003</v>
      </c>
      <c r="F827" s="125" t="s">
        <v>1607</v>
      </c>
      <c r="G827" s="125" t="s">
        <v>134</v>
      </c>
      <c r="H827">
        <v>180</v>
      </c>
      <c r="I827" s="125" t="s">
        <v>1546</v>
      </c>
      <c r="J827" s="308" t="s">
        <v>214</v>
      </c>
      <c r="K827" s="127" t="s">
        <v>2052</v>
      </c>
      <c r="L827" s="153" t="s">
        <v>1483</v>
      </c>
      <c r="M827">
        <v>243</v>
      </c>
      <c r="N827" s="123"/>
      <c r="O827">
        <v>541</v>
      </c>
      <c r="P827" s="132" t="s">
        <v>77</v>
      </c>
      <c r="Q827" s="132">
        <v>146.22</v>
      </c>
      <c r="R827" s="132">
        <v>23.38</v>
      </c>
      <c r="S827" s="132"/>
      <c r="T827" s="156"/>
      <c r="U827" s="132"/>
      <c r="V827" s="132">
        <v>169.6</v>
      </c>
      <c r="W827">
        <v>104</v>
      </c>
      <c r="X827" s="153" t="s">
        <v>1644</v>
      </c>
      <c r="Y827" s="124" t="s">
        <v>55</v>
      </c>
      <c r="Z827" s="308">
        <v>199</v>
      </c>
      <c r="AB827" t="str">
        <f>IF(Table1[[#This Row],[TIPO2]]="costo", VLOOKUP(Table1[[#This Row],[PARTIDA PRESUPUESTAL]],'Cost Report'!G:G,1,0),"Balance")</f>
        <v>2494-011</v>
      </c>
      <c r="AC827" s="118"/>
      <c r="AD827" s="159">
        <f>+Table1[[#This Row],[SUBTOTAL]]+Table1[[#This Row],[IVA]]-Table1[[#This Row],[RET IVA]]-Table1[[#This Row],[RET ISR]]-Table1[[#This Row],[TOTAL]]</f>
        <v>0</v>
      </c>
      <c r="AE827" s="152"/>
      <c r="AF827" s="153"/>
      <c r="AG827" s="126" t="s">
        <v>3420</v>
      </c>
      <c r="AH827" s="115"/>
      <c r="AK827" s="306" t="str">
        <f>IF(ISNUMBER(Table1[[#This Row],[FECHA DE RECIBIDO]]), Table1[[#This Row],[FECHA DE RECIBIDO]]-DATE(2023,8,30), "")</f>
        <v/>
      </c>
    </row>
    <row r="828" spans="1:37" ht="16.05" customHeight="1">
      <c r="A828" s="150" t="s">
        <v>2111</v>
      </c>
      <c r="B828" s="151">
        <v>309</v>
      </c>
      <c r="C828" s="126" t="s">
        <v>1509</v>
      </c>
      <c r="D828">
        <v>538</v>
      </c>
      <c r="E828" s="126" t="s">
        <v>2003</v>
      </c>
      <c r="F828" s="122" t="s">
        <v>1607</v>
      </c>
      <c r="G828" s="122" t="s">
        <v>134</v>
      </c>
      <c r="H828">
        <v>139</v>
      </c>
      <c r="I828" s="122" t="s">
        <v>1546</v>
      </c>
      <c r="J828" s="307" t="s">
        <v>214</v>
      </c>
      <c r="K828" s="127" t="s">
        <v>2052</v>
      </c>
      <c r="L828" s="151" t="s">
        <v>1483</v>
      </c>
      <c r="M828">
        <v>181</v>
      </c>
      <c r="N828" s="123"/>
      <c r="O828">
        <v>541</v>
      </c>
      <c r="P828" s="132" t="s">
        <v>77</v>
      </c>
      <c r="Q828" s="131">
        <v>604.44000000000005</v>
      </c>
      <c r="R828" s="131">
        <v>96.71</v>
      </c>
      <c r="S828" s="131"/>
      <c r="T828" s="155"/>
      <c r="U828" s="131"/>
      <c r="V828" s="131">
        <v>701.15000000000009</v>
      </c>
      <c r="W828">
        <v>104</v>
      </c>
      <c r="X828" s="151" t="s">
        <v>1644</v>
      </c>
      <c r="Y828" s="135" t="s">
        <v>55</v>
      </c>
      <c r="Z828" s="307">
        <v>197</v>
      </c>
      <c r="AB828" t="str">
        <f>IF(Table1[[#This Row],[TIPO2]]="costo", VLOOKUP(Table1[[#This Row],[PARTIDA PRESUPUESTAL]],'Cost Report'!G:G,1,0),"Balance")</f>
        <v>2494-011</v>
      </c>
      <c r="AC828" s="118"/>
      <c r="AD828" s="159">
        <f>+Table1[[#This Row],[SUBTOTAL]]+Table1[[#This Row],[IVA]]-Table1[[#This Row],[RET IVA]]-Table1[[#This Row],[RET ISR]]-Table1[[#This Row],[TOTAL]]</f>
        <v>0</v>
      </c>
      <c r="AE828" s="150"/>
      <c r="AF828" s="151"/>
      <c r="AG828" s="126" t="s">
        <v>3420</v>
      </c>
      <c r="AH828" s="115"/>
      <c r="AK828" s="306" t="str">
        <f>IF(ISNUMBER(Table1[[#This Row],[FECHA DE RECIBIDO]]), Table1[[#This Row],[FECHA DE RECIBIDO]]-DATE(2023,8,30), "")</f>
        <v/>
      </c>
    </row>
    <row r="829" spans="1:37" ht="16.05" customHeight="1">
      <c r="A829" s="152" t="s">
        <v>2111</v>
      </c>
      <c r="B829" s="153">
        <v>309</v>
      </c>
      <c r="C829" s="126" t="s">
        <v>1511</v>
      </c>
      <c r="D829">
        <v>539</v>
      </c>
      <c r="E829" s="126" t="s">
        <v>2003</v>
      </c>
      <c r="F829" s="125" t="s">
        <v>1607</v>
      </c>
      <c r="G829" s="125" t="s">
        <v>134</v>
      </c>
      <c r="H829">
        <v>180</v>
      </c>
      <c r="I829" s="125" t="s">
        <v>1546</v>
      </c>
      <c r="J829" s="308" t="s">
        <v>214</v>
      </c>
      <c r="K829" s="127" t="s">
        <v>2052</v>
      </c>
      <c r="L829" s="153" t="s">
        <v>1483</v>
      </c>
      <c r="M829">
        <v>243</v>
      </c>
      <c r="N829" s="123"/>
      <c r="O829">
        <v>542</v>
      </c>
      <c r="P829" s="132" t="s">
        <v>77</v>
      </c>
      <c r="Q829" s="132">
        <v>51.56</v>
      </c>
      <c r="R829" s="132">
        <v>8.24</v>
      </c>
      <c r="S829" s="132"/>
      <c r="T829" s="156"/>
      <c r="U829" s="132"/>
      <c r="V829" s="132">
        <v>59.800000000000004</v>
      </c>
      <c r="W829">
        <v>104</v>
      </c>
      <c r="X829" s="153" t="s">
        <v>1644</v>
      </c>
      <c r="Y829" s="124" t="s">
        <v>55</v>
      </c>
      <c r="Z829" s="308">
        <v>199</v>
      </c>
      <c r="AB829" t="str">
        <f>IF(Table1[[#This Row],[TIPO2]]="costo", VLOOKUP(Table1[[#This Row],[PARTIDA PRESUPUESTAL]],'Cost Report'!G:G,1,0),"Balance")</f>
        <v>2494-015</v>
      </c>
      <c r="AC829" s="118"/>
      <c r="AD829" s="159">
        <f>+Table1[[#This Row],[SUBTOTAL]]+Table1[[#This Row],[IVA]]-Table1[[#This Row],[RET IVA]]-Table1[[#This Row],[RET ISR]]-Table1[[#This Row],[TOTAL]]</f>
        <v>0</v>
      </c>
      <c r="AE829" s="152"/>
      <c r="AF829" s="153"/>
      <c r="AG829" s="126" t="s">
        <v>3420</v>
      </c>
      <c r="AH829" s="115"/>
      <c r="AK829" s="306" t="str">
        <f>IF(ISNUMBER(Table1[[#This Row],[FECHA DE RECIBIDO]]), Table1[[#This Row],[FECHA DE RECIBIDO]]-DATE(2023,8,30), "")</f>
        <v/>
      </c>
    </row>
    <row r="830" spans="1:37" ht="16.05" customHeight="1">
      <c r="A830" s="150" t="s">
        <v>2111</v>
      </c>
      <c r="B830" s="151">
        <v>309</v>
      </c>
      <c r="C830" s="126" t="s">
        <v>1509</v>
      </c>
      <c r="D830">
        <v>540</v>
      </c>
      <c r="E830" s="126" t="s">
        <v>2003</v>
      </c>
      <c r="F830" s="122" t="s">
        <v>1607</v>
      </c>
      <c r="G830" s="122" t="s">
        <v>134</v>
      </c>
      <c r="H830">
        <v>181</v>
      </c>
      <c r="I830" s="122" t="s">
        <v>1546</v>
      </c>
      <c r="J830" s="307" t="s">
        <v>214</v>
      </c>
      <c r="K830" s="127" t="s">
        <v>2052</v>
      </c>
      <c r="L830" s="151" t="s">
        <v>1483</v>
      </c>
      <c r="M830">
        <v>244</v>
      </c>
      <c r="N830" s="123"/>
      <c r="O830">
        <v>541</v>
      </c>
      <c r="P830" s="132" t="s">
        <v>77</v>
      </c>
      <c r="Q830" s="131">
        <v>422.3</v>
      </c>
      <c r="R830" s="131">
        <v>67.569999999999993</v>
      </c>
      <c r="S830" s="131"/>
      <c r="T830" s="155"/>
      <c r="U830" s="131"/>
      <c r="V830" s="131">
        <v>489.87</v>
      </c>
      <c r="W830">
        <v>104</v>
      </c>
      <c r="X830" s="151" t="s">
        <v>1644</v>
      </c>
      <c r="Y830" s="135" t="s">
        <v>55</v>
      </c>
      <c r="Z830" s="307">
        <v>197</v>
      </c>
      <c r="AB830" t="str">
        <f>IF(Table1[[#This Row],[TIPO2]]="costo", VLOOKUP(Table1[[#This Row],[PARTIDA PRESUPUESTAL]],'Cost Report'!G:G,1,0),"Balance")</f>
        <v>2494-011</v>
      </c>
      <c r="AC830" s="118"/>
      <c r="AD830" s="159">
        <f>+Table1[[#This Row],[SUBTOTAL]]+Table1[[#This Row],[IVA]]-Table1[[#This Row],[RET IVA]]-Table1[[#This Row],[RET ISR]]-Table1[[#This Row],[TOTAL]]</f>
        <v>0</v>
      </c>
      <c r="AE830" s="150"/>
      <c r="AF830" s="151"/>
      <c r="AG830" s="126" t="s">
        <v>3420</v>
      </c>
      <c r="AH830" s="115"/>
      <c r="AK830" s="306" t="str">
        <f>IF(ISNUMBER(Table1[[#This Row],[FECHA DE RECIBIDO]]), Table1[[#This Row],[FECHA DE RECIBIDO]]-DATE(2023,8,30), "")</f>
        <v/>
      </c>
    </row>
    <row r="831" spans="1:37" ht="16.05" customHeight="1">
      <c r="A831" s="152" t="s">
        <v>2111</v>
      </c>
      <c r="B831" s="153">
        <v>309</v>
      </c>
      <c r="C831" s="126" t="s">
        <v>1505</v>
      </c>
      <c r="D831">
        <v>541</v>
      </c>
      <c r="E831" s="126" t="s">
        <v>2003</v>
      </c>
      <c r="F831" s="125" t="s">
        <v>1593</v>
      </c>
      <c r="G831" s="125" t="s">
        <v>109</v>
      </c>
      <c r="H831">
        <v>182</v>
      </c>
      <c r="I831" s="125" t="s">
        <v>1546</v>
      </c>
      <c r="J831" s="308" t="s">
        <v>214</v>
      </c>
      <c r="K831" s="127" t="s">
        <v>2052</v>
      </c>
      <c r="L831" s="153" t="s">
        <v>1483</v>
      </c>
      <c r="M831">
        <v>245</v>
      </c>
      <c r="N831" s="123"/>
      <c r="O831">
        <v>543</v>
      </c>
      <c r="P831" s="132" t="s">
        <v>77</v>
      </c>
      <c r="Q831" s="132">
        <v>637.07000000000005</v>
      </c>
      <c r="R831" s="132">
        <v>101.93</v>
      </c>
      <c r="S831" s="132"/>
      <c r="T831" s="156"/>
      <c r="U831" s="132"/>
      <c r="V831" s="132">
        <v>739</v>
      </c>
      <c r="W831">
        <v>104</v>
      </c>
      <c r="X831" s="153" t="s">
        <v>1644</v>
      </c>
      <c r="Y831" s="124" t="s">
        <v>55</v>
      </c>
      <c r="Z831" s="308">
        <v>198</v>
      </c>
      <c r="AB831" t="str">
        <f>IF(Table1[[#This Row],[TIPO2]]="costo", VLOOKUP(Table1[[#This Row],[PARTIDA PRESUPUESTAL]],'Cost Report'!G:G,1,0),"Balance")</f>
        <v>2494-003</v>
      </c>
      <c r="AC831" s="118"/>
      <c r="AD831" s="159">
        <f>+Table1[[#This Row],[SUBTOTAL]]+Table1[[#This Row],[IVA]]-Table1[[#This Row],[RET IVA]]-Table1[[#This Row],[RET ISR]]-Table1[[#This Row],[TOTAL]]</f>
        <v>0</v>
      </c>
      <c r="AE831" s="152"/>
      <c r="AF831" s="153"/>
      <c r="AG831" s="126" t="s">
        <v>3420</v>
      </c>
      <c r="AH831" s="115"/>
      <c r="AK831" s="306" t="str">
        <f>IF(ISNUMBER(Table1[[#This Row],[FECHA DE RECIBIDO]]), Table1[[#This Row],[FECHA DE RECIBIDO]]-DATE(2023,8,30), "")</f>
        <v/>
      </c>
    </row>
    <row r="832" spans="1:37" ht="16.05" customHeight="1">
      <c r="A832" s="150" t="s">
        <v>2111</v>
      </c>
      <c r="B832" s="151">
        <v>309</v>
      </c>
      <c r="C832" s="126" t="s">
        <v>1517</v>
      </c>
      <c r="D832">
        <v>542</v>
      </c>
      <c r="E832" s="126" t="s">
        <v>2003</v>
      </c>
      <c r="F832" s="122" t="s">
        <v>1607</v>
      </c>
      <c r="G832" s="122" t="s">
        <v>134</v>
      </c>
      <c r="H832">
        <v>183</v>
      </c>
      <c r="I832" s="122" t="s">
        <v>1546</v>
      </c>
      <c r="J832" s="307" t="s">
        <v>214</v>
      </c>
      <c r="K832" s="127" t="s">
        <v>2052</v>
      </c>
      <c r="L832" s="151" t="s">
        <v>1483</v>
      </c>
      <c r="M832">
        <v>246</v>
      </c>
      <c r="N832" s="123"/>
      <c r="O832">
        <v>544</v>
      </c>
      <c r="P832" s="132" t="s">
        <v>77</v>
      </c>
      <c r="Q832" s="131">
        <v>103</v>
      </c>
      <c r="R832" s="131">
        <v>16.48</v>
      </c>
      <c r="S832" s="131"/>
      <c r="T832" s="155"/>
      <c r="U832" s="131"/>
      <c r="V832" s="131">
        <v>119.48</v>
      </c>
      <c r="W832">
        <v>104</v>
      </c>
      <c r="X832" s="151" t="s">
        <v>1644</v>
      </c>
      <c r="Y832" s="135" t="s">
        <v>55</v>
      </c>
      <c r="Z832" s="307">
        <v>198</v>
      </c>
      <c r="AB832" t="str">
        <f>IF(Table1[[#This Row],[TIPO2]]="costo", VLOOKUP(Table1[[#This Row],[PARTIDA PRESUPUESTAL]],'Cost Report'!G:G,1,0),"Balance")</f>
        <v>2494-027</v>
      </c>
      <c r="AC832" s="118"/>
      <c r="AD832" s="159">
        <f>+Table1[[#This Row],[SUBTOTAL]]+Table1[[#This Row],[IVA]]-Table1[[#This Row],[RET IVA]]-Table1[[#This Row],[RET ISR]]-Table1[[#This Row],[TOTAL]]</f>
        <v>0</v>
      </c>
      <c r="AE832" s="150"/>
      <c r="AF832" s="151"/>
      <c r="AG832" s="126" t="s">
        <v>3420</v>
      </c>
      <c r="AH832" s="115"/>
      <c r="AK832" s="306" t="str">
        <f>IF(ISNUMBER(Table1[[#This Row],[FECHA DE RECIBIDO]]), Table1[[#This Row],[FECHA DE RECIBIDO]]-DATE(2023,8,30), "")</f>
        <v/>
      </c>
    </row>
    <row r="833" spans="1:37" ht="16.05" customHeight="1">
      <c r="A833" s="152"/>
      <c r="B833" s="153"/>
      <c r="C833" s="126" t="s">
        <v>71</v>
      </c>
      <c r="D833"/>
      <c r="E833" s="126"/>
      <c r="F833" s="125"/>
      <c r="G833" s="125"/>
      <c r="H833"/>
      <c r="I833" s="125"/>
      <c r="J833" s="308" t="s">
        <v>214</v>
      </c>
      <c r="K833" s="127" t="s">
        <v>2052</v>
      </c>
      <c r="L833" s="153" t="s">
        <v>1643</v>
      </c>
      <c r="M833">
        <v>247</v>
      </c>
      <c r="N833" s="123"/>
      <c r="O833">
        <v>545</v>
      </c>
      <c r="P833" s="131" t="s">
        <v>78</v>
      </c>
      <c r="Q833" s="132">
        <v>-447267.13280000002</v>
      </c>
      <c r="R833" s="132"/>
      <c r="S833" s="132"/>
      <c r="T833" s="156"/>
      <c r="U833" s="132"/>
      <c r="V833" s="132">
        <f>+Table1[[#This Row],[SUBTOTAL]]+Table1[[#This Row],[IVA]]-Table1[[#This Row],[RET IVA]]-Table1[[#This Row],[RET ISR]]</f>
        <v>-447267.13280000002</v>
      </c>
      <c r="W833"/>
      <c r="X833" s="153"/>
      <c r="Y833" s="124"/>
      <c r="Z833" s="308" t="s">
        <v>214</v>
      </c>
      <c r="AB833" t="str">
        <f>IF(Table1[[#This Row],[TIPO2]]="costo", VLOOKUP(Table1[[#This Row],[PARTIDA PRESUPUESTAL]],'Cost Report'!G:G,1,0),"Balance")</f>
        <v>Balance</v>
      </c>
      <c r="AC833" s="118"/>
      <c r="AD833" s="159">
        <f>+Table1[[#This Row],[SUBTOTAL]]+Table1[[#This Row],[IVA]]-Table1[[#This Row],[RET IVA]]-Table1[[#This Row],[RET ISR]]-Table1[[#This Row],[TOTAL]]</f>
        <v>0</v>
      </c>
      <c r="AE833" s="152"/>
      <c r="AF833" s="153"/>
      <c r="AG833" s="126" t="s">
        <v>3420</v>
      </c>
      <c r="AH833" s="115"/>
      <c r="AK833" s="306" t="str">
        <f>IF(ISNUMBER(Table1[[#This Row],[FECHA DE RECIBIDO]]), Table1[[#This Row],[FECHA DE RECIBIDO]]-DATE(2023,8,30), "")</f>
        <v/>
      </c>
    </row>
    <row r="834" spans="1:37" ht="16.05" customHeight="1">
      <c r="A834" s="150" t="s">
        <v>3114</v>
      </c>
      <c r="B834" s="151">
        <v>310</v>
      </c>
      <c r="C834" s="126" t="s">
        <v>1139</v>
      </c>
      <c r="D834">
        <v>543</v>
      </c>
      <c r="E834" s="126" t="s">
        <v>3115</v>
      </c>
      <c r="F834" s="122" t="s">
        <v>1589</v>
      </c>
      <c r="G834" s="122" t="s">
        <v>129</v>
      </c>
      <c r="H834">
        <v>184</v>
      </c>
      <c r="I834" s="122" t="s">
        <v>1546</v>
      </c>
      <c r="J834" s="307" t="s">
        <v>214</v>
      </c>
      <c r="K834" s="127" t="s">
        <v>3286</v>
      </c>
      <c r="L834" s="151" t="s">
        <v>118</v>
      </c>
      <c r="M834">
        <v>248</v>
      </c>
      <c r="N834" s="123">
        <v>1</v>
      </c>
      <c r="O834">
        <v>546</v>
      </c>
      <c r="P834" s="132" t="s">
        <v>77</v>
      </c>
      <c r="Q834" s="131">
        <v>21400</v>
      </c>
      <c r="R834" s="131">
        <v>3424</v>
      </c>
      <c r="S834" s="131"/>
      <c r="T834" s="155">
        <v>2282.67</v>
      </c>
      <c r="U834" s="131">
        <v>2140</v>
      </c>
      <c r="V834" s="131">
        <v>20401.330000000002</v>
      </c>
      <c r="W834">
        <v>105</v>
      </c>
      <c r="X834" s="151" t="s">
        <v>2041</v>
      </c>
      <c r="Y834" s="135" t="s">
        <v>55</v>
      </c>
      <c r="Z834" s="307">
        <v>210</v>
      </c>
      <c r="AB834" t="str">
        <f>IF(Table1[[#This Row],[TIPO2]]="costo", VLOOKUP(Table1[[#This Row],[PARTIDA PRESUPUESTAL]],'Cost Report'!G:G,1,0),"Balance")</f>
        <v>3902-003</v>
      </c>
      <c r="AC834" s="118"/>
      <c r="AD834" s="159">
        <f>+Table1[[#This Row],[SUBTOTAL]]+Table1[[#This Row],[IVA]]-Table1[[#This Row],[RET IVA]]-Table1[[#This Row],[RET ISR]]-Table1[[#This Row],[TOTAL]]</f>
        <v>0</v>
      </c>
      <c r="AE834" s="150"/>
      <c r="AF834" s="151"/>
      <c r="AG834" s="126"/>
      <c r="AH834" s="115"/>
      <c r="AK834" s="306" t="str">
        <f>IF(ISNUMBER(Table1[[#This Row],[FECHA DE RECIBIDO]]), Table1[[#This Row],[FECHA DE RECIBIDO]]-DATE(2023,8,30), "")</f>
        <v/>
      </c>
    </row>
    <row r="835" spans="1:37" ht="16.05" customHeight="1">
      <c r="A835" s="152" t="s">
        <v>3117</v>
      </c>
      <c r="B835" s="153">
        <v>315</v>
      </c>
      <c r="C835" s="126" t="s">
        <v>610</v>
      </c>
      <c r="D835">
        <v>544</v>
      </c>
      <c r="E835" s="126" t="s">
        <v>3118</v>
      </c>
      <c r="F835" s="125" t="s">
        <v>1593</v>
      </c>
      <c r="G835" s="125" t="s">
        <v>109</v>
      </c>
      <c r="H835">
        <v>122</v>
      </c>
      <c r="I835" s="125" t="s">
        <v>1546</v>
      </c>
      <c r="J835" s="308" t="s">
        <v>214</v>
      </c>
      <c r="K835" s="127" t="s">
        <v>3286</v>
      </c>
      <c r="L835" s="153" t="s">
        <v>118</v>
      </c>
      <c r="M835">
        <v>249</v>
      </c>
      <c r="N835" s="123">
        <v>51</v>
      </c>
      <c r="O835">
        <v>547</v>
      </c>
      <c r="P835" s="132" t="s">
        <v>77</v>
      </c>
      <c r="Q835" s="132">
        <v>2100</v>
      </c>
      <c r="R835" s="132">
        <v>336</v>
      </c>
      <c r="S835" s="132"/>
      <c r="T835" s="156">
        <v>0</v>
      </c>
      <c r="U835" s="132">
        <v>0</v>
      </c>
      <c r="V835" s="132">
        <v>2436</v>
      </c>
      <c r="W835">
        <v>85</v>
      </c>
      <c r="X835" s="153" t="s">
        <v>2035</v>
      </c>
      <c r="Y835" s="124" t="s">
        <v>55</v>
      </c>
      <c r="Z835" s="308">
        <v>210</v>
      </c>
      <c r="AB835" t="str">
        <f>IF(Table1[[#This Row],[TIPO2]]="costo", VLOOKUP(Table1[[#This Row],[PARTIDA PRESUPUESTAL]],'Cost Report'!G:G,1,0),"Balance")</f>
        <v>2485-003</v>
      </c>
      <c r="AC835" s="118"/>
      <c r="AD835" s="159">
        <f>+Table1[[#This Row],[SUBTOTAL]]+Table1[[#This Row],[IVA]]-Table1[[#This Row],[RET IVA]]-Table1[[#This Row],[RET ISR]]-Table1[[#This Row],[TOTAL]]</f>
        <v>0</v>
      </c>
      <c r="AE835" s="152"/>
      <c r="AF835" s="153"/>
      <c r="AG835" s="126"/>
      <c r="AH835" s="115"/>
      <c r="AK835" s="306" t="str">
        <f>IF(ISNUMBER(Table1[[#This Row],[FECHA DE RECIBIDO]]), Table1[[#This Row],[FECHA DE RECIBIDO]]-DATE(2023,8,30), "")</f>
        <v/>
      </c>
    </row>
    <row r="836" spans="1:37" ht="16.05" customHeight="1">
      <c r="A836" s="150" t="s">
        <v>3119</v>
      </c>
      <c r="B836" s="151">
        <v>316</v>
      </c>
      <c r="C836" s="126" t="s">
        <v>3105</v>
      </c>
      <c r="D836">
        <v>545</v>
      </c>
      <c r="E836" s="126" t="s">
        <v>1646</v>
      </c>
      <c r="F836" s="122" t="s">
        <v>1589</v>
      </c>
      <c r="G836" s="122" t="s">
        <v>129</v>
      </c>
      <c r="H836">
        <v>185</v>
      </c>
      <c r="I836" s="122" t="s">
        <v>1546</v>
      </c>
      <c r="J836" s="307" t="s">
        <v>214</v>
      </c>
      <c r="K836" s="127" t="s">
        <v>3286</v>
      </c>
      <c r="L836" s="151" t="s">
        <v>118</v>
      </c>
      <c r="M836">
        <v>250</v>
      </c>
      <c r="N836" s="123">
        <v>1</v>
      </c>
      <c r="O836">
        <v>548</v>
      </c>
      <c r="P836" s="132" t="s">
        <v>77</v>
      </c>
      <c r="Q836" s="131">
        <v>14910</v>
      </c>
      <c r="R836" s="131">
        <v>2385.6</v>
      </c>
      <c r="S836" s="131"/>
      <c r="T836" s="155">
        <v>0</v>
      </c>
      <c r="U836" s="131">
        <v>0</v>
      </c>
      <c r="V836" s="131">
        <v>17295.599999999999</v>
      </c>
      <c r="W836">
        <v>106</v>
      </c>
      <c r="X836" s="151" t="s">
        <v>3120</v>
      </c>
      <c r="Y836" s="135" t="s">
        <v>55</v>
      </c>
      <c r="Z836" s="307">
        <v>210</v>
      </c>
      <c r="AB836" t="str">
        <f>IF(Table1[[#This Row],[TIPO2]]="costo", VLOOKUP(Table1[[#This Row],[PARTIDA PRESUPUESTAL]],'Cost Report'!G:G,1,0),"Balance")</f>
        <v>7050-005</v>
      </c>
      <c r="AC836" s="118"/>
      <c r="AD836" s="159">
        <f>+Table1[[#This Row],[SUBTOTAL]]+Table1[[#This Row],[IVA]]-Table1[[#This Row],[RET IVA]]-Table1[[#This Row],[RET ISR]]-Table1[[#This Row],[TOTAL]]</f>
        <v>0</v>
      </c>
      <c r="AE836" s="150"/>
      <c r="AF836" s="151"/>
      <c r="AG836" s="126"/>
      <c r="AH836" s="115"/>
      <c r="AK836" s="306" t="str">
        <f>IF(ISNUMBER(Table1[[#This Row],[FECHA DE RECIBIDO]]), Table1[[#This Row],[FECHA DE RECIBIDO]]-DATE(2023,8,30), "")</f>
        <v/>
      </c>
    </row>
    <row r="837" spans="1:37" ht="16.05" customHeight="1">
      <c r="A837" s="152" t="s">
        <v>3121</v>
      </c>
      <c r="B837" s="153">
        <v>317</v>
      </c>
      <c r="C837" s="126" t="s">
        <v>2184</v>
      </c>
      <c r="D837">
        <v>546</v>
      </c>
      <c r="E837" s="126" t="s">
        <v>3122</v>
      </c>
      <c r="F837" s="125" t="s">
        <v>1607</v>
      </c>
      <c r="G837" s="125" t="s">
        <v>134</v>
      </c>
      <c r="H837">
        <v>186</v>
      </c>
      <c r="I837" s="125" t="s">
        <v>1546</v>
      </c>
      <c r="J837" s="308" t="s">
        <v>214</v>
      </c>
      <c r="K837" s="127" t="s">
        <v>3286</v>
      </c>
      <c r="L837" s="153" t="s">
        <v>118</v>
      </c>
      <c r="M837">
        <v>251</v>
      </c>
      <c r="N837" s="123">
        <v>1</v>
      </c>
      <c r="O837">
        <v>549</v>
      </c>
      <c r="P837" s="132" t="s">
        <v>77</v>
      </c>
      <c r="Q837" s="132">
        <v>297525</v>
      </c>
      <c r="R837" s="132">
        <v>47604</v>
      </c>
      <c r="S837" s="132"/>
      <c r="T837" s="156">
        <v>0</v>
      </c>
      <c r="U837" s="132">
        <v>0</v>
      </c>
      <c r="V837" s="132">
        <v>345129</v>
      </c>
      <c r="W837">
        <v>107</v>
      </c>
      <c r="X837" s="153" t="s">
        <v>195</v>
      </c>
      <c r="Y837" s="124" t="s">
        <v>55</v>
      </c>
      <c r="Z837" s="308">
        <v>210</v>
      </c>
      <c r="AB837" t="str">
        <f>IF(Table1[[#This Row],[TIPO2]]="costo", VLOOKUP(Table1[[#This Row],[PARTIDA PRESUPUESTAL]],'Cost Report'!G:G,1,0),"Balance")</f>
        <v>1401-071</v>
      </c>
      <c r="AC837" s="118"/>
      <c r="AD837" s="159">
        <f>+Table1[[#This Row],[SUBTOTAL]]+Table1[[#This Row],[IVA]]-Table1[[#This Row],[RET IVA]]-Table1[[#This Row],[RET ISR]]-Table1[[#This Row],[TOTAL]]</f>
        <v>0</v>
      </c>
      <c r="AE837" s="152"/>
      <c r="AF837" s="153"/>
      <c r="AG837" s="126"/>
      <c r="AH837" s="115"/>
      <c r="AK837" s="306" t="str">
        <f>IF(ISNUMBER(Table1[[#This Row],[FECHA DE RECIBIDO]]), Table1[[#This Row],[FECHA DE RECIBIDO]]-DATE(2023,8,30), "")</f>
        <v/>
      </c>
    </row>
    <row r="838" spans="1:37" ht="16.05" customHeight="1">
      <c r="A838" s="150" t="s">
        <v>3123</v>
      </c>
      <c r="B838" s="151">
        <v>318</v>
      </c>
      <c r="C838" s="126" t="s">
        <v>71</v>
      </c>
      <c r="D838">
        <v>547</v>
      </c>
      <c r="E838" s="126"/>
      <c r="F838" s="122"/>
      <c r="G838" s="122"/>
      <c r="H838"/>
      <c r="I838" s="122"/>
      <c r="J838" s="307" t="s">
        <v>214</v>
      </c>
      <c r="K838" s="127" t="s">
        <v>3286</v>
      </c>
      <c r="L838" s="151" t="s">
        <v>1483</v>
      </c>
      <c r="M838"/>
      <c r="N838" s="123">
        <v>17</v>
      </c>
      <c r="O838">
        <v>550</v>
      </c>
      <c r="P838" s="131" t="s">
        <v>78</v>
      </c>
      <c r="Q838" s="131">
        <v>250000</v>
      </c>
      <c r="R838" s="131"/>
      <c r="S838" s="131"/>
      <c r="T838" s="155"/>
      <c r="U838" s="131"/>
      <c r="V838" s="131">
        <v>250000</v>
      </c>
      <c r="W838"/>
      <c r="X838" s="151"/>
      <c r="Y838" s="135"/>
      <c r="Z838" s="307" t="s">
        <v>214</v>
      </c>
      <c r="AB838" t="str">
        <f>IF(Table1[[#This Row],[TIPO2]]="costo", VLOOKUP(Table1[[#This Row],[PARTIDA PRESUPUESTAL]],'Cost Report'!G:G,1,0),"Balance")</f>
        <v>Balance</v>
      </c>
      <c r="AC838" s="118"/>
      <c r="AD838" s="159">
        <f>+Table1[[#This Row],[SUBTOTAL]]+Table1[[#This Row],[IVA]]-Table1[[#This Row],[RET IVA]]-Table1[[#This Row],[RET ISR]]-Table1[[#This Row],[TOTAL]]</f>
        <v>0</v>
      </c>
      <c r="AE838" s="150"/>
      <c r="AF838" s="151"/>
      <c r="AG838" s="126"/>
      <c r="AH838" s="115"/>
      <c r="AK838" s="306" t="str">
        <f>IF(ISNUMBER(Table1[[#This Row],[FECHA DE RECIBIDO]]), Table1[[#This Row],[FECHA DE RECIBIDO]]-DATE(2023,8,30), "")</f>
        <v/>
      </c>
    </row>
    <row r="839" spans="1:37" ht="16.05" customHeight="1">
      <c r="A839" s="152" t="s">
        <v>3123</v>
      </c>
      <c r="B839" s="153">
        <v>318</v>
      </c>
      <c r="C839" s="126" t="s">
        <v>3103</v>
      </c>
      <c r="D839"/>
      <c r="E839" s="126"/>
      <c r="F839" s="125"/>
      <c r="G839" s="125"/>
      <c r="H839"/>
      <c r="I839" s="125"/>
      <c r="J839" s="308" t="s">
        <v>214</v>
      </c>
      <c r="K839" s="127" t="s">
        <v>3286</v>
      </c>
      <c r="L839" s="153" t="s">
        <v>1483</v>
      </c>
      <c r="M839"/>
      <c r="N839" s="123"/>
      <c r="O839">
        <v>551</v>
      </c>
      <c r="P839" s="132" t="s">
        <v>77</v>
      </c>
      <c r="Q839" s="132">
        <v>6100</v>
      </c>
      <c r="R839" s="132">
        <v>976</v>
      </c>
      <c r="S839" s="132"/>
      <c r="T839" s="156"/>
      <c r="U839" s="132"/>
      <c r="V839" s="132">
        <v>7076</v>
      </c>
      <c r="W839"/>
      <c r="X839" s="153"/>
      <c r="Y839" s="124"/>
      <c r="Z839" s="308" t="s">
        <v>214</v>
      </c>
      <c r="AB839" t="str">
        <f>IF(Table1[[#This Row],[TIPO2]]="costo", VLOOKUP(Table1[[#This Row],[PARTIDA PRESUPUESTAL]],'Cost Report'!G:G,1,0),"Balance")</f>
        <v>7038-009</v>
      </c>
      <c r="AC839" s="118"/>
      <c r="AD839" s="159">
        <f>+Table1[[#This Row],[SUBTOTAL]]+Table1[[#This Row],[IVA]]-Table1[[#This Row],[RET IVA]]-Table1[[#This Row],[RET ISR]]-Table1[[#This Row],[TOTAL]]</f>
        <v>0</v>
      </c>
      <c r="AE839" s="152"/>
      <c r="AF839" s="153"/>
      <c r="AG839" s="126"/>
      <c r="AH839" s="115"/>
      <c r="AK839" s="306" t="str">
        <f>IF(ISNUMBER(Table1[[#This Row],[FECHA DE RECIBIDO]]), Table1[[#This Row],[FECHA DE RECIBIDO]]-DATE(2023,8,30), "")</f>
        <v/>
      </c>
    </row>
    <row r="840" spans="1:37" ht="16.05" customHeight="1">
      <c r="A840" s="150" t="s">
        <v>3124</v>
      </c>
      <c r="B840" s="151">
        <v>319</v>
      </c>
      <c r="C840" s="126" t="s">
        <v>71</v>
      </c>
      <c r="D840">
        <v>548</v>
      </c>
      <c r="E840" s="126"/>
      <c r="F840" s="122"/>
      <c r="G840" s="122"/>
      <c r="H840"/>
      <c r="I840" s="122"/>
      <c r="J840" s="307" t="s">
        <v>214</v>
      </c>
      <c r="K840" s="127" t="s">
        <v>3286</v>
      </c>
      <c r="L840" s="151" t="s">
        <v>1483</v>
      </c>
      <c r="M840"/>
      <c r="N840" s="123"/>
      <c r="O840">
        <v>552</v>
      </c>
      <c r="P840" s="131" t="s">
        <v>78</v>
      </c>
      <c r="Q840" s="131">
        <v>200000</v>
      </c>
      <c r="R840" s="131"/>
      <c r="S840" s="131"/>
      <c r="T840" s="155"/>
      <c r="U840" s="131"/>
      <c r="V840" s="131">
        <v>200000</v>
      </c>
      <c r="W840"/>
      <c r="X840" s="151"/>
      <c r="Y840" s="135"/>
      <c r="Z840" s="307" t="s">
        <v>214</v>
      </c>
      <c r="AB840" t="str">
        <f>IF(Table1[[#This Row],[TIPO2]]="costo", VLOOKUP(Table1[[#This Row],[PARTIDA PRESUPUESTAL]],'Cost Report'!G:G,1,0),"Balance")</f>
        <v>Balance</v>
      </c>
      <c r="AC840" s="118"/>
      <c r="AD840" s="159">
        <f>+Table1[[#This Row],[SUBTOTAL]]+Table1[[#This Row],[IVA]]-Table1[[#This Row],[RET IVA]]-Table1[[#This Row],[RET ISR]]-Table1[[#This Row],[TOTAL]]</f>
        <v>0</v>
      </c>
      <c r="AE840" s="150"/>
      <c r="AF840" s="151"/>
      <c r="AG840" s="126"/>
      <c r="AH840" s="115"/>
      <c r="AK840" s="306" t="str">
        <f>IF(ISNUMBER(Table1[[#This Row],[FECHA DE RECIBIDO]]), Table1[[#This Row],[FECHA DE RECIBIDO]]-DATE(2023,8,30), "")</f>
        <v/>
      </c>
    </row>
    <row r="841" spans="1:37" ht="16.05" customHeight="1">
      <c r="A841" s="152" t="s">
        <v>3124</v>
      </c>
      <c r="B841" s="153">
        <v>319</v>
      </c>
      <c r="C841" s="126" t="s">
        <v>3103</v>
      </c>
      <c r="D841"/>
      <c r="E841" s="126"/>
      <c r="F841" s="125"/>
      <c r="G841" s="125"/>
      <c r="H841"/>
      <c r="I841" s="125"/>
      <c r="J841" s="308" t="s">
        <v>214</v>
      </c>
      <c r="K841" s="127" t="s">
        <v>3286</v>
      </c>
      <c r="L841" s="153" t="s">
        <v>1483</v>
      </c>
      <c r="M841"/>
      <c r="N841" s="123"/>
      <c r="O841">
        <v>553</v>
      </c>
      <c r="P841" s="132" t="s">
        <v>77</v>
      </c>
      <c r="Q841" s="132">
        <v>6000</v>
      </c>
      <c r="R841" s="132">
        <v>960</v>
      </c>
      <c r="S841" s="132"/>
      <c r="T841" s="156"/>
      <c r="U841" s="132"/>
      <c r="V841" s="132">
        <v>6960</v>
      </c>
      <c r="W841"/>
      <c r="X841" s="153"/>
      <c r="Y841" s="124"/>
      <c r="Z841" s="308" t="s">
        <v>214</v>
      </c>
      <c r="AB841" t="str">
        <f>IF(Table1[[#This Row],[TIPO2]]="costo", VLOOKUP(Table1[[#This Row],[PARTIDA PRESUPUESTAL]],'Cost Report'!G:G,1,0),"Balance")</f>
        <v>7038-009</v>
      </c>
      <c r="AC841" s="118"/>
      <c r="AD841" s="159">
        <f>+Table1[[#This Row],[SUBTOTAL]]+Table1[[#This Row],[IVA]]-Table1[[#This Row],[RET IVA]]-Table1[[#This Row],[RET ISR]]-Table1[[#This Row],[TOTAL]]</f>
        <v>0</v>
      </c>
      <c r="AE841" s="152"/>
      <c r="AF841" s="153"/>
      <c r="AG841" s="126"/>
      <c r="AH841" s="115"/>
      <c r="AK841" s="306" t="str">
        <f>IF(ISNUMBER(Table1[[#This Row],[FECHA DE RECIBIDO]]), Table1[[#This Row],[FECHA DE RECIBIDO]]-DATE(2023,8,30), "")</f>
        <v/>
      </c>
    </row>
    <row r="842" spans="1:37" ht="16.05" customHeight="1">
      <c r="A842" s="150" t="s">
        <v>3125</v>
      </c>
      <c r="B842" s="151">
        <v>320</v>
      </c>
      <c r="C842" s="126" t="s">
        <v>1867</v>
      </c>
      <c r="D842">
        <v>549</v>
      </c>
      <c r="E842" s="126" t="s">
        <v>1599</v>
      </c>
      <c r="F842" s="122" t="s">
        <v>1589</v>
      </c>
      <c r="G842" s="122" t="s">
        <v>129</v>
      </c>
      <c r="H842">
        <v>20</v>
      </c>
      <c r="I842" s="122" t="s">
        <v>1546</v>
      </c>
      <c r="J842" s="307" t="s">
        <v>214</v>
      </c>
      <c r="K842" s="127" t="s">
        <v>3286</v>
      </c>
      <c r="L842" s="151" t="s">
        <v>2028</v>
      </c>
      <c r="M842">
        <v>26</v>
      </c>
      <c r="N842" s="123">
        <v>11</v>
      </c>
      <c r="O842">
        <v>554</v>
      </c>
      <c r="P842" s="132" t="s">
        <v>77</v>
      </c>
      <c r="Q842" s="131">
        <v>2160</v>
      </c>
      <c r="R842" s="131">
        <v>345.6</v>
      </c>
      <c r="S842" s="131"/>
      <c r="T842" s="155">
        <v>230.4</v>
      </c>
      <c r="U842" s="131">
        <v>216</v>
      </c>
      <c r="V842" s="131">
        <v>2059.1999999999998</v>
      </c>
      <c r="W842">
        <v>20</v>
      </c>
      <c r="X842" s="151" t="s">
        <v>1434</v>
      </c>
      <c r="Y842" s="135" t="s">
        <v>55</v>
      </c>
      <c r="Z842" s="307">
        <v>210</v>
      </c>
      <c r="AB842" t="str">
        <f>IF(Table1[[#This Row],[TIPO2]]="costo", VLOOKUP(Table1[[#This Row],[PARTIDA PRESUPUESTAL]],'Cost Report'!G:G,1,0),"Balance")</f>
        <v>3442-005</v>
      </c>
      <c r="AC842" s="118"/>
      <c r="AD842" s="159">
        <f>+Table1[[#This Row],[SUBTOTAL]]+Table1[[#This Row],[IVA]]-Table1[[#This Row],[RET IVA]]-Table1[[#This Row],[RET ISR]]-Table1[[#This Row],[TOTAL]]</f>
        <v>0</v>
      </c>
      <c r="AE842" s="150"/>
      <c r="AF842" s="151"/>
      <c r="AG842" s="126"/>
      <c r="AH842" s="115"/>
      <c r="AK842" s="306" t="str">
        <f>IF(ISNUMBER(Table1[[#This Row],[FECHA DE RECIBIDO]]), Table1[[#This Row],[FECHA DE RECIBIDO]]-DATE(2023,8,30), "")</f>
        <v/>
      </c>
    </row>
    <row r="843" spans="1:37" ht="16.05" customHeight="1">
      <c r="A843" s="152" t="s">
        <v>3126</v>
      </c>
      <c r="B843" s="153">
        <v>321</v>
      </c>
      <c r="C843" s="126" t="s">
        <v>1867</v>
      </c>
      <c r="D843">
        <v>550</v>
      </c>
      <c r="E843" s="126" t="s">
        <v>1601</v>
      </c>
      <c r="F843" s="125" t="s">
        <v>1602</v>
      </c>
      <c r="G843" s="125" t="s">
        <v>1617</v>
      </c>
      <c r="H843">
        <v>27</v>
      </c>
      <c r="I843" s="125" t="s">
        <v>1546</v>
      </c>
      <c r="J843" s="308" t="s">
        <v>214</v>
      </c>
      <c r="K843" s="127" t="s">
        <v>3286</v>
      </c>
      <c r="L843" s="153" t="s">
        <v>2028</v>
      </c>
      <c r="M843">
        <v>36</v>
      </c>
      <c r="N843" s="123">
        <v>13</v>
      </c>
      <c r="O843">
        <v>555</v>
      </c>
      <c r="P843" s="132" t="s">
        <v>77</v>
      </c>
      <c r="Q843" s="132">
        <v>2400</v>
      </c>
      <c r="R843" s="132">
        <v>384</v>
      </c>
      <c r="S843" s="132"/>
      <c r="T843" s="156">
        <v>256</v>
      </c>
      <c r="U843" s="132">
        <v>0</v>
      </c>
      <c r="V843" s="132">
        <v>2528</v>
      </c>
      <c r="W843">
        <v>29</v>
      </c>
      <c r="X843" s="153" t="s">
        <v>1429</v>
      </c>
      <c r="Y843" s="124" t="s">
        <v>55</v>
      </c>
      <c r="Z843" s="308">
        <v>210</v>
      </c>
      <c r="AB843" t="str">
        <f>IF(Table1[[#This Row],[TIPO2]]="costo", VLOOKUP(Table1[[#This Row],[PARTIDA PRESUPUESTAL]],'Cost Report'!G:G,1,0),"Balance")</f>
        <v>3442-005</v>
      </c>
      <c r="AC843" s="118"/>
      <c r="AD843" s="159">
        <f>+Table1[[#This Row],[SUBTOTAL]]+Table1[[#This Row],[IVA]]-Table1[[#This Row],[RET IVA]]-Table1[[#This Row],[RET ISR]]-Table1[[#This Row],[TOTAL]]</f>
        <v>0</v>
      </c>
      <c r="AE843" s="152"/>
      <c r="AF843" s="153"/>
      <c r="AG843" s="126"/>
      <c r="AH843" s="115"/>
      <c r="AK843" s="306" t="str">
        <f>IF(ISNUMBER(Table1[[#This Row],[FECHA DE RECIBIDO]]), Table1[[#This Row],[FECHA DE RECIBIDO]]-DATE(2023,8,30), "")</f>
        <v/>
      </c>
    </row>
    <row r="844" spans="1:37" ht="16.05" customHeight="1">
      <c r="A844" s="150" t="s">
        <v>3127</v>
      </c>
      <c r="B844" s="151">
        <v>322</v>
      </c>
      <c r="C844" s="126" t="s">
        <v>1867</v>
      </c>
      <c r="D844">
        <v>551</v>
      </c>
      <c r="E844" s="126" t="s">
        <v>1603</v>
      </c>
      <c r="F844" s="122" t="s">
        <v>1589</v>
      </c>
      <c r="G844" s="122" t="s">
        <v>129</v>
      </c>
      <c r="H844">
        <v>28</v>
      </c>
      <c r="I844" s="122" t="s">
        <v>1546</v>
      </c>
      <c r="J844" s="307" t="s">
        <v>214</v>
      </c>
      <c r="K844" s="127" t="s">
        <v>3286</v>
      </c>
      <c r="L844" s="151" t="s">
        <v>2028</v>
      </c>
      <c r="M844">
        <v>37</v>
      </c>
      <c r="N844" s="123">
        <v>14</v>
      </c>
      <c r="O844">
        <v>556</v>
      </c>
      <c r="P844" s="132" t="s">
        <v>77</v>
      </c>
      <c r="Q844" s="131">
        <v>2160</v>
      </c>
      <c r="R844" s="131">
        <v>345.6</v>
      </c>
      <c r="S844" s="131"/>
      <c r="T844" s="155">
        <v>230.4</v>
      </c>
      <c r="U844" s="131">
        <v>216</v>
      </c>
      <c r="V844" s="131">
        <v>2059.1999999999998</v>
      </c>
      <c r="W844">
        <v>30</v>
      </c>
      <c r="X844" s="151" t="s">
        <v>1432</v>
      </c>
      <c r="Y844" s="135" t="s">
        <v>55</v>
      </c>
      <c r="Z844" s="307">
        <v>210</v>
      </c>
      <c r="AB844" t="str">
        <f>IF(Table1[[#This Row],[TIPO2]]="costo", VLOOKUP(Table1[[#This Row],[PARTIDA PRESUPUESTAL]],'Cost Report'!G:G,1,0),"Balance")</f>
        <v>3442-005</v>
      </c>
      <c r="AC844" s="118"/>
      <c r="AD844" s="159">
        <f>+Table1[[#This Row],[SUBTOTAL]]+Table1[[#This Row],[IVA]]-Table1[[#This Row],[RET IVA]]-Table1[[#This Row],[RET ISR]]-Table1[[#This Row],[TOTAL]]</f>
        <v>0</v>
      </c>
      <c r="AE844" s="150"/>
      <c r="AF844" s="151"/>
      <c r="AG844" s="126"/>
      <c r="AH844" s="115"/>
      <c r="AK844" s="306" t="str">
        <f>IF(ISNUMBER(Table1[[#This Row],[FECHA DE RECIBIDO]]), Table1[[#This Row],[FECHA DE RECIBIDO]]-DATE(2023,8,30), "")</f>
        <v/>
      </c>
    </row>
    <row r="845" spans="1:37" ht="16.05" customHeight="1">
      <c r="A845" s="152" t="s">
        <v>3128</v>
      </c>
      <c r="B845" s="153">
        <v>323</v>
      </c>
      <c r="C845" s="126" t="s">
        <v>1867</v>
      </c>
      <c r="D845">
        <v>552</v>
      </c>
      <c r="E845" s="126" t="s">
        <v>1994</v>
      </c>
      <c r="F845" s="125" t="s">
        <v>1602</v>
      </c>
      <c r="G845" s="125" t="s">
        <v>1617</v>
      </c>
      <c r="H845">
        <v>107</v>
      </c>
      <c r="I845" s="125" t="s">
        <v>1546</v>
      </c>
      <c r="J845" s="308" t="s">
        <v>214</v>
      </c>
      <c r="K845" s="127" t="s">
        <v>3286</v>
      </c>
      <c r="L845" s="153" t="s">
        <v>2028</v>
      </c>
      <c r="M845">
        <v>145</v>
      </c>
      <c r="N845" s="123">
        <v>37</v>
      </c>
      <c r="O845">
        <v>557</v>
      </c>
      <c r="P845" s="132" t="s">
        <v>77</v>
      </c>
      <c r="Q845" s="132">
        <v>3120</v>
      </c>
      <c r="R845" s="132">
        <v>499.2</v>
      </c>
      <c r="S845" s="132"/>
      <c r="T845" s="156">
        <v>332.8</v>
      </c>
      <c r="U845" s="132">
        <v>0</v>
      </c>
      <c r="V845" s="132">
        <v>3286.3999999999996</v>
      </c>
      <c r="W845">
        <v>69</v>
      </c>
      <c r="X845" s="153" t="s">
        <v>1430</v>
      </c>
      <c r="Y845" s="124" t="s">
        <v>55</v>
      </c>
      <c r="Z845" s="308">
        <v>210</v>
      </c>
      <c r="AB845" t="str">
        <f>IF(Table1[[#This Row],[TIPO2]]="costo", VLOOKUP(Table1[[#This Row],[PARTIDA PRESUPUESTAL]],'Cost Report'!G:G,1,0),"Balance")</f>
        <v>3442-005</v>
      </c>
      <c r="AC845" s="118"/>
      <c r="AD845" s="159">
        <f>+Table1[[#This Row],[SUBTOTAL]]+Table1[[#This Row],[IVA]]-Table1[[#This Row],[RET IVA]]-Table1[[#This Row],[RET ISR]]-Table1[[#This Row],[TOTAL]]</f>
        <v>0</v>
      </c>
      <c r="AE845" s="152"/>
      <c r="AF845" s="153"/>
      <c r="AG845" s="126"/>
      <c r="AH845" s="115"/>
      <c r="AK845" s="306" t="str">
        <f>IF(ISNUMBER(Table1[[#This Row],[FECHA DE RECIBIDO]]), Table1[[#This Row],[FECHA DE RECIBIDO]]-DATE(2023,8,30), "")</f>
        <v/>
      </c>
    </row>
    <row r="846" spans="1:37" ht="16.05" customHeight="1">
      <c r="A846" s="150" t="s">
        <v>3129</v>
      </c>
      <c r="B846" s="151">
        <v>324</v>
      </c>
      <c r="C846" s="126" t="s">
        <v>1867</v>
      </c>
      <c r="D846">
        <v>553</v>
      </c>
      <c r="E846" s="126" t="s">
        <v>1613</v>
      </c>
      <c r="F846" s="122" t="s">
        <v>1593</v>
      </c>
      <c r="G846" s="122" t="s">
        <v>109</v>
      </c>
      <c r="H846">
        <v>110</v>
      </c>
      <c r="I846" s="122" t="s">
        <v>1546</v>
      </c>
      <c r="J846" s="307" t="s">
        <v>214</v>
      </c>
      <c r="K846" s="127" t="s">
        <v>3286</v>
      </c>
      <c r="L846" s="151" t="s">
        <v>2028</v>
      </c>
      <c r="M846">
        <v>148</v>
      </c>
      <c r="N846" s="123">
        <v>40</v>
      </c>
      <c r="O846">
        <v>558</v>
      </c>
      <c r="P846" s="132" t="s">
        <v>77</v>
      </c>
      <c r="Q846" s="131">
        <v>3120</v>
      </c>
      <c r="R846" s="131">
        <v>499.2</v>
      </c>
      <c r="S846" s="131"/>
      <c r="T846" s="155">
        <v>332.8</v>
      </c>
      <c r="U846" s="131">
        <v>39</v>
      </c>
      <c r="V846" s="131">
        <v>3247.3999999999996</v>
      </c>
      <c r="W846">
        <v>72</v>
      </c>
      <c r="X846" s="151" t="s">
        <v>1429</v>
      </c>
      <c r="Y846" s="135" t="s">
        <v>55</v>
      </c>
      <c r="Z846" s="307">
        <v>210</v>
      </c>
      <c r="AB846" t="str">
        <f>IF(Table1[[#This Row],[TIPO2]]="costo", VLOOKUP(Table1[[#This Row],[PARTIDA PRESUPUESTAL]],'Cost Report'!G:G,1,0),"Balance")</f>
        <v>3442-005</v>
      </c>
      <c r="AC846" s="118"/>
      <c r="AD846" s="159">
        <f>+Table1[[#This Row],[SUBTOTAL]]+Table1[[#This Row],[IVA]]-Table1[[#This Row],[RET IVA]]-Table1[[#This Row],[RET ISR]]-Table1[[#This Row],[TOTAL]]</f>
        <v>0</v>
      </c>
      <c r="AE846" s="150"/>
      <c r="AF846" s="151"/>
      <c r="AG846" s="126"/>
      <c r="AH846" s="115"/>
      <c r="AK846" s="306" t="str">
        <f>IF(ISNUMBER(Table1[[#This Row],[FECHA DE RECIBIDO]]), Table1[[#This Row],[FECHA DE RECIBIDO]]-DATE(2023,8,30), "")</f>
        <v/>
      </c>
    </row>
    <row r="847" spans="1:37" ht="16.05" customHeight="1">
      <c r="A847" s="152" t="s">
        <v>3130</v>
      </c>
      <c r="B847" s="153">
        <v>325</v>
      </c>
      <c r="C847" s="126" t="s">
        <v>1868</v>
      </c>
      <c r="D847">
        <v>554</v>
      </c>
      <c r="E847" s="126" t="s">
        <v>2016</v>
      </c>
      <c r="F847" s="125" t="s">
        <v>1589</v>
      </c>
      <c r="G847" s="125" t="s">
        <v>129</v>
      </c>
      <c r="H847">
        <v>113</v>
      </c>
      <c r="I847" s="125" t="s">
        <v>1546</v>
      </c>
      <c r="J847" s="308" t="s">
        <v>214</v>
      </c>
      <c r="K847" s="127" t="s">
        <v>3286</v>
      </c>
      <c r="L847" s="153" t="s">
        <v>2028</v>
      </c>
      <c r="M847">
        <v>151</v>
      </c>
      <c r="N847" s="123">
        <v>43</v>
      </c>
      <c r="O847">
        <v>559</v>
      </c>
      <c r="P847" s="132" t="s">
        <v>77</v>
      </c>
      <c r="Q847" s="132">
        <v>4786.67</v>
      </c>
      <c r="R847" s="132">
        <v>765.87</v>
      </c>
      <c r="S847" s="132"/>
      <c r="T847" s="156">
        <v>510.58</v>
      </c>
      <c r="U847" s="132">
        <v>478.67</v>
      </c>
      <c r="V847" s="132">
        <v>4563.29</v>
      </c>
      <c r="W847">
        <v>75</v>
      </c>
      <c r="X847" s="153" t="s">
        <v>2024</v>
      </c>
      <c r="Y847" s="124" t="s">
        <v>55</v>
      </c>
      <c r="Z847" s="308">
        <v>210</v>
      </c>
      <c r="AB847" t="str">
        <f>IF(Table1[[#This Row],[TIPO2]]="costo", VLOOKUP(Table1[[#This Row],[PARTIDA PRESUPUESTAL]],'Cost Report'!G:G,1,0),"Balance")</f>
        <v>3442-006</v>
      </c>
      <c r="AC847" s="118"/>
      <c r="AD847" s="159">
        <f>+Table1[[#This Row],[SUBTOTAL]]+Table1[[#This Row],[IVA]]-Table1[[#This Row],[RET IVA]]-Table1[[#This Row],[RET ISR]]-Table1[[#This Row],[TOTAL]]</f>
        <v>0</v>
      </c>
      <c r="AE847" s="152"/>
      <c r="AF847" s="153"/>
      <c r="AG847" s="126"/>
      <c r="AH847" s="115"/>
      <c r="AK847" s="306" t="str">
        <f>IF(ISNUMBER(Table1[[#This Row],[FECHA DE RECIBIDO]]), Table1[[#This Row],[FECHA DE RECIBIDO]]-DATE(2023,8,30), "")</f>
        <v/>
      </c>
    </row>
    <row r="848" spans="1:37" ht="16.05" customHeight="1">
      <c r="A848" s="150" t="s">
        <v>3131</v>
      </c>
      <c r="B848" s="151">
        <v>326</v>
      </c>
      <c r="C848" s="126" t="s">
        <v>1868</v>
      </c>
      <c r="D848">
        <v>555</v>
      </c>
      <c r="E848" s="126" t="s">
        <v>1614</v>
      </c>
      <c r="F848" s="122" t="s">
        <v>1593</v>
      </c>
      <c r="G848" s="122" t="s">
        <v>109</v>
      </c>
      <c r="H848">
        <v>114</v>
      </c>
      <c r="I848" s="122" t="s">
        <v>1546</v>
      </c>
      <c r="J848" s="307" t="s">
        <v>214</v>
      </c>
      <c r="K848" s="127" t="s">
        <v>3286</v>
      </c>
      <c r="L848" s="151" t="s">
        <v>2028</v>
      </c>
      <c r="M848">
        <v>152</v>
      </c>
      <c r="N848" s="123">
        <v>44</v>
      </c>
      <c r="O848">
        <v>560</v>
      </c>
      <c r="P848" s="132" t="s">
        <v>77</v>
      </c>
      <c r="Q848" s="131">
        <v>3120</v>
      </c>
      <c r="R848" s="131">
        <v>499.2</v>
      </c>
      <c r="S848" s="131"/>
      <c r="T848" s="155">
        <v>332.8</v>
      </c>
      <c r="U848" s="131">
        <v>39</v>
      </c>
      <c r="V848" s="131">
        <v>3247.3999999999996</v>
      </c>
      <c r="W848">
        <v>76</v>
      </c>
      <c r="X848" s="151" t="s">
        <v>1429</v>
      </c>
      <c r="Y848" s="135" t="s">
        <v>55</v>
      </c>
      <c r="Z848" s="307">
        <v>210</v>
      </c>
      <c r="AB848" t="str">
        <f>IF(Table1[[#This Row],[TIPO2]]="costo", VLOOKUP(Table1[[#This Row],[PARTIDA PRESUPUESTAL]],'Cost Report'!G:G,1,0),"Balance")</f>
        <v>3442-006</v>
      </c>
      <c r="AC848" s="118"/>
      <c r="AD848" s="159">
        <f>+Table1[[#This Row],[SUBTOTAL]]+Table1[[#This Row],[IVA]]-Table1[[#This Row],[RET IVA]]-Table1[[#This Row],[RET ISR]]-Table1[[#This Row],[TOTAL]]</f>
        <v>0</v>
      </c>
      <c r="AE848" s="150"/>
      <c r="AF848" s="151"/>
      <c r="AG848" s="126"/>
      <c r="AH848" s="115"/>
      <c r="AK848" s="306" t="str">
        <f>IF(ISNUMBER(Table1[[#This Row],[FECHA DE RECIBIDO]]), Table1[[#This Row],[FECHA DE RECIBIDO]]-DATE(2023,8,30), "")</f>
        <v/>
      </c>
    </row>
    <row r="849" spans="1:37" ht="16.05" customHeight="1">
      <c r="A849" s="152" t="s">
        <v>3132</v>
      </c>
      <c r="B849" s="153">
        <v>327</v>
      </c>
      <c r="C849" s="126" t="s">
        <v>1867</v>
      </c>
      <c r="D849">
        <v>556</v>
      </c>
      <c r="E849" s="126" t="s">
        <v>3133</v>
      </c>
      <c r="F849" s="125" t="s">
        <v>1593</v>
      </c>
      <c r="G849" s="125" t="s">
        <v>109</v>
      </c>
      <c r="H849">
        <v>187</v>
      </c>
      <c r="I849" s="125" t="s">
        <v>1546</v>
      </c>
      <c r="J849" s="308" t="s">
        <v>214</v>
      </c>
      <c r="K849" s="127" t="s">
        <v>3286</v>
      </c>
      <c r="L849" s="153" t="s">
        <v>2028</v>
      </c>
      <c r="M849">
        <v>252</v>
      </c>
      <c r="N849" s="123">
        <v>52</v>
      </c>
      <c r="O849">
        <v>561</v>
      </c>
      <c r="P849" s="132" t="s">
        <v>77</v>
      </c>
      <c r="Q849" s="132">
        <v>3933.33</v>
      </c>
      <c r="R849" s="132">
        <v>629.33000000000004</v>
      </c>
      <c r="S849" s="132"/>
      <c r="T849" s="156">
        <v>419.56</v>
      </c>
      <c r="U849" s="132">
        <v>49.17</v>
      </c>
      <c r="V849" s="132">
        <v>4093.9299999999994</v>
      </c>
      <c r="W849">
        <v>108</v>
      </c>
      <c r="X849" s="153" t="s">
        <v>1430</v>
      </c>
      <c r="Y849" s="124" t="s">
        <v>55</v>
      </c>
      <c r="Z849" s="308">
        <v>210</v>
      </c>
      <c r="AB849" t="str">
        <f>IF(Table1[[#This Row],[TIPO2]]="costo", VLOOKUP(Table1[[#This Row],[PARTIDA PRESUPUESTAL]],'Cost Report'!G:G,1,0),"Balance")</f>
        <v>3442-005</v>
      </c>
      <c r="AC849" s="118"/>
      <c r="AD849" s="159">
        <f>+Table1[[#This Row],[SUBTOTAL]]+Table1[[#This Row],[IVA]]-Table1[[#This Row],[RET IVA]]-Table1[[#This Row],[RET ISR]]-Table1[[#This Row],[TOTAL]]</f>
        <v>0</v>
      </c>
      <c r="AE849" s="152"/>
      <c r="AF849" s="153"/>
      <c r="AG849" s="126"/>
      <c r="AH849" s="115"/>
      <c r="AK849" s="306" t="str">
        <f>IF(ISNUMBER(Table1[[#This Row],[FECHA DE RECIBIDO]]), Table1[[#This Row],[FECHA DE RECIBIDO]]-DATE(2023,8,30), "")</f>
        <v/>
      </c>
    </row>
    <row r="850" spans="1:37" ht="16.05" customHeight="1">
      <c r="A850" s="150" t="s">
        <v>3134</v>
      </c>
      <c r="B850" s="151">
        <v>328</v>
      </c>
      <c r="C850" s="126" t="s">
        <v>1868</v>
      </c>
      <c r="D850">
        <v>557</v>
      </c>
      <c r="E850" s="126" t="s">
        <v>3135</v>
      </c>
      <c r="F850" s="122" t="s">
        <v>1593</v>
      </c>
      <c r="G850" s="122" t="s">
        <v>109</v>
      </c>
      <c r="H850">
        <v>188</v>
      </c>
      <c r="I850" s="122" t="s">
        <v>1546</v>
      </c>
      <c r="J850" s="307" t="s">
        <v>214</v>
      </c>
      <c r="K850" s="127" t="s">
        <v>3286</v>
      </c>
      <c r="L850" s="151" t="s">
        <v>2028</v>
      </c>
      <c r="M850">
        <v>253</v>
      </c>
      <c r="N850" s="123">
        <v>53</v>
      </c>
      <c r="O850">
        <v>562</v>
      </c>
      <c r="P850" s="132" t="s">
        <v>77</v>
      </c>
      <c r="Q850" s="131">
        <v>4546.67</v>
      </c>
      <c r="R850" s="131">
        <v>727.47</v>
      </c>
      <c r="S850" s="131"/>
      <c r="T850" s="155">
        <v>484.98</v>
      </c>
      <c r="U850" s="131">
        <v>56.83</v>
      </c>
      <c r="V850" s="131">
        <v>4732.33</v>
      </c>
      <c r="W850">
        <v>109</v>
      </c>
      <c r="X850" s="151" t="s">
        <v>1429</v>
      </c>
      <c r="Y850" s="135" t="s">
        <v>55</v>
      </c>
      <c r="Z850" s="307">
        <v>210</v>
      </c>
      <c r="AB850" t="str">
        <f>IF(Table1[[#This Row],[TIPO2]]="costo", VLOOKUP(Table1[[#This Row],[PARTIDA PRESUPUESTAL]],'Cost Report'!G:G,1,0),"Balance")</f>
        <v>3442-006</v>
      </c>
      <c r="AC850" s="118"/>
      <c r="AD850" s="159">
        <f>+Table1[[#This Row],[SUBTOTAL]]+Table1[[#This Row],[IVA]]-Table1[[#This Row],[RET IVA]]-Table1[[#This Row],[RET ISR]]-Table1[[#This Row],[TOTAL]]</f>
        <v>0</v>
      </c>
      <c r="AE850" s="150"/>
      <c r="AF850" s="151"/>
      <c r="AG850" s="126"/>
      <c r="AH850" s="115"/>
      <c r="AK850" s="306" t="str">
        <f>IF(ISNUMBER(Table1[[#This Row],[FECHA DE RECIBIDO]]), Table1[[#This Row],[FECHA DE RECIBIDO]]-DATE(2023,8,30), "")</f>
        <v/>
      </c>
    </row>
    <row r="851" spans="1:37" ht="16.05" customHeight="1">
      <c r="A851" s="152" t="s">
        <v>3136</v>
      </c>
      <c r="B851" s="153">
        <v>329</v>
      </c>
      <c r="C851" s="126" t="s">
        <v>1868</v>
      </c>
      <c r="D851">
        <v>558</v>
      </c>
      <c r="E851" s="126" t="s">
        <v>3137</v>
      </c>
      <c r="F851" s="125" t="s">
        <v>1593</v>
      </c>
      <c r="G851" s="125" t="s">
        <v>109</v>
      </c>
      <c r="H851">
        <v>189</v>
      </c>
      <c r="I851" s="125" t="s">
        <v>1546</v>
      </c>
      <c r="J851" s="308" t="s">
        <v>214</v>
      </c>
      <c r="K851" s="127" t="s">
        <v>3286</v>
      </c>
      <c r="L851" s="153" t="s">
        <v>2028</v>
      </c>
      <c r="M851">
        <v>254</v>
      </c>
      <c r="N851" s="123">
        <v>54</v>
      </c>
      <c r="O851">
        <v>563</v>
      </c>
      <c r="P851" s="132" t="s">
        <v>77</v>
      </c>
      <c r="Q851" s="132">
        <v>4546.67</v>
      </c>
      <c r="R851" s="132">
        <v>727.47</v>
      </c>
      <c r="S851" s="132"/>
      <c r="T851" s="156">
        <v>484.98</v>
      </c>
      <c r="U851" s="132">
        <v>56.83</v>
      </c>
      <c r="V851" s="132">
        <v>4732.33</v>
      </c>
      <c r="W851">
        <v>110</v>
      </c>
      <c r="X851" s="153" t="s">
        <v>1429</v>
      </c>
      <c r="Y851" s="124" t="s">
        <v>55</v>
      </c>
      <c r="Z851" s="308">
        <v>210</v>
      </c>
      <c r="AB851" t="str">
        <f>IF(Table1[[#This Row],[TIPO2]]="costo", VLOOKUP(Table1[[#This Row],[PARTIDA PRESUPUESTAL]],'Cost Report'!G:G,1,0),"Balance")</f>
        <v>3442-006</v>
      </c>
      <c r="AC851" s="118"/>
      <c r="AD851" s="159">
        <f>+Table1[[#This Row],[SUBTOTAL]]+Table1[[#This Row],[IVA]]-Table1[[#This Row],[RET IVA]]-Table1[[#This Row],[RET ISR]]-Table1[[#This Row],[TOTAL]]</f>
        <v>0</v>
      </c>
      <c r="AE851" s="152"/>
      <c r="AF851" s="153"/>
      <c r="AG851" s="126"/>
      <c r="AH851" s="115"/>
      <c r="AK851" s="306" t="str">
        <f>IF(ISNUMBER(Table1[[#This Row],[FECHA DE RECIBIDO]]), Table1[[#This Row],[FECHA DE RECIBIDO]]-DATE(2023,8,30), "")</f>
        <v/>
      </c>
    </row>
    <row r="852" spans="1:37" ht="16.05" customHeight="1">
      <c r="A852" s="150" t="s">
        <v>3138</v>
      </c>
      <c r="B852" s="151">
        <v>330</v>
      </c>
      <c r="C852" s="126" t="s">
        <v>1867</v>
      </c>
      <c r="D852">
        <v>559</v>
      </c>
      <c r="E852" s="126" t="s">
        <v>3139</v>
      </c>
      <c r="F852" s="122" t="s">
        <v>1593</v>
      </c>
      <c r="G852" s="122" t="s">
        <v>109</v>
      </c>
      <c r="H852">
        <v>190</v>
      </c>
      <c r="I852" s="122" t="s">
        <v>1546</v>
      </c>
      <c r="J852" s="307" t="s">
        <v>214</v>
      </c>
      <c r="K852" s="127" t="s">
        <v>3286</v>
      </c>
      <c r="L852" s="151" t="s">
        <v>2028</v>
      </c>
      <c r="M852">
        <v>255</v>
      </c>
      <c r="N852" s="123">
        <v>55</v>
      </c>
      <c r="O852">
        <v>564</v>
      </c>
      <c r="P852" s="132" t="s">
        <v>77</v>
      </c>
      <c r="Q852" s="131">
        <v>4200</v>
      </c>
      <c r="R852" s="131">
        <v>672</v>
      </c>
      <c r="S852" s="131"/>
      <c r="T852" s="155">
        <v>448</v>
      </c>
      <c r="U852" s="131">
        <v>52.5</v>
      </c>
      <c r="V852" s="131">
        <v>4371.5</v>
      </c>
      <c r="W852">
        <v>111</v>
      </c>
      <c r="X852" s="151" t="s">
        <v>1429</v>
      </c>
      <c r="Y852" s="135" t="s">
        <v>55</v>
      </c>
      <c r="Z852" s="307">
        <v>210</v>
      </c>
      <c r="AB852" t="str">
        <f>IF(Table1[[#This Row],[TIPO2]]="costo", VLOOKUP(Table1[[#This Row],[PARTIDA PRESUPUESTAL]],'Cost Report'!G:G,1,0),"Balance")</f>
        <v>3442-005</v>
      </c>
      <c r="AC852" s="118"/>
      <c r="AD852" s="159">
        <f>+Table1[[#This Row],[SUBTOTAL]]+Table1[[#This Row],[IVA]]-Table1[[#This Row],[RET IVA]]-Table1[[#This Row],[RET ISR]]-Table1[[#This Row],[TOTAL]]</f>
        <v>0</v>
      </c>
      <c r="AE852" s="150"/>
      <c r="AF852" s="151"/>
      <c r="AG852" s="126"/>
      <c r="AH852" s="115"/>
      <c r="AK852" s="306" t="str">
        <f>IF(ISNUMBER(Table1[[#This Row],[FECHA DE RECIBIDO]]), Table1[[#This Row],[FECHA DE RECIBIDO]]-DATE(2023,8,30), "")</f>
        <v/>
      </c>
    </row>
    <row r="853" spans="1:37" ht="16.05" customHeight="1">
      <c r="A853" s="152" t="s">
        <v>3140</v>
      </c>
      <c r="B853" s="153">
        <v>331</v>
      </c>
      <c r="C853" s="126" t="s">
        <v>1867</v>
      </c>
      <c r="D853">
        <v>560</v>
      </c>
      <c r="E853" s="126" t="s">
        <v>3141</v>
      </c>
      <c r="F853" s="125" t="s">
        <v>1589</v>
      </c>
      <c r="G853" s="125" t="s">
        <v>129</v>
      </c>
      <c r="H853">
        <v>191</v>
      </c>
      <c r="I853" s="125" t="s">
        <v>1546</v>
      </c>
      <c r="J853" s="308" t="s">
        <v>214</v>
      </c>
      <c r="K853" s="127" t="s">
        <v>3286</v>
      </c>
      <c r="L853" s="153" t="s">
        <v>2028</v>
      </c>
      <c r="M853">
        <v>256</v>
      </c>
      <c r="N853" s="123">
        <v>56</v>
      </c>
      <c r="O853">
        <v>565</v>
      </c>
      <c r="P853" s="132" t="s">
        <v>77</v>
      </c>
      <c r="Q853" s="132">
        <v>2160</v>
      </c>
      <c r="R853" s="132">
        <v>345.6</v>
      </c>
      <c r="S853" s="132"/>
      <c r="T853" s="156">
        <v>230.47</v>
      </c>
      <c r="U853" s="132">
        <v>216</v>
      </c>
      <c r="V853" s="132">
        <v>2059.13</v>
      </c>
      <c r="W853">
        <v>112</v>
      </c>
      <c r="X853" s="153" t="s">
        <v>1429</v>
      </c>
      <c r="Y853" s="124" t="s">
        <v>55</v>
      </c>
      <c r="Z853" s="308">
        <v>210</v>
      </c>
      <c r="AB853" t="str">
        <f>IF(Table1[[#This Row],[TIPO2]]="costo", VLOOKUP(Table1[[#This Row],[PARTIDA PRESUPUESTAL]],'Cost Report'!G:G,1,0),"Balance")</f>
        <v>3442-005</v>
      </c>
      <c r="AC853" s="118"/>
      <c r="AD853" s="159">
        <f>+Table1[[#This Row],[SUBTOTAL]]+Table1[[#This Row],[IVA]]-Table1[[#This Row],[RET IVA]]-Table1[[#This Row],[RET ISR]]-Table1[[#This Row],[TOTAL]]</f>
        <v>0</v>
      </c>
      <c r="AE853" s="152"/>
      <c r="AF853" s="153"/>
      <c r="AG853" s="126"/>
      <c r="AH853" s="115"/>
      <c r="AK853" s="306" t="str">
        <f>IF(ISNUMBER(Table1[[#This Row],[FECHA DE RECIBIDO]]), Table1[[#This Row],[FECHA DE RECIBIDO]]-DATE(2023,8,30), "")</f>
        <v/>
      </c>
    </row>
    <row r="854" spans="1:37" ht="16.05" customHeight="1">
      <c r="A854" s="150" t="s">
        <v>3142</v>
      </c>
      <c r="B854" s="151">
        <v>332</v>
      </c>
      <c r="C854" s="126" t="s">
        <v>1867</v>
      </c>
      <c r="D854">
        <v>561</v>
      </c>
      <c r="E854" s="126" t="s">
        <v>3143</v>
      </c>
      <c r="F854" s="122" t="s">
        <v>1589</v>
      </c>
      <c r="G854" s="122" t="s">
        <v>129</v>
      </c>
      <c r="H854">
        <v>192</v>
      </c>
      <c r="I854" s="122" t="s">
        <v>1546</v>
      </c>
      <c r="J854" s="307" t="s">
        <v>214</v>
      </c>
      <c r="K854" s="127" t="s">
        <v>3286</v>
      </c>
      <c r="L854" s="151" t="s">
        <v>2028</v>
      </c>
      <c r="M854">
        <v>257</v>
      </c>
      <c r="N854" s="123">
        <v>57</v>
      </c>
      <c r="O854">
        <v>566</v>
      </c>
      <c r="P854" s="132" t="s">
        <v>77</v>
      </c>
      <c r="Q854" s="131">
        <v>4240</v>
      </c>
      <c r="R854" s="131">
        <v>678.4</v>
      </c>
      <c r="S854" s="131"/>
      <c r="T854" s="155">
        <v>452.27</v>
      </c>
      <c r="U854" s="131">
        <v>424</v>
      </c>
      <c r="V854" s="131">
        <v>4042.1299999999992</v>
      </c>
      <c r="W854">
        <v>113</v>
      </c>
      <c r="X854" s="151" t="s">
        <v>1429</v>
      </c>
      <c r="Y854" s="135" t="s">
        <v>55</v>
      </c>
      <c r="Z854" s="307">
        <v>210</v>
      </c>
      <c r="AB854" t="str">
        <f>IF(Table1[[#This Row],[TIPO2]]="costo", VLOOKUP(Table1[[#This Row],[PARTIDA PRESUPUESTAL]],'Cost Report'!G:G,1,0),"Balance")</f>
        <v>3442-005</v>
      </c>
      <c r="AC854" s="118"/>
      <c r="AD854" s="159">
        <f>+Table1[[#This Row],[SUBTOTAL]]+Table1[[#This Row],[IVA]]-Table1[[#This Row],[RET IVA]]-Table1[[#This Row],[RET ISR]]-Table1[[#This Row],[TOTAL]]</f>
        <v>0</v>
      </c>
      <c r="AE854" s="150"/>
      <c r="AF854" s="151"/>
      <c r="AG854" s="126"/>
      <c r="AH854" s="115"/>
      <c r="AK854" s="306" t="str">
        <f>IF(ISNUMBER(Table1[[#This Row],[FECHA DE RECIBIDO]]), Table1[[#This Row],[FECHA DE RECIBIDO]]-DATE(2023,8,30), "")</f>
        <v/>
      </c>
    </row>
    <row r="855" spans="1:37" ht="16.05" customHeight="1">
      <c r="A855" s="152" t="s">
        <v>3144</v>
      </c>
      <c r="B855" s="153">
        <v>333</v>
      </c>
      <c r="C855" s="126" t="s">
        <v>1868</v>
      </c>
      <c r="D855">
        <v>562</v>
      </c>
      <c r="E855" s="126" t="s">
        <v>3145</v>
      </c>
      <c r="F855" s="125" t="s">
        <v>1589</v>
      </c>
      <c r="G855" s="125" t="s">
        <v>129</v>
      </c>
      <c r="H855">
        <v>193</v>
      </c>
      <c r="I855" s="125" t="s">
        <v>1546</v>
      </c>
      <c r="J855" s="308" t="s">
        <v>214</v>
      </c>
      <c r="K855" s="127" t="s">
        <v>3286</v>
      </c>
      <c r="L855" s="153" t="s">
        <v>2028</v>
      </c>
      <c r="M855">
        <v>258</v>
      </c>
      <c r="N855" s="123">
        <v>58</v>
      </c>
      <c r="O855">
        <v>567</v>
      </c>
      <c r="P855" s="132" t="s">
        <v>77</v>
      </c>
      <c r="Q855" s="132">
        <v>720</v>
      </c>
      <c r="R855" s="132">
        <v>115.2</v>
      </c>
      <c r="S855" s="132"/>
      <c r="T855" s="156">
        <v>76.8</v>
      </c>
      <c r="U855" s="132">
        <v>72</v>
      </c>
      <c r="V855" s="132">
        <v>686.40000000000009</v>
      </c>
      <c r="W855">
        <v>114</v>
      </c>
      <c r="X855" s="153" t="s">
        <v>2024</v>
      </c>
      <c r="Y855" s="124" t="s">
        <v>55</v>
      </c>
      <c r="Z855" s="308">
        <v>210</v>
      </c>
      <c r="AB855" t="str">
        <f>IF(Table1[[#This Row],[TIPO2]]="costo", VLOOKUP(Table1[[#This Row],[PARTIDA PRESUPUESTAL]],'Cost Report'!G:G,1,0),"Balance")</f>
        <v>3442-006</v>
      </c>
      <c r="AC855" s="118"/>
      <c r="AD855" s="159">
        <f>+Table1[[#This Row],[SUBTOTAL]]+Table1[[#This Row],[IVA]]-Table1[[#This Row],[RET IVA]]-Table1[[#This Row],[RET ISR]]-Table1[[#This Row],[TOTAL]]</f>
        <v>0</v>
      </c>
      <c r="AE855" s="152"/>
      <c r="AF855" s="153"/>
      <c r="AG855" s="126"/>
      <c r="AH855" s="115"/>
      <c r="AK855" s="306" t="str">
        <f>IF(ISNUMBER(Table1[[#This Row],[FECHA DE RECIBIDO]]), Table1[[#This Row],[FECHA DE RECIBIDO]]-DATE(2023,8,30), "")</f>
        <v/>
      </c>
    </row>
    <row r="856" spans="1:37" ht="16.05" customHeight="1">
      <c r="A856" s="150" t="s">
        <v>3146</v>
      </c>
      <c r="B856" s="151">
        <v>334</v>
      </c>
      <c r="C856" s="126" t="s">
        <v>1867</v>
      </c>
      <c r="D856">
        <v>563</v>
      </c>
      <c r="E856" s="126" t="s">
        <v>3147</v>
      </c>
      <c r="F856" s="122" t="s">
        <v>1589</v>
      </c>
      <c r="G856" s="122" t="s">
        <v>129</v>
      </c>
      <c r="H856">
        <v>194</v>
      </c>
      <c r="I856" s="122" t="s">
        <v>1546</v>
      </c>
      <c r="J856" s="307" t="s">
        <v>214</v>
      </c>
      <c r="K856" s="127" t="s">
        <v>3286</v>
      </c>
      <c r="L856" s="151" t="s">
        <v>2028</v>
      </c>
      <c r="M856">
        <v>259</v>
      </c>
      <c r="N856" s="123">
        <v>59</v>
      </c>
      <c r="O856">
        <v>568</v>
      </c>
      <c r="P856" s="132" t="s">
        <v>77</v>
      </c>
      <c r="Q856" s="131">
        <v>720</v>
      </c>
      <c r="R856" s="131">
        <v>115.2</v>
      </c>
      <c r="S856" s="131"/>
      <c r="T856" s="155">
        <v>76.8</v>
      </c>
      <c r="U856" s="131">
        <v>72</v>
      </c>
      <c r="V856" s="131">
        <v>686.40000000000009</v>
      </c>
      <c r="W856">
        <v>115</v>
      </c>
      <c r="X856" s="151" t="s">
        <v>1434</v>
      </c>
      <c r="Y856" s="135" t="s">
        <v>55</v>
      </c>
      <c r="Z856" s="307">
        <v>210</v>
      </c>
      <c r="AB856" t="str">
        <f>IF(Table1[[#This Row],[TIPO2]]="costo", VLOOKUP(Table1[[#This Row],[PARTIDA PRESUPUESTAL]],'Cost Report'!G:G,1,0),"Balance")</f>
        <v>3442-005</v>
      </c>
      <c r="AC856" s="118"/>
      <c r="AD856" s="159">
        <f>+Table1[[#This Row],[SUBTOTAL]]+Table1[[#This Row],[IVA]]-Table1[[#This Row],[RET IVA]]-Table1[[#This Row],[RET ISR]]-Table1[[#This Row],[TOTAL]]</f>
        <v>0</v>
      </c>
      <c r="AE856" s="150"/>
      <c r="AF856" s="151"/>
      <c r="AG856" s="126"/>
      <c r="AH856" s="115"/>
      <c r="AK856" s="306" t="str">
        <f>IF(ISNUMBER(Table1[[#This Row],[FECHA DE RECIBIDO]]), Table1[[#This Row],[FECHA DE RECIBIDO]]-DATE(2023,8,30), "")</f>
        <v/>
      </c>
    </row>
    <row r="857" spans="1:37" ht="16.05" customHeight="1">
      <c r="A857" s="152" t="s">
        <v>3148</v>
      </c>
      <c r="B857" s="153">
        <v>335</v>
      </c>
      <c r="C857" s="126" t="s">
        <v>1867</v>
      </c>
      <c r="D857">
        <v>564</v>
      </c>
      <c r="E857" s="126" t="s">
        <v>3149</v>
      </c>
      <c r="F857" s="125" t="s">
        <v>1593</v>
      </c>
      <c r="G857" s="125" t="s">
        <v>109</v>
      </c>
      <c r="H857">
        <v>195</v>
      </c>
      <c r="I857" s="125" t="s">
        <v>1546</v>
      </c>
      <c r="J857" s="308" t="s">
        <v>214</v>
      </c>
      <c r="K857" s="127" t="s">
        <v>3286</v>
      </c>
      <c r="L857" s="153" t="s">
        <v>2028</v>
      </c>
      <c r="M857">
        <v>260</v>
      </c>
      <c r="N857" s="123">
        <v>60</v>
      </c>
      <c r="O857">
        <v>569</v>
      </c>
      <c r="P857" s="132" t="s">
        <v>77</v>
      </c>
      <c r="Q857" s="132">
        <v>720</v>
      </c>
      <c r="R857" s="132">
        <v>115.2</v>
      </c>
      <c r="S857" s="132"/>
      <c r="T857" s="156">
        <v>76.8</v>
      </c>
      <c r="U857" s="132">
        <v>9</v>
      </c>
      <c r="V857" s="132">
        <v>749.40000000000009</v>
      </c>
      <c r="W857">
        <v>116</v>
      </c>
      <c r="X857" s="153" t="s">
        <v>1431</v>
      </c>
      <c r="Y857" s="124" t="s">
        <v>55</v>
      </c>
      <c r="Z857" s="308">
        <v>210</v>
      </c>
      <c r="AB857" t="str">
        <f>IF(Table1[[#This Row],[TIPO2]]="costo", VLOOKUP(Table1[[#This Row],[PARTIDA PRESUPUESTAL]],'Cost Report'!G:G,1,0),"Balance")</f>
        <v>3442-005</v>
      </c>
      <c r="AC857" s="118"/>
      <c r="AD857" s="159">
        <f>+Table1[[#This Row],[SUBTOTAL]]+Table1[[#This Row],[IVA]]-Table1[[#This Row],[RET IVA]]-Table1[[#This Row],[RET ISR]]-Table1[[#This Row],[TOTAL]]</f>
        <v>0</v>
      </c>
      <c r="AE857" s="152"/>
      <c r="AF857" s="153"/>
      <c r="AG857" s="126"/>
      <c r="AH857" s="115"/>
      <c r="AK857" s="306" t="str">
        <f>IF(ISNUMBER(Table1[[#This Row],[FECHA DE RECIBIDO]]), Table1[[#This Row],[FECHA DE RECIBIDO]]-DATE(2023,8,30), "")</f>
        <v/>
      </c>
    </row>
    <row r="858" spans="1:37" ht="16.05" customHeight="1">
      <c r="A858" s="150" t="s">
        <v>3150</v>
      </c>
      <c r="B858" s="151">
        <v>336</v>
      </c>
      <c r="C858" s="126" t="s">
        <v>474</v>
      </c>
      <c r="D858">
        <v>565</v>
      </c>
      <c r="E858" s="126" t="s">
        <v>1588</v>
      </c>
      <c r="F858" s="122" t="s">
        <v>1589</v>
      </c>
      <c r="G858" s="122" t="s">
        <v>129</v>
      </c>
      <c r="H858">
        <v>15</v>
      </c>
      <c r="I858" s="122" t="s">
        <v>1546</v>
      </c>
      <c r="J858" s="307" t="s">
        <v>214</v>
      </c>
      <c r="K858" s="127" t="s">
        <v>3286</v>
      </c>
      <c r="L858" s="151" t="s">
        <v>110</v>
      </c>
      <c r="M858">
        <v>19</v>
      </c>
      <c r="N858" s="123">
        <v>1</v>
      </c>
      <c r="O858">
        <v>570</v>
      </c>
      <c r="P858" s="132" t="s">
        <v>77</v>
      </c>
      <c r="Q858" s="131">
        <v>37800</v>
      </c>
      <c r="R858" s="131">
        <v>6048</v>
      </c>
      <c r="S858" s="131"/>
      <c r="T858" s="155">
        <v>4032.02</v>
      </c>
      <c r="U858" s="131">
        <v>3780</v>
      </c>
      <c r="V858" s="131">
        <v>36035.980000000003</v>
      </c>
      <c r="W858">
        <v>15</v>
      </c>
      <c r="X858" s="151" t="s">
        <v>1429</v>
      </c>
      <c r="Y858" s="135" t="s">
        <v>55</v>
      </c>
      <c r="Z858" s="307">
        <v>210</v>
      </c>
      <c r="AB858" t="str">
        <f>IF(Table1[[#This Row],[TIPO2]]="costo", VLOOKUP(Table1[[#This Row],[PARTIDA PRESUPUESTAL]],'Cost Report'!G:G,1,0),"Balance")</f>
        <v>2013-004</v>
      </c>
      <c r="AC858" s="118"/>
      <c r="AD858" s="159">
        <f>+Table1[[#This Row],[SUBTOTAL]]+Table1[[#This Row],[IVA]]-Table1[[#This Row],[RET IVA]]-Table1[[#This Row],[RET ISR]]-Table1[[#This Row],[TOTAL]]</f>
        <v>0</v>
      </c>
      <c r="AE858" s="150"/>
      <c r="AF858" s="151"/>
      <c r="AG858" s="126"/>
      <c r="AH858" s="115"/>
      <c r="AK858" s="306" t="str">
        <f>IF(ISNUMBER(Table1[[#This Row],[FECHA DE RECIBIDO]]), Table1[[#This Row],[FECHA DE RECIBIDO]]-DATE(2023,8,30), "")</f>
        <v/>
      </c>
    </row>
    <row r="859" spans="1:37" ht="16.05" customHeight="1">
      <c r="A859" s="152" t="s">
        <v>3151</v>
      </c>
      <c r="B859" s="153">
        <v>337</v>
      </c>
      <c r="C859" s="126" t="s">
        <v>237</v>
      </c>
      <c r="D859">
        <v>566</v>
      </c>
      <c r="E859" s="126" t="s">
        <v>1887</v>
      </c>
      <c r="F859" s="125" t="s">
        <v>1593</v>
      </c>
      <c r="G859" s="125" t="s">
        <v>109</v>
      </c>
      <c r="H859">
        <v>10</v>
      </c>
      <c r="I859" s="125" t="s">
        <v>1546</v>
      </c>
      <c r="J859" s="308" t="s">
        <v>214</v>
      </c>
      <c r="K859" s="127" t="s">
        <v>3286</v>
      </c>
      <c r="L859" s="153" t="s">
        <v>110</v>
      </c>
      <c r="M859">
        <v>13</v>
      </c>
      <c r="N859" s="123">
        <v>20</v>
      </c>
      <c r="O859">
        <v>571</v>
      </c>
      <c r="P859" s="132" t="s">
        <v>77</v>
      </c>
      <c r="Q859" s="132">
        <v>67000</v>
      </c>
      <c r="R859" s="132">
        <v>10720</v>
      </c>
      <c r="S859" s="132"/>
      <c r="T859" s="156">
        <v>7146.68</v>
      </c>
      <c r="U859" s="132">
        <v>837.5</v>
      </c>
      <c r="V859" s="132">
        <v>69735.820000000007</v>
      </c>
      <c r="W859">
        <v>9</v>
      </c>
      <c r="X859" s="153" t="s">
        <v>1429</v>
      </c>
      <c r="Y859" s="124" t="s">
        <v>55</v>
      </c>
      <c r="Z859" s="308">
        <v>210</v>
      </c>
      <c r="AB859" t="str">
        <f>IF(Table1[[#This Row],[TIPO2]]="costo", VLOOKUP(Table1[[#This Row],[PARTIDA PRESUPUESTAL]],'Cost Report'!G:G,1,0),"Balance")</f>
        <v>1202-004</v>
      </c>
      <c r="AC859" s="118"/>
      <c r="AD859" s="159">
        <f>+Table1[[#This Row],[SUBTOTAL]]+Table1[[#This Row],[IVA]]-Table1[[#This Row],[RET IVA]]-Table1[[#This Row],[RET ISR]]-Table1[[#This Row],[TOTAL]]</f>
        <v>0</v>
      </c>
      <c r="AE859" s="152"/>
      <c r="AF859" s="153"/>
      <c r="AG859" s="126"/>
      <c r="AH859" s="115"/>
      <c r="AK859" s="306" t="str">
        <f>IF(ISNUMBER(Table1[[#This Row],[FECHA DE RECIBIDO]]), Table1[[#This Row],[FECHA DE RECIBIDO]]-DATE(2023,8,30), "")</f>
        <v/>
      </c>
    </row>
    <row r="860" spans="1:37" ht="16.05" customHeight="1">
      <c r="A860" s="150" t="s">
        <v>3152</v>
      </c>
      <c r="B860" s="151">
        <v>338</v>
      </c>
      <c r="C860" s="126" t="s">
        <v>242</v>
      </c>
      <c r="D860">
        <v>567</v>
      </c>
      <c r="E860" s="126" t="s">
        <v>1590</v>
      </c>
      <c r="F860" s="122" t="s">
        <v>1589</v>
      </c>
      <c r="G860" s="122" t="s">
        <v>129</v>
      </c>
      <c r="H860">
        <v>16</v>
      </c>
      <c r="I860" s="122" t="s">
        <v>1546</v>
      </c>
      <c r="J860" s="307" t="s">
        <v>214</v>
      </c>
      <c r="K860" s="127" t="s">
        <v>3286</v>
      </c>
      <c r="L860" s="151" t="s">
        <v>110</v>
      </c>
      <c r="M860">
        <v>21</v>
      </c>
      <c r="N860" s="123">
        <v>2</v>
      </c>
      <c r="O860">
        <v>572</v>
      </c>
      <c r="P860" s="132" t="s">
        <v>77</v>
      </c>
      <c r="Q860" s="131">
        <v>42000</v>
      </c>
      <c r="R860" s="131">
        <v>6720</v>
      </c>
      <c r="S860" s="131"/>
      <c r="T860" s="155">
        <v>4480.01</v>
      </c>
      <c r="U860" s="131">
        <v>4200</v>
      </c>
      <c r="V860" s="131">
        <v>40039.99</v>
      </c>
      <c r="W860">
        <v>16</v>
      </c>
      <c r="X860" s="151" t="s">
        <v>1429</v>
      </c>
      <c r="Y860" s="135" t="s">
        <v>55</v>
      </c>
      <c r="Z860" s="307">
        <v>210</v>
      </c>
      <c r="AB860" t="str">
        <f>IF(Table1[[#This Row],[TIPO2]]="costo", VLOOKUP(Table1[[#This Row],[PARTIDA PRESUPUESTAL]],'Cost Report'!G:G,1,0),"Balance")</f>
        <v>1204-004</v>
      </c>
      <c r="AC860" s="118"/>
      <c r="AD860" s="159">
        <f>+Table1[[#This Row],[SUBTOTAL]]+Table1[[#This Row],[IVA]]-Table1[[#This Row],[RET IVA]]-Table1[[#This Row],[RET ISR]]-Table1[[#This Row],[TOTAL]]</f>
        <v>0</v>
      </c>
      <c r="AE860" s="150"/>
      <c r="AF860" s="151"/>
      <c r="AG860" s="126"/>
      <c r="AH860" s="115"/>
      <c r="AK860" s="306" t="str">
        <f>IF(ISNUMBER(Table1[[#This Row],[FECHA DE RECIBIDO]]), Table1[[#This Row],[FECHA DE RECIBIDO]]-DATE(2023,8,30), "")</f>
        <v/>
      </c>
    </row>
    <row r="861" spans="1:37" ht="16.05" customHeight="1">
      <c r="A861" s="152" t="s">
        <v>3153</v>
      </c>
      <c r="B861" s="153">
        <v>339</v>
      </c>
      <c r="C861" s="126" t="s">
        <v>242</v>
      </c>
      <c r="D861">
        <v>568</v>
      </c>
      <c r="E861" s="126" t="s">
        <v>1590</v>
      </c>
      <c r="F861" s="125" t="s">
        <v>1589</v>
      </c>
      <c r="G861" s="125" t="s">
        <v>129</v>
      </c>
      <c r="H861">
        <v>16</v>
      </c>
      <c r="I861" s="125" t="s">
        <v>1546</v>
      </c>
      <c r="J861" s="308" t="s">
        <v>214</v>
      </c>
      <c r="K861" s="127" t="s">
        <v>3286</v>
      </c>
      <c r="L861" s="153" t="s">
        <v>110</v>
      </c>
      <c r="M861">
        <v>21</v>
      </c>
      <c r="N861" s="123">
        <v>2</v>
      </c>
      <c r="O861">
        <v>573</v>
      </c>
      <c r="P861" s="132" t="s">
        <v>77</v>
      </c>
      <c r="Q861" s="132">
        <v>42000</v>
      </c>
      <c r="R861" s="132">
        <v>6720</v>
      </c>
      <c r="S861" s="132"/>
      <c r="T861" s="156">
        <v>4480.01</v>
      </c>
      <c r="U861" s="132">
        <v>4200</v>
      </c>
      <c r="V861" s="132">
        <v>40039.99</v>
      </c>
      <c r="W861">
        <v>16</v>
      </c>
      <c r="X861" s="153" t="s">
        <v>1429</v>
      </c>
      <c r="Y861" s="124" t="s">
        <v>55</v>
      </c>
      <c r="Z861" s="308">
        <v>210</v>
      </c>
      <c r="AB861" t="str">
        <f>IF(Table1[[#This Row],[TIPO2]]="costo", VLOOKUP(Table1[[#This Row],[PARTIDA PRESUPUESTAL]],'Cost Report'!G:G,1,0),"Balance")</f>
        <v>1204-004</v>
      </c>
      <c r="AC861" s="118"/>
      <c r="AD861" s="159">
        <f>+Table1[[#This Row],[SUBTOTAL]]+Table1[[#This Row],[IVA]]-Table1[[#This Row],[RET IVA]]-Table1[[#This Row],[RET ISR]]-Table1[[#This Row],[TOTAL]]</f>
        <v>0</v>
      </c>
      <c r="AE861" s="152"/>
      <c r="AF861" s="153"/>
      <c r="AG861" s="126"/>
      <c r="AH861" s="115"/>
      <c r="AK861" s="306" t="str">
        <f>IF(ISNUMBER(Table1[[#This Row],[FECHA DE RECIBIDO]]), Table1[[#This Row],[FECHA DE RECIBIDO]]-DATE(2023,8,30), "")</f>
        <v/>
      </c>
    </row>
    <row r="862" spans="1:37" ht="16.05" customHeight="1">
      <c r="A862" s="150" t="s">
        <v>3154</v>
      </c>
      <c r="B862" s="151">
        <v>340</v>
      </c>
      <c r="C862" s="126" t="s">
        <v>434</v>
      </c>
      <c r="D862">
        <v>569</v>
      </c>
      <c r="E862" s="126" t="s">
        <v>1591</v>
      </c>
      <c r="F862" s="122" t="s">
        <v>1589</v>
      </c>
      <c r="G862" s="122" t="s">
        <v>129</v>
      </c>
      <c r="H862">
        <v>17</v>
      </c>
      <c r="I862" s="122" t="s">
        <v>1546</v>
      </c>
      <c r="J862" s="307" t="s">
        <v>214</v>
      </c>
      <c r="K862" s="127" t="s">
        <v>3286</v>
      </c>
      <c r="L862" s="151" t="s">
        <v>110</v>
      </c>
      <c r="M862">
        <v>22</v>
      </c>
      <c r="N862" s="123">
        <v>3</v>
      </c>
      <c r="O862">
        <v>574</v>
      </c>
      <c r="P862" s="132" t="s">
        <v>77</v>
      </c>
      <c r="Q862" s="131">
        <v>40000</v>
      </c>
      <c r="R862" s="131">
        <v>6400</v>
      </c>
      <c r="S862" s="131"/>
      <c r="T862" s="155">
        <v>4266.68</v>
      </c>
      <c r="U862" s="131">
        <v>4000</v>
      </c>
      <c r="V862" s="131">
        <v>38133.32</v>
      </c>
      <c r="W862">
        <v>17</v>
      </c>
      <c r="X862" s="151" t="s">
        <v>1430</v>
      </c>
      <c r="Y862" s="135" t="s">
        <v>55</v>
      </c>
      <c r="Z862" s="307">
        <v>210</v>
      </c>
      <c r="AB862" t="str">
        <f>IF(Table1[[#This Row],[TIPO2]]="costo", VLOOKUP(Table1[[#This Row],[PARTIDA PRESUPUESTAL]],'Cost Report'!G:G,1,0),"Balance")</f>
        <v>2001-004</v>
      </c>
      <c r="AC862" s="118"/>
      <c r="AD862" s="159">
        <f>+Table1[[#This Row],[SUBTOTAL]]+Table1[[#This Row],[IVA]]-Table1[[#This Row],[RET IVA]]-Table1[[#This Row],[RET ISR]]-Table1[[#This Row],[TOTAL]]</f>
        <v>0</v>
      </c>
      <c r="AE862" s="150"/>
      <c r="AF862" s="151"/>
      <c r="AG862" s="126"/>
      <c r="AH862" s="115"/>
      <c r="AK862" s="306" t="str">
        <f>IF(ISNUMBER(Table1[[#This Row],[FECHA DE RECIBIDO]]), Table1[[#This Row],[FECHA DE RECIBIDO]]-DATE(2023,8,30), "")</f>
        <v/>
      </c>
    </row>
    <row r="863" spans="1:37" ht="16.05" customHeight="1">
      <c r="A863" s="152" t="s">
        <v>3155</v>
      </c>
      <c r="B863" s="153">
        <v>341</v>
      </c>
      <c r="C863" s="126" t="s">
        <v>2143</v>
      </c>
      <c r="D863">
        <v>570</v>
      </c>
      <c r="E863" s="126" t="s">
        <v>1592</v>
      </c>
      <c r="F863" s="125" t="s">
        <v>1593</v>
      </c>
      <c r="G863" s="125" t="s">
        <v>109</v>
      </c>
      <c r="H863">
        <v>18</v>
      </c>
      <c r="I863" s="125" t="s">
        <v>1546</v>
      </c>
      <c r="J863" s="308" t="s">
        <v>214</v>
      </c>
      <c r="K863" s="127" t="s">
        <v>3286</v>
      </c>
      <c r="L863" s="153" t="s">
        <v>110</v>
      </c>
      <c r="M863">
        <v>23</v>
      </c>
      <c r="N863" s="123">
        <v>4</v>
      </c>
      <c r="O863">
        <v>575</v>
      </c>
      <c r="P863" s="132" t="s">
        <v>77</v>
      </c>
      <c r="Q863" s="132">
        <v>20000</v>
      </c>
      <c r="R863" s="132">
        <v>3200</v>
      </c>
      <c r="S863" s="132"/>
      <c r="T863" s="156">
        <v>2133.34</v>
      </c>
      <c r="U863" s="132">
        <v>250</v>
      </c>
      <c r="V863" s="132">
        <v>20816.66</v>
      </c>
      <c r="W863">
        <v>18</v>
      </c>
      <c r="X863" s="153" t="s">
        <v>1429</v>
      </c>
      <c r="Y863" s="124" t="s">
        <v>55</v>
      </c>
      <c r="Z863" s="308">
        <v>210</v>
      </c>
      <c r="AB863" t="str">
        <f>IF(Table1[[#This Row],[TIPO2]]="costo", VLOOKUP(Table1[[#This Row],[PARTIDA PRESUPUESTAL]],'Cost Report'!G:G,1,0),"Balance")</f>
        <v>1222-009</v>
      </c>
      <c r="AC863" s="118"/>
      <c r="AD863" s="159">
        <f>+Table1[[#This Row],[SUBTOTAL]]+Table1[[#This Row],[IVA]]-Table1[[#This Row],[RET IVA]]-Table1[[#This Row],[RET ISR]]-Table1[[#This Row],[TOTAL]]</f>
        <v>0</v>
      </c>
      <c r="AE863" s="152"/>
      <c r="AF863" s="153"/>
      <c r="AG863" s="126"/>
      <c r="AH863" s="115"/>
      <c r="AK863" s="306" t="str">
        <f>IF(ISNUMBER(Table1[[#This Row],[FECHA DE RECIBIDO]]), Table1[[#This Row],[FECHA DE RECIBIDO]]-DATE(2023,8,30), "")</f>
        <v/>
      </c>
    </row>
    <row r="864" spans="1:37" ht="16.05" customHeight="1">
      <c r="A864" s="150" t="s">
        <v>3156</v>
      </c>
      <c r="B864" s="151">
        <v>342</v>
      </c>
      <c r="C864" s="126" t="s">
        <v>477</v>
      </c>
      <c r="D864">
        <v>571</v>
      </c>
      <c r="E864" s="126" t="s">
        <v>1594</v>
      </c>
      <c r="F864" s="122" t="s">
        <v>1593</v>
      </c>
      <c r="G864" s="122" t="s">
        <v>109</v>
      </c>
      <c r="H864">
        <v>21</v>
      </c>
      <c r="I864" s="122" t="s">
        <v>1546</v>
      </c>
      <c r="J864" s="307" t="s">
        <v>214</v>
      </c>
      <c r="K864" s="127" t="s">
        <v>3286</v>
      </c>
      <c r="L864" s="151" t="s">
        <v>110</v>
      </c>
      <c r="M864">
        <v>27</v>
      </c>
      <c r="N864" s="123">
        <v>5</v>
      </c>
      <c r="O864">
        <v>576</v>
      </c>
      <c r="P864" s="132" t="s">
        <v>77</v>
      </c>
      <c r="Q864" s="131">
        <v>16000</v>
      </c>
      <c r="R864" s="131">
        <v>2560</v>
      </c>
      <c r="S864" s="131"/>
      <c r="T864" s="155">
        <v>1706.66</v>
      </c>
      <c r="U864" s="131">
        <v>200</v>
      </c>
      <c r="V864" s="131">
        <v>16653.34</v>
      </c>
      <c r="W864">
        <v>21</v>
      </c>
      <c r="X864" s="151" t="s">
        <v>1431</v>
      </c>
      <c r="Y864" s="135" t="s">
        <v>55</v>
      </c>
      <c r="Z864" s="307">
        <v>210</v>
      </c>
      <c r="AB864" t="str">
        <f>IF(Table1[[#This Row],[TIPO2]]="costo", VLOOKUP(Table1[[#This Row],[PARTIDA PRESUPUESTAL]],'Cost Report'!G:G,1,0),"Balance")</f>
        <v>2014-003</v>
      </c>
      <c r="AC864" s="118"/>
      <c r="AD864" s="159">
        <f>+Table1[[#This Row],[SUBTOTAL]]+Table1[[#This Row],[IVA]]-Table1[[#This Row],[RET IVA]]-Table1[[#This Row],[RET ISR]]-Table1[[#This Row],[TOTAL]]</f>
        <v>0</v>
      </c>
      <c r="AE864" s="150"/>
      <c r="AF864" s="151"/>
      <c r="AG864" s="126"/>
      <c r="AH864" s="115"/>
      <c r="AK864" s="306" t="str">
        <f>IF(ISNUMBER(Table1[[#This Row],[FECHA DE RECIBIDO]]), Table1[[#This Row],[FECHA DE RECIBIDO]]-DATE(2023,8,30), "")</f>
        <v/>
      </c>
    </row>
    <row r="865" spans="1:37" ht="16.05" customHeight="1">
      <c r="A865" s="152" t="s">
        <v>3157</v>
      </c>
      <c r="B865" s="153">
        <v>343</v>
      </c>
      <c r="C865" s="126" t="s">
        <v>490</v>
      </c>
      <c r="D865">
        <v>572</v>
      </c>
      <c r="E865" s="126" t="s">
        <v>2010</v>
      </c>
      <c r="F865" s="125" t="s">
        <v>1589</v>
      </c>
      <c r="G865" s="125" t="s">
        <v>129</v>
      </c>
      <c r="H865">
        <v>60</v>
      </c>
      <c r="I865" s="125" t="s">
        <v>1546</v>
      </c>
      <c r="J865" s="308" t="s">
        <v>214</v>
      </c>
      <c r="K865" s="127" t="s">
        <v>3286</v>
      </c>
      <c r="L865" s="153" t="s">
        <v>110</v>
      </c>
      <c r="M865">
        <v>83</v>
      </c>
      <c r="N865" s="123">
        <v>19</v>
      </c>
      <c r="O865">
        <v>577</v>
      </c>
      <c r="P865" s="132" t="s">
        <v>77</v>
      </c>
      <c r="Q865" s="132">
        <v>37800</v>
      </c>
      <c r="R865" s="132">
        <v>6048</v>
      </c>
      <c r="S865" s="132"/>
      <c r="T865" s="156">
        <v>4032.02</v>
      </c>
      <c r="U865" s="132">
        <v>3780</v>
      </c>
      <c r="V865" s="132">
        <v>36035.980000000003</v>
      </c>
      <c r="W865">
        <v>42</v>
      </c>
      <c r="X865" s="153" t="s">
        <v>1430</v>
      </c>
      <c r="Y865" s="124" t="s">
        <v>55</v>
      </c>
      <c r="Z865" s="308">
        <v>210</v>
      </c>
      <c r="AB865" t="str">
        <f>IF(Table1[[#This Row],[TIPO2]]="costo", VLOOKUP(Table1[[#This Row],[PARTIDA PRESUPUESTAL]],'Cost Report'!G:G,1,0),"Balance")</f>
        <v>2020-003</v>
      </c>
      <c r="AC865" s="118"/>
      <c r="AD865" s="159">
        <f>+Table1[[#This Row],[SUBTOTAL]]+Table1[[#This Row],[IVA]]-Table1[[#This Row],[RET IVA]]-Table1[[#This Row],[RET ISR]]-Table1[[#This Row],[TOTAL]]</f>
        <v>0</v>
      </c>
      <c r="AE865" s="152"/>
      <c r="AF865" s="153"/>
      <c r="AG865" s="126"/>
      <c r="AH865" s="115"/>
      <c r="AK865" s="306" t="str">
        <f>IF(ISNUMBER(Table1[[#This Row],[FECHA DE RECIBIDO]]), Table1[[#This Row],[FECHA DE RECIBIDO]]-DATE(2023,8,30), "")</f>
        <v/>
      </c>
    </row>
    <row r="866" spans="1:37" ht="16.05" customHeight="1">
      <c r="A866" s="150" t="s">
        <v>3158</v>
      </c>
      <c r="B866" s="151">
        <v>344</v>
      </c>
      <c r="C866" s="126" t="s">
        <v>2416</v>
      </c>
      <c r="D866">
        <v>573</v>
      </c>
      <c r="E866" s="126" t="s">
        <v>1888</v>
      </c>
      <c r="F866" s="122" t="s">
        <v>1593</v>
      </c>
      <c r="G866" s="122" t="s">
        <v>109</v>
      </c>
      <c r="H866">
        <v>61</v>
      </c>
      <c r="I866" s="122" t="s">
        <v>1546</v>
      </c>
      <c r="J866" s="307" t="s">
        <v>214</v>
      </c>
      <c r="K866" s="127" t="s">
        <v>3286</v>
      </c>
      <c r="L866" s="151" t="s">
        <v>110</v>
      </c>
      <c r="M866">
        <v>84</v>
      </c>
      <c r="N866" s="123">
        <v>21</v>
      </c>
      <c r="O866">
        <v>578</v>
      </c>
      <c r="P866" s="132" t="s">
        <v>77</v>
      </c>
      <c r="Q866" s="131">
        <v>25000</v>
      </c>
      <c r="R866" s="131">
        <v>4000</v>
      </c>
      <c r="S866" s="131"/>
      <c r="T866" s="155">
        <v>2666.68</v>
      </c>
      <c r="U866" s="131">
        <v>312.5</v>
      </c>
      <c r="V866" s="131">
        <v>26020.82</v>
      </c>
      <c r="W866">
        <v>43</v>
      </c>
      <c r="X866" s="151" t="s">
        <v>1431</v>
      </c>
      <c r="Y866" s="135" t="s">
        <v>55</v>
      </c>
      <c r="Z866" s="307">
        <v>210</v>
      </c>
      <c r="AB866" t="str">
        <f>IF(Table1[[#This Row],[TIPO2]]="costo", VLOOKUP(Table1[[#This Row],[PARTIDA PRESUPUESTAL]],'Cost Report'!G:G,1,0),"Balance")</f>
        <v>2017-003</v>
      </c>
      <c r="AC866" s="118"/>
      <c r="AD866" s="159">
        <f>+Table1[[#This Row],[SUBTOTAL]]+Table1[[#This Row],[IVA]]-Table1[[#This Row],[RET IVA]]-Table1[[#This Row],[RET ISR]]-Table1[[#This Row],[TOTAL]]</f>
        <v>0</v>
      </c>
      <c r="AE866" s="150"/>
      <c r="AF866" s="151"/>
      <c r="AG866" s="126"/>
      <c r="AH866" s="115"/>
      <c r="AK866" s="306" t="str">
        <f>IF(ISNUMBER(Table1[[#This Row],[FECHA DE RECIBIDO]]), Table1[[#This Row],[FECHA DE RECIBIDO]]-DATE(2023,8,30), "")</f>
        <v/>
      </c>
    </row>
    <row r="867" spans="1:37" ht="16.05" customHeight="1">
      <c r="A867" s="152" t="s">
        <v>3159</v>
      </c>
      <c r="B867" s="153">
        <v>345</v>
      </c>
      <c r="C867" s="126" t="s">
        <v>245</v>
      </c>
      <c r="D867">
        <v>574</v>
      </c>
      <c r="E867" s="126" t="s">
        <v>1595</v>
      </c>
      <c r="F867" s="125" t="s">
        <v>1589</v>
      </c>
      <c r="G867" s="125" t="s">
        <v>129</v>
      </c>
      <c r="H867">
        <v>104</v>
      </c>
      <c r="I867" s="125" t="s">
        <v>1546</v>
      </c>
      <c r="J867" s="308" t="s">
        <v>214</v>
      </c>
      <c r="K867" s="127" t="s">
        <v>3286</v>
      </c>
      <c r="L867" s="153" t="s">
        <v>110</v>
      </c>
      <c r="M867">
        <v>142</v>
      </c>
      <c r="N867" s="123">
        <v>34</v>
      </c>
      <c r="O867">
        <v>579</v>
      </c>
      <c r="P867" s="132" t="s">
        <v>77</v>
      </c>
      <c r="Q867" s="132">
        <v>21000</v>
      </c>
      <c r="R867" s="132">
        <v>3360</v>
      </c>
      <c r="S867" s="132"/>
      <c r="T867" s="156">
        <v>2240</v>
      </c>
      <c r="U867" s="132">
        <v>2100</v>
      </c>
      <c r="V867" s="132">
        <v>20020</v>
      </c>
      <c r="W867">
        <v>66</v>
      </c>
      <c r="X867" s="153" t="s">
        <v>1429</v>
      </c>
      <c r="Y867" s="124" t="s">
        <v>55</v>
      </c>
      <c r="Z867" s="308">
        <v>210</v>
      </c>
      <c r="AB867" t="str">
        <f>IF(Table1[[#This Row],[TIPO2]]="costo", VLOOKUP(Table1[[#This Row],[PARTIDA PRESUPUESTAL]],'Cost Report'!G:G,1,0),"Balance")</f>
        <v>1222-003</v>
      </c>
      <c r="AC867" s="118"/>
      <c r="AD867" s="159">
        <f>+Table1[[#This Row],[SUBTOTAL]]+Table1[[#This Row],[IVA]]-Table1[[#This Row],[RET IVA]]-Table1[[#This Row],[RET ISR]]-Table1[[#This Row],[TOTAL]]</f>
        <v>0</v>
      </c>
      <c r="AE867" s="152"/>
      <c r="AF867" s="153"/>
      <c r="AG867" s="126"/>
      <c r="AH867" s="115"/>
      <c r="AK867" s="306" t="str">
        <f>IF(ISNUMBER(Table1[[#This Row],[FECHA DE RECIBIDO]]), Table1[[#This Row],[FECHA DE RECIBIDO]]-DATE(2023,8,30), "")</f>
        <v/>
      </c>
    </row>
    <row r="868" spans="1:37" ht="16.05" customHeight="1">
      <c r="A868" s="150" t="s">
        <v>3160</v>
      </c>
      <c r="B868" s="151">
        <v>346</v>
      </c>
      <c r="C868" s="126" t="s">
        <v>502</v>
      </c>
      <c r="D868">
        <v>575</v>
      </c>
      <c r="E868" s="126" t="s">
        <v>3161</v>
      </c>
      <c r="F868" s="122" t="s">
        <v>1589</v>
      </c>
      <c r="G868" s="122" t="s">
        <v>129</v>
      </c>
      <c r="H868">
        <v>196</v>
      </c>
      <c r="I868" s="122" t="s">
        <v>1546</v>
      </c>
      <c r="J868" s="307" t="s">
        <v>214</v>
      </c>
      <c r="K868" s="127" t="s">
        <v>3286</v>
      </c>
      <c r="L868" s="151" t="s">
        <v>110</v>
      </c>
      <c r="M868">
        <v>261</v>
      </c>
      <c r="N868" s="123">
        <v>61</v>
      </c>
      <c r="O868">
        <v>580</v>
      </c>
      <c r="P868" s="132" t="s">
        <v>77</v>
      </c>
      <c r="Q868" s="131">
        <v>14000</v>
      </c>
      <c r="R868" s="131">
        <v>2240</v>
      </c>
      <c r="S868" s="131"/>
      <c r="T868" s="155">
        <v>1493.34</v>
      </c>
      <c r="U868" s="131">
        <v>1400</v>
      </c>
      <c r="V868" s="131">
        <v>13346.66</v>
      </c>
      <c r="W868">
        <v>117</v>
      </c>
      <c r="X868" s="151" t="s">
        <v>1431</v>
      </c>
      <c r="Y868" s="135" t="s">
        <v>55</v>
      </c>
      <c r="Z868" s="307">
        <v>210</v>
      </c>
      <c r="AB868" t="str">
        <f>IF(Table1[[#This Row],[TIPO2]]="costo", VLOOKUP(Table1[[#This Row],[PARTIDA PRESUPUESTAL]],'Cost Report'!G:G,1,0),"Balance")</f>
        <v>2020-021</v>
      </c>
      <c r="AC868" s="118"/>
      <c r="AD868" s="159">
        <f>+Table1[[#This Row],[SUBTOTAL]]+Table1[[#This Row],[IVA]]-Table1[[#This Row],[RET IVA]]-Table1[[#This Row],[RET ISR]]-Table1[[#This Row],[TOTAL]]</f>
        <v>0</v>
      </c>
      <c r="AE868" s="150"/>
      <c r="AF868" s="151"/>
      <c r="AG868" s="126"/>
      <c r="AH868" s="115"/>
      <c r="AK868" s="306" t="str">
        <f>IF(ISNUMBER(Table1[[#This Row],[FECHA DE RECIBIDO]]), Table1[[#This Row],[FECHA DE RECIBIDO]]-DATE(2023,8,30), "")</f>
        <v/>
      </c>
    </row>
    <row r="869" spans="1:37" ht="16.05" customHeight="1">
      <c r="A869" s="152" t="s">
        <v>3162</v>
      </c>
      <c r="B869" s="153">
        <v>347</v>
      </c>
      <c r="C869" s="126" t="s">
        <v>481</v>
      </c>
      <c r="D869">
        <v>576</v>
      </c>
      <c r="E869" s="126" t="s">
        <v>1613</v>
      </c>
      <c r="F869" s="125" t="s">
        <v>1593</v>
      </c>
      <c r="G869" s="125" t="s">
        <v>109</v>
      </c>
      <c r="H869">
        <v>197</v>
      </c>
      <c r="I869" s="125" t="s">
        <v>1546</v>
      </c>
      <c r="J869" s="308" t="s">
        <v>214</v>
      </c>
      <c r="K869" s="127" t="s">
        <v>3286</v>
      </c>
      <c r="L869" s="153" t="s">
        <v>110</v>
      </c>
      <c r="M869">
        <v>262</v>
      </c>
      <c r="N869" s="123">
        <v>62</v>
      </c>
      <c r="O869">
        <v>581</v>
      </c>
      <c r="P869" s="132" t="s">
        <v>77</v>
      </c>
      <c r="Q869" s="132">
        <v>36000</v>
      </c>
      <c r="R869" s="132">
        <v>5760</v>
      </c>
      <c r="S869" s="132"/>
      <c r="T869" s="156">
        <v>3840</v>
      </c>
      <c r="U869" s="132">
        <v>450</v>
      </c>
      <c r="V869" s="132">
        <v>37470</v>
      </c>
      <c r="W869">
        <v>118</v>
      </c>
      <c r="X869" s="153" t="s">
        <v>1429</v>
      </c>
      <c r="Y869" s="124" t="s">
        <v>55</v>
      </c>
      <c r="Z869" s="308">
        <v>210</v>
      </c>
      <c r="AB869" t="str">
        <f>IF(Table1[[#This Row],[TIPO2]]="costo", VLOOKUP(Table1[[#This Row],[PARTIDA PRESUPUESTAL]],'Cost Report'!G:G,1,0),"Balance")</f>
        <v>2014-009</v>
      </c>
      <c r="AC869" s="118"/>
      <c r="AD869" s="159">
        <f>+Table1[[#This Row],[SUBTOTAL]]+Table1[[#This Row],[IVA]]-Table1[[#This Row],[RET IVA]]-Table1[[#This Row],[RET ISR]]-Table1[[#This Row],[TOTAL]]</f>
        <v>0</v>
      </c>
      <c r="AE869" s="152"/>
      <c r="AF869" s="153"/>
      <c r="AG869" s="126"/>
      <c r="AH869" s="115"/>
      <c r="AK869" s="306" t="str">
        <f>IF(ISNUMBER(Table1[[#This Row],[FECHA DE RECIBIDO]]), Table1[[#This Row],[FECHA DE RECIBIDO]]-DATE(2023,8,30), "")</f>
        <v/>
      </c>
    </row>
    <row r="870" spans="1:37" ht="16.05" customHeight="1">
      <c r="A870" s="150" t="s">
        <v>3163</v>
      </c>
      <c r="B870" s="151">
        <v>348</v>
      </c>
      <c r="C870" s="126" t="s">
        <v>481</v>
      </c>
      <c r="D870">
        <v>577</v>
      </c>
      <c r="E870" s="126" t="s">
        <v>1613</v>
      </c>
      <c r="F870" s="122" t="s">
        <v>1593</v>
      </c>
      <c r="G870" s="122" t="s">
        <v>109</v>
      </c>
      <c r="H870">
        <v>197</v>
      </c>
      <c r="I870" s="122" t="s">
        <v>1546</v>
      </c>
      <c r="J870" s="307" t="s">
        <v>214</v>
      </c>
      <c r="K870" s="127" t="s">
        <v>3286</v>
      </c>
      <c r="L870" s="151" t="s">
        <v>110</v>
      </c>
      <c r="M870">
        <v>262</v>
      </c>
      <c r="N870" s="123">
        <v>62</v>
      </c>
      <c r="O870">
        <v>582</v>
      </c>
      <c r="P870" s="132" t="s">
        <v>77</v>
      </c>
      <c r="Q870" s="131">
        <v>27000</v>
      </c>
      <c r="R870" s="131">
        <v>4320</v>
      </c>
      <c r="S870" s="131"/>
      <c r="T870" s="155">
        <v>2880</v>
      </c>
      <c r="U870" s="131">
        <v>337.5</v>
      </c>
      <c r="V870" s="131">
        <v>28102.5</v>
      </c>
      <c r="W870">
        <v>118</v>
      </c>
      <c r="X870" s="151" t="s">
        <v>1429</v>
      </c>
      <c r="Y870" s="135" t="s">
        <v>55</v>
      </c>
      <c r="Z870" s="307">
        <v>210</v>
      </c>
      <c r="AB870" t="str">
        <f>IF(Table1[[#This Row],[TIPO2]]="costo", VLOOKUP(Table1[[#This Row],[PARTIDA PRESUPUESTAL]],'Cost Report'!G:G,1,0),"Balance")</f>
        <v>2014-009</v>
      </c>
      <c r="AC870" s="118"/>
      <c r="AD870" s="159">
        <f>+Table1[[#This Row],[SUBTOTAL]]+Table1[[#This Row],[IVA]]-Table1[[#This Row],[RET IVA]]-Table1[[#This Row],[RET ISR]]-Table1[[#This Row],[TOTAL]]</f>
        <v>0</v>
      </c>
      <c r="AE870" s="150"/>
      <c r="AF870" s="151"/>
      <c r="AG870" s="126"/>
      <c r="AH870" s="115"/>
      <c r="AK870" s="306" t="str">
        <f>IF(ISNUMBER(Table1[[#This Row],[FECHA DE RECIBIDO]]), Table1[[#This Row],[FECHA DE RECIBIDO]]-DATE(2023,8,30), "")</f>
        <v/>
      </c>
    </row>
    <row r="871" spans="1:37" ht="16.05" customHeight="1">
      <c r="A871" s="152" t="s">
        <v>3164</v>
      </c>
      <c r="B871" s="153">
        <v>349</v>
      </c>
      <c r="C871" s="126" t="s">
        <v>522</v>
      </c>
      <c r="D871">
        <v>578</v>
      </c>
      <c r="E871" s="126" t="s">
        <v>3165</v>
      </c>
      <c r="F871" s="125" t="s">
        <v>1589</v>
      </c>
      <c r="G871" s="125" t="s">
        <v>129</v>
      </c>
      <c r="H871">
        <v>198</v>
      </c>
      <c r="I871" s="125" t="s">
        <v>1546</v>
      </c>
      <c r="J871" s="308" t="s">
        <v>214</v>
      </c>
      <c r="K871" s="127" t="s">
        <v>3286</v>
      </c>
      <c r="L871" s="153" t="s">
        <v>110</v>
      </c>
      <c r="M871">
        <v>263</v>
      </c>
      <c r="N871" s="123">
        <v>63</v>
      </c>
      <c r="O871">
        <v>583</v>
      </c>
      <c r="P871" s="132" t="s">
        <v>77</v>
      </c>
      <c r="Q871" s="132">
        <v>24000</v>
      </c>
      <c r="R871" s="132">
        <v>3840</v>
      </c>
      <c r="S871" s="132"/>
      <c r="T871" s="156">
        <v>2559.98</v>
      </c>
      <c r="U871" s="132">
        <v>2400</v>
      </c>
      <c r="V871" s="132">
        <v>22880.02</v>
      </c>
      <c r="W871">
        <v>119</v>
      </c>
      <c r="X871" s="153" t="s">
        <v>1429</v>
      </c>
      <c r="Y871" s="124" t="s">
        <v>55</v>
      </c>
      <c r="Z871" s="308">
        <v>210</v>
      </c>
      <c r="AB871" t="str">
        <f>IF(Table1[[#This Row],[TIPO2]]="costo", VLOOKUP(Table1[[#This Row],[PARTIDA PRESUPUESTAL]],'Cost Report'!G:G,1,0),"Balance")</f>
        <v>2045-003</v>
      </c>
      <c r="AC871" s="118"/>
      <c r="AD871" s="159">
        <f>+Table1[[#This Row],[SUBTOTAL]]+Table1[[#This Row],[IVA]]-Table1[[#This Row],[RET IVA]]-Table1[[#This Row],[RET ISR]]-Table1[[#This Row],[TOTAL]]</f>
        <v>0</v>
      </c>
      <c r="AE871" s="152"/>
      <c r="AF871" s="153"/>
      <c r="AG871" s="126"/>
      <c r="AH871" s="115"/>
      <c r="AK871" s="306" t="str">
        <f>IF(ISNUMBER(Table1[[#This Row],[FECHA DE RECIBIDO]]), Table1[[#This Row],[FECHA DE RECIBIDO]]-DATE(2023,8,30), "")</f>
        <v/>
      </c>
    </row>
    <row r="872" spans="1:37" ht="16.05" customHeight="1">
      <c r="A872" s="150" t="s">
        <v>3166</v>
      </c>
      <c r="B872" s="151">
        <v>350</v>
      </c>
      <c r="C872" s="126" t="s">
        <v>498</v>
      </c>
      <c r="D872">
        <v>579</v>
      </c>
      <c r="E872" s="126" t="s">
        <v>3167</v>
      </c>
      <c r="F872" s="122" t="s">
        <v>1593</v>
      </c>
      <c r="G872" s="122" t="s">
        <v>109</v>
      </c>
      <c r="H872">
        <v>199</v>
      </c>
      <c r="I872" s="122" t="s">
        <v>1546</v>
      </c>
      <c r="J872" s="307" t="s">
        <v>214</v>
      </c>
      <c r="K872" s="127" t="s">
        <v>3286</v>
      </c>
      <c r="L872" s="151" t="s">
        <v>110</v>
      </c>
      <c r="M872">
        <v>264</v>
      </c>
      <c r="N872" s="123">
        <v>64</v>
      </c>
      <c r="O872">
        <v>584</v>
      </c>
      <c r="P872" s="132" t="s">
        <v>77</v>
      </c>
      <c r="Q872" s="131">
        <v>14000</v>
      </c>
      <c r="R872" s="131">
        <v>2240</v>
      </c>
      <c r="S872" s="131"/>
      <c r="T872" s="155">
        <v>1493.34</v>
      </c>
      <c r="U872" s="131">
        <v>175</v>
      </c>
      <c r="V872" s="131">
        <v>14571.66</v>
      </c>
      <c r="W872">
        <v>120</v>
      </c>
      <c r="X872" s="151" t="s">
        <v>1429</v>
      </c>
      <c r="Y872" s="135" t="s">
        <v>55</v>
      </c>
      <c r="Z872" s="307">
        <v>210</v>
      </c>
      <c r="AB872" t="str">
        <f>IF(Table1[[#This Row],[TIPO2]]="costo", VLOOKUP(Table1[[#This Row],[PARTIDA PRESUPUESTAL]],'Cost Report'!G:G,1,0),"Balance")</f>
        <v>2020-015</v>
      </c>
      <c r="AC872" s="118"/>
      <c r="AD872" s="159">
        <f>+Table1[[#This Row],[SUBTOTAL]]+Table1[[#This Row],[IVA]]-Table1[[#This Row],[RET IVA]]-Table1[[#This Row],[RET ISR]]-Table1[[#This Row],[TOTAL]]</f>
        <v>0</v>
      </c>
      <c r="AE872" s="150"/>
      <c r="AF872" s="151"/>
      <c r="AG872" s="126"/>
      <c r="AH872" s="115"/>
      <c r="AK872" s="306" t="str">
        <f>IF(ISNUMBER(Table1[[#This Row],[FECHA DE RECIBIDO]]), Table1[[#This Row],[FECHA DE RECIBIDO]]-DATE(2023,8,30), "")</f>
        <v/>
      </c>
    </row>
    <row r="873" spans="1:37" ht="16.05" customHeight="1">
      <c r="A873" s="152" t="s">
        <v>3168</v>
      </c>
      <c r="B873" s="153">
        <v>351</v>
      </c>
      <c r="C873" s="126" t="s">
        <v>484</v>
      </c>
      <c r="D873">
        <v>580</v>
      </c>
      <c r="E873" s="126" t="s">
        <v>3169</v>
      </c>
      <c r="F873" s="125" t="s">
        <v>1593</v>
      </c>
      <c r="G873" s="125" t="s">
        <v>109</v>
      </c>
      <c r="H873">
        <v>200</v>
      </c>
      <c r="I873" s="125" t="s">
        <v>1546</v>
      </c>
      <c r="J873" s="308" t="s">
        <v>214</v>
      </c>
      <c r="K873" s="127" t="s">
        <v>3286</v>
      </c>
      <c r="L873" s="153" t="s">
        <v>110</v>
      </c>
      <c r="M873">
        <v>265</v>
      </c>
      <c r="N873" s="123">
        <v>65</v>
      </c>
      <c r="O873">
        <v>585</v>
      </c>
      <c r="P873" s="132" t="s">
        <v>77</v>
      </c>
      <c r="Q873" s="132">
        <v>12400</v>
      </c>
      <c r="R873" s="132">
        <v>1984</v>
      </c>
      <c r="S873" s="132"/>
      <c r="T873" s="156">
        <v>1322.67</v>
      </c>
      <c r="U873" s="132">
        <v>155</v>
      </c>
      <c r="V873" s="132">
        <v>12906.33</v>
      </c>
      <c r="W873">
        <v>121</v>
      </c>
      <c r="X873" s="153" t="s">
        <v>1429</v>
      </c>
      <c r="Y873" s="124" t="s">
        <v>55</v>
      </c>
      <c r="Z873" s="308">
        <v>210</v>
      </c>
      <c r="AB873" t="str">
        <f>IF(Table1[[#This Row],[TIPO2]]="costo", VLOOKUP(Table1[[#This Row],[PARTIDA PRESUPUESTAL]],'Cost Report'!G:G,1,0),"Balance")</f>
        <v>2019-003</v>
      </c>
      <c r="AC873" s="118"/>
      <c r="AD873" s="159">
        <f>+Table1[[#This Row],[SUBTOTAL]]+Table1[[#This Row],[IVA]]-Table1[[#This Row],[RET IVA]]-Table1[[#This Row],[RET ISR]]-Table1[[#This Row],[TOTAL]]</f>
        <v>0</v>
      </c>
      <c r="AE873" s="152"/>
      <c r="AF873" s="153"/>
      <c r="AG873" s="126"/>
      <c r="AH873" s="115"/>
      <c r="AK873" s="306" t="str">
        <f>IF(ISNUMBER(Table1[[#This Row],[FECHA DE RECIBIDO]]), Table1[[#This Row],[FECHA DE RECIBIDO]]-DATE(2023,8,30), "")</f>
        <v/>
      </c>
    </row>
    <row r="874" spans="1:37" ht="16.05" customHeight="1">
      <c r="A874" s="150" t="s">
        <v>3170</v>
      </c>
      <c r="B874" s="151">
        <v>352</v>
      </c>
      <c r="C874" s="126" t="s">
        <v>2890</v>
      </c>
      <c r="D874">
        <v>581</v>
      </c>
      <c r="E874" s="126" t="s">
        <v>3171</v>
      </c>
      <c r="F874" s="122" t="s">
        <v>1602</v>
      </c>
      <c r="G874" s="122" t="s">
        <v>1617</v>
      </c>
      <c r="H874">
        <v>201</v>
      </c>
      <c r="I874" s="122" t="s">
        <v>1546</v>
      </c>
      <c r="J874" s="307" t="s">
        <v>214</v>
      </c>
      <c r="K874" s="127" t="s">
        <v>3286</v>
      </c>
      <c r="L874" s="151" t="s">
        <v>110</v>
      </c>
      <c r="M874">
        <v>266</v>
      </c>
      <c r="N874" s="123">
        <v>66</v>
      </c>
      <c r="O874">
        <v>586</v>
      </c>
      <c r="P874" s="132" t="s">
        <v>77</v>
      </c>
      <c r="Q874" s="131">
        <v>10000</v>
      </c>
      <c r="R874" s="131">
        <v>1600</v>
      </c>
      <c r="S874" s="131"/>
      <c r="T874" s="155">
        <v>1066.68</v>
      </c>
      <c r="U874" s="131">
        <v>0</v>
      </c>
      <c r="V874" s="131">
        <v>10533.32</v>
      </c>
      <c r="W874">
        <v>122</v>
      </c>
      <c r="X874" s="151" t="s">
        <v>1434</v>
      </c>
      <c r="Y874" s="135" t="s">
        <v>55</v>
      </c>
      <c r="Z874" s="307">
        <v>210</v>
      </c>
      <c r="AB874" t="str">
        <f>IF(Table1[[#This Row],[TIPO2]]="costo", VLOOKUP(Table1[[#This Row],[PARTIDA PRESUPUESTAL]],'Cost Report'!G:G,1,0),"Balance")</f>
        <v>3683-127</v>
      </c>
      <c r="AC874" s="118"/>
      <c r="AD874" s="159">
        <f>+Table1[[#This Row],[SUBTOTAL]]+Table1[[#This Row],[IVA]]-Table1[[#This Row],[RET IVA]]-Table1[[#This Row],[RET ISR]]-Table1[[#This Row],[TOTAL]]</f>
        <v>0</v>
      </c>
      <c r="AE874" s="150"/>
      <c r="AF874" s="151"/>
      <c r="AG874" s="126"/>
      <c r="AH874" s="115"/>
      <c r="AK874" s="306" t="str">
        <f>IF(ISNUMBER(Table1[[#This Row],[FECHA DE RECIBIDO]]), Table1[[#This Row],[FECHA DE RECIBIDO]]-DATE(2023,8,30), "")</f>
        <v/>
      </c>
    </row>
    <row r="875" spans="1:37" ht="16.05" customHeight="1">
      <c r="A875" s="152" t="s">
        <v>3172</v>
      </c>
      <c r="B875" s="153">
        <v>353</v>
      </c>
      <c r="C875" s="126" t="s">
        <v>444</v>
      </c>
      <c r="D875">
        <v>582</v>
      </c>
      <c r="E875" s="126" t="s">
        <v>1595</v>
      </c>
      <c r="F875" s="125" t="s">
        <v>1589</v>
      </c>
      <c r="G875" s="125" t="s">
        <v>129</v>
      </c>
      <c r="H875">
        <v>7</v>
      </c>
      <c r="I875" s="125" t="s">
        <v>1546</v>
      </c>
      <c r="J875" s="308" t="s">
        <v>214</v>
      </c>
      <c r="K875" s="127" t="s">
        <v>3286</v>
      </c>
      <c r="L875" s="153" t="s">
        <v>110</v>
      </c>
      <c r="M875">
        <v>24</v>
      </c>
      <c r="N875" s="123">
        <v>6</v>
      </c>
      <c r="O875">
        <v>587</v>
      </c>
      <c r="P875" s="132" t="s">
        <v>77</v>
      </c>
      <c r="Q875" s="132">
        <v>52500</v>
      </c>
      <c r="R875" s="132">
        <v>8400</v>
      </c>
      <c r="S875" s="132"/>
      <c r="T875" s="156">
        <v>5600.02</v>
      </c>
      <c r="U875" s="132">
        <v>5250</v>
      </c>
      <c r="V875" s="132">
        <v>50049.979999999996</v>
      </c>
      <c r="W875">
        <v>7</v>
      </c>
      <c r="X875" s="153" t="s">
        <v>1431</v>
      </c>
      <c r="Y875" s="124" t="s">
        <v>55</v>
      </c>
      <c r="Z875" s="308">
        <v>210</v>
      </c>
      <c r="AB875" t="str">
        <f>IF(Table1[[#This Row],[TIPO2]]="costo", VLOOKUP(Table1[[#This Row],[PARTIDA PRESUPUESTAL]],'Cost Report'!G:G,1,0),"Balance")</f>
        <v>2004-004</v>
      </c>
      <c r="AC875" s="118"/>
      <c r="AD875" s="159">
        <f>+Table1[[#This Row],[SUBTOTAL]]+Table1[[#This Row],[IVA]]-Table1[[#This Row],[RET IVA]]-Table1[[#This Row],[RET ISR]]-Table1[[#This Row],[TOTAL]]</f>
        <v>0</v>
      </c>
      <c r="AE875" s="152"/>
      <c r="AF875" s="153"/>
      <c r="AG875" s="126"/>
      <c r="AH875" s="115"/>
      <c r="AK875" s="306" t="str">
        <f>IF(ISNUMBER(Table1[[#This Row],[FECHA DE RECIBIDO]]), Table1[[#This Row],[FECHA DE RECIBIDO]]-DATE(2023,8,30), "")</f>
        <v/>
      </c>
    </row>
    <row r="876" spans="1:37" ht="16.05" customHeight="1">
      <c r="A876" s="150" t="s">
        <v>3173</v>
      </c>
      <c r="B876" s="151">
        <v>354</v>
      </c>
      <c r="C876" s="126" t="s">
        <v>447</v>
      </c>
      <c r="D876">
        <v>583</v>
      </c>
      <c r="E876" s="126" t="s">
        <v>1577</v>
      </c>
      <c r="F876" s="122" t="s">
        <v>1593</v>
      </c>
      <c r="G876" s="122" t="s">
        <v>109</v>
      </c>
      <c r="H876">
        <v>19</v>
      </c>
      <c r="I876" s="122" t="s">
        <v>1546</v>
      </c>
      <c r="J876" s="307" t="s">
        <v>214</v>
      </c>
      <c r="K876" s="127" t="s">
        <v>3286</v>
      </c>
      <c r="L876" s="151" t="s">
        <v>110</v>
      </c>
      <c r="M876">
        <v>25</v>
      </c>
      <c r="N876" s="123">
        <v>7</v>
      </c>
      <c r="O876">
        <v>588</v>
      </c>
      <c r="P876" s="132" t="s">
        <v>77</v>
      </c>
      <c r="Q876" s="131">
        <v>31500</v>
      </c>
      <c r="R876" s="131">
        <v>5040</v>
      </c>
      <c r="S876" s="131"/>
      <c r="T876" s="155">
        <v>3360.1</v>
      </c>
      <c r="U876" s="131">
        <v>393.76</v>
      </c>
      <c r="V876" s="131">
        <v>32786.14</v>
      </c>
      <c r="W876">
        <v>19</v>
      </c>
      <c r="X876" s="151" t="s">
        <v>1429</v>
      </c>
      <c r="Y876" s="135" t="s">
        <v>55</v>
      </c>
      <c r="Z876" s="307">
        <v>210</v>
      </c>
      <c r="AB876" t="str">
        <f>IF(Table1[[#This Row],[TIPO2]]="costo", VLOOKUP(Table1[[#This Row],[PARTIDA PRESUPUESTAL]],'Cost Report'!G:G,1,0),"Balance")</f>
        <v>2005-004</v>
      </c>
      <c r="AC876" s="118"/>
      <c r="AD876" s="159">
        <f>+Table1[[#This Row],[SUBTOTAL]]+Table1[[#This Row],[IVA]]-Table1[[#This Row],[RET IVA]]-Table1[[#This Row],[RET ISR]]-Table1[[#This Row],[TOTAL]]</f>
        <v>0</v>
      </c>
      <c r="AE876" s="150"/>
      <c r="AF876" s="151"/>
      <c r="AG876" s="126"/>
      <c r="AH876" s="115"/>
      <c r="AK876" s="306" t="str">
        <f>IF(ISNUMBER(Table1[[#This Row],[FECHA DE RECIBIDO]]), Table1[[#This Row],[FECHA DE RECIBIDO]]-DATE(2023,8,30), "")</f>
        <v/>
      </c>
    </row>
    <row r="877" spans="1:37" ht="16.05" customHeight="1">
      <c r="A877" s="152" t="s">
        <v>3174</v>
      </c>
      <c r="B877" s="153">
        <v>355</v>
      </c>
      <c r="C877" s="126" t="s">
        <v>440</v>
      </c>
      <c r="D877">
        <v>584</v>
      </c>
      <c r="E877" s="126" t="s">
        <v>1889</v>
      </c>
      <c r="F877" s="125" t="s">
        <v>1589</v>
      </c>
      <c r="G877" s="125" t="s">
        <v>129</v>
      </c>
      <c r="H877">
        <v>62</v>
      </c>
      <c r="I877" s="125" t="s">
        <v>1546</v>
      </c>
      <c r="J877" s="308" t="s">
        <v>214</v>
      </c>
      <c r="K877" s="127" t="s">
        <v>3286</v>
      </c>
      <c r="L877" s="153" t="s">
        <v>110</v>
      </c>
      <c r="M877">
        <v>85</v>
      </c>
      <c r="N877" s="123">
        <v>22</v>
      </c>
      <c r="O877">
        <v>589</v>
      </c>
      <c r="P877" s="132" t="s">
        <v>77</v>
      </c>
      <c r="Q877" s="132">
        <v>52500</v>
      </c>
      <c r="R877" s="132">
        <v>8400</v>
      </c>
      <c r="S877" s="132"/>
      <c r="T877" s="156">
        <v>5600.02</v>
      </c>
      <c r="U877" s="132">
        <v>5250</v>
      </c>
      <c r="V877" s="132">
        <v>50049.979999999996</v>
      </c>
      <c r="W877">
        <v>44</v>
      </c>
      <c r="X877" s="153" t="s">
        <v>1434</v>
      </c>
      <c r="Y877" s="124" t="s">
        <v>55</v>
      </c>
      <c r="Z877" s="308">
        <v>210</v>
      </c>
      <c r="AB877" t="str">
        <f>IF(Table1[[#This Row],[TIPO2]]="costo", VLOOKUP(Table1[[#This Row],[PARTIDA PRESUPUESTAL]],'Cost Report'!G:G,1,0),"Balance")</f>
        <v>2003-003</v>
      </c>
      <c r="AC877" s="118"/>
      <c r="AD877" s="159">
        <f>+Table1[[#This Row],[SUBTOTAL]]+Table1[[#This Row],[IVA]]-Table1[[#This Row],[RET IVA]]-Table1[[#This Row],[RET ISR]]-Table1[[#This Row],[TOTAL]]</f>
        <v>0</v>
      </c>
      <c r="AE877" s="152"/>
      <c r="AF877" s="153"/>
      <c r="AG877" s="126"/>
      <c r="AH877" s="115"/>
      <c r="AK877" s="306" t="str">
        <f>IF(ISNUMBER(Table1[[#This Row],[FECHA DE RECIBIDO]]), Table1[[#This Row],[FECHA DE RECIBIDO]]-DATE(2023,8,30), "")</f>
        <v/>
      </c>
    </row>
    <row r="878" spans="1:37" ht="16.05" customHeight="1">
      <c r="A878" s="150" t="s">
        <v>3175</v>
      </c>
      <c r="B878" s="151">
        <v>356</v>
      </c>
      <c r="C878" s="126" t="s">
        <v>450</v>
      </c>
      <c r="D878">
        <v>585</v>
      </c>
      <c r="E878" s="126" t="s">
        <v>1890</v>
      </c>
      <c r="F878" s="122" t="s">
        <v>1593</v>
      </c>
      <c r="G878" s="122" t="s">
        <v>109</v>
      </c>
      <c r="H878">
        <v>63</v>
      </c>
      <c r="I878" s="122" t="s">
        <v>1546</v>
      </c>
      <c r="J878" s="307" t="s">
        <v>214</v>
      </c>
      <c r="K878" s="127" t="s">
        <v>3286</v>
      </c>
      <c r="L878" s="151" t="s">
        <v>110</v>
      </c>
      <c r="M878">
        <v>86</v>
      </c>
      <c r="N878" s="123">
        <v>23</v>
      </c>
      <c r="O878">
        <v>590</v>
      </c>
      <c r="P878" s="132" t="s">
        <v>77</v>
      </c>
      <c r="Q878" s="131">
        <v>30000</v>
      </c>
      <c r="R878" s="131">
        <v>4800</v>
      </c>
      <c r="S878" s="131"/>
      <c r="T878" s="155">
        <v>3200</v>
      </c>
      <c r="U878" s="131">
        <v>375</v>
      </c>
      <c r="V878" s="131">
        <v>31225</v>
      </c>
      <c r="W878">
        <v>45</v>
      </c>
      <c r="X878" s="151" t="s">
        <v>1429</v>
      </c>
      <c r="Y878" s="135" t="s">
        <v>55</v>
      </c>
      <c r="Z878" s="307">
        <v>210</v>
      </c>
      <c r="AB878" t="str">
        <f>IF(Table1[[#This Row],[TIPO2]]="costo", VLOOKUP(Table1[[#This Row],[PARTIDA PRESUPUESTAL]],'Cost Report'!G:G,1,0),"Balance")</f>
        <v>2005-009</v>
      </c>
      <c r="AC878" s="118"/>
      <c r="AD878" s="159">
        <f>+Table1[[#This Row],[SUBTOTAL]]+Table1[[#This Row],[IVA]]-Table1[[#This Row],[RET IVA]]-Table1[[#This Row],[RET ISR]]-Table1[[#This Row],[TOTAL]]</f>
        <v>0</v>
      </c>
      <c r="AE878" s="150"/>
      <c r="AF878" s="151"/>
      <c r="AG878" s="126"/>
      <c r="AH878" s="115"/>
      <c r="AK878" s="306" t="str">
        <f>IF(ISNUMBER(Table1[[#This Row],[FECHA DE RECIBIDO]]), Table1[[#This Row],[FECHA DE RECIBIDO]]-DATE(2023,8,30), "")</f>
        <v/>
      </c>
    </row>
    <row r="879" spans="1:37" ht="16.05" customHeight="1">
      <c r="A879" s="152" t="s">
        <v>3176</v>
      </c>
      <c r="B879" s="153">
        <v>357</v>
      </c>
      <c r="C879" s="126" t="s">
        <v>2376</v>
      </c>
      <c r="D879">
        <v>586</v>
      </c>
      <c r="E879" s="126" t="s">
        <v>2012</v>
      </c>
      <c r="F879" s="125" t="s">
        <v>1589</v>
      </c>
      <c r="G879" s="125" t="s">
        <v>129</v>
      </c>
      <c r="H879">
        <v>105</v>
      </c>
      <c r="I879" s="125" t="s">
        <v>1546</v>
      </c>
      <c r="J879" s="308" t="s">
        <v>214</v>
      </c>
      <c r="K879" s="127" t="s">
        <v>3286</v>
      </c>
      <c r="L879" s="153" t="s">
        <v>110</v>
      </c>
      <c r="M879">
        <v>143</v>
      </c>
      <c r="N879" s="123">
        <v>35</v>
      </c>
      <c r="O879">
        <v>591</v>
      </c>
      <c r="P879" s="132" t="s">
        <v>77</v>
      </c>
      <c r="Q879" s="132">
        <v>50000</v>
      </c>
      <c r="R879" s="132">
        <v>8000</v>
      </c>
      <c r="S879" s="132"/>
      <c r="T879" s="156">
        <v>5333.34</v>
      </c>
      <c r="U879" s="132">
        <v>5000</v>
      </c>
      <c r="V879" s="132">
        <v>47666.66</v>
      </c>
      <c r="W879">
        <v>67</v>
      </c>
      <c r="X879" s="153" t="s">
        <v>1431</v>
      </c>
      <c r="Y879" s="124" t="s">
        <v>55</v>
      </c>
      <c r="Z879" s="308">
        <v>210</v>
      </c>
      <c r="AB879" t="str">
        <f>IF(Table1[[#This Row],[TIPO2]]="costo", VLOOKUP(Table1[[#This Row],[PARTIDA PRESUPUESTAL]],'Cost Report'!G:G,1,0),"Balance")</f>
        <v>2003-013</v>
      </c>
      <c r="AC879" s="118"/>
      <c r="AD879" s="159">
        <f>+Table1[[#This Row],[SUBTOTAL]]+Table1[[#This Row],[IVA]]-Table1[[#This Row],[RET IVA]]-Table1[[#This Row],[RET ISR]]-Table1[[#This Row],[TOTAL]]</f>
        <v>0</v>
      </c>
      <c r="AE879" s="152"/>
      <c r="AF879" s="153"/>
      <c r="AG879" s="126"/>
      <c r="AH879" s="115"/>
      <c r="AK879" s="306" t="str">
        <f>IF(ISNUMBER(Table1[[#This Row],[FECHA DE RECIBIDO]]), Table1[[#This Row],[FECHA DE RECIBIDO]]-DATE(2023,8,30), "")</f>
        <v/>
      </c>
    </row>
    <row r="880" spans="1:37" ht="16.05" customHeight="1">
      <c r="A880" s="150" t="s">
        <v>3177</v>
      </c>
      <c r="B880" s="151">
        <v>358</v>
      </c>
      <c r="C880" s="126" t="s">
        <v>2379</v>
      </c>
      <c r="D880">
        <v>587</v>
      </c>
      <c r="E880" s="126" t="s">
        <v>1622</v>
      </c>
      <c r="F880" s="122" t="s">
        <v>1589</v>
      </c>
      <c r="G880" s="122" t="s">
        <v>129</v>
      </c>
      <c r="H880">
        <v>106</v>
      </c>
      <c r="I880" s="122" t="s">
        <v>1546</v>
      </c>
      <c r="J880" s="307" t="s">
        <v>214</v>
      </c>
      <c r="K880" s="127" t="s">
        <v>3286</v>
      </c>
      <c r="L880" s="151" t="s">
        <v>110</v>
      </c>
      <c r="M880">
        <v>144</v>
      </c>
      <c r="N880" s="123">
        <v>36</v>
      </c>
      <c r="O880">
        <v>592</v>
      </c>
      <c r="P880" s="132" t="s">
        <v>77</v>
      </c>
      <c r="Q880" s="131">
        <v>30000</v>
      </c>
      <c r="R880" s="131">
        <v>4800</v>
      </c>
      <c r="S880" s="131"/>
      <c r="T880" s="155">
        <v>3200</v>
      </c>
      <c r="U880" s="131">
        <v>3000</v>
      </c>
      <c r="V880" s="131">
        <v>28600</v>
      </c>
      <c r="W880">
        <v>68</v>
      </c>
      <c r="X880" s="151" t="s">
        <v>1429</v>
      </c>
      <c r="Y880" s="135" t="s">
        <v>55</v>
      </c>
      <c r="Z880" s="307">
        <v>210</v>
      </c>
      <c r="AB880" t="str">
        <f>IF(Table1[[#This Row],[TIPO2]]="costo", VLOOKUP(Table1[[#This Row],[PARTIDA PRESUPUESTAL]],'Cost Report'!G:G,1,0),"Balance")</f>
        <v>2005-014</v>
      </c>
      <c r="AC880" s="118"/>
      <c r="AD880" s="159">
        <f>+Table1[[#This Row],[SUBTOTAL]]+Table1[[#This Row],[IVA]]-Table1[[#This Row],[RET IVA]]-Table1[[#This Row],[RET ISR]]-Table1[[#This Row],[TOTAL]]</f>
        <v>0</v>
      </c>
      <c r="AE880" s="150"/>
      <c r="AF880" s="151"/>
      <c r="AG880" s="126"/>
      <c r="AH880" s="115"/>
      <c r="AK880" s="306" t="str">
        <f>IF(ISNUMBER(Table1[[#This Row],[FECHA DE RECIBIDO]]), Table1[[#This Row],[FECHA DE RECIBIDO]]-DATE(2023,8,30), "")</f>
        <v/>
      </c>
    </row>
    <row r="881" spans="1:37" ht="16.05" customHeight="1">
      <c r="A881" s="152" t="s">
        <v>3178</v>
      </c>
      <c r="B881" s="153">
        <v>359</v>
      </c>
      <c r="C881" s="126" t="s">
        <v>455</v>
      </c>
      <c r="D881">
        <v>588</v>
      </c>
      <c r="E881" s="126" t="s">
        <v>3179</v>
      </c>
      <c r="F881" s="125" t="s">
        <v>1589</v>
      </c>
      <c r="G881" s="125" t="s">
        <v>129</v>
      </c>
      <c r="H881">
        <v>202</v>
      </c>
      <c r="I881" s="125" t="s">
        <v>1546</v>
      </c>
      <c r="J881" s="308" t="s">
        <v>214</v>
      </c>
      <c r="K881" s="127" t="s">
        <v>3286</v>
      </c>
      <c r="L881" s="153" t="s">
        <v>110</v>
      </c>
      <c r="M881">
        <v>267</v>
      </c>
      <c r="N881" s="123">
        <v>67</v>
      </c>
      <c r="O881">
        <v>593</v>
      </c>
      <c r="P881" s="132" t="s">
        <v>77</v>
      </c>
      <c r="Q881" s="132">
        <v>15000</v>
      </c>
      <c r="R881" s="132">
        <v>2400</v>
      </c>
      <c r="S881" s="132"/>
      <c r="T881" s="156">
        <v>1600</v>
      </c>
      <c r="U881" s="132">
        <v>1500</v>
      </c>
      <c r="V881" s="132">
        <v>14300</v>
      </c>
      <c r="W881">
        <v>123</v>
      </c>
      <c r="X881" s="153" t="s">
        <v>1430</v>
      </c>
      <c r="Y881" s="124" t="s">
        <v>55</v>
      </c>
      <c r="Z881" s="308">
        <v>210</v>
      </c>
      <c r="AB881" t="str">
        <f>IF(Table1[[#This Row],[TIPO2]]="costo", VLOOKUP(Table1[[#This Row],[PARTIDA PRESUPUESTAL]],'Cost Report'!G:G,1,0),"Balance")</f>
        <v>2006-003</v>
      </c>
      <c r="AC881" s="118"/>
      <c r="AD881" s="159">
        <f>+Table1[[#This Row],[SUBTOTAL]]+Table1[[#This Row],[IVA]]-Table1[[#This Row],[RET IVA]]-Table1[[#This Row],[RET ISR]]-Table1[[#This Row],[TOTAL]]</f>
        <v>0</v>
      </c>
      <c r="AE881" s="152"/>
      <c r="AF881" s="153"/>
      <c r="AG881" s="126"/>
      <c r="AH881" s="115"/>
      <c r="AK881" s="306" t="str">
        <f>IF(ISNUMBER(Table1[[#This Row],[FECHA DE RECIBIDO]]), Table1[[#This Row],[FECHA DE RECIBIDO]]-DATE(2023,8,30), "")</f>
        <v/>
      </c>
    </row>
    <row r="882" spans="1:37" ht="16.05" customHeight="1">
      <c r="A882" s="150" t="s">
        <v>3180</v>
      </c>
      <c r="B882" s="151">
        <v>360</v>
      </c>
      <c r="C882" s="126" t="s">
        <v>252</v>
      </c>
      <c r="D882">
        <v>589</v>
      </c>
      <c r="E882" s="126" t="s">
        <v>3181</v>
      </c>
      <c r="F882" s="122" t="s">
        <v>1589</v>
      </c>
      <c r="G882" s="122" t="s">
        <v>129</v>
      </c>
      <c r="H882">
        <v>203</v>
      </c>
      <c r="I882" s="122" t="s">
        <v>1546</v>
      </c>
      <c r="J882" s="307" t="s">
        <v>214</v>
      </c>
      <c r="K882" s="127" t="s">
        <v>3286</v>
      </c>
      <c r="L882" s="151" t="s">
        <v>110</v>
      </c>
      <c r="M882">
        <v>268</v>
      </c>
      <c r="N882" s="123">
        <v>68</v>
      </c>
      <c r="O882">
        <v>594</v>
      </c>
      <c r="P882" s="132" t="s">
        <v>77</v>
      </c>
      <c r="Q882" s="131">
        <v>138600</v>
      </c>
      <c r="R882" s="131">
        <v>22176</v>
      </c>
      <c r="S882" s="131"/>
      <c r="T882" s="155">
        <v>14784.05</v>
      </c>
      <c r="U882" s="131">
        <v>13860</v>
      </c>
      <c r="V882" s="131">
        <v>132131.95000000001</v>
      </c>
      <c r="W882">
        <v>124</v>
      </c>
      <c r="X882" s="151" t="s">
        <v>1434</v>
      </c>
      <c r="Y882" s="135" t="s">
        <v>55</v>
      </c>
      <c r="Z882" s="307">
        <v>210</v>
      </c>
      <c r="AB882" t="str">
        <f>IF(Table1[[#This Row],[TIPO2]]="costo", VLOOKUP(Table1[[#This Row],[PARTIDA PRESUPUESTAL]],'Cost Report'!G:G,1,0),"Balance")</f>
        <v>1301-003</v>
      </c>
      <c r="AC882" s="118"/>
      <c r="AD882" s="159">
        <f>+Table1[[#This Row],[SUBTOTAL]]+Table1[[#This Row],[IVA]]-Table1[[#This Row],[RET IVA]]-Table1[[#This Row],[RET ISR]]-Table1[[#This Row],[TOTAL]]</f>
        <v>0</v>
      </c>
      <c r="AE882" s="150"/>
      <c r="AF882" s="151"/>
      <c r="AG882" s="126"/>
      <c r="AH882" s="115"/>
      <c r="AK882" s="306" t="str">
        <f>IF(ISNUMBER(Table1[[#This Row],[FECHA DE RECIBIDO]]), Table1[[#This Row],[FECHA DE RECIBIDO]]-DATE(2023,8,30), "")</f>
        <v/>
      </c>
    </row>
    <row r="883" spans="1:37" ht="16.05" customHeight="1">
      <c r="A883" s="152" t="s">
        <v>3182</v>
      </c>
      <c r="B883" s="153">
        <v>361</v>
      </c>
      <c r="C883" s="126" t="s">
        <v>944</v>
      </c>
      <c r="D883">
        <v>590</v>
      </c>
      <c r="E883" s="126" t="s">
        <v>1597</v>
      </c>
      <c r="F883" s="125" t="s">
        <v>1589</v>
      </c>
      <c r="G883" s="125" t="s">
        <v>129</v>
      </c>
      <c r="H883">
        <v>8</v>
      </c>
      <c r="I883" s="125" t="s">
        <v>1546</v>
      </c>
      <c r="J883" s="308" t="s">
        <v>214</v>
      </c>
      <c r="K883" s="127" t="s">
        <v>3286</v>
      </c>
      <c r="L883" s="153" t="s">
        <v>110</v>
      </c>
      <c r="M883">
        <v>11</v>
      </c>
      <c r="N883" s="123">
        <v>9</v>
      </c>
      <c r="O883">
        <v>595</v>
      </c>
      <c r="P883" s="132" t="s">
        <v>77</v>
      </c>
      <c r="Q883" s="132">
        <v>42000</v>
      </c>
      <c r="R883" s="132">
        <v>6720</v>
      </c>
      <c r="S883" s="132"/>
      <c r="T883" s="156">
        <v>4480.0200000000004</v>
      </c>
      <c r="U883" s="132">
        <v>4200</v>
      </c>
      <c r="V883" s="132">
        <v>40039.979999999996</v>
      </c>
      <c r="W883">
        <v>6</v>
      </c>
      <c r="X883" s="153" t="s">
        <v>1430</v>
      </c>
      <c r="Y883" s="124" t="s">
        <v>55</v>
      </c>
      <c r="Z883" s="308">
        <v>210</v>
      </c>
      <c r="AB883" t="str">
        <f>IF(Table1[[#This Row],[TIPO2]]="costo", VLOOKUP(Table1[[#This Row],[PARTIDA PRESUPUESTAL]],'Cost Report'!G:G,1,0),"Balance")</f>
        <v>3402-004</v>
      </c>
      <c r="AC883" s="118"/>
      <c r="AD883" s="159">
        <f>+Table1[[#This Row],[SUBTOTAL]]+Table1[[#This Row],[IVA]]-Table1[[#This Row],[RET IVA]]-Table1[[#This Row],[RET ISR]]-Table1[[#This Row],[TOTAL]]</f>
        <v>0</v>
      </c>
      <c r="AE883" s="152"/>
      <c r="AF883" s="153"/>
      <c r="AG883" s="126"/>
      <c r="AH883" s="115"/>
      <c r="AK883" s="306" t="str">
        <f>IF(ISNUMBER(Table1[[#This Row],[FECHA DE RECIBIDO]]), Table1[[#This Row],[FECHA DE RECIBIDO]]-DATE(2023,8,30), "")</f>
        <v/>
      </c>
    </row>
    <row r="884" spans="1:37" ht="16.05" customHeight="1">
      <c r="A884" s="150" t="s">
        <v>3183</v>
      </c>
      <c r="B884" s="151">
        <v>362</v>
      </c>
      <c r="C884" s="126" t="s">
        <v>952</v>
      </c>
      <c r="D884">
        <v>591</v>
      </c>
      <c r="E884" s="126" t="s">
        <v>1596</v>
      </c>
      <c r="F884" s="122" t="s">
        <v>1593</v>
      </c>
      <c r="G884" s="122" t="s">
        <v>109</v>
      </c>
      <c r="H884">
        <v>11</v>
      </c>
      <c r="I884" s="122" t="s">
        <v>1546</v>
      </c>
      <c r="J884" s="307" t="s">
        <v>214</v>
      </c>
      <c r="K884" s="127" t="s">
        <v>3286</v>
      </c>
      <c r="L884" s="151" t="s">
        <v>110</v>
      </c>
      <c r="M884">
        <v>14</v>
      </c>
      <c r="N884" s="123">
        <v>8</v>
      </c>
      <c r="O884">
        <v>596</v>
      </c>
      <c r="P884" s="132" t="s">
        <v>77</v>
      </c>
      <c r="Q884" s="131">
        <v>21000</v>
      </c>
      <c r="R884" s="131">
        <v>3360</v>
      </c>
      <c r="S884" s="131"/>
      <c r="T884" s="155">
        <v>2239.98</v>
      </c>
      <c r="U884" s="131">
        <v>262.5</v>
      </c>
      <c r="V884" s="131">
        <v>21857.52</v>
      </c>
      <c r="W884">
        <v>10</v>
      </c>
      <c r="X884" s="151" t="s">
        <v>1432</v>
      </c>
      <c r="Y884" s="135" t="s">
        <v>55</v>
      </c>
      <c r="Z884" s="307">
        <v>210</v>
      </c>
      <c r="AB884" t="str">
        <f>IF(Table1[[#This Row],[TIPO2]]="costo", VLOOKUP(Table1[[#This Row],[PARTIDA PRESUPUESTAL]],'Cost Report'!G:G,1,0),"Balance")</f>
        <v>3403-010</v>
      </c>
      <c r="AC884" s="118"/>
      <c r="AD884" s="159">
        <f>+Table1[[#This Row],[SUBTOTAL]]+Table1[[#This Row],[IVA]]-Table1[[#This Row],[RET IVA]]-Table1[[#This Row],[RET ISR]]-Table1[[#This Row],[TOTAL]]</f>
        <v>0</v>
      </c>
      <c r="AE884" s="150"/>
      <c r="AF884" s="151"/>
      <c r="AG884" s="126"/>
      <c r="AH884" s="115"/>
      <c r="AK884" s="306" t="str">
        <f>IF(ISNUMBER(Table1[[#This Row],[FECHA DE RECIBIDO]]), Table1[[#This Row],[FECHA DE RECIBIDO]]-DATE(2023,8,30), "")</f>
        <v/>
      </c>
    </row>
    <row r="885" spans="1:37" ht="16.05" customHeight="1">
      <c r="A885" s="152" t="s">
        <v>3184</v>
      </c>
      <c r="B885" s="153">
        <v>363</v>
      </c>
      <c r="C885" s="126" t="s">
        <v>955</v>
      </c>
      <c r="D885">
        <v>592</v>
      </c>
      <c r="E885" s="126" t="s">
        <v>3185</v>
      </c>
      <c r="F885" s="125" t="s">
        <v>1593</v>
      </c>
      <c r="G885" s="125" t="s">
        <v>109</v>
      </c>
      <c r="H885">
        <v>25</v>
      </c>
      <c r="I885" s="125" t="s">
        <v>1546</v>
      </c>
      <c r="J885" s="308" t="s">
        <v>214</v>
      </c>
      <c r="K885" s="127" t="s">
        <v>3286</v>
      </c>
      <c r="L885" s="153" t="s">
        <v>110</v>
      </c>
      <c r="M885">
        <v>34</v>
      </c>
      <c r="N885" s="123">
        <v>10</v>
      </c>
      <c r="O885">
        <v>597</v>
      </c>
      <c r="P885" s="132" t="s">
        <v>77</v>
      </c>
      <c r="Q885" s="132">
        <v>21000</v>
      </c>
      <c r="R885" s="132">
        <v>3360</v>
      </c>
      <c r="S885" s="132"/>
      <c r="T885" s="156">
        <v>2240</v>
      </c>
      <c r="U885" s="132">
        <v>262.5</v>
      </c>
      <c r="V885" s="132">
        <v>21857.5</v>
      </c>
      <c r="W885">
        <v>27</v>
      </c>
      <c r="X885" s="153" t="s">
        <v>1429</v>
      </c>
      <c r="Y885" s="124" t="s">
        <v>55</v>
      </c>
      <c r="Z885" s="308">
        <v>210</v>
      </c>
      <c r="AB885" t="str">
        <f>IF(Table1[[#This Row],[TIPO2]]="costo", VLOOKUP(Table1[[#This Row],[PARTIDA PRESUPUESTAL]],'Cost Report'!G:G,1,0),"Balance")</f>
        <v>3403-015</v>
      </c>
      <c r="AC885" s="118"/>
      <c r="AD885" s="159">
        <f>+Table1[[#This Row],[SUBTOTAL]]+Table1[[#This Row],[IVA]]-Table1[[#This Row],[RET IVA]]-Table1[[#This Row],[RET ISR]]-Table1[[#This Row],[TOTAL]]</f>
        <v>0</v>
      </c>
      <c r="AE885" s="152"/>
      <c r="AF885" s="153"/>
      <c r="AG885" s="126"/>
      <c r="AH885" s="115"/>
      <c r="AK885" s="306" t="str">
        <f>IF(ISNUMBER(Table1[[#This Row],[FECHA DE RECIBIDO]]), Table1[[#This Row],[FECHA DE RECIBIDO]]-DATE(2023,8,30), "")</f>
        <v/>
      </c>
    </row>
    <row r="886" spans="1:37" ht="16.05" customHeight="1">
      <c r="A886" s="150" t="s">
        <v>3186</v>
      </c>
      <c r="B886" s="151">
        <v>364</v>
      </c>
      <c r="C886" s="126" t="s">
        <v>947</v>
      </c>
      <c r="D886">
        <v>593</v>
      </c>
      <c r="E886" s="126" t="s">
        <v>1891</v>
      </c>
      <c r="F886" s="122" t="s">
        <v>1589</v>
      </c>
      <c r="G886" s="122" t="s">
        <v>129</v>
      </c>
      <c r="H886">
        <v>64</v>
      </c>
      <c r="I886" s="122" t="s">
        <v>1546</v>
      </c>
      <c r="J886" s="307" t="s">
        <v>214</v>
      </c>
      <c r="K886" s="127" t="s">
        <v>3286</v>
      </c>
      <c r="L886" s="151" t="s">
        <v>110</v>
      </c>
      <c r="M886">
        <v>87</v>
      </c>
      <c r="N886" s="123">
        <v>24</v>
      </c>
      <c r="O886">
        <v>598</v>
      </c>
      <c r="P886" s="132" t="s">
        <v>77</v>
      </c>
      <c r="Q886" s="131">
        <v>25200</v>
      </c>
      <c r="R886" s="131">
        <v>4032</v>
      </c>
      <c r="S886" s="131"/>
      <c r="T886" s="155">
        <v>2688</v>
      </c>
      <c r="U886" s="131">
        <v>2520</v>
      </c>
      <c r="V886" s="131">
        <v>24024</v>
      </c>
      <c r="W886">
        <v>46</v>
      </c>
      <c r="X886" s="151" t="s">
        <v>1429</v>
      </c>
      <c r="Y886" s="135" t="s">
        <v>55</v>
      </c>
      <c r="Z886" s="307">
        <v>210</v>
      </c>
      <c r="AB886" t="str">
        <f>IF(Table1[[#This Row],[TIPO2]]="costo", VLOOKUP(Table1[[#This Row],[PARTIDA PRESUPUESTAL]],'Cost Report'!G:G,1,0),"Balance")</f>
        <v>3403-003</v>
      </c>
      <c r="AC886" s="118"/>
      <c r="AD886" s="159">
        <f>+Table1[[#This Row],[SUBTOTAL]]+Table1[[#This Row],[IVA]]-Table1[[#This Row],[RET IVA]]-Table1[[#This Row],[RET ISR]]-Table1[[#This Row],[TOTAL]]</f>
        <v>0</v>
      </c>
      <c r="AE886" s="150"/>
      <c r="AF886" s="151"/>
      <c r="AG886" s="126"/>
      <c r="AH886" s="115"/>
      <c r="AK886" s="306" t="str">
        <f>IF(ISNUMBER(Table1[[#This Row],[FECHA DE RECIBIDO]]), Table1[[#This Row],[FECHA DE RECIBIDO]]-DATE(2023,8,30), "")</f>
        <v/>
      </c>
    </row>
    <row r="887" spans="1:37" ht="16.05" customHeight="1">
      <c r="A887" s="152" t="s">
        <v>3187</v>
      </c>
      <c r="B887" s="153">
        <v>365</v>
      </c>
      <c r="C887" s="126" t="s">
        <v>536</v>
      </c>
      <c r="D887">
        <v>594</v>
      </c>
      <c r="E887" s="126" t="s">
        <v>1599</v>
      </c>
      <c r="F887" s="125" t="s">
        <v>1589</v>
      </c>
      <c r="G887" s="125" t="s">
        <v>129</v>
      </c>
      <c r="H887">
        <v>20</v>
      </c>
      <c r="I887" s="125" t="s">
        <v>1546</v>
      </c>
      <c r="J887" s="308" t="s">
        <v>214</v>
      </c>
      <c r="K887" s="127" t="s">
        <v>3286</v>
      </c>
      <c r="L887" s="153" t="s">
        <v>110</v>
      </c>
      <c r="M887">
        <v>26</v>
      </c>
      <c r="N887" s="123">
        <v>11</v>
      </c>
      <c r="O887">
        <v>599</v>
      </c>
      <c r="P887" s="132" t="s">
        <v>77</v>
      </c>
      <c r="Q887" s="132">
        <v>64680</v>
      </c>
      <c r="R887" s="132">
        <v>10348.799999999999</v>
      </c>
      <c r="S887" s="132"/>
      <c r="T887" s="156">
        <v>6899.22</v>
      </c>
      <c r="U887" s="132">
        <v>6468</v>
      </c>
      <c r="V887" s="132">
        <v>61661.58</v>
      </c>
      <c r="W887">
        <v>20</v>
      </c>
      <c r="X887" s="153" t="s">
        <v>1434</v>
      </c>
      <c r="Y887" s="124" t="s">
        <v>55</v>
      </c>
      <c r="Z887" s="308">
        <v>210</v>
      </c>
      <c r="AB887" t="str">
        <f>IF(Table1[[#This Row],[TIPO2]]="costo", VLOOKUP(Table1[[#This Row],[PARTIDA PRESUPUESTAL]],'Cost Report'!G:G,1,0),"Balance")</f>
        <v>2201-004</v>
      </c>
      <c r="AC887" s="118"/>
      <c r="AD887" s="159">
        <f>+Table1[[#This Row],[SUBTOTAL]]+Table1[[#This Row],[IVA]]-Table1[[#This Row],[RET IVA]]-Table1[[#This Row],[RET ISR]]-Table1[[#This Row],[TOTAL]]</f>
        <v>0</v>
      </c>
      <c r="AE887" s="152"/>
      <c r="AF887" s="153"/>
      <c r="AG887" s="126"/>
      <c r="AH887" s="115"/>
      <c r="AK887" s="306" t="str">
        <f>IF(ISNUMBER(Table1[[#This Row],[FECHA DE RECIBIDO]]), Table1[[#This Row],[FECHA DE RECIBIDO]]-DATE(2023,8,30), "")</f>
        <v/>
      </c>
    </row>
    <row r="888" spans="1:37" ht="16.05" customHeight="1">
      <c r="A888" s="150" t="s">
        <v>3188</v>
      </c>
      <c r="B888" s="151">
        <v>366</v>
      </c>
      <c r="C888" s="126" t="s">
        <v>540</v>
      </c>
      <c r="D888">
        <v>595</v>
      </c>
      <c r="E888" s="126" t="s">
        <v>1600</v>
      </c>
      <c r="F888" s="122" t="s">
        <v>1593</v>
      </c>
      <c r="G888" s="122" t="s">
        <v>109</v>
      </c>
      <c r="H888">
        <v>26</v>
      </c>
      <c r="I888" s="122" t="s">
        <v>1546</v>
      </c>
      <c r="J888" s="307" t="s">
        <v>214</v>
      </c>
      <c r="K888" s="127" t="s">
        <v>3286</v>
      </c>
      <c r="L888" s="151" t="s">
        <v>110</v>
      </c>
      <c r="M888">
        <v>35</v>
      </c>
      <c r="N888" s="123">
        <v>12</v>
      </c>
      <c r="O888">
        <v>600</v>
      </c>
      <c r="P888" s="132" t="s">
        <v>77</v>
      </c>
      <c r="Q888" s="131">
        <v>43050</v>
      </c>
      <c r="R888" s="131">
        <v>6888</v>
      </c>
      <c r="S888" s="131"/>
      <c r="T888" s="155">
        <v>4592.0200000000004</v>
      </c>
      <c r="U888" s="131">
        <v>538.12</v>
      </c>
      <c r="V888" s="131">
        <v>44807.859999999993</v>
      </c>
      <c r="W888">
        <v>28</v>
      </c>
      <c r="X888" s="151" t="s">
        <v>1429</v>
      </c>
      <c r="Y888" s="135" t="s">
        <v>55</v>
      </c>
      <c r="Z888" s="307">
        <v>210</v>
      </c>
      <c r="AB888" t="str">
        <f>IF(Table1[[#This Row],[TIPO2]]="costo", VLOOKUP(Table1[[#This Row],[PARTIDA PRESUPUESTAL]],'Cost Report'!G:G,1,0),"Balance")</f>
        <v>2202-003</v>
      </c>
      <c r="AC888" s="118"/>
      <c r="AD888" s="159">
        <f>+Table1[[#This Row],[SUBTOTAL]]+Table1[[#This Row],[IVA]]-Table1[[#This Row],[RET IVA]]-Table1[[#This Row],[RET ISR]]-Table1[[#This Row],[TOTAL]]</f>
        <v>0</v>
      </c>
      <c r="AE888" s="150"/>
      <c r="AF888" s="151"/>
      <c r="AG888" s="126"/>
      <c r="AH888" s="115"/>
      <c r="AK888" s="306" t="str">
        <f>IF(ISNUMBER(Table1[[#This Row],[FECHA DE RECIBIDO]]), Table1[[#This Row],[FECHA DE RECIBIDO]]-DATE(2023,8,30), "")</f>
        <v/>
      </c>
    </row>
    <row r="889" spans="1:37" ht="16.05" customHeight="1">
      <c r="A889" s="152" t="s">
        <v>3189</v>
      </c>
      <c r="B889" s="153">
        <v>367</v>
      </c>
      <c r="C889" s="126" t="s">
        <v>557</v>
      </c>
      <c r="D889">
        <v>596</v>
      </c>
      <c r="E889" s="126" t="s">
        <v>1601</v>
      </c>
      <c r="F889" s="125" t="s">
        <v>1602</v>
      </c>
      <c r="G889" s="125" t="s">
        <v>1617</v>
      </c>
      <c r="H889">
        <v>27</v>
      </c>
      <c r="I889" s="125" t="s">
        <v>1546</v>
      </c>
      <c r="J889" s="308" t="s">
        <v>214</v>
      </c>
      <c r="K889" s="127" t="s">
        <v>3286</v>
      </c>
      <c r="L889" s="153" t="s">
        <v>110</v>
      </c>
      <c r="M889">
        <v>36</v>
      </c>
      <c r="N889" s="123">
        <v>13</v>
      </c>
      <c r="O889">
        <v>601</v>
      </c>
      <c r="P889" s="132" t="s">
        <v>77</v>
      </c>
      <c r="Q889" s="132">
        <v>37800</v>
      </c>
      <c r="R889" s="132">
        <v>6048</v>
      </c>
      <c r="S889" s="132"/>
      <c r="T889" s="156">
        <v>4032</v>
      </c>
      <c r="U889" s="132">
        <v>0</v>
      </c>
      <c r="V889" s="132">
        <v>39816</v>
      </c>
      <c r="W889">
        <v>29</v>
      </c>
      <c r="X889" s="153" t="s">
        <v>1429</v>
      </c>
      <c r="Y889" s="124" t="s">
        <v>55</v>
      </c>
      <c r="Z889" s="308">
        <v>210</v>
      </c>
      <c r="AB889" t="str">
        <f>IF(Table1[[#This Row],[TIPO2]]="costo", VLOOKUP(Table1[[#This Row],[PARTIDA PRESUPUESTAL]],'Cost Report'!G:G,1,0),"Balance")</f>
        <v>2213-003</v>
      </c>
      <c r="AC889" s="118"/>
      <c r="AD889" s="159">
        <f>+Table1[[#This Row],[SUBTOTAL]]+Table1[[#This Row],[IVA]]-Table1[[#This Row],[RET IVA]]-Table1[[#This Row],[RET ISR]]-Table1[[#This Row],[TOTAL]]</f>
        <v>0</v>
      </c>
      <c r="AE889" s="152"/>
      <c r="AF889" s="153"/>
      <c r="AG889" s="126"/>
      <c r="AH889" s="115"/>
      <c r="AK889" s="306" t="str">
        <f>IF(ISNUMBER(Table1[[#This Row],[FECHA DE RECIBIDO]]), Table1[[#This Row],[FECHA DE RECIBIDO]]-DATE(2023,8,30), "")</f>
        <v/>
      </c>
    </row>
    <row r="890" spans="1:37" ht="16.05" customHeight="1">
      <c r="A890" s="150" t="s">
        <v>3190</v>
      </c>
      <c r="B890" s="151">
        <v>368</v>
      </c>
      <c r="C890" s="126" t="s">
        <v>548</v>
      </c>
      <c r="D890">
        <v>597</v>
      </c>
      <c r="E890" s="126" t="s">
        <v>1603</v>
      </c>
      <c r="F890" s="122" t="s">
        <v>1589</v>
      </c>
      <c r="G890" s="122" t="s">
        <v>129</v>
      </c>
      <c r="H890">
        <v>28</v>
      </c>
      <c r="I890" s="122" t="s">
        <v>1546</v>
      </c>
      <c r="J890" s="307" t="s">
        <v>214</v>
      </c>
      <c r="K890" s="127" t="s">
        <v>3286</v>
      </c>
      <c r="L890" s="151" t="s">
        <v>110</v>
      </c>
      <c r="M890">
        <v>37</v>
      </c>
      <c r="N890" s="123">
        <v>14</v>
      </c>
      <c r="O890">
        <v>602</v>
      </c>
      <c r="P890" s="132" t="s">
        <v>77</v>
      </c>
      <c r="Q890" s="131">
        <v>31500</v>
      </c>
      <c r="R890" s="131">
        <v>5040</v>
      </c>
      <c r="S890" s="131"/>
      <c r="T890" s="155">
        <v>3360.02</v>
      </c>
      <c r="U890" s="131">
        <v>3150</v>
      </c>
      <c r="V890" s="131">
        <v>30029.980000000003</v>
      </c>
      <c r="W890">
        <v>30</v>
      </c>
      <c r="X890" s="151" t="s">
        <v>1432</v>
      </c>
      <c r="Y890" s="135" t="s">
        <v>55</v>
      </c>
      <c r="Z890" s="307">
        <v>210</v>
      </c>
      <c r="AB890" t="str">
        <f>IF(Table1[[#This Row],[TIPO2]]="costo", VLOOKUP(Table1[[#This Row],[PARTIDA PRESUPUESTAL]],'Cost Report'!G:G,1,0),"Balance")</f>
        <v>2206-003</v>
      </c>
      <c r="AC890" s="118"/>
      <c r="AD890" s="159">
        <f>+Table1[[#This Row],[SUBTOTAL]]+Table1[[#This Row],[IVA]]-Table1[[#This Row],[RET IVA]]-Table1[[#This Row],[RET ISR]]-Table1[[#This Row],[TOTAL]]</f>
        <v>0</v>
      </c>
      <c r="AE890" s="150"/>
      <c r="AF890" s="151"/>
      <c r="AG890" s="126"/>
      <c r="AH890" s="115"/>
      <c r="AK890" s="306" t="str">
        <f>IF(ISNUMBER(Table1[[#This Row],[FECHA DE RECIBIDO]]), Table1[[#This Row],[FECHA DE RECIBIDO]]-DATE(2023,8,30), "")</f>
        <v/>
      </c>
    </row>
    <row r="891" spans="1:37" ht="16.05" customHeight="1">
      <c r="A891" s="152" t="s">
        <v>3191</v>
      </c>
      <c r="B891" s="153">
        <v>369</v>
      </c>
      <c r="C891" s="126" t="s">
        <v>586</v>
      </c>
      <c r="D891">
        <v>598</v>
      </c>
      <c r="E891" s="126" t="s">
        <v>1892</v>
      </c>
      <c r="F891" s="125" t="s">
        <v>1589</v>
      </c>
      <c r="G891" s="125" t="s">
        <v>129</v>
      </c>
      <c r="H891">
        <v>65</v>
      </c>
      <c r="I891" s="125" t="s">
        <v>1546</v>
      </c>
      <c r="J891" s="308" t="s">
        <v>214</v>
      </c>
      <c r="K891" s="127" t="s">
        <v>3286</v>
      </c>
      <c r="L891" s="153" t="s">
        <v>110</v>
      </c>
      <c r="M891">
        <v>88</v>
      </c>
      <c r="N891" s="123">
        <v>25</v>
      </c>
      <c r="O891">
        <v>603</v>
      </c>
      <c r="P891" s="132" t="s">
        <v>77</v>
      </c>
      <c r="Q891" s="132">
        <v>17850</v>
      </c>
      <c r="R891" s="132">
        <v>2856</v>
      </c>
      <c r="S891" s="132"/>
      <c r="T891" s="156">
        <v>1904</v>
      </c>
      <c r="U891" s="132">
        <v>1785</v>
      </c>
      <c r="V891" s="132">
        <v>17017</v>
      </c>
      <c r="W891">
        <v>47</v>
      </c>
      <c r="X891" s="153" t="s">
        <v>1897</v>
      </c>
      <c r="Y891" s="124" t="s">
        <v>55</v>
      </c>
      <c r="Z891" s="308">
        <v>210</v>
      </c>
      <c r="AB891" t="str">
        <f>IF(Table1[[#This Row],[TIPO2]]="costo", VLOOKUP(Table1[[#This Row],[PARTIDA PRESUPUESTAL]],'Cost Report'!G:G,1,0),"Balance")</f>
        <v>2401-020</v>
      </c>
      <c r="AC891" s="118"/>
      <c r="AD891" s="159">
        <f>+Table1[[#This Row],[SUBTOTAL]]+Table1[[#This Row],[IVA]]-Table1[[#This Row],[RET IVA]]-Table1[[#This Row],[RET ISR]]-Table1[[#This Row],[TOTAL]]</f>
        <v>0</v>
      </c>
      <c r="AE891" s="152"/>
      <c r="AF891" s="153"/>
      <c r="AG891" s="126"/>
      <c r="AH891" s="115"/>
      <c r="AK891" s="306" t="str">
        <f>IF(ISNUMBER(Table1[[#This Row],[FECHA DE RECIBIDO]]), Table1[[#This Row],[FECHA DE RECIBIDO]]-DATE(2023,8,30), "")</f>
        <v/>
      </c>
    </row>
    <row r="892" spans="1:37" ht="16.05" customHeight="1">
      <c r="A892" s="150" t="s">
        <v>3192</v>
      </c>
      <c r="B892" s="151">
        <v>370</v>
      </c>
      <c r="C892" s="126" t="s">
        <v>575</v>
      </c>
      <c r="D892">
        <v>599</v>
      </c>
      <c r="E892" s="126" t="s">
        <v>1893</v>
      </c>
      <c r="F892" s="122" t="s">
        <v>1593</v>
      </c>
      <c r="G892" s="122" t="s">
        <v>109</v>
      </c>
      <c r="H892">
        <v>66</v>
      </c>
      <c r="I892" s="122" t="s">
        <v>1546</v>
      </c>
      <c r="J892" s="307" t="s">
        <v>214</v>
      </c>
      <c r="K892" s="127" t="s">
        <v>3286</v>
      </c>
      <c r="L892" s="151" t="s">
        <v>110</v>
      </c>
      <c r="M892">
        <v>89</v>
      </c>
      <c r="N892" s="123">
        <v>26</v>
      </c>
      <c r="O892">
        <v>604</v>
      </c>
      <c r="P892" s="132" t="s">
        <v>77</v>
      </c>
      <c r="Q892" s="131">
        <v>35700</v>
      </c>
      <c r="R892" s="131">
        <v>5712</v>
      </c>
      <c r="S892" s="131"/>
      <c r="T892" s="155">
        <v>3808.02</v>
      </c>
      <c r="U892" s="131">
        <v>446.26</v>
      </c>
      <c r="V892" s="131">
        <v>37157.72</v>
      </c>
      <c r="W892">
        <v>48</v>
      </c>
      <c r="X892" s="151" t="s">
        <v>1430</v>
      </c>
      <c r="Y892" s="135" t="s">
        <v>55</v>
      </c>
      <c r="Z892" s="307">
        <v>210</v>
      </c>
      <c r="AB892" t="str">
        <f>IF(Table1[[#This Row],[TIPO2]]="costo", VLOOKUP(Table1[[#This Row],[PARTIDA PRESUPUESTAL]],'Cost Report'!G:G,1,0),"Balance")</f>
        <v>2401-003</v>
      </c>
      <c r="AC892" s="118"/>
      <c r="AD892" s="159">
        <f>+Table1[[#This Row],[SUBTOTAL]]+Table1[[#This Row],[IVA]]-Table1[[#This Row],[RET IVA]]-Table1[[#This Row],[RET ISR]]-Table1[[#This Row],[TOTAL]]</f>
        <v>0</v>
      </c>
      <c r="AE892" s="150"/>
      <c r="AF892" s="151"/>
      <c r="AG892" s="126"/>
      <c r="AH892" s="115"/>
      <c r="AK892" s="306" t="str">
        <f>IF(ISNUMBER(Table1[[#This Row],[FECHA DE RECIBIDO]]), Table1[[#This Row],[FECHA DE RECIBIDO]]-DATE(2023,8,30), "")</f>
        <v/>
      </c>
    </row>
    <row r="893" spans="1:37" ht="16.05" customHeight="1">
      <c r="A893" s="152" t="s">
        <v>3193</v>
      </c>
      <c r="B893" s="153">
        <v>371</v>
      </c>
      <c r="C893" s="126" t="s">
        <v>624</v>
      </c>
      <c r="D893">
        <v>600</v>
      </c>
      <c r="E893" s="126" t="s">
        <v>1994</v>
      </c>
      <c r="F893" s="125" t="s">
        <v>1602</v>
      </c>
      <c r="G893" s="125" t="s">
        <v>1617</v>
      </c>
      <c r="H893">
        <v>107</v>
      </c>
      <c r="I893" s="125" t="s">
        <v>1546</v>
      </c>
      <c r="J893" s="308" t="s">
        <v>214</v>
      </c>
      <c r="K893" s="127" t="s">
        <v>3286</v>
      </c>
      <c r="L893" s="153" t="s">
        <v>110</v>
      </c>
      <c r="M893">
        <v>145</v>
      </c>
      <c r="N893" s="123">
        <v>37</v>
      </c>
      <c r="O893">
        <v>605</v>
      </c>
      <c r="P893" s="132" t="s">
        <v>77</v>
      </c>
      <c r="Q893" s="132">
        <v>34000</v>
      </c>
      <c r="R893" s="132">
        <v>5440</v>
      </c>
      <c r="S893" s="132"/>
      <c r="T893" s="156">
        <v>3626.66</v>
      </c>
      <c r="U893" s="132">
        <v>0</v>
      </c>
      <c r="V893" s="132">
        <v>35813.339999999997</v>
      </c>
      <c r="W893">
        <v>69</v>
      </c>
      <c r="X893" s="153" t="s">
        <v>1430</v>
      </c>
      <c r="Y893" s="124" t="s">
        <v>55</v>
      </c>
      <c r="Z893" s="308">
        <v>210</v>
      </c>
      <c r="AB893" t="str">
        <f>IF(Table1[[#This Row],[TIPO2]]="costo", VLOOKUP(Table1[[#This Row],[PARTIDA PRESUPUESTAL]],'Cost Report'!G:G,1,0),"Balance")</f>
        <v>2501-003</v>
      </c>
      <c r="AC893" s="118"/>
      <c r="AD893" s="159">
        <f>+Table1[[#This Row],[SUBTOTAL]]+Table1[[#This Row],[IVA]]-Table1[[#This Row],[RET IVA]]-Table1[[#This Row],[RET ISR]]-Table1[[#This Row],[TOTAL]]</f>
        <v>0</v>
      </c>
      <c r="AE893" s="152"/>
      <c r="AF893" s="153"/>
      <c r="AG893" s="126"/>
      <c r="AH893" s="115"/>
      <c r="AK893" s="306" t="str">
        <f>IF(ISNUMBER(Table1[[#This Row],[FECHA DE RECIBIDO]]), Table1[[#This Row],[FECHA DE RECIBIDO]]-DATE(2023,8,30), "")</f>
        <v/>
      </c>
    </row>
    <row r="894" spans="1:37" ht="16.05" customHeight="1">
      <c r="A894" s="150" t="s">
        <v>3194</v>
      </c>
      <c r="B894" s="151">
        <v>372</v>
      </c>
      <c r="C894" s="126" t="s">
        <v>544</v>
      </c>
      <c r="D894">
        <v>601</v>
      </c>
      <c r="E894" s="126" t="s">
        <v>1600</v>
      </c>
      <c r="F894" s="122" t="s">
        <v>1593</v>
      </c>
      <c r="G894" s="122" t="s">
        <v>109</v>
      </c>
      <c r="H894">
        <v>109</v>
      </c>
      <c r="I894" s="122" t="s">
        <v>1546</v>
      </c>
      <c r="J894" s="307" t="s">
        <v>214</v>
      </c>
      <c r="K894" s="127" t="s">
        <v>3286</v>
      </c>
      <c r="L894" s="151" t="s">
        <v>110</v>
      </c>
      <c r="M894">
        <v>147</v>
      </c>
      <c r="N894" s="123">
        <v>39</v>
      </c>
      <c r="O894">
        <v>606</v>
      </c>
      <c r="P894" s="132" t="s">
        <v>77</v>
      </c>
      <c r="Q894" s="131">
        <v>25200</v>
      </c>
      <c r="R894" s="131">
        <v>4032</v>
      </c>
      <c r="S894" s="131"/>
      <c r="T894" s="155">
        <v>2688</v>
      </c>
      <c r="U894" s="131">
        <v>315</v>
      </c>
      <c r="V894" s="131">
        <v>26229</v>
      </c>
      <c r="W894">
        <v>71</v>
      </c>
      <c r="X894" s="151" t="s">
        <v>2023</v>
      </c>
      <c r="Y894" s="135" t="s">
        <v>55</v>
      </c>
      <c r="Z894" s="307">
        <v>210</v>
      </c>
      <c r="AB894" t="str">
        <f>IF(Table1[[#This Row],[TIPO2]]="costo", VLOOKUP(Table1[[#This Row],[PARTIDA PRESUPUESTAL]],'Cost Report'!G:G,1,0),"Balance")</f>
        <v>2203-003</v>
      </c>
      <c r="AC894" s="118"/>
      <c r="AD894" s="159">
        <f>+Table1[[#This Row],[SUBTOTAL]]+Table1[[#This Row],[IVA]]-Table1[[#This Row],[RET IVA]]-Table1[[#This Row],[RET ISR]]-Table1[[#This Row],[TOTAL]]</f>
        <v>0</v>
      </c>
      <c r="AE894" s="150"/>
      <c r="AF894" s="151"/>
      <c r="AG894" s="126"/>
      <c r="AH894" s="115"/>
      <c r="AK894" s="306" t="str">
        <f>IF(ISNUMBER(Table1[[#This Row],[FECHA DE RECIBIDO]]), Table1[[#This Row],[FECHA DE RECIBIDO]]-DATE(2023,8,30), "")</f>
        <v/>
      </c>
    </row>
    <row r="895" spans="1:37" ht="16.05" customHeight="1">
      <c r="A895" s="152" t="s">
        <v>3195</v>
      </c>
      <c r="B895" s="153">
        <v>373</v>
      </c>
      <c r="C895" s="126" t="s">
        <v>2451</v>
      </c>
      <c r="D895">
        <v>602</v>
      </c>
      <c r="E895" s="126" t="s">
        <v>1613</v>
      </c>
      <c r="F895" s="125" t="s">
        <v>1593</v>
      </c>
      <c r="G895" s="125" t="s">
        <v>109</v>
      </c>
      <c r="H895">
        <v>110</v>
      </c>
      <c r="I895" s="125" t="s">
        <v>1546</v>
      </c>
      <c r="J895" s="308" t="s">
        <v>214</v>
      </c>
      <c r="K895" s="127" t="s">
        <v>3286</v>
      </c>
      <c r="L895" s="153" t="s">
        <v>110</v>
      </c>
      <c r="M895">
        <v>148</v>
      </c>
      <c r="N895" s="123">
        <v>40</v>
      </c>
      <c r="O895">
        <v>607</v>
      </c>
      <c r="P895" s="132" t="s">
        <v>77</v>
      </c>
      <c r="Q895" s="132">
        <v>14000</v>
      </c>
      <c r="R895" s="132">
        <v>2240</v>
      </c>
      <c r="S895" s="132"/>
      <c r="T895" s="156">
        <v>1493.34</v>
      </c>
      <c r="U895" s="132">
        <v>175</v>
      </c>
      <c r="V895" s="132">
        <v>14571.66</v>
      </c>
      <c r="W895">
        <v>72</v>
      </c>
      <c r="X895" s="153" t="s">
        <v>1429</v>
      </c>
      <c r="Y895" s="124" t="s">
        <v>55</v>
      </c>
      <c r="Z895" s="308">
        <v>210</v>
      </c>
      <c r="AB895" t="str">
        <f>IF(Table1[[#This Row],[TIPO2]]="costo", VLOOKUP(Table1[[#This Row],[PARTIDA PRESUPUESTAL]],'Cost Report'!G:G,1,0),"Balance")</f>
        <v>2206-015</v>
      </c>
      <c r="AC895" s="118"/>
      <c r="AD895" s="159">
        <f>+Table1[[#This Row],[SUBTOTAL]]+Table1[[#This Row],[IVA]]-Table1[[#This Row],[RET IVA]]-Table1[[#This Row],[RET ISR]]-Table1[[#This Row],[TOTAL]]</f>
        <v>0</v>
      </c>
      <c r="AE895" s="152"/>
      <c r="AF895" s="153"/>
      <c r="AG895" s="126"/>
      <c r="AH895" s="115"/>
      <c r="AK895" s="306" t="str">
        <f>IF(ISNUMBER(Table1[[#This Row],[FECHA DE RECIBIDO]]), Table1[[#This Row],[FECHA DE RECIBIDO]]-DATE(2023,8,30), "")</f>
        <v/>
      </c>
    </row>
    <row r="896" spans="1:37" ht="16.05" customHeight="1">
      <c r="A896" s="150" t="s">
        <v>3196</v>
      </c>
      <c r="B896" s="151">
        <v>374</v>
      </c>
      <c r="C896" s="126" t="s">
        <v>582</v>
      </c>
      <c r="D896">
        <v>603</v>
      </c>
      <c r="E896" s="126" t="s">
        <v>2014</v>
      </c>
      <c r="F896" s="122" t="s">
        <v>1589</v>
      </c>
      <c r="G896" s="122" t="s">
        <v>129</v>
      </c>
      <c r="H896">
        <v>111</v>
      </c>
      <c r="I896" s="122" t="s">
        <v>1546</v>
      </c>
      <c r="J896" s="307" t="s">
        <v>214</v>
      </c>
      <c r="K896" s="127" t="s">
        <v>3286</v>
      </c>
      <c r="L896" s="151" t="s">
        <v>110</v>
      </c>
      <c r="M896">
        <v>149</v>
      </c>
      <c r="N896" s="123">
        <v>41</v>
      </c>
      <c r="O896">
        <v>608</v>
      </c>
      <c r="P896" s="132" t="s">
        <v>77</v>
      </c>
      <c r="Q896" s="131">
        <v>17850</v>
      </c>
      <c r="R896" s="131">
        <v>2856</v>
      </c>
      <c r="S896" s="131"/>
      <c r="T896" s="155">
        <v>1904</v>
      </c>
      <c r="U896" s="131">
        <v>1785</v>
      </c>
      <c r="V896" s="131">
        <v>17017</v>
      </c>
      <c r="W896">
        <v>73</v>
      </c>
      <c r="X896" s="151" t="s">
        <v>1430</v>
      </c>
      <c r="Y896" s="135" t="s">
        <v>55</v>
      </c>
      <c r="Z896" s="307">
        <v>210</v>
      </c>
      <c r="AB896" t="str">
        <f>IF(Table1[[#This Row],[TIPO2]]="costo", VLOOKUP(Table1[[#This Row],[PARTIDA PRESUPUESTAL]],'Cost Report'!G:G,1,0),"Balance")</f>
        <v>2401-014</v>
      </c>
      <c r="AC896" s="118"/>
      <c r="AD896" s="159">
        <f>+Table1[[#This Row],[SUBTOTAL]]+Table1[[#This Row],[IVA]]-Table1[[#This Row],[RET IVA]]-Table1[[#This Row],[RET ISR]]-Table1[[#This Row],[TOTAL]]</f>
        <v>0</v>
      </c>
      <c r="AE896" s="150"/>
      <c r="AF896" s="151"/>
      <c r="AG896" s="126"/>
      <c r="AH896" s="115"/>
      <c r="AK896" s="306" t="str">
        <f>IF(ISNUMBER(Table1[[#This Row],[FECHA DE RECIBIDO]]), Table1[[#This Row],[FECHA DE RECIBIDO]]-DATE(2023,8,30), "")</f>
        <v/>
      </c>
    </row>
    <row r="897" spans="1:37" ht="16.05" customHeight="1">
      <c r="A897" s="152" t="s">
        <v>3197</v>
      </c>
      <c r="B897" s="153">
        <v>375</v>
      </c>
      <c r="C897" s="126" t="s">
        <v>2527</v>
      </c>
      <c r="D897">
        <v>604</v>
      </c>
      <c r="E897" s="126" t="s">
        <v>2015</v>
      </c>
      <c r="F897" s="125" t="s">
        <v>1593</v>
      </c>
      <c r="G897" s="125" t="s">
        <v>109</v>
      </c>
      <c r="H897">
        <v>112</v>
      </c>
      <c r="I897" s="125" t="s">
        <v>1546</v>
      </c>
      <c r="J897" s="308" t="s">
        <v>214</v>
      </c>
      <c r="K897" s="127" t="s">
        <v>3286</v>
      </c>
      <c r="L897" s="153" t="s">
        <v>110</v>
      </c>
      <c r="M897">
        <v>150</v>
      </c>
      <c r="N897" s="123">
        <v>42</v>
      </c>
      <c r="O897">
        <v>609</v>
      </c>
      <c r="P897" s="132" t="s">
        <v>77</v>
      </c>
      <c r="Q897" s="132">
        <v>1607.5</v>
      </c>
      <c r="R897" s="132">
        <v>257.2</v>
      </c>
      <c r="S897" s="132"/>
      <c r="T897" s="156">
        <v>171.47</v>
      </c>
      <c r="U897" s="132">
        <v>20.09</v>
      </c>
      <c r="V897" s="132">
        <v>1673.14</v>
      </c>
      <c r="W897">
        <v>74</v>
      </c>
      <c r="X897" s="153" t="s">
        <v>1429</v>
      </c>
      <c r="Y897" s="124" t="s">
        <v>55</v>
      </c>
      <c r="Z897" s="308">
        <v>210</v>
      </c>
      <c r="AB897" t="str">
        <f>IF(Table1[[#This Row],[TIPO2]]="costo", VLOOKUP(Table1[[#This Row],[PARTIDA PRESUPUESTAL]],'Cost Report'!G:G,1,0),"Balance")</f>
        <v>2405-025</v>
      </c>
      <c r="AC897" s="118"/>
      <c r="AD897" s="159">
        <f>+Table1[[#This Row],[SUBTOTAL]]+Table1[[#This Row],[IVA]]-Table1[[#This Row],[RET IVA]]-Table1[[#This Row],[RET ISR]]-Table1[[#This Row],[TOTAL]]</f>
        <v>0</v>
      </c>
      <c r="AE897" s="152"/>
      <c r="AF897" s="153"/>
      <c r="AG897" s="126"/>
      <c r="AH897" s="115"/>
      <c r="AK897" s="306" t="str">
        <f>IF(ISNUMBER(Table1[[#This Row],[FECHA DE RECIBIDO]]), Table1[[#This Row],[FECHA DE RECIBIDO]]-DATE(2023,8,30), "")</f>
        <v/>
      </c>
    </row>
    <row r="898" spans="1:37" ht="16.05" customHeight="1">
      <c r="A898" s="150" t="s">
        <v>3198</v>
      </c>
      <c r="B898" s="151">
        <v>376</v>
      </c>
      <c r="C898" s="126" t="s">
        <v>2557</v>
      </c>
      <c r="D898">
        <v>605</v>
      </c>
      <c r="E898" s="126" t="s">
        <v>2016</v>
      </c>
      <c r="F898" s="122" t="s">
        <v>1589</v>
      </c>
      <c r="G898" s="122" t="s">
        <v>129</v>
      </c>
      <c r="H898">
        <v>113</v>
      </c>
      <c r="I898" s="122" t="s">
        <v>1546</v>
      </c>
      <c r="J898" s="307" t="s">
        <v>214</v>
      </c>
      <c r="K898" s="127" t="s">
        <v>3286</v>
      </c>
      <c r="L898" s="151" t="s">
        <v>110</v>
      </c>
      <c r="M898">
        <v>151</v>
      </c>
      <c r="N898" s="123">
        <v>43</v>
      </c>
      <c r="O898">
        <v>610</v>
      </c>
      <c r="P898" s="132" t="s">
        <v>77</v>
      </c>
      <c r="Q898" s="131">
        <v>19600</v>
      </c>
      <c r="R898" s="131">
        <v>3136</v>
      </c>
      <c r="S898" s="131"/>
      <c r="T898" s="155">
        <v>2090.6799999999998</v>
      </c>
      <c r="U898" s="131">
        <v>1960</v>
      </c>
      <c r="V898" s="131">
        <v>18685.32</v>
      </c>
      <c r="W898">
        <v>75</v>
      </c>
      <c r="X898" s="151" t="s">
        <v>2024</v>
      </c>
      <c r="Y898" s="135" t="s">
        <v>55</v>
      </c>
      <c r="Z898" s="307">
        <v>210</v>
      </c>
      <c r="AB898" t="str">
        <f>IF(Table1[[#This Row],[TIPO2]]="costo", VLOOKUP(Table1[[#This Row],[PARTIDA PRESUPUESTAL]],'Cost Report'!G:G,1,0),"Balance")</f>
        <v>2501-009</v>
      </c>
      <c r="AC898" s="118"/>
      <c r="AD898" s="159">
        <f>+Table1[[#This Row],[SUBTOTAL]]+Table1[[#This Row],[IVA]]-Table1[[#This Row],[RET IVA]]-Table1[[#This Row],[RET ISR]]-Table1[[#This Row],[TOTAL]]</f>
        <v>0</v>
      </c>
      <c r="AE898" s="150"/>
      <c r="AF898" s="151"/>
      <c r="AG898" s="126"/>
      <c r="AH898" s="115"/>
      <c r="AK898" s="306" t="str">
        <f>IF(ISNUMBER(Table1[[#This Row],[FECHA DE RECIBIDO]]), Table1[[#This Row],[FECHA DE RECIBIDO]]-DATE(2023,8,30), "")</f>
        <v/>
      </c>
    </row>
    <row r="899" spans="1:37" ht="16.05" customHeight="1">
      <c r="A899" s="152" t="s">
        <v>3199</v>
      </c>
      <c r="B899" s="153">
        <v>377</v>
      </c>
      <c r="C899" s="126" t="s">
        <v>552</v>
      </c>
      <c r="D899">
        <v>606</v>
      </c>
      <c r="E899" s="126" t="s">
        <v>1614</v>
      </c>
      <c r="F899" s="125" t="s">
        <v>1593</v>
      </c>
      <c r="G899" s="125" t="s">
        <v>109</v>
      </c>
      <c r="H899">
        <v>114</v>
      </c>
      <c r="I899" s="125" t="s">
        <v>1546</v>
      </c>
      <c r="J899" s="308" t="s">
        <v>214</v>
      </c>
      <c r="K899" s="127" t="s">
        <v>3286</v>
      </c>
      <c r="L899" s="153" t="s">
        <v>110</v>
      </c>
      <c r="M899">
        <v>152</v>
      </c>
      <c r="N899" s="123">
        <v>44</v>
      </c>
      <c r="O899">
        <v>611</v>
      </c>
      <c r="P899" s="132" t="s">
        <v>77</v>
      </c>
      <c r="Q899" s="132">
        <v>15400</v>
      </c>
      <c r="R899" s="132">
        <v>2464</v>
      </c>
      <c r="S899" s="132"/>
      <c r="T899" s="156">
        <v>1642.68</v>
      </c>
      <c r="U899" s="132">
        <v>192.5</v>
      </c>
      <c r="V899" s="132">
        <v>16028.82</v>
      </c>
      <c r="W899">
        <v>76</v>
      </c>
      <c r="X899" s="153" t="s">
        <v>1429</v>
      </c>
      <c r="Y899" s="124" t="s">
        <v>55</v>
      </c>
      <c r="Z899" s="308">
        <v>210</v>
      </c>
      <c r="AB899" t="str">
        <f>IF(Table1[[#This Row],[TIPO2]]="costo", VLOOKUP(Table1[[#This Row],[PARTIDA PRESUPUESTAL]],'Cost Report'!G:G,1,0),"Balance")</f>
        <v>2206-009</v>
      </c>
      <c r="AC899" s="118"/>
      <c r="AD899" s="159">
        <f>+Table1[[#This Row],[SUBTOTAL]]+Table1[[#This Row],[IVA]]-Table1[[#This Row],[RET IVA]]-Table1[[#This Row],[RET ISR]]-Table1[[#This Row],[TOTAL]]</f>
        <v>0</v>
      </c>
      <c r="AE899" s="152"/>
      <c r="AF899" s="153"/>
      <c r="AG899" s="126"/>
      <c r="AH899" s="115"/>
      <c r="AK899" s="306" t="str">
        <f>IF(ISNUMBER(Table1[[#This Row],[FECHA DE RECIBIDO]]), Table1[[#This Row],[FECHA DE RECIBIDO]]-DATE(2023,8,30), "")</f>
        <v/>
      </c>
    </row>
    <row r="900" spans="1:37" ht="16.05" customHeight="1">
      <c r="A900" s="150" t="s">
        <v>3200</v>
      </c>
      <c r="B900" s="151">
        <v>378</v>
      </c>
      <c r="C900" s="126" t="s">
        <v>598</v>
      </c>
      <c r="D900">
        <v>607</v>
      </c>
      <c r="E900" s="126" t="s">
        <v>3133</v>
      </c>
      <c r="F900" s="122" t="s">
        <v>1593</v>
      </c>
      <c r="G900" s="122" t="s">
        <v>109</v>
      </c>
      <c r="H900">
        <v>187</v>
      </c>
      <c r="I900" s="122" t="s">
        <v>1546</v>
      </c>
      <c r="J900" s="307" t="s">
        <v>214</v>
      </c>
      <c r="K900" s="127" t="s">
        <v>3286</v>
      </c>
      <c r="L900" s="151" t="s">
        <v>110</v>
      </c>
      <c r="M900">
        <v>252</v>
      </c>
      <c r="N900" s="123">
        <v>52</v>
      </c>
      <c r="O900">
        <v>612</v>
      </c>
      <c r="P900" s="132" t="s">
        <v>77</v>
      </c>
      <c r="Q900" s="131">
        <v>15750</v>
      </c>
      <c r="R900" s="131">
        <v>2520</v>
      </c>
      <c r="S900" s="131"/>
      <c r="T900" s="155">
        <v>1680</v>
      </c>
      <c r="U900" s="131">
        <v>196.88</v>
      </c>
      <c r="V900" s="131">
        <v>16393.12</v>
      </c>
      <c r="W900">
        <v>108</v>
      </c>
      <c r="X900" s="151" t="s">
        <v>1430</v>
      </c>
      <c r="Y900" s="135" t="s">
        <v>55</v>
      </c>
      <c r="Z900" s="307">
        <v>210</v>
      </c>
      <c r="AB900" t="str">
        <f>IF(Table1[[#This Row],[TIPO2]]="costo", VLOOKUP(Table1[[#This Row],[PARTIDA PRESUPUESTAL]],'Cost Report'!G:G,1,0),"Balance")</f>
        <v>2403-009</v>
      </c>
      <c r="AC900" s="118"/>
      <c r="AD900" s="159">
        <f>+Table1[[#This Row],[SUBTOTAL]]+Table1[[#This Row],[IVA]]-Table1[[#This Row],[RET IVA]]-Table1[[#This Row],[RET ISR]]-Table1[[#This Row],[TOTAL]]</f>
        <v>0</v>
      </c>
      <c r="AE900" s="150"/>
      <c r="AF900" s="151"/>
      <c r="AG900" s="126"/>
      <c r="AH900" s="115"/>
      <c r="AK900" s="306" t="str">
        <f>IF(ISNUMBER(Table1[[#This Row],[FECHA DE RECIBIDO]]), Table1[[#This Row],[FECHA DE RECIBIDO]]-DATE(2023,8,30), "")</f>
        <v/>
      </c>
    </row>
    <row r="901" spans="1:37" ht="16.05" customHeight="1">
      <c r="A901" s="152" t="s">
        <v>3201</v>
      </c>
      <c r="B901" s="153">
        <v>379</v>
      </c>
      <c r="C901" s="126" t="s">
        <v>2549</v>
      </c>
      <c r="D901">
        <v>608</v>
      </c>
      <c r="E901" s="126" t="s">
        <v>3135</v>
      </c>
      <c r="F901" s="125" t="s">
        <v>1593</v>
      </c>
      <c r="G901" s="125" t="s">
        <v>109</v>
      </c>
      <c r="H901">
        <v>188</v>
      </c>
      <c r="I901" s="125" t="s">
        <v>1546</v>
      </c>
      <c r="J901" s="308" t="s">
        <v>214</v>
      </c>
      <c r="K901" s="127" t="s">
        <v>3286</v>
      </c>
      <c r="L901" s="153" t="s">
        <v>110</v>
      </c>
      <c r="M901">
        <v>253</v>
      </c>
      <c r="N901" s="123">
        <v>53</v>
      </c>
      <c r="O901">
        <v>613</v>
      </c>
      <c r="P901" s="132" t="s">
        <v>77</v>
      </c>
      <c r="Q901" s="132">
        <v>18900</v>
      </c>
      <c r="R901" s="132">
        <v>3024</v>
      </c>
      <c r="S901" s="132"/>
      <c r="T901" s="156">
        <v>2016</v>
      </c>
      <c r="U901" s="132">
        <v>236.25</v>
      </c>
      <c r="V901" s="132">
        <v>19671.75</v>
      </c>
      <c r="W901">
        <v>109</v>
      </c>
      <c r="X901" s="153" t="s">
        <v>1429</v>
      </c>
      <c r="Y901" s="124" t="s">
        <v>55</v>
      </c>
      <c r="Z901" s="308">
        <v>210</v>
      </c>
      <c r="AB901" t="str">
        <f>IF(Table1[[#This Row],[TIPO2]]="costo", VLOOKUP(Table1[[#This Row],[PARTIDA PRESUPUESTAL]],'Cost Report'!G:G,1,0),"Balance")</f>
        <v>2495-011</v>
      </c>
      <c r="AC901" s="118"/>
      <c r="AD901" s="159">
        <f>+Table1[[#This Row],[SUBTOTAL]]+Table1[[#This Row],[IVA]]-Table1[[#This Row],[RET IVA]]-Table1[[#This Row],[RET ISR]]-Table1[[#This Row],[TOTAL]]</f>
        <v>0</v>
      </c>
      <c r="AE901" s="152"/>
      <c r="AF901" s="153"/>
      <c r="AG901" s="126"/>
      <c r="AH901" s="115"/>
      <c r="AK901" s="306" t="str">
        <f>IF(ISNUMBER(Table1[[#This Row],[FECHA DE RECIBIDO]]), Table1[[#This Row],[FECHA DE RECIBIDO]]-DATE(2023,8,30), "")</f>
        <v/>
      </c>
    </row>
    <row r="902" spans="1:37" ht="16.05" customHeight="1">
      <c r="A902" s="150" t="s">
        <v>3202</v>
      </c>
      <c r="B902" s="151">
        <v>380</v>
      </c>
      <c r="C902" s="126" t="s">
        <v>590</v>
      </c>
      <c r="D902">
        <v>609</v>
      </c>
      <c r="E902" s="126" t="s">
        <v>3137</v>
      </c>
      <c r="F902" s="122" t="s">
        <v>1593</v>
      </c>
      <c r="G902" s="122" t="s">
        <v>109</v>
      </c>
      <c r="H902">
        <v>189</v>
      </c>
      <c r="I902" s="122" t="s">
        <v>1546</v>
      </c>
      <c r="J902" s="307" t="s">
        <v>214</v>
      </c>
      <c r="K902" s="127" t="s">
        <v>3286</v>
      </c>
      <c r="L902" s="151" t="s">
        <v>110</v>
      </c>
      <c r="M902">
        <v>254</v>
      </c>
      <c r="N902" s="123">
        <v>54</v>
      </c>
      <c r="O902">
        <v>614</v>
      </c>
      <c r="P902" s="132" t="s">
        <v>77</v>
      </c>
      <c r="Q902" s="131">
        <v>29400</v>
      </c>
      <c r="R902" s="131">
        <v>4704</v>
      </c>
      <c r="S902" s="131"/>
      <c r="T902" s="155">
        <v>3136</v>
      </c>
      <c r="U902" s="131">
        <v>367.52</v>
      </c>
      <c r="V902" s="131">
        <v>30600.48</v>
      </c>
      <c r="W902">
        <v>110</v>
      </c>
      <c r="X902" s="151" t="s">
        <v>1429</v>
      </c>
      <c r="Y902" s="135" t="s">
        <v>55</v>
      </c>
      <c r="Z902" s="307">
        <v>210</v>
      </c>
      <c r="AB902" t="str">
        <f>IF(Table1[[#This Row],[TIPO2]]="costo", VLOOKUP(Table1[[#This Row],[PARTIDA PRESUPUESTAL]],'Cost Report'!G:G,1,0),"Balance")</f>
        <v>2401-026</v>
      </c>
      <c r="AC902" s="118"/>
      <c r="AD902" s="159">
        <f>+Table1[[#This Row],[SUBTOTAL]]+Table1[[#This Row],[IVA]]-Table1[[#This Row],[RET IVA]]-Table1[[#This Row],[RET ISR]]-Table1[[#This Row],[TOTAL]]</f>
        <v>0</v>
      </c>
      <c r="AE902" s="150"/>
      <c r="AF902" s="151"/>
      <c r="AG902" s="126"/>
      <c r="AH902" s="115"/>
      <c r="AK902" s="306" t="str">
        <f>IF(ISNUMBER(Table1[[#This Row],[FECHA DE RECIBIDO]]), Table1[[#This Row],[FECHA DE RECIBIDO]]-DATE(2023,8,30), "")</f>
        <v/>
      </c>
    </row>
    <row r="903" spans="1:37" ht="16.05" customHeight="1">
      <c r="A903" s="152" t="s">
        <v>3203</v>
      </c>
      <c r="B903" s="153">
        <v>381</v>
      </c>
      <c r="C903" s="126" t="s">
        <v>1499</v>
      </c>
      <c r="D903">
        <v>610</v>
      </c>
      <c r="E903" s="126" t="s">
        <v>3139</v>
      </c>
      <c r="F903" s="125" t="s">
        <v>1593</v>
      </c>
      <c r="G903" s="125" t="s">
        <v>109</v>
      </c>
      <c r="H903">
        <v>190</v>
      </c>
      <c r="I903" s="125" t="s">
        <v>1546</v>
      </c>
      <c r="J903" s="308" t="s">
        <v>214</v>
      </c>
      <c r="K903" s="127" t="s">
        <v>3286</v>
      </c>
      <c r="L903" s="153" t="s">
        <v>110</v>
      </c>
      <c r="M903">
        <v>255</v>
      </c>
      <c r="N903" s="123">
        <v>55</v>
      </c>
      <c r="O903">
        <v>615</v>
      </c>
      <c r="P903" s="132" t="s">
        <v>77</v>
      </c>
      <c r="Q903" s="132">
        <v>16800</v>
      </c>
      <c r="R903" s="132">
        <v>2688</v>
      </c>
      <c r="S903" s="132"/>
      <c r="T903" s="156">
        <v>1792</v>
      </c>
      <c r="U903" s="132">
        <v>210</v>
      </c>
      <c r="V903" s="132">
        <v>17486</v>
      </c>
      <c r="W903">
        <v>111</v>
      </c>
      <c r="X903" s="153" t="s">
        <v>1429</v>
      </c>
      <c r="Y903" s="124" t="s">
        <v>55</v>
      </c>
      <c r="Z903" s="308">
        <v>210</v>
      </c>
      <c r="AB903" t="str">
        <f>IF(Table1[[#This Row],[TIPO2]]="costo", VLOOKUP(Table1[[#This Row],[PARTIDA PRESUPUESTAL]],'Cost Report'!G:G,1,0),"Balance")</f>
        <v>2402-003</v>
      </c>
      <c r="AC903" s="118"/>
      <c r="AD903" s="159">
        <f>+Table1[[#This Row],[SUBTOTAL]]+Table1[[#This Row],[IVA]]-Table1[[#This Row],[RET IVA]]-Table1[[#This Row],[RET ISR]]-Table1[[#This Row],[TOTAL]]</f>
        <v>0</v>
      </c>
      <c r="AE903" s="152"/>
      <c r="AF903" s="153"/>
      <c r="AG903" s="126"/>
      <c r="AH903" s="115"/>
      <c r="AK903" s="306" t="str">
        <f>IF(ISNUMBER(Table1[[#This Row],[FECHA DE RECIBIDO]]), Table1[[#This Row],[FECHA DE RECIBIDO]]-DATE(2023,8,30), "")</f>
        <v/>
      </c>
    </row>
    <row r="904" spans="1:37" ht="16.05" customHeight="1">
      <c r="A904" s="150" t="s">
        <v>3204</v>
      </c>
      <c r="B904" s="151">
        <v>382</v>
      </c>
      <c r="C904" s="126" t="s">
        <v>630</v>
      </c>
      <c r="D904">
        <v>611</v>
      </c>
      <c r="E904" s="126" t="s">
        <v>3141</v>
      </c>
      <c r="F904" s="122" t="s">
        <v>1589</v>
      </c>
      <c r="G904" s="122" t="s">
        <v>129</v>
      </c>
      <c r="H904">
        <v>191</v>
      </c>
      <c r="I904" s="122" t="s">
        <v>1546</v>
      </c>
      <c r="J904" s="307" t="s">
        <v>214</v>
      </c>
      <c r="K904" s="127" t="s">
        <v>3286</v>
      </c>
      <c r="L904" s="151" t="s">
        <v>110</v>
      </c>
      <c r="M904">
        <v>256</v>
      </c>
      <c r="N904" s="123">
        <v>56</v>
      </c>
      <c r="O904">
        <v>616</v>
      </c>
      <c r="P904" s="132" t="s">
        <v>77</v>
      </c>
      <c r="Q904" s="131">
        <v>24000</v>
      </c>
      <c r="R904" s="131">
        <v>3840</v>
      </c>
      <c r="S904" s="131"/>
      <c r="T904" s="155">
        <v>2560.8000000000002</v>
      </c>
      <c r="U904" s="131">
        <v>2400</v>
      </c>
      <c r="V904" s="131">
        <v>22879.200000000001</v>
      </c>
      <c r="W904">
        <v>112</v>
      </c>
      <c r="X904" s="151" t="s">
        <v>1429</v>
      </c>
      <c r="Y904" s="135" t="s">
        <v>55</v>
      </c>
      <c r="Z904" s="307">
        <v>210</v>
      </c>
      <c r="AB904" t="str">
        <f>IF(Table1[[#This Row],[TIPO2]]="costo", VLOOKUP(Table1[[#This Row],[PARTIDA PRESUPUESTAL]],'Cost Report'!G:G,1,0),"Balance")</f>
        <v>2502-003</v>
      </c>
      <c r="AC904" s="118"/>
      <c r="AD904" s="159">
        <f>+Table1[[#This Row],[SUBTOTAL]]+Table1[[#This Row],[IVA]]-Table1[[#This Row],[RET IVA]]-Table1[[#This Row],[RET ISR]]-Table1[[#This Row],[TOTAL]]</f>
        <v>0</v>
      </c>
      <c r="AE904" s="150"/>
      <c r="AF904" s="151"/>
      <c r="AG904" s="126"/>
      <c r="AH904" s="115"/>
      <c r="AK904" s="306" t="str">
        <f>IF(ISNUMBER(Table1[[#This Row],[FECHA DE RECIBIDO]]), Table1[[#This Row],[FECHA DE RECIBIDO]]-DATE(2023,8,30), "")</f>
        <v/>
      </c>
    </row>
    <row r="905" spans="1:37" ht="16.05" customHeight="1">
      <c r="A905" s="152" t="s">
        <v>3205</v>
      </c>
      <c r="B905" s="153">
        <v>383</v>
      </c>
      <c r="C905" s="126" t="s">
        <v>594</v>
      </c>
      <c r="D905">
        <v>612</v>
      </c>
      <c r="E905" s="126" t="s">
        <v>3143</v>
      </c>
      <c r="F905" s="125" t="s">
        <v>1589</v>
      </c>
      <c r="G905" s="125" t="s">
        <v>129</v>
      </c>
      <c r="H905">
        <v>192</v>
      </c>
      <c r="I905" s="125" t="s">
        <v>1546</v>
      </c>
      <c r="J905" s="308" t="s">
        <v>214</v>
      </c>
      <c r="K905" s="127" t="s">
        <v>3286</v>
      </c>
      <c r="L905" s="153" t="s">
        <v>110</v>
      </c>
      <c r="M905">
        <v>257</v>
      </c>
      <c r="N905" s="123">
        <v>57</v>
      </c>
      <c r="O905">
        <v>617</v>
      </c>
      <c r="P905" s="132" t="s">
        <v>77</v>
      </c>
      <c r="Q905" s="132">
        <v>15750</v>
      </c>
      <c r="R905" s="132">
        <v>2520</v>
      </c>
      <c r="S905" s="132"/>
      <c r="T905" s="156">
        <v>1680</v>
      </c>
      <c r="U905" s="132">
        <v>1575</v>
      </c>
      <c r="V905" s="132">
        <v>15015</v>
      </c>
      <c r="W905">
        <v>113</v>
      </c>
      <c r="X905" s="153" t="s">
        <v>1429</v>
      </c>
      <c r="Y905" s="124" t="s">
        <v>55</v>
      </c>
      <c r="Z905" s="308">
        <v>210</v>
      </c>
      <c r="AB905" t="str">
        <f>IF(Table1[[#This Row],[TIPO2]]="costo", VLOOKUP(Table1[[#This Row],[PARTIDA PRESUPUESTAL]],'Cost Report'!G:G,1,0),"Balance")</f>
        <v>2403-003</v>
      </c>
      <c r="AC905" s="118"/>
      <c r="AD905" s="159">
        <f>+Table1[[#This Row],[SUBTOTAL]]+Table1[[#This Row],[IVA]]-Table1[[#This Row],[RET IVA]]-Table1[[#This Row],[RET ISR]]-Table1[[#This Row],[TOTAL]]</f>
        <v>0</v>
      </c>
      <c r="AE905" s="152"/>
      <c r="AF905" s="153"/>
      <c r="AG905" s="126"/>
      <c r="AH905" s="115"/>
      <c r="AK905" s="306" t="str">
        <f>IF(ISNUMBER(Table1[[#This Row],[FECHA DE RECIBIDO]]), Table1[[#This Row],[FECHA DE RECIBIDO]]-DATE(2023,8,30), "")</f>
        <v/>
      </c>
    </row>
    <row r="906" spans="1:37" ht="16.05" customHeight="1">
      <c r="A906" s="150" t="s">
        <v>3206</v>
      </c>
      <c r="B906" s="151">
        <v>384</v>
      </c>
      <c r="C906" s="126" t="s">
        <v>606</v>
      </c>
      <c r="D906">
        <v>613</v>
      </c>
      <c r="E906" s="126" t="s">
        <v>3145</v>
      </c>
      <c r="F906" s="122" t="s">
        <v>1589</v>
      </c>
      <c r="G906" s="122" t="s">
        <v>129</v>
      </c>
      <c r="H906">
        <v>193</v>
      </c>
      <c r="I906" s="122" t="s">
        <v>1546</v>
      </c>
      <c r="J906" s="307" t="s">
        <v>214</v>
      </c>
      <c r="K906" s="127" t="s">
        <v>3286</v>
      </c>
      <c r="L906" s="151" t="s">
        <v>110</v>
      </c>
      <c r="M906">
        <v>258</v>
      </c>
      <c r="N906" s="123">
        <v>58</v>
      </c>
      <c r="O906">
        <v>618</v>
      </c>
      <c r="P906" s="132" t="s">
        <v>77</v>
      </c>
      <c r="Q906" s="131">
        <v>7800</v>
      </c>
      <c r="R906" s="131">
        <v>1248</v>
      </c>
      <c r="S906" s="131"/>
      <c r="T906" s="155">
        <v>832</v>
      </c>
      <c r="U906" s="131">
        <v>780</v>
      </c>
      <c r="V906" s="131">
        <v>7436</v>
      </c>
      <c r="W906">
        <v>114</v>
      </c>
      <c r="X906" s="151" t="s">
        <v>2024</v>
      </c>
      <c r="Y906" s="135" t="s">
        <v>55</v>
      </c>
      <c r="Z906" s="307">
        <v>210</v>
      </c>
      <c r="AB906" t="str">
        <f>IF(Table1[[#This Row],[TIPO2]]="costo", VLOOKUP(Table1[[#This Row],[PARTIDA PRESUPUESTAL]],'Cost Report'!G:G,1,0),"Balance")</f>
        <v>2403-021</v>
      </c>
      <c r="AC906" s="118"/>
      <c r="AD906" s="159">
        <f>+Table1[[#This Row],[SUBTOTAL]]+Table1[[#This Row],[IVA]]-Table1[[#This Row],[RET IVA]]-Table1[[#This Row],[RET ISR]]-Table1[[#This Row],[TOTAL]]</f>
        <v>0</v>
      </c>
      <c r="AE906" s="150"/>
      <c r="AF906" s="151"/>
      <c r="AG906" s="126"/>
      <c r="AH906" s="115"/>
      <c r="AK906" s="306" t="str">
        <f>IF(ISNUMBER(Table1[[#This Row],[FECHA DE RECIBIDO]]), Table1[[#This Row],[FECHA DE RECIBIDO]]-DATE(2023,8,30), "")</f>
        <v/>
      </c>
    </row>
    <row r="907" spans="1:37" ht="16.05" customHeight="1">
      <c r="A907" s="152" t="s">
        <v>3207</v>
      </c>
      <c r="B907" s="153">
        <v>385</v>
      </c>
      <c r="C907" s="126" t="s">
        <v>606</v>
      </c>
      <c r="D907">
        <v>614</v>
      </c>
      <c r="E907" s="126" t="s">
        <v>3147</v>
      </c>
      <c r="F907" s="125" t="s">
        <v>1589</v>
      </c>
      <c r="G907" s="125" t="s">
        <v>129</v>
      </c>
      <c r="H907">
        <v>194</v>
      </c>
      <c r="I907" s="125" t="s">
        <v>1546</v>
      </c>
      <c r="J907" s="308" t="s">
        <v>214</v>
      </c>
      <c r="K907" s="127" t="s">
        <v>3286</v>
      </c>
      <c r="L907" s="153" t="s">
        <v>110</v>
      </c>
      <c r="M907">
        <v>259</v>
      </c>
      <c r="N907" s="123">
        <v>59</v>
      </c>
      <c r="O907">
        <v>619</v>
      </c>
      <c r="P907" s="132" t="s">
        <v>77</v>
      </c>
      <c r="Q907" s="132">
        <v>7800</v>
      </c>
      <c r="R907" s="132">
        <v>1248</v>
      </c>
      <c r="S907" s="132"/>
      <c r="T907" s="156">
        <v>832</v>
      </c>
      <c r="U907" s="132">
        <v>780</v>
      </c>
      <c r="V907" s="132">
        <v>7436</v>
      </c>
      <c r="W907">
        <v>115</v>
      </c>
      <c r="X907" s="153" t="s">
        <v>1434</v>
      </c>
      <c r="Y907" s="124" t="s">
        <v>55</v>
      </c>
      <c r="Z907" s="308">
        <v>210</v>
      </c>
      <c r="AB907" t="str">
        <f>IF(Table1[[#This Row],[TIPO2]]="costo", VLOOKUP(Table1[[#This Row],[PARTIDA PRESUPUESTAL]],'Cost Report'!G:G,1,0),"Balance")</f>
        <v>2403-021</v>
      </c>
      <c r="AC907" s="118"/>
      <c r="AD907" s="159">
        <f>+Table1[[#This Row],[SUBTOTAL]]+Table1[[#This Row],[IVA]]-Table1[[#This Row],[RET IVA]]-Table1[[#This Row],[RET ISR]]-Table1[[#This Row],[TOTAL]]</f>
        <v>0</v>
      </c>
      <c r="AE907" s="152"/>
      <c r="AF907" s="153"/>
      <c r="AG907" s="126"/>
      <c r="AH907" s="115"/>
      <c r="AK907" s="306" t="str">
        <f>IF(ISNUMBER(Table1[[#This Row],[FECHA DE RECIBIDO]]), Table1[[#This Row],[FECHA DE RECIBIDO]]-DATE(2023,8,30), "")</f>
        <v/>
      </c>
    </row>
    <row r="908" spans="1:37" ht="16.05" customHeight="1">
      <c r="A908" s="150" t="s">
        <v>3208</v>
      </c>
      <c r="B908" s="151">
        <v>386</v>
      </c>
      <c r="C908" s="126" t="s">
        <v>606</v>
      </c>
      <c r="D908">
        <v>615</v>
      </c>
      <c r="E908" s="126" t="s">
        <v>3149</v>
      </c>
      <c r="F908" s="122" t="s">
        <v>1593</v>
      </c>
      <c r="G908" s="122" t="s">
        <v>109</v>
      </c>
      <c r="H908">
        <v>195</v>
      </c>
      <c r="I908" s="122" t="s">
        <v>1546</v>
      </c>
      <c r="J908" s="307" t="s">
        <v>214</v>
      </c>
      <c r="K908" s="127" t="s">
        <v>3286</v>
      </c>
      <c r="L908" s="151" t="s">
        <v>110</v>
      </c>
      <c r="M908">
        <v>260</v>
      </c>
      <c r="N908" s="123">
        <v>60</v>
      </c>
      <c r="O908">
        <v>620</v>
      </c>
      <c r="P908" s="132" t="s">
        <v>77</v>
      </c>
      <c r="Q908" s="131">
        <v>7800</v>
      </c>
      <c r="R908" s="131">
        <v>1248</v>
      </c>
      <c r="S908" s="131"/>
      <c r="T908" s="155">
        <v>832</v>
      </c>
      <c r="U908" s="131">
        <v>97.5</v>
      </c>
      <c r="V908" s="131">
        <v>8118.5</v>
      </c>
      <c r="W908">
        <v>116</v>
      </c>
      <c r="X908" s="151" t="s">
        <v>1431</v>
      </c>
      <c r="Y908" s="135" t="s">
        <v>55</v>
      </c>
      <c r="Z908" s="307">
        <v>210</v>
      </c>
      <c r="AB908" t="str">
        <f>IF(Table1[[#This Row],[TIPO2]]="costo", VLOOKUP(Table1[[#This Row],[PARTIDA PRESUPUESTAL]],'Cost Report'!G:G,1,0),"Balance")</f>
        <v>2403-021</v>
      </c>
      <c r="AC908" s="118"/>
      <c r="AD908" s="159">
        <f>+Table1[[#This Row],[SUBTOTAL]]+Table1[[#This Row],[IVA]]-Table1[[#This Row],[RET IVA]]-Table1[[#This Row],[RET ISR]]-Table1[[#This Row],[TOTAL]]</f>
        <v>0</v>
      </c>
      <c r="AE908" s="150"/>
      <c r="AF908" s="151"/>
      <c r="AG908" s="126"/>
      <c r="AH908" s="115"/>
      <c r="AK908" s="306" t="str">
        <f>IF(ISNUMBER(Table1[[#This Row],[FECHA DE RECIBIDO]]), Table1[[#This Row],[FECHA DE RECIBIDO]]-DATE(2023,8,30), "")</f>
        <v/>
      </c>
    </row>
    <row r="909" spans="1:37" ht="16.05" customHeight="1">
      <c r="A909" s="152" t="s">
        <v>3209</v>
      </c>
      <c r="B909" s="153">
        <v>387</v>
      </c>
      <c r="C909" s="126" t="s">
        <v>1816</v>
      </c>
      <c r="D909">
        <v>616</v>
      </c>
      <c r="E909" s="126" t="s">
        <v>1577</v>
      </c>
      <c r="F909" s="125" t="s">
        <v>1589</v>
      </c>
      <c r="G909" s="125" t="s">
        <v>129</v>
      </c>
      <c r="H909">
        <v>29</v>
      </c>
      <c r="I909" s="125" t="s">
        <v>1546</v>
      </c>
      <c r="J909" s="308" t="s">
        <v>214</v>
      </c>
      <c r="K909" s="127" t="s">
        <v>3286</v>
      </c>
      <c r="L909" s="153" t="s">
        <v>110</v>
      </c>
      <c r="M909">
        <v>38</v>
      </c>
      <c r="N909" s="123">
        <v>16</v>
      </c>
      <c r="O909">
        <v>621</v>
      </c>
      <c r="P909" s="132" t="s">
        <v>77</v>
      </c>
      <c r="Q909" s="132">
        <v>28000</v>
      </c>
      <c r="R909" s="132">
        <v>4480</v>
      </c>
      <c r="S909" s="132"/>
      <c r="T909" s="156">
        <v>2986.68</v>
      </c>
      <c r="U909" s="132">
        <v>2800</v>
      </c>
      <c r="V909" s="132">
        <v>26693.32</v>
      </c>
      <c r="W909">
        <v>31</v>
      </c>
      <c r="X909" s="153" t="s">
        <v>1429</v>
      </c>
      <c r="Y909" s="124" t="s">
        <v>55</v>
      </c>
      <c r="Z909" s="308">
        <v>210</v>
      </c>
      <c r="AB909" t="str">
        <f>IF(Table1[[#This Row],[TIPO2]]="costo", VLOOKUP(Table1[[#This Row],[PARTIDA PRESUPUESTAL]],'Cost Report'!G:G,1,0),"Balance")</f>
        <v>2705-003</v>
      </c>
      <c r="AC909" s="118"/>
      <c r="AD909" s="159">
        <f>+Table1[[#This Row],[SUBTOTAL]]+Table1[[#This Row],[IVA]]-Table1[[#This Row],[RET IVA]]-Table1[[#This Row],[RET ISR]]-Table1[[#This Row],[TOTAL]]</f>
        <v>0</v>
      </c>
      <c r="AE909" s="152"/>
      <c r="AF909" s="153"/>
      <c r="AG909" s="126"/>
      <c r="AH909" s="115"/>
      <c r="AK909" s="306" t="str">
        <f>IF(ISNUMBER(Table1[[#This Row],[FECHA DE RECIBIDO]]), Table1[[#This Row],[FECHA DE RECIBIDO]]-DATE(2023,8,30), "")</f>
        <v/>
      </c>
    </row>
    <row r="910" spans="1:37" ht="16.05" customHeight="1">
      <c r="A910" s="150" t="s">
        <v>3210</v>
      </c>
      <c r="B910" s="151">
        <v>388</v>
      </c>
      <c r="C910" s="126" t="s">
        <v>657</v>
      </c>
      <c r="D910">
        <v>617</v>
      </c>
      <c r="E910" s="126" t="s">
        <v>1894</v>
      </c>
      <c r="F910" s="122" t="s">
        <v>1593</v>
      </c>
      <c r="G910" s="122" t="s">
        <v>109</v>
      </c>
      <c r="H910">
        <v>67</v>
      </c>
      <c r="I910" s="122" t="s">
        <v>1546</v>
      </c>
      <c r="J910" s="307" t="s">
        <v>214</v>
      </c>
      <c r="K910" s="127" t="s">
        <v>3286</v>
      </c>
      <c r="L910" s="151" t="s">
        <v>110</v>
      </c>
      <c r="M910">
        <v>90</v>
      </c>
      <c r="N910" s="123">
        <v>27</v>
      </c>
      <c r="O910">
        <v>622</v>
      </c>
      <c r="P910" s="132" t="s">
        <v>77</v>
      </c>
      <c r="Q910" s="131">
        <v>20000</v>
      </c>
      <c r="R910" s="131">
        <v>3200</v>
      </c>
      <c r="S910" s="131"/>
      <c r="T910" s="155">
        <v>2133.34</v>
      </c>
      <c r="U910" s="131">
        <v>250</v>
      </c>
      <c r="V910" s="131">
        <v>20816.66</v>
      </c>
      <c r="W910">
        <v>49</v>
      </c>
      <c r="X910" s="151" t="s">
        <v>1430</v>
      </c>
      <c r="Y910" s="135" t="s">
        <v>55</v>
      </c>
      <c r="Z910" s="307">
        <v>210</v>
      </c>
      <c r="AB910" t="str">
        <f>IF(Table1[[#This Row],[TIPO2]]="costo", VLOOKUP(Table1[[#This Row],[PARTIDA PRESUPUESTAL]],'Cost Report'!G:G,1,0),"Balance")</f>
        <v>2703-003</v>
      </c>
      <c r="AC910" s="118"/>
      <c r="AD910" s="159">
        <f>+Table1[[#This Row],[SUBTOTAL]]+Table1[[#This Row],[IVA]]-Table1[[#This Row],[RET IVA]]-Table1[[#This Row],[RET ISR]]-Table1[[#This Row],[TOTAL]]</f>
        <v>0</v>
      </c>
      <c r="AE910" s="150"/>
      <c r="AF910" s="151"/>
      <c r="AG910" s="126"/>
      <c r="AH910" s="115"/>
      <c r="AK910" s="306" t="str">
        <f>IF(ISNUMBER(Table1[[#This Row],[FECHA DE RECIBIDO]]), Table1[[#This Row],[FECHA DE RECIBIDO]]-DATE(2023,8,30), "")</f>
        <v/>
      </c>
    </row>
    <row r="911" spans="1:37" ht="16.05" customHeight="1">
      <c r="A911" s="152" t="s">
        <v>3211</v>
      </c>
      <c r="B911" s="153">
        <v>389</v>
      </c>
      <c r="C911" s="126" t="s">
        <v>2598</v>
      </c>
      <c r="D911">
        <v>618</v>
      </c>
      <c r="E911" s="126" t="s">
        <v>1577</v>
      </c>
      <c r="F911" s="125" t="s">
        <v>1589</v>
      </c>
      <c r="G911" s="125" t="s">
        <v>129</v>
      </c>
      <c r="H911">
        <v>68</v>
      </c>
      <c r="I911" s="125" t="s">
        <v>1546</v>
      </c>
      <c r="J911" s="308" t="s">
        <v>214</v>
      </c>
      <c r="K911" s="127" t="s">
        <v>3286</v>
      </c>
      <c r="L911" s="153" t="s">
        <v>110</v>
      </c>
      <c r="M911">
        <v>91</v>
      </c>
      <c r="N911" s="123">
        <v>28</v>
      </c>
      <c r="O911">
        <v>623</v>
      </c>
      <c r="P911" s="132" t="s">
        <v>77</v>
      </c>
      <c r="Q911" s="132">
        <v>18000</v>
      </c>
      <c r="R911" s="132">
        <v>2880</v>
      </c>
      <c r="S911" s="132"/>
      <c r="T911" s="156">
        <v>1920</v>
      </c>
      <c r="U911" s="132">
        <v>1800</v>
      </c>
      <c r="V911" s="132">
        <v>17160</v>
      </c>
      <c r="W911">
        <v>50</v>
      </c>
      <c r="X911" s="153" t="s">
        <v>1434</v>
      </c>
      <c r="Y911" s="124" t="s">
        <v>55</v>
      </c>
      <c r="Z911" s="308">
        <v>210</v>
      </c>
      <c r="AB911" t="str">
        <f>IF(Table1[[#This Row],[TIPO2]]="costo", VLOOKUP(Table1[[#This Row],[PARTIDA PRESUPUESTAL]],'Cost Report'!G:G,1,0),"Balance")</f>
        <v>2795-011</v>
      </c>
      <c r="AC911" s="118"/>
      <c r="AD911" s="159">
        <f>+Table1[[#This Row],[SUBTOTAL]]+Table1[[#This Row],[IVA]]-Table1[[#This Row],[RET IVA]]-Table1[[#This Row],[RET ISR]]-Table1[[#This Row],[TOTAL]]</f>
        <v>0</v>
      </c>
      <c r="AE911" s="152"/>
      <c r="AF911" s="153"/>
      <c r="AG911" s="126"/>
      <c r="AH911" s="115"/>
      <c r="AK911" s="306" t="str">
        <f>IF(ISNUMBER(Table1[[#This Row],[FECHA DE RECIBIDO]]), Table1[[#This Row],[FECHA DE RECIBIDO]]-DATE(2023,8,30), "")</f>
        <v/>
      </c>
    </row>
    <row r="912" spans="1:37" ht="16.05" customHeight="1">
      <c r="A912" s="150" t="s">
        <v>3212</v>
      </c>
      <c r="B912" s="151">
        <v>390</v>
      </c>
      <c r="C912" s="126" t="s">
        <v>653</v>
      </c>
      <c r="D912">
        <v>619</v>
      </c>
      <c r="E912" s="126" t="s">
        <v>1895</v>
      </c>
      <c r="F912" s="122" t="s">
        <v>1589</v>
      </c>
      <c r="G912" s="122" t="s">
        <v>129</v>
      </c>
      <c r="H912">
        <v>69</v>
      </c>
      <c r="I912" s="122" t="s">
        <v>1546</v>
      </c>
      <c r="J912" s="307" t="s">
        <v>214</v>
      </c>
      <c r="K912" s="127" t="s">
        <v>3286</v>
      </c>
      <c r="L912" s="151" t="s">
        <v>110</v>
      </c>
      <c r="M912">
        <v>92</v>
      </c>
      <c r="N912" s="123">
        <v>29</v>
      </c>
      <c r="O912">
        <v>624</v>
      </c>
      <c r="P912" s="132" t="s">
        <v>77</v>
      </c>
      <c r="Q912" s="131">
        <v>45000</v>
      </c>
      <c r="R912" s="131">
        <v>7200</v>
      </c>
      <c r="S912" s="131"/>
      <c r="T912" s="155">
        <v>4800.1400000000003</v>
      </c>
      <c r="U912" s="131">
        <v>4500</v>
      </c>
      <c r="V912" s="131">
        <v>42899.86</v>
      </c>
      <c r="W912">
        <v>51</v>
      </c>
      <c r="X912" s="151" t="s">
        <v>1434</v>
      </c>
      <c r="Y912" s="135" t="s">
        <v>55</v>
      </c>
      <c r="Z912" s="307">
        <v>210</v>
      </c>
      <c r="AB912" t="str">
        <f>IF(Table1[[#This Row],[TIPO2]]="costo", VLOOKUP(Table1[[#This Row],[PARTIDA PRESUPUESTAL]],'Cost Report'!G:G,1,0),"Balance")</f>
        <v>2701-003</v>
      </c>
      <c r="AC912" s="118"/>
      <c r="AD912" s="159">
        <f>+Table1[[#This Row],[SUBTOTAL]]+Table1[[#This Row],[IVA]]-Table1[[#This Row],[RET IVA]]-Table1[[#This Row],[RET ISR]]-Table1[[#This Row],[TOTAL]]</f>
        <v>0</v>
      </c>
      <c r="AE912" s="150"/>
      <c r="AF912" s="151"/>
      <c r="AG912" s="126"/>
      <c r="AH912" s="115"/>
      <c r="AK912" s="306" t="str">
        <f>IF(ISNUMBER(Table1[[#This Row],[FECHA DE RECIBIDO]]), Table1[[#This Row],[FECHA DE RECIBIDO]]-DATE(2023,8,30), "")</f>
        <v/>
      </c>
    </row>
    <row r="913" spans="1:37" ht="16.05" customHeight="1">
      <c r="A913" s="152" t="s">
        <v>3213</v>
      </c>
      <c r="B913" s="153">
        <v>391</v>
      </c>
      <c r="C913" s="126" t="s">
        <v>661</v>
      </c>
      <c r="D913">
        <v>620</v>
      </c>
      <c r="E913" s="126" t="s">
        <v>3214</v>
      </c>
      <c r="F913" s="125" t="s">
        <v>1589</v>
      </c>
      <c r="G913" s="125" t="s">
        <v>129</v>
      </c>
      <c r="H913">
        <v>204</v>
      </c>
      <c r="I913" s="125" t="s">
        <v>1546</v>
      </c>
      <c r="J913" s="308" t="s">
        <v>214</v>
      </c>
      <c r="K913" s="127" t="s">
        <v>3286</v>
      </c>
      <c r="L913" s="153" t="s">
        <v>110</v>
      </c>
      <c r="M913">
        <v>269</v>
      </c>
      <c r="N913" s="123">
        <v>69</v>
      </c>
      <c r="O913">
        <v>625</v>
      </c>
      <c r="P913" s="132" t="s">
        <v>77</v>
      </c>
      <c r="Q913" s="132">
        <v>22500</v>
      </c>
      <c r="R913" s="132">
        <v>3600</v>
      </c>
      <c r="S913" s="132"/>
      <c r="T913" s="156">
        <v>2400</v>
      </c>
      <c r="U913" s="132">
        <v>2250</v>
      </c>
      <c r="V913" s="132">
        <v>21450</v>
      </c>
      <c r="W913">
        <v>125</v>
      </c>
      <c r="X913" s="153" t="s">
        <v>1434</v>
      </c>
      <c r="Y913" s="124" t="s">
        <v>55</v>
      </c>
      <c r="Z913" s="308">
        <v>210</v>
      </c>
      <c r="AB913" t="str">
        <f>IF(Table1[[#This Row],[TIPO2]]="costo", VLOOKUP(Table1[[#This Row],[PARTIDA PRESUPUESTAL]],'Cost Report'!G:G,1,0),"Balance")</f>
        <v>2707-003</v>
      </c>
      <c r="AC913" s="118"/>
      <c r="AD913" s="159">
        <f>+Table1[[#This Row],[SUBTOTAL]]+Table1[[#This Row],[IVA]]-Table1[[#This Row],[RET IVA]]-Table1[[#This Row],[RET ISR]]-Table1[[#This Row],[TOTAL]]</f>
        <v>0</v>
      </c>
      <c r="AE913" s="152"/>
      <c r="AF913" s="153"/>
      <c r="AG913" s="126"/>
      <c r="AH913" s="115"/>
      <c r="AK913" s="306" t="str">
        <f>IF(ISNUMBER(Table1[[#This Row],[FECHA DE RECIBIDO]]), Table1[[#This Row],[FECHA DE RECIBIDO]]-DATE(2023,8,30), "")</f>
        <v/>
      </c>
    </row>
    <row r="914" spans="1:37" ht="16.05" customHeight="1">
      <c r="A914" s="150" t="s">
        <v>3215</v>
      </c>
      <c r="B914" s="151">
        <v>392</v>
      </c>
      <c r="C914" s="126" t="s">
        <v>1525</v>
      </c>
      <c r="D914">
        <v>621</v>
      </c>
      <c r="E914" s="126" t="s">
        <v>2012</v>
      </c>
      <c r="F914" s="122" t="s">
        <v>1589</v>
      </c>
      <c r="G914" s="122" t="s">
        <v>129</v>
      </c>
      <c r="H914">
        <v>205</v>
      </c>
      <c r="I914" s="122" t="s">
        <v>1546</v>
      </c>
      <c r="J914" s="307" t="s">
        <v>214</v>
      </c>
      <c r="K914" s="127" t="s">
        <v>3286</v>
      </c>
      <c r="L914" s="151" t="s">
        <v>110</v>
      </c>
      <c r="M914">
        <v>270</v>
      </c>
      <c r="N914" s="123">
        <v>70</v>
      </c>
      <c r="O914">
        <v>626</v>
      </c>
      <c r="P914" s="132" t="s">
        <v>77</v>
      </c>
      <c r="Q914" s="131">
        <v>24000</v>
      </c>
      <c r="R914" s="131">
        <v>3840</v>
      </c>
      <c r="S914" s="131"/>
      <c r="T914" s="155">
        <v>2560.02</v>
      </c>
      <c r="U914" s="131">
        <v>2400</v>
      </c>
      <c r="V914" s="131">
        <v>22879.98</v>
      </c>
      <c r="W914">
        <v>126</v>
      </c>
      <c r="X914" s="151" t="s">
        <v>1434</v>
      </c>
      <c r="Y914" s="135" t="s">
        <v>55</v>
      </c>
      <c r="Z914" s="307">
        <v>210</v>
      </c>
      <c r="AB914" t="str">
        <f>IF(Table1[[#This Row],[TIPO2]]="costo", VLOOKUP(Table1[[#This Row],[PARTIDA PRESUPUESTAL]],'Cost Report'!G:G,1,0),"Balance")</f>
        <v>2706-003</v>
      </c>
      <c r="AC914" s="118"/>
      <c r="AD914" s="159">
        <f>+Table1[[#This Row],[SUBTOTAL]]+Table1[[#This Row],[IVA]]-Table1[[#This Row],[RET IVA]]-Table1[[#This Row],[RET ISR]]-Table1[[#This Row],[TOTAL]]</f>
        <v>0</v>
      </c>
      <c r="AE914" s="150"/>
      <c r="AF914" s="151"/>
      <c r="AG914" s="126"/>
      <c r="AH914" s="115"/>
      <c r="AK914" s="306" t="str">
        <f>IF(ISNUMBER(Table1[[#This Row],[FECHA DE RECIBIDO]]), Table1[[#This Row],[FECHA DE RECIBIDO]]-DATE(2023,8,30), "")</f>
        <v/>
      </c>
    </row>
    <row r="915" spans="1:37" ht="16.05" customHeight="1">
      <c r="A915" s="152" t="s">
        <v>3216</v>
      </c>
      <c r="B915" s="153">
        <v>393</v>
      </c>
      <c r="C915" s="126" t="s">
        <v>380</v>
      </c>
      <c r="D915">
        <v>622</v>
      </c>
      <c r="E915" s="126" t="s">
        <v>3217</v>
      </c>
      <c r="F915" s="125" t="s">
        <v>1593</v>
      </c>
      <c r="G915" s="125" t="s">
        <v>109</v>
      </c>
      <c r="H915">
        <v>206</v>
      </c>
      <c r="I915" s="125" t="s">
        <v>1546</v>
      </c>
      <c r="J915" s="308" t="s">
        <v>214</v>
      </c>
      <c r="K915" s="127" t="s">
        <v>3286</v>
      </c>
      <c r="L915" s="153" t="s">
        <v>110</v>
      </c>
      <c r="M915">
        <v>271</v>
      </c>
      <c r="N915" s="123">
        <v>71</v>
      </c>
      <c r="O915">
        <v>627</v>
      </c>
      <c r="P915" s="132" t="s">
        <v>77</v>
      </c>
      <c r="Q915" s="132">
        <v>25500</v>
      </c>
      <c r="R915" s="132">
        <v>4080</v>
      </c>
      <c r="S915" s="132"/>
      <c r="T915" s="156">
        <v>2720.26</v>
      </c>
      <c r="U915" s="132">
        <v>318.75</v>
      </c>
      <c r="V915" s="132">
        <v>26540.989999999998</v>
      </c>
      <c r="W915">
        <v>127</v>
      </c>
      <c r="X915" s="153" t="s">
        <v>1431</v>
      </c>
      <c r="Y915" s="124" t="s">
        <v>55</v>
      </c>
      <c r="Z915" s="308">
        <v>210</v>
      </c>
      <c r="AB915" t="str">
        <f>IF(Table1[[#This Row],[TIPO2]]="costo", VLOOKUP(Table1[[#This Row],[PARTIDA PRESUPUESTAL]],'Cost Report'!G:G,1,0),"Balance")</f>
        <v>1413-003</v>
      </c>
      <c r="AC915" s="118"/>
      <c r="AD915" s="159">
        <f>+Table1[[#This Row],[SUBTOTAL]]+Table1[[#This Row],[IVA]]-Table1[[#This Row],[RET IVA]]-Table1[[#This Row],[RET ISR]]-Table1[[#This Row],[TOTAL]]</f>
        <v>0</v>
      </c>
      <c r="AE915" s="152"/>
      <c r="AF915" s="153"/>
      <c r="AG915" s="126"/>
      <c r="AH915" s="115"/>
      <c r="AK915" s="306" t="str">
        <f>IF(ISNUMBER(Table1[[#This Row],[FECHA DE RECIBIDO]]), Table1[[#This Row],[FECHA DE RECIBIDO]]-DATE(2023,8,30), "")</f>
        <v/>
      </c>
    </row>
    <row r="916" spans="1:37" ht="16.05" customHeight="1">
      <c r="A916" s="150" t="s">
        <v>3218</v>
      </c>
      <c r="B916" s="151">
        <v>394</v>
      </c>
      <c r="C916" s="126" t="s">
        <v>1198</v>
      </c>
      <c r="D916">
        <v>623</v>
      </c>
      <c r="E916" s="126" t="s">
        <v>2018</v>
      </c>
      <c r="F916" s="122" t="s">
        <v>1593</v>
      </c>
      <c r="G916" s="122" t="s">
        <v>109</v>
      </c>
      <c r="H916">
        <v>116</v>
      </c>
      <c r="I916" s="122" t="s">
        <v>1546</v>
      </c>
      <c r="J916" s="307" t="s">
        <v>214</v>
      </c>
      <c r="K916" s="127" t="s">
        <v>3286</v>
      </c>
      <c r="L916" s="151" t="s">
        <v>110</v>
      </c>
      <c r="M916">
        <v>154</v>
      </c>
      <c r="N916" s="123">
        <v>46</v>
      </c>
      <c r="O916">
        <v>628</v>
      </c>
      <c r="P916" s="132" t="s">
        <v>77</v>
      </c>
      <c r="Q916" s="131">
        <v>22000</v>
      </c>
      <c r="R916" s="131">
        <v>3520</v>
      </c>
      <c r="S916" s="131"/>
      <c r="T916" s="155">
        <v>2346.6799999999998</v>
      </c>
      <c r="U916" s="131">
        <v>275</v>
      </c>
      <c r="V916" s="131">
        <v>22898.32</v>
      </c>
      <c r="W916">
        <v>78</v>
      </c>
      <c r="X916" s="151" t="s">
        <v>1430</v>
      </c>
      <c r="Y916" s="135" t="s">
        <v>55</v>
      </c>
      <c r="Z916" s="307">
        <v>210</v>
      </c>
      <c r="AB916" t="str">
        <f>IF(Table1[[#This Row],[TIPO2]]="costo", VLOOKUP(Table1[[#This Row],[PARTIDA PRESUPUESTAL]],'Cost Report'!G:G,1,0),"Balance")</f>
        <v>5009-004</v>
      </c>
      <c r="AC916" s="118"/>
      <c r="AD916" s="159">
        <f>+Table1[[#This Row],[SUBTOTAL]]+Table1[[#This Row],[IVA]]-Table1[[#This Row],[RET IVA]]-Table1[[#This Row],[RET ISR]]-Table1[[#This Row],[TOTAL]]</f>
        <v>0</v>
      </c>
      <c r="AE916" s="150"/>
      <c r="AF916" s="151"/>
      <c r="AG916" s="126"/>
      <c r="AH916" s="115"/>
      <c r="AK916" s="306" t="str">
        <f>IF(ISNUMBER(Table1[[#This Row],[FECHA DE RECIBIDO]]), Table1[[#This Row],[FECHA DE RECIBIDO]]-DATE(2023,8,30), "")</f>
        <v/>
      </c>
    </row>
    <row r="917" spans="1:37" ht="16.05" customHeight="1">
      <c r="A917" s="152" t="s">
        <v>3219</v>
      </c>
      <c r="B917" s="153">
        <v>395</v>
      </c>
      <c r="C917" s="126" t="s">
        <v>1202</v>
      </c>
      <c r="D917">
        <v>624</v>
      </c>
      <c r="E917" s="126" t="s">
        <v>3220</v>
      </c>
      <c r="F917" s="125" t="s">
        <v>1589</v>
      </c>
      <c r="G917" s="125" t="s">
        <v>129</v>
      </c>
      <c r="H917">
        <v>207</v>
      </c>
      <c r="I917" s="125" t="s">
        <v>1546</v>
      </c>
      <c r="J917" s="308" t="s">
        <v>214</v>
      </c>
      <c r="K917" s="127" t="s">
        <v>3286</v>
      </c>
      <c r="L917" s="153" t="s">
        <v>110</v>
      </c>
      <c r="M917">
        <v>272</v>
      </c>
      <c r="N917" s="123">
        <v>72</v>
      </c>
      <c r="O917">
        <v>629</v>
      </c>
      <c r="P917" s="132" t="s">
        <v>77</v>
      </c>
      <c r="Q917" s="132">
        <v>22000</v>
      </c>
      <c r="R917" s="132">
        <v>3520</v>
      </c>
      <c r="S917" s="132"/>
      <c r="T917" s="156">
        <v>2346.6799999999998</v>
      </c>
      <c r="U917" s="132">
        <v>2200</v>
      </c>
      <c r="V917" s="132">
        <v>20973.32</v>
      </c>
      <c r="W917">
        <v>128</v>
      </c>
      <c r="X917" s="153" t="s">
        <v>1431</v>
      </c>
      <c r="Y917" s="124" t="s">
        <v>55</v>
      </c>
      <c r="Z917" s="308">
        <v>210</v>
      </c>
      <c r="AB917" t="str">
        <f>IF(Table1[[#This Row],[TIPO2]]="costo", VLOOKUP(Table1[[#This Row],[PARTIDA PRESUPUESTAL]],'Cost Report'!G:G,1,0),"Balance")</f>
        <v>5010-004</v>
      </c>
      <c r="AC917" s="118"/>
      <c r="AD917" s="159">
        <f>+Table1[[#This Row],[SUBTOTAL]]+Table1[[#This Row],[IVA]]-Table1[[#This Row],[RET IVA]]-Table1[[#This Row],[RET ISR]]-Table1[[#This Row],[TOTAL]]</f>
        <v>0</v>
      </c>
      <c r="AE917" s="152"/>
      <c r="AF917" s="153"/>
      <c r="AG917" s="126"/>
      <c r="AH917" s="115"/>
      <c r="AK917" s="306" t="str">
        <f>IF(ISNUMBER(Table1[[#This Row],[FECHA DE RECIBIDO]]), Table1[[#This Row],[FECHA DE RECIBIDO]]-DATE(2023,8,30), "")</f>
        <v/>
      </c>
    </row>
    <row r="918" spans="1:37" ht="16.05" customHeight="1">
      <c r="A918" s="150" t="s">
        <v>3221</v>
      </c>
      <c r="B918" s="151">
        <v>396</v>
      </c>
      <c r="C918" s="126" t="s">
        <v>2602</v>
      </c>
      <c r="D918">
        <v>625</v>
      </c>
      <c r="E918" s="126" t="s">
        <v>2019</v>
      </c>
      <c r="F918" s="122" t="s">
        <v>1602</v>
      </c>
      <c r="G918" s="122" t="s">
        <v>1617</v>
      </c>
      <c r="H918">
        <v>117</v>
      </c>
      <c r="I918" s="122" t="s">
        <v>1546</v>
      </c>
      <c r="J918" s="307" t="s">
        <v>214</v>
      </c>
      <c r="K918" s="127" t="s">
        <v>3286</v>
      </c>
      <c r="L918" s="151" t="s">
        <v>110</v>
      </c>
      <c r="M918">
        <v>155</v>
      </c>
      <c r="N918" s="123">
        <v>47</v>
      </c>
      <c r="O918">
        <v>630</v>
      </c>
      <c r="P918" s="132" t="s">
        <v>77</v>
      </c>
      <c r="Q918" s="131">
        <v>24600</v>
      </c>
      <c r="R918" s="131">
        <v>3936</v>
      </c>
      <c r="S918" s="131"/>
      <c r="T918" s="155">
        <v>2624.01</v>
      </c>
      <c r="U918" s="131">
        <v>0</v>
      </c>
      <c r="V918" s="131">
        <v>25911.989999999998</v>
      </c>
      <c r="W918">
        <v>79</v>
      </c>
      <c r="X918" s="151" t="s">
        <v>1429</v>
      </c>
      <c r="Y918" s="135" t="s">
        <v>55</v>
      </c>
      <c r="Z918" s="307">
        <v>210</v>
      </c>
      <c r="AB918" t="str">
        <f>IF(Table1[[#This Row],[TIPO2]]="costo", VLOOKUP(Table1[[#This Row],[PARTIDA PRESUPUESTAL]],'Cost Report'!G:G,1,0),"Balance")</f>
        <v>2801-009</v>
      </c>
      <c r="AC918" s="118"/>
      <c r="AD918" s="159">
        <f>+Table1[[#This Row],[SUBTOTAL]]+Table1[[#This Row],[IVA]]-Table1[[#This Row],[RET IVA]]-Table1[[#This Row],[RET ISR]]-Table1[[#This Row],[TOTAL]]</f>
        <v>0</v>
      </c>
      <c r="AE918" s="150"/>
      <c r="AF918" s="151"/>
      <c r="AG918" s="126"/>
      <c r="AH918" s="115"/>
      <c r="AK918" s="306" t="str">
        <f>IF(ISNUMBER(Table1[[#This Row],[FECHA DE RECIBIDO]]), Table1[[#This Row],[FECHA DE RECIBIDO]]-DATE(2023,8,30), "")</f>
        <v/>
      </c>
    </row>
    <row r="919" spans="1:37" ht="16.05" customHeight="1">
      <c r="A919" s="152" t="s">
        <v>3222</v>
      </c>
      <c r="B919" s="153">
        <v>397</v>
      </c>
      <c r="C919" s="126" t="s">
        <v>694</v>
      </c>
      <c r="D919">
        <v>626</v>
      </c>
      <c r="E919" s="126" t="s">
        <v>2020</v>
      </c>
      <c r="F919" s="125" t="s">
        <v>1602</v>
      </c>
      <c r="G919" s="125" t="s">
        <v>1617</v>
      </c>
      <c r="H919">
        <v>118</v>
      </c>
      <c r="I919" s="125" t="s">
        <v>1546</v>
      </c>
      <c r="J919" s="308" t="s">
        <v>214</v>
      </c>
      <c r="K919" s="127" t="s">
        <v>3286</v>
      </c>
      <c r="L919" s="153" t="s">
        <v>110</v>
      </c>
      <c r="M919">
        <v>156</v>
      </c>
      <c r="N919" s="123">
        <v>48</v>
      </c>
      <c r="O919">
        <v>631</v>
      </c>
      <c r="P919" s="132" t="s">
        <v>77</v>
      </c>
      <c r="Q919" s="132">
        <v>24000</v>
      </c>
      <c r="R919" s="132">
        <v>3840</v>
      </c>
      <c r="S919" s="132"/>
      <c r="T919" s="156">
        <v>2560.0100000000002</v>
      </c>
      <c r="U919" s="132">
        <v>0</v>
      </c>
      <c r="V919" s="132">
        <v>25279.989999999998</v>
      </c>
      <c r="W919">
        <v>80</v>
      </c>
      <c r="X919" s="153" t="s">
        <v>1429</v>
      </c>
      <c r="Y919" s="124" t="s">
        <v>55</v>
      </c>
      <c r="Z919" s="308">
        <v>210</v>
      </c>
      <c r="AB919" t="str">
        <f>IF(Table1[[#This Row],[TIPO2]]="costo", VLOOKUP(Table1[[#This Row],[PARTIDA PRESUPUESTAL]],'Cost Report'!G:G,1,0),"Balance")</f>
        <v>2804-003</v>
      </c>
      <c r="AC919" s="118"/>
      <c r="AD919" s="159">
        <f>+Table1[[#This Row],[SUBTOTAL]]+Table1[[#This Row],[IVA]]-Table1[[#This Row],[RET IVA]]-Table1[[#This Row],[RET ISR]]-Table1[[#This Row],[TOTAL]]</f>
        <v>0</v>
      </c>
      <c r="AE919" s="152"/>
      <c r="AF919" s="153"/>
      <c r="AG919" s="126"/>
      <c r="AH919" s="115"/>
      <c r="AK919" s="306" t="str">
        <f>IF(ISNUMBER(Table1[[#This Row],[FECHA DE RECIBIDO]]), Table1[[#This Row],[FECHA DE RECIBIDO]]-DATE(2023,8,30), "")</f>
        <v/>
      </c>
    </row>
    <row r="920" spans="1:37" ht="16.05" customHeight="1">
      <c r="A920" s="150" t="s">
        <v>3223</v>
      </c>
      <c r="B920" s="151">
        <v>398</v>
      </c>
      <c r="C920" s="126" t="s">
        <v>680</v>
      </c>
      <c r="D920">
        <v>627</v>
      </c>
      <c r="E920" s="126" t="s">
        <v>2021</v>
      </c>
      <c r="F920" s="122" t="s">
        <v>1593</v>
      </c>
      <c r="G920" s="122" t="s">
        <v>109</v>
      </c>
      <c r="H920">
        <v>119</v>
      </c>
      <c r="I920" s="122" t="s">
        <v>1546</v>
      </c>
      <c r="J920" s="307" t="s">
        <v>214</v>
      </c>
      <c r="K920" s="127" t="s">
        <v>3286</v>
      </c>
      <c r="L920" s="151" t="s">
        <v>110</v>
      </c>
      <c r="M920">
        <v>157</v>
      </c>
      <c r="N920" s="123">
        <v>49</v>
      </c>
      <c r="O920">
        <v>632</v>
      </c>
      <c r="P920" s="132" t="s">
        <v>77</v>
      </c>
      <c r="Q920" s="131">
        <v>42000</v>
      </c>
      <c r="R920" s="131">
        <v>6720</v>
      </c>
      <c r="S920" s="131"/>
      <c r="T920" s="155">
        <v>4480.0200000000004</v>
      </c>
      <c r="U920" s="131">
        <v>525</v>
      </c>
      <c r="V920" s="131">
        <v>43714.979999999996</v>
      </c>
      <c r="W920">
        <v>81</v>
      </c>
      <c r="X920" s="151" t="s">
        <v>1431</v>
      </c>
      <c r="Y920" s="135" t="s">
        <v>55</v>
      </c>
      <c r="Z920" s="307">
        <v>210</v>
      </c>
      <c r="AB920" t="str">
        <f>IF(Table1[[#This Row],[TIPO2]]="costo", VLOOKUP(Table1[[#This Row],[PARTIDA PRESUPUESTAL]],'Cost Report'!G:G,1,0),"Balance")</f>
        <v>2801-003</v>
      </c>
      <c r="AC920" s="118"/>
      <c r="AD920" s="159">
        <f>+Table1[[#This Row],[SUBTOTAL]]+Table1[[#This Row],[IVA]]-Table1[[#This Row],[RET IVA]]-Table1[[#This Row],[RET ISR]]-Table1[[#This Row],[TOTAL]]</f>
        <v>0</v>
      </c>
      <c r="AE920" s="150"/>
      <c r="AF920" s="151"/>
      <c r="AG920" s="126"/>
      <c r="AH920" s="115"/>
      <c r="AK920" s="306" t="str">
        <f>IF(ISNUMBER(Table1[[#This Row],[FECHA DE RECIBIDO]]), Table1[[#This Row],[FECHA DE RECIBIDO]]-DATE(2023,8,30), "")</f>
        <v/>
      </c>
    </row>
    <row r="921" spans="1:37" ht="16.05" customHeight="1">
      <c r="A921" s="152" t="s">
        <v>3224</v>
      </c>
      <c r="B921" s="153">
        <v>399</v>
      </c>
      <c r="C921" s="126" t="s">
        <v>690</v>
      </c>
      <c r="D921">
        <v>628</v>
      </c>
      <c r="E921" s="126" t="s">
        <v>3225</v>
      </c>
      <c r="F921" s="125" t="s">
        <v>1593</v>
      </c>
      <c r="G921" s="125" t="s">
        <v>109</v>
      </c>
      <c r="H921">
        <v>208</v>
      </c>
      <c r="I921" s="125" t="s">
        <v>1546</v>
      </c>
      <c r="J921" s="308" t="s">
        <v>214</v>
      </c>
      <c r="K921" s="127" t="s">
        <v>3286</v>
      </c>
      <c r="L921" s="153" t="s">
        <v>110</v>
      </c>
      <c r="M921">
        <v>273</v>
      </c>
      <c r="N921" s="123">
        <v>73</v>
      </c>
      <c r="O921">
        <v>633</v>
      </c>
      <c r="P921" s="132" t="s">
        <v>77</v>
      </c>
      <c r="Q921" s="132">
        <v>10500</v>
      </c>
      <c r="R921" s="132">
        <v>1680</v>
      </c>
      <c r="S921" s="132"/>
      <c r="T921" s="156">
        <v>1120</v>
      </c>
      <c r="U921" s="132">
        <v>131.25</v>
      </c>
      <c r="V921" s="132">
        <v>10928.75</v>
      </c>
      <c r="W921">
        <v>129</v>
      </c>
      <c r="X921" s="153" t="s">
        <v>1430</v>
      </c>
      <c r="Y921" s="124" t="s">
        <v>55</v>
      </c>
      <c r="Z921" s="308">
        <v>210</v>
      </c>
      <c r="AB921" t="str">
        <f>IF(Table1[[#This Row],[TIPO2]]="costo", VLOOKUP(Table1[[#This Row],[PARTIDA PRESUPUESTAL]],'Cost Report'!G:G,1,0),"Balance")</f>
        <v>2802-009</v>
      </c>
      <c r="AC921" s="118"/>
      <c r="AD921" s="159">
        <f>+Table1[[#This Row],[SUBTOTAL]]+Table1[[#This Row],[IVA]]-Table1[[#This Row],[RET IVA]]-Table1[[#This Row],[RET ISR]]-Table1[[#This Row],[TOTAL]]</f>
        <v>0</v>
      </c>
      <c r="AE921" s="152"/>
      <c r="AF921" s="153"/>
      <c r="AG921" s="126"/>
      <c r="AH921" s="115"/>
      <c r="AK921" s="306" t="str">
        <f>IF(ISNUMBER(Table1[[#This Row],[FECHA DE RECIBIDO]]), Table1[[#This Row],[FECHA DE RECIBIDO]]-DATE(2023,8,30), "")</f>
        <v/>
      </c>
    </row>
    <row r="922" spans="1:37" ht="16.05" customHeight="1">
      <c r="A922" s="150" t="s">
        <v>3226</v>
      </c>
      <c r="B922" s="151">
        <v>400</v>
      </c>
      <c r="C922" s="126" t="s">
        <v>1858</v>
      </c>
      <c r="D922">
        <v>629</v>
      </c>
      <c r="E922" s="126" t="s">
        <v>3227</v>
      </c>
      <c r="F922" s="122" t="s">
        <v>1589</v>
      </c>
      <c r="G922" s="122" t="s">
        <v>129</v>
      </c>
      <c r="H922">
        <v>209</v>
      </c>
      <c r="I922" s="122" t="s">
        <v>1546</v>
      </c>
      <c r="J922" s="307" t="s">
        <v>214</v>
      </c>
      <c r="K922" s="127" t="s">
        <v>3286</v>
      </c>
      <c r="L922" s="151" t="s">
        <v>110</v>
      </c>
      <c r="M922">
        <v>274</v>
      </c>
      <c r="N922" s="123">
        <v>74</v>
      </c>
      <c r="O922">
        <v>634</v>
      </c>
      <c r="P922" s="132" t="s">
        <v>77</v>
      </c>
      <c r="Q922" s="131">
        <v>3000</v>
      </c>
      <c r="R922" s="131">
        <v>0</v>
      </c>
      <c r="S922" s="131"/>
      <c r="T922" s="155">
        <v>0</v>
      </c>
      <c r="U922" s="131">
        <v>300</v>
      </c>
      <c r="V922" s="131">
        <f>+Table1[[#This Row],[SUBTOTAL]]-Table1[[#This Row],[RET ISR]]</f>
        <v>2700</v>
      </c>
      <c r="W922">
        <v>130</v>
      </c>
      <c r="X922" s="151" t="s">
        <v>1434</v>
      </c>
      <c r="Y922" s="135" t="s">
        <v>55</v>
      </c>
      <c r="Z922" s="307">
        <v>210</v>
      </c>
      <c r="AB922" t="str">
        <f>IF(Table1[[#This Row],[TIPO2]]="costo", VLOOKUP(Table1[[#This Row],[PARTIDA PRESUPUESTAL]],'Cost Report'!G:G,1,0),"Balance")</f>
        <v>3416-003</v>
      </c>
      <c r="AC922" s="118"/>
      <c r="AD922" s="159">
        <f>+Table1[[#This Row],[SUBTOTAL]]+Table1[[#This Row],[IVA]]-Table1[[#This Row],[RET IVA]]-Table1[[#This Row],[RET ISR]]-Table1[[#This Row],[TOTAL]]</f>
        <v>0</v>
      </c>
      <c r="AE922" s="150"/>
      <c r="AF922" s="151"/>
      <c r="AG922" s="126"/>
      <c r="AH922" s="115"/>
      <c r="AK922" s="306" t="str">
        <f>IF(ISNUMBER(Table1[[#This Row],[FECHA DE RECIBIDO]]), Table1[[#This Row],[FECHA DE RECIBIDO]]-DATE(2023,8,30), "")</f>
        <v/>
      </c>
    </row>
    <row r="923" spans="1:37" ht="16.05" customHeight="1">
      <c r="A923" s="152" t="s">
        <v>3226</v>
      </c>
      <c r="B923" s="153">
        <v>400</v>
      </c>
      <c r="C923" s="126" t="s">
        <v>3002</v>
      </c>
      <c r="D923">
        <v>629</v>
      </c>
      <c r="E923" s="126" t="s">
        <v>3227</v>
      </c>
      <c r="F923" s="125" t="s">
        <v>1589</v>
      </c>
      <c r="G923" s="125" t="s">
        <v>129</v>
      </c>
      <c r="H923">
        <v>209</v>
      </c>
      <c r="I923" s="125" t="s">
        <v>1546</v>
      </c>
      <c r="J923" s="308" t="s">
        <v>214</v>
      </c>
      <c r="K923" s="127" t="s">
        <v>3286</v>
      </c>
      <c r="L923" s="153" t="s">
        <v>110</v>
      </c>
      <c r="M923">
        <v>274</v>
      </c>
      <c r="N923" s="123">
        <v>74</v>
      </c>
      <c r="O923">
        <v>634</v>
      </c>
      <c r="P923" s="132" t="s">
        <v>77</v>
      </c>
      <c r="Q923" s="132">
        <v>9000</v>
      </c>
      <c r="R923" s="132"/>
      <c r="S923" s="132"/>
      <c r="T923" s="156">
        <v>0</v>
      </c>
      <c r="U923" s="132">
        <v>900</v>
      </c>
      <c r="V923" s="132">
        <f>+Table1[[#This Row],[SUBTOTAL]]-Table1[[#This Row],[RET ISR]]</f>
        <v>8100</v>
      </c>
      <c r="W923">
        <v>130</v>
      </c>
      <c r="X923" s="153" t="s">
        <v>1434</v>
      </c>
      <c r="Y923" s="124" t="s">
        <v>55</v>
      </c>
      <c r="Z923" s="308">
        <v>210</v>
      </c>
      <c r="AB923" t="str">
        <f>IF(Table1[[#This Row],[TIPO2]]="costo", VLOOKUP(Table1[[#This Row],[PARTIDA PRESUPUESTAL]],'Cost Report'!G:G,1,0),"Balance")</f>
        <v>4180-003</v>
      </c>
      <c r="AC923" s="118"/>
      <c r="AD923" s="159">
        <f>+Table1[[#This Row],[SUBTOTAL]]+Table1[[#This Row],[IVA]]-Table1[[#This Row],[RET IVA]]-Table1[[#This Row],[RET ISR]]-Table1[[#This Row],[TOTAL]]</f>
        <v>0</v>
      </c>
      <c r="AE923" s="152"/>
      <c r="AF923" s="153"/>
      <c r="AG923" s="126"/>
      <c r="AH923" s="115"/>
      <c r="AK923" s="306" t="str">
        <f>IF(ISNUMBER(Table1[[#This Row],[FECHA DE RECIBIDO]]), Table1[[#This Row],[FECHA DE RECIBIDO]]-DATE(2023,8,30), "")</f>
        <v/>
      </c>
    </row>
    <row r="924" spans="1:37" ht="16.05" customHeight="1">
      <c r="A924" s="150" t="s">
        <v>3228</v>
      </c>
      <c r="B924" s="151">
        <v>401</v>
      </c>
      <c r="C924" s="126" t="s">
        <v>1732</v>
      </c>
      <c r="D924">
        <v>630</v>
      </c>
      <c r="E924" s="126" t="s">
        <v>3229</v>
      </c>
      <c r="F924" s="122" t="s">
        <v>1589</v>
      </c>
      <c r="G924" s="122" t="s">
        <v>129</v>
      </c>
      <c r="H924">
        <v>210</v>
      </c>
      <c r="I924" s="122" t="s">
        <v>1546</v>
      </c>
      <c r="J924" s="307" t="s">
        <v>214</v>
      </c>
      <c r="K924" s="127" t="s">
        <v>3286</v>
      </c>
      <c r="L924" s="151" t="s">
        <v>118</v>
      </c>
      <c r="M924">
        <v>160</v>
      </c>
      <c r="N924" s="123">
        <v>51</v>
      </c>
      <c r="O924">
        <v>635</v>
      </c>
      <c r="P924" s="132" t="s">
        <v>77</v>
      </c>
      <c r="Q924" s="131">
        <v>6930</v>
      </c>
      <c r="R924" s="131">
        <v>1108.8</v>
      </c>
      <c r="S924" s="131"/>
      <c r="T924" s="155">
        <v>739.2</v>
      </c>
      <c r="U924" s="131">
        <v>0</v>
      </c>
      <c r="V924" s="131">
        <v>7299.6</v>
      </c>
      <c r="W924">
        <v>84</v>
      </c>
      <c r="X924" s="151" t="s">
        <v>3230</v>
      </c>
      <c r="Y924" s="135" t="s">
        <v>55</v>
      </c>
      <c r="Z924" s="307">
        <v>210</v>
      </c>
      <c r="AB924" t="str">
        <f>IF(Table1[[#This Row],[TIPO2]]="costo", VLOOKUP(Table1[[#This Row],[PARTIDA PRESUPUESTAL]],'Cost Report'!G:G,1,0),"Balance")</f>
        <v>2494-035</v>
      </c>
      <c r="AC924" s="118"/>
      <c r="AD924" s="159">
        <f>+Table1[[#This Row],[SUBTOTAL]]+Table1[[#This Row],[IVA]]-Table1[[#This Row],[RET IVA]]-Table1[[#This Row],[RET ISR]]-Table1[[#This Row],[TOTAL]]</f>
        <v>0</v>
      </c>
      <c r="AE924" s="150"/>
      <c r="AF924" s="151"/>
      <c r="AG924" s="126"/>
      <c r="AH924" s="115"/>
      <c r="AK924" s="306" t="str">
        <f>IF(ISNUMBER(Table1[[#This Row],[FECHA DE RECIBIDO]]), Table1[[#This Row],[FECHA DE RECIBIDO]]-DATE(2023,8,30), "")</f>
        <v/>
      </c>
    </row>
    <row r="925" spans="1:37" ht="16.05" customHeight="1">
      <c r="A925" s="152"/>
      <c r="B925" s="153">
        <v>402</v>
      </c>
      <c r="C925" s="126" t="s">
        <v>1505</v>
      </c>
      <c r="D925">
        <v>631</v>
      </c>
      <c r="E925" s="126" t="s">
        <v>3229</v>
      </c>
      <c r="F925" s="125" t="s">
        <v>1589</v>
      </c>
      <c r="G925" s="125" t="s">
        <v>129</v>
      </c>
      <c r="H925">
        <v>210</v>
      </c>
      <c r="I925" s="125" t="s">
        <v>1546</v>
      </c>
      <c r="J925" s="308" t="s">
        <v>214</v>
      </c>
      <c r="K925" s="127" t="s">
        <v>3286</v>
      </c>
      <c r="L925" s="153" t="s">
        <v>118</v>
      </c>
      <c r="M925">
        <v>160</v>
      </c>
      <c r="N925" s="123">
        <v>51</v>
      </c>
      <c r="O925">
        <v>636</v>
      </c>
      <c r="P925" s="132" t="s">
        <v>77</v>
      </c>
      <c r="Q925" s="132">
        <v>11360</v>
      </c>
      <c r="R925" s="132">
        <v>1817.6</v>
      </c>
      <c r="S925" s="132"/>
      <c r="T925" s="156">
        <v>1211.74</v>
      </c>
      <c r="U925" s="132">
        <v>0</v>
      </c>
      <c r="V925" s="132">
        <v>11965.86</v>
      </c>
      <c r="W925">
        <v>84</v>
      </c>
      <c r="X925" s="153" t="s">
        <v>3230</v>
      </c>
      <c r="Y925" s="124" t="s">
        <v>55</v>
      </c>
      <c r="Z925" s="308">
        <v>210</v>
      </c>
      <c r="AB925" t="str">
        <f>IF(Table1[[#This Row],[TIPO2]]="costo", VLOOKUP(Table1[[#This Row],[PARTIDA PRESUPUESTAL]],'Cost Report'!G:G,1,0),"Balance")</f>
        <v>2494-003</v>
      </c>
      <c r="AC925" s="118"/>
      <c r="AD925" s="159">
        <f>+Table1[[#This Row],[SUBTOTAL]]+Table1[[#This Row],[IVA]]-Table1[[#This Row],[RET IVA]]-Table1[[#This Row],[RET ISR]]-Table1[[#This Row],[TOTAL]]</f>
        <v>0</v>
      </c>
      <c r="AE925" s="152"/>
      <c r="AF925" s="153"/>
      <c r="AG925" s="126"/>
      <c r="AH925" s="115"/>
      <c r="AK925" s="306" t="str">
        <f>IF(ISNUMBER(Table1[[#This Row],[FECHA DE RECIBIDO]]), Table1[[#This Row],[FECHA DE RECIBIDO]]-DATE(2023,8,30), "")</f>
        <v/>
      </c>
    </row>
    <row r="926" spans="1:37" ht="16.05" customHeight="1">
      <c r="A926" s="150"/>
      <c r="B926" s="151">
        <v>403</v>
      </c>
      <c r="C926" s="126" t="s">
        <v>1513</v>
      </c>
      <c r="D926">
        <v>632</v>
      </c>
      <c r="E926" s="126" t="s">
        <v>3229</v>
      </c>
      <c r="F926" s="122" t="s">
        <v>1589</v>
      </c>
      <c r="G926" s="122" t="s">
        <v>129</v>
      </c>
      <c r="H926">
        <v>210</v>
      </c>
      <c r="I926" s="122" t="s">
        <v>1546</v>
      </c>
      <c r="J926" s="307" t="s">
        <v>214</v>
      </c>
      <c r="K926" s="127" t="s">
        <v>3286</v>
      </c>
      <c r="L926" s="151" t="s">
        <v>118</v>
      </c>
      <c r="M926">
        <v>160</v>
      </c>
      <c r="N926" s="123">
        <v>51</v>
      </c>
      <c r="O926">
        <v>637</v>
      </c>
      <c r="P926" s="132" t="s">
        <v>77</v>
      </c>
      <c r="Q926" s="131">
        <v>2200</v>
      </c>
      <c r="R926" s="131">
        <v>352</v>
      </c>
      <c r="S926" s="131"/>
      <c r="T926" s="155">
        <v>234.67</v>
      </c>
      <c r="U926" s="131">
        <v>0</v>
      </c>
      <c r="V926" s="131">
        <v>2317.33</v>
      </c>
      <c r="W926">
        <v>84</v>
      </c>
      <c r="X926" s="151" t="s">
        <v>3230</v>
      </c>
      <c r="Y926" s="135" t="s">
        <v>55</v>
      </c>
      <c r="Z926" s="307">
        <v>210</v>
      </c>
      <c r="AB926" t="str">
        <f>IF(Table1[[#This Row],[TIPO2]]="costo", VLOOKUP(Table1[[#This Row],[PARTIDA PRESUPUESTAL]],'Cost Report'!G:G,1,0),"Balance")</f>
        <v>2494-019</v>
      </c>
      <c r="AC926" s="118"/>
      <c r="AD926" s="159">
        <f>+Table1[[#This Row],[SUBTOTAL]]+Table1[[#This Row],[IVA]]-Table1[[#This Row],[RET IVA]]-Table1[[#This Row],[RET ISR]]-Table1[[#This Row],[TOTAL]]</f>
        <v>0</v>
      </c>
      <c r="AE926" s="150"/>
      <c r="AF926" s="151"/>
      <c r="AG926" s="126"/>
      <c r="AH926" s="115"/>
      <c r="AK926" s="306" t="str">
        <f>IF(ISNUMBER(Table1[[#This Row],[FECHA DE RECIBIDO]]), Table1[[#This Row],[FECHA DE RECIBIDO]]-DATE(2023,8,30), "")</f>
        <v/>
      </c>
    </row>
    <row r="927" spans="1:37" ht="16.05" customHeight="1">
      <c r="A927" s="152" t="s">
        <v>3231</v>
      </c>
      <c r="B927" s="153">
        <v>404</v>
      </c>
      <c r="C927" s="126" t="s">
        <v>2566</v>
      </c>
      <c r="D927">
        <v>633</v>
      </c>
      <c r="E927" s="126" t="s">
        <v>3232</v>
      </c>
      <c r="F927" s="125" t="s">
        <v>1589</v>
      </c>
      <c r="G927" s="125" t="s">
        <v>129</v>
      </c>
      <c r="H927">
        <v>211</v>
      </c>
      <c r="I927" s="125" t="s">
        <v>1546</v>
      </c>
      <c r="J927" s="308" t="s">
        <v>214</v>
      </c>
      <c r="K927" s="127" t="s">
        <v>3286</v>
      </c>
      <c r="L927" s="153" t="s">
        <v>118</v>
      </c>
      <c r="M927">
        <v>275</v>
      </c>
      <c r="N927" s="123">
        <v>51</v>
      </c>
      <c r="O927">
        <v>638</v>
      </c>
      <c r="P927" s="132" t="s">
        <v>77</v>
      </c>
      <c r="Q927" s="132">
        <v>3443.1</v>
      </c>
      <c r="R927" s="132">
        <v>550.9</v>
      </c>
      <c r="S927" s="132"/>
      <c r="T927" s="156">
        <v>0</v>
      </c>
      <c r="U927" s="132">
        <v>0</v>
      </c>
      <c r="V927" s="132">
        <v>3994</v>
      </c>
      <c r="W927">
        <v>131</v>
      </c>
      <c r="X927" s="153" t="s">
        <v>2035</v>
      </c>
      <c r="Y927" s="124" t="s">
        <v>55</v>
      </c>
      <c r="Z927" s="308">
        <v>210</v>
      </c>
      <c r="AB927" t="str">
        <f>IF(Table1[[#This Row],[TIPO2]]="costo", VLOOKUP(Table1[[#This Row],[PARTIDA PRESUPUESTAL]],'Cost Report'!G:G,1,0),"Balance")</f>
        <v>2594-003</v>
      </c>
      <c r="AC927" s="118"/>
      <c r="AD927" s="159">
        <f>+Table1[[#This Row],[SUBTOTAL]]+Table1[[#This Row],[IVA]]-Table1[[#This Row],[RET IVA]]-Table1[[#This Row],[RET ISR]]-Table1[[#This Row],[TOTAL]]</f>
        <v>0</v>
      </c>
      <c r="AE927" s="152"/>
      <c r="AF927" s="153"/>
      <c r="AG927" s="126"/>
      <c r="AH927" s="115"/>
      <c r="AK927" s="306" t="str">
        <f>IF(ISNUMBER(Table1[[#This Row],[FECHA DE RECIBIDO]]), Table1[[#This Row],[FECHA DE RECIBIDO]]-DATE(2023,8,30), "")</f>
        <v/>
      </c>
    </row>
    <row r="928" spans="1:37" ht="16.05" customHeight="1">
      <c r="A928" s="150" t="s">
        <v>3233</v>
      </c>
      <c r="B928" s="151">
        <v>405</v>
      </c>
      <c r="C928" s="126" t="s">
        <v>69</v>
      </c>
      <c r="D928"/>
      <c r="E928" s="126" t="s">
        <v>1911</v>
      </c>
      <c r="F928" s="122" t="s">
        <v>1911</v>
      </c>
      <c r="G928" s="122" t="s">
        <v>1911</v>
      </c>
      <c r="H928"/>
      <c r="I928" s="122" t="s">
        <v>1911</v>
      </c>
      <c r="J928" s="307" t="s">
        <v>214</v>
      </c>
      <c r="K928" s="127" t="s">
        <v>3286</v>
      </c>
      <c r="L928" s="151" t="s">
        <v>118</v>
      </c>
      <c r="M928">
        <v>276</v>
      </c>
      <c r="N928" s="123">
        <v>1</v>
      </c>
      <c r="O928">
        <v>639</v>
      </c>
      <c r="P928" s="131" t="s">
        <v>78</v>
      </c>
      <c r="Q928" s="238">
        <v>52500</v>
      </c>
      <c r="R928" s="131">
        <v>0</v>
      </c>
      <c r="S928" s="131"/>
      <c r="T928" s="155">
        <v>0</v>
      </c>
      <c r="U928" s="131">
        <v>0</v>
      </c>
      <c r="V928" s="131">
        <v>52500</v>
      </c>
      <c r="W928">
        <v>132</v>
      </c>
      <c r="X928" s="151" t="s">
        <v>195</v>
      </c>
      <c r="Y928" s="135" t="s">
        <v>55</v>
      </c>
      <c r="Z928" s="307">
        <v>210</v>
      </c>
      <c r="AB928" t="str">
        <f>IF(Table1[[#This Row],[TIPO2]]="costo", VLOOKUP(Table1[[#This Row],[PARTIDA PRESUPUESTAL]],'Cost Report'!G:G,1,0),"Balance")</f>
        <v>Balance</v>
      </c>
      <c r="AC928" s="118"/>
      <c r="AD928" s="159">
        <f>+Table1[[#This Row],[SUBTOTAL]]+Table1[[#This Row],[IVA]]-Table1[[#This Row],[RET IVA]]-Table1[[#This Row],[RET ISR]]-Table1[[#This Row],[TOTAL]]</f>
        <v>0</v>
      </c>
      <c r="AE928" s="150"/>
      <c r="AF928" s="151"/>
      <c r="AG928" s="126"/>
      <c r="AH928" s="115"/>
      <c r="AK928" s="306" t="str">
        <f>IF(ISNUMBER(Table1[[#This Row],[FECHA DE RECIBIDO]]), Table1[[#This Row],[FECHA DE RECIBIDO]]-DATE(2023,8,30), "")</f>
        <v/>
      </c>
    </row>
    <row r="929" spans="1:37" ht="16.05" customHeight="1">
      <c r="A929" s="152" t="s">
        <v>3234</v>
      </c>
      <c r="B929" s="153">
        <v>406</v>
      </c>
      <c r="C929" s="126" t="s">
        <v>1509</v>
      </c>
      <c r="D929">
        <v>634</v>
      </c>
      <c r="E929" s="126" t="s">
        <v>3235</v>
      </c>
      <c r="F929" s="125" t="s">
        <v>1589</v>
      </c>
      <c r="G929" s="125" t="s">
        <v>129</v>
      </c>
      <c r="H929">
        <v>212</v>
      </c>
      <c r="I929" s="125" t="s">
        <v>1546</v>
      </c>
      <c r="J929" s="308" t="s">
        <v>214</v>
      </c>
      <c r="K929" s="127" t="s">
        <v>3286</v>
      </c>
      <c r="L929" s="153" t="s">
        <v>118</v>
      </c>
      <c r="M929">
        <v>277</v>
      </c>
      <c r="N929" s="123">
        <v>51</v>
      </c>
      <c r="O929">
        <v>640</v>
      </c>
      <c r="P929" s="132" t="s">
        <v>77</v>
      </c>
      <c r="Q929" s="132">
        <v>2009.35</v>
      </c>
      <c r="R929" s="132">
        <v>321.5</v>
      </c>
      <c r="S929" s="132"/>
      <c r="T929" s="156">
        <v>0</v>
      </c>
      <c r="U929" s="132">
        <v>0</v>
      </c>
      <c r="V929" s="132">
        <v>2330.85</v>
      </c>
      <c r="W929">
        <v>133</v>
      </c>
      <c r="X929" s="153" t="s">
        <v>2035</v>
      </c>
      <c r="Y929" s="124" t="s">
        <v>55</v>
      </c>
      <c r="Z929" s="308">
        <v>210</v>
      </c>
      <c r="AB929" t="str">
        <f>IF(Table1[[#This Row],[TIPO2]]="costo", VLOOKUP(Table1[[#This Row],[PARTIDA PRESUPUESTAL]],'Cost Report'!G:G,1,0),"Balance")</f>
        <v>2494-011</v>
      </c>
      <c r="AC929" s="118"/>
      <c r="AD929" s="159">
        <f>+Table1[[#This Row],[SUBTOTAL]]+Table1[[#This Row],[IVA]]-Table1[[#This Row],[RET IVA]]-Table1[[#This Row],[RET ISR]]-Table1[[#This Row],[TOTAL]]</f>
        <v>0</v>
      </c>
      <c r="AE929" s="152"/>
      <c r="AF929" s="153"/>
      <c r="AG929" s="126"/>
      <c r="AH929" s="115"/>
      <c r="AK929" s="306" t="str">
        <f>IF(ISNUMBER(Table1[[#This Row],[FECHA DE RECIBIDO]]), Table1[[#This Row],[FECHA DE RECIBIDO]]-DATE(2023,8,30), "")</f>
        <v/>
      </c>
    </row>
    <row r="930" spans="1:37" ht="16.05" customHeight="1">
      <c r="A930" s="150"/>
      <c r="B930" s="151">
        <v>407</v>
      </c>
      <c r="C930" s="126" t="s">
        <v>1513</v>
      </c>
      <c r="D930">
        <v>635</v>
      </c>
      <c r="E930" s="126" t="s">
        <v>3235</v>
      </c>
      <c r="F930" s="122" t="s">
        <v>1589</v>
      </c>
      <c r="G930" s="122" t="s">
        <v>129</v>
      </c>
      <c r="H930">
        <v>212</v>
      </c>
      <c r="I930" s="122" t="s">
        <v>1546</v>
      </c>
      <c r="J930" s="307" t="s">
        <v>214</v>
      </c>
      <c r="K930" s="127" t="s">
        <v>3286</v>
      </c>
      <c r="L930" s="151" t="s">
        <v>118</v>
      </c>
      <c r="M930">
        <v>277</v>
      </c>
      <c r="N930" s="123">
        <v>51</v>
      </c>
      <c r="O930">
        <v>641</v>
      </c>
      <c r="P930" s="132" t="s">
        <v>77</v>
      </c>
      <c r="Q930" s="131">
        <v>136.4</v>
      </c>
      <c r="R930" s="131">
        <v>21.82</v>
      </c>
      <c r="S930" s="131"/>
      <c r="T930" s="155">
        <v>0</v>
      </c>
      <c r="U930" s="131">
        <v>0</v>
      </c>
      <c r="V930" s="131">
        <v>158.22</v>
      </c>
      <c r="W930">
        <v>133</v>
      </c>
      <c r="X930" s="151" t="s">
        <v>2035</v>
      </c>
      <c r="Y930" s="135" t="s">
        <v>55</v>
      </c>
      <c r="Z930" s="307">
        <v>210</v>
      </c>
      <c r="AB930" t="str">
        <f>IF(Table1[[#This Row],[TIPO2]]="costo", VLOOKUP(Table1[[#This Row],[PARTIDA PRESUPUESTAL]],'Cost Report'!G:G,1,0),"Balance")</f>
        <v>2494-019</v>
      </c>
      <c r="AC930" s="118"/>
      <c r="AD930" s="159">
        <f>+Table1[[#This Row],[SUBTOTAL]]+Table1[[#This Row],[IVA]]-Table1[[#This Row],[RET IVA]]-Table1[[#This Row],[RET ISR]]-Table1[[#This Row],[TOTAL]]</f>
        <v>0</v>
      </c>
      <c r="AE930" s="150"/>
      <c r="AF930" s="151"/>
      <c r="AG930" s="126"/>
      <c r="AH930" s="115"/>
      <c r="AK930" s="306" t="str">
        <f>IF(ISNUMBER(Table1[[#This Row],[FECHA DE RECIBIDO]]), Table1[[#This Row],[FECHA DE RECIBIDO]]-DATE(2023,8,30), "")</f>
        <v/>
      </c>
    </row>
    <row r="931" spans="1:37" ht="16.05" customHeight="1">
      <c r="A931" s="152"/>
      <c r="B931" s="153">
        <v>408</v>
      </c>
      <c r="C931" s="126" t="s">
        <v>2566</v>
      </c>
      <c r="D931">
        <v>636</v>
      </c>
      <c r="E931" s="126" t="s">
        <v>3235</v>
      </c>
      <c r="F931" s="125" t="s">
        <v>1589</v>
      </c>
      <c r="G931" s="125" t="s">
        <v>129</v>
      </c>
      <c r="H931">
        <v>212</v>
      </c>
      <c r="I931" s="125" t="s">
        <v>1546</v>
      </c>
      <c r="J931" s="308" t="s">
        <v>214</v>
      </c>
      <c r="K931" s="127" t="s">
        <v>3286</v>
      </c>
      <c r="L931" s="153" t="s">
        <v>118</v>
      </c>
      <c r="M931">
        <v>277</v>
      </c>
      <c r="N931" s="123">
        <v>51</v>
      </c>
      <c r="O931">
        <v>642</v>
      </c>
      <c r="P931" s="132" t="s">
        <v>77</v>
      </c>
      <c r="Q931" s="132">
        <v>296.3</v>
      </c>
      <c r="R931" s="132">
        <v>47.41</v>
      </c>
      <c r="S931" s="132"/>
      <c r="T931" s="156">
        <v>0</v>
      </c>
      <c r="U931" s="132">
        <v>0</v>
      </c>
      <c r="V931" s="132">
        <v>343.71000000000004</v>
      </c>
      <c r="W931">
        <v>133</v>
      </c>
      <c r="X931" s="153" t="s">
        <v>2035</v>
      </c>
      <c r="Y931" s="124" t="s">
        <v>55</v>
      </c>
      <c r="Z931" s="308">
        <v>210</v>
      </c>
      <c r="AB931" t="str">
        <f>IF(Table1[[#This Row],[TIPO2]]="costo", VLOOKUP(Table1[[#This Row],[PARTIDA PRESUPUESTAL]],'Cost Report'!G:G,1,0),"Balance")</f>
        <v>2594-003</v>
      </c>
      <c r="AC931" s="118"/>
      <c r="AD931" s="159">
        <f>+Table1[[#This Row],[SUBTOTAL]]+Table1[[#This Row],[IVA]]-Table1[[#This Row],[RET IVA]]-Table1[[#This Row],[RET ISR]]-Table1[[#This Row],[TOTAL]]</f>
        <v>0</v>
      </c>
      <c r="AE931" s="152"/>
      <c r="AF931" s="153"/>
      <c r="AG931" s="126"/>
      <c r="AH931" s="115"/>
      <c r="AK931" s="306" t="str">
        <f>IF(ISNUMBER(Table1[[#This Row],[FECHA DE RECIBIDO]]), Table1[[#This Row],[FECHA DE RECIBIDO]]-DATE(2023,8,30), "")</f>
        <v/>
      </c>
    </row>
    <row r="932" spans="1:37" ht="16.05" customHeight="1">
      <c r="A932" s="150" t="s">
        <v>3236</v>
      </c>
      <c r="B932" s="151">
        <v>409</v>
      </c>
      <c r="C932" s="126" t="s">
        <v>3002</v>
      </c>
      <c r="D932">
        <v>637</v>
      </c>
      <c r="E932" s="126" t="s">
        <v>3237</v>
      </c>
      <c r="F932" s="122" t="s">
        <v>1607</v>
      </c>
      <c r="G932" s="122" t="s">
        <v>134</v>
      </c>
      <c r="H932">
        <v>213</v>
      </c>
      <c r="I932" s="122" t="s">
        <v>1546</v>
      </c>
      <c r="J932" s="307" t="s">
        <v>214</v>
      </c>
      <c r="K932" s="127" t="s">
        <v>3286</v>
      </c>
      <c r="L932" s="151" t="s">
        <v>118</v>
      </c>
      <c r="M932">
        <v>278</v>
      </c>
      <c r="N932" s="123">
        <v>1</v>
      </c>
      <c r="O932">
        <v>643</v>
      </c>
      <c r="P932" s="132" t="s">
        <v>77</v>
      </c>
      <c r="Q932" s="131">
        <v>2300</v>
      </c>
      <c r="R932" s="131">
        <v>368</v>
      </c>
      <c r="S932" s="131"/>
      <c r="T932" s="155">
        <v>0</v>
      </c>
      <c r="U932" s="131">
        <v>0</v>
      </c>
      <c r="V932" s="131">
        <v>2668</v>
      </c>
      <c r="W932">
        <v>134</v>
      </c>
      <c r="X932" s="151" t="s">
        <v>105</v>
      </c>
      <c r="Y932" s="135" t="s">
        <v>55</v>
      </c>
      <c r="Z932" s="307">
        <v>210</v>
      </c>
      <c r="AB932" t="str">
        <f>IF(Table1[[#This Row],[TIPO2]]="costo", VLOOKUP(Table1[[#This Row],[PARTIDA PRESUPUESTAL]],'Cost Report'!G:G,1,0),"Balance")</f>
        <v>4180-003</v>
      </c>
      <c r="AC932" s="118"/>
      <c r="AD932" s="159">
        <f>+Table1[[#This Row],[SUBTOTAL]]+Table1[[#This Row],[IVA]]-Table1[[#This Row],[RET IVA]]-Table1[[#This Row],[RET ISR]]-Table1[[#This Row],[TOTAL]]</f>
        <v>0</v>
      </c>
      <c r="AE932" s="150"/>
      <c r="AF932" s="151"/>
      <c r="AG932" s="126"/>
      <c r="AH932" s="115"/>
      <c r="AK932" s="306" t="str">
        <f>IF(ISNUMBER(Table1[[#This Row],[FECHA DE RECIBIDO]]), Table1[[#This Row],[FECHA DE RECIBIDO]]-DATE(2023,8,30), "")</f>
        <v/>
      </c>
    </row>
    <row r="933" spans="1:37" ht="16.05" customHeight="1">
      <c r="A933" s="152" t="s">
        <v>3238</v>
      </c>
      <c r="B933" s="153">
        <v>410</v>
      </c>
      <c r="C933" s="126" t="s">
        <v>1153</v>
      </c>
      <c r="D933">
        <v>638</v>
      </c>
      <c r="E933" s="126">
        <v>44520</v>
      </c>
      <c r="F933" s="125">
        <v>601</v>
      </c>
      <c r="G933" s="125" t="s">
        <v>134</v>
      </c>
      <c r="H933">
        <v>47</v>
      </c>
      <c r="I933" s="125" t="s">
        <v>1546</v>
      </c>
      <c r="J933" s="308" t="s">
        <v>214</v>
      </c>
      <c r="K933" s="127" t="s">
        <v>3286</v>
      </c>
      <c r="L933" s="153" t="s">
        <v>118</v>
      </c>
      <c r="M933">
        <v>279</v>
      </c>
      <c r="N933" s="123">
        <v>1</v>
      </c>
      <c r="O933">
        <v>644</v>
      </c>
      <c r="P933" s="132" t="s">
        <v>77</v>
      </c>
      <c r="Q933" s="132">
        <v>77026.89</v>
      </c>
      <c r="R933" s="132">
        <v>12324.3</v>
      </c>
      <c r="S933" s="132">
        <v>0</v>
      </c>
      <c r="T933" s="156">
        <v>0</v>
      </c>
      <c r="U933" s="132">
        <v>0</v>
      </c>
      <c r="V933" s="132">
        <v>89351.19</v>
      </c>
      <c r="W933">
        <v>36</v>
      </c>
      <c r="X933" s="153" t="s">
        <v>195</v>
      </c>
      <c r="Y933" s="124" t="s">
        <v>55</v>
      </c>
      <c r="Z933" s="308">
        <v>210</v>
      </c>
      <c r="AB933" t="str">
        <f>IF(Table1[[#This Row],[TIPO2]]="costo", VLOOKUP(Table1[[#This Row],[PARTIDA PRESUPUESTAL]],'Cost Report'!G:G,1,0),"Balance")</f>
        <v>3902-025</v>
      </c>
      <c r="AC933" s="118"/>
      <c r="AD933" s="159">
        <f>+Table1[[#This Row],[SUBTOTAL]]+Table1[[#This Row],[IVA]]-Table1[[#This Row],[RET IVA]]-Table1[[#This Row],[RET ISR]]-Table1[[#This Row],[TOTAL]]</f>
        <v>0</v>
      </c>
      <c r="AE933" s="152"/>
      <c r="AF933" s="153"/>
      <c r="AG933" s="126"/>
      <c r="AH933" s="115"/>
      <c r="AK933" s="306" t="str">
        <f>IF(ISNUMBER(Table1[[#This Row],[FECHA DE RECIBIDO]]), Table1[[#This Row],[FECHA DE RECIBIDO]]-DATE(2023,8,30), "")</f>
        <v/>
      </c>
    </row>
    <row r="934" spans="1:37" ht="16.05" customHeight="1">
      <c r="A934" s="150"/>
      <c r="B934" s="151"/>
      <c r="C934" s="126" t="s">
        <v>1417</v>
      </c>
      <c r="D934">
        <v>638</v>
      </c>
      <c r="E934" s="126">
        <v>44520</v>
      </c>
      <c r="F934" s="122">
        <v>601</v>
      </c>
      <c r="G934" s="122" t="s">
        <v>134</v>
      </c>
      <c r="H934">
        <v>47</v>
      </c>
      <c r="I934" s="122" t="s">
        <v>1546</v>
      </c>
      <c r="J934" s="307" t="s">
        <v>214</v>
      </c>
      <c r="K934" s="127" t="s">
        <v>3286</v>
      </c>
      <c r="L934" s="151" t="s">
        <v>118</v>
      </c>
      <c r="M934">
        <v>279</v>
      </c>
      <c r="N934" s="123">
        <v>1</v>
      </c>
      <c r="O934">
        <v>644</v>
      </c>
      <c r="P934" s="132" t="s">
        <v>77</v>
      </c>
      <c r="Q934" s="131">
        <v>2310.81</v>
      </c>
      <c r="R934" s="131">
        <v>0</v>
      </c>
      <c r="S934" s="131">
        <v>0</v>
      </c>
      <c r="T934" s="155">
        <v>0</v>
      </c>
      <c r="U934" s="131">
        <v>0</v>
      </c>
      <c r="V934" s="131">
        <v>2310.81</v>
      </c>
      <c r="W934">
        <v>36</v>
      </c>
      <c r="X934" s="151" t="s">
        <v>195</v>
      </c>
      <c r="Y934" s="135" t="s">
        <v>55</v>
      </c>
      <c r="Z934" s="307">
        <v>210</v>
      </c>
      <c r="AB934" t="str">
        <f>IF(Table1[[#This Row],[TIPO2]]="costo", VLOOKUP(Table1[[#This Row],[PARTIDA PRESUPUESTAL]],'Cost Report'!G:G,1,0),"Balance")</f>
        <v>3999-001</v>
      </c>
      <c r="AC934" s="118"/>
      <c r="AD934" s="159">
        <f>+Table1[[#This Row],[SUBTOTAL]]+Table1[[#This Row],[IVA]]-Table1[[#This Row],[RET IVA]]-Table1[[#This Row],[RET ISR]]-Table1[[#This Row],[TOTAL]]</f>
        <v>0</v>
      </c>
      <c r="AE934" s="150"/>
      <c r="AF934" s="151"/>
      <c r="AG934" s="126"/>
      <c r="AH934" s="115"/>
      <c r="AK934" s="306" t="str">
        <f>IF(ISNUMBER(Table1[[#This Row],[FECHA DE RECIBIDO]]), Table1[[#This Row],[FECHA DE RECIBIDO]]-DATE(2023,8,30), "")</f>
        <v/>
      </c>
    </row>
    <row r="935" spans="1:37" ht="16.05" customHeight="1">
      <c r="A935" s="152" t="s">
        <v>3239</v>
      </c>
      <c r="B935" s="153">
        <v>411</v>
      </c>
      <c r="C935" s="126" t="s">
        <v>399</v>
      </c>
      <c r="D935">
        <v>639</v>
      </c>
      <c r="E935" s="126" t="s">
        <v>1646</v>
      </c>
      <c r="F935" s="125" t="s">
        <v>1607</v>
      </c>
      <c r="G935" s="125" t="s">
        <v>134</v>
      </c>
      <c r="H935">
        <v>214</v>
      </c>
      <c r="I935" s="125" t="s">
        <v>1546</v>
      </c>
      <c r="J935" s="308" t="s">
        <v>214</v>
      </c>
      <c r="K935" s="127" t="s">
        <v>3286</v>
      </c>
      <c r="L935" s="153" t="s">
        <v>118</v>
      </c>
      <c r="M935">
        <v>280</v>
      </c>
      <c r="N935" s="123">
        <v>1</v>
      </c>
      <c r="O935">
        <v>645</v>
      </c>
      <c r="P935" s="132" t="s">
        <v>77</v>
      </c>
      <c r="Q935" s="132">
        <v>48000</v>
      </c>
      <c r="R935" s="132">
        <v>7680</v>
      </c>
      <c r="S935" s="132"/>
      <c r="T935" s="156">
        <v>0</v>
      </c>
      <c r="U935" s="132">
        <v>0</v>
      </c>
      <c r="V935" s="132">
        <v>55680</v>
      </c>
      <c r="W935">
        <v>135</v>
      </c>
      <c r="X935" s="153" t="s">
        <v>2035</v>
      </c>
      <c r="Y935" s="124" t="s">
        <v>55</v>
      </c>
      <c r="Z935" s="308">
        <v>210</v>
      </c>
      <c r="AB935" t="str">
        <f>IF(Table1[[#This Row],[TIPO2]]="costo", VLOOKUP(Table1[[#This Row],[PARTIDA PRESUPUESTAL]],'Cost Report'!G:G,1,0),"Balance")</f>
        <v>1621-003</v>
      </c>
      <c r="AC935" s="118"/>
      <c r="AD935" s="159">
        <f>+Table1[[#This Row],[SUBTOTAL]]+Table1[[#This Row],[IVA]]-Table1[[#This Row],[RET IVA]]-Table1[[#This Row],[RET ISR]]-Table1[[#This Row],[TOTAL]]</f>
        <v>0</v>
      </c>
      <c r="AE935" s="152"/>
      <c r="AF935" s="153"/>
      <c r="AG935" s="126"/>
      <c r="AH935" s="115"/>
      <c r="AK935" s="306" t="str">
        <f>IF(ISNUMBER(Table1[[#This Row],[FECHA DE RECIBIDO]]), Table1[[#This Row],[FECHA DE RECIBIDO]]-DATE(2023,8,30), "")</f>
        <v/>
      </c>
    </row>
    <row r="936" spans="1:37" ht="16.05" customHeight="1">
      <c r="A936" s="150" t="s">
        <v>3240</v>
      </c>
      <c r="B936" s="151">
        <v>412</v>
      </c>
      <c r="C936" s="126" t="s">
        <v>2596</v>
      </c>
      <c r="D936">
        <v>640</v>
      </c>
      <c r="E936" s="126" t="s">
        <v>3241</v>
      </c>
      <c r="F936" s="122" t="s">
        <v>1589</v>
      </c>
      <c r="G936" s="122" t="s">
        <v>129</v>
      </c>
      <c r="H936">
        <v>215</v>
      </c>
      <c r="I936" s="122" t="s">
        <v>1546</v>
      </c>
      <c r="J936" s="307" t="s">
        <v>214</v>
      </c>
      <c r="K936" s="127" t="s">
        <v>3286</v>
      </c>
      <c r="L936" s="151" t="s">
        <v>118</v>
      </c>
      <c r="M936">
        <v>281</v>
      </c>
      <c r="N936" s="123">
        <v>16</v>
      </c>
      <c r="O936">
        <v>646</v>
      </c>
      <c r="P936" s="132" t="s">
        <v>77</v>
      </c>
      <c r="Q936" s="131">
        <v>5500</v>
      </c>
      <c r="R936" s="131">
        <v>880</v>
      </c>
      <c r="S936" s="131"/>
      <c r="T936" s="155">
        <v>586.66999999999996</v>
      </c>
      <c r="U936" s="131">
        <v>550</v>
      </c>
      <c r="V936" s="131">
        <v>5243.33</v>
      </c>
      <c r="W936">
        <v>136</v>
      </c>
      <c r="X936" s="151" t="s">
        <v>1980</v>
      </c>
      <c r="Y936" s="135" t="s">
        <v>55</v>
      </c>
      <c r="Z936" s="307">
        <v>210</v>
      </c>
      <c r="AB936" t="str">
        <f>IF(Table1[[#This Row],[TIPO2]]="costo", VLOOKUP(Table1[[#This Row],[PARTIDA PRESUPUESTAL]],'Cost Report'!G:G,1,0),"Balance")</f>
        <v>2794-003</v>
      </c>
      <c r="AC936" s="118"/>
      <c r="AD936" s="159">
        <f>+Table1[[#This Row],[SUBTOTAL]]+Table1[[#This Row],[IVA]]-Table1[[#This Row],[RET IVA]]-Table1[[#This Row],[RET ISR]]-Table1[[#This Row],[TOTAL]]</f>
        <v>0</v>
      </c>
      <c r="AE936" s="150"/>
      <c r="AF936" s="151"/>
      <c r="AG936" s="126"/>
      <c r="AH936" s="115"/>
      <c r="AK936" s="306" t="str">
        <f>IF(ISNUMBER(Table1[[#This Row],[FECHA DE RECIBIDO]]), Table1[[#This Row],[FECHA DE RECIBIDO]]-DATE(2023,8,30), "")</f>
        <v/>
      </c>
    </row>
    <row r="937" spans="1:37" ht="16.05" customHeight="1">
      <c r="A937" s="152" t="s">
        <v>3242</v>
      </c>
      <c r="B937" s="153">
        <v>413</v>
      </c>
      <c r="C937" s="126" t="s">
        <v>2596</v>
      </c>
      <c r="D937">
        <v>641</v>
      </c>
      <c r="E937" s="126" t="s">
        <v>3243</v>
      </c>
      <c r="F937" s="125" t="s">
        <v>1593</v>
      </c>
      <c r="G937" s="125" t="s">
        <v>109</v>
      </c>
      <c r="H937">
        <v>216</v>
      </c>
      <c r="I937" s="125" t="s">
        <v>1546</v>
      </c>
      <c r="J937" s="308" t="s">
        <v>214</v>
      </c>
      <c r="K937" s="127" t="s">
        <v>3286</v>
      </c>
      <c r="L937" s="153" t="s">
        <v>118</v>
      </c>
      <c r="M937">
        <v>282</v>
      </c>
      <c r="N937" s="123">
        <v>16</v>
      </c>
      <c r="O937">
        <v>647</v>
      </c>
      <c r="P937" s="132" t="s">
        <v>77</v>
      </c>
      <c r="Q937" s="132">
        <v>3600</v>
      </c>
      <c r="R937" s="132">
        <v>576</v>
      </c>
      <c r="S937" s="132"/>
      <c r="T937" s="156">
        <v>384.12</v>
      </c>
      <c r="U937" s="132">
        <v>45</v>
      </c>
      <c r="V937" s="132">
        <v>3746.88</v>
      </c>
      <c r="W937">
        <v>137</v>
      </c>
      <c r="X937" s="153" t="s">
        <v>1980</v>
      </c>
      <c r="Y937" s="124" t="s">
        <v>55</v>
      </c>
      <c r="Z937" s="308">
        <v>210</v>
      </c>
      <c r="AB937" t="str">
        <f>IF(Table1[[#This Row],[TIPO2]]="costo", VLOOKUP(Table1[[#This Row],[PARTIDA PRESUPUESTAL]],'Cost Report'!G:G,1,0),"Balance")</f>
        <v>2794-003</v>
      </c>
      <c r="AC937" s="118"/>
      <c r="AD937" s="159">
        <f>+Table1[[#This Row],[SUBTOTAL]]+Table1[[#This Row],[IVA]]-Table1[[#This Row],[RET IVA]]-Table1[[#This Row],[RET ISR]]-Table1[[#This Row],[TOTAL]]</f>
        <v>0</v>
      </c>
      <c r="AE937" s="152"/>
      <c r="AF937" s="153"/>
      <c r="AG937" s="126"/>
      <c r="AH937" s="115"/>
      <c r="AK937" s="306" t="str">
        <f>IF(ISNUMBER(Table1[[#This Row],[FECHA DE RECIBIDO]]), Table1[[#This Row],[FECHA DE RECIBIDO]]-DATE(2023,8,30), "")</f>
        <v/>
      </c>
    </row>
    <row r="938" spans="1:37" ht="16.05" customHeight="1">
      <c r="A938" s="150" t="s">
        <v>3244</v>
      </c>
      <c r="B938" s="151">
        <v>414</v>
      </c>
      <c r="C938" s="126" t="s">
        <v>2596</v>
      </c>
      <c r="D938">
        <v>642</v>
      </c>
      <c r="E938" s="126" t="s">
        <v>3245</v>
      </c>
      <c r="F938" s="122" t="s">
        <v>1589</v>
      </c>
      <c r="G938" s="122" t="s">
        <v>129</v>
      </c>
      <c r="H938">
        <v>217</v>
      </c>
      <c r="I938" s="122" t="s">
        <v>1546</v>
      </c>
      <c r="J938" s="307" t="s">
        <v>214</v>
      </c>
      <c r="K938" s="127" t="s">
        <v>3286</v>
      </c>
      <c r="L938" s="151" t="s">
        <v>118</v>
      </c>
      <c r="M938">
        <v>283</v>
      </c>
      <c r="N938" s="123">
        <v>16</v>
      </c>
      <c r="O938">
        <v>648</v>
      </c>
      <c r="P938" s="132" t="s">
        <v>77</v>
      </c>
      <c r="Q938" s="131">
        <v>47300</v>
      </c>
      <c r="R938" s="131">
        <v>7568</v>
      </c>
      <c r="S938" s="131"/>
      <c r="T938" s="155">
        <v>5074.7</v>
      </c>
      <c r="U938" s="131">
        <v>4730</v>
      </c>
      <c r="V938" s="131">
        <v>45063.3</v>
      </c>
      <c r="W938">
        <v>138</v>
      </c>
      <c r="X938" s="151" t="s">
        <v>2037</v>
      </c>
      <c r="Y938" s="135" t="s">
        <v>55</v>
      </c>
      <c r="Z938" s="307">
        <v>210</v>
      </c>
      <c r="AB938" t="str">
        <f>IF(Table1[[#This Row],[TIPO2]]="costo", VLOOKUP(Table1[[#This Row],[PARTIDA PRESUPUESTAL]],'Cost Report'!G:G,1,0),"Balance")</f>
        <v>2794-003</v>
      </c>
      <c r="AC938" s="118"/>
      <c r="AD938" s="159">
        <f>+Table1[[#This Row],[SUBTOTAL]]+Table1[[#This Row],[IVA]]-Table1[[#This Row],[RET IVA]]-Table1[[#This Row],[RET ISR]]-Table1[[#This Row],[TOTAL]]</f>
        <v>0</v>
      </c>
      <c r="AE938" s="150"/>
      <c r="AF938" s="151"/>
      <c r="AG938" s="126"/>
      <c r="AH938" s="115"/>
      <c r="AK938" s="306" t="str">
        <f>IF(ISNUMBER(Table1[[#This Row],[FECHA DE RECIBIDO]]), Table1[[#This Row],[FECHA DE RECIBIDO]]-DATE(2023,8,30), "")</f>
        <v/>
      </c>
    </row>
    <row r="939" spans="1:37" ht="16.05" customHeight="1">
      <c r="A939" s="152" t="s">
        <v>3246</v>
      </c>
      <c r="B939" s="153">
        <v>415</v>
      </c>
      <c r="C939" s="126" t="s">
        <v>2596</v>
      </c>
      <c r="D939">
        <v>643</v>
      </c>
      <c r="E939" s="126" t="s">
        <v>3247</v>
      </c>
      <c r="F939" s="125" t="s">
        <v>1593</v>
      </c>
      <c r="G939" s="125" t="s">
        <v>109</v>
      </c>
      <c r="H939">
        <v>218</v>
      </c>
      <c r="I939" s="125" t="s">
        <v>1546</v>
      </c>
      <c r="J939" s="308" t="s">
        <v>214</v>
      </c>
      <c r="K939" s="127" t="s">
        <v>3286</v>
      </c>
      <c r="L939" s="153" t="s">
        <v>118</v>
      </c>
      <c r="M939">
        <v>284</v>
      </c>
      <c r="N939" s="123">
        <v>16</v>
      </c>
      <c r="O939">
        <v>649</v>
      </c>
      <c r="P939" s="132" t="s">
        <v>77</v>
      </c>
      <c r="Q939" s="132">
        <v>79400</v>
      </c>
      <c r="R939" s="132">
        <v>12704</v>
      </c>
      <c r="S939" s="132"/>
      <c r="T939" s="156">
        <v>0</v>
      </c>
      <c r="U939" s="132">
        <v>992.5</v>
      </c>
      <c r="V939" s="132">
        <v>91111.5</v>
      </c>
      <c r="W939">
        <v>139</v>
      </c>
      <c r="X939" s="153" t="s">
        <v>105</v>
      </c>
      <c r="Y939" s="124" t="s">
        <v>55</v>
      </c>
      <c r="Z939" s="308">
        <v>210</v>
      </c>
      <c r="AB939" t="str">
        <f>IF(Table1[[#This Row],[TIPO2]]="costo", VLOOKUP(Table1[[#This Row],[PARTIDA PRESUPUESTAL]],'Cost Report'!G:G,1,0),"Balance")</f>
        <v>2794-003</v>
      </c>
      <c r="AC939" s="118"/>
      <c r="AD939" s="159">
        <f>+Table1[[#This Row],[SUBTOTAL]]+Table1[[#This Row],[IVA]]-Table1[[#This Row],[RET IVA]]-Table1[[#This Row],[RET ISR]]-Table1[[#This Row],[TOTAL]]</f>
        <v>0</v>
      </c>
      <c r="AE939" s="152"/>
      <c r="AF939" s="153"/>
      <c r="AG939" s="126"/>
      <c r="AH939" s="115"/>
      <c r="AK939" s="306" t="str">
        <f>IF(ISNUMBER(Table1[[#This Row],[FECHA DE RECIBIDO]]), Table1[[#This Row],[FECHA DE RECIBIDO]]-DATE(2023,8,30), "")</f>
        <v/>
      </c>
    </row>
    <row r="940" spans="1:37" ht="16.05" customHeight="1">
      <c r="A940" s="150" t="s">
        <v>3248</v>
      </c>
      <c r="B940" s="151">
        <v>416</v>
      </c>
      <c r="C940" s="126" t="s">
        <v>2596</v>
      </c>
      <c r="D940">
        <v>644</v>
      </c>
      <c r="E940" s="126" t="s">
        <v>3249</v>
      </c>
      <c r="F940" s="122" t="s">
        <v>1589</v>
      </c>
      <c r="G940" s="122" t="s">
        <v>129</v>
      </c>
      <c r="H940">
        <v>219</v>
      </c>
      <c r="I940" s="122" t="s">
        <v>1546</v>
      </c>
      <c r="J940" s="307" t="s">
        <v>214</v>
      </c>
      <c r="K940" s="127" t="s">
        <v>3286</v>
      </c>
      <c r="L940" s="151" t="s">
        <v>118</v>
      </c>
      <c r="M940">
        <v>285</v>
      </c>
      <c r="N940" s="123">
        <v>16</v>
      </c>
      <c r="O940">
        <v>650</v>
      </c>
      <c r="P940" s="132" t="s">
        <v>77</v>
      </c>
      <c r="Q940" s="131">
        <v>9000</v>
      </c>
      <c r="R940" s="131">
        <v>1440</v>
      </c>
      <c r="S940" s="131"/>
      <c r="T940" s="155">
        <v>959.98</v>
      </c>
      <c r="U940" s="131">
        <v>900</v>
      </c>
      <c r="V940" s="131">
        <v>8580.02</v>
      </c>
      <c r="W940">
        <v>140</v>
      </c>
      <c r="X940" s="151" t="s">
        <v>2035</v>
      </c>
      <c r="Y940" s="135" t="s">
        <v>55</v>
      </c>
      <c r="Z940" s="307">
        <v>210</v>
      </c>
      <c r="AB940" t="str">
        <f>IF(Table1[[#This Row],[TIPO2]]="costo", VLOOKUP(Table1[[#This Row],[PARTIDA PRESUPUESTAL]],'Cost Report'!G:G,1,0),"Balance")</f>
        <v>2794-003</v>
      </c>
      <c r="AC940" s="118"/>
      <c r="AD940" s="159">
        <f>+Table1[[#This Row],[SUBTOTAL]]+Table1[[#This Row],[IVA]]-Table1[[#This Row],[RET IVA]]-Table1[[#This Row],[RET ISR]]-Table1[[#This Row],[TOTAL]]</f>
        <v>0</v>
      </c>
      <c r="AE940" s="150"/>
      <c r="AF940" s="151"/>
      <c r="AG940" s="126"/>
      <c r="AH940" s="115"/>
      <c r="AK940" s="306" t="str">
        <f>IF(ISNUMBER(Table1[[#This Row],[FECHA DE RECIBIDO]]), Table1[[#This Row],[FECHA DE RECIBIDO]]-DATE(2023,8,30), "")</f>
        <v/>
      </c>
    </row>
    <row r="941" spans="1:37" ht="16.05" customHeight="1">
      <c r="A941" s="152" t="s">
        <v>3250</v>
      </c>
      <c r="B941" s="153">
        <v>417</v>
      </c>
      <c r="C941" s="126" t="s">
        <v>674</v>
      </c>
      <c r="D941">
        <v>645</v>
      </c>
      <c r="E941" s="126" t="s">
        <v>1895</v>
      </c>
      <c r="F941" s="125" t="s">
        <v>1607</v>
      </c>
      <c r="G941" s="125" t="s">
        <v>134</v>
      </c>
      <c r="H941">
        <v>220</v>
      </c>
      <c r="I941" s="125" t="s">
        <v>1546</v>
      </c>
      <c r="J941" s="308" t="s">
        <v>214</v>
      </c>
      <c r="K941" s="127" t="s">
        <v>3286</v>
      </c>
      <c r="L941" s="153" t="s">
        <v>118</v>
      </c>
      <c r="M941">
        <v>286</v>
      </c>
      <c r="N941" s="123">
        <v>16</v>
      </c>
      <c r="O941">
        <v>651</v>
      </c>
      <c r="P941" s="132" t="s">
        <v>77</v>
      </c>
      <c r="Q941" s="132">
        <v>26500</v>
      </c>
      <c r="R941" s="132">
        <v>4240</v>
      </c>
      <c r="S941" s="132"/>
      <c r="T941" s="156">
        <v>0</v>
      </c>
      <c r="U941" s="132">
        <v>0</v>
      </c>
      <c r="V941" s="132">
        <v>30740</v>
      </c>
      <c r="W941">
        <v>141</v>
      </c>
      <c r="X941" s="153" t="s">
        <v>105</v>
      </c>
      <c r="Y941" s="124" t="s">
        <v>55</v>
      </c>
      <c r="Z941" s="308">
        <v>210</v>
      </c>
      <c r="AB941" t="str">
        <f>IF(Table1[[#This Row],[TIPO2]]="costo", VLOOKUP(Table1[[#This Row],[PARTIDA PRESUPUESTAL]],'Cost Report'!G:G,1,0),"Balance")</f>
        <v>2795-003</v>
      </c>
      <c r="AC941" s="118"/>
      <c r="AD941" s="159">
        <f>+Table1[[#This Row],[SUBTOTAL]]+Table1[[#This Row],[IVA]]-Table1[[#This Row],[RET IVA]]-Table1[[#This Row],[RET ISR]]-Table1[[#This Row],[TOTAL]]</f>
        <v>0</v>
      </c>
      <c r="AE941" s="152"/>
      <c r="AF941" s="153"/>
      <c r="AG941" s="126"/>
      <c r="AH941" s="115"/>
      <c r="AK941" s="306" t="str">
        <f>IF(ISNUMBER(Table1[[#This Row],[FECHA DE RECIBIDO]]), Table1[[#This Row],[FECHA DE RECIBIDO]]-DATE(2023,8,30), "")</f>
        <v/>
      </c>
    </row>
    <row r="942" spans="1:37" ht="16.05" customHeight="1">
      <c r="A942" s="150"/>
      <c r="B942" s="151">
        <v>418</v>
      </c>
      <c r="C942" s="126" t="s">
        <v>2596</v>
      </c>
      <c r="D942">
        <v>646</v>
      </c>
      <c r="E942" s="126" t="s">
        <v>1895</v>
      </c>
      <c r="F942" s="122" t="s">
        <v>1607</v>
      </c>
      <c r="G942" s="122" t="s">
        <v>134</v>
      </c>
      <c r="H942">
        <v>220</v>
      </c>
      <c r="I942" s="122" t="s">
        <v>1546</v>
      </c>
      <c r="J942" s="307" t="s">
        <v>214</v>
      </c>
      <c r="K942" s="127" t="s">
        <v>3286</v>
      </c>
      <c r="L942" s="151" t="s">
        <v>118</v>
      </c>
      <c r="M942">
        <v>286</v>
      </c>
      <c r="N942" s="123">
        <v>16</v>
      </c>
      <c r="O942">
        <v>652</v>
      </c>
      <c r="P942" s="132" t="s">
        <v>77</v>
      </c>
      <c r="Q942" s="131">
        <v>101600</v>
      </c>
      <c r="R942" s="131">
        <v>16256</v>
      </c>
      <c r="S942" s="131"/>
      <c r="T942" s="155">
        <v>0</v>
      </c>
      <c r="U942" s="131">
        <v>0</v>
      </c>
      <c r="V942" s="131">
        <v>117856</v>
      </c>
      <c r="W942">
        <v>141</v>
      </c>
      <c r="X942" s="151" t="s">
        <v>105</v>
      </c>
      <c r="Y942" s="135" t="s">
        <v>55</v>
      </c>
      <c r="Z942" s="307">
        <v>210</v>
      </c>
      <c r="AB942" t="str">
        <f>IF(Table1[[#This Row],[TIPO2]]="costo", VLOOKUP(Table1[[#This Row],[PARTIDA PRESUPUESTAL]],'Cost Report'!G:G,1,0),"Balance")</f>
        <v>2794-003</v>
      </c>
      <c r="AC942" s="118"/>
      <c r="AD942" s="159">
        <f>+Table1[[#This Row],[SUBTOTAL]]+Table1[[#This Row],[IVA]]-Table1[[#This Row],[RET IVA]]-Table1[[#This Row],[RET ISR]]-Table1[[#This Row],[TOTAL]]</f>
        <v>0</v>
      </c>
      <c r="AE942" s="150"/>
      <c r="AF942" s="151"/>
      <c r="AG942" s="126"/>
      <c r="AH942" s="115"/>
      <c r="AK942" s="306" t="str">
        <f>IF(ISNUMBER(Table1[[#This Row],[FECHA DE RECIBIDO]]), Table1[[#This Row],[FECHA DE RECIBIDO]]-DATE(2023,8,30), "")</f>
        <v/>
      </c>
    </row>
    <row r="943" spans="1:37" ht="16.05" customHeight="1">
      <c r="A943" s="152" t="s">
        <v>3251</v>
      </c>
      <c r="B943" s="153">
        <v>419</v>
      </c>
      <c r="C943" s="126" t="s">
        <v>2460</v>
      </c>
      <c r="D943">
        <v>647</v>
      </c>
      <c r="E943" s="126" t="s">
        <v>3232</v>
      </c>
      <c r="F943" s="125" t="s">
        <v>1589</v>
      </c>
      <c r="G943" s="125" t="s">
        <v>129</v>
      </c>
      <c r="H943">
        <v>211</v>
      </c>
      <c r="I943" s="125" t="s">
        <v>1546</v>
      </c>
      <c r="J943" s="308" t="s">
        <v>214</v>
      </c>
      <c r="K943" s="127" t="s">
        <v>3286</v>
      </c>
      <c r="L943" s="153" t="s">
        <v>118</v>
      </c>
      <c r="M943">
        <v>275</v>
      </c>
      <c r="N943" s="123">
        <v>51</v>
      </c>
      <c r="O943">
        <v>653</v>
      </c>
      <c r="P943" s="132" t="s">
        <v>77</v>
      </c>
      <c r="Q943" s="132">
        <v>27000</v>
      </c>
      <c r="R943" s="132">
        <v>4320</v>
      </c>
      <c r="S943" s="132"/>
      <c r="T943" s="156">
        <v>0</v>
      </c>
      <c r="U943" s="132">
        <v>0</v>
      </c>
      <c r="V943" s="132">
        <v>31320</v>
      </c>
      <c r="W943">
        <v>131</v>
      </c>
      <c r="X943" s="153" t="s">
        <v>2035</v>
      </c>
      <c r="Y943" s="124" t="s">
        <v>55</v>
      </c>
      <c r="Z943" s="308">
        <v>210</v>
      </c>
      <c r="AB943" t="str">
        <f>IF(Table1[[#This Row],[TIPO2]]="costo", VLOOKUP(Table1[[#This Row],[PARTIDA PRESUPUESTAL]],'Cost Report'!G:G,1,0),"Balance")</f>
        <v>2311-005</v>
      </c>
      <c r="AC943" s="118"/>
      <c r="AD943" s="159">
        <f>+Table1[[#This Row],[SUBTOTAL]]+Table1[[#This Row],[IVA]]-Table1[[#This Row],[RET IVA]]-Table1[[#This Row],[RET ISR]]-Table1[[#This Row],[TOTAL]]</f>
        <v>0</v>
      </c>
      <c r="AE943" s="152"/>
      <c r="AF943" s="153"/>
      <c r="AG943" s="126"/>
      <c r="AH943" s="115"/>
      <c r="AK943" s="306" t="str">
        <f>IF(ISNUMBER(Table1[[#This Row],[FECHA DE RECIBIDO]]), Table1[[#This Row],[FECHA DE RECIBIDO]]-DATE(2023,8,30), "")</f>
        <v/>
      </c>
    </row>
    <row r="944" spans="1:37" ht="16.05" customHeight="1">
      <c r="A944" s="150" t="s">
        <v>3252</v>
      </c>
      <c r="B944" s="151">
        <v>420</v>
      </c>
      <c r="C944" s="126" t="s">
        <v>2544</v>
      </c>
      <c r="D944">
        <v>648</v>
      </c>
      <c r="E944" s="126">
        <v>44638</v>
      </c>
      <c r="F944" s="122">
        <v>601</v>
      </c>
      <c r="G944" s="122" t="s">
        <v>3253</v>
      </c>
      <c r="H944">
        <v>221</v>
      </c>
      <c r="I944" s="122" t="s">
        <v>1546</v>
      </c>
      <c r="J944" s="307">
        <v>208.79394675925869</v>
      </c>
      <c r="K944" s="127" t="s">
        <v>3286</v>
      </c>
      <c r="L944" s="151" t="s">
        <v>118</v>
      </c>
      <c r="M944">
        <v>287</v>
      </c>
      <c r="N944" s="123">
        <v>51</v>
      </c>
      <c r="O944">
        <v>654</v>
      </c>
      <c r="P944" s="132" t="s">
        <v>77</v>
      </c>
      <c r="Q944" s="131">
        <v>49940</v>
      </c>
      <c r="R944" s="131">
        <v>7990.4000000000005</v>
      </c>
      <c r="S944" s="131"/>
      <c r="T944" s="155">
        <v>0</v>
      </c>
      <c r="U944" s="131">
        <v>0</v>
      </c>
      <c r="V944" s="131">
        <v>57930.400000000001</v>
      </c>
      <c r="W944">
        <v>142</v>
      </c>
      <c r="X944" s="151" t="s">
        <v>195</v>
      </c>
      <c r="Y944" s="135" t="s">
        <v>55</v>
      </c>
      <c r="Z944" s="307">
        <v>210</v>
      </c>
      <c r="AB944" t="str">
        <f>IF(Table1[[#This Row],[TIPO2]]="costo", VLOOKUP(Table1[[#This Row],[PARTIDA PRESUPUESTAL]],'Cost Report'!G:G,1,0),"Balance")</f>
        <v>2494-067</v>
      </c>
      <c r="AC944" s="118" t="s">
        <v>3800</v>
      </c>
      <c r="AD944" s="159">
        <f>+Table1[[#This Row],[SUBTOTAL]]+Table1[[#This Row],[IVA]]-Table1[[#This Row],[RET IVA]]-Table1[[#This Row],[RET ISR]]-Table1[[#This Row],[TOTAL]]</f>
        <v>0</v>
      </c>
      <c r="AE944" s="150"/>
      <c r="AF944" s="151"/>
      <c r="AG944" s="126"/>
      <c r="AH944" s="115"/>
      <c r="AK944" s="306">
        <f>IF(ISNUMBER(Table1[[#This Row],[FECHA DE RECIBIDO]]), Table1[[#This Row],[FECHA DE RECIBIDO]]-DATE(2023,8,30), "")</f>
        <v>-44959.206053240741</v>
      </c>
    </row>
    <row r="945" spans="1:37" ht="16.05" customHeight="1">
      <c r="A945" s="152" t="s">
        <v>3254</v>
      </c>
      <c r="B945" s="153">
        <v>421</v>
      </c>
      <c r="C945" s="126" t="s">
        <v>1505</v>
      </c>
      <c r="D945">
        <v>649</v>
      </c>
      <c r="E945" s="126" t="s">
        <v>3255</v>
      </c>
      <c r="F945" s="125" t="s">
        <v>1589</v>
      </c>
      <c r="G945" s="125" t="s">
        <v>129</v>
      </c>
      <c r="H945">
        <v>222</v>
      </c>
      <c r="I945" s="125" t="s">
        <v>1546</v>
      </c>
      <c r="J945" s="308" t="s">
        <v>214</v>
      </c>
      <c r="K945" s="127" t="s">
        <v>3286</v>
      </c>
      <c r="L945" s="153" t="s">
        <v>118</v>
      </c>
      <c r="M945">
        <v>288</v>
      </c>
      <c r="N945" s="123">
        <v>16</v>
      </c>
      <c r="O945">
        <v>655</v>
      </c>
      <c r="P945" s="132" t="s">
        <v>77</v>
      </c>
      <c r="Q945" s="132">
        <v>10610</v>
      </c>
      <c r="R945" s="132">
        <v>1697.6</v>
      </c>
      <c r="S945" s="132"/>
      <c r="T945" s="156">
        <v>0</v>
      </c>
      <c r="U945" s="132">
        <v>0</v>
      </c>
      <c r="V945" s="132">
        <v>12307.6</v>
      </c>
      <c r="W945">
        <v>143</v>
      </c>
      <c r="X945" s="153" t="s">
        <v>3256</v>
      </c>
      <c r="Y945" s="124" t="s">
        <v>55</v>
      </c>
      <c r="Z945" s="308">
        <v>210</v>
      </c>
      <c r="AB945" t="str">
        <f>IF(Table1[[#This Row],[TIPO2]]="costo", VLOOKUP(Table1[[#This Row],[PARTIDA PRESUPUESTAL]],'Cost Report'!G:G,1,0),"Balance")</f>
        <v>2494-003</v>
      </c>
      <c r="AC945" s="118"/>
      <c r="AD945" s="159">
        <f>+Table1[[#This Row],[SUBTOTAL]]+Table1[[#This Row],[IVA]]-Table1[[#This Row],[RET IVA]]-Table1[[#This Row],[RET ISR]]-Table1[[#This Row],[TOTAL]]</f>
        <v>0</v>
      </c>
      <c r="AE945" s="152"/>
      <c r="AF945" s="153"/>
      <c r="AG945" s="126"/>
      <c r="AH945" s="115"/>
      <c r="AK945" s="306" t="str">
        <f>IF(ISNUMBER(Table1[[#This Row],[FECHA DE RECIBIDO]]), Table1[[#This Row],[FECHA DE RECIBIDO]]-DATE(2023,8,30), "")</f>
        <v/>
      </c>
    </row>
    <row r="946" spans="1:37" ht="16.05" customHeight="1">
      <c r="A946" s="150" t="s">
        <v>3257</v>
      </c>
      <c r="B946" s="151">
        <v>422</v>
      </c>
      <c r="C946" s="126" t="s">
        <v>420</v>
      </c>
      <c r="D946">
        <v>650</v>
      </c>
      <c r="E946" s="126" t="s">
        <v>2001</v>
      </c>
      <c r="F946" s="122" t="s">
        <v>1607</v>
      </c>
      <c r="G946" s="122" t="s">
        <v>134</v>
      </c>
      <c r="H946">
        <v>223</v>
      </c>
      <c r="I946" s="122" t="s">
        <v>1546</v>
      </c>
      <c r="J946" s="307" t="s">
        <v>214</v>
      </c>
      <c r="K946" s="127" t="s">
        <v>3286</v>
      </c>
      <c r="L946" s="151" t="s">
        <v>118</v>
      </c>
      <c r="M946">
        <v>289</v>
      </c>
      <c r="N946" s="123">
        <v>1</v>
      </c>
      <c r="O946">
        <v>656</v>
      </c>
      <c r="P946" s="132" t="s">
        <v>77</v>
      </c>
      <c r="Q946" s="131">
        <v>73285.86</v>
      </c>
      <c r="R946" s="131">
        <v>11725.74</v>
      </c>
      <c r="S946" s="131"/>
      <c r="T946" s="155">
        <v>0</v>
      </c>
      <c r="U946" s="131">
        <v>0</v>
      </c>
      <c r="V946" s="131">
        <v>85011.6</v>
      </c>
      <c r="W946">
        <v>144</v>
      </c>
      <c r="X946" s="151" t="s">
        <v>3258</v>
      </c>
      <c r="Y946" s="135" t="s">
        <v>55</v>
      </c>
      <c r="Z946" s="307">
        <v>210</v>
      </c>
      <c r="AB946" t="str">
        <f>IF(Table1[[#This Row],[TIPO2]]="costo", VLOOKUP(Table1[[#This Row],[PARTIDA PRESUPUESTAL]],'Cost Report'!G:G,1,0),"Balance")</f>
        <v>1641-003</v>
      </c>
      <c r="AC946" s="118"/>
      <c r="AD946" s="159">
        <f>+Table1[[#This Row],[SUBTOTAL]]+Table1[[#This Row],[IVA]]-Table1[[#This Row],[RET IVA]]-Table1[[#This Row],[RET ISR]]-Table1[[#This Row],[TOTAL]]</f>
        <v>0</v>
      </c>
      <c r="AE946" s="150"/>
      <c r="AF946" s="151"/>
      <c r="AG946" s="126"/>
      <c r="AH946" s="115"/>
      <c r="AK946" s="306" t="str">
        <f>IF(ISNUMBER(Table1[[#This Row],[FECHA DE RECIBIDO]]), Table1[[#This Row],[FECHA DE RECIBIDO]]-DATE(2023,8,30), "")</f>
        <v/>
      </c>
    </row>
    <row r="947" spans="1:37" ht="16.05" customHeight="1">
      <c r="A947" s="152" t="s">
        <v>3259</v>
      </c>
      <c r="B947" s="153">
        <v>423</v>
      </c>
      <c r="C947" s="126" t="s">
        <v>2596</v>
      </c>
      <c r="D947">
        <v>651</v>
      </c>
      <c r="E947" s="126" t="s">
        <v>2005</v>
      </c>
      <c r="F947" s="125" t="s">
        <v>1607</v>
      </c>
      <c r="G947" s="125" t="s">
        <v>134</v>
      </c>
      <c r="H947">
        <v>150</v>
      </c>
      <c r="I947" s="125" t="s">
        <v>1546</v>
      </c>
      <c r="J947" s="308" t="s">
        <v>214</v>
      </c>
      <c r="K947" s="127" t="s">
        <v>3286</v>
      </c>
      <c r="L947" s="153" t="s">
        <v>1483</v>
      </c>
      <c r="M947">
        <v>208</v>
      </c>
      <c r="N947" s="123">
        <v>17</v>
      </c>
      <c r="O947">
        <v>657</v>
      </c>
      <c r="P947" s="132" t="s">
        <v>77</v>
      </c>
      <c r="Q947" s="132">
        <v>171.55</v>
      </c>
      <c r="R947" s="132">
        <v>27.45</v>
      </c>
      <c r="S947" s="132"/>
      <c r="T947" s="156"/>
      <c r="U947" s="132"/>
      <c r="V947" s="132">
        <v>199</v>
      </c>
      <c r="W947">
        <v>61</v>
      </c>
      <c r="X947" s="153" t="s">
        <v>3260</v>
      </c>
      <c r="Y947" s="124" t="s">
        <v>55</v>
      </c>
      <c r="Z947" s="308">
        <v>195</v>
      </c>
      <c r="AB947" t="str">
        <f>IF(Table1[[#This Row],[TIPO2]]="costo", VLOOKUP(Table1[[#This Row],[PARTIDA PRESUPUESTAL]],'Cost Report'!G:G,1,0),"Balance")</f>
        <v>2794-003</v>
      </c>
      <c r="AC947" s="118"/>
      <c r="AD947" s="159">
        <f>+Table1[[#This Row],[SUBTOTAL]]+Table1[[#This Row],[IVA]]-Table1[[#This Row],[RET IVA]]-Table1[[#This Row],[RET ISR]]-Table1[[#This Row],[TOTAL]]</f>
        <v>0</v>
      </c>
      <c r="AE947" s="152"/>
      <c r="AF947" s="153"/>
      <c r="AG947" s="126" t="s">
        <v>3420</v>
      </c>
      <c r="AH947" s="115"/>
      <c r="AK947" s="306" t="str">
        <f>IF(ISNUMBER(Table1[[#This Row],[FECHA DE RECIBIDO]]), Table1[[#This Row],[FECHA DE RECIBIDO]]-DATE(2023,8,30), "")</f>
        <v/>
      </c>
    </row>
    <row r="948" spans="1:37" ht="16.05" customHeight="1">
      <c r="A948" s="150" t="s">
        <v>3259</v>
      </c>
      <c r="B948" s="151">
        <v>423</v>
      </c>
      <c r="C948" s="126" t="s">
        <v>2596</v>
      </c>
      <c r="D948">
        <v>652</v>
      </c>
      <c r="E948" s="126"/>
      <c r="F948" s="122">
        <v>601</v>
      </c>
      <c r="G948" s="122" t="s">
        <v>134</v>
      </c>
      <c r="H948">
        <v>154</v>
      </c>
      <c r="I948" s="122" t="s">
        <v>1546</v>
      </c>
      <c r="J948" s="307" t="s">
        <v>214</v>
      </c>
      <c r="K948" s="127" t="s">
        <v>3286</v>
      </c>
      <c r="L948" s="151" t="s">
        <v>1483</v>
      </c>
      <c r="M948">
        <v>205</v>
      </c>
      <c r="N948" s="123">
        <v>17</v>
      </c>
      <c r="O948">
        <v>658</v>
      </c>
      <c r="P948" s="132" t="s">
        <v>77</v>
      </c>
      <c r="Q948" s="131">
        <v>1637.07</v>
      </c>
      <c r="R948" s="131">
        <v>261.93</v>
      </c>
      <c r="S948" s="131"/>
      <c r="T948" s="155"/>
      <c r="U948" s="131"/>
      <c r="V948" s="131">
        <v>1899</v>
      </c>
      <c r="W948">
        <v>61</v>
      </c>
      <c r="X948" s="151" t="s">
        <v>3260</v>
      </c>
      <c r="Y948" s="135" t="s">
        <v>55</v>
      </c>
      <c r="Z948" s="307">
        <v>183</v>
      </c>
      <c r="AB948" t="str">
        <f>IF(Table1[[#This Row],[TIPO2]]="costo", VLOOKUP(Table1[[#This Row],[PARTIDA PRESUPUESTAL]],'Cost Report'!G:G,1,0),"Balance")</f>
        <v>2794-003</v>
      </c>
      <c r="AC948" s="118"/>
      <c r="AD948" s="159">
        <f>+Table1[[#This Row],[SUBTOTAL]]+Table1[[#This Row],[IVA]]-Table1[[#This Row],[RET IVA]]-Table1[[#This Row],[RET ISR]]-Table1[[#This Row],[TOTAL]]</f>
        <v>0</v>
      </c>
      <c r="AE948" s="150"/>
      <c r="AF948" s="151"/>
      <c r="AG948" s="126" t="s">
        <v>3420</v>
      </c>
      <c r="AH948" s="115"/>
      <c r="AK948" s="306" t="str">
        <f>IF(ISNUMBER(Table1[[#This Row],[FECHA DE RECIBIDO]]), Table1[[#This Row],[FECHA DE RECIBIDO]]-DATE(2023,8,30), "")</f>
        <v/>
      </c>
    </row>
    <row r="949" spans="1:37" ht="16.05" customHeight="1">
      <c r="A949" s="152" t="s">
        <v>3259</v>
      </c>
      <c r="B949" s="153">
        <v>423</v>
      </c>
      <c r="C949" s="126" t="s">
        <v>2596</v>
      </c>
      <c r="D949">
        <v>653</v>
      </c>
      <c r="E949" s="126" t="s">
        <v>2082</v>
      </c>
      <c r="F949" s="125" t="s">
        <v>1607</v>
      </c>
      <c r="G949" s="125" t="s">
        <v>134</v>
      </c>
      <c r="H949">
        <v>97</v>
      </c>
      <c r="I949" s="125" t="s">
        <v>1546</v>
      </c>
      <c r="J949" s="308" t="s">
        <v>214</v>
      </c>
      <c r="K949" s="127" t="s">
        <v>3286</v>
      </c>
      <c r="L949" s="153" t="s">
        <v>1483</v>
      </c>
      <c r="M949">
        <v>193</v>
      </c>
      <c r="N949" s="123">
        <v>17</v>
      </c>
      <c r="O949">
        <v>439</v>
      </c>
      <c r="P949" s="132" t="s">
        <v>77</v>
      </c>
      <c r="Q949" s="132">
        <v>541.38</v>
      </c>
      <c r="R949" s="132">
        <v>86.62</v>
      </c>
      <c r="S949" s="132"/>
      <c r="T949" s="156"/>
      <c r="U949" s="132"/>
      <c r="V949" s="132">
        <v>628</v>
      </c>
      <c r="W949">
        <v>61</v>
      </c>
      <c r="X949" s="153" t="s">
        <v>3260</v>
      </c>
      <c r="Y949" s="124" t="s">
        <v>55</v>
      </c>
      <c r="Z949" s="308">
        <v>195</v>
      </c>
      <c r="AB949" t="str">
        <f>IF(Table1[[#This Row],[TIPO2]]="costo", VLOOKUP(Table1[[#This Row],[PARTIDA PRESUPUESTAL]],'Cost Report'!G:G,1,0),"Balance")</f>
        <v>2794-003</v>
      </c>
      <c r="AC949" s="118"/>
      <c r="AD949" s="159">
        <f>+Table1[[#This Row],[SUBTOTAL]]+Table1[[#This Row],[IVA]]-Table1[[#This Row],[RET IVA]]-Table1[[#This Row],[RET ISR]]-Table1[[#This Row],[TOTAL]]</f>
        <v>0</v>
      </c>
      <c r="AE949" s="152"/>
      <c r="AF949" s="153"/>
      <c r="AG949" s="126" t="s">
        <v>3420</v>
      </c>
      <c r="AH949" s="115"/>
      <c r="AK949" s="306" t="str">
        <f>IF(ISNUMBER(Table1[[#This Row],[FECHA DE RECIBIDO]]), Table1[[#This Row],[FECHA DE RECIBIDO]]-DATE(2023,8,30), "")</f>
        <v/>
      </c>
    </row>
    <row r="950" spans="1:37" ht="16.05" customHeight="1">
      <c r="A950" s="150" t="s">
        <v>3259</v>
      </c>
      <c r="B950" s="151">
        <v>423</v>
      </c>
      <c r="C950" s="126" t="s">
        <v>2596</v>
      </c>
      <c r="D950">
        <v>654</v>
      </c>
      <c r="E950" s="126" t="s">
        <v>2082</v>
      </c>
      <c r="F950" s="122" t="s">
        <v>1607</v>
      </c>
      <c r="G950" s="122" t="s">
        <v>134</v>
      </c>
      <c r="H950">
        <v>156</v>
      </c>
      <c r="I950" s="122" t="s">
        <v>1546</v>
      </c>
      <c r="J950" s="307" t="s">
        <v>214</v>
      </c>
      <c r="K950" s="127" t="s">
        <v>3286</v>
      </c>
      <c r="L950" s="151" t="s">
        <v>1483</v>
      </c>
      <c r="M950">
        <v>207</v>
      </c>
      <c r="N950" s="123">
        <v>17</v>
      </c>
      <c r="O950">
        <v>659</v>
      </c>
      <c r="P950" s="132" t="s">
        <v>77</v>
      </c>
      <c r="Q950" s="131">
        <v>1033.6199999999999</v>
      </c>
      <c r="R950" s="131">
        <v>165.38</v>
      </c>
      <c r="S950" s="131"/>
      <c r="T950" s="155"/>
      <c r="U950" s="131"/>
      <c r="V950" s="131">
        <v>1199</v>
      </c>
      <c r="W950">
        <v>61</v>
      </c>
      <c r="X950" s="151" t="s">
        <v>3260</v>
      </c>
      <c r="Y950" s="135" t="s">
        <v>55</v>
      </c>
      <c r="Z950" s="307">
        <v>195</v>
      </c>
      <c r="AB950" t="str">
        <f>IF(Table1[[#This Row],[TIPO2]]="costo", VLOOKUP(Table1[[#This Row],[PARTIDA PRESUPUESTAL]],'Cost Report'!G:G,1,0),"Balance")</f>
        <v>2794-003</v>
      </c>
      <c r="AC950" s="118"/>
      <c r="AD950" s="159">
        <f>+Table1[[#This Row],[SUBTOTAL]]+Table1[[#This Row],[IVA]]-Table1[[#This Row],[RET IVA]]-Table1[[#This Row],[RET ISR]]-Table1[[#This Row],[TOTAL]]</f>
        <v>0</v>
      </c>
      <c r="AE950" s="150"/>
      <c r="AF950" s="151"/>
      <c r="AG950" s="126" t="s">
        <v>3420</v>
      </c>
      <c r="AH950" s="115"/>
      <c r="AK950" s="306" t="str">
        <f>IF(ISNUMBER(Table1[[#This Row],[FECHA DE RECIBIDO]]), Table1[[#This Row],[FECHA DE RECIBIDO]]-DATE(2023,8,30), "")</f>
        <v/>
      </c>
    </row>
    <row r="951" spans="1:37" ht="16.05" customHeight="1">
      <c r="A951" s="152" t="s">
        <v>3259</v>
      </c>
      <c r="B951" s="153">
        <v>423</v>
      </c>
      <c r="C951" s="126" t="s">
        <v>2596</v>
      </c>
      <c r="D951">
        <v>655</v>
      </c>
      <c r="E951" s="126" t="s">
        <v>2082</v>
      </c>
      <c r="F951" s="125" t="s">
        <v>1607</v>
      </c>
      <c r="G951" s="125" t="s">
        <v>134</v>
      </c>
      <c r="H951">
        <v>156</v>
      </c>
      <c r="I951" s="125" t="s">
        <v>1546</v>
      </c>
      <c r="J951" s="308" t="s">
        <v>214</v>
      </c>
      <c r="K951" s="127" t="s">
        <v>3286</v>
      </c>
      <c r="L951" s="153" t="s">
        <v>1483</v>
      </c>
      <c r="M951">
        <v>207</v>
      </c>
      <c r="N951" s="123">
        <v>17</v>
      </c>
      <c r="O951">
        <v>660</v>
      </c>
      <c r="P951" s="132" t="s">
        <v>77</v>
      </c>
      <c r="Q951" s="132">
        <v>753.71</v>
      </c>
      <c r="R951" s="132">
        <v>120.59</v>
      </c>
      <c r="S951" s="132"/>
      <c r="T951" s="156"/>
      <c r="U951" s="132"/>
      <c r="V951" s="132">
        <v>874.30000000000007</v>
      </c>
      <c r="W951">
        <v>61</v>
      </c>
      <c r="X951" s="153" t="s">
        <v>3260</v>
      </c>
      <c r="Y951" s="124" t="s">
        <v>55</v>
      </c>
      <c r="Z951" s="308">
        <v>195</v>
      </c>
      <c r="AB951" t="str">
        <f>IF(Table1[[#This Row],[TIPO2]]="costo", VLOOKUP(Table1[[#This Row],[PARTIDA PRESUPUESTAL]],'Cost Report'!G:G,1,0),"Balance")</f>
        <v>2794-003</v>
      </c>
      <c r="AC951" s="118"/>
      <c r="AD951" s="159">
        <f>+Table1[[#This Row],[SUBTOTAL]]+Table1[[#This Row],[IVA]]-Table1[[#This Row],[RET IVA]]-Table1[[#This Row],[RET ISR]]-Table1[[#This Row],[TOTAL]]</f>
        <v>0</v>
      </c>
      <c r="AE951" s="152"/>
      <c r="AF951" s="153"/>
      <c r="AG951" s="126" t="s">
        <v>3420</v>
      </c>
      <c r="AH951" s="115"/>
      <c r="AK951" s="306" t="str">
        <f>IF(ISNUMBER(Table1[[#This Row],[FECHA DE RECIBIDO]]), Table1[[#This Row],[FECHA DE RECIBIDO]]-DATE(2023,8,30), "")</f>
        <v/>
      </c>
    </row>
    <row r="952" spans="1:37" ht="16.05" customHeight="1">
      <c r="A952" s="150" t="s">
        <v>3261</v>
      </c>
      <c r="B952" s="151">
        <v>424</v>
      </c>
      <c r="C952" s="126" t="s">
        <v>1509</v>
      </c>
      <c r="D952">
        <v>656</v>
      </c>
      <c r="E952" s="126" t="s">
        <v>3262</v>
      </c>
      <c r="F952" s="122" t="s">
        <v>1607</v>
      </c>
      <c r="G952" s="122" t="s">
        <v>134</v>
      </c>
      <c r="H952">
        <v>224</v>
      </c>
      <c r="I952" s="122" t="s">
        <v>1546</v>
      </c>
      <c r="J952" s="307" t="s">
        <v>214</v>
      </c>
      <c r="K952" s="127" t="s">
        <v>3286</v>
      </c>
      <c r="L952" s="151" t="s">
        <v>1483</v>
      </c>
      <c r="M952">
        <v>290</v>
      </c>
      <c r="N952" s="123">
        <v>17</v>
      </c>
      <c r="O952">
        <v>661</v>
      </c>
      <c r="P952" s="132" t="s">
        <v>77</v>
      </c>
      <c r="Q952" s="131">
        <v>1580.17</v>
      </c>
      <c r="R952" s="131">
        <v>252.83</v>
      </c>
      <c r="S952" s="131"/>
      <c r="T952" s="155"/>
      <c r="U952" s="131"/>
      <c r="V952" s="131">
        <v>1833</v>
      </c>
      <c r="W952">
        <v>145</v>
      </c>
      <c r="X952" s="151" t="s">
        <v>3260</v>
      </c>
      <c r="Y952" s="135" t="s">
        <v>55</v>
      </c>
      <c r="Z952" s="307">
        <v>195</v>
      </c>
      <c r="AB952" t="str">
        <f>IF(Table1[[#This Row],[TIPO2]]="costo", VLOOKUP(Table1[[#This Row],[PARTIDA PRESUPUESTAL]],'Cost Report'!G:G,1,0),"Balance")</f>
        <v>2494-011</v>
      </c>
      <c r="AC952" s="118"/>
      <c r="AD952" s="159">
        <f>+Table1[[#This Row],[SUBTOTAL]]+Table1[[#This Row],[IVA]]-Table1[[#This Row],[RET IVA]]-Table1[[#This Row],[RET ISR]]-Table1[[#This Row],[TOTAL]]</f>
        <v>0</v>
      </c>
      <c r="AE952" s="150"/>
      <c r="AF952" s="151"/>
      <c r="AG952" s="126" t="s">
        <v>3420</v>
      </c>
      <c r="AH952" s="115"/>
      <c r="AK952" s="306" t="str">
        <f>IF(ISNUMBER(Table1[[#This Row],[FECHA DE RECIBIDO]]), Table1[[#This Row],[FECHA DE RECIBIDO]]-DATE(2023,8,30), "")</f>
        <v/>
      </c>
    </row>
    <row r="953" spans="1:37" ht="16.05" customHeight="1">
      <c r="A953" s="152" t="s">
        <v>3261</v>
      </c>
      <c r="B953" s="153">
        <v>424</v>
      </c>
      <c r="C953" s="126" t="s">
        <v>1732</v>
      </c>
      <c r="D953">
        <v>657</v>
      </c>
      <c r="E953" s="126" t="s">
        <v>1598</v>
      </c>
      <c r="F953" s="125" t="s">
        <v>1607</v>
      </c>
      <c r="G953" s="125" t="s">
        <v>134</v>
      </c>
      <c r="H953">
        <v>101</v>
      </c>
      <c r="I953" s="125" t="s">
        <v>1546</v>
      </c>
      <c r="J953" s="308" t="s">
        <v>214</v>
      </c>
      <c r="K953" s="127" t="s">
        <v>3286</v>
      </c>
      <c r="L953" s="153" t="s">
        <v>1483</v>
      </c>
      <c r="M953">
        <v>136</v>
      </c>
      <c r="N953" s="123">
        <v>17</v>
      </c>
      <c r="O953">
        <v>662</v>
      </c>
      <c r="P953" s="132" t="s">
        <v>77</v>
      </c>
      <c r="Q953" s="132">
        <v>585.52</v>
      </c>
      <c r="R953" s="132">
        <v>93.68</v>
      </c>
      <c r="S953" s="132"/>
      <c r="T953" s="156"/>
      <c r="U953" s="132"/>
      <c r="V953" s="132">
        <v>679.2</v>
      </c>
      <c r="W953">
        <v>145</v>
      </c>
      <c r="X953" s="153" t="s">
        <v>3260</v>
      </c>
      <c r="Y953" s="124" t="s">
        <v>55</v>
      </c>
      <c r="Z953" s="308">
        <v>195</v>
      </c>
      <c r="AB953" t="str">
        <f>IF(Table1[[#This Row],[TIPO2]]="costo", VLOOKUP(Table1[[#This Row],[PARTIDA PRESUPUESTAL]],'Cost Report'!G:G,1,0),"Balance")</f>
        <v>2494-035</v>
      </c>
      <c r="AC953" s="118"/>
      <c r="AD953" s="159">
        <f>+Table1[[#This Row],[SUBTOTAL]]+Table1[[#This Row],[IVA]]-Table1[[#This Row],[RET IVA]]-Table1[[#This Row],[RET ISR]]-Table1[[#This Row],[TOTAL]]</f>
        <v>0</v>
      </c>
      <c r="AE953" s="152"/>
      <c r="AF953" s="153"/>
      <c r="AG953" s="126" t="s">
        <v>3420</v>
      </c>
      <c r="AH953" s="115"/>
      <c r="AK953" s="306" t="str">
        <f>IF(ISNUMBER(Table1[[#This Row],[FECHA DE RECIBIDO]]), Table1[[#This Row],[FECHA DE RECIBIDO]]-DATE(2023,8,30), "")</f>
        <v/>
      </c>
    </row>
    <row r="954" spans="1:37" ht="16.05" customHeight="1">
      <c r="A954" s="150" t="s">
        <v>3261</v>
      </c>
      <c r="B954" s="151">
        <v>424</v>
      </c>
      <c r="C954" s="126" t="s">
        <v>1519</v>
      </c>
      <c r="D954">
        <v>658</v>
      </c>
      <c r="E954" s="126" t="s">
        <v>2107</v>
      </c>
      <c r="F954" s="122" t="s">
        <v>1589</v>
      </c>
      <c r="G954" s="122" t="s">
        <v>129</v>
      </c>
      <c r="H954">
        <v>168</v>
      </c>
      <c r="I954" s="122" t="s">
        <v>1546</v>
      </c>
      <c r="J954" s="307" t="s">
        <v>214</v>
      </c>
      <c r="K954" s="127" t="s">
        <v>3286</v>
      </c>
      <c r="L954" s="151" t="s">
        <v>1483</v>
      </c>
      <c r="M954">
        <v>232</v>
      </c>
      <c r="N954" s="123">
        <v>17</v>
      </c>
      <c r="O954">
        <v>663</v>
      </c>
      <c r="P954" s="132" t="s">
        <v>77</v>
      </c>
      <c r="Q954" s="131">
        <v>1400</v>
      </c>
      <c r="R954" s="131">
        <v>224</v>
      </c>
      <c r="S954" s="131"/>
      <c r="T954" s="155"/>
      <c r="U954" s="131"/>
      <c r="V954" s="131">
        <v>1624</v>
      </c>
      <c r="W954">
        <v>145</v>
      </c>
      <c r="X954" s="151" t="s">
        <v>3260</v>
      </c>
      <c r="Y954" s="135" t="s">
        <v>55</v>
      </c>
      <c r="Z954" s="307">
        <v>196</v>
      </c>
      <c r="AB954" t="str">
        <f>IF(Table1[[#This Row],[TIPO2]]="costo", VLOOKUP(Table1[[#This Row],[PARTIDA PRESUPUESTAL]],'Cost Report'!G:G,1,0),"Balance")</f>
        <v>2494-031</v>
      </c>
      <c r="AC954" s="118"/>
      <c r="AD954" s="159">
        <f>+Table1[[#This Row],[SUBTOTAL]]+Table1[[#This Row],[IVA]]-Table1[[#This Row],[RET IVA]]-Table1[[#This Row],[RET ISR]]-Table1[[#This Row],[TOTAL]]</f>
        <v>0</v>
      </c>
      <c r="AE954" s="150"/>
      <c r="AF954" s="151"/>
      <c r="AG954" s="126" t="s">
        <v>3420</v>
      </c>
      <c r="AH954" s="115"/>
      <c r="AK954" s="306" t="str">
        <f>IF(ISNUMBER(Table1[[#This Row],[FECHA DE RECIBIDO]]), Table1[[#This Row],[FECHA DE RECIBIDO]]-DATE(2023,8,30), "")</f>
        <v/>
      </c>
    </row>
    <row r="955" spans="1:37" ht="16.05" customHeight="1">
      <c r="A955" s="152" t="s">
        <v>3261</v>
      </c>
      <c r="B955" s="153">
        <v>424</v>
      </c>
      <c r="C955" s="126" t="s">
        <v>1513</v>
      </c>
      <c r="D955">
        <v>659</v>
      </c>
      <c r="E955" s="126" t="s">
        <v>1597</v>
      </c>
      <c r="F955" s="125" t="s">
        <v>1589</v>
      </c>
      <c r="G955" s="125" t="s">
        <v>129</v>
      </c>
      <c r="H955">
        <v>169</v>
      </c>
      <c r="I955" s="125" t="s">
        <v>1546</v>
      </c>
      <c r="J955" s="308" t="s">
        <v>214</v>
      </c>
      <c r="K955" s="127" t="s">
        <v>3286</v>
      </c>
      <c r="L955" s="153" t="s">
        <v>1483</v>
      </c>
      <c r="M955">
        <v>226</v>
      </c>
      <c r="N955" s="123">
        <v>17</v>
      </c>
      <c r="O955">
        <v>664</v>
      </c>
      <c r="P955" s="132" t="s">
        <v>77</v>
      </c>
      <c r="Q955" s="132">
        <v>1375</v>
      </c>
      <c r="R955" s="132">
        <v>220</v>
      </c>
      <c r="S955" s="132"/>
      <c r="T955" s="156"/>
      <c r="U955" s="132"/>
      <c r="V955" s="132">
        <v>1595</v>
      </c>
      <c r="W955">
        <v>145</v>
      </c>
      <c r="X955" s="153" t="s">
        <v>3260</v>
      </c>
      <c r="Y955" s="124" t="s">
        <v>55</v>
      </c>
      <c r="Z955" s="308">
        <v>197</v>
      </c>
      <c r="AB955" t="str">
        <f>IF(Table1[[#This Row],[TIPO2]]="costo", VLOOKUP(Table1[[#This Row],[PARTIDA PRESUPUESTAL]],'Cost Report'!G:G,1,0),"Balance")</f>
        <v>2494-019</v>
      </c>
      <c r="AC955" s="118"/>
      <c r="AD955" s="159">
        <f>+Table1[[#This Row],[SUBTOTAL]]+Table1[[#This Row],[IVA]]-Table1[[#This Row],[RET IVA]]-Table1[[#This Row],[RET ISR]]-Table1[[#This Row],[TOTAL]]</f>
        <v>0</v>
      </c>
      <c r="AE955" s="152"/>
      <c r="AF955" s="153"/>
      <c r="AG955" s="126" t="s">
        <v>3420</v>
      </c>
      <c r="AH955" s="115"/>
      <c r="AK955" s="306" t="str">
        <f>IF(ISNUMBER(Table1[[#This Row],[FECHA DE RECIBIDO]]), Table1[[#This Row],[FECHA DE RECIBIDO]]-DATE(2023,8,30), "")</f>
        <v/>
      </c>
    </row>
    <row r="956" spans="1:37" ht="16.05" customHeight="1">
      <c r="A956" s="150" t="s">
        <v>3261</v>
      </c>
      <c r="B956" s="151">
        <v>424</v>
      </c>
      <c r="C956" s="126" t="s">
        <v>1505</v>
      </c>
      <c r="D956">
        <v>660</v>
      </c>
      <c r="E956" s="126" t="s">
        <v>1597</v>
      </c>
      <c r="F956" s="122" t="s">
        <v>1589</v>
      </c>
      <c r="G956" s="122" t="s">
        <v>129</v>
      </c>
      <c r="H956">
        <v>169</v>
      </c>
      <c r="I956" s="122" t="s">
        <v>1546</v>
      </c>
      <c r="J956" s="307" t="s">
        <v>214</v>
      </c>
      <c r="K956" s="127" t="s">
        <v>3286</v>
      </c>
      <c r="L956" s="151" t="s">
        <v>1483</v>
      </c>
      <c r="M956">
        <v>226</v>
      </c>
      <c r="N956" s="123">
        <v>17</v>
      </c>
      <c r="O956">
        <v>665</v>
      </c>
      <c r="P956" s="132" t="s">
        <v>77</v>
      </c>
      <c r="Q956" s="131">
        <v>952</v>
      </c>
      <c r="R956" s="131">
        <v>152.32</v>
      </c>
      <c r="S956" s="131"/>
      <c r="T956" s="155"/>
      <c r="U956" s="131"/>
      <c r="V956" s="131">
        <v>1104.32</v>
      </c>
      <c r="W956">
        <v>145</v>
      </c>
      <c r="X956" s="151" t="s">
        <v>3260</v>
      </c>
      <c r="Y956" s="135" t="s">
        <v>55</v>
      </c>
      <c r="Z956" s="307">
        <v>197</v>
      </c>
      <c r="AB956" t="str">
        <f>IF(Table1[[#This Row],[TIPO2]]="costo", VLOOKUP(Table1[[#This Row],[PARTIDA PRESUPUESTAL]],'Cost Report'!G:G,1,0),"Balance")</f>
        <v>2494-003</v>
      </c>
      <c r="AC956" s="118"/>
      <c r="AD956" s="159">
        <f>+Table1[[#This Row],[SUBTOTAL]]+Table1[[#This Row],[IVA]]-Table1[[#This Row],[RET IVA]]-Table1[[#This Row],[RET ISR]]-Table1[[#This Row],[TOTAL]]</f>
        <v>0</v>
      </c>
      <c r="AE956" s="150"/>
      <c r="AF956" s="151"/>
      <c r="AG956" s="126" t="s">
        <v>3420</v>
      </c>
      <c r="AH956" s="115"/>
      <c r="AK956" s="306" t="str">
        <f>IF(ISNUMBER(Table1[[#This Row],[FECHA DE RECIBIDO]]), Table1[[#This Row],[FECHA DE RECIBIDO]]-DATE(2023,8,30), "")</f>
        <v/>
      </c>
    </row>
    <row r="957" spans="1:37" ht="16.05" customHeight="1">
      <c r="A957" s="152" t="s">
        <v>3261</v>
      </c>
      <c r="B957" s="153">
        <v>424</v>
      </c>
      <c r="C957" s="126" t="s">
        <v>2455</v>
      </c>
      <c r="D957">
        <v>661</v>
      </c>
      <c r="E957" s="126"/>
      <c r="F957" s="125"/>
      <c r="G957" s="125"/>
      <c r="H957"/>
      <c r="I957" s="125"/>
      <c r="J957" s="308">
        <v>196</v>
      </c>
      <c r="K957" s="127" t="s">
        <v>3286</v>
      </c>
      <c r="L957" s="153" t="s">
        <v>1483</v>
      </c>
      <c r="M957">
        <v>291</v>
      </c>
      <c r="N957" s="123">
        <v>17</v>
      </c>
      <c r="O957">
        <v>522</v>
      </c>
      <c r="P957" s="132" t="s">
        <v>77</v>
      </c>
      <c r="Q957" s="132">
        <v>31.32</v>
      </c>
      <c r="R957" s="132"/>
      <c r="S957" s="132"/>
      <c r="T957" s="156"/>
      <c r="U957" s="132"/>
      <c r="V957" s="132">
        <v>31.32</v>
      </c>
      <c r="W957">
        <v>145</v>
      </c>
      <c r="X957" s="153" t="s">
        <v>3260</v>
      </c>
      <c r="Y957" s="124" t="s">
        <v>55</v>
      </c>
      <c r="Z957" s="308">
        <v>196</v>
      </c>
      <c r="AB957" t="str">
        <f>IF(Table1[[#This Row],[TIPO2]]="costo", VLOOKUP(Table1[[#This Row],[PARTIDA PRESUPUESTAL]],'Cost Report'!G:G,1,0),"Balance")</f>
        <v>2285-003</v>
      </c>
      <c r="AC957" s="118"/>
      <c r="AD957" s="159">
        <f>+Table1[[#This Row],[SUBTOTAL]]+Table1[[#This Row],[IVA]]-Table1[[#This Row],[RET IVA]]-Table1[[#This Row],[RET ISR]]-Table1[[#This Row],[TOTAL]]</f>
        <v>0</v>
      </c>
      <c r="AE957" s="152"/>
      <c r="AF957" s="153"/>
      <c r="AG957" s="126" t="s">
        <v>3420</v>
      </c>
      <c r="AH957" s="115"/>
      <c r="AK957" s="306">
        <f>IF(ISNUMBER(Table1[[#This Row],[FECHA DE RECIBIDO]]), Table1[[#This Row],[FECHA DE RECIBIDO]]-DATE(2023,8,30), "")</f>
        <v>-44972</v>
      </c>
    </row>
    <row r="958" spans="1:37" ht="16.05" customHeight="1">
      <c r="A958" s="150" t="s">
        <v>3261</v>
      </c>
      <c r="B958" s="151">
        <v>424</v>
      </c>
      <c r="C958" s="126" t="s">
        <v>2455</v>
      </c>
      <c r="D958">
        <v>661</v>
      </c>
      <c r="E958" s="126"/>
      <c r="F958" s="122"/>
      <c r="G958" s="122"/>
      <c r="H958"/>
      <c r="I958" s="122"/>
      <c r="J958" s="307">
        <v>198</v>
      </c>
      <c r="K958" s="127" t="s">
        <v>3286</v>
      </c>
      <c r="L958" s="151" t="s">
        <v>1483</v>
      </c>
      <c r="M958">
        <v>234</v>
      </c>
      <c r="N958" s="123">
        <v>17</v>
      </c>
      <c r="O958">
        <v>522</v>
      </c>
      <c r="P958" s="132" t="s">
        <v>77</v>
      </c>
      <c r="Q958" s="131">
        <v>34.799999999999997</v>
      </c>
      <c r="R958" s="131"/>
      <c r="S958" s="131"/>
      <c r="T958" s="155"/>
      <c r="U958" s="131"/>
      <c r="V958" s="131">
        <v>34.799999999999997</v>
      </c>
      <c r="W958">
        <v>145</v>
      </c>
      <c r="X958" s="151" t="s">
        <v>3260</v>
      </c>
      <c r="Y958" s="135" t="s">
        <v>55</v>
      </c>
      <c r="Z958" s="307">
        <v>198</v>
      </c>
      <c r="AB958" t="str">
        <f>IF(Table1[[#This Row],[TIPO2]]="costo", VLOOKUP(Table1[[#This Row],[PARTIDA PRESUPUESTAL]],'Cost Report'!G:G,1,0),"Balance")</f>
        <v>2285-003</v>
      </c>
      <c r="AC958" s="118"/>
      <c r="AD958" s="159">
        <f>+Table1[[#This Row],[SUBTOTAL]]+Table1[[#This Row],[IVA]]-Table1[[#This Row],[RET IVA]]-Table1[[#This Row],[RET ISR]]-Table1[[#This Row],[TOTAL]]</f>
        <v>0</v>
      </c>
      <c r="AE958" s="150"/>
      <c r="AF958" s="151"/>
      <c r="AG958" s="126" t="s">
        <v>3420</v>
      </c>
      <c r="AH958" s="115"/>
      <c r="AK958" s="306">
        <f>IF(ISNUMBER(Table1[[#This Row],[FECHA DE RECIBIDO]]), Table1[[#This Row],[FECHA DE RECIBIDO]]-DATE(2023,8,30), "")</f>
        <v>-44970</v>
      </c>
    </row>
    <row r="959" spans="1:37" ht="16.05" customHeight="1">
      <c r="A959" s="152" t="s">
        <v>3263</v>
      </c>
      <c r="B959" s="153">
        <v>425</v>
      </c>
      <c r="C959" s="126" t="s">
        <v>2616</v>
      </c>
      <c r="D959">
        <v>662</v>
      </c>
      <c r="E959" s="126" t="s">
        <v>2010</v>
      </c>
      <c r="F959" s="125" t="s">
        <v>1593</v>
      </c>
      <c r="G959" s="125" t="s">
        <v>134</v>
      </c>
      <c r="H959">
        <v>140</v>
      </c>
      <c r="I959" s="125" t="s">
        <v>1546</v>
      </c>
      <c r="J959" s="308" t="s">
        <v>214</v>
      </c>
      <c r="K959" s="127" t="s">
        <v>3286</v>
      </c>
      <c r="L959" s="153" t="s">
        <v>1483</v>
      </c>
      <c r="M959">
        <v>182</v>
      </c>
      <c r="N959" s="123">
        <v>17</v>
      </c>
      <c r="O959">
        <v>666</v>
      </c>
      <c r="P959" s="132" t="s">
        <v>77</v>
      </c>
      <c r="Q959" s="132">
        <v>7232.77</v>
      </c>
      <c r="R959" s="132">
        <v>1157.23</v>
      </c>
      <c r="S959" s="132"/>
      <c r="T959" s="156"/>
      <c r="U959" s="132"/>
      <c r="V959" s="132">
        <v>8390</v>
      </c>
      <c r="W959">
        <v>146</v>
      </c>
      <c r="X959" s="153" t="s">
        <v>3260</v>
      </c>
      <c r="Y959" s="124" t="s">
        <v>55</v>
      </c>
      <c r="Z959" s="308">
        <v>203</v>
      </c>
      <c r="AB959" t="str">
        <f>IF(Table1[[#This Row],[TIPO2]]="costo", VLOOKUP(Table1[[#This Row],[PARTIDA PRESUPUESTAL]],'Cost Report'!G:G,1,0),"Balance")</f>
        <v>2808-003</v>
      </c>
      <c r="AC959" s="118"/>
      <c r="AD959" s="159">
        <f>+Table1[[#This Row],[SUBTOTAL]]+Table1[[#This Row],[IVA]]-Table1[[#This Row],[RET IVA]]-Table1[[#This Row],[RET ISR]]-Table1[[#This Row],[TOTAL]]</f>
        <v>0</v>
      </c>
      <c r="AE959" s="152"/>
      <c r="AF959" s="153"/>
      <c r="AG959" s="126" t="s">
        <v>3420</v>
      </c>
      <c r="AH959" s="115"/>
      <c r="AK959" s="306" t="str">
        <f>IF(ISNUMBER(Table1[[#This Row],[FECHA DE RECIBIDO]]), Table1[[#This Row],[FECHA DE RECIBIDO]]-DATE(2023,8,30), "")</f>
        <v/>
      </c>
    </row>
    <row r="960" spans="1:37" ht="16.05" customHeight="1">
      <c r="A960" s="150" t="s">
        <v>3263</v>
      </c>
      <c r="B960" s="151">
        <v>425</v>
      </c>
      <c r="C960" s="126" t="s">
        <v>2616</v>
      </c>
      <c r="D960">
        <v>663</v>
      </c>
      <c r="E960" s="126" t="s">
        <v>1598</v>
      </c>
      <c r="F960" s="122" t="s">
        <v>1607</v>
      </c>
      <c r="G960" s="122" t="s">
        <v>134</v>
      </c>
      <c r="H960">
        <v>101</v>
      </c>
      <c r="I960" s="122" t="s">
        <v>1546</v>
      </c>
      <c r="J960" s="307" t="s">
        <v>214</v>
      </c>
      <c r="K960" s="127" t="s">
        <v>3286</v>
      </c>
      <c r="L960" s="151" t="s">
        <v>1483</v>
      </c>
      <c r="M960">
        <v>136</v>
      </c>
      <c r="N960" s="123">
        <v>17</v>
      </c>
      <c r="O960">
        <v>667</v>
      </c>
      <c r="P960" s="132" t="s">
        <v>77</v>
      </c>
      <c r="Q960" s="131">
        <v>2543.1</v>
      </c>
      <c r="R960" s="131">
        <v>406.9</v>
      </c>
      <c r="S960" s="131"/>
      <c r="T960" s="155"/>
      <c r="U960" s="131"/>
      <c r="V960" s="131">
        <v>2950</v>
      </c>
      <c r="W960">
        <v>146</v>
      </c>
      <c r="X960" s="151" t="s">
        <v>3260</v>
      </c>
      <c r="Y960" s="135" t="s">
        <v>55</v>
      </c>
      <c r="Z960" s="307">
        <v>209</v>
      </c>
      <c r="AB960" t="str">
        <f>IF(Table1[[#This Row],[TIPO2]]="costo", VLOOKUP(Table1[[#This Row],[PARTIDA PRESUPUESTAL]],'Cost Report'!G:G,1,0),"Balance")</f>
        <v>2808-003</v>
      </c>
      <c r="AC960" s="118"/>
      <c r="AD960" s="159">
        <f>+Table1[[#This Row],[SUBTOTAL]]+Table1[[#This Row],[IVA]]-Table1[[#This Row],[RET IVA]]-Table1[[#This Row],[RET ISR]]-Table1[[#This Row],[TOTAL]]</f>
        <v>0</v>
      </c>
      <c r="AE960" s="150"/>
      <c r="AF960" s="151"/>
      <c r="AG960" s="126" t="s">
        <v>3420</v>
      </c>
      <c r="AH960" s="115"/>
      <c r="AK960" s="306" t="str">
        <f>IF(ISNUMBER(Table1[[#This Row],[FECHA DE RECIBIDO]]), Table1[[#This Row],[FECHA DE RECIBIDO]]-DATE(2023,8,30), "")</f>
        <v/>
      </c>
    </row>
    <row r="961" spans="1:37" ht="16.05" customHeight="1">
      <c r="A961" s="152" t="s">
        <v>3263</v>
      </c>
      <c r="B961" s="153">
        <v>425</v>
      </c>
      <c r="C961" s="126" t="s">
        <v>2616</v>
      </c>
      <c r="D961">
        <v>664</v>
      </c>
      <c r="E961" s="126" t="s">
        <v>1609</v>
      </c>
      <c r="F961" s="125" t="s">
        <v>1602</v>
      </c>
      <c r="G961" s="125" t="s">
        <v>1617</v>
      </c>
      <c r="H961">
        <v>225</v>
      </c>
      <c r="I961" s="125" t="s">
        <v>1546</v>
      </c>
      <c r="J961" s="308" t="s">
        <v>214</v>
      </c>
      <c r="K961" s="127" t="s">
        <v>3286</v>
      </c>
      <c r="L961" s="153" t="s">
        <v>1483</v>
      </c>
      <c r="M961">
        <v>292</v>
      </c>
      <c r="N961" s="123">
        <v>17</v>
      </c>
      <c r="O961">
        <v>668</v>
      </c>
      <c r="P961" s="132" t="s">
        <v>77</v>
      </c>
      <c r="Q961" s="132">
        <v>980.13</v>
      </c>
      <c r="R961" s="132">
        <v>156.82</v>
      </c>
      <c r="S961" s="132"/>
      <c r="T961" s="156"/>
      <c r="U961" s="132">
        <v>104.55</v>
      </c>
      <c r="V961" s="132">
        <v>1032.4000000000001</v>
      </c>
      <c r="W961">
        <v>146</v>
      </c>
      <c r="X961" s="153" t="s">
        <v>3260</v>
      </c>
      <c r="Y961" s="124" t="s">
        <v>55</v>
      </c>
      <c r="Z961" s="308">
        <v>209</v>
      </c>
      <c r="AB961" t="str">
        <f>IF(Table1[[#This Row],[TIPO2]]="costo", VLOOKUP(Table1[[#This Row],[PARTIDA PRESUPUESTAL]],'Cost Report'!G:G,1,0),"Balance")</f>
        <v>2808-003</v>
      </c>
      <c r="AC961" s="118"/>
      <c r="AD961" s="159">
        <f>+Table1[[#This Row],[SUBTOTAL]]+Table1[[#This Row],[IVA]]-Table1[[#This Row],[RET IVA]]-Table1[[#This Row],[RET ISR]]-Table1[[#This Row],[TOTAL]]</f>
        <v>0</v>
      </c>
      <c r="AE961" s="152"/>
      <c r="AF961" s="153"/>
      <c r="AG961" s="126" t="s">
        <v>3420</v>
      </c>
      <c r="AH961" s="115"/>
      <c r="AK961" s="306" t="str">
        <f>IF(ISNUMBER(Table1[[#This Row],[FECHA DE RECIBIDO]]), Table1[[#This Row],[FECHA DE RECIBIDO]]-DATE(2023,8,30), "")</f>
        <v/>
      </c>
    </row>
    <row r="962" spans="1:37" ht="16.05" customHeight="1">
      <c r="A962" s="150" t="s">
        <v>3263</v>
      </c>
      <c r="B962" s="151">
        <v>425</v>
      </c>
      <c r="C962" s="126" t="s">
        <v>2616</v>
      </c>
      <c r="D962">
        <v>665</v>
      </c>
      <c r="E962" s="126" t="s">
        <v>1992</v>
      </c>
      <c r="F962" s="122" t="s">
        <v>1589</v>
      </c>
      <c r="G962" s="122" t="s">
        <v>129</v>
      </c>
      <c r="H962">
        <v>226</v>
      </c>
      <c r="I962" s="122" t="s">
        <v>1546</v>
      </c>
      <c r="J962" s="307" t="s">
        <v>214</v>
      </c>
      <c r="K962" s="127" t="s">
        <v>3286</v>
      </c>
      <c r="L962" s="151" t="s">
        <v>1483</v>
      </c>
      <c r="M962">
        <v>293</v>
      </c>
      <c r="N962" s="123">
        <v>17</v>
      </c>
      <c r="O962">
        <v>669</v>
      </c>
      <c r="P962" s="132" t="s">
        <v>77</v>
      </c>
      <c r="Q962" s="131">
        <v>105.42</v>
      </c>
      <c r="R962" s="131">
        <v>16.87</v>
      </c>
      <c r="S962" s="131"/>
      <c r="T962" s="155"/>
      <c r="U962" s="131"/>
      <c r="V962" s="131">
        <v>122.29</v>
      </c>
      <c r="W962">
        <v>146</v>
      </c>
      <c r="X962" s="151" t="s">
        <v>3260</v>
      </c>
      <c r="Y962" s="135" t="s">
        <v>55</v>
      </c>
      <c r="Z962" s="307">
        <v>208</v>
      </c>
      <c r="AB962" t="str">
        <f>IF(Table1[[#This Row],[TIPO2]]="costo", VLOOKUP(Table1[[#This Row],[PARTIDA PRESUPUESTAL]],'Cost Report'!G:G,1,0),"Balance")</f>
        <v>2808-003</v>
      </c>
      <c r="AC962" s="118"/>
      <c r="AD962" s="159">
        <f>+Table1[[#This Row],[SUBTOTAL]]+Table1[[#This Row],[IVA]]-Table1[[#This Row],[RET IVA]]-Table1[[#This Row],[RET ISR]]-Table1[[#This Row],[TOTAL]]</f>
        <v>0</v>
      </c>
      <c r="AE962" s="150"/>
      <c r="AF962" s="151"/>
      <c r="AG962" s="126" t="s">
        <v>3420</v>
      </c>
      <c r="AH962" s="115"/>
      <c r="AK962" s="306" t="str">
        <f>IF(ISNUMBER(Table1[[#This Row],[FECHA DE RECIBIDO]]), Table1[[#This Row],[FECHA DE RECIBIDO]]-DATE(2023,8,30), "")</f>
        <v/>
      </c>
    </row>
    <row r="963" spans="1:37" ht="16.05" customHeight="1">
      <c r="A963" s="152" t="s">
        <v>3263</v>
      </c>
      <c r="B963" s="153">
        <v>425</v>
      </c>
      <c r="C963" s="126" t="s">
        <v>2616</v>
      </c>
      <c r="D963">
        <v>666</v>
      </c>
      <c r="E963" s="126" t="s">
        <v>1993</v>
      </c>
      <c r="F963" s="125" t="s">
        <v>1607</v>
      </c>
      <c r="G963" s="125" t="s">
        <v>134</v>
      </c>
      <c r="H963">
        <v>143</v>
      </c>
      <c r="I963" s="125" t="s">
        <v>1546</v>
      </c>
      <c r="J963" s="308" t="s">
        <v>214</v>
      </c>
      <c r="K963" s="127" t="s">
        <v>3286</v>
      </c>
      <c r="L963" s="153" t="s">
        <v>1483</v>
      </c>
      <c r="M963">
        <v>294</v>
      </c>
      <c r="N963" s="123">
        <v>17</v>
      </c>
      <c r="O963">
        <v>670</v>
      </c>
      <c r="P963" s="132" t="s">
        <v>77</v>
      </c>
      <c r="Q963" s="132">
        <v>980.68</v>
      </c>
      <c r="R963" s="132">
        <v>156.91</v>
      </c>
      <c r="S963" s="132"/>
      <c r="T963" s="156"/>
      <c r="U963" s="132"/>
      <c r="V963" s="132">
        <v>1137.5899999999999</v>
      </c>
      <c r="W963">
        <v>146</v>
      </c>
      <c r="X963" s="153" t="s">
        <v>3260</v>
      </c>
      <c r="Y963" s="124" t="s">
        <v>55</v>
      </c>
      <c r="Z963" s="308">
        <v>206</v>
      </c>
      <c r="AB963" t="str">
        <f>IF(Table1[[#This Row],[TIPO2]]="costo", VLOOKUP(Table1[[#This Row],[PARTIDA PRESUPUESTAL]],'Cost Report'!G:G,1,0),"Balance")</f>
        <v>2808-003</v>
      </c>
      <c r="AC963" s="118"/>
      <c r="AD963" s="159">
        <f>+Table1[[#This Row],[SUBTOTAL]]+Table1[[#This Row],[IVA]]-Table1[[#This Row],[RET IVA]]-Table1[[#This Row],[RET ISR]]-Table1[[#This Row],[TOTAL]]</f>
        <v>0</v>
      </c>
      <c r="AE963" s="152"/>
      <c r="AF963" s="153"/>
      <c r="AG963" s="126" t="s">
        <v>3420</v>
      </c>
      <c r="AH963" s="115"/>
      <c r="AK963" s="306" t="str">
        <f>IF(ISNUMBER(Table1[[#This Row],[FECHA DE RECIBIDO]]), Table1[[#This Row],[FECHA DE RECIBIDO]]-DATE(2023,8,30), "")</f>
        <v/>
      </c>
    </row>
    <row r="964" spans="1:37" ht="16.05" customHeight="1">
      <c r="A964" s="150" t="s">
        <v>3263</v>
      </c>
      <c r="B964" s="151">
        <v>425</v>
      </c>
      <c r="C964" s="126" t="s">
        <v>2616</v>
      </c>
      <c r="D964">
        <v>667</v>
      </c>
      <c r="E964" s="126" t="s">
        <v>3264</v>
      </c>
      <c r="F964" s="122" t="s">
        <v>1607</v>
      </c>
      <c r="G964" s="122" t="s">
        <v>134</v>
      </c>
      <c r="H964">
        <v>41</v>
      </c>
      <c r="I964" s="122" t="s">
        <v>1546</v>
      </c>
      <c r="J964" s="307" t="s">
        <v>214</v>
      </c>
      <c r="K964" s="127" t="s">
        <v>3286</v>
      </c>
      <c r="L964" s="151" t="s">
        <v>1483</v>
      </c>
      <c r="M964">
        <v>101</v>
      </c>
      <c r="N964" s="123">
        <v>17</v>
      </c>
      <c r="O964">
        <v>671</v>
      </c>
      <c r="P964" s="132" t="s">
        <v>77</v>
      </c>
      <c r="Q964" s="131">
        <v>465.52</v>
      </c>
      <c r="R964" s="131">
        <v>74.48</v>
      </c>
      <c r="S964" s="131"/>
      <c r="T964" s="155"/>
      <c r="U964" s="131"/>
      <c r="V964" s="131">
        <v>540</v>
      </c>
      <c r="W964">
        <v>146</v>
      </c>
      <c r="X964" s="151" t="s">
        <v>3260</v>
      </c>
      <c r="Y964" s="135" t="s">
        <v>55</v>
      </c>
      <c r="Z964" s="307">
        <v>180</v>
      </c>
      <c r="AB964" t="str">
        <f>IF(Table1[[#This Row],[TIPO2]]="costo", VLOOKUP(Table1[[#This Row],[PARTIDA PRESUPUESTAL]],'Cost Report'!G:G,1,0),"Balance")</f>
        <v>2808-003</v>
      </c>
      <c r="AC964" s="118"/>
      <c r="AD964" s="159">
        <f>+Table1[[#This Row],[SUBTOTAL]]+Table1[[#This Row],[IVA]]-Table1[[#This Row],[RET IVA]]-Table1[[#This Row],[RET ISR]]-Table1[[#This Row],[TOTAL]]</f>
        <v>0</v>
      </c>
      <c r="AE964" s="150"/>
      <c r="AF964" s="151"/>
      <c r="AG964" s="126" t="s">
        <v>3420</v>
      </c>
      <c r="AH964" s="115"/>
      <c r="AK964" s="306" t="str">
        <f>IF(ISNUMBER(Table1[[#This Row],[FECHA DE RECIBIDO]]), Table1[[#This Row],[FECHA DE RECIBIDO]]-DATE(2023,8,30), "")</f>
        <v/>
      </c>
    </row>
    <row r="965" spans="1:37" ht="16.05" customHeight="1">
      <c r="A965" s="152" t="s">
        <v>3263</v>
      </c>
      <c r="B965" s="153">
        <v>425</v>
      </c>
      <c r="C965" s="126" t="s">
        <v>2616</v>
      </c>
      <c r="D965">
        <v>668</v>
      </c>
      <c r="E965" s="126" t="s">
        <v>3264</v>
      </c>
      <c r="F965" s="125" t="s">
        <v>1607</v>
      </c>
      <c r="G965" s="125" t="s">
        <v>134</v>
      </c>
      <c r="H965">
        <v>41</v>
      </c>
      <c r="I965" s="125" t="s">
        <v>1546</v>
      </c>
      <c r="J965" s="308" t="s">
        <v>214</v>
      </c>
      <c r="K965" s="127" t="s">
        <v>3286</v>
      </c>
      <c r="L965" s="153" t="s">
        <v>1483</v>
      </c>
      <c r="M965">
        <v>101</v>
      </c>
      <c r="N965" s="123">
        <v>17</v>
      </c>
      <c r="O965">
        <v>672</v>
      </c>
      <c r="P965" s="132" t="s">
        <v>77</v>
      </c>
      <c r="Q965" s="132">
        <v>93.97</v>
      </c>
      <c r="R965" s="132">
        <v>15.03</v>
      </c>
      <c r="S965" s="132"/>
      <c r="T965" s="156"/>
      <c r="U965" s="132"/>
      <c r="V965" s="132">
        <v>109</v>
      </c>
      <c r="W965">
        <v>146</v>
      </c>
      <c r="X965" s="153" t="s">
        <v>3260</v>
      </c>
      <c r="Y965" s="124" t="s">
        <v>55</v>
      </c>
      <c r="Z965" s="308">
        <v>180</v>
      </c>
      <c r="AB965" t="str">
        <f>IF(Table1[[#This Row],[TIPO2]]="costo", VLOOKUP(Table1[[#This Row],[PARTIDA PRESUPUESTAL]],'Cost Report'!G:G,1,0),"Balance")</f>
        <v>2808-003</v>
      </c>
      <c r="AC965" s="118"/>
      <c r="AD965" s="159">
        <f>+Table1[[#This Row],[SUBTOTAL]]+Table1[[#This Row],[IVA]]-Table1[[#This Row],[RET IVA]]-Table1[[#This Row],[RET ISR]]-Table1[[#This Row],[TOTAL]]</f>
        <v>0</v>
      </c>
      <c r="AE965" s="152"/>
      <c r="AF965" s="153"/>
      <c r="AG965" s="126" t="s">
        <v>3420</v>
      </c>
      <c r="AH965" s="115"/>
      <c r="AK965" s="306" t="str">
        <f>IF(ISNUMBER(Table1[[#This Row],[FECHA DE RECIBIDO]]), Table1[[#This Row],[FECHA DE RECIBIDO]]-DATE(2023,8,30), "")</f>
        <v/>
      </c>
    </row>
    <row r="966" spans="1:37" ht="16.05" customHeight="1">
      <c r="A966" s="150" t="s">
        <v>3263</v>
      </c>
      <c r="B966" s="151">
        <v>425</v>
      </c>
      <c r="C966" s="126" t="s">
        <v>2616</v>
      </c>
      <c r="D966">
        <v>669</v>
      </c>
      <c r="E966" s="126" t="s">
        <v>1999</v>
      </c>
      <c r="F966" s="122" t="s">
        <v>1607</v>
      </c>
      <c r="G966" s="122" t="s">
        <v>134</v>
      </c>
      <c r="H966">
        <v>41</v>
      </c>
      <c r="I966" s="122" t="s">
        <v>1546</v>
      </c>
      <c r="J966" s="307" t="s">
        <v>214</v>
      </c>
      <c r="K966" s="127" t="s">
        <v>3286</v>
      </c>
      <c r="L966" s="151" t="s">
        <v>1483</v>
      </c>
      <c r="M966">
        <v>101</v>
      </c>
      <c r="N966" s="123">
        <v>17</v>
      </c>
      <c r="O966">
        <v>673</v>
      </c>
      <c r="P966" s="132" t="s">
        <v>77</v>
      </c>
      <c r="Q966" s="131">
        <v>529.37</v>
      </c>
      <c r="R966" s="131">
        <v>84.7</v>
      </c>
      <c r="S966" s="131"/>
      <c r="T966" s="155"/>
      <c r="U966" s="131"/>
      <c r="V966" s="131">
        <v>614.07000000000005</v>
      </c>
      <c r="W966">
        <v>146</v>
      </c>
      <c r="X966" s="151" t="s">
        <v>3260</v>
      </c>
      <c r="Y966" s="135" t="s">
        <v>55</v>
      </c>
      <c r="Z966" s="307">
        <v>180</v>
      </c>
      <c r="AB966" t="str">
        <f>IF(Table1[[#This Row],[TIPO2]]="costo", VLOOKUP(Table1[[#This Row],[PARTIDA PRESUPUESTAL]],'Cost Report'!G:G,1,0),"Balance")</f>
        <v>2808-003</v>
      </c>
      <c r="AC966" s="118"/>
      <c r="AD966" s="159">
        <f>+Table1[[#This Row],[SUBTOTAL]]+Table1[[#This Row],[IVA]]-Table1[[#This Row],[RET IVA]]-Table1[[#This Row],[RET ISR]]-Table1[[#This Row],[TOTAL]]</f>
        <v>0</v>
      </c>
      <c r="AE966" s="150"/>
      <c r="AF966" s="151"/>
      <c r="AG966" s="126" t="s">
        <v>3420</v>
      </c>
      <c r="AH966" s="115"/>
      <c r="AK966" s="306" t="str">
        <f>IF(ISNUMBER(Table1[[#This Row],[FECHA DE RECIBIDO]]), Table1[[#This Row],[FECHA DE RECIBIDO]]-DATE(2023,8,30), "")</f>
        <v/>
      </c>
    </row>
    <row r="967" spans="1:37" ht="16.05" customHeight="1">
      <c r="A967" s="152" t="s">
        <v>3263</v>
      </c>
      <c r="B967" s="153">
        <v>425</v>
      </c>
      <c r="C967" s="126" t="s">
        <v>2616</v>
      </c>
      <c r="D967">
        <v>670</v>
      </c>
      <c r="E967" s="126" t="s">
        <v>3265</v>
      </c>
      <c r="F967" s="125" t="s">
        <v>1607</v>
      </c>
      <c r="G967" s="125" t="s">
        <v>134</v>
      </c>
      <c r="H967">
        <v>227</v>
      </c>
      <c r="I967" s="125" t="s">
        <v>1546</v>
      </c>
      <c r="J967" s="308" t="s">
        <v>214</v>
      </c>
      <c r="K967" s="127" t="s">
        <v>3286</v>
      </c>
      <c r="L967" s="153" t="s">
        <v>1483</v>
      </c>
      <c r="M967">
        <v>295</v>
      </c>
      <c r="N967" s="123">
        <v>17</v>
      </c>
      <c r="O967">
        <v>674</v>
      </c>
      <c r="P967" s="132" t="s">
        <v>77</v>
      </c>
      <c r="Q967" s="132">
        <v>4310.34</v>
      </c>
      <c r="R967" s="132">
        <v>689.66</v>
      </c>
      <c r="S967" s="132"/>
      <c r="T967" s="156"/>
      <c r="U967" s="132"/>
      <c r="V967" s="132">
        <v>5000</v>
      </c>
      <c r="W967">
        <v>146</v>
      </c>
      <c r="X967" s="153" t="s">
        <v>3260</v>
      </c>
      <c r="Y967" s="124" t="s">
        <v>55</v>
      </c>
      <c r="Z967" s="308">
        <v>204</v>
      </c>
      <c r="AB967" t="str">
        <f>IF(Table1[[#This Row],[TIPO2]]="costo", VLOOKUP(Table1[[#This Row],[PARTIDA PRESUPUESTAL]],'Cost Report'!G:G,1,0),"Balance")</f>
        <v>2808-003</v>
      </c>
      <c r="AC967" s="118"/>
      <c r="AD967" s="159">
        <f>+Table1[[#This Row],[SUBTOTAL]]+Table1[[#This Row],[IVA]]-Table1[[#This Row],[RET IVA]]-Table1[[#This Row],[RET ISR]]-Table1[[#This Row],[TOTAL]]</f>
        <v>0</v>
      </c>
      <c r="AE967" s="152"/>
      <c r="AF967" s="153"/>
      <c r="AG967" s="126" t="s">
        <v>3420</v>
      </c>
      <c r="AH967" s="115"/>
      <c r="AK967" s="306" t="str">
        <f>IF(ISNUMBER(Table1[[#This Row],[FECHA DE RECIBIDO]]), Table1[[#This Row],[FECHA DE RECIBIDO]]-DATE(2023,8,30), "")</f>
        <v/>
      </c>
    </row>
    <row r="968" spans="1:37" ht="16.05" customHeight="1">
      <c r="A968" s="150" t="s">
        <v>3263</v>
      </c>
      <c r="B968" s="151">
        <v>425</v>
      </c>
      <c r="C968" s="126" t="s">
        <v>2616</v>
      </c>
      <c r="D968">
        <v>671</v>
      </c>
      <c r="E968" s="126" t="s">
        <v>1598</v>
      </c>
      <c r="F968" s="122" t="s">
        <v>1607</v>
      </c>
      <c r="G968" s="122" t="s">
        <v>134</v>
      </c>
      <c r="H968">
        <v>141</v>
      </c>
      <c r="I968" s="122" t="s">
        <v>1546</v>
      </c>
      <c r="J968" s="307" t="s">
        <v>214</v>
      </c>
      <c r="K968" s="127" t="s">
        <v>3286</v>
      </c>
      <c r="L968" s="151" t="s">
        <v>1483</v>
      </c>
      <c r="M968">
        <v>296</v>
      </c>
      <c r="N968" s="123">
        <v>17</v>
      </c>
      <c r="O968">
        <v>675</v>
      </c>
      <c r="P968" s="132" t="s">
        <v>77</v>
      </c>
      <c r="Q968" s="131">
        <v>10408.629999999999</v>
      </c>
      <c r="R968" s="131">
        <v>1665.37</v>
      </c>
      <c r="S968" s="131"/>
      <c r="T968" s="155"/>
      <c r="U968" s="131"/>
      <c r="V968" s="131">
        <v>12074</v>
      </c>
      <c r="W968">
        <v>146</v>
      </c>
      <c r="X968" s="151" t="s">
        <v>3260</v>
      </c>
      <c r="Y968" s="135" t="s">
        <v>55</v>
      </c>
      <c r="Z968" s="307">
        <v>209</v>
      </c>
      <c r="AB968" t="str">
        <f>IF(Table1[[#This Row],[TIPO2]]="costo", VLOOKUP(Table1[[#This Row],[PARTIDA PRESUPUESTAL]],'Cost Report'!G:G,1,0),"Balance")</f>
        <v>2808-003</v>
      </c>
      <c r="AC968" s="118"/>
      <c r="AD968" s="159">
        <f>+Table1[[#This Row],[SUBTOTAL]]+Table1[[#This Row],[IVA]]-Table1[[#This Row],[RET IVA]]-Table1[[#This Row],[RET ISR]]-Table1[[#This Row],[TOTAL]]</f>
        <v>0</v>
      </c>
      <c r="AE968" s="150"/>
      <c r="AF968" s="151"/>
      <c r="AG968" s="126" t="s">
        <v>3420</v>
      </c>
      <c r="AH968" s="115"/>
      <c r="AK968" s="306" t="str">
        <f>IF(ISNUMBER(Table1[[#This Row],[FECHA DE RECIBIDO]]), Table1[[#This Row],[FECHA DE RECIBIDO]]-DATE(2023,8,30), "")</f>
        <v/>
      </c>
    </row>
    <row r="969" spans="1:37" ht="16.05" customHeight="1">
      <c r="A969" s="152" t="s">
        <v>3263</v>
      </c>
      <c r="B969" s="153">
        <v>425</v>
      </c>
      <c r="C969" s="126" t="s">
        <v>2616</v>
      </c>
      <c r="D969">
        <v>672</v>
      </c>
      <c r="E969" s="126" t="s">
        <v>1999</v>
      </c>
      <c r="F969" s="125" t="s">
        <v>1607</v>
      </c>
      <c r="G969" s="125" t="s">
        <v>134</v>
      </c>
      <c r="H969">
        <v>141</v>
      </c>
      <c r="I969" s="125" t="s">
        <v>1546</v>
      </c>
      <c r="J969" s="308" t="s">
        <v>214</v>
      </c>
      <c r="K969" s="127" t="s">
        <v>3286</v>
      </c>
      <c r="L969" s="153" t="s">
        <v>1483</v>
      </c>
      <c r="M969">
        <v>296</v>
      </c>
      <c r="N969" s="123">
        <v>17</v>
      </c>
      <c r="O969">
        <v>676</v>
      </c>
      <c r="P969" s="132" t="s">
        <v>77</v>
      </c>
      <c r="Q969" s="132">
        <v>3637.94</v>
      </c>
      <c r="R969" s="132">
        <v>582.05999999999995</v>
      </c>
      <c r="S969" s="132"/>
      <c r="T969" s="156"/>
      <c r="U969" s="132"/>
      <c r="V969" s="132">
        <v>4220</v>
      </c>
      <c r="W969">
        <v>146</v>
      </c>
      <c r="X969" s="153" t="s">
        <v>3260</v>
      </c>
      <c r="Y969" s="124" t="s">
        <v>55</v>
      </c>
      <c r="Z969" s="308">
        <v>209</v>
      </c>
      <c r="AB969" t="str">
        <f>IF(Table1[[#This Row],[TIPO2]]="costo", VLOOKUP(Table1[[#This Row],[PARTIDA PRESUPUESTAL]],'Cost Report'!G:G,1,0),"Balance")</f>
        <v>2808-003</v>
      </c>
      <c r="AC969" s="118"/>
      <c r="AD969" s="159">
        <f>+Table1[[#This Row],[SUBTOTAL]]+Table1[[#This Row],[IVA]]-Table1[[#This Row],[RET IVA]]-Table1[[#This Row],[RET ISR]]-Table1[[#This Row],[TOTAL]]</f>
        <v>0</v>
      </c>
      <c r="AE969" s="152"/>
      <c r="AF969" s="153"/>
      <c r="AG969" s="126" t="s">
        <v>3420</v>
      </c>
      <c r="AH969" s="115"/>
      <c r="AK969" s="306" t="str">
        <f>IF(ISNUMBER(Table1[[#This Row],[FECHA DE RECIBIDO]]), Table1[[#This Row],[FECHA DE RECIBIDO]]-DATE(2023,8,30), "")</f>
        <v/>
      </c>
    </row>
    <row r="970" spans="1:37" ht="16.05" customHeight="1">
      <c r="A970" s="150" t="s">
        <v>3263</v>
      </c>
      <c r="B970" s="151">
        <v>425</v>
      </c>
      <c r="C970" s="126" t="s">
        <v>2616</v>
      </c>
      <c r="D970">
        <v>673</v>
      </c>
      <c r="E970" s="126" t="s">
        <v>2005</v>
      </c>
      <c r="F970" s="122" t="s">
        <v>1607</v>
      </c>
      <c r="G970" s="122" t="s">
        <v>134</v>
      </c>
      <c r="H970">
        <v>141</v>
      </c>
      <c r="I970" s="122" t="s">
        <v>1546</v>
      </c>
      <c r="J970" s="307" t="s">
        <v>214</v>
      </c>
      <c r="K970" s="127" t="s">
        <v>3286</v>
      </c>
      <c r="L970" s="151" t="s">
        <v>1483</v>
      </c>
      <c r="M970">
        <v>296</v>
      </c>
      <c r="N970" s="123">
        <v>17</v>
      </c>
      <c r="O970">
        <v>677</v>
      </c>
      <c r="P970" s="132" t="s">
        <v>77</v>
      </c>
      <c r="Q970" s="131">
        <v>10201.73</v>
      </c>
      <c r="R970" s="131">
        <v>1632.27</v>
      </c>
      <c r="S970" s="131"/>
      <c r="T970" s="155"/>
      <c r="U970" s="131"/>
      <c r="V970" s="131">
        <v>11834</v>
      </c>
      <c r="W970">
        <v>146</v>
      </c>
      <c r="X970" s="151" t="s">
        <v>3260</v>
      </c>
      <c r="Y970" s="135" t="s">
        <v>55</v>
      </c>
      <c r="Z970" s="307">
        <v>204</v>
      </c>
      <c r="AB970" t="str">
        <f>IF(Table1[[#This Row],[TIPO2]]="costo", VLOOKUP(Table1[[#This Row],[PARTIDA PRESUPUESTAL]],'Cost Report'!G:G,1,0),"Balance")</f>
        <v>2808-003</v>
      </c>
      <c r="AC970" s="118"/>
      <c r="AD970" s="159">
        <f>+Table1[[#This Row],[SUBTOTAL]]+Table1[[#This Row],[IVA]]-Table1[[#This Row],[RET IVA]]-Table1[[#This Row],[RET ISR]]-Table1[[#This Row],[TOTAL]]</f>
        <v>0</v>
      </c>
      <c r="AE970" s="150"/>
      <c r="AF970" s="151"/>
      <c r="AG970" s="126" t="s">
        <v>3420</v>
      </c>
      <c r="AH970" s="115"/>
      <c r="AK970" s="306" t="str">
        <f>IF(ISNUMBER(Table1[[#This Row],[FECHA DE RECIBIDO]]), Table1[[#This Row],[FECHA DE RECIBIDO]]-DATE(2023,8,30), "")</f>
        <v/>
      </c>
    </row>
    <row r="971" spans="1:37" ht="16.05" customHeight="1">
      <c r="A971" s="152" t="s">
        <v>3263</v>
      </c>
      <c r="B971" s="153">
        <v>425</v>
      </c>
      <c r="C971" s="126" t="s">
        <v>2616</v>
      </c>
      <c r="D971">
        <v>674</v>
      </c>
      <c r="E971" s="126" t="s">
        <v>1986</v>
      </c>
      <c r="F971" s="125" t="s">
        <v>1607</v>
      </c>
      <c r="G971" s="125" t="s">
        <v>134</v>
      </c>
      <c r="H971">
        <v>228</v>
      </c>
      <c r="I971" s="125" t="s">
        <v>1546</v>
      </c>
      <c r="J971" s="308" t="s">
        <v>214</v>
      </c>
      <c r="K971" s="127" t="s">
        <v>3286</v>
      </c>
      <c r="L971" s="153" t="s">
        <v>1483</v>
      </c>
      <c r="M971">
        <v>297</v>
      </c>
      <c r="N971" s="123">
        <v>17</v>
      </c>
      <c r="O971">
        <v>678</v>
      </c>
      <c r="P971" s="132" t="s">
        <v>77</v>
      </c>
      <c r="Q971" s="132">
        <v>1629.31</v>
      </c>
      <c r="R971" s="132">
        <v>260.69</v>
      </c>
      <c r="S971" s="132"/>
      <c r="T971" s="156"/>
      <c r="U971" s="132"/>
      <c r="V971" s="132">
        <v>1890</v>
      </c>
      <c r="W971">
        <v>146</v>
      </c>
      <c r="X971" s="153" t="s">
        <v>3260</v>
      </c>
      <c r="Y971" s="124" t="s">
        <v>55</v>
      </c>
      <c r="Z971" s="308">
        <v>209</v>
      </c>
      <c r="AB971" t="str">
        <f>IF(Table1[[#This Row],[TIPO2]]="costo", VLOOKUP(Table1[[#This Row],[PARTIDA PRESUPUESTAL]],'Cost Report'!G:G,1,0),"Balance")</f>
        <v>2808-003</v>
      </c>
      <c r="AC971" s="118"/>
      <c r="AD971" s="159">
        <f>+Table1[[#This Row],[SUBTOTAL]]+Table1[[#This Row],[IVA]]-Table1[[#This Row],[RET IVA]]-Table1[[#This Row],[RET ISR]]-Table1[[#This Row],[TOTAL]]</f>
        <v>0</v>
      </c>
      <c r="AE971" s="152"/>
      <c r="AF971" s="153"/>
      <c r="AG971" s="126" t="s">
        <v>3420</v>
      </c>
      <c r="AH971" s="115"/>
      <c r="AK971" s="306" t="str">
        <f>IF(ISNUMBER(Table1[[#This Row],[FECHA DE RECIBIDO]]), Table1[[#This Row],[FECHA DE RECIBIDO]]-DATE(2023,8,30), "")</f>
        <v/>
      </c>
    </row>
    <row r="972" spans="1:37" ht="16.05" customHeight="1">
      <c r="A972" s="150" t="s">
        <v>3263</v>
      </c>
      <c r="B972" s="151">
        <v>425</v>
      </c>
      <c r="C972" s="126" t="s">
        <v>2616</v>
      </c>
      <c r="D972">
        <v>675</v>
      </c>
      <c r="E972" s="126" t="s">
        <v>2074</v>
      </c>
      <c r="F972" s="122" t="s">
        <v>1607</v>
      </c>
      <c r="G972" s="122" t="s">
        <v>134</v>
      </c>
      <c r="H972">
        <v>56</v>
      </c>
      <c r="I972" s="122" t="s">
        <v>1546</v>
      </c>
      <c r="J972" s="307" t="s">
        <v>214</v>
      </c>
      <c r="K972" s="127" t="s">
        <v>3286</v>
      </c>
      <c r="L972" s="151" t="s">
        <v>1483</v>
      </c>
      <c r="M972">
        <v>184</v>
      </c>
      <c r="N972" s="123">
        <v>17</v>
      </c>
      <c r="O972">
        <v>679</v>
      </c>
      <c r="P972" s="132" t="s">
        <v>77</v>
      </c>
      <c r="Q972" s="131">
        <v>343.97</v>
      </c>
      <c r="R972" s="131">
        <v>55.03</v>
      </c>
      <c r="S972" s="131"/>
      <c r="T972" s="155"/>
      <c r="U972" s="131"/>
      <c r="V972" s="131">
        <v>399</v>
      </c>
      <c r="W972">
        <v>146</v>
      </c>
      <c r="X972" s="151" t="s">
        <v>3260</v>
      </c>
      <c r="Y972" s="135" t="s">
        <v>55</v>
      </c>
      <c r="Z972" s="307">
        <v>204</v>
      </c>
      <c r="AB972" t="str">
        <f>IF(Table1[[#This Row],[TIPO2]]="costo", VLOOKUP(Table1[[#This Row],[PARTIDA PRESUPUESTAL]],'Cost Report'!G:G,1,0),"Balance")</f>
        <v>2808-003</v>
      </c>
      <c r="AC972" s="118"/>
      <c r="AD972" s="159">
        <f>+Table1[[#This Row],[SUBTOTAL]]+Table1[[#This Row],[IVA]]-Table1[[#This Row],[RET IVA]]-Table1[[#This Row],[RET ISR]]-Table1[[#This Row],[TOTAL]]</f>
        <v>0</v>
      </c>
      <c r="AE972" s="150"/>
      <c r="AF972" s="151"/>
      <c r="AG972" s="126" t="s">
        <v>3420</v>
      </c>
      <c r="AH972" s="115"/>
      <c r="AK972" s="306" t="str">
        <f>IF(ISNUMBER(Table1[[#This Row],[FECHA DE RECIBIDO]]), Table1[[#This Row],[FECHA DE RECIBIDO]]-DATE(2023,8,30), "")</f>
        <v/>
      </c>
    </row>
    <row r="973" spans="1:37" ht="16.05" customHeight="1">
      <c r="A973" s="152" t="s">
        <v>3266</v>
      </c>
      <c r="B973" s="153">
        <v>426</v>
      </c>
      <c r="C973" s="126" t="s">
        <v>420</v>
      </c>
      <c r="D973">
        <v>676</v>
      </c>
      <c r="E973" s="126" t="s">
        <v>3267</v>
      </c>
      <c r="F973" s="125" t="s">
        <v>1607</v>
      </c>
      <c r="G973" s="125" t="s">
        <v>134</v>
      </c>
      <c r="H973">
        <v>229</v>
      </c>
      <c r="I973" s="125" t="s">
        <v>1546</v>
      </c>
      <c r="J973" s="308" t="s">
        <v>214</v>
      </c>
      <c r="K973" s="127" t="s">
        <v>3286</v>
      </c>
      <c r="L973" s="153" t="s">
        <v>1483</v>
      </c>
      <c r="M973">
        <v>298</v>
      </c>
      <c r="N973" s="123">
        <v>17</v>
      </c>
      <c r="O973">
        <v>680</v>
      </c>
      <c r="P973" s="132" t="s">
        <v>77</v>
      </c>
      <c r="Q973" s="132">
        <v>48013.06</v>
      </c>
      <c r="R973" s="132">
        <v>7682.09</v>
      </c>
      <c r="S973" s="132"/>
      <c r="T973" s="156"/>
      <c r="U973" s="132"/>
      <c r="V973" s="132">
        <v>55695.149999999994</v>
      </c>
      <c r="W973">
        <v>93</v>
      </c>
      <c r="X973" s="153" t="s">
        <v>3260</v>
      </c>
      <c r="Y973" s="124" t="s">
        <v>55</v>
      </c>
      <c r="Z973" s="308">
        <v>205</v>
      </c>
      <c r="AB973" t="str">
        <f>IF(Table1[[#This Row],[TIPO2]]="costo", VLOOKUP(Table1[[#This Row],[PARTIDA PRESUPUESTAL]],'Cost Report'!G:G,1,0),"Balance")</f>
        <v>1641-003</v>
      </c>
      <c r="AC973" s="118"/>
      <c r="AD973" s="159">
        <f>+Table1[[#This Row],[SUBTOTAL]]+Table1[[#This Row],[IVA]]-Table1[[#This Row],[RET IVA]]-Table1[[#This Row],[RET ISR]]-Table1[[#This Row],[TOTAL]]</f>
        <v>0</v>
      </c>
      <c r="AE973" s="152"/>
      <c r="AF973" s="153"/>
      <c r="AG973" s="126" t="s">
        <v>3420</v>
      </c>
      <c r="AH973" s="115"/>
      <c r="AK973" s="306" t="str">
        <f>IF(ISNUMBER(Table1[[#This Row],[FECHA DE RECIBIDO]]), Table1[[#This Row],[FECHA DE RECIBIDO]]-DATE(2023,8,30), "")</f>
        <v/>
      </c>
    </row>
    <row r="974" spans="1:37" ht="16.05" customHeight="1">
      <c r="A974" s="150" t="s">
        <v>3266</v>
      </c>
      <c r="B974" s="151">
        <v>426</v>
      </c>
      <c r="C974" s="126" t="s">
        <v>2774</v>
      </c>
      <c r="D974">
        <v>677</v>
      </c>
      <c r="E974" s="126" t="s">
        <v>3268</v>
      </c>
      <c r="F974" s="122" t="s">
        <v>1589</v>
      </c>
      <c r="G974" s="122" t="s">
        <v>129</v>
      </c>
      <c r="H974">
        <v>230</v>
      </c>
      <c r="I974" s="122" t="s">
        <v>1546</v>
      </c>
      <c r="J974" s="307" t="s">
        <v>214</v>
      </c>
      <c r="K974" s="127" t="s">
        <v>3286</v>
      </c>
      <c r="L974" s="151" t="s">
        <v>1483</v>
      </c>
      <c r="M974">
        <v>299</v>
      </c>
      <c r="N974" s="123">
        <v>17</v>
      </c>
      <c r="O974">
        <v>681</v>
      </c>
      <c r="P974" s="132" t="s">
        <v>77</v>
      </c>
      <c r="Q974" s="131">
        <v>5162.07</v>
      </c>
      <c r="R974" s="131">
        <v>825.93</v>
      </c>
      <c r="S974" s="131"/>
      <c r="T974" s="155"/>
      <c r="U974" s="131"/>
      <c r="V974" s="131">
        <v>5988</v>
      </c>
      <c r="W974">
        <v>93</v>
      </c>
      <c r="X974" s="151" t="s">
        <v>3260</v>
      </c>
      <c r="Y974" s="135" t="s">
        <v>55</v>
      </c>
      <c r="Z974" s="307">
        <v>205</v>
      </c>
      <c r="AB974" t="str">
        <f>IF(Table1[[#This Row],[TIPO2]]="costo", VLOOKUP(Table1[[#This Row],[PARTIDA PRESUPUESTAL]],'Cost Report'!G:G,1,0),"Balance")</f>
        <v>3401-042</v>
      </c>
      <c r="AC974" s="118"/>
      <c r="AD974" s="159">
        <f>+Table1[[#This Row],[SUBTOTAL]]+Table1[[#This Row],[IVA]]-Table1[[#This Row],[RET IVA]]-Table1[[#This Row],[RET ISR]]-Table1[[#This Row],[TOTAL]]</f>
        <v>0</v>
      </c>
      <c r="AE974" s="150"/>
      <c r="AF974" s="151"/>
      <c r="AG974" s="126" t="s">
        <v>3420</v>
      </c>
      <c r="AH974" s="115"/>
      <c r="AK974" s="306" t="str">
        <f>IF(ISNUMBER(Table1[[#This Row],[FECHA DE RECIBIDO]]), Table1[[#This Row],[FECHA DE RECIBIDO]]-DATE(2023,8,30), "")</f>
        <v/>
      </c>
    </row>
    <row r="975" spans="1:37" ht="16.05" customHeight="1">
      <c r="A975" s="152" t="s">
        <v>3266</v>
      </c>
      <c r="B975" s="153">
        <v>426</v>
      </c>
      <c r="C975" s="126" t="s">
        <v>3002</v>
      </c>
      <c r="D975">
        <v>678</v>
      </c>
      <c r="E975" s="126" t="s">
        <v>2067</v>
      </c>
      <c r="F975" s="125" t="s">
        <v>1607</v>
      </c>
      <c r="G975" s="125" t="s">
        <v>134</v>
      </c>
      <c r="H975">
        <v>136</v>
      </c>
      <c r="I975" s="125" t="s">
        <v>1546</v>
      </c>
      <c r="J975" s="308" t="s">
        <v>214</v>
      </c>
      <c r="K975" s="127" t="s">
        <v>3286</v>
      </c>
      <c r="L975" s="153" t="s">
        <v>1483</v>
      </c>
      <c r="M975">
        <v>178</v>
      </c>
      <c r="N975" s="123">
        <v>17</v>
      </c>
      <c r="O975">
        <v>682</v>
      </c>
      <c r="P975" s="132" t="s">
        <v>77</v>
      </c>
      <c r="Q975" s="132">
        <v>10844.21</v>
      </c>
      <c r="R975" s="132">
        <v>1557.79</v>
      </c>
      <c r="S975" s="132"/>
      <c r="T975" s="156"/>
      <c r="U975" s="132"/>
      <c r="V975" s="132">
        <v>12402</v>
      </c>
      <c r="W975">
        <v>93</v>
      </c>
      <c r="X975" s="153" t="s">
        <v>3260</v>
      </c>
      <c r="Y975" s="124" t="s">
        <v>55</v>
      </c>
      <c r="Z975" s="308">
        <v>205</v>
      </c>
      <c r="AB975" t="str">
        <f>IF(Table1[[#This Row],[TIPO2]]="costo", VLOOKUP(Table1[[#This Row],[PARTIDA PRESUPUESTAL]],'Cost Report'!G:G,1,0),"Balance")</f>
        <v>4180-003</v>
      </c>
      <c r="AC975" s="118"/>
      <c r="AD975" s="159">
        <f>+Table1[[#This Row],[SUBTOTAL]]+Table1[[#This Row],[IVA]]-Table1[[#This Row],[RET IVA]]-Table1[[#This Row],[RET ISR]]-Table1[[#This Row],[TOTAL]]</f>
        <v>0</v>
      </c>
      <c r="AE975" s="152"/>
      <c r="AF975" s="153"/>
      <c r="AG975" s="126" t="s">
        <v>3420</v>
      </c>
      <c r="AH975" s="115"/>
      <c r="AK975" s="306" t="str">
        <f>IF(ISNUMBER(Table1[[#This Row],[FECHA DE RECIBIDO]]), Table1[[#This Row],[FECHA DE RECIBIDO]]-DATE(2023,8,30), "")</f>
        <v/>
      </c>
    </row>
    <row r="976" spans="1:37" ht="16.05" customHeight="1">
      <c r="A976" s="150" t="s">
        <v>3266</v>
      </c>
      <c r="B976" s="151">
        <v>426</v>
      </c>
      <c r="C976" s="126" t="s">
        <v>3002</v>
      </c>
      <c r="D976">
        <v>679</v>
      </c>
      <c r="E976" s="126" t="s">
        <v>2067</v>
      </c>
      <c r="F976" s="122" t="s">
        <v>1607</v>
      </c>
      <c r="G976" s="122" t="s">
        <v>134</v>
      </c>
      <c r="H976">
        <v>136</v>
      </c>
      <c r="I976" s="122" t="s">
        <v>1546</v>
      </c>
      <c r="J976" s="307" t="s">
        <v>214</v>
      </c>
      <c r="K976" s="127" t="s">
        <v>3286</v>
      </c>
      <c r="L976" s="151" t="s">
        <v>1483</v>
      </c>
      <c r="M976">
        <v>178</v>
      </c>
      <c r="N976" s="123">
        <v>17</v>
      </c>
      <c r="O976">
        <v>683</v>
      </c>
      <c r="P976" s="132" t="s">
        <v>77</v>
      </c>
      <c r="Q976" s="131">
        <v>11335.59</v>
      </c>
      <c r="R976" s="131">
        <v>1636.41</v>
      </c>
      <c r="S976" s="131"/>
      <c r="T976" s="155"/>
      <c r="U976" s="131"/>
      <c r="V976" s="131">
        <v>12972</v>
      </c>
      <c r="W976">
        <v>93</v>
      </c>
      <c r="X976" s="151" t="s">
        <v>3260</v>
      </c>
      <c r="Y976" s="135" t="s">
        <v>55</v>
      </c>
      <c r="Z976" s="307">
        <v>205</v>
      </c>
      <c r="AB976" t="str">
        <f>IF(Table1[[#This Row],[TIPO2]]="costo", VLOOKUP(Table1[[#This Row],[PARTIDA PRESUPUESTAL]],'Cost Report'!G:G,1,0),"Balance")</f>
        <v>4180-003</v>
      </c>
      <c r="AC976" s="118"/>
      <c r="AD976" s="159">
        <f>+Table1[[#This Row],[SUBTOTAL]]+Table1[[#This Row],[IVA]]-Table1[[#This Row],[RET IVA]]-Table1[[#This Row],[RET ISR]]-Table1[[#This Row],[TOTAL]]</f>
        <v>0</v>
      </c>
      <c r="AE976" s="150"/>
      <c r="AF976" s="151"/>
      <c r="AG976" s="126" t="s">
        <v>3420</v>
      </c>
      <c r="AH976" s="115"/>
      <c r="AK976" s="306" t="str">
        <f>IF(ISNUMBER(Table1[[#This Row],[FECHA DE RECIBIDO]]), Table1[[#This Row],[FECHA DE RECIBIDO]]-DATE(2023,8,30), "")</f>
        <v/>
      </c>
    </row>
    <row r="977" spans="1:37" ht="16.05" customHeight="1">
      <c r="A977" s="152" t="s">
        <v>3266</v>
      </c>
      <c r="B977" s="153">
        <v>426</v>
      </c>
      <c r="C977" s="126" t="s">
        <v>3002</v>
      </c>
      <c r="D977">
        <v>680</v>
      </c>
      <c r="E977" s="126" t="s">
        <v>2067</v>
      </c>
      <c r="F977" s="125" t="s">
        <v>1607</v>
      </c>
      <c r="G977" s="125" t="s">
        <v>134</v>
      </c>
      <c r="H977">
        <v>136</v>
      </c>
      <c r="I977" s="125" t="s">
        <v>1546</v>
      </c>
      <c r="J977" s="308" t="s">
        <v>214</v>
      </c>
      <c r="K977" s="127" t="s">
        <v>3286</v>
      </c>
      <c r="L977" s="153" t="s">
        <v>1483</v>
      </c>
      <c r="M977">
        <v>178</v>
      </c>
      <c r="N977" s="123">
        <v>17</v>
      </c>
      <c r="O977">
        <v>684</v>
      </c>
      <c r="P977" s="132" t="s">
        <v>77</v>
      </c>
      <c r="Q977" s="132">
        <v>4894.3100000000004</v>
      </c>
      <c r="R977" s="132">
        <v>688.69</v>
      </c>
      <c r="S977" s="132"/>
      <c r="T977" s="156"/>
      <c r="U977" s="132"/>
      <c r="V977" s="132">
        <v>5583</v>
      </c>
      <c r="W977">
        <v>93</v>
      </c>
      <c r="X977" s="153" t="s">
        <v>3260</v>
      </c>
      <c r="Y977" s="124" t="s">
        <v>55</v>
      </c>
      <c r="Z977" s="308">
        <v>205</v>
      </c>
      <c r="AB977" t="str">
        <f>IF(Table1[[#This Row],[TIPO2]]="costo", VLOOKUP(Table1[[#This Row],[PARTIDA PRESUPUESTAL]],'Cost Report'!G:G,1,0),"Balance")</f>
        <v>4180-003</v>
      </c>
      <c r="AC977" s="118"/>
      <c r="AD977" s="159">
        <f>+Table1[[#This Row],[SUBTOTAL]]+Table1[[#This Row],[IVA]]-Table1[[#This Row],[RET IVA]]-Table1[[#This Row],[RET ISR]]-Table1[[#This Row],[TOTAL]]</f>
        <v>0</v>
      </c>
      <c r="AE977" s="152"/>
      <c r="AF977" s="153"/>
      <c r="AG977" s="126" t="s">
        <v>3420</v>
      </c>
      <c r="AH977" s="115"/>
      <c r="AK977" s="306" t="str">
        <f>IF(ISNUMBER(Table1[[#This Row],[FECHA DE RECIBIDO]]), Table1[[#This Row],[FECHA DE RECIBIDO]]-DATE(2023,8,30), "")</f>
        <v/>
      </c>
    </row>
    <row r="978" spans="1:37" ht="16.05" customHeight="1">
      <c r="A978" s="150" t="s">
        <v>3266</v>
      </c>
      <c r="B978" s="151">
        <v>426</v>
      </c>
      <c r="C978" s="126" t="s">
        <v>3002</v>
      </c>
      <c r="D978">
        <v>681</v>
      </c>
      <c r="E978" s="126" t="s">
        <v>2067</v>
      </c>
      <c r="F978" s="122" t="s">
        <v>1607</v>
      </c>
      <c r="G978" s="122" t="s">
        <v>134</v>
      </c>
      <c r="H978">
        <v>136</v>
      </c>
      <c r="I978" s="122" t="s">
        <v>1546</v>
      </c>
      <c r="J978" s="307" t="s">
        <v>214</v>
      </c>
      <c r="K978" s="127" t="s">
        <v>3286</v>
      </c>
      <c r="L978" s="151" t="s">
        <v>1483</v>
      </c>
      <c r="M978">
        <v>178</v>
      </c>
      <c r="N978" s="123">
        <v>17</v>
      </c>
      <c r="O978">
        <v>685</v>
      </c>
      <c r="P978" s="132" t="s">
        <v>77</v>
      </c>
      <c r="Q978" s="131">
        <v>378</v>
      </c>
      <c r="R978" s="131">
        <v>62</v>
      </c>
      <c r="S978" s="131"/>
      <c r="T978" s="155"/>
      <c r="U978" s="131"/>
      <c r="V978" s="131">
        <v>440</v>
      </c>
      <c r="W978">
        <v>93</v>
      </c>
      <c r="X978" s="151" t="s">
        <v>3260</v>
      </c>
      <c r="Y978" s="135" t="s">
        <v>55</v>
      </c>
      <c r="Z978" s="307">
        <v>205</v>
      </c>
      <c r="AB978" t="str">
        <f>IF(Table1[[#This Row],[TIPO2]]="costo", VLOOKUP(Table1[[#This Row],[PARTIDA PRESUPUESTAL]],'Cost Report'!G:G,1,0),"Balance")</f>
        <v>4180-003</v>
      </c>
      <c r="AC978" s="118"/>
      <c r="AD978" s="159">
        <f>+Table1[[#This Row],[SUBTOTAL]]+Table1[[#This Row],[IVA]]-Table1[[#This Row],[RET IVA]]-Table1[[#This Row],[RET ISR]]-Table1[[#This Row],[TOTAL]]</f>
        <v>0</v>
      </c>
      <c r="AE978" s="150"/>
      <c r="AF978" s="151"/>
      <c r="AG978" s="126" t="s">
        <v>3420</v>
      </c>
      <c r="AH978" s="115"/>
      <c r="AK978" s="306" t="str">
        <f>IF(ISNUMBER(Table1[[#This Row],[FECHA DE RECIBIDO]]), Table1[[#This Row],[FECHA DE RECIBIDO]]-DATE(2023,8,30), "")</f>
        <v/>
      </c>
    </row>
    <row r="979" spans="1:37" ht="16.05" customHeight="1">
      <c r="A979" s="152" t="s">
        <v>3266</v>
      </c>
      <c r="B979" s="153">
        <v>426</v>
      </c>
      <c r="C979" s="126" t="s">
        <v>3002</v>
      </c>
      <c r="D979">
        <v>682</v>
      </c>
      <c r="E979" s="126" t="s">
        <v>2067</v>
      </c>
      <c r="F979" s="125" t="s">
        <v>1607</v>
      </c>
      <c r="G979" s="125" t="s">
        <v>134</v>
      </c>
      <c r="H979">
        <v>136</v>
      </c>
      <c r="I979" s="125" t="s">
        <v>1546</v>
      </c>
      <c r="J979" s="308" t="s">
        <v>214</v>
      </c>
      <c r="K979" s="127" t="s">
        <v>3286</v>
      </c>
      <c r="L979" s="153" t="s">
        <v>1483</v>
      </c>
      <c r="M979">
        <v>178</v>
      </c>
      <c r="N979" s="123">
        <v>17</v>
      </c>
      <c r="O979">
        <v>686</v>
      </c>
      <c r="P979" s="132" t="s">
        <v>77</v>
      </c>
      <c r="Q979" s="132">
        <v>189.66</v>
      </c>
      <c r="R979" s="132">
        <v>30.34</v>
      </c>
      <c r="S979" s="132"/>
      <c r="T979" s="156"/>
      <c r="U979" s="132"/>
      <c r="V979" s="132">
        <v>220</v>
      </c>
      <c r="W979">
        <v>93</v>
      </c>
      <c r="X979" s="153" t="s">
        <v>3260</v>
      </c>
      <c r="Y979" s="124" t="s">
        <v>55</v>
      </c>
      <c r="Z979" s="308">
        <v>205</v>
      </c>
      <c r="AB979" t="str">
        <f>IF(Table1[[#This Row],[TIPO2]]="costo", VLOOKUP(Table1[[#This Row],[PARTIDA PRESUPUESTAL]],'Cost Report'!G:G,1,0),"Balance")</f>
        <v>4180-003</v>
      </c>
      <c r="AC979" s="118"/>
      <c r="AD979" s="159">
        <f>+Table1[[#This Row],[SUBTOTAL]]+Table1[[#This Row],[IVA]]-Table1[[#This Row],[RET IVA]]-Table1[[#This Row],[RET ISR]]-Table1[[#This Row],[TOTAL]]</f>
        <v>0</v>
      </c>
      <c r="AE979" s="152"/>
      <c r="AF979" s="153"/>
      <c r="AG979" s="126" t="s">
        <v>3420</v>
      </c>
      <c r="AH979" s="115"/>
      <c r="AK979" s="306" t="str">
        <f>IF(ISNUMBER(Table1[[#This Row],[FECHA DE RECIBIDO]]), Table1[[#This Row],[FECHA DE RECIBIDO]]-DATE(2023,8,30), "")</f>
        <v/>
      </c>
    </row>
    <row r="980" spans="1:37" ht="16.05" customHeight="1">
      <c r="A980" s="150" t="s">
        <v>3266</v>
      </c>
      <c r="B980" s="151">
        <v>426</v>
      </c>
      <c r="C980" s="126" t="s">
        <v>3002</v>
      </c>
      <c r="D980">
        <v>683</v>
      </c>
      <c r="E980" s="126" t="s">
        <v>2067</v>
      </c>
      <c r="F980" s="122" t="s">
        <v>1607</v>
      </c>
      <c r="G980" s="122" t="s">
        <v>134</v>
      </c>
      <c r="H980">
        <v>136</v>
      </c>
      <c r="I980" s="122" t="s">
        <v>1546</v>
      </c>
      <c r="J980" s="307" t="s">
        <v>214</v>
      </c>
      <c r="K980" s="127" t="s">
        <v>3286</v>
      </c>
      <c r="L980" s="151" t="s">
        <v>1483</v>
      </c>
      <c r="M980">
        <v>178</v>
      </c>
      <c r="N980" s="123">
        <v>17</v>
      </c>
      <c r="O980">
        <v>687</v>
      </c>
      <c r="P980" s="132" t="s">
        <v>77</v>
      </c>
      <c r="Q980" s="131">
        <v>2142.2399999999998</v>
      </c>
      <c r="R980" s="131">
        <v>342.76</v>
      </c>
      <c r="S980" s="131"/>
      <c r="T980" s="155"/>
      <c r="U980" s="131"/>
      <c r="V980" s="131">
        <v>2485</v>
      </c>
      <c r="W980">
        <v>93</v>
      </c>
      <c r="X980" s="151" t="s">
        <v>3260</v>
      </c>
      <c r="Y980" s="135" t="s">
        <v>55</v>
      </c>
      <c r="Z980" s="307">
        <v>205</v>
      </c>
      <c r="AB980" t="str">
        <f>IF(Table1[[#This Row],[TIPO2]]="costo", VLOOKUP(Table1[[#This Row],[PARTIDA PRESUPUESTAL]],'Cost Report'!G:G,1,0),"Balance")</f>
        <v>4180-003</v>
      </c>
      <c r="AC980" s="118"/>
      <c r="AD980" s="159">
        <f>+Table1[[#This Row],[SUBTOTAL]]+Table1[[#This Row],[IVA]]-Table1[[#This Row],[RET IVA]]-Table1[[#This Row],[RET ISR]]-Table1[[#This Row],[TOTAL]]</f>
        <v>0</v>
      </c>
      <c r="AE980" s="150"/>
      <c r="AF980" s="151"/>
      <c r="AG980" s="126" t="s">
        <v>3420</v>
      </c>
      <c r="AH980" s="115"/>
      <c r="AK980" s="306" t="str">
        <f>IF(ISNUMBER(Table1[[#This Row],[FECHA DE RECIBIDO]]), Table1[[#This Row],[FECHA DE RECIBIDO]]-DATE(2023,8,30), "")</f>
        <v/>
      </c>
    </row>
    <row r="981" spans="1:37" ht="16.05" customHeight="1">
      <c r="A981" s="152" t="s">
        <v>3266</v>
      </c>
      <c r="B981" s="153">
        <v>426</v>
      </c>
      <c r="C981" s="126" t="s">
        <v>3002</v>
      </c>
      <c r="D981">
        <v>684</v>
      </c>
      <c r="E981" s="126" t="s">
        <v>2067</v>
      </c>
      <c r="F981" s="125" t="s">
        <v>1607</v>
      </c>
      <c r="G981" s="125" t="s">
        <v>134</v>
      </c>
      <c r="H981">
        <v>136</v>
      </c>
      <c r="I981" s="125" t="s">
        <v>1546</v>
      </c>
      <c r="J981" s="308" t="s">
        <v>214</v>
      </c>
      <c r="K981" s="127" t="s">
        <v>3286</v>
      </c>
      <c r="L981" s="153" t="s">
        <v>1483</v>
      </c>
      <c r="M981">
        <v>178</v>
      </c>
      <c r="N981" s="123">
        <v>17</v>
      </c>
      <c r="O981">
        <v>688</v>
      </c>
      <c r="P981" s="132" t="s">
        <v>77</v>
      </c>
      <c r="Q981" s="132">
        <v>1209.48</v>
      </c>
      <c r="R981" s="132">
        <v>193.52</v>
      </c>
      <c r="S981" s="132"/>
      <c r="T981" s="156"/>
      <c r="U981" s="132"/>
      <c r="V981" s="132">
        <v>1403</v>
      </c>
      <c r="W981">
        <v>93</v>
      </c>
      <c r="X981" s="153" t="s">
        <v>3260</v>
      </c>
      <c r="Y981" s="124" t="s">
        <v>55</v>
      </c>
      <c r="Z981" s="308">
        <v>205</v>
      </c>
      <c r="AB981" t="str">
        <f>IF(Table1[[#This Row],[TIPO2]]="costo", VLOOKUP(Table1[[#This Row],[PARTIDA PRESUPUESTAL]],'Cost Report'!G:G,1,0),"Balance")</f>
        <v>4180-003</v>
      </c>
      <c r="AC981" s="118"/>
      <c r="AD981" s="159">
        <f>+Table1[[#This Row],[SUBTOTAL]]+Table1[[#This Row],[IVA]]-Table1[[#This Row],[RET IVA]]-Table1[[#This Row],[RET ISR]]-Table1[[#This Row],[TOTAL]]</f>
        <v>0</v>
      </c>
      <c r="AE981" s="152"/>
      <c r="AF981" s="153"/>
      <c r="AG981" s="126" t="s">
        <v>3420</v>
      </c>
      <c r="AH981" s="115"/>
      <c r="AK981" s="306" t="str">
        <f>IF(ISNUMBER(Table1[[#This Row],[FECHA DE RECIBIDO]]), Table1[[#This Row],[FECHA DE RECIBIDO]]-DATE(2023,8,30), "")</f>
        <v/>
      </c>
    </row>
    <row r="982" spans="1:37" ht="16.05" customHeight="1">
      <c r="A982" s="150" t="s">
        <v>3266</v>
      </c>
      <c r="B982" s="151">
        <v>426</v>
      </c>
      <c r="C982" s="126" t="s">
        <v>2774</v>
      </c>
      <c r="D982">
        <v>685</v>
      </c>
      <c r="E982" s="126" t="s">
        <v>3264</v>
      </c>
      <c r="F982" s="122" t="s">
        <v>1589</v>
      </c>
      <c r="G982" s="122" t="s">
        <v>129</v>
      </c>
      <c r="H982">
        <v>231</v>
      </c>
      <c r="I982" s="122" t="s">
        <v>1546</v>
      </c>
      <c r="J982" s="307" t="s">
        <v>214</v>
      </c>
      <c r="K982" s="127" t="s">
        <v>3286</v>
      </c>
      <c r="L982" s="151" t="s">
        <v>1483</v>
      </c>
      <c r="M982">
        <v>300</v>
      </c>
      <c r="N982" s="123">
        <v>17</v>
      </c>
      <c r="O982">
        <v>689</v>
      </c>
      <c r="P982" s="132" t="s">
        <v>77</v>
      </c>
      <c r="Q982" s="131">
        <v>6762.89</v>
      </c>
      <c r="R982" s="131">
        <v>1082.1099999999999</v>
      </c>
      <c r="S982" s="131"/>
      <c r="T982" s="155"/>
      <c r="U982" s="131"/>
      <c r="V982" s="131">
        <v>7845</v>
      </c>
      <c r="W982">
        <v>93</v>
      </c>
      <c r="X982" s="151" t="s">
        <v>3260</v>
      </c>
      <c r="Y982" s="135" t="s">
        <v>55</v>
      </c>
      <c r="Z982" s="307">
        <v>205</v>
      </c>
      <c r="AB982" t="str">
        <f>IF(Table1[[#This Row],[TIPO2]]="costo", VLOOKUP(Table1[[#This Row],[PARTIDA PRESUPUESTAL]],'Cost Report'!G:G,1,0),"Balance")</f>
        <v>3401-042</v>
      </c>
      <c r="AC982" s="118"/>
      <c r="AD982" s="159">
        <f>+Table1[[#This Row],[SUBTOTAL]]+Table1[[#This Row],[IVA]]-Table1[[#This Row],[RET IVA]]-Table1[[#This Row],[RET ISR]]-Table1[[#This Row],[TOTAL]]</f>
        <v>0</v>
      </c>
      <c r="AE982" s="150"/>
      <c r="AF982" s="151"/>
      <c r="AG982" s="126" t="s">
        <v>3420</v>
      </c>
      <c r="AH982" s="115"/>
      <c r="AK982" s="306" t="str">
        <f>IF(ISNUMBER(Table1[[#This Row],[FECHA DE RECIBIDO]]), Table1[[#This Row],[FECHA DE RECIBIDO]]-DATE(2023,8,30), "")</f>
        <v/>
      </c>
    </row>
    <row r="983" spans="1:37" ht="16.05" customHeight="1">
      <c r="A983" s="152" t="s">
        <v>3266</v>
      </c>
      <c r="B983" s="153">
        <v>426</v>
      </c>
      <c r="C983" s="126" t="s">
        <v>3002</v>
      </c>
      <c r="D983">
        <v>686</v>
      </c>
      <c r="E983" s="126" t="s">
        <v>2067</v>
      </c>
      <c r="F983" s="125" t="s">
        <v>1607</v>
      </c>
      <c r="G983" s="125" t="s">
        <v>134</v>
      </c>
      <c r="H983">
        <v>136</v>
      </c>
      <c r="I983" s="125" t="s">
        <v>1546</v>
      </c>
      <c r="J983" s="308" t="s">
        <v>214</v>
      </c>
      <c r="K983" s="127" t="s">
        <v>3286</v>
      </c>
      <c r="L983" s="153" t="s">
        <v>1483</v>
      </c>
      <c r="M983">
        <v>178</v>
      </c>
      <c r="N983" s="123">
        <v>17</v>
      </c>
      <c r="O983">
        <v>690</v>
      </c>
      <c r="P983" s="132" t="s">
        <v>77</v>
      </c>
      <c r="Q983" s="132">
        <v>7208.97</v>
      </c>
      <c r="R983" s="132">
        <v>1059.03</v>
      </c>
      <c r="S983" s="132"/>
      <c r="T983" s="156"/>
      <c r="U983" s="132"/>
      <c r="V983" s="132">
        <v>8268</v>
      </c>
      <c r="W983">
        <v>93</v>
      </c>
      <c r="X983" s="153" t="s">
        <v>3260</v>
      </c>
      <c r="Y983" s="124" t="s">
        <v>55</v>
      </c>
      <c r="Z983" s="308">
        <v>205</v>
      </c>
      <c r="AB983" t="str">
        <f>IF(Table1[[#This Row],[TIPO2]]="costo", VLOOKUP(Table1[[#This Row],[PARTIDA PRESUPUESTAL]],'Cost Report'!G:G,1,0),"Balance")</f>
        <v>4180-003</v>
      </c>
      <c r="AC983" s="118"/>
      <c r="AD983" s="159">
        <f>+Table1[[#This Row],[SUBTOTAL]]+Table1[[#This Row],[IVA]]-Table1[[#This Row],[RET IVA]]-Table1[[#This Row],[RET ISR]]-Table1[[#This Row],[TOTAL]]</f>
        <v>0</v>
      </c>
      <c r="AE983" s="152"/>
      <c r="AF983" s="153"/>
      <c r="AG983" s="126" t="s">
        <v>3420</v>
      </c>
      <c r="AH983" s="115"/>
      <c r="AK983" s="306" t="str">
        <f>IF(ISNUMBER(Table1[[#This Row],[FECHA DE RECIBIDO]]), Table1[[#This Row],[FECHA DE RECIBIDO]]-DATE(2023,8,30), "")</f>
        <v/>
      </c>
    </row>
    <row r="984" spans="1:37" ht="16.05" customHeight="1">
      <c r="A984" s="150" t="s">
        <v>3266</v>
      </c>
      <c r="B984" s="151">
        <v>426</v>
      </c>
      <c r="C984" s="126" t="s">
        <v>420</v>
      </c>
      <c r="D984">
        <v>687</v>
      </c>
      <c r="E984" s="126" t="s">
        <v>3267</v>
      </c>
      <c r="F984" s="122" t="s">
        <v>1607</v>
      </c>
      <c r="G984" s="122" t="s">
        <v>134</v>
      </c>
      <c r="H984">
        <v>229</v>
      </c>
      <c r="I984" s="122" t="s">
        <v>1546</v>
      </c>
      <c r="J984" s="307" t="s">
        <v>214</v>
      </c>
      <c r="K984" s="127" t="s">
        <v>3286</v>
      </c>
      <c r="L984" s="151" t="s">
        <v>1483</v>
      </c>
      <c r="M984">
        <v>298</v>
      </c>
      <c r="N984" s="123">
        <v>17</v>
      </c>
      <c r="O984">
        <v>691</v>
      </c>
      <c r="P984" s="132" t="s">
        <v>77</v>
      </c>
      <c r="Q984" s="131">
        <v>41236.639999999999</v>
      </c>
      <c r="R984" s="131">
        <v>6597.86</v>
      </c>
      <c r="S984" s="131"/>
      <c r="T984" s="155"/>
      <c r="U984" s="131"/>
      <c r="V984" s="131">
        <v>47834.5</v>
      </c>
      <c r="W984">
        <v>93</v>
      </c>
      <c r="X984" s="151" t="s">
        <v>3260</v>
      </c>
      <c r="Y984" s="135" t="s">
        <v>55</v>
      </c>
      <c r="Z984" s="307">
        <v>205</v>
      </c>
      <c r="AB984" t="str">
        <f>IF(Table1[[#This Row],[TIPO2]]="costo", VLOOKUP(Table1[[#This Row],[PARTIDA PRESUPUESTAL]],'Cost Report'!G:G,1,0),"Balance")</f>
        <v>1641-003</v>
      </c>
      <c r="AC984" s="118"/>
      <c r="AD984" s="159">
        <f>+Table1[[#This Row],[SUBTOTAL]]+Table1[[#This Row],[IVA]]-Table1[[#This Row],[RET IVA]]-Table1[[#This Row],[RET ISR]]-Table1[[#This Row],[TOTAL]]</f>
        <v>0</v>
      </c>
      <c r="AE984" s="150"/>
      <c r="AF984" s="151"/>
      <c r="AG984" s="126" t="s">
        <v>3420</v>
      </c>
      <c r="AH984" s="115"/>
      <c r="AK984" s="306" t="str">
        <f>IF(ISNUMBER(Table1[[#This Row],[FECHA DE RECIBIDO]]), Table1[[#This Row],[FECHA DE RECIBIDO]]-DATE(2023,8,30), "")</f>
        <v/>
      </c>
    </row>
    <row r="985" spans="1:37" ht="16.05" customHeight="1">
      <c r="A985" s="152" t="s">
        <v>3269</v>
      </c>
      <c r="B985" s="153">
        <v>427</v>
      </c>
      <c r="C985" s="126" t="s">
        <v>2596</v>
      </c>
      <c r="D985">
        <v>688</v>
      </c>
      <c r="E985" s="126" t="s">
        <v>3270</v>
      </c>
      <c r="F985" s="125" t="s">
        <v>1607</v>
      </c>
      <c r="G985" s="125" t="s">
        <v>134</v>
      </c>
      <c r="H985">
        <v>232</v>
      </c>
      <c r="I985" s="125" t="s">
        <v>1546</v>
      </c>
      <c r="J985" s="308" t="s">
        <v>214</v>
      </c>
      <c r="K985" s="127" t="s">
        <v>3286</v>
      </c>
      <c r="L985" s="153" t="s">
        <v>1483</v>
      </c>
      <c r="M985">
        <v>301</v>
      </c>
      <c r="N985" s="123">
        <v>17</v>
      </c>
      <c r="O985">
        <v>692</v>
      </c>
      <c r="P985" s="132" t="s">
        <v>77</v>
      </c>
      <c r="Q985" s="132">
        <v>3597.43</v>
      </c>
      <c r="R985" s="132">
        <v>575.57000000000005</v>
      </c>
      <c r="S985" s="132"/>
      <c r="T985" s="156"/>
      <c r="U985" s="132"/>
      <c r="V985" s="132">
        <v>4173</v>
      </c>
      <c r="W985">
        <v>147</v>
      </c>
      <c r="X985" s="153" t="s">
        <v>3260</v>
      </c>
      <c r="Y985" s="124" t="s">
        <v>55</v>
      </c>
      <c r="Z985" s="308">
        <v>196</v>
      </c>
      <c r="AB985" t="str">
        <f>IF(Table1[[#This Row],[TIPO2]]="costo", VLOOKUP(Table1[[#This Row],[PARTIDA PRESUPUESTAL]],'Cost Report'!G:G,1,0),"Balance")</f>
        <v>2794-003</v>
      </c>
      <c r="AC985" s="118"/>
      <c r="AD985" s="159">
        <f>+Table1[[#This Row],[SUBTOTAL]]+Table1[[#This Row],[IVA]]-Table1[[#This Row],[RET IVA]]-Table1[[#This Row],[RET ISR]]-Table1[[#This Row],[TOTAL]]</f>
        <v>0</v>
      </c>
      <c r="AE985" s="152"/>
      <c r="AF985" s="153"/>
      <c r="AG985" s="126" t="s">
        <v>3420</v>
      </c>
      <c r="AH985" s="115"/>
      <c r="AK985" s="306" t="str">
        <f>IF(ISNUMBER(Table1[[#This Row],[FECHA DE RECIBIDO]]), Table1[[#This Row],[FECHA DE RECIBIDO]]-DATE(2023,8,30), "")</f>
        <v/>
      </c>
    </row>
    <row r="986" spans="1:37" ht="16.05" customHeight="1">
      <c r="A986" s="150" t="s">
        <v>3269</v>
      </c>
      <c r="B986" s="151">
        <v>427</v>
      </c>
      <c r="C986" s="126" t="s">
        <v>2596</v>
      </c>
      <c r="D986">
        <v>689</v>
      </c>
      <c r="E986" s="126"/>
      <c r="F986" s="122"/>
      <c r="G986" s="122"/>
      <c r="H986"/>
      <c r="I986" s="122"/>
      <c r="J986" s="307" t="s">
        <v>214</v>
      </c>
      <c r="K986" s="127" t="s">
        <v>3286</v>
      </c>
      <c r="L986" s="151" t="s">
        <v>1483</v>
      </c>
      <c r="M986">
        <v>302</v>
      </c>
      <c r="N986" s="123">
        <v>17</v>
      </c>
      <c r="O986">
        <v>693</v>
      </c>
      <c r="P986" s="132" t="s">
        <v>77</v>
      </c>
      <c r="Q986" s="131">
        <v>160</v>
      </c>
      <c r="R986" s="131"/>
      <c r="S986" s="131"/>
      <c r="T986" s="155"/>
      <c r="U986" s="131"/>
      <c r="V986" s="131">
        <v>160</v>
      </c>
      <c r="W986">
        <v>147</v>
      </c>
      <c r="X986" s="151" t="s">
        <v>3260</v>
      </c>
      <c r="Y986" s="135" t="s">
        <v>55</v>
      </c>
      <c r="Z986" s="307">
        <v>196</v>
      </c>
      <c r="AB986" t="str">
        <f>IF(Table1[[#This Row],[TIPO2]]="costo", VLOOKUP(Table1[[#This Row],[PARTIDA PRESUPUESTAL]],'Cost Report'!G:G,1,0),"Balance")</f>
        <v>2794-003</v>
      </c>
      <c r="AC986" s="118"/>
      <c r="AD986" s="159">
        <f>+Table1[[#This Row],[SUBTOTAL]]+Table1[[#This Row],[IVA]]-Table1[[#This Row],[RET IVA]]-Table1[[#This Row],[RET ISR]]-Table1[[#This Row],[TOTAL]]</f>
        <v>0</v>
      </c>
      <c r="AE986" s="150"/>
      <c r="AF986" s="151"/>
      <c r="AG986" s="126" t="s">
        <v>3420</v>
      </c>
      <c r="AH986" s="115"/>
      <c r="AK986" s="306" t="str">
        <f>IF(ISNUMBER(Table1[[#This Row],[FECHA DE RECIBIDO]]), Table1[[#This Row],[FECHA DE RECIBIDO]]-DATE(2023,8,30), "")</f>
        <v/>
      </c>
    </row>
    <row r="987" spans="1:37" ht="16.05" customHeight="1">
      <c r="A987" s="152" t="s">
        <v>3269</v>
      </c>
      <c r="B987" s="153">
        <v>427</v>
      </c>
      <c r="C987" s="126" t="s">
        <v>2596</v>
      </c>
      <c r="D987">
        <v>689</v>
      </c>
      <c r="E987" s="126"/>
      <c r="F987" s="125"/>
      <c r="G987" s="125"/>
      <c r="H987"/>
      <c r="I987" s="125"/>
      <c r="J987" s="308" t="s">
        <v>214</v>
      </c>
      <c r="K987" s="127" t="s">
        <v>3286</v>
      </c>
      <c r="L987" s="153" t="s">
        <v>1483</v>
      </c>
      <c r="M987">
        <v>303</v>
      </c>
      <c r="N987" s="123">
        <v>17</v>
      </c>
      <c r="O987">
        <v>694</v>
      </c>
      <c r="P987" s="132" t="s">
        <v>77</v>
      </c>
      <c r="Q987" s="132">
        <v>80</v>
      </c>
      <c r="R987" s="132"/>
      <c r="S987" s="132"/>
      <c r="T987" s="156"/>
      <c r="U987" s="132"/>
      <c r="V987" s="132">
        <v>80</v>
      </c>
      <c r="W987">
        <v>147</v>
      </c>
      <c r="X987" s="153" t="s">
        <v>3260</v>
      </c>
      <c r="Y987" s="124" t="s">
        <v>55</v>
      </c>
      <c r="Z987" s="308">
        <v>196</v>
      </c>
      <c r="AB987" t="str">
        <f>IF(Table1[[#This Row],[TIPO2]]="costo", VLOOKUP(Table1[[#This Row],[PARTIDA PRESUPUESTAL]],'Cost Report'!G:G,1,0),"Balance")</f>
        <v>2794-003</v>
      </c>
      <c r="AC987" s="118"/>
      <c r="AD987" s="159">
        <f>+Table1[[#This Row],[SUBTOTAL]]+Table1[[#This Row],[IVA]]-Table1[[#This Row],[RET IVA]]-Table1[[#This Row],[RET ISR]]-Table1[[#This Row],[TOTAL]]</f>
        <v>0</v>
      </c>
      <c r="AE987" s="152"/>
      <c r="AF987" s="153"/>
      <c r="AG987" s="126" t="s">
        <v>3420</v>
      </c>
      <c r="AH987" s="115"/>
      <c r="AK987" s="306" t="str">
        <f>IF(ISNUMBER(Table1[[#This Row],[FECHA DE RECIBIDO]]), Table1[[#This Row],[FECHA DE RECIBIDO]]-DATE(2023,8,30), "")</f>
        <v/>
      </c>
    </row>
    <row r="988" spans="1:37" ht="16.05" customHeight="1">
      <c r="A988" s="150" t="s">
        <v>3271</v>
      </c>
      <c r="B988" s="151">
        <v>428</v>
      </c>
      <c r="C988" s="126" t="s">
        <v>1509</v>
      </c>
      <c r="D988">
        <v>690</v>
      </c>
      <c r="E988" s="126" t="s">
        <v>2107</v>
      </c>
      <c r="F988" s="122" t="s">
        <v>1602</v>
      </c>
      <c r="G988" s="122" t="s">
        <v>1617</v>
      </c>
      <c r="H988">
        <v>233</v>
      </c>
      <c r="I988" s="122" t="s">
        <v>1546</v>
      </c>
      <c r="J988" s="307" t="s">
        <v>214</v>
      </c>
      <c r="K988" s="127" t="s">
        <v>3286</v>
      </c>
      <c r="L988" s="151" t="s">
        <v>1483</v>
      </c>
      <c r="M988">
        <v>304</v>
      </c>
      <c r="N988" s="123">
        <v>17</v>
      </c>
      <c r="O988">
        <v>695</v>
      </c>
      <c r="P988" s="132" t="s">
        <v>77</v>
      </c>
      <c r="Q988" s="131">
        <v>420</v>
      </c>
      <c r="R988" s="131">
        <v>67.2</v>
      </c>
      <c r="S988" s="131"/>
      <c r="T988" s="155"/>
      <c r="U988" s="131"/>
      <c r="V988" s="131">
        <v>487.2</v>
      </c>
      <c r="W988">
        <v>101</v>
      </c>
      <c r="X988" s="151" t="s">
        <v>3260</v>
      </c>
      <c r="Y988" s="135" t="s">
        <v>55</v>
      </c>
      <c r="Z988" s="307">
        <v>196</v>
      </c>
      <c r="AB988" t="str">
        <f>IF(Table1[[#This Row],[TIPO2]]="costo", VLOOKUP(Table1[[#This Row],[PARTIDA PRESUPUESTAL]],'Cost Report'!G:G,1,0),"Balance")</f>
        <v>2494-011</v>
      </c>
      <c r="AC988" s="118"/>
      <c r="AD988" s="159">
        <f>+Table1[[#This Row],[SUBTOTAL]]+Table1[[#This Row],[IVA]]-Table1[[#This Row],[RET IVA]]-Table1[[#This Row],[RET ISR]]-Table1[[#This Row],[TOTAL]]</f>
        <v>0</v>
      </c>
      <c r="AE988" s="150"/>
      <c r="AF988" s="151"/>
      <c r="AG988" s="126" t="s">
        <v>3420</v>
      </c>
      <c r="AH988" s="115"/>
      <c r="AK988" s="306" t="str">
        <f>IF(ISNUMBER(Table1[[#This Row],[FECHA DE RECIBIDO]]), Table1[[#This Row],[FECHA DE RECIBIDO]]-DATE(2023,8,30), "")</f>
        <v/>
      </c>
    </row>
    <row r="989" spans="1:37" ht="16.05" customHeight="1">
      <c r="A989" s="152" t="s">
        <v>3271</v>
      </c>
      <c r="B989" s="153">
        <v>428</v>
      </c>
      <c r="C989" s="126" t="s">
        <v>1505</v>
      </c>
      <c r="D989">
        <v>691</v>
      </c>
      <c r="E989" s="126" t="s">
        <v>1999</v>
      </c>
      <c r="F989" s="125" t="s">
        <v>1607</v>
      </c>
      <c r="G989" s="125" t="s">
        <v>134</v>
      </c>
      <c r="H989">
        <v>97</v>
      </c>
      <c r="I989" s="125" t="s">
        <v>1546</v>
      </c>
      <c r="J989" s="308" t="s">
        <v>214</v>
      </c>
      <c r="K989" s="127" t="s">
        <v>3286</v>
      </c>
      <c r="L989" s="153" t="s">
        <v>1483</v>
      </c>
      <c r="M989">
        <v>305</v>
      </c>
      <c r="N989" s="123">
        <v>17</v>
      </c>
      <c r="O989">
        <v>696</v>
      </c>
      <c r="P989" s="132" t="s">
        <v>77</v>
      </c>
      <c r="Q989" s="132">
        <v>1905.17</v>
      </c>
      <c r="R989" s="132">
        <v>304.83</v>
      </c>
      <c r="S989" s="132"/>
      <c r="T989" s="156"/>
      <c r="U989" s="132"/>
      <c r="V989" s="132">
        <v>2210</v>
      </c>
      <c r="W989">
        <v>101</v>
      </c>
      <c r="X989" s="153" t="s">
        <v>3260</v>
      </c>
      <c r="Y989" s="124" t="s">
        <v>55</v>
      </c>
      <c r="Z989" s="308">
        <v>200</v>
      </c>
      <c r="AB989" t="str">
        <f>IF(Table1[[#This Row],[TIPO2]]="costo", VLOOKUP(Table1[[#This Row],[PARTIDA PRESUPUESTAL]],'Cost Report'!G:G,1,0),"Balance")</f>
        <v>2494-003</v>
      </c>
      <c r="AC989" s="118"/>
      <c r="AD989" s="159">
        <f>+Table1[[#This Row],[SUBTOTAL]]+Table1[[#This Row],[IVA]]-Table1[[#This Row],[RET IVA]]-Table1[[#This Row],[RET ISR]]-Table1[[#This Row],[TOTAL]]</f>
        <v>0</v>
      </c>
      <c r="AE989" s="152"/>
      <c r="AF989" s="153"/>
      <c r="AG989" s="126" t="s">
        <v>3420</v>
      </c>
      <c r="AH989" s="115"/>
      <c r="AK989" s="306" t="str">
        <f>IF(ISNUMBER(Table1[[#This Row],[FECHA DE RECIBIDO]]), Table1[[#This Row],[FECHA DE RECIBIDO]]-DATE(2023,8,30), "")</f>
        <v/>
      </c>
    </row>
    <row r="990" spans="1:37" ht="16.05" customHeight="1">
      <c r="A990" s="150" t="s">
        <v>3271</v>
      </c>
      <c r="B990" s="151">
        <v>428</v>
      </c>
      <c r="C990" s="126" t="s">
        <v>2455</v>
      </c>
      <c r="D990">
        <v>692</v>
      </c>
      <c r="E990" s="126" t="s">
        <v>3115</v>
      </c>
      <c r="F990" s="122" t="s">
        <v>1382</v>
      </c>
      <c r="G990" s="122" t="s">
        <v>134</v>
      </c>
      <c r="H990">
        <v>31</v>
      </c>
      <c r="I990" s="122" t="s">
        <v>1546</v>
      </c>
      <c r="J990" s="307" t="s">
        <v>214</v>
      </c>
      <c r="K990" s="127" t="s">
        <v>3286</v>
      </c>
      <c r="L990" s="151" t="s">
        <v>1483</v>
      </c>
      <c r="M990">
        <v>69</v>
      </c>
      <c r="N990" s="123">
        <v>17</v>
      </c>
      <c r="O990">
        <v>697</v>
      </c>
      <c r="P990" s="132" t="s">
        <v>77</v>
      </c>
      <c r="Q990" s="131">
        <v>121.84</v>
      </c>
      <c r="R990" s="131">
        <v>11.66</v>
      </c>
      <c r="S990" s="131"/>
      <c r="T990" s="155"/>
      <c r="U990" s="131"/>
      <c r="V990" s="131">
        <v>133.5</v>
      </c>
      <c r="W990">
        <v>101</v>
      </c>
      <c r="X990" s="151" t="s">
        <v>3260</v>
      </c>
      <c r="Y990" s="135" t="s">
        <v>55</v>
      </c>
      <c r="Z990" s="307">
        <v>201</v>
      </c>
      <c r="AB990" t="str">
        <f>IF(Table1[[#This Row],[TIPO2]]="costo", VLOOKUP(Table1[[#This Row],[PARTIDA PRESUPUESTAL]],'Cost Report'!G:G,1,0),"Balance")</f>
        <v>2285-003</v>
      </c>
      <c r="AC990" s="118"/>
      <c r="AD990" s="159">
        <f>+Table1[[#This Row],[SUBTOTAL]]+Table1[[#This Row],[IVA]]-Table1[[#This Row],[RET IVA]]-Table1[[#This Row],[RET ISR]]-Table1[[#This Row],[TOTAL]]</f>
        <v>0</v>
      </c>
      <c r="AE990" s="150"/>
      <c r="AF990" s="151"/>
      <c r="AG990" s="126" t="s">
        <v>3420</v>
      </c>
      <c r="AH990" s="115"/>
      <c r="AK990" s="306" t="str">
        <f>IF(ISNUMBER(Table1[[#This Row],[FECHA DE RECIBIDO]]), Table1[[#This Row],[FECHA DE RECIBIDO]]-DATE(2023,8,30), "")</f>
        <v/>
      </c>
    </row>
    <row r="991" spans="1:37" ht="16.05" customHeight="1">
      <c r="A991" s="152" t="s">
        <v>3271</v>
      </c>
      <c r="B991" s="153">
        <v>428</v>
      </c>
      <c r="C991" s="126" t="s">
        <v>1732</v>
      </c>
      <c r="D991">
        <v>693</v>
      </c>
      <c r="E991" s="126" t="s">
        <v>1598</v>
      </c>
      <c r="F991" s="125" t="s">
        <v>1607</v>
      </c>
      <c r="G991" s="125" t="s">
        <v>134</v>
      </c>
      <c r="H991">
        <v>234</v>
      </c>
      <c r="I991" s="125" t="s">
        <v>1546</v>
      </c>
      <c r="J991" s="308" t="s">
        <v>214</v>
      </c>
      <c r="K991" s="127" t="s">
        <v>3286</v>
      </c>
      <c r="L991" s="153" t="s">
        <v>1483</v>
      </c>
      <c r="M991">
        <v>306</v>
      </c>
      <c r="N991" s="123">
        <v>17</v>
      </c>
      <c r="O991">
        <v>698</v>
      </c>
      <c r="P991" s="132" t="s">
        <v>77</v>
      </c>
      <c r="Q991" s="132">
        <v>300.86</v>
      </c>
      <c r="R991" s="132">
        <v>48.14</v>
      </c>
      <c r="S991" s="132"/>
      <c r="T991" s="156"/>
      <c r="U991" s="132"/>
      <c r="V991" s="132">
        <v>349</v>
      </c>
      <c r="W991">
        <v>101</v>
      </c>
      <c r="X991" s="153" t="s">
        <v>3260</v>
      </c>
      <c r="Y991" s="124" t="s">
        <v>55</v>
      </c>
      <c r="Z991" s="308">
        <v>201</v>
      </c>
      <c r="AB991" t="str">
        <f>IF(Table1[[#This Row],[TIPO2]]="costo", VLOOKUP(Table1[[#This Row],[PARTIDA PRESUPUESTAL]],'Cost Report'!G:G,1,0),"Balance")</f>
        <v>2494-035</v>
      </c>
      <c r="AC991" s="118"/>
      <c r="AD991" s="159">
        <f>+Table1[[#This Row],[SUBTOTAL]]+Table1[[#This Row],[IVA]]-Table1[[#This Row],[RET IVA]]-Table1[[#This Row],[RET ISR]]-Table1[[#This Row],[TOTAL]]</f>
        <v>0</v>
      </c>
      <c r="AE991" s="152"/>
      <c r="AF991" s="153"/>
      <c r="AG991" s="126" t="s">
        <v>3420</v>
      </c>
      <c r="AH991" s="115"/>
      <c r="AK991" s="306" t="str">
        <f>IF(ISNUMBER(Table1[[#This Row],[FECHA DE RECIBIDO]]), Table1[[#This Row],[FECHA DE RECIBIDO]]-DATE(2023,8,30), "")</f>
        <v/>
      </c>
    </row>
    <row r="992" spans="1:37" ht="16.05" customHeight="1">
      <c r="A992" s="150" t="s">
        <v>3271</v>
      </c>
      <c r="B992" s="151">
        <v>428</v>
      </c>
      <c r="C992" s="126" t="s">
        <v>2461</v>
      </c>
      <c r="D992">
        <v>694</v>
      </c>
      <c r="E992" s="126" t="s">
        <v>3272</v>
      </c>
      <c r="F992" s="122" t="s">
        <v>1607</v>
      </c>
      <c r="G992" s="122" t="s">
        <v>134</v>
      </c>
      <c r="H992">
        <v>99</v>
      </c>
      <c r="I992" s="122" t="s">
        <v>1546</v>
      </c>
      <c r="J992" s="307" t="s">
        <v>214</v>
      </c>
      <c r="K992" s="127" t="s">
        <v>3286</v>
      </c>
      <c r="L992" s="151" t="s">
        <v>1483</v>
      </c>
      <c r="M992">
        <v>134</v>
      </c>
      <c r="N992" s="123">
        <v>17</v>
      </c>
      <c r="O992">
        <v>699</v>
      </c>
      <c r="P992" s="132" t="s">
        <v>77</v>
      </c>
      <c r="Q992" s="131">
        <v>2381.89</v>
      </c>
      <c r="R992" s="131">
        <v>381.1</v>
      </c>
      <c r="S992" s="131"/>
      <c r="T992" s="155"/>
      <c r="U992" s="131"/>
      <c r="V992" s="131">
        <v>2762.99</v>
      </c>
      <c r="W992">
        <v>101</v>
      </c>
      <c r="X992" s="151" t="s">
        <v>3260</v>
      </c>
      <c r="Y992" s="135" t="s">
        <v>55</v>
      </c>
      <c r="Z992" s="307">
        <v>203</v>
      </c>
      <c r="AB992" t="str">
        <f>IF(Table1[[#This Row],[TIPO2]]="costo", VLOOKUP(Table1[[#This Row],[PARTIDA PRESUPUESTAL]],'Cost Report'!G:G,1,0),"Balance")</f>
        <v>2385-003</v>
      </c>
      <c r="AC992" s="118"/>
      <c r="AD992" s="159">
        <f>+Table1[[#This Row],[SUBTOTAL]]+Table1[[#This Row],[IVA]]-Table1[[#This Row],[RET IVA]]-Table1[[#This Row],[RET ISR]]-Table1[[#This Row],[TOTAL]]</f>
        <v>0</v>
      </c>
      <c r="AE992" s="150"/>
      <c r="AF992" s="151"/>
      <c r="AG992" s="126" t="s">
        <v>3420</v>
      </c>
      <c r="AH992" s="115"/>
      <c r="AK992" s="306" t="str">
        <f>IF(ISNUMBER(Table1[[#This Row],[FECHA DE RECIBIDO]]), Table1[[#This Row],[FECHA DE RECIBIDO]]-DATE(2023,8,30), "")</f>
        <v/>
      </c>
    </row>
    <row r="993" spans="1:37" ht="16.05" customHeight="1">
      <c r="A993" s="152" t="s">
        <v>3271</v>
      </c>
      <c r="B993" s="153">
        <v>428</v>
      </c>
      <c r="C993" s="126" t="s">
        <v>1732</v>
      </c>
      <c r="D993">
        <v>695</v>
      </c>
      <c r="E993" s="126" t="s">
        <v>1597</v>
      </c>
      <c r="F993" s="125" t="s">
        <v>1589</v>
      </c>
      <c r="G993" s="125" t="s">
        <v>129</v>
      </c>
      <c r="H993">
        <v>169</v>
      </c>
      <c r="I993" s="125" t="s">
        <v>1546</v>
      </c>
      <c r="J993" s="308" t="s">
        <v>214</v>
      </c>
      <c r="K993" s="127" t="s">
        <v>3286</v>
      </c>
      <c r="L993" s="153" t="s">
        <v>1483</v>
      </c>
      <c r="M993">
        <v>226</v>
      </c>
      <c r="N993" s="123">
        <v>17</v>
      </c>
      <c r="O993">
        <v>700</v>
      </c>
      <c r="P993" s="132" t="s">
        <v>77</v>
      </c>
      <c r="Q993" s="132">
        <v>1500</v>
      </c>
      <c r="R993" s="132">
        <v>240</v>
      </c>
      <c r="S993" s="132"/>
      <c r="T993" s="156"/>
      <c r="U993" s="132"/>
      <c r="V993" s="132">
        <v>1740</v>
      </c>
      <c r="W993">
        <v>101</v>
      </c>
      <c r="X993" s="153" t="s">
        <v>3260</v>
      </c>
      <c r="Y993" s="124" t="s">
        <v>55</v>
      </c>
      <c r="Z993" s="308">
        <v>204</v>
      </c>
      <c r="AB993" t="str">
        <f>IF(Table1[[#This Row],[TIPO2]]="costo", VLOOKUP(Table1[[#This Row],[PARTIDA PRESUPUESTAL]],'Cost Report'!G:G,1,0),"Balance")</f>
        <v>2494-035</v>
      </c>
      <c r="AC993" s="118"/>
      <c r="AD993" s="159">
        <f>+Table1[[#This Row],[SUBTOTAL]]+Table1[[#This Row],[IVA]]-Table1[[#This Row],[RET IVA]]-Table1[[#This Row],[RET ISR]]-Table1[[#This Row],[TOTAL]]</f>
        <v>0</v>
      </c>
      <c r="AE993" s="152"/>
      <c r="AF993" s="153"/>
      <c r="AG993" s="126" t="s">
        <v>3420</v>
      </c>
      <c r="AH993" s="115"/>
      <c r="AK993" s="306" t="str">
        <f>IF(ISNUMBER(Table1[[#This Row],[FECHA DE RECIBIDO]]), Table1[[#This Row],[FECHA DE RECIBIDO]]-DATE(2023,8,30), "")</f>
        <v/>
      </c>
    </row>
    <row r="994" spans="1:37" ht="16.05" customHeight="1">
      <c r="A994" s="150" t="s">
        <v>3271</v>
      </c>
      <c r="B994" s="151">
        <v>428</v>
      </c>
      <c r="C994" s="126" t="s">
        <v>1732</v>
      </c>
      <c r="D994">
        <v>696</v>
      </c>
      <c r="E994" s="126" t="s">
        <v>3273</v>
      </c>
      <c r="F994" s="122" t="s">
        <v>1602</v>
      </c>
      <c r="G994" s="122" t="s">
        <v>1617</v>
      </c>
      <c r="H994">
        <v>235</v>
      </c>
      <c r="I994" s="122" t="s">
        <v>1546</v>
      </c>
      <c r="J994" s="307" t="s">
        <v>214</v>
      </c>
      <c r="K994" s="127" t="s">
        <v>3286</v>
      </c>
      <c r="L994" s="151" t="s">
        <v>1483</v>
      </c>
      <c r="M994">
        <v>307</v>
      </c>
      <c r="N994" s="123">
        <v>17</v>
      </c>
      <c r="O994">
        <v>701</v>
      </c>
      <c r="P994" s="132" t="s">
        <v>77</v>
      </c>
      <c r="Q994" s="131">
        <v>540</v>
      </c>
      <c r="R994" s="131"/>
      <c r="S994" s="131"/>
      <c r="T994" s="155"/>
      <c r="U994" s="131"/>
      <c r="V994" s="131">
        <v>540</v>
      </c>
      <c r="W994">
        <v>101</v>
      </c>
      <c r="X994" s="151" t="s">
        <v>3260</v>
      </c>
      <c r="Y994" s="135" t="s">
        <v>55</v>
      </c>
      <c r="Z994" s="307">
        <v>203</v>
      </c>
      <c r="AB994" t="str">
        <f>IF(Table1[[#This Row],[TIPO2]]="costo", VLOOKUP(Table1[[#This Row],[PARTIDA PRESUPUESTAL]],'Cost Report'!G:G,1,0),"Balance")</f>
        <v>2494-035</v>
      </c>
      <c r="AC994" s="118"/>
      <c r="AD994" s="159">
        <f>+Table1[[#This Row],[SUBTOTAL]]+Table1[[#This Row],[IVA]]-Table1[[#This Row],[RET IVA]]-Table1[[#This Row],[RET ISR]]-Table1[[#This Row],[TOTAL]]</f>
        <v>0</v>
      </c>
      <c r="AE994" s="150"/>
      <c r="AF994" s="151"/>
      <c r="AG994" s="126" t="s">
        <v>3420</v>
      </c>
      <c r="AH994" s="115"/>
      <c r="AK994" s="306" t="str">
        <f>IF(ISNUMBER(Table1[[#This Row],[FECHA DE RECIBIDO]]), Table1[[#This Row],[FECHA DE RECIBIDO]]-DATE(2023,8,30), "")</f>
        <v/>
      </c>
    </row>
    <row r="995" spans="1:37" ht="16.05" customHeight="1">
      <c r="A995" s="152" t="s">
        <v>3271</v>
      </c>
      <c r="B995" s="153">
        <v>428</v>
      </c>
      <c r="C995" s="126" t="s">
        <v>1732</v>
      </c>
      <c r="D995">
        <v>697</v>
      </c>
      <c r="E995" s="126" t="s">
        <v>1596</v>
      </c>
      <c r="F995" s="125" t="s">
        <v>1607</v>
      </c>
      <c r="G995" s="125" t="s">
        <v>134</v>
      </c>
      <c r="H995">
        <v>236</v>
      </c>
      <c r="I995" s="125" t="s">
        <v>1546</v>
      </c>
      <c r="J995" s="308" t="s">
        <v>214</v>
      </c>
      <c r="K995" s="127" t="s">
        <v>3286</v>
      </c>
      <c r="L995" s="153" t="s">
        <v>1483</v>
      </c>
      <c r="M995">
        <v>308</v>
      </c>
      <c r="N995" s="123">
        <v>17</v>
      </c>
      <c r="O995">
        <v>702</v>
      </c>
      <c r="P995" s="132" t="s">
        <v>77</v>
      </c>
      <c r="Q995" s="132">
        <v>810.34</v>
      </c>
      <c r="R995" s="132">
        <v>129.65</v>
      </c>
      <c r="S995" s="132"/>
      <c r="T995" s="156"/>
      <c r="U995" s="132"/>
      <c r="V995" s="132">
        <v>939.99</v>
      </c>
      <c r="W995">
        <v>101</v>
      </c>
      <c r="X995" s="153" t="s">
        <v>3260</v>
      </c>
      <c r="Y995" s="124" t="s">
        <v>55</v>
      </c>
      <c r="Z995" s="308">
        <v>204</v>
      </c>
      <c r="AB995" t="str">
        <f>IF(Table1[[#This Row],[TIPO2]]="costo", VLOOKUP(Table1[[#This Row],[PARTIDA PRESUPUESTAL]],'Cost Report'!G:G,1,0),"Balance")</f>
        <v>2494-035</v>
      </c>
      <c r="AC995" s="118"/>
      <c r="AD995" s="159">
        <f>+Table1[[#This Row],[SUBTOTAL]]+Table1[[#This Row],[IVA]]-Table1[[#This Row],[RET IVA]]-Table1[[#This Row],[RET ISR]]-Table1[[#This Row],[TOTAL]]</f>
        <v>0</v>
      </c>
      <c r="AE995" s="152"/>
      <c r="AF995" s="153"/>
      <c r="AG995" s="126" t="s">
        <v>3420</v>
      </c>
      <c r="AH995" s="115"/>
      <c r="AK995" s="306" t="str">
        <f>IF(ISNUMBER(Table1[[#This Row],[FECHA DE RECIBIDO]]), Table1[[#This Row],[FECHA DE RECIBIDO]]-DATE(2023,8,30), "")</f>
        <v/>
      </c>
    </row>
    <row r="996" spans="1:37" ht="16.05" customHeight="1">
      <c r="A996" s="150" t="s">
        <v>3271</v>
      </c>
      <c r="B996" s="151">
        <v>428</v>
      </c>
      <c r="C996" s="126" t="s">
        <v>1732</v>
      </c>
      <c r="D996">
        <v>698</v>
      </c>
      <c r="E996" s="126" t="s">
        <v>1614</v>
      </c>
      <c r="F996" s="122" t="s">
        <v>1607</v>
      </c>
      <c r="G996" s="122" t="s">
        <v>134</v>
      </c>
      <c r="H996">
        <v>172</v>
      </c>
      <c r="I996" s="122" t="s">
        <v>1546</v>
      </c>
      <c r="J996" s="307" t="s">
        <v>214</v>
      </c>
      <c r="K996" s="127" t="s">
        <v>3286</v>
      </c>
      <c r="L996" s="151" t="s">
        <v>1483</v>
      </c>
      <c r="M996">
        <v>229</v>
      </c>
      <c r="N996" s="123">
        <v>17</v>
      </c>
      <c r="O996">
        <v>703</v>
      </c>
      <c r="P996" s="132" t="s">
        <v>77</v>
      </c>
      <c r="Q996" s="131">
        <v>1115.52</v>
      </c>
      <c r="R996" s="131">
        <v>178.48</v>
      </c>
      <c r="S996" s="131"/>
      <c r="T996" s="155"/>
      <c r="U996" s="131"/>
      <c r="V996" s="131">
        <v>1294</v>
      </c>
      <c r="W996">
        <v>101</v>
      </c>
      <c r="X996" s="151" t="s">
        <v>3260</v>
      </c>
      <c r="Y996" s="135" t="s">
        <v>55</v>
      </c>
      <c r="Z996" s="307">
        <v>204</v>
      </c>
      <c r="AB996" t="str">
        <f>IF(Table1[[#This Row],[TIPO2]]="costo", VLOOKUP(Table1[[#This Row],[PARTIDA PRESUPUESTAL]],'Cost Report'!G:G,1,0),"Balance")</f>
        <v>2494-035</v>
      </c>
      <c r="AC996" s="118"/>
      <c r="AD996" s="159">
        <f>+Table1[[#This Row],[SUBTOTAL]]+Table1[[#This Row],[IVA]]-Table1[[#This Row],[RET IVA]]-Table1[[#This Row],[RET ISR]]-Table1[[#This Row],[TOTAL]]</f>
        <v>0</v>
      </c>
      <c r="AE996" s="150"/>
      <c r="AF996" s="151"/>
      <c r="AG996" s="126" t="s">
        <v>3420</v>
      </c>
      <c r="AH996" s="115"/>
      <c r="AK996" s="306" t="str">
        <f>IF(ISNUMBER(Table1[[#This Row],[FECHA DE RECIBIDO]]), Table1[[#This Row],[FECHA DE RECIBIDO]]-DATE(2023,8,30), "")</f>
        <v/>
      </c>
    </row>
    <row r="997" spans="1:37" ht="16.05" customHeight="1">
      <c r="A997" s="152" t="s">
        <v>3271</v>
      </c>
      <c r="B997" s="153">
        <v>428</v>
      </c>
      <c r="C997" s="126" t="s">
        <v>2458</v>
      </c>
      <c r="D997">
        <v>699</v>
      </c>
      <c r="E997" s="126" t="s">
        <v>1603</v>
      </c>
      <c r="F997" s="125" t="s">
        <v>1607</v>
      </c>
      <c r="G997" s="125" t="s">
        <v>134</v>
      </c>
      <c r="H997">
        <v>99</v>
      </c>
      <c r="I997" s="125" t="s">
        <v>1546</v>
      </c>
      <c r="J997" s="308" t="s">
        <v>214</v>
      </c>
      <c r="K997" s="127" t="s">
        <v>3286</v>
      </c>
      <c r="L997" s="153" t="s">
        <v>1483</v>
      </c>
      <c r="M997">
        <v>134</v>
      </c>
      <c r="N997" s="123">
        <v>17</v>
      </c>
      <c r="O997">
        <v>704</v>
      </c>
      <c r="P997" s="132" t="s">
        <v>77</v>
      </c>
      <c r="Q997" s="132">
        <v>435.35</v>
      </c>
      <c r="R997" s="132">
        <v>69.66</v>
      </c>
      <c r="S997" s="132"/>
      <c r="T997" s="156"/>
      <c r="U997" s="132"/>
      <c r="V997" s="132">
        <v>505.01</v>
      </c>
      <c r="W997">
        <v>101</v>
      </c>
      <c r="X997" s="153" t="s">
        <v>3260</v>
      </c>
      <c r="Y997" s="124" t="s">
        <v>55</v>
      </c>
      <c r="Z997" s="308">
        <v>204</v>
      </c>
      <c r="AB997" t="str">
        <f>IF(Table1[[#This Row],[TIPO2]]="costo", VLOOKUP(Table1[[#This Row],[PARTIDA PRESUPUESTAL]],'Cost Report'!G:G,1,0),"Balance")</f>
        <v>2311-003</v>
      </c>
      <c r="AC997" s="118"/>
      <c r="AD997" s="159">
        <f>+Table1[[#This Row],[SUBTOTAL]]+Table1[[#This Row],[IVA]]-Table1[[#This Row],[RET IVA]]-Table1[[#This Row],[RET ISR]]-Table1[[#This Row],[TOTAL]]</f>
        <v>0</v>
      </c>
      <c r="AE997" s="152"/>
      <c r="AF997" s="153"/>
      <c r="AG997" s="126" t="s">
        <v>3420</v>
      </c>
      <c r="AH997" s="115"/>
      <c r="AK997" s="306" t="str">
        <f>IF(ISNUMBER(Table1[[#This Row],[FECHA DE RECIBIDO]]), Table1[[#This Row],[FECHA DE RECIBIDO]]-DATE(2023,8,30), "")</f>
        <v/>
      </c>
    </row>
    <row r="998" spans="1:37" ht="16.05" customHeight="1">
      <c r="A998" s="150" t="s">
        <v>3274</v>
      </c>
      <c r="B998" s="151">
        <v>429</v>
      </c>
      <c r="C998" s="126" t="s">
        <v>1511</v>
      </c>
      <c r="D998">
        <v>700</v>
      </c>
      <c r="E998" s="126" t="s">
        <v>3275</v>
      </c>
      <c r="F998" s="122" t="s">
        <v>1607</v>
      </c>
      <c r="G998" s="122" t="s">
        <v>134</v>
      </c>
      <c r="H998">
        <v>234</v>
      </c>
      <c r="I998" s="122" t="s">
        <v>1546</v>
      </c>
      <c r="J998" s="307" t="s">
        <v>214</v>
      </c>
      <c r="K998" s="127" t="s">
        <v>3286</v>
      </c>
      <c r="L998" s="151" t="s">
        <v>1483</v>
      </c>
      <c r="M998">
        <v>306</v>
      </c>
      <c r="N998" s="123">
        <v>17</v>
      </c>
      <c r="O998">
        <v>705</v>
      </c>
      <c r="P998" s="132" t="s">
        <v>77</v>
      </c>
      <c r="Q998" s="131">
        <v>300.86</v>
      </c>
      <c r="R998" s="131">
        <v>48.14</v>
      </c>
      <c r="S998" s="131"/>
      <c r="T998" s="155"/>
      <c r="U998" s="131"/>
      <c r="V998" s="131">
        <v>349</v>
      </c>
      <c r="W998">
        <v>145</v>
      </c>
      <c r="X998" s="151" t="s">
        <v>3260</v>
      </c>
      <c r="Y998" s="135" t="s">
        <v>55</v>
      </c>
      <c r="Z998" s="307">
        <v>195</v>
      </c>
      <c r="AB998" t="str">
        <f>IF(Table1[[#This Row],[TIPO2]]="costo", VLOOKUP(Table1[[#This Row],[PARTIDA PRESUPUESTAL]],'Cost Report'!G:G,1,0),"Balance")</f>
        <v>2494-015</v>
      </c>
      <c r="AC998" s="118"/>
      <c r="AD998" s="159">
        <f>+Table1[[#This Row],[SUBTOTAL]]+Table1[[#This Row],[IVA]]-Table1[[#This Row],[RET IVA]]-Table1[[#This Row],[RET ISR]]-Table1[[#This Row],[TOTAL]]</f>
        <v>0</v>
      </c>
      <c r="AE998" s="150"/>
      <c r="AF998" s="151"/>
      <c r="AG998" s="126" t="s">
        <v>3420</v>
      </c>
      <c r="AH998" s="115"/>
      <c r="AK998" s="306" t="str">
        <f>IF(ISNUMBER(Table1[[#This Row],[FECHA DE RECIBIDO]]), Table1[[#This Row],[FECHA DE RECIBIDO]]-DATE(2023,8,30), "")</f>
        <v/>
      </c>
    </row>
    <row r="999" spans="1:37" ht="16.05" customHeight="1">
      <c r="A999" s="152" t="s">
        <v>3274</v>
      </c>
      <c r="B999" s="153">
        <v>429</v>
      </c>
      <c r="C999" s="126" t="s">
        <v>1505</v>
      </c>
      <c r="D999">
        <v>701</v>
      </c>
      <c r="E999" s="126" t="s">
        <v>3275</v>
      </c>
      <c r="F999" s="125" t="s">
        <v>1607</v>
      </c>
      <c r="G999" s="125" t="s">
        <v>134</v>
      </c>
      <c r="H999">
        <v>234</v>
      </c>
      <c r="I999" s="125" t="s">
        <v>1546</v>
      </c>
      <c r="J999" s="308" t="s">
        <v>214</v>
      </c>
      <c r="K999" s="127" t="s">
        <v>3286</v>
      </c>
      <c r="L999" s="153" t="s">
        <v>1483</v>
      </c>
      <c r="M999">
        <v>306</v>
      </c>
      <c r="N999" s="123">
        <v>17</v>
      </c>
      <c r="O999">
        <v>706</v>
      </c>
      <c r="P999" s="132" t="s">
        <v>77</v>
      </c>
      <c r="Q999" s="132">
        <v>662.07</v>
      </c>
      <c r="R999" s="132">
        <v>105.93</v>
      </c>
      <c r="S999" s="132"/>
      <c r="T999" s="156"/>
      <c r="U999" s="132"/>
      <c r="V999" s="132">
        <v>768</v>
      </c>
      <c r="W999">
        <v>145</v>
      </c>
      <c r="X999" s="153" t="s">
        <v>3260</v>
      </c>
      <c r="Y999" s="124" t="s">
        <v>55</v>
      </c>
      <c r="Z999" s="308">
        <v>195</v>
      </c>
      <c r="AB999" t="str">
        <f>IF(Table1[[#This Row],[TIPO2]]="costo", VLOOKUP(Table1[[#This Row],[PARTIDA PRESUPUESTAL]],'Cost Report'!G:G,1,0),"Balance")</f>
        <v>2494-003</v>
      </c>
      <c r="AC999" s="118"/>
      <c r="AD999" s="159">
        <f>+Table1[[#This Row],[SUBTOTAL]]+Table1[[#This Row],[IVA]]-Table1[[#This Row],[RET IVA]]-Table1[[#This Row],[RET ISR]]-Table1[[#This Row],[TOTAL]]</f>
        <v>0</v>
      </c>
      <c r="AE999" s="152"/>
      <c r="AF999" s="153"/>
      <c r="AG999" s="126" t="s">
        <v>3420</v>
      </c>
      <c r="AH999" s="115"/>
      <c r="AK999" s="306" t="str">
        <f>IF(ISNUMBER(Table1[[#This Row],[FECHA DE RECIBIDO]]), Table1[[#This Row],[FECHA DE RECIBIDO]]-DATE(2023,8,30), "")</f>
        <v/>
      </c>
    </row>
    <row r="1000" spans="1:37" ht="16.05" customHeight="1">
      <c r="A1000" s="150" t="s">
        <v>3274</v>
      </c>
      <c r="B1000" s="151">
        <v>429</v>
      </c>
      <c r="C1000" s="126" t="s">
        <v>1732</v>
      </c>
      <c r="D1000">
        <v>702</v>
      </c>
      <c r="E1000" s="126" t="s">
        <v>1598</v>
      </c>
      <c r="F1000" s="122" t="s">
        <v>1607</v>
      </c>
      <c r="G1000" s="122" t="s">
        <v>134</v>
      </c>
      <c r="H1000">
        <v>234</v>
      </c>
      <c r="I1000" s="122" t="s">
        <v>1546</v>
      </c>
      <c r="J1000" s="307" t="s">
        <v>214</v>
      </c>
      <c r="K1000" s="127" t="s">
        <v>3286</v>
      </c>
      <c r="L1000" s="151" t="s">
        <v>1483</v>
      </c>
      <c r="M1000">
        <v>306</v>
      </c>
      <c r="N1000" s="123">
        <v>17</v>
      </c>
      <c r="O1000">
        <v>707</v>
      </c>
      <c r="P1000" s="132" t="s">
        <v>77</v>
      </c>
      <c r="Q1000" s="131">
        <v>782.76</v>
      </c>
      <c r="R1000" s="131">
        <v>125.24</v>
      </c>
      <c r="S1000" s="131"/>
      <c r="T1000" s="155"/>
      <c r="U1000" s="131"/>
      <c r="V1000" s="131">
        <v>908</v>
      </c>
      <c r="W1000">
        <v>145</v>
      </c>
      <c r="X1000" s="151" t="s">
        <v>3260</v>
      </c>
      <c r="Y1000" s="135" t="s">
        <v>55</v>
      </c>
      <c r="Z1000" s="307">
        <v>195</v>
      </c>
      <c r="AB1000" t="str">
        <f>IF(Table1[[#This Row],[TIPO2]]="costo", VLOOKUP(Table1[[#This Row],[PARTIDA PRESUPUESTAL]],'Cost Report'!G:G,1,0),"Balance")</f>
        <v>2494-035</v>
      </c>
      <c r="AC1000" s="118"/>
      <c r="AD1000" s="159">
        <f>+Table1[[#This Row],[SUBTOTAL]]+Table1[[#This Row],[IVA]]-Table1[[#This Row],[RET IVA]]-Table1[[#This Row],[RET ISR]]-Table1[[#This Row],[TOTAL]]</f>
        <v>0</v>
      </c>
      <c r="AE1000" s="150"/>
      <c r="AF1000" s="151"/>
      <c r="AG1000" s="126" t="s">
        <v>3420</v>
      </c>
      <c r="AH1000" s="115"/>
      <c r="AK1000" s="306" t="str">
        <f>IF(ISNUMBER(Table1[[#This Row],[FECHA DE RECIBIDO]]), Table1[[#This Row],[FECHA DE RECIBIDO]]-DATE(2023,8,30), "")</f>
        <v/>
      </c>
    </row>
    <row r="1001" spans="1:37" ht="16.05" customHeight="1">
      <c r="A1001" s="152" t="s">
        <v>3274</v>
      </c>
      <c r="B1001" s="153">
        <v>429</v>
      </c>
      <c r="C1001" s="126" t="s">
        <v>1519</v>
      </c>
      <c r="D1001">
        <v>703</v>
      </c>
      <c r="E1001" s="126" t="s">
        <v>2107</v>
      </c>
      <c r="F1001" s="125" t="s">
        <v>1602</v>
      </c>
      <c r="G1001" s="125" t="s">
        <v>1617</v>
      </c>
      <c r="H1001">
        <v>237</v>
      </c>
      <c r="I1001" s="125" t="s">
        <v>1546</v>
      </c>
      <c r="J1001" s="308" t="s">
        <v>214</v>
      </c>
      <c r="K1001" s="127" t="s">
        <v>3286</v>
      </c>
      <c r="L1001" s="153" t="s">
        <v>1483</v>
      </c>
      <c r="M1001">
        <v>309</v>
      </c>
      <c r="N1001" s="123">
        <v>17</v>
      </c>
      <c r="O1001">
        <v>708</v>
      </c>
      <c r="P1001" s="132" t="s">
        <v>77</v>
      </c>
      <c r="Q1001" s="132">
        <v>880</v>
      </c>
      <c r="R1001" s="132">
        <v>140.80000000000001</v>
      </c>
      <c r="S1001" s="132"/>
      <c r="T1001" s="156"/>
      <c r="U1001" s="132"/>
      <c r="V1001" s="132">
        <v>1020.8</v>
      </c>
      <c r="W1001">
        <v>145</v>
      </c>
      <c r="X1001" s="153" t="s">
        <v>3260</v>
      </c>
      <c r="Y1001" s="124" t="s">
        <v>55</v>
      </c>
      <c r="Z1001" s="308">
        <v>198</v>
      </c>
      <c r="AB1001" t="str">
        <f>IF(Table1[[#This Row],[TIPO2]]="costo", VLOOKUP(Table1[[#This Row],[PARTIDA PRESUPUESTAL]],'Cost Report'!G:G,1,0),"Balance")</f>
        <v>2494-031</v>
      </c>
      <c r="AC1001" s="118"/>
      <c r="AD1001" s="159">
        <f>+Table1[[#This Row],[SUBTOTAL]]+Table1[[#This Row],[IVA]]-Table1[[#This Row],[RET IVA]]-Table1[[#This Row],[RET ISR]]-Table1[[#This Row],[TOTAL]]</f>
        <v>0</v>
      </c>
      <c r="AE1001" s="152"/>
      <c r="AF1001" s="153"/>
      <c r="AG1001" s="126" t="s">
        <v>3420</v>
      </c>
      <c r="AH1001" s="115"/>
      <c r="AK1001" s="306" t="str">
        <f>IF(ISNUMBER(Table1[[#This Row],[FECHA DE RECIBIDO]]), Table1[[#This Row],[FECHA DE RECIBIDO]]-DATE(2023,8,30), "")</f>
        <v/>
      </c>
    </row>
    <row r="1002" spans="1:37" ht="16.05" customHeight="1">
      <c r="A1002" s="150" t="s">
        <v>3274</v>
      </c>
      <c r="B1002" s="151">
        <v>429</v>
      </c>
      <c r="C1002" s="126" t="s">
        <v>1732</v>
      </c>
      <c r="D1002">
        <v>704</v>
      </c>
      <c r="E1002" s="126" t="s">
        <v>2107</v>
      </c>
      <c r="F1002" s="122" t="s">
        <v>1602</v>
      </c>
      <c r="G1002" s="122" t="s">
        <v>1617</v>
      </c>
      <c r="H1002">
        <v>237</v>
      </c>
      <c r="I1002" s="122" t="s">
        <v>1546</v>
      </c>
      <c r="J1002" s="307" t="s">
        <v>214</v>
      </c>
      <c r="K1002" s="127" t="s">
        <v>3286</v>
      </c>
      <c r="L1002" s="151" t="s">
        <v>1483</v>
      </c>
      <c r="M1002">
        <v>309</v>
      </c>
      <c r="N1002" s="123">
        <v>17</v>
      </c>
      <c r="O1002">
        <v>709</v>
      </c>
      <c r="P1002" s="132" t="s">
        <v>77</v>
      </c>
      <c r="Q1002" s="131">
        <v>40</v>
      </c>
      <c r="R1002" s="131">
        <v>6.4</v>
      </c>
      <c r="S1002" s="131"/>
      <c r="T1002" s="155"/>
      <c r="U1002" s="131"/>
      <c r="V1002" s="131">
        <v>46.4</v>
      </c>
      <c r="W1002">
        <v>145</v>
      </c>
      <c r="X1002" s="151" t="s">
        <v>3260</v>
      </c>
      <c r="Y1002" s="135" t="s">
        <v>55</v>
      </c>
      <c r="Z1002" s="307">
        <v>198</v>
      </c>
      <c r="AB1002" t="str">
        <f>IF(Table1[[#This Row],[TIPO2]]="costo", VLOOKUP(Table1[[#This Row],[PARTIDA PRESUPUESTAL]],'Cost Report'!G:G,1,0),"Balance")</f>
        <v>2494-035</v>
      </c>
      <c r="AC1002" s="118"/>
      <c r="AD1002" s="159">
        <f>+Table1[[#This Row],[SUBTOTAL]]+Table1[[#This Row],[IVA]]-Table1[[#This Row],[RET IVA]]-Table1[[#This Row],[RET ISR]]-Table1[[#This Row],[TOTAL]]</f>
        <v>0</v>
      </c>
      <c r="AE1002" s="150"/>
      <c r="AF1002" s="151"/>
      <c r="AG1002" s="126" t="s">
        <v>3420</v>
      </c>
      <c r="AH1002" s="115"/>
      <c r="AK1002" s="306" t="str">
        <f>IF(ISNUMBER(Table1[[#This Row],[FECHA DE RECIBIDO]]), Table1[[#This Row],[FECHA DE RECIBIDO]]-DATE(2023,8,30), "")</f>
        <v/>
      </c>
    </row>
    <row r="1003" spans="1:37" ht="16.05" customHeight="1">
      <c r="A1003" s="152" t="s">
        <v>3274</v>
      </c>
      <c r="B1003" s="153">
        <v>429</v>
      </c>
      <c r="C1003" s="126" t="s">
        <v>1517</v>
      </c>
      <c r="D1003">
        <v>705</v>
      </c>
      <c r="E1003" s="126" t="s">
        <v>1614</v>
      </c>
      <c r="F1003" s="125" t="s">
        <v>1602</v>
      </c>
      <c r="G1003" s="125" t="s">
        <v>1617</v>
      </c>
      <c r="H1003">
        <v>238</v>
      </c>
      <c r="I1003" s="125" t="s">
        <v>1546</v>
      </c>
      <c r="J1003" s="308" t="s">
        <v>214</v>
      </c>
      <c r="K1003" s="127" t="s">
        <v>3286</v>
      </c>
      <c r="L1003" s="153" t="s">
        <v>1483</v>
      </c>
      <c r="M1003">
        <v>310</v>
      </c>
      <c r="N1003" s="123">
        <v>17</v>
      </c>
      <c r="O1003">
        <v>710</v>
      </c>
      <c r="P1003" s="132" t="s">
        <v>77</v>
      </c>
      <c r="Q1003" s="132">
        <v>1440</v>
      </c>
      <c r="R1003" s="132">
        <v>230.4</v>
      </c>
      <c r="S1003" s="132"/>
      <c r="T1003" s="156"/>
      <c r="U1003" s="132"/>
      <c r="V1003" s="132">
        <v>1670.4</v>
      </c>
      <c r="W1003">
        <v>145</v>
      </c>
      <c r="X1003" s="153" t="s">
        <v>3260</v>
      </c>
      <c r="Y1003" s="124" t="s">
        <v>55</v>
      </c>
      <c r="Z1003" s="308">
        <v>198</v>
      </c>
      <c r="AB1003" t="str">
        <f>IF(Table1[[#This Row],[TIPO2]]="costo", VLOOKUP(Table1[[#This Row],[PARTIDA PRESUPUESTAL]],'Cost Report'!G:G,1,0),"Balance")</f>
        <v>2494-027</v>
      </c>
      <c r="AC1003" s="118"/>
      <c r="AD1003" s="159">
        <f>+Table1[[#This Row],[SUBTOTAL]]+Table1[[#This Row],[IVA]]-Table1[[#This Row],[RET IVA]]-Table1[[#This Row],[RET ISR]]-Table1[[#This Row],[TOTAL]]</f>
        <v>0</v>
      </c>
      <c r="AE1003" s="152"/>
      <c r="AF1003" s="153"/>
      <c r="AG1003" s="126" t="s">
        <v>3420</v>
      </c>
      <c r="AH1003" s="115"/>
      <c r="AK1003" s="306" t="str">
        <f>IF(ISNUMBER(Table1[[#This Row],[FECHA DE RECIBIDO]]), Table1[[#This Row],[FECHA DE RECIBIDO]]-DATE(2023,8,30), "")</f>
        <v/>
      </c>
    </row>
    <row r="1004" spans="1:37" ht="16.05" customHeight="1">
      <c r="A1004" s="150" t="s">
        <v>3274</v>
      </c>
      <c r="B1004" s="151">
        <v>429</v>
      </c>
      <c r="C1004" s="126" t="s">
        <v>1517</v>
      </c>
      <c r="D1004">
        <v>706</v>
      </c>
      <c r="E1004" s="126" t="s">
        <v>1614</v>
      </c>
      <c r="F1004" s="122" t="s">
        <v>1602</v>
      </c>
      <c r="G1004" s="122" t="s">
        <v>1617</v>
      </c>
      <c r="H1004">
        <v>238</v>
      </c>
      <c r="I1004" s="122" t="s">
        <v>1546</v>
      </c>
      <c r="J1004" s="307" t="s">
        <v>214</v>
      </c>
      <c r="K1004" s="127" t="s">
        <v>3286</v>
      </c>
      <c r="L1004" s="151" t="s">
        <v>1483</v>
      </c>
      <c r="M1004">
        <v>310</v>
      </c>
      <c r="N1004" s="123">
        <v>17</v>
      </c>
      <c r="O1004">
        <v>711</v>
      </c>
      <c r="P1004" s="132" t="s">
        <v>77</v>
      </c>
      <c r="Q1004" s="131">
        <v>525</v>
      </c>
      <c r="R1004" s="131">
        <v>84</v>
      </c>
      <c r="S1004" s="131"/>
      <c r="T1004" s="155"/>
      <c r="U1004" s="131"/>
      <c r="V1004" s="131">
        <v>609</v>
      </c>
      <c r="W1004">
        <v>145</v>
      </c>
      <c r="X1004" s="151" t="s">
        <v>3260</v>
      </c>
      <c r="Y1004" s="135" t="s">
        <v>55</v>
      </c>
      <c r="Z1004" s="307">
        <v>198</v>
      </c>
      <c r="AB1004" t="str">
        <f>IF(Table1[[#This Row],[TIPO2]]="costo", VLOOKUP(Table1[[#This Row],[PARTIDA PRESUPUESTAL]],'Cost Report'!G:G,1,0),"Balance")</f>
        <v>2494-027</v>
      </c>
      <c r="AC1004" s="118"/>
      <c r="AD1004" s="159">
        <f>+Table1[[#This Row],[SUBTOTAL]]+Table1[[#This Row],[IVA]]-Table1[[#This Row],[RET IVA]]-Table1[[#This Row],[RET ISR]]-Table1[[#This Row],[TOTAL]]</f>
        <v>0</v>
      </c>
      <c r="AE1004" s="150"/>
      <c r="AF1004" s="151"/>
      <c r="AG1004" s="126" t="s">
        <v>3420</v>
      </c>
      <c r="AH1004" s="115"/>
      <c r="AK1004" s="306" t="str">
        <f>IF(ISNUMBER(Table1[[#This Row],[FECHA DE RECIBIDO]]), Table1[[#This Row],[FECHA DE RECIBIDO]]-DATE(2023,8,30), "")</f>
        <v/>
      </c>
    </row>
    <row r="1005" spans="1:37" ht="16.05" customHeight="1">
      <c r="A1005" s="152" t="s">
        <v>3274</v>
      </c>
      <c r="B1005" s="153">
        <v>429</v>
      </c>
      <c r="C1005" s="126" t="s">
        <v>1732</v>
      </c>
      <c r="D1005">
        <v>707</v>
      </c>
      <c r="E1005" s="126" t="s">
        <v>3276</v>
      </c>
      <c r="F1005" s="125" t="s">
        <v>1607</v>
      </c>
      <c r="G1005" s="125" t="s">
        <v>134</v>
      </c>
      <c r="H1005">
        <v>239</v>
      </c>
      <c r="I1005" s="125" t="s">
        <v>1546</v>
      </c>
      <c r="J1005" s="308" t="s">
        <v>214</v>
      </c>
      <c r="K1005" s="127" t="s">
        <v>3286</v>
      </c>
      <c r="L1005" s="153" t="s">
        <v>1483</v>
      </c>
      <c r="M1005">
        <v>311</v>
      </c>
      <c r="N1005" s="123">
        <v>17</v>
      </c>
      <c r="O1005">
        <v>712</v>
      </c>
      <c r="P1005" s="132" t="s">
        <v>77</v>
      </c>
      <c r="Q1005" s="132">
        <v>530</v>
      </c>
      <c r="R1005" s="132">
        <v>84.8</v>
      </c>
      <c r="S1005" s="132"/>
      <c r="T1005" s="156"/>
      <c r="U1005" s="132"/>
      <c r="V1005" s="132">
        <v>614.79999999999995</v>
      </c>
      <c r="W1005">
        <v>145</v>
      </c>
      <c r="X1005" s="153" t="s">
        <v>3260</v>
      </c>
      <c r="Y1005" s="124" t="s">
        <v>55</v>
      </c>
      <c r="Z1005" s="308">
        <v>202</v>
      </c>
      <c r="AB1005" t="str">
        <f>IF(Table1[[#This Row],[TIPO2]]="costo", VLOOKUP(Table1[[#This Row],[PARTIDA PRESUPUESTAL]],'Cost Report'!G:G,1,0),"Balance")</f>
        <v>2494-035</v>
      </c>
      <c r="AC1005" s="118"/>
      <c r="AD1005" s="159">
        <f>+Table1[[#This Row],[SUBTOTAL]]+Table1[[#This Row],[IVA]]-Table1[[#This Row],[RET IVA]]-Table1[[#This Row],[RET ISR]]-Table1[[#This Row],[TOTAL]]</f>
        <v>0</v>
      </c>
      <c r="AE1005" s="152"/>
      <c r="AF1005" s="153"/>
      <c r="AG1005" s="126" t="s">
        <v>3420</v>
      </c>
      <c r="AH1005" s="115"/>
      <c r="AK1005" s="306" t="str">
        <f>IF(ISNUMBER(Table1[[#This Row],[FECHA DE RECIBIDO]]), Table1[[#This Row],[FECHA DE RECIBIDO]]-DATE(2023,8,30), "")</f>
        <v/>
      </c>
    </row>
    <row r="1006" spans="1:37" ht="16.05" customHeight="1">
      <c r="A1006" s="150" t="s">
        <v>3274</v>
      </c>
      <c r="B1006" s="151">
        <v>429</v>
      </c>
      <c r="C1006" s="126" t="s">
        <v>1505</v>
      </c>
      <c r="D1006">
        <v>708</v>
      </c>
      <c r="E1006" s="126" t="s">
        <v>1992</v>
      </c>
      <c r="F1006" s="122" t="s">
        <v>1589</v>
      </c>
      <c r="G1006" s="122" t="s">
        <v>129</v>
      </c>
      <c r="H1006">
        <v>240</v>
      </c>
      <c r="I1006" s="122" t="s">
        <v>1546</v>
      </c>
      <c r="J1006" s="307" t="s">
        <v>214</v>
      </c>
      <c r="K1006" s="127" t="s">
        <v>3286</v>
      </c>
      <c r="L1006" s="151" t="s">
        <v>1483</v>
      </c>
      <c r="M1006">
        <v>312</v>
      </c>
      <c r="N1006" s="123">
        <v>17</v>
      </c>
      <c r="O1006">
        <v>713</v>
      </c>
      <c r="P1006" s="132" t="s">
        <v>77</v>
      </c>
      <c r="Q1006" s="131">
        <v>723.27</v>
      </c>
      <c r="R1006" s="131">
        <v>115.71</v>
      </c>
      <c r="S1006" s="131"/>
      <c r="T1006" s="155"/>
      <c r="U1006" s="131"/>
      <c r="V1006" s="131">
        <v>838.98</v>
      </c>
      <c r="W1006">
        <v>145</v>
      </c>
      <c r="X1006" s="151" t="s">
        <v>3260</v>
      </c>
      <c r="Y1006" s="135" t="s">
        <v>55</v>
      </c>
      <c r="Z1006" s="307">
        <v>203</v>
      </c>
      <c r="AB1006" t="str">
        <f>IF(Table1[[#This Row],[TIPO2]]="costo", VLOOKUP(Table1[[#This Row],[PARTIDA PRESUPUESTAL]],'Cost Report'!G:G,1,0),"Balance")</f>
        <v>2494-003</v>
      </c>
      <c r="AC1006" s="118"/>
      <c r="AD1006" s="159">
        <f>+Table1[[#This Row],[SUBTOTAL]]+Table1[[#This Row],[IVA]]-Table1[[#This Row],[RET IVA]]-Table1[[#This Row],[RET ISR]]-Table1[[#This Row],[TOTAL]]</f>
        <v>0</v>
      </c>
      <c r="AE1006" s="150"/>
      <c r="AF1006" s="151"/>
      <c r="AG1006" s="126" t="s">
        <v>3420</v>
      </c>
      <c r="AH1006" s="115"/>
      <c r="AK1006" s="306" t="str">
        <f>IF(ISNUMBER(Table1[[#This Row],[FECHA DE RECIBIDO]]), Table1[[#This Row],[FECHA DE RECIBIDO]]-DATE(2023,8,30), "")</f>
        <v/>
      </c>
    </row>
    <row r="1007" spans="1:37" ht="16.05" customHeight="1">
      <c r="A1007" s="152" t="s">
        <v>3274</v>
      </c>
      <c r="B1007" s="153">
        <v>429</v>
      </c>
      <c r="C1007" s="126" t="s">
        <v>1732</v>
      </c>
      <c r="D1007">
        <v>709</v>
      </c>
      <c r="E1007" s="126" t="s">
        <v>3277</v>
      </c>
      <c r="F1007" s="125" t="s">
        <v>1589</v>
      </c>
      <c r="G1007" s="125" t="s">
        <v>129</v>
      </c>
      <c r="H1007">
        <v>241</v>
      </c>
      <c r="I1007" s="125" t="s">
        <v>1546</v>
      </c>
      <c r="J1007" s="308" t="s">
        <v>214</v>
      </c>
      <c r="K1007" s="127" t="s">
        <v>3286</v>
      </c>
      <c r="L1007" s="153" t="s">
        <v>1483</v>
      </c>
      <c r="M1007">
        <v>313</v>
      </c>
      <c r="N1007" s="123">
        <v>17</v>
      </c>
      <c r="O1007">
        <v>714</v>
      </c>
      <c r="P1007" s="132" t="s">
        <v>77</v>
      </c>
      <c r="Q1007" s="132">
        <v>395</v>
      </c>
      <c r="R1007" s="132">
        <v>63.2</v>
      </c>
      <c r="S1007" s="132"/>
      <c r="T1007" s="156"/>
      <c r="U1007" s="132"/>
      <c r="V1007" s="132">
        <v>458.2</v>
      </c>
      <c r="W1007">
        <v>145</v>
      </c>
      <c r="X1007" s="153" t="s">
        <v>3260</v>
      </c>
      <c r="Y1007" s="124" t="s">
        <v>55</v>
      </c>
      <c r="Z1007" s="308">
        <v>203</v>
      </c>
      <c r="AB1007" t="str">
        <f>IF(Table1[[#This Row],[TIPO2]]="costo", VLOOKUP(Table1[[#This Row],[PARTIDA PRESUPUESTAL]],'Cost Report'!G:G,1,0),"Balance")</f>
        <v>2494-035</v>
      </c>
      <c r="AC1007" s="118"/>
      <c r="AD1007" s="159">
        <f>+Table1[[#This Row],[SUBTOTAL]]+Table1[[#This Row],[IVA]]-Table1[[#This Row],[RET IVA]]-Table1[[#This Row],[RET ISR]]-Table1[[#This Row],[TOTAL]]</f>
        <v>0</v>
      </c>
      <c r="AE1007" s="152"/>
      <c r="AF1007" s="153"/>
      <c r="AG1007" s="126" t="s">
        <v>3420</v>
      </c>
      <c r="AH1007" s="115"/>
      <c r="AK1007" s="306" t="str">
        <f>IF(ISNUMBER(Table1[[#This Row],[FECHA DE RECIBIDO]]), Table1[[#This Row],[FECHA DE RECIBIDO]]-DATE(2023,8,30), "")</f>
        <v/>
      </c>
    </row>
    <row r="1008" spans="1:37" ht="16.05" customHeight="1">
      <c r="A1008" s="150" t="s">
        <v>3274</v>
      </c>
      <c r="B1008" s="151">
        <v>429</v>
      </c>
      <c r="C1008" s="126" t="s">
        <v>1519</v>
      </c>
      <c r="D1008">
        <v>710</v>
      </c>
      <c r="E1008" s="126" t="s">
        <v>3277</v>
      </c>
      <c r="F1008" s="122" t="s">
        <v>1589</v>
      </c>
      <c r="G1008" s="122" t="s">
        <v>129</v>
      </c>
      <c r="H1008">
        <v>241</v>
      </c>
      <c r="I1008" s="122" t="s">
        <v>1546</v>
      </c>
      <c r="J1008" s="307" t="s">
        <v>214</v>
      </c>
      <c r="K1008" s="127" t="s">
        <v>3286</v>
      </c>
      <c r="L1008" s="151" t="s">
        <v>1483</v>
      </c>
      <c r="M1008">
        <v>313</v>
      </c>
      <c r="N1008" s="123">
        <v>17</v>
      </c>
      <c r="O1008">
        <v>715</v>
      </c>
      <c r="P1008" s="132" t="s">
        <v>77</v>
      </c>
      <c r="Q1008" s="131">
        <v>608</v>
      </c>
      <c r="R1008" s="131">
        <v>97.28</v>
      </c>
      <c r="S1008" s="131"/>
      <c r="T1008" s="155"/>
      <c r="U1008" s="131"/>
      <c r="V1008" s="131">
        <v>705.28</v>
      </c>
      <c r="W1008">
        <v>145</v>
      </c>
      <c r="X1008" s="151" t="s">
        <v>3260</v>
      </c>
      <c r="Y1008" s="135" t="s">
        <v>55</v>
      </c>
      <c r="Z1008" s="307">
        <v>203</v>
      </c>
      <c r="AB1008" t="str">
        <f>IF(Table1[[#This Row],[TIPO2]]="costo", VLOOKUP(Table1[[#This Row],[PARTIDA PRESUPUESTAL]],'Cost Report'!G:G,1,0),"Balance")</f>
        <v>2494-031</v>
      </c>
      <c r="AC1008" s="118"/>
      <c r="AD1008" s="159">
        <f>+Table1[[#This Row],[SUBTOTAL]]+Table1[[#This Row],[IVA]]-Table1[[#This Row],[RET IVA]]-Table1[[#This Row],[RET ISR]]-Table1[[#This Row],[TOTAL]]</f>
        <v>0</v>
      </c>
      <c r="AE1008" s="150"/>
      <c r="AF1008" s="151"/>
      <c r="AG1008" s="126" t="s">
        <v>3420</v>
      </c>
      <c r="AH1008" s="115"/>
      <c r="AK1008" s="306" t="str">
        <f>IF(ISNUMBER(Table1[[#This Row],[FECHA DE RECIBIDO]]), Table1[[#This Row],[FECHA DE RECIBIDO]]-DATE(2023,8,30), "")</f>
        <v/>
      </c>
    </row>
    <row r="1009" spans="1:37" ht="16.05" customHeight="1">
      <c r="A1009" s="152" t="s">
        <v>3274</v>
      </c>
      <c r="B1009" s="153">
        <v>429</v>
      </c>
      <c r="C1009" s="126" t="s">
        <v>1732</v>
      </c>
      <c r="D1009">
        <v>711</v>
      </c>
      <c r="E1009" s="126" t="s">
        <v>1597</v>
      </c>
      <c r="F1009" s="125" t="s">
        <v>1589</v>
      </c>
      <c r="G1009" s="125" t="s">
        <v>129</v>
      </c>
      <c r="H1009">
        <v>169</v>
      </c>
      <c r="I1009" s="125" t="s">
        <v>1546</v>
      </c>
      <c r="J1009" s="308" t="s">
        <v>214</v>
      </c>
      <c r="K1009" s="127" t="s">
        <v>3286</v>
      </c>
      <c r="L1009" s="153" t="s">
        <v>1483</v>
      </c>
      <c r="M1009">
        <v>226</v>
      </c>
      <c r="N1009" s="123">
        <v>17</v>
      </c>
      <c r="O1009">
        <v>716</v>
      </c>
      <c r="P1009" s="132" t="s">
        <v>77</v>
      </c>
      <c r="Q1009" s="132">
        <v>447</v>
      </c>
      <c r="R1009" s="132">
        <v>71.52</v>
      </c>
      <c r="S1009" s="132"/>
      <c r="T1009" s="156"/>
      <c r="U1009" s="132"/>
      <c r="V1009" s="132">
        <v>518.52</v>
      </c>
      <c r="W1009">
        <v>145</v>
      </c>
      <c r="X1009" s="153" t="s">
        <v>3260</v>
      </c>
      <c r="Y1009" s="124" t="s">
        <v>55</v>
      </c>
      <c r="Z1009" s="308">
        <v>204</v>
      </c>
      <c r="AB1009" t="str">
        <f>IF(Table1[[#This Row],[TIPO2]]="costo", VLOOKUP(Table1[[#This Row],[PARTIDA PRESUPUESTAL]],'Cost Report'!G:G,1,0),"Balance")</f>
        <v>2494-035</v>
      </c>
      <c r="AC1009" s="118"/>
      <c r="AD1009" s="159">
        <f>+Table1[[#This Row],[SUBTOTAL]]+Table1[[#This Row],[IVA]]-Table1[[#This Row],[RET IVA]]-Table1[[#This Row],[RET ISR]]-Table1[[#This Row],[TOTAL]]</f>
        <v>0</v>
      </c>
      <c r="AE1009" s="152"/>
      <c r="AF1009" s="153"/>
      <c r="AG1009" s="126" t="s">
        <v>3420</v>
      </c>
      <c r="AH1009" s="115"/>
      <c r="AK1009" s="306" t="str">
        <f>IF(ISNUMBER(Table1[[#This Row],[FECHA DE RECIBIDO]]), Table1[[#This Row],[FECHA DE RECIBIDO]]-DATE(2023,8,30), "")</f>
        <v/>
      </c>
    </row>
    <row r="1010" spans="1:37" ht="16.05" customHeight="1">
      <c r="A1010" s="150" t="s">
        <v>3274</v>
      </c>
      <c r="B1010" s="151">
        <v>429</v>
      </c>
      <c r="C1010" s="126" t="s">
        <v>2455</v>
      </c>
      <c r="D1010">
        <v>712</v>
      </c>
      <c r="E1010" s="126" t="s">
        <v>3278</v>
      </c>
      <c r="F1010" s="122" t="s">
        <v>1607</v>
      </c>
      <c r="G1010" s="122" t="s">
        <v>134</v>
      </c>
      <c r="H1010">
        <v>56</v>
      </c>
      <c r="I1010" s="122" t="s">
        <v>1546</v>
      </c>
      <c r="J1010" s="307" t="s">
        <v>214</v>
      </c>
      <c r="K1010" s="127" t="s">
        <v>3286</v>
      </c>
      <c r="L1010" s="151" t="s">
        <v>1483</v>
      </c>
      <c r="M1010">
        <v>314</v>
      </c>
      <c r="N1010" s="123">
        <v>17</v>
      </c>
      <c r="O1010">
        <v>717</v>
      </c>
      <c r="P1010" s="132" t="s">
        <v>77</v>
      </c>
      <c r="Q1010" s="131">
        <v>244.64</v>
      </c>
      <c r="R1010" s="131">
        <v>39.159999999999997</v>
      </c>
      <c r="S1010" s="131"/>
      <c r="T1010" s="155"/>
      <c r="U1010" s="131"/>
      <c r="V1010" s="131">
        <v>283.79999999999995</v>
      </c>
      <c r="W1010">
        <v>145</v>
      </c>
      <c r="X1010" s="151" t="s">
        <v>3260</v>
      </c>
      <c r="Y1010" s="135" t="s">
        <v>55</v>
      </c>
      <c r="Z1010" s="307">
        <v>204</v>
      </c>
      <c r="AB1010" t="str">
        <f>IF(Table1[[#This Row],[TIPO2]]="costo", VLOOKUP(Table1[[#This Row],[PARTIDA PRESUPUESTAL]],'Cost Report'!G:G,1,0),"Balance")</f>
        <v>2285-003</v>
      </c>
      <c r="AC1010" s="118"/>
      <c r="AD1010" s="159">
        <f>+Table1[[#This Row],[SUBTOTAL]]+Table1[[#This Row],[IVA]]-Table1[[#This Row],[RET IVA]]-Table1[[#This Row],[RET ISR]]-Table1[[#This Row],[TOTAL]]</f>
        <v>0</v>
      </c>
      <c r="AE1010" s="150"/>
      <c r="AF1010" s="151"/>
      <c r="AG1010" s="126" t="s">
        <v>3420</v>
      </c>
      <c r="AH1010" s="115"/>
      <c r="AK1010" s="306" t="str">
        <f>IF(ISNUMBER(Table1[[#This Row],[FECHA DE RECIBIDO]]), Table1[[#This Row],[FECHA DE RECIBIDO]]-DATE(2023,8,30), "")</f>
        <v/>
      </c>
    </row>
    <row r="1011" spans="1:37" ht="16.05" customHeight="1">
      <c r="A1011" s="152" t="s">
        <v>3274</v>
      </c>
      <c r="B1011" s="153">
        <v>429</v>
      </c>
      <c r="C1011" s="126" t="s">
        <v>2455</v>
      </c>
      <c r="D1011">
        <v>713</v>
      </c>
      <c r="E1011" s="126" t="s">
        <v>3278</v>
      </c>
      <c r="F1011" s="125" t="s">
        <v>1607</v>
      </c>
      <c r="G1011" s="125" t="s">
        <v>134</v>
      </c>
      <c r="H1011">
        <v>56</v>
      </c>
      <c r="I1011" s="125" t="s">
        <v>1546</v>
      </c>
      <c r="J1011" s="308" t="s">
        <v>214</v>
      </c>
      <c r="K1011" s="127" t="s">
        <v>3286</v>
      </c>
      <c r="L1011" s="153" t="s">
        <v>1483</v>
      </c>
      <c r="M1011">
        <v>314</v>
      </c>
      <c r="N1011" s="123">
        <v>17</v>
      </c>
      <c r="O1011">
        <v>718</v>
      </c>
      <c r="P1011" s="132" t="s">
        <v>77</v>
      </c>
      <c r="Q1011" s="132">
        <v>52.9</v>
      </c>
      <c r="R1011" s="132"/>
      <c r="S1011" s="132"/>
      <c r="T1011" s="156"/>
      <c r="U1011" s="132"/>
      <c r="V1011" s="132">
        <v>52.9</v>
      </c>
      <c r="W1011">
        <v>145</v>
      </c>
      <c r="X1011" s="153" t="s">
        <v>3260</v>
      </c>
      <c r="Y1011" s="124" t="s">
        <v>55</v>
      </c>
      <c r="Z1011" s="308">
        <v>204</v>
      </c>
      <c r="AB1011" t="str">
        <f>IF(Table1[[#This Row],[TIPO2]]="costo", VLOOKUP(Table1[[#This Row],[PARTIDA PRESUPUESTAL]],'Cost Report'!G:G,1,0),"Balance")</f>
        <v>2285-003</v>
      </c>
      <c r="AC1011" s="118"/>
      <c r="AD1011" s="159">
        <f>+Table1[[#This Row],[SUBTOTAL]]+Table1[[#This Row],[IVA]]-Table1[[#This Row],[RET IVA]]-Table1[[#This Row],[RET ISR]]-Table1[[#This Row],[TOTAL]]</f>
        <v>0</v>
      </c>
      <c r="AE1011" s="152"/>
      <c r="AF1011" s="153"/>
      <c r="AG1011" s="126" t="s">
        <v>3420</v>
      </c>
      <c r="AH1011" s="115"/>
      <c r="AK1011" s="306" t="str">
        <f>IF(ISNUMBER(Table1[[#This Row],[FECHA DE RECIBIDO]]), Table1[[#This Row],[FECHA DE RECIBIDO]]-DATE(2023,8,30), "")</f>
        <v/>
      </c>
    </row>
    <row r="1012" spans="1:37" ht="16.05" customHeight="1">
      <c r="A1012" s="150" t="s">
        <v>3274</v>
      </c>
      <c r="B1012" s="151">
        <v>429</v>
      </c>
      <c r="C1012" s="126" t="s">
        <v>1507</v>
      </c>
      <c r="D1012">
        <v>714</v>
      </c>
      <c r="E1012" s="126" t="s">
        <v>1597</v>
      </c>
      <c r="F1012" s="122" t="s">
        <v>1589</v>
      </c>
      <c r="G1012" s="122" t="s">
        <v>129</v>
      </c>
      <c r="H1012">
        <v>169</v>
      </c>
      <c r="I1012" s="122" t="s">
        <v>1546</v>
      </c>
      <c r="J1012" s="307" t="s">
        <v>214</v>
      </c>
      <c r="K1012" s="127" t="s">
        <v>3286</v>
      </c>
      <c r="L1012" s="151" t="s">
        <v>1483</v>
      </c>
      <c r="M1012">
        <v>226</v>
      </c>
      <c r="N1012" s="123">
        <v>17</v>
      </c>
      <c r="O1012">
        <v>719</v>
      </c>
      <c r="P1012" s="132" t="s">
        <v>77</v>
      </c>
      <c r="Q1012" s="131">
        <v>440</v>
      </c>
      <c r="R1012" s="131">
        <v>70.400000000000006</v>
      </c>
      <c r="S1012" s="131"/>
      <c r="T1012" s="155"/>
      <c r="U1012" s="131"/>
      <c r="V1012" s="131">
        <v>510.4</v>
      </c>
      <c r="W1012">
        <v>145</v>
      </c>
      <c r="X1012" s="151" t="s">
        <v>3260</v>
      </c>
      <c r="Y1012" s="135" t="s">
        <v>55</v>
      </c>
      <c r="Z1012" s="307">
        <v>204</v>
      </c>
      <c r="AB1012" t="str">
        <f>IF(Table1[[#This Row],[TIPO2]]="costo", VLOOKUP(Table1[[#This Row],[PARTIDA PRESUPUESTAL]],'Cost Report'!G:G,1,0),"Balance")</f>
        <v>2494-007</v>
      </c>
      <c r="AC1012" s="118"/>
      <c r="AD1012" s="159">
        <f>+Table1[[#This Row],[SUBTOTAL]]+Table1[[#This Row],[IVA]]-Table1[[#This Row],[RET IVA]]-Table1[[#This Row],[RET ISR]]-Table1[[#This Row],[TOTAL]]</f>
        <v>0</v>
      </c>
      <c r="AE1012" s="150"/>
      <c r="AF1012" s="151"/>
      <c r="AG1012" s="126" t="s">
        <v>3420</v>
      </c>
      <c r="AH1012" s="115"/>
      <c r="AK1012" s="306" t="str">
        <f>IF(ISNUMBER(Table1[[#This Row],[FECHA DE RECIBIDO]]), Table1[[#This Row],[FECHA DE RECIBIDO]]-DATE(2023,8,30), "")</f>
        <v/>
      </c>
    </row>
    <row r="1013" spans="1:37" ht="16.05" customHeight="1">
      <c r="A1013" s="152" t="s">
        <v>3274</v>
      </c>
      <c r="B1013" s="153">
        <v>429</v>
      </c>
      <c r="C1013" s="126" t="s">
        <v>1509</v>
      </c>
      <c r="D1013">
        <v>715</v>
      </c>
      <c r="E1013" s="126" t="s">
        <v>3279</v>
      </c>
      <c r="F1013" s="125" t="s">
        <v>1589</v>
      </c>
      <c r="G1013" s="125" t="s">
        <v>129</v>
      </c>
      <c r="H1013">
        <v>242</v>
      </c>
      <c r="I1013" s="125" t="s">
        <v>1546</v>
      </c>
      <c r="J1013" s="308" t="s">
        <v>214</v>
      </c>
      <c r="K1013" s="127" t="s">
        <v>3286</v>
      </c>
      <c r="L1013" s="153" t="s">
        <v>1483</v>
      </c>
      <c r="M1013">
        <v>315</v>
      </c>
      <c r="N1013" s="123">
        <v>17</v>
      </c>
      <c r="O1013">
        <v>720</v>
      </c>
      <c r="P1013" s="132" t="s">
        <v>77</v>
      </c>
      <c r="Q1013" s="132">
        <v>1200</v>
      </c>
      <c r="R1013" s="132">
        <v>192</v>
      </c>
      <c r="S1013" s="132"/>
      <c r="T1013" s="156"/>
      <c r="U1013" s="132"/>
      <c r="V1013" s="132">
        <v>1392</v>
      </c>
      <c r="W1013">
        <v>145</v>
      </c>
      <c r="X1013" s="153" t="s">
        <v>3260</v>
      </c>
      <c r="Y1013" s="124" t="s">
        <v>55</v>
      </c>
      <c r="Z1013" s="308">
        <v>203</v>
      </c>
      <c r="AB1013" t="str">
        <f>IF(Table1[[#This Row],[TIPO2]]="costo", VLOOKUP(Table1[[#This Row],[PARTIDA PRESUPUESTAL]],'Cost Report'!G:G,1,0),"Balance")</f>
        <v>2494-011</v>
      </c>
      <c r="AC1013" s="118"/>
      <c r="AD1013" s="159">
        <f>+Table1[[#This Row],[SUBTOTAL]]+Table1[[#This Row],[IVA]]-Table1[[#This Row],[RET IVA]]-Table1[[#This Row],[RET ISR]]-Table1[[#This Row],[TOTAL]]</f>
        <v>0</v>
      </c>
      <c r="AE1013" s="152"/>
      <c r="AF1013" s="153"/>
      <c r="AG1013" s="126" t="s">
        <v>3420</v>
      </c>
      <c r="AH1013" s="115"/>
      <c r="AK1013" s="306" t="str">
        <f>IF(ISNUMBER(Table1[[#This Row],[FECHA DE RECIBIDO]]), Table1[[#This Row],[FECHA DE RECIBIDO]]-DATE(2023,8,30), "")</f>
        <v/>
      </c>
    </row>
    <row r="1014" spans="1:37" ht="16.05" customHeight="1">
      <c r="A1014" s="150" t="s">
        <v>3274</v>
      </c>
      <c r="B1014" s="151">
        <v>429</v>
      </c>
      <c r="C1014" s="126" t="s">
        <v>1732</v>
      </c>
      <c r="D1014">
        <v>716</v>
      </c>
      <c r="E1014" s="126" t="s">
        <v>1598</v>
      </c>
      <c r="F1014" s="122" t="s">
        <v>1607</v>
      </c>
      <c r="G1014" s="122" t="s">
        <v>134</v>
      </c>
      <c r="H1014">
        <v>156</v>
      </c>
      <c r="I1014" s="122" t="s">
        <v>1546</v>
      </c>
      <c r="J1014" s="307" t="s">
        <v>214</v>
      </c>
      <c r="K1014" s="127" t="s">
        <v>3286</v>
      </c>
      <c r="L1014" s="151" t="s">
        <v>1483</v>
      </c>
      <c r="M1014">
        <v>207</v>
      </c>
      <c r="N1014" s="123">
        <v>17</v>
      </c>
      <c r="O1014">
        <v>721</v>
      </c>
      <c r="P1014" s="132" t="s">
        <v>77</v>
      </c>
      <c r="Q1014" s="131">
        <v>7115.95</v>
      </c>
      <c r="R1014" s="131">
        <v>1138.55</v>
      </c>
      <c r="S1014" s="131"/>
      <c r="T1014" s="155"/>
      <c r="U1014" s="131"/>
      <c r="V1014" s="131">
        <v>8254.5</v>
      </c>
      <c r="W1014">
        <v>145</v>
      </c>
      <c r="X1014" s="151" t="s">
        <v>3260</v>
      </c>
      <c r="Y1014" s="135" t="s">
        <v>55</v>
      </c>
      <c r="Z1014" s="307">
        <v>205</v>
      </c>
      <c r="AB1014" t="str">
        <f>IF(Table1[[#This Row],[TIPO2]]="costo", VLOOKUP(Table1[[#This Row],[PARTIDA PRESUPUESTAL]],'Cost Report'!G:G,1,0),"Balance")</f>
        <v>2494-035</v>
      </c>
      <c r="AC1014" s="118"/>
      <c r="AD1014" s="159">
        <f>+Table1[[#This Row],[SUBTOTAL]]+Table1[[#This Row],[IVA]]-Table1[[#This Row],[RET IVA]]-Table1[[#This Row],[RET ISR]]-Table1[[#This Row],[TOTAL]]</f>
        <v>0</v>
      </c>
      <c r="AE1014" s="150"/>
      <c r="AF1014" s="151"/>
      <c r="AG1014" s="126" t="s">
        <v>3420</v>
      </c>
      <c r="AH1014" s="115"/>
      <c r="AK1014" s="306" t="str">
        <f>IF(ISNUMBER(Table1[[#This Row],[FECHA DE RECIBIDO]]), Table1[[#This Row],[FECHA DE RECIBIDO]]-DATE(2023,8,30), "")</f>
        <v/>
      </c>
    </row>
    <row r="1015" spans="1:37" ht="16.05" customHeight="1">
      <c r="A1015" s="152" t="s">
        <v>3274</v>
      </c>
      <c r="B1015" s="153">
        <v>429</v>
      </c>
      <c r="C1015" s="126" t="s">
        <v>1505</v>
      </c>
      <c r="D1015">
        <v>717</v>
      </c>
      <c r="E1015" s="126" t="s">
        <v>1598</v>
      </c>
      <c r="F1015" s="125" t="s">
        <v>1607</v>
      </c>
      <c r="G1015" s="125" t="s">
        <v>134</v>
      </c>
      <c r="H1015">
        <v>156</v>
      </c>
      <c r="I1015" s="125" t="s">
        <v>1546</v>
      </c>
      <c r="J1015" s="308" t="s">
        <v>214</v>
      </c>
      <c r="K1015" s="127" t="s">
        <v>3286</v>
      </c>
      <c r="L1015" s="153" t="s">
        <v>1483</v>
      </c>
      <c r="M1015">
        <v>207</v>
      </c>
      <c r="N1015" s="123">
        <v>17</v>
      </c>
      <c r="O1015">
        <v>722</v>
      </c>
      <c r="P1015" s="132" t="s">
        <v>77</v>
      </c>
      <c r="Q1015" s="132">
        <v>1024.1400000000001</v>
      </c>
      <c r="R1015" s="132">
        <v>163.86</v>
      </c>
      <c r="S1015" s="132"/>
      <c r="T1015" s="156"/>
      <c r="U1015" s="132"/>
      <c r="V1015" s="132">
        <v>1188</v>
      </c>
      <c r="W1015">
        <v>145</v>
      </c>
      <c r="X1015" s="153" t="s">
        <v>3260</v>
      </c>
      <c r="Y1015" s="124" t="s">
        <v>55</v>
      </c>
      <c r="Z1015" s="308">
        <v>205</v>
      </c>
      <c r="AB1015" t="str">
        <f>IF(Table1[[#This Row],[TIPO2]]="costo", VLOOKUP(Table1[[#This Row],[PARTIDA PRESUPUESTAL]],'Cost Report'!G:G,1,0),"Balance")</f>
        <v>2494-003</v>
      </c>
      <c r="AC1015" s="118"/>
      <c r="AD1015" s="159">
        <f>+Table1[[#This Row],[SUBTOTAL]]+Table1[[#This Row],[IVA]]-Table1[[#This Row],[RET IVA]]-Table1[[#This Row],[RET ISR]]-Table1[[#This Row],[TOTAL]]</f>
        <v>0</v>
      </c>
      <c r="AE1015" s="152"/>
      <c r="AF1015" s="153"/>
      <c r="AG1015" s="126" t="s">
        <v>3420</v>
      </c>
      <c r="AH1015" s="115"/>
      <c r="AK1015" s="306" t="str">
        <f>IF(ISNUMBER(Table1[[#This Row],[FECHA DE RECIBIDO]]), Table1[[#This Row],[FECHA DE RECIBIDO]]-DATE(2023,8,30), "")</f>
        <v/>
      </c>
    </row>
    <row r="1016" spans="1:37" ht="16.05" customHeight="1">
      <c r="A1016" s="150" t="s">
        <v>3274</v>
      </c>
      <c r="B1016" s="151">
        <v>429</v>
      </c>
      <c r="C1016" s="126" t="s">
        <v>1505</v>
      </c>
      <c r="D1016">
        <v>718</v>
      </c>
      <c r="E1016" s="126" t="s">
        <v>1598</v>
      </c>
      <c r="F1016" s="122" t="s">
        <v>1607</v>
      </c>
      <c r="G1016" s="122" t="s">
        <v>134</v>
      </c>
      <c r="H1016">
        <v>156</v>
      </c>
      <c r="I1016" s="122" t="s">
        <v>1546</v>
      </c>
      <c r="J1016" s="307" t="s">
        <v>214</v>
      </c>
      <c r="K1016" s="127" t="s">
        <v>3286</v>
      </c>
      <c r="L1016" s="151" t="s">
        <v>1483</v>
      </c>
      <c r="M1016">
        <v>207</v>
      </c>
      <c r="N1016" s="123">
        <v>17</v>
      </c>
      <c r="O1016">
        <v>723</v>
      </c>
      <c r="P1016" s="132" t="s">
        <v>77</v>
      </c>
      <c r="Q1016" s="131">
        <v>1355.17</v>
      </c>
      <c r="R1016" s="131">
        <v>216.83</v>
      </c>
      <c r="S1016" s="131"/>
      <c r="T1016" s="155"/>
      <c r="U1016" s="131"/>
      <c r="V1016" s="131">
        <v>1572</v>
      </c>
      <c r="W1016">
        <v>145</v>
      </c>
      <c r="X1016" s="151" t="s">
        <v>3260</v>
      </c>
      <c r="Y1016" s="135" t="s">
        <v>55</v>
      </c>
      <c r="Z1016" s="307">
        <v>205</v>
      </c>
      <c r="AB1016" t="str">
        <f>IF(Table1[[#This Row],[TIPO2]]="costo", VLOOKUP(Table1[[#This Row],[PARTIDA PRESUPUESTAL]],'Cost Report'!G:G,1,0),"Balance")</f>
        <v>2494-003</v>
      </c>
      <c r="AC1016" s="118"/>
      <c r="AD1016" s="159">
        <f>+Table1[[#This Row],[SUBTOTAL]]+Table1[[#This Row],[IVA]]-Table1[[#This Row],[RET IVA]]-Table1[[#This Row],[RET ISR]]-Table1[[#This Row],[TOTAL]]</f>
        <v>0</v>
      </c>
      <c r="AE1016" s="150"/>
      <c r="AF1016" s="151"/>
      <c r="AG1016" s="126" t="s">
        <v>3420</v>
      </c>
      <c r="AH1016" s="115"/>
      <c r="AK1016" s="306" t="str">
        <f>IF(ISNUMBER(Table1[[#This Row],[FECHA DE RECIBIDO]]), Table1[[#This Row],[FECHA DE RECIBIDO]]-DATE(2023,8,30), "")</f>
        <v/>
      </c>
    </row>
    <row r="1017" spans="1:37" ht="16.05" customHeight="1">
      <c r="A1017" s="152" t="s">
        <v>3274</v>
      </c>
      <c r="B1017" s="153">
        <v>429</v>
      </c>
      <c r="C1017" s="126" t="s">
        <v>1732</v>
      </c>
      <c r="D1017">
        <v>719</v>
      </c>
      <c r="E1017" s="126" t="s">
        <v>1597</v>
      </c>
      <c r="F1017" s="125" t="s">
        <v>1589</v>
      </c>
      <c r="G1017" s="125" t="s">
        <v>129</v>
      </c>
      <c r="H1017">
        <v>169</v>
      </c>
      <c r="I1017" s="125" t="s">
        <v>1546</v>
      </c>
      <c r="J1017" s="308" t="s">
        <v>214</v>
      </c>
      <c r="K1017" s="127" t="s">
        <v>3286</v>
      </c>
      <c r="L1017" s="153" t="s">
        <v>1483</v>
      </c>
      <c r="M1017">
        <v>226</v>
      </c>
      <c r="N1017" s="123">
        <v>17</v>
      </c>
      <c r="O1017">
        <v>724</v>
      </c>
      <c r="P1017" s="132" t="s">
        <v>77</v>
      </c>
      <c r="Q1017" s="132">
        <v>1000</v>
      </c>
      <c r="R1017" s="132">
        <v>160</v>
      </c>
      <c r="S1017" s="132"/>
      <c r="T1017" s="156"/>
      <c r="U1017" s="132"/>
      <c r="V1017" s="132">
        <v>1160</v>
      </c>
      <c r="W1017">
        <v>145</v>
      </c>
      <c r="X1017" s="153" t="s">
        <v>3260</v>
      </c>
      <c r="Y1017" s="124" t="s">
        <v>55</v>
      </c>
      <c r="Z1017" s="308">
        <v>204</v>
      </c>
      <c r="AB1017" t="str">
        <f>IF(Table1[[#This Row],[TIPO2]]="costo", VLOOKUP(Table1[[#This Row],[PARTIDA PRESUPUESTAL]],'Cost Report'!G:G,1,0),"Balance")</f>
        <v>2494-035</v>
      </c>
      <c r="AC1017" s="118"/>
      <c r="AD1017" s="159">
        <f>+Table1[[#This Row],[SUBTOTAL]]+Table1[[#This Row],[IVA]]-Table1[[#This Row],[RET IVA]]-Table1[[#This Row],[RET ISR]]-Table1[[#This Row],[TOTAL]]</f>
        <v>0</v>
      </c>
      <c r="AE1017" s="152"/>
      <c r="AF1017" s="153"/>
      <c r="AG1017" s="126" t="s">
        <v>3420</v>
      </c>
      <c r="AH1017" s="115"/>
      <c r="AK1017" s="306" t="str">
        <f>IF(ISNUMBER(Table1[[#This Row],[FECHA DE RECIBIDO]]), Table1[[#This Row],[FECHA DE RECIBIDO]]-DATE(2023,8,30), "")</f>
        <v/>
      </c>
    </row>
    <row r="1018" spans="1:37" ht="16.05" customHeight="1">
      <c r="A1018" s="150" t="s">
        <v>3280</v>
      </c>
      <c r="B1018" s="151">
        <v>430</v>
      </c>
      <c r="C1018" s="126" t="s">
        <v>2455</v>
      </c>
      <c r="D1018">
        <v>689</v>
      </c>
      <c r="E1018" s="126"/>
      <c r="F1018" s="122"/>
      <c r="G1018" s="122"/>
      <c r="H1018"/>
      <c r="I1018" s="122"/>
      <c r="J1018" s="307" t="s">
        <v>214</v>
      </c>
      <c r="K1018" s="127" t="s">
        <v>3286</v>
      </c>
      <c r="L1018" s="151" t="s">
        <v>1483</v>
      </c>
      <c r="M1018">
        <v>234</v>
      </c>
      <c r="N1018" s="123">
        <v>17</v>
      </c>
      <c r="O1018">
        <v>522</v>
      </c>
      <c r="P1018" s="132" t="s">
        <v>77</v>
      </c>
      <c r="Q1018" s="131">
        <v>34.799999999999997</v>
      </c>
      <c r="R1018" s="131"/>
      <c r="S1018" s="131"/>
      <c r="T1018" s="155"/>
      <c r="U1018" s="131"/>
      <c r="V1018" s="131">
        <v>34.799999999999997</v>
      </c>
      <c r="W1018">
        <v>104</v>
      </c>
      <c r="X1018" s="151" t="s">
        <v>3260</v>
      </c>
      <c r="Y1018" s="135" t="s">
        <v>55</v>
      </c>
      <c r="Z1018" s="307">
        <v>198</v>
      </c>
      <c r="AB1018" t="str">
        <f>IF(Table1[[#This Row],[TIPO2]]="costo", VLOOKUP(Table1[[#This Row],[PARTIDA PRESUPUESTAL]],'Cost Report'!G:G,1,0),"Balance")</f>
        <v>2285-003</v>
      </c>
      <c r="AC1018" s="118"/>
      <c r="AD1018" s="159">
        <f>+Table1[[#This Row],[SUBTOTAL]]+Table1[[#This Row],[IVA]]-Table1[[#This Row],[RET IVA]]-Table1[[#This Row],[RET ISR]]-Table1[[#This Row],[TOTAL]]</f>
        <v>0</v>
      </c>
      <c r="AE1018" s="150"/>
      <c r="AF1018" s="151"/>
      <c r="AG1018" s="126" t="s">
        <v>3420</v>
      </c>
      <c r="AH1018" s="115"/>
      <c r="AK1018" s="306" t="str">
        <f>IF(ISNUMBER(Table1[[#This Row],[FECHA DE RECIBIDO]]), Table1[[#This Row],[FECHA DE RECIBIDO]]-DATE(2023,8,30), "")</f>
        <v/>
      </c>
    </row>
    <row r="1019" spans="1:37" ht="16.05" customHeight="1">
      <c r="A1019" s="152" t="s">
        <v>3280</v>
      </c>
      <c r="B1019" s="153">
        <v>430</v>
      </c>
      <c r="C1019" s="126" t="s">
        <v>2455</v>
      </c>
      <c r="D1019">
        <v>689</v>
      </c>
      <c r="E1019" s="126"/>
      <c r="F1019" s="125"/>
      <c r="G1019" s="125"/>
      <c r="H1019"/>
      <c r="I1019" s="125"/>
      <c r="J1019" s="308" t="s">
        <v>214</v>
      </c>
      <c r="K1019" s="127" t="s">
        <v>3286</v>
      </c>
      <c r="L1019" s="153" t="s">
        <v>1483</v>
      </c>
      <c r="M1019">
        <v>316</v>
      </c>
      <c r="N1019" s="123">
        <v>17</v>
      </c>
      <c r="O1019">
        <v>725</v>
      </c>
      <c r="P1019" s="132" t="s">
        <v>77</v>
      </c>
      <c r="Q1019" s="132">
        <v>50</v>
      </c>
      <c r="R1019" s="132"/>
      <c r="S1019" s="132"/>
      <c r="T1019" s="156"/>
      <c r="U1019" s="132"/>
      <c r="V1019" s="132">
        <v>50</v>
      </c>
      <c r="W1019">
        <v>104</v>
      </c>
      <c r="X1019" s="153" t="s">
        <v>3260</v>
      </c>
      <c r="Y1019" s="124" t="s">
        <v>55</v>
      </c>
      <c r="Z1019" s="308">
        <v>183</v>
      </c>
      <c r="AB1019" t="str">
        <f>IF(Table1[[#This Row],[TIPO2]]="costo", VLOOKUP(Table1[[#This Row],[PARTIDA PRESUPUESTAL]],'Cost Report'!G:G,1,0),"Balance")</f>
        <v>2285-003</v>
      </c>
      <c r="AC1019" s="118"/>
      <c r="AD1019" s="159">
        <f>+Table1[[#This Row],[SUBTOTAL]]+Table1[[#This Row],[IVA]]-Table1[[#This Row],[RET IVA]]-Table1[[#This Row],[RET ISR]]-Table1[[#This Row],[TOTAL]]</f>
        <v>0</v>
      </c>
      <c r="AE1019" s="152"/>
      <c r="AF1019" s="153"/>
      <c r="AG1019" s="126" t="s">
        <v>3420</v>
      </c>
      <c r="AH1019" s="115"/>
      <c r="AK1019" s="306" t="str">
        <f>IF(ISNUMBER(Table1[[#This Row],[FECHA DE RECIBIDO]]), Table1[[#This Row],[FECHA DE RECIBIDO]]-DATE(2023,8,30), "")</f>
        <v/>
      </c>
    </row>
    <row r="1020" spans="1:37" ht="16.05" customHeight="1">
      <c r="A1020" s="150" t="s">
        <v>3280</v>
      </c>
      <c r="B1020" s="151">
        <v>430</v>
      </c>
      <c r="C1020" s="126" t="s">
        <v>2455</v>
      </c>
      <c r="D1020">
        <v>689</v>
      </c>
      <c r="E1020" s="126"/>
      <c r="F1020" s="122"/>
      <c r="G1020" s="122"/>
      <c r="H1020"/>
      <c r="I1020" s="122"/>
      <c r="J1020" s="307" t="s">
        <v>214</v>
      </c>
      <c r="K1020" s="127" t="s">
        <v>3286</v>
      </c>
      <c r="L1020" s="151" t="s">
        <v>1483</v>
      </c>
      <c r="M1020">
        <v>317</v>
      </c>
      <c r="N1020" s="123">
        <v>17</v>
      </c>
      <c r="O1020">
        <v>726</v>
      </c>
      <c r="P1020" s="132" t="s">
        <v>77</v>
      </c>
      <c r="Q1020" s="131">
        <v>10</v>
      </c>
      <c r="R1020" s="131"/>
      <c r="S1020" s="131"/>
      <c r="T1020" s="155"/>
      <c r="U1020" s="131"/>
      <c r="V1020" s="131">
        <v>10</v>
      </c>
      <c r="W1020">
        <v>104</v>
      </c>
      <c r="X1020" s="151" t="s">
        <v>3260</v>
      </c>
      <c r="Y1020" s="135" t="s">
        <v>55</v>
      </c>
      <c r="Z1020" s="307">
        <v>183</v>
      </c>
      <c r="AB1020" t="str">
        <f>IF(Table1[[#This Row],[TIPO2]]="costo", VLOOKUP(Table1[[#This Row],[PARTIDA PRESUPUESTAL]],'Cost Report'!G:G,1,0),"Balance")</f>
        <v>2285-003</v>
      </c>
      <c r="AC1020" s="118"/>
      <c r="AD1020" s="159">
        <f>+Table1[[#This Row],[SUBTOTAL]]+Table1[[#This Row],[IVA]]-Table1[[#This Row],[RET IVA]]-Table1[[#This Row],[RET ISR]]-Table1[[#This Row],[TOTAL]]</f>
        <v>0</v>
      </c>
      <c r="AE1020" s="150"/>
      <c r="AF1020" s="151"/>
      <c r="AG1020" s="126" t="s">
        <v>3420</v>
      </c>
      <c r="AH1020" s="115"/>
      <c r="AK1020" s="306" t="str">
        <f>IF(ISNUMBER(Table1[[#This Row],[FECHA DE RECIBIDO]]), Table1[[#This Row],[FECHA DE RECIBIDO]]-DATE(2023,8,30), "")</f>
        <v/>
      </c>
    </row>
    <row r="1021" spans="1:37" ht="16.05" customHeight="1">
      <c r="A1021" s="152" t="s">
        <v>3281</v>
      </c>
      <c r="B1021" s="153">
        <v>431</v>
      </c>
      <c r="C1021" s="126" t="s">
        <v>1505</v>
      </c>
      <c r="D1021">
        <v>720</v>
      </c>
      <c r="E1021" s="126" t="s">
        <v>3135</v>
      </c>
      <c r="F1021" s="125" t="s">
        <v>1593</v>
      </c>
      <c r="G1021" s="125" t="s">
        <v>109</v>
      </c>
      <c r="H1021">
        <v>243</v>
      </c>
      <c r="I1021" s="125" t="s">
        <v>1546</v>
      </c>
      <c r="J1021" s="308" t="s">
        <v>214</v>
      </c>
      <c r="K1021" s="127" t="s">
        <v>3286</v>
      </c>
      <c r="L1021" s="153" t="s">
        <v>1483</v>
      </c>
      <c r="M1021">
        <v>318</v>
      </c>
      <c r="N1021" s="123">
        <v>17</v>
      </c>
      <c r="O1021">
        <v>727</v>
      </c>
      <c r="P1021" s="132" t="s">
        <v>77</v>
      </c>
      <c r="Q1021" s="132">
        <v>2628</v>
      </c>
      <c r="R1021" s="132">
        <v>420.48</v>
      </c>
      <c r="S1021" s="132"/>
      <c r="T1021" s="156"/>
      <c r="U1021" s="132">
        <v>32.85</v>
      </c>
      <c r="V1021" s="132">
        <v>3015.63</v>
      </c>
      <c r="W1021">
        <v>148</v>
      </c>
      <c r="X1021" s="153" t="s">
        <v>3260</v>
      </c>
      <c r="Y1021" s="124" t="s">
        <v>55</v>
      </c>
      <c r="Z1021" s="308">
        <v>196</v>
      </c>
      <c r="AB1021" t="str">
        <f>IF(Table1[[#This Row],[TIPO2]]="costo", VLOOKUP(Table1[[#This Row],[PARTIDA PRESUPUESTAL]],'Cost Report'!G:G,1,0),"Balance")</f>
        <v>2494-003</v>
      </c>
      <c r="AC1021" s="118"/>
      <c r="AD1021" s="159">
        <f>+Table1[[#This Row],[SUBTOTAL]]+Table1[[#This Row],[IVA]]-Table1[[#This Row],[RET IVA]]-Table1[[#This Row],[RET ISR]]-Table1[[#This Row],[TOTAL]]</f>
        <v>0</v>
      </c>
      <c r="AE1021" s="152"/>
      <c r="AF1021" s="153"/>
      <c r="AG1021" s="126" t="s">
        <v>3420</v>
      </c>
      <c r="AH1021" s="115"/>
      <c r="AK1021" s="306" t="str">
        <f>IF(ISNUMBER(Table1[[#This Row],[FECHA DE RECIBIDO]]), Table1[[#This Row],[FECHA DE RECIBIDO]]-DATE(2023,8,30), "")</f>
        <v/>
      </c>
    </row>
    <row r="1022" spans="1:37" ht="16.05" customHeight="1">
      <c r="A1022" s="150" t="s">
        <v>3281</v>
      </c>
      <c r="B1022" s="151">
        <v>431</v>
      </c>
      <c r="C1022" s="126" t="s">
        <v>1505</v>
      </c>
      <c r="D1022">
        <v>721</v>
      </c>
      <c r="E1022" s="126" t="s">
        <v>1605</v>
      </c>
      <c r="F1022" s="122" t="s">
        <v>1607</v>
      </c>
      <c r="G1022" s="122" t="s">
        <v>134</v>
      </c>
      <c r="H1022">
        <v>244</v>
      </c>
      <c r="I1022" s="122" t="s">
        <v>1546</v>
      </c>
      <c r="J1022" s="307" t="s">
        <v>214</v>
      </c>
      <c r="K1022" s="127" t="s">
        <v>3286</v>
      </c>
      <c r="L1022" s="151" t="s">
        <v>1483</v>
      </c>
      <c r="M1022">
        <v>319</v>
      </c>
      <c r="N1022" s="123">
        <v>17</v>
      </c>
      <c r="O1022">
        <v>728</v>
      </c>
      <c r="P1022" s="132" t="s">
        <v>77</v>
      </c>
      <c r="Q1022" s="131">
        <v>970.63</v>
      </c>
      <c r="R1022" s="131">
        <v>155.28</v>
      </c>
      <c r="S1022" s="131"/>
      <c r="T1022" s="155"/>
      <c r="U1022" s="131"/>
      <c r="V1022" s="131">
        <v>1125.9100000000001</v>
      </c>
      <c r="W1022">
        <v>148</v>
      </c>
      <c r="X1022" s="151" t="s">
        <v>3260</v>
      </c>
      <c r="Y1022" s="135" t="s">
        <v>55</v>
      </c>
      <c r="Z1022" s="307">
        <v>197</v>
      </c>
      <c r="AB1022" t="str">
        <f>IF(Table1[[#This Row],[TIPO2]]="costo", VLOOKUP(Table1[[#This Row],[PARTIDA PRESUPUESTAL]],'Cost Report'!G:G,1,0),"Balance")</f>
        <v>2494-003</v>
      </c>
      <c r="AC1022" s="118"/>
      <c r="AD1022" s="159">
        <f>+Table1[[#This Row],[SUBTOTAL]]+Table1[[#This Row],[IVA]]-Table1[[#This Row],[RET IVA]]-Table1[[#This Row],[RET ISR]]-Table1[[#This Row],[TOTAL]]</f>
        <v>0</v>
      </c>
      <c r="AE1022" s="150"/>
      <c r="AF1022" s="151"/>
      <c r="AG1022" s="126" t="s">
        <v>3420</v>
      </c>
      <c r="AH1022" s="115"/>
      <c r="AK1022" s="306" t="str">
        <f>IF(ISNUMBER(Table1[[#This Row],[FECHA DE RECIBIDO]]), Table1[[#This Row],[FECHA DE RECIBIDO]]-DATE(2023,8,30), "")</f>
        <v/>
      </c>
    </row>
    <row r="1023" spans="1:37" ht="16.05" customHeight="1">
      <c r="A1023" s="152" t="s">
        <v>3281</v>
      </c>
      <c r="B1023" s="153">
        <v>431</v>
      </c>
      <c r="C1023" s="126" t="s">
        <v>1505</v>
      </c>
      <c r="D1023">
        <v>722</v>
      </c>
      <c r="E1023" s="126" t="s">
        <v>3282</v>
      </c>
      <c r="F1023" s="125" t="s">
        <v>1589</v>
      </c>
      <c r="G1023" s="125" t="s">
        <v>129</v>
      </c>
      <c r="H1023">
        <v>245</v>
      </c>
      <c r="I1023" s="125" t="s">
        <v>1546</v>
      </c>
      <c r="J1023" s="308" t="s">
        <v>214</v>
      </c>
      <c r="K1023" s="127" t="s">
        <v>3286</v>
      </c>
      <c r="L1023" s="153" t="s">
        <v>1483</v>
      </c>
      <c r="M1023">
        <v>320</v>
      </c>
      <c r="N1023" s="123">
        <v>17</v>
      </c>
      <c r="O1023">
        <v>729</v>
      </c>
      <c r="P1023" s="132" t="s">
        <v>77</v>
      </c>
      <c r="Q1023" s="132">
        <v>1050.5</v>
      </c>
      <c r="R1023" s="132">
        <v>168.08</v>
      </c>
      <c r="S1023" s="132"/>
      <c r="T1023" s="156"/>
      <c r="U1023" s="132"/>
      <c r="V1023" s="132">
        <v>1218.58</v>
      </c>
      <c r="W1023">
        <v>148</v>
      </c>
      <c r="X1023" s="153" t="s">
        <v>3260</v>
      </c>
      <c r="Y1023" s="124" t="s">
        <v>55</v>
      </c>
      <c r="Z1023" s="308">
        <v>198</v>
      </c>
      <c r="AB1023" t="str">
        <f>IF(Table1[[#This Row],[TIPO2]]="costo", VLOOKUP(Table1[[#This Row],[PARTIDA PRESUPUESTAL]],'Cost Report'!G:G,1,0),"Balance")</f>
        <v>2494-003</v>
      </c>
      <c r="AC1023" s="118"/>
      <c r="AD1023" s="159">
        <f>+Table1[[#This Row],[SUBTOTAL]]+Table1[[#This Row],[IVA]]-Table1[[#This Row],[RET IVA]]-Table1[[#This Row],[RET ISR]]-Table1[[#This Row],[TOTAL]]</f>
        <v>0</v>
      </c>
      <c r="AE1023" s="152"/>
      <c r="AF1023" s="153"/>
      <c r="AG1023" s="126" t="s">
        <v>3420</v>
      </c>
      <c r="AH1023" s="115"/>
      <c r="AK1023" s="306" t="str">
        <f>IF(ISNUMBER(Table1[[#This Row],[FECHA DE RECIBIDO]]), Table1[[#This Row],[FECHA DE RECIBIDO]]-DATE(2023,8,30), "")</f>
        <v/>
      </c>
    </row>
    <row r="1024" spans="1:37" ht="16.05" customHeight="1">
      <c r="A1024" s="150" t="s">
        <v>3281</v>
      </c>
      <c r="B1024" s="151">
        <v>431</v>
      </c>
      <c r="C1024" s="126" t="s">
        <v>1505</v>
      </c>
      <c r="D1024">
        <v>723</v>
      </c>
      <c r="E1024" s="126" t="s">
        <v>1596</v>
      </c>
      <c r="F1024" s="122" t="s">
        <v>1607</v>
      </c>
      <c r="G1024" s="122" t="s">
        <v>134</v>
      </c>
      <c r="H1024">
        <v>246</v>
      </c>
      <c r="I1024" s="122" t="s">
        <v>1546</v>
      </c>
      <c r="J1024" s="307" t="s">
        <v>214</v>
      </c>
      <c r="K1024" s="127" t="s">
        <v>3286</v>
      </c>
      <c r="L1024" s="151" t="s">
        <v>1483</v>
      </c>
      <c r="M1024">
        <v>321</v>
      </c>
      <c r="N1024" s="123">
        <v>17</v>
      </c>
      <c r="O1024">
        <v>730</v>
      </c>
      <c r="P1024" s="132" t="s">
        <v>77</v>
      </c>
      <c r="Q1024" s="131">
        <v>156.74</v>
      </c>
      <c r="R1024" s="131">
        <v>25.07</v>
      </c>
      <c r="S1024" s="131"/>
      <c r="T1024" s="155"/>
      <c r="U1024" s="131"/>
      <c r="V1024" s="131">
        <v>181.81</v>
      </c>
      <c r="W1024">
        <v>148</v>
      </c>
      <c r="X1024" s="151" t="s">
        <v>3260</v>
      </c>
      <c r="Y1024" s="135" t="s">
        <v>55</v>
      </c>
      <c r="Z1024" s="307">
        <v>198</v>
      </c>
      <c r="AB1024" t="str">
        <f>IF(Table1[[#This Row],[TIPO2]]="costo", VLOOKUP(Table1[[#This Row],[PARTIDA PRESUPUESTAL]],'Cost Report'!G:G,1,0),"Balance")</f>
        <v>2494-003</v>
      </c>
      <c r="AC1024" s="118"/>
      <c r="AD1024" s="159">
        <f>+Table1[[#This Row],[SUBTOTAL]]+Table1[[#This Row],[IVA]]-Table1[[#This Row],[RET IVA]]-Table1[[#This Row],[RET ISR]]-Table1[[#This Row],[TOTAL]]</f>
        <v>0</v>
      </c>
      <c r="AE1024" s="150"/>
      <c r="AF1024" s="151"/>
      <c r="AG1024" s="126" t="s">
        <v>3420</v>
      </c>
      <c r="AH1024" s="115"/>
      <c r="AK1024" s="306" t="str">
        <f>IF(ISNUMBER(Table1[[#This Row],[FECHA DE RECIBIDO]]), Table1[[#This Row],[FECHA DE RECIBIDO]]-DATE(2023,8,30), "")</f>
        <v/>
      </c>
    </row>
    <row r="1025" spans="1:37" ht="16.05" customHeight="1">
      <c r="A1025" s="152" t="s">
        <v>3281</v>
      </c>
      <c r="B1025" s="153">
        <v>431</v>
      </c>
      <c r="C1025" s="126" t="s">
        <v>1505</v>
      </c>
      <c r="D1025">
        <v>724</v>
      </c>
      <c r="E1025" s="126" t="s">
        <v>2001</v>
      </c>
      <c r="F1025" s="125" t="s">
        <v>1593</v>
      </c>
      <c r="G1025" s="125" t="s">
        <v>109</v>
      </c>
      <c r="H1025">
        <v>247</v>
      </c>
      <c r="I1025" s="125" t="s">
        <v>1546</v>
      </c>
      <c r="J1025" s="308" t="s">
        <v>214</v>
      </c>
      <c r="K1025" s="127" t="s">
        <v>3286</v>
      </c>
      <c r="L1025" s="153" t="s">
        <v>1483</v>
      </c>
      <c r="M1025">
        <v>322</v>
      </c>
      <c r="N1025" s="123">
        <v>17</v>
      </c>
      <c r="O1025">
        <v>731</v>
      </c>
      <c r="P1025" s="132" t="s">
        <v>77</v>
      </c>
      <c r="Q1025" s="132">
        <v>858.37</v>
      </c>
      <c r="R1025" s="132">
        <v>137.32</v>
      </c>
      <c r="S1025" s="132"/>
      <c r="T1025" s="156"/>
      <c r="U1025" s="132">
        <v>10.69</v>
      </c>
      <c r="V1025" s="132">
        <v>985</v>
      </c>
      <c r="W1025">
        <v>148</v>
      </c>
      <c r="X1025" s="153" t="s">
        <v>3260</v>
      </c>
      <c r="Y1025" s="124" t="s">
        <v>55</v>
      </c>
      <c r="Z1025" s="308">
        <v>197</v>
      </c>
      <c r="AB1025" t="str">
        <f>IF(Table1[[#This Row],[TIPO2]]="costo", VLOOKUP(Table1[[#This Row],[PARTIDA PRESUPUESTAL]],'Cost Report'!G:G,1,0),"Balance")</f>
        <v>2494-003</v>
      </c>
      <c r="AC1025" s="118"/>
      <c r="AD1025" s="159">
        <f>+Table1[[#This Row],[SUBTOTAL]]+Table1[[#This Row],[IVA]]-Table1[[#This Row],[RET IVA]]-Table1[[#This Row],[RET ISR]]-Table1[[#This Row],[TOTAL]]</f>
        <v>0</v>
      </c>
      <c r="AE1025" s="152"/>
      <c r="AF1025" s="153"/>
      <c r="AG1025" s="126" t="s">
        <v>3420</v>
      </c>
      <c r="AH1025" s="115"/>
      <c r="AK1025" s="306" t="str">
        <f>IF(ISNUMBER(Table1[[#This Row],[FECHA DE RECIBIDO]]), Table1[[#This Row],[FECHA DE RECIBIDO]]-DATE(2023,8,30), "")</f>
        <v/>
      </c>
    </row>
    <row r="1026" spans="1:37" ht="16.05" customHeight="1">
      <c r="A1026" s="150" t="s">
        <v>3281</v>
      </c>
      <c r="B1026" s="151">
        <v>431</v>
      </c>
      <c r="C1026" s="126" t="s">
        <v>1505</v>
      </c>
      <c r="D1026">
        <v>725</v>
      </c>
      <c r="E1026" s="126" t="s">
        <v>3275</v>
      </c>
      <c r="F1026" s="122" t="s">
        <v>1607</v>
      </c>
      <c r="G1026" s="122" t="s">
        <v>134</v>
      </c>
      <c r="H1026">
        <v>41</v>
      </c>
      <c r="I1026" s="122" t="s">
        <v>1546</v>
      </c>
      <c r="J1026" s="307" t="s">
        <v>214</v>
      </c>
      <c r="K1026" s="127" t="s">
        <v>3286</v>
      </c>
      <c r="L1026" s="151" t="s">
        <v>1483</v>
      </c>
      <c r="M1026">
        <v>323</v>
      </c>
      <c r="N1026" s="123">
        <v>17</v>
      </c>
      <c r="O1026">
        <v>732</v>
      </c>
      <c r="P1026" s="132" t="s">
        <v>77</v>
      </c>
      <c r="Q1026" s="131">
        <v>1907.16</v>
      </c>
      <c r="R1026" s="131">
        <v>160.34</v>
      </c>
      <c r="S1026" s="131"/>
      <c r="T1026" s="155"/>
      <c r="U1026" s="131"/>
      <c r="V1026" s="131">
        <v>2067.5</v>
      </c>
      <c r="W1026">
        <v>148</v>
      </c>
      <c r="X1026" s="151" t="s">
        <v>3260</v>
      </c>
      <c r="Y1026" s="135" t="s">
        <v>55</v>
      </c>
      <c r="Z1026" s="307">
        <v>202</v>
      </c>
      <c r="AB1026" t="str">
        <f>IF(Table1[[#This Row],[TIPO2]]="costo", VLOOKUP(Table1[[#This Row],[PARTIDA PRESUPUESTAL]],'Cost Report'!G:G,1,0),"Balance")</f>
        <v>2494-003</v>
      </c>
      <c r="AC1026" s="118"/>
      <c r="AD1026" s="159">
        <f>+Table1[[#This Row],[SUBTOTAL]]+Table1[[#This Row],[IVA]]-Table1[[#This Row],[RET IVA]]-Table1[[#This Row],[RET ISR]]-Table1[[#This Row],[TOTAL]]</f>
        <v>0</v>
      </c>
      <c r="AE1026" s="150"/>
      <c r="AF1026" s="151"/>
      <c r="AG1026" s="126" t="s">
        <v>3420</v>
      </c>
      <c r="AH1026" s="115"/>
      <c r="AK1026" s="306" t="str">
        <f>IF(ISNUMBER(Table1[[#This Row],[FECHA DE RECIBIDO]]), Table1[[#This Row],[FECHA DE RECIBIDO]]-DATE(2023,8,30), "")</f>
        <v/>
      </c>
    </row>
    <row r="1027" spans="1:37" ht="16.05" customHeight="1">
      <c r="A1027" s="152" t="s">
        <v>3281</v>
      </c>
      <c r="B1027" s="153">
        <v>431</v>
      </c>
      <c r="C1027" s="126" t="s">
        <v>1505</v>
      </c>
      <c r="D1027">
        <v>726</v>
      </c>
      <c r="E1027" s="126" t="s">
        <v>3275</v>
      </c>
      <c r="F1027" s="125" t="s">
        <v>1607</v>
      </c>
      <c r="G1027" s="125" t="s">
        <v>134</v>
      </c>
      <c r="H1027">
        <v>41</v>
      </c>
      <c r="I1027" s="125" t="s">
        <v>1546</v>
      </c>
      <c r="J1027" s="308" t="s">
        <v>214</v>
      </c>
      <c r="K1027" s="127" t="s">
        <v>3286</v>
      </c>
      <c r="L1027" s="153" t="s">
        <v>1483</v>
      </c>
      <c r="M1027">
        <v>323</v>
      </c>
      <c r="N1027" s="123">
        <v>17</v>
      </c>
      <c r="O1027">
        <v>733</v>
      </c>
      <c r="P1027" s="132" t="s">
        <v>77</v>
      </c>
      <c r="Q1027" s="132">
        <v>905.17</v>
      </c>
      <c r="R1027" s="132">
        <v>144.83000000000001</v>
      </c>
      <c r="S1027" s="132"/>
      <c r="T1027" s="156"/>
      <c r="U1027" s="132"/>
      <c r="V1027" s="132">
        <v>1050</v>
      </c>
      <c r="W1027">
        <v>148</v>
      </c>
      <c r="X1027" s="153" t="s">
        <v>3260</v>
      </c>
      <c r="Y1027" s="124" t="s">
        <v>55</v>
      </c>
      <c r="Z1027" s="308">
        <v>202</v>
      </c>
      <c r="AB1027" t="str">
        <f>IF(Table1[[#This Row],[TIPO2]]="costo", VLOOKUP(Table1[[#This Row],[PARTIDA PRESUPUESTAL]],'Cost Report'!G:G,1,0),"Balance")</f>
        <v>2494-003</v>
      </c>
      <c r="AC1027" s="118"/>
      <c r="AD1027" s="159">
        <f>+Table1[[#This Row],[SUBTOTAL]]+Table1[[#This Row],[IVA]]-Table1[[#This Row],[RET IVA]]-Table1[[#This Row],[RET ISR]]-Table1[[#This Row],[TOTAL]]</f>
        <v>0</v>
      </c>
      <c r="AE1027" s="152"/>
      <c r="AF1027" s="153"/>
      <c r="AG1027" s="126" t="s">
        <v>3420</v>
      </c>
      <c r="AH1027" s="115"/>
      <c r="AK1027" s="306" t="str">
        <f>IF(ISNUMBER(Table1[[#This Row],[FECHA DE RECIBIDO]]), Table1[[#This Row],[FECHA DE RECIBIDO]]-DATE(2023,8,30), "")</f>
        <v/>
      </c>
    </row>
    <row r="1028" spans="1:37" ht="16.05" customHeight="1">
      <c r="A1028" s="150" t="s">
        <v>3281</v>
      </c>
      <c r="B1028" s="151">
        <v>431</v>
      </c>
      <c r="C1028" s="126" t="s">
        <v>1505</v>
      </c>
      <c r="D1028">
        <v>727</v>
      </c>
      <c r="E1028" s="126" t="s">
        <v>3278</v>
      </c>
      <c r="F1028" s="122" t="s">
        <v>1607</v>
      </c>
      <c r="G1028" s="122" t="s">
        <v>134</v>
      </c>
      <c r="H1028">
        <v>56</v>
      </c>
      <c r="I1028" s="122" t="s">
        <v>1546</v>
      </c>
      <c r="J1028" s="307" t="s">
        <v>214</v>
      </c>
      <c r="K1028" s="127" t="s">
        <v>3286</v>
      </c>
      <c r="L1028" s="151" t="s">
        <v>1483</v>
      </c>
      <c r="M1028">
        <v>324</v>
      </c>
      <c r="N1028" s="123">
        <v>17</v>
      </c>
      <c r="O1028">
        <v>734</v>
      </c>
      <c r="P1028" s="132" t="s">
        <v>77</v>
      </c>
      <c r="Q1028" s="131">
        <v>308.62</v>
      </c>
      <c r="R1028" s="131">
        <v>49.38</v>
      </c>
      <c r="S1028" s="131"/>
      <c r="T1028" s="155"/>
      <c r="U1028" s="131"/>
      <c r="V1028" s="131">
        <v>358</v>
      </c>
      <c r="W1028">
        <v>148</v>
      </c>
      <c r="X1028" s="151" t="s">
        <v>3260</v>
      </c>
      <c r="Y1028" s="135" t="s">
        <v>55</v>
      </c>
      <c r="Z1028" s="307">
        <v>202</v>
      </c>
      <c r="AB1028" t="str">
        <f>IF(Table1[[#This Row],[TIPO2]]="costo", VLOOKUP(Table1[[#This Row],[PARTIDA PRESUPUESTAL]],'Cost Report'!G:G,1,0),"Balance")</f>
        <v>2494-003</v>
      </c>
      <c r="AC1028" s="118"/>
      <c r="AD1028" s="159">
        <f>+Table1[[#This Row],[SUBTOTAL]]+Table1[[#This Row],[IVA]]-Table1[[#This Row],[RET IVA]]-Table1[[#This Row],[RET ISR]]-Table1[[#This Row],[TOTAL]]</f>
        <v>0</v>
      </c>
      <c r="AE1028" s="150"/>
      <c r="AF1028" s="151"/>
      <c r="AG1028" s="126" t="s">
        <v>3420</v>
      </c>
      <c r="AH1028" s="115"/>
      <c r="AK1028" s="306" t="str">
        <f>IF(ISNUMBER(Table1[[#This Row],[FECHA DE RECIBIDO]]), Table1[[#This Row],[FECHA DE RECIBIDO]]-DATE(2023,8,30), "")</f>
        <v/>
      </c>
    </row>
    <row r="1029" spans="1:37" ht="16.05" customHeight="1">
      <c r="A1029" s="152" t="s">
        <v>3281</v>
      </c>
      <c r="B1029" s="153">
        <v>431</v>
      </c>
      <c r="C1029" s="126" t="s">
        <v>1505</v>
      </c>
      <c r="D1029">
        <v>728</v>
      </c>
      <c r="E1029" s="126" t="s">
        <v>3278</v>
      </c>
      <c r="F1029" s="125" t="s">
        <v>1607</v>
      </c>
      <c r="G1029" s="125" t="s">
        <v>134</v>
      </c>
      <c r="H1029">
        <v>56</v>
      </c>
      <c r="I1029" s="125" t="s">
        <v>1546</v>
      </c>
      <c r="J1029" s="308" t="s">
        <v>214</v>
      </c>
      <c r="K1029" s="127" t="s">
        <v>3286</v>
      </c>
      <c r="L1029" s="153" t="s">
        <v>1483</v>
      </c>
      <c r="M1029">
        <v>324</v>
      </c>
      <c r="N1029" s="123">
        <v>17</v>
      </c>
      <c r="O1029">
        <v>735</v>
      </c>
      <c r="P1029" s="132" t="s">
        <v>77</v>
      </c>
      <c r="Q1029" s="132">
        <v>292.24</v>
      </c>
      <c r="R1029" s="132">
        <v>46.76</v>
      </c>
      <c r="S1029" s="132"/>
      <c r="T1029" s="156"/>
      <c r="U1029" s="132"/>
      <c r="V1029" s="132">
        <v>339</v>
      </c>
      <c r="W1029">
        <v>148</v>
      </c>
      <c r="X1029" s="153" t="s">
        <v>3260</v>
      </c>
      <c r="Y1029" s="124" t="s">
        <v>55</v>
      </c>
      <c r="Z1029" s="308">
        <v>202</v>
      </c>
      <c r="AB1029" t="str">
        <f>IF(Table1[[#This Row],[TIPO2]]="costo", VLOOKUP(Table1[[#This Row],[PARTIDA PRESUPUESTAL]],'Cost Report'!G:G,1,0),"Balance")</f>
        <v>2494-003</v>
      </c>
      <c r="AC1029" s="118"/>
      <c r="AD1029" s="159">
        <f>+Table1[[#This Row],[SUBTOTAL]]+Table1[[#This Row],[IVA]]-Table1[[#This Row],[RET IVA]]-Table1[[#This Row],[RET ISR]]-Table1[[#This Row],[TOTAL]]</f>
        <v>0</v>
      </c>
      <c r="AE1029" s="152"/>
      <c r="AF1029" s="153"/>
      <c r="AG1029" s="126" t="s">
        <v>3420</v>
      </c>
      <c r="AH1029" s="115"/>
      <c r="AK1029" s="306" t="str">
        <f>IF(ISNUMBER(Table1[[#This Row],[FECHA DE RECIBIDO]]), Table1[[#This Row],[FECHA DE RECIBIDO]]-DATE(2023,8,30), "")</f>
        <v/>
      </c>
    </row>
    <row r="1030" spans="1:37" ht="16.05" customHeight="1">
      <c r="A1030" s="150" t="s">
        <v>3281</v>
      </c>
      <c r="B1030" s="151">
        <v>431</v>
      </c>
      <c r="C1030" s="126" t="s">
        <v>1505</v>
      </c>
      <c r="D1030">
        <v>729</v>
      </c>
      <c r="E1030" s="126" t="s">
        <v>3275</v>
      </c>
      <c r="F1030" s="122" t="s">
        <v>1607</v>
      </c>
      <c r="G1030" s="122" t="s">
        <v>134</v>
      </c>
      <c r="H1030">
        <v>177</v>
      </c>
      <c r="I1030" s="122" t="s">
        <v>1546</v>
      </c>
      <c r="J1030" s="307" t="s">
        <v>214</v>
      </c>
      <c r="K1030" s="127" t="s">
        <v>3286</v>
      </c>
      <c r="L1030" s="151" t="s">
        <v>1483</v>
      </c>
      <c r="M1030">
        <v>238</v>
      </c>
      <c r="N1030" s="123">
        <v>17</v>
      </c>
      <c r="O1030">
        <v>736</v>
      </c>
      <c r="P1030" s="132" t="s">
        <v>77</v>
      </c>
      <c r="Q1030" s="131">
        <v>1259.72</v>
      </c>
      <c r="R1030" s="131">
        <v>201.56</v>
      </c>
      <c r="S1030" s="131"/>
      <c r="T1030" s="155"/>
      <c r="U1030" s="131"/>
      <c r="V1030" s="131">
        <v>1461.28</v>
      </c>
      <c r="W1030">
        <v>148</v>
      </c>
      <c r="X1030" s="151" t="s">
        <v>3260</v>
      </c>
      <c r="Y1030" s="135" t="s">
        <v>55</v>
      </c>
      <c r="Z1030" s="307">
        <v>202</v>
      </c>
      <c r="AB1030" t="str">
        <f>IF(Table1[[#This Row],[TIPO2]]="costo", VLOOKUP(Table1[[#This Row],[PARTIDA PRESUPUESTAL]],'Cost Report'!G:G,1,0),"Balance")</f>
        <v>2494-003</v>
      </c>
      <c r="AC1030" s="118"/>
      <c r="AD1030" s="159">
        <f>+Table1[[#This Row],[SUBTOTAL]]+Table1[[#This Row],[IVA]]-Table1[[#This Row],[RET IVA]]-Table1[[#This Row],[RET ISR]]-Table1[[#This Row],[TOTAL]]</f>
        <v>0</v>
      </c>
      <c r="AE1030" s="150"/>
      <c r="AF1030" s="151"/>
      <c r="AG1030" s="126" t="s">
        <v>3420</v>
      </c>
      <c r="AH1030" s="115"/>
      <c r="AK1030" s="306" t="str">
        <f>IF(ISNUMBER(Table1[[#This Row],[FECHA DE RECIBIDO]]), Table1[[#This Row],[FECHA DE RECIBIDO]]-DATE(2023,8,30), "")</f>
        <v/>
      </c>
    </row>
    <row r="1031" spans="1:37" ht="16.05" customHeight="1">
      <c r="A1031" s="152" t="s">
        <v>3281</v>
      </c>
      <c r="B1031" s="153">
        <v>431</v>
      </c>
      <c r="C1031" s="126" t="s">
        <v>1505</v>
      </c>
      <c r="D1031">
        <v>730</v>
      </c>
      <c r="E1031" s="126" t="s">
        <v>3275</v>
      </c>
      <c r="F1031" s="125" t="s">
        <v>1607</v>
      </c>
      <c r="G1031" s="125" t="s">
        <v>134</v>
      </c>
      <c r="H1031">
        <v>177</v>
      </c>
      <c r="I1031" s="125" t="s">
        <v>1546</v>
      </c>
      <c r="J1031" s="308" t="s">
        <v>214</v>
      </c>
      <c r="K1031" s="127" t="s">
        <v>3286</v>
      </c>
      <c r="L1031" s="153" t="s">
        <v>1483</v>
      </c>
      <c r="M1031">
        <v>238</v>
      </c>
      <c r="N1031" s="123">
        <v>17</v>
      </c>
      <c r="O1031">
        <v>737</v>
      </c>
      <c r="P1031" s="132" t="s">
        <v>77</v>
      </c>
      <c r="Q1031" s="132">
        <v>465.41</v>
      </c>
      <c r="R1031" s="132">
        <v>74.47</v>
      </c>
      <c r="S1031" s="132"/>
      <c r="T1031" s="156"/>
      <c r="U1031" s="132"/>
      <c r="V1031" s="132">
        <v>539.88</v>
      </c>
      <c r="W1031">
        <v>148</v>
      </c>
      <c r="X1031" s="153" t="s">
        <v>3260</v>
      </c>
      <c r="Y1031" s="124" t="s">
        <v>55</v>
      </c>
      <c r="Z1031" s="308">
        <v>202</v>
      </c>
      <c r="AB1031" t="str">
        <f>IF(Table1[[#This Row],[TIPO2]]="costo", VLOOKUP(Table1[[#This Row],[PARTIDA PRESUPUESTAL]],'Cost Report'!G:G,1,0),"Balance")</f>
        <v>2494-003</v>
      </c>
      <c r="AC1031" s="118"/>
      <c r="AD1031" s="159">
        <f>+Table1[[#This Row],[SUBTOTAL]]+Table1[[#This Row],[IVA]]-Table1[[#This Row],[RET IVA]]-Table1[[#This Row],[RET ISR]]-Table1[[#This Row],[TOTAL]]</f>
        <v>0</v>
      </c>
      <c r="AE1031" s="152"/>
      <c r="AF1031" s="153"/>
      <c r="AG1031" s="126" t="s">
        <v>3420</v>
      </c>
      <c r="AH1031" s="115"/>
      <c r="AK1031" s="306" t="str">
        <f>IF(ISNUMBER(Table1[[#This Row],[FECHA DE RECIBIDO]]), Table1[[#This Row],[FECHA DE RECIBIDO]]-DATE(2023,8,30), "")</f>
        <v/>
      </c>
    </row>
    <row r="1032" spans="1:37" ht="16.05" customHeight="1">
      <c r="A1032" s="150" t="s">
        <v>3281</v>
      </c>
      <c r="B1032" s="151">
        <v>431</v>
      </c>
      <c r="C1032" s="126" t="s">
        <v>1505</v>
      </c>
      <c r="D1032">
        <v>731</v>
      </c>
      <c r="E1032" s="126" t="s">
        <v>1596</v>
      </c>
      <c r="F1032" s="122" t="s">
        <v>1607</v>
      </c>
      <c r="G1032" s="122" t="s">
        <v>134</v>
      </c>
      <c r="H1032">
        <v>177</v>
      </c>
      <c r="I1032" s="122" t="s">
        <v>1546</v>
      </c>
      <c r="J1032" s="307" t="s">
        <v>214</v>
      </c>
      <c r="K1032" s="127" t="s">
        <v>3286</v>
      </c>
      <c r="L1032" s="151" t="s">
        <v>1483</v>
      </c>
      <c r="M1032">
        <v>238</v>
      </c>
      <c r="N1032" s="123">
        <v>17</v>
      </c>
      <c r="O1032">
        <v>738</v>
      </c>
      <c r="P1032" s="132" t="s">
        <v>77</v>
      </c>
      <c r="Q1032" s="131">
        <v>137.9</v>
      </c>
      <c r="R1032" s="131">
        <v>22.06</v>
      </c>
      <c r="S1032" s="131"/>
      <c r="T1032" s="155"/>
      <c r="U1032" s="131"/>
      <c r="V1032" s="131">
        <v>159.96</v>
      </c>
      <c r="W1032">
        <v>148</v>
      </c>
      <c r="X1032" s="151" t="s">
        <v>3260</v>
      </c>
      <c r="Y1032" s="135" t="s">
        <v>55</v>
      </c>
      <c r="Z1032" s="307">
        <v>203</v>
      </c>
      <c r="AB1032" t="str">
        <f>IF(Table1[[#This Row],[TIPO2]]="costo", VLOOKUP(Table1[[#This Row],[PARTIDA PRESUPUESTAL]],'Cost Report'!G:G,1,0),"Balance")</f>
        <v>2494-003</v>
      </c>
      <c r="AC1032" s="118"/>
      <c r="AD1032" s="159">
        <f>+Table1[[#This Row],[SUBTOTAL]]+Table1[[#This Row],[IVA]]-Table1[[#This Row],[RET IVA]]-Table1[[#This Row],[RET ISR]]-Table1[[#This Row],[TOTAL]]</f>
        <v>0</v>
      </c>
      <c r="AE1032" s="150"/>
      <c r="AF1032" s="151"/>
      <c r="AG1032" s="126" t="s">
        <v>3420</v>
      </c>
      <c r="AH1032" s="115"/>
      <c r="AK1032" s="306" t="str">
        <f>IF(ISNUMBER(Table1[[#This Row],[FECHA DE RECIBIDO]]), Table1[[#This Row],[FECHA DE RECIBIDO]]-DATE(2023,8,30), "")</f>
        <v/>
      </c>
    </row>
    <row r="1033" spans="1:37" ht="16.05" customHeight="1">
      <c r="A1033" s="152" t="s">
        <v>3281</v>
      </c>
      <c r="B1033" s="153">
        <v>431</v>
      </c>
      <c r="C1033" s="126" t="s">
        <v>1505</v>
      </c>
      <c r="D1033">
        <v>732</v>
      </c>
      <c r="E1033" s="126" t="s">
        <v>1596</v>
      </c>
      <c r="F1033" s="125" t="s">
        <v>1607</v>
      </c>
      <c r="G1033" s="125" t="s">
        <v>134</v>
      </c>
      <c r="H1033">
        <v>177</v>
      </c>
      <c r="I1033" s="125" t="s">
        <v>1546</v>
      </c>
      <c r="J1033" s="308" t="s">
        <v>214</v>
      </c>
      <c r="K1033" s="127" t="s">
        <v>3286</v>
      </c>
      <c r="L1033" s="153" t="s">
        <v>1483</v>
      </c>
      <c r="M1033">
        <v>238</v>
      </c>
      <c r="N1033" s="123">
        <v>17</v>
      </c>
      <c r="O1033">
        <v>739</v>
      </c>
      <c r="P1033" s="132" t="s">
        <v>77</v>
      </c>
      <c r="Q1033" s="132">
        <v>155.12</v>
      </c>
      <c r="R1033" s="132">
        <v>24.82</v>
      </c>
      <c r="S1033" s="132"/>
      <c r="T1033" s="156"/>
      <c r="U1033" s="132"/>
      <c r="V1033" s="132">
        <v>179.94</v>
      </c>
      <c r="W1033">
        <v>148</v>
      </c>
      <c r="X1033" s="153" t="s">
        <v>3260</v>
      </c>
      <c r="Y1033" s="124" t="s">
        <v>55</v>
      </c>
      <c r="Z1033" s="308">
        <v>203</v>
      </c>
      <c r="AB1033" t="str">
        <f>IF(Table1[[#This Row],[TIPO2]]="costo", VLOOKUP(Table1[[#This Row],[PARTIDA PRESUPUESTAL]],'Cost Report'!G:G,1,0),"Balance")</f>
        <v>2494-003</v>
      </c>
      <c r="AC1033" s="118"/>
      <c r="AD1033" s="159">
        <f>+Table1[[#This Row],[SUBTOTAL]]+Table1[[#This Row],[IVA]]-Table1[[#This Row],[RET IVA]]-Table1[[#This Row],[RET ISR]]-Table1[[#This Row],[TOTAL]]</f>
        <v>0</v>
      </c>
      <c r="AE1033" s="152"/>
      <c r="AF1033" s="153"/>
      <c r="AG1033" s="126" t="s">
        <v>3420</v>
      </c>
      <c r="AH1033" s="115"/>
      <c r="AK1033" s="306" t="str">
        <f>IF(ISNUMBER(Table1[[#This Row],[FECHA DE RECIBIDO]]), Table1[[#This Row],[FECHA DE RECIBIDO]]-DATE(2023,8,30), "")</f>
        <v/>
      </c>
    </row>
    <row r="1034" spans="1:37" ht="16.05" customHeight="1">
      <c r="A1034" s="150" t="s">
        <v>3281</v>
      </c>
      <c r="B1034" s="151">
        <v>431</v>
      </c>
      <c r="C1034" s="126" t="s">
        <v>1505</v>
      </c>
      <c r="D1034">
        <v>733</v>
      </c>
      <c r="E1034" s="126" t="s">
        <v>3283</v>
      </c>
      <c r="F1034" s="122" t="s">
        <v>1607</v>
      </c>
      <c r="G1034" s="122" t="s">
        <v>134</v>
      </c>
      <c r="H1034">
        <v>177</v>
      </c>
      <c r="I1034" s="122" t="s">
        <v>1546</v>
      </c>
      <c r="J1034" s="307" t="s">
        <v>214</v>
      </c>
      <c r="K1034" s="127" t="s">
        <v>3286</v>
      </c>
      <c r="L1034" s="151" t="s">
        <v>1483</v>
      </c>
      <c r="M1034">
        <v>238</v>
      </c>
      <c r="N1034" s="123">
        <v>17</v>
      </c>
      <c r="O1034">
        <v>740</v>
      </c>
      <c r="P1034" s="132" t="s">
        <v>77</v>
      </c>
      <c r="Q1034" s="131">
        <v>68.959999999999994</v>
      </c>
      <c r="R1034" s="131">
        <v>11.03</v>
      </c>
      <c r="S1034" s="131"/>
      <c r="T1034" s="155"/>
      <c r="U1034" s="131"/>
      <c r="V1034" s="131">
        <v>79.989999999999995</v>
      </c>
      <c r="W1034">
        <v>148</v>
      </c>
      <c r="X1034" s="151" t="s">
        <v>3260</v>
      </c>
      <c r="Y1034" s="135" t="s">
        <v>55</v>
      </c>
      <c r="Z1034" s="307">
        <v>203</v>
      </c>
      <c r="AB1034" t="str">
        <f>IF(Table1[[#This Row],[TIPO2]]="costo", VLOOKUP(Table1[[#This Row],[PARTIDA PRESUPUESTAL]],'Cost Report'!G:G,1,0),"Balance")</f>
        <v>2494-003</v>
      </c>
      <c r="AC1034" s="118"/>
      <c r="AD1034" s="159">
        <f>+Table1[[#This Row],[SUBTOTAL]]+Table1[[#This Row],[IVA]]-Table1[[#This Row],[RET IVA]]-Table1[[#This Row],[RET ISR]]-Table1[[#This Row],[TOTAL]]</f>
        <v>0</v>
      </c>
      <c r="AE1034" s="150"/>
      <c r="AF1034" s="151"/>
      <c r="AG1034" s="126" t="s">
        <v>3420</v>
      </c>
      <c r="AH1034" s="115"/>
      <c r="AK1034" s="306" t="str">
        <f>IF(ISNUMBER(Table1[[#This Row],[FECHA DE RECIBIDO]]), Table1[[#This Row],[FECHA DE RECIBIDO]]-DATE(2023,8,30), "")</f>
        <v/>
      </c>
    </row>
    <row r="1035" spans="1:37" ht="16.05" customHeight="1">
      <c r="A1035" s="152" t="s">
        <v>3281</v>
      </c>
      <c r="B1035" s="153">
        <v>431</v>
      </c>
      <c r="C1035" s="126" t="s">
        <v>1505</v>
      </c>
      <c r="D1035">
        <v>734</v>
      </c>
      <c r="E1035" s="126" t="s">
        <v>1596</v>
      </c>
      <c r="F1035" s="125" t="s">
        <v>1607</v>
      </c>
      <c r="G1035" s="125" t="s">
        <v>134</v>
      </c>
      <c r="H1035">
        <v>248</v>
      </c>
      <c r="I1035" s="125" t="s">
        <v>1546</v>
      </c>
      <c r="J1035" s="308" t="s">
        <v>214</v>
      </c>
      <c r="K1035" s="127" t="s">
        <v>3286</v>
      </c>
      <c r="L1035" s="153" t="s">
        <v>1483</v>
      </c>
      <c r="M1035">
        <v>325</v>
      </c>
      <c r="N1035" s="123">
        <v>17</v>
      </c>
      <c r="O1035">
        <v>741</v>
      </c>
      <c r="P1035" s="132" t="s">
        <v>77</v>
      </c>
      <c r="Q1035" s="132">
        <v>244.75</v>
      </c>
      <c r="R1035" s="132">
        <v>39.159999999999997</v>
      </c>
      <c r="S1035" s="132"/>
      <c r="T1035" s="156"/>
      <c r="U1035" s="132"/>
      <c r="V1035" s="132">
        <v>283.90999999999997</v>
      </c>
      <c r="W1035">
        <v>148</v>
      </c>
      <c r="X1035" s="153" t="s">
        <v>3260</v>
      </c>
      <c r="Y1035" s="124" t="s">
        <v>55</v>
      </c>
      <c r="Z1035" s="308">
        <v>203</v>
      </c>
      <c r="AB1035" t="str">
        <f>IF(Table1[[#This Row],[TIPO2]]="costo", VLOOKUP(Table1[[#This Row],[PARTIDA PRESUPUESTAL]],'Cost Report'!G:G,1,0),"Balance")</f>
        <v>2494-003</v>
      </c>
      <c r="AC1035" s="118"/>
      <c r="AD1035" s="159">
        <f>+Table1[[#This Row],[SUBTOTAL]]+Table1[[#This Row],[IVA]]-Table1[[#This Row],[RET IVA]]-Table1[[#This Row],[RET ISR]]-Table1[[#This Row],[TOTAL]]</f>
        <v>0</v>
      </c>
      <c r="AE1035" s="152"/>
      <c r="AF1035" s="153"/>
      <c r="AG1035" s="126" t="s">
        <v>3420</v>
      </c>
      <c r="AH1035" s="115"/>
      <c r="AK1035" s="306" t="str">
        <f>IF(ISNUMBER(Table1[[#This Row],[FECHA DE RECIBIDO]]), Table1[[#This Row],[FECHA DE RECIBIDO]]-DATE(2023,8,30), "")</f>
        <v/>
      </c>
    </row>
    <row r="1036" spans="1:37" ht="16.05" customHeight="1">
      <c r="A1036" s="150" t="s">
        <v>3284</v>
      </c>
      <c r="B1036" s="151">
        <v>432</v>
      </c>
      <c r="C1036" s="126" t="s">
        <v>1511</v>
      </c>
      <c r="D1036">
        <v>735</v>
      </c>
      <c r="E1036" s="126" t="s">
        <v>3285</v>
      </c>
      <c r="F1036" s="122" t="s">
        <v>1607</v>
      </c>
      <c r="G1036" s="122" t="s">
        <v>134</v>
      </c>
      <c r="H1036">
        <v>249</v>
      </c>
      <c r="I1036" s="122" t="s">
        <v>1546</v>
      </c>
      <c r="J1036" s="307" t="s">
        <v>214</v>
      </c>
      <c r="K1036" s="127" t="s">
        <v>3286</v>
      </c>
      <c r="L1036" s="151" t="s">
        <v>1483</v>
      </c>
      <c r="M1036">
        <v>326</v>
      </c>
      <c r="N1036" s="123">
        <v>17</v>
      </c>
      <c r="O1036">
        <v>742</v>
      </c>
      <c r="P1036" s="132" t="s">
        <v>77</v>
      </c>
      <c r="Q1036" s="131">
        <v>318.10000000000002</v>
      </c>
      <c r="R1036" s="131">
        <v>50.9</v>
      </c>
      <c r="S1036" s="131"/>
      <c r="T1036" s="155"/>
      <c r="U1036" s="131"/>
      <c r="V1036" s="131">
        <v>369</v>
      </c>
      <c r="W1036">
        <v>103</v>
      </c>
      <c r="X1036" s="151" t="s">
        <v>3260</v>
      </c>
      <c r="Y1036" s="135" t="s">
        <v>55</v>
      </c>
      <c r="Z1036" s="307">
        <v>203</v>
      </c>
      <c r="AB1036" t="str">
        <f>IF(Table1[[#This Row],[TIPO2]]="costo", VLOOKUP(Table1[[#This Row],[PARTIDA PRESUPUESTAL]],'Cost Report'!G:G,1,0),"Balance")</f>
        <v>2494-015</v>
      </c>
      <c r="AC1036" s="118"/>
      <c r="AD1036" s="159">
        <f>+Table1[[#This Row],[SUBTOTAL]]+Table1[[#This Row],[IVA]]-Table1[[#This Row],[RET IVA]]-Table1[[#This Row],[RET ISR]]-Table1[[#This Row],[TOTAL]]</f>
        <v>0</v>
      </c>
      <c r="AE1036" s="150"/>
      <c r="AF1036" s="151"/>
      <c r="AG1036" s="126" t="s">
        <v>3420</v>
      </c>
      <c r="AH1036" s="115"/>
      <c r="AK1036" s="306" t="str">
        <f>IF(ISNUMBER(Table1[[#This Row],[FECHA DE RECIBIDO]]), Table1[[#This Row],[FECHA DE RECIBIDO]]-DATE(2023,8,30), "")</f>
        <v/>
      </c>
    </row>
    <row r="1037" spans="1:37" ht="16.05" customHeight="1">
      <c r="A1037" s="152" t="s">
        <v>3284</v>
      </c>
      <c r="B1037" s="153">
        <v>432</v>
      </c>
      <c r="C1037" s="126" t="s">
        <v>610</v>
      </c>
      <c r="D1037">
        <v>736</v>
      </c>
      <c r="E1037" s="126" t="s">
        <v>3285</v>
      </c>
      <c r="F1037" s="125" t="s">
        <v>1607</v>
      </c>
      <c r="G1037" s="125" t="s">
        <v>134</v>
      </c>
      <c r="H1037">
        <v>249</v>
      </c>
      <c r="I1037" s="125" t="s">
        <v>1546</v>
      </c>
      <c r="J1037" s="308" t="s">
        <v>214</v>
      </c>
      <c r="K1037" s="127" t="s">
        <v>3286</v>
      </c>
      <c r="L1037" s="153" t="s">
        <v>1483</v>
      </c>
      <c r="M1037">
        <v>326</v>
      </c>
      <c r="N1037" s="123">
        <v>17</v>
      </c>
      <c r="O1037">
        <v>743</v>
      </c>
      <c r="P1037" s="132" t="s">
        <v>77</v>
      </c>
      <c r="Q1037" s="132">
        <v>111.21</v>
      </c>
      <c r="R1037" s="132">
        <v>17.79</v>
      </c>
      <c r="S1037" s="132"/>
      <c r="T1037" s="156"/>
      <c r="U1037" s="132"/>
      <c r="V1037" s="132">
        <v>129</v>
      </c>
      <c r="W1037">
        <v>103</v>
      </c>
      <c r="X1037" s="153" t="s">
        <v>3260</v>
      </c>
      <c r="Y1037" s="124" t="s">
        <v>55</v>
      </c>
      <c r="Z1037" s="308">
        <v>203</v>
      </c>
      <c r="AB1037" t="str">
        <f>IF(Table1[[#This Row],[TIPO2]]="costo", VLOOKUP(Table1[[#This Row],[PARTIDA PRESUPUESTAL]],'Cost Report'!G:G,1,0),"Balance")</f>
        <v>2485-003</v>
      </c>
      <c r="AC1037" s="118"/>
      <c r="AD1037" s="159">
        <f>+Table1[[#This Row],[SUBTOTAL]]+Table1[[#This Row],[IVA]]-Table1[[#This Row],[RET IVA]]-Table1[[#This Row],[RET ISR]]-Table1[[#This Row],[TOTAL]]</f>
        <v>0</v>
      </c>
      <c r="AE1037" s="152"/>
      <c r="AF1037" s="153"/>
      <c r="AG1037" s="126" t="s">
        <v>3420</v>
      </c>
      <c r="AH1037" s="115"/>
      <c r="AK1037" s="306" t="str">
        <f>IF(ISNUMBER(Table1[[#This Row],[FECHA DE RECIBIDO]]), Table1[[#This Row],[FECHA DE RECIBIDO]]-DATE(2023,8,30), "")</f>
        <v/>
      </c>
    </row>
    <row r="1038" spans="1:37" ht="16.05" customHeight="1">
      <c r="A1038" s="150" t="s">
        <v>3284</v>
      </c>
      <c r="B1038" s="151">
        <v>432</v>
      </c>
      <c r="C1038" s="126" t="s">
        <v>2546</v>
      </c>
      <c r="D1038">
        <v>737</v>
      </c>
      <c r="E1038" s="126" t="s">
        <v>3285</v>
      </c>
      <c r="F1038" s="122" t="s">
        <v>1607</v>
      </c>
      <c r="G1038" s="122" t="s">
        <v>134</v>
      </c>
      <c r="H1038">
        <v>249</v>
      </c>
      <c r="I1038" s="122" t="s">
        <v>1546</v>
      </c>
      <c r="J1038" s="307" t="s">
        <v>214</v>
      </c>
      <c r="K1038" s="127" t="s">
        <v>3286</v>
      </c>
      <c r="L1038" s="151" t="s">
        <v>1483</v>
      </c>
      <c r="M1038">
        <v>326</v>
      </c>
      <c r="N1038" s="123">
        <v>17</v>
      </c>
      <c r="O1038">
        <v>744</v>
      </c>
      <c r="P1038" s="132" t="s">
        <v>77</v>
      </c>
      <c r="Q1038" s="131">
        <v>489.22</v>
      </c>
      <c r="R1038" s="131">
        <v>78.28</v>
      </c>
      <c r="S1038" s="131"/>
      <c r="T1038" s="155"/>
      <c r="U1038" s="131"/>
      <c r="V1038" s="131">
        <v>567.5</v>
      </c>
      <c r="W1038">
        <v>103</v>
      </c>
      <c r="X1038" s="151" t="s">
        <v>3260</v>
      </c>
      <c r="Y1038" s="135" t="s">
        <v>55</v>
      </c>
      <c r="Z1038" s="307">
        <v>203</v>
      </c>
      <c r="AB1038" t="str">
        <f>IF(Table1[[#This Row],[TIPO2]]="costo", VLOOKUP(Table1[[#This Row],[PARTIDA PRESUPUESTAL]],'Cost Report'!G:G,1,0),"Balance")</f>
        <v>2494-071</v>
      </c>
      <c r="AC1038" s="118"/>
      <c r="AD1038" s="159">
        <f>+Table1[[#This Row],[SUBTOTAL]]+Table1[[#This Row],[IVA]]-Table1[[#This Row],[RET IVA]]-Table1[[#This Row],[RET ISR]]-Table1[[#This Row],[TOTAL]]</f>
        <v>0</v>
      </c>
      <c r="AE1038" s="150"/>
      <c r="AF1038" s="151"/>
      <c r="AG1038" s="126" t="s">
        <v>3420</v>
      </c>
      <c r="AH1038" s="115"/>
      <c r="AK1038" s="306" t="str">
        <f>IF(ISNUMBER(Table1[[#This Row],[FECHA DE RECIBIDO]]), Table1[[#This Row],[FECHA DE RECIBIDO]]-DATE(2023,8,30), "")</f>
        <v/>
      </c>
    </row>
    <row r="1039" spans="1:37" ht="16.05" customHeight="1">
      <c r="A1039" s="152" t="s">
        <v>3284</v>
      </c>
      <c r="B1039" s="153">
        <v>432</v>
      </c>
      <c r="C1039" s="126" t="s">
        <v>1509</v>
      </c>
      <c r="D1039">
        <v>738</v>
      </c>
      <c r="E1039" s="126" t="s">
        <v>3285</v>
      </c>
      <c r="F1039" s="125" t="s">
        <v>1607</v>
      </c>
      <c r="G1039" s="125" t="s">
        <v>134</v>
      </c>
      <c r="H1039">
        <v>249</v>
      </c>
      <c r="I1039" s="125" t="s">
        <v>1546</v>
      </c>
      <c r="J1039" s="308" t="s">
        <v>214</v>
      </c>
      <c r="K1039" s="127" t="s">
        <v>3286</v>
      </c>
      <c r="L1039" s="153" t="s">
        <v>1483</v>
      </c>
      <c r="M1039">
        <v>326</v>
      </c>
      <c r="N1039" s="123">
        <v>17</v>
      </c>
      <c r="O1039">
        <v>745</v>
      </c>
      <c r="P1039" s="132" t="s">
        <v>77</v>
      </c>
      <c r="Q1039" s="132">
        <v>1148.28</v>
      </c>
      <c r="R1039" s="132">
        <v>183.72</v>
      </c>
      <c r="S1039" s="132"/>
      <c r="T1039" s="156"/>
      <c r="U1039" s="132"/>
      <c r="V1039" s="132">
        <v>1332</v>
      </c>
      <c r="W1039">
        <v>103</v>
      </c>
      <c r="X1039" s="153" t="s">
        <v>3260</v>
      </c>
      <c r="Y1039" s="124" t="s">
        <v>55</v>
      </c>
      <c r="Z1039" s="308">
        <v>203</v>
      </c>
      <c r="AB1039" t="str">
        <f>IF(Table1[[#This Row],[TIPO2]]="costo", VLOOKUP(Table1[[#This Row],[PARTIDA PRESUPUESTAL]],'Cost Report'!G:G,1,0),"Balance")</f>
        <v>2494-011</v>
      </c>
      <c r="AC1039" s="118"/>
      <c r="AD1039" s="159">
        <f>+Table1[[#This Row],[SUBTOTAL]]+Table1[[#This Row],[IVA]]-Table1[[#This Row],[RET IVA]]-Table1[[#This Row],[RET ISR]]-Table1[[#This Row],[TOTAL]]</f>
        <v>0</v>
      </c>
      <c r="AE1039" s="152"/>
      <c r="AF1039" s="153"/>
      <c r="AG1039" s="126" t="s">
        <v>3420</v>
      </c>
      <c r="AH1039" s="115"/>
      <c r="AK1039" s="306" t="str">
        <f>IF(ISNUMBER(Table1[[#This Row],[FECHA DE RECIBIDO]]), Table1[[#This Row],[FECHA DE RECIBIDO]]-DATE(2023,8,30), "")</f>
        <v/>
      </c>
    </row>
    <row r="1040" spans="1:37" ht="16.05" customHeight="1">
      <c r="A1040" s="150" t="s">
        <v>3284</v>
      </c>
      <c r="B1040" s="151">
        <v>432</v>
      </c>
      <c r="C1040" s="126" t="s">
        <v>1732</v>
      </c>
      <c r="D1040">
        <v>739</v>
      </c>
      <c r="E1040" s="126" t="s">
        <v>3285</v>
      </c>
      <c r="F1040" s="122" t="s">
        <v>1607</v>
      </c>
      <c r="G1040" s="122" t="s">
        <v>134</v>
      </c>
      <c r="H1040">
        <v>249</v>
      </c>
      <c r="I1040" s="122" t="s">
        <v>1546</v>
      </c>
      <c r="J1040" s="307" t="s">
        <v>214</v>
      </c>
      <c r="K1040" s="127" t="s">
        <v>3286</v>
      </c>
      <c r="L1040" s="151" t="s">
        <v>1483</v>
      </c>
      <c r="M1040">
        <v>326</v>
      </c>
      <c r="N1040" s="123">
        <v>17</v>
      </c>
      <c r="O1040">
        <v>746</v>
      </c>
      <c r="P1040" s="132" t="s">
        <v>77</v>
      </c>
      <c r="Q1040" s="131">
        <v>5094.74</v>
      </c>
      <c r="R1040" s="131">
        <v>815.16</v>
      </c>
      <c r="S1040" s="131"/>
      <c r="T1040" s="155"/>
      <c r="U1040" s="131"/>
      <c r="V1040" s="131">
        <v>5909.9</v>
      </c>
      <c r="W1040">
        <v>103</v>
      </c>
      <c r="X1040" s="151" t="s">
        <v>3260</v>
      </c>
      <c r="Y1040" s="135" t="s">
        <v>55</v>
      </c>
      <c r="Z1040" s="307">
        <v>203</v>
      </c>
      <c r="AB1040" t="str">
        <f>IF(Table1[[#This Row],[TIPO2]]="costo", VLOOKUP(Table1[[#This Row],[PARTIDA PRESUPUESTAL]],'Cost Report'!G:G,1,0),"Balance")</f>
        <v>2494-035</v>
      </c>
      <c r="AC1040" s="118"/>
      <c r="AD1040" s="159">
        <f>+Table1[[#This Row],[SUBTOTAL]]+Table1[[#This Row],[IVA]]-Table1[[#This Row],[RET IVA]]-Table1[[#This Row],[RET ISR]]-Table1[[#This Row],[TOTAL]]</f>
        <v>0</v>
      </c>
      <c r="AE1040" s="150"/>
      <c r="AF1040" s="151"/>
      <c r="AG1040" s="126" t="s">
        <v>3420</v>
      </c>
      <c r="AH1040" s="115"/>
      <c r="AK1040" s="306" t="str">
        <f>IF(ISNUMBER(Table1[[#This Row],[FECHA DE RECIBIDO]]), Table1[[#This Row],[FECHA DE RECIBIDO]]-DATE(2023,8,30), "")</f>
        <v/>
      </c>
    </row>
    <row r="1041" spans="1:37" ht="16.05" customHeight="1">
      <c r="A1041" s="152" t="s">
        <v>3284</v>
      </c>
      <c r="B1041" s="153">
        <v>432</v>
      </c>
      <c r="C1041" s="126" t="s">
        <v>1515</v>
      </c>
      <c r="D1041">
        <v>740</v>
      </c>
      <c r="E1041" s="126" t="s">
        <v>3285</v>
      </c>
      <c r="F1041" s="125" t="s">
        <v>1607</v>
      </c>
      <c r="G1041" s="125" t="s">
        <v>134</v>
      </c>
      <c r="H1041">
        <v>249</v>
      </c>
      <c r="I1041" s="125" t="s">
        <v>1546</v>
      </c>
      <c r="J1041" s="308" t="s">
        <v>214</v>
      </c>
      <c r="K1041" s="127" t="s">
        <v>3286</v>
      </c>
      <c r="L1041" s="153" t="s">
        <v>1483</v>
      </c>
      <c r="M1041">
        <v>326</v>
      </c>
      <c r="N1041" s="123">
        <v>17</v>
      </c>
      <c r="O1041">
        <v>747</v>
      </c>
      <c r="P1041" s="132" t="s">
        <v>77</v>
      </c>
      <c r="Q1041" s="132">
        <v>1911.63</v>
      </c>
      <c r="R1041" s="132">
        <v>305.87</v>
      </c>
      <c r="S1041" s="132"/>
      <c r="T1041" s="156"/>
      <c r="U1041" s="132"/>
      <c r="V1041" s="132">
        <v>2217.5</v>
      </c>
      <c r="W1041">
        <v>103</v>
      </c>
      <c r="X1041" s="153" t="s">
        <v>3260</v>
      </c>
      <c r="Y1041" s="124" t="s">
        <v>55</v>
      </c>
      <c r="Z1041" s="308">
        <v>203</v>
      </c>
      <c r="AB1041" t="str">
        <f>IF(Table1[[#This Row],[TIPO2]]="costo", VLOOKUP(Table1[[#This Row],[PARTIDA PRESUPUESTAL]],'Cost Report'!G:G,1,0),"Balance")</f>
        <v>2494-023</v>
      </c>
      <c r="AC1041" s="118"/>
      <c r="AD1041" s="159">
        <f>+Table1[[#This Row],[SUBTOTAL]]+Table1[[#This Row],[IVA]]-Table1[[#This Row],[RET IVA]]-Table1[[#This Row],[RET ISR]]-Table1[[#This Row],[TOTAL]]</f>
        <v>0</v>
      </c>
      <c r="AE1041" s="152"/>
      <c r="AF1041" s="153"/>
      <c r="AG1041" s="126" t="s">
        <v>3420</v>
      </c>
      <c r="AH1041" s="115"/>
      <c r="AK1041" s="306" t="str">
        <f>IF(ISNUMBER(Table1[[#This Row],[FECHA DE RECIBIDO]]), Table1[[#This Row],[FECHA DE RECIBIDO]]-DATE(2023,8,30), "")</f>
        <v/>
      </c>
    </row>
    <row r="1042" spans="1:37" ht="16.05" customHeight="1">
      <c r="A1042" s="150" t="s">
        <v>3284</v>
      </c>
      <c r="B1042" s="151">
        <v>432</v>
      </c>
      <c r="C1042" s="126" t="s">
        <v>1505</v>
      </c>
      <c r="D1042">
        <v>741</v>
      </c>
      <c r="E1042" s="126" t="s">
        <v>3285</v>
      </c>
      <c r="F1042" s="122" t="s">
        <v>1607</v>
      </c>
      <c r="G1042" s="122" t="s">
        <v>134</v>
      </c>
      <c r="H1042">
        <v>249</v>
      </c>
      <c r="I1042" s="122" t="s">
        <v>1546</v>
      </c>
      <c r="J1042" s="307" t="s">
        <v>214</v>
      </c>
      <c r="K1042" s="127" t="s">
        <v>3286</v>
      </c>
      <c r="L1042" s="151" t="s">
        <v>1483</v>
      </c>
      <c r="M1042">
        <v>326</v>
      </c>
      <c r="N1042" s="123">
        <v>17</v>
      </c>
      <c r="O1042">
        <v>748</v>
      </c>
      <c r="P1042" s="132" t="s">
        <v>77</v>
      </c>
      <c r="Q1042" s="131">
        <v>5505.16</v>
      </c>
      <c r="R1042" s="131">
        <v>880.84</v>
      </c>
      <c r="S1042" s="131"/>
      <c r="T1042" s="155"/>
      <c r="U1042" s="131"/>
      <c r="V1042" s="131">
        <v>6386</v>
      </c>
      <c r="W1042">
        <v>103</v>
      </c>
      <c r="X1042" s="151" t="s">
        <v>3260</v>
      </c>
      <c r="Y1042" s="135" t="s">
        <v>55</v>
      </c>
      <c r="Z1042" s="307">
        <v>203</v>
      </c>
      <c r="AB1042" t="str">
        <f>IF(Table1[[#This Row],[TIPO2]]="costo", VLOOKUP(Table1[[#This Row],[PARTIDA PRESUPUESTAL]],'Cost Report'!G:G,1,0),"Balance")</f>
        <v>2494-003</v>
      </c>
      <c r="AC1042" s="118"/>
      <c r="AD1042" s="159">
        <f>+Table1[[#This Row],[SUBTOTAL]]+Table1[[#This Row],[IVA]]-Table1[[#This Row],[RET IVA]]-Table1[[#This Row],[RET ISR]]-Table1[[#This Row],[TOTAL]]</f>
        <v>0</v>
      </c>
      <c r="AE1042" s="150"/>
      <c r="AF1042" s="151"/>
      <c r="AG1042" s="126" t="s">
        <v>3420</v>
      </c>
      <c r="AH1042" s="115"/>
      <c r="AK1042" s="306" t="str">
        <f>IF(ISNUMBER(Table1[[#This Row],[FECHA DE RECIBIDO]]), Table1[[#This Row],[FECHA DE RECIBIDO]]-DATE(2023,8,30), "")</f>
        <v/>
      </c>
    </row>
    <row r="1043" spans="1:37" ht="16.05" customHeight="1">
      <c r="A1043" s="152" t="s">
        <v>3284</v>
      </c>
      <c r="B1043" s="153">
        <v>432</v>
      </c>
      <c r="C1043" s="126" t="s">
        <v>2540</v>
      </c>
      <c r="D1043">
        <v>742</v>
      </c>
      <c r="E1043" s="126" t="s">
        <v>2096</v>
      </c>
      <c r="F1043" s="125" t="s">
        <v>1589</v>
      </c>
      <c r="G1043" s="125" t="s">
        <v>129</v>
      </c>
      <c r="H1043">
        <v>175</v>
      </c>
      <c r="I1043" s="125" t="s">
        <v>1546</v>
      </c>
      <c r="J1043" s="308" t="s">
        <v>214</v>
      </c>
      <c r="K1043" s="127" t="s">
        <v>3286</v>
      </c>
      <c r="L1043" s="153" t="s">
        <v>1483</v>
      </c>
      <c r="M1043">
        <v>236</v>
      </c>
      <c r="N1043" s="123">
        <v>17</v>
      </c>
      <c r="O1043">
        <v>749</v>
      </c>
      <c r="P1043" s="132" t="s">
        <v>77</v>
      </c>
      <c r="Q1043" s="132">
        <v>6390</v>
      </c>
      <c r="R1043" s="132">
        <v>1022.4</v>
      </c>
      <c r="S1043" s="132"/>
      <c r="T1043" s="156"/>
      <c r="U1043" s="132"/>
      <c r="V1043" s="132">
        <v>7412.4</v>
      </c>
      <c r="W1043">
        <v>103</v>
      </c>
      <c r="X1043" s="153" t="s">
        <v>3260</v>
      </c>
      <c r="Y1043" s="124" t="s">
        <v>55</v>
      </c>
      <c r="Z1043" s="308">
        <v>203</v>
      </c>
      <c r="AB1043" t="str">
        <f>IF(Table1[[#This Row],[TIPO2]]="costo", VLOOKUP(Table1[[#This Row],[PARTIDA PRESUPUESTAL]],'Cost Report'!G:G,1,0),"Balance")</f>
        <v>2494-059</v>
      </c>
      <c r="AC1043" s="118"/>
      <c r="AD1043" s="159">
        <f>+Table1[[#This Row],[SUBTOTAL]]+Table1[[#This Row],[IVA]]-Table1[[#This Row],[RET IVA]]-Table1[[#This Row],[RET ISR]]-Table1[[#This Row],[TOTAL]]</f>
        <v>0</v>
      </c>
      <c r="AE1043" s="152"/>
      <c r="AF1043" s="153"/>
      <c r="AG1043" s="126" t="s">
        <v>3420</v>
      </c>
      <c r="AH1043" s="115"/>
      <c r="AK1043" s="306" t="str">
        <f>IF(ISNUMBER(Table1[[#This Row],[FECHA DE RECIBIDO]]), Table1[[#This Row],[FECHA DE RECIBIDO]]-DATE(2023,8,30), "")</f>
        <v/>
      </c>
    </row>
    <row r="1044" spans="1:37" ht="16.05" customHeight="1">
      <c r="A1044" s="150"/>
      <c r="B1044" s="151"/>
      <c r="C1044" s="126" t="s">
        <v>71</v>
      </c>
      <c r="D1044"/>
      <c r="E1044" s="126"/>
      <c r="F1044" s="122"/>
      <c r="G1044" s="122"/>
      <c r="H1044"/>
      <c r="I1044" s="122"/>
      <c r="J1044" s="307" t="s">
        <v>214</v>
      </c>
      <c r="K1044" s="127" t="s">
        <v>3286</v>
      </c>
      <c r="L1044" s="151" t="s">
        <v>1643</v>
      </c>
      <c r="M1044">
        <v>327</v>
      </c>
      <c r="N1044" s="123"/>
      <c r="O1044">
        <v>750</v>
      </c>
      <c r="P1044" s="131" t="s">
        <v>78</v>
      </c>
      <c r="Q1044" s="131">
        <f>-298909.1</f>
        <v>-298909.09999999998</v>
      </c>
      <c r="R1044" s="131"/>
      <c r="S1044" s="131"/>
      <c r="T1044" s="155">
        <v>0</v>
      </c>
      <c r="U1044" s="131"/>
      <c r="V1044" s="131">
        <f>+Table1[[#This Row],[SUBTOTAL]]+Table1[[#This Row],[IVA]]-Table1[[#This Row],[RET IVA]]-Table1[[#This Row],[RET ISR]]</f>
        <v>-298909.09999999998</v>
      </c>
      <c r="W1044"/>
      <c r="X1044" s="151"/>
      <c r="Y1044" s="135"/>
      <c r="Z1044" s="307" t="s">
        <v>214</v>
      </c>
      <c r="AB1044" t="str">
        <f>IF(Table1[[#This Row],[TIPO2]]="costo", VLOOKUP(Table1[[#This Row],[PARTIDA PRESUPUESTAL]],'Cost Report'!G:G,1,0),"Balance")</f>
        <v>Balance</v>
      </c>
      <c r="AC1044" s="118"/>
      <c r="AD1044" s="159">
        <f>+Table1[[#This Row],[SUBTOTAL]]+Table1[[#This Row],[IVA]]-Table1[[#This Row],[RET IVA]]-Table1[[#This Row],[RET ISR]]-Table1[[#This Row],[TOTAL]]</f>
        <v>0</v>
      </c>
      <c r="AE1044" s="150"/>
      <c r="AF1044" s="151"/>
      <c r="AG1044" s="126" t="s">
        <v>3420</v>
      </c>
      <c r="AH1044" s="115"/>
      <c r="AK1044" s="306" t="str">
        <f>IF(ISNUMBER(Table1[[#This Row],[FECHA DE RECIBIDO]]), Table1[[#This Row],[FECHA DE RECIBIDO]]-DATE(2023,8,30), "")</f>
        <v/>
      </c>
    </row>
    <row r="1045" spans="1:37" ht="16.05" customHeight="1">
      <c r="A1045" s="152" t="s">
        <v>3287</v>
      </c>
      <c r="B1045" s="153">
        <v>290</v>
      </c>
      <c r="C1045" s="126" t="s">
        <v>71</v>
      </c>
      <c r="D1045">
        <v>743</v>
      </c>
      <c r="E1045" s="126"/>
      <c r="F1045" s="125"/>
      <c r="G1045" s="125" t="s">
        <v>134</v>
      </c>
      <c r="H1045"/>
      <c r="I1045" s="125" t="s">
        <v>1546</v>
      </c>
      <c r="J1045" s="308" t="s">
        <v>214</v>
      </c>
      <c r="K1045" s="127" t="s">
        <v>3286</v>
      </c>
      <c r="L1045" s="153" t="s">
        <v>3288</v>
      </c>
      <c r="M1045">
        <v>60</v>
      </c>
      <c r="N1045" s="123"/>
      <c r="O1045">
        <v>751</v>
      </c>
      <c r="P1045" s="131" t="s">
        <v>78</v>
      </c>
      <c r="Q1045" s="132">
        <v>150000</v>
      </c>
      <c r="R1045" s="132"/>
      <c r="S1045" s="132"/>
      <c r="T1045" s="156">
        <v>0</v>
      </c>
      <c r="U1045" s="132"/>
      <c r="V1045" s="132">
        <v>150000</v>
      </c>
      <c r="W1045">
        <v>37</v>
      </c>
      <c r="X1045" s="153" t="s">
        <v>1639</v>
      </c>
      <c r="Y1045" s="124" t="s">
        <v>55</v>
      </c>
      <c r="Z1045" s="308">
        <v>208</v>
      </c>
      <c r="AB1045" t="str">
        <f>IF(Table1[[#This Row],[TIPO2]]="costo", VLOOKUP(Table1[[#This Row],[PARTIDA PRESUPUESTAL]],'Cost Report'!G:G,1,0),"Balance")</f>
        <v>Balance</v>
      </c>
      <c r="AC1045" s="118"/>
      <c r="AD1045" s="159">
        <f>+Table1[[#This Row],[SUBTOTAL]]+Table1[[#This Row],[IVA]]-Table1[[#This Row],[RET IVA]]-Table1[[#This Row],[RET ISR]]-Table1[[#This Row],[TOTAL]]</f>
        <v>0</v>
      </c>
      <c r="AE1045" s="152"/>
      <c r="AF1045" s="153"/>
      <c r="AG1045" s="126"/>
      <c r="AH1045" s="115"/>
      <c r="AK1045" s="306" t="str">
        <f>IF(ISNUMBER(Table1[[#This Row],[FECHA DE RECIBIDO]]), Table1[[#This Row],[FECHA DE RECIBIDO]]-DATE(2023,8,30), "")</f>
        <v/>
      </c>
    </row>
    <row r="1046" spans="1:37" ht="16.05" customHeight="1">
      <c r="A1046" s="150" t="s">
        <v>3287</v>
      </c>
      <c r="B1046" s="151">
        <v>290</v>
      </c>
      <c r="C1046" s="126" t="s">
        <v>3103</v>
      </c>
      <c r="D1046"/>
      <c r="E1046" s="126"/>
      <c r="F1046" s="122"/>
      <c r="G1046" s="122"/>
      <c r="H1046"/>
      <c r="I1046" s="122"/>
      <c r="J1046" s="307" t="s">
        <v>214</v>
      </c>
      <c r="K1046" s="127" t="s">
        <v>3286</v>
      </c>
      <c r="L1046" s="151"/>
      <c r="M1046">
        <v>60</v>
      </c>
      <c r="N1046" s="123"/>
      <c r="O1046">
        <v>395</v>
      </c>
      <c r="P1046" s="132" t="s">
        <v>77</v>
      </c>
      <c r="Q1046" s="131">
        <v>3660</v>
      </c>
      <c r="R1046" s="131">
        <v>585.6</v>
      </c>
      <c r="S1046" s="131"/>
      <c r="T1046" s="155">
        <v>0</v>
      </c>
      <c r="U1046" s="131"/>
      <c r="V1046" s="131">
        <v>4245.6000000000004</v>
      </c>
      <c r="W1046">
        <v>37</v>
      </c>
      <c r="X1046" s="151" t="s">
        <v>1639</v>
      </c>
      <c r="Y1046" s="135" t="s">
        <v>55</v>
      </c>
      <c r="Z1046" s="307">
        <v>208</v>
      </c>
      <c r="AB1046" t="str">
        <f>IF(Table1[[#This Row],[TIPO2]]="costo", VLOOKUP(Table1[[#This Row],[PARTIDA PRESUPUESTAL]],'Cost Report'!G:G,1,0),"Balance")</f>
        <v>7038-009</v>
      </c>
      <c r="AC1046" s="118"/>
      <c r="AD1046" s="159">
        <f>+Table1[[#This Row],[SUBTOTAL]]+Table1[[#This Row],[IVA]]-Table1[[#This Row],[RET IVA]]-Table1[[#This Row],[RET ISR]]-Table1[[#This Row],[TOTAL]]</f>
        <v>0</v>
      </c>
      <c r="AE1046" s="150"/>
      <c r="AF1046" s="151"/>
      <c r="AG1046" s="126"/>
      <c r="AH1046" s="115"/>
      <c r="AK1046" s="306" t="str">
        <f>IF(ISNUMBER(Table1[[#This Row],[FECHA DE RECIBIDO]]), Table1[[#This Row],[FECHA DE RECIBIDO]]-DATE(2023,8,30), "")</f>
        <v/>
      </c>
    </row>
    <row r="1047" spans="1:37" ht="16.05" customHeight="1">
      <c r="A1047" s="152" t="s">
        <v>3289</v>
      </c>
      <c r="B1047" s="153">
        <v>291</v>
      </c>
      <c r="C1047" s="126" t="s">
        <v>1113</v>
      </c>
      <c r="D1047">
        <v>744</v>
      </c>
      <c r="E1047" s="126" t="s">
        <v>3290</v>
      </c>
      <c r="F1047" s="125" t="s">
        <v>1589</v>
      </c>
      <c r="G1047" s="125" t="s">
        <v>129</v>
      </c>
      <c r="H1047">
        <v>250</v>
      </c>
      <c r="I1047" s="125" t="s">
        <v>1546</v>
      </c>
      <c r="J1047" s="308" t="s">
        <v>214</v>
      </c>
      <c r="K1047" s="127" t="s">
        <v>3286</v>
      </c>
      <c r="L1047" s="153" t="s">
        <v>118</v>
      </c>
      <c r="M1047">
        <v>328</v>
      </c>
      <c r="N1047" s="123">
        <v>1</v>
      </c>
      <c r="O1047">
        <v>752</v>
      </c>
      <c r="P1047" s="132" t="s">
        <v>77</v>
      </c>
      <c r="Q1047" s="132">
        <v>197118.96</v>
      </c>
      <c r="R1047" s="132">
        <v>31539.03</v>
      </c>
      <c r="S1047" s="132"/>
      <c r="T1047" s="156">
        <v>21026.09</v>
      </c>
      <c r="U1047" s="132">
        <v>19711.900000000001</v>
      </c>
      <c r="V1047" s="132">
        <v>187920</v>
      </c>
      <c r="W1047">
        <v>149</v>
      </c>
      <c r="X1047" s="153" t="s">
        <v>2041</v>
      </c>
      <c r="Y1047" s="124" t="s">
        <v>55</v>
      </c>
      <c r="Z1047" s="308">
        <v>208</v>
      </c>
      <c r="AB1047" t="str">
        <f>IF(Table1[[#This Row],[TIPO2]]="costo", VLOOKUP(Table1[[#This Row],[PARTIDA PRESUPUESTAL]],'Cost Report'!G:G,1,0),"Balance")</f>
        <v>3813-003</v>
      </c>
      <c r="AC1047" s="118"/>
      <c r="AD1047" s="159">
        <f>+Table1[[#This Row],[SUBTOTAL]]+Table1[[#This Row],[IVA]]-Table1[[#This Row],[RET IVA]]-Table1[[#This Row],[RET ISR]]-Table1[[#This Row],[TOTAL]]</f>
        <v>0</v>
      </c>
      <c r="AE1047" s="152"/>
      <c r="AF1047" s="153"/>
      <c r="AG1047" s="126"/>
      <c r="AH1047" s="115"/>
      <c r="AK1047" s="306" t="str">
        <f>IF(ISNUMBER(Table1[[#This Row],[FECHA DE RECIBIDO]]), Table1[[#This Row],[FECHA DE RECIBIDO]]-DATE(2023,8,30), "")</f>
        <v/>
      </c>
    </row>
    <row r="1048" spans="1:37" ht="16.05" customHeight="1">
      <c r="A1048" s="150" t="s">
        <v>3291</v>
      </c>
      <c r="B1048" s="151">
        <v>292</v>
      </c>
      <c r="C1048" s="126" t="s">
        <v>985</v>
      </c>
      <c r="D1048">
        <v>745</v>
      </c>
      <c r="E1048" s="126" t="s">
        <v>3292</v>
      </c>
      <c r="F1048" s="122" t="s">
        <v>1607</v>
      </c>
      <c r="G1048" s="122" t="s">
        <v>134</v>
      </c>
      <c r="H1048">
        <v>251</v>
      </c>
      <c r="I1048" s="122" t="s">
        <v>1546</v>
      </c>
      <c r="J1048" s="307" t="s">
        <v>214</v>
      </c>
      <c r="K1048" s="127" t="s">
        <v>3286</v>
      </c>
      <c r="L1048" s="151" t="s">
        <v>118</v>
      </c>
      <c r="M1048">
        <v>329</v>
      </c>
      <c r="N1048" s="123">
        <v>24</v>
      </c>
      <c r="O1048">
        <v>753</v>
      </c>
      <c r="P1048" s="132" t="s">
        <v>77</v>
      </c>
      <c r="Q1048" s="131">
        <v>250000</v>
      </c>
      <c r="R1048" s="131">
        <v>40000</v>
      </c>
      <c r="S1048" s="131"/>
      <c r="T1048" s="155">
        <v>0</v>
      </c>
      <c r="U1048" s="131">
        <v>0</v>
      </c>
      <c r="V1048" s="131">
        <v>290000</v>
      </c>
      <c r="W1048">
        <v>150</v>
      </c>
      <c r="X1048" s="151" t="s">
        <v>105</v>
      </c>
      <c r="Y1048" s="135" t="s">
        <v>55</v>
      </c>
      <c r="Z1048" s="307">
        <v>208</v>
      </c>
      <c r="AB1048" t="str">
        <f>IF(Table1[[#This Row],[TIPO2]]="costo", VLOOKUP(Table1[[#This Row],[PARTIDA PRESUPUESTAL]],'Cost Report'!G:G,1,0),"Balance")</f>
        <v>3412-007</v>
      </c>
      <c r="AC1048" s="118"/>
      <c r="AD1048" s="159">
        <f>+Table1[[#This Row],[SUBTOTAL]]+Table1[[#This Row],[IVA]]-Table1[[#This Row],[RET IVA]]-Table1[[#This Row],[RET ISR]]-Table1[[#This Row],[TOTAL]]</f>
        <v>0</v>
      </c>
      <c r="AE1048" s="150"/>
      <c r="AF1048" s="151"/>
      <c r="AG1048" s="126"/>
      <c r="AH1048" s="115"/>
      <c r="AK1048" s="306" t="str">
        <f>IF(ISNUMBER(Table1[[#This Row],[FECHA DE RECIBIDO]]), Table1[[#This Row],[FECHA DE RECIBIDO]]-DATE(2023,8,30), "")</f>
        <v/>
      </c>
    </row>
    <row r="1049" spans="1:37" ht="16.05" customHeight="1">
      <c r="A1049" s="152" t="s">
        <v>3293</v>
      </c>
      <c r="B1049" s="153">
        <v>293</v>
      </c>
      <c r="C1049" s="126" t="s">
        <v>1505</v>
      </c>
      <c r="D1049">
        <v>746</v>
      </c>
      <c r="E1049" s="126" t="s">
        <v>1595</v>
      </c>
      <c r="F1049" s="125" t="s">
        <v>1593</v>
      </c>
      <c r="G1049" s="125" t="s">
        <v>109</v>
      </c>
      <c r="H1049">
        <v>252</v>
      </c>
      <c r="I1049" s="125" t="s">
        <v>1546</v>
      </c>
      <c r="J1049" s="308" t="s">
        <v>214</v>
      </c>
      <c r="K1049" s="127" t="s">
        <v>3286</v>
      </c>
      <c r="L1049" s="153" t="s">
        <v>118</v>
      </c>
      <c r="M1049">
        <v>330</v>
      </c>
      <c r="N1049" s="123">
        <v>51</v>
      </c>
      <c r="O1049">
        <v>754</v>
      </c>
      <c r="P1049" s="132" t="s">
        <v>77</v>
      </c>
      <c r="Q1049" s="132">
        <v>33626.910000000003</v>
      </c>
      <c r="R1049" s="132">
        <v>5380.31</v>
      </c>
      <c r="S1049" s="132"/>
      <c r="T1049" s="156">
        <v>3586.88</v>
      </c>
      <c r="U1049" s="132">
        <v>420.34</v>
      </c>
      <c r="V1049" s="132">
        <v>35000.000000000007</v>
      </c>
      <c r="W1049">
        <v>151</v>
      </c>
      <c r="X1049" s="153" t="s">
        <v>2041</v>
      </c>
      <c r="Y1049" s="124" t="s">
        <v>55</v>
      </c>
      <c r="Z1049" s="308">
        <v>208</v>
      </c>
      <c r="AB1049" t="str">
        <f>IF(Table1[[#This Row],[TIPO2]]="costo", VLOOKUP(Table1[[#This Row],[PARTIDA PRESUPUESTAL]],'Cost Report'!G:G,1,0),"Balance")</f>
        <v>2494-003</v>
      </c>
      <c r="AC1049" s="118"/>
      <c r="AD1049" s="159">
        <f>+Table1[[#This Row],[SUBTOTAL]]+Table1[[#This Row],[IVA]]-Table1[[#This Row],[RET IVA]]-Table1[[#This Row],[RET ISR]]-Table1[[#This Row],[TOTAL]]</f>
        <v>0</v>
      </c>
      <c r="AE1049" s="152"/>
      <c r="AF1049" s="153"/>
      <c r="AG1049" s="126"/>
      <c r="AH1049" s="115"/>
      <c r="AK1049" s="306" t="str">
        <f>IF(ISNUMBER(Table1[[#This Row],[FECHA DE RECIBIDO]]), Table1[[#This Row],[FECHA DE RECIBIDO]]-DATE(2023,8,30), "")</f>
        <v/>
      </c>
    </row>
    <row r="1050" spans="1:37" ht="16.05" customHeight="1">
      <c r="A1050" s="150" t="s">
        <v>3298</v>
      </c>
      <c r="B1050" s="151">
        <v>433</v>
      </c>
      <c r="C1050" s="126" t="s">
        <v>5473</v>
      </c>
      <c r="D1050"/>
      <c r="E1050" s="126" t="s">
        <v>1911</v>
      </c>
      <c r="F1050" s="122" t="s">
        <v>1911</v>
      </c>
      <c r="G1050" s="122" t="s">
        <v>1911</v>
      </c>
      <c r="H1050"/>
      <c r="I1050" s="122" t="s">
        <v>1911</v>
      </c>
      <c r="J1050" s="307" t="s">
        <v>214</v>
      </c>
      <c r="K1050" s="127" t="s">
        <v>3348</v>
      </c>
      <c r="L1050" s="151" t="s">
        <v>118</v>
      </c>
      <c r="M1050">
        <v>331</v>
      </c>
      <c r="N1050" s="123">
        <v>1</v>
      </c>
      <c r="O1050">
        <v>755</v>
      </c>
      <c r="P1050" s="131" t="s">
        <v>77</v>
      </c>
      <c r="Q1050" s="131">
        <v>94788.91</v>
      </c>
      <c r="R1050" s="131">
        <v>14468.37</v>
      </c>
      <c r="S1050" s="131"/>
      <c r="T1050" s="155"/>
      <c r="U1050" s="131"/>
      <c r="V1050" s="131">
        <f t="shared" ref="V1050:V1053" si="27">Q1050+R1050</f>
        <v>109257.28</v>
      </c>
      <c r="W1050">
        <v>152</v>
      </c>
      <c r="X1050" s="151" t="s">
        <v>2035</v>
      </c>
      <c r="Y1050" s="135" t="s">
        <v>55</v>
      </c>
      <c r="Z1050" s="307">
        <v>215</v>
      </c>
      <c r="AB1050" t="str">
        <f>IF(Table1[[#This Row],[TIPO2]]="costo", VLOOKUP(Table1[[#This Row],[PARTIDA PRESUPUESTAL]],'Cost Report'!G:G,1,0),"Balance")</f>
        <v>7230-001</v>
      </c>
      <c r="AC1050" s="118"/>
      <c r="AD1050" s="159">
        <f>+Table1[[#This Row],[SUBTOTAL]]+Table1[[#This Row],[IVA]]-Table1[[#This Row],[RET IVA]]-Table1[[#This Row],[RET ISR]]-Table1[[#This Row],[TOTAL]]</f>
        <v>0</v>
      </c>
      <c r="AE1050" s="150"/>
      <c r="AF1050" s="151"/>
      <c r="AG1050" s="126"/>
      <c r="AH1050" s="115"/>
      <c r="AJ1050" s="213" t="s">
        <v>5479</v>
      </c>
      <c r="AK1050" s="306" t="str">
        <f>IF(ISNUMBER(Table1[[#This Row],[FECHA DE RECIBIDO]]), Table1[[#This Row],[FECHA DE RECIBIDO]]-DATE(2023,8,30), "")</f>
        <v/>
      </c>
    </row>
    <row r="1051" spans="1:37" ht="16.05" customHeight="1">
      <c r="A1051" s="152" t="s">
        <v>3299</v>
      </c>
      <c r="B1051" s="153">
        <v>434</v>
      </c>
      <c r="C1051" s="126" t="s">
        <v>2337</v>
      </c>
      <c r="D1051">
        <v>747</v>
      </c>
      <c r="E1051" s="126">
        <v>45820</v>
      </c>
      <c r="F1051" s="125">
        <v>601</v>
      </c>
      <c r="G1051" s="125" t="s">
        <v>134</v>
      </c>
      <c r="H1051">
        <v>253</v>
      </c>
      <c r="I1051" s="125" t="s">
        <v>1546</v>
      </c>
      <c r="J1051" s="308">
        <v>218.53851851851505</v>
      </c>
      <c r="K1051" s="127" t="s">
        <v>3348</v>
      </c>
      <c r="L1051" s="153" t="s">
        <v>118</v>
      </c>
      <c r="M1051">
        <v>332</v>
      </c>
      <c r="N1051" s="123">
        <v>1</v>
      </c>
      <c r="O1051">
        <v>756</v>
      </c>
      <c r="P1051" s="132" t="s">
        <v>77</v>
      </c>
      <c r="Q1051" s="132">
        <v>134117.59</v>
      </c>
      <c r="R1051" s="132">
        <f t="shared" ref="R1051:R1053" si="28">Q1051*0.16</f>
        <v>21458.814399999999</v>
      </c>
      <c r="S1051" s="132"/>
      <c r="T1051" s="156"/>
      <c r="U1051" s="132"/>
      <c r="V1051" s="132">
        <f t="shared" si="27"/>
        <v>155576.4044</v>
      </c>
      <c r="W1051">
        <v>153</v>
      </c>
      <c r="X1051" s="153" t="s">
        <v>2035</v>
      </c>
      <c r="Y1051" s="124" t="s">
        <v>55</v>
      </c>
      <c r="Z1051" s="308">
        <v>216</v>
      </c>
      <c r="AB1051" t="str">
        <f>IF(Table1[[#This Row],[TIPO2]]="costo", VLOOKUP(Table1[[#This Row],[PARTIDA PRESUPUESTAL]],'Cost Report'!G:G,1,0),"Balance")</f>
        <v>1621-013</v>
      </c>
      <c r="AC1051" s="118"/>
      <c r="AD1051" s="159">
        <f>+Table1[[#This Row],[SUBTOTAL]]+Table1[[#This Row],[IVA]]-Table1[[#This Row],[RET IVA]]-Table1[[#This Row],[RET ISR]]-Table1[[#This Row],[TOTAL]]</f>
        <v>0</v>
      </c>
      <c r="AE1051" s="152"/>
      <c r="AF1051" s="153"/>
      <c r="AG1051" s="126"/>
      <c r="AH1051" s="115"/>
      <c r="AK1051" s="306">
        <f>IF(ISNUMBER(Table1[[#This Row],[FECHA DE RECIBIDO]]), Table1[[#This Row],[FECHA DE RECIBIDO]]-DATE(2023,8,30), "")</f>
        <v>-44949.461481481485</v>
      </c>
    </row>
    <row r="1052" spans="1:37" ht="16.05" customHeight="1">
      <c r="A1052" s="150"/>
      <c r="B1052" s="151"/>
      <c r="C1052" s="126" t="s">
        <v>2337</v>
      </c>
      <c r="D1052">
        <v>747</v>
      </c>
      <c r="E1052" s="126">
        <v>45820</v>
      </c>
      <c r="F1052" s="122">
        <v>601</v>
      </c>
      <c r="G1052" s="122" t="s">
        <v>134</v>
      </c>
      <c r="H1052">
        <v>253</v>
      </c>
      <c r="I1052" s="122" t="s">
        <v>1546</v>
      </c>
      <c r="J1052" s="307">
        <v>218.53851851851505</v>
      </c>
      <c r="K1052" s="127" t="s">
        <v>3348</v>
      </c>
      <c r="L1052" s="151" t="s">
        <v>118</v>
      </c>
      <c r="M1052">
        <v>332</v>
      </c>
      <c r="N1052" s="123">
        <v>1</v>
      </c>
      <c r="O1052">
        <v>756</v>
      </c>
      <c r="P1052" s="132" t="s">
        <v>77</v>
      </c>
      <c r="Q1052" s="131">
        <v>3468.62</v>
      </c>
      <c r="R1052" s="131">
        <f t="shared" si="28"/>
        <v>554.97919999999999</v>
      </c>
      <c r="S1052" s="131"/>
      <c r="T1052" s="155"/>
      <c r="U1052" s="131"/>
      <c r="V1052" s="131">
        <f t="shared" si="27"/>
        <v>4023.5991999999997</v>
      </c>
      <c r="W1052">
        <v>153</v>
      </c>
      <c r="X1052" s="151" t="s">
        <v>2035</v>
      </c>
      <c r="Y1052" s="135" t="s">
        <v>55</v>
      </c>
      <c r="Z1052" s="307">
        <v>216</v>
      </c>
      <c r="AB1052" t="str">
        <f>IF(Table1[[#This Row],[TIPO2]]="costo", VLOOKUP(Table1[[#This Row],[PARTIDA PRESUPUESTAL]],'Cost Report'!G:G,1,0),"Balance")</f>
        <v>1621-013</v>
      </c>
      <c r="AC1052" s="118"/>
      <c r="AD1052" s="159">
        <f>+Table1[[#This Row],[SUBTOTAL]]+Table1[[#This Row],[IVA]]-Table1[[#This Row],[RET IVA]]-Table1[[#This Row],[RET ISR]]-Table1[[#This Row],[TOTAL]]</f>
        <v>0</v>
      </c>
      <c r="AE1052" s="150"/>
      <c r="AF1052" s="151"/>
      <c r="AG1052" s="126"/>
      <c r="AH1052" s="115"/>
      <c r="AK1052" s="306">
        <f>IF(ISNUMBER(Table1[[#This Row],[FECHA DE RECIBIDO]]), Table1[[#This Row],[FECHA DE RECIBIDO]]-DATE(2023,8,30), "")</f>
        <v>-44949.461481481485</v>
      </c>
    </row>
    <row r="1053" spans="1:37" ht="16.05" customHeight="1">
      <c r="A1053" s="152" t="s">
        <v>3300</v>
      </c>
      <c r="B1053" s="153">
        <v>435</v>
      </c>
      <c r="C1053" s="126" t="s">
        <v>420</v>
      </c>
      <c r="D1053">
        <v>748</v>
      </c>
      <c r="E1053" s="126">
        <v>5320</v>
      </c>
      <c r="F1053" s="125">
        <v>601</v>
      </c>
      <c r="G1053" s="125" t="s">
        <v>134</v>
      </c>
      <c r="H1053">
        <v>22</v>
      </c>
      <c r="I1053" s="125" t="s">
        <v>1546</v>
      </c>
      <c r="J1053" s="308">
        <v>216.71487268518831</v>
      </c>
      <c r="K1053" s="127" t="s">
        <v>3348</v>
      </c>
      <c r="L1053" s="153" t="s">
        <v>118</v>
      </c>
      <c r="M1053">
        <v>333</v>
      </c>
      <c r="N1053" s="123">
        <v>1</v>
      </c>
      <c r="O1053">
        <v>757</v>
      </c>
      <c r="P1053" s="132" t="s">
        <v>77</v>
      </c>
      <c r="Q1053" s="132">
        <v>32700</v>
      </c>
      <c r="R1053" s="132">
        <f t="shared" si="28"/>
        <v>5232</v>
      </c>
      <c r="S1053" s="132"/>
      <c r="T1053" s="156"/>
      <c r="U1053" s="132"/>
      <c r="V1053" s="132">
        <f t="shared" si="27"/>
        <v>37932</v>
      </c>
      <c r="W1053">
        <v>24</v>
      </c>
      <c r="X1053" s="153" t="s">
        <v>2035</v>
      </c>
      <c r="Y1053" s="124" t="s">
        <v>55</v>
      </c>
      <c r="Z1053" s="308">
        <v>217</v>
      </c>
      <c r="AB1053" t="str">
        <f>IF(Table1[[#This Row],[TIPO2]]="costo", VLOOKUP(Table1[[#This Row],[PARTIDA PRESUPUESTAL]],'Cost Report'!G:G,1,0),"Balance")</f>
        <v>1641-003</v>
      </c>
      <c r="AC1053" s="118"/>
      <c r="AD1053" s="159">
        <f>+Table1[[#This Row],[SUBTOTAL]]+Table1[[#This Row],[IVA]]-Table1[[#This Row],[RET IVA]]-Table1[[#This Row],[RET ISR]]-Table1[[#This Row],[TOTAL]]</f>
        <v>0</v>
      </c>
      <c r="AE1053" s="152"/>
      <c r="AF1053" s="153"/>
      <c r="AG1053" s="126"/>
      <c r="AH1053" s="115"/>
      <c r="AK1053" s="306">
        <f>IF(ISNUMBER(Table1[[#This Row],[FECHA DE RECIBIDO]]), Table1[[#This Row],[FECHA DE RECIBIDO]]-DATE(2023,8,30), "")</f>
        <v>-44951.285127314812</v>
      </c>
    </row>
    <row r="1054" spans="1:37" ht="16.05" customHeight="1">
      <c r="A1054" s="150" t="s">
        <v>3301</v>
      </c>
      <c r="B1054" s="151">
        <v>436</v>
      </c>
      <c r="C1054" s="126" t="s">
        <v>2891</v>
      </c>
      <c r="D1054">
        <v>749</v>
      </c>
      <c r="E1054" s="126" t="s">
        <v>3171</v>
      </c>
      <c r="F1054" s="122" t="s">
        <v>1602</v>
      </c>
      <c r="G1054" s="122" t="s">
        <v>1617</v>
      </c>
      <c r="H1054">
        <v>201</v>
      </c>
      <c r="I1054" s="122" t="s">
        <v>1546</v>
      </c>
      <c r="J1054" s="307" t="s">
        <v>214</v>
      </c>
      <c r="K1054" s="127" t="s">
        <v>3348</v>
      </c>
      <c r="L1054" s="151" t="s">
        <v>110</v>
      </c>
      <c r="M1054">
        <v>266</v>
      </c>
      <c r="N1054" s="123">
        <v>66</v>
      </c>
      <c r="O1054">
        <v>758</v>
      </c>
      <c r="P1054" s="132" t="s">
        <v>77</v>
      </c>
      <c r="Q1054" s="131">
        <v>5000</v>
      </c>
      <c r="R1054" s="131">
        <v>800</v>
      </c>
      <c r="S1054" s="131"/>
      <c r="T1054" s="155">
        <v>533.34</v>
      </c>
      <c r="U1054" s="131">
        <v>0</v>
      </c>
      <c r="V1054" s="131">
        <f t="shared" ref="V1054:V1056" si="29">+Q1054+R1054-T1054-U1054</f>
        <v>5266.66</v>
      </c>
      <c r="W1054">
        <v>122</v>
      </c>
      <c r="X1054" s="151" t="s">
        <v>1434</v>
      </c>
      <c r="Y1054" s="135" t="s">
        <v>55</v>
      </c>
      <c r="Z1054" s="307">
        <v>219</v>
      </c>
      <c r="AB1054" t="str">
        <f>IF(Table1[[#This Row],[TIPO2]]="costo", VLOOKUP(Table1[[#This Row],[PARTIDA PRESUPUESTAL]],'Cost Report'!G:G,1,0),"Balance")</f>
        <v>3683-128</v>
      </c>
      <c r="AC1054" s="118"/>
      <c r="AD1054" s="159">
        <f>+Table1[[#This Row],[SUBTOTAL]]+Table1[[#This Row],[IVA]]-Table1[[#This Row],[RET IVA]]-Table1[[#This Row],[RET ISR]]-Table1[[#This Row],[TOTAL]]</f>
        <v>0</v>
      </c>
      <c r="AE1054" s="150"/>
      <c r="AF1054" s="151"/>
      <c r="AG1054" s="126"/>
      <c r="AH1054" s="115"/>
      <c r="AK1054" s="306" t="str">
        <f>IF(ISNUMBER(Table1[[#This Row],[FECHA DE RECIBIDO]]), Table1[[#This Row],[FECHA DE RECIBIDO]]-DATE(2023,8,30), "")</f>
        <v/>
      </c>
    </row>
    <row r="1055" spans="1:37" ht="16.05" customHeight="1">
      <c r="A1055" s="152" t="s">
        <v>3302</v>
      </c>
      <c r="B1055" s="153">
        <v>437</v>
      </c>
      <c r="C1055" s="126" t="s">
        <v>271</v>
      </c>
      <c r="D1055">
        <v>750</v>
      </c>
      <c r="E1055" s="126" t="s">
        <v>3395</v>
      </c>
      <c r="F1055" s="125" t="s">
        <v>1589</v>
      </c>
      <c r="G1055" s="125" t="s">
        <v>129</v>
      </c>
      <c r="H1055">
        <v>254</v>
      </c>
      <c r="I1055" s="125" t="s">
        <v>1546</v>
      </c>
      <c r="J1055" s="308" t="s">
        <v>214</v>
      </c>
      <c r="K1055" s="127" t="s">
        <v>3348</v>
      </c>
      <c r="L1055" s="153" t="s">
        <v>110</v>
      </c>
      <c r="M1055">
        <v>334</v>
      </c>
      <c r="N1055" s="123">
        <v>75</v>
      </c>
      <c r="O1055">
        <v>759</v>
      </c>
      <c r="P1055" s="132" t="s">
        <v>77</v>
      </c>
      <c r="Q1055" s="132">
        <v>65000</v>
      </c>
      <c r="R1055" s="132">
        <v>10400</v>
      </c>
      <c r="S1055" s="132"/>
      <c r="T1055" s="156">
        <v>6933.35</v>
      </c>
      <c r="U1055" s="132">
        <v>6500</v>
      </c>
      <c r="V1055" s="132">
        <f t="shared" si="29"/>
        <v>61966.649999999994</v>
      </c>
      <c r="W1055">
        <v>154</v>
      </c>
      <c r="X1055" s="153" t="s">
        <v>1429</v>
      </c>
      <c r="Y1055" s="124" t="s">
        <v>55</v>
      </c>
      <c r="Z1055" s="308">
        <v>219</v>
      </c>
      <c r="AB1055" t="str">
        <f>IF(Table1[[#This Row],[TIPO2]]="costo", VLOOKUP(Table1[[#This Row],[PARTIDA PRESUPUESTAL]],'Cost Report'!G:G,1,0),"Balance")</f>
        <v>1302-003</v>
      </c>
      <c r="AC1055" s="118"/>
      <c r="AD1055" s="159">
        <f>+Table1[[#This Row],[SUBTOTAL]]+Table1[[#This Row],[IVA]]-Table1[[#This Row],[RET IVA]]-Table1[[#This Row],[RET ISR]]-Table1[[#This Row],[TOTAL]]</f>
        <v>0</v>
      </c>
      <c r="AE1055" s="152"/>
      <c r="AF1055" s="153"/>
      <c r="AG1055" s="126"/>
      <c r="AH1055" s="115"/>
      <c r="AK1055" s="306" t="str">
        <f>IF(ISNUMBER(Table1[[#This Row],[FECHA DE RECIBIDO]]), Table1[[#This Row],[FECHA DE RECIBIDO]]-DATE(2023,8,30), "")</f>
        <v/>
      </c>
    </row>
    <row r="1056" spans="1:37" ht="16.05" customHeight="1">
      <c r="A1056" s="150" t="s">
        <v>3303</v>
      </c>
      <c r="B1056" s="151">
        <v>438</v>
      </c>
      <c r="C1056" s="126" t="s">
        <v>272</v>
      </c>
      <c r="D1056">
        <v>751</v>
      </c>
      <c r="E1056" s="126" t="s">
        <v>3395</v>
      </c>
      <c r="F1056" s="122" t="s">
        <v>1589</v>
      </c>
      <c r="G1056" s="122" t="s">
        <v>129</v>
      </c>
      <c r="H1056">
        <v>254</v>
      </c>
      <c r="I1056" s="122" t="s">
        <v>1546</v>
      </c>
      <c r="J1056" s="307" t="s">
        <v>214</v>
      </c>
      <c r="K1056" s="127" t="s">
        <v>3348</v>
      </c>
      <c r="L1056" s="151" t="s">
        <v>110</v>
      </c>
      <c r="M1056">
        <v>334</v>
      </c>
      <c r="N1056" s="123">
        <v>75</v>
      </c>
      <c r="O1056">
        <v>759</v>
      </c>
      <c r="P1056" s="132" t="s">
        <v>77</v>
      </c>
      <c r="Q1056" s="131">
        <v>1300</v>
      </c>
      <c r="R1056" s="131">
        <v>208</v>
      </c>
      <c r="S1056" s="131"/>
      <c r="T1056" s="155">
        <v>138.66999999999999</v>
      </c>
      <c r="U1056" s="131">
        <v>130</v>
      </c>
      <c r="V1056" s="131">
        <f t="shared" si="29"/>
        <v>1239.33</v>
      </c>
      <c r="W1056">
        <v>154</v>
      </c>
      <c r="X1056" s="151" t="s">
        <v>1429</v>
      </c>
      <c r="Y1056" s="135" t="s">
        <v>55</v>
      </c>
      <c r="Z1056" s="307">
        <v>219</v>
      </c>
      <c r="AB1056" t="str">
        <f>IF(Table1[[#This Row],[TIPO2]]="costo", VLOOKUP(Table1[[#This Row],[PARTIDA PRESUPUESTAL]],'Cost Report'!G:G,1,0),"Balance")</f>
        <v>1302-004</v>
      </c>
      <c r="AC1056" s="118"/>
      <c r="AD1056" s="159">
        <f>+Table1[[#This Row],[SUBTOTAL]]+Table1[[#This Row],[IVA]]-Table1[[#This Row],[RET IVA]]-Table1[[#This Row],[RET ISR]]-Table1[[#This Row],[TOTAL]]</f>
        <v>0</v>
      </c>
      <c r="AE1056" s="150"/>
      <c r="AF1056" s="151"/>
      <c r="AG1056" s="126"/>
      <c r="AH1056" s="115"/>
      <c r="AK1056" s="306" t="str">
        <f>IF(ISNUMBER(Table1[[#This Row],[FECHA DE RECIBIDO]]), Table1[[#This Row],[FECHA DE RECIBIDO]]-DATE(2023,8,30), "")</f>
        <v/>
      </c>
    </row>
    <row r="1057" spans="1:37" ht="16.05" customHeight="1">
      <c r="A1057" s="152" t="s">
        <v>3304</v>
      </c>
      <c r="B1057" s="153">
        <v>439</v>
      </c>
      <c r="C1057" s="126" t="s">
        <v>71</v>
      </c>
      <c r="D1057">
        <v>752</v>
      </c>
      <c r="E1057" s="126" t="s">
        <v>1604</v>
      </c>
      <c r="F1057" s="125" t="s">
        <v>1607</v>
      </c>
      <c r="G1057" s="125" t="s">
        <v>134</v>
      </c>
      <c r="H1057">
        <v>48</v>
      </c>
      <c r="I1057" s="125" t="s">
        <v>1546</v>
      </c>
      <c r="J1057" s="308" t="s">
        <v>214</v>
      </c>
      <c r="K1057" s="127" t="s">
        <v>3348</v>
      </c>
      <c r="L1057" s="153" t="s">
        <v>1483</v>
      </c>
      <c r="M1057">
        <v>335</v>
      </c>
      <c r="N1057" s="123">
        <v>17</v>
      </c>
      <c r="O1057">
        <v>760</v>
      </c>
      <c r="P1057" s="131" t="s">
        <v>78</v>
      </c>
      <c r="Q1057" s="132">
        <v>1020000</v>
      </c>
      <c r="R1057" s="132"/>
      <c r="S1057" s="132"/>
      <c r="T1057" s="156"/>
      <c r="U1057" s="132"/>
      <c r="V1057" s="132">
        <f>Q1057</f>
        <v>1020000</v>
      </c>
      <c r="W1057"/>
      <c r="X1057" s="153" t="s">
        <v>1639</v>
      </c>
      <c r="Y1057" s="124" t="s">
        <v>55</v>
      </c>
      <c r="Z1057" s="308">
        <v>219</v>
      </c>
      <c r="AB1057" t="str">
        <f>IF(Table1[[#This Row],[TIPO2]]="costo", VLOOKUP(Table1[[#This Row],[PARTIDA PRESUPUESTAL]],'Cost Report'!G:G,1,0),"Balance")</f>
        <v>Balance</v>
      </c>
      <c r="AC1057" s="118"/>
      <c r="AD1057" s="159">
        <f>+Table1[[#This Row],[SUBTOTAL]]+Table1[[#This Row],[IVA]]-Table1[[#This Row],[RET IVA]]-Table1[[#This Row],[RET ISR]]-Table1[[#This Row],[TOTAL]]</f>
        <v>0</v>
      </c>
      <c r="AE1057" s="152"/>
      <c r="AF1057" s="153"/>
      <c r="AG1057" s="126"/>
      <c r="AH1057" s="115"/>
      <c r="AK1057" s="306" t="str">
        <f>IF(ISNUMBER(Table1[[#This Row],[FECHA DE RECIBIDO]]), Table1[[#This Row],[FECHA DE RECIBIDO]]-DATE(2023,8,30), "")</f>
        <v/>
      </c>
    </row>
    <row r="1058" spans="1:37" ht="16.05" customHeight="1">
      <c r="A1058" s="150" t="s">
        <v>3304</v>
      </c>
      <c r="B1058" s="151">
        <v>439</v>
      </c>
      <c r="C1058" s="126" t="s">
        <v>3103</v>
      </c>
      <c r="D1058"/>
      <c r="E1058" s="126"/>
      <c r="F1058" s="122"/>
      <c r="G1058" s="122"/>
      <c r="H1058"/>
      <c r="I1058" s="122"/>
      <c r="J1058" s="307" t="s">
        <v>214</v>
      </c>
      <c r="K1058" s="127" t="s">
        <v>3348</v>
      </c>
      <c r="L1058" s="151" t="s">
        <v>1483</v>
      </c>
      <c r="M1058">
        <v>335</v>
      </c>
      <c r="N1058" s="123">
        <v>17</v>
      </c>
      <c r="O1058">
        <v>395</v>
      </c>
      <c r="P1058" s="132" t="s">
        <v>77</v>
      </c>
      <c r="Q1058" s="131">
        <v>24888</v>
      </c>
      <c r="R1058" s="131">
        <v>3982.08</v>
      </c>
      <c r="S1058" s="131"/>
      <c r="T1058" s="155"/>
      <c r="U1058" s="131"/>
      <c r="V1058" s="131">
        <f>Q1058+R1058</f>
        <v>28870.080000000002</v>
      </c>
      <c r="W1058"/>
      <c r="X1058" s="151" t="s">
        <v>1639</v>
      </c>
      <c r="Y1058" s="135" t="s">
        <v>55</v>
      </c>
      <c r="Z1058" s="307">
        <v>219</v>
      </c>
      <c r="AB1058" t="str">
        <f>IF(Table1[[#This Row],[TIPO2]]="costo", VLOOKUP(Table1[[#This Row],[PARTIDA PRESUPUESTAL]],'Cost Report'!G:G,1,0),"Balance")</f>
        <v>7038-009</v>
      </c>
      <c r="AC1058" s="118"/>
      <c r="AD1058" s="159">
        <f>+Table1[[#This Row],[SUBTOTAL]]+Table1[[#This Row],[IVA]]-Table1[[#This Row],[RET IVA]]-Table1[[#This Row],[RET ISR]]-Table1[[#This Row],[TOTAL]]</f>
        <v>0</v>
      </c>
      <c r="AE1058" s="150"/>
      <c r="AF1058" s="151"/>
      <c r="AG1058" s="126"/>
      <c r="AH1058" s="115"/>
      <c r="AK1058" s="306" t="str">
        <f>IF(ISNUMBER(Table1[[#This Row],[FECHA DE RECIBIDO]]), Table1[[#This Row],[FECHA DE RECIBIDO]]-DATE(2023,8,30), "")</f>
        <v/>
      </c>
    </row>
    <row r="1059" spans="1:37" ht="16.05" customHeight="1">
      <c r="A1059" s="152" t="s">
        <v>3305</v>
      </c>
      <c r="B1059" s="153">
        <v>440</v>
      </c>
      <c r="C1059" s="126" t="s">
        <v>1238</v>
      </c>
      <c r="D1059">
        <v>753</v>
      </c>
      <c r="E1059" s="126" t="s">
        <v>2001</v>
      </c>
      <c r="F1059" s="125" t="s">
        <v>1607</v>
      </c>
      <c r="G1059" s="125" t="s">
        <v>134</v>
      </c>
      <c r="H1059">
        <v>121</v>
      </c>
      <c r="I1059" s="125" t="s">
        <v>1546</v>
      </c>
      <c r="J1059" s="308" t="s">
        <v>214</v>
      </c>
      <c r="K1059" s="127" t="s">
        <v>3348</v>
      </c>
      <c r="L1059" s="153" t="s">
        <v>3306</v>
      </c>
      <c r="M1059">
        <v>336</v>
      </c>
      <c r="N1059" s="123">
        <v>1</v>
      </c>
      <c r="O1059">
        <v>761</v>
      </c>
      <c r="P1059" s="132" t="s">
        <v>77</v>
      </c>
      <c r="Q1059" s="132">
        <v>164910.44</v>
      </c>
      <c r="R1059" s="132">
        <v>26385.67</v>
      </c>
      <c r="S1059" s="132"/>
      <c r="T1059" s="156">
        <v>0</v>
      </c>
      <c r="U1059" s="132">
        <v>0</v>
      </c>
      <c r="V1059" s="132">
        <f t="shared" ref="V1059:V1073" si="30">+Q1059+R1059-T1059-U1059</f>
        <v>191296.11</v>
      </c>
      <c r="W1059">
        <v>83</v>
      </c>
      <c r="X1059" s="153" t="s">
        <v>195</v>
      </c>
      <c r="Y1059" s="124" t="s">
        <v>55</v>
      </c>
      <c r="Z1059" s="308">
        <v>219</v>
      </c>
      <c r="AB1059" t="str">
        <f>IF(Table1[[#This Row],[TIPO2]]="costo", VLOOKUP(Table1[[#This Row],[PARTIDA PRESUPUESTAL]],'Cost Report'!G:G,1,0),"Balance")</f>
        <v>5110-003</v>
      </c>
      <c r="AC1059" s="118"/>
      <c r="AD1059" s="159">
        <f>+Table1[[#This Row],[SUBTOTAL]]+Table1[[#This Row],[IVA]]-Table1[[#This Row],[RET IVA]]-Table1[[#This Row],[RET ISR]]-Table1[[#This Row],[TOTAL]]</f>
        <v>0</v>
      </c>
      <c r="AE1059" s="152"/>
      <c r="AF1059" s="153"/>
      <c r="AG1059" s="126"/>
      <c r="AH1059" s="115"/>
      <c r="AK1059" s="306" t="str">
        <f>IF(ISNUMBER(Table1[[#This Row],[FECHA DE RECIBIDO]]), Table1[[#This Row],[FECHA DE RECIBIDO]]-DATE(2023,8,30), "")</f>
        <v/>
      </c>
    </row>
    <row r="1060" spans="1:37" ht="16.05" customHeight="1">
      <c r="A1060" s="150" t="s">
        <v>3305</v>
      </c>
      <c r="B1060" s="151">
        <v>440</v>
      </c>
      <c r="C1060" s="126" t="s">
        <v>3040</v>
      </c>
      <c r="D1060">
        <v>753</v>
      </c>
      <c r="E1060" s="126" t="s">
        <v>2001</v>
      </c>
      <c r="F1060" s="122" t="s">
        <v>1607</v>
      </c>
      <c r="G1060" s="122" t="s">
        <v>134</v>
      </c>
      <c r="H1060">
        <v>121</v>
      </c>
      <c r="I1060" s="122" t="s">
        <v>1546</v>
      </c>
      <c r="J1060" s="307" t="s">
        <v>214</v>
      </c>
      <c r="K1060" s="127" t="s">
        <v>3348</v>
      </c>
      <c r="L1060" s="151" t="s">
        <v>3306</v>
      </c>
      <c r="M1060">
        <v>336</v>
      </c>
      <c r="N1060" s="123">
        <v>1</v>
      </c>
      <c r="O1060">
        <v>761</v>
      </c>
      <c r="P1060" s="132" t="s">
        <v>77</v>
      </c>
      <c r="Q1060" s="131">
        <v>16000</v>
      </c>
      <c r="R1060" s="131">
        <v>2560</v>
      </c>
      <c r="S1060" s="131"/>
      <c r="T1060" s="155">
        <v>0</v>
      </c>
      <c r="U1060" s="131">
        <v>0</v>
      </c>
      <c r="V1060" s="131">
        <f t="shared" si="30"/>
        <v>18560</v>
      </c>
      <c r="W1060">
        <v>83</v>
      </c>
      <c r="X1060" s="151" t="s">
        <v>195</v>
      </c>
      <c r="Y1060" s="135" t="s">
        <v>55</v>
      </c>
      <c r="Z1060" s="307">
        <v>219</v>
      </c>
      <c r="AB1060" t="str">
        <f>IF(Table1[[#This Row],[TIPO2]]="costo", VLOOKUP(Table1[[#This Row],[PARTIDA PRESUPUESTAL]],'Cost Report'!G:G,1,0),"Balance")</f>
        <v>5110-004</v>
      </c>
      <c r="AC1060" s="118"/>
      <c r="AD1060" s="159">
        <f>+Table1[[#This Row],[SUBTOTAL]]+Table1[[#This Row],[IVA]]-Table1[[#This Row],[RET IVA]]-Table1[[#This Row],[RET ISR]]-Table1[[#This Row],[TOTAL]]</f>
        <v>0</v>
      </c>
      <c r="AE1060" s="150"/>
      <c r="AF1060" s="151"/>
      <c r="AG1060" s="126"/>
      <c r="AH1060" s="115"/>
      <c r="AK1060" s="306" t="str">
        <f>IF(ISNUMBER(Table1[[#This Row],[FECHA DE RECIBIDO]]), Table1[[#This Row],[FECHA DE RECIBIDO]]-DATE(2023,8,30), "")</f>
        <v/>
      </c>
    </row>
    <row r="1061" spans="1:37" ht="16.05" customHeight="1">
      <c r="A1061" s="152" t="s">
        <v>3305</v>
      </c>
      <c r="B1061" s="153">
        <v>440</v>
      </c>
      <c r="C1061" s="126" t="s">
        <v>3041</v>
      </c>
      <c r="D1061">
        <v>753</v>
      </c>
      <c r="E1061" s="126" t="s">
        <v>2001</v>
      </c>
      <c r="F1061" s="125" t="s">
        <v>1607</v>
      </c>
      <c r="G1061" s="125" t="s">
        <v>134</v>
      </c>
      <c r="H1061">
        <v>121</v>
      </c>
      <c r="I1061" s="125" t="s">
        <v>1546</v>
      </c>
      <c r="J1061" s="308" t="s">
        <v>214</v>
      </c>
      <c r="K1061" s="127" t="s">
        <v>3348</v>
      </c>
      <c r="L1061" s="153" t="s">
        <v>3306</v>
      </c>
      <c r="M1061">
        <v>336</v>
      </c>
      <c r="N1061" s="123">
        <v>1</v>
      </c>
      <c r="O1061">
        <v>761</v>
      </c>
      <c r="P1061" s="132" t="s">
        <v>77</v>
      </c>
      <c r="Q1061" s="132">
        <v>160000</v>
      </c>
      <c r="R1061" s="132">
        <v>25600</v>
      </c>
      <c r="S1061" s="132"/>
      <c r="T1061" s="156">
        <v>0</v>
      </c>
      <c r="U1061" s="132">
        <v>0</v>
      </c>
      <c r="V1061" s="132">
        <f t="shared" si="30"/>
        <v>185600</v>
      </c>
      <c r="W1061">
        <v>83</v>
      </c>
      <c r="X1061" s="153" t="s">
        <v>195</v>
      </c>
      <c r="Y1061" s="124" t="s">
        <v>55</v>
      </c>
      <c r="Z1061" s="308">
        <v>219</v>
      </c>
      <c r="AB1061" t="str">
        <f>IF(Table1[[#This Row],[TIPO2]]="costo", VLOOKUP(Table1[[#This Row],[PARTIDA PRESUPUESTAL]],'Cost Report'!G:G,1,0),"Balance")</f>
        <v>5113-003</v>
      </c>
      <c r="AC1061" s="118"/>
      <c r="AD1061" s="159">
        <f>+Table1[[#This Row],[SUBTOTAL]]+Table1[[#This Row],[IVA]]-Table1[[#This Row],[RET IVA]]-Table1[[#This Row],[RET ISR]]-Table1[[#This Row],[TOTAL]]</f>
        <v>0</v>
      </c>
      <c r="AE1061" s="152"/>
      <c r="AF1061" s="153"/>
      <c r="AG1061" s="126"/>
      <c r="AH1061" s="115"/>
      <c r="AK1061" s="306" t="str">
        <f>IF(ISNUMBER(Table1[[#This Row],[FECHA DE RECIBIDO]]), Table1[[#This Row],[FECHA DE RECIBIDO]]-DATE(2023,8,30), "")</f>
        <v/>
      </c>
    </row>
    <row r="1062" spans="1:37" ht="16.05" customHeight="1">
      <c r="A1062" s="150" t="s">
        <v>3305</v>
      </c>
      <c r="B1062" s="151">
        <v>440</v>
      </c>
      <c r="C1062" s="126" t="s">
        <v>3042</v>
      </c>
      <c r="D1062">
        <v>753</v>
      </c>
      <c r="E1062" s="126" t="s">
        <v>2001</v>
      </c>
      <c r="F1062" s="122" t="s">
        <v>1607</v>
      </c>
      <c r="G1062" s="122" t="s">
        <v>134</v>
      </c>
      <c r="H1062">
        <v>121</v>
      </c>
      <c r="I1062" s="122" t="s">
        <v>1546</v>
      </c>
      <c r="J1062" s="307" t="s">
        <v>214</v>
      </c>
      <c r="K1062" s="127" t="s">
        <v>3348</v>
      </c>
      <c r="L1062" s="151" t="s">
        <v>3306</v>
      </c>
      <c r="M1062">
        <v>336</v>
      </c>
      <c r="N1062" s="123">
        <v>1</v>
      </c>
      <c r="O1062">
        <v>761</v>
      </c>
      <c r="P1062" s="132" t="s">
        <v>77</v>
      </c>
      <c r="Q1062" s="131">
        <v>200000</v>
      </c>
      <c r="R1062" s="131">
        <v>32000</v>
      </c>
      <c r="S1062" s="131"/>
      <c r="T1062" s="155">
        <v>0</v>
      </c>
      <c r="U1062" s="131">
        <v>0</v>
      </c>
      <c r="V1062" s="131">
        <f t="shared" si="30"/>
        <v>232000</v>
      </c>
      <c r="W1062">
        <v>83</v>
      </c>
      <c r="X1062" s="151" t="s">
        <v>195</v>
      </c>
      <c r="Y1062" s="135" t="s">
        <v>55</v>
      </c>
      <c r="Z1062" s="307">
        <v>219</v>
      </c>
      <c r="AB1062" t="str">
        <f>IF(Table1[[#This Row],[TIPO2]]="costo", VLOOKUP(Table1[[#This Row],[PARTIDA PRESUPUESTAL]],'Cost Report'!G:G,1,0),"Balance")</f>
        <v>5120-003</v>
      </c>
      <c r="AC1062" s="118"/>
      <c r="AD1062" s="159">
        <f>+Table1[[#This Row],[SUBTOTAL]]+Table1[[#This Row],[IVA]]-Table1[[#This Row],[RET IVA]]-Table1[[#This Row],[RET ISR]]-Table1[[#This Row],[TOTAL]]</f>
        <v>0</v>
      </c>
      <c r="AE1062" s="150"/>
      <c r="AF1062" s="151"/>
      <c r="AG1062" s="126"/>
      <c r="AH1062" s="115"/>
      <c r="AK1062" s="306" t="str">
        <f>IF(ISNUMBER(Table1[[#This Row],[FECHA DE RECIBIDO]]), Table1[[#This Row],[FECHA DE RECIBIDO]]-DATE(2023,8,30), "")</f>
        <v/>
      </c>
    </row>
    <row r="1063" spans="1:37" ht="16.05" customHeight="1">
      <c r="A1063" s="152" t="s">
        <v>3305</v>
      </c>
      <c r="B1063" s="153">
        <v>440</v>
      </c>
      <c r="C1063" s="126" t="s">
        <v>3058</v>
      </c>
      <c r="D1063">
        <v>753</v>
      </c>
      <c r="E1063" s="126" t="s">
        <v>2001</v>
      </c>
      <c r="F1063" s="125" t="s">
        <v>1607</v>
      </c>
      <c r="G1063" s="125" t="s">
        <v>134</v>
      </c>
      <c r="H1063">
        <v>121</v>
      </c>
      <c r="I1063" s="125" t="s">
        <v>1546</v>
      </c>
      <c r="J1063" s="308" t="s">
        <v>214</v>
      </c>
      <c r="K1063" s="127" t="s">
        <v>3348</v>
      </c>
      <c r="L1063" s="153" t="s">
        <v>3306</v>
      </c>
      <c r="M1063">
        <v>336</v>
      </c>
      <c r="N1063" s="123">
        <v>1</v>
      </c>
      <c r="O1063">
        <v>761</v>
      </c>
      <c r="P1063" s="132" t="s">
        <v>77</v>
      </c>
      <c r="Q1063" s="132">
        <v>57600</v>
      </c>
      <c r="R1063" s="132">
        <v>9216</v>
      </c>
      <c r="S1063" s="132"/>
      <c r="T1063" s="156">
        <v>0</v>
      </c>
      <c r="U1063" s="132">
        <v>0</v>
      </c>
      <c r="V1063" s="132">
        <f t="shared" si="30"/>
        <v>66816</v>
      </c>
      <c r="W1063">
        <v>83</v>
      </c>
      <c r="X1063" s="153" t="s">
        <v>195</v>
      </c>
      <c r="Y1063" s="124" t="s">
        <v>55</v>
      </c>
      <c r="Z1063" s="308">
        <v>219</v>
      </c>
      <c r="AB1063" t="str">
        <f>IF(Table1[[#This Row],[TIPO2]]="costo", VLOOKUP(Table1[[#This Row],[PARTIDA PRESUPUESTAL]],'Cost Report'!G:G,1,0),"Balance")</f>
        <v>5209-003</v>
      </c>
      <c r="AC1063" s="118"/>
      <c r="AD1063" s="159">
        <f>+Table1[[#This Row],[SUBTOTAL]]+Table1[[#This Row],[IVA]]-Table1[[#This Row],[RET IVA]]-Table1[[#This Row],[RET ISR]]-Table1[[#This Row],[TOTAL]]</f>
        <v>0</v>
      </c>
      <c r="AE1063" s="152"/>
      <c r="AF1063" s="153"/>
      <c r="AG1063" s="126"/>
      <c r="AH1063" s="115"/>
      <c r="AK1063" s="306" t="str">
        <f>IF(ISNUMBER(Table1[[#This Row],[FECHA DE RECIBIDO]]), Table1[[#This Row],[FECHA DE RECIBIDO]]-DATE(2023,8,30), "")</f>
        <v/>
      </c>
    </row>
    <row r="1064" spans="1:37" ht="16.05" customHeight="1">
      <c r="A1064" s="150" t="s">
        <v>3305</v>
      </c>
      <c r="B1064" s="151">
        <v>440</v>
      </c>
      <c r="C1064" s="126" t="s">
        <v>1263</v>
      </c>
      <c r="D1064">
        <v>753</v>
      </c>
      <c r="E1064" s="126" t="s">
        <v>2001</v>
      </c>
      <c r="F1064" s="122" t="s">
        <v>1607</v>
      </c>
      <c r="G1064" s="122" t="s">
        <v>134</v>
      </c>
      <c r="H1064">
        <v>121</v>
      </c>
      <c r="I1064" s="122" t="s">
        <v>1546</v>
      </c>
      <c r="J1064" s="307" t="s">
        <v>214</v>
      </c>
      <c r="K1064" s="127" t="s">
        <v>3348</v>
      </c>
      <c r="L1064" s="151" t="s">
        <v>3306</v>
      </c>
      <c r="M1064">
        <v>336</v>
      </c>
      <c r="N1064" s="123">
        <v>1</v>
      </c>
      <c r="O1064">
        <v>761</v>
      </c>
      <c r="P1064" s="132" t="s">
        <v>77</v>
      </c>
      <c r="Q1064" s="131">
        <v>162000</v>
      </c>
      <c r="R1064" s="131">
        <v>25920</v>
      </c>
      <c r="S1064" s="131"/>
      <c r="T1064" s="155">
        <v>0</v>
      </c>
      <c r="U1064" s="131">
        <v>0</v>
      </c>
      <c r="V1064" s="131">
        <f t="shared" si="30"/>
        <v>187920</v>
      </c>
      <c r="W1064">
        <v>83</v>
      </c>
      <c r="X1064" s="151" t="s">
        <v>195</v>
      </c>
      <c r="Y1064" s="135" t="s">
        <v>55</v>
      </c>
      <c r="Z1064" s="307">
        <v>219</v>
      </c>
      <c r="AB1064" t="str">
        <f>IF(Table1[[#This Row],[TIPO2]]="costo", VLOOKUP(Table1[[#This Row],[PARTIDA PRESUPUESTAL]],'Cost Report'!G:G,1,0),"Balance")</f>
        <v>5222-003</v>
      </c>
      <c r="AC1064" s="118"/>
      <c r="AD1064" s="159">
        <f>+Table1[[#This Row],[SUBTOTAL]]+Table1[[#This Row],[IVA]]-Table1[[#This Row],[RET IVA]]-Table1[[#This Row],[RET ISR]]-Table1[[#This Row],[TOTAL]]</f>
        <v>0</v>
      </c>
      <c r="AE1064" s="150"/>
      <c r="AF1064" s="151"/>
      <c r="AG1064" s="126"/>
      <c r="AH1064" s="115"/>
      <c r="AK1064" s="306" t="str">
        <f>IF(ISNUMBER(Table1[[#This Row],[FECHA DE RECIBIDO]]), Table1[[#This Row],[FECHA DE RECIBIDO]]-DATE(2023,8,30), "")</f>
        <v/>
      </c>
    </row>
    <row r="1065" spans="1:37" ht="16.05" customHeight="1">
      <c r="A1065" s="152" t="s">
        <v>3305</v>
      </c>
      <c r="B1065" s="153">
        <v>440</v>
      </c>
      <c r="C1065" s="126" t="s">
        <v>1264</v>
      </c>
      <c r="D1065">
        <v>753</v>
      </c>
      <c r="E1065" s="126" t="s">
        <v>2001</v>
      </c>
      <c r="F1065" s="125" t="s">
        <v>1607</v>
      </c>
      <c r="G1065" s="125" t="s">
        <v>134</v>
      </c>
      <c r="H1065">
        <v>121</v>
      </c>
      <c r="I1065" s="125" t="s">
        <v>1546</v>
      </c>
      <c r="J1065" s="308" t="s">
        <v>214</v>
      </c>
      <c r="K1065" s="127" t="s">
        <v>3348</v>
      </c>
      <c r="L1065" s="153" t="s">
        <v>3306</v>
      </c>
      <c r="M1065">
        <v>336</v>
      </c>
      <c r="N1065" s="123">
        <v>1</v>
      </c>
      <c r="O1065">
        <v>761</v>
      </c>
      <c r="P1065" s="132" t="s">
        <v>77</v>
      </c>
      <c r="Q1065" s="132">
        <v>81000</v>
      </c>
      <c r="R1065" s="132">
        <v>12960</v>
      </c>
      <c r="S1065" s="132"/>
      <c r="T1065" s="156">
        <v>0</v>
      </c>
      <c r="U1065" s="132">
        <v>0</v>
      </c>
      <c r="V1065" s="132">
        <f t="shared" si="30"/>
        <v>93960</v>
      </c>
      <c r="W1065">
        <v>83</v>
      </c>
      <c r="X1065" s="153" t="s">
        <v>195</v>
      </c>
      <c r="Y1065" s="124" t="s">
        <v>55</v>
      </c>
      <c r="Z1065" s="308">
        <v>219</v>
      </c>
      <c r="AB1065" t="str">
        <f>IF(Table1[[#This Row],[TIPO2]]="costo", VLOOKUP(Table1[[#This Row],[PARTIDA PRESUPUESTAL]],'Cost Report'!G:G,1,0),"Balance")</f>
        <v>5222-004</v>
      </c>
      <c r="AC1065" s="118"/>
      <c r="AD1065" s="159">
        <f>+Table1[[#This Row],[SUBTOTAL]]+Table1[[#This Row],[IVA]]-Table1[[#This Row],[RET IVA]]-Table1[[#This Row],[RET ISR]]-Table1[[#This Row],[TOTAL]]</f>
        <v>0</v>
      </c>
      <c r="AE1065" s="152"/>
      <c r="AF1065" s="153"/>
      <c r="AG1065" s="126"/>
      <c r="AH1065" s="115"/>
      <c r="AK1065" s="306" t="str">
        <f>IF(ISNUMBER(Table1[[#This Row],[FECHA DE RECIBIDO]]), Table1[[#This Row],[FECHA DE RECIBIDO]]-DATE(2023,8,30), "")</f>
        <v/>
      </c>
    </row>
    <row r="1066" spans="1:37" ht="16.05" customHeight="1">
      <c r="A1066" s="150" t="s">
        <v>3305</v>
      </c>
      <c r="B1066" s="151">
        <v>440</v>
      </c>
      <c r="C1066" s="126" t="s">
        <v>1265</v>
      </c>
      <c r="D1066">
        <v>753</v>
      </c>
      <c r="E1066" s="126" t="s">
        <v>2001</v>
      </c>
      <c r="F1066" s="122" t="s">
        <v>1607</v>
      </c>
      <c r="G1066" s="122" t="s">
        <v>134</v>
      </c>
      <c r="H1066">
        <v>121</v>
      </c>
      <c r="I1066" s="122" t="s">
        <v>1546</v>
      </c>
      <c r="J1066" s="307" t="s">
        <v>214</v>
      </c>
      <c r="K1066" s="127" t="s">
        <v>3348</v>
      </c>
      <c r="L1066" s="151" t="s">
        <v>3306</v>
      </c>
      <c r="M1066">
        <v>336</v>
      </c>
      <c r="N1066" s="123">
        <v>1</v>
      </c>
      <c r="O1066">
        <v>761</v>
      </c>
      <c r="P1066" s="132" t="s">
        <v>77</v>
      </c>
      <c r="Q1066" s="131">
        <v>81000</v>
      </c>
      <c r="R1066" s="131">
        <v>12960</v>
      </c>
      <c r="S1066" s="131"/>
      <c r="T1066" s="155">
        <v>0</v>
      </c>
      <c r="U1066" s="131">
        <v>0</v>
      </c>
      <c r="V1066" s="131">
        <f t="shared" si="30"/>
        <v>93960</v>
      </c>
      <c r="W1066">
        <v>83</v>
      </c>
      <c r="X1066" s="151" t="s">
        <v>195</v>
      </c>
      <c r="Y1066" s="135" t="s">
        <v>55</v>
      </c>
      <c r="Z1066" s="307">
        <v>219</v>
      </c>
      <c r="AB1066" t="str">
        <f>IF(Table1[[#This Row],[TIPO2]]="costo", VLOOKUP(Table1[[#This Row],[PARTIDA PRESUPUESTAL]],'Cost Report'!G:G,1,0),"Balance")</f>
        <v>5222-005</v>
      </c>
      <c r="AC1066" s="118"/>
      <c r="AD1066" s="159">
        <f>+Table1[[#This Row],[SUBTOTAL]]+Table1[[#This Row],[IVA]]-Table1[[#This Row],[RET IVA]]-Table1[[#This Row],[RET ISR]]-Table1[[#This Row],[TOTAL]]</f>
        <v>0</v>
      </c>
      <c r="AE1066" s="150"/>
      <c r="AF1066" s="151"/>
      <c r="AG1066" s="126"/>
      <c r="AH1066" s="115"/>
      <c r="AK1066" s="306" t="str">
        <f>IF(ISNUMBER(Table1[[#This Row],[FECHA DE RECIBIDO]]), Table1[[#This Row],[FECHA DE RECIBIDO]]-DATE(2023,8,30), "")</f>
        <v/>
      </c>
    </row>
    <row r="1067" spans="1:37" ht="16.05" customHeight="1">
      <c r="A1067" s="152" t="s">
        <v>3305</v>
      </c>
      <c r="B1067" s="153">
        <v>440</v>
      </c>
      <c r="C1067" s="126" t="s">
        <v>1266</v>
      </c>
      <c r="D1067">
        <v>753</v>
      </c>
      <c r="E1067" s="126" t="s">
        <v>2001</v>
      </c>
      <c r="F1067" s="125" t="s">
        <v>1607</v>
      </c>
      <c r="G1067" s="125" t="s">
        <v>134</v>
      </c>
      <c r="H1067">
        <v>121</v>
      </c>
      <c r="I1067" s="125" t="s">
        <v>1546</v>
      </c>
      <c r="J1067" s="308" t="s">
        <v>214</v>
      </c>
      <c r="K1067" s="127" t="s">
        <v>3348</v>
      </c>
      <c r="L1067" s="153" t="s">
        <v>3306</v>
      </c>
      <c r="M1067">
        <v>336</v>
      </c>
      <c r="N1067" s="123">
        <v>1</v>
      </c>
      <c r="O1067">
        <v>761</v>
      </c>
      <c r="P1067" s="132" t="s">
        <v>77</v>
      </c>
      <c r="Q1067" s="132">
        <v>81000</v>
      </c>
      <c r="R1067" s="132">
        <v>12960</v>
      </c>
      <c r="S1067" s="132"/>
      <c r="T1067" s="156">
        <v>0</v>
      </c>
      <c r="U1067" s="132">
        <v>0</v>
      </c>
      <c r="V1067" s="132">
        <f t="shared" si="30"/>
        <v>93960</v>
      </c>
      <c r="W1067">
        <v>83</v>
      </c>
      <c r="X1067" s="153" t="s">
        <v>195</v>
      </c>
      <c r="Y1067" s="124" t="s">
        <v>55</v>
      </c>
      <c r="Z1067" s="308">
        <v>219</v>
      </c>
      <c r="AB1067" t="str">
        <f>IF(Table1[[#This Row],[TIPO2]]="costo", VLOOKUP(Table1[[#This Row],[PARTIDA PRESUPUESTAL]],'Cost Report'!G:G,1,0),"Balance")</f>
        <v>5222-006</v>
      </c>
      <c r="AC1067" s="118"/>
      <c r="AD1067" s="159">
        <f>+Table1[[#This Row],[SUBTOTAL]]+Table1[[#This Row],[IVA]]-Table1[[#This Row],[RET IVA]]-Table1[[#This Row],[RET ISR]]-Table1[[#This Row],[TOTAL]]</f>
        <v>0</v>
      </c>
      <c r="AE1067" s="152"/>
      <c r="AF1067" s="153"/>
      <c r="AG1067" s="126"/>
      <c r="AH1067" s="115"/>
      <c r="AK1067" s="306" t="str">
        <f>IF(ISNUMBER(Table1[[#This Row],[FECHA DE RECIBIDO]]), Table1[[#This Row],[FECHA DE RECIBIDO]]-DATE(2023,8,30), "")</f>
        <v/>
      </c>
    </row>
    <row r="1068" spans="1:37" ht="16.05" customHeight="1">
      <c r="A1068" s="150" t="s">
        <v>3305</v>
      </c>
      <c r="B1068" s="151">
        <v>440</v>
      </c>
      <c r="C1068" s="126" t="s">
        <v>1267</v>
      </c>
      <c r="D1068">
        <v>753</v>
      </c>
      <c r="E1068" s="126" t="s">
        <v>2001</v>
      </c>
      <c r="F1068" s="122" t="s">
        <v>1607</v>
      </c>
      <c r="G1068" s="122" t="s">
        <v>134</v>
      </c>
      <c r="H1068">
        <v>121</v>
      </c>
      <c r="I1068" s="122" t="s">
        <v>1546</v>
      </c>
      <c r="J1068" s="307" t="s">
        <v>214</v>
      </c>
      <c r="K1068" s="127" t="s">
        <v>3348</v>
      </c>
      <c r="L1068" s="151" t="s">
        <v>3306</v>
      </c>
      <c r="M1068">
        <v>336</v>
      </c>
      <c r="N1068" s="123">
        <v>1</v>
      </c>
      <c r="O1068">
        <v>761</v>
      </c>
      <c r="P1068" s="132" t="s">
        <v>77</v>
      </c>
      <c r="Q1068" s="131">
        <v>36000</v>
      </c>
      <c r="R1068" s="131">
        <v>5760</v>
      </c>
      <c r="S1068" s="131"/>
      <c r="T1068" s="155">
        <v>0</v>
      </c>
      <c r="U1068" s="131">
        <v>0</v>
      </c>
      <c r="V1068" s="131">
        <f t="shared" si="30"/>
        <v>41760</v>
      </c>
      <c r="W1068">
        <v>83</v>
      </c>
      <c r="X1068" s="151" t="s">
        <v>195</v>
      </c>
      <c r="Y1068" s="135" t="s">
        <v>55</v>
      </c>
      <c r="Z1068" s="307">
        <v>219</v>
      </c>
      <c r="AB1068" t="str">
        <f>IF(Table1[[#This Row],[TIPO2]]="costo", VLOOKUP(Table1[[#This Row],[PARTIDA PRESUPUESTAL]],'Cost Report'!G:G,1,0),"Balance")</f>
        <v>5222-007</v>
      </c>
      <c r="AC1068" s="118"/>
      <c r="AD1068" s="159">
        <f>+Table1[[#This Row],[SUBTOTAL]]+Table1[[#This Row],[IVA]]-Table1[[#This Row],[RET IVA]]-Table1[[#This Row],[RET ISR]]-Table1[[#This Row],[TOTAL]]</f>
        <v>0</v>
      </c>
      <c r="AE1068" s="150"/>
      <c r="AF1068" s="151"/>
      <c r="AG1068" s="126"/>
      <c r="AH1068" s="115"/>
      <c r="AK1068" s="306" t="str">
        <f>IF(ISNUMBER(Table1[[#This Row],[FECHA DE RECIBIDO]]), Table1[[#This Row],[FECHA DE RECIBIDO]]-DATE(2023,8,30), "")</f>
        <v/>
      </c>
    </row>
    <row r="1069" spans="1:37" ht="16.05" customHeight="1">
      <c r="A1069" s="152" t="s">
        <v>3305</v>
      </c>
      <c r="B1069" s="153">
        <v>440</v>
      </c>
      <c r="C1069" s="126" t="s">
        <v>1268</v>
      </c>
      <c r="D1069">
        <v>753</v>
      </c>
      <c r="E1069" s="126" t="s">
        <v>2001</v>
      </c>
      <c r="F1069" s="125" t="s">
        <v>1607</v>
      </c>
      <c r="G1069" s="125" t="s">
        <v>134</v>
      </c>
      <c r="H1069">
        <v>121</v>
      </c>
      <c r="I1069" s="125" t="s">
        <v>1546</v>
      </c>
      <c r="J1069" s="308" t="s">
        <v>214</v>
      </c>
      <c r="K1069" s="127" t="s">
        <v>3348</v>
      </c>
      <c r="L1069" s="153" t="s">
        <v>3306</v>
      </c>
      <c r="M1069">
        <v>336</v>
      </c>
      <c r="N1069" s="123">
        <v>1</v>
      </c>
      <c r="O1069">
        <v>761</v>
      </c>
      <c r="P1069" s="132" t="s">
        <v>77</v>
      </c>
      <c r="Q1069" s="132">
        <v>180000</v>
      </c>
      <c r="R1069" s="132">
        <v>28800</v>
      </c>
      <c r="S1069" s="132"/>
      <c r="T1069" s="156">
        <v>0</v>
      </c>
      <c r="U1069" s="132">
        <v>0</v>
      </c>
      <c r="V1069" s="132">
        <f t="shared" si="30"/>
        <v>208800</v>
      </c>
      <c r="W1069">
        <v>83</v>
      </c>
      <c r="X1069" s="153" t="s">
        <v>195</v>
      </c>
      <c r="Y1069" s="124" t="s">
        <v>55</v>
      </c>
      <c r="Z1069" s="308">
        <v>219</v>
      </c>
      <c r="AB1069" t="str">
        <f>IF(Table1[[#This Row],[TIPO2]]="costo", VLOOKUP(Table1[[#This Row],[PARTIDA PRESUPUESTAL]],'Cost Report'!G:G,1,0),"Balance")</f>
        <v>5222-008</v>
      </c>
      <c r="AC1069" s="118"/>
      <c r="AD1069" s="159">
        <f>+Table1[[#This Row],[SUBTOTAL]]+Table1[[#This Row],[IVA]]-Table1[[#This Row],[RET IVA]]-Table1[[#This Row],[RET ISR]]-Table1[[#This Row],[TOTAL]]</f>
        <v>0</v>
      </c>
      <c r="AE1069" s="152"/>
      <c r="AF1069" s="153"/>
      <c r="AG1069" s="126"/>
      <c r="AH1069" s="115"/>
      <c r="AK1069" s="306" t="str">
        <f>IF(ISNUMBER(Table1[[#This Row],[FECHA DE RECIBIDO]]), Table1[[#This Row],[FECHA DE RECIBIDO]]-DATE(2023,8,30), "")</f>
        <v/>
      </c>
    </row>
    <row r="1070" spans="1:37" ht="16.05" customHeight="1">
      <c r="A1070" s="150" t="s">
        <v>3305</v>
      </c>
      <c r="B1070" s="151">
        <v>440</v>
      </c>
      <c r="C1070" s="126" t="s">
        <v>1780</v>
      </c>
      <c r="D1070">
        <v>753</v>
      </c>
      <c r="E1070" s="126" t="s">
        <v>2001</v>
      </c>
      <c r="F1070" s="122" t="s">
        <v>1607</v>
      </c>
      <c r="G1070" s="122" t="s">
        <v>134</v>
      </c>
      <c r="H1070">
        <v>121</v>
      </c>
      <c r="I1070" s="122" t="s">
        <v>1546</v>
      </c>
      <c r="J1070" s="307" t="s">
        <v>214</v>
      </c>
      <c r="K1070" s="127" t="s">
        <v>3348</v>
      </c>
      <c r="L1070" s="151" t="s">
        <v>3306</v>
      </c>
      <c r="M1070">
        <v>336</v>
      </c>
      <c r="N1070" s="123">
        <v>1</v>
      </c>
      <c r="O1070">
        <v>761</v>
      </c>
      <c r="P1070" s="132" t="s">
        <v>77</v>
      </c>
      <c r="Q1070" s="131">
        <v>5000</v>
      </c>
      <c r="R1070" s="131">
        <v>800</v>
      </c>
      <c r="S1070" s="131"/>
      <c r="T1070" s="155">
        <v>0</v>
      </c>
      <c r="U1070" s="131">
        <v>0</v>
      </c>
      <c r="V1070" s="131">
        <f t="shared" si="30"/>
        <v>5800</v>
      </c>
      <c r="W1070">
        <v>83</v>
      </c>
      <c r="X1070" s="151" t="s">
        <v>195</v>
      </c>
      <c r="Y1070" s="135" t="s">
        <v>55</v>
      </c>
      <c r="Z1070" s="307">
        <v>219</v>
      </c>
      <c r="AB1070" t="str">
        <f>IF(Table1[[#This Row],[TIPO2]]="costo", VLOOKUP(Table1[[#This Row],[PARTIDA PRESUPUESTAL]],'Cost Report'!G:G,1,0),"Balance")</f>
        <v>5222-009</v>
      </c>
      <c r="AC1070" s="118"/>
      <c r="AD1070" s="159">
        <f>+Table1[[#This Row],[SUBTOTAL]]+Table1[[#This Row],[IVA]]-Table1[[#This Row],[RET IVA]]-Table1[[#This Row],[RET ISR]]-Table1[[#This Row],[TOTAL]]</f>
        <v>0</v>
      </c>
      <c r="AE1070" s="150"/>
      <c r="AF1070" s="151"/>
      <c r="AG1070" s="126"/>
      <c r="AH1070" s="115"/>
      <c r="AK1070" s="306" t="str">
        <f>IF(ISNUMBER(Table1[[#This Row],[FECHA DE RECIBIDO]]), Table1[[#This Row],[FECHA DE RECIBIDO]]-DATE(2023,8,30), "")</f>
        <v/>
      </c>
    </row>
    <row r="1071" spans="1:37" ht="16.05" customHeight="1">
      <c r="A1071" s="152" t="s">
        <v>3305</v>
      </c>
      <c r="B1071" s="153">
        <v>440</v>
      </c>
      <c r="C1071" s="126" t="s">
        <v>3075</v>
      </c>
      <c r="D1071">
        <v>753</v>
      </c>
      <c r="E1071" s="126" t="s">
        <v>2001</v>
      </c>
      <c r="F1071" s="125" t="s">
        <v>1607</v>
      </c>
      <c r="G1071" s="125" t="s">
        <v>134</v>
      </c>
      <c r="H1071">
        <v>121</v>
      </c>
      <c r="I1071" s="125" t="s">
        <v>1546</v>
      </c>
      <c r="J1071" s="308" t="s">
        <v>214</v>
      </c>
      <c r="K1071" s="127" t="s">
        <v>3348</v>
      </c>
      <c r="L1071" s="153" t="s">
        <v>3306</v>
      </c>
      <c r="M1071">
        <v>336</v>
      </c>
      <c r="N1071" s="123">
        <v>1</v>
      </c>
      <c r="O1071">
        <v>761</v>
      </c>
      <c r="P1071" s="132" t="s">
        <v>77</v>
      </c>
      <c r="Q1071" s="132">
        <v>70242.23</v>
      </c>
      <c r="R1071" s="132">
        <v>11238.76</v>
      </c>
      <c r="S1071" s="132"/>
      <c r="T1071" s="156">
        <v>0</v>
      </c>
      <c r="U1071" s="132">
        <v>0</v>
      </c>
      <c r="V1071" s="132">
        <f t="shared" si="30"/>
        <v>81480.989999999991</v>
      </c>
      <c r="W1071">
        <v>83</v>
      </c>
      <c r="X1071" s="153" t="s">
        <v>195</v>
      </c>
      <c r="Y1071" s="124" t="s">
        <v>55</v>
      </c>
      <c r="Z1071" s="308">
        <v>219</v>
      </c>
      <c r="AB1071" t="str">
        <f>IF(Table1[[#This Row],[TIPO2]]="costo", VLOOKUP(Table1[[#This Row],[PARTIDA PRESUPUESTAL]],'Cost Report'!G:G,1,0),"Balance")</f>
        <v>6101-013</v>
      </c>
      <c r="AC1071" s="118"/>
      <c r="AD1071" s="159">
        <f>+Table1[[#This Row],[SUBTOTAL]]+Table1[[#This Row],[IVA]]-Table1[[#This Row],[RET IVA]]-Table1[[#This Row],[RET ISR]]-Table1[[#This Row],[TOTAL]]</f>
        <v>0</v>
      </c>
      <c r="AE1071" s="152"/>
      <c r="AF1071" s="153"/>
      <c r="AG1071" s="126"/>
      <c r="AH1071" s="115"/>
      <c r="AK1071" s="306" t="str">
        <f>IF(ISNUMBER(Table1[[#This Row],[FECHA DE RECIBIDO]]), Table1[[#This Row],[FECHA DE RECIBIDO]]-DATE(2023,8,30), "")</f>
        <v/>
      </c>
    </row>
    <row r="1072" spans="1:37" ht="16.05" customHeight="1">
      <c r="A1072" s="150" t="s">
        <v>3307</v>
      </c>
      <c r="B1072" s="151">
        <v>441</v>
      </c>
      <c r="C1072" s="126" t="s">
        <v>1055</v>
      </c>
      <c r="D1072">
        <v>754</v>
      </c>
      <c r="E1072" s="126" t="s">
        <v>1616</v>
      </c>
      <c r="F1072" s="122" t="s">
        <v>1607</v>
      </c>
      <c r="G1072" s="122" t="s">
        <v>134</v>
      </c>
      <c r="H1072">
        <v>37</v>
      </c>
      <c r="I1072" s="122" t="s">
        <v>1546</v>
      </c>
      <c r="J1072" s="307" t="s">
        <v>214</v>
      </c>
      <c r="K1072" s="127" t="s">
        <v>3348</v>
      </c>
      <c r="L1072" s="151" t="s">
        <v>3306</v>
      </c>
      <c r="M1072">
        <v>337</v>
      </c>
      <c r="N1072" s="123">
        <v>76</v>
      </c>
      <c r="O1072">
        <v>762</v>
      </c>
      <c r="P1072" s="132" t="s">
        <v>77</v>
      </c>
      <c r="Q1072" s="131">
        <v>3139</v>
      </c>
      <c r="R1072" s="131">
        <v>502.24</v>
      </c>
      <c r="S1072" s="131"/>
      <c r="T1072" s="155">
        <v>0</v>
      </c>
      <c r="U1072" s="131">
        <v>0</v>
      </c>
      <c r="V1072" s="131">
        <f t="shared" si="30"/>
        <v>3641.24</v>
      </c>
      <c r="W1072">
        <v>32</v>
      </c>
      <c r="X1072" s="151" t="s">
        <v>3308</v>
      </c>
      <c r="Y1072" s="135" t="s">
        <v>55</v>
      </c>
      <c r="Z1072" s="307">
        <v>219</v>
      </c>
      <c r="AB1072" t="str">
        <f>IF(Table1[[#This Row],[TIPO2]]="costo", VLOOKUP(Table1[[#This Row],[PARTIDA PRESUPUESTAL]],'Cost Report'!G:G,1,0),"Balance")</f>
        <v>3683-036</v>
      </c>
      <c r="AC1072" s="118"/>
      <c r="AD1072" s="159">
        <f>+Table1[[#This Row],[SUBTOTAL]]+Table1[[#This Row],[IVA]]-Table1[[#This Row],[RET IVA]]-Table1[[#This Row],[RET ISR]]-Table1[[#This Row],[TOTAL]]</f>
        <v>0</v>
      </c>
      <c r="AE1072" s="150"/>
      <c r="AF1072" s="151"/>
      <c r="AG1072" s="126"/>
      <c r="AH1072" s="115"/>
      <c r="AK1072" s="306" t="str">
        <f>IF(ISNUMBER(Table1[[#This Row],[FECHA DE RECIBIDO]]), Table1[[#This Row],[FECHA DE RECIBIDO]]-DATE(2023,8,30), "")</f>
        <v/>
      </c>
    </row>
    <row r="1073" spans="1:37" ht="16.05" customHeight="1">
      <c r="A1073" s="152" t="s">
        <v>3309</v>
      </c>
      <c r="B1073" s="153">
        <v>442</v>
      </c>
      <c r="C1073" s="126" t="s">
        <v>3002</v>
      </c>
      <c r="D1073">
        <v>755</v>
      </c>
      <c r="E1073" s="126" t="s">
        <v>3268</v>
      </c>
      <c r="F1073" s="125" t="s">
        <v>1593</v>
      </c>
      <c r="G1073" s="125" t="s">
        <v>109</v>
      </c>
      <c r="H1073">
        <v>255</v>
      </c>
      <c r="I1073" s="125" t="s">
        <v>1546</v>
      </c>
      <c r="J1073" s="308" t="s">
        <v>214</v>
      </c>
      <c r="K1073" s="127" t="s">
        <v>3348</v>
      </c>
      <c r="L1073" s="153" t="s">
        <v>3306</v>
      </c>
      <c r="M1073">
        <v>338</v>
      </c>
      <c r="N1073" s="123">
        <v>76</v>
      </c>
      <c r="O1073">
        <v>763</v>
      </c>
      <c r="P1073" s="132" t="s">
        <v>77</v>
      </c>
      <c r="Q1073" s="132">
        <v>34250</v>
      </c>
      <c r="R1073" s="132">
        <v>5480</v>
      </c>
      <c r="S1073" s="132"/>
      <c r="T1073" s="156">
        <v>3654.48</v>
      </c>
      <c r="U1073" s="132">
        <v>428.13</v>
      </c>
      <c r="V1073" s="132">
        <f t="shared" si="30"/>
        <v>35647.39</v>
      </c>
      <c r="W1073"/>
      <c r="X1073" s="153" t="s">
        <v>105</v>
      </c>
      <c r="Y1073" s="124" t="s">
        <v>55</v>
      </c>
      <c r="Z1073" s="308">
        <v>219</v>
      </c>
      <c r="AB1073" t="str">
        <f>IF(Table1[[#This Row],[TIPO2]]="costo", VLOOKUP(Table1[[#This Row],[PARTIDA PRESUPUESTAL]],'Cost Report'!G:G,1,0),"Balance")</f>
        <v>4180-003</v>
      </c>
      <c r="AC1073" s="118"/>
      <c r="AD1073" s="159">
        <f>+Table1[[#This Row],[SUBTOTAL]]+Table1[[#This Row],[IVA]]-Table1[[#This Row],[RET IVA]]-Table1[[#This Row],[RET ISR]]-Table1[[#This Row],[TOTAL]]</f>
        <v>0</v>
      </c>
      <c r="AE1073" s="152"/>
      <c r="AF1073" s="153"/>
      <c r="AG1073" s="126"/>
      <c r="AH1073" s="115"/>
      <c r="AK1073" s="306" t="str">
        <f>IF(ISNUMBER(Table1[[#This Row],[FECHA DE RECIBIDO]]), Table1[[#This Row],[FECHA DE RECIBIDO]]-DATE(2023,8,30), "")</f>
        <v/>
      </c>
    </row>
    <row r="1074" spans="1:37" ht="16.05" customHeight="1">
      <c r="A1074" s="150" t="s">
        <v>3310</v>
      </c>
      <c r="B1074" s="151">
        <v>443</v>
      </c>
      <c r="C1074" s="126" t="s">
        <v>3108</v>
      </c>
      <c r="D1074">
        <v>756</v>
      </c>
      <c r="E1074" s="126" t="s">
        <v>2046</v>
      </c>
      <c r="F1074" s="122" t="s">
        <v>1589</v>
      </c>
      <c r="G1074" s="122" t="s">
        <v>129</v>
      </c>
      <c r="H1074">
        <v>256</v>
      </c>
      <c r="I1074" s="122" t="s">
        <v>1546</v>
      </c>
      <c r="J1074" s="307">
        <v>215.74371527777839</v>
      </c>
      <c r="K1074" s="127" t="s">
        <v>3348</v>
      </c>
      <c r="L1074" s="151" t="s">
        <v>3306</v>
      </c>
      <c r="M1074">
        <v>339</v>
      </c>
      <c r="N1074" s="123">
        <v>1</v>
      </c>
      <c r="O1074">
        <v>764</v>
      </c>
      <c r="P1074" s="132" t="s">
        <v>77</v>
      </c>
      <c r="Q1074" s="131">
        <v>3593.8</v>
      </c>
      <c r="R1074" s="131">
        <f t="shared" ref="R1074:R1076" si="31">Q1074*0.16</f>
        <v>575.00800000000004</v>
      </c>
      <c r="S1074" s="131"/>
      <c r="T1074" s="155">
        <v>0</v>
      </c>
      <c r="U1074" s="131">
        <v>0</v>
      </c>
      <c r="V1074" s="131">
        <f t="shared" ref="V1074:V1321" si="32">Q1074+R1074-T1074-U1074</f>
        <v>4168.808</v>
      </c>
      <c r="W1074">
        <v>155</v>
      </c>
      <c r="X1074" s="151" t="s">
        <v>2041</v>
      </c>
      <c r="Y1074" s="135" t="s">
        <v>55</v>
      </c>
      <c r="Z1074" s="307">
        <v>219</v>
      </c>
      <c r="AB1074" t="str">
        <f>IF(Table1[[#This Row],[TIPO2]]="costo", VLOOKUP(Table1[[#This Row],[PARTIDA PRESUPUESTAL]],'Cost Report'!G:G,1,0),"Balance")</f>
        <v>7080-003</v>
      </c>
      <c r="AC1074" s="118"/>
      <c r="AD1074" s="159">
        <f>+Table1[[#This Row],[SUBTOTAL]]+Table1[[#This Row],[IVA]]-Table1[[#This Row],[RET IVA]]-Table1[[#This Row],[RET ISR]]-Table1[[#This Row],[TOTAL]]</f>
        <v>0</v>
      </c>
      <c r="AE1074" s="150"/>
      <c r="AF1074" s="151"/>
      <c r="AG1074" s="126"/>
      <c r="AH1074" s="115"/>
      <c r="AK1074" s="306">
        <f>IF(ISNUMBER(Table1[[#This Row],[FECHA DE RECIBIDO]]), Table1[[#This Row],[FECHA DE RECIBIDO]]-DATE(2023,8,30), "")</f>
        <v>-44952.256284722222</v>
      </c>
    </row>
    <row r="1075" spans="1:37" ht="16.05" customHeight="1">
      <c r="A1075" s="152" t="s">
        <v>3311</v>
      </c>
      <c r="B1075" s="153">
        <v>444</v>
      </c>
      <c r="C1075" s="126" t="s">
        <v>2774</v>
      </c>
      <c r="D1075">
        <v>757</v>
      </c>
      <c r="E1075" s="126">
        <v>45693</v>
      </c>
      <c r="F1075" s="125" t="s">
        <v>1607</v>
      </c>
      <c r="G1075" s="125" t="s">
        <v>134</v>
      </c>
      <c r="H1075">
        <v>37</v>
      </c>
      <c r="I1075" s="125" t="s">
        <v>1546</v>
      </c>
      <c r="J1075" s="308">
        <v>215.48936342592788</v>
      </c>
      <c r="K1075" s="127" t="s">
        <v>3348</v>
      </c>
      <c r="L1075" s="153" t="s">
        <v>3306</v>
      </c>
      <c r="M1075">
        <v>140</v>
      </c>
      <c r="N1075" s="123">
        <v>1</v>
      </c>
      <c r="O1075">
        <v>765</v>
      </c>
      <c r="P1075" s="132" t="s">
        <v>77</v>
      </c>
      <c r="Q1075" s="132">
        <v>41578</v>
      </c>
      <c r="R1075" s="132">
        <f t="shared" si="31"/>
        <v>6652.4800000000005</v>
      </c>
      <c r="S1075" s="132"/>
      <c r="T1075" s="156">
        <v>0</v>
      </c>
      <c r="U1075" s="132">
        <v>0</v>
      </c>
      <c r="V1075" s="132">
        <f t="shared" si="32"/>
        <v>48230.48</v>
      </c>
      <c r="W1075">
        <v>32</v>
      </c>
      <c r="X1075" s="153" t="s">
        <v>3308</v>
      </c>
      <c r="Y1075" s="124" t="s">
        <v>55</v>
      </c>
      <c r="Z1075" s="308">
        <v>219</v>
      </c>
      <c r="AB1075" t="str">
        <f>IF(Table1[[#This Row],[TIPO2]]="costo", VLOOKUP(Table1[[#This Row],[PARTIDA PRESUPUESTAL]],'Cost Report'!G:G,1,0),"Balance")</f>
        <v>3401-042</v>
      </c>
      <c r="AC1075" s="118"/>
      <c r="AD1075" s="159">
        <f>+Table1[[#This Row],[SUBTOTAL]]+Table1[[#This Row],[IVA]]-Table1[[#This Row],[RET IVA]]-Table1[[#This Row],[RET ISR]]-Table1[[#This Row],[TOTAL]]</f>
        <v>0</v>
      </c>
      <c r="AE1075" s="152"/>
      <c r="AF1075" s="153"/>
      <c r="AG1075" s="126"/>
      <c r="AH1075" s="115"/>
      <c r="AK1075" s="306">
        <f>IF(ISNUMBER(Table1[[#This Row],[FECHA DE RECIBIDO]]), Table1[[#This Row],[FECHA DE RECIBIDO]]-DATE(2023,8,30), "")</f>
        <v>-44952.510636574072</v>
      </c>
    </row>
    <row r="1076" spans="1:37" ht="16.05" customHeight="1">
      <c r="A1076" s="150" t="s">
        <v>3312</v>
      </c>
      <c r="B1076" s="151">
        <v>445</v>
      </c>
      <c r="C1076" s="126" t="s">
        <v>2596</v>
      </c>
      <c r="D1076">
        <v>758</v>
      </c>
      <c r="E1076" s="126">
        <v>54080</v>
      </c>
      <c r="F1076" s="122" t="s">
        <v>1593</v>
      </c>
      <c r="G1076" s="122" t="s">
        <v>109</v>
      </c>
      <c r="H1076">
        <v>218</v>
      </c>
      <c r="I1076" s="122" t="s">
        <v>1546</v>
      </c>
      <c r="J1076" s="307">
        <v>215.63215277777635</v>
      </c>
      <c r="K1076" s="127" t="s">
        <v>3348</v>
      </c>
      <c r="L1076" s="151" t="s">
        <v>3306</v>
      </c>
      <c r="M1076">
        <v>284</v>
      </c>
      <c r="N1076" s="123">
        <v>77</v>
      </c>
      <c r="O1076">
        <v>766</v>
      </c>
      <c r="P1076" s="132" t="s">
        <v>77</v>
      </c>
      <c r="Q1076" s="131">
        <v>9900</v>
      </c>
      <c r="R1076" s="131">
        <f t="shared" si="31"/>
        <v>1584</v>
      </c>
      <c r="S1076" s="131"/>
      <c r="T1076" s="155">
        <v>0</v>
      </c>
      <c r="U1076" s="131">
        <v>123.75</v>
      </c>
      <c r="V1076" s="131">
        <f t="shared" si="32"/>
        <v>11360.25</v>
      </c>
      <c r="W1076">
        <v>139</v>
      </c>
      <c r="X1076" s="151" t="s">
        <v>105</v>
      </c>
      <c r="Y1076" s="135" t="s">
        <v>55</v>
      </c>
      <c r="Z1076" s="307">
        <v>219</v>
      </c>
      <c r="AB1076" t="str">
        <f>IF(Table1[[#This Row],[TIPO2]]="costo", VLOOKUP(Table1[[#This Row],[PARTIDA PRESUPUESTAL]],'Cost Report'!G:G,1,0),"Balance")</f>
        <v>2794-003</v>
      </c>
      <c r="AC1076" s="118"/>
      <c r="AD1076" s="159">
        <f>+Table1[[#This Row],[SUBTOTAL]]+Table1[[#This Row],[IVA]]-Table1[[#This Row],[RET IVA]]-Table1[[#This Row],[RET ISR]]-Table1[[#This Row],[TOTAL]]</f>
        <v>0</v>
      </c>
      <c r="AE1076" s="150"/>
      <c r="AF1076" s="151"/>
      <c r="AG1076" s="126"/>
      <c r="AH1076" s="115"/>
      <c r="AK1076" s="306">
        <f>IF(ISNUMBER(Table1[[#This Row],[FECHA DE RECIBIDO]]), Table1[[#This Row],[FECHA DE RECIBIDO]]-DATE(2023,8,30), "")</f>
        <v>-44952.367847222224</v>
      </c>
    </row>
    <row r="1077" spans="1:37" ht="16.05" customHeight="1">
      <c r="A1077" s="152" t="s">
        <v>3313</v>
      </c>
      <c r="B1077" s="153">
        <v>446</v>
      </c>
      <c r="C1077" s="126" t="s">
        <v>2534</v>
      </c>
      <c r="D1077">
        <v>759</v>
      </c>
      <c r="E1077" s="126">
        <v>52440</v>
      </c>
      <c r="F1077" s="125">
        <v>603</v>
      </c>
      <c r="G1077" s="125" t="s">
        <v>2065</v>
      </c>
      <c r="H1077">
        <v>257</v>
      </c>
      <c r="I1077" s="125" t="s">
        <v>1546</v>
      </c>
      <c r="J1077" s="308">
        <v>217.52631944444147</v>
      </c>
      <c r="K1077" s="127" t="s">
        <v>3348</v>
      </c>
      <c r="L1077" s="153" t="s">
        <v>3306</v>
      </c>
      <c r="M1077">
        <v>340</v>
      </c>
      <c r="N1077" s="123">
        <v>51</v>
      </c>
      <c r="O1077">
        <v>767</v>
      </c>
      <c r="P1077" s="132" t="s">
        <v>77</v>
      </c>
      <c r="Q1077" s="132">
        <v>8000</v>
      </c>
      <c r="R1077" s="132">
        <v>0</v>
      </c>
      <c r="S1077" s="132"/>
      <c r="T1077" s="156">
        <v>0</v>
      </c>
      <c r="U1077" s="132">
        <v>0</v>
      </c>
      <c r="V1077" s="132">
        <f t="shared" si="32"/>
        <v>8000</v>
      </c>
      <c r="W1077">
        <v>156</v>
      </c>
      <c r="X1077" s="153" t="s">
        <v>195</v>
      </c>
      <c r="Y1077" s="124" t="s">
        <v>55</v>
      </c>
      <c r="Z1077" s="308">
        <v>219</v>
      </c>
      <c r="AB1077" t="str">
        <f>IF(Table1[[#This Row],[TIPO2]]="costo", VLOOKUP(Table1[[#This Row],[PARTIDA PRESUPUESTAL]],'Cost Report'!G:G,1,0),"Balance")</f>
        <v>2494-047</v>
      </c>
      <c r="AC1077" s="118"/>
      <c r="AD1077" s="159">
        <f>+Table1[[#This Row],[SUBTOTAL]]+Table1[[#This Row],[IVA]]-Table1[[#This Row],[RET IVA]]-Table1[[#This Row],[RET ISR]]-Table1[[#This Row],[TOTAL]]</f>
        <v>0</v>
      </c>
      <c r="AE1077" s="152"/>
      <c r="AF1077" s="153"/>
      <c r="AG1077" s="126"/>
      <c r="AH1077" s="115"/>
      <c r="AK1077" s="306">
        <f>IF(ISNUMBER(Table1[[#This Row],[FECHA DE RECIBIDO]]), Table1[[#This Row],[FECHA DE RECIBIDO]]-DATE(2023,8,30), "")</f>
        <v>-44950.473680555559</v>
      </c>
    </row>
    <row r="1078" spans="1:37" ht="16.05" customHeight="1">
      <c r="A1078" s="150" t="s">
        <v>3314</v>
      </c>
      <c r="B1078" s="151">
        <v>447</v>
      </c>
      <c r="C1078" s="126" t="s">
        <v>2596</v>
      </c>
      <c r="D1078">
        <v>760</v>
      </c>
      <c r="E1078" s="126" t="s">
        <v>3241</v>
      </c>
      <c r="F1078" s="122" t="s">
        <v>1589</v>
      </c>
      <c r="G1078" s="122" t="s">
        <v>129</v>
      </c>
      <c r="H1078">
        <v>215</v>
      </c>
      <c r="I1078" s="122" t="s">
        <v>1546</v>
      </c>
      <c r="J1078" s="307">
        <v>215.74141203703766</v>
      </c>
      <c r="K1078" s="127" t="s">
        <v>3348</v>
      </c>
      <c r="L1078" s="151" t="s">
        <v>3306</v>
      </c>
      <c r="M1078">
        <v>281</v>
      </c>
      <c r="N1078" s="123">
        <v>78</v>
      </c>
      <c r="O1078">
        <v>768</v>
      </c>
      <c r="P1078" s="132" t="s">
        <v>77</v>
      </c>
      <c r="Q1078" s="131">
        <v>2800</v>
      </c>
      <c r="R1078" s="131">
        <f t="shared" ref="R1078:R1332" si="33">Q1078*0.16</f>
        <v>448</v>
      </c>
      <c r="S1078" s="131"/>
      <c r="T1078" s="155">
        <f>Q1078*0.106667</f>
        <v>298.66759999999999</v>
      </c>
      <c r="U1078" s="131">
        <f>Q1078*0.1</f>
        <v>280</v>
      </c>
      <c r="V1078" s="131">
        <f t="shared" si="32"/>
        <v>2669.3324000000002</v>
      </c>
      <c r="W1078">
        <v>136</v>
      </c>
      <c r="X1078" s="151" t="s">
        <v>1980</v>
      </c>
      <c r="Y1078" s="135" t="s">
        <v>55</v>
      </c>
      <c r="Z1078" s="307">
        <v>219</v>
      </c>
      <c r="AB1078" t="str">
        <f>IF(Table1[[#This Row],[TIPO2]]="costo", VLOOKUP(Table1[[#This Row],[PARTIDA PRESUPUESTAL]],'Cost Report'!G:G,1,0),"Balance")</f>
        <v>2794-003</v>
      </c>
      <c r="AC1078" s="118"/>
      <c r="AD1078" s="159">
        <f>+Table1[[#This Row],[SUBTOTAL]]+Table1[[#This Row],[IVA]]-Table1[[#This Row],[RET IVA]]-Table1[[#This Row],[RET ISR]]-Table1[[#This Row],[TOTAL]]</f>
        <v>0</v>
      </c>
      <c r="AE1078" s="150"/>
      <c r="AF1078" s="151"/>
      <c r="AG1078" s="126"/>
      <c r="AH1078" s="115"/>
      <c r="AK1078" s="306">
        <f>IF(ISNUMBER(Table1[[#This Row],[FECHA DE RECIBIDO]]), Table1[[#This Row],[FECHA DE RECIBIDO]]-DATE(2023,8,30), "")</f>
        <v>-44952.258587962962</v>
      </c>
    </row>
    <row r="1079" spans="1:37" ht="16.05" customHeight="1">
      <c r="A1079" s="152" t="s">
        <v>3315</v>
      </c>
      <c r="B1079" s="153">
        <v>448</v>
      </c>
      <c r="C1079" s="126" t="s">
        <v>3002</v>
      </c>
      <c r="D1079">
        <v>761</v>
      </c>
      <c r="E1079" s="126">
        <v>45221</v>
      </c>
      <c r="F1079" s="125" t="s">
        <v>1607</v>
      </c>
      <c r="G1079" s="125" t="s">
        <v>134</v>
      </c>
      <c r="H1079">
        <v>213</v>
      </c>
      <c r="I1079" s="125" t="s">
        <v>1546</v>
      </c>
      <c r="J1079" s="308">
        <v>215.93059027777781</v>
      </c>
      <c r="K1079" s="127" t="s">
        <v>3348</v>
      </c>
      <c r="L1079" s="153" t="s">
        <v>3306</v>
      </c>
      <c r="M1079">
        <v>278</v>
      </c>
      <c r="N1079" s="123">
        <v>1</v>
      </c>
      <c r="O1079">
        <v>769</v>
      </c>
      <c r="P1079" s="132" t="s">
        <v>77</v>
      </c>
      <c r="Q1079" s="132">
        <v>2700</v>
      </c>
      <c r="R1079" s="132">
        <f t="shared" si="33"/>
        <v>432</v>
      </c>
      <c r="S1079" s="132"/>
      <c r="T1079" s="156">
        <v>0</v>
      </c>
      <c r="U1079" s="132">
        <v>0</v>
      </c>
      <c r="V1079" s="132">
        <f t="shared" si="32"/>
        <v>3132</v>
      </c>
      <c r="W1079">
        <v>134</v>
      </c>
      <c r="X1079" s="153" t="s">
        <v>105</v>
      </c>
      <c r="Y1079" s="124" t="s">
        <v>55</v>
      </c>
      <c r="Z1079" s="308">
        <v>219</v>
      </c>
      <c r="AB1079" t="str">
        <f>IF(Table1[[#This Row],[TIPO2]]="costo", VLOOKUP(Table1[[#This Row],[PARTIDA PRESUPUESTAL]],'Cost Report'!G:G,1,0),"Balance")</f>
        <v>4180-003</v>
      </c>
      <c r="AC1079" s="118"/>
      <c r="AD1079" s="159">
        <f>+Table1[[#This Row],[SUBTOTAL]]+Table1[[#This Row],[IVA]]-Table1[[#This Row],[RET IVA]]-Table1[[#This Row],[RET ISR]]-Table1[[#This Row],[TOTAL]]</f>
        <v>0</v>
      </c>
      <c r="AE1079" s="152"/>
      <c r="AF1079" s="153"/>
      <c r="AG1079" s="126"/>
      <c r="AH1079" s="115"/>
      <c r="AK1079" s="306">
        <f>IF(ISNUMBER(Table1[[#This Row],[FECHA DE RECIBIDO]]), Table1[[#This Row],[FECHA DE RECIBIDO]]-DATE(2023,8,30), "")</f>
        <v>-44952.069409722222</v>
      </c>
    </row>
    <row r="1080" spans="1:37" ht="16.05" customHeight="1">
      <c r="A1080" s="150" t="s">
        <v>3316</v>
      </c>
      <c r="B1080" s="151">
        <v>449</v>
      </c>
      <c r="C1080" s="126" t="s">
        <v>910</v>
      </c>
      <c r="D1080">
        <v>762</v>
      </c>
      <c r="E1080" s="126">
        <v>45221</v>
      </c>
      <c r="F1080" s="122" t="s">
        <v>1607</v>
      </c>
      <c r="G1080" s="122" t="s">
        <v>134</v>
      </c>
      <c r="H1080">
        <v>213</v>
      </c>
      <c r="I1080" s="122" t="s">
        <v>1546</v>
      </c>
      <c r="J1080" s="307">
        <v>215.93305555555708</v>
      </c>
      <c r="K1080" s="127" t="s">
        <v>3348</v>
      </c>
      <c r="L1080" s="151" t="s">
        <v>3306</v>
      </c>
      <c r="M1080">
        <v>278</v>
      </c>
      <c r="N1080" s="123">
        <v>1</v>
      </c>
      <c r="O1080">
        <v>770</v>
      </c>
      <c r="P1080" s="132" t="s">
        <v>77</v>
      </c>
      <c r="Q1080" s="131">
        <v>16000</v>
      </c>
      <c r="R1080" s="131">
        <f t="shared" si="33"/>
        <v>2560</v>
      </c>
      <c r="S1080" s="131"/>
      <c r="T1080" s="155">
        <v>0</v>
      </c>
      <c r="U1080" s="131">
        <v>0</v>
      </c>
      <c r="V1080" s="131">
        <f t="shared" si="32"/>
        <v>18560</v>
      </c>
      <c r="W1080">
        <v>134</v>
      </c>
      <c r="X1080" s="151" t="s">
        <v>105</v>
      </c>
      <c r="Y1080" s="135" t="s">
        <v>55</v>
      </c>
      <c r="Z1080" s="307">
        <v>219</v>
      </c>
      <c r="AB1080" t="str">
        <f>IF(Table1[[#This Row],[TIPO2]]="costo", VLOOKUP(Table1[[#This Row],[PARTIDA PRESUPUESTAL]],'Cost Report'!G:G,1,0),"Balance")</f>
        <v>3201-003</v>
      </c>
      <c r="AC1080" s="118"/>
      <c r="AD1080" s="159">
        <f>+Table1[[#This Row],[SUBTOTAL]]+Table1[[#This Row],[IVA]]-Table1[[#This Row],[RET IVA]]-Table1[[#This Row],[RET ISR]]-Table1[[#This Row],[TOTAL]]</f>
        <v>0</v>
      </c>
      <c r="AE1080" s="150"/>
      <c r="AF1080" s="151"/>
      <c r="AG1080" s="126"/>
      <c r="AH1080" s="115"/>
      <c r="AK1080" s="306">
        <f>IF(ISNUMBER(Table1[[#This Row],[FECHA DE RECIBIDO]]), Table1[[#This Row],[FECHA DE RECIBIDO]]-DATE(2023,8,30), "")</f>
        <v>-44952.066944444443</v>
      </c>
    </row>
    <row r="1081" spans="1:37" ht="16.05" customHeight="1">
      <c r="A1081" s="152" t="s">
        <v>3317</v>
      </c>
      <c r="B1081" s="153">
        <v>450</v>
      </c>
      <c r="C1081" s="126" t="s">
        <v>3002</v>
      </c>
      <c r="D1081">
        <v>763</v>
      </c>
      <c r="E1081" s="126">
        <v>45405</v>
      </c>
      <c r="F1081" s="125" t="s">
        <v>1593</v>
      </c>
      <c r="G1081" s="125" t="s">
        <v>109</v>
      </c>
      <c r="H1081">
        <v>258</v>
      </c>
      <c r="I1081" s="125" t="s">
        <v>1546</v>
      </c>
      <c r="J1081" s="308">
        <v>216.76701388888614</v>
      </c>
      <c r="K1081" s="127" t="s">
        <v>3348</v>
      </c>
      <c r="L1081" s="153" t="s">
        <v>3306</v>
      </c>
      <c r="M1081">
        <v>341</v>
      </c>
      <c r="N1081" s="123">
        <v>1</v>
      </c>
      <c r="O1081">
        <v>771</v>
      </c>
      <c r="P1081" s="132" t="s">
        <v>77</v>
      </c>
      <c r="Q1081" s="132">
        <v>5000</v>
      </c>
      <c r="R1081" s="132">
        <f t="shared" si="33"/>
        <v>800</v>
      </c>
      <c r="S1081" s="132"/>
      <c r="T1081" s="156">
        <f>Q1081*0.106667</f>
        <v>533.33500000000004</v>
      </c>
      <c r="U1081" s="132">
        <f>Q1081*0.0125</f>
        <v>62.5</v>
      </c>
      <c r="V1081" s="132">
        <f t="shared" si="32"/>
        <v>5204.165</v>
      </c>
      <c r="W1081">
        <v>157</v>
      </c>
      <c r="X1081" s="153" t="s">
        <v>2035</v>
      </c>
      <c r="Y1081" s="124" t="s">
        <v>55</v>
      </c>
      <c r="Z1081" s="308">
        <v>219</v>
      </c>
      <c r="AB1081" t="str">
        <f>IF(Table1[[#This Row],[TIPO2]]="costo", VLOOKUP(Table1[[#This Row],[PARTIDA PRESUPUESTAL]],'Cost Report'!G:G,1,0),"Balance")</f>
        <v>4180-003</v>
      </c>
      <c r="AC1081" s="118"/>
      <c r="AD1081" s="159">
        <f>+Table1[[#This Row],[SUBTOTAL]]+Table1[[#This Row],[IVA]]-Table1[[#This Row],[RET IVA]]-Table1[[#This Row],[RET ISR]]-Table1[[#This Row],[TOTAL]]</f>
        <v>0</v>
      </c>
      <c r="AE1081" s="152"/>
      <c r="AF1081" s="153"/>
      <c r="AG1081" s="126"/>
      <c r="AH1081" s="115"/>
      <c r="AK1081" s="306">
        <f>IF(ISNUMBER(Table1[[#This Row],[FECHA DE RECIBIDO]]), Table1[[#This Row],[FECHA DE RECIBIDO]]-DATE(2023,8,30), "")</f>
        <v>-44951.232986111114</v>
      </c>
    </row>
    <row r="1082" spans="1:37" ht="16.05" customHeight="1">
      <c r="A1082" s="150" t="s">
        <v>3318</v>
      </c>
      <c r="B1082" s="151">
        <v>451</v>
      </c>
      <c r="C1082" s="126" t="s">
        <v>2864</v>
      </c>
      <c r="D1082">
        <v>764</v>
      </c>
      <c r="E1082" s="126">
        <v>44150</v>
      </c>
      <c r="F1082" s="122" t="s">
        <v>1607</v>
      </c>
      <c r="G1082" s="122" t="s">
        <v>134</v>
      </c>
      <c r="H1082">
        <v>23</v>
      </c>
      <c r="I1082" s="122" t="s">
        <v>1546</v>
      </c>
      <c r="J1082" s="307">
        <v>216.69807870370278</v>
      </c>
      <c r="K1082" s="127">
        <v>1</v>
      </c>
      <c r="L1082" s="151" t="s">
        <v>3306</v>
      </c>
      <c r="M1082">
        <v>32</v>
      </c>
      <c r="N1082" s="123">
        <v>1</v>
      </c>
      <c r="O1082">
        <v>772</v>
      </c>
      <c r="P1082" s="132" t="s">
        <v>77</v>
      </c>
      <c r="Q1082" s="131">
        <v>70291.73</v>
      </c>
      <c r="R1082" s="131">
        <v>11246.676799999999</v>
      </c>
      <c r="S1082" s="131"/>
      <c r="T1082" s="155">
        <v>0</v>
      </c>
      <c r="U1082" s="131">
        <v>0</v>
      </c>
      <c r="V1082" s="131">
        <v>81538.406799999997</v>
      </c>
      <c r="W1082">
        <v>25</v>
      </c>
      <c r="X1082" s="151" t="s">
        <v>105</v>
      </c>
      <c r="Y1082" s="135" t="s">
        <v>55</v>
      </c>
      <c r="Z1082" s="307">
        <v>219</v>
      </c>
      <c r="AC1082" s="118"/>
      <c r="AD1082" s="159"/>
      <c r="AE1082" s="150"/>
      <c r="AF1082" s="151"/>
      <c r="AG1082" s="126"/>
      <c r="AH1082" s="115"/>
      <c r="AK1082" s="306">
        <f>IF(ISNUMBER(Table1[[#This Row],[FECHA DE RECIBIDO]]), Table1[[#This Row],[FECHA DE RECIBIDO]]-DATE(2023,8,30), "")</f>
        <v>-44951.301921296297</v>
      </c>
    </row>
    <row r="1083" spans="1:37" ht="16.05" customHeight="1">
      <c r="A1083" s="152" t="s">
        <v>3319</v>
      </c>
      <c r="B1083" s="153">
        <v>452</v>
      </c>
      <c r="C1083" s="126" t="s">
        <v>1034</v>
      </c>
      <c r="D1083">
        <v>765</v>
      </c>
      <c r="E1083" s="126">
        <v>44150</v>
      </c>
      <c r="F1083" s="125" t="s">
        <v>1607</v>
      </c>
      <c r="G1083" s="125" t="s">
        <v>134</v>
      </c>
      <c r="H1083">
        <v>23</v>
      </c>
      <c r="I1083" s="125" t="s">
        <v>1546</v>
      </c>
      <c r="J1083" s="308">
        <v>216.69659722222423</v>
      </c>
      <c r="K1083" s="127">
        <v>1</v>
      </c>
      <c r="L1083" s="153" t="s">
        <v>3306</v>
      </c>
      <c r="M1083">
        <v>32</v>
      </c>
      <c r="N1083" s="123">
        <v>1</v>
      </c>
      <c r="O1083">
        <v>773</v>
      </c>
      <c r="P1083" s="132" t="s">
        <v>77</v>
      </c>
      <c r="Q1083" s="132">
        <v>34878.26</v>
      </c>
      <c r="R1083" s="132">
        <v>5580.53</v>
      </c>
      <c r="S1083" s="132"/>
      <c r="T1083" s="156">
        <v>0</v>
      </c>
      <c r="U1083" s="132">
        <v>0</v>
      </c>
      <c r="V1083" s="132">
        <v>40458.79</v>
      </c>
      <c r="W1083">
        <v>25</v>
      </c>
      <c r="X1083" s="153" t="s">
        <v>105</v>
      </c>
      <c r="Y1083" s="124" t="s">
        <v>55</v>
      </c>
      <c r="Z1083" s="308">
        <v>219</v>
      </c>
      <c r="AB1083" t="str">
        <f>IF(Table1[[#This Row],[TIPO2]]="costo", VLOOKUP(Table1[[#This Row],[PARTIDA PRESUPUESTAL]],'Cost Report'!G:G,1,0),"Balance")</f>
        <v>3683-005</v>
      </c>
      <c r="AC1083" s="118"/>
      <c r="AD1083" s="159">
        <f>+Table1[[#This Row],[SUBTOTAL]]+Table1[[#This Row],[IVA]]-Table1[[#This Row],[RET IVA]]-Table1[[#This Row],[RET ISR]]-Table1[[#This Row],[TOTAL]]</f>
        <v>0</v>
      </c>
      <c r="AE1083" s="152"/>
      <c r="AF1083" s="153"/>
      <c r="AG1083" s="126"/>
      <c r="AH1083" s="115"/>
      <c r="AK1083" s="306">
        <f>IF(ISNUMBER(Table1[[#This Row],[FECHA DE RECIBIDO]]), Table1[[#This Row],[FECHA DE RECIBIDO]]-DATE(2023,8,30), "")</f>
        <v>-44951.303402777776</v>
      </c>
    </row>
    <row r="1084" spans="1:37" ht="16.05" customHeight="1">
      <c r="A1084" s="150"/>
      <c r="B1084" s="151"/>
      <c r="C1084" s="126" t="s">
        <v>1038</v>
      </c>
      <c r="D1084">
        <v>765</v>
      </c>
      <c r="E1084" s="126">
        <v>44150</v>
      </c>
      <c r="F1084" s="122" t="s">
        <v>1607</v>
      </c>
      <c r="G1084" s="122" t="s">
        <v>134</v>
      </c>
      <c r="H1084">
        <v>23</v>
      </c>
      <c r="I1084" s="122" t="s">
        <v>1546</v>
      </c>
      <c r="J1084" s="307">
        <v>216.69659722222423</v>
      </c>
      <c r="K1084" s="127">
        <v>1</v>
      </c>
      <c r="L1084" s="151" t="s">
        <v>3306</v>
      </c>
      <c r="M1084">
        <v>32</v>
      </c>
      <c r="N1084" s="123">
        <v>1</v>
      </c>
      <c r="O1084">
        <v>773</v>
      </c>
      <c r="P1084" s="132" t="s">
        <v>77</v>
      </c>
      <c r="Q1084" s="131">
        <v>34878.26</v>
      </c>
      <c r="R1084" s="131">
        <v>5580.53</v>
      </c>
      <c r="S1084" s="131"/>
      <c r="T1084" s="155">
        <v>0</v>
      </c>
      <c r="U1084" s="131">
        <v>0</v>
      </c>
      <c r="V1084" s="131">
        <v>40458.79</v>
      </c>
      <c r="W1084">
        <v>25</v>
      </c>
      <c r="X1084" s="151" t="s">
        <v>105</v>
      </c>
      <c r="Y1084" s="135" t="s">
        <v>55</v>
      </c>
      <c r="Z1084" s="307">
        <v>219</v>
      </c>
      <c r="AB1084" t="str">
        <f>IF(Table1[[#This Row],[TIPO2]]="costo", VLOOKUP(Table1[[#This Row],[PARTIDA PRESUPUESTAL]],'Cost Report'!G:G,1,0),"Balance")</f>
        <v>3683-011</v>
      </c>
      <c r="AC1084" s="118"/>
      <c r="AD1084" s="159">
        <f>+Table1[[#This Row],[SUBTOTAL]]+Table1[[#This Row],[IVA]]-Table1[[#This Row],[RET IVA]]-Table1[[#This Row],[RET ISR]]-Table1[[#This Row],[TOTAL]]</f>
        <v>0</v>
      </c>
      <c r="AE1084" s="150"/>
      <c r="AF1084" s="151"/>
      <c r="AG1084" s="126"/>
      <c r="AH1084" s="115"/>
      <c r="AK1084" s="306">
        <f>IF(ISNUMBER(Table1[[#This Row],[FECHA DE RECIBIDO]]), Table1[[#This Row],[FECHA DE RECIBIDO]]-DATE(2023,8,30), "")</f>
        <v>-44951.303402777776</v>
      </c>
    </row>
    <row r="1085" spans="1:37" ht="16.05" customHeight="1">
      <c r="A1085" s="152"/>
      <c r="B1085" s="153"/>
      <c r="C1085" s="126" t="s">
        <v>1042</v>
      </c>
      <c r="D1085">
        <v>765</v>
      </c>
      <c r="E1085" s="126">
        <v>44150</v>
      </c>
      <c r="F1085" s="125" t="s">
        <v>1607</v>
      </c>
      <c r="G1085" s="125" t="s">
        <v>134</v>
      </c>
      <c r="H1085">
        <v>23</v>
      </c>
      <c r="I1085" s="125" t="s">
        <v>1546</v>
      </c>
      <c r="J1085" s="308">
        <v>216.69659722222423</v>
      </c>
      <c r="K1085" s="127">
        <v>1</v>
      </c>
      <c r="L1085" s="153" t="s">
        <v>3306</v>
      </c>
      <c r="M1085">
        <v>32</v>
      </c>
      <c r="N1085" s="123">
        <v>1</v>
      </c>
      <c r="O1085">
        <v>773</v>
      </c>
      <c r="P1085" s="132" t="s">
        <v>77</v>
      </c>
      <c r="Q1085" s="132">
        <v>26158.7</v>
      </c>
      <c r="R1085" s="132">
        <v>4185.3900000000003</v>
      </c>
      <c r="S1085" s="132"/>
      <c r="T1085" s="156">
        <v>0</v>
      </c>
      <c r="U1085" s="132">
        <v>0</v>
      </c>
      <c r="V1085" s="132">
        <v>30344.09</v>
      </c>
      <c r="W1085">
        <v>25</v>
      </c>
      <c r="X1085" s="153" t="s">
        <v>105</v>
      </c>
      <c r="Y1085" s="124" t="s">
        <v>55</v>
      </c>
      <c r="Z1085" s="308">
        <v>219</v>
      </c>
      <c r="AB1085" t="str">
        <f>IF(Table1[[#This Row],[TIPO2]]="costo", VLOOKUP(Table1[[#This Row],[PARTIDA PRESUPUESTAL]],'Cost Report'!G:G,1,0),"Balance")</f>
        <v>3683-017</v>
      </c>
      <c r="AC1085" s="118"/>
      <c r="AD1085" s="159">
        <f>+Table1[[#This Row],[SUBTOTAL]]+Table1[[#This Row],[IVA]]-Table1[[#This Row],[RET IVA]]-Table1[[#This Row],[RET ISR]]-Table1[[#This Row],[TOTAL]]</f>
        <v>0</v>
      </c>
      <c r="AE1085" s="152"/>
      <c r="AF1085" s="153"/>
      <c r="AG1085" s="126"/>
      <c r="AH1085" s="115"/>
      <c r="AK1085" s="306">
        <f>IF(ISNUMBER(Table1[[#This Row],[FECHA DE RECIBIDO]]), Table1[[#This Row],[FECHA DE RECIBIDO]]-DATE(2023,8,30), "")</f>
        <v>-44951.303402777776</v>
      </c>
    </row>
    <row r="1086" spans="1:37" ht="16.05" customHeight="1">
      <c r="A1086" s="150"/>
      <c r="B1086" s="151"/>
      <c r="C1086" s="126" t="s">
        <v>1046</v>
      </c>
      <c r="D1086">
        <v>765</v>
      </c>
      <c r="E1086" s="126">
        <v>44150</v>
      </c>
      <c r="F1086" s="122" t="s">
        <v>1607</v>
      </c>
      <c r="G1086" s="122" t="s">
        <v>134</v>
      </c>
      <c r="H1086">
        <v>23</v>
      </c>
      <c r="I1086" s="122" t="s">
        <v>1546</v>
      </c>
      <c r="J1086" s="307">
        <v>216.69659722222423</v>
      </c>
      <c r="K1086" s="127">
        <v>1</v>
      </c>
      <c r="L1086" s="151" t="s">
        <v>3306</v>
      </c>
      <c r="M1086">
        <v>32</v>
      </c>
      <c r="N1086" s="123">
        <v>1</v>
      </c>
      <c r="O1086">
        <v>773</v>
      </c>
      <c r="P1086" s="132" t="s">
        <v>77</v>
      </c>
      <c r="Q1086" s="131">
        <v>6394.35</v>
      </c>
      <c r="R1086" s="131">
        <v>1023.11</v>
      </c>
      <c r="S1086" s="131"/>
      <c r="T1086" s="155">
        <v>0</v>
      </c>
      <c r="U1086" s="131">
        <v>0</v>
      </c>
      <c r="V1086" s="131">
        <v>7417.46</v>
      </c>
      <c r="W1086">
        <v>25</v>
      </c>
      <c r="X1086" s="151" t="s">
        <v>105</v>
      </c>
      <c r="Y1086" s="135" t="s">
        <v>55</v>
      </c>
      <c r="Z1086" s="307">
        <v>219</v>
      </c>
      <c r="AB1086" t="str">
        <f>IF(Table1[[#This Row],[TIPO2]]="costo", VLOOKUP(Table1[[#This Row],[PARTIDA PRESUPUESTAL]],'Cost Report'!G:G,1,0),"Balance")</f>
        <v>3683-023</v>
      </c>
      <c r="AC1086" s="118"/>
      <c r="AD1086" s="159">
        <f>+Table1[[#This Row],[SUBTOTAL]]+Table1[[#This Row],[IVA]]-Table1[[#This Row],[RET IVA]]-Table1[[#This Row],[RET ISR]]-Table1[[#This Row],[TOTAL]]</f>
        <v>0</v>
      </c>
      <c r="AE1086" s="150"/>
      <c r="AF1086" s="151"/>
      <c r="AG1086" s="126"/>
      <c r="AH1086" s="115"/>
      <c r="AK1086" s="306">
        <f>IF(ISNUMBER(Table1[[#This Row],[FECHA DE RECIBIDO]]), Table1[[#This Row],[FECHA DE RECIBIDO]]-DATE(2023,8,30), "")</f>
        <v>-44951.303402777776</v>
      </c>
    </row>
    <row r="1087" spans="1:37" ht="16.05" customHeight="1">
      <c r="A1087" s="152"/>
      <c r="B1087" s="153"/>
      <c r="C1087" s="126" t="s">
        <v>1050</v>
      </c>
      <c r="D1087">
        <v>765</v>
      </c>
      <c r="E1087" s="126">
        <v>44150</v>
      </c>
      <c r="F1087" s="125" t="s">
        <v>1607</v>
      </c>
      <c r="G1087" s="125" t="s">
        <v>134</v>
      </c>
      <c r="H1087">
        <v>23</v>
      </c>
      <c r="I1087" s="125" t="s">
        <v>1546</v>
      </c>
      <c r="J1087" s="308">
        <v>216.69659722222423</v>
      </c>
      <c r="K1087" s="127">
        <v>1</v>
      </c>
      <c r="L1087" s="153" t="s">
        <v>3306</v>
      </c>
      <c r="M1087">
        <v>32</v>
      </c>
      <c r="N1087" s="123">
        <v>1</v>
      </c>
      <c r="O1087">
        <v>773</v>
      </c>
      <c r="P1087" s="132" t="s">
        <v>77</v>
      </c>
      <c r="Q1087" s="132">
        <v>6278.09</v>
      </c>
      <c r="R1087" s="132">
        <v>1004.49</v>
      </c>
      <c r="S1087" s="132"/>
      <c r="T1087" s="156">
        <v>0</v>
      </c>
      <c r="U1087" s="132">
        <v>0</v>
      </c>
      <c r="V1087" s="132">
        <v>7282.58</v>
      </c>
      <c r="W1087">
        <v>25</v>
      </c>
      <c r="X1087" s="153" t="s">
        <v>105</v>
      </c>
      <c r="Y1087" s="124" t="s">
        <v>55</v>
      </c>
      <c r="Z1087" s="308">
        <v>219</v>
      </c>
      <c r="AB1087" t="str">
        <f>IF(Table1[[#This Row],[TIPO2]]="costo", VLOOKUP(Table1[[#This Row],[PARTIDA PRESUPUESTAL]],'Cost Report'!G:G,1,0),"Balance")</f>
        <v>3683-029</v>
      </c>
      <c r="AC1087" s="118"/>
      <c r="AD1087" s="159">
        <f>+Table1[[#This Row],[SUBTOTAL]]+Table1[[#This Row],[IVA]]-Table1[[#This Row],[RET IVA]]-Table1[[#This Row],[RET ISR]]-Table1[[#This Row],[TOTAL]]</f>
        <v>0</v>
      </c>
      <c r="AE1087" s="152"/>
      <c r="AF1087" s="153"/>
      <c r="AG1087" s="126"/>
      <c r="AH1087" s="115"/>
      <c r="AK1087" s="306">
        <f>IF(ISNUMBER(Table1[[#This Row],[FECHA DE RECIBIDO]]), Table1[[#This Row],[FECHA DE RECIBIDO]]-DATE(2023,8,30), "")</f>
        <v>-44951.303402777776</v>
      </c>
    </row>
    <row r="1088" spans="1:37" ht="16.05" customHeight="1">
      <c r="A1088" s="150"/>
      <c r="B1088" s="151"/>
      <c r="C1088" s="126" t="s">
        <v>2897</v>
      </c>
      <c r="D1088">
        <v>765</v>
      </c>
      <c r="E1088" s="126">
        <v>44150</v>
      </c>
      <c r="F1088" s="122" t="s">
        <v>1607</v>
      </c>
      <c r="G1088" s="122" t="s">
        <v>134</v>
      </c>
      <c r="H1088">
        <v>23</v>
      </c>
      <c r="I1088" s="122" t="s">
        <v>1546</v>
      </c>
      <c r="J1088" s="307">
        <v>216.69659722222423</v>
      </c>
      <c r="K1088" s="127">
        <v>1</v>
      </c>
      <c r="L1088" s="151" t="s">
        <v>3306</v>
      </c>
      <c r="M1088">
        <v>32</v>
      </c>
      <c r="N1088" s="123">
        <v>1</v>
      </c>
      <c r="O1088">
        <v>773</v>
      </c>
      <c r="P1088" s="132" t="s">
        <v>77</v>
      </c>
      <c r="Q1088" s="131">
        <v>3139.04</v>
      </c>
      <c r="R1088" s="131">
        <v>502.26</v>
      </c>
      <c r="S1088" s="131"/>
      <c r="T1088" s="155">
        <v>0</v>
      </c>
      <c r="U1088" s="131">
        <v>0</v>
      </c>
      <c r="V1088" s="131">
        <v>3641.3</v>
      </c>
      <c r="W1088">
        <v>25</v>
      </c>
      <c r="X1088" s="151" t="s">
        <v>105</v>
      </c>
      <c r="Y1088" s="135" t="s">
        <v>55</v>
      </c>
      <c r="Z1088" s="307">
        <v>219</v>
      </c>
      <c r="AB1088" t="str">
        <f>IF(Table1[[#This Row],[TIPO2]]="costo", VLOOKUP(Table1[[#This Row],[PARTIDA PRESUPUESTAL]],'Cost Report'!G:G,1,0),"Balance")</f>
        <v>3683-138</v>
      </c>
      <c r="AC1088" s="118"/>
      <c r="AD1088" s="159">
        <f>+Table1[[#This Row],[SUBTOTAL]]+Table1[[#This Row],[IVA]]-Table1[[#This Row],[RET IVA]]-Table1[[#This Row],[RET ISR]]-Table1[[#This Row],[TOTAL]]</f>
        <v>0</v>
      </c>
      <c r="AE1088" s="150"/>
      <c r="AF1088" s="151"/>
      <c r="AG1088" s="126"/>
      <c r="AH1088" s="115"/>
      <c r="AK1088" s="306">
        <f>IF(ISNUMBER(Table1[[#This Row],[FECHA DE RECIBIDO]]), Table1[[#This Row],[FECHA DE RECIBIDO]]-DATE(2023,8,30), "")</f>
        <v>-44951.303402777776</v>
      </c>
    </row>
    <row r="1089" spans="1:37" ht="16.05" customHeight="1">
      <c r="A1089" s="152"/>
      <c r="B1089" s="153"/>
      <c r="C1089" s="126" t="s">
        <v>1058</v>
      </c>
      <c r="D1089">
        <v>765</v>
      </c>
      <c r="E1089" s="126">
        <v>44150</v>
      </c>
      <c r="F1089" s="125" t="s">
        <v>1607</v>
      </c>
      <c r="G1089" s="125" t="s">
        <v>134</v>
      </c>
      <c r="H1089">
        <v>23</v>
      </c>
      <c r="I1089" s="125" t="s">
        <v>1546</v>
      </c>
      <c r="J1089" s="308">
        <v>216.69659722222423</v>
      </c>
      <c r="K1089" s="127">
        <v>1</v>
      </c>
      <c r="L1089" s="153" t="s">
        <v>3306</v>
      </c>
      <c r="M1089">
        <v>32</v>
      </c>
      <c r="N1089" s="123">
        <v>1</v>
      </c>
      <c r="O1089">
        <v>773</v>
      </c>
      <c r="P1089" s="132" t="s">
        <v>77</v>
      </c>
      <c r="Q1089" s="132">
        <v>6278.09</v>
      </c>
      <c r="R1089" s="132">
        <v>1004.49</v>
      </c>
      <c r="S1089" s="132"/>
      <c r="T1089" s="156">
        <v>0</v>
      </c>
      <c r="U1089" s="132">
        <v>0</v>
      </c>
      <c r="V1089" s="132">
        <v>7282.58</v>
      </c>
      <c r="W1089">
        <v>25</v>
      </c>
      <c r="X1089" s="153" t="s">
        <v>105</v>
      </c>
      <c r="Y1089" s="124" t="s">
        <v>55</v>
      </c>
      <c r="Z1089" s="308">
        <v>219</v>
      </c>
      <c r="AB1089" t="str">
        <f>IF(Table1[[#This Row],[TIPO2]]="costo", VLOOKUP(Table1[[#This Row],[PARTIDA PRESUPUESTAL]],'Cost Report'!G:G,1,0),"Balance")</f>
        <v>3683-041</v>
      </c>
      <c r="AC1089" s="118"/>
      <c r="AD1089" s="159">
        <f>+Table1[[#This Row],[SUBTOTAL]]+Table1[[#This Row],[IVA]]-Table1[[#This Row],[RET IVA]]-Table1[[#This Row],[RET ISR]]-Table1[[#This Row],[TOTAL]]</f>
        <v>0</v>
      </c>
      <c r="AE1089" s="152"/>
      <c r="AF1089" s="153"/>
      <c r="AG1089" s="126"/>
      <c r="AH1089" s="115"/>
      <c r="AK1089" s="306">
        <f>IF(ISNUMBER(Table1[[#This Row],[FECHA DE RECIBIDO]]), Table1[[#This Row],[FECHA DE RECIBIDO]]-DATE(2023,8,30), "")</f>
        <v>-44951.303402777776</v>
      </c>
    </row>
    <row r="1090" spans="1:37" ht="16.05" customHeight="1">
      <c r="A1090" s="150"/>
      <c r="B1090" s="151"/>
      <c r="C1090" s="126" t="s">
        <v>1062</v>
      </c>
      <c r="D1090">
        <v>765</v>
      </c>
      <c r="E1090" s="126">
        <v>44150</v>
      </c>
      <c r="F1090" s="122" t="s">
        <v>1607</v>
      </c>
      <c r="G1090" s="122" t="s">
        <v>134</v>
      </c>
      <c r="H1090">
        <v>23</v>
      </c>
      <c r="I1090" s="122" t="s">
        <v>1546</v>
      </c>
      <c r="J1090" s="307">
        <v>216.69659722222423</v>
      </c>
      <c r="K1090" s="127">
        <v>1</v>
      </c>
      <c r="L1090" s="151" t="s">
        <v>3306</v>
      </c>
      <c r="M1090">
        <v>32</v>
      </c>
      <c r="N1090" s="123">
        <v>1</v>
      </c>
      <c r="O1090">
        <v>773</v>
      </c>
      <c r="P1090" s="132" t="s">
        <v>77</v>
      </c>
      <c r="Q1090" s="131">
        <v>12788.7</v>
      </c>
      <c r="R1090" s="131">
        <v>2046.19</v>
      </c>
      <c r="S1090" s="131"/>
      <c r="T1090" s="155">
        <v>0</v>
      </c>
      <c r="U1090" s="131">
        <v>0</v>
      </c>
      <c r="V1090" s="131">
        <v>14834.890000000001</v>
      </c>
      <c r="W1090">
        <v>25</v>
      </c>
      <c r="X1090" s="151" t="s">
        <v>105</v>
      </c>
      <c r="Y1090" s="135" t="s">
        <v>55</v>
      </c>
      <c r="Z1090" s="307">
        <v>219</v>
      </c>
      <c r="AB1090" t="str">
        <f>IF(Table1[[#This Row],[TIPO2]]="costo", VLOOKUP(Table1[[#This Row],[PARTIDA PRESUPUESTAL]],'Cost Report'!G:G,1,0),"Balance")</f>
        <v>3683-047</v>
      </c>
      <c r="AC1090" s="118"/>
      <c r="AD1090" s="159">
        <f>+Table1[[#This Row],[SUBTOTAL]]+Table1[[#This Row],[IVA]]-Table1[[#This Row],[RET IVA]]-Table1[[#This Row],[RET ISR]]-Table1[[#This Row],[TOTAL]]</f>
        <v>0</v>
      </c>
      <c r="AE1090" s="150"/>
      <c r="AF1090" s="151"/>
      <c r="AG1090" s="126"/>
      <c r="AH1090" s="115"/>
      <c r="AK1090" s="306">
        <f>IF(ISNUMBER(Table1[[#This Row],[FECHA DE RECIBIDO]]), Table1[[#This Row],[FECHA DE RECIBIDO]]-DATE(2023,8,30), "")</f>
        <v>-44951.303402777776</v>
      </c>
    </row>
    <row r="1091" spans="1:37" ht="16.05" customHeight="1">
      <c r="A1091" s="152"/>
      <c r="B1091" s="153"/>
      <c r="C1091" s="126" t="s">
        <v>1066</v>
      </c>
      <c r="D1091">
        <v>765</v>
      </c>
      <c r="E1091" s="126">
        <v>44150</v>
      </c>
      <c r="F1091" s="125" t="s">
        <v>1607</v>
      </c>
      <c r="G1091" s="125" t="s">
        <v>134</v>
      </c>
      <c r="H1091">
        <v>23</v>
      </c>
      <c r="I1091" s="125" t="s">
        <v>1546</v>
      </c>
      <c r="J1091" s="308">
        <v>216.69659722222423</v>
      </c>
      <c r="K1091" s="127">
        <v>1</v>
      </c>
      <c r="L1091" s="153" t="s">
        <v>3306</v>
      </c>
      <c r="M1091">
        <v>32</v>
      </c>
      <c r="N1091" s="123">
        <v>1</v>
      </c>
      <c r="O1091">
        <v>773</v>
      </c>
      <c r="P1091" s="132" t="s">
        <v>77</v>
      </c>
      <c r="Q1091" s="132">
        <v>25577.39</v>
      </c>
      <c r="R1091" s="132">
        <v>4092.38</v>
      </c>
      <c r="S1091" s="132"/>
      <c r="T1091" s="156">
        <v>0</v>
      </c>
      <c r="U1091" s="132">
        <v>0</v>
      </c>
      <c r="V1091" s="132">
        <v>29669.77</v>
      </c>
      <c r="W1091">
        <v>25</v>
      </c>
      <c r="X1091" s="153" t="s">
        <v>105</v>
      </c>
      <c r="Y1091" s="124" t="s">
        <v>55</v>
      </c>
      <c r="Z1091" s="308">
        <v>219</v>
      </c>
      <c r="AB1091" t="str">
        <f>IF(Table1[[#This Row],[TIPO2]]="costo", VLOOKUP(Table1[[#This Row],[PARTIDA PRESUPUESTAL]],'Cost Report'!G:G,1,0),"Balance")</f>
        <v>3683-053</v>
      </c>
      <c r="AC1091" s="118"/>
      <c r="AD1091" s="159">
        <f>+Table1[[#This Row],[SUBTOTAL]]+Table1[[#This Row],[IVA]]-Table1[[#This Row],[RET IVA]]-Table1[[#This Row],[RET ISR]]-Table1[[#This Row],[TOTAL]]</f>
        <v>0</v>
      </c>
      <c r="AE1091" s="152"/>
      <c r="AF1091" s="153"/>
      <c r="AG1091" s="126"/>
      <c r="AH1091" s="115"/>
      <c r="AK1091" s="306">
        <f>IF(ISNUMBER(Table1[[#This Row],[FECHA DE RECIBIDO]]), Table1[[#This Row],[FECHA DE RECIBIDO]]-DATE(2023,8,30), "")</f>
        <v>-44951.303402777776</v>
      </c>
    </row>
    <row r="1092" spans="1:37" ht="16.05" customHeight="1">
      <c r="A1092" s="150"/>
      <c r="B1092" s="151"/>
      <c r="C1092" s="126" t="s">
        <v>1070</v>
      </c>
      <c r="D1092">
        <v>765</v>
      </c>
      <c r="E1092" s="126">
        <v>44150</v>
      </c>
      <c r="F1092" s="122" t="s">
        <v>1607</v>
      </c>
      <c r="G1092" s="122" t="s">
        <v>134</v>
      </c>
      <c r="H1092">
        <v>23</v>
      </c>
      <c r="I1092" s="122" t="s">
        <v>1546</v>
      </c>
      <c r="J1092" s="307">
        <v>216.69659722222423</v>
      </c>
      <c r="K1092" s="127">
        <v>1</v>
      </c>
      <c r="L1092" s="151" t="s">
        <v>3306</v>
      </c>
      <c r="M1092">
        <v>32</v>
      </c>
      <c r="N1092" s="123">
        <v>1</v>
      </c>
      <c r="O1092">
        <v>773</v>
      </c>
      <c r="P1092" s="132" t="s">
        <v>77</v>
      </c>
      <c r="Q1092" s="131">
        <v>43597.83</v>
      </c>
      <c r="R1092" s="131">
        <v>6975.65</v>
      </c>
      <c r="S1092" s="131"/>
      <c r="T1092" s="155">
        <v>0</v>
      </c>
      <c r="U1092" s="131">
        <v>0</v>
      </c>
      <c r="V1092" s="131">
        <v>50573.48</v>
      </c>
      <c r="W1092">
        <v>25</v>
      </c>
      <c r="X1092" s="151" t="s">
        <v>105</v>
      </c>
      <c r="Y1092" s="135" t="s">
        <v>55</v>
      </c>
      <c r="Z1092" s="307">
        <v>219</v>
      </c>
      <c r="AB1092" t="str">
        <f>IF(Table1[[#This Row],[TIPO2]]="costo", VLOOKUP(Table1[[#This Row],[PARTIDA PRESUPUESTAL]],'Cost Report'!G:G,1,0),"Balance")</f>
        <v>3683-059</v>
      </c>
      <c r="AC1092" s="118"/>
      <c r="AD1092" s="159">
        <f>+Table1[[#This Row],[SUBTOTAL]]+Table1[[#This Row],[IVA]]-Table1[[#This Row],[RET IVA]]-Table1[[#This Row],[RET ISR]]-Table1[[#This Row],[TOTAL]]</f>
        <v>0</v>
      </c>
      <c r="AE1092" s="150"/>
      <c r="AF1092" s="151"/>
      <c r="AG1092" s="126"/>
      <c r="AH1092" s="115"/>
      <c r="AK1092" s="306">
        <f>IF(ISNUMBER(Table1[[#This Row],[FECHA DE RECIBIDO]]), Table1[[#This Row],[FECHA DE RECIBIDO]]-DATE(2023,8,30), "")</f>
        <v>-44951.303402777776</v>
      </c>
    </row>
    <row r="1093" spans="1:37" ht="16.05" customHeight="1">
      <c r="A1093" s="152"/>
      <c r="B1093" s="153"/>
      <c r="C1093" s="126" t="s">
        <v>1074</v>
      </c>
      <c r="D1093">
        <v>765</v>
      </c>
      <c r="E1093" s="126">
        <v>44150</v>
      </c>
      <c r="F1093" s="125" t="s">
        <v>1607</v>
      </c>
      <c r="G1093" s="125" t="s">
        <v>134</v>
      </c>
      <c r="H1093">
        <v>23</v>
      </c>
      <c r="I1093" s="125" t="s">
        <v>1546</v>
      </c>
      <c r="J1093" s="308">
        <v>216.69659722222423</v>
      </c>
      <c r="K1093" s="127">
        <v>1</v>
      </c>
      <c r="L1093" s="153" t="s">
        <v>3306</v>
      </c>
      <c r="M1093">
        <v>32</v>
      </c>
      <c r="N1093" s="123">
        <v>1</v>
      </c>
      <c r="O1093">
        <v>773</v>
      </c>
      <c r="P1093" s="132" t="s">
        <v>77</v>
      </c>
      <c r="Q1093" s="132">
        <v>34878.26</v>
      </c>
      <c r="R1093" s="132">
        <v>5580.52</v>
      </c>
      <c r="S1093" s="132"/>
      <c r="T1093" s="156">
        <v>0</v>
      </c>
      <c r="U1093" s="132">
        <v>0</v>
      </c>
      <c r="V1093" s="132">
        <v>40458.78</v>
      </c>
      <c r="W1093">
        <v>25</v>
      </c>
      <c r="X1093" s="153" t="s">
        <v>105</v>
      </c>
      <c r="Y1093" s="124" t="s">
        <v>55</v>
      </c>
      <c r="Z1093" s="308">
        <v>219</v>
      </c>
      <c r="AB1093" t="str">
        <f>IF(Table1[[#This Row],[TIPO2]]="costo", VLOOKUP(Table1[[#This Row],[PARTIDA PRESUPUESTAL]],'Cost Report'!G:G,1,0),"Balance")</f>
        <v>3683-065</v>
      </c>
      <c r="AC1093" s="118"/>
      <c r="AD1093" s="159">
        <f>+Table1[[#This Row],[SUBTOTAL]]+Table1[[#This Row],[IVA]]-Table1[[#This Row],[RET IVA]]-Table1[[#This Row],[RET ISR]]-Table1[[#This Row],[TOTAL]]</f>
        <v>0</v>
      </c>
      <c r="AE1093" s="152"/>
      <c r="AF1093" s="153"/>
      <c r="AG1093" s="126"/>
      <c r="AH1093" s="115"/>
      <c r="AK1093" s="306">
        <f>IF(ISNUMBER(Table1[[#This Row],[FECHA DE RECIBIDO]]), Table1[[#This Row],[FECHA DE RECIBIDO]]-DATE(2023,8,30), "")</f>
        <v>-44951.303402777776</v>
      </c>
    </row>
    <row r="1094" spans="1:37" ht="16.05" customHeight="1">
      <c r="A1094" s="150"/>
      <c r="B1094" s="151"/>
      <c r="C1094" s="126" t="s">
        <v>1078</v>
      </c>
      <c r="D1094">
        <v>765</v>
      </c>
      <c r="E1094" s="126">
        <v>44150</v>
      </c>
      <c r="F1094" s="122" t="s">
        <v>1607</v>
      </c>
      <c r="G1094" s="122" t="s">
        <v>134</v>
      </c>
      <c r="H1094">
        <v>23</v>
      </c>
      <c r="I1094" s="122" t="s">
        <v>1546</v>
      </c>
      <c r="J1094" s="307">
        <v>216.69659722222423</v>
      </c>
      <c r="K1094" s="127">
        <v>1</v>
      </c>
      <c r="L1094" s="151" t="s">
        <v>3306</v>
      </c>
      <c r="M1094">
        <v>32</v>
      </c>
      <c r="N1094" s="123">
        <v>1</v>
      </c>
      <c r="O1094">
        <v>773</v>
      </c>
      <c r="P1094" s="132" t="s">
        <v>77</v>
      </c>
      <c r="Q1094" s="131">
        <v>8719.57</v>
      </c>
      <c r="R1094" s="131">
        <v>1395.13</v>
      </c>
      <c r="S1094" s="131"/>
      <c r="T1094" s="155">
        <v>0</v>
      </c>
      <c r="U1094" s="131">
        <v>0</v>
      </c>
      <c r="V1094" s="131">
        <v>10114.700000000001</v>
      </c>
      <c r="W1094">
        <v>25</v>
      </c>
      <c r="X1094" s="151" t="s">
        <v>105</v>
      </c>
      <c r="Y1094" s="135" t="s">
        <v>55</v>
      </c>
      <c r="Z1094" s="307">
        <v>219</v>
      </c>
      <c r="AB1094" t="str">
        <f>IF(Table1[[#This Row],[TIPO2]]="costo", VLOOKUP(Table1[[#This Row],[PARTIDA PRESUPUESTAL]],'Cost Report'!G:G,1,0),"Balance")</f>
        <v>3683-071</v>
      </c>
      <c r="AC1094" s="118"/>
      <c r="AD1094" s="159">
        <f>+Table1[[#This Row],[SUBTOTAL]]+Table1[[#This Row],[IVA]]-Table1[[#This Row],[RET IVA]]-Table1[[#This Row],[RET ISR]]-Table1[[#This Row],[TOTAL]]</f>
        <v>0</v>
      </c>
      <c r="AE1094" s="150"/>
      <c r="AF1094" s="151"/>
      <c r="AG1094" s="126"/>
      <c r="AH1094" s="115"/>
      <c r="AK1094" s="306">
        <f>IF(ISNUMBER(Table1[[#This Row],[FECHA DE RECIBIDO]]), Table1[[#This Row],[FECHA DE RECIBIDO]]-DATE(2023,8,30), "")</f>
        <v>-44951.303402777776</v>
      </c>
    </row>
    <row r="1095" spans="1:37" ht="16.05" customHeight="1">
      <c r="A1095" s="152"/>
      <c r="B1095" s="153"/>
      <c r="C1095" s="126" t="s">
        <v>1082</v>
      </c>
      <c r="D1095">
        <v>765</v>
      </c>
      <c r="E1095" s="126">
        <v>44150</v>
      </c>
      <c r="F1095" s="125" t="s">
        <v>1607</v>
      </c>
      <c r="G1095" s="125" t="s">
        <v>134</v>
      </c>
      <c r="H1095">
        <v>23</v>
      </c>
      <c r="I1095" s="125" t="s">
        <v>1546</v>
      </c>
      <c r="J1095" s="308">
        <v>216.69659722222423</v>
      </c>
      <c r="K1095" s="127">
        <v>1</v>
      </c>
      <c r="L1095" s="153" t="s">
        <v>3306</v>
      </c>
      <c r="M1095">
        <v>32</v>
      </c>
      <c r="N1095" s="123">
        <v>1</v>
      </c>
      <c r="O1095">
        <v>773</v>
      </c>
      <c r="P1095" s="132" t="s">
        <v>77</v>
      </c>
      <c r="Q1095" s="132">
        <v>34878.26</v>
      </c>
      <c r="R1095" s="132">
        <v>5580.52</v>
      </c>
      <c r="S1095" s="132"/>
      <c r="T1095" s="156">
        <v>0</v>
      </c>
      <c r="U1095" s="132">
        <v>0</v>
      </c>
      <c r="V1095" s="132">
        <v>40458.78</v>
      </c>
      <c r="W1095">
        <v>25</v>
      </c>
      <c r="X1095" s="153" t="s">
        <v>105</v>
      </c>
      <c r="Y1095" s="124" t="s">
        <v>55</v>
      </c>
      <c r="Z1095" s="308">
        <v>219</v>
      </c>
      <c r="AB1095" t="str">
        <f>IF(Table1[[#This Row],[TIPO2]]="costo", VLOOKUP(Table1[[#This Row],[PARTIDA PRESUPUESTAL]],'Cost Report'!G:G,1,0),"Balance")</f>
        <v>3683-077</v>
      </c>
      <c r="AC1095" s="118"/>
      <c r="AD1095" s="159">
        <f>+Table1[[#This Row],[SUBTOTAL]]+Table1[[#This Row],[IVA]]-Table1[[#This Row],[RET IVA]]-Table1[[#This Row],[RET ISR]]-Table1[[#This Row],[TOTAL]]</f>
        <v>0</v>
      </c>
      <c r="AE1095" s="152"/>
      <c r="AF1095" s="153"/>
      <c r="AG1095" s="126"/>
      <c r="AH1095" s="115"/>
      <c r="AK1095" s="306">
        <f>IF(ISNUMBER(Table1[[#This Row],[FECHA DE RECIBIDO]]), Table1[[#This Row],[FECHA DE RECIBIDO]]-DATE(2023,8,30), "")</f>
        <v>-44951.303402777776</v>
      </c>
    </row>
    <row r="1096" spans="1:37" ht="16.05" customHeight="1">
      <c r="A1096" s="150"/>
      <c r="B1096" s="151"/>
      <c r="C1096" s="126" t="s">
        <v>1086</v>
      </c>
      <c r="D1096">
        <v>765</v>
      </c>
      <c r="E1096" s="126">
        <v>44150</v>
      </c>
      <c r="F1096" s="122" t="s">
        <v>1607</v>
      </c>
      <c r="G1096" s="122" t="s">
        <v>134</v>
      </c>
      <c r="H1096">
        <v>23</v>
      </c>
      <c r="I1096" s="122" t="s">
        <v>1546</v>
      </c>
      <c r="J1096" s="307">
        <v>216.69659722222423</v>
      </c>
      <c r="K1096" s="127">
        <v>1</v>
      </c>
      <c r="L1096" s="151" t="s">
        <v>3306</v>
      </c>
      <c r="M1096">
        <v>32</v>
      </c>
      <c r="N1096" s="123">
        <v>1</v>
      </c>
      <c r="O1096">
        <v>773</v>
      </c>
      <c r="P1096" s="132" t="s">
        <v>77</v>
      </c>
      <c r="Q1096" s="131">
        <v>12788.7</v>
      </c>
      <c r="R1096" s="131">
        <v>2046.19</v>
      </c>
      <c r="S1096" s="131"/>
      <c r="T1096" s="155">
        <v>0</v>
      </c>
      <c r="U1096" s="131">
        <v>0</v>
      </c>
      <c r="V1096" s="131">
        <v>14834.890000000001</v>
      </c>
      <c r="W1096">
        <v>25</v>
      </c>
      <c r="X1096" s="151" t="s">
        <v>105</v>
      </c>
      <c r="Y1096" s="135" t="s">
        <v>55</v>
      </c>
      <c r="Z1096" s="307">
        <v>219</v>
      </c>
      <c r="AB1096" t="str">
        <f>IF(Table1[[#This Row],[TIPO2]]="costo", VLOOKUP(Table1[[#This Row],[PARTIDA PRESUPUESTAL]],'Cost Report'!G:G,1,0),"Balance")</f>
        <v>3683-083</v>
      </c>
      <c r="AC1096" s="118"/>
      <c r="AD1096" s="159">
        <f>+Table1[[#This Row],[SUBTOTAL]]+Table1[[#This Row],[IVA]]-Table1[[#This Row],[RET IVA]]-Table1[[#This Row],[RET ISR]]-Table1[[#This Row],[TOTAL]]</f>
        <v>0</v>
      </c>
      <c r="AE1096" s="150"/>
      <c r="AF1096" s="151"/>
      <c r="AG1096" s="126"/>
      <c r="AH1096" s="115"/>
      <c r="AK1096" s="306">
        <f>IF(ISNUMBER(Table1[[#This Row],[FECHA DE RECIBIDO]]), Table1[[#This Row],[FECHA DE RECIBIDO]]-DATE(2023,8,30), "")</f>
        <v>-44951.303402777776</v>
      </c>
    </row>
    <row r="1097" spans="1:37" ht="16.05" customHeight="1">
      <c r="A1097" s="152"/>
      <c r="B1097" s="153"/>
      <c r="C1097" s="126" t="s">
        <v>1090</v>
      </c>
      <c r="D1097">
        <v>765</v>
      </c>
      <c r="E1097" s="126">
        <v>44150</v>
      </c>
      <c r="F1097" s="125" t="s">
        <v>1607</v>
      </c>
      <c r="G1097" s="125" t="s">
        <v>134</v>
      </c>
      <c r="H1097">
        <v>23</v>
      </c>
      <c r="I1097" s="125" t="s">
        <v>1546</v>
      </c>
      <c r="J1097" s="308">
        <v>216.69659722222423</v>
      </c>
      <c r="K1097" s="127">
        <v>1</v>
      </c>
      <c r="L1097" s="153" t="s">
        <v>3306</v>
      </c>
      <c r="M1097">
        <v>32</v>
      </c>
      <c r="N1097" s="123">
        <v>1</v>
      </c>
      <c r="O1097">
        <v>773</v>
      </c>
      <c r="P1097" s="132" t="s">
        <v>77</v>
      </c>
      <c r="Q1097" s="132">
        <v>34878.26</v>
      </c>
      <c r="R1097" s="132">
        <v>5580.52</v>
      </c>
      <c r="S1097" s="132"/>
      <c r="T1097" s="156">
        <v>0</v>
      </c>
      <c r="U1097" s="132">
        <v>0</v>
      </c>
      <c r="V1097" s="132">
        <v>40458.78</v>
      </c>
      <c r="W1097">
        <v>25</v>
      </c>
      <c r="X1097" s="153" t="s">
        <v>105</v>
      </c>
      <c r="Y1097" s="124" t="s">
        <v>55</v>
      </c>
      <c r="Z1097" s="308">
        <v>219</v>
      </c>
      <c r="AB1097" t="str">
        <f>IF(Table1[[#This Row],[TIPO2]]="costo", VLOOKUP(Table1[[#This Row],[PARTIDA PRESUPUESTAL]],'Cost Report'!G:G,1,0),"Balance")</f>
        <v>3683-089</v>
      </c>
      <c r="AC1097" s="118"/>
      <c r="AD1097" s="159">
        <f>+Table1[[#This Row],[SUBTOTAL]]+Table1[[#This Row],[IVA]]-Table1[[#This Row],[RET IVA]]-Table1[[#This Row],[RET ISR]]-Table1[[#This Row],[TOTAL]]</f>
        <v>0</v>
      </c>
      <c r="AE1097" s="152"/>
      <c r="AF1097" s="153"/>
      <c r="AG1097" s="126"/>
      <c r="AH1097" s="115"/>
      <c r="AK1097" s="306">
        <f>IF(ISNUMBER(Table1[[#This Row],[FECHA DE RECIBIDO]]), Table1[[#This Row],[FECHA DE RECIBIDO]]-DATE(2023,8,30), "")</f>
        <v>-44951.303402777776</v>
      </c>
    </row>
    <row r="1098" spans="1:37" ht="16.05" customHeight="1">
      <c r="A1098" s="150"/>
      <c r="B1098" s="151"/>
      <c r="C1098" s="126" t="s">
        <v>1094</v>
      </c>
      <c r="D1098">
        <v>765</v>
      </c>
      <c r="E1098" s="126">
        <v>44150</v>
      </c>
      <c r="F1098" s="122" t="s">
        <v>1607</v>
      </c>
      <c r="G1098" s="122" t="s">
        <v>134</v>
      </c>
      <c r="H1098">
        <v>23</v>
      </c>
      <c r="I1098" s="122" t="s">
        <v>1546</v>
      </c>
      <c r="J1098" s="307">
        <v>216.69659722222423</v>
      </c>
      <c r="K1098" s="127">
        <v>1</v>
      </c>
      <c r="L1098" s="151" t="s">
        <v>3306</v>
      </c>
      <c r="M1098">
        <v>32</v>
      </c>
      <c r="N1098" s="123">
        <v>1</v>
      </c>
      <c r="O1098">
        <v>773</v>
      </c>
      <c r="P1098" s="132" t="s">
        <v>77</v>
      </c>
      <c r="Q1098" s="131">
        <v>12788.7</v>
      </c>
      <c r="R1098" s="131">
        <v>2046.19</v>
      </c>
      <c r="S1098" s="131"/>
      <c r="T1098" s="155">
        <v>0</v>
      </c>
      <c r="U1098" s="131">
        <v>0</v>
      </c>
      <c r="V1098" s="131">
        <v>14834.890000000001</v>
      </c>
      <c r="W1098">
        <v>25</v>
      </c>
      <c r="X1098" s="151" t="s">
        <v>105</v>
      </c>
      <c r="Y1098" s="135" t="s">
        <v>55</v>
      </c>
      <c r="Z1098" s="307">
        <v>219</v>
      </c>
      <c r="AB1098" t="str">
        <f>IF(Table1[[#This Row],[TIPO2]]="costo", VLOOKUP(Table1[[#This Row],[PARTIDA PRESUPUESTAL]],'Cost Report'!G:G,1,0),"Balance")</f>
        <v>3683-095</v>
      </c>
      <c r="AC1098" s="118"/>
      <c r="AD1098" s="159">
        <f>+Table1[[#This Row],[SUBTOTAL]]+Table1[[#This Row],[IVA]]-Table1[[#This Row],[RET IVA]]-Table1[[#This Row],[RET ISR]]-Table1[[#This Row],[TOTAL]]</f>
        <v>0</v>
      </c>
      <c r="AE1098" s="150"/>
      <c r="AF1098" s="151"/>
      <c r="AG1098" s="126"/>
      <c r="AH1098" s="115"/>
      <c r="AK1098" s="306">
        <f>IF(ISNUMBER(Table1[[#This Row],[FECHA DE RECIBIDO]]), Table1[[#This Row],[FECHA DE RECIBIDO]]-DATE(2023,8,30), "")</f>
        <v>-44951.303402777776</v>
      </c>
    </row>
    <row r="1099" spans="1:37" ht="16.05" customHeight="1">
      <c r="A1099" s="152"/>
      <c r="B1099" s="153"/>
      <c r="C1099" s="126" t="s">
        <v>2900</v>
      </c>
      <c r="D1099">
        <v>765</v>
      </c>
      <c r="E1099" s="126">
        <v>44150</v>
      </c>
      <c r="F1099" s="125" t="s">
        <v>1607</v>
      </c>
      <c r="G1099" s="125" t="s">
        <v>134</v>
      </c>
      <c r="H1099">
        <v>23</v>
      </c>
      <c r="I1099" s="125" t="s">
        <v>1546</v>
      </c>
      <c r="J1099" s="308">
        <v>216.69659722222423</v>
      </c>
      <c r="K1099" s="127">
        <v>1</v>
      </c>
      <c r="L1099" s="153" t="s">
        <v>3306</v>
      </c>
      <c r="M1099">
        <v>32</v>
      </c>
      <c r="N1099" s="123">
        <v>1</v>
      </c>
      <c r="O1099">
        <v>773</v>
      </c>
      <c r="P1099" s="132" t="s">
        <v>77</v>
      </c>
      <c r="Q1099" s="132">
        <v>4650.4399999999996</v>
      </c>
      <c r="R1099" s="132">
        <v>744.07</v>
      </c>
      <c r="S1099" s="132"/>
      <c r="T1099" s="156">
        <v>0</v>
      </c>
      <c r="U1099" s="132">
        <v>0</v>
      </c>
      <c r="V1099" s="132">
        <v>5394.5099999999993</v>
      </c>
      <c r="W1099">
        <v>25</v>
      </c>
      <c r="X1099" s="153" t="s">
        <v>105</v>
      </c>
      <c r="Y1099" s="124" t="s">
        <v>55</v>
      </c>
      <c r="Z1099" s="308">
        <v>219</v>
      </c>
      <c r="AB1099" t="str">
        <f>IF(Table1[[#This Row],[TIPO2]]="costo", VLOOKUP(Table1[[#This Row],[PARTIDA PRESUPUESTAL]],'Cost Report'!G:G,1,0),"Balance")</f>
        <v>3683-143</v>
      </c>
      <c r="AC1099" s="118"/>
      <c r="AD1099" s="159">
        <f>+Table1[[#This Row],[SUBTOTAL]]+Table1[[#This Row],[IVA]]-Table1[[#This Row],[RET IVA]]-Table1[[#This Row],[RET ISR]]-Table1[[#This Row],[TOTAL]]</f>
        <v>0</v>
      </c>
      <c r="AE1099" s="152"/>
      <c r="AF1099" s="153"/>
      <c r="AG1099" s="126"/>
      <c r="AH1099" s="115"/>
      <c r="AK1099" s="306">
        <f>IF(ISNUMBER(Table1[[#This Row],[FECHA DE RECIBIDO]]), Table1[[#This Row],[FECHA DE RECIBIDO]]-DATE(2023,8,30), "")</f>
        <v>-44951.303402777776</v>
      </c>
    </row>
    <row r="1100" spans="1:37" ht="16.05" customHeight="1">
      <c r="A1100" s="150"/>
      <c r="B1100" s="151"/>
      <c r="C1100" s="126" t="s">
        <v>2907</v>
      </c>
      <c r="D1100">
        <v>765</v>
      </c>
      <c r="E1100" s="126">
        <v>44150</v>
      </c>
      <c r="F1100" s="122" t="s">
        <v>1607</v>
      </c>
      <c r="G1100" s="122" t="s">
        <v>134</v>
      </c>
      <c r="H1100">
        <v>23</v>
      </c>
      <c r="I1100" s="122" t="s">
        <v>1546</v>
      </c>
      <c r="J1100" s="307">
        <v>216.69659722222423</v>
      </c>
      <c r="K1100" s="127">
        <v>1</v>
      </c>
      <c r="L1100" s="151" t="s">
        <v>3306</v>
      </c>
      <c r="M1100">
        <v>32</v>
      </c>
      <c r="N1100" s="123">
        <v>1</v>
      </c>
      <c r="O1100">
        <v>773</v>
      </c>
      <c r="P1100" s="132" t="s">
        <v>77</v>
      </c>
      <c r="Q1100" s="131">
        <v>20345.650000000001</v>
      </c>
      <c r="R1100" s="131">
        <v>3255.3</v>
      </c>
      <c r="S1100" s="131"/>
      <c r="T1100" s="155">
        <v>0</v>
      </c>
      <c r="U1100" s="131">
        <v>0</v>
      </c>
      <c r="V1100" s="131">
        <v>23600.95</v>
      </c>
      <c r="W1100">
        <v>25</v>
      </c>
      <c r="X1100" s="151" t="s">
        <v>105</v>
      </c>
      <c r="Y1100" s="135" t="s">
        <v>55</v>
      </c>
      <c r="Z1100" s="307">
        <v>219</v>
      </c>
      <c r="AB1100" t="str">
        <f>IF(Table1[[#This Row],[TIPO2]]="costo", VLOOKUP(Table1[[#This Row],[PARTIDA PRESUPUESTAL]],'Cost Report'!G:G,1,0),"Balance")</f>
        <v>3683-154</v>
      </c>
      <c r="AC1100" s="118"/>
      <c r="AD1100" s="159">
        <f>+Table1[[#This Row],[SUBTOTAL]]+Table1[[#This Row],[IVA]]-Table1[[#This Row],[RET IVA]]-Table1[[#This Row],[RET ISR]]-Table1[[#This Row],[TOTAL]]</f>
        <v>0</v>
      </c>
      <c r="AE1100" s="150"/>
      <c r="AF1100" s="151"/>
      <c r="AG1100" s="126"/>
      <c r="AH1100" s="115"/>
      <c r="AK1100" s="306">
        <f>IF(ISNUMBER(Table1[[#This Row],[FECHA DE RECIBIDO]]), Table1[[#This Row],[FECHA DE RECIBIDO]]-DATE(2023,8,30), "")</f>
        <v>-44951.303402777776</v>
      </c>
    </row>
    <row r="1101" spans="1:37" ht="16.05" customHeight="1">
      <c r="A1101" s="152" t="s">
        <v>3320</v>
      </c>
      <c r="B1101" s="153">
        <v>453</v>
      </c>
      <c r="C1101" s="126" t="s">
        <v>2835</v>
      </c>
      <c r="D1101">
        <v>766</v>
      </c>
      <c r="E1101" s="126">
        <v>44150</v>
      </c>
      <c r="F1101" s="125" t="s">
        <v>1607</v>
      </c>
      <c r="G1101" s="125" t="s">
        <v>134</v>
      </c>
      <c r="H1101">
        <v>23</v>
      </c>
      <c r="I1101" s="125" t="s">
        <v>1546</v>
      </c>
      <c r="J1101" s="308">
        <v>216.71193287037022</v>
      </c>
      <c r="K1101" s="127">
        <v>1</v>
      </c>
      <c r="L1101" s="153" t="s">
        <v>3306</v>
      </c>
      <c r="M1101">
        <v>32</v>
      </c>
      <c r="N1101" s="123">
        <v>1</v>
      </c>
      <c r="O1101">
        <v>774</v>
      </c>
      <c r="P1101" s="132" t="s">
        <v>77</v>
      </c>
      <c r="Q1101" s="132">
        <v>83</v>
      </c>
      <c r="R1101" s="132">
        <v>13.280000000000001</v>
      </c>
      <c r="S1101" s="132"/>
      <c r="T1101" s="156">
        <v>0</v>
      </c>
      <c r="U1101" s="132">
        <v>0</v>
      </c>
      <c r="V1101" s="132">
        <v>96.28</v>
      </c>
      <c r="W1101">
        <v>25</v>
      </c>
      <c r="X1101" s="153" t="s">
        <v>105</v>
      </c>
      <c r="Y1101" s="124" t="s">
        <v>55</v>
      </c>
      <c r="Z1101" s="308">
        <v>219</v>
      </c>
      <c r="AB1101" t="str">
        <f>IF(Table1[[#This Row],[TIPO2]]="costo", VLOOKUP(Table1[[#This Row],[PARTIDA PRESUPUESTAL]],'Cost Report'!G:G,1,0),"Balance")</f>
        <v>3442-024</v>
      </c>
      <c r="AC1101" s="118"/>
      <c r="AD1101" s="159">
        <f>+Table1[[#This Row],[SUBTOTAL]]+Table1[[#This Row],[IVA]]-Table1[[#This Row],[RET IVA]]-Table1[[#This Row],[RET ISR]]-Table1[[#This Row],[TOTAL]]</f>
        <v>0</v>
      </c>
      <c r="AE1101" s="152"/>
      <c r="AF1101" s="153"/>
      <c r="AG1101" s="126"/>
      <c r="AH1101" s="115"/>
      <c r="AK1101" s="306">
        <f>IF(ISNUMBER(Table1[[#This Row],[FECHA DE RECIBIDO]]), Table1[[#This Row],[FECHA DE RECIBIDO]]-DATE(2023,8,30), "")</f>
        <v>-44951.28806712963</v>
      </c>
    </row>
    <row r="1102" spans="1:37" ht="16.05" customHeight="1">
      <c r="A1102" s="150" t="s">
        <v>3321</v>
      </c>
      <c r="B1102" s="151">
        <v>454</v>
      </c>
      <c r="C1102" s="126" t="s">
        <v>2835</v>
      </c>
      <c r="D1102">
        <v>767</v>
      </c>
      <c r="E1102" s="126">
        <v>44150</v>
      </c>
      <c r="F1102" s="122" t="s">
        <v>1607</v>
      </c>
      <c r="G1102" s="122" t="s">
        <v>134</v>
      </c>
      <c r="H1102">
        <v>23</v>
      </c>
      <c r="I1102" s="122" t="s">
        <v>1546</v>
      </c>
      <c r="J1102" s="307">
        <v>216.70013888888934</v>
      </c>
      <c r="K1102" s="127">
        <v>1</v>
      </c>
      <c r="L1102" s="151" t="s">
        <v>3306</v>
      </c>
      <c r="M1102">
        <v>32</v>
      </c>
      <c r="N1102" s="123">
        <v>1</v>
      </c>
      <c r="O1102">
        <v>775</v>
      </c>
      <c r="P1102" s="132" t="s">
        <v>77</v>
      </c>
      <c r="Q1102" s="131">
        <v>17861.82</v>
      </c>
      <c r="R1102" s="131">
        <v>2857.88</v>
      </c>
      <c r="S1102" s="131"/>
      <c r="T1102" s="155">
        <v>0</v>
      </c>
      <c r="U1102" s="131">
        <v>0</v>
      </c>
      <c r="V1102" s="131">
        <v>20719.7</v>
      </c>
      <c r="W1102">
        <v>25</v>
      </c>
      <c r="X1102" s="151" t="s">
        <v>105</v>
      </c>
      <c r="Y1102" s="135" t="s">
        <v>55</v>
      </c>
      <c r="Z1102" s="307">
        <v>219</v>
      </c>
      <c r="AB1102" t="str">
        <f>IF(Table1[[#This Row],[TIPO2]]="costo", VLOOKUP(Table1[[#This Row],[PARTIDA PRESUPUESTAL]],'Cost Report'!G:G,1,0),"Balance")</f>
        <v>3442-024</v>
      </c>
      <c r="AC1102" s="118"/>
      <c r="AD1102" s="159">
        <f>+Table1[[#This Row],[SUBTOTAL]]+Table1[[#This Row],[IVA]]-Table1[[#This Row],[RET IVA]]-Table1[[#This Row],[RET ISR]]-Table1[[#This Row],[TOTAL]]</f>
        <v>0</v>
      </c>
      <c r="AE1102" s="150"/>
      <c r="AF1102" s="151"/>
      <c r="AG1102" s="126"/>
      <c r="AH1102" s="115"/>
      <c r="AK1102" s="306">
        <f>IF(ISNUMBER(Table1[[#This Row],[FECHA DE RECIBIDO]]), Table1[[#This Row],[FECHA DE RECIBIDO]]-DATE(2023,8,30), "")</f>
        <v>-44951.299861111111</v>
      </c>
    </row>
    <row r="1103" spans="1:37" ht="16.05" customHeight="1">
      <c r="A1103" s="152"/>
      <c r="B1103" s="153"/>
      <c r="C1103" s="126" t="s">
        <v>2835</v>
      </c>
      <c r="D1103">
        <v>767</v>
      </c>
      <c r="E1103" s="126">
        <v>44150</v>
      </c>
      <c r="F1103" s="125" t="s">
        <v>1607</v>
      </c>
      <c r="G1103" s="125" t="s">
        <v>134</v>
      </c>
      <c r="H1103">
        <v>23</v>
      </c>
      <c r="I1103" s="125" t="s">
        <v>1546</v>
      </c>
      <c r="J1103" s="308">
        <v>216.70013888888934</v>
      </c>
      <c r="K1103" s="127">
        <v>1</v>
      </c>
      <c r="L1103" s="153" t="s">
        <v>3306</v>
      </c>
      <c r="M1103">
        <v>32</v>
      </c>
      <c r="N1103" s="123">
        <v>1</v>
      </c>
      <c r="O1103">
        <v>775</v>
      </c>
      <c r="P1103" s="132" t="s">
        <v>77</v>
      </c>
      <c r="Q1103" s="132">
        <v>2232.73</v>
      </c>
      <c r="R1103" s="132">
        <v>357.24</v>
      </c>
      <c r="S1103" s="132"/>
      <c r="T1103" s="156">
        <v>0</v>
      </c>
      <c r="U1103" s="132">
        <v>0</v>
      </c>
      <c r="V1103" s="132">
        <v>2589.9700000000003</v>
      </c>
      <c r="W1103">
        <v>25</v>
      </c>
      <c r="X1103" s="153" t="s">
        <v>105</v>
      </c>
      <c r="Y1103" s="124" t="s">
        <v>55</v>
      </c>
      <c r="Z1103" s="308">
        <v>219</v>
      </c>
      <c r="AB1103" t="str">
        <f>IF(Table1[[#This Row],[TIPO2]]="costo", VLOOKUP(Table1[[#This Row],[PARTIDA PRESUPUESTAL]],'Cost Report'!G:G,1,0),"Balance")</f>
        <v>3442-024</v>
      </c>
      <c r="AC1103" s="118"/>
      <c r="AD1103" s="159">
        <f>+Table1[[#This Row],[SUBTOTAL]]+Table1[[#This Row],[IVA]]-Table1[[#This Row],[RET IVA]]-Table1[[#This Row],[RET ISR]]-Table1[[#This Row],[TOTAL]]</f>
        <v>0</v>
      </c>
      <c r="AE1103" s="152"/>
      <c r="AF1103" s="153"/>
      <c r="AG1103" s="126"/>
      <c r="AH1103" s="115"/>
      <c r="AK1103" s="306">
        <f>IF(ISNUMBER(Table1[[#This Row],[FECHA DE RECIBIDO]]), Table1[[#This Row],[FECHA DE RECIBIDO]]-DATE(2023,8,30), "")</f>
        <v>-44951.299861111111</v>
      </c>
    </row>
    <row r="1104" spans="1:37" ht="16.05" customHeight="1">
      <c r="A1104" s="150"/>
      <c r="B1104" s="151"/>
      <c r="C1104" s="126" t="s">
        <v>2836</v>
      </c>
      <c r="D1104">
        <v>767</v>
      </c>
      <c r="E1104" s="126">
        <v>44150</v>
      </c>
      <c r="F1104" s="122" t="s">
        <v>1607</v>
      </c>
      <c r="G1104" s="122" t="s">
        <v>134</v>
      </c>
      <c r="H1104">
        <v>23</v>
      </c>
      <c r="I1104" s="122" t="s">
        <v>1546</v>
      </c>
      <c r="J1104" s="307">
        <v>216.70013888888934</v>
      </c>
      <c r="K1104" s="127">
        <v>1</v>
      </c>
      <c r="L1104" s="151" t="s">
        <v>3306</v>
      </c>
      <c r="M1104">
        <v>32</v>
      </c>
      <c r="N1104" s="123">
        <v>1</v>
      </c>
      <c r="O1104">
        <v>775</v>
      </c>
      <c r="P1104" s="132" t="s">
        <v>77</v>
      </c>
      <c r="Q1104" s="131">
        <v>11163.64</v>
      </c>
      <c r="R1104" s="131">
        <v>1786.18</v>
      </c>
      <c r="S1104" s="131"/>
      <c r="T1104" s="155">
        <v>0</v>
      </c>
      <c r="U1104" s="131">
        <v>0</v>
      </c>
      <c r="V1104" s="131">
        <v>12949.82</v>
      </c>
      <c r="W1104">
        <v>25</v>
      </c>
      <c r="X1104" s="151" t="s">
        <v>105</v>
      </c>
      <c r="Y1104" s="135" t="s">
        <v>55</v>
      </c>
      <c r="Z1104" s="307">
        <v>219</v>
      </c>
      <c r="AB1104" t="str">
        <f>IF(Table1[[#This Row],[TIPO2]]="costo", VLOOKUP(Table1[[#This Row],[PARTIDA PRESUPUESTAL]],'Cost Report'!G:G,1,0),"Balance")</f>
        <v>3442-025</v>
      </c>
      <c r="AC1104" s="118"/>
      <c r="AD1104" s="159">
        <f>+Table1[[#This Row],[SUBTOTAL]]+Table1[[#This Row],[IVA]]-Table1[[#This Row],[RET IVA]]-Table1[[#This Row],[RET ISR]]-Table1[[#This Row],[TOTAL]]</f>
        <v>0</v>
      </c>
      <c r="AE1104" s="150"/>
      <c r="AF1104" s="151"/>
      <c r="AG1104" s="126"/>
      <c r="AH1104" s="115"/>
      <c r="AK1104" s="306">
        <f>IF(ISNUMBER(Table1[[#This Row],[FECHA DE RECIBIDO]]), Table1[[#This Row],[FECHA DE RECIBIDO]]-DATE(2023,8,30), "")</f>
        <v>-44951.299861111111</v>
      </c>
    </row>
    <row r="1105" spans="1:37" ht="16.05" customHeight="1">
      <c r="A1105" s="152"/>
      <c r="B1105" s="153"/>
      <c r="C1105" s="126" t="s">
        <v>2835</v>
      </c>
      <c r="D1105">
        <v>767</v>
      </c>
      <c r="E1105" s="126">
        <v>44150</v>
      </c>
      <c r="F1105" s="125" t="s">
        <v>1607</v>
      </c>
      <c r="G1105" s="125" t="s">
        <v>134</v>
      </c>
      <c r="H1105">
        <v>23</v>
      </c>
      <c r="I1105" s="125" t="s">
        <v>1546</v>
      </c>
      <c r="J1105" s="308">
        <v>216.70013888888934</v>
      </c>
      <c r="K1105" s="127">
        <v>1</v>
      </c>
      <c r="L1105" s="153" t="s">
        <v>3306</v>
      </c>
      <c r="M1105">
        <v>32</v>
      </c>
      <c r="N1105" s="123">
        <v>1</v>
      </c>
      <c r="O1105">
        <v>775</v>
      </c>
      <c r="P1105" s="132" t="s">
        <v>77</v>
      </c>
      <c r="Q1105" s="132">
        <v>5581.82</v>
      </c>
      <c r="R1105" s="132">
        <v>893.09</v>
      </c>
      <c r="S1105" s="132"/>
      <c r="T1105" s="156">
        <v>0</v>
      </c>
      <c r="U1105" s="132">
        <v>0</v>
      </c>
      <c r="V1105" s="132">
        <v>6474.91</v>
      </c>
      <c r="W1105">
        <v>25</v>
      </c>
      <c r="X1105" s="153" t="s">
        <v>105</v>
      </c>
      <c r="Y1105" s="124" t="s">
        <v>55</v>
      </c>
      <c r="Z1105" s="308">
        <v>219</v>
      </c>
      <c r="AB1105" t="str">
        <f>IF(Table1[[#This Row],[TIPO2]]="costo", VLOOKUP(Table1[[#This Row],[PARTIDA PRESUPUESTAL]],'Cost Report'!G:G,1,0),"Balance")</f>
        <v>3442-024</v>
      </c>
      <c r="AC1105" s="118"/>
      <c r="AD1105" s="159">
        <f>+Table1[[#This Row],[SUBTOTAL]]+Table1[[#This Row],[IVA]]-Table1[[#This Row],[RET IVA]]-Table1[[#This Row],[RET ISR]]-Table1[[#This Row],[TOTAL]]</f>
        <v>0</v>
      </c>
      <c r="AE1105" s="152"/>
      <c r="AF1105" s="153"/>
      <c r="AG1105" s="126"/>
      <c r="AH1105" s="115"/>
      <c r="AK1105" s="306">
        <f>IF(ISNUMBER(Table1[[#This Row],[FECHA DE RECIBIDO]]), Table1[[#This Row],[FECHA DE RECIBIDO]]-DATE(2023,8,30), "")</f>
        <v>-44951.299861111111</v>
      </c>
    </row>
    <row r="1106" spans="1:37" ht="16.05" customHeight="1">
      <c r="A1106" s="150" t="s">
        <v>3322</v>
      </c>
      <c r="B1106" s="151">
        <v>455</v>
      </c>
      <c r="C1106" s="126" t="s">
        <v>2991</v>
      </c>
      <c r="D1106">
        <v>768</v>
      </c>
      <c r="E1106" s="126">
        <v>44150</v>
      </c>
      <c r="F1106" s="122" t="s">
        <v>1607</v>
      </c>
      <c r="G1106" s="122" t="s">
        <v>134</v>
      </c>
      <c r="H1106">
        <v>23</v>
      </c>
      <c r="I1106" s="122" t="s">
        <v>1546</v>
      </c>
      <c r="J1106" s="307">
        <v>216.6991550925959</v>
      </c>
      <c r="K1106" s="127">
        <v>1</v>
      </c>
      <c r="L1106" s="151" t="s">
        <v>3306</v>
      </c>
      <c r="M1106">
        <v>32</v>
      </c>
      <c r="N1106" s="123">
        <v>1</v>
      </c>
      <c r="O1106">
        <v>776</v>
      </c>
      <c r="P1106" s="132" t="s">
        <v>77</v>
      </c>
      <c r="Q1106" s="131">
        <v>5779.8</v>
      </c>
      <c r="R1106" s="131">
        <v>924.77</v>
      </c>
      <c r="S1106" s="131"/>
      <c r="T1106" s="155">
        <v>0</v>
      </c>
      <c r="U1106" s="131">
        <v>0</v>
      </c>
      <c r="V1106" s="131">
        <v>6704.57</v>
      </c>
      <c r="W1106">
        <v>25</v>
      </c>
      <c r="X1106" s="151" t="s">
        <v>105</v>
      </c>
      <c r="Y1106" s="135" t="s">
        <v>55</v>
      </c>
      <c r="Z1106" s="307">
        <v>219</v>
      </c>
      <c r="AB1106" t="str">
        <f>IF(Table1[[#This Row],[TIPO2]]="costo", VLOOKUP(Table1[[#This Row],[PARTIDA PRESUPUESTAL]],'Cost Report'!G:G,1,0),"Balance")</f>
        <v>3936-003</v>
      </c>
      <c r="AC1106" s="118"/>
      <c r="AD1106" s="159">
        <f>+Table1[[#This Row],[SUBTOTAL]]+Table1[[#This Row],[IVA]]-Table1[[#This Row],[RET IVA]]-Table1[[#This Row],[RET ISR]]-Table1[[#This Row],[TOTAL]]</f>
        <v>0</v>
      </c>
      <c r="AE1106" s="150"/>
      <c r="AF1106" s="151"/>
      <c r="AG1106" s="126"/>
      <c r="AH1106" s="115"/>
      <c r="AK1106" s="306">
        <f>IF(ISNUMBER(Table1[[#This Row],[FECHA DE RECIBIDO]]), Table1[[#This Row],[FECHA DE RECIBIDO]]-DATE(2023,8,30), "")</f>
        <v>-44951.300844907404</v>
      </c>
    </row>
    <row r="1107" spans="1:37" ht="16.05" customHeight="1">
      <c r="A1107" s="152"/>
      <c r="B1107" s="153"/>
      <c r="C1107" s="126" t="s">
        <v>2992</v>
      </c>
      <c r="D1107">
        <v>768</v>
      </c>
      <c r="E1107" s="126">
        <v>44150</v>
      </c>
      <c r="F1107" s="125" t="s">
        <v>1607</v>
      </c>
      <c r="G1107" s="125" t="s">
        <v>134</v>
      </c>
      <c r="H1107">
        <v>23</v>
      </c>
      <c r="I1107" s="125" t="s">
        <v>1546</v>
      </c>
      <c r="J1107" s="308">
        <v>216.6991550925959</v>
      </c>
      <c r="K1107" s="127">
        <v>1</v>
      </c>
      <c r="L1107" s="153" t="s">
        <v>3306</v>
      </c>
      <c r="M1107">
        <v>32</v>
      </c>
      <c r="N1107" s="123">
        <v>1</v>
      </c>
      <c r="O1107">
        <v>776</v>
      </c>
      <c r="P1107" s="132" t="s">
        <v>77</v>
      </c>
      <c r="Q1107" s="132">
        <v>5779.8</v>
      </c>
      <c r="R1107" s="132">
        <v>924.77</v>
      </c>
      <c r="S1107" s="132"/>
      <c r="T1107" s="156">
        <v>0</v>
      </c>
      <c r="U1107" s="132">
        <v>0</v>
      </c>
      <c r="V1107" s="132">
        <v>6704.57</v>
      </c>
      <c r="W1107">
        <v>25</v>
      </c>
      <c r="X1107" s="153" t="s">
        <v>105</v>
      </c>
      <c r="Y1107" s="124" t="s">
        <v>55</v>
      </c>
      <c r="Z1107" s="308">
        <v>219</v>
      </c>
      <c r="AB1107" t="str">
        <f>IF(Table1[[#This Row],[TIPO2]]="costo", VLOOKUP(Table1[[#This Row],[PARTIDA PRESUPUESTAL]],'Cost Report'!G:G,1,0),"Balance")</f>
        <v>3936-004</v>
      </c>
      <c r="AC1107" s="118"/>
      <c r="AD1107" s="159">
        <f>+Table1[[#This Row],[SUBTOTAL]]+Table1[[#This Row],[IVA]]-Table1[[#This Row],[RET IVA]]-Table1[[#This Row],[RET ISR]]-Table1[[#This Row],[TOTAL]]</f>
        <v>0</v>
      </c>
      <c r="AE1107" s="152"/>
      <c r="AF1107" s="153"/>
      <c r="AG1107" s="126"/>
      <c r="AH1107" s="115"/>
      <c r="AK1107" s="306">
        <f>IF(ISNUMBER(Table1[[#This Row],[FECHA DE RECIBIDO]]), Table1[[#This Row],[FECHA DE RECIBIDO]]-DATE(2023,8,30), "")</f>
        <v>-44951.300844907404</v>
      </c>
    </row>
    <row r="1108" spans="1:37" ht="16.05" customHeight="1">
      <c r="A1108" s="150"/>
      <c r="B1108" s="151"/>
      <c r="C1108" s="126" t="s">
        <v>2994</v>
      </c>
      <c r="D1108">
        <v>768</v>
      </c>
      <c r="E1108" s="126">
        <v>44150</v>
      </c>
      <c r="F1108" s="122" t="s">
        <v>1607</v>
      </c>
      <c r="G1108" s="122" t="s">
        <v>134</v>
      </c>
      <c r="H1108">
        <v>23</v>
      </c>
      <c r="I1108" s="122" t="s">
        <v>1546</v>
      </c>
      <c r="J1108" s="307">
        <v>216.6991550925959</v>
      </c>
      <c r="K1108" s="127">
        <v>1</v>
      </c>
      <c r="L1108" s="151" t="s">
        <v>3306</v>
      </c>
      <c r="M1108">
        <v>32</v>
      </c>
      <c r="N1108" s="123">
        <v>1</v>
      </c>
      <c r="O1108">
        <v>776</v>
      </c>
      <c r="P1108" s="132" t="s">
        <v>77</v>
      </c>
      <c r="Q1108" s="131">
        <v>2989.55</v>
      </c>
      <c r="R1108" s="131">
        <v>478.32</v>
      </c>
      <c r="S1108" s="131"/>
      <c r="T1108" s="155">
        <v>0</v>
      </c>
      <c r="U1108" s="131">
        <v>0</v>
      </c>
      <c r="V1108" s="131">
        <v>3467.8700000000003</v>
      </c>
      <c r="W1108">
        <v>25</v>
      </c>
      <c r="X1108" s="151" t="s">
        <v>105</v>
      </c>
      <c r="Y1108" s="135" t="s">
        <v>55</v>
      </c>
      <c r="Z1108" s="307">
        <v>219</v>
      </c>
      <c r="AB1108" t="str">
        <f>IF(Table1[[#This Row],[TIPO2]]="costo", VLOOKUP(Table1[[#This Row],[PARTIDA PRESUPUESTAL]],'Cost Report'!G:G,1,0),"Balance")</f>
        <v>3936-008</v>
      </c>
      <c r="AC1108" s="118"/>
      <c r="AD1108" s="159">
        <f>+Table1[[#This Row],[SUBTOTAL]]+Table1[[#This Row],[IVA]]-Table1[[#This Row],[RET IVA]]-Table1[[#This Row],[RET ISR]]-Table1[[#This Row],[TOTAL]]</f>
        <v>0</v>
      </c>
      <c r="AE1108" s="150"/>
      <c r="AF1108" s="151"/>
      <c r="AG1108" s="126"/>
      <c r="AH1108" s="115"/>
      <c r="AK1108" s="306">
        <f>IF(ISNUMBER(Table1[[#This Row],[FECHA DE RECIBIDO]]), Table1[[#This Row],[FECHA DE RECIBIDO]]-DATE(2023,8,30), "")</f>
        <v>-44951.300844907404</v>
      </c>
    </row>
    <row r="1109" spans="1:37" ht="16.05" customHeight="1">
      <c r="A1109" s="152"/>
      <c r="B1109" s="153"/>
      <c r="C1109" s="126" t="s">
        <v>2995</v>
      </c>
      <c r="D1109">
        <v>768</v>
      </c>
      <c r="E1109" s="126">
        <v>44150</v>
      </c>
      <c r="F1109" s="125" t="s">
        <v>1607</v>
      </c>
      <c r="G1109" s="125" t="s">
        <v>134</v>
      </c>
      <c r="H1109">
        <v>23</v>
      </c>
      <c r="I1109" s="125" t="s">
        <v>1546</v>
      </c>
      <c r="J1109" s="308">
        <v>216.6991550925959</v>
      </c>
      <c r="K1109" s="127">
        <v>1</v>
      </c>
      <c r="L1109" s="153" t="s">
        <v>3306</v>
      </c>
      <c r="M1109">
        <v>32</v>
      </c>
      <c r="N1109" s="123">
        <v>1</v>
      </c>
      <c r="O1109">
        <v>776</v>
      </c>
      <c r="P1109" s="132" t="s">
        <v>77</v>
      </c>
      <c r="Q1109" s="132">
        <v>2989.55</v>
      </c>
      <c r="R1109" s="132">
        <v>478.32</v>
      </c>
      <c r="S1109" s="132"/>
      <c r="T1109" s="156">
        <v>0</v>
      </c>
      <c r="U1109" s="132">
        <v>0</v>
      </c>
      <c r="V1109" s="132">
        <v>3467.8700000000003</v>
      </c>
      <c r="W1109">
        <v>25</v>
      </c>
      <c r="X1109" s="153" t="s">
        <v>105</v>
      </c>
      <c r="Y1109" s="124" t="s">
        <v>55</v>
      </c>
      <c r="Z1109" s="308">
        <v>219</v>
      </c>
      <c r="AB1109" t="str">
        <f>IF(Table1[[#This Row],[TIPO2]]="costo", VLOOKUP(Table1[[#This Row],[PARTIDA PRESUPUESTAL]],'Cost Report'!G:G,1,0),"Balance")</f>
        <v>3936-009</v>
      </c>
      <c r="AC1109" s="118"/>
      <c r="AD1109" s="159">
        <f>+Table1[[#This Row],[SUBTOTAL]]+Table1[[#This Row],[IVA]]-Table1[[#This Row],[RET IVA]]-Table1[[#This Row],[RET ISR]]-Table1[[#This Row],[TOTAL]]</f>
        <v>0</v>
      </c>
      <c r="AE1109" s="152"/>
      <c r="AF1109" s="153"/>
      <c r="AG1109" s="126"/>
      <c r="AH1109" s="115"/>
      <c r="AK1109" s="306">
        <f>IF(ISNUMBER(Table1[[#This Row],[FECHA DE RECIBIDO]]), Table1[[#This Row],[FECHA DE RECIBIDO]]-DATE(2023,8,30), "")</f>
        <v>-44951.300844907404</v>
      </c>
    </row>
    <row r="1110" spans="1:37" ht="16.05" customHeight="1">
      <c r="A1110" s="150"/>
      <c r="B1110" s="151"/>
      <c r="C1110" s="126" t="s">
        <v>2991</v>
      </c>
      <c r="D1110">
        <v>768</v>
      </c>
      <c r="E1110" s="126">
        <v>44150</v>
      </c>
      <c r="F1110" s="122" t="s">
        <v>1607</v>
      </c>
      <c r="G1110" s="122" t="s">
        <v>134</v>
      </c>
      <c r="H1110">
        <v>23</v>
      </c>
      <c r="I1110" s="122" t="s">
        <v>1546</v>
      </c>
      <c r="J1110" s="307">
        <v>216.6991550925959</v>
      </c>
      <c r="K1110" s="127">
        <v>1</v>
      </c>
      <c r="L1110" s="151" t="s">
        <v>3306</v>
      </c>
      <c r="M1110">
        <v>32</v>
      </c>
      <c r="N1110" s="123">
        <v>1</v>
      </c>
      <c r="O1110">
        <v>776</v>
      </c>
      <c r="P1110" s="132" t="s">
        <v>77</v>
      </c>
      <c r="Q1110" s="131">
        <v>857.73</v>
      </c>
      <c r="R1110" s="131">
        <v>137.24</v>
      </c>
      <c r="S1110" s="131"/>
      <c r="T1110" s="155">
        <v>0</v>
      </c>
      <c r="U1110" s="131">
        <v>0</v>
      </c>
      <c r="V1110" s="131">
        <v>994.97</v>
      </c>
      <c r="W1110">
        <v>25</v>
      </c>
      <c r="X1110" s="151" t="s">
        <v>105</v>
      </c>
      <c r="Y1110" s="135" t="s">
        <v>55</v>
      </c>
      <c r="Z1110" s="307">
        <v>219</v>
      </c>
      <c r="AB1110" t="str">
        <f>IF(Table1[[#This Row],[TIPO2]]="costo", VLOOKUP(Table1[[#This Row],[PARTIDA PRESUPUESTAL]],'Cost Report'!G:G,1,0),"Balance")</f>
        <v>3936-003</v>
      </c>
      <c r="AC1110" s="118"/>
      <c r="AD1110" s="159">
        <f>+Table1[[#This Row],[SUBTOTAL]]+Table1[[#This Row],[IVA]]-Table1[[#This Row],[RET IVA]]-Table1[[#This Row],[RET ISR]]-Table1[[#This Row],[TOTAL]]</f>
        <v>0</v>
      </c>
      <c r="AE1110" s="150"/>
      <c r="AF1110" s="151"/>
      <c r="AG1110" s="126"/>
      <c r="AH1110" s="115"/>
      <c r="AK1110" s="306">
        <f>IF(ISNUMBER(Table1[[#This Row],[FECHA DE RECIBIDO]]), Table1[[#This Row],[FECHA DE RECIBIDO]]-DATE(2023,8,30), "")</f>
        <v>-44951.300844907404</v>
      </c>
    </row>
    <row r="1111" spans="1:37" ht="16.05" customHeight="1">
      <c r="A1111" s="152"/>
      <c r="B1111" s="153"/>
      <c r="C1111" s="126" t="s">
        <v>2992</v>
      </c>
      <c r="D1111">
        <v>768</v>
      </c>
      <c r="E1111" s="126">
        <v>44150</v>
      </c>
      <c r="F1111" s="125" t="s">
        <v>1607</v>
      </c>
      <c r="G1111" s="125" t="s">
        <v>134</v>
      </c>
      <c r="H1111">
        <v>23</v>
      </c>
      <c r="I1111" s="125" t="s">
        <v>1546</v>
      </c>
      <c r="J1111" s="308">
        <v>216.6991550925959</v>
      </c>
      <c r="K1111" s="127">
        <v>1</v>
      </c>
      <c r="L1111" s="153" t="s">
        <v>3306</v>
      </c>
      <c r="M1111">
        <v>32</v>
      </c>
      <c r="N1111" s="123">
        <v>1</v>
      </c>
      <c r="O1111">
        <v>776</v>
      </c>
      <c r="P1111" s="132" t="s">
        <v>77</v>
      </c>
      <c r="Q1111" s="132">
        <v>857.73</v>
      </c>
      <c r="R1111" s="132">
        <v>137.24</v>
      </c>
      <c r="S1111" s="132"/>
      <c r="T1111" s="156">
        <v>0</v>
      </c>
      <c r="U1111" s="132">
        <v>0</v>
      </c>
      <c r="V1111" s="132">
        <v>994.97</v>
      </c>
      <c r="W1111">
        <v>25</v>
      </c>
      <c r="X1111" s="153" t="s">
        <v>105</v>
      </c>
      <c r="Y1111" s="124" t="s">
        <v>55</v>
      </c>
      <c r="Z1111" s="308">
        <v>219</v>
      </c>
      <c r="AB1111" t="str">
        <f>IF(Table1[[#This Row],[TIPO2]]="costo", VLOOKUP(Table1[[#This Row],[PARTIDA PRESUPUESTAL]],'Cost Report'!G:G,1,0),"Balance")</f>
        <v>3936-004</v>
      </c>
      <c r="AC1111" s="118"/>
      <c r="AD1111" s="159">
        <f>+Table1[[#This Row],[SUBTOTAL]]+Table1[[#This Row],[IVA]]-Table1[[#This Row],[RET IVA]]-Table1[[#This Row],[RET ISR]]-Table1[[#This Row],[TOTAL]]</f>
        <v>0</v>
      </c>
      <c r="AE1111" s="152"/>
      <c r="AF1111" s="153"/>
      <c r="AG1111" s="126"/>
      <c r="AH1111" s="115"/>
      <c r="AK1111" s="306">
        <f>IF(ISNUMBER(Table1[[#This Row],[FECHA DE RECIBIDO]]), Table1[[#This Row],[FECHA DE RECIBIDO]]-DATE(2023,8,30), "")</f>
        <v>-44951.300844907404</v>
      </c>
    </row>
    <row r="1112" spans="1:37" ht="16.05" customHeight="1">
      <c r="A1112" s="150"/>
      <c r="B1112" s="151"/>
      <c r="C1112" s="126" t="s">
        <v>2991</v>
      </c>
      <c r="D1112">
        <v>768</v>
      </c>
      <c r="E1112" s="126">
        <v>44150</v>
      </c>
      <c r="F1112" s="122" t="s">
        <v>1607</v>
      </c>
      <c r="G1112" s="122" t="s">
        <v>134</v>
      </c>
      <c r="H1112">
        <v>23</v>
      </c>
      <c r="I1112" s="122" t="s">
        <v>1546</v>
      </c>
      <c r="J1112" s="307">
        <v>216.6991550925959</v>
      </c>
      <c r="K1112" s="127">
        <v>1</v>
      </c>
      <c r="L1112" s="151" t="s">
        <v>3306</v>
      </c>
      <c r="M1112">
        <v>32</v>
      </c>
      <c r="N1112" s="123">
        <v>1</v>
      </c>
      <c r="O1112">
        <v>776</v>
      </c>
      <c r="P1112" s="132" t="s">
        <v>77</v>
      </c>
      <c r="Q1112" s="131">
        <v>571.82000000000005</v>
      </c>
      <c r="R1112" s="131">
        <v>91.49</v>
      </c>
      <c r="S1112" s="131"/>
      <c r="T1112" s="155">
        <v>0</v>
      </c>
      <c r="U1112" s="131">
        <v>0</v>
      </c>
      <c r="V1112" s="131">
        <v>663.31000000000006</v>
      </c>
      <c r="W1112">
        <v>25</v>
      </c>
      <c r="X1112" s="151" t="s">
        <v>105</v>
      </c>
      <c r="Y1112" s="135" t="s">
        <v>55</v>
      </c>
      <c r="Z1112" s="307">
        <v>219</v>
      </c>
      <c r="AB1112" t="str">
        <f>IF(Table1[[#This Row],[TIPO2]]="costo", VLOOKUP(Table1[[#This Row],[PARTIDA PRESUPUESTAL]],'Cost Report'!G:G,1,0),"Balance")</f>
        <v>3936-003</v>
      </c>
      <c r="AC1112" s="118"/>
      <c r="AD1112" s="159">
        <f>+Table1[[#This Row],[SUBTOTAL]]+Table1[[#This Row],[IVA]]-Table1[[#This Row],[RET IVA]]-Table1[[#This Row],[RET ISR]]-Table1[[#This Row],[TOTAL]]</f>
        <v>0</v>
      </c>
      <c r="AE1112" s="150"/>
      <c r="AF1112" s="151"/>
      <c r="AG1112" s="126"/>
      <c r="AH1112" s="115"/>
      <c r="AK1112" s="306">
        <f>IF(ISNUMBER(Table1[[#This Row],[FECHA DE RECIBIDO]]), Table1[[#This Row],[FECHA DE RECIBIDO]]-DATE(2023,8,30), "")</f>
        <v>-44951.300844907404</v>
      </c>
    </row>
    <row r="1113" spans="1:37" ht="16.05" customHeight="1">
      <c r="A1113" s="152"/>
      <c r="B1113" s="153"/>
      <c r="C1113" s="126" t="s">
        <v>2991</v>
      </c>
      <c r="D1113">
        <v>768</v>
      </c>
      <c r="E1113" s="126">
        <v>44150</v>
      </c>
      <c r="F1113" s="125" t="s">
        <v>1607</v>
      </c>
      <c r="G1113" s="125" t="s">
        <v>134</v>
      </c>
      <c r="H1113">
        <v>23</v>
      </c>
      <c r="I1113" s="125" t="s">
        <v>1546</v>
      </c>
      <c r="J1113" s="308">
        <v>216.6991550925959</v>
      </c>
      <c r="K1113" s="127">
        <v>1</v>
      </c>
      <c r="L1113" s="153" t="s">
        <v>3306</v>
      </c>
      <c r="M1113">
        <v>32</v>
      </c>
      <c r="N1113" s="123">
        <v>1</v>
      </c>
      <c r="O1113">
        <v>776</v>
      </c>
      <c r="P1113" s="132" t="s">
        <v>77</v>
      </c>
      <c r="Q1113" s="132">
        <v>571.82000000000005</v>
      </c>
      <c r="R1113" s="132">
        <v>91.49</v>
      </c>
      <c r="S1113" s="132"/>
      <c r="T1113" s="156">
        <v>0</v>
      </c>
      <c r="U1113" s="132">
        <v>0</v>
      </c>
      <c r="V1113" s="132">
        <v>663.31000000000006</v>
      </c>
      <c r="W1113">
        <v>25</v>
      </c>
      <c r="X1113" s="153" t="s">
        <v>105</v>
      </c>
      <c r="Y1113" s="124" t="s">
        <v>55</v>
      </c>
      <c r="Z1113" s="308">
        <v>219</v>
      </c>
      <c r="AB1113" t="str">
        <f>IF(Table1[[#This Row],[TIPO2]]="costo", VLOOKUP(Table1[[#This Row],[PARTIDA PRESUPUESTAL]],'Cost Report'!G:G,1,0),"Balance")</f>
        <v>3936-003</v>
      </c>
      <c r="AC1113" s="118"/>
      <c r="AD1113" s="159">
        <f>+Table1[[#This Row],[SUBTOTAL]]+Table1[[#This Row],[IVA]]-Table1[[#This Row],[RET IVA]]-Table1[[#This Row],[RET ISR]]-Table1[[#This Row],[TOTAL]]</f>
        <v>0</v>
      </c>
      <c r="AE1113" s="152"/>
      <c r="AF1113" s="153"/>
      <c r="AG1113" s="126"/>
      <c r="AH1113" s="115"/>
      <c r="AK1113" s="306">
        <f>IF(ISNUMBER(Table1[[#This Row],[FECHA DE RECIBIDO]]), Table1[[#This Row],[FECHA DE RECIBIDO]]-DATE(2023,8,30), "")</f>
        <v>-44951.300844907404</v>
      </c>
    </row>
    <row r="1114" spans="1:37" ht="16.05" customHeight="1">
      <c r="A1114" s="150" t="s">
        <v>3432</v>
      </c>
      <c r="B1114" s="151">
        <v>514</v>
      </c>
      <c r="C1114" s="126" t="s">
        <v>1035</v>
      </c>
      <c r="D1114">
        <v>769</v>
      </c>
      <c r="E1114" s="126" t="s">
        <v>2001</v>
      </c>
      <c r="F1114" s="122" t="s">
        <v>1607</v>
      </c>
      <c r="G1114" s="122" t="s">
        <v>134</v>
      </c>
      <c r="H1114">
        <v>23</v>
      </c>
      <c r="I1114" s="122" t="s">
        <v>1546</v>
      </c>
      <c r="J1114" s="307" t="s">
        <v>214</v>
      </c>
      <c r="K1114" s="127">
        <v>2</v>
      </c>
      <c r="L1114" s="151" t="s">
        <v>3306</v>
      </c>
      <c r="M1114">
        <v>342</v>
      </c>
      <c r="N1114" s="123">
        <v>1</v>
      </c>
      <c r="O1114">
        <v>777</v>
      </c>
      <c r="P1114" s="132" t="s">
        <v>77</v>
      </c>
      <c r="Q1114" s="131">
        <v>41805.519999999997</v>
      </c>
      <c r="R1114" s="131">
        <v>6688.87</v>
      </c>
      <c r="S1114" s="131"/>
      <c r="T1114" s="155"/>
      <c r="U1114" s="131"/>
      <c r="V1114" s="131">
        <v>48494.39</v>
      </c>
      <c r="W1114">
        <v>25</v>
      </c>
      <c r="X1114" s="151" t="s">
        <v>2024</v>
      </c>
      <c r="Y1114" s="135" t="s">
        <v>55</v>
      </c>
      <c r="Z1114" s="307">
        <v>225</v>
      </c>
      <c r="AB1114" t="str">
        <f>IF(Table1[[#This Row],[TIPO2]]="costo", VLOOKUP(Table1[[#This Row],[PARTIDA PRESUPUESTAL]],'Cost Report'!G:G,1,0),"Balance")</f>
        <v>3683-006</v>
      </c>
      <c r="AC1114" s="118"/>
      <c r="AD1114" s="159">
        <f>+Table1[[#This Row],[SUBTOTAL]]+Table1[[#This Row],[IVA]]-Table1[[#This Row],[RET IVA]]-Table1[[#This Row],[RET ISR]]-Table1[[#This Row],[TOTAL]]</f>
        <v>0</v>
      </c>
      <c r="AE1114" s="150"/>
      <c r="AF1114" s="151"/>
      <c r="AG1114" s="126"/>
      <c r="AH1114" s="115"/>
      <c r="AK1114" s="306" t="str">
        <f>IF(ISNUMBER(Table1[[#This Row],[FECHA DE RECIBIDO]]), Table1[[#This Row],[FECHA DE RECIBIDO]]-DATE(2023,8,30), "")</f>
        <v/>
      </c>
    </row>
    <row r="1115" spans="1:37" ht="16.05" customHeight="1">
      <c r="A1115" s="152"/>
      <c r="B1115" s="153"/>
      <c r="C1115" s="126" t="s">
        <v>1039</v>
      </c>
      <c r="D1115">
        <v>769</v>
      </c>
      <c r="E1115" s="126" t="s">
        <v>2001</v>
      </c>
      <c r="F1115" s="125" t="s">
        <v>1607</v>
      </c>
      <c r="G1115" s="125" t="s">
        <v>134</v>
      </c>
      <c r="H1115">
        <v>23</v>
      </c>
      <c r="I1115" s="125" t="s">
        <v>1546</v>
      </c>
      <c r="J1115" s="308" t="s">
        <v>214</v>
      </c>
      <c r="K1115" s="127">
        <v>2</v>
      </c>
      <c r="L1115" s="153" t="s">
        <v>3306</v>
      </c>
      <c r="M1115">
        <v>342</v>
      </c>
      <c r="N1115" s="123">
        <v>1</v>
      </c>
      <c r="O1115">
        <v>777</v>
      </c>
      <c r="P1115" s="132" t="s">
        <v>77</v>
      </c>
      <c r="Q1115" s="132">
        <v>41805.519999999997</v>
      </c>
      <c r="R1115" s="132">
        <v>6688.87</v>
      </c>
      <c r="S1115" s="132"/>
      <c r="T1115" s="156"/>
      <c r="U1115" s="132"/>
      <c r="V1115" s="132">
        <v>48494.39</v>
      </c>
      <c r="W1115">
        <v>25</v>
      </c>
      <c r="X1115" s="153" t="s">
        <v>2024</v>
      </c>
      <c r="Y1115" s="124" t="s">
        <v>55</v>
      </c>
      <c r="Z1115" s="308">
        <v>225</v>
      </c>
      <c r="AB1115" t="str">
        <f>IF(Table1[[#This Row],[TIPO2]]="costo", VLOOKUP(Table1[[#This Row],[PARTIDA PRESUPUESTAL]],'Cost Report'!G:G,1,0),"Balance")</f>
        <v>3683-012</v>
      </c>
      <c r="AC1115" s="118"/>
      <c r="AD1115" s="159">
        <f>+Table1[[#This Row],[SUBTOTAL]]+Table1[[#This Row],[IVA]]-Table1[[#This Row],[RET IVA]]-Table1[[#This Row],[RET ISR]]-Table1[[#This Row],[TOTAL]]</f>
        <v>0</v>
      </c>
      <c r="AE1115" s="152"/>
      <c r="AF1115" s="153"/>
      <c r="AG1115" s="126"/>
      <c r="AH1115" s="115"/>
      <c r="AK1115" s="306" t="str">
        <f>IF(ISNUMBER(Table1[[#This Row],[FECHA DE RECIBIDO]]), Table1[[#This Row],[FECHA DE RECIBIDO]]-DATE(2023,8,30), "")</f>
        <v/>
      </c>
    </row>
    <row r="1116" spans="1:37" ht="16.05" customHeight="1">
      <c r="A1116" s="150"/>
      <c r="B1116" s="151"/>
      <c r="C1116" s="126" t="s">
        <v>1043</v>
      </c>
      <c r="D1116">
        <v>769</v>
      </c>
      <c r="E1116" s="126" t="s">
        <v>2001</v>
      </c>
      <c r="F1116" s="122" t="s">
        <v>1607</v>
      </c>
      <c r="G1116" s="122" t="s">
        <v>134</v>
      </c>
      <c r="H1116">
        <v>23</v>
      </c>
      <c r="I1116" s="122" t="s">
        <v>1546</v>
      </c>
      <c r="J1116" s="307" t="s">
        <v>214</v>
      </c>
      <c r="K1116" s="127">
        <v>2</v>
      </c>
      <c r="L1116" s="151" t="s">
        <v>3306</v>
      </c>
      <c r="M1116">
        <v>342</v>
      </c>
      <c r="N1116" s="123">
        <v>1</v>
      </c>
      <c r="O1116">
        <v>777</v>
      </c>
      <c r="P1116" s="132" t="s">
        <v>77</v>
      </c>
      <c r="Q1116" s="131">
        <v>62708.27</v>
      </c>
      <c r="R1116" s="131">
        <v>10033.32</v>
      </c>
      <c r="S1116" s="131"/>
      <c r="T1116" s="155"/>
      <c r="U1116" s="131"/>
      <c r="V1116" s="131">
        <v>72741.59</v>
      </c>
      <c r="W1116">
        <v>25</v>
      </c>
      <c r="X1116" s="151" t="s">
        <v>2024</v>
      </c>
      <c r="Y1116" s="135" t="s">
        <v>55</v>
      </c>
      <c r="Z1116" s="307">
        <v>225</v>
      </c>
      <c r="AB1116" t="str">
        <f>IF(Table1[[#This Row],[TIPO2]]="costo", VLOOKUP(Table1[[#This Row],[PARTIDA PRESUPUESTAL]],'Cost Report'!G:G,1,0),"Balance")</f>
        <v>3683-018</v>
      </c>
      <c r="AC1116" s="118"/>
      <c r="AD1116" s="159">
        <f>+Table1[[#This Row],[SUBTOTAL]]+Table1[[#This Row],[IVA]]-Table1[[#This Row],[RET IVA]]-Table1[[#This Row],[RET ISR]]-Table1[[#This Row],[TOTAL]]</f>
        <v>0</v>
      </c>
      <c r="AE1116" s="150"/>
      <c r="AF1116" s="151"/>
      <c r="AG1116" s="126"/>
      <c r="AH1116" s="115"/>
      <c r="AK1116" s="306" t="str">
        <f>IF(ISNUMBER(Table1[[#This Row],[FECHA DE RECIBIDO]]), Table1[[#This Row],[FECHA DE RECIBIDO]]-DATE(2023,8,30), "")</f>
        <v/>
      </c>
    </row>
    <row r="1117" spans="1:37" ht="16.05" customHeight="1">
      <c r="A1117" s="152"/>
      <c r="B1117" s="153"/>
      <c r="C1117" s="126" t="s">
        <v>1047</v>
      </c>
      <c r="D1117">
        <v>769</v>
      </c>
      <c r="E1117" s="126" t="s">
        <v>2001</v>
      </c>
      <c r="F1117" s="125" t="s">
        <v>1607</v>
      </c>
      <c r="G1117" s="125" t="s">
        <v>134</v>
      </c>
      <c r="H1117">
        <v>23</v>
      </c>
      <c r="I1117" s="125" t="s">
        <v>1546</v>
      </c>
      <c r="J1117" s="308" t="s">
        <v>214</v>
      </c>
      <c r="K1117" s="127">
        <v>2</v>
      </c>
      <c r="L1117" s="153" t="s">
        <v>3306</v>
      </c>
      <c r="M1117">
        <v>342</v>
      </c>
      <c r="N1117" s="123">
        <v>1</v>
      </c>
      <c r="O1117">
        <v>777</v>
      </c>
      <c r="P1117" s="132" t="s">
        <v>77</v>
      </c>
      <c r="Q1117" s="132">
        <v>30657.38</v>
      </c>
      <c r="R1117" s="132">
        <v>4905.18</v>
      </c>
      <c r="S1117" s="132"/>
      <c r="T1117" s="156"/>
      <c r="U1117" s="132"/>
      <c r="V1117" s="132">
        <v>35562.559999999998</v>
      </c>
      <c r="W1117">
        <v>25</v>
      </c>
      <c r="X1117" s="153" t="s">
        <v>2024</v>
      </c>
      <c r="Y1117" s="124" t="s">
        <v>55</v>
      </c>
      <c r="Z1117" s="308">
        <v>225</v>
      </c>
      <c r="AB1117" t="str">
        <f>IF(Table1[[#This Row],[TIPO2]]="costo", VLOOKUP(Table1[[#This Row],[PARTIDA PRESUPUESTAL]],'Cost Report'!G:G,1,0),"Balance")</f>
        <v>3683-024</v>
      </c>
      <c r="AC1117" s="118"/>
      <c r="AD1117" s="159">
        <f>+Table1[[#This Row],[SUBTOTAL]]+Table1[[#This Row],[IVA]]-Table1[[#This Row],[RET IVA]]-Table1[[#This Row],[RET ISR]]-Table1[[#This Row],[TOTAL]]</f>
        <v>0</v>
      </c>
      <c r="AE1117" s="152"/>
      <c r="AF1117" s="153"/>
      <c r="AG1117" s="126"/>
      <c r="AH1117" s="115"/>
      <c r="AK1117" s="306" t="str">
        <f>IF(ISNUMBER(Table1[[#This Row],[FECHA DE RECIBIDO]]), Table1[[#This Row],[FECHA DE RECIBIDO]]-DATE(2023,8,30), "")</f>
        <v/>
      </c>
    </row>
    <row r="1118" spans="1:37" ht="16.05" customHeight="1">
      <c r="A1118" s="150"/>
      <c r="B1118" s="151"/>
      <c r="C1118" s="126" t="s">
        <v>1051</v>
      </c>
      <c r="D1118">
        <v>769</v>
      </c>
      <c r="E1118" s="126" t="s">
        <v>2001</v>
      </c>
      <c r="F1118" s="122" t="s">
        <v>1607</v>
      </c>
      <c r="G1118" s="122" t="s">
        <v>134</v>
      </c>
      <c r="H1118">
        <v>23</v>
      </c>
      <c r="I1118" s="122" t="s">
        <v>1546</v>
      </c>
      <c r="J1118" s="307" t="s">
        <v>214</v>
      </c>
      <c r="K1118" s="127">
        <v>2</v>
      </c>
      <c r="L1118" s="151" t="s">
        <v>3306</v>
      </c>
      <c r="M1118">
        <v>342</v>
      </c>
      <c r="N1118" s="123">
        <v>1</v>
      </c>
      <c r="O1118">
        <v>777</v>
      </c>
      <c r="P1118" s="132" t="s">
        <v>77</v>
      </c>
      <c r="Q1118" s="131">
        <v>30099.97</v>
      </c>
      <c r="R1118" s="131">
        <v>4816</v>
      </c>
      <c r="S1118" s="131"/>
      <c r="T1118" s="155"/>
      <c r="U1118" s="131"/>
      <c r="V1118" s="131">
        <v>34915.97</v>
      </c>
      <c r="W1118">
        <v>25</v>
      </c>
      <c r="X1118" s="151" t="s">
        <v>2024</v>
      </c>
      <c r="Y1118" s="135" t="s">
        <v>55</v>
      </c>
      <c r="Z1118" s="307">
        <v>225</v>
      </c>
      <c r="AB1118" t="str">
        <f>IF(Table1[[#This Row],[TIPO2]]="costo", VLOOKUP(Table1[[#This Row],[PARTIDA PRESUPUESTAL]],'Cost Report'!G:G,1,0),"Balance")</f>
        <v>3683-030</v>
      </c>
      <c r="AC1118" s="118"/>
      <c r="AD1118" s="159">
        <f>+Table1[[#This Row],[SUBTOTAL]]+Table1[[#This Row],[IVA]]-Table1[[#This Row],[RET IVA]]-Table1[[#This Row],[RET ISR]]-Table1[[#This Row],[TOTAL]]</f>
        <v>0</v>
      </c>
      <c r="AE1118" s="150"/>
      <c r="AF1118" s="151"/>
      <c r="AG1118" s="126"/>
      <c r="AH1118" s="115"/>
      <c r="AK1118" s="306" t="str">
        <f>IF(ISNUMBER(Table1[[#This Row],[FECHA DE RECIBIDO]]), Table1[[#This Row],[FECHA DE RECIBIDO]]-DATE(2023,8,30), "")</f>
        <v/>
      </c>
    </row>
    <row r="1119" spans="1:37" ht="16.05" customHeight="1">
      <c r="A1119" s="152"/>
      <c r="B1119" s="153"/>
      <c r="C1119" s="126" t="s">
        <v>2897</v>
      </c>
      <c r="D1119">
        <v>769</v>
      </c>
      <c r="E1119" s="126" t="s">
        <v>2001</v>
      </c>
      <c r="F1119" s="125" t="s">
        <v>1607</v>
      </c>
      <c r="G1119" s="125" t="s">
        <v>134</v>
      </c>
      <c r="H1119">
        <v>23</v>
      </c>
      <c r="I1119" s="125" t="s">
        <v>1546</v>
      </c>
      <c r="J1119" s="308" t="s">
        <v>214</v>
      </c>
      <c r="K1119" s="127">
        <v>2</v>
      </c>
      <c r="L1119" s="153" t="s">
        <v>3306</v>
      </c>
      <c r="M1119">
        <v>342</v>
      </c>
      <c r="N1119" s="123">
        <v>1</v>
      </c>
      <c r="O1119">
        <v>777</v>
      </c>
      <c r="P1119" s="132" t="s">
        <v>77</v>
      </c>
      <c r="Q1119" s="132">
        <v>15049.99</v>
      </c>
      <c r="R1119" s="132">
        <v>2408</v>
      </c>
      <c r="S1119" s="132"/>
      <c r="T1119" s="156"/>
      <c r="U1119" s="132"/>
      <c r="V1119" s="132">
        <v>17457.989999999998</v>
      </c>
      <c r="W1119">
        <v>25</v>
      </c>
      <c r="X1119" s="153" t="s">
        <v>2024</v>
      </c>
      <c r="Y1119" s="124" t="s">
        <v>55</v>
      </c>
      <c r="Z1119" s="308">
        <v>225</v>
      </c>
      <c r="AB1119" t="str">
        <f>IF(Table1[[#This Row],[TIPO2]]="costo", VLOOKUP(Table1[[#This Row],[PARTIDA PRESUPUESTAL]],'Cost Report'!G:G,1,0),"Balance")</f>
        <v>3683-138</v>
      </c>
      <c r="AC1119" s="118"/>
      <c r="AD1119" s="159">
        <f>+Table1[[#This Row],[SUBTOTAL]]+Table1[[#This Row],[IVA]]-Table1[[#This Row],[RET IVA]]-Table1[[#This Row],[RET ISR]]-Table1[[#This Row],[TOTAL]]</f>
        <v>0</v>
      </c>
      <c r="AE1119" s="152"/>
      <c r="AF1119" s="153"/>
      <c r="AG1119" s="126"/>
      <c r="AH1119" s="115"/>
      <c r="AK1119" s="306" t="str">
        <f>IF(ISNUMBER(Table1[[#This Row],[FECHA DE RECIBIDO]]), Table1[[#This Row],[FECHA DE RECIBIDO]]-DATE(2023,8,30), "")</f>
        <v/>
      </c>
    </row>
    <row r="1120" spans="1:37" ht="16.05" customHeight="1">
      <c r="A1120" s="150"/>
      <c r="B1120" s="151"/>
      <c r="C1120" s="126" t="s">
        <v>1059</v>
      </c>
      <c r="D1120">
        <v>769</v>
      </c>
      <c r="E1120" s="126" t="s">
        <v>2001</v>
      </c>
      <c r="F1120" s="122" t="s">
        <v>1607</v>
      </c>
      <c r="G1120" s="122" t="s">
        <v>134</v>
      </c>
      <c r="H1120">
        <v>23</v>
      </c>
      <c r="I1120" s="122" t="s">
        <v>1546</v>
      </c>
      <c r="J1120" s="307" t="s">
        <v>214</v>
      </c>
      <c r="K1120" s="127">
        <v>2</v>
      </c>
      <c r="L1120" s="151" t="s">
        <v>3306</v>
      </c>
      <c r="M1120">
        <v>342</v>
      </c>
      <c r="N1120" s="123">
        <v>1</v>
      </c>
      <c r="O1120">
        <v>777</v>
      </c>
      <c r="P1120" s="132" t="s">
        <v>77</v>
      </c>
      <c r="Q1120" s="131">
        <v>30099.97</v>
      </c>
      <c r="R1120" s="131">
        <v>4816</v>
      </c>
      <c r="S1120" s="131"/>
      <c r="T1120" s="155"/>
      <c r="U1120" s="131"/>
      <c r="V1120" s="131">
        <v>34915.97</v>
      </c>
      <c r="W1120">
        <v>25</v>
      </c>
      <c r="X1120" s="151" t="s">
        <v>2024</v>
      </c>
      <c r="Y1120" s="135" t="s">
        <v>55</v>
      </c>
      <c r="Z1120" s="307">
        <v>225</v>
      </c>
      <c r="AB1120" t="str">
        <f>IF(Table1[[#This Row],[TIPO2]]="costo", VLOOKUP(Table1[[#This Row],[PARTIDA PRESUPUESTAL]],'Cost Report'!G:G,1,0),"Balance")</f>
        <v>3683-042</v>
      </c>
      <c r="AC1120" s="118"/>
      <c r="AD1120" s="159">
        <f>+Table1[[#This Row],[SUBTOTAL]]+Table1[[#This Row],[IVA]]-Table1[[#This Row],[RET IVA]]-Table1[[#This Row],[RET ISR]]-Table1[[#This Row],[TOTAL]]</f>
        <v>0</v>
      </c>
      <c r="AE1120" s="150"/>
      <c r="AF1120" s="151"/>
      <c r="AG1120" s="126"/>
      <c r="AH1120" s="115"/>
      <c r="AK1120" s="306" t="str">
        <f>IF(ISNUMBER(Table1[[#This Row],[FECHA DE RECIBIDO]]), Table1[[#This Row],[FECHA DE RECIBIDO]]-DATE(2023,8,30), "")</f>
        <v/>
      </c>
    </row>
    <row r="1121" spans="1:37" ht="16.05" customHeight="1">
      <c r="A1121" s="152"/>
      <c r="B1121" s="153"/>
      <c r="C1121" s="126" t="s">
        <v>1063</v>
      </c>
      <c r="D1121">
        <v>769</v>
      </c>
      <c r="E1121" s="126" t="s">
        <v>2001</v>
      </c>
      <c r="F1121" s="125" t="s">
        <v>1607</v>
      </c>
      <c r="G1121" s="125" t="s">
        <v>134</v>
      </c>
      <c r="H1121">
        <v>23</v>
      </c>
      <c r="I1121" s="125" t="s">
        <v>1546</v>
      </c>
      <c r="J1121" s="308" t="s">
        <v>214</v>
      </c>
      <c r="K1121" s="127">
        <v>2</v>
      </c>
      <c r="L1121" s="153" t="s">
        <v>3306</v>
      </c>
      <c r="M1121">
        <v>342</v>
      </c>
      <c r="N1121" s="123">
        <v>1</v>
      </c>
      <c r="O1121">
        <v>777</v>
      </c>
      <c r="P1121" s="132" t="s">
        <v>77</v>
      </c>
      <c r="Q1121" s="132">
        <v>30657.38</v>
      </c>
      <c r="R1121" s="132">
        <v>4905.18</v>
      </c>
      <c r="S1121" s="132"/>
      <c r="T1121" s="156"/>
      <c r="U1121" s="132"/>
      <c r="V1121" s="132">
        <v>35562.559999999998</v>
      </c>
      <c r="W1121">
        <v>25</v>
      </c>
      <c r="X1121" s="153" t="s">
        <v>2024</v>
      </c>
      <c r="Y1121" s="124" t="s">
        <v>55</v>
      </c>
      <c r="Z1121" s="308">
        <v>225</v>
      </c>
      <c r="AB1121" t="str">
        <f>IF(Table1[[#This Row],[TIPO2]]="costo", VLOOKUP(Table1[[#This Row],[PARTIDA PRESUPUESTAL]],'Cost Report'!G:G,1,0),"Balance")</f>
        <v>3683-048</v>
      </c>
      <c r="AC1121" s="118"/>
      <c r="AD1121" s="159">
        <f>+Table1[[#This Row],[SUBTOTAL]]+Table1[[#This Row],[IVA]]-Table1[[#This Row],[RET IVA]]-Table1[[#This Row],[RET ISR]]-Table1[[#This Row],[TOTAL]]</f>
        <v>0</v>
      </c>
      <c r="AE1121" s="152"/>
      <c r="AF1121" s="153"/>
      <c r="AG1121" s="126"/>
      <c r="AH1121" s="115"/>
      <c r="AK1121" s="306" t="str">
        <f>IF(ISNUMBER(Table1[[#This Row],[FECHA DE RECIBIDO]]), Table1[[#This Row],[FECHA DE RECIBIDO]]-DATE(2023,8,30), "")</f>
        <v/>
      </c>
    </row>
    <row r="1122" spans="1:37" ht="16.05" customHeight="1">
      <c r="A1122" s="150"/>
      <c r="B1122" s="151"/>
      <c r="C1122" s="126" t="s">
        <v>1067</v>
      </c>
      <c r="D1122">
        <v>769</v>
      </c>
      <c r="E1122" s="126" t="s">
        <v>2001</v>
      </c>
      <c r="F1122" s="122" t="s">
        <v>1607</v>
      </c>
      <c r="G1122" s="122" t="s">
        <v>134</v>
      </c>
      <c r="H1122">
        <v>23</v>
      </c>
      <c r="I1122" s="122" t="s">
        <v>1546</v>
      </c>
      <c r="J1122" s="307" t="s">
        <v>214</v>
      </c>
      <c r="K1122" s="127">
        <v>2</v>
      </c>
      <c r="L1122" s="151" t="s">
        <v>3306</v>
      </c>
      <c r="M1122">
        <v>342</v>
      </c>
      <c r="N1122" s="123">
        <v>1</v>
      </c>
      <c r="O1122">
        <v>777</v>
      </c>
      <c r="P1122" s="132" t="s">
        <v>77</v>
      </c>
      <c r="Q1122" s="131">
        <v>30657.38</v>
      </c>
      <c r="R1122" s="131">
        <v>4905.18</v>
      </c>
      <c r="S1122" s="131"/>
      <c r="T1122" s="155"/>
      <c r="U1122" s="131"/>
      <c r="V1122" s="131">
        <v>35562.559999999998</v>
      </c>
      <c r="W1122">
        <v>25</v>
      </c>
      <c r="X1122" s="151" t="s">
        <v>2024</v>
      </c>
      <c r="Y1122" s="135" t="s">
        <v>55</v>
      </c>
      <c r="Z1122" s="307">
        <v>225</v>
      </c>
      <c r="AB1122" t="str">
        <f>IF(Table1[[#This Row],[TIPO2]]="costo", VLOOKUP(Table1[[#This Row],[PARTIDA PRESUPUESTAL]],'Cost Report'!G:G,1,0),"Balance")</f>
        <v>3683-054</v>
      </c>
      <c r="AC1122" s="118"/>
      <c r="AD1122" s="159">
        <f>+Table1[[#This Row],[SUBTOTAL]]+Table1[[#This Row],[IVA]]-Table1[[#This Row],[RET IVA]]-Table1[[#This Row],[RET ISR]]-Table1[[#This Row],[TOTAL]]</f>
        <v>0</v>
      </c>
      <c r="AE1122" s="150"/>
      <c r="AF1122" s="151"/>
      <c r="AG1122" s="126"/>
      <c r="AH1122" s="115"/>
      <c r="AK1122" s="306" t="str">
        <f>IF(ISNUMBER(Table1[[#This Row],[FECHA DE RECIBIDO]]), Table1[[#This Row],[FECHA DE RECIBIDO]]-DATE(2023,8,30), "")</f>
        <v/>
      </c>
    </row>
    <row r="1123" spans="1:37" ht="16.05" customHeight="1">
      <c r="A1123" s="152"/>
      <c r="B1123" s="153"/>
      <c r="C1123" s="126" t="s">
        <v>1071</v>
      </c>
      <c r="D1123">
        <v>769</v>
      </c>
      <c r="E1123" s="126" t="s">
        <v>2001</v>
      </c>
      <c r="F1123" s="125" t="s">
        <v>1607</v>
      </c>
      <c r="G1123" s="125" t="s">
        <v>134</v>
      </c>
      <c r="H1123">
        <v>23</v>
      </c>
      <c r="I1123" s="125" t="s">
        <v>1546</v>
      </c>
      <c r="J1123" s="308" t="s">
        <v>214</v>
      </c>
      <c r="K1123" s="127">
        <v>2</v>
      </c>
      <c r="L1123" s="153" t="s">
        <v>3306</v>
      </c>
      <c r="M1123">
        <v>342</v>
      </c>
      <c r="N1123" s="123">
        <v>1</v>
      </c>
      <c r="O1123">
        <v>777</v>
      </c>
      <c r="P1123" s="132" t="s">
        <v>77</v>
      </c>
      <c r="Q1123" s="132">
        <v>20902.759999999998</v>
      </c>
      <c r="R1123" s="132">
        <v>3344.44</v>
      </c>
      <c r="S1123" s="132"/>
      <c r="T1123" s="156"/>
      <c r="U1123" s="132"/>
      <c r="V1123" s="132">
        <v>24247.199999999997</v>
      </c>
      <c r="W1123">
        <v>25</v>
      </c>
      <c r="X1123" s="153" t="s">
        <v>2024</v>
      </c>
      <c r="Y1123" s="124" t="s">
        <v>55</v>
      </c>
      <c r="Z1123" s="308">
        <v>225</v>
      </c>
      <c r="AB1123" t="str">
        <f>IF(Table1[[#This Row],[TIPO2]]="costo", VLOOKUP(Table1[[#This Row],[PARTIDA PRESUPUESTAL]],'Cost Report'!G:G,1,0),"Balance")</f>
        <v>3683-060</v>
      </c>
      <c r="AC1123" s="118"/>
      <c r="AD1123" s="159">
        <f>+Table1[[#This Row],[SUBTOTAL]]+Table1[[#This Row],[IVA]]-Table1[[#This Row],[RET IVA]]-Table1[[#This Row],[RET ISR]]-Table1[[#This Row],[TOTAL]]</f>
        <v>0</v>
      </c>
      <c r="AE1123" s="152"/>
      <c r="AF1123" s="153"/>
      <c r="AG1123" s="126"/>
      <c r="AH1123" s="115"/>
      <c r="AK1123" s="306" t="str">
        <f>IF(ISNUMBER(Table1[[#This Row],[FECHA DE RECIBIDO]]), Table1[[#This Row],[FECHA DE RECIBIDO]]-DATE(2023,8,30), "")</f>
        <v/>
      </c>
    </row>
    <row r="1124" spans="1:37" ht="16.05" customHeight="1">
      <c r="A1124" s="150"/>
      <c r="B1124" s="151"/>
      <c r="C1124" s="126" t="s">
        <v>1075</v>
      </c>
      <c r="D1124">
        <v>769</v>
      </c>
      <c r="E1124" s="126" t="s">
        <v>2001</v>
      </c>
      <c r="F1124" s="122" t="s">
        <v>1607</v>
      </c>
      <c r="G1124" s="122" t="s">
        <v>134</v>
      </c>
      <c r="H1124">
        <v>23</v>
      </c>
      <c r="I1124" s="122" t="s">
        <v>1546</v>
      </c>
      <c r="J1124" s="307" t="s">
        <v>214</v>
      </c>
      <c r="K1124" s="127">
        <v>2</v>
      </c>
      <c r="L1124" s="151" t="s">
        <v>3306</v>
      </c>
      <c r="M1124">
        <v>342</v>
      </c>
      <c r="N1124" s="123">
        <v>1</v>
      </c>
      <c r="O1124">
        <v>777</v>
      </c>
      <c r="P1124" s="132" t="s">
        <v>77</v>
      </c>
      <c r="Q1124" s="131">
        <v>20902.759999999998</v>
      </c>
      <c r="R1124" s="131">
        <v>3344.44</v>
      </c>
      <c r="S1124" s="131"/>
      <c r="T1124" s="155"/>
      <c r="U1124" s="131"/>
      <c r="V1124" s="131">
        <v>24247.199999999997</v>
      </c>
      <c r="W1124">
        <v>25</v>
      </c>
      <c r="X1124" s="151" t="s">
        <v>2024</v>
      </c>
      <c r="Y1124" s="135" t="s">
        <v>55</v>
      </c>
      <c r="Z1124" s="307">
        <v>225</v>
      </c>
      <c r="AB1124" t="str">
        <f>IF(Table1[[#This Row],[TIPO2]]="costo", VLOOKUP(Table1[[#This Row],[PARTIDA PRESUPUESTAL]],'Cost Report'!G:G,1,0),"Balance")</f>
        <v>3683-066</v>
      </c>
      <c r="AC1124" s="118"/>
      <c r="AD1124" s="159">
        <f>+Table1[[#This Row],[SUBTOTAL]]+Table1[[#This Row],[IVA]]-Table1[[#This Row],[RET IVA]]-Table1[[#This Row],[RET ISR]]-Table1[[#This Row],[TOTAL]]</f>
        <v>0</v>
      </c>
      <c r="AE1124" s="150"/>
      <c r="AF1124" s="151"/>
      <c r="AG1124" s="126"/>
      <c r="AH1124" s="115"/>
      <c r="AK1124" s="306" t="str">
        <f>IF(ISNUMBER(Table1[[#This Row],[FECHA DE RECIBIDO]]), Table1[[#This Row],[FECHA DE RECIBIDO]]-DATE(2023,8,30), "")</f>
        <v/>
      </c>
    </row>
    <row r="1125" spans="1:37" ht="16.05" customHeight="1">
      <c r="A1125" s="152"/>
      <c r="B1125" s="153"/>
      <c r="C1125" s="126" t="s">
        <v>1079</v>
      </c>
      <c r="D1125">
        <v>769</v>
      </c>
      <c r="E1125" s="126" t="s">
        <v>2001</v>
      </c>
      <c r="F1125" s="125" t="s">
        <v>1607</v>
      </c>
      <c r="G1125" s="125" t="s">
        <v>134</v>
      </c>
      <c r="H1125">
        <v>23</v>
      </c>
      <c r="I1125" s="125" t="s">
        <v>1546</v>
      </c>
      <c r="J1125" s="308" t="s">
        <v>214</v>
      </c>
      <c r="K1125" s="127">
        <v>2</v>
      </c>
      <c r="L1125" s="153" t="s">
        <v>3306</v>
      </c>
      <c r="M1125">
        <v>342</v>
      </c>
      <c r="N1125" s="123">
        <v>1</v>
      </c>
      <c r="O1125">
        <v>777</v>
      </c>
      <c r="P1125" s="132" t="s">
        <v>77</v>
      </c>
      <c r="Q1125" s="132">
        <v>20902.759999999998</v>
      </c>
      <c r="R1125" s="132">
        <v>3344.44</v>
      </c>
      <c r="S1125" s="132"/>
      <c r="T1125" s="156"/>
      <c r="U1125" s="132"/>
      <c r="V1125" s="132">
        <v>24247.199999999997</v>
      </c>
      <c r="W1125">
        <v>25</v>
      </c>
      <c r="X1125" s="153" t="s">
        <v>2024</v>
      </c>
      <c r="Y1125" s="124" t="s">
        <v>55</v>
      </c>
      <c r="Z1125" s="308">
        <v>225</v>
      </c>
      <c r="AB1125" t="str">
        <f>IF(Table1[[#This Row],[TIPO2]]="costo", VLOOKUP(Table1[[#This Row],[PARTIDA PRESUPUESTAL]],'Cost Report'!G:G,1,0),"Balance")</f>
        <v>3683-072</v>
      </c>
      <c r="AC1125" s="118"/>
      <c r="AD1125" s="159">
        <f>+Table1[[#This Row],[SUBTOTAL]]+Table1[[#This Row],[IVA]]-Table1[[#This Row],[RET IVA]]-Table1[[#This Row],[RET ISR]]-Table1[[#This Row],[TOTAL]]</f>
        <v>0</v>
      </c>
      <c r="AE1125" s="152"/>
      <c r="AF1125" s="153"/>
      <c r="AG1125" s="126"/>
      <c r="AH1125" s="115"/>
      <c r="AK1125" s="306" t="str">
        <f>IF(ISNUMBER(Table1[[#This Row],[FECHA DE RECIBIDO]]), Table1[[#This Row],[FECHA DE RECIBIDO]]-DATE(2023,8,30), "")</f>
        <v/>
      </c>
    </row>
    <row r="1126" spans="1:37" ht="16.05" customHeight="1">
      <c r="A1126" s="150"/>
      <c r="B1126" s="151"/>
      <c r="C1126" s="126" t="s">
        <v>1083</v>
      </c>
      <c r="D1126">
        <v>769</v>
      </c>
      <c r="E1126" s="126" t="s">
        <v>2001</v>
      </c>
      <c r="F1126" s="122" t="s">
        <v>1607</v>
      </c>
      <c r="G1126" s="122" t="s">
        <v>134</v>
      </c>
      <c r="H1126">
        <v>23</v>
      </c>
      <c r="I1126" s="122" t="s">
        <v>1546</v>
      </c>
      <c r="J1126" s="307" t="s">
        <v>214</v>
      </c>
      <c r="K1126" s="127">
        <v>2</v>
      </c>
      <c r="L1126" s="151" t="s">
        <v>3306</v>
      </c>
      <c r="M1126">
        <v>342</v>
      </c>
      <c r="N1126" s="123">
        <v>1</v>
      </c>
      <c r="O1126">
        <v>777</v>
      </c>
      <c r="P1126" s="132" t="s">
        <v>77</v>
      </c>
      <c r="Q1126" s="131">
        <v>20902.759999999998</v>
      </c>
      <c r="R1126" s="131">
        <v>3344.44</v>
      </c>
      <c r="S1126" s="131"/>
      <c r="T1126" s="155"/>
      <c r="U1126" s="131"/>
      <c r="V1126" s="131">
        <v>24247.199999999997</v>
      </c>
      <c r="W1126">
        <v>25</v>
      </c>
      <c r="X1126" s="151" t="s">
        <v>2024</v>
      </c>
      <c r="Y1126" s="135" t="s">
        <v>55</v>
      </c>
      <c r="Z1126" s="307">
        <v>225</v>
      </c>
      <c r="AB1126" t="str">
        <f>IF(Table1[[#This Row],[TIPO2]]="costo", VLOOKUP(Table1[[#This Row],[PARTIDA PRESUPUESTAL]],'Cost Report'!G:G,1,0),"Balance")</f>
        <v>3683-078</v>
      </c>
      <c r="AC1126" s="118"/>
      <c r="AD1126" s="159">
        <f>+Table1[[#This Row],[SUBTOTAL]]+Table1[[#This Row],[IVA]]-Table1[[#This Row],[RET IVA]]-Table1[[#This Row],[RET ISR]]-Table1[[#This Row],[TOTAL]]</f>
        <v>0</v>
      </c>
      <c r="AE1126" s="150"/>
      <c r="AF1126" s="151"/>
      <c r="AG1126" s="126"/>
      <c r="AH1126" s="115"/>
      <c r="AK1126" s="306" t="str">
        <f>IF(ISNUMBER(Table1[[#This Row],[FECHA DE RECIBIDO]]), Table1[[#This Row],[FECHA DE RECIBIDO]]-DATE(2023,8,30), "")</f>
        <v/>
      </c>
    </row>
    <row r="1127" spans="1:37" ht="16.05" customHeight="1">
      <c r="A1127" s="152"/>
      <c r="B1127" s="153"/>
      <c r="C1127" s="126" t="s">
        <v>1087</v>
      </c>
      <c r="D1127">
        <v>769</v>
      </c>
      <c r="E1127" s="126" t="s">
        <v>2001</v>
      </c>
      <c r="F1127" s="125" t="s">
        <v>1607</v>
      </c>
      <c r="G1127" s="125" t="s">
        <v>134</v>
      </c>
      <c r="H1127">
        <v>23</v>
      </c>
      <c r="I1127" s="125" t="s">
        <v>1546</v>
      </c>
      <c r="J1127" s="308" t="s">
        <v>214</v>
      </c>
      <c r="K1127" s="127">
        <v>2</v>
      </c>
      <c r="L1127" s="153" t="s">
        <v>3306</v>
      </c>
      <c r="M1127">
        <v>342</v>
      </c>
      <c r="N1127" s="123">
        <v>1</v>
      </c>
      <c r="O1127">
        <v>777</v>
      </c>
      <c r="P1127" s="132" t="s">
        <v>77</v>
      </c>
      <c r="Q1127" s="132">
        <v>30657.38</v>
      </c>
      <c r="R1127" s="132">
        <v>4905.18</v>
      </c>
      <c r="S1127" s="132"/>
      <c r="T1127" s="156"/>
      <c r="U1127" s="132"/>
      <c r="V1127" s="132">
        <v>35562.559999999998</v>
      </c>
      <c r="W1127">
        <v>25</v>
      </c>
      <c r="X1127" s="153" t="s">
        <v>2024</v>
      </c>
      <c r="Y1127" s="124" t="s">
        <v>55</v>
      </c>
      <c r="Z1127" s="308">
        <v>225</v>
      </c>
      <c r="AB1127" t="str">
        <f>IF(Table1[[#This Row],[TIPO2]]="costo", VLOOKUP(Table1[[#This Row],[PARTIDA PRESUPUESTAL]],'Cost Report'!G:G,1,0),"Balance")</f>
        <v>3683-084</v>
      </c>
      <c r="AC1127" s="118"/>
      <c r="AD1127" s="159">
        <f>+Table1[[#This Row],[SUBTOTAL]]+Table1[[#This Row],[IVA]]-Table1[[#This Row],[RET IVA]]-Table1[[#This Row],[RET ISR]]-Table1[[#This Row],[TOTAL]]</f>
        <v>0</v>
      </c>
      <c r="AE1127" s="152"/>
      <c r="AF1127" s="153"/>
      <c r="AG1127" s="126"/>
      <c r="AH1127" s="115"/>
      <c r="AK1127" s="306" t="str">
        <f>IF(ISNUMBER(Table1[[#This Row],[FECHA DE RECIBIDO]]), Table1[[#This Row],[FECHA DE RECIBIDO]]-DATE(2023,8,30), "")</f>
        <v/>
      </c>
    </row>
    <row r="1128" spans="1:37" ht="16.05" customHeight="1">
      <c r="A1128" s="150"/>
      <c r="B1128" s="151"/>
      <c r="C1128" s="126" t="s">
        <v>1091</v>
      </c>
      <c r="D1128">
        <v>769</v>
      </c>
      <c r="E1128" s="126" t="s">
        <v>2001</v>
      </c>
      <c r="F1128" s="122" t="s">
        <v>1607</v>
      </c>
      <c r="G1128" s="122" t="s">
        <v>134</v>
      </c>
      <c r="H1128">
        <v>23</v>
      </c>
      <c r="I1128" s="122" t="s">
        <v>1546</v>
      </c>
      <c r="J1128" s="307" t="s">
        <v>214</v>
      </c>
      <c r="K1128" s="127">
        <v>2</v>
      </c>
      <c r="L1128" s="151" t="s">
        <v>3306</v>
      </c>
      <c r="M1128">
        <v>342</v>
      </c>
      <c r="N1128" s="123">
        <v>1</v>
      </c>
      <c r="O1128">
        <v>777</v>
      </c>
      <c r="P1128" s="132" t="s">
        <v>77</v>
      </c>
      <c r="Q1128" s="131">
        <v>20902.759999999998</v>
      </c>
      <c r="R1128" s="131">
        <v>3344.44</v>
      </c>
      <c r="S1128" s="131"/>
      <c r="T1128" s="155"/>
      <c r="U1128" s="131"/>
      <c r="V1128" s="131">
        <v>24247.199999999997</v>
      </c>
      <c r="W1128">
        <v>25</v>
      </c>
      <c r="X1128" s="151" t="s">
        <v>2024</v>
      </c>
      <c r="Y1128" s="135" t="s">
        <v>55</v>
      </c>
      <c r="Z1128" s="307">
        <v>225</v>
      </c>
      <c r="AB1128" t="str">
        <f>IF(Table1[[#This Row],[TIPO2]]="costo", VLOOKUP(Table1[[#This Row],[PARTIDA PRESUPUESTAL]],'Cost Report'!G:G,1,0),"Balance")</f>
        <v>3683-090</v>
      </c>
      <c r="AC1128" s="118"/>
      <c r="AD1128" s="159">
        <f>+Table1[[#This Row],[SUBTOTAL]]+Table1[[#This Row],[IVA]]-Table1[[#This Row],[RET IVA]]-Table1[[#This Row],[RET ISR]]-Table1[[#This Row],[TOTAL]]</f>
        <v>0</v>
      </c>
      <c r="AE1128" s="150"/>
      <c r="AF1128" s="151"/>
      <c r="AG1128" s="126"/>
      <c r="AH1128" s="115"/>
      <c r="AK1128" s="306" t="str">
        <f>IF(ISNUMBER(Table1[[#This Row],[FECHA DE RECIBIDO]]), Table1[[#This Row],[FECHA DE RECIBIDO]]-DATE(2023,8,30), "")</f>
        <v/>
      </c>
    </row>
    <row r="1129" spans="1:37" ht="16.05" customHeight="1">
      <c r="A1129" s="152"/>
      <c r="B1129" s="153"/>
      <c r="C1129" s="126" t="s">
        <v>1095</v>
      </c>
      <c r="D1129">
        <v>769</v>
      </c>
      <c r="E1129" s="126" t="s">
        <v>2001</v>
      </c>
      <c r="F1129" s="125" t="s">
        <v>1607</v>
      </c>
      <c r="G1129" s="125" t="s">
        <v>134</v>
      </c>
      <c r="H1129">
        <v>23</v>
      </c>
      <c r="I1129" s="125" t="s">
        <v>1546</v>
      </c>
      <c r="J1129" s="308" t="s">
        <v>214</v>
      </c>
      <c r="K1129" s="127">
        <v>2</v>
      </c>
      <c r="L1129" s="153" t="s">
        <v>3306</v>
      </c>
      <c r="M1129">
        <v>342</v>
      </c>
      <c r="N1129" s="123">
        <v>1</v>
      </c>
      <c r="O1129">
        <v>777</v>
      </c>
      <c r="P1129" s="132" t="s">
        <v>77</v>
      </c>
      <c r="Q1129" s="132">
        <v>30657.38</v>
      </c>
      <c r="R1129" s="132">
        <v>4905.18</v>
      </c>
      <c r="S1129" s="132"/>
      <c r="T1129" s="156"/>
      <c r="U1129" s="132"/>
      <c r="V1129" s="132">
        <v>35562.559999999998</v>
      </c>
      <c r="W1129">
        <v>25</v>
      </c>
      <c r="X1129" s="153" t="s">
        <v>2024</v>
      </c>
      <c r="Y1129" s="124" t="s">
        <v>55</v>
      </c>
      <c r="Z1129" s="308">
        <v>225</v>
      </c>
      <c r="AB1129" t="str">
        <f>IF(Table1[[#This Row],[TIPO2]]="costo", VLOOKUP(Table1[[#This Row],[PARTIDA PRESUPUESTAL]],'Cost Report'!G:G,1,0),"Balance")</f>
        <v>3683-096</v>
      </c>
      <c r="AC1129" s="118"/>
      <c r="AD1129" s="159">
        <f>+Table1[[#This Row],[SUBTOTAL]]+Table1[[#This Row],[IVA]]-Table1[[#This Row],[RET IVA]]-Table1[[#This Row],[RET ISR]]-Table1[[#This Row],[TOTAL]]</f>
        <v>0</v>
      </c>
      <c r="AE1129" s="152"/>
      <c r="AF1129" s="153"/>
      <c r="AG1129" s="126"/>
      <c r="AH1129" s="115"/>
      <c r="AK1129" s="306" t="str">
        <f>IF(ISNUMBER(Table1[[#This Row],[FECHA DE RECIBIDO]]), Table1[[#This Row],[FECHA DE RECIBIDO]]-DATE(2023,8,30), "")</f>
        <v/>
      </c>
    </row>
    <row r="1130" spans="1:37" ht="16.05" customHeight="1">
      <c r="A1130" s="150"/>
      <c r="B1130" s="151"/>
      <c r="C1130" s="126" t="s">
        <v>1098</v>
      </c>
      <c r="D1130">
        <v>769</v>
      </c>
      <c r="E1130" s="126" t="s">
        <v>2001</v>
      </c>
      <c r="F1130" s="122" t="s">
        <v>1607</v>
      </c>
      <c r="G1130" s="122" t="s">
        <v>134</v>
      </c>
      <c r="H1130">
        <v>23</v>
      </c>
      <c r="I1130" s="122" t="s">
        <v>1546</v>
      </c>
      <c r="J1130" s="307" t="s">
        <v>214</v>
      </c>
      <c r="K1130" s="127">
        <v>2</v>
      </c>
      <c r="L1130" s="151" t="s">
        <v>3306</v>
      </c>
      <c r="M1130">
        <v>342</v>
      </c>
      <c r="N1130" s="123">
        <v>1</v>
      </c>
      <c r="O1130">
        <v>777</v>
      </c>
      <c r="P1130" s="132" t="s">
        <v>77</v>
      </c>
      <c r="Q1130" s="131">
        <v>31354.14</v>
      </c>
      <c r="R1130" s="131">
        <v>5016.66</v>
      </c>
      <c r="S1130" s="131"/>
      <c r="T1130" s="155"/>
      <c r="U1130" s="131"/>
      <c r="V1130" s="131">
        <v>36370.800000000003</v>
      </c>
      <c r="W1130">
        <v>25</v>
      </c>
      <c r="X1130" s="151" t="s">
        <v>2024</v>
      </c>
      <c r="Y1130" s="135" t="s">
        <v>55</v>
      </c>
      <c r="Z1130" s="307">
        <v>225</v>
      </c>
      <c r="AB1130" t="str">
        <f>IF(Table1[[#This Row],[TIPO2]]="costo", VLOOKUP(Table1[[#This Row],[PARTIDA PRESUPUESTAL]],'Cost Report'!G:G,1,0),"Balance")</f>
        <v>3683-101</v>
      </c>
      <c r="AC1130" s="118"/>
      <c r="AD1130" s="159">
        <f>+Table1[[#This Row],[SUBTOTAL]]+Table1[[#This Row],[IVA]]-Table1[[#This Row],[RET IVA]]-Table1[[#This Row],[RET ISR]]-Table1[[#This Row],[TOTAL]]</f>
        <v>0</v>
      </c>
      <c r="AE1130" s="150"/>
      <c r="AF1130" s="151"/>
      <c r="AG1130" s="126"/>
      <c r="AH1130" s="115"/>
      <c r="AK1130" s="306" t="str">
        <f>IF(ISNUMBER(Table1[[#This Row],[FECHA DE RECIBIDO]]), Table1[[#This Row],[FECHA DE RECIBIDO]]-DATE(2023,8,30), "")</f>
        <v/>
      </c>
    </row>
    <row r="1131" spans="1:37" ht="16.05" customHeight="1">
      <c r="A1131" s="152"/>
      <c r="B1131" s="153"/>
      <c r="C1131" s="126" t="s">
        <v>1100</v>
      </c>
      <c r="D1131">
        <v>769</v>
      </c>
      <c r="E1131" s="126" t="s">
        <v>2001</v>
      </c>
      <c r="F1131" s="125" t="s">
        <v>1607</v>
      </c>
      <c r="G1131" s="125" t="s">
        <v>134</v>
      </c>
      <c r="H1131">
        <v>23</v>
      </c>
      <c r="I1131" s="125" t="s">
        <v>1546</v>
      </c>
      <c r="J1131" s="308" t="s">
        <v>214</v>
      </c>
      <c r="K1131" s="127">
        <v>2</v>
      </c>
      <c r="L1131" s="153" t="s">
        <v>3306</v>
      </c>
      <c r="M1131">
        <v>342</v>
      </c>
      <c r="N1131" s="123">
        <v>1</v>
      </c>
      <c r="O1131">
        <v>777</v>
      </c>
      <c r="P1131" s="132" t="s">
        <v>77</v>
      </c>
      <c r="Q1131" s="132">
        <v>39018.480000000003</v>
      </c>
      <c r="R1131" s="132">
        <v>6242.96</v>
      </c>
      <c r="S1131" s="132"/>
      <c r="T1131" s="156"/>
      <c r="U1131" s="132"/>
      <c r="V1131" s="132">
        <v>45261.440000000002</v>
      </c>
      <c r="W1131">
        <v>25</v>
      </c>
      <c r="X1131" s="153" t="s">
        <v>2024</v>
      </c>
      <c r="Y1131" s="124" t="s">
        <v>55</v>
      </c>
      <c r="Z1131" s="308">
        <v>225</v>
      </c>
      <c r="AB1131" t="str">
        <f>IF(Table1[[#This Row],[TIPO2]]="costo", VLOOKUP(Table1[[#This Row],[PARTIDA PRESUPUESTAL]],'Cost Report'!G:G,1,0),"Balance")</f>
        <v>3683-105</v>
      </c>
      <c r="AC1131" s="118"/>
      <c r="AD1131" s="159">
        <f>+Table1[[#This Row],[SUBTOTAL]]+Table1[[#This Row],[IVA]]-Table1[[#This Row],[RET IVA]]-Table1[[#This Row],[RET ISR]]-Table1[[#This Row],[TOTAL]]</f>
        <v>0</v>
      </c>
      <c r="AE1131" s="152"/>
      <c r="AF1131" s="153"/>
      <c r="AG1131" s="126"/>
      <c r="AH1131" s="115"/>
      <c r="AK1131" s="306" t="str">
        <f>IF(ISNUMBER(Table1[[#This Row],[FECHA DE RECIBIDO]]), Table1[[#This Row],[FECHA DE RECIBIDO]]-DATE(2023,8,30), "")</f>
        <v/>
      </c>
    </row>
    <row r="1132" spans="1:37" ht="16.05" customHeight="1">
      <c r="A1132" s="150"/>
      <c r="B1132" s="151"/>
      <c r="C1132" s="126" t="s">
        <v>2880</v>
      </c>
      <c r="D1132">
        <v>769</v>
      </c>
      <c r="E1132" s="126" t="s">
        <v>2001</v>
      </c>
      <c r="F1132" s="122" t="s">
        <v>1607</v>
      </c>
      <c r="G1132" s="122" t="s">
        <v>134</v>
      </c>
      <c r="H1132">
        <v>23</v>
      </c>
      <c r="I1132" s="122" t="s">
        <v>1546</v>
      </c>
      <c r="J1132" s="307" t="s">
        <v>214</v>
      </c>
      <c r="K1132" s="127">
        <v>2</v>
      </c>
      <c r="L1132" s="151" t="s">
        <v>3306</v>
      </c>
      <c r="M1132">
        <v>342</v>
      </c>
      <c r="N1132" s="123">
        <v>1</v>
      </c>
      <c r="O1132">
        <v>777</v>
      </c>
      <c r="P1132" s="132" t="s">
        <v>77</v>
      </c>
      <c r="Q1132" s="131">
        <v>78036.960000000006</v>
      </c>
      <c r="R1132" s="131">
        <v>12485.91</v>
      </c>
      <c r="S1132" s="131"/>
      <c r="T1132" s="155"/>
      <c r="U1132" s="131"/>
      <c r="V1132" s="131">
        <v>90522.87000000001</v>
      </c>
      <c r="W1132">
        <v>25</v>
      </c>
      <c r="X1132" s="151" t="s">
        <v>2024</v>
      </c>
      <c r="Y1132" s="135" t="s">
        <v>55</v>
      </c>
      <c r="Z1132" s="307">
        <v>225</v>
      </c>
      <c r="AB1132" t="str">
        <f>IF(Table1[[#This Row],[TIPO2]]="costo", VLOOKUP(Table1[[#This Row],[PARTIDA PRESUPUESTAL]],'Cost Report'!G:G,1,0),"Balance")</f>
        <v>3683-109</v>
      </c>
      <c r="AC1132" s="118"/>
      <c r="AD1132" s="159">
        <f>+Table1[[#This Row],[SUBTOTAL]]+Table1[[#This Row],[IVA]]-Table1[[#This Row],[RET IVA]]-Table1[[#This Row],[RET ISR]]-Table1[[#This Row],[TOTAL]]</f>
        <v>0</v>
      </c>
      <c r="AE1132" s="150"/>
      <c r="AF1132" s="151"/>
      <c r="AG1132" s="126"/>
      <c r="AH1132" s="115"/>
      <c r="AK1132" s="306" t="str">
        <f>IF(ISNUMBER(Table1[[#This Row],[FECHA DE RECIBIDO]]), Table1[[#This Row],[FECHA DE RECIBIDO]]-DATE(2023,8,30), "")</f>
        <v/>
      </c>
    </row>
    <row r="1133" spans="1:37" ht="16.05" customHeight="1">
      <c r="A1133" s="152"/>
      <c r="B1133" s="153"/>
      <c r="C1133" s="126" t="s">
        <v>2909</v>
      </c>
      <c r="D1133">
        <v>769</v>
      </c>
      <c r="E1133" s="126" t="s">
        <v>2001</v>
      </c>
      <c r="F1133" s="125" t="s">
        <v>1607</v>
      </c>
      <c r="G1133" s="125" t="s">
        <v>134</v>
      </c>
      <c r="H1133">
        <v>23</v>
      </c>
      <c r="I1133" s="125" t="s">
        <v>1546</v>
      </c>
      <c r="J1133" s="308" t="s">
        <v>214</v>
      </c>
      <c r="K1133" s="127">
        <v>2</v>
      </c>
      <c r="L1133" s="153" t="s">
        <v>3306</v>
      </c>
      <c r="M1133">
        <v>342</v>
      </c>
      <c r="N1133" s="123">
        <v>1</v>
      </c>
      <c r="O1133">
        <v>777</v>
      </c>
      <c r="P1133" s="132" t="s">
        <v>77</v>
      </c>
      <c r="Q1133" s="132">
        <v>39018.480000000003</v>
      </c>
      <c r="R1133" s="132">
        <v>6242.96</v>
      </c>
      <c r="S1133" s="132"/>
      <c r="T1133" s="156"/>
      <c r="U1133" s="132"/>
      <c r="V1133" s="132">
        <v>45261.440000000002</v>
      </c>
      <c r="W1133">
        <v>25</v>
      </c>
      <c r="X1133" s="153" t="s">
        <v>2024</v>
      </c>
      <c r="Y1133" s="124" t="s">
        <v>55</v>
      </c>
      <c r="Z1133" s="308">
        <v>225</v>
      </c>
      <c r="AB1133" t="str">
        <f>IF(Table1[[#This Row],[TIPO2]]="costo", VLOOKUP(Table1[[#This Row],[PARTIDA PRESUPUESTAL]],'Cost Report'!G:G,1,0),"Balance")</f>
        <v>3683-158</v>
      </c>
      <c r="AC1133" s="118"/>
      <c r="AD1133" s="159">
        <f>+Table1[[#This Row],[SUBTOTAL]]+Table1[[#This Row],[IVA]]-Table1[[#This Row],[RET IVA]]-Table1[[#This Row],[RET ISR]]-Table1[[#This Row],[TOTAL]]</f>
        <v>0</v>
      </c>
      <c r="AE1133" s="152"/>
      <c r="AF1133" s="153"/>
      <c r="AG1133" s="126"/>
      <c r="AH1133" s="115"/>
      <c r="AK1133" s="306" t="str">
        <f>IF(ISNUMBER(Table1[[#This Row],[FECHA DE RECIBIDO]]), Table1[[#This Row],[FECHA DE RECIBIDO]]-DATE(2023,8,30), "")</f>
        <v/>
      </c>
    </row>
    <row r="1134" spans="1:37" ht="16.05" customHeight="1">
      <c r="A1134" s="150"/>
      <c r="B1134" s="151"/>
      <c r="C1134" s="126" t="s">
        <v>2909</v>
      </c>
      <c r="D1134">
        <v>769</v>
      </c>
      <c r="E1134" s="126" t="s">
        <v>2001</v>
      </c>
      <c r="F1134" s="122" t="s">
        <v>1607</v>
      </c>
      <c r="G1134" s="122" t="s">
        <v>134</v>
      </c>
      <c r="H1134">
        <v>23</v>
      </c>
      <c r="I1134" s="122" t="s">
        <v>1546</v>
      </c>
      <c r="J1134" s="307" t="s">
        <v>214</v>
      </c>
      <c r="K1134" s="127">
        <v>2</v>
      </c>
      <c r="L1134" s="151" t="s">
        <v>3306</v>
      </c>
      <c r="M1134">
        <v>342</v>
      </c>
      <c r="N1134" s="123">
        <v>1</v>
      </c>
      <c r="O1134">
        <v>777</v>
      </c>
      <c r="P1134" s="132" t="s">
        <v>77</v>
      </c>
      <c r="Q1134" s="131">
        <v>39018.480000000003</v>
      </c>
      <c r="R1134" s="131">
        <v>6242.96</v>
      </c>
      <c r="S1134" s="131"/>
      <c r="T1134" s="155"/>
      <c r="U1134" s="131"/>
      <c r="V1134" s="131">
        <v>45261.440000000002</v>
      </c>
      <c r="W1134">
        <v>25</v>
      </c>
      <c r="X1134" s="151" t="s">
        <v>2024</v>
      </c>
      <c r="Y1134" s="135" t="s">
        <v>55</v>
      </c>
      <c r="Z1134" s="307">
        <v>225</v>
      </c>
      <c r="AB1134" t="str">
        <f>IF(Table1[[#This Row],[TIPO2]]="costo", VLOOKUP(Table1[[#This Row],[PARTIDA PRESUPUESTAL]],'Cost Report'!G:G,1,0),"Balance")</f>
        <v>3683-158</v>
      </c>
      <c r="AC1134" s="118"/>
      <c r="AD1134" s="159">
        <f>+Table1[[#This Row],[SUBTOTAL]]+Table1[[#This Row],[IVA]]-Table1[[#This Row],[RET IVA]]-Table1[[#This Row],[RET ISR]]-Table1[[#This Row],[TOTAL]]</f>
        <v>0</v>
      </c>
      <c r="AE1134" s="150"/>
      <c r="AF1134" s="151"/>
      <c r="AG1134" s="126"/>
      <c r="AH1134" s="115"/>
      <c r="AK1134" s="306" t="str">
        <f>IF(ISNUMBER(Table1[[#This Row],[FECHA DE RECIBIDO]]), Table1[[#This Row],[FECHA DE RECIBIDO]]-DATE(2023,8,30), "")</f>
        <v/>
      </c>
    </row>
    <row r="1135" spans="1:37" ht="16.05" customHeight="1">
      <c r="A1135" s="152"/>
      <c r="B1135" s="153"/>
      <c r="C1135" s="126" t="s">
        <v>2916</v>
      </c>
      <c r="D1135">
        <v>769</v>
      </c>
      <c r="E1135" s="126" t="s">
        <v>2001</v>
      </c>
      <c r="F1135" s="125" t="s">
        <v>1607</v>
      </c>
      <c r="G1135" s="125" t="s">
        <v>134</v>
      </c>
      <c r="H1135">
        <v>23</v>
      </c>
      <c r="I1135" s="125" t="s">
        <v>1546</v>
      </c>
      <c r="J1135" s="308" t="s">
        <v>214</v>
      </c>
      <c r="K1135" s="127">
        <v>2</v>
      </c>
      <c r="L1135" s="153" t="s">
        <v>3306</v>
      </c>
      <c r="M1135">
        <v>342</v>
      </c>
      <c r="N1135" s="123">
        <v>1</v>
      </c>
      <c r="O1135">
        <v>777</v>
      </c>
      <c r="P1135" s="132" t="s">
        <v>77</v>
      </c>
      <c r="Q1135" s="132">
        <v>12690.96</v>
      </c>
      <c r="R1135" s="132">
        <v>2030.55</v>
      </c>
      <c r="S1135" s="132"/>
      <c r="T1135" s="156"/>
      <c r="U1135" s="132"/>
      <c r="V1135" s="132">
        <v>14721.509999999998</v>
      </c>
      <c r="W1135">
        <v>25</v>
      </c>
      <c r="X1135" s="153" t="s">
        <v>2024</v>
      </c>
      <c r="Y1135" s="124" t="s">
        <v>55</v>
      </c>
      <c r="Z1135" s="308">
        <v>225</v>
      </c>
      <c r="AB1135" t="str">
        <f>IF(Table1[[#This Row],[TIPO2]]="costo", VLOOKUP(Table1[[#This Row],[PARTIDA PRESUPUESTAL]],'Cost Report'!G:G,1,0),"Balance")</f>
        <v>3683-171</v>
      </c>
      <c r="AC1135" s="118"/>
      <c r="AD1135" s="159">
        <f>+Table1[[#This Row],[SUBTOTAL]]+Table1[[#This Row],[IVA]]-Table1[[#This Row],[RET IVA]]-Table1[[#This Row],[RET ISR]]-Table1[[#This Row],[TOTAL]]</f>
        <v>0</v>
      </c>
      <c r="AE1135" s="152"/>
      <c r="AF1135" s="153"/>
      <c r="AG1135" s="126"/>
      <c r="AH1135" s="115"/>
      <c r="AK1135" s="306" t="str">
        <f>IF(ISNUMBER(Table1[[#This Row],[FECHA DE RECIBIDO]]), Table1[[#This Row],[FECHA DE RECIBIDO]]-DATE(2023,8,30), "")</f>
        <v/>
      </c>
    </row>
    <row r="1136" spans="1:37" ht="16.05" customHeight="1">
      <c r="A1136" s="150"/>
      <c r="B1136" s="151"/>
      <c r="C1136" s="126" t="s">
        <v>2907</v>
      </c>
      <c r="D1136">
        <v>769</v>
      </c>
      <c r="E1136" s="126" t="s">
        <v>2001</v>
      </c>
      <c r="F1136" s="122" t="s">
        <v>1607</v>
      </c>
      <c r="G1136" s="122" t="s">
        <v>134</v>
      </c>
      <c r="H1136">
        <v>23</v>
      </c>
      <c r="I1136" s="122" t="s">
        <v>1546</v>
      </c>
      <c r="J1136" s="307" t="s">
        <v>214</v>
      </c>
      <c r="K1136" s="127">
        <v>2</v>
      </c>
      <c r="L1136" s="151" t="s">
        <v>3306</v>
      </c>
      <c r="M1136">
        <v>342</v>
      </c>
      <c r="N1136" s="123">
        <v>1</v>
      </c>
      <c r="O1136">
        <v>777</v>
      </c>
      <c r="P1136" s="132" t="s">
        <v>77</v>
      </c>
      <c r="Q1136" s="131">
        <v>6967.59</v>
      </c>
      <c r="R1136" s="131">
        <v>1114.81</v>
      </c>
      <c r="S1136" s="131"/>
      <c r="T1136" s="155"/>
      <c r="U1136" s="131"/>
      <c r="V1136" s="131">
        <v>8082.4</v>
      </c>
      <c r="W1136">
        <v>25</v>
      </c>
      <c r="X1136" s="151" t="s">
        <v>2024</v>
      </c>
      <c r="Y1136" s="135" t="s">
        <v>55</v>
      </c>
      <c r="Z1136" s="307">
        <v>225</v>
      </c>
      <c r="AB1136" t="str">
        <f>IF(Table1[[#This Row],[TIPO2]]="costo", VLOOKUP(Table1[[#This Row],[PARTIDA PRESUPUESTAL]],'Cost Report'!G:G,1,0),"Balance")</f>
        <v>3683-154</v>
      </c>
      <c r="AC1136" s="118"/>
      <c r="AD1136" s="159">
        <f>+Table1[[#This Row],[SUBTOTAL]]+Table1[[#This Row],[IVA]]-Table1[[#This Row],[RET IVA]]-Table1[[#This Row],[RET ISR]]-Table1[[#This Row],[TOTAL]]</f>
        <v>0</v>
      </c>
      <c r="AE1136" s="150"/>
      <c r="AF1136" s="151"/>
      <c r="AG1136" s="126"/>
      <c r="AH1136" s="115"/>
      <c r="AK1136" s="306" t="str">
        <f>IF(ISNUMBER(Table1[[#This Row],[FECHA DE RECIBIDO]]), Table1[[#This Row],[FECHA DE RECIBIDO]]-DATE(2023,8,30), "")</f>
        <v/>
      </c>
    </row>
    <row r="1137" spans="1:37" ht="16.05" customHeight="1">
      <c r="A1137" s="152" t="s">
        <v>3433</v>
      </c>
      <c r="B1137" s="153">
        <v>515</v>
      </c>
      <c r="C1137" s="126" t="s">
        <v>2836</v>
      </c>
      <c r="D1137">
        <v>770</v>
      </c>
      <c r="E1137" s="126" t="s">
        <v>2001</v>
      </c>
      <c r="F1137" s="125" t="s">
        <v>1607</v>
      </c>
      <c r="G1137" s="125" t="s">
        <v>134</v>
      </c>
      <c r="H1137">
        <v>23</v>
      </c>
      <c r="I1137" s="125" t="s">
        <v>1546</v>
      </c>
      <c r="J1137" s="308" t="s">
        <v>214</v>
      </c>
      <c r="K1137" s="127">
        <v>2</v>
      </c>
      <c r="L1137" s="153" t="s">
        <v>3306</v>
      </c>
      <c r="M1137">
        <v>342</v>
      </c>
      <c r="N1137" s="123">
        <v>1</v>
      </c>
      <c r="O1137">
        <v>778</v>
      </c>
      <c r="P1137" s="132" t="s">
        <v>77</v>
      </c>
      <c r="Q1137" s="132">
        <v>36849.980000000003</v>
      </c>
      <c r="R1137" s="132">
        <v>5896</v>
      </c>
      <c r="S1137" s="132"/>
      <c r="T1137" s="156"/>
      <c r="U1137" s="132"/>
      <c r="V1137" s="132">
        <v>42745.98</v>
      </c>
      <c r="W1137">
        <v>25</v>
      </c>
      <c r="X1137" s="153" t="s">
        <v>2024</v>
      </c>
      <c r="Y1137" s="124" t="s">
        <v>55</v>
      </c>
      <c r="Z1137" s="308">
        <v>225</v>
      </c>
      <c r="AB1137" t="str">
        <f>IF(Table1[[#This Row],[TIPO2]]="costo", VLOOKUP(Table1[[#This Row],[PARTIDA PRESUPUESTAL]],'Cost Report'!G:G,1,0),"Balance")</f>
        <v>3442-025</v>
      </c>
      <c r="AC1137" s="118"/>
      <c r="AD1137" s="159">
        <f>+Table1[[#This Row],[SUBTOTAL]]+Table1[[#This Row],[IVA]]-Table1[[#This Row],[RET IVA]]-Table1[[#This Row],[RET ISR]]-Table1[[#This Row],[TOTAL]]</f>
        <v>0</v>
      </c>
      <c r="AE1137" s="152"/>
      <c r="AF1137" s="153"/>
      <c r="AG1137" s="126"/>
      <c r="AH1137" s="115"/>
      <c r="AK1137" s="306" t="str">
        <f>IF(ISNUMBER(Table1[[#This Row],[FECHA DE RECIBIDO]]), Table1[[#This Row],[FECHA DE RECIBIDO]]-DATE(2023,8,30), "")</f>
        <v/>
      </c>
    </row>
    <row r="1138" spans="1:37" ht="16.05" customHeight="1">
      <c r="A1138" s="150"/>
      <c r="B1138" s="151"/>
      <c r="C1138" s="126" t="s">
        <v>2836</v>
      </c>
      <c r="D1138">
        <v>770</v>
      </c>
      <c r="E1138" s="126" t="s">
        <v>2001</v>
      </c>
      <c r="F1138" s="122" t="s">
        <v>1607</v>
      </c>
      <c r="G1138" s="122" t="s">
        <v>134</v>
      </c>
      <c r="H1138">
        <v>23</v>
      </c>
      <c r="I1138" s="122" t="s">
        <v>1546</v>
      </c>
      <c r="J1138" s="307" t="s">
        <v>214</v>
      </c>
      <c r="K1138" s="127">
        <v>2</v>
      </c>
      <c r="L1138" s="151" t="s">
        <v>3306</v>
      </c>
      <c r="M1138">
        <v>342</v>
      </c>
      <c r="N1138" s="123">
        <v>1</v>
      </c>
      <c r="O1138">
        <v>778</v>
      </c>
      <c r="P1138" s="132" t="s">
        <v>77</v>
      </c>
      <c r="Q1138" s="131">
        <v>1238.1600000000001</v>
      </c>
      <c r="R1138" s="131">
        <v>198.1</v>
      </c>
      <c r="S1138" s="131"/>
      <c r="T1138" s="155"/>
      <c r="U1138" s="131"/>
      <c r="V1138" s="131">
        <v>1436.26</v>
      </c>
      <c r="W1138">
        <v>25</v>
      </c>
      <c r="X1138" s="151" t="s">
        <v>2024</v>
      </c>
      <c r="Y1138" s="135" t="s">
        <v>55</v>
      </c>
      <c r="Z1138" s="307">
        <v>225</v>
      </c>
      <c r="AB1138" t="str">
        <f>IF(Table1[[#This Row],[TIPO2]]="costo", VLOOKUP(Table1[[#This Row],[PARTIDA PRESUPUESTAL]],'Cost Report'!G:G,1,0),"Balance")</f>
        <v>3442-025</v>
      </c>
      <c r="AC1138" s="118"/>
      <c r="AD1138" s="159">
        <f>+Table1[[#This Row],[SUBTOTAL]]+Table1[[#This Row],[IVA]]-Table1[[#This Row],[RET IVA]]-Table1[[#This Row],[RET ISR]]-Table1[[#This Row],[TOTAL]]</f>
        <v>0</v>
      </c>
      <c r="AE1138" s="150"/>
      <c r="AF1138" s="151"/>
      <c r="AG1138" s="126"/>
      <c r="AH1138" s="115"/>
      <c r="AK1138" s="306" t="str">
        <f>IF(ISNUMBER(Table1[[#This Row],[FECHA DE RECIBIDO]]), Table1[[#This Row],[FECHA DE RECIBIDO]]-DATE(2023,8,30), "")</f>
        <v/>
      </c>
    </row>
    <row r="1139" spans="1:37" ht="16.05" customHeight="1">
      <c r="A1139" s="152"/>
      <c r="B1139" s="153"/>
      <c r="C1139" s="126" t="s">
        <v>2836</v>
      </c>
      <c r="D1139">
        <v>770</v>
      </c>
      <c r="E1139" s="126" t="s">
        <v>2001</v>
      </c>
      <c r="F1139" s="125" t="s">
        <v>1607</v>
      </c>
      <c r="G1139" s="125" t="s">
        <v>134</v>
      </c>
      <c r="H1139">
        <v>23</v>
      </c>
      <c r="I1139" s="125" t="s">
        <v>1546</v>
      </c>
      <c r="J1139" s="308" t="s">
        <v>214</v>
      </c>
      <c r="K1139" s="127">
        <v>2</v>
      </c>
      <c r="L1139" s="153" t="s">
        <v>3306</v>
      </c>
      <c r="M1139">
        <v>342</v>
      </c>
      <c r="N1139" s="123">
        <v>1</v>
      </c>
      <c r="O1139">
        <v>778</v>
      </c>
      <c r="P1139" s="132" t="s">
        <v>77</v>
      </c>
      <c r="Q1139" s="132">
        <v>1238.1600000000001</v>
      </c>
      <c r="R1139" s="132">
        <v>198.1</v>
      </c>
      <c r="S1139" s="132"/>
      <c r="T1139" s="156"/>
      <c r="U1139" s="132"/>
      <c r="V1139" s="132">
        <v>1436.26</v>
      </c>
      <c r="W1139">
        <v>25</v>
      </c>
      <c r="X1139" s="153" t="s">
        <v>2024</v>
      </c>
      <c r="Y1139" s="124" t="s">
        <v>55</v>
      </c>
      <c r="Z1139" s="308">
        <v>225</v>
      </c>
      <c r="AB1139" t="str">
        <f>IF(Table1[[#This Row],[TIPO2]]="costo", VLOOKUP(Table1[[#This Row],[PARTIDA PRESUPUESTAL]],'Cost Report'!G:G,1,0),"Balance")</f>
        <v>3442-025</v>
      </c>
      <c r="AC1139" s="118"/>
      <c r="AD1139" s="159">
        <f>+Table1[[#This Row],[SUBTOTAL]]+Table1[[#This Row],[IVA]]-Table1[[#This Row],[RET IVA]]-Table1[[#This Row],[RET ISR]]-Table1[[#This Row],[TOTAL]]</f>
        <v>0</v>
      </c>
      <c r="AE1139" s="152"/>
      <c r="AF1139" s="153"/>
      <c r="AG1139" s="126"/>
      <c r="AH1139" s="115"/>
      <c r="AK1139" s="306" t="str">
        <f>IF(ISNUMBER(Table1[[#This Row],[FECHA DE RECIBIDO]]), Table1[[#This Row],[FECHA DE RECIBIDO]]-DATE(2023,8,30), "")</f>
        <v/>
      </c>
    </row>
    <row r="1140" spans="1:37" ht="16.05" customHeight="1">
      <c r="A1140" s="150"/>
      <c r="B1140" s="151"/>
      <c r="C1140" s="126" t="s">
        <v>2836</v>
      </c>
      <c r="D1140">
        <v>770</v>
      </c>
      <c r="E1140" s="126" t="s">
        <v>2001</v>
      </c>
      <c r="F1140" s="122" t="s">
        <v>1607</v>
      </c>
      <c r="G1140" s="122" t="s">
        <v>134</v>
      </c>
      <c r="H1140">
        <v>23</v>
      </c>
      <c r="I1140" s="122" t="s">
        <v>1546</v>
      </c>
      <c r="J1140" s="307" t="s">
        <v>214</v>
      </c>
      <c r="K1140" s="127">
        <v>2</v>
      </c>
      <c r="L1140" s="151" t="s">
        <v>3306</v>
      </c>
      <c r="M1140">
        <v>342</v>
      </c>
      <c r="N1140" s="123">
        <v>1</v>
      </c>
      <c r="O1140">
        <v>778</v>
      </c>
      <c r="P1140" s="132" t="s">
        <v>77</v>
      </c>
      <c r="Q1140" s="131">
        <v>2476.3200000000002</v>
      </c>
      <c r="R1140" s="131">
        <v>396.21</v>
      </c>
      <c r="S1140" s="131"/>
      <c r="T1140" s="155"/>
      <c r="U1140" s="131"/>
      <c r="V1140" s="131">
        <v>2872.53</v>
      </c>
      <c r="W1140">
        <v>25</v>
      </c>
      <c r="X1140" s="151" t="s">
        <v>2024</v>
      </c>
      <c r="Y1140" s="135" t="s">
        <v>55</v>
      </c>
      <c r="Z1140" s="307">
        <v>225</v>
      </c>
      <c r="AB1140" t="str">
        <f>IF(Table1[[#This Row],[TIPO2]]="costo", VLOOKUP(Table1[[#This Row],[PARTIDA PRESUPUESTAL]],'Cost Report'!G:G,1,0),"Balance")</f>
        <v>3442-025</v>
      </c>
      <c r="AC1140" s="118"/>
      <c r="AD1140" s="159">
        <f>+Table1[[#This Row],[SUBTOTAL]]+Table1[[#This Row],[IVA]]-Table1[[#This Row],[RET IVA]]-Table1[[#This Row],[RET ISR]]-Table1[[#This Row],[TOTAL]]</f>
        <v>0</v>
      </c>
      <c r="AE1140" s="150"/>
      <c r="AF1140" s="151"/>
      <c r="AG1140" s="126"/>
      <c r="AH1140" s="115"/>
      <c r="AK1140" s="306" t="str">
        <f>IF(ISNUMBER(Table1[[#This Row],[FECHA DE RECIBIDO]]), Table1[[#This Row],[FECHA DE RECIBIDO]]-DATE(2023,8,30), "")</f>
        <v/>
      </c>
    </row>
    <row r="1141" spans="1:37" ht="16.05" customHeight="1">
      <c r="A1141" s="152"/>
      <c r="B1141" s="153"/>
      <c r="C1141" s="126" t="s">
        <v>2836</v>
      </c>
      <c r="D1141">
        <v>770</v>
      </c>
      <c r="E1141" s="126" t="s">
        <v>2001</v>
      </c>
      <c r="F1141" s="125" t="s">
        <v>1607</v>
      </c>
      <c r="G1141" s="125" t="s">
        <v>134</v>
      </c>
      <c r="H1141">
        <v>23</v>
      </c>
      <c r="I1141" s="125" t="s">
        <v>1546</v>
      </c>
      <c r="J1141" s="308" t="s">
        <v>214</v>
      </c>
      <c r="K1141" s="127">
        <v>2</v>
      </c>
      <c r="L1141" s="153" t="s">
        <v>3306</v>
      </c>
      <c r="M1141">
        <v>342</v>
      </c>
      <c r="N1141" s="123">
        <v>1</v>
      </c>
      <c r="O1141">
        <v>778</v>
      </c>
      <c r="P1141" s="132" t="s">
        <v>77</v>
      </c>
      <c r="Q1141" s="132">
        <v>60492.92</v>
      </c>
      <c r="R1141" s="132">
        <v>9678.8700000000008</v>
      </c>
      <c r="S1141" s="132"/>
      <c r="T1141" s="156"/>
      <c r="U1141" s="132"/>
      <c r="V1141" s="132">
        <v>70171.789999999994</v>
      </c>
      <c r="W1141">
        <v>25</v>
      </c>
      <c r="X1141" s="153" t="s">
        <v>2024</v>
      </c>
      <c r="Y1141" s="124" t="s">
        <v>55</v>
      </c>
      <c r="Z1141" s="308">
        <v>225</v>
      </c>
      <c r="AB1141" t="str">
        <f>IF(Table1[[#This Row],[TIPO2]]="costo", VLOOKUP(Table1[[#This Row],[PARTIDA PRESUPUESTAL]],'Cost Report'!G:G,1,0),"Balance")</f>
        <v>3442-025</v>
      </c>
      <c r="AC1141" s="118"/>
      <c r="AD1141" s="159">
        <f>+Table1[[#This Row],[SUBTOTAL]]+Table1[[#This Row],[IVA]]-Table1[[#This Row],[RET IVA]]-Table1[[#This Row],[RET ISR]]-Table1[[#This Row],[TOTAL]]</f>
        <v>0</v>
      </c>
      <c r="AE1141" s="152"/>
      <c r="AF1141" s="153"/>
      <c r="AG1141" s="126"/>
      <c r="AH1141" s="115"/>
      <c r="AK1141" s="306" t="str">
        <f>IF(ISNUMBER(Table1[[#This Row],[FECHA DE RECIBIDO]]), Table1[[#This Row],[FECHA DE RECIBIDO]]-DATE(2023,8,30), "")</f>
        <v/>
      </c>
    </row>
    <row r="1142" spans="1:37" ht="16.05" customHeight="1">
      <c r="A1142" s="150"/>
      <c r="B1142" s="151"/>
      <c r="C1142" s="126" t="s">
        <v>2838</v>
      </c>
      <c r="D1142">
        <v>770</v>
      </c>
      <c r="E1142" s="126" t="s">
        <v>2001</v>
      </c>
      <c r="F1142" s="122" t="s">
        <v>1607</v>
      </c>
      <c r="G1142" s="122" t="s">
        <v>134</v>
      </c>
      <c r="H1142">
        <v>23</v>
      </c>
      <c r="I1142" s="122" t="s">
        <v>1546</v>
      </c>
      <c r="J1142" s="307" t="s">
        <v>214</v>
      </c>
      <c r="K1142" s="127">
        <v>2</v>
      </c>
      <c r="L1142" s="151" t="s">
        <v>3306</v>
      </c>
      <c r="M1142">
        <v>342</v>
      </c>
      <c r="N1142" s="123">
        <v>1</v>
      </c>
      <c r="O1142">
        <v>778</v>
      </c>
      <c r="P1142" s="132" t="s">
        <v>77</v>
      </c>
      <c r="Q1142" s="131">
        <v>8187.01</v>
      </c>
      <c r="R1142" s="131">
        <v>1309.92</v>
      </c>
      <c r="S1142" s="131"/>
      <c r="T1142" s="155"/>
      <c r="U1142" s="131"/>
      <c r="V1142" s="131">
        <v>9496.93</v>
      </c>
      <c r="W1142">
        <v>25</v>
      </c>
      <c r="X1142" s="151" t="s">
        <v>2024</v>
      </c>
      <c r="Y1142" s="135" t="s">
        <v>55</v>
      </c>
      <c r="Z1142" s="307">
        <v>225</v>
      </c>
      <c r="AB1142" t="str">
        <f>IF(Table1[[#This Row],[TIPO2]]="costo", VLOOKUP(Table1[[#This Row],[PARTIDA PRESUPUESTAL]],'Cost Report'!G:G,1,0),"Balance")</f>
        <v>3442-029</v>
      </c>
      <c r="AC1142" s="118"/>
      <c r="AD1142" s="159">
        <f>+Table1[[#This Row],[SUBTOTAL]]+Table1[[#This Row],[IVA]]-Table1[[#This Row],[RET IVA]]-Table1[[#This Row],[RET ISR]]-Table1[[#This Row],[TOTAL]]</f>
        <v>0</v>
      </c>
      <c r="AE1142" s="150"/>
      <c r="AF1142" s="151"/>
      <c r="AG1142" s="126"/>
      <c r="AH1142" s="115"/>
      <c r="AK1142" s="306" t="str">
        <f>IF(ISNUMBER(Table1[[#This Row],[FECHA DE RECIBIDO]]), Table1[[#This Row],[FECHA DE RECIBIDO]]-DATE(2023,8,30), "")</f>
        <v/>
      </c>
    </row>
    <row r="1143" spans="1:37" ht="16.05" customHeight="1">
      <c r="A1143" s="152"/>
      <c r="B1143" s="153"/>
      <c r="C1143" s="126" t="s">
        <v>2836</v>
      </c>
      <c r="D1143">
        <v>770</v>
      </c>
      <c r="E1143" s="126" t="s">
        <v>2001</v>
      </c>
      <c r="F1143" s="125" t="s">
        <v>1607</v>
      </c>
      <c r="G1143" s="125" t="s">
        <v>134</v>
      </c>
      <c r="H1143">
        <v>23</v>
      </c>
      <c r="I1143" s="125" t="s">
        <v>1546</v>
      </c>
      <c r="J1143" s="308" t="s">
        <v>214</v>
      </c>
      <c r="K1143" s="127">
        <v>2</v>
      </c>
      <c r="L1143" s="153" t="s">
        <v>3306</v>
      </c>
      <c r="M1143">
        <v>342</v>
      </c>
      <c r="N1143" s="123">
        <v>1</v>
      </c>
      <c r="O1143">
        <v>778</v>
      </c>
      <c r="P1143" s="132" t="s">
        <v>77</v>
      </c>
      <c r="Q1143" s="132">
        <v>23878.78</v>
      </c>
      <c r="R1143" s="132">
        <v>3820.61</v>
      </c>
      <c r="S1143" s="132"/>
      <c r="T1143" s="156"/>
      <c r="U1143" s="132"/>
      <c r="V1143" s="132">
        <v>27699.39</v>
      </c>
      <c r="W1143">
        <v>25</v>
      </c>
      <c r="X1143" s="153" t="s">
        <v>2024</v>
      </c>
      <c r="Y1143" s="124" t="s">
        <v>55</v>
      </c>
      <c r="Z1143" s="308">
        <v>225</v>
      </c>
      <c r="AB1143" t="str">
        <f>IF(Table1[[#This Row],[TIPO2]]="costo", VLOOKUP(Table1[[#This Row],[PARTIDA PRESUPUESTAL]],'Cost Report'!G:G,1,0),"Balance")</f>
        <v>3442-025</v>
      </c>
      <c r="AC1143" s="118"/>
      <c r="AD1143" s="159">
        <f>+Table1[[#This Row],[SUBTOTAL]]+Table1[[#This Row],[IVA]]-Table1[[#This Row],[RET IVA]]-Table1[[#This Row],[RET ISR]]-Table1[[#This Row],[TOTAL]]</f>
        <v>0</v>
      </c>
      <c r="AE1143" s="152"/>
      <c r="AF1143" s="153"/>
      <c r="AG1143" s="126"/>
      <c r="AH1143" s="115"/>
      <c r="AK1143" s="306" t="str">
        <f>IF(ISNUMBER(Table1[[#This Row],[FECHA DE RECIBIDO]]), Table1[[#This Row],[FECHA DE RECIBIDO]]-DATE(2023,8,30), "")</f>
        <v/>
      </c>
    </row>
    <row r="1144" spans="1:37" ht="16.05" customHeight="1">
      <c r="A1144" s="150"/>
      <c r="B1144" s="151"/>
      <c r="C1144" s="126" t="s">
        <v>2838</v>
      </c>
      <c r="D1144">
        <v>770</v>
      </c>
      <c r="E1144" s="126" t="s">
        <v>2001</v>
      </c>
      <c r="F1144" s="122" t="s">
        <v>1607</v>
      </c>
      <c r="G1144" s="122" t="s">
        <v>134</v>
      </c>
      <c r="H1144">
        <v>23</v>
      </c>
      <c r="I1144" s="122" t="s">
        <v>1546</v>
      </c>
      <c r="J1144" s="307" t="s">
        <v>214</v>
      </c>
      <c r="K1144" s="127">
        <v>2</v>
      </c>
      <c r="L1144" s="151" t="s">
        <v>3306</v>
      </c>
      <c r="M1144">
        <v>342</v>
      </c>
      <c r="N1144" s="123">
        <v>1</v>
      </c>
      <c r="O1144">
        <v>778</v>
      </c>
      <c r="P1144" s="132" t="s">
        <v>77</v>
      </c>
      <c r="Q1144" s="131">
        <v>3638.67</v>
      </c>
      <c r="R1144" s="131">
        <v>582.19000000000005</v>
      </c>
      <c r="S1144" s="131"/>
      <c r="T1144" s="155"/>
      <c r="U1144" s="131"/>
      <c r="V1144" s="131">
        <v>4220.8600000000006</v>
      </c>
      <c r="W1144">
        <v>25</v>
      </c>
      <c r="X1144" s="151" t="s">
        <v>2024</v>
      </c>
      <c r="Y1144" s="135" t="s">
        <v>55</v>
      </c>
      <c r="Z1144" s="307">
        <v>225</v>
      </c>
      <c r="AB1144" t="str">
        <f>IF(Table1[[#This Row],[TIPO2]]="costo", VLOOKUP(Table1[[#This Row],[PARTIDA PRESUPUESTAL]],'Cost Report'!G:G,1,0),"Balance")</f>
        <v>3442-029</v>
      </c>
      <c r="AC1144" s="118"/>
      <c r="AD1144" s="159">
        <f>+Table1[[#This Row],[SUBTOTAL]]+Table1[[#This Row],[IVA]]-Table1[[#This Row],[RET IVA]]-Table1[[#This Row],[RET ISR]]-Table1[[#This Row],[TOTAL]]</f>
        <v>0</v>
      </c>
      <c r="AE1144" s="150"/>
      <c r="AF1144" s="151"/>
      <c r="AG1144" s="126"/>
      <c r="AH1144" s="115"/>
      <c r="AK1144" s="306" t="str">
        <f>IF(ISNUMBER(Table1[[#This Row],[FECHA DE RECIBIDO]]), Table1[[#This Row],[FECHA DE RECIBIDO]]-DATE(2023,8,30), "")</f>
        <v/>
      </c>
    </row>
    <row r="1145" spans="1:37" ht="16.05" customHeight="1">
      <c r="A1145" s="152" t="s">
        <v>3436</v>
      </c>
      <c r="B1145" s="153">
        <v>518</v>
      </c>
      <c r="C1145" s="126" t="s">
        <v>1035</v>
      </c>
      <c r="D1145">
        <v>771</v>
      </c>
      <c r="E1145" s="126" t="s">
        <v>2001</v>
      </c>
      <c r="F1145" s="125" t="s">
        <v>1607</v>
      </c>
      <c r="G1145" s="125" t="s">
        <v>134</v>
      </c>
      <c r="H1145">
        <v>23</v>
      </c>
      <c r="I1145" s="125" t="s">
        <v>1546</v>
      </c>
      <c r="J1145" s="308" t="s">
        <v>214</v>
      </c>
      <c r="K1145" s="127">
        <v>2</v>
      </c>
      <c r="L1145" s="153" t="s">
        <v>3306</v>
      </c>
      <c r="M1145">
        <v>342</v>
      </c>
      <c r="N1145" s="123">
        <v>1</v>
      </c>
      <c r="O1145">
        <v>779</v>
      </c>
      <c r="P1145" s="132" t="s">
        <v>77</v>
      </c>
      <c r="Q1145" s="132">
        <v>14233.38</v>
      </c>
      <c r="R1145" s="132">
        <v>2277.34</v>
      </c>
      <c r="S1145" s="132"/>
      <c r="T1145" s="156"/>
      <c r="U1145" s="132"/>
      <c r="V1145" s="132">
        <v>16510.72</v>
      </c>
      <c r="W1145">
        <v>25</v>
      </c>
      <c r="X1145" s="153" t="s">
        <v>2024</v>
      </c>
      <c r="Y1145" s="124" t="s">
        <v>55</v>
      </c>
      <c r="Z1145" s="308">
        <v>225</v>
      </c>
      <c r="AB1145" t="str">
        <f>IF(Table1[[#This Row],[TIPO2]]="costo", VLOOKUP(Table1[[#This Row],[PARTIDA PRESUPUESTAL]],'Cost Report'!G:G,1,0),"Balance")</f>
        <v>3683-006</v>
      </c>
      <c r="AC1145" s="118"/>
      <c r="AD1145" s="159">
        <f>+Table1[[#This Row],[SUBTOTAL]]+Table1[[#This Row],[IVA]]-Table1[[#This Row],[RET IVA]]-Table1[[#This Row],[RET ISR]]-Table1[[#This Row],[TOTAL]]</f>
        <v>0</v>
      </c>
      <c r="AE1145" s="152"/>
      <c r="AF1145" s="153"/>
      <c r="AG1145" s="126"/>
      <c r="AH1145" s="115"/>
      <c r="AK1145" s="306" t="str">
        <f>IF(ISNUMBER(Table1[[#This Row],[FECHA DE RECIBIDO]]), Table1[[#This Row],[FECHA DE RECIBIDO]]-DATE(2023,8,30), "")</f>
        <v/>
      </c>
    </row>
    <row r="1146" spans="1:37" ht="16.05" customHeight="1">
      <c r="A1146" s="150"/>
      <c r="B1146" s="151"/>
      <c r="C1146" s="126" t="s">
        <v>1039</v>
      </c>
      <c r="D1146">
        <v>771</v>
      </c>
      <c r="E1146" s="126" t="s">
        <v>2001</v>
      </c>
      <c r="F1146" s="122" t="s">
        <v>1607</v>
      </c>
      <c r="G1146" s="122" t="s">
        <v>134</v>
      </c>
      <c r="H1146">
        <v>23</v>
      </c>
      <c r="I1146" s="122" t="s">
        <v>1546</v>
      </c>
      <c r="J1146" s="307" t="s">
        <v>214</v>
      </c>
      <c r="K1146" s="127">
        <v>2</v>
      </c>
      <c r="L1146" s="151" t="s">
        <v>3306</v>
      </c>
      <c r="M1146">
        <v>342</v>
      </c>
      <c r="N1146" s="123">
        <v>1</v>
      </c>
      <c r="O1146">
        <v>779</v>
      </c>
      <c r="P1146" s="132" t="s">
        <v>77</v>
      </c>
      <c r="Q1146" s="131">
        <v>14233.38</v>
      </c>
      <c r="R1146" s="131">
        <v>2277.34</v>
      </c>
      <c r="S1146" s="131"/>
      <c r="T1146" s="155"/>
      <c r="U1146" s="131"/>
      <c r="V1146" s="131">
        <v>16510.72</v>
      </c>
      <c r="W1146">
        <v>25</v>
      </c>
      <c r="X1146" s="151" t="s">
        <v>2024</v>
      </c>
      <c r="Y1146" s="135" t="s">
        <v>55</v>
      </c>
      <c r="Z1146" s="307">
        <v>225</v>
      </c>
      <c r="AB1146" t="str">
        <f>IF(Table1[[#This Row],[TIPO2]]="costo", VLOOKUP(Table1[[#This Row],[PARTIDA PRESUPUESTAL]],'Cost Report'!G:G,1,0),"Balance")</f>
        <v>3683-012</v>
      </c>
      <c r="AC1146" s="118"/>
      <c r="AD1146" s="159">
        <f>+Table1[[#This Row],[SUBTOTAL]]+Table1[[#This Row],[IVA]]-Table1[[#This Row],[RET IVA]]-Table1[[#This Row],[RET ISR]]-Table1[[#This Row],[TOTAL]]</f>
        <v>0</v>
      </c>
      <c r="AE1146" s="150"/>
      <c r="AF1146" s="151"/>
      <c r="AG1146" s="126"/>
      <c r="AH1146" s="115"/>
      <c r="AK1146" s="306" t="str">
        <f>IF(ISNUMBER(Table1[[#This Row],[FECHA DE RECIBIDO]]), Table1[[#This Row],[FECHA DE RECIBIDO]]-DATE(2023,8,30), "")</f>
        <v/>
      </c>
    </row>
    <row r="1147" spans="1:37" ht="16.05" customHeight="1">
      <c r="A1147" s="152"/>
      <c r="B1147" s="153"/>
      <c r="C1147" s="126" t="s">
        <v>1043</v>
      </c>
      <c r="D1147">
        <v>771</v>
      </c>
      <c r="E1147" s="126" t="s">
        <v>2001</v>
      </c>
      <c r="F1147" s="125" t="s">
        <v>1607</v>
      </c>
      <c r="G1147" s="125" t="s">
        <v>134</v>
      </c>
      <c r="H1147">
        <v>23</v>
      </c>
      <c r="I1147" s="125" t="s">
        <v>1546</v>
      </c>
      <c r="J1147" s="308" t="s">
        <v>214</v>
      </c>
      <c r="K1147" s="127">
        <v>2</v>
      </c>
      <c r="L1147" s="153" t="s">
        <v>3306</v>
      </c>
      <c r="M1147">
        <v>342</v>
      </c>
      <c r="N1147" s="123">
        <v>1</v>
      </c>
      <c r="O1147">
        <v>779</v>
      </c>
      <c r="P1147" s="132" t="s">
        <v>77</v>
      </c>
      <c r="Q1147" s="132">
        <v>21350.07</v>
      </c>
      <c r="R1147" s="132">
        <v>3416.01</v>
      </c>
      <c r="S1147" s="132"/>
      <c r="T1147" s="156"/>
      <c r="U1147" s="132"/>
      <c r="V1147" s="132">
        <v>24766.080000000002</v>
      </c>
      <c r="W1147">
        <v>25</v>
      </c>
      <c r="X1147" s="153" t="s">
        <v>2024</v>
      </c>
      <c r="Y1147" s="124" t="s">
        <v>55</v>
      </c>
      <c r="Z1147" s="308">
        <v>225</v>
      </c>
      <c r="AB1147" t="str">
        <f>IF(Table1[[#This Row],[TIPO2]]="costo", VLOOKUP(Table1[[#This Row],[PARTIDA PRESUPUESTAL]],'Cost Report'!G:G,1,0),"Balance")</f>
        <v>3683-018</v>
      </c>
      <c r="AC1147" s="118"/>
      <c r="AD1147" s="159">
        <f>+Table1[[#This Row],[SUBTOTAL]]+Table1[[#This Row],[IVA]]-Table1[[#This Row],[RET IVA]]-Table1[[#This Row],[RET ISR]]-Table1[[#This Row],[TOTAL]]</f>
        <v>0</v>
      </c>
      <c r="AE1147" s="152"/>
      <c r="AF1147" s="153"/>
      <c r="AG1147" s="126"/>
      <c r="AH1147" s="115"/>
      <c r="AK1147" s="306" t="str">
        <f>IF(ISNUMBER(Table1[[#This Row],[FECHA DE RECIBIDO]]), Table1[[#This Row],[FECHA DE RECIBIDO]]-DATE(2023,8,30), "")</f>
        <v/>
      </c>
    </row>
    <row r="1148" spans="1:37" ht="16.05" customHeight="1">
      <c r="A1148" s="150"/>
      <c r="B1148" s="151"/>
      <c r="C1148" s="126" t="s">
        <v>1047</v>
      </c>
      <c r="D1148">
        <v>771</v>
      </c>
      <c r="E1148" s="126" t="s">
        <v>2001</v>
      </c>
      <c r="F1148" s="122" t="s">
        <v>1607</v>
      </c>
      <c r="G1148" s="122" t="s">
        <v>134</v>
      </c>
      <c r="H1148">
        <v>23</v>
      </c>
      <c r="I1148" s="122" t="s">
        <v>1546</v>
      </c>
      <c r="J1148" s="307" t="s">
        <v>214</v>
      </c>
      <c r="K1148" s="127">
        <v>2</v>
      </c>
      <c r="L1148" s="151" t="s">
        <v>3306</v>
      </c>
      <c r="M1148">
        <v>342</v>
      </c>
      <c r="N1148" s="123">
        <v>1</v>
      </c>
      <c r="O1148">
        <v>779</v>
      </c>
      <c r="P1148" s="132" t="s">
        <v>77</v>
      </c>
      <c r="Q1148" s="131">
        <v>10437.81</v>
      </c>
      <c r="R1148" s="131">
        <v>1670.05</v>
      </c>
      <c r="S1148" s="131"/>
      <c r="T1148" s="155"/>
      <c r="U1148" s="131"/>
      <c r="V1148" s="131">
        <v>12107.859999999999</v>
      </c>
      <c r="W1148">
        <v>25</v>
      </c>
      <c r="X1148" s="151" t="s">
        <v>2024</v>
      </c>
      <c r="Y1148" s="135" t="s">
        <v>55</v>
      </c>
      <c r="Z1148" s="307">
        <v>225</v>
      </c>
      <c r="AB1148" t="str">
        <f>IF(Table1[[#This Row],[TIPO2]]="costo", VLOOKUP(Table1[[#This Row],[PARTIDA PRESUPUESTAL]],'Cost Report'!G:G,1,0),"Balance")</f>
        <v>3683-024</v>
      </c>
      <c r="AC1148" s="118"/>
      <c r="AD1148" s="159">
        <f>+Table1[[#This Row],[SUBTOTAL]]+Table1[[#This Row],[IVA]]-Table1[[#This Row],[RET IVA]]-Table1[[#This Row],[RET ISR]]-Table1[[#This Row],[TOTAL]]</f>
        <v>0</v>
      </c>
      <c r="AE1148" s="150"/>
      <c r="AF1148" s="151"/>
      <c r="AG1148" s="126"/>
      <c r="AH1148" s="115"/>
      <c r="AK1148" s="306" t="str">
        <f>IF(ISNUMBER(Table1[[#This Row],[FECHA DE RECIBIDO]]), Table1[[#This Row],[FECHA DE RECIBIDO]]-DATE(2023,8,30), "")</f>
        <v/>
      </c>
    </row>
    <row r="1149" spans="1:37" ht="16.05" customHeight="1">
      <c r="A1149" s="152"/>
      <c r="B1149" s="153"/>
      <c r="C1149" s="126" t="s">
        <v>1051</v>
      </c>
      <c r="D1149">
        <v>771</v>
      </c>
      <c r="E1149" s="126" t="s">
        <v>2001</v>
      </c>
      <c r="F1149" s="125" t="s">
        <v>1607</v>
      </c>
      <c r="G1149" s="125" t="s">
        <v>134</v>
      </c>
      <c r="H1149">
        <v>23</v>
      </c>
      <c r="I1149" s="125" t="s">
        <v>1546</v>
      </c>
      <c r="J1149" s="308" t="s">
        <v>214</v>
      </c>
      <c r="K1149" s="127">
        <v>2</v>
      </c>
      <c r="L1149" s="153" t="s">
        <v>3306</v>
      </c>
      <c r="M1149">
        <v>342</v>
      </c>
      <c r="N1149" s="123">
        <v>1</v>
      </c>
      <c r="O1149">
        <v>779</v>
      </c>
      <c r="P1149" s="132" t="s">
        <v>77</v>
      </c>
      <c r="Q1149" s="132">
        <v>10248.030000000001</v>
      </c>
      <c r="R1149" s="132">
        <v>1639.69</v>
      </c>
      <c r="S1149" s="132"/>
      <c r="T1149" s="156"/>
      <c r="U1149" s="132"/>
      <c r="V1149" s="132">
        <v>11887.720000000001</v>
      </c>
      <c r="W1149">
        <v>25</v>
      </c>
      <c r="X1149" s="153" t="s">
        <v>2024</v>
      </c>
      <c r="Y1149" s="124" t="s">
        <v>55</v>
      </c>
      <c r="Z1149" s="308">
        <v>225</v>
      </c>
      <c r="AB1149" t="str">
        <f>IF(Table1[[#This Row],[TIPO2]]="costo", VLOOKUP(Table1[[#This Row],[PARTIDA PRESUPUESTAL]],'Cost Report'!G:G,1,0),"Balance")</f>
        <v>3683-030</v>
      </c>
      <c r="AC1149" s="118"/>
      <c r="AD1149" s="159">
        <f>+Table1[[#This Row],[SUBTOTAL]]+Table1[[#This Row],[IVA]]-Table1[[#This Row],[RET IVA]]-Table1[[#This Row],[RET ISR]]-Table1[[#This Row],[TOTAL]]</f>
        <v>0</v>
      </c>
      <c r="AE1149" s="152"/>
      <c r="AF1149" s="153"/>
      <c r="AG1149" s="126"/>
      <c r="AH1149" s="115"/>
      <c r="AK1149" s="306" t="str">
        <f>IF(ISNUMBER(Table1[[#This Row],[FECHA DE RECIBIDO]]), Table1[[#This Row],[FECHA DE RECIBIDO]]-DATE(2023,8,30), "")</f>
        <v/>
      </c>
    </row>
    <row r="1150" spans="1:37" ht="16.05" customHeight="1">
      <c r="A1150" s="150"/>
      <c r="B1150" s="151"/>
      <c r="C1150" s="126" t="s">
        <v>2897</v>
      </c>
      <c r="D1150">
        <v>771</v>
      </c>
      <c r="E1150" s="126" t="s">
        <v>2001</v>
      </c>
      <c r="F1150" s="122" t="s">
        <v>1607</v>
      </c>
      <c r="G1150" s="122" t="s">
        <v>134</v>
      </c>
      <c r="H1150">
        <v>23</v>
      </c>
      <c r="I1150" s="122" t="s">
        <v>1546</v>
      </c>
      <c r="J1150" s="307" t="s">
        <v>214</v>
      </c>
      <c r="K1150" s="127">
        <v>2</v>
      </c>
      <c r="L1150" s="151" t="s">
        <v>3306</v>
      </c>
      <c r="M1150">
        <v>342</v>
      </c>
      <c r="N1150" s="123">
        <v>1</v>
      </c>
      <c r="O1150">
        <v>779</v>
      </c>
      <c r="P1150" s="132" t="s">
        <v>77</v>
      </c>
      <c r="Q1150" s="131">
        <v>5124.0200000000004</v>
      </c>
      <c r="R1150" s="131">
        <v>819.84</v>
      </c>
      <c r="S1150" s="131"/>
      <c r="T1150" s="155"/>
      <c r="U1150" s="131"/>
      <c r="V1150" s="131">
        <v>5943.8600000000006</v>
      </c>
      <c r="W1150">
        <v>25</v>
      </c>
      <c r="X1150" s="151" t="s">
        <v>2024</v>
      </c>
      <c r="Y1150" s="135" t="s">
        <v>55</v>
      </c>
      <c r="Z1150" s="307">
        <v>225</v>
      </c>
      <c r="AB1150" t="str">
        <f>IF(Table1[[#This Row],[TIPO2]]="costo", VLOOKUP(Table1[[#This Row],[PARTIDA PRESUPUESTAL]],'Cost Report'!G:G,1,0),"Balance")</f>
        <v>3683-138</v>
      </c>
      <c r="AC1150" s="118"/>
      <c r="AD1150" s="159">
        <f>+Table1[[#This Row],[SUBTOTAL]]+Table1[[#This Row],[IVA]]-Table1[[#This Row],[RET IVA]]-Table1[[#This Row],[RET ISR]]-Table1[[#This Row],[TOTAL]]</f>
        <v>0</v>
      </c>
      <c r="AE1150" s="150"/>
      <c r="AF1150" s="151"/>
      <c r="AG1150" s="126"/>
      <c r="AH1150" s="115"/>
      <c r="AK1150" s="306" t="str">
        <f>IF(ISNUMBER(Table1[[#This Row],[FECHA DE RECIBIDO]]), Table1[[#This Row],[FECHA DE RECIBIDO]]-DATE(2023,8,30), "")</f>
        <v/>
      </c>
    </row>
    <row r="1151" spans="1:37" ht="16.05" customHeight="1">
      <c r="A1151" s="152"/>
      <c r="B1151" s="153"/>
      <c r="C1151" s="126" t="s">
        <v>1059</v>
      </c>
      <c r="D1151">
        <v>771</v>
      </c>
      <c r="E1151" s="126" t="s">
        <v>2001</v>
      </c>
      <c r="F1151" s="125" t="s">
        <v>1607</v>
      </c>
      <c r="G1151" s="125" t="s">
        <v>134</v>
      </c>
      <c r="H1151">
        <v>23</v>
      </c>
      <c r="I1151" s="125" t="s">
        <v>1546</v>
      </c>
      <c r="J1151" s="308" t="s">
        <v>214</v>
      </c>
      <c r="K1151" s="127">
        <v>2</v>
      </c>
      <c r="L1151" s="153" t="s">
        <v>3306</v>
      </c>
      <c r="M1151">
        <v>342</v>
      </c>
      <c r="N1151" s="123">
        <v>1</v>
      </c>
      <c r="O1151">
        <v>779</v>
      </c>
      <c r="P1151" s="132" t="s">
        <v>77</v>
      </c>
      <c r="Q1151" s="132">
        <v>10248.030000000001</v>
      </c>
      <c r="R1151" s="132">
        <v>1639.69</v>
      </c>
      <c r="S1151" s="132"/>
      <c r="T1151" s="156"/>
      <c r="U1151" s="132"/>
      <c r="V1151" s="132">
        <v>11887.720000000001</v>
      </c>
      <c r="W1151">
        <v>25</v>
      </c>
      <c r="X1151" s="153" t="s">
        <v>2024</v>
      </c>
      <c r="Y1151" s="124" t="s">
        <v>55</v>
      </c>
      <c r="Z1151" s="308">
        <v>225</v>
      </c>
      <c r="AB1151" t="str">
        <f>IF(Table1[[#This Row],[TIPO2]]="costo", VLOOKUP(Table1[[#This Row],[PARTIDA PRESUPUESTAL]],'Cost Report'!G:G,1,0),"Balance")</f>
        <v>3683-042</v>
      </c>
      <c r="AC1151" s="118"/>
      <c r="AD1151" s="159">
        <f>+Table1[[#This Row],[SUBTOTAL]]+Table1[[#This Row],[IVA]]-Table1[[#This Row],[RET IVA]]-Table1[[#This Row],[RET ISR]]-Table1[[#This Row],[TOTAL]]</f>
        <v>0</v>
      </c>
      <c r="AE1151" s="152"/>
      <c r="AF1151" s="153"/>
      <c r="AG1151" s="126"/>
      <c r="AH1151" s="115"/>
      <c r="AK1151" s="306" t="str">
        <f>IF(ISNUMBER(Table1[[#This Row],[FECHA DE RECIBIDO]]), Table1[[#This Row],[FECHA DE RECIBIDO]]-DATE(2023,8,30), "")</f>
        <v/>
      </c>
    </row>
    <row r="1152" spans="1:37" ht="16.05" customHeight="1">
      <c r="A1152" s="150"/>
      <c r="B1152" s="151"/>
      <c r="C1152" s="126" t="s">
        <v>1063</v>
      </c>
      <c r="D1152">
        <v>771</v>
      </c>
      <c r="E1152" s="126" t="s">
        <v>2001</v>
      </c>
      <c r="F1152" s="122" t="s">
        <v>1607</v>
      </c>
      <c r="G1152" s="122" t="s">
        <v>134</v>
      </c>
      <c r="H1152">
        <v>23</v>
      </c>
      <c r="I1152" s="122" t="s">
        <v>1546</v>
      </c>
      <c r="J1152" s="307" t="s">
        <v>214</v>
      </c>
      <c r="K1152" s="127">
        <v>2</v>
      </c>
      <c r="L1152" s="151" t="s">
        <v>3306</v>
      </c>
      <c r="M1152">
        <v>342</v>
      </c>
      <c r="N1152" s="123">
        <v>1</v>
      </c>
      <c r="O1152">
        <v>779</v>
      </c>
      <c r="P1152" s="132" t="s">
        <v>77</v>
      </c>
      <c r="Q1152" s="131">
        <v>10437.81</v>
      </c>
      <c r="R1152" s="131">
        <v>1670.05</v>
      </c>
      <c r="S1152" s="131"/>
      <c r="T1152" s="155"/>
      <c r="U1152" s="131"/>
      <c r="V1152" s="131">
        <v>12107.859999999999</v>
      </c>
      <c r="W1152">
        <v>25</v>
      </c>
      <c r="X1152" s="151" t="s">
        <v>2024</v>
      </c>
      <c r="Y1152" s="135" t="s">
        <v>55</v>
      </c>
      <c r="Z1152" s="307">
        <v>225</v>
      </c>
      <c r="AB1152" t="str">
        <f>IF(Table1[[#This Row],[TIPO2]]="costo", VLOOKUP(Table1[[#This Row],[PARTIDA PRESUPUESTAL]],'Cost Report'!G:G,1,0),"Balance")</f>
        <v>3683-048</v>
      </c>
      <c r="AC1152" s="118"/>
      <c r="AD1152" s="159">
        <f>+Table1[[#This Row],[SUBTOTAL]]+Table1[[#This Row],[IVA]]-Table1[[#This Row],[RET IVA]]-Table1[[#This Row],[RET ISR]]-Table1[[#This Row],[TOTAL]]</f>
        <v>0</v>
      </c>
      <c r="AE1152" s="150"/>
      <c r="AF1152" s="151"/>
      <c r="AG1152" s="126"/>
      <c r="AH1152" s="115"/>
      <c r="AK1152" s="306" t="str">
        <f>IF(ISNUMBER(Table1[[#This Row],[FECHA DE RECIBIDO]]), Table1[[#This Row],[FECHA DE RECIBIDO]]-DATE(2023,8,30), "")</f>
        <v/>
      </c>
    </row>
    <row r="1153" spans="1:37" ht="16.05" customHeight="1">
      <c r="A1153" s="152"/>
      <c r="B1153" s="153"/>
      <c r="C1153" s="126" t="s">
        <v>1067</v>
      </c>
      <c r="D1153">
        <v>771</v>
      </c>
      <c r="E1153" s="126" t="s">
        <v>2001</v>
      </c>
      <c r="F1153" s="125" t="s">
        <v>1607</v>
      </c>
      <c r="G1153" s="125" t="s">
        <v>134</v>
      </c>
      <c r="H1153">
        <v>23</v>
      </c>
      <c r="I1153" s="125" t="s">
        <v>1546</v>
      </c>
      <c r="J1153" s="308" t="s">
        <v>214</v>
      </c>
      <c r="K1153" s="127">
        <v>2</v>
      </c>
      <c r="L1153" s="153" t="s">
        <v>3306</v>
      </c>
      <c r="M1153">
        <v>342</v>
      </c>
      <c r="N1153" s="123">
        <v>1</v>
      </c>
      <c r="O1153">
        <v>779</v>
      </c>
      <c r="P1153" s="132" t="s">
        <v>77</v>
      </c>
      <c r="Q1153" s="132">
        <v>10437.81</v>
      </c>
      <c r="R1153" s="132">
        <v>1670.05</v>
      </c>
      <c r="S1153" s="132"/>
      <c r="T1153" s="156"/>
      <c r="U1153" s="132"/>
      <c r="V1153" s="132">
        <v>12107.859999999999</v>
      </c>
      <c r="W1153">
        <v>25</v>
      </c>
      <c r="X1153" s="153" t="s">
        <v>2024</v>
      </c>
      <c r="Y1153" s="124" t="s">
        <v>55</v>
      </c>
      <c r="Z1153" s="308">
        <v>225</v>
      </c>
      <c r="AB1153" t="str">
        <f>IF(Table1[[#This Row],[TIPO2]]="costo", VLOOKUP(Table1[[#This Row],[PARTIDA PRESUPUESTAL]],'Cost Report'!G:G,1,0),"Balance")</f>
        <v>3683-054</v>
      </c>
      <c r="AC1153" s="118"/>
      <c r="AD1153" s="159">
        <f>+Table1[[#This Row],[SUBTOTAL]]+Table1[[#This Row],[IVA]]-Table1[[#This Row],[RET IVA]]-Table1[[#This Row],[RET ISR]]-Table1[[#This Row],[TOTAL]]</f>
        <v>0</v>
      </c>
      <c r="AE1153" s="152"/>
      <c r="AF1153" s="153"/>
      <c r="AG1153" s="126"/>
      <c r="AH1153" s="115"/>
      <c r="AK1153" s="306" t="str">
        <f>IF(ISNUMBER(Table1[[#This Row],[FECHA DE RECIBIDO]]), Table1[[#This Row],[FECHA DE RECIBIDO]]-DATE(2023,8,30), "")</f>
        <v/>
      </c>
    </row>
    <row r="1154" spans="1:37" ht="16.05" customHeight="1">
      <c r="A1154" s="150"/>
      <c r="B1154" s="151"/>
      <c r="C1154" s="126" t="s">
        <v>1071</v>
      </c>
      <c r="D1154">
        <v>771</v>
      </c>
      <c r="E1154" s="126" t="s">
        <v>2001</v>
      </c>
      <c r="F1154" s="122" t="s">
        <v>1607</v>
      </c>
      <c r="G1154" s="122" t="s">
        <v>134</v>
      </c>
      <c r="H1154">
        <v>23</v>
      </c>
      <c r="I1154" s="122" t="s">
        <v>1546</v>
      </c>
      <c r="J1154" s="307" t="s">
        <v>214</v>
      </c>
      <c r="K1154" s="127">
        <v>2</v>
      </c>
      <c r="L1154" s="151" t="s">
        <v>3306</v>
      </c>
      <c r="M1154">
        <v>342</v>
      </c>
      <c r="N1154" s="123">
        <v>1</v>
      </c>
      <c r="O1154">
        <v>779</v>
      </c>
      <c r="P1154" s="132" t="s">
        <v>77</v>
      </c>
      <c r="Q1154" s="131">
        <v>7116.69</v>
      </c>
      <c r="R1154" s="131">
        <v>1138.67</v>
      </c>
      <c r="S1154" s="131"/>
      <c r="T1154" s="155"/>
      <c r="U1154" s="131"/>
      <c r="V1154" s="131">
        <v>8255.36</v>
      </c>
      <c r="W1154">
        <v>25</v>
      </c>
      <c r="X1154" s="151" t="s">
        <v>2024</v>
      </c>
      <c r="Y1154" s="135" t="s">
        <v>55</v>
      </c>
      <c r="Z1154" s="307">
        <v>225</v>
      </c>
      <c r="AB1154" t="str">
        <f>IF(Table1[[#This Row],[TIPO2]]="costo", VLOOKUP(Table1[[#This Row],[PARTIDA PRESUPUESTAL]],'Cost Report'!G:G,1,0),"Balance")</f>
        <v>3683-060</v>
      </c>
      <c r="AC1154" s="118"/>
      <c r="AD1154" s="159">
        <f>+Table1[[#This Row],[SUBTOTAL]]+Table1[[#This Row],[IVA]]-Table1[[#This Row],[RET IVA]]-Table1[[#This Row],[RET ISR]]-Table1[[#This Row],[TOTAL]]</f>
        <v>0</v>
      </c>
      <c r="AE1154" s="150"/>
      <c r="AF1154" s="151"/>
      <c r="AG1154" s="126"/>
      <c r="AH1154" s="115"/>
      <c r="AK1154" s="306" t="str">
        <f>IF(ISNUMBER(Table1[[#This Row],[FECHA DE RECIBIDO]]), Table1[[#This Row],[FECHA DE RECIBIDO]]-DATE(2023,8,30), "")</f>
        <v/>
      </c>
    </row>
    <row r="1155" spans="1:37" ht="16.05" customHeight="1">
      <c r="A1155" s="152"/>
      <c r="B1155" s="153"/>
      <c r="C1155" s="126" t="s">
        <v>1075</v>
      </c>
      <c r="D1155">
        <v>771</v>
      </c>
      <c r="E1155" s="126" t="s">
        <v>2001</v>
      </c>
      <c r="F1155" s="125" t="s">
        <v>1607</v>
      </c>
      <c r="G1155" s="125" t="s">
        <v>134</v>
      </c>
      <c r="H1155">
        <v>23</v>
      </c>
      <c r="I1155" s="125" t="s">
        <v>1546</v>
      </c>
      <c r="J1155" s="308" t="s">
        <v>214</v>
      </c>
      <c r="K1155" s="127">
        <v>2</v>
      </c>
      <c r="L1155" s="153" t="s">
        <v>3306</v>
      </c>
      <c r="M1155">
        <v>342</v>
      </c>
      <c r="N1155" s="123">
        <v>1</v>
      </c>
      <c r="O1155">
        <v>779</v>
      </c>
      <c r="P1155" s="132" t="s">
        <v>77</v>
      </c>
      <c r="Q1155" s="132">
        <v>7116.69</v>
      </c>
      <c r="R1155" s="132">
        <v>1138.67</v>
      </c>
      <c r="S1155" s="132"/>
      <c r="T1155" s="156"/>
      <c r="U1155" s="132"/>
      <c r="V1155" s="132">
        <v>8255.36</v>
      </c>
      <c r="W1155">
        <v>25</v>
      </c>
      <c r="X1155" s="153" t="s">
        <v>2024</v>
      </c>
      <c r="Y1155" s="124" t="s">
        <v>55</v>
      </c>
      <c r="Z1155" s="308">
        <v>225</v>
      </c>
      <c r="AB1155" t="str">
        <f>IF(Table1[[#This Row],[TIPO2]]="costo", VLOOKUP(Table1[[#This Row],[PARTIDA PRESUPUESTAL]],'Cost Report'!G:G,1,0),"Balance")</f>
        <v>3683-066</v>
      </c>
      <c r="AC1155" s="118"/>
      <c r="AD1155" s="159">
        <f>+Table1[[#This Row],[SUBTOTAL]]+Table1[[#This Row],[IVA]]-Table1[[#This Row],[RET IVA]]-Table1[[#This Row],[RET ISR]]-Table1[[#This Row],[TOTAL]]</f>
        <v>0</v>
      </c>
      <c r="AE1155" s="152"/>
      <c r="AF1155" s="153"/>
      <c r="AG1155" s="126"/>
      <c r="AH1155" s="115"/>
      <c r="AK1155" s="306" t="str">
        <f>IF(ISNUMBER(Table1[[#This Row],[FECHA DE RECIBIDO]]), Table1[[#This Row],[FECHA DE RECIBIDO]]-DATE(2023,8,30), "")</f>
        <v/>
      </c>
    </row>
    <row r="1156" spans="1:37" ht="16.05" customHeight="1">
      <c r="A1156" s="150"/>
      <c r="B1156" s="151"/>
      <c r="C1156" s="126" t="s">
        <v>1079</v>
      </c>
      <c r="D1156">
        <v>771</v>
      </c>
      <c r="E1156" s="126" t="s">
        <v>2001</v>
      </c>
      <c r="F1156" s="122" t="s">
        <v>1607</v>
      </c>
      <c r="G1156" s="122" t="s">
        <v>134</v>
      </c>
      <c r="H1156">
        <v>23</v>
      </c>
      <c r="I1156" s="122" t="s">
        <v>1546</v>
      </c>
      <c r="J1156" s="307" t="s">
        <v>214</v>
      </c>
      <c r="K1156" s="127">
        <v>2</v>
      </c>
      <c r="L1156" s="151" t="s">
        <v>3306</v>
      </c>
      <c r="M1156">
        <v>342</v>
      </c>
      <c r="N1156" s="123">
        <v>1</v>
      </c>
      <c r="O1156">
        <v>779</v>
      </c>
      <c r="P1156" s="132" t="s">
        <v>77</v>
      </c>
      <c r="Q1156" s="131">
        <v>7116.69</v>
      </c>
      <c r="R1156" s="131">
        <v>1138.67</v>
      </c>
      <c r="S1156" s="131"/>
      <c r="T1156" s="155"/>
      <c r="U1156" s="131"/>
      <c r="V1156" s="131">
        <v>8255.36</v>
      </c>
      <c r="W1156">
        <v>25</v>
      </c>
      <c r="X1156" s="151" t="s">
        <v>2024</v>
      </c>
      <c r="Y1156" s="135" t="s">
        <v>55</v>
      </c>
      <c r="Z1156" s="307">
        <v>225</v>
      </c>
      <c r="AB1156" t="str">
        <f>IF(Table1[[#This Row],[TIPO2]]="costo", VLOOKUP(Table1[[#This Row],[PARTIDA PRESUPUESTAL]],'Cost Report'!G:G,1,0),"Balance")</f>
        <v>3683-072</v>
      </c>
      <c r="AC1156" s="118"/>
      <c r="AD1156" s="159">
        <f>+Table1[[#This Row],[SUBTOTAL]]+Table1[[#This Row],[IVA]]-Table1[[#This Row],[RET IVA]]-Table1[[#This Row],[RET ISR]]-Table1[[#This Row],[TOTAL]]</f>
        <v>0</v>
      </c>
      <c r="AE1156" s="150"/>
      <c r="AF1156" s="151"/>
      <c r="AG1156" s="126"/>
      <c r="AH1156" s="115"/>
      <c r="AK1156" s="306" t="str">
        <f>IF(ISNUMBER(Table1[[#This Row],[FECHA DE RECIBIDO]]), Table1[[#This Row],[FECHA DE RECIBIDO]]-DATE(2023,8,30), "")</f>
        <v/>
      </c>
    </row>
    <row r="1157" spans="1:37" ht="16.05" customHeight="1">
      <c r="A1157" s="152"/>
      <c r="B1157" s="153"/>
      <c r="C1157" s="126" t="s">
        <v>1083</v>
      </c>
      <c r="D1157">
        <v>771</v>
      </c>
      <c r="E1157" s="126" t="s">
        <v>2001</v>
      </c>
      <c r="F1157" s="125" t="s">
        <v>1607</v>
      </c>
      <c r="G1157" s="125" t="s">
        <v>134</v>
      </c>
      <c r="H1157">
        <v>23</v>
      </c>
      <c r="I1157" s="125" t="s">
        <v>1546</v>
      </c>
      <c r="J1157" s="308" t="s">
        <v>214</v>
      </c>
      <c r="K1157" s="127">
        <v>2</v>
      </c>
      <c r="L1157" s="153" t="s">
        <v>3306</v>
      </c>
      <c r="M1157">
        <v>342</v>
      </c>
      <c r="N1157" s="123">
        <v>1</v>
      </c>
      <c r="O1157">
        <v>779</v>
      </c>
      <c r="P1157" s="132" t="s">
        <v>77</v>
      </c>
      <c r="Q1157" s="132">
        <v>7116.69</v>
      </c>
      <c r="R1157" s="132">
        <v>1138.67</v>
      </c>
      <c r="S1157" s="132"/>
      <c r="T1157" s="156"/>
      <c r="U1157" s="132"/>
      <c r="V1157" s="132">
        <v>8255.36</v>
      </c>
      <c r="W1157">
        <v>25</v>
      </c>
      <c r="X1157" s="153" t="s">
        <v>2024</v>
      </c>
      <c r="Y1157" s="124" t="s">
        <v>55</v>
      </c>
      <c r="Z1157" s="308">
        <v>225</v>
      </c>
      <c r="AB1157" t="str">
        <f>IF(Table1[[#This Row],[TIPO2]]="costo", VLOOKUP(Table1[[#This Row],[PARTIDA PRESUPUESTAL]],'Cost Report'!G:G,1,0),"Balance")</f>
        <v>3683-078</v>
      </c>
      <c r="AC1157" s="118"/>
      <c r="AD1157" s="159">
        <f>+Table1[[#This Row],[SUBTOTAL]]+Table1[[#This Row],[IVA]]-Table1[[#This Row],[RET IVA]]-Table1[[#This Row],[RET ISR]]-Table1[[#This Row],[TOTAL]]</f>
        <v>0</v>
      </c>
      <c r="AE1157" s="152"/>
      <c r="AF1157" s="153"/>
      <c r="AG1157" s="126"/>
      <c r="AH1157" s="115"/>
      <c r="AK1157" s="306" t="str">
        <f>IF(ISNUMBER(Table1[[#This Row],[FECHA DE RECIBIDO]]), Table1[[#This Row],[FECHA DE RECIBIDO]]-DATE(2023,8,30), "")</f>
        <v/>
      </c>
    </row>
    <row r="1158" spans="1:37" ht="16.05" customHeight="1">
      <c r="A1158" s="150"/>
      <c r="B1158" s="151"/>
      <c r="C1158" s="126" t="s">
        <v>1087</v>
      </c>
      <c r="D1158">
        <v>771</v>
      </c>
      <c r="E1158" s="126" t="s">
        <v>2001</v>
      </c>
      <c r="F1158" s="122" t="s">
        <v>1607</v>
      </c>
      <c r="G1158" s="122" t="s">
        <v>134</v>
      </c>
      <c r="H1158">
        <v>23</v>
      </c>
      <c r="I1158" s="122" t="s">
        <v>1546</v>
      </c>
      <c r="J1158" s="307" t="s">
        <v>214</v>
      </c>
      <c r="K1158" s="127">
        <v>2</v>
      </c>
      <c r="L1158" s="151" t="s">
        <v>3306</v>
      </c>
      <c r="M1158">
        <v>342</v>
      </c>
      <c r="N1158" s="123">
        <v>1</v>
      </c>
      <c r="O1158">
        <v>779</v>
      </c>
      <c r="P1158" s="132" t="s">
        <v>77</v>
      </c>
      <c r="Q1158" s="131">
        <v>10437.81</v>
      </c>
      <c r="R1158" s="131">
        <v>1670.05</v>
      </c>
      <c r="S1158" s="131"/>
      <c r="T1158" s="155"/>
      <c r="U1158" s="131"/>
      <c r="V1158" s="131">
        <v>12107.859999999999</v>
      </c>
      <c r="W1158">
        <v>25</v>
      </c>
      <c r="X1158" s="151" t="s">
        <v>2024</v>
      </c>
      <c r="Y1158" s="135" t="s">
        <v>55</v>
      </c>
      <c r="Z1158" s="307">
        <v>225</v>
      </c>
      <c r="AB1158" t="str">
        <f>IF(Table1[[#This Row],[TIPO2]]="costo", VLOOKUP(Table1[[#This Row],[PARTIDA PRESUPUESTAL]],'Cost Report'!G:G,1,0),"Balance")</f>
        <v>3683-084</v>
      </c>
      <c r="AC1158" s="118"/>
      <c r="AD1158" s="159">
        <f>+Table1[[#This Row],[SUBTOTAL]]+Table1[[#This Row],[IVA]]-Table1[[#This Row],[RET IVA]]-Table1[[#This Row],[RET ISR]]-Table1[[#This Row],[TOTAL]]</f>
        <v>0</v>
      </c>
      <c r="AE1158" s="150"/>
      <c r="AF1158" s="151"/>
      <c r="AG1158" s="126"/>
      <c r="AH1158" s="115"/>
      <c r="AK1158" s="306" t="str">
        <f>IF(ISNUMBER(Table1[[#This Row],[FECHA DE RECIBIDO]]), Table1[[#This Row],[FECHA DE RECIBIDO]]-DATE(2023,8,30), "")</f>
        <v/>
      </c>
    </row>
    <row r="1159" spans="1:37" ht="16.05" customHeight="1">
      <c r="A1159" s="152"/>
      <c r="B1159" s="153"/>
      <c r="C1159" s="126" t="s">
        <v>1091</v>
      </c>
      <c r="D1159">
        <v>771</v>
      </c>
      <c r="E1159" s="126" t="s">
        <v>2001</v>
      </c>
      <c r="F1159" s="125" t="s">
        <v>1607</v>
      </c>
      <c r="G1159" s="125" t="s">
        <v>134</v>
      </c>
      <c r="H1159">
        <v>23</v>
      </c>
      <c r="I1159" s="125" t="s">
        <v>1546</v>
      </c>
      <c r="J1159" s="308" t="s">
        <v>214</v>
      </c>
      <c r="K1159" s="127">
        <v>2</v>
      </c>
      <c r="L1159" s="153" t="s">
        <v>3306</v>
      </c>
      <c r="M1159">
        <v>342</v>
      </c>
      <c r="N1159" s="123">
        <v>1</v>
      </c>
      <c r="O1159">
        <v>779</v>
      </c>
      <c r="P1159" s="132" t="s">
        <v>77</v>
      </c>
      <c r="Q1159" s="132">
        <v>7116.69</v>
      </c>
      <c r="R1159" s="132">
        <v>1138.67</v>
      </c>
      <c r="S1159" s="132"/>
      <c r="T1159" s="156"/>
      <c r="U1159" s="132"/>
      <c r="V1159" s="132">
        <v>8255.36</v>
      </c>
      <c r="W1159">
        <v>25</v>
      </c>
      <c r="X1159" s="153" t="s">
        <v>2024</v>
      </c>
      <c r="Y1159" s="124" t="s">
        <v>55</v>
      </c>
      <c r="Z1159" s="308">
        <v>225</v>
      </c>
      <c r="AB1159" t="str">
        <f>IF(Table1[[#This Row],[TIPO2]]="costo", VLOOKUP(Table1[[#This Row],[PARTIDA PRESUPUESTAL]],'Cost Report'!G:G,1,0),"Balance")</f>
        <v>3683-090</v>
      </c>
      <c r="AC1159" s="118"/>
      <c r="AD1159" s="159">
        <f>+Table1[[#This Row],[SUBTOTAL]]+Table1[[#This Row],[IVA]]-Table1[[#This Row],[RET IVA]]-Table1[[#This Row],[RET ISR]]-Table1[[#This Row],[TOTAL]]</f>
        <v>0</v>
      </c>
      <c r="AE1159" s="152"/>
      <c r="AF1159" s="153"/>
      <c r="AG1159" s="126"/>
      <c r="AH1159" s="115"/>
      <c r="AK1159" s="306" t="str">
        <f>IF(ISNUMBER(Table1[[#This Row],[FECHA DE RECIBIDO]]), Table1[[#This Row],[FECHA DE RECIBIDO]]-DATE(2023,8,30), "")</f>
        <v/>
      </c>
    </row>
    <row r="1160" spans="1:37" ht="16.05" customHeight="1">
      <c r="A1160" s="150"/>
      <c r="B1160" s="151"/>
      <c r="C1160" s="126" t="s">
        <v>1095</v>
      </c>
      <c r="D1160">
        <v>771</v>
      </c>
      <c r="E1160" s="126" t="s">
        <v>2001</v>
      </c>
      <c r="F1160" s="122" t="s">
        <v>1607</v>
      </c>
      <c r="G1160" s="122" t="s">
        <v>134</v>
      </c>
      <c r="H1160">
        <v>23</v>
      </c>
      <c r="I1160" s="122" t="s">
        <v>1546</v>
      </c>
      <c r="J1160" s="307" t="s">
        <v>214</v>
      </c>
      <c r="K1160" s="127">
        <v>2</v>
      </c>
      <c r="L1160" s="151" t="s">
        <v>3306</v>
      </c>
      <c r="M1160">
        <v>342</v>
      </c>
      <c r="N1160" s="123">
        <v>1</v>
      </c>
      <c r="O1160">
        <v>779</v>
      </c>
      <c r="P1160" s="132" t="s">
        <v>77</v>
      </c>
      <c r="Q1160" s="131">
        <v>10437.81</v>
      </c>
      <c r="R1160" s="131">
        <v>1670.05</v>
      </c>
      <c r="S1160" s="131"/>
      <c r="T1160" s="155"/>
      <c r="U1160" s="131"/>
      <c r="V1160" s="131">
        <v>12107.859999999999</v>
      </c>
      <c r="W1160">
        <v>25</v>
      </c>
      <c r="X1160" s="151" t="s">
        <v>2024</v>
      </c>
      <c r="Y1160" s="135" t="s">
        <v>55</v>
      </c>
      <c r="Z1160" s="307">
        <v>225</v>
      </c>
      <c r="AB1160" t="str">
        <f>IF(Table1[[#This Row],[TIPO2]]="costo", VLOOKUP(Table1[[#This Row],[PARTIDA PRESUPUESTAL]],'Cost Report'!G:G,1,0),"Balance")</f>
        <v>3683-096</v>
      </c>
      <c r="AC1160" s="118"/>
      <c r="AD1160" s="159">
        <f>+Table1[[#This Row],[SUBTOTAL]]+Table1[[#This Row],[IVA]]-Table1[[#This Row],[RET IVA]]-Table1[[#This Row],[RET ISR]]-Table1[[#This Row],[TOTAL]]</f>
        <v>0</v>
      </c>
      <c r="AE1160" s="150"/>
      <c r="AF1160" s="151"/>
      <c r="AG1160" s="126"/>
      <c r="AH1160" s="115"/>
      <c r="AK1160" s="306" t="str">
        <f>IF(ISNUMBER(Table1[[#This Row],[FECHA DE RECIBIDO]]), Table1[[#This Row],[FECHA DE RECIBIDO]]-DATE(2023,8,30), "")</f>
        <v/>
      </c>
    </row>
    <row r="1161" spans="1:37" ht="16.05" customHeight="1">
      <c r="A1161" s="152"/>
      <c r="B1161" s="153"/>
      <c r="C1161" s="126" t="s">
        <v>1098</v>
      </c>
      <c r="D1161">
        <v>771</v>
      </c>
      <c r="E1161" s="126" t="s">
        <v>2001</v>
      </c>
      <c r="F1161" s="125" t="s">
        <v>1607</v>
      </c>
      <c r="G1161" s="125" t="s">
        <v>134</v>
      </c>
      <c r="H1161">
        <v>23</v>
      </c>
      <c r="I1161" s="125" t="s">
        <v>1546</v>
      </c>
      <c r="J1161" s="308" t="s">
        <v>214</v>
      </c>
      <c r="K1161" s="127">
        <v>2</v>
      </c>
      <c r="L1161" s="153" t="s">
        <v>3306</v>
      </c>
      <c r="M1161">
        <v>342</v>
      </c>
      <c r="N1161" s="123">
        <v>1</v>
      </c>
      <c r="O1161">
        <v>779</v>
      </c>
      <c r="P1161" s="132" t="s">
        <v>77</v>
      </c>
      <c r="Q1161" s="132">
        <v>10675.04</v>
      </c>
      <c r="R1161" s="132">
        <v>1708.01</v>
      </c>
      <c r="S1161" s="132"/>
      <c r="T1161" s="156"/>
      <c r="U1161" s="132"/>
      <c r="V1161" s="132">
        <v>12383.050000000001</v>
      </c>
      <c r="W1161">
        <v>25</v>
      </c>
      <c r="X1161" s="153" t="s">
        <v>2024</v>
      </c>
      <c r="Y1161" s="124" t="s">
        <v>55</v>
      </c>
      <c r="Z1161" s="308">
        <v>225</v>
      </c>
      <c r="AB1161" t="str">
        <f>IF(Table1[[#This Row],[TIPO2]]="costo", VLOOKUP(Table1[[#This Row],[PARTIDA PRESUPUESTAL]],'Cost Report'!G:G,1,0),"Balance")</f>
        <v>3683-101</v>
      </c>
      <c r="AC1161" s="118"/>
      <c r="AD1161" s="159">
        <f>+Table1[[#This Row],[SUBTOTAL]]+Table1[[#This Row],[IVA]]-Table1[[#This Row],[RET IVA]]-Table1[[#This Row],[RET ISR]]-Table1[[#This Row],[TOTAL]]</f>
        <v>0</v>
      </c>
      <c r="AE1161" s="152"/>
      <c r="AF1161" s="153"/>
      <c r="AG1161" s="126"/>
      <c r="AH1161" s="115"/>
      <c r="AK1161" s="306" t="str">
        <f>IF(ISNUMBER(Table1[[#This Row],[FECHA DE RECIBIDO]]), Table1[[#This Row],[FECHA DE RECIBIDO]]-DATE(2023,8,30), "")</f>
        <v/>
      </c>
    </row>
    <row r="1162" spans="1:37" ht="16.05" customHeight="1">
      <c r="A1162" s="150"/>
      <c r="B1162" s="151"/>
      <c r="C1162" s="126" t="s">
        <v>1100</v>
      </c>
      <c r="D1162">
        <v>771</v>
      </c>
      <c r="E1162" s="126" t="s">
        <v>2001</v>
      </c>
      <c r="F1162" s="122" t="s">
        <v>1607</v>
      </c>
      <c r="G1162" s="122" t="s">
        <v>134</v>
      </c>
      <c r="H1162">
        <v>23</v>
      </c>
      <c r="I1162" s="122" t="s">
        <v>1546</v>
      </c>
      <c r="J1162" s="307" t="s">
        <v>214</v>
      </c>
      <c r="K1162" s="127">
        <v>2</v>
      </c>
      <c r="L1162" s="151" t="s">
        <v>3306</v>
      </c>
      <c r="M1162">
        <v>342</v>
      </c>
      <c r="N1162" s="123">
        <v>1</v>
      </c>
      <c r="O1162">
        <v>779</v>
      </c>
      <c r="P1162" s="132" t="s">
        <v>77</v>
      </c>
      <c r="Q1162" s="131">
        <v>13284.49</v>
      </c>
      <c r="R1162" s="131">
        <v>2125.52</v>
      </c>
      <c r="S1162" s="131"/>
      <c r="T1162" s="155"/>
      <c r="U1162" s="131"/>
      <c r="V1162" s="131">
        <v>15410.01</v>
      </c>
      <c r="W1162">
        <v>25</v>
      </c>
      <c r="X1162" s="151" t="s">
        <v>2024</v>
      </c>
      <c r="Y1162" s="135" t="s">
        <v>55</v>
      </c>
      <c r="Z1162" s="307">
        <v>225</v>
      </c>
      <c r="AB1162" t="str">
        <f>IF(Table1[[#This Row],[TIPO2]]="costo", VLOOKUP(Table1[[#This Row],[PARTIDA PRESUPUESTAL]],'Cost Report'!G:G,1,0),"Balance")</f>
        <v>3683-105</v>
      </c>
      <c r="AC1162" s="118"/>
      <c r="AD1162" s="159">
        <f>+Table1[[#This Row],[SUBTOTAL]]+Table1[[#This Row],[IVA]]-Table1[[#This Row],[RET IVA]]-Table1[[#This Row],[RET ISR]]-Table1[[#This Row],[TOTAL]]</f>
        <v>0</v>
      </c>
      <c r="AE1162" s="150"/>
      <c r="AF1162" s="151"/>
      <c r="AG1162" s="126"/>
      <c r="AH1162" s="115"/>
      <c r="AK1162" s="306" t="str">
        <f>IF(ISNUMBER(Table1[[#This Row],[FECHA DE RECIBIDO]]), Table1[[#This Row],[FECHA DE RECIBIDO]]-DATE(2023,8,30), "")</f>
        <v/>
      </c>
    </row>
    <row r="1163" spans="1:37" ht="16.05" customHeight="1">
      <c r="A1163" s="152"/>
      <c r="B1163" s="153"/>
      <c r="C1163" s="126" t="s">
        <v>2880</v>
      </c>
      <c r="D1163">
        <v>771</v>
      </c>
      <c r="E1163" s="126" t="s">
        <v>2001</v>
      </c>
      <c r="F1163" s="125" t="s">
        <v>1607</v>
      </c>
      <c r="G1163" s="125" t="s">
        <v>134</v>
      </c>
      <c r="H1163">
        <v>23</v>
      </c>
      <c r="I1163" s="125" t="s">
        <v>1546</v>
      </c>
      <c r="J1163" s="308" t="s">
        <v>214</v>
      </c>
      <c r="K1163" s="127">
        <v>2</v>
      </c>
      <c r="L1163" s="153" t="s">
        <v>3306</v>
      </c>
      <c r="M1163">
        <v>342</v>
      </c>
      <c r="N1163" s="123">
        <v>1</v>
      </c>
      <c r="O1163">
        <v>779</v>
      </c>
      <c r="P1163" s="132" t="s">
        <v>77</v>
      </c>
      <c r="Q1163" s="132">
        <v>26568.98</v>
      </c>
      <c r="R1163" s="132">
        <v>4251.04</v>
      </c>
      <c r="S1163" s="132"/>
      <c r="T1163" s="156"/>
      <c r="U1163" s="132"/>
      <c r="V1163" s="132">
        <v>30820.02</v>
      </c>
      <c r="W1163">
        <v>25</v>
      </c>
      <c r="X1163" s="153" t="s">
        <v>2024</v>
      </c>
      <c r="Y1163" s="124" t="s">
        <v>55</v>
      </c>
      <c r="Z1163" s="308">
        <v>225</v>
      </c>
      <c r="AB1163" t="str">
        <f>IF(Table1[[#This Row],[TIPO2]]="costo", VLOOKUP(Table1[[#This Row],[PARTIDA PRESUPUESTAL]],'Cost Report'!G:G,1,0),"Balance")</f>
        <v>3683-109</v>
      </c>
      <c r="AC1163" s="118"/>
      <c r="AD1163" s="159">
        <f>+Table1[[#This Row],[SUBTOTAL]]+Table1[[#This Row],[IVA]]-Table1[[#This Row],[RET IVA]]-Table1[[#This Row],[RET ISR]]-Table1[[#This Row],[TOTAL]]</f>
        <v>0</v>
      </c>
      <c r="AE1163" s="152"/>
      <c r="AF1163" s="153"/>
      <c r="AG1163" s="126"/>
      <c r="AH1163" s="115"/>
      <c r="AK1163" s="306" t="str">
        <f>IF(ISNUMBER(Table1[[#This Row],[FECHA DE RECIBIDO]]), Table1[[#This Row],[FECHA DE RECIBIDO]]-DATE(2023,8,30), "")</f>
        <v/>
      </c>
    </row>
    <row r="1164" spans="1:37" ht="16.05" customHeight="1">
      <c r="A1164" s="150"/>
      <c r="B1164" s="151"/>
      <c r="C1164" s="126" t="s">
        <v>2909</v>
      </c>
      <c r="D1164">
        <v>771</v>
      </c>
      <c r="E1164" s="126" t="s">
        <v>2001</v>
      </c>
      <c r="F1164" s="122" t="s">
        <v>1607</v>
      </c>
      <c r="G1164" s="122" t="s">
        <v>134</v>
      </c>
      <c r="H1164">
        <v>23</v>
      </c>
      <c r="I1164" s="122" t="s">
        <v>1546</v>
      </c>
      <c r="J1164" s="307" t="s">
        <v>214</v>
      </c>
      <c r="K1164" s="127">
        <v>2</v>
      </c>
      <c r="L1164" s="151" t="s">
        <v>3306</v>
      </c>
      <c r="M1164">
        <v>342</v>
      </c>
      <c r="N1164" s="123">
        <v>1</v>
      </c>
      <c r="O1164">
        <v>779</v>
      </c>
      <c r="P1164" s="132" t="s">
        <v>77</v>
      </c>
      <c r="Q1164" s="131">
        <v>13284.49</v>
      </c>
      <c r="R1164" s="131">
        <v>2125.52</v>
      </c>
      <c r="S1164" s="131"/>
      <c r="T1164" s="155"/>
      <c r="U1164" s="131"/>
      <c r="V1164" s="131">
        <v>15410.01</v>
      </c>
      <c r="W1164">
        <v>25</v>
      </c>
      <c r="X1164" s="151" t="s">
        <v>2024</v>
      </c>
      <c r="Y1164" s="135" t="s">
        <v>55</v>
      </c>
      <c r="Z1164" s="307">
        <v>225</v>
      </c>
      <c r="AB1164" t="str">
        <f>IF(Table1[[#This Row],[TIPO2]]="costo", VLOOKUP(Table1[[#This Row],[PARTIDA PRESUPUESTAL]],'Cost Report'!G:G,1,0),"Balance")</f>
        <v>3683-158</v>
      </c>
      <c r="AC1164" s="118"/>
      <c r="AD1164" s="159">
        <f>+Table1[[#This Row],[SUBTOTAL]]+Table1[[#This Row],[IVA]]-Table1[[#This Row],[RET IVA]]-Table1[[#This Row],[RET ISR]]-Table1[[#This Row],[TOTAL]]</f>
        <v>0</v>
      </c>
      <c r="AE1164" s="150"/>
      <c r="AF1164" s="151"/>
      <c r="AG1164" s="126"/>
      <c r="AH1164" s="115"/>
      <c r="AK1164" s="306" t="str">
        <f>IF(ISNUMBER(Table1[[#This Row],[FECHA DE RECIBIDO]]), Table1[[#This Row],[FECHA DE RECIBIDO]]-DATE(2023,8,30), "")</f>
        <v/>
      </c>
    </row>
    <row r="1165" spans="1:37" ht="16.05" customHeight="1">
      <c r="A1165" s="152"/>
      <c r="B1165" s="153"/>
      <c r="C1165" s="126" t="s">
        <v>2909</v>
      </c>
      <c r="D1165">
        <v>771</v>
      </c>
      <c r="E1165" s="126" t="s">
        <v>2001</v>
      </c>
      <c r="F1165" s="125" t="s">
        <v>1607</v>
      </c>
      <c r="G1165" s="125" t="s">
        <v>134</v>
      </c>
      <c r="H1165">
        <v>23</v>
      </c>
      <c r="I1165" s="125" t="s">
        <v>1546</v>
      </c>
      <c r="J1165" s="308" t="s">
        <v>214</v>
      </c>
      <c r="K1165" s="127">
        <v>2</v>
      </c>
      <c r="L1165" s="153" t="s">
        <v>3306</v>
      </c>
      <c r="M1165">
        <v>342</v>
      </c>
      <c r="N1165" s="123">
        <v>1</v>
      </c>
      <c r="O1165">
        <v>779</v>
      </c>
      <c r="P1165" s="132" t="s">
        <v>77</v>
      </c>
      <c r="Q1165" s="132">
        <v>13284.49</v>
      </c>
      <c r="R1165" s="132">
        <v>2125.52</v>
      </c>
      <c r="S1165" s="132"/>
      <c r="T1165" s="156"/>
      <c r="U1165" s="132"/>
      <c r="V1165" s="132">
        <v>15410.01</v>
      </c>
      <c r="W1165">
        <v>25</v>
      </c>
      <c r="X1165" s="153" t="s">
        <v>2024</v>
      </c>
      <c r="Y1165" s="124" t="s">
        <v>55</v>
      </c>
      <c r="Z1165" s="308">
        <v>225</v>
      </c>
      <c r="AB1165" t="str">
        <f>IF(Table1[[#This Row],[TIPO2]]="costo", VLOOKUP(Table1[[#This Row],[PARTIDA PRESUPUESTAL]],'Cost Report'!G:G,1,0),"Balance")</f>
        <v>3683-158</v>
      </c>
      <c r="AC1165" s="118"/>
      <c r="AD1165" s="159">
        <f>+Table1[[#This Row],[SUBTOTAL]]+Table1[[#This Row],[IVA]]-Table1[[#This Row],[RET IVA]]-Table1[[#This Row],[RET ISR]]-Table1[[#This Row],[TOTAL]]</f>
        <v>0</v>
      </c>
      <c r="AE1165" s="152"/>
      <c r="AF1165" s="153"/>
      <c r="AG1165" s="126"/>
      <c r="AH1165" s="115"/>
      <c r="AK1165" s="306" t="str">
        <f>IF(ISNUMBER(Table1[[#This Row],[FECHA DE RECIBIDO]]), Table1[[#This Row],[FECHA DE RECIBIDO]]-DATE(2023,8,30), "")</f>
        <v/>
      </c>
    </row>
    <row r="1166" spans="1:37" ht="16.05" customHeight="1">
      <c r="A1166" s="150"/>
      <c r="B1166" s="151"/>
      <c r="C1166" s="126" t="s">
        <v>2916</v>
      </c>
      <c r="D1166">
        <v>771</v>
      </c>
      <c r="E1166" s="126" t="s">
        <v>2001</v>
      </c>
      <c r="F1166" s="122" t="s">
        <v>1607</v>
      </c>
      <c r="G1166" s="122" t="s">
        <v>134</v>
      </c>
      <c r="H1166">
        <v>23</v>
      </c>
      <c r="I1166" s="122" t="s">
        <v>1546</v>
      </c>
      <c r="J1166" s="307" t="s">
        <v>214</v>
      </c>
      <c r="K1166" s="127">
        <v>2</v>
      </c>
      <c r="L1166" s="151" t="s">
        <v>3306</v>
      </c>
      <c r="M1166">
        <v>342</v>
      </c>
      <c r="N1166" s="123">
        <v>1</v>
      </c>
      <c r="O1166">
        <v>779</v>
      </c>
      <c r="P1166" s="132" t="s">
        <v>77</v>
      </c>
      <c r="Q1166" s="131">
        <v>4320.8500000000004</v>
      </c>
      <c r="R1166" s="131">
        <v>691.34</v>
      </c>
      <c r="S1166" s="131"/>
      <c r="T1166" s="155"/>
      <c r="U1166" s="131"/>
      <c r="V1166" s="131">
        <v>5012.1900000000005</v>
      </c>
      <c r="W1166">
        <v>25</v>
      </c>
      <c r="X1166" s="151" t="s">
        <v>2024</v>
      </c>
      <c r="Y1166" s="135" t="s">
        <v>55</v>
      </c>
      <c r="Z1166" s="307">
        <v>225</v>
      </c>
      <c r="AB1166" t="str">
        <f>IF(Table1[[#This Row],[TIPO2]]="costo", VLOOKUP(Table1[[#This Row],[PARTIDA PRESUPUESTAL]],'Cost Report'!G:G,1,0),"Balance")</f>
        <v>3683-171</v>
      </c>
      <c r="AC1166" s="118"/>
      <c r="AD1166" s="159">
        <f>+Table1[[#This Row],[SUBTOTAL]]+Table1[[#This Row],[IVA]]-Table1[[#This Row],[RET IVA]]-Table1[[#This Row],[RET ISR]]-Table1[[#This Row],[TOTAL]]</f>
        <v>0</v>
      </c>
      <c r="AE1166" s="150"/>
      <c r="AF1166" s="151"/>
      <c r="AG1166" s="126"/>
      <c r="AH1166" s="115"/>
      <c r="AK1166" s="306" t="str">
        <f>IF(ISNUMBER(Table1[[#This Row],[FECHA DE RECIBIDO]]), Table1[[#This Row],[FECHA DE RECIBIDO]]-DATE(2023,8,30), "")</f>
        <v/>
      </c>
    </row>
    <row r="1167" spans="1:37" ht="16.05" customHeight="1">
      <c r="A1167" s="152"/>
      <c r="B1167" s="153"/>
      <c r="C1167" s="126" t="s">
        <v>2907</v>
      </c>
      <c r="D1167">
        <v>771</v>
      </c>
      <c r="E1167" s="126" t="s">
        <v>2001</v>
      </c>
      <c r="F1167" s="125" t="s">
        <v>1607</v>
      </c>
      <c r="G1167" s="125" t="s">
        <v>134</v>
      </c>
      <c r="H1167">
        <v>23</v>
      </c>
      <c r="I1167" s="125" t="s">
        <v>1546</v>
      </c>
      <c r="J1167" s="308" t="s">
        <v>214</v>
      </c>
      <c r="K1167" s="127">
        <v>2</v>
      </c>
      <c r="L1167" s="153" t="s">
        <v>3306</v>
      </c>
      <c r="M1167">
        <v>342</v>
      </c>
      <c r="N1167" s="123">
        <v>1</v>
      </c>
      <c r="O1167">
        <v>779</v>
      </c>
      <c r="P1167" s="132" t="s">
        <v>77</v>
      </c>
      <c r="Q1167" s="132">
        <v>2372.23</v>
      </c>
      <c r="R1167" s="132">
        <v>379.56</v>
      </c>
      <c r="S1167" s="132"/>
      <c r="T1167" s="156"/>
      <c r="U1167" s="132"/>
      <c r="V1167" s="132">
        <v>2751.79</v>
      </c>
      <c r="W1167">
        <v>25</v>
      </c>
      <c r="X1167" s="153" t="s">
        <v>2024</v>
      </c>
      <c r="Y1167" s="124" t="s">
        <v>55</v>
      </c>
      <c r="Z1167" s="308">
        <v>225</v>
      </c>
      <c r="AB1167" t="str">
        <f>IF(Table1[[#This Row],[TIPO2]]="costo", VLOOKUP(Table1[[#This Row],[PARTIDA PRESUPUESTAL]],'Cost Report'!G:G,1,0),"Balance")</f>
        <v>3683-154</v>
      </c>
      <c r="AC1167" s="118"/>
      <c r="AD1167" s="159">
        <f>+Table1[[#This Row],[SUBTOTAL]]+Table1[[#This Row],[IVA]]-Table1[[#This Row],[RET IVA]]-Table1[[#This Row],[RET ISR]]-Table1[[#This Row],[TOTAL]]</f>
        <v>0</v>
      </c>
      <c r="AE1167" s="152"/>
      <c r="AF1167" s="153"/>
      <c r="AG1167" s="126"/>
      <c r="AH1167" s="115"/>
      <c r="AK1167" s="306" t="str">
        <f>IF(ISNUMBER(Table1[[#This Row],[FECHA DE RECIBIDO]]), Table1[[#This Row],[FECHA DE RECIBIDO]]-DATE(2023,8,30), "")</f>
        <v/>
      </c>
    </row>
    <row r="1168" spans="1:37" ht="16.05" customHeight="1">
      <c r="A1168" s="150" t="s">
        <v>3437</v>
      </c>
      <c r="B1168" s="151">
        <v>519</v>
      </c>
      <c r="C1168" s="126" t="s">
        <v>2836</v>
      </c>
      <c r="D1168">
        <v>772</v>
      </c>
      <c r="E1168" s="126" t="s">
        <v>2001</v>
      </c>
      <c r="F1168" s="122" t="s">
        <v>1607</v>
      </c>
      <c r="G1168" s="122" t="s">
        <v>134</v>
      </c>
      <c r="H1168">
        <v>23</v>
      </c>
      <c r="I1168" s="122" t="s">
        <v>1546</v>
      </c>
      <c r="J1168" s="307" t="s">
        <v>214</v>
      </c>
      <c r="K1168" s="127">
        <v>2</v>
      </c>
      <c r="L1168" s="151" t="s">
        <v>3306</v>
      </c>
      <c r="M1168">
        <v>342</v>
      </c>
      <c r="N1168" s="123">
        <v>1</v>
      </c>
      <c r="O1168">
        <v>780</v>
      </c>
      <c r="P1168" s="132" t="s">
        <v>77</v>
      </c>
      <c r="Q1168" s="131">
        <v>5030.82</v>
      </c>
      <c r="R1168" s="131">
        <v>804.93</v>
      </c>
      <c r="S1168" s="131"/>
      <c r="T1168" s="155"/>
      <c r="U1168" s="131"/>
      <c r="V1168" s="131">
        <v>5835.75</v>
      </c>
      <c r="W1168">
        <v>25</v>
      </c>
      <c r="X1168" s="151" t="s">
        <v>2024</v>
      </c>
      <c r="Y1168" s="135" t="s">
        <v>55</v>
      </c>
      <c r="Z1168" s="307">
        <v>225</v>
      </c>
      <c r="AB1168" t="str">
        <f>IF(Table1[[#This Row],[TIPO2]]="costo", VLOOKUP(Table1[[#This Row],[PARTIDA PRESUPUESTAL]],'Cost Report'!G:G,1,0),"Balance")</f>
        <v>3442-025</v>
      </c>
      <c r="AC1168" s="118"/>
      <c r="AD1168" s="159">
        <f>+Table1[[#This Row],[SUBTOTAL]]+Table1[[#This Row],[IVA]]-Table1[[#This Row],[RET IVA]]-Table1[[#This Row],[RET ISR]]-Table1[[#This Row],[TOTAL]]</f>
        <v>0</v>
      </c>
      <c r="AE1168" s="150"/>
      <c r="AF1168" s="151"/>
      <c r="AG1168" s="126"/>
      <c r="AH1168" s="115"/>
      <c r="AK1168" s="306" t="str">
        <f>IF(ISNUMBER(Table1[[#This Row],[FECHA DE RECIBIDO]]), Table1[[#This Row],[FECHA DE RECIBIDO]]-DATE(2023,8,30), "")</f>
        <v/>
      </c>
    </row>
    <row r="1169" spans="1:37" ht="16.05" customHeight="1">
      <c r="A1169" s="152"/>
      <c r="B1169" s="153"/>
      <c r="C1169" s="126" t="s">
        <v>2836</v>
      </c>
      <c r="D1169">
        <v>772</v>
      </c>
      <c r="E1169" s="126" t="s">
        <v>2001</v>
      </c>
      <c r="F1169" s="125" t="s">
        <v>1607</v>
      </c>
      <c r="G1169" s="125" t="s">
        <v>134</v>
      </c>
      <c r="H1169">
        <v>23</v>
      </c>
      <c r="I1169" s="125" t="s">
        <v>1546</v>
      </c>
      <c r="J1169" s="308" t="s">
        <v>214</v>
      </c>
      <c r="K1169" s="127">
        <v>2</v>
      </c>
      <c r="L1169" s="153" t="s">
        <v>3306</v>
      </c>
      <c r="M1169">
        <v>342</v>
      </c>
      <c r="N1169" s="123">
        <v>1</v>
      </c>
      <c r="O1169">
        <v>780</v>
      </c>
      <c r="P1169" s="132" t="s">
        <v>77</v>
      </c>
      <c r="Q1169" s="132">
        <v>169.04</v>
      </c>
      <c r="R1169" s="132">
        <v>27.04</v>
      </c>
      <c r="S1169" s="132"/>
      <c r="T1169" s="156"/>
      <c r="U1169" s="132"/>
      <c r="V1169" s="132">
        <v>196.07999999999998</v>
      </c>
      <c r="W1169">
        <v>25</v>
      </c>
      <c r="X1169" s="153" t="s">
        <v>2024</v>
      </c>
      <c r="Y1169" s="124" t="s">
        <v>55</v>
      </c>
      <c r="Z1169" s="308">
        <v>225</v>
      </c>
      <c r="AB1169" t="str">
        <f>IF(Table1[[#This Row],[TIPO2]]="costo", VLOOKUP(Table1[[#This Row],[PARTIDA PRESUPUESTAL]],'Cost Report'!G:G,1,0),"Balance")</f>
        <v>3442-025</v>
      </c>
      <c r="AC1169" s="118"/>
      <c r="AD1169" s="159">
        <f>+Table1[[#This Row],[SUBTOTAL]]+Table1[[#This Row],[IVA]]-Table1[[#This Row],[RET IVA]]-Table1[[#This Row],[RET ISR]]-Table1[[#This Row],[TOTAL]]</f>
        <v>0</v>
      </c>
      <c r="AE1169" s="152"/>
      <c r="AF1169" s="153"/>
      <c r="AG1169" s="126"/>
      <c r="AH1169" s="115"/>
      <c r="AK1169" s="306" t="str">
        <f>IF(ISNUMBER(Table1[[#This Row],[FECHA DE RECIBIDO]]), Table1[[#This Row],[FECHA DE RECIBIDO]]-DATE(2023,8,30), "")</f>
        <v/>
      </c>
    </row>
    <row r="1170" spans="1:37" ht="16.05" customHeight="1">
      <c r="A1170" s="150"/>
      <c r="B1170" s="151"/>
      <c r="C1170" s="126" t="s">
        <v>2836</v>
      </c>
      <c r="D1170">
        <v>772</v>
      </c>
      <c r="E1170" s="126" t="s">
        <v>2001</v>
      </c>
      <c r="F1170" s="122" t="s">
        <v>1607</v>
      </c>
      <c r="G1170" s="122" t="s">
        <v>134</v>
      </c>
      <c r="H1170">
        <v>23</v>
      </c>
      <c r="I1170" s="122" t="s">
        <v>1546</v>
      </c>
      <c r="J1170" s="307" t="s">
        <v>214</v>
      </c>
      <c r="K1170" s="127">
        <v>2</v>
      </c>
      <c r="L1170" s="151" t="s">
        <v>3306</v>
      </c>
      <c r="M1170">
        <v>342</v>
      </c>
      <c r="N1170" s="123">
        <v>1</v>
      </c>
      <c r="O1170">
        <v>780</v>
      </c>
      <c r="P1170" s="132" t="s">
        <v>77</v>
      </c>
      <c r="Q1170" s="131">
        <v>169.04</v>
      </c>
      <c r="R1170" s="131">
        <v>27.04</v>
      </c>
      <c r="S1170" s="131"/>
      <c r="T1170" s="155"/>
      <c r="U1170" s="131"/>
      <c r="V1170" s="131">
        <v>196.07999999999998</v>
      </c>
      <c r="W1170">
        <v>25</v>
      </c>
      <c r="X1170" s="151" t="s">
        <v>2024</v>
      </c>
      <c r="Y1170" s="135" t="s">
        <v>55</v>
      </c>
      <c r="Z1170" s="307">
        <v>225</v>
      </c>
      <c r="AB1170" t="str">
        <f>IF(Table1[[#This Row],[TIPO2]]="costo", VLOOKUP(Table1[[#This Row],[PARTIDA PRESUPUESTAL]],'Cost Report'!G:G,1,0),"Balance")</f>
        <v>3442-025</v>
      </c>
      <c r="AC1170" s="118"/>
      <c r="AD1170" s="159">
        <f>+Table1[[#This Row],[SUBTOTAL]]+Table1[[#This Row],[IVA]]-Table1[[#This Row],[RET IVA]]-Table1[[#This Row],[RET ISR]]-Table1[[#This Row],[TOTAL]]</f>
        <v>0</v>
      </c>
      <c r="AE1170" s="150"/>
      <c r="AF1170" s="151"/>
      <c r="AG1170" s="126"/>
      <c r="AH1170" s="115"/>
      <c r="AK1170" s="306" t="str">
        <f>IF(ISNUMBER(Table1[[#This Row],[FECHA DE RECIBIDO]]), Table1[[#This Row],[FECHA DE RECIBIDO]]-DATE(2023,8,30), "")</f>
        <v/>
      </c>
    </row>
    <row r="1171" spans="1:37" ht="16.05" customHeight="1">
      <c r="A1171" s="152"/>
      <c r="B1171" s="153"/>
      <c r="C1171" s="126" t="s">
        <v>2836</v>
      </c>
      <c r="D1171">
        <v>772</v>
      </c>
      <c r="E1171" s="126" t="s">
        <v>2001</v>
      </c>
      <c r="F1171" s="125" t="s">
        <v>1607</v>
      </c>
      <c r="G1171" s="125" t="s">
        <v>134</v>
      </c>
      <c r="H1171">
        <v>23</v>
      </c>
      <c r="I1171" s="125" t="s">
        <v>1546</v>
      </c>
      <c r="J1171" s="308" t="s">
        <v>214</v>
      </c>
      <c r="K1171" s="127">
        <v>2</v>
      </c>
      <c r="L1171" s="153" t="s">
        <v>3306</v>
      </c>
      <c r="M1171">
        <v>342</v>
      </c>
      <c r="N1171" s="123">
        <v>1</v>
      </c>
      <c r="O1171">
        <v>780</v>
      </c>
      <c r="P1171" s="132" t="s">
        <v>77</v>
      </c>
      <c r="Q1171" s="132">
        <v>338.07</v>
      </c>
      <c r="R1171" s="132">
        <v>54.09</v>
      </c>
      <c r="S1171" s="132"/>
      <c r="T1171" s="156"/>
      <c r="U1171" s="132"/>
      <c r="V1171" s="132">
        <v>392.15999999999997</v>
      </c>
      <c r="W1171">
        <v>25</v>
      </c>
      <c r="X1171" s="153" t="s">
        <v>2024</v>
      </c>
      <c r="Y1171" s="124" t="s">
        <v>55</v>
      </c>
      <c r="Z1171" s="308">
        <v>225</v>
      </c>
      <c r="AB1171" t="str">
        <f>IF(Table1[[#This Row],[TIPO2]]="costo", VLOOKUP(Table1[[#This Row],[PARTIDA PRESUPUESTAL]],'Cost Report'!G:G,1,0),"Balance")</f>
        <v>3442-025</v>
      </c>
      <c r="AC1171" s="118"/>
      <c r="AD1171" s="159">
        <f>+Table1[[#This Row],[SUBTOTAL]]+Table1[[#This Row],[IVA]]-Table1[[#This Row],[RET IVA]]-Table1[[#This Row],[RET ISR]]-Table1[[#This Row],[TOTAL]]</f>
        <v>0</v>
      </c>
      <c r="AE1171" s="152"/>
      <c r="AF1171" s="153"/>
      <c r="AG1171" s="126"/>
      <c r="AH1171" s="115"/>
      <c r="AK1171" s="306" t="str">
        <f>IF(ISNUMBER(Table1[[#This Row],[FECHA DE RECIBIDO]]), Table1[[#This Row],[FECHA DE RECIBIDO]]-DATE(2023,8,30), "")</f>
        <v/>
      </c>
    </row>
    <row r="1172" spans="1:37" ht="16.05" customHeight="1">
      <c r="A1172" s="150"/>
      <c r="B1172" s="151"/>
      <c r="C1172" s="126" t="s">
        <v>2836</v>
      </c>
      <c r="D1172">
        <v>772</v>
      </c>
      <c r="E1172" s="126" t="s">
        <v>2001</v>
      </c>
      <c r="F1172" s="122" t="s">
        <v>1607</v>
      </c>
      <c r="G1172" s="122" t="s">
        <v>134</v>
      </c>
      <c r="H1172">
        <v>23</v>
      </c>
      <c r="I1172" s="122" t="s">
        <v>1546</v>
      </c>
      <c r="J1172" s="307" t="s">
        <v>214</v>
      </c>
      <c r="K1172" s="127">
        <v>2</v>
      </c>
      <c r="L1172" s="151" t="s">
        <v>3306</v>
      </c>
      <c r="M1172">
        <v>342</v>
      </c>
      <c r="N1172" s="123">
        <v>1</v>
      </c>
      <c r="O1172">
        <v>780</v>
      </c>
      <c r="P1172" s="132" t="s">
        <v>77</v>
      </c>
      <c r="Q1172" s="131">
        <v>8258.6</v>
      </c>
      <c r="R1172" s="131">
        <v>1321.38</v>
      </c>
      <c r="S1172" s="131"/>
      <c r="T1172" s="155"/>
      <c r="U1172" s="131"/>
      <c r="V1172" s="131">
        <v>9579.98</v>
      </c>
      <c r="W1172">
        <v>25</v>
      </c>
      <c r="X1172" s="151" t="s">
        <v>2024</v>
      </c>
      <c r="Y1172" s="135" t="s">
        <v>55</v>
      </c>
      <c r="Z1172" s="307">
        <v>225</v>
      </c>
      <c r="AB1172" t="str">
        <f>IF(Table1[[#This Row],[TIPO2]]="costo", VLOOKUP(Table1[[#This Row],[PARTIDA PRESUPUESTAL]],'Cost Report'!G:G,1,0),"Balance")</f>
        <v>3442-025</v>
      </c>
      <c r="AC1172" s="118"/>
      <c r="AD1172" s="159">
        <f>+Table1[[#This Row],[SUBTOTAL]]+Table1[[#This Row],[IVA]]-Table1[[#This Row],[RET IVA]]-Table1[[#This Row],[RET ISR]]-Table1[[#This Row],[TOTAL]]</f>
        <v>0</v>
      </c>
      <c r="AE1172" s="150"/>
      <c r="AF1172" s="151"/>
      <c r="AG1172" s="126"/>
      <c r="AH1172" s="115"/>
      <c r="AK1172" s="306" t="str">
        <f>IF(ISNUMBER(Table1[[#This Row],[FECHA DE RECIBIDO]]), Table1[[#This Row],[FECHA DE RECIBIDO]]-DATE(2023,8,30), "")</f>
        <v/>
      </c>
    </row>
    <row r="1173" spans="1:37" ht="16.05" customHeight="1">
      <c r="A1173" s="152"/>
      <c r="B1173" s="153"/>
      <c r="C1173" s="126" t="s">
        <v>2838</v>
      </c>
      <c r="D1173">
        <v>772</v>
      </c>
      <c r="E1173" s="126" t="s">
        <v>2001</v>
      </c>
      <c r="F1173" s="125" t="s">
        <v>1607</v>
      </c>
      <c r="G1173" s="125" t="s">
        <v>134</v>
      </c>
      <c r="H1173">
        <v>23</v>
      </c>
      <c r="I1173" s="125" t="s">
        <v>1546</v>
      </c>
      <c r="J1173" s="308" t="s">
        <v>214</v>
      </c>
      <c r="K1173" s="127">
        <v>2</v>
      </c>
      <c r="L1173" s="153" t="s">
        <v>3306</v>
      </c>
      <c r="M1173">
        <v>342</v>
      </c>
      <c r="N1173" s="123">
        <v>1</v>
      </c>
      <c r="O1173">
        <v>780</v>
      </c>
      <c r="P1173" s="132" t="s">
        <v>77</v>
      </c>
      <c r="Q1173" s="132">
        <v>1117.71</v>
      </c>
      <c r="R1173" s="132">
        <v>178.83</v>
      </c>
      <c r="S1173" s="132"/>
      <c r="T1173" s="156"/>
      <c r="U1173" s="132"/>
      <c r="V1173" s="132">
        <v>1296.54</v>
      </c>
      <c r="W1173">
        <v>25</v>
      </c>
      <c r="X1173" s="153" t="s">
        <v>2024</v>
      </c>
      <c r="Y1173" s="124" t="s">
        <v>55</v>
      </c>
      <c r="Z1173" s="308">
        <v>225</v>
      </c>
      <c r="AB1173" t="str">
        <f>IF(Table1[[#This Row],[TIPO2]]="costo", VLOOKUP(Table1[[#This Row],[PARTIDA PRESUPUESTAL]],'Cost Report'!G:G,1,0),"Balance")</f>
        <v>3442-029</v>
      </c>
      <c r="AC1173" s="118"/>
      <c r="AD1173" s="159">
        <f>+Table1[[#This Row],[SUBTOTAL]]+Table1[[#This Row],[IVA]]-Table1[[#This Row],[RET IVA]]-Table1[[#This Row],[RET ISR]]-Table1[[#This Row],[TOTAL]]</f>
        <v>0</v>
      </c>
      <c r="AE1173" s="152"/>
      <c r="AF1173" s="153"/>
      <c r="AG1173" s="126"/>
      <c r="AH1173" s="115"/>
      <c r="AK1173" s="306" t="str">
        <f>IF(ISNUMBER(Table1[[#This Row],[FECHA DE RECIBIDO]]), Table1[[#This Row],[FECHA DE RECIBIDO]]-DATE(2023,8,30), "")</f>
        <v/>
      </c>
    </row>
    <row r="1174" spans="1:37" ht="16.05" customHeight="1">
      <c r="A1174" s="150"/>
      <c r="B1174" s="151"/>
      <c r="C1174" s="126" t="s">
        <v>2836</v>
      </c>
      <c r="D1174">
        <v>772</v>
      </c>
      <c r="E1174" s="126" t="s">
        <v>2001</v>
      </c>
      <c r="F1174" s="122" t="s">
        <v>1607</v>
      </c>
      <c r="G1174" s="122" t="s">
        <v>134</v>
      </c>
      <c r="H1174">
        <v>23</v>
      </c>
      <c r="I1174" s="122" t="s">
        <v>1546</v>
      </c>
      <c r="J1174" s="307" t="s">
        <v>214</v>
      </c>
      <c r="K1174" s="127">
        <v>2</v>
      </c>
      <c r="L1174" s="151" t="s">
        <v>3306</v>
      </c>
      <c r="M1174">
        <v>342</v>
      </c>
      <c r="N1174" s="123">
        <v>1</v>
      </c>
      <c r="O1174">
        <v>780</v>
      </c>
      <c r="P1174" s="132" t="s">
        <v>77</v>
      </c>
      <c r="Q1174" s="131">
        <v>3259.97</v>
      </c>
      <c r="R1174" s="131">
        <v>521.6</v>
      </c>
      <c r="S1174" s="131"/>
      <c r="T1174" s="155"/>
      <c r="U1174" s="131"/>
      <c r="V1174" s="131">
        <v>3781.5699999999997</v>
      </c>
      <c r="W1174">
        <v>25</v>
      </c>
      <c r="X1174" s="151" t="s">
        <v>2024</v>
      </c>
      <c r="Y1174" s="135" t="s">
        <v>55</v>
      </c>
      <c r="Z1174" s="307">
        <v>225</v>
      </c>
      <c r="AB1174" t="str">
        <f>IF(Table1[[#This Row],[TIPO2]]="costo", VLOOKUP(Table1[[#This Row],[PARTIDA PRESUPUESTAL]],'Cost Report'!G:G,1,0),"Balance")</f>
        <v>3442-025</v>
      </c>
      <c r="AC1174" s="118"/>
      <c r="AD1174" s="159">
        <f>+Table1[[#This Row],[SUBTOTAL]]+Table1[[#This Row],[IVA]]-Table1[[#This Row],[RET IVA]]-Table1[[#This Row],[RET ISR]]-Table1[[#This Row],[TOTAL]]</f>
        <v>0</v>
      </c>
      <c r="AE1174" s="150"/>
      <c r="AF1174" s="151"/>
      <c r="AG1174" s="126"/>
      <c r="AH1174" s="115"/>
      <c r="AK1174" s="306" t="str">
        <f>IF(ISNUMBER(Table1[[#This Row],[FECHA DE RECIBIDO]]), Table1[[#This Row],[FECHA DE RECIBIDO]]-DATE(2023,8,30), "")</f>
        <v/>
      </c>
    </row>
    <row r="1175" spans="1:37" ht="16.05" customHeight="1">
      <c r="A1175" s="152"/>
      <c r="B1175" s="153"/>
      <c r="C1175" s="126" t="s">
        <v>2838</v>
      </c>
      <c r="D1175">
        <v>772</v>
      </c>
      <c r="E1175" s="126" t="s">
        <v>2001</v>
      </c>
      <c r="F1175" s="125" t="s">
        <v>1607</v>
      </c>
      <c r="G1175" s="125" t="s">
        <v>134</v>
      </c>
      <c r="H1175">
        <v>23</v>
      </c>
      <c r="I1175" s="125" t="s">
        <v>1546</v>
      </c>
      <c r="J1175" s="308" t="s">
        <v>214</v>
      </c>
      <c r="K1175" s="127">
        <v>2</v>
      </c>
      <c r="L1175" s="153" t="s">
        <v>3306</v>
      </c>
      <c r="M1175">
        <v>342</v>
      </c>
      <c r="N1175" s="123">
        <v>1</v>
      </c>
      <c r="O1175">
        <v>780</v>
      </c>
      <c r="P1175" s="132" t="s">
        <v>77</v>
      </c>
      <c r="Q1175" s="132">
        <v>496.76</v>
      </c>
      <c r="R1175" s="132">
        <v>79.48</v>
      </c>
      <c r="S1175" s="132"/>
      <c r="T1175" s="156"/>
      <c r="U1175" s="132"/>
      <c r="V1175" s="132">
        <v>576.24</v>
      </c>
      <c r="W1175">
        <v>25</v>
      </c>
      <c r="X1175" s="153" t="s">
        <v>2024</v>
      </c>
      <c r="Y1175" s="124" t="s">
        <v>55</v>
      </c>
      <c r="Z1175" s="308">
        <v>225</v>
      </c>
      <c r="AB1175" t="str">
        <f>IF(Table1[[#This Row],[TIPO2]]="costo", VLOOKUP(Table1[[#This Row],[PARTIDA PRESUPUESTAL]],'Cost Report'!G:G,1,0),"Balance")</f>
        <v>3442-029</v>
      </c>
      <c r="AC1175" s="118"/>
      <c r="AD1175" s="159">
        <f>+Table1[[#This Row],[SUBTOTAL]]+Table1[[#This Row],[IVA]]-Table1[[#This Row],[RET IVA]]-Table1[[#This Row],[RET ISR]]-Table1[[#This Row],[TOTAL]]</f>
        <v>0</v>
      </c>
      <c r="AE1175" s="152"/>
      <c r="AF1175" s="153"/>
      <c r="AG1175" s="126"/>
      <c r="AH1175" s="115"/>
      <c r="AK1175" s="306" t="str">
        <f>IF(ISNUMBER(Table1[[#This Row],[FECHA DE RECIBIDO]]), Table1[[#This Row],[FECHA DE RECIBIDO]]-DATE(2023,8,30), "")</f>
        <v/>
      </c>
    </row>
    <row r="1176" spans="1:37" ht="16.05" customHeight="1">
      <c r="A1176" s="150" t="s">
        <v>3438</v>
      </c>
      <c r="B1176" s="151">
        <v>520</v>
      </c>
      <c r="C1176" s="126" t="s">
        <v>2864</v>
      </c>
      <c r="D1176">
        <v>773</v>
      </c>
      <c r="E1176" s="126" t="s">
        <v>2001</v>
      </c>
      <c r="F1176" s="122" t="s">
        <v>1607</v>
      </c>
      <c r="G1176" s="122" t="s">
        <v>134</v>
      </c>
      <c r="H1176">
        <v>23</v>
      </c>
      <c r="I1176" s="122" t="s">
        <v>1546</v>
      </c>
      <c r="J1176" s="307" t="s">
        <v>214</v>
      </c>
      <c r="K1176" s="127">
        <v>2</v>
      </c>
      <c r="L1176" s="151" t="s">
        <v>3306</v>
      </c>
      <c r="M1176">
        <v>342</v>
      </c>
      <c r="N1176" s="123">
        <v>1</v>
      </c>
      <c r="O1176">
        <v>781</v>
      </c>
      <c r="P1176" s="132" t="s">
        <v>77</v>
      </c>
      <c r="Q1176" s="131">
        <v>32251</v>
      </c>
      <c r="R1176" s="131">
        <v>5160.16</v>
      </c>
      <c r="S1176" s="131"/>
      <c r="T1176" s="155"/>
      <c r="U1176" s="131"/>
      <c r="V1176" s="131">
        <v>37411.160000000003</v>
      </c>
      <c r="W1176">
        <v>25</v>
      </c>
      <c r="X1176" s="151" t="s">
        <v>2024</v>
      </c>
      <c r="Y1176" s="135" t="s">
        <v>55</v>
      </c>
      <c r="Z1176" s="307">
        <v>225</v>
      </c>
      <c r="AB1176" t="str">
        <f>IF(Table1[[#This Row],[TIPO2]]="costo", VLOOKUP(Table1[[#This Row],[PARTIDA PRESUPUESTAL]],'Cost Report'!G:G,1,0),"Balance")</f>
        <v>3632-003</v>
      </c>
      <c r="AC1176" s="118"/>
      <c r="AD1176" s="159">
        <f>+Table1[[#This Row],[SUBTOTAL]]+Table1[[#This Row],[IVA]]-Table1[[#This Row],[RET IVA]]-Table1[[#This Row],[RET ISR]]-Table1[[#This Row],[TOTAL]]</f>
        <v>0</v>
      </c>
      <c r="AE1176" s="150"/>
      <c r="AF1176" s="151"/>
      <c r="AG1176" s="126"/>
      <c r="AH1176" s="115"/>
      <c r="AK1176" s="306" t="str">
        <f>IF(ISNUMBER(Table1[[#This Row],[FECHA DE RECIBIDO]]), Table1[[#This Row],[FECHA DE RECIBIDO]]-DATE(2023,8,30), "")</f>
        <v/>
      </c>
    </row>
    <row r="1177" spans="1:37" ht="16.05" customHeight="1">
      <c r="A1177" s="152" t="s">
        <v>3439</v>
      </c>
      <c r="B1177" s="153">
        <v>521</v>
      </c>
      <c r="C1177" s="126" t="s">
        <v>1035</v>
      </c>
      <c r="D1177">
        <v>774</v>
      </c>
      <c r="E1177" s="126" t="s">
        <v>2001</v>
      </c>
      <c r="F1177" s="125" t="s">
        <v>1607</v>
      </c>
      <c r="G1177" s="125" t="s">
        <v>134</v>
      </c>
      <c r="H1177">
        <v>23</v>
      </c>
      <c r="I1177" s="125" t="s">
        <v>1546</v>
      </c>
      <c r="J1177" s="308" t="s">
        <v>214</v>
      </c>
      <c r="K1177" s="127">
        <v>2</v>
      </c>
      <c r="L1177" s="153" t="s">
        <v>3306</v>
      </c>
      <c r="M1177">
        <v>342</v>
      </c>
      <c r="N1177" s="123">
        <v>1</v>
      </c>
      <c r="O1177">
        <v>782</v>
      </c>
      <c r="P1177" s="132" t="s">
        <v>77</v>
      </c>
      <c r="Q1177" s="132">
        <v>3958.84</v>
      </c>
      <c r="R1177" s="132">
        <v>633.41</v>
      </c>
      <c r="S1177" s="132"/>
      <c r="T1177" s="156"/>
      <c r="U1177" s="132"/>
      <c r="V1177" s="132">
        <v>4592.25</v>
      </c>
      <c r="W1177">
        <v>25</v>
      </c>
      <c r="X1177" s="153" t="s">
        <v>2024</v>
      </c>
      <c r="Y1177" s="124" t="s">
        <v>55</v>
      </c>
      <c r="Z1177" s="308">
        <v>225</v>
      </c>
      <c r="AB1177" t="str">
        <f>IF(Table1[[#This Row],[TIPO2]]="costo", VLOOKUP(Table1[[#This Row],[PARTIDA PRESUPUESTAL]],'Cost Report'!G:G,1,0),"Balance")</f>
        <v>3683-006</v>
      </c>
      <c r="AC1177" s="118"/>
      <c r="AD1177" s="159">
        <f>+Table1[[#This Row],[SUBTOTAL]]+Table1[[#This Row],[IVA]]-Table1[[#This Row],[RET IVA]]-Table1[[#This Row],[RET ISR]]-Table1[[#This Row],[TOTAL]]</f>
        <v>0</v>
      </c>
      <c r="AE1177" s="152"/>
      <c r="AF1177" s="153"/>
      <c r="AG1177" s="126"/>
      <c r="AH1177" s="115"/>
      <c r="AK1177" s="306" t="str">
        <f>IF(ISNUMBER(Table1[[#This Row],[FECHA DE RECIBIDO]]), Table1[[#This Row],[FECHA DE RECIBIDO]]-DATE(2023,8,30), "")</f>
        <v/>
      </c>
    </row>
    <row r="1178" spans="1:37" ht="16.05" customHeight="1">
      <c r="A1178" s="150"/>
      <c r="B1178" s="151"/>
      <c r="C1178" s="126" t="s">
        <v>1039</v>
      </c>
      <c r="D1178">
        <v>774</v>
      </c>
      <c r="E1178" s="126" t="s">
        <v>2001</v>
      </c>
      <c r="F1178" s="122" t="s">
        <v>1607</v>
      </c>
      <c r="G1178" s="122" t="s">
        <v>134</v>
      </c>
      <c r="H1178">
        <v>23</v>
      </c>
      <c r="I1178" s="122" t="s">
        <v>1546</v>
      </c>
      <c r="J1178" s="307" t="s">
        <v>214</v>
      </c>
      <c r="K1178" s="127">
        <v>2</v>
      </c>
      <c r="L1178" s="151" t="s">
        <v>3306</v>
      </c>
      <c r="M1178">
        <v>342</v>
      </c>
      <c r="N1178" s="123">
        <v>1</v>
      </c>
      <c r="O1178">
        <v>782</v>
      </c>
      <c r="P1178" s="132" t="s">
        <v>77</v>
      </c>
      <c r="Q1178" s="131">
        <v>3958.84</v>
      </c>
      <c r="R1178" s="131">
        <v>633.41</v>
      </c>
      <c r="S1178" s="131"/>
      <c r="T1178" s="155"/>
      <c r="U1178" s="131"/>
      <c r="V1178" s="131">
        <v>4592.25</v>
      </c>
      <c r="W1178">
        <v>25</v>
      </c>
      <c r="X1178" s="151" t="s">
        <v>2024</v>
      </c>
      <c r="Y1178" s="135" t="s">
        <v>55</v>
      </c>
      <c r="Z1178" s="307">
        <v>225</v>
      </c>
      <c r="AB1178" t="str">
        <f>IF(Table1[[#This Row],[TIPO2]]="costo", VLOOKUP(Table1[[#This Row],[PARTIDA PRESUPUESTAL]],'Cost Report'!G:G,1,0),"Balance")</f>
        <v>3683-012</v>
      </c>
      <c r="AC1178" s="118"/>
      <c r="AD1178" s="159">
        <f>+Table1[[#This Row],[SUBTOTAL]]+Table1[[#This Row],[IVA]]-Table1[[#This Row],[RET IVA]]-Table1[[#This Row],[RET ISR]]-Table1[[#This Row],[TOTAL]]</f>
        <v>0</v>
      </c>
      <c r="AE1178" s="150"/>
      <c r="AF1178" s="151"/>
      <c r="AG1178" s="126"/>
      <c r="AH1178" s="115"/>
      <c r="AK1178" s="306" t="str">
        <f>IF(ISNUMBER(Table1[[#This Row],[FECHA DE RECIBIDO]]), Table1[[#This Row],[FECHA DE RECIBIDO]]-DATE(2023,8,30), "")</f>
        <v/>
      </c>
    </row>
    <row r="1179" spans="1:37" ht="16.05" customHeight="1">
      <c r="A1179" s="152"/>
      <c r="B1179" s="153"/>
      <c r="C1179" s="126" t="s">
        <v>1043</v>
      </c>
      <c r="D1179">
        <v>774</v>
      </c>
      <c r="E1179" s="126" t="s">
        <v>2001</v>
      </c>
      <c r="F1179" s="125" t="s">
        <v>1607</v>
      </c>
      <c r="G1179" s="125" t="s">
        <v>134</v>
      </c>
      <c r="H1179">
        <v>23</v>
      </c>
      <c r="I1179" s="125" t="s">
        <v>1546</v>
      </c>
      <c r="J1179" s="308" t="s">
        <v>214</v>
      </c>
      <c r="K1179" s="127">
        <v>2</v>
      </c>
      <c r="L1179" s="153" t="s">
        <v>3306</v>
      </c>
      <c r="M1179">
        <v>342</v>
      </c>
      <c r="N1179" s="123">
        <v>1</v>
      </c>
      <c r="O1179">
        <v>782</v>
      </c>
      <c r="P1179" s="132" t="s">
        <v>77</v>
      </c>
      <c r="Q1179" s="132">
        <v>5938.26</v>
      </c>
      <c r="R1179" s="132">
        <v>950.12</v>
      </c>
      <c r="S1179" s="132"/>
      <c r="T1179" s="156"/>
      <c r="U1179" s="132"/>
      <c r="V1179" s="132">
        <v>6888.38</v>
      </c>
      <c r="W1179">
        <v>25</v>
      </c>
      <c r="X1179" s="153" t="s">
        <v>2024</v>
      </c>
      <c r="Y1179" s="124" t="s">
        <v>55</v>
      </c>
      <c r="Z1179" s="308">
        <v>225</v>
      </c>
      <c r="AB1179" t="str">
        <f>IF(Table1[[#This Row],[TIPO2]]="costo", VLOOKUP(Table1[[#This Row],[PARTIDA PRESUPUESTAL]],'Cost Report'!G:G,1,0),"Balance")</f>
        <v>3683-018</v>
      </c>
      <c r="AC1179" s="118"/>
      <c r="AD1179" s="159">
        <f>+Table1[[#This Row],[SUBTOTAL]]+Table1[[#This Row],[IVA]]-Table1[[#This Row],[RET IVA]]-Table1[[#This Row],[RET ISR]]-Table1[[#This Row],[TOTAL]]</f>
        <v>0</v>
      </c>
      <c r="AE1179" s="152"/>
      <c r="AF1179" s="153"/>
      <c r="AG1179" s="126"/>
      <c r="AH1179" s="115"/>
      <c r="AK1179" s="306" t="str">
        <f>IF(ISNUMBER(Table1[[#This Row],[FECHA DE RECIBIDO]]), Table1[[#This Row],[FECHA DE RECIBIDO]]-DATE(2023,8,30), "")</f>
        <v/>
      </c>
    </row>
    <row r="1180" spans="1:37" ht="16.05" customHeight="1">
      <c r="A1180" s="150"/>
      <c r="B1180" s="151"/>
      <c r="C1180" s="126" t="s">
        <v>1047</v>
      </c>
      <c r="D1180">
        <v>774</v>
      </c>
      <c r="E1180" s="126" t="s">
        <v>2001</v>
      </c>
      <c r="F1180" s="122" t="s">
        <v>1607</v>
      </c>
      <c r="G1180" s="122" t="s">
        <v>134</v>
      </c>
      <c r="H1180">
        <v>23</v>
      </c>
      <c r="I1180" s="122" t="s">
        <v>1546</v>
      </c>
      <c r="J1180" s="307" t="s">
        <v>214</v>
      </c>
      <c r="K1180" s="127">
        <v>2</v>
      </c>
      <c r="L1180" s="151" t="s">
        <v>3306</v>
      </c>
      <c r="M1180">
        <v>342</v>
      </c>
      <c r="N1180" s="123">
        <v>1</v>
      </c>
      <c r="O1180">
        <v>782</v>
      </c>
      <c r="P1180" s="132" t="s">
        <v>77</v>
      </c>
      <c r="Q1180" s="131">
        <v>2903.15</v>
      </c>
      <c r="R1180" s="131">
        <v>464.5</v>
      </c>
      <c r="S1180" s="131"/>
      <c r="T1180" s="155"/>
      <c r="U1180" s="131"/>
      <c r="V1180" s="131">
        <v>3367.65</v>
      </c>
      <c r="W1180">
        <v>25</v>
      </c>
      <c r="X1180" s="151" t="s">
        <v>2024</v>
      </c>
      <c r="Y1180" s="135" t="s">
        <v>55</v>
      </c>
      <c r="Z1180" s="307">
        <v>225</v>
      </c>
      <c r="AB1180" t="str">
        <f>IF(Table1[[#This Row],[TIPO2]]="costo", VLOOKUP(Table1[[#This Row],[PARTIDA PRESUPUESTAL]],'Cost Report'!G:G,1,0),"Balance")</f>
        <v>3683-024</v>
      </c>
      <c r="AC1180" s="118"/>
      <c r="AD1180" s="159">
        <f>+Table1[[#This Row],[SUBTOTAL]]+Table1[[#This Row],[IVA]]-Table1[[#This Row],[RET IVA]]-Table1[[#This Row],[RET ISR]]-Table1[[#This Row],[TOTAL]]</f>
        <v>0</v>
      </c>
      <c r="AE1180" s="150"/>
      <c r="AF1180" s="151"/>
      <c r="AG1180" s="126"/>
      <c r="AH1180" s="115"/>
      <c r="AK1180" s="306" t="str">
        <f>IF(ISNUMBER(Table1[[#This Row],[FECHA DE RECIBIDO]]), Table1[[#This Row],[FECHA DE RECIBIDO]]-DATE(2023,8,30), "")</f>
        <v/>
      </c>
    </row>
    <row r="1181" spans="1:37" ht="16.05" customHeight="1">
      <c r="A1181" s="152"/>
      <c r="B1181" s="153"/>
      <c r="C1181" s="126" t="s">
        <v>1051</v>
      </c>
      <c r="D1181">
        <v>774</v>
      </c>
      <c r="E1181" s="126" t="s">
        <v>2001</v>
      </c>
      <c r="F1181" s="125" t="s">
        <v>1607</v>
      </c>
      <c r="G1181" s="125" t="s">
        <v>134</v>
      </c>
      <c r="H1181">
        <v>23</v>
      </c>
      <c r="I1181" s="125" t="s">
        <v>1546</v>
      </c>
      <c r="J1181" s="308" t="s">
        <v>214</v>
      </c>
      <c r="K1181" s="127">
        <v>2</v>
      </c>
      <c r="L1181" s="153" t="s">
        <v>3306</v>
      </c>
      <c r="M1181">
        <v>342</v>
      </c>
      <c r="N1181" s="123">
        <v>1</v>
      </c>
      <c r="O1181">
        <v>782</v>
      </c>
      <c r="P1181" s="132" t="s">
        <v>77</v>
      </c>
      <c r="Q1181" s="132">
        <v>2850.36</v>
      </c>
      <c r="R1181" s="132">
        <v>456.06</v>
      </c>
      <c r="S1181" s="132"/>
      <c r="T1181" s="156"/>
      <c r="U1181" s="132"/>
      <c r="V1181" s="132">
        <v>3306.42</v>
      </c>
      <c r="W1181">
        <v>25</v>
      </c>
      <c r="X1181" s="153" t="s">
        <v>2024</v>
      </c>
      <c r="Y1181" s="124" t="s">
        <v>55</v>
      </c>
      <c r="Z1181" s="308">
        <v>225</v>
      </c>
      <c r="AB1181" t="str">
        <f>IF(Table1[[#This Row],[TIPO2]]="costo", VLOOKUP(Table1[[#This Row],[PARTIDA PRESUPUESTAL]],'Cost Report'!G:G,1,0),"Balance")</f>
        <v>3683-030</v>
      </c>
      <c r="AC1181" s="118"/>
      <c r="AD1181" s="159">
        <f>+Table1[[#This Row],[SUBTOTAL]]+Table1[[#This Row],[IVA]]-Table1[[#This Row],[RET IVA]]-Table1[[#This Row],[RET ISR]]-Table1[[#This Row],[TOTAL]]</f>
        <v>0</v>
      </c>
      <c r="AE1181" s="152"/>
      <c r="AF1181" s="153"/>
      <c r="AG1181" s="126"/>
      <c r="AH1181" s="115"/>
      <c r="AK1181" s="306" t="str">
        <f>IF(ISNUMBER(Table1[[#This Row],[FECHA DE RECIBIDO]]), Table1[[#This Row],[FECHA DE RECIBIDO]]-DATE(2023,8,30), "")</f>
        <v/>
      </c>
    </row>
    <row r="1182" spans="1:37" ht="16.05" customHeight="1">
      <c r="A1182" s="150"/>
      <c r="B1182" s="151"/>
      <c r="C1182" s="126" t="s">
        <v>2897</v>
      </c>
      <c r="D1182">
        <v>774</v>
      </c>
      <c r="E1182" s="126" t="s">
        <v>2001</v>
      </c>
      <c r="F1182" s="122" t="s">
        <v>1607</v>
      </c>
      <c r="G1182" s="122" t="s">
        <v>134</v>
      </c>
      <c r="H1182">
        <v>23</v>
      </c>
      <c r="I1182" s="122" t="s">
        <v>1546</v>
      </c>
      <c r="J1182" s="307" t="s">
        <v>214</v>
      </c>
      <c r="K1182" s="127">
        <v>2</v>
      </c>
      <c r="L1182" s="151" t="s">
        <v>3306</v>
      </c>
      <c r="M1182">
        <v>342</v>
      </c>
      <c r="N1182" s="123">
        <v>1</v>
      </c>
      <c r="O1182">
        <v>782</v>
      </c>
      <c r="P1182" s="132" t="s">
        <v>77</v>
      </c>
      <c r="Q1182" s="131">
        <v>1425.18</v>
      </c>
      <c r="R1182" s="131">
        <v>228.03</v>
      </c>
      <c r="S1182" s="131"/>
      <c r="T1182" s="155"/>
      <c r="U1182" s="131"/>
      <c r="V1182" s="131">
        <v>1653.21</v>
      </c>
      <c r="W1182">
        <v>25</v>
      </c>
      <c r="X1182" s="151" t="s">
        <v>2024</v>
      </c>
      <c r="Y1182" s="135" t="s">
        <v>55</v>
      </c>
      <c r="Z1182" s="307">
        <v>225</v>
      </c>
      <c r="AB1182" t="str">
        <f>IF(Table1[[#This Row],[TIPO2]]="costo", VLOOKUP(Table1[[#This Row],[PARTIDA PRESUPUESTAL]],'Cost Report'!G:G,1,0),"Balance")</f>
        <v>3683-138</v>
      </c>
      <c r="AC1182" s="118"/>
      <c r="AD1182" s="159">
        <f>+Table1[[#This Row],[SUBTOTAL]]+Table1[[#This Row],[IVA]]-Table1[[#This Row],[RET IVA]]-Table1[[#This Row],[RET ISR]]-Table1[[#This Row],[TOTAL]]</f>
        <v>0</v>
      </c>
      <c r="AE1182" s="150"/>
      <c r="AF1182" s="151"/>
      <c r="AG1182" s="126"/>
      <c r="AH1182" s="115"/>
      <c r="AK1182" s="306" t="str">
        <f>IF(ISNUMBER(Table1[[#This Row],[FECHA DE RECIBIDO]]), Table1[[#This Row],[FECHA DE RECIBIDO]]-DATE(2023,8,30), "")</f>
        <v/>
      </c>
    </row>
    <row r="1183" spans="1:37" ht="16.05" customHeight="1">
      <c r="A1183" s="152"/>
      <c r="B1183" s="153"/>
      <c r="C1183" s="126" t="s">
        <v>1059</v>
      </c>
      <c r="D1183">
        <v>774</v>
      </c>
      <c r="E1183" s="126" t="s">
        <v>2001</v>
      </c>
      <c r="F1183" s="125" t="s">
        <v>1607</v>
      </c>
      <c r="G1183" s="125" t="s">
        <v>134</v>
      </c>
      <c r="H1183">
        <v>23</v>
      </c>
      <c r="I1183" s="125" t="s">
        <v>1546</v>
      </c>
      <c r="J1183" s="308" t="s">
        <v>214</v>
      </c>
      <c r="K1183" s="127">
        <v>2</v>
      </c>
      <c r="L1183" s="153" t="s">
        <v>3306</v>
      </c>
      <c r="M1183">
        <v>342</v>
      </c>
      <c r="N1183" s="123">
        <v>1</v>
      </c>
      <c r="O1183">
        <v>782</v>
      </c>
      <c r="P1183" s="132" t="s">
        <v>77</v>
      </c>
      <c r="Q1183" s="132">
        <v>2850.36</v>
      </c>
      <c r="R1183" s="132">
        <v>456.06</v>
      </c>
      <c r="S1183" s="132"/>
      <c r="T1183" s="156"/>
      <c r="U1183" s="132"/>
      <c r="V1183" s="132">
        <v>3306.42</v>
      </c>
      <c r="W1183">
        <v>25</v>
      </c>
      <c r="X1183" s="153" t="s">
        <v>2024</v>
      </c>
      <c r="Y1183" s="124" t="s">
        <v>55</v>
      </c>
      <c r="Z1183" s="308">
        <v>225</v>
      </c>
      <c r="AB1183" t="str">
        <f>IF(Table1[[#This Row],[TIPO2]]="costo", VLOOKUP(Table1[[#This Row],[PARTIDA PRESUPUESTAL]],'Cost Report'!G:G,1,0),"Balance")</f>
        <v>3683-042</v>
      </c>
      <c r="AC1183" s="118"/>
      <c r="AD1183" s="159">
        <f>+Table1[[#This Row],[SUBTOTAL]]+Table1[[#This Row],[IVA]]-Table1[[#This Row],[RET IVA]]-Table1[[#This Row],[RET ISR]]-Table1[[#This Row],[TOTAL]]</f>
        <v>0</v>
      </c>
      <c r="AE1183" s="152"/>
      <c r="AF1183" s="153"/>
      <c r="AG1183" s="126"/>
      <c r="AH1183" s="115"/>
      <c r="AK1183" s="306" t="str">
        <f>IF(ISNUMBER(Table1[[#This Row],[FECHA DE RECIBIDO]]), Table1[[#This Row],[FECHA DE RECIBIDO]]-DATE(2023,8,30), "")</f>
        <v/>
      </c>
    </row>
    <row r="1184" spans="1:37" ht="16.05" customHeight="1">
      <c r="A1184" s="150"/>
      <c r="B1184" s="151"/>
      <c r="C1184" s="126" t="s">
        <v>1063</v>
      </c>
      <c r="D1184">
        <v>774</v>
      </c>
      <c r="E1184" s="126" t="s">
        <v>2001</v>
      </c>
      <c r="F1184" s="122" t="s">
        <v>1607</v>
      </c>
      <c r="G1184" s="122" t="s">
        <v>134</v>
      </c>
      <c r="H1184">
        <v>23</v>
      </c>
      <c r="I1184" s="122" t="s">
        <v>1546</v>
      </c>
      <c r="J1184" s="307" t="s">
        <v>214</v>
      </c>
      <c r="K1184" s="127">
        <v>2</v>
      </c>
      <c r="L1184" s="151" t="s">
        <v>3306</v>
      </c>
      <c r="M1184">
        <v>342</v>
      </c>
      <c r="N1184" s="123">
        <v>1</v>
      </c>
      <c r="O1184">
        <v>782</v>
      </c>
      <c r="P1184" s="132" t="s">
        <v>77</v>
      </c>
      <c r="Q1184" s="131">
        <v>2903.15</v>
      </c>
      <c r="R1184" s="131">
        <v>464.5</v>
      </c>
      <c r="S1184" s="131"/>
      <c r="T1184" s="155"/>
      <c r="U1184" s="131"/>
      <c r="V1184" s="131">
        <v>3367.65</v>
      </c>
      <c r="W1184">
        <v>25</v>
      </c>
      <c r="X1184" s="151" t="s">
        <v>2024</v>
      </c>
      <c r="Y1184" s="135" t="s">
        <v>55</v>
      </c>
      <c r="Z1184" s="307">
        <v>225</v>
      </c>
      <c r="AB1184" t="str">
        <f>IF(Table1[[#This Row],[TIPO2]]="costo", VLOOKUP(Table1[[#This Row],[PARTIDA PRESUPUESTAL]],'Cost Report'!G:G,1,0),"Balance")</f>
        <v>3683-048</v>
      </c>
      <c r="AC1184" s="118"/>
      <c r="AD1184" s="159">
        <f>+Table1[[#This Row],[SUBTOTAL]]+Table1[[#This Row],[IVA]]-Table1[[#This Row],[RET IVA]]-Table1[[#This Row],[RET ISR]]-Table1[[#This Row],[TOTAL]]</f>
        <v>0</v>
      </c>
      <c r="AE1184" s="150"/>
      <c r="AF1184" s="151"/>
      <c r="AG1184" s="126"/>
      <c r="AH1184" s="115"/>
      <c r="AK1184" s="306" t="str">
        <f>IF(ISNUMBER(Table1[[#This Row],[FECHA DE RECIBIDO]]), Table1[[#This Row],[FECHA DE RECIBIDO]]-DATE(2023,8,30), "")</f>
        <v/>
      </c>
    </row>
    <row r="1185" spans="1:37" ht="16.05" customHeight="1">
      <c r="A1185" s="152"/>
      <c r="B1185" s="153"/>
      <c r="C1185" s="126" t="s">
        <v>1067</v>
      </c>
      <c r="D1185">
        <v>774</v>
      </c>
      <c r="E1185" s="126" t="s">
        <v>2001</v>
      </c>
      <c r="F1185" s="125" t="s">
        <v>1607</v>
      </c>
      <c r="G1185" s="125" t="s">
        <v>134</v>
      </c>
      <c r="H1185">
        <v>23</v>
      </c>
      <c r="I1185" s="125" t="s">
        <v>1546</v>
      </c>
      <c r="J1185" s="308" t="s">
        <v>214</v>
      </c>
      <c r="K1185" s="127">
        <v>2</v>
      </c>
      <c r="L1185" s="153" t="s">
        <v>3306</v>
      </c>
      <c r="M1185">
        <v>342</v>
      </c>
      <c r="N1185" s="123">
        <v>1</v>
      </c>
      <c r="O1185">
        <v>782</v>
      </c>
      <c r="P1185" s="132" t="s">
        <v>77</v>
      </c>
      <c r="Q1185" s="132">
        <v>2903.15</v>
      </c>
      <c r="R1185" s="132">
        <v>464.5</v>
      </c>
      <c r="S1185" s="132"/>
      <c r="T1185" s="156"/>
      <c r="U1185" s="132"/>
      <c r="V1185" s="132">
        <v>3367.65</v>
      </c>
      <c r="W1185">
        <v>25</v>
      </c>
      <c r="X1185" s="153" t="s">
        <v>2024</v>
      </c>
      <c r="Y1185" s="124" t="s">
        <v>55</v>
      </c>
      <c r="Z1185" s="308">
        <v>225</v>
      </c>
      <c r="AB1185" t="str">
        <f>IF(Table1[[#This Row],[TIPO2]]="costo", VLOOKUP(Table1[[#This Row],[PARTIDA PRESUPUESTAL]],'Cost Report'!G:G,1,0),"Balance")</f>
        <v>3683-054</v>
      </c>
      <c r="AC1185" s="118"/>
      <c r="AD1185" s="159">
        <f>+Table1[[#This Row],[SUBTOTAL]]+Table1[[#This Row],[IVA]]-Table1[[#This Row],[RET IVA]]-Table1[[#This Row],[RET ISR]]-Table1[[#This Row],[TOTAL]]</f>
        <v>0</v>
      </c>
      <c r="AE1185" s="152"/>
      <c r="AF1185" s="153"/>
      <c r="AG1185" s="126"/>
      <c r="AH1185" s="115"/>
      <c r="AK1185" s="306" t="str">
        <f>IF(ISNUMBER(Table1[[#This Row],[FECHA DE RECIBIDO]]), Table1[[#This Row],[FECHA DE RECIBIDO]]-DATE(2023,8,30), "")</f>
        <v/>
      </c>
    </row>
    <row r="1186" spans="1:37" ht="16.05" customHeight="1">
      <c r="A1186" s="150"/>
      <c r="B1186" s="151"/>
      <c r="C1186" s="126" t="s">
        <v>1071</v>
      </c>
      <c r="D1186">
        <v>774</v>
      </c>
      <c r="E1186" s="126" t="s">
        <v>2001</v>
      </c>
      <c r="F1186" s="122" t="s">
        <v>1607</v>
      </c>
      <c r="G1186" s="122" t="s">
        <v>134</v>
      </c>
      <c r="H1186">
        <v>23</v>
      </c>
      <c r="I1186" s="122" t="s">
        <v>1546</v>
      </c>
      <c r="J1186" s="307" t="s">
        <v>214</v>
      </c>
      <c r="K1186" s="127">
        <v>2</v>
      </c>
      <c r="L1186" s="151" t="s">
        <v>3306</v>
      </c>
      <c r="M1186">
        <v>342</v>
      </c>
      <c r="N1186" s="123">
        <v>1</v>
      </c>
      <c r="O1186">
        <v>782</v>
      </c>
      <c r="P1186" s="132" t="s">
        <v>77</v>
      </c>
      <c r="Q1186" s="131">
        <v>1979.42</v>
      </c>
      <c r="R1186" s="131">
        <v>316.70999999999998</v>
      </c>
      <c r="S1186" s="131"/>
      <c r="T1186" s="155"/>
      <c r="U1186" s="131"/>
      <c r="V1186" s="131">
        <v>2296.13</v>
      </c>
      <c r="W1186">
        <v>25</v>
      </c>
      <c r="X1186" s="151" t="s">
        <v>2024</v>
      </c>
      <c r="Y1186" s="135" t="s">
        <v>55</v>
      </c>
      <c r="Z1186" s="307">
        <v>225</v>
      </c>
      <c r="AB1186" t="str">
        <f>IF(Table1[[#This Row],[TIPO2]]="costo", VLOOKUP(Table1[[#This Row],[PARTIDA PRESUPUESTAL]],'Cost Report'!G:G,1,0),"Balance")</f>
        <v>3683-060</v>
      </c>
      <c r="AC1186" s="118"/>
      <c r="AD1186" s="159">
        <f>+Table1[[#This Row],[SUBTOTAL]]+Table1[[#This Row],[IVA]]-Table1[[#This Row],[RET IVA]]-Table1[[#This Row],[RET ISR]]-Table1[[#This Row],[TOTAL]]</f>
        <v>0</v>
      </c>
      <c r="AE1186" s="150"/>
      <c r="AF1186" s="151"/>
      <c r="AG1186" s="126"/>
      <c r="AH1186" s="115"/>
      <c r="AK1186" s="306" t="str">
        <f>IF(ISNUMBER(Table1[[#This Row],[FECHA DE RECIBIDO]]), Table1[[#This Row],[FECHA DE RECIBIDO]]-DATE(2023,8,30), "")</f>
        <v/>
      </c>
    </row>
    <row r="1187" spans="1:37" ht="16.05" customHeight="1">
      <c r="A1187" s="152"/>
      <c r="B1187" s="153"/>
      <c r="C1187" s="126" t="s">
        <v>1075</v>
      </c>
      <c r="D1187">
        <v>774</v>
      </c>
      <c r="E1187" s="126" t="s">
        <v>2001</v>
      </c>
      <c r="F1187" s="125" t="s">
        <v>1607</v>
      </c>
      <c r="G1187" s="125" t="s">
        <v>134</v>
      </c>
      <c r="H1187">
        <v>23</v>
      </c>
      <c r="I1187" s="125" t="s">
        <v>1546</v>
      </c>
      <c r="J1187" s="308" t="s">
        <v>214</v>
      </c>
      <c r="K1187" s="127">
        <v>2</v>
      </c>
      <c r="L1187" s="153" t="s">
        <v>3306</v>
      </c>
      <c r="M1187">
        <v>342</v>
      </c>
      <c r="N1187" s="123">
        <v>1</v>
      </c>
      <c r="O1187">
        <v>782</v>
      </c>
      <c r="P1187" s="132" t="s">
        <v>77</v>
      </c>
      <c r="Q1187" s="132">
        <v>1979.42</v>
      </c>
      <c r="R1187" s="132">
        <v>316.70999999999998</v>
      </c>
      <c r="S1187" s="132"/>
      <c r="T1187" s="156"/>
      <c r="U1187" s="132"/>
      <c r="V1187" s="132">
        <v>2296.13</v>
      </c>
      <c r="W1187">
        <v>25</v>
      </c>
      <c r="X1187" s="153" t="s">
        <v>2024</v>
      </c>
      <c r="Y1187" s="124" t="s">
        <v>55</v>
      </c>
      <c r="Z1187" s="308">
        <v>225</v>
      </c>
      <c r="AB1187" t="str">
        <f>IF(Table1[[#This Row],[TIPO2]]="costo", VLOOKUP(Table1[[#This Row],[PARTIDA PRESUPUESTAL]],'Cost Report'!G:G,1,0),"Balance")</f>
        <v>3683-066</v>
      </c>
      <c r="AC1187" s="118"/>
      <c r="AD1187" s="159">
        <f>+Table1[[#This Row],[SUBTOTAL]]+Table1[[#This Row],[IVA]]-Table1[[#This Row],[RET IVA]]-Table1[[#This Row],[RET ISR]]-Table1[[#This Row],[TOTAL]]</f>
        <v>0</v>
      </c>
      <c r="AE1187" s="152"/>
      <c r="AF1187" s="153"/>
      <c r="AG1187" s="126"/>
      <c r="AH1187" s="115"/>
      <c r="AK1187" s="306" t="str">
        <f>IF(ISNUMBER(Table1[[#This Row],[FECHA DE RECIBIDO]]), Table1[[#This Row],[FECHA DE RECIBIDO]]-DATE(2023,8,30), "")</f>
        <v/>
      </c>
    </row>
    <row r="1188" spans="1:37" ht="16.05" customHeight="1">
      <c r="A1188" s="150"/>
      <c r="B1188" s="151"/>
      <c r="C1188" s="126" t="s">
        <v>1079</v>
      </c>
      <c r="D1188">
        <v>774</v>
      </c>
      <c r="E1188" s="126" t="s">
        <v>2001</v>
      </c>
      <c r="F1188" s="122" t="s">
        <v>1607</v>
      </c>
      <c r="G1188" s="122" t="s">
        <v>134</v>
      </c>
      <c r="H1188">
        <v>23</v>
      </c>
      <c r="I1188" s="122" t="s">
        <v>1546</v>
      </c>
      <c r="J1188" s="307" t="s">
        <v>214</v>
      </c>
      <c r="K1188" s="127">
        <v>2</v>
      </c>
      <c r="L1188" s="151" t="s">
        <v>3306</v>
      </c>
      <c r="M1188">
        <v>342</v>
      </c>
      <c r="N1188" s="123">
        <v>1</v>
      </c>
      <c r="O1188">
        <v>782</v>
      </c>
      <c r="P1188" s="132" t="s">
        <v>77</v>
      </c>
      <c r="Q1188" s="131">
        <v>1979.42</v>
      </c>
      <c r="R1188" s="131">
        <v>316.70999999999998</v>
      </c>
      <c r="S1188" s="131"/>
      <c r="T1188" s="155"/>
      <c r="U1188" s="131"/>
      <c r="V1188" s="131">
        <v>2296.13</v>
      </c>
      <c r="W1188">
        <v>25</v>
      </c>
      <c r="X1188" s="151" t="s">
        <v>2024</v>
      </c>
      <c r="Y1188" s="135" t="s">
        <v>55</v>
      </c>
      <c r="Z1188" s="307">
        <v>225</v>
      </c>
      <c r="AB1188" t="str">
        <f>IF(Table1[[#This Row],[TIPO2]]="costo", VLOOKUP(Table1[[#This Row],[PARTIDA PRESUPUESTAL]],'Cost Report'!G:G,1,0),"Balance")</f>
        <v>3683-072</v>
      </c>
      <c r="AC1188" s="118"/>
      <c r="AD1188" s="159">
        <f>+Table1[[#This Row],[SUBTOTAL]]+Table1[[#This Row],[IVA]]-Table1[[#This Row],[RET IVA]]-Table1[[#This Row],[RET ISR]]-Table1[[#This Row],[TOTAL]]</f>
        <v>0</v>
      </c>
      <c r="AE1188" s="150"/>
      <c r="AF1188" s="151"/>
      <c r="AG1188" s="126"/>
      <c r="AH1188" s="115"/>
      <c r="AK1188" s="306" t="str">
        <f>IF(ISNUMBER(Table1[[#This Row],[FECHA DE RECIBIDO]]), Table1[[#This Row],[FECHA DE RECIBIDO]]-DATE(2023,8,30), "")</f>
        <v/>
      </c>
    </row>
    <row r="1189" spans="1:37" ht="16.05" customHeight="1">
      <c r="A1189" s="152"/>
      <c r="B1189" s="153"/>
      <c r="C1189" s="126" t="s">
        <v>1083</v>
      </c>
      <c r="D1189">
        <v>774</v>
      </c>
      <c r="E1189" s="126" t="s">
        <v>2001</v>
      </c>
      <c r="F1189" s="125" t="s">
        <v>1607</v>
      </c>
      <c r="G1189" s="125" t="s">
        <v>134</v>
      </c>
      <c r="H1189">
        <v>23</v>
      </c>
      <c r="I1189" s="125" t="s">
        <v>1546</v>
      </c>
      <c r="J1189" s="308" t="s">
        <v>214</v>
      </c>
      <c r="K1189" s="127">
        <v>2</v>
      </c>
      <c r="L1189" s="153" t="s">
        <v>3306</v>
      </c>
      <c r="M1189">
        <v>342</v>
      </c>
      <c r="N1189" s="123">
        <v>1</v>
      </c>
      <c r="O1189">
        <v>782</v>
      </c>
      <c r="P1189" s="132" t="s">
        <v>77</v>
      </c>
      <c r="Q1189" s="132">
        <v>1979.42</v>
      </c>
      <c r="R1189" s="132">
        <v>316.70999999999998</v>
      </c>
      <c r="S1189" s="132"/>
      <c r="T1189" s="156"/>
      <c r="U1189" s="132"/>
      <c r="V1189" s="132">
        <v>2296.13</v>
      </c>
      <c r="W1189">
        <v>25</v>
      </c>
      <c r="X1189" s="153" t="s">
        <v>2024</v>
      </c>
      <c r="Y1189" s="124" t="s">
        <v>55</v>
      </c>
      <c r="Z1189" s="308">
        <v>225</v>
      </c>
      <c r="AB1189" t="str">
        <f>IF(Table1[[#This Row],[TIPO2]]="costo", VLOOKUP(Table1[[#This Row],[PARTIDA PRESUPUESTAL]],'Cost Report'!G:G,1,0),"Balance")</f>
        <v>3683-078</v>
      </c>
      <c r="AC1189" s="118"/>
      <c r="AD1189" s="159">
        <f>+Table1[[#This Row],[SUBTOTAL]]+Table1[[#This Row],[IVA]]-Table1[[#This Row],[RET IVA]]-Table1[[#This Row],[RET ISR]]-Table1[[#This Row],[TOTAL]]</f>
        <v>0</v>
      </c>
      <c r="AE1189" s="152"/>
      <c r="AF1189" s="153"/>
      <c r="AG1189" s="126"/>
      <c r="AH1189" s="115"/>
      <c r="AK1189" s="306" t="str">
        <f>IF(ISNUMBER(Table1[[#This Row],[FECHA DE RECIBIDO]]), Table1[[#This Row],[FECHA DE RECIBIDO]]-DATE(2023,8,30), "")</f>
        <v/>
      </c>
    </row>
    <row r="1190" spans="1:37" ht="16.05" customHeight="1">
      <c r="A1190" s="150"/>
      <c r="B1190" s="151"/>
      <c r="C1190" s="126" t="s">
        <v>1087</v>
      </c>
      <c r="D1190">
        <v>774</v>
      </c>
      <c r="E1190" s="126" t="s">
        <v>2001</v>
      </c>
      <c r="F1190" s="122" t="s">
        <v>1607</v>
      </c>
      <c r="G1190" s="122" t="s">
        <v>134</v>
      </c>
      <c r="H1190">
        <v>23</v>
      </c>
      <c r="I1190" s="122" t="s">
        <v>1546</v>
      </c>
      <c r="J1190" s="307" t="s">
        <v>214</v>
      </c>
      <c r="K1190" s="127">
        <v>2</v>
      </c>
      <c r="L1190" s="151" t="s">
        <v>3306</v>
      </c>
      <c r="M1190">
        <v>342</v>
      </c>
      <c r="N1190" s="123">
        <v>1</v>
      </c>
      <c r="O1190">
        <v>782</v>
      </c>
      <c r="P1190" s="132" t="s">
        <v>77</v>
      </c>
      <c r="Q1190" s="131">
        <v>2903.15</v>
      </c>
      <c r="R1190" s="131">
        <v>464.5</v>
      </c>
      <c r="S1190" s="131"/>
      <c r="T1190" s="155"/>
      <c r="U1190" s="131"/>
      <c r="V1190" s="131">
        <v>3367.65</v>
      </c>
      <c r="W1190">
        <v>25</v>
      </c>
      <c r="X1190" s="151" t="s">
        <v>2024</v>
      </c>
      <c r="Y1190" s="135" t="s">
        <v>55</v>
      </c>
      <c r="Z1190" s="307">
        <v>225</v>
      </c>
      <c r="AB1190" t="str">
        <f>IF(Table1[[#This Row],[TIPO2]]="costo", VLOOKUP(Table1[[#This Row],[PARTIDA PRESUPUESTAL]],'Cost Report'!G:G,1,0),"Balance")</f>
        <v>3683-084</v>
      </c>
      <c r="AC1190" s="118"/>
      <c r="AD1190" s="159">
        <f>+Table1[[#This Row],[SUBTOTAL]]+Table1[[#This Row],[IVA]]-Table1[[#This Row],[RET IVA]]-Table1[[#This Row],[RET ISR]]-Table1[[#This Row],[TOTAL]]</f>
        <v>0</v>
      </c>
      <c r="AE1190" s="150"/>
      <c r="AF1190" s="151"/>
      <c r="AG1190" s="126"/>
      <c r="AH1190" s="115"/>
      <c r="AK1190" s="306" t="str">
        <f>IF(ISNUMBER(Table1[[#This Row],[FECHA DE RECIBIDO]]), Table1[[#This Row],[FECHA DE RECIBIDO]]-DATE(2023,8,30), "")</f>
        <v/>
      </c>
    </row>
    <row r="1191" spans="1:37" ht="16.05" customHeight="1">
      <c r="A1191" s="152"/>
      <c r="B1191" s="153"/>
      <c r="C1191" s="126" t="s">
        <v>1091</v>
      </c>
      <c r="D1191">
        <v>774</v>
      </c>
      <c r="E1191" s="126" t="s">
        <v>2001</v>
      </c>
      <c r="F1191" s="125" t="s">
        <v>1607</v>
      </c>
      <c r="G1191" s="125" t="s">
        <v>134</v>
      </c>
      <c r="H1191">
        <v>23</v>
      </c>
      <c r="I1191" s="125" t="s">
        <v>1546</v>
      </c>
      <c r="J1191" s="308" t="s">
        <v>214</v>
      </c>
      <c r="K1191" s="127">
        <v>2</v>
      </c>
      <c r="L1191" s="153" t="s">
        <v>3306</v>
      </c>
      <c r="M1191">
        <v>342</v>
      </c>
      <c r="N1191" s="123">
        <v>1</v>
      </c>
      <c r="O1191">
        <v>782</v>
      </c>
      <c r="P1191" s="132" t="s">
        <v>77</v>
      </c>
      <c r="Q1191" s="132">
        <v>1979.42</v>
      </c>
      <c r="R1191" s="132">
        <v>316.70999999999998</v>
      </c>
      <c r="S1191" s="132"/>
      <c r="T1191" s="156"/>
      <c r="U1191" s="132"/>
      <c r="V1191" s="132">
        <v>2296.13</v>
      </c>
      <c r="W1191">
        <v>25</v>
      </c>
      <c r="X1191" s="153" t="s">
        <v>2024</v>
      </c>
      <c r="Y1191" s="124" t="s">
        <v>55</v>
      </c>
      <c r="Z1191" s="308">
        <v>225</v>
      </c>
      <c r="AB1191" t="str">
        <f>IF(Table1[[#This Row],[TIPO2]]="costo", VLOOKUP(Table1[[#This Row],[PARTIDA PRESUPUESTAL]],'Cost Report'!G:G,1,0),"Balance")</f>
        <v>3683-090</v>
      </c>
      <c r="AC1191" s="118"/>
      <c r="AD1191" s="159">
        <f>+Table1[[#This Row],[SUBTOTAL]]+Table1[[#This Row],[IVA]]-Table1[[#This Row],[RET IVA]]-Table1[[#This Row],[RET ISR]]-Table1[[#This Row],[TOTAL]]</f>
        <v>0</v>
      </c>
      <c r="AE1191" s="152"/>
      <c r="AF1191" s="153"/>
      <c r="AG1191" s="126"/>
      <c r="AH1191" s="115"/>
      <c r="AK1191" s="306" t="str">
        <f>IF(ISNUMBER(Table1[[#This Row],[FECHA DE RECIBIDO]]), Table1[[#This Row],[FECHA DE RECIBIDO]]-DATE(2023,8,30), "")</f>
        <v/>
      </c>
    </row>
    <row r="1192" spans="1:37" ht="16.05" customHeight="1">
      <c r="A1192" s="150"/>
      <c r="B1192" s="151"/>
      <c r="C1192" s="126" t="s">
        <v>1095</v>
      </c>
      <c r="D1192">
        <v>774</v>
      </c>
      <c r="E1192" s="126" t="s">
        <v>2001</v>
      </c>
      <c r="F1192" s="122" t="s">
        <v>1607</v>
      </c>
      <c r="G1192" s="122" t="s">
        <v>134</v>
      </c>
      <c r="H1192">
        <v>23</v>
      </c>
      <c r="I1192" s="122" t="s">
        <v>1546</v>
      </c>
      <c r="J1192" s="307" t="s">
        <v>214</v>
      </c>
      <c r="K1192" s="127">
        <v>2</v>
      </c>
      <c r="L1192" s="151" t="s">
        <v>3306</v>
      </c>
      <c r="M1192">
        <v>342</v>
      </c>
      <c r="N1192" s="123">
        <v>1</v>
      </c>
      <c r="O1192">
        <v>782</v>
      </c>
      <c r="P1192" s="132" t="s">
        <v>77</v>
      </c>
      <c r="Q1192" s="131">
        <v>2903.15</v>
      </c>
      <c r="R1192" s="131">
        <v>464.5</v>
      </c>
      <c r="S1192" s="131"/>
      <c r="T1192" s="155"/>
      <c r="U1192" s="131"/>
      <c r="V1192" s="131">
        <v>3367.65</v>
      </c>
      <c r="W1192">
        <v>25</v>
      </c>
      <c r="X1192" s="151" t="s">
        <v>2024</v>
      </c>
      <c r="Y1192" s="135" t="s">
        <v>55</v>
      </c>
      <c r="Z1192" s="307">
        <v>225</v>
      </c>
      <c r="AB1192" t="str">
        <f>IF(Table1[[#This Row],[TIPO2]]="costo", VLOOKUP(Table1[[#This Row],[PARTIDA PRESUPUESTAL]],'Cost Report'!G:G,1,0),"Balance")</f>
        <v>3683-096</v>
      </c>
      <c r="AC1192" s="118"/>
      <c r="AD1192" s="159">
        <f>+Table1[[#This Row],[SUBTOTAL]]+Table1[[#This Row],[IVA]]-Table1[[#This Row],[RET IVA]]-Table1[[#This Row],[RET ISR]]-Table1[[#This Row],[TOTAL]]</f>
        <v>0</v>
      </c>
      <c r="AE1192" s="150"/>
      <c r="AF1192" s="151"/>
      <c r="AG1192" s="126"/>
      <c r="AH1192" s="115"/>
      <c r="AK1192" s="306" t="str">
        <f>IF(ISNUMBER(Table1[[#This Row],[FECHA DE RECIBIDO]]), Table1[[#This Row],[FECHA DE RECIBIDO]]-DATE(2023,8,30), "")</f>
        <v/>
      </c>
    </row>
    <row r="1193" spans="1:37" ht="16.05" customHeight="1">
      <c r="A1193" s="152"/>
      <c r="B1193" s="153"/>
      <c r="C1193" s="126" t="s">
        <v>1098</v>
      </c>
      <c r="D1193">
        <v>774</v>
      </c>
      <c r="E1193" s="126" t="s">
        <v>2001</v>
      </c>
      <c r="F1193" s="125" t="s">
        <v>1607</v>
      </c>
      <c r="G1193" s="125" t="s">
        <v>134</v>
      </c>
      <c r="H1193">
        <v>23</v>
      </c>
      <c r="I1193" s="125" t="s">
        <v>1546</v>
      </c>
      <c r="J1193" s="308" t="s">
        <v>214</v>
      </c>
      <c r="K1193" s="127">
        <v>2</v>
      </c>
      <c r="L1193" s="153" t="s">
        <v>3306</v>
      </c>
      <c r="M1193">
        <v>342</v>
      </c>
      <c r="N1193" s="123">
        <v>1</v>
      </c>
      <c r="O1193">
        <v>782</v>
      </c>
      <c r="P1193" s="132" t="s">
        <v>77</v>
      </c>
      <c r="Q1193" s="132">
        <v>2969.13</v>
      </c>
      <c r="R1193" s="132">
        <v>475.06</v>
      </c>
      <c r="S1193" s="132"/>
      <c r="T1193" s="156"/>
      <c r="U1193" s="132"/>
      <c r="V1193" s="132">
        <v>3444.19</v>
      </c>
      <c r="W1193">
        <v>25</v>
      </c>
      <c r="X1193" s="153" t="s">
        <v>2024</v>
      </c>
      <c r="Y1193" s="124" t="s">
        <v>55</v>
      </c>
      <c r="Z1193" s="308">
        <v>225</v>
      </c>
      <c r="AB1193" t="str">
        <f>IF(Table1[[#This Row],[TIPO2]]="costo", VLOOKUP(Table1[[#This Row],[PARTIDA PRESUPUESTAL]],'Cost Report'!G:G,1,0),"Balance")</f>
        <v>3683-101</v>
      </c>
      <c r="AC1193" s="118"/>
      <c r="AD1193" s="159">
        <f>+Table1[[#This Row],[SUBTOTAL]]+Table1[[#This Row],[IVA]]-Table1[[#This Row],[RET IVA]]-Table1[[#This Row],[RET ISR]]-Table1[[#This Row],[TOTAL]]</f>
        <v>0</v>
      </c>
      <c r="AE1193" s="152"/>
      <c r="AF1193" s="153"/>
      <c r="AG1193" s="126"/>
      <c r="AH1193" s="115"/>
      <c r="AK1193" s="306" t="str">
        <f>IF(ISNUMBER(Table1[[#This Row],[FECHA DE RECIBIDO]]), Table1[[#This Row],[FECHA DE RECIBIDO]]-DATE(2023,8,30), "")</f>
        <v/>
      </c>
    </row>
    <row r="1194" spans="1:37" ht="16.05" customHeight="1">
      <c r="A1194" s="150"/>
      <c r="B1194" s="151"/>
      <c r="C1194" s="126" t="s">
        <v>1100</v>
      </c>
      <c r="D1194">
        <v>774</v>
      </c>
      <c r="E1194" s="126" t="s">
        <v>2001</v>
      </c>
      <c r="F1194" s="122" t="s">
        <v>1607</v>
      </c>
      <c r="G1194" s="122" t="s">
        <v>134</v>
      </c>
      <c r="H1194">
        <v>23</v>
      </c>
      <c r="I1194" s="122" t="s">
        <v>1546</v>
      </c>
      <c r="J1194" s="307" t="s">
        <v>214</v>
      </c>
      <c r="K1194" s="127">
        <v>2</v>
      </c>
      <c r="L1194" s="151" t="s">
        <v>3306</v>
      </c>
      <c r="M1194">
        <v>342</v>
      </c>
      <c r="N1194" s="123">
        <v>1</v>
      </c>
      <c r="O1194">
        <v>782</v>
      </c>
      <c r="P1194" s="132" t="s">
        <v>77</v>
      </c>
      <c r="Q1194" s="131">
        <v>3694.92</v>
      </c>
      <c r="R1194" s="131">
        <v>591.19000000000005</v>
      </c>
      <c r="S1194" s="131"/>
      <c r="T1194" s="155"/>
      <c r="U1194" s="131"/>
      <c r="V1194" s="131">
        <v>4286.1100000000006</v>
      </c>
      <c r="W1194">
        <v>25</v>
      </c>
      <c r="X1194" s="151" t="s">
        <v>2024</v>
      </c>
      <c r="Y1194" s="135" t="s">
        <v>55</v>
      </c>
      <c r="Z1194" s="307">
        <v>225</v>
      </c>
      <c r="AB1194" t="str">
        <f>IF(Table1[[#This Row],[TIPO2]]="costo", VLOOKUP(Table1[[#This Row],[PARTIDA PRESUPUESTAL]],'Cost Report'!G:G,1,0),"Balance")</f>
        <v>3683-105</v>
      </c>
      <c r="AC1194" s="118"/>
      <c r="AD1194" s="159">
        <f>+Table1[[#This Row],[SUBTOTAL]]+Table1[[#This Row],[IVA]]-Table1[[#This Row],[RET IVA]]-Table1[[#This Row],[RET ISR]]-Table1[[#This Row],[TOTAL]]</f>
        <v>0</v>
      </c>
      <c r="AE1194" s="150"/>
      <c r="AF1194" s="151"/>
      <c r="AG1194" s="126"/>
      <c r="AH1194" s="115"/>
      <c r="AK1194" s="306" t="str">
        <f>IF(ISNUMBER(Table1[[#This Row],[FECHA DE RECIBIDO]]), Table1[[#This Row],[FECHA DE RECIBIDO]]-DATE(2023,8,30), "")</f>
        <v/>
      </c>
    </row>
    <row r="1195" spans="1:37" ht="16.05" customHeight="1">
      <c r="A1195" s="152"/>
      <c r="B1195" s="153"/>
      <c r="C1195" s="126" t="s">
        <v>2880</v>
      </c>
      <c r="D1195">
        <v>774</v>
      </c>
      <c r="E1195" s="126" t="s">
        <v>2001</v>
      </c>
      <c r="F1195" s="125" t="s">
        <v>1607</v>
      </c>
      <c r="G1195" s="125" t="s">
        <v>134</v>
      </c>
      <c r="H1195">
        <v>23</v>
      </c>
      <c r="I1195" s="125" t="s">
        <v>1546</v>
      </c>
      <c r="J1195" s="308" t="s">
        <v>214</v>
      </c>
      <c r="K1195" s="127">
        <v>2</v>
      </c>
      <c r="L1195" s="153" t="s">
        <v>3306</v>
      </c>
      <c r="M1195">
        <v>342</v>
      </c>
      <c r="N1195" s="123">
        <v>1</v>
      </c>
      <c r="O1195">
        <v>782</v>
      </c>
      <c r="P1195" s="132" t="s">
        <v>77</v>
      </c>
      <c r="Q1195" s="132">
        <v>7389.83</v>
      </c>
      <c r="R1195" s="132">
        <v>1182.3699999999999</v>
      </c>
      <c r="S1195" s="132"/>
      <c r="T1195" s="156"/>
      <c r="U1195" s="132"/>
      <c r="V1195" s="132">
        <v>8572.2000000000007</v>
      </c>
      <c r="W1195">
        <v>25</v>
      </c>
      <c r="X1195" s="153" t="s">
        <v>2024</v>
      </c>
      <c r="Y1195" s="124" t="s">
        <v>55</v>
      </c>
      <c r="Z1195" s="308">
        <v>225</v>
      </c>
      <c r="AB1195" t="str">
        <f>IF(Table1[[#This Row],[TIPO2]]="costo", VLOOKUP(Table1[[#This Row],[PARTIDA PRESUPUESTAL]],'Cost Report'!G:G,1,0),"Balance")</f>
        <v>3683-109</v>
      </c>
      <c r="AC1195" s="118"/>
      <c r="AD1195" s="159">
        <f>+Table1[[#This Row],[SUBTOTAL]]+Table1[[#This Row],[IVA]]-Table1[[#This Row],[RET IVA]]-Table1[[#This Row],[RET ISR]]-Table1[[#This Row],[TOTAL]]</f>
        <v>0</v>
      </c>
      <c r="AE1195" s="152"/>
      <c r="AF1195" s="153"/>
      <c r="AG1195" s="126"/>
      <c r="AH1195" s="115"/>
      <c r="AK1195" s="306" t="str">
        <f>IF(ISNUMBER(Table1[[#This Row],[FECHA DE RECIBIDO]]), Table1[[#This Row],[FECHA DE RECIBIDO]]-DATE(2023,8,30), "")</f>
        <v/>
      </c>
    </row>
    <row r="1196" spans="1:37" ht="16.05" customHeight="1">
      <c r="A1196" s="150"/>
      <c r="B1196" s="151"/>
      <c r="C1196" s="126" t="s">
        <v>2900</v>
      </c>
      <c r="D1196">
        <v>774</v>
      </c>
      <c r="E1196" s="126" t="s">
        <v>2001</v>
      </c>
      <c r="F1196" s="122" t="s">
        <v>1607</v>
      </c>
      <c r="G1196" s="122" t="s">
        <v>134</v>
      </c>
      <c r="H1196">
        <v>23</v>
      </c>
      <c r="I1196" s="122" t="s">
        <v>1546</v>
      </c>
      <c r="J1196" s="307" t="s">
        <v>214</v>
      </c>
      <c r="K1196" s="127">
        <v>2</v>
      </c>
      <c r="L1196" s="151" t="s">
        <v>3306</v>
      </c>
      <c r="M1196">
        <v>342</v>
      </c>
      <c r="N1196" s="123">
        <v>1</v>
      </c>
      <c r="O1196">
        <v>782</v>
      </c>
      <c r="P1196" s="132" t="s">
        <v>77</v>
      </c>
      <c r="Q1196" s="131">
        <v>3694.92</v>
      </c>
      <c r="R1196" s="131">
        <v>591.19000000000005</v>
      </c>
      <c r="S1196" s="131"/>
      <c r="T1196" s="155"/>
      <c r="U1196" s="131"/>
      <c r="V1196" s="131">
        <v>4286.1100000000006</v>
      </c>
      <c r="W1196">
        <v>25</v>
      </c>
      <c r="X1196" s="151" t="s">
        <v>2024</v>
      </c>
      <c r="Y1196" s="135" t="s">
        <v>55</v>
      </c>
      <c r="Z1196" s="307">
        <v>225</v>
      </c>
      <c r="AB1196" t="str">
        <f>IF(Table1[[#This Row],[TIPO2]]="costo", VLOOKUP(Table1[[#This Row],[PARTIDA PRESUPUESTAL]],'Cost Report'!G:G,1,0),"Balance")</f>
        <v>3683-143</v>
      </c>
      <c r="AC1196" s="118"/>
      <c r="AD1196" s="159">
        <f>+Table1[[#This Row],[SUBTOTAL]]+Table1[[#This Row],[IVA]]-Table1[[#This Row],[RET IVA]]-Table1[[#This Row],[RET ISR]]-Table1[[#This Row],[TOTAL]]</f>
        <v>0</v>
      </c>
      <c r="AE1196" s="150"/>
      <c r="AF1196" s="151"/>
      <c r="AG1196" s="126"/>
      <c r="AH1196" s="115"/>
      <c r="AK1196" s="306" t="str">
        <f>IF(ISNUMBER(Table1[[#This Row],[FECHA DE RECIBIDO]]), Table1[[#This Row],[FECHA DE RECIBIDO]]-DATE(2023,8,30), "")</f>
        <v/>
      </c>
    </row>
    <row r="1197" spans="1:37" ht="16.05" customHeight="1">
      <c r="A1197" s="152"/>
      <c r="B1197" s="153"/>
      <c r="C1197" s="126" t="s">
        <v>2909</v>
      </c>
      <c r="D1197">
        <v>774</v>
      </c>
      <c r="E1197" s="126" t="s">
        <v>2001</v>
      </c>
      <c r="F1197" s="125" t="s">
        <v>1607</v>
      </c>
      <c r="G1197" s="125" t="s">
        <v>134</v>
      </c>
      <c r="H1197">
        <v>23</v>
      </c>
      <c r="I1197" s="125" t="s">
        <v>1546</v>
      </c>
      <c r="J1197" s="308" t="s">
        <v>214</v>
      </c>
      <c r="K1197" s="127">
        <v>2</v>
      </c>
      <c r="L1197" s="153" t="s">
        <v>3306</v>
      </c>
      <c r="M1197">
        <v>342</v>
      </c>
      <c r="N1197" s="123">
        <v>1</v>
      </c>
      <c r="O1197">
        <v>782</v>
      </c>
      <c r="P1197" s="132" t="s">
        <v>77</v>
      </c>
      <c r="Q1197" s="132">
        <v>3694.92</v>
      </c>
      <c r="R1197" s="132">
        <v>591.19000000000005</v>
      </c>
      <c r="S1197" s="132"/>
      <c r="T1197" s="156"/>
      <c r="U1197" s="132"/>
      <c r="V1197" s="132">
        <v>4286.1100000000006</v>
      </c>
      <c r="W1197">
        <v>25</v>
      </c>
      <c r="X1197" s="153" t="s">
        <v>2024</v>
      </c>
      <c r="Y1197" s="124" t="s">
        <v>55</v>
      </c>
      <c r="Z1197" s="308">
        <v>225</v>
      </c>
      <c r="AB1197" t="str">
        <f>IF(Table1[[#This Row],[TIPO2]]="costo", VLOOKUP(Table1[[#This Row],[PARTIDA PRESUPUESTAL]],'Cost Report'!G:G,1,0),"Balance")</f>
        <v>3683-158</v>
      </c>
      <c r="AC1197" s="118"/>
      <c r="AD1197" s="159">
        <f>+Table1[[#This Row],[SUBTOTAL]]+Table1[[#This Row],[IVA]]-Table1[[#This Row],[RET IVA]]-Table1[[#This Row],[RET ISR]]-Table1[[#This Row],[TOTAL]]</f>
        <v>0</v>
      </c>
      <c r="AE1197" s="152"/>
      <c r="AF1197" s="153"/>
      <c r="AG1197" s="126"/>
      <c r="AH1197" s="115"/>
      <c r="AK1197" s="306" t="str">
        <f>IF(ISNUMBER(Table1[[#This Row],[FECHA DE RECIBIDO]]), Table1[[#This Row],[FECHA DE RECIBIDO]]-DATE(2023,8,30), "")</f>
        <v/>
      </c>
    </row>
    <row r="1198" spans="1:37" ht="16.05" customHeight="1">
      <c r="A1198" s="150"/>
      <c r="B1198" s="151"/>
      <c r="C1198" s="126" t="s">
        <v>2916</v>
      </c>
      <c r="D1198">
        <v>774</v>
      </c>
      <c r="E1198" s="126" t="s">
        <v>2001</v>
      </c>
      <c r="F1198" s="122" t="s">
        <v>1607</v>
      </c>
      <c r="G1198" s="122" t="s">
        <v>134</v>
      </c>
      <c r="H1198">
        <v>23</v>
      </c>
      <c r="I1198" s="122" t="s">
        <v>1546</v>
      </c>
      <c r="J1198" s="307" t="s">
        <v>214</v>
      </c>
      <c r="K1198" s="127">
        <v>2</v>
      </c>
      <c r="L1198" s="151" t="s">
        <v>3306</v>
      </c>
      <c r="M1198">
        <v>342</v>
      </c>
      <c r="N1198" s="123">
        <v>1</v>
      </c>
      <c r="O1198">
        <v>782</v>
      </c>
      <c r="P1198" s="132" t="s">
        <v>77</v>
      </c>
      <c r="Q1198" s="131">
        <v>1201.79</v>
      </c>
      <c r="R1198" s="131">
        <v>192.29</v>
      </c>
      <c r="S1198" s="131"/>
      <c r="T1198" s="155"/>
      <c r="U1198" s="131"/>
      <c r="V1198" s="131">
        <v>1394.08</v>
      </c>
      <c r="W1198">
        <v>25</v>
      </c>
      <c r="X1198" s="151" t="s">
        <v>2024</v>
      </c>
      <c r="Y1198" s="135" t="s">
        <v>55</v>
      </c>
      <c r="Z1198" s="307">
        <v>225</v>
      </c>
      <c r="AB1198" t="str">
        <f>IF(Table1[[#This Row],[TIPO2]]="costo", VLOOKUP(Table1[[#This Row],[PARTIDA PRESUPUESTAL]],'Cost Report'!G:G,1,0),"Balance")</f>
        <v>3683-171</v>
      </c>
      <c r="AC1198" s="118"/>
      <c r="AD1198" s="159">
        <f>+Table1[[#This Row],[SUBTOTAL]]+Table1[[#This Row],[IVA]]-Table1[[#This Row],[RET IVA]]-Table1[[#This Row],[RET ISR]]-Table1[[#This Row],[TOTAL]]</f>
        <v>0</v>
      </c>
      <c r="AE1198" s="150"/>
      <c r="AF1198" s="151"/>
      <c r="AG1198" s="126"/>
      <c r="AH1198" s="115"/>
      <c r="AK1198" s="306" t="str">
        <f>IF(ISNUMBER(Table1[[#This Row],[FECHA DE RECIBIDO]]), Table1[[#This Row],[FECHA DE RECIBIDO]]-DATE(2023,8,30), "")</f>
        <v/>
      </c>
    </row>
    <row r="1199" spans="1:37" ht="16.05" customHeight="1">
      <c r="A1199" s="152"/>
      <c r="B1199" s="153"/>
      <c r="C1199" s="126" t="s">
        <v>2907</v>
      </c>
      <c r="D1199">
        <v>774</v>
      </c>
      <c r="E1199" s="126" t="s">
        <v>2001</v>
      </c>
      <c r="F1199" s="125" t="s">
        <v>1607</v>
      </c>
      <c r="G1199" s="125" t="s">
        <v>134</v>
      </c>
      <c r="H1199">
        <v>23</v>
      </c>
      <c r="I1199" s="125" t="s">
        <v>1546</v>
      </c>
      <c r="J1199" s="308" t="s">
        <v>214</v>
      </c>
      <c r="K1199" s="127">
        <v>2</v>
      </c>
      <c r="L1199" s="153" t="s">
        <v>3306</v>
      </c>
      <c r="M1199">
        <v>342</v>
      </c>
      <c r="N1199" s="123">
        <v>1</v>
      </c>
      <c r="O1199">
        <v>782</v>
      </c>
      <c r="P1199" s="132" t="s">
        <v>77</v>
      </c>
      <c r="Q1199" s="132">
        <v>659.81</v>
      </c>
      <c r="R1199" s="132">
        <v>105.56</v>
      </c>
      <c r="S1199" s="132"/>
      <c r="T1199" s="156"/>
      <c r="U1199" s="132"/>
      <c r="V1199" s="132">
        <v>765.36999999999989</v>
      </c>
      <c r="W1199">
        <v>25</v>
      </c>
      <c r="X1199" s="153" t="s">
        <v>2024</v>
      </c>
      <c r="Y1199" s="124" t="s">
        <v>55</v>
      </c>
      <c r="Z1199" s="308">
        <v>225</v>
      </c>
      <c r="AB1199" t="str">
        <f>IF(Table1[[#This Row],[TIPO2]]="costo", VLOOKUP(Table1[[#This Row],[PARTIDA PRESUPUESTAL]],'Cost Report'!G:G,1,0),"Balance")</f>
        <v>3683-154</v>
      </c>
      <c r="AC1199" s="118"/>
      <c r="AD1199" s="159">
        <f>+Table1[[#This Row],[SUBTOTAL]]+Table1[[#This Row],[IVA]]-Table1[[#This Row],[RET IVA]]-Table1[[#This Row],[RET ISR]]-Table1[[#This Row],[TOTAL]]</f>
        <v>0</v>
      </c>
      <c r="AE1199" s="152"/>
      <c r="AF1199" s="153"/>
      <c r="AG1199" s="126"/>
      <c r="AH1199" s="115"/>
      <c r="AK1199" s="306" t="str">
        <f>IF(ISNUMBER(Table1[[#This Row],[FECHA DE RECIBIDO]]), Table1[[#This Row],[FECHA DE RECIBIDO]]-DATE(2023,8,30), "")</f>
        <v/>
      </c>
    </row>
    <row r="1200" spans="1:37" ht="16.05" customHeight="1">
      <c r="A1200" s="150" t="s">
        <v>3440</v>
      </c>
      <c r="B1200" s="151">
        <v>522</v>
      </c>
      <c r="C1200" s="126" t="s">
        <v>2836</v>
      </c>
      <c r="D1200">
        <v>775</v>
      </c>
      <c r="E1200" s="126" t="s">
        <v>2001</v>
      </c>
      <c r="F1200" s="122" t="s">
        <v>1607</v>
      </c>
      <c r="G1200" s="122" t="s">
        <v>134</v>
      </c>
      <c r="H1200">
        <v>23</v>
      </c>
      <c r="I1200" s="122" t="s">
        <v>1546</v>
      </c>
      <c r="J1200" s="307" t="s">
        <v>214</v>
      </c>
      <c r="K1200" s="127">
        <v>2</v>
      </c>
      <c r="L1200" s="151" t="s">
        <v>3306</v>
      </c>
      <c r="M1200">
        <v>342</v>
      </c>
      <c r="N1200" s="123">
        <v>1</v>
      </c>
      <c r="O1200">
        <v>783</v>
      </c>
      <c r="P1200" s="132" t="s">
        <v>77</v>
      </c>
      <c r="Q1200" s="131">
        <v>480.65</v>
      </c>
      <c r="R1200" s="131">
        <v>76.900000000000006</v>
      </c>
      <c r="S1200" s="131"/>
      <c r="T1200" s="155"/>
      <c r="U1200" s="131"/>
      <c r="V1200" s="131">
        <v>557.54999999999995</v>
      </c>
      <c r="W1200">
        <v>25</v>
      </c>
      <c r="X1200" s="151" t="s">
        <v>2024</v>
      </c>
      <c r="Y1200" s="135" t="s">
        <v>55</v>
      </c>
      <c r="Z1200" s="307">
        <v>225</v>
      </c>
      <c r="AB1200" t="str">
        <f>IF(Table1[[#This Row],[TIPO2]]="costo", VLOOKUP(Table1[[#This Row],[PARTIDA PRESUPUESTAL]],'Cost Report'!G:G,1,0),"Balance")</f>
        <v>3442-025</v>
      </c>
      <c r="AC1200" s="118"/>
      <c r="AD1200" s="159">
        <f>+Table1[[#This Row],[SUBTOTAL]]+Table1[[#This Row],[IVA]]-Table1[[#This Row],[RET IVA]]-Table1[[#This Row],[RET ISR]]-Table1[[#This Row],[TOTAL]]</f>
        <v>0</v>
      </c>
      <c r="AE1200" s="150"/>
      <c r="AF1200" s="151"/>
      <c r="AG1200" s="126"/>
      <c r="AH1200" s="115"/>
      <c r="AK1200" s="306" t="str">
        <f>IF(ISNUMBER(Table1[[#This Row],[FECHA DE RECIBIDO]]), Table1[[#This Row],[FECHA DE RECIBIDO]]-DATE(2023,8,30), "")</f>
        <v/>
      </c>
    </row>
    <row r="1201" spans="1:37" ht="16.05" customHeight="1">
      <c r="A1201" s="152"/>
      <c r="B1201" s="153"/>
      <c r="C1201" s="126" t="s">
        <v>2836</v>
      </c>
      <c r="D1201">
        <v>775</v>
      </c>
      <c r="E1201" s="126" t="s">
        <v>2001</v>
      </c>
      <c r="F1201" s="125" t="s">
        <v>1607</v>
      </c>
      <c r="G1201" s="125" t="s">
        <v>134</v>
      </c>
      <c r="H1201">
        <v>23</v>
      </c>
      <c r="I1201" s="125" t="s">
        <v>1546</v>
      </c>
      <c r="J1201" s="308" t="s">
        <v>214</v>
      </c>
      <c r="K1201" s="127">
        <v>2</v>
      </c>
      <c r="L1201" s="153" t="s">
        <v>3306</v>
      </c>
      <c r="M1201">
        <v>342</v>
      </c>
      <c r="N1201" s="123">
        <v>1</v>
      </c>
      <c r="O1201">
        <v>783</v>
      </c>
      <c r="P1201" s="132" t="s">
        <v>77</v>
      </c>
      <c r="Q1201" s="132">
        <v>16.149999999999999</v>
      </c>
      <c r="R1201" s="132">
        <v>2.58</v>
      </c>
      <c r="S1201" s="132"/>
      <c r="T1201" s="156"/>
      <c r="U1201" s="132"/>
      <c r="V1201" s="132">
        <v>18.729999999999997</v>
      </c>
      <c r="W1201">
        <v>25</v>
      </c>
      <c r="X1201" s="153" t="s">
        <v>2024</v>
      </c>
      <c r="Y1201" s="124" t="s">
        <v>55</v>
      </c>
      <c r="Z1201" s="308">
        <v>225</v>
      </c>
      <c r="AB1201" t="str">
        <f>IF(Table1[[#This Row],[TIPO2]]="costo", VLOOKUP(Table1[[#This Row],[PARTIDA PRESUPUESTAL]],'Cost Report'!G:G,1,0),"Balance")</f>
        <v>3442-025</v>
      </c>
      <c r="AC1201" s="118"/>
      <c r="AD1201" s="159">
        <f>+Table1[[#This Row],[SUBTOTAL]]+Table1[[#This Row],[IVA]]-Table1[[#This Row],[RET IVA]]-Table1[[#This Row],[RET ISR]]-Table1[[#This Row],[TOTAL]]</f>
        <v>0</v>
      </c>
      <c r="AE1201" s="152"/>
      <c r="AF1201" s="153"/>
      <c r="AG1201" s="126"/>
      <c r="AH1201" s="115"/>
      <c r="AK1201" s="306" t="str">
        <f>IF(ISNUMBER(Table1[[#This Row],[FECHA DE RECIBIDO]]), Table1[[#This Row],[FECHA DE RECIBIDO]]-DATE(2023,8,30), "")</f>
        <v/>
      </c>
    </row>
    <row r="1202" spans="1:37" ht="16.05" customHeight="1">
      <c r="A1202" s="150"/>
      <c r="B1202" s="151"/>
      <c r="C1202" s="126" t="s">
        <v>2836</v>
      </c>
      <c r="D1202">
        <v>775</v>
      </c>
      <c r="E1202" s="126" t="s">
        <v>2001</v>
      </c>
      <c r="F1202" s="122" t="s">
        <v>1607</v>
      </c>
      <c r="G1202" s="122" t="s">
        <v>134</v>
      </c>
      <c r="H1202">
        <v>23</v>
      </c>
      <c r="I1202" s="122" t="s">
        <v>1546</v>
      </c>
      <c r="J1202" s="307" t="s">
        <v>214</v>
      </c>
      <c r="K1202" s="127">
        <v>2</v>
      </c>
      <c r="L1202" s="151" t="s">
        <v>3306</v>
      </c>
      <c r="M1202">
        <v>342</v>
      </c>
      <c r="N1202" s="123">
        <v>1</v>
      </c>
      <c r="O1202">
        <v>783</v>
      </c>
      <c r="P1202" s="132" t="s">
        <v>77</v>
      </c>
      <c r="Q1202" s="131">
        <v>16.149999999999999</v>
      </c>
      <c r="R1202" s="131">
        <v>2.58</v>
      </c>
      <c r="S1202" s="131"/>
      <c r="T1202" s="155"/>
      <c r="U1202" s="131"/>
      <c r="V1202" s="131">
        <v>18.729999999999997</v>
      </c>
      <c r="W1202">
        <v>25</v>
      </c>
      <c r="X1202" s="151" t="s">
        <v>2024</v>
      </c>
      <c r="Y1202" s="135" t="s">
        <v>55</v>
      </c>
      <c r="Z1202" s="307">
        <v>225</v>
      </c>
      <c r="AB1202" t="str">
        <f>IF(Table1[[#This Row],[TIPO2]]="costo", VLOOKUP(Table1[[#This Row],[PARTIDA PRESUPUESTAL]],'Cost Report'!G:G,1,0),"Balance")</f>
        <v>3442-025</v>
      </c>
      <c r="AC1202" s="118"/>
      <c r="AD1202" s="159">
        <f>+Table1[[#This Row],[SUBTOTAL]]+Table1[[#This Row],[IVA]]-Table1[[#This Row],[RET IVA]]-Table1[[#This Row],[RET ISR]]-Table1[[#This Row],[TOTAL]]</f>
        <v>0</v>
      </c>
      <c r="AE1202" s="150"/>
      <c r="AF1202" s="151"/>
      <c r="AG1202" s="126"/>
      <c r="AH1202" s="115"/>
      <c r="AK1202" s="306" t="str">
        <f>IF(ISNUMBER(Table1[[#This Row],[FECHA DE RECIBIDO]]), Table1[[#This Row],[FECHA DE RECIBIDO]]-DATE(2023,8,30), "")</f>
        <v/>
      </c>
    </row>
    <row r="1203" spans="1:37" ht="16.05" customHeight="1">
      <c r="A1203" s="152"/>
      <c r="B1203" s="153"/>
      <c r="C1203" s="126" t="s">
        <v>2836</v>
      </c>
      <c r="D1203">
        <v>775</v>
      </c>
      <c r="E1203" s="126" t="s">
        <v>2001</v>
      </c>
      <c r="F1203" s="125" t="s">
        <v>1607</v>
      </c>
      <c r="G1203" s="125" t="s">
        <v>134</v>
      </c>
      <c r="H1203">
        <v>23</v>
      </c>
      <c r="I1203" s="125" t="s">
        <v>1546</v>
      </c>
      <c r="J1203" s="308" t="s">
        <v>214</v>
      </c>
      <c r="K1203" s="127">
        <v>2</v>
      </c>
      <c r="L1203" s="153" t="s">
        <v>3306</v>
      </c>
      <c r="M1203">
        <v>342</v>
      </c>
      <c r="N1203" s="123">
        <v>1</v>
      </c>
      <c r="O1203">
        <v>783</v>
      </c>
      <c r="P1203" s="132" t="s">
        <v>77</v>
      </c>
      <c r="Q1203" s="132">
        <v>32.299999999999997</v>
      </c>
      <c r="R1203" s="132">
        <v>5.18</v>
      </c>
      <c r="S1203" s="132"/>
      <c r="T1203" s="156"/>
      <c r="U1203" s="132"/>
      <c r="V1203" s="132">
        <v>37.479999999999997</v>
      </c>
      <c r="W1203">
        <v>25</v>
      </c>
      <c r="X1203" s="153" t="s">
        <v>2024</v>
      </c>
      <c r="Y1203" s="124" t="s">
        <v>55</v>
      </c>
      <c r="Z1203" s="308">
        <v>225</v>
      </c>
      <c r="AB1203" t="str">
        <f>IF(Table1[[#This Row],[TIPO2]]="costo", VLOOKUP(Table1[[#This Row],[PARTIDA PRESUPUESTAL]],'Cost Report'!G:G,1,0),"Balance")</f>
        <v>3442-025</v>
      </c>
      <c r="AC1203" s="118"/>
      <c r="AD1203" s="159">
        <f>+Table1[[#This Row],[SUBTOTAL]]+Table1[[#This Row],[IVA]]-Table1[[#This Row],[RET IVA]]-Table1[[#This Row],[RET ISR]]-Table1[[#This Row],[TOTAL]]</f>
        <v>0</v>
      </c>
      <c r="AE1203" s="152"/>
      <c r="AF1203" s="153"/>
      <c r="AG1203" s="126"/>
      <c r="AH1203" s="115"/>
      <c r="AK1203" s="306" t="str">
        <f>IF(ISNUMBER(Table1[[#This Row],[FECHA DE RECIBIDO]]), Table1[[#This Row],[FECHA DE RECIBIDO]]-DATE(2023,8,30), "")</f>
        <v/>
      </c>
    </row>
    <row r="1204" spans="1:37" ht="16.05" customHeight="1">
      <c r="A1204" s="150"/>
      <c r="B1204" s="151"/>
      <c r="C1204" s="126" t="s">
        <v>2836</v>
      </c>
      <c r="D1204">
        <v>775</v>
      </c>
      <c r="E1204" s="126" t="s">
        <v>2001</v>
      </c>
      <c r="F1204" s="122" t="s">
        <v>1607</v>
      </c>
      <c r="G1204" s="122" t="s">
        <v>134</v>
      </c>
      <c r="H1204">
        <v>23</v>
      </c>
      <c r="I1204" s="122" t="s">
        <v>1546</v>
      </c>
      <c r="J1204" s="307" t="s">
        <v>214</v>
      </c>
      <c r="K1204" s="127">
        <v>2</v>
      </c>
      <c r="L1204" s="151" t="s">
        <v>3306</v>
      </c>
      <c r="M1204">
        <v>342</v>
      </c>
      <c r="N1204" s="123">
        <v>1</v>
      </c>
      <c r="O1204">
        <v>783</v>
      </c>
      <c r="P1204" s="132" t="s">
        <v>77</v>
      </c>
      <c r="Q1204" s="131">
        <v>789.04</v>
      </c>
      <c r="R1204" s="131">
        <v>126.25</v>
      </c>
      <c r="S1204" s="131"/>
      <c r="T1204" s="155"/>
      <c r="U1204" s="131"/>
      <c r="V1204" s="131">
        <v>915.29</v>
      </c>
      <c r="W1204">
        <v>25</v>
      </c>
      <c r="X1204" s="151" t="s">
        <v>2024</v>
      </c>
      <c r="Y1204" s="135" t="s">
        <v>55</v>
      </c>
      <c r="Z1204" s="307">
        <v>225</v>
      </c>
      <c r="AB1204" t="str">
        <f>IF(Table1[[#This Row],[TIPO2]]="costo", VLOOKUP(Table1[[#This Row],[PARTIDA PRESUPUESTAL]],'Cost Report'!G:G,1,0),"Balance")</f>
        <v>3442-025</v>
      </c>
      <c r="AC1204" s="118"/>
      <c r="AD1204" s="159">
        <f>+Table1[[#This Row],[SUBTOTAL]]+Table1[[#This Row],[IVA]]-Table1[[#This Row],[RET IVA]]-Table1[[#This Row],[RET ISR]]-Table1[[#This Row],[TOTAL]]</f>
        <v>0</v>
      </c>
      <c r="AE1204" s="150"/>
      <c r="AF1204" s="151"/>
      <c r="AG1204" s="126"/>
      <c r="AH1204" s="115"/>
      <c r="AK1204" s="306" t="str">
        <f>IF(ISNUMBER(Table1[[#This Row],[FECHA DE RECIBIDO]]), Table1[[#This Row],[FECHA DE RECIBIDO]]-DATE(2023,8,30), "")</f>
        <v/>
      </c>
    </row>
    <row r="1205" spans="1:37" ht="16.05" customHeight="1">
      <c r="A1205" s="152"/>
      <c r="B1205" s="153"/>
      <c r="C1205" s="126" t="s">
        <v>2838</v>
      </c>
      <c r="D1205">
        <v>775</v>
      </c>
      <c r="E1205" s="126" t="s">
        <v>2001</v>
      </c>
      <c r="F1205" s="125" t="s">
        <v>1607</v>
      </c>
      <c r="G1205" s="125" t="s">
        <v>134</v>
      </c>
      <c r="H1205">
        <v>23</v>
      </c>
      <c r="I1205" s="125" t="s">
        <v>1546</v>
      </c>
      <c r="J1205" s="308" t="s">
        <v>214</v>
      </c>
      <c r="K1205" s="127">
        <v>2</v>
      </c>
      <c r="L1205" s="153" t="s">
        <v>3306</v>
      </c>
      <c r="M1205">
        <v>342</v>
      </c>
      <c r="N1205" s="123">
        <v>1</v>
      </c>
      <c r="O1205">
        <v>783</v>
      </c>
      <c r="P1205" s="132" t="s">
        <v>77</v>
      </c>
      <c r="Q1205" s="132">
        <v>106.79</v>
      </c>
      <c r="R1205" s="132">
        <v>17.09</v>
      </c>
      <c r="S1205" s="132"/>
      <c r="T1205" s="156"/>
      <c r="U1205" s="132"/>
      <c r="V1205" s="132">
        <v>123.88000000000001</v>
      </c>
      <c r="W1205">
        <v>25</v>
      </c>
      <c r="X1205" s="153" t="s">
        <v>2024</v>
      </c>
      <c r="Y1205" s="124" t="s">
        <v>55</v>
      </c>
      <c r="Z1205" s="308">
        <v>225</v>
      </c>
      <c r="AB1205" t="str">
        <f>IF(Table1[[#This Row],[TIPO2]]="costo", VLOOKUP(Table1[[#This Row],[PARTIDA PRESUPUESTAL]],'Cost Report'!G:G,1,0),"Balance")</f>
        <v>3442-029</v>
      </c>
      <c r="AC1205" s="118"/>
      <c r="AD1205" s="159">
        <f>+Table1[[#This Row],[SUBTOTAL]]+Table1[[#This Row],[IVA]]-Table1[[#This Row],[RET IVA]]-Table1[[#This Row],[RET ISR]]-Table1[[#This Row],[TOTAL]]</f>
        <v>0</v>
      </c>
      <c r="AE1205" s="152"/>
      <c r="AF1205" s="153"/>
      <c r="AG1205" s="126"/>
      <c r="AH1205" s="115"/>
      <c r="AK1205" s="306" t="str">
        <f>IF(ISNUMBER(Table1[[#This Row],[FECHA DE RECIBIDO]]), Table1[[#This Row],[FECHA DE RECIBIDO]]-DATE(2023,8,30), "")</f>
        <v/>
      </c>
    </row>
    <row r="1206" spans="1:37" ht="16.05" customHeight="1">
      <c r="A1206" s="150"/>
      <c r="B1206" s="151"/>
      <c r="C1206" s="126" t="s">
        <v>2836</v>
      </c>
      <c r="D1206">
        <v>775</v>
      </c>
      <c r="E1206" s="126" t="s">
        <v>2001</v>
      </c>
      <c r="F1206" s="122" t="s">
        <v>1607</v>
      </c>
      <c r="G1206" s="122" t="s">
        <v>134</v>
      </c>
      <c r="H1206">
        <v>23</v>
      </c>
      <c r="I1206" s="122" t="s">
        <v>1546</v>
      </c>
      <c r="J1206" s="307" t="s">
        <v>214</v>
      </c>
      <c r="K1206" s="127">
        <v>2</v>
      </c>
      <c r="L1206" s="151" t="s">
        <v>3306</v>
      </c>
      <c r="M1206">
        <v>342</v>
      </c>
      <c r="N1206" s="123">
        <v>1</v>
      </c>
      <c r="O1206">
        <v>783</v>
      </c>
      <c r="P1206" s="132" t="s">
        <v>77</v>
      </c>
      <c r="Q1206" s="131">
        <v>311.45999999999998</v>
      </c>
      <c r="R1206" s="131">
        <v>49.83</v>
      </c>
      <c r="S1206" s="131"/>
      <c r="T1206" s="155"/>
      <c r="U1206" s="131"/>
      <c r="V1206" s="131">
        <v>361.28999999999996</v>
      </c>
      <c r="W1206">
        <v>25</v>
      </c>
      <c r="X1206" s="151" t="s">
        <v>2024</v>
      </c>
      <c r="Y1206" s="135" t="s">
        <v>55</v>
      </c>
      <c r="Z1206" s="307">
        <v>225</v>
      </c>
      <c r="AB1206" t="str">
        <f>IF(Table1[[#This Row],[TIPO2]]="costo", VLOOKUP(Table1[[#This Row],[PARTIDA PRESUPUESTAL]],'Cost Report'!G:G,1,0),"Balance")</f>
        <v>3442-025</v>
      </c>
      <c r="AC1206" s="118"/>
      <c r="AD1206" s="159">
        <f>+Table1[[#This Row],[SUBTOTAL]]+Table1[[#This Row],[IVA]]-Table1[[#This Row],[RET IVA]]-Table1[[#This Row],[RET ISR]]-Table1[[#This Row],[TOTAL]]</f>
        <v>0</v>
      </c>
      <c r="AE1206" s="150"/>
      <c r="AF1206" s="151"/>
      <c r="AG1206" s="126"/>
      <c r="AH1206" s="115"/>
      <c r="AK1206" s="306" t="str">
        <f>IF(ISNUMBER(Table1[[#This Row],[FECHA DE RECIBIDO]]), Table1[[#This Row],[FECHA DE RECIBIDO]]-DATE(2023,8,30), "")</f>
        <v/>
      </c>
    </row>
    <row r="1207" spans="1:37" ht="16.05" customHeight="1">
      <c r="A1207" s="152"/>
      <c r="B1207" s="153"/>
      <c r="C1207" s="126" t="s">
        <v>2838</v>
      </c>
      <c r="D1207">
        <v>775</v>
      </c>
      <c r="E1207" s="126" t="s">
        <v>2001</v>
      </c>
      <c r="F1207" s="125" t="s">
        <v>1607</v>
      </c>
      <c r="G1207" s="125" t="s">
        <v>134</v>
      </c>
      <c r="H1207">
        <v>23</v>
      </c>
      <c r="I1207" s="125" t="s">
        <v>1546</v>
      </c>
      <c r="J1207" s="308" t="s">
        <v>214</v>
      </c>
      <c r="K1207" s="127">
        <v>2</v>
      </c>
      <c r="L1207" s="153" t="s">
        <v>3306</v>
      </c>
      <c r="M1207">
        <v>342</v>
      </c>
      <c r="N1207" s="123">
        <v>1</v>
      </c>
      <c r="O1207">
        <v>783</v>
      </c>
      <c r="P1207" s="132" t="s">
        <v>77</v>
      </c>
      <c r="Q1207" s="132">
        <v>47.46</v>
      </c>
      <c r="R1207" s="132">
        <v>7.59</v>
      </c>
      <c r="S1207" s="132"/>
      <c r="T1207" s="156"/>
      <c r="U1207" s="132"/>
      <c r="V1207" s="132">
        <v>55.05</v>
      </c>
      <c r="W1207">
        <v>25</v>
      </c>
      <c r="X1207" s="153" t="s">
        <v>2024</v>
      </c>
      <c r="Y1207" s="124" t="s">
        <v>55</v>
      </c>
      <c r="Z1207" s="308">
        <v>225</v>
      </c>
      <c r="AB1207" t="str">
        <f>IF(Table1[[#This Row],[TIPO2]]="costo", VLOOKUP(Table1[[#This Row],[PARTIDA PRESUPUESTAL]],'Cost Report'!G:G,1,0),"Balance")</f>
        <v>3442-029</v>
      </c>
      <c r="AC1207" s="118"/>
      <c r="AD1207" s="159">
        <f>+Table1[[#This Row],[SUBTOTAL]]+Table1[[#This Row],[IVA]]-Table1[[#This Row],[RET IVA]]-Table1[[#This Row],[RET ISR]]-Table1[[#This Row],[TOTAL]]</f>
        <v>0</v>
      </c>
      <c r="AE1207" s="152"/>
      <c r="AF1207" s="153"/>
      <c r="AG1207" s="126"/>
      <c r="AH1207" s="115"/>
      <c r="AK1207" s="306" t="str">
        <f>IF(ISNUMBER(Table1[[#This Row],[FECHA DE RECIBIDO]]), Table1[[#This Row],[FECHA DE RECIBIDO]]-DATE(2023,8,30), "")</f>
        <v/>
      </c>
    </row>
    <row r="1208" spans="1:37" ht="16.05" customHeight="1">
      <c r="A1208" s="150" t="s">
        <v>3441</v>
      </c>
      <c r="B1208" s="151">
        <v>523</v>
      </c>
      <c r="C1208" s="126" t="s">
        <v>2864</v>
      </c>
      <c r="D1208">
        <v>776</v>
      </c>
      <c r="E1208" s="126" t="s">
        <v>2001</v>
      </c>
      <c r="F1208" s="122" t="s">
        <v>1607</v>
      </c>
      <c r="G1208" s="122" t="s">
        <v>134</v>
      </c>
      <c r="H1208">
        <v>23</v>
      </c>
      <c r="I1208" s="122" t="s">
        <v>1546</v>
      </c>
      <c r="J1208" s="307" t="s">
        <v>214</v>
      </c>
      <c r="K1208" s="127">
        <v>2</v>
      </c>
      <c r="L1208" s="151" t="s">
        <v>3306</v>
      </c>
      <c r="M1208">
        <v>342</v>
      </c>
      <c r="N1208" s="123">
        <v>1</v>
      </c>
      <c r="O1208">
        <v>784</v>
      </c>
      <c r="P1208" s="132" t="s">
        <v>77</v>
      </c>
      <c r="Q1208" s="131">
        <v>11006.45</v>
      </c>
      <c r="R1208" s="131">
        <v>1761.03</v>
      </c>
      <c r="S1208" s="131"/>
      <c r="T1208" s="155"/>
      <c r="U1208" s="131"/>
      <c r="V1208" s="131">
        <v>12767.480000000001</v>
      </c>
      <c r="W1208">
        <v>25</v>
      </c>
      <c r="X1208" s="151" t="s">
        <v>2024</v>
      </c>
      <c r="Y1208" s="135" t="s">
        <v>55</v>
      </c>
      <c r="Z1208" s="307">
        <v>225</v>
      </c>
      <c r="AB1208" t="str">
        <f>IF(Table1[[#This Row],[TIPO2]]="costo", VLOOKUP(Table1[[#This Row],[PARTIDA PRESUPUESTAL]],'Cost Report'!G:G,1,0),"Balance")</f>
        <v>3632-003</v>
      </c>
      <c r="AC1208" s="118"/>
      <c r="AD1208" s="159">
        <f>+Table1[[#This Row],[SUBTOTAL]]+Table1[[#This Row],[IVA]]-Table1[[#This Row],[RET IVA]]-Table1[[#This Row],[RET ISR]]-Table1[[#This Row],[TOTAL]]</f>
        <v>0</v>
      </c>
      <c r="AE1208" s="150"/>
      <c r="AF1208" s="151"/>
      <c r="AG1208" s="126"/>
      <c r="AH1208" s="115"/>
      <c r="AK1208" s="306" t="str">
        <f>IF(ISNUMBER(Table1[[#This Row],[FECHA DE RECIBIDO]]), Table1[[#This Row],[FECHA DE RECIBIDO]]-DATE(2023,8,30), "")</f>
        <v/>
      </c>
    </row>
    <row r="1209" spans="1:37" ht="16.05" customHeight="1">
      <c r="A1209" s="152" t="s">
        <v>3442</v>
      </c>
      <c r="B1209" s="153">
        <v>524</v>
      </c>
      <c r="C1209" s="126" t="s">
        <v>2992</v>
      </c>
      <c r="D1209">
        <v>777</v>
      </c>
      <c r="E1209" s="126" t="s">
        <v>2001</v>
      </c>
      <c r="F1209" s="125" t="s">
        <v>1607</v>
      </c>
      <c r="G1209" s="125" t="s">
        <v>134</v>
      </c>
      <c r="H1209">
        <v>23</v>
      </c>
      <c r="I1209" s="125" t="s">
        <v>1546</v>
      </c>
      <c r="J1209" s="308" t="s">
        <v>214</v>
      </c>
      <c r="K1209" s="127">
        <v>2</v>
      </c>
      <c r="L1209" s="153" t="s">
        <v>3306</v>
      </c>
      <c r="M1209">
        <v>342</v>
      </c>
      <c r="N1209" s="123">
        <v>1</v>
      </c>
      <c r="O1209">
        <v>785</v>
      </c>
      <c r="P1209" s="132" t="s">
        <v>77</v>
      </c>
      <c r="Q1209" s="132">
        <v>627.73</v>
      </c>
      <c r="R1209" s="132">
        <v>100.43</v>
      </c>
      <c r="S1209" s="132"/>
      <c r="T1209" s="156"/>
      <c r="U1209" s="132"/>
      <c r="V1209" s="132">
        <v>728.16000000000008</v>
      </c>
      <c r="W1209">
        <v>25</v>
      </c>
      <c r="X1209" s="153" t="s">
        <v>2024</v>
      </c>
      <c r="Y1209" s="124" t="s">
        <v>55</v>
      </c>
      <c r="Z1209" s="308">
        <v>225</v>
      </c>
      <c r="AB1209" t="str">
        <f>IF(Table1[[#This Row],[TIPO2]]="costo", VLOOKUP(Table1[[#This Row],[PARTIDA PRESUPUESTAL]],'Cost Report'!G:G,1,0),"Balance")</f>
        <v>3936-004</v>
      </c>
      <c r="AC1209" s="118"/>
      <c r="AD1209" s="159">
        <f>+Table1[[#This Row],[SUBTOTAL]]+Table1[[#This Row],[IVA]]-Table1[[#This Row],[RET IVA]]-Table1[[#This Row],[RET ISR]]-Table1[[#This Row],[TOTAL]]</f>
        <v>0</v>
      </c>
      <c r="AE1209" s="152"/>
      <c r="AF1209" s="153"/>
      <c r="AG1209" s="126"/>
      <c r="AH1209" s="115"/>
      <c r="AK1209" s="306" t="str">
        <f>IF(ISNUMBER(Table1[[#This Row],[FECHA DE RECIBIDO]]), Table1[[#This Row],[FECHA DE RECIBIDO]]-DATE(2023,8,30), "")</f>
        <v/>
      </c>
    </row>
    <row r="1210" spans="1:37" ht="16.05" customHeight="1">
      <c r="A1210" s="150"/>
      <c r="B1210" s="151"/>
      <c r="C1210" s="126" t="s">
        <v>2992</v>
      </c>
      <c r="D1210">
        <v>777</v>
      </c>
      <c r="E1210" s="126" t="s">
        <v>2001</v>
      </c>
      <c r="F1210" s="122" t="s">
        <v>1607</v>
      </c>
      <c r="G1210" s="122" t="s">
        <v>134</v>
      </c>
      <c r="H1210">
        <v>23</v>
      </c>
      <c r="I1210" s="122" t="s">
        <v>1546</v>
      </c>
      <c r="J1210" s="307" t="s">
        <v>214</v>
      </c>
      <c r="K1210" s="127">
        <v>2</v>
      </c>
      <c r="L1210" s="151" t="s">
        <v>3306</v>
      </c>
      <c r="M1210">
        <v>342</v>
      </c>
      <c r="N1210" s="123">
        <v>1</v>
      </c>
      <c r="O1210">
        <v>785</v>
      </c>
      <c r="P1210" s="132" t="s">
        <v>77</v>
      </c>
      <c r="Q1210" s="131">
        <v>627.73</v>
      </c>
      <c r="R1210" s="131">
        <v>100.43</v>
      </c>
      <c r="S1210" s="131"/>
      <c r="T1210" s="155"/>
      <c r="U1210" s="131"/>
      <c r="V1210" s="131">
        <v>728.16000000000008</v>
      </c>
      <c r="W1210">
        <v>25</v>
      </c>
      <c r="X1210" s="151" t="s">
        <v>2024</v>
      </c>
      <c r="Y1210" s="135" t="s">
        <v>55</v>
      </c>
      <c r="Z1210" s="307">
        <v>225</v>
      </c>
      <c r="AB1210" t="str">
        <f>IF(Table1[[#This Row],[TIPO2]]="costo", VLOOKUP(Table1[[#This Row],[PARTIDA PRESUPUESTAL]],'Cost Report'!G:G,1,0),"Balance")</f>
        <v>3936-004</v>
      </c>
      <c r="AC1210" s="118"/>
      <c r="AD1210" s="159">
        <f>+Table1[[#This Row],[SUBTOTAL]]+Table1[[#This Row],[IVA]]-Table1[[#This Row],[RET IVA]]-Table1[[#This Row],[RET ISR]]-Table1[[#This Row],[TOTAL]]</f>
        <v>0</v>
      </c>
      <c r="AE1210" s="150"/>
      <c r="AF1210" s="151"/>
      <c r="AG1210" s="126"/>
      <c r="AH1210" s="115"/>
      <c r="AK1210" s="306" t="str">
        <f>IF(ISNUMBER(Table1[[#This Row],[FECHA DE RECIBIDO]]), Table1[[#This Row],[FECHA DE RECIBIDO]]-DATE(2023,8,30), "")</f>
        <v/>
      </c>
    </row>
    <row r="1211" spans="1:37" ht="16.05" customHeight="1">
      <c r="A1211" s="152"/>
      <c r="B1211" s="153"/>
      <c r="C1211" s="126" t="s">
        <v>2994</v>
      </c>
      <c r="D1211">
        <v>777</v>
      </c>
      <c r="E1211" s="126" t="s">
        <v>2001</v>
      </c>
      <c r="F1211" s="125" t="s">
        <v>1607</v>
      </c>
      <c r="G1211" s="125" t="s">
        <v>134</v>
      </c>
      <c r="H1211">
        <v>23</v>
      </c>
      <c r="I1211" s="125" t="s">
        <v>1546</v>
      </c>
      <c r="J1211" s="308" t="s">
        <v>214</v>
      </c>
      <c r="K1211" s="127">
        <v>2</v>
      </c>
      <c r="L1211" s="153" t="s">
        <v>3306</v>
      </c>
      <c r="M1211">
        <v>342</v>
      </c>
      <c r="N1211" s="123">
        <v>1</v>
      </c>
      <c r="O1211">
        <v>785</v>
      </c>
      <c r="P1211" s="132" t="s">
        <v>77</v>
      </c>
      <c r="Q1211" s="132">
        <v>324.69</v>
      </c>
      <c r="R1211" s="132">
        <v>51.95</v>
      </c>
      <c r="S1211" s="132"/>
      <c r="T1211" s="156"/>
      <c r="U1211" s="132"/>
      <c r="V1211" s="132">
        <v>376.64</v>
      </c>
      <c r="W1211">
        <v>25</v>
      </c>
      <c r="X1211" s="153" t="s">
        <v>2024</v>
      </c>
      <c r="Y1211" s="124" t="s">
        <v>55</v>
      </c>
      <c r="Z1211" s="308">
        <v>225</v>
      </c>
      <c r="AB1211" t="str">
        <f>IF(Table1[[#This Row],[TIPO2]]="costo", VLOOKUP(Table1[[#This Row],[PARTIDA PRESUPUESTAL]],'Cost Report'!G:G,1,0),"Balance")</f>
        <v>3936-008</v>
      </c>
      <c r="AC1211" s="118"/>
      <c r="AD1211" s="159">
        <f>+Table1[[#This Row],[SUBTOTAL]]+Table1[[#This Row],[IVA]]-Table1[[#This Row],[RET IVA]]-Table1[[#This Row],[RET ISR]]-Table1[[#This Row],[TOTAL]]</f>
        <v>0</v>
      </c>
      <c r="AE1211" s="152"/>
      <c r="AF1211" s="153"/>
      <c r="AG1211" s="126"/>
      <c r="AH1211" s="115"/>
      <c r="AK1211" s="306" t="str">
        <f>IF(ISNUMBER(Table1[[#This Row],[FECHA DE RECIBIDO]]), Table1[[#This Row],[FECHA DE RECIBIDO]]-DATE(2023,8,30), "")</f>
        <v/>
      </c>
    </row>
    <row r="1212" spans="1:37" ht="16.05" customHeight="1">
      <c r="A1212" s="150"/>
      <c r="B1212" s="151"/>
      <c r="C1212" s="126" t="s">
        <v>2995</v>
      </c>
      <c r="D1212">
        <v>777</v>
      </c>
      <c r="E1212" s="126" t="s">
        <v>2001</v>
      </c>
      <c r="F1212" s="122" t="s">
        <v>1607</v>
      </c>
      <c r="G1212" s="122" t="s">
        <v>134</v>
      </c>
      <c r="H1212">
        <v>23</v>
      </c>
      <c r="I1212" s="122" t="s">
        <v>1546</v>
      </c>
      <c r="J1212" s="307" t="s">
        <v>214</v>
      </c>
      <c r="K1212" s="127">
        <v>2</v>
      </c>
      <c r="L1212" s="151" t="s">
        <v>3306</v>
      </c>
      <c r="M1212">
        <v>342</v>
      </c>
      <c r="N1212" s="123">
        <v>1</v>
      </c>
      <c r="O1212">
        <v>785</v>
      </c>
      <c r="P1212" s="132" t="s">
        <v>77</v>
      </c>
      <c r="Q1212" s="131">
        <v>324.69</v>
      </c>
      <c r="R1212" s="131">
        <v>51.95</v>
      </c>
      <c r="S1212" s="131"/>
      <c r="T1212" s="155"/>
      <c r="U1212" s="131"/>
      <c r="V1212" s="131">
        <v>376.64</v>
      </c>
      <c r="W1212">
        <v>25</v>
      </c>
      <c r="X1212" s="151" t="s">
        <v>2024</v>
      </c>
      <c r="Y1212" s="135" t="s">
        <v>55</v>
      </c>
      <c r="Z1212" s="307">
        <v>225</v>
      </c>
      <c r="AB1212" t="str">
        <f>IF(Table1[[#This Row],[TIPO2]]="costo", VLOOKUP(Table1[[#This Row],[PARTIDA PRESUPUESTAL]],'Cost Report'!G:G,1,0),"Balance")</f>
        <v>3936-009</v>
      </c>
      <c r="AC1212" s="118"/>
      <c r="AD1212" s="159">
        <f>+Table1[[#This Row],[SUBTOTAL]]+Table1[[#This Row],[IVA]]-Table1[[#This Row],[RET IVA]]-Table1[[#This Row],[RET ISR]]-Table1[[#This Row],[TOTAL]]</f>
        <v>0</v>
      </c>
      <c r="AE1212" s="150"/>
      <c r="AF1212" s="151"/>
      <c r="AG1212" s="126"/>
      <c r="AH1212" s="115"/>
      <c r="AK1212" s="306" t="str">
        <f>IF(ISNUMBER(Table1[[#This Row],[FECHA DE RECIBIDO]]), Table1[[#This Row],[FECHA DE RECIBIDO]]-DATE(2023,8,30), "")</f>
        <v/>
      </c>
    </row>
    <row r="1213" spans="1:37" ht="16.05" customHeight="1">
      <c r="A1213" s="152"/>
      <c r="B1213" s="153"/>
      <c r="C1213" s="126" t="s">
        <v>2991</v>
      </c>
      <c r="D1213">
        <v>777</v>
      </c>
      <c r="E1213" s="126" t="s">
        <v>2001</v>
      </c>
      <c r="F1213" s="125" t="s">
        <v>1607</v>
      </c>
      <c r="G1213" s="125" t="s">
        <v>134</v>
      </c>
      <c r="H1213">
        <v>23</v>
      </c>
      <c r="I1213" s="125" t="s">
        <v>1546</v>
      </c>
      <c r="J1213" s="308" t="s">
        <v>214</v>
      </c>
      <c r="K1213" s="127">
        <v>2</v>
      </c>
      <c r="L1213" s="153" t="s">
        <v>3306</v>
      </c>
      <c r="M1213">
        <v>342</v>
      </c>
      <c r="N1213" s="123">
        <v>1</v>
      </c>
      <c r="O1213">
        <v>785</v>
      </c>
      <c r="P1213" s="132" t="s">
        <v>77</v>
      </c>
      <c r="Q1213" s="132">
        <v>93.16</v>
      </c>
      <c r="R1213" s="132">
        <v>14.9</v>
      </c>
      <c r="S1213" s="132"/>
      <c r="T1213" s="156"/>
      <c r="U1213" s="132"/>
      <c r="V1213" s="132">
        <v>108.06</v>
      </c>
      <c r="W1213">
        <v>25</v>
      </c>
      <c r="X1213" s="153" t="s">
        <v>2024</v>
      </c>
      <c r="Y1213" s="124" t="s">
        <v>55</v>
      </c>
      <c r="Z1213" s="308">
        <v>225</v>
      </c>
      <c r="AB1213" t="str">
        <f>IF(Table1[[#This Row],[TIPO2]]="costo", VLOOKUP(Table1[[#This Row],[PARTIDA PRESUPUESTAL]],'Cost Report'!G:G,1,0),"Balance")</f>
        <v>3936-003</v>
      </c>
      <c r="AC1213" s="118"/>
      <c r="AD1213" s="159">
        <f>+Table1[[#This Row],[SUBTOTAL]]+Table1[[#This Row],[IVA]]-Table1[[#This Row],[RET IVA]]-Table1[[#This Row],[RET ISR]]-Table1[[#This Row],[TOTAL]]</f>
        <v>0</v>
      </c>
      <c r="AE1213" s="152"/>
      <c r="AF1213" s="153"/>
      <c r="AG1213" s="126"/>
      <c r="AH1213" s="115"/>
      <c r="AK1213" s="306" t="str">
        <f>IF(ISNUMBER(Table1[[#This Row],[FECHA DE RECIBIDO]]), Table1[[#This Row],[FECHA DE RECIBIDO]]-DATE(2023,8,30), "")</f>
        <v/>
      </c>
    </row>
    <row r="1214" spans="1:37" ht="16.05" customHeight="1">
      <c r="A1214" s="150"/>
      <c r="B1214" s="151"/>
      <c r="C1214" s="126" t="s">
        <v>2992</v>
      </c>
      <c r="D1214">
        <v>777</v>
      </c>
      <c r="E1214" s="126" t="s">
        <v>2001</v>
      </c>
      <c r="F1214" s="122" t="s">
        <v>1607</v>
      </c>
      <c r="G1214" s="122" t="s">
        <v>134</v>
      </c>
      <c r="H1214">
        <v>23</v>
      </c>
      <c r="I1214" s="122" t="s">
        <v>1546</v>
      </c>
      <c r="J1214" s="307" t="s">
        <v>214</v>
      </c>
      <c r="K1214" s="127">
        <v>2</v>
      </c>
      <c r="L1214" s="151" t="s">
        <v>3306</v>
      </c>
      <c r="M1214">
        <v>342</v>
      </c>
      <c r="N1214" s="123">
        <v>1</v>
      </c>
      <c r="O1214">
        <v>785</v>
      </c>
      <c r="P1214" s="132" t="s">
        <v>77</v>
      </c>
      <c r="Q1214" s="131">
        <v>93.16</v>
      </c>
      <c r="R1214" s="131">
        <v>14.9</v>
      </c>
      <c r="S1214" s="131"/>
      <c r="T1214" s="155"/>
      <c r="U1214" s="131"/>
      <c r="V1214" s="131">
        <v>108.06</v>
      </c>
      <c r="W1214">
        <v>25</v>
      </c>
      <c r="X1214" s="151" t="s">
        <v>2024</v>
      </c>
      <c r="Y1214" s="135" t="s">
        <v>55</v>
      </c>
      <c r="Z1214" s="307">
        <v>225</v>
      </c>
      <c r="AB1214" t="str">
        <f>IF(Table1[[#This Row],[TIPO2]]="costo", VLOOKUP(Table1[[#This Row],[PARTIDA PRESUPUESTAL]],'Cost Report'!G:G,1,0),"Balance")</f>
        <v>3936-004</v>
      </c>
      <c r="AC1214" s="118"/>
      <c r="AD1214" s="159">
        <f>+Table1[[#This Row],[SUBTOTAL]]+Table1[[#This Row],[IVA]]-Table1[[#This Row],[RET IVA]]-Table1[[#This Row],[RET ISR]]-Table1[[#This Row],[TOTAL]]</f>
        <v>0</v>
      </c>
      <c r="AE1214" s="150"/>
      <c r="AF1214" s="151"/>
      <c r="AG1214" s="126"/>
      <c r="AH1214" s="115"/>
      <c r="AK1214" s="306" t="str">
        <f>IF(ISNUMBER(Table1[[#This Row],[FECHA DE RECIBIDO]]), Table1[[#This Row],[FECHA DE RECIBIDO]]-DATE(2023,8,30), "")</f>
        <v/>
      </c>
    </row>
    <row r="1215" spans="1:37" ht="16.05" customHeight="1">
      <c r="A1215" s="152"/>
      <c r="B1215" s="153"/>
      <c r="C1215" s="126" t="s">
        <v>2991</v>
      </c>
      <c r="D1215">
        <v>777</v>
      </c>
      <c r="E1215" s="126" t="s">
        <v>2001</v>
      </c>
      <c r="F1215" s="125" t="s">
        <v>1607</v>
      </c>
      <c r="G1215" s="125" t="s">
        <v>134</v>
      </c>
      <c r="H1215">
        <v>23</v>
      </c>
      <c r="I1215" s="125" t="s">
        <v>1546</v>
      </c>
      <c r="J1215" s="308" t="s">
        <v>214</v>
      </c>
      <c r="K1215" s="127">
        <v>2</v>
      </c>
      <c r="L1215" s="153" t="s">
        <v>3306</v>
      </c>
      <c r="M1215">
        <v>342</v>
      </c>
      <c r="N1215" s="123">
        <v>1</v>
      </c>
      <c r="O1215">
        <v>785</v>
      </c>
      <c r="P1215" s="132" t="s">
        <v>77</v>
      </c>
      <c r="Q1215" s="132">
        <v>62.1</v>
      </c>
      <c r="R1215" s="132">
        <v>9.93</v>
      </c>
      <c r="S1215" s="132"/>
      <c r="T1215" s="156"/>
      <c r="U1215" s="132"/>
      <c r="V1215" s="132">
        <v>72.03</v>
      </c>
      <c r="W1215">
        <v>25</v>
      </c>
      <c r="X1215" s="153" t="s">
        <v>2024</v>
      </c>
      <c r="Y1215" s="124" t="s">
        <v>55</v>
      </c>
      <c r="Z1215" s="308">
        <v>225</v>
      </c>
      <c r="AB1215" t="str">
        <f>IF(Table1[[#This Row],[TIPO2]]="costo", VLOOKUP(Table1[[#This Row],[PARTIDA PRESUPUESTAL]],'Cost Report'!G:G,1,0),"Balance")</f>
        <v>3936-003</v>
      </c>
      <c r="AC1215" s="118"/>
      <c r="AD1215" s="159">
        <f>+Table1[[#This Row],[SUBTOTAL]]+Table1[[#This Row],[IVA]]-Table1[[#This Row],[RET IVA]]-Table1[[#This Row],[RET ISR]]-Table1[[#This Row],[TOTAL]]</f>
        <v>0</v>
      </c>
      <c r="AE1215" s="152"/>
      <c r="AF1215" s="153"/>
      <c r="AG1215" s="126"/>
      <c r="AH1215" s="115"/>
      <c r="AK1215" s="306" t="str">
        <f>IF(ISNUMBER(Table1[[#This Row],[FECHA DE RECIBIDO]]), Table1[[#This Row],[FECHA DE RECIBIDO]]-DATE(2023,8,30), "")</f>
        <v/>
      </c>
    </row>
    <row r="1216" spans="1:37" ht="16.05" customHeight="1">
      <c r="A1216" s="150"/>
      <c r="B1216" s="151"/>
      <c r="C1216" s="126" t="s">
        <v>2991</v>
      </c>
      <c r="D1216">
        <v>777</v>
      </c>
      <c r="E1216" s="126" t="s">
        <v>2001</v>
      </c>
      <c r="F1216" s="122" t="s">
        <v>1607</v>
      </c>
      <c r="G1216" s="122" t="s">
        <v>134</v>
      </c>
      <c r="H1216">
        <v>23</v>
      </c>
      <c r="I1216" s="122" t="s">
        <v>1546</v>
      </c>
      <c r="J1216" s="307" t="s">
        <v>214</v>
      </c>
      <c r="K1216" s="127">
        <v>2</v>
      </c>
      <c r="L1216" s="151" t="s">
        <v>3306</v>
      </c>
      <c r="M1216">
        <v>342</v>
      </c>
      <c r="N1216" s="123">
        <v>1</v>
      </c>
      <c r="O1216">
        <v>785</v>
      </c>
      <c r="P1216" s="132" t="s">
        <v>77</v>
      </c>
      <c r="Q1216" s="131">
        <v>62.1</v>
      </c>
      <c r="R1216" s="131">
        <v>9.94</v>
      </c>
      <c r="S1216" s="131"/>
      <c r="T1216" s="155"/>
      <c r="U1216" s="131"/>
      <c r="V1216" s="131">
        <v>72.040000000000006</v>
      </c>
      <c r="W1216">
        <v>25</v>
      </c>
      <c r="X1216" s="151" t="s">
        <v>2024</v>
      </c>
      <c r="Y1216" s="135" t="s">
        <v>55</v>
      </c>
      <c r="Z1216" s="307">
        <v>225</v>
      </c>
      <c r="AB1216" t="str">
        <f>IF(Table1[[#This Row],[TIPO2]]="costo", VLOOKUP(Table1[[#This Row],[PARTIDA PRESUPUESTAL]],'Cost Report'!G:G,1,0),"Balance")</f>
        <v>3936-003</v>
      </c>
      <c r="AC1216" s="118"/>
      <c r="AD1216" s="159">
        <f>+Table1[[#This Row],[SUBTOTAL]]+Table1[[#This Row],[IVA]]-Table1[[#This Row],[RET IVA]]-Table1[[#This Row],[RET ISR]]-Table1[[#This Row],[TOTAL]]</f>
        <v>0</v>
      </c>
      <c r="AE1216" s="150"/>
      <c r="AF1216" s="151"/>
      <c r="AG1216" s="126"/>
      <c r="AH1216" s="115"/>
      <c r="AK1216" s="306" t="str">
        <f>IF(ISNUMBER(Table1[[#This Row],[FECHA DE RECIBIDO]]), Table1[[#This Row],[FECHA DE RECIBIDO]]-DATE(2023,8,30), "")</f>
        <v/>
      </c>
    </row>
    <row r="1217" spans="1:37" ht="16.05" customHeight="1">
      <c r="A1217" s="152" t="s">
        <v>3723</v>
      </c>
      <c r="B1217" s="153">
        <v>744</v>
      </c>
      <c r="C1217" s="126" t="s">
        <v>1035</v>
      </c>
      <c r="D1217">
        <v>778</v>
      </c>
      <c r="E1217" s="126" t="s">
        <v>2001</v>
      </c>
      <c r="F1217" s="125" t="s">
        <v>1607</v>
      </c>
      <c r="G1217" s="125" t="s">
        <v>134</v>
      </c>
      <c r="H1217">
        <v>23</v>
      </c>
      <c r="I1217" s="125" t="s">
        <v>1546</v>
      </c>
      <c r="J1217" s="308" t="s">
        <v>214</v>
      </c>
      <c r="K1217" s="127">
        <v>3</v>
      </c>
      <c r="L1217" s="153" t="s">
        <v>3306</v>
      </c>
      <c r="M1217">
        <v>343</v>
      </c>
      <c r="N1217" s="123">
        <v>1</v>
      </c>
      <c r="O1217">
        <v>786</v>
      </c>
      <c r="P1217" s="132" t="s">
        <v>77</v>
      </c>
      <c r="Q1217" s="132">
        <v>14193.04</v>
      </c>
      <c r="R1217" s="132">
        <v>2270.89</v>
      </c>
      <c r="S1217" s="132"/>
      <c r="T1217" s="156">
        <v>0</v>
      </c>
      <c r="U1217" s="132">
        <v>0</v>
      </c>
      <c r="V1217" s="132">
        <v>16463.93</v>
      </c>
      <c r="W1217">
        <v>25</v>
      </c>
      <c r="X1217" s="153" t="s">
        <v>2024</v>
      </c>
      <c r="Y1217" s="124" t="s">
        <v>55</v>
      </c>
      <c r="Z1217" s="308">
        <v>233</v>
      </c>
      <c r="AB1217" t="str">
        <f>IF(Table1[[#This Row],[TIPO2]]="costo", VLOOKUP(Table1[[#This Row],[PARTIDA PRESUPUESTAL]],'Cost Report'!G:G,1,0),"Balance")</f>
        <v>3683-006</v>
      </c>
      <c r="AC1217" s="118"/>
      <c r="AD1217" s="159">
        <f>+Table1[[#This Row],[SUBTOTAL]]+Table1[[#This Row],[IVA]]-Table1[[#This Row],[RET IVA]]-Table1[[#This Row],[RET ISR]]-Table1[[#This Row],[TOTAL]]</f>
        <v>0</v>
      </c>
      <c r="AE1217" s="152"/>
      <c r="AF1217" s="153"/>
      <c r="AG1217" s="126"/>
      <c r="AH1217" s="115"/>
      <c r="AK1217" s="306" t="str">
        <f>IF(ISNUMBER(Table1[[#This Row],[FECHA DE RECIBIDO]]), Table1[[#This Row],[FECHA DE RECIBIDO]]-DATE(2023,8,30), "")</f>
        <v/>
      </c>
    </row>
    <row r="1218" spans="1:37" ht="16.05" customHeight="1">
      <c r="A1218" s="150"/>
      <c r="B1218" s="151"/>
      <c r="C1218" s="126" t="s">
        <v>1039</v>
      </c>
      <c r="D1218">
        <v>778</v>
      </c>
      <c r="E1218" s="126" t="s">
        <v>2001</v>
      </c>
      <c r="F1218" s="122" t="s">
        <v>1607</v>
      </c>
      <c r="G1218" s="122" t="s">
        <v>134</v>
      </c>
      <c r="H1218">
        <v>23</v>
      </c>
      <c r="I1218" s="122" t="s">
        <v>1546</v>
      </c>
      <c r="J1218" s="307" t="s">
        <v>214</v>
      </c>
      <c r="K1218" s="127">
        <v>3</v>
      </c>
      <c r="L1218" s="151" t="s">
        <v>3306</v>
      </c>
      <c r="M1218">
        <v>343</v>
      </c>
      <c r="N1218" s="123">
        <v>1</v>
      </c>
      <c r="O1218">
        <v>786</v>
      </c>
      <c r="P1218" s="132" t="s">
        <v>77</v>
      </c>
      <c r="Q1218" s="131">
        <v>14193.04</v>
      </c>
      <c r="R1218" s="131">
        <v>2270.89</v>
      </c>
      <c r="S1218" s="131"/>
      <c r="T1218" s="155">
        <v>0</v>
      </c>
      <c r="U1218" s="131">
        <v>0</v>
      </c>
      <c r="V1218" s="131">
        <v>16463.93</v>
      </c>
      <c r="W1218">
        <v>25</v>
      </c>
      <c r="X1218" s="151" t="s">
        <v>2024</v>
      </c>
      <c r="Y1218" s="135" t="s">
        <v>55</v>
      </c>
      <c r="Z1218" s="307">
        <v>233</v>
      </c>
      <c r="AB1218" t="str">
        <f>IF(Table1[[#This Row],[TIPO2]]="costo", VLOOKUP(Table1[[#This Row],[PARTIDA PRESUPUESTAL]],'Cost Report'!G:G,1,0),"Balance")</f>
        <v>3683-012</v>
      </c>
      <c r="AC1218" s="118"/>
      <c r="AD1218" s="159">
        <f>+Table1[[#This Row],[SUBTOTAL]]+Table1[[#This Row],[IVA]]-Table1[[#This Row],[RET IVA]]-Table1[[#This Row],[RET ISR]]-Table1[[#This Row],[TOTAL]]</f>
        <v>0</v>
      </c>
      <c r="AE1218" s="150"/>
      <c r="AF1218" s="151"/>
      <c r="AG1218" s="126"/>
      <c r="AH1218" s="115"/>
      <c r="AK1218" s="306" t="str">
        <f>IF(ISNUMBER(Table1[[#This Row],[FECHA DE RECIBIDO]]), Table1[[#This Row],[FECHA DE RECIBIDO]]-DATE(2023,8,30), "")</f>
        <v/>
      </c>
    </row>
    <row r="1219" spans="1:37" ht="16.05" customHeight="1">
      <c r="A1219" s="152"/>
      <c r="B1219" s="153"/>
      <c r="C1219" s="126" t="s">
        <v>1043</v>
      </c>
      <c r="D1219">
        <v>778</v>
      </c>
      <c r="E1219" s="126" t="s">
        <v>2001</v>
      </c>
      <c r="F1219" s="125" t="s">
        <v>1607</v>
      </c>
      <c r="G1219" s="125" t="s">
        <v>134</v>
      </c>
      <c r="H1219">
        <v>23</v>
      </c>
      <c r="I1219" s="125" t="s">
        <v>1546</v>
      </c>
      <c r="J1219" s="308" t="s">
        <v>214</v>
      </c>
      <c r="K1219" s="127">
        <v>3</v>
      </c>
      <c r="L1219" s="153" t="s">
        <v>3306</v>
      </c>
      <c r="M1219">
        <v>343</v>
      </c>
      <c r="N1219" s="123">
        <v>1</v>
      </c>
      <c r="O1219">
        <v>786</v>
      </c>
      <c r="P1219" s="132" t="s">
        <v>77</v>
      </c>
      <c r="Q1219" s="132">
        <v>21289.57</v>
      </c>
      <c r="R1219" s="132">
        <v>3406.33</v>
      </c>
      <c r="S1219" s="132"/>
      <c r="T1219" s="156">
        <v>0</v>
      </c>
      <c r="U1219" s="132">
        <v>0</v>
      </c>
      <c r="V1219" s="132">
        <v>24695.9</v>
      </c>
      <c r="W1219">
        <v>25</v>
      </c>
      <c r="X1219" s="153" t="s">
        <v>2024</v>
      </c>
      <c r="Y1219" s="124" t="s">
        <v>55</v>
      </c>
      <c r="Z1219" s="308">
        <v>233</v>
      </c>
      <c r="AB1219" t="str">
        <f>IF(Table1[[#This Row],[TIPO2]]="costo", VLOOKUP(Table1[[#This Row],[PARTIDA PRESUPUESTAL]],'Cost Report'!G:G,1,0),"Balance")</f>
        <v>3683-018</v>
      </c>
      <c r="AC1219" s="118"/>
      <c r="AD1219" s="159">
        <f>+Table1[[#This Row],[SUBTOTAL]]+Table1[[#This Row],[IVA]]-Table1[[#This Row],[RET IVA]]-Table1[[#This Row],[RET ISR]]-Table1[[#This Row],[TOTAL]]</f>
        <v>0</v>
      </c>
      <c r="AE1219" s="152"/>
      <c r="AF1219" s="153"/>
      <c r="AG1219" s="126"/>
      <c r="AH1219" s="115"/>
      <c r="AK1219" s="306" t="str">
        <f>IF(ISNUMBER(Table1[[#This Row],[FECHA DE RECIBIDO]]), Table1[[#This Row],[FECHA DE RECIBIDO]]-DATE(2023,8,30), "")</f>
        <v/>
      </c>
    </row>
    <row r="1220" spans="1:37" ht="16.05" customHeight="1">
      <c r="A1220" s="150"/>
      <c r="B1220" s="151"/>
      <c r="C1220" s="126" t="s">
        <v>1047</v>
      </c>
      <c r="D1220">
        <v>778</v>
      </c>
      <c r="E1220" s="126" t="s">
        <v>2001</v>
      </c>
      <c r="F1220" s="122" t="s">
        <v>1607</v>
      </c>
      <c r="G1220" s="122" t="s">
        <v>134</v>
      </c>
      <c r="H1220">
        <v>23</v>
      </c>
      <c r="I1220" s="122" t="s">
        <v>1546</v>
      </c>
      <c r="J1220" s="307" t="s">
        <v>214</v>
      </c>
      <c r="K1220" s="127">
        <v>3</v>
      </c>
      <c r="L1220" s="151" t="s">
        <v>3306</v>
      </c>
      <c r="M1220">
        <v>343</v>
      </c>
      <c r="N1220" s="123">
        <v>1</v>
      </c>
      <c r="O1220">
        <v>786</v>
      </c>
      <c r="P1220" s="132" t="s">
        <v>77</v>
      </c>
      <c r="Q1220" s="131">
        <v>10408.23</v>
      </c>
      <c r="R1220" s="131">
        <v>1665.32</v>
      </c>
      <c r="S1220" s="131"/>
      <c r="T1220" s="155">
        <v>0</v>
      </c>
      <c r="U1220" s="131">
        <v>0</v>
      </c>
      <c r="V1220" s="131">
        <v>12073.55</v>
      </c>
      <c r="W1220">
        <v>25</v>
      </c>
      <c r="X1220" s="151" t="s">
        <v>2024</v>
      </c>
      <c r="Y1220" s="135" t="s">
        <v>55</v>
      </c>
      <c r="Z1220" s="307">
        <v>233</v>
      </c>
      <c r="AB1220" t="str">
        <f>IF(Table1[[#This Row],[TIPO2]]="costo", VLOOKUP(Table1[[#This Row],[PARTIDA PRESUPUESTAL]],'Cost Report'!G:G,1,0),"Balance")</f>
        <v>3683-024</v>
      </c>
      <c r="AC1220" s="118"/>
      <c r="AD1220" s="159">
        <f>+Table1[[#This Row],[SUBTOTAL]]+Table1[[#This Row],[IVA]]-Table1[[#This Row],[RET IVA]]-Table1[[#This Row],[RET ISR]]-Table1[[#This Row],[TOTAL]]</f>
        <v>0</v>
      </c>
      <c r="AE1220" s="150"/>
      <c r="AF1220" s="151"/>
      <c r="AG1220" s="126"/>
      <c r="AH1220" s="115"/>
      <c r="AK1220" s="306" t="str">
        <f>IF(ISNUMBER(Table1[[#This Row],[FECHA DE RECIBIDO]]), Table1[[#This Row],[FECHA DE RECIBIDO]]-DATE(2023,8,30), "")</f>
        <v/>
      </c>
    </row>
    <row r="1221" spans="1:37" ht="16.05" customHeight="1">
      <c r="A1221" s="152"/>
      <c r="B1221" s="153"/>
      <c r="C1221" s="126" t="s">
        <v>1051</v>
      </c>
      <c r="D1221">
        <v>778</v>
      </c>
      <c r="E1221" s="126" t="s">
        <v>2001</v>
      </c>
      <c r="F1221" s="125" t="s">
        <v>1607</v>
      </c>
      <c r="G1221" s="125" t="s">
        <v>134</v>
      </c>
      <c r="H1221">
        <v>23</v>
      </c>
      <c r="I1221" s="125" t="s">
        <v>1546</v>
      </c>
      <c r="J1221" s="308" t="s">
        <v>214</v>
      </c>
      <c r="K1221" s="127">
        <v>3</v>
      </c>
      <c r="L1221" s="153" t="s">
        <v>3306</v>
      </c>
      <c r="M1221">
        <v>343</v>
      </c>
      <c r="N1221" s="123">
        <v>1</v>
      </c>
      <c r="O1221">
        <v>786</v>
      </c>
      <c r="P1221" s="132" t="s">
        <v>77</v>
      </c>
      <c r="Q1221" s="132">
        <v>10218.99</v>
      </c>
      <c r="R1221" s="132">
        <v>1635.04</v>
      </c>
      <c r="S1221" s="132"/>
      <c r="T1221" s="156">
        <v>0</v>
      </c>
      <c r="U1221" s="132">
        <v>0</v>
      </c>
      <c r="V1221" s="132">
        <v>11854.029999999999</v>
      </c>
      <c r="W1221">
        <v>25</v>
      </c>
      <c r="X1221" s="153" t="s">
        <v>2024</v>
      </c>
      <c r="Y1221" s="124" t="s">
        <v>55</v>
      </c>
      <c r="Z1221" s="308">
        <v>233</v>
      </c>
      <c r="AB1221" t="str">
        <f>IF(Table1[[#This Row],[TIPO2]]="costo", VLOOKUP(Table1[[#This Row],[PARTIDA PRESUPUESTAL]],'Cost Report'!G:G,1,0),"Balance")</f>
        <v>3683-030</v>
      </c>
      <c r="AC1221" s="118"/>
      <c r="AD1221" s="159">
        <f>+Table1[[#This Row],[SUBTOTAL]]+Table1[[#This Row],[IVA]]-Table1[[#This Row],[RET IVA]]-Table1[[#This Row],[RET ISR]]-Table1[[#This Row],[TOTAL]]</f>
        <v>0</v>
      </c>
      <c r="AE1221" s="152"/>
      <c r="AF1221" s="153"/>
      <c r="AG1221" s="126"/>
      <c r="AH1221" s="115"/>
      <c r="AK1221" s="306" t="str">
        <f>IF(ISNUMBER(Table1[[#This Row],[FECHA DE RECIBIDO]]), Table1[[#This Row],[FECHA DE RECIBIDO]]-DATE(2023,8,30), "")</f>
        <v/>
      </c>
    </row>
    <row r="1222" spans="1:37" ht="16.05" customHeight="1">
      <c r="A1222" s="150"/>
      <c r="B1222" s="151"/>
      <c r="C1222" s="126" t="s">
        <v>2897</v>
      </c>
      <c r="D1222">
        <v>778</v>
      </c>
      <c r="E1222" s="126" t="s">
        <v>2001</v>
      </c>
      <c r="F1222" s="122" t="s">
        <v>1607</v>
      </c>
      <c r="G1222" s="122" t="s">
        <v>134</v>
      </c>
      <c r="H1222">
        <v>23</v>
      </c>
      <c r="I1222" s="122" t="s">
        <v>1546</v>
      </c>
      <c r="J1222" s="307" t="s">
        <v>214</v>
      </c>
      <c r="K1222" s="127">
        <v>3</v>
      </c>
      <c r="L1222" s="151" t="s">
        <v>3306</v>
      </c>
      <c r="M1222">
        <v>343</v>
      </c>
      <c r="N1222" s="123">
        <v>1</v>
      </c>
      <c r="O1222">
        <v>786</v>
      </c>
      <c r="P1222" s="132" t="s">
        <v>77</v>
      </c>
      <c r="Q1222" s="131">
        <v>5109.5</v>
      </c>
      <c r="R1222" s="131">
        <v>817.52</v>
      </c>
      <c r="S1222" s="131"/>
      <c r="T1222" s="155">
        <v>0</v>
      </c>
      <c r="U1222" s="131">
        <v>0</v>
      </c>
      <c r="V1222" s="131">
        <v>5927.02</v>
      </c>
      <c r="W1222">
        <v>25</v>
      </c>
      <c r="X1222" s="151" t="s">
        <v>2024</v>
      </c>
      <c r="Y1222" s="135" t="s">
        <v>55</v>
      </c>
      <c r="Z1222" s="307">
        <v>233</v>
      </c>
      <c r="AB1222" t="str">
        <f>IF(Table1[[#This Row],[TIPO2]]="costo", VLOOKUP(Table1[[#This Row],[PARTIDA PRESUPUESTAL]],'Cost Report'!G:G,1,0),"Balance")</f>
        <v>3683-138</v>
      </c>
      <c r="AC1222" s="118"/>
      <c r="AD1222" s="159">
        <f>+Table1[[#This Row],[SUBTOTAL]]+Table1[[#This Row],[IVA]]-Table1[[#This Row],[RET IVA]]-Table1[[#This Row],[RET ISR]]-Table1[[#This Row],[TOTAL]]</f>
        <v>0</v>
      </c>
      <c r="AE1222" s="150"/>
      <c r="AF1222" s="151"/>
      <c r="AG1222" s="126"/>
      <c r="AH1222" s="115"/>
      <c r="AK1222" s="306" t="str">
        <f>IF(ISNUMBER(Table1[[#This Row],[FECHA DE RECIBIDO]]), Table1[[#This Row],[FECHA DE RECIBIDO]]-DATE(2023,8,30), "")</f>
        <v/>
      </c>
    </row>
    <row r="1223" spans="1:37" ht="16.05" customHeight="1">
      <c r="A1223" s="152"/>
      <c r="B1223" s="153"/>
      <c r="C1223" s="126" t="s">
        <v>1059</v>
      </c>
      <c r="D1223">
        <v>778</v>
      </c>
      <c r="E1223" s="126" t="s">
        <v>2001</v>
      </c>
      <c r="F1223" s="125" t="s">
        <v>1607</v>
      </c>
      <c r="G1223" s="125" t="s">
        <v>134</v>
      </c>
      <c r="H1223">
        <v>23</v>
      </c>
      <c r="I1223" s="125" t="s">
        <v>1546</v>
      </c>
      <c r="J1223" s="308" t="s">
        <v>214</v>
      </c>
      <c r="K1223" s="127">
        <v>3</v>
      </c>
      <c r="L1223" s="153" t="s">
        <v>3306</v>
      </c>
      <c r="M1223">
        <v>343</v>
      </c>
      <c r="N1223" s="123">
        <v>1</v>
      </c>
      <c r="O1223">
        <v>786</v>
      </c>
      <c r="P1223" s="132" t="s">
        <v>77</v>
      </c>
      <c r="Q1223" s="132">
        <v>10218.99</v>
      </c>
      <c r="R1223" s="132">
        <v>1635.04</v>
      </c>
      <c r="S1223" s="132"/>
      <c r="T1223" s="156">
        <v>0</v>
      </c>
      <c r="U1223" s="132">
        <v>0</v>
      </c>
      <c r="V1223" s="132">
        <v>11854.029999999999</v>
      </c>
      <c r="W1223">
        <v>25</v>
      </c>
      <c r="X1223" s="153" t="s">
        <v>2024</v>
      </c>
      <c r="Y1223" s="124" t="s">
        <v>55</v>
      </c>
      <c r="Z1223" s="308">
        <v>233</v>
      </c>
      <c r="AB1223" t="str">
        <f>IF(Table1[[#This Row],[TIPO2]]="costo", VLOOKUP(Table1[[#This Row],[PARTIDA PRESUPUESTAL]],'Cost Report'!G:G,1,0),"Balance")</f>
        <v>3683-042</v>
      </c>
      <c r="AC1223" s="118"/>
      <c r="AD1223" s="159">
        <f>+Table1[[#This Row],[SUBTOTAL]]+Table1[[#This Row],[IVA]]-Table1[[#This Row],[RET IVA]]-Table1[[#This Row],[RET ISR]]-Table1[[#This Row],[TOTAL]]</f>
        <v>0</v>
      </c>
      <c r="AE1223" s="152"/>
      <c r="AF1223" s="153"/>
      <c r="AG1223" s="126"/>
      <c r="AH1223" s="115"/>
      <c r="AK1223" s="306" t="str">
        <f>IF(ISNUMBER(Table1[[#This Row],[FECHA DE RECIBIDO]]), Table1[[#This Row],[FECHA DE RECIBIDO]]-DATE(2023,8,30), "")</f>
        <v/>
      </c>
    </row>
    <row r="1224" spans="1:37" ht="16.05" customHeight="1">
      <c r="A1224" s="150"/>
      <c r="B1224" s="151"/>
      <c r="C1224" s="126" t="s">
        <v>1063</v>
      </c>
      <c r="D1224">
        <v>778</v>
      </c>
      <c r="E1224" s="126" t="s">
        <v>2001</v>
      </c>
      <c r="F1224" s="122" t="s">
        <v>1607</v>
      </c>
      <c r="G1224" s="122" t="s">
        <v>134</v>
      </c>
      <c r="H1224">
        <v>23</v>
      </c>
      <c r="I1224" s="122" t="s">
        <v>1546</v>
      </c>
      <c r="J1224" s="307" t="s">
        <v>214</v>
      </c>
      <c r="K1224" s="127">
        <v>3</v>
      </c>
      <c r="L1224" s="151" t="s">
        <v>3306</v>
      </c>
      <c r="M1224">
        <v>343</v>
      </c>
      <c r="N1224" s="123">
        <v>1</v>
      </c>
      <c r="O1224">
        <v>786</v>
      </c>
      <c r="P1224" s="132" t="s">
        <v>77</v>
      </c>
      <c r="Q1224" s="131">
        <v>10408.23</v>
      </c>
      <c r="R1224" s="131">
        <v>1665.32</v>
      </c>
      <c r="S1224" s="131"/>
      <c r="T1224" s="155">
        <v>0</v>
      </c>
      <c r="U1224" s="131">
        <v>0</v>
      </c>
      <c r="V1224" s="131">
        <v>12073.55</v>
      </c>
      <c r="W1224">
        <v>25</v>
      </c>
      <c r="X1224" s="151" t="s">
        <v>2024</v>
      </c>
      <c r="Y1224" s="135" t="s">
        <v>55</v>
      </c>
      <c r="Z1224" s="307">
        <v>233</v>
      </c>
      <c r="AB1224" t="str">
        <f>IF(Table1[[#This Row],[TIPO2]]="costo", VLOOKUP(Table1[[#This Row],[PARTIDA PRESUPUESTAL]],'Cost Report'!G:G,1,0),"Balance")</f>
        <v>3683-048</v>
      </c>
      <c r="AC1224" s="118"/>
      <c r="AD1224" s="159">
        <f>+Table1[[#This Row],[SUBTOTAL]]+Table1[[#This Row],[IVA]]-Table1[[#This Row],[RET IVA]]-Table1[[#This Row],[RET ISR]]-Table1[[#This Row],[TOTAL]]</f>
        <v>0</v>
      </c>
      <c r="AE1224" s="150"/>
      <c r="AF1224" s="151"/>
      <c r="AG1224" s="126"/>
      <c r="AH1224" s="115"/>
      <c r="AK1224" s="306" t="str">
        <f>IF(ISNUMBER(Table1[[#This Row],[FECHA DE RECIBIDO]]), Table1[[#This Row],[FECHA DE RECIBIDO]]-DATE(2023,8,30), "")</f>
        <v/>
      </c>
    </row>
    <row r="1225" spans="1:37" ht="16.05" customHeight="1">
      <c r="A1225" s="152"/>
      <c r="B1225" s="153"/>
      <c r="C1225" s="126" t="s">
        <v>1067</v>
      </c>
      <c r="D1225">
        <v>778</v>
      </c>
      <c r="E1225" s="126" t="s">
        <v>2001</v>
      </c>
      <c r="F1225" s="125" t="s">
        <v>1607</v>
      </c>
      <c r="G1225" s="125" t="s">
        <v>134</v>
      </c>
      <c r="H1225">
        <v>23</v>
      </c>
      <c r="I1225" s="125" t="s">
        <v>1546</v>
      </c>
      <c r="J1225" s="308" t="s">
        <v>214</v>
      </c>
      <c r="K1225" s="127">
        <v>3</v>
      </c>
      <c r="L1225" s="153" t="s">
        <v>3306</v>
      </c>
      <c r="M1225">
        <v>343</v>
      </c>
      <c r="N1225" s="123">
        <v>1</v>
      </c>
      <c r="O1225">
        <v>786</v>
      </c>
      <c r="P1225" s="132" t="s">
        <v>77</v>
      </c>
      <c r="Q1225" s="132">
        <v>10408.23</v>
      </c>
      <c r="R1225" s="132">
        <v>1665.32</v>
      </c>
      <c r="S1225" s="132"/>
      <c r="T1225" s="156">
        <v>0</v>
      </c>
      <c r="U1225" s="132">
        <v>0</v>
      </c>
      <c r="V1225" s="132">
        <v>12073.55</v>
      </c>
      <c r="W1225">
        <v>25</v>
      </c>
      <c r="X1225" s="153" t="s">
        <v>2024</v>
      </c>
      <c r="Y1225" s="124" t="s">
        <v>55</v>
      </c>
      <c r="Z1225" s="308">
        <v>233</v>
      </c>
      <c r="AB1225" t="str">
        <f>IF(Table1[[#This Row],[TIPO2]]="costo", VLOOKUP(Table1[[#This Row],[PARTIDA PRESUPUESTAL]],'Cost Report'!G:G,1,0),"Balance")</f>
        <v>3683-054</v>
      </c>
      <c r="AC1225" s="118"/>
      <c r="AD1225" s="159">
        <f>+Table1[[#This Row],[SUBTOTAL]]+Table1[[#This Row],[IVA]]-Table1[[#This Row],[RET IVA]]-Table1[[#This Row],[RET ISR]]-Table1[[#This Row],[TOTAL]]</f>
        <v>0</v>
      </c>
      <c r="AE1225" s="152"/>
      <c r="AF1225" s="153"/>
      <c r="AG1225" s="126"/>
      <c r="AH1225" s="115"/>
      <c r="AK1225" s="306" t="str">
        <f>IF(ISNUMBER(Table1[[#This Row],[FECHA DE RECIBIDO]]), Table1[[#This Row],[FECHA DE RECIBIDO]]-DATE(2023,8,30), "")</f>
        <v/>
      </c>
    </row>
    <row r="1226" spans="1:37" ht="16.05" customHeight="1">
      <c r="A1226" s="150"/>
      <c r="B1226" s="151"/>
      <c r="C1226" s="126" t="s">
        <v>1071</v>
      </c>
      <c r="D1226">
        <v>778</v>
      </c>
      <c r="E1226" s="126" t="s">
        <v>2001</v>
      </c>
      <c r="F1226" s="122" t="s">
        <v>1607</v>
      </c>
      <c r="G1226" s="122" t="s">
        <v>134</v>
      </c>
      <c r="H1226">
        <v>23</v>
      </c>
      <c r="I1226" s="122" t="s">
        <v>1546</v>
      </c>
      <c r="J1226" s="307" t="s">
        <v>214</v>
      </c>
      <c r="K1226" s="127">
        <v>3</v>
      </c>
      <c r="L1226" s="151" t="s">
        <v>3306</v>
      </c>
      <c r="M1226">
        <v>343</v>
      </c>
      <c r="N1226" s="123">
        <v>1</v>
      </c>
      <c r="O1226">
        <v>786</v>
      </c>
      <c r="P1226" s="132" t="s">
        <v>77</v>
      </c>
      <c r="Q1226" s="131">
        <v>7096.52</v>
      </c>
      <c r="R1226" s="131">
        <v>1135.45</v>
      </c>
      <c r="S1226" s="131"/>
      <c r="T1226" s="155">
        <v>0</v>
      </c>
      <c r="U1226" s="131">
        <v>0</v>
      </c>
      <c r="V1226" s="131">
        <v>8231.9700000000012</v>
      </c>
      <c r="W1226">
        <v>25</v>
      </c>
      <c r="X1226" s="151" t="s">
        <v>2024</v>
      </c>
      <c r="Y1226" s="135" t="s">
        <v>55</v>
      </c>
      <c r="Z1226" s="307">
        <v>233</v>
      </c>
      <c r="AB1226" t="str">
        <f>IF(Table1[[#This Row],[TIPO2]]="costo", VLOOKUP(Table1[[#This Row],[PARTIDA PRESUPUESTAL]],'Cost Report'!G:G,1,0),"Balance")</f>
        <v>3683-060</v>
      </c>
      <c r="AC1226" s="118"/>
      <c r="AD1226" s="159">
        <f>+Table1[[#This Row],[SUBTOTAL]]+Table1[[#This Row],[IVA]]-Table1[[#This Row],[RET IVA]]-Table1[[#This Row],[RET ISR]]-Table1[[#This Row],[TOTAL]]</f>
        <v>0</v>
      </c>
      <c r="AE1226" s="150"/>
      <c r="AF1226" s="151"/>
      <c r="AG1226" s="126"/>
      <c r="AH1226" s="115"/>
      <c r="AK1226" s="306" t="str">
        <f>IF(ISNUMBER(Table1[[#This Row],[FECHA DE RECIBIDO]]), Table1[[#This Row],[FECHA DE RECIBIDO]]-DATE(2023,8,30), "")</f>
        <v/>
      </c>
    </row>
    <row r="1227" spans="1:37" ht="16.05" customHeight="1">
      <c r="A1227" s="152"/>
      <c r="B1227" s="153"/>
      <c r="C1227" s="126" t="s">
        <v>1075</v>
      </c>
      <c r="D1227">
        <v>778</v>
      </c>
      <c r="E1227" s="126" t="s">
        <v>2001</v>
      </c>
      <c r="F1227" s="125" t="s">
        <v>1607</v>
      </c>
      <c r="G1227" s="125" t="s">
        <v>134</v>
      </c>
      <c r="H1227">
        <v>23</v>
      </c>
      <c r="I1227" s="125" t="s">
        <v>1546</v>
      </c>
      <c r="J1227" s="308" t="s">
        <v>214</v>
      </c>
      <c r="K1227" s="127">
        <v>3</v>
      </c>
      <c r="L1227" s="153" t="s">
        <v>3306</v>
      </c>
      <c r="M1227">
        <v>343</v>
      </c>
      <c r="N1227" s="123">
        <v>1</v>
      </c>
      <c r="O1227">
        <v>786</v>
      </c>
      <c r="P1227" s="132" t="s">
        <v>77</v>
      </c>
      <c r="Q1227" s="132">
        <v>7096.52</v>
      </c>
      <c r="R1227" s="132">
        <v>1135.45</v>
      </c>
      <c r="S1227" s="132"/>
      <c r="T1227" s="156">
        <v>0</v>
      </c>
      <c r="U1227" s="132">
        <v>0</v>
      </c>
      <c r="V1227" s="132">
        <v>8231.9700000000012</v>
      </c>
      <c r="W1227">
        <v>25</v>
      </c>
      <c r="X1227" s="153" t="s">
        <v>2024</v>
      </c>
      <c r="Y1227" s="124" t="s">
        <v>55</v>
      </c>
      <c r="Z1227" s="308">
        <v>233</v>
      </c>
      <c r="AB1227" t="str">
        <f>IF(Table1[[#This Row],[TIPO2]]="costo", VLOOKUP(Table1[[#This Row],[PARTIDA PRESUPUESTAL]],'Cost Report'!G:G,1,0),"Balance")</f>
        <v>3683-066</v>
      </c>
      <c r="AC1227" s="118"/>
      <c r="AD1227" s="159">
        <f>+Table1[[#This Row],[SUBTOTAL]]+Table1[[#This Row],[IVA]]-Table1[[#This Row],[RET IVA]]-Table1[[#This Row],[RET ISR]]-Table1[[#This Row],[TOTAL]]</f>
        <v>0</v>
      </c>
      <c r="AE1227" s="152"/>
      <c r="AF1227" s="153"/>
      <c r="AG1227" s="126"/>
      <c r="AH1227" s="115"/>
      <c r="AK1227" s="306" t="str">
        <f>IF(ISNUMBER(Table1[[#This Row],[FECHA DE RECIBIDO]]), Table1[[#This Row],[FECHA DE RECIBIDO]]-DATE(2023,8,30), "")</f>
        <v/>
      </c>
    </row>
    <row r="1228" spans="1:37" ht="16.05" customHeight="1">
      <c r="A1228" s="150"/>
      <c r="B1228" s="151"/>
      <c r="C1228" s="126" t="s">
        <v>1079</v>
      </c>
      <c r="D1228">
        <v>778</v>
      </c>
      <c r="E1228" s="126" t="s">
        <v>2001</v>
      </c>
      <c r="F1228" s="122" t="s">
        <v>1607</v>
      </c>
      <c r="G1228" s="122" t="s">
        <v>134</v>
      </c>
      <c r="H1228">
        <v>23</v>
      </c>
      <c r="I1228" s="122" t="s">
        <v>1546</v>
      </c>
      <c r="J1228" s="307" t="s">
        <v>214</v>
      </c>
      <c r="K1228" s="127">
        <v>3</v>
      </c>
      <c r="L1228" s="151" t="s">
        <v>3306</v>
      </c>
      <c r="M1228">
        <v>343</v>
      </c>
      <c r="N1228" s="123">
        <v>1</v>
      </c>
      <c r="O1228">
        <v>786</v>
      </c>
      <c r="P1228" s="132" t="s">
        <v>77</v>
      </c>
      <c r="Q1228" s="131">
        <v>7096.52</v>
      </c>
      <c r="R1228" s="131">
        <v>1135.44</v>
      </c>
      <c r="S1228" s="131"/>
      <c r="T1228" s="155">
        <v>0</v>
      </c>
      <c r="U1228" s="131">
        <v>0</v>
      </c>
      <c r="V1228" s="131">
        <v>8231.9600000000009</v>
      </c>
      <c r="W1228">
        <v>25</v>
      </c>
      <c r="X1228" s="151" t="s">
        <v>2024</v>
      </c>
      <c r="Y1228" s="135" t="s">
        <v>55</v>
      </c>
      <c r="Z1228" s="307">
        <v>233</v>
      </c>
      <c r="AB1228" t="str">
        <f>IF(Table1[[#This Row],[TIPO2]]="costo", VLOOKUP(Table1[[#This Row],[PARTIDA PRESUPUESTAL]],'Cost Report'!G:G,1,0),"Balance")</f>
        <v>3683-072</v>
      </c>
      <c r="AC1228" s="118"/>
      <c r="AD1228" s="159">
        <f>+Table1[[#This Row],[SUBTOTAL]]+Table1[[#This Row],[IVA]]-Table1[[#This Row],[RET IVA]]-Table1[[#This Row],[RET ISR]]-Table1[[#This Row],[TOTAL]]</f>
        <v>0</v>
      </c>
      <c r="AE1228" s="150"/>
      <c r="AF1228" s="151"/>
      <c r="AG1228" s="126"/>
      <c r="AH1228" s="115"/>
      <c r="AK1228" s="306" t="str">
        <f>IF(ISNUMBER(Table1[[#This Row],[FECHA DE RECIBIDO]]), Table1[[#This Row],[FECHA DE RECIBIDO]]-DATE(2023,8,30), "")</f>
        <v/>
      </c>
    </row>
    <row r="1229" spans="1:37" ht="16.05" customHeight="1">
      <c r="A1229" s="152"/>
      <c r="B1229" s="153"/>
      <c r="C1229" s="126" t="s">
        <v>1083</v>
      </c>
      <c r="D1229">
        <v>778</v>
      </c>
      <c r="E1229" s="126" t="s">
        <v>2001</v>
      </c>
      <c r="F1229" s="125" t="s">
        <v>1607</v>
      </c>
      <c r="G1229" s="125" t="s">
        <v>134</v>
      </c>
      <c r="H1229">
        <v>23</v>
      </c>
      <c r="I1229" s="125" t="s">
        <v>1546</v>
      </c>
      <c r="J1229" s="308" t="s">
        <v>214</v>
      </c>
      <c r="K1229" s="127">
        <v>3</v>
      </c>
      <c r="L1229" s="153" t="s">
        <v>3306</v>
      </c>
      <c r="M1229">
        <v>343</v>
      </c>
      <c r="N1229" s="123">
        <v>1</v>
      </c>
      <c r="O1229">
        <v>786</v>
      </c>
      <c r="P1229" s="132" t="s">
        <v>77</v>
      </c>
      <c r="Q1229" s="132">
        <v>7096.52</v>
      </c>
      <c r="R1229" s="132">
        <v>1135.44</v>
      </c>
      <c r="S1229" s="132"/>
      <c r="T1229" s="156">
        <v>0</v>
      </c>
      <c r="U1229" s="132">
        <v>0</v>
      </c>
      <c r="V1229" s="132">
        <v>8231.9600000000009</v>
      </c>
      <c r="W1229">
        <v>25</v>
      </c>
      <c r="X1229" s="153" t="s">
        <v>2024</v>
      </c>
      <c r="Y1229" s="124" t="s">
        <v>55</v>
      </c>
      <c r="Z1229" s="308">
        <v>233</v>
      </c>
      <c r="AB1229" t="str">
        <f>IF(Table1[[#This Row],[TIPO2]]="costo", VLOOKUP(Table1[[#This Row],[PARTIDA PRESUPUESTAL]],'Cost Report'!G:G,1,0),"Balance")</f>
        <v>3683-078</v>
      </c>
      <c r="AC1229" s="118"/>
      <c r="AD1229" s="159">
        <f>+Table1[[#This Row],[SUBTOTAL]]+Table1[[#This Row],[IVA]]-Table1[[#This Row],[RET IVA]]-Table1[[#This Row],[RET ISR]]-Table1[[#This Row],[TOTAL]]</f>
        <v>0</v>
      </c>
      <c r="AE1229" s="152"/>
      <c r="AF1229" s="153"/>
      <c r="AG1229" s="126"/>
      <c r="AH1229" s="115"/>
      <c r="AK1229" s="306" t="str">
        <f>IF(ISNUMBER(Table1[[#This Row],[FECHA DE RECIBIDO]]), Table1[[#This Row],[FECHA DE RECIBIDO]]-DATE(2023,8,30), "")</f>
        <v/>
      </c>
    </row>
    <row r="1230" spans="1:37" ht="16.05" customHeight="1">
      <c r="A1230" s="150"/>
      <c r="B1230" s="151"/>
      <c r="C1230" s="126" t="s">
        <v>1087</v>
      </c>
      <c r="D1230">
        <v>778</v>
      </c>
      <c r="E1230" s="126" t="s">
        <v>2001</v>
      </c>
      <c r="F1230" s="122" t="s">
        <v>1607</v>
      </c>
      <c r="G1230" s="122" t="s">
        <v>134</v>
      </c>
      <c r="H1230">
        <v>23</v>
      </c>
      <c r="I1230" s="122" t="s">
        <v>1546</v>
      </c>
      <c r="J1230" s="307" t="s">
        <v>214</v>
      </c>
      <c r="K1230" s="127">
        <v>3</v>
      </c>
      <c r="L1230" s="151" t="s">
        <v>3306</v>
      </c>
      <c r="M1230">
        <v>343</v>
      </c>
      <c r="N1230" s="123">
        <v>1</v>
      </c>
      <c r="O1230">
        <v>786</v>
      </c>
      <c r="P1230" s="132" t="s">
        <v>77</v>
      </c>
      <c r="Q1230" s="131">
        <v>10408.23</v>
      </c>
      <c r="R1230" s="131">
        <v>1665.32</v>
      </c>
      <c r="S1230" s="131"/>
      <c r="T1230" s="155">
        <v>0</v>
      </c>
      <c r="U1230" s="131">
        <v>0</v>
      </c>
      <c r="V1230" s="131">
        <v>12073.55</v>
      </c>
      <c r="W1230">
        <v>25</v>
      </c>
      <c r="X1230" s="151" t="s">
        <v>2024</v>
      </c>
      <c r="Y1230" s="135" t="s">
        <v>55</v>
      </c>
      <c r="Z1230" s="307">
        <v>233</v>
      </c>
      <c r="AB1230" t="str">
        <f>IF(Table1[[#This Row],[TIPO2]]="costo", VLOOKUP(Table1[[#This Row],[PARTIDA PRESUPUESTAL]],'Cost Report'!G:G,1,0),"Balance")</f>
        <v>3683-084</v>
      </c>
      <c r="AC1230" s="118"/>
      <c r="AD1230" s="159">
        <f>+Table1[[#This Row],[SUBTOTAL]]+Table1[[#This Row],[IVA]]-Table1[[#This Row],[RET IVA]]-Table1[[#This Row],[RET ISR]]-Table1[[#This Row],[TOTAL]]</f>
        <v>0</v>
      </c>
      <c r="AE1230" s="150"/>
      <c r="AF1230" s="151"/>
      <c r="AG1230" s="126"/>
      <c r="AH1230" s="115"/>
      <c r="AK1230" s="306" t="str">
        <f>IF(ISNUMBER(Table1[[#This Row],[FECHA DE RECIBIDO]]), Table1[[#This Row],[FECHA DE RECIBIDO]]-DATE(2023,8,30), "")</f>
        <v/>
      </c>
    </row>
    <row r="1231" spans="1:37" ht="16.05" customHeight="1">
      <c r="A1231" s="152"/>
      <c r="B1231" s="153"/>
      <c r="C1231" s="126" t="s">
        <v>1091</v>
      </c>
      <c r="D1231">
        <v>778</v>
      </c>
      <c r="E1231" s="126" t="s">
        <v>2001</v>
      </c>
      <c r="F1231" s="125" t="s">
        <v>1607</v>
      </c>
      <c r="G1231" s="125" t="s">
        <v>134</v>
      </c>
      <c r="H1231">
        <v>23</v>
      </c>
      <c r="I1231" s="125" t="s">
        <v>1546</v>
      </c>
      <c r="J1231" s="308" t="s">
        <v>214</v>
      </c>
      <c r="K1231" s="127">
        <v>3</v>
      </c>
      <c r="L1231" s="153" t="s">
        <v>3306</v>
      </c>
      <c r="M1231">
        <v>343</v>
      </c>
      <c r="N1231" s="123">
        <v>1</v>
      </c>
      <c r="O1231">
        <v>786</v>
      </c>
      <c r="P1231" s="132" t="s">
        <v>77</v>
      </c>
      <c r="Q1231" s="132">
        <v>7096.52</v>
      </c>
      <c r="R1231" s="132">
        <v>1135.44</v>
      </c>
      <c r="S1231" s="132"/>
      <c r="T1231" s="156">
        <v>0</v>
      </c>
      <c r="U1231" s="132">
        <v>0</v>
      </c>
      <c r="V1231" s="132">
        <v>8231.9600000000009</v>
      </c>
      <c r="W1231">
        <v>25</v>
      </c>
      <c r="X1231" s="153" t="s">
        <v>2024</v>
      </c>
      <c r="Y1231" s="124" t="s">
        <v>55</v>
      </c>
      <c r="Z1231" s="308">
        <v>233</v>
      </c>
      <c r="AB1231" t="str">
        <f>IF(Table1[[#This Row],[TIPO2]]="costo", VLOOKUP(Table1[[#This Row],[PARTIDA PRESUPUESTAL]],'Cost Report'!G:G,1,0),"Balance")</f>
        <v>3683-090</v>
      </c>
      <c r="AC1231" s="118"/>
      <c r="AD1231" s="159">
        <f>+Table1[[#This Row],[SUBTOTAL]]+Table1[[#This Row],[IVA]]-Table1[[#This Row],[RET IVA]]-Table1[[#This Row],[RET ISR]]-Table1[[#This Row],[TOTAL]]</f>
        <v>0</v>
      </c>
      <c r="AE1231" s="152"/>
      <c r="AF1231" s="153"/>
      <c r="AG1231" s="126"/>
      <c r="AH1231" s="115"/>
      <c r="AK1231" s="306" t="str">
        <f>IF(ISNUMBER(Table1[[#This Row],[FECHA DE RECIBIDO]]), Table1[[#This Row],[FECHA DE RECIBIDO]]-DATE(2023,8,30), "")</f>
        <v/>
      </c>
    </row>
    <row r="1232" spans="1:37" ht="16.05" customHeight="1">
      <c r="A1232" s="150"/>
      <c r="B1232" s="151"/>
      <c r="C1232" s="126" t="s">
        <v>1095</v>
      </c>
      <c r="D1232">
        <v>778</v>
      </c>
      <c r="E1232" s="126" t="s">
        <v>2001</v>
      </c>
      <c r="F1232" s="122" t="s">
        <v>1607</v>
      </c>
      <c r="G1232" s="122" t="s">
        <v>134</v>
      </c>
      <c r="H1232">
        <v>23</v>
      </c>
      <c r="I1232" s="122" t="s">
        <v>1546</v>
      </c>
      <c r="J1232" s="307" t="s">
        <v>214</v>
      </c>
      <c r="K1232" s="127">
        <v>3</v>
      </c>
      <c r="L1232" s="151" t="s">
        <v>3306</v>
      </c>
      <c r="M1232">
        <v>343</v>
      </c>
      <c r="N1232" s="123">
        <v>1</v>
      </c>
      <c r="O1232">
        <v>786</v>
      </c>
      <c r="P1232" s="132" t="s">
        <v>77</v>
      </c>
      <c r="Q1232" s="131">
        <v>10408.23</v>
      </c>
      <c r="R1232" s="131">
        <v>1665.33</v>
      </c>
      <c r="S1232" s="131"/>
      <c r="T1232" s="155">
        <v>0</v>
      </c>
      <c r="U1232" s="131">
        <v>0</v>
      </c>
      <c r="V1232" s="131">
        <v>12073.56</v>
      </c>
      <c r="W1232">
        <v>25</v>
      </c>
      <c r="X1232" s="151" t="s">
        <v>2024</v>
      </c>
      <c r="Y1232" s="135" t="s">
        <v>55</v>
      </c>
      <c r="Z1232" s="307">
        <v>233</v>
      </c>
      <c r="AB1232" t="str">
        <f>IF(Table1[[#This Row],[TIPO2]]="costo", VLOOKUP(Table1[[#This Row],[PARTIDA PRESUPUESTAL]],'Cost Report'!G:G,1,0),"Balance")</f>
        <v>3683-096</v>
      </c>
      <c r="AC1232" s="118"/>
      <c r="AD1232" s="159">
        <f>+Table1[[#This Row],[SUBTOTAL]]+Table1[[#This Row],[IVA]]-Table1[[#This Row],[RET IVA]]-Table1[[#This Row],[RET ISR]]-Table1[[#This Row],[TOTAL]]</f>
        <v>0</v>
      </c>
      <c r="AE1232" s="150"/>
      <c r="AF1232" s="151"/>
      <c r="AG1232" s="126"/>
      <c r="AH1232" s="115"/>
      <c r="AK1232" s="306" t="str">
        <f>IF(ISNUMBER(Table1[[#This Row],[FECHA DE RECIBIDO]]), Table1[[#This Row],[FECHA DE RECIBIDO]]-DATE(2023,8,30), "")</f>
        <v/>
      </c>
    </row>
    <row r="1233" spans="1:37" ht="16.05" customHeight="1">
      <c r="A1233" s="152"/>
      <c r="B1233" s="153"/>
      <c r="C1233" s="126" t="s">
        <v>1098</v>
      </c>
      <c r="D1233">
        <v>778</v>
      </c>
      <c r="E1233" s="126" t="s">
        <v>2001</v>
      </c>
      <c r="F1233" s="125" t="s">
        <v>1607</v>
      </c>
      <c r="G1233" s="125" t="s">
        <v>134</v>
      </c>
      <c r="H1233">
        <v>23</v>
      </c>
      <c r="I1233" s="125" t="s">
        <v>1546</v>
      </c>
      <c r="J1233" s="308" t="s">
        <v>214</v>
      </c>
      <c r="K1233" s="127">
        <v>3</v>
      </c>
      <c r="L1233" s="153" t="s">
        <v>3306</v>
      </c>
      <c r="M1233">
        <v>343</v>
      </c>
      <c r="N1233" s="123">
        <v>1</v>
      </c>
      <c r="O1233">
        <v>786</v>
      </c>
      <c r="P1233" s="132" t="s">
        <v>77</v>
      </c>
      <c r="Q1233" s="132">
        <v>10644.78</v>
      </c>
      <c r="R1233" s="132">
        <v>1703.17</v>
      </c>
      <c r="S1233" s="132"/>
      <c r="T1233" s="156">
        <v>0</v>
      </c>
      <c r="U1233" s="132">
        <v>0</v>
      </c>
      <c r="V1233" s="132">
        <v>12347.95</v>
      </c>
      <c r="W1233">
        <v>25</v>
      </c>
      <c r="X1233" s="153" t="s">
        <v>2024</v>
      </c>
      <c r="Y1233" s="124" t="s">
        <v>55</v>
      </c>
      <c r="Z1233" s="308">
        <v>233</v>
      </c>
      <c r="AB1233" t="str">
        <f>IF(Table1[[#This Row],[TIPO2]]="costo", VLOOKUP(Table1[[#This Row],[PARTIDA PRESUPUESTAL]],'Cost Report'!G:G,1,0),"Balance")</f>
        <v>3683-101</v>
      </c>
      <c r="AC1233" s="118"/>
      <c r="AD1233" s="159">
        <f>+Table1[[#This Row],[SUBTOTAL]]+Table1[[#This Row],[IVA]]-Table1[[#This Row],[RET IVA]]-Table1[[#This Row],[RET ISR]]-Table1[[#This Row],[TOTAL]]</f>
        <v>0</v>
      </c>
      <c r="AE1233" s="152"/>
      <c r="AF1233" s="153"/>
      <c r="AG1233" s="126"/>
      <c r="AH1233" s="115"/>
      <c r="AK1233" s="306" t="str">
        <f>IF(ISNUMBER(Table1[[#This Row],[FECHA DE RECIBIDO]]), Table1[[#This Row],[FECHA DE RECIBIDO]]-DATE(2023,8,30), "")</f>
        <v/>
      </c>
    </row>
    <row r="1234" spans="1:37" ht="16.05" customHeight="1">
      <c r="A1234" s="150"/>
      <c r="B1234" s="151"/>
      <c r="C1234" s="126" t="s">
        <v>1100</v>
      </c>
      <c r="D1234">
        <v>778</v>
      </c>
      <c r="E1234" s="126" t="s">
        <v>2001</v>
      </c>
      <c r="F1234" s="122" t="s">
        <v>1607</v>
      </c>
      <c r="G1234" s="122" t="s">
        <v>134</v>
      </c>
      <c r="H1234">
        <v>23</v>
      </c>
      <c r="I1234" s="122" t="s">
        <v>1546</v>
      </c>
      <c r="J1234" s="307" t="s">
        <v>214</v>
      </c>
      <c r="K1234" s="127">
        <v>3</v>
      </c>
      <c r="L1234" s="151" t="s">
        <v>3306</v>
      </c>
      <c r="M1234">
        <v>343</v>
      </c>
      <c r="N1234" s="123">
        <v>1</v>
      </c>
      <c r="O1234">
        <v>786</v>
      </c>
      <c r="P1234" s="132" t="s">
        <v>77</v>
      </c>
      <c r="Q1234" s="131">
        <v>13246.84</v>
      </c>
      <c r="R1234" s="131">
        <v>2119.4899999999998</v>
      </c>
      <c r="S1234" s="131"/>
      <c r="T1234" s="155">
        <v>0</v>
      </c>
      <c r="U1234" s="131">
        <v>0</v>
      </c>
      <c r="V1234" s="131">
        <v>15366.33</v>
      </c>
      <c r="W1234">
        <v>25</v>
      </c>
      <c r="X1234" s="151" t="s">
        <v>2024</v>
      </c>
      <c r="Y1234" s="135" t="s">
        <v>55</v>
      </c>
      <c r="Z1234" s="307">
        <v>233</v>
      </c>
      <c r="AB1234" t="str">
        <f>IF(Table1[[#This Row],[TIPO2]]="costo", VLOOKUP(Table1[[#This Row],[PARTIDA PRESUPUESTAL]],'Cost Report'!G:G,1,0),"Balance")</f>
        <v>3683-105</v>
      </c>
      <c r="AC1234" s="118"/>
      <c r="AD1234" s="159">
        <f>+Table1[[#This Row],[SUBTOTAL]]+Table1[[#This Row],[IVA]]-Table1[[#This Row],[RET IVA]]-Table1[[#This Row],[RET ISR]]-Table1[[#This Row],[TOTAL]]</f>
        <v>0</v>
      </c>
      <c r="AE1234" s="150"/>
      <c r="AF1234" s="151"/>
      <c r="AG1234" s="126"/>
      <c r="AH1234" s="115"/>
      <c r="AK1234" s="306" t="str">
        <f>IF(ISNUMBER(Table1[[#This Row],[FECHA DE RECIBIDO]]), Table1[[#This Row],[FECHA DE RECIBIDO]]-DATE(2023,8,30), "")</f>
        <v/>
      </c>
    </row>
    <row r="1235" spans="1:37" ht="16.05" customHeight="1">
      <c r="A1235" s="152"/>
      <c r="B1235" s="153"/>
      <c r="C1235" s="126" t="s">
        <v>2880</v>
      </c>
      <c r="D1235">
        <v>778</v>
      </c>
      <c r="E1235" s="126" t="s">
        <v>2001</v>
      </c>
      <c r="F1235" s="125" t="s">
        <v>1607</v>
      </c>
      <c r="G1235" s="125" t="s">
        <v>134</v>
      </c>
      <c r="H1235">
        <v>23</v>
      </c>
      <c r="I1235" s="125" t="s">
        <v>1546</v>
      </c>
      <c r="J1235" s="308" t="s">
        <v>214</v>
      </c>
      <c r="K1235" s="127">
        <v>3</v>
      </c>
      <c r="L1235" s="153" t="s">
        <v>3306</v>
      </c>
      <c r="M1235">
        <v>343</v>
      </c>
      <c r="N1235" s="123">
        <v>1</v>
      </c>
      <c r="O1235">
        <v>786</v>
      </c>
      <c r="P1235" s="132" t="s">
        <v>77</v>
      </c>
      <c r="Q1235" s="132">
        <v>26493.68</v>
      </c>
      <c r="R1235" s="132">
        <v>4238.99</v>
      </c>
      <c r="S1235" s="132"/>
      <c r="T1235" s="156">
        <v>0</v>
      </c>
      <c r="U1235" s="132">
        <v>0</v>
      </c>
      <c r="V1235" s="132">
        <v>30732.67</v>
      </c>
      <c r="W1235">
        <v>25</v>
      </c>
      <c r="X1235" s="153" t="s">
        <v>2024</v>
      </c>
      <c r="Y1235" s="124" t="s">
        <v>55</v>
      </c>
      <c r="Z1235" s="308">
        <v>233</v>
      </c>
      <c r="AB1235" t="str">
        <f>IF(Table1[[#This Row],[TIPO2]]="costo", VLOOKUP(Table1[[#This Row],[PARTIDA PRESUPUESTAL]],'Cost Report'!G:G,1,0),"Balance")</f>
        <v>3683-109</v>
      </c>
      <c r="AC1235" s="118"/>
      <c r="AD1235" s="159">
        <f>+Table1[[#This Row],[SUBTOTAL]]+Table1[[#This Row],[IVA]]-Table1[[#This Row],[RET IVA]]-Table1[[#This Row],[RET ISR]]-Table1[[#This Row],[TOTAL]]</f>
        <v>0</v>
      </c>
      <c r="AE1235" s="152"/>
      <c r="AF1235" s="153"/>
      <c r="AG1235" s="126"/>
      <c r="AH1235" s="115"/>
      <c r="AK1235" s="306" t="str">
        <f>IF(ISNUMBER(Table1[[#This Row],[FECHA DE RECIBIDO]]), Table1[[#This Row],[FECHA DE RECIBIDO]]-DATE(2023,8,30), "")</f>
        <v/>
      </c>
    </row>
    <row r="1236" spans="1:37" ht="16.05" customHeight="1">
      <c r="A1236" s="150"/>
      <c r="B1236" s="151"/>
      <c r="C1236" s="126" t="s">
        <v>2909</v>
      </c>
      <c r="D1236">
        <v>778</v>
      </c>
      <c r="E1236" s="126" t="s">
        <v>2001</v>
      </c>
      <c r="F1236" s="122" t="s">
        <v>1607</v>
      </c>
      <c r="G1236" s="122" t="s">
        <v>134</v>
      </c>
      <c r="H1236">
        <v>23</v>
      </c>
      <c r="I1236" s="122" t="s">
        <v>1546</v>
      </c>
      <c r="J1236" s="307" t="s">
        <v>214</v>
      </c>
      <c r="K1236" s="127">
        <v>3</v>
      </c>
      <c r="L1236" s="151" t="s">
        <v>3306</v>
      </c>
      <c r="M1236">
        <v>343</v>
      </c>
      <c r="N1236" s="123">
        <v>1</v>
      </c>
      <c r="O1236">
        <v>786</v>
      </c>
      <c r="P1236" s="132" t="s">
        <v>77</v>
      </c>
      <c r="Q1236" s="131">
        <v>13246.84</v>
      </c>
      <c r="R1236" s="131">
        <v>2119.4899999999998</v>
      </c>
      <c r="S1236" s="131"/>
      <c r="T1236" s="155">
        <v>0</v>
      </c>
      <c r="U1236" s="131">
        <v>0</v>
      </c>
      <c r="V1236" s="131">
        <v>15366.33</v>
      </c>
      <c r="W1236">
        <v>25</v>
      </c>
      <c r="X1236" s="151" t="s">
        <v>2024</v>
      </c>
      <c r="Y1236" s="135" t="s">
        <v>55</v>
      </c>
      <c r="Z1236" s="307">
        <v>233</v>
      </c>
      <c r="AB1236" t="str">
        <f>IF(Table1[[#This Row],[TIPO2]]="costo", VLOOKUP(Table1[[#This Row],[PARTIDA PRESUPUESTAL]],'Cost Report'!G:G,1,0),"Balance")</f>
        <v>3683-158</v>
      </c>
      <c r="AC1236" s="118"/>
      <c r="AD1236" s="159">
        <f>+Table1[[#This Row],[SUBTOTAL]]+Table1[[#This Row],[IVA]]-Table1[[#This Row],[RET IVA]]-Table1[[#This Row],[RET ISR]]-Table1[[#This Row],[TOTAL]]</f>
        <v>0</v>
      </c>
      <c r="AE1236" s="150"/>
      <c r="AF1236" s="151"/>
      <c r="AG1236" s="126"/>
      <c r="AH1236" s="115"/>
      <c r="AK1236" s="306" t="str">
        <f>IF(ISNUMBER(Table1[[#This Row],[FECHA DE RECIBIDO]]), Table1[[#This Row],[FECHA DE RECIBIDO]]-DATE(2023,8,30), "")</f>
        <v/>
      </c>
    </row>
    <row r="1237" spans="1:37" ht="16.05" customHeight="1">
      <c r="A1237" s="152"/>
      <c r="B1237" s="153"/>
      <c r="C1237" s="126" t="s">
        <v>2909</v>
      </c>
      <c r="D1237">
        <v>778</v>
      </c>
      <c r="E1237" s="126" t="s">
        <v>2001</v>
      </c>
      <c r="F1237" s="125" t="s">
        <v>1607</v>
      </c>
      <c r="G1237" s="125" t="s">
        <v>134</v>
      </c>
      <c r="H1237">
        <v>23</v>
      </c>
      <c r="I1237" s="125" t="s">
        <v>1546</v>
      </c>
      <c r="J1237" s="308" t="s">
        <v>214</v>
      </c>
      <c r="K1237" s="127">
        <v>3</v>
      </c>
      <c r="L1237" s="153" t="s">
        <v>3306</v>
      </c>
      <c r="M1237">
        <v>343</v>
      </c>
      <c r="N1237" s="123">
        <v>1</v>
      </c>
      <c r="O1237">
        <v>786</v>
      </c>
      <c r="P1237" s="132" t="s">
        <v>77</v>
      </c>
      <c r="Q1237" s="132">
        <v>13246.84</v>
      </c>
      <c r="R1237" s="132">
        <v>2119.4899999999998</v>
      </c>
      <c r="S1237" s="132"/>
      <c r="T1237" s="156">
        <v>0</v>
      </c>
      <c r="U1237" s="132">
        <v>0</v>
      </c>
      <c r="V1237" s="132">
        <v>15366.33</v>
      </c>
      <c r="W1237">
        <v>25</v>
      </c>
      <c r="X1237" s="153" t="s">
        <v>2024</v>
      </c>
      <c r="Y1237" s="124" t="s">
        <v>55</v>
      </c>
      <c r="Z1237" s="308">
        <v>233</v>
      </c>
      <c r="AB1237" t="str">
        <f>IF(Table1[[#This Row],[TIPO2]]="costo", VLOOKUP(Table1[[#This Row],[PARTIDA PRESUPUESTAL]],'Cost Report'!G:G,1,0),"Balance")</f>
        <v>3683-158</v>
      </c>
      <c r="AC1237" s="118"/>
      <c r="AD1237" s="159">
        <f>+Table1[[#This Row],[SUBTOTAL]]+Table1[[#This Row],[IVA]]-Table1[[#This Row],[RET IVA]]-Table1[[#This Row],[RET ISR]]-Table1[[#This Row],[TOTAL]]</f>
        <v>0</v>
      </c>
      <c r="AE1237" s="152"/>
      <c r="AF1237" s="153"/>
      <c r="AG1237" s="126"/>
      <c r="AH1237" s="115"/>
      <c r="AK1237" s="306" t="str">
        <f>IF(ISNUMBER(Table1[[#This Row],[FECHA DE RECIBIDO]]), Table1[[#This Row],[FECHA DE RECIBIDO]]-DATE(2023,8,30), "")</f>
        <v/>
      </c>
    </row>
    <row r="1238" spans="1:37" ht="16.05" customHeight="1">
      <c r="A1238" s="150"/>
      <c r="B1238" s="151"/>
      <c r="C1238" s="126" t="s">
        <v>2916</v>
      </c>
      <c r="D1238">
        <v>778</v>
      </c>
      <c r="E1238" s="126" t="s">
        <v>2001</v>
      </c>
      <c r="F1238" s="122" t="s">
        <v>1607</v>
      </c>
      <c r="G1238" s="122" t="s">
        <v>134</v>
      </c>
      <c r="H1238">
        <v>23</v>
      </c>
      <c r="I1238" s="122" t="s">
        <v>1546</v>
      </c>
      <c r="J1238" s="307" t="s">
        <v>214</v>
      </c>
      <c r="K1238" s="127">
        <v>3</v>
      </c>
      <c r="L1238" s="151" t="s">
        <v>3306</v>
      </c>
      <c r="M1238">
        <v>343</v>
      </c>
      <c r="N1238" s="123">
        <v>1</v>
      </c>
      <c r="O1238">
        <v>786</v>
      </c>
      <c r="P1238" s="132" t="s">
        <v>77</v>
      </c>
      <c r="Q1238" s="131">
        <v>4308.6000000000004</v>
      </c>
      <c r="R1238" s="131">
        <v>689.38</v>
      </c>
      <c r="S1238" s="131"/>
      <c r="T1238" s="155">
        <v>0</v>
      </c>
      <c r="U1238" s="131">
        <v>0</v>
      </c>
      <c r="V1238" s="131">
        <v>4997.9800000000005</v>
      </c>
      <c r="W1238">
        <v>25</v>
      </c>
      <c r="X1238" s="151" t="s">
        <v>2024</v>
      </c>
      <c r="Y1238" s="135" t="s">
        <v>55</v>
      </c>
      <c r="Z1238" s="307">
        <v>233</v>
      </c>
      <c r="AB1238" t="str">
        <f>IF(Table1[[#This Row],[TIPO2]]="costo", VLOOKUP(Table1[[#This Row],[PARTIDA PRESUPUESTAL]],'Cost Report'!G:G,1,0),"Balance")</f>
        <v>3683-171</v>
      </c>
      <c r="AC1238" s="118"/>
      <c r="AD1238" s="159">
        <f>+Table1[[#This Row],[SUBTOTAL]]+Table1[[#This Row],[IVA]]-Table1[[#This Row],[RET IVA]]-Table1[[#This Row],[RET ISR]]-Table1[[#This Row],[TOTAL]]</f>
        <v>0</v>
      </c>
      <c r="AE1238" s="150"/>
      <c r="AF1238" s="151"/>
      <c r="AG1238" s="126"/>
      <c r="AH1238" s="115"/>
      <c r="AK1238" s="306" t="str">
        <f>IF(ISNUMBER(Table1[[#This Row],[FECHA DE RECIBIDO]]), Table1[[#This Row],[FECHA DE RECIBIDO]]-DATE(2023,8,30), "")</f>
        <v/>
      </c>
    </row>
    <row r="1239" spans="1:37" ht="16.05" customHeight="1">
      <c r="A1239" s="152"/>
      <c r="B1239" s="153"/>
      <c r="C1239" s="126" t="s">
        <v>2907</v>
      </c>
      <c r="D1239">
        <v>778</v>
      </c>
      <c r="E1239" s="126" t="s">
        <v>2001</v>
      </c>
      <c r="F1239" s="125" t="s">
        <v>1607</v>
      </c>
      <c r="G1239" s="125" t="s">
        <v>134</v>
      </c>
      <c r="H1239">
        <v>23</v>
      </c>
      <c r="I1239" s="125" t="s">
        <v>1546</v>
      </c>
      <c r="J1239" s="308" t="s">
        <v>214</v>
      </c>
      <c r="K1239" s="127">
        <v>3</v>
      </c>
      <c r="L1239" s="153" t="s">
        <v>3306</v>
      </c>
      <c r="M1239">
        <v>343</v>
      </c>
      <c r="N1239" s="123">
        <v>1</v>
      </c>
      <c r="O1239">
        <v>786</v>
      </c>
      <c r="P1239" s="132" t="s">
        <v>77</v>
      </c>
      <c r="Q1239" s="132">
        <v>2365.5100000000002</v>
      </c>
      <c r="R1239" s="132">
        <v>378.48</v>
      </c>
      <c r="S1239" s="132"/>
      <c r="T1239" s="156">
        <v>0</v>
      </c>
      <c r="U1239" s="132">
        <v>0</v>
      </c>
      <c r="V1239" s="132">
        <v>2743.9900000000002</v>
      </c>
      <c r="W1239">
        <v>25</v>
      </c>
      <c r="X1239" s="153" t="s">
        <v>2024</v>
      </c>
      <c r="Y1239" s="124" t="s">
        <v>55</v>
      </c>
      <c r="Z1239" s="308">
        <v>233</v>
      </c>
      <c r="AB1239" t="str">
        <f>IF(Table1[[#This Row],[TIPO2]]="costo", VLOOKUP(Table1[[#This Row],[PARTIDA PRESUPUESTAL]],'Cost Report'!G:G,1,0),"Balance")</f>
        <v>3683-154</v>
      </c>
      <c r="AC1239" s="118"/>
      <c r="AD1239" s="159">
        <f>+Table1[[#This Row],[SUBTOTAL]]+Table1[[#This Row],[IVA]]-Table1[[#This Row],[RET IVA]]-Table1[[#This Row],[RET ISR]]-Table1[[#This Row],[TOTAL]]</f>
        <v>0</v>
      </c>
      <c r="AE1239" s="152"/>
      <c r="AF1239" s="153"/>
      <c r="AG1239" s="126"/>
      <c r="AH1239" s="115"/>
      <c r="AK1239" s="306" t="str">
        <f>IF(ISNUMBER(Table1[[#This Row],[FECHA DE RECIBIDO]]), Table1[[#This Row],[FECHA DE RECIBIDO]]-DATE(2023,8,30), "")</f>
        <v/>
      </c>
    </row>
    <row r="1240" spans="1:37" ht="16.05" customHeight="1">
      <c r="A1240" s="150" t="s">
        <v>3724</v>
      </c>
      <c r="B1240" s="151">
        <v>745</v>
      </c>
      <c r="C1240" s="126" t="s">
        <v>2836</v>
      </c>
      <c r="D1240">
        <v>779</v>
      </c>
      <c r="E1240" s="126" t="s">
        <v>2001</v>
      </c>
      <c r="F1240" s="122" t="s">
        <v>1607</v>
      </c>
      <c r="G1240" s="122" t="s">
        <v>134</v>
      </c>
      <c r="H1240">
        <v>23</v>
      </c>
      <c r="I1240" s="122" t="s">
        <v>1546</v>
      </c>
      <c r="J1240" s="307" t="s">
        <v>214</v>
      </c>
      <c r="K1240" s="127">
        <v>3</v>
      </c>
      <c r="L1240" s="151" t="s">
        <v>3306</v>
      </c>
      <c r="M1240">
        <v>343</v>
      </c>
      <c r="N1240" s="123">
        <v>1</v>
      </c>
      <c r="O1240">
        <v>787</v>
      </c>
      <c r="P1240" s="132" t="s">
        <v>77</v>
      </c>
      <c r="Q1240" s="131">
        <v>4886.63</v>
      </c>
      <c r="R1240" s="131">
        <v>781.86</v>
      </c>
      <c r="S1240" s="131"/>
      <c r="T1240" s="155">
        <v>0</v>
      </c>
      <c r="U1240" s="131">
        <v>0</v>
      </c>
      <c r="V1240" s="131">
        <v>5668.49</v>
      </c>
      <c r="W1240">
        <v>25</v>
      </c>
      <c r="X1240" s="151" t="s">
        <v>2024</v>
      </c>
      <c r="Y1240" s="135" t="s">
        <v>55</v>
      </c>
      <c r="Z1240" s="307">
        <v>233</v>
      </c>
      <c r="AB1240" t="str">
        <f>IF(Table1[[#This Row],[TIPO2]]="costo", VLOOKUP(Table1[[#This Row],[PARTIDA PRESUPUESTAL]],'Cost Report'!G:G,1,0),"Balance")</f>
        <v>3442-025</v>
      </c>
      <c r="AC1240" s="118"/>
      <c r="AD1240" s="159">
        <f>+Table1[[#This Row],[SUBTOTAL]]+Table1[[#This Row],[IVA]]-Table1[[#This Row],[RET IVA]]-Table1[[#This Row],[RET ISR]]-Table1[[#This Row],[TOTAL]]</f>
        <v>0</v>
      </c>
      <c r="AE1240" s="150"/>
      <c r="AF1240" s="151"/>
      <c r="AG1240" s="126"/>
      <c r="AH1240" s="115"/>
      <c r="AK1240" s="306" t="str">
        <f>IF(ISNUMBER(Table1[[#This Row],[FECHA DE RECIBIDO]]), Table1[[#This Row],[FECHA DE RECIBIDO]]-DATE(2023,8,30), "")</f>
        <v/>
      </c>
    </row>
    <row r="1241" spans="1:37" ht="16.05" customHeight="1">
      <c r="A1241" s="152"/>
      <c r="B1241" s="153"/>
      <c r="C1241" s="126" t="s">
        <v>2836</v>
      </c>
      <c r="D1241">
        <v>779</v>
      </c>
      <c r="E1241" s="126" t="s">
        <v>2001</v>
      </c>
      <c r="F1241" s="125" t="s">
        <v>1607</v>
      </c>
      <c r="G1241" s="125" t="s">
        <v>134</v>
      </c>
      <c r="H1241">
        <v>23</v>
      </c>
      <c r="I1241" s="125" t="s">
        <v>1546</v>
      </c>
      <c r="J1241" s="308" t="s">
        <v>214</v>
      </c>
      <c r="K1241" s="127">
        <v>3</v>
      </c>
      <c r="L1241" s="153" t="s">
        <v>3306</v>
      </c>
      <c r="M1241">
        <v>343</v>
      </c>
      <c r="N1241" s="123">
        <v>1</v>
      </c>
      <c r="O1241">
        <v>787</v>
      </c>
      <c r="P1241" s="132" t="s">
        <v>77</v>
      </c>
      <c r="Q1241" s="132">
        <v>164.19</v>
      </c>
      <c r="R1241" s="132">
        <v>26.27</v>
      </c>
      <c r="S1241" s="132"/>
      <c r="T1241" s="156">
        <v>0</v>
      </c>
      <c r="U1241" s="132">
        <v>0</v>
      </c>
      <c r="V1241" s="132">
        <v>190.46</v>
      </c>
      <c r="W1241">
        <v>25</v>
      </c>
      <c r="X1241" s="153" t="s">
        <v>2024</v>
      </c>
      <c r="Y1241" s="124" t="s">
        <v>55</v>
      </c>
      <c r="Z1241" s="308">
        <v>233</v>
      </c>
      <c r="AB1241" t="str">
        <f>IF(Table1[[#This Row],[TIPO2]]="costo", VLOOKUP(Table1[[#This Row],[PARTIDA PRESUPUESTAL]],'Cost Report'!G:G,1,0),"Balance")</f>
        <v>3442-025</v>
      </c>
      <c r="AC1241" s="118"/>
      <c r="AD1241" s="159">
        <f>+Table1[[#This Row],[SUBTOTAL]]+Table1[[#This Row],[IVA]]-Table1[[#This Row],[RET IVA]]-Table1[[#This Row],[RET ISR]]-Table1[[#This Row],[TOTAL]]</f>
        <v>0</v>
      </c>
      <c r="AE1241" s="152"/>
      <c r="AF1241" s="153"/>
      <c r="AG1241" s="126"/>
      <c r="AH1241" s="115"/>
      <c r="AK1241" s="306" t="str">
        <f>IF(ISNUMBER(Table1[[#This Row],[FECHA DE RECIBIDO]]), Table1[[#This Row],[FECHA DE RECIBIDO]]-DATE(2023,8,30), "")</f>
        <v/>
      </c>
    </row>
    <row r="1242" spans="1:37" ht="16.05" customHeight="1">
      <c r="A1242" s="150"/>
      <c r="B1242" s="151"/>
      <c r="C1242" s="126" t="s">
        <v>2836</v>
      </c>
      <c r="D1242">
        <v>779</v>
      </c>
      <c r="E1242" s="126" t="s">
        <v>2001</v>
      </c>
      <c r="F1242" s="122" t="s">
        <v>1607</v>
      </c>
      <c r="G1242" s="122" t="s">
        <v>134</v>
      </c>
      <c r="H1242">
        <v>23</v>
      </c>
      <c r="I1242" s="122" t="s">
        <v>1546</v>
      </c>
      <c r="J1242" s="307" t="s">
        <v>214</v>
      </c>
      <c r="K1242" s="127">
        <v>3</v>
      </c>
      <c r="L1242" s="151" t="s">
        <v>3306</v>
      </c>
      <c r="M1242">
        <v>343</v>
      </c>
      <c r="N1242" s="123">
        <v>1</v>
      </c>
      <c r="O1242">
        <v>787</v>
      </c>
      <c r="P1242" s="132" t="s">
        <v>77</v>
      </c>
      <c r="Q1242" s="131">
        <v>164.19</v>
      </c>
      <c r="R1242" s="131">
        <v>26.27</v>
      </c>
      <c r="S1242" s="131"/>
      <c r="T1242" s="155">
        <v>0</v>
      </c>
      <c r="U1242" s="131">
        <v>0</v>
      </c>
      <c r="V1242" s="131">
        <v>190.46</v>
      </c>
      <c r="W1242">
        <v>25</v>
      </c>
      <c r="X1242" s="151" t="s">
        <v>2024</v>
      </c>
      <c r="Y1242" s="135" t="s">
        <v>55</v>
      </c>
      <c r="Z1242" s="307">
        <v>233</v>
      </c>
      <c r="AB1242" t="str">
        <f>IF(Table1[[#This Row],[TIPO2]]="costo", VLOOKUP(Table1[[#This Row],[PARTIDA PRESUPUESTAL]],'Cost Report'!G:G,1,0),"Balance")</f>
        <v>3442-025</v>
      </c>
      <c r="AC1242" s="118"/>
      <c r="AD1242" s="159">
        <f>+Table1[[#This Row],[SUBTOTAL]]+Table1[[#This Row],[IVA]]-Table1[[#This Row],[RET IVA]]-Table1[[#This Row],[RET ISR]]-Table1[[#This Row],[TOTAL]]</f>
        <v>0</v>
      </c>
      <c r="AE1242" s="150"/>
      <c r="AF1242" s="151"/>
      <c r="AG1242" s="126"/>
      <c r="AH1242" s="115"/>
      <c r="AK1242" s="306" t="str">
        <f>IF(ISNUMBER(Table1[[#This Row],[FECHA DE RECIBIDO]]), Table1[[#This Row],[FECHA DE RECIBIDO]]-DATE(2023,8,30), "")</f>
        <v/>
      </c>
    </row>
    <row r="1243" spans="1:37" ht="16.05" customHeight="1">
      <c r="A1243" s="152"/>
      <c r="B1243" s="153"/>
      <c r="C1243" s="126" t="s">
        <v>2836</v>
      </c>
      <c r="D1243">
        <v>779</v>
      </c>
      <c r="E1243" s="126" t="s">
        <v>2001</v>
      </c>
      <c r="F1243" s="125" t="s">
        <v>1607</v>
      </c>
      <c r="G1243" s="125" t="s">
        <v>134</v>
      </c>
      <c r="H1243">
        <v>23</v>
      </c>
      <c r="I1243" s="125" t="s">
        <v>1546</v>
      </c>
      <c r="J1243" s="308" t="s">
        <v>214</v>
      </c>
      <c r="K1243" s="127">
        <v>3</v>
      </c>
      <c r="L1243" s="153" t="s">
        <v>3306</v>
      </c>
      <c r="M1243">
        <v>343</v>
      </c>
      <c r="N1243" s="123">
        <v>1</v>
      </c>
      <c r="O1243">
        <v>787</v>
      </c>
      <c r="P1243" s="132" t="s">
        <v>77</v>
      </c>
      <c r="Q1243" s="132">
        <v>328.38</v>
      </c>
      <c r="R1243" s="132">
        <v>52.54</v>
      </c>
      <c r="S1243" s="132"/>
      <c r="T1243" s="156">
        <v>0</v>
      </c>
      <c r="U1243" s="132">
        <v>0</v>
      </c>
      <c r="V1243" s="132">
        <v>380.92</v>
      </c>
      <c r="W1243">
        <v>25</v>
      </c>
      <c r="X1243" s="153" t="s">
        <v>2024</v>
      </c>
      <c r="Y1243" s="124" t="s">
        <v>55</v>
      </c>
      <c r="Z1243" s="308">
        <v>233</v>
      </c>
      <c r="AB1243" t="str">
        <f>IF(Table1[[#This Row],[TIPO2]]="costo", VLOOKUP(Table1[[#This Row],[PARTIDA PRESUPUESTAL]],'Cost Report'!G:G,1,0),"Balance")</f>
        <v>3442-025</v>
      </c>
      <c r="AC1243" s="118"/>
      <c r="AD1243" s="159">
        <f>+Table1[[#This Row],[SUBTOTAL]]+Table1[[#This Row],[IVA]]-Table1[[#This Row],[RET IVA]]-Table1[[#This Row],[RET ISR]]-Table1[[#This Row],[TOTAL]]</f>
        <v>0</v>
      </c>
      <c r="AE1243" s="152"/>
      <c r="AF1243" s="153"/>
      <c r="AG1243" s="126"/>
      <c r="AH1243" s="115"/>
      <c r="AK1243" s="306" t="str">
        <f>IF(ISNUMBER(Table1[[#This Row],[FECHA DE RECIBIDO]]), Table1[[#This Row],[FECHA DE RECIBIDO]]-DATE(2023,8,30), "")</f>
        <v/>
      </c>
    </row>
    <row r="1244" spans="1:37" ht="16.05" customHeight="1">
      <c r="A1244" s="150"/>
      <c r="B1244" s="151"/>
      <c r="C1244" s="126" t="s">
        <v>2836</v>
      </c>
      <c r="D1244">
        <v>779</v>
      </c>
      <c r="E1244" s="126" t="s">
        <v>2001</v>
      </c>
      <c r="F1244" s="122" t="s">
        <v>1607</v>
      </c>
      <c r="G1244" s="122" t="s">
        <v>134</v>
      </c>
      <c r="H1244">
        <v>23</v>
      </c>
      <c r="I1244" s="122" t="s">
        <v>1546</v>
      </c>
      <c r="J1244" s="307" t="s">
        <v>214</v>
      </c>
      <c r="K1244" s="127">
        <v>3</v>
      </c>
      <c r="L1244" s="151" t="s">
        <v>3306</v>
      </c>
      <c r="M1244">
        <v>343</v>
      </c>
      <c r="N1244" s="123">
        <v>1</v>
      </c>
      <c r="O1244">
        <v>787</v>
      </c>
      <c r="P1244" s="132" t="s">
        <v>77</v>
      </c>
      <c r="Q1244" s="131">
        <v>8021.89</v>
      </c>
      <c r="R1244" s="131">
        <v>1283.5</v>
      </c>
      <c r="S1244" s="131"/>
      <c r="T1244" s="155">
        <v>0</v>
      </c>
      <c r="U1244" s="131">
        <v>0</v>
      </c>
      <c r="V1244" s="131">
        <v>9305.39</v>
      </c>
      <c r="W1244">
        <v>25</v>
      </c>
      <c r="X1244" s="151" t="s">
        <v>2024</v>
      </c>
      <c r="Y1244" s="135" t="s">
        <v>55</v>
      </c>
      <c r="Z1244" s="307">
        <v>233</v>
      </c>
      <c r="AB1244" t="str">
        <f>IF(Table1[[#This Row],[TIPO2]]="costo", VLOOKUP(Table1[[#This Row],[PARTIDA PRESUPUESTAL]],'Cost Report'!G:G,1,0),"Balance")</f>
        <v>3442-025</v>
      </c>
      <c r="AC1244" s="118"/>
      <c r="AD1244" s="159">
        <f>+Table1[[#This Row],[SUBTOTAL]]+Table1[[#This Row],[IVA]]-Table1[[#This Row],[RET IVA]]-Table1[[#This Row],[RET ISR]]-Table1[[#This Row],[TOTAL]]</f>
        <v>0</v>
      </c>
      <c r="AE1244" s="150"/>
      <c r="AF1244" s="151"/>
      <c r="AG1244" s="126"/>
      <c r="AH1244" s="115"/>
      <c r="AK1244" s="306" t="str">
        <f>IF(ISNUMBER(Table1[[#This Row],[FECHA DE RECIBIDO]]), Table1[[#This Row],[FECHA DE RECIBIDO]]-DATE(2023,8,30), "")</f>
        <v/>
      </c>
    </row>
    <row r="1245" spans="1:37" ht="16.05" customHeight="1">
      <c r="A1245" s="152"/>
      <c r="B1245" s="153"/>
      <c r="C1245" s="126" t="s">
        <v>2838</v>
      </c>
      <c r="D1245">
        <v>779</v>
      </c>
      <c r="E1245" s="126" t="s">
        <v>2001</v>
      </c>
      <c r="F1245" s="125" t="s">
        <v>1607</v>
      </c>
      <c r="G1245" s="125" t="s">
        <v>134</v>
      </c>
      <c r="H1245">
        <v>23</v>
      </c>
      <c r="I1245" s="125" t="s">
        <v>1546</v>
      </c>
      <c r="J1245" s="308" t="s">
        <v>214</v>
      </c>
      <c r="K1245" s="127">
        <v>3</v>
      </c>
      <c r="L1245" s="153" t="s">
        <v>3306</v>
      </c>
      <c r="M1245">
        <v>343</v>
      </c>
      <c r="N1245" s="123">
        <v>1</v>
      </c>
      <c r="O1245">
        <v>787</v>
      </c>
      <c r="P1245" s="132" t="s">
        <v>77</v>
      </c>
      <c r="Q1245" s="132">
        <v>1085.67</v>
      </c>
      <c r="R1245" s="132">
        <v>173.71</v>
      </c>
      <c r="S1245" s="132"/>
      <c r="T1245" s="156">
        <v>0</v>
      </c>
      <c r="U1245" s="132">
        <v>0</v>
      </c>
      <c r="V1245" s="132">
        <v>1259.3800000000001</v>
      </c>
      <c r="W1245">
        <v>25</v>
      </c>
      <c r="X1245" s="153" t="s">
        <v>2024</v>
      </c>
      <c r="Y1245" s="124" t="s">
        <v>55</v>
      </c>
      <c r="Z1245" s="308">
        <v>233</v>
      </c>
      <c r="AB1245" t="str">
        <f>IF(Table1[[#This Row],[TIPO2]]="costo", VLOOKUP(Table1[[#This Row],[PARTIDA PRESUPUESTAL]],'Cost Report'!G:G,1,0),"Balance")</f>
        <v>3442-029</v>
      </c>
      <c r="AC1245" s="118"/>
      <c r="AD1245" s="159">
        <f>+Table1[[#This Row],[SUBTOTAL]]+Table1[[#This Row],[IVA]]-Table1[[#This Row],[RET IVA]]-Table1[[#This Row],[RET ISR]]-Table1[[#This Row],[TOTAL]]</f>
        <v>0</v>
      </c>
      <c r="AE1245" s="152"/>
      <c r="AF1245" s="153"/>
      <c r="AG1245" s="126"/>
      <c r="AH1245" s="115"/>
      <c r="AK1245" s="306" t="str">
        <f>IF(ISNUMBER(Table1[[#This Row],[FECHA DE RECIBIDO]]), Table1[[#This Row],[FECHA DE RECIBIDO]]-DATE(2023,8,30), "")</f>
        <v/>
      </c>
    </row>
    <row r="1246" spans="1:37" ht="16.05" customHeight="1">
      <c r="A1246" s="150"/>
      <c r="B1246" s="151"/>
      <c r="C1246" s="126" t="s">
        <v>2836</v>
      </c>
      <c r="D1246">
        <v>779</v>
      </c>
      <c r="E1246" s="126" t="s">
        <v>2001</v>
      </c>
      <c r="F1246" s="122" t="s">
        <v>1607</v>
      </c>
      <c r="G1246" s="122" t="s">
        <v>134</v>
      </c>
      <c r="H1246">
        <v>23</v>
      </c>
      <c r="I1246" s="122" t="s">
        <v>1546</v>
      </c>
      <c r="J1246" s="307" t="s">
        <v>214</v>
      </c>
      <c r="K1246" s="127">
        <v>3</v>
      </c>
      <c r="L1246" s="151" t="s">
        <v>3306</v>
      </c>
      <c r="M1246">
        <v>343</v>
      </c>
      <c r="N1246" s="123">
        <v>1</v>
      </c>
      <c r="O1246">
        <v>787</v>
      </c>
      <c r="P1246" s="132" t="s">
        <v>77</v>
      </c>
      <c r="Q1246" s="131">
        <v>3166.53</v>
      </c>
      <c r="R1246" s="131">
        <v>506.65</v>
      </c>
      <c r="S1246" s="131"/>
      <c r="T1246" s="155">
        <v>0</v>
      </c>
      <c r="U1246" s="131">
        <v>0</v>
      </c>
      <c r="V1246" s="131">
        <v>3673.1800000000003</v>
      </c>
      <c r="W1246">
        <v>25</v>
      </c>
      <c r="X1246" s="151" t="s">
        <v>2024</v>
      </c>
      <c r="Y1246" s="135" t="s">
        <v>55</v>
      </c>
      <c r="Z1246" s="307">
        <v>233</v>
      </c>
      <c r="AB1246" t="str">
        <f>IF(Table1[[#This Row],[TIPO2]]="costo", VLOOKUP(Table1[[#This Row],[PARTIDA PRESUPUESTAL]],'Cost Report'!G:G,1,0),"Balance")</f>
        <v>3442-025</v>
      </c>
      <c r="AC1246" s="118"/>
      <c r="AD1246" s="159">
        <f>+Table1[[#This Row],[SUBTOTAL]]+Table1[[#This Row],[IVA]]-Table1[[#This Row],[RET IVA]]-Table1[[#This Row],[RET ISR]]-Table1[[#This Row],[TOTAL]]</f>
        <v>0</v>
      </c>
      <c r="AE1246" s="150"/>
      <c r="AF1246" s="151"/>
      <c r="AG1246" s="126"/>
      <c r="AH1246" s="115"/>
      <c r="AK1246" s="306" t="str">
        <f>IF(ISNUMBER(Table1[[#This Row],[FECHA DE RECIBIDO]]), Table1[[#This Row],[FECHA DE RECIBIDO]]-DATE(2023,8,30), "")</f>
        <v/>
      </c>
    </row>
    <row r="1247" spans="1:37" ht="16.05" customHeight="1">
      <c r="A1247" s="152"/>
      <c r="B1247" s="153"/>
      <c r="C1247" s="126" t="s">
        <v>2838</v>
      </c>
      <c r="D1247">
        <v>779</v>
      </c>
      <c r="E1247" s="126" t="s">
        <v>2001</v>
      </c>
      <c r="F1247" s="125" t="s">
        <v>1607</v>
      </c>
      <c r="G1247" s="125" t="s">
        <v>134</v>
      </c>
      <c r="H1247">
        <v>23</v>
      </c>
      <c r="I1247" s="125" t="s">
        <v>1546</v>
      </c>
      <c r="J1247" s="308" t="s">
        <v>214</v>
      </c>
      <c r="K1247" s="127">
        <v>3</v>
      </c>
      <c r="L1247" s="153" t="s">
        <v>3306</v>
      </c>
      <c r="M1247">
        <v>343</v>
      </c>
      <c r="N1247" s="123">
        <v>1</v>
      </c>
      <c r="O1247">
        <v>787</v>
      </c>
      <c r="P1247" s="132" t="s">
        <v>77</v>
      </c>
      <c r="Q1247" s="132">
        <v>482.52</v>
      </c>
      <c r="R1247" s="132">
        <v>77.2</v>
      </c>
      <c r="S1247" s="132"/>
      <c r="T1247" s="156">
        <v>0</v>
      </c>
      <c r="U1247" s="132">
        <v>0</v>
      </c>
      <c r="V1247" s="132">
        <v>559.72</v>
      </c>
      <c r="W1247">
        <v>25</v>
      </c>
      <c r="X1247" s="153" t="s">
        <v>2024</v>
      </c>
      <c r="Y1247" s="124" t="s">
        <v>55</v>
      </c>
      <c r="Z1247" s="308">
        <v>233</v>
      </c>
      <c r="AB1247" t="str">
        <f>IF(Table1[[#This Row],[TIPO2]]="costo", VLOOKUP(Table1[[#This Row],[PARTIDA PRESUPUESTAL]],'Cost Report'!G:G,1,0),"Balance")</f>
        <v>3442-029</v>
      </c>
      <c r="AC1247" s="118"/>
      <c r="AD1247" s="159">
        <f>+Table1[[#This Row],[SUBTOTAL]]+Table1[[#This Row],[IVA]]-Table1[[#This Row],[RET IVA]]-Table1[[#This Row],[RET ISR]]-Table1[[#This Row],[TOTAL]]</f>
        <v>0</v>
      </c>
      <c r="AE1247" s="152"/>
      <c r="AF1247" s="153"/>
      <c r="AG1247" s="126"/>
      <c r="AH1247" s="115"/>
      <c r="AK1247" s="306" t="str">
        <f>IF(ISNUMBER(Table1[[#This Row],[FECHA DE RECIBIDO]]), Table1[[#This Row],[FECHA DE RECIBIDO]]-DATE(2023,8,30), "")</f>
        <v/>
      </c>
    </row>
    <row r="1248" spans="1:37" ht="16.05" customHeight="1">
      <c r="A1248" s="150" t="s">
        <v>3725</v>
      </c>
      <c r="B1248" s="151">
        <v>746</v>
      </c>
      <c r="C1248" s="126" t="s">
        <v>2864</v>
      </c>
      <c r="D1248">
        <v>780</v>
      </c>
      <c r="E1248" s="126" t="s">
        <v>2001</v>
      </c>
      <c r="F1248" s="122" t="s">
        <v>1607</v>
      </c>
      <c r="G1248" s="122" t="s">
        <v>134</v>
      </c>
      <c r="H1248">
        <v>23</v>
      </c>
      <c r="I1248" s="122" t="s">
        <v>1546</v>
      </c>
      <c r="J1248" s="307" t="s">
        <v>214</v>
      </c>
      <c r="K1248" s="127">
        <v>3</v>
      </c>
      <c r="L1248" s="151" t="s">
        <v>3306</v>
      </c>
      <c r="M1248">
        <v>343</v>
      </c>
      <c r="N1248" s="123">
        <v>1</v>
      </c>
      <c r="O1248">
        <v>788</v>
      </c>
      <c r="P1248" s="132" t="s">
        <v>77</v>
      </c>
      <c r="Q1248" s="131">
        <v>32159.83</v>
      </c>
      <c r="R1248" s="131">
        <v>5145.57</v>
      </c>
      <c r="S1248" s="131"/>
      <c r="T1248" s="155">
        <v>0</v>
      </c>
      <c r="U1248" s="131">
        <v>0</v>
      </c>
      <c r="V1248" s="131">
        <v>37305.4</v>
      </c>
      <c r="W1248">
        <v>25</v>
      </c>
      <c r="X1248" s="151" t="s">
        <v>2024</v>
      </c>
      <c r="Y1248" s="135" t="s">
        <v>55</v>
      </c>
      <c r="Z1248" s="307">
        <v>233</v>
      </c>
      <c r="AB1248" t="str">
        <f>IF(Table1[[#This Row],[TIPO2]]="costo", VLOOKUP(Table1[[#This Row],[PARTIDA PRESUPUESTAL]],'Cost Report'!G:G,1,0),"Balance")</f>
        <v>3632-003</v>
      </c>
      <c r="AC1248" s="118"/>
      <c r="AD1248" s="159">
        <f>+Table1[[#This Row],[SUBTOTAL]]+Table1[[#This Row],[IVA]]-Table1[[#This Row],[RET IVA]]-Table1[[#This Row],[RET ISR]]-Table1[[#This Row],[TOTAL]]</f>
        <v>0</v>
      </c>
      <c r="AE1248" s="150"/>
      <c r="AF1248" s="151"/>
      <c r="AG1248" s="126"/>
      <c r="AH1248" s="115"/>
      <c r="AK1248" s="306" t="str">
        <f>IF(ISNUMBER(Table1[[#This Row],[FECHA DE RECIBIDO]]), Table1[[#This Row],[FECHA DE RECIBIDO]]-DATE(2023,8,30), "")</f>
        <v/>
      </c>
    </row>
    <row r="1249" spans="1:37" ht="16.05" customHeight="1">
      <c r="A1249" s="152" t="s">
        <v>3726</v>
      </c>
      <c r="B1249" s="153">
        <v>747</v>
      </c>
      <c r="C1249" s="126" t="s">
        <v>1035</v>
      </c>
      <c r="D1249">
        <v>781</v>
      </c>
      <c r="E1249" s="126" t="s">
        <v>2001</v>
      </c>
      <c r="F1249" s="125" t="s">
        <v>1607</v>
      </c>
      <c r="G1249" s="125" t="s">
        <v>134</v>
      </c>
      <c r="H1249">
        <v>23</v>
      </c>
      <c r="I1249" s="125" t="s">
        <v>1546</v>
      </c>
      <c r="J1249" s="308" t="s">
        <v>214</v>
      </c>
      <c r="K1249" s="127">
        <v>3</v>
      </c>
      <c r="L1249" s="153" t="s">
        <v>3306</v>
      </c>
      <c r="M1249">
        <v>343</v>
      </c>
      <c r="N1249" s="123">
        <v>1</v>
      </c>
      <c r="O1249">
        <v>789</v>
      </c>
      <c r="P1249" s="132" t="s">
        <v>77</v>
      </c>
      <c r="Q1249" s="132">
        <v>22649.52</v>
      </c>
      <c r="R1249" s="132">
        <v>3623.92</v>
      </c>
      <c r="S1249" s="132"/>
      <c r="T1249" s="156">
        <v>0</v>
      </c>
      <c r="U1249" s="132">
        <v>0</v>
      </c>
      <c r="V1249" s="132">
        <v>26273.440000000002</v>
      </c>
      <c r="W1249">
        <v>25</v>
      </c>
      <c r="X1249" s="153" t="s">
        <v>2024</v>
      </c>
      <c r="Y1249" s="124" t="s">
        <v>55</v>
      </c>
      <c r="Z1249" s="308">
        <v>233</v>
      </c>
      <c r="AB1249" t="str">
        <f>IF(Table1[[#This Row],[TIPO2]]="costo", VLOOKUP(Table1[[#This Row],[PARTIDA PRESUPUESTAL]],'Cost Report'!G:G,1,0),"Balance")</f>
        <v>3683-006</v>
      </c>
      <c r="AC1249" s="118"/>
      <c r="AD1249" s="159">
        <f>+Table1[[#This Row],[SUBTOTAL]]+Table1[[#This Row],[IVA]]-Table1[[#This Row],[RET IVA]]-Table1[[#This Row],[RET ISR]]-Table1[[#This Row],[TOTAL]]</f>
        <v>0</v>
      </c>
      <c r="AE1249" s="152"/>
      <c r="AF1249" s="153"/>
      <c r="AG1249" s="126"/>
      <c r="AH1249" s="115"/>
      <c r="AK1249" s="306" t="str">
        <f>IF(ISNUMBER(Table1[[#This Row],[FECHA DE RECIBIDO]]), Table1[[#This Row],[FECHA DE RECIBIDO]]-DATE(2023,8,30), "")</f>
        <v/>
      </c>
    </row>
    <row r="1250" spans="1:37" ht="16.05" customHeight="1">
      <c r="A1250" s="150"/>
      <c r="B1250" s="151"/>
      <c r="C1250" s="126" t="s">
        <v>1039</v>
      </c>
      <c r="D1250">
        <v>781</v>
      </c>
      <c r="E1250" s="126" t="s">
        <v>2001</v>
      </c>
      <c r="F1250" s="122" t="s">
        <v>1607</v>
      </c>
      <c r="G1250" s="122" t="s">
        <v>134</v>
      </c>
      <c r="H1250">
        <v>23</v>
      </c>
      <c r="I1250" s="122" t="s">
        <v>1546</v>
      </c>
      <c r="J1250" s="307" t="s">
        <v>214</v>
      </c>
      <c r="K1250" s="127">
        <v>3</v>
      </c>
      <c r="L1250" s="151" t="s">
        <v>3306</v>
      </c>
      <c r="M1250">
        <v>343</v>
      </c>
      <c r="N1250" s="123">
        <v>1</v>
      </c>
      <c r="O1250">
        <v>789</v>
      </c>
      <c r="P1250" s="132" t="s">
        <v>77</v>
      </c>
      <c r="Q1250" s="131">
        <v>22649.52</v>
      </c>
      <c r="R1250" s="131">
        <v>3623.92</v>
      </c>
      <c r="S1250" s="131"/>
      <c r="T1250" s="155">
        <v>0</v>
      </c>
      <c r="U1250" s="131">
        <v>0</v>
      </c>
      <c r="V1250" s="131">
        <v>26273.440000000002</v>
      </c>
      <c r="W1250">
        <v>25</v>
      </c>
      <c r="X1250" s="151" t="s">
        <v>2024</v>
      </c>
      <c r="Y1250" s="135" t="s">
        <v>55</v>
      </c>
      <c r="Z1250" s="307">
        <v>233</v>
      </c>
      <c r="AB1250" t="str">
        <f>IF(Table1[[#This Row],[TIPO2]]="costo", VLOOKUP(Table1[[#This Row],[PARTIDA PRESUPUESTAL]],'Cost Report'!G:G,1,0),"Balance")</f>
        <v>3683-012</v>
      </c>
      <c r="AC1250" s="118"/>
      <c r="AD1250" s="159">
        <f>+Table1[[#This Row],[SUBTOTAL]]+Table1[[#This Row],[IVA]]-Table1[[#This Row],[RET IVA]]-Table1[[#This Row],[RET ISR]]-Table1[[#This Row],[TOTAL]]</f>
        <v>0</v>
      </c>
      <c r="AE1250" s="150"/>
      <c r="AF1250" s="151"/>
      <c r="AG1250" s="126"/>
      <c r="AH1250" s="115"/>
      <c r="AK1250" s="306" t="str">
        <f>IF(ISNUMBER(Table1[[#This Row],[FECHA DE RECIBIDO]]), Table1[[#This Row],[FECHA DE RECIBIDO]]-DATE(2023,8,30), "")</f>
        <v/>
      </c>
    </row>
    <row r="1251" spans="1:37" ht="16.05" customHeight="1">
      <c r="A1251" s="152"/>
      <c r="B1251" s="153"/>
      <c r="C1251" s="126" t="s">
        <v>1043</v>
      </c>
      <c r="D1251">
        <v>781</v>
      </c>
      <c r="E1251" s="126" t="s">
        <v>2001</v>
      </c>
      <c r="F1251" s="125" t="s">
        <v>1607</v>
      </c>
      <c r="G1251" s="125" t="s">
        <v>134</v>
      </c>
      <c r="H1251">
        <v>23</v>
      </c>
      <c r="I1251" s="125" t="s">
        <v>1546</v>
      </c>
      <c r="J1251" s="308" t="s">
        <v>214</v>
      </c>
      <c r="K1251" s="127">
        <v>3</v>
      </c>
      <c r="L1251" s="153" t="s">
        <v>3306</v>
      </c>
      <c r="M1251">
        <v>343</v>
      </c>
      <c r="N1251" s="123">
        <v>1</v>
      </c>
      <c r="O1251">
        <v>789</v>
      </c>
      <c r="P1251" s="132" t="s">
        <v>77</v>
      </c>
      <c r="Q1251" s="132">
        <v>33974.269999999997</v>
      </c>
      <c r="R1251" s="132">
        <v>5435.88</v>
      </c>
      <c r="S1251" s="132"/>
      <c r="T1251" s="156">
        <v>0</v>
      </c>
      <c r="U1251" s="132">
        <v>0</v>
      </c>
      <c r="V1251" s="132">
        <v>39410.149999999994</v>
      </c>
      <c r="W1251">
        <v>25</v>
      </c>
      <c r="X1251" s="153" t="s">
        <v>2024</v>
      </c>
      <c r="Y1251" s="124" t="s">
        <v>55</v>
      </c>
      <c r="Z1251" s="308">
        <v>233</v>
      </c>
      <c r="AB1251" t="str">
        <f>IF(Table1[[#This Row],[TIPO2]]="costo", VLOOKUP(Table1[[#This Row],[PARTIDA PRESUPUESTAL]],'Cost Report'!G:G,1,0),"Balance")</f>
        <v>3683-018</v>
      </c>
      <c r="AC1251" s="118"/>
      <c r="AD1251" s="159">
        <f>+Table1[[#This Row],[SUBTOTAL]]+Table1[[#This Row],[IVA]]-Table1[[#This Row],[RET IVA]]-Table1[[#This Row],[RET ISR]]-Table1[[#This Row],[TOTAL]]</f>
        <v>0</v>
      </c>
      <c r="AE1251" s="152"/>
      <c r="AF1251" s="153"/>
      <c r="AG1251" s="126"/>
      <c r="AH1251" s="115"/>
      <c r="AK1251" s="306" t="str">
        <f>IF(ISNUMBER(Table1[[#This Row],[FECHA DE RECIBIDO]]), Table1[[#This Row],[FECHA DE RECIBIDO]]-DATE(2023,8,30), "")</f>
        <v/>
      </c>
    </row>
    <row r="1252" spans="1:37" ht="16.05" customHeight="1">
      <c r="A1252" s="150"/>
      <c r="B1252" s="151"/>
      <c r="C1252" s="126" t="s">
        <v>1047</v>
      </c>
      <c r="D1252">
        <v>781</v>
      </c>
      <c r="E1252" s="126" t="s">
        <v>2001</v>
      </c>
      <c r="F1252" s="122" t="s">
        <v>1607</v>
      </c>
      <c r="G1252" s="122" t="s">
        <v>134</v>
      </c>
      <c r="H1252">
        <v>23</v>
      </c>
      <c r="I1252" s="122" t="s">
        <v>1546</v>
      </c>
      <c r="J1252" s="307" t="s">
        <v>214</v>
      </c>
      <c r="K1252" s="127">
        <v>3</v>
      </c>
      <c r="L1252" s="151" t="s">
        <v>3306</v>
      </c>
      <c r="M1252">
        <v>343</v>
      </c>
      <c r="N1252" s="123">
        <v>1</v>
      </c>
      <c r="O1252">
        <v>789</v>
      </c>
      <c r="P1252" s="132" t="s">
        <v>77</v>
      </c>
      <c r="Q1252" s="131">
        <v>16609.650000000001</v>
      </c>
      <c r="R1252" s="131">
        <v>2657.54</v>
      </c>
      <c r="S1252" s="131"/>
      <c r="T1252" s="155">
        <v>0</v>
      </c>
      <c r="U1252" s="131">
        <v>0</v>
      </c>
      <c r="V1252" s="131">
        <v>19267.190000000002</v>
      </c>
      <c r="W1252">
        <v>25</v>
      </c>
      <c r="X1252" s="151" t="s">
        <v>2024</v>
      </c>
      <c r="Y1252" s="135" t="s">
        <v>55</v>
      </c>
      <c r="Z1252" s="307">
        <v>233</v>
      </c>
      <c r="AB1252" t="str">
        <f>IF(Table1[[#This Row],[TIPO2]]="costo", VLOOKUP(Table1[[#This Row],[PARTIDA PRESUPUESTAL]],'Cost Report'!G:G,1,0),"Balance")</f>
        <v>3683-024</v>
      </c>
      <c r="AC1252" s="118"/>
      <c r="AD1252" s="159">
        <f>+Table1[[#This Row],[SUBTOTAL]]+Table1[[#This Row],[IVA]]-Table1[[#This Row],[RET IVA]]-Table1[[#This Row],[RET ISR]]-Table1[[#This Row],[TOTAL]]</f>
        <v>0</v>
      </c>
      <c r="AE1252" s="150"/>
      <c r="AF1252" s="151"/>
      <c r="AG1252" s="126"/>
      <c r="AH1252" s="115"/>
      <c r="AK1252" s="306" t="str">
        <f>IF(ISNUMBER(Table1[[#This Row],[FECHA DE RECIBIDO]]), Table1[[#This Row],[FECHA DE RECIBIDO]]-DATE(2023,8,30), "")</f>
        <v/>
      </c>
    </row>
    <row r="1253" spans="1:37" ht="16.05" customHeight="1">
      <c r="A1253" s="152"/>
      <c r="B1253" s="153"/>
      <c r="C1253" s="126" t="s">
        <v>1051</v>
      </c>
      <c r="D1253">
        <v>781</v>
      </c>
      <c r="E1253" s="126" t="s">
        <v>2001</v>
      </c>
      <c r="F1253" s="125" t="s">
        <v>1607</v>
      </c>
      <c r="G1253" s="125" t="s">
        <v>134</v>
      </c>
      <c r="H1253">
        <v>23</v>
      </c>
      <c r="I1253" s="125" t="s">
        <v>1546</v>
      </c>
      <c r="J1253" s="308" t="s">
        <v>214</v>
      </c>
      <c r="K1253" s="127">
        <v>3</v>
      </c>
      <c r="L1253" s="153" t="s">
        <v>3306</v>
      </c>
      <c r="M1253">
        <v>343</v>
      </c>
      <c r="N1253" s="123">
        <v>1</v>
      </c>
      <c r="O1253">
        <v>789</v>
      </c>
      <c r="P1253" s="132" t="s">
        <v>77</v>
      </c>
      <c r="Q1253" s="132">
        <v>16307.65</v>
      </c>
      <c r="R1253" s="132">
        <v>2609.2199999999998</v>
      </c>
      <c r="S1253" s="132"/>
      <c r="T1253" s="156">
        <v>0</v>
      </c>
      <c r="U1253" s="132">
        <v>0</v>
      </c>
      <c r="V1253" s="132">
        <v>18916.87</v>
      </c>
      <c r="W1253">
        <v>25</v>
      </c>
      <c r="X1253" s="153" t="s">
        <v>2024</v>
      </c>
      <c r="Y1253" s="124" t="s">
        <v>55</v>
      </c>
      <c r="Z1253" s="308">
        <v>233</v>
      </c>
      <c r="AB1253" t="str">
        <f>IF(Table1[[#This Row],[TIPO2]]="costo", VLOOKUP(Table1[[#This Row],[PARTIDA PRESUPUESTAL]],'Cost Report'!G:G,1,0),"Balance")</f>
        <v>3683-030</v>
      </c>
      <c r="AC1253" s="118"/>
      <c r="AD1253" s="159">
        <f>+Table1[[#This Row],[SUBTOTAL]]+Table1[[#This Row],[IVA]]-Table1[[#This Row],[RET IVA]]-Table1[[#This Row],[RET ISR]]-Table1[[#This Row],[TOTAL]]</f>
        <v>0</v>
      </c>
      <c r="AE1253" s="152"/>
      <c r="AF1253" s="153"/>
      <c r="AG1253" s="126"/>
      <c r="AH1253" s="115"/>
      <c r="AK1253" s="306" t="str">
        <f>IF(ISNUMBER(Table1[[#This Row],[FECHA DE RECIBIDO]]), Table1[[#This Row],[FECHA DE RECIBIDO]]-DATE(2023,8,30), "")</f>
        <v/>
      </c>
    </row>
    <row r="1254" spans="1:37" ht="16.05" customHeight="1">
      <c r="A1254" s="150"/>
      <c r="B1254" s="151"/>
      <c r="C1254" s="126" t="s">
        <v>2897</v>
      </c>
      <c r="D1254">
        <v>781</v>
      </c>
      <c r="E1254" s="126" t="s">
        <v>2001</v>
      </c>
      <c r="F1254" s="122" t="s">
        <v>1607</v>
      </c>
      <c r="G1254" s="122" t="s">
        <v>134</v>
      </c>
      <c r="H1254">
        <v>23</v>
      </c>
      <c r="I1254" s="122" t="s">
        <v>1546</v>
      </c>
      <c r="J1254" s="307" t="s">
        <v>214</v>
      </c>
      <c r="K1254" s="127">
        <v>3</v>
      </c>
      <c r="L1254" s="151" t="s">
        <v>3306</v>
      </c>
      <c r="M1254">
        <v>343</v>
      </c>
      <c r="N1254" s="123">
        <v>1</v>
      </c>
      <c r="O1254">
        <v>789</v>
      </c>
      <c r="P1254" s="132" t="s">
        <v>77</v>
      </c>
      <c r="Q1254" s="131">
        <v>8153.83</v>
      </c>
      <c r="R1254" s="131">
        <v>1304.6099999999999</v>
      </c>
      <c r="S1254" s="131"/>
      <c r="T1254" s="155">
        <v>0</v>
      </c>
      <c r="U1254" s="131">
        <v>0</v>
      </c>
      <c r="V1254" s="131">
        <v>9458.44</v>
      </c>
      <c r="W1254">
        <v>25</v>
      </c>
      <c r="X1254" s="151" t="s">
        <v>2024</v>
      </c>
      <c r="Y1254" s="135" t="s">
        <v>55</v>
      </c>
      <c r="Z1254" s="307">
        <v>233</v>
      </c>
      <c r="AB1254" t="str">
        <f>IF(Table1[[#This Row],[TIPO2]]="costo", VLOOKUP(Table1[[#This Row],[PARTIDA PRESUPUESTAL]],'Cost Report'!G:G,1,0),"Balance")</f>
        <v>3683-138</v>
      </c>
      <c r="AC1254" s="118"/>
      <c r="AD1254" s="159">
        <f>+Table1[[#This Row],[SUBTOTAL]]+Table1[[#This Row],[IVA]]-Table1[[#This Row],[RET IVA]]-Table1[[#This Row],[RET ISR]]-Table1[[#This Row],[TOTAL]]</f>
        <v>0</v>
      </c>
      <c r="AE1254" s="150"/>
      <c r="AF1254" s="151"/>
      <c r="AG1254" s="126"/>
      <c r="AH1254" s="115"/>
      <c r="AK1254" s="306" t="str">
        <f>IF(ISNUMBER(Table1[[#This Row],[FECHA DE RECIBIDO]]), Table1[[#This Row],[FECHA DE RECIBIDO]]-DATE(2023,8,30), "")</f>
        <v/>
      </c>
    </row>
    <row r="1255" spans="1:37" ht="16.05" customHeight="1">
      <c r="A1255" s="152"/>
      <c r="B1255" s="153"/>
      <c r="C1255" s="126" t="s">
        <v>1059</v>
      </c>
      <c r="D1255">
        <v>781</v>
      </c>
      <c r="E1255" s="126" t="s">
        <v>2001</v>
      </c>
      <c r="F1255" s="125" t="s">
        <v>1607</v>
      </c>
      <c r="G1255" s="125" t="s">
        <v>134</v>
      </c>
      <c r="H1255">
        <v>23</v>
      </c>
      <c r="I1255" s="125" t="s">
        <v>1546</v>
      </c>
      <c r="J1255" s="308" t="s">
        <v>214</v>
      </c>
      <c r="K1255" s="127">
        <v>3</v>
      </c>
      <c r="L1255" s="153" t="s">
        <v>3306</v>
      </c>
      <c r="M1255">
        <v>343</v>
      </c>
      <c r="N1255" s="123">
        <v>1</v>
      </c>
      <c r="O1255">
        <v>789</v>
      </c>
      <c r="P1255" s="132" t="s">
        <v>77</v>
      </c>
      <c r="Q1255" s="132">
        <v>16307.65</v>
      </c>
      <c r="R1255" s="132">
        <v>2609.2199999999998</v>
      </c>
      <c r="S1255" s="132"/>
      <c r="T1255" s="156">
        <v>0</v>
      </c>
      <c r="U1255" s="132">
        <v>0</v>
      </c>
      <c r="V1255" s="132">
        <v>18916.87</v>
      </c>
      <c r="W1255">
        <v>25</v>
      </c>
      <c r="X1255" s="153" t="s">
        <v>2024</v>
      </c>
      <c r="Y1255" s="124" t="s">
        <v>55</v>
      </c>
      <c r="Z1255" s="308">
        <v>233</v>
      </c>
      <c r="AB1255" t="str">
        <f>IF(Table1[[#This Row],[TIPO2]]="costo", VLOOKUP(Table1[[#This Row],[PARTIDA PRESUPUESTAL]],'Cost Report'!G:G,1,0),"Balance")</f>
        <v>3683-042</v>
      </c>
      <c r="AC1255" s="118"/>
      <c r="AD1255" s="159">
        <f>+Table1[[#This Row],[SUBTOTAL]]+Table1[[#This Row],[IVA]]-Table1[[#This Row],[RET IVA]]-Table1[[#This Row],[RET ISR]]-Table1[[#This Row],[TOTAL]]</f>
        <v>0</v>
      </c>
      <c r="AE1255" s="152"/>
      <c r="AF1255" s="153"/>
      <c r="AG1255" s="126"/>
      <c r="AH1255" s="115"/>
      <c r="AK1255" s="306" t="str">
        <f>IF(ISNUMBER(Table1[[#This Row],[FECHA DE RECIBIDO]]), Table1[[#This Row],[FECHA DE RECIBIDO]]-DATE(2023,8,30), "")</f>
        <v/>
      </c>
    </row>
    <row r="1256" spans="1:37" ht="16.05" customHeight="1">
      <c r="A1256" s="150"/>
      <c r="B1256" s="151"/>
      <c r="C1256" s="126" t="s">
        <v>1063</v>
      </c>
      <c r="D1256">
        <v>781</v>
      </c>
      <c r="E1256" s="126" t="s">
        <v>2001</v>
      </c>
      <c r="F1256" s="122" t="s">
        <v>1607</v>
      </c>
      <c r="G1256" s="122" t="s">
        <v>134</v>
      </c>
      <c r="H1256">
        <v>23</v>
      </c>
      <c r="I1256" s="122" t="s">
        <v>1546</v>
      </c>
      <c r="J1256" s="307" t="s">
        <v>214</v>
      </c>
      <c r="K1256" s="127">
        <v>3</v>
      </c>
      <c r="L1256" s="151" t="s">
        <v>3306</v>
      </c>
      <c r="M1256">
        <v>343</v>
      </c>
      <c r="N1256" s="123">
        <v>1</v>
      </c>
      <c r="O1256">
        <v>789</v>
      </c>
      <c r="P1256" s="132" t="s">
        <v>77</v>
      </c>
      <c r="Q1256" s="131">
        <v>16609.650000000001</v>
      </c>
      <c r="R1256" s="131">
        <v>2657.53</v>
      </c>
      <c r="S1256" s="131"/>
      <c r="T1256" s="155">
        <v>0</v>
      </c>
      <c r="U1256" s="131">
        <v>0</v>
      </c>
      <c r="V1256" s="131">
        <v>19267.18</v>
      </c>
      <c r="W1256">
        <v>25</v>
      </c>
      <c r="X1256" s="151" t="s">
        <v>2024</v>
      </c>
      <c r="Y1256" s="135" t="s">
        <v>55</v>
      </c>
      <c r="Z1256" s="307">
        <v>233</v>
      </c>
      <c r="AB1256" t="str">
        <f>IF(Table1[[#This Row],[TIPO2]]="costo", VLOOKUP(Table1[[#This Row],[PARTIDA PRESUPUESTAL]],'Cost Report'!G:G,1,0),"Balance")</f>
        <v>3683-048</v>
      </c>
      <c r="AC1256" s="118"/>
      <c r="AD1256" s="159">
        <f>+Table1[[#This Row],[SUBTOTAL]]+Table1[[#This Row],[IVA]]-Table1[[#This Row],[RET IVA]]-Table1[[#This Row],[RET ISR]]-Table1[[#This Row],[TOTAL]]</f>
        <v>0</v>
      </c>
      <c r="AE1256" s="150"/>
      <c r="AF1256" s="151"/>
      <c r="AG1256" s="126"/>
      <c r="AH1256" s="115"/>
      <c r="AK1256" s="306" t="str">
        <f>IF(ISNUMBER(Table1[[#This Row],[FECHA DE RECIBIDO]]), Table1[[#This Row],[FECHA DE RECIBIDO]]-DATE(2023,8,30), "")</f>
        <v/>
      </c>
    </row>
    <row r="1257" spans="1:37" ht="16.05" customHeight="1">
      <c r="A1257" s="152"/>
      <c r="B1257" s="153"/>
      <c r="C1257" s="126" t="s">
        <v>1067</v>
      </c>
      <c r="D1257">
        <v>781</v>
      </c>
      <c r="E1257" s="126" t="s">
        <v>2001</v>
      </c>
      <c r="F1257" s="125" t="s">
        <v>1607</v>
      </c>
      <c r="G1257" s="125" t="s">
        <v>134</v>
      </c>
      <c r="H1257">
        <v>23</v>
      </c>
      <c r="I1257" s="125" t="s">
        <v>1546</v>
      </c>
      <c r="J1257" s="308" t="s">
        <v>214</v>
      </c>
      <c r="K1257" s="127">
        <v>3</v>
      </c>
      <c r="L1257" s="153" t="s">
        <v>3306</v>
      </c>
      <c r="M1257">
        <v>343</v>
      </c>
      <c r="N1257" s="123">
        <v>1</v>
      </c>
      <c r="O1257">
        <v>789</v>
      </c>
      <c r="P1257" s="132" t="s">
        <v>77</v>
      </c>
      <c r="Q1257" s="132">
        <v>16609.650000000001</v>
      </c>
      <c r="R1257" s="132">
        <v>2657.53</v>
      </c>
      <c r="S1257" s="132"/>
      <c r="T1257" s="156">
        <v>0</v>
      </c>
      <c r="U1257" s="132">
        <v>0</v>
      </c>
      <c r="V1257" s="132">
        <v>19267.18</v>
      </c>
      <c r="W1257">
        <v>25</v>
      </c>
      <c r="X1257" s="153" t="s">
        <v>2024</v>
      </c>
      <c r="Y1257" s="124" t="s">
        <v>55</v>
      </c>
      <c r="Z1257" s="308">
        <v>233</v>
      </c>
      <c r="AB1257" t="str">
        <f>IF(Table1[[#This Row],[TIPO2]]="costo", VLOOKUP(Table1[[#This Row],[PARTIDA PRESUPUESTAL]],'Cost Report'!G:G,1,0),"Balance")</f>
        <v>3683-054</v>
      </c>
      <c r="AC1257" s="118"/>
      <c r="AD1257" s="159">
        <f>+Table1[[#This Row],[SUBTOTAL]]+Table1[[#This Row],[IVA]]-Table1[[#This Row],[RET IVA]]-Table1[[#This Row],[RET ISR]]-Table1[[#This Row],[TOTAL]]</f>
        <v>0</v>
      </c>
      <c r="AE1257" s="152"/>
      <c r="AF1257" s="153"/>
      <c r="AG1257" s="126"/>
      <c r="AH1257" s="115"/>
      <c r="AK1257" s="306" t="str">
        <f>IF(ISNUMBER(Table1[[#This Row],[FECHA DE RECIBIDO]]), Table1[[#This Row],[FECHA DE RECIBIDO]]-DATE(2023,8,30), "")</f>
        <v/>
      </c>
    </row>
    <row r="1258" spans="1:37" ht="16.05" customHeight="1">
      <c r="A1258" s="150"/>
      <c r="B1258" s="151"/>
      <c r="C1258" s="126" t="s">
        <v>1071</v>
      </c>
      <c r="D1258">
        <v>781</v>
      </c>
      <c r="E1258" s="126" t="s">
        <v>2001</v>
      </c>
      <c r="F1258" s="122" t="s">
        <v>1607</v>
      </c>
      <c r="G1258" s="122" t="s">
        <v>134</v>
      </c>
      <c r="H1258">
        <v>23</v>
      </c>
      <c r="I1258" s="122" t="s">
        <v>1546</v>
      </c>
      <c r="J1258" s="307" t="s">
        <v>214</v>
      </c>
      <c r="K1258" s="127">
        <v>3</v>
      </c>
      <c r="L1258" s="151" t="s">
        <v>3306</v>
      </c>
      <c r="M1258">
        <v>343</v>
      </c>
      <c r="N1258" s="123">
        <v>1</v>
      </c>
      <c r="O1258">
        <v>789</v>
      </c>
      <c r="P1258" s="132" t="s">
        <v>77</v>
      </c>
      <c r="Q1258" s="131">
        <v>11324.76</v>
      </c>
      <c r="R1258" s="131">
        <v>1811.96</v>
      </c>
      <c r="S1258" s="131"/>
      <c r="T1258" s="155">
        <v>0</v>
      </c>
      <c r="U1258" s="131">
        <v>0</v>
      </c>
      <c r="V1258" s="131">
        <v>13136.720000000001</v>
      </c>
      <c r="W1258">
        <v>25</v>
      </c>
      <c r="X1258" s="151" t="s">
        <v>2024</v>
      </c>
      <c r="Y1258" s="135" t="s">
        <v>55</v>
      </c>
      <c r="Z1258" s="307">
        <v>233</v>
      </c>
      <c r="AB1258" t="str">
        <f>IF(Table1[[#This Row],[TIPO2]]="costo", VLOOKUP(Table1[[#This Row],[PARTIDA PRESUPUESTAL]],'Cost Report'!G:G,1,0),"Balance")</f>
        <v>3683-060</v>
      </c>
      <c r="AC1258" s="118"/>
      <c r="AD1258" s="159">
        <f>+Table1[[#This Row],[SUBTOTAL]]+Table1[[#This Row],[IVA]]-Table1[[#This Row],[RET IVA]]-Table1[[#This Row],[RET ISR]]-Table1[[#This Row],[TOTAL]]</f>
        <v>0</v>
      </c>
      <c r="AE1258" s="150"/>
      <c r="AF1258" s="151"/>
      <c r="AG1258" s="126"/>
      <c r="AH1258" s="115"/>
      <c r="AK1258" s="306" t="str">
        <f>IF(ISNUMBER(Table1[[#This Row],[FECHA DE RECIBIDO]]), Table1[[#This Row],[FECHA DE RECIBIDO]]-DATE(2023,8,30), "")</f>
        <v/>
      </c>
    </row>
    <row r="1259" spans="1:37" ht="16.05" customHeight="1">
      <c r="A1259" s="152"/>
      <c r="B1259" s="153"/>
      <c r="C1259" s="126" t="s">
        <v>1075</v>
      </c>
      <c r="D1259">
        <v>781</v>
      </c>
      <c r="E1259" s="126" t="s">
        <v>2001</v>
      </c>
      <c r="F1259" s="125" t="s">
        <v>1607</v>
      </c>
      <c r="G1259" s="125" t="s">
        <v>134</v>
      </c>
      <c r="H1259">
        <v>23</v>
      </c>
      <c r="I1259" s="125" t="s">
        <v>1546</v>
      </c>
      <c r="J1259" s="308" t="s">
        <v>214</v>
      </c>
      <c r="K1259" s="127">
        <v>3</v>
      </c>
      <c r="L1259" s="153" t="s">
        <v>3306</v>
      </c>
      <c r="M1259">
        <v>343</v>
      </c>
      <c r="N1259" s="123">
        <v>1</v>
      </c>
      <c r="O1259">
        <v>789</v>
      </c>
      <c r="P1259" s="132" t="s">
        <v>77</v>
      </c>
      <c r="Q1259" s="132">
        <v>11324.76</v>
      </c>
      <c r="R1259" s="132">
        <v>1811.96</v>
      </c>
      <c r="S1259" s="132"/>
      <c r="T1259" s="156">
        <v>0</v>
      </c>
      <c r="U1259" s="132">
        <v>0</v>
      </c>
      <c r="V1259" s="132">
        <v>13136.720000000001</v>
      </c>
      <c r="W1259">
        <v>25</v>
      </c>
      <c r="X1259" s="153" t="s">
        <v>2024</v>
      </c>
      <c r="Y1259" s="124" t="s">
        <v>55</v>
      </c>
      <c r="Z1259" s="308">
        <v>233</v>
      </c>
      <c r="AB1259" t="str">
        <f>IF(Table1[[#This Row],[TIPO2]]="costo", VLOOKUP(Table1[[#This Row],[PARTIDA PRESUPUESTAL]],'Cost Report'!G:G,1,0),"Balance")</f>
        <v>3683-066</v>
      </c>
      <c r="AC1259" s="118"/>
      <c r="AD1259" s="159">
        <f>+Table1[[#This Row],[SUBTOTAL]]+Table1[[#This Row],[IVA]]-Table1[[#This Row],[RET IVA]]-Table1[[#This Row],[RET ISR]]-Table1[[#This Row],[TOTAL]]</f>
        <v>0</v>
      </c>
      <c r="AE1259" s="152"/>
      <c r="AF1259" s="153"/>
      <c r="AG1259" s="126"/>
      <c r="AH1259" s="115"/>
      <c r="AK1259" s="306" t="str">
        <f>IF(ISNUMBER(Table1[[#This Row],[FECHA DE RECIBIDO]]), Table1[[#This Row],[FECHA DE RECIBIDO]]-DATE(2023,8,30), "")</f>
        <v/>
      </c>
    </row>
    <row r="1260" spans="1:37" ht="16.05" customHeight="1">
      <c r="A1260" s="150"/>
      <c r="B1260" s="151"/>
      <c r="C1260" s="126" t="s">
        <v>1079</v>
      </c>
      <c r="D1260">
        <v>781</v>
      </c>
      <c r="E1260" s="126" t="s">
        <v>2001</v>
      </c>
      <c r="F1260" s="122" t="s">
        <v>1607</v>
      </c>
      <c r="G1260" s="122" t="s">
        <v>134</v>
      </c>
      <c r="H1260">
        <v>23</v>
      </c>
      <c r="I1260" s="122" t="s">
        <v>1546</v>
      </c>
      <c r="J1260" s="307" t="s">
        <v>214</v>
      </c>
      <c r="K1260" s="127">
        <v>3</v>
      </c>
      <c r="L1260" s="151" t="s">
        <v>3306</v>
      </c>
      <c r="M1260">
        <v>343</v>
      </c>
      <c r="N1260" s="123">
        <v>1</v>
      </c>
      <c r="O1260">
        <v>789</v>
      </c>
      <c r="P1260" s="132" t="s">
        <v>77</v>
      </c>
      <c r="Q1260" s="131">
        <v>11324.76</v>
      </c>
      <c r="R1260" s="131">
        <v>1811.96</v>
      </c>
      <c r="S1260" s="131"/>
      <c r="T1260" s="155">
        <v>0</v>
      </c>
      <c r="U1260" s="131">
        <v>0</v>
      </c>
      <c r="V1260" s="131">
        <v>13136.720000000001</v>
      </c>
      <c r="W1260">
        <v>25</v>
      </c>
      <c r="X1260" s="151" t="s">
        <v>2024</v>
      </c>
      <c r="Y1260" s="135" t="s">
        <v>55</v>
      </c>
      <c r="Z1260" s="307">
        <v>233</v>
      </c>
      <c r="AB1260" t="str">
        <f>IF(Table1[[#This Row],[TIPO2]]="costo", VLOOKUP(Table1[[#This Row],[PARTIDA PRESUPUESTAL]],'Cost Report'!G:G,1,0),"Balance")</f>
        <v>3683-072</v>
      </c>
      <c r="AC1260" s="118"/>
      <c r="AD1260" s="159">
        <f>+Table1[[#This Row],[SUBTOTAL]]+Table1[[#This Row],[IVA]]-Table1[[#This Row],[RET IVA]]-Table1[[#This Row],[RET ISR]]-Table1[[#This Row],[TOTAL]]</f>
        <v>0</v>
      </c>
      <c r="AE1260" s="150"/>
      <c r="AF1260" s="151"/>
      <c r="AG1260" s="126"/>
      <c r="AH1260" s="115"/>
      <c r="AK1260" s="306" t="str">
        <f>IF(ISNUMBER(Table1[[#This Row],[FECHA DE RECIBIDO]]), Table1[[#This Row],[FECHA DE RECIBIDO]]-DATE(2023,8,30), "")</f>
        <v/>
      </c>
    </row>
    <row r="1261" spans="1:37" ht="16.05" customHeight="1">
      <c r="A1261" s="152"/>
      <c r="B1261" s="153"/>
      <c r="C1261" s="126" t="s">
        <v>1083</v>
      </c>
      <c r="D1261">
        <v>781</v>
      </c>
      <c r="E1261" s="126" t="s">
        <v>2001</v>
      </c>
      <c r="F1261" s="125" t="s">
        <v>1607</v>
      </c>
      <c r="G1261" s="125" t="s">
        <v>134</v>
      </c>
      <c r="H1261">
        <v>23</v>
      </c>
      <c r="I1261" s="125" t="s">
        <v>1546</v>
      </c>
      <c r="J1261" s="308" t="s">
        <v>214</v>
      </c>
      <c r="K1261" s="127">
        <v>3</v>
      </c>
      <c r="L1261" s="153" t="s">
        <v>3306</v>
      </c>
      <c r="M1261">
        <v>343</v>
      </c>
      <c r="N1261" s="123">
        <v>1</v>
      </c>
      <c r="O1261">
        <v>789</v>
      </c>
      <c r="P1261" s="132" t="s">
        <v>77</v>
      </c>
      <c r="Q1261" s="132">
        <v>11324.76</v>
      </c>
      <c r="R1261" s="132">
        <v>1811.96</v>
      </c>
      <c r="S1261" s="132"/>
      <c r="T1261" s="156">
        <v>0</v>
      </c>
      <c r="U1261" s="132">
        <v>0</v>
      </c>
      <c r="V1261" s="132">
        <v>13136.720000000001</v>
      </c>
      <c r="W1261">
        <v>25</v>
      </c>
      <c r="X1261" s="153" t="s">
        <v>2024</v>
      </c>
      <c r="Y1261" s="124" t="s">
        <v>55</v>
      </c>
      <c r="Z1261" s="308">
        <v>233</v>
      </c>
      <c r="AB1261" t="str">
        <f>IF(Table1[[#This Row],[TIPO2]]="costo", VLOOKUP(Table1[[#This Row],[PARTIDA PRESUPUESTAL]],'Cost Report'!G:G,1,0),"Balance")</f>
        <v>3683-078</v>
      </c>
      <c r="AC1261" s="118"/>
      <c r="AD1261" s="159">
        <f>+Table1[[#This Row],[SUBTOTAL]]+Table1[[#This Row],[IVA]]-Table1[[#This Row],[RET IVA]]-Table1[[#This Row],[RET ISR]]-Table1[[#This Row],[TOTAL]]</f>
        <v>0</v>
      </c>
      <c r="AE1261" s="152"/>
      <c r="AF1261" s="153"/>
      <c r="AG1261" s="126"/>
      <c r="AH1261" s="115"/>
      <c r="AK1261" s="306" t="str">
        <f>IF(ISNUMBER(Table1[[#This Row],[FECHA DE RECIBIDO]]), Table1[[#This Row],[FECHA DE RECIBIDO]]-DATE(2023,8,30), "")</f>
        <v/>
      </c>
    </row>
    <row r="1262" spans="1:37" ht="16.05" customHeight="1">
      <c r="A1262" s="150"/>
      <c r="B1262" s="151"/>
      <c r="C1262" s="126" t="s">
        <v>1087</v>
      </c>
      <c r="D1262">
        <v>781</v>
      </c>
      <c r="E1262" s="126" t="s">
        <v>2001</v>
      </c>
      <c r="F1262" s="122" t="s">
        <v>1607</v>
      </c>
      <c r="G1262" s="122" t="s">
        <v>134</v>
      </c>
      <c r="H1262">
        <v>23</v>
      </c>
      <c r="I1262" s="122" t="s">
        <v>1546</v>
      </c>
      <c r="J1262" s="307" t="s">
        <v>214</v>
      </c>
      <c r="K1262" s="127">
        <v>3</v>
      </c>
      <c r="L1262" s="151" t="s">
        <v>3306</v>
      </c>
      <c r="M1262">
        <v>343</v>
      </c>
      <c r="N1262" s="123">
        <v>1</v>
      </c>
      <c r="O1262">
        <v>789</v>
      </c>
      <c r="P1262" s="132" t="s">
        <v>77</v>
      </c>
      <c r="Q1262" s="131">
        <v>16609.650000000001</v>
      </c>
      <c r="R1262" s="131">
        <v>2657.54</v>
      </c>
      <c r="S1262" s="131"/>
      <c r="T1262" s="155">
        <v>0</v>
      </c>
      <c r="U1262" s="131">
        <v>0</v>
      </c>
      <c r="V1262" s="131">
        <v>19267.190000000002</v>
      </c>
      <c r="W1262">
        <v>25</v>
      </c>
      <c r="X1262" s="151" t="s">
        <v>2024</v>
      </c>
      <c r="Y1262" s="135" t="s">
        <v>55</v>
      </c>
      <c r="Z1262" s="307">
        <v>233</v>
      </c>
      <c r="AB1262" t="str">
        <f>IF(Table1[[#This Row],[TIPO2]]="costo", VLOOKUP(Table1[[#This Row],[PARTIDA PRESUPUESTAL]],'Cost Report'!G:G,1,0),"Balance")</f>
        <v>3683-084</v>
      </c>
      <c r="AC1262" s="118"/>
      <c r="AD1262" s="159">
        <f>+Table1[[#This Row],[SUBTOTAL]]+Table1[[#This Row],[IVA]]-Table1[[#This Row],[RET IVA]]-Table1[[#This Row],[RET ISR]]-Table1[[#This Row],[TOTAL]]</f>
        <v>0</v>
      </c>
      <c r="AE1262" s="150"/>
      <c r="AF1262" s="151"/>
      <c r="AG1262" s="126"/>
      <c r="AH1262" s="115"/>
      <c r="AK1262" s="306" t="str">
        <f>IF(ISNUMBER(Table1[[#This Row],[FECHA DE RECIBIDO]]), Table1[[#This Row],[FECHA DE RECIBIDO]]-DATE(2023,8,30), "")</f>
        <v/>
      </c>
    </row>
    <row r="1263" spans="1:37" ht="16.05" customHeight="1">
      <c r="A1263" s="152"/>
      <c r="B1263" s="153"/>
      <c r="C1263" s="126" t="s">
        <v>1091</v>
      </c>
      <c r="D1263">
        <v>781</v>
      </c>
      <c r="E1263" s="126" t="s">
        <v>2001</v>
      </c>
      <c r="F1263" s="125" t="s">
        <v>1607</v>
      </c>
      <c r="G1263" s="125" t="s">
        <v>134</v>
      </c>
      <c r="H1263">
        <v>23</v>
      </c>
      <c r="I1263" s="125" t="s">
        <v>1546</v>
      </c>
      <c r="J1263" s="308" t="s">
        <v>214</v>
      </c>
      <c r="K1263" s="127">
        <v>3</v>
      </c>
      <c r="L1263" s="153" t="s">
        <v>3306</v>
      </c>
      <c r="M1263">
        <v>343</v>
      </c>
      <c r="N1263" s="123">
        <v>1</v>
      </c>
      <c r="O1263">
        <v>789</v>
      </c>
      <c r="P1263" s="132" t="s">
        <v>77</v>
      </c>
      <c r="Q1263" s="132">
        <v>11324.76</v>
      </c>
      <c r="R1263" s="132">
        <v>1811.96</v>
      </c>
      <c r="S1263" s="132"/>
      <c r="T1263" s="156">
        <v>0</v>
      </c>
      <c r="U1263" s="132">
        <v>0</v>
      </c>
      <c r="V1263" s="132">
        <v>13136.720000000001</v>
      </c>
      <c r="W1263">
        <v>25</v>
      </c>
      <c r="X1263" s="153" t="s">
        <v>2024</v>
      </c>
      <c r="Y1263" s="124" t="s">
        <v>55</v>
      </c>
      <c r="Z1263" s="308">
        <v>233</v>
      </c>
      <c r="AB1263" t="str">
        <f>IF(Table1[[#This Row],[TIPO2]]="costo", VLOOKUP(Table1[[#This Row],[PARTIDA PRESUPUESTAL]],'Cost Report'!G:G,1,0),"Balance")</f>
        <v>3683-090</v>
      </c>
      <c r="AC1263" s="118"/>
      <c r="AD1263" s="159">
        <f>+Table1[[#This Row],[SUBTOTAL]]+Table1[[#This Row],[IVA]]-Table1[[#This Row],[RET IVA]]-Table1[[#This Row],[RET ISR]]-Table1[[#This Row],[TOTAL]]</f>
        <v>0</v>
      </c>
      <c r="AE1263" s="152"/>
      <c r="AF1263" s="153"/>
      <c r="AG1263" s="126"/>
      <c r="AH1263" s="115"/>
      <c r="AK1263" s="306" t="str">
        <f>IF(ISNUMBER(Table1[[#This Row],[FECHA DE RECIBIDO]]), Table1[[#This Row],[FECHA DE RECIBIDO]]-DATE(2023,8,30), "")</f>
        <v/>
      </c>
    </row>
    <row r="1264" spans="1:37" ht="16.05" customHeight="1">
      <c r="A1264" s="150"/>
      <c r="B1264" s="151"/>
      <c r="C1264" s="126" t="s">
        <v>1095</v>
      </c>
      <c r="D1264">
        <v>781</v>
      </c>
      <c r="E1264" s="126" t="s">
        <v>2001</v>
      </c>
      <c r="F1264" s="122" t="s">
        <v>1607</v>
      </c>
      <c r="G1264" s="122" t="s">
        <v>134</v>
      </c>
      <c r="H1264">
        <v>23</v>
      </c>
      <c r="I1264" s="122" t="s">
        <v>1546</v>
      </c>
      <c r="J1264" s="307" t="s">
        <v>214</v>
      </c>
      <c r="K1264" s="127">
        <v>3</v>
      </c>
      <c r="L1264" s="151" t="s">
        <v>3306</v>
      </c>
      <c r="M1264">
        <v>343</v>
      </c>
      <c r="N1264" s="123">
        <v>1</v>
      </c>
      <c r="O1264">
        <v>789</v>
      </c>
      <c r="P1264" s="132" t="s">
        <v>77</v>
      </c>
      <c r="Q1264" s="131">
        <v>16609.650000000001</v>
      </c>
      <c r="R1264" s="131">
        <v>2657.54</v>
      </c>
      <c r="S1264" s="131"/>
      <c r="T1264" s="155">
        <v>0</v>
      </c>
      <c r="U1264" s="131">
        <v>0</v>
      </c>
      <c r="V1264" s="131">
        <v>19267.190000000002</v>
      </c>
      <c r="W1264">
        <v>25</v>
      </c>
      <c r="X1264" s="151" t="s">
        <v>2024</v>
      </c>
      <c r="Y1264" s="135" t="s">
        <v>55</v>
      </c>
      <c r="Z1264" s="307">
        <v>233</v>
      </c>
      <c r="AB1264" t="str">
        <f>IF(Table1[[#This Row],[TIPO2]]="costo", VLOOKUP(Table1[[#This Row],[PARTIDA PRESUPUESTAL]],'Cost Report'!G:G,1,0),"Balance")</f>
        <v>3683-096</v>
      </c>
      <c r="AC1264" s="118"/>
      <c r="AD1264" s="159">
        <f>+Table1[[#This Row],[SUBTOTAL]]+Table1[[#This Row],[IVA]]-Table1[[#This Row],[RET IVA]]-Table1[[#This Row],[RET ISR]]-Table1[[#This Row],[TOTAL]]</f>
        <v>0</v>
      </c>
      <c r="AE1264" s="150"/>
      <c r="AF1264" s="151"/>
      <c r="AG1264" s="126"/>
      <c r="AH1264" s="115"/>
      <c r="AK1264" s="306" t="str">
        <f>IF(ISNUMBER(Table1[[#This Row],[FECHA DE RECIBIDO]]), Table1[[#This Row],[FECHA DE RECIBIDO]]-DATE(2023,8,30), "")</f>
        <v/>
      </c>
    </row>
    <row r="1265" spans="1:37" ht="16.05" customHeight="1">
      <c r="A1265" s="152"/>
      <c r="B1265" s="153"/>
      <c r="C1265" s="126" t="s">
        <v>1098</v>
      </c>
      <c r="D1265">
        <v>781</v>
      </c>
      <c r="E1265" s="126" t="s">
        <v>2001</v>
      </c>
      <c r="F1265" s="125" t="s">
        <v>1607</v>
      </c>
      <c r="G1265" s="125" t="s">
        <v>134</v>
      </c>
      <c r="H1265">
        <v>23</v>
      </c>
      <c r="I1265" s="125" t="s">
        <v>1546</v>
      </c>
      <c r="J1265" s="308" t="s">
        <v>214</v>
      </c>
      <c r="K1265" s="127">
        <v>3</v>
      </c>
      <c r="L1265" s="153" t="s">
        <v>3306</v>
      </c>
      <c r="M1265">
        <v>343</v>
      </c>
      <c r="N1265" s="123">
        <v>1</v>
      </c>
      <c r="O1265">
        <v>789</v>
      </c>
      <c r="P1265" s="132" t="s">
        <v>77</v>
      </c>
      <c r="Q1265" s="132">
        <v>16987.14</v>
      </c>
      <c r="R1265" s="132">
        <v>2717.94</v>
      </c>
      <c r="S1265" s="132"/>
      <c r="T1265" s="156">
        <v>0</v>
      </c>
      <c r="U1265" s="132">
        <v>0</v>
      </c>
      <c r="V1265" s="132">
        <v>19705.079999999998</v>
      </c>
      <c r="W1265">
        <v>25</v>
      </c>
      <c r="X1265" s="153" t="s">
        <v>2024</v>
      </c>
      <c r="Y1265" s="124" t="s">
        <v>55</v>
      </c>
      <c r="Z1265" s="308">
        <v>233</v>
      </c>
      <c r="AB1265" t="str">
        <f>IF(Table1[[#This Row],[TIPO2]]="costo", VLOOKUP(Table1[[#This Row],[PARTIDA PRESUPUESTAL]],'Cost Report'!G:G,1,0),"Balance")</f>
        <v>3683-101</v>
      </c>
      <c r="AC1265" s="118"/>
      <c r="AD1265" s="159">
        <f>+Table1[[#This Row],[SUBTOTAL]]+Table1[[#This Row],[IVA]]-Table1[[#This Row],[RET IVA]]-Table1[[#This Row],[RET ISR]]-Table1[[#This Row],[TOTAL]]</f>
        <v>0</v>
      </c>
      <c r="AE1265" s="152"/>
      <c r="AF1265" s="153"/>
      <c r="AG1265" s="126"/>
      <c r="AH1265" s="115"/>
      <c r="AK1265" s="306" t="str">
        <f>IF(ISNUMBER(Table1[[#This Row],[FECHA DE RECIBIDO]]), Table1[[#This Row],[FECHA DE RECIBIDO]]-DATE(2023,8,30), "")</f>
        <v/>
      </c>
    </row>
    <row r="1266" spans="1:37" ht="16.05" customHeight="1">
      <c r="A1266" s="150"/>
      <c r="B1266" s="151"/>
      <c r="C1266" s="126" t="s">
        <v>1100</v>
      </c>
      <c r="D1266">
        <v>781</v>
      </c>
      <c r="E1266" s="126" t="s">
        <v>2001</v>
      </c>
      <c r="F1266" s="122" t="s">
        <v>1607</v>
      </c>
      <c r="G1266" s="122" t="s">
        <v>134</v>
      </c>
      <c r="H1266">
        <v>23</v>
      </c>
      <c r="I1266" s="122" t="s">
        <v>1546</v>
      </c>
      <c r="J1266" s="307" t="s">
        <v>214</v>
      </c>
      <c r="K1266" s="127">
        <v>3</v>
      </c>
      <c r="L1266" s="151" t="s">
        <v>3306</v>
      </c>
      <c r="M1266">
        <v>343</v>
      </c>
      <c r="N1266" s="123">
        <v>1</v>
      </c>
      <c r="O1266">
        <v>789</v>
      </c>
      <c r="P1266" s="132" t="s">
        <v>77</v>
      </c>
      <c r="Q1266" s="131">
        <v>21139.55</v>
      </c>
      <c r="R1266" s="131">
        <v>3382.33</v>
      </c>
      <c r="S1266" s="131"/>
      <c r="T1266" s="155">
        <v>0</v>
      </c>
      <c r="U1266" s="131">
        <v>0</v>
      </c>
      <c r="V1266" s="131">
        <v>24521.879999999997</v>
      </c>
      <c r="W1266">
        <v>25</v>
      </c>
      <c r="X1266" s="151" t="s">
        <v>2024</v>
      </c>
      <c r="Y1266" s="135" t="s">
        <v>55</v>
      </c>
      <c r="Z1266" s="307">
        <v>233</v>
      </c>
      <c r="AB1266" t="str">
        <f>IF(Table1[[#This Row],[TIPO2]]="costo", VLOOKUP(Table1[[#This Row],[PARTIDA PRESUPUESTAL]],'Cost Report'!G:G,1,0),"Balance")</f>
        <v>3683-105</v>
      </c>
      <c r="AC1266" s="118"/>
      <c r="AD1266" s="159">
        <f>+Table1[[#This Row],[SUBTOTAL]]+Table1[[#This Row],[IVA]]-Table1[[#This Row],[RET IVA]]-Table1[[#This Row],[RET ISR]]-Table1[[#This Row],[TOTAL]]</f>
        <v>0</v>
      </c>
      <c r="AE1266" s="150"/>
      <c r="AF1266" s="151"/>
      <c r="AG1266" s="126"/>
      <c r="AH1266" s="115"/>
      <c r="AK1266" s="306" t="str">
        <f>IF(ISNUMBER(Table1[[#This Row],[FECHA DE RECIBIDO]]), Table1[[#This Row],[FECHA DE RECIBIDO]]-DATE(2023,8,30), "")</f>
        <v/>
      </c>
    </row>
    <row r="1267" spans="1:37" ht="16.05" customHeight="1">
      <c r="A1267" s="152"/>
      <c r="B1267" s="153"/>
      <c r="C1267" s="126" t="s">
        <v>2880</v>
      </c>
      <c r="D1267">
        <v>781</v>
      </c>
      <c r="E1267" s="126" t="s">
        <v>2001</v>
      </c>
      <c r="F1267" s="125" t="s">
        <v>1607</v>
      </c>
      <c r="G1267" s="125" t="s">
        <v>134</v>
      </c>
      <c r="H1267">
        <v>23</v>
      </c>
      <c r="I1267" s="125" t="s">
        <v>1546</v>
      </c>
      <c r="J1267" s="308" t="s">
        <v>214</v>
      </c>
      <c r="K1267" s="127">
        <v>3</v>
      </c>
      <c r="L1267" s="153" t="s">
        <v>3306</v>
      </c>
      <c r="M1267">
        <v>343</v>
      </c>
      <c r="N1267" s="123">
        <v>1</v>
      </c>
      <c r="O1267">
        <v>789</v>
      </c>
      <c r="P1267" s="132" t="s">
        <v>77</v>
      </c>
      <c r="Q1267" s="132">
        <v>42279.1</v>
      </c>
      <c r="R1267" s="132">
        <v>6764.66</v>
      </c>
      <c r="S1267" s="132"/>
      <c r="T1267" s="156">
        <v>0</v>
      </c>
      <c r="U1267" s="132">
        <v>0</v>
      </c>
      <c r="V1267" s="132">
        <v>49043.759999999995</v>
      </c>
      <c r="W1267">
        <v>25</v>
      </c>
      <c r="X1267" s="153" t="s">
        <v>2024</v>
      </c>
      <c r="Y1267" s="124" t="s">
        <v>55</v>
      </c>
      <c r="Z1267" s="308">
        <v>233</v>
      </c>
      <c r="AB1267" t="str">
        <f>IF(Table1[[#This Row],[TIPO2]]="costo", VLOOKUP(Table1[[#This Row],[PARTIDA PRESUPUESTAL]],'Cost Report'!G:G,1,0),"Balance")</f>
        <v>3683-109</v>
      </c>
      <c r="AC1267" s="118"/>
      <c r="AD1267" s="159">
        <f>+Table1[[#This Row],[SUBTOTAL]]+Table1[[#This Row],[IVA]]-Table1[[#This Row],[RET IVA]]-Table1[[#This Row],[RET ISR]]-Table1[[#This Row],[TOTAL]]</f>
        <v>0</v>
      </c>
      <c r="AE1267" s="152"/>
      <c r="AF1267" s="153"/>
      <c r="AG1267" s="126"/>
      <c r="AH1267" s="115"/>
      <c r="AK1267" s="306" t="str">
        <f>IF(ISNUMBER(Table1[[#This Row],[FECHA DE RECIBIDO]]), Table1[[#This Row],[FECHA DE RECIBIDO]]-DATE(2023,8,30), "")</f>
        <v/>
      </c>
    </row>
    <row r="1268" spans="1:37" ht="16.05" customHeight="1">
      <c r="A1268" s="150"/>
      <c r="B1268" s="151"/>
      <c r="C1268" s="126" t="s">
        <v>2909</v>
      </c>
      <c r="D1268">
        <v>781</v>
      </c>
      <c r="E1268" s="126" t="s">
        <v>2001</v>
      </c>
      <c r="F1268" s="122" t="s">
        <v>1607</v>
      </c>
      <c r="G1268" s="122" t="s">
        <v>134</v>
      </c>
      <c r="H1268">
        <v>23</v>
      </c>
      <c r="I1268" s="122" t="s">
        <v>1546</v>
      </c>
      <c r="J1268" s="307" t="s">
        <v>214</v>
      </c>
      <c r="K1268" s="127">
        <v>3</v>
      </c>
      <c r="L1268" s="151" t="s">
        <v>3306</v>
      </c>
      <c r="M1268">
        <v>343</v>
      </c>
      <c r="N1268" s="123">
        <v>1</v>
      </c>
      <c r="O1268">
        <v>789</v>
      </c>
      <c r="P1268" s="132" t="s">
        <v>77</v>
      </c>
      <c r="Q1268" s="131">
        <v>21139.55</v>
      </c>
      <c r="R1268" s="131">
        <v>3382.33</v>
      </c>
      <c r="S1268" s="131"/>
      <c r="T1268" s="155">
        <v>0</v>
      </c>
      <c r="U1268" s="131">
        <v>0</v>
      </c>
      <c r="V1268" s="131">
        <v>24521.879999999997</v>
      </c>
      <c r="W1268">
        <v>25</v>
      </c>
      <c r="X1268" s="151" t="s">
        <v>2024</v>
      </c>
      <c r="Y1268" s="135" t="s">
        <v>55</v>
      </c>
      <c r="Z1268" s="307">
        <v>233</v>
      </c>
      <c r="AB1268" t="str">
        <f>IF(Table1[[#This Row],[TIPO2]]="costo", VLOOKUP(Table1[[#This Row],[PARTIDA PRESUPUESTAL]],'Cost Report'!G:G,1,0),"Balance")</f>
        <v>3683-158</v>
      </c>
      <c r="AC1268" s="118"/>
      <c r="AD1268" s="159">
        <f>+Table1[[#This Row],[SUBTOTAL]]+Table1[[#This Row],[IVA]]-Table1[[#This Row],[RET IVA]]-Table1[[#This Row],[RET ISR]]-Table1[[#This Row],[TOTAL]]</f>
        <v>0</v>
      </c>
      <c r="AE1268" s="150"/>
      <c r="AF1268" s="151"/>
      <c r="AG1268" s="126"/>
      <c r="AH1268" s="115"/>
      <c r="AK1268" s="306" t="str">
        <f>IF(ISNUMBER(Table1[[#This Row],[FECHA DE RECIBIDO]]), Table1[[#This Row],[FECHA DE RECIBIDO]]-DATE(2023,8,30), "")</f>
        <v/>
      </c>
    </row>
    <row r="1269" spans="1:37" ht="16.05" customHeight="1">
      <c r="A1269" s="152"/>
      <c r="B1269" s="153"/>
      <c r="C1269" s="126" t="s">
        <v>2909</v>
      </c>
      <c r="D1269">
        <v>781</v>
      </c>
      <c r="E1269" s="126" t="s">
        <v>2001</v>
      </c>
      <c r="F1269" s="125" t="s">
        <v>1607</v>
      </c>
      <c r="G1269" s="125" t="s">
        <v>134</v>
      </c>
      <c r="H1269">
        <v>23</v>
      </c>
      <c r="I1269" s="125" t="s">
        <v>1546</v>
      </c>
      <c r="J1269" s="308" t="s">
        <v>214</v>
      </c>
      <c r="K1269" s="127">
        <v>3</v>
      </c>
      <c r="L1269" s="153" t="s">
        <v>3306</v>
      </c>
      <c r="M1269">
        <v>343</v>
      </c>
      <c r="N1269" s="123">
        <v>1</v>
      </c>
      <c r="O1269">
        <v>789</v>
      </c>
      <c r="P1269" s="132" t="s">
        <v>77</v>
      </c>
      <c r="Q1269" s="132">
        <v>21139.55</v>
      </c>
      <c r="R1269" s="132">
        <v>3382.33</v>
      </c>
      <c r="S1269" s="132"/>
      <c r="T1269" s="156">
        <v>0</v>
      </c>
      <c r="U1269" s="132">
        <v>0</v>
      </c>
      <c r="V1269" s="132">
        <v>24521.879999999997</v>
      </c>
      <c r="W1269">
        <v>25</v>
      </c>
      <c r="X1269" s="153" t="s">
        <v>2024</v>
      </c>
      <c r="Y1269" s="124" t="s">
        <v>55</v>
      </c>
      <c r="Z1269" s="308">
        <v>233</v>
      </c>
      <c r="AB1269" t="str">
        <f>IF(Table1[[#This Row],[TIPO2]]="costo", VLOOKUP(Table1[[#This Row],[PARTIDA PRESUPUESTAL]],'Cost Report'!G:G,1,0),"Balance")</f>
        <v>3683-158</v>
      </c>
      <c r="AC1269" s="118"/>
      <c r="AD1269" s="159">
        <f>+Table1[[#This Row],[SUBTOTAL]]+Table1[[#This Row],[IVA]]-Table1[[#This Row],[RET IVA]]-Table1[[#This Row],[RET ISR]]-Table1[[#This Row],[TOTAL]]</f>
        <v>0</v>
      </c>
      <c r="AE1269" s="152"/>
      <c r="AF1269" s="153"/>
      <c r="AG1269" s="126"/>
      <c r="AH1269" s="115"/>
      <c r="AK1269" s="306" t="str">
        <f>IF(ISNUMBER(Table1[[#This Row],[FECHA DE RECIBIDO]]), Table1[[#This Row],[FECHA DE RECIBIDO]]-DATE(2023,8,30), "")</f>
        <v/>
      </c>
    </row>
    <row r="1270" spans="1:37" ht="16.05" customHeight="1">
      <c r="A1270" s="150"/>
      <c r="B1270" s="151"/>
      <c r="C1270" s="126" t="s">
        <v>2916</v>
      </c>
      <c r="D1270">
        <v>781</v>
      </c>
      <c r="E1270" s="126" t="s">
        <v>2001</v>
      </c>
      <c r="F1270" s="122" t="s">
        <v>1607</v>
      </c>
      <c r="G1270" s="122" t="s">
        <v>134</v>
      </c>
      <c r="H1270">
        <v>23</v>
      </c>
      <c r="I1270" s="122" t="s">
        <v>1546</v>
      </c>
      <c r="J1270" s="307" t="s">
        <v>214</v>
      </c>
      <c r="K1270" s="127">
        <v>3</v>
      </c>
      <c r="L1270" s="151" t="s">
        <v>3306</v>
      </c>
      <c r="M1270">
        <v>343</v>
      </c>
      <c r="N1270" s="123">
        <v>1</v>
      </c>
      <c r="O1270">
        <v>789</v>
      </c>
      <c r="P1270" s="132" t="s">
        <v>77</v>
      </c>
      <c r="Q1270" s="131">
        <v>6875.75</v>
      </c>
      <c r="R1270" s="131">
        <v>1100.1199999999999</v>
      </c>
      <c r="S1270" s="131"/>
      <c r="T1270" s="155">
        <v>0</v>
      </c>
      <c r="U1270" s="131">
        <v>0</v>
      </c>
      <c r="V1270" s="131">
        <v>7975.87</v>
      </c>
      <c r="W1270">
        <v>25</v>
      </c>
      <c r="X1270" s="151" t="s">
        <v>2024</v>
      </c>
      <c r="Y1270" s="135" t="s">
        <v>55</v>
      </c>
      <c r="Z1270" s="307">
        <v>233</v>
      </c>
      <c r="AB1270" t="str">
        <f>IF(Table1[[#This Row],[TIPO2]]="costo", VLOOKUP(Table1[[#This Row],[PARTIDA PRESUPUESTAL]],'Cost Report'!G:G,1,0),"Balance")</f>
        <v>3683-171</v>
      </c>
      <c r="AC1270" s="118"/>
      <c r="AD1270" s="159">
        <f>+Table1[[#This Row],[SUBTOTAL]]+Table1[[#This Row],[IVA]]-Table1[[#This Row],[RET IVA]]-Table1[[#This Row],[RET ISR]]-Table1[[#This Row],[TOTAL]]</f>
        <v>0</v>
      </c>
      <c r="AE1270" s="150"/>
      <c r="AF1270" s="151"/>
      <c r="AG1270" s="126"/>
      <c r="AH1270" s="115"/>
      <c r="AK1270" s="306" t="str">
        <f>IF(ISNUMBER(Table1[[#This Row],[FECHA DE RECIBIDO]]), Table1[[#This Row],[FECHA DE RECIBIDO]]-DATE(2023,8,30), "")</f>
        <v/>
      </c>
    </row>
    <row r="1271" spans="1:37" ht="16.05" customHeight="1">
      <c r="A1271" s="152"/>
      <c r="B1271" s="153"/>
      <c r="C1271" s="126" t="s">
        <v>2907</v>
      </c>
      <c r="D1271">
        <v>781</v>
      </c>
      <c r="E1271" s="126" t="s">
        <v>2001</v>
      </c>
      <c r="F1271" s="125" t="s">
        <v>1607</v>
      </c>
      <c r="G1271" s="125" t="s">
        <v>134</v>
      </c>
      <c r="H1271">
        <v>23</v>
      </c>
      <c r="I1271" s="125" t="s">
        <v>1546</v>
      </c>
      <c r="J1271" s="308" t="s">
        <v>214</v>
      </c>
      <c r="K1271" s="127">
        <v>3</v>
      </c>
      <c r="L1271" s="153" t="s">
        <v>3306</v>
      </c>
      <c r="M1271">
        <v>343</v>
      </c>
      <c r="N1271" s="123">
        <v>1</v>
      </c>
      <c r="O1271">
        <v>789</v>
      </c>
      <c r="P1271" s="132" t="s">
        <v>77</v>
      </c>
      <c r="Q1271" s="132">
        <v>3774.92</v>
      </c>
      <c r="R1271" s="132">
        <v>603.99</v>
      </c>
      <c r="S1271" s="132"/>
      <c r="T1271" s="156">
        <v>0</v>
      </c>
      <c r="U1271" s="132">
        <v>0</v>
      </c>
      <c r="V1271" s="132">
        <v>4378.91</v>
      </c>
      <c r="W1271">
        <v>25</v>
      </c>
      <c r="X1271" s="153" t="s">
        <v>2024</v>
      </c>
      <c r="Y1271" s="124" t="s">
        <v>55</v>
      </c>
      <c r="Z1271" s="308">
        <v>233</v>
      </c>
      <c r="AB1271" t="str">
        <f>IF(Table1[[#This Row],[TIPO2]]="costo", VLOOKUP(Table1[[#This Row],[PARTIDA PRESUPUESTAL]],'Cost Report'!G:G,1,0),"Balance")</f>
        <v>3683-154</v>
      </c>
      <c r="AC1271" s="118"/>
      <c r="AD1271" s="159">
        <f>+Table1[[#This Row],[SUBTOTAL]]+Table1[[#This Row],[IVA]]-Table1[[#This Row],[RET IVA]]-Table1[[#This Row],[RET ISR]]-Table1[[#This Row],[TOTAL]]</f>
        <v>0</v>
      </c>
      <c r="AE1271" s="152"/>
      <c r="AF1271" s="153"/>
      <c r="AG1271" s="126"/>
      <c r="AH1271" s="115"/>
      <c r="AK1271" s="306" t="str">
        <f>IF(ISNUMBER(Table1[[#This Row],[FECHA DE RECIBIDO]]), Table1[[#This Row],[FECHA DE RECIBIDO]]-DATE(2023,8,30), "")</f>
        <v/>
      </c>
    </row>
    <row r="1272" spans="1:37" ht="16.05" customHeight="1">
      <c r="A1272" s="150" t="s">
        <v>3727</v>
      </c>
      <c r="B1272" s="151">
        <v>748</v>
      </c>
      <c r="C1272" s="126" t="s">
        <v>2836</v>
      </c>
      <c r="D1272">
        <v>782</v>
      </c>
      <c r="E1272" s="126" t="s">
        <v>2001</v>
      </c>
      <c r="F1272" s="122" t="s">
        <v>1607</v>
      </c>
      <c r="G1272" s="122" t="s">
        <v>134</v>
      </c>
      <c r="H1272">
        <v>23</v>
      </c>
      <c r="I1272" s="122" t="s">
        <v>1546</v>
      </c>
      <c r="J1272" s="307" t="s">
        <v>214</v>
      </c>
      <c r="K1272" s="127">
        <v>3</v>
      </c>
      <c r="L1272" s="151" t="s">
        <v>3306</v>
      </c>
      <c r="M1272">
        <v>343</v>
      </c>
      <c r="N1272" s="123">
        <v>1</v>
      </c>
      <c r="O1272">
        <v>790</v>
      </c>
      <c r="P1272" s="132" t="s">
        <v>77</v>
      </c>
      <c r="Q1272" s="131">
        <v>5340.58</v>
      </c>
      <c r="R1272" s="131">
        <v>854.49</v>
      </c>
      <c r="S1272" s="131"/>
      <c r="T1272" s="155">
        <v>0</v>
      </c>
      <c r="U1272" s="131">
        <v>0</v>
      </c>
      <c r="V1272" s="131">
        <v>6195.07</v>
      </c>
      <c r="W1272">
        <v>25</v>
      </c>
      <c r="X1272" s="151" t="s">
        <v>2024</v>
      </c>
      <c r="Y1272" s="135" t="s">
        <v>55</v>
      </c>
      <c r="Z1272" s="307">
        <v>233</v>
      </c>
      <c r="AB1272" t="str">
        <f>IF(Table1[[#This Row],[TIPO2]]="costo", VLOOKUP(Table1[[#This Row],[PARTIDA PRESUPUESTAL]],'Cost Report'!G:G,1,0),"Balance")</f>
        <v>3442-025</v>
      </c>
      <c r="AC1272" s="118"/>
      <c r="AD1272" s="159">
        <f>+Table1[[#This Row],[SUBTOTAL]]+Table1[[#This Row],[IVA]]-Table1[[#This Row],[RET IVA]]-Table1[[#This Row],[RET ISR]]-Table1[[#This Row],[TOTAL]]</f>
        <v>0</v>
      </c>
      <c r="AE1272" s="150"/>
      <c r="AF1272" s="151"/>
      <c r="AG1272" s="126"/>
      <c r="AH1272" s="115"/>
      <c r="AK1272" s="306" t="str">
        <f>IF(ISNUMBER(Table1[[#This Row],[FECHA DE RECIBIDO]]), Table1[[#This Row],[FECHA DE RECIBIDO]]-DATE(2023,8,30), "")</f>
        <v/>
      </c>
    </row>
    <row r="1273" spans="1:37" ht="16.05" customHeight="1">
      <c r="A1273" s="152"/>
      <c r="B1273" s="153"/>
      <c r="C1273" s="126" t="s">
        <v>2838</v>
      </c>
      <c r="D1273">
        <v>782</v>
      </c>
      <c r="E1273" s="126" t="s">
        <v>2001</v>
      </c>
      <c r="F1273" s="125" t="s">
        <v>1607</v>
      </c>
      <c r="G1273" s="125" t="s">
        <v>134</v>
      </c>
      <c r="H1273">
        <v>23</v>
      </c>
      <c r="I1273" s="125" t="s">
        <v>1546</v>
      </c>
      <c r="J1273" s="308" t="s">
        <v>214</v>
      </c>
      <c r="K1273" s="127">
        <v>3</v>
      </c>
      <c r="L1273" s="153" t="s">
        <v>3306</v>
      </c>
      <c r="M1273">
        <v>343</v>
      </c>
      <c r="N1273" s="123">
        <v>1</v>
      </c>
      <c r="O1273">
        <v>790</v>
      </c>
      <c r="P1273" s="132" t="s">
        <v>77</v>
      </c>
      <c r="Q1273" s="132">
        <v>179.44</v>
      </c>
      <c r="R1273" s="132">
        <v>28.72</v>
      </c>
      <c r="S1273" s="132"/>
      <c r="T1273" s="156">
        <v>0</v>
      </c>
      <c r="U1273" s="132">
        <v>0</v>
      </c>
      <c r="V1273" s="132">
        <v>208.16</v>
      </c>
      <c r="W1273">
        <v>25</v>
      </c>
      <c r="X1273" s="153" t="s">
        <v>2024</v>
      </c>
      <c r="Y1273" s="124" t="s">
        <v>55</v>
      </c>
      <c r="Z1273" s="308">
        <v>233</v>
      </c>
      <c r="AB1273" t="str">
        <f>IF(Table1[[#This Row],[TIPO2]]="costo", VLOOKUP(Table1[[#This Row],[PARTIDA PRESUPUESTAL]],'Cost Report'!G:G,1,0),"Balance")</f>
        <v>3442-029</v>
      </c>
      <c r="AC1273" s="118"/>
      <c r="AD1273" s="159">
        <f>+Table1[[#This Row],[SUBTOTAL]]+Table1[[#This Row],[IVA]]-Table1[[#This Row],[RET IVA]]-Table1[[#This Row],[RET ISR]]-Table1[[#This Row],[TOTAL]]</f>
        <v>0</v>
      </c>
      <c r="AE1273" s="152"/>
      <c r="AF1273" s="153"/>
      <c r="AG1273" s="126"/>
      <c r="AH1273" s="115"/>
      <c r="AK1273" s="306" t="str">
        <f>IF(ISNUMBER(Table1[[#This Row],[FECHA DE RECIBIDO]]), Table1[[#This Row],[FECHA DE RECIBIDO]]-DATE(2023,8,30), "")</f>
        <v/>
      </c>
    </row>
    <row r="1274" spans="1:37" ht="16.05" customHeight="1">
      <c r="A1274" s="150"/>
      <c r="B1274" s="151"/>
      <c r="C1274" s="126" t="s">
        <v>2838</v>
      </c>
      <c r="D1274">
        <v>782</v>
      </c>
      <c r="E1274" s="126" t="s">
        <v>2001</v>
      </c>
      <c r="F1274" s="122" t="s">
        <v>1607</v>
      </c>
      <c r="G1274" s="122" t="s">
        <v>134</v>
      </c>
      <c r="H1274">
        <v>23</v>
      </c>
      <c r="I1274" s="122" t="s">
        <v>1546</v>
      </c>
      <c r="J1274" s="307" t="s">
        <v>214</v>
      </c>
      <c r="K1274" s="127">
        <v>3</v>
      </c>
      <c r="L1274" s="151" t="s">
        <v>3306</v>
      </c>
      <c r="M1274">
        <v>343</v>
      </c>
      <c r="N1274" s="123">
        <v>1</v>
      </c>
      <c r="O1274">
        <v>790</v>
      </c>
      <c r="P1274" s="132" t="s">
        <v>77</v>
      </c>
      <c r="Q1274" s="131">
        <v>179.44</v>
      </c>
      <c r="R1274" s="131">
        <v>28.72</v>
      </c>
      <c r="S1274" s="131"/>
      <c r="T1274" s="155">
        <v>0</v>
      </c>
      <c r="U1274" s="131">
        <v>0</v>
      </c>
      <c r="V1274" s="131">
        <v>208.16</v>
      </c>
      <c r="W1274">
        <v>25</v>
      </c>
      <c r="X1274" s="151" t="s">
        <v>2024</v>
      </c>
      <c r="Y1274" s="135" t="s">
        <v>55</v>
      </c>
      <c r="Z1274" s="307">
        <v>233</v>
      </c>
      <c r="AB1274" t="str">
        <f>IF(Table1[[#This Row],[TIPO2]]="costo", VLOOKUP(Table1[[#This Row],[PARTIDA PRESUPUESTAL]],'Cost Report'!G:G,1,0),"Balance")</f>
        <v>3442-029</v>
      </c>
      <c r="AC1274" s="118"/>
      <c r="AD1274" s="159">
        <f>+Table1[[#This Row],[SUBTOTAL]]+Table1[[#This Row],[IVA]]-Table1[[#This Row],[RET IVA]]-Table1[[#This Row],[RET ISR]]-Table1[[#This Row],[TOTAL]]</f>
        <v>0</v>
      </c>
      <c r="AE1274" s="150"/>
      <c r="AF1274" s="151"/>
      <c r="AG1274" s="126"/>
      <c r="AH1274" s="115"/>
      <c r="AK1274" s="306" t="str">
        <f>IF(ISNUMBER(Table1[[#This Row],[FECHA DE RECIBIDO]]), Table1[[#This Row],[FECHA DE RECIBIDO]]-DATE(2023,8,30), "")</f>
        <v/>
      </c>
    </row>
    <row r="1275" spans="1:37" ht="16.05" customHeight="1">
      <c r="A1275" s="152"/>
      <c r="B1275" s="153"/>
      <c r="C1275" s="126" t="s">
        <v>2838</v>
      </c>
      <c r="D1275">
        <v>782</v>
      </c>
      <c r="E1275" s="126" t="s">
        <v>2001</v>
      </c>
      <c r="F1275" s="125" t="s">
        <v>1607</v>
      </c>
      <c r="G1275" s="125" t="s">
        <v>134</v>
      </c>
      <c r="H1275">
        <v>23</v>
      </c>
      <c r="I1275" s="125" t="s">
        <v>1546</v>
      </c>
      <c r="J1275" s="308" t="s">
        <v>214</v>
      </c>
      <c r="K1275" s="127">
        <v>3</v>
      </c>
      <c r="L1275" s="153" t="s">
        <v>3306</v>
      </c>
      <c r="M1275">
        <v>343</v>
      </c>
      <c r="N1275" s="123">
        <v>1</v>
      </c>
      <c r="O1275">
        <v>790</v>
      </c>
      <c r="P1275" s="132" t="s">
        <v>77</v>
      </c>
      <c r="Q1275" s="132">
        <v>358.89</v>
      </c>
      <c r="R1275" s="132">
        <v>57.42</v>
      </c>
      <c r="S1275" s="132"/>
      <c r="T1275" s="156">
        <v>0</v>
      </c>
      <c r="U1275" s="132">
        <v>0</v>
      </c>
      <c r="V1275" s="132">
        <v>416.31</v>
      </c>
      <c r="W1275">
        <v>25</v>
      </c>
      <c r="X1275" s="153" t="s">
        <v>2024</v>
      </c>
      <c r="Y1275" s="124" t="s">
        <v>55</v>
      </c>
      <c r="Z1275" s="308">
        <v>233</v>
      </c>
      <c r="AB1275" t="str">
        <f>IF(Table1[[#This Row],[TIPO2]]="costo", VLOOKUP(Table1[[#This Row],[PARTIDA PRESUPUESTAL]],'Cost Report'!G:G,1,0),"Balance")</f>
        <v>3442-029</v>
      </c>
      <c r="AC1275" s="118"/>
      <c r="AD1275" s="159">
        <f>+Table1[[#This Row],[SUBTOTAL]]+Table1[[#This Row],[IVA]]-Table1[[#This Row],[RET IVA]]-Table1[[#This Row],[RET ISR]]-Table1[[#This Row],[TOTAL]]</f>
        <v>0</v>
      </c>
      <c r="AE1275" s="152"/>
      <c r="AF1275" s="153"/>
      <c r="AG1275" s="126"/>
      <c r="AH1275" s="115"/>
      <c r="AK1275" s="306" t="str">
        <f>IF(ISNUMBER(Table1[[#This Row],[FECHA DE RECIBIDO]]), Table1[[#This Row],[FECHA DE RECIBIDO]]-DATE(2023,8,30), "")</f>
        <v/>
      </c>
    </row>
    <row r="1276" spans="1:37" ht="16.05" customHeight="1">
      <c r="A1276" s="150"/>
      <c r="B1276" s="151"/>
      <c r="C1276" s="126" t="s">
        <v>2836</v>
      </c>
      <c r="D1276">
        <v>782</v>
      </c>
      <c r="E1276" s="126" t="s">
        <v>2001</v>
      </c>
      <c r="F1276" s="122" t="s">
        <v>1607</v>
      </c>
      <c r="G1276" s="122" t="s">
        <v>134</v>
      </c>
      <c r="H1276">
        <v>23</v>
      </c>
      <c r="I1276" s="122" t="s">
        <v>1546</v>
      </c>
      <c r="J1276" s="307" t="s">
        <v>214</v>
      </c>
      <c r="K1276" s="127">
        <v>3</v>
      </c>
      <c r="L1276" s="151" t="s">
        <v>3306</v>
      </c>
      <c r="M1276">
        <v>343</v>
      </c>
      <c r="N1276" s="123">
        <v>1</v>
      </c>
      <c r="O1276">
        <v>790</v>
      </c>
      <c r="P1276" s="132" t="s">
        <v>77</v>
      </c>
      <c r="Q1276" s="131">
        <v>8767.09</v>
      </c>
      <c r="R1276" s="131">
        <v>1402.73</v>
      </c>
      <c r="S1276" s="131"/>
      <c r="T1276" s="155">
        <v>0</v>
      </c>
      <c r="U1276" s="131">
        <v>0</v>
      </c>
      <c r="V1276" s="131">
        <v>10169.82</v>
      </c>
      <c r="W1276">
        <v>25</v>
      </c>
      <c r="X1276" s="151" t="s">
        <v>2024</v>
      </c>
      <c r="Y1276" s="135" t="s">
        <v>55</v>
      </c>
      <c r="Z1276" s="307">
        <v>233</v>
      </c>
      <c r="AB1276" t="str">
        <f>IF(Table1[[#This Row],[TIPO2]]="costo", VLOOKUP(Table1[[#This Row],[PARTIDA PRESUPUESTAL]],'Cost Report'!G:G,1,0),"Balance")</f>
        <v>3442-025</v>
      </c>
      <c r="AC1276" s="118"/>
      <c r="AD1276" s="159">
        <f>+Table1[[#This Row],[SUBTOTAL]]+Table1[[#This Row],[IVA]]-Table1[[#This Row],[RET IVA]]-Table1[[#This Row],[RET ISR]]-Table1[[#This Row],[TOTAL]]</f>
        <v>0</v>
      </c>
      <c r="AE1276" s="150"/>
      <c r="AF1276" s="151"/>
      <c r="AG1276" s="126"/>
      <c r="AH1276" s="115"/>
      <c r="AK1276" s="306" t="str">
        <f>IF(ISNUMBER(Table1[[#This Row],[FECHA DE RECIBIDO]]), Table1[[#This Row],[FECHA DE RECIBIDO]]-DATE(2023,8,30), "")</f>
        <v/>
      </c>
    </row>
    <row r="1277" spans="1:37" ht="16.05" customHeight="1">
      <c r="A1277" s="152"/>
      <c r="B1277" s="153"/>
      <c r="C1277" s="126" t="s">
        <v>2838</v>
      </c>
      <c r="D1277">
        <v>782</v>
      </c>
      <c r="E1277" s="126" t="s">
        <v>2001</v>
      </c>
      <c r="F1277" s="125" t="s">
        <v>1607</v>
      </c>
      <c r="G1277" s="125" t="s">
        <v>134</v>
      </c>
      <c r="H1277">
        <v>23</v>
      </c>
      <c r="I1277" s="125" t="s">
        <v>1546</v>
      </c>
      <c r="J1277" s="308" t="s">
        <v>214</v>
      </c>
      <c r="K1277" s="127">
        <v>3</v>
      </c>
      <c r="L1277" s="153" t="s">
        <v>3306</v>
      </c>
      <c r="M1277">
        <v>343</v>
      </c>
      <c r="N1277" s="123">
        <v>1</v>
      </c>
      <c r="O1277">
        <v>790</v>
      </c>
      <c r="P1277" s="132" t="s">
        <v>77</v>
      </c>
      <c r="Q1277" s="132">
        <v>1186.52</v>
      </c>
      <c r="R1277" s="132">
        <v>189.84</v>
      </c>
      <c r="S1277" s="132"/>
      <c r="T1277" s="156">
        <v>0</v>
      </c>
      <c r="U1277" s="132">
        <v>0</v>
      </c>
      <c r="V1277" s="132">
        <v>1376.36</v>
      </c>
      <c r="W1277">
        <v>25</v>
      </c>
      <c r="X1277" s="153" t="s">
        <v>2024</v>
      </c>
      <c r="Y1277" s="124" t="s">
        <v>55</v>
      </c>
      <c r="Z1277" s="308">
        <v>233</v>
      </c>
      <c r="AB1277" t="str">
        <f>IF(Table1[[#This Row],[TIPO2]]="costo", VLOOKUP(Table1[[#This Row],[PARTIDA PRESUPUESTAL]],'Cost Report'!G:G,1,0),"Balance")</f>
        <v>3442-029</v>
      </c>
      <c r="AC1277" s="118"/>
      <c r="AD1277" s="159">
        <f>+Table1[[#This Row],[SUBTOTAL]]+Table1[[#This Row],[IVA]]-Table1[[#This Row],[RET IVA]]-Table1[[#This Row],[RET ISR]]-Table1[[#This Row],[TOTAL]]</f>
        <v>0</v>
      </c>
      <c r="AE1277" s="152"/>
      <c r="AF1277" s="153"/>
      <c r="AG1277" s="126"/>
      <c r="AH1277" s="115"/>
      <c r="AK1277" s="306" t="str">
        <f>IF(ISNUMBER(Table1[[#This Row],[FECHA DE RECIBIDO]]), Table1[[#This Row],[FECHA DE RECIBIDO]]-DATE(2023,8,30), "")</f>
        <v/>
      </c>
    </row>
    <row r="1278" spans="1:37" ht="16.05" customHeight="1">
      <c r="A1278" s="150"/>
      <c r="B1278" s="151"/>
      <c r="C1278" s="126" t="s">
        <v>2836</v>
      </c>
      <c r="D1278">
        <v>782</v>
      </c>
      <c r="E1278" s="126" t="s">
        <v>2001</v>
      </c>
      <c r="F1278" s="122" t="s">
        <v>1607</v>
      </c>
      <c r="G1278" s="122" t="s">
        <v>134</v>
      </c>
      <c r="H1278">
        <v>23</v>
      </c>
      <c r="I1278" s="122" t="s">
        <v>1546</v>
      </c>
      <c r="J1278" s="307" t="s">
        <v>214</v>
      </c>
      <c r="K1278" s="127">
        <v>3</v>
      </c>
      <c r="L1278" s="151" t="s">
        <v>3306</v>
      </c>
      <c r="M1278">
        <v>343</v>
      </c>
      <c r="N1278" s="123">
        <v>1</v>
      </c>
      <c r="O1278">
        <v>790</v>
      </c>
      <c r="P1278" s="132" t="s">
        <v>77</v>
      </c>
      <c r="Q1278" s="131">
        <v>3460.69</v>
      </c>
      <c r="R1278" s="131">
        <v>553.71</v>
      </c>
      <c r="S1278" s="131"/>
      <c r="T1278" s="155">
        <v>0</v>
      </c>
      <c r="U1278" s="131">
        <v>0</v>
      </c>
      <c r="V1278" s="131">
        <v>4014.4</v>
      </c>
      <c r="W1278">
        <v>25</v>
      </c>
      <c r="X1278" s="151" t="s">
        <v>2024</v>
      </c>
      <c r="Y1278" s="135" t="s">
        <v>55</v>
      </c>
      <c r="Z1278" s="307">
        <v>233</v>
      </c>
      <c r="AB1278" t="str">
        <f>IF(Table1[[#This Row],[TIPO2]]="costo", VLOOKUP(Table1[[#This Row],[PARTIDA PRESUPUESTAL]],'Cost Report'!G:G,1,0),"Balance")</f>
        <v>3442-025</v>
      </c>
      <c r="AC1278" s="118"/>
      <c r="AD1278" s="159">
        <f>+Table1[[#This Row],[SUBTOTAL]]+Table1[[#This Row],[IVA]]-Table1[[#This Row],[RET IVA]]-Table1[[#This Row],[RET ISR]]-Table1[[#This Row],[TOTAL]]</f>
        <v>0</v>
      </c>
      <c r="AE1278" s="150"/>
      <c r="AF1278" s="151"/>
      <c r="AG1278" s="126"/>
      <c r="AH1278" s="115"/>
      <c r="AK1278" s="306" t="str">
        <f>IF(ISNUMBER(Table1[[#This Row],[FECHA DE RECIBIDO]]), Table1[[#This Row],[FECHA DE RECIBIDO]]-DATE(2023,8,30), "")</f>
        <v/>
      </c>
    </row>
    <row r="1279" spans="1:37" ht="16.05" customHeight="1">
      <c r="A1279" s="152"/>
      <c r="B1279" s="153"/>
      <c r="C1279" s="126" t="s">
        <v>2838</v>
      </c>
      <c r="D1279">
        <v>782</v>
      </c>
      <c r="E1279" s="126" t="s">
        <v>2001</v>
      </c>
      <c r="F1279" s="125" t="s">
        <v>1607</v>
      </c>
      <c r="G1279" s="125" t="s">
        <v>134</v>
      </c>
      <c r="H1279">
        <v>23</v>
      </c>
      <c r="I1279" s="125" t="s">
        <v>1546</v>
      </c>
      <c r="J1279" s="308" t="s">
        <v>214</v>
      </c>
      <c r="K1279" s="127">
        <v>3</v>
      </c>
      <c r="L1279" s="153" t="s">
        <v>3306</v>
      </c>
      <c r="M1279">
        <v>343</v>
      </c>
      <c r="N1279" s="123">
        <v>1</v>
      </c>
      <c r="O1279">
        <v>790</v>
      </c>
      <c r="P1279" s="132" t="s">
        <v>77</v>
      </c>
      <c r="Q1279" s="132">
        <v>527.34</v>
      </c>
      <c r="R1279" s="132">
        <v>84.38</v>
      </c>
      <c r="S1279" s="132"/>
      <c r="T1279" s="156">
        <v>0</v>
      </c>
      <c r="U1279" s="132">
        <v>0</v>
      </c>
      <c r="V1279" s="132">
        <v>611.72</v>
      </c>
      <c r="W1279">
        <v>25</v>
      </c>
      <c r="X1279" s="153" t="s">
        <v>2024</v>
      </c>
      <c r="Y1279" s="124" t="s">
        <v>55</v>
      </c>
      <c r="Z1279" s="308">
        <v>233</v>
      </c>
      <c r="AB1279" t="str">
        <f>IF(Table1[[#This Row],[TIPO2]]="costo", VLOOKUP(Table1[[#This Row],[PARTIDA PRESUPUESTAL]],'Cost Report'!G:G,1,0),"Balance")</f>
        <v>3442-029</v>
      </c>
      <c r="AC1279" s="118"/>
      <c r="AD1279" s="159">
        <f>+Table1[[#This Row],[SUBTOTAL]]+Table1[[#This Row],[IVA]]-Table1[[#This Row],[RET IVA]]-Table1[[#This Row],[RET ISR]]-Table1[[#This Row],[TOTAL]]</f>
        <v>0</v>
      </c>
      <c r="AE1279" s="152"/>
      <c r="AF1279" s="153"/>
      <c r="AG1279" s="126"/>
      <c r="AH1279" s="115"/>
      <c r="AK1279" s="306" t="str">
        <f>IF(ISNUMBER(Table1[[#This Row],[FECHA DE RECIBIDO]]), Table1[[#This Row],[FECHA DE RECIBIDO]]-DATE(2023,8,30), "")</f>
        <v/>
      </c>
    </row>
    <row r="1280" spans="1:37" ht="16.05" customHeight="1">
      <c r="A1280" s="150" t="s">
        <v>3728</v>
      </c>
      <c r="B1280" s="151">
        <v>749</v>
      </c>
      <c r="C1280" s="126" t="s">
        <v>2867</v>
      </c>
      <c r="D1280">
        <v>783</v>
      </c>
      <c r="E1280" s="126" t="s">
        <v>2001</v>
      </c>
      <c r="F1280" s="122" t="s">
        <v>1607</v>
      </c>
      <c r="G1280" s="122" t="s">
        <v>134</v>
      </c>
      <c r="H1280">
        <v>23</v>
      </c>
      <c r="I1280" s="122" t="s">
        <v>1546</v>
      </c>
      <c r="J1280" s="307" t="s">
        <v>214</v>
      </c>
      <c r="K1280" s="127">
        <v>3</v>
      </c>
      <c r="L1280" s="151" t="s">
        <v>3306</v>
      </c>
      <c r="M1280">
        <v>343</v>
      </c>
      <c r="N1280" s="123">
        <v>1</v>
      </c>
      <c r="O1280">
        <v>791</v>
      </c>
      <c r="P1280" s="132" t="s">
        <v>77</v>
      </c>
      <c r="Q1280" s="131">
        <v>37500</v>
      </c>
      <c r="R1280" s="131">
        <v>6000</v>
      </c>
      <c r="S1280" s="131"/>
      <c r="T1280" s="155">
        <v>0</v>
      </c>
      <c r="U1280" s="131">
        <v>0</v>
      </c>
      <c r="V1280" s="131">
        <v>43500</v>
      </c>
      <c r="W1280">
        <v>25</v>
      </c>
      <c r="X1280" s="151" t="s">
        <v>2024</v>
      </c>
      <c r="Y1280" s="135" t="s">
        <v>55</v>
      </c>
      <c r="Z1280" s="307">
        <v>233</v>
      </c>
      <c r="AB1280" t="str">
        <f>IF(Table1[[#This Row],[TIPO2]]="costo", VLOOKUP(Table1[[#This Row],[PARTIDA PRESUPUESTAL]],'Cost Report'!G:G,1,0),"Balance")</f>
        <v>3632-008</v>
      </c>
      <c r="AC1280" s="118"/>
      <c r="AD1280" s="159">
        <f>+Table1[[#This Row],[SUBTOTAL]]+Table1[[#This Row],[IVA]]-Table1[[#This Row],[RET IVA]]-Table1[[#This Row],[RET ISR]]-Table1[[#This Row],[TOTAL]]</f>
        <v>0</v>
      </c>
      <c r="AE1280" s="150"/>
      <c r="AF1280" s="151"/>
      <c r="AG1280" s="126"/>
      <c r="AH1280" s="115"/>
      <c r="AK1280" s="306" t="str">
        <f>IF(ISNUMBER(Table1[[#This Row],[FECHA DE RECIBIDO]]), Table1[[#This Row],[FECHA DE RECIBIDO]]-DATE(2023,8,30), "")</f>
        <v/>
      </c>
    </row>
    <row r="1281" spans="1:37" ht="16.05" customHeight="1">
      <c r="A1281" s="152" t="s">
        <v>3735</v>
      </c>
      <c r="B1281" s="153">
        <v>756</v>
      </c>
      <c r="C1281" s="126" t="s">
        <v>1038</v>
      </c>
      <c r="D1281">
        <v>784</v>
      </c>
      <c r="E1281" s="126" t="s">
        <v>2001</v>
      </c>
      <c r="F1281" s="125" t="s">
        <v>1607</v>
      </c>
      <c r="G1281" s="125" t="s">
        <v>134</v>
      </c>
      <c r="H1281">
        <v>23</v>
      </c>
      <c r="I1281" s="125" t="s">
        <v>1546</v>
      </c>
      <c r="J1281" s="308" t="s">
        <v>214</v>
      </c>
      <c r="K1281" s="127">
        <v>3</v>
      </c>
      <c r="L1281" s="153" t="s">
        <v>3306</v>
      </c>
      <c r="M1281">
        <v>343</v>
      </c>
      <c r="N1281" s="123">
        <v>1</v>
      </c>
      <c r="O1281">
        <v>792</v>
      </c>
      <c r="P1281" s="132" t="s">
        <v>77</v>
      </c>
      <c r="Q1281" s="132">
        <v>5759.12</v>
      </c>
      <c r="R1281" s="132">
        <v>921.46</v>
      </c>
      <c r="S1281" s="132"/>
      <c r="T1281" s="156">
        <v>0</v>
      </c>
      <c r="U1281" s="132">
        <v>0</v>
      </c>
      <c r="V1281" s="132">
        <v>6680.58</v>
      </c>
      <c r="W1281">
        <v>25</v>
      </c>
      <c r="X1281" s="153" t="s">
        <v>2024</v>
      </c>
      <c r="Y1281" s="124" t="s">
        <v>55</v>
      </c>
      <c r="Z1281" s="308">
        <v>233</v>
      </c>
      <c r="AB1281" t="str">
        <f>IF(Table1[[#This Row],[TIPO2]]="costo", VLOOKUP(Table1[[#This Row],[PARTIDA PRESUPUESTAL]],'Cost Report'!G:G,1,0),"Balance")</f>
        <v>3683-011</v>
      </c>
      <c r="AC1281" s="118"/>
      <c r="AD1281" s="159">
        <f>+Table1[[#This Row],[SUBTOTAL]]+Table1[[#This Row],[IVA]]-Table1[[#This Row],[RET IVA]]-Table1[[#This Row],[RET ISR]]-Table1[[#This Row],[TOTAL]]</f>
        <v>0</v>
      </c>
      <c r="AE1281" s="152"/>
      <c r="AF1281" s="153"/>
      <c r="AG1281" s="126"/>
      <c r="AH1281" s="115"/>
      <c r="AK1281" s="306" t="str">
        <f>IF(ISNUMBER(Table1[[#This Row],[FECHA DE RECIBIDO]]), Table1[[#This Row],[FECHA DE RECIBIDO]]-DATE(2023,8,30), "")</f>
        <v/>
      </c>
    </row>
    <row r="1282" spans="1:37" ht="16.05" customHeight="1">
      <c r="A1282" s="150"/>
      <c r="B1282" s="151"/>
      <c r="C1282" s="126" t="s">
        <v>1039</v>
      </c>
      <c r="D1282">
        <v>784</v>
      </c>
      <c r="E1282" s="126" t="s">
        <v>2001</v>
      </c>
      <c r="F1282" s="122" t="s">
        <v>1607</v>
      </c>
      <c r="G1282" s="122" t="s">
        <v>134</v>
      </c>
      <c r="H1282">
        <v>23</v>
      </c>
      <c r="I1282" s="122" t="s">
        <v>1546</v>
      </c>
      <c r="J1282" s="307" t="s">
        <v>214</v>
      </c>
      <c r="K1282" s="127">
        <v>3</v>
      </c>
      <c r="L1282" s="151" t="s">
        <v>3306</v>
      </c>
      <c r="M1282">
        <v>343</v>
      </c>
      <c r="N1282" s="123">
        <v>1</v>
      </c>
      <c r="O1282">
        <v>792</v>
      </c>
      <c r="P1282" s="132" t="s">
        <v>77</v>
      </c>
      <c r="Q1282" s="131">
        <v>5759.12</v>
      </c>
      <c r="R1282" s="131">
        <v>921.46</v>
      </c>
      <c r="S1282" s="131"/>
      <c r="T1282" s="155">
        <v>0</v>
      </c>
      <c r="U1282" s="131">
        <v>0</v>
      </c>
      <c r="V1282" s="131">
        <v>6680.58</v>
      </c>
      <c r="W1282">
        <v>25</v>
      </c>
      <c r="X1282" s="151" t="s">
        <v>2024</v>
      </c>
      <c r="Y1282" s="135" t="s">
        <v>55</v>
      </c>
      <c r="Z1282" s="307">
        <v>233</v>
      </c>
      <c r="AB1282" t="str">
        <f>IF(Table1[[#This Row],[TIPO2]]="costo", VLOOKUP(Table1[[#This Row],[PARTIDA PRESUPUESTAL]],'Cost Report'!G:G,1,0),"Balance")</f>
        <v>3683-012</v>
      </c>
      <c r="AC1282" s="118"/>
      <c r="AD1282" s="159">
        <f>+Table1[[#This Row],[SUBTOTAL]]+Table1[[#This Row],[IVA]]-Table1[[#This Row],[RET IVA]]-Table1[[#This Row],[RET ISR]]-Table1[[#This Row],[TOTAL]]</f>
        <v>0</v>
      </c>
      <c r="AE1282" s="150"/>
      <c r="AF1282" s="151"/>
      <c r="AG1282" s="126"/>
      <c r="AH1282" s="115"/>
      <c r="AK1282" s="306" t="str">
        <f>IF(ISNUMBER(Table1[[#This Row],[FECHA DE RECIBIDO]]), Table1[[#This Row],[FECHA DE RECIBIDO]]-DATE(2023,8,30), "")</f>
        <v/>
      </c>
    </row>
    <row r="1283" spans="1:37" ht="16.05" customHeight="1">
      <c r="A1283" s="152"/>
      <c r="B1283" s="153"/>
      <c r="C1283" s="126" t="s">
        <v>1043</v>
      </c>
      <c r="D1283">
        <v>784</v>
      </c>
      <c r="E1283" s="126" t="s">
        <v>2001</v>
      </c>
      <c r="F1283" s="125" t="s">
        <v>1607</v>
      </c>
      <c r="G1283" s="125" t="s">
        <v>134</v>
      </c>
      <c r="H1283">
        <v>23</v>
      </c>
      <c r="I1283" s="125" t="s">
        <v>1546</v>
      </c>
      <c r="J1283" s="308" t="s">
        <v>214</v>
      </c>
      <c r="K1283" s="127">
        <v>3</v>
      </c>
      <c r="L1283" s="153" t="s">
        <v>3306</v>
      </c>
      <c r="M1283">
        <v>343</v>
      </c>
      <c r="N1283" s="123">
        <v>1</v>
      </c>
      <c r="O1283">
        <v>792</v>
      </c>
      <c r="P1283" s="132" t="s">
        <v>77</v>
      </c>
      <c r="Q1283" s="132">
        <v>8638.68</v>
      </c>
      <c r="R1283" s="132">
        <v>1382.19</v>
      </c>
      <c r="S1283" s="132"/>
      <c r="T1283" s="156">
        <v>0</v>
      </c>
      <c r="U1283" s="132">
        <v>0</v>
      </c>
      <c r="V1283" s="132">
        <v>10020.870000000001</v>
      </c>
      <c r="W1283">
        <v>25</v>
      </c>
      <c r="X1283" s="153" t="s">
        <v>2024</v>
      </c>
      <c r="Y1283" s="124" t="s">
        <v>55</v>
      </c>
      <c r="Z1283" s="308">
        <v>233</v>
      </c>
      <c r="AB1283" t="str">
        <f>IF(Table1[[#This Row],[TIPO2]]="costo", VLOOKUP(Table1[[#This Row],[PARTIDA PRESUPUESTAL]],'Cost Report'!G:G,1,0),"Balance")</f>
        <v>3683-018</v>
      </c>
      <c r="AC1283" s="118"/>
      <c r="AD1283" s="159">
        <f>+Table1[[#This Row],[SUBTOTAL]]+Table1[[#This Row],[IVA]]-Table1[[#This Row],[RET IVA]]-Table1[[#This Row],[RET ISR]]-Table1[[#This Row],[TOTAL]]</f>
        <v>0</v>
      </c>
      <c r="AE1283" s="152"/>
      <c r="AF1283" s="153"/>
      <c r="AG1283" s="126"/>
      <c r="AH1283" s="115"/>
      <c r="AK1283" s="306" t="str">
        <f>IF(ISNUMBER(Table1[[#This Row],[FECHA DE RECIBIDO]]), Table1[[#This Row],[FECHA DE RECIBIDO]]-DATE(2023,8,30), "")</f>
        <v/>
      </c>
    </row>
    <row r="1284" spans="1:37" ht="16.05" customHeight="1">
      <c r="A1284" s="150"/>
      <c r="B1284" s="151"/>
      <c r="C1284" s="126" t="s">
        <v>1047</v>
      </c>
      <c r="D1284">
        <v>784</v>
      </c>
      <c r="E1284" s="126" t="s">
        <v>2001</v>
      </c>
      <c r="F1284" s="122" t="s">
        <v>1607</v>
      </c>
      <c r="G1284" s="122" t="s">
        <v>134</v>
      </c>
      <c r="H1284">
        <v>23</v>
      </c>
      <c r="I1284" s="122" t="s">
        <v>1546</v>
      </c>
      <c r="J1284" s="307" t="s">
        <v>214</v>
      </c>
      <c r="K1284" s="127">
        <v>3</v>
      </c>
      <c r="L1284" s="151" t="s">
        <v>3306</v>
      </c>
      <c r="M1284">
        <v>343</v>
      </c>
      <c r="N1284" s="123">
        <v>1</v>
      </c>
      <c r="O1284">
        <v>792</v>
      </c>
      <c r="P1284" s="132" t="s">
        <v>77</v>
      </c>
      <c r="Q1284" s="131">
        <v>4223.3500000000004</v>
      </c>
      <c r="R1284" s="131">
        <v>675.73</v>
      </c>
      <c r="S1284" s="131"/>
      <c r="T1284" s="155">
        <v>0</v>
      </c>
      <c r="U1284" s="131">
        <v>0</v>
      </c>
      <c r="V1284" s="131">
        <v>4899.08</v>
      </c>
      <c r="W1284">
        <v>25</v>
      </c>
      <c r="X1284" s="151" t="s">
        <v>2024</v>
      </c>
      <c r="Y1284" s="135" t="s">
        <v>55</v>
      </c>
      <c r="Z1284" s="307">
        <v>233</v>
      </c>
      <c r="AB1284" t="str">
        <f>IF(Table1[[#This Row],[TIPO2]]="costo", VLOOKUP(Table1[[#This Row],[PARTIDA PRESUPUESTAL]],'Cost Report'!G:G,1,0),"Balance")</f>
        <v>3683-024</v>
      </c>
      <c r="AC1284" s="118"/>
      <c r="AD1284" s="159">
        <f>+Table1[[#This Row],[SUBTOTAL]]+Table1[[#This Row],[IVA]]-Table1[[#This Row],[RET IVA]]-Table1[[#This Row],[RET ISR]]-Table1[[#This Row],[TOTAL]]</f>
        <v>0</v>
      </c>
      <c r="AE1284" s="150"/>
      <c r="AF1284" s="151"/>
      <c r="AG1284" s="126"/>
      <c r="AH1284" s="115"/>
      <c r="AK1284" s="306" t="str">
        <f>IF(ISNUMBER(Table1[[#This Row],[FECHA DE RECIBIDO]]), Table1[[#This Row],[FECHA DE RECIBIDO]]-DATE(2023,8,30), "")</f>
        <v/>
      </c>
    </row>
    <row r="1285" spans="1:37" ht="16.05" customHeight="1">
      <c r="A1285" s="152"/>
      <c r="B1285" s="153"/>
      <c r="C1285" s="126" t="s">
        <v>1051</v>
      </c>
      <c r="D1285">
        <v>784</v>
      </c>
      <c r="E1285" s="126" t="s">
        <v>2001</v>
      </c>
      <c r="F1285" s="125" t="s">
        <v>1607</v>
      </c>
      <c r="G1285" s="125" t="s">
        <v>134</v>
      </c>
      <c r="H1285">
        <v>23</v>
      </c>
      <c r="I1285" s="125" t="s">
        <v>1546</v>
      </c>
      <c r="J1285" s="308" t="s">
        <v>214</v>
      </c>
      <c r="K1285" s="127">
        <v>3</v>
      </c>
      <c r="L1285" s="153" t="s">
        <v>3306</v>
      </c>
      <c r="M1285">
        <v>343</v>
      </c>
      <c r="N1285" s="123">
        <v>1</v>
      </c>
      <c r="O1285">
        <v>792</v>
      </c>
      <c r="P1285" s="132" t="s">
        <v>77</v>
      </c>
      <c r="Q1285" s="132">
        <v>4146.57</v>
      </c>
      <c r="R1285" s="132">
        <v>663.45</v>
      </c>
      <c r="S1285" s="132"/>
      <c r="T1285" s="156">
        <v>0</v>
      </c>
      <c r="U1285" s="132">
        <v>0</v>
      </c>
      <c r="V1285" s="132">
        <v>4810.0199999999995</v>
      </c>
      <c r="W1285">
        <v>25</v>
      </c>
      <c r="X1285" s="153" t="s">
        <v>2024</v>
      </c>
      <c r="Y1285" s="124" t="s">
        <v>55</v>
      </c>
      <c r="Z1285" s="308">
        <v>233</v>
      </c>
      <c r="AB1285" t="str">
        <f>IF(Table1[[#This Row],[TIPO2]]="costo", VLOOKUP(Table1[[#This Row],[PARTIDA PRESUPUESTAL]],'Cost Report'!G:G,1,0),"Balance")</f>
        <v>3683-030</v>
      </c>
      <c r="AC1285" s="118"/>
      <c r="AD1285" s="159">
        <f>+Table1[[#This Row],[SUBTOTAL]]+Table1[[#This Row],[IVA]]-Table1[[#This Row],[RET IVA]]-Table1[[#This Row],[RET ISR]]-Table1[[#This Row],[TOTAL]]</f>
        <v>0</v>
      </c>
      <c r="AE1285" s="152"/>
      <c r="AF1285" s="153"/>
      <c r="AG1285" s="126"/>
      <c r="AH1285" s="115"/>
      <c r="AK1285" s="306" t="str">
        <f>IF(ISNUMBER(Table1[[#This Row],[FECHA DE RECIBIDO]]), Table1[[#This Row],[FECHA DE RECIBIDO]]-DATE(2023,8,30), "")</f>
        <v/>
      </c>
    </row>
    <row r="1286" spans="1:37" ht="16.05" customHeight="1">
      <c r="A1286" s="150"/>
      <c r="B1286" s="151"/>
      <c r="C1286" s="126" t="s">
        <v>2897</v>
      </c>
      <c r="D1286">
        <v>784</v>
      </c>
      <c r="E1286" s="126" t="s">
        <v>2001</v>
      </c>
      <c r="F1286" s="122" t="s">
        <v>1607</v>
      </c>
      <c r="G1286" s="122" t="s">
        <v>134</v>
      </c>
      <c r="H1286">
        <v>23</v>
      </c>
      <c r="I1286" s="122" t="s">
        <v>1546</v>
      </c>
      <c r="J1286" s="307" t="s">
        <v>214</v>
      </c>
      <c r="K1286" s="127">
        <v>3</v>
      </c>
      <c r="L1286" s="151" t="s">
        <v>3306</v>
      </c>
      <c r="M1286">
        <v>343</v>
      </c>
      <c r="N1286" s="123">
        <v>1</v>
      </c>
      <c r="O1286">
        <v>792</v>
      </c>
      <c r="P1286" s="132" t="s">
        <v>77</v>
      </c>
      <c r="Q1286" s="131">
        <v>2073.2800000000002</v>
      </c>
      <c r="R1286" s="131">
        <v>331.73</v>
      </c>
      <c r="S1286" s="131"/>
      <c r="T1286" s="155">
        <v>0</v>
      </c>
      <c r="U1286" s="131">
        <v>0</v>
      </c>
      <c r="V1286" s="131">
        <v>2405.0100000000002</v>
      </c>
      <c r="W1286">
        <v>25</v>
      </c>
      <c r="X1286" s="151" t="s">
        <v>2024</v>
      </c>
      <c r="Y1286" s="135" t="s">
        <v>55</v>
      </c>
      <c r="Z1286" s="307">
        <v>233</v>
      </c>
      <c r="AB1286" t="str">
        <f>IF(Table1[[#This Row],[TIPO2]]="costo", VLOOKUP(Table1[[#This Row],[PARTIDA PRESUPUESTAL]],'Cost Report'!G:G,1,0),"Balance")</f>
        <v>3683-138</v>
      </c>
      <c r="AC1286" s="118"/>
      <c r="AD1286" s="159">
        <f>+Table1[[#This Row],[SUBTOTAL]]+Table1[[#This Row],[IVA]]-Table1[[#This Row],[RET IVA]]-Table1[[#This Row],[RET ISR]]-Table1[[#This Row],[TOTAL]]</f>
        <v>0</v>
      </c>
      <c r="AE1286" s="150"/>
      <c r="AF1286" s="151"/>
      <c r="AG1286" s="126"/>
      <c r="AH1286" s="115"/>
      <c r="AK1286" s="306" t="str">
        <f>IF(ISNUMBER(Table1[[#This Row],[FECHA DE RECIBIDO]]), Table1[[#This Row],[FECHA DE RECIBIDO]]-DATE(2023,8,30), "")</f>
        <v/>
      </c>
    </row>
    <row r="1287" spans="1:37" ht="16.05" customHeight="1">
      <c r="A1287" s="152"/>
      <c r="B1287" s="153"/>
      <c r="C1287" s="126" t="s">
        <v>1059</v>
      </c>
      <c r="D1287">
        <v>784</v>
      </c>
      <c r="E1287" s="126" t="s">
        <v>2001</v>
      </c>
      <c r="F1287" s="125" t="s">
        <v>1607</v>
      </c>
      <c r="G1287" s="125" t="s">
        <v>134</v>
      </c>
      <c r="H1287">
        <v>23</v>
      </c>
      <c r="I1287" s="125" t="s">
        <v>1546</v>
      </c>
      <c r="J1287" s="308" t="s">
        <v>214</v>
      </c>
      <c r="K1287" s="127">
        <v>3</v>
      </c>
      <c r="L1287" s="153" t="s">
        <v>3306</v>
      </c>
      <c r="M1287">
        <v>343</v>
      </c>
      <c r="N1287" s="123">
        <v>1</v>
      </c>
      <c r="O1287">
        <v>792</v>
      </c>
      <c r="P1287" s="132" t="s">
        <v>77</v>
      </c>
      <c r="Q1287" s="132">
        <v>4146.57</v>
      </c>
      <c r="R1287" s="132">
        <v>663.45</v>
      </c>
      <c r="S1287" s="132"/>
      <c r="T1287" s="156">
        <v>0</v>
      </c>
      <c r="U1287" s="132">
        <v>0</v>
      </c>
      <c r="V1287" s="132">
        <v>4810.0199999999995</v>
      </c>
      <c r="W1287">
        <v>25</v>
      </c>
      <c r="X1287" s="153" t="s">
        <v>2024</v>
      </c>
      <c r="Y1287" s="124" t="s">
        <v>55</v>
      </c>
      <c r="Z1287" s="308">
        <v>233</v>
      </c>
      <c r="AB1287" t="str">
        <f>IF(Table1[[#This Row],[TIPO2]]="costo", VLOOKUP(Table1[[#This Row],[PARTIDA PRESUPUESTAL]],'Cost Report'!G:G,1,0),"Balance")</f>
        <v>3683-042</v>
      </c>
      <c r="AC1287" s="118"/>
      <c r="AD1287" s="159">
        <f>+Table1[[#This Row],[SUBTOTAL]]+Table1[[#This Row],[IVA]]-Table1[[#This Row],[RET IVA]]-Table1[[#This Row],[RET ISR]]-Table1[[#This Row],[TOTAL]]</f>
        <v>0</v>
      </c>
      <c r="AE1287" s="152"/>
      <c r="AF1287" s="153"/>
      <c r="AG1287" s="126"/>
      <c r="AH1287" s="115"/>
      <c r="AK1287" s="306" t="str">
        <f>IF(ISNUMBER(Table1[[#This Row],[FECHA DE RECIBIDO]]), Table1[[#This Row],[FECHA DE RECIBIDO]]-DATE(2023,8,30), "")</f>
        <v/>
      </c>
    </row>
    <row r="1288" spans="1:37" ht="16.05" customHeight="1">
      <c r="A1288" s="150"/>
      <c r="B1288" s="151"/>
      <c r="C1288" s="126" t="s">
        <v>1063</v>
      </c>
      <c r="D1288">
        <v>784</v>
      </c>
      <c r="E1288" s="126" t="s">
        <v>2001</v>
      </c>
      <c r="F1288" s="122" t="s">
        <v>1607</v>
      </c>
      <c r="G1288" s="122" t="s">
        <v>134</v>
      </c>
      <c r="H1288">
        <v>23</v>
      </c>
      <c r="I1288" s="122" t="s">
        <v>1546</v>
      </c>
      <c r="J1288" s="307" t="s">
        <v>214</v>
      </c>
      <c r="K1288" s="127">
        <v>3</v>
      </c>
      <c r="L1288" s="151" t="s">
        <v>3306</v>
      </c>
      <c r="M1288">
        <v>343</v>
      </c>
      <c r="N1288" s="123">
        <v>1</v>
      </c>
      <c r="O1288">
        <v>792</v>
      </c>
      <c r="P1288" s="132" t="s">
        <v>77</v>
      </c>
      <c r="Q1288" s="131">
        <v>4223.3500000000004</v>
      </c>
      <c r="R1288" s="131">
        <v>675.74</v>
      </c>
      <c r="S1288" s="131"/>
      <c r="T1288" s="155">
        <v>0</v>
      </c>
      <c r="U1288" s="131">
        <v>0</v>
      </c>
      <c r="V1288" s="131">
        <v>4899.09</v>
      </c>
      <c r="W1288">
        <v>25</v>
      </c>
      <c r="X1288" s="151" t="s">
        <v>2024</v>
      </c>
      <c r="Y1288" s="135" t="s">
        <v>55</v>
      </c>
      <c r="Z1288" s="307">
        <v>233</v>
      </c>
      <c r="AB1288" t="str">
        <f>IF(Table1[[#This Row],[TIPO2]]="costo", VLOOKUP(Table1[[#This Row],[PARTIDA PRESUPUESTAL]],'Cost Report'!G:G,1,0),"Balance")</f>
        <v>3683-048</v>
      </c>
      <c r="AC1288" s="118"/>
      <c r="AD1288" s="159">
        <f>+Table1[[#This Row],[SUBTOTAL]]+Table1[[#This Row],[IVA]]-Table1[[#This Row],[RET IVA]]-Table1[[#This Row],[RET ISR]]-Table1[[#This Row],[TOTAL]]</f>
        <v>0</v>
      </c>
      <c r="AE1288" s="150"/>
      <c r="AF1288" s="151"/>
      <c r="AG1288" s="126"/>
      <c r="AH1288" s="115"/>
      <c r="AK1288" s="306" t="str">
        <f>IF(ISNUMBER(Table1[[#This Row],[FECHA DE RECIBIDO]]), Table1[[#This Row],[FECHA DE RECIBIDO]]-DATE(2023,8,30), "")</f>
        <v/>
      </c>
    </row>
    <row r="1289" spans="1:37" ht="16.05" customHeight="1">
      <c r="A1289" s="152"/>
      <c r="B1289" s="153"/>
      <c r="C1289" s="126" t="s">
        <v>1067</v>
      </c>
      <c r="D1289">
        <v>784</v>
      </c>
      <c r="E1289" s="126" t="s">
        <v>2001</v>
      </c>
      <c r="F1289" s="125" t="s">
        <v>1607</v>
      </c>
      <c r="G1289" s="125" t="s">
        <v>134</v>
      </c>
      <c r="H1289">
        <v>23</v>
      </c>
      <c r="I1289" s="125" t="s">
        <v>1546</v>
      </c>
      <c r="J1289" s="308" t="s">
        <v>214</v>
      </c>
      <c r="K1289" s="127">
        <v>3</v>
      </c>
      <c r="L1289" s="153" t="s">
        <v>3306</v>
      </c>
      <c r="M1289">
        <v>343</v>
      </c>
      <c r="N1289" s="123">
        <v>1</v>
      </c>
      <c r="O1289">
        <v>792</v>
      </c>
      <c r="P1289" s="132" t="s">
        <v>77</v>
      </c>
      <c r="Q1289" s="132">
        <v>4223.3500000000004</v>
      </c>
      <c r="R1289" s="132">
        <v>675.74</v>
      </c>
      <c r="S1289" s="132"/>
      <c r="T1289" s="156">
        <v>0</v>
      </c>
      <c r="U1289" s="132">
        <v>0</v>
      </c>
      <c r="V1289" s="132">
        <v>4899.09</v>
      </c>
      <c r="W1289">
        <v>25</v>
      </c>
      <c r="X1289" s="153" t="s">
        <v>2024</v>
      </c>
      <c r="Y1289" s="124" t="s">
        <v>55</v>
      </c>
      <c r="Z1289" s="308">
        <v>233</v>
      </c>
      <c r="AB1289" t="str">
        <f>IF(Table1[[#This Row],[TIPO2]]="costo", VLOOKUP(Table1[[#This Row],[PARTIDA PRESUPUESTAL]],'Cost Report'!G:G,1,0),"Balance")</f>
        <v>3683-054</v>
      </c>
      <c r="AC1289" s="118"/>
      <c r="AD1289" s="159">
        <f>+Table1[[#This Row],[SUBTOTAL]]+Table1[[#This Row],[IVA]]-Table1[[#This Row],[RET IVA]]-Table1[[#This Row],[RET ISR]]-Table1[[#This Row],[TOTAL]]</f>
        <v>0</v>
      </c>
      <c r="AE1289" s="152"/>
      <c r="AF1289" s="153"/>
      <c r="AG1289" s="126"/>
      <c r="AH1289" s="115"/>
      <c r="AK1289" s="306" t="str">
        <f>IF(ISNUMBER(Table1[[#This Row],[FECHA DE RECIBIDO]]), Table1[[#This Row],[FECHA DE RECIBIDO]]-DATE(2023,8,30), "")</f>
        <v/>
      </c>
    </row>
    <row r="1290" spans="1:37" ht="16.05" customHeight="1">
      <c r="A1290" s="150"/>
      <c r="B1290" s="151"/>
      <c r="C1290" s="126" t="s">
        <v>1071</v>
      </c>
      <c r="D1290">
        <v>784</v>
      </c>
      <c r="E1290" s="126" t="s">
        <v>2001</v>
      </c>
      <c r="F1290" s="122" t="s">
        <v>1607</v>
      </c>
      <c r="G1290" s="122" t="s">
        <v>134</v>
      </c>
      <c r="H1290">
        <v>23</v>
      </c>
      <c r="I1290" s="122" t="s">
        <v>1546</v>
      </c>
      <c r="J1290" s="307" t="s">
        <v>214</v>
      </c>
      <c r="K1290" s="127">
        <v>3</v>
      </c>
      <c r="L1290" s="151" t="s">
        <v>3306</v>
      </c>
      <c r="M1290">
        <v>343</v>
      </c>
      <c r="N1290" s="123">
        <v>1</v>
      </c>
      <c r="O1290">
        <v>792</v>
      </c>
      <c r="P1290" s="132" t="s">
        <v>77</v>
      </c>
      <c r="Q1290" s="131">
        <v>2879.56</v>
      </c>
      <c r="R1290" s="131">
        <v>460.73</v>
      </c>
      <c r="S1290" s="131"/>
      <c r="T1290" s="155">
        <v>0</v>
      </c>
      <c r="U1290" s="131">
        <v>0</v>
      </c>
      <c r="V1290" s="131">
        <v>3340.29</v>
      </c>
      <c r="W1290">
        <v>25</v>
      </c>
      <c r="X1290" s="151" t="s">
        <v>2024</v>
      </c>
      <c r="Y1290" s="135" t="s">
        <v>55</v>
      </c>
      <c r="Z1290" s="307">
        <v>233</v>
      </c>
      <c r="AB1290" t="str">
        <f>IF(Table1[[#This Row],[TIPO2]]="costo", VLOOKUP(Table1[[#This Row],[PARTIDA PRESUPUESTAL]],'Cost Report'!G:G,1,0),"Balance")</f>
        <v>3683-060</v>
      </c>
      <c r="AC1290" s="118"/>
      <c r="AD1290" s="159">
        <f>+Table1[[#This Row],[SUBTOTAL]]+Table1[[#This Row],[IVA]]-Table1[[#This Row],[RET IVA]]-Table1[[#This Row],[RET ISR]]-Table1[[#This Row],[TOTAL]]</f>
        <v>0</v>
      </c>
      <c r="AE1290" s="150"/>
      <c r="AF1290" s="151"/>
      <c r="AG1290" s="126"/>
      <c r="AH1290" s="115"/>
      <c r="AK1290" s="306" t="str">
        <f>IF(ISNUMBER(Table1[[#This Row],[FECHA DE RECIBIDO]]), Table1[[#This Row],[FECHA DE RECIBIDO]]-DATE(2023,8,30), "")</f>
        <v/>
      </c>
    </row>
    <row r="1291" spans="1:37" ht="16.05" customHeight="1">
      <c r="A1291" s="152"/>
      <c r="B1291" s="153"/>
      <c r="C1291" s="126" t="s">
        <v>1075</v>
      </c>
      <c r="D1291">
        <v>784</v>
      </c>
      <c r="E1291" s="126" t="s">
        <v>2001</v>
      </c>
      <c r="F1291" s="125" t="s">
        <v>1607</v>
      </c>
      <c r="G1291" s="125" t="s">
        <v>134</v>
      </c>
      <c r="H1291">
        <v>23</v>
      </c>
      <c r="I1291" s="125" t="s">
        <v>1546</v>
      </c>
      <c r="J1291" s="308" t="s">
        <v>214</v>
      </c>
      <c r="K1291" s="127">
        <v>3</v>
      </c>
      <c r="L1291" s="153" t="s">
        <v>3306</v>
      </c>
      <c r="M1291">
        <v>343</v>
      </c>
      <c r="N1291" s="123">
        <v>1</v>
      </c>
      <c r="O1291">
        <v>792</v>
      </c>
      <c r="P1291" s="132" t="s">
        <v>77</v>
      </c>
      <c r="Q1291" s="132">
        <v>2879.56</v>
      </c>
      <c r="R1291" s="132">
        <v>460.73</v>
      </c>
      <c r="S1291" s="132"/>
      <c r="T1291" s="156">
        <v>0</v>
      </c>
      <c r="U1291" s="132">
        <v>0</v>
      </c>
      <c r="V1291" s="132">
        <v>3340.29</v>
      </c>
      <c r="W1291">
        <v>25</v>
      </c>
      <c r="X1291" s="153" t="s">
        <v>2024</v>
      </c>
      <c r="Y1291" s="124" t="s">
        <v>55</v>
      </c>
      <c r="Z1291" s="308">
        <v>233</v>
      </c>
      <c r="AB1291" t="str">
        <f>IF(Table1[[#This Row],[TIPO2]]="costo", VLOOKUP(Table1[[#This Row],[PARTIDA PRESUPUESTAL]],'Cost Report'!G:G,1,0),"Balance")</f>
        <v>3683-066</v>
      </c>
      <c r="AC1291" s="118"/>
      <c r="AD1291" s="159">
        <f>+Table1[[#This Row],[SUBTOTAL]]+Table1[[#This Row],[IVA]]-Table1[[#This Row],[RET IVA]]-Table1[[#This Row],[RET ISR]]-Table1[[#This Row],[TOTAL]]</f>
        <v>0</v>
      </c>
      <c r="AE1291" s="152"/>
      <c r="AF1291" s="153"/>
      <c r="AG1291" s="126"/>
      <c r="AH1291" s="115"/>
      <c r="AK1291" s="306" t="str">
        <f>IF(ISNUMBER(Table1[[#This Row],[FECHA DE RECIBIDO]]), Table1[[#This Row],[FECHA DE RECIBIDO]]-DATE(2023,8,30), "")</f>
        <v/>
      </c>
    </row>
    <row r="1292" spans="1:37" ht="16.05" customHeight="1">
      <c r="A1292" s="150"/>
      <c r="B1292" s="151"/>
      <c r="C1292" s="126" t="s">
        <v>1079</v>
      </c>
      <c r="D1292">
        <v>784</v>
      </c>
      <c r="E1292" s="126" t="s">
        <v>2001</v>
      </c>
      <c r="F1292" s="122" t="s">
        <v>1607</v>
      </c>
      <c r="G1292" s="122" t="s">
        <v>134</v>
      </c>
      <c r="H1292">
        <v>23</v>
      </c>
      <c r="I1292" s="122" t="s">
        <v>1546</v>
      </c>
      <c r="J1292" s="307" t="s">
        <v>214</v>
      </c>
      <c r="K1292" s="127">
        <v>3</v>
      </c>
      <c r="L1292" s="151" t="s">
        <v>3306</v>
      </c>
      <c r="M1292">
        <v>343</v>
      </c>
      <c r="N1292" s="123">
        <v>1</v>
      </c>
      <c r="O1292">
        <v>792</v>
      </c>
      <c r="P1292" s="132" t="s">
        <v>77</v>
      </c>
      <c r="Q1292" s="131">
        <v>2879.56</v>
      </c>
      <c r="R1292" s="131">
        <v>460.73</v>
      </c>
      <c r="S1292" s="131"/>
      <c r="T1292" s="155">
        <v>0</v>
      </c>
      <c r="U1292" s="131">
        <v>0</v>
      </c>
      <c r="V1292" s="131">
        <v>3340.29</v>
      </c>
      <c r="W1292">
        <v>25</v>
      </c>
      <c r="X1292" s="151" t="s">
        <v>2024</v>
      </c>
      <c r="Y1292" s="135" t="s">
        <v>55</v>
      </c>
      <c r="Z1292" s="307">
        <v>233</v>
      </c>
      <c r="AB1292" t="str">
        <f>IF(Table1[[#This Row],[TIPO2]]="costo", VLOOKUP(Table1[[#This Row],[PARTIDA PRESUPUESTAL]],'Cost Report'!G:G,1,0),"Balance")</f>
        <v>3683-072</v>
      </c>
      <c r="AC1292" s="118"/>
      <c r="AD1292" s="159">
        <f>+Table1[[#This Row],[SUBTOTAL]]+Table1[[#This Row],[IVA]]-Table1[[#This Row],[RET IVA]]-Table1[[#This Row],[RET ISR]]-Table1[[#This Row],[TOTAL]]</f>
        <v>0</v>
      </c>
      <c r="AE1292" s="150"/>
      <c r="AF1292" s="151"/>
      <c r="AG1292" s="126"/>
      <c r="AH1292" s="115"/>
      <c r="AK1292" s="306" t="str">
        <f>IF(ISNUMBER(Table1[[#This Row],[FECHA DE RECIBIDO]]), Table1[[#This Row],[FECHA DE RECIBIDO]]-DATE(2023,8,30), "")</f>
        <v/>
      </c>
    </row>
    <row r="1293" spans="1:37" ht="16.05" customHeight="1">
      <c r="A1293" s="152"/>
      <c r="B1293" s="153"/>
      <c r="C1293" s="126" t="s">
        <v>1083</v>
      </c>
      <c r="D1293">
        <v>784</v>
      </c>
      <c r="E1293" s="126" t="s">
        <v>2001</v>
      </c>
      <c r="F1293" s="125" t="s">
        <v>1607</v>
      </c>
      <c r="G1293" s="125" t="s">
        <v>134</v>
      </c>
      <c r="H1293">
        <v>23</v>
      </c>
      <c r="I1293" s="125" t="s">
        <v>1546</v>
      </c>
      <c r="J1293" s="308" t="s">
        <v>214</v>
      </c>
      <c r="K1293" s="127">
        <v>3</v>
      </c>
      <c r="L1293" s="153" t="s">
        <v>3306</v>
      </c>
      <c r="M1293">
        <v>343</v>
      </c>
      <c r="N1293" s="123">
        <v>1</v>
      </c>
      <c r="O1293">
        <v>792</v>
      </c>
      <c r="P1293" s="132" t="s">
        <v>77</v>
      </c>
      <c r="Q1293" s="132">
        <v>2879.56</v>
      </c>
      <c r="R1293" s="132">
        <v>460.73</v>
      </c>
      <c r="S1293" s="132"/>
      <c r="T1293" s="156">
        <v>0</v>
      </c>
      <c r="U1293" s="132">
        <v>0</v>
      </c>
      <c r="V1293" s="132">
        <v>3340.29</v>
      </c>
      <c r="W1293">
        <v>25</v>
      </c>
      <c r="X1293" s="153" t="s">
        <v>2024</v>
      </c>
      <c r="Y1293" s="124" t="s">
        <v>55</v>
      </c>
      <c r="Z1293" s="308">
        <v>233</v>
      </c>
      <c r="AB1293" t="str">
        <f>IF(Table1[[#This Row],[TIPO2]]="costo", VLOOKUP(Table1[[#This Row],[PARTIDA PRESUPUESTAL]],'Cost Report'!G:G,1,0),"Balance")</f>
        <v>3683-078</v>
      </c>
      <c r="AC1293" s="118"/>
      <c r="AD1293" s="159">
        <f>+Table1[[#This Row],[SUBTOTAL]]+Table1[[#This Row],[IVA]]-Table1[[#This Row],[RET IVA]]-Table1[[#This Row],[RET ISR]]-Table1[[#This Row],[TOTAL]]</f>
        <v>0</v>
      </c>
      <c r="AE1293" s="152"/>
      <c r="AF1293" s="153"/>
      <c r="AG1293" s="126"/>
      <c r="AH1293" s="115"/>
      <c r="AK1293" s="306" t="str">
        <f>IF(ISNUMBER(Table1[[#This Row],[FECHA DE RECIBIDO]]), Table1[[#This Row],[FECHA DE RECIBIDO]]-DATE(2023,8,30), "")</f>
        <v/>
      </c>
    </row>
    <row r="1294" spans="1:37" ht="16.05" customHeight="1">
      <c r="A1294" s="150"/>
      <c r="B1294" s="151"/>
      <c r="C1294" s="126" t="s">
        <v>1087</v>
      </c>
      <c r="D1294">
        <v>784</v>
      </c>
      <c r="E1294" s="126" t="s">
        <v>2001</v>
      </c>
      <c r="F1294" s="122" t="s">
        <v>1607</v>
      </c>
      <c r="G1294" s="122" t="s">
        <v>134</v>
      </c>
      <c r="H1294">
        <v>23</v>
      </c>
      <c r="I1294" s="122" t="s">
        <v>1546</v>
      </c>
      <c r="J1294" s="307" t="s">
        <v>214</v>
      </c>
      <c r="K1294" s="127">
        <v>3</v>
      </c>
      <c r="L1294" s="151" t="s">
        <v>3306</v>
      </c>
      <c r="M1294">
        <v>343</v>
      </c>
      <c r="N1294" s="123">
        <v>1</v>
      </c>
      <c r="O1294">
        <v>792</v>
      </c>
      <c r="P1294" s="132" t="s">
        <v>77</v>
      </c>
      <c r="Q1294" s="131">
        <v>4223.3500000000004</v>
      </c>
      <c r="R1294" s="131">
        <v>675.74</v>
      </c>
      <c r="S1294" s="131"/>
      <c r="T1294" s="155">
        <v>0</v>
      </c>
      <c r="U1294" s="131">
        <v>0</v>
      </c>
      <c r="V1294" s="131">
        <v>4899.09</v>
      </c>
      <c r="W1294">
        <v>25</v>
      </c>
      <c r="X1294" s="151" t="s">
        <v>2024</v>
      </c>
      <c r="Y1294" s="135" t="s">
        <v>55</v>
      </c>
      <c r="Z1294" s="307">
        <v>233</v>
      </c>
      <c r="AB1294" t="str">
        <f>IF(Table1[[#This Row],[TIPO2]]="costo", VLOOKUP(Table1[[#This Row],[PARTIDA PRESUPUESTAL]],'Cost Report'!G:G,1,0),"Balance")</f>
        <v>3683-084</v>
      </c>
      <c r="AC1294" s="118"/>
      <c r="AD1294" s="159">
        <f>+Table1[[#This Row],[SUBTOTAL]]+Table1[[#This Row],[IVA]]-Table1[[#This Row],[RET IVA]]-Table1[[#This Row],[RET ISR]]-Table1[[#This Row],[TOTAL]]</f>
        <v>0</v>
      </c>
      <c r="AE1294" s="150"/>
      <c r="AF1294" s="151"/>
      <c r="AG1294" s="126"/>
      <c r="AH1294" s="115"/>
      <c r="AK1294" s="306" t="str">
        <f>IF(ISNUMBER(Table1[[#This Row],[FECHA DE RECIBIDO]]), Table1[[#This Row],[FECHA DE RECIBIDO]]-DATE(2023,8,30), "")</f>
        <v/>
      </c>
    </row>
    <row r="1295" spans="1:37" ht="16.05" customHeight="1">
      <c r="A1295" s="152"/>
      <c r="B1295" s="153"/>
      <c r="C1295" s="126" t="s">
        <v>1091</v>
      </c>
      <c r="D1295">
        <v>784</v>
      </c>
      <c r="E1295" s="126" t="s">
        <v>2001</v>
      </c>
      <c r="F1295" s="125" t="s">
        <v>1607</v>
      </c>
      <c r="G1295" s="125" t="s">
        <v>134</v>
      </c>
      <c r="H1295">
        <v>23</v>
      </c>
      <c r="I1295" s="125" t="s">
        <v>1546</v>
      </c>
      <c r="J1295" s="308" t="s">
        <v>214</v>
      </c>
      <c r="K1295" s="127">
        <v>3</v>
      </c>
      <c r="L1295" s="153" t="s">
        <v>3306</v>
      </c>
      <c r="M1295">
        <v>343</v>
      </c>
      <c r="N1295" s="123">
        <v>1</v>
      </c>
      <c r="O1295">
        <v>792</v>
      </c>
      <c r="P1295" s="132" t="s">
        <v>77</v>
      </c>
      <c r="Q1295" s="132">
        <v>2879.56</v>
      </c>
      <c r="R1295" s="132">
        <v>460.73</v>
      </c>
      <c r="S1295" s="132"/>
      <c r="T1295" s="156">
        <v>0</v>
      </c>
      <c r="U1295" s="132">
        <v>0</v>
      </c>
      <c r="V1295" s="132">
        <v>3340.29</v>
      </c>
      <c r="W1295">
        <v>25</v>
      </c>
      <c r="X1295" s="153" t="s">
        <v>2024</v>
      </c>
      <c r="Y1295" s="124" t="s">
        <v>55</v>
      </c>
      <c r="Z1295" s="308">
        <v>233</v>
      </c>
      <c r="AB1295" t="str">
        <f>IF(Table1[[#This Row],[TIPO2]]="costo", VLOOKUP(Table1[[#This Row],[PARTIDA PRESUPUESTAL]],'Cost Report'!G:G,1,0),"Balance")</f>
        <v>3683-090</v>
      </c>
      <c r="AC1295" s="118"/>
      <c r="AD1295" s="159">
        <f>+Table1[[#This Row],[SUBTOTAL]]+Table1[[#This Row],[IVA]]-Table1[[#This Row],[RET IVA]]-Table1[[#This Row],[RET ISR]]-Table1[[#This Row],[TOTAL]]</f>
        <v>0</v>
      </c>
      <c r="AE1295" s="152"/>
      <c r="AF1295" s="153"/>
      <c r="AG1295" s="126"/>
      <c r="AH1295" s="115"/>
      <c r="AK1295" s="306" t="str">
        <f>IF(ISNUMBER(Table1[[#This Row],[FECHA DE RECIBIDO]]), Table1[[#This Row],[FECHA DE RECIBIDO]]-DATE(2023,8,30), "")</f>
        <v/>
      </c>
    </row>
    <row r="1296" spans="1:37" ht="16.05" customHeight="1">
      <c r="A1296" s="150"/>
      <c r="B1296" s="151"/>
      <c r="C1296" s="126" t="s">
        <v>1095</v>
      </c>
      <c r="D1296">
        <v>784</v>
      </c>
      <c r="E1296" s="126" t="s">
        <v>2001</v>
      </c>
      <c r="F1296" s="122" t="s">
        <v>1607</v>
      </c>
      <c r="G1296" s="122" t="s">
        <v>134</v>
      </c>
      <c r="H1296">
        <v>23</v>
      </c>
      <c r="I1296" s="122" t="s">
        <v>1546</v>
      </c>
      <c r="J1296" s="307" t="s">
        <v>214</v>
      </c>
      <c r="K1296" s="127">
        <v>3</v>
      </c>
      <c r="L1296" s="151" t="s">
        <v>3306</v>
      </c>
      <c r="M1296">
        <v>343</v>
      </c>
      <c r="N1296" s="123">
        <v>1</v>
      </c>
      <c r="O1296">
        <v>792</v>
      </c>
      <c r="P1296" s="132" t="s">
        <v>77</v>
      </c>
      <c r="Q1296" s="131">
        <v>4223.3500000000004</v>
      </c>
      <c r="R1296" s="131">
        <v>675.74</v>
      </c>
      <c r="S1296" s="131"/>
      <c r="T1296" s="155">
        <v>0</v>
      </c>
      <c r="U1296" s="131">
        <v>0</v>
      </c>
      <c r="V1296" s="131">
        <v>4899.09</v>
      </c>
      <c r="W1296">
        <v>25</v>
      </c>
      <c r="X1296" s="151" t="s">
        <v>2024</v>
      </c>
      <c r="Y1296" s="135" t="s">
        <v>55</v>
      </c>
      <c r="Z1296" s="307">
        <v>233</v>
      </c>
      <c r="AB1296" t="str">
        <f>IF(Table1[[#This Row],[TIPO2]]="costo", VLOOKUP(Table1[[#This Row],[PARTIDA PRESUPUESTAL]],'Cost Report'!G:G,1,0),"Balance")</f>
        <v>3683-096</v>
      </c>
      <c r="AC1296" s="118"/>
      <c r="AD1296" s="159">
        <f>+Table1[[#This Row],[SUBTOTAL]]+Table1[[#This Row],[IVA]]-Table1[[#This Row],[RET IVA]]-Table1[[#This Row],[RET ISR]]-Table1[[#This Row],[TOTAL]]</f>
        <v>0</v>
      </c>
      <c r="AE1296" s="150"/>
      <c r="AF1296" s="151"/>
      <c r="AG1296" s="126"/>
      <c r="AH1296" s="115"/>
      <c r="AK1296" s="306" t="str">
        <f>IF(ISNUMBER(Table1[[#This Row],[FECHA DE RECIBIDO]]), Table1[[#This Row],[FECHA DE RECIBIDO]]-DATE(2023,8,30), "")</f>
        <v/>
      </c>
    </row>
    <row r="1297" spans="1:37" ht="16.05" customHeight="1">
      <c r="A1297" s="152"/>
      <c r="B1297" s="153"/>
      <c r="C1297" s="126" t="s">
        <v>1098</v>
      </c>
      <c r="D1297">
        <v>784</v>
      </c>
      <c r="E1297" s="126" t="s">
        <v>2001</v>
      </c>
      <c r="F1297" s="125" t="s">
        <v>1607</v>
      </c>
      <c r="G1297" s="125" t="s">
        <v>134</v>
      </c>
      <c r="H1297">
        <v>23</v>
      </c>
      <c r="I1297" s="125" t="s">
        <v>1546</v>
      </c>
      <c r="J1297" s="308" t="s">
        <v>214</v>
      </c>
      <c r="K1297" s="127">
        <v>3</v>
      </c>
      <c r="L1297" s="153" t="s">
        <v>3306</v>
      </c>
      <c r="M1297">
        <v>343</v>
      </c>
      <c r="N1297" s="123">
        <v>1</v>
      </c>
      <c r="O1297">
        <v>792</v>
      </c>
      <c r="P1297" s="132" t="s">
        <v>77</v>
      </c>
      <c r="Q1297" s="132">
        <v>4319.34</v>
      </c>
      <c r="R1297" s="132">
        <v>691.09</v>
      </c>
      <c r="S1297" s="132"/>
      <c r="T1297" s="156">
        <v>0</v>
      </c>
      <c r="U1297" s="132">
        <v>0</v>
      </c>
      <c r="V1297" s="132">
        <v>5010.43</v>
      </c>
      <c r="W1297">
        <v>25</v>
      </c>
      <c r="X1297" s="153" t="s">
        <v>2024</v>
      </c>
      <c r="Y1297" s="124" t="s">
        <v>55</v>
      </c>
      <c r="Z1297" s="308">
        <v>233</v>
      </c>
      <c r="AB1297" t="str">
        <f>IF(Table1[[#This Row],[TIPO2]]="costo", VLOOKUP(Table1[[#This Row],[PARTIDA PRESUPUESTAL]],'Cost Report'!G:G,1,0),"Balance")</f>
        <v>3683-101</v>
      </c>
      <c r="AC1297" s="118"/>
      <c r="AD1297" s="159">
        <f>+Table1[[#This Row],[SUBTOTAL]]+Table1[[#This Row],[IVA]]-Table1[[#This Row],[RET IVA]]-Table1[[#This Row],[RET ISR]]-Table1[[#This Row],[TOTAL]]</f>
        <v>0</v>
      </c>
      <c r="AE1297" s="152"/>
      <c r="AF1297" s="153"/>
      <c r="AG1297" s="126"/>
      <c r="AH1297" s="115"/>
      <c r="AK1297" s="306" t="str">
        <f>IF(ISNUMBER(Table1[[#This Row],[FECHA DE RECIBIDO]]), Table1[[#This Row],[FECHA DE RECIBIDO]]-DATE(2023,8,30), "")</f>
        <v/>
      </c>
    </row>
    <row r="1298" spans="1:37" ht="16.05" customHeight="1">
      <c r="A1298" s="150"/>
      <c r="B1298" s="151"/>
      <c r="C1298" s="126" t="s">
        <v>1100</v>
      </c>
      <c r="D1298">
        <v>784</v>
      </c>
      <c r="E1298" s="126" t="s">
        <v>2001</v>
      </c>
      <c r="F1298" s="122" t="s">
        <v>1607</v>
      </c>
      <c r="G1298" s="122" t="s">
        <v>134</v>
      </c>
      <c r="H1298">
        <v>23</v>
      </c>
      <c r="I1298" s="122" t="s">
        <v>1546</v>
      </c>
      <c r="J1298" s="307" t="s">
        <v>214</v>
      </c>
      <c r="K1298" s="127">
        <v>3</v>
      </c>
      <c r="L1298" s="151" t="s">
        <v>3306</v>
      </c>
      <c r="M1298">
        <v>343</v>
      </c>
      <c r="N1298" s="123">
        <v>1</v>
      </c>
      <c r="O1298">
        <v>792</v>
      </c>
      <c r="P1298" s="132" t="s">
        <v>77</v>
      </c>
      <c r="Q1298" s="131">
        <v>5375.18</v>
      </c>
      <c r="R1298" s="131">
        <v>860.03</v>
      </c>
      <c r="S1298" s="131"/>
      <c r="T1298" s="155">
        <v>0</v>
      </c>
      <c r="U1298" s="131">
        <v>0</v>
      </c>
      <c r="V1298" s="131">
        <v>6235.21</v>
      </c>
      <c r="W1298">
        <v>25</v>
      </c>
      <c r="X1298" s="151" t="s">
        <v>2024</v>
      </c>
      <c r="Y1298" s="135" t="s">
        <v>55</v>
      </c>
      <c r="Z1298" s="307">
        <v>233</v>
      </c>
      <c r="AB1298" t="str">
        <f>IF(Table1[[#This Row],[TIPO2]]="costo", VLOOKUP(Table1[[#This Row],[PARTIDA PRESUPUESTAL]],'Cost Report'!G:G,1,0),"Balance")</f>
        <v>3683-105</v>
      </c>
      <c r="AC1298" s="118"/>
      <c r="AD1298" s="159">
        <f>+Table1[[#This Row],[SUBTOTAL]]+Table1[[#This Row],[IVA]]-Table1[[#This Row],[RET IVA]]-Table1[[#This Row],[RET ISR]]-Table1[[#This Row],[TOTAL]]</f>
        <v>0</v>
      </c>
      <c r="AE1298" s="150"/>
      <c r="AF1298" s="151"/>
      <c r="AG1298" s="126"/>
      <c r="AH1298" s="115"/>
      <c r="AK1298" s="306" t="str">
        <f>IF(ISNUMBER(Table1[[#This Row],[FECHA DE RECIBIDO]]), Table1[[#This Row],[FECHA DE RECIBIDO]]-DATE(2023,8,30), "")</f>
        <v/>
      </c>
    </row>
    <row r="1299" spans="1:37" ht="16.05" customHeight="1">
      <c r="A1299" s="152"/>
      <c r="B1299" s="153"/>
      <c r="C1299" s="126" t="s">
        <v>2880</v>
      </c>
      <c r="D1299">
        <v>784</v>
      </c>
      <c r="E1299" s="126" t="s">
        <v>2001</v>
      </c>
      <c r="F1299" s="125" t="s">
        <v>1607</v>
      </c>
      <c r="G1299" s="125" t="s">
        <v>134</v>
      </c>
      <c r="H1299">
        <v>23</v>
      </c>
      <c r="I1299" s="125" t="s">
        <v>1546</v>
      </c>
      <c r="J1299" s="308" t="s">
        <v>214</v>
      </c>
      <c r="K1299" s="127">
        <v>3</v>
      </c>
      <c r="L1299" s="153" t="s">
        <v>3306</v>
      </c>
      <c r="M1299">
        <v>343</v>
      </c>
      <c r="N1299" s="123">
        <v>1</v>
      </c>
      <c r="O1299">
        <v>792</v>
      </c>
      <c r="P1299" s="132" t="s">
        <v>77</v>
      </c>
      <c r="Q1299" s="132">
        <v>10750.36</v>
      </c>
      <c r="R1299" s="132">
        <v>1720.06</v>
      </c>
      <c r="S1299" s="132"/>
      <c r="T1299" s="156">
        <v>0</v>
      </c>
      <c r="U1299" s="132">
        <v>0</v>
      </c>
      <c r="V1299" s="132">
        <v>12470.42</v>
      </c>
      <c r="W1299">
        <v>25</v>
      </c>
      <c r="X1299" s="153" t="s">
        <v>2024</v>
      </c>
      <c r="Y1299" s="124" t="s">
        <v>55</v>
      </c>
      <c r="Z1299" s="308">
        <v>233</v>
      </c>
      <c r="AB1299" t="str">
        <f>IF(Table1[[#This Row],[TIPO2]]="costo", VLOOKUP(Table1[[#This Row],[PARTIDA PRESUPUESTAL]],'Cost Report'!G:G,1,0),"Balance")</f>
        <v>3683-109</v>
      </c>
      <c r="AC1299" s="118"/>
      <c r="AD1299" s="159">
        <f>+Table1[[#This Row],[SUBTOTAL]]+Table1[[#This Row],[IVA]]-Table1[[#This Row],[RET IVA]]-Table1[[#This Row],[RET ISR]]-Table1[[#This Row],[TOTAL]]</f>
        <v>0</v>
      </c>
      <c r="AE1299" s="152"/>
      <c r="AF1299" s="153"/>
      <c r="AG1299" s="126"/>
      <c r="AH1299" s="115"/>
      <c r="AK1299" s="306" t="str">
        <f>IF(ISNUMBER(Table1[[#This Row],[FECHA DE RECIBIDO]]), Table1[[#This Row],[FECHA DE RECIBIDO]]-DATE(2023,8,30), "")</f>
        <v/>
      </c>
    </row>
    <row r="1300" spans="1:37" ht="16.05" customHeight="1">
      <c r="A1300" s="150"/>
      <c r="B1300" s="151"/>
      <c r="C1300" s="126" t="s">
        <v>2909</v>
      </c>
      <c r="D1300">
        <v>784</v>
      </c>
      <c r="E1300" s="126" t="s">
        <v>2001</v>
      </c>
      <c r="F1300" s="122" t="s">
        <v>1607</v>
      </c>
      <c r="G1300" s="122" t="s">
        <v>134</v>
      </c>
      <c r="H1300">
        <v>23</v>
      </c>
      <c r="I1300" s="122" t="s">
        <v>1546</v>
      </c>
      <c r="J1300" s="307" t="s">
        <v>214</v>
      </c>
      <c r="K1300" s="127">
        <v>3</v>
      </c>
      <c r="L1300" s="151" t="s">
        <v>3306</v>
      </c>
      <c r="M1300">
        <v>343</v>
      </c>
      <c r="N1300" s="123">
        <v>1</v>
      </c>
      <c r="O1300">
        <v>792</v>
      </c>
      <c r="P1300" s="132" t="s">
        <v>77</v>
      </c>
      <c r="Q1300" s="131">
        <v>5375.18</v>
      </c>
      <c r="R1300" s="131">
        <v>860.03</v>
      </c>
      <c r="S1300" s="131"/>
      <c r="T1300" s="155">
        <v>0</v>
      </c>
      <c r="U1300" s="131">
        <v>0</v>
      </c>
      <c r="V1300" s="131">
        <v>6235.21</v>
      </c>
      <c r="W1300">
        <v>25</v>
      </c>
      <c r="X1300" s="151" t="s">
        <v>2024</v>
      </c>
      <c r="Y1300" s="135" t="s">
        <v>55</v>
      </c>
      <c r="Z1300" s="307">
        <v>233</v>
      </c>
      <c r="AB1300" t="str">
        <f>IF(Table1[[#This Row],[TIPO2]]="costo", VLOOKUP(Table1[[#This Row],[PARTIDA PRESUPUESTAL]],'Cost Report'!G:G,1,0),"Balance")</f>
        <v>3683-158</v>
      </c>
      <c r="AC1300" s="118"/>
      <c r="AD1300" s="159">
        <f>+Table1[[#This Row],[SUBTOTAL]]+Table1[[#This Row],[IVA]]-Table1[[#This Row],[RET IVA]]-Table1[[#This Row],[RET ISR]]-Table1[[#This Row],[TOTAL]]</f>
        <v>0</v>
      </c>
      <c r="AE1300" s="150"/>
      <c r="AF1300" s="151"/>
      <c r="AG1300" s="126"/>
      <c r="AH1300" s="115"/>
      <c r="AK1300" s="306" t="str">
        <f>IF(ISNUMBER(Table1[[#This Row],[FECHA DE RECIBIDO]]), Table1[[#This Row],[FECHA DE RECIBIDO]]-DATE(2023,8,30), "")</f>
        <v/>
      </c>
    </row>
    <row r="1301" spans="1:37" ht="16.05" customHeight="1">
      <c r="A1301" s="152"/>
      <c r="B1301" s="153"/>
      <c r="C1301" s="126" t="s">
        <v>2909</v>
      </c>
      <c r="D1301">
        <v>784</v>
      </c>
      <c r="E1301" s="126" t="s">
        <v>2001</v>
      </c>
      <c r="F1301" s="125" t="s">
        <v>1607</v>
      </c>
      <c r="G1301" s="125" t="s">
        <v>134</v>
      </c>
      <c r="H1301">
        <v>23</v>
      </c>
      <c r="I1301" s="125" t="s">
        <v>1546</v>
      </c>
      <c r="J1301" s="308" t="s">
        <v>214</v>
      </c>
      <c r="K1301" s="127">
        <v>3</v>
      </c>
      <c r="L1301" s="153" t="s">
        <v>3306</v>
      </c>
      <c r="M1301">
        <v>343</v>
      </c>
      <c r="N1301" s="123">
        <v>1</v>
      </c>
      <c r="O1301">
        <v>792</v>
      </c>
      <c r="P1301" s="132" t="s">
        <v>77</v>
      </c>
      <c r="Q1301" s="132">
        <v>5375.18</v>
      </c>
      <c r="R1301" s="132">
        <v>860.03</v>
      </c>
      <c r="S1301" s="132"/>
      <c r="T1301" s="156">
        <v>0</v>
      </c>
      <c r="U1301" s="132">
        <v>0</v>
      </c>
      <c r="V1301" s="132">
        <v>6235.21</v>
      </c>
      <c r="W1301">
        <v>25</v>
      </c>
      <c r="X1301" s="153" t="s">
        <v>2024</v>
      </c>
      <c r="Y1301" s="124" t="s">
        <v>55</v>
      </c>
      <c r="Z1301" s="308">
        <v>233</v>
      </c>
      <c r="AB1301" t="str">
        <f>IF(Table1[[#This Row],[TIPO2]]="costo", VLOOKUP(Table1[[#This Row],[PARTIDA PRESUPUESTAL]],'Cost Report'!G:G,1,0),"Balance")</f>
        <v>3683-158</v>
      </c>
      <c r="AC1301" s="118"/>
      <c r="AD1301" s="159">
        <f>+Table1[[#This Row],[SUBTOTAL]]+Table1[[#This Row],[IVA]]-Table1[[#This Row],[RET IVA]]-Table1[[#This Row],[RET ISR]]-Table1[[#This Row],[TOTAL]]</f>
        <v>0</v>
      </c>
      <c r="AE1301" s="152"/>
      <c r="AF1301" s="153"/>
      <c r="AG1301" s="126"/>
      <c r="AH1301" s="115"/>
      <c r="AK1301" s="306" t="str">
        <f>IF(ISNUMBER(Table1[[#This Row],[FECHA DE RECIBIDO]]), Table1[[#This Row],[FECHA DE RECIBIDO]]-DATE(2023,8,30), "")</f>
        <v/>
      </c>
    </row>
    <row r="1302" spans="1:37" ht="16.05" customHeight="1">
      <c r="A1302" s="150"/>
      <c r="B1302" s="151"/>
      <c r="C1302" s="126" t="s">
        <v>2916</v>
      </c>
      <c r="D1302">
        <v>784</v>
      </c>
      <c r="E1302" s="126" t="s">
        <v>2001</v>
      </c>
      <c r="F1302" s="122" t="s">
        <v>1607</v>
      </c>
      <c r="G1302" s="122" t="s">
        <v>134</v>
      </c>
      <c r="H1302">
        <v>23</v>
      </c>
      <c r="I1302" s="122" t="s">
        <v>1546</v>
      </c>
      <c r="J1302" s="307" t="s">
        <v>214</v>
      </c>
      <c r="K1302" s="127">
        <v>3</v>
      </c>
      <c r="L1302" s="151" t="s">
        <v>3306</v>
      </c>
      <c r="M1302">
        <v>343</v>
      </c>
      <c r="N1302" s="123">
        <v>1</v>
      </c>
      <c r="O1302">
        <v>792</v>
      </c>
      <c r="P1302" s="132" t="s">
        <v>77</v>
      </c>
      <c r="Q1302" s="131">
        <v>1748.3</v>
      </c>
      <c r="R1302" s="131">
        <v>279.73</v>
      </c>
      <c r="S1302" s="131"/>
      <c r="T1302" s="155">
        <v>0</v>
      </c>
      <c r="U1302" s="131">
        <v>0</v>
      </c>
      <c r="V1302" s="131">
        <v>2028.03</v>
      </c>
      <c r="W1302">
        <v>25</v>
      </c>
      <c r="X1302" s="151" t="s">
        <v>2024</v>
      </c>
      <c r="Y1302" s="135" t="s">
        <v>55</v>
      </c>
      <c r="Z1302" s="307">
        <v>233</v>
      </c>
      <c r="AB1302" t="str">
        <f>IF(Table1[[#This Row],[TIPO2]]="costo", VLOOKUP(Table1[[#This Row],[PARTIDA PRESUPUESTAL]],'Cost Report'!G:G,1,0),"Balance")</f>
        <v>3683-171</v>
      </c>
      <c r="AC1302" s="118"/>
      <c r="AD1302" s="159">
        <f>+Table1[[#This Row],[SUBTOTAL]]+Table1[[#This Row],[IVA]]-Table1[[#This Row],[RET IVA]]-Table1[[#This Row],[RET ISR]]-Table1[[#This Row],[TOTAL]]</f>
        <v>0</v>
      </c>
      <c r="AE1302" s="150"/>
      <c r="AF1302" s="151"/>
      <c r="AG1302" s="126"/>
      <c r="AH1302" s="115"/>
      <c r="AK1302" s="306" t="str">
        <f>IF(ISNUMBER(Table1[[#This Row],[FECHA DE RECIBIDO]]), Table1[[#This Row],[FECHA DE RECIBIDO]]-DATE(2023,8,30), "")</f>
        <v/>
      </c>
    </row>
    <row r="1303" spans="1:37" ht="16.05" customHeight="1">
      <c r="A1303" s="152"/>
      <c r="B1303" s="153"/>
      <c r="C1303" s="126" t="s">
        <v>2907</v>
      </c>
      <c r="D1303">
        <v>784</v>
      </c>
      <c r="E1303" s="126" t="s">
        <v>2001</v>
      </c>
      <c r="F1303" s="125" t="s">
        <v>1607</v>
      </c>
      <c r="G1303" s="125" t="s">
        <v>134</v>
      </c>
      <c r="H1303">
        <v>23</v>
      </c>
      <c r="I1303" s="125" t="s">
        <v>1546</v>
      </c>
      <c r="J1303" s="308" t="s">
        <v>214</v>
      </c>
      <c r="K1303" s="127">
        <v>3</v>
      </c>
      <c r="L1303" s="153" t="s">
        <v>3306</v>
      </c>
      <c r="M1303">
        <v>343</v>
      </c>
      <c r="N1303" s="123">
        <v>1</v>
      </c>
      <c r="O1303">
        <v>792</v>
      </c>
      <c r="P1303" s="132" t="s">
        <v>77</v>
      </c>
      <c r="Q1303" s="132">
        <v>959.85</v>
      </c>
      <c r="R1303" s="132">
        <v>153.58000000000001</v>
      </c>
      <c r="S1303" s="132"/>
      <c r="T1303" s="156">
        <v>0</v>
      </c>
      <c r="U1303" s="132">
        <v>0</v>
      </c>
      <c r="V1303" s="132">
        <v>1113.43</v>
      </c>
      <c r="W1303">
        <v>25</v>
      </c>
      <c r="X1303" s="153" t="s">
        <v>2024</v>
      </c>
      <c r="Y1303" s="124" t="s">
        <v>55</v>
      </c>
      <c r="Z1303" s="308">
        <v>233</v>
      </c>
      <c r="AB1303" t="str">
        <f>IF(Table1[[#This Row],[TIPO2]]="costo", VLOOKUP(Table1[[#This Row],[PARTIDA PRESUPUESTAL]],'Cost Report'!G:G,1,0),"Balance")</f>
        <v>3683-154</v>
      </c>
      <c r="AC1303" s="118"/>
      <c r="AD1303" s="159">
        <f>+Table1[[#This Row],[SUBTOTAL]]+Table1[[#This Row],[IVA]]-Table1[[#This Row],[RET IVA]]-Table1[[#This Row],[RET ISR]]-Table1[[#This Row],[TOTAL]]</f>
        <v>0</v>
      </c>
      <c r="AE1303" s="152"/>
      <c r="AF1303" s="153"/>
      <c r="AG1303" s="126"/>
      <c r="AH1303" s="115"/>
      <c r="AK1303" s="306" t="str">
        <f>IF(ISNUMBER(Table1[[#This Row],[FECHA DE RECIBIDO]]), Table1[[#This Row],[FECHA DE RECIBIDO]]-DATE(2023,8,30), "")</f>
        <v/>
      </c>
    </row>
    <row r="1304" spans="1:37" ht="16.05" customHeight="1">
      <c r="A1304" s="150" t="s">
        <v>3736</v>
      </c>
      <c r="B1304" s="151">
        <v>757</v>
      </c>
      <c r="C1304" s="126" t="s">
        <v>2864</v>
      </c>
      <c r="D1304">
        <v>785</v>
      </c>
      <c r="E1304" s="126" t="s">
        <v>2001</v>
      </c>
      <c r="F1304" s="122" t="s">
        <v>1607</v>
      </c>
      <c r="G1304" s="122" t="s">
        <v>134</v>
      </c>
      <c r="H1304">
        <v>23</v>
      </c>
      <c r="I1304" s="122" t="s">
        <v>1546</v>
      </c>
      <c r="J1304" s="307" t="s">
        <v>214</v>
      </c>
      <c r="K1304" s="127">
        <v>3</v>
      </c>
      <c r="L1304" s="151" t="s">
        <v>3306</v>
      </c>
      <c r="M1304">
        <v>343</v>
      </c>
      <c r="N1304" s="123">
        <v>1</v>
      </c>
      <c r="O1304">
        <v>793</v>
      </c>
      <c r="P1304" s="132" t="s">
        <v>77</v>
      </c>
      <c r="Q1304" s="131">
        <v>12937.08</v>
      </c>
      <c r="R1304" s="131">
        <v>2069.9299999999998</v>
      </c>
      <c r="S1304" s="131"/>
      <c r="T1304" s="155">
        <v>0</v>
      </c>
      <c r="U1304" s="131">
        <v>0</v>
      </c>
      <c r="V1304" s="131">
        <v>15007.01</v>
      </c>
      <c r="W1304">
        <v>25</v>
      </c>
      <c r="X1304" s="151" t="s">
        <v>2024</v>
      </c>
      <c r="Y1304" s="135" t="s">
        <v>55</v>
      </c>
      <c r="Z1304" s="307">
        <v>233</v>
      </c>
      <c r="AB1304" t="str">
        <f>IF(Table1[[#This Row],[TIPO2]]="costo", VLOOKUP(Table1[[#This Row],[PARTIDA PRESUPUESTAL]],'Cost Report'!G:G,1,0),"Balance")</f>
        <v>3632-003</v>
      </c>
      <c r="AC1304" s="118"/>
      <c r="AD1304" s="159">
        <f>+Table1[[#This Row],[SUBTOTAL]]+Table1[[#This Row],[IVA]]-Table1[[#This Row],[RET IVA]]-Table1[[#This Row],[RET ISR]]-Table1[[#This Row],[TOTAL]]</f>
        <v>0</v>
      </c>
      <c r="AE1304" s="150"/>
      <c r="AF1304" s="151"/>
      <c r="AG1304" s="126"/>
      <c r="AH1304" s="115"/>
      <c r="AK1304" s="306" t="str">
        <f>IF(ISNUMBER(Table1[[#This Row],[FECHA DE RECIBIDO]]), Table1[[#This Row],[FECHA DE RECIBIDO]]-DATE(2023,8,30), "")</f>
        <v/>
      </c>
    </row>
    <row r="1305" spans="1:37" ht="16.05" customHeight="1">
      <c r="A1305" s="152" t="s">
        <v>3737</v>
      </c>
      <c r="B1305" s="153">
        <v>758</v>
      </c>
      <c r="C1305" s="126" t="s">
        <v>2992</v>
      </c>
      <c r="D1305">
        <v>786</v>
      </c>
      <c r="E1305" s="126" t="s">
        <v>2001</v>
      </c>
      <c r="F1305" s="125" t="s">
        <v>1607</v>
      </c>
      <c r="G1305" s="125" t="s">
        <v>134</v>
      </c>
      <c r="H1305">
        <v>23</v>
      </c>
      <c r="I1305" s="125" t="s">
        <v>1546</v>
      </c>
      <c r="J1305" s="308" t="s">
        <v>214</v>
      </c>
      <c r="K1305" s="127">
        <v>3</v>
      </c>
      <c r="L1305" s="153" t="s">
        <v>3306</v>
      </c>
      <c r="M1305">
        <v>343</v>
      </c>
      <c r="N1305" s="123">
        <v>1</v>
      </c>
      <c r="O1305">
        <v>794</v>
      </c>
      <c r="P1305" s="132" t="s">
        <v>77</v>
      </c>
      <c r="Q1305" s="132">
        <v>646.99</v>
      </c>
      <c r="R1305" s="132">
        <v>103.52</v>
      </c>
      <c r="S1305" s="132"/>
      <c r="T1305" s="156">
        <v>0</v>
      </c>
      <c r="U1305" s="132">
        <v>0</v>
      </c>
      <c r="V1305" s="132">
        <v>750.51</v>
      </c>
      <c r="W1305">
        <v>25</v>
      </c>
      <c r="X1305" s="153" t="s">
        <v>2024</v>
      </c>
      <c r="Y1305" s="124" t="s">
        <v>55</v>
      </c>
      <c r="Z1305" s="308">
        <v>233</v>
      </c>
      <c r="AB1305" t="str">
        <f>IF(Table1[[#This Row],[TIPO2]]="costo", VLOOKUP(Table1[[#This Row],[PARTIDA PRESUPUESTAL]],'Cost Report'!G:G,1,0),"Balance")</f>
        <v>3936-004</v>
      </c>
      <c r="AC1305" s="118"/>
      <c r="AD1305" s="159">
        <f>+Table1[[#This Row],[SUBTOTAL]]+Table1[[#This Row],[IVA]]-Table1[[#This Row],[RET IVA]]-Table1[[#This Row],[RET ISR]]-Table1[[#This Row],[TOTAL]]</f>
        <v>0</v>
      </c>
      <c r="AE1305" s="152"/>
      <c r="AF1305" s="153"/>
      <c r="AG1305" s="126"/>
      <c r="AH1305" s="115"/>
      <c r="AK1305" s="306" t="str">
        <f>IF(ISNUMBER(Table1[[#This Row],[FECHA DE RECIBIDO]]), Table1[[#This Row],[FECHA DE RECIBIDO]]-DATE(2023,8,30), "")</f>
        <v/>
      </c>
    </row>
    <row r="1306" spans="1:37" ht="16.05" customHeight="1">
      <c r="A1306" s="150"/>
      <c r="B1306" s="151"/>
      <c r="C1306" s="126" t="s">
        <v>2992</v>
      </c>
      <c r="D1306">
        <v>786</v>
      </c>
      <c r="E1306" s="126" t="s">
        <v>2001</v>
      </c>
      <c r="F1306" s="122" t="s">
        <v>1607</v>
      </c>
      <c r="G1306" s="122" t="s">
        <v>134</v>
      </c>
      <c r="H1306">
        <v>23</v>
      </c>
      <c r="I1306" s="122" t="s">
        <v>1546</v>
      </c>
      <c r="J1306" s="307" t="s">
        <v>214</v>
      </c>
      <c r="K1306" s="127">
        <v>3</v>
      </c>
      <c r="L1306" s="151" t="s">
        <v>3306</v>
      </c>
      <c r="M1306">
        <v>343</v>
      </c>
      <c r="N1306" s="123">
        <v>1</v>
      </c>
      <c r="O1306">
        <v>794</v>
      </c>
      <c r="P1306" s="132" t="s">
        <v>77</v>
      </c>
      <c r="Q1306" s="131">
        <v>646.99</v>
      </c>
      <c r="R1306" s="131">
        <v>103.52</v>
      </c>
      <c r="S1306" s="131"/>
      <c r="T1306" s="155">
        <v>0</v>
      </c>
      <c r="U1306" s="131">
        <v>0</v>
      </c>
      <c r="V1306" s="131">
        <v>750.51</v>
      </c>
      <c r="W1306">
        <v>25</v>
      </c>
      <c r="X1306" s="151" t="s">
        <v>2024</v>
      </c>
      <c r="Y1306" s="135" t="s">
        <v>55</v>
      </c>
      <c r="Z1306" s="307">
        <v>233</v>
      </c>
      <c r="AB1306" t="str">
        <f>IF(Table1[[#This Row],[TIPO2]]="costo", VLOOKUP(Table1[[#This Row],[PARTIDA PRESUPUESTAL]],'Cost Report'!G:G,1,0),"Balance")</f>
        <v>3936-004</v>
      </c>
      <c r="AC1306" s="118"/>
      <c r="AD1306" s="159">
        <f>+Table1[[#This Row],[SUBTOTAL]]+Table1[[#This Row],[IVA]]-Table1[[#This Row],[RET IVA]]-Table1[[#This Row],[RET ISR]]-Table1[[#This Row],[TOTAL]]</f>
        <v>0</v>
      </c>
      <c r="AE1306" s="150"/>
      <c r="AF1306" s="151"/>
      <c r="AG1306" s="126"/>
      <c r="AH1306" s="115"/>
      <c r="AK1306" s="306" t="str">
        <f>IF(ISNUMBER(Table1[[#This Row],[FECHA DE RECIBIDO]]), Table1[[#This Row],[FECHA DE RECIBIDO]]-DATE(2023,8,30), "")</f>
        <v/>
      </c>
    </row>
    <row r="1307" spans="1:37" ht="16.05" customHeight="1">
      <c r="A1307" s="152"/>
      <c r="B1307" s="153"/>
      <c r="C1307" s="126" t="s">
        <v>2994</v>
      </c>
      <c r="D1307">
        <v>786</v>
      </c>
      <c r="E1307" s="126" t="s">
        <v>2001</v>
      </c>
      <c r="F1307" s="125" t="s">
        <v>1607</v>
      </c>
      <c r="G1307" s="125" t="s">
        <v>134</v>
      </c>
      <c r="H1307">
        <v>23</v>
      </c>
      <c r="I1307" s="125" t="s">
        <v>1546</v>
      </c>
      <c r="J1307" s="308" t="s">
        <v>214</v>
      </c>
      <c r="K1307" s="127">
        <v>3</v>
      </c>
      <c r="L1307" s="153" t="s">
        <v>3306</v>
      </c>
      <c r="M1307">
        <v>343</v>
      </c>
      <c r="N1307" s="123">
        <v>1</v>
      </c>
      <c r="O1307">
        <v>794</v>
      </c>
      <c r="P1307" s="132" t="s">
        <v>77</v>
      </c>
      <c r="Q1307" s="132">
        <v>334.65</v>
      </c>
      <c r="R1307" s="132">
        <v>53.57</v>
      </c>
      <c r="S1307" s="132"/>
      <c r="T1307" s="156">
        <v>0</v>
      </c>
      <c r="U1307" s="132">
        <v>0</v>
      </c>
      <c r="V1307" s="132">
        <v>388.21999999999997</v>
      </c>
      <c r="W1307">
        <v>25</v>
      </c>
      <c r="X1307" s="153" t="s">
        <v>2024</v>
      </c>
      <c r="Y1307" s="124" t="s">
        <v>55</v>
      </c>
      <c r="Z1307" s="308">
        <v>233</v>
      </c>
      <c r="AB1307" t="str">
        <f>IF(Table1[[#This Row],[TIPO2]]="costo", VLOOKUP(Table1[[#This Row],[PARTIDA PRESUPUESTAL]],'Cost Report'!G:G,1,0),"Balance")</f>
        <v>3936-008</v>
      </c>
      <c r="AC1307" s="118"/>
      <c r="AD1307" s="159">
        <f>+Table1[[#This Row],[SUBTOTAL]]+Table1[[#This Row],[IVA]]-Table1[[#This Row],[RET IVA]]-Table1[[#This Row],[RET ISR]]-Table1[[#This Row],[TOTAL]]</f>
        <v>0</v>
      </c>
      <c r="AE1307" s="152"/>
      <c r="AF1307" s="153"/>
      <c r="AG1307" s="126"/>
      <c r="AH1307" s="115"/>
      <c r="AK1307" s="306" t="str">
        <f>IF(ISNUMBER(Table1[[#This Row],[FECHA DE RECIBIDO]]), Table1[[#This Row],[FECHA DE RECIBIDO]]-DATE(2023,8,30), "")</f>
        <v/>
      </c>
    </row>
    <row r="1308" spans="1:37" ht="16.05" customHeight="1">
      <c r="A1308" s="150"/>
      <c r="B1308" s="151"/>
      <c r="C1308" s="126" t="s">
        <v>2995</v>
      </c>
      <c r="D1308">
        <v>786</v>
      </c>
      <c r="E1308" s="126" t="s">
        <v>2001</v>
      </c>
      <c r="F1308" s="122" t="s">
        <v>1607</v>
      </c>
      <c r="G1308" s="122" t="s">
        <v>134</v>
      </c>
      <c r="H1308">
        <v>23</v>
      </c>
      <c r="I1308" s="122" t="s">
        <v>1546</v>
      </c>
      <c r="J1308" s="307" t="s">
        <v>214</v>
      </c>
      <c r="K1308" s="127">
        <v>3</v>
      </c>
      <c r="L1308" s="151" t="s">
        <v>3306</v>
      </c>
      <c r="M1308">
        <v>343</v>
      </c>
      <c r="N1308" s="123">
        <v>1</v>
      </c>
      <c r="O1308">
        <v>794</v>
      </c>
      <c r="P1308" s="132" t="s">
        <v>77</v>
      </c>
      <c r="Q1308" s="131">
        <v>334.65</v>
      </c>
      <c r="R1308" s="131">
        <v>53.54</v>
      </c>
      <c r="S1308" s="131"/>
      <c r="T1308" s="155">
        <v>0</v>
      </c>
      <c r="U1308" s="131">
        <v>0</v>
      </c>
      <c r="V1308" s="131">
        <v>388.19</v>
      </c>
      <c r="W1308">
        <v>25</v>
      </c>
      <c r="X1308" s="151" t="s">
        <v>2024</v>
      </c>
      <c r="Y1308" s="135" t="s">
        <v>55</v>
      </c>
      <c r="Z1308" s="307">
        <v>233</v>
      </c>
      <c r="AB1308" t="str">
        <f>IF(Table1[[#This Row],[TIPO2]]="costo", VLOOKUP(Table1[[#This Row],[PARTIDA PRESUPUESTAL]],'Cost Report'!G:G,1,0),"Balance")</f>
        <v>3936-009</v>
      </c>
      <c r="AC1308" s="118"/>
      <c r="AD1308" s="159">
        <f>+Table1[[#This Row],[SUBTOTAL]]+Table1[[#This Row],[IVA]]-Table1[[#This Row],[RET IVA]]-Table1[[#This Row],[RET ISR]]-Table1[[#This Row],[TOTAL]]</f>
        <v>0</v>
      </c>
      <c r="AE1308" s="150"/>
      <c r="AF1308" s="151"/>
      <c r="AG1308" s="126"/>
      <c r="AH1308" s="115"/>
      <c r="AK1308" s="306" t="str">
        <f>IF(ISNUMBER(Table1[[#This Row],[FECHA DE RECIBIDO]]), Table1[[#This Row],[FECHA DE RECIBIDO]]-DATE(2023,8,30), "")</f>
        <v/>
      </c>
    </row>
    <row r="1309" spans="1:37" ht="16.05" customHeight="1">
      <c r="A1309" s="152"/>
      <c r="B1309" s="153"/>
      <c r="C1309" s="126" t="s">
        <v>2991</v>
      </c>
      <c r="D1309">
        <v>786</v>
      </c>
      <c r="E1309" s="126" t="s">
        <v>2001</v>
      </c>
      <c r="F1309" s="125" t="s">
        <v>1607</v>
      </c>
      <c r="G1309" s="125" t="s">
        <v>134</v>
      </c>
      <c r="H1309">
        <v>23</v>
      </c>
      <c r="I1309" s="125" t="s">
        <v>1546</v>
      </c>
      <c r="J1309" s="308" t="s">
        <v>214</v>
      </c>
      <c r="K1309" s="127">
        <v>3</v>
      </c>
      <c r="L1309" s="153" t="s">
        <v>3306</v>
      </c>
      <c r="M1309">
        <v>343</v>
      </c>
      <c r="N1309" s="123">
        <v>1</v>
      </c>
      <c r="O1309">
        <v>794</v>
      </c>
      <c r="P1309" s="132" t="s">
        <v>77</v>
      </c>
      <c r="Q1309" s="132">
        <v>96.01</v>
      </c>
      <c r="R1309" s="132">
        <v>15.36</v>
      </c>
      <c r="S1309" s="132"/>
      <c r="T1309" s="156">
        <v>0</v>
      </c>
      <c r="U1309" s="132">
        <v>0</v>
      </c>
      <c r="V1309" s="132">
        <v>111.37</v>
      </c>
      <c r="W1309">
        <v>25</v>
      </c>
      <c r="X1309" s="153" t="s">
        <v>2024</v>
      </c>
      <c r="Y1309" s="124" t="s">
        <v>55</v>
      </c>
      <c r="Z1309" s="308">
        <v>233</v>
      </c>
      <c r="AB1309" t="str">
        <f>IF(Table1[[#This Row],[TIPO2]]="costo", VLOOKUP(Table1[[#This Row],[PARTIDA PRESUPUESTAL]],'Cost Report'!G:G,1,0),"Balance")</f>
        <v>3936-003</v>
      </c>
      <c r="AC1309" s="118"/>
      <c r="AD1309" s="159">
        <f>+Table1[[#This Row],[SUBTOTAL]]+Table1[[#This Row],[IVA]]-Table1[[#This Row],[RET IVA]]-Table1[[#This Row],[RET ISR]]-Table1[[#This Row],[TOTAL]]</f>
        <v>0</v>
      </c>
      <c r="AE1309" s="152"/>
      <c r="AF1309" s="153"/>
      <c r="AG1309" s="126"/>
      <c r="AH1309" s="115"/>
      <c r="AK1309" s="306" t="str">
        <f>IF(ISNUMBER(Table1[[#This Row],[FECHA DE RECIBIDO]]), Table1[[#This Row],[FECHA DE RECIBIDO]]-DATE(2023,8,30), "")</f>
        <v/>
      </c>
    </row>
    <row r="1310" spans="1:37" ht="16.05" customHeight="1">
      <c r="A1310" s="150"/>
      <c r="B1310" s="151"/>
      <c r="C1310" s="126" t="s">
        <v>2992</v>
      </c>
      <c r="D1310">
        <v>786</v>
      </c>
      <c r="E1310" s="126" t="s">
        <v>2001</v>
      </c>
      <c r="F1310" s="122" t="s">
        <v>1607</v>
      </c>
      <c r="G1310" s="122" t="s">
        <v>134</v>
      </c>
      <c r="H1310">
        <v>23</v>
      </c>
      <c r="I1310" s="122" t="s">
        <v>1546</v>
      </c>
      <c r="J1310" s="307" t="s">
        <v>214</v>
      </c>
      <c r="K1310" s="127">
        <v>3</v>
      </c>
      <c r="L1310" s="151" t="s">
        <v>3306</v>
      </c>
      <c r="M1310">
        <v>343</v>
      </c>
      <c r="N1310" s="123">
        <v>1</v>
      </c>
      <c r="O1310">
        <v>794</v>
      </c>
      <c r="P1310" s="132" t="s">
        <v>77</v>
      </c>
      <c r="Q1310" s="131">
        <v>96.01</v>
      </c>
      <c r="R1310" s="131">
        <v>15.36</v>
      </c>
      <c r="S1310" s="131"/>
      <c r="T1310" s="155">
        <v>0</v>
      </c>
      <c r="U1310" s="131">
        <v>0</v>
      </c>
      <c r="V1310" s="131">
        <v>111.37</v>
      </c>
      <c r="W1310">
        <v>25</v>
      </c>
      <c r="X1310" s="151" t="s">
        <v>2024</v>
      </c>
      <c r="Y1310" s="135" t="s">
        <v>55</v>
      </c>
      <c r="Z1310" s="307">
        <v>233</v>
      </c>
      <c r="AB1310" t="str">
        <f>IF(Table1[[#This Row],[TIPO2]]="costo", VLOOKUP(Table1[[#This Row],[PARTIDA PRESUPUESTAL]],'Cost Report'!G:G,1,0),"Balance")</f>
        <v>3936-004</v>
      </c>
      <c r="AC1310" s="118"/>
      <c r="AD1310" s="159">
        <f>+Table1[[#This Row],[SUBTOTAL]]+Table1[[#This Row],[IVA]]-Table1[[#This Row],[RET IVA]]-Table1[[#This Row],[RET ISR]]-Table1[[#This Row],[TOTAL]]</f>
        <v>0</v>
      </c>
      <c r="AE1310" s="150"/>
      <c r="AF1310" s="151"/>
      <c r="AG1310" s="126"/>
      <c r="AH1310" s="115"/>
      <c r="AK1310" s="306" t="str">
        <f>IF(ISNUMBER(Table1[[#This Row],[FECHA DE RECIBIDO]]), Table1[[#This Row],[FECHA DE RECIBIDO]]-DATE(2023,8,30), "")</f>
        <v/>
      </c>
    </row>
    <row r="1311" spans="1:37" ht="16.05" customHeight="1">
      <c r="A1311" s="152"/>
      <c r="B1311" s="153"/>
      <c r="C1311" s="126" t="s">
        <v>2991</v>
      </c>
      <c r="D1311">
        <v>786</v>
      </c>
      <c r="E1311" s="126" t="s">
        <v>2001</v>
      </c>
      <c r="F1311" s="125" t="s">
        <v>1607</v>
      </c>
      <c r="G1311" s="125" t="s">
        <v>134</v>
      </c>
      <c r="H1311">
        <v>23</v>
      </c>
      <c r="I1311" s="125" t="s">
        <v>1546</v>
      </c>
      <c r="J1311" s="308" t="s">
        <v>214</v>
      </c>
      <c r="K1311" s="127">
        <v>3</v>
      </c>
      <c r="L1311" s="153" t="s">
        <v>3306</v>
      </c>
      <c r="M1311">
        <v>343</v>
      </c>
      <c r="N1311" s="123">
        <v>1</v>
      </c>
      <c r="O1311">
        <v>794</v>
      </c>
      <c r="P1311" s="132" t="s">
        <v>77</v>
      </c>
      <c r="Q1311" s="132">
        <v>64.010000000000005</v>
      </c>
      <c r="R1311" s="132">
        <v>10.24</v>
      </c>
      <c r="S1311" s="132"/>
      <c r="T1311" s="156">
        <v>0</v>
      </c>
      <c r="U1311" s="132">
        <v>0</v>
      </c>
      <c r="V1311" s="132">
        <v>74.25</v>
      </c>
      <c r="W1311">
        <v>25</v>
      </c>
      <c r="X1311" s="153" t="s">
        <v>2024</v>
      </c>
      <c r="Y1311" s="124" t="s">
        <v>55</v>
      </c>
      <c r="Z1311" s="308">
        <v>233</v>
      </c>
      <c r="AB1311" t="str">
        <f>IF(Table1[[#This Row],[TIPO2]]="costo", VLOOKUP(Table1[[#This Row],[PARTIDA PRESUPUESTAL]],'Cost Report'!G:G,1,0),"Balance")</f>
        <v>3936-003</v>
      </c>
      <c r="AC1311" s="118"/>
      <c r="AD1311" s="159">
        <f>+Table1[[#This Row],[SUBTOTAL]]+Table1[[#This Row],[IVA]]-Table1[[#This Row],[RET IVA]]-Table1[[#This Row],[RET ISR]]-Table1[[#This Row],[TOTAL]]</f>
        <v>0</v>
      </c>
      <c r="AE1311" s="152"/>
      <c r="AF1311" s="153"/>
      <c r="AG1311" s="126"/>
      <c r="AH1311" s="115"/>
      <c r="AK1311" s="306" t="str">
        <f>IF(ISNUMBER(Table1[[#This Row],[FECHA DE RECIBIDO]]), Table1[[#This Row],[FECHA DE RECIBIDO]]-DATE(2023,8,30), "")</f>
        <v/>
      </c>
    </row>
    <row r="1312" spans="1:37" ht="16.05" customHeight="1">
      <c r="A1312" s="150"/>
      <c r="B1312" s="151"/>
      <c r="C1312" s="126" t="s">
        <v>2991</v>
      </c>
      <c r="D1312">
        <v>786</v>
      </c>
      <c r="E1312" s="126" t="s">
        <v>2001</v>
      </c>
      <c r="F1312" s="122" t="s">
        <v>1607</v>
      </c>
      <c r="G1312" s="122" t="s">
        <v>134</v>
      </c>
      <c r="H1312">
        <v>23</v>
      </c>
      <c r="I1312" s="122" t="s">
        <v>1546</v>
      </c>
      <c r="J1312" s="307" t="s">
        <v>214</v>
      </c>
      <c r="K1312" s="127">
        <v>3</v>
      </c>
      <c r="L1312" s="151" t="s">
        <v>3306</v>
      </c>
      <c r="M1312">
        <v>343</v>
      </c>
      <c r="N1312" s="123">
        <v>1</v>
      </c>
      <c r="O1312">
        <v>794</v>
      </c>
      <c r="P1312" s="132" t="s">
        <v>77</v>
      </c>
      <c r="Q1312" s="131">
        <v>64.010000000000005</v>
      </c>
      <c r="R1312" s="131">
        <v>10.24</v>
      </c>
      <c r="S1312" s="131"/>
      <c r="T1312" s="155">
        <v>0</v>
      </c>
      <c r="U1312" s="131">
        <v>0</v>
      </c>
      <c r="V1312" s="131">
        <v>74.25</v>
      </c>
      <c r="W1312">
        <v>25</v>
      </c>
      <c r="X1312" s="151" t="s">
        <v>2024</v>
      </c>
      <c r="Y1312" s="135" t="s">
        <v>55</v>
      </c>
      <c r="Z1312" s="307">
        <v>233</v>
      </c>
      <c r="AB1312" t="str">
        <f>IF(Table1[[#This Row],[TIPO2]]="costo", VLOOKUP(Table1[[#This Row],[PARTIDA PRESUPUESTAL]],'Cost Report'!G:G,1,0),"Balance")</f>
        <v>3936-003</v>
      </c>
      <c r="AC1312" s="118"/>
      <c r="AD1312" s="159">
        <f>+Table1[[#This Row],[SUBTOTAL]]+Table1[[#This Row],[IVA]]-Table1[[#This Row],[RET IVA]]-Table1[[#This Row],[RET ISR]]-Table1[[#This Row],[TOTAL]]</f>
        <v>0</v>
      </c>
      <c r="AE1312" s="150"/>
      <c r="AF1312" s="151"/>
      <c r="AG1312" s="126"/>
      <c r="AH1312" s="115"/>
      <c r="AK1312" s="306" t="str">
        <f>IF(ISNUMBER(Table1[[#This Row],[FECHA DE RECIBIDO]]), Table1[[#This Row],[FECHA DE RECIBIDO]]-DATE(2023,8,30), "")</f>
        <v/>
      </c>
    </row>
    <row r="1313" spans="1:37" ht="16.05" customHeight="1">
      <c r="A1313" s="152" t="s">
        <v>3738</v>
      </c>
      <c r="B1313" s="153">
        <v>759</v>
      </c>
      <c r="C1313" s="126" t="s">
        <v>2836</v>
      </c>
      <c r="D1313">
        <v>787</v>
      </c>
      <c r="E1313" s="126" t="s">
        <v>2001</v>
      </c>
      <c r="F1313" s="125" t="s">
        <v>1607</v>
      </c>
      <c r="G1313" s="125" t="s">
        <v>134</v>
      </c>
      <c r="H1313">
        <v>23</v>
      </c>
      <c r="I1313" s="125" t="s">
        <v>1546</v>
      </c>
      <c r="J1313" s="308" t="s">
        <v>214</v>
      </c>
      <c r="K1313" s="127">
        <v>3</v>
      </c>
      <c r="L1313" s="153" t="s">
        <v>3306</v>
      </c>
      <c r="M1313">
        <v>343</v>
      </c>
      <c r="N1313" s="123">
        <v>1</v>
      </c>
      <c r="O1313">
        <v>795</v>
      </c>
      <c r="P1313" s="132" t="s">
        <v>77</v>
      </c>
      <c r="Q1313" s="132">
        <v>961.3</v>
      </c>
      <c r="R1313" s="132">
        <v>153.81</v>
      </c>
      <c r="S1313" s="132"/>
      <c r="T1313" s="156">
        <v>0</v>
      </c>
      <c r="U1313" s="132">
        <v>0</v>
      </c>
      <c r="V1313" s="132">
        <v>1115.1099999999999</v>
      </c>
      <c r="W1313">
        <v>25</v>
      </c>
      <c r="X1313" s="153" t="s">
        <v>2024</v>
      </c>
      <c r="Y1313" s="124" t="s">
        <v>55</v>
      </c>
      <c r="Z1313" s="308">
        <v>233</v>
      </c>
      <c r="AB1313" t="str">
        <f>IF(Table1[[#This Row],[TIPO2]]="costo", VLOOKUP(Table1[[#This Row],[PARTIDA PRESUPUESTAL]],'Cost Report'!G:G,1,0),"Balance")</f>
        <v>3442-025</v>
      </c>
      <c r="AC1313" s="118"/>
      <c r="AD1313" s="159">
        <f>+Table1[[#This Row],[SUBTOTAL]]+Table1[[#This Row],[IVA]]-Table1[[#This Row],[RET IVA]]-Table1[[#This Row],[RET ISR]]-Table1[[#This Row],[TOTAL]]</f>
        <v>0</v>
      </c>
      <c r="AE1313" s="152"/>
      <c r="AF1313" s="153"/>
      <c r="AG1313" s="126"/>
      <c r="AH1313" s="115"/>
      <c r="AK1313" s="306" t="str">
        <f>IF(ISNUMBER(Table1[[#This Row],[FECHA DE RECIBIDO]]), Table1[[#This Row],[FECHA DE RECIBIDO]]-DATE(2023,8,30), "")</f>
        <v/>
      </c>
    </row>
    <row r="1314" spans="1:37" ht="16.05" customHeight="1">
      <c r="A1314" s="150"/>
      <c r="B1314" s="151"/>
      <c r="C1314" s="126" t="s">
        <v>2836</v>
      </c>
      <c r="D1314">
        <v>787</v>
      </c>
      <c r="E1314" s="126" t="s">
        <v>2001</v>
      </c>
      <c r="F1314" s="122" t="s">
        <v>1607</v>
      </c>
      <c r="G1314" s="122" t="s">
        <v>134</v>
      </c>
      <c r="H1314">
        <v>23</v>
      </c>
      <c r="I1314" s="122" t="s">
        <v>1546</v>
      </c>
      <c r="J1314" s="307" t="s">
        <v>214</v>
      </c>
      <c r="K1314" s="127">
        <v>3</v>
      </c>
      <c r="L1314" s="151" t="s">
        <v>3306</v>
      </c>
      <c r="M1314">
        <v>343</v>
      </c>
      <c r="N1314" s="123">
        <v>1</v>
      </c>
      <c r="O1314">
        <v>795</v>
      </c>
      <c r="P1314" s="132" t="s">
        <v>77</v>
      </c>
      <c r="Q1314" s="131">
        <v>32.299999999999997</v>
      </c>
      <c r="R1314" s="131">
        <v>5.17</v>
      </c>
      <c r="S1314" s="131"/>
      <c r="T1314" s="155">
        <v>0</v>
      </c>
      <c r="U1314" s="131">
        <v>0</v>
      </c>
      <c r="V1314" s="131">
        <v>37.47</v>
      </c>
      <c r="W1314">
        <v>25</v>
      </c>
      <c r="X1314" s="151" t="s">
        <v>2024</v>
      </c>
      <c r="Y1314" s="135" t="s">
        <v>55</v>
      </c>
      <c r="Z1314" s="307">
        <v>233</v>
      </c>
      <c r="AB1314" t="str">
        <f>IF(Table1[[#This Row],[TIPO2]]="costo", VLOOKUP(Table1[[#This Row],[PARTIDA PRESUPUESTAL]],'Cost Report'!G:G,1,0),"Balance")</f>
        <v>3442-025</v>
      </c>
      <c r="AC1314" s="118"/>
      <c r="AD1314" s="159">
        <f>+Table1[[#This Row],[SUBTOTAL]]+Table1[[#This Row],[IVA]]-Table1[[#This Row],[RET IVA]]-Table1[[#This Row],[RET ISR]]-Table1[[#This Row],[TOTAL]]</f>
        <v>0</v>
      </c>
      <c r="AE1314" s="150"/>
      <c r="AF1314" s="151"/>
      <c r="AG1314" s="126"/>
      <c r="AH1314" s="115"/>
      <c r="AK1314" s="306" t="str">
        <f>IF(ISNUMBER(Table1[[#This Row],[FECHA DE RECIBIDO]]), Table1[[#This Row],[FECHA DE RECIBIDO]]-DATE(2023,8,30), "")</f>
        <v/>
      </c>
    </row>
    <row r="1315" spans="1:37" ht="16.05" customHeight="1">
      <c r="A1315" s="152"/>
      <c r="B1315" s="153"/>
      <c r="C1315" s="126" t="s">
        <v>2836</v>
      </c>
      <c r="D1315">
        <v>787</v>
      </c>
      <c r="E1315" s="126" t="s">
        <v>2001</v>
      </c>
      <c r="F1315" s="125" t="s">
        <v>1607</v>
      </c>
      <c r="G1315" s="125" t="s">
        <v>134</v>
      </c>
      <c r="H1315">
        <v>23</v>
      </c>
      <c r="I1315" s="125" t="s">
        <v>1546</v>
      </c>
      <c r="J1315" s="308" t="s">
        <v>214</v>
      </c>
      <c r="K1315" s="127">
        <v>3</v>
      </c>
      <c r="L1315" s="153" t="s">
        <v>3306</v>
      </c>
      <c r="M1315">
        <v>343</v>
      </c>
      <c r="N1315" s="123">
        <v>1</v>
      </c>
      <c r="O1315">
        <v>795</v>
      </c>
      <c r="P1315" s="132" t="s">
        <v>77</v>
      </c>
      <c r="Q1315" s="132">
        <v>32.299999999999997</v>
      </c>
      <c r="R1315" s="132">
        <v>5.17</v>
      </c>
      <c r="S1315" s="132"/>
      <c r="T1315" s="156">
        <v>0</v>
      </c>
      <c r="U1315" s="132">
        <v>0</v>
      </c>
      <c r="V1315" s="132">
        <v>37.47</v>
      </c>
      <c r="W1315">
        <v>25</v>
      </c>
      <c r="X1315" s="153" t="s">
        <v>2024</v>
      </c>
      <c r="Y1315" s="124" t="s">
        <v>55</v>
      </c>
      <c r="Z1315" s="308">
        <v>233</v>
      </c>
      <c r="AB1315" t="str">
        <f>IF(Table1[[#This Row],[TIPO2]]="costo", VLOOKUP(Table1[[#This Row],[PARTIDA PRESUPUESTAL]],'Cost Report'!G:G,1,0),"Balance")</f>
        <v>3442-025</v>
      </c>
      <c r="AC1315" s="118"/>
      <c r="AD1315" s="159">
        <f>+Table1[[#This Row],[SUBTOTAL]]+Table1[[#This Row],[IVA]]-Table1[[#This Row],[RET IVA]]-Table1[[#This Row],[RET ISR]]-Table1[[#This Row],[TOTAL]]</f>
        <v>0</v>
      </c>
      <c r="AE1315" s="152"/>
      <c r="AF1315" s="153"/>
      <c r="AG1315" s="126"/>
      <c r="AH1315" s="115"/>
      <c r="AK1315" s="306" t="str">
        <f>IF(ISNUMBER(Table1[[#This Row],[FECHA DE RECIBIDO]]), Table1[[#This Row],[FECHA DE RECIBIDO]]-DATE(2023,8,30), "")</f>
        <v/>
      </c>
    </row>
    <row r="1316" spans="1:37" ht="16.05" customHeight="1">
      <c r="A1316" s="150"/>
      <c r="B1316" s="151"/>
      <c r="C1316" s="126" t="s">
        <v>2836</v>
      </c>
      <c r="D1316">
        <v>787</v>
      </c>
      <c r="E1316" s="126" t="s">
        <v>2001</v>
      </c>
      <c r="F1316" s="122" t="s">
        <v>1607</v>
      </c>
      <c r="G1316" s="122" t="s">
        <v>134</v>
      </c>
      <c r="H1316">
        <v>23</v>
      </c>
      <c r="I1316" s="122" t="s">
        <v>1546</v>
      </c>
      <c r="J1316" s="307" t="s">
        <v>214</v>
      </c>
      <c r="K1316" s="127">
        <v>3</v>
      </c>
      <c r="L1316" s="151" t="s">
        <v>3306</v>
      </c>
      <c r="M1316">
        <v>343</v>
      </c>
      <c r="N1316" s="123">
        <v>1</v>
      </c>
      <c r="O1316">
        <v>795</v>
      </c>
      <c r="P1316" s="132" t="s">
        <v>77</v>
      </c>
      <c r="Q1316" s="131">
        <v>64.599999999999994</v>
      </c>
      <c r="R1316" s="131">
        <v>10.34</v>
      </c>
      <c r="S1316" s="131"/>
      <c r="T1316" s="155">
        <v>0</v>
      </c>
      <c r="U1316" s="131">
        <v>0</v>
      </c>
      <c r="V1316" s="131">
        <v>74.94</v>
      </c>
      <c r="W1316">
        <v>25</v>
      </c>
      <c r="X1316" s="151" t="s">
        <v>2024</v>
      </c>
      <c r="Y1316" s="135" t="s">
        <v>55</v>
      </c>
      <c r="Z1316" s="307">
        <v>233</v>
      </c>
      <c r="AB1316" t="str">
        <f>IF(Table1[[#This Row],[TIPO2]]="costo", VLOOKUP(Table1[[#This Row],[PARTIDA PRESUPUESTAL]],'Cost Report'!G:G,1,0),"Balance")</f>
        <v>3442-025</v>
      </c>
      <c r="AC1316" s="118"/>
      <c r="AD1316" s="159">
        <f>+Table1[[#This Row],[SUBTOTAL]]+Table1[[#This Row],[IVA]]-Table1[[#This Row],[RET IVA]]-Table1[[#This Row],[RET ISR]]-Table1[[#This Row],[TOTAL]]</f>
        <v>0</v>
      </c>
      <c r="AE1316" s="150"/>
      <c r="AF1316" s="151"/>
      <c r="AG1316" s="126"/>
      <c r="AH1316" s="115"/>
      <c r="AK1316" s="306" t="str">
        <f>IF(ISNUMBER(Table1[[#This Row],[FECHA DE RECIBIDO]]), Table1[[#This Row],[FECHA DE RECIBIDO]]-DATE(2023,8,30), "")</f>
        <v/>
      </c>
    </row>
    <row r="1317" spans="1:37" ht="16.05" customHeight="1">
      <c r="A1317" s="152"/>
      <c r="B1317" s="153"/>
      <c r="C1317" s="126" t="s">
        <v>2836</v>
      </c>
      <c r="D1317">
        <v>787</v>
      </c>
      <c r="E1317" s="126" t="s">
        <v>2001</v>
      </c>
      <c r="F1317" s="125" t="s">
        <v>1607</v>
      </c>
      <c r="G1317" s="125" t="s">
        <v>134</v>
      </c>
      <c r="H1317">
        <v>23</v>
      </c>
      <c r="I1317" s="125" t="s">
        <v>1546</v>
      </c>
      <c r="J1317" s="308" t="s">
        <v>214</v>
      </c>
      <c r="K1317" s="127">
        <v>3</v>
      </c>
      <c r="L1317" s="153" t="s">
        <v>3306</v>
      </c>
      <c r="M1317">
        <v>343</v>
      </c>
      <c r="N1317" s="123">
        <v>1</v>
      </c>
      <c r="O1317">
        <v>795</v>
      </c>
      <c r="P1317" s="132" t="s">
        <v>77</v>
      </c>
      <c r="Q1317" s="132">
        <v>1578.08</v>
      </c>
      <c r="R1317" s="132">
        <v>252.49</v>
      </c>
      <c r="S1317" s="132"/>
      <c r="T1317" s="156">
        <v>0</v>
      </c>
      <c r="U1317" s="132">
        <v>0</v>
      </c>
      <c r="V1317" s="132">
        <v>1830.57</v>
      </c>
      <c r="W1317">
        <v>25</v>
      </c>
      <c r="X1317" s="153" t="s">
        <v>2024</v>
      </c>
      <c r="Y1317" s="124" t="s">
        <v>55</v>
      </c>
      <c r="Z1317" s="308">
        <v>233</v>
      </c>
      <c r="AB1317" t="str">
        <f>IF(Table1[[#This Row],[TIPO2]]="costo", VLOOKUP(Table1[[#This Row],[PARTIDA PRESUPUESTAL]],'Cost Report'!G:G,1,0),"Balance")</f>
        <v>3442-025</v>
      </c>
      <c r="AC1317" s="118"/>
      <c r="AD1317" s="159">
        <f>+Table1[[#This Row],[SUBTOTAL]]+Table1[[#This Row],[IVA]]-Table1[[#This Row],[RET IVA]]-Table1[[#This Row],[RET ISR]]-Table1[[#This Row],[TOTAL]]</f>
        <v>0</v>
      </c>
      <c r="AE1317" s="152"/>
      <c r="AF1317" s="153"/>
      <c r="AG1317" s="126"/>
      <c r="AH1317" s="115"/>
      <c r="AK1317" s="306" t="str">
        <f>IF(ISNUMBER(Table1[[#This Row],[FECHA DE RECIBIDO]]), Table1[[#This Row],[FECHA DE RECIBIDO]]-DATE(2023,8,30), "")</f>
        <v/>
      </c>
    </row>
    <row r="1318" spans="1:37" ht="16.05" customHeight="1">
      <c r="A1318" s="150"/>
      <c r="B1318" s="151"/>
      <c r="C1318" s="126" t="s">
        <v>2838</v>
      </c>
      <c r="D1318">
        <v>787</v>
      </c>
      <c r="E1318" s="126" t="s">
        <v>2001</v>
      </c>
      <c r="F1318" s="122" t="s">
        <v>1607</v>
      </c>
      <c r="G1318" s="122" t="s">
        <v>134</v>
      </c>
      <c r="H1318">
        <v>23</v>
      </c>
      <c r="I1318" s="122" t="s">
        <v>1546</v>
      </c>
      <c r="J1318" s="307" t="s">
        <v>214</v>
      </c>
      <c r="K1318" s="127">
        <v>3</v>
      </c>
      <c r="L1318" s="151" t="s">
        <v>3306</v>
      </c>
      <c r="M1318">
        <v>343</v>
      </c>
      <c r="N1318" s="123">
        <v>1</v>
      </c>
      <c r="O1318">
        <v>795</v>
      </c>
      <c r="P1318" s="132" t="s">
        <v>77</v>
      </c>
      <c r="Q1318" s="131">
        <v>213.57</v>
      </c>
      <c r="R1318" s="131">
        <v>34.17</v>
      </c>
      <c r="S1318" s="131"/>
      <c r="T1318" s="155">
        <v>0</v>
      </c>
      <c r="U1318" s="131">
        <v>0</v>
      </c>
      <c r="V1318" s="131">
        <v>247.74</v>
      </c>
      <c r="W1318">
        <v>25</v>
      </c>
      <c r="X1318" s="151" t="s">
        <v>2024</v>
      </c>
      <c r="Y1318" s="135" t="s">
        <v>55</v>
      </c>
      <c r="Z1318" s="307">
        <v>233</v>
      </c>
      <c r="AB1318" t="str">
        <f>IF(Table1[[#This Row],[TIPO2]]="costo", VLOOKUP(Table1[[#This Row],[PARTIDA PRESUPUESTAL]],'Cost Report'!G:G,1,0),"Balance")</f>
        <v>3442-029</v>
      </c>
      <c r="AC1318" s="118"/>
      <c r="AD1318" s="159">
        <f>+Table1[[#This Row],[SUBTOTAL]]+Table1[[#This Row],[IVA]]-Table1[[#This Row],[RET IVA]]-Table1[[#This Row],[RET ISR]]-Table1[[#This Row],[TOTAL]]</f>
        <v>0</v>
      </c>
      <c r="AE1318" s="150"/>
      <c r="AF1318" s="151"/>
      <c r="AG1318" s="126"/>
      <c r="AH1318" s="115"/>
      <c r="AK1318" s="306" t="str">
        <f>IF(ISNUMBER(Table1[[#This Row],[FECHA DE RECIBIDO]]), Table1[[#This Row],[FECHA DE RECIBIDO]]-DATE(2023,8,30), "")</f>
        <v/>
      </c>
    </row>
    <row r="1319" spans="1:37" ht="16.05" customHeight="1">
      <c r="A1319" s="152"/>
      <c r="B1319" s="153"/>
      <c r="C1319" s="126" t="s">
        <v>2836</v>
      </c>
      <c r="D1319">
        <v>787</v>
      </c>
      <c r="E1319" s="126" t="s">
        <v>2001</v>
      </c>
      <c r="F1319" s="125" t="s">
        <v>1607</v>
      </c>
      <c r="G1319" s="125" t="s">
        <v>134</v>
      </c>
      <c r="H1319">
        <v>23</v>
      </c>
      <c r="I1319" s="125" t="s">
        <v>1546</v>
      </c>
      <c r="J1319" s="308" t="s">
        <v>214</v>
      </c>
      <c r="K1319" s="127">
        <v>3</v>
      </c>
      <c r="L1319" s="153" t="s">
        <v>3306</v>
      </c>
      <c r="M1319">
        <v>343</v>
      </c>
      <c r="N1319" s="123">
        <v>1</v>
      </c>
      <c r="O1319">
        <v>795</v>
      </c>
      <c r="P1319" s="132" t="s">
        <v>77</v>
      </c>
      <c r="Q1319" s="132">
        <v>622.91999999999996</v>
      </c>
      <c r="R1319" s="132">
        <v>99.67</v>
      </c>
      <c r="S1319" s="132"/>
      <c r="T1319" s="156">
        <v>0</v>
      </c>
      <c r="U1319" s="132">
        <v>0</v>
      </c>
      <c r="V1319" s="132">
        <v>722.58999999999992</v>
      </c>
      <c r="W1319">
        <v>25</v>
      </c>
      <c r="X1319" s="153" t="s">
        <v>2024</v>
      </c>
      <c r="Y1319" s="124" t="s">
        <v>55</v>
      </c>
      <c r="Z1319" s="308">
        <v>233</v>
      </c>
      <c r="AB1319" t="str">
        <f>IF(Table1[[#This Row],[TIPO2]]="costo", VLOOKUP(Table1[[#This Row],[PARTIDA PRESUPUESTAL]],'Cost Report'!G:G,1,0),"Balance")</f>
        <v>3442-025</v>
      </c>
      <c r="AC1319" s="118"/>
      <c r="AD1319" s="159">
        <f>+Table1[[#This Row],[SUBTOTAL]]+Table1[[#This Row],[IVA]]-Table1[[#This Row],[RET IVA]]-Table1[[#This Row],[RET ISR]]-Table1[[#This Row],[TOTAL]]</f>
        <v>0</v>
      </c>
      <c r="AE1319" s="152"/>
      <c r="AF1319" s="153"/>
      <c r="AG1319" s="126"/>
      <c r="AH1319" s="115"/>
      <c r="AK1319" s="306" t="str">
        <f>IF(ISNUMBER(Table1[[#This Row],[FECHA DE RECIBIDO]]), Table1[[#This Row],[FECHA DE RECIBIDO]]-DATE(2023,8,30), "")</f>
        <v/>
      </c>
    </row>
    <row r="1320" spans="1:37" ht="16.05" customHeight="1">
      <c r="A1320" s="150"/>
      <c r="B1320" s="151"/>
      <c r="C1320" s="126" t="s">
        <v>2838</v>
      </c>
      <c r="D1320">
        <v>787</v>
      </c>
      <c r="E1320" s="126" t="s">
        <v>2001</v>
      </c>
      <c r="F1320" s="122" t="s">
        <v>1607</v>
      </c>
      <c r="G1320" s="122" t="s">
        <v>134</v>
      </c>
      <c r="H1320">
        <v>23</v>
      </c>
      <c r="I1320" s="122" t="s">
        <v>1546</v>
      </c>
      <c r="J1320" s="307" t="s">
        <v>214</v>
      </c>
      <c r="K1320" s="127">
        <v>3</v>
      </c>
      <c r="L1320" s="151" t="s">
        <v>3306</v>
      </c>
      <c r="M1320">
        <v>343</v>
      </c>
      <c r="N1320" s="123">
        <v>1</v>
      </c>
      <c r="O1320">
        <v>795</v>
      </c>
      <c r="P1320" s="132" t="s">
        <v>77</v>
      </c>
      <c r="Q1320" s="131">
        <v>94.92</v>
      </c>
      <c r="R1320" s="131">
        <v>15.19</v>
      </c>
      <c r="S1320" s="131"/>
      <c r="T1320" s="155">
        <v>0</v>
      </c>
      <c r="U1320" s="131">
        <v>0</v>
      </c>
      <c r="V1320" s="131">
        <v>110.11</v>
      </c>
      <c r="W1320">
        <v>25</v>
      </c>
      <c r="X1320" s="151" t="s">
        <v>2024</v>
      </c>
      <c r="Y1320" s="135" t="s">
        <v>55</v>
      </c>
      <c r="Z1320" s="307">
        <v>233</v>
      </c>
      <c r="AB1320" t="str">
        <f>IF(Table1[[#This Row],[TIPO2]]="costo", VLOOKUP(Table1[[#This Row],[PARTIDA PRESUPUESTAL]],'Cost Report'!G:G,1,0),"Balance")</f>
        <v>3442-029</v>
      </c>
      <c r="AC1320" s="118"/>
      <c r="AD1320" s="159">
        <f>+Table1[[#This Row],[SUBTOTAL]]+Table1[[#This Row],[IVA]]-Table1[[#This Row],[RET IVA]]-Table1[[#This Row],[RET ISR]]-Table1[[#This Row],[TOTAL]]</f>
        <v>0</v>
      </c>
      <c r="AE1320" s="150"/>
      <c r="AF1320" s="151"/>
      <c r="AG1320" s="126"/>
      <c r="AH1320" s="115"/>
      <c r="AK1320" s="306" t="str">
        <f>IF(ISNUMBER(Table1[[#This Row],[FECHA DE RECIBIDO]]), Table1[[#This Row],[FECHA DE RECIBIDO]]-DATE(2023,8,30), "")</f>
        <v/>
      </c>
    </row>
    <row r="1321" spans="1:37" ht="16.05" customHeight="1">
      <c r="A1321" s="152" t="s">
        <v>3323</v>
      </c>
      <c r="B1321" s="153">
        <v>456</v>
      </c>
      <c r="C1321" s="126" t="s">
        <v>3002</v>
      </c>
      <c r="D1321">
        <v>788</v>
      </c>
      <c r="E1321" s="126">
        <v>44690</v>
      </c>
      <c r="F1321" s="125" t="s">
        <v>1607</v>
      </c>
      <c r="G1321" s="125" t="s">
        <v>134</v>
      </c>
      <c r="H1321">
        <v>259</v>
      </c>
      <c r="I1321" s="125" t="s">
        <v>1546</v>
      </c>
      <c r="J1321" s="308">
        <v>215.67646990740468</v>
      </c>
      <c r="K1321" s="127" t="s">
        <v>3348</v>
      </c>
      <c r="L1321" s="153" t="s">
        <v>3306</v>
      </c>
      <c r="M1321">
        <v>344</v>
      </c>
      <c r="N1321" s="123">
        <v>24</v>
      </c>
      <c r="O1321">
        <v>796</v>
      </c>
      <c r="P1321" s="132" t="s">
        <v>77</v>
      </c>
      <c r="Q1321" s="132">
        <v>180000</v>
      </c>
      <c r="R1321" s="132">
        <f t="shared" si="33"/>
        <v>28800</v>
      </c>
      <c r="S1321" s="132"/>
      <c r="T1321" s="156">
        <v>0</v>
      </c>
      <c r="U1321" s="132">
        <v>0</v>
      </c>
      <c r="V1321" s="132">
        <f t="shared" si="32"/>
        <v>208800</v>
      </c>
      <c r="W1321">
        <v>158</v>
      </c>
      <c r="X1321" s="153" t="s">
        <v>2035</v>
      </c>
      <c r="Y1321" s="124" t="s">
        <v>55</v>
      </c>
      <c r="Z1321" s="308">
        <v>219</v>
      </c>
      <c r="AB1321" t="str">
        <f>IF(Table1[[#This Row],[TIPO2]]="costo", VLOOKUP(Table1[[#This Row],[PARTIDA PRESUPUESTAL]],'Cost Report'!G:G,1,0),"Balance")</f>
        <v>4180-003</v>
      </c>
      <c r="AC1321" s="118"/>
      <c r="AD1321" s="159">
        <f>+Table1[[#This Row],[SUBTOTAL]]+Table1[[#This Row],[IVA]]-Table1[[#This Row],[RET IVA]]-Table1[[#This Row],[RET ISR]]-Table1[[#This Row],[TOTAL]]</f>
        <v>0</v>
      </c>
      <c r="AE1321" s="152"/>
      <c r="AF1321" s="153"/>
      <c r="AG1321" s="126"/>
      <c r="AH1321" s="115"/>
      <c r="AK1321" s="306">
        <f>IF(ISNUMBER(Table1[[#This Row],[FECHA DE RECIBIDO]]), Table1[[#This Row],[FECHA DE RECIBIDO]]-DATE(2023,8,30), "")</f>
        <v>-44952.323530092595</v>
      </c>
    </row>
    <row r="1322" spans="1:37" ht="16.05" customHeight="1">
      <c r="A1322" s="150" t="s">
        <v>3324</v>
      </c>
      <c r="B1322" s="151">
        <v>457</v>
      </c>
      <c r="C1322" s="126" t="s">
        <v>989</v>
      </c>
      <c r="D1322">
        <v>789</v>
      </c>
      <c r="E1322" s="126">
        <v>44140</v>
      </c>
      <c r="F1322" s="122">
        <v>606</v>
      </c>
      <c r="G1322" s="122" t="s">
        <v>3297</v>
      </c>
      <c r="H1322">
        <v>260</v>
      </c>
      <c r="I1322" s="122" t="s">
        <v>1546</v>
      </c>
      <c r="J1322" s="307">
        <v>215.41726851851854</v>
      </c>
      <c r="K1322" s="127" t="s">
        <v>3348</v>
      </c>
      <c r="L1322" s="151" t="s">
        <v>3306</v>
      </c>
      <c r="M1322">
        <v>345</v>
      </c>
      <c r="N1322" s="123">
        <v>24</v>
      </c>
      <c r="O1322">
        <v>797</v>
      </c>
      <c r="P1322" s="132" t="s">
        <v>77</v>
      </c>
      <c r="Q1322" s="131">
        <v>280000</v>
      </c>
      <c r="R1322" s="131">
        <f t="shared" si="33"/>
        <v>44800</v>
      </c>
      <c r="S1322" s="131">
        <v>0</v>
      </c>
      <c r="T1322" s="155">
        <f>Q1322*0.106667</f>
        <v>29866.76</v>
      </c>
      <c r="U1322" s="131">
        <f>Q1322*0.1</f>
        <v>28000</v>
      </c>
      <c r="V1322" s="131">
        <f>Q1322+R1322-T1322-U1322+S1322</f>
        <v>266933.24</v>
      </c>
      <c r="W1322">
        <v>159</v>
      </c>
      <c r="X1322" s="151" t="s">
        <v>2035</v>
      </c>
      <c r="Y1322" s="135" t="s">
        <v>55</v>
      </c>
      <c r="Z1322" s="307">
        <v>219</v>
      </c>
      <c r="AB1322" t="str">
        <f>IF(Table1[[#This Row],[TIPO2]]="costo", VLOOKUP(Table1[[#This Row],[PARTIDA PRESUPUESTAL]],'Cost Report'!G:G,1,0),"Balance")</f>
        <v>3412-015</v>
      </c>
      <c r="AC1322" s="118"/>
      <c r="AD1322" s="159">
        <f>+Table1[[#This Row],[SUBTOTAL]]+Table1[[#This Row],[IVA]]-Table1[[#This Row],[RET IVA]]-Table1[[#This Row],[RET ISR]]-Table1[[#This Row],[TOTAL]]</f>
        <v>0</v>
      </c>
      <c r="AE1322" s="150"/>
      <c r="AF1322" s="151"/>
      <c r="AG1322" s="126"/>
      <c r="AH1322" s="115"/>
      <c r="AK1322" s="306">
        <f>IF(ISNUMBER(Table1[[#This Row],[FECHA DE RECIBIDO]]), Table1[[#This Row],[FECHA DE RECIBIDO]]-DATE(2023,8,30), "")</f>
        <v>-44952.582731481481</v>
      </c>
    </row>
    <row r="1323" spans="1:37" ht="16.05" customHeight="1">
      <c r="A1323" s="152" t="s">
        <v>3325</v>
      </c>
      <c r="B1323" s="153">
        <v>458</v>
      </c>
      <c r="C1323" s="126" t="s">
        <v>987</v>
      </c>
      <c r="D1323">
        <v>790</v>
      </c>
      <c r="E1323" s="126">
        <v>44690</v>
      </c>
      <c r="F1323" s="125" t="s">
        <v>1607</v>
      </c>
      <c r="G1323" s="125" t="s">
        <v>134</v>
      </c>
      <c r="H1323">
        <v>259</v>
      </c>
      <c r="I1323" s="125" t="s">
        <v>1546</v>
      </c>
      <c r="J1323" s="308">
        <v>215.566550925927</v>
      </c>
      <c r="K1323" s="127" t="s">
        <v>3348</v>
      </c>
      <c r="L1323" s="153" t="s">
        <v>3306</v>
      </c>
      <c r="M1323">
        <v>344</v>
      </c>
      <c r="N1323" s="123">
        <v>24</v>
      </c>
      <c r="O1323">
        <v>798</v>
      </c>
      <c r="P1323" s="132" t="s">
        <v>77</v>
      </c>
      <c r="Q1323" s="132">
        <v>228400</v>
      </c>
      <c r="R1323" s="132">
        <f t="shared" si="33"/>
        <v>36544</v>
      </c>
      <c r="S1323" s="132"/>
      <c r="T1323" s="156">
        <v>0</v>
      </c>
      <c r="U1323" s="132">
        <v>0</v>
      </c>
      <c r="V1323" s="132">
        <f t="shared" ref="V1323:V1327" si="34">Q1323+R1323-T1323-U1323</f>
        <v>264944</v>
      </c>
      <c r="W1323">
        <v>158</v>
      </c>
      <c r="X1323" s="153" t="s">
        <v>2035</v>
      </c>
      <c r="Y1323" s="124" t="s">
        <v>55</v>
      </c>
      <c r="Z1323" s="308">
        <v>219</v>
      </c>
      <c r="AB1323" t="str">
        <f>IF(Table1[[#This Row],[TIPO2]]="costo", VLOOKUP(Table1[[#This Row],[PARTIDA PRESUPUESTAL]],'Cost Report'!G:G,1,0),"Balance")</f>
        <v>3412-011</v>
      </c>
      <c r="AC1323" s="118"/>
      <c r="AD1323" s="159">
        <f>+Table1[[#This Row],[SUBTOTAL]]+Table1[[#This Row],[IVA]]-Table1[[#This Row],[RET IVA]]-Table1[[#This Row],[RET ISR]]-Table1[[#This Row],[TOTAL]]</f>
        <v>0</v>
      </c>
      <c r="AE1323" s="152"/>
      <c r="AF1323" s="153"/>
      <c r="AG1323" s="126"/>
      <c r="AH1323" s="115"/>
      <c r="AK1323" s="306">
        <f>IF(ISNUMBER(Table1[[#This Row],[FECHA DE RECIBIDO]]), Table1[[#This Row],[FECHA DE RECIBIDO]]-DATE(2023,8,30), "")</f>
        <v>-44952.433449074073</v>
      </c>
    </row>
    <row r="1324" spans="1:37" ht="16.05" customHeight="1">
      <c r="A1324" s="150" t="s">
        <v>3326</v>
      </c>
      <c r="B1324" s="151">
        <v>459</v>
      </c>
      <c r="C1324" s="126" t="s">
        <v>2824</v>
      </c>
      <c r="D1324">
        <v>791</v>
      </c>
      <c r="E1324" s="126">
        <v>44690</v>
      </c>
      <c r="F1324" s="122" t="s">
        <v>1607</v>
      </c>
      <c r="G1324" s="122" t="s">
        <v>134</v>
      </c>
      <c r="H1324">
        <v>259</v>
      </c>
      <c r="I1324" s="122" t="s">
        <v>1546</v>
      </c>
      <c r="J1324" s="307">
        <v>215.69462962963007</v>
      </c>
      <c r="K1324" s="127" t="s">
        <v>3348</v>
      </c>
      <c r="L1324" s="151" t="s">
        <v>3306</v>
      </c>
      <c r="M1324">
        <v>344</v>
      </c>
      <c r="N1324" s="123">
        <v>24</v>
      </c>
      <c r="O1324">
        <v>799</v>
      </c>
      <c r="P1324" s="132" t="s">
        <v>77</v>
      </c>
      <c r="Q1324" s="131">
        <v>16070</v>
      </c>
      <c r="R1324" s="131">
        <f t="shared" si="33"/>
        <v>2571.2000000000003</v>
      </c>
      <c r="S1324" s="131"/>
      <c r="T1324" s="155">
        <v>0</v>
      </c>
      <c r="U1324" s="131">
        <v>0</v>
      </c>
      <c r="V1324" s="131">
        <f t="shared" si="34"/>
        <v>18641.2</v>
      </c>
      <c r="W1324">
        <v>158</v>
      </c>
      <c r="X1324" s="151" t="s">
        <v>2035</v>
      </c>
      <c r="Y1324" s="135" t="s">
        <v>55</v>
      </c>
      <c r="Z1324" s="307">
        <v>219</v>
      </c>
      <c r="AB1324" t="str">
        <f>IF(Table1[[#This Row],[TIPO2]]="costo", VLOOKUP(Table1[[#This Row],[PARTIDA PRESUPUESTAL]],'Cost Report'!G:G,1,0),"Balance")</f>
        <v>3412-131</v>
      </c>
      <c r="AC1324" s="118"/>
      <c r="AD1324" s="159">
        <f>+Table1[[#This Row],[SUBTOTAL]]+Table1[[#This Row],[IVA]]-Table1[[#This Row],[RET IVA]]-Table1[[#This Row],[RET ISR]]-Table1[[#This Row],[TOTAL]]</f>
        <v>0</v>
      </c>
      <c r="AE1324" s="150"/>
      <c r="AF1324" s="151"/>
      <c r="AG1324" s="126"/>
      <c r="AH1324" s="115"/>
      <c r="AK1324" s="306">
        <f>IF(ISNUMBER(Table1[[#This Row],[FECHA DE RECIBIDO]]), Table1[[#This Row],[FECHA DE RECIBIDO]]-DATE(2023,8,30), "")</f>
        <v>-44952.30537037037</v>
      </c>
    </row>
    <row r="1325" spans="1:37" ht="16.05" customHeight="1">
      <c r="A1325" s="152" t="s">
        <v>3327</v>
      </c>
      <c r="B1325" s="153">
        <v>460</v>
      </c>
      <c r="C1325" s="126" t="s">
        <v>2348</v>
      </c>
      <c r="D1325">
        <v>792</v>
      </c>
      <c r="E1325" s="126">
        <v>44690</v>
      </c>
      <c r="F1325" s="125" t="s">
        <v>1607</v>
      </c>
      <c r="G1325" s="125" t="s">
        <v>134</v>
      </c>
      <c r="H1325">
        <v>259</v>
      </c>
      <c r="I1325" s="125" t="s">
        <v>1546</v>
      </c>
      <c r="J1325" s="308">
        <v>215.69553240740788</v>
      </c>
      <c r="K1325" s="127" t="s">
        <v>3348</v>
      </c>
      <c r="L1325" s="153" t="s">
        <v>3306</v>
      </c>
      <c r="M1325">
        <v>344</v>
      </c>
      <c r="N1325" s="123">
        <v>24</v>
      </c>
      <c r="O1325">
        <v>800</v>
      </c>
      <c r="P1325" s="132" t="s">
        <v>77</v>
      </c>
      <c r="Q1325" s="132">
        <v>20000</v>
      </c>
      <c r="R1325" s="132">
        <f t="shared" si="33"/>
        <v>3200</v>
      </c>
      <c r="S1325" s="132"/>
      <c r="T1325" s="156">
        <v>0</v>
      </c>
      <c r="U1325" s="132">
        <v>0</v>
      </c>
      <c r="V1325" s="132">
        <f t="shared" si="34"/>
        <v>23200</v>
      </c>
      <c r="W1325">
        <v>158</v>
      </c>
      <c r="X1325" s="153" t="s">
        <v>2035</v>
      </c>
      <c r="Y1325" s="124" t="s">
        <v>55</v>
      </c>
      <c r="Z1325" s="308">
        <v>219</v>
      </c>
      <c r="AB1325" t="str">
        <f>IF(Table1[[#This Row],[TIPO2]]="costo", VLOOKUP(Table1[[#This Row],[PARTIDA PRESUPUESTAL]],'Cost Report'!G:G,1,0),"Balance")</f>
        <v>1631-013</v>
      </c>
      <c r="AC1325" s="118"/>
      <c r="AD1325" s="159">
        <f>+Table1[[#This Row],[SUBTOTAL]]+Table1[[#This Row],[IVA]]-Table1[[#This Row],[RET IVA]]-Table1[[#This Row],[RET ISR]]-Table1[[#This Row],[TOTAL]]</f>
        <v>0</v>
      </c>
      <c r="AE1325" s="152"/>
      <c r="AF1325" s="153"/>
      <c r="AG1325" s="126"/>
      <c r="AH1325" s="115"/>
      <c r="AK1325" s="306">
        <f>IF(ISNUMBER(Table1[[#This Row],[FECHA DE RECIBIDO]]), Table1[[#This Row],[FECHA DE RECIBIDO]]-DATE(2023,8,30), "")</f>
        <v>-44952.304467592592</v>
      </c>
    </row>
    <row r="1326" spans="1:37" ht="16.05" customHeight="1">
      <c r="A1326" s="150" t="s">
        <v>3328</v>
      </c>
      <c r="B1326" s="151">
        <v>461</v>
      </c>
      <c r="C1326" s="126" t="s">
        <v>2824</v>
      </c>
      <c r="D1326">
        <v>793</v>
      </c>
      <c r="E1326" s="126">
        <v>44690</v>
      </c>
      <c r="F1326" s="122" t="s">
        <v>1607</v>
      </c>
      <c r="G1326" s="122" t="s">
        <v>134</v>
      </c>
      <c r="H1326">
        <v>259</v>
      </c>
      <c r="I1326" s="122" t="s">
        <v>1546</v>
      </c>
      <c r="J1326" s="307">
        <v>215.69660879629373</v>
      </c>
      <c r="K1326" s="127" t="s">
        <v>3348</v>
      </c>
      <c r="L1326" s="151" t="s">
        <v>3306</v>
      </c>
      <c r="M1326">
        <v>344</v>
      </c>
      <c r="N1326" s="123">
        <v>24</v>
      </c>
      <c r="O1326">
        <v>801</v>
      </c>
      <c r="P1326" s="132" t="s">
        <v>77</v>
      </c>
      <c r="Q1326" s="131">
        <v>3900</v>
      </c>
      <c r="R1326" s="131">
        <f t="shared" si="33"/>
        <v>624</v>
      </c>
      <c r="S1326" s="131"/>
      <c r="T1326" s="155">
        <v>0</v>
      </c>
      <c r="U1326" s="131">
        <v>0</v>
      </c>
      <c r="V1326" s="131">
        <f t="shared" si="34"/>
        <v>4524</v>
      </c>
      <c r="W1326">
        <v>158</v>
      </c>
      <c r="X1326" s="151" t="s">
        <v>2035</v>
      </c>
      <c r="Y1326" s="135" t="s">
        <v>55</v>
      </c>
      <c r="Z1326" s="307">
        <v>219</v>
      </c>
      <c r="AB1326" t="str">
        <f>IF(Table1[[#This Row],[TIPO2]]="costo", VLOOKUP(Table1[[#This Row],[PARTIDA PRESUPUESTAL]],'Cost Report'!G:G,1,0),"Balance")</f>
        <v>3412-131</v>
      </c>
      <c r="AC1326" s="118"/>
      <c r="AD1326" s="159">
        <f>+Table1[[#This Row],[SUBTOTAL]]+Table1[[#This Row],[IVA]]-Table1[[#This Row],[RET IVA]]-Table1[[#This Row],[RET ISR]]-Table1[[#This Row],[TOTAL]]</f>
        <v>0</v>
      </c>
      <c r="AE1326" s="150"/>
      <c r="AF1326" s="151"/>
      <c r="AG1326" s="126"/>
      <c r="AH1326" s="115"/>
      <c r="AK1326" s="306">
        <f>IF(ISNUMBER(Table1[[#This Row],[FECHA DE RECIBIDO]]), Table1[[#This Row],[FECHA DE RECIBIDO]]-DATE(2023,8,30), "")</f>
        <v>-44952.303391203706</v>
      </c>
    </row>
    <row r="1327" spans="1:37" ht="16.05" customHeight="1">
      <c r="A1327" s="152" t="s">
        <v>3329</v>
      </c>
      <c r="B1327" s="153">
        <v>462</v>
      </c>
      <c r="C1327" s="126" t="s">
        <v>2781</v>
      </c>
      <c r="D1327">
        <v>794</v>
      </c>
      <c r="E1327" s="126">
        <v>44690</v>
      </c>
      <c r="F1327" s="125" t="s">
        <v>1607</v>
      </c>
      <c r="G1327" s="125" t="s">
        <v>134</v>
      </c>
      <c r="H1327">
        <v>259</v>
      </c>
      <c r="I1327" s="125" t="s">
        <v>1546</v>
      </c>
      <c r="J1327" s="308">
        <v>215.69810185184906</v>
      </c>
      <c r="K1327" s="127" t="s">
        <v>3348</v>
      </c>
      <c r="L1327" s="153" t="s">
        <v>3306</v>
      </c>
      <c r="M1327">
        <v>344</v>
      </c>
      <c r="N1327" s="123">
        <v>24</v>
      </c>
      <c r="O1327">
        <v>802</v>
      </c>
      <c r="P1327" s="132" t="s">
        <v>77</v>
      </c>
      <c r="Q1327" s="132">
        <v>16500</v>
      </c>
      <c r="R1327" s="132">
        <f t="shared" si="33"/>
        <v>2640</v>
      </c>
      <c r="S1327" s="132"/>
      <c r="T1327" s="156">
        <v>0</v>
      </c>
      <c r="U1327" s="132">
        <v>0</v>
      </c>
      <c r="V1327" s="132">
        <f t="shared" si="34"/>
        <v>19140</v>
      </c>
      <c r="W1327">
        <v>158</v>
      </c>
      <c r="X1327" s="153" t="s">
        <v>2035</v>
      </c>
      <c r="Y1327" s="124" t="s">
        <v>55</v>
      </c>
      <c r="Z1327" s="308">
        <v>219</v>
      </c>
      <c r="AB1327" t="str">
        <f>IF(Table1[[#This Row],[TIPO2]]="costo", VLOOKUP(Table1[[#This Row],[PARTIDA PRESUPUESTAL]],'Cost Report'!G:G,1,0),"Balance")</f>
        <v>3403-033</v>
      </c>
      <c r="AC1327" s="118"/>
      <c r="AD1327" s="159">
        <f>+Table1[[#This Row],[SUBTOTAL]]+Table1[[#This Row],[IVA]]-Table1[[#This Row],[RET IVA]]-Table1[[#This Row],[RET ISR]]-Table1[[#This Row],[TOTAL]]</f>
        <v>0</v>
      </c>
      <c r="AE1327" s="152"/>
      <c r="AF1327" s="153"/>
      <c r="AG1327" s="126"/>
      <c r="AH1327" s="115"/>
      <c r="AK1327" s="306">
        <f>IF(ISNUMBER(Table1[[#This Row],[FECHA DE RECIBIDO]]), Table1[[#This Row],[FECHA DE RECIBIDO]]-DATE(2023,8,30), "")</f>
        <v>-44952.301898148151</v>
      </c>
    </row>
    <row r="1328" spans="1:37" ht="16.05" customHeight="1">
      <c r="A1328" s="150" t="s">
        <v>3330</v>
      </c>
      <c r="B1328" s="151">
        <v>463</v>
      </c>
      <c r="C1328" s="126" t="s">
        <v>983</v>
      </c>
      <c r="D1328"/>
      <c r="E1328" s="126" t="s">
        <v>1911</v>
      </c>
      <c r="F1328" s="122" t="s">
        <v>1911</v>
      </c>
      <c r="G1328" s="122" t="s">
        <v>1911</v>
      </c>
      <c r="H1328"/>
      <c r="I1328" s="122" t="s">
        <v>1911</v>
      </c>
      <c r="J1328" s="307" t="s">
        <v>214</v>
      </c>
      <c r="K1328" s="127" t="s">
        <v>3348</v>
      </c>
      <c r="L1328" s="151" t="s">
        <v>3306</v>
      </c>
      <c r="M1328">
        <v>346</v>
      </c>
      <c r="N1328" s="123">
        <v>24</v>
      </c>
      <c r="O1328">
        <v>803</v>
      </c>
      <c r="P1328" s="132" t="s">
        <v>77</v>
      </c>
      <c r="Q1328" s="131">
        <f>26680.346</f>
        <v>26680.346000000001</v>
      </c>
      <c r="R1328" s="131">
        <f t="shared" si="33"/>
        <v>4268.8553600000005</v>
      </c>
      <c r="S1328" s="131"/>
      <c r="T1328" s="155">
        <v>0</v>
      </c>
      <c r="U1328" s="131">
        <v>0</v>
      </c>
      <c r="V1328" s="131">
        <f>Q1328+R1328-T1328-U1328+S1328</f>
        <v>30949.201360000003</v>
      </c>
      <c r="W1328">
        <v>160</v>
      </c>
      <c r="X1328" s="151" t="s">
        <v>195</v>
      </c>
      <c r="Y1328" s="135" t="s">
        <v>55</v>
      </c>
      <c r="Z1328" s="307">
        <v>219</v>
      </c>
      <c r="AB1328" t="str">
        <f>IF(Table1[[#This Row],[TIPO2]]="costo", VLOOKUP(Table1[[#This Row],[PARTIDA PRESUPUESTAL]],'Cost Report'!G:G,1,0),"Balance")</f>
        <v>3412-003</v>
      </c>
      <c r="AC1328" s="118"/>
      <c r="AD1328" s="159">
        <f>+Table1[[#This Row],[SUBTOTAL]]+Table1[[#This Row],[IVA]]-Table1[[#This Row],[RET IVA]]-Table1[[#This Row],[RET ISR]]-Table1[[#This Row],[TOTAL]]</f>
        <v>0</v>
      </c>
      <c r="AE1328" s="150"/>
      <c r="AF1328" s="151"/>
      <c r="AG1328" s="126"/>
      <c r="AH1328" s="115"/>
      <c r="AK1328" s="306" t="str">
        <f>IF(ISNUMBER(Table1[[#This Row],[FECHA DE RECIBIDO]]), Table1[[#This Row],[FECHA DE RECIBIDO]]-DATE(2023,8,30), "")</f>
        <v/>
      </c>
    </row>
    <row r="1329" spans="1:37" ht="16.05" customHeight="1">
      <c r="A1329" s="152" t="s">
        <v>3331</v>
      </c>
      <c r="B1329" s="153">
        <v>464</v>
      </c>
      <c r="C1329" s="126" t="s">
        <v>985</v>
      </c>
      <c r="D1329">
        <v>795</v>
      </c>
      <c r="E1329" s="126">
        <v>44670</v>
      </c>
      <c r="F1329" s="125" t="s">
        <v>1607</v>
      </c>
      <c r="G1329" s="125" t="s">
        <v>134</v>
      </c>
      <c r="H1329">
        <v>251</v>
      </c>
      <c r="I1329" s="125" t="s">
        <v>1546</v>
      </c>
      <c r="J1329" s="308">
        <v>217.49356481481664</v>
      </c>
      <c r="K1329" s="127" t="s">
        <v>3348</v>
      </c>
      <c r="L1329" s="153" t="s">
        <v>3306</v>
      </c>
      <c r="M1329">
        <v>329</v>
      </c>
      <c r="N1329" s="123">
        <v>24</v>
      </c>
      <c r="O1329">
        <v>804</v>
      </c>
      <c r="P1329" s="132" t="s">
        <v>77</v>
      </c>
      <c r="Q1329" s="132">
        <v>250000</v>
      </c>
      <c r="R1329" s="132">
        <f t="shared" si="33"/>
        <v>40000</v>
      </c>
      <c r="S1329" s="132"/>
      <c r="T1329" s="156">
        <v>0</v>
      </c>
      <c r="U1329" s="132">
        <v>0</v>
      </c>
      <c r="V1329" s="132">
        <f t="shared" ref="V1329:V1347" si="35">Q1329+R1329-T1329-U1329</f>
        <v>290000</v>
      </c>
      <c r="W1329">
        <v>150</v>
      </c>
      <c r="X1329" s="153" t="s">
        <v>105</v>
      </c>
      <c r="Y1329" s="124" t="s">
        <v>55</v>
      </c>
      <c r="Z1329" s="308">
        <v>219</v>
      </c>
      <c r="AB1329" t="str">
        <f>IF(Table1[[#This Row],[TIPO2]]="costo", VLOOKUP(Table1[[#This Row],[PARTIDA PRESUPUESTAL]],'Cost Report'!G:G,1,0),"Balance")</f>
        <v>3412-007</v>
      </c>
      <c r="AC1329" s="118"/>
      <c r="AD1329" s="159">
        <f>+Table1[[#This Row],[SUBTOTAL]]+Table1[[#This Row],[IVA]]-Table1[[#This Row],[RET IVA]]-Table1[[#This Row],[RET ISR]]-Table1[[#This Row],[TOTAL]]</f>
        <v>0</v>
      </c>
      <c r="AE1329" s="152"/>
      <c r="AF1329" s="153"/>
      <c r="AG1329" s="126"/>
      <c r="AH1329" s="115"/>
      <c r="AK1329" s="306">
        <f>IF(ISNUMBER(Table1[[#This Row],[FECHA DE RECIBIDO]]), Table1[[#This Row],[FECHA DE RECIBIDO]]-DATE(2023,8,30), "")</f>
        <v>-44950.506435185183</v>
      </c>
    </row>
    <row r="1330" spans="1:37" ht="16.05" customHeight="1">
      <c r="A1330" s="150" t="s">
        <v>3332</v>
      </c>
      <c r="B1330" s="151">
        <v>465</v>
      </c>
      <c r="C1330" s="126" t="s">
        <v>1732</v>
      </c>
      <c r="D1330">
        <v>796</v>
      </c>
      <c r="E1330" s="126">
        <v>44600</v>
      </c>
      <c r="F1330" s="122" t="s">
        <v>1589</v>
      </c>
      <c r="G1330" s="122" t="s">
        <v>129</v>
      </c>
      <c r="H1330">
        <v>261</v>
      </c>
      <c r="I1330" s="122" t="s">
        <v>1546</v>
      </c>
      <c r="J1330" s="307">
        <v>215.42375000000175</v>
      </c>
      <c r="K1330" s="127" t="s">
        <v>3348</v>
      </c>
      <c r="L1330" s="151" t="s">
        <v>3306</v>
      </c>
      <c r="M1330">
        <v>347</v>
      </c>
      <c r="N1330" s="123">
        <v>51</v>
      </c>
      <c r="O1330">
        <v>805</v>
      </c>
      <c r="P1330" s="132" t="s">
        <v>77</v>
      </c>
      <c r="Q1330" s="131">
        <v>8730</v>
      </c>
      <c r="R1330" s="131">
        <f t="shared" si="33"/>
        <v>1396.8</v>
      </c>
      <c r="S1330" s="131"/>
      <c r="T1330" s="155">
        <f>Q1330*0.106667</f>
        <v>931.20290999999997</v>
      </c>
      <c r="U1330" s="131">
        <v>0</v>
      </c>
      <c r="V1330" s="131">
        <f t="shared" si="35"/>
        <v>9195.5970899999993</v>
      </c>
      <c r="W1330">
        <v>161</v>
      </c>
      <c r="X1330" s="151" t="s">
        <v>2035</v>
      </c>
      <c r="Y1330" s="135" t="s">
        <v>55</v>
      </c>
      <c r="Z1330" s="307">
        <v>219</v>
      </c>
      <c r="AB1330" t="str">
        <f>IF(Table1[[#This Row],[TIPO2]]="costo", VLOOKUP(Table1[[#This Row],[PARTIDA PRESUPUESTAL]],'Cost Report'!G:G,1,0),"Balance")</f>
        <v>2494-035</v>
      </c>
      <c r="AC1330" s="118"/>
      <c r="AD1330" s="159">
        <f>+Table1[[#This Row],[SUBTOTAL]]+Table1[[#This Row],[IVA]]-Table1[[#This Row],[RET IVA]]-Table1[[#This Row],[RET ISR]]-Table1[[#This Row],[TOTAL]]</f>
        <v>0</v>
      </c>
      <c r="AE1330" s="150"/>
      <c r="AF1330" s="151"/>
      <c r="AG1330" s="126"/>
      <c r="AH1330" s="115"/>
      <c r="AK1330" s="306">
        <f>IF(ISNUMBER(Table1[[#This Row],[FECHA DE RECIBIDO]]), Table1[[#This Row],[FECHA DE RECIBIDO]]-DATE(2023,8,30), "")</f>
        <v>-44952.576249999998</v>
      </c>
    </row>
    <row r="1331" spans="1:37" ht="16.05" customHeight="1">
      <c r="A1331" s="152" t="s">
        <v>3333</v>
      </c>
      <c r="B1331" s="153">
        <v>466</v>
      </c>
      <c r="C1331" s="126" t="s">
        <v>2566</v>
      </c>
      <c r="D1331">
        <v>797</v>
      </c>
      <c r="E1331" s="126">
        <v>44140</v>
      </c>
      <c r="F1331" s="125" t="s">
        <v>1589</v>
      </c>
      <c r="G1331" s="125" t="s">
        <v>129</v>
      </c>
      <c r="H1331">
        <v>212</v>
      </c>
      <c r="I1331" s="125" t="s">
        <v>1546</v>
      </c>
      <c r="J1331" s="308">
        <v>215.61184027777927</v>
      </c>
      <c r="K1331" s="127" t="s">
        <v>3348</v>
      </c>
      <c r="L1331" s="153" t="s">
        <v>3306</v>
      </c>
      <c r="M1331">
        <v>348</v>
      </c>
      <c r="N1331" s="123">
        <v>51</v>
      </c>
      <c r="O1331">
        <v>806</v>
      </c>
      <c r="P1331" s="132" t="s">
        <v>77</v>
      </c>
      <c r="Q1331" s="132">
        <v>29.59</v>
      </c>
      <c r="R1331" s="132">
        <f t="shared" si="33"/>
        <v>4.7343999999999999</v>
      </c>
      <c r="S1331" s="132"/>
      <c r="T1331" s="156">
        <v>0</v>
      </c>
      <c r="U1331" s="132">
        <v>0</v>
      </c>
      <c r="V1331" s="132">
        <f t="shared" si="35"/>
        <v>34.324399999999997</v>
      </c>
      <c r="W1331">
        <v>162</v>
      </c>
      <c r="X1331" s="153" t="s">
        <v>1912</v>
      </c>
      <c r="Y1331" s="124" t="s">
        <v>55</v>
      </c>
      <c r="Z1331" s="308">
        <v>219</v>
      </c>
      <c r="AB1331" t="str">
        <f>IF(Table1[[#This Row],[TIPO2]]="costo", VLOOKUP(Table1[[#This Row],[PARTIDA PRESUPUESTAL]],'Cost Report'!G:G,1,0),"Balance")</f>
        <v>2594-003</v>
      </c>
      <c r="AC1331" s="118"/>
      <c r="AD1331" s="159">
        <f>+Table1[[#This Row],[SUBTOTAL]]+Table1[[#This Row],[IVA]]-Table1[[#This Row],[RET IVA]]-Table1[[#This Row],[RET ISR]]-Table1[[#This Row],[TOTAL]]</f>
        <v>0</v>
      </c>
      <c r="AE1331" s="152"/>
      <c r="AF1331" s="153"/>
      <c r="AG1331" s="126"/>
      <c r="AH1331" s="115"/>
      <c r="AK1331" s="306">
        <f>IF(ISNUMBER(Table1[[#This Row],[FECHA DE RECIBIDO]]), Table1[[#This Row],[FECHA DE RECIBIDO]]-DATE(2023,8,30), "")</f>
        <v>-44952.388159722221</v>
      </c>
    </row>
    <row r="1332" spans="1:37" ht="16.05" customHeight="1">
      <c r="A1332" s="150" t="s">
        <v>3334</v>
      </c>
      <c r="B1332" s="151">
        <v>467</v>
      </c>
      <c r="C1332" s="126" t="s">
        <v>2534</v>
      </c>
      <c r="D1332">
        <v>798</v>
      </c>
      <c r="E1332" s="126">
        <v>44140</v>
      </c>
      <c r="F1332" s="122" t="s">
        <v>1589</v>
      </c>
      <c r="G1332" s="122" t="s">
        <v>129</v>
      </c>
      <c r="H1332">
        <v>212</v>
      </c>
      <c r="I1332" s="122" t="s">
        <v>1546</v>
      </c>
      <c r="J1332" s="307">
        <v>215.61229166666453</v>
      </c>
      <c r="K1332" s="127" t="s">
        <v>3348</v>
      </c>
      <c r="L1332" s="151" t="s">
        <v>3306</v>
      </c>
      <c r="M1332">
        <v>348</v>
      </c>
      <c r="N1332" s="123">
        <v>51</v>
      </c>
      <c r="O1332">
        <v>807</v>
      </c>
      <c r="P1332" s="132" t="s">
        <v>77</v>
      </c>
      <c r="Q1332" s="131">
        <v>594.14</v>
      </c>
      <c r="R1332" s="131">
        <f t="shared" si="33"/>
        <v>95.062399999999997</v>
      </c>
      <c r="S1332" s="131"/>
      <c r="T1332" s="155">
        <v>0</v>
      </c>
      <c r="U1332" s="131">
        <v>0</v>
      </c>
      <c r="V1332" s="131">
        <f t="shared" si="35"/>
        <v>689.20240000000001</v>
      </c>
      <c r="W1332">
        <v>162</v>
      </c>
      <c r="X1332" s="151" t="s">
        <v>1912</v>
      </c>
      <c r="Y1332" s="135" t="s">
        <v>55</v>
      </c>
      <c r="Z1332" s="307">
        <v>219</v>
      </c>
      <c r="AB1332" t="str">
        <f>IF(Table1[[#This Row],[TIPO2]]="costo", VLOOKUP(Table1[[#This Row],[PARTIDA PRESUPUESTAL]],'Cost Report'!G:G,1,0),"Balance")</f>
        <v>2494-047</v>
      </c>
      <c r="AC1332" s="118"/>
      <c r="AD1332" s="159">
        <f>+Table1[[#This Row],[SUBTOTAL]]+Table1[[#This Row],[IVA]]-Table1[[#This Row],[RET IVA]]-Table1[[#This Row],[RET ISR]]-Table1[[#This Row],[TOTAL]]</f>
        <v>0</v>
      </c>
      <c r="AE1332" s="150"/>
      <c r="AF1332" s="151"/>
      <c r="AG1332" s="126"/>
      <c r="AH1332" s="115"/>
      <c r="AK1332" s="306">
        <f>IF(ISNUMBER(Table1[[#This Row],[FECHA DE RECIBIDO]]), Table1[[#This Row],[FECHA DE RECIBIDO]]-DATE(2023,8,30), "")</f>
        <v>-44952.387708333335</v>
      </c>
    </row>
    <row r="1333" spans="1:37" ht="16.05" customHeight="1">
      <c r="A1333" s="152" t="s">
        <v>3335</v>
      </c>
      <c r="B1333" s="153">
        <v>468</v>
      </c>
      <c r="C1333" s="126" t="s">
        <v>2534</v>
      </c>
      <c r="D1333">
        <v>799</v>
      </c>
      <c r="E1333" s="126">
        <v>52440</v>
      </c>
      <c r="F1333" s="125">
        <v>603</v>
      </c>
      <c r="G1333" s="125" t="s">
        <v>2065</v>
      </c>
      <c r="H1333">
        <v>257</v>
      </c>
      <c r="I1333" s="125" t="s">
        <v>1546</v>
      </c>
      <c r="J1333" s="308">
        <v>217.52807870370452</v>
      </c>
      <c r="K1333" s="127" t="s">
        <v>3348</v>
      </c>
      <c r="L1333" s="153" t="s">
        <v>3306</v>
      </c>
      <c r="M1333">
        <v>340</v>
      </c>
      <c r="N1333" s="123">
        <v>51</v>
      </c>
      <c r="O1333">
        <v>808</v>
      </c>
      <c r="P1333" s="132" t="s">
        <v>77</v>
      </c>
      <c r="Q1333" s="132">
        <v>14230</v>
      </c>
      <c r="R1333" s="132">
        <v>0</v>
      </c>
      <c r="S1333" s="132"/>
      <c r="T1333" s="156">
        <v>0</v>
      </c>
      <c r="U1333" s="132">
        <v>0</v>
      </c>
      <c r="V1333" s="132">
        <f t="shared" si="35"/>
        <v>14230</v>
      </c>
      <c r="W1333">
        <v>156</v>
      </c>
      <c r="X1333" s="153" t="s">
        <v>195</v>
      </c>
      <c r="Y1333" s="124" t="s">
        <v>55</v>
      </c>
      <c r="Z1333" s="308">
        <v>219</v>
      </c>
      <c r="AB1333" t="str">
        <f>IF(Table1[[#This Row],[TIPO2]]="costo", VLOOKUP(Table1[[#This Row],[PARTIDA PRESUPUESTAL]],'Cost Report'!G:G,1,0),"Balance")</f>
        <v>2494-047</v>
      </c>
      <c r="AC1333" s="118"/>
      <c r="AD1333" s="159">
        <f>+Table1[[#This Row],[SUBTOTAL]]+Table1[[#This Row],[IVA]]-Table1[[#This Row],[RET IVA]]-Table1[[#This Row],[RET ISR]]-Table1[[#This Row],[TOTAL]]</f>
        <v>0</v>
      </c>
      <c r="AE1333" s="152"/>
      <c r="AF1333" s="153"/>
      <c r="AG1333" s="126"/>
      <c r="AH1333" s="115"/>
      <c r="AK1333" s="306">
        <f>IF(ISNUMBER(Table1[[#This Row],[FECHA DE RECIBIDO]]), Table1[[#This Row],[FECHA DE RECIBIDO]]-DATE(2023,8,30), "")</f>
        <v>-44950.471921296295</v>
      </c>
    </row>
    <row r="1334" spans="1:37" ht="16.05" customHeight="1">
      <c r="A1334" s="150" t="s">
        <v>3336</v>
      </c>
      <c r="B1334" s="151">
        <v>469</v>
      </c>
      <c r="C1334" s="126" t="s">
        <v>2470</v>
      </c>
      <c r="D1334">
        <v>800</v>
      </c>
      <c r="E1334" s="126">
        <v>45129</v>
      </c>
      <c r="F1334" s="122" t="s">
        <v>1589</v>
      </c>
      <c r="G1334" s="122" t="s">
        <v>129</v>
      </c>
      <c r="H1334">
        <v>126</v>
      </c>
      <c r="I1334" s="122" t="s">
        <v>1546</v>
      </c>
      <c r="J1334" s="307">
        <v>218.50788194444613</v>
      </c>
      <c r="K1334" s="127" t="s">
        <v>3348</v>
      </c>
      <c r="L1334" s="151" t="s">
        <v>3306</v>
      </c>
      <c r="M1334">
        <v>166</v>
      </c>
      <c r="N1334" s="123">
        <v>51</v>
      </c>
      <c r="O1334">
        <v>809</v>
      </c>
      <c r="P1334" s="132" t="s">
        <v>77</v>
      </c>
      <c r="Q1334" s="131">
        <v>27754</v>
      </c>
      <c r="R1334" s="131">
        <f t="shared" ref="R1334:R1338" si="36">Q1334*0.16</f>
        <v>4440.6400000000003</v>
      </c>
      <c r="S1334" s="131"/>
      <c r="T1334" s="155">
        <v>0</v>
      </c>
      <c r="U1334" s="131">
        <v>0</v>
      </c>
      <c r="V1334" s="131">
        <f t="shared" si="35"/>
        <v>32194.639999999999</v>
      </c>
      <c r="W1334">
        <v>89</v>
      </c>
      <c r="X1334" s="151" t="s">
        <v>114</v>
      </c>
      <c r="Y1334" s="135" t="s">
        <v>55</v>
      </c>
      <c r="Z1334" s="307">
        <v>219</v>
      </c>
      <c r="AB1334" t="str">
        <f>IF(Table1[[#This Row],[TIPO2]]="costo", VLOOKUP(Table1[[#This Row],[PARTIDA PRESUPUESTAL]],'Cost Report'!G:G,1,0),"Balance")</f>
        <v>2394-013</v>
      </c>
      <c r="AC1334" s="118"/>
      <c r="AD1334" s="159">
        <f>+Table1[[#This Row],[SUBTOTAL]]+Table1[[#This Row],[IVA]]-Table1[[#This Row],[RET IVA]]-Table1[[#This Row],[RET ISR]]-Table1[[#This Row],[TOTAL]]</f>
        <v>0</v>
      </c>
      <c r="AE1334" s="150"/>
      <c r="AF1334" s="151"/>
      <c r="AG1334" s="126"/>
      <c r="AH1334" s="115"/>
      <c r="AK1334" s="306">
        <f>IF(ISNUMBER(Table1[[#This Row],[FECHA DE RECIBIDO]]), Table1[[#This Row],[FECHA DE RECIBIDO]]-DATE(2023,8,30), "")</f>
        <v>-44949.492118055554</v>
      </c>
    </row>
    <row r="1335" spans="1:37" ht="16.05" customHeight="1">
      <c r="A1335" s="152" t="s">
        <v>3337</v>
      </c>
      <c r="B1335" s="153">
        <v>470</v>
      </c>
      <c r="C1335" s="126" t="s">
        <v>1505</v>
      </c>
      <c r="D1335">
        <v>801</v>
      </c>
      <c r="E1335" s="126" t="s">
        <v>3338</v>
      </c>
      <c r="F1335" s="125" t="s">
        <v>1607</v>
      </c>
      <c r="G1335" s="125" t="s">
        <v>134</v>
      </c>
      <c r="H1335">
        <v>262</v>
      </c>
      <c r="I1335" s="125" t="s">
        <v>1546</v>
      </c>
      <c r="J1335" s="308">
        <v>217.733368055553</v>
      </c>
      <c r="K1335" s="127" t="s">
        <v>3348</v>
      </c>
      <c r="L1335" s="153" t="s">
        <v>3306</v>
      </c>
      <c r="M1335">
        <v>349</v>
      </c>
      <c r="N1335" s="123">
        <v>51</v>
      </c>
      <c r="O1335">
        <v>810</v>
      </c>
      <c r="P1335" s="132" t="s">
        <v>77</v>
      </c>
      <c r="Q1335" s="132">
        <v>73333.33</v>
      </c>
      <c r="R1335" s="132">
        <f t="shared" si="36"/>
        <v>11733.3328</v>
      </c>
      <c r="S1335" s="132"/>
      <c r="T1335" s="156">
        <v>0</v>
      </c>
      <c r="U1335" s="132">
        <v>0</v>
      </c>
      <c r="V1335" s="132">
        <f t="shared" si="35"/>
        <v>85066.662800000006</v>
      </c>
      <c r="W1335">
        <v>87</v>
      </c>
      <c r="X1335" s="153" t="s">
        <v>2037</v>
      </c>
      <c r="Y1335" s="124" t="s">
        <v>55</v>
      </c>
      <c r="Z1335" s="308">
        <v>219</v>
      </c>
      <c r="AB1335" t="str">
        <f>IF(Table1[[#This Row],[TIPO2]]="costo", VLOOKUP(Table1[[#This Row],[PARTIDA PRESUPUESTAL]],'Cost Report'!G:G,1,0),"Balance")</f>
        <v>2494-003</v>
      </c>
      <c r="AC1335" s="118"/>
      <c r="AD1335" s="159">
        <f>+Table1[[#This Row],[SUBTOTAL]]+Table1[[#This Row],[IVA]]-Table1[[#This Row],[RET IVA]]-Table1[[#This Row],[RET ISR]]-Table1[[#This Row],[TOTAL]]</f>
        <v>0</v>
      </c>
      <c r="AE1335" s="152"/>
      <c r="AF1335" s="153"/>
      <c r="AG1335" s="126"/>
      <c r="AH1335" s="115"/>
      <c r="AK1335" s="306">
        <f>IF(ISNUMBER(Table1[[#This Row],[FECHA DE RECIBIDO]]), Table1[[#This Row],[FECHA DE RECIBIDO]]-DATE(2023,8,30), "")</f>
        <v>-44950.266631944447</v>
      </c>
    </row>
    <row r="1336" spans="1:37" ht="16.05" customHeight="1">
      <c r="A1336" s="150" t="s">
        <v>3339</v>
      </c>
      <c r="B1336" s="151">
        <v>471</v>
      </c>
      <c r="C1336" s="126" t="s">
        <v>1507</v>
      </c>
      <c r="D1336">
        <v>802</v>
      </c>
      <c r="E1336" s="126" t="s">
        <v>3338</v>
      </c>
      <c r="F1336" s="122" t="s">
        <v>1607</v>
      </c>
      <c r="G1336" s="122" t="s">
        <v>134</v>
      </c>
      <c r="H1336">
        <v>262</v>
      </c>
      <c r="I1336" s="122" t="s">
        <v>1546</v>
      </c>
      <c r="J1336" s="307">
        <v>217.73413194444583</v>
      </c>
      <c r="K1336" s="127" t="s">
        <v>3348</v>
      </c>
      <c r="L1336" s="151" t="s">
        <v>3306</v>
      </c>
      <c r="M1336">
        <v>349</v>
      </c>
      <c r="N1336" s="123">
        <v>51</v>
      </c>
      <c r="O1336">
        <v>811</v>
      </c>
      <c r="P1336" s="132" t="s">
        <v>77</v>
      </c>
      <c r="Q1336" s="131">
        <v>73333.33</v>
      </c>
      <c r="R1336" s="131">
        <f t="shared" si="36"/>
        <v>11733.3328</v>
      </c>
      <c r="S1336" s="131"/>
      <c r="T1336" s="155">
        <v>0</v>
      </c>
      <c r="U1336" s="131">
        <v>0</v>
      </c>
      <c r="V1336" s="131">
        <f t="shared" si="35"/>
        <v>85066.662800000006</v>
      </c>
      <c r="W1336">
        <v>87</v>
      </c>
      <c r="X1336" s="151" t="s">
        <v>2037</v>
      </c>
      <c r="Y1336" s="135" t="s">
        <v>55</v>
      </c>
      <c r="Z1336" s="307">
        <v>219</v>
      </c>
      <c r="AB1336" t="str">
        <f>IF(Table1[[#This Row],[TIPO2]]="costo", VLOOKUP(Table1[[#This Row],[PARTIDA PRESUPUESTAL]],'Cost Report'!G:G,1,0),"Balance")</f>
        <v>2494-007</v>
      </c>
      <c r="AC1336" s="118"/>
      <c r="AD1336" s="159">
        <f>+Table1[[#This Row],[SUBTOTAL]]+Table1[[#This Row],[IVA]]-Table1[[#This Row],[RET IVA]]-Table1[[#This Row],[RET ISR]]-Table1[[#This Row],[TOTAL]]</f>
        <v>0</v>
      </c>
      <c r="AE1336" s="150"/>
      <c r="AF1336" s="151"/>
      <c r="AG1336" s="126"/>
      <c r="AH1336" s="115"/>
      <c r="AK1336" s="306">
        <f>IF(ISNUMBER(Table1[[#This Row],[FECHA DE RECIBIDO]]), Table1[[#This Row],[FECHA DE RECIBIDO]]-DATE(2023,8,30), "")</f>
        <v>-44950.265868055554</v>
      </c>
    </row>
    <row r="1337" spans="1:37" ht="16.05" customHeight="1">
      <c r="A1337" s="152" t="s">
        <v>3340</v>
      </c>
      <c r="B1337" s="153">
        <v>472</v>
      </c>
      <c r="C1337" s="126" t="s">
        <v>1732</v>
      </c>
      <c r="D1337">
        <v>803</v>
      </c>
      <c r="E1337" s="126" t="s">
        <v>3338</v>
      </c>
      <c r="F1337" s="125" t="s">
        <v>1607</v>
      </c>
      <c r="G1337" s="125" t="s">
        <v>134</v>
      </c>
      <c r="H1337">
        <v>262</v>
      </c>
      <c r="I1337" s="125" t="s">
        <v>1546</v>
      </c>
      <c r="J1337" s="308">
        <v>217.73513888888556</v>
      </c>
      <c r="K1337" s="127" t="s">
        <v>3348</v>
      </c>
      <c r="L1337" s="153" t="s">
        <v>3306</v>
      </c>
      <c r="M1337">
        <v>349</v>
      </c>
      <c r="N1337" s="123">
        <v>51</v>
      </c>
      <c r="O1337">
        <v>812</v>
      </c>
      <c r="P1337" s="132" t="s">
        <v>77</v>
      </c>
      <c r="Q1337" s="132">
        <v>73333.33</v>
      </c>
      <c r="R1337" s="132">
        <f t="shared" si="36"/>
        <v>11733.3328</v>
      </c>
      <c r="S1337" s="132"/>
      <c r="T1337" s="156">
        <v>0</v>
      </c>
      <c r="U1337" s="132">
        <v>0</v>
      </c>
      <c r="V1337" s="132">
        <f t="shared" si="35"/>
        <v>85066.662800000006</v>
      </c>
      <c r="W1337">
        <v>87</v>
      </c>
      <c r="X1337" s="153" t="s">
        <v>2037</v>
      </c>
      <c r="Y1337" s="124" t="s">
        <v>55</v>
      </c>
      <c r="Z1337" s="308">
        <v>219</v>
      </c>
      <c r="AB1337" t="str">
        <f>IF(Table1[[#This Row],[TIPO2]]="costo", VLOOKUP(Table1[[#This Row],[PARTIDA PRESUPUESTAL]],'Cost Report'!G:G,1,0),"Balance")</f>
        <v>2494-035</v>
      </c>
      <c r="AC1337" s="118"/>
      <c r="AD1337" s="159">
        <f>+Table1[[#This Row],[SUBTOTAL]]+Table1[[#This Row],[IVA]]-Table1[[#This Row],[RET IVA]]-Table1[[#This Row],[RET ISR]]-Table1[[#This Row],[TOTAL]]</f>
        <v>0</v>
      </c>
      <c r="AE1337" s="152"/>
      <c r="AF1337" s="153"/>
      <c r="AG1337" s="126"/>
      <c r="AH1337" s="115"/>
      <c r="AK1337" s="306">
        <f>IF(ISNUMBER(Table1[[#This Row],[FECHA DE RECIBIDO]]), Table1[[#This Row],[FECHA DE RECIBIDO]]-DATE(2023,8,30), "")</f>
        <v>-44950.264861111114</v>
      </c>
    </row>
    <row r="1338" spans="1:37" ht="16.05" customHeight="1">
      <c r="A1338" s="150" t="s">
        <v>3341</v>
      </c>
      <c r="B1338" s="151">
        <v>473</v>
      </c>
      <c r="C1338" s="126" t="s">
        <v>2596</v>
      </c>
      <c r="D1338">
        <v>804</v>
      </c>
      <c r="E1338" s="126" t="s">
        <v>3243</v>
      </c>
      <c r="F1338" s="122" t="s">
        <v>1593</v>
      </c>
      <c r="G1338" s="122" t="s">
        <v>109</v>
      </c>
      <c r="H1338">
        <v>263</v>
      </c>
      <c r="I1338" s="122" t="s">
        <v>1546</v>
      </c>
      <c r="J1338" s="307">
        <v>218.61710648148437</v>
      </c>
      <c r="K1338" s="127" t="s">
        <v>3348</v>
      </c>
      <c r="L1338" s="151" t="s">
        <v>3306</v>
      </c>
      <c r="M1338">
        <v>350</v>
      </c>
      <c r="N1338" s="123">
        <v>79</v>
      </c>
      <c r="O1338">
        <v>813</v>
      </c>
      <c r="P1338" s="132" t="s">
        <v>77</v>
      </c>
      <c r="Q1338" s="131">
        <v>8400</v>
      </c>
      <c r="R1338" s="131">
        <f t="shared" si="36"/>
        <v>1344</v>
      </c>
      <c r="S1338" s="131"/>
      <c r="T1338" s="155">
        <v>0</v>
      </c>
      <c r="U1338" s="131">
        <f>Q1338*0.0125</f>
        <v>105</v>
      </c>
      <c r="V1338" s="131">
        <f t="shared" si="35"/>
        <v>9639</v>
      </c>
      <c r="W1338">
        <v>163</v>
      </c>
      <c r="X1338" s="151" t="s">
        <v>1980</v>
      </c>
      <c r="Y1338" s="135" t="s">
        <v>55</v>
      </c>
      <c r="Z1338" s="307">
        <v>219</v>
      </c>
      <c r="AB1338" t="str">
        <f>IF(Table1[[#This Row],[TIPO2]]="costo", VLOOKUP(Table1[[#This Row],[PARTIDA PRESUPUESTAL]],'Cost Report'!G:G,1,0),"Balance")</f>
        <v>2794-003</v>
      </c>
      <c r="AC1338" s="118"/>
      <c r="AD1338" s="159">
        <f>+Table1[[#This Row],[SUBTOTAL]]+Table1[[#This Row],[IVA]]-Table1[[#This Row],[RET IVA]]-Table1[[#This Row],[RET ISR]]-Table1[[#This Row],[TOTAL]]</f>
        <v>0</v>
      </c>
      <c r="AE1338" s="150"/>
      <c r="AF1338" s="151"/>
      <c r="AG1338" s="126"/>
      <c r="AH1338" s="115"/>
      <c r="AK1338" s="306">
        <f>IF(ISNUMBER(Table1[[#This Row],[FECHA DE RECIBIDO]]), Table1[[#This Row],[FECHA DE RECIBIDO]]-DATE(2023,8,30), "")</f>
        <v>-44949.382893518516</v>
      </c>
    </row>
    <row r="1339" spans="1:37" ht="16.05" customHeight="1">
      <c r="A1339" s="152" t="s">
        <v>3342</v>
      </c>
      <c r="B1339" s="153">
        <v>474</v>
      </c>
      <c r="C1339" s="126" t="s">
        <v>3002</v>
      </c>
      <c r="D1339">
        <v>805</v>
      </c>
      <c r="E1339" s="126" t="s">
        <v>3273</v>
      </c>
      <c r="F1339" s="125" t="s">
        <v>1589</v>
      </c>
      <c r="G1339" s="125" t="s">
        <v>129</v>
      </c>
      <c r="H1339">
        <v>264</v>
      </c>
      <c r="I1339" s="125" t="s">
        <v>1546</v>
      </c>
      <c r="J1339" s="308" t="s">
        <v>214</v>
      </c>
      <c r="K1339" s="127" t="s">
        <v>3348</v>
      </c>
      <c r="L1339" s="153" t="s">
        <v>3306</v>
      </c>
      <c r="M1339">
        <v>351</v>
      </c>
      <c r="N1339" s="123">
        <v>1</v>
      </c>
      <c r="O1339">
        <v>814</v>
      </c>
      <c r="P1339" s="132" t="s">
        <v>77</v>
      </c>
      <c r="Q1339" s="132">
        <v>61400</v>
      </c>
      <c r="R1339" s="132">
        <v>9824</v>
      </c>
      <c r="S1339" s="132"/>
      <c r="T1339" s="156">
        <v>6549.35</v>
      </c>
      <c r="U1339" s="132">
        <v>6140</v>
      </c>
      <c r="V1339" s="132">
        <f t="shared" si="35"/>
        <v>58534.65</v>
      </c>
      <c r="W1339">
        <v>164</v>
      </c>
      <c r="X1339" s="153" t="s">
        <v>2035</v>
      </c>
      <c r="Y1339" s="124" t="s">
        <v>55</v>
      </c>
      <c r="Z1339" s="308">
        <v>219</v>
      </c>
      <c r="AB1339" t="str">
        <f>IF(Table1[[#This Row],[TIPO2]]="costo", VLOOKUP(Table1[[#This Row],[PARTIDA PRESUPUESTAL]],'Cost Report'!G:G,1,0),"Balance")</f>
        <v>4180-003</v>
      </c>
      <c r="AC1339" s="118"/>
      <c r="AD1339" s="159">
        <f>+Table1[[#This Row],[SUBTOTAL]]+Table1[[#This Row],[IVA]]-Table1[[#This Row],[RET IVA]]-Table1[[#This Row],[RET ISR]]-Table1[[#This Row],[TOTAL]]</f>
        <v>0</v>
      </c>
      <c r="AE1339" s="152"/>
      <c r="AF1339" s="153"/>
      <c r="AG1339" s="126"/>
      <c r="AH1339" s="115"/>
      <c r="AK1339" s="306" t="str">
        <f>IF(ISNUMBER(Table1[[#This Row],[FECHA DE RECIBIDO]]), Table1[[#This Row],[FECHA DE RECIBIDO]]-DATE(2023,8,30), "")</f>
        <v/>
      </c>
    </row>
    <row r="1340" spans="1:37" ht="16.05" customHeight="1">
      <c r="A1340" s="150" t="s">
        <v>3343</v>
      </c>
      <c r="B1340" s="151">
        <v>475</v>
      </c>
      <c r="C1340" s="126" t="s">
        <v>824</v>
      </c>
      <c r="D1340">
        <v>806</v>
      </c>
      <c r="E1340" s="126" t="s">
        <v>3273</v>
      </c>
      <c r="F1340" s="122" t="s">
        <v>1589</v>
      </c>
      <c r="G1340" s="122" t="s">
        <v>129</v>
      </c>
      <c r="H1340">
        <v>264</v>
      </c>
      <c r="I1340" s="122" t="s">
        <v>1546</v>
      </c>
      <c r="J1340" s="307" t="s">
        <v>214</v>
      </c>
      <c r="K1340" s="127">
        <v>1</v>
      </c>
      <c r="L1340" s="151" t="s">
        <v>3306</v>
      </c>
      <c r="M1340">
        <v>351</v>
      </c>
      <c r="N1340" s="123">
        <v>1</v>
      </c>
      <c r="O1340">
        <v>815</v>
      </c>
      <c r="P1340" s="132" t="s">
        <v>77</v>
      </c>
      <c r="Q1340" s="131">
        <v>238000</v>
      </c>
      <c r="R1340" s="131">
        <v>16500</v>
      </c>
      <c r="S1340" s="131"/>
      <c r="T1340" s="155">
        <v>11000.035</v>
      </c>
      <c r="U1340" s="131">
        <v>10312.5</v>
      </c>
      <c r="V1340" s="131">
        <v>233187.465</v>
      </c>
      <c r="W1340">
        <v>164</v>
      </c>
      <c r="X1340" s="151" t="s">
        <v>2035</v>
      </c>
      <c r="Y1340" s="135" t="s">
        <v>55</v>
      </c>
      <c r="Z1340" s="307">
        <v>219</v>
      </c>
      <c r="AB1340" t="str">
        <f>IF(Table1[[#This Row],[TIPO2]]="costo", VLOOKUP(Table1[[#This Row],[PARTIDA PRESUPUESTAL]],'Cost Report'!G:G,1,0),"Balance")</f>
        <v>3112-003</v>
      </c>
      <c r="AC1340" s="118"/>
      <c r="AD1340" s="159">
        <f>+Table1[[#This Row],[SUBTOTAL]]+Table1[[#This Row],[IVA]]-Table1[[#This Row],[RET IVA]]-Table1[[#This Row],[RET ISR]]-Table1[[#This Row],[TOTAL]]</f>
        <v>0</v>
      </c>
      <c r="AE1340" s="150"/>
      <c r="AF1340" s="151"/>
      <c r="AG1340" s="126"/>
      <c r="AH1340" s="115"/>
      <c r="AK1340" s="306" t="str">
        <f>IF(ISNUMBER(Table1[[#This Row],[FECHA DE RECIBIDO]]), Table1[[#This Row],[FECHA DE RECIBIDO]]-DATE(2023,8,30), "")</f>
        <v/>
      </c>
    </row>
    <row r="1341" spans="1:37" ht="16.05" customHeight="1">
      <c r="A1341" s="152"/>
      <c r="B1341" s="153"/>
      <c r="C1341" s="126" t="s">
        <v>2682</v>
      </c>
      <c r="D1341">
        <v>806</v>
      </c>
      <c r="E1341" s="126" t="s">
        <v>3273</v>
      </c>
      <c r="F1341" s="125" t="s">
        <v>1589</v>
      </c>
      <c r="G1341" s="125" t="s">
        <v>129</v>
      </c>
      <c r="H1341">
        <v>264</v>
      </c>
      <c r="I1341" s="125" t="s">
        <v>1546</v>
      </c>
      <c r="J1341" s="308" t="s">
        <v>214</v>
      </c>
      <c r="K1341" s="127">
        <v>1</v>
      </c>
      <c r="L1341" s="153" t="s">
        <v>3306</v>
      </c>
      <c r="M1341">
        <v>351</v>
      </c>
      <c r="N1341" s="123">
        <v>1</v>
      </c>
      <c r="O1341">
        <v>815</v>
      </c>
      <c r="P1341" s="132" t="s">
        <v>77</v>
      </c>
      <c r="Q1341" s="132">
        <v>34000</v>
      </c>
      <c r="R1341" s="132">
        <v>16500</v>
      </c>
      <c r="S1341" s="132"/>
      <c r="T1341" s="156">
        <v>11000.035</v>
      </c>
      <c r="U1341" s="132">
        <v>10312.5</v>
      </c>
      <c r="V1341" s="132">
        <v>29187.464999999997</v>
      </c>
      <c r="W1341">
        <v>164</v>
      </c>
      <c r="X1341" s="153" t="s">
        <v>2035</v>
      </c>
      <c r="Y1341" s="124" t="s">
        <v>55</v>
      </c>
      <c r="Z1341" s="308">
        <v>219</v>
      </c>
      <c r="AB1341" t="str">
        <f>IF(Table1[[#This Row],[TIPO2]]="costo", VLOOKUP(Table1[[#This Row],[PARTIDA PRESUPUESTAL]],'Cost Report'!G:G,1,0),"Balance")</f>
        <v>3112-007</v>
      </c>
      <c r="AC1341" s="118"/>
      <c r="AD1341" s="159">
        <f>+Table1[[#This Row],[SUBTOTAL]]+Table1[[#This Row],[IVA]]-Table1[[#This Row],[RET IVA]]-Table1[[#This Row],[RET ISR]]-Table1[[#This Row],[TOTAL]]</f>
        <v>0</v>
      </c>
      <c r="AE1341" s="152"/>
      <c r="AF1341" s="153"/>
      <c r="AG1341" s="126"/>
      <c r="AH1341" s="115"/>
      <c r="AK1341" s="306" t="str">
        <f>IF(ISNUMBER(Table1[[#This Row],[FECHA DE RECIBIDO]]), Table1[[#This Row],[FECHA DE RECIBIDO]]-DATE(2023,8,30), "")</f>
        <v/>
      </c>
    </row>
    <row r="1342" spans="1:37" ht="16.05" customHeight="1">
      <c r="A1342" s="150"/>
      <c r="B1342" s="151"/>
      <c r="C1342" s="126" t="s">
        <v>2721</v>
      </c>
      <c r="D1342">
        <v>806</v>
      </c>
      <c r="E1342" s="126" t="s">
        <v>3273</v>
      </c>
      <c r="F1342" s="122" t="s">
        <v>1589</v>
      </c>
      <c r="G1342" s="122" t="s">
        <v>129</v>
      </c>
      <c r="H1342">
        <v>264</v>
      </c>
      <c r="I1342" s="122" t="s">
        <v>1546</v>
      </c>
      <c r="J1342" s="307" t="s">
        <v>214</v>
      </c>
      <c r="K1342" s="127">
        <v>1</v>
      </c>
      <c r="L1342" s="151" t="s">
        <v>3306</v>
      </c>
      <c r="M1342">
        <v>351</v>
      </c>
      <c r="N1342" s="123">
        <v>1</v>
      </c>
      <c r="O1342">
        <v>815</v>
      </c>
      <c r="P1342" s="132" t="s">
        <v>77</v>
      </c>
      <c r="Q1342" s="131">
        <v>119000</v>
      </c>
      <c r="R1342" s="131">
        <v>16500</v>
      </c>
      <c r="S1342" s="131"/>
      <c r="T1342" s="155">
        <v>11000.035</v>
      </c>
      <c r="U1342" s="131">
        <v>10312.5</v>
      </c>
      <c r="V1342" s="131">
        <v>114187.465</v>
      </c>
      <c r="W1342">
        <v>164</v>
      </c>
      <c r="X1342" s="151" t="s">
        <v>2035</v>
      </c>
      <c r="Y1342" s="135" t="s">
        <v>55</v>
      </c>
      <c r="Z1342" s="307">
        <v>219</v>
      </c>
      <c r="AB1342" t="str">
        <f>IF(Table1[[#This Row],[TIPO2]]="costo", VLOOKUP(Table1[[#This Row],[PARTIDA PRESUPUESTAL]],'Cost Report'!G:G,1,0),"Balance")</f>
        <v>3193-098</v>
      </c>
      <c r="AC1342" s="118"/>
      <c r="AD1342" s="159">
        <f>+Table1[[#This Row],[SUBTOTAL]]+Table1[[#This Row],[IVA]]-Table1[[#This Row],[RET IVA]]-Table1[[#This Row],[RET ISR]]-Table1[[#This Row],[TOTAL]]</f>
        <v>0</v>
      </c>
      <c r="AE1342" s="150"/>
      <c r="AF1342" s="151"/>
      <c r="AG1342" s="126"/>
      <c r="AH1342" s="115"/>
      <c r="AK1342" s="306" t="str">
        <f>IF(ISNUMBER(Table1[[#This Row],[FECHA DE RECIBIDO]]), Table1[[#This Row],[FECHA DE RECIBIDO]]-DATE(2023,8,30), "")</f>
        <v/>
      </c>
    </row>
    <row r="1343" spans="1:37" ht="16.05" customHeight="1">
      <c r="A1343" s="152"/>
      <c r="B1343" s="153"/>
      <c r="C1343" s="126" t="s">
        <v>2722</v>
      </c>
      <c r="D1343">
        <v>806</v>
      </c>
      <c r="E1343" s="126" t="s">
        <v>3273</v>
      </c>
      <c r="F1343" s="125" t="s">
        <v>1589</v>
      </c>
      <c r="G1343" s="125" t="s">
        <v>129</v>
      </c>
      <c r="H1343">
        <v>264</v>
      </c>
      <c r="I1343" s="125" t="s">
        <v>1546</v>
      </c>
      <c r="J1343" s="308" t="s">
        <v>214</v>
      </c>
      <c r="K1343" s="127">
        <v>1</v>
      </c>
      <c r="L1343" s="153" t="s">
        <v>3306</v>
      </c>
      <c r="M1343">
        <v>351</v>
      </c>
      <c r="N1343" s="123">
        <v>1</v>
      </c>
      <c r="O1343">
        <v>815</v>
      </c>
      <c r="P1343" s="132" t="s">
        <v>77</v>
      </c>
      <c r="Q1343" s="132">
        <v>21500</v>
      </c>
      <c r="R1343" s="132">
        <v>16500</v>
      </c>
      <c r="S1343" s="132"/>
      <c r="T1343" s="156">
        <v>11000.035</v>
      </c>
      <c r="U1343" s="132">
        <v>10312.5</v>
      </c>
      <c r="V1343" s="132">
        <v>16687.465</v>
      </c>
      <c r="W1343">
        <v>164</v>
      </c>
      <c r="X1343" s="153" t="s">
        <v>2035</v>
      </c>
      <c r="Y1343" s="124" t="s">
        <v>55</v>
      </c>
      <c r="Z1343" s="308">
        <v>219</v>
      </c>
      <c r="AB1343" t="str">
        <f>IF(Table1[[#This Row],[TIPO2]]="costo", VLOOKUP(Table1[[#This Row],[PARTIDA PRESUPUESTAL]],'Cost Report'!G:G,1,0),"Balance")</f>
        <v>3193-099</v>
      </c>
      <c r="AC1343" s="118"/>
      <c r="AD1343" s="159">
        <f>+Table1[[#This Row],[SUBTOTAL]]+Table1[[#This Row],[IVA]]-Table1[[#This Row],[RET IVA]]-Table1[[#This Row],[RET ISR]]-Table1[[#This Row],[TOTAL]]</f>
        <v>0</v>
      </c>
      <c r="AE1343" s="152"/>
      <c r="AF1343" s="153"/>
      <c r="AG1343" s="126"/>
      <c r="AH1343" s="115"/>
      <c r="AK1343" s="306" t="str">
        <f>IF(ISNUMBER(Table1[[#This Row],[FECHA DE RECIBIDO]]), Table1[[#This Row],[FECHA DE RECIBIDO]]-DATE(2023,8,30), "")</f>
        <v/>
      </c>
    </row>
    <row r="1344" spans="1:37" ht="16.05" customHeight="1">
      <c r="A1344" s="150" t="s">
        <v>3344</v>
      </c>
      <c r="B1344" s="151">
        <v>476</v>
      </c>
      <c r="C1344" s="126" t="s">
        <v>1154</v>
      </c>
      <c r="D1344">
        <v>807</v>
      </c>
      <c r="E1344" s="126" t="e">
        <v>#N/A</v>
      </c>
      <c r="F1344" s="122" t="e">
        <v>#N/A</v>
      </c>
      <c r="G1344" s="122" t="e">
        <v>#N/A</v>
      </c>
      <c r="H1344">
        <v>36</v>
      </c>
      <c r="I1344" s="122" t="e">
        <v>#N/A</v>
      </c>
      <c r="J1344" s="307" t="s">
        <v>214</v>
      </c>
      <c r="K1344" s="127" t="s">
        <v>3348</v>
      </c>
      <c r="L1344" s="151" t="s">
        <v>3306</v>
      </c>
      <c r="M1344">
        <v>352</v>
      </c>
      <c r="N1344" s="123">
        <v>1</v>
      </c>
      <c r="O1344">
        <v>816</v>
      </c>
      <c r="P1344" s="132" t="s">
        <v>77</v>
      </c>
      <c r="Q1344" s="131">
        <v>78642.14</v>
      </c>
      <c r="R1344" s="131">
        <v>12582.74</v>
      </c>
      <c r="S1344" s="131"/>
      <c r="T1344" s="155">
        <v>0</v>
      </c>
      <c r="U1344" s="131">
        <v>0</v>
      </c>
      <c r="V1344" s="131">
        <f t="shared" si="35"/>
        <v>91224.88</v>
      </c>
      <c r="W1344">
        <v>59</v>
      </c>
      <c r="X1344" s="151" t="s">
        <v>1912</v>
      </c>
      <c r="Y1344" s="135" t="s">
        <v>55</v>
      </c>
      <c r="Z1344" s="307">
        <v>219</v>
      </c>
      <c r="AB1344" t="str">
        <f>IF(Table1[[#This Row],[TIPO2]]="costo", VLOOKUP(Table1[[#This Row],[PARTIDA PRESUPUESTAL]],'Cost Report'!G:G,1,0),"Balance")</f>
        <v>3902-026</v>
      </c>
      <c r="AC1344" s="118"/>
      <c r="AD1344" s="159">
        <f>+Table1[[#This Row],[SUBTOTAL]]+Table1[[#This Row],[IVA]]-Table1[[#This Row],[RET IVA]]-Table1[[#This Row],[RET ISR]]-Table1[[#This Row],[TOTAL]]</f>
        <v>0</v>
      </c>
      <c r="AE1344" s="150"/>
      <c r="AF1344" s="151"/>
      <c r="AG1344" s="126"/>
      <c r="AH1344" s="115"/>
      <c r="AK1344" s="306" t="str">
        <f>IF(ISNUMBER(Table1[[#This Row],[FECHA DE RECIBIDO]]), Table1[[#This Row],[FECHA DE RECIBIDO]]-DATE(2023,8,30), "")</f>
        <v/>
      </c>
    </row>
    <row r="1345" spans="1:37" ht="14.25" customHeight="1">
      <c r="A1345" s="152" t="s">
        <v>3344</v>
      </c>
      <c r="B1345" s="153">
        <v>476</v>
      </c>
      <c r="C1345" s="126" t="s">
        <v>1417</v>
      </c>
      <c r="D1345">
        <v>808</v>
      </c>
      <c r="E1345" s="126" t="s">
        <v>3396</v>
      </c>
      <c r="F1345" s="125" t="s">
        <v>1607</v>
      </c>
      <c r="G1345" s="125" t="s">
        <v>134</v>
      </c>
      <c r="H1345">
        <v>86</v>
      </c>
      <c r="I1345" s="125" t="s">
        <v>1546</v>
      </c>
      <c r="J1345" s="308" t="s">
        <v>214</v>
      </c>
      <c r="K1345" s="127" t="s">
        <v>3348</v>
      </c>
      <c r="L1345" s="153" t="s">
        <v>3306</v>
      </c>
      <c r="M1345">
        <v>352</v>
      </c>
      <c r="N1345" s="123">
        <v>1</v>
      </c>
      <c r="O1345">
        <v>816</v>
      </c>
      <c r="P1345" s="132" t="s">
        <v>77</v>
      </c>
      <c r="Q1345" s="132">
        <v>2359.2600000000002</v>
      </c>
      <c r="R1345" s="132">
        <v>0</v>
      </c>
      <c r="S1345" s="132"/>
      <c r="T1345" s="156">
        <v>0</v>
      </c>
      <c r="U1345" s="132">
        <v>0</v>
      </c>
      <c r="V1345" s="132">
        <f t="shared" si="35"/>
        <v>2359.2600000000002</v>
      </c>
      <c r="W1345">
        <v>59</v>
      </c>
      <c r="X1345" s="153" t="s">
        <v>1912</v>
      </c>
      <c r="Y1345" s="124" t="s">
        <v>55</v>
      </c>
      <c r="Z1345" s="308">
        <v>219</v>
      </c>
      <c r="AB1345" t="str">
        <f>IF(Table1[[#This Row],[TIPO2]]="costo", VLOOKUP(Table1[[#This Row],[PARTIDA PRESUPUESTAL]],'Cost Report'!G:G,1,0),"Balance")</f>
        <v>3999-001</v>
      </c>
      <c r="AC1345" s="118"/>
      <c r="AD1345" s="159">
        <f>+Table1[[#This Row],[SUBTOTAL]]+Table1[[#This Row],[IVA]]-Table1[[#This Row],[RET IVA]]-Table1[[#This Row],[RET ISR]]-Table1[[#This Row],[TOTAL]]</f>
        <v>0</v>
      </c>
      <c r="AE1345" s="152"/>
      <c r="AF1345" s="153"/>
      <c r="AG1345" s="126"/>
      <c r="AK1345" s="306" t="str">
        <f>IF(ISNUMBER(Table1[[#This Row],[FECHA DE RECIBIDO]]), Table1[[#This Row],[FECHA DE RECIBIDO]]-DATE(2023,8,30), "")</f>
        <v/>
      </c>
    </row>
    <row r="1346" spans="1:37" ht="16.05" customHeight="1">
      <c r="A1346" s="150" t="s">
        <v>3345</v>
      </c>
      <c r="B1346" s="151">
        <v>477</v>
      </c>
      <c r="C1346" s="126" t="s">
        <v>3002</v>
      </c>
      <c r="D1346">
        <v>809</v>
      </c>
      <c r="E1346" s="126" t="s">
        <v>1985</v>
      </c>
      <c r="F1346" s="122" t="s">
        <v>1593</v>
      </c>
      <c r="G1346" s="122" t="s">
        <v>109</v>
      </c>
      <c r="H1346">
        <v>265</v>
      </c>
      <c r="I1346" s="122" t="s">
        <v>1546</v>
      </c>
      <c r="J1346" s="307" t="s">
        <v>214</v>
      </c>
      <c r="K1346" s="127" t="s">
        <v>3348</v>
      </c>
      <c r="L1346" s="151" t="s">
        <v>3306</v>
      </c>
      <c r="M1346">
        <v>353</v>
      </c>
      <c r="N1346" s="123">
        <v>76</v>
      </c>
      <c r="O1346">
        <v>817</v>
      </c>
      <c r="P1346" s="132" t="s">
        <v>77</v>
      </c>
      <c r="Q1346" s="131">
        <v>14000</v>
      </c>
      <c r="R1346" s="131">
        <v>2240</v>
      </c>
      <c r="S1346" s="131"/>
      <c r="T1346" s="155">
        <v>0</v>
      </c>
      <c r="U1346" s="131">
        <v>0</v>
      </c>
      <c r="V1346" s="131">
        <f t="shared" si="35"/>
        <v>16240</v>
      </c>
      <c r="W1346">
        <v>165</v>
      </c>
      <c r="X1346" s="151" t="s">
        <v>3346</v>
      </c>
      <c r="Y1346" s="135" t="s">
        <v>55</v>
      </c>
      <c r="Z1346" s="307">
        <v>219</v>
      </c>
      <c r="AB1346" t="str">
        <f>IF(Table1[[#This Row],[TIPO2]]="costo", VLOOKUP(Table1[[#This Row],[PARTIDA PRESUPUESTAL]],'Cost Report'!G:G,1,0),"Balance")</f>
        <v>4180-003</v>
      </c>
      <c r="AC1346" s="118"/>
      <c r="AD1346" s="159">
        <f>+Table1[[#This Row],[SUBTOTAL]]+Table1[[#This Row],[IVA]]-Table1[[#This Row],[RET IVA]]-Table1[[#This Row],[RET ISR]]-Table1[[#This Row],[TOTAL]]</f>
        <v>0</v>
      </c>
      <c r="AE1346" s="150"/>
      <c r="AF1346" s="151"/>
      <c r="AG1346" s="126"/>
      <c r="AH1346" s="115"/>
      <c r="AK1346" s="306" t="str">
        <f>IF(ISNUMBER(Table1[[#This Row],[FECHA DE RECIBIDO]]), Table1[[#This Row],[FECHA DE RECIBIDO]]-DATE(2023,8,30), "")</f>
        <v/>
      </c>
    </row>
    <row r="1347" spans="1:37" ht="16.05" customHeight="1">
      <c r="A1347" s="152" t="s">
        <v>3347</v>
      </c>
      <c r="B1347" s="153">
        <v>478</v>
      </c>
      <c r="C1347" s="126" t="s">
        <v>1728</v>
      </c>
      <c r="D1347">
        <v>810</v>
      </c>
      <c r="E1347" s="126" t="s">
        <v>1985</v>
      </c>
      <c r="F1347" s="125" t="s">
        <v>1593</v>
      </c>
      <c r="G1347" s="125" t="s">
        <v>109</v>
      </c>
      <c r="H1347">
        <v>265</v>
      </c>
      <c r="I1347" s="125" t="s">
        <v>1546</v>
      </c>
      <c r="J1347" s="308" t="s">
        <v>214</v>
      </c>
      <c r="K1347" s="127" t="s">
        <v>3348</v>
      </c>
      <c r="L1347" s="153" t="s">
        <v>3306</v>
      </c>
      <c r="M1347">
        <v>353</v>
      </c>
      <c r="N1347" s="123">
        <v>76</v>
      </c>
      <c r="O1347">
        <v>818</v>
      </c>
      <c r="P1347" s="132" t="s">
        <v>77</v>
      </c>
      <c r="Q1347" s="132">
        <v>371637</v>
      </c>
      <c r="R1347" s="132">
        <v>59461.919999999998</v>
      </c>
      <c r="S1347" s="132"/>
      <c r="T1347" s="156">
        <v>0</v>
      </c>
      <c r="U1347" s="132">
        <v>0</v>
      </c>
      <c r="V1347" s="132">
        <f t="shared" si="35"/>
        <v>431098.92</v>
      </c>
      <c r="W1347">
        <v>165</v>
      </c>
      <c r="X1347" s="153" t="s">
        <v>3346</v>
      </c>
      <c r="Y1347" s="124" t="s">
        <v>55</v>
      </c>
      <c r="Z1347" s="308">
        <v>219</v>
      </c>
      <c r="AB1347" t="str">
        <f>IF(Table1[[#This Row],[TIPO2]]="costo", VLOOKUP(Table1[[#This Row],[PARTIDA PRESUPUESTAL]],'Cost Report'!G:G,1,0),"Balance")</f>
        <v>2103-004</v>
      </c>
      <c r="AC1347" s="118"/>
      <c r="AD1347" s="159">
        <f>+Table1[[#This Row],[SUBTOTAL]]+Table1[[#This Row],[IVA]]-Table1[[#This Row],[RET IVA]]-Table1[[#This Row],[RET ISR]]-Table1[[#This Row],[TOTAL]]</f>
        <v>0</v>
      </c>
      <c r="AE1347" s="152"/>
      <c r="AF1347" s="153"/>
      <c r="AG1347" s="126"/>
      <c r="AH1347" s="115"/>
      <c r="AK1347" s="306" t="str">
        <f>IF(ISNUMBER(Table1[[#This Row],[FECHA DE RECIBIDO]]), Table1[[#This Row],[FECHA DE RECIBIDO]]-DATE(2023,8,30), "")</f>
        <v/>
      </c>
    </row>
    <row r="1348" spans="1:37" ht="16.05" customHeight="1">
      <c r="A1348" s="150"/>
      <c r="B1348" s="151"/>
      <c r="C1348" s="126" t="s">
        <v>69</v>
      </c>
      <c r="D1348"/>
      <c r="E1348" s="126" t="s">
        <v>1911</v>
      </c>
      <c r="F1348" s="122" t="s">
        <v>1911</v>
      </c>
      <c r="G1348" s="122" t="s">
        <v>1911</v>
      </c>
      <c r="H1348"/>
      <c r="I1348" s="122" t="s">
        <v>1911</v>
      </c>
      <c r="J1348" s="307" t="s">
        <v>214</v>
      </c>
      <c r="K1348" s="127" t="s">
        <v>3348</v>
      </c>
      <c r="L1348" s="151" t="s">
        <v>3306</v>
      </c>
      <c r="M1348">
        <v>346</v>
      </c>
      <c r="N1348" s="123">
        <v>24</v>
      </c>
      <c r="O1348">
        <v>819</v>
      </c>
      <c r="P1348" s="131" t="s">
        <v>78</v>
      </c>
      <c r="Q1348" s="238">
        <v>15000</v>
      </c>
      <c r="R1348" s="131">
        <v>0</v>
      </c>
      <c r="S1348" s="131">
        <v>0</v>
      </c>
      <c r="T1348" s="155">
        <v>0</v>
      </c>
      <c r="U1348" s="131">
        <v>0</v>
      </c>
      <c r="V1348" s="131">
        <v>15000</v>
      </c>
      <c r="W1348">
        <v>160</v>
      </c>
      <c r="X1348" s="151" t="s">
        <v>195</v>
      </c>
      <c r="Y1348" s="135" t="s">
        <v>55</v>
      </c>
      <c r="Z1348" s="307">
        <v>219</v>
      </c>
      <c r="AB1348" t="str">
        <f>IF(Table1[[#This Row],[TIPO2]]="costo", VLOOKUP(Table1[[#This Row],[PARTIDA PRESUPUESTAL]],'Cost Report'!G:G,1,0),"Balance")</f>
        <v>Balance</v>
      </c>
      <c r="AC1348" s="118"/>
      <c r="AD1348" s="159">
        <f>+Table1[[#This Row],[SUBTOTAL]]+Table1[[#This Row],[IVA]]-Table1[[#This Row],[RET IVA]]-Table1[[#This Row],[RET ISR]]-Table1[[#This Row],[TOTAL]]</f>
        <v>0</v>
      </c>
      <c r="AE1348" s="150"/>
      <c r="AF1348" s="151"/>
      <c r="AG1348" s="126"/>
      <c r="AH1348" s="115"/>
      <c r="AK1348" s="306" t="str">
        <f>IF(ISNUMBER(Table1[[#This Row],[FECHA DE RECIBIDO]]), Table1[[#This Row],[FECHA DE RECIBIDO]]-DATE(2023,8,30), "")</f>
        <v/>
      </c>
    </row>
    <row r="1349" spans="1:37" ht="16.05" customHeight="1">
      <c r="A1349" s="152" t="s">
        <v>3349</v>
      </c>
      <c r="B1349" s="153">
        <v>479</v>
      </c>
      <c r="C1349" s="126" t="s">
        <v>2596</v>
      </c>
      <c r="D1349">
        <v>811</v>
      </c>
      <c r="E1349" s="126" t="s">
        <v>2008</v>
      </c>
      <c r="F1349" s="125" t="s">
        <v>1607</v>
      </c>
      <c r="G1349" s="125" t="s">
        <v>134</v>
      </c>
      <c r="H1349">
        <v>102</v>
      </c>
      <c r="I1349" s="125" t="s">
        <v>1546</v>
      </c>
      <c r="J1349" s="308" t="s">
        <v>214</v>
      </c>
      <c r="K1349" s="127" t="s">
        <v>3348</v>
      </c>
      <c r="L1349" s="153" t="s">
        <v>1579</v>
      </c>
      <c r="M1349">
        <v>137</v>
      </c>
      <c r="N1349" s="123">
        <v>17</v>
      </c>
      <c r="O1349">
        <v>432</v>
      </c>
      <c r="P1349" s="132" t="s">
        <v>77</v>
      </c>
      <c r="Q1349" s="132">
        <v>1550</v>
      </c>
      <c r="R1349" s="132">
        <v>248</v>
      </c>
      <c r="S1349" s="132"/>
      <c r="T1349" s="156"/>
      <c r="U1349" s="132"/>
      <c r="V1349" s="132">
        <v>1798</v>
      </c>
      <c r="W1349">
        <v>62</v>
      </c>
      <c r="X1349" s="153" t="s">
        <v>1644</v>
      </c>
      <c r="Y1349" s="124" t="s">
        <v>55</v>
      </c>
      <c r="Z1349" s="308">
        <v>204</v>
      </c>
      <c r="AB1349" t="str">
        <f>IF(Table1[[#This Row],[TIPO2]]="costo", VLOOKUP(Table1[[#This Row],[PARTIDA PRESUPUESTAL]],'Cost Report'!G:G,1,0),"Balance")</f>
        <v>2794-003</v>
      </c>
      <c r="AC1349" s="118"/>
      <c r="AD1349" s="159">
        <f>+Table1[[#This Row],[SUBTOTAL]]+Table1[[#This Row],[IVA]]-Table1[[#This Row],[RET IVA]]-Table1[[#This Row],[RET ISR]]-Table1[[#This Row],[TOTAL]]</f>
        <v>0</v>
      </c>
      <c r="AE1349" s="152"/>
      <c r="AF1349" s="153"/>
      <c r="AG1349" s="126" t="s">
        <v>3420</v>
      </c>
      <c r="AH1349" s="115"/>
      <c r="AK1349" s="306" t="str">
        <f>IF(ISNUMBER(Table1[[#This Row],[FECHA DE RECIBIDO]]), Table1[[#This Row],[FECHA DE RECIBIDO]]-DATE(2023,8,30), "")</f>
        <v/>
      </c>
    </row>
    <row r="1350" spans="1:37" ht="16.05" customHeight="1">
      <c r="A1350" s="150" t="s">
        <v>3349</v>
      </c>
      <c r="B1350" s="151">
        <v>479</v>
      </c>
      <c r="C1350" s="126" t="s">
        <v>2596</v>
      </c>
      <c r="D1350">
        <v>812</v>
      </c>
      <c r="E1350" s="126" t="s">
        <v>2008</v>
      </c>
      <c r="F1350" s="122" t="s">
        <v>1607</v>
      </c>
      <c r="G1350" s="122" t="s">
        <v>134</v>
      </c>
      <c r="H1350">
        <v>102</v>
      </c>
      <c r="I1350" s="122" t="s">
        <v>1546</v>
      </c>
      <c r="J1350" s="307" t="s">
        <v>214</v>
      </c>
      <c r="K1350" s="127" t="s">
        <v>3348</v>
      </c>
      <c r="L1350" s="151" t="s">
        <v>1579</v>
      </c>
      <c r="M1350">
        <v>137</v>
      </c>
      <c r="N1350" s="123">
        <v>17</v>
      </c>
      <c r="O1350">
        <v>436</v>
      </c>
      <c r="P1350" s="132" t="s">
        <v>77</v>
      </c>
      <c r="Q1350" s="131">
        <v>775</v>
      </c>
      <c r="R1350" s="131">
        <v>124</v>
      </c>
      <c r="S1350" s="131"/>
      <c r="T1350" s="155"/>
      <c r="U1350" s="131"/>
      <c r="V1350" s="131">
        <v>899</v>
      </c>
      <c r="W1350">
        <v>62</v>
      </c>
      <c r="X1350" s="151" t="s">
        <v>1644</v>
      </c>
      <c r="Y1350" s="135" t="s">
        <v>55</v>
      </c>
      <c r="Z1350" s="307">
        <v>204</v>
      </c>
      <c r="AB1350" t="str">
        <f>IF(Table1[[#This Row],[TIPO2]]="costo", VLOOKUP(Table1[[#This Row],[PARTIDA PRESUPUESTAL]],'Cost Report'!G:G,1,0),"Balance")</f>
        <v>2794-003</v>
      </c>
      <c r="AC1350" s="118"/>
      <c r="AD1350" s="159">
        <f>+Table1[[#This Row],[SUBTOTAL]]+Table1[[#This Row],[IVA]]-Table1[[#This Row],[RET IVA]]-Table1[[#This Row],[RET ISR]]-Table1[[#This Row],[TOTAL]]</f>
        <v>0</v>
      </c>
      <c r="AE1350" s="150"/>
      <c r="AF1350" s="151"/>
      <c r="AG1350" s="126" t="s">
        <v>3420</v>
      </c>
      <c r="AH1350" s="115"/>
      <c r="AK1350" s="306" t="str">
        <f>IF(ISNUMBER(Table1[[#This Row],[FECHA DE RECIBIDO]]), Table1[[#This Row],[FECHA DE RECIBIDO]]-DATE(2023,8,30), "")</f>
        <v/>
      </c>
    </row>
    <row r="1351" spans="1:37" ht="16.05" customHeight="1">
      <c r="A1351" s="152" t="s">
        <v>3349</v>
      </c>
      <c r="B1351" s="153">
        <v>479</v>
      </c>
      <c r="C1351" s="126" t="s">
        <v>2596</v>
      </c>
      <c r="D1351">
        <v>813</v>
      </c>
      <c r="E1351" s="126" t="s">
        <v>2008</v>
      </c>
      <c r="F1351" s="125" t="s">
        <v>1607</v>
      </c>
      <c r="G1351" s="125" t="s">
        <v>134</v>
      </c>
      <c r="H1351">
        <v>102</v>
      </c>
      <c r="I1351" s="125" t="s">
        <v>1546</v>
      </c>
      <c r="J1351" s="308" t="s">
        <v>214</v>
      </c>
      <c r="K1351" s="127" t="s">
        <v>3348</v>
      </c>
      <c r="L1351" s="153" t="s">
        <v>1579</v>
      </c>
      <c r="M1351">
        <v>137</v>
      </c>
      <c r="N1351" s="123">
        <v>17</v>
      </c>
      <c r="O1351">
        <v>457</v>
      </c>
      <c r="P1351" s="132" t="s">
        <v>77</v>
      </c>
      <c r="Q1351" s="132">
        <v>4993.1099999999997</v>
      </c>
      <c r="R1351" s="132">
        <v>798.9</v>
      </c>
      <c r="S1351" s="132"/>
      <c r="T1351" s="156"/>
      <c r="U1351" s="132"/>
      <c r="V1351" s="132">
        <v>5792.0099999999993</v>
      </c>
      <c r="W1351">
        <v>62</v>
      </c>
      <c r="X1351" s="153" t="s">
        <v>1644</v>
      </c>
      <c r="Y1351" s="124" t="s">
        <v>55</v>
      </c>
      <c r="Z1351" s="308">
        <v>204</v>
      </c>
      <c r="AB1351" t="str">
        <f>IF(Table1[[#This Row],[TIPO2]]="costo", VLOOKUP(Table1[[#This Row],[PARTIDA PRESUPUESTAL]],'Cost Report'!G:G,1,0),"Balance")</f>
        <v>2794-003</v>
      </c>
      <c r="AC1351" s="118"/>
      <c r="AD1351" s="159">
        <f>+Table1[[#This Row],[SUBTOTAL]]+Table1[[#This Row],[IVA]]-Table1[[#This Row],[RET IVA]]-Table1[[#This Row],[RET ISR]]-Table1[[#This Row],[TOTAL]]</f>
        <v>0</v>
      </c>
      <c r="AE1351" s="152"/>
      <c r="AF1351" s="153"/>
      <c r="AG1351" s="126" t="s">
        <v>3420</v>
      </c>
      <c r="AH1351" s="115"/>
      <c r="AK1351" s="306" t="str">
        <f>IF(ISNUMBER(Table1[[#This Row],[FECHA DE RECIBIDO]]), Table1[[#This Row],[FECHA DE RECIBIDO]]-DATE(2023,8,30), "")</f>
        <v/>
      </c>
    </row>
    <row r="1352" spans="1:37" ht="16.05" customHeight="1">
      <c r="A1352" s="150" t="s">
        <v>3349</v>
      </c>
      <c r="B1352" s="151">
        <v>479</v>
      </c>
      <c r="C1352" s="126" t="s">
        <v>2596</v>
      </c>
      <c r="D1352">
        <v>814</v>
      </c>
      <c r="E1352" s="126" t="s">
        <v>2008</v>
      </c>
      <c r="F1352" s="122" t="s">
        <v>1607</v>
      </c>
      <c r="G1352" s="122" t="s">
        <v>134</v>
      </c>
      <c r="H1352">
        <v>102</v>
      </c>
      <c r="I1352" s="122" t="s">
        <v>1546</v>
      </c>
      <c r="J1352" s="307" t="s">
        <v>214</v>
      </c>
      <c r="K1352" s="127" t="s">
        <v>3348</v>
      </c>
      <c r="L1352" s="151" t="s">
        <v>1579</v>
      </c>
      <c r="M1352">
        <v>137</v>
      </c>
      <c r="N1352" s="123">
        <v>17</v>
      </c>
      <c r="O1352">
        <v>820</v>
      </c>
      <c r="P1352" s="132" t="s">
        <v>77</v>
      </c>
      <c r="Q1352" s="131">
        <v>14383.62</v>
      </c>
      <c r="R1352" s="131">
        <v>2301.38</v>
      </c>
      <c r="S1352" s="131"/>
      <c r="T1352" s="155"/>
      <c r="U1352" s="131"/>
      <c r="V1352" s="131">
        <v>16685</v>
      </c>
      <c r="W1352">
        <v>62</v>
      </c>
      <c r="X1352" s="151" t="s">
        <v>1644</v>
      </c>
      <c r="Y1352" s="135" t="s">
        <v>55</v>
      </c>
      <c r="Z1352" s="307">
        <v>204</v>
      </c>
      <c r="AB1352" t="str">
        <f>IF(Table1[[#This Row],[TIPO2]]="costo", VLOOKUP(Table1[[#This Row],[PARTIDA PRESUPUESTAL]],'Cost Report'!G:G,1,0),"Balance")</f>
        <v>2794-003</v>
      </c>
      <c r="AC1352" s="118"/>
      <c r="AD1352" s="159">
        <f>+Table1[[#This Row],[SUBTOTAL]]+Table1[[#This Row],[IVA]]-Table1[[#This Row],[RET IVA]]-Table1[[#This Row],[RET ISR]]-Table1[[#This Row],[TOTAL]]</f>
        <v>0</v>
      </c>
      <c r="AE1352" s="150"/>
      <c r="AF1352" s="151"/>
      <c r="AG1352" s="126" t="s">
        <v>3420</v>
      </c>
      <c r="AH1352" s="115"/>
      <c r="AK1352" s="306" t="str">
        <f>IF(ISNUMBER(Table1[[#This Row],[FECHA DE RECIBIDO]]), Table1[[#This Row],[FECHA DE RECIBIDO]]-DATE(2023,8,30), "")</f>
        <v/>
      </c>
    </row>
    <row r="1353" spans="1:37" ht="16.05" customHeight="1">
      <c r="A1353" s="152" t="s">
        <v>3349</v>
      </c>
      <c r="B1353" s="153">
        <v>479</v>
      </c>
      <c r="C1353" s="126" t="s">
        <v>2596</v>
      </c>
      <c r="D1353">
        <v>815</v>
      </c>
      <c r="E1353" s="126" t="s">
        <v>2008</v>
      </c>
      <c r="F1353" s="125" t="s">
        <v>1607</v>
      </c>
      <c r="G1353" s="125" t="s">
        <v>134</v>
      </c>
      <c r="H1353">
        <v>102</v>
      </c>
      <c r="I1353" s="125" t="s">
        <v>1546</v>
      </c>
      <c r="J1353" s="308" t="s">
        <v>214</v>
      </c>
      <c r="K1353" s="127" t="s">
        <v>3348</v>
      </c>
      <c r="L1353" s="153" t="s">
        <v>1579</v>
      </c>
      <c r="M1353">
        <v>137</v>
      </c>
      <c r="N1353" s="123">
        <v>17</v>
      </c>
      <c r="O1353">
        <v>821</v>
      </c>
      <c r="P1353" s="132" t="s">
        <v>77</v>
      </c>
      <c r="Q1353" s="132">
        <v>5346.55</v>
      </c>
      <c r="R1353" s="132">
        <v>855.45</v>
      </c>
      <c r="S1353" s="132"/>
      <c r="T1353" s="156"/>
      <c r="U1353" s="132"/>
      <c r="V1353" s="132">
        <v>6202</v>
      </c>
      <c r="W1353">
        <v>62</v>
      </c>
      <c r="X1353" s="153" t="s">
        <v>1644</v>
      </c>
      <c r="Y1353" s="124" t="s">
        <v>55</v>
      </c>
      <c r="Z1353" s="308">
        <v>204</v>
      </c>
      <c r="AB1353" t="str">
        <f>IF(Table1[[#This Row],[TIPO2]]="costo", VLOOKUP(Table1[[#This Row],[PARTIDA PRESUPUESTAL]],'Cost Report'!G:G,1,0),"Balance")</f>
        <v>2794-003</v>
      </c>
      <c r="AC1353" s="118"/>
      <c r="AD1353" s="159">
        <f>+Table1[[#This Row],[SUBTOTAL]]+Table1[[#This Row],[IVA]]-Table1[[#This Row],[RET IVA]]-Table1[[#This Row],[RET ISR]]-Table1[[#This Row],[TOTAL]]</f>
        <v>0</v>
      </c>
      <c r="AE1353" s="152"/>
      <c r="AF1353" s="153"/>
      <c r="AG1353" s="126" t="s">
        <v>3420</v>
      </c>
      <c r="AH1353" s="115"/>
      <c r="AK1353" s="306" t="str">
        <f>IF(ISNUMBER(Table1[[#This Row],[FECHA DE RECIBIDO]]), Table1[[#This Row],[FECHA DE RECIBIDO]]-DATE(2023,8,30), "")</f>
        <v/>
      </c>
    </row>
    <row r="1354" spans="1:37" ht="16.05" customHeight="1">
      <c r="A1354" s="150" t="s">
        <v>3349</v>
      </c>
      <c r="B1354" s="151">
        <v>479</v>
      </c>
      <c r="C1354" s="126" t="s">
        <v>2596</v>
      </c>
      <c r="D1354">
        <v>816</v>
      </c>
      <c r="E1354" s="126" t="s">
        <v>2008</v>
      </c>
      <c r="F1354" s="122" t="s">
        <v>1607</v>
      </c>
      <c r="G1354" s="122" t="s">
        <v>134</v>
      </c>
      <c r="H1354">
        <v>102</v>
      </c>
      <c r="I1354" s="122" t="s">
        <v>1546</v>
      </c>
      <c r="J1354" s="307" t="s">
        <v>214</v>
      </c>
      <c r="K1354" s="127" t="s">
        <v>3348</v>
      </c>
      <c r="L1354" s="151" t="s">
        <v>1579</v>
      </c>
      <c r="M1354">
        <v>137</v>
      </c>
      <c r="N1354" s="123">
        <v>17</v>
      </c>
      <c r="O1354">
        <v>822</v>
      </c>
      <c r="P1354" s="132" t="s">
        <v>77</v>
      </c>
      <c r="Q1354" s="131">
        <v>1377.58</v>
      </c>
      <c r="R1354" s="131">
        <v>220.41</v>
      </c>
      <c r="S1354" s="131"/>
      <c r="T1354" s="155"/>
      <c r="U1354" s="131"/>
      <c r="V1354" s="131">
        <v>1597.99</v>
      </c>
      <c r="W1354">
        <v>62</v>
      </c>
      <c r="X1354" s="151" t="s">
        <v>1644</v>
      </c>
      <c r="Y1354" s="135" t="s">
        <v>55</v>
      </c>
      <c r="Z1354" s="307">
        <v>204</v>
      </c>
      <c r="AB1354" t="str">
        <f>IF(Table1[[#This Row],[TIPO2]]="costo", VLOOKUP(Table1[[#This Row],[PARTIDA PRESUPUESTAL]],'Cost Report'!G:G,1,0),"Balance")</f>
        <v>2794-003</v>
      </c>
      <c r="AC1354" s="118"/>
      <c r="AD1354" s="159">
        <f>+Table1[[#This Row],[SUBTOTAL]]+Table1[[#This Row],[IVA]]-Table1[[#This Row],[RET IVA]]-Table1[[#This Row],[RET ISR]]-Table1[[#This Row],[TOTAL]]</f>
        <v>0</v>
      </c>
      <c r="AE1354" s="150"/>
      <c r="AF1354" s="151"/>
      <c r="AG1354" s="126" t="s">
        <v>3420</v>
      </c>
      <c r="AH1354" s="115"/>
      <c r="AK1354" s="306" t="str">
        <f>IF(ISNUMBER(Table1[[#This Row],[FECHA DE RECIBIDO]]), Table1[[#This Row],[FECHA DE RECIBIDO]]-DATE(2023,8,30), "")</f>
        <v/>
      </c>
    </row>
    <row r="1355" spans="1:37" ht="16.05" customHeight="1">
      <c r="A1355" s="152" t="s">
        <v>3349</v>
      </c>
      <c r="B1355" s="153">
        <v>479</v>
      </c>
      <c r="C1355" s="126" t="s">
        <v>2596</v>
      </c>
      <c r="D1355">
        <v>817</v>
      </c>
      <c r="E1355" s="126"/>
      <c r="F1355" s="125"/>
      <c r="G1355" s="125" t="s">
        <v>134</v>
      </c>
      <c r="H1355"/>
      <c r="I1355" s="125" t="s">
        <v>1637</v>
      </c>
      <c r="J1355" s="308" t="s">
        <v>214</v>
      </c>
      <c r="K1355" s="127" t="s">
        <v>3348</v>
      </c>
      <c r="L1355" s="153" t="s">
        <v>1579</v>
      </c>
      <c r="M1355">
        <v>354</v>
      </c>
      <c r="N1355" s="123">
        <v>17</v>
      </c>
      <c r="O1355">
        <v>823</v>
      </c>
      <c r="P1355" s="132" t="s">
        <v>77</v>
      </c>
      <c r="Q1355" s="132">
        <v>2239.66</v>
      </c>
      <c r="R1355" s="132">
        <v>358.35</v>
      </c>
      <c r="S1355" s="132"/>
      <c r="T1355" s="156"/>
      <c r="U1355" s="132"/>
      <c r="V1355" s="132">
        <v>2598.0099999999998</v>
      </c>
      <c r="W1355">
        <v>62</v>
      </c>
      <c r="X1355" s="153" t="s">
        <v>1644</v>
      </c>
      <c r="Y1355" s="124" t="s">
        <v>55</v>
      </c>
      <c r="Z1355" s="308">
        <v>184</v>
      </c>
      <c r="AB1355" t="str">
        <f>IF(Table1[[#This Row],[TIPO2]]="costo", VLOOKUP(Table1[[#This Row],[PARTIDA PRESUPUESTAL]],'Cost Report'!G:G,1,0),"Balance")</f>
        <v>2794-003</v>
      </c>
      <c r="AC1355" s="118"/>
      <c r="AD1355" s="159">
        <f>+Table1[[#This Row],[SUBTOTAL]]+Table1[[#This Row],[IVA]]-Table1[[#This Row],[RET IVA]]-Table1[[#This Row],[RET ISR]]-Table1[[#This Row],[TOTAL]]</f>
        <v>0</v>
      </c>
      <c r="AE1355" s="152"/>
      <c r="AF1355" s="153"/>
      <c r="AG1355" s="126" t="s">
        <v>3420</v>
      </c>
      <c r="AH1355" s="115"/>
      <c r="AK1355" s="306" t="str">
        <f>IF(ISNUMBER(Table1[[#This Row],[FECHA DE RECIBIDO]]), Table1[[#This Row],[FECHA DE RECIBIDO]]-DATE(2023,8,30), "")</f>
        <v/>
      </c>
    </row>
    <row r="1356" spans="1:37" ht="16.05" customHeight="1">
      <c r="A1356" s="150" t="s">
        <v>3349</v>
      </c>
      <c r="B1356" s="151">
        <v>479</v>
      </c>
      <c r="C1356" s="126" t="s">
        <v>2596</v>
      </c>
      <c r="D1356">
        <v>818</v>
      </c>
      <c r="E1356" s="126" t="s">
        <v>3350</v>
      </c>
      <c r="F1356" s="122" t="s">
        <v>1589</v>
      </c>
      <c r="G1356" s="122" t="s">
        <v>129</v>
      </c>
      <c r="H1356">
        <v>266</v>
      </c>
      <c r="I1356" s="122" t="s">
        <v>1546</v>
      </c>
      <c r="J1356" s="307" t="s">
        <v>214</v>
      </c>
      <c r="K1356" s="127" t="s">
        <v>3348</v>
      </c>
      <c r="L1356" s="151" t="s">
        <v>1579</v>
      </c>
      <c r="M1356">
        <v>355</v>
      </c>
      <c r="N1356" s="123">
        <v>17</v>
      </c>
      <c r="O1356">
        <v>824</v>
      </c>
      <c r="P1356" s="132" t="s">
        <v>77</v>
      </c>
      <c r="Q1356" s="131">
        <v>114</v>
      </c>
      <c r="R1356" s="131">
        <v>18.239999999999998</v>
      </c>
      <c r="S1356" s="131"/>
      <c r="T1356" s="155"/>
      <c r="U1356" s="131"/>
      <c r="V1356" s="131">
        <v>132.24</v>
      </c>
      <c r="W1356">
        <v>62</v>
      </c>
      <c r="X1356" s="151" t="s">
        <v>1644</v>
      </c>
      <c r="Y1356" s="135" t="s">
        <v>55</v>
      </c>
      <c r="Z1356" s="307">
        <v>202</v>
      </c>
      <c r="AB1356" t="str">
        <f>IF(Table1[[#This Row],[TIPO2]]="costo", VLOOKUP(Table1[[#This Row],[PARTIDA PRESUPUESTAL]],'Cost Report'!G:G,1,0),"Balance")</f>
        <v>2794-003</v>
      </c>
      <c r="AC1356" s="118"/>
      <c r="AD1356" s="159">
        <f>+Table1[[#This Row],[SUBTOTAL]]+Table1[[#This Row],[IVA]]-Table1[[#This Row],[RET IVA]]-Table1[[#This Row],[RET ISR]]-Table1[[#This Row],[TOTAL]]</f>
        <v>0</v>
      </c>
      <c r="AE1356" s="150"/>
      <c r="AF1356" s="151"/>
      <c r="AG1356" s="126" t="s">
        <v>3420</v>
      </c>
      <c r="AH1356" s="115"/>
      <c r="AK1356" s="306" t="str">
        <f>IF(ISNUMBER(Table1[[#This Row],[FECHA DE RECIBIDO]]), Table1[[#This Row],[FECHA DE RECIBIDO]]-DATE(2023,8,30), "")</f>
        <v/>
      </c>
    </row>
    <row r="1357" spans="1:37" ht="16.05" customHeight="1">
      <c r="A1357" s="152" t="s">
        <v>3349</v>
      </c>
      <c r="B1357" s="153">
        <v>479</v>
      </c>
      <c r="C1357" s="126" t="s">
        <v>2596</v>
      </c>
      <c r="D1357">
        <v>819</v>
      </c>
      <c r="E1357" s="126"/>
      <c r="F1357" s="125"/>
      <c r="G1357" s="125" t="s">
        <v>134</v>
      </c>
      <c r="H1357"/>
      <c r="I1357" s="125" t="s">
        <v>1546</v>
      </c>
      <c r="J1357" s="308" t="s">
        <v>214</v>
      </c>
      <c r="K1357" s="127" t="s">
        <v>3348</v>
      </c>
      <c r="L1357" s="153" t="s">
        <v>1579</v>
      </c>
      <c r="M1357">
        <v>354</v>
      </c>
      <c r="N1357" s="123">
        <v>17</v>
      </c>
      <c r="O1357">
        <v>825</v>
      </c>
      <c r="P1357" s="132" t="s">
        <v>77</v>
      </c>
      <c r="Q1357" s="132">
        <v>2408.62</v>
      </c>
      <c r="R1357" s="132">
        <v>385.38</v>
      </c>
      <c r="S1357" s="132"/>
      <c r="T1357" s="156"/>
      <c r="U1357" s="132"/>
      <c r="V1357" s="132">
        <v>2794</v>
      </c>
      <c r="W1357">
        <v>62</v>
      </c>
      <c r="X1357" s="153" t="s">
        <v>1644</v>
      </c>
      <c r="Y1357" s="124" t="s">
        <v>55</v>
      </c>
      <c r="Z1357" s="308">
        <v>195</v>
      </c>
      <c r="AB1357" t="str">
        <f>IF(Table1[[#This Row],[TIPO2]]="costo", VLOOKUP(Table1[[#This Row],[PARTIDA PRESUPUESTAL]],'Cost Report'!G:G,1,0),"Balance")</f>
        <v>2794-003</v>
      </c>
      <c r="AC1357" s="118"/>
      <c r="AD1357" s="159">
        <f>+Table1[[#This Row],[SUBTOTAL]]+Table1[[#This Row],[IVA]]-Table1[[#This Row],[RET IVA]]-Table1[[#This Row],[RET ISR]]-Table1[[#This Row],[TOTAL]]</f>
        <v>0</v>
      </c>
      <c r="AE1357" s="152"/>
      <c r="AF1357" s="153"/>
      <c r="AG1357" s="126" t="s">
        <v>3420</v>
      </c>
      <c r="AH1357" s="115"/>
      <c r="AK1357" s="306" t="str">
        <f>IF(ISNUMBER(Table1[[#This Row],[FECHA DE RECIBIDO]]), Table1[[#This Row],[FECHA DE RECIBIDO]]-DATE(2023,8,30), "")</f>
        <v/>
      </c>
    </row>
    <row r="1358" spans="1:37" ht="16.05" customHeight="1">
      <c r="A1358" s="150" t="s">
        <v>3349</v>
      </c>
      <c r="B1358" s="151">
        <v>479</v>
      </c>
      <c r="C1358" s="126" t="s">
        <v>2596</v>
      </c>
      <c r="D1358">
        <v>820</v>
      </c>
      <c r="E1358" s="126" t="s">
        <v>1615</v>
      </c>
      <c r="F1358" s="122" t="s">
        <v>1607</v>
      </c>
      <c r="G1358" s="122" t="s">
        <v>134</v>
      </c>
      <c r="H1358">
        <v>150</v>
      </c>
      <c r="I1358" s="122" t="s">
        <v>1546</v>
      </c>
      <c r="J1358" s="307" t="s">
        <v>214</v>
      </c>
      <c r="K1358" s="127" t="s">
        <v>3348</v>
      </c>
      <c r="L1358" s="151" t="s">
        <v>1579</v>
      </c>
      <c r="M1358">
        <v>208</v>
      </c>
      <c r="N1358" s="123">
        <v>17</v>
      </c>
      <c r="O1358">
        <v>826</v>
      </c>
      <c r="P1358" s="132" t="s">
        <v>77</v>
      </c>
      <c r="Q1358" s="131">
        <v>683.61</v>
      </c>
      <c r="R1358" s="131">
        <v>109.38</v>
      </c>
      <c r="S1358" s="131"/>
      <c r="T1358" s="155"/>
      <c r="U1358" s="131"/>
      <c r="V1358" s="131">
        <v>792.99</v>
      </c>
      <c r="W1358">
        <v>62</v>
      </c>
      <c r="X1358" s="151" t="s">
        <v>1644</v>
      </c>
      <c r="Y1358" s="135" t="s">
        <v>55</v>
      </c>
      <c r="Z1358" s="307">
        <v>203</v>
      </c>
      <c r="AB1358" t="str">
        <f>IF(Table1[[#This Row],[TIPO2]]="costo", VLOOKUP(Table1[[#This Row],[PARTIDA PRESUPUESTAL]],'Cost Report'!G:G,1,0),"Balance")</f>
        <v>2794-003</v>
      </c>
      <c r="AC1358" s="118"/>
      <c r="AD1358" s="159">
        <f>+Table1[[#This Row],[SUBTOTAL]]+Table1[[#This Row],[IVA]]-Table1[[#This Row],[RET IVA]]-Table1[[#This Row],[RET ISR]]-Table1[[#This Row],[TOTAL]]</f>
        <v>0</v>
      </c>
      <c r="AE1358" s="150"/>
      <c r="AF1358" s="151"/>
      <c r="AG1358" s="126" t="s">
        <v>3420</v>
      </c>
      <c r="AH1358" s="115"/>
      <c r="AK1358" s="306" t="str">
        <f>IF(ISNUMBER(Table1[[#This Row],[FECHA DE RECIBIDO]]), Table1[[#This Row],[FECHA DE RECIBIDO]]-DATE(2023,8,30), "")</f>
        <v/>
      </c>
    </row>
    <row r="1359" spans="1:37" ht="16.05" customHeight="1">
      <c r="A1359" s="152" t="s">
        <v>3349</v>
      </c>
      <c r="B1359" s="153">
        <v>479</v>
      </c>
      <c r="C1359" s="126" t="s">
        <v>2596</v>
      </c>
      <c r="D1359">
        <v>821</v>
      </c>
      <c r="E1359" s="126" t="s">
        <v>3350</v>
      </c>
      <c r="F1359" s="125" t="s">
        <v>1607</v>
      </c>
      <c r="G1359" s="125" t="s">
        <v>134</v>
      </c>
      <c r="H1359">
        <v>267</v>
      </c>
      <c r="I1359" s="125" t="s">
        <v>1546</v>
      </c>
      <c r="J1359" s="308" t="s">
        <v>214</v>
      </c>
      <c r="K1359" s="127" t="s">
        <v>3348</v>
      </c>
      <c r="L1359" s="153" t="s">
        <v>1579</v>
      </c>
      <c r="M1359">
        <v>356</v>
      </c>
      <c r="N1359" s="123">
        <v>17</v>
      </c>
      <c r="O1359">
        <v>827</v>
      </c>
      <c r="P1359" s="132" t="s">
        <v>77</v>
      </c>
      <c r="Q1359" s="132">
        <v>280.17</v>
      </c>
      <c r="R1359" s="132">
        <v>44.83</v>
      </c>
      <c r="S1359" s="132"/>
      <c r="T1359" s="156"/>
      <c r="U1359" s="132"/>
      <c r="V1359" s="132">
        <v>325</v>
      </c>
      <c r="W1359">
        <v>62</v>
      </c>
      <c r="X1359" s="153" t="s">
        <v>1644</v>
      </c>
      <c r="Y1359" s="124" t="s">
        <v>55</v>
      </c>
      <c r="Z1359" s="308">
        <v>197</v>
      </c>
      <c r="AB1359" t="str">
        <f>IF(Table1[[#This Row],[TIPO2]]="costo", VLOOKUP(Table1[[#This Row],[PARTIDA PRESUPUESTAL]],'Cost Report'!G:G,1,0),"Balance")</f>
        <v>2794-003</v>
      </c>
      <c r="AC1359" s="118"/>
      <c r="AD1359" s="159">
        <f>+Table1[[#This Row],[SUBTOTAL]]+Table1[[#This Row],[IVA]]-Table1[[#This Row],[RET IVA]]-Table1[[#This Row],[RET ISR]]-Table1[[#This Row],[TOTAL]]</f>
        <v>0</v>
      </c>
      <c r="AE1359" s="152"/>
      <c r="AF1359" s="153"/>
      <c r="AG1359" s="126" t="s">
        <v>3420</v>
      </c>
      <c r="AH1359" s="115"/>
      <c r="AK1359" s="306" t="str">
        <f>IF(ISNUMBER(Table1[[#This Row],[FECHA DE RECIBIDO]]), Table1[[#This Row],[FECHA DE RECIBIDO]]-DATE(2023,8,30), "")</f>
        <v/>
      </c>
    </row>
    <row r="1360" spans="1:37" ht="16.05" customHeight="1">
      <c r="A1360" s="150" t="s">
        <v>3349</v>
      </c>
      <c r="B1360" s="151">
        <v>479</v>
      </c>
      <c r="C1360" s="126" t="s">
        <v>2596</v>
      </c>
      <c r="D1360">
        <v>822</v>
      </c>
      <c r="E1360" s="126"/>
      <c r="F1360" s="122"/>
      <c r="G1360" s="122" t="s">
        <v>134</v>
      </c>
      <c r="H1360"/>
      <c r="I1360" s="122" t="s">
        <v>1637</v>
      </c>
      <c r="J1360" s="307" t="s">
        <v>214</v>
      </c>
      <c r="K1360" s="127" t="s">
        <v>3348</v>
      </c>
      <c r="L1360" s="151" t="s">
        <v>1579</v>
      </c>
      <c r="M1360">
        <v>354</v>
      </c>
      <c r="N1360" s="123">
        <v>17</v>
      </c>
      <c r="O1360">
        <v>828</v>
      </c>
      <c r="P1360" s="132" t="s">
        <v>77</v>
      </c>
      <c r="Q1360" s="131">
        <v>861.21</v>
      </c>
      <c r="R1360" s="131">
        <v>137.79</v>
      </c>
      <c r="S1360" s="131"/>
      <c r="T1360" s="155"/>
      <c r="U1360" s="131"/>
      <c r="V1360" s="131">
        <v>999</v>
      </c>
      <c r="W1360">
        <v>62</v>
      </c>
      <c r="X1360" s="151" t="s">
        <v>1644</v>
      </c>
      <c r="Y1360" s="135" t="s">
        <v>55</v>
      </c>
      <c r="Z1360" s="307">
        <v>184</v>
      </c>
      <c r="AB1360" t="str">
        <f>IF(Table1[[#This Row],[TIPO2]]="costo", VLOOKUP(Table1[[#This Row],[PARTIDA PRESUPUESTAL]],'Cost Report'!G:G,1,0),"Balance")</f>
        <v>2794-003</v>
      </c>
      <c r="AC1360" s="118"/>
      <c r="AD1360" s="159">
        <f>+Table1[[#This Row],[SUBTOTAL]]+Table1[[#This Row],[IVA]]-Table1[[#This Row],[RET IVA]]-Table1[[#This Row],[RET ISR]]-Table1[[#This Row],[TOTAL]]</f>
        <v>0</v>
      </c>
      <c r="AE1360" s="150"/>
      <c r="AF1360" s="151"/>
      <c r="AG1360" s="126" t="s">
        <v>3420</v>
      </c>
      <c r="AH1360" s="115"/>
      <c r="AK1360" s="306" t="str">
        <f>IF(ISNUMBER(Table1[[#This Row],[FECHA DE RECIBIDO]]), Table1[[#This Row],[FECHA DE RECIBIDO]]-DATE(2023,8,30), "")</f>
        <v/>
      </c>
    </row>
    <row r="1361" spans="1:37" ht="16.05" customHeight="1">
      <c r="A1361" s="152" t="s">
        <v>3351</v>
      </c>
      <c r="B1361" s="153">
        <v>480</v>
      </c>
      <c r="C1361" s="126" t="s">
        <v>2455</v>
      </c>
      <c r="D1361">
        <v>823</v>
      </c>
      <c r="E1361" s="126" t="s">
        <v>3278</v>
      </c>
      <c r="F1361" s="125" t="s">
        <v>1607</v>
      </c>
      <c r="G1361" s="125" t="s">
        <v>134</v>
      </c>
      <c r="H1361">
        <v>56</v>
      </c>
      <c r="I1361" s="125" t="s">
        <v>1546</v>
      </c>
      <c r="J1361" s="308" t="s">
        <v>214</v>
      </c>
      <c r="K1361" s="127" t="s">
        <v>3348</v>
      </c>
      <c r="L1361" s="153" t="s">
        <v>1579</v>
      </c>
      <c r="M1361">
        <v>357</v>
      </c>
      <c r="N1361" s="123">
        <v>17</v>
      </c>
      <c r="O1361">
        <v>829</v>
      </c>
      <c r="P1361" s="132" t="s">
        <v>77</v>
      </c>
      <c r="Q1361" s="132">
        <v>413.09</v>
      </c>
      <c r="R1361" s="132">
        <v>66.11</v>
      </c>
      <c r="S1361" s="132"/>
      <c r="T1361" s="156"/>
      <c r="U1361" s="132"/>
      <c r="V1361" s="132">
        <v>479.2</v>
      </c>
      <c r="W1361">
        <v>101</v>
      </c>
      <c r="X1361" s="153" t="s">
        <v>1644</v>
      </c>
      <c r="Y1361" s="124" t="s">
        <v>55</v>
      </c>
      <c r="Z1361" s="308">
        <v>202</v>
      </c>
      <c r="AB1361" t="str">
        <f>IF(Table1[[#This Row],[TIPO2]]="costo", VLOOKUP(Table1[[#This Row],[PARTIDA PRESUPUESTAL]],'Cost Report'!G:G,1,0),"Balance")</f>
        <v>2285-003</v>
      </c>
      <c r="AC1361" s="118"/>
      <c r="AD1361" s="159">
        <f>+Table1[[#This Row],[SUBTOTAL]]+Table1[[#This Row],[IVA]]-Table1[[#This Row],[RET IVA]]-Table1[[#This Row],[RET ISR]]-Table1[[#This Row],[TOTAL]]</f>
        <v>0</v>
      </c>
      <c r="AE1361" s="152"/>
      <c r="AF1361" s="153"/>
      <c r="AG1361" s="126" t="s">
        <v>3420</v>
      </c>
      <c r="AH1361" s="115"/>
      <c r="AK1361" s="306" t="str">
        <f>IF(ISNUMBER(Table1[[#This Row],[FECHA DE RECIBIDO]]), Table1[[#This Row],[FECHA DE RECIBIDO]]-DATE(2023,8,30), "")</f>
        <v/>
      </c>
    </row>
    <row r="1362" spans="1:37" ht="16.05" customHeight="1">
      <c r="A1362" s="150" t="s">
        <v>3351</v>
      </c>
      <c r="B1362" s="151">
        <v>480</v>
      </c>
      <c r="C1362" s="126" t="s">
        <v>2461</v>
      </c>
      <c r="D1362">
        <v>824</v>
      </c>
      <c r="E1362" s="126" t="s">
        <v>1596</v>
      </c>
      <c r="F1362" s="122" t="s">
        <v>1607</v>
      </c>
      <c r="G1362" s="122" t="s">
        <v>134</v>
      </c>
      <c r="H1362">
        <v>268</v>
      </c>
      <c r="I1362" s="122" t="s">
        <v>1546</v>
      </c>
      <c r="J1362" s="307" t="s">
        <v>214</v>
      </c>
      <c r="K1362" s="127" t="s">
        <v>3348</v>
      </c>
      <c r="L1362" s="151" t="s">
        <v>1579</v>
      </c>
      <c r="M1362">
        <v>358</v>
      </c>
      <c r="N1362" s="123">
        <v>17</v>
      </c>
      <c r="O1362">
        <v>830</v>
      </c>
      <c r="P1362" s="132" t="s">
        <v>77</v>
      </c>
      <c r="Q1362" s="131">
        <v>185.35</v>
      </c>
      <c r="R1362" s="131">
        <v>29.66</v>
      </c>
      <c r="S1362" s="131"/>
      <c r="T1362" s="155"/>
      <c r="U1362" s="131"/>
      <c r="V1362" s="131">
        <v>215.01</v>
      </c>
      <c r="W1362">
        <v>101</v>
      </c>
      <c r="X1362" s="151" t="s">
        <v>1644</v>
      </c>
      <c r="Y1362" s="135" t="s">
        <v>55</v>
      </c>
      <c r="Z1362" s="307">
        <v>208</v>
      </c>
      <c r="AB1362" t="str">
        <f>IF(Table1[[#This Row],[TIPO2]]="costo", VLOOKUP(Table1[[#This Row],[PARTIDA PRESUPUESTAL]],'Cost Report'!G:G,1,0),"Balance")</f>
        <v>2385-003</v>
      </c>
      <c r="AC1362" s="118"/>
      <c r="AD1362" s="159">
        <f>+Table1[[#This Row],[SUBTOTAL]]+Table1[[#This Row],[IVA]]-Table1[[#This Row],[RET IVA]]-Table1[[#This Row],[RET ISR]]-Table1[[#This Row],[TOTAL]]</f>
        <v>0</v>
      </c>
      <c r="AE1362" s="150"/>
      <c r="AF1362" s="151"/>
      <c r="AG1362" s="126" t="s">
        <v>3420</v>
      </c>
      <c r="AH1362" s="115"/>
      <c r="AK1362" s="306" t="str">
        <f>IF(ISNUMBER(Table1[[#This Row],[FECHA DE RECIBIDO]]), Table1[[#This Row],[FECHA DE RECIBIDO]]-DATE(2023,8,30), "")</f>
        <v/>
      </c>
    </row>
    <row r="1363" spans="1:37" ht="16.05" customHeight="1">
      <c r="A1363" s="152" t="s">
        <v>3351</v>
      </c>
      <c r="B1363" s="153">
        <v>480</v>
      </c>
      <c r="C1363" s="126" t="s">
        <v>2461</v>
      </c>
      <c r="D1363">
        <v>825</v>
      </c>
      <c r="E1363" s="126" t="s">
        <v>1992</v>
      </c>
      <c r="F1363" s="125" t="s">
        <v>1607</v>
      </c>
      <c r="G1363" s="125" t="s">
        <v>134</v>
      </c>
      <c r="H1363">
        <v>269</v>
      </c>
      <c r="I1363" s="125" t="s">
        <v>1546</v>
      </c>
      <c r="J1363" s="308" t="s">
        <v>214</v>
      </c>
      <c r="K1363" s="127" t="s">
        <v>3348</v>
      </c>
      <c r="L1363" s="153" t="s">
        <v>1579</v>
      </c>
      <c r="M1363">
        <v>359</v>
      </c>
      <c r="N1363" s="123">
        <v>17</v>
      </c>
      <c r="O1363">
        <v>831</v>
      </c>
      <c r="P1363" s="132" t="s">
        <v>77</v>
      </c>
      <c r="Q1363" s="132">
        <v>176.74</v>
      </c>
      <c r="R1363" s="132">
        <v>28.28</v>
      </c>
      <c r="S1363" s="132"/>
      <c r="T1363" s="156"/>
      <c r="U1363" s="132"/>
      <c r="V1363" s="132">
        <v>205.02</v>
      </c>
      <c r="W1363">
        <v>101</v>
      </c>
      <c r="X1363" s="153" t="s">
        <v>1644</v>
      </c>
      <c r="Y1363" s="124" t="s">
        <v>55</v>
      </c>
      <c r="Z1363" s="308">
        <v>208</v>
      </c>
      <c r="AB1363" t="str">
        <f>IF(Table1[[#This Row],[TIPO2]]="costo", VLOOKUP(Table1[[#This Row],[PARTIDA PRESUPUESTAL]],'Cost Report'!G:G,1,0),"Balance")</f>
        <v>2385-003</v>
      </c>
      <c r="AC1363" s="118"/>
      <c r="AD1363" s="159">
        <f>+Table1[[#This Row],[SUBTOTAL]]+Table1[[#This Row],[IVA]]-Table1[[#This Row],[RET IVA]]-Table1[[#This Row],[RET ISR]]-Table1[[#This Row],[TOTAL]]</f>
        <v>0</v>
      </c>
      <c r="AE1363" s="152"/>
      <c r="AF1363" s="153"/>
      <c r="AG1363" s="126" t="s">
        <v>3420</v>
      </c>
      <c r="AH1363" s="115"/>
      <c r="AK1363" s="306" t="str">
        <f>IF(ISNUMBER(Table1[[#This Row],[FECHA DE RECIBIDO]]), Table1[[#This Row],[FECHA DE RECIBIDO]]-DATE(2023,8,30), "")</f>
        <v/>
      </c>
    </row>
    <row r="1364" spans="1:37" ht="16.05" customHeight="1">
      <c r="A1364" s="150" t="s">
        <v>3351</v>
      </c>
      <c r="B1364" s="151">
        <v>480</v>
      </c>
      <c r="C1364" s="126" t="s">
        <v>2461</v>
      </c>
      <c r="D1364">
        <v>826</v>
      </c>
      <c r="E1364" s="126" t="s">
        <v>1992</v>
      </c>
      <c r="F1364" s="122" t="s">
        <v>1607</v>
      </c>
      <c r="G1364" s="122" t="s">
        <v>134</v>
      </c>
      <c r="H1364">
        <v>269</v>
      </c>
      <c r="I1364" s="122" t="s">
        <v>1546</v>
      </c>
      <c r="J1364" s="307" t="s">
        <v>214</v>
      </c>
      <c r="K1364" s="127" t="s">
        <v>3348</v>
      </c>
      <c r="L1364" s="151" t="s">
        <v>1579</v>
      </c>
      <c r="M1364">
        <v>359</v>
      </c>
      <c r="N1364" s="123">
        <v>17</v>
      </c>
      <c r="O1364">
        <v>832</v>
      </c>
      <c r="P1364" s="132" t="s">
        <v>77</v>
      </c>
      <c r="Q1364" s="131">
        <v>2120.4</v>
      </c>
      <c r="R1364" s="131">
        <v>339.26</v>
      </c>
      <c r="S1364" s="131"/>
      <c r="T1364" s="155"/>
      <c r="U1364" s="131"/>
      <c r="V1364" s="131">
        <v>2459.66</v>
      </c>
      <c r="W1364">
        <v>101</v>
      </c>
      <c r="X1364" s="151" t="s">
        <v>1644</v>
      </c>
      <c r="Y1364" s="135" t="s">
        <v>55</v>
      </c>
      <c r="Z1364" s="307">
        <v>208</v>
      </c>
      <c r="AB1364" t="str">
        <f>IF(Table1[[#This Row],[TIPO2]]="costo", VLOOKUP(Table1[[#This Row],[PARTIDA PRESUPUESTAL]],'Cost Report'!G:G,1,0),"Balance")</f>
        <v>2385-003</v>
      </c>
      <c r="AC1364" s="118"/>
      <c r="AD1364" s="159">
        <f>+Table1[[#This Row],[SUBTOTAL]]+Table1[[#This Row],[IVA]]-Table1[[#This Row],[RET IVA]]-Table1[[#This Row],[RET ISR]]-Table1[[#This Row],[TOTAL]]</f>
        <v>0</v>
      </c>
      <c r="AE1364" s="150"/>
      <c r="AF1364" s="151"/>
      <c r="AG1364" s="126" t="s">
        <v>3420</v>
      </c>
      <c r="AH1364" s="115"/>
      <c r="AK1364" s="306" t="str">
        <f>IF(ISNUMBER(Table1[[#This Row],[FECHA DE RECIBIDO]]), Table1[[#This Row],[FECHA DE RECIBIDO]]-DATE(2023,8,30), "")</f>
        <v/>
      </c>
    </row>
    <row r="1365" spans="1:37" ht="16.05" customHeight="1">
      <c r="A1365" s="152" t="s">
        <v>3351</v>
      </c>
      <c r="B1365" s="153">
        <v>480</v>
      </c>
      <c r="C1365" s="126" t="s">
        <v>610</v>
      </c>
      <c r="D1365">
        <v>827</v>
      </c>
      <c r="E1365" s="126" t="s">
        <v>3275</v>
      </c>
      <c r="F1365" s="125" t="s">
        <v>1607</v>
      </c>
      <c r="G1365" s="125" t="s">
        <v>134</v>
      </c>
      <c r="H1365">
        <v>57</v>
      </c>
      <c r="I1365" s="125" t="s">
        <v>1546</v>
      </c>
      <c r="J1365" s="308" t="s">
        <v>214</v>
      </c>
      <c r="K1365" s="127" t="s">
        <v>3348</v>
      </c>
      <c r="L1365" s="153" t="s">
        <v>1579</v>
      </c>
      <c r="M1365">
        <v>79</v>
      </c>
      <c r="N1365" s="123">
        <v>17</v>
      </c>
      <c r="O1365">
        <v>833</v>
      </c>
      <c r="P1365" s="132" t="s">
        <v>77</v>
      </c>
      <c r="Q1365" s="132">
        <v>287.83999999999997</v>
      </c>
      <c r="R1365" s="132">
        <v>46.06</v>
      </c>
      <c r="S1365" s="132"/>
      <c r="T1365" s="156"/>
      <c r="U1365" s="132"/>
      <c r="V1365" s="132">
        <v>333.9</v>
      </c>
      <c r="W1365">
        <v>101</v>
      </c>
      <c r="X1365" s="153" t="s">
        <v>1644</v>
      </c>
      <c r="Y1365" s="124" t="s">
        <v>55</v>
      </c>
      <c r="Z1365" s="308">
        <v>206</v>
      </c>
      <c r="AB1365" t="str">
        <f>IF(Table1[[#This Row],[TIPO2]]="costo", VLOOKUP(Table1[[#This Row],[PARTIDA PRESUPUESTAL]],'Cost Report'!G:G,1,0),"Balance")</f>
        <v>2485-003</v>
      </c>
      <c r="AC1365" s="118"/>
      <c r="AD1365" s="159">
        <f>+Table1[[#This Row],[SUBTOTAL]]+Table1[[#This Row],[IVA]]-Table1[[#This Row],[RET IVA]]-Table1[[#This Row],[RET ISR]]-Table1[[#This Row],[TOTAL]]</f>
        <v>0</v>
      </c>
      <c r="AE1365" s="152"/>
      <c r="AF1365" s="153"/>
      <c r="AG1365" s="126" t="s">
        <v>3420</v>
      </c>
      <c r="AH1365" s="115"/>
      <c r="AK1365" s="306" t="str">
        <f>IF(ISNUMBER(Table1[[#This Row],[FECHA DE RECIBIDO]]), Table1[[#This Row],[FECHA DE RECIBIDO]]-DATE(2023,8,30), "")</f>
        <v/>
      </c>
    </row>
    <row r="1366" spans="1:37" ht="16.05" customHeight="1">
      <c r="A1366" s="150" t="s">
        <v>3351</v>
      </c>
      <c r="B1366" s="151">
        <v>480</v>
      </c>
      <c r="C1366" s="126" t="s">
        <v>2458</v>
      </c>
      <c r="D1366">
        <v>828</v>
      </c>
      <c r="E1366" s="126" t="s">
        <v>3232</v>
      </c>
      <c r="F1366" s="122" t="s">
        <v>1589</v>
      </c>
      <c r="G1366" s="122" t="s">
        <v>129</v>
      </c>
      <c r="H1366">
        <v>211</v>
      </c>
      <c r="I1366" s="122" t="s">
        <v>1546</v>
      </c>
      <c r="J1366" s="307" t="s">
        <v>214</v>
      </c>
      <c r="K1366" s="127" t="s">
        <v>3348</v>
      </c>
      <c r="L1366" s="151" t="s">
        <v>1579</v>
      </c>
      <c r="M1366">
        <v>275</v>
      </c>
      <c r="N1366" s="123">
        <v>17</v>
      </c>
      <c r="O1366">
        <v>834</v>
      </c>
      <c r="P1366" s="132" t="s">
        <v>77</v>
      </c>
      <c r="Q1366" s="131">
        <v>10518.55</v>
      </c>
      <c r="R1366" s="131">
        <v>1682.97</v>
      </c>
      <c r="S1366" s="131"/>
      <c r="T1366" s="155"/>
      <c r="U1366" s="131"/>
      <c r="V1366" s="131">
        <v>12201.519999999999</v>
      </c>
      <c r="W1366">
        <v>101</v>
      </c>
      <c r="X1366" s="151" t="s">
        <v>1644</v>
      </c>
      <c r="Y1366" s="135" t="s">
        <v>55</v>
      </c>
      <c r="Z1366" s="307">
        <v>208</v>
      </c>
      <c r="AB1366" t="str">
        <f>IF(Table1[[#This Row],[TIPO2]]="costo", VLOOKUP(Table1[[#This Row],[PARTIDA PRESUPUESTAL]],'Cost Report'!G:G,1,0),"Balance")</f>
        <v>2311-003</v>
      </c>
      <c r="AC1366" s="118"/>
      <c r="AD1366" s="159">
        <f>+Table1[[#This Row],[SUBTOTAL]]+Table1[[#This Row],[IVA]]-Table1[[#This Row],[RET IVA]]-Table1[[#This Row],[RET ISR]]-Table1[[#This Row],[TOTAL]]</f>
        <v>0</v>
      </c>
      <c r="AE1366" s="150"/>
      <c r="AF1366" s="151"/>
      <c r="AG1366" s="126" t="s">
        <v>3420</v>
      </c>
      <c r="AH1366" s="115"/>
      <c r="AK1366" s="306" t="str">
        <f>IF(ISNUMBER(Table1[[#This Row],[FECHA DE RECIBIDO]]), Table1[[#This Row],[FECHA DE RECIBIDO]]-DATE(2023,8,30), "")</f>
        <v/>
      </c>
    </row>
    <row r="1367" spans="1:37" ht="16.05" customHeight="1">
      <c r="A1367" s="152" t="s">
        <v>3351</v>
      </c>
      <c r="B1367" s="153">
        <v>480</v>
      </c>
      <c r="C1367" s="126" t="s">
        <v>2461</v>
      </c>
      <c r="D1367">
        <v>829</v>
      </c>
      <c r="E1367" s="126" t="s">
        <v>3232</v>
      </c>
      <c r="F1367" s="125" t="s">
        <v>1589</v>
      </c>
      <c r="G1367" s="125" t="s">
        <v>129</v>
      </c>
      <c r="H1367">
        <v>211</v>
      </c>
      <c r="I1367" s="125" t="s">
        <v>1546</v>
      </c>
      <c r="J1367" s="308" t="s">
        <v>214</v>
      </c>
      <c r="K1367" s="127" t="s">
        <v>3348</v>
      </c>
      <c r="L1367" s="153" t="s">
        <v>1579</v>
      </c>
      <c r="M1367">
        <v>275</v>
      </c>
      <c r="N1367" s="123">
        <v>17</v>
      </c>
      <c r="O1367">
        <v>835</v>
      </c>
      <c r="P1367" s="132" t="s">
        <v>77</v>
      </c>
      <c r="Q1367" s="132">
        <v>858.48</v>
      </c>
      <c r="R1367" s="132">
        <v>137.36000000000001</v>
      </c>
      <c r="S1367" s="132"/>
      <c r="T1367" s="156"/>
      <c r="U1367" s="132"/>
      <c r="V1367" s="132">
        <v>995.84</v>
      </c>
      <c r="W1367">
        <v>101</v>
      </c>
      <c r="X1367" s="153" t="s">
        <v>1644</v>
      </c>
      <c r="Y1367" s="124" t="s">
        <v>55</v>
      </c>
      <c r="Z1367" s="308">
        <v>208</v>
      </c>
      <c r="AB1367" t="str">
        <f>IF(Table1[[#This Row],[TIPO2]]="costo", VLOOKUP(Table1[[#This Row],[PARTIDA PRESUPUESTAL]],'Cost Report'!G:G,1,0),"Balance")</f>
        <v>2385-003</v>
      </c>
      <c r="AC1367" s="118"/>
      <c r="AD1367" s="159">
        <f>+Table1[[#This Row],[SUBTOTAL]]+Table1[[#This Row],[IVA]]-Table1[[#This Row],[RET IVA]]-Table1[[#This Row],[RET ISR]]-Table1[[#This Row],[TOTAL]]</f>
        <v>0</v>
      </c>
      <c r="AE1367" s="152"/>
      <c r="AF1367" s="153"/>
      <c r="AG1367" s="126" t="s">
        <v>3420</v>
      </c>
      <c r="AH1367" s="115"/>
      <c r="AK1367" s="306" t="str">
        <f>IF(ISNUMBER(Table1[[#This Row],[FECHA DE RECIBIDO]]), Table1[[#This Row],[FECHA DE RECIBIDO]]-DATE(2023,8,30), "")</f>
        <v/>
      </c>
    </row>
    <row r="1368" spans="1:37" ht="16.05" customHeight="1">
      <c r="A1368" s="150" t="s">
        <v>3351</v>
      </c>
      <c r="B1368" s="151">
        <v>480</v>
      </c>
      <c r="C1368" s="126" t="s">
        <v>2461</v>
      </c>
      <c r="D1368">
        <v>830</v>
      </c>
      <c r="E1368" s="126" t="s">
        <v>3232</v>
      </c>
      <c r="F1368" s="122" t="s">
        <v>1589</v>
      </c>
      <c r="G1368" s="122" t="s">
        <v>129</v>
      </c>
      <c r="H1368">
        <v>211</v>
      </c>
      <c r="I1368" s="122" t="s">
        <v>1546</v>
      </c>
      <c r="J1368" s="307" t="s">
        <v>214</v>
      </c>
      <c r="K1368" s="127" t="s">
        <v>3348</v>
      </c>
      <c r="L1368" s="151" t="s">
        <v>1579</v>
      </c>
      <c r="M1368">
        <v>275</v>
      </c>
      <c r="N1368" s="123">
        <v>17</v>
      </c>
      <c r="O1368">
        <v>836</v>
      </c>
      <c r="P1368" s="132" t="s">
        <v>77</v>
      </c>
      <c r="Q1368" s="131">
        <v>170.24</v>
      </c>
      <c r="R1368" s="131">
        <v>27.24</v>
      </c>
      <c r="S1368" s="131"/>
      <c r="T1368" s="155"/>
      <c r="U1368" s="131"/>
      <c r="V1368" s="131">
        <v>197.48000000000002</v>
      </c>
      <c r="W1368">
        <v>101</v>
      </c>
      <c r="X1368" s="151" t="s">
        <v>1644</v>
      </c>
      <c r="Y1368" s="135" t="s">
        <v>55</v>
      </c>
      <c r="Z1368" s="307">
        <v>208</v>
      </c>
      <c r="AB1368" t="str">
        <f>IF(Table1[[#This Row],[TIPO2]]="costo", VLOOKUP(Table1[[#This Row],[PARTIDA PRESUPUESTAL]],'Cost Report'!G:G,1,0),"Balance")</f>
        <v>2385-003</v>
      </c>
      <c r="AC1368" s="118"/>
      <c r="AD1368" s="159">
        <f>+Table1[[#This Row],[SUBTOTAL]]+Table1[[#This Row],[IVA]]-Table1[[#This Row],[RET IVA]]-Table1[[#This Row],[RET ISR]]-Table1[[#This Row],[TOTAL]]</f>
        <v>0</v>
      </c>
      <c r="AE1368" s="150"/>
      <c r="AF1368" s="151"/>
      <c r="AG1368" s="126" t="s">
        <v>3420</v>
      </c>
      <c r="AH1368" s="115"/>
      <c r="AK1368" s="306" t="str">
        <f>IF(ISNUMBER(Table1[[#This Row],[FECHA DE RECIBIDO]]), Table1[[#This Row],[FECHA DE RECIBIDO]]-DATE(2023,8,30), "")</f>
        <v/>
      </c>
    </row>
    <row r="1369" spans="1:37" ht="16.05" customHeight="1">
      <c r="A1369" s="152" t="s">
        <v>3351</v>
      </c>
      <c r="B1369" s="153">
        <v>480</v>
      </c>
      <c r="C1369" s="126" t="s">
        <v>1519</v>
      </c>
      <c r="D1369">
        <v>831</v>
      </c>
      <c r="E1369" s="126" t="s">
        <v>2107</v>
      </c>
      <c r="F1369" s="125" t="s">
        <v>1602</v>
      </c>
      <c r="G1369" s="125" t="s">
        <v>1617</v>
      </c>
      <c r="H1369">
        <v>270</v>
      </c>
      <c r="I1369" s="125" t="s">
        <v>1546</v>
      </c>
      <c r="J1369" s="308" t="s">
        <v>214</v>
      </c>
      <c r="K1369" s="127" t="s">
        <v>3348</v>
      </c>
      <c r="L1369" s="153" t="s">
        <v>1579</v>
      </c>
      <c r="M1369">
        <v>360</v>
      </c>
      <c r="N1369" s="123">
        <v>17</v>
      </c>
      <c r="O1369">
        <v>837</v>
      </c>
      <c r="P1369" s="132" t="s">
        <v>77</v>
      </c>
      <c r="Q1369" s="132">
        <v>1700</v>
      </c>
      <c r="R1369" s="132">
        <v>272</v>
      </c>
      <c r="S1369" s="132"/>
      <c r="T1369" s="156"/>
      <c r="U1369" s="132"/>
      <c r="V1369" s="132">
        <v>1972</v>
      </c>
      <c r="W1369">
        <v>101</v>
      </c>
      <c r="X1369" s="153" t="s">
        <v>1644</v>
      </c>
      <c r="Y1369" s="124" t="s">
        <v>55</v>
      </c>
      <c r="Z1369" s="308">
        <v>210</v>
      </c>
      <c r="AB1369" t="str">
        <f>IF(Table1[[#This Row],[TIPO2]]="costo", VLOOKUP(Table1[[#This Row],[PARTIDA PRESUPUESTAL]],'Cost Report'!G:G,1,0),"Balance")</f>
        <v>2494-031</v>
      </c>
      <c r="AC1369" s="118"/>
      <c r="AD1369" s="159">
        <f>+Table1[[#This Row],[SUBTOTAL]]+Table1[[#This Row],[IVA]]-Table1[[#This Row],[RET IVA]]-Table1[[#This Row],[RET ISR]]-Table1[[#This Row],[TOTAL]]</f>
        <v>0</v>
      </c>
      <c r="AE1369" s="152"/>
      <c r="AF1369" s="153"/>
      <c r="AG1369" s="126" t="s">
        <v>3420</v>
      </c>
      <c r="AH1369" s="115"/>
      <c r="AK1369" s="306" t="str">
        <f>IF(ISNUMBER(Table1[[#This Row],[FECHA DE RECIBIDO]]), Table1[[#This Row],[FECHA DE RECIBIDO]]-DATE(2023,8,30), "")</f>
        <v/>
      </c>
    </row>
    <row r="1370" spans="1:37" ht="16.05" customHeight="1">
      <c r="A1370" s="150" t="s">
        <v>3351</v>
      </c>
      <c r="B1370" s="151">
        <v>480</v>
      </c>
      <c r="C1370" s="126" t="s">
        <v>1519</v>
      </c>
      <c r="D1370">
        <v>832</v>
      </c>
      <c r="E1370" s="126" t="s">
        <v>2107</v>
      </c>
      <c r="F1370" s="122" t="s">
        <v>1593</v>
      </c>
      <c r="G1370" s="122" t="s">
        <v>109</v>
      </c>
      <c r="H1370">
        <v>271</v>
      </c>
      <c r="I1370" s="122" t="s">
        <v>1546</v>
      </c>
      <c r="J1370" s="307" t="s">
        <v>214</v>
      </c>
      <c r="K1370" s="127" t="s">
        <v>3348</v>
      </c>
      <c r="L1370" s="151" t="s">
        <v>1579</v>
      </c>
      <c r="M1370">
        <v>361</v>
      </c>
      <c r="N1370" s="123">
        <v>17</v>
      </c>
      <c r="O1370">
        <v>838</v>
      </c>
      <c r="P1370" s="132" t="s">
        <v>77</v>
      </c>
      <c r="Q1370" s="131">
        <v>299.51</v>
      </c>
      <c r="R1370" s="131">
        <v>48.53</v>
      </c>
      <c r="S1370" s="131"/>
      <c r="T1370" s="155"/>
      <c r="U1370" s="131"/>
      <c r="V1370" s="131">
        <v>348.03999999999996</v>
      </c>
      <c r="W1370">
        <v>101</v>
      </c>
      <c r="X1370" s="151" t="s">
        <v>1644</v>
      </c>
      <c r="Y1370" s="135" t="s">
        <v>55</v>
      </c>
      <c r="Z1370" s="307">
        <v>209</v>
      </c>
      <c r="AB1370" t="str">
        <f>IF(Table1[[#This Row],[TIPO2]]="costo", VLOOKUP(Table1[[#This Row],[PARTIDA PRESUPUESTAL]],'Cost Report'!G:G,1,0),"Balance")</f>
        <v>2494-031</v>
      </c>
      <c r="AC1370" s="118"/>
      <c r="AD1370" s="159">
        <f>+Table1[[#This Row],[SUBTOTAL]]+Table1[[#This Row],[IVA]]-Table1[[#This Row],[RET IVA]]-Table1[[#This Row],[RET ISR]]-Table1[[#This Row],[TOTAL]]</f>
        <v>0</v>
      </c>
      <c r="AE1370" s="150"/>
      <c r="AF1370" s="151"/>
      <c r="AG1370" s="126" t="s">
        <v>3420</v>
      </c>
      <c r="AH1370" s="115"/>
      <c r="AK1370" s="306" t="str">
        <f>IF(ISNUMBER(Table1[[#This Row],[FECHA DE RECIBIDO]]), Table1[[#This Row],[FECHA DE RECIBIDO]]-DATE(2023,8,30), "")</f>
        <v/>
      </c>
    </row>
    <row r="1371" spans="1:37" ht="16.05" customHeight="1">
      <c r="A1371" s="152" t="s">
        <v>3351</v>
      </c>
      <c r="B1371" s="153">
        <v>480</v>
      </c>
      <c r="C1371" s="126" t="s">
        <v>1519</v>
      </c>
      <c r="D1371">
        <v>833</v>
      </c>
      <c r="E1371" s="126" t="s">
        <v>2107</v>
      </c>
      <c r="F1371" s="125" t="s">
        <v>1593</v>
      </c>
      <c r="G1371" s="125" t="s">
        <v>109</v>
      </c>
      <c r="H1371">
        <v>271</v>
      </c>
      <c r="I1371" s="125" t="s">
        <v>1546</v>
      </c>
      <c r="J1371" s="308" t="s">
        <v>214</v>
      </c>
      <c r="K1371" s="127" t="s">
        <v>3348</v>
      </c>
      <c r="L1371" s="153" t="s">
        <v>1579</v>
      </c>
      <c r="M1371">
        <v>361</v>
      </c>
      <c r="N1371" s="123">
        <v>17</v>
      </c>
      <c r="O1371">
        <v>839</v>
      </c>
      <c r="P1371" s="132" t="s">
        <v>77</v>
      </c>
      <c r="Q1371" s="132">
        <v>698.75</v>
      </c>
      <c r="R1371" s="132">
        <v>113.22</v>
      </c>
      <c r="S1371" s="132"/>
      <c r="T1371" s="156"/>
      <c r="U1371" s="132"/>
      <c r="V1371" s="132">
        <v>811.97</v>
      </c>
      <c r="W1371">
        <v>101</v>
      </c>
      <c r="X1371" s="153" t="s">
        <v>1644</v>
      </c>
      <c r="Y1371" s="124" t="s">
        <v>55</v>
      </c>
      <c r="Z1371" s="308">
        <v>210</v>
      </c>
      <c r="AB1371" t="str">
        <f>IF(Table1[[#This Row],[TIPO2]]="costo", VLOOKUP(Table1[[#This Row],[PARTIDA PRESUPUESTAL]],'Cost Report'!G:G,1,0),"Balance")</f>
        <v>2494-031</v>
      </c>
      <c r="AC1371" s="118"/>
      <c r="AD1371" s="159">
        <f>+Table1[[#This Row],[SUBTOTAL]]+Table1[[#This Row],[IVA]]-Table1[[#This Row],[RET IVA]]-Table1[[#This Row],[RET ISR]]-Table1[[#This Row],[TOTAL]]</f>
        <v>0</v>
      </c>
      <c r="AE1371" s="152"/>
      <c r="AF1371" s="153"/>
      <c r="AG1371" s="126" t="s">
        <v>3420</v>
      </c>
      <c r="AH1371" s="115"/>
      <c r="AK1371" s="306" t="str">
        <f>IF(ISNUMBER(Table1[[#This Row],[FECHA DE RECIBIDO]]), Table1[[#This Row],[FECHA DE RECIBIDO]]-DATE(2023,8,30), "")</f>
        <v/>
      </c>
    </row>
    <row r="1372" spans="1:37" ht="16.05" customHeight="1">
      <c r="A1372" s="150" t="s">
        <v>3351</v>
      </c>
      <c r="B1372" s="151">
        <v>480</v>
      </c>
      <c r="C1372" s="126" t="s">
        <v>1519</v>
      </c>
      <c r="D1372">
        <v>834</v>
      </c>
      <c r="E1372" s="126" t="s">
        <v>2107</v>
      </c>
      <c r="F1372" s="122" t="s">
        <v>1593</v>
      </c>
      <c r="G1372" s="122" t="s">
        <v>109</v>
      </c>
      <c r="H1372">
        <v>271</v>
      </c>
      <c r="I1372" s="122" t="s">
        <v>1546</v>
      </c>
      <c r="J1372" s="307" t="s">
        <v>214</v>
      </c>
      <c r="K1372" s="127" t="s">
        <v>3348</v>
      </c>
      <c r="L1372" s="151" t="s">
        <v>1579</v>
      </c>
      <c r="M1372">
        <v>361</v>
      </c>
      <c r="N1372" s="123">
        <v>17</v>
      </c>
      <c r="O1372">
        <v>840</v>
      </c>
      <c r="P1372" s="132" t="s">
        <v>77</v>
      </c>
      <c r="Q1372" s="131">
        <v>1397.61</v>
      </c>
      <c r="R1372" s="131">
        <v>226.45</v>
      </c>
      <c r="S1372" s="131"/>
      <c r="T1372" s="155"/>
      <c r="U1372" s="131"/>
      <c r="V1372" s="131">
        <v>1624.06</v>
      </c>
      <c r="W1372">
        <v>101</v>
      </c>
      <c r="X1372" s="151" t="s">
        <v>1644</v>
      </c>
      <c r="Y1372" s="135" t="s">
        <v>55</v>
      </c>
      <c r="Z1372" s="307">
        <v>210</v>
      </c>
      <c r="AB1372" t="str">
        <f>IF(Table1[[#This Row],[TIPO2]]="costo", VLOOKUP(Table1[[#This Row],[PARTIDA PRESUPUESTAL]],'Cost Report'!G:G,1,0),"Balance")</f>
        <v>2494-031</v>
      </c>
      <c r="AC1372" s="118"/>
      <c r="AD1372" s="159">
        <f>+Table1[[#This Row],[SUBTOTAL]]+Table1[[#This Row],[IVA]]-Table1[[#This Row],[RET IVA]]-Table1[[#This Row],[RET ISR]]-Table1[[#This Row],[TOTAL]]</f>
        <v>0</v>
      </c>
      <c r="AE1372" s="150"/>
      <c r="AF1372" s="151"/>
      <c r="AG1372" s="126" t="s">
        <v>3420</v>
      </c>
      <c r="AH1372" s="115"/>
      <c r="AK1372" s="306" t="str">
        <f>IF(ISNUMBER(Table1[[#This Row],[FECHA DE RECIBIDO]]), Table1[[#This Row],[FECHA DE RECIBIDO]]-DATE(2023,8,30), "")</f>
        <v/>
      </c>
    </row>
    <row r="1373" spans="1:37" ht="16.05" customHeight="1">
      <c r="A1373" s="152" t="s">
        <v>3351</v>
      </c>
      <c r="B1373" s="153">
        <v>480</v>
      </c>
      <c r="C1373" s="126" t="s">
        <v>1505</v>
      </c>
      <c r="D1373">
        <v>835</v>
      </c>
      <c r="E1373" s="126" t="s">
        <v>2107</v>
      </c>
      <c r="F1373" s="125" t="s">
        <v>1593</v>
      </c>
      <c r="G1373" s="125" t="s">
        <v>109</v>
      </c>
      <c r="H1373">
        <v>271</v>
      </c>
      <c r="I1373" s="125" t="s">
        <v>1546</v>
      </c>
      <c r="J1373" s="308" t="s">
        <v>214</v>
      </c>
      <c r="K1373" s="127" t="s">
        <v>3348</v>
      </c>
      <c r="L1373" s="153" t="s">
        <v>1579</v>
      </c>
      <c r="M1373">
        <v>361</v>
      </c>
      <c r="N1373" s="123">
        <v>17</v>
      </c>
      <c r="O1373">
        <v>841</v>
      </c>
      <c r="P1373" s="132" t="s">
        <v>77</v>
      </c>
      <c r="Q1373" s="132">
        <v>109.81</v>
      </c>
      <c r="R1373" s="132">
        <v>17.79</v>
      </c>
      <c r="S1373" s="132"/>
      <c r="T1373" s="156"/>
      <c r="U1373" s="132"/>
      <c r="V1373" s="132">
        <v>127.6</v>
      </c>
      <c r="W1373">
        <v>101</v>
      </c>
      <c r="X1373" s="153" t="s">
        <v>1644</v>
      </c>
      <c r="Y1373" s="124" t="s">
        <v>55</v>
      </c>
      <c r="Z1373" s="308">
        <v>209</v>
      </c>
      <c r="AB1373" t="str">
        <f>IF(Table1[[#This Row],[TIPO2]]="costo", VLOOKUP(Table1[[#This Row],[PARTIDA PRESUPUESTAL]],'Cost Report'!G:G,1,0),"Balance")</f>
        <v>2494-003</v>
      </c>
      <c r="AC1373" s="118"/>
      <c r="AD1373" s="159">
        <f>+Table1[[#This Row],[SUBTOTAL]]+Table1[[#This Row],[IVA]]-Table1[[#This Row],[RET IVA]]-Table1[[#This Row],[RET ISR]]-Table1[[#This Row],[TOTAL]]</f>
        <v>0</v>
      </c>
      <c r="AE1373" s="152"/>
      <c r="AF1373" s="153"/>
      <c r="AG1373" s="126" t="s">
        <v>3420</v>
      </c>
      <c r="AH1373" s="115"/>
      <c r="AK1373" s="306" t="str">
        <f>IF(ISNUMBER(Table1[[#This Row],[FECHA DE RECIBIDO]]), Table1[[#This Row],[FECHA DE RECIBIDO]]-DATE(2023,8,30), "")</f>
        <v/>
      </c>
    </row>
    <row r="1374" spans="1:37" ht="16.05" customHeight="1">
      <c r="A1374" s="150" t="s">
        <v>3351</v>
      </c>
      <c r="B1374" s="151">
        <v>480</v>
      </c>
      <c r="C1374" s="126" t="s">
        <v>2455</v>
      </c>
      <c r="D1374">
        <v>836</v>
      </c>
      <c r="E1374" s="126" t="s">
        <v>3278</v>
      </c>
      <c r="F1374" s="122" t="s">
        <v>1607</v>
      </c>
      <c r="G1374" s="122" t="s">
        <v>134</v>
      </c>
      <c r="H1374">
        <v>56</v>
      </c>
      <c r="I1374" s="122" t="s">
        <v>1546</v>
      </c>
      <c r="J1374" s="307" t="s">
        <v>214</v>
      </c>
      <c r="K1374" s="127" t="s">
        <v>3348</v>
      </c>
      <c r="L1374" s="151" t="s">
        <v>1579</v>
      </c>
      <c r="M1374">
        <v>362</v>
      </c>
      <c r="N1374" s="123">
        <v>17</v>
      </c>
      <c r="O1374">
        <v>842</v>
      </c>
      <c r="P1374" s="132" t="s">
        <v>77</v>
      </c>
      <c r="Q1374" s="131">
        <v>157.80000000000001</v>
      </c>
      <c r="R1374" s="131"/>
      <c r="S1374" s="131"/>
      <c r="T1374" s="155"/>
      <c r="U1374" s="131"/>
      <c r="V1374" s="131">
        <v>157.80000000000001</v>
      </c>
      <c r="W1374">
        <v>101</v>
      </c>
      <c r="X1374" s="151" t="s">
        <v>1644</v>
      </c>
      <c r="Y1374" s="135" t="s">
        <v>55</v>
      </c>
      <c r="Z1374" s="307">
        <v>210</v>
      </c>
      <c r="AB1374" t="str">
        <f>IF(Table1[[#This Row],[TIPO2]]="costo", VLOOKUP(Table1[[#This Row],[PARTIDA PRESUPUESTAL]],'Cost Report'!G:G,1,0),"Balance")</f>
        <v>2285-003</v>
      </c>
      <c r="AC1374" s="118"/>
      <c r="AD1374" s="159">
        <f>+Table1[[#This Row],[SUBTOTAL]]+Table1[[#This Row],[IVA]]-Table1[[#This Row],[RET IVA]]-Table1[[#This Row],[RET ISR]]-Table1[[#This Row],[TOTAL]]</f>
        <v>0</v>
      </c>
      <c r="AE1374" s="150"/>
      <c r="AF1374" s="151"/>
      <c r="AG1374" s="126" t="s">
        <v>3420</v>
      </c>
      <c r="AH1374" s="115"/>
      <c r="AK1374" s="306" t="str">
        <f>IF(ISNUMBER(Table1[[#This Row],[FECHA DE RECIBIDO]]), Table1[[#This Row],[FECHA DE RECIBIDO]]-DATE(2023,8,30), "")</f>
        <v/>
      </c>
    </row>
    <row r="1375" spans="1:37" ht="16.05" customHeight="1">
      <c r="A1375" s="152" t="s">
        <v>3351</v>
      </c>
      <c r="B1375" s="153">
        <v>480</v>
      </c>
      <c r="C1375" s="126" t="s">
        <v>2455</v>
      </c>
      <c r="D1375">
        <v>837</v>
      </c>
      <c r="E1375" s="126" t="s">
        <v>1596</v>
      </c>
      <c r="F1375" s="125" t="s">
        <v>1607</v>
      </c>
      <c r="G1375" s="125" t="s">
        <v>134</v>
      </c>
      <c r="H1375">
        <v>272</v>
      </c>
      <c r="I1375" s="125" t="s">
        <v>1546</v>
      </c>
      <c r="J1375" s="308" t="s">
        <v>214</v>
      </c>
      <c r="K1375" s="127" t="s">
        <v>3348</v>
      </c>
      <c r="L1375" s="153" t="s">
        <v>1579</v>
      </c>
      <c r="M1375">
        <v>363</v>
      </c>
      <c r="N1375" s="123">
        <v>17</v>
      </c>
      <c r="O1375">
        <v>843</v>
      </c>
      <c r="P1375" s="132" t="s">
        <v>77</v>
      </c>
      <c r="Q1375" s="132">
        <v>551.72</v>
      </c>
      <c r="R1375" s="132">
        <v>88.28</v>
      </c>
      <c r="S1375" s="132"/>
      <c r="T1375" s="156"/>
      <c r="U1375" s="132"/>
      <c r="V1375" s="132">
        <v>640</v>
      </c>
      <c r="W1375">
        <v>101</v>
      </c>
      <c r="X1375" s="153" t="s">
        <v>1644</v>
      </c>
      <c r="Y1375" s="124" t="s">
        <v>55</v>
      </c>
      <c r="Z1375" s="308">
        <v>208</v>
      </c>
      <c r="AB1375" t="str">
        <f>IF(Table1[[#This Row],[TIPO2]]="costo", VLOOKUP(Table1[[#This Row],[PARTIDA PRESUPUESTAL]],'Cost Report'!G:G,1,0),"Balance")</f>
        <v>2285-003</v>
      </c>
      <c r="AC1375" s="118"/>
      <c r="AD1375" s="159">
        <f>+Table1[[#This Row],[SUBTOTAL]]+Table1[[#This Row],[IVA]]-Table1[[#This Row],[RET IVA]]-Table1[[#This Row],[RET ISR]]-Table1[[#This Row],[TOTAL]]</f>
        <v>0</v>
      </c>
      <c r="AE1375" s="152"/>
      <c r="AF1375" s="153"/>
      <c r="AG1375" s="126" t="s">
        <v>3420</v>
      </c>
      <c r="AH1375" s="115"/>
      <c r="AK1375" s="306" t="str">
        <f>IF(ISNUMBER(Table1[[#This Row],[FECHA DE RECIBIDO]]), Table1[[#This Row],[FECHA DE RECIBIDO]]-DATE(2023,8,30), "")</f>
        <v/>
      </c>
    </row>
    <row r="1376" spans="1:37" ht="16.05" customHeight="1">
      <c r="A1376" s="150" t="s">
        <v>3351</v>
      </c>
      <c r="B1376" s="151">
        <v>480</v>
      </c>
      <c r="C1376" s="126" t="s">
        <v>2455</v>
      </c>
      <c r="D1376">
        <v>838</v>
      </c>
      <c r="E1376" s="126" t="s">
        <v>3115</v>
      </c>
      <c r="F1376" s="122" t="s">
        <v>1382</v>
      </c>
      <c r="G1376" s="122" t="s">
        <v>134</v>
      </c>
      <c r="H1376">
        <v>31</v>
      </c>
      <c r="I1376" s="122" t="s">
        <v>1546</v>
      </c>
      <c r="J1376" s="307" t="s">
        <v>214</v>
      </c>
      <c r="K1376" s="127" t="s">
        <v>3348</v>
      </c>
      <c r="L1376" s="151" t="s">
        <v>1579</v>
      </c>
      <c r="M1376">
        <v>69</v>
      </c>
      <c r="N1376" s="123">
        <v>17</v>
      </c>
      <c r="O1376">
        <v>844</v>
      </c>
      <c r="P1376" s="132" t="s">
        <v>77</v>
      </c>
      <c r="Q1376" s="131">
        <v>166.02</v>
      </c>
      <c r="R1376" s="131">
        <v>10.88</v>
      </c>
      <c r="S1376" s="131"/>
      <c r="T1376" s="155"/>
      <c r="U1376" s="131"/>
      <c r="V1376" s="131">
        <v>176.9</v>
      </c>
      <c r="W1376">
        <v>101</v>
      </c>
      <c r="X1376" s="151" t="s">
        <v>1644</v>
      </c>
      <c r="Y1376" s="135" t="s">
        <v>55</v>
      </c>
      <c r="Z1376" s="307">
        <v>209</v>
      </c>
      <c r="AB1376" t="str">
        <f>IF(Table1[[#This Row],[TIPO2]]="costo", VLOOKUP(Table1[[#This Row],[PARTIDA PRESUPUESTAL]],'Cost Report'!G:G,1,0),"Balance")</f>
        <v>2285-003</v>
      </c>
      <c r="AC1376" s="118"/>
      <c r="AD1376" s="159">
        <f>+Table1[[#This Row],[SUBTOTAL]]+Table1[[#This Row],[IVA]]-Table1[[#This Row],[RET IVA]]-Table1[[#This Row],[RET ISR]]-Table1[[#This Row],[TOTAL]]</f>
        <v>0</v>
      </c>
      <c r="AE1376" s="150"/>
      <c r="AF1376" s="151"/>
      <c r="AG1376" s="126" t="s">
        <v>3420</v>
      </c>
      <c r="AH1376" s="115"/>
      <c r="AK1376" s="306" t="str">
        <f>IF(ISNUMBER(Table1[[#This Row],[FECHA DE RECIBIDO]]), Table1[[#This Row],[FECHA DE RECIBIDO]]-DATE(2023,8,30), "")</f>
        <v/>
      </c>
    </row>
    <row r="1377" spans="1:37" ht="16.05" customHeight="1">
      <c r="A1377" s="152" t="s">
        <v>3351</v>
      </c>
      <c r="B1377" s="153">
        <v>480</v>
      </c>
      <c r="C1377" s="126" t="s">
        <v>2461</v>
      </c>
      <c r="D1377">
        <v>839</v>
      </c>
      <c r="E1377" s="126" t="s">
        <v>3352</v>
      </c>
      <c r="F1377" s="125" t="s">
        <v>1607</v>
      </c>
      <c r="G1377" s="125" t="s">
        <v>134</v>
      </c>
      <c r="H1377">
        <v>273</v>
      </c>
      <c r="I1377" s="125" t="s">
        <v>1546</v>
      </c>
      <c r="J1377" s="308" t="s">
        <v>214</v>
      </c>
      <c r="K1377" s="127" t="s">
        <v>3348</v>
      </c>
      <c r="L1377" s="153" t="s">
        <v>1579</v>
      </c>
      <c r="M1377">
        <v>364</v>
      </c>
      <c r="N1377" s="123">
        <v>17</v>
      </c>
      <c r="O1377">
        <v>845</v>
      </c>
      <c r="P1377" s="132" t="s">
        <v>77</v>
      </c>
      <c r="Q1377" s="132">
        <v>43.02</v>
      </c>
      <c r="R1377" s="132">
        <v>6.88</v>
      </c>
      <c r="S1377" s="132"/>
      <c r="T1377" s="156"/>
      <c r="U1377" s="132"/>
      <c r="V1377" s="132">
        <v>49.900000000000006</v>
      </c>
      <c r="W1377">
        <v>101</v>
      </c>
      <c r="X1377" s="153" t="s">
        <v>1644</v>
      </c>
      <c r="Y1377" s="124" t="s">
        <v>55</v>
      </c>
      <c r="Z1377" s="308">
        <v>209</v>
      </c>
      <c r="AB1377" t="str">
        <f>IF(Table1[[#This Row],[TIPO2]]="costo", VLOOKUP(Table1[[#This Row],[PARTIDA PRESUPUESTAL]],'Cost Report'!G:G,1,0),"Balance")</f>
        <v>2385-003</v>
      </c>
      <c r="AC1377" s="118"/>
      <c r="AD1377" s="159">
        <f>+Table1[[#This Row],[SUBTOTAL]]+Table1[[#This Row],[IVA]]-Table1[[#This Row],[RET IVA]]-Table1[[#This Row],[RET ISR]]-Table1[[#This Row],[TOTAL]]</f>
        <v>0</v>
      </c>
      <c r="AE1377" s="152"/>
      <c r="AF1377" s="153"/>
      <c r="AG1377" s="126" t="s">
        <v>3420</v>
      </c>
      <c r="AH1377" s="115"/>
      <c r="AK1377" s="306" t="str">
        <f>IF(ISNUMBER(Table1[[#This Row],[FECHA DE RECIBIDO]]), Table1[[#This Row],[FECHA DE RECIBIDO]]-DATE(2023,8,30), "")</f>
        <v/>
      </c>
    </row>
    <row r="1378" spans="1:37" ht="16.05" customHeight="1">
      <c r="A1378" s="150" t="s">
        <v>3351</v>
      </c>
      <c r="B1378" s="151">
        <v>480</v>
      </c>
      <c r="C1378" s="126" t="s">
        <v>1732</v>
      </c>
      <c r="D1378">
        <v>840</v>
      </c>
      <c r="E1378" s="126" t="s">
        <v>1603</v>
      </c>
      <c r="F1378" s="122" t="s">
        <v>1607</v>
      </c>
      <c r="G1378" s="122" t="s">
        <v>134</v>
      </c>
      <c r="H1378">
        <v>274</v>
      </c>
      <c r="I1378" s="122" t="s">
        <v>1546</v>
      </c>
      <c r="J1378" s="307" t="s">
        <v>214</v>
      </c>
      <c r="K1378" s="127" t="s">
        <v>3348</v>
      </c>
      <c r="L1378" s="151" t="s">
        <v>1579</v>
      </c>
      <c r="M1378">
        <v>365</v>
      </c>
      <c r="N1378" s="123">
        <v>17</v>
      </c>
      <c r="O1378">
        <v>846</v>
      </c>
      <c r="P1378" s="132" t="s">
        <v>77</v>
      </c>
      <c r="Q1378" s="131">
        <v>119.83</v>
      </c>
      <c r="R1378" s="131">
        <v>19.170000000000002</v>
      </c>
      <c r="S1378" s="131"/>
      <c r="T1378" s="155"/>
      <c r="U1378" s="131"/>
      <c r="V1378" s="131">
        <v>139</v>
      </c>
      <c r="W1378">
        <v>101</v>
      </c>
      <c r="X1378" s="151" t="s">
        <v>1644</v>
      </c>
      <c r="Y1378" s="135" t="s">
        <v>55</v>
      </c>
      <c r="Z1378" s="307">
        <v>209</v>
      </c>
      <c r="AB1378" t="str">
        <f>IF(Table1[[#This Row],[TIPO2]]="costo", VLOOKUP(Table1[[#This Row],[PARTIDA PRESUPUESTAL]],'Cost Report'!G:G,1,0),"Balance")</f>
        <v>2494-035</v>
      </c>
      <c r="AC1378" s="118"/>
      <c r="AD1378" s="159">
        <f>+Table1[[#This Row],[SUBTOTAL]]+Table1[[#This Row],[IVA]]-Table1[[#This Row],[RET IVA]]-Table1[[#This Row],[RET ISR]]-Table1[[#This Row],[TOTAL]]</f>
        <v>0</v>
      </c>
      <c r="AE1378" s="150"/>
      <c r="AF1378" s="151"/>
      <c r="AG1378" s="126" t="s">
        <v>3420</v>
      </c>
      <c r="AH1378" s="115"/>
      <c r="AK1378" s="306" t="str">
        <f>IF(ISNUMBER(Table1[[#This Row],[FECHA DE RECIBIDO]]), Table1[[#This Row],[FECHA DE RECIBIDO]]-DATE(2023,8,30), "")</f>
        <v/>
      </c>
    </row>
    <row r="1379" spans="1:37" ht="16.05" customHeight="1">
      <c r="A1379" s="152" t="s">
        <v>3351</v>
      </c>
      <c r="B1379" s="153">
        <v>480</v>
      </c>
      <c r="C1379" s="126" t="s">
        <v>2455</v>
      </c>
      <c r="D1379">
        <v>841</v>
      </c>
      <c r="E1379" s="126" t="s">
        <v>3352</v>
      </c>
      <c r="F1379" s="125" t="s">
        <v>1607</v>
      </c>
      <c r="G1379" s="125" t="s">
        <v>134</v>
      </c>
      <c r="H1379">
        <v>57</v>
      </c>
      <c r="I1379" s="125" t="s">
        <v>1546</v>
      </c>
      <c r="J1379" s="308" t="s">
        <v>214</v>
      </c>
      <c r="K1379" s="127" t="s">
        <v>3348</v>
      </c>
      <c r="L1379" s="153" t="s">
        <v>1579</v>
      </c>
      <c r="M1379">
        <v>79</v>
      </c>
      <c r="N1379" s="123">
        <v>17</v>
      </c>
      <c r="O1379">
        <v>847</v>
      </c>
      <c r="P1379" s="132" t="s">
        <v>77</v>
      </c>
      <c r="Q1379" s="132">
        <v>85.34</v>
      </c>
      <c r="R1379" s="132">
        <v>13.66</v>
      </c>
      <c r="S1379" s="132"/>
      <c r="T1379" s="156"/>
      <c r="U1379" s="132"/>
      <c r="V1379" s="132">
        <v>99</v>
      </c>
      <c r="W1379">
        <v>101</v>
      </c>
      <c r="X1379" s="153" t="s">
        <v>1644</v>
      </c>
      <c r="Y1379" s="124" t="s">
        <v>55</v>
      </c>
      <c r="Z1379" s="308">
        <v>209</v>
      </c>
      <c r="AB1379" t="str">
        <f>IF(Table1[[#This Row],[TIPO2]]="costo", VLOOKUP(Table1[[#This Row],[PARTIDA PRESUPUESTAL]],'Cost Report'!G:G,1,0),"Balance")</f>
        <v>2285-003</v>
      </c>
      <c r="AC1379" s="118"/>
      <c r="AD1379" s="159">
        <f>+Table1[[#This Row],[SUBTOTAL]]+Table1[[#This Row],[IVA]]-Table1[[#This Row],[RET IVA]]-Table1[[#This Row],[RET ISR]]-Table1[[#This Row],[TOTAL]]</f>
        <v>0</v>
      </c>
      <c r="AE1379" s="152"/>
      <c r="AF1379" s="153"/>
      <c r="AG1379" s="126" t="s">
        <v>3420</v>
      </c>
      <c r="AH1379" s="115"/>
      <c r="AK1379" s="306" t="str">
        <f>IF(ISNUMBER(Table1[[#This Row],[FECHA DE RECIBIDO]]), Table1[[#This Row],[FECHA DE RECIBIDO]]-DATE(2023,8,30), "")</f>
        <v/>
      </c>
    </row>
    <row r="1380" spans="1:37" ht="16.05" customHeight="1">
      <c r="A1380" s="150" t="s">
        <v>3351</v>
      </c>
      <c r="B1380" s="151">
        <v>480</v>
      </c>
      <c r="C1380" s="126" t="s">
        <v>2455</v>
      </c>
      <c r="D1380">
        <v>842</v>
      </c>
      <c r="E1380" s="126" t="s">
        <v>3232</v>
      </c>
      <c r="F1380" s="122" t="s">
        <v>1589</v>
      </c>
      <c r="G1380" s="122" t="s">
        <v>129</v>
      </c>
      <c r="H1380">
        <v>211</v>
      </c>
      <c r="I1380" s="122" t="s">
        <v>1546</v>
      </c>
      <c r="J1380" s="307" t="s">
        <v>214</v>
      </c>
      <c r="K1380" s="127" t="s">
        <v>3348</v>
      </c>
      <c r="L1380" s="151" t="s">
        <v>1579</v>
      </c>
      <c r="M1380">
        <v>275</v>
      </c>
      <c r="N1380" s="123">
        <v>17</v>
      </c>
      <c r="O1380">
        <v>848</v>
      </c>
      <c r="P1380" s="132" t="s">
        <v>77</v>
      </c>
      <c r="Q1380" s="131">
        <v>329.31</v>
      </c>
      <c r="R1380" s="131">
        <v>52.69</v>
      </c>
      <c r="S1380" s="131"/>
      <c r="T1380" s="155"/>
      <c r="U1380" s="131"/>
      <c r="V1380" s="131">
        <v>382</v>
      </c>
      <c r="W1380">
        <v>101</v>
      </c>
      <c r="X1380" s="151" t="s">
        <v>1644</v>
      </c>
      <c r="Y1380" s="135" t="s">
        <v>55</v>
      </c>
      <c r="Z1380" s="307">
        <v>209</v>
      </c>
      <c r="AB1380" t="str">
        <f>IF(Table1[[#This Row],[TIPO2]]="costo", VLOOKUP(Table1[[#This Row],[PARTIDA PRESUPUESTAL]],'Cost Report'!G:G,1,0),"Balance")</f>
        <v>2285-003</v>
      </c>
      <c r="AC1380" s="118"/>
      <c r="AD1380" s="159">
        <f>+Table1[[#This Row],[SUBTOTAL]]+Table1[[#This Row],[IVA]]-Table1[[#This Row],[RET IVA]]-Table1[[#This Row],[RET ISR]]-Table1[[#This Row],[TOTAL]]</f>
        <v>0</v>
      </c>
      <c r="AE1380" s="150"/>
      <c r="AF1380" s="151"/>
      <c r="AG1380" s="126" t="s">
        <v>3420</v>
      </c>
      <c r="AH1380" s="115"/>
      <c r="AK1380" s="306" t="str">
        <f>IF(ISNUMBER(Table1[[#This Row],[FECHA DE RECIBIDO]]), Table1[[#This Row],[FECHA DE RECIBIDO]]-DATE(2023,8,30), "")</f>
        <v/>
      </c>
    </row>
    <row r="1381" spans="1:37" ht="16.05" customHeight="1">
      <c r="A1381" s="152" t="s">
        <v>3351</v>
      </c>
      <c r="B1381" s="153">
        <v>480</v>
      </c>
      <c r="C1381" s="126" t="s">
        <v>2455</v>
      </c>
      <c r="D1381">
        <v>661</v>
      </c>
      <c r="E1381" s="126"/>
      <c r="F1381" s="125"/>
      <c r="G1381" s="125"/>
      <c r="H1381"/>
      <c r="I1381" s="125"/>
      <c r="J1381" s="308" t="s">
        <v>214</v>
      </c>
      <c r="K1381" s="127" t="s">
        <v>3348</v>
      </c>
      <c r="L1381" s="153" t="s">
        <v>1579</v>
      </c>
      <c r="M1381">
        <v>366</v>
      </c>
      <c r="N1381" s="123">
        <v>17</v>
      </c>
      <c r="O1381">
        <v>522</v>
      </c>
      <c r="P1381" s="132" t="s">
        <v>77</v>
      </c>
      <c r="Q1381" s="132">
        <v>34.799999999999997</v>
      </c>
      <c r="R1381" s="132"/>
      <c r="S1381" s="132"/>
      <c r="T1381" s="156"/>
      <c r="U1381" s="132"/>
      <c r="V1381" s="132">
        <v>34.799999999999997</v>
      </c>
      <c r="W1381">
        <v>101</v>
      </c>
      <c r="X1381" s="153" t="s">
        <v>1644</v>
      </c>
      <c r="Y1381" s="124" t="s">
        <v>55</v>
      </c>
      <c r="Z1381" s="308">
        <v>209</v>
      </c>
      <c r="AB1381" t="str">
        <f>IF(Table1[[#This Row],[TIPO2]]="costo", VLOOKUP(Table1[[#This Row],[PARTIDA PRESUPUESTAL]],'Cost Report'!G:G,1,0),"Balance")</f>
        <v>2285-003</v>
      </c>
      <c r="AC1381" s="118"/>
      <c r="AD1381" s="159">
        <f>+Table1[[#This Row],[SUBTOTAL]]+Table1[[#This Row],[IVA]]-Table1[[#This Row],[RET IVA]]-Table1[[#This Row],[RET ISR]]-Table1[[#This Row],[TOTAL]]</f>
        <v>0</v>
      </c>
      <c r="AE1381" s="152"/>
      <c r="AF1381" s="153"/>
      <c r="AG1381" s="126" t="s">
        <v>3420</v>
      </c>
      <c r="AH1381" s="115"/>
      <c r="AK1381" s="306" t="str">
        <f>IF(ISNUMBER(Table1[[#This Row],[FECHA DE RECIBIDO]]), Table1[[#This Row],[FECHA DE RECIBIDO]]-DATE(2023,8,30), "")</f>
        <v/>
      </c>
    </row>
    <row r="1382" spans="1:37" ht="16.05" customHeight="1">
      <c r="A1382" s="150" t="s">
        <v>3353</v>
      </c>
      <c r="B1382" s="151">
        <v>481</v>
      </c>
      <c r="C1382" s="126" t="s">
        <v>2566</v>
      </c>
      <c r="D1382">
        <v>843</v>
      </c>
      <c r="E1382" s="126" t="s">
        <v>1997</v>
      </c>
      <c r="F1382" s="122" t="s">
        <v>1607</v>
      </c>
      <c r="G1382" s="122" t="s">
        <v>134</v>
      </c>
      <c r="H1382">
        <v>275</v>
      </c>
      <c r="I1382" s="122" t="s">
        <v>1546</v>
      </c>
      <c r="J1382" s="307" t="s">
        <v>214</v>
      </c>
      <c r="K1382" s="127" t="s">
        <v>3348</v>
      </c>
      <c r="L1382" s="151" t="s">
        <v>1579</v>
      </c>
      <c r="M1382">
        <v>367</v>
      </c>
      <c r="N1382" s="123">
        <v>17</v>
      </c>
      <c r="O1382">
        <v>849</v>
      </c>
      <c r="P1382" s="132" t="s">
        <v>77</v>
      </c>
      <c r="Q1382" s="131">
        <v>1773.6</v>
      </c>
      <c r="R1382" s="131">
        <v>283.77999999999997</v>
      </c>
      <c r="S1382" s="131"/>
      <c r="T1382" s="155"/>
      <c r="U1382" s="131"/>
      <c r="V1382" s="131">
        <v>2057.38</v>
      </c>
      <c r="W1382">
        <v>148</v>
      </c>
      <c r="X1382" s="151" t="s">
        <v>1644</v>
      </c>
      <c r="Y1382" s="135" t="s">
        <v>55</v>
      </c>
      <c r="Z1382" s="307">
        <v>202</v>
      </c>
      <c r="AB1382" t="str">
        <f>IF(Table1[[#This Row],[TIPO2]]="costo", VLOOKUP(Table1[[#This Row],[PARTIDA PRESUPUESTAL]],'Cost Report'!G:G,1,0),"Balance")</f>
        <v>2594-003</v>
      </c>
      <c r="AC1382" s="118"/>
      <c r="AD1382" s="159">
        <f>+Table1[[#This Row],[SUBTOTAL]]+Table1[[#This Row],[IVA]]-Table1[[#This Row],[RET IVA]]-Table1[[#This Row],[RET ISR]]-Table1[[#This Row],[TOTAL]]</f>
        <v>0</v>
      </c>
      <c r="AE1382" s="150"/>
      <c r="AF1382" s="151"/>
      <c r="AG1382" s="126" t="s">
        <v>3420</v>
      </c>
      <c r="AH1382" s="115"/>
      <c r="AK1382" s="306" t="str">
        <f>IF(ISNUMBER(Table1[[#This Row],[FECHA DE RECIBIDO]]), Table1[[#This Row],[FECHA DE RECIBIDO]]-DATE(2023,8,30), "")</f>
        <v/>
      </c>
    </row>
    <row r="1383" spans="1:37" ht="16.05" customHeight="1">
      <c r="A1383" s="152" t="s">
        <v>3353</v>
      </c>
      <c r="B1383" s="153">
        <v>481</v>
      </c>
      <c r="C1383" s="126" t="s">
        <v>2566</v>
      </c>
      <c r="D1383">
        <v>844</v>
      </c>
      <c r="E1383" s="126" t="s">
        <v>3354</v>
      </c>
      <c r="F1383" s="125" t="s">
        <v>1593</v>
      </c>
      <c r="G1383" s="125" t="s">
        <v>109</v>
      </c>
      <c r="H1383">
        <v>276</v>
      </c>
      <c r="I1383" s="125" t="s">
        <v>1546</v>
      </c>
      <c r="J1383" s="308" t="s">
        <v>214</v>
      </c>
      <c r="K1383" s="127" t="s">
        <v>3348</v>
      </c>
      <c r="L1383" s="153" t="s">
        <v>1579</v>
      </c>
      <c r="M1383">
        <v>368</v>
      </c>
      <c r="N1383" s="123">
        <v>17</v>
      </c>
      <c r="O1383">
        <v>850</v>
      </c>
      <c r="P1383" s="132" t="s">
        <v>77</v>
      </c>
      <c r="Q1383" s="132">
        <v>424.4</v>
      </c>
      <c r="R1383" s="132">
        <v>62.9</v>
      </c>
      <c r="S1383" s="132"/>
      <c r="T1383" s="156"/>
      <c r="U1383" s="132"/>
      <c r="V1383" s="132">
        <v>487.29999999999995</v>
      </c>
      <c r="W1383">
        <v>148</v>
      </c>
      <c r="X1383" s="153" t="s">
        <v>1644</v>
      </c>
      <c r="Y1383" s="124" t="s">
        <v>55</v>
      </c>
      <c r="Z1383" s="308">
        <v>204</v>
      </c>
      <c r="AB1383" t="str">
        <f>IF(Table1[[#This Row],[TIPO2]]="costo", VLOOKUP(Table1[[#This Row],[PARTIDA PRESUPUESTAL]],'Cost Report'!G:G,1,0),"Balance")</f>
        <v>2594-003</v>
      </c>
      <c r="AC1383" s="118"/>
      <c r="AD1383" s="159">
        <f>+Table1[[#This Row],[SUBTOTAL]]+Table1[[#This Row],[IVA]]-Table1[[#This Row],[RET IVA]]-Table1[[#This Row],[RET ISR]]-Table1[[#This Row],[TOTAL]]</f>
        <v>0</v>
      </c>
      <c r="AE1383" s="152"/>
      <c r="AF1383" s="153"/>
      <c r="AG1383" s="126" t="s">
        <v>3420</v>
      </c>
      <c r="AH1383" s="115"/>
      <c r="AK1383" s="306" t="str">
        <f>IF(ISNUMBER(Table1[[#This Row],[FECHA DE RECIBIDO]]), Table1[[#This Row],[FECHA DE RECIBIDO]]-DATE(2023,8,30), "")</f>
        <v/>
      </c>
    </row>
    <row r="1384" spans="1:37" ht="16.05" customHeight="1">
      <c r="A1384" s="150" t="s">
        <v>3353</v>
      </c>
      <c r="B1384" s="151">
        <v>481</v>
      </c>
      <c r="C1384" s="126" t="s">
        <v>2566</v>
      </c>
      <c r="D1384">
        <v>845</v>
      </c>
      <c r="E1384" s="126" t="s">
        <v>1596</v>
      </c>
      <c r="F1384" s="122" t="s">
        <v>1607</v>
      </c>
      <c r="G1384" s="122" t="s">
        <v>134</v>
      </c>
      <c r="H1384">
        <v>277</v>
      </c>
      <c r="I1384" s="122" t="s">
        <v>1546</v>
      </c>
      <c r="J1384" s="307" t="s">
        <v>214</v>
      </c>
      <c r="K1384" s="127" t="s">
        <v>3348</v>
      </c>
      <c r="L1384" s="151" t="s">
        <v>1579</v>
      </c>
      <c r="M1384">
        <v>369</v>
      </c>
      <c r="N1384" s="123">
        <v>17</v>
      </c>
      <c r="O1384">
        <v>851</v>
      </c>
      <c r="P1384" s="132" t="s">
        <v>77</v>
      </c>
      <c r="Q1384" s="131">
        <v>64.66</v>
      </c>
      <c r="R1384" s="131">
        <v>10.34</v>
      </c>
      <c r="S1384" s="131"/>
      <c r="T1384" s="155"/>
      <c r="U1384" s="131"/>
      <c r="V1384" s="131">
        <v>75</v>
      </c>
      <c r="W1384">
        <v>148</v>
      </c>
      <c r="X1384" s="151" t="s">
        <v>1644</v>
      </c>
      <c r="Y1384" s="135" t="s">
        <v>55</v>
      </c>
      <c r="Z1384" s="307">
        <v>204</v>
      </c>
      <c r="AB1384" t="str">
        <f>IF(Table1[[#This Row],[TIPO2]]="costo", VLOOKUP(Table1[[#This Row],[PARTIDA PRESUPUESTAL]],'Cost Report'!G:G,1,0),"Balance")</f>
        <v>2594-003</v>
      </c>
      <c r="AC1384" s="118"/>
      <c r="AD1384" s="159">
        <f>+Table1[[#This Row],[SUBTOTAL]]+Table1[[#This Row],[IVA]]-Table1[[#This Row],[RET IVA]]-Table1[[#This Row],[RET ISR]]-Table1[[#This Row],[TOTAL]]</f>
        <v>0</v>
      </c>
      <c r="AE1384" s="150"/>
      <c r="AF1384" s="151"/>
      <c r="AG1384" s="126" t="s">
        <v>3420</v>
      </c>
      <c r="AH1384" s="115"/>
      <c r="AK1384" s="306" t="str">
        <f>IF(ISNUMBER(Table1[[#This Row],[FECHA DE RECIBIDO]]), Table1[[#This Row],[FECHA DE RECIBIDO]]-DATE(2023,8,30), "")</f>
        <v/>
      </c>
    </row>
    <row r="1385" spans="1:37" ht="16.05" customHeight="1">
      <c r="A1385" s="152" t="s">
        <v>3355</v>
      </c>
      <c r="B1385" s="153">
        <v>482</v>
      </c>
      <c r="C1385" s="126" t="s">
        <v>2474</v>
      </c>
      <c r="D1385">
        <v>846</v>
      </c>
      <c r="E1385" s="126" t="s">
        <v>3356</v>
      </c>
      <c r="F1385" s="125" t="s">
        <v>1607</v>
      </c>
      <c r="G1385" s="125" t="s">
        <v>134</v>
      </c>
      <c r="H1385">
        <v>177</v>
      </c>
      <c r="I1385" s="125" t="s">
        <v>1546</v>
      </c>
      <c r="J1385" s="308" t="s">
        <v>214</v>
      </c>
      <c r="K1385" s="127" t="s">
        <v>3348</v>
      </c>
      <c r="L1385" s="153" t="s">
        <v>1579</v>
      </c>
      <c r="M1385">
        <v>238</v>
      </c>
      <c r="N1385" s="123">
        <v>17</v>
      </c>
      <c r="O1385">
        <v>852</v>
      </c>
      <c r="P1385" s="132" t="s">
        <v>77</v>
      </c>
      <c r="Q1385" s="132">
        <v>387.85</v>
      </c>
      <c r="R1385" s="132">
        <v>62.06</v>
      </c>
      <c r="S1385" s="132"/>
      <c r="T1385" s="156"/>
      <c r="U1385" s="132"/>
      <c r="V1385" s="132">
        <v>449.91</v>
      </c>
      <c r="W1385">
        <v>166</v>
      </c>
      <c r="X1385" s="153" t="s">
        <v>1644</v>
      </c>
      <c r="Y1385" s="124" t="s">
        <v>55</v>
      </c>
      <c r="Z1385" s="308">
        <v>209</v>
      </c>
      <c r="AB1385" t="str">
        <f>IF(Table1[[#This Row],[TIPO2]]="costo", VLOOKUP(Table1[[#This Row],[PARTIDA PRESUPUESTAL]],'Cost Report'!G:G,1,0),"Balance")</f>
        <v>2394-021</v>
      </c>
      <c r="AC1385" s="118"/>
      <c r="AD1385" s="159">
        <f>+Table1[[#This Row],[SUBTOTAL]]+Table1[[#This Row],[IVA]]-Table1[[#This Row],[RET IVA]]-Table1[[#This Row],[RET ISR]]-Table1[[#This Row],[TOTAL]]</f>
        <v>0</v>
      </c>
      <c r="AE1385" s="152"/>
      <c r="AF1385" s="153"/>
      <c r="AG1385" s="126" t="s">
        <v>3420</v>
      </c>
      <c r="AH1385" s="115"/>
      <c r="AK1385" s="306" t="str">
        <f>IF(ISNUMBER(Table1[[#This Row],[FECHA DE RECIBIDO]]), Table1[[#This Row],[FECHA DE RECIBIDO]]-DATE(2023,8,30), "")</f>
        <v/>
      </c>
    </row>
    <row r="1386" spans="1:37" ht="16.05" customHeight="1">
      <c r="A1386" s="150" t="s">
        <v>3355</v>
      </c>
      <c r="B1386" s="151">
        <v>482</v>
      </c>
      <c r="C1386" s="126" t="s">
        <v>2470</v>
      </c>
      <c r="D1386">
        <v>847</v>
      </c>
      <c r="E1386" s="126" t="s">
        <v>1603</v>
      </c>
      <c r="F1386" s="122" t="s">
        <v>1607</v>
      </c>
      <c r="G1386" s="122" t="s">
        <v>134</v>
      </c>
      <c r="H1386">
        <v>278</v>
      </c>
      <c r="I1386" s="122" t="s">
        <v>1546</v>
      </c>
      <c r="J1386" s="307" t="s">
        <v>214</v>
      </c>
      <c r="K1386" s="127" t="s">
        <v>3348</v>
      </c>
      <c r="L1386" s="151" t="s">
        <v>1579</v>
      </c>
      <c r="M1386">
        <v>370</v>
      </c>
      <c r="N1386" s="123">
        <v>17</v>
      </c>
      <c r="O1386">
        <v>853</v>
      </c>
      <c r="P1386" s="132" t="s">
        <v>77</v>
      </c>
      <c r="Q1386" s="131">
        <v>502.6</v>
      </c>
      <c r="R1386" s="131">
        <v>80.400000000000006</v>
      </c>
      <c r="S1386" s="131"/>
      <c r="T1386" s="155"/>
      <c r="U1386" s="131"/>
      <c r="V1386" s="131">
        <v>583</v>
      </c>
      <c r="W1386">
        <v>166</v>
      </c>
      <c r="X1386" s="151" t="s">
        <v>1644</v>
      </c>
      <c r="Y1386" s="135" t="s">
        <v>55</v>
      </c>
      <c r="Z1386" s="307">
        <v>203</v>
      </c>
      <c r="AB1386" t="str">
        <f>IF(Table1[[#This Row],[TIPO2]]="costo", VLOOKUP(Table1[[#This Row],[PARTIDA PRESUPUESTAL]],'Cost Report'!G:G,1,0),"Balance")</f>
        <v>2394-013</v>
      </c>
      <c r="AC1386" s="118"/>
      <c r="AD1386" s="159">
        <f>+Table1[[#This Row],[SUBTOTAL]]+Table1[[#This Row],[IVA]]-Table1[[#This Row],[RET IVA]]-Table1[[#This Row],[RET ISR]]-Table1[[#This Row],[TOTAL]]</f>
        <v>0</v>
      </c>
      <c r="AE1386" s="150"/>
      <c r="AF1386" s="151"/>
      <c r="AG1386" s="126" t="s">
        <v>3420</v>
      </c>
      <c r="AH1386" s="115"/>
      <c r="AK1386" s="306" t="str">
        <f>IF(ISNUMBER(Table1[[#This Row],[FECHA DE RECIBIDO]]), Table1[[#This Row],[FECHA DE RECIBIDO]]-DATE(2023,8,30), "")</f>
        <v/>
      </c>
    </row>
    <row r="1387" spans="1:37" ht="16.05" customHeight="1">
      <c r="A1387" s="152" t="s">
        <v>3355</v>
      </c>
      <c r="B1387" s="153">
        <v>482</v>
      </c>
      <c r="C1387" s="126" t="s">
        <v>2470</v>
      </c>
      <c r="D1387">
        <v>848</v>
      </c>
      <c r="E1387" s="126" t="s">
        <v>2063</v>
      </c>
      <c r="F1387" s="125" t="s">
        <v>1607</v>
      </c>
      <c r="G1387" s="125" t="s">
        <v>134</v>
      </c>
      <c r="H1387">
        <v>279</v>
      </c>
      <c r="I1387" s="125" t="s">
        <v>1546</v>
      </c>
      <c r="J1387" s="308" t="s">
        <v>214</v>
      </c>
      <c r="K1387" s="127" t="s">
        <v>3348</v>
      </c>
      <c r="L1387" s="153" t="s">
        <v>1579</v>
      </c>
      <c r="M1387">
        <v>371</v>
      </c>
      <c r="N1387" s="123">
        <v>17</v>
      </c>
      <c r="O1387">
        <v>854</v>
      </c>
      <c r="P1387" s="132" t="s">
        <v>77</v>
      </c>
      <c r="Q1387" s="132">
        <v>525.75</v>
      </c>
      <c r="R1387" s="132">
        <v>84.12</v>
      </c>
      <c r="S1387" s="132"/>
      <c r="T1387" s="156"/>
      <c r="U1387" s="132"/>
      <c r="V1387" s="132">
        <v>609.87</v>
      </c>
      <c r="W1387">
        <v>166</v>
      </c>
      <c r="X1387" s="153" t="s">
        <v>1644</v>
      </c>
      <c r="Y1387" s="124" t="s">
        <v>55</v>
      </c>
      <c r="Z1387" s="308">
        <v>203</v>
      </c>
      <c r="AB1387" t="str">
        <f>IF(Table1[[#This Row],[TIPO2]]="costo", VLOOKUP(Table1[[#This Row],[PARTIDA PRESUPUESTAL]],'Cost Report'!G:G,1,0),"Balance")</f>
        <v>2394-013</v>
      </c>
      <c r="AC1387" s="118"/>
      <c r="AD1387" s="159">
        <f>+Table1[[#This Row],[SUBTOTAL]]+Table1[[#This Row],[IVA]]-Table1[[#This Row],[RET IVA]]-Table1[[#This Row],[RET ISR]]-Table1[[#This Row],[TOTAL]]</f>
        <v>0</v>
      </c>
      <c r="AE1387" s="152"/>
      <c r="AF1387" s="153"/>
      <c r="AG1387" s="126" t="s">
        <v>3420</v>
      </c>
      <c r="AH1387" s="115"/>
      <c r="AK1387" s="306" t="str">
        <f>IF(ISNUMBER(Table1[[#This Row],[FECHA DE RECIBIDO]]), Table1[[#This Row],[FECHA DE RECIBIDO]]-DATE(2023,8,30), "")</f>
        <v/>
      </c>
    </row>
    <row r="1388" spans="1:37" ht="16.05" customHeight="1">
      <c r="A1388" s="150" t="s">
        <v>3355</v>
      </c>
      <c r="B1388" s="151">
        <v>482</v>
      </c>
      <c r="C1388" s="126" t="s">
        <v>2461</v>
      </c>
      <c r="D1388">
        <v>849</v>
      </c>
      <c r="E1388" s="126" t="s">
        <v>3357</v>
      </c>
      <c r="F1388" s="122" t="s">
        <v>1589</v>
      </c>
      <c r="G1388" s="122" t="s">
        <v>129</v>
      </c>
      <c r="H1388">
        <v>280</v>
      </c>
      <c r="I1388" s="122" t="s">
        <v>1546</v>
      </c>
      <c r="J1388" s="307" t="s">
        <v>214</v>
      </c>
      <c r="K1388" s="127" t="s">
        <v>3348</v>
      </c>
      <c r="L1388" s="151" t="s">
        <v>1579</v>
      </c>
      <c r="M1388">
        <v>372</v>
      </c>
      <c r="N1388" s="123">
        <v>17</v>
      </c>
      <c r="O1388">
        <v>855</v>
      </c>
      <c r="P1388" s="132" t="s">
        <v>77</v>
      </c>
      <c r="Q1388" s="131">
        <v>654</v>
      </c>
      <c r="R1388" s="131">
        <v>104.64</v>
      </c>
      <c r="S1388" s="131"/>
      <c r="T1388" s="155"/>
      <c r="U1388" s="131"/>
      <c r="V1388" s="131">
        <v>758.64</v>
      </c>
      <c r="W1388">
        <v>166</v>
      </c>
      <c r="X1388" s="151" t="s">
        <v>1644</v>
      </c>
      <c r="Y1388" s="135" t="s">
        <v>55</v>
      </c>
      <c r="Z1388" s="307">
        <v>210</v>
      </c>
      <c r="AB1388" t="str">
        <f>IF(Table1[[#This Row],[TIPO2]]="costo", VLOOKUP(Table1[[#This Row],[PARTIDA PRESUPUESTAL]],'Cost Report'!G:G,1,0),"Balance")</f>
        <v>2385-003</v>
      </c>
      <c r="AC1388" s="118"/>
      <c r="AD1388" s="159">
        <f>+Table1[[#This Row],[SUBTOTAL]]+Table1[[#This Row],[IVA]]-Table1[[#This Row],[RET IVA]]-Table1[[#This Row],[RET ISR]]-Table1[[#This Row],[TOTAL]]</f>
        <v>0</v>
      </c>
      <c r="AE1388" s="150"/>
      <c r="AF1388" s="151"/>
      <c r="AG1388" s="126" t="s">
        <v>3420</v>
      </c>
      <c r="AH1388" s="115"/>
      <c r="AK1388" s="306" t="str">
        <f>IF(ISNUMBER(Table1[[#This Row],[FECHA DE RECIBIDO]]), Table1[[#This Row],[FECHA DE RECIBIDO]]-DATE(2023,8,30), "")</f>
        <v/>
      </c>
    </row>
    <row r="1389" spans="1:37" ht="16.05" customHeight="1">
      <c r="A1389" s="152" t="s">
        <v>3355</v>
      </c>
      <c r="B1389" s="153">
        <v>482</v>
      </c>
      <c r="C1389" s="126" t="s">
        <v>2474</v>
      </c>
      <c r="D1389">
        <v>850</v>
      </c>
      <c r="E1389" s="126" t="s">
        <v>3357</v>
      </c>
      <c r="F1389" s="125" t="s">
        <v>1589</v>
      </c>
      <c r="G1389" s="125" t="s">
        <v>129</v>
      </c>
      <c r="H1389">
        <v>280</v>
      </c>
      <c r="I1389" s="125" t="s">
        <v>1546</v>
      </c>
      <c r="J1389" s="308" t="s">
        <v>214</v>
      </c>
      <c r="K1389" s="127" t="s">
        <v>3348</v>
      </c>
      <c r="L1389" s="153" t="s">
        <v>1579</v>
      </c>
      <c r="M1389">
        <v>372</v>
      </c>
      <c r="N1389" s="123">
        <v>17</v>
      </c>
      <c r="O1389">
        <v>856</v>
      </c>
      <c r="P1389" s="132" t="s">
        <v>77</v>
      </c>
      <c r="Q1389" s="132">
        <v>1355</v>
      </c>
      <c r="R1389" s="132">
        <v>216.8</v>
      </c>
      <c r="S1389" s="132"/>
      <c r="T1389" s="156"/>
      <c r="U1389" s="132"/>
      <c r="V1389" s="132">
        <v>1571.8</v>
      </c>
      <c r="W1389">
        <v>166</v>
      </c>
      <c r="X1389" s="153" t="s">
        <v>1644</v>
      </c>
      <c r="Y1389" s="124" t="s">
        <v>55</v>
      </c>
      <c r="Z1389" s="308">
        <v>210</v>
      </c>
      <c r="AB1389" t="str">
        <f>IF(Table1[[#This Row],[TIPO2]]="costo", VLOOKUP(Table1[[#This Row],[PARTIDA PRESUPUESTAL]],'Cost Report'!G:G,1,0),"Balance")</f>
        <v>2394-021</v>
      </c>
      <c r="AC1389" s="118"/>
      <c r="AD1389" s="159">
        <f>+Table1[[#This Row],[SUBTOTAL]]+Table1[[#This Row],[IVA]]-Table1[[#This Row],[RET IVA]]-Table1[[#This Row],[RET ISR]]-Table1[[#This Row],[TOTAL]]</f>
        <v>0</v>
      </c>
      <c r="AE1389" s="152"/>
      <c r="AF1389" s="153"/>
      <c r="AG1389" s="126" t="s">
        <v>3420</v>
      </c>
      <c r="AH1389" s="115"/>
      <c r="AK1389" s="306" t="str">
        <f>IF(ISNUMBER(Table1[[#This Row],[FECHA DE RECIBIDO]]), Table1[[#This Row],[FECHA DE RECIBIDO]]-DATE(2023,8,30), "")</f>
        <v/>
      </c>
    </row>
    <row r="1390" spans="1:37" ht="16.05" customHeight="1">
      <c r="A1390" s="150" t="s">
        <v>3355</v>
      </c>
      <c r="B1390" s="151">
        <v>482</v>
      </c>
      <c r="C1390" s="126" t="s">
        <v>1732</v>
      </c>
      <c r="D1390">
        <v>851</v>
      </c>
      <c r="E1390" s="126" t="s">
        <v>1645</v>
      </c>
      <c r="F1390" s="122" t="s">
        <v>1602</v>
      </c>
      <c r="G1390" s="122" t="s">
        <v>1617</v>
      </c>
      <c r="H1390">
        <v>281</v>
      </c>
      <c r="I1390" s="122" t="s">
        <v>1546</v>
      </c>
      <c r="J1390" s="307" t="s">
        <v>214</v>
      </c>
      <c r="K1390" s="127" t="s">
        <v>3348</v>
      </c>
      <c r="L1390" s="151" t="s">
        <v>1579</v>
      </c>
      <c r="M1390">
        <v>373</v>
      </c>
      <c r="N1390" s="123">
        <v>17</v>
      </c>
      <c r="O1390">
        <v>857</v>
      </c>
      <c r="P1390" s="132" t="s">
        <v>77</v>
      </c>
      <c r="Q1390" s="131">
        <v>479</v>
      </c>
      <c r="R1390" s="131">
        <v>76.64</v>
      </c>
      <c r="S1390" s="131"/>
      <c r="T1390" s="155"/>
      <c r="U1390" s="131"/>
      <c r="V1390" s="131">
        <v>555.64</v>
      </c>
      <c r="W1390">
        <v>166</v>
      </c>
      <c r="X1390" s="151" t="s">
        <v>1644</v>
      </c>
      <c r="Y1390" s="135" t="s">
        <v>55</v>
      </c>
      <c r="Z1390" s="307">
        <v>210</v>
      </c>
      <c r="AB1390" t="str">
        <f>IF(Table1[[#This Row],[TIPO2]]="costo", VLOOKUP(Table1[[#This Row],[PARTIDA PRESUPUESTAL]],'Cost Report'!G:G,1,0),"Balance")</f>
        <v>2494-035</v>
      </c>
      <c r="AC1390" s="118"/>
      <c r="AD1390" s="159">
        <f>+Table1[[#This Row],[SUBTOTAL]]+Table1[[#This Row],[IVA]]-Table1[[#This Row],[RET IVA]]-Table1[[#This Row],[RET ISR]]-Table1[[#This Row],[TOTAL]]</f>
        <v>0</v>
      </c>
      <c r="AE1390" s="150"/>
      <c r="AF1390" s="151"/>
      <c r="AG1390" s="126" t="s">
        <v>3420</v>
      </c>
      <c r="AH1390" s="115"/>
      <c r="AK1390" s="306" t="str">
        <f>IF(ISNUMBER(Table1[[#This Row],[FECHA DE RECIBIDO]]), Table1[[#This Row],[FECHA DE RECIBIDO]]-DATE(2023,8,30), "")</f>
        <v/>
      </c>
    </row>
    <row r="1391" spans="1:37">
      <c r="A1391" s="152" t="s">
        <v>3355</v>
      </c>
      <c r="B1391" s="153">
        <v>482</v>
      </c>
      <c r="C1391" s="126" t="s">
        <v>2455</v>
      </c>
      <c r="D1391">
        <v>852</v>
      </c>
      <c r="E1391" s="126" t="s">
        <v>3358</v>
      </c>
      <c r="F1391" s="125" t="s">
        <v>1607</v>
      </c>
      <c r="G1391" s="125" t="s">
        <v>134</v>
      </c>
      <c r="H1391">
        <v>32</v>
      </c>
      <c r="I1391" s="125" t="s">
        <v>1546</v>
      </c>
      <c r="J1391" s="308" t="s">
        <v>214</v>
      </c>
      <c r="K1391" s="127" t="s">
        <v>3348</v>
      </c>
      <c r="L1391" s="153" t="s">
        <v>1579</v>
      </c>
      <c r="M1391">
        <v>120</v>
      </c>
      <c r="N1391" s="123">
        <v>17</v>
      </c>
      <c r="O1391">
        <v>858</v>
      </c>
      <c r="P1391" s="132" t="s">
        <v>77</v>
      </c>
      <c r="Q1391" s="132">
        <v>236.21</v>
      </c>
      <c r="R1391" s="132">
        <v>37.79</v>
      </c>
      <c r="S1391" s="132"/>
      <c r="T1391" s="156"/>
      <c r="U1391" s="132"/>
      <c r="V1391" s="132">
        <v>274</v>
      </c>
      <c r="W1391">
        <v>166</v>
      </c>
      <c r="X1391" s="153" t="s">
        <v>1644</v>
      </c>
      <c r="Y1391" s="124" t="s">
        <v>55</v>
      </c>
      <c r="Z1391" s="308">
        <v>210</v>
      </c>
      <c r="AB1391" t="str">
        <f>IF(Table1[[#This Row],[TIPO2]]="costo", VLOOKUP(Table1[[#This Row],[PARTIDA PRESUPUESTAL]],'Cost Report'!G:G,1,0),"Balance")</f>
        <v>2285-003</v>
      </c>
      <c r="AC1391" s="118"/>
      <c r="AD1391" s="159">
        <f>+Table1[[#This Row],[SUBTOTAL]]+Table1[[#This Row],[IVA]]-Table1[[#This Row],[RET IVA]]-Table1[[#This Row],[RET ISR]]-Table1[[#This Row],[TOTAL]]</f>
        <v>0</v>
      </c>
      <c r="AE1391" s="152"/>
      <c r="AF1391" s="153"/>
      <c r="AG1391" s="126" t="s">
        <v>3420</v>
      </c>
      <c r="AH1391" s="115"/>
      <c r="AK1391" s="306" t="str">
        <f>IF(ISNUMBER(Table1[[#This Row],[FECHA DE RECIBIDO]]), Table1[[#This Row],[FECHA DE RECIBIDO]]-DATE(2023,8,30), "")</f>
        <v/>
      </c>
    </row>
    <row r="1392" spans="1:37" ht="15" customHeight="1">
      <c r="A1392" s="150" t="s">
        <v>3355</v>
      </c>
      <c r="B1392" s="151">
        <v>482</v>
      </c>
      <c r="C1392" s="126" t="s">
        <v>1732</v>
      </c>
      <c r="D1392">
        <v>853</v>
      </c>
      <c r="E1392" s="126" t="s">
        <v>3229</v>
      </c>
      <c r="F1392" s="122" t="s">
        <v>1593</v>
      </c>
      <c r="G1392" s="122" t="s">
        <v>109</v>
      </c>
      <c r="H1392">
        <v>282</v>
      </c>
      <c r="I1392" s="122" t="s">
        <v>1546</v>
      </c>
      <c r="J1392" s="307" t="s">
        <v>214</v>
      </c>
      <c r="K1392" s="127" t="s">
        <v>3348</v>
      </c>
      <c r="L1392" s="151" t="s">
        <v>1579</v>
      </c>
      <c r="M1392">
        <v>374</v>
      </c>
      <c r="N1392" s="123">
        <v>17</v>
      </c>
      <c r="O1392">
        <v>859</v>
      </c>
      <c r="P1392" s="132" t="s">
        <v>77</v>
      </c>
      <c r="Q1392" s="131">
        <v>1412.12</v>
      </c>
      <c r="R1392" s="131">
        <v>228.8</v>
      </c>
      <c r="S1392" s="131"/>
      <c r="T1392" s="155"/>
      <c r="U1392" s="131"/>
      <c r="V1392" s="131">
        <v>1640.9199999999998</v>
      </c>
      <c r="W1392">
        <v>166</v>
      </c>
      <c r="X1392" s="151" t="s">
        <v>1644</v>
      </c>
      <c r="Y1392" s="135" t="s">
        <v>55</v>
      </c>
      <c r="Z1392" s="307">
        <v>201</v>
      </c>
      <c r="AB1392" t="str">
        <f>IF(Table1[[#This Row],[TIPO2]]="costo", VLOOKUP(Table1[[#This Row],[PARTIDA PRESUPUESTAL]],'Cost Report'!G:G,1,0),"Balance")</f>
        <v>2494-035</v>
      </c>
      <c r="AC1392" s="118"/>
      <c r="AD1392" s="159">
        <f>+Table1[[#This Row],[SUBTOTAL]]+Table1[[#This Row],[IVA]]-Table1[[#This Row],[RET IVA]]-Table1[[#This Row],[RET ISR]]-Table1[[#This Row],[TOTAL]]</f>
        <v>0</v>
      </c>
      <c r="AE1392" s="150"/>
      <c r="AF1392" s="151"/>
      <c r="AG1392" s="126" t="s">
        <v>3420</v>
      </c>
      <c r="AH1392" s="115"/>
      <c r="AK1392" s="306" t="str">
        <f>IF(ISNUMBER(Table1[[#This Row],[FECHA DE RECIBIDO]]), Table1[[#This Row],[FECHA DE RECIBIDO]]-DATE(2023,8,30), "")</f>
        <v/>
      </c>
    </row>
    <row r="1393" spans="1:37" ht="15" customHeight="1">
      <c r="A1393" s="152" t="s">
        <v>3355</v>
      </c>
      <c r="B1393" s="153">
        <v>482</v>
      </c>
      <c r="C1393" s="126" t="s">
        <v>1732</v>
      </c>
      <c r="D1393">
        <v>854</v>
      </c>
      <c r="E1393" s="126" t="s">
        <v>3229</v>
      </c>
      <c r="F1393" s="125" t="s">
        <v>1593</v>
      </c>
      <c r="G1393" s="125" t="s">
        <v>109</v>
      </c>
      <c r="H1393">
        <v>282</v>
      </c>
      <c r="I1393" s="125" t="s">
        <v>1546</v>
      </c>
      <c r="J1393" s="308" t="s">
        <v>214</v>
      </c>
      <c r="K1393" s="127" t="s">
        <v>3348</v>
      </c>
      <c r="L1393" s="153" t="s">
        <v>1579</v>
      </c>
      <c r="M1393">
        <v>374</v>
      </c>
      <c r="N1393" s="123">
        <v>17</v>
      </c>
      <c r="O1393">
        <v>860</v>
      </c>
      <c r="P1393" s="132" t="s">
        <v>77</v>
      </c>
      <c r="Q1393" s="132">
        <v>1412.12</v>
      </c>
      <c r="R1393" s="132">
        <v>228.8</v>
      </c>
      <c r="S1393" s="132"/>
      <c r="T1393" s="156"/>
      <c r="U1393" s="132"/>
      <c r="V1393" s="132">
        <v>1640.9199999999998</v>
      </c>
      <c r="W1393">
        <v>166</v>
      </c>
      <c r="X1393" s="153" t="s">
        <v>1644</v>
      </c>
      <c r="Y1393" s="124" t="s">
        <v>55</v>
      </c>
      <c r="Z1393" s="308">
        <v>201</v>
      </c>
      <c r="AB1393" t="str">
        <f>IF(Table1[[#This Row],[TIPO2]]="costo", VLOOKUP(Table1[[#This Row],[PARTIDA PRESUPUESTAL]],'Cost Report'!G:G,1,0),"Balance")</f>
        <v>2494-035</v>
      </c>
      <c r="AC1393" s="118"/>
      <c r="AD1393" s="159">
        <f>+Table1[[#This Row],[SUBTOTAL]]+Table1[[#This Row],[IVA]]-Table1[[#This Row],[RET IVA]]-Table1[[#This Row],[RET ISR]]-Table1[[#This Row],[TOTAL]]</f>
        <v>0</v>
      </c>
      <c r="AE1393" s="152"/>
      <c r="AF1393" s="153"/>
      <c r="AG1393" s="126" t="s">
        <v>3420</v>
      </c>
      <c r="AH1393" s="115"/>
      <c r="AK1393" s="306" t="str">
        <f>IF(ISNUMBER(Table1[[#This Row],[FECHA DE RECIBIDO]]), Table1[[#This Row],[FECHA DE RECIBIDO]]-DATE(2023,8,30), "")</f>
        <v/>
      </c>
    </row>
    <row r="1394" spans="1:37" ht="16.05" customHeight="1">
      <c r="A1394" s="150" t="s">
        <v>3355</v>
      </c>
      <c r="B1394" s="151">
        <v>482</v>
      </c>
      <c r="C1394" s="126" t="s">
        <v>2455</v>
      </c>
      <c r="D1394">
        <v>661</v>
      </c>
      <c r="E1394" s="126"/>
      <c r="F1394" s="122"/>
      <c r="G1394" s="122"/>
      <c r="H1394"/>
      <c r="I1394" s="122"/>
      <c r="J1394" s="307" t="s">
        <v>214</v>
      </c>
      <c r="K1394" s="127" t="s">
        <v>3348</v>
      </c>
      <c r="L1394" s="151" t="s">
        <v>1579</v>
      </c>
      <c r="M1394">
        <v>375</v>
      </c>
      <c r="N1394" s="123">
        <v>17</v>
      </c>
      <c r="O1394">
        <v>522</v>
      </c>
      <c r="P1394" s="132" t="s">
        <v>77</v>
      </c>
      <c r="Q1394" s="131">
        <v>34.22</v>
      </c>
      <c r="R1394" s="131"/>
      <c r="S1394" s="131"/>
      <c r="T1394" s="155"/>
      <c r="U1394" s="131"/>
      <c r="V1394" s="131">
        <v>34.22</v>
      </c>
      <c r="W1394">
        <v>166</v>
      </c>
      <c r="X1394" s="151" t="s">
        <v>1644</v>
      </c>
      <c r="Y1394" s="135" t="s">
        <v>55</v>
      </c>
      <c r="Z1394" s="307">
        <v>207</v>
      </c>
      <c r="AB1394" t="str">
        <f>IF(Table1[[#This Row],[TIPO2]]="costo", VLOOKUP(Table1[[#This Row],[PARTIDA PRESUPUESTAL]],'Cost Report'!G:G,1,0),"Balance")</f>
        <v>2285-003</v>
      </c>
      <c r="AC1394" s="118"/>
      <c r="AD1394" s="159">
        <f>+Table1[[#This Row],[SUBTOTAL]]+Table1[[#This Row],[IVA]]-Table1[[#This Row],[RET IVA]]-Table1[[#This Row],[RET ISR]]-Table1[[#This Row],[TOTAL]]</f>
        <v>0</v>
      </c>
      <c r="AE1394" s="150"/>
      <c r="AF1394" s="151"/>
      <c r="AG1394" s="126" t="s">
        <v>3420</v>
      </c>
      <c r="AH1394" s="115"/>
      <c r="AK1394" s="306" t="str">
        <f>IF(ISNUMBER(Table1[[#This Row],[FECHA DE RECIBIDO]]), Table1[[#This Row],[FECHA DE RECIBIDO]]-DATE(2023,8,30), "")</f>
        <v/>
      </c>
    </row>
    <row r="1395" spans="1:37" ht="16.05" customHeight="1">
      <c r="A1395" s="152" t="s">
        <v>3359</v>
      </c>
      <c r="B1395" s="153">
        <v>483</v>
      </c>
      <c r="C1395" s="126" t="s">
        <v>1511</v>
      </c>
      <c r="D1395">
        <v>855</v>
      </c>
      <c r="E1395" s="126"/>
      <c r="F1395" s="125"/>
      <c r="G1395" s="125" t="s">
        <v>134</v>
      </c>
      <c r="H1395"/>
      <c r="I1395" s="125" t="s">
        <v>1546</v>
      </c>
      <c r="J1395" s="308" t="s">
        <v>214</v>
      </c>
      <c r="K1395" s="127" t="s">
        <v>3348</v>
      </c>
      <c r="L1395" s="153" t="s">
        <v>1579</v>
      </c>
      <c r="M1395">
        <v>376</v>
      </c>
      <c r="N1395" s="123">
        <v>17</v>
      </c>
      <c r="O1395">
        <v>861</v>
      </c>
      <c r="P1395" s="132" t="s">
        <v>77</v>
      </c>
      <c r="Q1395" s="132">
        <v>3188.79</v>
      </c>
      <c r="R1395" s="132">
        <v>510.21</v>
      </c>
      <c r="S1395" s="132"/>
      <c r="T1395" s="156"/>
      <c r="U1395" s="132"/>
      <c r="V1395" s="132">
        <v>3699</v>
      </c>
      <c r="W1395">
        <v>104</v>
      </c>
      <c r="X1395" s="153" t="s">
        <v>1644</v>
      </c>
      <c r="Y1395" s="124" t="s">
        <v>55</v>
      </c>
      <c r="Z1395" s="308">
        <v>196</v>
      </c>
      <c r="AB1395" t="str">
        <f>IF(Table1[[#This Row],[TIPO2]]="costo", VLOOKUP(Table1[[#This Row],[PARTIDA PRESUPUESTAL]],'Cost Report'!G:G,1,0),"Balance")</f>
        <v>2494-015</v>
      </c>
      <c r="AC1395" s="118"/>
      <c r="AD1395" s="159">
        <f>+Table1[[#This Row],[SUBTOTAL]]+Table1[[#This Row],[IVA]]-Table1[[#This Row],[RET IVA]]-Table1[[#This Row],[RET ISR]]-Table1[[#This Row],[TOTAL]]</f>
        <v>0</v>
      </c>
      <c r="AE1395" s="152"/>
      <c r="AF1395" s="153"/>
      <c r="AG1395" s="126" t="s">
        <v>3420</v>
      </c>
      <c r="AH1395" s="115"/>
      <c r="AK1395" s="306" t="str">
        <f>IF(ISNUMBER(Table1[[#This Row],[FECHA DE RECIBIDO]]), Table1[[#This Row],[FECHA DE RECIBIDO]]-DATE(2023,8,30), "")</f>
        <v/>
      </c>
    </row>
    <row r="1396" spans="1:37" ht="16.05" customHeight="1">
      <c r="A1396" s="150" t="s">
        <v>3359</v>
      </c>
      <c r="B1396" s="151">
        <v>483</v>
      </c>
      <c r="C1396" s="126" t="s">
        <v>1517</v>
      </c>
      <c r="D1396">
        <v>856</v>
      </c>
      <c r="E1396" s="126" t="s">
        <v>2004</v>
      </c>
      <c r="F1396" s="122" t="s">
        <v>1607</v>
      </c>
      <c r="G1396" s="122" t="s">
        <v>134</v>
      </c>
      <c r="H1396">
        <v>283</v>
      </c>
      <c r="I1396" s="122" t="s">
        <v>1546</v>
      </c>
      <c r="J1396" s="307" t="s">
        <v>214</v>
      </c>
      <c r="K1396" s="127" t="s">
        <v>3348</v>
      </c>
      <c r="L1396" s="151" t="s">
        <v>1579</v>
      </c>
      <c r="M1396">
        <v>377</v>
      </c>
      <c r="N1396" s="123">
        <v>17</v>
      </c>
      <c r="O1396">
        <v>862</v>
      </c>
      <c r="P1396" s="132" t="s">
        <v>77</v>
      </c>
      <c r="Q1396" s="131">
        <v>217.24</v>
      </c>
      <c r="R1396" s="131">
        <v>34.76</v>
      </c>
      <c r="S1396" s="131"/>
      <c r="T1396" s="155"/>
      <c r="U1396" s="131"/>
      <c r="V1396" s="131">
        <v>252</v>
      </c>
      <c r="W1396">
        <v>104</v>
      </c>
      <c r="X1396" s="151" t="s">
        <v>1644</v>
      </c>
      <c r="Y1396" s="135" t="s">
        <v>55</v>
      </c>
      <c r="Z1396" s="307">
        <v>203</v>
      </c>
      <c r="AB1396" t="str">
        <f>IF(Table1[[#This Row],[TIPO2]]="costo", VLOOKUP(Table1[[#This Row],[PARTIDA PRESUPUESTAL]],'Cost Report'!G:G,1,0),"Balance")</f>
        <v>2494-027</v>
      </c>
      <c r="AC1396" s="118"/>
      <c r="AD1396" s="159">
        <f>+Table1[[#This Row],[SUBTOTAL]]+Table1[[#This Row],[IVA]]-Table1[[#This Row],[RET IVA]]-Table1[[#This Row],[RET ISR]]-Table1[[#This Row],[TOTAL]]</f>
        <v>0</v>
      </c>
      <c r="AE1396" s="150"/>
      <c r="AF1396" s="151"/>
      <c r="AG1396" s="126" t="s">
        <v>3420</v>
      </c>
      <c r="AH1396" s="115"/>
      <c r="AK1396" s="306" t="str">
        <f>IF(ISNUMBER(Table1[[#This Row],[FECHA DE RECIBIDO]]), Table1[[#This Row],[FECHA DE RECIBIDO]]-DATE(2023,8,30), "")</f>
        <v/>
      </c>
    </row>
    <row r="1397" spans="1:37" ht="16.05" customHeight="1">
      <c r="A1397" s="152" t="s">
        <v>3359</v>
      </c>
      <c r="B1397" s="153">
        <v>483</v>
      </c>
      <c r="C1397" s="126" t="s">
        <v>1517</v>
      </c>
      <c r="D1397">
        <v>857</v>
      </c>
      <c r="E1397" s="126" t="s">
        <v>2003</v>
      </c>
      <c r="F1397" s="125" t="s">
        <v>1607</v>
      </c>
      <c r="G1397" s="125" t="s">
        <v>134</v>
      </c>
      <c r="H1397">
        <v>284</v>
      </c>
      <c r="I1397" s="125" t="s">
        <v>1546</v>
      </c>
      <c r="J1397" s="308" t="s">
        <v>214</v>
      </c>
      <c r="K1397" s="127" t="s">
        <v>3348</v>
      </c>
      <c r="L1397" s="153" t="s">
        <v>1579</v>
      </c>
      <c r="M1397">
        <v>378</v>
      </c>
      <c r="N1397" s="123">
        <v>17</v>
      </c>
      <c r="O1397">
        <v>862</v>
      </c>
      <c r="P1397" s="132" t="s">
        <v>77</v>
      </c>
      <c r="Q1397" s="132">
        <v>630.41</v>
      </c>
      <c r="R1397" s="132">
        <v>100.87</v>
      </c>
      <c r="S1397" s="132"/>
      <c r="T1397" s="156"/>
      <c r="U1397" s="132"/>
      <c r="V1397" s="132">
        <v>731.28</v>
      </c>
      <c r="W1397">
        <v>104</v>
      </c>
      <c r="X1397" s="153" t="s">
        <v>1644</v>
      </c>
      <c r="Y1397" s="124" t="s">
        <v>55</v>
      </c>
      <c r="Z1397" s="308">
        <v>198</v>
      </c>
      <c r="AB1397" t="str">
        <f>IF(Table1[[#This Row],[TIPO2]]="costo", VLOOKUP(Table1[[#This Row],[PARTIDA PRESUPUESTAL]],'Cost Report'!G:G,1,0),"Balance")</f>
        <v>2494-027</v>
      </c>
      <c r="AC1397" s="118"/>
      <c r="AD1397" s="159">
        <f>+Table1[[#This Row],[SUBTOTAL]]+Table1[[#This Row],[IVA]]-Table1[[#This Row],[RET IVA]]-Table1[[#This Row],[RET ISR]]-Table1[[#This Row],[TOTAL]]</f>
        <v>0</v>
      </c>
      <c r="AE1397" s="152"/>
      <c r="AF1397" s="153"/>
      <c r="AG1397" s="126" t="s">
        <v>3420</v>
      </c>
      <c r="AH1397" s="115"/>
      <c r="AK1397" s="306" t="str">
        <f>IF(ISNUMBER(Table1[[#This Row],[FECHA DE RECIBIDO]]), Table1[[#This Row],[FECHA DE RECIBIDO]]-DATE(2023,8,30), "")</f>
        <v/>
      </c>
    </row>
    <row r="1398" spans="1:37" ht="16.05" customHeight="1">
      <c r="A1398" s="150" t="s">
        <v>3359</v>
      </c>
      <c r="B1398" s="151">
        <v>483</v>
      </c>
      <c r="C1398" s="126" t="s">
        <v>2455</v>
      </c>
      <c r="D1398">
        <v>858</v>
      </c>
      <c r="E1398" s="126" t="s">
        <v>3360</v>
      </c>
      <c r="F1398" s="122" t="s">
        <v>1589</v>
      </c>
      <c r="G1398" s="122" t="s">
        <v>129</v>
      </c>
      <c r="H1398">
        <v>285</v>
      </c>
      <c r="I1398" s="122" t="s">
        <v>1546</v>
      </c>
      <c r="J1398" s="307" t="s">
        <v>214</v>
      </c>
      <c r="K1398" s="127" t="s">
        <v>3348</v>
      </c>
      <c r="L1398" s="151" t="s">
        <v>1579</v>
      </c>
      <c r="M1398">
        <v>379</v>
      </c>
      <c r="N1398" s="123">
        <v>17</v>
      </c>
      <c r="O1398">
        <v>863</v>
      </c>
      <c r="P1398" s="132" t="s">
        <v>77</v>
      </c>
      <c r="Q1398" s="131">
        <v>495</v>
      </c>
      <c r="R1398" s="131"/>
      <c r="S1398" s="131"/>
      <c r="T1398" s="155"/>
      <c r="U1398" s="131"/>
      <c r="V1398" s="131">
        <v>495</v>
      </c>
      <c r="W1398">
        <v>104</v>
      </c>
      <c r="X1398" s="151" t="s">
        <v>1644</v>
      </c>
      <c r="Y1398" s="135" t="s">
        <v>55</v>
      </c>
      <c r="Z1398" s="307">
        <v>211</v>
      </c>
      <c r="AB1398" t="str">
        <f>IF(Table1[[#This Row],[TIPO2]]="costo", VLOOKUP(Table1[[#This Row],[PARTIDA PRESUPUESTAL]],'Cost Report'!G:G,1,0),"Balance")</f>
        <v>2285-003</v>
      </c>
      <c r="AC1398" s="118"/>
      <c r="AD1398" s="159">
        <f>+Table1[[#This Row],[SUBTOTAL]]+Table1[[#This Row],[IVA]]-Table1[[#This Row],[RET IVA]]-Table1[[#This Row],[RET ISR]]-Table1[[#This Row],[TOTAL]]</f>
        <v>0</v>
      </c>
      <c r="AE1398" s="150"/>
      <c r="AF1398" s="151"/>
      <c r="AG1398" s="126" t="s">
        <v>3420</v>
      </c>
      <c r="AH1398" s="115"/>
      <c r="AK1398" s="306" t="str">
        <f>IF(ISNUMBER(Table1[[#This Row],[FECHA DE RECIBIDO]]), Table1[[#This Row],[FECHA DE RECIBIDO]]-DATE(2023,8,30), "")</f>
        <v/>
      </c>
    </row>
    <row r="1399" spans="1:37" ht="16.05" customHeight="1">
      <c r="A1399" s="152" t="s">
        <v>3359</v>
      </c>
      <c r="B1399" s="153">
        <v>483</v>
      </c>
      <c r="C1399" s="126" t="s">
        <v>2455</v>
      </c>
      <c r="D1399">
        <v>859</v>
      </c>
      <c r="E1399" s="126" t="s">
        <v>2075</v>
      </c>
      <c r="F1399" s="125" t="s">
        <v>2062</v>
      </c>
      <c r="G1399" s="125" t="s">
        <v>134</v>
      </c>
      <c r="H1399">
        <v>146</v>
      </c>
      <c r="I1399" s="125" t="s">
        <v>1546</v>
      </c>
      <c r="J1399" s="308" t="s">
        <v>214</v>
      </c>
      <c r="K1399" s="127" t="s">
        <v>3348</v>
      </c>
      <c r="L1399" s="153" t="s">
        <v>1579</v>
      </c>
      <c r="M1399">
        <v>192</v>
      </c>
      <c r="N1399" s="123">
        <v>17</v>
      </c>
      <c r="O1399">
        <v>864</v>
      </c>
      <c r="P1399" s="132" t="s">
        <v>77</v>
      </c>
      <c r="Q1399" s="132">
        <v>948.28</v>
      </c>
      <c r="R1399" s="132">
        <v>151.72</v>
      </c>
      <c r="S1399" s="132"/>
      <c r="T1399" s="156"/>
      <c r="U1399" s="132"/>
      <c r="V1399" s="132">
        <v>1100</v>
      </c>
      <c r="W1399">
        <v>104</v>
      </c>
      <c r="X1399" s="153" t="s">
        <v>1644</v>
      </c>
      <c r="Y1399" s="124" t="s">
        <v>55</v>
      </c>
      <c r="Z1399" s="308">
        <v>211</v>
      </c>
      <c r="AB1399" t="str">
        <f>IF(Table1[[#This Row],[TIPO2]]="costo", VLOOKUP(Table1[[#This Row],[PARTIDA PRESUPUESTAL]],'Cost Report'!G:G,1,0),"Balance")</f>
        <v>2285-003</v>
      </c>
      <c r="AC1399" s="118"/>
      <c r="AD1399" s="159">
        <f>+Table1[[#This Row],[SUBTOTAL]]+Table1[[#This Row],[IVA]]-Table1[[#This Row],[RET IVA]]-Table1[[#This Row],[RET ISR]]-Table1[[#This Row],[TOTAL]]</f>
        <v>0</v>
      </c>
      <c r="AE1399" s="152"/>
      <c r="AF1399" s="153"/>
      <c r="AG1399" s="126" t="s">
        <v>3420</v>
      </c>
      <c r="AH1399" s="115"/>
      <c r="AK1399" s="306" t="str">
        <f>IF(ISNUMBER(Table1[[#This Row],[FECHA DE RECIBIDO]]), Table1[[#This Row],[FECHA DE RECIBIDO]]-DATE(2023,8,30), "")</f>
        <v/>
      </c>
    </row>
    <row r="1400" spans="1:37" ht="16.05" customHeight="1">
      <c r="A1400" s="150" t="s">
        <v>3361</v>
      </c>
      <c r="B1400" s="151">
        <v>484</v>
      </c>
      <c r="C1400" s="126" t="s">
        <v>610</v>
      </c>
      <c r="D1400">
        <v>860</v>
      </c>
      <c r="E1400" s="126" t="s">
        <v>3292</v>
      </c>
      <c r="F1400" s="122" t="s">
        <v>1607</v>
      </c>
      <c r="G1400" s="122" t="s">
        <v>134</v>
      </c>
      <c r="H1400">
        <v>57</v>
      </c>
      <c r="I1400" s="122" t="s">
        <v>1546</v>
      </c>
      <c r="J1400" s="307" t="s">
        <v>214</v>
      </c>
      <c r="K1400" s="127" t="s">
        <v>3348</v>
      </c>
      <c r="L1400" s="151" t="s">
        <v>1579</v>
      </c>
      <c r="M1400">
        <v>79</v>
      </c>
      <c r="N1400" s="123">
        <v>17</v>
      </c>
      <c r="O1400">
        <v>865</v>
      </c>
      <c r="P1400" s="132" t="s">
        <v>77</v>
      </c>
      <c r="Q1400" s="131">
        <v>181.04</v>
      </c>
      <c r="R1400" s="131">
        <v>28.96</v>
      </c>
      <c r="S1400" s="131"/>
      <c r="T1400" s="155"/>
      <c r="U1400" s="131"/>
      <c r="V1400" s="131">
        <v>210</v>
      </c>
      <c r="W1400">
        <v>145</v>
      </c>
      <c r="X1400" s="151" t="s">
        <v>1644</v>
      </c>
      <c r="Y1400" s="135" t="s">
        <v>55</v>
      </c>
      <c r="Z1400" s="307">
        <v>206</v>
      </c>
      <c r="AB1400" t="str">
        <f>IF(Table1[[#This Row],[TIPO2]]="costo", VLOOKUP(Table1[[#This Row],[PARTIDA PRESUPUESTAL]],'Cost Report'!G:G,1,0),"Balance")</f>
        <v>2485-003</v>
      </c>
      <c r="AC1400" s="118"/>
      <c r="AD1400" s="159">
        <f>+Table1[[#This Row],[SUBTOTAL]]+Table1[[#This Row],[IVA]]-Table1[[#This Row],[RET IVA]]-Table1[[#This Row],[RET ISR]]-Table1[[#This Row],[TOTAL]]</f>
        <v>0</v>
      </c>
      <c r="AE1400" s="150"/>
      <c r="AF1400" s="151"/>
      <c r="AG1400" s="126" t="s">
        <v>3420</v>
      </c>
      <c r="AH1400" s="115"/>
      <c r="AK1400" s="306" t="str">
        <f>IF(ISNUMBER(Table1[[#This Row],[FECHA DE RECIBIDO]]), Table1[[#This Row],[FECHA DE RECIBIDO]]-DATE(2023,8,30), "")</f>
        <v/>
      </c>
    </row>
    <row r="1401" spans="1:37">
      <c r="A1401" s="152" t="s">
        <v>3361</v>
      </c>
      <c r="B1401" s="153">
        <v>484</v>
      </c>
      <c r="C1401" s="126" t="s">
        <v>610</v>
      </c>
      <c r="D1401">
        <v>861</v>
      </c>
      <c r="E1401" s="126" t="s">
        <v>3272</v>
      </c>
      <c r="F1401" s="125" t="s">
        <v>1607</v>
      </c>
      <c r="G1401" s="125" t="s">
        <v>134</v>
      </c>
      <c r="H1401">
        <v>286</v>
      </c>
      <c r="I1401" s="125" t="s">
        <v>1546</v>
      </c>
      <c r="J1401" s="308" t="s">
        <v>214</v>
      </c>
      <c r="K1401" s="127" t="s">
        <v>3348</v>
      </c>
      <c r="L1401" s="153" t="s">
        <v>1579</v>
      </c>
      <c r="M1401">
        <v>380</v>
      </c>
      <c r="N1401" s="123">
        <v>17</v>
      </c>
      <c r="O1401">
        <v>866</v>
      </c>
      <c r="P1401" s="132" t="s">
        <v>77</v>
      </c>
      <c r="Q1401" s="132">
        <v>86.22</v>
      </c>
      <c r="R1401" s="132">
        <v>13.8</v>
      </c>
      <c r="S1401" s="132"/>
      <c r="T1401" s="156"/>
      <c r="U1401" s="132"/>
      <c r="V1401" s="132">
        <v>100.02</v>
      </c>
      <c r="W1401">
        <v>145</v>
      </c>
      <c r="X1401" s="153" t="s">
        <v>1644</v>
      </c>
      <c r="Y1401" s="124" t="s">
        <v>55</v>
      </c>
      <c r="Z1401" s="308">
        <v>210</v>
      </c>
      <c r="AB1401" t="str">
        <f>IF(Table1[[#This Row],[TIPO2]]="costo", VLOOKUP(Table1[[#This Row],[PARTIDA PRESUPUESTAL]],'Cost Report'!G:G,1,0),"Balance")</f>
        <v>2485-003</v>
      </c>
      <c r="AC1401" s="118"/>
      <c r="AD1401" s="159">
        <f>+Table1[[#This Row],[SUBTOTAL]]+Table1[[#This Row],[IVA]]-Table1[[#This Row],[RET IVA]]-Table1[[#This Row],[RET ISR]]-Table1[[#This Row],[TOTAL]]</f>
        <v>0</v>
      </c>
      <c r="AE1401" s="152"/>
      <c r="AF1401" s="153"/>
      <c r="AG1401" s="126" t="s">
        <v>3420</v>
      </c>
      <c r="AH1401" s="115"/>
      <c r="AK1401" s="306" t="str">
        <f>IF(ISNUMBER(Table1[[#This Row],[FECHA DE RECIBIDO]]), Table1[[#This Row],[FECHA DE RECIBIDO]]-DATE(2023,8,30), "")</f>
        <v/>
      </c>
    </row>
    <row r="1402" spans="1:37" ht="16.05" customHeight="1">
      <c r="A1402" s="150" t="s">
        <v>3361</v>
      </c>
      <c r="B1402" s="151">
        <v>484</v>
      </c>
      <c r="C1402" s="126" t="s">
        <v>1519</v>
      </c>
      <c r="D1402">
        <v>862</v>
      </c>
      <c r="E1402" s="126" t="s">
        <v>2107</v>
      </c>
      <c r="F1402" s="122" t="s">
        <v>1602</v>
      </c>
      <c r="G1402" s="122" t="s">
        <v>134</v>
      </c>
      <c r="H1402">
        <v>270</v>
      </c>
      <c r="I1402" s="122" t="s">
        <v>1546</v>
      </c>
      <c r="J1402" s="307" t="s">
        <v>214</v>
      </c>
      <c r="K1402" s="127" t="s">
        <v>3348</v>
      </c>
      <c r="L1402" s="151" t="s">
        <v>1579</v>
      </c>
      <c r="M1402">
        <v>360</v>
      </c>
      <c r="N1402" s="123">
        <v>17</v>
      </c>
      <c r="O1402">
        <v>867</v>
      </c>
      <c r="P1402" s="132" t="s">
        <v>77</v>
      </c>
      <c r="Q1402" s="131">
        <v>850</v>
      </c>
      <c r="R1402" s="131">
        <v>136</v>
      </c>
      <c r="S1402" s="131"/>
      <c r="T1402" s="155"/>
      <c r="U1402" s="131"/>
      <c r="V1402" s="131">
        <v>986</v>
      </c>
      <c r="W1402">
        <v>145</v>
      </c>
      <c r="X1402" s="151" t="s">
        <v>1644</v>
      </c>
      <c r="Y1402" s="135" t="s">
        <v>55</v>
      </c>
      <c r="Z1402" s="307">
        <v>210</v>
      </c>
      <c r="AB1402" t="str">
        <f>IF(Table1[[#This Row],[TIPO2]]="costo", VLOOKUP(Table1[[#This Row],[PARTIDA PRESUPUESTAL]],'Cost Report'!G:G,1,0),"Balance")</f>
        <v>2494-031</v>
      </c>
      <c r="AC1402" s="118"/>
      <c r="AD1402" s="159">
        <f>+Table1[[#This Row],[SUBTOTAL]]+Table1[[#This Row],[IVA]]-Table1[[#This Row],[RET IVA]]-Table1[[#This Row],[RET ISR]]-Table1[[#This Row],[TOTAL]]</f>
        <v>0</v>
      </c>
      <c r="AE1402" s="150"/>
      <c r="AF1402" s="151"/>
      <c r="AG1402" s="126" t="s">
        <v>3420</v>
      </c>
      <c r="AH1402" s="115"/>
      <c r="AK1402" s="306" t="str">
        <f>IF(ISNUMBER(Table1[[#This Row],[FECHA DE RECIBIDO]]), Table1[[#This Row],[FECHA DE RECIBIDO]]-DATE(2023,8,30), "")</f>
        <v/>
      </c>
    </row>
    <row r="1403" spans="1:37" ht="16.05" customHeight="1">
      <c r="A1403" s="152" t="s">
        <v>3361</v>
      </c>
      <c r="B1403" s="153">
        <v>484</v>
      </c>
      <c r="C1403" s="126" t="s">
        <v>1732</v>
      </c>
      <c r="D1403">
        <v>863</v>
      </c>
      <c r="E1403" s="126" t="s">
        <v>3275</v>
      </c>
      <c r="F1403" s="125" t="s">
        <v>1607</v>
      </c>
      <c r="G1403" s="125" t="s">
        <v>134</v>
      </c>
      <c r="H1403">
        <v>57</v>
      </c>
      <c r="I1403" s="125" t="s">
        <v>1546</v>
      </c>
      <c r="J1403" s="308" t="s">
        <v>214</v>
      </c>
      <c r="K1403" s="127" t="s">
        <v>3348</v>
      </c>
      <c r="L1403" s="153" t="s">
        <v>1579</v>
      </c>
      <c r="M1403">
        <v>79</v>
      </c>
      <c r="N1403" s="123">
        <v>17</v>
      </c>
      <c r="O1403">
        <v>868</v>
      </c>
      <c r="P1403" s="132" t="s">
        <v>77</v>
      </c>
      <c r="Q1403" s="132">
        <v>1237.82</v>
      </c>
      <c r="R1403" s="132">
        <v>198.08</v>
      </c>
      <c r="S1403" s="132"/>
      <c r="T1403" s="156"/>
      <c r="U1403" s="132"/>
      <c r="V1403" s="132">
        <v>1435.8999999999999</v>
      </c>
      <c r="W1403">
        <v>145</v>
      </c>
      <c r="X1403" s="153" t="s">
        <v>1644</v>
      </c>
      <c r="Y1403" s="124" t="s">
        <v>55</v>
      </c>
      <c r="Z1403" s="308">
        <v>209</v>
      </c>
      <c r="AB1403" t="str">
        <f>IF(Table1[[#This Row],[TIPO2]]="costo", VLOOKUP(Table1[[#This Row],[PARTIDA PRESUPUESTAL]],'Cost Report'!G:G,1,0),"Balance")</f>
        <v>2494-035</v>
      </c>
      <c r="AC1403" s="118"/>
      <c r="AD1403" s="159">
        <f>+Table1[[#This Row],[SUBTOTAL]]+Table1[[#This Row],[IVA]]-Table1[[#This Row],[RET IVA]]-Table1[[#This Row],[RET ISR]]-Table1[[#This Row],[TOTAL]]</f>
        <v>0</v>
      </c>
      <c r="AE1403" s="152"/>
      <c r="AF1403" s="153"/>
      <c r="AG1403" s="126" t="s">
        <v>3420</v>
      </c>
      <c r="AH1403" s="115"/>
      <c r="AK1403" s="306" t="str">
        <f>IF(ISNUMBER(Table1[[#This Row],[FECHA DE RECIBIDO]]), Table1[[#This Row],[FECHA DE RECIBIDO]]-DATE(2023,8,30), "")</f>
        <v/>
      </c>
    </row>
    <row r="1404" spans="1:37" ht="16.05" customHeight="1">
      <c r="A1404" s="150" t="s">
        <v>3361</v>
      </c>
      <c r="B1404" s="151">
        <v>484</v>
      </c>
      <c r="C1404" s="126" t="s">
        <v>1519</v>
      </c>
      <c r="D1404">
        <v>864</v>
      </c>
      <c r="E1404" s="126" t="s">
        <v>3362</v>
      </c>
      <c r="F1404" s="122" t="s">
        <v>1607</v>
      </c>
      <c r="G1404" s="122" t="s">
        <v>134</v>
      </c>
      <c r="H1404">
        <v>287</v>
      </c>
      <c r="I1404" s="122" t="s">
        <v>1546</v>
      </c>
      <c r="J1404" s="307" t="s">
        <v>214</v>
      </c>
      <c r="K1404" s="127" t="s">
        <v>3348</v>
      </c>
      <c r="L1404" s="151" t="s">
        <v>1579</v>
      </c>
      <c r="M1404">
        <v>381</v>
      </c>
      <c r="N1404" s="123">
        <v>17</v>
      </c>
      <c r="O1404">
        <v>869</v>
      </c>
      <c r="P1404" s="132" t="s">
        <v>77</v>
      </c>
      <c r="Q1404" s="131">
        <v>1500</v>
      </c>
      <c r="R1404" s="131">
        <v>240</v>
      </c>
      <c r="S1404" s="131"/>
      <c r="T1404" s="155"/>
      <c r="U1404" s="131"/>
      <c r="V1404" s="131">
        <v>1740</v>
      </c>
      <c r="W1404">
        <v>145</v>
      </c>
      <c r="X1404" s="151" t="s">
        <v>1644</v>
      </c>
      <c r="Y1404" s="135" t="s">
        <v>55</v>
      </c>
      <c r="Z1404" s="307">
        <v>210</v>
      </c>
      <c r="AB1404" t="str">
        <f>IF(Table1[[#This Row],[TIPO2]]="costo", VLOOKUP(Table1[[#This Row],[PARTIDA PRESUPUESTAL]],'Cost Report'!G:G,1,0),"Balance")</f>
        <v>2494-031</v>
      </c>
      <c r="AC1404" s="118"/>
      <c r="AD1404" s="159">
        <f>+Table1[[#This Row],[SUBTOTAL]]+Table1[[#This Row],[IVA]]-Table1[[#This Row],[RET IVA]]-Table1[[#This Row],[RET ISR]]-Table1[[#This Row],[TOTAL]]</f>
        <v>0</v>
      </c>
      <c r="AE1404" s="150"/>
      <c r="AF1404" s="151"/>
      <c r="AG1404" s="126" t="s">
        <v>3420</v>
      </c>
      <c r="AH1404" s="115"/>
      <c r="AK1404" s="306" t="str">
        <f>IF(ISNUMBER(Table1[[#This Row],[FECHA DE RECIBIDO]]), Table1[[#This Row],[FECHA DE RECIBIDO]]-DATE(2023,8,30), "")</f>
        <v/>
      </c>
    </row>
    <row r="1405" spans="1:37" ht="16.05" customHeight="1">
      <c r="A1405" s="152" t="s">
        <v>3361</v>
      </c>
      <c r="B1405" s="153">
        <v>484</v>
      </c>
      <c r="C1405" s="126" t="s">
        <v>610</v>
      </c>
      <c r="D1405">
        <v>865</v>
      </c>
      <c r="E1405" s="126" t="s">
        <v>3363</v>
      </c>
      <c r="F1405" s="125" t="s">
        <v>1607</v>
      </c>
      <c r="G1405" s="125" t="s">
        <v>134</v>
      </c>
      <c r="H1405">
        <v>99</v>
      </c>
      <c r="I1405" s="125" t="s">
        <v>1546</v>
      </c>
      <c r="J1405" s="308" t="s">
        <v>214</v>
      </c>
      <c r="K1405" s="127" t="s">
        <v>3348</v>
      </c>
      <c r="L1405" s="153" t="s">
        <v>1579</v>
      </c>
      <c r="M1405">
        <v>134</v>
      </c>
      <c r="N1405" s="123">
        <v>17</v>
      </c>
      <c r="O1405">
        <v>870</v>
      </c>
      <c r="P1405" s="132" t="s">
        <v>77</v>
      </c>
      <c r="Q1405" s="132">
        <v>255.09</v>
      </c>
      <c r="R1405" s="132">
        <v>40.81</v>
      </c>
      <c r="S1405" s="132"/>
      <c r="T1405" s="156"/>
      <c r="U1405" s="132"/>
      <c r="V1405" s="132">
        <v>295.89999999999998</v>
      </c>
      <c r="W1405">
        <v>145</v>
      </c>
      <c r="X1405" s="153" t="s">
        <v>1644</v>
      </c>
      <c r="Y1405" s="124" t="s">
        <v>55</v>
      </c>
      <c r="Z1405" s="308">
        <v>209</v>
      </c>
      <c r="AB1405" t="str">
        <f>IF(Table1[[#This Row],[TIPO2]]="costo", VLOOKUP(Table1[[#This Row],[PARTIDA PRESUPUESTAL]],'Cost Report'!G:G,1,0),"Balance")</f>
        <v>2485-003</v>
      </c>
      <c r="AC1405" s="118"/>
      <c r="AD1405" s="159">
        <f>+Table1[[#This Row],[SUBTOTAL]]+Table1[[#This Row],[IVA]]-Table1[[#This Row],[RET IVA]]-Table1[[#This Row],[RET ISR]]-Table1[[#This Row],[TOTAL]]</f>
        <v>0</v>
      </c>
      <c r="AE1405" s="152"/>
      <c r="AF1405" s="153"/>
      <c r="AG1405" s="126" t="s">
        <v>3420</v>
      </c>
      <c r="AH1405" s="115"/>
      <c r="AK1405" s="306" t="str">
        <f>IF(ISNUMBER(Table1[[#This Row],[FECHA DE RECIBIDO]]), Table1[[#This Row],[FECHA DE RECIBIDO]]-DATE(2023,8,30), "")</f>
        <v/>
      </c>
    </row>
    <row r="1406" spans="1:37" ht="16.05" customHeight="1">
      <c r="A1406" s="150" t="s">
        <v>3361</v>
      </c>
      <c r="B1406" s="151">
        <v>484</v>
      </c>
      <c r="C1406" s="126" t="s">
        <v>1519</v>
      </c>
      <c r="D1406">
        <v>866</v>
      </c>
      <c r="E1406" s="126" t="s">
        <v>3276</v>
      </c>
      <c r="F1406" s="122" t="s">
        <v>1589</v>
      </c>
      <c r="G1406" s="122" t="s">
        <v>134</v>
      </c>
      <c r="H1406">
        <v>288</v>
      </c>
      <c r="I1406" s="122" t="s">
        <v>1546</v>
      </c>
      <c r="J1406" s="307" t="s">
        <v>214</v>
      </c>
      <c r="K1406" s="127" t="s">
        <v>3348</v>
      </c>
      <c r="L1406" s="151" t="s">
        <v>1579</v>
      </c>
      <c r="M1406">
        <v>382</v>
      </c>
      <c r="N1406" s="123">
        <v>17</v>
      </c>
      <c r="O1406">
        <v>871</v>
      </c>
      <c r="P1406" s="132" t="s">
        <v>77</v>
      </c>
      <c r="Q1406" s="131">
        <v>9000</v>
      </c>
      <c r="R1406" s="131">
        <v>1440</v>
      </c>
      <c r="S1406" s="131"/>
      <c r="T1406" s="155"/>
      <c r="U1406" s="131"/>
      <c r="V1406" s="131">
        <v>10440</v>
      </c>
      <c r="W1406">
        <v>145</v>
      </c>
      <c r="X1406" s="151" t="s">
        <v>1644</v>
      </c>
      <c r="Y1406" s="135" t="s">
        <v>55</v>
      </c>
      <c r="Z1406" s="307">
        <v>210</v>
      </c>
      <c r="AB1406" t="str">
        <f>IF(Table1[[#This Row],[TIPO2]]="costo", VLOOKUP(Table1[[#This Row],[PARTIDA PRESUPUESTAL]],'Cost Report'!G:G,1,0),"Balance")</f>
        <v>2494-031</v>
      </c>
      <c r="AC1406" s="118"/>
      <c r="AD1406" s="159">
        <f>+Table1[[#This Row],[SUBTOTAL]]+Table1[[#This Row],[IVA]]-Table1[[#This Row],[RET IVA]]-Table1[[#This Row],[RET ISR]]-Table1[[#This Row],[TOTAL]]</f>
        <v>0</v>
      </c>
      <c r="AE1406" s="150"/>
      <c r="AF1406" s="151"/>
      <c r="AG1406" s="126" t="s">
        <v>3420</v>
      </c>
      <c r="AH1406" s="115"/>
      <c r="AK1406" s="306" t="str">
        <f>IF(ISNUMBER(Table1[[#This Row],[FECHA DE RECIBIDO]]), Table1[[#This Row],[FECHA DE RECIBIDO]]-DATE(2023,8,30), "")</f>
        <v/>
      </c>
    </row>
    <row r="1407" spans="1:37" ht="16.05" customHeight="1">
      <c r="A1407" s="152" t="s">
        <v>3361</v>
      </c>
      <c r="B1407" s="153">
        <v>484</v>
      </c>
      <c r="C1407" s="126" t="s">
        <v>1732</v>
      </c>
      <c r="D1407">
        <v>867</v>
      </c>
      <c r="E1407" s="126" t="s">
        <v>1603</v>
      </c>
      <c r="F1407" s="125" t="s">
        <v>1607</v>
      </c>
      <c r="G1407" s="125" t="s">
        <v>134</v>
      </c>
      <c r="H1407">
        <v>274</v>
      </c>
      <c r="I1407" s="125" t="s">
        <v>1546</v>
      </c>
      <c r="J1407" s="308" t="s">
        <v>214</v>
      </c>
      <c r="K1407" s="127" t="s">
        <v>3348</v>
      </c>
      <c r="L1407" s="153" t="s">
        <v>1579</v>
      </c>
      <c r="M1407">
        <v>365</v>
      </c>
      <c r="N1407" s="123">
        <v>17</v>
      </c>
      <c r="O1407">
        <v>872</v>
      </c>
      <c r="P1407" s="132" t="s">
        <v>77</v>
      </c>
      <c r="Q1407" s="132">
        <v>325</v>
      </c>
      <c r="R1407" s="132">
        <v>52</v>
      </c>
      <c r="S1407" s="132"/>
      <c r="T1407" s="156"/>
      <c r="U1407" s="132"/>
      <c r="V1407" s="132">
        <v>377</v>
      </c>
      <c r="W1407">
        <v>145</v>
      </c>
      <c r="X1407" s="153" t="s">
        <v>1644</v>
      </c>
      <c r="Y1407" s="124" t="s">
        <v>55</v>
      </c>
      <c r="Z1407" s="308">
        <v>209</v>
      </c>
      <c r="AB1407" t="str">
        <f>IF(Table1[[#This Row],[TIPO2]]="costo", VLOOKUP(Table1[[#This Row],[PARTIDA PRESUPUESTAL]],'Cost Report'!G:G,1,0),"Balance")</f>
        <v>2494-035</v>
      </c>
      <c r="AC1407" s="118"/>
      <c r="AD1407" s="159">
        <f>+Table1[[#This Row],[SUBTOTAL]]+Table1[[#This Row],[IVA]]-Table1[[#This Row],[RET IVA]]-Table1[[#This Row],[RET ISR]]-Table1[[#This Row],[TOTAL]]</f>
        <v>0</v>
      </c>
      <c r="AE1407" s="152"/>
      <c r="AF1407" s="153"/>
      <c r="AG1407" s="126" t="s">
        <v>3420</v>
      </c>
      <c r="AH1407" s="115"/>
      <c r="AK1407" s="306" t="str">
        <f>IF(ISNUMBER(Table1[[#This Row],[FECHA DE RECIBIDO]]), Table1[[#This Row],[FECHA DE RECIBIDO]]-DATE(2023,8,30), "")</f>
        <v/>
      </c>
    </row>
    <row r="1408" spans="1:37" ht="16.05" customHeight="1">
      <c r="A1408" s="150" t="s">
        <v>3361</v>
      </c>
      <c r="B1408" s="151">
        <v>484</v>
      </c>
      <c r="C1408" s="126" t="s">
        <v>2455</v>
      </c>
      <c r="D1408">
        <v>661</v>
      </c>
      <c r="E1408" s="126"/>
      <c r="F1408" s="122"/>
      <c r="G1408" s="122"/>
      <c r="H1408"/>
      <c r="I1408" s="122"/>
      <c r="J1408" s="307" t="s">
        <v>214</v>
      </c>
      <c r="K1408" s="127" t="s">
        <v>3348</v>
      </c>
      <c r="L1408" s="151" t="s">
        <v>1579</v>
      </c>
      <c r="M1408">
        <v>383</v>
      </c>
      <c r="N1408" s="123">
        <v>17</v>
      </c>
      <c r="O1408">
        <v>522</v>
      </c>
      <c r="P1408" s="132" t="s">
        <v>77</v>
      </c>
      <c r="Q1408" s="131">
        <v>30.74</v>
      </c>
      <c r="R1408" s="131"/>
      <c r="S1408" s="131"/>
      <c r="T1408" s="155"/>
      <c r="U1408" s="131"/>
      <c r="V1408" s="131">
        <v>30.74</v>
      </c>
      <c r="W1408">
        <v>145</v>
      </c>
      <c r="X1408" s="151" t="s">
        <v>1644</v>
      </c>
      <c r="Y1408" s="135" t="s">
        <v>55</v>
      </c>
      <c r="Z1408" s="307">
        <v>209</v>
      </c>
      <c r="AB1408" t="str">
        <f>IF(Table1[[#This Row],[TIPO2]]="costo", VLOOKUP(Table1[[#This Row],[PARTIDA PRESUPUESTAL]],'Cost Report'!G:G,1,0),"Balance")</f>
        <v>2285-003</v>
      </c>
      <c r="AC1408" s="118"/>
      <c r="AD1408" s="159">
        <f>+Table1[[#This Row],[SUBTOTAL]]+Table1[[#This Row],[IVA]]-Table1[[#This Row],[RET IVA]]-Table1[[#This Row],[RET ISR]]-Table1[[#This Row],[TOTAL]]</f>
        <v>0</v>
      </c>
      <c r="AE1408" s="150"/>
      <c r="AF1408" s="151"/>
      <c r="AG1408" s="126" t="s">
        <v>3420</v>
      </c>
      <c r="AH1408" s="115"/>
      <c r="AK1408" s="306" t="str">
        <f>IF(ISNUMBER(Table1[[#This Row],[FECHA DE RECIBIDO]]), Table1[[#This Row],[FECHA DE RECIBIDO]]-DATE(2023,8,30), "")</f>
        <v/>
      </c>
    </row>
    <row r="1409" spans="1:37" ht="16.05" customHeight="1">
      <c r="A1409" s="152" t="s">
        <v>3364</v>
      </c>
      <c r="B1409" s="153">
        <v>485</v>
      </c>
      <c r="C1409" s="126" t="s">
        <v>2616</v>
      </c>
      <c r="D1409">
        <v>868</v>
      </c>
      <c r="E1409" s="126" t="s">
        <v>1999</v>
      </c>
      <c r="F1409" s="125" t="s">
        <v>1607</v>
      </c>
      <c r="G1409" s="125" t="s">
        <v>134</v>
      </c>
      <c r="H1409">
        <v>142</v>
      </c>
      <c r="I1409" s="125" t="s">
        <v>1546</v>
      </c>
      <c r="J1409" s="308" t="s">
        <v>214</v>
      </c>
      <c r="K1409" s="127" t="s">
        <v>3348</v>
      </c>
      <c r="L1409" s="153" t="s">
        <v>1579</v>
      </c>
      <c r="M1409">
        <v>185</v>
      </c>
      <c r="N1409" s="123">
        <v>17</v>
      </c>
      <c r="O1409">
        <v>873</v>
      </c>
      <c r="P1409" s="132" t="s">
        <v>77</v>
      </c>
      <c r="Q1409" s="132">
        <v>542.07000000000005</v>
      </c>
      <c r="R1409" s="132">
        <v>86.73</v>
      </c>
      <c r="S1409" s="132"/>
      <c r="T1409" s="156"/>
      <c r="U1409" s="132"/>
      <c r="V1409" s="132">
        <v>628.80000000000007</v>
      </c>
      <c r="W1409">
        <v>146</v>
      </c>
      <c r="X1409" s="153" t="s">
        <v>1644</v>
      </c>
      <c r="Y1409" s="124" t="s">
        <v>55</v>
      </c>
      <c r="Z1409" s="308">
        <v>213</v>
      </c>
      <c r="AB1409" t="str">
        <f>IF(Table1[[#This Row],[TIPO2]]="costo", VLOOKUP(Table1[[#This Row],[PARTIDA PRESUPUESTAL]],'Cost Report'!G:G,1,0),"Balance")</f>
        <v>2808-003</v>
      </c>
      <c r="AC1409" s="118"/>
      <c r="AD1409" s="159">
        <f>+Table1[[#This Row],[SUBTOTAL]]+Table1[[#This Row],[IVA]]-Table1[[#This Row],[RET IVA]]-Table1[[#This Row],[RET ISR]]-Table1[[#This Row],[TOTAL]]</f>
        <v>0</v>
      </c>
      <c r="AE1409" s="152"/>
      <c r="AF1409" s="153"/>
      <c r="AG1409" s="126" t="s">
        <v>3420</v>
      </c>
      <c r="AH1409" s="115"/>
      <c r="AK1409" s="306" t="str">
        <f>IF(ISNUMBER(Table1[[#This Row],[FECHA DE RECIBIDO]]), Table1[[#This Row],[FECHA DE RECIBIDO]]-DATE(2023,8,30), "")</f>
        <v/>
      </c>
    </row>
    <row r="1410" spans="1:37" ht="16.05" customHeight="1">
      <c r="A1410" s="150" t="s">
        <v>3364</v>
      </c>
      <c r="B1410" s="151">
        <v>485</v>
      </c>
      <c r="C1410" s="126" t="s">
        <v>2616</v>
      </c>
      <c r="D1410">
        <v>869</v>
      </c>
      <c r="E1410" s="126" t="s">
        <v>3264</v>
      </c>
      <c r="F1410" s="122" t="s">
        <v>1607</v>
      </c>
      <c r="G1410" s="122" t="s">
        <v>134</v>
      </c>
      <c r="H1410">
        <v>289</v>
      </c>
      <c r="I1410" s="122" t="s">
        <v>1546</v>
      </c>
      <c r="J1410" s="307" t="s">
        <v>214</v>
      </c>
      <c r="K1410" s="127" t="s">
        <v>3348</v>
      </c>
      <c r="L1410" s="151" t="s">
        <v>1579</v>
      </c>
      <c r="M1410">
        <v>376</v>
      </c>
      <c r="N1410" s="123">
        <v>17</v>
      </c>
      <c r="O1410">
        <v>874</v>
      </c>
      <c r="P1410" s="132" t="s">
        <v>77</v>
      </c>
      <c r="Q1410" s="131">
        <v>1518.87</v>
      </c>
      <c r="R1410" s="131">
        <v>243.02</v>
      </c>
      <c r="S1410" s="131"/>
      <c r="T1410" s="155"/>
      <c r="U1410" s="131"/>
      <c r="V1410" s="131">
        <v>1761.8899999999999</v>
      </c>
      <c r="W1410">
        <v>146</v>
      </c>
      <c r="X1410" s="151" t="s">
        <v>1644</v>
      </c>
      <c r="Y1410" s="135" t="s">
        <v>55</v>
      </c>
      <c r="Z1410" s="307">
        <v>213</v>
      </c>
      <c r="AB1410" t="str">
        <f>IF(Table1[[#This Row],[TIPO2]]="costo", VLOOKUP(Table1[[#This Row],[PARTIDA PRESUPUESTAL]],'Cost Report'!G:G,1,0),"Balance")</f>
        <v>2808-003</v>
      </c>
      <c r="AC1410" s="118"/>
      <c r="AD1410" s="159">
        <f>+Table1[[#This Row],[SUBTOTAL]]+Table1[[#This Row],[IVA]]-Table1[[#This Row],[RET IVA]]-Table1[[#This Row],[RET ISR]]-Table1[[#This Row],[TOTAL]]</f>
        <v>0</v>
      </c>
      <c r="AE1410" s="150"/>
      <c r="AF1410" s="151"/>
      <c r="AG1410" s="126" t="s">
        <v>3420</v>
      </c>
      <c r="AH1410" s="115"/>
      <c r="AK1410" s="306" t="str">
        <f>IF(ISNUMBER(Table1[[#This Row],[FECHA DE RECIBIDO]]), Table1[[#This Row],[FECHA DE RECIBIDO]]-DATE(2023,8,30), "")</f>
        <v/>
      </c>
    </row>
    <row r="1411" spans="1:37" ht="16.05" customHeight="1">
      <c r="A1411" s="152" t="s">
        <v>3364</v>
      </c>
      <c r="B1411" s="153">
        <v>485</v>
      </c>
      <c r="C1411" s="126" t="s">
        <v>2616</v>
      </c>
      <c r="D1411">
        <v>870</v>
      </c>
      <c r="E1411" s="126" t="s">
        <v>3264</v>
      </c>
      <c r="F1411" s="125" t="s">
        <v>1607</v>
      </c>
      <c r="G1411" s="125" t="s">
        <v>134</v>
      </c>
      <c r="H1411">
        <v>156</v>
      </c>
      <c r="I1411" s="125" t="s">
        <v>1546</v>
      </c>
      <c r="J1411" s="308" t="s">
        <v>214</v>
      </c>
      <c r="K1411" s="127" t="s">
        <v>3348</v>
      </c>
      <c r="L1411" s="153" t="s">
        <v>1579</v>
      </c>
      <c r="M1411">
        <v>207</v>
      </c>
      <c r="N1411" s="123">
        <v>17</v>
      </c>
      <c r="O1411">
        <v>875</v>
      </c>
      <c r="P1411" s="132" t="s">
        <v>77</v>
      </c>
      <c r="Q1411" s="132">
        <v>2142.6</v>
      </c>
      <c r="R1411" s="132">
        <v>342.83</v>
      </c>
      <c r="S1411" s="132"/>
      <c r="T1411" s="156"/>
      <c r="U1411" s="132"/>
      <c r="V1411" s="132">
        <v>2485.4299999999998</v>
      </c>
      <c r="W1411">
        <v>146</v>
      </c>
      <c r="X1411" s="153" t="s">
        <v>1644</v>
      </c>
      <c r="Y1411" s="124" t="s">
        <v>55</v>
      </c>
      <c r="Z1411" s="308">
        <v>216</v>
      </c>
      <c r="AB1411" t="str">
        <f>IF(Table1[[#This Row],[TIPO2]]="costo", VLOOKUP(Table1[[#This Row],[PARTIDA PRESUPUESTAL]],'Cost Report'!G:G,1,0),"Balance")</f>
        <v>2808-003</v>
      </c>
      <c r="AC1411" s="118"/>
      <c r="AD1411" s="159">
        <f>+Table1[[#This Row],[SUBTOTAL]]+Table1[[#This Row],[IVA]]-Table1[[#This Row],[RET IVA]]-Table1[[#This Row],[RET ISR]]-Table1[[#This Row],[TOTAL]]</f>
        <v>0</v>
      </c>
      <c r="AE1411" s="152"/>
      <c r="AF1411" s="153"/>
      <c r="AG1411" s="126" t="s">
        <v>3420</v>
      </c>
      <c r="AH1411" s="115"/>
      <c r="AK1411" s="306" t="str">
        <f>IF(ISNUMBER(Table1[[#This Row],[FECHA DE RECIBIDO]]), Table1[[#This Row],[FECHA DE RECIBIDO]]-DATE(2023,8,30), "")</f>
        <v/>
      </c>
    </row>
    <row r="1412" spans="1:37" ht="16.05" customHeight="1">
      <c r="A1412" s="150" t="s">
        <v>3364</v>
      </c>
      <c r="B1412" s="151">
        <v>485</v>
      </c>
      <c r="C1412" s="126" t="s">
        <v>2616</v>
      </c>
      <c r="D1412">
        <v>871</v>
      </c>
      <c r="E1412" s="126" t="s">
        <v>1596</v>
      </c>
      <c r="F1412" s="122" t="s">
        <v>1589</v>
      </c>
      <c r="G1412" s="122" t="s">
        <v>134</v>
      </c>
      <c r="H1412">
        <v>290</v>
      </c>
      <c r="I1412" s="122" t="s">
        <v>1546</v>
      </c>
      <c r="J1412" s="307" t="s">
        <v>214</v>
      </c>
      <c r="K1412" s="127" t="s">
        <v>3348</v>
      </c>
      <c r="L1412" s="151" t="s">
        <v>1579</v>
      </c>
      <c r="M1412">
        <v>384</v>
      </c>
      <c r="N1412" s="123">
        <v>17</v>
      </c>
      <c r="O1412">
        <v>876</v>
      </c>
      <c r="P1412" s="132" t="s">
        <v>77</v>
      </c>
      <c r="Q1412" s="131">
        <v>2327.6</v>
      </c>
      <c r="R1412" s="131">
        <v>372.42</v>
      </c>
      <c r="S1412" s="131"/>
      <c r="T1412" s="155"/>
      <c r="U1412" s="131"/>
      <c r="V1412" s="131">
        <v>2700.02</v>
      </c>
      <c r="W1412">
        <v>146</v>
      </c>
      <c r="X1412" s="151" t="s">
        <v>1644</v>
      </c>
      <c r="Y1412" s="135" t="s">
        <v>55</v>
      </c>
      <c r="Z1412" s="307">
        <v>214</v>
      </c>
      <c r="AB1412" t="str">
        <f>IF(Table1[[#This Row],[TIPO2]]="costo", VLOOKUP(Table1[[#This Row],[PARTIDA PRESUPUESTAL]],'Cost Report'!G:G,1,0),"Balance")</f>
        <v>2808-003</v>
      </c>
      <c r="AC1412" s="118"/>
      <c r="AD1412" s="159">
        <f>+Table1[[#This Row],[SUBTOTAL]]+Table1[[#This Row],[IVA]]-Table1[[#This Row],[RET IVA]]-Table1[[#This Row],[RET ISR]]-Table1[[#This Row],[TOTAL]]</f>
        <v>0</v>
      </c>
      <c r="AE1412" s="150"/>
      <c r="AF1412" s="151"/>
      <c r="AG1412" s="126" t="s">
        <v>3420</v>
      </c>
      <c r="AH1412" s="115"/>
      <c r="AK1412" s="306" t="str">
        <f>IF(ISNUMBER(Table1[[#This Row],[FECHA DE RECIBIDO]]), Table1[[#This Row],[FECHA DE RECIBIDO]]-DATE(2023,8,30), "")</f>
        <v/>
      </c>
    </row>
    <row r="1413" spans="1:37" ht="16.05" customHeight="1">
      <c r="A1413" s="152" t="s">
        <v>3364</v>
      </c>
      <c r="B1413" s="153">
        <v>485</v>
      </c>
      <c r="C1413" s="126" t="s">
        <v>2616</v>
      </c>
      <c r="D1413">
        <v>872</v>
      </c>
      <c r="E1413" s="126" t="s">
        <v>1609</v>
      </c>
      <c r="F1413" s="125" t="s">
        <v>1602</v>
      </c>
      <c r="G1413" s="125" t="s">
        <v>134</v>
      </c>
      <c r="H1413">
        <v>225</v>
      </c>
      <c r="I1413" s="125" t="s">
        <v>1546</v>
      </c>
      <c r="J1413" s="308" t="s">
        <v>214</v>
      </c>
      <c r="K1413" s="127" t="s">
        <v>3348</v>
      </c>
      <c r="L1413" s="153" t="s">
        <v>1579</v>
      </c>
      <c r="M1413">
        <v>292</v>
      </c>
      <c r="N1413" s="123">
        <v>17</v>
      </c>
      <c r="O1413">
        <v>877</v>
      </c>
      <c r="P1413" s="132" t="s">
        <v>77</v>
      </c>
      <c r="Q1413" s="132">
        <v>407.47</v>
      </c>
      <c r="R1413" s="132">
        <v>65.2</v>
      </c>
      <c r="S1413" s="132"/>
      <c r="T1413" s="156"/>
      <c r="U1413" s="132">
        <v>43.46</v>
      </c>
      <c r="V1413" s="132">
        <v>429.21000000000004</v>
      </c>
      <c r="W1413">
        <v>146</v>
      </c>
      <c r="X1413" s="153" t="s">
        <v>1644</v>
      </c>
      <c r="Y1413" s="124" t="s">
        <v>55</v>
      </c>
      <c r="Z1413" s="308">
        <v>214</v>
      </c>
      <c r="AB1413" t="str">
        <f>IF(Table1[[#This Row],[TIPO2]]="costo", VLOOKUP(Table1[[#This Row],[PARTIDA PRESUPUESTAL]],'Cost Report'!G:G,1,0),"Balance")</f>
        <v>2808-003</v>
      </c>
      <c r="AC1413" s="118"/>
      <c r="AD1413" s="159">
        <f>+Table1[[#This Row],[SUBTOTAL]]+Table1[[#This Row],[IVA]]-Table1[[#This Row],[RET IVA]]-Table1[[#This Row],[RET ISR]]-Table1[[#This Row],[TOTAL]]</f>
        <v>0</v>
      </c>
      <c r="AE1413" s="152"/>
      <c r="AF1413" s="153"/>
      <c r="AG1413" s="126" t="s">
        <v>3420</v>
      </c>
      <c r="AH1413" s="115"/>
      <c r="AK1413" s="306" t="str">
        <f>IF(ISNUMBER(Table1[[#This Row],[FECHA DE RECIBIDO]]), Table1[[#This Row],[FECHA DE RECIBIDO]]-DATE(2023,8,30), "")</f>
        <v/>
      </c>
    </row>
    <row r="1414" spans="1:37" ht="16.05" customHeight="1">
      <c r="A1414" s="150" t="s">
        <v>3364</v>
      </c>
      <c r="B1414" s="151">
        <v>485</v>
      </c>
      <c r="C1414" s="126" t="s">
        <v>2616</v>
      </c>
      <c r="D1414">
        <v>873</v>
      </c>
      <c r="E1414" s="126" t="s">
        <v>3264</v>
      </c>
      <c r="F1414" s="122" t="s">
        <v>1607</v>
      </c>
      <c r="G1414" s="122" t="s">
        <v>134</v>
      </c>
      <c r="H1414">
        <v>291</v>
      </c>
      <c r="I1414" s="122" t="s">
        <v>1546</v>
      </c>
      <c r="J1414" s="307" t="s">
        <v>214</v>
      </c>
      <c r="K1414" s="127" t="s">
        <v>3348</v>
      </c>
      <c r="L1414" s="151" t="s">
        <v>1579</v>
      </c>
      <c r="M1414">
        <v>385</v>
      </c>
      <c r="N1414" s="123">
        <v>17</v>
      </c>
      <c r="O1414">
        <v>878</v>
      </c>
      <c r="P1414" s="132" t="s">
        <v>77</v>
      </c>
      <c r="Q1414" s="131">
        <v>1496.38</v>
      </c>
      <c r="R1414" s="131">
        <v>239.32</v>
      </c>
      <c r="S1414" s="131"/>
      <c r="T1414" s="155"/>
      <c r="U1414" s="131"/>
      <c r="V1414" s="131">
        <v>1735.7</v>
      </c>
      <c r="W1414">
        <v>146</v>
      </c>
      <c r="X1414" s="151" t="s">
        <v>1644</v>
      </c>
      <c r="Y1414" s="135" t="s">
        <v>55</v>
      </c>
      <c r="Z1414" s="307">
        <v>213</v>
      </c>
      <c r="AB1414" t="str">
        <f>IF(Table1[[#This Row],[TIPO2]]="costo", VLOOKUP(Table1[[#This Row],[PARTIDA PRESUPUESTAL]],'Cost Report'!G:G,1,0),"Balance")</f>
        <v>2808-003</v>
      </c>
      <c r="AC1414" s="118"/>
      <c r="AD1414" s="159">
        <f>+Table1[[#This Row],[SUBTOTAL]]+Table1[[#This Row],[IVA]]-Table1[[#This Row],[RET IVA]]-Table1[[#This Row],[RET ISR]]-Table1[[#This Row],[TOTAL]]</f>
        <v>0</v>
      </c>
      <c r="AE1414" s="150"/>
      <c r="AF1414" s="151"/>
      <c r="AG1414" s="126" t="s">
        <v>3420</v>
      </c>
      <c r="AH1414" s="115"/>
      <c r="AK1414" s="306" t="str">
        <f>IF(ISNUMBER(Table1[[#This Row],[FECHA DE RECIBIDO]]), Table1[[#This Row],[FECHA DE RECIBIDO]]-DATE(2023,8,30), "")</f>
        <v/>
      </c>
    </row>
    <row r="1415" spans="1:37" ht="16.05" customHeight="1">
      <c r="A1415" s="152" t="s">
        <v>3364</v>
      </c>
      <c r="B1415" s="153">
        <v>485</v>
      </c>
      <c r="C1415" s="126" t="s">
        <v>2616</v>
      </c>
      <c r="D1415">
        <v>874</v>
      </c>
      <c r="E1415" s="126" t="s">
        <v>3264</v>
      </c>
      <c r="F1415" s="125" t="s">
        <v>1607</v>
      </c>
      <c r="G1415" s="125" t="s">
        <v>134</v>
      </c>
      <c r="H1415">
        <v>41</v>
      </c>
      <c r="I1415" s="125" t="s">
        <v>1546</v>
      </c>
      <c r="J1415" s="308" t="s">
        <v>214</v>
      </c>
      <c r="K1415" s="127" t="s">
        <v>3348</v>
      </c>
      <c r="L1415" s="153" t="s">
        <v>1579</v>
      </c>
      <c r="M1415">
        <v>323</v>
      </c>
      <c r="N1415" s="123">
        <v>17</v>
      </c>
      <c r="O1415">
        <v>879</v>
      </c>
      <c r="P1415" s="132" t="s">
        <v>77</v>
      </c>
      <c r="Q1415" s="132">
        <v>132.76</v>
      </c>
      <c r="R1415" s="132">
        <v>21.24</v>
      </c>
      <c r="S1415" s="132"/>
      <c r="T1415" s="156"/>
      <c r="U1415" s="132"/>
      <c r="V1415" s="132">
        <v>154</v>
      </c>
      <c r="W1415">
        <v>146</v>
      </c>
      <c r="X1415" s="153" t="s">
        <v>1644</v>
      </c>
      <c r="Y1415" s="124" t="s">
        <v>55</v>
      </c>
      <c r="Z1415" s="308">
        <v>216</v>
      </c>
      <c r="AB1415" t="str">
        <f>IF(Table1[[#This Row],[TIPO2]]="costo", VLOOKUP(Table1[[#This Row],[PARTIDA PRESUPUESTAL]],'Cost Report'!G:G,1,0),"Balance")</f>
        <v>2808-003</v>
      </c>
      <c r="AC1415" s="118"/>
      <c r="AD1415" s="159">
        <f>+Table1[[#This Row],[SUBTOTAL]]+Table1[[#This Row],[IVA]]-Table1[[#This Row],[RET IVA]]-Table1[[#This Row],[RET ISR]]-Table1[[#This Row],[TOTAL]]</f>
        <v>0</v>
      </c>
      <c r="AE1415" s="152"/>
      <c r="AF1415" s="153"/>
      <c r="AG1415" s="126" t="s">
        <v>3420</v>
      </c>
      <c r="AH1415" s="115"/>
      <c r="AK1415" s="306" t="str">
        <f>IF(ISNUMBER(Table1[[#This Row],[FECHA DE RECIBIDO]]), Table1[[#This Row],[FECHA DE RECIBIDO]]-DATE(2023,8,30), "")</f>
        <v/>
      </c>
    </row>
    <row r="1416" spans="1:37" ht="16.05" customHeight="1">
      <c r="A1416" s="150" t="s">
        <v>3364</v>
      </c>
      <c r="B1416" s="151">
        <v>485</v>
      </c>
      <c r="C1416" s="126" t="s">
        <v>2616</v>
      </c>
      <c r="D1416">
        <v>875</v>
      </c>
      <c r="E1416" s="126" t="s">
        <v>1999</v>
      </c>
      <c r="F1416" s="122" t="s">
        <v>1607</v>
      </c>
      <c r="G1416" s="122" t="s">
        <v>134</v>
      </c>
      <c r="H1416">
        <v>292</v>
      </c>
      <c r="I1416" s="122" t="s">
        <v>1546</v>
      </c>
      <c r="J1416" s="307" t="s">
        <v>214</v>
      </c>
      <c r="K1416" s="127" t="s">
        <v>3348</v>
      </c>
      <c r="L1416" s="151" t="s">
        <v>1579</v>
      </c>
      <c r="M1416">
        <v>386</v>
      </c>
      <c r="N1416" s="123">
        <v>17</v>
      </c>
      <c r="O1416">
        <v>880</v>
      </c>
      <c r="P1416" s="132" t="s">
        <v>77</v>
      </c>
      <c r="Q1416" s="131">
        <v>2618.12</v>
      </c>
      <c r="R1416" s="131">
        <v>418.88</v>
      </c>
      <c r="S1416" s="131"/>
      <c r="T1416" s="155"/>
      <c r="U1416" s="131"/>
      <c r="V1416" s="131">
        <v>3037</v>
      </c>
      <c r="W1416">
        <v>146</v>
      </c>
      <c r="X1416" s="151" t="s">
        <v>1644</v>
      </c>
      <c r="Y1416" s="135" t="s">
        <v>55</v>
      </c>
      <c r="Z1416" s="307">
        <v>212</v>
      </c>
      <c r="AB1416" t="str">
        <f>IF(Table1[[#This Row],[TIPO2]]="costo", VLOOKUP(Table1[[#This Row],[PARTIDA PRESUPUESTAL]],'Cost Report'!G:G,1,0),"Balance")</f>
        <v>2808-003</v>
      </c>
      <c r="AC1416" s="118"/>
      <c r="AD1416" s="159">
        <f>+Table1[[#This Row],[SUBTOTAL]]+Table1[[#This Row],[IVA]]-Table1[[#This Row],[RET IVA]]-Table1[[#This Row],[RET ISR]]-Table1[[#This Row],[TOTAL]]</f>
        <v>0</v>
      </c>
      <c r="AE1416" s="150"/>
      <c r="AF1416" s="151"/>
      <c r="AG1416" s="126" t="s">
        <v>3420</v>
      </c>
      <c r="AH1416" s="115"/>
      <c r="AK1416" s="306" t="str">
        <f>IF(ISNUMBER(Table1[[#This Row],[FECHA DE RECIBIDO]]), Table1[[#This Row],[FECHA DE RECIBIDO]]-DATE(2023,8,30), "")</f>
        <v/>
      </c>
    </row>
    <row r="1417" spans="1:37" ht="16.05" customHeight="1">
      <c r="A1417" s="152" t="s">
        <v>3364</v>
      </c>
      <c r="B1417" s="153">
        <v>485</v>
      </c>
      <c r="C1417" s="126" t="s">
        <v>2616</v>
      </c>
      <c r="D1417">
        <v>876</v>
      </c>
      <c r="E1417" s="126" t="s">
        <v>1999</v>
      </c>
      <c r="F1417" s="125" t="s">
        <v>1607</v>
      </c>
      <c r="G1417" s="125" t="s">
        <v>134</v>
      </c>
      <c r="H1417">
        <v>141</v>
      </c>
      <c r="I1417" s="125" t="s">
        <v>1546</v>
      </c>
      <c r="J1417" s="308" t="s">
        <v>214</v>
      </c>
      <c r="K1417" s="127" t="s">
        <v>3348</v>
      </c>
      <c r="L1417" s="153" t="s">
        <v>1579</v>
      </c>
      <c r="M1417">
        <v>296</v>
      </c>
      <c r="N1417" s="123">
        <v>17</v>
      </c>
      <c r="O1417">
        <v>881</v>
      </c>
      <c r="P1417" s="132" t="s">
        <v>77</v>
      </c>
      <c r="Q1417" s="132">
        <v>8004.32</v>
      </c>
      <c r="R1417" s="132">
        <v>1280.68</v>
      </c>
      <c r="S1417" s="132"/>
      <c r="T1417" s="156"/>
      <c r="U1417" s="132"/>
      <c r="V1417" s="132">
        <v>9285</v>
      </c>
      <c r="W1417">
        <v>146</v>
      </c>
      <c r="X1417" s="153" t="s">
        <v>1644</v>
      </c>
      <c r="Y1417" s="124" t="s">
        <v>55</v>
      </c>
      <c r="Z1417" s="308">
        <v>213</v>
      </c>
      <c r="AB1417" t="str">
        <f>IF(Table1[[#This Row],[TIPO2]]="costo", VLOOKUP(Table1[[#This Row],[PARTIDA PRESUPUESTAL]],'Cost Report'!G:G,1,0),"Balance")</f>
        <v>2808-003</v>
      </c>
      <c r="AC1417" s="118"/>
      <c r="AD1417" s="159">
        <f>+Table1[[#This Row],[SUBTOTAL]]+Table1[[#This Row],[IVA]]-Table1[[#This Row],[RET IVA]]-Table1[[#This Row],[RET ISR]]-Table1[[#This Row],[TOTAL]]</f>
        <v>0</v>
      </c>
      <c r="AE1417" s="152"/>
      <c r="AF1417" s="153"/>
      <c r="AG1417" s="126" t="s">
        <v>3420</v>
      </c>
      <c r="AH1417" s="115"/>
      <c r="AK1417" s="306" t="str">
        <f>IF(ISNUMBER(Table1[[#This Row],[FECHA DE RECIBIDO]]), Table1[[#This Row],[FECHA DE RECIBIDO]]-DATE(2023,8,30), "")</f>
        <v/>
      </c>
    </row>
    <row r="1418" spans="1:37" ht="16.05" customHeight="1">
      <c r="A1418" s="150" t="s">
        <v>3364</v>
      </c>
      <c r="B1418" s="151">
        <v>485</v>
      </c>
      <c r="C1418" s="126" t="s">
        <v>2616</v>
      </c>
      <c r="D1418">
        <v>877</v>
      </c>
      <c r="E1418" s="126" t="s">
        <v>1986</v>
      </c>
      <c r="F1418" s="122" t="s">
        <v>1607</v>
      </c>
      <c r="G1418" s="122" t="s">
        <v>134</v>
      </c>
      <c r="H1418">
        <v>228</v>
      </c>
      <c r="I1418" s="122" t="s">
        <v>1546</v>
      </c>
      <c r="J1418" s="307" t="s">
        <v>214</v>
      </c>
      <c r="K1418" s="127" t="s">
        <v>3348</v>
      </c>
      <c r="L1418" s="151" t="s">
        <v>1579</v>
      </c>
      <c r="M1418">
        <v>297</v>
      </c>
      <c r="N1418" s="123">
        <v>17</v>
      </c>
      <c r="O1418">
        <v>882</v>
      </c>
      <c r="P1418" s="132" t="s">
        <v>77</v>
      </c>
      <c r="Q1418" s="131">
        <v>4250</v>
      </c>
      <c r="R1418" s="131">
        <v>680</v>
      </c>
      <c r="S1418" s="131"/>
      <c r="T1418" s="155"/>
      <c r="U1418" s="131"/>
      <c r="V1418" s="131">
        <v>4930</v>
      </c>
      <c r="W1418">
        <v>146</v>
      </c>
      <c r="X1418" s="151" t="s">
        <v>1644</v>
      </c>
      <c r="Y1418" s="135" t="s">
        <v>55</v>
      </c>
      <c r="Z1418" s="307">
        <v>213</v>
      </c>
      <c r="AB1418" t="str">
        <f>IF(Table1[[#This Row],[TIPO2]]="costo", VLOOKUP(Table1[[#This Row],[PARTIDA PRESUPUESTAL]],'Cost Report'!G:G,1,0),"Balance")</f>
        <v>2808-003</v>
      </c>
      <c r="AC1418" s="118"/>
      <c r="AD1418" s="159">
        <f>+Table1[[#This Row],[SUBTOTAL]]+Table1[[#This Row],[IVA]]-Table1[[#This Row],[RET IVA]]-Table1[[#This Row],[RET ISR]]-Table1[[#This Row],[TOTAL]]</f>
        <v>0</v>
      </c>
      <c r="AE1418" s="150"/>
      <c r="AF1418" s="151"/>
      <c r="AG1418" s="126" t="s">
        <v>3420</v>
      </c>
      <c r="AH1418" s="115"/>
      <c r="AK1418" s="306" t="str">
        <f>IF(ISNUMBER(Table1[[#This Row],[FECHA DE RECIBIDO]]), Table1[[#This Row],[FECHA DE RECIBIDO]]-DATE(2023,8,30), "")</f>
        <v/>
      </c>
    </row>
    <row r="1419" spans="1:37" ht="16.05" customHeight="1">
      <c r="A1419" s="152" t="s">
        <v>3365</v>
      </c>
      <c r="B1419" s="153">
        <v>486</v>
      </c>
      <c r="C1419" s="126" t="s">
        <v>2461</v>
      </c>
      <c r="D1419">
        <v>878</v>
      </c>
      <c r="E1419" s="126" t="s">
        <v>1596</v>
      </c>
      <c r="F1419" s="125" t="s">
        <v>1607</v>
      </c>
      <c r="G1419" s="125" t="s">
        <v>134</v>
      </c>
      <c r="H1419">
        <v>272</v>
      </c>
      <c r="I1419" s="125" t="s">
        <v>1546</v>
      </c>
      <c r="J1419" s="308" t="s">
        <v>214</v>
      </c>
      <c r="K1419" s="127" t="s">
        <v>3348</v>
      </c>
      <c r="L1419" s="153" t="s">
        <v>1579</v>
      </c>
      <c r="M1419">
        <v>363</v>
      </c>
      <c r="N1419" s="123">
        <v>17</v>
      </c>
      <c r="O1419">
        <v>883</v>
      </c>
      <c r="P1419" s="132" t="s">
        <v>77</v>
      </c>
      <c r="Q1419" s="132">
        <v>995.69</v>
      </c>
      <c r="R1419" s="132">
        <v>159.31</v>
      </c>
      <c r="S1419" s="132"/>
      <c r="T1419" s="156"/>
      <c r="U1419" s="132"/>
      <c r="V1419" s="132">
        <v>1155</v>
      </c>
      <c r="W1419">
        <v>101</v>
      </c>
      <c r="X1419" s="153" t="s">
        <v>1644</v>
      </c>
      <c r="Y1419" s="124" t="s">
        <v>55</v>
      </c>
      <c r="Z1419" s="308">
        <v>209</v>
      </c>
      <c r="AB1419" t="str">
        <f>IF(Table1[[#This Row],[TIPO2]]="costo", VLOOKUP(Table1[[#This Row],[PARTIDA PRESUPUESTAL]],'Cost Report'!G:G,1,0),"Balance")</f>
        <v>2385-003</v>
      </c>
      <c r="AC1419" s="118"/>
      <c r="AD1419" s="159">
        <f>+Table1[[#This Row],[SUBTOTAL]]+Table1[[#This Row],[IVA]]-Table1[[#This Row],[RET IVA]]-Table1[[#This Row],[RET ISR]]-Table1[[#This Row],[TOTAL]]</f>
        <v>0</v>
      </c>
      <c r="AE1419" s="152"/>
      <c r="AF1419" s="153"/>
      <c r="AG1419" s="126" t="s">
        <v>3420</v>
      </c>
      <c r="AH1419" s="115"/>
      <c r="AK1419" s="306" t="str">
        <f>IF(ISNUMBER(Table1[[#This Row],[FECHA DE RECIBIDO]]), Table1[[#This Row],[FECHA DE RECIBIDO]]-DATE(2023,8,30), "")</f>
        <v/>
      </c>
    </row>
    <row r="1420" spans="1:37" ht="16.05" customHeight="1">
      <c r="A1420" s="150" t="s">
        <v>3365</v>
      </c>
      <c r="B1420" s="151">
        <v>486</v>
      </c>
      <c r="C1420" s="126" t="s">
        <v>1732</v>
      </c>
      <c r="D1420">
        <v>879</v>
      </c>
      <c r="E1420" s="126" t="s">
        <v>1597</v>
      </c>
      <c r="F1420" s="122" t="s">
        <v>1589</v>
      </c>
      <c r="G1420" s="122" t="s">
        <v>134</v>
      </c>
      <c r="H1420">
        <v>169</v>
      </c>
      <c r="I1420" s="122" t="s">
        <v>1546</v>
      </c>
      <c r="J1420" s="307" t="s">
        <v>214</v>
      </c>
      <c r="K1420" s="127" t="s">
        <v>3348</v>
      </c>
      <c r="L1420" s="151" t="s">
        <v>1579</v>
      </c>
      <c r="M1420">
        <v>226</v>
      </c>
      <c r="N1420" s="123">
        <v>17</v>
      </c>
      <c r="O1420">
        <v>884</v>
      </c>
      <c r="P1420" s="132" t="s">
        <v>77</v>
      </c>
      <c r="Q1420" s="131">
        <v>450</v>
      </c>
      <c r="R1420" s="131">
        <v>72</v>
      </c>
      <c r="S1420" s="131"/>
      <c r="T1420" s="155"/>
      <c r="U1420" s="131"/>
      <c r="V1420" s="131">
        <v>522</v>
      </c>
      <c r="W1420">
        <v>101</v>
      </c>
      <c r="X1420" s="151" t="s">
        <v>1644</v>
      </c>
      <c r="Y1420" s="135" t="s">
        <v>55</v>
      </c>
      <c r="Z1420" s="307">
        <v>210</v>
      </c>
      <c r="AB1420" t="str">
        <f>IF(Table1[[#This Row],[TIPO2]]="costo", VLOOKUP(Table1[[#This Row],[PARTIDA PRESUPUESTAL]],'Cost Report'!G:G,1,0),"Balance")</f>
        <v>2494-035</v>
      </c>
      <c r="AC1420" s="118"/>
      <c r="AD1420" s="159">
        <f>+Table1[[#This Row],[SUBTOTAL]]+Table1[[#This Row],[IVA]]-Table1[[#This Row],[RET IVA]]-Table1[[#This Row],[RET ISR]]-Table1[[#This Row],[TOTAL]]</f>
        <v>0</v>
      </c>
      <c r="AE1420" s="150"/>
      <c r="AF1420" s="151"/>
      <c r="AG1420" s="126" t="s">
        <v>3420</v>
      </c>
      <c r="AH1420" s="115"/>
      <c r="AK1420" s="306" t="str">
        <f>IF(ISNUMBER(Table1[[#This Row],[FECHA DE RECIBIDO]]), Table1[[#This Row],[FECHA DE RECIBIDO]]-DATE(2023,8,30), "")</f>
        <v/>
      </c>
    </row>
    <row r="1421" spans="1:37" ht="16.05" customHeight="1">
      <c r="A1421" s="152" t="s">
        <v>3365</v>
      </c>
      <c r="B1421" s="153">
        <v>486</v>
      </c>
      <c r="C1421" s="126" t="s">
        <v>1732</v>
      </c>
      <c r="D1421">
        <v>880</v>
      </c>
      <c r="E1421" s="126" t="s">
        <v>3366</v>
      </c>
      <c r="F1421" s="125" t="s">
        <v>1589</v>
      </c>
      <c r="G1421" s="125" t="s">
        <v>134</v>
      </c>
      <c r="H1421">
        <v>293</v>
      </c>
      <c r="I1421" s="125" t="s">
        <v>1546</v>
      </c>
      <c r="J1421" s="308" t="s">
        <v>214</v>
      </c>
      <c r="K1421" s="127" t="s">
        <v>3348</v>
      </c>
      <c r="L1421" s="153" t="s">
        <v>1579</v>
      </c>
      <c r="M1421">
        <v>387</v>
      </c>
      <c r="N1421" s="123">
        <v>17</v>
      </c>
      <c r="O1421">
        <v>885</v>
      </c>
      <c r="P1421" s="132" t="s">
        <v>77</v>
      </c>
      <c r="Q1421" s="132">
        <v>1860</v>
      </c>
      <c r="R1421" s="132"/>
      <c r="S1421" s="132"/>
      <c r="T1421" s="156"/>
      <c r="U1421" s="132"/>
      <c r="V1421" s="132">
        <v>1860</v>
      </c>
      <c r="W1421">
        <v>101</v>
      </c>
      <c r="X1421" s="153" t="s">
        <v>1644</v>
      </c>
      <c r="Y1421" s="124" t="s">
        <v>55</v>
      </c>
      <c r="Z1421" s="308">
        <v>212</v>
      </c>
      <c r="AB1421" t="str">
        <f>IF(Table1[[#This Row],[TIPO2]]="costo", VLOOKUP(Table1[[#This Row],[PARTIDA PRESUPUESTAL]],'Cost Report'!G:G,1,0),"Balance")</f>
        <v>2494-035</v>
      </c>
      <c r="AC1421" s="118"/>
      <c r="AD1421" s="159">
        <f>+Table1[[#This Row],[SUBTOTAL]]+Table1[[#This Row],[IVA]]-Table1[[#This Row],[RET IVA]]-Table1[[#This Row],[RET ISR]]-Table1[[#This Row],[TOTAL]]</f>
        <v>0</v>
      </c>
      <c r="AE1421" s="152"/>
      <c r="AF1421" s="153"/>
      <c r="AG1421" s="126" t="s">
        <v>3420</v>
      </c>
      <c r="AH1421" s="115"/>
      <c r="AK1421" s="306" t="str">
        <f>IF(ISNUMBER(Table1[[#This Row],[FECHA DE RECIBIDO]]), Table1[[#This Row],[FECHA DE RECIBIDO]]-DATE(2023,8,30), "")</f>
        <v/>
      </c>
    </row>
    <row r="1422" spans="1:37" ht="16.05" customHeight="1">
      <c r="A1422" s="150" t="s">
        <v>3365</v>
      </c>
      <c r="B1422" s="151">
        <v>486</v>
      </c>
      <c r="C1422" s="126" t="s">
        <v>1732</v>
      </c>
      <c r="D1422">
        <v>881</v>
      </c>
      <c r="E1422" s="126" t="s">
        <v>1596</v>
      </c>
      <c r="F1422" s="122" t="s">
        <v>1607</v>
      </c>
      <c r="G1422" s="122" t="s">
        <v>134</v>
      </c>
      <c r="H1422">
        <v>248</v>
      </c>
      <c r="I1422" s="122" t="s">
        <v>1546</v>
      </c>
      <c r="J1422" s="307" t="s">
        <v>214</v>
      </c>
      <c r="K1422" s="127" t="s">
        <v>3348</v>
      </c>
      <c r="L1422" s="151" t="s">
        <v>1579</v>
      </c>
      <c r="M1422">
        <v>325</v>
      </c>
      <c r="N1422" s="123">
        <v>17</v>
      </c>
      <c r="O1422">
        <v>886</v>
      </c>
      <c r="P1422" s="132" t="s">
        <v>77</v>
      </c>
      <c r="Q1422" s="131">
        <v>60.34</v>
      </c>
      <c r="R1422" s="131">
        <v>9.65</v>
      </c>
      <c r="S1422" s="131"/>
      <c r="T1422" s="155"/>
      <c r="U1422" s="131"/>
      <c r="V1422" s="131">
        <v>69.990000000000009</v>
      </c>
      <c r="W1422">
        <v>101</v>
      </c>
      <c r="X1422" s="151" t="s">
        <v>1644</v>
      </c>
      <c r="Y1422" s="135" t="s">
        <v>55</v>
      </c>
      <c r="Z1422" s="307">
        <v>211</v>
      </c>
      <c r="AB1422" t="str">
        <f>IF(Table1[[#This Row],[TIPO2]]="costo", VLOOKUP(Table1[[#This Row],[PARTIDA PRESUPUESTAL]],'Cost Report'!G:G,1,0),"Balance")</f>
        <v>2494-035</v>
      </c>
      <c r="AC1422" s="118"/>
      <c r="AD1422" s="159">
        <f>+Table1[[#This Row],[SUBTOTAL]]+Table1[[#This Row],[IVA]]-Table1[[#This Row],[RET IVA]]-Table1[[#This Row],[RET ISR]]-Table1[[#This Row],[TOTAL]]</f>
        <v>0</v>
      </c>
      <c r="AE1422" s="150"/>
      <c r="AF1422" s="151"/>
      <c r="AG1422" s="126" t="s">
        <v>3420</v>
      </c>
      <c r="AH1422" s="115"/>
      <c r="AK1422" s="306" t="str">
        <f>IF(ISNUMBER(Table1[[#This Row],[FECHA DE RECIBIDO]]), Table1[[#This Row],[FECHA DE RECIBIDO]]-DATE(2023,8,30), "")</f>
        <v/>
      </c>
    </row>
    <row r="1423" spans="1:37" ht="16.05" customHeight="1">
      <c r="A1423" s="152" t="s">
        <v>3367</v>
      </c>
      <c r="B1423" s="153">
        <v>487</v>
      </c>
      <c r="C1423" s="126" t="s">
        <v>2566</v>
      </c>
      <c r="D1423">
        <v>882</v>
      </c>
      <c r="E1423" s="126" t="s">
        <v>3275</v>
      </c>
      <c r="F1423" s="125" t="s">
        <v>1607</v>
      </c>
      <c r="G1423" s="125" t="s">
        <v>134</v>
      </c>
      <c r="H1423">
        <v>41</v>
      </c>
      <c r="I1423" s="125" t="s">
        <v>1546</v>
      </c>
      <c r="J1423" s="308" t="s">
        <v>214</v>
      </c>
      <c r="K1423" s="127" t="s">
        <v>3348</v>
      </c>
      <c r="L1423" s="153" t="s">
        <v>1579</v>
      </c>
      <c r="M1423">
        <v>323</v>
      </c>
      <c r="N1423" s="123">
        <v>17</v>
      </c>
      <c r="O1423">
        <v>887</v>
      </c>
      <c r="P1423" s="132" t="s">
        <v>77</v>
      </c>
      <c r="Q1423" s="132">
        <v>7096.52</v>
      </c>
      <c r="R1423" s="132">
        <v>987.6</v>
      </c>
      <c r="S1423" s="132"/>
      <c r="T1423" s="156"/>
      <c r="U1423" s="132"/>
      <c r="V1423" s="132">
        <v>8084.1200000000008</v>
      </c>
      <c r="W1423">
        <v>147</v>
      </c>
      <c r="X1423" s="153" t="s">
        <v>1644</v>
      </c>
      <c r="Y1423" s="124" t="s">
        <v>55</v>
      </c>
      <c r="Z1423" s="308">
        <v>202</v>
      </c>
      <c r="AB1423" t="str">
        <f>IF(Table1[[#This Row],[TIPO2]]="costo", VLOOKUP(Table1[[#This Row],[PARTIDA PRESUPUESTAL]],'Cost Report'!G:G,1,0),"Balance")</f>
        <v>2594-003</v>
      </c>
      <c r="AC1423" s="118"/>
      <c r="AD1423" s="159">
        <f>+Table1[[#This Row],[SUBTOTAL]]+Table1[[#This Row],[IVA]]-Table1[[#This Row],[RET IVA]]-Table1[[#This Row],[RET ISR]]-Table1[[#This Row],[TOTAL]]</f>
        <v>0</v>
      </c>
      <c r="AE1423" s="152"/>
      <c r="AF1423" s="153"/>
      <c r="AG1423" s="126" t="s">
        <v>3420</v>
      </c>
      <c r="AH1423" s="115"/>
      <c r="AK1423" s="306" t="str">
        <f>IF(ISNUMBER(Table1[[#This Row],[FECHA DE RECIBIDO]]), Table1[[#This Row],[FECHA DE RECIBIDO]]-DATE(2023,8,30), "")</f>
        <v/>
      </c>
    </row>
    <row r="1424" spans="1:37" ht="16.05" customHeight="1">
      <c r="A1424" s="150" t="s">
        <v>3367</v>
      </c>
      <c r="B1424" s="151">
        <v>487</v>
      </c>
      <c r="C1424" s="126" t="s">
        <v>2566</v>
      </c>
      <c r="D1424">
        <v>883</v>
      </c>
      <c r="E1424" s="126" t="s">
        <v>1997</v>
      </c>
      <c r="F1424" s="122" t="s">
        <v>1607</v>
      </c>
      <c r="G1424" s="122" t="s">
        <v>134</v>
      </c>
      <c r="H1424">
        <v>294</v>
      </c>
      <c r="I1424" s="122" t="s">
        <v>1546</v>
      </c>
      <c r="J1424" s="307" t="s">
        <v>214</v>
      </c>
      <c r="K1424" s="127" t="s">
        <v>3348</v>
      </c>
      <c r="L1424" s="151" t="s">
        <v>1579</v>
      </c>
      <c r="M1424">
        <v>388</v>
      </c>
      <c r="N1424" s="123">
        <v>17</v>
      </c>
      <c r="O1424">
        <v>888</v>
      </c>
      <c r="P1424" s="132" t="s">
        <v>77</v>
      </c>
      <c r="Q1424" s="131">
        <v>719.45</v>
      </c>
      <c r="R1424" s="131">
        <v>115.11</v>
      </c>
      <c r="S1424" s="131"/>
      <c r="T1424" s="155"/>
      <c r="U1424" s="131"/>
      <c r="V1424" s="131">
        <v>834.56000000000006</v>
      </c>
      <c r="W1424">
        <v>147</v>
      </c>
      <c r="X1424" s="151" t="s">
        <v>1644</v>
      </c>
      <c r="Y1424" s="135" t="s">
        <v>55</v>
      </c>
      <c r="Z1424" s="307">
        <v>202</v>
      </c>
      <c r="AB1424" t="str">
        <f>IF(Table1[[#This Row],[TIPO2]]="costo", VLOOKUP(Table1[[#This Row],[PARTIDA PRESUPUESTAL]],'Cost Report'!G:G,1,0),"Balance")</f>
        <v>2594-003</v>
      </c>
      <c r="AC1424" s="118"/>
      <c r="AD1424" s="159">
        <f>+Table1[[#This Row],[SUBTOTAL]]+Table1[[#This Row],[IVA]]-Table1[[#This Row],[RET IVA]]-Table1[[#This Row],[RET ISR]]-Table1[[#This Row],[TOTAL]]</f>
        <v>0</v>
      </c>
      <c r="AE1424" s="150"/>
      <c r="AF1424" s="151"/>
      <c r="AG1424" s="126" t="s">
        <v>3420</v>
      </c>
      <c r="AH1424" s="115"/>
      <c r="AK1424" s="306" t="str">
        <f>IF(ISNUMBER(Table1[[#This Row],[FECHA DE RECIBIDO]]), Table1[[#This Row],[FECHA DE RECIBIDO]]-DATE(2023,8,30), "")</f>
        <v/>
      </c>
    </row>
    <row r="1425" spans="1:37" ht="16.05" customHeight="1">
      <c r="A1425" s="152" t="s">
        <v>3367</v>
      </c>
      <c r="B1425" s="153">
        <v>487</v>
      </c>
      <c r="C1425" s="126" t="s">
        <v>2566</v>
      </c>
      <c r="D1425">
        <v>884</v>
      </c>
      <c r="E1425" s="126" t="s">
        <v>3368</v>
      </c>
      <c r="F1425" s="125" t="s">
        <v>1607</v>
      </c>
      <c r="G1425" s="125" t="s">
        <v>134</v>
      </c>
      <c r="H1425">
        <v>41</v>
      </c>
      <c r="I1425" s="125" t="s">
        <v>1546</v>
      </c>
      <c r="J1425" s="308" t="s">
        <v>214</v>
      </c>
      <c r="K1425" s="127" t="s">
        <v>3348</v>
      </c>
      <c r="L1425" s="153" t="s">
        <v>1579</v>
      </c>
      <c r="M1425">
        <v>323</v>
      </c>
      <c r="N1425" s="123">
        <v>17</v>
      </c>
      <c r="O1425">
        <v>889</v>
      </c>
      <c r="P1425" s="132" t="s">
        <v>77</v>
      </c>
      <c r="Q1425" s="132">
        <v>145.69</v>
      </c>
      <c r="R1425" s="132">
        <v>3.31</v>
      </c>
      <c r="S1425" s="132"/>
      <c r="T1425" s="156"/>
      <c r="U1425" s="132"/>
      <c r="V1425" s="132">
        <v>149</v>
      </c>
      <c r="W1425">
        <v>147</v>
      </c>
      <c r="X1425" s="153" t="s">
        <v>1644</v>
      </c>
      <c r="Y1425" s="124" t="s">
        <v>55</v>
      </c>
      <c r="Z1425" s="308">
        <v>202</v>
      </c>
      <c r="AB1425" t="str">
        <f>IF(Table1[[#This Row],[TIPO2]]="costo", VLOOKUP(Table1[[#This Row],[PARTIDA PRESUPUESTAL]],'Cost Report'!G:G,1,0),"Balance")</f>
        <v>2594-003</v>
      </c>
      <c r="AC1425" s="118"/>
      <c r="AD1425" s="159">
        <f>+Table1[[#This Row],[SUBTOTAL]]+Table1[[#This Row],[IVA]]-Table1[[#This Row],[RET IVA]]-Table1[[#This Row],[RET ISR]]-Table1[[#This Row],[TOTAL]]</f>
        <v>0</v>
      </c>
      <c r="AE1425" s="152"/>
      <c r="AF1425" s="153"/>
      <c r="AG1425" s="126" t="s">
        <v>3420</v>
      </c>
      <c r="AH1425" s="115"/>
      <c r="AK1425" s="306" t="str">
        <f>IF(ISNUMBER(Table1[[#This Row],[FECHA DE RECIBIDO]]), Table1[[#This Row],[FECHA DE RECIBIDO]]-DATE(2023,8,30), "")</f>
        <v/>
      </c>
    </row>
    <row r="1426" spans="1:37" ht="16.05" customHeight="1">
      <c r="A1426" s="150" t="s">
        <v>3367</v>
      </c>
      <c r="B1426" s="151">
        <v>487</v>
      </c>
      <c r="C1426" s="126" t="s">
        <v>2566</v>
      </c>
      <c r="D1426">
        <v>885</v>
      </c>
      <c r="E1426" s="126" t="s">
        <v>3275</v>
      </c>
      <c r="F1426" s="122" t="s">
        <v>1607</v>
      </c>
      <c r="G1426" s="122" t="s">
        <v>134</v>
      </c>
      <c r="H1426">
        <v>139</v>
      </c>
      <c r="I1426" s="122" t="s">
        <v>1546</v>
      </c>
      <c r="J1426" s="307" t="s">
        <v>214</v>
      </c>
      <c r="K1426" s="127" t="s">
        <v>3348</v>
      </c>
      <c r="L1426" s="151" t="s">
        <v>1579</v>
      </c>
      <c r="M1426">
        <v>181</v>
      </c>
      <c r="N1426" s="123">
        <v>17</v>
      </c>
      <c r="O1426">
        <v>890</v>
      </c>
      <c r="P1426" s="132" t="s">
        <v>77</v>
      </c>
      <c r="Q1426" s="131">
        <v>540.78</v>
      </c>
      <c r="R1426" s="131">
        <v>86.52</v>
      </c>
      <c r="S1426" s="131"/>
      <c r="T1426" s="155"/>
      <c r="U1426" s="131"/>
      <c r="V1426" s="131">
        <v>627.29999999999995</v>
      </c>
      <c r="W1426">
        <v>147</v>
      </c>
      <c r="X1426" s="151" t="s">
        <v>1644</v>
      </c>
      <c r="Y1426" s="135" t="s">
        <v>55</v>
      </c>
      <c r="Z1426" s="307">
        <v>202</v>
      </c>
      <c r="AB1426" t="str">
        <f>IF(Table1[[#This Row],[TIPO2]]="costo", VLOOKUP(Table1[[#This Row],[PARTIDA PRESUPUESTAL]],'Cost Report'!G:G,1,0),"Balance")</f>
        <v>2594-003</v>
      </c>
      <c r="AC1426" s="118"/>
      <c r="AD1426" s="159">
        <f>+Table1[[#This Row],[SUBTOTAL]]+Table1[[#This Row],[IVA]]-Table1[[#This Row],[RET IVA]]-Table1[[#This Row],[RET ISR]]-Table1[[#This Row],[TOTAL]]</f>
        <v>0</v>
      </c>
      <c r="AE1426" s="150"/>
      <c r="AF1426" s="151"/>
      <c r="AG1426" s="126" t="s">
        <v>3420</v>
      </c>
      <c r="AH1426" s="115"/>
      <c r="AK1426" s="306" t="str">
        <f>IF(ISNUMBER(Table1[[#This Row],[FECHA DE RECIBIDO]]), Table1[[#This Row],[FECHA DE RECIBIDO]]-DATE(2023,8,30), "")</f>
        <v/>
      </c>
    </row>
    <row r="1427" spans="1:37" ht="16.05" customHeight="1">
      <c r="A1427" s="152" t="s">
        <v>3367</v>
      </c>
      <c r="B1427" s="153">
        <v>487</v>
      </c>
      <c r="C1427" s="126" t="s">
        <v>2565</v>
      </c>
      <c r="D1427">
        <v>886</v>
      </c>
      <c r="E1427" s="126" t="s">
        <v>3368</v>
      </c>
      <c r="F1427" s="125" t="s">
        <v>1607</v>
      </c>
      <c r="G1427" s="125" t="s">
        <v>134</v>
      </c>
      <c r="H1427">
        <v>41</v>
      </c>
      <c r="I1427" s="125" t="s">
        <v>1546</v>
      </c>
      <c r="J1427" s="308" t="s">
        <v>214</v>
      </c>
      <c r="K1427" s="127" t="s">
        <v>3348</v>
      </c>
      <c r="L1427" s="153" t="s">
        <v>1579</v>
      </c>
      <c r="M1427">
        <v>323</v>
      </c>
      <c r="N1427" s="123">
        <v>17</v>
      </c>
      <c r="O1427">
        <v>891</v>
      </c>
      <c r="P1427" s="132" t="s">
        <v>77</v>
      </c>
      <c r="Q1427" s="132">
        <v>1405.58</v>
      </c>
      <c r="R1427" s="132"/>
      <c r="S1427" s="132"/>
      <c r="T1427" s="156"/>
      <c r="U1427" s="132"/>
      <c r="V1427" s="132">
        <v>1405.58</v>
      </c>
      <c r="W1427">
        <v>147</v>
      </c>
      <c r="X1427" s="153" t="s">
        <v>1644</v>
      </c>
      <c r="Y1427" s="124" t="s">
        <v>55</v>
      </c>
      <c r="Z1427" s="308">
        <v>202</v>
      </c>
      <c r="AB1427" t="str">
        <f>IF(Table1[[#This Row],[TIPO2]]="costo", VLOOKUP(Table1[[#This Row],[PARTIDA PRESUPUESTAL]],'Cost Report'!G:G,1,0),"Balance")</f>
        <v>2585-003</v>
      </c>
      <c r="AC1427" s="118"/>
      <c r="AD1427" s="159">
        <f>+Table1[[#This Row],[SUBTOTAL]]+Table1[[#This Row],[IVA]]-Table1[[#This Row],[RET IVA]]-Table1[[#This Row],[RET ISR]]-Table1[[#This Row],[TOTAL]]</f>
        <v>0</v>
      </c>
      <c r="AE1427" s="152"/>
      <c r="AF1427" s="153"/>
      <c r="AG1427" s="126" t="s">
        <v>3420</v>
      </c>
      <c r="AH1427" s="115"/>
      <c r="AK1427" s="306" t="str">
        <f>IF(ISNUMBER(Table1[[#This Row],[FECHA DE RECIBIDO]]), Table1[[#This Row],[FECHA DE RECIBIDO]]-DATE(2023,8,30), "")</f>
        <v/>
      </c>
    </row>
    <row r="1428" spans="1:37" ht="16.05" customHeight="1">
      <c r="A1428" s="150" t="s">
        <v>3367</v>
      </c>
      <c r="B1428" s="151">
        <v>487</v>
      </c>
      <c r="C1428" s="126" t="s">
        <v>2565</v>
      </c>
      <c r="D1428">
        <v>887</v>
      </c>
      <c r="E1428" s="126" t="s">
        <v>3275</v>
      </c>
      <c r="F1428" s="122" t="s">
        <v>1607</v>
      </c>
      <c r="G1428" s="122" t="s">
        <v>134</v>
      </c>
      <c r="H1428">
        <v>57</v>
      </c>
      <c r="I1428" s="122" t="s">
        <v>1546</v>
      </c>
      <c r="J1428" s="307" t="s">
        <v>214</v>
      </c>
      <c r="K1428" s="127" t="s">
        <v>3348</v>
      </c>
      <c r="L1428" s="151" t="s">
        <v>1579</v>
      </c>
      <c r="M1428">
        <v>79</v>
      </c>
      <c r="N1428" s="123">
        <v>17</v>
      </c>
      <c r="O1428">
        <v>892</v>
      </c>
      <c r="P1428" s="132" t="s">
        <v>77</v>
      </c>
      <c r="Q1428" s="131">
        <v>1002.59</v>
      </c>
      <c r="R1428" s="131">
        <v>160.41</v>
      </c>
      <c r="S1428" s="131"/>
      <c r="T1428" s="155"/>
      <c r="U1428" s="131"/>
      <c r="V1428" s="131">
        <v>1163</v>
      </c>
      <c r="W1428">
        <v>147</v>
      </c>
      <c r="X1428" s="151" t="s">
        <v>1644</v>
      </c>
      <c r="Y1428" s="135" t="s">
        <v>55</v>
      </c>
      <c r="Z1428" s="307">
        <v>202</v>
      </c>
      <c r="AB1428" t="str">
        <f>IF(Table1[[#This Row],[TIPO2]]="costo", VLOOKUP(Table1[[#This Row],[PARTIDA PRESUPUESTAL]],'Cost Report'!G:G,1,0),"Balance")</f>
        <v>2585-003</v>
      </c>
      <c r="AC1428" s="118"/>
      <c r="AD1428" s="159">
        <f>+Table1[[#This Row],[SUBTOTAL]]+Table1[[#This Row],[IVA]]-Table1[[#This Row],[RET IVA]]-Table1[[#This Row],[RET ISR]]-Table1[[#This Row],[TOTAL]]</f>
        <v>0</v>
      </c>
      <c r="AE1428" s="150"/>
      <c r="AF1428" s="151"/>
      <c r="AG1428" s="126" t="s">
        <v>3420</v>
      </c>
      <c r="AH1428" s="115"/>
      <c r="AK1428" s="306" t="str">
        <f>IF(ISNUMBER(Table1[[#This Row],[FECHA DE RECIBIDO]]), Table1[[#This Row],[FECHA DE RECIBIDO]]-DATE(2023,8,30), "")</f>
        <v/>
      </c>
    </row>
    <row r="1429" spans="1:37" ht="16.05" customHeight="1">
      <c r="A1429" s="152" t="s">
        <v>3367</v>
      </c>
      <c r="B1429" s="153">
        <v>487</v>
      </c>
      <c r="C1429" s="126" t="s">
        <v>2565</v>
      </c>
      <c r="D1429">
        <v>888</v>
      </c>
      <c r="E1429" s="126" t="s">
        <v>1596</v>
      </c>
      <c r="F1429" s="125" t="s">
        <v>1593</v>
      </c>
      <c r="G1429" s="125" t="s">
        <v>134</v>
      </c>
      <c r="H1429">
        <v>295</v>
      </c>
      <c r="I1429" s="125" t="s">
        <v>1546</v>
      </c>
      <c r="J1429" s="308" t="s">
        <v>214</v>
      </c>
      <c r="K1429" s="127" t="s">
        <v>3348</v>
      </c>
      <c r="L1429" s="153" t="s">
        <v>1579</v>
      </c>
      <c r="M1429">
        <v>389</v>
      </c>
      <c r="N1429" s="123">
        <v>17</v>
      </c>
      <c r="O1429">
        <v>893</v>
      </c>
      <c r="P1429" s="132" t="s">
        <v>77</v>
      </c>
      <c r="Q1429" s="132">
        <v>285.19</v>
      </c>
      <c r="R1429" s="132">
        <v>45.63</v>
      </c>
      <c r="S1429" s="132"/>
      <c r="T1429" s="156"/>
      <c r="U1429" s="132"/>
      <c r="V1429" s="132">
        <v>330.82</v>
      </c>
      <c r="W1429">
        <v>147</v>
      </c>
      <c r="X1429" s="153" t="s">
        <v>1644</v>
      </c>
      <c r="Y1429" s="124" t="s">
        <v>55</v>
      </c>
      <c r="Z1429" s="308">
        <v>205</v>
      </c>
      <c r="AB1429" t="str">
        <f>IF(Table1[[#This Row],[TIPO2]]="costo", VLOOKUP(Table1[[#This Row],[PARTIDA PRESUPUESTAL]],'Cost Report'!G:G,1,0),"Balance")</f>
        <v>2585-003</v>
      </c>
      <c r="AC1429" s="118"/>
      <c r="AD1429" s="159">
        <f>+Table1[[#This Row],[SUBTOTAL]]+Table1[[#This Row],[IVA]]-Table1[[#This Row],[RET IVA]]-Table1[[#This Row],[RET ISR]]-Table1[[#This Row],[TOTAL]]</f>
        <v>0</v>
      </c>
      <c r="AE1429" s="152"/>
      <c r="AF1429" s="153"/>
      <c r="AG1429" s="126" t="s">
        <v>3420</v>
      </c>
      <c r="AH1429" s="115"/>
      <c r="AK1429" s="306" t="str">
        <f>IF(ISNUMBER(Table1[[#This Row],[FECHA DE RECIBIDO]]), Table1[[#This Row],[FECHA DE RECIBIDO]]-DATE(2023,8,30), "")</f>
        <v/>
      </c>
    </row>
    <row r="1430" spans="1:37" ht="16.05" customHeight="1">
      <c r="A1430" s="150" t="s">
        <v>3367</v>
      </c>
      <c r="B1430" s="151">
        <v>487</v>
      </c>
      <c r="C1430" s="126" t="s">
        <v>2566</v>
      </c>
      <c r="D1430">
        <v>889</v>
      </c>
      <c r="E1430" s="126" t="s">
        <v>1596</v>
      </c>
      <c r="F1430" s="122" t="s">
        <v>1589</v>
      </c>
      <c r="G1430" s="122" t="s">
        <v>134</v>
      </c>
      <c r="H1430">
        <v>296</v>
      </c>
      <c r="I1430" s="122" t="s">
        <v>1546</v>
      </c>
      <c r="J1430" s="307" t="s">
        <v>214</v>
      </c>
      <c r="K1430" s="127" t="s">
        <v>3348</v>
      </c>
      <c r="L1430" s="151" t="s">
        <v>1579</v>
      </c>
      <c r="M1430">
        <v>390</v>
      </c>
      <c r="N1430" s="123">
        <v>17</v>
      </c>
      <c r="O1430">
        <v>894</v>
      </c>
      <c r="P1430" s="132" t="s">
        <v>77</v>
      </c>
      <c r="Q1430" s="131">
        <v>212.1</v>
      </c>
      <c r="R1430" s="131">
        <v>33.94</v>
      </c>
      <c r="S1430" s="131"/>
      <c r="T1430" s="155"/>
      <c r="U1430" s="131"/>
      <c r="V1430" s="131">
        <v>246.04</v>
      </c>
      <c r="W1430">
        <v>147</v>
      </c>
      <c r="X1430" s="151" t="s">
        <v>1644</v>
      </c>
      <c r="Y1430" s="135" t="s">
        <v>55</v>
      </c>
      <c r="Z1430" s="307">
        <v>203</v>
      </c>
      <c r="AB1430" t="str">
        <f>IF(Table1[[#This Row],[TIPO2]]="costo", VLOOKUP(Table1[[#This Row],[PARTIDA PRESUPUESTAL]],'Cost Report'!G:G,1,0),"Balance")</f>
        <v>2594-003</v>
      </c>
      <c r="AC1430" s="118"/>
      <c r="AD1430" s="159">
        <f>+Table1[[#This Row],[SUBTOTAL]]+Table1[[#This Row],[IVA]]-Table1[[#This Row],[RET IVA]]-Table1[[#This Row],[RET ISR]]-Table1[[#This Row],[TOTAL]]</f>
        <v>0</v>
      </c>
      <c r="AE1430" s="150"/>
      <c r="AF1430" s="151"/>
      <c r="AG1430" s="126" t="s">
        <v>3420</v>
      </c>
      <c r="AH1430" s="115"/>
      <c r="AK1430" s="306" t="str">
        <f>IF(ISNUMBER(Table1[[#This Row],[FECHA DE RECIBIDO]]), Table1[[#This Row],[FECHA DE RECIBIDO]]-DATE(2023,8,30), "")</f>
        <v/>
      </c>
    </row>
    <row r="1431" spans="1:37" ht="16.05" customHeight="1">
      <c r="A1431" s="152" t="s">
        <v>3367</v>
      </c>
      <c r="B1431" s="153">
        <v>487</v>
      </c>
      <c r="C1431" s="126" t="s">
        <v>2566</v>
      </c>
      <c r="D1431">
        <v>890</v>
      </c>
      <c r="E1431" s="126" t="s">
        <v>3292</v>
      </c>
      <c r="F1431" s="125" t="s">
        <v>1607</v>
      </c>
      <c r="G1431" s="125" t="s">
        <v>134</v>
      </c>
      <c r="H1431">
        <v>57</v>
      </c>
      <c r="I1431" s="125" t="s">
        <v>1546</v>
      </c>
      <c r="J1431" s="308" t="s">
        <v>214</v>
      </c>
      <c r="K1431" s="127" t="s">
        <v>3348</v>
      </c>
      <c r="L1431" s="153" t="s">
        <v>1579</v>
      </c>
      <c r="M1431">
        <v>79</v>
      </c>
      <c r="N1431" s="123">
        <v>17</v>
      </c>
      <c r="O1431">
        <v>895</v>
      </c>
      <c r="P1431" s="132" t="s">
        <v>77</v>
      </c>
      <c r="Q1431" s="132">
        <v>864.65</v>
      </c>
      <c r="R1431" s="132">
        <v>138.35</v>
      </c>
      <c r="S1431" s="132"/>
      <c r="T1431" s="156"/>
      <c r="U1431" s="132"/>
      <c r="V1431" s="132">
        <v>1003</v>
      </c>
      <c r="W1431">
        <v>147</v>
      </c>
      <c r="X1431" s="153" t="s">
        <v>1644</v>
      </c>
      <c r="Y1431" s="124" t="s">
        <v>55</v>
      </c>
      <c r="Z1431" s="308">
        <v>206</v>
      </c>
      <c r="AB1431" t="str">
        <f>IF(Table1[[#This Row],[TIPO2]]="costo", VLOOKUP(Table1[[#This Row],[PARTIDA PRESUPUESTAL]],'Cost Report'!G:G,1,0),"Balance")</f>
        <v>2594-003</v>
      </c>
      <c r="AC1431" s="118"/>
      <c r="AD1431" s="159">
        <f>+Table1[[#This Row],[SUBTOTAL]]+Table1[[#This Row],[IVA]]-Table1[[#This Row],[RET IVA]]-Table1[[#This Row],[RET ISR]]-Table1[[#This Row],[TOTAL]]</f>
        <v>0</v>
      </c>
      <c r="AE1431" s="152"/>
      <c r="AF1431" s="153"/>
      <c r="AG1431" s="126" t="s">
        <v>3420</v>
      </c>
      <c r="AH1431" s="115"/>
      <c r="AK1431" s="306" t="str">
        <f>IF(ISNUMBER(Table1[[#This Row],[FECHA DE RECIBIDO]]), Table1[[#This Row],[FECHA DE RECIBIDO]]-DATE(2023,8,30), "")</f>
        <v/>
      </c>
    </row>
    <row r="1432" spans="1:37" ht="16.05" customHeight="1">
      <c r="A1432" s="150" t="s">
        <v>3367</v>
      </c>
      <c r="B1432" s="151">
        <v>487</v>
      </c>
      <c r="C1432" s="126" t="s">
        <v>2566</v>
      </c>
      <c r="D1432">
        <v>891</v>
      </c>
      <c r="E1432" s="126"/>
      <c r="F1432" s="122"/>
      <c r="G1432" s="122" t="s">
        <v>134</v>
      </c>
      <c r="H1432"/>
      <c r="I1432" s="122" t="s">
        <v>1546</v>
      </c>
      <c r="J1432" s="307" t="s">
        <v>214</v>
      </c>
      <c r="K1432" s="127" t="s">
        <v>3348</v>
      </c>
      <c r="L1432" s="151" t="s">
        <v>1579</v>
      </c>
      <c r="M1432">
        <v>213</v>
      </c>
      <c r="N1432" s="123">
        <v>17</v>
      </c>
      <c r="O1432">
        <v>896</v>
      </c>
      <c r="P1432" s="132" t="s">
        <v>77</v>
      </c>
      <c r="Q1432" s="131">
        <v>813.88</v>
      </c>
      <c r="R1432" s="131">
        <v>130.22</v>
      </c>
      <c r="S1432" s="131"/>
      <c r="T1432" s="155"/>
      <c r="U1432" s="131"/>
      <c r="V1432" s="131">
        <v>944.1</v>
      </c>
      <c r="W1432">
        <v>147</v>
      </c>
      <c r="X1432" s="151" t="s">
        <v>1644</v>
      </c>
      <c r="Y1432" s="135" t="s">
        <v>55</v>
      </c>
      <c r="Z1432" s="307">
        <v>197</v>
      </c>
      <c r="AB1432" t="str">
        <f>IF(Table1[[#This Row],[TIPO2]]="costo", VLOOKUP(Table1[[#This Row],[PARTIDA PRESUPUESTAL]],'Cost Report'!G:G,1,0),"Balance")</f>
        <v>2594-003</v>
      </c>
      <c r="AC1432" s="118"/>
      <c r="AD1432" s="159">
        <f>+Table1[[#This Row],[SUBTOTAL]]+Table1[[#This Row],[IVA]]-Table1[[#This Row],[RET IVA]]-Table1[[#This Row],[RET ISR]]-Table1[[#This Row],[TOTAL]]</f>
        <v>0</v>
      </c>
      <c r="AE1432" s="150"/>
      <c r="AF1432" s="151"/>
      <c r="AG1432" s="126" t="s">
        <v>3420</v>
      </c>
      <c r="AH1432" s="115"/>
      <c r="AK1432" s="306" t="str">
        <f>IF(ISNUMBER(Table1[[#This Row],[FECHA DE RECIBIDO]]), Table1[[#This Row],[FECHA DE RECIBIDO]]-DATE(2023,8,30), "")</f>
        <v/>
      </c>
    </row>
    <row r="1433" spans="1:37" ht="16.05" customHeight="1">
      <c r="A1433" s="152" t="s">
        <v>3367</v>
      </c>
      <c r="B1433" s="153">
        <v>487</v>
      </c>
      <c r="C1433" s="126" t="s">
        <v>2564</v>
      </c>
      <c r="D1433">
        <v>892</v>
      </c>
      <c r="E1433" s="126" t="s">
        <v>3369</v>
      </c>
      <c r="F1433" s="125" t="s">
        <v>1602</v>
      </c>
      <c r="G1433" s="125" t="s">
        <v>134</v>
      </c>
      <c r="H1433">
        <v>297</v>
      </c>
      <c r="I1433" s="125" t="s">
        <v>1546</v>
      </c>
      <c r="J1433" s="308" t="s">
        <v>214</v>
      </c>
      <c r="K1433" s="127" t="s">
        <v>3348</v>
      </c>
      <c r="L1433" s="153" t="s">
        <v>1579</v>
      </c>
      <c r="M1433">
        <v>391</v>
      </c>
      <c r="N1433" s="123">
        <v>17</v>
      </c>
      <c r="O1433">
        <v>897</v>
      </c>
      <c r="P1433" s="132" t="s">
        <v>77</v>
      </c>
      <c r="Q1433" s="132">
        <v>1603.49</v>
      </c>
      <c r="R1433" s="132">
        <v>256.56</v>
      </c>
      <c r="S1433" s="132"/>
      <c r="T1433" s="156"/>
      <c r="U1433" s="132"/>
      <c r="V1433" s="132">
        <v>1860.05</v>
      </c>
      <c r="W1433">
        <v>147</v>
      </c>
      <c r="X1433" s="153" t="s">
        <v>1644</v>
      </c>
      <c r="Y1433" s="124" t="s">
        <v>55</v>
      </c>
      <c r="Z1433" s="308">
        <v>204</v>
      </c>
      <c r="AB1433" t="str">
        <f>IF(Table1[[#This Row],[TIPO2]]="costo", VLOOKUP(Table1[[#This Row],[PARTIDA PRESUPUESTAL]],'Cost Report'!G:G,1,0),"Balance")</f>
        <v>2508-007</v>
      </c>
      <c r="AC1433" s="118"/>
      <c r="AD1433" s="159">
        <f>+Table1[[#This Row],[SUBTOTAL]]+Table1[[#This Row],[IVA]]-Table1[[#This Row],[RET IVA]]-Table1[[#This Row],[RET ISR]]-Table1[[#This Row],[TOTAL]]</f>
        <v>0</v>
      </c>
      <c r="AE1433" s="152"/>
      <c r="AF1433" s="153"/>
      <c r="AG1433" s="126" t="s">
        <v>3420</v>
      </c>
      <c r="AH1433" s="115"/>
      <c r="AK1433" s="306" t="str">
        <f>IF(ISNUMBER(Table1[[#This Row],[FECHA DE RECIBIDO]]), Table1[[#This Row],[FECHA DE RECIBIDO]]-DATE(2023,8,30), "")</f>
        <v/>
      </c>
    </row>
    <row r="1434" spans="1:37" ht="16.05" customHeight="1">
      <c r="A1434" s="150" t="s">
        <v>3367</v>
      </c>
      <c r="B1434" s="151">
        <v>487</v>
      </c>
      <c r="C1434" s="126" t="s">
        <v>2564</v>
      </c>
      <c r="D1434">
        <v>893</v>
      </c>
      <c r="E1434" s="126" t="s">
        <v>3369</v>
      </c>
      <c r="F1434" s="122" t="s">
        <v>1602</v>
      </c>
      <c r="G1434" s="122" t="s">
        <v>134</v>
      </c>
      <c r="H1434">
        <v>297</v>
      </c>
      <c r="I1434" s="122" t="s">
        <v>1546</v>
      </c>
      <c r="J1434" s="307" t="s">
        <v>214</v>
      </c>
      <c r="K1434" s="127" t="s">
        <v>3348</v>
      </c>
      <c r="L1434" s="151" t="s">
        <v>1579</v>
      </c>
      <c r="M1434">
        <v>391</v>
      </c>
      <c r="N1434" s="123">
        <v>17</v>
      </c>
      <c r="O1434">
        <v>897</v>
      </c>
      <c r="P1434" s="132" t="s">
        <v>77</v>
      </c>
      <c r="Q1434" s="131">
        <v>1603.49</v>
      </c>
      <c r="R1434" s="131">
        <v>256.56</v>
      </c>
      <c r="S1434" s="131"/>
      <c r="T1434" s="155"/>
      <c r="U1434" s="131"/>
      <c r="V1434" s="131">
        <v>1860.05</v>
      </c>
      <c r="W1434">
        <v>147</v>
      </c>
      <c r="X1434" s="151" t="s">
        <v>1644</v>
      </c>
      <c r="Y1434" s="135" t="s">
        <v>55</v>
      </c>
      <c r="Z1434" s="307">
        <v>204</v>
      </c>
      <c r="AB1434" t="str">
        <f>IF(Table1[[#This Row],[TIPO2]]="costo", VLOOKUP(Table1[[#This Row],[PARTIDA PRESUPUESTAL]],'Cost Report'!G:G,1,0),"Balance")</f>
        <v>2508-007</v>
      </c>
      <c r="AC1434" s="118"/>
      <c r="AD1434" s="159">
        <f>+Table1[[#This Row],[SUBTOTAL]]+Table1[[#This Row],[IVA]]-Table1[[#This Row],[RET IVA]]-Table1[[#This Row],[RET ISR]]-Table1[[#This Row],[TOTAL]]</f>
        <v>0</v>
      </c>
      <c r="AE1434" s="150"/>
      <c r="AF1434" s="151"/>
      <c r="AG1434" s="126" t="s">
        <v>3420</v>
      </c>
      <c r="AH1434" s="115"/>
      <c r="AK1434" s="306" t="str">
        <f>IF(ISNUMBER(Table1[[#This Row],[FECHA DE RECIBIDO]]), Table1[[#This Row],[FECHA DE RECIBIDO]]-DATE(2023,8,30), "")</f>
        <v/>
      </c>
    </row>
    <row r="1435" spans="1:37" ht="16.05" customHeight="1">
      <c r="A1435" s="152" t="s">
        <v>3367</v>
      </c>
      <c r="B1435" s="153">
        <v>487</v>
      </c>
      <c r="C1435" s="126" t="s">
        <v>2564</v>
      </c>
      <c r="D1435">
        <v>894</v>
      </c>
      <c r="E1435" s="126" t="s">
        <v>3369</v>
      </c>
      <c r="F1435" s="125" t="s">
        <v>1602</v>
      </c>
      <c r="G1435" s="125" t="s">
        <v>134</v>
      </c>
      <c r="H1435">
        <v>297</v>
      </c>
      <c r="I1435" s="125" t="s">
        <v>1546</v>
      </c>
      <c r="J1435" s="308" t="s">
        <v>214</v>
      </c>
      <c r="K1435" s="127" t="s">
        <v>3348</v>
      </c>
      <c r="L1435" s="153" t="s">
        <v>1579</v>
      </c>
      <c r="M1435">
        <v>391</v>
      </c>
      <c r="N1435" s="123">
        <v>17</v>
      </c>
      <c r="O1435">
        <v>897</v>
      </c>
      <c r="P1435" s="132" t="s">
        <v>77</v>
      </c>
      <c r="Q1435" s="132">
        <v>1068.99</v>
      </c>
      <c r="R1435" s="132">
        <v>171.04</v>
      </c>
      <c r="S1435" s="132"/>
      <c r="T1435" s="156"/>
      <c r="U1435" s="132"/>
      <c r="V1435" s="132">
        <v>1240.03</v>
      </c>
      <c r="W1435">
        <v>147</v>
      </c>
      <c r="X1435" s="153" t="s">
        <v>1644</v>
      </c>
      <c r="Y1435" s="124" t="s">
        <v>55</v>
      </c>
      <c r="Z1435" s="308">
        <v>204</v>
      </c>
      <c r="AB1435" t="str">
        <f>IF(Table1[[#This Row],[TIPO2]]="costo", VLOOKUP(Table1[[#This Row],[PARTIDA PRESUPUESTAL]],'Cost Report'!G:G,1,0),"Balance")</f>
        <v>2508-007</v>
      </c>
      <c r="AC1435" s="118"/>
      <c r="AD1435" s="159">
        <f>+Table1[[#This Row],[SUBTOTAL]]+Table1[[#This Row],[IVA]]-Table1[[#This Row],[RET IVA]]-Table1[[#This Row],[RET ISR]]-Table1[[#This Row],[TOTAL]]</f>
        <v>0</v>
      </c>
      <c r="AE1435" s="152"/>
      <c r="AF1435" s="153"/>
      <c r="AG1435" s="126" t="s">
        <v>3420</v>
      </c>
      <c r="AH1435" s="115"/>
      <c r="AK1435" s="306" t="str">
        <f>IF(ISNUMBER(Table1[[#This Row],[FECHA DE RECIBIDO]]), Table1[[#This Row],[FECHA DE RECIBIDO]]-DATE(2023,8,30), "")</f>
        <v/>
      </c>
    </row>
    <row r="1436" spans="1:37" ht="16.05" customHeight="1">
      <c r="A1436" s="150" t="s">
        <v>3367</v>
      </c>
      <c r="B1436" s="151">
        <v>487</v>
      </c>
      <c r="C1436" s="126" t="s">
        <v>2566</v>
      </c>
      <c r="D1436">
        <v>895</v>
      </c>
      <c r="E1436" s="126"/>
      <c r="F1436" s="122"/>
      <c r="G1436" s="122" t="s">
        <v>134</v>
      </c>
      <c r="H1436"/>
      <c r="I1436" s="122" t="s">
        <v>1546</v>
      </c>
      <c r="J1436" s="307" t="s">
        <v>214</v>
      </c>
      <c r="K1436" s="127" t="s">
        <v>3348</v>
      </c>
      <c r="L1436" s="151" t="s">
        <v>1579</v>
      </c>
      <c r="M1436">
        <v>392</v>
      </c>
      <c r="N1436" s="123">
        <v>17</v>
      </c>
      <c r="O1436">
        <v>898</v>
      </c>
      <c r="P1436" s="132" t="s">
        <v>77</v>
      </c>
      <c r="Q1436" s="131">
        <v>931.03</v>
      </c>
      <c r="R1436" s="131">
        <v>148.97</v>
      </c>
      <c r="S1436" s="131"/>
      <c r="T1436" s="155"/>
      <c r="U1436" s="131"/>
      <c r="V1436" s="131">
        <v>1080</v>
      </c>
      <c r="W1436">
        <v>147</v>
      </c>
      <c r="X1436" s="151" t="s">
        <v>1644</v>
      </c>
      <c r="Y1436" s="135" t="s">
        <v>55</v>
      </c>
      <c r="Z1436" s="307">
        <v>197</v>
      </c>
      <c r="AB1436" t="str">
        <f>IF(Table1[[#This Row],[TIPO2]]="costo", VLOOKUP(Table1[[#This Row],[PARTIDA PRESUPUESTAL]],'Cost Report'!G:G,1,0),"Balance")</f>
        <v>2594-003</v>
      </c>
      <c r="AC1436" s="118"/>
      <c r="AD1436" s="159">
        <f>+Table1[[#This Row],[SUBTOTAL]]+Table1[[#This Row],[IVA]]-Table1[[#This Row],[RET IVA]]-Table1[[#This Row],[RET ISR]]-Table1[[#This Row],[TOTAL]]</f>
        <v>0</v>
      </c>
      <c r="AE1436" s="150"/>
      <c r="AF1436" s="151"/>
      <c r="AG1436" s="126" t="s">
        <v>3420</v>
      </c>
      <c r="AH1436" s="115"/>
      <c r="AK1436" s="306" t="str">
        <f>IF(ISNUMBER(Table1[[#This Row],[FECHA DE RECIBIDO]]), Table1[[#This Row],[FECHA DE RECIBIDO]]-DATE(2023,8,30), "")</f>
        <v/>
      </c>
    </row>
    <row r="1437" spans="1:37" ht="16.05" customHeight="1">
      <c r="A1437" s="152" t="s">
        <v>3367</v>
      </c>
      <c r="B1437" s="153">
        <v>487</v>
      </c>
      <c r="C1437" s="126" t="s">
        <v>2566</v>
      </c>
      <c r="D1437">
        <v>896</v>
      </c>
      <c r="E1437" s="126" t="s">
        <v>2046</v>
      </c>
      <c r="F1437" s="125" t="s">
        <v>1589</v>
      </c>
      <c r="G1437" s="125" t="s">
        <v>134</v>
      </c>
      <c r="H1437">
        <v>256</v>
      </c>
      <c r="I1437" s="125" t="s">
        <v>1546</v>
      </c>
      <c r="J1437" s="308" t="s">
        <v>214</v>
      </c>
      <c r="K1437" s="127" t="s">
        <v>3348</v>
      </c>
      <c r="L1437" s="153" t="s">
        <v>1579</v>
      </c>
      <c r="M1437">
        <v>339</v>
      </c>
      <c r="N1437" s="123">
        <v>17</v>
      </c>
      <c r="O1437">
        <v>899</v>
      </c>
      <c r="P1437" s="132" t="s">
        <v>77</v>
      </c>
      <c r="Q1437" s="132">
        <v>1110</v>
      </c>
      <c r="R1437" s="132">
        <v>177.6</v>
      </c>
      <c r="S1437" s="132"/>
      <c r="T1437" s="156"/>
      <c r="U1437" s="132"/>
      <c r="V1437" s="132">
        <v>1287.5999999999999</v>
      </c>
      <c r="W1437">
        <v>147</v>
      </c>
      <c r="X1437" s="153" t="s">
        <v>1644</v>
      </c>
      <c r="Y1437" s="124" t="s">
        <v>55</v>
      </c>
      <c r="Z1437" s="308">
        <v>199</v>
      </c>
      <c r="AB1437" t="str">
        <f>IF(Table1[[#This Row],[TIPO2]]="costo", VLOOKUP(Table1[[#This Row],[PARTIDA PRESUPUESTAL]],'Cost Report'!G:G,1,0),"Balance")</f>
        <v>2594-003</v>
      </c>
      <c r="AC1437" s="118"/>
      <c r="AD1437" s="159">
        <f>+Table1[[#This Row],[SUBTOTAL]]+Table1[[#This Row],[IVA]]-Table1[[#This Row],[RET IVA]]-Table1[[#This Row],[RET ISR]]-Table1[[#This Row],[TOTAL]]</f>
        <v>0</v>
      </c>
      <c r="AE1437" s="152"/>
      <c r="AF1437" s="153"/>
      <c r="AG1437" s="126" t="s">
        <v>3420</v>
      </c>
      <c r="AH1437" s="115"/>
      <c r="AK1437" s="306" t="str">
        <f>IF(ISNUMBER(Table1[[#This Row],[FECHA DE RECIBIDO]]), Table1[[#This Row],[FECHA DE RECIBIDO]]-DATE(2023,8,30), "")</f>
        <v/>
      </c>
    </row>
    <row r="1438" spans="1:37" ht="16.05" customHeight="1">
      <c r="A1438" s="150" t="s">
        <v>3367</v>
      </c>
      <c r="B1438" s="151">
        <v>487</v>
      </c>
      <c r="C1438" s="126" t="s">
        <v>2566</v>
      </c>
      <c r="D1438">
        <v>897</v>
      </c>
      <c r="E1438" s="126" t="s">
        <v>3370</v>
      </c>
      <c r="F1438" s="122" t="s">
        <v>1607</v>
      </c>
      <c r="G1438" s="122" t="s">
        <v>134</v>
      </c>
      <c r="H1438">
        <v>249</v>
      </c>
      <c r="I1438" s="122" t="s">
        <v>1546</v>
      </c>
      <c r="J1438" s="307" t="s">
        <v>214</v>
      </c>
      <c r="K1438" s="127" t="s">
        <v>3348</v>
      </c>
      <c r="L1438" s="151" t="s">
        <v>1579</v>
      </c>
      <c r="M1438">
        <v>326</v>
      </c>
      <c r="N1438" s="123">
        <v>17</v>
      </c>
      <c r="O1438">
        <v>900</v>
      </c>
      <c r="P1438" s="132" t="s">
        <v>77</v>
      </c>
      <c r="Q1438" s="131">
        <v>1224.1400000000001</v>
      </c>
      <c r="R1438" s="131">
        <v>195.86</v>
      </c>
      <c r="S1438" s="131"/>
      <c r="T1438" s="155"/>
      <c r="U1438" s="131"/>
      <c r="V1438" s="131">
        <v>1420</v>
      </c>
      <c r="W1438">
        <v>147</v>
      </c>
      <c r="X1438" s="151" t="s">
        <v>1644</v>
      </c>
      <c r="Y1438" s="135" t="s">
        <v>55</v>
      </c>
      <c r="Z1438" s="307">
        <v>206</v>
      </c>
      <c r="AB1438" t="str">
        <f>IF(Table1[[#This Row],[TIPO2]]="costo", VLOOKUP(Table1[[#This Row],[PARTIDA PRESUPUESTAL]],'Cost Report'!G:G,1,0),"Balance")</f>
        <v>2594-003</v>
      </c>
      <c r="AC1438" s="118"/>
      <c r="AD1438" s="159">
        <f>+Table1[[#This Row],[SUBTOTAL]]+Table1[[#This Row],[IVA]]-Table1[[#This Row],[RET IVA]]-Table1[[#This Row],[RET ISR]]-Table1[[#This Row],[TOTAL]]</f>
        <v>0</v>
      </c>
      <c r="AE1438" s="150"/>
      <c r="AF1438" s="151"/>
      <c r="AG1438" s="126" t="s">
        <v>3420</v>
      </c>
      <c r="AH1438" s="115"/>
      <c r="AK1438" s="306" t="str">
        <f>IF(ISNUMBER(Table1[[#This Row],[FECHA DE RECIBIDO]]), Table1[[#This Row],[FECHA DE RECIBIDO]]-DATE(2023,8,30), "")</f>
        <v/>
      </c>
    </row>
    <row r="1439" spans="1:37" ht="16.05" customHeight="1">
      <c r="A1439" s="152" t="s">
        <v>3367</v>
      </c>
      <c r="B1439" s="153">
        <v>487</v>
      </c>
      <c r="C1439" s="126" t="s">
        <v>2566</v>
      </c>
      <c r="D1439">
        <v>898</v>
      </c>
      <c r="E1439" s="126" t="s">
        <v>3370</v>
      </c>
      <c r="F1439" s="125" t="s">
        <v>1607</v>
      </c>
      <c r="G1439" s="125" t="s">
        <v>134</v>
      </c>
      <c r="H1439">
        <v>249</v>
      </c>
      <c r="I1439" s="125" t="s">
        <v>1546</v>
      </c>
      <c r="J1439" s="308" t="s">
        <v>214</v>
      </c>
      <c r="K1439" s="127" t="s">
        <v>3348</v>
      </c>
      <c r="L1439" s="153" t="s">
        <v>1579</v>
      </c>
      <c r="M1439">
        <v>326</v>
      </c>
      <c r="N1439" s="123">
        <v>17</v>
      </c>
      <c r="O1439">
        <v>901</v>
      </c>
      <c r="P1439" s="132" t="s">
        <v>77</v>
      </c>
      <c r="Q1439" s="132">
        <v>1577.61</v>
      </c>
      <c r="R1439" s="132">
        <v>252.39</v>
      </c>
      <c r="S1439" s="132"/>
      <c r="T1439" s="156"/>
      <c r="U1439" s="132"/>
      <c r="V1439" s="132">
        <v>1830</v>
      </c>
      <c r="W1439">
        <v>147</v>
      </c>
      <c r="X1439" s="153" t="s">
        <v>1644</v>
      </c>
      <c r="Y1439" s="124" t="s">
        <v>55</v>
      </c>
      <c r="Z1439" s="308">
        <v>206</v>
      </c>
      <c r="AB1439" t="str">
        <f>IF(Table1[[#This Row],[TIPO2]]="costo", VLOOKUP(Table1[[#This Row],[PARTIDA PRESUPUESTAL]],'Cost Report'!G:G,1,0),"Balance")</f>
        <v>2594-003</v>
      </c>
      <c r="AC1439" s="118"/>
      <c r="AD1439" s="159">
        <f>+Table1[[#This Row],[SUBTOTAL]]+Table1[[#This Row],[IVA]]-Table1[[#This Row],[RET IVA]]-Table1[[#This Row],[RET ISR]]-Table1[[#This Row],[TOTAL]]</f>
        <v>0</v>
      </c>
      <c r="AE1439" s="152"/>
      <c r="AF1439" s="153"/>
      <c r="AG1439" s="126" t="s">
        <v>3420</v>
      </c>
      <c r="AH1439" s="115"/>
      <c r="AK1439" s="306" t="str">
        <f>IF(ISNUMBER(Table1[[#This Row],[FECHA DE RECIBIDO]]), Table1[[#This Row],[FECHA DE RECIBIDO]]-DATE(2023,8,30), "")</f>
        <v/>
      </c>
    </row>
    <row r="1440" spans="1:37" ht="16.05" customHeight="1">
      <c r="A1440" s="150" t="s">
        <v>3367</v>
      </c>
      <c r="B1440" s="151">
        <v>487</v>
      </c>
      <c r="C1440" s="126" t="s">
        <v>2566</v>
      </c>
      <c r="D1440">
        <v>899</v>
      </c>
      <c r="E1440" s="126" t="s">
        <v>3370</v>
      </c>
      <c r="F1440" s="122" t="s">
        <v>1607</v>
      </c>
      <c r="G1440" s="122" t="s">
        <v>134</v>
      </c>
      <c r="H1440">
        <v>234</v>
      </c>
      <c r="I1440" s="122" t="s">
        <v>1546</v>
      </c>
      <c r="J1440" s="307" t="s">
        <v>214</v>
      </c>
      <c r="K1440" s="127" t="s">
        <v>3348</v>
      </c>
      <c r="L1440" s="151" t="s">
        <v>1579</v>
      </c>
      <c r="M1440">
        <v>306</v>
      </c>
      <c r="N1440" s="123">
        <v>17</v>
      </c>
      <c r="O1440">
        <v>902</v>
      </c>
      <c r="P1440" s="132" t="s">
        <v>77</v>
      </c>
      <c r="Q1440" s="131">
        <v>223.28</v>
      </c>
      <c r="R1440" s="131">
        <v>35.72</v>
      </c>
      <c r="S1440" s="131"/>
      <c r="T1440" s="155"/>
      <c r="U1440" s="131"/>
      <c r="V1440" s="131">
        <v>259</v>
      </c>
      <c r="W1440">
        <v>147</v>
      </c>
      <c r="X1440" s="151" t="s">
        <v>1644</v>
      </c>
      <c r="Y1440" s="135" t="s">
        <v>55</v>
      </c>
      <c r="Z1440" s="307">
        <v>198</v>
      </c>
      <c r="AB1440" t="str">
        <f>IF(Table1[[#This Row],[TIPO2]]="costo", VLOOKUP(Table1[[#This Row],[PARTIDA PRESUPUESTAL]],'Cost Report'!G:G,1,0),"Balance")</f>
        <v>2594-003</v>
      </c>
      <c r="AC1440" s="118"/>
      <c r="AD1440" s="159">
        <f>+Table1[[#This Row],[SUBTOTAL]]+Table1[[#This Row],[IVA]]-Table1[[#This Row],[RET IVA]]-Table1[[#This Row],[RET ISR]]-Table1[[#This Row],[TOTAL]]</f>
        <v>0</v>
      </c>
      <c r="AE1440" s="150"/>
      <c r="AF1440" s="151"/>
      <c r="AG1440" s="126" t="s">
        <v>3420</v>
      </c>
      <c r="AH1440" s="115"/>
      <c r="AK1440" s="306" t="str">
        <f>IF(ISNUMBER(Table1[[#This Row],[FECHA DE RECIBIDO]]), Table1[[#This Row],[FECHA DE RECIBIDO]]-DATE(2023,8,30), "")</f>
        <v/>
      </c>
    </row>
    <row r="1441" spans="1:37" ht="16.05" customHeight="1">
      <c r="A1441" s="152" t="s">
        <v>3367</v>
      </c>
      <c r="B1441" s="153">
        <v>487</v>
      </c>
      <c r="C1441" s="126" t="s">
        <v>2566</v>
      </c>
      <c r="D1441">
        <v>900</v>
      </c>
      <c r="E1441" s="126" t="s">
        <v>2005</v>
      </c>
      <c r="F1441" s="125" t="s">
        <v>1607</v>
      </c>
      <c r="G1441" s="125" t="s">
        <v>134</v>
      </c>
      <c r="H1441">
        <v>291</v>
      </c>
      <c r="I1441" s="125" t="s">
        <v>1546</v>
      </c>
      <c r="J1441" s="308" t="s">
        <v>214</v>
      </c>
      <c r="K1441" s="127" t="s">
        <v>3348</v>
      </c>
      <c r="L1441" s="153" t="s">
        <v>1579</v>
      </c>
      <c r="M1441">
        <v>385</v>
      </c>
      <c r="N1441" s="123">
        <v>17</v>
      </c>
      <c r="O1441">
        <v>903</v>
      </c>
      <c r="P1441" s="132" t="s">
        <v>77</v>
      </c>
      <c r="Q1441" s="132">
        <v>284.39999999999998</v>
      </c>
      <c r="R1441" s="132">
        <v>45.5</v>
      </c>
      <c r="S1441" s="132"/>
      <c r="T1441" s="156"/>
      <c r="U1441" s="132"/>
      <c r="V1441" s="132">
        <v>329.9</v>
      </c>
      <c r="W1441">
        <v>147</v>
      </c>
      <c r="X1441" s="153" t="s">
        <v>1644</v>
      </c>
      <c r="Y1441" s="124" t="s">
        <v>55</v>
      </c>
      <c r="Z1441" s="308">
        <v>202</v>
      </c>
      <c r="AB1441" t="str">
        <f>IF(Table1[[#This Row],[TIPO2]]="costo", VLOOKUP(Table1[[#This Row],[PARTIDA PRESUPUESTAL]],'Cost Report'!G:G,1,0),"Balance")</f>
        <v>2594-003</v>
      </c>
      <c r="AC1441" s="118"/>
      <c r="AD1441" s="159">
        <f>+Table1[[#This Row],[SUBTOTAL]]+Table1[[#This Row],[IVA]]-Table1[[#This Row],[RET IVA]]-Table1[[#This Row],[RET ISR]]-Table1[[#This Row],[TOTAL]]</f>
        <v>0</v>
      </c>
      <c r="AE1441" s="152"/>
      <c r="AF1441" s="153"/>
      <c r="AG1441" s="126" t="s">
        <v>3420</v>
      </c>
      <c r="AH1441" s="115"/>
      <c r="AK1441" s="306" t="str">
        <f>IF(ISNUMBER(Table1[[#This Row],[FECHA DE RECIBIDO]]), Table1[[#This Row],[FECHA DE RECIBIDO]]-DATE(2023,8,30), "")</f>
        <v/>
      </c>
    </row>
    <row r="1442" spans="1:37" ht="16.05" customHeight="1">
      <c r="A1442" s="150" t="s">
        <v>3367</v>
      </c>
      <c r="B1442" s="151">
        <v>487</v>
      </c>
      <c r="C1442" s="126" t="s">
        <v>2566</v>
      </c>
      <c r="D1442">
        <v>901</v>
      </c>
      <c r="E1442" s="126" t="s">
        <v>3371</v>
      </c>
      <c r="F1442" s="122" t="s">
        <v>1593</v>
      </c>
      <c r="G1442" s="122" t="s">
        <v>134</v>
      </c>
      <c r="H1442">
        <v>298</v>
      </c>
      <c r="I1442" s="122" t="s">
        <v>1546</v>
      </c>
      <c r="J1442" s="307" t="s">
        <v>214</v>
      </c>
      <c r="K1442" s="127" t="s">
        <v>3348</v>
      </c>
      <c r="L1442" s="151" t="s">
        <v>1579</v>
      </c>
      <c r="M1442">
        <v>393</v>
      </c>
      <c r="N1442" s="123">
        <v>17</v>
      </c>
      <c r="O1442">
        <v>904</v>
      </c>
      <c r="P1442" s="132" t="s">
        <v>77</v>
      </c>
      <c r="Q1442" s="131">
        <v>296.25</v>
      </c>
      <c r="R1442" s="131">
        <v>48</v>
      </c>
      <c r="S1442" s="131"/>
      <c r="T1442" s="155"/>
      <c r="U1442" s="131"/>
      <c r="V1442" s="131">
        <v>344.25</v>
      </c>
      <c r="W1442">
        <v>147</v>
      </c>
      <c r="X1442" s="151" t="s">
        <v>1644</v>
      </c>
      <c r="Y1442" s="135" t="s">
        <v>55</v>
      </c>
      <c r="Z1442" s="307">
        <v>198</v>
      </c>
      <c r="AB1442" t="str">
        <f>IF(Table1[[#This Row],[TIPO2]]="costo", VLOOKUP(Table1[[#This Row],[PARTIDA PRESUPUESTAL]],'Cost Report'!G:G,1,0),"Balance")</f>
        <v>2594-003</v>
      </c>
      <c r="AC1442" s="118"/>
      <c r="AD1442" s="159">
        <f>+Table1[[#This Row],[SUBTOTAL]]+Table1[[#This Row],[IVA]]-Table1[[#This Row],[RET IVA]]-Table1[[#This Row],[RET ISR]]-Table1[[#This Row],[TOTAL]]</f>
        <v>0</v>
      </c>
      <c r="AE1442" s="150"/>
      <c r="AF1442" s="151"/>
      <c r="AG1442" s="126" t="s">
        <v>3420</v>
      </c>
      <c r="AH1442" s="115"/>
      <c r="AK1442" s="306" t="str">
        <f>IF(ISNUMBER(Table1[[#This Row],[FECHA DE RECIBIDO]]), Table1[[#This Row],[FECHA DE RECIBIDO]]-DATE(2023,8,30), "")</f>
        <v/>
      </c>
    </row>
    <row r="1443" spans="1:37" ht="16.05" customHeight="1">
      <c r="A1443" s="152" t="s">
        <v>3367</v>
      </c>
      <c r="B1443" s="153">
        <v>487</v>
      </c>
      <c r="C1443" s="126" t="s">
        <v>2565</v>
      </c>
      <c r="D1443">
        <v>661</v>
      </c>
      <c r="E1443" s="126"/>
      <c r="F1443" s="125"/>
      <c r="G1443" s="125"/>
      <c r="H1443"/>
      <c r="I1443" s="125"/>
      <c r="J1443" s="308">
        <v>206</v>
      </c>
      <c r="K1443" s="127" t="s">
        <v>3348</v>
      </c>
      <c r="L1443" s="153" t="s">
        <v>1579</v>
      </c>
      <c r="M1443">
        <v>394</v>
      </c>
      <c r="N1443" s="123">
        <v>17</v>
      </c>
      <c r="O1443">
        <v>905</v>
      </c>
      <c r="P1443" s="132" t="s">
        <v>77</v>
      </c>
      <c r="Q1443" s="132">
        <v>115</v>
      </c>
      <c r="R1443" s="132"/>
      <c r="S1443" s="132"/>
      <c r="T1443" s="156"/>
      <c r="U1443" s="132"/>
      <c r="V1443" s="132">
        <v>115</v>
      </c>
      <c r="W1443">
        <v>147</v>
      </c>
      <c r="X1443" s="153" t="s">
        <v>1644</v>
      </c>
      <c r="Y1443" s="124" t="s">
        <v>55</v>
      </c>
      <c r="Z1443" s="308">
        <v>206</v>
      </c>
      <c r="AB1443" t="str">
        <f>IF(Table1[[#This Row],[TIPO2]]="costo", VLOOKUP(Table1[[#This Row],[PARTIDA PRESUPUESTAL]],'Cost Report'!G:G,1,0),"Balance")</f>
        <v>2585-003</v>
      </c>
      <c r="AC1443" s="118"/>
      <c r="AD1443" s="159">
        <f>+Table1[[#This Row],[SUBTOTAL]]+Table1[[#This Row],[IVA]]-Table1[[#This Row],[RET IVA]]-Table1[[#This Row],[RET ISR]]-Table1[[#This Row],[TOTAL]]</f>
        <v>0</v>
      </c>
      <c r="AE1443" s="152"/>
      <c r="AF1443" s="153"/>
      <c r="AG1443" s="126" t="s">
        <v>3420</v>
      </c>
      <c r="AH1443" s="115"/>
      <c r="AK1443" s="306">
        <f>IF(ISNUMBER(Table1[[#This Row],[FECHA DE RECIBIDO]]), Table1[[#This Row],[FECHA DE RECIBIDO]]-DATE(2023,8,30), "")</f>
        <v>-44962</v>
      </c>
    </row>
    <row r="1444" spans="1:37" ht="16.05" customHeight="1">
      <c r="A1444" s="150" t="s">
        <v>3367</v>
      </c>
      <c r="B1444" s="151">
        <v>487</v>
      </c>
      <c r="C1444" s="126" t="s">
        <v>2566</v>
      </c>
      <c r="D1444">
        <v>661</v>
      </c>
      <c r="E1444" s="126"/>
      <c r="F1444" s="122"/>
      <c r="G1444" s="122"/>
      <c r="H1444"/>
      <c r="I1444" s="122"/>
      <c r="J1444" s="307">
        <v>197</v>
      </c>
      <c r="K1444" s="127" t="s">
        <v>3348</v>
      </c>
      <c r="L1444" s="151" t="s">
        <v>1579</v>
      </c>
      <c r="M1444">
        <v>395</v>
      </c>
      <c r="N1444" s="123">
        <v>17</v>
      </c>
      <c r="O1444">
        <v>906</v>
      </c>
      <c r="P1444" s="132" t="s">
        <v>77</v>
      </c>
      <c r="Q1444" s="131">
        <v>1188</v>
      </c>
      <c r="R1444" s="131"/>
      <c r="S1444" s="131"/>
      <c r="T1444" s="155"/>
      <c r="U1444" s="131"/>
      <c r="V1444" s="131">
        <v>1188</v>
      </c>
      <c r="W1444">
        <v>147</v>
      </c>
      <c r="X1444" s="151" t="s">
        <v>1644</v>
      </c>
      <c r="Y1444" s="135" t="s">
        <v>55</v>
      </c>
      <c r="Z1444" s="307">
        <v>197</v>
      </c>
      <c r="AB1444" t="str">
        <f>IF(Table1[[#This Row],[TIPO2]]="costo", VLOOKUP(Table1[[#This Row],[PARTIDA PRESUPUESTAL]],'Cost Report'!G:G,1,0),"Balance")</f>
        <v>2594-003</v>
      </c>
      <c r="AC1444" s="118"/>
      <c r="AD1444" s="159">
        <f>+Table1[[#This Row],[SUBTOTAL]]+Table1[[#This Row],[IVA]]-Table1[[#This Row],[RET IVA]]-Table1[[#This Row],[RET ISR]]-Table1[[#This Row],[TOTAL]]</f>
        <v>0</v>
      </c>
      <c r="AE1444" s="150"/>
      <c r="AF1444" s="151"/>
      <c r="AG1444" s="126" t="s">
        <v>3420</v>
      </c>
      <c r="AH1444" s="115"/>
      <c r="AK1444" s="306">
        <f>IF(ISNUMBER(Table1[[#This Row],[FECHA DE RECIBIDO]]), Table1[[#This Row],[FECHA DE RECIBIDO]]-DATE(2023,8,30), "")</f>
        <v>-44971</v>
      </c>
    </row>
    <row r="1445" spans="1:37" ht="16.05" customHeight="1">
      <c r="A1445" s="152" t="s">
        <v>3367</v>
      </c>
      <c r="B1445" s="153">
        <v>487</v>
      </c>
      <c r="C1445" s="126" t="s">
        <v>2566</v>
      </c>
      <c r="D1445">
        <v>661</v>
      </c>
      <c r="E1445" s="126"/>
      <c r="F1445" s="125"/>
      <c r="G1445" s="125"/>
      <c r="H1445"/>
      <c r="I1445" s="125"/>
      <c r="J1445" s="308">
        <v>197</v>
      </c>
      <c r="K1445" s="127" t="s">
        <v>3348</v>
      </c>
      <c r="L1445" s="153" t="s">
        <v>1579</v>
      </c>
      <c r="M1445">
        <v>395</v>
      </c>
      <c r="N1445" s="123">
        <v>17</v>
      </c>
      <c r="O1445">
        <v>906</v>
      </c>
      <c r="P1445" s="132" t="s">
        <v>77</v>
      </c>
      <c r="Q1445" s="132">
        <v>486</v>
      </c>
      <c r="R1445" s="132"/>
      <c r="S1445" s="132"/>
      <c r="T1445" s="156"/>
      <c r="U1445" s="132"/>
      <c r="V1445" s="132">
        <v>486</v>
      </c>
      <c r="W1445">
        <v>147</v>
      </c>
      <c r="X1445" s="153" t="s">
        <v>1644</v>
      </c>
      <c r="Y1445" s="124" t="s">
        <v>55</v>
      </c>
      <c r="Z1445" s="308">
        <v>197</v>
      </c>
      <c r="AB1445" t="str">
        <f>IF(Table1[[#This Row],[TIPO2]]="costo", VLOOKUP(Table1[[#This Row],[PARTIDA PRESUPUESTAL]],'Cost Report'!G:G,1,0),"Balance")</f>
        <v>2594-003</v>
      </c>
      <c r="AC1445" s="118"/>
      <c r="AD1445" s="159">
        <f>+Table1[[#This Row],[SUBTOTAL]]+Table1[[#This Row],[IVA]]-Table1[[#This Row],[RET IVA]]-Table1[[#This Row],[RET ISR]]-Table1[[#This Row],[TOTAL]]</f>
        <v>0</v>
      </c>
      <c r="AE1445" s="152"/>
      <c r="AF1445" s="153"/>
      <c r="AG1445" s="126" t="s">
        <v>3420</v>
      </c>
      <c r="AH1445" s="115"/>
      <c r="AK1445" s="306">
        <f>IF(ISNUMBER(Table1[[#This Row],[FECHA DE RECIBIDO]]), Table1[[#This Row],[FECHA DE RECIBIDO]]-DATE(2023,8,30), "")</f>
        <v>-44971</v>
      </c>
    </row>
    <row r="1446" spans="1:37" ht="16.05" customHeight="1">
      <c r="A1446" s="150" t="s">
        <v>3367</v>
      </c>
      <c r="B1446" s="151">
        <v>487</v>
      </c>
      <c r="C1446" s="126" t="s">
        <v>2566</v>
      </c>
      <c r="D1446">
        <v>661</v>
      </c>
      <c r="E1446" s="126"/>
      <c r="F1446" s="122"/>
      <c r="G1446" s="122"/>
      <c r="H1446"/>
      <c r="I1446" s="122"/>
      <c r="J1446" s="307">
        <v>200</v>
      </c>
      <c r="K1446" s="127" t="s">
        <v>3348</v>
      </c>
      <c r="L1446" s="151" t="s">
        <v>1579</v>
      </c>
      <c r="M1446">
        <v>396</v>
      </c>
      <c r="N1446" s="123">
        <v>17</v>
      </c>
      <c r="O1446">
        <v>907</v>
      </c>
      <c r="P1446" s="132" t="s">
        <v>77</v>
      </c>
      <c r="Q1446" s="131">
        <v>90</v>
      </c>
      <c r="R1446" s="131"/>
      <c r="S1446" s="131"/>
      <c r="T1446" s="155"/>
      <c r="U1446" s="131"/>
      <c r="V1446" s="131">
        <v>90</v>
      </c>
      <c r="W1446">
        <v>147</v>
      </c>
      <c r="X1446" s="151" t="s">
        <v>1644</v>
      </c>
      <c r="Y1446" s="135" t="s">
        <v>55</v>
      </c>
      <c r="Z1446" s="307">
        <v>200</v>
      </c>
      <c r="AB1446" t="str">
        <f>IF(Table1[[#This Row],[TIPO2]]="costo", VLOOKUP(Table1[[#This Row],[PARTIDA PRESUPUESTAL]],'Cost Report'!G:G,1,0),"Balance")</f>
        <v>2594-003</v>
      </c>
      <c r="AC1446" s="118"/>
      <c r="AD1446" s="159">
        <f>+Table1[[#This Row],[SUBTOTAL]]+Table1[[#This Row],[IVA]]-Table1[[#This Row],[RET IVA]]-Table1[[#This Row],[RET ISR]]-Table1[[#This Row],[TOTAL]]</f>
        <v>0</v>
      </c>
      <c r="AE1446" s="150"/>
      <c r="AF1446" s="151"/>
      <c r="AG1446" s="126" t="s">
        <v>3420</v>
      </c>
      <c r="AH1446" s="115"/>
      <c r="AK1446" s="306">
        <f>IF(ISNUMBER(Table1[[#This Row],[FECHA DE RECIBIDO]]), Table1[[#This Row],[FECHA DE RECIBIDO]]-DATE(2023,8,30), "")</f>
        <v>-44968</v>
      </c>
    </row>
    <row r="1447" spans="1:37" ht="16.05" customHeight="1">
      <c r="A1447" s="152" t="s">
        <v>3367</v>
      </c>
      <c r="B1447" s="153">
        <v>487</v>
      </c>
      <c r="C1447" s="126" t="s">
        <v>2566</v>
      </c>
      <c r="D1447">
        <v>661</v>
      </c>
      <c r="E1447" s="126"/>
      <c r="F1447" s="125"/>
      <c r="G1447" s="125"/>
      <c r="H1447"/>
      <c r="I1447" s="125"/>
      <c r="J1447" s="308">
        <v>200</v>
      </c>
      <c r="K1447" s="127" t="s">
        <v>3348</v>
      </c>
      <c r="L1447" s="153" t="s">
        <v>1579</v>
      </c>
      <c r="M1447">
        <v>397</v>
      </c>
      <c r="N1447" s="123">
        <v>17</v>
      </c>
      <c r="O1447">
        <v>908</v>
      </c>
      <c r="P1447" s="132" t="s">
        <v>77</v>
      </c>
      <c r="Q1447" s="132">
        <v>157</v>
      </c>
      <c r="R1447" s="132"/>
      <c r="S1447" s="132"/>
      <c r="T1447" s="156"/>
      <c r="U1447" s="132"/>
      <c r="V1447" s="132">
        <v>157</v>
      </c>
      <c r="W1447">
        <v>147</v>
      </c>
      <c r="X1447" s="153" t="s">
        <v>1644</v>
      </c>
      <c r="Y1447" s="124" t="s">
        <v>55</v>
      </c>
      <c r="Z1447" s="308">
        <v>200</v>
      </c>
      <c r="AB1447" t="str">
        <f>IF(Table1[[#This Row],[TIPO2]]="costo", VLOOKUP(Table1[[#This Row],[PARTIDA PRESUPUESTAL]],'Cost Report'!G:G,1,0),"Balance")</f>
        <v>2594-003</v>
      </c>
      <c r="AC1447" s="118"/>
      <c r="AD1447" s="159">
        <f>+Table1[[#This Row],[SUBTOTAL]]+Table1[[#This Row],[IVA]]-Table1[[#This Row],[RET IVA]]-Table1[[#This Row],[RET ISR]]-Table1[[#This Row],[TOTAL]]</f>
        <v>0</v>
      </c>
      <c r="AE1447" s="152"/>
      <c r="AF1447" s="153"/>
      <c r="AG1447" s="126" t="s">
        <v>3420</v>
      </c>
      <c r="AH1447" s="115"/>
      <c r="AK1447" s="306">
        <f>IF(ISNUMBER(Table1[[#This Row],[FECHA DE RECIBIDO]]), Table1[[#This Row],[FECHA DE RECIBIDO]]-DATE(2023,8,30), "")</f>
        <v>-44968</v>
      </c>
    </row>
    <row r="1448" spans="1:37" ht="16.05" customHeight="1">
      <c r="A1448" s="150" t="s">
        <v>3367</v>
      </c>
      <c r="B1448" s="151">
        <v>487</v>
      </c>
      <c r="C1448" s="126" t="s">
        <v>2565</v>
      </c>
      <c r="D1448">
        <v>661</v>
      </c>
      <c r="E1448" s="126"/>
      <c r="F1448" s="122"/>
      <c r="G1448" s="122"/>
      <c r="H1448"/>
      <c r="I1448" s="122"/>
      <c r="J1448" s="307">
        <v>201</v>
      </c>
      <c r="K1448" s="127" t="s">
        <v>3348</v>
      </c>
      <c r="L1448" s="151" t="s">
        <v>1579</v>
      </c>
      <c r="M1448">
        <v>398</v>
      </c>
      <c r="N1448" s="123">
        <v>17</v>
      </c>
      <c r="O1448">
        <v>905</v>
      </c>
      <c r="P1448" s="132" t="s">
        <v>77</v>
      </c>
      <c r="Q1448" s="131">
        <v>11</v>
      </c>
      <c r="R1448" s="131"/>
      <c r="S1448" s="131"/>
      <c r="T1448" s="155"/>
      <c r="U1448" s="131"/>
      <c r="V1448" s="131">
        <v>11</v>
      </c>
      <c r="W1448">
        <v>147</v>
      </c>
      <c r="X1448" s="151" t="s">
        <v>1644</v>
      </c>
      <c r="Y1448" s="135" t="s">
        <v>55</v>
      </c>
      <c r="Z1448" s="307">
        <v>201</v>
      </c>
      <c r="AB1448" t="str">
        <f>IF(Table1[[#This Row],[TIPO2]]="costo", VLOOKUP(Table1[[#This Row],[PARTIDA PRESUPUESTAL]],'Cost Report'!G:G,1,0),"Balance")</f>
        <v>2585-003</v>
      </c>
      <c r="AC1448" s="118"/>
      <c r="AD1448" s="159">
        <f>+Table1[[#This Row],[SUBTOTAL]]+Table1[[#This Row],[IVA]]-Table1[[#This Row],[RET IVA]]-Table1[[#This Row],[RET ISR]]-Table1[[#This Row],[TOTAL]]</f>
        <v>0</v>
      </c>
      <c r="AE1448" s="150"/>
      <c r="AF1448" s="151"/>
      <c r="AG1448" s="126" t="s">
        <v>3420</v>
      </c>
      <c r="AH1448" s="115"/>
      <c r="AK1448" s="306">
        <f>IF(ISNUMBER(Table1[[#This Row],[FECHA DE RECIBIDO]]), Table1[[#This Row],[FECHA DE RECIBIDO]]-DATE(2023,8,30), "")</f>
        <v>-44967</v>
      </c>
    </row>
    <row r="1449" spans="1:37" ht="16.05" customHeight="1">
      <c r="A1449" s="152" t="s">
        <v>3367</v>
      </c>
      <c r="B1449" s="153">
        <v>487</v>
      </c>
      <c r="C1449" s="126" t="s">
        <v>2565</v>
      </c>
      <c r="D1449">
        <v>661</v>
      </c>
      <c r="E1449" s="126"/>
      <c r="F1449" s="125"/>
      <c r="G1449" s="125"/>
      <c r="H1449"/>
      <c r="I1449" s="125"/>
      <c r="J1449" s="308">
        <v>202</v>
      </c>
      <c r="K1449" s="127" t="s">
        <v>3348</v>
      </c>
      <c r="L1449" s="153" t="s">
        <v>1579</v>
      </c>
      <c r="M1449">
        <v>399</v>
      </c>
      <c r="N1449" s="123">
        <v>17</v>
      </c>
      <c r="O1449">
        <v>905</v>
      </c>
      <c r="P1449" s="132" t="s">
        <v>77</v>
      </c>
      <c r="Q1449" s="132">
        <v>5</v>
      </c>
      <c r="R1449" s="132"/>
      <c r="S1449" s="132"/>
      <c r="T1449" s="156"/>
      <c r="U1449" s="132"/>
      <c r="V1449" s="132">
        <v>5</v>
      </c>
      <c r="W1449">
        <v>147</v>
      </c>
      <c r="X1449" s="153" t="s">
        <v>1644</v>
      </c>
      <c r="Y1449" s="124" t="s">
        <v>55</v>
      </c>
      <c r="Z1449" s="308">
        <v>202</v>
      </c>
      <c r="AB1449" t="str">
        <f>IF(Table1[[#This Row],[TIPO2]]="costo", VLOOKUP(Table1[[#This Row],[PARTIDA PRESUPUESTAL]],'Cost Report'!G:G,1,0),"Balance")</f>
        <v>2585-003</v>
      </c>
      <c r="AC1449" s="118"/>
      <c r="AD1449" s="159">
        <f>+Table1[[#This Row],[SUBTOTAL]]+Table1[[#This Row],[IVA]]-Table1[[#This Row],[RET IVA]]-Table1[[#This Row],[RET ISR]]-Table1[[#This Row],[TOTAL]]</f>
        <v>0</v>
      </c>
      <c r="AE1449" s="152"/>
      <c r="AF1449" s="153"/>
      <c r="AG1449" s="126" t="s">
        <v>3420</v>
      </c>
      <c r="AH1449" s="115"/>
      <c r="AK1449" s="306">
        <f>IF(ISNUMBER(Table1[[#This Row],[FECHA DE RECIBIDO]]), Table1[[#This Row],[FECHA DE RECIBIDO]]-DATE(2023,8,30), "")</f>
        <v>-44966</v>
      </c>
    </row>
    <row r="1450" spans="1:37" ht="16.05" customHeight="1">
      <c r="A1450" s="150" t="s">
        <v>3367</v>
      </c>
      <c r="B1450" s="151">
        <v>487</v>
      </c>
      <c r="C1450" s="126" t="s">
        <v>2565</v>
      </c>
      <c r="D1450">
        <v>661</v>
      </c>
      <c r="E1450" s="126"/>
      <c r="F1450" s="122"/>
      <c r="G1450" s="122"/>
      <c r="H1450"/>
      <c r="I1450" s="122"/>
      <c r="J1450" s="307">
        <v>202</v>
      </c>
      <c r="K1450" s="127" t="s">
        <v>3348</v>
      </c>
      <c r="L1450" s="151" t="s">
        <v>1579</v>
      </c>
      <c r="M1450">
        <v>398</v>
      </c>
      <c r="N1450" s="123">
        <v>17</v>
      </c>
      <c r="O1450">
        <v>905</v>
      </c>
      <c r="P1450" s="132" t="s">
        <v>77</v>
      </c>
      <c r="Q1450" s="131">
        <v>5</v>
      </c>
      <c r="R1450" s="131"/>
      <c r="S1450" s="131"/>
      <c r="T1450" s="155"/>
      <c r="U1450" s="131"/>
      <c r="V1450" s="131">
        <v>5</v>
      </c>
      <c r="W1450">
        <v>147</v>
      </c>
      <c r="X1450" s="151" t="s">
        <v>1644</v>
      </c>
      <c r="Y1450" s="135" t="s">
        <v>55</v>
      </c>
      <c r="Z1450" s="307">
        <v>202</v>
      </c>
      <c r="AB1450" t="str">
        <f>IF(Table1[[#This Row],[TIPO2]]="costo", VLOOKUP(Table1[[#This Row],[PARTIDA PRESUPUESTAL]],'Cost Report'!G:G,1,0),"Balance")</f>
        <v>2585-003</v>
      </c>
      <c r="AC1450" s="118"/>
      <c r="AD1450" s="159">
        <f>+Table1[[#This Row],[SUBTOTAL]]+Table1[[#This Row],[IVA]]-Table1[[#This Row],[RET IVA]]-Table1[[#This Row],[RET ISR]]-Table1[[#This Row],[TOTAL]]</f>
        <v>0</v>
      </c>
      <c r="AE1450" s="150"/>
      <c r="AF1450" s="151"/>
      <c r="AG1450" s="126" t="s">
        <v>3420</v>
      </c>
      <c r="AH1450" s="115"/>
      <c r="AK1450" s="306">
        <f>IF(ISNUMBER(Table1[[#This Row],[FECHA DE RECIBIDO]]), Table1[[#This Row],[FECHA DE RECIBIDO]]-DATE(2023,8,30), "")</f>
        <v>-44966</v>
      </c>
    </row>
    <row r="1451" spans="1:37" ht="16.05" customHeight="1">
      <c r="A1451" s="152" t="s">
        <v>3367</v>
      </c>
      <c r="B1451" s="153">
        <v>487</v>
      </c>
      <c r="C1451" s="126" t="s">
        <v>2566</v>
      </c>
      <c r="D1451">
        <v>661</v>
      </c>
      <c r="E1451" s="126"/>
      <c r="F1451" s="125"/>
      <c r="G1451" s="125"/>
      <c r="H1451"/>
      <c r="I1451" s="125"/>
      <c r="J1451" s="308">
        <v>203</v>
      </c>
      <c r="K1451" s="127" t="s">
        <v>3348</v>
      </c>
      <c r="L1451" s="153" t="s">
        <v>1579</v>
      </c>
      <c r="M1451">
        <v>400</v>
      </c>
      <c r="N1451" s="123">
        <v>17</v>
      </c>
      <c r="O1451">
        <v>909</v>
      </c>
      <c r="P1451" s="132" t="s">
        <v>77</v>
      </c>
      <c r="Q1451" s="132">
        <v>1700</v>
      </c>
      <c r="R1451" s="132"/>
      <c r="S1451" s="132"/>
      <c r="T1451" s="156"/>
      <c r="U1451" s="132"/>
      <c r="V1451" s="132">
        <v>1700</v>
      </c>
      <c r="W1451">
        <v>147</v>
      </c>
      <c r="X1451" s="153" t="s">
        <v>1644</v>
      </c>
      <c r="Y1451" s="124" t="s">
        <v>55</v>
      </c>
      <c r="Z1451" s="308">
        <v>203</v>
      </c>
      <c r="AB1451" t="str">
        <f>IF(Table1[[#This Row],[TIPO2]]="costo", VLOOKUP(Table1[[#This Row],[PARTIDA PRESUPUESTAL]],'Cost Report'!G:G,1,0),"Balance")</f>
        <v>2594-003</v>
      </c>
      <c r="AC1451" s="118"/>
      <c r="AD1451" s="159">
        <f>+Table1[[#This Row],[SUBTOTAL]]+Table1[[#This Row],[IVA]]-Table1[[#This Row],[RET IVA]]-Table1[[#This Row],[RET ISR]]-Table1[[#This Row],[TOTAL]]</f>
        <v>0</v>
      </c>
      <c r="AE1451" s="152"/>
      <c r="AF1451" s="153"/>
      <c r="AG1451" s="126" t="s">
        <v>3420</v>
      </c>
      <c r="AH1451" s="115"/>
      <c r="AK1451" s="306">
        <f>IF(ISNUMBER(Table1[[#This Row],[FECHA DE RECIBIDO]]), Table1[[#This Row],[FECHA DE RECIBIDO]]-DATE(2023,8,30), "")</f>
        <v>-44965</v>
      </c>
    </row>
    <row r="1452" spans="1:37" ht="16.05" customHeight="1">
      <c r="A1452" s="150" t="s">
        <v>3367</v>
      </c>
      <c r="B1452" s="151">
        <v>487</v>
      </c>
      <c r="C1452" s="126" t="s">
        <v>2565</v>
      </c>
      <c r="D1452">
        <v>661</v>
      </c>
      <c r="E1452" s="126"/>
      <c r="F1452" s="122"/>
      <c r="G1452" s="122"/>
      <c r="H1452"/>
      <c r="I1452" s="122"/>
      <c r="J1452" s="307">
        <v>208</v>
      </c>
      <c r="K1452" s="127" t="s">
        <v>3348</v>
      </c>
      <c r="L1452" s="151" t="s">
        <v>1579</v>
      </c>
      <c r="M1452">
        <v>401</v>
      </c>
      <c r="N1452" s="123">
        <v>17</v>
      </c>
      <c r="O1452">
        <v>905</v>
      </c>
      <c r="P1452" s="132" t="s">
        <v>77</v>
      </c>
      <c r="Q1452" s="131">
        <v>35</v>
      </c>
      <c r="R1452" s="131"/>
      <c r="S1452" s="131"/>
      <c r="T1452" s="155"/>
      <c r="U1452" s="131"/>
      <c r="V1452" s="131">
        <v>35</v>
      </c>
      <c r="W1452">
        <v>147</v>
      </c>
      <c r="X1452" s="151" t="s">
        <v>1644</v>
      </c>
      <c r="Y1452" s="135" t="s">
        <v>55</v>
      </c>
      <c r="Z1452" s="307">
        <v>208</v>
      </c>
      <c r="AB1452" t="str">
        <f>IF(Table1[[#This Row],[TIPO2]]="costo", VLOOKUP(Table1[[#This Row],[PARTIDA PRESUPUESTAL]],'Cost Report'!G:G,1,0),"Balance")</f>
        <v>2585-003</v>
      </c>
      <c r="AC1452" s="118"/>
      <c r="AD1452" s="159">
        <f>+Table1[[#This Row],[SUBTOTAL]]+Table1[[#This Row],[IVA]]-Table1[[#This Row],[RET IVA]]-Table1[[#This Row],[RET ISR]]-Table1[[#This Row],[TOTAL]]</f>
        <v>0</v>
      </c>
      <c r="AE1452" s="150"/>
      <c r="AF1452" s="151"/>
      <c r="AG1452" s="126" t="s">
        <v>3420</v>
      </c>
      <c r="AH1452" s="115"/>
      <c r="AK1452" s="306">
        <f>IF(ISNUMBER(Table1[[#This Row],[FECHA DE RECIBIDO]]), Table1[[#This Row],[FECHA DE RECIBIDO]]-DATE(2023,8,30), "")</f>
        <v>-44960</v>
      </c>
    </row>
    <row r="1453" spans="1:37" ht="16.05" customHeight="1">
      <c r="A1453" s="152" t="s">
        <v>3367</v>
      </c>
      <c r="B1453" s="153">
        <v>487</v>
      </c>
      <c r="C1453" s="126" t="s">
        <v>2565</v>
      </c>
      <c r="D1453">
        <v>661</v>
      </c>
      <c r="E1453" s="126"/>
      <c r="F1453" s="125"/>
      <c r="G1453" s="125"/>
      <c r="H1453"/>
      <c r="I1453" s="125"/>
      <c r="J1453" s="308">
        <v>211</v>
      </c>
      <c r="K1453" s="127" t="s">
        <v>3348</v>
      </c>
      <c r="L1453" s="153" t="s">
        <v>1579</v>
      </c>
      <c r="M1453">
        <v>402</v>
      </c>
      <c r="N1453" s="123">
        <v>17</v>
      </c>
      <c r="O1453">
        <v>905</v>
      </c>
      <c r="P1453" s="132" t="s">
        <v>77</v>
      </c>
      <c r="Q1453" s="132">
        <v>35</v>
      </c>
      <c r="R1453" s="132"/>
      <c r="S1453" s="132"/>
      <c r="T1453" s="156"/>
      <c r="U1453" s="132"/>
      <c r="V1453" s="132">
        <v>35</v>
      </c>
      <c r="W1453">
        <v>147</v>
      </c>
      <c r="X1453" s="153" t="s">
        <v>1644</v>
      </c>
      <c r="Y1453" s="124" t="s">
        <v>55</v>
      </c>
      <c r="Z1453" s="308">
        <v>211</v>
      </c>
      <c r="AB1453" t="str">
        <f>IF(Table1[[#This Row],[TIPO2]]="costo", VLOOKUP(Table1[[#This Row],[PARTIDA PRESUPUESTAL]],'Cost Report'!G:G,1,0),"Balance")</f>
        <v>2585-003</v>
      </c>
      <c r="AC1453" s="118"/>
      <c r="AD1453" s="159">
        <f>+Table1[[#This Row],[SUBTOTAL]]+Table1[[#This Row],[IVA]]-Table1[[#This Row],[RET IVA]]-Table1[[#This Row],[RET ISR]]-Table1[[#This Row],[TOTAL]]</f>
        <v>0</v>
      </c>
      <c r="AE1453" s="152"/>
      <c r="AF1453" s="153"/>
      <c r="AG1453" s="126" t="s">
        <v>3420</v>
      </c>
      <c r="AH1453" s="115"/>
      <c r="AK1453" s="306">
        <f>IF(ISNUMBER(Table1[[#This Row],[FECHA DE RECIBIDO]]), Table1[[#This Row],[FECHA DE RECIBIDO]]-DATE(2023,8,30), "")</f>
        <v>-44957</v>
      </c>
    </row>
    <row r="1454" spans="1:37" ht="16.05" customHeight="1">
      <c r="A1454" s="150" t="s">
        <v>3367</v>
      </c>
      <c r="B1454" s="151">
        <v>487</v>
      </c>
      <c r="C1454" s="126" t="s">
        <v>2565</v>
      </c>
      <c r="D1454">
        <v>661</v>
      </c>
      <c r="E1454" s="126"/>
      <c r="F1454" s="122"/>
      <c r="G1454" s="122"/>
      <c r="H1454"/>
      <c r="I1454" s="122"/>
      <c r="J1454" s="307">
        <v>212</v>
      </c>
      <c r="K1454" s="127" t="s">
        <v>3348</v>
      </c>
      <c r="L1454" s="151" t="s">
        <v>1579</v>
      </c>
      <c r="M1454">
        <v>403</v>
      </c>
      <c r="N1454" s="123">
        <v>17</v>
      </c>
      <c r="O1454">
        <v>905</v>
      </c>
      <c r="P1454" s="132" t="s">
        <v>77</v>
      </c>
      <c r="Q1454" s="131">
        <v>45</v>
      </c>
      <c r="R1454" s="131"/>
      <c r="S1454" s="131"/>
      <c r="T1454" s="155"/>
      <c r="U1454" s="131"/>
      <c r="V1454" s="131">
        <v>45</v>
      </c>
      <c r="W1454">
        <v>147</v>
      </c>
      <c r="X1454" s="151" t="s">
        <v>1644</v>
      </c>
      <c r="Y1454" s="135" t="s">
        <v>55</v>
      </c>
      <c r="Z1454" s="307">
        <v>212</v>
      </c>
      <c r="AB1454" t="str">
        <f>IF(Table1[[#This Row],[TIPO2]]="costo", VLOOKUP(Table1[[#This Row],[PARTIDA PRESUPUESTAL]],'Cost Report'!G:G,1,0),"Balance")</f>
        <v>2585-003</v>
      </c>
      <c r="AC1454" s="118"/>
      <c r="AD1454" s="159">
        <f>+Table1[[#This Row],[SUBTOTAL]]+Table1[[#This Row],[IVA]]-Table1[[#This Row],[RET IVA]]-Table1[[#This Row],[RET ISR]]-Table1[[#This Row],[TOTAL]]</f>
        <v>0</v>
      </c>
      <c r="AE1454" s="150"/>
      <c r="AF1454" s="151"/>
      <c r="AG1454" s="126" t="s">
        <v>3420</v>
      </c>
      <c r="AH1454" s="115"/>
      <c r="AK1454" s="306">
        <f>IF(ISNUMBER(Table1[[#This Row],[FECHA DE RECIBIDO]]), Table1[[#This Row],[FECHA DE RECIBIDO]]-DATE(2023,8,30), "")</f>
        <v>-44956</v>
      </c>
    </row>
    <row r="1455" spans="1:37" ht="16.05" customHeight="1">
      <c r="A1455" s="152" t="s">
        <v>3372</v>
      </c>
      <c r="B1455" s="153">
        <v>488</v>
      </c>
      <c r="C1455" s="126" t="s">
        <v>2566</v>
      </c>
      <c r="D1455">
        <v>902</v>
      </c>
      <c r="E1455" s="126" t="s">
        <v>3264</v>
      </c>
      <c r="F1455" s="125" t="s">
        <v>1607</v>
      </c>
      <c r="G1455" s="125" t="s">
        <v>134</v>
      </c>
      <c r="H1455">
        <v>156</v>
      </c>
      <c r="I1455" s="125" t="s">
        <v>1546</v>
      </c>
      <c r="J1455" s="308" t="s">
        <v>214</v>
      </c>
      <c r="K1455" s="127" t="s">
        <v>3348</v>
      </c>
      <c r="L1455" s="153" t="s">
        <v>1579</v>
      </c>
      <c r="M1455">
        <v>207</v>
      </c>
      <c r="N1455" s="123">
        <v>17</v>
      </c>
      <c r="O1455">
        <v>910</v>
      </c>
      <c r="P1455" s="132" t="s">
        <v>77</v>
      </c>
      <c r="Q1455" s="132">
        <v>2563.92</v>
      </c>
      <c r="R1455" s="132">
        <v>410.23</v>
      </c>
      <c r="S1455" s="132"/>
      <c r="T1455" s="156"/>
      <c r="U1455" s="132"/>
      <c r="V1455" s="132">
        <v>2974.15</v>
      </c>
      <c r="W1455">
        <v>148</v>
      </c>
      <c r="X1455" s="153" t="s">
        <v>1644</v>
      </c>
      <c r="Y1455" s="124" t="s">
        <v>55</v>
      </c>
      <c r="Z1455" s="308">
        <v>208</v>
      </c>
      <c r="AB1455" t="str">
        <f>IF(Table1[[#This Row],[TIPO2]]="costo", VLOOKUP(Table1[[#This Row],[PARTIDA PRESUPUESTAL]],'Cost Report'!G:G,1,0),"Balance")</f>
        <v>2594-003</v>
      </c>
      <c r="AC1455" s="118"/>
      <c r="AD1455" s="159">
        <f>+Table1[[#This Row],[SUBTOTAL]]+Table1[[#This Row],[IVA]]-Table1[[#This Row],[RET IVA]]-Table1[[#This Row],[RET ISR]]-Table1[[#This Row],[TOTAL]]</f>
        <v>0</v>
      </c>
      <c r="AE1455" s="152"/>
      <c r="AF1455" s="153"/>
      <c r="AG1455" s="126" t="s">
        <v>3420</v>
      </c>
      <c r="AH1455" s="115"/>
      <c r="AK1455" s="306" t="str">
        <f>IF(ISNUMBER(Table1[[#This Row],[FECHA DE RECIBIDO]]), Table1[[#This Row],[FECHA DE RECIBIDO]]-DATE(2023,8,30), "")</f>
        <v/>
      </c>
    </row>
    <row r="1456" spans="1:37" ht="16.05" customHeight="1">
      <c r="A1456" s="150" t="s">
        <v>3372</v>
      </c>
      <c r="B1456" s="151">
        <v>488</v>
      </c>
      <c r="C1456" s="126" t="s">
        <v>2566</v>
      </c>
      <c r="D1456">
        <v>903</v>
      </c>
      <c r="E1456" s="126" t="s">
        <v>3264</v>
      </c>
      <c r="F1456" s="122" t="s">
        <v>1607</v>
      </c>
      <c r="G1456" s="122" t="s">
        <v>134</v>
      </c>
      <c r="H1456">
        <v>156</v>
      </c>
      <c r="I1456" s="122" t="s">
        <v>1546</v>
      </c>
      <c r="J1456" s="307" t="s">
        <v>214</v>
      </c>
      <c r="K1456" s="127" t="s">
        <v>3348</v>
      </c>
      <c r="L1456" s="151" t="s">
        <v>1579</v>
      </c>
      <c r="M1456">
        <v>207</v>
      </c>
      <c r="N1456" s="123">
        <v>17</v>
      </c>
      <c r="O1456">
        <v>911</v>
      </c>
      <c r="P1456" s="132" t="s">
        <v>77</v>
      </c>
      <c r="Q1456" s="131">
        <v>581.25</v>
      </c>
      <c r="R1456" s="131">
        <v>93</v>
      </c>
      <c r="S1456" s="131"/>
      <c r="T1456" s="155"/>
      <c r="U1456" s="131"/>
      <c r="V1456" s="131">
        <v>674.25</v>
      </c>
      <c r="W1456">
        <v>148</v>
      </c>
      <c r="X1456" s="151" t="s">
        <v>1644</v>
      </c>
      <c r="Y1456" s="135" t="s">
        <v>55</v>
      </c>
      <c r="Z1456" s="307">
        <v>208</v>
      </c>
      <c r="AB1456" t="str">
        <f>IF(Table1[[#This Row],[TIPO2]]="costo", VLOOKUP(Table1[[#This Row],[PARTIDA PRESUPUESTAL]],'Cost Report'!G:G,1,0),"Balance")</f>
        <v>2594-003</v>
      </c>
      <c r="AC1456" s="118"/>
      <c r="AD1456" s="159">
        <f>+Table1[[#This Row],[SUBTOTAL]]+Table1[[#This Row],[IVA]]-Table1[[#This Row],[RET IVA]]-Table1[[#This Row],[RET ISR]]-Table1[[#This Row],[TOTAL]]</f>
        <v>0</v>
      </c>
      <c r="AE1456" s="150"/>
      <c r="AF1456" s="151"/>
      <c r="AG1456" s="126" t="s">
        <v>3420</v>
      </c>
      <c r="AH1456" s="115"/>
      <c r="AK1456" s="306" t="str">
        <f>IF(ISNUMBER(Table1[[#This Row],[FECHA DE RECIBIDO]]), Table1[[#This Row],[FECHA DE RECIBIDO]]-DATE(2023,8,30), "")</f>
        <v/>
      </c>
    </row>
    <row r="1457" spans="1:37" ht="16.05" customHeight="1">
      <c r="A1457" s="152" t="s">
        <v>3372</v>
      </c>
      <c r="B1457" s="153">
        <v>488</v>
      </c>
      <c r="C1457" s="126" t="s">
        <v>2566</v>
      </c>
      <c r="D1457">
        <v>904</v>
      </c>
      <c r="E1457" s="126" t="s">
        <v>1999</v>
      </c>
      <c r="F1457" s="125" t="s">
        <v>1607</v>
      </c>
      <c r="G1457" s="125" t="s">
        <v>134</v>
      </c>
      <c r="H1457">
        <v>299</v>
      </c>
      <c r="I1457" s="125" t="s">
        <v>1546</v>
      </c>
      <c r="J1457" s="308" t="s">
        <v>214</v>
      </c>
      <c r="K1457" s="127" t="s">
        <v>3348</v>
      </c>
      <c r="L1457" s="153" t="s">
        <v>1579</v>
      </c>
      <c r="M1457">
        <v>404</v>
      </c>
      <c r="N1457" s="123">
        <v>17</v>
      </c>
      <c r="O1457">
        <v>912</v>
      </c>
      <c r="P1457" s="132" t="s">
        <v>77</v>
      </c>
      <c r="Q1457" s="132">
        <v>257.76</v>
      </c>
      <c r="R1457" s="132">
        <v>41.24</v>
      </c>
      <c r="S1457" s="132"/>
      <c r="T1457" s="156"/>
      <c r="U1457" s="132"/>
      <c r="V1457" s="132">
        <v>299</v>
      </c>
      <c r="W1457">
        <v>148</v>
      </c>
      <c r="X1457" s="153" t="s">
        <v>1644</v>
      </c>
      <c r="Y1457" s="124" t="s">
        <v>55</v>
      </c>
      <c r="Z1457" s="308">
        <v>208</v>
      </c>
      <c r="AB1457" t="str">
        <f>IF(Table1[[#This Row],[TIPO2]]="costo", VLOOKUP(Table1[[#This Row],[PARTIDA PRESUPUESTAL]],'Cost Report'!G:G,1,0),"Balance")</f>
        <v>2594-003</v>
      </c>
      <c r="AC1457" s="118"/>
      <c r="AD1457" s="159">
        <f>+Table1[[#This Row],[SUBTOTAL]]+Table1[[#This Row],[IVA]]-Table1[[#This Row],[RET IVA]]-Table1[[#This Row],[RET ISR]]-Table1[[#This Row],[TOTAL]]</f>
        <v>0</v>
      </c>
      <c r="AE1457" s="152"/>
      <c r="AF1457" s="153"/>
      <c r="AG1457" s="126" t="s">
        <v>3420</v>
      </c>
      <c r="AH1457" s="115"/>
      <c r="AK1457" s="306" t="str">
        <f>IF(ISNUMBER(Table1[[#This Row],[FECHA DE RECIBIDO]]), Table1[[#This Row],[FECHA DE RECIBIDO]]-DATE(2023,8,30), "")</f>
        <v/>
      </c>
    </row>
    <row r="1458" spans="1:37" ht="16.05" customHeight="1">
      <c r="A1458" s="150" t="s">
        <v>3372</v>
      </c>
      <c r="B1458" s="151">
        <v>488</v>
      </c>
      <c r="C1458" s="126" t="s">
        <v>2566</v>
      </c>
      <c r="D1458">
        <v>905</v>
      </c>
      <c r="E1458" s="126" t="s">
        <v>1614</v>
      </c>
      <c r="F1458" s="122" t="s">
        <v>1593</v>
      </c>
      <c r="G1458" s="122" t="s">
        <v>134</v>
      </c>
      <c r="H1458">
        <v>300</v>
      </c>
      <c r="I1458" s="122" t="s">
        <v>1546</v>
      </c>
      <c r="J1458" s="307" t="s">
        <v>214</v>
      </c>
      <c r="K1458" s="127" t="s">
        <v>3348</v>
      </c>
      <c r="L1458" s="151" t="s">
        <v>1579</v>
      </c>
      <c r="M1458">
        <v>405</v>
      </c>
      <c r="N1458" s="123">
        <v>17</v>
      </c>
      <c r="O1458">
        <v>913</v>
      </c>
      <c r="P1458" s="132" t="s">
        <v>77</v>
      </c>
      <c r="Q1458" s="131">
        <v>827.02</v>
      </c>
      <c r="R1458" s="131">
        <v>132.32</v>
      </c>
      <c r="S1458" s="131"/>
      <c r="T1458" s="155"/>
      <c r="U1458" s="131">
        <v>10.34</v>
      </c>
      <c r="V1458" s="131">
        <v>948.99999999999989</v>
      </c>
      <c r="W1458">
        <v>148</v>
      </c>
      <c r="X1458" s="151" t="s">
        <v>1644</v>
      </c>
      <c r="Y1458" s="135" t="s">
        <v>55</v>
      </c>
      <c r="Z1458" s="307">
        <v>208</v>
      </c>
      <c r="AB1458" t="str">
        <f>IF(Table1[[#This Row],[TIPO2]]="costo", VLOOKUP(Table1[[#This Row],[PARTIDA PRESUPUESTAL]],'Cost Report'!G:G,1,0),"Balance")</f>
        <v>2594-003</v>
      </c>
      <c r="AC1458" s="118"/>
      <c r="AD1458" s="159">
        <f>+Table1[[#This Row],[SUBTOTAL]]+Table1[[#This Row],[IVA]]-Table1[[#This Row],[RET IVA]]-Table1[[#This Row],[RET ISR]]-Table1[[#This Row],[TOTAL]]</f>
        <v>0</v>
      </c>
      <c r="AE1458" s="150"/>
      <c r="AF1458" s="151"/>
      <c r="AG1458" s="126" t="s">
        <v>3420</v>
      </c>
      <c r="AH1458" s="115"/>
      <c r="AK1458" s="306" t="str">
        <f>IF(ISNUMBER(Table1[[#This Row],[FECHA DE RECIBIDO]]), Table1[[#This Row],[FECHA DE RECIBIDO]]-DATE(2023,8,30), "")</f>
        <v/>
      </c>
    </row>
    <row r="1459" spans="1:37" ht="16.05" customHeight="1">
      <c r="A1459" s="152" t="s">
        <v>3372</v>
      </c>
      <c r="B1459" s="153">
        <v>488</v>
      </c>
      <c r="C1459" s="126" t="s">
        <v>2566</v>
      </c>
      <c r="D1459">
        <v>906</v>
      </c>
      <c r="E1459" s="126" t="s">
        <v>1605</v>
      </c>
      <c r="F1459" s="125" t="s">
        <v>1607</v>
      </c>
      <c r="G1459" s="125" t="s">
        <v>134</v>
      </c>
      <c r="H1459">
        <v>301</v>
      </c>
      <c r="I1459" s="125" t="s">
        <v>1546</v>
      </c>
      <c r="J1459" s="308" t="s">
        <v>214</v>
      </c>
      <c r="K1459" s="127" t="s">
        <v>3348</v>
      </c>
      <c r="L1459" s="153" t="s">
        <v>1579</v>
      </c>
      <c r="M1459">
        <v>406</v>
      </c>
      <c r="N1459" s="123">
        <v>17</v>
      </c>
      <c r="O1459">
        <v>914</v>
      </c>
      <c r="P1459" s="132" t="s">
        <v>77</v>
      </c>
      <c r="Q1459" s="132">
        <v>150.86000000000001</v>
      </c>
      <c r="R1459" s="132">
        <v>24.14</v>
      </c>
      <c r="S1459" s="132"/>
      <c r="T1459" s="156"/>
      <c r="U1459" s="132"/>
      <c r="V1459" s="132">
        <v>175</v>
      </c>
      <c r="W1459">
        <v>148</v>
      </c>
      <c r="X1459" s="153" t="s">
        <v>1644</v>
      </c>
      <c r="Y1459" s="124" t="s">
        <v>55</v>
      </c>
      <c r="Z1459" s="308">
        <v>210</v>
      </c>
      <c r="AB1459" t="str">
        <f>IF(Table1[[#This Row],[TIPO2]]="costo", VLOOKUP(Table1[[#This Row],[PARTIDA PRESUPUESTAL]],'Cost Report'!G:G,1,0),"Balance")</f>
        <v>2594-003</v>
      </c>
      <c r="AC1459" s="118"/>
      <c r="AD1459" s="159">
        <f>+Table1[[#This Row],[SUBTOTAL]]+Table1[[#This Row],[IVA]]-Table1[[#This Row],[RET IVA]]-Table1[[#This Row],[RET ISR]]-Table1[[#This Row],[TOTAL]]</f>
        <v>0</v>
      </c>
      <c r="AE1459" s="152"/>
      <c r="AF1459" s="153"/>
      <c r="AG1459" s="126" t="s">
        <v>3420</v>
      </c>
      <c r="AH1459" s="115"/>
      <c r="AK1459" s="306" t="str">
        <f>IF(ISNUMBER(Table1[[#This Row],[FECHA DE RECIBIDO]]), Table1[[#This Row],[FECHA DE RECIBIDO]]-DATE(2023,8,30), "")</f>
        <v/>
      </c>
    </row>
    <row r="1460" spans="1:37" ht="16.05" customHeight="1">
      <c r="A1460" s="150" t="s">
        <v>3372</v>
      </c>
      <c r="B1460" s="151">
        <v>488</v>
      </c>
      <c r="C1460" s="126" t="s">
        <v>2566</v>
      </c>
      <c r="D1460">
        <v>907</v>
      </c>
      <c r="E1460" s="126" t="s">
        <v>1596</v>
      </c>
      <c r="F1460" s="122" t="s">
        <v>1602</v>
      </c>
      <c r="G1460" s="122" t="s">
        <v>134</v>
      </c>
      <c r="H1460">
        <v>302</v>
      </c>
      <c r="I1460" s="122" t="s">
        <v>1546</v>
      </c>
      <c r="J1460" s="307" t="s">
        <v>214</v>
      </c>
      <c r="K1460" s="127" t="s">
        <v>3348</v>
      </c>
      <c r="L1460" s="151" t="s">
        <v>1579</v>
      </c>
      <c r="M1460">
        <v>407</v>
      </c>
      <c r="N1460" s="123">
        <v>17</v>
      </c>
      <c r="O1460">
        <v>915</v>
      </c>
      <c r="P1460" s="132" t="s">
        <v>77</v>
      </c>
      <c r="Q1460" s="131">
        <v>100</v>
      </c>
      <c r="R1460" s="131">
        <v>16</v>
      </c>
      <c r="S1460" s="131"/>
      <c r="T1460" s="155"/>
      <c r="U1460" s="131"/>
      <c r="V1460" s="131">
        <v>116</v>
      </c>
      <c r="W1460">
        <v>148</v>
      </c>
      <c r="X1460" s="151" t="s">
        <v>1644</v>
      </c>
      <c r="Y1460" s="135" t="s">
        <v>55</v>
      </c>
      <c r="Z1460" s="307" t="s">
        <v>214</v>
      </c>
      <c r="AB1460" t="str">
        <f>IF(Table1[[#This Row],[TIPO2]]="costo", VLOOKUP(Table1[[#This Row],[PARTIDA PRESUPUESTAL]],'Cost Report'!G:G,1,0),"Balance")</f>
        <v>2594-003</v>
      </c>
      <c r="AC1460" s="118"/>
      <c r="AD1460" s="159">
        <f>+Table1[[#This Row],[SUBTOTAL]]+Table1[[#This Row],[IVA]]-Table1[[#This Row],[RET IVA]]-Table1[[#This Row],[RET ISR]]-Table1[[#This Row],[TOTAL]]</f>
        <v>0</v>
      </c>
      <c r="AE1460" s="150"/>
      <c r="AF1460" s="151"/>
      <c r="AG1460" s="126" t="s">
        <v>3420</v>
      </c>
      <c r="AH1460" s="115"/>
      <c r="AK1460" s="306" t="str">
        <f>IF(ISNUMBER(Table1[[#This Row],[FECHA DE RECIBIDO]]), Table1[[#This Row],[FECHA DE RECIBIDO]]-DATE(2023,8,30), "")</f>
        <v/>
      </c>
    </row>
    <row r="1461" spans="1:37" ht="16.05" customHeight="1">
      <c r="A1461" s="152" t="s">
        <v>3372</v>
      </c>
      <c r="B1461" s="153">
        <v>488</v>
      </c>
      <c r="C1461" s="126" t="s">
        <v>2565</v>
      </c>
      <c r="D1461">
        <v>908</v>
      </c>
      <c r="E1461" s="126" t="s">
        <v>3354</v>
      </c>
      <c r="F1461" s="125" t="s">
        <v>1607</v>
      </c>
      <c r="G1461" s="125" t="s">
        <v>134</v>
      </c>
      <c r="H1461">
        <v>303</v>
      </c>
      <c r="I1461" s="125" t="s">
        <v>1546</v>
      </c>
      <c r="J1461" s="308" t="s">
        <v>214</v>
      </c>
      <c r="K1461" s="127" t="s">
        <v>3348</v>
      </c>
      <c r="L1461" s="153" t="s">
        <v>1579</v>
      </c>
      <c r="M1461">
        <v>408</v>
      </c>
      <c r="N1461" s="123">
        <v>17</v>
      </c>
      <c r="O1461">
        <v>916</v>
      </c>
      <c r="P1461" s="132" t="s">
        <v>77</v>
      </c>
      <c r="Q1461" s="132">
        <v>163.72999999999999</v>
      </c>
      <c r="R1461" s="132">
        <v>26.2</v>
      </c>
      <c r="S1461" s="132"/>
      <c r="T1461" s="156"/>
      <c r="U1461" s="132"/>
      <c r="V1461" s="132">
        <v>189.92999999999998</v>
      </c>
      <c r="W1461">
        <v>148</v>
      </c>
      <c r="X1461" s="153" t="s">
        <v>1644</v>
      </c>
      <c r="Y1461" s="124" t="s">
        <v>55</v>
      </c>
      <c r="Z1461" s="308" t="s">
        <v>214</v>
      </c>
      <c r="AB1461" t="str">
        <f>IF(Table1[[#This Row],[TIPO2]]="costo", VLOOKUP(Table1[[#This Row],[PARTIDA PRESUPUESTAL]],'Cost Report'!G:G,1,0),"Balance")</f>
        <v>2585-003</v>
      </c>
      <c r="AC1461" s="118"/>
      <c r="AD1461" s="159">
        <f>+Table1[[#This Row],[SUBTOTAL]]+Table1[[#This Row],[IVA]]-Table1[[#This Row],[RET IVA]]-Table1[[#This Row],[RET ISR]]-Table1[[#This Row],[TOTAL]]</f>
        <v>0</v>
      </c>
      <c r="AE1461" s="152"/>
      <c r="AF1461" s="153"/>
      <c r="AG1461" s="126" t="s">
        <v>3420</v>
      </c>
      <c r="AH1461" s="115"/>
      <c r="AK1461" s="306" t="str">
        <f>IF(ISNUMBER(Table1[[#This Row],[FECHA DE RECIBIDO]]), Table1[[#This Row],[FECHA DE RECIBIDO]]-DATE(2023,8,30), "")</f>
        <v/>
      </c>
    </row>
    <row r="1462" spans="1:37" ht="16.05" customHeight="1">
      <c r="A1462" s="150" t="s">
        <v>3372</v>
      </c>
      <c r="B1462" s="151">
        <v>488</v>
      </c>
      <c r="C1462" s="126" t="s">
        <v>2566</v>
      </c>
      <c r="D1462">
        <v>909</v>
      </c>
      <c r="E1462" s="126" t="s">
        <v>1596</v>
      </c>
      <c r="F1462" s="122" t="s">
        <v>1607</v>
      </c>
      <c r="G1462" s="122" t="s">
        <v>134</v>
      </c>
      <c r="H1462">
        <v>304</v>
      </c>
      <c r="I1462" s="122" t="s">
        <v>1546</v>
      </c>
      <c r="J1462" s="307" t="s">
        <v>214</v>
      </c>
      <c r="K1462" s="127" t="s">
        <v>3348</v>
      </c>
      <c r="L1462" s="151" t="s">
        <v>1579</v>
      </c>
      <c r="M1462">
        <v>409</v>
      </c>
      <c r="N1462" s="123">
        <v>17</v>
      </c>
      <c r="O1462">
        <v>917</v>
      </c>
      <c r="P1462" s="132" t="s">
        <v>77</v>
      </c>
      <c r="Q1462" s="131">
        <v>462.93</v>
      </c>
      <c r="R1462" s="131">
        <v>74.069999999999993</v>
      </c>
      <c r="S1462" s="131"/>
      <c r="T1462" s="155"/>
      <c r="U1462" s="131"/>
      <c r="V1462" s="131">
        <v>537</v>
      </c>
      <c r="W1462">
        <v>148</v>
      </c>
      <c r="X1462" s="151" t="s">
        <v>1644</v>
      </c>
      <c r="Y1462" s="135" t="s">
        <v>55</v>
      </c>
      <c r="Z1462" s="307" t="s">
        <v>214</v>
      </c>
      <c r="AB1462" t="str">
        <f>IF(Table1[[#This Row],[TIPO2]]="costo", VLOOKUP(Table1[[#This Row],[PARTIDA PRESUPUESTAL]],'Cost Report'!G:G,1,0),"Balance")</f>
        <v>2594-003</v>
      </c>
      <c r="AC1462" s="118"/>
      <c r="AD1462" s="159">
        <f>+Table1[[#This Row],[SUBTOTAL]]+Table1[[#This Row],[IVA]]-Table1[[#This Row],[RET IVA]]-Table1[[#This Row],[RET ISR]]-Table1[[#This Row],[TOTAL]]</f>
        <v>0</v>
      </c>
      <c r="AE1462" s="150"/>
      <c r="AF1462" s="151"/>
      <c r="AG1462" s="126" t="s">
        <v>3420</v>
      </c>
      <c r="AH1462" s="115"/>
      <c r="AK1462" s="306" t="str">
        <f>IF(ISNUMBER(Table1[[#This Row],[FECHA DE RECIBIDO]]), Table1[[#This Row],[FECHA DE RECIBIDO]]-DATE(2023,8,30), "")</f>
        <v/>
      </c>
    </row>
    <row r="1463" spans="1:37" ht="16.05" customHeight="1">
      <c r="A1463" s="152" t="s">
        <v>3372</v>
      </c>
      <c r="B1463" s="153">
        <v>488</v>
      </c>
      <c r="C1463" s="126" t="s">
        <v>2566</v>
      </c>
      <c r="D1463">
        <v>910</v>
      </c>
      <c r="E1463" s="126" t="s">
        <v>3373</v>
      </c>
      <c r="F1463" s="125" t="s">
        <v>1593</v>
      </c>
      <c r="G1463" s="125" t="s">
        <v>134</v>
      </c>
      <c r="H1463">
        <v>305</v>
      </c>
      <c r="I1463" s="125" t="s">
        <v>1546</v>
      </c>
      <c r="J1463" s="308" t="s">
        <v>214</v>
      </c>
      <c r="K1463" s="127" t="s">
        <v>3348</v>
      </c>
      <c r="L1463" s="153" t="s">
        <v>1579</v>
      </c>
      <c r="M1463">
        <v>410</v>
      </c>
      <c r="N1463" s="123">
        <v>17</v>
      </c>
      <c r="O1463">
        <v>918</v>
      </c>
      <c r="P1463" s="132" t="s">
        <v>77</v>
      </c>
      <c r="Q1463" s="132">
        <v>2169.9299999999998</v>
      </c>
      <c r="R1463" s="132">
        <v>347.19</v>
      </c>
      <c r="S1463" s="132"/>
      <c r="T1463" s="156"/>
      <c r="U1463" s="132">
        <v>27.12</v>
      </c>
      <c r="V1463" s="132">
        <v>2490</v>
      </c>
      <c r="W1463">
        <v>148</v>
      </c>
      <c r="X1463" s="153" t="s">
        <v>1644</v>
      </c>
      <c r="Y1463" s="124" t="s">
        <v>55</v>
      </c>
      <c r="Z1463" s="308" t="s">
        <v>214</v>
      </c>
      <c r="AB1463" t="str">
        <f>IF(Table1[[#This Row],[TIPO2]]="costo", VLOOKUP(Table1[[#This Row],[PARTIDA PRESUPUESTAL]],'Cost Report'!G:G,1,0),"Balance")</f>
        <v>2594-003</v>
      </c>
      <c r="AC1463" s="118"/>
      <c r="AD1463" s="159">
        <f>+Table1[[#This Row],[SUBTOTAL]]+Table1[[#This Row],[IVA]]-Table1[[#This Row],[RET IVA]]-Table1[[#This Row],[RET ISR]]-Table1[[#This Row],[TOTAL]]</f>
        <v>0</v>
      </c>
      <c r="AE1463" s="152"/>
      <c r="AF1463" s="153"/>
      <c r="AG1463" s="126" t="s">
        <v>3420</v>
      </c>
      <c r="AH1463" s="115"/>
      <c r="AK1463" s="306" t="str">
        <f>IF(ISNUMBER(Table1[[#This Row],[FECHA DE RECIBIDO]]), Table1[[#This Row],[FECHA DE RECIBIDO]]-DATE(2023,8,30), "")</f>
        <v/>
      </c>
    </row>
    <row r="1464" spans="1:37" ht="16.05" customHeight="1">
      <c r="A1464" s="150" t="s">
        <v>3374</v>
      </c>
      <c r="B1464" s="151">
        <v>489</v>
      </c>
      <c r="C1464" s="126" t="s">
        <v>1509</v>
      </c>
      <c r="D1464">
        <v>911</v>
      </c>
      <c r="E1464" s="126" t="s">
        <v>2008</v>
      </c>
      <c r="F1464" s="122" t="s">
        <v>1607</v>
      </c>
      <c r="G1464" s="122" t="s">
        <v>134</v>
      </c>
      <c r="H1464">
        <v>234</v>
      </c>
      <c r="I1464" s="122" t="s">
        <v>1546</v>
      </c>
      <c r="J1464" s="307" t="s">
        <v>214</v>
      </c>
      <c r="K1464" s="127" t="s">
        <v>3348</v>
      </c>
      <c r="L1464" s="151" t="s">
        <v>1579</v>
      </c>
      <c r="M1464">
        <v>306</v>
      </c>
      <c r="N1464" s="123">
        <v>17</v>
      </c>
      <c r="O1464">
        <v>919</v>
      </c>
      <c r="P1464" s="132" t="s">
        <v>77</v>
      </c>
      <c r="Q1464" s="131">
        <v>775</v>
      </c>
      <c r="R1464" s="131">
        <v>124</v>
      </c>
      <c r="S1464" s="131"/>
      <c r="T1464" s="155"/>
      <c r="U1464" s="131"/>
      <c r="V1464" s="131">
        <v>899</v>
      </c>
      <c r="W1464">
        <v>104</v>
      </c>
      <c r="X1464" s="151" t="s">
        <v>1644</v>
      </c>
      <c r="Y1464" s="135" t="s">
        <v>55</v>
      </c>
      <c r="Z1464" s="307">
        <v>215</v>
      </c>
      <c r="AB1464" t="str">
        <f>IF(Table1[[#This Row],[TIPO2]]="costo", VLOOKUP(Table1[[#This Row],[PARTIDA PRESUPUESTAL]],'Cost Report'!G:G,1,0),"Balance")</f>
        <v>2494-011</v>
      </c>
      <c r="AC1464" s="118"/>
      <c r="AD1464" s="159">
        <f>+Table1[[#This Row],[SUBTOTAL]]+Table1[[#This Row],[IVA]]-Table1[[#This Row],[RET IVA]]-Table1[[#This Row],[RET ISR]]-Table1[[#This Row],[TOTAL]]</f>
        <v>0</v>
      </c>
      <c r="AE1464" s="150"/>
      <c r="AF1464" s="151"/>
      <c r="AG1464" s="126" t="s">
        <v>3420</v>
      </c>
      <c r="AH1464" s="115"/>
      <c r="AK1464" s="306" t="str">
        <f>IF(ISNUMBER(Table1[[#This Row],[FECHA DE RECIBIDO]]), Table1[[#This Row],[FECHA DE RECIBIDO]]-DATE(2023,8,30), "")</f>
        <v/>
      </c>
    </row>
    <row r="1465" spans="1:37" ht="16.05" customHeight="1">
      <c r="A1465" s="152" t="s">
        <v>3374</v>
      </c>
      <c r="B1465" s="153">
        <v>489</v>
      </c>
      <c r="C1465" s="126" t="s">
        <v>2455</v>
      </c>
      <c r="D1465">
        <v>912</v>
      </c>
      <c r="E1465" s="126" t="s">
        <v>2075</v>
      </c>
      <c r="F1465" s="125" t="s">
        <v>2062</v>
      </c>
      <c r="G1465" s="125" t="s">
        <v>134</v>
      </c>
      <c r="H1465">
        <v>146</v>
      </c>
      <c r="I1465" s="125" t="s">
        <v>1546</v>
      </c>
      <c r="J1465" s="308" t="s">
        <v>214</v>
      </c>
      <c r="K1465" s="127" t="s">
        <v>3348</v>
      </c>
      <c r="L1465" s="153" t="s">
        <v>1579</v>
      </c>
      <c r="M1465">
        <v>192</v>
      </c>
      <c r="N1465" s="123">
        <v>17</v>
      </c>
      <c r="O1465">
        <v>920</v>
      </c>
      <c r="P1465" s="132" t="s">
        <v>77</v>
      </c>
      <c r="Q1465" s="132">
        <v>12.93</v>
      </c>
      <c r="R1465" s="132">
        <v>2.0699999999999998</v>
      </c>
      <c r="S1465" s="132"/>
      <c r="T1465" s="156"/>
      <c r="U1465" s="132"/>
      <c r="V1465" s="132">
        <v>15</v>
      </c>
      <c r="W1465">
        <v>104</v>
      </c>
      <c r="X1465" s="153" t="s">
        <v>1644</v>
      </c>
      <c r="Y1465" s="124" t="s">
        <v>55</v>
      </c>
      <c r="Z1465" s="308" t="s">
        <v>214</v>
      </c>
      <c r="AB1465" t="str">
        <f>IF(Table1[[#This Row],[TIPO2]]="costo", VLOOKUP(Table1[[#This Row],[PARTIDA PRESUPUESTAL]],'Cost Report'!G:G,1,0),"Balance")</f>
        <v>2285-003</v>
      </c>
      <c r="AC1465" s="118"/>
      <c r="AD1465" s="159">
        <f>+Table1[[#This Row],[SUBTOTAL]]+Table1[[#This Row],[IVA]]-Table1[[#This Row],[RET IVA]]-Table1[[#This Row],[RET ISR]]-Table1[[#This Row],[TOTAL]]</f>
        <v>0</v>
      </c>
      <c r="AE1465" s="152"/>
      <c r="AF1465" s="153"/>
      <c r="AG1465" s="126" t="s">
        <v>3420</v>
      </c>
      <c r="AH1465" s="115"/>
      <c r="AK1465" s="306" t="str">
        <f>IF(ISNUMBER(Table1[[#This Row],[FECHA DE RECIBIDO]]), Table1[[#This Row],[FECHA DE RECIBIDO]]-DATE(2023,8,30), "")</f>
        <v/>
      </c>
    </row>
    <row r="1466" spans="1:37" ht="16.05" customHeight="1">
      <c r="A1466" s="150" t="s">
        <v>3375</v>
      </c>
      <c r="B1466" s="151">
        <v>490</v>
      </c>
      <c r="C1466" s="126" t="s">
        <v>2566</v>
      </c>
      <c r="D1466">
        <v>913</v>
      </c>
      <c r="E1466" s="126" t="s">
        <v>1992</v>
      </c>
      <c r="F1466" s="122" t="s">
        <v>1607</v>
      </c>
      <c r="G1466" s="122" t="s">
        <v>134</v>
      </c>
      <c r="H1466">
        <v>306</v>
      </c>
      <c r="I1466" s="122" t="s">
        <v>1546</v>
      </c>
      <c r="J1466" s="307" t="s">
        <v>214</v>
      </c>
      <c r="K1466" s="127" t="s">
        <v>3348</v>
      </c>
      <c r="L1466" s="151" t="s">
        <v>1579</v>
      </c>
      <c r="M1466">
        <v>411</v>
      </c>
      <c r="N1466" s="123">
        <v>17</v>
      </c>
      <c r="O1466">
        <v>921</v>
      </c>
      <c r="P1466" s="132" t="s">
        <v>77</v>
      </c>
      <c r="Q1466" s="131">
        <v>976.29</v>
      </c>
      <c r="R1466" s="131">
        <v>156.21</v>
      </c>
      <c r="S1466" s="131"/>
      <c r="T1466" s="155"/>
      <c r="U1466" s="131"/>
      <c r="V1466" s="131">
        <v>1132.5</v>
      </c>
      <c r="W1466">
        <v>147</v>
      </c>
      <c r="X1466" s="151" t="s">
        <v>1644</v>
      </c>
      <c r="Y1466" s="135" t="s">
        <v>55</v>
      </c>
      <c r="Z1466" s="307">
        <v>210</v>
      </c>
      <c r="AB1466" t="str">
        <f>IF(Table1[[#This Row],[TIPO2]]="costo", VLOOKUP(Table1[[#This Row],[PARTIDA PRESUPUESTAL]],'Cost Report'!G:G,1,0),"Balance")</f>
        <v>2594-003</v>
      </c>
      <c r="AC1466" s="118"/>
      <c r="AD1466" s="159">
        <f>+Table1[[#This Row],[SUBTOTAL]]+Table1[[#This Row],[IVA]]-Table1[[#This Row],[RET IVA]]-Table1[[#This Row],[RET ISR]]-Table1[[#This Row],[TOTAL]]</f>
        <v>0</v>
      </c>
      <c r="AE1466" s="150"/>
      <c r="AF1466" s="151"/>
      <c r="AG1466" s="126" t="s">
        <v>3420</v>
      </c>
      <c r="AH1466" s="115"/>
      <c r="AK1466" s="306" t="str">
        <f>IF(ISNUMBER(Table1[[#This Row],[FECHA DE RECIBIDO]]), Table1[[#This Row],[FECHA DE RECIBIDO]]-DATE(2023,8,30), "")</f>
        <v/>
      </c>
    </row>
    <row r="1467" spans="1:37" ht="16.05" customHeight="1">
      <c r="A1467" s="152" t="s">
        <v>3375</v>
      </c>
      <c r="B1467" s="153">
        <v>490</v>
      </c>
      <c r="C1467" s="126" t="s">
        <v>2566</v>
      </c>
      <c r="D1467">
        <v>914</v>
      </c>
      <c r="E1467" s="126" t="s">
        <v>1596</v>
      </c>
      <c r="F1467" s="125" t="s">
        <v>1589</v>
      </c>
      <c r="G1467" s="125" t="s">
        <v>134</v>
      </c>
      <c r="H1467">
        <v>307</v>
      </c>
      <c r="I1467" s="125" t="s">
        <v>1546</v>
      </c>
      <c r="J1467" s="308" t="s">
        <v>214</v>
      </c>
      <c r="K1467" s="127" t="s">
        <v>3348</v>
      </c>
      <c r="L1467" s="153" t="s">
        <v>1579</v>
      </c>
      <c r="M1467">
        <v>412</v>
      </c>
      <c r="N1467" s="123">
        <v>17</v>
      </c>
      <c r="O1467">
        <v>922</v>
      </c>
      <c r="P1467" s="132" t="s">
        <v>77</v>
      </c>
      <c r="Q1467" s="132">
        <v>152.59</v>
      </c>
      <c r="R1467" s="132">
        <v>24.41</v>
      </c>
      <c r="S1467" s="132"/>
      <c r="T1467" s="156"/>
      <c r="U1467" s="132"/>
      <c r="V1467" s="132">
        <v>177</v>
      </c>
      <c r="W1467">
        <v>147</v>
      </c>
      <c r="X1467" s="153" t="s">
        <v>1644</v>
      </c>
      <c r="Y1467" s="124" t="s">
        <v>55</v>
      </c>
      <c r="Z1467" s="308">
        <v>203</v>
      </c>
      <c r="AB1467" t="str">
        <f>IF(Table1[[#This Row],[TIPO2]]="costo", VLOOKUP(Table1[[#This Row],[PARTIDA PRESUPUESTAL]],'Cost Report'!G:G,1,0),"Balance")</f>
        <v>2594-003</v>
      </c>
      <c r="AC1467" s="118"/>
      <c r="AD1467" s="159">
        <f>+Table1[[#This Row],[SUBTOTAL]]+Table1[[#This Row],[IVA]]-Table1[[#This Row],[RET IVA]]-Table1[[#This Row],[RET ISR]]-Table1[[#This Row],[TOTAL]]</f>
        <v>0</v>
      </c>
      <c r="AE1467" s="152"/>
      <c r="AF1467" s="153"/>
      <c r="AG1467" s="126" t="s">
        <v>3420</v>
      </c>
      <c r="AH1467" s="115"/>
      <c r="AK1467" s="306" t="str">
        <f>IF(ISNUMBER(Table1[[#This Row],[FECHA DE RECIBIDO]]), Table1[[#This Row],[FECHA DE RECIBIDO]]-DATE(2023,8,30), "")</f>
        <v/>
      </c>
    </row>
    <row r="1468" spans="1:37" ht="16.05" customHeight="1">
      <c r="A1468" s="150" t="s">
        <v>3375</v>
      </c>
      <c r="B1468" s="151">
        <v>490</v>
      </c>
      <c r="C1468" s="126" t="s">
        <v>2566</v>
      </c>
      <c r="D1468">
        <v>915</v>
      </c>
      <c r="E1468" s="126" t="s">
        <v>3275</v>
      </c>
      <c r="F1468" s="122" t="s">
        <v>1607</v>
      </c>
      <c r="G1468" s="122" t="s">
        <v>134</v>
      </c>
      <c r="H1468">
        <v>57</v>
      </c>
      <c r="I1468" s="122" t="s">
        <v>1546</v>
      </c>
      <c r="J1468" s="307" t="s">
        <v>214</v>
      </c>
      <c r="K1468" s="127" t="s">
        <v>3348</v>
      </c>
      <c r="L1468" s="151" t="s">
        <v>1579</v>
      </c>
      <c r="M1468">
        <v>79</v>
      </c>
      <c r="N1468" s="123">
        <v>17</v>
      </c>
      <c r="O1468">
        <v>923</v>
      </c>
      <c r="P1468" s="132" t="s">
        <v>77</v>
      </c>
      <c r="Q1468" s="131">
        <v>1599.47</v>
      </c>
      <c r="R1468" s="131">
        <v>255.93</v>
      </c>
      <c r="S1468" s="131"/>
      <c r="T1468" s="155"/>
      <c r="U1468" s="131"/>
      <c r="V1468" s="131">
        <v>1855.4</v>
      </c>
      <c r="W1468">
        <v>147</v>
      </c>
      <c r="X1468" s="151" t="s">
        <v>1644</v>
      </c>
      <c r="Y1468" s="135" t="s">
        <v>55</v>
      </c>
      <c r="Z1468" s="307">
        <v>202</v>
      </c>
      <c r="AB1468" t="str">
        <f>IF(Table1[[#This Row],[TIPO2]]="costo", VLOOKUP(Table1[[#This Row],[PARTIDA PRESUPUESTAL]],'Cost Report'!G:G,1,0),"Balance")</f>
        <v>2594-003</v>
      </c>
      <c r="AC1468" s="118"/>
      <c r="AD1468" s="159">
        <f>+Table1[[#This Row],[SUBTOTAL]]+Table1[[#This Row],[IVA]]-Table1[[#This Row],[RET IVA]]-Table1[[#This Row],[RET ISR]]-Table1[[#This Row],[TOTAL]]</f>
        <v>0</v>
      </c>
      <c r="AE1468" s="150"/>
      <c r="AF1468" s="151"/>
      <c r="AG1468" s="126" t="s">
        <v>3420</v>
      </c>
      <c r="AH1468" s="115"/>
      <c r="AK1468" s="306" t="str">
        <f>IF(ISNUMBER(Table1[[#This Row],[FECHA DE RECIBIDO]]), Table1[[#This Row],[FECHA DE RECIBIDO]]-DATE(2023,8,30), "")</f>
        <v/>
      </c>
    </row>
    <row r="1469" spans="1:37" ht="16.05" customHeight="1">
      <c r="A1469" s="152" t="s">
        <v>3375</v>
      </c>
      <c r="B1469" s="153">
        <v>490</v>
      </c>
      <c r="C1469" s="126" t="s">
        <v>2566</v>
      </c>
      <c r="D1469">
        <v>916</v>
      </c>
      <c r="E1469" s="126" t="s">
        <v>3376</v>
      </c>
      <c r="F1469" s="125" t="s">
        <v>1607</v>
      </c>
      <c r="G1469" s="125" t="s">
        <v>134</v>
      </c>
      <c r="H1469">
        <v>308</v>
      </c>
      <c r="I1469" s="125" t="s">
        <v>1546</v>
      </c>
      <c r="J1469" s="308" t="s">
        <v>214</v>
      </c>
      <c r="K1469" s="127" t="s">
        <v>3348</v>
      </c>
      <c r="L1469" s="153" t="s">
        <v>1579</v>
      </c>
      <c r="M1469">
        <v>413</v>
      </c>
      <c r="N1469" s="123">
        <v>17</v>
      </c>
      <c r="O1469">
        <v>924</v>
      </c>
      <c r="P1469" s="132" t="s">
        <v>77</v>
      </c>
      <c r="Q1469" s="132">
        <v>560.34</v>
      </c>
      <c r="R1469" s="132">
        <v>89.66</v>
      </c>
      <c r="S1469" s="132"/>
      <c r="T1469" s="156"/>
      <c r="U1469" s="132"/>
      <c r="V1469" s="132">
        <v>650</v>
      </c>
      <c r="W1469">
        <v>147</v>
      </c>
      <c r="X1469" s="153" t="s">
        <v>1644</v>
      </c>
      <c r="Y1469" s="124" t="s">
        <v>55</v>
      </c>
      <c r="Z1469" s="308">
        <v>209</v>
      </c>
      <c r="AB1469" t="str">
        <f>IF(Table1[[#This Row],[TIPO2]]="costo", VLOOKUP(Table1[[#This Row],[PARTIDA PRESUPUESTAL]],'Cost Report'!G:G,1,0),"Balance")</f>
        <v>2594-003</v>
      </c>
      <c r="AC1469" s="118"/>
      <c r="AD1469" s="159">
        <f>+Table1[[#This Row],[SUBTOTAL]]+Table1[[#This Row],[IVA]]-Table1[[#This Row],[RET IVA]]-Table1[[#This Row],[RET ISR]]-Table1[[#This Row],[TOTAL]]</f>
        <v>0</v>
      </c>
      <c r="AE1469" s="152"/>
      <c r="AF1469" s="153"/>
      <c r="AG1469" s="126" t="s">
        <v>3420</v>
      </c>
      <c r="AH1469" s="115"/>
      <c r="AK1469" s="306" t="str">
        <f>IF(ISNUMBER(Table1[[#This Row],[FECHA DE RECIBIDO]]), Table1[[#This Row],[FECHA DE RECIBIDO]]-DATE(2023,8,30), "")</f>
        <v/>
      </c>
    </row>
    <row r="1470" spans="1:37" ht="16.05" customHeight="1">
      <c r="A1470" s="150" t="s">
        <v>3375</v>
      </c>
      <c r="B1470" s="151">
        <v>490</v>
      </c>
      <c r="C1470" s="126" t="s">
        <v>2566</v>
      </c>
      <c r="D1470">
        <v>917</v>
      </c>
      <c r="E1470" s="126" t="s">
        <v>1645</v>
      </c>
      <c r="F1470" s="122" t="s">
        <v>1607</v>
      </c>
      <c r="G1470" s="122" t="s">
        <v>134</v>
      </c>
      <c r="H1470">
        <v>160</v>
      </c>
      <c r="I1470" s="122" t="s">
        <v>1546</v>
      </c>
      <c r="J1470" s="307" t="s">
        <v>214</v>
      </c>
      <c r="K1470" s="127" t="s">
        <v>3348</v>
      </c>
      <c r="L1470" s="151" t="s">
        <v>1579</v>
      </c>
      <c r="M1470">
        <v>213</v>
      </c>
      <c r="N1470" s="123">
        <v>17</v>
      </c>
      <c r="O1470">
        <v>925</v>
      </c>
      <c r="P1470" s="132" t="s">
        <v>77</v>
      </c>
      <c r="Q1470" s="131">
        <v>1025.1199999999999</v>
      </c>
      <c r="R1470" s="131">
        <v>164.03</v>
      </c>
      <c r="S1470" s="131"/>
      <c r="T1470" s="155"/>
      <c r="U1470" s="131"/>
      <c r="V1470" s="131">
        <v>1189.1499999999999</v>
      </c>
      <c r="W1470">
        <v>147</v>
      </c>
      <c r="X1470" s="151" t="s">
        <v>1644</v>
      </c>
      <c r="Y1470" s="135" t="s">
        <v>55</v>
      </c>
      <c r="Z1470" s="307">
        <v>186</v>
      </c>
      <c r="AB1470" t="str">
        <f>IF(Table1[[#This Row],[TIPO2]]="costo", VLOOKUP(Table1[[#This Row],[PARTIDA PRESUPUESTAL]],'Cost Report'!G:G,1,0),"Balance")</f>
        <v>2594-003</v>
      </c>
      <c r="AC1470" s="118"/>
      <c r="AD1470" s="159">
        <f>+Table1[[#This Row],[SUBTOTAL]]+Table1[[#This Row],[IVA]]-Table1[[#This Row],[RET IVA]]-Table1[[#This Row],[RET ISR]]-Table1[[#This Row],[TOTAL]]</f>
        <v>0</v>
      </c>
      <c r="AE1470" s="150"/>
      <c r="AF1470" s="151"/>
      <c r="AG1470" s="126" t="s">
        <v>3420</v>
      </c>
      <c r="AH1470" s="115"/>
      <c r="AK1470" s="306" t="str">
        <f>IF(ISNUMBER(Table1[[#This Row],[FECHA DE RECIBIDO]]), Table1[[#This Row],[FECHA DE RECIBIDO]]-DATE(2023,8,30), "")</f>
        <v/>
      </c>
    </row>
    <row r="1471" spans="1:37" ht="16.05" customHeight="1">
      <c r="A1471" s="152" t="s">
        <v>3375</v>
      </c>
      <c r="B1471" s="153">
        <v>490</v>
      </c>
      <c r="C1471" s="126" t="s">
        <v>2566</v>
      </c>
      <c r="D1471">
        <v>918</v>
      </c>
      <c r="E1471" s="126" t="s">
        <v>1603</v>
      </c>
      <c r="F1471" s="125" t="s">
        <v>1589</v>
      </c>
      <c r="G1471" s="125" t="s">
        <v>134</v>
      </c>
      <c r="H1471">
        <v>309</v>
      </c>
      <c r="I1471" s="125" t="s">
        <v>1546</v>
      </c>
      <c r="J1471" s="308" t="s">
        <v>214</v>
      </c>
      <c r="K1471" s="127" t="s">
        <v>3348</v>
      </c>
      <c r="L1471" s="153" t="s">
        <v>1579</v>
      </c>
      <c r="M1471">
        <v>414</v>
      </c>
      <c r="N1471" s="123">
        <v>17</v>
      </c>
      <c r="O1471">
        <v>926</v>
      </c>
      <c r="P1471" s="132" t="s">
        <v>77</v>
      </c>
      <c r="Q1471" s="132">
        <v>515.52</v>
      </c>
      <c r="R1471" s="132">
        <v>82.48</v>
      </c>
      <c r="S1471" s="132"/>
      <c r="T1471" s="156"/>
      <c r="U1471" s="132"/>
      <c r="V1471" s="132">
        <v>598</v>
      </c>
      <c r="W1471">
        <v>147</v>
      </c>
      <c r="X1471" s="153" t="s">
        <v>1644</v>
      </c>
      <c r="Y1471" s="124" t="s">
        <v>55</v>
      </c>
      <c r="Z1471" s="308">
        <v>209</v>
      </c>
      <c r="AB1471" t="str">
        <f>IF(Table1[[#This Row],[TIPO2]]="costo", VLOOKUP(Table1[[#This Row],[PARTIDA PRESUPUESTAL]],'Cost Report'!G:G,1,0),"Balance")</f>
        <v>2594-003</v>
      </c>
      <c r="AC1471" s="118"/>
      <c r="AD1471" s="159">
        <f>+Table1[[#This Row],[SUBTOTAL]]+Table1[[#This Row],[IVA]]-Table1[[#This Row],[RET IVA]]-Table1[[#This Row],[RET ISR]]-Table1[[#This Row],[TOTAL]]</f>
        <v>0</v>
      </c>
      <c r="AE1471" s="152"/>
      <c r="AF1471" s="153"/>
      <c r="AG1471" s="126" t="s">
        <v>3420</v>
      </c>
      <c r="AH1471" s="115"/>
      <c r="AK1471" s="306" t="str">
        <f>IF(ISNUMBER(Table1[[#This Row],[FECHA DE RECIBIDO]]), Table1[[#This Row],[FECHA DE RECIBIDO]]-DATE(2023,8,30), "")</f>
        <v/>
      </c>
    </row>
    <row r="1472" spans="1:37" ht="16.05" customHeight="1">
      <c r="A1472" s="150" t="s">
        <v>3375</v>
      </c>
      <c r="B1472" s="151">
        <v>490</v>
      </c>
      <c r="C1472" s="126" t="s">
        <v>2566</v>
      </c>
      <c r="D1472">
        <v>919</v>
      </c>
      <c r="E1472" s="126" t="s">
        <v>3292</v>
      </c>
      <c r="F1472" s="122" t="s">
        <v>1607</v>
      </c>
      <c r="G1472" s="122" t="s">
        <v>134</v>
      </c>
      <c r="H1472">
        <v>57</v>
      </c>
      <c r="I1472" s="122" t="s">
        <v>1546</v>
      </c>
      <c r="J1472" s="307" t="s">
        <v>214</v>
      </c>
      <c r="K1472" s="127" t="s">
        <v>3348</v>
      </c>
      <c r="L1472" s="151" t="s">
        <v>1579</v>
      </c>
      <c r="M1472">
        <v>79</v>
      </c>
      <c r="N1472" s="123">
        <v>17</v>
      </c>
      <c r="O1472">
        <v>927</v>
      </c>
      <c r="P1472" s="132" t="s">
        <v>77</v>
      </c>
      <c r="Q1472" s="131">
        <v>285.33999999999997</v>
      </c>
      <c r="R1472" s="131">
        <v>45.66</v>
      </c>
      <c r="S1472" s="131"/>
      <c r="T1472" s="155"/>
      <c r="U1472" s="131"/>
      <c r="V1472" s="131">
        <v>331</v>
      </c>
      <c r="W1472">
        <v>147</v>
      </c>
      <c r="X1472" s="151" t="s">
        <v>1644</v>
      </c>
      <c r="Y1472" s="135" t="s">
        <v>55</v>
      </c>
      <c r="Z1472" s="307">
        <v>210</v>
      </c>
      <c r="AB1472" t="str">
        <f>IF(Table1[[#This Row],[TIPO2]]="costo", VLOOKUP(Table1[[#This Row],[PARTIDA PRESUPUESTAL]],'Cost Report'!G:G,1,0),"Balance")</f>
        <v>2594-003</v>
      </c>
      <c r="AC1472" s="118"/>
      <c r="AD1472" s="159">
        <f>+Table1[[#This Row],[SUBTOTAL]]+Table1[[#This Row],[IVA]]-Table1[[#This Row],[RET IVA]]-Table1[[#This Row],[RET ISR]]-Table1[[#This Row],[TOTAL]]</f>
        <v>0</v>
      </c>
      <c r="AE1472" s="150"/>
      <c r="AF1472" s="151"/>
      <c r="AG1472" s="126" t="s">
        <v>3420</v>
      </c>
      <c r="AH1472" s="115"/>
      <c r="AK1472" s="306" t="str">
        <f>IF(ISNUMBER(Table1[[#This Row],[FECHA DE RECIBIDO]]), Table1[[#This Row],[FECHA DE RECIBIDO]]-DATE(2023,8,30), "")</f>
        <v/>
      </c>
    </row>
    <row r="1473" spans="1:37" ht="16.05" customHeight="1">
      <c r="A1473" s="152" t="s">
        <v>3375</v>
      </c>
      <c r="B1473" s="153">
        <v>490</v>
      </c>
      <c r="C1473" s="126" t="s">
        <v>2566</v>
      </c>
      <c r="D1473">
        <v>920</v>
      </c>
      <c r="E1473" s="126" t="s">
        <v>3292</v>
      </c>
      <c r="F1473" s="125" t="s">
        <v>1607</v>
      </c>
      <c r="G1473" s="125" t="s">
        <v>134</v>
      </c>
      <c r="H1473">
        <v>310</v>
      </c>
      <c r="I1473" s="125" t="s">
        <v>1546</v>
      </c>
      <c r="J1473" s="308" t="s">
        <v>214</v>
      </c>
      <c r="K1473" s="127" t="s">
        <v>3348</v>
      </c>
      <c r="L1473" s="153" t="s">
        <v>1579</v>
      </c>
      <c r="M1473">
        <v>415</v>
      </c>
      <c r="N1473" s="123">
        <v>17</v>
      </c>
      <c r="O1473">
        <v>928</v>
      </c>
      <c r="P1473" s="132" t="s">
        <v>77</v>
      </c>
      <c r="Q1473" s="132">
        <v>300.86</v>
      </c>
      <c r="R1473" s="132">
        <v>48.14</v>
      </c>
      <c r="S1473" s="132"/>
      <c r="T1473" s="156"/>
      <c r="U1473" s="132"/>
      <c r="V1473" s="132">
        <v>349</v>
      </c>
      <c r="W1473">
        <v>147</v>
      </c>
      <c r="X1473" s="153" t="s">
        <v>1644</v>
      </c>
      <c r="Y1473" s="124" t="s">
        <v>55</v>
      </c>
      <c r="Z1473" s="308">
        <v>213</v>
      </c>
      <c r="AB1473" t="str">
        <f>IF(Table1[[#This Row],[TIPO2]]="costo", VLOOKUP(Table1[[#This Row],[PARTIDA PRESUPUESTAL]],'Cost Report'!G:G,1,0),"Balance")</f>
        <v>2594-003</v>
      </c>
      <c r="AC1473" s="118"/>
      <c r="AD1473" s="159">
        <f>+Table1[[#This Row],[SUBTOTAL]]+Table1[[#This Row],[IVA]]-Table1[[#This Row],[RET IVA]]-Table1[[#This Row],[RET ISR]]-Table1[[#This Row],[TOTAL]]</f>
        <v>0</v>
      </c>
      <c r="AE1473" s="152"/>
      <c r="AF1473" s="153"/>
      <c r="AG1473" s="126" t="s">
        <v>3420</v>
      </c>
      <c r="AH1473" s="115"/>
      <c r="AK1473" s="306" t="str">
        <f>IF(ISNUMBER(Table1[[#This Row],[FECHA DE RECIBIDO]]), Table1[[#This Row],[FECHA DE RECIBIDO]]-DATE(2023,8,30), "")</f>
        <v/>
      </c>
    </row>
    <row r="1474" spans="1:37" ht="16.05" customHeight="1">
      <c r="A1474" s="150" t="s">
        <v>3375</v>
      </c>
      <c r="B1474" s="151">
        <v>490</v>
      </c>
      <c r="C1474" s="126" t="s">
        <v>2566</v>
      </c>
      <c r="D1474">
        <v>921</v>
      </c>
      <c r="E1474" s="126" t="s">
        <v>3292</v>
      </c>
      <c r="F1474" s="122" t="s">
        <v>1607</v>
      </c>
      <c r="G1474" s="122" t="s">
        <v>134</v>
      </c>
      <c r="H1474">
        <v>310</v>
      </c>
      <c r="I1474" s="122" t="s">
        <v>1546</v>
      </c>
      <c r="J1474" s="307" t="s">
        <v>214</v>
      </c>
      <c r="K1474" s="127" t="s">
        <v>3348</v>
      </c>
      <c r="L1474" s="151" t="s">
        <v>1579</v>
      </c>
      <c r="M1474">
        <v>415</v>
      </c>
      <c r="N1474" s="123">
        <v>17</v>
      </c>
      <c r="O1474">
        <v>929</v>
      </c>
      <c r="P1474" s="132" t="s">
        <v>77</v>
      </c>
      <c r="Q1474" s="131">
        <v>601.72</v>
      </c>
      <c r="R1474" s="131">
        <v>96.28</v>
      </c>
      <c r="S1474" s="131"/>
      <c r="T1474" s="155"/>
      <c r="U1474" s="131"/>
      <c r="V1474" s="131">
        <v>698</v>
      </c>
      <c r="W1474">
        <v>147</v>
      </c>
      <c r="X1474" s="151" t="s">
        <v>1644</v>
      </c>
      <c r="Y1474" s="135" t="s">
        <v>55</v>
      </c>
      <c r="Z1474" s="307">
        <v>213</v>
      </c>
      <c r="AB1474" t="str">
        <f>IF(Table1[[#This Row],[TIPO2]]="costo", VLOOKUP(Table1[[#This Row],[PARTIDA PRESUPUESTAL]],'Cost Report'!G:G,1,0),"Balance")</f>
        <v>2594-003</v>
      </c>
      <c r="AC1474" s="118"/>
      <c r="AD1474" s="159">
        <f>+Table1[[#This Row],[SUBTOTAL]]+Table1[[#This Row],[IVA]]-Table1[[#This Row],[RET IVA]]-Table1[[#This Row],[RET ISR]]-Table1[[#This Row],[TOTAL]]</f>
        <v>0</v>
      </c>
      <c r="AE1474" s="150"/>
      <c r="AF1474" s="151"/>
      <c r="AG1474" s="126" t="s">
        <v>3420</v>
      </c>
      <c r="AH1474" s="115"/>
      <c r="AK1474" s="306" t="str">
        <f>IF(ISNUMBER(Table1[[#This Row],[FECHA DE RECIBIDO]]), Table1[[#This Row],[FECHA DE RECIBIDO]]-DATE(2023,8,30), "")</f>
        <v/>
      </c>
    </row>
    <row r="1475" spans="1:37" ht="16.05" customHeight="1">
      <c r="A1475" s="152" t="s">
        <v>3375</v>
      </c>
      <c r="B1475" s="153">
        <v>490</v>
      </c>
      <c r="C1475" s="126" t="s">
        <v>2565</v>
      </c>
      <c r="D1475">
        <v>922</v>
      </c>
      <c r="E1475" s="126" t="s">
        <v>3264</v>
      </c>
      <c r="F1475" s="125" t="s">
        <v>1607</v>
      </c>
      <c r="G1475" s="125" t="s">
        <v>134</v>
      </c>
      <c r="H1475">
        <v>41</v>
      </c>
      <c r="I1475" s="125" t="s">
        <v>1546</v>
      </c>
      <c r="J1475" s="308" t="s">
        <v>214</v>
      </c>
      <c r="K1475" s="127" t="s">
        <v>3348</v>
      </c>
      <c r="L1475" s="153" t="s">
        <v>1579</v>
      </c>
      <c r="M1475">
        <v>323</v>
      </c>
      <c r="N1475" s="123">
        <v>17</v>
      </c>
      <c r="O1475">
        <v>930</v>
      </c>
      <c r="P1475" s="132" t="s">
        <v>77</v>
      </c>
      <c r="Q1475" s="132">
        <v>459.48</v>
      </c>
      <c r="R1475" s="132">
        <v>73.52</v>
      </c>
      <c r="S1475" s="132"/>
      <c r="T1475" s="156"/>
      <c r="U1475" s="132"/>
      <c r="V1475" s="132">
        <v>533</v>
      </c>
      <c r="W1475">
        <v>147</v>
      </c>
      <c r="X1475" s="153" t="s">
        <v>1644</v>
      </c>
      <c r="Y1475" s="124" t="s">
        <v>55</v>
      </c>
      <c r="Z1475" s="308">
        <v>213</v>
      </c>
      <c r="AB1475" t="str">
        <f>IF(Table1[[#This Row],[TIPO2]]="costo", VLOOKUP(Table1[[#This Row],[PARTIDA PRESUPUESTAL]],'Cost Report'!G:G,1,0),"Balance")</f>
        <v>2585-003</v>
      </c>
      <c r="AC1475" s="118"/>
      <c r="AD1475" s="159">
        <f>+Table1[[#This Row],[SUBTOTAL]]+Table1[[#This Row],[IVA]]-Table1[[#This Row],[RET IVA]]-Table1[[#This Row],[RET ISR]]-Table1[[#This Row],[TOTAL]]</f>
        <v>0</v>
      </c>
      <c r="AE1475" s="152"/>
      <c r="AF1475" s="153"/>
      <c r="AG1475" s="126" t="s">
        <v>3420</v>
      </c>
      <c r="AH1475" s="115"/>
      <c r="AK1475" s="306" t="str">
        <f>IF(ISNUMBER(Table1[[#This Row],[FECHA DE RECIBIDO]]), Table1[[#This Row],[FECHA DE RECIBIDO]]-DATE(2023,8,30), "")</f>
        <v/>
      </c>
    </row>
    <row r="1476" spans="1:37" ht="16.05" customHeight="1">
      <c r="A1476" s="150" t="s">
        <v>3375</v>
      </c>
      <c r="B1476" s="151">
        <v>490</v>
      </c>
      <c r="C1476" s="126" t="s">
        <v>2566</v>
      </c>
      <c r="D1476">
        <v>923</v>
      </c>
      <c r="E1476" s="126" t="s">
        <v>3264</v>
      </c>
      <c r="F1476" s="122" t="s">
        <v>1607</v>
      </c>
      <c r="G1476" s="122" t="s">
        <v>134</v>
      </c>
      <c r="H1476">
        <v>41</v>
      </c>
      <c r="I1476" s="122" t="s">
        <v>1546</v>
      </c>
      <c r="J1476" s="307" t="s">
        <v>214</v>
      </c>
      <c r="K1476" s="127" t="s">
        <v>3348</v>
      </c>
      <c r="L1476" s="151" t="s">
        <v>1579</v>
      </c>
      <c r="M1476">
        <v>323</v>
      </c>
      <c r="N1476" s="123">
        <v>17</v>
      </c>
      <c r="O1476">
        <v>931</v>
      </c>
      <c r="P1476" s="132" t="s">
        <v>77</v>
      </c>
      <c r="Q1476" s="131">
        <v>2046.31</v>
      </c>
      <c r="R1476" s="131">
        <v>280.69</v>
      </c>
      <c r="S1476" s="131"/>
      <c r="T1476" s="155"/>
      <c r="U1476" s="131"/>
      <c r="V1476" s="131">
        <v>2327</v>
      </c>
      <c r="W1476">
        <v>147</v>
      </c>
      <c r="X1476" s="151" t="s">
        <v>1644</v>
      </c>
      <c r="Y1476" s="135" t="s">
        <v>55</v>
      </c>
      <c r="Z1476" s="307">
        <v>213</v>
      </c>
      <c r="AB1476" t="str">
        <f>IF(Table1[[#This Row],[TIPO2]]="costo", VLOOKUP(Table1[[#This Row],[PARTIDA PRESUPUESTAL]],'Cost Report'!G:G,1,0),"Balance")</f>
        <v>2594-003</v>
      </c>
      <c r="AC1476" s="118"/>
      <c r="AD1476" s="159">
        <f>+Table1[[#This Row],[SUBTOTAL]]+Table1[[#This Row],[IVA]]-Table1[[#This Row],[RET IVA]]-Table1[[#This Row],[RET ISR]]-Table1[[#This Row],[TOTAL]]</f>
        <v>0</v>
      </c>
      <c r="AE1476" s="150"/>
      <c r="AF1476" s="151"/>
      <c r="AG1476" s="126" t="s">
        <v>3420</v>
      </c>
      <c r="AH1476" s="115"/>
      <c r="AK1476" s="306" t="str">
        <f>IF(ISNUMBER(Table1[[#This Row],[FECHA DE RECIBIDO]]), Table1[[#This Row],[FECHA DE RECIBIDO]]-DATE(2023,8,30), "")</f>
        <v/>
      </c>
    </row>
    <row r="1477" spans="1:37" ht="16.05" customHeight="1">
      <c r="A1477" s="152" t="s">
        <v>3375</v>
      </c>
      <c r="B1477" s="153">
        <v>490</v>
      </c>
      <c r="C1477" s="126" t="s">
        <v>2566</v>
      </c>
      <c r="D1477">
        <v>924</v>
      </c>
      <c r="E1477" s="126" t="s">
        <v>3264</v>
      </c>
      <c r="F1477" s="125" t="s">
        <v>1607</v>
      </c>
      <c r="G1477" s="125" t="s">
        <v>134</v>
      </c>
      <c r="H1477">
        <v>156</v>
      </c>
      <c r="I1477" s="125" t="s">
        <v>1546</v>
      </c>
      <c r="J1477" s="308" t="s">
        <v>214</v>
      </c>
      <c r="K1477" s="127" t="s">
        <v>3348</v>
      </c>
      <c r="L1477" s="153" t="s">
        <v>1579</v>
      </c>
      <c r="M1477">
        <v>323</v>
      </c>
      <c r="N1477" s="123">
        <v>17</v>
      </c>
      <c r="O1477">
        <v>932</v>
      </c>
      <c r="P1477" s="132" t="s">
        <v>77</v>
      </c>
      <c r="Q1477" s="132">
        <v>818.1</v>
      </c>
      <c r="R1477" s="132">
        <v>130.9</v>
      </c>
      <c r="S1477" s="132"/>
      <c r="T1477" s="156"/>
      <c r="U1477" s="132"/>
      <c r="V1477" s="132">
        <v>949</v>
      </c>
      <c r="W1477">
        <v>147</v>
      </c>
      <c r="X1477" s="153" t="s">
        <v>1644</v>
      </c>
      <c r="Y1477" s="124" t="s">
        <v>55</v>
      </c>
      <c r="Z1477" s="308">
        <v>213</v>
      </c>
      <c r="AB1477" t="str">
        <f>IF(Table1[[#This Row],[TIPO2]]="costo", VLOOKUP(Table1[[#This Row],[PARTIDA PRESUPUESTAL]],'Cost Report'!G:G,1,0),"Balance")</f>
        <v>2594-003</v>
      </c>
      <c r="AC1477" s="118"/>
      <c r="AD1477" s="159">
        <f>+Table1[[#This Row],[SUBTOTAL]]+Table1[[#This Row],[IVA]]-Table1[[#This Row],[RET IVA]]-Table1[[#This Row],[RET ISR]]-Table1[[#This Row],[TOTAL]]</f>
        <v>0</v>
      </c>
      <c r="AE1477" s="152"/>
      <c r="AF1477" s="153"/>
      <c r="AG1477" s="126" t="s">
        <v>3420</v>
      </c>
      <c r="AH1477" s="115"/>
      <c r="AK1477" s="306" t="str">
        <f>IF(ISNUMBER(Table1[[#This Row],[FECHA DE RECIBIDO]]), Table1[[#This Row],[FECHA DE RECIBIDO]]-DATE(2023,8,30), "")</f>
        <v/>
      </c>
    </row>
    <row r="1478" spans="1:37" ht="16.05" customHeight="1">
      <c r="A1478" s="150" t="s">
        <v>3377</v>
      </c>
      <c r="B1478" s="151">
        <v>491</v>
      </c>
      <c r="C1478" s="126" t="s">
        <v>1732</v>
      </c>
      <c r="D1478">
        <v>925</v>
      </c>
      <c r="E1478" s="126" t="s">
        <v>3275</v>
      </c>
      <c r="F1478" s="122" t="s">
        <v>1607</v>
      </c>
      <c r="G1478" s="122" t="s">
        <v>134</v>
      </c>
      <c r="H1478">
        <v>57</v>
      </c>
      <c r="I1478" s="122" t="s">
        <v>1546</v>
      </c>
      <c r="J1478" s="307" t="s">
        <v>214</v>
      </c>
      <c r="K1478" s="127" t="s">
        <v>3348</v>
      </c>
      <c r="L1478" s="151" t="s">
        <v>1579</v>
      </c>
      <c r="M1478">
        <v>79</v>
      </c>
      <c r="N1478" s="123">
        <v>17</v>
      </c>
      <c r="O1478">
        <v>933</v>
      </c>
      <c r="P1478" s="132" t="s">
        <v>77</v>
      </c>
      <c r="Q1478" s="131">
        <v>550</v>
      </c>
      <c r="R1478" s="131">
        <v>88</v>
      </c>
      <c r="S1478" s="131"/>
      <c r="T1478" s="155"/>
      <c r="U1478" s="131"/>
      <c r="V1478" s="131">
        <v>638</v>
      </c>
      <c r="W1478">
        <v>166</v>
      </c>
      <c r="X1478" s="151" t="s">
        <v>1644</v>
      </c>
      <c r="Y1478" s="135" t="s">
        <v>55</v>
      </c>
      <c r="Z1478" s="307">
        <v>212</v>
      </c>
      <c r="AB1478" t="str">
        <f>IF(Table1[[#This Row],[TIPO2]]="costo", VLOOKUP(Table1[[#This Row],[PARTIDA PRESUPUESTAL]],'Cost Report'!G:G,1,0),"Balance")</f>
        <v>2494-035</v>
      </c>
      <c r="AC1478" s="118"/>
      <c r="AD1478" s="159">
        <f>+Table1[[#This Row],[SUBTOTAL]]+Table1[[#This Row],[IVA]]-Table1[[#This Row],[RET IVA]]-Table1[[#This Row],[RET ISR]]-Table1[[#This Row],[TOTAL]]</f>
        <v>0</v>
      </c>
      <c r="AE1478" s="150"/>
      <c r="AF1478" s="151"/>
      <c r="AG1478" s="126" t="s">
        <v>3420</v>
      </c>
      <c r="AH1478" s="115"/>
      <c r="AK1478" s="306" t="str">
        <f>IF(ISNUMBER(Table1[[#This Row],[FECHA DE RECIBIDO]]), Table1[[#This Row],[FECHA DE RECIBIDO]]-DATE(2023,8,30), "")</f>
        <v/>
      </c>
    </row>
    <row r="1479" spans="1:37" ht="16.05" customHeight="1">
      <c r="A1479" s="152" t="s">
        <v>3377</v>
      </c>
      <c r="B1479" s="153">
        <v>491</v>
      </c>
      <c r="C1479" s="126" t="s">
        <v>1732</v>
      </c>
      <c r="D1479">
        <v>926</v>
      </c>
      <c r="E1479" s="126" t="s">
        <v>3363</v>
      </c>
      <c r="F1479" s="125" t="s">
        <v>1607</v>
      </c>
      <c r="G1479" s="125" t="s">
        <v>134</v>
      </c>
      <c r="H1479">
        <v>99</v>
      </c>
      <c r="I1479" s="125" t="s">
        <v>1546</v>
      </c>
      <c r="J1479" s="308" t="s">
        <v>214</v>
      </c>
      <c r="K1479" s="127" t="s">
        <v>3348</v>
      </c>
      <c r="L1479" s="153" t="s">
        <v>1579</v>
      </c>
      <c r="M1479">
        <v>134</v>
      </c>
      <c r="N1479" s="123">
        <v>17</v>
      </c>
      <c r="O1479">
        <v>934</v>
      </c>
      <c r="P1479" s="132" t="s">
        <v>77</v>
      </c>
      <c r="Q1479" s="132">
        <v>414.65</v>
      </c>
      <c r="R1479" s="132">
        <v>66.34</v>
      </c>
      <c r="S1479" s="132"/>
      <c r="T1479" s="156"/>
      <c r="U1479" s="132"/>
      <c r="V1479" s="132">
        <v>480.99</v>
      </c>
      <c r="W1479">
        <v>166</v>
      </c>
      <c r="X1479" s="153" t="s">
        <v>1644</v>
      </c>
      <c r="Y1479" s="124" t="s">
        <v>55</v>
      </c>
      <c r="Z1479" s="308">
        <v>212</v>
      </c>
      <c r="AB1479" t="str">
        <f>IF(Table1[[#This Row],[TIPO2]]="costo", VLOOKUP(Table1[[#This Row],[PARTIDA PRESUPUESTAL]],'Cost Report'!G:G,1,0),"Balance")</f>
        <v>2494-035</v>
      </c>
      <c r="AC1479" s="118"/>
      <c r="AD1479" s="159">
        <f>+Table1[[#This Row],[SUBTOTAL]]+Table1[[#This Row],[IVA]]-Table1[[#This Row],[RET IVA]]-Table1[[#This Row],[RET ISR]]-Table1[[#This Row],[TOTAL]]</f>
        <v>0</v>
      </c>
      <c r="AE1479" s="152"/>
      <c r="AF1479" s="153"/>
      <c r="AG1479" s="126" t="s">
        <v>3420</v>
      </c>
      <c r="AH1479" s="115"/>
      <c r="AK1479" s="306" t="str">
        <f>IF(ISNUMBER(Table1[[#This Row],[FECHA DE RECIBIDO]]), Table1[[#This Row],[FECHA DE RECIBIDO]]-DATE(2023,8,30), "")</f>
        <v/>
      </c>
    </row>
    <row r="1480" spans="1:37" ht="16.05" customHeight="1">
      <c r="A1480" s="150" t="s">
        <v>3377</v>
      </c>
      <c r="B1480" s="151">
        <v>491</v>
      </c>
      <c r="C1480" s="126" t="s">
        <v>1505</v>
      </c>
      <c r="D1480">
        <v>927</v>
      </c>
      <c r="E1480" s="126" t="s">
        <v>3373</v>
      </c>
      <c r="F1480" s="122" t="s">
        <v>1607</v>
      </c>
      <c r="G1480" s="122" t="s">
        <v>134</v>
      </c>
      <c r="H1480">
        <v>42</v>
      </c>
      <c r="I1480" s="122" t="s">
        <v>1546</v>
      </c>
      <c r="J1480" s="307" t="s">
        <v>214</v>
      </c>
      <c r="K1480" s="127" t="s">
        <v>3348</v>
      </c>
      <c r="L1480" s="151" t="s">
        <v>1579</v>
      </c>
      <c r="M1480">
        <v>53</v>
      </c>
      <c r="N1480" s="123">
        <v>17</v>
      </c>
      <c r="O1480">
        <v>935</v>
      </c>
      <c r="P1480" s="132" t="s">
        <v>77</v>
      </c>
      <c r="Q1480" s="131">
        <v>860.34</v>
      </c>
      <c r="R1480" s="131">
        <v>137.66</v>
      </c>
      <c r="S1480" s="131"/>
      <c r="T1480" s="155"/>
      <c r="U1480" s="131"/>
      <c r="V1480" s="131">
        <v>998</v>
      </c>
      <c r="W1480">
        <v>166</v>
      </c>
      <c r="X1480" s="151" t="s">
        <v>1644</v>
      </c>
      <c r="Y1480" s="135" t="s">
        <v>55</v>
      </c>
      <c r="Z1480" s="307">
        <v>212</v>
      </c>
      <c r="AB1480" t="str">
        <f>IF(Table1[[#This Row],[TIPO2]]="costo", VLOOKUP(Table1[[#This Row],[PARTIDA PRESUPUESTAL]],'Cost Report'!G:G,1,0),"Balance")</f>
        <v>2494-003</v>
      </c>
      <c r="AC1480" s="118"/>
      <c r="AD1480" s="159">
        <f>+Table1[[#This Row],[SUBTOTAL]]+Table1[[#This Row],[IVA]]-Table1[[#This Row],[RET IVA]]-Table1[[#This Row],[RET ISR]]-Table1[[#This Row],[TOTAL]]</f>
        <v>0</v>
      </c>
      <c r="AE1480" s="150"/>
      <c r="AF1480" s="151"/>
      <c r="AG1480" s="126" t="s">
        <v>3420</v>
      </c>
      <c r="AH1480" s="115"/>
      <c r="AK1480" s="306" t="str">
        <f>IF(ISNUMBER(Table1[[#This Row],[FECHA DE RECIBIDO]]), Table1[[#This Row],[FECHA DE RECIBIDO]]-DATE(2023,8,30), "")</f>
        <v/>
      </c>
    </row>
    <row r="1481" spans="1:37" ht="16.05" customHeight="1">
      <c r="A1481" s="152" t="s">
        <v>3377</v>
      </c>
      <c r="B1481" s="153">
        <v>491</v>
      </c>
      <c r="C1481" s="126" t="s">
        <v>2458</v>
      </c>
      <c r="D1481">
        <v>928</v>
      </c>
      <c r="E1481" s="126" t="s">
        <v>3363</v>
      </c>
      <c r="F1481" s="125" t="s">
        <v>1607</v>
      </c>
      <c r="G1481" s="125" t="s">
        <v>134</v>
      </c>
      <c r="H1481">
        <v>99</v>
      </c>
      <c r="I1481" s="125" t="s">
        <v>1546</v>
      </c>
      <c r="J1481" s="308" t="s">
        <v>214</v>
      </c>
      <c r="K1481" s="127" t="s">
        <v>3348</v>
      </c>
      <c r="L1481" s="153" t="s">
        <v>1579</v>
      </c>
      <c r="M1481">
        <v>134</v>
      </c>
      <c r="N1481" s="123">
        <v>17</v>
      </c>
      <c r="O1481">
        <v>936</v>
      </c>
      <c r="P1481" s="132" t="s">
        <v>77</v>
      </c>
      <c r="Q1481" s="132">
        <v>228.45</v>
      </c>
      <c r="R1481" s="132">
        <v>36.549999999999997</v>
      </c>
      <c r="S1481" s="132"/>
      <c r="T1481" s="156"/>
      <c r="U1481" s="132"/>
      <c r="V1481" s="132">
        <v>265</v>
      </c>
      <c r="W1481">
        <v>166</v>
      </c>
      <c r="X1481" s="153" t="s">
        <v>1644</v>
      </c>
      <c r="Y1481" s="124" t="s">
        <v>55</v>
      </c>
      <c r="Z1481" s="308">
        <v>212</v>
      </c>
      <c r="AB1481" t="str">
        <f>IF(Table1[[#This Row],[TIPO2]]="costo", VLOOKUP(Table1[[#This Row],[PARTIDA PRESUPUESTAL]],'Cost Report'!G:G,1,0),"Balance")</f>
        <v>2311-003</v>
      </c>
      <c r="AC1481" s="118"/>
      <c r="AD1481" s="159">
        <f>+Table1[[#This Row],[SUBTOTAL]]+Table1[[#This Row],[IVA]]-Table1[[#This Row],[RET IVA]]-Table1[[#This Row],[RET ISR]]-Table1[[#This Row],[TOTAL]]</f>
        <v>0</v>
      </c>
      <c r="AE1481" s="152"/>
      <c r="AF1481" s="153"/>
      <c r="AG1481" s="126" t="s">
        <v>3420</v>
      </c>
      <c r="AH1481" s="115"/>
      <c r="AK1481" s="306" t="str">
        <f>IF(ISNUMBER(Table1[[#This Row],[FECHA DE RECIBIDO]]), Table1[[#This Row],[FECHA DE RECIBIDO]]-DATE(2023,8,30), "")</f>
        <v/>
      </c>
    </row>
    <row r="1482" spans="1:37" ht="16.05" customHeight="1">
      <c r="A1482" s="150" t="s">
        <v>3377</v>
      </c>
      <c r="B1482" s="151">
        <v>491</v>
      </c>
      <c r="C1482" s="126" t="s">
        <v>1732</v>
      </c>
      <c r="D1482">
        <v>929</v>
      </c>
      <c r="E1482" s="126" t="s">
        <v>1603</v>
      </c>
      <c r="F1482" s="122" t="s">
        <v>1607</v>
      </c>
      <c r="G1482" s="122" t="s">
        <v>134</v>
      </c>
      <c r="H1482">
        <v>274</v>
      </c>
      <c r="I1482" s="122" t="s">
        <v>1546</v>
      </c>
      <c r="J1482" s="307" t="s">
        <v>214</v>
      </c>
      <c r="K1482" s="127" t="s">
        <v>3348</v>
      </c>
      <c r="L1482" s="151" t="s">
        <v>1579</v>
      </c>
      <c r="M1482">
        <v>365</v>
      </c>
      <c r="N1482" s="123">
        <v>17</v>
      </c>
      <c r="O1482">
        <v>937</v>
      </c>
      <c r="P1482" s="132" t="s">
        <v>77</v>
      </c>
      <c r="Q1482" s="131">
        <v>400.86</v>
      </c>
      <c r="R1482" s="131">
        <v>64.14</v>
      </c>
      <c r="S1482" s="131"/>
      <c r="T1482" s="155"/>
      <c r="U1482" s="131"/>
      <c r="V1482" s="131">
        <v>465</v>
      </c>
      <c r="W1482">
        <v>166</v>
      </c>
      <c r="X1482" s="151" t="s">
        <v>1644</v>
      </c>
      <c r="Y1482" s="135" t="s">
        <v>55</v>
      </c>
      <c r="Z1482" s="307">
        <v>213</v>
      </c>
      <c r="AB1482" t="str">
        <f>IF(Table1[[#This Row],[TIPO2]]="costo", VLOOKUP(Table1[[#This Row],[PARTIDA PRESUPUESTAL]],'Cost Report'!G:G,1,0),"Balance")</f>
        <v>2494-035</v>
      </c>
      <c r="AC1482" s="118"/>
      <c r="AD1482" s="159">
        <f>+Table1[[#This Row],[SUBTOTAL]]+Table1[[#This Row],[IVA]]-Table1[[#This Row],[RET IVA]]-Table1[[#This Row],[RET ISR]]-Table1[[#This Row],[TOTAL]]</f>
        <v>0</v>
      </c>
      <c r="AE1482" s="150"/>
      <c r="AF1482" s="151"/>
      <c r="AG1482" s="126" t="s">
        <v>3420</v>
      </c>
      <c r="AH1482" s="115"/>
      <c r="AK1482" s="306" t="str">
        <f>IF(ISNUMBER(Table1[[#This Row],[FECHA DE RECIBIDO]]), Table1[[#This Row],[FECHA DE RECIBIDO]]-DATE(2023,8,30), "")</f>
        <v/>
      </c>
    </row>
    <row r="1483" spans="1:37" ht="16.05" customHeight="1">
      <c r="A1483" s="152" t="s">
        <v>3377</v>
      </c>
      <c r="B1483" s="153">
        <v>491</v>
      </c>
      <c r="C1483" s="126" t="s">
        <v>1732</v>
      </c>
      <c r="D1483">
        <v>930</v>
      </c>
      <c r="E1483" s="126" t="s">
        <v>1596</v>
      </c>
      <c r="F1483" s="125" t="s">
        <v>1607</v>
      </c>
      <c r="G1483" s="125" t="s">
        <v>134</v>
      </c>
      <c r="H1483">
        <v>177</v>
      </c>
      <c r="I1483" s="125" t="s">
        <v>1546</v>
      </c>
      <c r="J1483" s="308" t="s">
        <v>214</v>
      </c>
      <c r="K1483" s="127" t="s">
        <v>3348</v>
      </c>
      <c r="L1483" s="153" t="s">
        <v>1579</v>
      </c>
      <c r="M1483">
        <v>238</v>
      </c>
      <c r="N1483" s="123">
        <v>17</v>
      </c>
      <c r="O1483">
        <v>938</v>
      </c>
      <c r="P1483" s="132" t="s">
        <v>77</v>
      </c>
      <c r="Q1483" s="132">
        <v>620.62</v>
      </c>
      <c r="R1483" s="132">
        <v>99.3</v>
      </c>
      <c r="S1483" s="132"/>
      <c r="T1483" s="156"/>
      <c r="U1483" s="132"/>
      <c r="V1483" s="132">
        <v>719.92</v>
      </c>
      <c r="W1483">
        <v>166</v>
      </c>
      <c r="X1483" s="153" t="s">
        <v>1644</v>
      </c>
      <c r="Y1483" s="124" t="s">
        <v>55</v>
      </c>
      <c r="Z1483" s="308">
        <v>213</v>
      </c>
      <c r="AB1483" t="str">
        <f>IF(Table1[[#This Row],[TIPO2]]="costo", VLOOKUP(Table1[[#This Row],[PARTIDA PRESUPUESTAL]],'Cost Report'!G:G,1,0),"Balance")</f>
        <v>2494-035</v>
      </c>
      <c r="AC1483" s="118"/>
      <c r="AD1483" s="159">
        <f>+Table1[[#This Row],[SUBTOTAL]]+Table1[[#This Row],[IVA]]-Table1[[#This Row],[RET IVA]]-Table1[[#This Row],[RET ISR]]-Table1[[#This Row],[TOTAL]]</f>
        <v>0</v>
      </c>
      <c r="AE1483" s="152"/>
      <c r="AF1483" s="153"/>
      <c r="AG1483" s="126" t="s">
        <v>3420</v>
      </c>
      <c r="AH1483" s="115"/>
      <c r="AK1483" s="306" t="str">
        <f>IF(ISNUMBER(Table1[[#This Row],[FECHA DE RECIBIDO]]), Table1[[#This Row],[FECHA DE RECIBIDO]]-DATE(2023,8,30), "")</f>
        <v/>
      </c>
    </row>
    <row r="1484" spans="1:37" ht="16.05" customHeight="1">
      <c r="A1484" s="150" t="s">
        <v>3377</v>
      </c>
      <c r="B1484" s="151">
        <v>491</v>
      </c>
      <c r="C1484" s="126" t="s">
        <v>2458</v>
      </c>
      <c r="D1484">
        <v>931</v>
      </c>
      <c r="E1484" s="126" t="s">
        <v>3378</v>
      </c>
      <c r="F1484" s="122" t="s">
        <v>1589</v>
      </c>
      <c r="G1484" s="122" t="s">
        <v>134</v>
      </c>
      <c r="H1484">
        <v>311</v>
      </c>
      <c r="I1484" s="122" t="s">
        <v>1546</v>
      </c>
      <c r="J1484" s="307" t="s">
        <v>214</v>
      </c>
      <c r="K1484" s="127" t="s">
        <v>3348</v>
      </c>
      <c r="L1484" s="151" t="s">
        <v>1579</v>
      </c>
      <c r="M1484">
        <v>416</v>
      </c>
      <c r="N1484" s="123">
        <v>17</v>
      </c>
      <c r="O1484">
        <v>939</v>
      </c>
      <c r="P1484" s="132" t="s">
        <v>77</v>
      </c>
      <c r="Q1484" s="131">
        <v>1910.36</v>
      </c>
      <c r="R1484" s="131">
        <v>305.64</v>
      </c>
      <c r="S1484" s="131"/>
      <c r="T1484" s="155"/>
      <c r="U1484" s="131"/>
      <c r="V1484" s="131">
        <v>2216</v>
      </c>
      <c r="W1484">
        <v>166</v>
      </c>
      <c r="X1484" s="151" t="s">
        <v>1644</v>
      </c>
      <c r="Y1484" s="135" t="s">
        <v>55</v>
      </c>
      <c r="Z1484" s="307">
        <v>213</v>
      </c>
      <c r="AB1484" t="str">
        <f>IF(Table1[[#This Row],[TIPO2]]="costo", VLOOKUP(Table1[[#This Row],[PARTIDA PRESUPUESTAL]],'Cost Report'!G:G,1,0),"Balance")</f>
        <v>2311-003</v>
      </c>
      <c r="AC1484" s="118"/>
      <c r="AD1484" s="159">
        <f>+Table1[[#This Row],[SUBTOTAL]]+Table1[[#This Row],[IVA]]-Table1[[#This Row],[RET IVA]]-Table1[[#This Row],[RET ISR]]-Table1[[#This Row],[TOTAL]]</f>
        <v>0</v>
      </c>
      <c r="AE1484" s="150"/>
      <c r="AF1484" s="151"/>
      <c r="AG1484" s="126" t="s">
        <v>3420</v>
      </c>
      <c r="AH1484" s="115"/>
      <c r="AK1484" s="306" t="str">
        <f>IF(ISNUMBER(Table1[[#This Row],[FECHA DE RECIBIDO]]), Table1[[#This Row],[FECHA DE RECIBIDO]]-DATE(2023,8,30), "")</f>
        <v/>
      </c>
    </row>
    <row r="1485" spans="1:37" ht="16.05" customHeight="1">
      <c r="A1485" s="152" t="s">
        <v>3377</v>
      </c>
      <c r="B1485" s="153">
        <v>491</v>
      </c>
      <c r="C1485" s="126" t="s">
        <v>1513</v>
      </c>
      <c r="D1485">
        <v>932</v>
      </c>
      <c r="E1485" s="126" t="s">
        <v>1987</v>
      </c>
      <c r="F1485" s="125" t="s">
        <v>1607</v>
      </c>
      <c r="G1485" s="125" t="s">
        <v>134</v>
      </c>
      <c r="H1485">
        <v>312</v>
      </c>
      <c r="I1485" s="125" t="s">
        <v>1546</v>
      </c>
      <c r="J1485" s="308" t="s">
        <v>214</v>
      </c>
      <c r="K1485" s="127" t="s">
        <v>3348</v>
      </c>
      <c r="L1485" s="153" t="s">
        <v>1579</v>
      </c>
      <c r="M1485">
        <v>417</v>
      </c>
      <c r="N1485" s="123">
        <v>17</v>
      </c>
      <c r="O1485">
        <v>940</v>
      </c>
      <c r="P1485" s="132" t="s">
        <v>77</v>
      </c>
      <c r="Q1485" s="132">
        <v>63.79</v>
      </c>
      <c r="R1485" s="132">
        <v>10.210000000000001</v>
      </c>
      <c r="S1485" s="132"/>
      <c r="T1485" s="156"/>
      <c r="U1485" s="132"/>
      <c r="V1485" s="132">
        <v>74</v>
      </c>
      <c r="W1485">
        <v>166</v>
      </c>
      <c r="X1485" s="153" t="s">
        <v>1644</v>
      </c>
      <c r="Y1485" s="124" t="s">
        <v>55</v>
      </c>
      <c r="Z1485" s="308">
        <v>213</v>
      </c>
      <c r="AB1485" t="str">
        <f>IF(Table1[[#This Row],[TIPO2]]="costo", VLOOKUP(Table1[[#This Row],[PARTIDA PRESUPUESTAL]],'Cost Report'!G:G,1,0),"Balance")</f>
        <v>2494-019</v>
      </c>
      <c r="AC1485" s="118"/>
      <c r="AD1485" s="159">
        <f>+Table1[[#This Row],[SUBTOTAL]]+Table1[[#This Row],[IVA]]-Table1[[#This Row],[RET IVA]]-Table1[[#This Row],[RET ISR]]-Table1[[#This Row],[TOTAL]]</f>
        <v>0</v>
      </c>
      <c r="AE1485" s="152"/>
      <c r="AF1485" s="153"/>
      <c r="AG1485" s="126" t="s">
        <v>3420</v>
      </c>
      <c r="AH1485" s="115"/>
      <c r="AK1485" s="306" t="str">
        <f>IF(ISNUMBER(Table1[[#This Row],[FECHA DE RECIBIDO]]), Table1[[#This Row],[FECHA DE RECIBIDO]]-DATE(2023,8,30), "")</f>
        <v/>
      </c>
    </row>
    <row r="1486" spans="1:37" ht="16.05" customHeight="1">
      <c r="A1486" s="150" t="s">
        <v>3377</v>
      </c>
      <c r="B1486" s="151">
        <v>491</v>
      </c>
      <c r="C1486" s="126" t="s">
        <v>1732</v>
      </c>
      <c r="D1486">
        <v>933</v>
      </c>
      <c r="E1486" s="126" t="s">
        <v>1603</v>
      </c>
      <c r="F1486" s="122" t="s">
        <v>1607</v>
      </c>
      <c r="G1486" s="122" t="s">
        <v>134</v>
      </c>
      <c r="H1486">
        <v>274</v>
      </c>
      <c r="I1486" s="122" t="s">
        <v>1546</v>
      </c>
      <c r="J1486" s="307" t="s">
        <v>214</v>
      </c>
      <c r="K1486" s="127" t="s">
        <v>3348</v>
      </c>
      <c r="L1486" s="151" t="s">
        <v>1579</v>
      </c>
      <c r="M1486">
        <v>365</v>
      </c>
      <c r="N1486" s="123">
        <v>17</v>
      </c>
      <c r="O1486">
        <v>941</v>
      </c>
      <c r="P1486" s="132" t="s">
        <v>77</v>
      </c>
      <c r="Q1486" s="131">
        <v>81.03</v>
      </c>
      <c r="R1486" s="131">
        <v>12.97</v>
      </c>
      <c r="S1486" s="131"/>
      <c r="T1486" s="155"/>
      <c r="U1486" s="131"/>
      <c r="V1486" s="131">
        <v>94</v>
      </c>
      <c r="W1486">
        <v>166</v>
      </c>
      <c r="X1486" s="151" t="s">
        <v>1644</v>
      </c>
      <c r="Y1486" s="135" t="s">
        <v>55</v>
      </c>
      <c r="Z1486" s="307">
        <v>213</v>
      </c>
      <c r="AB1486" t="str">
        <f>IF(Table1[[#This Row],[TIPO2]]="costo", VLOOKUP(Table1[[#This Row],[PARTIDA PRESUPUESTAL]],'Cost Report'!G:G,1,0),"Balance")</f>
        <v>2494-035</v>
      </c>
      <c r="AC1486" s="118"/>
      <c r="AD1486" s="159">
        <f>+Table1[[#This Row],[SUBTOTAL]]+Table1[[#This Row],[IVA]]-Table1[[#This Row],[RET IVA]]-Table1[[#This Row],[RET ISR]]-Table1[[#This Row],[TOTAL]]</f>
        <v>0</v>
      </c>
      <c r="AE1486" s="150"/>
      <c r="AF1486" s="151"/>
      <c r="AG1486" s="126" t="s">
        <v>3420</v>
      </c>
      <c r="AH1486" s="115"/>
      <c r="AK1486" s="306" t="str">
        <f>IF(ISNUMBER(Table1[[#This Row],[FECHA DE RECIBIDO]]), Table1[[#This Row],[FECHA DE RECIBIDO]]-DATE(2023,8,30), "")</f>
        <v/>
      </c>
    </row>
    <row r="1487" spans="1:37" ht="16.05" customHeight="1">
      <c r="A1487" s="152" t="s">
        <v>3377</v>
      </c>
      <c r="B1487" s="153">
        <v>491</v>
      </c>
      <c r="C1487" s="126" t="s">
        <v>1505</v>
      </c>
      <c r="D1487">
        <v>934</v>
      </c>
      <c r="E1487" s="126" t="s">
        <v>1603</v>
      </c>
      <c r="F1487" s="125" t="s">
        <v>1607</v>
      </c>
      <c r="G1487" s="125" t="s">
        <v>134</v>
      </c>
      <c r="H1487">
        <v>274</v>
      </c>
      <c r="I1487" s="125" t="s">
        <v>1546</v>
      </c>
      <c r="J1487" s="308" t="s">
        <v>214</v>
      </c>
      <c r="K1487" s="127" t="s">
        <v>3348</v>
      </c>
      <c r="L1487" s="153" t="s">
        <v>1579</v>
      </c>
      <c r="M1487">
        <v>365</v>
      </c>
      <c r="N1487" s="123">
        <v>17</v>
      </c>
      <c r="O1487">
        <v>942</v>
      </c>
      <c r="P1487" s="132" t="s">
        <v>77</v>
      </c>
      <c r="Q1487" s="132">
        <v>134.47999999999999</v>
      </c>
      <c r="R1487" s="132">
        <v>21.52</v>
      </c>
      <c r="S1487" s="132"/>
      <c r="T1487" s="156"/>
      <c r="U1487" s="132"/>
      <c r="V1487" s="132">
        <v>156</v>
      </c>
      <c r="W1487">
        <v>166</v>
      </c>
      <c r="X1487" s="153" t="s">
        <v>1644</v>
      </c>
      <c r="Y1487" s="124" t="s">
        <v>55</v>
      </c>
      <c r="Z1487" s="308">
        <v>213</v>
      </c>
      <c r="AB1487" t="str">
        <f>IF(Table1[[#This Row],[TIPO2]]="costo", VLOOKUP(Table1[[#This Row],[PARTIDA PRESUPUESTAL]],'Cost Report'!G:G,1,0),"Balance")</f>
        <v>2494-003</v>
      </c>
      <c r="AC1487" s="118"/>
      <c r="AD1487" s="159">
        <f>+Table1[[#This Row],[SUBTOTAL]]+Table1[[#This Row],[IVA]]-Table1[[#This Row],[RET IVA]]-Table1[[#This Row],[RET ISR]]-Table1[[#This Row],[TOTAL]]</f>
        <v>0</v>
      </c>
      <c r="AE1487" s="152"/>
      <c r="AF1487" s="153"/>
      <c r="AG1487" s="126" t="s">
        <v>3420</v>
      </c>
      <c r="AK1487" s="306" t="str">
        <f>IF(ISNUMBER(Table1[[#This Row],[FECHA DE RECIBIDO]]), Table1[[#This Row],[FECHA DE RECIBIDO]]-DATE(2023,8,30), "")</f>
        <v/>
      </c>
    </row>
    <row r="1488" spans="1:37" ht="16.05" customHeight="1">
      <c r="A1488" s="150" t="s">
        <v>3377</v>
      </c>
      <c r="B1488" s="151">
        <v>491</v>
      </c>
      <c r="C1488" s="126" t="s">
        <v>1732</v>
      </c>
      <c r="D1488">
        <v>935</v>
      </c>
      <c r="E1488" s="126" t="s">
        <v>1603</v>
      </c>
      <c r="F1488" s="122" t="s">
        <v>1607</v>
      </c>
      <c r="G1488" s="122" t="s">
        <v>134</v>
      </c>
      <c r="H1488">
        <v>274</v>
      </c>
      <c r="I1488" s="122" t="s">
        <v>1546</v>
      </c>
      <c r="J1488" s="307" t="s">
        <v>214</v>
      </c>
      <c r="K1488" s="127" t="s">
        <v>3348</v>
      </c>
      <c r="L1488" s="151" t="s">
        <v>1579</v>
      </c>
      <c r="M1488">
        <v>365</v>
      </c>
      <c r="N1488" s="123">
        <v>17</v>
      </c>
      <c r="O1488">
        <v>943</v>
      </c>
      <c r="P1488" s="132" t="s">
        <v>77</v>
      </c>
      <c r="Q1488" s="131">
        <v>162.84</v>
      </c>
      <c r="R1488" s="131">
        <v>26.06</v>
      </c>
      <c r="S1488" s="131"/>
      <c r="T1488" s="155"/>
      <c r="U1488" s="131"/>
      <c r="V1488" s="131">
        <v>188.9</v>
      </c>
      <c r="W1488">
        <v>166</v>
      </c>
      <c r="X1488" s="151" t="s">
        <v>1644</v>
      </c>
      <c r="Y1488" s="135" t="s">
        <v>55</v>
      </c>
      <c r="Z1488" s="307">
        <v>213</v>
      </c>
      <c r="AB1488" t="str">
        <f>IF(Table1[[#This Row],[TIPO2]]="costo", VLOOKUP(Table1[[#This Row],[PARTIDA PRESUPUESTAL]],'Cost Report'!G:G,1,0),"Balance")</f>
        <v>2494-035</v>
      </c>
      <c r="AC1488" s="118"/>
      <c r="AD1488" s="159">
        <f>+Table1[[#This Row],[SUBTOTAL]]+Table1[[#This Row],[IVA]]-Table1[[#This Row],[RET IVA]]-Table1[[#This Row],[RET ISR]]-Table1[[#This Row],[TOTAL]]</f>
        <v>0</v>
      </c>
      <c r="AE1488" s="150"/>
      <c r="AF1488" s="151"/>
      <c r="AG1488" s="126" t="s">
        <v>3420</v>
      </c>
      <c r="AK1488" s="306" t="str">
        <f>IF(ISNUMBER(Table1[[#This Row],[FECHA DE RECIBIDO]]), Table1[[#This Row],[FECHA DE RECIBIDO]]-DATE(2023,8,30), "")</f>
        <v/>
      </c>
    </row>
    <row r="1489" spans="1:37" ht="16.05" customHeight="1">
      <c r="A1489" s="152" t="s">
        <v>3377</v>
      </c>
      <c r="B1489" s="153">
        <v>491</v>
      </c>
      <c r="C1489" s="126" t="s">
        <v>1513</v>
      </c>
      <c r="D1489">
        <v>936</v>
      </c>
      <c r="E1489" s="126" t="s">
        <v>1603</v>
      </c>
      <c r="F1489" s="125" t="s">
        <v>1607</v>
      </c>
      <c r="G1489" s="125" t="s">
        <v>134</v>
      </c>
      <c r="H1489">
        <v>99</v>
      </c>
      <c r="I1489" s="125" t="s">
        <v>1546</v>
      </c>
      <c r="J1489" s="308" t="s">
        <v>214</v>
      </c>
      <c r="K1489" s="127" t="s">
        <v>3348</v>
      </c>
      <c r="L1489" s="153" t="s">
        <v>1579</v>
      </c>
      <c r="M1489">
        <v>134</v>
      </c>
      <c r="N1489" s="123">
        <v>17</v>
      </c>
      <c r="O1489">
        <v>944</v>
      </c>
      <c r="P1489" s="132" t="s">
        <v>77</v>
      </c>
      <c r="Q1489" s="132">
        <v>55.17</v>
      </c>
      <c r="R1489" s="132">
        <v>8.83</v>
      </c>
      <c r="S1489" s="132"/>
      <c r="T1489" s="156"/>
      <c r="U1489" s="132"/>
      <c r="V1489" s="132">
        <v>64</v>
      </c>
      <c r="W1489">
        <v>166</v>
      </c>
      <c r="X1489" s="153" t="s">
        <v>1644</v>
      </c>
      <c r="Y1489" s="124" t="s">
        <v>55</v>
      </c>
      <c r="Z1489" s="308">
        <v>213</v>
      </c>
      <c r="AB1489" t="str">
        <f>IF(Table1[[#This Row],[TIPO2]]="costo", VLOOKUP(Table1[[#This Row],[PARTIDA PRESUPUESTAL]],'Cost Report'!G:G,1,0),"Balance")</f>
        <v>2494-019</v>
      </c>
      <c r="AC1489" s="118"/>
      <c r="AD1489" s="159">
        <f>+Table1[[#This Row],[SUBTOTAL]]+Table1[[#This Row],[IVA]]-Table1[[#This Row],[RET IVA]]-Table1[[#This Row],[RET ISR]]-Table1[[#This Row],[TOTAL]]</f>
        <v>0</v>
      </c>
      <c r="AE1489" s="152"/>
      <c r="AF1489" s="153"/>
      <c r="AG1489" s="126" t="s">
        <v>3420</v>
      </c>
      <c r="AK1489" s="306" t="str">
        <f>IF(ISNUMBER(Table1[[#This Row],[FECHA DE RECIBIDO]]), Table1[[#This Row],[FECHA DE RECIBIDO]]-DATE(2023,8,30), "")</f>
        <v/>
      </c>
    </row>
    <row r="1490" spans="1:37" ht="16.05" customHeight="1">
      <c r="A1490" s="150" t="s">
        <v>3377</v>
      </c>
      <c r="B1490" s="151">
        <v>491</v>
      </c>
      <c r="C1490" s="126" t="s">
        <v>1732</v>
      </c>
      <c r="D1490">
        <v>937</v>
      </c>
      <c r="E1490" s="126" t="s">
        <v>3272</v>
      </c>
      <c r="F1490" s="122" t="s">
        <v>1607</v>
      </c>
      <c r="G1490" s="122" t="s">
        <v>134</v>
      </c>
      <c r="H1490">
        <v>99</v>
      </c>
      <c r="I1490" s="122" t="s">
        <v>1546</v>
      </c>
      <c r="J1490" s="307" t="s">
        <v>214</v>
      </c>
      <c r="K1490" s="127" t="s">
        <v>3348</v>
      </c>
      <c r="L1490" s="151" t="s">
        <v>1579</v>
      </c>
      <c r="M1490">
        <v>134</v>
      </c>
      <c r="N1490" s="123">
        <v>17</v>
      </c>
      <c r="O1490">
        <v>945</v>
      </c>
      <c r="P1490" s="132" t="s">
        <v>77</v>
      </c>
      <c r="Q1490" s="131">
        <v>1980.21</v>
      </c>
      <c r="R1490" s="131">
        <v>137.79</v>
      </c>
      <c r="S1490" s="131"/>
      <c r="T1490" s="155"/>
      <c r="U1490" s="131"/>
      <c r="V1490" s="131">
        <v>2118</v>
      </c>
      <c r="W1490">
        <v>166</v>
      </c>
      <c r="X1490" s="151" t="s">
        <v>1644</v>
      </c>
      <c r="Y1490" s="135" t="s">
        <v>55</v>
      </c>
      <c r="Z1490" s="307">
        <v>213</v>
      </c>
      <c r="AB1490" t="str">
        <f>IF(Table1[[#This Row],[TIPO2]]="costo", VLOOKUP(Table1[[#This Row],[PARTIDA PRESUPUESTAL]],'Cost Report'!G:G,1,0),"Balance")</f>
        <v>2494-035</v>
      </c>
      <c r="AC1490" s="118"/>
      <c r="AD1490" s="159">
        <f>+Table1[[#This Row],[SUBTOTAL]]+Table1[[#This Row],[IVA]]-Table1[[#This Row],[RET IVA]]-Table1[[#This Row],[RET ISR]]-Table1[[#This Row],[TOTAL]]</f>
        <v>0</v>
      </c>
      <c r="AE1490" s="150"/>
      <c r="AF1490" s="151"/>
      <c r="AG1490" s="126" t="s">
        <v>3420</v>
      </c>
      <c r="AK1490" s="306" t="str">
        <f>IF(ISNUMBER(Table1[[#This Row],[FECHA DE RECIBIDO]]), Table1[[#This Row],[FECHA DE RECIBIDO]]-DATE(2023,8,30), "")</f>
        <v/>
      </c>
    </row>
    <row r="1491" spans="1:37" ht="16.05" customHeight="1">
      <c r="A1491" s="152" t="s">
        <v>3377</v>
      </c>
      <c r="B1491" s="153">
        <v>491</v>
      </c>
      <c r="C1491" s="126" t="s">
        <v>1732</v>
      </c>
      <c r="D1491">
        <v>938</v>
      </c>
      <c r="E1491" s="126" t="s">
        <v>3363</v>
      </c>
      <c r="F1491" s="125" t="s">
        <v>1607</v>
      </c>
      <c r="G1491" s="125" t="s">
        <v>134</v>
      </c>
      <c r="H1491">
        <v>99</v>
      </c>
      <c r="I1491" s="125" t="s">
        <v>1546</v>
      </c>
      <c r="J1491" s="308" t="s">
        <v>214</v>
      </c>
      <c r="K1491" s="127" t="s">
        <v>3348</v>
      </c>
      <c r="L1491" s="153" t="s">
        <v>1579</v>
      </c>
      <c r="M1491">
        <v>134</v>
      </c>
      <c r="N1491" s="123">
        <v>17</v>
      </c>
      <c r="O1491">
        <v>946</v>
      </c>
      <c r="P1491" s="132" t="s">
        <v>77</v>
      </c>
      <c r="Q1491" s="132">
        <v>205.17</v>
      </c>
      <c r="R1491" s="132">
        <v>32.83</v>
      </c>
      <c r="S1491" s="132"/>
      <c r="T1491" s="156"/>
      <c r="U1491" s="132"/>
      <c r="V1491" s="132">
        <v>238</v>
      </c>
      <c r="W1491">
        <v>166</v>
      </c>
      <c r="X1491" s="153" t="s">
        <v>1644</v>
      </c>
      <c r="Y1491" s="124" t="s">
        <v>55</v>
      </c>
      <c r="Z1491" s="308">
        <v>213</v>
      </c>
      <c r="AB1491" t="str">
        <f>IF(Table1[[#This Row],[TIPO2]]="costo", VLOOKUP(Table1[[#This Row],[PARTIDA PRESUPUESTAL]],'Cost Report'!G:G,1,0),"Balance")</f>
        <v>2494-035</v>
      </c>
      <c r="AC1491" s="118"/>
      <c r="AD1491" s="159">
        <f>+Table1[[#This Row],[SUBTOTAL]]+Table1[[#This Row],[IVA]]-Table1[[#This Row],[RET IVA]]-Table1[[#This Row],[RET ISR]]-Table1[[#This Row],[TOTAL]]</f>
        <v>0</v>
      </c>
      <c r="AE1491" s="152"/>
      <c r="AF1491" s="153"/>
      <c r="AG1491" s="126" t="s">
        <v>3420</v>
      </c>
      <c r="AK1491" s="306" t="str">
        <f>IF(ISNUMBER(Table1[[#This Row],[FECHA DE RECIBIDO]]), Table1[[#This Row],[FECHA DE RECIBIDO]]-DATE(2023,8,30), "")</f>
        <v/>
      </c>
    </row>
    <row r="1492" spans="1:37" ht="16.05" customHeight="1">
      <c r="A1492" s="150" t="s">
        <v>3377</v>
      </c>
      <c r="B1492" s="151">
        <v>491</v>
      </c>
      <c r="C1492" s="126" t="s">
        <v>1732</v>
      </c>
      <c r="D1492">
        <v>939</v>
      </c>
      <c r="E1492" s="126" t="s">
        <v>1603</v>
      </c>
      <c r="F1492" s="122" t="s">
        <v>1607</v>
      </c>
      <c r="G1492" s="122" t="s">
        <v>134</v>
      </c>
      <c r="H1492">
        <v>99</v>
      </c>
      <c r="I1492" s="122" t="s">
        <v>1546</v>
      </c>
      <c r="J1492" s="307" t="s">
        <v>214</v>
      </c>
      <c r="K1492" s="127" t="s">
        <v>3348</v>
      </c>
      <c r="L1492" s="151" t="s">
        <v>1579</v>
      </c>
      <c r="M1492">
        <v>134</v>
      </c>
      <c r="N1492" s="123">
        <v>17</v>
      </c>
      <c r="O1492">
        <v>947</v>
      </c>
      <c r="P1492" s="132" t="s">
        <v>77</v>
      </c>
      <c r="Q1492" s="131">
        <v>2757.76</v>
      </c>
      <c r="R1492" s="131">
        <v>441.24</v>
      </c>
      <c r="S1492" s="131"/>
      <c r="T1492" s="155"/>
      <c r="U1492" s="131"/>
      <c r="V1492" s="131">
        <v>3199</v>
      </c>
      <c r="W1492">
        <v>166</v>
      </c>
      <c r="X1492" s="151" t="s">
        <v>1644</v>
      </c>
      <c r="Y1492" s="135" t="s">
        <v>55</v>
      </c>
      <c r="Z1492" s="307">
        <v>213</v>
      </c>
      <c r="AB1492" t="str">
        <f>IF(Table1[[#This Row],[TIPO2]]="costo", VLOOKUP(Table1[[#This Row],[PARTIDA PRESUPUESTAL]],'Cost Report'!G:G,1,0),"Balance")</f>
        <v>2494-035</v>
      </c>
      <c r="AC1492" s="118"/>
      <c r="AD1492" s="159">
        <f>+Table1[[#This Row],[SUBTOTAL]]+Table1[[#This Row],[IVA]]-Table1[[#This Row],[RET IVA]]-Table1[[#This Row],[RET ISR]]-Table1[[#This Row],[TOTAL]]</f>
        <v>0</v>
      </c>
      <c r="AE1492" s="150"/>
      <c r="AF1492" s="151"/>
      <c r="AG1492" s="126" t="s">
        <v>3420</v>
      </c>
      <c r="AK1492" s="306" t="str">
        <f>IF(ISNUMBER(Table1[[#This Row],[FECHA DE RECIBIDO]]), Table1[[#This Row],[FECHA DE RECIBIDO]]-DATE(2023,8,30), "")</f>
        <v/>
      </c>
    </row>
    <row r="1493" spans="1:37" ht="16.05" customHeight="1">
      <c r="A1493" s="152" t="s">
        <v>3377</v>
      </c>
      <c r="B1493" s="153">
        <v>491</v>
      </c>
      <c r="C1493" s="126" t="s">
        <v>2458</v>
      </c>
      <c r="D1493">
        <v>940</v>
      </c>
      <c r="E1493" s="126" t="s">
        <v>1603</v>
      </c>
      <c r="F1493" s="125" t="s">
        <v>1607</v>
      </c>
      <c r="G1493" s="125" t="s">
        <v>134</v>
      </c>
      <c r="H1493">
        <v>99</v>
      </c>
      <c r="I1493" s="125" t="s">
        <v>1546</v>
      </c>
      <c r="J1493" s="308" t="s">
        <v>214</v>
      </c>
      <c r="K1493" s="127" t="s">
        <v>3348</v>
      </c>
      <c r="L1493" s="153" t="s">
        <v>1579</v>
      </c>
      <c r="M1493">
        <v>134</v>
      </c>
      <c r="N1493" s="123">
        <v>17</v>
      </c>
      <c r="O1493">
        <v>948</v>
      </c>
      <c r="P1493" s="132" t="s">
        <v>77</v>
      </c>
      <c r="Q1493" s="132">
        <v>1098.27</v>
      </c>
      <c r="R1493" s="132">
        <v>175.72</v>
      </c>
      <c r="S1493" s="132"/>
      <c r="T1493" s="156"/>
      <c r="U1493" s="132"/>
      <c r="V1493" s="132">
        <v>1273.99</v>
      </c>
      <c r="W1493">
        <v>166</v>
      </c>
      <c r="X1493" s="153" t="s">
        <v>1644</v>
      </c>
      <c r="Y1493" s="124" t="s">
        <v>55</v>
      </c>
      <c r="Z1493" s="308">
        <v>213</v>
      </c>
      <c r="AB1493" t="str">
        <f>IF(Table1[[#This Row],[TIPO2]]="costo", VLOOKUP(Table1[[#This Row],[PARTIDA PRESUPUESTAL]],'Cost Report'!G:G,1,0),"Balance")</f>
        <v>2311-003</v>
      </c>
      <c r="AC1493" s="118"/>
      <c r="AD1493" s="159">
        <f>+Table1[[#This Row],[SUBTOTAL]]+Table1[[#This Row],[IVA]]-Table1[[#This Row],[RET IVA]]-Table1[[#This Row],[RET ISR]]-Table1[[#This Row],[TOTAL]]</f>
        <v>0</v>
      </c>
      <c r="AE1493" s="152"/>
      <c r="AF1493" s="153"/>
      <c r="AG1493" s="126" t="s">
        <v>3420</v>
      </c>
      <c r="AK1493" s="306" t="str">
        <f>IF(ISNUMBER(Table1[[#This Row],[FECHA DE RECIBIDO]]), Table1[[#This Row],[FECHA DE RECIBIDO]]-DATE(2023,8,30), "")</f>
        <v/>
      </c>
    </row>
    <row r="1494" spans="1:37" ht="16.05" customHeight="1">
      <c r="A1494" s="150" t="s">
        <v>3377</v>
      </c>
      <c r="B1494" s="151">
        <v>491</v>
      </c>
      <c r="C1494" s="126" t="s">
        <v>2458</v>
      </c>
      <c r="D1494">
        <v>941</v>
      </c>
      <c r="E1494" s="126" t="s">
        <v>3272</v>
      </c>
      <c r="F1494" s="122" t="s">
        <v>1607</v>
      </c>
      <c r="G1494" s="122" t="s">
        <v>134</v>
      </c>
      <c r="H1494">
        <v>99</v>
      </c>
      <c r="I1494" s="122" t="s">
        <v>1546</v>
      </c>
      <c r="J1494" s="307" t="s">
        <v>214</v>
      </c>
      <c r="K1494" s="127" t="s">
        <v>3348</v>
      </c>
      <c r="L1494" s="151" t="s">
        <v>1579</v>
      </c>
      <c r="M1494">
        <v>134</v>
      </c>
      <c r="N1494" s="123">
        <v>17</v>
      </c>
      <c r="O1494">
        <v>949</v>
      </c>
      <c r="P1494" s="132" t="s">
        <v>77</v>
      </c>
      <c r="Q1494" s="131">
        <v>450</v>
      </c>
      <c r="R1494" s="131">
        <v>72</v>
      </c>
      <c r="S1494" s="131"/>
      <c r="T1494" s="155"/>
      <c r="U1494" s="131"/>
      <c r="V1494" s="131">
        <v>522</v>
      </c>
      <c r="W1494">
        <v>166</v>
      </c>
      <c r="X1494" s="151" t="s">
        <v>1644</v>
      </c>
      <c r="Y1494" s="135" t="s">
        <v>55</v>
      </c>
      <c r="Z1494" s="307">
        <v>213</v>
      </c>
      <c r="AB1494" t="str">
        <f>IF(Table1[[#This Row],[TIPO2]]="costo", VLOOKUP(Table1[[#This Row],[PARTIDA PRESUPUESTAL]],'Cost Report'!G:G,1,0),"Balance")</f>
        <v>2311-003</v>
      </c>
      <c r="AC1494" s="118"/>
      <c r="AD1494" s="159">
        <f>+Table1[[#This Row],[SUBTOTAL]]+Table1[[#This Row],[IVA]]-Table1[[#This Row],[RET IVA]]-Table1[[#This Row],[RET ISR]]-Table1[[#This Row],[TOTAL]]</f>
        <v>0</v>
      </c>
      <c r="AE1494" s="150"/>
      <c r="AF1494" s="151"/>
      <c r="AG1494" s="126" t="s">
        <v>3420</v>
      </c>
      <c r="AK1494" s="306" t="str">
        <f>IF(ISNUMBER(Table1[[#This Row],[FECHA DE RECIBIDO]]), Table1[[#This Row],[FECHA DE RECIBIDO]]-DATE(2023,8,30), "")</f>
        <v/>
      </c>
    </row>
    <row r="1495" spans="1:37" ht="16.05" customHeight="1">
      <c r="A1495" s="152" t="s">
        <v>3379</v>
      </c>
      <c r="B1495" s="153">
        <v>492</v>
      </c>
      <c r="C1495" s="126" t="s">
        <v>2443</v>
      </c>
      <c r="D1495">
        <v>942</v>
      </c>
      <c r="E1495" s="126" t="s">
        <v>2096</v>
      </c>
      <c r="F1495" s="125" t="s">
        <v>1607</v>
      </c>
      <c r="G1495" s="125" t="s">
        <v>134</v>
      </c>
      <c r="H1495">
        <v>313</v>
      </c>
      <c r="I1495" s="125" t="s">
        <v>1546</v>
      </c>
      <c r="J1495" s="308" t="s">
        <v>214</v>
      </c>
      <c r="K1495" s="127" t="s">
        <v>3348</v>
      </c>
      <c r="L1495" s="153" t="s">
        <v>1579</v>
      </c>
      <c r="M1495">
        <v>418</v>
      </c>
      <c r="N1495" s="123">
        <v>17</v>
      </c>
      <c r="O1495">
        <v>950</v>
      </c>
      <c r="P1495" s="132" t="s">
        <v>77</v>
      </c>
      <c r="Q1495" s="132">
        <v>431</v>
      </c>
      <c r="R1495" s="132">
        <v>68.959999999999994</v>
      </c>
      <c r="S1495" s="132"/>
      <c r="T1495" s="156"/>
      <c r="U1495" s="132"/>
      <c r="V1495" s="132">
        <v>499.96</v>
      </c>
      <c r="W1495">
        <v>167</v>
      </c>
      <c r="X1495" s="153" t="s">
        <v>1644</v>
      </c>
      <c r="Y1495" s="124" t="s">
        <v>55</v>
      </c>
      <c r="Z1495" s="308">
        <v>202</v>
      </c>
      <c r="AB1495" t="str">
        <f>IF(Table1[[#This Row],[TIPO2]]="costo", VLOOKUP(Table1[[#This Row],[PARTIDA PRESUPUESTAL]],'Cost Report'!G:G,1,0),"Balance")</f>
        <v>2080-003</v>
      </c>
      <c r="AC1495" s="118"/>
      <c r="AD1495" s="159">
        <f>+Table1[[#This Row],[SUBTOTAL]]+Table1[[#This Row],[IVA]]-Table1[[#This Row],[RET IVA]]-Table1[[#This Row],[RET ISR]]-Table1[[#This Row],[TOTAL]]</f>
        <v>0</v>
      </c>
      <c r="AE1495" s="152"/>
      <c r="AF1495" s="153"/>
      <c r="AG1495" s="126" t="s">
        <v>3420</v>
      </c>
      <c r="AK1495" s="306" t="str">
        <f>IF(ISNUMBER(Table1[[#This Row],[FECHA DE RECIBIDO]]), Table1[[#This Row],[FECHA DE RECIBIDO]]-DATE(2023,8,30), "")</f>
        <v/>
      </c>
    </row>
    <row r="1496" spans="1:37" ht="16.05" customHeight="1">
      <c r="A1496" s="150" t="s">
        <v>3379</v>
      </c>
      <c r="B1496" s="151">
        <v>492</v>
      </c>
      <c r="C1496" s="126" t="s">
        <v>2443</v>
      </c>
      <c r="D1496">
        <v>943</v>
      </c>
      <c r="E1496" s="126" t="s">
        <v>1615</v>
      </c>
      <c r="F1496" s="122" t="s">
        <v>1589</v>
      </c>
      <c r="G1496" s="122" t="s">
        <v>134</v>
      </c>
      <c r="H1496">
        <v>314</v>
      </c>
      <c r="I1496" s="122" t="s">
        <v>1546</v>
      </c>
      <c r="J1496" s="307" t="s">
        <v>214</v>
      </c>
      <c r="K1496" s="127" t="s">
        <v>3348</v>
      </c>
      <c r="L1496" s="151" t="s">
        <v>1579</v>
      </c>
      <c r="M1496">
        <v>419</v>
      </c>
      <c r="N1496" s="123">
        <v>17</v>
      </c>
      <c r="O1496">
        <v>951</v>
      </c>
      <c r="P1496" s="132" t="s">
        <v>77</v>
      </c>
      <c r="Q1496" s="131">
        <v>2241.38</v>
      </c>
      <c r="R1496" s="131">
        <v>358.62</v>
      </c>
      <c r="S1496" s="131"/>
      <c r="T1496" s="155"/>
      <c r="U1496" s="131"/>
      <c r="V1496" s="131">
        <v>2600</v>
      </c>
      <c r="W1496">
        <v>167</v>
      </c>
      <c r="X1496" s="151" t="s">
        <v>1644</v>
      </c>
      <c r="Y1496" s="135" t="s">
        <v>55</v>
      </c>
      <c r="Z1496" s="307">
        <v>202</v>
      </c>
      <c r="AB1496" t="str">
        <f>IF(Table1[[#This Row],[TIPO2]]="costo", VLOOKUP(Table1[[#This Row],[PARTIDA PRESUPUESTAL]],'Cost Report'!G:G,1,0),"Balance")</f>
        <v>2080-003</v>
      </c>
      <c r="AC1496" s="118"/>
      <c r="AD1496" s="159">
        <f>+Table1[[#This Row],[SUBTOTAL]]+Table1[[#This Row],[IVA]]-Table1[[#This Row],[RET IVA]]-Table1[[#This Row],[RET ISR]]-Table1[[#This Row],[TOTAL]]</f>
        <v>0</v>
      </c>
      <c r="AE1496" s="150"/>
      <c r="AF1496" s="151"/>
      <c r="AG1496" s="126" t="s">
        <v>3420</v>
      </c>
      <c r="AK1496" s="306" t="str">
        <f>IF(ISNUMBER(Table1[[#This Row],[FECHA DE RECIBIDO]]), Table1[[#This Row],[FECHA DE RECIBIDO]]-DATE(2023,8,30), "")</f>
        <v/>
      </c>
    </row>
    <row r="1497" spans="1:37" ht="16.05" customHeight="1">
      <c r="A1497" s="152" t="s">
        <v>3379</v>
      </c>
      <c r="B1497" s="153">
        <v>492</v>
      </c>
      <c r="C1497" s="126" t="s">
        <v>2443</v>
      </c>
      <c r="D1497">
        <v>944</v>
      </c>
      <c r="E1497" s="126" t="s">
        <v>3380</v>
      </c>
      <c r="F1497" s="125" t="s">
        <v>1593</v>
      </c>
      <c r="G1497" s="125" t="s">
        <v>134</v>
      </c>
      <c r="H1497">
        <v>315</v>
      </c>
      <c r="I1497" s="125" t="s">
        <v>1546</v>
      </c>
      <c r="J1497" s="308" t="s">
        <v>214</v>
      </c>
      <c r="K1497" s="127" t="s">
        <v>3348</v>
      </c>
      <c r="L1497" s="153" t="s">
        <v>1579</v>
      </c>
      <c r="M1497">
        <v>420</v>
      </c>
      <c r="N1497" s="123">
        <v>17</v>
      </c>
      <c r="O1497">
        <v>952</v>
      </c>
      <c r="P1497" s="132" t="s">
        <v>77</v>
      </c>
      <c r="Q1497" s="132">
        <v>3150</v>
      </c>
      <c r="R1497" s="132">
        <v>504</v>
      </c>
      <c r="S1497" s="132"/>
      <c r="T1497" s="156"/>
      <c r="U1497" s="132"/>
      <c r="V1497" s="132">
        <v>3654</v>
      </c>
      <c r="W1497">
        <v>167</v>
      </c>
      <c r="X1497" s="153" t="s">
        <v>1644</v>
      </c>
      <c r="Y1497" s="124" t="s">
        <v>55</v>
      </c>
      <c r="Z1497" s="308">
        <v>203</v>
      </c>
      <c r="AB1497" t="str">
        <f>IF(Table1[[#This Row],[TIPO2]]="costo", VLOOKUP(Table1[[#This Row],[PARTIDA PRESUPUESTAL]],'Cost Report'!G:G,1,0),"Balance")</f>
        <v>2080-003</v>
      </c>
      <c r="AC1497" s="118"/>
      <c r="AD1497" s="159">
        <f>+Table1[[#This Row],[SUBTOTAL]]+Table1[[#This Row],[IVA]]-Table1[[#This Row],[RET IVA]]-Table1[[#This Row],[RET ISR]]-Table1[[#This Row],[TOTAL]]</f>
        <v>0</v>
      </c>
      <c r="AE1497" s="152"/>
      <c r="AF1497" s="153"/>
      <c r="AG1497" s="126" t="s">
        <v>3420</v>
      </c>
      <c r="AK1497" s="306" t="str">
        <f>IF(ISNUMBER(Table1[[#This Row],[FECHA DE RECIBIDO]]), Table1[[#This Row],[FECHA DE RECIBIDO]]-DATE(2023,8,30), "")</f>
        <v/>
      </c>
    </row>
    <row r="1498" spans="1:37" ht="16.05" customHeight="1">
      <c r="A1498" s="150" t="s">
        <v>3379</v>
      </c>
      <c r="B1498" s="151">
        <v>492</v>
      </c>
      <c r="C1498" s="126" t="s">
        <v>3415</v>
      </c>
      <c r="D1498">
        <v>945</v>
      </c>
      <c r="E1498" s="126" t="s">
        <v>1623</v>
      </c>
      <c r="F1498" s="122" t="s">
        <v>1607</v>
      </c>
      <c r="G1498" s="122" t="s">
        <v>134</v>
      </c>
      <c r="H1498">
        <v>45</v>
      </c>
      <c r="I1498" s="122" t="s">
        <v>1546</v>
      </c>
      <c r="J1498" s="307" t="s">
        <v>214</v>
      </c>
      <c r="K1498" s="127" t="s">
        <v>3348</v>
      </c>
      <c r="L1498" s="151" t="s">
        <v>1579</v>
      </c>
      <c r="M1498">
        <v>56</v>
      </c>
      <c r="N1498" s="123">
        <v>17</v>
      </c>
      <c r="O1498">
        <v>953</v>
      </c>
      <c r="P1498" s="132" t="s">
        <v>77</v>
      </c>
      <c r="Q1498" s="131">
        <v>1551.72</v>
      </c>
      <c r="R1498" s="131">
        <v>248.28</v>
      </c>
      <c r="S1498" s="131"/>
      <c r="T1498" s="155"/>
      <c r="U1498" s="131"/>
      <c r="V1498" s="131">
        <v>1800</v>
      </c>
      <c r="W1498">
        <v>167</v>
      </c>
      <c r="X1498" s="151" t="s">
        <v>1644</v>
      </c>
      <c r="Y1498" s="135" t="s">
        <v>55</v>
      </c>
      <c r="Z1498" s="307">
        <v>203</v>
      </c>
      <c r="AB1498" t="str">
        <f>IF(Table1[[#This Row],[TIPO2]]="costo", VLOOKUP(Table1[[#This Row],[PARTIDA PRESUPUESTAL]],'Cost Report'!G:G,1,0),"Balance")</f>
        <v>3629-006</v>
      </c>
      <c r="AC1498" s="118"/>
      <c r="AD1498" s="159">
        <f>+Table1[[#This Row],[SUBTOTAL]]+Table1[[#This Row],[IVA]]-Table1[[#This Row],[RET IVA]]-Table1[[#This Row],[RET ISR]]-Table1[[#This Row],[TOTAL]]</f>
        <v>0</v>
      </c>
      <c r="AE1498" s="150"/>
      <c r="AF1498" s="151"/>
      <c r="AG1498" s="126" t="s">
        <v>3420</v>
      </c>
      <c r="AK1498" s="306" t="str">
        <f>IF(ISNUMBER(Table1[[#This Row],[FECHA DE RECIBIDO]]), Table1[[#This Row],[FECHA DE RECIBIDO]]-DATE(2023,8,30), "")</f>
        <v/>
      </c>
    </row>
    <row r="1499" spans="1:37" ht="16.05" customHeight="1">
      <c r="A1499" s="152" t="s">
        <v>3379</v>
      </c>
      <c r="B1499" s="153">
        <v>492</v>
      </c>
      <c r="C1499" s="126" t="s">
        <v>3415</v>
      </c>
      <c r="D1499">
        <v>946</v>
      </c>
      <c r="E1499" s="126" t="s">
        <v>1623</v>
      </c>
      <c r="F1499" s="125" t="s">
        <v>1607</v>
      </c>
      <c r="G1499" s="125" t="s">
        <v>134</v>
      </c>
      <c r="H1499">
        <v>45</v>
      </c>
      <c r="I1499" s="125" t="s">
        <v>1546</v>
      </c>
      <c r="J1499" s="308" t="s">
        <v>214</v>
      </c>
      <c r="K1499" s="127" t="s">
        <v>3348</v>
      </c>
      <c r="L1499" s="153" t="s">
        <v>1579</v>
      </c>
      <c r="M1499">
        <v>56</v>
      </c>
      <c r="N1499" s="123">
        <v>17</v>
      </c>
      <c r="O1499">
        <v>953</v>
      </c>
      <c r="P1499" s="132" t="s">
        <v>77</v>
      </c>
      <c r="Q1499" s="132">
        <v>1724.14</v>
      </c>
      <c r="R1499" s="132">
        <v>275.86</v>
      </c>
      <c r="S1499" s="132"/>
      <c r="T1499" s="156"/>
      <c r="U1499" s="132"/>
      <c r="V1499" s="132">
        <v>2000</v>
      </c>
      <c r="W1499">
        <v>167</v>
      </c>
      <c r="X1499" s="153" t="s">
        <v>1644</v>
      </c>
      <c r="Y1499" s="124" t="s">
        <v>55</v>
      </c>
      <c r="Z1499" s="308">
        <v>203</v>
      </c>
      <c r="AB1499" t="str">
        <f>IF(Table1[[#This Row],[TIPO2]]="costo", VLOOKUP(Table1[[#This Row],[PARTIDA PRESUPUESTAL]],'Cost Report'!G:G,1,0),"Balance")</f>
        <v>3629-006</v>
      </c>
      <c r="AC1499" s="118"/>
      <c r="AD1499" s="159">
        <f>+Table1[[#This Row],[SUBTOTAL]]+Table1[[#This Row],[IVA]]-Table1[[#This Row],[RET IVA]]-Table1[[#This Row],[RET ISR]]-Table1[[#This Row],[TOTAL]]</f>
        <v>0</v>
      </c>
      <c r="AE1499" s="152"/>
      <c r="AF1499" s="153"/>
      <c r="AG1499" s="126" t="s">
        <v>3420</v>
      </c>
      <c r="AK1499" s="306" t="str">
        <f>IF(ISNUMBER(Table1[[#This Row],[FECHA DE RECIBIDO]]), Table1[[#This Row],[FECHA DE RECIBIDO]]-DATE(2023,8,30), "")</f>
        <v/>
      </c>
    </row>
    <row r="1500" spans="1:37" ht="16.05" customHeight="1">
      <c r="A1500" s="150" t="s">
        <v>3379</v>
      </c>
      <c r="B1500" s="151">
        <v>492</v>
      </c>
      <c r="C1500" s="126" t="s">
        <v>3415</v>
      </c>
      <c r="D1500">
        <v>947</v>
      </c>
      <c r="E1500" s="126" t="s">
        <v>1623</v>
      </c>
      <c r="F1500" s="122" t="s">
        <v>1607</v>
      </c>
      <c r="G1500" s="122" t="s">
        <v>134</v>
      </c>
      <c r="H1500">
        <v>45</v>
      </c>
      <c r="I1500" s="122" t="s">
        <v>1546</v>
      </c>
      <c r="J1500" s="307" t="s">
        <v>214</v>
      </c>
      <c r="K1500" s="127" t="s">
        <v>3348</v>
      </c>
      <c r="L1500" s="151" t="s">
        <v>1579</v>
      </c>
      <c r="M1500">
        <v>56</v>
      </c>
      <c r="N1500" s="123">
        <v>17</v>
      </c>
      <c r="O1500">
        <v>953</v>
      </c>
      <c r="P1500" s="132" t="s">
        <v>77</v>
      </c>
      <c r="Q1500" s="131">
        <v>172.41</v>
      </c>
      <c r="R1500" s="131">
        <v>27.59</v>
      </c>
      <c r="S1500" s="131"/>
      <c r="T1500" s="155"/>
      <c r="U1500" s="131"/>
      <c r="V1500" s="131">
        <v>200</v>
      </c>
      <c r="W1500">
        <v>167</v>
      </c>
      <c r="X1500" s="151" t="s">
        <v>1644</v>
      </c>
      <c r="Y1500" s="135" t="s">
        <v>55</v>
      </c>
      <c r="Z1500" s="307">
        <v>203</v>
      </c>
      <c r="AB1500" t="str">
        <f>IF(Table1[[#This Row],[TIPO2]]="costo", VLOOKUP(Table1[[#This Row],[PARTIDA PRESUPUESTAL]],'Cost Report'!G:G,1,0),"Balance")</f>
        <v>3629-006</v>
      </c>
      <c r="AC1500" s="118"/>
      <c r="AD1500" s="159">
        <f>+Table1[[#This Row],[SUBTOTAL]]+Table1[[#This Row],[IVA]]-Table1[[#This Row],[RET IVA]]-Table1[[#This Row],[RET ISR]]-Table1[[#This Row],[TOTAL]]</f>
        <v>0</v>
      </c>
      <c r="AE1500" s="150"/>
      <c r="AF1500" s="151"/>
      <c r="AG1500" s="126" t="s">
        <v>3420</v>
      </c>
      <c r="AK1500" s="306" t="str">
        <f>IF(ISNUMBER(Table1[[#This Row],[FECHA DE RECIBIDO]]), Table1[[#This Row],[FECHA DE RECIBIDO]]-DATE(2023,8,30), "")</f>
        <v/>
      </c>
    </row>
    <row r="1501" spans="1:37" ht="16.05" customHeight="1">
      <c r="A1501" s="152" t="s">
        <v>3379</v>
      </c>
      <c r="B1501" s="153">
        <v>492</v>
      </c>
      <c r="C1501" s="126" t="s">
        <v>2354</v>
      </c>
      <c r="D1501">
        <v>948</v>
      </c>
      <c r="E1501" s="126" t="s">
        <v>1647</v>
      </c>
      <c r="F1501" s="125" t="s">
        <v>1607</v>
      </c>
      <c r="G1501" s="125" t="s">
        <v>134</v>
      </c>
      <c r="H1501">
        <v>316</v>
      </c>
      <c r="I1501" s="125" t="s">
        <v>1546</v>
      </c>
      <c r="J1501" s="308" t="s">
        <v>214</v>
      </c>
      <c r="K1501" s="127" t="s">
        <v>3348</v>
      </c>
      <c r="L1501" s="153" t="s">
        <v>1579</v>
      </c>
      <c r="M1501">
        <v>421</v>
      </c>
      <c r="N1501" s="123">
        <v>17</v>
      </c>
      <c r="O1501">
        <v>954</v>
      </c>
      <c r="P1501" s="132" t="s">
        <v>77</v>
      </c>
      <c r="Q1501" s="132">
        <v>2278.5</v>
      </c>
      <c r="R1501" s="132">
        <v>364.56</v>
      </c>
      <c r="S1501" s="132"/>
      <c r="T1501" s="156"/>
      <c r="U1501" s="132"/>
      <c r="V1501" s="132">
        <v>2643.06</v>
      </c>
      <c r="W1501">
        <v>167</v>
      </c>
      <c r="X1501" s="153" t="s">
        <v>1644</v>
      </c>
      <c r="Y1501" s="124" t="s">
        <v>55</v>
      </c>
      <c r="Z1501" s="308">
        <v>204</v>
      </c>
      <c r="AB1501" t="str">
        <f>IF(Table1[[#This Row],[TIPO2]]="costo", VLOOKUP(Table1[[#This Row],[PARTIDA PRESUPUESTAL]],'Cost Report'!G:G,1,0),"Balance")</f>
        <v>1641-012</v>
      </c>
      <c r="AC1501" s="118"/>
      <c r="AD1501" s="159">
        <f>+Table1[[#This Row],[SUBTOTAL]]+Table1[[#This Row],[IVA]]-Table1[[#This Row],[RET IVA]]-Table1[[#This Row],[RET ISR]]-Table1[[#This Row],[TOTAL]]</f>
        <v>0</v>
      </c>
      <c r="AE1501" s="152"/>
      <c r="AF1501" s="153"/>
      <c r="AG1501" s="126" t="s">
        <v>3420</v>
      </c>
      <c r="AK1501" s="306" t="str">
        <f>IF(ISNUMBER(Table1[[#This Row],[FECHA DE RECIBIDO]]), Table1[[#This Row],[FECHA DE RECIBIDO]]-DATE(2023,8,30), "")</f>
        <v/>
      </c>
    </row>
    <row r="1502" spans="1:37" ht="16.05" customHeight="1">
      <c r="A1502" s="150" t="s">
        <v>3379</v>
      </c>
      <c r="B1502" s="151">
        <v>492</v>
      </c>
      <c r="C1502" s="126" t="s">
        <v>2860</v>
      </c>
      <c r="D1502">
        <v>949</v>
      </c>
      <c r="E1502" s="126" t="s">
        <v>3381</v>
      </c>
      <c r="F1502" s="122" t="s">
        <v>1607</v>
      </c>
      <c r="G1502" s="122" t="s">
        <v>134</v>
      </c>
      <c r="H1502">
        <v>317</v>
      </c>
      <c r="I1502" s="122" t="s">
        <v>1546</v>
      </c>
      <c r="J1502" s="307" t="s">
        <v>214</v>
      </c>
      <c r="K1502" s="127" t="s">
        <v>3348</v>
      </c>
      <c r="L1502" s="151" t="s">
        <v>1579</v>
      </c>
      <c r="M1502">
        <v>422</v>
      </c>
      <c r="N1502" s="123">
        <v>17</v>
      </c>
      <c r="O1502">
        <v>955</v>
      </c>
      <c r="P1502" s="132" t="s">
        <v>77</v>
      </c>
      <c r="Q1502" s="131">
        <v>864.53</v>
      </c>
      <c r="R1502" s="131">
        <v>135.47</v>
      </c>
      <c r="S1502" s="131"/>
      <c r="T1502" s="155"/>
      <c r="U1502" s="131"/>
      <c r="V1502" s="131">
        <v>1000</v>
      </c>
      <c r="W1502">
        <v>167</v>
      </c>
      <c r="X1502" s="151" t="s">
        <v>1644</v>
      </c>
      <c r="Y1502" s="135" t="s">
        <v>55</v>
      </c>
      <c r="Z1502" s="307">
        <v>208</v>
      </c>
      <c r="AB1502" t="str">
        <f>IF(Table1[[#This Row],[TIPO2]]="costo", VLOOKUP(Table1[[#This Row],[PARTIDA PRESUPUESTAL]],'Cost Report'!G:G,1,0),"Balance")</f>
        <v>3629-003</v>
      </c>
      <c r="AC1502" s="118"/>
      <c r="AD1502" s="159">
        <f>+Table1[[#This Row],[SUBTOTAL]]+Table1[[#This Row],[IVA]]-Table1[[#This Row],[RET IVA]]-Table1[[#This Row],[RET ISR]]-Table1[[#This Row],[TOTAL]]</f>
        <v>0</v>
      </c>
      <c r="AE1502" s="150"/>
      <c r="AF1502" s="151"/>
      <c r="AG1502" s="126" t="s">
        <v>3420</v>
      </c>
      <c r="AK1502" s="306" t="str">
        <f>IF(ISNUMBER(Table1[[#This Row],[FECHA DE RECIBIDO]]), Table1[[#This Row],[FECHA DE RECIBIDO]]-DATE(2023,8,30), "")</f>
        <v/>
      </c>
    </row>
    <row r="1503" spans="1:37" ht="16.05" customHeight="1">
      <c r="A1503" s="152" t="s">
        <v>3379</v>
      </c>
      <c r="B1503" s="153">
        <v>492</v>
      </c>
      <c r="C1503" s="126" t="s">
        <v>2860</v>
      </c>
      <c r="D1503">
        <v>950</v>
      </c>
      <c r="E1503" s="126" t="s">
        <v>1996</v>
      </c>
      <c r="F1503" s="125" t="s">
        <v>1602</v>
      </c>
      <c r="G1503" s="125" t="s">
        <v>134</v>
      </c>
      <c r="H1503">
        <v>134</v>
      </c>
      <c r="I1503" s="125" t="s">
        <v>1546</v>
      </c>
      <c r="J1503" s="308" t="s">
        <v>214</v>
      </c>
      <c r="K1503" s="127" t="s">
        <v>3348</v>
      </c>
      <c r="L1503" s="153" t="s">
        <v>1579</v>
      </c>
      <c r="M1503">
        <v>105</v>
      </c>
      <c r="N1503" s="123">
        <v>17</v>
      </c>
      <c r="O1503">
        <v>956</v>
      </c>
      <c r="P1503" s="132" t="s">
        <v>77</v>
      </c>
      <c r="Q1503" s="132">
        <v>219.83</v>
      </c>
      <c r="R1503" s="132">
        <v>35.17</v>
      </c>
      <c r="S1503" s="132"/>
      <c r="T1503" s="156"/>
      <c r="U1503" s="132"/>
      <c r="V1503" s="132">
        <v>255</v>
      </c>
      <c r="W1503">
        <v>167</v>
      </c>
      <c r="X1503" s="153" t="s">
        <v>1644</v>
      </c>
      <c r="Y1503" s="124" t="s">
        <v>55</v>
      </c>
      <c r="Z1503" s="308">
        <v>208</v>
      </c>
      <c r="AB1503" t="str">
        <f>IF(Table1[[#This Row],[TIPO2]]="costo", VLOOKUP(Table1[[#This Row],[PARTIDA PRESUPUESTAL]],'Cost Report'!G:G,1,0),"Balance")</f>
        <v>3629-003</v>
      </c>
      <c r="AC1503" s="118"/>
      <c r="AD1503" s="159">
        <f>+Table1[[#This Row],[SUBTOTAL]]+Table1[[#This Row],[IVA]]-Table1[[#This Row],[RET IVA]]-Table1[[#This Row],[RET ISR]]-Table1[[#This Row],[TOTAL]]</f>
        <v>0</v>
      </c>
      <c r="AE1503" s="152"/>
      <c r="AF1503" s="153"/>
      <c r="AG1503" s="126" t="s">
        <v>3420</v>
      </c>
      <c r="AK1503" s="306" t="str">
        <f>IF(ISNUMBER(Table1[[#This Row],[FECHA DE RECIBIDO]]), Table1[[#This Row],[FECHA DE RECIBIDO]]-DATE(2023,8,30), "")</f>
        <v/>
      </c>
    </row>
    <row r="1504" spans="1:37" ht="16.05" customHeight="1">
      <c r="A1504" s="150" t="s">
        <v>3379</v>
      </c>
      <c r="B1504" s="151">
        <v>492</v>
      </c>
      <c r="C1504" s="126" t="s">
        <v>2860</v>
      </c>
      <c r="D1504">
        <v>951</v>
      </c>
      <c r="E1504" s="126" t="s">
        <v>1996</v>
      </c>
      <c r="F1504" s="122" t="s">
        <v>1602</v>
      </c>
      <c r="G1504" s="122" t="s">
        <v>134</v>
      </c>
      <c r="H1504">
        <v>134</v>
      </c>
      <c r="I1504" s="122" t="s">
        <v>1546</v>
      </c>
      <c r="J1504" s="307" t="s">
        <v>214</v>
      </c>
      <c r="K1504" s="127" t="s">
        <v>3348</v>
      </c>
      <c r="L1504" s="151" t="s">
        <v>1579</v>
      </c>
      <c r="M1504">
        <v>105</v>
      </c>
      <c r="N1504" s="123">
        <v>17</v>
      </c>
      <c r="O1504">
        <v>956</v>
      </c>
      <c r="P1504" s="132" t="s">
        <v>77</v>
      </c>
      <c r="Q1504" s="131">
        <v>1362.07</v>
      </c>
      <c r="R1504" s="131">
        <v>217.93</v>
      </c>
      <c r="S1504" s="131"/>
      <c r="T1504" s="155"/>
      <c r="U1504" s="131"/>
      <c r="V1504" s="131">
        <v>1580</v>
      </c>
      <c r="W1504">
        <v>167</v>
      </c>
      <c r="X1504" s="151" t="s">
        <v>1644</v>
      </c>
      <c r="Y1504" s="135" t="s">
        <v>55</v>
      </c>
      <c r="Z1504" s="307">
        <v>208</v>
      </c>
      <c r="AB1504" t="str">
        <f>IF(Table1[[#This Row],[TIPO2]]="costo", VLOOKUP(Table1[[#This Row],[PARTIDA PRESUPUESTAL]],'Cost Report'!G:G,1,0),"Balance")</f>
        <v>3629-003</v>
      </c>
      <c r="AC1504" s="118"/>
      <c r="AD1504" s="159">
        <f>+Table1[[#This Row],[SUBTOTAL]]+Table1[[#This Row],[IVA]]-Table1[[#This Row],[RET IVA]]-Table1[[#This Row],[RET ISR]]-Table1[[#This Row],[TOTAL]]</f>
        <v>0</v>
      </c>
      <c r="AE1504" s="150"/>
      <c r="AF1504" s="151"/>
      <c r="AG1504" s="126" t="s">
        <v>3420</v>
      </c>
      <c r="AK1504" s="306" t="str">
        <f>IF(ISNUMBER(Table1[[#This Row],[FECHA DE RECIBIDO]]), Table1[[#This Row],[FECHA DE RECIBIDO]]-DATE(2023,8,30), "")</f>
        <v/>
      </c>
    </row>
    <row r="1505" spans="1:37" ht="16.05" customHeight="1">
      <c r="A1505" s="152" t="s">
        <v>3379</v>
      </c>
      <c r="B1505" s="153">
        <v>492</v>
      </c>
      <c r="C1505" s="126" t="s">
        <v>2860</v>
      </c>
      <c r="D1505">
        <v>952</v>
      </c>
      <c r="E1505" s="126" t="s">
        <v>3382</v>
      </c>
      <c r="F1505" s="125" t="s">
        <v>1607</v>
      </c>
      <c r="G1505" s="125" t="s">
        <v>134</v>
      </c>
      <c r="H1505">
        <v>318</v>
      </c>
      <c r="I1505" s="125" t="s">
        <v>1546</v>
      </c>
      <c r="J1505" s="308" t="s">
        <v>214</v>
      </c>
      <c r="K1505" s="127" t="s">
        <v>3348</v>
      </c>
      <c r="L1505" s="153" t="s">
        <v>1579</v>
      </c>
      <c r="M1505">
        <v>423</v>
      </c>
      <c r="N1505" s="123">
        <v>17</v>
      </c>
      <c r="O1505">
        <v>957</v>
      </c>
      <c r="P1505" s="132" t="s">
        <v>77</v>
      </c>
      <c r="Q1505" s="132">
        <v>112</v>
      </c>
      <c r="R1505" s="132"/>
      <c r="S1505" s="132"/>
      <c r="T1505" s="156"/>
      <c r="U1505" s="132"/>
      <c r="V1505" s="132">
        <v>112</v>
      </c>
      <c r="W1505">
        <v>167</v>
      </c>
      <c r="X1505" s="153" t="s">
        <v>1644</v>
      </c>
      <c r="Y1505" s="124" t="s">
        <v>55</v>
      </c>
      <c r="Z1505" s="308">
        <v>208</v>
      </c>
      <c r="AB1505" t="str">
        <f>IF(Table1[[#This Row],[TIPO2]]="costo", VLOOKUP(Table1[[#This Row],[PARTIDA PRESUPUESTAL]],'Cost Report'!G:G,1,0),"Balance")</f>
        <v>3629-003</v>
      </c>
      <c r="AC1505" s="118"/>
      <c r="AD1505" s="159">
        <f>+Table1[[#This Row],[SUBTOTAL]]+Table1[[#This Row],[IVA]]-Table1[[#This Row],[RET IVA]]-Table1[[#This Row],[RET ISR]]-Table1[[#This Row],[TOTAL]]</f>
        <v>0</v>
      </c>
      <c r="AE1505" s="152"/>
      <c r="AF1505" s="153"/>
      <c r="AG1505" s="126" t="s">
        <v>3420</v>
      </c>
      <c r="AK1505" s="306" t="str">
        <f>IF(ISNUMBER(Table1[[#This Row],[FECHA DE RECIBIDO]]), Table1[[#This Row],[FECHA DE RECIBIDO]]-DATE(2023,8,30), "")</f>
        <v/>
      </c>
    </row>
    <row r="1506" spans="1:37" ht="16.05" customHeight="1">
      <c r="A1506" s="150" t="s">
        <v>3379</v>
      </c>
      <c r="B1506" s="151">
        <v>492</v>
      </c>
      <c r="C1506" s="126" t="s">
        <v>2860</v>
      </c>
      <c r="D1506">
        <v>953</v>
      </c>
      <c r="E1506" s="126" t="s">
        <v>3382</v>
      </c>
      <c r="F1506" s="122" t="s">
        <v>1607</v>
      </c>
      <c r="G1506" s="122" t="s">
        <v>134</v>
      </c>
      <c r="H1506">
        <v>318</v>
      </c>
      <c r="I1506" s="122" t="s">
        <v>1546</v>
      </c>
      <c r="J1506" s="307" t="s">
        <v>214</v>
      </c>
      <c r="K1506" s="127" t="s">
        <v>3348</v>
      </c>
      <c r="L1506" s="151" t="s">
        <v>1579</v>
      </c>
      <c r="M1506">
        <v>423</v>
      </c>
      <c r="N1506" s="123">
        <v>17</v>
      </c>
      <c r="O1506">
        <v>958</v>
      </c>
      <c r="P1506" s="132" t="s">
        <v>77</v>
      </c>
      <c r="Q1506" s="131">
        <v>80</v>
      </c>
      <c r="R1506" s="131"/>
      <c r="S1506" s="131"/>
      <c r="T1506" s="155"/>
      <c r="U1506" s="131"/>
      <c r="V1506" s="131">
        <v>80</v>
      </c>
      <c r="W1506">
        <v>167</v>
      </c>
      <c r="X1506" s="151" t="s">
        <v>1644</v>
      </c>
      <c r="Y1506" s="135" t="s">
        <v>55</v>
      </c>
      <c r="Z1506" s="307">
        <v>208</v>
      </c>
      <c r="AB1506" t="str">
        <f>IF(Table1[[#This Row],[TIPO2]]="costo", VLOOKUP(Table1[[#This Row],[PARTIDA PRESUPUESTAL]],'Cost Report'!G:G,1,0),"Balance")</f>
        <v>3629-003</v>
      </c>
      <c r="AC1506" s="118"/>
      <c r="AD1506" s="159">
        <f>+Table1[[#This Row],[SUBTOTAL]]+Table1[[#This Row],[IVA]]-Table1[[#This Row],[RET IVA]]-Table1[[#This Row],[RET ISR]]-Table1[[#This Row],[TOTAL]]</f>
        <v>0</v>
      </c>
      <c r="AE1506" s="150"/>
      <c r="AF1506" s="151"/>
      <c r="AG1506" s="126" t="s">
        <v>3420</v>
      </c>
      <c r="AK1506" s="306" t="str">
        <f>IF(ISNUMBER(Table1[[#This Row],[FECHA DE RECIBIDO]]), Table1[[#This Row],[FECHA DE RECIBIDO]]-DATE(2023,8,30), "")</f>
        <v/>
      </c>
    </row>
    <row r="1507" spans="1:37" ht="16.05" customHeight="1">
      <c r="A1507" s="152" t="s">
        <v>3379</v>
      </c>
      <c r="B1507" s="153">
        <v>492</v>
      </c>
      <c r="C1507" s="126" t="s">
        <v>1714</v>
      </c>
      <c r="D1507">
        <v>954</v>
      </c>
      <c r="E1507" s="126" t="s">
        <v>2071</v>
      </c>
      <c r="F1507" s="125" t="s">
        <v>1607</v>
      </c>
      <c r="G1507" s="125" t="s">
        <v>134</v>
      </c>
      <c r="H1507">
        <v>138</v>
      </c>
      <c r="I1507" s="125" t="s">
        <v>1546</v>
      </c>
      <c r="J1507" s="308" t="s">
        <v>214</v>
      </c>
      <c r="K1507" s="127" t="s">
        <v>3348</v>
      </c>
      <c r="L1507" s="153" t="s">
        <v>1579</v>
      </c>
      <c r="M1507">
        <v>180</v>
      </c>
      <c r="N1507" s="123">
        <v>17</v>
      </c>
      <c r="O1507">
        <v>959</v>
      </c>
      <c r="P1507" s="132" t="s">
        <v>77</v>
      </c>
      <c r="Q1507" s="132">
        <v>1073.28</v>
      </c>
      <c r="R1507" s="132">
        <v>171.72</v>
      </c>
      <c r="S1507" s="132"/>
      <c r="T1507" s="156"/>
      <c r="U1507" s="132"/>
      <c r="V1507" s="132">
        <v>1245</v>
      </c>
      <c r="W1507">
        <v>167</v>
      </c>
      <c r="X1507" s="153" t="s">
        <v>1644</v>
      </c>
      <c r="Y1507" s="124" t="s">
        <v>55</v>
      </c>
      <c r="Z1507" s="308">
        <v>208</v>
      </c>
      <c r="AB1507" t="str">
        <f>IF(Table1[[#This Row],[TIPO2]]="costo", VLOOKUP(Table1[[#This Row],[PARTIDA PRESUPUESTAL]],'Cost Report'!G:G,1,0),"Balance")</f>
        <v>1426-003</v>
      </c>
      <c r="AC1507" s="118"/>
      <c r="AD1507" s="159">
        <f>+Table1[[#This Row],[SUBTOTAL]]+Table1[[#This Row],[IVA]]-Table1[[#This Row],[RET IVA]]-Table1[[#This Row],[RET ISR]]-Table1[[#This Row],[TOTAL]]</f>
        <v>0</v>
      </c>
      <c r="AE1507" s="152"/>
      <c r="AF1507" s="153"/>
      <c r="AG1507" s="126" t="s">
        <v>3420</v>
      </c>
      <c r="AK1507" s="306" t="str">
        <f>IF(ISNUMBER(Table1[[#This Row],[FECHA DE RECIBIDO]]), Table1[[#This Row],[FECHA DE RECIBIDO]]-DATE(2023,8,30), "")</f>
        <v/>
      </c>
    </row>
    <row r="1508" spans="1:37" ht="16.05" customHeight="1">
      <c r="A1508" s="150" t="s">
        <v>3379</v>
      </c>
      <c r="B1508" s="151">
        <v>492</v>
      </c>
      <c r="C1508" s="126" t="s">
        <v>2860</v>
      </c>
      <c r="D1508">
        <v>955</v>
      </c>
      <c r="E1508" s="126" t="s">
        <v>3383</v>
      </c>
      <c r="F1508" s="122" t="s">
        <v>1607</v>
      </c>
      <c r="G1508" s="122" t="s">
        <v>134</v>
      </c>
      <c r="H1508">
        <v>319</v>
      </c>
      <c r="I1508" s="122" t="s">
        <v>1546</v>
      </c>
      <c r="J1508" s="307" t="s">
        <v>214</v>
      </c>
      <c r="K1508" s="127" t="s">
        <v>3348</v>
      </c>
      <c r="L1508" s="151" t="s">
        <v>1579</v>
      </c>
      <c r="M1508">
        <v>424</v>
      </c>
      <c r="N1508" s="123">
        <v>17</v>
      </c>
      <c r="O1508">
        <v>958</v>
      </c>
      <c r="P1508" s="132" t="s">
        <v>77</v>
      </c>
      <c r="Q1508" s="131">
        <v>93.01</v>
      </c>
      <c r="R1508" s="131">
        <v>9.99</v>
      </c>
      <c r="S1508" s="131"/>
      <c r="T1508" s="155"/>
      <c r="U1508" s="131"/>
      <c r="V1508" s="131">
        <v>103</v>
      </c>
      <c r="W1508">
        <v>167</v>
      </c>
      <c r="X1508" s="151" t="s">
        <v>1644</v>
      </c>
      <c r="Y1508" s="135" t="s">
        <v>55</v>
      </c>
      <c r="Z1508" s="307">
        <v>208</v>
      </c>
      <c r="AB1508" t="str">
        <f>IF(Table1[[#This Row],[TIPO2]]="costo", VLOOKUP(Table1[[#This Row],[PARTIDA PRESUPUESTAL]],'Cost Report'!G:G,1,0),"Balance")</f>
        <v>3629-003</v>
      </c>
      <c r="AC1508" s="118"/>
      <c r="AD1508" s="159">
        <f>+Table1[[#This Row],[SUBTOTAL]]+Table1[[#This Row],[IVA]]-Table1[[#This Row],[RET IVA]]-Table1[[#This Row],[RET ISR]]-Table1[[#This Row],[TOTAL]]</f>
        <v>0</v>
      </c>
      <c r="AE1508" s="150"/>
      <c r="AF1508" s="151"/>
      <c r="AG1508" s="126" t="s">
        <v>3420</v>
      </c>
      <c r="AK1508" s="306" t="str">
        <f>IF(ISNUMBER(Table1[[#This Row],[FECHA DE RECIBIDO]]), Table1[[#This Row],[FECHA DE RECIBIDO]]-DATE(2023,8,30), "")</f>
        <v/>
      </c>
    </row>
    <row r="1509" spans="1:37" ht="16.05" customHeight="1">
      <c r="A1509" s="152" t="s">
        <v>3379</v>
      </c>
      <c r="B1509" s="153">
        <v>492</v>
      </c>
      <c r="C1509" s="126" t="s">
        <v>2860</v>
      </c>
      <c r="D1509">
        <v>956</v>
      </c>
      <c r="E1509" s="126" t="s">
        <v>3383</v>
      </c>
      <c r="F1509" s="125" t="s">
        <v>1607</v>
      </c>
      <c r="G1509" s="125" t="s">
        <v>134</v>
      </c>
      <c r="H1509">
        <v>319</v>
      </c>
      <c r="I1509" s="125" t="s">
        <v>1546</v>
      </c>
      <c r="J1509" s="308" t="s">
        <v>214</v>
      </c>
      <c r="K1509" s="127" t="s">
        <v>3348</v>
      </c>
      <c r="L1509" s="153" t="s">
        <v>1579</v>
      </c>
      <c r="M1509">
        <v>424</v>
      </c>
      <c r="N1509" s="123">
        <v>17</v>
      </c>
      <c r="O1509">
        <v>958</v>
      </c>
      <c r="P1509" s="132" t="s">
        <v>77</v>
      </c>
      <c r="Q1509" s="132">
        <v>360.56</v>
      </c>
      <c r="R1509" s="132">
        <v>31.44</v>
      </c>
      <c r="S1509" s="132"/>
      <c r="T1509" s="156"/>
      <c r="U1509" s="132"/>
      <c r="V1509" s="132">
        <v>392</v>
      </c>
      <c r="W1509">
        <v>167</v>
      </c>
      <c r="X1509" s="153" t="s">
        <v>1644</v>
      </c>
      <c r="Y1509" s="124" t="s">
        <v>55</v>
      </c>
      <c r="Z1509" s="308">
        <v>208</v>
      </c>
      <c r="AB1509" t="str">
        <f>IF(Table1[[#This Row],[TIPO2]]="costo", VLOOKUP(Table1[[#This Row],[PARTIDA PRESUPUESTAL]],'Cost Report'!G:G,1,0),"Balance")</f>
        <v>3629-003</v>
      </c>
      <c r="AC1509" s="118"/>
      <c r="AD1509" s="159">
        <f>+Table1[[#This Row],[SUBTOTAL]]+Table1[[#This Row],[IVA]]-Table1[[#This Row],[RET IVA]]-Table1[[#This Row],[RET ISR]]-Table1[[#This Row],[TOTAL]]</f>
        <v>0</v>
      </c>
      <c r="AE1509" s="152"/>
      <c r="AF1509" s="153"/>
      <c r="AG1509" s="126" t="s">
        <v>3420</v>
      </c>
      <c r="AK1509" s="306" t="str">
        <f>IF(ISNUMBER(Table1[[#This Row],[FECHA DE RECIBIDO]]), Table1[[#This Row],[FECHA DE RECIBIDO]]-DATE(2023,8,30), "")</f>
        <v/>
      </c>
    </row>
    <row r="1510" spans="1:37" ht="16.05" customHeight="1">
      <c r="A1510" s="150" t="s">
        <v>3379</v>
      </c>
      <c r="B1510" s="151">
        <v>492</v>
      </c>
      <c r="C1510" s="126" t="s">
        <v>2860</v>
      </c>
      <c r="D1510">
        <v>957</v>
      </c>
      <c r="E1510" s="126" t="s">
        <v>3384</v>
      </c>
      <c r="F1510" s="122" t="s">
        <v>1607</v>
      </c>
      <c r="G1510" s="122" t="s">
        <v>134</v>
      </c>
      <c r="H1510">
        <v>319</v>
      </c>
      <c r="I1510" s="122" t="s">
        <v>1546</v>
      </c>
      <c r="J1510" s="307" t="s">
        <v>214</v>
      </c>
      <c r="K1510" s="127" t="s">
        <v>3348</v>
      </c>
      <c r="L1510" s="151" t="s">
        <v>1579</v>
      </c>
      <c r="M1510">
        <v>424</v>
      </c>
      <c r="N1510" s="123">
        <v>17</v>
      </c>
      <c r="O1510">
        <v>958</v>
      </c>
      <c r="P1510" s="132" t="s">
        <v>77</v>
      </c>
      <c r="Q1510" s="131">
        <v>137.41</v>
      </c>
      <c r="R1510" s="131">
        <v>7.59</v>
      </c>
      <c r="S1510" s="131"/>
      <c r="T1510" s="155"/>
      <c r="U1510" s="131"/>
      <c r="V1510" s="131">
        <v>145</v>
      </c>
      <c r="W1510">
        <v>167</v>
      </c>
      <c r="X1510" s="151" t="s">
        <v>1644</v>
      </c>
      <c r="Y1510" s="135" t="s">
        <v>55</v>
      </c>
      <c r="Z1510" s="307">
        <v>209</v>
      </c>
      <c r="AB1510" t="str">
        <f>IF(Table1[[#This Row],[TIPO2]]="costo", VLOOKUP(Table1[[#This Row],[PARTIDA PRESUPUESTAL]],'Cost Report'!G:G,1,0),"Balance")</f>
        <v>3629-003</v>
      </c>
      <c r="AC1510" s="118"/>
      <c r="AD1510" s="159">
        <f>+Table1[[#This Row],[SUBTOTAL]]+Table1[[#This Row],[IVA]]-Table1[[#This Row],[RET IVA]]-Table1[[#This Row],[RET ISR]]-Table1[[#This Row],[TOTAL]]</f>
        <v>0</v>
      </c>
      <c r="AE1510" s="150"/>
      <c r="AF1510" s="151"/>
      <c r="AG1510" s="126" t="s">
        <v>3420</v>
      </c>
      <c r="AK1510" s="306" t="str">
        <f>IF(ISNUMBER(Table1[[#This Row],[FECHA DE RECIBIDO]]), Table1[[#This Row],[FECHA DE RECIBIDO]]-DATE(2023,8,30), "")</f>
        <v/>
      </c>
    </row>
    <row r="1511" spans="1:37" ht="16.05" customHeight="1">
      <c r="A1511" s="152" t="s">
        <v>3379</v>
      </c>
      <c r="B1511" s="153">
        <v>492</v>
      </c>
      <c r="C1511" s="126" t="s">
        <v>3108</v>
      </c>
      <c r="D1511">
        <v>958</v>
      </c>
      <c r="E1511" s="126" t="s">
        <v>2104</v>
      </c>
      <c r="F1511" s="125" t="s">
        <v>1384</v>
      </c>
      <c r="G1511" s="125" t="s">
        <v>134</v>
      </c>
      <c r="H1511">
        <v>164</v>
      </c>
      <c r="I1511" s="125" t="s">
        <v>1546</v>
      </c>
      <c r="J1511" s="308" t="s">
        <v>214</v>
      </c>
      <c r="K1511" s="127" t="s">
        <v>3348</v>
      </c>
      <c r="L1511" s="153" t="s">
        <v>1579</v>
      </c>
      <c r="M1511">
        <v>220</v>
      </c>
      <c r="N1511" s="123">
        <v>17</v>
      </c>
      <c r="O1511">
        <v>960</v>
      </c>
      <c r="P1511" s="132" t="s">
        <v>77</v>
      </c>
      <c r="Q1511" s="132">
        <v>65.14</v>
      </c>
      <c r="R1511" s="132">
        <v>10.42</v>
      </c>
      <c r="S1511" s="132"/>
      <c r="T1511" s="156"/>
      <c r="U1511" s="132"/>
      <c r="V1511" s="132">
        <v>75.56</v>
      </c>
      <c r="W1511">
        <v>167</v>
      </c>
      <c r="X1511" s="153" t="s">
        <v>1644</v>
      </c>
      <c r="Y1511" s="124" t="s">
        <v>55</v>
      </c>
      <c r="Z1511" s="308">
        <v>209</v>
      </c>
      <c r="AB1511" t="str">
        <f>IF(Table1[[#This Row],[TIPO2]]="costo", VLOOKUP(Table1[[#This Row],[PARTIDA PRESUPUESTAL]],'Cost Report'!G:G,1,0),"Balance")</f>
        <v>7080-003</v>
      </c>
      <c r="AC1511" s="118"/>
      <c r="AD1511" s="159">
        <f>+Table1[[#This Row],[SUBTOTAL]]+Table1[[#This Row],[IVA]]-Table1[[#This Row],[RET IVA]]-Table1[[#This Row],[RET ISR]]-Table1[[#This Row],[TOTAL]]</f>
        <v>0</v>
      </c>
      <c r="AE1511" s="152"/>
      <c r="AF1511" s="153"/>
      <c r="AG1511" s="126" t="s">
        <v>3420</v>
      </c>
      <c r="AK1511" s="306" t="str">
        <f>IF(ISNUMBER(Table1[[#This Row],[FECHA DE RECIBIDO]]), Table1[[#This Row],[FECHA DE RECIBIDO]]-DATE(2023,8,30), "")</f>
        <v/>
      </c>
    </row>
    <row r="1512" spans="1:37" ht="16.05" customHeight="1">
      <c r="A1512" s="150" t="s">
        <v>3379</v>
      </c>
      <c r="B1512" s="151">
        <v>492</v>
      </c>
      <c r="C1512" s="126" t="s">
        <v>2443</v>
      </c>
      <c r="D1512">
        <v>959</v>
      </c>
      <c r="E1512" s="126" t="s">
        <v>3385</v>
      </c>
      <c r="F1512" s="122" t="s">
        <v>1589</v>
      </c>
      <c r="G1512" s="122" t="s">
        <v>134</v>
      </c>
      <c r="H1512">
        <v>320</v>
      </c>
      <c r="I1512" s="122" t="s">
        <v>1546</v>
      </c>
      <c r="J1512" s="307" t="s">
        <v>214</v>
      </c>
      <c r="K1512" s="127" t="s">
        <v>3348</v>
      </c>
      <c r="L1512" s="151" t="s">
        <v>1579</v>
      </c>
      <c r="M1512">
        <v>425</v>
      </c>
      <c r="N1512" s="123">
        <v>17</v>
      </c>
      <c r="O1512">
        <v>961</v>
      </c>
      <c r="P1512" s="132" t="s">
        <v>77</v>
      </c>
      <c r="Q1512" s="131">
        <v>708</v>
      </c>
      <c r="R1512" s="131">
        <v>113.28</v>
      </c>
      <c r="S1512" s="131"/>
      <c r="T1512" s="155"/>
      <c r="U1512" s="131"/>
      <c r="V1512" s="131">
        <v>821.28</v>
      </c>
      <c r="W1512">
        <v>167</v>
      </c>
      <c r="X1512" s="151" t="s">
        <v>1644</v>
      </c>
      <c r="Y1512" s="135" t="s">
        <v>55</v>
      </c>
      <c r="Z1512" s="307">
        <v>210</v>
      </c>
      <c r="AB1512" t="str">
        <f>IF(Table1[[#This Row],[TIPO2]]="costo", VLOOKUP(Table1[[#This Row],[PARTIDA PRESUPUESTAL]],'Cost Report'!G:G,1,0),"Balance")</f>
        <v>2080-003</v>
      </c>
      <c r="AC1512" s="118"/>
      <c r="AD1512" s="159">
        <f>+Table1[[#This Row],[SUBTOTAL]]+Table1[[#This Row],[IVA]]-Table1[[#This Row],[RET IVA]]-Table1[[#This Row],[RET ISR]]-Table1[[#This Row],[TOTAL]]</f>
        <v>0</v>
      </c>
      <c r="AE1512" s="150"/>
      <c r="AF1512" s="151"/>
      <c r="AG1512" s="126" t="s">
        <v>3420</v>
      </c>
      <c r="AK1512" s="306" t="str">
        <f>IF(ISNUMBER(Table1[[#This Row],[FECHA DE RECIBIDO]]), Table1[[#This Row],[FECHA DE RECIBIDO]]-DATE(2023,8,30), "")</f>
        <v/>
      </c>
    </row>
    <row r="1513" spans="1:37" ht="16.05" customHeight="1">
      <c r="A1513" s="152" t="s">
        <v>3386</v>
      </c>
      <c r="B1513" s="153">
        <v>493</v>
      </c>
      <c r="C1513" s="126" t="s">
        <v>3108</v>
      </c>
      <c r="D1513">
        <v>960</v>
      </c>
      <c r="E1513" s="126" t="s">
        <v>2005</v>
      </c>
      <c r="F1513" s="125" t="s">
        <v>1607</v>
      </c>
      <c r="G1513" s="125" t="s">
        <v>134</v>
      </c>
      <c r="H1513">
        <v>152</v>
      </c>
      <c r="I1513" s="125" t="s">
        <v>1546</v>
      </c>
      <c r="J1513" s="308" t="s">
        <v>214</v>
      </c>
      <c r="K1513" s="127" t="s">
        <v>3348</v>
      </c>
      <c r="L1513" s="153" t="s">
        <v>1579</v>
      </c>
      <c r="M1513">
        <v>202</v>
      </c>
      <c r="N1513" s="123">
        <v>17</v>
      </c>
      <c r="O1513">
        <v>962</v>
      </c>
      <c r="P1513" s="132" t="s">
        <v>77</v>
      </c>
      <c r="Q1513" s="132">
        <v>2260.36</v>
      </c>
      <c r="R1513" s="132">
        <v>361.66</v>
      </c>
      <c r="S1513" s="132"/>
      <c r="T1513" s="156"/>
      <c r="U1513" s="132"/>
      <c r="V1513" s="132">
        <v>2622.02</v>
      </c>
      <c r="W1513">
        <v>61</v>
      </c>
      <c r="X1513" s="153" t="s">
        <v>1644</v>
      </c>
      <c r="Y1513" s="124" t="s">
        <v>55</v>
      </c>
      <c r="Z1513" s="308">
        <v>203</v>
      </c>
      <c r="AB1513" t="str">
        <f>IF(Table1[[#This Row],[TIPO2]]="costo", VLOOKUP(Table1[[#This Row],[PARTIDA PRESUPUESTAL]],'Cost Report'!G:G,1,0),"Balance")</f>
        <v>7080-003</v>
      </c>
      <c r="AC1513" s="118"/>
      <c r="AD1513" s="159">
        <f>+Table1[[#This Row],[SUBTOTAL]]+Table1[[#This Row],[IVA]]-Table1[[#This Row],[RET IVA]]-Table1[[#This Row],[RET ISR]]-Table1[[#This Row],[TOTAL]]</f>
        <v>0</v>
      </c>
      <c r="AE1513" s="152"/>
      <c r="AF1513" s="153"/>
      <c r="AG1513" s="126" t="s">
        <v>3420</v>
      </c>
      <c r="AK1513" s="306" t="str">
        <f>IF(ISNUMBER(Table1[[#This Row],[FECHA DE RECIBIDO]]), Table1[[#This Row],[FECHA DE RECIBIDO]]-DATE(2023,8,30), "")</f>
        <v/>
      </c>
    </row>
    <row r="1514" spans="1:37" ht="16.05" customHeight="1">
      <c r="A1514" s="150" t="s">
        <v>3386</v>
      </c>
      <c r="B1514" s="151">
        <v>493</v>
      </c>
      <c r="C1514" s="126" t="s">
        <v>2596</v>
      </c>
      <c r="D1514">
        <v>961</v>
      </c>
      <c r="E1514" s="126" t="e">
        <v>#N/A</v>
      </c>
      <c r="F1514" s="122" t="e">
        <v>#N/A</v>
      </c>
      <c r="G1514" s="122" t="s">
        <v>134</v>
      </c>
      <c r="H1514">
        <v>36</v>
      </c>
      <c r="I1514" s="122" t="e">
        <v>#N/A</v>
      </c>
      <c r="J1514" s="307" t="s">
        <v>214</v>
      </c>
      <c r="K1514" s="127" t="s">
        <v>3348</v>
      </c>
      <c r="L1514" s="151" t="s">
        <v>1579</v>
      </c>
      <c r="M1514">
        <v>211</v>
      </c>
      <c r="N1514" s="123">
        <v>17</v>
      </c>
      <c r="O1514">
        <v>457</v>
      </c>
      <c r="P1514" s="132" t="s">
        <v>77</v>
      </c>
      <c r="Q1514" s="131">
        <v>4704.13</v>
      </c>
      <c r="R1514" s="131">
        <v>752.66</v>
      </c>
      <c r="S1514" s="131"/>
      <c r="T1514" s="155"/>
      <c r="U1514" s="131"/>
      <c r="V1514" s="131">
        <v>5456.79</v>
      </c>
      <c r="W1514">
        <v>61</v>
      </c>
      <c r="X1514" s="151" t="s">
        <v>1644</v>
      </c>
      <c r="Y1514" s="135" t="s">
        <v>55</v>
      </c>
      <c r="Z1514" s="307">
        <v>197</v>
      </c>
      <c r="AB1514" t="str">
        <f>IF(Table1[[#This Row],[TIPO2]]="costo", VLOOKUP(Table1[[#This Row],[PARTIDA PRESUPUESTAL]],'Cost Report'!G:G,1,0),"Balance")</f>
        <v>2794-003</v>
      </c>
      <c r="AC1514" s="118"/>
      <c r="AD1514" s="159">
        <f>+Table1[[#This Row],[SUBTOTAL]]+Table1[[#This Row],[IVA]]-Table1[[#This Row],[RET IVA]]-Table1[[#This Row],[RET ISR]]-Table1[[#This Row],[TOTAL]]</f>
        <v>0</v>
      </c>
      <c r="AE1514" s="150"/>
      <c r="AF1514" s="151"/>
      <c r="AG1514" s="126" t="s">
        <v>3420</v>
      </c>
      <c r="AK1514" s="306" t="str">
        <f>IF(ISNUMBER(Table1[[#This Row],[FECHA DE RECIBIDO]]), Table1[[#This Row],[FECHA DE RECIBIDO]]-DATE(2023,8,30), "")</f>
        <v/>
      </c>
    </row>
    <row r="1515" spans="1:37" ht="16.05" customHeight="1">
      <c r="A1515" s="152" t="s">
        <v>3386</v>
      </c>
      <c r="B1515" s="153">
        <v>493</v>
      </c>
      <c r="C1515" s="126" t="s">
        <v>2596</v>
      </c>
      <c r="D1515">
        <v>962</v>
      </c>
      <c r="E1515" s="126" t="s">
        <v>2008</v>
      </c>
      <c r="F1515" s="125" t="s">
        <v>1607</v>
      </c>
      <c r="G1515" s="125" t="s">
        <v>134</v>
      </c>
      <c r="H1515">
        <v>102</v>
      </c>
      <c r="I1515" s="125" t="s">
        <v>1546</v>
      </c>
      <c r="J1515" s="308" t="s">
        <v>214</v>
      </c>
      <c r="K1515" s="127" t="s">
        <v>3348</v>
      </c>
      <c r="L1515" s="153" t="s">
        <v>1579</v>
      </c>
      <c r="M1515">
        <v>137</v>
      </c>
      <c r="N1515" s="123">
        <v>17</v>
      </c>
      <c r="O1515">
        <v>436</v>
      </c>
      <c r="P1515" s="132" t="s">
        <v>77</v>
      </c>
      <c r="Q1515" s="132">
        <v>775</v>
      </c>
      <c r="R1515" s="132">
        <v>124</v>
      </c>
      <c r="S1515" s="132"/>
      <c r="T1515" s="156"/>
      <c r="U1515" s="132"/>
      <c r="V1515" s="132">
        <v>899</v>
      </c>
      <c r="W1515">
        <v>61</v>
      </c>
      <c r="X1515" s="153" t="s">
        <v>1644</v>
      </c>
      <c r="Y1515" s="124" t="s">
        <v>55</v>
      </c>
      <c r="Z1515" s="308">
        <v>204</v>
      </c>
      <c r="AB1515" t="str">
        <f>IF(Table1[[#This Row],[TIPO2]]="costo", VLOOKUP(Table1[[#This Row],[PARTIDA PRESUPUESTAL]],'Cost Report'!G:G,1,0),"Balance")</f>
        <v>2794-003</v>
      </c>
      <c r="AC1515" s="118"/>
      <c r="AD1515" s="159">
        <f>+Table1[[#This Row],[SUBTOTAL]]+Table1[[#This Row],[IVA]]-Table1[[#This Row],[RET IVA]]-Table1[[#This Row],[RET ISR]]-Table1[[#This Row],[TOTAL]]</f>
        <v>0</v>
      </c>
      <c r="AE1515" s="152"/>
      <c r="AF1515" s="153"/>
      <c r="AG1515" s="126" t="s">
        <v>3420</v>
      </c>
      <c r="AK1515" s="306" t="str">
        <f>IF(ISNUMBER(Table1[[#This Row],[FECHA DE RECIBIDO]]), Table1[[#This Row],[FECHA DE RECIBIDO]]-DATE(2023,8,30), "")</f>
        <v/>
      </c>
    </row>
    <row r="1516" spans="1:37" ht="16.05" customHeight="1">
      <c r="A1516" s="150" t="s">
        <v>3386</v>
      </c>
      <c r="B1516" s="151">
        <v>493</v>
      </c>
      <c r="C1516" s="126" t="s">
        <v>2596</v>
      </c>
      <c r="D1516">
        <v>963</v>
      </c>
      <c r="E1516" s="126" t="s">
        <v>2008</v>
      </c>
      <c r="F1516" s="122" t="s">
        <v>1607</v>
      </c>
      <c r="G1516" s="122" t="s">
        <v>134</v>
      </c>
      <c r="H1516">
        <v>102</v>
      </c>
      <c r="I1516" s="122" t="s">
        <v>1546</v>
      </c>
      <c r="J1516" s="307" t="s">
        <v>214</v>
      </c>
      <c r="K1516" s="127" t="s">
        <v>3348</v>
      </c>
      <c r="L1516" s="151" t="s">
        <v>1579</v>
      </c>
      <c r="M1516">
        <v>137</v>
      </c>
      <c r="N1516" s="123">
        <v>17</v>
      </c>
      <c r="O1516">
        <v>436</v>
      </c>
      <c r="P1516" s="132" t="s">
        <v>77</v>
      </c>
      <c r="Q1516" s="131">
        <v>1205.17</v>
      </c>
      <c r="R1516" s="131">
        <v>192.83</v>
      </c>
      <c r="S1516" s="131"/>
      <c r="T1516" s="155"/>
      <c r="U1516" s="131"/>
      <c r="V1516" s="131">
        <v>1398</v>
      </c>
      <c r="W1516">
        <v>61</v>
      </c>
      <c r="X1516" s="151" t="s">
        <v>1644</v>
      </c>
      <c r="Y1516" s="135" t="s">
        <v>55</v>
      </c>
      <c r="Z1516" s="307">
        <v>204</v>
      </c>
      <c r="AB1516" t="str">
        <f>IF(Table1[[#This Row],[TIPO2]]="costo", VLOOKUP(Table1[[#This Row],[PARTIDA PRESUPUESTAL]],'Cost Report'!G:G,1,0),"Balance")</f>
        <v>2794-003</v>
      </c>
      <c r="AC1516" s="118"/>
      <c r="AD1516" s="159">
        <f>+Table1[[#This Row],[SUBTOTAL]]+Table1[[#This Row],[IVA]]-Table1[[#This Row],[RET IVA]]-Table1[[#This Row],[RET ISR]]-Table1[[#This Row],[TOTAL]]</f>
        <v>0</v>
      </c>
      <c r="AE1516" s="150"/>
      <c r="AF1516" s="151"/>
      <c r="AG1516" s="126" t="s">
        <v>3420</v>
      </c>
      <c r="AK1516" s="306" t="str">
        <f>IF(ISNUMBER(Table1[[#This Row],[FECHA DE RECIBIDO]]), Table1[[#This Row],[FECHA DE RECIBIDO]]-DATE(2023,8,30), "")</f>
        <v/>
      </c>
    </row>
    <row r="1517" spans="1:37" ht="16.05" customHeight="1">
      <c r="A1517" s="152" t="s">
        <v>3386</v>
      </c>
      <c r="B1517" s="153">
        <v>493</v>
      </c>
      <c r="C1517" s="126" t="s">
        <v>2596</v>
      </c>
      <c r="D1517">
        <v>964</v>
      </c>
      <c r="E1517" s="126" t="s">
        <v>2008</v>
      </c>
      <c r="F1517" s="125" t="s">
        <v>1607</v>
      </c>
      <c r="G1517" s="125" t="s">
        <v>134</v>
      </c>
      <c r="H1517">
        <v>102</v>
      </c>
      <c r="I1517" s="125" t="s">
        <v>1546</v>
      </c>
      <c r="J1517" s="308" t="s">
        <v>214</v>
      </c>
      <c r="K1517" s="127" t="s">
        <v>3348</v>
      </c>
      <c r="L1517" s="153" t="s">
        <v>1579</v>
      </c>
      <c r="M1517">
        <v>137</v>
      </c>
      <c r="N1517" s="123">
        <v>17</v>
      </c>
      <c r="O1517">
        <v>963</v>
      </c>
      <c r="P1517" s="132" t="s">
        <v>77</v>
      </c>
      <c r="Q1517" s="132">
        <v>1463.79</v>
      </c>
      <c r="R1517" s="132">
        <v>234.21</v>
      </c>
      <c r="S1517" s="132"/>
      <c r="T1517" s="156"/>
      <c r="U1517" s="132"/>
      <c r="V1517" s="132">
        <v>1698</v>
      </c>
      <c r="W1517">
        <v>61</v>
      </c>
      <c r="X1517" s="153" t="s">
        <v>1644</v>
      </c>
      <c r="Y1517" s="124" t="s">
        <v>55</v>
      </c>
      <c r="Z1517" s="308">
        <v>204</v>
      </c>
      <c r="AB1517" t="str">
        <f>IF(Table1[[#This Row],[TIPO2]]="costo", VLOOKUP(Table1[[#This Row],[PARTIDA PRESUPUESTAL]],'Cost Report'!G:G,1,0),"Balance")</f>
        <v>2794-003</v>
      </c>
      <c r="AC1517" s="118"/>
      <c r="AD1517" s="159">
        <f>+Table1[[#This Row],[SUBTOTAL]]+Table1[[#This Row],[IVA]]-Table1[[#This Row],[RET IVA]]-Table1[[#This Row],[RET ISR]]-Table1[[#This Row],[TOTAL]]</f>
        <v>0</v>
      </c>
      <c r="AE1517" s="152"/>
      <c r="AF1517" s="153"/>
      <c r="AG1517" s="126" t="s">
        <v>3420</v>
      </c>
      <c r="AK1517" s="306" t="str">
        <f>IF(ISNUMBER(Table1[[#This Row],[FECHA DE RECIBIDO]]), Table1[[#This Row],[FECHA DE RECIBIDO]]-DATE(2023,8,30), "")</f>
        <v/>
      </c>
    </row>
    <row r="1518" spans="1:37" ht="16.05" customHeight="1">
      <c r="A1518" s="150" t="s">
        <v>3386</v>
      </c>
      <c r="B1518" s="151">
        <v>493</v>
      </c>
      <c r="C1518" s="126" t="s">
        <v>2596</v>
      </c>
      <c r="D1518">
        <v>965</v>
      </c>
      <c r="E1518" s="126" t="s">
        <v>2008</v>
      </c>
      <c r="F1518" s="122" t="s">
        <v>1607</v>
      </c>
      <c r="G1518" s="122" t="s">
        <v>134</v>
      </c>
      <c r="H1518">
        <v>102</v>
      </c>
      <c r="I1518" s="122" t="s">
        <v>1546</v>
      </c>
      <c r="J1518" s="307" t="s">
        <v>214</v>
      </c>
      <c r="K1518" s="127" t="s">
        <v>3348</v>
      </c>
      <c r="L1518" s="151" t="s">
        <v>1579</v>
      </c>
      <c r="M1518">
        <v>137</v>
      </c>
      <c r="N1518" s="123">
        <v>17</v>
      </c>
      <c r="O1518">
        <v>964</v>
      </c>
      <c r="P1518" s="132" t="s">
        <v>77</v>
      </c>
      <c r="Q1518" s="131">
        <v>516.38</v>
      </c>
      <c r="R1518" s="131">
        <v>82.62</v>
      </c>
      <c r="S1518" s="131"/>
      <c r="T1518" s="155"/>
      <c r="U1518" s="131"/>
      <c r="V1518" s="131">
        <v>599</v>
      </c>
      <c r="W1518">
        <v>61</v>
      </c>
      <c r="X1518" s="151" t="s">
        <v>1644</v>
      </c>
      <c r="Y1518" s="135" t="s">
        <v>55</v>
      </c>
      <c r="Z1518" s="307">
        <v>204</v>
      </c>
      <c r="AB1518" t="str">
        <f>IF(Table1[[#This Row],[TIPO2]]="costo", VLOOKUP(Table1[[#This Row],[PARTIDA PRESUPUESTAL]],'Cost Report'!G:G,1,0),"Balance")</f>
        <v>2794-003</v>
      </c>
      <c r="AC1518" s="118"/>
      <c r="AD1518" s="159">
        <f>+Table1[[#This Row],[SUBTOTAL]]+Table1[[#This Row],[IVA]]-Table1[[#This Row],[RET IVA]]-Table1[[#This Row],[RET ISR]]-Table1[[#This Row],[TOTAL]]</f>
        <v>0</v>
      </c>
      <c r="AE1518" s="150"/>
      <c r="AF1518" s="151"/>
      <c r="AG1518" s="126" t="s">
        <v>3420</v>
      </c>
      <c r="AK1518" s="306" t="str">
        <f>IF(ISNUMBER(Table1[[#This Row],[FECHA DE RECIBIDO]]), Table1[[#This Row],[FECHA DE RECIBIDO]]-DATE(2023,8,30), "")</f>
        <v/>
      </c>
    </row>
    <row r="1519" spans="1:37" ht="16.05" customHeight="1">
      <c r="A1519" s="152" t="s">
        <v>3386</v>
      </c>
      <c r="B1519" s="153">
        <v>493</v>
      </c>
      <c r="C1519" s="126" t="s">
        <v>2596</v>
      </c>
      <c r="D1519">
        <v>966</v>
      </c>
      <c r="E1519" s="126" t="s">
        <v>2008</v>
      </c>
      <c r="F1519" s="125" t="s">
        <v>1607</v>
      </c>
      <c r="G1519" s="125" t="s">
        <v>134</v>
      </c>
      <c r="H1519">
        <v>100</v>
      </c>
      <c r="I1519" s="125" t="s">
        <v>1546</v>
      </c>
      <c r="J1519" s="308" t="s">
        <v>214</v>
      </c>
      <c r="K1519" s="127" t="s">
        <v>3348</v>
      </c>
      <c r="L1519" s="153" t="s">
        <v>1579</v>
      </c>
      <c r="M1519">
        <v>135</v>
      </c>
      <c r="N1519" s="123">
        <v>17</v>
      </c>
      <c r="O1519">
        <v>965</v>
      </c>
      <c r="P1519" s="132" t="s">
        <v>77</v>
      </c>
      <c r="Q1519" s="132">
        <v>3358.62</v>
      </c>
      <c r="R1519" s="132">
        <v>537.38</v>
      </c>
      <c r="S1519" s="132"/>
      <c r="T1519" s="156"/>
      <c r="U1519" s="132"/>
      <c r="V1519" s="132">
        <v>3896</v>
      </c>
      <c r="W1519">
        <v>61</v>
      </c>
      <c r="X1519" s="153" t="s">
        <v>1644</v>
      </c>
      <c r="Y1519" s="124" t="s">
        <v>55</v>
      </c>
      <c r="Z1519" s="308">
        <v>204</v>
      </c>
      <c r="AB1519" t="str">
        <f>IF(Table1[[#This Row],[TIPO2]]="costo", VLOOKUP(Table1[[#This Row],[PARTIDA PRESUPUESTAL]],'Cost Report'!G:G,1,0),"Balance")</f>
        <v>2794-003</v>
      </c>
      <c r="AC1519" s="118"/>
      <c r="AD1519" s="159">
        <f>+Table1[[#This Row],[SUBTOTAL]]+Table1[[#This Row],[IVA]]-Table1[[#This Row],[RET IVA]]-Table1[[#This Row],[RET ISR]]-Table1[[#This Row],[TOTAL]]</f>
        <v>0</v>
      </c>
      <c r="AE1519" s="152"/>
      <c r="AF1519" s="153"/>
      <c r="AG1519" s="126" t="s">
        <v>3420</v>
      </c>
      <c r="AK1519" s="306" t="str">
        <f>IF(ISNUMBER(Table1[[#This Row],[FECHA DE RECIBIDO]]), Table1[[#This Row],[FECHA DE RECIBIDO]]-DATE(2023,8,30), "")</f>
        <v/>
      </c>
    </row>
    <row r="1520" spans="1:37" ht="16.05" customHeight="1">
      <c r="A1520" s="150" t="s">
        <v>3386</v>
      </c>
      <c r="B1520" s="151">
        <v>493</v>
      </c>
      <c r="C1520" s="126" t="s">
        <v>2596</v>
      </c>
      <c r="D1520">
        <v>967</v>
      </c>
      <c r="E1520" s="126" t="s">
        <v>2008</v>
      </c>
      <c r="F1520" s="122" t="s">
        <v>1607</v>
      </c>
      <c r="G1520" s="122" t="s">
        <v>134</v>
      </c>
      <c r="H1520">
        <v>100</v>
      </c>
      <c r="I1520" s="122" t="s">
        <v>1546</v>
      </c>
      <c r="J1520" s="307" t="s">
        <v>214</v>
      </c>
      <c r="K1520" s="127" t="s">
        <v>3348</v>
      </c>
      <c r="L1520" s="151" t="s">
        <v>1579</v>
      </c>
      <c r="M1520">
        <v>135</v>
      </c>
      <c r="N1520" s="123">
        <v>17</v>
      </c>
      <c r="O1520">
        <v>963</v>
      </c>
      <c r="P1520" s="132" t="s">
        <v>77</v>
      </c>
      <c r="Q1520" s="131">
        <v>1850.86</v>
      </c>
      <c r="R1520" s="131">
        <v>296.14</v>
      </c>
      <c r="S1520" s="131"/>
      <c r="T1520" s="155"/>
      <c r="U1520" s="131"/>
      <c r="V1520" s="131">
        <v>2147</v>
      </c>
      <c r="W1520">
        <v>61</v>
      </c>
      <c r="X1520" s="151" t="s">
        <v>1644</v>
      </c>
      <c r="Y1520" s="135" t="s">
        <v>55</v>
      </c>
      <c r="Z1520" s="307">
        <v>204</v>
      </c>
      <c r="AB1520" t="str">
        <f>IF(Table1[[#This Row],[TIPO2]]="costo", VLOOKUP(Table1[[#This Row],[PARTIDA PRESUPUESTAL]],'Cost Report'!G:G,1,0),"Balance")</f>
        <v>2794-003</v>
      </c>
      <c r="AC1520" s="118"/>
      <c r="AD1520" s="159">
        <f>+Table1[[#This Row],[SUBTOTAL]]+Table1[[#This Row],[IVA]]-Table1[[#This Row],[RET IVA]]-Table1[[#This Row],[RET ISR]]-Table1[[#This Row],[TOTAL]]</f>
        <v>0</v>
      </c>
      <c r="AE1520" s="150"/>
      <c r="AF1520" s="151"/>
      <c r="AG1520" s="126" t="s">
        <v>3420</v>
      </c>
      <c r="AK1520" s="306" t="str">
        <f>IF(ISNUMBER(Table1[[#This Row],[FECHA DE RECIBIDO]]), Table1[[#This Row],[FECHA DE RECIBIDO]]-DATE(2023,8,30), "")</f>
        <v/>
      </c>
    </row>
    <row r="1521" spans="1:37" ht="16.05" customHeight="1">
      <c r="A1521" s="152" t="s">
        <v>3386</v>
      </c>
      <c r="B1521" s="153">
        <v>493</v>
      </c>
      <c r="C1521" s="126" t="s">
        <v>2596</v>
      </c>
      <c r="D1521">
        <v>968</v>
      </c>
      <c r="E1521" s="126" t="s">
        <v>3285</v>
      </c>
      <c r="F1521" s="125" t="s">
        <v>1607</v>
      </c>
      <c r="G1521" s="125" t="s">
        <v>134</v>
      </c>
      <c r="H1521">
        <v>101</v>
      </c>
      <c r="I1521" s="125" t="s">
        <v>1546</v>
      </c>
      <c r="J1521" s="308" t="s">
        <v>214</v>
      </c>
      <c r="K1521" s="127" t="s">
        <v>3348</v>
      </c>
      <c r="L1521" s="153" t="s">
        <v>1579</v>
      </c>
      <c r="M1521">
        <v>136</v>
      </c>
      <c r="N1521" s="123">
        <v>17</v>
      </c>
      <c r="O1521">
        <v>436</v>
      </c>
      <c r="P1521" s="132" t="s">
        <v>77</v>
      </c>
      <c r="Q1521" s="132">
        <v>6519.84</v>
      </c>
      <c r="R1521" s="132">
        <v>1043.17</v>
      </c>
      <c r="S1521" s="132"/>
      <c r="T1521" s="156"/>
      <c r="U1521" s="132"/>
      <c r="V1521" s="132">
        <v>7563.01</v>
      </c>
      <c r="W1521">
        <v>61</v>
      </c>
      <c r="X1521" s="153" t="s">
        <v>1644</v>
      </c>
      <c r="Y1521" s="124" t="s">
        <v>55</v>
      </c>
      <c r="Z1521" s="308">
        <v>204</v>
      </c>
      <c r="AB1521" t="str">
        <f>IF(Table1[[#This Row],[TIPO2]]="costo", VLOOKUP(Table1[[#This Row],[PARTIDA PRESUPUESTAL]],'Cost Report'!G:G,1,0),"Balance")</f>
        <v>2794-003</v>
      </c>
      <c r="AC1521" s="118"/>
      <c r="AD1521" s="159">
        <f>+Table1[[#This Row],[SUBTOTAL]]+Table1[[#This Row],[IVA]]-Table1[[#This Row],[RET IVA]]-Table1[[#This Row],[RET ISR]]-Table1[[#This Row],[TOTAL]]</f>
        <v>0</v>
      </c>
      <c r="AE1521" s="152"/>
      <c r="AF1521" s="153"/>
      <c r="AG1521" s="126" t="s">
        <v>3420</v>
      </c>
      <c r="AK1521" s="306" t="str">
        <f>IF(ISNUMBER(Table1[[#This Row],[FECHA DE RECIBIDO]]), Table1[[#This Row],[FECHA DE RECIBIDO]]-DATE(2023,8,30), "")</f>
        <v/>
      </c>
    </row>
    <row r="1522" spans="1:37" ht="16.05" customHeight="1">
      <c r="A1522" s="150" t="s">
        <v>3386</v>
      </c>
      <c r="B1522" s="151">
        <v>493</v>
      </c>
      <c r="C1522" s="126" t="s">
        <v>2596</v>
      </c>
      <c r="D1522">
        <v>969</v>
      </c>
      <c r="E1522" s="126" t="s">
        <v>3285</v>
      </c>
      <c r="F1522" s="122" t="s">
        <v>1607</v>
      </c>
      <c r="G1522" s="122" t="s">
        <v>134</v>
      </c>
      <c r="H1522">
        <v>101</v>
      </c>
      <c r="I1522" s="122" t="s">
        <v>1546</v>
      </c>
      <c r="J1522" s="307" t="s">
        <v>214</v>
      </c>
      <c r="K1522" s="127" t="s">
        <v>3348</v>
      </c>
      <c r="L1522" s="151" t="s">
        <v>1579</v>
      </c>
      <c r="M1522">
        <v>136</v>
      </c>
      <c r="N1522" s="123">
        <v>17</v>
      </c>
      <c r="O1522">
        <v>964</v>
      </c>
      <c r="P1522" s="132" t="s">
        <v>77</v>
      </c>
      <c r="Q1522" s="131">
        <v>775</v>
      </c>
      <c r="R1522" s="131">
        <v>124</v>
      </c>
      <c r="S1522" s="131"/>
      <c r="T1522" s="155"/>
      <c r="U1522" s="131"/>
      <c r="V1522" s="131">
        <v>899</v>
      </c>
      <c r="W1522">
        <v>61</v>
      </c>
      <c r="X1522" s="151" t="s">
        <v>1644</v>
      </c>
      <c r="Y1522" s="135" t="s">
        <v>55</v>
      </c>
      <c r="Z1522" s="307">
        <v>204</v>
      </c>
      <c r="AB1522" t="str">
        <f>IF(Table1[[#This Row],[TIPO2]]="costo", VLOOKUP(Table1[[#This Row],[PARTIDA PRESUPUESTAL]],'Cost Report'!G:G,1,0),"Balance")</f>
        <v>2794-003</v>
      </c>
      <c r="AC1522" s="118"/>
      <c r="AD1522" s="159">
        <f>+Table1[[#This Row],[SUBTOTAL]]+Table1[[#This Row],[IVA]]-Table1[[#This Row],[RET IVA]]-Table1[[#This Row],[RET ISR]]-Table1[[#This Row],[TOTAL]]</f>
        <v>0</v>
      </c>
      <c r="AE1522" s="150"/>
      <c r="AF1522" s="151"/>
      <c r="AG1522" s="126" t="s">
        <v>3420</v>
      </c>
      <c r="AK1522" s="306" t="str">
        <f>IF(ISNUMBER(Table1[[#This Row],[FECHA DE RECIBIDO]]), Table1[[#This Row],[FECHA DE RECIBIDO]]-DATE(2023,8,30), "")</f>
        <v/>
      </c>
    </row>
    <row r="1523" spans="1:37" ht="16.05" customHeight="1">
      <c r="A1523" s="152" t="s">
        <v>3386</v>
      </c>
      <c r="B1523" s="153">
        <v>493</v>
      </c>
      <c r="C1523" s="126" t="s">
        <v>2596</v>
      </c>
      <c r="D1523">
        <v>970</v>
      </c>
      <c r="E1523" s="126" t="s">
        <v>2007</v>
      </c>
      <c r="F1523" s="125" t="s">
        <v>1607</v>
      </c>
      <c r="G1523" s="125" t="s">
        <v>134</v>
      </c>
      <c r="H1523">
        <v>99</v>
      </c>
      <c r="I1523" s="125" t="s">
        <v>1546</v>
      </c>
      <c r="J1523" s="308" t="s">
        <v>214</v>
      </c>
      <c r="K1523" s="127" t="s">
        <v>3348</v>
      </c>
      <c r="L1523" s="153" t="s">
        <v>1579</v>
      </c>
      <c r="M1523">
        <v>134</v>
      </c>
      <c r="N1523" s="123">
        <v>17</v>
      </c>
      <c r="O1523">
        <v>966</v>
      </c>
      <c r="P1523" s="132" t="s">
        <v>77</v>
      </c>
      <c r="Q1523" s="132">
        <v>2780.17</v>
      </c>
      <c r="R1523" s="132">
        <v>444.83</v>
      </c>
      <c r="S1523" s="132"/>
      <c r="T1523" s="156"/>
      <c r="U1523" s="132"/>
      <c r="V1523" s="132">
        <v>3225</v>
      </c>
      <c r="W1523">
        <v>61</v>
      </c>
      <c r="X1523" s="153" t="s">
        <v>1644</v>
      </c>
      <c r="Y1523" s="124" t="s">
        <v>55</v>
      </c>
      <c r="Z1523" s="308">
        <v>204</v>
      </c>
      <c r="AB1523" t="str">
        <f>IF(Table1[[#This Row],[TIPO2]]="costo", VLOOKUP(Table1[[#This Row],[PARTIDA PRESUPUESTAL]],'Cost Report'!G:G,1,0),"Balance")</f>
        <v>2794-003</v>
      </c>
      <c r="AC1523" s="118"/>
      <c r="AD1523" s="159">
        <f>+Table1[[#This Row],[SUBTOTAL]]+Table1[[#This Row],[IVA]]-Table1[[#This Row],[RET IVA]]-Table1[[#This Row],[RET ISR]]-Table1[[#This Row],[TOTAL]]</f>
        <v>0</v>
      </c>
      <c r="AE1523" s="152"/>
      <c r="AF1523" s="153"/>
      <c r="AG1523" s="126" t="s">
        <v>3420</v>
      </c>
      <c r="AK1523" s="306" t="str">
        <f>IF(ISNUMBER(Table1[[#This Row],[FECHA DE RECIBIDO]]), Table1[[#This Row],[FECHA DE RECIBIDO]]-DATE(2023,8,30), "")</f>
        <v/>
      </c>
    </row>
    <row r="1524" spans="1:37" ht="16.05" customHeight="1">
      <c r="A1524" s="150" t="s">
        <v>3386</v>
      </c>
      <c r="B1524" s="151">
        <v>493</v>
      </c>
      <c r="C1524" s="126" t="s">
        <v>2596</v>
      </c>
      <c r="D1524">
        <v>971</v>
      </c>
      <c r="E1524" s="126"/>
      <c r="F1524" s="122"/>
      <c r="G1524" s="122" t="s">
        <v>134</v>
      </c>
      <c r="H1524"/>
      <c r="I1524" s="122"/>
      <c r="J1524" s="307" t="s">
        <v>214</v>
      </c>
      <c r="K1524" s="127" t="s">
        <v>3348</v>
      </c>
      <c r="L1524" s="151" t="s">
        <v>1579</v>
      </c>
      <c r="M1524">
        <v>135</v>
      </c>
      <c r="N1524" s="123">
        <v>17</v>
      </c>
      <c r="O1524">
        <v>967</v>
      </c>
      <c r="P1524" s="132" t="s">
        <v>77</v>
      </c>
      <c r="Q1524" s="131">
        <v>722.41</v>
      </c>
      <c r="R1524" s="131">
        <v>115.59</v>
      </c>
      <c r="S1524" s="131"/>
      <c r="T1524" s="155"/>
      <c r="U1524" s="131"/>
      <c r="V1524" s="131">
        <v>838</v>
      </c>
      <c r="W1524">
        <v>61</v>
      </c>
      <c r="X1524" s="151" t="s">
        <v>1644</v>
      </c>
      <c r="Y1524" s="135" t="s">
        <v>55</v>
      </c>
      <c r="Z1524" s="307">
        <v>199</v>
      </c>
      <c r="AB1524" t="str">
        <f>IF(Table1[[#This Row],[TIPO2]]="costo", VLOOKUP(Table1[[#This Row],[PARTIDA PRESUPUESTAL]],'Cost Report'!G:G,1,0),"Balance")</f>
        <v>2794-003</v>
      </c>
      <c r="AC1524" s="118"/>
      <c r="AD1524" s="159">
        <f>+Table1[[#This Row],[SUBTOTAL]]+Table1[[#This Row],[IVA]]-Table1[[#This Row],[RET IVA]]-Table1[[#This Row],[RET ISR]]-Table1[[#This Row],[TOTAL]]</f>
        <v>0</v>
      </c>
      <c r="AE1524" s="150"/>
      <c r="AF1524" s="151"/>
      <c r="AG1524" s="126" t="s">
        <v>3420</v>
      </c>
      <c r="AK1524" s="306" t="str">
        <f>IF(ISNUMBER(Table1[[#This Row],[FECHA DE RECIBIDO]]), Table1[[#This Row],[FECHA DE RECIBIDO]]-DATE(2023,8,30), "")</f>
        <v/>
      </c>
    </row>
    <row r="1525" spans="1:37" ht="16.05" customHeight="1">
      <c r="A1525" s="152" t="s">
        <v>3386</v>
      </c>
      <c r="B1525" s="153">
        <v>493</v>
      </c>
      <c r="C1525" s="126" t="s">
        <v>2596</v>
      </c>
      <c r="D1525">
        <v>972</v>
      </c>
      <c r="E1525" s="126" t="s">
        <v>2109</v>
      </c>
      <c r="F1525" s="125" t="s">
        <v>1607</v>
      </c>
      <c r="G1525" s="125" t="s">
        <v>134</v>
      </c>
      <c r="H1525">
        <v>321</v>
      </c>
      <c r="I1525" s="125" t="s">
        <v>1546</v>
      </c>
      <c r="J1525" s="308" t="s">
        <v>214</v>
      </c>
      <c r="K1525" s="127" t="s">
        <v>3348</v>
      </c>
      <c r="L1525" s="153" t="s">
        <v>1579</v>
      </c>
      <c r="M1525">
        <v>426</v>
      </c>
      <c r="N1525" s="123">
        <v>17</v>
      </c>
      <c r="O1525">
        <v>968</v>
      </c>
      <c r="P1525" s="132" t="s">
        <v>77</v>
      </c>
      <c r="Q1525" s="132">
        <v>1843.36</v>
      </c>
      <c r="R1525" s="132">
        <v>294.94</v>
      </c>
      <c r="S1525" s="132"/>
      <c r="T1525" s="156"/>
      <c r="U1525" s="132"/>
      <c r="V1525" s="132">
        <v>2138.2999999999997</v>
      </c>
      <c r="W1525">
        <v>61</v>
      </c>
      <c r="X1525" s="153" t="s">
        <v>1644</v>
      </c>
      <c r="Y1525" s="124" t="s">
        <v>55</v>
      </c>
      <c r="Z1525" s="308">
        <v>202</v>
      </c>
      <c r="AB1525" t="str">
        <f>IF(Table1[[#This Row],[TIPO2]]="costo", VLOOKUP(Table1[[#This Row],[PARTIDA PRESUPUESTAL]],'Cost Report'!G:G,1,0),"Balance")</f>
        <v>2794-003</v>
      </c>
      <c r="AC1525" s="118"/>
      <c r="AD1525" s="159">
        <f>+Table1[[#This Row],[SUBTOTAL]]+Table1[[#This Row],[IVA]]-Table1[[#This Row],[RET IVA]]-Table1[[#This Row],[RET ISR]]-Table1[[#This Row],[TOTAL]]</f>
        <v>0</v>
      </c>
      <c r="AE1525" s="152"/>
      <c r="AF1525" s="153"/>
      <c r="AG1525" s="126" t="s">
        <v>3420</v>
      </c>
      <c r="AK1525" s="306" t="str">
        <f>IF(ISNUMBER(Table1[[#This Row],[FECHA DE RECIBIDO]]), Table1[[#This Row],[FECHA DE RECIBIDO]]-DATE(2023,8,30), "")</f>
        <v/>
      </c>
    </row>
    <row r="1526" spans="1:37" ht="16.05" customHeight="1">
      <c r="A1526" s="150" t="s">
        <v>3386</v>
      </c>
      <c r="B1526" s="151">
        <v>493</v>
      </c>
      <c r="C1526" s="126" t="s">
        <v>2596</v>
      </c>
      <c r="D1526">
        <v>973</v>
      </c>
      <c r="E1526" s="126" t="s">
        <v>3387</v>
      </c>
      <c r="F1526" s="122" t="s">
        <v>1607</v>
      </c>
      <c r="G1526" s="122" t="s">
        <v>134</v>
      </c>
      <c r="H1526">
        <v>322</v>
      </c>
      <c r="I1526" s="122" t="s">
        <v>1546</v>
      </c>
      <c r="J1526" s="307" t="s">
        <v>214</v>
      </c>
      <c r="K1526" s="127" t="s">
        <v>3348</v>
      </c>
      <c r="L1526" s="151" t="s">
        <v>1579</v>
      </c>
      <c r="M1526">
        <v>427</v>
      </c>
      <c r="N1526" s="123">
        <v>17</v>
      </c>
      <c r="O1526">
        <v>969</v>
      </c>
      <c r="P1526" s="132" t="s">
        <v>77</v>
      </c>
      <c r="Q1526" s="131">
        <v>473.27</v>
      </c>
      <c r="R1526" s="131">
        <v>75.72</v>
      </c>
      <c r="S1526" s="131"/>
      <c r="T1526" s="155"/>
      <c r="U1526" s="131"/>
      <c r="V1526" s="131">
        <v>548.99</v>
      </c>
      <c r="W1526">
        <v>61</v>
      </c>
      <c r="X1526" s="151" t="s">
        <v>1644</v>
      </c>
      <c r="Y1526" s="135" t="s">
        <v>55</v>
      </c>
      <c r="Z1526" s="307">
        <v>203</v>
      </c>
      <c r="AB1526" t="str">
        <f>IF(Table1[[#This Row],[TIPO2]]="costo", VLOOKUP(Table1[[#This Row],[PARTIDA PRESUPUESTAL]],'Cost Report'!G:G,1,0),"Balance")</f>
        <v>2794-003</v>
      </c>
      <c r="AC1526" s="118"/>
      <c r="AD1526" s="159">
        <f>+Table1[[#This Row],[SUBTOTAL]]+Table1[[#This Row],[IVA]]-Table1[[#This Row],[RET IVA]]-Table1[[#This Row],[RET ISR]]-Table1[[#This Row],[TOTAL]]</f>
        <v>0</v>
      </c>
      <c r="AE1526" s="150"/>
      <c r="AF1526" s="151"/>
      <c r="AG1526" s="126" t="s">
        <v>3420</v>
      </c>
      <c r="AK1526" s="306" t="str">
        <f>IF(ISNUMBER(Table1[[#This Row],[FECHA DE RECIBIDO]]), Table1[[#This Row],[FECHA DE RECIBIDO]]-DATE(2023,8,30), "")</f>
        <v/>
      </c>
    </row>
    <row r="1527" spans="1:37" ht="16.05" customHeight="1">
      <c r="A1527" s="152" t="s">
        <v>3386</v>
      </c>
      <c r="B1527" s="153">
        <v>493</v>
      </c>
      <c r="C1527" s="126" t="s">
        <v>2596</v>
      </c>
      <c r="D1527">
        <v>974</v>
      </c>
      <c r="E1527" s="126" t="s">
        <v>3387</v>
      </c>
      <c r="F1527" s="125" t="s">
        <v>1607</v>
      </c>
      <c r="G1527" s="125" t="s">
        <v>134</v>
      </c>
      <c r="H1527">
        <v>322</v>
      </c>
      <c r="I1527" s="125" t="s">
        <v>1546</v>
      </c>
      <c r="J1527" s="308" t="s">
        <v>214</v>
      </c>
      <c r="K1527" s="127" t="s">
        <v>3348</v>
      </c>
      <c r="L1527" s="153" t="s">
        <v>1579</v>
      </c>
      <c r="M1527">
        <v>427</v>
      </c>
      <c r="N1527" s="123">
        <v>17</v>
      </c>
      <c r="O1527">
        <v>970</v>
      </c>
      <c r="P1527" s="132" t="s">
        <v>77</v>
      </c>
      <c r="Q1527" s="132">
        <v>602.58000000000004</v>
      </c>
      <c r="R1527" s="132">
        <v>96.41</v>
      </c>
      <c r="S1527" s="132"/>
      <c r="T1527" s="156"/>
      <c r="U1527" s="132"/>
      <c r="V1527" s="132">
        <v>698.99</v>
      </c>
      <c r="W1527">
        <v>61</v>
      </c>
      <c r="X1527" s="153" t="s">
        <v>1644</v>
      </c>
      <c r="Y1527" s="124" t="s">
        <v>55</v>
      </c>
      <c r="Z1527" s="308">
        <v>203</v>
      </c>
      <c r="AB1527" t="str">
        <f>IF(Table1[[#This Row],[TIPO2]]="costo", VLOOKUP(Table1[[#This Row],[PARTIDA PRESUPUESTAL]],'Cost Report'!G:G,1,0),"Balance")</f>
        <v>2794-003</v>
      </c>
      <c r="AC1527" s="118"/>
      <c r="AD1527" s="159">
        <f>+Table1[[#This Row],[SUBTOTAL]]+Table1[[#This Row],[IVA]]-Table1[[#This Row],[RET IVA]]-Table1[[#This Row],[RET ISR]]-Table1[[#This Row],[TOTAL]]</f>
        <v>0</v>
      </c>
      <c r="AE1527" s="152"/>
      <c r="AF1527" s="153"/>
      <c r="AG1527" s="126" t="s">
        <v>3420</v>
      </c>
      <c r="AK1527" s="306" t="str">
        <f>IF(ISNUMBER(Table1[[#This Row],[FECHA DE RECIBIDO]]), Table1[[#This Row],[FECHA DE RECIBIDO]]-DATE(2023,8,30), "")</f>
        <v/>
      </c>
    </row>
    <row r="1528" spans="1:37" ht="16.05" customHeight="1">
      <c r="A1528" s="150" t="s">
        <v>3386</v>
      </c>
      <c r="B1528" s="151">
        <v>493</v>
      </c>
      <c r="C1528" s="126" t="s">
        <v>2596</v>
      </c>
      <c r="D1528">
        <v>975</v>
      </c>
      <c r="E1528" s="126" t="s">
        <v>2082</v>
      </c>
      <c r="F1528" s="122" t="s">
        <v>1382</v>
      </c>
      <c r="G1528" s="122" t="s">
        <v>134</v>
      </c>
      <c r="H1528">
        <v>155</v>
      </c>
      <c r="I1528" s="122" t="s">
        <v>1546</v>
      </c>
      <c r="J1528" s="307" t="s">
        <v>214</v>
      </c>
      <c r="K1528" s="127" t="s">
        <v>3348</v>
      </c>
      <c r="L1528" s="151" t="s">
        <v>1579</v>
      </c>
      <c r="M1528">
        <v>206</v>
      </c>
      <c r="N1528" s="123">
        <v>17</v>
      </c>
      <c r="O1528">
        <v>965</v>
      </c>
      <c r="P1528" s="132" t="s">
        <v>77</v>
      </c>
      <c r="Q1528" s="131">
        <v>1311.78</v>
      </c>
      <c r="R1528" s="131">
        <v>209.88</v>
      </c>
      <c r="S1528" s="131"/>
      <c r="T1528" s="155"/>
      <c r="U1528" s="131"/>
      <c r="V1528" s="131">
        <v>1521.6599999999999</v>
      </c>
      <c r="W1528">
        <v>61</v>
      </c>
      <c r="X1528" s="151" t="s">
        <v>1644</v>
      </c>
      <c r="Y1528" s="135" t="s">
        <v>55</v>
      </c>
      <c r="Z1528" s="307">
        <v>203</v>
      </c>
      <c r="AB1528" t="str">
        <f>IF(Table1[[#This Row],[TIPO2]]="costo", VLOOKUP(Table1[[#This Row],[PARTIDA PRESUPUESTAL]],'Cost Report'!G:G,1,0),"Balance")</f>
        <v>2794-003</v>
      </c>
      <c r="AC1528" s="118"/>
      <c r="AD1528" s="159">
        <f>+Table1[[#This Row],[SUBTOTAL]]+Table1[[#This Row],[IVA]]-Table1[[#This Row],[RET IVA]]-Table1[[#This Row],[RET ISR]]-Table1[[#This Row],[TOTAL]]</f>
        <v>0</v>
      </c>
      <c r="AE1528" s="150"/>
      <c r="AF1528" s="151"/>
      <c r="AG1528" s="126" t="s">
        <v>3420</v>
      </c>
      <c r="AK1528" s="306" t="str">
        <f>IF(ISNUMBER(Table1[[#This Row],[FECHA DE RECIBIDO]]), Table1[[#This Row],[FECHA DE RECIBIDO]]-DATE(2023,8,30), "")</f>
        <v/>
      </c>
    </row>
    <row r="1529" spans="1:37" ht="16.05" customHeight="1">
      <c r="A1529" s="152" t="s">
        <v>3386</v>
      </c>
      <c r="B1529" s="153">
        <v>493</v>
      </c>
      <c r="C1529" s="126" t="s">
        <v>2596</v>
      </c>
      <c r="D1529">
        <v>976</v>
      </c>
      <c r="E1529" s="126" t="s">
        <v>3387</v>
      </c>
      <c r="F1529" s="125" t="s">
        <v>1607</v>
      </c>
      <c r="G1529" s="125" t="s">
        <v>134</v>
      </c>
      <c r="H1529">
        <v>292</v>
      </c>
      <c r="I1529" s="125" t="s">
        <v>1546</v>
      </c>
      <c r="J1529" s="308" t="s">
        <v>214</v>
      </c>
      <c r="K1529" s="127" t="s">
        <v>3348</v>
      </c>
      <c r="L1529" s="153" t="s">
        <v>1579</v>
      </c>
      <c r="M1529">
        <v>428</v>
      </c>
      <c r="N1529" s="123">
        <v>17</v>
      </c>
      <c r="O1529">
        <v>971</v>
      </c>
      <c r="P1529" s="132" t="s">
        <v>77</v>
      </c>
      <c r="Q1529" s="132">
        <v>322.41000000000003</v>
      </c>
      <c r="R1529" s="132">
        <v>51.59</v>
      </c>
      <c r="S1529" s="132"/>
      <c r="T1529" s="156"/>
      <c r="U1529" s="132"/>
      <c r="V1529" s="132">
        <v>374</v>
      </c>
      <c r="W1529">
        <v>61</v>
      </c>
      <c r="X1529" s="153" t="s">
        <v>1644</v>
      </c>
      <c r="Y1529" s="124" t="s">
        <v>55</v>
      </c>
      <c r="Z1529" s="308">
        <v>203</v>
      </c>
      <c r="AB1529" t="str">
        <f>IF(Table1[[#This Row],[TIPO2]]="costo", VLOOKUP(Table1[[#This Row],[PARTIDA PRESUPUESTAL]],'Cost Report'!G:G,1,0),"Balance")</f>
        <v>2794-003</v>
      </c>
      <c r="AC1529" s="118"/>
      <c r="AD1529" s="159">
        <f>+Table1[[#This Row],[SUBTOTAL]]+Table1[[#This Row],[IVA]]-Table1[[#This Row],[RET IVA]]-Table1[[#This Row],[RET ISR]]-Table1[[#This Row],[TOTAL]]</f>
        <v>0</v>
      </c>
      <c r="AE1529" s="152"/>
      <c r="AF1529" s="153"/>
      <c r="AG1529" s="126" t="s">
        <v>3420</v>
      </c>
      <c r="AK1529" s="306" t="str">
        <f>IF(ISNUMBER(Table1[[#This Row],[FECHA DE RECIBIDO]]), Table1[[#This Row],[FECHA DE RECIBIDO]]-DATE(2023,8,30), "")</f>
        <v/>
      </c>
    </row>
    <row r="1530" spans="1:37" ht="16.05" customHeight="1">
      <c r="A1530" s="150" t="s">
        <v>3386</v>
      </c>
      <c r="B1530" s="151">
        <v>493</v>
      </c>
      <c r="C1530" s="126" t="s">
        <v>2596</v>
      </c>
      <c r="D1530">
        <v>977</v>
      </c>
      <c r="E1530" s="126" t="s">
        <v>2005</v>
      </c>
      <c r="F1530" s="122" t="s">
        <v>1607</v>
      </c>
      <c r="G1530" s="122" t="s">
        <v>134</v>
      </c>
      <c r="H1530">
        <v>97</v>
      </c>
      <c r="I1530" s="122" t="s">
        <v>1546</v>
      </c>
      <c r="J1530" s="307" t="s">
        <v>214</v>
      </c>
      <c r="K1530" s="127" t="s">
        <v>3348</v>
      </c>
      <c r="L1530" s="151" t="s">
        <v>1579</v>
      </c>
      <c r="M1530">
        <v>429</v>
      </c>
      <c r="N1530" s="123">
        <v>17</v>
      </c>
      <c r="O1530">
        <v>457</v>
      </c>
      <c r="P1530" s="132" t="s">
        <v>77</v>
      </c>
      <c r="Q1530" s="131">
        <v>2237.06</v>
      </c>
      <c r="R1530" s="131">
        <v>357.93</v>
      </c>
      <c r="S1530" s="131"/>
      <c r="T1530" s="155"/>
      <c r="U1530" s="131"/>
      <c r="V1530" s="131">
        <v>2594.9899999999998</v>
      </c>
      <c r="W1530">
        <v>61</v>
      </c>
      <c r="X1530" s="151" t="s">
        <v>1644</v>
      </c>
      <c r="Y1530" s="135" t="s">
        <v>55</v>
      </c>
      <c r="Z1530" s="307">
        <v>203</v>
      </c>
      <c r="AB1530" t="str">
        <f>IF(Table1[[#This Row],[TIPO2]]="costo", VLOOKUP(Table1[[#This Row],[PARTIDA PRESUPUESTAL]],'Cost Report'!G:G,1,0),"Balance")</f>
        <v>2794-003</v>
      </c>
      <c r="AC1530" s="118"/>
      <c r="AD1530" s="159">
        <f>+Table1[[#This Row],[SUBTOTAL]]+Table1[[#This Row],[IVA]]-Table1[[#This Row],[RET IVA]]-Table1[[#This Row],[RET ISR]]-Table1[[#This Row],[TOTAL]]</f>
        <v>0</v>
      </c>
      <c r="AE1530" s="150"/>
      <c r="AF1530" s="151"/>
      <c r="AG1530" s="126" t="s">
        <v>3420</v>
      </c>
      <c r="AK1530" s="306" t="str">
        <f>IF(ISNUMBER(Table1[[#This Row],[FECHA DE RECIBIDO]]), Table1[[#This Row],[FECHA DE RECIBIDO]]-DATE(2023,8,30), "")</f>
        <v/>
      </c>
    </row>
    <row r="1531" spans="1:37" ht="16.05" customHeight="1">
      <c r="A1531" s="152" t="s">
        <v>3386</v>
      </c>
      <c r="B1531" s="153">
        <v>493</v>
      </c>
      <c r="C1531" s="126" t="s">
        <v>2596</v>
      </c>
      <c r="D1531">
        <v>978</v>
      </c>
      <c r="E1531" s="126" t="s">
        <v>3387</v>
      </c>
      <c r="F1531" s="125" t="s">
        <v>1607</v>
      </c>
      <c r="G1531" s="125" t="s">
        <v>134</v>
      </c>
      <c r="H1531">
        <v>156</v>
      </c>
      <c r="I1531" s="125" t="s">
        <v>1546</v>
      </c>
      <c r="J1531" s="308" t="s">
        <v>214</v>
      </c>
      <c r="K1531" s="127" t="s">
        <v>3348</v>
      </c>
      <c r="L1531" s="153" t="s">
        <v>1579</v>
      </c>
      <c r="M1531">
        <v>207</v>
      </c>
      <c r="N1531" s="123">
        <v>17</v>
      </c>
      <c r="O1531">
        <v>972</v>
      </c>
      <c r="P1531" s="132" t="s">
        <v>77</v>
      </c>
      <c r="Q1531" s="132">
        <v>1318.23</v>
      </c>
      <c r="R1531" s="132">
        <v>210.92</v>
      </c>
      <c r="S1531" s="132"/>
      <c r="T1531" s="156"/>
      <c r="U1531" s="132"/>
      <c r="V1531" s="132">
        <v>1529.15</v>
      </c>
      <c r="W1531">
        <v>61</v>
      </c>
      <c r="X1531" s="153" t="s">
        <v>1644</v>
      </c>
      <c r="Y1531" s="124" t="s">
        <v>55</v>
      </c>
      <c r="Z1531" s="308">
        <v>203</v>
      </c>
      <c r="AB1531" t="str">
        <f>IF(Table1[[#This Row],[TIPO2]]="costo", VLOOKUP(Table1[[#This Row],[PARTIDA PRESUPUESTAL]],'Cost Report'!G:G,1,0),"Balance")</f>
        <v>2794-003</v>
      </c>
      <c r="AC1531" s="118"/>
      <c r="AD1531" s="159">
        <f>+Table1[[#This Row],[SUBTOTAL]]+Table1[[#This Row],[IVA]]-Table1[[#This Row],[RET IVA]]-Table1[[#This Row],[RET ISR]]-Table1[[#This Row],[TOTAL]]</f>
        <v>0</v>
      </c>
      <c r="AE1531" s="152"/>
      <c r="AF1531" s="153"/>
      <c r="AG1531" s="126" t="s">
        <v>3420</v>
      </c>
      <c r="AK1531" s="306" t="str">
        <f>IF(ISNUMBER(Table1[[#This Row],[FECHA DE RECIBIDO]]), Table1[[#This Row],[FECHA DE RECIBIDO]]-DATE(2023,8,30), "")</f>
        <v/>
      </c>
    </row>
    <row r="1532" spans="1:37" ht="16.05" customHeight="1">
      <c r="A1532" s="150" t="s">
        <v>3386</v>
      </c>
      <c r="B1532" s="151">
        <v>493</v>
      </c>
      <c r="C1532" s="126" t="s">
        <v>2596</v>
      </c>
      <c r="D1532">
        <v>979</v>
      </c>
      <c r="E1532" s="126" t="s">
        <v>3387</v>
      </c>
      <c r="F1532" s="122" t="s">
        <v>1607</v>
      </c>
      <c r="G1532" s="122" t="s">
        <v>134</v>
      </c>
      <c r="H1532">
        <v>156</v>
      </c>
      <c r="I1532" s="122" t="s">
        <v>1546</v>
      </c>
      <c r="J1532" s="307" t="s">
        <v>214</v>
      </c>
      <c r="K1532" s="127" t="s">
        <v>3348</v>
      </c>
      <c r="L1532" s="151" t="s">
        <v>1579</v>
      </c>
      <c r="M1532">
        <v>207</v>
      </c>
      <c r="N1532" s="123">
        <v>17</v>
      </c>
      <c r="O1532">
        <v>973</v>
      </c>
      <c r="P1532" s="132" t="s">
        <v>77</v>
      </c>
      <c r="Q1532" s="131">
        <v>4997.42</v>
      </c>
      <c r="R1532" s="131">
        <v>799.59</v>
      </c>
      <c r="S1532" s="131"/>
      <c r="T1532" s="155"/>
      <c r="U1532" s="131"/>
      <c r="V1532" s="131">
        <v>5797.01</v>
      </c>
      <c r="W1532">
        <v>61</v>
      </c>
      <c r="X1532" s="151" t="s">
        <v>1644</v>
      </c>
      <c r="Y1532" s="135" t="s">
        <v>55</v>
      </c>
      <c r="Z1532" s="307">
        <v>203</v>
      </c>
      <c r="AB1532" t="str">
        <f>IF(Table1[[#This Row],[TIPO2]]="costo", VLOOKUP(Table1[[#This Row],[PARTIDA PRESUPUESTAL]],'Cost Report'!G:G,1,0),"Balance")</f>
        <v>2794-003</v>
      </c>
      <c r="AC1532" s="118"/>
      <c r="AD1532" s="159">
        <f>+Table1[[#This Row],[SUBTOTAL]]+Table1[[#This Row],[IVA]]-Table1[[#This Row],[RET IVA]]-Table1[[#This Row],[RET ISR]]-Table1[[#This Row],[TOTAL]]</f>
        <v>0</v>
      </c>
      <c r="AE1532" s="150"/>
      <c r="AF1532" s="151"/>
      <c r="AG1532" s="126" t="s">
        <v>3420</v>
      </c>
      <c r="AK1532" s="306" t="str">
        <f>IF(ISNUMBER(Table1[[#This Row],[FECHA DE RECIBIDO]]), Table1[[#This Row],[FECHA DE RECIBIDO]]-DATE(2023,8,30), "")</f>
        <v/>
      </c>
    </row>
    <row r="1533" spans="1:37" ht="16.05" customHeight="1">
      <c r="A1533" s="152" t="s">
        <v>3386</v>
      </c>
      <c r="B1533" s="153">
        <v>493</v>
      </c>
      <c r="C1533" s="126" t="s">
        <v>2596</v>
      </c>
      <c r="D1533">
        <v>980</v>
      </c>
      <c r="E1533" s="126" t="s">
        <v>2005</v>
      </c>
      <c r="F1533" s="125" t="s">
        <v>1607</v>
      </c>
      <c r="G1533" s="125" t="s">
        <v>134</v>
      </c>
      <c r="H1533">
        <v>150</v>
      </c>
      <c r="I1533" s="125" t="s">
        <v>1546</v>
      </c>
      <c r="J1533" s="308" t="s">
        <v>214</v>
      </c>
      <c r="K1533" s="127" t="s">
        <v>3348</v>
      </c>
      <c r="L1533" s="153" t="s">
        <v>1579</v>
      </c>
      <c r="M1533">
        <v>208</v>
      </c>
      <c r="N1533" s="123">
        <v>17</v>
      </c>
      <c r="O1533">
        <v>974</v>
      </c>
      <c r="P1533" s="132" t="s">
        <v>77</v>
      </c>
      <c r="Q1533" s="132">
        <v>473.28</v>
      </c>
      <c r="R1533" s="132">
        <v>75.72</v>
      </c>
      <c r="S1533" s="132"/>
      <c r="T1533" s="156"/>
      <c r="U1533" s="132"/>
      <c r="V1533" s="132">
        <v>549</v>
      </c>
      <c r="W1533">
        <v>61</v>
      </c>
      <c r="X1533" s="153" t="s">
        <v>1644</v>
      </c>
      <c r="Y1533" s="124" t="s">
        <v>55</v>
      </c>
      <c r="Z1533" s="308" t="s">
        <v>214</v>
      </c>
      <c r="AB1533" t="str">
        <f>IF(Table1[[#This Row],[TIPO2]]="costo", VLOOKUP(Table1[[#This Row],[PARTIDA PRESUPUESTAL]],'Cost Report'!G:G,1,0),"Balance")</f>
        <v>2794-003</v>
      </c>
      <c r="AC1533" s="118"/>
      <c r="AD1533" s="159">
        <f>+Table1[[#This Row],[SUBTOTAL]]+Table1[[#This Row],[IVA]]-Table1[[#This Row],[RET IVA]]-Table1[[#This Row],[RET ISR]]-Table1[[#This Row],[TOTAL]]</f>
        <v>0</v>
      </c>
      <c r="AE1533" s="152"/>
      <c r="AF1533" s="153"/>
      <c r="AG1533" s="126" t="s">
        <v>3420</v>
      </c>
      <c r="AK1533" s="306" t="str">
        <f>IF(ISNUMBER(Table1[[#This Row],[FECHA DE RECIBIDO]]), Table1[[#This Row],[FECHA DE RECIBIDO]]-DATE(2023,8,30), "")</f>
        <v/>
      </c>
    </row>
    <row r="1534" spans="1:37" ht="16.05" customHeight="1">
      <c r="A1534" s="150" t="s">
        <v>3388</v>
      </c>
      <c r="B1534" s="151">
        <v>494</v>
      </c>
      <c r="C1534" s="126" t="s">
        <v>2596</v>
      </c>
      <c r="D1534">
        <v>981</v>
      </c>
      <c r="E1534" s="126" t="s">
        <v>2085</v>
      </c>
      <c r="F1534" s="122" t="s">
        <v>1607</v>
      </c>
      <c r="G1534" s="122" t="s">
        <v>134</v>
      </c>
      <c r="H1534">
        <v>323</v>
      </c>
      <c r="I1534" s="122" t="s">
        <v>1546</v>
      </c>
      <c r="J1534" s="307" t="s">
        <v>214</v>
      </c>
      <c r="K1534" s="127" t="s">
        <v>3348</v>
      </c>
      <c r="L1534" s="151" t="s">
        <v>1579</v>
      </c>
      <c r="M1534">
        <v>430</v>
      </c>
      <c r="N1534" s="123">
        <v>17</v>
      </c>
      <c r="O1534">
        <v>975</v>
      </c>
      <c r="P1534" s="132" t="s">
        <v>77</v>
      </c>
      <c r="Q1534" s="131">
        <v>11293.1</v>
      </c>
      <c r="R1534" s="131">
        <v>1806.9</v>
      </c>
      <c r="S1534" s="131"/>
      <c r="T1534" s="155"/>
      <c r="U1534" s="131"/>
      <c r="V1534" s="131">
        <v>13100</v>
      </c>
      <c r="W1534">
        <v>62</v>
      </c>
      <c r="X1534" s="151" t="s">
        <v>1644</v>
      </c>
      <c r="Y1534" s="135" t="s">
        <v>55</v>
      </c>
      <c r="Z1534" s="307">
        <v>204</v>
      </c>
      <c r="AB1534" t="str">
        <f>IF(Table1[[#This Row],[TIPO2]]="costo", VLOOKUP(Table1[[#This Row],[PARTIDA PRESUPUESTAL]],'Cost Report'!G:G,1,0),"Balance")</f>
        <v>2794-003</v>
      </c>
      <c r="AC1534" s="118"/>
      <c r="AD1534" s="159">
        <f>+Table1[[#This Row],[SUBTOTAL]]+Table1[[#This Row],[IVA]]-Table1[[#This Row],[RET IVA]]-Table1[[#This Row],[RET ISR]]-Table1[[#This Row],[TOTAL]]</f>
        <v>0</v>
      </c>
      <c r="AE1534" s="150"/>
      <c r="AF1534" s="151"/>
      <c r="AG1534" s="126" t="s">
        <v>3420</v>
      </c>
      <c r="AK1534" s="306" t="str">
        <f>IF(ISNUMBER(Table1[[#This Row],[FECHA DE RECIBIDO]]), Table1[[#This Row],[FECHA DE RECIBIDO]]-DATE(2023,8,30), "")</f>
        <v/>
      </c>
    </row>
    <row r="1535" spans="1:37" ht="16.05" customHeight="1">
      <c r="A1535" s="152" t="s">
        <v>3388</v>
      </c>
      <c r="B1535" s="153">
        <v>494</v>
      </c>
      <c r="C1535" s="126" t="s">
        <v>2596</v>
      </c>
      <c r="D1535">
        <v>982</v>
      </c>
      <c r="E1535" s="126"/>
      <c r="F1535" s="125"/>
      <c r="G1535" s="125" t="s">
        <v>134</v>
      </c>
      <c r="H1535"/>
      <c r="I1535" s="125" t="s">
        <v>1546</v>
      </c>
      <c r="J1535" s="308" t="s">
        <v>214</v>
      </c>
      <c r="K1535" s="127" t="s">
        <v>3348</v>
      </c>
      <c r="L1535" s="153" t="s">
        <v>1579</v>
      </c>
      <c r="M1535">
        <v>431</v>
      </c>
      <c r="N1535" s="123">
        <v>17</v>
      </c>
      <c r="O1535">
        <v>976</v>
      </c>
      <c r="P1535" s="132" t="s">
        <v>77</v>
      </c>
      <c r="Q1535" s="132">
        <v>408</v>
      </c>
      <c r="R1535" s="132">
        <v>65.28</v>
      </c>
      <c r="S1535" s="132"/>
      <c r="T1535" s="156"/>
      <c r="U1535" s="132"/>
      <c r="V1535" s="132">
        <v>473.28</v>
      </c>
      <c r="W1535">
        <v>62</v>
      </c>
      <c r="X1535" s="153" t="s">
        <v>1644</v>
      </c>
      <c r="Y1535" s="124" t="s">
        <v>55</v>
      </c>
      <c r="Z1535" s="308">
        <v>-169</v>
      </c>
      <c r="AB1535" t="str">
        <f>IF(Table1[[#This Row],[TIPO2]]="costo", VLOOKUP(Table1[[#This Row],[PARTIDA PRESUPUESTAL]],'Cost Report'!G:G,1,0),"Balance")</f>
        <v>2794-003</v>
      </c>
      <c r="AC1535" s="118"/>
      <c r="AD1535" s="159">
        <f>+Table1[[#This Row],[SUBTOTAL]]+Table1[[#This Row],[IVA]]-Table1[[#This Row],[RET IVA]]-Table1[[#This Row],[RET ISR]]-Table1[[#This Row],[TOTAL]]</f>
        <v>0</v>
      </c>
      <c r="AE1535" s="152"/>
      <c r="AF1535" s="153"/>
      <c r="AG1535" s="126" t="s">
        <v>3420</v>
      </c>
      <c r="AK1535" s="306" t="str">
        <f>IF(ISNUMBER(Table1[[#This Row],[FECHA DE RECIBIDO]]), Table1[[#This Row],[FECHA DE RECIBIDO]]-DATE(2023,8,30), "")</f>
        <v/>
      </c>
    </row>
    <row r="1536" spans="1:37" ht="16.05" customHeight="1">
      <c r="A1536" s="150" t="s">
        <v>3388</v>
      </c>
      <c r="B1536" s="151">
        <v>494</v>
      </c>
      <c r="C1536" s="126" t="s">
        <v>2596</v>
      </c>
      <c r="D1536">
        <v>983</v>
      </c>
      <c r="E1536" s="126" t="s">
        <v>2005</v>
      </c>
      <c r="F1536" s="122" t="s">
        <v>1607</v>
      </c>
      <c r="G1536" s="122" t="s">
        <v>134</v>
      </c>
      <c r="H1536">
        <v>97</v>
      </c>
      <c r="I1536" s="122" t="s">
        <v>1546</v>
      </c>
      <c r="J1536" s="307" t="s">
        <v>214</v>
      </c>
      <c r="K1536" s="127" t="s">
        <v>3348</v>
      </c>
      <c r="L1536" s="151" t="s">
        <v>1579</v>
      </c>
      <c r="M1536">
        <v>193</v>
      </c>
      <c r="N1536" s="123">
        <v>17</v>
      </c>
      <c r="O1536">
        <v>434</v>
      </c>
      <c r="P1536" s="132" t="s">
        <v>77</v>
      </c>
      <c r="Q1536" s="131">
        <v>3632.76</v>
      </c>
      <c r="R1536" s="131">
        <v>581.24</v>
      </c>
      <c r="S1536" s="131"/>
      <c r="T1536" s="155"/>
      <c r="U1536" s="131"/>
      <c r="V1536" s="131">
        <v>4214</v>
      </c>
      <c r="W1536">
        <v>62</v>
      </c>
      <c r="X1536" s="151" t="s">
        <v>1644</v>
      </c>
      <c r="Y1536" s="135" t="s">
        <v>55</v>
      </c>
      <c r="Z1536" s="307">
        <v>205</v>
      </c>
      <c r="AB1536" t="str">
        <f>IF(Table1[[#This Row],[TIPO2]]="costo", VLOOKUP(Table1[[#This Row],[PARTIDA PRESUPUESTAL]],'Cost Report'!G:G,1,0),"Balance")</f>
        <v>2794-003</v>
      </c>
      <c r="AC1536" s="118"/>
      <c r="AD1536" s="159">
        <f>+Table1[[#This Row],[SUBTOTAL]]+Table1[[#This Row],[IVA]]-Table1[[#This Row],[RET IVA]]-Table1[[#This Row],[RET ISR]]-Table1[[#This Row],[TOTAL]]</f>
        <v>0</v>
      </c>
      <c r="AE1536" s="150"/>
      <c r="AF1536" s="151"/>
      <c r="AG1536" s="126" t="s">
        <v>3420</v>
      </c>
      <c r="AK1536" s="306" t="str">
        <f>IF(ISNUMBER(Table1[[#This Row],[FECHA DE RECIBIDO]]), Table1[[#This Row],[FECHA DE RECIBIDO]]-DATE(2023,8,30), "")</f>
        <v/>
      </c>
    </row>
    <row r="1537" spans="1:37" ht="16.05" customHeight="1">
      <c r="A1537" s="152" t="s">
        <v>3388</v>
      </c>
      <c r="B1537" s="153">
        <v>494</v>
      </c>
      <c r="C1537" s="126" t="s">
        <v>2596</v>
      </c>
      <c r="D1537">
        <v>984</v>
      </c>
      <c r="E1537" s="126" t="s">
        <v>2005</v>
      </c>
      <c r="F1537" s="125" t="s">
        <v>1607</v>
      </c>
      <c r="G1537" s="125" t="s">
        <v>134</v>
      </c>
      <c r="H1537">
        <v>97</v>
      </c>
      <c r="I1537" s="125" t="s">
        <v>1546</v>
      </c>
      <c r="J1537" s="308" t="s">
        <v>214</v>
      </c>
      <c r="K1537" s="127" t="s">
        <v>3348</v>
      </c>
      <c r="L1537" s="153" t="s">
        <v>1579</v>
      </c>
      <c r="M1537">
        <v>193</v>
      </c>
      <c r="N1537" s="123">
        <v>17</v>
      </c>
      <c r="O1537">
        <v>977</v>
      </c>
      <c r="P1537" s="132" t="s">
        <v>77</v>
      </c>
      <c r="Q1537" s="132">
        <v>-929.31</v>
      </c>
      <c r="R1537" s="132">
        <v>-148.69</v>
      </c>
      <c r="S1537" s="132"/>
      <c r="T1537" s="156"/>
      <c r="U1537" s="132"/>
      <c r="V1537" s="132">
        <v>-1078</v>
      </c>
      <c r="W1537">
        <v>62</v>
      </c>
      <c r="X1537" s="153" t="s">
        <v>1644</v>
      </c>
      <c r="Y1537" s="124" t="s">
        <v>55</v>
      </c>
      <c r="Z1537" s="308">
        <v>205</v>
      </c>
      <c r="AB1537" t="str">
        <f>IF(Table1[[#This Row],[TIPO2]]="costo", VLOOKUP(Table1[[#This Row],[PARTIDA PRESUPUESTAL]],'Cost Report'!G:G,1,0),"Balance")</f>
        <v>2794-003</v>
      </c>
      <c r="AC1537" s="118"/>
      <c r="AD1537" s="159">
        <f>+Table1[[#This Row],[SUBTOTAL]]+Table1[[#This Row],[IVA]]-Table1[[#This Row],[RET IVA]]-Table1[[#This Row],[RET ISR]]-Table1[[#This Row],[TOTAL]]</f>
        <v>0</v>
      </c>
      <c r="AE1537" s="152"/>
      <c r="AF1537" s="153"/>
      <c r="AG1537" s="126" t="s">
        <v>3420</v>
      </c>
      <c r="AK1537" s="306" t="str">
        <f>IF(ISNUMBER(Table1[[#This Row],[FECHA DE RECIBIDO]]), Table1[[#This Row],[FECHA DE RECIBIDO]]-DATE(2023,8,30), "")</f>
        <v/>
      </c>
    </row>
    <row r="1538" spans="1:37" ht="16.05" customHeight="1">
      <c r="A1538" s="150" t="s">
        <v>3389</v>
      </c>
      <c r="B1538" s="151">
        <v>495</v>
      </c>
      <c r="C1538" s="126" t="s">
        <v>2596</v>
      </c>
      <c r="D1538">
        <v>985</v>
      </c>
      <c r="E1538" s="126" t="s">
        <v>3370</v>
      </c>
      <c r="F1538" s="122" t="s">
        <v>1607</v>
      </c>
      <c r="G1538" s="122" t="s">
        <v>134</v>
      </c>
      <c r="H1538">
        <v>102</v>
      </c>
      <c r="I1538" s="122" t="s">
        <v>1546</v>
      </c>
      <c r="J1538" s="307" t="s">
        <v>214</v>
      </c>
      <c r="K1538" s="127" t="s">
        <v>3348</v>
      </c>
      <c r="L1538" s="151" t="s">
        <v>1579</v>
      </c>
      <c r="M1538">
        <v>137</v>
      </c>
      <c r="N1538" s="123">
        <v>17</v>
      </c>
      <c r="O1538">
        <v>978</v>
      </c>
      <c r="P1538" s="132" t="s">
        <v>77</v>
      </c>
      <c r="Q1538" s="131">
        <v>775</v>
      </c>
      <c r="R1538" s="131">
        <v>124</v>
      </c>
      <c r="S1538" s="131"/>
      <c r="T1538" s="155"/>
      <c r="U1538" s="131"/>
      <c r="V1538" s="131">
        <v>899</v>
      </c>
      <c r="W1538">
        <v>61</v>
      </c>
      <c r="X1538" s="151" t="s">
        <v>1644</v>
      </c>
      <c r="Y1538" s="135" t="s">
        <v>55</v>
      </c>
      <c r="Z1538" s="307">
        <v>204</v>
      </c>
      <c r="AB1538" t="str">
        <f>IF(Table1[[#This Row],[TIPO2]]="costo", VLOOKUP(Table1[[#This Row],[PARTIDA PRESUPUESTAL]],'Cost Report'!G:G,1,0),"Balance")</f>
        <v>2794-003</v>
      </c>
      <c r="AC1538" s="118"/>
      <c r="AD1538" s="159">
        <f>+Table1[[#This Row],[SUBTOTAL]]+Table1[[#This Row],[IVA]]-Table1[[#This Row],[RET IVA]]-Table1[[#This Row],[RET ISR]]-Table1[[#This Row],[TOTAL]]</f>
        <v>0</v>
      </c>
      <c r="AE1538" s="150"/>
      <c r="AF1538" s="151"/>
      <c r="AG1538" s="126" t="s">
        <v>3420</v>
      </c>
      <c r="AK1538" s="306" t="str">
        <f>IF(ISNUMBER(Table1[[#This Row],[FECHA DE RECIBIDO]]), Table1[[#This Row],[FECHA DE RECIBIDO]]-DATE(2023,8,30), "")</f>
        <v/>
      </c>
    </row>
    <row r="1539" spans="1:37" ht="16.05" customHeight="1">
      <c r="A1539" s="152" t="s">
        <v>3389</v>
      </c>
      <c r="B1539" s="153">
        <v>495</v>
      </c>
      <c r="C1539" s="126" t="s">
        <v>2596</v>
      </c>
      <c r="D1539">
        <v>986</v>
      </c>
      <c r="E1539" s="126" t="s">
        <v>3370</v>
      </c>
      <c r="F1539" s="125" t="s">
        <v>1607</v>
      </c>
      <c r="G1539" s="125" t="s">
        <v>134</v>
      </c>
      <c r="H1539">
        <v>102</v>
      </c>
      <c r="I1539" s="125" t="s">
        <v>1546</v>
      </c>
      <c r="J1539" s="308" t="s">
        <v>214</v>
      </c>
      <c r="K1539" s="127" t="s">
        <v>3348</v>
      </c>
      <c r="L1539" s="153" t="s">
        <v>1579</v>
      </c>
      <c r="M1539">
        <v>137</v>
      </c>
      <c r="N1539" s="123">
        <v>17</v>
      </c>
      <c r="O1539">
        <v>820</v>
      </c>
      <c r="P1539" s="132" t="s">
        <v>77</v>
      </c>
      <c r="Q1539" s="132">
        <v>1807.76</v>
      </c>
      <c r="R1539" s="132">
        <v>289.24</v>
      </c>
      <c r="S1539" s="132"/>
      <c r="T1539" s="156"/>
      <c r="U1539" s="132"/>
      <c r="V1539" s="132">
        <v>2097</v>
      </c>
      <c r="W1539">
        <v>61</v>
      </c>
      <c r="X1539" s="153" t="s">
        <v>1644</v>
      </c>
      <c r="Y1539" s="124" t="s">
        <v>55</v>
      </c>
      <c r="Z1539" s="308">
        <v>204</v>
      </c>
      <c r="AB1539" t="str">
        <f>IF(Table1[[#This Row],[TIPO2]]="costo", VLOOKUP(Table1[[#This Row],[PARTIDA PRESUPUESTAL]],'Cost Report'!G:G,1,0),"Balance")</f>
        <v>2794-003</v>
      </c>
      <c r="AC1539" s="118"/>
      <c r="AD1539" s="159">
        <f>+Table1[[#This Row],[SUBTOTAL]]+Table1[[#This Row],[IVA]]-Table1[[#This Row],[RET IVA]]-Table1[[#This Row],[RET ISR]]-Table1[[#This Row],[TOTAL]]</f>
        <v>0</v>
      </c>
      <c r="AE1539" s="152"/>
      <c r="AF1539" s="153"/>
      <c r="AG1539" s="126" t="s">
        <v>3420</v>
      </c>
      <c r="AK1539" s="306" t="str">
        <f>IF(ISNUMBER(Table1[[#This Row],[FECHA DE RECIBIDO]]), Table1[[#This Row],[FECHA DE RECIBIDO]]-DATE(2023,8,30), "")</f>
        <v/>
      </c>
    </row>
    <row r="1540" spans="1:37" ht="16.05" customHeight="1">
      <c r="A1540" s="150" t="s">
        <v>3389</v>
      </c>
      <c r="B1540" s="151">
        <v>495</v>
      </c>
      <c r="C1540" s="126" t="s">
        <v>2596</v>
      </c>
      <c r="D1540">
        <v>987</v>
      </c>
      <c r="E1540" s="126"/>
      <c r="F1540" s="122"/>
      <c r="G1540" s="122" t="s">
        <v>134</v>
      </c>
      <c r="H1540"/>
      <c r="I1540" s="122"/>
      <c r="J1540" s="307" t="s">
        <v>214</v>
      </c>
      <c r="K1540" s="127" t="s">
        <v>3348</v>
      </c>
      <c r="L1540" s="151" t="s">
        <v>1579</v>
      </c>
      <c r="M1540">
        <v>193</v>
      </c>
      <c r="N1540" s="123">
        <v>17</v>
      </c>
      <c r="O1540">
        <v>434</v>
      </c>
      <c r="P1540" s="132" t="s">
        <v>77</v>
      </c>
      <c r="Q1540" s="131">
        <v>1858.61</v>
      </c>
      <c r="R1540" s="131">
        <v>297.38</v>
      </c>
      <c r="S1540" s="131"/>
      <c r="T1540" s="155"/>
      <c r="U1540" s="131"/>
      <c r="V1540" s="131">
        <v>2155.9899999999998</v>
      </c>
      <c r="W1540">
        <v>61</v>
      </c>
      <c r="X1540" s="151" t="s">
        <v>1644</v>
      </c>
      <c r="Y1540" s="135" t="s">
        <v>55</v>
      </c>
      <c r="Z1540" s="307">
        <v>193</v>
      </c>
      <c r="AB1540" t="str">
        <f>IF(Table1[[#This Row],[TIPO2]]="costo", VLOOKUP(Table1[[#This Row],[PARTIDA PRESUPUESTAL]],'Cost Report'!G:G,1,0),"Balance")</f>
        <v>2794-003</v>
      </c>
      <c r="AC1540" s="118"/>
      <c r="AD1540" s="159">
        <f>+Table1[[#This Row],[SUBTOTAL]]+Table1[[#This Row],[IVA]]-Table1[[#This Row],[RET IVA]]-Table1[[#This Row],[RET ISR]]-Table1[[#This Row],[TOTAL]]</f>
        <v>0</v>
      </c>
      <c r="AE1540" s="150"/>
      <c r="AF1540" s="151"/>
      <c r="AG1540" s="126" t="s">
        <v>3420</v>
      </c>
      <c r="AK1540" s="306" t="str">
        <f>IF(ISNUMBER(Table1[[#This Row],[FECHA DE RECIBIDO]]), Table1[[#This Row],[FECHA DE RECIBIDO]]-DATE(2023,8,30), "")</f>
        <v/>
      </c>
    </row>
    <row r="1541" spans="1:37" ht="16.05" customHeight="1">
      <c r="A1541" s="152" t="s">
        <v>3389</v>
      </c>
      <c r="B1541" s="153">
        <v>495</v>
      </c>
      <c r="C1541" s="126" t="s">
        <v>2596</v>
      </c>
      <c r="D1541">
        <v>988</v>
      </c>
      <c r="E1541" s="126" t="s">
        <v>2005</v>
      </c>
      <c r="F1541" s="125" t="s">
        <v>1607</v>
      </c>
      <c r="G1541" s="125" t="s">
        <v>134</v>
      </c>
      <c r="H1541">
        <v>97</v>
      </c>
      <c r="I1541" s="125" t="s">
        <v>1546</v>
      </c>
      <c r="J1541" s="308" t="s">
        <v>214</v>
      </c>
      <c r="K1541" s="127" t="s">
        <v>3348</v>
      </c>
      <c r="L1541" s="153" t="s">
        <v>1579</v>
      </c>
      <c r="M1541">
        <v>193</v>
      </c>
      <c r="N1541" s="123">
        <v>17</v>
      </c>
      <c r="O1541">
        <v>977</v>
      </c>
      <c r="P1541" s="132" t="s">
        <v>77</v>
      </c>
      <c r="Q1541" s="132">
        <v>-515.52</v>
      </c>
      <c r="R1541" s="132">
        <v>-82.48</v>
      </c>
      <c r="S1541" s="132"/>
      <c r="T1541" s="156"/>
      <c r="U1541" s="132"/>
      <c r="V1541" s="132">
        <v>-598</v>
      </c>
      <c r="W1541">
        <v>61</v>
      </c>
      <c r="X1541" s="153" t="s">
        <v>1644</v>
      </c>
      <c r="Y1541" s="124" t="s">
        <v>55</v>
      </c>
      <c r="Z1541" s="308">
        <v>205</v>
      </c>
      <c r="AB1541" t="str">
        <f>IF(Table1[[#This Row],[TIPO2]]="costo", VLOOKUP(Table1[[#This Row],[PARTIDA PRESUPUESTAL]],'Cost Report'!G:G,1,0),"Balance")</f>
        <v>2794-003</v>
      </c>
      <c r="AC1541" s="118"/>
      <c r="AD1541" s="159">
        <f>+Table1[[#This Row],[SUBTOTAL]]+Table1[[#This Row],[IVA]]-Table1[[#This Row],[RET IVA]]-Table1[[#This Row],[RET ISR]]-Table1[[#This Row],[TOTAL]]</f>
        <v>0</v>
      </c>
      <c r="AE1541" s="152"/>
      <c r="AF1541" s="153"/>
      <c r="AG1541" s="126" t="s">
        <v>3420</v>
      </c>
      <c r="AK1541" s="306" t="str">
        <f>IF(ISNUMBER(Table1[[#This Row],[FECHA DE RECIBIDO]]), Table1[[#This Row],[FECHA DE RECIBIDO]]-DATE(2023,8,30), "")</f>
        <v/>
      </c>
    </row>
    <row r="1542" spans="1:37" ht="16.05" customHeight="1">
      <c r="A1542" s="150" t="s">
        <v>3389</v>
      </c>
      <c r="B1542" s="151">
        <v>495</v>
      </c>
      <c r="C1542" s="126" t="s">
        <v>2596</v>
      </c>
      <c r="D1542">
        <v>989</v>
      </c>
      <c r="E1542" s="126" t="s">
        <v>2005</v>
      </c>
      <c r="F1542" s="122" t="s">
        <v>1607</v>
      </c>
      <c r="G1542" s="122" t="s">
        <v>134</v>
      </c>
      <c r="H1542">
        <v>97</v>
      </c>
      <c r="I1542" s="122" t="s">
        <v>1546</v>
      </c>
      <c r="J1542" s="307" t="s">
        <v>214</v>
      </c>
      <c r="K1542" s="127" t="s">
        <v>3348</v>
      </c>
      <c r="L1542" s="151" t="s">
        <v>1579</v>
      </c>
      <c r="M1542">
        <v>193</v>
      </c>
      <c r="N1542" s="123">
        <v>17</v>
      </c>
      <c r="O1542">
        <v>979</v>
      </c>
      <c r="P1542" s="132" t="s">
        <v>77</v>
      </c>
      <c r="Q1542" s="131">
        <v>1494.84</v>
      </c>
      <c r="R1542" s="131">
        <v>239.17</v>
      </c>
      <c r="S1542" s="131"/>
      <c r="T1542" s="155"/>
      <c r="U1542" s="131"/>
      <c r="V1542" s="131">
        <v>1734.01</v>
      </c>
      <c r="W1542">
        <v>61</v>
      </c>
      <c r="X1542" s="151" t="s">
        <v>1644</v>
      </c>
      <c r="Y1542" s="135" t="s">
        <v>55</v>
      </c>
      <c r="Z1542" s="307">
        <v>205</v>
      </c>
      <c r="AB1542" t="str">
        <f>IF(Table1[[#This Row],[TIPO2]]="costo", VLOOKUP(Table1[[#This Row],[PARTIDA PRESUPUESTAL]],'Cost Report'!G:G,1,0),"Balance")</f>
        <v>2794-003</v>
      </c>
      <c r="AC1542" s="118"/>
      <c r="AD1542" s="159">
        <f>+Table1[[#This Row],[SUBTOTAL]]+Table1[[#This Row],[IVA]]-Table1[[#This Row],[RET IVA]]-Table1[[#This Row],[RET ISR]]-Table1[[#This Row],[TOTAL]]</f>
        <v>0</v>
      </c>
      <c r="AE1542" s="150"/>
      <c r="AF1542" s="151"/>
      <c r="AG1542" s="126" t="s">
        <v>3420</v>
      </c>
      <c r="AK1542" s="306" t="str">
        <f>IF(ISNUMBER(Table1[[#This Row],[FECHA DE RECIBIDO]]), Table1[[#This Row],[FECHA DE RECIBIDO]]-DATE(2023,8,30), "")</f>
        <v/>
      </c>
    </row>
    <row r="1543" spans="1:37" ht="16.05" customHeight="1">
      <c r="A1543" s="152" t="s">
        <v>3390</v>
      </c>
      <c r="B1543" s="153">
        <v>496</v>
      </c>
      <c r="C1543" s="126" t="s">
        <v>2596</v>
      </c>
      <c r="D1543">
        <v>990</v>
      </c>
      <c r="E1543" s="126"/>
      <c r="F1543" s="125"/>
      <c r="G1543" s="125" t="s">
        <v>134</v>
      </c>
      <c r="H1543"/>
      <c r="I1543" s="125"/>
      <c r="J1543" s="308" t="s">
        <v>214</v>
      </c>
      <c r="K1543" s="127" t="s">
        <v>3348</v>
      </c>
      <c r="L1543" s="153" t="s">
        <v>1579</v>
      </c>
      <c r="M1543">
        <v>202</v>
      </c>
      <c r="N1543" s="123">
        <v>17</v>
      </c>
      <c r="O1543">
        <v>980</v>
      </c>
      <c r="P1543" s="132" t="s">
        <v>77</v>
      </c>
      <c r="Q1543" s="132">
        <v>1610.6</v>
      </c>
      <c r="R1543" s="132">
        <v>257.7</v>
      </c>
      <c r="S1543" s="132"/>
      <c r="T1543" s="156"/>
      <c r="U1543" s="132"/>
      <c r="V1543" s="132">
        <v>1868.3</v>
      </c>
      <c r="W1543">
        <v>61</v>
      </c>
      <c r="X1543" s="153" t="s">
        <v>1644</v>
      </c>
      <c r="Y1543" s="124" t="s">
        <v>55</v>
      </c>
      <c r="Z1543" s="308">
        <v>195</v>
      </c>
      <c r="AB1543" t="str">
        <f>IF(Table1[[#This Row],[TIPO2]]="costo", VLOOKUP(Table1[[#This Row],[PARTIDA PRESUPUESTAL]],'Cost Report'!G:G,1,0),"Balance")</f>
        <v>2794-003</v>
      </c>
      <c r="AC1543" s="118"/>
      <c r="AD1543" s="159">
        <f>+Table1[[#This Row],[SUBTOTAL]]+Table1[[#This Row],[IVA]]-Table1[[#This Row],[RET IVA]]-Table1[[#This Row],[RET ISR]]-Table1[[#This Row],[TOTAL]]</f>
        <v>0</v>
      </c>
      <c r="AE1543" s="152"/>
      <c r="AF1543" s="153"/>
      <c r="AG1543" s="126" t="s">
        <v>3420</v>
      </c>
      <c r="AK1543" s="306" t="str">
        <f>IF(ISNUMBER(Table1[[#This Row],[FECHA DE RECIBIDO]]), Table1[[#This Row],[FECHA DE RECIBIDO]]-DATE(2023,8,30), "")</f>
        <v/>
      </c>
    </row>
    <row r="1544" spans="1:37" ht="16.05" customHeight="1">
      <c r="A1544" s="150" t="s">
        <v>3390</v>
      </c>
      <c r="B1544" s="151">
        <v>496</v>
      </c>
      <c r="C1544" s="126" t="s">
        <v>2596</v>
      </c>
      <c r="D1544">
        <v>991</v>
      </c>
      <c r="E1544" s="126"/>
      <c r="F1544" s="122"/>
      <c r="G1544" s="122" t="s">
        <v>134</v>
      </c>
      <c r="H1544"/>
      <c r="I1544" s="122"/>
      <c r="J1544" s="307" t="s">
        <v>214</v>
      </c>
      <c r="K1544" s="127" t="s">
        <v>3348</v>
      </c>
      <c r="L1544" s="151" t="s">
        <v>1579</v>
      </c>
      <c r="M1544">
        <v>432</v>
      </c>
      <c r="N1544" s="123">
        <v>17</v>
      </c>
      <c r="O1544">
        <v>981</v>
      </c>
      <c r="P1544" s="132" t="s">
        <v>77</v>
      </c>
      <c r="Q1544" s="131">
        <v>1200</v>
      </c>
      <c r="R1544" s="131">
        <v>192</v>
      </c>
      <c r="S1544" s="131"/>
      <c r="T1544" s="155"/>
      <c r="U1544" s="131">
        <v>15</v>
      </c>
      <c r="V1544" s="131">
        <v>1377</v>
      </c>
      <c r="W1544">
        <v>61</v>
      </c>
      <c r="X1544" s="151" t="s">
        <v>1644</v>
      </c>
      <c r="Y1544" s="135" t="s">
        <v>55</v>
      </c>
      <c r="Z1544" s="307">
        <v>197</v>
      </c>
      <c r="AB1544" t="str">
        <f>IF(Table1[[#This Row],[TIPO2]]="costo", VLOOKUP(Table1[[#This Row],[PARTIDA PRESUPUESTAL]],'Cost Report'!G:G,1,0),"Balance")</f>
        <v>2794-003</v>
      </c>
      <c r="AC1544" s="118"/>
      <c r="AD1544" s="159">
        <f>+Table1[[#This Row],[SUBTOTAL]]+Table1[[#This Row],[IVA]]-Table1[[#This Row],[RET IVA]]-Table1[[#This Row],[RET ISR]]-Table1[[#This Row],[TOTAL]]</f>
        <v>0</v>
      </c>
      <c r="AE1544" s="150"/>
      <c r="AF1544" s="151"/>
      <c r="AG1544" s="126" t="s">
        <v>3420</v>
      </c>
      <c r="AK1544" s="306" t="str">
        <f>IF(ISNUMBER(Table1[[#This Row],[FECHA DE RECIBIDO]]), Table1[[#This Row],[FECHA DE RECIBIDO]]-DATE(2023,8,30), "")</f>
        <v/>
      </c>
    </row>
    <row r="1545" spans="1:37" ht="16.05" customHeight="1">
      <c r="A1545" s="152" t="s">
        <v>3390</v>
      </c>
      <c r="B1545" s="153">
        <v>496</v>
      </c>
      <c r="C1545" s="126" t="s">
        <v>2596</v>
      </c>
      <c r="D1545">
        <v>992</v>
      </c>
      <c r="E1545" s="126"/>
      <c r="F1545" s="125"/>
      <c r="G1545" s="125" t="s">
        <v>134</v>
      </c>
      <c r="H1545"/>
      <c r="I1545" s="125"/>
      <c r="J1545" s="308" t="s">
        <v>214</v>
      </c>
      <c r="K1545" s="127" t="s">
        <v>3348</v>
      </c>
      <c r="L1545" s="153" t="s">
        <v>1579</v>
      </c>
      <c r="M1545">
        <v>432</v>
      </c>
      <c r="N1545" s="123">
        <v>17</v>
      </c>
      <c r="O1545">
        <v>982</v>
      </c>
      <c r="P1545" s="132" t="s">
        <v>77</v>
      </c>
      <c r="Q1545" s="132">
        <v>725</v>
      </c>
      <c r="R1545" s="132">
        <v>116</v>
      </c>
      <c r="S1545" s="132"/>
      <c r="T1545" s="156"/>
      <c r="U1545" s="132">
        <v>9.06</v>
      </c>
      <c r="V1545" s="132">
        <v>831.94</v>
      </c>
      <c r="W1545">
        <v>61</v>
      </c>
      <c r="X1545" s="153" t="s">
        <v>1644</v>
      </c>
      <c r="Y1545" s="124" t="s">
        <v>55</v>
      </c>
      <c r="Z1545" s="308">
        <v>197</v>
      </c>
      <c r="AB1545" t="str">
        <f>IF(Table1[[#This Row],[TIPO2]]="costo", VLOOKUP(Table1[[#This Row],[PARTIDA PRESUPUESTAL]],'Cost Report'!G:G,1,0),"Balance")</f>
        <v>2794-003</v>
      </c>
      <c r="AC1545" s="118"/>
      <c r="AD1545" s="159">
        <f>+Table1[[#This Row],[SUBTOTAL]]+Table1[[#This Row],[IVA]]-Table1[[#This Row],[RET IVA]]-Table1[[#This Row],[RET ISR]]-Table1[[#This Row],[TOTAL]]</f>
        <v>0</v>
      </c>
      <c r="AE1545" s="152"/>
      <c r="AF1545" s="153"/>
      <c r="AG1545" s="126" t="s">
        <v>3420</v>
      </c>
      <c r="AK1545" s="306" t="str">
        <f>IF(ISNUMBER(Table1[[#This Row],[FECHA DE RECIBIDO]]), Table1[[#This Row],[FECHA DE RECIBIDO]]-DATE(2023,8,30), "")</f>
        <v/>
      </c>
    </row>
    <row r="1546" spans="1:37" ht="16.05" customHeight="1">
      <c r="A1546" s="150" t="s">
        <v>3390</v>
      </c>
      <c r="B1546" s="151">
        <v>496</v>
      </c>
      <c r="C1546" s="126" t="s">
        <v>2596</v>
      </c>
      <c r="D1546">
        <v>993</v>
      </c>
      <c r="E1546" s="126"/>
      <c r="F1546" s="122"/>
      <c r="G1546" s="122" t="s">
        <v>134</v>
      </c>
      <c r="H1546"/>
      <c r="I1546" s="122"/>
      <c r="J1546" s="307" t="s">
        <v>214</v>
      </c>
      <c r="K1546" s="127" t="s">
        <v>3348</v>
      </c>
      <c r="L1546" s="151" t="s">
        <v>1579</v>
      </c>
      <c r="M1546">
        <v>432</v>
      </c>
      <c r="N1546" s="123">
        <v>17</v>
      </c>
      <c r="O1546">
        <v>981</v>
      </c>
      <c r="P1546" s="132" t="s">
        <v>77</v>
      </c>
      <c r="Q1546" s="131">
        <v>800</v>
      </c>
      <c r="R1546" s="131">
        <v>128</v>
      </c>
      <c r="S1546" s="131"/>
      <c r="T1546" s="155"/>
      <c r="U1546" s="131">
        <v>10</v>
      </c>
      <c r="V1546" s="131">
        <v>918</v>
      </c>
      <c r="W1546">
        <v>61</v>
      </c>
      <c r="X1546" s="151" t="s">
        <v>1644</v>
      </c>
      <c r="Y1546" s="135" t="s">
        <v>55</v>
      </c>
      <c r="Z1546" s="307">
        <v>197</v>
      </c>
      <c r="AB1546" t="str">
        <f>IF(Table1[[#This Row],[TIPO2]]="costo", VLOOKUP(Table1[[#This Row],[PARTIDA PRESUPUESTAL]],'Cost Report'!G:G,1,0),"Balance")</f>
        <v>2794-003</v>
      </c>
      <c r="AC1546" s="118"/>
      <c r="AD1546" s="159">
        <f>+Table1[[#This Row],[SUBTOTAL]]+Table1[[#This Row],[IVA]]-Table1[[#This Row],[RET IVA]]-Table1[[#This Row],[RET ISR]]-Table1[[#This Row],[TOTAL]]</f>
        <v>0</v>
      </c>
      <c r="AE1546" s="150"/>
      <c r="AF1546" s="151"/>
      <c r="AG1546" s="126" t="s">
        <v>3420</v>
      </c>
      <c r="AK1546" s="306" t="str">
        <f>IF(ISNUMBER(Table1[[#This Row],[FECHA DE RECIBIDO]]), Table1[[#This Row],[FECHA DE RECIBIDO]]-DATE(2023,8,30), "")</f>
        <v/>
      </c>
    </row>
    <row r="1547" spans="1:37" ht="16.05" customHeight="1">
      <c r="A1547" s="152" t="s">
        <v>3390</v>
      </c>
      <c r="B1547" s="153">
        <v>496</v>
      </c>
      <c r="C1547" s="126" t="s">
        <v>2596</v>
      </c>
      <c r="D1547">
        <v>994</v>
      </c>
      <c r="E1547" s="126" t="s">
        <v>2082</v>
      </c>
      <c r="F1547" s="125" t="s">
        <v>1607</v>
      </c>
      <c r="G1547" s="125" t="s">
        <v>134</v>
      </c>
      <c r="H1547">
        <v>324</v>
      </c>
      <c r="I1547" s="125" t="s">
        <v>1546</v>
      </c>
      <c r="J1547" s="308" t="s">
        <v>214</v>
      </c>
      <c r="K1547" s="127" t="s">
        <v>3348</v>
      </c>
      <c r="L1547" s="153" t="s">
        <v>1579</v>
      </c>
      <c r="M1547">
        <v>433</v>
      </c>
      <c r="N1547" s="123">
        <v>17</v>
      </c>
      <c r="O1547">
        <v>983</v>
      </c>
      <c r="P1547" s="132" t="s">
        <v>77</v>
      </c>
      <c r="Q1547" s="132">
        <v>1292.24</v>
      </c>
      <c r="R1547" s="132">
        <v>206.76</v>
      </c>
      <c r="S1547" s="132"/>
      <c r="T1547" s="156"/>
      <c r="U1547" s="132"/>
      <c r="V1547" s="132">
        <v>1499</v>
      </c>
      <c r="W1547">
        <v>61</v>
      </c>
      <c r="X1547" s="153" t="s">
        <v>1644</v>
      </c>
      <c r="Y1547" s="124" t="s">
        <v>55</v>
      </c>
      <c r="Z1547" s="308">
        <v>204</v>
      </c>
      <c r="AB1547" t="str">
        <f>IF(Table1[[#This Row],[TIPO2]]="costo", VLOOKUP(Table1[[#This Row],[PARTIDA PRESUPUESTAL]],'Cost Report'!G:G,1,0),"Balance")</f>
        <v>2794-003</v>
      </c>
      <c r="AC1547" s="118"/>
      <c r="AD1547" s="159">
        <f>+Table1[[#This Row],[SUBTOTAL]]+Table1[[#This Row],[IVA]]-Table1[[#This Row],[RET IVA]]-Table1[[#This Row],[RET ISR]]-Table1[[#This Row],[TOTAL]]</f>
        <v>0</v>
      </c>
      <c r="AE1547" s="152"/>
      <c r="AF1547" s="153"/>
      <c r="AG1547" s="126" t="s">
        <v>3420</v>
      </c>
      <c r="AK1547" s="306" t="str">
        <f>IF(ISNUMBER(Table1[[#This Row],[FECHA DE RECIBIDO]]), Table1[[#This Row],[FECHA DE RECIBIDO]]-DATE(2023,8,30), "")</f>
        <v/>
      </c>
    </row>
    <row r="1548" spans="1:37" ht="16.05" customHeight="1">
      <c r="A1548" s="150" t="s">
        <v>3390</v>
      </c>
      <c r="B1548" s="151">
        <v>496</v>
      </c>
      <c r="C1548" s="126" t="s">
        <v>2596</v>
      </c>
      <c r="D1548">
        <v>995</v>
      </c>
      <c r="E1548" s="126" t="s">
        <v>3391</v>
      </c>
      <c r="F1548" s="122" t="s">
        <v>1593</v>
      </c>
      <c r="G1548" s="122" t="s">
        <v>134</v>
      </c>
      <c r="H1548">
        <v>325</v>
      </c>
      <c r="I1548" s="122" t="s">
        <v>1546</v>
      </c>
      <c r="J1548" s="307" t="s">
        <v>214</v>
      </c>
      <c r="K1548" s="127" t="s">
        <v>3348</v>
      </c>
      <c r="L1548" s="151" t="s">
        <v>1579</v>
      </c>
      <c r="M1548">
        <v>434</v>
      </c>
      <c r="N1548" s="123">
        <v>17</v>
      </c>
      <c r="O1548">
        <v>984</v>
      </c>
      <c r="P1548" s="132" t="s">
        <v>77</v>
      </c>
      <c r="Q1548" s="131">
        <v>8257.7999999999993</v>
      </c>
      <c r="R1548" s="131">
        <v>1321.25</v>
      </c>
      <c r="S1548" s="131"/>
      <c r="T1548" s="155">
        <v>880.83</v>
      </c>
      <c r="U1548" s="131">
        <v>103.22</v>
      </c>
      <c r="V1548" s="131">
        <v>8595</v>
      </c>
      <c r="W1548">
        <v>61</v>
      </c>
      <c r="X1548" s="151" t="s">
        <v>1644</v>
      </c>
      <c r="Y1548" s="135" t="s">
        <v>55</v>
      </c>
      <c r="Z1548" s="307">
        <v>204</v>
      </c>
      <c r="AB1548" t="str">
        <f>IF(Table1[[#This Row],[TIPO2]]="costo", VLOOKUP(Table1[[#This Row],[PARTIDA PRESUPUESTAL]],'Cost Report'!G:G,1,0),"Balance")</f>
        <v>2794-003</v>
      </c>
      <c r="AC1548" s="118"/>
      <c r="AD1548" s="159">
        <f>+Table1[[#This Row],[SUBTOTAL]]+Table1[[#This Row],[IVA]]-Table1[[#This Row],[RET IVA]]-Table1[[#This Row],[RET ISR]]-Table1[[#This Row],[TOTAL]]</f>
        <v>0</v>
      </c>
      <c r="AE1548" s="150"/>
      <c r="AF1548" s="151"/>
      <c r="AG1548" s="126" t="s">
        <v>3420</v>
      </c>
      <c r="AK1548" s="306" t="str">
        <f>IF(ISNUMBER(Table1[[#This Row],[FECHA DE RECIBIDO]]), Table1[[#This Row],[FECHA DE RECIBIDO]]-DATE(2023,8,30), "")</f>
        <v/>
      </c>
    </row>
    <row r="1549" spans="1:37" ht="16.05" customHeight="1">
      <c r="A1549" s="152" t="s">
        <v>3390</v>
      </c>
      <c r="B1549" s="153">
        <v>496</v>
      </c>
      <c r="C1549" s="126" t="s">
        <v>2596</v>
      </c>
      <c r="D1549">
        <v>996</v>
      </c>
      <c r="E1549" s="126" t="s">
        <v>190</v>
      </c>
      <c r="F1549" s="125" t="s">
        <v>1607</v>
      </c>
      <c r="G1549" s="125" t="s">
        <v>134</v>
      </c>
      <c r="H1549">
        <v>326</v>
      </c>
      <c r="I1549" s="125" t="s">
        <v>1546</v>
      </c>
      <c r="J1549" s="308" t="s">
        <v>214</v>
      </c>
      <c r="K1549" s="127" t="s">
        <v>3348</v>
      </c>
      <c r="L1549" s="153" t="s">
        <v>1579</v>
      </c>
      <c r="M1549">
        <v>435</v>
      </c>
      <c r="N1549" s="123">
        <v>17</v>
      </c>
      <c r="O1549">
        <v>985</v>
      </c>
      <c r="P1549" s="132" t="s">
        <v>77</v>
      </c>
      <c r="Q1549" s="132">
        <v>3750</v>
      </c>
      <c r="R1549" s="132">
        <v>600</v>
      </c>
      <c r="S1549" s="132"/>
      <c r="T1549" s="156"/>
      <c r="U1549" s="132"/>
      <c r="V1549" s="132">
        <v>4350</v>
      </c>
      <c r="W1549">
        <v>61</v>
      </c>
      <c r="X1549" s="153" t="s">
        <v>1644</v>
      </c>
      <c r="Y1549" s="124" t="s">
        <v>55</v>
      </c>
      <c r="Z1549" s="308">
        <v>211</v>
      </c>
      <c r="AB1549" t="str">
        <f>IF(Table1[[#This Row],[TIPO2]]="costo", VLOOKUP(Table1[[#This Row],[PARTIDA PRESUPUESTAL]],'Cost Report'!G:G,1,0),"Balance")</f>
        <v>2794-003</v>
      </c>
      <c r="AC1549" s="118"/>
      <c r="AD1549" s="159">
        <f>+Table1[[#This Row],[SUBTOTAL]]+Table1[[#This Row],[IVA]]-Table1[[#This Row],[RET IVA]]-Table1[[#This Row],[RET ISR]]-Table1[[#This Row],[TOTAL]]</f>
        <v>0</v>
      </c>
      <c r="AE1549" s="152"/>
      <c r="AF1549" s="153"/>
      <c r="AG1549" s="126" t="s">
        <v>3420</v>
      </c>
      <c r="AK1549" s="306" t="str">
        <f>IF(ISNUMBER(Table1[[#This Row],[FECHA DE RECIBIDO]]), Table1[[#This Row],[FECHA DE RECIBIDO]]-DATE(2023,8,30), "")</f>
        <v/>
      </c>
    </row>
    <row r="1550" spans="1:37" ht="16.05" customHeight="1">
      <c r="A1550" s="150" t="s">
        <v>3390</v>
      </c>
      <c r="B1550" s="151">
        <v>496</v>
      </c>
      <c r="C1550" s="126" t="s">
        <v>2596</v>
      </c>
      <c r="D1550">
        <v>997</v>
      </c>
      <c r="E1550" s="126" t="s">
        <v>3387</v>
      </c>
      <c r="F1550" s="122" t="s">
        <v>1607</v>
      </c>
      <c r="G1550" s="122" t="s">
        <v>134</v>
      </c>
      <c r="H1550">
        <v>101</v>
      </c>
      <c r="I1550" s="122" t="s">
        <v>1546</v>
      </c>
      <c r="J1550" s="307" t="s">
        <v>214</v>
      </c>
      <c r="K1550" s="127" t="s">
        <v>3348</v>
      </c>
      <c r="L1550" s="151" t="s">
        <v>1579</v>
      </c>
      <c r="M1550">
        <v>136</v>
      </c>
      <c r="N1550" s="123">
        <v>17</v>
      </c>
      <c r="O1550">
        <v>986</v>
      </c>
      <c r="P1550" s="132" t="s">
        <v>77</v>
      </c>
      <c r="Q1550" s="131">
        <v>9564.66</v>
      </c>
      <c r="R1550" s="131">
        <v>1530.34</v>
      </c>
      <c r="S1550" s="131"/>
      <c r="T1550" s="155"/>
      <c r="U1550" s="131"/>
      <c r="V1550" s="131">
        <v>11095</v>
      </c>
      <c r="W1550">
        <v>61</v>
      </c>
      <c r="X1550" s="151" t="s">
        <v>1644</v>
      </c>
      <c r="Y1550" s="135" t="s">
        <v>55</v>
      </c>
      <c r="Z1550" s="307">
        <v>211</v>
      </c>
      <c r="AB1550" t="str">
        <f>IF(Table1[[#This Row],[TIPO2]]="costo", VLOOKUP(Table1[[#This Row],[PARTIDA PRESUPUESTAL]],'Cost Report'!G:G,1,0),"Balance")</f>
        <v>2794-003</v>
      </c>
      <c r="AC1550" s="118"/>
      <c r="AD1550" s="159">
        <f>+Table1[[#This Row],[SUBTOTAL]]+Table1[[#This Row],[IVA]]-Table1[[#This Row],[RET IVA]]-Table1[[#This Row],[RET ISR]]-Table1[[#This Row],[TOTAL]]</f>
        <v>0</v>
      </c>
      <c r="AE1550" s="150"/>
      <c r="AF1550" s="151"/>
      <c r="AG1550" s="126" t="s">
        <v>3420</v>
      </c>
      <c r="AK1550" s="306" t="str">
        <f>IF(ISNUMBER(Table1[[#This Row],[FECHA DE RECIBIDO]]), Table1[[#This Row],[FECHA DE RECIBIDO]]-DATE(2023,8,30), "")</f>
        <v/>
      </c>
    </row>
    <row r="1551" spans="1:37" ht="16.05" customHeight="1">
      <c r="A1551" s="152" t="s">
        <v>3390</v>
      </c>
      <c r="B1551" s="153">
        <v>496</v>
      </c>
      <c r="C1551" s="126" t="s">
        <v>2596</v>
      </c>
      <c r="D1551">
        <v>998</v>
      </c>
      <c r="E1551" s="126" t="s">
        <v>2010</v>
      </c>
      <c r="F1551" s="125" t="s">
        <v>1607</v>
      </c>
      <c r="G1551" s="125" t="s">
        <v>134</v>
      </c>
      <c r="H1551">
        <v>327</v>
      </c>
      <c r="I1551" s="125" t="s">
        <v>1546</v>
      </c>
      <c r="J1551" s="308" t="s">
        <v>214</v>
      </c>
      <c r="K1551" s="127" t="s">
        <v>3348</v>
      </c>
      <c r="L1551" s="153" t="s">
        <v>1579</v>
      </c>
      <c r="M1551">
        <v>436</v>
      </c>
      <c r="N1551" s="123">
        <v>17</v>
      </c>
      <c r="O1551">
        <v>987</v>
      </c>
      <c r="P1551" s="132" t="s">
        <v>77</v>
      </c>
      <c r="Q1551" s="132">
        <v>4570.71</v>
      </c>
      <c r="R1551" s="132">
        <v>731.29</v>
      </c>
      <c r="S1551" s="132"/>
      <c r="T1551" s="156"/>
      <c r="U1551" s="132"/>
      <c r="V1551" s="132">
        <v>5302</v>
      </c>
      <c r="W1551">
        <v>61</v>
      </c>
      <c r="X1551" s="153" t="s">
        <v>1644</v>
      </c>
      <c r="Y1551" s="124" t="s">
        <v>55</v>
      </c>
      <c r="Z1551" s="308">
        <v>210</v>
      </c>
      <c r="AB1551" t="str">
        <f>IF(Table1[[#This Row],[TIPO2]]="costo", VLOOKUP(Table1[[#This Row],[PARTIDA PRESUPUESTAL]],'Cost Report'!G:G,1,0),"Balance")</f>
        <v>2794-003</v>
      </c>
      <c r="AC1551" s="118"/>
      <c r="AD1551" s="159">
        <f>+Table1[[#This Row],[SUBTOTAL]]+Table1[[#This Row],[IVA]]-Table1[[#This Row],[RET IVA]]-Table1[[#This Row],[RET ISR]]-Table1[[#This Row],[TOTAL]]</f>
        <v>0</v>
      </c>
      <c r="AE1551" s="152"/>
      <c r="AF1551" s="153"/>
      <c r="AG1551" s="126" t="s">
        <v>3420</v>
      </c>
      <c r="AK1551" s="306" t="str">
        <f>IF(ISNUMBER(Table1[[#This Row],[FECHA DE RECIBIDO]]), Table1[[#This Row],[FECHA DE RECIBIDO]]-DATE(2023,8,30), "")</f>
        <v/>
      </c>
    </row>
    <row r="1552" spans="1:37" ht="16.05" customHeight="1">
      <c r="A1552" s="150" t="s">
        <v>3390</v>
      </c>
      <c r="B1552" s="151">
        <v>496</v>
      </c>
      <c r="C1552" s="126" t="s">
        <v>2596</v>
      </c>
      <c r="D1552">
        <v>999</v>
      </c>
      <c r="E1552" s="126" t="s">
        <v>2010</v>
      </c>
      <c r="F1552" s="122" t="s">
        <v>1607</v>
      </c>
      <c r="G1552" s="122" t="s">
        <v>134</v>
      </c>
      <c r="H1552">
        <v>327</v>
      </c>
      <c r="I1552" s="122" t="s">
        <v>1546</v>
      </c>
      <c r="J1552" s="307" t="s">
        <v>214</v>
      </c>
      <c r="K1552" s="127" t="s">
        <v>3348</v>
      </c>
      <c r="L1552" s="151" t="s">
        <v>1579</v>
      </c>
      <c r="M1552">
        <v>436</v>
      </c>
      <c r="N1552" s="123">
        <v>17</v>
      </c>
      <c r="O1552">
        <v>988</v>
      </c>
      <c r="P1552" s="132" t="s">
        <v>77</v>
      </c>
      <c r="Q1552" s="131">
        <v>559.48</v>
      </c>
      <c r="R1552" s="131">
        <v>89.52</v>
      </c>
      <c r="S1552" s="131"/>
      <c r="T1552" s="155"/>
      <c r="U1552" s="131"/>
      <c r="V1552" s="131">
        <v>649</v>
      </c>
      <c r="W1552">
        <v>61</v>
      </c>
      <c r="X1552" s="151" t="s">
        <v>1644</v>
      </c>
      <c r="Y1552" s="135" t="s">
        <v>55</v>
      </c>
      <c r="Z1552" s="307" t="s">
        <v>214</v>
      </c>
      <c r="AB1552" t="str">
        <f>IF(Table1[[#This Row],[TIPO2]]="costo", VLOOKUP(Table1[[#This Row],[PARTIDA PRESUPUESTAL]],'Cost Report'!G:G,1,0),"Balance")</f>
        <v>2794-003</v>
      </c>
      <c r="AC1552" s="118"/>
      <c r="AD1552" s="159">
        <f>+Table1[[#This Row],[SUBTOTAL]]+Table1[[#This Row],[IVA]]-Table1[[#This Row],[RET IVA]]-Table1[[#This Row],[RET ISR]]-Table1[[#This Row],[TOTAL]]</f>
        <v>0</v>
      </c>
      <c r="AE1552" s="150"/>
      <c r="AF1552" s="151"/>
      <c r="AG1552" s="126" t="s">
        <v>3420</v>
      </c>
      <c r="AK1552" s="306" t="str">
        <f>IF(ISNUMBER(Table1[[#This Row],[FECHA DE RECIBIDO]]), Table1[[#This Row],[FECHA DE RECIBIDO]]-DATE(2023,8,30), "")</f>
        <v/>
      </c>
    </row>
    <row r="1553" spans="1:37" ht="16.05" customHeight="1">
      <c r="A1553" s="152" t="s">
        <v>3390</v>
      </c>
      <c r="B1553" s="153">
        <v>496</v>
      </c>
      <c r="C1553" s="126" t="s">
        <v>2596</v>
      </c>
      <c r="D1553">
        <v>1000</v>
      </c>
      <c r="E1553" s="126" t="s">
        <v>3285</v>
      </c>
      <c r="F1553" s="125" t="s">
        <v>1607</v>
      </c>
      <c r="G1553" s="125" t="s">
        <v>134</v>
      </c>
      <c r="H1553">
        <v>101</v>
      </c>
      <c r="I1553" s="125" t="s">
        <v>1546</v>
      </c>
      <c r="J1553" s="308" t="s">
        <v>214</v>
      </c>
      <c r="K1553" s="127" t="s">
        <v>3348</v>
      </c>
      <c r="L1553" s="153" t="s">
        <v>1579</v>
      </c>
      <c r="M1553">
        <v>136</v>
      </c>
      <c r="N1553" s="123">
        <v>17</v>
      </c>
      <c r="O1553">
        <v>989</v>
      </c>
      <c r="P1553" s="132" t="s">
        <v>77</v>
      </c>
      <c r="Q1553" s="132">
        <v>920.69</v>
      </c>
      <c r="R1553" s="132">
        <v>147.31</v>
      </c>
      <c r="S1553" s="132"/>
      <c r="T1553" s="156"/>
      <c r="U1553" s="132"/>
      <c r="V1553" s="132">
        <v>1068</v>
      </c>
      <c r="W1553">
        <v>61</v>
      </c>
      <c r="X1553" s="153" t="s">
        <v>1644</v>
      </c>
      <c r="Y1553" s="124" t="s">
        <v>55</v>
      </c>
      <c r="Z1553" s="308">
        <v>212</v>
      </c>
      <c r="AB1553" t="str">
        <f>IF(Table1[[#This Row],[TIPO2]]="costo", VLOOKUP(Table1[[#This Row],[PARTIDA PRESUPUESTAL]],'Cost Report'!G:G,1,0),"Balance")</f>
        <v>2794-003</v>
      </c>
      <c r="AC1553" s="118"/>
      <c r="AD1553" s="159">
        <f>+Table1[[#This Row],[SUBTOTAL]]+Table1[[#This Row],[IVA]]-Table1[[#This Row],[RET IVA]]-Table1[[#This Row],[RET ISR]]-Table1[[#This Row],[TOTAL]]</f>
        <v>0</v>
      </c>
      <c r="AE1553" s="152"/>
      <c r="AF1553" s="153"/>
      <c r="AG1553" s="126" t="s">
        <v>3420</v>
      </c>
      <c r="AK1553" s="306" t="str">
        <f>IF(ISNUMBER(Table1[[#This Row],[FECHA DE RECIBIDO]]), Table1[[#This Row],[FECHA DE RECIBIDO]]-DATE(2023,8,30), "")</f>
        <v/>
      </c>
    </row>
    <row r="1554" spans="1:37" ht="16.05" customHeight="1">
      <c r="A1554" s="150" t="s">
        <v>3390</v>
      </c>
      <c r="B1554" s="151">
        <v>496</v>
      </c>
      <c r="C1554" s="126" t="s">
        <v>2596</v>
      </c>
      <c r="D1554">
        <v>1001</v>
      </c>
      <c r="E1554" s="126" t="s">
        <v>2096</v>
      </c>
      <c r="F1554" s="122" t="s">
        <v>1607</v>
      </c>
      <c r="G1554" s="122" t="s">
        <v>134</v>
      </c>
      <c r="H1554">
        <v>160</v>
      </c>
      <c r="I1554" s="122" t="s">
        <v>1546</v>
      </c>
      <c r="J1554" s="307" t="s">
        <v>214</v>
      </c>
      <c r="K1554" s="127" t="s">
        <v>3348</v>
      </c>
      <c r="L1554" s="151" t="s">
        <v>1579</v>
      </c>
      <c r="M1554">
        <v>213</v>
      </c>
      <c r="N1554" s="123">
        <v>17</v>
      </c>
      <c r="O1554">
        <v>990</v>
      </c>
      <c r="P1554" s="132" t="s">
        <v>77</v>
      </c>
      <c r="Q1554" s="131">
        <v>1640.87</v>
      </c>
      <c r="R1554" s="131">
        <v>262.52999999999997</v>
      </c>
      <c r="S1554" s="131"/>
      <c r="T1554" s="155"/>
      <c r="U1554" s="131"/>
      <c r="V1554" s="131">
        <v>1903.3999999999999</v>
      </c>
      <c r="W1554">
        <v>61</v>
      </c>
      <c r="X1554" s="151" t="s">
        <v>1644</v>
      </c>
      <c r="Y1554" s="135" t="s">
        <v>55</v>
      </c>
      <c r="Z1554" s="307">
        <v>212</v>
      </c>
      <c r="AB1554" t="str">
        <f>IF(Table1[[#This Row],[TIPO2]]="costo", VLOOKUP(Table1[[#This Row],[PARTIDA PRESUPUESTAL]],'Cost Report'!G:G,1,0),"Balance")</f>
        <v>2794-003</v>
      </c>
      <c r="AC1554" s="118"/>
      <c r="AD1554" s="159">
        <f>+Table1[[#This Row],[SUBTOTAL]]+Table1[[#This Row],[IVA]]-Table1[[#This Row],[RET IVA]]-Table1[[#This Row],[RET ISR]]-Table1[[#This Row],[TOTAL]]</f>
        <v>0</v>
      </c>
      <c r="AE1554" s="150"/>
      <c r="AF1554" s="151"/>
      <c r="AG1554" s="126" t="s">
        <v>3420</v>
      </c>
      <c r="AK1554" s="306" t="str">
        <f>IF(ISNUMBER(Table1[[#This Row],[FECHA DE RECIBIDO]]), Table1[[#This Row],[FECHA DE RECIBIDO]]-DATE(2023,8,30), "")</f>
        <v/>
      </c>
    </row>
    <row r="1555" spans="1:37" ht="16.05" customHeight="1">
      <c r="A1555" s="152" t="s">
        <v>3390</v>
      </c>
      <c r="B1555" s="153">
        <v>496</v>
      </c>
      <c r="C1555" s="126" t="s">
        <v>2596</v>
      </c>
      <c r="D1555">
        <v>1002</v>
      </c>
      <c r="E1555" s="126" t="s">
        <v>2096</v>
      </c>
      <c r="F1555" s="125" t="s">
        <v>1607</v>
      </c>
      <c r="G1555" s="125" t="s">
        <v>134</v>
      </c>
      <c r="H1555">
        <v>160</v>
      </c>
      <c r="I1555" s="125" t="s">
        <v>1546</v>
      </c>
      <c r="J1555" s="308" t="s">
        <v>214</v>
      </c>
      <c r="K1555" s="127" t="s">
        <v>3348</v>
      </c>
      <c r="L1555" s="153" t="s">
        <v>1579</v>
      </c>
      <c r="M1555">
        <v>213</v>
      </c>
      <c r="N1555" s="123">
        <v>17</v>
      </c>
      <c r="O1555">
        <v>991</v>
      </c>
      <c r="P1555" s="132" t="s">
        <v>77</v>
      </c>
      <c r="Q1555" s="132">
        <v>861.21</v>
      </c>
      <c r="R1555" s="132">
        <v>137.79</v>
      </c>
      <c r="S1555" s="132"/>
      <c r="T1555" s="156"/>
      <c r="U1555" s="132"/>
      <c r="V1555" s="132">
        <v>999</v>
      </c>
      <c r="W1555">
        <v>61</v>
      </c>
      <c r="X1555" s="153" t="s">
        <v>1644</v>
      </c>
      <c r="Y1555" s="124" t="s">
        <v>55</v>
      </c>
      <c r="Z1555" s="308">
        <v>212</v>
      </c>
      <c r="AB1555" t="str">
        <f>IF(Table1[[#This Row],[TIPO2]]="costo", VLOOKUP(Table1[[#This Row],[PARTIDA PRESUPUESTAL]],'Cost Report'!G:G,1,0),"Balance")</f>
        <v>2794-003</v>
      </c>
      <c r="AC1555" s="118"/>
      <c r="AD1555" s="159">
        <f>+Table1[[#This Row],[SUBTOTAL]]+Table1[[#This Row],[IVA]]-Table1[[#This Row],[RET IVA]]-Table1[[#This Row],[RET ISR]]-Table1[[#This Row],[TOTAL]]</f>
        <v>0</v>
      </c>
      <c r="AE1555" s="152"/>
      <c r="AF1555" s="153"/>
      <c r="AG1555" s="126" t="s">
        <v>3420</v>
      </c>
      <c r="AK1555" s="306" t="str">
        <f>IF(ISNUMBER(Table1[[#This Row],[FECHA DE RECIBIDO]]), Table1[[#This Row],[FECHA DE RECIBIDO]]-DATE(2023,8,30), "")</f>
        <v/>
      </c>
    </row>
    <row r="1556" spans="1:37" ht="16.05" customHeight="1">
      <c r="A1556" s="150" t="s">
        <v>3390</v>
      </c>
      <c r="B1556" s="151">
        <v>496</v>
      </c>
      <c r="C1556" s="126" t="s">
        <v>2596</v>
      </c>
      <c r="D1556">
        <v>1003</v>
      </c>
      <c r="E1556" s="126" t="s">
        <v>2005</v>
      </c>
      <c r="F1556" s="122" t="s">
        <v>1607</v>
      </c>
      <c r="G1556" s="122" t="s">
        <v>134</v>
      </c>
      <c r="H1556">
        <v>156</v>
      </c>
      <c r="I1556" s="122" t="s">
        <v>1546</v>
      </c>
      <c r="J1556" s="307" t="s">
        <v>214</v>
      </c>
      <c r="K1556" s="127" t="s">
        <v>3348</v>
      </c>
      <c r="L1556" s="151" t="s">
        <v>1579</v>
      </c>
      <c r="M1556">
        <v>437</v>
      </c>
      <c r="N1556" s="123">
        <v>17</v>
      </c>
      <c r="O1556">
        <v>992</v>
      </c>
      <c r="P1556" s="132" t="s">
        <v>77</v>
      </c>
      <c r="Q1556" s="131">
        <v>68.099999999999994</v>
      </c>
      <c r="R1556" s="131">
        <v>10.9</v>
      </c>
      <c r="S1556" s="131"/>
      <c r="T1556" s="155"/>
      <c r="U1556" s="131"/>
      <c r="V1556" s="131">
        <v>79</v>
      </c>
      <c r="W1556">
        <v>61</v>
      </c>
      <c r="X1556" s="151" t="s">
        <v>1644</v>
      </c>
      <c r="Y1556" s="135" t="s">
        <v>55</v>
      </c>
      <c r="Z1556" s="307">
        <v>212</v>
      </c>
      <c r="AB1556" t="str">
        <f>IF(Table1[[#This Row],[TIPO2]]="costo", VLOOKUP(Table1[[#This Row],[PARTIDA PRESUPUESTAL]],'Cost Report'!G:G,1,0),"Balance")</f>
        <v>2794-003</v>
      </c>
      <c r="AC1556" s="118"/>
      <c r="AD1556" s="159">
        <f>+Table1[[#This Row],[SUBTOTAL]]+Table1[[#This Row],[IVA]]-Table1[[#This Row],[RET IVA]]-Table1[[#This Row],[RET ISR]]-Table1[[#This Row],[TOTAL]]</f>
        <v>0</v>
      </c>
      <c r="AE1556" s="150"/>
      <c r="AF1556" s="151"/>
      <c r="AG1556" s="126" t="s">
        <v>3420</v>
      </c>
      <c r="AK1556" s="306" t="str">
        <f>IF(ISNUMBER(Table1[[#This Row],[FECHA DE RECIBIDO]]), Table1[[#This Row],[FECHA DE RECIBIDO]]-DATE(2023,8,30), "")</f>
        <v/>
      </c>
    </row>
    <row r="1557" spans="1:37" ht="16.05" customHeight="1">
      <c r="A1557" s="152" t="s">
        <v>3390</v>
      </c>
      <c r="B1557" s="153">
        <v>496</v>
      </c>
      <c r="C1557" s="126" t="s">
        <v>2596</v>
      </c>
      <c r="D1557">
        <v>1004</v>
      </c>
      <c r="E1557" s="126" t="s">
        <v>2005</v>
      </c>
      <c r="F1557" s="125" t="s">
        <v>1607</v>
      </c>
      <c r="G1557" s="125" t="s">
        <v>134</v>
      </c>
      <c r="H1557">
        <v>156</v>
      </c>
      <c r="I1557" s="125" t="s">
        <v>1546</v>
      </c>
      <c r="J1557" s="308" t="s">
        <v>214</v>
      </c>
      <c r="K1557" s="127" t="s">
        <v>3348</v>
      </c>
      <c r="L1557" s="153" t="s">
        <v>1579</v>
      </c>
      <c r="M1557">
        <v>437</v>
      </c>
      <c r="N1557" s="123">
        <v>17</v>
      </c>
      <c r="O1557">
        <v>464</v>
      </c>
      <c r="P1557" s="132" t="s">
        <v>77</v>
      </c>
      <c r="Q1557" s="132">
        <v>1593.97</v>
      </c>
      <c r="R1557" s="132">
        <v>255.04</v>
      </c>
      <c r="S1557" s="132"/>
      <c r="T1557" s="156"/>
      <c r="U1557" s="132"/>
      <c r="V1557" s="132">
        <v>1849.01</v>
      </c>
      <c r="W1557">
        <v>61</v>
      </c>
      <c r="X1557" s="153" t="s">
        <v>1644</v>
      </c>
      <c r="Y1557" s="124" t="s">
        <v>55</v>
      </c>
      <c r="Z1557" s="308">
        <v>212</v>
      </c>
      <c r="AB1557" t="str">
        <f>IF(Table1[[#This Row],[TIPO2]]="costo", VLOOKUP(Table1[[#This Row],[PARTIDA PRESUPUESTAL]],'Cost Report'!G:G,1,0),"Balance")</f>
        <v>2794-003</v>
      </c>
      <c r="AC1557" s="118"/>
      <c r="AD1557" s="159">
        <f>+Table1[[#This Row],[SUBTOTAL]]+Table1[[#This Row],[IVA]]-Table1[[#This Row],[RET IVA]]-Table1[[#This Row],[RET ISR]]-Table1[[#This Row],[TOTAL]]</f>
        <v>0</v>
      </c>
      <c r="AE1557" s="152"/>
      <c r="AF1557" s="153"/>
      <c r="AG1557" s="126" t="s">
        <v>3420</v>
      </c>
      <c r="AK1557" s="306" t="str">
        <f>IF(ISNUMBER(Table1[[#This Row],[FECHA DE RECIBIDO]]), Table1[[#This Row],[FECHA DE RECIBIDO]]-DATE(2023,8,30), "")</f>
        <v/>
      </c>
    </row>
    <row r="1558" spans="1:37" ht="16.05" customHeight="1">
      <c r="A1558" s="150" t="s">
        <v>3392</v>
      </c>
      <c r="B1558" s="151">
        <v>497</v>
      </c>
      <c r="C1558" s="126" t="s">
        <v>2596</v>
      </c>
      <c r="D1558">
        <v>1005</v>
      </c>
      <c r="E1558" s="126" t="s">
        <v>3391</v>
      </c>
      <c r="F1558" s="122" t="s">
        <v>1593</v>
      </c>
      <c r="G1558" s="122" t="s">
        <v>134</v>
      </c>
      <c r="H1558">
        <v>325</v>
      </c>
      <c r="I1558" s="122" t="s">
        <v>1546</v>
      </c>
      <c r="J1558" s="307" t="s">
        <v>214</v>
      </c>
      <c r="K1558" s="127" t="s">
        <v>3348</v>
      </c>
      <c r="L1558" s="151" t="s">
        <v>1579</v>
      </c>
      <c r="M1558">
        <v>434</v>
      </c>
      <c r="N1558" s="123">
        <v>17</v>
      </c>
      <c r="O1558">
        <v>993</v>
      </c>
      <c r="P1558" s="132" t="s">
        <v>77</v>
      </c>
      <c r="Q1558" s="131">
        <v>8257.7999999999993</v>
      </c>
      <c r="R1558" s="131">
        <v>1321.25</v>
      </c>
      <c r="S1558" s="131"/>
      <c r="T1558" s="155">
        <v>103.22</v>
      </c>
      <c r="U1558" s="131">
        <v>880.83</v>
      </c>
      <c r="V1558" s="131">
        <v>8595</v>
      </c>
      <c r="W1558">
        <v>62</v>
      </c>
      <c r="X1558" s="151" t="s">
        <v>1644</v>
      </c>
      <c r="Y1558" s="135" t="s">
        <v>55</v>
      </c>
      <c r="Z1558" s="307">
        <v>204</v>
      </c>
      <c r="AB1558" t="str">
        <f>IF(Table1[[#This Row],[TIPO2]]="costo", VLOOKUP(Table1[[#This Row],[PARTIDA PRESUPUESTAL]],'Cost Report'!G:G,1,0),"Balance")</f>
        <v>2794-003</v>
      </c>
      <c r="AC1558" s="118"/>
      <c r="AD1558" s="159">
        <f>+Table1[[#This Row],[SUBTOTAL]]+Table1[[#This Row],[IVA]]-Table1[[#This Row],[RET IVA]]-Table1[[#This Row],[RET ISR]]-Table1[[#This Row],[TOTAL]]</f>
        <v>0</v>
      </c>
      <c r="AE1558" s="150"/>
      <c r="AF1558" s="151"/>
      <c r="AG1558" s="126" t="s">
        <v>3420</v>
      </c>
      <c r="AK1558" s="306" t="str">
        <f>IF(ISNUMBER(Table1[[#This Row],[FECHA DE RECIBIDO]]), Table1[[#This Row],[FECHA DE RECIBIDO]]-DATE(2023,8,30), "")</f>
        <v/>
      </c>
    </row>
    <row r="1559" spans="1:37" ht="16.05" customHeight="1">
      <c r="A1559" s="152" t="s">
        <v>3392</v>
      </c>
      <c r="B1559" s="153">
        <v>497</v>
      </c>
      <c r="C1559" s="126" t="s">
        <v>2596</v>
      </c>
      <c r="D1559">
        <v>1006</v>
      </c>
      <c r="E1559" s="126" t="s">
        <v>2091</v>
      </c>
      <c r="F1559" s="125" t="s">
        <v>1602</v>
      </c>
      <c r="G1559" s="125" t="s">
        <v>134</v>
      </c>
      <c r="H1559">
        <v>328</v>
      </c>
      <c r="I1559" s="125" t="s">
        <v>1546</v>
      </c>
      <c r="J1559" s="308" t="s">
        <v>214</v>
      </c>
      <c r="K1559" s="127" t="s">
        <v>3348</v>
      </c>
      <c r="L1559" s="153" t="s">
        <v>1579</v>
      </c>
      <c r="M1559">
        <v>438</v>
      </c>
      <c r="N1559" s="123">
        <v>17</v>
      </c>
      <c r="O1559">
        <v>994</v>
      </c>
      <c r="P1559" s="132" t="s">
        <v>77</v>
      </c>
      <c r="Q1559" s="132">
        <v>918.1</v>
      </c>
      <c r="R1559" s="132">
        <v>146.9</v>
      </c>
      <c r="S1559" s="132"/>
      <c r="T1559" s="156"/>
      <c r="U1559" s="132"/>
      <c r="V1559" s="132">
        <v>1065</v>
      </c>
      <c r="W1559">
        <v>62</v>
      </c>
      <c r="X1559" s="153" t="s">
        <v>1644</v>
      </c>
      <c r="Y1559" s="124" t="s">
        <v>55</v>
      </c>
      <c r="Z1559" s="308">
        <v>204</v>
      </c>
      <c r="AB1559" t="str">
        <f>IF(Table1[[#This Row],[TIPO2]]="costo", VLOOKUP(Table1[[#This Row],[PARTIDA PRESUPUESTAL]],'Cost Report'!G:G,1,0),"Balance")</f>
        <v>2794-003</v>
      </c>
      <c r="AC1559" s="118"/>
      <c r="AD1559" s="159">
        <f>+Table1[[#This Row],[SUBTOTAL]]+Table1[[#This Row],[IVA]]-Table1[[#This Row],[RET IVA]]-Table1[[#This Row],[RET ISR]]-Table1[[#This Row],[TOTAL]]</f>
        <v>0</v>
      </c>
      <c r="AE1559" s="152"/>
      <c r="AF1559" s="153"/>
      <c r="AG1559" s="126" t="s">
        <v>3420</v>
      </c>
      <c r="AK1559" s="306" t="str">
        <f>IF(ISNUMBER(Table1[[#This Row],[FECHA DE RECIBIDO]]), Table1[[#This Row],[FECHA DE RECIBIDO]]-DATE(2023,8,30), "")</f>
        <v/>
      </c>
    </row>
    <row r="1560" spans="1:37" ht="16.05" customHeight="1">
      <c r="A1560" s="150" t="s">
        <v>3392</v>
      </c>
      <c r="B1560" s="151">
        <v>497</v>
      </c>
      <c r="C1560" s="126" t="s">
        <v>2596</v>
      </c>
      <c r="D1560">
        <v>1007</v>
      </c>
      <c r="E1560" s="126" t="s">
        <v>2008</v>
      </c>
      <c r="F1560" s="122" t="s">
        <v>1607</v>
      </c>
      <c r="G1560" s="122" t="s">
        <v>134</v>
      </c>
      <c r="H1560">
        <v>100</v>
      </c>
      <c r="I1560" s="122" t="s">
        <v>1546</v>
      </c>
      <c r="J1560" s="307" t="s">
        <v>214</v>
      </c>
      <c r="K1560" s="127" t="s">
        <v>3348</v>
      </c>
      <c r="L1560" s="151" t="s">
        <v>1579</v>
      </c>
      <c r="M1560">
        <v>439</v>
      </c>
      <c r="N1560" s="123">
        <v>17</v>
      </c>
      <c r="O1560">
        <v>995</v>
      </c>
      <c r="P1560" s="132" t="s">
        <v>77</v>
      </c>
      <c r="Q1560" s="131">
        <v>516.38</v>
      </c>
      <c r="R1560" s="131">
        <v>82.62</v>
      </c>
      <c r="S1560" s="131"/>
      <c r="T1560" s="155"/>
      <c r="U1560" s="131"/>
      <c r="V1560" s="131">
        <v>599</v>
      </c>
      <c r="W1560">
        <v>62</v>
      </c>
      <c r="X1560" s="151" t="s">
        <v>1644</v>
      </c>
      <c r="Y1560" s="135" t="s">
        <v>55</v>
      </c>
      <c r="Z1560" s="307">
        <v>208</v>
      </c>
      <c r="AB1560" t="str">
        <f>IF(Table1[[#This Row],[TIPO2]]="costo", VLOOKUP(Table1[[#This Row],[PARTIDA PRESUPUESTAL]],'Cost Report'!G:G,1,0),"Balance")</f>
        <v>2794-003</v>
      </c>
      <c r="AC1560" s="118"/>
      <c r="AD1560" s="159">
        <f>+Table1[[#This Row],[SUBTOTAL]]+Table1[[#This Row],[IVA]]-Table1[[#This Row],[RET IVA]]-Table1[[#This Row],[RET ISR]]-Table1[[#This Row],[TOTAL]]</f>
        <v>0</v>
      </c>
      <c r="AE1560" s="150"/>
      <c r="AF1560" s="151"/>
      <c r="AG1560" s="126" t="s">
        <v>3420</v>
      </c>
      <c r="AK1560" s="306" t="str">
        <f>IF(ISNUMBER(Table1[[#This Row],[FECHA DE RECIBIDO]]), Table1[[#This Row],[FECHA DE RECIBIDO]]-DATE(2023,8,30), "")</f>
        <v/>
      </c>
    </row>
    <row r="1561" spans="1:37" ht="16.05" customHeight="1">
      <c r="A1561" s="152" t="s">
        <v>3392</v>
      </c>
      <c r="B1561" s="153">
        <v>497</v>
      </c>
      <c r="C1561" s="126" t="s">
        <v>2596</v>
      </c>
      <c r="D1561">
        <v>1008</v>
      </c>
      <c r="E1561" s="126" t="s">
        <v>2046</v>
      </c>
      <c r="F1561" s="125" t="s">
        <v>1589</v>
      </c>
      <c r="G1561" s="125" t="s">
        <v>134</v>
      </c>
      <c r="H1561">
        <v>329</v>
      </c>
      <c r="I1561" s="125" t="s">
        <v>1546</v>
      </c>
      <c r="J1561" s="308" t="s">
        <v>214</v>
      </c>
      <c r="K1561" s="127" t="s">
        <v>3348</v>
      </c>
      <c r="L1561" s="153" t="s">
        <v>1579</v>
      </c>
      <c r="M1561">
        <v>440</v>
      </c>
      <c r="N1561" s="123">
        <v>17</v>
      </c>
      <c r="O1561">
        <v>996</v>
      </c>
      <c r="P1561" s="132" t="s">
        <v>77</v>
      </c>
      <c r="Q1561" s="132">
        <v>409.48</v>
      </c>
      <c r="R1561" s="132">
        <v>65.52</v>
      </c>
      <c r="S1561" s="132"/>
      <c r="T1561" s="156"/>
      <c r="U1561" s="132"/>
      <c r="V1561" s="132">
        <v>475</v>
      </c>
      <c r="W1561">
        <v>62</v>
      </c>
      <c r="X1561" s="153" t="s">
        <v>1644</v>
      </c>
      <c r="Y1561" s="124" t="s">
        <v>55</v>
      </c>
      <c r="Z1561" s="308">
        <v>204</v>
      </c>
      <c r="AB1561" t="str">
        <f>IF(Table1[[#This Row],[TIPO2]]="costo", VLOOKUP(Table1[[#This Row],[PARTIDA PRESUPUESTAL]],'Cost Report'!G:G,1,0),"Balance")</f>
        <v>2794-003</v>
      </c>
      <c r="AC1561" s="118"/>
      <c r="AD1561" s="159">
        <f>+Table1[[#This Row],[SUBTOTAL]]+Table1[[#This Row],[IVA]]-Table1[[#This Row],[RET IVA]]-Table1[[#This Row],[RET ISR]]-Table1[[#This Row],[TOTAL]]</f>
        <v>0</v>
      </c>
      <c r="AE1561" s="152"/>
      <c r="AF1561" s="153"/>
      <c r="AG1561" s="126" t="s">
        <v>3420</v>
      </c>
      <c r="AK1561" s="306" t="str">
        <f>IF(ISNUMBER(Table1[[#This Row],[FECHA DE RECIBIDO]]), Table1[[#This Row],[FECHA DE RECIBIDO]]-DATE(2023,8,30), "")</f>
        <v/>
      </c>
    </row>
    <row r="1562" spans="1:37" ht="16.05" customHeight="1">
      <c r="A1562" s="150" t="s">
        <v>3392</v>
      </c>
      <c r="B1562" s="151">
        <v>497</v>
      </c>
      <c r="C1562" s="126" t="s">
        <v>2596</v>
      </c>
      <c r="D1562">
        <v>1009</v>
      </c>
      <c r="E1562" s="126" t="s">
        <v>2046</v>
      </c>
      <c r="F1562" s="122" t="s">
        <v>1589</v>
      </c>
      <c r="G1562" s="122" t="s">
        <v>134</v>
      </c>
      <c r="H1562">
        <v>329</v>
      </c>
      <c r="I1562" s="122" t="s">
        <v>1546</v>
      </c>
      <c r="J1562" s="307" t="s">
        <v>214</v>
      </c>
      <c r="K1562" s="127" t="s">
        <v>3348</v>
      </c>
      <c r="L1562" s="151" t="s">
        <v>1579</v>
      </c>
      <c r="M1562">
        <v>440</v>
      </c>
      <c r="N1562" s="123">
        <v>17</v>
      </c>
      <c r="O1562">
        <v>996</v>
      </c>
      <c r="P1562" s="132" t="s">
        <v>77</v>
      </c>
      <c r="Q1562" s="131">
        <v>409.48</v>
      </c>
      <c r="R1562" s="131">
        <v>65.52</v>
      </c>
      <c r="S1562" s="131"/>
      <c r="T1562" s="155"/>
      <c r="U1562" s="131"/>
      <c r="V1562" s="131">
        <v>475</v>
      </c>
      <c r="W1562">
        <v>62</v>
      </c>
      <c r="X1562" s="151" t="s">
        <v>1644</v>
      </c>
      <c r="Y1562" s="135" t="s">
        <v>55</v>
      </c>
      <c r="Z1562" s="307">
        <v>204</v>
      </c>
      <c r="AB1562" t="str">
        <f>IF(Table1[[#This Row],[TIPO2]]="costo", VLOOKUP(Table1[[#This Row],[PARTIDA PRESUPUESTAL]],'Cost Report'!G:G,1,0),"Balance")</f>
        <v>2794-003</v>
      </c>
      <c r="AC1562" s="118"/>
      <c r="AD1562" s="159">
        <f>+Table1[[#This Row],[SUBTOTAL]]+Table1[[#This Row],[IVA]]-Table1[[#This Row],[RET IVA]]-Table1[[#This Row],[RET ISR]]-Table1[[#This Row],[TOTAL]]</f>
        <v>0</v>
      </c>
      <c r="AE1562" s="150"/>
      <c r="AF1562" s="151"/>
      <c r="AG1562" s="126" t="s">
        <v>3420</v>
      </c>
      <c r="AK1562" s="306" t="str">
        <f>IF(ISNUMBER(Table1[[#This Row],[FECHA DE RECIBIDO]]), Table1[[#This Row],[FECHA DE RECIBIDO]]-DATE(2023,8,30), "")</f>
        <v/>
      </c>
    </row>
    <row r="1563" spans="1:37" ht="16.05" customHeight="1">
      <c r="A1563" s="152" t="s">
        <v>3393</v>
      </c>
      <c r="B1563" s="153">
        <v>498</v>
      </c>
      <c r="C1563" s="126" t="s">
        <v>2774</v>
      </c>
      <c r="D1563">
        <v>1010</v>
      </c>
      <c r="E1563" s="126" t="s">
        <v>1984</v>
      </c>
      <c r="F1563" s="125" t="s">
        <v>1607</v>
      </c>
      <c r="G1563" s="125" t="s">
        <v>134</v>
      </c>
      <c r="H1563">
        <v>74</v>
      </c>
      <c r="I1563" s="125" t="s">
        <v>1546</v>
      </c>
      <c r="J1563" s="308" t="s">
        <v>214</v>
      </c>
      <c r="K1563" s="127" t="s">
        <v>3348</v>
      </c>
      <c r="L1563" s="153" t="s">
        <v>1579</v>
      </c>
      <c r="M1563">
        <v>96</v>
      </c>
      <c r="N1563" s="123">
        <v>17</v>
      </c>
      <c r="O1563">
        <v>997</v>
      </c>
      <c r="P1563" s="132" t="s">
        <v>77</v>
      </c>
      <c r="Q1563" s="132">
        <v>211.21</v>
      </c>
      <c r="R1563" s="132">
        <v>33.79</v>
      </c>
      <c r="S1563" s="132"/>
      <c r="T1563" s="156"/>
      <c r="U1563" s="132"/>
      <c r="V1563" s="132">
        <v>245</v>
      </c>
      <c r="W1563">
        <v>93</v>
      </c>
      <c r="X1563" s="153" t="s">
        <v>1644</v>
      </c>
      <c r="Y1563" s="124" t="s">
        <v>55</v>
      </c>
      <c r="Z1563" s="308">
        <v>204</v>
      </c>
      <c r="AB1563" t="str">
        <f>IF(Table1[[#This Row],[TIPO2]]="costo", VLOOKUP(Table1[[#This Row],[PARTIDA PRESUPUESTAL]],'Cost Report'!G:G,1,0),"Balance")</f>
        <v>3401-042</v>
      </c>
      <c r="AC1563" s="118"/>
      <c r="AD1563" s="159">
        <f>+Table1[[#This Row],[SUBTOTAL]]+Table1[[#This Row],[IVA]]-Table1[[#This Row],[RET IVA]]-Table1[[#This Row],[RET ISR]]-Table1[[#This Row],[TOTAL]]</f>
        <v>0</v>
      </c>
      <c r="AE1563" s="152"/>
      <c r="AF1563" s="153"/>
      <c r="AG1563" s="126" t="s">
        <v>3420</v>
      </c>
      <c r="AK1563" s="306" t="str">
        <f>IF(ISNUMBER(Table1[[#This Row],[FECHA DE RECIBIDO]]), Table1[[#This Row],[FECHA DE RECIBIDO]]-DATE(2023,8,30), "")</f>
        <v/>
      </c>
    </row>
    <row r="1564" spans="1:37" ht="16.05" customHeight="1">
      <c r="A1564" s="150" t="s">
        <v>3393</v>
      </c>
      <c r="B1564" s="151">
        <v>498</v>
      </c>
      <c r="C1564" s="126" t="s">
        <v>2774</v>
      </c>
      <c r="D1564">
        <v>1011</v>
      </c>
      <c r="E1564" s="126" t="s">
        <v>1984</v>
      </c>
      <c r="F1564" s="122" t="s">
        <v>1607</v>
      </c>
      <c r="G1564" s="122" t="s">
        <v>134</v>
      </c>
      <c r="H1564">
        <v>74</v>
      </c>
      <c r="I1564" s="122" t="s">
        <v>1546</v>
      </c>
      <c r="J1564" s="307" t="s">
        <v>214</v>
      </c>
      <c r="K1564" s="127" t="s">
        <v>3348</v>
      </c>
      <c r="L1564" s="151" t="s">
        <v>1579</v>
      </c>
      <c r="M1564">
        <v>96</v>
      </c>
      <c r="N1564" s="123">
        <v>17</v>
      </c>
      <c r="O1564">
        <v>997</v>
      </c>
      <c r="P1564" s="132" t="s">
        <v>77</v>
      </c>
      <c r="Q1564" s="131">
        <v>4030.17</v>
      </c>
      <c r="R1564" s="131">
        <v>644.83000000000004</v>
      </c>
      <c r="S1564" s="131"/>
      <c r="T1564" s="155"/>
      <c r="U1564" s="131"/>
      <c r="V1564" s="131">
        <v>4675</v>
      </c>
      <c r="W1564">
        <v>93</v>
      </c>
      <c r="X1564" s="151" t="s">
        <v>1644</v>
      </c>
      <c r="Y1564" s="135" t="s">
        <v>55</v>
      </c>
      <c r="Z1564" s="307">
        <v>204</v>
      </c>
      <c r="AB1564" t="str">
        <f>IF(Table1[[#This Row],[TIPO2]]="costo", VLOOKUP(Table1[[#This Row],[PARTIDA PRESUPUESTAL]],'Cost Report'!G:G,1,0),"Balance")</f>
        <v>3401-042</v>
      </c>
      <c r="AC1564" s="118"/>
      <c r="AD1564" s="159">
        <f>+Table1[[#This Row],[SUBTOTAL]]+Table1[[#This Row],[IVA]]-Table1[[#This Row],[RET IVA]]-Table1[[#This Row],[RET ISR]]-Table1[[#This Row],[TOTAL]]</f>
        <v>0</v>
      </c>
      <c r="AE1564" s="150"/>
      <c r="AF1564" s="151"/>
      <c r="AG1564" s="126" t="s">
        <v>3420</v>
      </c>
      <c r="AK1564" s="306" t="str">
        <f>IF(ISNUMBER(Table1[[#This Row],[FECHA DE RECIBIDO]]), Table1[[#This Row],[FECHA DE RECIBIDO]]-DATE(2023,8,30), "")</f>
        <v/>
      </c>
    </row>
    <row r="1565" spans="1:37" ht="16.05" customHeight="1">
      <c r="A1565" s="152" t="s">
        <v>3393</v>
      </c>
      <c r="B1565" s="153">
        <v>498</v>
      </c>
      <c r="C1565" s="126" t="s">
        <v>3415</v>
      </c>
      <c r="D1565">
        <v>1012</v>
      </c>
      <c r="E1565" s="126" t="s">
        <v>1623</v>
      </c>
      <c r="F1565" s="125" t="s">
        <v>1607</v>
      </c>
      <c r="G1565" s="125" t="s">
        <v>134</v>
      </c>
      <c r="H1565">
        <v>45</v>
      </c>
      <c r="I1565" s="125" t="s">
        <v>1546</v>
      </c>
      <c r="J1565" s="308" t="s">
        <v>214</v>
      </c>
      <c r="K1565" s="127" t="s">
        <v>3348</v>
      </c>
      <c r="L1565" s="153" t="s">
        <v>1579</v>
      </c>
      <c r="M1565">
        <v>56</v>
      </c>
      <c r="N1565" s="123">
        <v>17</v>
      </c>
      <c r="O1565">
        <v>998</v>
      </c>
      <c r="P1565" s="132" t="s">
        <v>77</v>
      </c>
      <c r="Q1565" s="132">
        <v>1206.9000000000001</v>
      </c>
      <c r="R1565" s="132">
        <v>193.1</v>
      </c>
      <c r="S1565" s="132"/>
      <c r="T1565" s="156"/>
      <c r="U1565" s="132"/>
      <c r="V1565" s="132">
        <v>1400</v>
      </c>
      <c r="W1565">
        <v>93</v>
      </c>
      <c r="X1565" s="153" t="s">
        <v>1644</v>
      </c>
      <c r="Y1565" s="124" t="s">
        <v>55</v>
      </c>
      <c r="Z1565" s="308">
        <v>205</v>
      </c>
      <c r="AB1565" t="str">
        <f>IF(Table1[[#This Row],[TIPO2]]="costo", VLOOKUP(Table1[[#This Row],[PARTIDA PRESUPUESTAL]],'Cost Report'!G:G,1,0),"Balance")</f>
        <v>3629-006</v>
      </c>
      <c r="AC1565" s="118"/>
      <c r="AD1565" s="159">
        <f>+Table1[[#This Row],[SUBTOTAL]]+Table1[[#This Row],[IVA]]-Table1[[#This Row],[RET IVA]]-Table1[[#This Row],[RET ISR]]-Table1[[#This Row],[TOTAL]]</f>
        <v>0</v>
      </c>
      <c r="AE1565" s="152"/>
      <c r="AF1565" s="153"/>
      <c r="AG1565" s="126" t="s">
        <v>3420</v>
      </c>
      <c r="AK1565" s="306" t="str">
        <f>IF(ISNUMBER(Table1[[#This Row],[FECHA DE RECIBIDO]]), Table1[[#This Row],[FECHA DE RECIBIDO]]-DATE(2023,8,30), "")</f>
        <v/>
      </c>
    </row>
    <row r="1566" spans="1:37" ht="16.05" customHeight="1">
      <c r="A1566" s="150" t="s">
        <v>3393</v>
      </c>
      <c r="B1566" s="151">
        <v>498</v>
      </c>
      <c r="C1566" s="126" t="s">
        <v>3415</v>
      </c>
      <c r="D1566">
        <v>1013</v>
      </c>
      <c r="E1566" s="126" t="s">
        <v>1623</v>
      </c>
      <c r="F1566" s="122" t="s">
        <v>1607</v>
      </c>
      <c r="G1566" s="122" t="s">
        <v>134</v>
      </c>
      <c r="H1566">
        <v>45</v>
      </c>
      <c r="I1566" s="122" t="s">
        <v>1546</v>
      </c>
      <c r="J1566" s="307" t="s">
        <v>214</v>
      </c>
      <c r="K1566" s="127" t="s">
        <v>3348</v>
      </c>
      <c r="L1566" s="151" t="s">
        <v>1579</v>
      </c>
      <c r="M1566">
        <v>56</v>
      </c>
      <c r="N1566" s="123">
        <v>17</v>
      </c>
      <c r="O1566">
        <v>998</v>
      </c>
      <c r="P1566" s="132" t="s">
        <v>77</v>
      </c>
      <c r="Q1566" s="131">
        <v>344.83</v>
      </c>
      <c r="R1566" s="131">
        <v>55.17</v>
      </c>
      <c r="S1566" s="131"/>
      <c r="T1566" s="155"/>
      <c r="U1566" s="131"/>
      <c r="V1566" s="131">
        <v>400</v>
      </c>
      <c r="W1566">
        <v>93</v>
      </c>
      <c r="X1566" s="151" t="s">
        <v>1644</v>
      </c>
      <c r="Y1566" s="135" t="s">
        <v>55</v>
      </c>
      <c r="Z1566" s="307">
        <v>205</v>
      </c>
      <c r="AB1566" t="str">
        <f>IF(Table1[[#This Row],[TIPO2]]="costo", VLOOKUP(Table1[[#This Row],[PARTIDA PRESUPUESTAL]],'Cost Report'!G:G,1,0),"Balance")</f>
        <v>3629-006</v>
      </c>
      <c r="AC1566" s="118"/>
      <c r="AD1566" s="159">
        <f>+Table1[[#This Row],[SUBTOTAL]]+Table1[[#This Row],[IVA]]-Table1[[#This Row],[RET IVA]]-Table1[[#This Row],[RET ISR]]-Table1[[#This Row],[TOTAL]]</f>
        <v>0</v>
      </c>
      <c r="AE1566" s="150"/>
      <c r="AF1566" s="151"/>
      <c r="AG1566" s="126" t="s">
        <v>3420</v>
      </c>
      <c r="AK1566" s="306" t="str">
        <f>IF(ISNUMBER(Table1[[#This Row],[FECHA DE RECIBIDO]]), Table1[[#This Row],[FECHA DE RECIBIDO]]-DATE(2023,8,30), "")</f>
        <v/>
      </c>
    </row>
    <row r="1567" spans="1:37" ht="16.05" customHeight="1">
      <c r="A1567" s="152" t="s">
        <v>3393</v>
      </c>
      <c r="B1567" s="153">
        <v>498</v>
      </c>
      <c r="C1567" s="126" t="s">
        <v>3415</v>
      </c>
      <c r="D1567">
        <v>1014</v>
      </c>
      <c r="E1567" s="126" t="s">
        <v>1623</v>
      </c>
      <c r="F1567" s="125" t="s">
        <v>1607</v>
      </c>
      <c r="G1567" s="125" t="s">
        <v>134</v>
      </c>
      <c r="H1567">
        <v>45</v>
      </c>
      <c r="I1567" s="125" t="s">
        <v>1546</v>
      </c>
      <c r="J1567" s="308" t="s">
        <v>214</v>
      </c>
      <c r="K1567" s="127" t="s">
        <v>3348</v>
      </c>
      <c r="L1567" s="153" t="s">
        <v>1579</v>
      </c>
      <c r="M1567">
        <v>56</v>
      </c>
      <c r="N1567" s="123">
        <v>17</v>
      </c>
      <c r="O1567">
        <v>998</v>
      </c>
      <c r="P1567" s="132" t="s">
        <v>77</v>
      </c>
      <c r="Q1567" s="132">
        <v>431.03</v>
      </c>
      <c r="R1567" s="132">
        <v>68.97</v>
      </c>
      <c r="S1567" s="132"/>
      <c r="T1567" s="156"/>
      <c r="U1567" s="132"/>
      <c r="V1567" s="132">
        <v>500</v>
      </c>
      <c r="W1567">
        <v>93</v>
      </c>
      <c r="X1567" s="153" t="s">
        <v>1644</v>
      </c>
      <c r="Y1567" s="124" t="s">
        <v>55</v>
      </c>
      <c r="Z1567" s="308">
        <v>205</v>
      </c>
      <c r="AB1567" t="str">
        <f>IF(Table1[[#This Row],[TIPO2]]="costo", VLOOKUP(Table1[[#This Row],[PARTIDA PRESUPUESTAL]],'Cost Report'!G:G,1,0),"Balance")</f>
        <v>3629-006</v>
      </c>
      <c r="AC1567" s="118"/>
      <c r="AD1567" s="159">
        <f>+Table1[[#This Row],[SUBTOTAL]]+Table1[[#This Row],[IVA]]-Table1[[#This Row],[RET IVA]]-Table1[[#This Row],[RET ISR]]-Table1[[#This Row],[TOTAL]]</f>
        <v>0</v>
      </c>
      <c r="AE1567" s="152"/>
      <c r="AF1567" s="153"/>
      <c r="AG1567" s="126" t="s">
        <v>3420</v>
      </c>
      <c r="AK1567" s="306" t="str">
        <f>IF(ISNUMBER(Table1[[#This Row],[FECHA DE RECIBIDO]]), Table1[[#This Row],[FECHA DE RECIBIDO]]-DATE(2023,8,30), "")</f>
        <v/>
      </c>
    </row>
    <row r="1568" spans="1:37" ht="16.05" customHeight="1">
      <c r="A1568" s="150" t="s">
        <v>3393</v>
      </c>
      <c r="B1568" s="151">
        <v>498</v>
      </c>
      <c r="C1568" s="126" t="s">
        <v>2352</v>
      </c>
      <c r="D1568">
        <v>1015</v>
      </c>
      <c r="E1568" s="126" t="s">
        <v>1624</v>
      </c>
      <c r="F1568" s="122" t="s">
        <v>1607</v>
      </c>
      <c r="G1568" s="122" t="s">
        <v>134</v>
      </c>
      <c r="H1568">
        <v>46</v>
      </c>
      <c r="I1568" s="122" t="s">
        <v>1546</v>
      </c>
      <c r="J1568" s="307" t="s">
        <v>214</v>
      </c>
      <c r="K1568" s="127" t="s">
        <v>3348</v>
      </c>
      <c r="L1568" s="151" t="s">
        <v>1579</v>
      </c>
      <c r="M1568">
        <v>58</v>
      </c>
      <c r="N1568" s="123">
        <v>17</v>
      </c>
      <c r="O1568">
        <v>999</v>
      </c>
      <c r="P1568" s="132" t="s">
        <v>77</v>
      </c>
      <c r="Q1568" s="131">
        <v>8072.46</v>
      </c>
      <c r="R1568" s="131">
        <v>933.1</v>
      </c>
      <c r="S1568" s="131"/>
      <c r="T1568" s="155"/>
      <c r="U1568" s="131"/>
      <c r="V1568" s="131">
        <v>9005.56</v>
      </c>
      <c r="W1568">
        <v>93</v>
      </c>
      <c r="X1568" s="151" t="s">
        <v>1644</v>
      </c>
      <c r="Y1568" s="135" t="s">
        <v>55</v>
      </c>
      <c r="Z1568" s="307">
        <v>209</v>
      </c>
      <c r="AB1568" t="str">
        <f>IF(Table1[[#This Row],[TIPO2]]="costo", VLOOKUP(Table1[[#This Row],[PARTIDA PRESUPUESTAL]],'Cost Report'!G:G,1,0),"Balance")</f>
        <v>1640-009</v>
      </c>
      <c r="AC1568" s="118"/>
      <c r="AD1568" s="159">
        <f>+Table1[[#This Row],[SUBTOTAL]]+Table1[[#This Row],[IVA]]-Table1[[#This Row],[RET IVA]]-Table1[[#This Row],[RET ISR]]-Table1[[#This Row],[TOTAL]]</f>
        <v>0</v>
      </c>
      <c r="AE1568" s="150"/>
      <c r="AF1568" s="151"/>
      <c r="AG1568" s="126" t="s">
        <v>3420</v>
      </c>
      <c r="AK1568" s="306" t="str">
        <f>IF(ISNUMBER(Table1[[#This Row],[FECHA DE RECIBIDO]]), Table1[[#This Row],[FECHA DE RECIBIDO]]-DATE(2023,8,30), "")</f>
        <v/>
      </c>
    </row>
    <row r="1569" spans="1:37" ht="16.05" customHeight="1">
      <c r="A1569" s="152" t="s">
        <v>3393</v>
      </c>
      <c r="B1569" s="153">
        <v>498</v>
      </c>
      <c r="C1569" s="126" t="s">
        <v>1714</v>
      </c>
      <c r="D1569">
        <v>1016</v>
      </c>
      <c r="E1569" s="126" t="s">
        <v>3394</v>
      </c>
      <c r="F1569" s="125" t="s">
        <v>1382</v>
      </c>
      <c r="G1569" s="125" t="s">
        <v>134</v>
      </c>
      <c r="H1569">
        <v>31</v>
      </c>
      <c r="I1569" s="125" t="s">
        <v>1546</v>
      </c>
      <c r="J1569" s="308" t="s">
        <v>214</v>
      </c>
      <c r="K1569" s="127" t="s">
        <v>3348</v>
      </c>
      <c r="L1569" s="153" t="s">
        <v>1579</v>
      </c>
      <c r="M1569">
        <v>69</v>
      </c>
      <c r="N1569" s="123">
        <v>17</v>
      </c>
      <c r="O1569">
        <v>1000</v>
      </c>
      <c r="P1569" s="132" t="s">
        <v>77</v>
      </c>
      <c r="Q1569" s="132">
        <v>131.28</v>
      </c>
      <c r="R1569" s="132">
        <v>12.82</v>
      </c>
      <c r="S1569" s="132"/>
      <c r="T1569" s="156"/>
      <c r="U1569" s="132"/>
      <c r="V1569" s="132">
        <v>144.1</v>
      </c>
      <c r="W1569">
        <v>93</v>
      </c>
      <c r="X1569" s="153" t="s">
        <v>1644</v>
      </c>
      <c r="Y1569" s="124" t="s">
        <v>55</v>
      </c>
      <c r="Z1569" s="308">
        <v>209</v>
      </c>
      <c r="AB1569" t="str">
        <f>IF(Table1[[#This Row],[TIPO2]]="costo", VLOOKUP(Table1[[#This Row],[PARTIDA PRESUPUESTAL]],'Cost Report'!G:G,1,0),"Balance")</f>
        <v>1426-003</v>
      </c>
      <c r="AC1569" s="118"/>
      <c r="AD1569" s="159">
        <f>+Table1[[#This Row],[SUBTOTAL]]+Table1[[#This Row],[IVA]]-Table1[[#This Row],[RET IVA]]-Table1[[#This Row],[RET ISR]]-Table1[[#This Row],[TOTAL]]</f>
        <v>0</v>
      </c>
      <c r="AE1569" s="152"/>
      <c r="AF1569" s="153"/>
      <c r="AG1569" s="126" t="s">
        <v>3420</v>
      </c>
      <c r="AK1569" s="306" t="str">
        <f>IF(ISNUMBER(Table1[[#This Row],[FECHA DE RECIBIDO]]), Table1[[#This Row],[FECHA DE RECIBIDO]]-DATE(2023,8,30), "")</f>
        <v/>
      </c>
    </row>
    <row r="1570" spans="1:37" ht="16.05" customHeight="1">
      <c r="A1570" s="150" t="s">
        <v>3393</v>
      </c>
      <c r="B1570" s="151">
        <v>498</v>
      </c>
      <c r="C1570" s="126" t="s">
        <v>1770</v>
      </c>
      <c r="D1570">
        <v>1017</v>
      </c>
      <c r="E1570" s="126" t="s">
        <v>1624</v>
      </c>
      <c r="F1570" s="122" t="s">
        <v>1607</v>
      </c>
      <c r="G1570" s="122" t="s">
        <v>134</v>
      </c>
      <c r="H1570">
        <v>46</v>
      </c>
      <c r="I1570" s="122" t="s">
        <v>1546</v>
      </c>
      <c r="J1570" s="307" t="s">
        <v>214</v>
      </c>
      <c r="K1570" s="127" t="s">
        <v>3348</v>
      </c>
      <c r="L1570" s="151" t="s">
        <v>1579</v>
      </c>
      <c r="M1570">
        <v>58</v>
      </c>
      <c r="N1570" s="123">
        <v>17</v>
      </c>
      <c r="O1570">
        <v>1001</v>
      </c>
      <c r="P1570" s="132" t="s">
        <v>77</v>
      </c>
      <c r="Q1570" s="131">
        <v>2927.69</v>
      </c>
      <c r="R1570" s="131">
        <v>289.18</v>
      </c>
      <c r="S1570" s="131"/>
      <c r="T1570" s="155"/>
      <c r="U1570" s="131"/>
      <c r="V1570" s="131">
        <v>3216.87</v>
      </c>
      <c r="W1570">
        <v>93</v>
      </c>
      <c r="X1570" s="151" t="s">
        <v>1644</v>
      </c>
      <c r="Y1570" s="135" t="s">
        <v>55</v>
      </c>
      <c r="Z1570" s="307">
        <v>209</v>
      </c>
      <c r="AB1570" t="str">
        <f>IF(Table1[[#This Row],[TIPO2]]="costo", VLOOKUP(Table1[[#This Row],[PARTIDA PRESUPUESTAL]],'Cost Report'!G:G,1,0),"Balance")</f>
        <v>3901-038</v>
      </c>
      <c r="AC1570" s="118"/>
      <c r="AD1570" s="159">
        <f>+Table1[[#This Row],[SUBTOTAL]]+Table1[[#This Row],[IVA]]-Table1[[#This Row],[RET IVA]]-Table1[[#This Row],[RET ISR]]-Table1[[#This Row],[TOTAL]]</f>
        <v>0</v>
      </c>
      <c r="AE1570" s="150"/>
      <c r="AF1570" s="151"/>
      <c r="AG1570" s="126" t="s">
        <v>3420</v>
      </c>
      <c r="AK1570" s="306" t="str">
        <f>IF(ISNUMBER(Table1[[#This Row],[FECHA DE RECIBIDO]]), Table1[[#This Row],[FECHA DE RECIBIDO]]-DATE(2023,8,30), "")</f>
        <v/>
      </c>
    </row>
    <row r="1571" spans="1:37" ht="16.05" customHeight="1">
      <c r="A1571" s="152" t="s">
        <v>3393</v>
      </c>
      <c r="B1571" s="153">
        <v>498</v>
      </c>
      <c r="C1571" s="126" t="s">
        <v>3002</v>
      </c>
      <c r="D1571">
        <v>1018</v>
      </c>
      <c r="E1571" s="126" t="s">
        <v>1603</v>
      </c>
      <c r="F1571" s="125" t="s">
        <v>1607</v>
      </c>
      <c r="G1571" s="125" t="s">
        <v>134</v>
      </c>
      <c r="H1571">
        <v>91</v>
      </c>
      <c r="I1571" s="125" t="s">
        <v>1546</v>
      </c>
      <c r="J1571" s="308" t="s">
        <v>214</v>
      </c>
      <c r="K1571" s="127" t="s">
        <v>3348</v>
      </c>
      <c r="L1571" s="153" t="s">
        <v>1579</v>
      </c>
      <c r="M1571">
        <v>122</v>
      </c>
      <c r="N1571" s="123">
        <v>17</v>
      </c>
      <c r="O1571">
        <v>1002</v>
      </c>
      <c r="P1571" s="132" t="s">
        <v>77</v>
      </c>
      <c r="Q1571" s="132">
        <v>48.62</v>
      </c>
      <c r="R1571" s="132">
        <v>3.38</v>
      </c>
      <c r="S1571" s="132"/>
      <c r="T1571" s="156"/>
      <c r="U1571" s="132"/>
      <c r="V1571" s="132">
        <v>52</v>
      </c>
      <c r="W1571">
        <v>93</v>
      </c>
      <c r="X1571" s="153" t="s">
        <v>1644</v>
      </c>
      <c r="Y1571" s="124" t="s">
        <v>55</v>
      </c>
      <c r="Z1571" s="308">
        <v>209</v>
      </c>
      <c r="AB1571" t="str">
        <f>IF(Table1[[#This Row],[TIPO2]]="costo", VLOOKUP(Table1[[#This Row],[PARTIDA PRESUPUESTAL]],'Cost Report'!G:G,1,0),"Balance")</f>
        <v>4180-003</v>
      </c>
      <c r="AC1571" s="118"/>
      <c r="AD1571" s="159">
        <f>+Table1[[#This Row],[SUBTOTAL]]+Table1[[#This Row],[IVA]]-Table1[[#This Row],[RET IVA]]-Table1[[#This Row],[RET ISR]]-Table1[[#This Row],[TOTAL]]</f>
        <v>0</v>
      </c>
      <c r="AE1571" s="152"/>
      <c r="AF1571" s="153"/>
      <c r="AG1571" s="126" t="s">
        <v>3420</v>
      </c>
      <c r="AK1571" s="306" t="str">
        <f>IF(ISNUMBER(Table1[[#This Row],[FECHA DE RECIBIDO]]), Table1[[#This Row],[FECHA DE RECIBIDO]]-DATE(2023,8,30), "")</f>
        <v/>
      </c>
    </row>
    <row r="1572" spans="1:37" ht="16.05" customHeight="1">
      <c r="A1572" s="150" t="s">
        <v>3393</v>
      </c>
      <c r="B1572" s="151">
        <v>498</v>
      </c>
      <c r="C1572" s="126" t="s">
        <v>2860</v>
      </c>
      <c r="D1572">
        <v>1019</v>
      </c>
      <c r="E1572" s="126" t="s">
        <v>1647</v>
      </c>
      <c r="F1572" s="122" t="s">
        <v>1607</v>
      </c>
      <c r="G1572" s="122" t="s">
        <v>134</v>
      </c>
      <c r="H1572">
        <v>330</v>
      </c>
      <c r="I1572" s="122" t="s">
        <v>1546</v>
      </c>
      <c r="J1572" s="307" t="s">
        <v>214</v>
      </c>
      <c r="K1572" s="127" t="s">
        <v>3348</v>
      </c>
      <c r="L1572" s="151" t="s">
        <v>1579</v>
      </c>
      <c r="M1572">
        <v>441</v>
      </c>
      <c r="N1572" s="123">
        <v>17</v>
      </c>
      <c r="O1572">
        <v>1003</v>
      </c>
      <c r="P1572" s="132" t="s">
        <v>77</v>
      </c>
      <c r="Q1572" s="131">
        <v>646.54999999999995</v>
      </c>
      <c r="R1572" s="131">
        <v>103.45</v>
      </c>
      <c r="S1572" s="131"/>
      <c r="T1572" s="155"/>
      <c r="U1572" s="131"/>
      <c r="V1572" s="131">
        <v>750</v>
      </c>
      <c r="W1572">
        <v>93</v>
      </c>
      <c r="X1572" s="151" t="s">
        <v>1644</v>
      </c>
      <c r="Y1572" s="135" t="s">
        <v>55</v>
      </c>
      <c r="Z1572" s="307">
        <v>209</v>
      </c>
      <c r="AB1572" t="str">
        <f>IF(Table1[[#This Row],[TIPO2]]="costo", VLOOKUP(Table1[[#This Row],[PARTIDA PRESUPUESTAL]],'Cost Report'!G:G,1,0),"Balance")</f>
        <v>3629-003</v>
      </c>
      <c r="AC1572" s="118"/>
      <c r="AD1572" s="159">
        <f>+Table1[[#This Row],[SUBTOTAL]]+Table1[[#This Row],[IVA]]-Table1[[#This Row],[RET IVA]]-Table1[[#This Row],[RET ISR]]-Table1[[#This Row],[TOTAL]]</f>
        <v>0</v>
      </c>
      <c r="AE1572" s="150"/>
      <c r="AF1572" s="151"/>
      <c r="AG1572" s="126" t="s">
        <v>3420</v>
      </c>
      <c r="AK1572" s="306" t="str">
        <f>IF(ISNUMBER(Table1[[#This Row],[FECHA DE RECIBIDO]]), Table1[[#This Row],[FECHA DE RECIBIDO]]-DATE(2023,8,30), "")</f>
        <v/>
      </c>
    </row>
    <row r="1573" spans="1:37" ht="16.05" customHeight="1">
      <c r="A1573" s="152" t="s">
        <v>3393</v>
      </c>
      <c r="B1573" s="153">
        <v>498</v>
      </c>
      <c r="C1573" s="126" t="s">
        <v>2774</v>
      </c>
      <c r="D1573">
        <v>1020</v>
      </c>
      <c r="E1573" s="126" t="s">
        <v>1603</v>
      </c>
      <c r="F1573" s="125" t="s">
        <v>1607</v>
      </c>
      <c r="G1573" s="125" t="s">
        <v>134</v>
      </c>
      <c r="H1573">
        <v>56</v>
      </c>
      <c r="I1573" s="125" t="s">
        <v>1546</v>
      </c>
      <c r="J1573" s="308" t="s">
        <v>214</v>
      </c>
      <c r="K1573" s="127" t="s">
        <v>3348</v>
      </c>
      <c r="L1573" s="153" t="s">
        <v>1579</v>
      </c>
      <c r="M1573">
        <v>184</v>
      </c>
      <c r="N1573" s="123">
        <v>17</v>
      </c>
      <c r="O1573">
        <v>1004</v>
      </c>
      <c r="P1573" s="132" t="s">
        <v>77</v>
      </c>
      <c r="Q1573" s="132">
        <v>1487.36</v>
      </c>
      <c r="R1573" s="132">
        <v>131.32</v>
      </c>
      <c r="S1573" s="132"/>
      <c r="T1573" s="156"/>
      <c r="U1573" s="132"/>
      <c r="V1573" s="132">
        <v>1618.6799999999998</v>
      </c>
      <c r="W1573">
        <v>93</v>
      </c>
      <c r="X1573" s="153" t="s">
        <v>1644</v>
      </c>
      <c r="Y1573" s="124" t="s">
        <v>55</v>
      </c>
      <c r="Z1573" s="308">
        <v>209</v>
      </c>
      <c r="AB1573" t="str">
        <f>IF(Table1[[#This Row],[TIPO2]]="costo", VLOOKUP(Table1[[#This Row],[PARTIDA PRESUPUESTAL]],'Cost Report'!G:G,1,0),"Balance")</f>
        <v>3401-042</v>
      </c>
      <c r="AC1573" s="118"/>
      <c r="AD1573" s="159">
        <f>+Table1[[#This Row],[SUBTOTAL]]+Table1[[#This Row],[IVA]]-Table1[[#This Row],[RET IVA]]-Table1[[#This Row],[RET ISR]]-Table1[[#This Row],[TOTAL]]</f>
        <v>0</v>
      </c>
      <c r="AE1573" s="152"/>
      <c r="AF1573" s="153"/>
      <c r="AG1573" s="126" t="s">
        <v>3420</v>
      </c>
      <c r="AK1573" s="306" t="str">
        <f>IF(ISNUMBER(Table1[[#This Row],[FECHA DE RECIBIDO]]), Table1[[#This Row],[FECHA DE RECIBIDO]]-DATE(2023,8,30), "")</f>
        <v/>
      </c>
    </row>
    <row r="1574" spans="1:37" ht="16.05" customHeight="1">
      <c r="A1574" s="150" t="s">
        <v>3393</v>
      </c>
      <c r="B1574" s="151">
        <v>498</v>
      </c>
      <c r="C1574" s="126" t="s">
        <v>2860</v>
      </c>
      <c r="D1574">
        <v>1021</v>
      </c>
      <c r="E1574" s="126" t="s">
        <v>1603</v>
      </c>
      <c r="F1574" s="122" t="s">
        <v>1607</v>
      </c>
      <c r="G1574" s="122" t="s">
        <v>134</v>
      </c>
      <c r="H1574">
        <v>43</v>
      </c>
      <c r="I1574" s="122" t="s">
        <v>1546</v>
      </c>
      <c r="J1574" s="307" t="s">
        <v>214</v>
      </c>
      <c r="K1574" s="127" t="s">
        <v>3348</v>
      </c>
      <c r="L1574" s="151" t="s">
        <v>1579</v>
      </c>
      <c r="M1574">
        <v>442</v>
      </c>
      <c r="N1574" s="123">
        <v>17</v>
      </c>
      <c r="O1574">
        <v>1005</v>
      </c>
      <c r="P1574" s="132" t="s">
        <v>77</v>
      </c>
      <c r="Q1574" s="131">
        <v>10.34</v>
      </c>
      <c r="R1574" s="131">
        <v>1.66</v>
      </c>
      <c r="S1574" s="131"/>
      <c r="T1574" s="155"/>
      <c r="U1574" s="131"/>
      <c r="V1574" s="131">
        <v>12</v>
      </c>
      <c r="W1574">
        <v>93</v>
      </c>
      <c r="X1574" s="151" t="s">
        <v>1644</v>
      </c>
      <c r="Y1574" s="135" t="s">
        <v>55</v>
      </c>
      <c r="Z1574" s="307">
        <v>209</v>
      </c>
      <c r="AB1574" t="str">
        <f>IF(Table1[[#This Row],[TIPO2]]="costo", VLOOKUP(Table1[[#This Row],[PARTIDA PRESUPUESTAL]],'Cost Report'!G:G,1,0),"Balance")</f>
        <v>3629-003</v>
      </c>
      <c r="AC1574" s="118"/>
      <c r="AD1574" s="159">
        <f>+Table1[[#This Row],[SUBTOTAL]]+Table1[[#This Row],[IVA]]-Table1[[#This Row],[RET IVA]]-Table1[[#This Row],[RET ISR]]-Table1[[#This Row],[TOTAL]]</f>
        <v>0</v>
      </c>
      <c r="AE1574" s="150"/>
      <c r="AF1574" s="151"/>
      <c r="AG1574" s="126" t="s">
        <v>3420</v>
      </c>
      <c r="AK1574" s="306" t="str">
        <f>IF(ISNUMBER(Table1[[#This Row],[FECHA DE RECIBIDO]]), Table1[[#This Row],[FECHA DE RECIBIDO]]-DATE(2023,8,30), "")</f>
        <v/>
      </c>
    </row>
    <row r="1575" spans="1:37" ht="16.05" customHeight="1">
      <c r="A1575" s="152" t="s">
        <v>3393</v>
      </c>
      <c r="B1575" s="153">
        <v>498</v>
      </c>
      <c r="C1575" s="126" t="s">
        <v>2952</v>
      </c>
      <c r="D1575">
        <v>1022</v>
      </c>
      <c r="E1575" s="126" t="s">
        <v>1624</v>
      </c>
      <c r="F1575" s="125" t="s">
        <v>1607</v>
      </c>
      <c r="G1575" s="125" t="s">
        <v>134</v>
      </c>
      <c r="H1575">
        <v>46</v>
      </c>
      <c r="I1575" s="125" t="s">
        <v>1546</v>
      </c>
      <c r="J1575" s="308" t="s">
        <v>214</v>
      </c>
      <c r="K1575" s="127" t="s">
        <v>3348</v>
      </c>
      <c r="L1575" s="153" t="s">
        <v>1579</v>
      </c>
      <c r="M1575">
        <v>58</v>
      </c>
      <c r="N1575" s="123">
        <v>17</v>
      </c>
      <c r="O1575">
        <v>1006</v>
      </c>
      <c r="P1575" s="132" t="s">
        <v>77</v>
      </c>
      <c r="Q1575" s="132">
        <v>2802.62</v>
      </c>
      <c r="R1575" s="132">
        <v>350.95</v>
      </c>
      <c r="S1575" s="132"/>
      <c r="T1575" s="156"/>
      <c r="U1575" s="132"/>
      <c r="V1575" s="132">
        <v>3153.5699999999997</v>
      </c>
      <c r="W1575">
        <v>93</v>
      </c>
      <c r="X1575" s="153" t="s">
        <v>1644</v>
      </c>
      <c r="Y1575" s="124" t="s">
        <v>55</v>
      </c>
      <c r="Z1575" s="308">
        <v>211</v>
      </c>
      <c r="AB1575" t="str">
        <f>IF(Table1[[#This Row],[TIPO2]]="costo", VLOOKUP(Table1[[#This Row],[PARTIDA PRESUPUESTAL]],'Cost Report'!G:G,1,0),"Balance")</f>
        <v>3901-048</v>
      </c>
      <c r="AC1575" s="118"/>
      <c r="AD1575" s="159">
        <f>+Table1[[#This Row],[SUBTOTAL]]+Table1[[#This Row],[IVA]]-Table1[[#This Row],[RET IVA]]-Table1[[#This Row],[RET ISR]]-Table1[[#This Row],[TOTAL]]</f>
        <v>0</v>
      </c>
      <c r="AE1575" s="152"/>
      <c r="AF1575" s="153"/>
      <c r="AG1575" s="126" t="s">
        <v>3420</v>
      </c>
      <c r="AK1575" s="306" t="str">
        <f>IF(ISNUMBER(Table1[[#This Row],[FECHA DE RECIBIDO]]), Table1[[#This Row],[FECHA DE RECIBIDO]]-DATE(2023,8,30), "")</f>
        <v/>
      </c>
    </row>
    <row r="1576" spans="1:37" ht="16.05" customHeight="1">
      <c r="A1576" s="150" t="s">
        <v>3393</v>
      </c>
      <c r="B1576" s="151">
        <v>498</v>
      </c>
      <c r="C1576" s="126" t="s">
        <v>1181</v>
      </c>
      <c r="D1576">
        <v>1023</v>
      </c>
      <c r="E1576" s="126" t="s">
        <v>2075</v>
      </c>
      <c r="F1576" s="122" t="s">
        <v>2062</v>
      </c>
      <c r="G1576" s="122" t="s">
        <v>134</v>
      </c>
      <c r="H1576">
        <v>146</v>
      </c>
      <c r="I1576" s="122" t="s">
        <v>1546</v>
      </c>
      <c r="J1576" s="307" t="s">
        <v>214</v>
      </c>
      <c r="K1576" s="127" t="s">
        <v>3348</v>
      </c>
      <c r="L1576" s="151" t="s">
        <v>1579</v>
      </c>
      <c r="M1576">
        <v>192</v>
      </c>
      <c r="N1576" s="123">
        <v>17</v>
      </c>
      <c r="O1576">
        <v>1007</v>
      </c>
      <c r="P1576" s="132" t="s">
        <v>77</v>
      </c>
      <c r="Q1576" s="131">
        <v>2034.48</v>
      </c>
      <c r="R1576" s="131">
        <v>325.52</v>
      </c>
      <c r="S1576" s="131"/>
      <c r="T1576" s="155"/>
      <c r="U1576" s="131"/>
      <c r="V1576" s="131">
        <v>2360</v>
      </c>
      <c r="W1576">
        <v>93</v>
      </c>
      <c r="X1576" s="151" t="s">
        <v>1644</v>
      </c>
      <c r="Y1576" s="135" t="s">
        <v>55</v>
      </c>
      <c r="Z1576" s="307">
        <v>211</v>
      </c>
      <c r="AB1576" t="str">
        <f>IF(Table1[[#This Row],[TIPO2]]="costo", VLOOKUP(Table1[[#This Row],[PARTIDA PRESUPUESTAL]],'Cost Report'!G:G,1,0),"Balance")</f>
        <v>3904-003</v>
      </c>
      <c r="AC1576" s="118"/>
      <c r="AD1576" s="159">
        <f>+Table1[[#This Row],[SUBTOTAL]]+Table1[[#This Row],[IVA]]-Table1[[#This Row],[RET IVA]]-Table1[[#This Row],[RET ISR]]-Table1[[#This Row],[TOTAL]]</f>
        <v>0</v>
      </c>
      <c r="AE1576" s="150"/>
      <c r="AF1576" s="151"/>
      <c r="AG1576" s="126" t="s">
        <v>3420</v>
      </c>
      <c r="AK1576" s="306" t="str">
        <f>IF(ISNUMBER(Table1[[#This Row],[FECHA DE RECIBIDO]]), Table1[[#This Row],[FECHA DE RECIBIDO]]-DATE(2023,8,30), "")</f>
        <v/>
      </c>
    </row>
    <row r="1577" spans="1:37" ht="16.05" customHeight="1">
      <c r="A1577" s="152" t="s">
        <v>3393</v>
      </c>
      <c r="B1577" s="153">
        <v>498</v>
      </c>
      <c r="C1577" s="126" t="s">
        <v>1770</v>
      </c>
      <c r="D1577">
        <v>1024</v>
      </c>
      <c r="E1577" s="126" t="s">
        <v>1624</v>
      </c>
      <c r="F1577" s="125" t="s">
        <v>1607</v>
      </c>
      <c r="G1577" s="125" t="s">
        <v>134</v>
      </c>
      <c r="H1577">
        <v>46</v>
      </c>
      <c r="I1577" s="125" t="s">
        <v>1546</v>
      </c>
      <c r="J1577" s="308" t="s">
        <v>214</v>
      </c>
      <c r="K1577" s="127" t="s">
        <v>3348</v>
      </c>
      <c r="L1577" s="153" t="s">
        <v>1579</v>
      </c>
      <c r="M1577">
        <v>58</v>
      </c>
      <c r="N1577" s="123">
        <v>17</v>
      </c>
      <c r="O1577">
        <v>1008</v>
      </c>
      <c r="P1577" s="132" t="s">
        <v>77</v>
      </c>
      <c r="Q1577" s="132">
        <v>2858.69</v>
      </c>
      <c r="R1577" s="132">
        <v>278.14</v>
      </c>
      <c r="S1577" s="132"/>
      <c r="T1577" s="156"/>
      <c r="U1577" s="132"/>
      <c r="V1577" s="132">
        <v>3136.83</v>
      </c>
      <c r="W1577">
        <v>93</v>
      </c>
      <c r="X1577" s="153" t="s">
        <v>1644</v>
      </c>
      <c r="Y1577" s="124" t="s">
        <v>55</v>
      </c>
      <c r="Z1577" s="308">
        <v>212</v>
      </c>
      <c r="AB1577" t="str">
        <f>IF(Table1[[#This Row],[TIPO2]]="costo", VLOOKUP(Table1[[#This Row],[PARTIDA PRESUPUESTAL]],'Cost Report'!G:G,1,0),"Balance")</f>
        <v>3901-038</v>
      </c>
      <c r="AC1577" s="118"/>
      <c r="AD1577" s="159">
        <f>+Table1[[#This Row],[SUBTOTAL]]+Table1[[#This Row],[IVA]]-Table1[[#This Row],[RET IVA]]-Table1[[#This Row],[RET ISR]]-Table1[[#This Row],[TOTAL]]</f>
        <v>0</v>
      </c>
      <c r="AE1577" s="152"/>
      <c r="AF1577" s="153"/>
      <c r="AG1577" s="126" t="s">
        <v>3420</v>
      </c>
      <c r="AK1577" s="306" t="str">
        <f>IF(ISNUMBER(Table1[[#This Row],[FECHA DE RECIBIDO]]), Table1[[#This Row],[FECHA DE RECIBIDO]]-DATE(2023,8,30), "")</f>
        <v/>
      </c>
    </row>
    <row r="1578" spans="1:37" ht="16.05" customHeight="1">
      <c r="A1578" s="150"/>
      <c r="B1578" s="151"/>
      <c r="C1578" s="126" t="s">
        <v>71</v>
      </c>
      <c r="D1578"/>
      <c r="E1578" s="126"/>
      <c r="F1578" s="122"/>
      <c r="G1578" s="122"/>
      <c r="H1578"/>
      <c r="I1578" s="122"/>
      <c r="J1578" s="307" t="s">
        <v>214</v>
      </c>
      <c r="K1578" s="127" t="s">
        <v>3348</v>
      </c>
      <c r="L1578" s="151" t="s">
        <v>1643</v>
      </c>
      <c r="M1578">
        <v>443</v>
      </c>
      <c r="N1578" s="123"/>
      <c r="O1578">
        <v>750</v>
      </c>
      <c r="P1578" s="131" t="s">
        <v>78</v>
      </c>
      <c r="Q1578" s="131">
        <v>-365098.31</v>
      </c>
      <c r="R1578" s="131"/>
      <c r="S1578" s="131"/>
      <c r="T1578" s="155">
        <v>0</v>
      </c>
      <c r="U1578" s="131"/>
      <c r="V1578" s="131">
        <f>+Table1[[#This Row],[SUBTOTAL]]</f>
        <v>-365098.31</v>
      </c>
      <c r="W1578"/>
      <c r="X1578" s="151"/>
      <c r="Y1578" s="135"/>
      <c r="Z1578" s="307" t="s">
        <v>214</v>
      </c>
      <c r="AB1578" t="str">
        <f>IF(Table1[[#This Row],[TIPO2]]="costo", VLOOKUP(Table1[[#This Row],[PARTIDA PRESUPUESTAL]],'Cost Report'!G:G,1,0),"Balance")</f>
        <v>Balance</v>
      </c>
      <c r="AC1578" s="118"/>
      <c r="AD1578" s="159">
        <f>+Table1[[#This Row],[SUBTOTAL]]+Table1[[#This Row],[IVA]]-Table1[[#This Row],[RET IVA]]-Table1[[#This Row],[RET ISR]]-Table1[[#This Row],[TOTAL]]</f>
        <v>0</v>
      </c>
      <c r="AE1578" s="150"/>
      <c r="AF1578" s="151"/>
      <c r="AG1578" s="126" t="s">
        <v>3420</v>
      </c>
      <c r="AK1578" s="306" t="str">
        <f>IF(ISNUMBER(Table1[[#This Row],[FECHA DE RECIBIDO]]), Table1[[#This Row],[FECHA DE RECIBIDO]]-DATE(2023,8,30), "")</f>
        <v/>
      </c>
    </row>
    <row r="1579" spans="1:37" ht="16.05" customHeight="1">
      <c r="A1579" s="152" t="s">
        <v>3331</v>
      </c>
      <c r="B1579" s="153">
        <v>464</v>
      </c>
      <c r="C1579" s="126" t="s">
        <v>69</v>
      </c>
      <c r="D1579"/>
      <c r="E1579" s="126" t="s">
        <v>1911</v>
      </c>
      <c r="F1579" s="125" t="s">
        <v>1911</v>
      </c>
      <c r="G1579" s="125" t="s">
        <v>1911</v>
      </c>
      <c r="H1579"/>
      <c r="I1579" s="125" t="s">
        <v>1911</v>
      </c>
      <c r="J1579" s="308" t="s">
        <v>214</v>
      </c>
      <c r="K1579" s="127" t="s">
        <v>3418</v>
      </c>
      <c r="L1579" s="153" t="s">
        <v>3306</v>
      </c>
      <c r="M1579">
        <v>329</v>
      </c>
      <c r="N1579" s="123">
        <v>24</v>
      </c>
      <c r="O1579">
        <v>1009</v>
      </c>
      <c r="P1579" s="131" t="s">
        <v>78</v>
      </c>
      <c r="Q1579" s="236">
        <v>50000</v>
      </c>
      <c r="R1579" s="132">
        <v>0</v>
      </c>
      <c r="S1579" s="132"/>
      <c r="T1579" s="156">
        <v>0</v>
      </c>
      <c r="U1579" s="132">
        <v>0</v>
      </c>
      <c r="V1579" s="132">
        <f>Q1579+R1579-T1579-U1579</f>
        <v>50000</v>
      </c>
      <c r="W1579">
        <v>150</v>
      </c>
      <c r="X1579" s="153" t="s">
        <v>105</v>
      </c>
      <c r="Y1579" s="124" t="s">
        <v>55</v>
      </c>
      <c r="Z1579" s="308">
        <v>222</v>
      </c>
      <c r="AB1579" t="str">
        <f>IF(Table1[[#This Row],[TIPO2]]="costo", VLOOKUP(Table1[[#This Row],[PARTIDA PRESUPUESTAL]],'Cost Report'!G:G,1,0),"Balance")</f>
        <v>Balance</v>
      </c>
      <c r="AC1579" s="118"/>
      <c r="AD1579" s="159">
        <f>+Table1[[#This Row],[SUBTOTAL]]+Table1[[#This Row],[IVA]]-Table1[[#This Row],[RET IVA]]-Table1[[#This Row],[RET ISR]]-Table1[[#This Row],[TOTAL]]</f>
        <v>0</v>
      </c>
      <c r="AE1579" s="152"/>
      <c r="AF1579" s="153"/>
      <c r="AG1579" s="126"/>
      <c r="AK1579" s="306" t="str">
        <f>IF(ISNUMBER(Table1[[#This Row],[FECHA DE RECIBIDO]]), Table1[[#This Row],[FECHA DE RECIBIDO]]-DATE(2023,8,30), "")</f>
        <v/>
      </c>
    </row>
    <row r="1580" spans="1:37" ht="16.05" customHeight="1">
      <c r="A1580" s="150" t="s">
        <v>3422</v>
      </c>
      <c r="B1580" s="151">
        <v>1000</v>
      </c>
      <c r="C1580" s="126" t="s">
        <v>3097</v>
      </c>
      <c r="D1580">
        <v>1025</v>
      </c>
      <c r="E1580" s="126" t="s">
        <v>1577</v>
      </c>
      <c r="F1580" s="122" t="s">
        <v>1911</v>
      </c>
      <c r="G1580" s="122" t="s">
        <v>3423</v>
      </c>
      <c r="H1580">
        <v>0</v>
      </c>
      <c r="I1580" s="122" t="s">
        <v>1546</v>
      </c>
      <c r="J1580" s="307">
        <v>222.64539351852</v>
      </c>
      <c r="K1580" s="127" t="s">
        <v>3418</v>
      </c>
      <c r="L1580" s="151" t="s">
        <v>3688</v>
      </c>
      <c r="M1580">
        <v>61</v>
      </c>
      <c r="N1580" s="123"/>
      <c r="O1580">
        <v>1010</v>
      </c>
      <c r="P1580" s="132" t="s">
        <v>77</v>
      </c>
      <c r="Q1580" s="131">
        <v>2910893.45</v>
      </c>
      <c r="R1580" s="131">
        <v>0</v>
      </c>
      <c r="S1580" s="131"/>
      <c r="T1580" s="155"/>
      <c r="U1580" s="131"/>
      <c r="V1580" s="131">
        <f t="shared" ref="V1580:V1604" si="37">Q1580+R1580-T1580-U1580</f>
        <v>2910893.45</v>
      </c>
      <c r="W1580">
        <v>34</v>
      </c>
      <c r="X1580" s="151" t="s">
        <v>105</v>
      </c>
      <c r="Y1580" s="135" t="s">
        <v>55</v>
      </c>
      <c r="Z1580" s="307">
        <v>222</v>
      </c>
      <c r="AB1580" t="str">
        <f>IF(Table1[[#This Row],[TIPO2]]="costo", VLOOKUP(Table1[[#This Row],[PARTIDA PRESUPUESTAL]],'Cost Report'!G:G,1,0),"Balance")</f>
        <v>7003-004</v>
      </c>
      <c r="AC1580" s="118"/>
      <c r="AD1580" s="159">
        <f>+Table1[[#This Row],[SUBTOTAL]]+Table1[[#This Row],[IVA]]-Table1[[#This Row],[RET IVA]]-Table1[[#This Row],[RET ISR]]-Table1[[#This Row],[TOTAL]]</f>
        <v>0</v>
      </c>
      <c r="AE1580" s="150"/>
      <c r="AF1580" s="151"/>
      <c r="AG1580" s="126"/>
      <c r="AK1580" s="306">
        <f>IF(ISNUMBER(Table1[[#This Row],[FECHA DE RECIBIDO]]), Table1[[#This Row],[FECHA DE RECIBIDO]]-DATE(2023,8,30), "")</f>
        <v>-44945.35460648148</v>
      </c>
    </row>
    <row r="1581" spans="1:37" ht="16.05" customHeight="1">
      <c r="A1581" s="152" t="s">
        <v>3424</v>
      </c>
      <c r="B1581" s="153">
        <v>499</v>
      </c>
      <c r="C1581" s="126" t="s">
        <v>2566</v>
      </c>
      <c r="D1581">
        <v>1026</v>
      </c>
      <c r="E1581" s="126" t="s">
        <v>3636</v>
      </c>
      <c r="F1581" s="125" t="s">
        <v>1589</v>
      </c>
      <c r="G1581" s="125" t="s">
        <v>129</v>
      </c>
      <c r="H1581">
        <v>331</v>
      </c>
      <c r="I1581" s="125" t="s">
        <v>1546</v>
      </c>
      <c r="J1581" s="308" t="s">
        <v>214</v>
      </c>
      <c r="K1581" s="127" t="s">
        <v>3418</v>
      </c>
      <c r="L1581" s="153" t="s">
        <v>118</v>
      </c>
      <c r="M1581">
        <v>444</v>
      </c>
      <c r="N1581" s="123">
        <v>51</v>
      </c>
      <c r="O1581">
        <v>1011</v>
      </c>
      <c r="P1581" s="132" t="s">
        <v>77</v>
      </c>
      <c r="Q1581" s="132">
        <v>5500</v>
      </c>
      <c r="R1581" s="132">
        <v>880</v>
      </c>
      <c r="S1581" s="132"/>
      <c r="T1581" s="156">
        <v>586.66999999999996</v>
      </c>
      <c r="U1581" s="132">
        <v>550</v>
      </c>
      <c r="V1581" s="132">
        <f t="shared" si="37"/>
        <v>5243.33</v>
      </c>
      <c r="W1581">
        <v>168</v>
      </c>
      <c r="X1581" s="153" t="s">
        <v>105</v>
      </c>
      <c r="Y1581" s="124" t="s">
        <v>55</v>
      </c>
      <c r="Z1581" s="308">
        <v>222</v>
      </c>
      <c r="AB1581" t="str">
        <f>IF(Table1[[#This Row],[TIPO2]]="costo", VLOOKUP(Table1[[#This Row],[PARTIDA PRESUPUESTAL]],'Cost Report'!G:G,1,0),"Balance")</f>
        <v>2594-003</v>
      </c>
      <c r="AC1581" s="118"/>
      <c r="AD1581" s="159">
        <f>+Table1[[#This Row],[SUBTOTAL]]+Table1[[#This Row],[IVA]]-Table1[[#This Row],[RET IVA]]-Table1[[#This Row],[RET ISR]]-Table1[[#This Row],[TOTAL]]</f>
        <v>0</v>
      </c>
      <c r="AE1581" s="152"/>
      <c r="AF1581" s="153"/>
      <c r="AG1581" s="126"/>
      <c r="AK1581" s="306" t="str">
        <f>IF(ISNUMBER(Table1[[#This Row],[FECHA DE RECIBIDO]]), Table1[[#This Row],[FECHA DE RECIBIDO]]-DATE(2023,8,30), "")</f>
        <v/>
      </c>
    </row>
    <row r="1582" spans="1:37" ht="16.05" customHeight="1">
      <c r="A1582" s="150"/>
      <c r="B1582" s="151">
        <v>500</v>
      </c>
      <c r="C1582" s="126" t="s">
        <v>2544</v>
      </c>
      <c r="D1582">
        <v>1027</v>
      </c>
      <c r="E1582" s="126" t="s">
        <v>3636</v>
      </c>
      <c r="F1582" s="122" t="s">
        <v>1589</v>
      </c>
      <c r="G1582" s="122" t="s">
        <v>129</v>
      </c>
      <c r="H1582">
        <v>331</v>
      </c>
      <c r="I1582" s="122" t="s">
        <v>1546</v>
      </c>
      <c r="J1582" s="307" t="s">
        <v>214</v>
      </c>
      <c r="K1582" s="127" t="s">
        <v>3418</v>
      </c>
      <c r="L1582" s="151" t="s">
        <v>118</v>
      </c>
      <c r="M1582">
        <v>444</v>
      </c>
      <c r="N1582" s="123">
        <v>51</v>
      </c>
      <c r="O1582">
        <v>1012</v>
      </c>
      <c r="P1582" s="132" t="s">
        <v>77</v>
      </c>
      <c r="Q1582" s="131">
        <v>279660</v>
      </c>
      <c r="R1582" s="131">
        <v>44745.599999999999</v>
      </c>
      <c r="S1582" s="131"/>
      <c r="T1582" s="155">
        <v>29830.49</v>
      </c>
      <c r="U1582" s="131">
        <v>27966</v>
      </c>
      <c r="V1582" s="131">
        <f t="shared" si="37"/>
        <v>266609.11</v>
      </c>
      <c r="W1582">
        <v>168</v>
      </c>
      <c r="X1582" s="151" t="s">
        <v>105</v>
      </c>
      <c r="Y1582" s="135" t="s">
        <v>55</v>
      </c>
      <c r="Z1582" s="307">
        <v>222</v>
      </c>
      <c r="AB1582" t="str">
        <f>IF(Table1[[#This Row],[TIPO2]]="costo", VLOOKUP(Table1[[#This Row],[PARTIDA PRESUPUESTAL]],'Cost Report'!G:G,1,0),"Balance")</f>
        <v>2494-067</v>
      </c>
      <c r="AC1582" s="118"/>
      <c r="AD1582" s="159">
        <f>+Table1[[#This Row],[SUBTOTAL]]+Table1[[#This Row],[IVA]]-Table1[[#This Row],[RET IVA]]-Table1[[#This Row],[RET ISR]]-Table1[[#This Row],[TOTAL]]</f>
        <v>0</v>
      </c>
      <c r="AE1582" s="150"/>
      <c r="AF1582" s="151"/>
      <c r="AG1582" s="126"/>
      <c r="AK1582" s="306" t="str">
        <f>IF(ISNUMBER(Table1[[#This Row],[FECHA DE RECIBIDO]]), Table1[[#This Row],[FECHA DE RECIBIDO]]-DATE(2023,8,30), "")</f>
        <v/>
      </c>
    </row>
    <row r="1583" spans="1:37" ht="16.05" customHeight="1">
      <c r="A1583" s="152" t="s">
        <v>3425</v>
      </c>
      <c r="B1583" s="153">
        <v>501</v>
      </c>
      <c r="C1583" s="126" t="s">
        <v>2480</v>
      </c>
      <c r="D1583">
        <v>1028</v>
      </c>
      <c r="E1583" s="126" t="s">
        <v>3232</v>
      </c>
      <c r="F1583" s="125" t="s">
        <v>1589</v>
      </c>
      <c r="G1583" s="125" t="s">
        <v>129</v>
      </c>
      <c r="H1583">
        <v>211</v>
      </c>
      <c r="I1583" s="125" t="s">
        <v>1546</v>
      </c>
      <c r="J1583" s="308" t="s">
        <v>214</v>
      </c>
      <c r="K1583" s="127" t="s">
        <v>3418</v>
      </c>
      <c r="L1583" s="153" t="s">
        <v>118</v>
      </c>
      <c r="M1583">
        <v>275</v>
      </c>
      <c r="N1583" s="123">
        <v>51</v>
      </c>
      <c r="O1583">
        <v>1013</v>
      </c>
      <c r="P1583" s="132" t="s">
        <v>77</v>
      </c>
      <c r="Q1583" s="132">
        <v>18000</v>
      </c>
      <c r="R1583" s="132">
        <v>2880</v>
      </c>
      <c r="S1583" s="132"/>
      <c r="T1583" s="156">
        <v>0</v>
      </c>
      <c r="U1583" s="132">
        <v>0</v>
      </c>
      <c r="V1583" s="132">
        <f t="shared" si="37"/>
        <v>20880</v>
      </c>
      <c r="W1583">
        <v>131</v>
      </c>
      <c r="X1583" s="153" t="s">
        <v>2035</v>
      </c>
      <c r="Y1583" s="124" t="s">
        <v>55</v>
      </c>
      <c r="Z1583" s="308">
        <v>222</v>
      </c>
      <c r="AB1583" t="str">
        <f>IF(Table1[[#This Row],[TIPO2]]="costo", VLOOKUP(Table1[[#This Row],[PARTIDA PRESUPUESTAL]],'Cost Report'!G:G,1,0),"Balance")</f>
        <v>2394-033</v>
      </c>
      <c r="AC1583" s="118"/>
      <c r="AD1583" s="159">
        <f>+Table1[[#This Row],[SUBTOTAL]]+Table1[[#This Row],[IVA]]-Table1[[#This Row],[RET IVA]]-Table1[[#This Row],[RET ISR]]-Table1[[#This Row],[TOTAL]]</f>
        <v>0</v>
      </c>
      <c r="AE1583" s="152"/>
      <c r="AF1583" s="153"/>
      <c r="AG1583" s="126"/>
      <c r="AK1583" s="306" t="str">
        <f>IF(ISNUMBER(Table1[[#This Row],[FECHA DE RECIBIDO]]), Table1[[#This Row],[FECHA DE RECIBIDO]]-DATE(2023,8,30), "")</f>
        <v/>
      </c>
    </row>
    <row r="1584" spans="1:37" ht="16.05" customHeight="1">
      <c r="A1584" s="150"/>
      <c r="B1584" s="151">
        <v>502</v>
      </c>
      <c r="C1584" s="126" t="s">
        <v>2544</v>
      </c>
      <c r="D1584">
        <v>1029</v>
      </c>
      <c r="E1584" s="126" t="s">
        <v>3235</v>
      </c>
      <c r="F1584" s="122" t="s">
        <v>1589</v>
      </c>
      <c r="G1584" s="122" t="s">
        <v>129</v>
      </c>
      <c r="H1584">
        <v>212</v>
      </c>
      <c r="I1584" s="122" t="s">
        <v>1546</v>
      </c>
      <c r="J1584" s="307" t="s">
        <v>214</v>
      </c>
      <c r="K1584" s="127" t="s">
        <v>3418</v>
      </c>
      <c r="L1584" s="151" t="s">
        <v>118</v>
      </c>
      <c r="M1584">
        <v>277</v>
      </c>
      <c r="N1584" s="123">
        <v>51</v>
      </c>
      <c r="O1584">
        <v>1014</v>
      </c>
      <c r="P1584" s="132" t="s">
        <v>77</v>
      </c>
      <c r="Q1584" s="131">
        <v>11.13</v>
      </c>
      <c r="R1584" s="131">
        <v>1.78</v>
      </c>
      <c r="S1584" s="131"/>
      <c r="T1584" s="155">
        <v>0</v>
      </c>
      <c r="U1584" s="131">
        <v>0</v>
      </c>
      <c r="V1584" s="131">
        <f t="shared" si="37"/>
        <v>12.91</v>
      </c>
      <c r="W1584">
        <v>133</v>
      </c>
      <c r="X1584" s="151" t="s">
        <v>2035</v>
      </c>
      <c r="Y1584" s="135" t="s">
        <v>55</v>
      </c>
      <c r="Z1584" s="307">
        <v>223</v>
      </c>
      <c r="AB1584" t="str">
        <f>IF(Table1[[#This Row],[TIPO2]]="costo", VLOOKUP(Table1[[#This Row],[PARTIDA PRESUPUESTAL]],'Cost Report'!G:G,1,0),"Balance")</f>
        <v>2494-067</v>
      </c>
      <c r="AC1584" s="118"/>
      <c r="AD1584" s="159">
        <f>+Table1[[#This Row],[SUBTOTAL]]+Table1[[#This Row],[IVA]]-Table1[[#This Row],[RET IVA]]-Table1[[#This Row],[RET ISR]]-Table1[[#This Row],[TOTAL]]</f>
        <v>0</v>
      </c>
      <c r="AE1584" s="150"/>
      <c r="AF1584" s="151"/>
      <c r="AG1584" s="126"/>
      <c r="AK1584" s="306" t="str">
        <f>IF(ISNUMBER(Table1[[#This Row],[FECHA DE RECIBIDO]]), Table1[[#This Row],[FECHA DE RECIBIDO]]-DATE(2023,8,30), "")</f>
        <v/>
      </c>
    </row>
    <row r="1585" spans="1:37" ht="16.05" customHeight="1">
      <c r="A1585" s="152"/>
      <c r="B1585" s="153">
        <v>503</v>
      </c>
      <c r="C1585" s="126" t="s">
        <v>1732</v>
      </c>
      <c r="D1585">
        <v>1030</v>
      </c>
      <c r="E1585" s="126" t="s">
        <v>3235</v>
      </c>
      <c r="F1585" s="125" t="s">
        <v>1589</v>
      </c>
      <c r="G1585" s="125" t="s">
        <v>129</v>
      </c>
      <c r="H1585">
        <v>212</v>
      </c>
      <c r="I1585" s="125" t="s">
        <v>1546</v>
      </c>
      <c r="J1585" s="308" t="s">
        <v>214</v>
      </c>
      <c r="K1585" s="127" t="s">
        <v>3418</v>
      </c>
      <c r="L1585" s="153" t="s">
        <v>118</v>
      </c>
      <c r="M1585">
        <v>277</v>
      </c>
      <c r="N1585" s="123">
        <v>51</v>
      </c>
      <c r="O1585">
        <v>1015</v>
      </c>
      <c r="P1585" s="132" t="s">
        <v>77</v>
      </c>
      <c r="Q1585" s="132">
        <v>176.97</v>
      </c>
      <c r="R1585" s="132">
        <v>28.3</v>
      </c>
      <c r="S1585" s="132"/>
      <c r="T1585" s="156">
        <v>0</v>
      </c>
      <c r="U1585" s="132">
        <v>0</v>
      </c>
      <c r="V1585" s="132">
        <f t="shared" si="37"/>
        <v>205.27</v>
      </c>
      <c r="W1585">
        <v>133</v>
      </c>
      <c r="X1585" s="153" t="s">
        <v>2035</v>
      </c>
      <c r="Y1585" s="124" t="s">
        <v>55</v>
      </c>
      <c r="Z1585" s="308">
        <v>223</v>
      </c>
      <c r="AB1585" t="str">
        <f>IF(Table1[[#This Row],[TIPO2]]="costo", VLOOKUP(Table1[[#This Row],[PARTIDA PRESUPUESTAL]],'Cost Report'!G:G,1,0),"Balance")</f>
        <v>2494-035</v>
      </c>
      <c r="AC1585" s="118" t="s">
        <v>3799</v>
      </c>
      <c r="AD1585" s="159">
        <f>+Table1[[#This Row],[SUBTOTAL]]+Table1[[#This Row],[IVA]]-Table1[[#This Row],[RET IVA]]-Table1[[#This Row],[RET ISR]]-Table1[[#This Row],[TOTAL]]</f>
        <v>0</v>
      </c>
      <c r="AE1585" s="152"/>
      <c r="AF1585" s="153"/>
      <c r="AG1585" s="126"/>
      <c r="AK1585" s="306" t="str">
        <f>IF(ISNUMBER(Table1[[#This Row],[FECHA DE RECIBIDO]]), Table1[[#This Row],[FECHA DE RECIBIDO]]-DATE(2023,8,30), "")</f>
        <v/>
      </c>
    </row>
    <row r="1586" spans="1:37" ht="16.05" customHeight="1">
      <c r="A1586" s="150"/>
      <c r="B1586" s="151">
        <v>504</v>
      </c>
      <c r="C1586" s="126" t="s">
        <v>1513</v>
      </c>
      <c r="D1586">
        <v>1031</v>
      </c>
      <c r="E1586" s="126" t="s">
        <v>3235</v>
      </c>
      <c r="F1586" s="122" t="s">
        <v>1589</v>
      </c>
      <c r="G1586" s="122" t="s">
        <v>129</v>
      </c>
      <c r="H1586">
        <v>212</v>
      </c>
      <c r="I1586" s="122" t="s">
        <v>1546</v>
      </c>
      <c r="J1586" s="307" t="s">
        <v>214</v>
      </c>
      <c r="K1586" s="127" t="s">
        <v>3418</v>
      </c>
      <c r="L1586" s="151" t="s">
        <v>118</v>
      </c>
      <c r="M1586">
        <v>277</v>
      </c>
      <c r="N1586" s="123">
        <v>51</v>
      </c>
      <c r="O1586">
        <v>641</v>
      </c>
      <c r="P1586" s="132" t="s">
        <v>77</v>
      </c>
      <c r="Q1586" s="131">
        <v>270.22000000000003</v>
      </c>
      <c r="R1586" s="131">
        <v>43.24</v>
      </c>
      <c r="S1586" s="131"/>
      <c r="T1586" s="155">
        <v>0</v>
      </c>
      <c r="U1586" s="131">
        <v>0</v>
      </c>
      <c r="V1586" s="131">
        <f t="shared" si="37"/>
        <v>313.46000000000004</v>
      </c>
      <c r="W1586">
        <v>133</v>
      </c>
      <c r="X1586" s="151" t="s">
        <v>2035</v>
      </c>
      <c r="Y1586" s="135" t="s">
        <v>55</v>
      </c>
      <c r="Z1586" s="307">
        <v>223</v>
      </c>
      <c r="AB1586" t="str">
        <f>IF(Table1[[#This Row],[TIPO2]]="costo", VLOOKUP(Table1[[#This Row],[PARTIDA PRESUPUESTAL]],'Cost Report'!G:G,1,0),"Balance")</f>
        <v>2494-019</v>
      </c>
      <c r="AC1586" s="118"/>
      <c r="AD1586" s="159">
        <f>+Table1[[#This Row],[SUBTOTAL]]+Table1[[#This Row],[IVA]]-Table1[[#This Row],[RET IVA]]-Table1[[#This Row],[RET ISR]]-Table1[[#This Row],[TOTAL]]</f>
        <v>0</v>
      </c>
      <c r="AE1586" s="150"/>
      <c r="AF1586" s="151"/>
      <c r="AG1586" s="126"/>
      <c r="AK1586" s="306" t="str">
        <f>IF(ISNUMBER(Table1[[#This Row],[FECHA DE RECIBIDO]]), Table1[[#This Row],[FECHA DE RECIBIDO]]-DATE(2023,8,30), "")</f>
        <v/>
      </c>
    </row>
    <row r="1587" spans="1:37" ht="16.05" customHeight="1">
      <c r="A1587" s="152"/>
      <c r="B1587" s="153">
        <v>505</v>
      </c>
      <c r="C1587" s="126" t="s">
        <v>2566</v>
      </c>
      <c r="D1587">
        <v>1032</v>
      </c>
      <c r="E1587" s="126" t="s">
        <v>3235</v>
      </c>
      <c r="F1587" s="125" t="s">
        <v>1589</v>
      </c>
      <c r="G1587" s="125" t="s">
        <v>129</v>
      </c>
      <c r="H1587">
        <v>212</v>
      </c>
      <c r="I1587" s="125" t="s">
        <v>1546</v>
      </c>
      <c r="J1587" s="308" t="s">
        <v>214</v>
      </c>
      <c r="K1587" s="127" t="s">
        <v>3418</v>
      </c>
      <c r="L1587" s="153" t="s">
        <v>118</v>
      </c>
      <c r="M1587">
        <v>277</v>
      </c>
      <c r="N1587" s="123">
        <v>51</v>
      </c>
      <c r="O1587">
        <v>1016</v>
      </c>
      <c r="P1587" s="132" t="s">
        <v>77</v>
      </c>
      <c r="Q1587" s="132">
        <v>440.17</v>
      </c>
      <c r="R1587" s="132">
        <v>70.42</v>
      </c>
      <c r="S1587" s="132"/>
      <c r="T1587" s="156">
        <v>0</v>
      </c>
      <c r="U1587" s="132">
        <v>0</v>
      </c>
      <c r="V1587" s="132">
        <f t="shared" si="37"/>
        <v>510.59000000000003</v>
      </c>
      <c r="W1587">
        <v>133</v>
      </c>
      <c r="X1587" s="153" t="s">
        <v>2035</v>
      </c>
      <c r="Y1587" s="124" t="s">
        <v>55</v>
      </c>
      <c r="Z1587" s="308">
        <v>223</v>
      </c>
      <c r="AB1587" t="str">
        <f>IF(Table1[[#This Row],[TIPO2]]="costo", VLOOKUP(Table1[[#This Row],[PARTIDA PRESUPUESTAL]],'Cost Report'!G:G,1,0),"Balance")</f>
        <v>2594-003</v>
      </c>
      <c r="AC1587" s="118"/>
      <c r="AD1587" s="159">
        <f>+Table1[[#This Row],[SUBTOTAL]]+Table1[[#This Row],[IVA]]-Table1[[#This Row],[RET IVA]]-Table1[[#This Row],[RET ISR]]-Table1[[#This Row],[TOTAL]]</f>
        <v>0</v>
      </c>
      <c r="AE1587" s="152"/>
      <c r="AF1587" s="153"/>
      <c r="AG1587" s="126"/>
      <c r="AK1587" s="306" t="str">
        <f>IF(ISNUMBER(Table1[[#This Row],[FECHA DE RECIBIDO]]), Table1[[#This Row],[FECHA DE RECIBIDO]]-DATE(2023,8,30), "")</f>
        <v/>
      </c>
    </row>
    <row r="1588" spans="1:37" ht="16.05" customHeight="1">
      <c r="A1588" s="150"/>
      <c r="B1588" s="151">
        <v>506</v>
      </c>
      <c r="C1588" s="126" t="s">
        <v>2544</v>
      </c>
      <c r="D1588">
        <v>1033</v>
      </c>
      <c r="E1588" s="126" t="s">
        <v>3283</v>
      </c>
      <c r="F1588" s="122" t="s">
        <v>1593</v>
      </c>
      <c r="G1588" s="122" t="s">
        <v>109</v>
      </c>
      <c r="H1588">
        <v>332</v>
      </c>
      <c r="I1588" s="122" t="s">
        <v>1546</v>
      </c>
      <c r="J1588" s="307" t="s">
        <v>214</v>
      </c>
      <c r="K1588" s="127" t="s">
        <v>3418</v>
      </c>
      <c r="L1588" s="151" t="s">
        <v>118</v>
      </c>
      <c r="M1588">
        <v>445</v>
      </c>
      <c r="N1588" s="123">
        <v>51</v>
      </c>
      <c r="O1588">
        <v>1017</v>
      </c>
      <c r="P1588" s="132" t="s">
        <v>77</v>
      </c>
      <c r="Q1588" s="131">
        <v>11900</v>
      </c>
      <c r="R1588" s="131">
        <v>1904</v>
      </c>
      <c r="S1588" s="131"/>
      <c r="T1588" s="155">
        <v>1269.3399999999999</v>
      </c>
      <c r="U1588" s="131">
        <v>148.75</v>
      </c>
      <c r="V1588" s="131">
        <f t="shared" si="37"/>
        <v>12385.91</v>
      </c>
      <c r="W1588">
        <v>169</v>
      </c>
      <c r="X1588" s="151" t="s">
        <v>105</v>
      </c>
      <c r="Y1588" s="135" t="s">
        <v>55</v>
      </c>
      <c r="Z1588" s="307">
        <v>223</v>
      </c>
      <c r="AB1588" t="str">
        <f>IF(Table1[[#This Row],[TIPO2]]="costo", VLOOKUP(Table1[[#This Row],[PARTIDA PRESUPUESTAL]],'Cost Report'!G:G,1,0),"Balance")</f>
        <v>2494-067</v>
      </c>
      <c r="AC1588" s="118"/>
      <c r="AD1588" s="159">
        <f>+Table1[[#This Row],[SUBTOTAL]]+Table1[[#This Row],[IVA]]-Table1[[#This Row],[RET IVA]]-Table1[[#This Row],[RET ISR]]-Table1[[#This Row],[TOTAL]]</f>
        <v>0</v>
      </c>
      <c r="AE1588" s="150"/>
      <c r="AF1588" s="151"/>
      <c r="AG1588" s="126"/>
      <c r="AK1588" s="306" t="str">
        <f>IF(ISNUMBER(Table1[[#This Row],[FECHA DE RECIBIDO]]), Table1[[#This Row],[FECHA DE RECIBIDO]]-DATE(2023,8,30), "")</f>
        <v/>
      </c>
    </row>
    <row r="1589" spans="1:37" ht="16.05" customHeight="1">
      <c r="A1589" s="152" t="s">
        <v>3426</v>
      </c>
      <c r="B1589" s="153">
        <v>507</v>
      </c>
      <c r="C1589" s="126" t="s">
        <v>69</v>
      </c>
      <c r="D1589"/>
      <c r="E1589" s="126" t="s">
        <v>1911</v>
      </c>
      <c r="F1589" s="125" t="s">
        <v>1911</v>
      </c>
      <c r="G1589" s="125" t="s">
        <v>1911</v>
      </c>
      <c r="H1589"/>
      <c r="I1589" s="125" t="s">
        <v>1911</v>
      </c>
      <c r="J1589" s="308" t="s">
        <v>214</v>
      </c>
      <c r="K1589" s="127" t="s">
        <v>3418</v>
      </c>
      <c r="L1589" s="153" t="s">
        <v>118</v>
      </c>
      <c r="M1589">
        <v>446</v>
      </c>
      <c r="N1589" s="123">
        <v>51</v>
      </c>
      <c r="O1589">
        <v>1018</v>
      </c>
      <c r="P1589" s="131" t="s">
        <v>78</v>
      </c>
      <c r="Q1589" s="236">
        <v>32950</v>
      </c>
      <c r="R1589" s="132">
        <v>0</v>
      </c>
      <c r="S1589" s="132"/>
      <c r="T1589" s="156">
        <v>0</v>
      </c>
      <c r="U1589" s="132">
        <v>0</v>
      </c>
      <c r="V1589" s="132">
        <f t="shared" si="37"/>
        <v>32950</v>
      </c>
      <c r="W1589">
        <v>170</v>
      </c>
      <c r="X1589" s="153" t="s">
        <v>3120</v>
      </c>
      <c r="Y1589" s="124" t="s">
        <v>55</v>
      </c>
      <c r="Z1589" s="308">
        <v>223</v>
      </c>
      <c r="AB1589" t="str">
        <f>IF(Table1[[#This Row],[TIPO2]]="costo", VLOOKUP(Table1[[#This Row],[PARTIDA PRESUPUESTAL]],'Cost Report'!G:G,1,0),"Balance")</f>
        <v>Balance</v>
      </c>
      <c r="AC1589" s="118"/>
      <c r="AD1589" s="159">
        <f>+Table1[[#This Row],[SUBTOTAL]]+Table1[[#This Row],[IVA]]-Table1[[#This Row],[RET IVA]]-Table1[[#This Row],[RET ISR]]-Table1[[#This Row],[TOTAL]]</f>
        <v>0</v>
      </c>
      <c r="AE1589" s="152"/>
      <c r="AF1589" s="153"/>
      <c r="AG1589" s="126"/>
      <c r="AK1589" s="306" t="str">
        <f>IF(ISNUMBER(Table1[[#This Row],[FECHA DE RECIBIDO]]), Table1[[#This Row],[FECHA DE RECIBIDO]]-DATE(2023,8,30), "")</f>
        <v/>
      </c>
    </row>
    <row r="1590" spans="1:37" ht="16.05" customHeight="1">
      <c r="A1590" s="150" t="s">
        <v>3427</v>
      </c>
      <c r="B1590" s="151">
        <v>508</v>
      </c>
      <c r="C1590" s="126" t="s">
        <v>1734</v>
      </c>
      <c r="D1590">
        <v>1034</v>
      </c>
      <c r="E1590" s="126" t="s">
        <v>3636</v>
      </c>
      <c r="F1590" s="122" t="s">
        <v>1607</v>
      </c>
      <c r="G1590" s="122" t="s">
        <v>134</v>
      </c>
      <c r="H1590">
        <v>333</v>
      </c>
      <c r="I1590" s="122" t="s">
        <v>1546</v>
      </c>
      <c r="J1590" s="307" t="s">
        <v>214</v>
      </c>
      <c r="K1590" s="127" t="s">
        <v>3418</v>
      </c>
      <c r="L1590" s="151" t="s">
        <v>3306</v>
      </c>
      <c r="M1590">
        <v>447</v>
      </c>
      <c r="N1590" s="123">
        <v>1</v>
      </c>
      <c r="O1590">
        <v>1019</v>
      </c>
      <c r="P1590" s="132" t="s">
        <v>77</v>
      </c>
      <c r="Q1590" s="131">
        <v>45000</v>
      </c>
      <c r="R1590" s="131">
        <v>7200</v>
      </c>
      <c r="S1590" s="131"/>
      <c r="T1590" s="155"/>
      <c r="U1590" s="131"/>
      <c r="V1590" s="131">
        <f t="shared" si="37"/>
        <v>52200</v>
      </c>
      <c r="W1590">
        <v>171</v>
      </c>
      <c r="X1590" s="151" t="s">
        <v>3683</v>
      </c>
      <c r="Y1590" s="135" t="s">
        <v>55</v>
      </c>
      <c r="Z1590" s="307">
        <v>224</v>
      </c>
      <c r="AB1590" t="str">
        <f>IF(Table1[[#This Row],[TIPO2]]="costo", VLOOKUP(Table1[[#This Row],[PARTIDA PRESUPUESTAL]],'Cost Report'!G:G,1,0),"Balance")</f>
        <v>2602-003</v>
      </c>
      <c r="AC1590" s="118"/>
      <c r="AD1590" s="159">
        <f>+Table1[[#This Row],[SUBTOTAL]]+Table1[[#This Row],[IVA]]-Table1[[#This Row],[RET IVA]]-Table1[[#This Row],[RET ISR]]-Table1[[#This Row],[TOTAL]]</f>
        <v>0</v>
      </c>
      <c r="AE1590" s="150"/>
      <c r="AF1590" s="151"/>
      <c r="AG1590" s="126"/>
      <c r="AK1590" s="306" t="str">
        <f>IF(ISNUMBER(Table1[[#This Row],[FECHA DE RECIBIDO]]), Table1[[#This Row],[FECHA DE RECIBIDO]]-DATE(2023,8,30), "")</f>
        <v/>
      </c>
    </row>
    <row r="1591" spans="1:37" ht="16.05" customHeight="1">
      <c r="A1591" s="152" t="s">
        <v>3427</v>
      </c>
      <c r="B1591" s="153">
        <v>508</v>
      </c>
      <c r="C1591" s="126" t="s">
        <v>1735</v>
      </c>
      <c r="D1591">
        <v>1034</v>
      </c>
      <c r="E1591" s="126" t="s">
        <v>3636</v>
      </c>
      <c r="F1591" s="125" t="s">
        <v>1607</v>
      </c>
      <c r="G1591" s="125" t="s">
        <v>134</v>
      </c>
      <c r="H1591">
        <v>333</v>
      </c>
      <c r="I1591" s="125" t="s">
        <v>1546</v>
      </c>
      <c r="J1591" s="308" t="s">
        <v>214</v>
      </c>
      <c r="K1591" s="127" t="s">
        <v>3418</v>
      </c>
      <c r="L1591" s="153" t="s">
        <v>3306</v>
      </c>
      <c r="M1591">
        <v>447</v>
      </c>
      <c r="N1591" s="123">
        <v>1</v>
      </c>
      <c r="O1591">
        <v>1019</v>
      </c>
      <c r="P1591" s="132" t="s">
        <v>77</v>
      </c>
      <c r="Q1591" s="132">
        <v>36000</v>
      </c>
      <c r="R1591" s="132">
        <v>5760</v>
      </c>
      <c r="S1591" s="132"/>
      <c r="T1591" s="156"/>
      <c r="U1591" s="132"/>
      <c r="V1591" s="132">
        <f t="shared" si="37"/>
        <v>41760</v>
      </c>
      <c r="W1591">
        <v>171</v>
      </c>
      <c r="X1591" s="153" t="s">
        <v>3683</v>
      </c>
      <c r="Y1591" s="124" t="s">
        <v>55</v>
      </c>
      <c r="Z1591" s="308">
        <v>224</v>
      </c>
      <c r="AB1591" t="str">
        <f>IF(Table1[[#This Row],[TIPO2]]="costo", VLOOKUP(Table1[[#This Row],[PARTIDA PRESUPUESTAL]],'Cost Report'!G:G,1,0),"Balance")</f>
        <v>2602-004</v>
      </c>
      <c r="AC1591" s="118"/>
      <c r="AD1591" s="159">
        <f>+Table1[[#This Row],[SUBTOTAL]]+Table1[[#This Row],[IVA]]-Table1[[#This Row],[RET IVA]]-Table1[[#This Row],[RET ISR]]-Table1[[#This Row],[TOTAL]]</f>
        <v>0</v>
      </c>
      <c r="AE1591" s="152"/>
      <c r="AF1591" s="153"/>
      <c r="AG1591" s="126"/>
      <c r="AK1591" s="306" t="str">
        <f>IF(ISNUMBER(Table1[[#This Row],[FECHA DE RECIBIDO]]), Table1[[#This Row],[FECHA DE RECIBIDO]]-DATE(2023,8,30), "")</f>
        <v/>
      </c>
    </row>
    <row r="1592" spans="1:37" ht="16.05" customHeight="1">
      <c r="A1592" s="150" t="s">
        <v>3427</v>
      </c>
      <c r="B1592" s="151">
        <v>508</v>
      </c>
      <c r="C1592" s="126" t="s">
        <v>1736</v>
      </c>
      <c r="D1592">
        <v>1034</v>
      </c>
      <c r="E1592" s="126" t="s">
        <v>3636</v>
      </c>
      <c r="F1592" s="122" t="s">
        <v>1607</v>
      </c>
      <c r="G1592" s="122" t="s">
        <v>134</v>
      </c>
      <c r="H1592">
        <v>333</v>
      </c>
      <c r="I1592" s="122" t="s">
        <v>1546</v>
      </c>
      <c r="J1592" s="307" t="s">
        <v>214</v>
      </c>
      <c r="K1592" s="127" t="s">
        <v>3418</v>
      </c>
      <c r="L1592" s="151" t="s">
        <v>3306</v>
      </c>
      <c r="M1592">
        <v>447</v>
      </c>
      <c r="N1592" s="123">
        <v>1</v>
      </c>
      <c r="O1592">
        <v>1019</v>
      </c>
      <c r="P1592" s="132" t="s">
        <v>77</v>
      </c>
      <c r="Q1592" s="131">
        <v>96000</v>
      </c>
      <c r="R1592" s="131">
        <v>15360</v>
      </c>
      <c r="S1592" s="131"/>
      <c r="T1592" s="155"/>
      <c r="U1592" s="131"/>
      <c r="V1592" s="131">
        <f t="shared" si="37"/>
        <v>111360</v>
      </c>
      <c r="W1592">
        <v>171</v>
      </c>
      <c r="X1592" s="151" t="s">
        <v>3683</v>
      </c>
      <c r="Y1592" s="135" t="s">
        <v>55</v>
      </c>
      <c r="Z1592" s="307">
        <v>224</v>
      </c>
      <c r="AB1592" t="str">
        <f>IF(Table1[[#This Row],[TIPO2]]="costo", VLOOKUP(Table1[[#This Row],[PARTIDA PRESUPUESTAL]],'Cost Report'!G:G,1,0),"Balance")</f>
        <v>2602-005</v>
      </c>
      <c r="AC1592" s="118"/>
      <c r="AD1592" s="159">
        <f>+Table1[[#This Row],[SUBTOTAL]]+Table1[[#This Row],[IVA]]-Table1[[#This Row],[RET IVA]]-Table1[[#This Row],[RET ISR]]-Table1[[#This Row],[TOTAL]]</f>
        <v>0</v>
      </c>
      <c r="AE1592" s="150"/>
      <c r="AF1592" s="151"/>
      <c r="AG1592" s="126"/>
      <c r="AK1592" s="306" t="str">
        <f>IF(ISNUMBER(Table1[[#This Row],[FECHA DE RECIBIDO]]), Table1[[#This Row],[FECHA DE RECIBIDO]]-DATE(2023,8,30), "")</f>
        <v/>
      </c>
    </row>
    <row r="1593" spans="1:37" ht="16.05" customHeight="1">
      <c r="A1593" s="152" t="s">
        <v>3427</v>
      </c>
      <c r="B1593" s="153">
        <v>508</v>
      </c>
      <c r="C1593" s="126" t="s">
        <v>1737</v>
      </c>
      <c r="D1593">
        <v>1034</v>
      </c>
      <c r="E1593" s="126" t="s">
        <v>3636</v>
      </c>
      <c r="F1593" s="125" t="s">
        <v>1607</v>
      </c>
      <c r="G1593" s="125" t="s">
        <v>134</v>
      </c>
      <c r="H1593">
        <v>333</v>
      </c>
      <c r="I1593" s="125" t="s">
        <v>1546</v>
      </c>
      <c r="J1593" s="308" t="s">
        <v>214</v>
      </c>
      <c r="K1593" s="127" t="s">
        <v>3418</v>
      </c>
      <c r="L1593" s="153" t="s">
        <v>3306</v>
      </c>
      <c r="M1593">
        <v>447</v>
      </c>
      <c r="N1593" s="123">
        <v>1</v>
      </c>
      <c r="O1593">
        <v>1019</v>
      </c>
      <c r="P1593" s="132" t="s">
        <v>77</v>
      </c>
      <c r="Q1593" s="132">
        <v>67200</v>
      </c>
      <c r="R1593" s="132">
        <v>10752</v>
      </c>
      <c r="S1593" s="132"/>
      <c r="T1593" s="156"/>
      <c r="U1593" s="132"/>
      <c r="V1593" s="132">
        <f t="shared" si="37"/>
        <v>77952</v>
      </c>
      <c r="W1593">
        <v>171</v>
      </c>
      <c r="X1593" s="153" t="s">
        <v>3683</v>
      </c>
      <c r="Y1593" s="124" t="s">
        <v>55</v>
      </c>
      <c r="Z1593" s="308">
        <v>224</v>
      </c>
      <c r="AB1593" t="str">
        <f>IF(Table1[[#This Row],[TIPO2]]="costo", VLOOKUP(Table1[[#This Row],[PARTIDA PRESUPUESTAL]],'Cost Report'!G:G,1,0),"Balance")</f>
        <v>2602-006</v>
      </c>
      <c r="AC1593" s="118"/>
      <c r="AD1593" s="159">
        <f>+Table1[[#This Row],[SUBTOTAL]]+Table1[[#This Row],[IVA]]-Table1[[#This Row],[RET IVA]]-Table1[[#This Row],[RET ISR]]-Table1[[#This Row],[TOTAL]]</f>
        <v>0</v>
      </c>
      <c r="AE1593" s="152"/>
      <c r="AF1593" s="153"/>
      <c r="AG1593" s="126"/>
      <c r="AK1593" s="306" t="str">
        <f>IF(ISNUMBER(Table1[[#This Row],[FECHA DE RECIBIDO]]), Table1[[#This Row],[FECHA DE RECIBIDO]]-DATE(2023,8,30), "")</f>
        <v/>
      </c>
    </row>
    <row r="1594" spans="1:37" ht="16.05" customHeight="1">
      <c r="A1594" s="150" t="s">
        <v>3427</v>
      </c>
      <c r="B1594" s="151">
        <v>508</v>
      </c>
      <c r="C1594" s="126" t="s">
        <v>1738</v>
      </c>
      <c r="D1594">
        <v>1034</v>
      </c>
      <c r="E1594" s="126" t="s">
        <v>3636</v>
      </c>
      <c r="F1594" s="122" t="s">
        <v>1607</v>
      </c>
      <c r="G1594" s="122" t="s">
        <v>134</v>
      </c>
      <c r="H1594">
        <v>333</v>
      </c>
      <c r="I1594" s="122" t="s">
        <v>1546</v>
      </c>
      <c r="J1594" s="307" t="s">
        <v>214</v>
      </c>
      <c r="K1594" s="127" t="s">
        <v>3418</v>
      </c>
      <c r="L1594" s="151" t="s">
        <v>3306</v>
      </c>
      <c r="M1594">
        <v>447</v>
      </c>
      <c r="N1594" s="123">
        <v>1</v>
      </c>
      <c r="O1594">
        <v>1019</v>
      </c>
      <c r="P1594" s="132" t="s">
        <v>77</v>
      </c>
      <c r="Q1594" s="131">
        <v>24000</v>
      </c>
      <c r="R1594" s="131">
        <v>3840</v>
      </c>
      <c r="S1594" s="131"/>
      <c r="T1594" s="155"/>
      <c r="U1594" s="131"/>
      <c r="V1594" s="131">
        <f t="shared" si="37"/>
        <v>27840</v>
      </c>
      <c r="W1594">
        <v>171</v>
      </c>
      <c r="X1594" s="151" t="s">
        <v>3683</v>
      </c>
      <c r="Y1594" s="135" t="s">
        <v>55</v>
      </c>
      <c r="Z1594" s="307">
        <v>224</v>
      </c>
      <c r="AB1594" t="str">
        <f>IF(Table1[[#This Row],[TIPO2]]="costo", VLOOKUP(Table1[[#This Row],[PARTIDA PRESUPUESTAL]],'Cost Report'!G:G,1,0),"Balance")</f>
        <v>2602-007</v>
      </c>
      <c r="AC1594" s="118"/>
      <c r="AD1594" s="159">
        <f>+Table1[[#This Row],[SUBTOTAL]]+Table1[[#This Row],[IVA]]-Table1[[#This Row],[RET IVA]]-Table1[[#This Row],[RET ISR]]-Table1[[#This Row],[TOTAL]]</f>
        <v>0</v>
      </c>
      <c r="AE1594" s="150"/>
      <c r="AF1594" s="151"/>
      <c r="AG1594" s="126"/>
      <c r="AK1594" s="306" t="str">
        <f>IF(ISNUMBER(Table1[[#This Row],[FECHA DE RECIBIDO]]), Table1[[#This Row],[FECHA DE RECIBIDO]]-DATE(2023,8,30), "")</f>
        <v/>
      </c>
    </row>
    <row r="1595" spans="1:37" ht="16.05" customHeight="1">
      <c r="A1595" s="152" t="s">
        <v>3427</v>
      </c>
      <c r="B1595" s="153">
        <v>508</v>
      </c>
      <c r="C1595" s="126" t="s">
        <v>1739</v>
      </c>
      <c r="D1595">
        <v>1034</v>
      </c>
      <c r="E1595" s="126" t="s">
        <v>3636</v>
      </c>
      <c r="F1595" s="125" t="s">
        <v>1607</v>
      </c>
      <c r="G1595" s="125" t="s">
        <v>134</v>
      </c>
      <c r="H1595">
        <v>333</v>
      </c>
      <c r="I1595" s="125" t="s">
        <v>1546</v>
      </c>
      <c r="J1595" s="308" t="s">
        <v>214</v>
      </c>
      <c r="K1595" s="127" t="s">
        <v>3418</v>
      </c>
      <c r="L1595" s="153" t="s">
        <v>3306</v>
      </c>
      <c r="M1595">
        <v>447</v>
      </c>
      <c r="N1595" s="123">
        <v>1</v>
      </c>
      <c r="O1595">
        <v>1019</v>
      </c>
      <c r="P1595" s="132" t="s">
        <v>77</v>
      </c>
      <c r="Q1595" s="132">
        <v>16000</v>
      </c>
      <c r="R1595" s="132">
        <v>2560</v>
      </c>
      <c r="S1595" s="132"/>
      <c r="T1595" s="156"/>
      <c r="U1595" s="132"/>
      <c r="V1595" s="132">
        <f t="shared" si="37"/>
        <v>18560</v>
      </c>
      <c r="W1595">
        <v>171</v>
      </c>
      <c r="X1595" s="153" t="s">
        <v>3683</v>
      </c>
      <c r="Y1595" s="124" t="s">
        <v>55</v>
      </c>
      <c r="Z1595" s="308">
        <v>224</v>
      </c>
      <c r="AB1595" t="str">
        <f>IF(Table1[[#This Row],[TIPO2]]="costo", VLOOKUP(Table1[[#This Row],[PARTIDA PRESUPUESTAL]],'Cost Report'!G:G,1,0),"Balance")</f>
        <v>2602-008</v>
      </c>
      <c r="AC1595" s="118"/>
      <c r="AD1595" s="159">
        <f>+Table1[[#This Row],[SUBTOTAL]]+Table1[[#This Row],[IVA]]-Table1[[#This Row],[RET IVA]]-Table1[[#This Row],[RET ISR]]-Table1[[#This Row],[TOTAL]]</f>
        <v>0</v>
      </c>
      <c r="AE1595" s="152"/>
      <c r="AF1595" s="153"/>
      <c r="AG1595" s="126"/>
      <c r="AK1595" s="306" t="str">
        <f>IF(ISNUMBER(Table1[[#This Row],[FECHA DE RECIBIDO]]), Table1[[#This Row],[FECHA DE RECIBIDO]]-DATE(2023,8,30), "")</f>
        <v/>
      </c>
    </row>
    <row r="1596" spans="1:37" ht="16.05" customHeight="1">
      <c r="A1596" s="150" t="s">
        <v>3427</v>
      </c>
      <c r="B1596" s="151">
        <v>508</v>
      </c>
      <c r="C1596" s="126" t="s">
        <v>1740</v>
      </c>
      <c r="D1596">
        <v>1034</v>
      </c>
      <c r="E1596" s="126" t="s">
        <v>3636</v>
      </c>
      <c r="F1596" s="122" t="s">
        <v>1607</v>
      </c>
      <c r="G1596" s="122" t="s">
        <v>134</v>
      </c>
      <c r="H1596">
        <v>333</v>
      </c>
      <c r="I1596" s="122" t="s">
        <v>1546</v>
      </c>
      <c r="J1596" s="307" t="s">
        <v>214</v>
      </c>
      <c r="K1596" s="127" t="s">
        <v>3418</v>
      </c>
      <c r="L1596" s="151" t="s">
        <v>3306</v>
      </c>
      <c r="M1596">
        <v>447</v>
      </c>
      <c r="N1596" s="123">
        <v>1</v>
      </c>
      <c r="O1596">
        <v>1019</v>
      </c>
      <c r="P1596" s="132" t="s">
        <v>77</v>
      </c>
      <c r="Q1596" s="131">
        <v>12000</v>
      </c>
      <c r="R1596" s="131">
        <v>1920</v>
      </c>
      <c r="S1596" s="131"/>
      <c r="T1596" s="155"/>
      <c r="U1596" s="131"/>
      <c r="V1596" s="131">
        <f t="shared" si="37"/>
        <v>13920</v>
      </c>
      <c r="W1596">
        <v>171</v>
      </c>
      <c r="X1596" s="151" t="s">
        <v>3683</v>
      </c>
      <c r="Y1596" s="135" t="s">
        <v>55</v>
      </c>
      <c r="Z1596" s="307">
        <v>224</v>
      </c>
      <c r="AB1596" t="str">
        <f>IF(Table1[[#This Row],[TIPO2]]="costo", VLOOKUP(Table1[[#This Row],[PARTIDA PRESUPUESTAL]],'Cost Report'!G:G,1,0),"Balance")</f>
        <v>2602-009</v>
      </c>
      <c r="AC1596" s="118"/>
      <c r="AD1596" s="159">
        <f>+Table1[[#This Row],[SUBTOTAL]]+Table1[[#This Row],[IVA]]-Table1[[#This Row],[RET IVA]]-Table1[[#This Row],[RET ISR]]-Table1[[#This Row],[TOTAL]]</f>
        <v>0</v>
      </c>
      <c r="AE1596" s="150"/>
      <c r="AF1596" s="151"/>
      <c r="AG1596" s="126"/>
      <c r="AK1596" s="306" t="str">
        <f>IF(ISNUMBER(Table1[[#This Row],[FECHA DE RECIBIDO]]), Table1[[#This Row],[FECHA DE RECIBIDO]]-DATE(2023,8,30), "")</f>
        <v/>
      </c>
    </row>
    <row r="1597" spans="1:37" ht="16.05" customHeight="1">
      <c r="A1597" s="152" t="s">
        <v>3427</v>
      </c>
      <c r="B1597" s="153">
        <v>508</v>
      </c>
      <c r="C1597" s="126" t="s">
        <v>1741</v>
      </c>
      <c r="D1597">
        <v>1034</v>
      </c>
      <c r="E1597" s="126" t="s">
        <v>3636</v>
      </c>
      <c r="F1597" s="125" t="s">
        <v>1607</v>
      </c>
      <c r="G1597" s="125" t="s">
        <v>134</v>
      </c>
      <c r="H1597">
        <v>333</v>
      </c>
      <c r="I1597" s="125" t="s">
        <v>1546</v>
      </c>
      <c r="J1597" s="308" t="s">
        <v>214</v>
      </c>
      <c r="K1597" s="127" t="s">
        <v>3418</v>
      </c>
      <c r="L1597" s="153" t="s">
        <v>3306</v>
      </c>
      <c r="M1597">
        <v>447</v>
      </c>
      <c r="N1597" s="123">
        <v>1</v>
      </c>
      <c r="O1597">
        <v>1019</v>
      </c>
      <c r="P1597" s="132" t="s">
        <v>77</v>
      </c>
      <c r="Q1597" s="132">
        <v>9500</v>
      </c>
      <c r="R1597" s="132">
        <v>1520</v>
      </c>
      <c r="S1597" s="132"/>
      <c r="T1597" s="156"/>
      <c r="U1597" s="132"/>
      <c r="V1597" s="132">
        <f t="shared" si="37"/>
        <v>11020</v>
      </c>
      <c r="W1597">
        <v>171</v>
      </c>
      <c r="X1597" s="153" t="s">
        <v>3683</v>
      </c>
      <c r="Y1597" s="124" t="s">
        <v>55</v>
      </c>
      <c r="Z1597" s="308">
        <v>224</v>
      </c>
      <c r="AB1597" t="str">
        <f>IF(Table1[[#This Row],[TIPO2]]="costo", VLOOKUP(Table1[[#This Row],[PARTIDA PRESUPUESTAL]],'Cost Report'!G:G,1,0),"Balance")</f>
        <v>2602-010</v>
      </c>
      <c r="AC1597" s="118"/>
      <c r="AD1597" s="159">
        <f>+Table1[[#This Row],[SUBTOTAL]]+Table1[[#This Row],[IVA]]-Table1[[#This Row],[RET IVA]]-Table1[[#This Row],[RET ISR]]-Table1[[#This Row],[TOTAL]]</f>
        <v>0</v>
      </c>
      <c r="AE1597" s="152"/>
      <c r="AF1597" s="153"/>
      <c r="AG1597" s="126"/>
      <c r="AK1597" s="306" t="str">
        <f>IF(ISNUMBER(Table1[[#This Row],[FECHA DE RECIBIDO]]), Table1[[#This Row],[FECHA DE RECIBIDO]]-DATE(2023,8,30), "")</f>
        <v/>
      </c>
    </row>
    <row r="1598" spans="1:37" ht="16.05" customHeight="1">
      <c r="A1598" s="150" t="s">
        <v>3427</v>
      </c>
      <c r="B1598" s="151">
        <v>508</v>
      </c>
      <c r="C1598" s="126" t="s">
        <v>1742</v>
      </c>
      <c r="D1598">
        <v>1034</v>
      </c>
      <c r="E1598" s="126" t="s">
        <v>3636</v>
      </c>
      <c r="F1598" s="122" t="s">
        <v>1607</v>
      </c>
      <c r="G1598" s="122" t="s">
        <v>134</v>
      </c>
      <c r="H1598">
        <v>333</v>
      </c>
      <c r="I1598" s="122" t="s">
        <v>1546</v>
      </c>
      <c r="J1598" s="307" t="s">
        <v>214</v>
      </c>
      <c r="K1598" s="127" t="s">
        <v>3418</v>
      </c>
      <c r="L1598" s="151" t="s">
        <v>3306</v>
      </c>
      <c r="M1598">
        <v>447</v>
      </c>
      <c r="N1598" s="123">
        <v>1</v>
      </c>
      <c r="O1598">
        <v>1019</v>
      </c>
      <c r="P1598" s="132" t="s">
        <v>77</v>
      </c>
      <c r="Q1598" s="131">
        <v>13200</v>
      </c>
      <c r="R1598" s="131">
        <v>2112</v>
      </c>
      <c r="S1598" s="131"/>
      <c r="T1598" s="155"/>
      <c r="U1598" s="131"/>
      <c r="V1598" s="131">
        <f t="shared" si="37"/>
        <v>15312</v>
      </c>
      <c r="W1598">
        <v>171</v>
      </c>
      <c r="X1598" s="151" t="s">
        <v>3683</v>
      </c>
      <c r="Y1598" s="135" t="s">
        <v>55</v>
      </c>
      <c r="Z1598" s="307">
        <v>224</v>
      </c>
      <c r="AB1598" t="str">
        <f>IF(Table1[[#This Row],[TIPO2]]="costo", VLOOKUP(Table1[[#This Row],[PARTIDA PRESUPUESTAL]],'Cost Report'!G:G,1,0),"Balance")</f>
        <v>2602-011</v>
      </c>
      <c r="AC1598" s="118"/>
      <c r="AD1598" s="159">
        <f>+Table1[[#This Row],[SUBTOTAL]]+Table1[[#This Row],[IVA]]-Table1[[#This Row],[RET IVA]]-Table1[[#This Row],[RET ISR]]-Table1[[#This Row],[TOTAL]]</f>
        <v>0</v>
      </c>
      <c r="AE1598" s="150"/>
      <c r="AF1598" s="151"/>
      <c r="AG1598" s="126"/>
      <c r="AK1598" s="306" t="str">
        <f>IF(ISNUMBER(Table1[[#This Row],[FECHA DE RECIBIDO]]), Table1[[#This Row],[FECHA DE RECIBIDO]]-DATE(2023,8,30), "")</f>
        <v/>
      </c>
    </row>
    <row r="1599" spans="1:37" ht="16.05" customHeight="1">
      <c r="A1599" s="152" t="s">
        <v>3428</v>
      </c>
      <c r="B1599" s="153">
        <v>509</v>
      </c>
      <c r="C1599" s="126" t="s">
        <v>2853</v>
      </c>
      <c r="D1599">
        <v>1035</v>
      </c>
      <c r="E1599" s="126" t="s">
        <v>3636</v>
      </c>
      <c r="F1599" s="125" t="s">
        <v>1607</v>
      </c>
      <c r="G1599" s="125" t="s">
        <v>134</v>
      </c>
      <c r="H1599">
        <v>333</v>
      </c>
      <c r="I1599" s="125" t="s">
        <v>1546</v>
      </c>
      <c r="J1599" s="308" t="s">
        <v>214</v>
      </c>
      <c r="K1599" s="127" t="s">
        <v>3418</v>
      </c>
      <c r="L1599" s="153" t="s">
        <v>3306</v>
      </c>
      <c r="M1599">
        <v>447</v>
      </c>
      <c r="N1599" s="123">
        <v>1</v>
      </c>
      <c r="O1599">
        <v>1020</v>
      </c>
      <c r="P1599" s="132" t="s">
        <v>77</v>
      </c>
      <c r="Q1599" s="132">
        <v>83000</v>
      </c>
      <c r="R1599" s="132">
        <v>13280</v>
      </c>
      <c r="S1599" s="132"/>
      <c r="T1599" s="156"/>
      <c r="U1599" s="132"/>
      <c r="V1599" s="132">
        <f t="shared" si="37"/>
        <v>96280</v>
      </c>
      <c r="W1599">
        <v>171</v>
      </c>
      <c r="X1599" s="153" t="s">
        <v>3683</v>
      </c>
      <c r="Y1599" s="124" t="s">
        <v>55</v>
      </c>
      <c r="Z1599" s="308">
        <v>224</v>
      </c>
      <c r="AB1599" t="str">
        <f>IF(Table1[[#This Row],[TIPO2]]="costo", VLOOKUP(Table1[[#This Row],[PARTIDA PRESUPUESTAL]],'Cost Report'!G:G,1,0),"Balance")</f>
        <v>3583-003</v>
      </c>
      <c r="AC1599" s="118"/>
      <c r="AD1599" s="159">
        <f>+Table1[[#This Row],[SUBTOTAL]]+Table1[[#This Row],[IVA]]-Table1[[#This Row],[RET IVA]]-Table1[[#This Row],[RET ISR]]-Table1[[#This Row],[TOTAL]]</f>
        <v>0</v>
      </c>
      <c r="AE1599" s="152"/>
      <c r="AF1599" s="153"/>
      <c r="AG1599" s="126"/>
      <c r="AK1599" s="306" t="str">
        <f>IF(ISNUMBER(Table1[[#This Row],[FECHA DE RECIBIDO]]), Table1[[#This Row],[FECHA DE RECIBIDO]]-DATE(2023,8,30), "")</f>
        <v/>
      </c>
    </row>
    <row r="1600" spans="1:37" ht="16.05" customHeight="1">
      <c r="A1600" s="150"/>
      <c r="B1600" s="151">
        <v>510</v>
      </c>
      <c r="C1600" s="126" t="s">
        <v>2854</v>
      </c>
      <c r="D1600">
        <v>1036</v>
      </c>
      <c r="E1600" s="126" t="s">
        <v>3636</v>
      </c>
      <c r="F1600" s="122" t="s">
        <v>1607</v>
      </c>
      <c r="G1600" s="122" t="s">
        <v>134</v>
      </c>
      <c r="H1600">
        <v>333</v>
      </c>
      <c r="I1600" s="122" t="s">
        <v>1546</v>
      </c>
      <c r="J1600" s="307" t="s">
        <v>214</v>
      </c>
      <c r="K1600" s="127" t="s">
        <v>3418</v>
      </c>
      <c r="L1600" s="151" t="s">
        <v>3306</v>
      </c>
      <c r="M1600">
        <v>447</v>
      </c>
      <c r="N1600" s="123">
        <v>1</v>
      </c>
      <c r="O1600">
        <v>1021</v>
      </c>
      <c r="P1600" s="132" t="s">
        <v>77</v>
      </c>
      <c r="Q1600" s="131">
        <v>25000</v>
      </c>
      <c r="R1600" s="131">
        <v>4000</v>
      </c>
      <c r="S1600" s="131"/>
      <c r="T1600" s="155"/>
      <c r="U1600" s="131"/>
      <c r="V1600" s="131">
        <f t="shared" si="37"/>
        <v>29000</v>
      </c>
      <c r="W1600">
        <v>171</v>
      </c>
      <c r="X1600" s="151" t="s">
        <v>3683</v>
      </c>
      <c r="Y1600" s="135" t="s">
        <v>55</v>
      </c>
      <c r="Z1600" s="307">
        <v>224</v>
      </c>
      <c r="AB1600" t="str">
        <f>IF(Table1[[#This Row],[TIPO2]]="costo", VLOOKUP(Table1[[#This Row],[PARTIDA PRESUPUESTAL]],'Cost Report'!G:G,1,0),"Balance")</f>
        <v>3583-004</v>
      </c>
      <c r="AC1600" s="118"/>
      <c r="AD1600" s="159">
        <f>+Table1[[#This Row],[SUBTOTAL]]+Table1[[#This Row],[IVA]]-Table1[[#This Row],[RET IVA]]-Table1[[#This Row],[RET ISR]]-Table1[[#This Row],[TOTAL]]</f>
        <v>0</v>
      </c>
      <c r="AE1600" s="150"/>
      <c r="AF1600" s="151"/>
      <c r="AG1600" s="126"/>
      <c r="AK1600" s="306" t="str">
        <f>IF(ISNUMBER(Table1[[#This Row],[FECHA DE RECIBIDO]]), Table1[[#This Row],[FECHA DE RECIBIDO]]-DATE(2023,8,30), "")</f>
        <v/>
      </c>
    </row>
    <row r="1601" spans="1:37" ht="16.05" customHeight="1">
      <c r="A1601" s="152" t="s">
        <v>3429</v>
      </c>
      <c r="B1601" s="153">
        <v>511</v>
      </c>
      <c r="C1601" s="126" t="s">
        <v>2443</v>
      </c>
      <c r="D1601">
        <v>1037</v>
      </c>
      <c r="E1601" s="126">
        <v>13508</v>
      </c>
      <c r="F1601" s="125" t="s">
        <v>1589</v>
      </c>
      <c r="G1601" s="125" t="s">
        <v>134</v>
      </c>
      <c r="H1601">
        <v>85</v>
      </c>
      <c r="I1601" s="125" t="s">
        <v>1546</v>
      </c>
      <c r="J1601" s="308" t="s">
        <v>214</v>
      </c>
      <c r="K1601" s="127" t="s">
        <v>3418</v>
      </c>
      <c r="L1601" s="153" t="s">
        <v>3306</v>
      </c>
      <c r="M1601">
        <v>115</v>
      </c>
      <c r="N1601" s="123">
        <v>1</v>
      </c>
      <c r="O1601">
        <v>1022</v>
      </c>
      <c r="P1601" s="132" t="s">
        <v>77</v>
      </c>
      <c r="Q1601" s="132">
        <v>73300</v>
      </c>
      <c r="R1601" s="132">
        <v>11728</v>
      </c>
      <c r="S1601" s="132"/>
      <c r="T1601" s="156">
        <v>7818.62</v>
      </c>
      <c r="U1601" s="132"/>
      <c r="V1601" s="132">
        <f t="shared" si="37"/>
        <v>77209.38</v>
      </c>
      <c r="W1601">
        <v>57</v>
      </c>
      <c r="X1601" s="153" t="s">
        <v>2035</v>
      </c>
      <c r="Y1601" s="124" t="s">
        <v>55</v>
      </c>
      <c r="Z1601" s="308">
        <v>225</v>
      </c>
      <c r="AB1601" t="str">
        <f>IF(Table1[[#This Row],[TIPO2]]="costo", VLOOKUP(Table1[[#This Row],[PARTIDA PRESUPUESTAL]],'Cost Report'!G:G,1,0),"Balance")</f>
        <v>2080-003</v>
      </c>
      <c r="AC1601" s="118"/>
      <c r="AD1601" s="159">
        <f>+Table1[[#This Row],[SUBTOTAL]]+Table1[[#This Row],[IVA]]-Table1[[#This Row],[RET IVA]]-Table1[[#This Row],[RET ISR]]-Table1[[#This Row],[TOTAL]]</f>
        <v>0</v>
      </c>
      <c r="AE1601" s="152"/>
      <c r="AF1601" s="153"/>
      <c r="AG1601" s="126"/>
      <c r="AK1601" s="306" t="str">
        <f>IF(ISNUMBER(Table1[[#This Row],[FECHA DE RECIBIDO]]), Table1[[#This Row],[FECHA DE RECIBIDO]]-DATE(2023,8,30), "")</f>
        <v/>
      </c>
    </row>
    <row r="1602" spans="1:37" ht="16.05" customHeight="1">
      <c r="A1602" s="150" t="s">
        <v>3430</v>
      </c>
      <c r="B1602" s="151">
        <v>512</v>
      </c>
      <c r="C1602" s="126" t="s">
        <v>2140</v>
      </c>
      <c r="D1602">
        <v>1038</v>
      </c>
      <c r="E1602" s="126" t="s">
        <v>1604</v>
      </c>
      <c r="F1602" s="122" t="s">
        <v>1593</v>
      </c>
      <c r="G1602" s="122" t="s">
        <v>109</v>
      </c>
      <c r="H1602">
        <v>123</v>
      </c>
      <c r="I1602" s="122" t="s">
        <v>1546</v>
      </c>
      <c r="J1602" s="307" t="s">
        <v>214</v>
      </c>
      <c r="K1602" s="127" t="s">
        <v>3418</v>
      </c>
      <c r="L1602" s="151" t="s">
        <v>110</v>
      </c>
      <c r="M1602">
        <v>29</v>
      </c>
      <c r="N1602" s="123">
        <v>50</v>
      </c>
      <c r="O1602">
        <v>1023</v>
      </c>
      <c r="P1602" s="132" t="s">
        <v>77</v>
      </c>
      <c r="Q1602" s="131">
        <v>500000</v>
      </c>
      <c r="R1602" s="131">
        <f>Q1602*0.16</f>
        <v>80000</v>
      </c>
      <c r="S1602" s="131"/>
      <c r="T1602" s="155">
        <f>Q1602*0.106667</f>
        <v>53333.5</v>
      </c>
      <c r="U1602" s="131">
        <f>Q1602*0.0125</f>
        <v>6250</v>
      </c>
      <c r="V1602" s="131">
        <f t="shared" si="37"/>
        <v>520416.5</v>
      </c>
      <c r="W1602">
        <v>22</v>
      </c>
      <c r="X1602" s="151" t="s">
        <v>1429</v>
      </c>
      <c r="Y1602" s="135" t="s">
        <v>55</v>
      </c>
      <c r="Z1602" s="307">
        <v>225</v>
      </c>
      <c r="AB1602" t="str">
        <f>IF(Table1[[#This Row],[TIPO2]]="costo", VLOOKUP(Table1[[#This Row],[PARTIDA PRESUPUESTAL]],'Cost Report'!G:G,1,0),"Balance")</f>
        <v>1201-009</v>
      </c>
      <c r="AC1602" s="118"/>
      <c r="AD1602" s="159">
        <f>+Table1[[#This Row],[SUBTOTAL]]+Table1[[#This Row],[IVA]]-Table1[[#This Row],[RET IVA]]-Table1[[#This Row],[RET ISR]]-Table1[[#This Row],[TOTAL]]</f>
        <v>0</v>
      </c>
      <c r="AE1602" s="150"/>
      <c r="AF1602" s="151"/>
      <c r="AG1602" s="126"/>
      <c r="AK1602" s="306" t="str">
        <f>IF(ISNUMBER(Table1[[#This Row],[FECHA DE RECIBIDO]]), Table1[[#This Row],[FECHA DE RECIBIDO]]-DATE(2023,8,30), "")</f>
        <v/>
      </c>
    </row>
    <row r="1603" spans="1:37" ht="16.05" customHeight="1">
      <c r="A1603" s="152" t="s">
        <v>3431</v>
      </c>
      <c r="B1603" s="153">
        <v>513</v>
      </c>
      <c r="C1603" s="126" t="s">
        <v>1154</v>
      </c>
      <c r="D1603">
        <v>1039</v>
      </c>
      <c r="E1603" s="126" t="s">
        <v>1985</v>
      </c>
      <c r="F1603" s="125" t="s">
        <v>1607</v>
      </c>
      <c r="G1603" s="125" t="s">
        <v>134</v>
      </c>
      <c r="H1603">
        <v>47</v>
      </c>
      <c r="I1603" s="125" t="s">
        <v>1546</v>
      </c>
      <c r="J1603" s="308" t="s">
        <v>214</v>
      </c>
      <c r="K1603" s="127" t="s">
        <v>3418</v>
      </c>
      <c r="L1603" s="153" t="s">
        <v>3306</v>
      </c>
      <c r="M1603">
        <v>448</v>
      </c>
      <c r="N1603" s="123">
        <v>1</v>
      </c>
      <c r="O1603">
        <v>1024</v>
      </c>
      <c r="P1603" s="132" t="s">
        <v>77</v>
      </c>
      <c r="Q1603" s="132">
        <v>88482.35</v>
      </c>
      <c r="R1603" s="132">
        <v>14157.18</v>
      </c>
      <c r="S1603" s="132"/>
      <c r="T1603" s="156"/>
      <c r="U1603" s="132"/>
      <c r="V1603" s="132">
        <f t="shared" si="37"/>
        <v>102639.53</v>
      </c>
      <c r="W1603">
        <v>36</v>
      </c>
      <c r="X1603" s="153" t="s">
        <v>1430</v>
      </c>
      <c r="Y1603" s="124" t="s">
        <v>55</v>
      </c>
      <c r="Z1603" s="308">
        <v>225</v>
      </c>
      <c r="AB1603" t="str">
        <f>IF(Table1[[#This Row],[TIPO2]]="costo", VLOOKUP(Table1[[#This Row],[PARTIDA PRESUPUESTAL]],'Cost Report'!G:G,1,0),"Balance")</f>
        <v>3902-026</v>
      </c>
      <c r="AC1603" s="118"/>
      <c r="AD1603" s="159"/>
      <c r="AE1603" s="152"/>
      <c r="AF1603" s="153"/>
      <c r="AG1603" s="126"/>
      <c r="AK1603" s="306" t="str">
        <f>IF(ISNUMBER(Table1[[#This Row],[FECHA DE RECIBIDO]]), Table1[[#This Row],[FECHA DE RECIBIDO]]-DATE(2023,8,30), "")</f>
        <v/>
      </c>
    </row>
    <row r="1604" spans="1:37" ht="16.05" customHeight="1">
      <c r="A1604" s="150" t="s">
        <v>3431</v>
      </c>
      <c r="B1604" s="151">
        <v>513</v>
      </c>
      <c r="C1604" s="126" t="s">
        <v>1417</v>
      </c>
      <c r="D1604">
        <v>1039</v>
      </c>
      <c r="E1604" s="126" t="s">
        <v>1985</v>
      </c>
      <c r="F1604" s="122" t="s">
        <v>1607</v>
      </c>
      <c r="G1604" s="122" t="s">
        <v>134</v>
      </c>
      <c r="H1604">
        <v>47</v>
      </c>
      <c r="I1604" s="122" t="s">
        <v>1546</v>
      </c>
      <c r="J1604" s="307" t="s">
        <v>214</v>
      </c>
      <c r="K1604" s="127" t="s">
        <v>3418</v>
      </c>
      <c r="L1604" s="151" t="s">
        <v>3306</v>
      </c>
      <c r="M1604">
        <v>448</v>
      </c>
      <c r="N1604" s="123">
        <v>1</v>
      </c>
      <c r="O1604">
        <v>1024</v>
      </c>
      <c r="P1604" s="132" t="s">
        <v>77</v>
      </c>
      <c r="Q1604" s="131">
        <v>2654.47</v>
      </c>
      <c r="R1604" s="131"/>
      <c r="S1604" s="131"/>
      <c r="T1604" s="155"/>
      <c r="U1604" s="131"/>
      <c r="V1604" s="131">
        <f t="shared" si="37"/>
        <v>2654.47</v>
      </c>
      <c r="W1604">
        <v>36</v>
      </c>
      <c r="X1604" s="151" t="s">
        <v>1430</v>
      </c>
      <c r="Y1604" s="135" t="s">
        <v>55</v>
      </c>
      <c r="Z1604" s="307">
        <v>225</v>
      </c>
      <c r="AB1604" t="str">
        <f>IF(Table1[[#This Row],[TIPO2]]="costo", VLOOKUP(Table1[[#This Row],[PARTIDA PRESUPUESTAL]],'Cost Report'!G:G,1,0),"Balance")</f>
        <v>3999-001</v>
      </c>
      <c r="AC1604" s="118"/>
      <c r="AD1604" s="159">
        <f>+Table1[[#This Row],[SUBTOTAL]]+Table1[[#This Row],[IVA]]-Table1[[#This Row],[RET IVA]]-Table1[[#This Row],[RET ISR]]-Table1[[#This Row],[TOTAL]]</f>
        <v>0</v>
      </c>
      <c r="AE1604" s="150"/>
      <c r="AF1604" s="151"/>
      <c r="AG1604" s="126"/>
      <c r="AK1604" s="306" t="str">
        <f>IF(ISNUMBER(Table1[[#This Row],[FECHA DE RECIBIDO]]), Table1[[#This Row],[FECHA DE RECIBIDO]]-DATE(2023,8,30), "")</f>
        <v/>
      </c>
    </row>
    <row r="1605" spans="1:37" ht="16.05" customHeight="1">
      <c r="A1605" s="152" t="s">
        <v>3443</v>
      </c>
      <c r="B1605" s="153">
        <v>525</v>
      </c>
      <c r="C1605" s="126" t="s">
        <v>615</v>
      </c>
      <c r="D1605">
        <v>1040</v>
      </c>
      <c r="E1605" s="126" t="s">
        <v>1645</v>
      </c>
      <c r="F1605" s="125" t="s">
        <v>1593</v>
      </c>
      <c r="G1605" s="125" t="s">
        <v>109</v>
      </c>
      <c r="H1605">
        <v>334</v>
      </c>
      <c r="I1605" s="125" t="s">
        <v>1546</v>
      </c>
      <c r="J1605" s="308" t="s">
        <v>214</v>
      </c>
      <c r="K1605" s="127" t="s">
        <v>3418</v>
      </c>
      <c r="L1605" s="153" t="s">
        <v>3306</v>
      </c>
      <c r="M1605">
        <v>449</v>
      </c>
      <c r="N1605" s="123">
        <v>1</v>
      </c>
      <c r="O1605">
        <v>1025</v>
      </c>
      <c r="P1605" s="132" t="s">
        <v>77</v>
      </c>
      <c r="Q1605" s="132">
        <v>35000</v>
      </c>
      <c r="R1605" s="132">
        <v>5600</v>
      </c>
      <c r="S1605" s="132"/>
      <c r="T1605" s="156">
        <v>3733.35</v>
      </c>
      <c r="U1605" s="132">
        <v>437.5</v>
      </c>
      <c r="V1605" s="132">
        <f t="shared" ref="V1605:V1668" si="38">Q1605+R1605-T1605-U1605</f>
        <v>36429.15</v>
      </c>
      <c r="W1605">
        <v>132</v>
      </c>
      <c r="X1605" s="153" t="s">
        <v>1430</v>
      </c>
      <c r="Y1605" s="124" t="s">
        <v>55</v>
      </c>
      <c r="Z1605" s="308">
        <v>225</v>
      </c>
      <c r="AB1605" t="str">
        <f>IF(Table1[[#This Row],[TIPO2]]="costo", VLOOKUP(Table1[[#This Row],[PARTIDA PRESUPUESTAL]],'Cost Report'!G:G,1,0),"Balance")</f>
        <v>2495-003</v>
      </c>
      <c r="AC1605" s="118"/>
      <c r="AD1605" s="159">
        <f>+Table1[[#This Row],[SUBTOTAL]]+Table1[[#This Row],[IVA]]-Table1[[#This Row],[RET IVA]]-Table1[[#This Row],[RET ISR]]-Table1[[#This Row],[TOTAL]]</f>
        <v>0</v>
      </c>
      <c r="AE1605" s="152"/>
      <c r="AF1605" s="153"/>
      <c r="AG1605" s="126"/>
      <c r="AK1605" s="306" t="str">
        <f>IF(ISNUMBER(Table1[[#This Row],[FECHA DE RECIBIDO]]), Table1[[#This Row],[FECHA DE RECIBIDO]]-DATE(2023,8,30), "")</f>
        <v/>
      </c>
    </row>
    <row r="1606" spans="1:37" ht="16.05" customHeight="1">
      <c r="A1606" s="150" t="s">
        <v>3444</v>
      </c>
      <c r="B1606" s="151">
        <v>526</v>
      </c>
      <c r="C1606" s="126" t="s">
        <v>5473</v>
      </c>
      <c r="D1606">
        <v>1041</v>
      </c>
      <c r="E1606" s="126" t="s">
        <v>3275</v>
      </c>
      <c r="F1606" s="122" t="s">
        <v>1593</v>
      </c>
      <c r="G1606" s="122" t="s">
        <v>109</v>
      </c>
      <c r="H1606">
        <v>335</v>
      </c>
      <c r="I1606" s="122" t="s">
        <v>1546</v>
      </c>
      <c r="J1606" s="307" t="s">
        <v>214</v>
      </c>
      <c r="K1606" s="127" t="s">
        <v>3418</v>
      </c>
      <c r="L1606" s="151" t="s">
        <v>3306</v>
      </c>
      <c r="M1606">
        <v>450</v>
      </c>
      <c r="N1606" s="123">
        <v>1</v>
      </c>
      <c r="O1606">
        <v>1026</v>
      </c>
      <c r="P1606" s="131" t="s">
        <v>77</v>
      </c>
      <c r="Q1606" s="131">
        <v>26109.66</v>
      </c>
      <c r="R1606" s="131">
        <v>0</v>
      </c>
      <c r="S1606" s="131"/>
      <c r="T1606" s="155">
        <v>783.29</v>
      </c>
      <c r="U1606" s="131">
        <v>326.37</v>
      </c>
      <c r="V1606" s="131">
        <f t="shared" si="38"/>
        <v>25000</v>
      </c>
      <c r="W1606">
        <v>172</v>
      </c>
      <c r="X1606" s="151" t="s">
        <v>1429</v>
      </c>
      <c r="Y1606" s="135" t="s">
        <v>55</v>
      </c>
      <c r="Z1606" s="307">
        <v>225</v>
      </c>
      <c r="AB1606" t="str">
        <f>IF(Table1[[#This Row],[TIPO2]]="costo", VLOOKUP(Table1[[#This Row],[PARTIDA PRESUPUESTAL]],'Cost Report'!G:G,1,0),"Balance")</f>
        <v>7230-001</v>
      </c>
      <c r="AC1606" s="118"/>
      <c r="AD1606" s="159">
        <f>+Table1[[#This Row],[SUBTOTAL]]+Table1[[#This Row],[IVA]]-Table1[[#This Row],[RET IVA]]-Table1[[#This Row],[RET ISR]]-Table1[[#This Row],[TOTAL]]</f>
        <v>0</v>
      </c>
      <c r="AE1606" s="150"/>
      <c r="AF1606" s="151"/>
      <c r="AG1606" s="126"/>
      <c r="AJ1606" s="213" t="s">
        <v>5479</v>
      </c>
      <c r="AK1606" s="306" t="str">
        <f>IF(ISNUMBER(Table1[[#This Row],[FECHA DE RECIBIDO]]), Table1[[#This Row],[FECHA DE RECIBIDO]]-DATE(2023,8,30), "")</f>
        <v/>
      </c>
    </row>
    <row r="1607" spans="1:37" ht="16.05" customHeight="1">
      <c r="A1607" s="152" t="s">
        <v>3445</v>
      </c>
      <c r="B1607" s="153">
        <v>527</v>
      </c>
      <c r="C1607" s="126" t="s">
        <v>2789</v>
      </c>
      <c r="D1607">
        <v>1042</v>
      </c>
      <c r="E1607" s="126" t="s">
        <v>3637</v>
      </c>
      <c r="F1607" s="125" t="s">
        <v>1593</v>
      </c>
      <c r="G1607" s="125" t="s">
        <v>109</v>
      </c>
      <c r="H1607">
        <v>258</v>
      </c>
      <c r="I1607" s="125" t="s">
        <v>1546</v>
      </c>
      <c r="J1607" s="308" t="s">
        <v>214</v>
      </c>
      <c r="K1607" s="127" t="s">
        <v>3418</v>
      </c>
      <c r="L1607" s="153" t="s">
        <v>3306</v>
      </c>
      <c r="M1607">
        <v>451</v>
      </c>
      <c r="N1607" s="123">
        <v>1</v>
      </c>
      <c r="O1607">
        <v>1027</v>
      </c>
      <c r="P1607" s="132" t="s">
        <v>77</v>
      </c>
      <c r="Q1607" s="132">
        <v>30000</v>
      </c>
      <c r="R1607" s="132">
        <v>4800</v>
      </c>
      <c r="S1607" s="132"/>
      <c r="T1607" s="156">
        <v>3200.01</v>
      </c>
      <c r="U1607" s="132">
        <v>375</v>
      </c>
      <c r="V1607" s="132">
        <f t="shared" si="38"/>
        <v>31224.989999999998</v>
      </c>
      <c r="W1607">
        <v>157</v>
      </c>
      <c r="X1607" s="153" t="s">
        <v>1429</v>
      </c>
      <c r="Y1607" s="124" t="s">
        <v>55</v>
      </c>
      <c r="Z1607" s="308">
        <v>225</v>
      </c>
      <c r="AB1607" t="str">
        <f>IF(Table1[[#This Row],[TIPO2]]="costo", VLOOKUP(Table1[[#This Row],[PARTIDA PRESUPUESTAL]],'Cost Report'!G:G,1,0),"Balance")</f>
        <v>3408-003</v>
      </c>
      <c r="AC1607" s="118"/>
      <c r="AD1607" s="159">
        <f>+Table1[[#This Row],[SUBTOTAL]]+Table1[[#This Row],[IVA]]-Table1[[#This Row],[RET IVA]]-Table1[[#This Row],[RET ISR]]-Table1[[#This Row],[TOTAL]]</f>
        <v>0</v>
      </c>
      <c r="AE1607" s="152"/>
      <c r="AF1607" s="153"/>
      <c r="AG1607" s="126"/>
      <c r="AK1607" s="306" t="str">
        <f>IF(ISNUMBER(Table1[[#This Row],[FECHA DE RECIBIDO]]), Table1[[#This Row],[FECHA DE RECIBIDO]]-DATE(2023,8,30), "")</f>
        <v/>
      </c>
    </row>
    <row r="1608" spans="1:37" ht="16.05" customHeight="1">
      <c r="A1608" s="150" t="s">
        <v>3446</v>
      </c>
      <c r="B1608" s="151">
        <v>528</v>
      </c>
      <c r="C1608" s="126" t="s">
        <v>2356</v>
      </c>
      <c r="D1608">
        <v>1043</v>
      </c>
      <c r="E1608" s="126">
        <v>45820</v>
      </c>
      <c r="F1608" s="122">
        <v>601</v>
      </c>
      <c r="G1608" s="122" t="s">
        <v>134</v>
      </c>
      <c r="H1608">
        <v>253</v>
      </c>
      <c r="I1608" s="122" t="s">
        <v>1546</v>
      </c>
      <c r="J1608" s="307">
        <v>229.51144675925752</v>
      </c>
      <c r="K1608" s="127" t="s">
        <v>3418</v>
      </c>
      <c r="L1608" s="151" t="s">
        <v>3306</v>
      </c>
      <c r="M1608">
        <v>452</v>
      </c>
      <c r="N1608" s="123">
        <v>76</v>
      </c>
      <c r="O1608">
        <v>1028</v>
      </c>
      <c r="P1608" s="132" t="s">
        <v>77</v>
      </c>
      <c r="Q1608" s="131">
        <v>12949.14</v>
      </c>
      <c r="R1608" s="131">
        <v>2071.86</v>
      </c>
      <c r="S1608" s="131"/>
      <c r="T1608" s="155"/>
      <c r="U1608" s="131"/>
      <c r="V1608" s="131">
        <f t="shared" si="38"/>
        <v>15021</v>
      </c>
      <c r="W1608">
        <v>153</v>
      </c>
      <c r="X1608" s="151" t="e">
        <v>#N/A</v>
      </c>
      <c r="Y1608" s="135" t="s">
        <v>55</v>
      </c>
      <c r="Z1608" s="307">
        <v>225</v>
      </c>
      <c r="AB1608" t="str">
        <f>IF(Table1[[#This Row],[TIPO2]]="costo", VLOOKUP(Table1[[#This Row],[PARTIDA PRESUPUESTAL]],'Cost Report'!G:G,1,0),"Balance")</f>
        <v>1641-016</v>
      </c>
      <c r="AC1608" s="118"/>
      <c r="AD1608" s="159">
        <f>+Table1[[#This Row],[SUBTOTAL]]+Table1[[#This Row],[IVA]]-Table1[[#This Row],[RET IVA]]-Table1[[#This Row],[RET ISR]]-Table1[[#This Row],[TOTAL]]</f>
        <v>0</v>
      </c>
      <c r="AE1608" s="150"/>
      <c r="AF1608" s="151"/>
      <c r="AG1608" s="126"/>
      <c r="AK1608" s="306">
        <f>IF(ISNUMBER(Table1[[#This Row],[FECHA DE RECIBIDO]]), Table1[[#This Row],[FECHA DE RECIBIDO]]-DATE(2023,8,30), "")</f>
        <v>-44938.488553240742</v>
      </c>
    </row>
    <row r="1609" spans="1:37" ht="16.05" customHeight="1">
      <c r="A1609" s="152" t="s">
        <v>3446</v>
      </c>
      <c r="B1609" s="153">
        <v>528</v>
      </c>
      <c r="C1609" s="126" t="s">
        <v>2356</v>
      </c>
      <c r="D1609">
        <v>1044</v>
      </c>
      <c r="E1609" s="126">
        <v>45820</v>
      </c>
      <c r="F1609" s="125">
        <v>601</v>
      </c>
      <c r="G1609" s="125" t="s">
        <v>134</v>
      </c>
      <c r="H1609">
        <v>253</v>
      </c>
      <c r="I1609" s="125" t="s">
        <v>1546</v>
      </c>
      <c r="J1609" s="308">
        <v>229.51361111111328</v>
      </c>
      <c r="K1609" s="127" t="s">
        <v>3418</v>
      </c>
      <c r="L1609" s="153" t="s">
        <v>3306</v>
      </c>
      <c r="M1609">
        <v>452</v>
      </c>
      <c r="N1609" s="123">
        <v>76</v>
      </c>
      <c r="O1609">
        <v>1028</v>
      </c>
      <c r="P1609" s="132" t="s">
        <v>77</v>
      </c>
      <c r="Q1609" s="132">
        <v>10588.23</v>
      </c>
      <c r="R1609" s="132">
        <v>1694.12</v>
      </c>
      <c r="S1609" s="132"/>
      <c r="T1609" s="156"/>
      <c r="U1609" s="132"/>
      <c r="V1609" s="132">
        <f t="shared" si="38"/>
        <v>12282.349999999999</v>
      </c>
      <c r="W1609">
        <v>153</v>
      </c>
      <c r="X1609" s="153" t="e">
        <v>#N/A</v>
      </c>
      <c r="Y1609" s="124" t="s">
        <v>55</v>
      </c>
      <c r="Z1609" s="308">
        <v>225</v>
      </c>
      <c r="AB1609" t="str">
        <f>IF(Table1[[#This Row],[TIPO2]]="costo", VLOOKUP(Table1[[#This Row],[PARTIDA PRESUPUESTAL]],'Cost Report'!G:G,1,0),"Balance")</f>
        <v>1641-016</v>
      </c>
      <c r="AC1609" s="118"/>
      <c r="AD1609" s="159">
        <f>+Table1[[#This Row],[SUBTOTAL]]+Table1[[#This Row],[IVA]]-Table1[[#This Row],[RET IVA]]-Table1[[#This Row],[RET ISR]]-Table1[[#This Row],[TOTAL]]</f>
        <v>0</v>
      </c>
      <c r="AE1609" s="152"/>
      <c r="AF1609" s="153"/>
      <c r="AG1609" s="126"/>
      <c r="AK1609" s="306">
        <f>IF(ISNUMBER(Table1[[#This Row],[FECHA DE RECIBIDO]]), Table1[[#This Row],[FECHA DE RECIBIDO]]-DATE(2023,8,30), "")</f>
        <v>-44938.486388888887</v>
      </c>
    </row>
    <row r="1610" spans="1:37" ht="16.05" customHeight="1">
      <c r="A1610" s="150" t="s">
        <v>3446</v>
      </c>
      <c r="B1610" s="151">
        <v>528</v>
      </c>
      <c r="C1610" s="126" t="s">
        <v>1418</v>
      </c>
      <c r="D1610">
        <v>1044</v>
      </c>
      <c r="E1610" s="126">
        <v>45820</v>
      </c>
      <c r="F1610" s="122">
        <v>601</v>
      </c>
      <c r="G1610" s="122" t="s">
        <v>134</v>
      </c>
      <c r="H1610">
        <v>253</v>
      </c>
      <c r="I1610" s="122" t="s">
        <v>1546</v>
      </c>
      <c r="J1610" s="307">
        <v>229.51361111111328</v>
      </c>
      <c r="K1610" s="127" t="s">
        <v>3418</v>
      </c>
      <c r="L1610" s="151" t="s">
        <v>3306</v>
      </c>
      <c r="M1610">
        <v>452</v>
      </c>
      <c r="N1610" s="123">
        <v>76</v>
      </c>
      <c r="O1610">
        <v>1028</v>
      </c>
      <c r="P1610" s="132" t="s">
        <v>77</v>
      </c>
      <c r="Q1610" s="131">
        <v>317.64999999999998</v>
      </c>
      <c r="R1610" s="131"/>
      <c r="S1610" s="131"/>
      <c r="T1610" s="155"/>
      <c r="U1610" s="131"/>
      <c r="V1610" s="131">
        <f t="shared" si="38"/>
        <v>317.64999999999998</v>
      </c>
      <c r="W1610">
        <v>153</v>
      </c>
      <c r="X1610" s="151" t="e">
        <v>#N/A</v>
      </c>
      <c r="Y1610" s="135" t="s">
        <v>55</v>
      </c>
      <c r="Z1610" s="307">
        <v>225</v>
      </c>
      <c r="AB1610" t="str">
        <f>IF(Table1[[#This Row],[TIPO2]]="costo", VLOOKUP(Table1[[#This Row],[PARTIDA PRESUPUESTAL]],'Cost Report'!G:G,1,0),"Balance")</f>
        <v>1699-001</v>
      </c>
      <c r="AC1610" s="118"/>
      <c r="AD1610" s="159">
        <f>+Table1[[#This Row],[SUBTOTAL]]+Table1[[#This Row],[IVA]]-Table1[[#This Row],[RET IVA]]-Table1[[#This Row],[RET ISR]]-Table1[[#This Row],[TOTAL]]</f>
        <v>0</v>
      </c>
      <c r="AE1610" s="150"/>
      <c r="AF1610" s="151"/>
      <c r="AG1610" s="126"/>
      <c r="AK1610" s="306">
        <f>IF(ISNUMBER(Table1[[#This Row],[FECHA DE RECIBIDO]]), Table1[[#This Row],[FECHA DE RECIBIDO]]-DATE(2023,8,30), "")</f>
        <v>-44938.486388888887</v>
      </c>
    </row>
    <row r="1611" spans="1:37" ht="16.05" customHeight="1">
      <c r="A1611" s="152" t="s">
        <v>3447</v>
      </c>
      <c r="B1611" s="153">
        <v>529</v>
      </c>
      <c r="C1611" s="126" t="s">
        <v>2988</v>
      </c>
      <c r="D1611">
        <v>1045</v>
      </c>
      <c r="E1611" s="126">
        <v>45900</v>
      </c>
      <c r="F1611" s="125">
        <v>601</v>
      </c>
      <c r="G1611" s="125" t="s">
        <v>134</v>
      </c>
      <c r="H1611">
        <v>86</v>
      </c>
      <c r="I1611" s="125" t="s">
        <v>1546</v>
      </c>
      <c r="J1611" s="308">
        <v>244.80215277777461</v>
      </c>
      <c r="K1611" s="127" t="s">
        <v>3418</v>
      </c>
      <c r="L1611" s="153" t="s">
        <v>3306</v>
      </c>
      <c r="M1611">
        <v>352</v>
      </c>
      <c r="N1611" s="123">
        <v>76</v>
      </c>
      <c r="O1611">
        <v>1028</v>
      </c>
      <c r="P1611" s="132" t="s">
        <v>77</v>
      </c>
      <c r="Q1611" s="132">
        <v>15159.03</v>
      </c>
      <c r="R1611" s="132">
        <v>2425.44</v>
      </c>
      <c r="S1611" s="132"/>
      <c r="T1611" s="156">
        <v>615.47</v>
      </c>
      <c r="U1611" s="132">
        <v>72.13</v>
      </c>
      <c r="V1611" s="132">
        <f t="shared" si="38"/>
        <v>16896.87</v>
      </c>
      <c r="W1611">
        <v>173</v>
      </c>
      <c r="X1611" s="153" t="e">
        <v>#N/A</v>
      </c>
      <c r="Y1611" s="124" t="s">
        <v>55</v>
      </c>
      <c r="Z1611" s="308">
        <v>225</v>
      </c>
      <c r="AB1611" t="str">
        <f>IF(Table1[[#This Row],[TIPO2]]="costo", VLOOKUP(Table1[[#This Row],[PARTIDA PRESUPUESTAL]],'Cost Report'!G:G,1,0),"Balance")</f>
        <v>3903-052</v>
      </c>
      <c r="AC1611" s="118"/>
      <c r="AD1611" s="159">
        <f>+Table1[[#This Row],[SUBTOTAL]]+Table1[[#This Row],[IVA]]-Table1[[#This Row],[RET IVA]]-Table1[[#This Row],[RET ISR]]-Table1[[#This Row],[TOTAL]]</f>
        <v>0</v>
      </c>
      <c r="AE1611" s="152"/>
      <c r="AF1611" s="153"/>
      <c r="AG1611" s="126"/>
      <c r="AK1611" s="306">
        <f>IF(ISNUMBER(Table1[[#This Row],[FECHA DE RECIBIDO]]), Table1[[#This Row],[FECHA DE RECIBIDO]]-DATE(2023,8,30), "")</f>
        <v>-44923.197847222225</v>
      </c>
    </row>
    <row r="1612" spans="1:37" ht="16.05" customHeight="1">
      <c r="A1612" s="150" t="s">
        <v>3448</v>
      </c>
      <c r="B1612" s="151">
        <v>530</v>
      </c>
      <c r="C1612" s="126" t="s">
        <v>2680</v>
      </c>
      <c r="D1612">
        <v>1046</v>
      </c>
      <c r="E1612" s="126" t="s">
        <v>1645</v>
      </c>
      <c r="F1612" s="122" t="s">
        <v>1593</v>
      </c>
      <c r="G1612" s="122" t="s">
        <v>109</v>
      </c>
      <c r="H1612">
        <v>336</v>
      </c>
      <c r="I1612" s="122" t="s">
        <v>1546</v>
      </c>
      <c r="J1612" s="307" t="s">
        <v>214</v>
      </c>
      <c r="K1612" s="127" t="s">
        <v>3418</v>
      </c>
      <c r="L1612" s="151" t="s">
        <v>3306</v>
      </c>
      <c r="M1612">
        <v>453</v>
      </c>
      <c r="N1612" s="123">
        <v>1</v>
      </c>
      <c r="O1612">
        <v>1029</v>
      </c>
      <c r="P1612" s="132" t="s">
        <v>77</v>
      </c>
      <c r="Q1612" s="131">
        <v>5770</v>
      </c>
      <c r="R1612" s="131">
        <v>923.2</v>
      </c>
      <c r="S1612" s="131"/>
      <c r="T1612" s="155"/>
      <c r="U1612" s="131"/>
      <c r="V1612" s="131">
        <f t="shared" si="38"/>
        <v>6693.2</v>
      </c>
      <c r="W1612">
        <v>174</v>
      </c>
      <c r="X1612" s="151" t="s">
        <v>1429</v>
      </c>
      <c r="Y1612" s="135" t="s">
        <v>55</v>
      </c>
      <c r="Z1612" s="307">
        <v>225</v>
      </c>
      <c r="AB1612" t="str">
        <f>IF(Table1[[#This Row],[TIPO2]]="costo", VLOOKUP(Table1[[#This Row],[PARTIDA PRESUPUESTAL]],'Cost Report'!G:G,1,0),"Balance")</f>
        <v>3110-003</v>
      </c>
      <c r="AC1612" s="118"/>
      <c r="AD1612" s="159">
        <f>+Table1[[#This Row],[SUBTOTAL]]+Table1[[#This Row],[IVA]]-Table1[[#This Row],[RET IVA]]-Table1[[#This Row],[RET ISR]]-Table1[[#This Row],[TOTAL]]</f>
        <v>0</v>
      </c>
      <c r="AE1612" s="150"/>
      <c r="AF1612" s="151"/>
      <c r="AG1612" s="126"/>
      <c r="AK1612" s="306" t="str">
        <f>IF(ISNUMBER(Table1[[#This Row],[FECHA DE RECIBIDO]]), Table1[[#This Row],[FECHA DE RECIBIDO]]-DATE(2023,8,30), "")</f>
        <v/>
      </c>
    </row>
    <row r="1613" spans="1:37" ht="16.05" customHeight="1">
      <c r="A1613" s="152" t="s">
        <v>3449</v>
      </c>
      <c r="B1613" s="153">
        <v>531</v>
      </c>
      <c r="C1613" s="126" t="s">
        <v>1055</v>
      </c>
      <c r="D1613">
        <v>1047</v>
      </c>
      <c r="E1613" s="126" t="s">
        <v>1616</v>
      </c>
      <c r="F1613" s="125" t="s">
        <v>1607</v>
      </c>
      <c r="G1613" s="125" t="s">
        <v>134</v>
      </c>
      <c r="H1613">
        <v>37</v>
      </c>
      <c r="I1613" s="125" t="s">
        <v>1546</v>
      </c>
      <c r="J1613" s="308" t="s">
        <v>214</v>
      </c>
      <c r="K1613" s="127" t="s">
        <v>3418</v>
      </c>
      <c r="L1613" s="153" t="s">
        <v>3306</v>
      </c>
      <c r="M1613">
        <v>337</v>
      </c>
      <c r="N1613" s="123">
        <v>1</v>
      </c>
      <c r="O1613">
        <v>1030</v>
      </c>
      <c r="P1613" s="132" t="s">
        <v>77</v>
      </c>
      <c r="Q1613" s="132">
        <v>789.46</v>
      </c>
      <c r="R1613" s="132">
        <v>126.31</v>
      </c>
      <c r="S1613" s="132"/>
      <c r="T1613" s="156"/>
      <c r="U1613" s="132"/>
      <c r="V1613" s="132">
        <f t="shared" si="38"/>
        <v>915.77</v>
      </c>
      <c r="W1613">
        <v>32</v>
      </c>
      <c r="X1613" s="153" t="s">
        <v>3689</v>
      </c>
      <c r="Y1613" s="124" t="s">
        <v>55</v>
      </c>
      <c r="Z1613" s="308">
        <v>225</v>
      </c>
      <c r="AB1613" t="str">
        <f>IF(Table1[[#This Row],[TIPO2]]="costo", VLOOKUP(Table1[[#This Row],[PARTIDA PRESUPUESTAL]],'Cost Report'!G:G,1,0),"Balance")</f>
        <v>3683-036</v>
      </c>
      <c r="AC1613" s="118"/>
      <c r="AD1613" s="159">
        <f>+Table1[[#This Row],[SUBTOTAL]]+Table1[[#This Row],[IVA]]-Table1[[#This Row],[RET IVA]]-Table1[[#This Row],[RET ISR]]-Table1[[#This Row],[TOTAL]]</f>
        <v>0</v>
      </c>
      <c r="AE1613" s="152"/>
      <c r="AF1613" s="153"/>
      <c r="AG1613" s="126"/>
      <c r="AK1613" s="306" t="str">
        <f>IF(ISNUMBER(Table1[[#This Row],[FECHA DE RECIBIDO]]), Table1[[#This Row],[FECHA DE RECIBIDO]]-DATE(2023,8,30), "")</f>
        <v/>
      </c>
    </row>
    <row r="1614" spans="1:37" ht="16.05" customHeight="1">
      <c r="A1614" s="150" t="s">
        <v>3449</v>
      </c>
      <c r="B1614" s="151">
        <v>531</v>
      </c>
      <c r="C1614" s="126" t="s">
        <v>1055</v>
      </c>
      <c r="D1614">
        <v>1047</v>
      </c>
      <c r="E1614" s="126" t="s">
        <v>1616</v>
      </c>
      <c r="F1614" s="122" t="s">
        <v>1607</v>
      </c>
      <c r="G1614" s="122" t="s">
        <v>134</v>
      </c>
      <c r="H1614">
        <v>37</v>
      </c>
      <c r="I1614" s="122" t="s">
        <v>1546</v>
      </c>
      <c r="J1614" s="307" t="s">
        <v>214</v>
      </c>
      <c r="K1614" s="127" t="s">
        <v>3418</v>
      </c>
      <c r="L1614" s="151" t="s">
        <v>3306</v>
      </c>
      <c r="M1614">
        <v>337</v>
      </c>
      <c r="N1614" s="123">
        <v>1</v>
      </c>
      <c r="O1614">
        <v>1030</v>
      </c>
      <c r="P1614" s="132" t="s">
        <v>77</v>
      </c>
      <c r="Q1614" s="131">
        <v>789.46</v>
      </c>
      <c r="R1614" s="131">
        <v>126.31</v>
      </c>
      <c r="S1614" s="131"/>
      <c r="T1614" s="155"/>
      <c r="U1614" s="131"/>
      <c r="V1614" s="131">
        <f t="shared" si="38"/>
        <v>915.77</v>
      </c>
      <c r="W1614">
        <v>32</v>
      </c>
      <c r="X1614" s="151" t="s">
        <v>3689</v>
      </c>
      <c r="Y1614" s="135" t="s">
        <v>55</v>
      </c>
      <c r="Z1614" s="307">
        <v>225</v>
      </c>
      <c r="AB1614" t="str">
        <f>IF(Table1[[#This Row],[TIPO2]]="costo", VLOOKUP(Table1[[#This Row],[PARTIDA PRESUPUESTAL]],'Cost Report'!G:G,1,0),"Balance")</f>
        <v>3683-036</v>
      </c>
      <c r="AC1614" s="118"/>
      <c r="AD1614" s="159">
        <f>+Table1[[#This Row],[SUBTOTAL]]+Table1[[#This Row],[IVA]]-Table1[[#This Row],[RET IVA]]-Table1[[#This Row],[RET ISR]]-Table1[[#This Row],[TOTAL]]</f>
        <v>0</v>
      </c>
      <c r="AE1614" s="150"/>
      <c r="AF1614" s="151"/>
      <c r="AG1614" s="126"/>
      <c r="AK1614" s="306" t="str">
        <f>IF(ISNUMBER(Table1[[#This Row],[FECHA DE RECIBIDO]]), Table1[[#This Row],[FECHA DE RECIBIDO]]-DATE(2023,8,30), "")</f>
        <v/>
      </c>
    </row>
    <row r="1615" spans="1:37" ht="16.05" customHeight="1">
      <c r="A1615" s="152" t="s">
        <v>3449</v>
      </c>
      <c r="B1615" s="153">
        <v>531</v>
      </c>
      <c r="C1615" s="126" t="s">
        <v>1055</v>
      </c>
      <c r="D1615">
        <v>1047</v>
      </c>
      <c r="E1615" s="126" t="s">
        <v>1616</v>
      </c>
      <c r="F1615" s="125" t="s">
        <v>1607</v>
      </c>
      <c r="G1615" s="125" t="s">
        <v>134</v>
      </c>
      <c r="H1615">
        <v>37</v>
      </c>
      <c r="I1615" s="125" t="s">
        <v>1546</v>
      </c>
      <c r="J1615" s="308" t="s">
        <v>214</v>
      </c>
      <c r="K1615" s="127" t="s">
        <v>3418</v>
      </c>
      <c r="L1615" s="153" t="s">
        <v>3306</v>
      </c>
      <c r="M1615">
        <v>337</v>
      </c>
      <c r="N1615" s="123">
        <v>1</v>
      </c>
      <c r="O1615">
        <v>1030</v>
      </c>
      <c r="P1615" s="132" t="s">
        <v>77</v>
      </c>
      <c r="Q1615" s="132">
        <v>1184.19</v>
      </c>
      <c r="R1615" s="132">
        <v>189.47</v>
      </c>
      <c r="S1615" s="132"/>
      <c r="T1615" s="156"/>
      <c r="U1615" s="132"/>
      <c r="V1615" s="132">
        <f t="shared" si="38"/>
        <v>1373.66</v>
      </c>
      <c r="W1615">
        <v>32</v>
      </c>
      <c r="X1615" s="153" t="s">
        <v>3689</v>
      </c>
      <c r="Y1615" s="124" t="s">
        <v>55</v>
      </c>
      <c r="Z1615" s="308">
        <v>225</v>
      </c>
      <c r="AB1615" t="str">
        <f>IF(Table1[[#This Row],[TIPO2]]="costo", VLOOKUP(Table1[[#This Row],[PARTIDA PRESUPUESTAL]],'Cost Report'!G:G,1,0),"Balance")</f>
        <v>3683-036</v>
      </c>
      <c r="AC1615" s="118"/>
      <c r="AD1615" s="159">
        <f>+Table1[[#This Row],[SUBTOTAL]]+Table1[[#This Row],[IVA]]-Table1[[#This Row],[RET IVA]]-Table1[[#This Row],[RET ISR]]-Table1[[#This Row],[TOTAL]]</f>
        <v>0</v>
      </c>
      <c r="AE1615" s="152"/>
      <c r="AF1615" s="153"/>
      <c r="AG1615" s="126"/>
      <c r="AK1615" s="306" t="str">
        <f>IF(ISNUMBER(Table1[[#This Row],[FECHA DE RECIBIDO]]), Table1[[#This Row],[FECHA DE RECIBIDO]]-DATE(2023,8,30), "")</f>
        <v/>
      </c>
    </row>
    <row r="1616" spans="1:37" ht="16.05" customHeight="1">
      <c r="A1616" s="150" t="s">
        <v>3449</v>
      </c>
      <c r="B1616" s="151">
        <v>531</v>
      </c>
      <c r="C1616" s="126" t="s">
        <v>1055</v>
      </c>
      <c r="D1616">
        <v>1047</v>
      </c>
      <c r="E1616" s="126" t="s">
        <v>1616</v>
      </c>
      <c r="F1616" s="122" t="s">
        <v>1607</v>
      </c>
      <c r="G1616" s="122" t="s">
        <v>134</v>
      </c>
      <c r="H1616">
        <v>37</v>
      </c>
      <c r="I1616" s="122" t="s">
        <v>1546</v>
      </c>
      <c r="J1616" s="307" t="s">
        <v>214</v>
      </c>
      <c r="K1616" s="127" t="s">
        <v>3418</v>
      </c>
      <c r="L1616" s="151" t="s">
        <v>3306</v>
      </c>
      <c r="M1616">
        <v>337</v>
      </c>
      <c r="N1616" s="123">
        <v>1</v>
      </c>
      <c r="O1616">
        <v>1030</v>
      </c>
      <c r="P1616" s="132" t="s">
        <v>77</v>
      </c>
      <c r="Q1616" s="131">
        <v>578.94000000000005</v>
      </c>
      <c r="R1616" s="131">
        <v>92.63</v>
      </c>
      <c r="S1616" s="131"/>
      <c r="T1616" s="155"/>
      <c r="U1616" s="131"/>
      <c r="V1616" s="131">
        <f t="shared" si="38"/>
        <v>671.57</v>
      </c>
      <c r="W1616">
        <v>32</v>
      </c>
      <c r="X1616" s="151" t="s">
        <v>3689</v>
      </c>
      <c r="Y1616" s="135" t="s">
        <v>55</v>
      </c>
      <c r="Z1616" s="307">
        <v>225</v>
      </c>
      <c r="AB1616" t="str">
        <f>IF(Table1[[#This Row],[TIPO2]]="costo", VLOOKUP(Table1[[#This Row],[PARTIDA PRESUPUESTAL]],'Cost Report'!G:G,1,0),"Balance")</f>
        <v>3683-036</v>
      </c>
      <c r="AC1616" s="118"/>
      <c r="AD1616" s="159">
        <f>+Table1[[#This Row],[SUBTOTAL]]+Table1[[#This Row],[IVA]]-Table1[[#This Row],[RET IVA]]-Table1[[#This Row],[RET ISR]]-Table1[[#This Row],[TOTAL]]</f>
        <v>0</v>
      </c>
      <c r="AE1616" s="150"/>
      <c r="AF1616" s="151"/>
      <c r="AG1616" s="126"/>
      <c r="AK1616" s="306" t="str">
        <f>IF(ISNUMBER(Table1[[#This Row],[FECHA DE RECIBIDO]]), Table1[[#This Row],[FECHA DE RECIBIDO]]-DATE(2023,8,30), "")</f>
        <v/>
      </c>
    </row>
    <row r="1617" spans="1:37" ht="16.05" customHeight="1">
      <c r="A1617" s="152" t="s">
        <v>3449</v>
      </c>
      <c r="B1617" s="153">
        <v>531</v>
      </c>
      <c r="C1617" s="126" t="s">
        <v>1055</v>
      </c>
      <c r="D1617">
        <v>1047</v>
      </c>
      <c r="E1617" s="126" t="s">
        <v>1616</v>
      </c>
      <c r="F1617" s="125" t="s">
        <v>1607</v>
      </c>
      <c r="G1617" s="125" t="s">
        <v>134</v>
      </c>
      <c r="H1617">
        <v>37</v>
      </c>
      <c r="I1617" s="125" t="s">
        <v>1546</v>
      </c>
      <c r="J1617" s="308" t="s">
        <v>214</v>
      </c>
      <c r="K1617" s="127" t="s">
        <v>3418</v>
      </c>
      <c r="L1617" s="153" t="s">
        <v>3306</v>
      </c>
      <c r="M1617">
        <v>337</v>
      </c>
      <c r="N1617" s="123">
        <v>1</v>
      </c>
      <c r="O1617">
        <v>1030</v>
      </c>
      <c r="P1617" s="132" t="s">
        <v>77</v>
      </c>
      <c r="Q1617" s="132">
        <v>568.41</v>
      </c>
      <c r="R1617" s="132">
        <v>90.95</v>
      </c>
      <c r="S1617" s="132"/>
      <c r="T1617" s="156"/>
      <c r="U1617" s="132"/>
      <c r="V1617" s="132">
        <f t="shared" si="38"/>
        <v>659.36</v>
      </c>
      <c r="W1617">
        <v>32</v>
      </c>
      <c r="X1617" s="153" t="s">
        <v>3689</v>
      </c>
      <c r="Y1617" s="124" t="s">
        <v>55</v>
      </c>
      <c r="Z1617" s="308">
        <v>225</v>
      </c>
      <c r="AB1617" t="str">
        <f>IF(Table1[[#This Row],[TIPO2]]="costo", VLOOKUP(Table1[[#This Row],[PARTIDA PRESUPUESTAL]],'Cost Report'!G:G,1,0),"Balance")</f>
        <v>3683-036</v>
      </c>
      <c r="AC1617" s="118"/>
      <c r="AD1617" s="159">
        <f>+Table1[[#This Row],[SUBTOTAL]]+Table1[[#This Row],[IVA]]-Table1[[#This Row],[RET IVA]]-Table1[[#This Row],[RET ISR]]-Table1[[#This Row],[TOTAL]]</f>
        <v>0</v>
      </c>
      <c r="AE1617" s="152"/>
      <c r="AF1617" s="153"/>
      <c r="AG1617" s="126"/>
      <c r="AK1617" s="306" t="str">
        <f>IF(ISNUMBER(Table1[[#This Row],[FECHA DE RECIBIDO]]), Table1[[#This Row],[FECHA DE RECIBIDO]]-DATE(2023,8,30), "")</f>
        <v/>
      </c>
    </row>
    <row r="1618" spans="1:37" ht="16.05" customHeight="1">
      <c r="A1618" s="150" t="s">
        <v>3449</v>
      </c>
      <c r="B1618" s="151">
        <v>531</v>
      </c>
      <c r="C1618" s="126" t="s">
        <v>1055</v>
      </c>
      <c r="D1618">
        <v>1047</v>
      </c>
      <c r="E1618" s="126" t="s">
        <v>1616</v>
      </c>
      <c r="F1618" s="122" t="s">
        <v>1607</v>
      </c>
      <c r="G1618" s="122" t="s">
        <v>134</v>
      </c>
      <c r="H1618">
        <v>37</v>
      </c>
      <c r="I1618" s="122" t="s">
        <v>1546</v>
      </c>
      <c r="J1618" s="307" t="s">
        <v>214</v>
      </c>
      <c r="K1618" s="127" t="s">
        <v>3418</v>
      </c>
      <c r="L1618" s="151" t="s">
        <v>3306</v>
      </c>
      <c r="M1618">
        <v>337</v>
      </c>
      <c r="N1618" s="123">
        <v>1</v>
      </c>
      <c r="O1618">
        <v>1030</v>
      </c>
      <c r="P1618" s="132" t="s">
        <v>77</v>
      </c>
      <c r="Q1618" s="131">
        <v>284.20999999999998</v>
      </c>
      <c r="R1618" s="131">
        <v>45.47</v>
      </c>
      <c r="S1618" s="131"/>
      <c r="T1618" s="155"/>
      <c r="U1618" s="131"/>
      <c r="V1618" s="131">
        <f t="shared" si="38"/>
        <v>329.67999999999995</v>
      </c>
      <c r="W1618">
        <v>32</v>
      </c>
      <c r="X1618" s="151" t="s">
        <v>3689</v>
      </c>
      <c r="Y1618" s="135" t="s">
        <v>55</v>
      </c>
      <c r="Z1618" s="307">
        <v>225</v>
      </c>
      <c r="AB1618" t="str">
        <f>IF(Table1[[#This Row],[TIPO2]]="costo", VLOOKUP(Table1[[#This Row],[PARTIDA PRESUPUESTAL]],'Cost Report'!G:G,1,0),"Balance")</f>
        <v>3683-036</v>
      </c>
      <c r="AC1618" s="118"/>
      <c r="AD1618" s="159">
        <f>+Table1[[#This Row],[SUBTOTAL]]+Table1[[#This Row],[IVA]]-Table1[[#This Row],[RET IVA]]-Table1[[#This Row],[RET ISR]]-Table1[[#This Row],[TOTAL]]</f>
        <v>0</v>
      </c>
      <c r="AE1618" s="150"/>
      <c r="AF1618" s="151"/>
      <c r="AG1618" s="126"/>
      <c r="AK1618" s="306" t="str">
        <f>IF(ISNUMBER(Table1[[#This Row],[FECHA DE RECIBIDO]]), Table1[[#This Row],[FECHA DE RECIBIDO]]-DATE(2023,8,30), "")</f>
        <v/>
      </c>
    </row>
    <row r="1619" spans="1:37" ht="16.05" customHeight="1">
      <c r="A1619" s="152" t="s">
        <v>3449</v>
      </c>
      <c r="B1619" s="153">
        <v>531</v>
      </c>
      <c r="C1619" s="126" t="s">
        <v>1055</v>
      </c>
      <c r="D1619">
        <v>1047</v>
      </c>
      <c r="E1619" s="126" t="s">
        <v>1616</v>
      </c>
      <c r="F1619" s="125" t="s">
        <v>1607</v>
      </c>
      <c r="G1619" s="125" t="s">
        <v>134</v>
      </c>
      <c r="H1619">
        <v>37</v>
      </c>
      <c r="I1619" s="125" t="s">
        <v>1546</v>
      </c>
      <c r="J1619" s="308" t="s">
        <v>214</v>
      </c>
      <c r="K1619" s="127" t="s">
        <v>3418</v>
      </c>
      <c r="L1619" s="153" t="s">
        <v>3306</v>
      </c>
      <c r="M1619">
        <v>337</v>
      </c>
      <c r="N1619" s="123">
        <v>1</v>
      </c>
      <c r="O1619">
        <v>1030</v>
      </c>
      <c r="P1619" s="132" t="s">
        <v>77</v>
      </c>
      <c r="Q1619" s="132">
        <v>568.41</v>
      </c>
      <c r="R1619" s="132">
        <v>90.95</v>
      </c>
      <c r="S1619" s="132"/>
      <c r="T1619" s="156"/>
      <c r="U1619" s="132"/>
      <c r="V1619" s="132">
        <f t="shared" si="38"/>
        <v>659.36</v>
      </c>
      <c r="W1619">
        <v>32</v>
      </c>
      <c r="X1619" s="153" t="s">
        <v>3689</v>
      </c>
      <c r="Y1619" s="124" t="s">
        <v>55</v>
      </c>
      <c r="Z1619" s="308">
        <v>225</v>
      </c>
      <c r="AB1619" t="str">
        <f>IF(Table1[[#This Row],[TIPO2]]="costo", VLOOKUP(Table1[[#This Row],[PARTIDA PRESUPUESTAL]],'Cost Report'!G:G,1,0),"Balance")</f>
        <v>3683-036</v>
      </c>
      <c r="AC1619" s="118"/>
      <c r="AD1619" s="159">
        <f>+Table1[[#This Row],[SUBTOTAL]]+Table1[[#This Row],[IVA]]-Table1[[#This Row],[RET IVA]]-Table1[[#This Row],[RET ISR]]-Table1[[#This Row],[TOTAL]]</f>
        <v>0</v>
      </c>
      <c r="AE1619" s="152"/>
      <c r="AF1619" s="153"/>
      <c r="AG1619" s="126"/>
      <c r="AK1619" s="306" t="str">
        <f>IF(ISNUMBER(Table1[[#This Row],[FECHA DE RECIBIDO]]), Table1[[#This Row],[FECHA DE RECIBIDO]]-DATE(2023,8,30), "")</f>
        <v/>
      </c>
    </row>
    <row r="1620" spans="1:37" ht="16.05" customHeight="1">
      <c r="A1620" s="150" t="s">
        <v>3449</v>
      </c>
      <c r="B1620" s="151">
        <v>531</v>
      </c>
      <c r="C1620" s="126" t="s">
        <v>1055</v>
      </c>
      <c r="D1620">
        <v>1047</v>
      </c>
      <c r="E1620" s="126" t="s">
        <v>1616</v>
      </c>
      <c r="F1620" s="122" t="s">
        <v>1607</v>
      </c>
      <c r="G1620" s="122" t="s">
        <v>134</v>
      </c>
      <c r="H1620">
        <v>37</v>
      </c>
      <c r="I1620" s="122" t="s">
        <v>1546</v>
      </c>
      <c r="J1620" s="307" t="s">
        <v>214</v>
      </c>
      <c r="K1620" s="127" t="s">
        <v>3418</v>
      </c>
      <c r="L1620" s="151" t="s">
        <v>3306</v>
      </c>
      <c r="M1620">
        <v>337</v>
      </c>
      <c r="N1620" s="123">
        <v>1</v>
      </c>
      <c r="O1620">
        <v>1030</v>
      </c>
      <c r="P1620" s="132" t="s">
        <v>77</v>
      </c>
      <c r="Q1620" s="131">
        <v>578.94000000000005</v>
      </c>
      <c r="R1620" s="131">
        <v>92.63</v>
      </c>
      <c r="S1620" s="131"/>
      <c r="T1620" s="155"/>
      <c r="U1620" s="131"/>
      <c r="V1620" s="131">
        <f t="shared" si="38"/>
        <v>671.57</v>
      </c>
      <c r="W1620">
        <v>32</v>
      </c>
      <c r="X1620" s="151" t="s">
        <v>3689</v>
      </c>
      <c r="Y1620" s="135" t="s">
        <v>55</v>
      </c>
      <c r="Z1620" s="307">
        <v>225</v>
      </c>
      <c r="AB1620" t="str">
        <f>IF(Table1[[#This Row],[TIPO2]]="costo", VLOOKUP(Table1[[#This Row],[PARTIDA PRESUPUESTAL]],'Cost Report'!G:G,1,0),"Balance")</f>
        <v>3683-036</v>
      </c>
      <c r="AC1620" s="118"/>
      <c r="AD1620" s="159">
        <f>+Table1[[#This Row],[SUBTOTAL]]+Table1[[#This Row],[IVA]]-Table1[[#This Row],[RET IVA]]-Table1[[#This Row],[RET ISR]]-Table1[[#This Row],[TOTAL]]</f>
        <v>0</v>
      </c>
      <c r="AE1620" s="150"/>
      <c r="AF1620" s="151"/>
      <c r="AG1620" s="126"/>
      <c r="AK1620" s="306" t="str">
        <f>IF(ISNUMBER(Table1[[#This Row],[FECHA DE RECIBIDO]]), Table1[[#This Row],[FECHA DE RECIBIDO]]-DATE(2023,8,30), "")</f>
        <v/>
      </c>
    </row>
    <row r="1621" spans="1:37" ht="16.05" customHeight="1">
      <c r="A1621" s="152" t="s">
        <v>3449</v>
      </c>
      <c r="B1621" s="153">
        <v>531</v>
      </c>
      <c r="C1621" s="126" t="s">
        <v>1055</v>
      </c>
      <c r="D1621">
        <v>1047</v>
      </c>
      <c r="E1621" s="126" t="s">
        <v>1616</v>
      </c>
      <c r="F1621" s="125" t="s">
        <v>1607</v>
      </c>
      <c r="G1621" s="125" t="s">
        <v>134</v>
      </c>
      <c r="H1621">
        <v>37</v>
      </c>
      <c r="I1621" s="125" t="s">
        <v>1546</v>
      </c>
      <c r="J1621" s="308" t="s">
        <v>214</v>
      </c>
      <c r="K1621" s="127" t="s">
        <v>3418</v>
      </c>
      <c r="L1621" s="153" t="s">
        <v>3306</v>
      </c>
      <c r="M1621">
        <v>337</v>
      </c>
      <c r="N1621" s="123">
        <v>1</v>
      </c>
      <c r="O1621">
        <v>1030</v>
      </c>
      <c r="P1621" s="132" t="s">
        <v>77</v>
      </c>
      <c r="Q1621" s="132">
        <v>578.94000000000005</v>
      </c>
      <c r="R1621" s="132">
        <v>92.63</v>
      </c>
      <c r="S1621" s="132"/>
      <c r="T1621" s="156"/>
      <c r="U1621" s="132"/>
      <c r="V1621" s="132">
        <f t="shared" si="38"/>
        <v>671.57</v>
      </c>
      <c r="W1621">
        <v>32</v>
      </c>
      <c r="X1621" s="153" t="s">
        <v>3689</v>
      </c>
      <c r="Y1621" s="124" t="s">
        <v>55</v>
      </c>
      <c r="Z1621" s="308">
        <v>225</v>
      </c>
      <c r="AB1621" t="str">
        <f>IF(Table1[[#This Row],[TIPO2]]="costo", VLOOKUP(Table1[[#This Row],[PARTIDA PRESUPUESTAL]],'Cost Report'!G:G,1,0),"Balance")</f>
        <v>3683-036</v>
      </c>
      <c r="AC1621" s="118"/>
      <c r="AD1621" s="159">
        <f>+Table1[[#This Row],[SUBTOTAL]]+Table1[[#This Row],[IVA]]-Table1[[#This Row],[RET IVA]]-Table1[[#This Row],[RET ISR]]-Table1[[#This Row],[TOTAL]]</f>
        <v>0</v>
      </c>
      <c r="AE1621" s="152"/>
      <c r="AF1621" s="153"/>
      <c r="AG1621" s="126"/>
      <c r="AK1621" s="306" t="str">
        <f>IF(ISNUMBER(Table1[[#This Row],[FECHA DE RECIBIDO]]), Table1[[#This Row],[FECHA DE RECIBIDO]]-DATE(2023,8,30), "")</f>
        <v/>
      </c>
    </row>
    <row r="1622" spans="1:37" ht="16.05" customHeight="1">
      <c r="A1622" s="150" t="s">
        <v>3449</v>
      </c>
      <c r="B1622" s="151">
        <v>531</v>
      </c>
      <c r="C1622" s="126" t="s">
        <v>1055</v>
      </c>
      <c r="D1622">
        <v>1047</v>
      </c>
      <c r="E1622" s="126" t="s">
        <v>1616</v>
      </c>
      <c r="F1622" s="122" t="s">
        <v>1607</v>
      </c>
      <c r="G1622" s="122" t="s">
        <v>134</v>
      </c>
      <c r="H1622">
        <v>37</v>
      </c>
      <c r="I1622" s="122" t="s">
        <v>1546</v>
      </c>
      <c r="J1622" s="307" t="s">
        <v>214</v>
      </c>
      <c r="K1622" s="127" t="s">
        <v>3418</v>
      </c>
      <c r="L1622" s="151" t="s">
        <v>3306</v>
      </c>
      <c r="M1622">
        <v>337</v>
      </c>
      <c r="N1622" s="123">
        <v>1</v>
      </c>
      <c r="O1622">
        <v>1030</v>
      </c>
      <c r="P1622" s="132" t="s">
        <v>77</v>
      </c>
      <c r="Q1622" s="131">
        <v>394.73</v>
      </c>
      <c r="R1622" s="131">
        <v>63.16</v>
      </c>
      <c r="S1622" s="131"/>
      <c r="T1622" s="155"/>
      <c r="U1622" s="131"/>
      <c r="V1622" s="131">
        <f t="shared" si="38"/>
        <v>457.89</v>
      </c>
      <c r="W1622">
        <v>32</v>
      </c>
      <c r="X1622" s="151" t="s">
        <v>3689</v>
      </c>
      <c r="Y1622" s="135" t="s">
        <v>55</v>
      </c>
      <c r="Z1622" s="307">
        <v>225</v>
      </c>
      <c r="AB1622" t="str">
        <f>IF(Table1[[#This Row],[TIPO2]]="costo", VLOOKUP(Table1[[#This Row],[PARTIDA PRESUPUESTAL]],'Cost Report'!G:G,1,0),"Balance")</f>
        <v>3683-036</v>
      </c>
      <c r="AC1622" s="118"/>
      <c r="AD1622" s="159">
        <f>+Table1[[#This Row],[SUBTOTAL]]+Table1[[#This Row],[IVA]]-Table1[[#This Row],[RET IVA]]-Table1[[#This Row],[RET ISR]]-Table1[[#This Row],[TOTAL]]</f>
        <v>0</v>
      </c>
      <c r="AE1622" s="150"/>
      <c r="AF1622" s="151"/>
      <c r="AG1622" s="126"/>
      <c r="AK1622" s="306" t="str">
        <f>IF(ISNUMBER(Table1[[#This Row],[FECHA DE RECIBIDO]]), Table1[[#This Row],[FECHA DE RECIBIDO]]-DATE(2023,8,30), "")</f>
        <v/>
      </c>
    </row>
    <row r="1623" spans="1:37" ht="16.05" customHeight="1">
      <c r="A1623" s="152" t="s">
        <v>3449</v>
      </c>
      <c r="B1623" s="153">
        <v>531</v>
      </c>
      <c r="C1623" s="126" t="s">
        <v>1055</v>
      </c>
      <c r="D1623">
        <v>1047</v>
      </c>
      <c r="E1623" s="126" t="s">
        <v>1616</v>
      </c>
      <c r="F1623" s="125" t="s">
        <v>1607</v>
      </c>
      <c r="G1623" s="125" t="s">
        <v>134</v>
      </c>
      <c r="H1623">
        <v>37</v>
      </c>
      <c r="I1623" s="125" t="s">
        <v>1546</v>
      </c>
      <c r="J1623" s="308" t="s">
        <v>214</v>
      </c>
      <c r="K1623" s="127" t="s">
        <v>3418</v>
      </c>
      <c r="L1623" s="153" t="s">
        <v>3306</v>
      </c>
      <c r="M1623">
        <v>337</v>
      </c>
      <c r="N1623" s="123">
        <v>1</v>
      </c>
      <c r="O1623">
        <v>1030</v>
      </c>
      <c r="P1623" s="132" t="s">
        <v>77</v>
      </c>
      <c r="Q1623" s="132">
        <v>394.73</v>
      </c>
      <c r="R1623" s="132">
        <v>63.16</v>
      </c>
      <c r="S1623" s="132"/>
      <c r="T1623" s="156"/>
      <c r="U1623" s="132"/>
      <c r="V1623" s="132">
        <f t="shared" si="38"/>
        <v>457.89</v>
      </c>
      <c r="W1623">
        <v>32</v>
      </c>
      <c r="X1623" s="153" t="s">
        <v>3689</v>
      </c>
      <c r="Y1623" s="124" t="s">
        <v>55</v>
      </c>
      <c r="Z1623" s="308">
        <v>225</v>
      </c>
      <c r="AB1623" t="str">
        <f>IF(Table1[[#This Row],[TIPO2]]="costo", VLOOKUP(Table1[[#This Row],[PARTIDA PRESUPUESTAL]],'Cost Report'!G:G,1,0),"Balance")</f>
        <v>3683-036</v>
      </c>
      <c r="AC1623" s="118"/>
      <c r="AD1623" s="159">
        <f>+Table1[[#This Row],[SUBTOTAL]]+Table1[[#This Row],[IVA]]-Table1[[#This Row],[RET IVA]]-Table1[[#This Row],[RET ISR]]-Table1[[#This Row],[TOTAL]]</f>
        <v>0</v>
      </c>
      <c r="AE1623" s="152"/>
      <c r="AF1623" s="153"/>
      <c r="AG1623" s="126"/>
      <c r="AK1623" s="306" t="str">
        <f>IF(ISNUMBER(Table1[[#This Row],[FECHA DE RECIBIDO]]), Table1[[#This Row],[FECHA DE RECIBIDO]]-DATE(2023,8,30), "")</f>
        <v/>
      </c>
    </row>
    <row r="1624" spans="1:37" ht="16.05" customHeight="1">
      <c r="A1624" s="150" t="s">
        <v>3449</v>
      </c>
      <c r="B1624" s="151">
        <v>531</v>
      </c>
      <c r="C1624" s="126" t="s">
        <v>1055</v>
      </c>
      <c r="D1624">
        <v>1047</v>
      </c>
      <c r="E1624" s="126" t="s">
        <v>1616</v>
      </c>
      <c r="F1624" s="122" t="s">
        <v>1607</v>
      </c>
      <c r="G1624" s="122" t="s">
        <v>134</v>
      </c>
      <c r="H1624">
        <v>37</v>
      </c>
      <c r="I1624" s="122" t="s">
        <v>1546</v>
      </c>
      <c r="J1624" s="307" t="s">
        <v>214</v>
      </c>
      <c r="K1624" s="127" t="s">
        <v>3418</v>
      </c>
      <c r="L1624" s="151" t="s">
        <v>3306</v>
      </c>
      <c r="M1624">
        <v>337</v>
      </c>
      <c r="N1624" s="123">
        <v>1</v>
      </c>
      <c r="O1624">
        <v>1030</v>
      </c>
      <c r="P1624" s="132" t="s">
        <v>77</v>
      </c>
      <c r="Q1624" s="131">
        <v>394.73</v>
      </c>
      <c r="R1624" s="131">
        <v>63.16</v>
      </c>
      <c r="S1624" s="131"/>
      <c r="T1624" s="155"/>
      <c r="U1624" s="131"/>
      <c r="V1624" s="131">
        <f t="shared" si="38"/>
        <v>457.89</v>
      </c>
      <c r="W1624">
        <v>32</v>
      </c>
      <c r="X1624" s="151" t="s">
        <v>3689</v>
      </c>
      <c r="Y1624" s="135" t="s">
        <v>55</v>
      </c>
      <c r="Z1624" s="307">
        <v>225</v>
      </c>
      <c r="AB1624" t="str">
        <f>IF(Table1[[#This Row],[TIPO2]]="costo", VLOOKUP(Table1[[#This Row],[PARTIDA PRESUPUESTAL]],'Cost Report'!G:G,1,0),"Balance")</f>
        <v>3683-036</v>
      </c>
      <c r="AC1624" s="118"/>
      <c r="AD1624" s="159">
        <f>+Table1[[#This Row],[SUBTOTAL]]+Table1[[#This Row],[IVA]]-Table1[[#This Row],[RET IVA]]-Table1[[#This Row],[RET ISR]]-Table1[[#This Row],[TOTAL]]</f>
        <v>0</v>
      </c>
      <c r="AE1624" s="150"/>
      <c r="AF1624" s="151"/>
      <c r="AG1624" s="126"/>
      <c r="AK1624" s="306" t="str">
        <f>IF(ISNUMBER(Table1[[#This Row],[FECHA DE RECIBIDO]]), Table1[[#This Row],[FECHA DE RECIBIDO]]-DATE(2023,8,30), "")</f>
        <v/>
      </c>
    </row>
    <row r="1625" spans="1:37" ht="16.05" customHeight="1">
      <c r="A1625" s="152" t="s">
        <v>3449</v>
      </c>
      <c r="B1625" s="153">
        <v>531</v>
      </c>
      <c r="C1625" s="126" t="s">
        <v>1055</v>
      </c>
      <c r="D1625">
        <v>1047</v>
      </c>
      <c r="E1625" s="126" t="s">
        <v>1616</v>
      </c>
      <c r="F1625" s="125" t="s">
        <v>1607</v>
      </c>
      <c r="G1625" s="125" t="s">
        <v>134</v>
      </c>
      <c r="H1625">
        <v>37</v>
      </c>
      <c r="I1625" s="125" t="s">
        <v>1546</v>
      </c>
      <c r="J1625" s="308" t="s">
        <v>214</v>
      </c>
      <c r="K1625" s="127" t="s">
        <v>3418</v>
      </c>
      <c r="L1625" s="153" t="s">
        <v>3306</v>
      </c>
      <c r="M1625">
        <v>337</v>
      </c>
      <c r="N1625" s="123">
        <v>1</v>
      </c>
      <c r="O1625">
        <v>1030</v>
      </c>
      <c r="P1625" s="132" t="s">
        <v>77</v>
      </c>
      <c r="Q1625" s="132">
        <v>394.73</v>
      </c>
      <c r="R1625" s="132">
        <v>63.16</v>
      </c>
      <c r="S1625" s="132"/>
      <c r="T1625" s="156"/>
      <c r="U1625" s="132"/>
      <c r="V1625" s="132">
        <f t="shared" si="38"/>
        <v>457.89</v>
      </c>
      <c r="W1625">
        <v>32</v>
      </c>
      <c r="X1625" s="153" t="s">
        <v>3689</v>
      </c>
      <c r="Y1625" s="124" t="s">
        <v>55</v>
      </c>
      <c r="Z1625" s="308">
        <v>225</v>
      </c>
      <c r="AB1625" t="str">
        <f>IF(Table1[[#This Row],[TIPO2]]="costo", VLOOKUP(Table1[[#This Row],[PARTIDA PRESUPUESTAL]],'Cost Report'!G:G,1,0),"Balance")</f>
        <v>3683-036</v>
      </c>
      <c r="AC1625" s="118"/>
      <c r="AD1625" s="159">
        <f>+Table1[[#This Row],[SUBTOTAL]]+Table1[[#This Row],[IVA]]-Table1[[#This Row],[RET IVA]]-Table1[[#This Row],[RET ISR]]-Table1[[#This Row],[TOTAL]]</f>
        <v>0</v>
      </c>
      <c r="AE1625" s="152"/>
      <c r="AF1625" s="153"/>
      <c r="AG1625" s="126"/>
      <c r="AK1625" s="306" t="str">
        <f>IF(ISNUMBER(Table1[[#This Row],[FECHA DE RECIBIDO]]), Table1[[#This Row],[FECHA DE RECIBIDO]]-DATE(2023,8,30), "")</f>
        <v/>
      </c>
    </row>
    <row r="1626" spans="1:37" ht="16.05" customHeight="1">
      <c r="A1626" s="150" t="s">
        <v>3449</v>
      </c>
      <c r="B1626" s="151">
        <v>531</v>
      </c>
      <c r="C1626" s="126" t="s">
        <v>1055</v>
      </c>
      <c r="D1626">
        <v>1047</v>
      </c>
      <c r="E1626" s="126" t="s">
        <v>1616</v>
      </c>
      <c r="F1626" s="122" t="s">
        <v>1607</v>
      </c>
      <c r="G1626" s="122" t="s">
        <v>134</v>
      </c>
      <c r="H1626">
        <v>37</v>
      </c>
      <c r="I1626" s="122" t="s">
        <v>1546</v>
      </c>
      <c r="J1626" s="307" t="s">
        <v>214</v>
      </c>
      <c r="K1626" s="127" t="s">
        <v>3418</v>
      </c>
      <c r="L1626" s="151" t="s">
        <v>3306</v>
      </c>
      <c r="M1626">
        <v>337</v>
      </c>
      <c r="N1626" s="123">
        <v>1</v>
      </c>
      <c r="O1626">
        <v>1030</v>
      </c>
      <c r="P1626" s="132" t="s">
        <v>77</v>
      </c>
      <c r="Q1626" s="131">
        <v>578.94000000000005</v>
      </c>
      <c r="R1626" s="131">
        <v>92.63</v>
      </c>
      <c r="S1626" s="131"/>
      <c r="T1626" s="155"/>
      <c r="U1626" s="131"/>
      <c r="V1626" s="131">
        <f t="shared" si="38"/>
        <v>671.57</v>
      </c>
      <c r="W1626">
        <v>32</v>
      </c>
      <c r="X1626" s="151" t="s">
        <v>3689</v>
      </c>
      <c r="Y1626" s="135" t="s">
        <v>55</v>
      </c>
      <c r="Z1626" s="307">
        <v>225</v>
      </c>
      <c r="AB1626" t="str">
        <f>IF(Table1[[#This Row],[TIPO2]]="costo", VLOOKUP(Table1[[#This Row],[PARTIDA PRESUPUESTAL]],'Cost Report'!G:G,1,0),"Balance")</f>
        <v>3683-036</v>
      </c>
      <c r="AC1626" s="118"/>
      <c r="AD1626" s="159">
        <f>+Table1[[#This Row],[SUBTOTAL]]+Table1[[#This Row],[IVA]]-Table1[[#This Row],[RET IVA]]-Table1[[#This Row],[RET ISR]]-Table1[[#This Row],[TOTAL]]</f>
        <v>0</v>
      </c>
      <c r="AE1626" s="150"/>
      <c r="AF1626" s="151"/>
      <c r="AG1626" s="126"/>
      <c r="AK1626" s="306" t="str">
        <f>IF(ISNUMBER(Table1[[#This Row],[FECHA DE RECIBIDO]]), Table1[[#This Row],[FECHA DE RECIBIDO]]-DATE(2023,8,30), "")</f>
        <v/>
      </c>
    </row>
    <row r="1627" spans="1:37" ht="16.05" customHeight="1">
      <c r="A1627" s="152" t="s">
        <v>3449</v>
      </c>
      <c r="B1627" s="153">
        <v>531</v>
      </c>
      <c r="C1627" s="126" t="s">
        <v>1055</v>
      </c>
      <c r="D1627">
        <v>1047</v>
      </c>
      <c r="E1627" s="126" t="s">
        <v>1616</v>
      </c>
      <c r="F1627" s="125" t="s">
        <v>1607</v>
      </c>
      <c r="G1627" s="125" t="s">
        <v>134</v>
      </c>
      <c r="H1627">
        <v>37</v>
      </c>
      <c r="I1627" s="125" t="s">
        <v>1546</v>
      </c>
      <c r="J1627" s="308" t="s">
        <v>214</v>
      </c>
      <c r="K1627" s="127" t="s">
        <v>3418</v>
      </c>
      <c r="L1627" s="153" t="s">
        <v>3306</v>
      </c>
      <c r="M1627">
        <v>337</v>
      </c>
      <c r="N1627" s="123">
        <v>1</v>
      </c>
      <c r="O1627">
        <v>1030</v>
      </c>
      <c r="P1627" s="132" t="s">
        <v>77</v>
      </c>
      <c r="Q1627" s="132">
        <v>394.73</v>
      </c>
      <c r="R1627" s="132">
        <v>63.16</v>
      </c>
      <c r="S1627" s="132"/>
      <c r="T1627" s="156"/>
      <c r="U1627" s="132"/>
      <c r="V1627" s="132">
        <f t="shared" si="38"/>
        <v>457.89</v>
      </c>
      <c r="W1627">
        <v>32</v>
      </c>
      <c r="X1627" s="153" t="s">
        <v>3689</v>
      </c>
      <c r="Y1627" s="124" t="s">
        <v>55</v>
      </c>
      <c r="Z1627" s="308">
        <v>225</v>
      </c>
      <c r="AB1627" t="str">
        <f>IF(Table1[[#This Row],[TIPO2]]="costo", VLOOKUP(Table1[[#This Row],[PARTIDA PRESUPUESTAL]],'Cost Report'!G:G,1,0),"Balance")</f>
        <v>3683-036</v>
      </c>
      <c r="AC1627" s="118"/>
      <c r="AD1627" s="159">
        <f>+Table1[[#This Row],[SUBTOTAL]]+Table1[[#This Row],[IVA]]-Table1[[#This Row],[RET IVA]]-Table1[[#This Row],[RET ISR]]-Table1[[#This Row],[TOTAL]]</f>
        <v>0</v>
      </c>
      <c r="AE1627" s="152"/>
      <c r="AF1627" s="153"/>
      <c r="AG1627" s="126"/>
      <c r="AK1627" s="306" t="str">
        <f>IF(ISNUMBER(Table1[[#This Row],[FECHA DE RECIBIDO]]), Table1[[#This Row],[FECHA DE RECIBIDO]]-DATE(2023,8,30), "")</f>
        <v/>
      </c>
    </row>
    <row r="1628" spans="1:37" ht="16.05" customHeight="1">
      <c r="A1628" s="150" t="s">
        <v>3449</v>
      </c>
      <c r="B1628" s="151">
        <v>531</v>
      </c>
      <c r="C1628" s="126" t="s">
        <v>1055</v>
      </c>
      <c r="D1628">
        <v>1047</v>
      </c>
      <c r="E1628" s="126" t="s">
        <v>1616</v>
      </c>
      <c r="F1628" s="122" t="s">
        <v>1607</v>
      </c>
      <c r="G1628" s="122" t="s">
        <v>134</v>
      </c>
      <c r="H1628">
        <v>37</v>
      </c>
      <c r="I1628" s="122" t="s">
        <v>1546</v>
      </c>
      <c r="J1628" s="307" t="s">
        <v>214</v>
      </c>
      <c r="K1628" s="127" t="s">
        <v>3418</v>
      </c>
      <c r="L1628" s="151" t="s">
        <v>3306</v>
      </c>
      <c r="M1628">
        <v>337</v>
      </c>
      <c r="N1628" s="123">
        <v>1</v>
      </c>
      <c r="O1628">
        <v>1030</v>
      </c>
      <c r="P1628" s="132" t="s">
        <v>77</v>
      </c>
      <c r="Q1628" s="131">
        <v>578.94000000000005</v>
      </c>
      <c r="R1628" s="131">
        <v>92.63</v>
      </c>
      <c r="S1628" s="131"/>
      <c r="T1628" s="155"/>
      <c r="U1628" s="131"/>
      <c r="V1628" s="131">
        <f t="shared" si="38"/>
        <v>671.57</v>
      </c>
      <c r="W1628">
        <v>32</v>
      </c>
      <c r="X1628" s="151" t="s">
        <v>3689</v>
      </c>
      <c r="Y1628" s="135" t="s">
        <v>55</v>
      </c>
      <c r="Z1628" s="307">
        <v>225</v>
      </c>
      <c r="AB1628" t="str">
        <f>IF(Table1[[#This Row],[TIPO2]]="costo", VLOOKUP(Table1[[#This Row],[PARTIDA PRESUPUESTAL]],'Cost Report'!G:G,1,0),"Balance")</f>
        <v>3683-036</v>
      </c>
      <c r="AC1628" s="118"/>
      <c r="AD1628" s="159">
        <f>+Table1[[#This Row],[SUBTOTAL]]+Table1[[#This Row],[IVA]]-Table1[[#This Row],[RET IVA]]-Table1[[#This Row],[RET ISR]]-Table1[[#This Row],[TOTAL]]</f>
        <v>0</v>
      </c>
      <c r="AE1628" s="150"/>
      <c r="AF1628" s="151"/>
      <c r="AG1628" s="126"/>
      <c r="AK1628" s="306" t="str">
        <f>IF(ISNUMBER(Table1[[#This Row],[FECHA DE RECIBIDO]]), Table1[[#This Row],[FECHA DE RECIBIDO]]-DATE(2023,8,30), "")</f>
        <v/>
      </c>
    </row>
    <row r="1629" spans="1:37" ht="16.05" customHeight="1">
      <c r="A1629" s="152" t="s">
        <v>3449</v>
      </c>
      <c r="B1629" s="153">
        <v>531</v>
      </c>
      <c r="C1629" s="126" t="s">
        <v>1055</v>
      </c>
      <c r="D1629">
        <v>1047</v>
      </c>
      <c r="E1629" s="126" t="s">
        <v>1616</v>
      </c>
      <c r="F1629" s="125" t="s">
        <v>1607</v>
      </c>
      <c r="G1629" s="125" t="s">
        <v>134</v>
      </c>
      <c r="H1629">
        <v>37</v>
      </c>
      <c r="I1629" s="125" t="s">
        <v>1546</v>
      </c>
      <c r="J1629" s="308" t="s">
        <v>214</v>
      </c>
      <c r="K1629" s="127" t="s">
        <v>3418</v>
      </c>
      <c r="L1629" s="153" t="s">
        <v>3306</v>
      </c>
      <c r="M1629">
        <v>337</v>
      </c>
      <c r="N1629" s="123">
        <v>1</v>
      </c>
      <c r="O1629">
        <v>1030</v>
      </c>
      <c r="P1629" s="132" t="s">
        <v>77</v>
      </c>
      <c r="Q1629" s="132">
        <v>592.1</v>
      </c>
      <c r="R1629" s="132">
        <v>94.74</v>
      </c>
      <c r="S1629" s="132"/>
      <c r="T1629" s="156"/>
      <c r="U1629" s="132"/>
      <c r="V1629" s="132">
        <f t="shared" si="38"/>
        <v>686.84</v>
      </c>
      <c r="W1629">
        <v>32</v>
      </c>
      <c r="X1629" s="153" t="s">
        <v>3689</v>
      </c>
      <c r="Y1629" s="124" t="s">
        <v>55</v>
      </c>
      <c r="Z1629" s="308">
        <v>225</v>
      </c>
      <c r="AB1629" t="str">
        <f>IF(Table1[[#This Row],[TIPO2]]="costo", VLOOKUP(Table1[[#This Row],[PARTIDA PRESUPUESTAL]],'Cost Report'!G:G,1,0),"Balance")</f>
        <v>3683-036</v>
      </c>
      <c r="AC1629" s="118"/>
      <c r="AD1629" s="159">
        <f>+Table1[[#This Row],[SUBTOTAL]]+Table1[[#This Row],[IVA]]-Table1[[#This Row],[RET IVA]]-Table1[[#This Row],[RET ISR]]-Table1[[#This Row],[TOTAL]]</f>
        <v>0</v>
      </c>
      <c r="AE1629" s="152"/>
      <c r="AF1629" s="153"/>
      <c r="AG1629" s="126"/>
      <c r="AK1629" s="306" t="str">
        <f>IF(ISNUMBER(Table1[[#This Row],[FECHA DE RECIBIDO]]), Table1[[#This Row],[FECHA DE RECIBIDO]]-DATE(2023,8,30), "")</f>
        <v/>
      </c>
    </row>
    <row r="1630" spans="1:37" ht="16.05" customHeight="1">
      <c r="A1630" s="150" t="s">
        <v>3449</v>
      </c>
      <c r="B1630" s="151">
        <v>531</v>
      </c>
      <c r="C1630" s="126" t="s">
        <v>1055</v>
      </c>
      <c r="D1630">
        <v>1047</v>
      </c>
      <c r="E1630" s="126" t="s">
        <v>1616</v>
      </c>
      <c r="F1630" s="122" t="s">
        <v>1607</v>
      </c>
      <c r="G1630" s="122" t="s">
        <v>134</v>
      </c>
      <c r="H1630">
        <v>37</v>
      </c>
      <c r="I1630" s="122" t="s">
        <v>1546</v>
      </c>
      <c r="J1630" s="307" t="s">
        <v>214</v>
      </c>
      <c r="K1630" s="127" t="s">
        <v>3418</v>
      </c>
      <c r="L1630" s="151" t="s">
        <v>3306</v>
      </c>
      <c r="M1630">
        <v>337</v>
      </c>
      <c r="N1630" s="123">
        <v>1</v>
      </c>
      <c r="O1630">
        <v>1030</v>
      </c>
      <c r="P1630" s="132" t="s">
        <v>77</v>
      </c>
      <c r="Q1630" s="131">
        <v>736.83</v>
      </c>
      <c r="R1630" s="131">
        <v>117.89</v>
      </c>
      <c r="S1630" s="131"/>
      <c r="T1630" s="155"/>
      <c r="U1630" s="131"/>
      <c r="V1630" s="131">
        <f t="shared" si="38"/>
        <v>854.72</v>
      </c>
      <c r="W1630">
        <v>32</v>
      </c>
      <c r="X1630" s="151" t="s">
        <v>3689</v>
      </c>
      <c r="Y1630" s="135" t="s">
        <v>55</v>
      </c>
      <c r="Z1630" s="307">
        <v>225</v>
      </c>
      <c r="AB1630" t="str">
        <f>IF(Table1[[#This Row],[TIPO2]]="costo", VLOOKUP(Table1[[#This Row],[PARTIDA PRESUPUESTAL]],'Cost Report'!G:G,1,0),"Balance")</f>
        <v>3683-036</v>
      </c>
      <c r="AC1630" s="118"/>
      <c r="AD1630" s="159">
        <f>+Table1[[#This Row],[SUBTOTAL]]+Table1[[#This Row],[IVA]]-Table1[[#This Row],[RET IVA]]-Table1[[#This Row],[RET ISR]]-Table1[[#This Row],[TOTAL]]</f>
        <v>0</v>
      </c>
      <c r="AE1630" s="150"/>
      <c r="AF1630" s="151"/>
      <c r="AG1630" s="126"/>
      <c r="AK1630" s="306" t="str">
        <f>IF(ISNUMBER(Table1[[#This Row],[FECHA DE RECIBIDO]]), Table1[[#This Row],[FECHA DE RECIBIDO]]-DATE(2023,8,30), "")</f>
        <v/>
      </c>
    </row>
    <row r="1631" spans="1:37" ht="16.05" customHeight="1">
      <c r="A1631" s="152" t="s">
        <v>3449</v>
      </c>
      <c r="B1631" s="153">
        <v>531</v>
      </c>
      <c r="C1631" s="126" t="s">
        <v>1055</v>
      </c>
      <c r="D1631">
        <v>1047</v>
      </c>
      <c r="E1631" s="126" t="s">
        <v>1616</v>
      </c>
      <c r="F1631" s="125" t="s">
        <v>1607</v>
      </c>
      <c r="G1631" s="125" t="s">
        <v>134</v>
      </c>
      <c r="H1631">
        <v>37</v>
      </c>
      <c r="I1631" s="125" t="s">
        <v>1546</v>
      </c>
      <c r="J1631" s="308" t="s">
        <v>214</v>
      </c>
      <c r="K1631" s="127" t="s">
        <v>3418</v>
      </c>
      <c r="L1631" s="153" t="s">
        <v>3306</v>
      </c>
      <c r="M1631">
        <v>337</v>
      </c>
      <c r="N1631" s="123">
        <v>1</v>
      </c>
      <c r="O1631">
        <v>1030</v>
      </c>
      <c r="P1631" s="132" t="s">
        <v>77</v>
      </c>
      <c r="Q1631" s="132">
        <v>1473.66</v>
      </c>
      <c r="R1631" s="132">
        <v>235.79</v>
      </c>
      <c r="S1631" s="132"/>
      <c r="T1631" s="156"/>
      <c r="U1631" s="132"/>
      <c r="V1631" s="132">
        <f t="shared" si="38"/>
        <v>1709.45</v>
      </c>
      <c r="W1631">
        <v>32</v>
      </c>
      <c r="X1631" s="153" t="s">
        <v>3689</v>
      </c>
      <c r="Y1631" s="124" t="s">
        <v>55</v>
      </c>
      <c r="Z1631" s="308">
        <v>225</v>
      </c>
      <c r="AB1631" t="str">
        <f>IF(Table1[[#This Row],[TIPO2]]="costo", VLOOKUP(Table1[[#This Row],[PARTIDA PRESUPUESTAL]],'Cost Report'!G:G,1,0),"Balance")</f>
        <v>3683-036</v>
      </c>
      <c r="AC1631" s="118"/>
      <c r="AD1631" s="159">
        <f>+Table1[[#This Row],[SUBTOTAL]]+Table1[[#This Row],[IVA]]-Table1[[#This Row],[RET IVA]]-Table1[[#This Row],[RET ISR]]-Table1[[#This Row],[TOTAL]]</f>
        <v>0</v>
      </c>
      <c r="AE1631" s="152"/>
      <c r="AF1631" s="153"/>
      <c r="AG1631" s="126"/>
      <c r="AK1631" s="306" t="str">
        <f>IF(ISNUMBER(Table1[[#This Row],[FECHA DE RECIBIDO]]), Table1[[#This Row],[FECHA DE RECIBIDO]]-DATE(2023,8,30), "")</f>
        <v/>
      </c>
    </row>
    <row r="1632" spans="1:37" ht="16.05" customHeight="1">
      <c r="A1632" s="150" t="s">
        <v>3449</v>
      </c>
      <c r="B1632" s="151">
        <v>531</v>
      </c>
      <c r="C1632" s="126" t="s">
        <v>1055</v>
      </c>
      <c r="D1632">
        <v>1047</v>
      </c>
      <c r="E1632" s="126" t="s">
        <v>1616</v>
      </c>
      <c r="F1632" s="122" t="s">
        <v>1607</v>
      </c>
      <c r="G1632" s="122" t="s">
        <v>134</v>
      </c>
      <c r="H1632">
        <v>37</v>
      </c>
      <c r="I1632" s="122" t="s">
        <v>1546</v>
      </c>
      <c r="J1632" s="307" t="s">
        <v>214</v>
      </c>
      <c r="K1632" s="127" t="s">
        <v>3418</v>
      </c>
      <c r="L1632" s="151" t="s">
        <v>3306</v>
      </c>
      <c r="M1632">
        <v>337</v>
      </c>
      <c r="N1632" s="123">
        <v>1</v>
      </c>
      <c r="O1632">
        <v>1030</v>
      </c>
      <c r="P1632" s="132" t="s">
        <v>77</v>
      </c>
      <c r="Q1632" s="131">
        <v>736.83</v>
      </c>
      <c r="R1632" s="131">
        <v>117.89</v>
      </c>
      <c r="S1632" s="131"/>
      <c r="T1632" s="155"/>
      <c r="U1632" s="131"/>
      <c r="V1632" s="131">
        <f t="shared" si="38"/>
        <v>854.72</v>
      </c>
      <c r="W1632">
        <v>32</v>
      </c>
      <c r="X1632" s="151" t="s">
        <v>3689</v>
      </c>
      <c r="Y1632" s="135" t="s">
        <v>55</v>
      </c>
      <c r="Z1632" s="307">
        <v>225</v>
      </c>
      <c r="AB1632" t="str">
        <f>IF(Table1[[#This Row],[TIPO2]]="costo", VLOOKUP(Table1[[#This Row],[PARTIDA PRESUPUESTAL]],'Cost Report'!G:G,1,0),"Balance")</f>
        <v>3683-036</v>
      </c>
      <c r="AC1632" s="118"/>
      <c r="AD1632" s="159">
        <f>+Table1[[#This Row],[SUBTOTAL]]+Table1[[#This Row],[IVA]]-Table1[[#This Row],[RET IVA]]-Table1[[#This Row],[RET ISR]]-Table1[[#This Row],[TOTAL]]</f>
        <v>0</v>
      </c>
      <c r="AE1632" s="150"/>
      <c r="AF1632" s="151"/>
      <c r="AG1632" s="126"/>
      <c r="AK1632" s="306" t="str">
        <f>IF(ISNUMBER(Table1[[#This Row],[FECHA DE RECIBIDO]]), Table1[[#This Row],[FECHA DE RECIBIDO]]-DATE(2023,8,30), "")</f>
        <v/>
      </c>
    </row>
    <row r="1633" spans="1:37" ht="16.05" customHeight="1">
      <c r="A1633" s="152" t="s">
        <v>3449</v>
      </c>
      <c r="B1633" s="153">
        <v>531</v>
      </c>
      <c r="C1633" s="126" t="s">
        <v>1055</v>
      </c>
      <c r="D1633">
        <v>1047</v>
      </c>
      <c r="E1633" s="126" t="s">
        <v>1616</v>
      </c>
      <c r="F1633" s="125" t="s">
        <v>1607</v>
      </c>
      <c r="G1633" s="125" t="s">
        <v>134</v>
      </c>
      <c r="H1633">
        <v>37</v>
      </c>
      <c r="I1633" s="125" t="s">
        <v>1546</v>
      </c>
      <c r="J1633" s="308" t="s">
        <v>214</v>
      </c>
      <c r="K1633" s="127" t="s">
        <v>3418</v>
      </c>
      <c r="L1633" s="153" t="s">
        <v>3306</v>
      </c>
      <c r="M1633">
        <v>337</v>
      </c>
      <c r="N1633" s="123">
        <v>1</v>
      </c>
      <c r="O1633">
        <v>1030</v>
      </c>
      <c r="P1633" s="132" t="s">
        <v>77</v>
      </c>
      <c r="Q1633" s="132">
        <v>736.83</v>
      </c>
      <c r="R1633" s="132">
        <v>117.89</v>
      </c>
      <c r="S1633" s="132"/>
      <c r="T1633" s="156"/>
      <c r="U1633" s="132"/>
      <c r="V1633" s="132">
        <f t="shared" si="38"/>
        <v>854.72</v>
      </c>
      <c r="W1633">
        <v>32</v>
      </c>
      <c r="X1633" s="153" t="s">
        <v>3689</v>
      </c>
      <c r="Y1633" s="124" t="s">
        <v>55</v>
      </c>
      <c r="Z1633" s="308">
        <v>225</v>
      </c>
      <c r="AB1633" t="str">
        <f>IF(Table1[[#This Row],[TIPO2]]="costo", VLOOKUP(Table1[[#This Row],[PARTIDA PRESUPUESTAL]],'Cost Report'!G:G,1,0),"Balance")</f>
        <v>3683-036</v>
      </c>
      <c r="AC1633" s="118"/>
      <c r="AD1633" s="159">
        <f>+Table1[[#This Row],[SUBTOTAL]]+Table1[[#This Row],[IVA]]-Table1[[#This Row],[RET IVA]]-Table1[[#This Row],[RET ISR]]-Table1[[#This Row],[TOTAL]]</f>
        <v>0</v>
      </c>
      <c r="AE1633" s="152"/>
      <c r="AF1633" s="153"/>
      <c r="AG1633" s="126"/>
      <c r="AK1633" s="306" t="str">
        <f>IF(ISNUMBER(Table1[[#This Row],[FECHA DE RECIBIDO]]), Table1[[#This Row],[FECHA DE RECIBIDO]]-DATE(2023,8,30), "")</f>
        <v/>
      </c>
    </row>
    <row r="1634" spans="1:37" ht="16.05" customHeight="1">
      <c r="A1634" s="150" t="s">
        <v>3449</v>
      </c>
      <c r="B1634" s="151">
        <v>531</v>
      </c>
      <c r="C1634" s="126" t="s">
        <v>1055</v>
      </c>
      <c r="D1634">
        <v>1047</v>
      </c>
      <c r="E1634" s="126" t="s">
        <v>1616</v>
      </c>
      <c r="F1634" s="122" t="s">
        <v>1607</v>
      </c>
      <c r="G1634" s="122" t="s">
        <v>134</v>
      </c>
      <c r="H1634">
        <v>37</v>
      </c>
      <c r="I1634" s="122" t="s">
        <v>1546</v>
      </c>
      <c r="J1634" s="307" t="s">
        <v>214</v>
      </c>
      <c r="K1634" s="127" t="s">
        <v>3418</v>
      </c>
      <c r="L1634" s="151" t="s">
        <v>3306</v>
      </c>
      <c r="M1634">
        <v>337</v>
      </c>
      <c r="N1634" s="123">
        <v>1</v>
      </c>
      <c r="O1634">
        <v>1030</v>
      </c>
      <c r="P1634" s="132" t="s">
        <v>77</v>
      </c>
      <c r="Q1634" s="131">
        <v>239.66</v>
      </c>
      <c r="R1634" s="131">
        <v>38.35</v>
      </c>
      <c r="S1634" s="131"/>
      <c r="T1634" s="155"/>
      <c r="U1634" s="131"/>
      <c r="V1634" s="131">
        <f t="shared" si="38"/>
        <v>278.01</v>
      </c>
      <c r="W1634">
        <v>32</v>
      </c>
      <c r="X1634" s="151" t="s">
        <v>3689</v>
      </c>
      <c r="Y1634" s="135" t="s">
        <v>55</v>
      </c>
      <c r="Z1634" s="307">
        <v>225</v>
      </c>
      <c r="AB1634" t="str">
        <f>IF(Table1[[#This Row],[TIPO2]]="costo", VLOOKUP(Table1[[#This Row],[PARTIDA PRESUPUESTAL]],'Cost Report'!G:G,1,0),"Balance")</f>
        <v>3683-036</v>
      </c>
      <c r="AC1634" s="118"/>
      <c r="AD1634" s="159">
        <f>+Table1[[#This Row],[SUBTOTAL]]+Table1[[#This Row],[IVA]]-Table1[[#This Row],[RET IVA]]-Table1[[#This Row],[RET ISR]]-Table1[[#This Row],[TOTAL]]</f>
        <v>0</v>
      </c>
      <c r="AE1634" s="150"/>
      <c r="AF1634" s="151"/>
      <c r="AG1634" s="126"/>
      <c r="AK1634" s="306" t="str">
        <f>IF(ISNUMBER(Table1[[#This Row],[FECHA DE RECIBIDO]]), Table1[[#This Row],[FECHA DE RECIBIDO]]-DATE(2023,8,30), "")</f>
        <v/>
      </c>
    </row>
    <row r="1635" spans="1:37" ht="16.05" customHeight="1">
      <c r="A1635" s="152" t="s">
        <v>3449</v>
      </c>
      <c r="B1635" s="153">
        <v>531</v>
      </c>
      <c r="C1635" s="126" t="s">
        <v>1055</v>
      </c>
      <c r="D1635">
        <v>1047</v>
      </c>
      <c r="E1635" s="126" t="s">
        <v>1616</v>
      </c>
      <c r="F1635" s="125" t="s">
        <v>1607</v>
      </c>
      <c r="G1635" s="125" t="s">
        <v>134</v>
      </c>
      <c r="H1635">
        <v>37</v>
      </c>
      <c r="I1635" s="125" t="s">
        <v>1546</v>
      </c>
      <c r="J1635" s="308" t="s">
        <v>214</v>
      </c>
      <c r="K1635" s="127" t="s">
        <v>3418</v>
      </c>
      <c r="L1635" s="153" t="s">
        <v>3306</v>
      </c>
      <c r="M1635">
        <v>337</v>
      </c>
      <c r="N1635" s="123">
        <v>1</v>
      </c>
      <c r="O1635">
        <v>1030</v>
      </c>
      <c r="P1635" s="132" t="s">
        <v>77</v>
      </c>
      <c r="Q1635" s="132">
        <v>131.58000000000001</v>
      </c>
      <c r="R1635" s="132">
        <v>21.06</v>
      </c>
      <c r="S1635" s="132"/>
      <c r="T1635" s="156"/>
      <c r="U1635" s="132"/>
      <c r="V1635" s="132">
        <f t="shared" si="38"/>
        <v>152.64000000000001</v>
      </c>
      <c r="W1635">
        <v>32</v>
      </c>
      <c r="X1635" s="153" t="s">
        <v>3689</v>
      </c>
      <c r="Y1635" s="124" t="s">
        <v>55</v>
      </c>
      <c r="Z1635" s="308">
        <v>225</v>
      </c>
      <c r="AB1635" t="str">
        <f>IF(Table1[[#This Row],[TIPO2]]="costo", VLOOKUP(Table1[[#This Row],[PARTIDA PRESUPUESTAL]],'Cost Report'!G:G,1,0),"Balance")</f>
        <v>3683-036</v>
      </c>
      <c r="AC1635" s="118"/>
      <c r="AD1635" s="159">
        <f>+Table1[[#This Row],[SUBTOTAL]]+Table1[[#This Row],[IVA]]-Table1[[#This Row],[RET IVA]]-Table1[[#This Row],[RET ISR]]-Table1[[#This Row],[TOTAL]]</f>
        <v>0</v>
      </c>
      <c r="AE1635" s="152"/>
      <c r="AF1635" s="153"/>
      <c r="AG1635" s="126"/>
      <c r="AK1635" s="306" t="str">
        <f>IF(ISNUMBER(Table1[[#This Row],[FECHA DE RECIBIDO]]), Table1[[#This Row],[FECHA DE RECIBIDO]]-DATE(2023,8,30), "")</f>
        <v/>
      </c>
    </row>
    <row r="1636" spans="1:37" ht="16.05" customHeight="1">
      <c r="A1636" s="150" t="s">
        <v>3450</v>
      </c>
      <c r="B1636" s="151">
        <v>532</v>
      </c>
      <c r="C1636" s="126" t="s">
        <v>71</v>
      </c>
      <c r="D1636">
        <v>1048</v>
      </c>
      <c r="E1636" s="126" t="s">
        <v>1604</v>
      </c>
      <c r="F1636" s="122" t="s">
        <v>1607</v>
      </c>
      <c r="G1636" s="122" t="s">
        <v>134</v>
      </c>
      <c r="H1636">
        <v>48</v>
      </c>
      <c r="I1636" s="122" t="s">
        <v>1546</v>
      </c>
      <c r="J1636" s="307" t="s">
        <v>214</v>
      </c>
      <c r="K1636" s="127" t="s">
        <v>3418</v>
      </c>
      <c r="L1636" s="151" t="s">
        <v>1579</v>
      </c>
      <c r="M1636">
        <v>335</v>
      </c>
      <c r="N1636" s="123">
        <v>17</v>
      </c>
      <c r="O1636">
        <v>1031</v>
      </c>
      <c r="P1636" s="131" t="s">
        <v>78</v>
      </c>
      <c r="Q1636" s="131">
        <v>350000</v>
      </c>
      <c r="R1636" s="131"/>
      <c r="S1636" s="131"/>
      <c r="T1636" s="155"/>
      <c r="U1636" s="131"/>
      <c r="V1636" s="131">
        <f t="shared" si="38"/>
        <v>350000</v>
      </c>
      <c r="W1636"/>
      <c r="X1636" s="151" t="s">
        <v>3451</v>
      </c>
      <c r="Y1636" s="135" t="s">
        <v>55</v>
      </c>
      <c r="Z1636" s="307">
        <v>225</v>
      </c>
      <c r="AB1636" t="str">
        <f>IF(Table1[[#This Row],[TIPO2]]="costo", VLOOKUP(Table1[[#This Row],[PARTIDA PRESUPUESTAL]],'Cost Report'!G:G,1,0),"Balance")</f>
        <v>Balance</v>
      </c>
      <c r="AC1636" s="118"/>
      <c r="AD1636" s="159">
        <f>+Table1[[#This Row],[SUBTOTAL]]+Table1[[#This Row],[IVA]]-Table1[[#This Row],[RET IVA]]-Table1[[#This Row],[RET ISR]]-Table1[[#This Row],[TOTAL]]</f>
        <v>0</v>
      </c>
      <c r="AE1636" s="150"/>
      <c r="AF1636" s="151"/>
      <c r="AG1636" s="126"/>
      <c r="AK1636" s="306" t="str">
        <f>IF(ISNUMBER(Table1[[#This Row],[FECHA DE RECIBIDO]]), Table1[[#This Row],[FECHA DE RECIBIDO]]-DATE(2023,8,30), "")</f>
        <v/>
      </c>
    </row>
    <row r="1637" spans="1:37" ht="16.05" customHeight="1">
      <c r="A1637" s="152" t="s">
        <v>3450</v>
      </c>
      <c r="B1637" s="153">
        <v>532</v>
      </c>
      <c r="C1637" s="126" t="s">
        <v>3103</v>
      </c>
      <c r="D1637"/>
      <c r="E1637" s="126"/>
      <c r="F1637" s="125"/>
      <c r="G1637" s="125"/>
      <c r="H1637"/>
      <c r="I1637" s="125"/>
      <c r="J1637" s="308" t="s">
        <v>214</v>
      </c>
      <c r="K1637" s="127" t="s">
        <v>3418</v>
      </c>
      <c r="L1637" s="153" t="s">
        <v>1579</v>
      </c>
      <c r="M1637">
        <v>335</v>
      </c>
      <c r="N1637" s="123">
        <v>17</v>
      </c>
      <c r="O1637">
        <v>395</v>
      </c>
      <c r="P1637" s="132" t="s">
        <v>77</v>
      </c>
      <c r="Q1637" s="132">
        <v>8540</v>
      </c>
      <c r="R1637" s="132">
        <v>1366.4</v>
      </c>
      <c r="S1637" s="132"/>
      <c r="T1637" s="156"/>
      <c r="U1637" s="132"/>
      <c r="V1637" s="132">
        <f t="shared" si="38"/>
        <v>9906.4</v>
      </c>
      <c r="W1637"/>
      <c r="X1637" s="153" t="s">
        <v>3451</v>
      </c>
      <c r="Y1637" s="124" t="s">
        <v>55</v>
      </c>
      <c r="Z1637" s="308">
        <v>225</v>
      </c>
      <c r="AB1637" t="str">
        <f>IF(Table1[[#This Row],[TIPO2]]="costo", VLOOKUP(Table1[[#This Row],[PARTIDA PRESUPUESTAL]],'Cost Report'!G:G,1,0),"Balance")</f>
        <v>7038-009</v>
      </c>
      <c r="AC1637" s="118"/>
      <c r="AD1637" s="159">
        <f>+Table1[[#This Row],[SUBTOTAL]]+Table1[[#This Row],[IVA]]-Table1[[#This Row],[RET IVA]]-Table1[[#This Row],[RET ISR]]-Table1[[#This Row],[TOTAL]]</f>
        <v>0</v>
      </c>
      <c r="AE1637" s="152"/>
      <c r="AF1637" s="153"/>
      <c r="AG1637" s="126"/>
      <c r="AK1637" s="306" t="str">
        <f>IF(ISNUMBER(Table1[[#This Row],[FECHA DE RECIBIDO]]), Table1[[#This Row],[FECHA DE RECIBIDO]]-DATE(2023,8,30), "")</f>
        <v/>
      </c>
    </row>
    <row r="1638" spans="1:37" ht="16.05" customHeight="1">
      <c r="A1638" s="150" t="s">
        <v>3452</v>
      </c>
      <c r="B1638" s="151">
        <v>533</v>
      </c>
      <c r="C1638" s="126" t="s">
        <v>2952</v>
      </c>
      <c r="D1638">
        <v>1049</v>
      </c>
      <c r="E1638" s="126" t="e">
        <v>#N/A</v>
      </c>
      <c r="F1638" s="122" t="e">
        <v>#N/A</v>
      </c>
      <c r="G1638" s="122" t="s">
        <v>134</v>
      </c>
      <c r="H1638">
        <v>36</v>
      </c>
      <c r="I1638" s="122" t="e">
        <v>#N/A</v>
      </c>
      <c r="J1638" s="307" t="s">
        <v>214</v>
      </c>
      <c r="K1638" s="127" t="s">
        <v>3418</v>
      </c>
      <c r="L1638" s="151" t="s">
        <v>1579</v>
      </c>
      <c r="M1638">
        <v>58</v>
      </c>
      <c r="N1638" s="123">
        <v>17</v>
      </c>
      <c r="O1638">
        <v>1032</v>
      </c>
      <c r="P1638" s="132" t="s">
        <v>77</v>
      </c>
      <c r="Q1638" s="131">
        <v>12790.42</v>
      </c>
      <c r="R1638" s="131">
        <v>1687.96</v>
      </c>
      <c r="S1638" s="131"/>
      <c r="T1638" s="155"/>
      <c r="U1638" s="131"/>
      <c r="V1638" s="131">
        <f t="shared" si="38"/>
        <v>14478.380000000001</v>
      </c>
      <c r="W1638"/>
      <c r="X1638" s="151" t="s">
        <v>1701</v>
      </c>
      <c r="Y1638" s="135" t="s">
        <v>55</v>
      </c>
      <c r="Z1638" s="307">
        <v>225</v>
      </c>
      <c r="AB1638" t="str">
        <f>IF(Table1[[#This Row],[TIPO2]]="costo", VLOOKUP(Table1[[#This Row],[PARTIDA PRESUPUESTAL]],'Cost Report'!G:G,1,0),"Balance")</f>
        <v>3901-048</v>
      </c>
      <c r="AC1638" s="118"/>
      <c r="AD1638" s="159">
        <f>+Table1[[#This Row],[SUBTOTAL]]+Table1[[#This Row],[IVA]]-Table1[[#This Row],[RET IVA]]-Table1[[#This Row],[RET ISR]]-Table1[[#This Row],[TOTAL]]</f>
        <v>0</v>
      </c>
      <c r="AE1638" s="150"/>
      <c r="AF1638" s="151"/>
      <c r="AG1638" s="126"/>
      <c r="AK1638" s="306" t="str">
        <f>IF(ISNUMBER(Table1[[#This Row],[FECHA DE RECIBIDO]]), Table1[[#This Row],[FECHA DE RECIBIDO]]-DATE(2023,8,30), "")</f>
        <v/>
      </c>
    </row>
    <row r="1639" spans="1:37" ht="16.05" customHeight="1">
      <c r="A1639" s="152" t="s">
        <v>3453</v>
      </c>
      <c r="B1639" s="153">
        <v>534</v>
      </c>
      <c r="C1639" s="126" t="s">
        <v>2596</v>
      </c>
      <c r="D1639">
        <v>1050</v>
      </c>
      <c r="E1639" s="126" t="s">
        <v>2082</v>
      </c>
      <c r="F1639" s="125" t="s">
        <v>1607</v>
      </c>
      <c r="G1639" s="125" t="s">
        <v>134</v>
      </c>
      <c r="H1639">
        <v>324</v>
      </c>
      <c r="I1639" s="125" t="s">
        <v>1546</v>
      </c>
      <c r="J1639" s="308" t="s">
        <v>214</v>
      </c>
      <c r="K1639" s="127" t="s">
        <v>3418</v>
      </c>
      <c r="L1639" s="153" t="s">
        <v>1579</v>
      </c>
      <c r="M1639">
        <v>433</v>
      </c>
      <c r="N1639" s="123">
        <v>17</v>
      </c>
      <c r="O1639">
        <v>1033</v>
      </c>
      <c r="P1639" s="132" t="s">
        <v>77</v>
      </c>
      <c r="Q1639" s="132">
        <v>1206.03</v>
      </c>
      <c r="R1639" s="132">
        <v>192.96</v>
      </c>
      <c r="S1639" s="132"/>
      <c r="T1639" s="156"/>
      <c r="U1639" s="132"/>
      <c r="V1639" s="132">
        <f t="shared" si="38"/>
        <v>1398.99</v>
      </c>
      <c r="W1639">
        <v>61</v>
      </c>
      <c r="X1639" s="153" t="s">
        <v>1644</v>
      </c>
      <c r="Y1639" s="124" t="s">
        <v>55</v>
      </c>
      <c r="Z1639" s="308">
        <v>215</v>
      </c>
      <c r="AB1639" t="str">
        <f>IF(Table1[[#This Row],[TIPO2]]="costo", VLOOKUP(Table1[[#This Row],[PARTIDA PRESUPUESTAL]],'Cost Report'!G:G,1,0),"Balance")</f>
        <v>2794-003</v>
      </c>
      <c r="AC1639" s="118"/>
      <c r="AD1639" s="159">
        <f>+Table1[[#This Row],[SUBTOTAL]]+Table1[[#This Row],[IVA]]-Table1[[#This Row],[RET IVA]]-Table1[[#This Row],[RET ISR]]-Table1[[#This Row],[TOTAL]]</f>
        <v>0</v>
      </c>
      <c r="AE1639" s="152"/>
      <c r="AF1639" s="153"/>
      <c r="AG1639" s="126" t="s">
        <v>3420</v>
      </c>
      <c r="AK1639" s="306" t="str">
        <f>IF(ISNUMBER(Table1[[#This Row],[FECHA DE RECIBIDO]]), Table1[[#This Row],[FECHA DE RECIBIDO]]-DATE(2023,8,30), "")</f>
        <v/>
      </c>
    </row>
    <row r="1640" spans="1:37" ht="16.05" customHeight="1">
      <c r="A1640" s="150" t="s">
        <v>3453</v>
      </c>
      <c r="B1640" s="151">
        <v>534</v>
      </c>
      <c r="C1640" s="126" t="s">
        <v>2596</v>
      </c>
      <c r="D1640">
        <v>1051</v>
      </c>
      <c r="E1640" s="126" t="s">
        <v>2082</v>
      </c>
      <c r="F1640" s="122" t="s">
        <v>1382</v>
      </c>
      <c r="G1640" s="122" t="s">
        <v>134</v>
      </c>
      <c r="H1640">
        <v>155</v>
      </c>
      <c r="I1640" s="122" t="s">
        <v>1546</v>
      </c>
      <c r="J1640" s="307" t="s">
        <v>214</v>
      </c>
      <c r="K1640" s="127" t="s">
        <v>3418</v>
      </c>
      <c r="L1640" s="151" t="s">
        <v>1579</v>
      </c>
      <c r="M1640">
        <v>206</v>
      </c>
      <c r="N1640" s="123">
        <v>17</v>
      </c>
      <c r="O1640">
        <v>1034</v>
      </c>
      <c r="P1640" s="132" t="s">
        <v>77</v>
      </c>
      <c r="Q1640" s="131">
        <v>7994.07</v>
      </c>
      <c r="R1640" s="131">
        <v>1279.05</v>
      </c>
      <c r="S1640" s="131"/>
      <c r="T1640" s="155"/>
      <c r="U1640" s="131"/>
      <c r="V1640" s="131">
        <f t="shared" si="38"/>
        <v>9273.119999999999</v>
      </c>
      <c r="W1640">
        <v>61</v>
      </c>
      <c r="X1640" s="151" t="s">
        <v>1644</v>
      </c>
      <c r="Y1640" s="135" t="s">
        <v>55</v>
      </c>
      <c r="Z1640" s="307">
        <v>213</v>
      </c>
      <c r="AB1640" t="str">
        <f>IF(Table1[[#This Row],[TIPO2]]="costo", VLOOKUP(Table1[[#This Row],[PARTIDA PRESUPUESTAL]],'Cost Report'!G:G,1,0),"Balance")</f>
        <v>2794-003</v>
      </c>
      <c r="AC1640" s="118"/>
      <c r="AD1640" s="159">
        <f>+Table1[[#This Row],[SUBTOTAL]]+Table1[[#This Row],[IVA]]-Table1[[#This Row],[RET IVA]]-Table1[[#This Row],[RET ISR]]-Table1[[#This Row],[TOTAL]]</f>
        <v>0</v>
      </c>
      <c r="AE1640" s="150"/>
      <c r="AF1640" s="151"/>
      <c r="AG1640" s="126" t="s">
        <v>3420</v>
      </c>
      <c r="AK1640" s="306" t="str">
        <f>IF(ISNUMBER(Table1[[#This Row],[FECHA DE RECIBIDO]]), Table1[[#This Row],[FECHA DE RECIBIDO]]-DATE(2023,8,30), "")</f>
        <v/>
      </c>
    </row>
    <row r="1641" spans="1:37" ht="16.05" customHeight="1">
      <c r="A1641" s="152" t="s">
        <v>3453</v>
      </c>
      <c r="B1641" s="153">
        <v>534</v>
      </c>
      <c r="C1641" s="126" t="s">
        <v>2596</v>
      </c>
      <c r="D1641">
        <v>1052</v>
      </c>
      <c r="E1641" s="126" t="s">
        <v>2082</v>
      </c>
      <c r="F1641" s="125" t="s">
        <v>1382</v>
      </c>
      <c r="G1641" s="125" t="s">
        <v>134</v>
      </c>
      <c r="H1641">
        <v>155</v>
      </c>
      <c r="I1641" s="125" t="s">
        <v>1546</v>
      </c>
      <c r="J1641" s="308" t="s">
        <v>214</v>
      </c>
      <c r="K1641" s="127" t="s">
        <v>3418</v>
      </c>
      <c r="L1641" s="153" t="s">
        <v>1579</v>
      </c>
      <c r="M1641">
        <v>206</v>
      </c>
      <c r="N1641" s="123">
        <v>17</v>
      </c>
      <c r="O1641">
        <v>1034</v>
      </c>
      <c r="P1641" s="132" t="s">
        <v>77</v>
      </c>
      <c r="Q1641" s="132">
        <v>1318.21</v>
      </c>
      <c r="R1641" s="132">
        <v>210.91</v>
      </c>
      <c r="S1641" s="132"/>
      <c r="T1641" s="156"/>
      <c r="U1641" s="132"/>
      <c r="V1641" s="132">
        <f t="shared" si="38"/>
        <v>1529.1200000000001</v>
      </c>
      <c r="W1641">
        <v>61</v>
      </c>
      <c r="X1641" s="153" t="s">
        <v>1644</v>
      </c>
      <c r="Y1641" s="124" t="s">
        <v>55</v>
      </c>
      <c r="Z1641" s="308">
        <v>213</v>
      </c>
      <c r="AB1641" t="str">
        <f>IF(Table1[[#This Row],[TIPO2]]="costo", VLOOKUP(Table1[[#This Row],[PARTIDA PRESUPUESTAL]],'Cost Report'!G:G,1,0),"Balance")</f>
        <v>2794-003</v>
      </c>
      <c r="AC1641" s="118"/>
      <c r="AD1641" s="159">
        <f>+Table1[[#This Row],[SUBTOTAL]]+Table1[[#This Row],[IVA]]-Table1[[#This Row],[RET IVA]]-Table1[[#This Row],[RET ISR]]-Table1[[#This Row],[TOTAL]]</f>
        <v>0</v>
      </c>
      <c r="AE1641" s="152"/>
      <c r="AF1641" s="153"/>
      <c r="AG1641" s="126" t="s">
        <v>3420</v>
      </c>
      <c r="AK1641" s="306" t="str">
        <f>IF(ISNUMBER(Table1[[#This Row],[FECHA DE RECIBIDO]]), Table1[[#This Row],[FECHA DE RECIBIDO]]-DATE(2023,8,30), "")</f>
        <v/>
      </c>
    </row>
    <row r="1642" spans="1:37" ht="16.05" customHeight="1">
      <c r="A1642" s="150" t="s">
        <v>3453</v>
      </c>
      <c r="B1642" s="151">
        <v>534</v>
      </c>
      <c r="C1642" s="126" t="s">
        <v>2596</v>
      </c>
      <c r="D1642">
        <v>1053</v>
      </c>
      <c r="E1642" s="126" t="s">
        <v>2005</v>
      </c>
      <c r="F1642" s="122" t="s">
        <v>1607</v>
      </c>
      <c r="G1642" s="122" t="s">
        <v>134</v>
      </c>
      <c r="H1642">
        <v>337</v>
      </c>
      <c r="I1642" s="122" t="s">
        <v>1546</v>
      </c>
      <c r="J1642" s="307" t="s">
        <v>214</v>
      </c>
      <c r="K1642" s="127" t="s">
        <v>3418</v>
      </c>
      <c r="L1642" s="151" t="s">
        <v>1579</v>
      </c>
      <c r="M1642">
        <v>454</v>
      </c>
      <c r="N1642" s="123">
        <v>17</v>
      </c>
      <c r="O1642">
        <v>1035</v>
      </c>
      <c r="P1642" s="132" t="s">
        <v>77</v>
      </c>
      <c r="Q1642" s="131">
        <v>839.87</v>
      </c>
      <c r="R1642" s="131">
        <v>134.38</v>
      </c>
      <c r="S1642" s="131"/>
      <c r="T1642" s="155"/>
      <c r="U1642" s="131"/>
      <c r="V1642" s="131">
        <f t="shared" si="38"/>
        <v>974.25</v>
      </c>
      <c r="W1642">
        <v>61</v>
      </c>
      <c r="X1642" s="151" t="s">
        <v>1644</v>
      </c>
      <c r="Y1642" s="135" t="s">
        <v>55</v>
      </c>
      <c r="Z1642" s="307">
        <v>217</v>
      </c>
      <c r="AB1642" t="str">
        <f>IF(Table1[[#This Row],[TIPO2]]="costo", VLOOKUP(Table1[[#This Row],[PARTIDA PRESUPUESTAL]],'Cost Report'!G:G,1,0),"Balance")</f>
        <v>2794-003</v>
      </c>
      <c r="AC1642" s="118"/>
      <c r="AD1642" s="159">
        <f>+Table1[[#This Row],[SUBTOTAL]]+Table1[[#This Row],[IVA]]-Table1[[#This Row],[RET IVA]]-Table1[[#This Row],[RET ISR]]-Table1[[#This Row],[TOTAL]]</f>
        <v>0</v>
      </c>
      <c r="AE1642" s="150"/>
      <c r="AF1642" s="151"/>
      <c r="AG1642" s="126" t="s">
        <v>3420</v>
      </c>
      <c r="AK1642" s="306" t="str">
        <f>IF(ISNUMBER(Table1[[#This Row],[FECHA DE RECIBIDO]]), Table1[[#This Row],[FECHA DE RECIBIDO]]-DATE(2023,8,30), "")</f>
        <v/>
      </c>
    </row>
    <row r="1643" spans="1:37" ht="16.05" customHeight="1">
      <c r="A1643" s="152" t="s">
        <v>3453</v>
      </c>
      <c r="B1643" s="153">
        <v>534</v>
      </c>
      <c r="C1643" s="126" t="s">
        <v>2596</v>
      </c>
      <c r="D1643">
        <v>1054</v>
      </c>
      <c r="E1643" s="126"/>
      <c r="F1643" s="125"/>
      <c r="G1643" s="125" t="s">
        <v>134</v>
      </c>
      <c r="H1643"/>
      <c r="I1643" s="125"/>
      <c r="J1643" s="308" t="s">
        <v>214</v>
      </c>
      <c r="K1643" s="127" t="s">
        <v>3418</v>
      </c>
      <c r="L1643" s="153" t="s">
        <v>1579</v>
      </c>
      <c r="M1643">
        <v>135</v>
      </c>
      <c r="N1643" s="123">
        <v>17</v>
      </c>
      <c r="O1643">
        <v>432</v>
      </c>
      <c r="P1643" s="132" t="s">
        <v>77</v>
      </c>
      <c r="Q1643" s="132">
        <v>15318.11</v>
      </c>
      <c r="R1643" s="132">
        <v>2450.9</v>
      </c>
      <c r="S1643" s="132"/>
      <c r="T1643" s="156"/>
      <c r="U1643" s="132"/>
      <c r="V1643" s="132">
        <f t="shared" si="38"/>
        <v>17769.010000000002</v>
      </c>
      <c r="W1643">
        <v>61</v>
      </c>
      <c r="X1643" s="153" t="s">
        <v>1644</v>
      </c>
      <c r="Y1643" s="124" t="s">
        <v>55</v>
      </c>
      <c r="Z1643" s="308">
        <v>191</v>
      </c>
      <c r="AB1643" t="str">
        <f>IF(Table1[[#This Row],[TIPO2]]="costo", VLOOKUP(Table1[[#This Row],[PARTIDA PRESUPUESTAL]],'Cost Report'!G:G,1,0),"Balance")</f>
        <v>2794-003</v>
      </c>
      <c r="AC1643" s="118"/>
      <c r="AD1643" s="159">
        <f>+Table1[[#This Row],[SUBTOTAL]]+Table1[[#This Row],[IVA]]-Table1[[#This Row],[RET IVA]]-Table1[[#This Row],[RET ISR]]-Table1[[#This Row],[TOTAL]]</f>
        <v>0</v>
      </c>
      <c r="AE1643" s="152"/>
      <c r="AF1643" s="153"/>
      <c r="AG1643" s="126" t="s">
        <v>3420</v>
      </c>
      <c r="AK1643" s="306" t="str">
        <f>IF(ISNUMBER(Table1[[#This Row],[FECHA DE RECIBIDO]]), Table1[[#This Row],[FECHA DE RECIBIDO]]-DATE(2023,8,30), "")</f>
        <v/>
      </c>
    </row>
    <row r="1644" spans="1:37" ht="16.05" customHeight="1">
      <c r="A1644" s="150" t="s">
        <v>3453</v>
      </c>
      <c r="B1644" s="151">
        <v>534</v>
      </c>
      <c r="C1644" s="126" t="s">
        <v>2596</v>
      </c>
      <c r="D1644">
        <v>1055</v>
      </c>
      <c r="E1644" s="126" t="s">
        <v>2008</v>
      </c>
      <c r="F1644" s="122" t="s">
        <v>1607</v>
      </c>
      <c r="G1644" s="122" t="s">
        <v>134</v>
      </c>
      <c r="H1644">
        <v>100</v>
      </c>
      <c r="I1644" s="122" t="s">
        <v>1546</v>
      </c>
      <c r="J1644" s="307" t="s">
        <v>214</v>
      </c>
      <c r="K1644" s="127" t="s">
        <v>3418</v>
      </c>
      <c r="L1644" s="151" t="s">
        <v>1579</v>
      </c>
      <c r="M1644">
        <v>135</v>
      </c>
      <c r="N1644" s="123">
        <v>17</v>
      </c>
      <c r="O1644">
        <v>1036</v>
      </c>
      <c r="P1644" s="132" t="s">
        <v>77</v>
      </c>
      <c r="Q1644" s="131">
        <v>9296.5499999999993</v>
      </c>
      <c r="R1644" s="131">
        <v>1487.45</v>
      </c>
      <c r="S1644" s="131"/>
      <c r="T1644" s="155"/>
      <c r="U1644" s="131"/>
      <c r="V1644" s="131">
        <f t="shared" si="38"/>
        <v>10784</v>
      </c>
      <c r="W1644">
        <v>61</v>
      </c>
      <c r="X1644" s="151" t="s">
        <v>1644</v>
      </c>
      <c r="Y1644" s="135" t="s">
        <v>55</v>
      </c>
      <c r="Z1644" s="307">
        <v>214</v>
      </c>
      <c r="AB1644" t="str">
        <f>IF(Table1[[#This Row],[TIPO2]]="costo", VLOOKUP(Table1[[#This Row],[PARTIDA PRESUPUESTAL]],'Cost Report'!G:G,1,0),"Balance")</f>
        <v>2794-003</v>
      </c>
      <c r="AC1644" s="118"/>
      <c r="AD1644" s="159">
        <f>+Table1[[#This Row],[SUBTOTAL]]+Table1[[#This Row],[IVA]]-Table1[[#This Row],[RET IVA]]-Table1[[#This Row],[RET ISR]]-Table1[[#This Row],[TOTAL]]</f>
        <v>0</v>
      </c>
      <c r="AE1644" s="150"/>
      <c r="AF1644" s="151"/>
      <c r="AG1644" s="126" t="s">
        <v>3420</v>
      </c>
      <c r="AK1644" s="306" t="str">
        <f>IF(ISNUMBER(Table1[[#This Row],[FECHA DE RECIBIDO]]), Table1[[#This Row],[FECHA DE RECIBIDO]]-DATE(2023,8,30), "")</f>
        <v/>
      </c>
    </row>
    <row r="1645" spans="1:37" ht="16.05" customHeight="1">
      <c r="A1645" s="152" t="s">
        <v>3453</v>
      </c>
      <c r="B1645" s="153">
        <v>534</v>
      </c>
      <c r="C1645" s="126" t="s">
        <v>2596</v>
      </c>
      <c r="D1645">
        <v>1056</v>
      </c>
      <c r="E1645" s="126" t="s">
        <v>2008</v>
      </c>
      <c r="F1645" s="125" t="s">
        <v>1607</v>
      </c>
      <c r="G1645" s="125" t="s">
        <v>134</v>
      </c>
      <c r="H1645">
        <v>100</v>
      </c>
      <c r="I1645" s="125" t="s">
        <v>1546</v>
      </c>
      <c r="J1645" s="308" t="s">
        <v>214</v>
      </c>
      <c r="K1645" s="127" t="s">
        <v>3418</v>
      </c>
      <c r="L1645" s="153" t="s">
        <v>1579</v>
      </c>
      <c r="M1645">
        <v>135</v>
      </c>
      <c r="N1645" s="123">
        <v>17</v>
      </c>
      <c r="O1645">
        <v>432</v>
      </c>
      <c r="P1645" s="132" t="s">
        <v>77</v>
      </c>
      <c r="Q1645" s="132">
        <v>7918.11</v>
      </c>
      <c r="R1645" s="132">
        <v>1266.9000000000001</v>
      </c>
      <c r="S1645" s="132"/>
      <c r="T1645" s="156"/>
      <c r="U1645" s="132"/>
      <c r="V1645" s="132">
        <f t="shared" si="38"/>
        <v>9185.01</v>
      </c>
      <c r="W1645">
        <v>61</v>
      </c>
      <c r="X1645" s="153" t="s">
        <v>1644</v>
      </c>
      <c r="Y1645" s="124" t="s">
        <v>55</v>
      </c>
      <c r="Z1645" s="308">
        <v>214</v>
      </c>
      <c r="AB1645" t="str">
        <f>IF(Table1[[#This Row],[TIPO2]]="costo", VLOOKUP(Table1[[#This Row],[PARTIDA PRESUPUESTAL]],'Cost Report'!G:G,1,0),"Balance")</f>
        <v>2794-003</v>
      </c>
      <c r="AC1645" s="118"/>
      <c r="AD1645" s="159">
        <f>+Table1[[#This Row],[SUBTOTAL]]+Table1[[#This Row],[IVA]]-Table1[[#This Row],[RET IVA]]-Table1[[#This Row],[RET ISR]]-Table1[[#This Row],[TOTAL]]</f>
        <v>0</v>
      </c>
      <c r="AE1645" s="152"/>
      <c r="AF1645" s="153"/>
      <c r="AG1645" s="126" t="s">
        <v>3420</v>
      </c>
      <c r="AK1645" s="306" t="str">
        <f>IF(ISNUMBER(Table1[[#This Row],[FECHA DE RECIBIDO]]), Table1[[#This Row],[FECHA DE RECIBIDO]]-DATE(2023,8,30), "")</f>
        <v/>
      </c>
    </row>
    <row r="1646" spans="1:37" ht="16.05" customHeight="1">
      <c r="A1646" s="150" t="s">
        <v>3453</v>
      </c>
      <c r="B1646" s="151">
        <v>534</v>
      </c>
      <c r="C1646" s="126" t="s">
        <v>2596</v>
      </c>
      <c r="D1646">
        <v>1057</v>
      </c>
      <c r="E1646" s="126" t="s">
        <v>3370</v>
      </c>
      <c r="F1646" s="122" t="s">
        <v>1607</v>
      </c>
      <c r="G1646" s="122" t="s">
        <v>134</v>
      </c>
      <c r="H1646">
        <v>100</v>
      </c>
      <c r="I1646" s="122" t="s">
        <v>1546</v>
      </c>
      <c r="J1646" s="307" t="s">
        <v>214</v>
      </c>
      <c r="K1646" s="127" t="s">
        <v>3418</v>
      </c>
      <c r="L1646" s="151" t="s">
        <v>1579</v>
      </c>
      <c r="M1646">
        <v>135</v>
      </c>
      <c r="N1646" s="123">
        <v>17</v>
      </c>
      <c r="O1646">
        <v>1037</v>
      </c>
      <c r="P1646" s="132" t="s">
        <v>77</v>
      </c>
      <c r="Q1646" s="131">
        <v>688.79</v>
      </c>
      <c r="R1646" s="131">
        <v>110.21</v>
      </c>
      <c r="S1646" s="131"/>
      <c r="T1646" s="155"/>
      <c r="U1646" s="131"/>
      <c r="V1646" s="131">
        <f t="shared" si="38"/>
        <v>799</v>
      </c>
      <c r="W1646">
        <v>61</v>
      </c>
      <c r="X1646" s="151" t="s">
        <v>1644</v>
      </c>
      <c r="Y1646" s="135" t="s">
        <v>55</v>
      </c>
      <c r="Z1646" s="307">
        <v>215</v>
      </c>
      <c r="AB1646" t="str">
        <f>IF(Table1[[#This Row],[TIPO2]]="costo", VLOOKUP(Table1[[#This Row],[PARTIDA PRESUPUESTAL]],'Cost Report'!G:G,1,0),"Balance")</f>
        <v>2794-003</v>
      </c>
      <c r="AC1646" s="118"/>
      <c r="AD1646" s="159">
        <f>+Table1[[#This Row],[SUBTOTAL]]+Table1[[#This Row],[IVA]]-Table1[[#This Row],[RET IVA]]-Table1[[#This Row],[RET ISR]]-Table1[[#This Row],[TOTAL]]</f>
        <v>0</v>
      </c>
      <c r="AE1646" s="150"/>
      <c r="AF1646" s="151"/>
      <c r="AG1646" s="126" t="s">
        <v>3420</v>
      </c>
      <c r="AK1646" s="306" t="str">
        <f>IF(ISNUMBER(Table1[[#This Row],[FECHA DE RECIBIDO]]), Table1[[#This Row],[FECHA DE RECIBIDO]]-DATE(2023,8,30), "")</f>
        <v/>
      </c>
    </row>
    <row r="1647" spans="1:37" ht="16.05" customHeight="1">
      <c r="A1647" s="152" t="s">
        <v>3453</v>
      </c>
      <c r="B1647" s="153">
        <v>534</v>
      </c>
      <c r="C1647" s="126" t="s">
        <v>2596</v>
      </c>
      <c r="D1647">
        <v>1058</v>
      </c>
      <c r="E1647" s="126" t="s">
        <v>3285</v>
      </c>
      <c r="F1647" s="125" t="s">
        <v>1607</v>
      </c>
      <c r="G1647" s="125" t="s">
        <v>134</v>
      </c>
      <c r="H1647">
        <v>101</v>
      </c>
      <c r="I1647" s="125" t="s">
        <v>1546</v>
      </c>
      <c r="J1647" s="308" t="s">
        <v>214</v>
      </c>
      <c r="K1647" s="127" t="s">
        <v>3418</v>
      </c>
      <c r="L1647" s="153" t="s">
        <v>1579</v>
      </c>
      <c r="M1647">
        <v>136</v>
      </c>
      <c r="N1647" s="123">
        <v>17</v>
      </c>
      <c r="O1647">
        <v>1038</v>
      </c>
      <c r="P1647" s="132" t="s">
        <v>77</v>
      </c>
      <c r="Q1647" s="132">
        <v>4773.45</v>
      </c>
      <c r="R1647" s="132">
        <v>763.75</v>
      </c>
      <c r="S1647" s="132"/>
      <c r="T1647" s="156"/>
      <c r="U1647" s="132"/>
      <c r="V1647" s="132">
        <f t="shared" si="38"/>
        <v>5537.2</v>
      </c>
      <c r="W1647">
        <v>61</v>
      </c>
      <c r="X1647" s="153" t="s">
        <v>1644</v>
      </c>
      <c r="Y1647" s="124" t="s">
        <v>55</v>
      </c>
      <c r="Z1647" s="308">
        <v>219</v>
      </c>
      <c r="AB1647" t="str">
        <f>IF(Table1[[#This Row],[TIPO2]]="costo", VLOOKUP(Table1[[#This Row],[PARTIDA PRESUPUESTAL]],'Cost Report'!G:G,1,0),"Balance")</f>
        <v>2794-003</v>
      </c>
      <c r="AC1647" s="118"/>
      <c r="AD1647" s="159">
        <f>+Table1[[#This Row],[SUBTOTAL]]+Table1[[#This Row],[IVA]]-Table1[[#This Row],[RET IVA]]-Table1[[#This Row],[RET ISR]]-Table1[[#This Row],[TOTAL]]</f>
        <v>0</v>
      </c>
      <c r="AE1647" s="152"/>
      <c r="AF1647" s="153"/>
      <c r="AG1647" s="126" t="s">
        <v>3420</v>
      </c>
      <c r="AK1647" s="306" t="str">
        <f>IF(ISNUMBER(Table1[[#This Row],[FECHA DE RECIBIDO]]), Table1[[#This Row],[FECHA DE RECIBIDO]]-DATE(2023,8,30), "")</f>
        <v/>
      </c>
    </row>
    <row r="1648" spans="1:37" ht="16.05" customHeight="1">
      <c r="A1648" s="150" t="s">
        <v>3453</v>
      </c>
      <c r="B1648" s="151">
        <v>534</v>
      </c>
      <c r="C1648" s="126" t="s">
        <v>2596</v>
      </c>
      <c r="D1648">
        <v>1059</v>
      </c>
      <c r="E1648" s="126" t="s">
        <v>3387</v>
      </c>
      <c r="F1648" s="122" t="s">
        <v>1607</v>
      </c>
      <c r="G1648" s="122" t="s">
        <v>134</v>
      </c>
      <c r="H1648">
        <v>101</v>
      </c>
      <c r="I1648" s="122" t="s">
        <v>1546</v>
      </c>
      <c r="J1648" s="307" t="s">
        <v>214</v>
      </c>
      <c r="K1648" s="127" t="s">
        <v>3418</v>
      </c>
      <c r="L1648" s="151" t="s">
        <v>1579</v>
      </c>
      <c r="M1648">
        <v>136</v>
      </c>
      <c r="N1648" s="123">
        <v>17</v>
      </c>
      <c r="O1648">
        <v>1039</v>
      </c>
      <c r="P1648" s="132" t="s">
        <v>77</v>
      </c>
      <c r="Q1648" s="131">
        <v>1981.21</v>
      </c>
      <c r="R1648" s="131">
        <v>316.99</v>
      </c>
      <c r="S1648" s="131"/>
      <c r="T1648" s="155"/>
      <c r="U1648" s="131"/>
      <c r="V1648" s="131">
        <f t="shared" si="38"/>
        <v>2298.1999999999998</v>
      </c>
      <c r="W1648">
        <v>61</v>
      </c>
      <c r="X1648" s="151" t="s">
        <v>1644</v>
      </c>
      <c r="Y1648" s="135" t="s">
        <v>55</v>
      </c>
      <c r="Z1648" s="307">
        <v>248</v>
      </c>
      <c r="AB1648" t="str">
        <f>IF(Table1[[#This Row],[TIPO2]]="costo", VLOOKUP(Table1[[#This Row],[PARTIDA PRESUPUESTAL]],'Cost Report'!G:G,1,0),"Balance")</f>
        <v>2794-003</v>
      </c>
      <c r="AC1648" s="118"/>
      <c r="AD1648" s="159">
        <f>+Table1[[#This Row],[SUBTOTAL]]+Table1[[#This Row],[IVA]]-Table1[[#This Row],[RET IVA]]-Table1[[#This Row],[RET ISR]]-Table1[[#This Row],[TOTAL]]</f>
        <v>0</v>
      </c>
      <c r="AE1648" s="150"/>
      <c r="AF1648" s="151"/>
      <c r="AG1648" s="126" t="s">
        <v>3420</v>
      </c>
      <c r="AK1648" s="306" t="str">
        <f>IF(ISNUMBER(Table1[[#This Row],[FECHA DE RECIBIDO]]), Table1[[#This Row],[FECHA DE RECIBIDO]]-DATE(2023,8,30), "")</f>
        <v/>
      </c>
    </row>
    <row r="1649" spans="1:37" ht="16.05" customHeight="1">
      <c r="A1649" s="152" t="s">
        <v>3454</v>
      </c>
      <c r="B1649" s="153">
        <v>535</v>
      </c>
      <c r="C1649" s="126" t="s">
        <v>1868</v>
      </c>
      <c r="D1649">
        <v>1060</v>
      </c>
      <c r="E1649" s="126" t="s">
        <v>1601</v>
      </c>
      <c r="F1649" s="125" t="s">
        <v>1602</v>
      </c>
      <c r="G1649" s="125" t="s">
        <v>1617</v>
      </c>
      <c r="H1649">
        <v>27</v>
      </c>
      <c r="I1649" s="125" t="s">
        <v>1546</v>
      </c>
      <c r="J1649" s="308" t="s">
        <v>214</v>
      </c>
      <c r="K1649" s="127" t="s">
        <v>3418</v>
      </c>
      <c r="L1649" s="153" t="s">
        <v>2028</v>
      </c>
      <c r="M1649">
        <v>36</v>
      </c>
      <c r="N1649" s="123">
        <v>13</v>
      </c>
      <c r="O1649">
        <v>1040</v>
      </c>
      <c r="P1649" s="132" t="s">
        <v>77</v>
      </c>
      <c r="Q1649" s="132">
        <v>2400</v>
      </c>
      <c r="R1649" s="132">
        <v>384</v>
      </c>
      <c r="S1649" s="132"/>
      <c r="T1649" s="156">
        <v>256</v>
      </c>
      <c r="U1649" s="132">
        <v>0</v>
      </c>
      <c r="V1649" s="132">
        <f t="shared" si="38"/>
        <v>2528</v>
      </c>
      <c r="W1649">
        <v>29</v>
      </c>
      <c r="X1649" s="153" t="s">
        <v>1429</v>
      </c>
      <c r="Y1649" s="124" t="s">
        <v>55</v>
      </c>
      <c r="Z1649" s="308">
        <v>226</v>
      </c>
      <c r="AB1649" t="str">
        <f>IF(Table1[[#This Row],[TIPO2]]="costo", VLOOKUP(Table1[[#This Row],[PARTIDA PRESUPUESTAL]],'Cost Report'!G:G,1,0),"Balance")</f>
        <v>3442-006</v>
      </c>
      <c r="AC1649" s="118"/>
      <c r="AD1649" s="159">
        <f>+Table1[[#This Row],[SUBTOTAL]]+Table1[[#This Row],[IVA]]-Table1[[#This Row],[RET IVA]]-Table1[[#This Row],[RET ISR]]-Table1[[#This Row],[TOTAL]]</f>
        <v>0</v>
      </c>
      <c r="AE1649" s="152"/>
      <c r="AF1649" s="153"/>
      <c r="AG1649" s="126"/>
      <c r="AK1649" s="306" t="str">
        <f>IF(ISNUMBER(Table1[[#This Row],[FECHA DE RECIBIDO]]), Table1[[#This Row],[FECHA DE RECIBIDO]]-DATE(2023,8,30), "")</f>
        <v/>
      </c>
    </row>
    <row r="1650" spans="1:37" ht="16.05" customHeight="1">
      <c r="A1650" s="150" t="s">
        <v>3455</v>
      </c>
      <c r="B1650" s="151">
        <v>536</v>
      </c>
      <c r="C1650" s="126" t="s">
        <v>1868</v>
      </c>
      <c r="D1650">
        <v>1061</v>
      </c>
      <c r="E1650" s="126" t="s">
        <v>1994</v>
      </c>
      <c r="F1650" s="122" t="s">
        <v>1602</v>
      </c>
      <c r="G1650" s="122" t="s">
        <v>1617</v>
      </c>
      <c r="H1650">
        <v>107</v>
      </c>
      <c r="I1650" s="122" t="s">
        <v>1546</v>
      </c>
      <c r="J1650" s="307" t="s">
        <v>214</v>
      </c>
      <c r="K1650" s="127" t="s">
        <v>3418</v>
      </c>
      <c r="L1650" s="151" t="s">
        <v>2028</v>
      </c>
      <c r="M1650">
        <v>145</v>
      </c>
      <c r="N1650" s="123">
        <v>37</v>
      </c>
      <c r="O1650">
        <v>1041</v>
      </c>
      <c r="P1650" s="132" t="s">
        <v>77</v>
      </c>
      <c r="Q1650" s="131">
        <v>3120</v>
      </c>
      <c r="R1650" s="131">
        <v>499.2</v>
      </c>
      <c r="S1650" s="131"/>
      <c r="T1650" s="155">
        <v>332.8</v>
      </c>
      <c r="U1650" s="131">
        <v>0</v>
      </c>
      <c r="V1650" s="131">
        <f t="shared" si="38"/>
        <v>3286.3999999999996</v>
      </c>
      <c r="W1650">
        <v>69</v>
      </c>
      <c r="X1650" s="151" t="s">
        <v>1430</v>
      </c>
      <c r="Y1650" s="135" t="s">
        <v>55</v>
      </c>
      <c r="Z1650" s="307">
        <v>226</v>
      </c>
      <c r="AB1650" t="str">
        <f>IF(Table1[[#This Row],[TIPO2]]="costo", VLOOKUP(Table1[[#This Row],[PARTIDA PRESUPUESTAL]],'Cost Report'!G:G,1,0),"Balance")</f>
        <v>3442-006</v>
      </c>
      <c r="AC1650" s="118"/>
      <c r="AD1650" s="159">
        <f>+Table1[[#This Row],[SUBTOTAL]]+Table1[[#This Row],[IVA]]-Table1[[#This Row],[RET IVA]]-Table1[[#This Row],[RET ISR]]-Table1[[#This Row],[TOTAL]]</f>
        <v>0</v>
      </c>
      <c r="AE1650" s="150"/>
      <c r="AF1650" s="151"/>
      <c r="AG1650" s="126"/>
      <c r="AK1650" s="306" t="str">
        <f>IF(ISNUMBER(Table1[[#This Row],[FECHA DE RECIBIDO]]), Table1[[#This Row],[FECHA DE RECIBIDO]]-DATE(2023,8,30), "")</f>
        <v/>
      </c>
    </row>
    <row r="1651" spans="1:37" ht="16.05" customHeight="1">
      <c r="A1651" s="152" t="s">
        <v>3456</v>
      </c>
      <c r="B1651" s="153">
        <v>537</v>
      </c>
      <c r="C1651" s="126" t="s">
        <v>1868</v>
      </c>
      <c r="D1651">
        <v>1062</v>
      </c>
      <c r="E1651" s="126" t="s">
        <v>1600</v>
      </c>
      <c r="F1651" s="125" t="s">
        <v>1593</v>
      </c>
      <c r="G1651" s="125" t="s">
        <v>109</v>
      </c>
      <c r="H1651">
        <v>109</v>
      </c>
      <c r="I1651" s="125" t="s">
        <v>1546</v>
      </c>
      <c r="J1651" s="308" t="s">
        <v>214</v>
      </c>
      <c r="K1651" s="127" t="s">
        <v>3418</v>
      </c>
      <c r="L1651" s="153" t="s">
        <v>2028</v>
      </c>
      <c r="M1651">
        <v>147</v>
      </c>
      <c r="N1651" s="123">
        <v>39</v>
      </c>
      <c r="O1651">
        <v>1042</v>
      </c>
      <c r="P1651" s="132" t="s">
        <v>77</v>
      </c>
      <c r="Q1651" s="132">
        <v>4546.67</v>
      </c>
      <c r="R1651" s="132">
        <v>727.47</v>
      </c>
      <c r="S1651" s="132"/>
      <c r="T1651" s="156">
        <v>484.98</v>
      </c>
      <c r="U1651" s="132">
        <v>56.83</v>
      </c>
      <c r="V1651" s="132">
        <f t="shared" si="38"/>
        <v>4732.33</v>
      </c>
      <c r="W1651">
        <v>71</v>
      </c>
      <c r="X1651" s="153" t="s">
        <v>2023</v>
      </c>
      <c r="Y1651" s="124" t="s">
        <v>55</v>
      </c>
      <c r="Z1651" s="308">
        <v>226</v>
      </c>
      <c r="AB1651" t="str">
        <f>IF(Table1[[#This Row],[TIPO2]]="costo", VLOOKUP(Table1[[#This Row],[PARTIDA PRESUPUESTAL]],'Cost Report'!G:G,1,0),"Balance")</f>
        <v>3442-006</v>
      </c>
      <c r="AC1651" s="118"/>
      <c r="AD1651" s="159">
        <f>+Table1[[#This Row],[SUBTOTAL]]+Table1[[#This Row],[IVA]]-Table1[[#This Row],[RET IVA]]-Table1[[#This Row],[RET ISR]]-Table1[[#This Row],[TOTAL]]</f>
        <v>0</v>
      </c>
      <c r="AE1651" s="152"/>
      <c r="AF1651" s="153"/>
      <c r="AG1651" s="126"/>
      <c r="AK1651" s="306" t="str">
        <f>IF(ISNUMBER(Table1[[#This Row],[FECHA DE RECIBIDO]]), Table1[[#This Row],[FECHA DE RECIBIDO]]-DATE(2023,8,30), "")</f>
        <v/>
      </c>
    </row>
    <row r="1652" spans="1:37" ht="16.05" customHeight="1">
      <c r="A1652" s="150" t="s">
        <v>3457</v>
      </c>
      <c r="B1652" s="151">
        <v>538</v>
      </c>
      <c r="C1652" s="126" t="s">
        <v>1868</v>
      </c>
      <c r="D1652">
        <v>1063</v>
      </c>
      <c r="E1652" s="126" t="s">
        <v>1613</v>
      </c>
      <c r="F1652" s="122" t="s">
        <v>1593</v>
      </c>
      <c r="G1652" s="122" t="s">
        <v>109</v>
      </c>
      <c r="H1652">
        <v>110</v>
      </c>
      <c r="I1652" s="122" t="s">
        <v>1546</v>
      </c>
      <c r="J1652" s="307" t="s">
        <v>214</v>
      </c>
      <c r="K1652" s="127" t="s">
        <v>3418</v>
      </c>
      <c r="L1652" s="151" t="s">
        <v>2028</v>
      </c>
      <c r="M1652">
        <v>148</v>
      </c>
      <c r="N1652" s="123">
        <v>40</v>
      </c>
      <c r="O1652">
        <v>1043</v>
      </c>
      <c r="P1652" s="132" t="s">
        <v>77</v>
      </c>
      <c r="Q1652" s="131">
        <v>3120</v>
      </c>
      <c r="R1652" s="131">
        <v>499.2</v>
      </c>
      <c r="S1652" s="131"/>
      <c r="T1652" s="155">
        <v>332.8</v>
      </c>
      <c r="U1652" s="131">
        <v>39</v>
      </c>
      <c r="V1652" s="131">
        <f t="shared" si="38"/>
        <v>3247.3999999999996</v>
      </c>
      <c r="W1652">
        <v>72</v>
      </c>
      <c r="X1652" s="151" t="s">
        <v>1429</v>
      </c>
      <c r="Y1652" s="135" t="s">
        <v>55</v>
      </c>
      <c r="Z1652" s="307">
        <v>226</v>
      </c>
      <c r="AB1652" t="str">
        <f>IF(Table1[[#This Row],[TIPO2]]="costo", VLOOKUP(Table1[[#This Row],[PARTIDA PRESUPUESTAL]],'Cost Report'!G:G,1,0),"Balance")</f>
        <v>3442-006</v>
      </c>
      <c r="AC1652" s="118"/>
      <c r="AD1652" s="159">
        <f>+Table1[[#This Row],[SUBTOTAL]]+Table1[[#This Row],[IVA]]-Table1[[#This Row],[RET IVA]]-Table1[[#This Row],[RET ISR]]-Table1[[#This Row],[TOTAL]]</f>
        <v>0</v>
      </c>
      <c r="AE1652" s="150"/>
      <c r="AF1652" s="151"/>
      <c r="AG1652" s="126"/>
      <c r="AK1652" s="306" t="str">
        <f>IF(ISNUMBER(Table1[[#This Row],[FECHA DE RECIBIDO]]), Table1[[#This Row],[FECHA DE RECIBIDO]]-DATE(2023,8,30), "")</f>
        <v/>
      </c>
    </row>
    <row r="1653" spans="1:37" ht="16.05" customHeight="1">
      <c r="A1653" s="152" t="s">
        <v>3458</v>
      </c>
      <c r="B1653" s="153">
        <v>539</v>
      </c>
      <c r="C1653" s="126" t="s">
        <v>1868</v>
      </c>
      <c r="D1653">
        <v>1064</v>
      </c>
      <c r="E1653" s="126" t="s">
        <v>2014</v>
      </c>
      <c r="F1653" s="125" t="s">
        <v>1589</v>
      </c>
      <c r="G1653" s="125" t="s">
        <v>129</v>
      </c>
      <c r="H1653">
        <v>111</v>
      </c>
      <c r="I1653" s="125" t="s">
        <v>1546</v>
      </c>
      <c r="J1653" s="308" t="s">
        <v>214</v>
      </c>
      <c r="K1653" s="127" t="s">
        <v>3418</v>
      </c>
      <c r="L1653" s="153" t="s">
        <v>2028</v>
      </c>
      <c r="M1653">
        <v>149</v>
      </c>
      <c r="N1653" s="123">
        <v>41</v>
      </c>
      <c r="O1653">
        <v>1044</v>
      </c>
      <c r="P1653" s="132" t="s">
        <v>77</v>
      </c>
      <c r="Q1653" s="132">
        <v>4853</v>
      </c>
      <c r="R1653" s="132">
        <v>776.48</v>
      </c>
      <c r="S1653" s="132"/>
      <c r="T1653" s="156">
        <v>517.65</v>
      </c>
      <c r="U1653" s="132">
        <v>485.3</v>
      </c>
      <c r="V1653" s="132">
        <f t="shared" si="38"/>
        <v>4626.53</v>
      </c>
      <c r="W1653">
        <v>73</v>
      </c>
      <c r="X1653" s="153" t="s">
        <v>1430</v>
      </c>
      <c r="Y1653" s="124" t="s">
        <v>55</v>
      </c>
      <c r="Z1653" s="308">
        <v>226</v>
      </c>
      <c r="AB1653" t="str">
        <f>IF(Table1[[#This Row],[TIPO2]]="costo", VLOOKUP(Table1[[#This Row],[PARTIDA PRESUPUESTAL]],'Cost Report'!G:G,1,0),"Balance")</f>
        <v>3442-006</v>
      </c>
      <c r="AC1653" s="118"/>
      <c r="AD1653" s="159">
        <f>+Table1[[#This Row],[SUBTOTAL]]+Table1[[#This Row],[IVA]]-Table1[[#This Row],[RET IVA]]-Table1[[#This Row],[RET ISR]]-Table1[[#This Row],[TOTAL]]</f>
        <v>0</v>
      </c>
      <c r="AE1653" s="152"/>
      <c r="AF1653" s="153"/>
      <c r="AG1653" s="126"/>
      <c r="AK1653" s="306" t="str">
        <f>IF(ISNUMBER(Table1[[#This Row],[FECHA DE RECIBIDO]]), Table1[[#This Row],[FECHA DE RECIBIDO]]-DATE(2023,8,30), "")</f>
        <v/>
      </c>
    </row>
    <row r="1654" spans="1:37" ht="16.05" customHeight="1">
      <c r="A1654" s="150" t="s">
        <v>3459</v>
      </c>
      <c r="B1654" s="151">
        <v>540</v>
      </c>
      <c r="C1654" s="126" t="s">
        <v>1868</v>
      </c>
      <c r="D1654">
        <v>1065</v>
      </c>
      <c r="E1654" s="126" t="s">
        <v>3133</v>
      </c>
      <c r="F1654" s="122" t="s">
        <v>1593</v>
      </c>
      <c r="G1654" s="122" t="s">
        <v>109</v>
      </c>
      <c r="H1654">
        <v>187</v>
      </c>
      <c r="I1654" s="122" t="s">
        <v>1546</v>
      </c>
      <c r="J1654" s="307" t="s">
        <v>214</v>
      </c>
      <c r="K1654" s="127" t="s">
        <v>3418</v>
      </c>
      <c r="L1654" s="151" t="s">
        <v>2028</v>
      </c>
      <c r="M1654">
        <v>252</v>
      </c>
      <c r="N1654" s="123">
        <v>52</v>
      </c>
      <c r="O1654">
        <v>1045</v>
      </c>
      <c r="P1654" s="132" t="s">
        <v>77</v>
      </c>
      <c r="Q1654" s="131">
        <v>3933.33</v>
      </c>
      <c r="R1654" s="131">
        <v>629.33000000000004</v>
      </c>
      <c r="S1654" s="131"/>
      <c r="T1654" s="155">
        <v>419.56</v>
      </c>
      <c r="U1654" s="131">
        <v>49.17</v>
      </c>
      <c r="V1654" s="131">
        <f t="shared" si="38"/>
        <v>4093.9299999999994</v>
      </c>
      <c r="W1654">
        <v>108</v>
      </c>
      <c r="X1654" s="151" t="s">
        <v>1430</v>
      </c>
      <c r="Y1654" s="135" t="s">
        <v>55</v>
      </c>
      <c r="Z1654" s="307">
        <v>226</v>
      </c>
      <c r="AB1654" t="str">
        <f>IF(Table1[[#This Row],[TIPO2]]="costo", VLOOKUP(Table1[[#This Row],[PARTIDA PRESUPUESTAL]],'Cost Report'!G:G,1,0),"Balance")</f>
        <v>3442-006</v>
      </c>
      <c r="AC1654" s="118"/>
      <c r="AD1654" s="159">
        <f>+Table1[[#This Row],[SUBTOTAL]]+Table1[[#This Row],[IVA]]-Table1[[#This Row],[RET IVA]]-Table1[[#This Row],[RET ISR]]-Table1[[#This Row],[TOTAL]]</f>
        <v>0</v>
      </c>
      <c r="AE1654" s="150"/>
      <c r="AF1654" s="151"/>
      <c r="AG1654" s="126"/>
      <c r="AK1654" s="306" t="str">
        <f>IF(ISNUMBER(Table1[[#This Row],[FECHA DE RECIBIDO]]), Table1[[#This Row],[FECHA DE RECIBIDO]]-DATE(2023,8,30), "")</f>
        <v/>
      </c>
    </row>
    <row r="1655" spans="1:37" ht="16.05" customHeight="1">
      <c r="A1655" s="152" t="s">
        <v>3460</v>
      </c>
      <c r="B1655" s="153">
        <v>541</v>
      </c>
      <c r="C1655" s="126" t="s">
        <v>1868</v>
      </c>
      <c r="D1655">
        <v>1066</v>
      </c>
      <c r="E1655" s="126" t="s">
        <v>3135</v>
      </c>
      <c r="F1655" s="125" t="s">
        <v>1593</v>
      </c>
      <c r="G1655" s="125" t="s">
        <v>109</v>
      </c>
      <c r="H1655">
        <v>188</v>
      </c>
      <c r="I1655" s="125" t="s">
        <v>1546</v>
      </c>
      <c r="J1655" s="308" t="s">
        <v>214</v>
      </c>
      <c r="K1655" s="127" t="s">
        <v>3418</v>
      </c>
      <c r="L1655" s="153" t="s">
        <v>2028</v>
      </c>
      <c r="M1655">
        <v>253</v>
      </c>
      <c r="N1655" s="123">
        <v>53</v>
      </c>
      <c r="O1655">
        <v>1046</v>
      </c>
      <c r="P1655" s="132" t="s">
        <v>77</v>
      </c>
      <c r="Q1655" s="132">
        <v>4546.67</v>
      </c>
      <c r="R1655" s="132">
        <v>727.47</v>
      </c>
      <c r="S1655" s="132"/>
      <c r="T1655" s="156">
        <v>484.98</v>
      </c>
      <c r="U1655" s="132">
        <v>56.83</v>
      </c>
      <c r="V1655" s="132">
        <f t="shared" si="38"/>
        <v>4732.33</v>
      </c>
      <c r="W1655">
        <v>109</v>
      </c>
      <c r="X1655" s="153" t="s">
        <v>1429</v>
      </c>
      <c r="Y1655" s="124" t="s">
        <v>55</v>
      </c>
      <c r="Z1655" s="308">
        <v>226</v>
      </c>
      <c r="AB1655" t="str">
        <f>IF(Table1[[#This Row],[TIPO2]]="costo", VLOOKUP(Table1[[#This Row],[PARTIDA PRESUPUESTAL]],'Cost Report'!G:G,1,0),"Balance")</f>
        <v>3442-006</v>
      </c>
      <c r="AC1655" s="118"/>
      <c r="AD1655" s="159">
        <f>+Table1[[#This Row],[SUBTOTAL]]+Table1[[#This Row],[IVA]]-Table1[[#This Row],[RET IVA]]-Table1[[#This Row],[RET ISR]]-Table1[[#This Row],[TOTAL]]</f>
        <v>0</v>
      </c>
      <c r="AE1655" s="152"/>
      <c r="AF1655" s="153"/>
      <c r="AG1655" s="126"/>
      <c r="AK1655" s="306" t="str">
        <f>IF(ISNUMBER(Table1[[#This Row],[FECHA DE RECIBIDO]]), Table1[[#This Row],[FECHA DE RECIBIDO]]-DATE(2023,8,30), "")</f>
        <v/>
      </c>
    </row>
    <row r="1656" spans="1:37" ht="16.05" customHeight="1">
      <c r="A1656" s="150" t="s">
        <v>3461</v>
      </c>
      <c r="B1656" s="151">
        <v>542</v>
      </c>
      <c r="C1656" s="126" t="s">
        <v>1868</v>
      </c>
      <c r="D1656">
        <v>1067</v>
      </c>
      <c r="E1656" s="126" t="s">
        <v>3137</v>
      </c>
      <c r="F1656" s="122" t="s">
        <v>1593</v>
      </c>
      <c r="G1656" s="122" t="s">
        <v>109</v>
      </c>
      <c r="H1656">
        <v>189</v>
      </c>
      <c r="I1656" s="122" t="s">
        <v>1546</v>
      </c>
      <c r="J1656" s="307" t="s">
        <v>214</v>
      </c>
      <c r="K1656" s="127" t="s">
        <v>3418</v>
      </c>
      <c r="L1656" s="151" t="s">
        <v>2028</v>
      </c>
      <c r="M1656">
        <v>254</v>
      </c>
      <c r="N1656" s="123">
        <v>54</v>
      </c>
      <c r="O1656">
        <v>1047</v>
      </c>
      <c r="P1656" s="132" t="s">
        <v>77</v>
      </c>
      <c r="Q1656" s="131">
        <v>4546.67</v>
      </c>
      <c r="R1656" s="131">
        <v>727.47</v>
      </c>
      <c r="S1656" s="131"/>
      <c r="T1656" s="155">
        <v>484.98</v>
      </c>
      <c r="U1656" s="131">
        <v>56.83</v>
      </c>
      <c r="V1656" s="131">
        <f t="shared" si="38"/>
        <v>4732.33</v>
      </c>
      <c r="W1656">
        <v>110</v>
      </c>
      <c r="X1656" s="151" t="s">
        <v>1429</v>
      </c>
      <c r="Y1656" s="135" t="s">
        <v>55</v>
      </c>
      <c r="Z1656" s="307">
        <v>226</v>
      </c>
      <c r="AB1656" t="str">
        <f>IF(Table1[[#This Row],[TIPO2]]="costo", VLOOKUP(Table1[[#This Row],[PARTIDA PRESUPUESTAL]],'Cost Report'!G:G,1,0),"Balance")</f>
        <v>3442-006</v>
      </c>
      <c r="AC1656" s="118"/>
      <c r="AD1656" s="159">
        <f>+Table1[[#This Row],[SUBTOTAL]]+Table1[[#This Row],[IVA]]-Table1[[#This Row],[RET IVA]]-Table1[[#This Row],[RET ISR]]-Table1[[#This Row],[TOTAL]]</f>
        <v>0</v>
      </c>
      <c r="AE1656" s="150"/>
      <c r="AF1656" s="151"/>
      <c r="AG1656" s="126"/>
      <c r="AK1656" s="306" t="str">
        <f>IF(ISNUMBER(Table1[[#This Row],[FECHA DE RECIBIDO]]), Table1[[#This Row],[FECHA DE RECIBIDO]]-DATE(2023,8,30), "")</f>
        <v/>
      </c>
    </row>
    <row r="1657" spans="1:37" ht="16.05" customHeight="1">
      <c r="A1657" s="152" t="s">
        <v>3462</v>
      </c>
      <c r="B1657" s="153">
        <v>543</v>
      </c>
      <c r="C1657" s="126" t="s">
        <v>1868</v>
      </c>
      <c r="D1657">
        <v>1068</v>
      </c>
      <c r="E1657" s="126" t="s">
        <v>3139</v>
      </c>
      <c r="F1657" s="125" t="s">
        <v>1593</v>
      </c>
      <c r="G1657" s="125" t="s">
        <v>109</v>
      </c>
      <c r="H1657">
        <v>190</v>
      </c>
      <c r="I1657" s="125" t="s">
        <v>1546</v>
      </c>
      <c r="J1657" s="308" t="s">
        <v>214</v>
      </c>
      <c r="K1657" s="127" t="s">
        <v>3418</v>
      </c>
      <c r="L1657" s="153" t="s">
        <v>2028</v>
      </c>
      <c r="M1657">
        <v>255</v>
      </c>
      <c r="N1657" s="123">
        <v>55</v>
      </c>
      <c r="O1657">
        <v>1048</v>
      </c>
      <c r="P1657" s="132" t="s">
        <v>77</v>
      </c>
      <c r="Q1657" s="132">
        <v>4200</v>
      </c>
      <c r="R1657" s="132">
        <v>672</v>
      </c>
      <c r="S1657" s="132"/>
      <c r="T1657" s="156">
        <v>448</v>
      </c>
      <c r="U1657" s="132">
        <v>52.5</v>
      </c>
      <c r="V1657" s="132">
        <f t="shared" si="38"/>
        <v>4371.5</v>
      </c>
      <c r="W1657">
        <v>111</v>
      </c>
      <c r="X1657" s="153" t="s">
        <v>1429</v>
      </c>
      <c r="Y1657" s="124" t="s">
        <v>55</v>
      </c>
      <c r="Z1657" s="308">
        <v>226</v>
      </c>
      <c r="AB1657" t="str">
        <f>IF(Table1[[#This Row],[TIPO2]]="costo", VLOOKUP(Table1[[#This Row],[PARTIDA PRESUPUESTAL]],'Cost Report'!G:G,1,0),"Balance")</f>
        <v>3442-006</v>
      </c>
      <c r="AC1657" s="118"/>
      <c r="AD1657" s="159">
        <f>+Table1[[#This Row],[SUBTOTAL]]+Table1[[#This Row],[IVA]]-Table1[[#This Row],[RET IVA]]-Table1[[#This Row],[RET ISR]]-Table1[[#This Row],[TOTAL]]</f>
        <v>0</v>
      </c>
      <c r="AE1657" s="152"/>
      <c r="AF1657" s="153"/>
      <c r="AG1657" s="126"/>
      <c r="AK1657" s="306" t="str">
        <f>IF(ISNUMBER(Table1[[#This Row],[FECHA DE RECIBIDO]]), Table1[[#This Row],[FECHA DE RECIBIDO]]-DATE(2023,8,30), "")</f>
        <v/>
      </c>
    </row>
    <row r="1658" spans="1:37" ht="16.05" customHeight="1">
      <c r="A1658" s="150" t="s">
        <v>3463</v>
      </c>
      <c r="B1658" s="151">
        <v>544</v>
      </c>
      <c r="C1658" s="126" t="s">
        <v>1868</v>
      </c>
      <c r="D1658">
        <v>1069</v>
      </c>
      <c r="E1658" s="126" t="s">
        <v>3143</v>
      </c>
      <c r="F1658" s="122" t="s">
        <v>1589</v>
      </c>
      <c r="G1658" s="122" t="s">
        <v>129</v>
      </c>
      <c r="H1658">
        <v>192</v>
      </c>
      <c r="I1658" s="122" t="s">
        <v>1546</v>
      </c>
      <c r="J1658" s="307" t="s">
        <v>214</v>
      </c>
      <c r="K1658" s="127" t="s">
        <v>3418</v>
      </c>
      <c r="L1658" s="151" t="s">
        <v>2028</v>
      </c>
      <c r="M1658">
        <v>257</v>
      </c>
      <c r="N1658" s="123">
        <v>57</v>
      </c>
      <c r="O1658">
        <v>1049</v>
      </c>
      <c r="P1658" s="132" t="s">
        <v>77</v>
      </c>
      <c r="Q1658" s="131">
        <v>4240</v>
      </c>
      <c r="R1658" s="131">
        <v>678.4</v>
      </c>
      <c r="S1658" s="131"/>
      <c r="T1658" s="155">
        <v>452.27</v>
      </c>
      <c r="U1658" s="131">
        <v>424</v>
      </c>
      <c r="V1658" s="131">
        <f t="shared" si="38"/>
        <v>4042.1299999999992</v>
      </c>
      <c r="W1658">
        <v>113</v>
      </c>
      <c r="X1658" s="151" t="s">
        <v>1429</v>
      </c>
      <c r="Y1658" s="135" t="s">
        <v>55</v>
      </c>
      <c r="Z1658" s="307">
        <v>226</v>
      </c>
      <c r="AB1658" t="str">
        <f>IF(Table1[[#This Row],[TIPO2]]="costo", VLOOKUP(Table1[[#This Row],[PARTIDA PRESUPUESTAL]],'Cost Report'!G:G,1,0),"Balance")</f>
        <v>3442-006</v>
      </c>
      <c r="AC1658" s="118"/>
      <c r="AD1658" s="159">
        <f>+Table1[[#This Row],[SUBTOTAL]]+Table1[[#This Row],[IVA]]-Table1[[#This Row],[RET IVA]]-Table1[[#This Row],[RET ISR]]-Table1[[#This Row],[TOTAL]]</f>
        <v>0</v>
      </c>
      <c r="AE1658" s="150"/>
      <c r="AF1658" s="151"/>
      <c r="AG1658" s="126"/>
      <c r="AK1658" s="306" t="str">
        <f>IF(ISNUMBER(Table1[[#This Row],[FECHA DE RECIBIDO]]), Table1[[#This Row],[FECHA DE RECIBIDO]]-DATE(2023,8,30), "")</f>
        <v/>
      </c>
    </row>
    <row r="1659" spans="1:37" ht="16.05" customHeight="1">
      <c r="A1659" s="152" t="s">
        <v>3464</v>
      </c>
      <c r="B1659" s="153">
        <v>545</v>
      </c>
      <c r="C1659" s="126" t="s">
        <v>1868</v>
      </c>
      <c r="D1659">
        <v>1070</v>
      </c>
      <c r="E1659" s="126" t="s">
        <v>3638</v>
      </c>
      <c r="F1659" s="125" t="s">
        <v>1593</v>
      </c>
      <c r="G1659" s="125" t="s">
        <v>109</v>
      </c>
      <c r="H1659">
        <v>338</v>
      </c>
      <c r="I1659" s="125" t="s">
        <v>1546</v>
      </c>
      <c r="J1659" s="308" t="s">
        <v>214</v>
      </c>
      <c r="K1659" s="127" t="s">
        <v>3418</v>
      </c>
      <c r="L1659" s="153" t="s">
        <v>2028</v>
      </c>
      <c r="M1659">
        <v>455</v>
      </c>
      <c r="N1659" s="123">
        <v>80</v>
      </c>
      <c r="O1659">
        <v>1050</v>
      </c>
      <c r="P1659" s="132" t="s">
        <v>77</v>
      </c>
      <c r="Q1659" s="132">
        <v>720</v>
      </c>
      <c r="R1659" s="132">
        <v>115.2</v>
      </c>
      <c r="S1659" s="132"/>
      <c r="T1659" s="156">
        <v>76.819999999999993</v>
      </c>
      <c r="U1659" s="132">
        <v>9</v>
      </c>
      <c r="V1659" s="132">
        <f t="shared" si="38"/>
        <v>749.38000000000011</v>
      </c>
      <c r="W1659">
        <v>175</v>
      </c>
      <c r="X1659" s="153" t="s">
        <v>2024</v>
      </c>
      <c r="Y1659" s="124" t="s">
        <v>55</v>
      </c>
      <c r="Z1659" s="308">
        <v>226</v>
      </c>
      <c r="AB1659" t="str">
        <f>IF(Table1[[#This Row],[TIPO2]]="costo", VLOOKUP(Table1[[#This Row],[PARTIDA PRESUPUESTAL]],'Cost Report'!G:G,1,0),"Balance")</f>
        <v>3442-006</v>
      </c>
      <c r="AC1659" s="118"/>
      <c r="AD1659" s="159">
        <f>+Table1[[#This Row],[SUBTOTAL]]+Table1[[#This Row],[IVA]]-Table1[[#This Row],[RET IVA]]-Table1[[#This Row],[RET ISR]]-Table1[[#This Row],[TOTAL]]</f>
        <v>0</v>
      </c>
      <c r="AE1659" s="152"/>
      <c r="AF1659" s="153"/>
      <c r="AG1659" s="126"/>
      <c r="AK1659" s="306" t="str">
        <f>IF(ISNUMBER(Table1[[#This Row],[FECHA DE RECIBIDO]]), Table1[[#This Row],[FECHA DE RECIBIDO]]-DATE(2023,8,30), "")</f>
        <v/>
      </c>
    </row>
    <row r="1660" spans="1:37" ht="16.05" customHeight="1">
      <c r="A1660" s="150" t="s">
        <v>3465</v>
      </c>
      <c r="B1660" s="151">
        <v>546</v>
      </c>
      <c r="C1660" s="126" t="s">
        <v>1868</v>
      </c>
      <c r="D1660">
        <v>1071</v>
      </c>
      <c r="E1660" s="126" t="s">
        <v>1614</v>
      </c>
      <c r="F1660" s="122" t="s">
        <v>1593</v>
      </c>
      <c r="G1660" s="122" t="s">
        <v>109</v>
      </c>
      <c r="H1660">
        <v>339</v>
      </c>
      <c r="I1660" s="122" t="s">
        <v>1546</v>
      </c>
      <c r="J1660" s="307" t="s">
        <v>214</v>
      </c>
      <c r="K1660" s="127" t="s">
        <v>3418</v>
      </c>
      <c r="L1660" s="151" t="s">
        <v>2028</v>
      </c>
      <c r="M1660">
        <v>456</v>
      </c>
      <c r="N1660" s="123">
        <v>81</v>
      </c>
      <c r="O1660">
        <v>1051</v>
      </c>
      <c r="P1660" s="132" t="s">
        <v>77</v>
      </c>
      <c r="Q1660" s="131">
        <v>1920</v>
      </c>
      <c r="R1660" s="131">
        <v>307.2</v>
      </c>
      <c r="S1660" s="131"/>
      <c r="T1660" s="155">
        <v>204.8</v>
      </c>
      <c r="U1660" s="131">
        <v>24</v>
      </c>
      <c r="V1660" s="131">
        <f t="shared" si="38"/>
        <v>1998.3999999999999</v>
      </c>
      <c r="W1660">
        <v>176</v>
      </c>
      <c r="X1660" s="151" t="s">
        <v>1429</v>
      </c>
      <c r="Y1660" s="135" t="s">
        <v>55</v>
      </c>
      <c r="Z1660" s="307">
        <v>226</v>
      </c>
      <c r="AB1660" t="str">
        <f>IF(Table1[[#This Row],[TIPO2]]="costo", VLOOKUP(Table1[[#This Row],[PARTIDA PRESUPUESTAL]],'Cost Report'!G:G,1,0),"Balance")</f>
        <v>3442-006</v>
      </c>
      <c r="AC1660" s="118"/>
      <c r="AD1660" s="159">
        <f>+Table1[[#This Row],[SUBTOTAL]]+Table1[[#This Row],[IVA]]-Table1[[#This Row],[RET IVA]]-Table1[[#This Row],[RET ISR]]-Table1[[#This Row],[TOTAL]]</f>
        <v>0</v>
      </c>
      <c r="AE1660" s="150"/>
      <c r="AF1660" s="151"/>
      <c r="AG1660" s="126"/>
      <c r="AK1660" s="306" t="str">
        <f>IF(ISNUMBER(Table1[[#This Row],[FECHA DE RECIBIDO]]), Table1[[#This Row],[FECHA DE RECIBIDO]]-DATE(2023,8,30), "")</f>
        <v/>
      </c>
    </row>
    <row r="1661" spans="1:37" ht="16.05" customHeight="1">
      <c r="A1661" s="152" t="s">
        <v>3466</v>
      </c>
      <c r="B1661" s="153">
        <v>547</v>
      </c>
      <c r="C1661" s="126" t="s">
        <v>1868</v>
      </c>
      <c r="D1661">
        <v>1072</v>
      </c>
      <c r="E1661" s="126" t="s">
        <v>1614</v>
      </c>
      <c r="F1661" s="125" t="s">
        <v>1593</v>
      </c>
      <c r="G1661" s="125" t="s">
        <v>109</v>
      </c>
      <c r="H1661">
        <v>339</v>
      </c>
      <c r="I1661" s="125" t="s">
        <v>1546</v>
      </c>
      <c r="J1661" s="308" t="s">
        <v>214</v>
      </c>
      <c r="K1661" s="127" t="s">
        <v>3418</v>
      </c>
      <c r="L1661" s="153" t="s">
        <v>2028</v>
      </c>
      <c r="M1661">
        <v>456</v>
      </c>
      <c r="N1661" s="123">
        <v>81</v>
      </c>
      <c r="O1661">
        <v>1052</v>
      </c>
      <c r="P1661" s="132" t="s">
        <v>77</v>
      </c>
      <c r="Q1661" s="132">
        <v>1920</v>
      </c>
      <c r="R1661" s="132">
        <v>307.2</v>
      </c>
      <c r="S1661" s="132"/>
      <c r="T1661" s="156">
        <v>204.8</v>
      </c>
      <c r="U1661" s="132">
        <v>24</v>
      </c>
      <c r="V1661" s="132">
        <f t="shared" si="38"/>
        <v>1998.3999999999999</v>
      </c>
      <c r="W1661">
        <v>176</v>
      </c>
      <c r="X1661" s="153" t="s">
        <v>1429</v>
      </c>
      <c r="Y1661" s="124" t="s">
        <v>55</v>
      </c>
      <c r="Z1661" s="308">
        <v>226</v>
      </c>
      <c r="AB1661" t="str">
        <f>IF(Table1[[#This Row],[TIPO2]]="costo", VLOOKUP(Table1[[#This Row],[PARTIDA PRESUPUESTAL]],'Cost Report'!G:G,1,0),"Balance")</f>
        <v>3442-006</v>
      </c>
      <c r="AC1661" s="118"/>
      <c r="AD1661" s="159">
        <f>+Table1[[#This Row],[SUBTOTAL]]+Table1[[#This Row],[IVA]]-Table1[[#This Row],[RET IVA]]-Table1[[#This Row],[RET ISR]]-Table1[[#This Row],[TOTAL]]</f>
        <v>0</v>
      </c>
      <c r="AE1661" s="152"/>
      <c r="AF1661" s="153"/>
      <c r="AG1661" s="126"/>
      <c r="AK1661" s="306" t="str">
        <f>IF(ISNUMBER(Table1[[#This Row],[FECHA DE RECIBIDO]]), Table1[[#This Row],[FECHA DE RECIBIDO]]-DATE(2023,8,30), "")</f>
        <v/>
      </c>
    </row>
    <row r="1662" spans="1:37" ht="16.05" customHeight="1">
      <c r="A1662" s="150" t="s">
        <v>3467</v>
      </c>
      <c r="B1662" s="151">
        <v>548</v>
      </c>
      <c r="C1662" s="126" t="s">
        <v>1868</v>
      </c>
      <c r="D1662">
        <v>1073</v>
      </c>
      <c r="E1662" s="126" t="s">
        <v>3639</v>
      </c>
      <c r="F1662" s="122" t="s">
        <v>1593</v>
      </c>
      <c r="G1662" s="122" t="s">
        <v>109</v>
      </c>
      <c r="H1662">
        <v>340</v>
      </c>
      <c r="I1662" s="122" t="s">
        <v>1546</v>
      </c>
      <c r="J1662" s="307" t="s">
        <v>214</v>
      </c>
      <c r="K1662" s="127" t="s">
        <v>3418</v>
      </c>
      <c r="L1662" s="151" t="s">
        <v>2028</v>
      </c>
      <c r="M1662">
        <v>457</v>
      </c>
      <c r="N1662" s="123">
        <v>82</v>
      </c>
      <c r="O1662">
        <v>1053</v>
      </c>
      <c r="P1662" s="132" t="s">
        <v>77</v>
      </c>
      <c r="Q1662" s="131">
        <v>920</v>
      </c>
      <c r="R1662" s="131">
        <v>147.19999999999999</v>
      </c>
      <c r="S1662" s="131"/>
      <c r="T1662" s="155">
        <v>98.13</v>
      </c>
      <c r="U1662" s="131">
        <v>11.5</v>
      </c>
      <c r="V1662" s="131">
        <f t="shared" si="38"/>
        <v>957.57</v>
      </c>
      <c r="W1662">
        <v>177</v>
      </c>
      <c r="X1662" s="151" t="s">
        <v>1429</v>
      </c>
      <c r="Y1662" s="135" t="s">
        <v>55</v>
      </c>
      <c r="Z1662" s="307">
        <v>226</v>
      </c>
      <c r="AB1662" t="str">
        <f>IF(Table1[[#This Row],[TIPO2]]="costo", VLOOKUP(Table1[[#This Row],[PARTIDA PRESUPUESTAL]],'Cost Report'!G:G,1,0),"Balance")</f>
        <v>3442-006</v>
      </c>
      <c r="AC1662" s="118"/>
      <c r="AD1662" s="159">
        <f>+Table1[[#This Row],[SUBTOTAL]]+Table1[[#This Row],[IVA]]-Table1[[#This Row],[RET IVA]]-Table1[[#This Row],[RET ISR]]-Table1[[#This Row],[TOTAL]]</f>
        <v>0</v>
      </c>
      <c r="AE1662" s="150"/>
      <c r="AF1662" s="151"/>
      <c r="AG1662" s="126"/>
      <c r="AK1662" s="306" t="str">
        <f>IF(ISNUMBER(Table1[[#This Row],[FECHA DE RECIBIDO]]), Table1[[#This Row],[FECHA DE RECIBIDO]]-DATE(2023,8,30), "")</f>
        <v/>
      </c>
    </row>
    <row r="1663" spans="1:37" ht="16.05" customHeight="1">
      <c r="A1663" s="152" t="s">
        <v>3468</v>
      </c>
      <c r="B1663" s="153">
        <v>549</v>
      </c>
      <c r="C1663" s="126" t="s">
        <v>1868</v>
      </c>
      <c r="D1663">
        <v>1074</v>
      </c>
      <c r="E1663" s="126" t="s">
        <v>1997</v>
      </c>
      <c r="F1663" s="125" t="s">
        <v>1602</v>
      </c>
      <c r="G1663" s="125" t="s">
        <v>1617</v>
      </c>
      <c r="H1663">
        <v>341</v>
      </c>
      <c r="I1663" s="125" t="s">
        <v>1546</v>
      </c>
      <c r="J1663" s="308" t="s">
        <v>214</v>
      </c>
      <c r="K1663" s="127" t="s">
        <v>3418</v>
      </c>
      <c r="L1663" s="153" t="s">
        <v>2028</v>
      </c>
      <c r="M1663">
        <v>458</v>
      </c>
      <c r="N1663" s="123">
        <v>83</v>
      </c>
      <c r="O1663">
        <v>1054</v>
      </c>
      <c r="P1663" s="132" t="s">
        <v>77</v>
      </c>
      <c r="Q1663" s="132">
        <v>720</v>
      </c>
      <c r="R1663" s="132">
        <v>115.2</v>
      </c>
      <c r="S1663" s="132"/>
      <c r="T1663" s="156">
        <v>76.8</v>
      </c>
      <c r="U1663" s="132">
        <v>0</v>
      </c>
      <c r="V1663" s="132">
        <f t="shared" si="38"/>
        <v>758.40000000000009</v>
      </c>
      <c r="W1663">
        <v>178</v>
      </c>
      <c r="X1663" s="153" t="s">
        <v>2024</v>
      </c>
      <c r="Y1663" s="124" t="s">
        <v>55</v>
      </c>
      <c r="Z1663" s="308">
        <v>226</v>
      </c>
      <c r="AB1663" t="str">
        <f>IF(Table1[[#This Row],[TIPO2]]="costo", VLOOKUP(Table1[[#This Row],[PARTIDA PRESUPUESTAL]],'Cost Report'!G:G,1,0),"Balance")</f>
        <v>3442-006</v>
      </c>
      <c r="AC1663" s="118"/>
      <c r="AD1663" s="159">
        <f>+Table1[[#This Row],[SUBTOTAL]]+Table1[[#This Row],[IVA]]-Table1[[#This Row],[RET IVA]]-Table1[[#This Row],[RET ISR]]-Table1[[#This Row],[TOTAL]]</f>
        <v>0</v>
      </c>
      <c r="AE1663" s="152"/>
      <c r="AF1663" s="153"/>
      <c r="AG1663" s="126"/>
      <c r="AK1663" s="306" t="str">
        <f>IF(ISNUMBER(Table1[[#This Row],[FECHA DE RECIBIDO]]), Table1[[#This Row],[FECHA DE RECIBIDO]]-DATE(2023,8,30), "")</f>
        <v/>
      </c>
    </row>
    <row r="1664" spans="1:37" ht="16.05" customHeight="1">
      <c r="A1664" s="150" t="s">
        <v>3469</v>
      </c>
      <c r="B1664" s="151">
        <v>550</v>
      </c>
      <c r="C1664" s="126" t="s">
        <v>475</v>
      </c>
      <c r="D1664">
        <v>1075</v>
      </c>
      <c r="E1664" s="126" t="s">
        <v>1588</v>
      </c>
      <c r="F1664" s="122" t="s">
        <v>1589</v>
      </c>
      <c r="G1664" s="122" t="s">
        <v>129</v>
      </c>
      <c r="H1664">
        <v>15</v>
      </c>
      <c r="I1664" s="122" t="s">
        <v>1546</v>
      </c>
      <c r="J1664" s="307" t="s">
        <v>214</v>
      </c>
      <c r="K1664" s="127" t="s">
        <v>3418</v>
      </c>
      <c r="L1664" s="151" t="s">
        <v>110</v>
      </c>
      <c r="M1664">
        <v>19</v>
      </c>
      <c r="N1664" s="123">
        <v>1</v>
      </c>
      <c r="O1664">
        <v>1055</v>
      </c>
      <c r="P1664" s="132" t="s">
        <v>77</v>
      </c>
      <c r="Q1664" s="131">
        <v>37800</v>
      </c>
      <c r="R1664" s="131">
        <v>6048</v>
      </c>
      <c r="S1664" s="131"/>
      <c r="T1664" s="155">
        <v>4032.02</v>
      </c>
      <c r="U1664" s="131">
        <v>3780</v>
      </c>
      <c r="V1664" s="131">
        <f t="shared" si="38"/>
        <v>36035.980000000003</v>
      </c>
      <c r="W1664">
        <v>15</v>
      </c>
      <c r="X1664" s="151" t="s">
        <v>1429</v>
      </c>
      <c r="Y1664" s="135" t="s">
        <v>55</v>
      </c>
      <c r="Z1664" s="307">
        <v>226</v>
      </c>
      <c r="AB1664" t="str">
        <f>IF(Table1[[#This Row],[TIPO2]]="costo", VLOOKUP(Table1[[#This Row],[PARTIDA PRESUPUESTAL]],'Cost Report'!G:G,1,0),"Balance")</f>
        <v>2013-005</v>
      </c>
      <c r="AC1664" s="118"/>
      <c r="AD1664" s="159">
        <f>+Table1[[#This Row],[SUBTOTAL]]+Table1[[#This Row],[IVA]]-Table1[[#This Row],[RET IVA]]-Table1[[#This Row],[RET ISR]]-Table1[[#This Row],[TOTAL]]</f>
        <v>0</v>
      </c>
      <c r="AE1664" s="150"/>
      <c r="AF1664" s="151"/>
      <c r="AG1664" s="126"/>
      <c r="AK1664" s="306" t="str">
        <f>IF(ISNUMBER(Table1[[#This Row],[FECHA DE RECIBIDO]]), Table1[[#This Row],[FECHA DE RECIBIDO]]-DATE(2023,8,30), "")</f>
        <v/>
      </c>
    </row>
    <row r="1665" spans="1:37" ht="16.05" customHeight="1">
      <c r="A1665" s="152" t="s">
        <v>3470</v>
      </c>
      <c r="B1665" s="153">
        <v>551</v>
      </c>
      <c r="C1665" s="126" t="s">
        <v>239</v>
      </c>
      <c r="D1665">
        <v>1076</v>
      </c>
      <c r="E1665" s="126" t="s">
        <v>1887</v>
      </c>
      <c r="F1665" s="125" t="s">
        <v>1593</v>
      </c>
      <c r="G1665" s="125" t="s">
        <v>109</v>
      </c>
      <c r="H1665">
        <v>10</v>
      </c>
      <c r="I1665" s="125" t="s">
        <v>1546</v>
      </c>
      <c r="J1665" s="308" t="s">
        <v>214</v>
      </c>
      <c r="K1665" s="127" t="s">
        <v>3418</v>
      </c>
      <c r="L1665" s="153" t="s">
        <v>110</v>
      </c>
      <c r="M1665">
        <v>13</v>
      </c>
      <c r="N1665" s="123">
        <v>20</v>
      </c>
      <c r="O1665">
        <v>1056</v>
      </c>
      <c r="P1665" s="132" t="s">
        <v>77</v>
      </c>
      <c r="Q1665" s="132">
        <v>67000</v>
      </c>
      <c r="R1665" s="132">
        <v>10720</v>
      </c>
      <c r="S1665" s="132"/>
      <c r="T1665" s="156">
        <v>7146.68</v>
      </c>
      <c r="U1665" s="132">
        <v>837.5</v>
      </c>
      <c r="V1665" s="132">
        <f t="shared" si="38"/>
        <v>69735.820000000007</v>
      </c>
      <c r="W1665">
        <v>9</v>
      </c>
      <c r="X1665" s="153" t="s">
        <v>1429</v>
      </c>
      <c r="Y1665" s="124" t="s">
        <v>55</v>
      </c>
      <c r="Z1665" s="308">
        <v>226</v>
      </c>
      <c r="AB1665" t="str">
        <f>IF(Table1[[#This Row],[TIPO2]]="costo", VLOOKUP(Table1[[#This Row],[PARTIDA PRESUPUESTAL]],'Cost Report'!G:G,1,0),"Balance")</f>
        <v>1202-005</v>
      </c>
      <c r="AC1665" s="118"/>
      <c r="AD1665" s="159">
        <f>+Table1[[#This Row],[SUBTOTAL]]+Table1[[#This Row],[IVA]]-Table1[[#This Row],[RET IVA]]-Table1[[#This Row],[RET ISR]]-Table1[[#This Row],[TOTAL]]</f>
        <v>0</v>
      </c>
      <c r="AE1665" s="152"/>
      <c r="AF1665" s="153"/>
      <c r="AG1665" s="126"/>
      <c r="AK1665" s="306" t="str">
        <f>IF(ISNUMBER(Table1[[#This Row],[FECHA DE RECIBIDO]]), Table1[[#This Row],[FECHA DE RECIBIDO]]-DATE(2023,8,30), "")</f>
        <v/>
      </c>
    </row>
    <row r="1666" spans="1:37" ht="16.05" customHeight="1">
      <c r="A1666" s="150" t="s">
        <v>3471</v>
      </c>
      <c r="B1666" s="151">
        <v>552</v>
      </c>
      <c r="C1666" s="126" t="s">
        <v>243</v>
      </c>
      <c r="D1666">
        <v>1077</v>
      </c>
      <c r="E1666" s="126" t="s">
        <v>1590</v>
      </c>
      <c r="F1666" s="122" t="s">
        <v>1589</v>
      </c>
      <c r="G1666" s="122" t="s">
        <v>129</v>
      </c>
      <c r="H1666">
        <v>16</v>
      </c>
      <c r="I1666" s="122" t="s">
        <v>1546</v>
      </c>
      <c r="J1666" s="307" t="s">
        <v>214</v>
      </c>
      <c r="K1666" s="127" t="s">
        <v>3418</v>
      </c>
      <c r="L1666" s="151" t="s">
        <v>110</v>
      </c>
      <c r="M1666">
        <v>21</v>
      </c>
      <c r="N1666" s="123">
        <v>2</v>
      </c>
      <c r="O1666">
        <v>1057</v>
      </c>
      <c r="P1666" s="132" t="s">
        <v>77</v>
      </c>
      <c r="Q1666" s="131">
        <v>42000</v>
      </c>
      <c r="R1666" s="131">
        <v>6720</v>
      </c>
      <c r="S1666" s="131"/>
      <c r="T1666" s="155">
        <v>4480.01</v>
      </c>
      <c r="U1666" s="131">
        <v>4200</v>
      </c>
      <c r="V1666" s="131">
        <f t="shared" si="38"/>
        <v>40039.99</v>
      </c>
      <c r="W1666">
        <v>16</v>
      </c>
      <c r="X1666" s="151" t="s">
        <v>1429</v>
      </c>
      <c r="Y1666" s="135" t="s">
        <v>55</v>
      </c>
      <c r="Z1666" s="307">
        <v>226</v>
      </c>
      <c r="AB1666" t="str">
        <f>IF(Table1[[#This Row],[TIPO2]]="costo", VLOOKUP(Table1[[#This Row],[PARTIDA PRESUPUESTAL]],'Cost Report'!G:G,1,0),"Balance")</f>
        <v>1204-005</v>
      </c>
      <c r="AC1666" s="118"/>
      <c r="AD1666" s="159">
        <f>+Table1[[#This Row],[SUBTOTAL]]+Table1[[#This Row],[IVA]]-Table1[[#This Row],[RET IVA]]-Table1[[#This Row],[RET ISR]]-Table1[[#This Row],[TOTAL]]</f>
        <v>0</v>
      </c>
      <c r="AE1666" s="150"/>
      <c r="AF1666" s="151"/>
      <c r="AG1666" s="126"/>
      <c r="AK1666" s="306" t="str">
        <f>IF(ISNUMBER(Table1[[#This Row],[FECHA DE RECIBIDO]]), Table1[[#This Row],[FECHA DE RECIBIDO]]-DATE(2023,8,30), "")</f>
        <v/>
      </c>
    </row>
    <row r="1667" spans="1:37" ht="16.05" customHeight="1">
      <c r="A1667" s="152" t="s">
        <v>3472</v>
      </c>
      <c r="B1667" s="153">
        <v>553</v>
      </c>
      <c r="C1667" s="126" t="s">
        <v>243</v>
      </c>
      <c r="D1667">
        <v>1078</v>
      </c>
      <c r="E1667" s="126" t="s">
        <v>1590</v>
      </c>
      <c r="F1667" s="125" t="s">
        <v>1589</v>
      </c>
      <c r="G1667" s="125" t="s">
        <v>129</v>
      </c>
      <c r="H1667">
        <v>16</v>
      </c>
      <c r="I1667" s="125" t="s">
        <v>1546</v>
      </c>
      <c r="J1667" s="308" t="s">
        <v>214</v>
      </c>
      <c r="K1667" s="127" t="s">
        <v>3418</v>
      </c>
      <c r="L1667" s="153" t="s">
        <v>110</v>
      </c>
      <c r="M1667">
        <v>21</v>
      </c>
      <c r="N1667" s="123">
        <v>2</v>
      </c>
      <c r="O1667">
        <v>1058</v>
      </c>
      <c r="P1667" s="132" t="s">
        <v>77</v>
      </c>
      <c r="Q1667" s="132">
        <v>42000</v>
      </c>
      <c r="R1667" s="132">
        <v>6720</v>
      </c>
      <c r="S1667" s="132"/>
      <c r="T1667" s="156">
        <v>4480.01</v>
      </c>
      <c r="U1667" s="132">
        <v>4200</v>
      </c>
      <c r="V1667" s="132">
        <f t="shared" si="38"/>
        <v>40039.99</v>
      </c>
      <c r="W1667">
        <v>16</v>
      </c>
      <c r="X1667" s="153" t="s">
        <v>1429</v>
      </c>
      <c r="Y1667" s="124" t="s">
        <v>55</v>
      </c>
      <c r="Z1667" s="308">
        <v>226</v>
      </c>
      <c r="AB1667" t="str">
        <f>IF(Table1[[#This Row],[TIPO2]]="costo", VLOOKUP(Table1[[#This Row],[PARTIDA PRESUPUESTAL]],'Cost Report'!G:G,1,0),"Balance")</f>
        <v>1204-005</v>
      </c>
      <c r="AC1667" s="118"/>
      <c r="AD1667" s="159">
        <f>+Table1[[#This Row],[SUBTOTAL]]+Table1[[#This Row],[IVA]]-Table1[[#This Row],[RET IVA]]-Table1[[#This Row],[RET ISR]]-Table1[[#This Row],[TOTAL]]</f>
        <v>0</v>
      </c>
      <c r="AE1667" s="152"/>
      <c r="AF1667" s="153"/>
      <c r="AG1667" s="126"/>
      <c r="AK1667" s="306" t="str">
        <f>IF(ISNUMBER(Table1[[#This Row],[FECHA DE RECIBIDO]]), Table1[[#This Row],[FECHA DE RECIBIDO]]-DATE(2023,8,30), "")</f>
        <v/>
      </c>
    </row>
    <row r="1668" spans="1:37" ht="16.05" customHeight="1">
      <c r="A1668" s="150" t="s">
        <v>3473</v>
      </c>
      <c r="B1668" s="151">
        <v>554</v>
      </c>
      <c r="C1668" s="126" t="s">
        <v>2143</v>
      </c>
      <c r="D1668">
        <v>1079</v>
      </c>
      <c r="E1668" s="126" t="s">
        <v>1592</v>
      </c>
      <c r="F1668" s="122" t="s">
        <v>1593</v>
      </c>
      <c r="G1668" s="122" t="s">
        <v>109</v>
      </c>
      <c r="H1668">
        <v>18</v>
      </c>
      <c r="I1668" s="122" t="s">
        <v>1546</v>
      </c>
      <c r="J1668" s="307" t="s">
        <v>214</v>
      </c>
      <c r="K1668" s="127" t="s">
        <v>3418</v>
      </c>
      <c r="L1668" s="151" t="s">
        <v>110</v>
      </c>
      <c r="M1668">
        <v>23</v>
      </c>
      <c r="N1668" s="123">
        <v>4</v>
      </c>
      <c r="O1668">
        <v>1059</v>
      </c>
      <c r="P1668" s="132" t="s">
        <v>77</v>
      </c>
      <c r="Q1668" s="131">
        <v>20000</v>
      </c>
      <c r="R1668" s="131">
        <v>3200</v>
      </c>
      <c r="S1668" s="131"/>
      <c r="T1668" s="155">
        <v>2133.34</v>
      </c>
      <c r="U1668" s="131">
        <v>250</v>
      </c>
      <c r="V1668" s="131">
        <f t="shared" si="38"/>
        <v>20816.66</v>
      </c>
      <c r="W1668">
        <v>18</v>
      </c>
      <c r="X1668" s="151" t="s">
        <v>1429</v>
      </c>
      <c r="Y1668" s="135" t="s">
        <v>55</v>
      </c>
      <c r="Z1668" s="307">
        <v>226</v>
      </c>
      <c r="AB1668" t="str">
        <f>IF(Table1[[#This Row],[TIPO2]]="costo", VLOOKUP(Table1[[#This Row],[PARTIDA PRESUPUESTAL]],'Cost Report'!G:G,1,0),"Balance")</f>
        <v>1222-009</v>
      </c>
      <c r="AC1668" s="118"/>
      <c r="AD1668" s="159">
        <f>+Table1[[#This Row],[SUBTOTAL]]+Table1[[#This Row],[IVA]]-Table1[[#This Row],[RET IVA]]-Table1[[#This Row],[RET ISR]]-Table1[[#This Row],[TOTAL]]</f>
        <v>0</v>
      </c>
      <c r="AE1668" s="150"/>
      <c r="AF1668" s="151"/>
      <c r="AG1668" s="126"/>
      <c r="AK1668" s="306" t="str">
        <f>IF(ISNUMBER(Table1[[#This Row],[FECHA DE RECIBIDO]]), Table1[[#This Row],[FECHA DE RECIBIDO]]-DATE(2023,8,30), "")</f>
        <v/>
      </c>
    </row>
    <row r="1669" spans="1:37" ht="16.05" customHeight="1">
      <c r="A1669" s="152" t="s">
        <v>3474</v>
      </c>
      <c r="B1669" s="153">
        <v>555</v>
      </c>
      <c r="C1669" s="126" t="s">
        <v>478</v>
      </c>
      <c r="D1669">
        <v>1080</v>
      </c>
      <c r="E1669" s="126" t="s">
        <v>1594</v>
      </c>
      <c r="F1669" s="125" t="s">
        <v>1593</v>
      </c>
      <c r="G1669" s="125" t="s">
        <v>109</v>
      </c>
      <c r="H1669">
        <v>21</v>
      </c>
      <c r="I1669" s="125" t="s">
        <v>1546</v>
      </c>
      <c r="J1669" s="308" t="s">
        <v>214</v>
      </c>
      <c r="K1669" s="127" t="s">
        <v>3418</v>
      </c>
      <c r="L1669" s="153" t="s">
        <v>110</v>
      </c>
      <c r="M1669">
        <v>27</v>
      </c>
      <c r="N1669" s="123">
        <v>5</v>
      </c>
      <c r="O1669">
        <v>1060</v>
      </c>
      <c r="P1669" s="132" t="s">
        <v>77</v>
      </c>
      <c r="Q1669" s="132">
        <v>16000</v>
      </c>
      <c r="R1669" s="132">
        <v>2560</v>
      </c>
      <c r="S1669" s="132"/>
      <c r="T1669" s="156">
        <v>1706.66</v>
      </c>
      <c r="U1669" s="132">
        <v>200</v>
      </c>
      <c r="V1669" s="132">
        <f t="shared" ref="V1669:V1732" si="39">Q1669+R1669-T1669-U1669</f>
        <v>16653.34</v>
      </c>
      <c r="W1669">
        <v>21</v>
      </c>
      <c r="X1669" s="153" t="s">
        <v>1431</v>
      </c>
      <c r="Y1669" s="124" t="s">
        <v>55</v>
      </c>
      <c r="Z1669" s="308">
        <v>226</v>
      </c>
      <c r="AB1669" t="str">
        <f>IF(Table1[[#This Row],[TIPO2]]="costo", VLOOKUP(Table1[[#This Row],[PARTIDA PRESUPUESTAL]],'Cost Report'!G:G,1,0),"Balance")</f>
        <v>2014-004</v>
      </c>
      <c r="AC1669" s="118"/>
      <c r="AD1669" s="159">
        <f>+Table1[[#This Row],[SUBTOTAL]]+Table1[[#This Row],[IVA]]-Table1[[#This Row],[RET IVA]]-Table1[[#This Row],[RET ISR]]-Table1[[#This Row],[TOTAL]]</f>
        <v>0</v>
      </c>
      <c r="AE1669" s="152"/>
      <c r="AF1669" s="153"/>
      <c r="AG1669" s="126"/>
      <c r="AK1669" s="306" t="str">
        <f>IF(ISNUMBER(Table1[[#This Row],[FECHA DE RECIBIDO]]), Table1[[#This Row],[FECHA DE RECIBIDO]]-DATE(2023,8,30), "")</f>
        <v/>
      </c>
    </row>
    <row r="1670" spans="1:37" ht="16.05" customHeight="1">
      <c r="A1670" s="150" t="s">
        <v>3475</v>
      </c>
      <c r="B1670" s="151">
        <v>556</v>
      </c>
      <c r="C1670" s="126" t="s">
        <v>491</v>
      </c>
      <c r="D1670">
        <v>1081</v>
      </c>
      <c r="E1670" s="126" t="s">
        <v>2010</v>
      </c>
      <c r="F1670" s="122" t="s">
        <v>1589</v>
      </c>
      <c r="G1670" s="122" t="s">
        <v>129</v>
      </c>
      <c r="H1670">
        <v>60</v>
      </c>
      <c r="I1670" s="122" t="s">
        <v>1546</v>
      </c>
      <c r="J1670" s="307" t="s">
        <v>214</v>
      </c>
      <c r="K1670" s="127" t="s">
        <v>3418</v>
      </c>
      <c r="L1670" s="151" t="s">
        <v>110</v>
      </c>
      <c r="M1670">
        <v>83</v>
      </c>
      <c r="N1670" s="123">
        <v>19</v>
      </c>
      <c r="O1670">
        <v>1061</v>
      </c>
      <c r="P1670" s="132" t="s">
        <v>77</v>
      </c>
      <c r="Q1670" s="131">
        <v>37800</v>
      </c>
      <c r="R1670" s="131">
        <v>6048</v>
      </c>
      <c r="S1670" s="131"/>
      <c r="T1670" s="155">
        <v>4032.02</v>
      </c>
      <c r="U1670" s="131">
        <v>3780</v>
      </c>
      <c r="V1670" s="131">
        <f t="shared" si="39"/>
        <v>36035.980000000003</v>
      </c>
      <c r="W1670">
        <v>42</v>
      </c>
      <c r="X1670" s="151" t="s">
        <v>1430</v>
      </c>
      <c r="Y1670" s="135" t="s">
        <v>55</v>
      </c>
      <c r="Z1670" s="307">
        <v>226</v>
      </c>
      <c r="AB1670" t="str">
        <f>IF(Table1[[#This Row],[TIPO2]]="costo", VLOOKUP(Table1[[#This Row],[PARTIDA PRESUPUESTAL]],'Cost Report'!G:G,1,0),"Balance")</f>
        <v>2020-004</v>
      </c>
      <c r="AC1670" s="118"/>
      <c r="AD1670" s="159">
        <f>+Table1[[#This Row],[SUBTOTAL]]+Table1[[#This Row],[IVA]]-Table1[[#This Row],[RET IVA]]-Table1[[#This Row],[RET ISR]]-Table1[[#This Row],[TOTAL]]</f>
        <v>0</v>
      </c>
      <c r="AE1670" s="150"/>
      <c r="AF1670" s="151"/>
      <c r="AG1670" s="126"/>
      <c r="AK1670" s="306" t="str">
        <f>IF(ISNUMBER(Table1[[#This Row],[FECHA DE RECIBIDO]]), Table1[[#This Row],[FECHA DE RECIBIDO]]-DATE(2023,8,30), "")</f>
        <v/>
      </c>
    </row>
    <row r="1671" spans="1:37" ht="16.05" customHeight="1">
      <c r="A1671" s="152" t="s">
        <v>3476</v>
      </c>
      <c r="B1671" s="153">
        <v>557</v>
      </c>
      <c r="C1671" s="126" t="s">
        <v>2417</v>
      </c>
      <c r="D1671">
        <v>1082</v>
      </c>
      <c r="E1671" s="126" t="s">
        <v>1888</v>
      </c>
      <c r="F1671" s="125" t="s">
        <v>1593</v>
      </c>
      <c r="G1671" s="125" t="s">
        <v>109</v>
      </c>
      <c r="H1671">
        <v>61</v>
      </c>
      <c r="I1671" s="125" t="s">
        <v>1546</v>
      </c>
      <c r="J1671" s="308" t="s">
        <v>214</v>
      </c>
      <c r="K1671" s="127" t="s">
        <v>3418</v>
      </c>
      <c r="L1671" s="153" t="s">
        <v>110</v>
      </c>
      <c r="M1671">
        <v>84</v>
      </c>
      <c r="N1671" s="123">
        <v>21</v>
      </c>
      <c r="O1671">
        <v>1062</v>
      </c>
      <c r="P1671" s="132" t="s">
        <v>77</v>
      </c>
      <c r="Q1671" s="132">
        <v>25000</v>
      </c>
      <c r="R1671" s="132">
        <v>4000</v>
      </c>
      <c r="S1671" s="132"/>
      <c r="T1671" s="156">
        <v>2666.68</v>
      </c>
      <c r="U1671" s="132">
        <v>312.5</v>
      </c>
      <c r="V1671" s="132">
        <f t="shared" si="39"/>
        <v>26020.82</v>
      </c>
      <c r="W1671">
        <v>43</v>
      </c>
      <c r="X1671" s="153" t="s">
        <v>1431</v>
      </c>
      <c r="Y1671" s="124" t="s">
        <v>55</v>
      </c>
      <c r="Z1671" s="308">
        <v>226</v>
      </c>
      <c r="AB1671" t="str">
        <f>IF(Table1[[#This Row],[TIPO2]]="costo", VLOOKUP(Table1[[#This Row],[PARTIDA PRESUPUESTAL]],'Cost Report'!G:G,1,0),"Balance")</f>
        <v>2017-004</v>
      </c>
      <c r="AC1671" s="118"/>
      <c r="AD1671" s="159">
        <f>+Table1[[#This Row],[SUBTOTAL]]+Table1[[#This Row],[IVA]]-Table1[[#This Row],[RET IVA]]-Table1[[#This Row],[RET ISR]]-Table1[[#This Row],[TOTAL]]</f>
        <v>0</v>
      </c>
      <c r="AE1671" s="152"/>
      <c r="AF1671" s="153"/>
      <c r="AG1671" s="126"/>
      <c r="AK1671" s="306" t="str">
        <f>IF(ISNUMBER(Table1[[#This Row],[FECHA DE RECIBIDO]]), Table1[[#This Row],[FECHA DE RECIBIDO]]-DATE(2023,8,30), "")</f>
        <v/>
      </c>
    </row>
    <row r="1672" spans="1:37" ht="16.05" customHeight="1">
      <c r="A1672" s="150" t="s">
        <v>3477</v>
      </c>
      <c r="B1672" s="151">
        <v>558</v>
      </c>
      <c r="C1672" s="126" t="s">
        <v>494</v>
      </c>
      <c r="D1672">
        <v>1083</v>
      </c>
      <c r="E1672" s="126" t="s">
        <v>2011</v>
      </c>
      <c r="F1672" s="122" t="s">
        <v>1593</v>
      </c>
      <c r="G1672" s="122" t="s">
        <v>109</v>
      </c>
      <c r="H1672">
        <v>103</v>
      </c>
      <c r="I1672" s="122" t="s">
        <v>1546</v>
      </c>
      <c r="J1672" s="307" t="s">
        <v>214</v>
      </c>
      <c r="K1672" s="127" t="s">
        <v>3418</v>
      </c>
      <c r="L1672" s="151" t="s">
        <v>110</v>
      </c>
      <c r="M1672">
        <v>141</v>
      </c>
      <c r="N1672" s="123">
        <v>33</v>
      </c>
      <c r="O1672">
        <v>1063</v>
      </c>
      <c r="P1672" s="132" t="s">
        <v>77</v>
      </c>
      <c r="Q1672" s="131">
        <v>18000</v>
      </c>
      <c r="R1672" s="131">
        <v>2880</v>
      </c>
      <c r="S1672" s="131"/>
      <c r="T1672" s="155">
        <v>1920</v>
      </c>
      <c r="U1672" s="131">
        <v>225</v>
      </c>
      <c r="V1672" s="131">
        <f t="shared" si="39"/>
        <v>18735</v>
      </c>
      <c r="W1672">
        <v>65</v>
      </c>
      <c r="X1672" s="151" t="s">
        <v>1431</v>
      </c>
      <c r="Y1672" s="135" t="s">
        <v>55</v>
      </c>
      <c r="Z1672" s="307">
        <v>226</v>
      </c>
      <c r="AB1672" t="str">
        <f>IF(Table1[[#This Row],[TIPO2]]="costo", VLOOKUP(Table1[[#This Row],[PARTIDA PRESUPUESTAL]],'Cost Report'!G:G,1,0),"Balance")</f>
        <v>2020-009</v>
      </c>
      <c r="AC1672" s="118"/>
      <c r="AD1672" s="159">
        <f>+Table1[[#This Row],[SUBTOTAL]]+Table1[[#This Row],[IVA]]-Table1[[#This Row],[RET IVA]]-Table1[[#This Row],[RET ISR]]-Table1[[#This Row],[TOTAL]]</f>
        <v>0</v>
      </c>
      <c r="AE1672" s="150"/>
      <c r="AF1672" s="151"/>
      <c r="AG1672" s="126"/>
      <c r="AK1672" s="306" t="str">
        <f>IF(ISNUMBER(Table1[[#This Row],[FECHA DE RECIBIDO]]), Table1[[#This Row],[FECHA DE RECIBIDO]]-DATE(2023,8,30), "")</f>
        <v/>
      </c>
    </row>
    <row r="1673" spans="1:37" ht="16.05" customHeight="1">
      <c r="A1673" s="152" t="s">
        <v>3478</v>
      </c>
      <c r="B1673" s="153">
        <v>559</v>
      </c>
      <c r="C1673" s="126" t="s">
        <v>495</v>
      </c>
      <c r="D1673">
        <v>1084</v>
      </c>
      <c r="E1673" s="126" t="s">
        <v>2011</v>
      </c>
      <c r="F1673" s="125" t="s">
        <v>1593</v>
      </c>
      <c r="G1673" s="125" t="s">
        <v>109</v>
      </c>
      <c r="H1673">
        <v>103</v>
      </c>
      <c r="I1673" s="125" t="s">
        <v>1546</v>
      </c>
      <c r="J1673" s="308" t="s">
        <v>214</v>
      </c>
      <c r="K1673" s="127" t="s">
        <v>3418</v>
      </c>
      <c r="L1673" s="153" t="s">
        <v>110</v>
      </c>
      <c r="M1673">
        <v>141</v>
      </c>
      <c r="N1673" s="123">
        <v>33</v>
      </c>
      <c r="O1673">
        <v>1064</v>
      </c>
      <c r="P1673" s="132" t="s">
        <v>77</v>
      </c>
      <c r="Q1673" s="132">
        <v>18000</v>
      </c>
      <c r="R1673" s="132">
        <v>2880</v>
      </c>
      <c r="S1673" s="132"/>
      <c r="T1673" s="156">
        <v>1920</v>
      </c>
      <c r="U1673" s="132">
        <v>225</v>
      </c>
      <c r="V1673" s="132">
        <f t="shared" si="39"/>
        <v>18735</v>
      </c>
      <c r="W1673">
        <v>65</v>
      </c>
      <c r="X1673" s="153" t="s">
        <v>1431</v>
      </c>
      <c r="Y1673" s="124" t="s">
        <v>55</v>
      </c>
      <c r="Z1673" s="308">
        <v>226</v>
      </c>
      <c r="AB1673" t="str">
        <f>IF(Table1[[#This Row],[TIPO2]]="costo", VLOOKUP(Table1[[#This Row],[PARTIDA PRESUPUESTAL]],'Cost Report'!G:G,1,0),"Balance")</f>
        <v>2020-010</v>
      </c>
      <c r="AC1673" s="118"/>
      <c r="AD1673" s="159">
        <f>+Table1[[#This Row],[SUBTOTAL]]+Table1[[#This Row],[IVA]]-Table1[[#This Row],[RET IVA]]-Table1[[#This Row],[RET ISR]]-Table1[[#This Row],[TOTAL]]</f>
        <v>0</v>
      </c>
      <c r="AE1673" s="152"/>
      <c r="AF1673" s="153"/>
      <c r="AG1673" s="126"/>
      <c r="AK1673" s="306" t="str">
        <f>IF(ISNUMBER(Table1[[#This Row],[FECHA DE RECIBIDO]]), Table1[[#This Row],[FECHA DE RECIBIDO]]-DATE(2023,8,30), "")</f>
        <v/>
      </c>
    </row>
    <row r="1674" spans="1:37" ht="16.05" customHeight="1">
      <c r="A1674" s="150" t="s">
        <v>3479</v>
      </c>
      <c r="B1674" s="151">
        <v>560</v>
      </c>
      <c r="C1674" s="126" t="s">
        <v>246</v>
      </c>
      <c r="D1674">
        <v>1085</v>
      </c>
      <c r="E1674" s="126" t="s">
        <v>1595</v>
      </c>
      <c r="F1674" s="122" t="s">
        <v>1589</v>
      </c>
      <c r="G1674" s="122" t="s">
        <v>129</v>
      </c>
      <c r="H1674">
        <v>104</v>
      </c>
      <c r="I1674" s="122" t="s">
        <v>1546</v>
      </c>
      <c r="J1674" s="307" t="s">
        <v>214</v>
      </c>
      <c r="K1674" s="127" t="s">
        <v>3418</v>
      </c>
      <c r="L1674" s="151" t="s">
        <v>110</v>
      </c>
      <c r="M1674">
        <v>142</v>
      </c>
      <c r="N1674" s="123">
        <v>34</v>
      </c>
      <c r="O1674">
        <v>1065</v>
      </c>
      <c r="P1674" s="132" t="s">
        <v>77</v>
      </c>
      <c r="Q1674" s="131">
        <v>21000</v>
      </c>
      <c r="R1674" s="131">
        <v>3360</v>
      </c>
      <c r="S1674" s="131"/>
      <c r="T1674" s="155">
        <v>2240</v>
      </c>
      <c r="U1674" s="131">
        <v>2100</v>
      </c>
      <c r="V1674" s="131">
        <f t="shared" si="39"/>
        <v>20020</v>
      </c>
      <c r="W1674">
        <v>66</v>
      </c>
      <c r="X1674" s="151" t="s">
        <v>1429</v>
      </c>
      <c r="Y1674" s="135" t="s">
        <v>55</v>
      </c>
      <c r="Z1674" s="307">
        <v>226</v>
      </c>
      <c r="AB1674" t="str">
        <f>IF(Table1[[#This Row],[TIPO2]]="costo", VLOOKUP(Table1[[#This Row],[PARTIDA PRESUPUESTAL]],'Cost Report'!G:G,1,0),"Balance")</f>
        <v>1222-004</v>
      </c>
      <c r="AC1674" s="118"/>
      <c r="AD1674" s="159">
        <f>+Table1[[#This Row],[SUBTOTAL]]+Table1[[#This Row],[IVA]]-Table1[[#This Row],[RET IVA]]-Table1[[#This Row],[RET ISR]]-Table1[[#This Row],[TOTAL]]</f>
        <v>0</v>
      </c>
      <c r="AE1674" s="150"/>
      <c r="AF1674" s="151"/>
      <c r="AG1674" s="126"/>
      <c r="AK1674" s="306" t="str">
        <f>IF(ISNUMBER(Table1[[#This Row],[FECHA DE RECIBIDO]]), Table1[[#This Row],[FECHA DE RECIBIDO]]-DATE(2023,8,30), "")</f>
        <v/>
      </c>
    </row>
    <row r="1675" spans="1:37" ht="16.05" customHeight="1">
      <c r="A1675" s="152" t="s">
        <v>3480</v>
      </c>
      <c r="B1675" s="153">
        <v>561</v>
      </c>
      <c r="C1675" s="126" t="s">
        <v>523</v>
      </c>
      <c r="D1675">
        <v>1086</v>
      </c>
      <c r="E1675" s="126" t="s">
        <v>3165</v>
      </c>
      <c r="F1675" s="125" t="s">
        <v>1589</v>
      </c>
      <c r="G1675" s="125" t="s">
        <v>129</v>
      </c>
      <c r="H1675">
        <v>198</v>
      </c>
      <c r="I1675" s="125" t="s">
        <v>1546</v>
      </c>
      <c r="J1675" s="308" t="s">
        <v>214</v>
      </c>
      <c r="K1675" s="127" t="s">
        <v>3418</v>
      </c>
      <c r="L1675" s="153" t="s">
        <v>110</v>
      </c>
      <c r="M1675">
        <v>263</v>
      </c>
      <c r="N1675" s="123">
        <v>63</v>
      </c>
      <c r="O1675">
        <v>1066</v>
      </c>
      <c r="P1675" s="132" t="s">
        <v>77</v>
      </c>
      <c r="Q1675" s="132">
        <v>16000</v>
      </c>
      <c r="R1675" s="132">
        <v>2560</v>
      </c>
      <c r="S1675" s="132"/>
      <c r="T1675" s="156">
        <v>1706.66</v>
      </c>
      <c r="U1675" s="132">
        <v>1600</v>
      </c>
      <c r="V1675" s="132">
        <f t="shared" si="39"/>
        <v>15253.34</v>
      </c>
      <c r="W1675">
        <v>119</v>
      </c>
      <c r="X1675" s="153" t="s">
        <v>1429</v>
      </c>
      <c r="Y1675" s="124" t="s">
        <v>55</v>
      </c>
      <c r="Z1675" s="308">
        <v>226</v>
      </c>
      <c r="AB1675" t="str">
        <f>IF(Table1[[#This Row],[TIPO2]]="costo", VLOOKUP(Table1[[#This Row],[PARTIDA PRESUPUESTAL]],'Cost Report'!G:G,1,0),"Balance")</f>
        <v>2045-004</v>
      </c>
      <c r="AC1675" s="118"/>
      <c r="AD1675" s="159">
        <f>+Table1[[#This Row],[SUBTOTAL]]+Table1[[#This Row],[IVA]]-Table1[[#This Row],[RET IVA]]-Table1[[#This Row],[RET ISR]]-Table1[[#This Row],[TOTAL]]</f>
        <v>0</v>
      </c>
      <c r="AE1675" s="152"/>
      <c r="AF1675" s="153"/>
      <c r="AG1675" s="126"/>
      <c r="AK1675" s="306" t="str">
        <f>IF(ISNUMBER(Table1[[#This Row],[FECHA DE RECIBIDO]]), Table1[[#This Row],[FECHA DE RECIBIDO]]-DATE(2023,8,30), "")</f>
        <v/>
      </c>
    </row>
    <row r="1676" spans="1:37" ht="16.05" customHeight="1">
      <c r="A1676" s="150" t="s">
        <v>3481</v>
      </c>
      <c r="B1676" s="151">
        <v>562</v>
      </c>
      <c r="C1676" s="126" t="s">
        <v>499</v>
      </c>
      <c r="D1676">
        <v>1087</v>
      </c>
      <c r="E1676" s="126" t="s">
        <v>3167</v>
      </c>
      <c r="F1676" s="122" t="s">
        <v>1593</v>
      </c>
      <c r="G1676" s="122" t="s">
        <v>109</v>
      </c>
      <c r="H1676">
        <v>199</v>
      </c>
      <c r="I1676" s="122" t="s">
        <v>1546</v>
      </c>
      <c r="J1676" s="307" t="s">
        <v>214</v>
      </c>
      <c r="K1676" s="127" t="s">
        <v>3418</v>
      </c>
      <c r="L1676" s="151" t="s">
        <v>110</v>
      </c>
      <c r="M1676">
        <v>264</v>
      </c>
      <c r="N1676" s="123">
        <v>64</v>
      </c>
      <c r="O1676">
        <v>1067</v>
      </c>
      <c r="P1676" s="132" t="s">
        <v>77</v>
      </c>
      <c r="Q1676" s="131">
        <v>14000</v>
      </c>
      <c r="R1676" s="131">
        <v>2240</v>
      </c>
      <c r="S1676" s="131"/>
      <c r="T1676" s="155">
        <v>1493.34</v>
      </c>
      <c r="U1676" s="131">
        <v>175</v>
      </c>
      <c r="V1676" s="131">
        <f t="shared" si="39"/>
        <v>14571.66</v>
      </c>
      <c r="W1676">
        <v>120</v>
      </c>
      <c r="X1676" s="151" t="s">
        <v>1429</v>
      </c>
      <c r="Y1676" s="135" t="s">
        <v>55</v>
      </c>
      <c r="Z1676" s="307">
        <v>226</v>
      </c>
      <c r="AB1676" t="str">
        <f>IF(Table1[[#This Row],[TIPO2]]="costo", VLOOKUP(Table1[[#This Row],[PARTIDA PRESUPUESTAL]],'Cost Report'!G:G,1,0),"Balance")</f>
        <v>2020-016</v>
      </c>
      <c r="AC1676" s="118"/>
      <c r="AD1676" s="159">
        <f>+Table1[[#This Row],[SUBTOTAL]]+Table1[[#This Row],[IVA]]-Table1[[#This Row],[RET IVA]]-Table1[[#This Row],[RET ISR]]-Table1[[#This Row],[TOTAL]]</f>
        <v>0</v>
      </c>
      <c r="AE1676" s="150"/>
      <c r="AF1676" s="151"/>
      <c r="AG1676" s="126"/>
      <c r="AK1676" s="306" t="str">
        <f>IF(ISNUMBER(Table1[[#This Row],[FECHA DE RECIBIDO]]), Table1[[#This Row],[FECHA DE RECIBIDO]]-DATE(2023,8,30), "")</f>
        <v/>
      </c>
    </row>
    <row r="1677" spans="1:37" ht="16.05" customHeight="1">
      <c r="A1677" s="152" t="s">
        <v>3482</v>
      </c>
      <c r="B1677" s="153">
        <v>563</v>
      </c>
      <c r="C1677" s="126" t="s">
        <v>485</v>
      </c>
      <c r="D1677">
        <v>1088</v>
      </c>
      <c r="E1677" s="126" t="s">
        <v>3169</v>
      </c>
      <c r="F1677" s="125" t="s">
        <v>1593</v>
      </c>
      <c r="G1677" s="125" t="s">
        <v>109</v>
      </c>
      <c r="H1677">
        <v>200</v>
      </c>
      <c r="I1677" s="125" t="s">
        <v>1546</v>
      </c>
      <c r="J1677" s="308" t="s">
        <v>214</v>
      </c>
      <c r="K1677" s="127" t="s">
        <v>3418</v>
      </c>
      <c r="L1677" s="153" t="s">
        <v>110</v>
      </c>
      <c r="M1677">
        <v>265</v>
      </c>
      <c r="N1677" s="123">
        <v>65</v>
      </c>
      <c r="O1677">
        <v>1068</v>
      </c>
      <c r="P1677" s="132" t="s">
        <v>77</v>
      </c>
      <c r="Q1677" s="132">
        <v>12400</v>
      </c>
      <c r="R1677" s="132">
        <v>1984</v>
      </c>
      <c r="S1677" s="132"/>
      <c r="T1677" s="156">
        <v>1322.68</v>
      </c>
      <c r="U1677" s="132">
        <v>155</v>
      </c>
      <c r="V1677" s="132">
        <f t="shared" si="39"/>
        <v>12906.32</v>
      </c>
      <c r="W1677">
        <v>121</v>
      </c>
      <c r="X1677" s="153" t="s">
        <v>1429</v>
      </c>
      <c r="Y1677" s="124" t="s">
        <v>55</v>
      </c>
      <c r="Z1677" s="308">
        <v>226</v>
      </c>
      <c r="AB1677" t="str">
        <f>IF(Table1[[#This Row],[TIPO2]]="costo", VLOOKUP(Table1[[#This Row],[PARTIDA PRESUPUESTAL]],'Cost Report'!G:G,1,0),"Balance")</f>
        <v>2019-004</v>
      </c>
      <c r="AC1677" s="118"/>
      <c r="AD1677" s="159">
        <f>+Table1[[#This Row],[SUBTOTAL]]+Table1[[#This Row],[IVA]]-Table1[[#This Row],[RET IVA]]-Table1[[#This Row],[RET ISR]]-Table1[[#This Row],[TOTAL]]</f>
        <v>0</v>
      </c>
      <c r="AE1677" s="152"/>
      <c r="AF1677" s="153"/>
      <c r="AG1677" s="126"/>
      <c r="AK1677" s="306" t="str">
        <f>IF(ISNUMBER(Table1[[#This Row],[FECHA DE RECIBIDO]]), Table1[[#This Row],[FECHA DE RECIBIDO]]-DATE(2023,8,30), "")</f>
        <v/>
      </c>
    </row>
    <row r="1678" spans="1:37" ht="16.05" customHeight="1">
      <c r="A1678" s="150" t="s">
        <v>3483</v>
      </c>
      <c r="B1678" s="151">
        <v>564</v>
      </c>
      <c r="C1678" s="126" t="s">
        <v>2891</v>
      </c>
      <c r="D1678">
        <v>1089</v>
      </c>
      <c r="E1678" s="126" t="s">
        <v>3171</v>
      </c>
      <c r="F1678" s="122" t="s">
        <v>1602</v>
      </c>
      <c r="G1678" s="122" t="s">
        <v>1617</v>
      </c>
      <c r="H1678">
        <v>201</v>
      </c>
      <c r="I1678" s="122" t="s">
        <v>1546</v>
      </c>
      <c r="J1678" s="307" t="s">
        <v>214</v>
      </c>
      <c r="K1678" s="127" t="s">
        <v>3418</v>
      </c>
      <c r="L1678" s="151" t="s">
        <v>110</v>
      </c>
      <c r="M1678">
        <v>266</v>
      </c>
      <c r="N1678" s="123">
        <v>66</v>
      </c>
      <c r="O1678">
        <v>1069</v>
      </c>
      <c r="P1678" s="132" t="s">
        <v>77</v>
      </c>
      <c r="Q1678" s="131">
        <v>5000</v>
      </c>
      <c r="R1678" s="131">
        <v>800</v>
      </c>
      <c r="S1678" s="131"/>
      <c r="T1678" s="155">
        <v>533.34</v>
      </c>
      <c r="U1678" s="131">
        <v>0</v>
      </c>
      <c r="V1678" s="131">
        <f t="shared" si="39"/>
        <v>5266.66</v>
      </c>
      <c r="W1678">
        <v>122</v>
      </c>
      <c r="X1678" s="151" t="s">
        <v>1434</v>
      </c>
      <c r="Y1678" s="135" t="s">
        <v>55</v>
      </c>
      <c r="Z1678" s="307">
        <v>226</v>
      </c>
      <c r="AB1678" t="str">
        <f>IF(Table1[[#This Row],[TIPO2]]="costo", VLOOKUP(Table1[[#This Row],[PARTIDA PRESUPUESTAL]],'Cost Report'!G:G,1,0),"Balance")</f>
        <v>3683-128</v>
      </c>
      <c r="AC1678" s="118"/>
      <c r="AD1678" s="159">
        <f>+Table1[[#This Row],[SUBTOTAL]]+Table1[[#This Row],[IVA]]-Table1[[#This Row],[RET IVA]]-Table1[[#This Row],[RET ISR]]-Table1[[#This Row],[TOTAL]]</f>
        <v>0</v>
      </c>
      <c r="AE1678" s="150"/>
      <c r="AF1678" s="151"/>
      <c r="AG1678" s="126"/>
      <c r="AK1678" s="306" t="str">
        <f>IF(ISNUMBER(Table1[[#This Row],[FECHA DE RECIBIDO]]), Table1[[#This Row],[FECHA DE RECIBIDO]]-DATE(2023,8,30), "")</f>
        <v/>
      </c>
    </row>
    <row r="1679" spans="1:37" ht="16.05" customHeight="1">
      <c r="A1679" s="152" t="s">
        <v>3484</v>
      </c>
      <c r="B1679" s="153">
        <v>565</v>
      </c>
      <c r="C1679" s="126" t="s">
        <v>506</v>
      </c>
      <c r="D1679">
        <v>1090</v>
      </c>
      <c r="E1679" s="126" t="s">
        <v>1646</v>
      </c>
      <c r="F1679" s="125" t="s">
        <v>1593</v>
      </c>
      <c r="G1679" s="125" t="s">
        <v>109</v>
      </c>
      <c r="H1679">
        <v>342</v>
      </c>
      <c r="I1679" s="125" t="s">
        <v>1546</v>
      </c>
      <c r="J1679" s="308" t="s">
        <v>214</v>
      </c>
      <c r="K1679" s="127" t="s">
        <v>3418</v>
      </c>
      <c r="L1679" s="153" t="s">
        <v>110</v>
      </c>
      <c r="M1679">
        <v>459</v>
      </c>
      <c r="N1679" s="123">
        <v>84</v>
      </c>
      <c r="O1679">
        <v>1070</v>
      </c>
      <c r="P1679" s="132" t="s">
        <v>77</v>
      </c>
      <c r="Q1679" s="132">
        <v>7000</v>
      </c>
      <c r="R1679" s="132">
        <v>1120</v>
      </c>
      <c r="S1679" s="132"/>
      <c r="T1679" s="156">
        <v>746.67</v>
      </c>
      <c r="U1679" s="132">
        <v>87.5</v>
      </c>
      <c r="V1679" s="132">
        <f t="shared" si="39"/>
        <v>7285.83</v>
      </c>
      <c r="W1679">
        <v>179</v>
      </c>
      <c r="X1679" s="153" t="s">
        <v>1429</v>
      </c>
      <c r="Y1679" s="124" t="s">
        <v>55</v>
      </c>
      <c r="Z1679" s="308">
        <v>226</v>
      </c>
      <c r="AB1679" t="str">
        <f>IF(Table1[[#This Row],[TIPO2]]="costo", VLOOKUP(Table1[[#This Row],[PARTIDA PRESUPUESTAL]],'Cost Report'!G:G,1,0),"Balance")</f>
        <v>2020-027</v>
      </c>
      <c r="AC1679" s="118"/>
      <c r="AD1679" s="159">
        <f>+Table1[[#This Row],[SUBTOTAL]]+Table1[[#This Row],[IVA]]-Table1[[#This Row],[RET IVA]]-Table1[[#This Row],[RET ISR]]-Table1[[#This Row],[TOTAL]]</f>
        <v>0</v>
      </c>
      <c r="AE1679" s="152"/>
      <c r="AF1679" s="153"/>
      <c r="AG1679" s="126"/>
      <c r="AK1679" s="306" t="str">
        <f>IF(ISNUMBER(Table1[[#This Row],[FECHA DE RECIBIDO]]), Table1[[#This Row],[FECHA DE RECIBIDO]]-DATE(2023,8,30), "")</f>
        <v/>
      </c>
    </row>
    <row r="1680" spans="1:37" ht="16.05" customHeight="1">
      <c r="A1680" s="150" t="s">
        <v>3485</v>
      </c>
      <c r="B1680" s="151">
        <v>566</v>
      </c>
      <c r="C1680" s="126" t="s">
        <v>506</v>
      </c>
      <c r="D1680">
        <v>1091</v>
      </c>
      <c r="E1680" s="126" t="s">
        <v>1646</v>
      </c>
      <c r="F1680" s="122" t="s">
        <v>1593</v>
      </c>
      <c r="G1680" s="122" t="s">
        <v>109</v>
      </c>
      <c r="H1680">
        <v>342</v>
      </c>
      <c r="I1680" s="122" t="s">
        <v>1546</v>
      </c>
      <c r="J1680" s="307" t="s">
        <v>214</v>
      </c>
      <c r="K1680" s="127" t="s">
        <v>3418</v>
      </c>
      <c r="L1680" s="151" t="s">
        <v>110</v>
      </c>
      <c r="M1680">
        <v>459</v>
      </c>
      <c r="N1680" s="123">
        <v>84</v>
      </c>
      <c r="O1680">
        <v>1071</v>
      </c>
      <c r="P1680" s="132" t="s">
        <v>77</v>
      </c>
      <c r="Q1680" s="131">
        <v>14000</v>
      </c>
      <c r="R1680" s="131">
        <v>2240</v>
      </c>
      <c r="S1680" s="131"/>
      <c r="T1680" s="155">
        <v>1493.34</v>
      </c>
      <c r="U1680" s="131">
        <v>175</v>
      </c>
      <c r="V1680" s="131">
        <f t="shared" si="39"/>
        <v>14571.66</v>
      </c>
      <c r="W1680">
        <v>179</v>
      </c>
      <c r="X1680" s="151" t="s">
        <v>1429</v>
      </c>
      <c r="Y1680" s="135" t="s">
        <v>55</v>
      </c>
      <c r="Z1680" s="307">
        <v>226</v>
      </c>
      <c r="AB1680" t="str">
        <f>IF(Table1[[#This Row],[TIPO2]]="costo", VLOOKUP(Table1[[#This Row],[PARTIDA PRESUPUESTAL]],'Cost Report'!G:G,1,0),"Balance")</f>
        <v>2020-027</v>
      </c>
      <c r="AC1680" s="118"/>
      <c r="AD1680" s="159">
        <f>+Table1[[#This Row],[SUBTOTAL]]+Table1[[#This Row],[IVA]]-Table1[[#This Row],[RET IVA]]-Table1[[#This Row],[RET ISR]]-Table1[[#This Row],[TOTAL]]</f>
        <v>0</v>
      </c>
      <c r="AE1680" s="150"/>
      <c r="AF1680" s="151"/>
      <c r="AG1680" s="126"/>
      <c r="AK1680" s="306" t="str">
        <f>IF(ISNUMBER(Table1[[#This Row],[FECHA DE RECIBIDO]]), Table1[[#This Row],[FECHA DE RECIBIDO]]-DATE(2023,8,30), "")</f>
        <v/>
      </c>
    </row>
    <row r="1681" spans="1:37" ht="16.05" customHeight="1">
      <c r="A1681" s="152" t="s">
        <v>3486</v>
      </c>
      <c r="B1681" s="153">
        <v>567</v>
      </c>
      <c r="C1681" s="126" t="s">
        <v>2378</v>
      </c>
      <c r="D1681">
        <v>1092</v>
      </c>
      <c r="E1681" s="126" t="s">
        <v>1595</v>
      </c>
      <c r="F1681" s="125" t="s">
        <v>1589</v>
      </c>
      <c r="G1681" s="125" t="s">
        <v>129</v>
      </c>
      <c r="H1681">
        <v>7</v>
      </c>
      <c r="I1681" s="125" t="s">
        <v>1546</v>
      </c>
      <c r="J1681" s="308" t="s">
        <v>214</v>
      </c>
      <c r="K1681" s="127" t="s">
        <v>3418</v>
      </c>
      <c r="L1681" s="153" t="s">
        <v>110</v>
      </c>
      <c r="M1681">
        <v>24</v>
      </c>
      <c r="N1681" s="123">
        <v>6</v>
      </c>
      <c r="O1681">
        <v>1072</v>
      </c>
      <c r="P1681" s="132" t="s">
        <v>77</v>
      </c>
      <c r="Q1681" s="132">
        <v>52500</v>
      </c>
      <c r="R1681" s="132">
        <v>8400</v>
      </c>
      <c r="S1681" s="132"/>
      <c r="T1681" s="156">
        <v>5600.02</v>
      </c>
      <c r="U1681" s="132">
        <v>5250</v>
      </c>
      <c r="V1681" s="132">
        <f t="shared" si="39"/>
        <v>50049.979999999996</v>
      </c>
      <c r="W1681">
        <v>7</v>
      </c>
      <c r="X1681" s="153" t="s">
        <v>1431</v>
      </c>
      <c r="Y1681" s="124" t="s">
        <v>55</v>
      </c>
      <c r="Z1681" s="308">
        <v>226</v>
      </c>
      <c r="AB1681" t="str">
        <f>IF(Table1[[#This Row],[TIPO2]]="costo", VLOOKUP(Table1[[#This Row],[PARTIDA PRESUPUESTAL]],'Cost Report'!G:G,1,0),"Balance")</f>
        <v>2004-005</v>
      </c>
      <c r="AC1681" s="118"/>
      <c r="AD1681" s="159">
        <f>+Table1[[#This Row],[SUBTOTAL]]+Table1[[#This Row],[IVA]]-Table1[[#This Row],[RET IVA]]-Table1[[#This Row],[RET ISR]]-Table1[[#This Row],[TOTAL]]</f>
        <v>0</v>
      </c>
      <c r="AE1681" s="152"/>
      <c r="AF1681" s="153"/>
      <c r="AG1681" s="126"/>
      <c r="AK1681" s="306" t="str">
        <f>IF(ISNUMBER(Table1[[#This Row],[FECHA DE RECIBIDO]]), Table1[[#This Row],[FECHA DE RECIBIDO]]-DATE(2023,8,30), "")</f>
        <v/>
      </c>
    </row>
    <row r="1682" spans="1:37" ht="16.05" customHeight="1">
      <c r="A1682" s="150" t="s">
        <v>3487</v>
      </c>
      <c r="B1682" s="151">
        <v>568</v>
      </c>
      <c r="C1682" s="126" t="s">
        <v>448</v>
      </c>
      <c r="D1682">
        <v>1093</v>
      </c>
      <c r="E1682" s="126" t="s">
        <v>1577</v>
      </c>
      <c r="F1682" s="122" t="s">
        <v>1593</v>
      </c>
      <c r="G1682" s="122" t="s">
        <v>109</v>
      </c>
      <c r="H1682">
        <v>19</v>
      </c>
      <c r="I1682" s="122" t="s">
        <v>1546</v>
      </c>
      <c r="J1682" s="307" t="s">
        <v>214</v>
      </c>
      <c r="K1682" s="127" t="s">
        <v>3418</v>
      </c>
      <c r="L1682" s="151" t="s">
        <v>110</v>
      </c>
      <c r="M1682">
        <v>25</v>
      </c>
      <c r="N1682" s="123">
        <v>7</v>
      </c>
      <c r="O1682">
        <v>1073</v>
      </c>
      <c r="P1682" s="132" t="s">
        <v>77</v>
      </c>
      <c r="Q1682" s="131">
        <v>31500</v>
      </c>
      <c r="R1682" s="131">
        <v>5040</v>
      </c>
      <c r="S1682" s="131"/>
      <c r="T1682" s="155">
        <v>3360.1</v>
      </c>
      <c r="U1682" s="131">
        <v>393.76</v>
      </c>
      <c r="V1682" s="131">
        <f t="shared" si="39"/>
        <v>32786.14</v>
      </c>
      <c r="W1682">
        <v>19</v>
      </c>
      <c r="X1682" s="151" t="s">
        <v>1429</v>
      </c>
      <c r="Y1682" s="135" t="s">
        <v>55</v>
      </c>
      <c r="Z1682" s="307">
        <v>226</v>
      </c>
      <c r="AB1682" t="str">
        <f>IF(Table1[[#This Row],[TIPO2]]="costo", VLOOKUP(Table1[[#This Row],[PARTIDA PRESUPUESTAL]],'Cost Report'!G:G,1,0),"Balance")</f>
        <v>2005-005</v>
      </c>
      <c r="AC1682" s="118"/>
      <c r="AD1682" s="159">
        <f>+Table1[[#This Row],[SUBTOTAL]]+Table1[[#This Row],[IVA]]-Table1[[#This Row],[RET IVA]]-Table1[[#This Row],[RET ISR]]-Table1[[#This Row],[TOTAL]]</f>
        <v>0</v>
      </c>
      <c r="AE1682" s="150"/>
      <c r="AF1682" s="151"/>
      <c r="AG1682" s="126"/>
      <c r="AK1682" s="306" t="str">
        <f>IF(ISNUMBER(Table1[[#This Row],[FECHA DE RECIBIDO]]), Table1[[#This Row],[FECHA DE RECIBIDO]]-DATE(2023,8,30), "")</f>
        <v/>
      </c>
    </row>
    <row r="1683" spans="1:37" ht="16.05" customHeight="1">
      <c r="A1683" s="152" t="s">
        <v>3488</v>
      </c>
      <c r="B1683" s="153">
        <v>569</v>
      </c>
      <c r="C1683" s="126" t="s">
        <v>441</v>
      </c>
      <c r="D1683">
        <v>1094</v>
      </c>
      <c r="E1683" s="126" t="s">
        <v>1889</v>
      </c>
      <c r="F1683" s="125" t="s">
        <v>1589</v>
      </c>
      <c r="G1683" s="125" t="s">
        <v>129</v>
      </c>
      <c r="H1683">
        <v>62</v>
      </c>
      <c r="I1683" s="125" t="s">
        <v>1546</v>
      </c>
      <c r="J1683" s="308" t="s">
        <v>214</v>
      </c>
      <c r="K1683" s="127" t="s">
        <v>3418</v>
      </c>
      <c r="L1683" s="153" t="s">
        <v>110</v>
      </c>
      <c r="M1683">
        <v>85</v>
      </c>
      <c r="N1683" s="123">
        <v>22</v>
      </c>
      <c r="O1683">
        <v>1074</v>
      </c>
      <c r="P1683" s="132" t="s">
        <v>77</v>
      </c>
      <c r="Q1683" s="132">
        <v>52500</v>
      </c>
      <c r="R1683" s="132">
        <v>8400</v>
      </c>
      <c r="S1683" s="132"/>
      <c r="T1683" s="156">
        <v>5600.02</v>
      </c>
      <c r="U1683" s="132">
        <v>5250</v>
      </c>
      <c r="V1683" s="132">
        <f t="shared" si="39"/>
        <v>50049.979999999996</v>
      </c>
      <c r="W1683">
        <v>44</v>
      </c>
      <c r="X1683" s="153" t="s">
        <v>1434</v>
      </c>
      <c r="Y1683" s="124" t="s">
        <v>55</v>
      </c>
      <c r="Z1683" s="308">
        <v>226</v>
      </c>
      <c r="AB1683" t="str">
        <f>IF(Table1[[#This Row],[TIPO2]]="costo", VLOOKUP(Table1[[#This Row],[PARTIDA PRESUPUESTAL]],'Cost Report'!G:G,1,0),"Balance")</f>
        <v>2003-004</v>
      </c>
      <c r="AC1683" s="118"/>
      <c r="AD1683" s="159">
        <f>+Table1[[#This Row],[SUBTOTAL]]+Table1[[#This Row],[IVA]]-Table1[[#This Row],[RET IVA]]-Table1[[#This Row],[RET ISR]]-Table1[[#This Row],[TOTAL]]</f>
        <v>0</v>
      </c>
      <c r="AE1683" s="152"/>
      <c r="AF1683" s="153"/>
      <c r="AG1683" s="126"/>
      <c r="AK1683" s="306" t="str">
        <f>IF(ISNUMBER(Table1[[#This Row],[FECHA DE RECIBIDO]]), Table1[[#This Row],[FECHA DE RECIBIDO]]-DATE(2023,8,30), "")</f>
        <v/>
      </c>
    </row>
    <row r="1684" spans="1:37" ht="16.05" customHeight="1">
      <c r="A1684" s="150" t="s">
        <v>3489</v>
      </c>
      <c r="B1684" s="151">
        <v>570</v>
      </c>
      <c r="C1684" s="126" t="s">
        <v>451</v>
      </c>
      <c r="D1684">
        <v>1095</v>
      </c>
      <c r="E1684" s="126" t="s">
        <v>1890</v>
      </c>
      <c r="F1684" s="122" t="s">
        <v>1593</v>
      </c>
      <c r="G1684" s="122" t="s">
        <v>109</v>
      </c>
      <c r="H1684">
        <v>63</v>
      </c>
      <c r="I1684" s="122" t="s">
        <v>1546</v>
      </c>
      <c r="J1684" s="307" t="s">
        <v>214</v>
      </c>
      <c r="K1684" s="127" t="s">
        <v>3418</v>
      </c>
      <c r="L1684" s="151" t="s">
        <v>110</v>
      </c>
      <c r="M1684">
        <v>86</v>
      </c>
      <c r="N1684" s="123">
        <v>23</v>
      </c>
      <c r="O1684">
        <v>1075</v>
      </c>
      <c r="P1684" s="132" t="s">
        <v>77</v>
      </c>
      <c r="Q1684" s="131">
        <v>30000</v>
      </c>
      <c r="R1684" s="131">
        <v>4800</v>
      </c>
      <c r="S1684" s="131"/>
      <c r="T1684" s="155">
        <v>3200</v>
      </c>
      <c r="U1684" s="131">
        <v>375</v>
      </c>
      <c r="V1684" s="131">
        <f t="shared" si="39"/>
        <v>31225</v>
      </c>
      <c r="W1684">
        <v>45</v>
      </c>
      <c r="X1684" s="151" t="s">
        <v>1429</v>
      </c>
      <c r="Y1684" s="135" t="s">
        <v>55</v>
      </c>
      <c r="Z1684" s="307">
        <v>226</v>
      </c>
      <c r="AB1684" t="str">
        <f>IF(Table1[[#This Row],[TIPO2]]="costo", VLOOKUP(Table1[[#This Row],[PARTIDA PRESUPUESTAL]],'Cost Report'!G:G,1,0),"Balance")</f>
        <v>2005-010</v>
      </c>
      <c r="AC1684" s="118"/>
      <c r="AD1684" s="159">
        <f>+Table1[[#This Row],[SUBTOTAL]]+Table1[[#This Row],[IVA]]-Table1[[#This Row],[RET IVA]]-Table1[[#This Row],[RET ISR]]-Table1[[#This Row],[TOTAL]]</f>
        <v>0</v>
      </c>
      <c r="AE1684" s="150"/>
      <c r="AF1684" s="151"/>
      <c r="AG1684" s="126"/>
      <c r="AK1684" s="306" t="str">
        <f>IF(ISNUMBER(Table1[[#This Row],[FECHA DE RECIBIDO]]), Table1[[#This Row],[FECHA DE RECIBIDO]]-DATE(2023,8,30), "")</f>
        <v/>
      </c>
    </row>
    <row r="1685" spans="1:37" ht="16.05" customHeight="1">
      <c r="A1685" s="152" t="s">
        <v>3490</v>
      </c>
      <c r="B1685" s="153">
        <v>571</v>
      </c>
      <c r="C1685" s="126" t="s">
        <v>2377</v>
      </c>
      <c r="D1685">
        <v>1096</v>
      </c>
      <c r="E1685" s="126" t="s">
        <v>2012</v>
      </c>
      <c r="F1685" s="125" t="s">
        <v>1589</v>
      </c>
      <c r="G1685" s="125" t="s">
        <v>129</v>
      </c>
      <c r="H1685">
        <v>105</v>
      </c>
      <c r="I1685" s="125" t="s">
        <v>1546</v>
      </c>
      <c r="J1685" s="308" t="s">
        <v>214</v>
      </c>
      <c r="K1685" s="127" t="s">
        <v>3418</v>
      </c>
      <c r="L1685" s="153" t="s">
        <v>110</v>
      </c>
      <c r="M1685">
        <v>143</v>
      </c>
      <c r="N1685" s="123">
        <v>35</v>
      </c>
      <c r="O1685">
        <v>1076</v>
      </c>
      <c r="P1685" s="132" t="s">
        <v>77</v>
      </c>
      <c r="Q1685" s="132">
        <v>50000</v>
      </c>
      <c r="R1685" s="132">
        <v>8000</v>
      </c>
      <c r="S1685" s="132"/>
      <c r="T1685" s="156">
        <v>5333.34</v>
      </c>
      <c r="U1685" s="132">
        <v>5000</v>
      </c>
      <c r="V1685" s="132">
        <f t="shared" si="39"/>
        <v>47666.66</v>
      </c>
      <c r="W1685">
        <v>67</v>
      </c>
      <c r="X1685" s="153" t="s">
        <v>1431</v>
      </c>
      <c r="Y1685" s="124" t="s">
        <v>55</v>
      </c>
      <c r="Z1685" s="308">
        <v>226</v>
      </c>
      <c r="AB1685" t="str">
        <f>IF(Table1[[#This Row],[TIPO2]]="costo", VLOOKUP(Table1[[#This Row],[PARTIDA PRESUPUESTAL]],'Cost Report'!G:G,1,0),"Balance")</f>
        <v>2003-014</v>
      </c>
      <c r="AC1685" s="118"/>
      <c r="AD1685" s="159">
        <f>+Table1[[#This Row],[SUBTOTAL]]+Table1[[#This Row],[IVA]]-Table1[[#This Row],[RET IVA]]-Table1[[#This Row],[RET ISR]]-Table1[[#This Row],[TOTAL]]</f>
        <v>0</v>
      </c>
      <c r="AE1685" s="152"/>
      <c r="AF1685" s="153"/>
      <c r="AG1685" s="126"/>
      <c r="AK1685" s="306" t="str">
        <f>IF(ISNUMBER(Table1[[#This Row],[FECHA DE RECIBIDO]]), Table1[[#This Row],[FECHA DE RECIBIDO]]-DATE(2023,8,30), "")</f>
        <v/>
      </c>
    </row>
    <row r="1686" spans="1:37" ht="16.05" customHeight="1">
      <c r="A1686" s="150" t="s">
        <v>3491</v>
      </c>
      <c r="B1686" s="151">
        <v>572</v>
      </c>
      <c r="C1686" s="126" t="s">
        <v>2380</v>
      </c>
      <c r="D1686">
        <v>1097</v>
      </c>
      <c r="E1686" s="126" t="s">
        <v>1622</v>
      </c>
      <c r="F1686" s="122" t="s">
        <v>1589</v>
      </c>
      <c r="G1686" s="122" t="s">
        <v>129</v>
      </c>
      <c r="H1686">
        <v>106</v>
      </c>
      <c r="I1686" s="122" t="s">
        <v>1546</v>
      </c>
      <c r="J1686" s="307" t="s">
        <v>214</v>
      </c>
      <c r="K1686" s="127" t="s">
        <v>3418</v>
      </c>
      <c r="L1686" s="151" t="s">
        <v>110</v>
      </c>
      <c r="M1686">
        <v>144</v>
      </c>
      <c r="N1686" s="123">
        <v>36</v>
      </c>
      <c r="O1686">
        <v>1077</v>
      </c>
      <c r="P1686" s="132" t="s">
        <v>77</v>
      </c>
      <c r="Q1686" s="131">
        <v>30000</v>
      </c>
      <c r="R1686" s="131">
        <v>4800</v>
      </c>
      <c r="S1686" s="131"/>
      <c r="T1686" s="155">
        <v>3200</v>
      </c>
      <c r="U1686" s="131">
        <v>3000</v>
      </c>
      <c r="V1686" s="131">
        <f t="shared" si="39"/>
        <v>28600</v>
      </c>
      <c r="W1686">
        <v>68</v>
      </c>
      <c r="X1686" s="151" t="s">
        <v>1429</v>
      </c>
      <c r="Y1686" s="135" t="s">
        <v>55</v>
      </c>
      <c r="Z1686" s="307">
        <v>226</v>
      </c>
      <c r="AB1686" t="str">
        <f>IF(Table1[[#This Row],[TIPO2]]="costo", VLOOKUP(Table1[[#This Row],[PARTIDA PRESUPUESTAL]],'Cost Report'!G:G,1,0),"Balance")</f>
        <v>2005-015</v>
      </c>
      <c r="AC1686" s="118"/>
      <c r="AD1686" s="159">
        <f>+Table1[[#This Row],[SUBTOTAL]]+Table1[[#This Row],[IVA]]-Table1[[#This Row],[RET IVA]]-Table1[[#This Row],[RET ISR]]-Table1[[#This Row],[TOTAL]]</f>
        <v>0</v>
      </c>
      <c r="AE1686" s="150"/>
      <c r="AF1686" s="151"/>
      <c r="AG1686" s="126"/>
      <c r="AK1686" s="306" t="str">
        <f>IF(ISNUMBER(Table1[[#This Row],[FECHA DE RECIBIDO]]), Table1[[#This Row],[FECHA DE RECIBIDO]]-DATE(2023,8,30), "")</f>
        <v/>
      </c>
    </row>
    <row r="1687" spans="1:37" ht="16.05" customHeight="1">
      <c r="A1687" s="152" t="s">
        <v>3492</v>
      </c>
      <c r="B1687" s="153">
        <v>573</v>
      </c>
      <c r="C1687" s="126" t="s">
        <v>252</v>
      </c>
      <c r="D1687">
        <v>1098</v>
      </c>
      <c r="E1687" s="126" t="s">
        <v>3181</v>
      </c>
      <c r="F1687" s="125" t="s">
        <v>1589</v>
      </c>
      <c r="G1687" s="125" t="s">
        <v>129</v>
      </c>
      <c r="H1687">
        <v>203</v>
      </c>
      <c r="I1687" s="125" t="s">
        <v>1546</v>
      </c>
      <c r="J1687" s="308" t="s">
        <v>214</v>
      </c>
      <c r="K1687" s="127" t="s">
        <v>3418</v>
      </c>
      <c r="L1687" s="153" t="s">
        <v>110</v>
      </c>
      <c r="M1687">
        <v>268</v>
      </c>
      <c r="N1687" s="123">
        <v>68</v>
      </c>
      <c r="O1687">
        <v>1078</v>
      </c>
      <c r="P1687" s="132" t="s">
        <v>77</v>
      </c>
      <c r="Q1687" s="132">
        <v>138600</v>
      </c>
      <c r="R1687" s="132">
        <v>22176</v>
      </c>
      <c r="S1687" s="132"/>
      <c r="T1687" s="156">
        <v>14784.05</v>
      </c>
      <c r="U1687" s="132">
        <v>13860</v>
      </c>
      <c r="V1687" s="132">
        <f t="shared" si="39"/>
        <v>132131.95000000001</v>
      </c>
      <c r="W1687">
        <v>124</v>
      </c>
      <c r="X1687" s="153" t="s">
        <v>1434</v>
      </c>
      <c r="Y1687" s="124" t="s">
        <v>55</v>
      </c>
      <c r="Z1687" s="308">
        <v>226</v>
      </c>
      <c r="AB1687" t="str">
        <f>IF(Table1[[#This Row],[TIPO2]]="costo", VLOOKUP(Table1[[#This Row],[PARTIDA PRESUPUESTAL]],'Cost Report'!G:G,1,0),"Balance")</f>
        <v>1301-003</v>
      </c>
      <c r="AC1687" s="118"/>
      <c r="AD1687" s="159">
        <f>+Table1[[#This Row],[SUBTOTAL]]+Table1[[#This Row],[IVA]]-Table1[[#This Row],[RET IVA]]-Table1[[#This Row],[RET ISR]]-Table1[[#This Row],[TOTAL]]</f>
        <v>0</v>
      </c>
      <c r="AE1687" s="152"/>
      <c r="AF1687" s="153"/>
      <c r="AG1687" s="126"/>
      <c r="AK1687" s="306" t="str">
        <f>IF(ISNUMBER(Table1[[#This Row],[FECHA DE RECIBIDO]]), Table1[[#This Row],[FECHA DE RECIBIDO]]-DATE(2023,8,30), "")</f>
        <v/>
      </c>
    </row>
    <row r="1688" spans="1:37" ht="16.05" customHeight="1">
      <c r="A1688" s="150" t="s">
        <v>3493</v>
      </c>
      <c r="B1688" s="151">
        <v>574</v>
      </c>
      <c r="C1688" s="126" t="s">
        <v>459</v>
      </c>
      <c r="D1688">
        <v>1099</v>
      </c>
      <c r="E1688" s="126" t="s">
        <v>3640</v>
      </c>
      <c r="F1688" s="122" t="s">
        <v>1602</v>
      </c>
      <c r="G1688" s="122" t="s">
        <v>1617</v>
      </c>
      <c r="H1688">
        <v>343</v>
      </c>
      <c r="I1688" s="122" t="s">
        <v>1546</v>
      </c>
      <c r="J1688" s="307" t="s">
        <v>214</v>
      </c>
      <c r="K1688" s="127" t="s">
        <v>3418</v>
      </c>
      <c r="L1688" s="151" t="s">
        <v>110</v>
      </c>
      <c r="M1688">
        <v>460</v>
      </c>
      <c r="N1688" s="123">
        <v>85</v>
      </c>
      <c r="O1688">
        <v>1079</v>
      </c>
      <c r="P1688" s="132" t="s">
        <v>77</v>
      </c>
      <c r="Q1688" s="131">
        <v>17000</v>
      </c>
      <c r="R1688" s="131">
        <v>2720</v>
      </c>
      <c r="S1688" s="131"/>
      <c r="T1688" s="155">
        <v>1813.34</v>
      </c>
      <c r="U1688" s="131">
        <v>0</v>
      </c>
      <c r="V1688" s="131">
        <f t="shared" si="39"/>
        <v>17906.66</v>
      </c>
      <c r="W1688">
        <v>180</v>
      </c>
      <c r="X1688" s="151" t="s">
        <v>1429</v>
      </c>
      <c r="Y1688" s="135" t="s">
        <v>55</v>
      </c>
      <c r="Z1688" s="307">
        <v>226</v>
      </c>
      <c r="AB1688" t="str">
        <f>IF(Table1[[#This Row],[TIPO2]]="costo", VLOOKUP(Table1[[#This Row],[PARTIDA PRESUPUESTAL]],'Cost Report'!G:G,1,0),"Balance")</f>
        <v>2009-003</v>
      </c>
      <c r="AC1688" s="118"/>
      <c r="AD1688" s="159">
        <f>+Table1[[#This Row],[SUBTOTAL]]+Table1[[#This Row],[IVA]]-Table1[[#This Row],[RET IVA]]-Table1[[#This Row],[RET ISR]]-Table1[[#This Row],[TOTAL]]</f>
        <v>0</v>
      </c>
      <c r="AE1688" s="150"/>
      <c r="AF1688" s="151"/>
      <c r="AG1688" s="126"/>
      <c r="AK1688" s="306" t="str">
        <f>IF(ISNUMBER(Table1[[#This Row],[FECHA DE RECIBIDO]]), Table1[[#This Row],[FECHA DE RECIBIDO]]-DATE(2023,8,30), "")</f>
        <v/>
      </c>
    </row>
    <row r="1689" spans="1:37" ht="16.05" customHeight="1">
      <c r="A1689" s="152" t="s">
        <v>3494</v>
      </c>
      <c r="B1689" s="153">
        <v>575</v>
      </c>
      <c r="C1689" s="126" t="s">
        <v>460</v>
      </c>
      <c r="D1689">
        <v>1100</v>
      </c>
      <c r="E1689" s="126" t="s">
        <v>3640</v>
      </c>
      <c r="F1689" s="125" t="s">
        <v>1602</v>
      </c>
      <c r="G1689" s="125" t="s">
        <v>1617</v>
      </c>
      <c r="H1689">
        <v>343</v>
      </c>
      <c r="I1689" s="125" t="s">
        <v>1546</v>
      </c>
      <c r="J1689" s="308" t="s">
        <v>214</v>
      </c>
      <c r="K1689" s="127" t="s">
        <v>3418</v>
      </c>
      <c r="L1689" s="153" t="s">
        <v>110</v>
      </c>
      <c r="M1689">
        <v>460</v>
      </c>
      <c r="N1689" s="123">
        <v>85</v>
      </c>
      <c r="O1689">
        <v>1080</v>
      </c>
      <c r="P1689" s="132" t="s">
        <v>77</v>
      </c>
      <c r="Q1689" s="132">
        <v>34000</v>
      </c>
      <c r="R1689" s="132">
        <v>5440</v>
      </c>
      <c r="S1689" s="132"/>
      <c r="T1689" s="156">
        <v>3626.68</v>
      </c>
      <c r="U1689" s="132">
        <v>0</v>
      </c>
      <c r="V1689" s="132">
        <f t="shared" si="39"/>
        <v>35813.32</v>
      </c>
      <c r="W1689">
        <v>180</v>
      </c>
      <c r="X1689" s="153" t="s">
        <v>1429</v>
      </c>
      <c r="Y1689" s="124" t="s">
        <v>55</v>
      </c>
      <c r="Z1689" s="308">
        <v>226</v>
      </c>
      <c r="AB1689" t="str">
        <f>IF(Table1[[#This Row],[TIPO2]]="costo", VLOOKUP(Table1[[#This Row],[PARTIDA PRESUPUESTAL]],'Cost Report'!G:G,1,0),"Balance")</f>
        <v>2009-004</v>
      </c>
      <c r="AC1689" s="118"/>
      <c r="AD1689" s="159">
        <f>+Table1[[#This Row],[SUBTOTAL]]+Table1[[#This Row],[IVA]]-Table1[[#This Row],[RET IVA]]-Table1[[#This Row],[RET ISR]]-Table1[[#This Row],[TOTAL]]</f>
        <v>0</v>
      </c>
      <c r="AE1689" s="152"/>
      <c r="AF1689" s="153"/>
      <c r="AG1689" s="126"/>
      <c r="AK1689" s="306" t="str">
        <f>IF(ISNUMBER(Table1[[#This Row],[FECHA DE RECIBIDO]]), Table1[[#This Row],[FECHA DE RECIBIDO]]-DATE(2023,8,30), "")</f>
        <v/>
      </c>
    </row>
    <row r="1690" spans="1:37" ht="16.05" customHeight="1">
      <c r="A1690" s="150" t="s">
        <v>3495</v>
      </c>
      <c r="B1690" s="151">
        <v>576</v>
      </c>
      <c r="C1690" s="126" t="s">
        <v>258</v>
      </c>
      <c r="D1690">
        <v>1101</v>
      </c>
      <c r="E1690" s="126" t="s">
        <v>3641</v>
      </c>
      <c r="F1690" s="122" t="s">
        <v>1589</v>
      </c>
      <c r="G1690" s="122" t="s">
        <v>129</v>
      </c>
      <c r="H1690">
        <v>344</v>
      </c>
      <c r="I1690" s="122" t="s">
        <v>1546</v>
      </c>
      <c r="J1690" s="307" t="s">
        <v>214</v>
      </c>
      <c r="K1690" s="127" t="s">
        <v>3418</v>
      </c>
      <c r="L1690" s="151" t="s">
        <v>110</v>
      </c>
      <c r="M1690">
        <v>461</v>
      </c>
      <c r="N1690" s="123">
        <v>86</v>
      </c>
      <c r="O1690">
        <v>1081</v>
      </c>
      <c r="P1690" s="132" t="s">
        <v>77</v>
      </c>
      <c r="Q1690" s="131">
        <v>157080</v>
      </c>
      <c r="R1690" s="131">
        <v>25132.799999999999</v>
      </c>
      <c r="S1690" s="131"/>
      <c r="T1690" s="155">
        <v>16755.25</v>
      </c>
      <c r="U1690" s="131">
        <v>15708</v>
      </c>
      <c r="V1690" s="131">
        <f t="shared" si="39"/>
        <v>149749.54999999999</v>
      </c>
      <c r="W1690">
        <v>181</v>
      </c>
      <c r="X1690" s="151" t="s">
        <v>2024</v>
      </c>
      <c r="Y1690" s="135" t="s">
        <v>55</v>
      </c>
      <c r="Z1690" s="307">
        <v>226</v>
      </c>
      <c r="AB1690" t="str">
        <f>IF(Table1[[#This Row],[TIPO2]]="costo", VLOOKUP(Table1[[#This Row],[PARTIDA PRESUPUESTAL]],'Cost Report'!G:G,1,0),"Balance")</f>
        <v>1301-011</v>
      </c>
      <c r="AC1690" s="118"/>
      <c r="AD1690" s="159">
        <f>+Table1[[#This Row],[SUBTOTAL]]+Table1[[#This Row],[IVA]]-Table1[[#This Row],[RET IVA]]-Table1[[#This Row],[RET ISR]]-Table1[[#This Row],[TOTAL]]</f>
        <v>0</v>
      </c>
      <c r="AE1690" s="150"/>
      <c r="AF1690" s="151"/>
      <c r="AG1690" s="126"/>
      <c r="AK1690" s="306" t="str">
        <f>IF(ISNUMBER(Table1[[#This Row],[FECHA DE RECIBIDO]]), Table1[[#This Row],[FECHA DE RECIBIDO]]-DATE(2023,8,30), "")</f>
        <v/>
      </c>
    </row>
    <row r="1691" spans="1:37" ht="16.05" customHeight="1">
      <c r="A1691" s="152" t="s">
        <v>3496</v>
      </c>
      <c r="B1691" s="153">
        <v>577</v>
      </c>
      <c r="C1691" s="126" t="s">
        <v>3002</v>
      </c>
      <c r="D1691">
        <v>1102</v>
      </c>
      <c r="E1691" s="126" t="s">
        <v>3642</v>
      </c>
      <c r="F1691" s="125" t="s">
        <v>1593</v>
      </c>
      <c r="G1691" s="125" t="s">
        <v>109</v>
      </c>
      <c r="H1691">
        <v>345</v>
      </c>
      <c r="I1691" s="125" t="s">
        <v>1546</v>
      </c>
      <c r="J1691" s="308" t="s">
        <v>214</v>
      </c>
      <c r="K1691" s="127" t="s">
        <v>3418</v>
      </c>
      <c r="L1691" s="153" t="s">
        <v>110</v>
      </c>
      <c r="M1691">
        <v>462</v>
      </c>
      <c r="N1691" s="123">
        <v>87</v>
      </c>
      <c r="O1691">
        <v>1082</v>
      </c>
      <c r="P1691" s="132" t="s">
        <v>77</v>
      </c>
      <c r="Q1691" s="132">
        <v>8500</v>
      </c>
      <c r="R1691" s="132">
        <v>1360</v>
      </c>
      <c r="S1691" s="132"/>
      <c r="T1691" s="156">
        <v>906.67</v>
      </c>
      <c r="U1691" s="132">
        <v>106.25</v>
      </c>
      <c r="V1691" s="132">
        <f t="shared" si="39"/>
        <v>8847.08</v>
      </c>
      <c r="W1691">
        <v>182</v>
      </c>
      <c r="X1691" s="153" t="s">
        <v>1429</v>
      </c>
      <c r="Y1691" s="124" t="s">
        <v>55</v>
      </c>
      <c r="Z1691" s="308">
        <v>226</v>
      </c>
      <c r="AB1691" t="str">
        <f>IF(Table1[[#This Row],[TIPO2]]="costo", VLOOKUP(Table1[[#This Row],[PARTIDA PRESUPUESTAL]],'Cost Report'!G:G,1,0),"Balance")</f>
        <v>4180-003</v>
      </c>
      <c r="AC1691" s="118"/>
      <c r="AD1691" s="159">
        <f>+Table1[[#This Row],[SUBTOTAL]]+Table1[[#This Row],[IVA]]-Table1[[#This Row],[RET IVA]]-Table1[[#This Row],[RET ISR]]-Table1[[#This Row],[TOTAL]]</f>
        <v>0</v>
      </c>
      <c r="AE1691" s="152"/>
      <c r="AF1691" s="153"/>
      <c r="AG1691" s="126"/>
      <c r="AK1691" s="306" t="str">
        <f>IF(ISNUMBER(Table1[[#This Row],[FECHA DE RECIBIDO]]), Table1[[#This Row],[FECHA DE RECIBIDO]]-DATE(2023,8,30), "")</f>
        <v/>
      </c>
    </row>
    <row r="1692" spans="1:37" ht="16.05" customHeight="1">
      <c r="A1692" s="150" t="s">
        <v>3497</v>
      </c>
      <c r="B1692" s="151">
        <v>578</v>
      </c>
      <c r="C1692" s="126" t="s">
        <v>945</v>
      </c>
      <c r="D1692">
        <v>1103</v>
      </c>
      <c r="E1692" s="126" t="s">
        <v>1597</v>
      </c>
      <c r="F1692" s="122" t="s">
        <v>1589</v>
      </c>
      <c r="G1692" s="122" t="s">
        <v>129</v>
      </c>
      <c r="H1692">
        <v>8</v>
      </c>
      <c r="I1692" s="122" t="s">
        <v>1546</v>
      </c>
      <c r="J1692" s="307" t="s">
        <v>214</v>
      </c>
      <c r="K1692" s="127" t="s">
        <v>3418</v>
      </c>
      <c r="L1692" s="151" t="s">
        <v>110</v>
      </c>
      <c r="M1692">
        <v>11</v>
      </c>
      <c r="N1692" s="123">
        <v>9</v>
      </c>
      <c r="O1692">
        <v>1083</v>
      </c>
      <c r="P1692" s="132" t="s">
        <v>77</v>
      </c>
      <c r="Q1692" s="131">
        <v>42000</v>
      </c>
      <c r="R1692" s="131">
        <v>6720</v>
      </c>
      <c r="S1692" s="131"/>
      <c r="T1692" s="155">
        <v>4480.0200000000004</v>
      </c>
      <c r="U1692" s="131">
        <v>4200</v>
      </c>
      <c r="V1692" s="131">
        <f t="shared" si="39"/>
        <v>40039.979999999996</v>
      </c>
      <c r="W1692">
        <v>6</v>
      </c>
      <c r="X1692" s="151" t="s">
        <v>1430</v>
      </c>
      <c r="Y1692" s="135" t="s">
        <v>55</v>
      </c>
      <c r="Z1692" s="307">
        <v>226</v>
      </c>
      <c r="AB1692" t="str">
        <f>IF(Table1[[#This Row],[TIPO2]]="costo", VLOOKUP(Table1[[#This Row],[PARTIDA PRESUPUESTAL]],'Cost Report'!G:G,1,0),"Balance")</f>
        <v>3402-005</v>
      </c>
      <c r="AC1692" s="118"/>
      <c r="AD1692" s="159">
        <f>+Table1[[#This Row],[SUBTOTAL]]+Table1[[#This Row],[IVA]]-Table1[[#This Row],[RET IVA]]-Table1[[#This Row],[RET ISR]]-Table1[[#This Row],[TOTAL]]</f>
        <v>0</v>
      </c>
      <c r="AE1692" s="150"/>
      <c r="AF1692" s="151"/>
      <c r="AG1692" s="126"/>
      <c r="AK1692" s="306" t="str">
        <f>IF(ISNUMBER(Table1[[#This Row],[FECHA DE RECIBIDO]]), Table1[[#This Row],[FECHA DE RECIBIDO]]-DATE(2023,8,30), "")</f>
        <v/>
      </c>
    </row>
    <row r="1693" spans="1:37" ht="16.05" customHeight="1">
      <c r="A1693" s="152" t="s">
        <v>3498</v>
      </c>
      <c r="B1693" s="153">
        <v>579</v>
      </c>
      <c r="C1693" s="126" t="s">
        <v>953</v>
      </c>
      <c r="D1693">
        <v>1104</v>
      </c>
      <c r="E1693" s="126" t="s">
        <v>1596</v>
      </c>
      <c r="F1693" s="125" t="s">
        <v>1593</v>
      </c>
      <c r="G1693" s="125" t="s">
        <v>109</v>
      </c>
      <c r="H1693">
        <v>11</v>
      </c>
      <c r="I1693" s="125" t="s">
        <v>1546</v>
      </c>
      <c r="J1693" s="308" t="s">
        <v>214</v>
      </c>
      <c r="K1693" s="127" t="s">
        <v>3418</v>
      </c>
      <c r="L1693" s="153" t="s">
        <v>110</v>
      </c>
      <c r="M1693">
        <v>14</v>
      </c>
      <c r="N1693" s="123">
        <v>8</v>
      </c>
      <c r="O1693">
        <v>1084</v>
      </c>
      <c r="P1693" s="132" t="s">
        <v>77</v>
      </c>
      <c r="Q1693" s="132">
        <v>21000</v>
      </c>
      <c r="R1693" s="132">
        <v>3360</v>
      </c>
      <c r="S1693" s="132"/>
      <c r="T1693" s="156">
        <v>2239.98</v>
      </c>
      <c r="U1693" s="132">
        <v>262.5</v>
      </c>
      <c r="V1693" s="132">
        <f t="shared" si="39"/>
        <v>21857.52</v>
      </c>
      <c r="W1693">
        <v>10</v>
      </c>
      <c r="X1693" s="153" t="s">
        <v>1432</v>
      </c>
      <c r="Y1693" s="124" t="s">
        <v>55</v>
      </c>
      <c r="Z1693" s="308">
        <v>226</v>
      </c>
      <c r="AB1693" t="str">
        <f>IF(Table1[[#This Row],[TIPO2]]="costo", VLOOKUP(Table1[[#This Row],[PARTIDA PRESUPUESTAL]],'Cost Report'!G:G,1,0),"Balance")</f>
        <v>3403-011</v>
      </c>
      <c r="AC1693" s="118"/>
      <c r="AD1693" s="159">
        <f>+Table1[[#This Row],[SUBTOTAL]]+Table1[[#This Row],[IVA]]-Table1[[#This Row],[RET IVA]]-Table1[[#This Row],[RET ISR]]-Table1[[#This Row],[TOTAL]]</f>
        <v>0</v>
      </c>
      <c r="AE1693" s="152"/>
      <c r="AF1693" s="153"/>
      <c r="AG1693" s="126"/>
      <c r="AK1693" s="306" t="str">
        <f>IF(ISNUMBER(Table1[[#This Row],[FECHA DE RECIBIDO]]), Table1[[#This Row],[FECHA DE RECIBIDO]]-DATE(2023,8,30), "")</f>
        <v/>
      </c>
    </row>
    <row r="1694" spans="1:37" ht="16.05" customHeight="1">
      <c r="A1694" s="150" t="s">
        <v>3499</v>
      </c>
      <c r="B1694" s="151">
        <v>580</v>
      </c>
      <c r="C1694" s="126" t="s">
        <v>948</v>
      </c>
      <c r="D1694">
        <v>1105</v>
      </c>
      <c r="E1694" s="126" t="s">
        <v>1891</v>
      </c>
      <c r="F1694" s="122" t="s">
        <v>1589</v>
      </c>
      <c r="G1694" s="122" t="s">
        <v>129</v>
      </c>
      <c r="H1694">
        <v>64</v>
      </c>
      <c r="I1694" s="122" t="s">
        <v>1546</v>
      </c>
      <c r="J1694" s="307" t="s">
        <v>214</v>
      </c>
      <c r="K1694" s="127" t="s">
        <v>3418</v>
      </c>
      <c r="L1694" s="151" t="s">
        <v>110</v>
      </c>
      <c r="M1694">
        <v>87</v>
      </c>
      <c r="N1694" s="123">
        <v>24</v>
      </c>
      <c r="O1694">
        <v>1085</v>
      </c>
      <c r="P1694" s="132" t="s">
        <v>77</v>
      </c>
      <c r="Q1694" s="131">
        <v>25200</v>
      </c>
      <c r="R1694" s="131">
        <v>4032</v>
      </c>
      <c r="S1694" s="131"/>
      <c r="T1694" s="155">
        <v>2688</v>
      </c>
      <c r="U1694" s="131">
        <v>2520</v>
      </c>
      <c r="V1694" s="131">
        <f t="shared" si="39"/>
        <v>24024</v>
      </c>
      <c r="W1694">
        <v>46</v>
      </c>
      <c r="X1694" s="151" t="s">
        <v>1429</v>
      </c>
      <c r="Y1694" s="135" t="s">
        <v>55</v>
      </c>
      <c r="Z1694" s="307">
        <v>226</v>
      </c>
      <c r="AB1694" t="str">
        <f>IF(Table1[[#This Row],[TIPO2]]="costo", VLOOKUP(Table1[[#This Row],[PARTIDA PRESUPUESTAL]],'Cost Report'!G:G,1,0),"Balance")</f>
        <v>3403-004</v>
      </c>
      <c r="AC1694" s="118"/>
      <c r="AD1694" s="159">
        <f>+Table1[[#This Row],[SUBTOTAL]]+Table1[[#This Row],[IVA]]-Table1[[#This Row],[RET IVA]]-Table1[[#This Row],[RET ISR]]-Table1[[#This Row],[TOTAL]]</f>
        <v>0</v>
      </c>
      <c r="AE1694" s="150"/>
      <c r="AF1694" s="151"/>
      <c r="AG1694" s="126"/>
      <c r="AK1694" s="306" t="str">
        <f>IF(ISNUMBER(Table1[[#This Row],[FECHA DE RECIBIDO]]), Table1[[#This Row],[FECHA DE RECIBIDO]]-DATE(2023,8,30), "")</f>
        <v/>
      </c>
    </row>
    <row r="1695" spans="1:37" ht="16.05" customHeight="1">
      <c r="A1695" s="152" t="s">
        <v>3500</v>
      </c>
      <c r="B1695" s="153">
        <v>581</v>
      </c>
      <c r="C1695" s="126" t="s">
        <v>2776</v>
      </c>
      <c r="D1695">
        <v>1106</v>
      </c>
      <c r="E1695" s="126" t="s">
        <v>3278</v>
      </c>
      <c r="F1695" s="125" t="s">
        <v>1593</v>
      </c>
      <c r="G1695" s="125" t="s">
        <v>109</v>
      </c>
      <c r="H1695">
        <v>346</v>
      </c>
      <c r="I1695" s="125" t="s">
        <v>1546</v>
      </c>
      <c r="J1695" s="308" t="s">
        <v>214</v>
      </c>
      <c r="K1695" s="127" t="s">
        <v>3418</v>
      </c>
      <c r="L1695" s="153" t="s">
        <v>110</v>
      </c>
      <c r="M1695">
        <v>463</v>
      </c>
      <c r="N1695" s="123">
        <v>88</v>
      </c>
      <c r="O1695">
        <v>1086</v>
      </c>
      <c r="P1695" s="132" t="s">
        <v>77</v>
      </c>
      <c r="Q1695" s="132">
        <v>8000</v>
      </c>
      <c r="R1695" s="132">
        <v>1280</v>
      </c>
      <c r="S1695" s="132"/>
      <c r="T1695" s="156">
        <v>853.34</v>
      </c>
      <c r="U1695" s="132">
        <v>100</v>
      </c>
      <c r="V1695" s="132">
        <f t="shared" si="39"/>
        <v>8326.66</v>
      </c>
      <c r="W1695">
        <v>183</v>
      </c>
      <c r="X1695" s="153" t="s">
        <v>1431</v>
      </c>
      <c r="Y1695" s="124" t="s">
        <v>55</v>
      </c>
      <c r="Z1695" s="308">
        <v>226</v>
      </c>
      <c r="AB1695" t="str">
        <f>IF(Table1[[#This Row],[TIPO2]]="costo", VLOOKUP(Table1[[#This Row],[PARTIDA PRESUPUESTAL]],'Cost Report'!G:G,1,0),"Balance")</f>
        <v>3403-024</v>
      </c>
      <c r="AC1695" s="118"/>
      <c r="AD1695" s="159">
        <f>+Table1[[#This Row],[SUBTOTAL]]+Table1[[#This Row],[IVA]]-Table1[[#This Row],[RET IVA]]-Table1[[#This Row],[RET ISR]]-Table1[[#This Row],[TOTAL]]</f>
        <v>0</v>
      </c>
      <c r="AE1695" s="152"/>
      <c r="AF1695" s="153"/>
      <c r="AG1695" s="126"/>
      <c r="AK1695" s="306" t="str">
        <f>IF(ISNUMBER(Table1[[#This Row],[FECHA DE RECIBIDO]]), Table1[[#This Row],[FECHA DE RECIBIDO]]-DATE(2023,8,30), "")</f>
        <v/>
      </c>
    </row>
    <row r="1696" spans="1:37" ht="16.05" customHeight="1">
      <c r="A1696" s="150" t="s">
        <v>3501</v>
      </c>
      <c r="B1696" s="151">
        <v>582</v>
      </c>
      <c r="C1696" s="126" t="s">
        <v>2777</v>
      </c>
      <c r="D1696">
        <v>1107</v>
      </c>
      <c r="E1696" s="126" t="s">
        <v>3278</v>
      </c>
      <c r="F1696" s="122" t="s">
        <v>1593</v>
      </c>
      <c r="G1696" s="122" t="s">
        <v>109</v>
      </c>
      <c r="H1696">
        <v>346</v>
      </c>
      <c r="I1696" s="122" t="s">
        <v>1546</v>
      </c>
      <c r="J1696" s="307" t="s">
        <v>214</v>
      </c>
      <c r="K1696" s="127" t="s">
        <v>3418</v>
      </c>
      <c r="L1696" s="151" t="s">
        <v>110</v>
      </c>
      <c r="M1696">
        <v>463</v>
      </c>
      <c r="N1696" s="123">
        <v>88</v>
      </c>
      <c r="O1696">
        <v>1087</v>
      </c>
      <c r="P1696" s="132" t="s">
        <v>77</v>
      </c>
      <c r="Q1696" s="131">
        <v>16000</v>
      </c>
      <c r="R1696" s="131">
        <v>2560</v>
      </c>
      <c r="S1696" s="131"/>
      <c r="T1696" s="155">
        <v>1706.68</v>
      </c>
      <c r="U1696" s="131">
        <v>200</v>
      </c>
      <c r="V1696" s="131">
        <f t="shared" si="39"/>
        <v>16653.32</v>
      </c>
      <c r="W1696">
        <v>183</v>
      </c>
      <c r="X1696" s="151" t="s">
        <v>1431</v>
      </c>
      <c r="Y1696" s="135" t="s">
        <v>55</v>
      </c>
      <c r="Z1696" s="307">
        <v>226</v>
      </c>
      <c r="AB1696" t="str">
        <f>IF(Table1[[#This Row],[TIPO2]]="costo", VLOOKUP(Table1[[#This Row],[PARTIDA PRESUPUESTAL]],'Cost Report'!G:G,1,0),"Balance")</f>
        <v>3403-025</v>
      </c>
      <c r="AC1696" s="118"/>
      <c r="AD1696" s="159">
        <f>+Table1[[#This Row],[SUBTOTAL]]+Table1[[#This Row],[IVA]]-Table1[[#This Row],[RET IVA]]-Table1[[#This Row],[RET ISR]]-Table1[[#This Row],[TOTAL]]</f>
        <v>0</v>
      </c>
      <c r="AE1696" s="150"/>
      <c r="AF1696" s="151"/>
      <c r="AG1696" s="126"/>
      <c r="AK1696" s="306" t="str">
        <f>IF(ISNUMBER(Table1[[#This Row],[FECHA DE RECIBIDO]]), Table1[[#This Row],[FECHA DE RECIBIDO]]-DATE(2023,8,30), "")</f>
        <v/>
      </c>
    </row>
    <row r="1697" spans="1:37" ht="16.05" customHeight="1">
      <c r="A1697" s="152" t="s">
        <v>3502</v>
      </c>
      <c r="B1697" s="153">
        <v>583</v>
      </c>
      <c r="C1697" s="126" t="s">
        <v>537</v>
      </c>
      <c r="D1697">
        <v>1108</v>
      </c>
      <c r="E1697" s="126" t="s">
        <v>1599</v>
      </c>
      <c r="F1697" s="125" t="s">
        <v>1589</v>
      </c>
      <c r="G1697" s="125" t="s">
        <v>129</v>
      </c>
      <c r="H1697">
        <v>20</v>
      </c>
      <c r="I1697" s="125" t="s">
        <v>1546</v>
      </c>
      <c r="J1697" s="308" t="s">
        <v>214</v>
      </c>
      <c r="K1697" s="127" t="s">
        <v>3418</v>
      </c>
      <c r="L1697" s="153" t="s">
        <v>110</v>
      </c>
      <c r="M1697">
        <v>26</v>
      </c>
      <c r="N1697" s="123">
        <v>11</v>
      </c>
      <c r="O1697">
        <v>1088</v>
      </c>
      <c r="P1697" s="132" t="s">
        <v>77</v>
      </c>
      <c r="Q1697" s="132">
        <v>64680</v>
      </c>
      <c r="R1697" s="132">
        <v>10348.799999999999</v>
      </c>
      <c r="S1697" s="132"/>
      <c r="T1697" s="156">
        <v>6899.22</v>
      </c>
      <c r="U1697" s="132">
        <v>6468</v>
      </c>
      <c r="V1697" s="132">
        <f t="shared" si="39"/>
        <v>61661.58</v>
      </c>
      <c r="W1697">
        <v>20</v>
      </c>
      <c r="X1697" s="153" t="s">
        <v>1434</v>
      </c>
      <c r="Y1697" s="124" t="s">
        <v>55</v>
      </c>
      <c r="Z1697" s="308">
        <v>226</v>
      </c>
      <c r="AB1697" t="str">
        <f>IF(Table1[[#This Row],[TIPO2]]="costo", VLOOKUP(Table1[[#This Row],[PARTIDA PRESUPUESTAL]],'Cost Report'!G:G,1,0),"Balance")</f>
        <v>2201-005</v>
      </c>
      <c r="AC1697" s="118"/>
      <c r="AD1697" s="159">
        <f>+Table1[[#This Row],[SUBTOTAL]]+Table1[[#This Row],[IVA]]-Table1[[#This Row],[RET IVA]]-Table1[[#This Row],[RET ISR]]-Table1[[#This Row],[TOTAL]]</f>
        <v>0</v>
      </c>
      <c r="AE1697" s="152"/>
      <c r="AF1697" s="153"/>
      <c r="AG1697" s="126"/>
      <c r="AK1697" s="306" t="str">
        <f>IF(ISNUMBER(Table1[[#This Row],[FECHA DE RECIBIDO]]), Table1[[#This Row],[FECHA DE RECIBIDO]]-DATE(2023,8,30), "")</f>
        <v/>
      </c>
    </row>
    <row r="1698" spans="1:37" ht="16.05" customHeight="1">
      <c r="A1698" s="150" t="s">
        <v>3503</v>
      </c>
      <c r="B1698" s="151">
        <v>584</v>
      </c>
      <c r="C1698" s="126" t="s">
        <v>2454</v>
      </c>
      <c r="D1698">
        <v>1109</v>
      </c>
      <c r="E1698" s="126" t="s">
        <v>1601</v>
      </c>
      <c r="F1698" s="122" t="s">
        <v>1602</v>
      </c>
      <c r="G1698" s="122" t="s">
        <v>1617</v>
      </c>
      <c r="H1698">
        <v>27</v>
      </c>
      <c r="I1698" s="122" t="s">
        <v>1546</v>
      </c>
      <c r="J1698" s="307" t="s">
        <v>214</v>
      </c>
      <c r="K1698" s="127" t="s">
        <v>3418</v>
      </c>
      <c r="L1698" s="151" t="s">
        <v>110</v>
      </c>
      <c r="M1698">
        <v>36</v>
      </c>
      <c r="N1698" s="123">
        <v>13</v>
      </c>
      <c r="O1698">
        <v>1089</v>
      </c>
      <c r="P1698" s="132" t="s">
        <v>77</v>
      </c>
      <c r="Q1698" s="131">
        <v>25200</v>
      </c>
      <c r="R1698" s="131">
        <v>4032</v>
      </c>
      <c r="S1698" s="131"/>
      <c r="T1698" s="155">
        <v>2688</v>
      </c>
      <c r="U1698" s="131">
        <v>0</v>
      </c>
      <c r="V1698" s="131">
        <f t="shared" si="39"/>
        <v>26544</v>
      </c>
      <c r="W1698">
        <v>29</v>
      </c>
      <c r="X1698" s="151" t="s">
        <v>1429</v>
      </c>
      <c r="Y1698" s="135" t="s">
        <v>55</v>
      </c>
      <c r="Z1698" s="307">
        <v>226</v>
      </c>
      <c r="AB1698" t="str">
        <f>IF(Table1[[#This Row],[TIPO2]]="costo", VLOOKUP(Table1[[#This Row],[PARTIDA PRESUPUESTAL]],'Cost Report'!G:G,1,0),"Balance")</f>
        <v>2213-004</v>
      </c>
      <c r="AC1698" s="118"/>
      <c r="AD1698" s="159">
        <f>+Table1[[#This Row],[SUBTOTAL]]+Table1[[#This Row],[IVA]]-Table1[[#This Row],[RET IVA]]-Table1[[#This Row],[RET ISR]]-Table1[[#This Row],[TOTAL]]</f>
        <v>0</v>
      </c>
      <c r="AE1698" s="150"/>
      <c r="AF1698" s="151"/>
      <c r="AG1698" s="126"/>
      <c r="AK1698" s="306" t="str">
        <f>IF(ISNUMBER(Table1[[#This Row],[FECHA DE RECIBIDO]]), Table1[[#This Row],[FECHA DE RECIBIDO]]-DATE(2023,8,30), "")</f>
        <v/>
      </c>
    </row>
    <row r="1699" spans="1:37" ht="16.05" customHeight="1">
      <c r="A1699" s="152" t="s">
        <v>3504</v>
      </c>
      <c r="B1699" s="153">
        <v>585</v>
      </c>
      <c r="C1699" s="126" t="s">
        <v>576</v>
      </c>
      <c r="D1699">
        <v>1110</v>
      </c>
      <c r="E1699" s="126" t="s">
        <v>1893</v>
      </c>
      <c r="F1699" s="125" t="s">
        <v>1593</v>
      </c>
      <c r="G1699" s="125" t="s">
        <v>109</v>
      </c>
      <c r="H1699">
        <v>66</v>
      </c>
      <c r="I1699" s="125" t="s">
        <v>1546</v>
      </c>
      <c r="J1699" s="308" t="s">
        <v>214</v>
      </c>
      <c r="K1699" s="127" t="s">
        <v>3418</v>
      </c>
      <c r="L1699" s="153" t="s">
        <v>110</v>
      </c>
      <c r="M1699">
        <v>89</v>
      </c>
      <c r="N1699" s="123">
        <v>26</v>
      </c>
      <c r="O1699">
        <v>1090</v>
      </c>
      <c r="P1699" s="132" t="s">
        <v>77</v>
      </c>
      <c r="Q1699" s="132">
        <v>35700</v>
      </c>
      <c r="R1699" s="132">
        <v>5712</v>
      </c>
      <c r="S1699" s="132"/>
      <c r="T1699" s="156">
        <v>3808.02</v>
      </c>
      <c r="U1699" s="132">
        <v>446.26</v>
      </c>
      <c r="V1699" s="132">
        <f t="shared" si="39"/>
        <v>37157.72</v>
      </c>
      <c r="W1699">
        <v>48</v>
      </c>
      <c r="X1699" s="153" t="s">
        <v>1430</v>
      </c>
      <c r="Y1699" s="124" t="s">
        <v>55</v>
      </c>
      <c r="Z1699" s="308">
        <v>226</v>
      </c>
      <c r="AB1699" t="str">
        <f>IF(Table1[[#This Row],[TIPO2]]="costo", VLOOKUP(Table1[[#This Row],[PARTIDA PRESUPUESTAL]],'Cost Report'!G:G,1,0),"Balance")</f>
        <v>2401-004</v>
      </c>
      <c r="AC1699" s="118"/>
      <c r="AD1699" s="159">
        <f>+Table1[[#This Row],[SUBTOTAL]]+Table1[[#This Row],[IVA]]-Table1[[#This Row],[RET IVA]]-Table1[[#This Row],[RET ISR]]-Table1[[#This Row],[TOTAL]]</f>
        <v>0</v>
      </c>
      <c r="AE1699" s="152"/>
      <c r="AF1699" s="153"/>
      <c r="AG1699" s="126"/>
      <c r="AK1699" s="306" t="str">
        <f>IF(ISNUMBER(Table1[[#This Row],[FECHA DE RECIBIDO]]), Table1[[#This Row],[FECHA DE RECIBIDO]]-DATE(2023,8,30), "")</f>
        <v/>
      </c>
    </row>
    <row r="1700" spans="1:37" ht="16.05" customHeight="1">
      <c r="A1700" s="150" t="s">
        <v>3505</v>
      </c>
      <c r="B1700" s="151">
        <v>586</v>
      </c>
      <c r="C1700" s="126" t="s">
        <v>625</v>
      </c>
      <c r="D1700">
        <v>1111</v>
      </c>
      <c r="E1700" s="126" t="s">
        <v>1994</v>
      </c>
      <c r="F1700" s="122" t="s">
        <v>1602</v>
      </c>
      <c r="G1700" s="122" t="s">
        <v>1617</v>
      </c>
      <c r="H1700">
        <v>107</v>
      </c>
      <c r="I1700" s="122" t="s">
        <v>1546</v>
      </c>
      <c r="J1700" s="307" t="s">
        <v>214</v>
      </c>
      <c r="K1700" s="127" t="s">
        <v>3418</v>
      </c>
      <c r="L1700" s="151" t="s">
        <v>110</v>
      </c>
      <c r="M1700">
        <v>145</v>
      </c>
      <c r="N1700" s="123">
        <v>37</v>
      </c>
      <c r="O1700">
        <v>1091</v>
      </c>
      <c r="P1700" s="132" t="s">
        <v>77</v>
      </c>
      <c r="Q1700" s="131">
        <v>34000</v>
      </c>
      <c r="R1700" s="131">
        <v>5440</v>
      </c>
      <c r="S1700" s="131"/>
      <c r="T1700" s="155">
        <v>3626.66</v>
      </c>
      <c r="U1700" s="131">
        <v>0</v>
      </c>
      <c r="V1700" s="131">
        <f t="shared" si="39"/>
        <v>35813.339999999997</v>
      </c>
      <c r="W1700">
        <v>69</v>
      </c>
      <c r="X1700" s="151" t="s">
        <v>1430</v>
      </c>
      <c r="Y1700" s="135" t="s">
        <v>55</v>
      </c>
      <c r="Z1700" s="307">
        <v>226</v>
      </c>
      <c r="AB1700" t="str">
        <f>IF(Table1[[#This Row],[TIPO2]]="costo", VLOOKUP(Table1[[#This Row],[PARTIDA PRESUPUESTAL]],'Cost Report'!G:G,1,0),"Balance")</f>
        <v>2501-004</v>
      </c>
      <c r="AC1700" s="118"/>
      <c r="AD1700" s="159">
        <f>+Table1[[#This Row],[SUBTOTAL]]+Table1[[#This Row],[IVA]]-Table1[[#This Row],[RET IVA]]-Table1[[#This Row],[RET ISR]]-Table1[[#This Row],[TOTAL]]</f>
        <v>0</v>
      </c>
      <c r="AE1700" s="150"/>
      <c r="AF1700" s="151"/>
      <c r="AG1700" s="126"/>
      <c r="AK1700" s="306" t="str">
        <f>IF(ISNUMBER(Table1[[#This Row],[FECHA DE RECIBIDO]]), Table1[[#This Row],[FECHA DE RECIBIDO]]-DATE(2023,8,30), "")</f>
        <v/>
      </c>
    </row>
    <row r="1701" spans="1:37" ht="16.05" customHeight="1">
      <c r="A1701" s="152" t="s">
        <v>3506</v>
      </c>
      <c r="B1701" s="153">
        <v>587</v>
      </c>
      <c r="C1701" s="126" t="s">
        <v>545</v>
      </c>
      <c r="D1701">
        <v>1112</v>
      </c>
      <c r="E1701" s="126" t="s">
        <v>1600</v>
      </c>
      <c r="F1701" s="125" t="s">
        <v>1593</v>
      </c>
      <c r="G1701" s="125" t="s">
        <v>109</v>
      </c>
      <c r="H1701">
        <v>109</v>
      </c>
      <c r="I1701" s="125" t="s">
        <v>1546</v>
      </c>
      <c r="J1701" s="308" t="s">
        <v>214</v>
      </c>
      <c r="K1701" s="127" t="s">
        <v>3418</v>
      </c>
      <c r="L1701" s="153" t="s">
        <v>110</v>
      </c>
      <c r="M1701">
        <v>147</v>
      </c>
      <c r="N1701" s="123">
        <v>39</v>
      </c>
      <c r="O1701">
        <v>1092</v>
      </c>
      <c r="P1701" s="132" t="s">
        <v>77</v>
      </c>
      <c r="Q1701" s="132">
        <v>25200</v>
      </c>
      <c r="R1701" s="132">
        <v>4032</v>
      </c>
      <c r="S1701" s="132"/>
      <c r="T1701" s="156">
        <v>2688</v>
      </c>
      <c r="U1701" s="132">
        <v>315</v>
      </c>
      <c r="V1701" s="132">
        <f t="shared" si="39"/>
        <v>26229</v>
      </c>
      <c r="W1701">
        <v>71</v>
      </c>
      <c r="X1701" s="153" t="s">
        <v>2023</v>
      </c>
      <c r="Y1701" s="124" t="s">
        <v>55</v>
      </c>
      <c r="Z1701" s="308">
        <v>226</v>
      </c>
      <c r="AB1701" t="str">
        <f>IF(Table1[[#This Row],[TIPO2]]="costo", VLOOKUP(Table1[[#This Row],[PARTIDA PRESUPUESTAL]],'Cost Report'!G:G,1,0),"Balance")</f>
        <v>2203-004</v>
      </c>
      <c r="AC1701" s="118"/>
      <c r="AD1701" s="159">
        <f>+Table1[[#This Row],[SUBTOTAL]]+Table1[[#This Row],[IVA]]-Table1[[#This Row],[RET IVA]]-Table1[[#This Row],[RET ISR]]-Table1[[#This Row],[TOTAL]]</f>
        <v>0</v>
      </c>
      <c r="AE1701" s="152"/>
      <c r="AF1701" s="153"/>
      <c r="AG1701" s="126"/>
      <c r="AK1701" s="306" t="str">
        <f>IF(ISNUMBER(Table1[[#This Row],[FECHA DE RECIBIDO]]), Table1[[#This Row],[FECHA DE RECIBIDO]]-DATE(2023,8,30), "")</f>
        <v/>
      </c>
    </row>
    <row r="1702" spans="1:37" ht="16.05" customHeight="1">
      <c r="A1702" s="150" t="s">
        <v>3507</v>
      </c>
      <c r="B1702" s="151">
        <v>588</v>
      </c>
      <c r="C1702" s="126" t="s">
        <v>2452</v>
      </c>
      <c r="D1702">
        <v>1113</v>
      </c>
      <c r="E1702" s="126" t="s">
        <v>1613</v>
      </c>
      <c r="F1702" s="122" t="s">
        <v>1593</v>
      </c>
      <c r="G1702" s="122" t="s">
        <v>109</v>
      </c>
      <c r="H1702">
        <v>110</v>
      </c>
      <c r="I1702" s="122" t="s">
        <v>1546</v>
      </c>
      <c r="J1702" s="307" t="s">
        <v>214</v>
      </c>
      <c r="K1702" s="127" t="s">
        <v>3418</v>
      </c>
      <c r="L1702" s="151" t="s">
        <v>110</v>
      </c>
      <c r="M1702">
        <v>148</v>
      </c>
      <c r="N1702" s="123">
        <v>40</v>
      </c>
      <c r="O1702">
        <v>1093</v>
      </c>
      <c r="P1702" s="132" t="s">
        <v>77</v>
      </c>
      <c r="Q1702" s="131">
        <v>14000</v>
      </c>
      <c r="R1702" s="131">
        <v>2240</v>
      </c>
      <c r="S1702" s="131"/>
      <c r="T1702" s="155">
        <v>1493.34</v>
      </c>
      <c r="U1702" s="131">
        <v>175</v>
      </c>
      <c r="V1702" s="131">
        <f t="shared" si="39"/>
        <v>14571.66</v>
      </c>
      <c r="W1702">
        <v>72</v>
      </c>
      <c r="X1702" s="151" t="s">
        <v>1429</v>
      </c>
      <c r="Y1702" s="135" t="s">
        <v>55</v>
      </c>
      <c r="Z1702" s="307">
        <v>226</v>
      </c>
      <c r="AB1702" t="str">
        <f>IF(Table1[[#This Row],[TIPO2]]="costo", VLOOKUP(Table1[[#This Row],[PARTIDA PRESUPUESTAL]],'Cost Report'!G:G,1,0),"Balance")</f>
        <v>2206-016</v>
      </c>
      <c r="AC1702" s="118"/>
      <c r="AD1702" s="159">
        <f>+Table1[[#This Row],[SUBTOTAL]]+Table1[[#This Row],[IVA]]-Table1[[#This Row],[RET IVA]]-Table1[[#This Row],[RET ISR]]-Table1[[#This Row],[TOTAL]]</f>
        <v>0</v>
      </c>
      <c r="AE1702" s="150"/>
      <c r="AF1702" s="151"/>
      <c r="AG1702" s="126"/>
      <c r="AK1702" s="306" t="str">
        <f>IF(ISNUMBER(Table1[[#This Row],[FECHA DE RECIBIDO]]), Table1[[#This Row],[FECHA DE RECIBIDO]]-DATE(2023,8,30), "")</f>
        <v/>
      </c>
    </row>
    <row r="1703" spans="1:37" ht="16.05" customHeight="1">
      <c r="A1703" s="152" t="s">
        <v>3508</v>
      </c>
      <c r="B1703" s="153">
        <v>589</v>
      </c>
      <c r="C1703" s="126" t="s">
        <v>583</v>
      </c>
      <c r="D1703">
        <v>1114</v>
      </c>
      <c r="E1703" s="126" t="s">
        <v>2014</v>
      </c>
      <c r="F1703" s="125" t="s">
        <v>1589</v>
      </c>
      <c r="G1703" s="125" t="s">
        <v>129</v>
      </c>
      <c r="H1703">
        <v>111</v>
      </c>
      <c r="I1703" s="125" t="s">
        <v>1546</v>
      </c>
      <c r="J1703" s="308" t="s">
        <v>214</v>
      </c>
      <c r="K1703" s="127" t="s">
        <v>3418</v>
      </c>
      <c r="L1703" s="153" t="s">
        <v>110</v>
      </c>
      <c r="M1703">
        <v>149</v>
      </c>
      <c r="N1703" s="123">
        <v>41</v>
      </c>
      <c r="O1703">
        <v>1094</v>
      </c>
      <c r="P1703" s="132" t="s">
        <v>77</v>
      </c>
      <c r="Q1703" s="132">
        <v>17850</v>
      </c>
      <c r="R1703" s="132">
        <v>2856</v>
      </c>
      <c r="S1703" s="132"/>
      <c r="T1703" s="156">
        <v>1904</v>
      </c>
      <c r="U1703" s="132">
        <v>1785</v>
      </c>
      <c r="V1703" s="132">
        <f t="shared" si="39"/>
        <v>17017</v>
      </c>
      <c r="W1703">
        <v>73</v>
      </c>
      <c r="X1703" s="153" t="s">
        <v>1430</v>
      </c>
      <c r="Y1703" s="124" t="s">
        <v>55</v>
      </c>
      <c r="Z1703" s="308">
        <v>226</v>
      </c>
      <c r="AB1703" t="str">
        <f>IF(Table1[[#This Row],[TIPO2]]="costo", VLOOKUP(Table1[[#This Row],[PARTIDA PRESUPUESTAL]],'Cost Report'!G:G,1,0),"Balance")</f>
        <v>2401-015</v>
      </c>
      <c r="AC1703" s="118"/>
      <c r="AD1703" s="159">
        <f>+Table1[[#This Row],[SUBTOTAL]]+Table1[[#This Row],[IVA]]-Table1[[#This Row],[RET IVA]]-Table1[[#This Row],[RET ISR]]-Table1[[#This Row],[TOTAL]]</f>
        <v>0</v>
      </c>
      <c r="AE1703" s="152"/>
      <c r="AF1703" s="153"/>
      <c r="AG1703" s="126"/>
      <c r="AK1703" s="306" t="str">
        <f>IF(ISNUMBER(Table1[[#This Row],[FECHA DE RECIBIDO]]), Table1[[#This Row],[FECHA DE RECIBIDO]]-DATE(2023,8,30), "")</f>
        <v/>
      </c>
    </row>
    <row r="1704" spans="1:37" ht="16.05" customHeight="1">
      <c r="A1704" s="150" t="s">
        <v>3509</v>
      </c>
      <c r="B1704" s="151">
        <v>590</v>
      </c>
      <c r="C1704" s="126" t="s">
        <v>2558</v>
      </c>
      <c r="D1704">
        <v>1115</v>
      </c>
      <c r="E1704" s="126" t="s">
        <v>2016</v>
      </c>
      <c r="F1704" s="122" t="s">
        <v>1589</v>
      </c>
      <c r="G1704" s="122" t="s">
        <v>129</v>
      </c>
      <c r="H1704">
        <v>113</v>
      </c>
      <c r="I1704" s="122" t="s">
        <v>1546</v>
      </c>
      <c r="J1704" s="307" t="s">
        <v>214</v>
      </c>
      <c r="K1704" s="127" t="s">
        <v>3418</v>
      </c>
      <c r="L1704" s="151" t="s">
        <v>110</v>
      </c>
      <c r="M1704">
        <v>151</v>
      </c>
      <c r="N1704" s="123">
        <v>43</v>
      </c>
      <c r="O1704">
        <v>1095</v>
      </c>
      <c r="P1704" s="132" t="s">
        <v>77</v>
      </c>
      <c r="Q1704" s="131">
        <v>19600</v>
      </c>
      <c r="R1704" s="131">
        <v>3136</v>
      </c>
      <c r="S1704" s="131"/>
      <c r="T1704" s="155">
        <v>2090.6799999999998</v>
      </c>
      <c r="U1704" s="131">
        <v>1960</v>
      </c>
      <c r="V1704" s="131">
        <f t="shared" si="39"/>
        <v>18685.32</v>
      </c>
      <c r="W1704">
        <v>75</v>
      </c>
      <c r="X1704" s="151" t="s">
        <v>2024</v>
      </c>
      <c r="Y1704" s="135" t="s">
        <v>55</v>
      </c>
      <c r="Z1704" s="307">
        <v>226</v>
      </c>
      <c r="AB1704" t="str">
        <f>IF(Table1[[#This Row],[TIPO2]]="costo", VLOOKUP(Table1[[#This Row],[PARTIDA PRESUPUESTAL]],'Cost Report'!G:G,1,0),"Balance")</f>
        <v>2501-010</v>
      </c>
      <c r="AC1704" s="118"/>
      <c r="AD1704" s="159">
        <f>+Table1[[#This Row],[SUBTOTAL]]+Table1[[#This Row],[IVA]]-Table1[[#This Row],[RET IVA]]-Table1[[#This Row],[RET ISR]]-Table1[[#This Row],[TOTAL]]</f>
        <v>0</v>
      </c>
      <c r="AE1704" s="150"/>
      <c r="AF1704" s="151"/>
      <c r="AG1704" s="126"/>
      <c r="AK1704" s="306" t="str">
        <f>IF(ISNUMBER(Table1[[#This Row],[FECHA DE RECIBIDO]]), Table1[[#This Row],[FECHA DE RECIBIDO]]-DATE(2023,8,30), "")</f>
        <v/>
      </c>
    </row>
    <row r="1705" spans="1:37" ht="16.05" customHeight="1">
      <c r="A1705" s="152" t="s">
        <v>3510</v>
      </c>
      <c r="B1705" s="153">
        <v>591</v>
      </c>
      <c r="C1705" s="126" t="s">
        <v>561</v>
      </c>
      <c r="D1705">
        <v>1116</v>
      </c>
      <c r="E1705" s="126" t="s">
        <v>3354</v>
      </c>
      <c r="F1705" s="125" t="s">
        <v>1593</v>
      </c>
      <c r="G1705" s="125" t="s">
        <v>109</v>
      </c>
      <c r="H1705">
        <v>347</v>
      </c>
      <c r="I1705" s="125" t="s">
        <v>1546</v>
      </c>
      <c r="J1705" s="308" t="s">
        <v>214</v>
      </c>
      <c r="K1705" s="127" t="s">
        <v>3418</v>
      </c>
      <c r="L1705" s="153" t="s">
        <v>110</v>
      </c>
      <c r="M1705">
        <v>464</v>
      </c>
      <c r="N1705" s="123">
        <v>89</v>
      </c>
      <c r="O1705">
        <v>1096</v>
      </c>
      <c r="P1705" s="132" t="s">
        <v>77</v>
      </c>
      <c r="Q1705" s="132">
        <v>14700</v>
      </c>
      <c r="R1705" s="132">
        <v>2352</v>
      </c>
      <c r="S1705" s="132"/>
      <c r="T1705" s="156">
        <v>1568</v>
      </c>
      <c r="U1705" s="132">
        <v>183.76</v>
      </c>
      <c r="V1705" s="132">
        <f t="shared" si="39"/>
        <v>15300.24</v>
      </c>
      <c r="W1705">
        <v>184</v>
      </c>
      <c r="X1705" s="153" t="s">
        <v>3684</v>
      </c>
      <c r="Y1705" s="124" t="s">
        <v>55</v>
      </c>
      <c r="Z1705" s="308">
        <v>226</v>
      </c>
      <c r="AB1705" t="str">
        <f>IF(Table1[[#This Row],[TIPO2]]="costo", VLOOKUP(Table1[[#This Row],[PARTIDA PRESUPUESTAL]],'Cost Report'!G:G,1,0),"Balance")</f>
        <v>2310-003</v>
      </c>
      <c r="AC1705" s="118"/>
      <c r="AD1705" s="159">
        <f>+Table1[[#This Row],[SUBTOTAL]]+Table1[[#This Row],[IVA]]-Table1[[#This Row],[RET IVA]]-Table1[[#This Row],[RET ISR]]-Table1[[#This Row],[TOTAL]]</f>
        <v>0</v>
      </c>
      <c r="AE1705" s="152"/>
      <c r="AF1705" s="153"/>
      <c r="AG1705" s="126"/>
      <c r="AK1705" s="306" t="str">
        <f>IF(ISNUMBER(Table1[[#This Row],[FECHA DE RECIBIDO]]), Table1[[#This Row],[FECHA DE RECIBIDO]]-DATE(2023,8,30), "")</f>
        <v/>
      </c>
    </row>
    <row r="1706" spans="1:37" ht="16.05" customHeight="1">
      <c r="A1706" s="150" t="s">
        <v>3511</v>
      </c>
      <c r="B1706" s="151">
        <v>592</v>
      </c>
      <c r="C1706" s="126" t="s">
        <v>562</v>
      </c>
      <c r="D1706">
        <v>1117</v>
      </c>
      <c r="E1706" s="126" t="s">
        <v>3354</v>
      </c>
      <c r="F1706" s="122" t="s">
        <v>1593</v>
      </c>
      <c r="G1706" s="122" t="s">
        <v>109</v>
      </c>
      <c r="H1706">
        <v>347</v>
      </c>
      <c r="I1706" s="122" t="s">
        <v>1546</v>
      </c>
      <c r="J1706" s="307" t="s">
        <v>214</v>
      </c>
      <c r="K1706" s="127" t="s">
        <v>3418</v>
      </c>
      <c r="L1706" s="151" t="s">
        <v>110</v>
      </c>
      <c r="M1706">
        <v>464</v>
      </c>
      <c r="N1706" s="123">
        <v>89</v>
      </c>
      <c r="O1706">
        <v>1097</v>
      </c>
      <c r="P1706" s="132" t="s">
        <v>77</v>
      </c>
      <c r="Q1706" s="131">
        <v>14700</v>
      </c>
      <c r="R1706" s="131">
        <v>2352</v>
      </c>
      <c r="S1706" s="131"/>
      <c r="T1706" s="155">
        <v>1568</v>
      </c>
      <c r="U1706" s="131">
        <v>183.76</v>
      </c>
      <c r="V1706" s="131">
        <f t="shared" si="39"/>
        <v>15300.24</v>
      </c>
      <c r="W1706">
        <v>184</v>
      </c>
      <c r="X1706" s="151" t="s">
        <v>3684</v>
      </c>
      <c r="Y1706" s="135" t="s">
        <v>55</v>
      </c>
      <c r="Z1706" s="307">
        <v>226</v>
      </c>
      <c r="AB1706" t="str">
        <f>IF(Table1[[#This Row],[TIPO2]]="costo", VLOOKUP(Table1[[#This Row],[PARTIDA PRESUPUESTAL]],'Cost Report'!G:G,1,0),"Balance")</f>
        <v>2310-004</v>
      </c>
      <c r="AC1706" s="118"/>
      <c r="AD1706" s="159">
        <f>+Table1[[#This Row],[SUBTOTAL]]+Table1[[#This Row],[IVA]]-Table1[[#This Row],[RET IVA]]-Table1[[#This Row],[RET ISR]]-Table1[[#This Row],[TOTAL]]</f>
        <v>0</v>
      </c>
      <c r="AE1706" s="150"/>
      <c r="AF1706" s="151"/>
      <c r="AG1706" s="126"/>
      <c r="AK1706" s="306" t="str">
        <f>IF(ISNUMBER(Table1[[#This Row],[FECHA DE RECIBIDO]]), Table1[[#This Row],[FECHA DE RECIBIDO]]-DATE(2023,8,30), "")</f>
        <v/>
      </c>
    </row>
    <row r="1707" spans="1:37" ht="16.05" customHeight="1">
      <c r="A1707" s="152" t="s">
        <v>3512</v>
      </c>
      <c r="B1707" s="153">
        <v>593</v>
      </c>
      <c r="C1707" s="126" t="s">
        <v>553</v>
      </c>
      <c r="D1707">
        <v>1118</v>
      </c>
      <c r="E1707" s="126" t="s">
        <v>1614</v>
      </c>
      <c r="F1707" s="125" t="s">
        <v>1593</v>
      </c>
      <c r="G1707" s="125" t="s">
        <v>109</v>
      </c>
      <c r="H1707">
        <v>114</v>
      </c>
      <c r="I1707" s="125" t="s">
        <v>1546</v>
      </c>
      <c r="J1707" s="308" t="s">
        <v>214</v>
      </c>
      <c r="K1707" s="127" t="s">
        <v>3418</v>
      </c>
      <c r="L1707" s="153" t="s">
        <v>110</v>
      </c>
      <c r="M1707">
        <v>152</v>
      </c>
      <c r="N1707" s="123">
        <v>44</v>
      </c>
      <c r="O1707">
        <v>1098</v>
      </c>
      <c r="P1707" s="132" t="s">
        <v>77</v>
      </c>
      <c r="Q1707" s="132">
        <v>15400</v>
      </c>
      <c r="R1707" s="132">
        <v>2464</v>
      </c>
      <c r="S1707" s="132"/>
      <c r="T1707" s="156">
        <v>1642.68</v>
      </c>
      <c r="U1707" s="132">
        <v>192.5</v>
      </c>
      <c r="V1707" s="132">
        <f t="shared" si="39"/>
        <v>16028.82</v>
      </c>
      <c r="W1707">
        <v>76</v>
      </c>
      <c r="X1707" s="153" t="s">
        <v>1429</v>
      </c>
      <c r="Y1707" s="124" t="s">
        <v>55</v>
      </c>
      <c r="Z1707" s="308">
        <v>226</v>
      </c>
      <c r="AB1707" t="str">
        <f>IF(Table1[[#This Row],[TIPO2]]="costo", VLOOKUP(Table1[[#This Row],[PARTIDA PRESUPUESTAL]],'Cost Report'!G:G,1,0),"Balance")</f>
        <v>2206-010</v>
      </c>
      <c r="AC1707" s="118"/>
      <c r="AD1707" s="159">
        <f>+Table1[[#This Row],[SUBTOTAL]]+Table1[[#This Row],[IVA]]-Table1[[#This Row],[RET IVA]]-Table1[[#This Row],[RET ISR]]-Table1[[#This Row],[TOTAL]]</f>
        <v>0</v>
      </c>
      <c r="AE1707" s="152"/>
      <c r="AF1707" s="153"/>
      <c r="AG1707" s="126"/>
      <c r="AK1707" s="306" t="str">
        <f>IF(ISNUMBER(Table1[[#This Row],[FECHA DE RECIBIDO]]), Table1[[#This Row],[FECHA DE RECIBIDO]]-DATE(2023,8,30), "")</f>
        <v/>
      </c>
    </row>
    <row r="1708" spans="1:37" ht="16.05" customHeight="1">
      <c r="A1708" s="150" t="s">
        <v>3513</v>
      </c>
      <c r="B1708" s="151">
        <v>594</v>
      </c>
      <c r="C1708" s="126" t="s">
        <v>599</v>
      </c>
      <c r="D1708">
        <v>1119</v>
      </c>
      <c r="E1708" s="126" t="s">
        <v>3133</v>
      </c>
      <c r="F1708" s="122" t="s">
        <v>1593</v>
      </c>
      <c r="G1708" s="122" t="s">
        <v>109</v>
      </c>
      <c r="H1708">
        <v>187</v>
      </c>
      <c r="I1708" s="122" t="s">
        <v>1546</v>
      </c>
      <c r="J1708" s="307" t="s">
        <v>214</v>
      </c>
      <c r="K1708" s="127" t="s">
        <v>3418</v>
      </c>
      <c r="L1708" s="151" t="s">
        <v>110</v>
      </c>
      <c r="M1708">
        <v>252</v>
      </c>
      <c r="N1708" s="123">
        <v>52</v>
      </c>
      <c r="O1708">
        <v>1099</v>
      </c>
      <c r="P1708" s="132" t="s">
        <v>77</v>
      </c>
      <c r="Q1708" s="131">
        <v>15750</v>
      </c>
      <c r="R1708" s="131">
        <v>2520</v>
      </c>
      <c r="S1708" s="131"/>
      <c r="T1708" s="155">
        <v>1680</v>
      </c>
      <c r="U1708" s="131">
        <v>196.88</v>
      </c>
      <c r="V1708" s="131">
        <f t="shared" si="39"/>
        <v>16393.12</v>
      </c>
      <c r="W1708">
        <v>108</v>
      </c>
      <c r="X1708" s="151" t="s">
        <v>1430</v>
      </c>
      <c r="Y1708" s="135" t="s">
        <v>55</v>
      </c>
      <c r="Z1708" s="307">
        <v>226</v>
      </c>
      <c r="AB1708" t="str">
        <f>IF(Table1[[#This Row],[TIPO2]]="costo", VLOOKUP(Table1[[#This Row],[PARTIDA PRESUPUESTAL]],'Cost Report'!G:G,1,0),"Balance")</f>
        <v>2403-010</v>
      </c>
      <c r="AC1708" s="118"/>
      <c r="AD1708" s="159">
        <f>+Table1[[#This Row],[SUBTOTAL]]+Table1[[#This Row],[IVA]]-Table1[[#This Row],[RET IVA]]-Table1[[#This Row],[RET ISR]]-Table1[[#This Row],[TOTAL]]</f>
        <v>0</v>
      </c>
      <c r="AE1708" s="150"/>
      <c r="AF1708" s="151"/>
      <c r="AG1708" s="126"/>
      <c r="AK1708" s="306" t="str">
        <f>IF(ISNUMBER(Table1[[#This Row],[FECHA DE RECIBIDO]]), Table1[[#This Row],[FECHA DE RECIBIDO]]-DATE(2023,8,30), "")</f>
        <v/>
      </c>
    </row>
    <row r="1709" spans="1:37" ht="16.05" customHeight="1">
      <c r="A1709" s="152" t="s">
        <v>3514</v>
      </c>
      <c r="B1709" s="153">
        <v>595</v>
      </c>
      <c r="C1709" s="126" t="s">
        <v>2550</v>
      </c>
      <c r="D1709">
        <v>1120</v>
      </c>
      <c r="E1709" s="126" t="s">
        <v>3135</v>
      </c>
      <c r="F1709" s="125" t="s">
        <v>1593</v>
      </c>
      <c r="G1709" s="125" t="s">
        <v>109</v>
      </c>
      <c r="H1709">
        <v>188</v>
      </c>
      <c r="I1709" s="125" t="s">
        <v>1546</v>
      </c>
      <c r="J1709" s="308" t="s">
        <v>214</v>
      </c>
      <c r="K1709" s="127" t="s">
        <v>3418</v>
      </c>
      <c r="L1709" s="153" t="s">
        <v>110</v>
      </c>
      <c r="M1709">
        <v>253</v>
      </c>
      <c r="N1709" s="123">
        <v>53</v>
      </c>
      <c r="O1709">
        <v>1100</v>
      </c>
      <c r="P1709" s="132" t="s">
        <v>77</v>
      </c>
      <c r="Q1709" s="132">
        <v>12600</v>
      </c>
      <c r="R1709" s="132">
        <v>2016</v>
      </c>
      <c r="S1709" s="132"/>
      <c r="T1709" s="156">
        <v>1344</v>
      </c>
      <c r="U1709" s="132">
        <v>157.5</v>
      </c>
      <c r="V1709" s="132">
        <f t="shared" si="39"/>
        <v>13114.5</v>
      </c>
      <c r="W1709">
        <v>109</v>
      </c>
      <c r="X1709" s="153" t="s">
        <v>1429</v>
      </c>
      <c r="Y1709" s="124" t="s">
        <v>55</v>
      </c>
      <c r="Z1709" s="308">
        <v>226</v>
      </c>
      <c r="AB1709" t="str">
        <f>IF(Table1[[#This Row],[TIPO2]]="costo", VLOOKUP(Table1[[#This Row],[PARTIDA PRESUPUESTAL]],'Cost Report'!G:G,1,0),"Balance")</f>
        <v>2495-012</v>
      </c>
      <c r="AC1709" s="118"/>
      <c r="AD1709" s="159">
        <f>+Table1[[#This Row],[SUBTOTAL]]+Table1[[#This Row],[IVA]]-Table1[[#This Row],[RET IVA]]-Table1[[#This Row],[RET ISR]]-Table1[[#This Row],[TOTAL]]</f>
        <v>0</v>
      </c>
      <c r="AE1709" s="152"/>
      <c r="AF1709" s="153"/>
      <c r="AG1709" s="126"/>
      <c r="AK1709" s="306" t="str">
        <f>IF(ISNUMBER(Table1[[#This Row],[FECHA DE RECIBIDO]]), Table1[[#This Row],[FECHA DE RECIBIDO]]-DATE(2023,8,30), "")</f>
        <v/>
      </c>
    </row>
    <row r="1710" spans="1:37" ht="16.05" customHeight="1">
      <c r="A1710" s="150" t="s">
        <v>3515</v>
      </c>
      <c r="B1710" s="151">
        <v>596</v>
      </c>
      <c r="C1710" s="126" t="s">
        <v>591</v>
      </c>
      <c r="D1710">
        <v>1121</v>
      </c>
      <c r="E1710" s="126" t="s">
        <v>3137</v>
      </c>
      <c r="F1710" s="122" t="s">
        <v>1593</v>
      </c>
      <c r="G1710" s="122" t="s">
        <v>109</v>
      </c>
      <c r="H1710">
        <v>189</v>
      </c>
      <c r="I1710" s="122" t="s">
        <v>1546</v>
      </c>
      <c r="J1710" s="307" t="s">
        <v>214</v>
      </c>
      <c r="K1710" s="127" t="s">
        <v>3418</v>
      </c>
      <c r="L1710" s="151" t="s">
        <v>110</v>
      </c>
      <c r="M1710">
        <v>254</v>
      </c>
      <c r="N1710" s="123">
        <v>54</v>
      </c>
      <c r="O1710">
        <v>1101</v>
      </c>
      <c r="P1710" s="132" t="s">
        <v>77</v>
      </c>
      <c r="Q1710" s="131">
        <v>7350</v>
      </c>
      <c r="R1710" s="131">
        <v>1176</v>
      </c>
      <c r="S1710" s="131"/>
      <c r="T1710" s="155">
        <v>784</v>
      </c>
      <c r="U1710" s="131">
        <v>91.88</v>
      </c>
      <c r="V1710" s="131">
        <f t="shared" si="39"/>
        <v>7650.12</v>
      </c>
      <c r="W1710">
        <v>110</v>
      </c>
      <c r="X1710" s="151" t="s">
        <v>1429</v>
      </c>
      <c r="Y1710" s="135" t="s">
        <v>55</v>
      </c>
      <c r="Z1710" s="307">
        <v>226</v>
      </c>
      <c r="AB1710" t="str">
        <f>IF(Table1[[#This Row],[TIPO2]]="costo", VLOOKUP(Table1[[#This Row],[PARTIDA PRESUPUESTAL]],'Cost Report'!G:G,1,0),"Balance")</f>
        <v>2401-027</v>
      </c>
      <c r="AC1710" s="118"/>
      <c r="AD1710" s="159">
        <f>+Table1[[#This Row],[SUBTOTAL]]+Table1[[#This Row],[IVA]]-Table1[[#This Row],[RET IVA]]-Table1[[#This Row],[RET ISR]]-Table1[[#This Row],[TOTAL]]</f>
        <v>0</v>
      </c>
      <c r="AE1710" s="150"/>
      <c r="AF1710" s="151"/>
      <c r="AG1710" s="126"/>
      <c r="AK1710" s="306" t="str">
        <f>IF(ISNUMBER(Table1[[#This Row],[FECHA DE RECIBIDO]]), Table1[[#This Row],[FECHA DE RECIBIDO]]-DATE(2023,8,30), "")</f>
        <v/>
      </c>
    </row>
    <row r="1711" spans="1:37" ht="16.05" customHeight="1">
      <c r="A1711" s="152" t="s">
        <v>3516</v>
      </c>
      <c r="B1711" s="153">
        <v>597</v>
      </c>
      <c r="C1711" s="126" t="s">
        <v>1500</v>
      </c>
      <c r="D1711">
        <v>1122</v>
      </c>
      <c r="E1711" s="126" t="s">
        <v>3139</v>
      </c>
      <c r="F1711" s="125" t="s">
        <v>1593</v>
      </c>
      <c r="G1711" s="125" t="s">
        <v>109</v>
      </c>
      <c r="H1711">
        <v>190</v>
      </c>
      <c r="I1711" s="125" t="s">
        <v>1546</v>
      </c>
      <c r="J1711" s="308" t="s">
        <v>214</v>
      </c>
      <c r="K1711" s="127" t="s">
        <v>3418</v>
      </c>
      <c r="L1711" s="153" t="s">
        <v>110</v>
      </c>
      <c r="M1711">
        <v>255</v>
      </c>
      <c r="N1711" s="123">
        <v>55</v>
      </c>
      <c r="O1711">
        <v>1102</v>
      </c>
      <c r="P1711" s="132" t="s">
        <v>77</v>
      </c>
      <c r="Q1711" s="132">
        <v>16800</v>
      </c>
      <c r="R1711" s="132">
        <v>2688</v>
      </c>
      <c r="S1711" s="132"/>
      <c r="T1711" s="156">
        <v>1792</v>
      </c>
      <c r="U1711" s="132">
        <v>210</v>
      </c>
      <c r="V1711" s="132">
        <f t="shared" si="39"/>
        <v>17486</v>
      </c>
      <c r="W1711">
        <v>111</v>
      </c>
      <c r="X1711" s="153" t="s">
        <v>1429</v>
      </c>
      <c r="Y1711" s="124" t="s">
        <v>55</v>
      </c>
      <c r="Z1711" s="308">
        <v>226</v>
      </c>
      <c r="AB1711" t="str">
        <f>IF(Table1[[#This Row],[TIPO2]]="costo", VLOOKUP(Table1[[#This Row],[PARTIDA PRESUPUESTAL]],'Cost Report'!G:G,1,0),"Balance")</f>
        <v>2402-004</v>
      </c>
      <c r="AC1711" s="118"/>
      <c r="AD1711" s="159">
        <f>+Table1[[#This Row],[SUBTOTAL]]+Table1[[#This Row],[IVA]]-Table1[[#This Row],[RET IVA]]-Table1[[#This Row],[RET ISR]]-Table1[[#This Row],[TOTAL]]</f>
        <v>0</v>
      </c>
      <c r="AE1711" s="152"/>
      <c r="AF1711" s="153"/>
      <c r="AG1711" s="126"/>
      <c r="AK1711" s="306" t="str">
        <f>IF(ISNUMBER(Table1[[#This Row],[FECHA DE RECIBIDO]]), Table1[[#This Row],[FECHA DE RECIBIDO]]-DATE(2023,8,30), "")</f>
        <v/>
      </c>
    </row>
    <row r="1712" spans="1:37" ht="16.05" customHeight="1">
      <c r="A1712" s="150" t="s">
        <v>3517</v>
      </c>
      <c r="B1712" s="151">
        <v>598</v>
      </c>
      <c r="C1712" s="126" t="s">
        <v>595</v>
      </c>
      <c r="D1712">
        <v>1123</v>
      </c>
      <c r="E1712" s="126" t="s">
        <v>3143</v>
      </c>
      <c r="F1712" s="122" t="s">
        <v>1589</v>
      </c>
      <c r="G1712" s="122" t="s">
        <v>129</v>
      </c>
      <c r="H1712">
        <v>192</v>
      </c>
      <c r="I1712" s="122" t="s">
        <v>1546</v>
      </c>
      <c r="J1712" s="307" t="s">
        <v>214</v>
      </c>
      <c r="K1712" s="127" t="s">
        <v>3418</v>
      </c>
      <c r="L1712" s="151" t="s">
        <v>110</v>
      </c>
      <c r="M1712">
        <v>257</v>
      </c>
      <c r="N1712" s="123">
        <v>57</v>
      </c>
      <c r="O1712">
        <v>1103</v>
      </c>
      <c r="P1712" s="132" t="s">
        <v>77</v>
      </c>
      <c r="Q1712" s="131">
        <v>15750</v>
      </c>
      <c r="R1712" s="131">
        <v>2520</v>
      </c>
      <c r="S1712" s="131"/>
      <c r="T1712" s="155">
        <v>1680</v>
      </c>
      <c r="U1712" s="131">
        <v>1575</v>
      </c>
      <c r="V1712" s="131">
        <f t="shared" si="39"/>
        <v>15015</v>
      </c>
      <c r="W1712">
        <v>113</v>
      </c>
      <c r="X1712" s="151" t="s">
        <v>1429</v>
      </c>
      <c r="Y1712" s="135" t="s">
        <v>55</v>
      </c>
      <c r="Z1712" s="307">
        <v>226</v>
      </c>
      <c r="AB1712" t="str">
        <f>IF(Table1[[#This Row],[TIPO2]]="costo", VLOOKUP(Table1[[#This Row],[PARTIDA PRESUPUESTAL]],'Cost Report'!G:G,1,0),"Balance")</f>
        <v>2403-004</v>
      </c>
      <c r="AC1712" s="118"/>
      <c r="AD1712" s="159">
        <f>+Table1[[#This Row],[SUBTOTAL]]+Table1[[#This Row],[IVA]]-Table1[[#This Row],[RET IVA]]-Table1[[#This Row],[RET ISR]]-Table1[[#This Row],[TOTAL]]</f>
        <v>0</v>
      </c>
      <c r="AE1712" s="150"/>
      <c r="AF1712" s="151"/>
      <c r="AG1712" s="126"/>
      <c r="AK1712" s="306" t="str">
        <f>IF(ISNUMBER(Table1[[#This Row],[FECHA DE RECIBIDO]]), Table1[[#This Row],[FECHA DE RECIBIDO]]-DATE(2023,8,30), "")</f>
        <v/>
      </c>
    </row>
    <row r="1713" spans="1:37" ht="16.05" customHeight="1">
      <c r="A1713" s="152" t="s">
        <v>3518</v>
      </c>
      <c r="B1713" s="153">
        <v>599</v>
      </c>
      <c r="C1713" s="126" t="s">
        <v>606</v>
      </c>
      <c r="D1713">
        <v>1124</v>
      </c>
      <c r="E1713" s="126" t="s">
        <v>3638</v>
      </c>
      <c r="F1713" s="125" t="s">
        <v>1593</v>
      </c>
      <c r="G1713" s="125" t="s">
        <v>109</v>
      </c>
      <c r="H1713">
        <v>338</v>
      </c>
      <c r="I1713" s="125" t="s">
        <v>1546</v>
      </c>
      <c r="J1713" s="308" t="s">
        <v>214</v>
      </c>
      <c r="K1713" s="127" t="s">
        <v>3418</v>
      </c>
      <c r="L1713" s="153" t="s">
        <v>110</v>
      </c>
      <c r="M1713">
        <v>455</v>
      </c>
      <c r="N1713" s="123">
        <v>80</v>
      </c>
      <c r="O1713">
        <v>1104</v>
      </c>
      <c r="P1713" s="132" t="s">
        <v>77</v>
      </c>
      <c r="Q1713" s="132">
        <v>5850</v>
      </c>
      <c r="R1713" s="132">
        <v>936</v>
      </c>
      <c r="S1713" s="132"/>
      <c r="T1713" s="156">
        <v>624.20000000000005</v>
      </c>
      <c r="U1713" s="132">
        <v>73.13</v>
      </c>
      <c r="V1713" s="132">
        <f t="shared" si="39"/>
        <v>6088.67</v>
      </c>
      <c r="W1713">
        <v>175</v>
      </c>
      <c r="X1713" s="153" t="s">
        <v>2024</v>
      </c>
      <c r="Y1713" s="124" t="s">
        <v>55</v>
      </c>
      <c r="Z1713" s="308">
        <v>226</v>
      </c>
      <c r="AB1713" t="str">
        <f>IF(Table1[[#This Row],[TIPO2]]="costo", VLOOKUP(Table1[[#This Row],[PARTIDA PRESUPUESTAL]],'Cost Report'!G:G,1,0),"Balance")</f>
        <v>2403-021</v>
      </c>
      <c r="AC1713" s="118"/>
      <c r="AD1713" s="159">
        <f>+Table1[[#This Row],[SUBTOTAL]]+Table1[[#This Row],[IVA]]-Table1[[#This Row],[RET IVA]]-Table1[[#This Row],[RET ISR]]-Table1[[#This Row],[TOTAL]]</f>
        <v>0</v>
      </c>
      <c r="AE1713" s="152"/>
      <c r="AF1713" s="153"/>
      <c r="AG1713" s="126"/>
      <c r="AK1713" s="306" t="str">
        <f>IF(ISNUMBER(Table1[[#This Row],[FECHA DE RECIBIDO]]), Table1[[#This Row],[FECHA DE RECIBIDO]]-DATE(2023,8,30), "")</f>
        <v/>
      </c>
    </row>
    <row r="1714" spans="1:37" ht="16.05" customHeight="1">
      <c r="A1714" s="150" t="s">
        <v>3519</v>
      </c>
      <c r="B1714" s="151">
        <v>600</v>
      </c>
      <c r="C1714" s="126" t="s">
        <v>565</v>
      </c>
      <c r="D1714">
        <v>1125</v>
      </c>
      <c r="E1714" s="126" t="s">
        <v>1614</v>
      </c>
      <c r="F1714" s="122" t="s">
        <v>1593</v>
      </c>
      <c r="G1714" s="122" t="s">
        <v>109</v>
      </c>
      <c r="H1714">
        <v>339</v>
      </c>
      <c r="I1714" s="122" t="s">
        <v>1546</v>
      </c>
      <c r="J1714" s="307" t="s">
        <v>214</v>
      </c>
      <c r="K1714" s="127" t="s">
        <v>3418</v>
      </c>
      <c r="L1714" s="151" t="s">
        <v>110</v>
      </c>
      <c r="M1714">
        <v>456</v>
      </c>
      <c r="N1714" s="123">
        <v>81</v>
      </c>
      <c r="O1714">
        <v>1105</v>
      </c>
      <c r="P1714" s="132" t="s">
        <v>77</v>
      </c>
      <c r="Q1714" s="131">
        <v>6300</v>
      </c>
      <c r="R1714" s="131">
        <v>1008</v>
      </c>
      <c r="S1714" s="131"/>
      <c r="T1714" s="155">
        <v>672</v>
      </c>
      <c r="U1714" s="131">
        <v>78.75</v>
      </c>
      <c r="V1714" s="131">
        <f t="shared" si="39"/>
        <v>6557.25</v>
      </c>
      <c r="W1714">
        <v>176</v>
      </c>
      <c r="X1714" s="151" t="s">
        <v>1429</v>
      </c>
      <c r="Y1714" s="135" t="s">
        <v>55</v>
      </c>
      <c r="Z1714" s="307">
        <v>226</v>
      </c>
      <c r="AB1714" t="str">
        <f>IF(Table1[[#This Row],[TIPO2]]="costo", VLOOKUP(Table1[[#This Row],[PARTIDA PRESUPUESTAL]],'Cost Report'!G:G,1,0),"Balance")</f>
        <v>2310-009</v>
      </c>
      <c r="AC1714" s="118"/>
      <c r="AD1714" s="159">
        <f>+Table1[[#This Row],[SUBTOTAL]]+Table1[[#This Row],[IVA]]-Table1[[#This Row],[RET IVA]]-Table1[[#This Row],[RET ISR]]-Table1[[#This Row],[TOTAL]]</f>
        <v>0</v>
      </c>
      <c r="AE1714" s="150"/>
      <c r="AF1714" s="151"/>
      <c r="AG1714" s="126"/>
      <c r="AK1714" s="306" t="str">
        <f>IF(ISNUMBER(Table1[[#This Row],[FECHA DE RECIBIDO]]), Table1[[#This Row],[FECHA DE RECIBIDO]]-DATE(2023,8,30), "")</f>
        <v/>
      </c>
    </row>
    <row r="1715" spans="1:37" ht="16.05" customHeight="1">
      <c r="A1715" s="152" t="s">
        <v>3520</v>
      </c>
      <c r="B1715" s="153">
        <v>601</v>
      </c>
      <c r="C1715" s="126" t="s">
        <v>566</v>
      </c>
      <c r="D1715">
        <v>1126</v>
      </c>
      <c r="E1715" s="126" t="s">
        <v>1614</v>
      </c>
      <c r="F1715" s="125" t="s">
        <v>1593</v>
      </c>
      <c r="G1715" s="125" t="s">
        <v>109</v>
      </c>
      <c r="H1715">
        <v>339</v>
      </c>
      <c r="I1715" s="125" t="s">
        <v>1546</v>
      </c>
      <c r="J1715" s="308" t="s">
        <v>214</v>
      </c>
      <c r="K1715" s="127" t="s">
        <v>3418</v>
      </c>
      <c r="L1715" s="153" t="s">
        <v>110</v>
      </c>
      <c r="M1715">
        <v>456</v>
      </c>
      <c r="N1715" s="123">
        <v>81</v>
      </c>
      <c r="O1715">
        <v>1106</v>
      </c>
      <c r="P1715" s="132" t="s">
        <v>77</v>
      </c>
      <c r="Q1715" s="132">
        <v>12600</v>
      </c>
      <c r="R1715" s="132">
        <v>2016</v>
      </c>
      <c r="S1715" s="132"/>
      <c r="T1715" s="156">
        <v>1344</v>
      </c>
      <c r="U1715" s="132">
        <v>157.5</v>
      </c>
      <c r="V1715" s="132">
        <f t="shared" si="39"/>
        <v>13114.5</v>
      </c>
      <c r="W1715">
        <v>176</v>
      </c>
      <c r="X1715" s="153" t="s">
        <v>1429</v>
      </c>
      <c r="Y1715" s="124" t="s">
        <v>55</v>
      </c>
      <c r="Z1715" s="308">
        <v>226</v>
      </c>
      <c r="AB1715" t="str">
        <f>IF(Table1[[#This Row],[TIPO2]]="costo", VLOOKUP(Table1[[#This Row],[PARTIDA PRESUPUESTAL]],'Cost Report'!G:G,1,0),"Balance")</f>
        <v>2310-010</v>
      </c>
      <c r="AC1715" s="118"/>
      <c r="AD1715" s="159">
        <f>+Table1[[#This Row],[SUBTOTAL]]+Table1[[#This Row],[IVA]]-Table1[[#This Row],[RET IVA]]-Table1[[#This Row],[RET ISR]]-Table1[[#This Row],[TOTAL]]</f>
        <v>0</v>
      </c>
      <c r="AE1715" s="152"/>
      <c r="AF1715" s="153"/>
      <c r="AG1715" s="126"/>
      <c r="AK1715" s="306" t="str">
        <f>IF(ISNUMBER(Table1[[#This Row],[FECHA DE RECIBIDO]]), Table1[[#This Row],[FECHA DE RECIBIDO]]-DATE(2023,8,30), "")</f>
        <v/>
      </c>
    </row>
    <row r="1716" spans="1:37" ht="16.05" customHeight="1">
      <c r="A1716" s="150" t="s">
        <v>3521</v>
      </c>
      <c r="B1716" s="151">
        <v>602</v>
      </c>
      <c r="C1716" s="126" t="s">
        <v>2553</v>
      </c>
      <c r="D1716">
        <v>1127</v>
      </c>
      <c r="E1716" s="126" t="s">
        <v>3639</v>
      </c>
      <c r="F1716" s="122" t="s">
        <v>1593</v>
      </c>
      <c r="G1716" s="122" t="s">
        <v>109</v>
      </c>
      <c r="H1716">
        <v>340</v>
      </c>
      <c r="I1716" s="122" t="s">
        <v>1546</v>
      </c>
      <c r="J1716" s="307" t="s">
        <v>214</v>
      </c>
      <c r="K1716" s="127" t="s">
        <v>3418</v>
      </c>
      <c r="L1716" s="151" t="s">
        <v>110</v>
      </c>
      <c r="M1716">
        <v>457</v>
      </c>
      <c r="N1716" s="123">
        <v>82</v>
      </c>
      <c r="O1716">
        <v>1107</v>
      </c>
      <c r="P1716" s="132" t="s">
        <v>77</v>
      </c>
      <c r="Q1716" s="131">
        <v>6250</v>
      </c>
      <c r="R1716" s="131">
        <v>1000</v>
      </c>
      <c r="S1716" s="131"/>
      <c r="T1716" s="155">
        <v>666.67</v>
      </c>
      <c r="U1716" s="131">
        <v>78.13</v>
      </c>
      <c r="V1716" s="131">
        <f t="shared" si="39"/>
        <v>6505.2</v>
      </c>
      <c r="W1716">
        <v>177</v>
      </c>
      <c r="X1716" s="151" t="s">
        <v>1429</v>
      </c>
      <c r="Y1716" s="135" t="s">
        <v>55</v>
      </c>
      <c r="Z1716" s="307">
        <v>226</v>
      </c>
      <c r="AB1716" t="str">
        <f>IF(Table1[[#This Row],[TIPO2]]="costo", VLOOKUP(Table1[[#This Row],[PARTIDA PRESUPUESTAL]],'Cost Report'!G:G,1,0),"Balance")</f>
        <v>2495-017</v>
      </c>
      <c r="AC1716" s="118"/>
      <c r="AD1716" s="159">
        <f>+Table1[[#This Row],[SUBTOTAL]]+Table1[[#This Row],[IVA]]-Table1[[#This Row],[RET IVA]]-Table1[[#This Row],[RET ISR]]-Table1[[#This Row],[TOTAL]]</f>
        <v>0</v>
      </c>
      <c r="AE1716" s="150"/>
      <c r="AF1716" s="151"/>
      <c r="AG1716" s="126"/>
      <c r="AK1716" s="306" t="str">
        <f>IF(ISNUMBER(Table1[[#This Row],[FECHA DE RECIBIDO]]), Table1[[#This Row],[FECHA DE RECIBIDO]]-DATE(2023,8,30), "")</f>
        <v/>
      </c>
    </row>
    <row r="1717" spans="1:37" ht="16.05" customHeight="1">
      <c r="A1717" s="152" t="s">
        <v>3522</v>
      </c>
      <c r="B1717" s="153">
        <v>603</v>
      </c>
      <c r="C1717" s="126" t="s">
        <v>1809</v>
      </c>
      <c r="D1717">
        <v>1128</v>
      </c>
      <c r="E1717" s="126" t="s">
        <v>3354</v>
      </c>
      <c r="F1717" s="125" t="s">
        <v>1589</v>
      </c>
      <c r="G1717" s="125" t="s">
        <v>129</v>
      </c>
      <c r="H1717">
        <v>348</v>
      </c>
      <c r="I1717" s="125" t="s">
        <v>1546</v>
      </c>
      <c r="J1717" s="308" t="s">
        <v>214</v>
      </c>
      <c r="K1717" s="127" t="s">
        <v>3418</v>
      </c>
      <c r="L1717" s="153" t="s">
        <v>110</v>
      </c>
      <c r="M1717">
        <v>465</v>
      </c>
      <c r="N1717" s="123">
        <v>90</v>
      </c>
      <c r="O1717">
        <v>1108</v>
      </c>
      <c r="P1717" s="132" t="s">
        <v>77</v>
      </c>
      <c r="Q1717" s="132">
        <v>16800</v>
      </c>
      <c r="R1717" s="132">
        <v>2688</v>
      </c>
      <c r="S1717" s="132"/>
      <c r="T1717" s="156">
        <v>1792</v>
      </c>
      <c r="U1717" s="132">
        <v>1680</v>
      </c>
      <c r="V1717" s="132">
        <f t="shared" si="39"/>
        <v>16016</v>
      </c>
      <c r="W1717">
        <v>185</v>
      </c>
      <c r="X1717" s="153" t="s">
        <v>1433</v>
      </c>
      <c r="Y1717" s="124" t="s">
        <v>55</v>
      </c>
      <c r="Z1717" s="308">
        <v>226</v>
      </c>
      <c r="AB1717" t="str">
        <f>IF(Table1[[#This Row],[TIPO2]]="costo", VLOOKUP(Table1[[#This Row],[PARTIDA PRESUPUESTAL]],'Cost Report'!G:G,1,0),"Balance")</f>
        <v>2405-009</v>
      </c>
      <c r="AC1717" s="118"/>
      <c r="AD1717" s="159">
        <f>+Table1[[#This Row],[SUBTOTAL]]+Table1[[#This Row],[IVA]]-Table1[[#This Row],[RET IVA]]-Table1[[#This Row],[RET ISR]]-Table1[[#This Row],[TOTAL]]</f>
        <v>0</v>
      </c>
      <c r="AE1717" s="152"/>
      <c r="AF1717" s="153"/>
      <c r="AG1717" s="126"/>
      <c r="AK1717" s="306" t="str">
        <f>IF(ISNUMBER(Table1[[#This Row],[FECHA DE RECIBIDO]]), Table1[[#This Row],[FECHA DE RECIBIDO]]-DATE(2023,8,30), "")</f>
        <v/>
      </c>
    </row>
    <row r="1718" spans="1:37" ht="16.05" customHeight="1">
      <c r="A1718" s="150" t="s">
        <v>3523</v>
      </c>
      <c r="B1718" s="151">
        <v>604</v>
      </c>
      <c r="C1718" s="126" t="s">
        <v>3002</v>
      </c>
      <c r="D1718">
        <v>1129</v>
      </c>
      <c r="E1718" s="126" t="s">
        <v>1997</v>
      </c>
      <c r="F1718" s="122" t="s">
        <v>1602</v>
      </c>
      <c r="G1718" s="122" t="s">
        <v>1617</v>
      </c>
      <c r="H1718">
        <v>341</v>
      </c>
      <c r="I1718" s="122" t="s">
        <v>1546</v>
      </c>
      <c r="J1718" s="307" t="s">
        <v>214</v>
      </c>
      <c r="K1718" s="127" t="s">
        <v>3418</v>
      </c>
      <c r="L1718" s="151" t="s">
        <v>110</v>
      </c>
      <c r="M1718">
        <v>458</v>
      </c>
      <c r="N1718" s="123">
        <v>83</v>
      </c>
      <c r="O1718">
        <v>1109</v>
      </c>
      <c r="P1718" s="132" t="s">
        <v>77</v>
      </c>
      <c r="Q1718" s="131">
        <v>1715</v>
      </c>
      <c r="R1718" s="131">
        <v>274.39999999999998</v>
      </c>
      <c r="S1718" s="131"/>
      <c r="T1718" s="155">
        <v>182.93</v>
      </c>
      <c r="U1718" s="131">
        <v>0</v>
      </c>
      <c r="V1718" s="131">
        <f t="shared" si="39"/>
        <v>1806.47</v>
      </c>
      <c r="W1718">
        <v>178</v>
      </c>
      <c r="X1718" s="151" t="s">
        <v>2024</v>
      </c>
      <c r="Y1718" s="135" t="s">
        <v>55</v>
      </c>
      <c r="Z1718" s="307">
        <v>226</v>
      </c>
      <c r="AB1718" t="str">
        <f>IF(Table1[[#This Row],[TIPO2]]="costo", VLOOKUP(Table1[[#This Row],[PARTIDA PRESUPUESTAL]],'Cost Report'!G:G,1,0),"Balance")</f>
        <v>4180-003</v>
      </c>
      <c r="AC1718" s="118"/>
      <c r="AD1718" s="159">
        <f>+Table1[[#This Row],[SUBTOTAL]]+Table1[[#This Row],[IVA]]-Table1[[#This Row],[RET IVA]]-Table1[[#This Row],[RET ISR]]-Table1[[#This Row],[TOTAL]]</f>
        <v>0</v>
      </c>
      <c r="AE1718" s="150"/>
      <c r="AF1718" s="151"/>
      <c r="AG1718" s="126"/>
      <c r="AK1718" s="306" t="str">
        <f>IF(ISNUMBER(Table1[[#This Row],[FECHA DE RECIBIDO]]), Table1[[#This Row],[FECHA DE RECIBIDO]]-DATE(2023,8,30), "")</f>
        <v/>
      </c>
    </row>
    <row r="1719" spans="1:37" ht="16.05" customHeight="1">
      <c r="A1719" s="152" t="s">
        <v>3524</v>
      </c>
      <c r="B1719" s="153">
        <v>605</v>
      </c>
      <c r="C1719" s="126" t="s">
        <v>1805</v>
      </c>
      <c r="D1719">
        <v>1130</v>
      </c>
      <c r="E1719" s="126" t="s">
        <v>1997</v>
      </c>
      <c r="F1719" s="125" t="s">
        <v>1602</v>
      </c>
      <c r="G1719" s="125" t="s">
        <v>1617</v>
      </c>
      <c r="H1719">
        <v>341</v>
      </c>
      <c r="I1719" s="125" t="s">
        <v>1546</v>
      </c>
      <c r="J1719" s="308" t="s">
        <v>214</v>
      </c>
      <c r="K1719" s="127" t="s">
        <v>3418</v>
      </c>
      <c r="L1719" s="153" t="s">
        <v>110</v>
      </c>
      <c r="M1719">
        <v>458</v>
      </c>
      <c r="N1719" s="123">
        <v>83</v>
      </c>
      <c r="O1719">
        <v>1110</v>
      </c>
      <c r="P1719" s="132" t="s">
        <v>77</v>
      </c>
      <c r="Q1719" s="132">
        <v>10290</v>
      </c>
      <c r="R1719" s="132">
        <v>1646.4</v>
      </c>
      <c r="S1719" s="132"/>
      <c r="T1719" s="156">
        <v>1097.5999999999999</v>
      </c>
      <c r="U1719" s="132">
        <v>0</v>
      </c>
      <c r="V1719" s="132">
        <f t="shared" si="39"/>
        <v>10838.8</v>
      </c>
      <c r="W1719">
        <v>178</v>
      </c>
      <c r="X1719" s="153" t="s">
        <v>2024</v>
      </c>
      <c r="Y1719" s="124" t="s">
        <v>55</v>
      </c>
      <c r="Z1719" s="308">
        <v>226</v>
      </c>
      <c r="AB1719" t="str">
        <f>IF(Table1[[#This Row],[TIPO2]]="costo", VLOOKUP(Table1[[#This Row],[PARTIDA PRESUPUESTAL]],'Cost Report'!G:G,1,0),"Balance")</f>
        <v>2405-003</v>
      </c>
      <c r="AC1719" s="118"/>
      <c r="AD1719" s="159">
        <f>+Table1[[#This Row],[SUBTOTAL]]+Table1[[#This Row],[IVA]]-Table1[[#This Row],[RET IVA]]-Table1[[#This Row],[RET ISR]]-Table1[[#This Row],[TOTAL]]</f>
        <v>0</v>
      </c>
      <c r="AE1719" s="152"/>
      <c r="AF1719" s="153"/>
      <c r="AG1719" s="126"/>
      <c r="AK1719" s="306" t="str">
        <f>IF(ISNUMBER(Table1[[#This Row],[FECHA DE RECIBIDO]]), Table1[[#This Row],[FECHA DE RECIBIDO]]-DATE(2023,8,30), "")</f>
        <v/>
      </c>
    </row>
    <row r="1720" spans="1:37" ht="16.05" customHeight="1">
      <c r="A1720" s="150" t="s">
        <v>3525</v>
      </c>
      <c r="B1720" s="151">
        <v>606</v>
      </c>
      <c r="C1720" s="126" t="s">
        <v>1806</v>
      </c>
      <c r="D1720">
        <v>1131</v>
      </c>
      <c r="E1720" s="126" t="s">
        <v>1997</v>
      </c>
      <c r="F1720" s="122" t="s">
        <v>1602</v>
      </c>
      <c r="G1720" s="122" t="s">
        <v>1617</v>
      </c>
      <c r="H1720">
        <v>341</v>
      </c>
      <c r="I1720" s="122" t="s">
        <v>1546</v>
      </c>
      <c r="J1720" s="307" t="s">
        <v>214</v>
      </c>
      <c r="K1720" s="127" t="s">
        <v>3418</v>
      </c>
      <c r="L1720" s="151" t="s">
        <v>110</v>
      </c>
      <c r="M1720">
        <v>458</v>
      </c>
      <c r="N1720" s="123">
        <v>83</v>
      </c>
      <c r="O1720">
        <v>1111</v>
      </c>
      <c r="P1720" s="132" t="s">
        <v>77</v>
      </c>
      <c r="Q1720" s="131">
        <v>20580</v>
      </c>
      <c r="R1720" s="131">
        <v>3292.8</v>
      </c>
      <c r="S1720" s="131"/>
      <c r="T1720" s="155">
        <v>2195.1999999999998</v>
      </c>
      <c r="U1720" s="131">
        <v>0</v>
      </c>
      <c r="V1720" s="131">
        <f t="shared" si="39"/>
        <v>21677.599999999999</v>
      </c>
      <c r="W1720">
        <v>178</v>
      </c>
      <c r="X1720" s="151" t="s">
        <v>2024</v>
      </c>
      <c r="Y1720" s="135" t="s">
        <v>55</v>
      </c>
      <c r="Z1720" s="307">
        <v>226</v>
      </c>
      <c r="AB1720" t="str">
        <f>IF(Table1[[#This Row],[TIPO2]]="costo", VLOOKUP(Table1[[#This Row],[PARTIDA PRESUPUESTAL]],'Cost Report'!G:G,1,0),"Balance")</f>
        <v>2405-004</v>
      </c>
      <c r="AC1720" s="118"/>
      <c r="AD1720" s="159">
        <f>+Table1[[#This Row],[SUBTOTAL]]+Table1[[#This Row],[IVA]]-Table1[[#This Row],[RET IVA]]-Table1[[#This Row],[RET ISR]]-Table1[[#This Row],[TOTAL]]</f>
        <v>0</v>
      </c>
      <c r="AE1720" s="150"/>
      <c r="AF1720" s="151"/>
      <c r="AG1720" s="126"/>
      <c r="AK1720" s="306" t="str">
        <f>IF(ISNUMBER(Table1[[#This Row],[FECHA DE RECIBIDO]]), Table1[[#This Row],[FECHA DE RECIBIDO]]-DATE(2023,8,30), "")</f>
        <v/>
      </c>
    </row>
    <row r="1721" spans="1:37" ht="16.05" customHeight="1">
      <c r="A1721" s="152" t="s">
        <v>3526</v>
      </c>
      <c r="B1721" s="153">
        <v>607</v>
      </c>
      <c r="C1721" s="126" t="s">
        <v>1817</v>
      </c>
      <c r="D1721">
        <v>1132</v>
      </c>
      <c r="E1721" s="126" t="s">
        <v>1577</v>
      </c>
      <c r="F1721" s="125" t="s">
        <v>1589</v>
      </c>
      <c r="G1721" s="125" t="s">
        <v>129</v>
      </c>
      <c r="H1721">
        <v>29</v>
      </c>
      <c r="I1721" s="125" t="s">
        <v>1546</v>
      </c>
      <c r="J1721" s="308" t="s">
        <v>214</v>
      </c>
      <c r="K1721" s="127" t="s">
        <v>3418</v>
      </c>
      <c r="L1721" s="153" t="s">
        <v>110</v>
      </c>
      <c r="M1721">
        <v>38</v>
      </c>
      <c r="N1721" s="123">
        <v>16</v>
      </c>
      <c r="O1721">
        <v>1112</v>
      </c>
      <c r="P1721" s="132" t="s">
        <v>77</v>
      </c>
      <c r="Q1721" s="132">
        <v>28000</v>
      </c>
      <c r="R1721" s="132">
        <v>4480</v>
      </c>
      <c r="S1721" s="132"/>
      <c r="T1721" s="156">
        <v>2986.68</v>
      </c>
      <c r="U1721" s="132">
        <v>2800</v>
      </c>
      <c r="V1721" s="132">
        <f t="shared" si="39"/>
        <v>26693.32</v>
      </c>
      <c r="W1721">
        <v>31</v>
      </c>
      <c r="X1721" s="153" t="s">
        <v>1429</v>
      </c>
      <c r="Y1721" s="124" t="s">
        <v>55</v>
      </c>
      <c r="Z1721" s="308">
        <v>226</v>
      </c>
      <c r="AB1721" t="str">
        <f>IF(Table1[[#This Row],[TIPO2]]="costo", VLOOKUP(Table1[[#This Row],[PARTIDA PRESUPUESTAL]],'Cost Report'!G:G,1,0),"Balance")</f>
        <v>2705-004</v>
      </c>
      <c r="AC1721" s="118"/>
      <c r="AD1721" s="159">
        <f>+Table1[[#This Row],[SUBTOTAL]]+Table1[[#This Row],[IVA]]-Table1[[#This Row],[RET IVA]]-Table1[[#This Row],[RET ISR]]-Table1[[#This Row],[TOTAL]]</f>
        <v>0</v>
      </c>
      <c r="AE1721" s="152"/>
      <c r="AF1721" s="153"/>
      <c r="AG1721" s="126"/>
      <c r="AK1721" s="306" t="str">
        <f>IF(ISNUMBER(Table1[[#This Row],[FECHA DE RECIBIDO]]), Table1[[#This Row],[FECHA DE RECIBIDO]]-DATE(2023,8,30), "")</f>
        <v/>
      </c>
    </row>
    <row r="1722" spans="1:37" ht="16.05" customHeight="1">
      <c r="A1722" s="150" t="s">
        <v>3527</v>
      </c>
      <c r="B1722" s="151">
        <v>608</v>
      </c>
      <c r="C1722" s="126" t="s">
        <v>658</v>
      </c>
      <c r="D1722">
        <v>1133</v>
      </c>
      <c r="E1722" s="126" t="s">
        <v>1894</v>
      </c>
      <c r="F1722" s="122" t="s">
        <v>1593</v>
      </c>
      <c r="G1722" s="122" t="s">
        <v>109</v>
      </c>
      <c r="H1722">
        <v>67</v>
      </c>
      <c r="I1722" s="122" t="s">
        <v>1546</v>
      </c>
      <c r="J1722" s="307" t="s">
        <v>214</v>
      </c>
      <c r="K1722" s="127" t="s">
        <v>3418</v>
      </c>
      <c r="L1722" s="151" t="s">
        <v>110</v>
      </c>
      <c r="M1722">
        <v>90</v>
      </c>
      <c r="N1722" s="123">
        <v>27</v>
      </c>
      <c r="O1722">
        <v>1113</v>
      </c>
      <c r="P1722" s="132" t="s">
        <v>77</v>
      </c>
      <c r="Q1722" s="131">
        <v>20000</v>
      </c>
      <c r="R1722" s="131">
        <v>3200</v>
      </c>
      <c r="S1722" s="131"/>
      <c r="T1722" s="155">
        <v>2133.34</v>
      </c>
      <c r="U1722" s="131">
        <v>250</v>
      </c>
      <c r="V1722" s="131">
        <f t="shared" si="39"/>
        <v>20816.66</v>
      </c>
      <c r="W1722">
        <v>49</v>
      </c>
      <c r="X1722" s="151" t="s">
        <v>1430</v>
      </c>
      <c r="Y1722" s="135" t="s">
        <v>55</v>
      </c>
      <c r="Z1722" s="307">
        <v>226</v>
      </c>
      <c r="AB1722" t="str">
        <f>IF(Table1[[#This Row],[TIPO2]]="costo", VLOOKUP(Table1[[#This Row],[PARTIDA PRESUPUESTAL]],'Cost Report'!G:G,1,0),"Balance")</f>
        <v>2703-004</v>
      </c>
      <c r="AC1722" s="118"/>
      <c r="AD1722" s="159">
        <f>+Table1[[#This Row],[SUBTOTAL]]+Table1[[#This Row],[IVA]]-Table1[[#This Row],[RET IVA]]-Table1[[#This Row],[RET ISR]]-Table1[[#This Row],[TOTAL]]</f>
        <v>0</v>
      </c>
      <c r="AE1722" s="150"/>
      <c r="AF1722" s="151"/>
      <c r="AG1722" s="126"/>
      <c r="AK1722" s="306" t="str">
        <f>IF(ISNUMBER(Table1[[#This Row],[FECHA DE RECIBIDO]]), Table1[[#This Row],[FECHA DE RECIBIDO]]-DATE(2023,8,30), "")</f>
        <v/>
      </c>
    </row>
    <row r="1723" spans="1:37" ht="16.05" customHeight="1">
      <c r="A1723" s="152" t="s">
        <v>3528</v>
      </c>
      <c r="B1723" s="153">
        <v>609</v>
      </c>
      <c r="C1723" s="126" t="s">
        <v>2599</v>
      </c>
      <c r="D1723">
        <v>1134</v>
      </c>
      <c r="E1723" s="126" t="s">
        <v>1577</v>
      </c>
      <c r="F1723" s="125" t="s">
        <v>1589</v>
      </c>
      <c r="G1723" s="125" t="s">
        <v>129</v>
      </c>
      <c r="H1723">
        <v>68</v>
      </c>
      <c r="I1723" s="125" t="s">
        <v>1546</v>
      </c>
      <c r="J1723" s="308" t="s">
        <v>214</v>
      </c>
      <c r="K1723" s="127" t="s">
        <v>3418</v>
      </c>
      <c r="L1723" s="153" t="s">
        <v>110</v>
      </c>
      <c r="M1723">
        <v>91</v>
      </c>
      <c r="N1723" s="123">
        <v>28</v>
      </c>
      <c r="O1723">
        <v>1114</v>
      </c>
      <c r="P1723" s="132" t="s">
        <v>77</v>
      </c>
      <c r="Q1723" s="132">
        <v>18000</v>
      </c>
      <c r="R1723" s="132">
        <v>2880</v>
      </c>
      <c r="S1723" s="132"/>
      <c r="T1723" s="156">
        <v>1920</v>
      </c>
      <c r="U1723" s="132">
        <v>1800</v>
      </c>
      <c r="V1723" s="132">
        <f t="shared" si="39"/>
        <v>17160</v>
      </c>
      <c r="W1723">
        <v>50</v>
      </c>
      <c r="X1723" s="153" t="s">
        <v>1434</v>
      </c>
      <c r="Y1723" s="124" t="s">
        <v>55</v>
      </c>
      <c r="Z1723" s="308">
        <v>226</v>
      </c>
      <c r="AB1723" t="str">
        <f>IF(Table1[[#This Row],[TIPO2]]="costo", VLOOKUP(Table1[[#This Row],[PARTIDA PRESUPUESTAL]],'Cost Report'!G:G,1,0),"Balance")</f>
        <v>2795-012</v>
      </c>
      <c r="AC1723" s="118"/>
      <c r="AD1723" s="159">
        <f>+Table1[[#This Row],[SUBTOTAL]]+Table1[[#This Row],[IVA]]-Table1[[#This Row],[RET IVA]]-Table1[[#This Row],[RET ISR]]-Table1[[#This Row],[TOTAL]]</f>
        <v>0</v>
      </c>
      <c r="AE1723" s="152"/>
      <c r="AF1723" s="153"/>
      <c r="AG1723" s="126"/>
      <c r="AK1723" s="306" t="str">
        <f>IF(ISNUMBER(Table1[[#This Row],[FECHA DE RECIBIDO]]), Table1[[#This Row],[FECHA DE RECIBIDO]]-DATE(2023,8,30), "")</f>
        <v/>
      </c>
    </row>
    <row r="1724" spans="1:37" ht="16.05" customHeight="1">
      <c r="A1724" s="150" t="s">
        <v>3529</v>
      </c>
      <c r="B1724" s="151">
        <v>610</v>
      </c>
      <c r="C1724" s="126" t="s">
        <v>654</v>
      </c>
      <c r="D1724">
        <v>1135</v>
      </c>
      <c r="E1724" s="126" t="s">
        <v>1895</v>
      </c>
      <c r="F1724" s="122" t="s">
        <v>1589</v>
      </c>
      <c r="G1724" s="122" t="s">
        <v>129</v>
      </c>
      <c r="H1724">
        <v>69</v>
      </c>
      <c r="I1724" s="122" t="s">
        <v>1546</v>
      </c>
      <c r="J1724" s="307" t="s">
        <v>214</v>
      </c>
      <c r="K1724" s="127" t="s">
        <v>3418</v>
      </c>
      <c r="L1724" s="151" t="s">
        <v>110</v>
      </c>
      <c r="M1724">
        <v>92</v>
      </c>
      <c r="N1724" s="123">
        <v>29</v>
      </c>
      <c r="O1724">
        <v>1115</v>
      </c>
      <c r="P1724" s="132" t="s">
        <v>77</v>
      </c>
      <c r="Q1724" s="131">
        <v>45000</v>
      </c>
      <c r="R1724" s="131">
        <v>7200</v>
      </c>
      <c r="S1724" s="131"/>
      <c r="T1724" s="155">
        <v>4800.0200000000004</v>
      </c>
      <c r="U1724" s="131">
        <v>4500</v>
      </c>
      <c r="V1724" s="131">
        <f t="shared" si="39"/>
        <v>42899.979999999996</v>
      </c>
      <c r="W1724">
        <v>51</v>
      </c>
      <c r="X1724" s="151" t="s">
        <v>1434</v>
      </c>
      <c r="Y1724" s="135" t="s">
        <v>55</v>
      </c>
      <c r="Z1724" s="307">
        <v>226</v>
      </c>
      <c r="AB1724" t="str">
        <f>IF(Table1[[#This Row],[TIPO2]]="costo", VLOOKUP(Table1[[#This Row],[PARTIDA PRESUPUESTAL]],'Cost Report'!G:G,1,0),"Balance")</f>
        <v>2701-004</v>
      </c>
      <c r="AC1724" s="118"/>
      <c r="AD1724" s="159">
        <f>+Table1[[#This Row],[SUBTOTAL]]+Table1[[#This Row],[IVA]]-Table1[[#This Row],[RET IVA]]-Table1[[#This Row],[RET ISR]]-Table1[[#This Row],[TOTAL]]</f>
        <v>0</v>
      </c>
      <c r="AE1724" s="150"/>
      <c r="AF1724" s="151"/>
      <c r="AG1724" s="126"/>
      <c r="AK1724" s="306" t="str">
        <f>IF(ISNUMBER(Table1[[#This Row],[FECHA DE RECIBIDO]]), Table1[[#This Row],[FECHA DE RECIBIDO]]-DATE(2023,8,30), "")</f>
        <v/>
      </c>
    </row>
    <row r="1725" spans="1:37" ht="16.05" customHeight="1">
      <c r="A1725" s="152" t="s">
        <v>3530</v>
      </c>
      <c r="B1725" s="153">
        <v>611</v>
      </c>
      <c r="C1725" s="126" t="s">
        <v>662</v>
      </c>
      <c r="D1725">
        <v>1136</v>
      </c>
      <c r="E1725" s="126" t="s">
        <v>3214</v>
      </c>
      <c r="F1725" s="125" t="s">
        <v>1589</v>
      </c>
      <c r="G1725" s="125" t="s">
        <v>129</v>
      </c>
      <c r="H1725">
        <v>204</v>
      </c>
      <c r="I1725" s="125" t="s">
        <v>1546</v>
      </c>
      <c r="J1725" s="308" t="s">
        <v>214</v>
      </c>
      <c r="K1725" s="127" t="s">
        <v>3418</v>
      </c>
      <c r="L1725" s="153" t="s">
        <v>110</v>
      </c>
      <c r="M1725">
        <v>269</v>
      </c>
      <c r="N1725" s="123">
        <v>69</v>
      </c>
      <c r="O1725">
        <v>1116</v>
      </c>
      <c r="P1725" s="132" t="s">
        <v>77</v>
      </c>
      <c r="Q1725" s="132">
        <v>15000</v>
      </c>
      <c r="R1725" s="132">
        <v>2400</v>
      </c>
      <c r="S1725" s="132"/>
      <c r="T1725" s="156">
        <v>1600</v>
      </c>
      <c r="U1725" s="132">
        <v>1500</v>
      </c>
      <c r="V1725" s="132">
        <f t="shared" si="39"/>
        <v>14300</v>
      </c>
      <c r="W1725">
        <v>125</v>
      </c>
      <c r="X1725" s="153" t="s">
        <v>1434</v>
      </c>
      <c r="Y1725" s="124" t="s">
        <v>55</v>
      </c>
      <c r="Z1725" s="308">
        <v>226</v>
      </c>
      <c r="AB1725" t="str">
        <f>IF(Table1[[#This Row],[TIPO2]]="costo", VLOOKUP(Table1[[#This Row],[PARTIDA PRESUPUESTAL]],'Cost Report'!G:G,1,0),"Balance")</f>
        <v>2707-004</v>
      </c>
      <c r="AC1725" s="118"/>
      <c r="AD1725" s="159">
        <f>+Table1[[#This Row],[SUBTOTAL]]+Table1[[#This Row],[IVA]]-Table1[[#This Row],[RET IVA]]-Table1[[#This Row],[RET ISR]]-Table1[[#This Row],[TOTAL]]</f>
        <v>0</v>
      </c>
      <c r="AE1725" s="152"/>
      <c r="AF1725" s="153"/>
      <c r="AG1725" s="126"/>
      <c r="AK1725" s="306" t="str">
        <f>IF(ISNUMBER(Table1[[#This Row],[FECHA DE RECIBIDO]]), Table1[[#This Row],[FECHA DE RECIBIDO]]-DATE(2023,8,30), "")</f>
        <v/>
      </c>
    </row>
    <row r="1726" spans="1:37" ht="16.05" customHeight="1">
      <c r="A1726" s="150" t="s">
        <v>3531</v>
      </c>
      <c r="B1726" s="151">
        <v>612</v>
      </c>
      <c r="C1726" s="126" t="s">
        <v>1526</v>
      </c>
      <c r="D1726">
        <v>1137</v>
      </c>
      <c r="E1726" s="126" t="s">
        <v>2012</v>
      </c>
      <c r="F1726" s="122" t="s">
        <v>1589</v>
      </c>
      <c r="G1726" s="122" t="s">
        <v>129</v>
      </c>
      <c r="H1726">
        <v>205</v>
      </c>
      <c r="I1726" s="122" t="s">
        <v>1546</v>
      </c>
      <c r="J1726" s="307" t="s">
        <v>214</v>
      </c>
      <c r="K1726" s="127" t="s">
        <v>3418</v>
      </c>
      <c r="L1726" s="151" t="s">
        <v>110</v>
      </c>
      <c r="M1726">
        <v>270</v>
      </c>
      <c r="N1726" s="123">
        <v>70</v>
      </c>
      <c r="O1726">
        <v>1117</v>
      </c>
      <c r="P1726" s="132" t="s">
        <v>77</v>
      </c>
      <c r="Q1726" s="131">
        <v>16000</v>
      </c>
      <c r="R1726" s="131">
        <v>2560</v>
      </c>
      <c r="S1726" s="131"/>
      <c r="T1726" s="155">
        <v>1706.68</v>
      </c>
      <c r="U1726" s="131">
        <v>1600</v>
      </c>
      <c r="V1726" s="131">
        <f t="shared" si="39"/>
        <v>15253.32</v>
      </c>
      <c r="W1726">
        <v>126</v>
      </c>
      <c r="X1726" s="151" t="s">
        <v>1434</v>
      </c>
      <c r="Y1726" s="135" t="s">
        <v>55</v>
      </c>
      <c r="Z1726" s="307">
        <v>226</v>
      </c>
      <c r="AB1726" t="str">
        <f>IF(Table1[[#This Row],[TIPO2]]="costo", VLOOKUP(Table1[[#This Row],[PARTIDA PRESUPUESTAL]],'Cost Report'!G:G,1,0),"Balance")</f>
        <v>2706-004</v>
      </c>
      <c r="AC1726" s="118"/>
      <c r="AD1726" s="159">
        <f>+Table1[[#This Row],[SUBTOTAL]]+Table1[[#This Row],[IVA]]-Table1[[#This Row],[RET IVA]]-Table1[[#This Row],[RET ISR]]-Table1[[#This Row],[TOTAL]]</f>
        <v>0</v>
      </c>
      <c r="AE1726" s="150"/>
      <c r="AF1726" s="151"/>
      <c r="AG1726" s="126"/>
      <c r="AK1726" s="306" t="str">
        <f>IF(ISNUMBER(Table1[[#This Row],[FECHA DE RECIBIDO]]), Table1[[#This Row],[FECHA DE RECIBIDO]]-DATE(2023,8,30), "")</f>
        <v/>
      </c>
    </row>
    <row r="1727" spans="1:37" ht="16.05" customHeight="1">
      <c r="A1727" s="152" t="s">
        <v>3532</v>
      </c>
      <c r="B1727" s="153">
        <v>613</v>
      </c>
      <c r="C1727" s="126" t="s">
        <v>380</v>
      </c>
      <c r="D1727">
        <v>1138</v>
      </c>
      <c r="E1727" s="126" t="s">
        <v>3217</v>
      </c>
      <c r="F1727" s="125" t="s">
        <v>1593</v>
      </c>
      <c r="G1727" s="125" t="s">
        <v>109</v>
      </c>
      <c r="H1727">
        <v>206</v>
      </c>
      <c r="I1727" s="125" t="s">
        <v>1546</v>
      </c>
      <c r="J1727" s="308" t="s">
        <v>214</v>
      </c>
      <c r="K1727" s="127" t="s">
        <v>3418</v>
      </c>
      <c r="L1727" s="153" t="s">
        <v>110</v>
      </c>
      <c r="M1727">
        <v>271</v>
      </c>
      <c r="N1727" s="123">
        <v>71</v>
      </c>
      <c r="O1727">
        <v>1118</v>
      </c>
      <c r="P1727" s="132" t="s">
        <v>77</v>
      </c>
      <c r="Q1727" s="132">
        <v>37500</v>
      </c>
      <c r="R1727" s="132">
        <v>6000</v>
      </c>
      <c r="S1727" s="132"/>
      <c r="T1727" s="156">
        <v>4000.01</v>
      </c>
      <c r="U1727" s="132">
        <v>468.75</v>
      </c>
      <c r="V1727" s="132">
        <f t="shared" si="39"/>
        <v>39031.24</v>
      </c>
      <c r="W1727">
        <v>127</v>
      </c>
      <c r="X1727" s="153" t="s">
        <v>1431</v>
      </c>
      <c r="Y1727" s="124" t="s">
        <v>55</v>
      </c>
      <c r="Z1727" s="308">
        <v>226</v>
      </c>
      <c r="AB1727" t="str">
        <f>IF(Table1[[#This Row],[TIPO2]]="costo", VLOOKUP(Table1[[#This Row],[PARTIDA PRESUPUESTAL]],'Cost Report'!G:G,1,0),"Balance")</f>
        <v>1413-003</v>
      </c>
      <c r="AC1727" s="118"/>
      <c r="AD1727" s="159">
        <f>+Table1[[#This Row],[SUBTOTAL]]+Table1[[#This Row],[IVA]]-Table1[[#This Row],[RET IVA]]-Table1[[#This Row],[RET ISR]]-Table1[[#This Row],[TOTAL]]</f>
        <v>0</v>
      </c>
      <c r="AE1727" s="152"/>
      <c r="AF1727" s="153"/>
      <c r="AG1727" s="126"/>
      <c r="AK1727" s="306" t="str">
        <f>IF(ISNUMBER(Table1[[#This Row],[FECHA DE RECIBIDO]]), Table1[[#This Row],[FECHA DE RECIBIDO]]-DATE(2023,8,30), "")</f>
        <v/>
      </c>
    </row>
    <row r="1728" spans="1:37" ht="16.05" customHeight="1">
      <c r="A1728" s="150" t="s">
        <v>3533</v>
      </c>
      <c r="B1728" s="151">
        <v>614</v>
      </c>
      <c r="C1728" s="126" t="s">
        <v>381</v>
      </c>
      <c r="D1728">
        <v>1139</v>
      </c>
      <c r="E1728" s="126" t="s">
        <v>3217</v>
      </c>
      <c r="F1728" s="122" t="s">
        <v>1593</v>
      </c>
      <c r="G1728" s="122" t="s">
        <v>109</v>
      </c>
      <c r="H1728">
        <v>206</v>
      </c>
      <c r="I1728" s="122" t="s">
        <v>1546</v>
      </c>
      <c r="J1728" s="307" t="s">
        <v>214</v>
      </c>
      <c r="K1728" s="127" t="s">
        <v>3418</v>
      </c>
      <c r="L1728" s="151" t="s">
        <v>110</v>
      </c>
      <c r="M1728">
        <v>271</v>
      </c>
      <c r="N1728" s="123">
        <v>71</v>
      </c>
      <c r="O1728">
        <v>1119</v>
      </c>
      <c r="P1728" s="132" t="s">
        <v>77</v>
      </c>
      <c r="Q1728" s="131">
        <v>40000</v>
      </c>
      <c r="R1728" s="131">
        <v>6400</v>
      </c>
      <c r="S1728" s="131"/>
      <c r="T1728" s="155">
        <v>4266.68</v>
      </c>
      <c r="U1728" s="131">
        <v>500</v>
      </c>
      <c r="V1728" s="131">
        <f t="shared" si="39"/>
        <v>41633.32</v>
      </c>
      <c r="W1728">
        <v>127</v>
      </c>
      <c r="X1728" s="151" t="s">
        <v>1431</v>
      </c>
      <c r="Y1728" s="135" t="s">
        <v>55</v>
      </c>
      <c r="Z1728" s="307">
        <v>226</v>
      </c>
      <c r="AB1728" t="str">
        <f>IF(Table1[[#This Row],[TIPO2]]="costo", VLOOKUP(Table1[[#This Row],[PARTIDA PRESUPUESTAL]],'Cost Report'!G:G,1,0),"Balance")</f>
        <v>1413-004</v>
      </c>
      <c r="AC1728" s="118"/>
      <c r="AD1728" s="159">
        <f>+Table1[[#This Row],[SUBTOTAL]]+Table1[[#This Row],[IVA]]-Table1[[#This Row],[RET IVA]]-Table1[[#This Row],[RET ISR]]-Table1[[#This Row],[TOTAL]]</f>
        <v>0</v>
      </c>
      <c r="AE1728" s="150"/>
      <c r="AF1728" s="151"/>
      <c r="AG1728" s="126"/>
      <c r="AK1728" s="306" t="str">
        <f>IF(ISNUMBER(Table1[[#This Row],[FECHA DE RECIBIDO]]), Table1[[#This Row],[FECHA DE RECIBIDO]]-DATE(2023,8,30), "")</f>
        <v/>
      </c>
    </row>
    <row r="1729" spans="1:37" ht="16.05" customHeight="1">
      <c r="A1729" s="152" t="s">
        <v>3534</v>
      </c>
      <c r="B1729" s="153">
        <v>615</v>
      </c>
      <c r="C1729" s="126" t="s">
        <v>3011</v>
      </c>
      <c r="D1729">
        <v>1140</v>
      </c>
      <c r="E1729" s="126" t="s">
        <v>2018</v>
      </c>
      <c r="F1729" s="125" t="s">
        <v>1593</v>
      </c>
      <c r="G1729" s="125" t="s">
        <v>109</v>
      </c>
      <c r="H1729">
        <v>116</v>
      </c>
      <c r="I1729" s="125" t="s">
        <v>1546</v>
      </c>
      <c r="J1729" s="308" t="s">
        <v>214</v>
      </c>
      <c r="K1729" s="127" t="s">
        <v>3418</v>
      </c>
      <c r="L1729" s="153" t="s">
        <v>110</v>
      </c>
      <c r="M1729">
        <v>154</v>
      </c>
      <c r="N1729" s="123">
        <v>46</v>
      </c>
      <c r="O1729">
        <v>1120</v>
      </c>
      <c r="P1729" s="132" t="s">
        <v>77</v>
      </c>
      <c r="Q1729" s="132">
        <v>44000</v>
      </c>
      <c r="R1729" s="132">
        <v>7040</v>
      </c>
      <c r="S1729" s="132"/>
      <c r="T1729" s="156">
        <v>4693.34</v>
      </c>
      <c r="U1729" s="132">
        <v>550</v>
      </c>
      <c r="V1729" s="132">
        <f t="shared" si="39"/>
        <v>45796.66</v>
      </c>
      <c r="W1729">
        <v>78</v>
      </c>
      <c r="X1729" s="153" t="s">
        <v>1430</v>
      </c>
      <c r="Y1729" s="124" t="s">
        <v>55</v>
      </c>
      <c r="Z1729" s="308">
        <v>226</v>
      </c>
      <c r="AB1729" t="str">
        <f>IF(Table1[[#This Row],[TIPO2]]="costo", VLOOKUP(Table1[[#This Row],[PARTIDA PRESUPUESTAL]],'Cost Report'!G:G,1,0),"Balance")</f>
        <v>5009-005</v>
      </c>
      <c r="AC1729" s="118"/>
      <c r="AD1729" s="159">
        <f>+Table1[[#This Row],[SUBTOTAL]]+Table1[[#This Row],[IVA]]-Table1[[#This Row],[RET IVA]]-Table1[[#This Row],[RET ISR]]-Table1[[#This Row],[TOTAL]]</f>
        <v>0</v>
      </c>
      <c r="AE1729" s="152"/>
      <c r="AF1729" s="153"/>
      <c r="AG1729" s="126"/>
      <c r="AK1729" s="306" t="str">
        <f>IF(ISNUMBER(Table1[[#This Row],[FECHA DE RECIBIDO]]), Table1[[#This Row],[FECHA DE RECIBIDO]]-DATE(2023,8,30), "")</f>
        <v/>
      </c>
    </row>
    <row r="1730" spans="1:37" ht="16.05" customHeight="1">
      <c r="A1730" s="150" t="s">
        <v>3535</v>
      </c>
      <c r="B1730" s="151">
        <v>616</v>
      </c>
      <c r="C1730" s="126" t="s">
        <v>1202</v>
      </c>
      <c r="D1730">
        <v>1141</v>
      </c>
      <c r="E1730" s="126" t="s">
        <v>3220</v>
      </c>
      <c r="F1730" s="122" t="s">
        <v>1589</v>
      </c>
      <c r="G1730" s="122" t="s">
        <v>129</v>
      </c>
      <c r="H1730">
        <v>207</v>
      </c>
      <c r="I1730" s="122" t="s">
        <v>1546</v>
      </c>
      <c r="J1730" s="307" t="s">
        <v>214</v>
      </c>
      <c r="K1730" s="127" t="s">
        <v>3418</v>
      </c>
      <c r="L1730" s="151" t="s">
        <v>110</v>
      </c>
      <c r="M1730">
        <v>272</v>
      </c>
      <c r="N1730" s="123">
        <v>72</v>
      </c>
      <c r="O1730">
        <v>1121</v>
      </c>
      <c r="P1730" s="132" t="s">
        <v>77</v>
      </c>
      <c r="Q1730" s="131">
        <v>11000</v>
      </c>
      <c r="R1730" s="131">
        <v>1760</v>
      </c>
      <c r="S1730" s="131"/>
      <c r="T1730" s="155">
        <v>1173.3399999999999</v>
      </c>
      <c r="U1730" s="131">
        <v>1100</v>
      </c>
      <c r="V1730" s="131">
        <f t="shared" si="39"/>
        <v>10486.66</v>
      </c>
      <c r="W1730">
        <v>128</v>
      </c>
      <c r="X1730" s="151" t="s">
        <v>1431</v>
      </c>
      <c r="Y1730" s="135" t="s">
        <v>55</v>
      </c>
      <c r="Z1730" s="307">
        <v>226</v>
      </c>
      <c r="AB1730" t="str">
        <f>IF(Table1[[#This Row],[TIPO2]]="costo", VLOOKUP(Table1[[#This Row],[PARTIDA PRESUPUESTAL]],'Cost Report'!G:G,1,0),"Balance")</f>
        <v>5010-004</v>
      </c>
      <c r="AC1730" s="118"/>
      <c r="AD1730" s="159">
        <f>+Table1[[#This Row],[SUBTOTAL]]+Table1[[#This Row],[IVA]]-Table1[[#This Row],[RET IVA]]-Table1[[#This Row],[RET ISR]]-Table1[[#This Row],[TOTAL]]</f>
        <v>0</v>
      </c>
      <c r="AE1730" s="150"/>
      <c r="AF1730" s="151"/>
      <c r="AG1730" s="126"/>
      <c r="AK1730" s="306" t="str">
        <f>IF(ISNUMBER(Table1[[#This Row],[FECHA DE RECIBIDO]]), Table1[[#This Row],[FECHA DE RECIBIDO]]-DATE(2023,8,30), "")</f>
        <v/>
      </c>
    </row>
    <row r="1731" spans="1:37" ht="16.05" customHeight="1">
      <c r="A1731" s="152" t="s">
        <v>3536</v>
      </c>
      <c r="B1731" s="153">
        <v>617</v>
      </c>
      <c r="C1731" s="126" t="s">
        <v>3012</v>
      </c>
      <c r="D1731">
        <v>1142</v>
      </c>
      <c r="E1731" s="126" t="s">
        <v>3220</v>
      </c>
      <c r="F1731" s="125" t="s">
        <v>1589</v>
      </c>
      <c r="G1731" s="125" t="s">
        <v>129</v>
      </c>
      <c r="H1731">
        <v>207</v>
      </c>
      <c r="I1731" s="125" t="s">
        <v>1546</v>
      </c>
      <c r="J1731" s="308" t="s">
        <v>214</v>
      </c>
      <c r="K1731" s="127" t="s">
        <v>3418</v>
      </c>
      <c r="L1731" s="153" t="s">
        <v>110</v>
      </c>
      <c r="M1731">
        <v>272</v>
      </c>
      <c r="N1731" s="123">
        <v>72</v>
      </c>
      <c r="O1731">
        <v>1122</v>
      </c>
      <c r="P1731" s="132" t="s">
        <v>77</v>
      </c>
      <c r="Q1731" s="132">
        <v>22000</v>
      </c>
      <c r="R1731" s="132">
        <v>3520</v>
      </c>
      <c r="S1731" s="132"/>
      <c r="T1731" s="156">
        <v>2346.6799999999998</v>
      </c>
      <c r="U1731" s="132">
        <v>2200</v>
      </c>
      <c r="V1731" s="132">
        <f t="shared" si="39"/>
        <v>20973.32</v>
      </c>
      <c r="W1731">
        <v>128</v>
      </c>
      <c r="X1731" s="153" t="s">
        <v>1431</v>
      </c>
      <c r="Y1731" s="124" t="s">
        <v>55</v>
      </c>
      <c r="Z1731" s="308">
        <v>226</v>
      </c>
      <c r="AB1731" t="str">
        <f>IF(Table1[[#This Row],[TIPO2]]="costo", VLOOKUP(Table1[[#This Row],[PARTIDA PRESUPUESTAL]],'Cost Report'!G:G,1,0),"Balance")</f>
        <v>5010-005</v>
      </c>
      <c r="AC1731" s="118"/>
      <c r="AD1731" s="159">
        <f>+Table1[[#This Row],[SUBTOTAL]]+Table1[[#This Row],[IVA]]-Table1[[#This Row],[RET IVA]]-Table1[[#This Row],[RET ISR]]-Table1[[#This Row],[TOTAL]]</f>
        <v>0</v>
      </c>
      <c r="AE1731" s="152"/>
      <c r="AF1731" s="153"/>
      <c r="AG1731" s="126"/>
      <c r="AK1731" s="306" t="str">
        <f>IF(ISNUMBER(Table1[[#This Row],[FECHA DE RECIBIDO]]), Table1[[#This Row],[FECHA DE RECIBIDO]]-DATE(2023,8,30), "")</f>
        <v/>
      </c>
    </row>
    <row r="1732" spans="1:37" ht="16.05" customHeight="1">
      <c r="A1732" s="150" t="s">
        <v>3537</v>
      </c>
      <c r="B1732" s="151">
        <v>618</v>
      </c>
      <c r="C1732" s="126" t="s">
        <v>2603</v>
      </c>
      <c r="D1732">
        <v>1143</v>
      </c>
      <c r="E1732" s="126" t="s">
        <v>2019</v>
      </c>
      <c r="F1732" s="122" t="s">
        <v>1602</v>
      </c>
      <c r="G1732" s="122" t="s">
        <v>1617</v>
      </c>
      <c r="H1732">
        <v>117</v>
      </c>
      <c r="I1732" s="122" t="s">
        <v>1546</v>
      </c>
      <c r="J1732" s="307" t="s">
        <v>214</v>
      </c>
      <c r="K1732" s="127" t="s">
        <v>3418</v>
      </c>
      <c r="L1732" s="151" t="s">
        <v>110</v>
      </c>
      <c r="M1732">
        <v>155</v>
      </c>
      <c r="N1732" s="123">
        <v>47</v>
      </c>
      <c r="O1732">
        <v>1123</v>
      </c>
      <c r="P1732" s="132" t="s">
        <v>77</v>
      </c>
      <c r="Q1732" s="131">
        <v>24600</v>
      </c>
      <c r="R1732" s="131">
        <v>3936</v>
      </c>
      <c r="S1732" s="131"/>
      <c r="T1732" s="155">
        <v>2624.01</v>
      </c>
      <c r="U1732" s="131">
        <v>0</v>
      </c>
      <c r="V1732" s="131">
        <f t="shared" si="39"/>
        <v>25911.989999999998</v>
      </c>
      <c r="W1732">
        <v>79</v>
      </c>
      <c r="X1732" s="151" t="s">
        <v>1429</v>
      </c>
      <c r="Y1732" s="135" t="s">
        <v>55</v>
      </c>
      <c r="Z1732" s="307">
        <v>226</v>
      </c>
      <c r="AB1732" t="str">
        <f>IF(Table1[[#This Row],[TIPO2]]="costo", VLOOKUP(Table1[[#This Row],[PARTIDA PRESUPUESTAL]],'Cost Report'!G:G,1,0),"Balance")</f>
        <v>2801-010</v>
      </c>
      <c r="AC1732" s="118"/>
      <c r="AD1732" s="159">
        <f>+Table1[[#This Row],[SUBTOTAL]]+Table1[[#This Row],[IVA]]-Table1[[#This Row],[RET IVA]]-Table1[[#This Row],[RET ISR]]-Table1[[#This Row],[TOTAL]]</f>
        <v>0</v>
      </c>
      <c r="AE1732" s="150"/>
      <c r="AF1732" s="151"/>
      <c r="AG1732" s="126"/>
      <c r="AK1732" s="306" t="str">
        <f>IF(ISNUMBER(Table1[[#This Row],[FECHA DE RECIBIDO]]), Table1[[#This Row],[FECHA DE RECIBIDO]]-DATE(2023,8,30), "")</f>
        <v/>
      </c>
    </row>
    <row r="1733" spans="1:37" ht="16.05" customHeight="1">
      <c r="A1733" s="152" t="s">
        <v>3538</v>
      </c>
      <c r="B1733" s="153">
        <v>619</v>
      </c>
      <c r="C1733" s="126" t="s">
        <v>681</v>
      </c>
      <c r="D1733">
        <v>1144</v>
      </c>
      <c r="E1733" s="126" t="s">
        <v>2021</v>
      </c>
      <c r="F1733" s="125" t="s">
        <v>1593</v>
      </c>
      <c r="G1733" s="125" t="s">
        <v>109</v>
      </c>
      <c r="H1733">
        <v>119</v>
      </c>
      <c r="I1733" s="125" t="s">
        <v>1546</v>
      </c>
      <c r="J1733" s="308" t="s">
        <v>214</v>
      </c>
      <c r="K1733" s="127" t="s">
        <v>3418</v>
      </c>
      <c r="L1733" s="153" t="s">
        <v>110</v>
      </c>
      <c r="M1733">
        <v>157</v>
      </c>
      <c r="N1733" s="123">
        <v>49</v>
      </c>
      <c r="O1733">
        <v>1124</v>
      </c>
      <c r="P1733" s="132" t="s">
        <v>77</v>
      </c>
      <c r="Q1733" s="132">
        <v>42000</v>
      </c>
      <c r="R1733" s="132">
        <v>6720</v>
      </c>
      <c r="S1733" s="132"/>
      <c r="T1733" s="156">
        <v>4480.0200000000004</v>
      </c>
      <c r="U1733" s="132">
        <v>525</v>
      </c>
      <c r="V1733" s="132">
        <f t="shared" ref="V1733:V1794" si="40">Q1733+R1733-T1733-U1733</f>
        <v>43714.979999999996</v>
      </c>
      <c r="W1733">
        <v>81</v>
      </c>
      <c r="X1733" s="153" t="s">
        <v>1431</v>
      </c>
      <c r="Y1733" s="124" t="s">
        <v>55</v>
      </c>
      <c r="Z1733" s="308">
        <v>226</v>
      </c>
      <c r="AB1733" t="str">
        <f>IF(Table1[[#This Row],[TIPO2]]="costo", VLOOKUP(Table1[[#This Row],[PARTIDA PRESUPUESTAL]],'Cost Report'!G:G,1,0),"Balance")</f>
        <v>2801-004</v>
      </c>
      <c r="AC1733" s="118"/>
      <c r="AD1733" s="159">
        <f>+Table1[[#This Row],[SUBTOTAL]]+Table1[[#This Row],[IVA]]-Table1[[#This Row],[RET IVA]]-Table1[[#This Row],[RET ISR]]-Table1[[#This Row],[TOTAL]]</f>
        <v>0</v>
      </c>
      <c r="AE1733" s="152"/>
      <c r="AF1733" s="153"/>
      <c r="AG1733" s="126"/>
      <c r="AK1733" s="306" t="str">
        <f>IF(ISNUMBER(Table1[[#This Row],[FECHA DE RECIBIDO]]), Table1[[#This Row],[FECHA DE RECIBIDO]]-DATE(2023,8,30), "")</f>
        <v/>
      </c>
    </row>
    <row r="1734" spans="1:37" ht="16.05" customHeight="1">
      <c r="A1734" s="150" t="s">
        <v>3539</v>
      </c>
      <c r="B1734" s="151">
        <v>620</v>
      </c>
      <c r="C1734" s="126" t="s">
        <v>698</v>
      </c>
      <c r="D1734">
        <v>1145</v>
      </c>
      <c r="E1734" s="126" t="s">
        <v>1996</v>
      </c>
      <c r="F1734" s="122" t="s">
        <v>1589</v>
      </c>
      <c r="G1734" s="122" t="s">
        <v>129</v>
      </c>
      <c r="H1734">
        <v>349</v>
      </c>
      <c r="I1734" s="122" t="s">
        <v>1546</v>
      </c>
      <c r="J1734" s="307" t="s">
        <v>214</v>
      </c>
      <c r="K1734" s="127" t="s">
        <v>3418</v>
      </c>
      <c r="L1734" s="151" t="s">
        <v>110</v>
      </c>
      <c r="M1734">
        <v>466</v>
      </c>
      <c r="N1734" s="123">
        <v>91</v>
      </c>
      <c r="O1734">
        <v>1125</v>
      </c>
      <c r="P1734" s="132" t="s">
        <v>77</v>
      </c>
      <c r="Q1734" s="131">
        <v>9300</v>
      </c>
      <c r="R1734" s="131">
        <v>1488</v>
      </c>
      <c r="S1734" s="131"/>
      <c r="T1734" s="155">
        <v>992</v>
      </c>
      <c r="U1734" s="131">
        <v>930</v>
      </c>
      <c r="V1734" s="131">
        <f t="shared" si="40"/>
        <v>8866</v>
      </c>
      <c r="W1734">
        <v>186</v>
      </c>
      <c r="X1734" s="151" t="s">
        <v>1430</v>
      </c>
      <c r="Y1734" s="135" t="s">
        <v>55</v>
      </c>
      <c r="Z1734" s="307">
        <v>226</v>
      </c>
      <c r="AB1734" t="str">
        <f>IF(Table1[[#This Row],[TIPO2]]="costo", VLOOKUP(Table1[[#This Row],[PARTIDA PRESUPUESTAL]],'Cost Report'!G:G,1,0),"Balance")</f>
        <v>2805-003</v>
      </c>
      <c r="AC1734" s="118"/>
      <c r="AD1734" s="159">
        <f>+Table1[[#This Row],[SUBTOTAL]]+Table1[[#This Row],[IVA]]-Table1[[#This Row],[RET IVA]]-Table1[[#This Row],[RET ISR]]-Table1[[#This Row],[TOTAL]]</f>
        <v>0</v>
      </c>
      <c r="AE1734" s="150"/>
      <c r="AF1734" s="151"/>
      <c r="AG1734" s="126"/>
      <c r="AK1734" s="306" t="str">
        <f>IF(ISNUMBER(Table1[[#This Row],[FECHA DE RECIBIDO]]), Table1[[#This Row],[FECHA DE RECIBIDO]]-DATE(2023,8,30), "")</f>
        <v/>
      </c>
    </row>
    <row r="1735" spans="1:37" ht="16.05" customHeight="1">
      <c r="A1735" s="152" t="s">
        <v>3540</v>
      </c>
      <c r="B1735" s="153">
        <v>621</v>
      </c>
      <c r="C1735" s="126" t="s">
        <v>699</v>
      </c>
      <c r="D1735">
        <v>1146</v>
      </c>
      <c r="E1735" s="126" t="s">
        <v>1996</v>
      </c>
      <c r="F1735" s="125" t="s">
        <v>1589</v>
      </c>
      <c r="G1735" s="125" t="s">
        <v>129</v>
      </c>
      <c r="H1735">
        <v>349</v>
      </c>
      <c r="I1735" s="125" t="s">
        <v>1546</v>
      </c>
      <c r="J1735" s="308" t="s">
        <v>214</v>
      </c>
      <c r="K1735" s="127" t="s">
        <v>3418</v>
      </c>
      <c r="L1735" s="153" t="s">
        <v>110</v>
      </c>
      <c r="M1735">
        <v>466</v>
      </c>
      <c r="N1735" s="123">
        <v>91</v>
      </c>
      <c r="O1735">
        <v>1126</v>
      </c>
      <c r="P1735" s="132" t="s">
        <v>77</v>
      </c>
      <c r="Q1735" s="132">
        <v>18600</v>
      </c>
      <c r="R1735" s="132">
        <v>2976</v>
      </c>
      <c r="S1735" s="132"/>
      <c r="T1735" s="156">
        <v>1984</v>
      </c>
      <c r="U1735" s="132">
        <v>1860</v>
      </c>
      <c r="V1735" s="132">
        <f t="shared" si="40"/>
        <v>17732</v>
      </c>
      <c r="W1735">
        <v>186</v>
      </c>
      <c r="X1735" s="153" t="s">
        <v>1430</v>
      </c>
      <c r="Y1735" s="124" t="s">
        <v>55</v>
      </c>
      <c r="Z1735" s="308">
        <v>226</v>
      </c>
      <c r="AB1735" t="str">
        <f>IF(Table1[[#This Row],[TIPO2]]="costo", VLOOKUP(Table1[[#This Row],[PARTIDA PRESUPUESTAL]],'Cost Report'!G:G,1,0),"Balance")</f>
        <v>2805-004</v>
      </c>
      <c r="AC1735" s="118"/>
      <c r="AD1735" s="159">
        <f>+Table1[[#This Row],[SUBTOTAL]]+Table1[[#This Row],[IVA]]-Table1[[#This Row],[RET IVA]]-Table1[[#This Row],[RET ISR]]-Table1[[#This Row],[TOTAL]]</f>
        <v>0</v>
      </c>
      <c r="AE1735" s="152"/>
      <c r="AF1735" s="153"/>
      <c r="AG1735" s="126"/>
      <c r="AK1735" s="306" t="str">
        <f>IF(ISNUMBER(Table1[[#This Row],[FECHA DE RECIBIDO]]), Table1[[#This Row],[FECHA DE RECIBIDO]]-DATE(2023,8,30), "")</f>
        <v/>
      </c>
    </row>
    <row r="1736" spans="1:37" ht="16.05" customHeight="1">
      <c r="A1736" s="150" t="s">
        <v>3541</v>
      </c>
      <c r="B1736" s="151">
        <v>622</v>
      </c>
      <c r="C1736" s="126" t="s">
        <v>1859</v>
      </c>
      <c r="D1736">
        <v>1147</v>
      </c>
      <c r="E1736" s="126" t="s">
        <v>3227</v>
      </c>
      <c r="F1736" s="122" t="s">
        <v>1589</v>
      </c>
      <c r="G1736" s="122" t="s">
        <v>129</v>
      </c>
      <c r="H1736">
        <v>209</v>
      </c>
      <c r="I1736" s="122" t="s">
        <v>1546</v>
      </c>
      <c r="J1736" s="307" t="s">
        <v>214</v>
      </c>
      <c r="K1736" s="127" t="s">
        <v>3418</v>
      </c>
      <c r="L1736" s="151" t="s">
        <v>110</v>
      </c>
      <c r="M1736">
        <v>274</v>
      </c>
      <c r="N1736" s="123">
        <v>74</v>
      </c>
      <c r="O1736">
        <v>1127</v>
      </c>
      <c r="P1736" s="132" t="s">
        <v>77</v>
      </c>
      <c r="Q1736" s="131">
        <v>24000</v>
      </c>
      <c r="R1736" s="131">
        <v>0</v>
      </c>
      <c r="S1736" s="131"/>
      <c r="T1736" s="155">
        <v>0</v>
      </c>
      <c r="U1736" s="131">
        <v>2400</v>
      </c>
      <c r="V1736" s="131">
        <f t="shared" si="40"/>
        <v>21600</v>
      </c>
      <c r="W1736">
        <v>130</v>
      </c>
      <c r="X1736" s="151" t="s">
        <v>1434</v>
      </c>
      <c r="Y1736" s="135" t="s">
        <v>55</v>
      </c>
      <c r="Z1736" s="307">
        <v>226</v>
      </c>
      <c r="AB1736" t="str">
        <f>IF(Table1[[#This Row],[TIPO2]]="costo", VLOOKUP(Table1[[#This Row],[PARTIDA PRESUPUESTAL]],'Cost Report'!G:G,1,0),"Balance")</f>
        <v>3416-004</v>
      </c>
      <c r="AC1736" s="118"/>
      <c r="AD1736" s="159">
        <f>+Table1[[#This Row],[SUBTOTAL]]+Table1[[#This Row],[IVA]]-Table1[[#This Row],[RET IVA]]-Table1[[#This Row],[RET ISR]]-Table1[[#This Row],[TOTAL]]</f>
        <v>0</v>
      </c>
      <c r="AE1736" s="150"/>
      <c r="AF1736" s="151"/>
      <c r="AG1736" s="126"/>
      <c r="AK1736" s="306" t="str">
        <f>IF(ISNUMBER(Table1[[#This Row],[FECHA DE RECIBIDO]]), Table1[[#This Row],[FECHA DE RECIBIDO]]-DATE(2023,8,30), "")</f>
        <v/>
      </c>
    </row>
    <row r="1737" spans="1:37" ht="16.05" customHeight="1">
      <c r="A1737" s="152" t="s">
        <v>3542</v>
      </c>
      <c r="B1737" s="153">
        <v>623</v>
      </c>
      <c r="C1737" s="126" t="s">
        <v>793</v>
      </c>
      <c r="D1737">
        <v>1148</v>
      </c>
      <c r="E1737" s="126" t="s">
        <v>2017</v>
      </c>
      <c r="F1737" s="125" t="s">
        <v>1593</v>
      </c>
      <c r="G1737" s="125" t="s">
        <v>109</v>
      </c>
      <c r="H1737">
        <v>115</v>
      </c>
      <c r="I1737" s="125" t="s">
        <v>1546</v>
      </c>
      <c r="J1737" s="308" t="s">
        <v>214</v>
      </c>
      <c r="K1737" s="127" t="s">
        <v>3418</v>
      </c>
      <c r="L1737" s="153" t="s">
        <v>110</v>
      </c>
      <c r="M1737">
        <v>153</v>
      </c>
      <c r="N1737" s="123">
        <v>45</v>
      </c>
      <c r="O1737">
        <v>1128</v>
      </c>
      <c r="P1737" s="132" t="s">
        <v>77</v>
      </c>
      <c r="Q1737" s="132">
        <v>84000</v>
      </c>
      <c r="R1737" s="132">
        <v>13440</v>
      </c>
      <c r="S1737" s="132"/>
      <c r="T1737" s="156">
        <v>8960.02</v>
      </c>
      <c r="U1737" s="132">
        <v>1050</v>
      </c>
      <c r="V1737" s="132">
        <f t="shared" si="40"/>
        <v>87429.98</v>
      </c>
      <c r="W1737">
        <v>77</v>
      </c>
      <c r="X1737" s="153" t="s">
        <v>1431</v>
      </c>
      <c r="Y1737" s="124" t="s">
        <v>55</v>
      </c>
      <c r="Z1737" s="308">
        <v>226</v>
      </c>
      <c r="AB1737" t="str">
        <f>IF(Table1[[#This Row],[TIPO2]]="costo", VLOOKUP(Table1[[#This Row],[PARTIDA PRESUPUESTAL]],'Cost Report'!G:G,1,0),"Balance")</f>
        <v>3101-004</v>
      </c>
      <c r="AC1737" s="118"/>
      <c r="AD1737" s="159">
        <f>+Table1[[#This Row],[SUBTOTAL]]+Table1[[#This Row],[IVA]]-Table1[[#This Row],[RET IVA]]-Table1[[#This Row],[RET ISR]]-Table1[[#This Row],[TOTAL]]</f>
        <v>0</v>
      </c>
      <c r="AE1737" s="152"/>
      <c r="AF1737" s="153"/>
      <c r="AG1737" s="126"/>
      <c r="AK1737" s="306" t="str">
        <f>IF(ISNUMBER(Table1[[#This Row],[FECHA DE RECIBIDO]]), Table1[[#This Row],[FECHA DE RECIBIDO]]-DATE(2023,8,30), "")</f>
        <v/>
      </c>
    </row>
    <row r="1738" spans="1:37" ht="16.05" customHeight="1">
      <c r="A1738" s="150" t="s">
        <v>3543</v>
      </c>
      <c r="B1738" s="151">
        <v>624</v>
      </c>
      <c r="C1738" s="126" t="s">
        <v>793</v>
      </c>
      <c r="D1738">
        <v>1149</v>
      </c>
      <c r="E1738" s="126" t="s">
        <v>2017</v>
      </c>
      <c r="F1738" s="122" t="s">
        <v>1593</v>
      </c>
      <c r="G1738" s="122" t="s">
        <v>109</v>
      </c>
      <c r="H1738">
        <v>115</v>
      </c>
      <c r="I1738" s="122" t="s">
        <v>1546</v>
      </c>
      <c r="J1738" s="307" t="s">
        <v>214</v>
      </c>
      <c r="K1738" s="127" t="s">
        <v>3418</v>
      </c>
      <c r="L1738" s="151" t="s">
        <v>110</v>
      </c>
      <c r="M1738">
        <v>153</v>
      </c>
      <c r="N1738" s="123">
        <v>45</v>
      </c>
      <c r="O1738">
        <v>1129</v>
      </c>
      <c r="P1738" s="132" t="s">
        <v>77</v>
      </c>
      <c r="Q1738" s="131">
        <v>84000</v>
      </c>
      <c r="R1738" s="131">
        <v>13440</v>
      </c>
      <c r="S1738" s="131"/>
      <c r="T1738" s="155">
        <v>8960.02</v>
      </c>
      <c r="U1738" s="131">
        <v>1050</v>
      </c>
      <c r="V1738" s="131">
        <f t="shared" si="40"/>
        <v>87429.98</v>
      </c>
      <c r="W1738">
        <v>77</v>
      </c>
      <c r="X1738" s="151" t="s">
        <v>1431</v>
      </c>
      <c r="Y1738" s="135" t="s">
        <v>55</v>
      </c>
      <c r="Z1738" s="307">
        <v>226</v>
      </c>
      <c r="AB1738" t="str">
        <f>IF(Table1[[#This Row],[TIPO2]]="costo", VLOOKUP(Table1[[#This Row],[PARTIDA PRESUPUESTAL]],'Cost Report'!G:G,1,0),"Balance")</f>
        <v>3101-004</v>
      </c>
      <c r="AC1738" s="118"/>
      <c r="AD1738" s="159">
        <f>+Table1[[#This Row],[SUBTOTAL]]+Table1[[#This Row],[IVA]]-Table1[[#This Row],[RET IVA]]-Table1[[#This Row],[RET ISR]]-Table1[[#This Row],[TOTAL]]</f>
        <v>0</v>
      </c>
      <c r="AE1738" s="150"/>
      <c r="AF1738" s="151"/>
      <c r="AG1738" s="126"/>
      <c r="AK1738" s="306" t="str">
        <f>IF(ISNUMBER(Table1[[#This Row],[FECHA DE RECIBIDO]]), Table1[[#This Row],[FECHA DE RECIBIDO]]-DATE(2023,8,30), "")</f>
        <v/>
      </c>
    </row>
    <row r="1739" spans="1:37" ht="16.05" customHeight="1">
      <c r="A1739" s="152" t="s">
        <v>3544</v>
      </c>
      <c r="B1739" s="153">
        <v>625</v>
      </c>
      <c r="C1739" s="126" t="s">
        <v>808</v>
      </c>
      <c r="D1739">
        <v>1150</v>
      </c>
      <c r="E1739" s="126" t="s">
        <v>3273</v>
      </c>
      <c r="F1739" s="125" t="s">
        <v>1589</v>
      </c>
      <c r="G1739" s="125" t="s">
        <v>129</v>
      </c>
      <c r="H1739">
        <v>350</v>
      </c>
      <c r="I1739" s="125" t="s">
        <v>1546</v>
      </c>
      <c r="J1739" s="308" t="s">
        <v>214</v>
      </c>
      <c r="K1739" s="127" t="s">
        <v>3418</v>
      </c>
      <c r="L1739" s="153" t="s">
        <v>110</v>
      </c>
      <c r="M1739">
        <v>467</v>
      </c>
      <c r="N1739" s="123">
        <v>92</v>
      </c>
      <c r="O1739">
        <v>1130</v>
      </c>
      <c r="P1739" s="132" t="s">
        <v>77</v>
      </c>
      <c r="Q1739" s="132">
        <v>19706.5</v>
      </c>
      <c r="R1739" s="132">
        <v>3153.04</v>
      </c>
      <c r="S1739" s="132"/>
      <c r="T1739" s="156">
        <v>2102.0300000000002</v>
      </c>
      <c r="U1739" s="132">
        <v>1970.65</v>
      </c>
      <c r="V1739" s="132">
        <f t="shared" si="40"/>
        <v>18786.86</v>
      </c>
      <c r="W1739">
        <v>187</v>
      </c>
      <c r="X1739" s="153" t="s">
        <v>1429</v>
      </c>
      <c r="Y1739" s="124" t="s">
        <v>55</v>
      </c>
      <c r="Z1739" s="308">
        <v>226</v>
      </c>
      <c r="AB1739" t="str">
        <f>IF(Table1[[#This Row],[TIPO2]]="costo", VLOOKUP(Table1[[#This Row],[PARTIDA PRESUPUESTAL]],'Cost Report'!G:G,1,0),"Balance")</f>
        <v>3104-003</v>
      </c>
      <c r="AC1739" s="118"/>
      <c r="AD1739" s="159">
        <f>+Table1[[#This Row],[SUBTOTAL]]+Table1[[#This Row],[IVA]]-Table1[[#This Row],[RET IVA]]-Table1[[#This Row],[RET ISR]]-Table1[[#This Row],[TOTAL]]</f>
        <v>0</v>
      </c>
      <c r="AE1739" s="152"/>
      <c r="AF1739" s="153"/>
      <c r="AG1739" s="126"/>
      <c r="AK1739" s="306" t="str">
        <f>IF(ISNUMBER(Table1[[#This Row],[FECHA DE RECIBIDO]]), Table1[[#This Row],[FECHA DE RECIBIDO]]-DATE(2023,8,30), "")</f>
        <v/>
      </c>
    </row>
    <row r="1740" spans="1:37" ht="16.05" customHeight="1">
      <c r="A1740" s="150" t="s">
        <v>3545</v>
      </c>
      <c r="B1740" s="151">
        <v>626</v>
      </c>
      <c r="C1740" s="126" t="s">
        <v>809</v>
      </c>
      <c r="D1740">
        <v>1151</v>
      </c>
      <c r="E1740" s="126" t="s">
        <v>3273</v>
      </c>
      <c r="F1740" s="122" t="s">
        <v>1589</v>
      </c>
      <c r="G1740" s="122" t="s">
        <v>129</v>
      </c>
      <c r="H1740">
        <v>350</v>
      </c>
      <c r="I1740" s="122" t="s">
        <v>1546</v>
      </c>
      <c r="J1740" s="307" t="s">
        <v>214</v>
      </c>
      <c r="K1740" s="127" t="s">
        <v>3418</v>
      </c>
      <c r="L1740" s="151" t="s">
        <v>110</v>
      </c>
      <c r="M1740">
        <v>467</v>
      </c>
      <c r="N1740" s="123">
        <v>92</v>
      </c>
      <c r="O1740">
        <v>1131</v>
      </c>
      <c r="P1740" s="132" t="s">
        <v>77</v>
      </c>
      <c r="Q1740" s="131">
        <v>43000</v>
      </c>
      <c r="R1740" s="131">
        <v>6880</v>
      </c>
      <c r="S1740" s="131"/>
      <c r="T1740" s="155">
        <v>4586.68</v>
      </c>
      <c r="U1740" s="131">
        <v>4300</v>
      </c>
      <c r="V1740" s="131">
        <f t="shared" si="40"/>
        <v>40993.32</v>
      </c>
      <c r="W1740">
        <v>187</v>
      </c>
      <c r="X1740" s="151" t="s">
        <v>1429</v>
      </c>
      <c r="Y1740" s="135" t="s">
        <v>55</v>
      </c>
      <c r="Z1740" s="307">
        <v>226</v>
      </c>
      <c r="AB1740" t="str">
        <f>IF(Table1[[#This Row],[TIPO2]]="costo", VLOOKUP(Table1[[#This Row],[PARTIDA PRESUPUESTAL]],'Cost Report'!G:G,1,0),"Balance")</f>
        <v>3104-004</v>
      </c>
      <c r="AC1740" s="118"/>
      <c r="AD1740" s="159">
        <f>+Table1[[#This Row],[SUBTOTAL]]+Table1[[#This Row],[IVA]]-Table1[[#This Row],[RET IVA]]-Table1[[#This Row],[RET ISR]]-Table1[[#This Row],[TOTAL]]</f>
        <v>0</v>
      </c>
      <c r="AE1740" s="150"/>
      <c r="AF1740" s="151"/>
      <c r="AG1740" s="126"/>
      <c r="AK1740" s="306" t="str">
        <f>IF(ISNUMBER(Table1[[#This Row],[FECHA DE RECIBIDO]]), Table1[[#This Row],[FECHA DE RECIBIDO]]-DATE(2023,8,30), "")</f>
        <v/>
      </c>
    </row>
    <row r="1741" spans="1:37" ht="16.05" customHeight="1">
      <c r="A1741" s="152" t="s">
        <v>3546</v>
      </c>
      <c r="B1741" s="153">
        <v>627</v>
      </c>
      <c r="C1741" s="126" t="s">
        <v>802</v>
      </c>
      <c r="D1741">
        <v>1152</v>
      </c>
      <c r="E1741" s="126" t="s">
        <v>3643</v>
      </c>
      <c r="F1741" s="125" t="s">
        <v>1589</v>
      </c>
      <c r="G1741" s="125" t="s">
        <v>129</v>
      </c>
      <c r="H1741">
        <v>351</v>
      </c>
      <c r="I1741" s="125" t="s">
        <v>1546</v>
      </c>
      <c r="J1741" s="308" t="s">
        <v>214</v>
      </c>
      <c r="K1741" s="127" t="s">
        <v>3418</v>
      </c>
      <c r="L1741" s="153" t="s">
        <v>110</v>
      </c>
      <c r="M1741">
        <v>468</v>
      </c>
      <c r="N1741" s="123">
        <v>93</v>
      </c>
      <c r="O1741">
        <v>1132</v>
      </c>
      <c r="P1741" s="132" t="s">
        <v>77</v>
      </c>
      <c r="Q1741" s="132">
        <v>13125</v>
      </c>
      <c r="R1741" s="132">
        <v>2100</v>
      </c>
      <c r="S1741" s="132"/>
      <c r="T1741" s="156">
        <v>1400</v>
      </c>
      <c r="U1741" s="132">
        <v>1312.5</v>
      </c>
      <c r="V1741" s="132">
        <f t="shared" si="40"/>
        <v>12512.5</v>
      </c>
      <c r="W1741">
        <v>188</v>
      </c>
      <c r="X1741" s="153" t="s">
        <v>1429</v>
      </c>
      <c r="Y1741" s="124" t="s">
        <v>55</v>
      </c>
      <c r="Z1741" s="308">
        <v>226</v>
      </c>
      <c r="AB1741" t="str">
        <f>IF(Table1[[#This Row],[TIPO2]]="costo", VLOOKUP(Table1[[#This Row],[PARTIDA PRESUPUESTAL]],'Cost Report'!G:G,1,0),"Balance")</f>
        <v>3102-009</v>
      </c>
      <c r="AC1741" s="118"/>
      <c r="AD1741" s="159">
        <f>+Table1[[#This Row],[SUBTOTAL]]+Table1[[#This Row],[IVA]]-Table1[[#This Row],[RET IVA]]-Table1[[#This Row],[RET ISR]]-Table1[[#This Row],[TOTAL]]</f>
        <v>0</v>
      </c>
      <c r="AE1741" s="152"/>
      <c r="AF1741" s="153"/>
      <c r="AG1741" s="126"/>
      <c r="AK1741" s="306" t="str">
        <f>IF(ISNUMBER(Table1[[#This Row],[FECHA DE RECIBIDO]]), Table1[[#This Row],[FECHA DE RECIBIDO]]-DATE(2023,8,30), "")</f>
        <v/>
      </c>
    </row>
    <row r="1742" spans="1:37" ht="16.05" customHeight="1">
      <c r="A1742" s="150" t="s">
        <v>3547</v>
      </c>
      <c r="B1742" s="151">
        <v>628</v>
      </c>
      <c r="C1742" s="126" t="s">
        <v>803</v>
      </c>
      <c r="D1742">
        <v>1153</v>
      </c>
      <c r="E1742" s="126" t="s">
        <v>3643</v>
      </c>
      <c r="F1742" s="122" t="s">
        <v>1589</v>
      </c>
      <c r="G1742" s="122" t="s">
        <v>129</v>
      </c>
      <c r="H1742">
        <v>351</v>
      </c>
      <c r="I1742" s="122" t="s">
        <v>1546</v>
      </c>
      <c r="J1742" s="307" t="s">
        <v>214</v>
      </c>
      <c r="K1742" s="127" t="s">
        <v>3418</v>
      </c>
      <c r="L1742" s="151" t="s">
        <v>110</v>
      </c>
      <c r="M1742">
        <v>468</v>
      </c>
      <c r="N1742" s="123">
        <v>93</v>
      </c>
      <c r="O1742">
        <v>1133</v>
      </c>
      <c r="P1742" s="132" t="s">
        <v>77</v>
      </c>
      <c r="Q1742" s="131">
        <v>52500</v>
      </c>
      <c r="R1742" s="131">
        <v>8400</v>
      </c>
      <c r="S1742" s="131"/>
      <c r="T1742" s="155">
        <v>5600.02</v>
      </c>
      <c r="U1742" s="131">
        <v>5250</v>
      </c>
      <c r="V1742" s="131">
        <f t="shared" si="40"/>
        <v>50049.979999999996</v>
      </c>
      <c r="W1742">
        <v>188</v>
      </c>
      <c r="X1742" s="151" t="s">
        <v>1429</v>
      </c>
      <c r="Y1742" s="135" t="s">
        <v>55</v>
      </c>
      <c r="Z1742" s="307">
        <v>226</v>
      </c>
      <c r="AB1742" t="str">
        <f>IF(Table1[[#This Row],[TIPO2]]="costo", VLOOKUP(Table1[[#This Row],[PARTIDA PRESUPUESTAL]],'Cost Report'!G:G,1,0),"Balance")</f>
        <v>3102-010</v>
      </c>
      <c r="AC1742" s="118"/>
      <c r="AD1742" s="159">
        <f>+Table1[[#This Row],[SUBTOTAL]]+Table1[[#This Row],[IVA]]-Table1[[#This Row],[RET IVA]]-Table1[[#This Row],[RET ISR]]-Table1[[#This Row],[TOTAL]]</f>
        <v>0</v>
      </c>
      <c r="AE1742" s="150"/>
      <c r="AF1742" s="151"/>
      <c r="AG1742" s="126"/>
      <c r="AK1742" s="306" t="str">
        <f>IF(ISNUMBER(Table1[[#This Row],[FECHA DE RECIBIDO]]), Table1[[#This Row],[FECHA DE RECIBIDO]]-DATE(2023,8,30), "")</f>
        <v/>
      </c>
    </row>
    <row r="1743" spans="1:37" ht="16.05" customHeight="1">
      <c r="A1743" s="152" t="s">
        <v>3548</v>
      </c>
      <c r="B1743" s="153">
        <v>629</v>
      </c>
      <c r="C1743" s="126" t="s">
        <v>1837</v>
      </c>
      <c r="D1743">
        <v>1154</v>
      </c>
      <c r="E1743" s="126" t="s">
        <v>3644</v>
      </c>
      <c r="F1743" s="125" t="s">
        <v>1602</v>
      </c>
      <c r="G1743" s="125" t="s">
        <v>1617</v>
      </c>
      <c r="H1743">
        <v>352</v>
      </c>
      <c r="I1743" s="125" t="s">
        <v>1546</v>
      </c>
      <c r="J1743" s="308" t="s">
        <v>214</v>
      </c>
      <c r="K1743" s="127" t="s">
        <v>3418</v>
      </c>
      <c r="L1743" s="153" t="s">
        <v>110</v>
      </c>
      <c r="M1743">
        <v>469</v>
      </c>
      <c r="N1743" s="123">
        <v>94</v>
      </c>
      <c r="O1743">
        <v>1134</v>
      </c>
      <c r="P1743" s="132" t="s">
        <v>77</v>
      </c>
      <c r="Q1743" s="132">
        <v>7500</v>
      </c>
      <c r="R1743" s="132">
        <v>1200</v>
      </c>
      <c r="S1743" s="132"/>
      <c r="T1743" s="156">
        <v>800</v>
      </c>
      <c r="U1743" s="132">
        <v>0</v>
      </c>
      <c r="V1743" s="132">
        <f t="shared" si="40"/>
        <v>7900</v>
      </c>
      <c r="W1743">
        <v>189</v>
      </c>
      <c r="X1743" s="153" t="s">
        <v>1431</v>
      </c>
      <c r="Y1743" s="124" t="s">
        <v>55</v>
      </c>
      <c r="Z1743" s="308">
        <v>226</v>
      </c>
      <c r="AB1743" t="str">
        <f>IF(Table1[[#This Row],[TIPO2]]="costo", VLOOKUP(Table1[[#This Row],[PARTIDA PRESUPUESTAL]],'Cost Report'!G:G,1,0),"Balance")</f>
        <v>3145-020</v>
      </c>
      <c r="AC1743" s="118"/>
      <c r="AD1743" s="159">
        <f>+Table1[[#This Row],[SUBTOTAL]]+Table1[[#This Row],[IVA]]-Table1[[#This Row],[RET IVA]]-Table1[[#This Row],[RET ISR]]-Table1[[#This Row],[TOTAL]]</f>
        <v>0</v>
      </c>
      <c r="AE1743" s="152"/>
      <c r="AF1743" s="153"/>
      <c r="AG1743" s="126"/>
      <c r="AK1743" s="306" t="str">
        <f>IF(ISNUMBER(Table1[[#This Row],[FECHA DE RECIBIDO]]), Table1[[#This Row],[FECHA DE RECIBIDO]]-DATE(2023,8,30), "")</f>
        <v/>
      </c>
    </row>
    <row r="1744" spans="1:37" ht="16.05" customHeight="1">
      <c r="A1744" s="150" t="s">
        <v>3549</v>
      </c>
      <c r="B1744" s="151">
        <v>630</v>
      </c>
      <c r="C1744" s="126" t="s">
        <v>1838</v>
      </c>
      <c r="D1744">
        <v>1155</v>
      </c>
      <c r="E1744" s="126" t="s">
        <v>3644</v>
      </c>
      <c r="F1744" s="122" t="s">
        <v>1602</v>
      </c>
      <c r="G1744" s="122" t="s">
        <v>1617</v>
      </c>
      <c r="H1744">
        <v>352</v>
      </c>
      <c r="I1744" s="122" t="s">
        <v>1546</v>
      </c>
      <c r="J1744" s="307" t="s">
        <v>214</v>
      </c>
      <c r="K1744" s="127" t="s">
        <v>3418</v>
      </c>
      <c r="L1744" s="151" t="s">
        <v>110</v>
      </c>
      <c r="M1744">
        <v>469</v>
      </c>
      <c r="N1744" s="123">
        <v>94</v>
      </c>
      <c r="O1744">
        <v>1135</v>
      </c>
      <c r="P1744" s="132" t="s">
        <v>77</v>
      </c>
      <c r="Q1744" s="131">
        <v>30000</v>
      </c>
      <c r="R1744" s="131">
        <v>4800</v>
      </c>
      <c r="S1744" s="131"/>
      <c r="T1744" s="155">
        <v>3200</v>
      </c>
      <c r="U1744" s="131">
        <v>0</v>
      </c>
      <c r="V1744" s="131">
        <f t="shared" si="40"/>
        <v>31600</v>
      </c>
      <c r="W1744">
        <v>189</v>
      </c>
      <c r="X1744" s="151" t="s">
        <v>1431</v>
      </c>
      <c r="Y1744" s="135" t="s">
        <v>55</v>
      </c>
      <c r="Z1744" s="307">
        <v>226</v>
      </c>
      <c r="AB1744" t="str">
        <f>IF(Table1[[#This Row],[TIPO2]]="costo", VLOOKUP(Table1[[#This Row],[PARTIDA PRESUPUESTAL]],'Cost Report'!G:G,1,0),"Balance")</f>
        <v>3145-021</v>
      </c>
      <c r="AC1744" s="118"/>
      <c r="AD1744" s="159">
        <f>+Table1[[#This Row],[SUBTOTAL]]+Table1[[#This Row],[IVA]]-Table1[[#This Row],[RET IVA]]-Table1[[#This Row],[RET ISR]]-Table1[[#This Row],[TOTAL]]</f>
        <v>0</v>
      </c>
      <c r="AE1744" s="150"/>
      <c r="AF1744" s="151"/>
      <c r="AG1744" s="126"/>
      <c r="AK1744" s="306" t="str">
        <f>IF(ISNUMBER(Table1[[#This Row],[FECHA DE RECIBIDO]]), Table1[[#This Row],[FECHA DE RECIBIDO]]-DATE(2023,8,30), "")</f>
        <v/>
      </c>
    </row>
    <row r="1745" spans="1:37" ht="16.05" customHeight="1">
      <c r="A1745" s="152" t="s">
        <v>3550</v>
      </c>
      <c r="B1745" s="153">
        <v>631</v>
      </c>
      <c r="C1745" s="126" t="s">
        <v>817</v>
      </c>
      <c r="D1745">
        <v>1156</v>
      </c>
      <c r="E1745" s="126" t="s">
        <v>2005</v>
      </c>
      <c r="F1745" s="125" t="s">
        <v>1589</v>
      </c>
      <c r="G1745" s="125" t="s">
        <v>129</v>
      </c>
      <c r="H1745">
        <v>353</v>
      </c>
      <c r="I1745" s="125" t="s">
        <v>1546</v>
      </c>
      <c r="J1745" s="308" t="s">
        <v>214</v>
      </c>
      <c r="K1745" s="127" t="s">
        <v>3418</v>
      </c>
      <c r="L1745" s="153" t="s">
        <v>110</v>
      </c>
      <c r="M1745">
        <v>470</v>
      </c>
      <c r="N1745" s="123">
        <v>95</v>
      </c>
      <c r="O1745">
        <v>1136</v>
      </c>
      <c r="P1745" s="132" t="s">
        <v>77</v>
      </c>
      <c r="Q1745" s="132">
        <v>40000</v>
      </c>
      <c r="R1745" s="132">
        <v>6400</v>
      </c>
      <c r="S1745" s="132"/>
      <c r="T1745" s="156">
        <v>4266.68</v>
      </c>
      <c r="U1745" s="132">
        <v>4000</v>
      </c>
      <c r="V1745" s="132">
        <f t="shared" si="40"/>
        <v>38133.32</v>
      </c>
      <c r="W1745">
        <v>190</v>
      </c>
      <c r="X1745" s="153" t="s">
        <v>1429</v>
      </c>
      <c r="Y1745" s="124" t="s">
        <v>55</v>
      </c>
      <c r="Z1745" s="308">
        <v>226</v>
      </c>
      <c r="AB1745" t="str">
        <f>IF(Table1[[#This Row],[TIPO2]]="costo", VLOOKUP(Table1[[#This Row],[PARTIDA PRESUPUESTAL]],'Cost Report'!G:G,1,0),"Balance")</f>
        <v>3109-004</v>
      </c>
      <c r="AC1745" s="118"/>
      <c r="AD1745" s="159">
        <f>+Table1[[#This Row],[SUBTOTAL]]+Table1[[#This Row],[IVA]]-Table1[[#This Row],[RET IVA]]-Table1[[#This Row],[RET ISR]]-Table1[[#This Row],[TOTAL]]</f>
        <v>0</v>
      </c>
      <c r="AE1745" s="152"/>
      <c r="AF1745" s="153"/>
      <c r="AG1745" s="126"/>
      <c r="AK1745" s="306" t="str">
        <f>IF(ISNUMBER(Table1[[#This Row],[FECHA DE RECIBIDO]]), Table1[[#This Row],[FECHA DE RECIBIDO]]-DATE(2023,8,30), "")</f>
        <v/>
      </c>
    </row>
    <row r="1746" spans="1:37" ht="16.05" customHeight="1">
      <c r="A1746" s="150" t="s">
        <v>3551</v>
      </c>
      <c r="B1746" s="151">
        <v>632</v>
      </c>
      <c r="C1746" s="126" t="s">
        <v>3002</v>
      </c>
      <c r="D1746">
        <v>1157</v>
      </c>
      <c r="E1746" s="126" t="s">
        <v>2005</v>
      </c>
      <c r="F1746" s="122" t="s">
        <v>1589</v>
      </c>
      <c r="G1746" s="122" t="s">
        <v>129</v>
      </c>
      <c r="H1746">
        <v>353</v>
      </c>
      <c r="I1746" s="122" t="s">
        <v>1546</v>
      </c>
      <c r="J1746" s="307" t="s">
        <v>214</v>
      </c>
      <c r="K1746" s="127" t="s">
        <v>3418</v>
      </c>
      <c r="L1746" s="151" t="s">
        <v>110</v>
      </c>
      <c r="M1746">
        <v>470</v>
      </c>
      <c r="N1746" s="123">
        <v>95</v>
      </c>
      <c r="O1746">
        <v>1137</v>
      </c>
      <c r="P1746" s="132" t="s">
        <v>77</v>
      </c>
      <c r="Q1746" s="131">
        <v>11666.52</v>
      </c>
      <c r="R1746" s="131">
        <v>1866.63</v>
      </c>
      <c r="S1746" s="131"/>
      <c r="T1746" s="155">
        <v>1244.44</v>
      </c>
      <c r="U1746" s="131">
        <v>1166.6400000000001</v>
      </c>
      <c r="V1746" s="131">
        <f t="shared" si="40"/>
        <v>11122.070000000002</v>
      </c>
      <c r="W1746">
        <v>190</v>
      </c>
      <c r="X1746" s="151" t="s">
        <v>1429</v>
      </c>
      <c r="Y1746" s="135" t="s">
        <v>55</v>
      </c>
      <c r="Z1746" s="307">
        <v>226</v>
      </c>
      <c r="AB1746" t="str">
        <f>IF(Table1[[#This Row],[TIPO2]]="costo", VLOOKUP(Table1[[#This Row],[PARTIDA PRESUPUESTAL]],'Cost Report'!G:G,1,0),"Balance")</f>
        <v>4180-003</v>
      </c>
      <c r="AC1746" s="118"/>
      <c r="AD1746" s="159">
        <f>+Table1[[#This Row],[SUBTOTAL]]+Table1[[#This Row],[IVA]]-Table1[[#This Row],[RET IVA]]-Table1[[#This Row],[RET ISR]]-Table1[[#This Row],[TOTAL]]</f>
        <v>0</v>
      </c>
      <c r="AE1746" s="150"/>
      <c r="AF1746" s="151"/>
      <c r="AG1746" s="126"/>
      <c r="AK1746" s="306" t="str">
        <f>IF(ISNUMBER(Table1[[#This Row],[FECHA DE RECIBIDO]]), Table1[[#This Row],[FECHA DE RECIBIDO]]-DATE(2023,8,30), "")</f>
        <v/>
      </c>
    </row>
    <row r="1747" spans="1:37" ht="16.05" customHeight="1">
      <c r="A1747" s="152" t="s">
        <v>3552</v>
      </c>
      <c r="B1747" s="153">
        <v>633</v>
      </c>
      <c r="C1747" s="126" t="s">
        <v>2677</v>
      </c>
      <c r="D1747">
        <v>1158</v>
      </c>
      <c r="E1747" s="126" t="s">
        <v>2006</v>
      </c>
      <c r="F1747" s="125" t="s">
        <v>1589</v>
      </c>
      <c r="G1747" s="125" t="s">
        <v>129</v>
      </c>
      <c r="H1747">
        <v>354</v>
      </c>
      <c r="I1747" s="125" t="s">
        <v>1546</v>
      </c>
      <c r="J1747" s="308" t="s">
        <v>214</v>
      </c>
      <c r="K1747" s="127" t="s">
        <v>3418</v>
      </c>
      <c r="L1747" s="153" t="s">
        <v>110</v>
      </c>
      <c r="M1747">
        <v>471</v>
      </c>
      <c r="N1747" s="123">
        <v>96</v>
      </c>
      <c r="O1747">
        <v>1138</v>
      </c>
      <c r="P1747" s="132" t="s">
        <v>77</v>
      </c>
      <c r="Q1747" s="132">
        <v>28000</v>
      </c>
      <c r="R1747" s="132">
        <v>4480</v>
      </c>
      <c r="S1747" s="132"/>
      <c r="T1747" s="156">
        <v>2986.68</v>
      </c>
      <c r="U1747" s="132">
        <v>2800</v>
      </c>
      <c r="V1747" s="132">
        <f t="shared" si="40"/>
        <v>26693.32</v>
      </c>
      <c r="W1747">
        <v>191</v>
      </c>
      <c r="X1747" s="153" t="s">
        <v>1431</v>
      </c>
      <c r="Y1747" s="124" t="s">
        <v>55</v>
      </c>
      <c r="Z1747" s="308">
        <v>226</v>
      </c>
      <c r="AB1747" t="str">
        <f>IF(Table1[[#This Row],[TIPO2]]="costo", VLOOKUP(Table1[[#This Row],[PARTIDA PRESUPUESTAL]],'Cost Report'!G:G,1,0),"Balance")</f>
        <v>3108-004</v>
      </c>
      <c r="AC1747" s="118"/>
      <c r="AD1747" s="159">
        <f>+Table1[[#This Row],[SUBTOTAL]]+Table1[[#This Row],[IVA]]-Table1[[#This Row],[RET IVA]]-Table1[[#This Row],[RET ISR]]-Table1[[#This Row],[TOTAL]]</f>
        <v>0</v>
      </c>
      <c r="AE1747" s="152"/>
      <c r="AF1747" s="153"/>
      <c r="AG1747" s="126"/>
      <c r="AK1747" s="306" t="str">
        <f>IF(ISNUMBER(Table1[[#This Row],[FECHA DE RECIBIDO]]), Table1[[#This Row],[FECHA DE RECIBIDO]]-DATE(2023,8,30), "")</f>
        <v/>
      </c>
    </row>
    <row r="1748" spans="1:37" ht="16.05" customHeight="1">
      <c r="A1748" s="150" t="s">
        <v>3553</v>
      </c>
      <c r="B1748" s="151">
        <v>634</v>
      </c>
      <c r="C1748" s="126" t="s">
        <v>920</v>
      </c>
      <c r="D1748">
        <v>1159</v>
      </c>
      <c r="E1748" s="126" t="s">
        <v>3645</v>
      </c>
      <c r="F1748" s="122" t="s">
        <v>1589</v>
      </c>
      <c r="G1748" s="122" t="s">
        <v>129</v>
      </c>
      <c r="H1748">
        <v>355</v>
      </c>
      <c r="I1748" s="122" t="s">
        <v>1546</v>
      </c>
      <c r="J1748" s="307" t="s">
        <v>214</v>
      </c>
      <c r="K1748" s="127" t="s">
        <v>3418</v>
      </c>
      <c r="L1748" s="151" t="s">
        <v>110</v>
      </c>
      <c r="M1748">
        <v>472</v>
      </c>
      <c r="N1748" s="123">
        <v>97</v>
      </c>
      <c r="O1748">
        <v>1139</v>
      </c>
      <c r="P1748" s="132" t="s">
        <v>77</v>
      </c>
      <c r="Q1748" s="131">
        <v>24000</v>
      </c>
      <c r="R1748" s="131">
        <v>3840</v>
      </c>
      <c r="S1748" s="131"/>
      <c r="T1748" s="155">
        <v>2560</v>
      </c>
      <c r="U1748" s="131">
        <v>2400</v>
      </c>
      <c r="V1748" s="131">
        <f t="shared" si="40"/>
        <v>22880</v>
      </c>
      <c r="W1748">
        <v>192</v>
      </c>
      <c r="X1748" s="151" t="s">
        <v>2024</v>
      </c>
      <c r="Y1748" s="135" t="s">
        <v>55</v>
      </c>
      <c r="Z1748" s="307">
        <v>226</v>
      </c>
      <c r="AB1748" t="str">
        <f>IF(Table1[[#This Row],[TIPO2]]="costo", VLOOKUP(Table1[[#This Row],[PARTIDA PRESUPUESTAL]],'Cost Report'!G:G,1,0),"Balance")</f>
        <v>3220-003</v>
      </c>
      <c r="AC1748" s="118"/>
      <c r="AD1748" s="159">
        <f>+Table1[[#This Row],[SUBTOTAL]]+Table1[[#This Row],[IVA]]-Table1[[#This Row],[RET IVA]]-Table1[[#This Row],[RET ISR]]-Table1[[#This Row],[TOTAL]]</f>
        <v>0</v>
      </c>
      <c r="AE1748" s="150"/>
      <c r="AF1748" s="151"/>
      <c r="AG1748" s="126"/>
      <c r="AK1748" s="306" t="str">
        <f>IF(ISNUMBER(Table1[[#This Row],[FECHA DE RECIBIDO]]), Table1[[#This Row],[FECHA DE RECIBIDO]]-DATE(2023,8,30), "")</f>
        <v/>
      </c>
    </row>
    <row r="1749" spans="1:37" ht="16.05" customHeight="1">
      <c r="A1749" s="152" t="s">
        <v>3554</v>
      </c>
      <c r="B1749" s="153">
        <v>635</v>
      </c>
      <c r="C1749" s="126" t="s">
        <v>3002</v>
      </c>
      <c r="D1749">
        <v>1160</v>
      </c>
      <c r="E1749" s="126" t="s">
        <v>3645</v>
      </c>
      <c r="F1749" s="125" t="s">
        <v>1589</v>
      </c>
      <c r="G1749" s="125" t="s">
        <v>129</v>
      </c>
      <c r="H1749">
        <v>355</v>
      </c>
      <c r="I1749" s="125" t="s">
        <v>1546</v>
      </c>
      <c r="J1749" s="308" t="s">
        <v>214</v>
      </c>
      <c r="K1749" s="127" t="s">
        <v>3418</v>
      </c>
      <c r="L1749" s="153" t="s">
        <v>110</v>
      </c>
      <c r="M1749">
        <v>472</v>
      </c>
      <c r="N1749" s="123">
        <v>97</v>
      </c>
      <c r="O1749">
        <v>1140</v>
      </c>
      <c r="P1749" s="132" t="s">
        <v>77</v>
      </c>
      <c r="Q1749" s="132">
        <v>6000</v>
      </c>
      <c r="R1749" s="132">
        <v>960</v>
      </c>
      <c r="S1749" s="132"/>
      <c r="T1749" s="156">
        <v>639.99</v>
      </c>
      <c r="U1749" s="132">
        <v>600</v>
      </c>
      <c r="V1749" s="132">
        <f t="shared" si="40"/>
        <v>5720.01</v>
      </c>
      <c r="W1749">
        <v>192</v>
      </c>
      <c r="X1749" s="153" t="s">
        <v>2024</v>
      </c>
      <c r="Y1749" s="124" t="s">
        <v>55</v>
      </c>
      <c r="Z1749" s="308">
        <v>226</v>
      </c>
      <c r="AB1749" t="str">
        <f>IF(Table1[[#This Row],[TIPO2]]="costo", VLOOKUP(Table1[[#This Row],[PARTIDA PRESUPUESTAL]],'Cost Report'!G:G,1,0),"Balance")</f>
        <v>4180-003</v>
      </c>
      <c r="AC1749" s="118"/>
      <c r="AD1749" s="159">
        <f>+Table1[[#This Row],[SUBTOTAL]]+Table1[[#This Row],[IVA]]-Table1[[#This Row],[RET IVA]]-Table1[[#This Row],[RET ISR]]-Table1[[#This Row],[TOTAL]]</f>
        <v>0</v>
      </c>
      <c r="AE1749" s="152"/>
      <c r="AF1749" s="153"/>
      <c r="AG1749" s="126"/>
      <c r="AK1749" s="306" t="str">
        <f>IF(ISNUMBER(Table1[[#This Row],[FECHA DE RECIBIDO]]), Table1[[#This Row],[FECHA DE RECIBIDO]]-DATE(2023,8,30), "")</f>
        <v/>
      </c>
    </row>
    <row r="1750" spans="1:37" ht="16.05" customHeight="1">
      <c r="A1750" s="150" t="s">
        <v>3555</v>
      </c>
      <c r="B1750" s="151">
        <v>636</v>
      </c>
      <c r="C1750" s="126" t="s">
        <v>3002</v>
      </c>
      <c r="D1750">
        <v>1161</v>
      </c>
      <c r="E1750" s="126" t="s">
        <v>3646</v>
      </c>
      <c r="F1750" s="122" t="s">
        <v>1589</v>
      </c>
      <c r="G1750" s="122" t="s">
        <v>129</v>
      </c>
      <c r="H1750">
        <v>356</v>
      </c>
      <c r="I1750" s="122" t="s">
        <v>1546</v>
      </c>
      <c r="J1750" s="307" t="s">
        <v>214</v>
      </c>
      <c r="K1750" s="127" t="s">
        <v>3418</v>
      </c>
      <c r="L1750" s="151" t="s">
        <v>110</v>
      </c>
      <c r="M1750">
        <v>473</v>
      </c>
      <c r="N1750" s="123">
        <v>98</v>
      </c>
      <c r="O1750">
        <v>1141</v>
      </c>
      <c r="P1750" s="132" t="s">
        <v>77</v>
      </c>
      <c r="Q1750" s="131">
        <v>17200</v>
      </c>
      <c r="R1750" s="131">
        <v>2752</v>
      </c>
      <c r="S1750" s="131"/>
      <c r="T1750" s="155">
        <v>1834.67</v>
      </c>
      <c r="U1750" s="131">
        <v>1720</v>
      </c>
      <c r="V1750" s="131">
        <f t="shared" si="40"/>
        <v>16397.330000000002</v>
      </c>
      <c r="W1750">
        <v>193</v>
      </c>
      <c r="X1750" s="151" t="s">
        <v>1431</v>
      </c>
      <c r="Y1750" s="135" t="s">
        <v>55</v>
      </c>
      <c r="Z1750" s="307">
        <v>226</v>
      </c>
      <c r="AB1750" t="str">
        <f>IF(Table1[[#This Row],[TIPO2]]="costo", VLOOKUP(Table1[[#This Row],[PARTIDA PRESUPUESTAL]],'Cost Report'!G:G,1,0),"Balance")</f>
        <v>4180-003</v>
      </c>
      <c r="AC1750" s="118"/>
      <c r="AD1750" s="159">
        <f>+Table1[[#This Row],[SUBTOTAL]]+Table1[[#This Row],[IVA]]-Table1[[#This Row],[RET IVA]]-Table1[[#This Row],[RET ISR]]-Table1[[#This Row],[TOTAL]]</f>
        <v>0</v>
      </c>
      <c r="AE1750" s="150"/>
      <c r="AF1750" s="151"/>
      <c r="AG1750" s="126"/>
      <c r="AK1750" s="306" t="str">
        <f>IF(ISNUMBER(Table1[[#This Row],[FECHA DE RECIBIDO]]), Table1[[#This Row],[FECHA DE RECIBIDO]]-DATE(2023,8,30), "")</f>
        <v/>
      </c>
    </row>
    <row r="1751" spans="1:37" ht="16.05" customHeight="1">
      <c r="A1751" s="152" t="s">
        <v>3556</v>
      </c>
      <c r="B1751" s="153">
        <v>637</v>
      </c>
      <c r="C1751" s="126" t="s">
        <v>1827</v>
      </c>
      <c r="D1751">
        <v>1162</v>
      </c>
      <c r="E1751" s="126" t="s">
        <v>3646</v>
      </c>
      <c r="F1751" s="125" t="s">
        <v>1589</v>
      </c>
      <c r="G1751" s="125" t="s">
        <v>129</v>
      </c>
      <c r="H1751">
        <v>356</v>
      </c>
      <c r="I1751" s="125" t="s">
        <v>1546</v>
      </c>
      <c r="J1751" s="308" t="s">
        <v>214</v>
      </c>
      <c r="K1751" s="127" t="s">
        <v>3418</v>
      </c>
      <c r="L1751" s="153" t="s">
        <v>110</v>
      </c>
      <c r="M1751">
        <v>473</v>
      </c>
      <c r="N1751" s="123">
        <v>98</v>
      </c>
      <c r="O1751">
        <v>1142</v>
      </c>
      <c r="P1751" s="132" t="s">
        <v>77</v>
      </c>
      <c r="Q1751" s="132">
        <v>34500</v>
      </c>
      <c r="R1751" s="132">
        <v>5520</v>
      </c>
      <c r="S1751" s="132"/>
      <c r="T1751" s="156">
        <v>3680.02</v>
      </c>
      <c r="U1751" s="132">
        <v>3450</v>
      </c>
      <c r="V1751" s="132">
        <f t="shared" si="40"/>
        <v>32889.980000000003</v>
      </c>
      <c r="W1751">
        <v>193</v>
      </c>
      <c r="X1751" s="153" t="s">
        <v>1431</v>
      </c>
      <c r="Y1751" s="124" t="s">
        <v>55</v>
      </c>
      <c r="Z1751" s="308">
        <v>226</v>
      </c>
      <c r="AB1751" t="str">
        <f>IF(Table1[[#This Row],[TIPO2]]="costo", VLOOKUP(Table1[[#This Row],[PARTIDA PRESUPUESTAL]],'Cost Report'!G:G,1,0),"Balance")</f>
        <v>3145-004</v>
      </c>
      <c r="AC1751" s="118"/>
      <c r="AD1751" s="159">
        <f>+Table1[[#This Row],[SUBTOTAL]]+Table1[[#This Row],[IVA]]-Table1[[#This Row],[RET IVA]]-Table1[[#This Row],[RET ISR]]-Table1[[#This Row],[TOTAL]]</f>
        <v>0</v>
      </c>
      <c r="AE1751" s="152"/>
      <c r="AF1751" s="153"/>
      <c r="AG1751" s="126"/>
      <c r="AK1751" s="306" t="str">
        <f>IF(ISNUMBER(Table1[[#This Row],[FECHA DE RECIBIDO]]), Table1[[#This Row],[FECHA DE RECIBIDO]]-DATE(2023,8,30), "")</f>
        <v/>
      </c>
    </row>
    <row r="1752" spans="1:37" ht="16.05" customHeight="1">
      <c r="A1752" s="150" t="s">
        <v>3557</v>
      </c>
      <c r="B1752" s="151">
        <v>638</v>
      </c>
      <c r="C1752" s="126" t="s">
        <v>3002</v>
      </c>
      <c r="D1752">
        <v>1163</v>
      </c>
      <c r="E1752" s="126" t="s">
        <v>3647</v>
      </c>
      <c r="F1752" s="122" t="s">
        <v>1589</v>
      </c>
      <c r="G1752" s="122" t="s">
        <v>129</v>
      </c>
      <c r="H1752">
        <v>357</v>
      </c>
      <c r="I1752" s="122" t="s">
        <v>1546</v>
      </c>
      <c r="J1752" s="307" t="s">
        <v>214</v>
      </c>
      <c r="K1752" s="127" t="s">
        <v>3418</v>
      </c>
      <c r="L1752" s="151" t="s">
        <v>110</v>
      </c>
      <c r="M1752">
        <v>474</v>
      </c>
      <c r="N1752" s="123">
        <v>99</v>
      </c>
      <c r="O1752">
        <v>1143</v>
      </c>
      <c r="P1752" s="132" t="s">
        <v>77</v>
      </c>
      <c r="Q1752" s="131">
        <v>11500</v>
      </c>
      <c r="R1752" s="131">
        <v>1840</v>
      </c>
      <c r="S1752" s="131"/>
      <c r="T1752" s="155">
        <v>1226.67</v>
      </c>
      <c r="U1752" s="131">
        <v>1150</v>
      </c>
      <c r="V1752" s="131">
        <f t="shared" si="40"/>
        <v>10963.33</v>
      </c>
      <c r="W1752">
        <v>194</v>
      </c>
      <c r="X1752" s="151" t="s">
        <v>1429</v>
      </c>
      <c r="Y1752" s="135" t="s">
        <v>55</v>
      </c>
      <c r="Z1752" s="307">
        <v>226</v>
      </c>
      <c r="AB1752" t="str">
        <f>IF(Table1[[#This Row],[TIPO2]]="costo", VLOOKUP(Table1[[#This Row],[PARTIDA PRESUPUESTAL]],'Cost Report'!G:G,1,0),"Balance")</f>
        <v>4180-003</v>
      </c>
      <c r="AC1752" s="118"/>
      <c r="AD1752" s="159">
        <f>+Table1[[#This Row],[SUBTOTAL]]+Table1[[#This Row],[IVA]]-Table1[[#This Row],[RET IVA]]-Table1[[#This Row],[RET ISR]]-Table1[[#This Row],[TOTAL]]</f>
        <v>0</v>
      </c>
      <c r="AE1752" s="150"/>
      <c r="AF1752" s="151"/>
      <c r="AG1752" s="126"/>
      <c r="AK1752" s="306" t="str">
        <f>IF(ISNUMBER(Table1[[#This Row],[FECHA DE RECIBIDO]]), Table1[[#This Row],[FECHA DE RECIBIDO]]-DATE(2023,8,30), "")</f>
        <v/>
      </c>
    </row>
    <row r="1753" spans="1:37" ht="16.05" customHeight="1">
      <c r="A1753" s="152" t="s">
        <v>3558</v>
      </c>
      <c r="B1753" s="153">
        <v>639</v>
      </c>
      <c r="C1753" s="126" t="s">
        <v>3002</v>
      </c>
      <c r="D1753">
        <v>1164</v>
      </c>
      <c r="E1753" s="126" t="s">
        <v>3273</v>
      </c>
      <c r="F1753" s="125" t="s">
        <v>1589</v>
      </c>
      <c r="G1753" s="125" t="s">
        <v>129</v>
      </c>
      <c r="H1753">
        <v>264</v>
      </c>
      <c r="I1753" s="125" t="s">
        <v>1546</v>
      </c>
      <c r="J1753" s="308" t="s">
        <v>214</v>
      </c>
      <c r="K1753" s="127" t="s">
        <v>3418</v>
      </c>
      <c r="L1753" s="153" t="s">
        <v>110</v>
      </c>
      <c r="M1753">
        <v>475</v>
      </c>
      <c r="N1753" s="123">
        <v>1</v>
      </c>
      <c r="O1753">
        <v>1144</v>
      </c>
      <c r="P1753" s="132" t="s">
        <v>77</v>
      </c>
      <c r="Q1753" s="132">
        <v>23827.32</v>
      </c>
      <c r="R1753" s="132">
        <v>3812.37</v>
      </c>
      <c r="S1753" s="132"/>
      <c r="T1753" s="156">
        <v>2541.59</v>
      </c>
      <c r="U1753" s="132">
        <v>2382.73</v>
      </c>
      <c r="V1753" s="132">
        <f t="shared" si="40"/>
        <v>22715.37</v>
      </c>
      <c r="W1753">
        <v>164</v>
      </c>
      <c r="X1753" s="153" t="s">
        <v>1429</v>
      </c>
      <c r="Y1753" s="124" t="s">
        <v>55</v>
      </c>
      <c r="Z1753" s="308">
        <v>226</v>
      </c>
      <c r="AB1753" t="str">
        <f>IF(Table1[[#This Row],[TIPO2]]="costo", VLOOKUP(Table1[[#This Row],[PARTIDA PRESUPUESTAL]],'Cost Report'!G:G,1,0),"Balance")</f>
        <v>4180-003</v>
      </c>
      <c r="AC1753" s="118"/>
      <c r="AD1753" s="159">
        <f>+Table1[[#This Row],[SUBTOTAL]]+Table1[[#This Row],[IVA]]-Table1[[#This Row],[RET IVA]]-Table1[[#This Row],[RET ISR]]-Table1[[#This Row],[TOTAL]]</f>
        <v>0</v>
      </c>
      <c r="AE1753" s="152"/>
      <c r="AF1753" s="153"/>
      <c r="AG1753" s="126"/>
      <c r="AK1753" s="306" t="str">
        <f>IF(ISNUMBER(Table1[[#This Row],[FECHA DE RECIBIDO]]), Table1[[#This Row],[FECHA DE RECIBIDO]]-DATE(2023,8,30), "")</f>
        <v/>
      </c>
    </row>
    <row r="1754" spans="1:37" ht="16.05" customHeight="1">
      <c r="A1754" s="150" t="s">
        <v>3559</v>
      </c>
      <c r="B1754" s="151">
        <v>640</v>
      </c>
      <c r="C1754" s="126" t="s">
        <v>799</v>
      </c>
      <c r="D1754">
        <v>1165</v>
      </c>
      <c r="E1754" s="126" t="s">
        <v>3273</v>
      </c>
      <c r="F1754" s="122" t="s">
        <v>1589</v>
      </c>
      <c r="G1754" s="122" t="s">
        <v>129</v>
      </c>
      <c r="H1754">
        <v>264</v>
      </c>
      <c r="I1754" s="122" t="s">
        <v>1546</v>
      </c>
      <c r="J1754" s="307" t="s">
        <v>214</v>
      </c>
      <c r="K1754" s="127" t="s">
        <v>3418</v>
      </c>
      <c r="L1754" s="151" t="s">
        <v>110</v>
      </c>
      <c r="M1754">
        <v>475</v>
      </c>
      <c r="N1754" s="123">
        <v>1</v>
      </c>
      <c r="O1754">
        <v>1145</v>
      </c>
      <c r="P1754" s="132" t="s">
        <v>77</v>
      </c>
      <c r="Q1754" s="131">
        <v>52000</v>
      </c>
      <c r="R1754" s="131">
        <v>8320</v>
      </c>
      <c r="S1754" s="131"/>
      <c r="T1754" s="155">
        <v>5546.68</v>
      </c>
      <c r="U1754" s="131">
        <v>5200</v>
      </c>
      <c r="V1754" s="131">
        <f t="shared" si="40"/>
        <v>49573.32</v>
      </c>
      <c r="W1754">
        <v>164</v>
      </c>
      <c r="X1754" s="151" t="s">
        <v>1429</v>
      </c>
      <c r="Y1754" s="135" t="s">
        <v>55</v>
      </c>
      <c r="Z1754" s="307">
        <v>226</v>
      </c>
      <c r="AB1754" t="str">
        <f>IF(Table1[[#This Row],[TIPO2]]="costo", VLOOKUP(Table1[[#This Row],[PARTIDA PRESUPUESTAL]],'Cost Report'!G:G,1,0),"Balance")</f>
        <v>3102-004</v>
      </c>
      <c r="AC1754" s="118"/>
      <c r="AD1754" s="159">
        <f>+Table1[[#This Row],[SUBTOTAL]]+Table1[[#This Row],[IVA]]-Table1[[#This Row],[RET IVA]]-Table1[[#This Row],[RET ISR]]-Table1[[#This Row],[TOTAL]]</f>
        <v>0</v>
      </c>
      <c r="AE1754" s="150"/>
      <c r="AF1754" s="151"/>
      <c r="AG1754" s="126"/>
      <c r="AK1754" s="306" t="str">
        <f>IF(ISNUMBER(Table1[[#This Row],[FECHA DE RECIBIDO]]), Table1[[#This Row],[FECHA DE RECIBIDO]]-DATE(2023,8,30), "")</f>
        <v/>
      </c>
    </row>
    <row r="1755" spans="1:37" ht="16.05" customHeight="1">
      <c r="A1755" s="152" t="s">
        <v>3560</v>
      </c>
      <c r="B1755" s="153">
        <v>641</v>
      </c>
      <c r="C1755" s="126" t="s">
        <v>3002</v>
      </c>
      <c r="D1755">
        <v>1166</v>
      </c>
      <c r="E1755" s="126" t="s">
        <v>3648</v>
      </c>
      <c r="F1755" s="125" t="s">
        <v>1593</v>
      </c>
      <c r="G1755" s="125" t="s">
        <v>109</v>
      </c>
      <c r="H1755">
        <v>358</v>
      </c>
      <c r="I1755" s="125" t="s">
        <v>1546</v>
      </c>
      <c r="J1755" s="308" t="s">
        <v>214</v>
      </c>
      <c r="K1755" s="127" t="s">
        <v>3418</v>
      </c>
      <c r="L1755" s="153" t="s">
        <v>110</v>
      </c>
      <c r="M1755">
        <v>476</v>
      </c>
      <c r="N1755" s="123">
        <v>100</v>
      </c>
      <c r="O1755">
        <v>1146</v>
      </c>
      <c r="P1755" s="132" t="s">
        <v>77</v>
      </c>
      <c r="Q1755" s="132">
        <v>13750</v>
      </c>
      <c r="R1755" s="132">
        <v>2200</v>
      </c>
      <c r="S1755" s="132"/>
      <c r="T1755" s="156">
        <v>1466.67</v>
      </c>
      <c r="U1755" s="132">
        <v>171.88</v>
      </c>
      <c r="V1755" s="132">
        <f t="shared" si="40"/>
        <v>14311.45</v>
      </c>
      <c r="W1755">
        <v>195</v>
      </c>
      <c r="X1755" s="153" t="s">
        <v>1429</v>
      </c>
      <c r="Y1755" s="124" t="s">
        <v>55</v>
      </c>
      <c r="Z1755" s="308">
        <v>226</v>
      </c>
      <c r="AB1755" t="str">
        <f>IF(Table1[[#This Row],[TIPO2]]="costo", VLOOKUP(Table1[[#This Row],[PARTIDA PRESUPUESTAL]],'Cost Report'!G:G,1,0),"Balance")</f>
        <v>4180-003</v>
      </c>
      <c r="AC1755" s="118"/>
      <c r="AD1755" s="159">
        <f>+Table1[[#This Row],[SUBTOTAL]]+Table1[[#This Row],[IVA]]-Table1[[#This Row],[RET IVA]]-Table1[[#This Row],[RET ISR]]-Table1[[#This Row],[TOTAL]]</f>
        <v>0</v>
      </c>
      <c r="AE1755" s="152"/>
      <c r="AF1755" s="153"/>
      <c r="AG1755" s="126"/>
      <c r="AK1755" s="306" t="str">
        <f>IF(ISNUMBER(Table1[[#This Row],[FECHA DE RECIBIDO]]), Table1[[#This Row],[FECHA DE RECIBIDO]]-DATE(2023,8,30), "")</f>
        <v/>
      </c>
    </row>
    <row r="1756" spans="1:37" ht="16.05" customHeight="1">
      <c r="A1756" s="150" t="s">
        <v>3561</v>
      </c>
      <c r="B1756" s="151">
        <v>642</v>
      </c>
      <c r="C1756" s="126" t="s">
        <v>1841</v>
      </c>
      <c r="D1756">
        <v>1167</v>
      </c>
      <c r="E1756" s="126" t="s">
        <v>3648</v>
      </c>
      <c r="F1756" s="122" t="s">
        <v>1593</v>
      </c>
      <c r="G1756" s="122" t="s">
        <v>109</v>
      </c>
      <c r="H1756">
        <v>358</v>
      </c>
      <c r="I1756" s="122" t="s">
        <v>1546</v>
      </c>
      <c r="J1756" s="307" t="s">
        <v>214</v>
      </c>
      <c r="K1756" s="127" t="s">
        <v>3418</v>
      </c>
      <c r="L1756" s="151" t="s">
        <v>110</v>
      </c>
      <c r="M1756">
        <v>476</v>
      </c>
      <c r="N1756" s="123">
        <v>100</v>
      </c>
      <c r="O1756">
        <v>1147</v>
      </c>
      <c r="P1756" s="132" t="s">
        <v>77</v>
      </c>
      <c r="Q1756" s="131">
        <v>30000</v>
      </c>
      <c r="R1756" s="131">
        <v>4800</v>
      </c>
      <c r="S1756" s="131"/>
      <c r="T1756" s="155">
        <v>3200</v>
      </c>
      <c r="U1756" s="131">
        <v>375</v>
      </c>
      <c r="V1756" s="131">
        <f t="shared" si="40"/>
        <v>31225</v>
      </c>
      <c r="W1756">
        <v>195</v>
      </c>
      <c r="X1756" s="151" t="s">
        <v>1429</v>
      </c>
      <c r="Y1756" s="135" t="s">
        <v>55</v>
      </c>
      <c r="Z1756" s="307">
        <v>226</v>
      </c>
      <c r="AB1756" t="str">
        <f>IF(Table1[[#This Row],[TIPO2]]="costo", VLOOKUP(Table1[[#This Row],[PARTIDA PRESUPUESTAL]],'Cost Report'!G:G,1,0),"Balance")</f>
        <v>3145-026</v>
      </c>
      <c r="AC1756" s="118"/>
      <c r="AD1756" s="159">
        <f>+Table1[[#This Row],[SUBTOTAL]]+Table1[[#This Row],[IVA]]-Table1[[#This Row],[RET IVA]]-Table1[[#This Row],[RET ISR]]-Table1[[#This Row],[TOTAL]]</f>
        <v>0</v>
      </c>
      <c r="AE1756" s="150"/>
      <c r="AF1756" s="151"/>
      <c r="AG1756" s="126"/>
      <c r="AK1756" s="306" t="str">
        <f>IF(ISNUMBER(Table1[[#This Row],[FECHA DE RECIBIDO]]), Table1[[#This Row],[FECHA DE RECIBIDO]]-DATE(2023,8,30), "")</f>
        <v/>
      </c>
    </row>
    <row r="1757" spans="1:37" ht="16.05" customHeight="1">
      <c r="A1757" s="152" t="s">
        <v>3562</v>
      </c>
      <c r="B1757" s="153">
        <v>643</v>
      </c>
      <c r="C1757" s="126" t="s">
        <v>913</v>
      </c>
      <c r="D1757">
        <v>1168</v>
      </c>
      <c r="E1757" s="126" t="s">
        <v>3649</v>
      </c>
      <c r="F1757" s="125" t="s">
        <v>1589</v>
      </c>
      <c r="G1757" s="125" t="s">
        <v>129</v>
      </c>
      <c r="H1757">
        <v>359</v>
      </c>
      <c r="I1757" s="125" t="s">
        <v>1546</v>
      </c>
      <c r="J1757" s="308" t="s">
        <v>214</v>
      </c>
      <c r="K1757" s="127" t="s">
        <v>3418</v>
      </c>
      <c r="L1757" s="153" t="s">
        <v>110</v>
      </c>
      <c r="M1757">
        <v>477</v>
      </c>
      <c r="N1757" s="123">
        <v>101</v>
      </c>
      <c r="O1757">
        <v>1148</v>
      </c>
      <c r="P1757" s="132" t="s">
        <v>77</v>
      </c>
      <c r="Q1757" s="132">
        <v>18000</v>
      </c>
      <c r="R1757" s="132">
        <v>2880</v>
      </c>
      <c r="S1757" s="132"/>
      <c r="T1757" s="156">
        <v>1920.01</v>
      </c>
      <c r="U1757" s="132">
        <v>1800</v>
      </c>
      <c r="V1757" s="132">
        <f t="shared" si="40"/>
        <v>17159.990000000002</v>
      </c>
      <c r="W1757">
        <v>196</v>
      </c>
      <c r="X1757" s="153" t="s">
        <v>1429</v>
      </c>
      <c r="Y1757" s="124" t="s">
        <v>55</v>
      </c>
      <c r="Z1757" s="308">
        <v>226</v>
      </c>
      <c r="AB1757" t="str">
        <f>IF(Table1[[#This Row],[TIPO2]]="costo", VLOOKUP(Table1[[#This Row],[PARTIDA PRESUPUESTAL]],'Cost Report'!G:G,1,0),"Balance")</f>
        <v>3201-006</v>
      </c>
      <c r="AC1757" s="118"/>
      <c r="AD1757" s="159">
        <f>+Table1[[#This Row],[SUBTOTAL]]+Table1[[#This Row],[IVA]]-Table1[[#This Row],[RET IVA]]-Table1[[#This Row],[RET ISR]]-Table1[[#This Row],[TOTAL]]</f>
        <v>0</v>
      </c>
      <c r="AE1757" s="152"/>
      <c r="AF1757" s="153"/>
      <c r="AG1757" s="126"/>
      <c r="AK1757" s="306" t="str">
        <f>IF(ISNUMBER(Table1[[#This Row],[FECHA DE RECIBIDO]]), Table1[[#This Row],[FECHA DE RECIBIDO]]-DATE(2023,8,30), "")</f>
        <v/>
      </c>
    </row>
    <row r="1758" spans="1:37" ht="16.05" customHeight="1">
      <c r="A1758" s="150" t="s">
        <v>3563</v>
      </c>
      <c r="B1758" s="151">
        <v>644</v>
      </c>
      <c r="C1758" s="126" t="s">
        <v>912</v>
      </c>
      <c r="D1758">
        <v>1169</v>
      </c>
      <c r="E1758" s="126" t="s">
        <v>2001</v>
      </c>
      <c r="F1758" s="122" t="s">
        <v>1589</v>
      </c>
      <c r="G1758" s="122" t="s">
        <v>129</v>
      </c>
      <c r="H1758">
        <v>360</v>
      </c>
      <c r="I1758" s="122" t="s">
        <v>1546</v>
      </c>
      <c r="J1758" s="307" t="s">
        <v>214</v>
      </c>
      <c r="K1758" s="127" t="s">
        <v>3418</v>
      </c>
      <c r="L1758" s="151" t="s">
        <v>110</v>
      </c>
      <c r="M1758">
        <v>478</v>
      </c>
      <c r="N1758" s="123">
        <v>102</v>
      </c>
      <c r="O1758">
        <v>1149</v>
      </c>
      <c r="P1758" s="132" t="s">
        <v>77</v>
      </c>
      <c r="Q1758" s="131">
        <v>2000</v>
      </c>
      <c r="R1758" s="131">
        <v>320</v>
      </c>
      <c r="S1758" s="131"/>
      <c r="T1758" s="155">
        <v>213.33</v>
      </c>
      <c r="U1758" s="131">
        <v>200</v>
      </c>
      <c r="V1758" s="131">
        <f t="shared" si="40"/>
        <v>1906.67</v>
      </c>
      <c r="W1758">
        <v>197</v>
      </c>
      <c r="X1758" s="151" t="s">
        <v>1431</v>
      </c>
      <c r="Y1758" s="135" t="s">
        <v>55</v>
      </c>
      <c r="Z1758" s="307">
        <v>226</v>
      </c>
      <c r="AB1758" t="str">
        <f>IF(Table1[[#This Row],[TIPO2]]="costo", VLOOKUP(Table1[[#This Row],[PARTIDA PRESUPUESTAL]],'Cost Report'!G:G,1,0),"Balance")</f>
        <v>3201-005</v>
      </c>
      <c r="AC1758" s="118"/>
      <c r="AD1758" s="159">
        <f>+Table1[[#This Row],[SUBTOTAL]]+Table1[[#This Row],[IVA]]-Table1[[#This Row],[RET IVA]]-Table1[[#This Row],[RET ISR]]-Table1[[#This Row],[TOTAL]]</f>
        <v>0</v>
      </c>
      <c r="AE1758" s="150"/>
      <c r="AF1758" s="151"/>
      <c r="AG1758" s="126"/>
      <c r="AK1758" s="306" t="str">
        <f>IF(ISNUMBER(Table1[[#This Row],[FECHA DE RECIBIDO]]), Table1[[#This Row],[FECHA DE RECIBIDO]]-DATE(2023,8,30), "")</f>
        <v/>
      </c>
    </row>
    <row r="1759" spans="1:37" ht="16.05" customHeight="1">
      <c r="A1759" s="152" t="s">
        <v>3564</v>
      </c>
      <c r="B1759" s="153">
        <v>645</v>
      </c>
      <c r="C1759" s="126" t="s">
        <v>912</v>
      </c>
      <c r="D1759">
        <v>1170</v>
      </c>
      <c r="E1759" s="126" t="s">
        <v>1629</v>
      </c>
      <c r="F1759" s="125" t="s">
        <v>1593</v>
      </c>
      <c r="G1759" s="125" t="s">
        <v>109</v>
      </c>
      <c r="H1759">
        <v>361</v>
      </c>
      <c r="I1759" s="125" t="s">
        <v>1546</v>
      </c>
      <c r="J1759" s="308" t="s">
        <v>214</v>
      </c>
      <c r="K1759" s="127" t="s">
        <v>3418</v>
      </c>
      <c r="L1759" s="153" t="s">
        <v>110</v>
      </c>
      <c r="M1759">
        <v>479</v>
      </c>
      <c r="N1759" s="123">
        <v>103</v>
      </c>
      <c r="O1759">
        <v>1150</v>
      </c>
      <c r="P1759" s="132" t="s">
        <v>77</v>
      </c>
      <c r="Q1759" s="132">
        <v>24000</v>
      </c>
      <c r="R1759" s="132">
        <v>3840</v>
      </c>
      <c r="S1759" s="132"/>
      <c r="T1759" s="156">
        <v>2560</v>
      </c>
      <c r="U1759" s="132">
        <v>300</v>
      </c>
      <c r="V1759" s="132">
        <f t="shared" si="40"/>
        <v>24980</v>
      </c>
      <c r="W1759">
        <v>198</v>
      </c>
      <c r="X1759" s="153" t="s">
        <v>1430</v>
      </c>
      <c r="Y1759" s="124" t="s">
        <v>55</v>
      </c>
      <c r="Z1759" s="308">
        <v>226</v>
      </c>
      <c r="AB1759" t="str">
        <f>IF(Table1[[#This Row],[TIPO2]]="costo", VLOOKUP(Table1[[#This Row],[PARTIDA PRESUPUESTAL]],'Cost Report'!G:G,1,0),"Balance")</f>
        <v>3201-005</v>
      </c>
      <c r="AC1759" s="118"/>
      <c r="AD1759" s="159">
        <f>+Table1[[#This Row],[SUBTOTAL]]+Table1[[#This Row],[IVA]]-Table1[[#This Row],[RET IVA]]-Table1[[#This Row],[RET ISR]]-Table1[[#This Row],[TOTAL]]</f>
        <v>0</v>
      </c>
      <c r="AE1759" s="152"/>
      <c r="AF1759" s="153"/>
      <c r="AG1759" s="126"/>
      <c r="AK1759" s="306" t="str">
        <f>IF(ISNUMBER(Table1[[#This Row],[FECHA DE RECIBIDO]]), Table1[[#This Row],[FECHA DE RECIBIDO]]-DATE(2023,8,30), "")</f>
        <v/>
      </c>
    </row>
    <row r="1760" spans="1:37" ht="16.05" customHeight="1">
      <c r="A1760" s="150" t="s">
        <v>3565</v>
      </c>
      <c r="B1760" s="151">
        <v>646</v>
      </c>
      <c r="C1760" s="126" t="s">
        <v>716</v>
      </c>
      <c r="D1760">
        <v>1171</v>
      </c>
      <c r="E1760" s="126" t="s">
        <v>3650</v>
      </c>
      <c r="F1760" s="122" t="s">
        <v>1593</v>
      </c>
      <c r="G1760" s="122" t="s">
        <v>109</v>
      </c>
      <c r="H1760">
        <v>362</v>
      </c>
      <c r="I1760" s="122" t="s">
        <v>1546</v>
      </c>
      <c r="J1760" s="307" t="s">
        <v>214</v>
      </c>
      <c r="K1760" s="127" t="s">
        <v>3418</v>
      </c>
      <c r="L1760" s="151" t="s">
        <v>110</v>
      </c>
      <c r="M1760">
        <v>480</v>
      </c>
      <c r="N1760" s="123">
        <v>104</v>
      </c>
      <c r="O1760">
        <v>1151</v>
      </c>
      <c r="P1760" s="132" t="s">
        <v>77</v>
      </c>
      <c r="Q1760" s="131">
        <v>28634.16</v>
      </c>
      <c r="R1760" s="131">
        <v>4581.46</v>
      </c>
      <c r="S1760" s="131"/>
      <c r="T1760" s="155">
        <v>3054.32</v>
      </c>
      <c r="U1760" s="131">
        <v>357.92</v>
      </c>
      <c r="V1760" s="131">
        <f t="shared" si="40"/>
        <v>29803.380000000005</v>
      </c>
      <c r="W1760">
        <v>199</v>
      </c>
      <c r="X1760" s="151" t="s">
        <v>1434</v>
      </c>
      <c r="Y1760" s="135" t="s">
        <v>55</v>
      </c>
      <c r="Z1760" s="307">
        <v>226</v>
      </c>
      <c r="AB1760" t="str">
        <f>IF(Table1[[#This Row],[TIPO2]]="costo", VLOOKUP(Table1[[#This Row],[PARTIDA PRESUPUESTAL]],'Cost Report'!G:G,1,0),"Balance")</f>
        <v>2902-010</v>
      </c>
      <c r="AC1760" s="118"/>
      <c r="AD1760" s="159">
        <f>+Table1[[#This Row],[SUBTOTAL]]+Table1[[#This Row],[IVA]]-Table1[[#This Row],[RET IVA]]-Table1[[#This Row],[RET ISR]]-Table1[[#This Row],[TOTAL]]</f>
        <v>0</v>
      </c>
      <c r="AE1760" s="150"/>
      <c r="AF1760" s="151"/>
      <c r="AG1760" s="126"/>
      <c r="AK1760" s="306" t="str">
        <f>IF(ISNUMBER(Table1[[#This Row],[FECHA DE RECIBIDO]]), Table1[[#This Row],[FECHA DE RECIBIDO]]-DATE(2023,8,30), "")</f>
        <v/>
      </c>
    </row>
    <row r="1761" spans="1:37" ht="16.05" customHeight="1">
      <c r="A1761" s="152" t="s">
        <v>3566</v>
      </c>
      <c r="B1761" s="153">
        <v>647</v>
      </c>
      <c r="C1761" s="126" t="s">
        <v>720</v>
      </c>
      <c r="D1761">
        <v>1172</v>
      </c>
      <c r="E1761" s="126" t="s">
        <v>3651</v>
      </c>
      <c r="F1761" s="125" t="s">
        <v>1589</v>
      </c>
      <c r="G1761" s="125" t="s">
        <v>129</v>
      </c>
      <c r="H1761">
        <v>363</v>
      </c>
      <c r="I1761" s="125" t="s">
        <v>1546</v>
      </c>
      <c r="J1761" s="308" t="s">
        <v>214</v>
      </c>
      <c r="K1761" s="127" t="s">
        <v>3418</v>
      </c>
      <c r="L1761" s="153" t="s">
        <v>110</v>
      </c>
      <c r="M1761">
        <v>481</v>
      </c>
      <c r="N1761" s="123">
        <v>105</v>
      </c>
      <c r="O1761">
        <v>1152</v>
      </c>
      <c r="P1761" s="132" t="s">
        <v>77</v>
      </c>
      <c r="Q1761" s="132">
        <v>28635.599999999999</v>
      </c>
      <c r="R1761" s="132">
        <v>4581.7</v>
      </c>
      <c r="S1761" s="132"/>
      <c r="T1761" s="156">
        <v>3054.48</v>
      </c>
      <c r="U1761" s="132">
        <v>2863.56</v>
      </c>
      <c r="V1761" s="132">
        <f t="shared" si="40"/>
        <v>27299.259999999995</v>
      </c>
      <c r="W1761">
        <v>200</v>
      </c>
      <c r="X1761" s="153" t="s">
        <v>1434</v>
      </c>
      <c r="Y1761" s="124" t="s">
        <v>55</v>
      </c>
      <c r="Z1761" s="308">
        <v>226</v>
      </c>
      <c r="AB1761" t="str">
        <f>IF(Table1[[#This Row],[TIPO2]]="costo", VLOOKUP(Table1[[#This Row],[PARTIDA PRESUPUESTAL]],'Cost Report'!G:G,1,0),"Balance")</f>
        <v>2902-016</v>
      </c>
      <c r="AC1761" s="118"/>
      <c r="AD1761" s="159">
        <f>+Table1[[#This Row],[SUBTOTAL]]+Table1[[#This Row],[IVA]]-Table1[[#This Row],[RET IVA]]-Table1[[#This Row],[RET ISR]]-Table1[[#This Row],[TOTAL]]</f>
        <v>0</v>
      </c>
      <c r="AE1761" s="152"/>
      <c r="AF1761" s="153"/>
      <c r="AG1761" s="126"/>
      <c r="AK1761" s="306" t="str">
        <f>IF(ISNUMBER(Table1[[#This Row],[FECHA DE RECIBIDO]]), Table1[[#This Row],[FECHA DE RECIBIDO]]-DATE(2023,8,30), "")</f>
        <v/>
      </c>
    </row>
    <row r="1762" spans="1:37" ht="16.05" customHeight="1">
      <c r="A1762" s="150" t="s">
        <v>3567</v>
      </c>
      <c r="B1762" s="151">
        <v>648</v>
      </c>
      <c r="C1762" s="126" t="s">
        <v>712</v>
      </c>
      <c r="D1762">
        <v>1173</v>
      </c>
      <c r="E1762" s="126" t="s">
        <v>3137</v>
      </c>
      <c r="F1762" s="122" t="s">
        <v>1593</v>
      </c>
      <c r="G1762" s="122" t="s">
        <v>109</v>
      </c>
      <c r="H1762">
        <v>364</v>
      </c>
      <c r="I1762" s="122" t="s">
        <v>1546</v>
      </c>
      <c r="J1762" s="307" t="s">
        <v>214</v>
      </c>
      <c r="K1762" s="127" t="s">
        <v>3418</v>
      </c>
      <c r="L1762" s="151" t="s">
        <v>110</v>
      </c>
      <c r="M1762">
        <v>482</v>
      </c>
      <c r="N1762" s="123">
        <v>106</v>
      </c>
      <c r="O1762">
        <v>1153</v>
      </c>
      <c r="P1762" s="132" t="s">
        <v>77</v>
      </c>
      <c r="Q1762" s="131">
        <v>28634.16</v>
      </c>
      <c r="R1762" s="131">
        <f>TRUNC((Q1762*0.16),2)</f>
        <v>4581.46</v>
      </c>
      <c r="S1762" s="131"/>
      <c r="T1762" s="155">
        <f>TRUNC((Q1762*0.106667),2)-0.08</f>
        <v>3054.23</v>
      </c>
      <c r="U1762" s="131">
        <f>TRUNC((Q1762*0.0125),2)</f>
        <v>357.92</v>
      </c>
      <c r="V1762" s="131">
        <f t="shared" si="40"/>
        <v>29803.470000000005</v>
      </c>
      <c r="W1762">
        <v>201</v>
      </c>
      <c r="X1762" s="151" t="s">
        <v>1434</v>
      </c>
      <c r="Y1762" s="135" t="s">
        <v>55</v>
      </c>
      <c r="Z1762" s="307">
        <v>226</v>
      </c>
      <c r="AB1762" t="str">
        <f>IF(Table1[[#This Row],[TIPO2]]="costo", VLOOKUP(Table1[[#This Row],[PARTIDA PRESUPUESTAL]],'Cost Report'!G:G,1,0),"Balance")</f>
        <v>2902-004</v>
      </c>
      <c r="AC1762" s="118"/>
      <c r="AD1762" s="159">
        <f>+Table1[[#This Row],[SUBTOTAL]]+Table1[[#This Row],[IVA]]-Table1[[#This Row],[RET IVA]]-Table1[[#This Row],[RET ISR]]-Table1[[#This Row],[TOTAL]]</f>
        <v>0</v>
      </c>
      <c r="AE1762" s="150"/>
      <c r="AF1762" s="151"/>
      <c r="AG1762" s="126"/>
      <c r="AK1762" s="306" t="str">
        <f>IF(ISNUMBER(Table1[[#This Row],[FECHA DE RECIBIDO]]), Table1[[#This Row],[FECHA DE RECIBIDO]]-DATE(2023,8,30), "")</f>
        <v/>
      </c>
    </row>
    <row r="1763" spans="1:37" ht="16.05" customHeight="1">
      <c r="A1763" s="152" t="s">
        <v>3567</v>
      </c>
      <c r="B1763" s="153">
        <v>648</v>
      </c>
      <c r="C1763" s="126" t="s">
        <v>3002</v>
      </c>
      <c r="D1763">
        <v>1173</v>
      </c>
      <c r="E1763" s="126" t="s">
        <v>3137</v>
      </c>
      <c r="F1763" s="125" t="s">
        <v>1593</v>
      </c>
      <c r="G1763" s="125" t="s">
        <v>109</v>
      </c>
      <c r="H1763">
        <v>364</v>
      </c>
      <c r="I1763" s="125" t="s">
        <v>1546</v>
      </c>
      <c r="J1763" s="308" t="s">
        <v>214</v>
      </c>
      <c r="K1763" s="127" t="s">
        <v>3418</v>
      </c>
      <c r="L1763" s="153" t="s">
        <v>110</v>
      </c>
      <c r="M1763">
        <v>482</v>
      </c>
      <c r="N1763" s="123">
        <v>106</v>
      </c>
      <c r="O1763">
        <v>1153</v>
      </c>
      <c r="P1763" s="132" t="s">
        <v>77</v>
      </c>
      <c r="Q1763" s="132">
        <v>2386.3000000000002</v>
      </c>
      <c r="R1763" s="132">
        <f>TRUNC((Q1763*0.16),2)+0.01</f>
        <v>381.81</v>
      </c>
      <c r="S1763" s="132"/>
      <c r="T1763" s="156">
        <f>TRUNC((Q1763*0.106667),2)</f>
        <v>254.53</v>
      </c>
      <c r="U1763" s="132">
        <f>TRUNC((Q1763*0.0125),2)+0.01</f>
        <v>29.830000000000002</v>
      </c>
      <c r="V1763" s="132">
        <f t="shared" si="40"/>
        <v>2483.75</v>
      </c>
      <c r="W1763">
        <v>201</v>
      </c>
      <c r="X1763" s="153" t="s">
        <v>1434</v>
      </c>
      <c r="Y1763" s="124" t="s">
        <v>55</v>
      </c>
      <c r="Z1763" s="308">
        <v>226</v>
      </c>
      <c r="AB1763" t="str">
        <f>IF(Table1[[#This Row],[TIPO2]]="costo", VLOOKUP(Table1[[#This Row],[PARTIDA PRESUPUESTAL]],'Cost Report'!G:G,1,0),"Balance")</f>
        <v>4180-003</v>
      </c>
      <c r="AC1763" s="118"/>
      <c r="AD1763" s="159">
        <f>+Table1[[#This Row],[SUBTOTAL]]+Table1[[#This Row],[IVA]]-Table1[[#This Row],[RET IVA]]-Table1[[#This Row],[RET ISR]]-Table1[[#This Row],[TOTAL]]</f>
        <v>0</v>
      </c>
      <c r="AE1763" s="152"/>
      <c r="AF1763" s="153"/>
      <c r="AG1763" s="126"/>
      <c r="AK1763" s="306" t="str">
        <f>IF(ISNUMBER(Table1[[#This Row],[FECHA DE RECIBIDO]]), Table1[[#This Row],[FECHA DE RECIBIDO]]-DATE(2023,8,30), "")</f>
        <v/>
      </c>
    </row>
    <row r="1764" spans="1:37" ht="16.05" customHeight="1">
      <c r="A1764" s="150" t="s">
        <v>3568</v>
      </c>
      <c r="B1764" s="151">
        <v>649</v>
      </c>
      <c r="C1764" s="126" t="s">
        <v>740</v>
      </c>
      <c r="D1764">
        <v>1174</v>
      </c>
      <c r="E1764" s="126" t="s">
        <v>3652</v>
      </c>
      <c r="F1764" s="122" t="s">
        <v>1593</v>
      </c>
      <c r="G1764" s="122" t="s">
        <v>109</v>
      </c>
      <c r="H1764">
        <v>365</v>
      </c>
      <c r="I1764" s="122" t="s">
        <v>1546</v>
      </c>
      <c r="J1764" s="307" t="s">
        <v>214</v>
      </c>
      <c r="K1764" s="127" t="s">
        <v>3418</v>
      </c>
      <c r="L1764" s="151" t="s">
        <v>110</v>
      </c>
      <c r="M1764">
        <v>483</v>
      </c>
      <c r="N1764" s="123">
        <v>107</v>
      </c>
      <c r="O1764">
        <v>1154</v>
      </c>
      <c r="P1764" s="132" t="s">
        <v>77</v>
      </c>
      <c r="Q1764" s="131">
        <v>28635.599999999999</v>
      </c>
      <c r="R1764" s="131">
        <v>4581.68</v>
      </c>
      <c r="S1764" s="131"/>
      <c r="T1764" s="155">
        <v>3054.46</v>
      </c>
      <c r="U1764" s="131">
        <v>357.94</v>
      </c>
      <c r="V1764" s="131">
        <f t="shared" si="40"/>
        <v>29804.880000000001</v>
      </c>
      <c r="W1764">
        <v>202</v>
      </c>
      <c r="X1764" s="151" t="s">
        <v>3684</v>
      </c>
      <c r="Y1764" s="135" t="s">
        <v>55</v>
      </c>
      <c r="Z1764" s="307">
        <v>226</v>
      </c>
      <c r="AB1764" t="str">
        <f>IF(Table1[[#This Row],[TIPO2]]="costo", VLOOKUP(Table1[[#This Row],[PARTIDA PRESUPUESTAL]],'Cost Report'!G:G,1,0),"Balance")</f>
        <v>3002-004</v>
      </c>
      <c r="AC1764" s="118"/>
      <c r="AD1764" s="159">
        <f>+Table1[[#This Row],[SUBTOTAL]]+Table1[[#This Row],[IVA]]-Table1[[#This Row],[RET IVA]]-Table1[[#This Row],[RET ISR]]-Table1[[#This Row],[TOTAL]]</f>
        <v>0</v>
      </c>
      <c r="AE1764" s="150"/>
      <c r="AF1764" s="151"/>
      <c r="AG1764" s="126"/>
      <c r="AK1764" s="306" t="str">
        <f>IF(ISNUMBER(Table1[[#This Row],[FECHA DE RECIBIDO]]), Table1[[#This Row],[FECHA DE RECIBIDO]]-DATE(2023,8,30), "")</f>
        <v/>
      </c>
    </row>
    <row r="1765" spans="1:37" ht="16.05" customHeight="1">
      <c r="A1765" s="152" t="s">
        <v>3569</v>
      </c>
      <c r="B1765" s="153">
        <v>650</v>
      </c>
      <c r="C1765" s="126" t="s">
        <v>748</v>
      </c>
      <c r="D1765">
        <v>1175</v>
      </c>
      <c r="E1765" s="126" t="s">
        <v>1997</v>
      </c>
      <c r="F1765" s="125" t="s">
        <v>1593</v>
      </c>
      <c r="G1765" s="125" t="s">
        <v>109</v>
      </c>
      <c r="H1765">
        <v>366</v>
      </c>
      <c r="I1765" s="125" t="s">
        <v>1546</v>
      </c>
      <c r="J1765" s="308" t="s">
        <v>214</v>
      </c>
      <c r="K1765" s="127" t="s">
        <v>3418</v>
      </c>
      <c r="L1765" s="153" t="s">
        <v>110</v>
      </c>
      <c r="M1765">
        <v>484</v>
      </c>
      <c r="N1765" s="123">
        <v>108</v>
      </c>
      <c r="O1765">
        <v>1155</v>
      </c>
      <c r="P1765" s="132" t="s">
        <v>77</v>
      </c>
      <c r="Q1765" s="132">
        <v>28634.16</v>
      </c>
      <c r="R1765" s="132">
        <v>4581.46</v>
      </c>
      <c r="S1765" s="132"/>
      <c r="T1765" s="156">
        <v>3054.32</v>
      </c>
      <c r="U1765" s="132">
        <v>357.92</v>
      </c>
      <c r="V1765" s="132">
        <f t="shared" si="40"/>
        <v>29803.380000000005</v>
      </c>
      <c r="W1765">
        <v>203</v>
      </c>
      <c r="X1765" s="153" t="s">
        <v>1434</v>
      </c>
      <c r="Y1765" s="124" t="s">
        <v>55</v>
      </c>
      <c r="Z1765" s="308">
        <v>226</v>
      </c>
      <c r="AB1765" t="str">
        <f>IF(Table1[[#This Row],[TIPO2]]="costo", VLOOKUP(Table1[[#This Row],[PARTIDA PRESUPUESTAL]],'Cost Report'!G:G,1,0),"Balance")</f>
        <v>3002-016</v>
      </c>
      <c r="AC1765" s="118"/>
      <c r="AD1765" s="159">
        <f>+Table1[[#This Row],[SUBTOTAL]]+Table1[[#This Row],[IVA]]-Table1[[#This Row],[RET IVA]]-Table1[[#This Row],[RET ISR]]-Table1[[#This Row],[TOTAL]]</f>
        <v>0</v>
      </c>
      <c r="AE1765" s="152"/>
      <c r="AF1765" s="153"/>
      <c r="AG1765" s="126"/>
      <c r="AK1765" s="306" t="str">
        <f>IF(ISNUMBER(Table1[[#This Row],[FECHA DE RECIBIDO]]), Table1[[#This Row],[FECHA DE RECIBIDO]]-DATE(2023,8,30), "")</f>
        <v/>
      </c>
    </row>
    <row r="1766" spans="1:37" ht="16.05" customHeight="1">
      <c r="A1766" s="150" t="s">
        <v>3570</v>
      </c>
      <c r="B1766" s="151">
        <v>651</v>
      </c>
      <c r="C1766" s="126" t="s">
        <v>744</v>
      </c>
      <c r="D1766">
        <v>1176</v>
      </c>
      <c r="E1766" s="126" t="s">
        <v>3373</v>
      </c>
      <c r="F1766" s="122" t="s">
        <v>1593</v>
      </c>
      <c r="G1766" s="122" t="s">
        <v>109</v>
      </c>
      <c r="H1766">
        <v>367</v>
      </c>
      <c r="I1766" s="122" t="s">
        <v>1546</v>
      </c>
      <c r="J1766" s="307" t="s">
        <v>214</v>
      </c>
      <c r="K1766" s="127" t="s">
        <v>3418</v>
      </c>
      <c r="L1766" s="151" t="s">
        <v>110</v>
      </c>
      <c r="M1766">
        <v>485</v>
      </c>
      <c r="N1766" s="123">
        <v>109</v>
      </c>
      <c r="O1766">
        <v>1156</v>
      </c>
      <c r="P1766" s="132" t="s">
        <v>77</v>
      </c>
      <c r="Q1766" s="131">
        <v>28635.599999999999</v>
      </c>
      <c r="R1766" s="131">
        <v>4581.68</v>
      </c>
      <c r="S1766" s="131"/>
      <c r="T1766" s="155">
        <v>3054.46</v>
      </c>
      <c r="U1766" s="131">
        <v>357.94</v>
      </c>
      <c r="V1766" s="131">
        <f t="shared" si="40"/>
        <v>29804.880000000001</v>
      </c>
      <c r="W1766">
        <v>204</v>
      </c>
      <c r="X1766" s="151" t="s">
        <v>3684</v>
      </c>
      <c r="Y1766" s="135" t="s">
        <v>55</v>
      </c>
      <c r="Z1766" s="307">
        <v>226</v>
      </c>
      <c r="AB1766" t="str">
        <f>IF(Table1[[#This Row],[TIPO2]]="costo", VLOOKUP(Table1[[#This Row],[PARTIDA PRESUPUESTAL]],'Cost Report'!G:G,1,0),"Balance")</f>
        <v>3002-010</v>
      </c>
      <c r="AC1766" s="118"/>
      <c r="AD1766" s="159">
        <f>+Table1[[#This Row],[SUBTOTAL]]+Table1[[#This Row],[IVA]]-Table1[[#This Row],[RET IVA]]-Table1[[#This Row],[RET ISR]]-Table1[[#This Row],[TOTAL]]</f>
        <v>0</v>
      </c>
      <c r="AE1766" s="150"/>
      <c r="AF1766" s="151"/>
      <c r="AG1766" s="126"/>
      <c r="AK1766" s="306" t="str">
        <f>IF(ISNUMBER(Table1[[#This Row],[FECHA DE RECIBIDO]]), Table1[[#This Row],[FECHA DE RECIBIDO]]-DATE(2023,8,30), "")</f>
        <v/>
      </c>
    </row>
    <row r="1767" spans="1:37" ht="16.05" customHeight="1">
      <c r="A1767" s="152" t="s">
        <v>3571</v>
      </c>
      <c r="B1767" s="153">
        <v>652</v>
      </c>
      <c r="C1767" s="126" t="s">
        <v>734</v>
      </c>
      <c r="D1767">
        <v>1177</v>
      </c>
      <c r="E1767" s="126" t="s">
        <v>3268</v>
      </c>
      <c r="F1767" s="125" t="s">
        <v>1593</v>
      </c>
      <c r="G1767" s="125" t="s">
        <v>109</v>
      </c>
      <c r="H1767">
        <v>255</v>
      </c>
      <c r="I1767" s="125" t="s">
        <v>1546</v>
      </c>
      <c r="J1767" s="308" t="s">
        <v>214</v>
      </c>
      <c r="K1767" s="127" t="s">
        <v>3418</v>
      </c>
      <c r="L1767" s="153" t="s">
        <v>110</v>
      </c>
      <c r="M1767">
        <v>486</v>
      </c>
      <c r="N1767" s="123">
        <v>1</v>
      </c>
      <c r="O1767">
        <v>1157</v>
      </c>
      <c r="P1767" s="132" t="s">
        <v>77</v>
      </c>
      <c r="Q1767" s="132">
        <v>17622.38</v>
      </c>
      <c r="R1767" s="132">
        <v>2819.58</v>
      </c>
      <c r="S1767" s="132"/>
      <c r="T1767" s="156">
        <v>1880.31</v>
      </c>
      <c r="U1767" s="132">
        <v>220.28</v>
      </c>
      <c r="V1767" s="132">
        <f t="shared" si="40"/>
        <v>18341.37</v>
      </c>
      <c r="W1767">
        <v>205</v>
      </c>
      <c r="X1767" s="153" t="s">
        <v>2024</v>
      </c>
      <c r="Y1767" s="124" t="s">
        <v>55</v>
      </c>
      <c r="Z1767" s="308">
        <v>226</v>
      </c>
      <c r="AB1767" t="str">
        <f>IF(Table1[[#This Row],[TIPO2]]="costo", VLOOKUP(Table1[[#This Row],[PARTIDA PRESUPUESTAL]],'Cost Report'!G:G,1,0),"Balance")</f>
        <v>3001-004</v>
      </c>
      <c r="AC1767" s="118"/>
      <c r="AD1767" s="159">
        <f>+Table1[[#This Row],[SUBTOTAL]]+Table1[[#This Row],[IVA]]-Table1[[#This Row],[RET IVA]]-Table1[[#This Row],[RET ISR]]-Table1[[#This Row],[TOTAL]]</f>
        <v>0</v>
      </c>
      <c r="AE1767" s="152"/>
      <c r="AF1767" s="153"/>
      <c r="AG1767" s="126"/>
      <c r="AK1767" s="306" t="str">
        <f>IF(ISNUMBER(Table1[[#This Row],[FECHA DE RECIBIDO]]), Table1[[#This Row],[FECHA DE RECIBIDO]]-DATE(2023,8,30), "")</f>
        <v/>
      </c>
    </row>
    <row r="1768" spans="1:37" ht="16.05" customHeight="1">
      <c r="A1768" s="150" t="s">
        <v>3572</v>
      </c>
      <c r="B1768" s="151">
        <v>653</v>
      </c>
      <c r="C1768" s="126" t="s">
        <v>734</v>
      </c>
      <c r="D1768">
        <v>1178</v>
      </c>
      <c r="E1768" s="126" t="s">
        <v>3268</v>
      </c>
      <c r="F1768" s="122" t="s">
        <v>1593</v>
      </c>
      <c r="G1768" s="122" t="s">
        <v>109</v>
      </c>
      <c r="H1768">
        <v>255</v>
      </c>
      <c r="I1768" s="122" t="s">
        <v>1546</v>
      </c>
      <c r="J1768" s="307" t="s">
        <v>214</v>
      </c>
      <c r="K1768" s="127" t="s">
        <v>3418</v>
      </c>
      <c r="L1768" s="151" t="s">
        <v>110</v>
      </c>
      <c r="M1768">
        <v>486</v>
      </c>
      <c r="N1768" s="123">
        <v>1</v>
      </c>
      <c r="O1768">
        <v>1158</v>
      </c>
      <c r="P1768" s="132" t="s">
        <v>77</v>
      </c>
      <c r="Q1768" s="131">
        <v>17622.38</v>
      </c>
      <c r="R1768" s="131">
        <v>2819.58</v>
      </c>
      <c r="S1768" s="131"/>
      <c r="T1768" s="155">
        <v>1880.31</v>
      </c>
      <c r="U1768" s="131">
        <v>220.28</v>
      </c>
      <c r="V1768" s="131">
        <f t="shared" si="40"/>
        <v>18341.37</v>
      </c>
      <c r="W1768">
        <v>205</v>
      </c>
      <c r="X1768" s="151" t="s">
        <v>2024</v>
      </c>
      <c r="Y1768" s="135" t="s">
        <v>55</v>
      </c>
      <c r="Z1768" s="307">
        <v>226</v>
      </c>
      <c r="AB1768" t="str">
        <f>IF(Table1[[#This Row],[TIPO2]]="costo", VLOOKUP(Table1[[#This Row],[PARTIDA PRESUPUESTAL]],'Cost Report'!G:G,1,0),"Balance")</f>
        <v>3001-004</v>
      </c>
      <c r="AC1768" s="118"/>
      <c r="AD1768" s="159">
        <f>+Table1[[#This Row],[SUBTOTAL]]+Table1[[#This Row],[IVA]]-Table1[[#This Row],[RET IVA]]-Table1[[#This Row],[RET ISR]]-Table1[[#This Row],[TOTAL]]</f>
        <v>0</v>
      </c>
      <c r="AE1768" s="150"/>
      <c r="AF1768" s="151"/>
      <c r="AG1768" s="126"/>
      <c r="AK1768" s="306" t="str">
        <f>IF(ISNUMBER(Table1[[#This Row],[FECHA DE RECIBIDO]]), Table1[[#This Row],[FECHA DE RECIBIDO]]-DATE(2023,8,30), "")</f>
        <v/>
      </c>
    </row>
    <row r="1769" spans="1:37" ht="16.05" customHeight="1">
      <c r="A1769" s="152" t="s">
        <v>3573</v>
      </c>
      <c r="B1769" s="153">
        <v>654</v>
      </c>
      <c r="C1769" s="126" t="s">
        <v>779</v>
      </c>
      <c r="D1769">
        <v>1179</v>
      </c>
      <c r="E1769" s="126" t="s">
        <v>3653</v>
      </c>
      <c r="F1769" s="125" t="s">
        <v>1589</v>
      </c>
      <c r="G1769" s="125" t="s">
        <v>129</v>
      </c>
      <c r="H1769">
        <v>368</v>
      </c>
      <c r="I1769" s="125" t="s">
        <v>1546</v>
      </c>
      <c r="J1769" s="308" t="s">
        <v>214</v>
      </c>
      <c r="K1769" s="127" t="s">
        <v>3418</v>
      </c>
      <c r="L1769" s="153" t="s">
        <v>110</v>
      </c>
      <c r="M1769">
        <v>487</v>
      </c>
      <c r="N1769" s="123">
        <v>110</v>
      </c>
      <c r="O1769">
        <v>1159</v>
      </c>
      <c r="P1769" s="132" t="s">
        <v>77</v>
      </c>
      <c r="Q1769" s="132">
        <v>19550</v>
      </c>
      <c r="R1769" s="132">
        <v>3128</v>
      </c>
      <c r="S1769" s="132"/>
      <c r="T1769" s="156">
        <v>2085.34</v>
      </c>
      <c r="U1769" s="132">
        <v>1955</v>
      </c>
      <c r="V1769" s="132">
        <f t="shared" si="40"/>
        <v>18637.66</v>
      </c>
      <c r="W1769">
        <v>206</v>
      </c>
      <c r="X1769" s="153" t="s">
        <v>1434</v>
      </c>
      <c r="Y1769" s="124" t="s">
        <v>55</v>
      </c>
      <c r="Z1769" s="308">
        <v>226</v>
      </c>
      <c r="AB1769" t="str">
        <f>IF(Table1[[#This Row],[TIPO2]]="costo", VLOOKUP(Table1[[#This Row],[PARTIDA PRESUPUESTAL]],'Cost Report'!G:G,1,0),"Balance")</f>
        <v>3004-004</v>
      </c>
      <c r="AC1769" s="118"/>
      <c r="AD1769" s="159">
        <f>+Table1[[#This Row],[SUBTOTAL]]+Table1[[#This Row],[IVA]]-Table1[[#This Row],[RET IVA]]-Table1[[#This Row],[RET ISR]]-Table1[[#This Row],[TOTAL]]</f>
        <v>0</v>
      </c>
      <c r="AE1769" s="152"/>
      <c r="AF1769" s="153"/>
      <c r="AG1769" s="126"/>
      <c r="AK1769" s="306" t="str">
        <f>IF(ISNUMBER(Table1[[#This Row],[FECHA DE RECIBIDO]]), Table1[[#This Row],[FECHA DE RECIBIDO]]-DATE(2023,8,30), "")</f>
        <v/>
      </c>
    </row>
    <row r="1770" spans="1:37" ht="16.05" customHeight="1">
      <c r="A1770" s="150" t="s">
        <v>3574</v>
      </c>
      <c r="B1770" s="151">
        <v>655</v>
      </c>
      <c r="C1770" s="126" t="s">
        <v>3002</v>
      </c>
      <c r="D1770">
        <v>1180</v>
      </c>
      <c r="E1770" s="126" t="s">
        <v>3653</v>
      </c>
      <c r="F1770" s="122" t="s">
        <v>1589</v>
      </c>
      <c r="G1770" s="122" t="s">
        <v>129</v>
      </c>
      <c r="H1770">
        <v>368</v>
      </c>
      <c r="I1770" s="122" t="s">
        <v>1546</v>
      </c>
      <c r="J1770" s="307" t="s">
        <v>214</v>
      </c>
      <c r="K1770" s="127" t="s">
        <v>3418</v>
      </c>
      <c r="L1770" s="151" t="s">
        <v>110</v>
      </c>
      <c r="M1770">
        <v>487</v>
      </c>
      <c r="N1770" s="123">
        <v>110</v>
      </c>
      <c r="O1770">
        <v>1160</v>
      </c>
      <c r="P1770" s="132" t="s">
        <v>77</v>
      </c>
      <c r="Q1770" s="131">
        <v>1629.16</v>
      </c>
      <c r="R1770" s="131">
        <v>260.67</v>
      </c>
      <c r="S1770" s="131"/>
      <c r="T1770" s="155">
        <v>173.78</v>
      </c>
      <c r="U1770" s="131">
        <v>162.91999999999999</v>
      </c>
      <c r="V1770" s="131">
        <f t="shared" si="40"/>
        <v>1553.13</v>
      </c>
      <c r="W1770">
        <v>206</v>
      </c>
      <c r="X1770" s="151" t="s">
        <v>1434</v>
      </c>
      <c r="Y1770" s="135" t="s">
        <v>55</v>
      </c>
      <c r="Z1770" s="307">
        <v>226</v>
      </c>
      <c r="AB1770" t="str">
        <f>IF(Table1[[#This Row],[TIPO2]]="costo", VLOOKUP(Table1[[#This Row],[PARTIDA PRESUPUESTAL]],'Cost Report'!G:G,1,0),"Balance")</f>
        <v>4180-003</v>
      </c>
      <c r="AC1770" s="118"/>
      <c r="AD1770" s="159">
        <f>+Table1[[#This Row],[SUBTOTAL]]+Table1[[#This Row],[IVA]]-Table1[[#This Row],[RET IVA]]-Table1[[#This Row],[RET ISR]]-Table1[[#This Row],[TOTAL]]</f>
        <v>0</v>
      </c>
      <c r="AE1770" s="150"/>
      <c r="AF1770" s="151"/>
      <c r="AG1770" s="126"/>
      <c r="AK1770" s="306" t="str">
        <f>IF(ISNUMBER(Table1[[#This Row],[FECHA DE RECIBIDO]]), Table1[[#This Row],[FECHA DE RECIBIDO]]-DATE(2023,8,30), "")</f>
        <v/>
      </c>
    </row>
    <row r="1771" spans="1:37" ht="16.05" customHeight="1">
      <c r="A1771" s="152" t="s">
        <v>3575</v>
      </c>
      <c r="B1771" s="153">
        <v>656</v>
      </c>
      <c r="C1771" s="126" t="s">
        <v>757</v>
      </c>
      <c r="D1771">
        <v>1181</v>
      </c>
      <c r="E1771" s="126" t="s">
        <v>3653</v>
      </c>
      <c r="F1771" s="125" t="s">
        <v>1589</v>
      </c>
      <c r="G1771" s="125" t="s">
        <v>129</v>
      </c>
      <c r="H1771">
        <v>369</v>
      </c>
      <c r="I1771" s="125" t="s">
        <v>1546</v>
      </c>
      <c r="J1771" s="308" t="s">
        <v>214</v>
      </c>
      <c r="K1771" s="127" t="s">
        <v>3418</v>
      </c>
      <c r="L1771" s="153" t="s">
        <v>110</v>
      </c>
      <c r="M1771">
        <v>488</v>
      </c>
      <c r="N1771" s="123">
        <v>111</v>
      </c>
      <c r="O1771">
        <v>1161</v>
      </c>
      <c r="P1771" s="132" t="s">
        <v>77</v>
      </c>
      <c r="Q1771" s="132">
        <v>24140</v>
      </c>
      <c r="R1771" s="132">
        <v>3862.4</v>
      </c>
      <c r="S1771" s="132"/>
      <c r="T1771" s="156">
        <v>2574.94</v>
      </c>
      <c r="U1771" s="132">
        <v>2414</v>
      </c>
      <c r="V1771" s="132">
        <f t="shared" si="40"/>
        <v>23013.460000000003</v>
      </c>
      <c r="W1771">
        <v>207</v>
      </c>
      <c r="X1771" s="153" t="s">
        <v>1433</v>
      </c>
      <c r="Y1771" s="124" t="s">
        <v>55</v>
      </c>
      <c r="Z1771" s="308">
        <v>226</v>
      </c>
      <c r="AB1771" t="str">
        <f>IF(Table1[[#This Row],[TIPO2]]="costo", VLOOKUP(Table1[[#This Row],[PARTIDA PRESUPUESTAL]],'Cost Report'!G:G,1,0),"Balance")</f>
        <v>3003-004</v>
      </c>
      <c r="AC1771" s="118"/>
      <c r="AD1771" s="159">
        <f>+Table1[[#This Row],[SUBTOTAL]]+Table1[[#This Row],[IVA]]-Table1[[#This Row],[RET IVA]]-Table1[[#This Row],[RET ISR]]-Table1[[#This Row],[TOTAL]]</f>
        <v>0</v>
      </c>
      <c r="AE1771" s="152"/>
      <c r="AF1771" s="153"/>
      <c r="AG1771" s="126"/>
      <c r="AK1771" s="306" t="str">
        <f>IF(ISNUMBER(Table1[[#This Row],[FECHA DE RECIBIDO]]), Table1[[#This Row],[FECHA DE RECIBIDO]]-DATE(2023,8,30), "")</f>
        <v/>
      </c>
    </row>
    <row r="1772" spans="1:37" ht="16.05" customHeight="1">
      <c r="A1772" s="150" t="s">
        <v>3576</v>
      </c>
      <c r="B1772" s="151">
        <v>657</v>
      </c>
      <c r="C1772" s="126" t="s">
        <v>3002</v>
      </c>
      <c r="D1772">
        <v>1182</v>
      </c>
      <c r="E1772" s="126" t="s">
        <v>3653</v>
      </c>
      <c r="F1772" s="122" t="s">
        <v>1589</v>
      </c>
      <c r="G1772" s="122" t="s">
        <v>129</v>
      </c>
      <c r="H1772">
        <v>369</v>
      </c>
      <c r="I1772" s="122" t="s">
        <v>1546</v>
      </c>
      <c r="J1772" s="307" t="s">
        <v>214</v>
      </c>
      <c r="K1772" s="127" t="s">
        <v>3418</v>
      </c>
      <c r="L1772" s="151" t="s">
        <v>110</v>
      </c>
      <c r="M1772">
        <v>488</v>
      </c>
      <c r="N1772" s="123">
        <v>111</v>
      </c>
      <c r="O1772">
        <v>1162</v>
      </c>
      <c r="P1772" s="132" t="s">
        <v>77</v>
      </c>
      <c r="Q1772" s="131">
        <v>4023.32</v>
      </c>
      <c r="R1772" s="131">
        <v>643.73</v>
      </c>
      <c r="S1772" s="131"/>
      <c r="T1772" s="155">
        <v>429.16</v>
      </c>
      <c r="U1772" s="131">
        <v>402.33</v>
      </c>
      <c r="V1772" s="131">
        <f t="shared" si="40"/>
        <v>3835.5600000000004</v>
      </c>
      <c r="W1772">
        <v>207</v>
      </c>
      <c r="X1772" s="151" t="s">
        <v>1433</v>
      </c>
      <c r="Y1772" s="135" t="s">
        <v>55</v>
      </c>
      <c r="Z1772" s="307">
        <v>226</v>
      </c>
      <c r="AB1772" t="str">
        <f>IF(Table1[[#This Row],[TIPO2]]="costo", VLOOKUP(Table1[[#This Row],[PARTIDA PRESUPUESTAL]],'Cost Report'!G:G,1,0),"Balance")</f>
        <v>4180-003</v>
      </c>
      <c r="AC1772" s="118"/>
      <c r="AD1772" s="159">
        <f>+Table1[[#This Row],[SUBTOTAL]]+Table1[[#This Row],[IVA]]-Table1[[#This Row],[RET IVA]]-Table1[[#This Row],[RET ISR]]-Table1[[#This Row],[TOTAL]]</f>
        <v>0</v>
      </c>
      <c r="AE1772" s="150"/>
      <c r="AF1772" s="151"/>
      <c r="AG1772" s="126"/>
      <c r="AK1772" s="306" t="str">
        <f>IF(ISNUMBER(Table1[[#This Row],[FECHA DE RECIBIDO]]), Table1[[#This Row],[FECHA DE RECIBIDO]]-DATE(2023,8,30), "")</f>
        <v/>
      </c>
    </row>
    <row r="1773" spans="1:37" ht="16.05" customHeight="1">
      <c r="A1773" s="152" t="s">
        <v>3577</v>
      </c>
      <c r="B1773" s="153">
        <v>658</v>
      </c>
      <c r="C1773" s="126" t="s">
        <v>760</v>
      </c>
      <c r="D1773">
        <v>1183</v>
      </c>
      <c r="E1773" s="126" t="s">
        <v>3654</v>
      </c>
      <c r="F1773" s="125" t="s">
        <v>1593</v>
      </c>
      <c r="G1773" s="125" t="s">
        <v>109</v>
      </c>
      <c r="H1773">
        <v>370</v>
      </c>
      <c r="I1773" s="125" t="s">
        <v>1546</v>
      </c>
      <c r="J1773" s="308" t="s">
        <v>214</v>
      </c>
      <c r="K1773" s="127" t="s">
        <v>3418</v>
      </c>
      <c r="L1773" s="153" t="s">
        <v>110</v>
      </c>
      <c r="M1773">
        <v>489</v>
      </c>
      <c r="N1773" s="123">
        <v>112</v>
      </c>
      <c r="O1773">
        <v>1163</v>
      </c>
      <c r="P1773" s="132" t="s">
        <v>77</v>
      </c>
      <c r="Q1773" s="132">
        <v>3258.33</v>
      </c>
      <c r="R1773" s="132">
        <v>521.33000000000004</v>
      </c>
      <c r="S1773" s="132"/>
      <c r="T1773" s="156">
        <v>347.55</v>
      </c>
      <c r="U1773" s="132">
        <v>40.729999999999997</v>
      </c>
      <c r="V1773" s="132">
        <f t="shared" si="40"/>
        <v>3391.3799999999997</v>
      </c>
      <c r="W1773">
        <v>208</v>
      </c>
      <c r="X1773" s="153" t="s">
        <v>1431</v>
      </c>
      <c r="Y1773" s="124" t="s">
        <v>55</v>
      </c>
      <c r="Z1773" s="308">
        <v>226</v>
      </c>
      <c r="AB1773" t="str">
        <f>IF(Table1[[#This Row],[TIPO2]]="costo", VLOOKUP(Table1[[#This Row],[PARTIDA PRESUPUESTAL]],'Cost Report'!G:G,1,0),"Balance")</f>
        <v>3003-009</v>
      </c>
      <c r="AC1773" s="118"/>
      <c r="AD1773" s="159">
        <f>+Table1[[#This Row],[SUBTOTAL]]+Table1[[#This Row],[IVA]]-Table1[[#This Row],[RET IVA]]-Table1[[#This Row],[RET ISR]]-Table1[[#This Row],[TOTAL]]</f>
        <v>0</v>
      </c>
      <c r="AE1773" s="152"/>
      <c r="AF1773" s="153"/>
      <c r="AG1773" s="126"/>
      <c r="AK1773" s="306" t="str">
        <f>IF(ISNUMBER(Table1[[#This Row],[FECHA DE RECIBIDO]]), Table1[[#This Row],[FECHA DE RECIBIDO]]-DATE(2023,8,30), "")</f>
        <v/>
      </c>
    </row>
    <row r="1774" spans="1:37" ht="16.05" customHeight="1">
      <c r="A1774" s="150" t="s">
        <v>3578</v>
      </c>
      <c r="B1774" s="151">
        <v>659</v>
      </c>
      <c r="C1774" s="126" t="s">
        <v>761</v>
      </c>
      <c r="D1774">
        <v>1184</v>
      </c>
      <c r="E1774" s="126" t="s">
        <v>3654</v>
      </c>
      <c r="F1774" s="122" t="s">
        <v>1593</v>
      </c>
      <c r="G1774" s="122" t="s">
        <v>109</v>
      </c>
      <c r="H1774">
        <v>370</v>
      </c>
      <c r="I1774" s="122" t="s">
        <v>1546</v>
      </c>
      <c r="J1774" s="307" t="s">
        <v>214</v>
      </c>
      <c r="K1774" s="127" t="s">
        <v>3418</v>
      </c>
      <c r="L1774" s="151" t="s">
        <v>110</v>
      </c>
      <c r="M1774">
        <v>489</v>
      </c>
      <c r="N1774" s="123">
        <v>112</v>
      </c>
      <c r="O1774">
        <v>1164</v>
      </c>
      <c r="P1774" s="132" t="s">
        <v>77</v>
      </c>
      <c r="Q1774" s="131">
        <v>19550</v>
      </c>
      <c r="R1774" s="131">
        <v>3128</v>
      </c>
      <c r="S1774" s="131"/>
      <c r="T1774" s="155">
        <v>2085.3200000000002</v>
      </c>
      <c r="U1774" s="131">
        <v>244.38</v>
      </c>
      <c r="V1774" s="131">
        <f t="shared" si="40"/>
        <v>20348.3</v>
      </c>
      <c r="W1774">
        <v>208</v>
      </c>
      <c r="X1774" s="151" t="s">
        <v>1431</v>
      </c>
      <c r="Y1774" s="135" t="s">
        <v>55</v>
      </c>
      <c r="Z1774" s="307">
        <v>226</v>
      </c>
      <c r="AB1774" t="str">
        <f>IF(Table1[[#This Row],[TIPO2]]="costo", VLOOKUP(Table1[[#This Row],[PARTIDA PRESUPUESTAL]],'Cost Report'!G:G,1,0),"Balance")</f>
        <v>3003-010</v>
      </c>
      <c r="AC1774" s="118"/>
      <c r="AD1774" s="159">
        <f>+Table1[[#This Row],[SUBTOTAL]]+Table1[[#This Row],[IVA]]-Table1[[#This Row],[RET IVA]]-Table1[[#This Row],[RET ISR]]-Table1[[#This Row],[TOTAL]]</f>
        <v>0</v>
      </c>
      <c r="AE1774" s="150"/>
      <c r="AF1774" s="151"/>
      <c r="AG1774" s="126"/>
      <c r="AK1774" s="306" t="str">
        <f>IF(ISNUMBER(Table1[[#This Row],[FECHA DE RECIBIDO]]), Table1[[#This Row],[FECHA DE RECIBIDO]]-DATE(2023,8,30), "")</f>
        <v/>
      </c>
    </row>
    <row r="1775" spans="1:37" ht="16.05" customHeight="1">
      <c r="A1775" s="152" t="s">
        <v>3579</v>
      </c>
      <c r="B1775" s="153">
        <v>660</v>
      </c>
      <c r="C1775" s="126" t="s">
        <v>768</v>
      </c>
      <c r="D1775">
        <v>1185</v>
      </c>
      <c r="E1775" s="126" t="s">
        <v>3655</v>
      </c>
      <c r="F1775" s="125" t="s">
        <v>1593</v>
      </c>
      <c r="G1775" s="125" t="s">
        <v>109</v>
      </c>
      <c r="H1775">
        <v>371</v>
      </c>
      <c r="I1775" s="125" t="s">
        <v>1546</v>
      </c>
      <c r="J1775" s="308" t="s">
        <v>214</v>
      </c>
      <c r="K1775" s="127" t="s">
        <v>3418</v>
      </c>
      <c r="L1775" s="153" t="s">
        <v>110</v>
      </c>
      <c r="M1775">
        <v>490</v>
      </c>
      <c r="N1775" s="123">
        <v>113</v>
      </c>
      <c r="O1775">
        <v>1165</v>
      </c>
      <c r="P1775" s="132" t="s">
        <v>77</v>
      </c>
      <c r="Q1775" s="132">
        <v>3450</v>
      </c>
      <c r="R1775" s="132">
        <v>552</v>
      </c>
      <c r="S1775" s="132"/>
      <c r="T1775" s="156">
        <v>368</v>
      </c>
      <c r="U1775" s="132">
        <v>43.13</v>
      </c>
      <c r="V1775" s="132">
        <f t="shared" si="40"/>
        <v>3590.87</v>
      </c>
      <c r="W1775">
        <v>209</v>
      </c>
      <c r="X1775" s="153" t="s">
        <v>1429</v>
      </c>
      <c r="Y1775" s="124" t="s">
        <v>55</v>
      </c>
      <c r="Z1775" s="308">
        <v>226</v>
      </c>
      <c r="AB1775" t="str">
        <f>IF(Table1[[#This Row],[TIPO2]]="costo", VLOOKUP(Table1[[#This Row],[PARTIDA PRESUPUESTAL]],'Cost Report'!G:G,1,0),"Balance")</f>
        <v>3003-021</v>
      </c>
      <c r="AC1775" s="118"/>
      <c r="AD1775" s="159">
        <f>+Table1[[#This Row],[SUBTOTAL]]+Table1[[#This Row],[IVA]]-Table1[[#This Row],[RET IVA]]-Table1[[#This Row],[RET ISR]]-Table1[[#This Row],[TOTAL]]</f>
        <v>0</v>
      </c>
      <c r="AE1775" s="152"/>
      <c r="AF1775" s="153"/>
      <c r="AG1775" s="126"/>
      <c r="AK1775" s="306" t="str">
        <f>IF(ISNUMBER(Table1[[#This Row],[FECHA DE RECIBIDO]]), Table1[[#This Row],[FECHA DE RECIBIDO]]-DATE(2023,8,30), "")</f>
        <v/>
      </c>
    </row>
    <row r="1776" spans="1:37" ht="16.05" customHeight="1">
      <c r="A1776" s="150" t="s">
        <v>3580</v>
      </c>
      <c r="B1776" s="151">
        <v>661</v>
      </c>
      <c r="C1776" s="126" t="s">
        <v>769</v>
      </c>
      <c r="D1776">
        <v>1186</v>
      </c>
      <c r="E1776" s="126" t="s">
        <v>3655</v>
      </c>
      <c r="F1776" s="122" t="s">
        <v>1593</v>
      </c>
      <c r="G1776" s="122" t="s">
        <v>109</v>
      </c>
      <c r="H1776">
        <v>371</v>
      </c>
      <c r="I1776" s="122" t="s">
        <v>1546</v>
      </c>
      <c r="J1776" s="307" t="s">
        <v>214</v>
      </c>
      <c r="K1776" s="127" t="s">
        <v>3418</v>
      </c>
      <c r="L1776" s="151" t="s">
        <v>110</v>
      </c>
      <c r="M1776">
        <v>490</v>
      </c>
      <c r="N1776" s="123">
        <v>113</v>
      </c>
      <c r="O1776">
        <v>1166</v>
      </c>
      <c r="P1776" s="132" t="s">
        <v>77</v>
      </c>
      <c r="Q1776" s="131">
        <v>20700</v>
      </c>
      <c r="R1776" s="131">
        <v>3312</v>
      </c>
      <c r="S1776" s="131"/>
      <c r="T1776" s="155">
        <v>2207.98</v>
      </c>
      <c r="U1776" s="131">
        <v>258.76</v>
      </c>
      <c r="V1776" s="131">
        <f t="shared" si="40"/>
        <v>21545.260000000002</v>
      </c>
      <c r="W1776">
        <v>209</v>
      </c>
      <c r="X1776" s="151" t="s">
        <v>1429</v>
      </c>
      <c r="Y1776" s="135" t="s">
        <v>55</v>
      </c>
      <c r="Z1776" s="307">
        <v>226</v>
      </c>
      <c r="AB1776" t="str">
        <f>IF(Table1[[#This Row],[TIPO2]]="costo", VLOOKUP(Table1[[#This Row],[PARTIDA PRESUPUESTAL]],'Cost Report'!G:G,1,0),"Balance")</f>
        <v>3003-022</v>
      </c>
      <c r="AC1776" s="118"/>
      <c r="AD1776" s="159">
        <f>+Table1[[#This Row],[SUBTOTAL]]+Table1[[#This Row],[IVA]]-Table1[[#This Row],[RET IVA]]-Table1[[#This Row],[RET ISR]]-Table1[[#This Row],[TOTAL]]</f>
        <v>0</v>
      </c>
      <c r="AE1776" s="150"/>
      <c r="AF1776" s="151"/>
      <c r="AG1776" s="126"/>
      <c r="AK1776" s="306" t="str">
        <f>IF(ISNUMBER(Table1[[#This Row],[FECHA DE RECIBIDO]]), Table1[[#This Row],[FECHA DE RECIBIDO]]-DATE(2023,8,30), "")</f>
        <v/>
      </c>
    </row>
    <row r="1777" spans="1:37" ht="16.05" customHeight="1">
      <c r="A1777" s="152" t="s">
        <v>3581</v>
      </c>
      <c r="B1777" s="153">
        <v>664</v>
      </c>
      <c r="C1777" s="126" t="s">
        <v>1026</v>
      </c>
      <c r="D1777">
        <v>1187</v>
      </c>
      <c r="E1777" s="126" t="s">
        <v>3656</v>
      </c>
      <c r="F1777" s="125" t="s">
        <v>1589</v>
      </c>
      <c r="G1777" s="125" t="s">
        <v>129</v>
      </c>
      <c r="H1777">
        <v>372</v>
      </c>
      <c r="I1777" s="125" t="s">
        <v>1546</v>
      </c>
      <c r="J1777" s="308" t="s">
        <v>214</v>
      </c>
      <c r="K1777" s="127" t="s">
        <v>3418</v>
      </c>
      <c r="L1777" s="153" t="s">
        <v>110</v>
      </c>
      <c r="M1777">
        <v>491</v>
      </c>
      <c r="N1777" s="123">
        <v>114</v>
      </c>
      <c r="O1777">
        <v>1167</v>
      </c>
      <c r="P1777" s="132" t="s">
        <v>77</v>
      </c>
      <c r="Q1777" s="132">
        <v>8000</v>
      </c>
      <c r="R1777" s="132">
        <v>1280</v>
      </c>
      <c r="S1777" s="132"/>
      <c r="T1777" s="156">
        <v>853.34</v>
      </c>
      <c r="U1777" s="132">
        <v>800</v>
      </c>
      <c r="V1777" s="132">
        <f t="shared" si="40"/>
        <v>7626.66</v>
      </c>
      <c r="W1777">
        <v>210</v>
      </c>
      <c r="X1777" s="153" t="s">
        <v>3684</v>
      </c>
      <c r="Y1777" s="124" t="s">
        <v>55</v>
      </c>
      <c r="Z1777" s="308">
        <v>226</v>
      </c>
      <c r="AB1777" t="str">
        <f>IF(Table1[[#This Row],[TIPO2]]="costo", VLOOKUP(Table1[[#This Row],[PARTIDA PRESUPUESTAL]],'Cost Report'!G:G,1,0),"Balance")</f>
        <v>3601-003</v>
      </c>
      <c r="AC1777" s="118"/>
      <c r="AD1777" s="159">
        <f>+Table1[[#This Row],[SUBTOTAL]]+Table1[[#This Row],[IVA]]-Table1[[#This Row],[RET IVA]]-Table1[[#This Row],[RET ISR]]-Table1[[#This Row],[TOTAL]]</f>
        <v>0</v>
      </c>
      <c r="AE1777" s="152"/>
      <c r="AF1777" s="153"/>
      <c r="AG1777" s="126"/>
      <c r="AK1777" s="306" t="str">
        <f>IF(ISNUMBER(Table1[[#This Row],[FECHA DE RECIBIDO]]), Table1[[#This Row],[FECHA DE RECIBIDO]]-DATE(2023,8,30), "")</f>
        <v/>
      </c>
    </row>
    <row r="1778" spans="1:37" ht="16.05" customHeight="1">
      <c r="A1778" s="150" t="s">
        <v>3582</v>
      </c>
      <c r="B1778" s="151">
        <v>665</v>
      </c>
      <c r="C1778" s="126" t="s">
        <v>1026</v>
      </c>
      <c r="D1778">
        <v>1188</v>
      </c>
      <c r="E1778" s="126" t="s">
        <v>3656</v>
      </c>
      <c r="F1778" s="122" t="s">
        <v>1589</v>
      </c>
      <c r="G1778" s="122" t="s">
        <v>129</v>
      </c>
      <c r="H1778">
        <v>372</v>
      </c>
      <c r="I1778" s="122" t="s">
        <v>1546</v>
      </c>
      <c r="J1778" s="307" t="s">
        <v>214</v>
      </c>
      <c r="K1778" s="127" t="s">
        <v>3418</v>
      </c>
      <c r="L1778" s="151" t="s">
        <v>110</v>
      </c>
      <c r="M1778">
        <v>491</v>
      </c>
      <c r="N1778" s="123">
        <v>114</v>
      </c>
      <c r="O1778">
        <v>1168</v>
      </c>
      <c r="P1778" s="132" t="s">
        <v>77</v>
      </c>
      <c r="Q1778" s="131">
        <v>8000</v>
      </c>
      <c r="R1778" s="131">
        <v>1280</v>
      </c>
      <c r="S1778" s="131"/>
      <c r="T1778" s="155">
        <v>853.34</v>
      </c>
      <c r="U1778" s="131">
        <v>800</v>
      </c>
      <c r="V1778" s="131">
        <f t="shared" si="40"/>
        <v>7626.66</v>
      </c>
      <c r="W1778">
        <v>210</v>
      </c>
      <c r="X1778" s="151" t="s">
        <v>3684</v>
      </c>
      <c r="Y1778" s="135" t="s">
        <v>55</v>
      </c>
      <c r="Z1778" s="307">
        <v>226</v>
      </c>
      <c r="AB1778" t="str">
        <f>IF(Table1[[#This Row],[TIPO2]]="costo", VLOOKUP(Table1[[#This Row],[PARTIDA PRESUPUESTAL]],'Cost Report'!G:G,1,0),"Balance")</f>
        <v>3601-003</v>
      </c>
      <c r="AC1778" s="118"/>
      <c r="AD1778" s="159">
        <f>+Table1[[#This Row],[SUBTOTAL]]+Table1[[#This Row],[IVA]]-Table1[[#This Row],[RET IVA]]-Table1[[#This Row],[RET ISR]]-Table1[[#This Row],[TOTAL]]</f>
        <v>0</v>
      </c>
      <c r="AE1778" s="150"/>
      <c r="AF1778" s="151"/>
      <c r="AG1778" s="126"/>
      <c r="AK1778" s="306" t="str">
        <f>IF(ISNUMBER(Table1[[#This Row],[FECHA DE RECIBIDO]]), Table1[[#This Row],[FECHA DE RECIBIDO]]-DATE(2023,8,30), "")</f>
        <v/>
      </c>
    </row>
    <row r="1779" spans="1:37" ht="16.05" customHeight="1">
      <c r="A1779" s="152" t="s">
        <v>3583</v>
      </c>
      <c r="B1779" s="153">
        <v>666</v>
      </c>
      <c r="C1779" s="126" t="s">
        <v>1026</v>
      </c>
      <c r="D1779">
        <v>1189</v>
      </c>
      <c r="E1779" s="126" t="s">
        <v>3656</v>
      </c>
      <c r="F1779" s="125" t="s">
        <v>1589</v>
      </c>
      <c r="G1779" s="125" t="s">
        <v>129</v>
      </c>
      <c r="H1779">
        <v>372</v>
      </c>
      <c r="I1779" s="125" t="s">
        <v>1546</v>
      </c>
      <c r="J1779" s="308" t="s">
        <v>214</v>
      </c>
      <c r="K1779" s="127" t="s">
        <v>3418</v>
      </c>
      <c r="L1779" s="153" t="s">
        <v>110</v>
      </c>
      <c r="M1779">
        <v>491</v>
      </c>
      <c r="N1779" s="123">
        <v>114</v>
      </c>
      <c r="O1779">
        <v>1169</v>
      </c>
      <c r="P1779" s="132" t="s">
        <v>77</v>
      </c>
      <c r="Q1779" s="132">
        <v>8000</v>
      </c>
      <c r="R1779" s="132">
        <v>1280</v>
      </c>
      <c r="S1779" s="132"/>
      <c r="T1779" s="156">
        <v>853.34</v>
      </c>
      <c r="U1779" s="132">
        <v>800</v>
      </c>
      <c r="V1779" s="132">
        <f t="shared" si="40"/>
        <v>7626.66</v>
      </c>
      <c r="W1779">
        <v>210</v>
      </c>
      <c r="X1779" s="153" t="s">
        <v>3684</v>
      </c>
      <c r="Y1779" s="124" t="s">
        <v>55</v>
      </c>
      <c r="Z1779" s="308">
        <v>226</v>
      </c>
      <c r="AB1779" t="str">
        <f>IF(Table1[[#This Row],[TIPO2]]="costo", VLOOKUP(Table1[[#This Row],[PARTIDA PRESUPUESTAL]],'Cost Report'!G:G,1,0),"Balance")</f>
        <v>3601-003</v>
      </c>
      <c r="AC1779" s="118"/>
      <c r="AD1779" s="159">
        <f>+Table1[[#This Row],[SUBTOTAL]]+Table1[[#This Row],[IVA]]-Table1[[#This Row],[RET IVA]]-Table1[[#This Row],[RET ISR]]-Table1[[#This Row],[TOTAL]]</f>
        <v>0</v>
      </c>
      <c r="AE1779" s="152"/>
      <c r="AF1779" s="153"/>
      <c r="AG1779" s="126"/>
      <c r="AK1779" s="306" t="str">
        <f>IF(ISNUMBER(Table1[[#This Row],[FECHA DE RECIBIDO]]), Table1[[#This Row],[FECHA DE RECIBIDO]]-DATE(2023,8,30), "")</f>
        <v/>
      </c>
    </row>
    <row r="1780" spans="1:37" ht="16.05" customHeight="1">
      <c r="A1780" s="150" t="s">
        <v>3584</v>
      </c>
      <c r="B1780" s="151">
        <v>667</v>
      </c>
      <c r="C1780" s="126" t="s">
        <v>299</v>
      </c>
      <c r="D1780">
        <v>1190</v>
      </c>
      <c r="E1780" s="126" t="s">
        <v>2005</v>
      </c>
      <c r="F1780" s="122" t="s">
        <v>1589</v>
      </c>
      <c r="G1780" s="122" t="s">
        <v>129</v>
      </c>
      <c r="H1780">
        <v>373</v>
      </c>
      <c r="I1780" s="122" t="s">
        <v>1546</v>
      </c>
      <c r="J1780" s="307" t="s">
        <v>214</v>
      </c>
      <c r="K1780" s="127" t="s">
        <v>3418</v>
      </c>
      <c r="L1780" s="151" t="s">
        <v>110</v>
      </c>
      <c r="M1780">
        <v>492</v>
      </c>
      <c r="N1780" s="123">
        <v>115</v>
      </c>
      <c r="O1780">
        <v>1170</v>
      </c>
      <c r="P1780" s="132" t="s">
        <v>77</v>
      </c>
      <c r="Q1780" s="131">
        <v>60480</v>
      </c>
      <c r="R1780" s="131">
        <v>9676.7999999999993</v>
      </c>
      <c r="S1780" s="131"/>
      <c r="T1780" s="155">
        <v>6451.22</v>
      </c>
      <c r="U1780" s="131">
        <v>6048</v>
      </c>
      <c r="V1780" s="131">
        <f t="shared" si="40"/>
        <v>57657.58</v>
      </c>
      <c r="W1780">
        <v>211</v>
      </c>
      <c r="X1780" s="151" t="s">
        <v>1429</v>
      </c>
      <c r="Y1780" s="135" t="s">
        <v>55</v>
      </c>
      <c r="Z1780" s="307">
        <v>226</v>
      </c>
      <c r="AB1780" t="str">
        <f>IF(Table1[[#This Row],[TIPO2]]="costo", VLOOKUP(Table1[[#This Row],[PARTIDA PRESUPUESTAL]],'Cost Report'!G:G,1,0),"Balance")</f>
        <v>1401-029</v>
      </c>
      <c r="AC1780" s="118"/>
      <c r="AD1780" s="159">
        <f>+Table1[[#This Row],[SUBTOTAL]]+Table1[[#This Row],[IVA]]-Table1[[#This Row],[RET IVA]]-Table1[[#This Row],[RET ISR]]-Table1[[#This Row],[TOTAL]]</f>
        <v>0</v>
      </c>
      <c r="AE1780" s="150"/>
      <c r="AF1780" s="151"/>
      <c r="AG1780" s="126"/>
      <c r="AK1780" s="306" t="str">
        <f>IF(ISNUMBER(Table1[[#This Row],[FECHA DE RECIBIDO]]), Table1[[#This Row],[FECHA DE RECIBIDO]]-DATE(2023,8,30), "")</f>
        <v/>
      </c>
    </row>
    <row r="1781" spans="1:37" ht="16.05" customHeight="1">
      <c r="A1781" s="152" t="s">
        <v>3585</v>
      </c>
      <c r="B1781" s="153">
        <v>668</v>
      </c>
      <c r="C1781" s="126" t="s">
        <v>278</v>
      </c>
      <c r="D1781">
        <v>1191</v>
      </c>
      <c r="E1781" s="126" t="s">
        <v>3657</v>
      </c>
      <c r="F1781" s="125" t="s">
        <v>1589</v>
      </c>
      <c r="G1781" s="125" t="s">
        <v>129</v>
      </c>
      <c r="H1781">
        <v>374</v>
      </c>
      <c r="I1781" s="125" t="s">
        <v>1546</v>
      </c>
      <c r="J1781" s="308" t="s">
        <v>214</v>
      </c>
      <c r="K1781" s="127" t="s">
        <v>3418</v>
      </c>
      <c r="L1781" s="153" t="s">
        <v>110</v>
      </c>
      <c r="M1781">
        <v>493</v>
      </c>
      <c r="N1781" s="123">
        <v>116</v>
      </c>
      <c r="O1781">
        <v>1171</v>
      </c>
      <c r="P1781" s="132" t="s">
        <v>77</v>
      </c>
      <c r="Q1781" s="132">
        <v>591360</v>
      </c>
      <c r="R1781" s="132">
        <v>94617.600000000006</v>
      </c>
      <c r="S1781" s="132"/>
      <c r="T1781" s="156">
        <v>63078.6</v>
      </c>
      <c r="U1781" s="132">
        <v>59136</v>
      </c>
      <c r="V1781" s="132">
        <f t="shared" si="40"/>
        <v>563763</v>
      </c>
      <c r="W1781">
        <v>212</v>
      </c>
      <c r="X1781" s="153" t="s">
        <v>1430</v>
      </c>
      <c r="Y1781" s="124" t="s">
        <v>55</v>
      </c>
      <c r="Z1781" s="308">
        <v>226</v>
      </c>
      <c r="AB1781" t="str">
        <f>IF(Table1[[#This Row],[TIPO2]]="costo", VLOOKUP(Table1[[#This Row],[PARTIDA PRESUPUESTAL]],'Cost Report'!G:G,1,0),"Balance")</f>
        <v>1401-002</v>
      </c>
      <c r="AC1781" s="118"/>
      <c r="AD1781" s="159">
        <f>+Table1[[#This Row],[SUBTOTAL]]+Table1[[#This Row],[IVA]]-Table1[[#This Row],[RET IVA]]-Table1[[#This Row],[RET ISR]]-Table1[[#This Row],[TOTAL]]</f>
        <v>0</v>
      </c>
      <c r="AE1781" s="152"/>
      <c r="AF1781" s="153"/>
      <c r="AG1781" s="126"/>
      <c r="AK1781" s="306" t="str">
        <f>IF(ISNUMBER(Table1[[#This Row],[FECHA DE RECIBIDO]]), Table1[[#This Row],[FECHA DE RECIBIDO]]-DATE(2023,8,30), "")</f>
        <v/>
      </c>
    </row>
    <row r="1782" spans="1:37" ht="16.05" customHeight="1">
      <c r="A1782" s="150" t="s">
        <v>3586</v>
      </c>
      <c r="B1782" s="151">
        <v>669</v>
      </c>
      <c r="C1782" s="126" t="s">
        <v>920</v>
      </c>
      <c r="D1782">
        <v>1192</v>
      </c>
      <c r="E1782" s="126" t="s">
        <v>3371</v>
      </c>
      <c r="F1782" s="122" t="s">
        <v>1589</v>
      </c>
      <c r="G1782" s="122" t="s">
        <v>129</v>
      </c>
      <c r="H1782">
        <v>375</v>
      </c>
      <c r="I1782" s="122" t="s">
        <v>1546</v>
      </c>
      <c r="J1782" s="307" t="s">
        <v>214</v>
      </c>
      <c r="K1782" s="127" t="s">
        <v>3418</v>
      </c>
      <c r="L1782" s="151" t="s">
        <v>110</v>
      </c>
      <c r="M1782">
        <v>494</v>
      </c>
      <c r="N1782" s="123">
        <v>117</v>
      </c>
      <c r="O1782">
        <v>1172</v>
      </c>
      <c r="P1782" s="132" t="s">
        <v>77</v>
      </c>
      <c r="Q1782" s="131">
        <v>16000</v>
      </c>
      <c r="R1782" s="131">
        <v>2560</v>
      </c>
      <c r="S1782" s="131"/>
      <c r="T1782" s="155">
        <v>1706.68</v>
      </c>
      <c r="U1782" s="131">
        <v>1600</v>
      </c>
      <c r="V1782" s="131">
        <f t="shared" si="40"/>
        <v>15253.32</v>
      </c>
      <c r="W1782">
        <v>213</v>
      </c>
      <c r="X1782" s="151" t="s">
        <v>1431</v>
      </c>
      <c r="Y1782" s="135" t="s">
        <v>55</v>
      </c>
      <c r="Z1782" s="307">
        <v>226</v>
      </c>
      <c r="AB1782" t="str">
        <f>IF(Table1[[#This Row],[TIPO2]]="costo", VLOOKUP(Table1[[#This Row],[PARTIDA PRESUPUESTAL]],'Cost Report'!G:G,1,0),"Balance")</f>
        <v>3220-003</v>
      </c>
      <c r="AC1782" s="118"/>
      <c r="AD1782" s="159">
        <f>+Table1[[#This Row],[SUBTOTAL]]+Table1[[#This Row],[IVA]]-Table1[[#This Row],[RET IVA]]-Table1[[#This Row],[RET ISR]]-Table1[[#This Row],[TOTAL]]</f>
        <v>0</v>
      </c>
      <c r="AE1782" s="150"/>
      <c r="AF1782" s="151"/>
      <c r="AG1782" s="126"/>
      <c r="AK1782" s="306" t="str">
        <f>IF(ISNUMBER(Table1[[#This Row],[FECHA DE RECIBIDO]]), Table1[[#This Row],[FECHA DE RECIBIDO]]-DATE(2023,8,30), "")</f>
        <v/>
      </c>
    </row>
    <row r="1783" spans="1:37" ht="16.05" customHeight="1">
      <c r="A1783" s="152" t="s">
        <v>3587</v>
      </c>
      <c r="B1783" s="153">
        <v>670</v>
      </c>
      <c r="C1783" s="126" t="s">
        <v>2729</v>
      </c>
      <c r="D1783">
        <v>1193</v>
      </c>
      <c r="E1783" s="126" t="s">
        <v>3273</v>
      </c>
      <c r="F1783" s="125" t="s">
        <v>1589</v>
      </c>
      <c r="G1783" s="125" t="s">
        <v>129</v>
      </c>
      <c r="H1783">
        <v>264</v>
      </c>
      <c r="I1783" s="125" t="s">
        <v>1546</v>
      </c>
      <c r="J1783" s="308" t="s">
        <v>214</v>
      </c>
      <c r="K1783" s="127" t="s">
        <v>3418</v>
      </c>
      <c r="L1783" s="153" t="s">
        <v>3306</v>
      </c>
      <c r="M1783">
        <v>351</v>
      </c>
      <c r="N1783" s="123">
        <v>1</v>
      </c>
      <c r="O1783">
        <v>1173</v>
      </c>
      <c r="P1783" s="132" t="s">
        <v>77</v>
      </c>
      <c r="Q1783" s="132">
        <v>39000</v>
      </c>
      <c r="R1783" s="132">
        <v>6240</v>
      </c>
      <c r="S1783" s="132"/>
      <c r="T1783" s="156">
        <v>4160.01</v>
      </c>
      <c r="U1783" s="132">
        <v>3900</v>
      </c>
      <c r="V1783" s="132">
        <f t="shared" si="40"/>
        <v>37179.99</v>
      </c>
      <c r="W1783">
        <v>164</v>
      </c>
      <c r="X1783" s="153" t="s">
        <v>1429</v>
      </c>
      <c r="Y1783" s="124" t="s">
        <v>55</v>
      </c>
      <c r="Z1783" s="308">
        <v>226</v>
      </c>
      <c r="AB1783" t="str">
        <f>IF(Table1[[#This Row],[TIPO2]]="costo", VLOOKUP(Table1[[#This Row],[PARTIDA PRESUPUESTAL]],'Cost Report'!G:G,1,0),"Balance")</f>
        <v>3193-106</v>
      </c>
      <c r="AC1783" s="118"/>
      <c r="AD1783" s="159">
        <f>+Table1[[#This Row],[SUBTOTAL]]+Table1[[#This Row],[IVA]]-Table1[[#This Row],[RET IVA]]-Table1[[#This Row],[RET ISR]]-Table1[[#This Row],[TOTAL]]</f>
        <v>0</v>
      </c>
      <c r="AE1783" s="152"/>
      <c r="AF1783" s="153"/>
      <c r="AG1783" s="126"/>
      <c r="AK1783" s="306" t="str">
        <f>IF(ISNUMBER(Table1[[#This Row],[FECHA DE RECIBIDO]]), Table1[[#This Row],[FECHA DE RECIBIDO]]-DATE(2023,8,30), "")</f>
        <v/>
      </c>
    </row>
    <row r="1784" spans="1:37" ht="16.05" customHeight="1">
      <c r="A1784" s="150" t="s">
        <v>3587</v>
      </c>
      <c r="B1784" s="151">
        <v>670</v>
      </c>
      <c r="C1784" s="126" t="s">
        <v>3411</v>
      </c>
      <c r="D1784">
        <v>1193</v>
      </c>
      <c r="E1784" s="126" t="s">
        <v>3273</v>
      </c>
      <c r="F1784" s="122" t="s">
        <v>1589</v>
      </c>
      <c r="G1784" s="122" t="s">
        <v>129</v>
      </c>
      <c r="H1784">
        <v>264</v>
      </c>
      <c r="I1784" s="122" t="s">
        <v>1546</v>
      </c>
      <c r="J1784" s="307" t="s">
        <v>214</v>
      </c>
      <c r="K1784" s="127" t="s">
        <v>3418</v>
      </c>
      <c r="L1784" s="151" t="s">
        <v>3306</v>
      </c>
      <c r="M1784">
        <v>351</v>
      </c>
      <c r="N1784" s="123">
        <v>1</v>
      </c>
      <c r="O1784">
        <v>1173</v>
      </c>
      <c r="P1784" s="132" t="s">
        <v>77</v>
      </c>
      <c r="Q1784" s="131">
        <v>16200</v>
      </c>
      <c r="R1784" s="131">
        <v>2592</v>
      </c>
      <c r="S1784" s="131"/>
      <c r="T1784" s="155">
        <v>1728.01</v>
      </c>
      <c r="U1784" s="131">
        <v>1620</v>
      </c>
      <c r="V1784" s="131">
        <f t="shared" si="40"/>
        <v>15443.990000000002</v>
      </c>
      <c r="W1784">
        <v>164</v>
      </c>
      <c r="X1784" s="151" t="s">
        <v>1429</v>
      </c>
      <c r="Y1784" s="135" t="s">
        <v>55</v>
      </c>
      <c r="Z1784" s="307">
        <v>226</v>
      </c>
      <c r="AB1784" t="str">
        <f>IF(Table1[[#This Row],[TIPO2]]="costo", VLOOKUP(Table1[[#This Row],[PARTIDA PRESUPUESTAL]],'Cost Report'!G:G,1,0),"Balance")</f>
        <v>3193-119</v>
      </c>
      <c r="AC1784" s="118"/>
      <c r="AD1784" s="159">
        <f>+Table1[[#This Row],[SUBTOTAL]]+Table1[[#This Row],[IVA]]-Table1[[#This Row],[RET IVA]]-Table1[[#This Row],[RET ISR]]-Table1[[#This Row],[TOTAL]]</f>
        <v>0</v>
      </c>
      <c r="AE1784" s="150"/>
      <c r="AF1784" s="151"/>
      <c r="AG1784" s="126"/>
      <c r="AK1784" s="306" t="str">
        <f>IF(ISNUMBER(Table1[[#This Row],[FECHA DE RECIBIDO]]), Table1[[#This Row],[FECHA DE RECIBIDO]]-DATE(2023,8,30), "")</f>
        <v/>
      </c>
    </row>
    <row r="1785" spans="1:37" ht="16.05" customHeight="1">
      <c r="A1785" s="152" t="s">
        <v>3587</v>
      </c>
      <c r="B1785" s="153">
        <v>670</v>
      </c>
      <c r="C1785" s="126" t="s">
        <v>2729</v>
      </c>
      <c r="D1785">
        <v>1193</v>
      </c>
      <c r="E1785" s="126" t="s">
        <v>3273</v>
      </c>
      <c r="F1785" s="125" t="s">
        <v>1589</v>
      </c>
      <c r="G1785" s="125" t="s">
        <v>129</v>
      </c>
      <c r="H1785">
        <v>264</v>
      </c>
      <c r="I1785" s="125" t="s">
        <v>1546</v>
      </c>
      <c r="J1785" s="308" t="s">
        <v>214</v>
      </c>
      <c r="K1785" s="127" t="s">
        <v>3418</v>
      </c>
      <c r="L1785" s="153" t="s">
        <v>3306</v>
      </c>
      <c r="M1785">
        <v>351</v>
      </c>
      <c r="N1785" s="123">
        <v>1</v>
      </c>
      <c r="O1785">
        <v>1173</v>
      </c>
      <c r="P1785" s="132" t="s">
        <v>77</v>
      </c>
      <c r="Q1785" s="132">
        <v>63000</v>
      </c>
      <c r="R1785" s="132">
        <v>10080</v>
      </c>
      <c r="S1785" s="132"/>
      <c r="T1785" s="156">
        <v>6720.02</v>
      </c>
      <c r="U1785" s="132">
        <v>6300</v>
      </c>
      <c r="V1785" s="132">
        <f t="shared" si="40"/>
        <v>60059.979999999996</v>
      </c>
      <c r="W1785">
        <v>164</v>
      </c>
      <c r="X1785" s="153" t="s">
        <v>1429</v>
      </c>
      <c r="Y1785" s="124" t="s">
        <v>55</v>
      </c>
      <c r="Z1785" s="308">
        <v>226</v>
      </c>
      <c r="AB1785" t="str">
        <f>IF(Table1[[#This Row],[TIPO2]]="costo", VLOOKUP(Table1[[#This Row],[PARTIDA PRESUPUESTAL]],'Cost Report'!G:G,1,0),"Balance")</f>
        <v>3193-106</v>
      </c>
      <c r="AC1785" s="118"/>
      <c r="AD1785" s="159">
        <f>+Table1[[#This Row],[SUBTOTAL]]+Table1[[#This Row],[IVA]]-Table1[[#This Row],[RET IVA]]-Table1[[#This Row],[RET ISR]]-Table1[[#This Row],[TOTAL]]</f>
        <v>0</v>
      </c>
      <c r="AE1785" s="152"/>
      <c r="AF1785" s="153"/>
      <c r="AG1785" s="126"/>
      <c r="AK1785" s="306" t="str">
        <f>IF(ISNUMBER(Table1[[#This Row],[FECHA DE RECIBIDO]]), Table1[[#This Row],[FECHA DE RECIBIDO]]-DATE(2023,8,30), "")</f>
        <v/>
      </c>
    </row>
    <row r="1786" spans="1:37" ht="16.05" customHeight="1">
      <c r="A1786" s="150" t="s">
        <v>3588</v>
      </c>
      <c r="B1786" s="151">
        <v>671</v>
      </c>
      <c r="C1786" s="126" t="s">
        <v>1728</v>
      </c>
      <c r="D1786">
        <v>1194</v>
      </c>
      <c r="E1786" s="126" t="s">
        <v>1985</v>
      </c>
      <c r="F1786" s="122" t="s">
        <v>1593</v>
      </c>
      <c r="G1786" s="122" t="s">
        <v>109</v>
      </c>
      <c r="H1786">
        <v>265</v>
      </c>
      <c r="I1786" s="122" t="s">
        <v>1546</v>
      </c>
      <c r="J1786" s="307" t="s">
        <v>214</v>
      </c>
      <c r="K1786" s="127" t="s">
        <v>3418</v>
      </c>
      <c r="L1786" s="151" t="s">
        <v>3306</v>
      </c>
      <c r="M1786">
        <v>353</v>
      </c>
      <c r="N1786" s="123">
        <v>1</v>
      </c>
      <c r="O1786">
        <v>1174</v>
      </c>
      <c r="P1786" s="132" t="s">
        <v>77</v>
      </c>
      <c r="Q1786" s="131">
        <v>339268</v>
      </c>
      <c r="R1786" s="131">
        <v>54282.879999999997</v>
      </c>
      <c r="S1786" s="131"/>
      <c r="T1786" s="155">
        <v>0</v>
      </c>
      <c r="U1786" s="131">
        <v>0</v>
      </c>
      <c r="V1786" s="131">
        <f t="shared" si="40"/>
        <v>393550.88</v>
      </c>
      <c r="W1786">
        <v>165</v>
      </c>
      <c r="X1786" s="151" t="s">
        <v>3685</v>
      </c>
      <c r="Y1786" s="135"/>
      <c r="Z1786" s="307" t="s">
        <v>214</v>
      </c>
      <c r="AB1786" t="str">
        <f>IF(Table1[[#This Row],[TIPO2]]="costo", VLOOKUP(Table1[[#This Row],[PARTIDA PRESUPUESTAL]],'Cost Report'!G:G,1,0),"Balance")</f>
        <v>2103-004</v>
      </c>
      <c r="AC1786" s="118"/>
      <c r="AD1786" s="159">
        <f>+Table1[[#This Row],[SUBTOTAL]]+Table1[[#This Row],[IVA]]-Table1[[#This Row],[RET IVA]]-Table1[[#This Row],[RET ISR]]-Table1[[#This Row],[TOTAL]]</f>
        <v>0</v>
      </c>
      <c r="AE1786" s="150"/>
      <c r="AF1786" s="151"/>
      <c r="AG1786" s="126"/>
      <c r="AK1786" s="306" t="str">
        <f>IF(ISNUMBER(Table1[[#This Row],[FECHA DE RECIBIDO]]), Table1[[#This Row],[FECHA DE RECIBIDO]]-DATE(2023,8,30), "")</f>
        <v/>
      </c>
    </row>
    <row r="1787" spans="1:37" ht="16.05" customHeight="1">
      <c r="A1787" s="152" t="s">
        <v>3589</v>
      </c>
      <c r="B1787" s="153">
        <v>672</v>
      </c>
      <c r="C1787" s="126" t="s">
        <v>229</v>
      </c>
      <c r="D1787"/>
      <c r="E1787" s="126" t="s">
        <v>1911</v>
      </c>
      <c r="F1787" s="125" t="s">
        <v>1911</v>
      </c>
      <c r="G1787" s="125" t="s">
        <v>1911</v>
      </c>
      <c r="H1787"/>
      <c r="I1787" s="125" t="s">
        <v>1911</v>
      </c>
      <c r="J1787" s="308" t="s">
        <v>214</v>
      </c>
      <c r="K1787" s="127" t="s">
        <v>3418</v>
      </c>
      <c r="L1787" s="153" t="s">
        <v>118</v>
      </c>
      <c r="M1787">
        <v>16</v>
      </c>
      <c r="N1787" s="123">
        <v>1</v>
      </c>
      <c r="O1787">
        <v>1175</v>
      </c>
      <c r="P1787" s="132" t="s">
        <v>77</v>
      </c>
      <c r="Q1787" s="132">
        <v>899999.91</v>
      </c>
      <c r="R1787" s="132">
        <v>0</v>
      </c>
      <c r="S1787" s="132"/>
      <c r="T1787" s="156">
        <v>0</v>
      </c>
      <c r="U1787" s="132">
        <v>0</v>
      </c>
      <c r="V1787" s="132">
        <f t="shared" si="40"/>
        <v>899999.91</v>
      </c>
      <c r="W1787">
        <v>214</v>
      </c>
      <c r="X1787" s="153" t="s">
        <v>3590</v>
      </c>
      <c r="Y1787" s="124" t="s">
        <v>55</v>
      </c>
      <c r="Z1787" s="308">
        <v>226</v>
      </c>
      <c r="AB1787" t="str">
        <f>IF(Table1[[#This Row],[TIPO2]]="costo", VLOOKUP(Table1[[#This Row],[PARTIDA PRESUPUESTAL]],'Cost Report'!G:G,1,0),"Balance")</f>
        <v>1201-003</v>
      </c>
      <c r="AC1787" s="118"/>
      <c r="AD1787" s="159">
        <f>+Table1[[#This Row],[SUBTOTAL]]+Table1[[#This Row],[IVA]]-Table1[[#This Row],[RET IVA]]-Table1[[#This Row],[RET ISR]]-Table1[[#This Row],[TOTAL]]</f>
        <v>0</v>
      </c>
      <c r="AE1787" s="152"/>
      <c r="AF1787" s="153"/>
      <c r="AG1787" s="126"/>
      <c r="AK1787" s="306" t="str">
        <f>IF(ISNUMBER(Table1[[#This Row],[FECHA DE RECIBIDO]]), Table1[[#This Row],[FECHA DE RECIBIDO]]-DATE(2023,8,30), "")</f>
        <v/>
      </c>
    </row>
    <row r="1788" spans="1:37" ht="16.05" customHeight="1">
      <c r="A1788" s="150" t="s">
        <v>3591</v>
      </c>
      <c r="B1788" s="151">
        <v>673</v>
      </c>
      <c r="C1788" s="126" t="s">
        <v>71</v>
      </c>
      <c r="D1788"/>
      <c r="E1788" s="126"/>
      <c r="F1788" s="122"/>
      <c r="G1788" s="122"/>
      <c r="H1788"/>
      <c r="I1788" s="122"/>
      <c r="J1788" s="307" t="s">
        <v>214</v>
      </c>
      <c r="K1788" s="127" t="s">
        <v>3418</v>
      </c>
      <c r="L1788" s="151" t="s">
        <v>1579</v>
      </c>
      <c r="M1788">
        <v>495</v>
      </c>
      <c r="N1788" s="123">
        <v>17</v>
      </c>
      <c r="O1788">
        <v>1176</v>
      </c>
      <c r="P1788" s="131" t="s">
        <v>78</v>
      </c>
      <c r="Q1788" s="131">
        <v>100000</v>
      </c>
      <c r="R1788" s="131"/>
      <c r="S1788" s="131"/>
      <c r="T1788" s="155"/>
      <c r="U1788" s="131"/>
      <c r="V1788" s="131">
        <f t="shared" si="40"/>
        <v>100000</v>
      </c>
      <c r="W1788"/>
      <c r="X1788" s="151" t="s">
        <v>1656</v>
      </c>
      <c r="Y1788" s="135" t="s">
        <v>55</v>
      </c>
      <c r="Z1788" s="307">
        <v>226</v>
      </c>
      <c r="AB1788" t="str">
        <f>IF(Table1[[#This Row],[TIPO2]]="costo", VLOOKUP(Table1[[#This Row],[PARTIDA PRESUPUESTAL]],'Cost Report'!G:G,1,0),"Balance")</f>
        <v>Balance</v>
      </c>
      <c r="AC1788" s="118"/>
      <c r="AD1788" s="159">
        <f>+Table1[[#This Row],[SUBTOTAL]]+Table1[[#This Row],[IVA]]-Table1[[#This Row],[RET IVA]]-Table1[[#This Row],[RET ISR]]-Table1[[#This Row],[TOTAL]]</f>
        <v>0</v>
      </c>
      <c r="AE1788" s="150"/>
      <c r="AF1788" s="151"/>
      <c r="AG1788" s="126"/>
      <c r="AK1788" s="306" t="str">
        <f>IF(ISNUMBER(Table1[[#This Row],[FECHA DE RECIBIDO]]), Table1[[#This Row],[FECHA DE RECIBIDO]]-DATE(2023,8,30), "")</f>
        <v/>
      </c>
    </row>
    <row r="1789" spans="1:37" ht="16.05" customHeight="1">
      <c r="A1789" s="152" t="s">
        <v>3591</v>
      </c>
      <c r="B1789" s="153">
        <v>673</v>
      </c>
      <c r="C1789" s="126" t="s">
        <v>3103</v>
      </c>
      <c r="D1789"/>
      <c r="E1789" s="126"/>
      <c r="F1789" s="125"/>
      <c r="G1789" s="125"/>
      <c r="H1789"/>
      <c r="I1789" s="125"/>
      <c r="J1789" s="308" t="s">
        <v>214</v>
      </c>
      <c r="K1789" s="127" t="s">
        <v>3418</v>
      </c>
      <c r="L1789" s="153" t="s">
        <v>1579</v>
      </c>
      <c r="M1789">
        <v>495</v>
      </c>
      <c r="N1789" s="123">
        <v>17</v>
      </c>
      <c r="O1789">
        <v>553</v>
      </c>
      <c r="P1789" s="132" t="s">
        <v>77</v>
      </c>
      <c r="Q1789" s="132">
        <v>3000</v>
      </c>
      <c r="R1789" s="132">
        <v>480</v>
      </c>
      <c r="S1789" s="132"/>
      <c r="T1789" s="156"/>
      <c r="U1789" s="132"/>
      <c r="V1789" s="132">
        <f t="shared" si="40"/>
        <v>3480</v>
      </c>
      <c r="W1789"/>
      <c r="X1789" s="153" t="s">
        <v>3592</v>
      </c>
      <c r="Y1789" s="124" t="s">
        <v>55</v>
      </c>
      <c r="Z1789" s="308">
        <v>226</v>
      </c>
      <c r="AB1789" t="str">
        <f>IF(Table1[[#This Row],[TIPO2]]="costo", VLOOKUP(Table1[[#This Row],[PARTIDA PRESUPUESTAL]],'Cost Report'!G:G,1,0),"Balance")</f>
        <v>7038-009</v>
      </c>
      <c r="AC1789" s="118"/>
      <c r="AD1789" s="159">
        <f>+Table1[[#This Row],[SUBTOTAL]]+Table1[[#This Row],[IVA]]-Table1[[#This Row],[RET IVA]]-Table1[[#This Row],[RET ISR]]-Table1[[#This Row],[TOTAL]]</f>
        <v>0</v>
      </c>
      <c r="AE1789" s="152"/>
      <c r="AF1789" s="153"/>
      <c r="AG1789" s="126"/>
      <c r="AK1789" s="306" t="str">
        <f>IF(ISNUMBER(Table1[[#This Row],[FECHA DE RECIBIDO]]), Table1[[#This Row],[FECHA DE RECIBIDO]]-DATE(2023,8,30), "")</f>
        <v/>
      </c>
    </row>
    <row r="1790" spans="1:37" ht="16.05" customHeight="1">
      <c r="A1790" s="150" t="s">
        <v>3593</v>
      </c>
      <c r="B1790" s="151">
        <v>674</v>
      </c>
      <c r="C1790" s="126" t="s">
        <v>2596</v>
      </c>
      <c r="D1790">
        <v>1195</v>
      </c>
      <c r="E1790" s="126" t="s">
        <v>3658</v>
      </c>
      <c r="F1790" s="122" t="s">
        <v>1589</v>
      </c>
      <c r="G1790" s="122" t="s">
        <v>129</v>
      </c>
      <c r="H1790">
        <v>376</v>
      </c>
      <c r="I1790" s="122" t="s">
        <v>1546</v>
      </c>
      <c r="J1790" s="307" t="s">
        <v>214</v>
      </c>
      <c r="K1790" s="127" t="s">
        <v>3418</v>
      </c>
      <c r="L1790" s="151" t="s">
        <v>118</v>
      </c>
      <c r="M1790">
        <v>496</v>
      </c>
      <c r="N1790" s="123">
        <v>118</v>
      </c>
      <c r="O1790">
        <v>1177</v>
      </c>
      <c r="P1790" s="132" t="s">
        <v>77</v>
      </c>
      <c r="Q1790" s="131">
        <v>11000</v>
      </c>
      <c r="R1790" s="131">
        <v>1760</v>
      </c>
      <c r="S1790" s="131"/>
      <c r="T1790" s="155">
        <v>1173.3399999999999</v>
      </c>
      <c r="U1790" s="131">
        <v>1100</v>
      </c>
      <c r="V1790" s="131">
        <f t="shared" si="40"/>
        <v>10486.66</v>
      </c>
      <c r="W1790">
        <v>215</v>
      </c>
      <c r="X1790" s="151" t="s">
        <v>2041</v>
      </c>
      <c r="Y1790" s="135" t="s">
        <v>55</v>
      </c>
      <c r="Z1790" s="307">
        <v>226</v>
      </c>
      <c r="AB1790" t="str">
        <f>IF(Table1[[#This Row],[TIPO2]]="costo", VLOOKUP(Table1[[#This Row],[PARTIDA PRESUPUESTAL]],'Cost Report'!G:G,1,0),"Balance")</f>
        <v>2794-003</v>
      </c>
      <c r="AC1790" s="118"/>
      <c r="AD1790" s="159">
        <f>+Table1[[#This Row],[SUBTOTAL]]+Table1[[#This Row],[IVA]]-Table1[[#This Row],[RET IVA]]-Table1[[#This Row],[RET ISR]]-Table1[[#This Row],[TOTAL]]</f>
        <v>0</v>
      </c>
      <c r="AE1790" s="150"/>
      <c r="AF1790" s="151"/>
      <c r="AG1790" s="126"/>
      <c r="AK1790" s="306" t="str">
        <f>IF(ISNUMBER(Table1[[#This Row],[FECHA DE RECIBIDO]]), Table1[[#This Row],[FECHA DE RECIBIDO]]-DATE(2023,8,30), "")</f>
        <v/>
      </c>
    </row>
    <row r="1791" spans="1:37" ht="16.05" customHeight="1">
      <c r="A1791" s="152" t="s">
        <v>3594</v>
      </c>
      <c r="B1791" s="153">
        <v>675</v>
      </c>
      <c r="C1791" s="126" t="s">
        <v>2566</v>
      </c>
      <c r="D1791">
        <v>1196</v>
      </c>
      <c r="E1791" s="126" t="s">
        <v>3292</v>
      </c>
      <c r="F1791" s="125" t="s">
        <v>1607</v>
      </c>
      <c r="G1791" s="125" t="s">
        <v>134</v>
      </c>
      <c r="H1791">
        <v>251</v>
      </c>
      <c r="I1791" s="125" t="s">
        <v>1546</v>
      </c>
      <c r="J1791" s="308" t="s">
        <v>214</v>
      </c>
      <c r="K1791" s="127" t="s">
        <v>3418</v>
      </c>
      <c r="L1791" s="153" t="s">
        <v>118</v>
      </c>
      <c r="M1791">
        <v>329</v>
      </c>
      <c r="N1791" s="123">
        <v>1</v>
      </c>
      <c r="O1791">
        <v>1178</v>
      </c>
      <c r="P1791" s="132" t="s">
        <v>77</v>
      </c>
      <c r="Q1791" s="132">
        <v>819.83</v>
      </c>
      <c r="R1791" s="132">
        <v>131.16999999999999</v>
      </c>
      <c r="S1791" s="132"/>
      <c r="T1791" s="156">
        <v>0</v>
      </c>
      <c r="U1791" s="132">
        <v>0</v>
      </c>
      <c r="V1791" s="132">
        <f t="shared" si="40"/>
        <v>951</v>
      </c>
      <c r="W1791">
        <v>150</v>
      </c>
      <c r="X1791" s="153" t="s">
        <v>105</v>
      </c>
      <c r="Y1791" s="124" t="s">
        <v>55</v>
      </c>
      <c r="Z1791" s="308">
        <v>226</v>
      </c>
      <c r="AB1791" t="str">
        <f>IF(Table1[[#This Row],[TIPO2]]="costo", VLOOKUP(Table1[[#This Row],[PARTIDA PRESUPUESTAL]],'Cost Report'!G:G,1,0),"Balance")</f>
        <v>2594-003</v>
      </c>
      <c r="AC1791" s="118"/>
      <c r="AD1791" s="159">
        <f>+Table1[[#This Row],[SUBTOTAL]]+Table1[[#This Row],[IVA]]-Table1[[#This Row],[RET IVA]]-Table1[[#This Row],[RET ISR]]-Table1[[#This Row],[TOTAL]]</f>
        <v>0</v>
      </c>
      <c r="AE1791" s="152"/>
      <c r="AF1791" s="153"/>
      <c r="AG1791" s="126"/>
      <c r="AK1791" s="306" t="str">
        <f>IF(ISNUMBER(Table1[[#This Row],[FECHA DE RECIBIDO]]), Table1[[#This Row],[FECHA DE RECIBIDO]]-DATE(2023,8,30), "")</f>
        <v/>
      </c>
    </row>
    <row r="1792" spans="1:37" ht="16.05" customHeight="1">
      <c r="A1792" s="150" t="s">
        <v>3595</v>
      </c>
      <c r="B1792" s="151">
        <v>676</v>
      </c>
      <c r="C1792" s="126" t="s">
        <v>3002</v>
      </c>
      <c r="D1792">
        <v>1197</v>
      </c>
      <c r="E1792" s="126" t="s">
        <v>3276</v>
      </c>
      <c r="F1792" s="122" t="s">
        <v>1589</v>
      </c>
      <c r="G1792" s="122" t="s">
        <v>129</v>
      </c>
      <c r="H1792">
        <v>377</v>
      </c>
      <c r="I1792" s="122" t="s">
        <v>1546</v>
      </c>
      <c r="J1792" s="307" t="s">
        <v>214</v>
      </c>
      <c r="K1792" s="127" t="s">
        <v>3418</v>
      </c>
      <c r="L1792" s="151" t="s">
        <v>118</v>
      </c>
      <c r="M1792">
        <v>497</v>
      </c>
      <c r="N1792" s="123">
        <v>1</v>
      </c>
      <c r="O1792">
        <v>1179</v>
      </c>
      <c r="P1792" s="132" t="s">
        <v>77</v>
      </c>
      <c r="Q1792" s="131">
        <v>3750</v>
      </c>
      <c r="R1792" s="131">
        <v>600</v>
      </c>
      <c r="S1792" s="131"/>
      <c r="T1792" s="155">
        <v>400</v>
      </c>
      <c r="U1792" s="131">
        <v>375</v>
      </c>
      <c r="V1792" s="131">
        <f t="shared" si="40"/>
        <v>3575</v>
      </c>
      <c r="W1792">
        <v>216</v>
      </c>
      <c r="X1792" s="151" t="s">
        <v>2041</v>
      </c>
      <c r="Y1792" s="135" t="s">
        <v>55</v>
      </c>
      <c r="Z1792" s="307">
        <v>226</v>
      </c>
      <c r="AB1792" t="str">
        <f>IF(Table1[[#This Row],[TIPO2]]="costo", VLOOKUP(Table1[[#This Row],[PARTIDA PRESUPUESTAL]],'Cost Report'!G:G,1,0),"Balance")</f>
        <v>4180-003</v>
      </c>
      <c r="AC1792" s="118"/>
      <c r="AD1792" s="159">
        <f>+Table1[[#This Row],[SUBTOTAL]]+Table1[[#This Row],[IVA]]-Table1[[#This Row],[RET IVA]]-Table1[[#This Row],[RET ISR]]-Table1[[#This Row],[TOTAL]]</f>
        <v>0</v>
      </c>
      <c r="AE1792" s="150"/>
      <c r="AF1792" s="151"/>
      <c r="AG1792" s="126"/>
      <c r="AK1792" s="306" t="str">
        <f>IF(ISNUMBER(Table1[[#This Row],[FECHA DE RECIBIDO]]), Table1[[#This Row],[FECHA DE RECIBIDO]]-DATE(2023,8,30), "")</f>
        <v/>
      </c>
    </row>
    <row r="1793" spans="1:37" ht="16.05" customHeight="1">
      <c r="A1793" s="152" t="s">
        <v>3596</v>
      </c>
      <c r="B1793" s="153">
        <v>677</v>
      </c>
      <c r="C1793" s="126" t="s">
        <v>2774</v>
      </c>
      <c r="D1793">
        <v>1198</v>
      </c>
      <c r="E1793" s="126" t="s">
        <v>3276</v>
      </c>
      <c r="F1793" s="125" t="s">
        <v>1589</v>
      </c>
      <c r="G1793" s="125" t="s">
        <v>129</v>
      </c>
      <c r="H1793">
        <v>377</v>
      </c>
      <c r="I1793" s="125" t="s">
        <v>1546</v>
      </c>
      <c r="J1793" s="308" t="s">
        <v>214</v>
      </c>
      <c r="K1793" s="127" t="s">
        <v>3418</v>
      </c>
      <c r="L1793" s="153" t="s">
        <v>118</v>
      </c>
      <c r="M1793">
        <v>497</v>
      </c>
      <c r="N1793" s="123">
        <v>1</v>
      </c>
      <c r="O1793">
        <v>1180</v>
      </c>
      <c r="P1793" s="132" t="s">
        <v>77</v>
      </c>
      <c r="Q1793" s="132">
        <v>250</v>
      </c>
      <c r="R1793" s="132">
        <v>40</v>
      </c>
      <c r="S1793" s="132"/>
      <c r="T1793" s="156">
        <v>26.67</v>
      </c>
      <c r="U1793" s="132">
        <v>25</v>
      </c>
      <c r="V1793" s="132">
        <f t="shared" si="40"/>
        <v>238.32999999999998</v>
      </c>
      <c r="W1793">
        <v>216</v>
      </c>
      <c r="X1793" s="153" t="s">
        <v>2041</v>
      </c>
      <c r="Y1793" s="124" t="s">
        <v>55</v>
      </c>
      <c r="Z1793" s="308">
        <v>226</v>
      </c>
      <c r="AB1793" t="str">
        <f>IF(Table1[[#This Row],[TIPO2]]="costo", VLOOKUP(Table1[[#This Row],[PARTIDA PRESUPUESTAL]],'Cost Report'!G:G,1,0),"Balance")</f>
        <v>3401-042</v>
      </c>
      <c r="AC1793" s="118"/>
      <c r="AD1793" s="159">
        <f>+Table1[[#This Row],[SUBTOTAL]]+Table1[[#This Row],[IVA]]-Table1[[#This Row],[RET IVA]]-Table1[[#This Row],[RET ISR]]-Table1[[#This Row],[TOTAL]]</f>
        <v>0</v>
      </c>
      <c r="AE1793" s="152"/>
      <c r="AF1793" s="153"/>
      <c r="AG1793" s="126"/>
      <c r="AK1793" s="306" t="str">
        <f>IF(ISNUMBER(Table1[[#This Row],[FECHA DE RECIBIDO]]), Table1[[#This Row],[FECHA DE RECIBIDO]]-DATE(2023,8,30), "")</f>
        <v/>
      </c>
    </row>
    <row r="1794" spans="1:37" ht="16.05" customHeight="1">
      <c r="A1794" s="150" t="s">
        <v>3597</v>
      </c>
      <c r="B1794" s="151">
        <v>678</v>
      </c>
      <c r="C1794" s="126" t="s">
        <v>927</v>
      </c>
      <c r="D1794">
        <v>1199</v>
      </c>
      <c r="E1794" s="126" t="s">
        <v>3276</v>
      </c>
      <c r="F1794" s="122" t="s">
        <v>1589</v>
      </c>
      <c r="G1794" s="122" t="s">
        <v>129</v>
      </c>
      <c r="H1794">
        <v>377</v>
      </c>
      <c r="I1794" s="122" t="s">
        <v>1546</v>
      </c>
      <c r="J1794" s="307" t="s">
        <v>214</v>
      </c>
      <c r="K1794" s="127" t="s">
        <v>3418</v>
      </c>
      <c r="L1794" s="151" t="s">
        <v>118</v>
      </c>
      <c r="M1794">
        <v>497</v>
      </c>
      <c r="N1794" s="123">
        <v>1</v>
      </c>
      <c r="O1794">
        <v>1181</v>
      </c>
      <c r="P1794" s="132" t="s">
        <v>77</v>
      </c>
      <c r="Q1794" s="131">
        <v>65625</v>
      </c>
      <c r="R1794" s="131">
        <v>10500</v>
      </c>
      <c r="S1794" s="131"/>
      <c r="T1794" s="155">
        <v>7000.02</v>
      </c>
      <c r="U1794" s="131">
        <v>6562.5</v>
      </c>
      <c r="V1794" s="131">
        <f t="shared" si="40"/>
        <v>62562.479999999996</v>
      </c>
      <c r="W1794">
        <v>216</v>
      </c>
      <c r="X1794" s="151" t="s">
        <v>2041</v>
      </c>
      <c r="Y1794" s="135" t="s">
        <v>55</v>
      </c>
      <c r="Z1794" s="307">
        <v>226</v>
      </c>
      <c r="AB1794" t="str">
        <f>IF(Table1[[#This Row],[TIPO2]]="costo", VLOOKUP(Table1[[#This Row],[PARTIDA PRESUPUESTAL]],'Cost Report'!G:G,1,0),"Balance")</f>
        <v>3292-003</v>
      </c>
      <c r="AC1794" s="118"/>
      <c r="AD1794" s="159">
        <f>+Table1[[#This Row],[SUBTOTAL]]+Table1[[#This Row],[IVA]]-Table1[[#This Row],[RET IVA]]-Table1[[#This Row],[RET ISR]]-Table1[[#This Row],[TOTAL]]</f>
        <v>0</v>
      </c>
      <c r="AE1794" s="150"/>
      <c r="AF1794" s="151"/>
      <c r="AG1794" s="126"/>
      <c r="AK1794" s="306" t="str">
        <f>IF(ISNUMBER(Table1[[#This Row],[FECHA DE RECIBIDO]]), Table1[[#This Row],[FECHA DE RECIBIDO]]-DATE(2023,8,30), "")</f>
        <v/>
      </c>
    </row>
    <row r="1795" spans="1:37" ht="16.05" customHeight="1">
      <c r="A1795" s="152" t="s">
        <v>3598</v>
      </c>
      <c r="B1795" s="153">
        <v>679</v>
      </c>
      <c r="C1795" s="126" t="s">
        <v>3112</v>
      </c>
      <c r="D1795">
        <v>1200</v>
      </c>
      <c r="E1795" s="126" t="s">
        <v>3659</v>
      </c>
      <c r="F1795" s="125" t="s">
        <v>1589</v>
      </c>
      <c r="G1795" s="125" t="s">
        <v>129</v>
      </c>
      <c r="H1795">
        <v>378</v>
      </c>
      <c r="I1795" s="125" t="s">
        <v>1546</v>
      </c>
      <c r="J1795" s="308" t="s">
        <v>214</v>
      </c>
      <c r="K1795" s="127" t="s">
        <v>3418</v>
      </c>
      <c r="L1795" s="153" t="s">
        <v>118</v>
      </c>
      <c r="M1795">
        <v>498</v>
      </c>
      <c r="N1795" s="123">
        <v>1</v>
      </c>
      <c r="O1795">
        <v>1182</v>
      </c>
      <c r="P1795" s="132" t="s">
        <v>77</v>
      </c>
      <c r="Q1795" s="132">
        <v>4000</v>
      </c>
      <c r="R1795" s="132">
        <v>640</v>
      </c>
      <c r="S1795" s="132"/>
      <c r="T1795" s="156">
        <v>0</v>
      </c>
      <c r="U1795" s="132">
        <v>0</v>
      </c>
      <c r="V1795" s="132">
        <f t="shared" ref="V1795:V1858" si="41">Q1795+R1795-T1795-U1795</f>
        <v>4640</v>
      </c>
      <c r="W1795">
        <v>217</v>
      </c>
      <c r="X1795" s="153" t="s">
        <v>195</v>
      </c>
      <c r="Y1795" s="124" t="s">
        <v>55</v>
      </c>
      <c r="Z1795" s="308">
        <v>226</v>
      </c>
      <c r="AB1795" t="str">
        <f>IF(Table1[[#This Row],[TIPO2]]="costo", VLOOKUP(Table1[[#This Row],[PARTIDA PRESUPUESTAL]],'Cost Report'!G:G,1,0),"Balance")</f>
        <v>7216-003</v>
      </c>
      <c r="AC1795" s="118"/>
      <c r="AD1795" s="159">
        <f>+Table1[[#This Row],[SUBTOTAL]]+Table1[[#This Row],[IVA]]-Table1[[#This Row],[RET IVA]]-Table1[[#This Row],[RET ISR]]-Table1[[#This Row],[TOTAL]]</f>
        <v>0</v>
      </c>
      <c r="AE1795" s="152"/>
      <c r="AF1795" s="153"/>
      <c r="AG1795" s="126"/>
      <c r="AK1795" s="306" t="str">
        <f>IF(ISNUMBER(Table1[[#This Row],[FECHA DE RECIBIDO]]), Table1[[#This Row],[FECHA DE RECIBIDO]]-DATE(2023,8,30), "")</f>
        <v/>
      </c>
    </row>
    <row r="1796" spans="1:37" ht="16.05" customHeight="1">
      <c r="A1796" s="150" t="s">
        <v>3599</v>
      </c>
      <c r="B1796" s="151">
        <v>680</v>
      </c>
      <c r="C1796" s="126" t="s">
        <v>2431</v>
      </c>
      <c r="D1796">
        <v>1201</v>
      </c>
      <c r="E1796" s="126" t="s">
        <v>1989</v>
      </c>
      <c r="F1796" s="122" t="s">
        <v>1607</v>
      </c>
      <c r="G1796" s="122" t="s">
        <v>134</v>
      </c>
      <c r="H1796">
        <v>379</v>
      </c>
      <c r="I1796" s="122" t="s">
        <v>1546</v>
      </c>
      <c r="J1796" s="307" t="s">
        <v>214</v>
      </c>
      <c r="K1796" s="127" t="s">
        <v>3418</v>
      </c>
      <c r="L1796" s="151" t="s">
        <v>118</v>
      </c>
      <c r="M1796">
        <v>499</v>
      </c>
      <c r="N1796" s="123">
        <v>1</v>
      </c>
      <c r="O1796">
        <v>1183</v>
      </c>
      <c r="P1796" s="132" t="s">
        <v>77</v>
      </c>
      <c r="Q1796" s="131">
        <v>50600</v>
      </c>
      <c r="R1796" s="131">
        <f t="shared" ref="R1796:R1798" si="42">Q1796*0.16</f>
        <v>8096</v>
      </c>
      <c r="S1796" s="131"/>
      <c r="T1796" s="155">
        <v>0</v>
      </c>
      <c r="U1796" s="131">
        <v>0</v>
      </c>
      <c r="V1796" s="131">
        <f t="shared" si="41"/>
        <v>58696</v>
      </c>
      <c r="W1796">
        <v>218</v>
      </c>
      <c r="X1796" s="151" t="s">
        <v>195</v>
      </c>
      <c r="Y1796" s="135" t="s">
        <v>55</v>
      </c>
      <c r="Z1796" s="307">
        <v>226</v>
      </c>
      <c r="AB1796" t="str">
        <f>IF(Table1[[#This Row],[TIPO2]]="costo", VLOOKUP(Table1[[#This Row],[PARTIDA PRESUPUESTAL]],'Cost Report'!G:G,1,0),"Balance")</f>
        <v>2030-009</v>
      </c>
      <c r="AC1796" s="118"/>
      <c r="AD1796" s="159">
        <f>+Table1[[#This Row],[SUBTOTAL]]+Table1[[#This Row],[IVA]]-Table1[[#This Row],[RET IVA]]-Table1[[#This Row],[RET ISR]]-Table1[[#This Row],[TOTAL]]</f>
        <v>0</v>
      </c>
      <c r="AE1796" s="150"/>
      <c r="AF1796" s="151"/>
      <c r="AG1796" s="126"/>
      <c r="AK1796" s="306" t="str">
        <f>IF(ISNUMBER(Table1[[#This Row],[FECHA DE RECIBIDO]]), Table1[[#This Row],[FECHA DE RECIBIDO]]-DATE(2023,8,30), "")</f>
        <v/>
      </c>
    </row>
    <row r="1797" spans="1:37" ht="16.05" customHeight="1">
      <c r="A1797" s="152" t="s">
        <v>3599</v>
      </c>
      <c r="B1797" s="153">
        <v>680</v>
      </c>
      <c r="C1797" s="126" t="s">
        <v>2432</v>
      </c>
      <c r="D1797">
        <v>1201</v>
      </c>
      <c r="E1797" s="126" t="s">
        <v>1989</v>
      </c>
      <c r="F1797" s="125" t="s">
        <v>1607</v>
      </c>
      <c r="G1797" s="125" t="s">
        <v>134</v>
      </c>
      <c r="H1797">
        <v>379</v>
      </c>
      <c r="I1797" s="125" t="s">
        <v>1546</v>
      </c>
      <c r="J1797" s="308" t="s">
        <v>214</v>
      </c>
      <c r="K1797" s="127" t="s">
        <v>3418</v>
      </c>
      <c r="L1797" s="153" t="s">
        <v>118</v>
      </c>
      <c r="M1797">
        <v>499</v>
      </c>
      <c r="N1797" s="123">
        <v>1</v>
      </c>
      <c r="O1797">
        <v>1183</v>
      </c>
      <c r="P1797" s="132" t="s">
        <v>77</v>
      </c>
      <c r="Q1797" s="132">
        <v>177100</v>
      </c>
      <c r="R1797" s="132">
        <f t="shared" si="42"/>
        <v>28336</v>
      </c>
      <c r="S1797" s="132"/>
      <c r="T1797" s="156">
        <v>0</v>
      </c>
      <c r="U1797" s="132">
        <v>0</v>
      </c>
      <c r="V1797" s="132">
        <f t="shared" si="41"/>
        <v>205436</v>
      </c>
      <c r="W1797">
        <v>218</v>
      </c>
      <c r="X1797" s="153" t="s">
        <v>195</v>
      </c>
      <c r="Y1797" s="124" t="s">
        <v>55</v>
      </c>
      <c r="Z1797" s="308">
        <v>226</v>
      </c>
      <c r="AB1797" t="str">
        <f>IF(Table1[[#This Row],[TIPO2]]="costo", VLOOKUP(Table1[[#This Row],[PARTIDA PRESUPUESTAL]],'Cost Report'!G:G,1,0),"Balance")</f>
        <v>2030-010</v>
      </c>
      <c r="AC1797" s="118"/>
      <c r="AD1797" s="159">
        <f>+Table1[[#This Row],[SUBTOTAL]]+Table1[[#This Row],[IVA]]-Table1[[#This Row],[RET IVA]]-Table1[[#This Row],[RET ISR]]-Table1[[#This Row],[TOTAL]]</f>
        <v>0</v>
      </c>
      <c r="AE1797" s="152"/>
      <c r="AF1797" s="153"/>
      <c r="AG1797" s="126"/>
      <c r="AK1797" s="306" t="str">
        <f>IF(ISNUMBER(Table1[[#This Row],[FECHA DE RECIBIDO]]), Table1[[#This Row],[FECHA DE RECIBIDO]]-DATE(2023,8,30), "")</f>
        <v/>
      </c>
    </row>
    <row r="1798" spans="1:37" ht="16.05" customHeight="1">
      <c r="A1798" s="150" t="s">
        <v>3599</v>
      </c>
      <c r="B1798" s="151">
        <v>680</v>
      </c>
      <c r="C1798" s="126" t="s">
        <v>517</v>
      </c>
      <c r="D1798">
        <v>1201</v>
      </c>
      <c r="E1798" s="126" t="s">
        <v>1989</v>
      </c>
      <c r="F1798" s="122" t="s">
        <v>1607</v>
      </c>
      <c r="G1798" s="122" t="s">
        <v>134</v>
      </c>
      <c r="H1798">
        <v>379</v>
      </c>
      <c r="I1798" s="122" t="s">
        <v>1546</v>
      </c>
      <c r="J1798" s="307" t="s">
        <v>214</v>
      </c>
      <c r="K1798" s="127" t="s">
        <v>3418</v>
      </c>
      <c r="L1798" s="151" t="s">
        <v>118</v>
      </c>
      <c r="M1798">
        <v>499</v>
      </c>
      <c r="N1798" s="123">
        <v>1</v>
      </c>
      <c r="O1798">
        <v>1183</v>
      </c>
      <c r="P1798" s="132" t="s">
        <v>77</v>
      </c>
      <c r="Q1798" s="131">
        <v>36000</v>
      </c>
      <c r="R1798" s="131">
        <f t="shared" si="42"/>
        <v>5760</v>
      </c>
      <c r="S1798" s="131"/>
      <c r="T1798" s="155">
        <v>0</v>
      </c>
      <c r="U1798" s="131">
        <v>0</v>
      </c>
      <c r="V1798" s="131">
        <f t="shared" si="41"/>
        <v>41760</v>
      </c>
      <c r="W1798">
        <v>218</v>
      </c>
      <c r="X1798" s="151" t="s">
        <v>195</v>
      </c>
      <c r="Y1798" s="135" t="s">
        <v>55</v>
      </c>
      <c r="Z1798" s="307">
        <v>226</v>
      </c>
      <c r="AB1798" t="str">
        <f>IF(Table1[[#This Row],[TIPO2]]="costo", VLOOKUP(Table1[[#This Row],[PARTIDA PRESUPUESTAL]],'Cost Report'!G:G,1,0),"Balance")</f>
        <v>2030-004</v>
      </c>
      <c r="AC1798" s="118"/>
      <c r="AD1798" s="159">
        <f>+Table1[[#This Row],[SUBTOTAL]]+Table1[[#This Row],[IVA]]-Table1[[#This Row],[RET IVA]]-Table1[[#This Row],[RET ISR]]-Table1[[#This Row],[TOTAL]]</f>
        <v>0</v>
      </c>
      <c r="AE1798" s="150"/>
      <c r="AF1798" s="151"/>
      <c r="AG1798" s="126"/>
      <c r="AK1798" s="306" t="str">
        <f>IF(ISNUMBER(Table1[[#This Row],[FECHA DE RECIBIDO]]), Table1[[#This Row],[FECHA DE RECIBIDO]]-DATE(2023,8,30), "")</f>
        <v/>
      </c>
    </row>
    <row r="1799" spans="1:37" ht="16.05" customHeight="1">
      <c r="A1799" s="152" t="s">
        <v>3600</v>
      </c>
      <c r="B1799" s="153">
        <v>681</v>
      </c>
      <c r="C1799" s="126" t="s">
        <v>2596</v>
      </c>
      <c r="D1799">
        <v>1202</v>
      </c>
      <c r="E1799" s="126" t="s">
        <v>1895</v>
      </c>
      <c r="F1799" s="125" t="s">
        <v>1607</v>
      </c>
      <c r="G1799" s="125" t="s">
        <v>134</v>
      </c>
      <c r="H1799">
        <v>220</v>
      </c>
      <c r="I1799" s="125" t="s">
        <v>1546</v>
      </c>
      <c r="J1799" s="308" t="s">
        <v>214</v>
      </c>
      <c r="K1799" s="127" t="s">
        <v>3418</v>
      </c>
      <c r="L1799" s="153" t="s">
        <v>118</v>
      </c>
      <c r="M1799">
        <v>286</v>
      </c>
      <c r="N1799" s="123">
        <v>118</v>
      </c>
      <c r="O1799">
        <v>1184</v>
      </c>
      <c r="P1799" s="132" t="s">
        <v>77</v>
      </c>
      <c r="Q1799" s="132">
        <v>129000</v>
      </c>
      <c r="R1799" s="132">
        <v>20640</v>
      </c>
      <c r="S1799" s="132"/>
      <c r="T1799" s="156">
        <v>0</v>
      </c>
      <c r="U1799" s="132">
        <v>0</v>
      </c>
      <c r="V1799" s="132">
        <f t="shared" si="41"/>
        <v>149640</v>
      </c>
      <c r="W1799">
        <v>141</v>
      </c>
      <c r="X1799" s="153" t="s">
        <v>105</v>
      </c>
      <c r="Y1799" s="124" t="s">
        <v>55</v>
      </c>
      <c r="Z1799" s="308">
        <v>226</v>
      </c>
      <c r="AB1799" t="str">
        <f>IF(Table1[[#This Row],[TIPO2]]="costo", VLOOKUP(Table1[[#This Row],[PARTIDA PRESUPUESTAL]],'Cost Report'!G:G,1,0),"Balance")</f>
        <v>2794-003</v>
      </c>
      <c r="AC1799" s="118"/>
      <c r="AD1799" s="159">
        <f>+Table1[[#This Row],[SUBTOTAL]]+Table1[[#This Row],[IVA]]-Table1[[#This Row],[RET IVA]]-Table1[[#This Row],[RET ISR]]-Table1[[#This Row],[TOTAL]]</f>
        <v>0</v>
      </c>
      <c r="AE1799" s="152"/>
      <c r="AF1799" s="153"/>
      <c r="AG1799" s="126"/>
      <c r="AK1799" s="306" t="str">
        <f>IF(ISNUMBER(Table1[[#This Row],[FECHA DE RECIBIDO]]), Table1[[#This Row],[FECHA DE RECIBIDO]]-DATE(2023,8,30), "")</f>
        <v/>
      </c>
    </row>
    <row r="1800" spans="1:37" ht="16.05" customHeight="1">
      <c r="A1800" s="150" t="s">
        <v>3601</v>
      </c>
      <c r="B1800" s="151">
        <v>682</v>
      </c>
      <c r="C1800" s="126" t="s">
        <v>674</v>
      </c>
      <c r="D1800">
        <v>1203</v>
      </c>
      <c r="E1800" s="126" t="s">
        <v>1895</v>
      </c>
      <c r="F1800" s="122" t="s">
        <v>1607</v>
      </c>
      <c r="G1800" s="122" t="s">
        <v>134</v>
      </c>
      <c r="H1800">
        <v>220</v>
      </c>
      <c r="I1800" s="122" t="s">
        <v>1546</v>
      </c>
      <c r="J1800" s="307" t="s">
        <v>214</v>
      </c>
      <c r="K1800" s="127" t="s">
        <v>3418</v>
      </c>
      <c r="L1800" s="151" t="s">
        <v>118</v>
      </c>
      <c r="M1800">
        <v>286</v>
      </c>
      <c r="N1800" s="123">
        <v>118</v>
      </c>
      <c r="O1800">
        <v>1185</v>
      </c>
      <c r="P1800" s="132" t="s">
        <v>77</v>
      </c>
      <c r="Q1800" s="131">
        <v>23250</v>
      </c>
      <c r="R1800" s="131">
        <v>3720</v>
      </c>
      <c r="S1800" s="131"/>
      <c r="T1800" s="155">
        <v>0</v>
      </c>
      <c r="U1800" s="131">
        <v>0</v>
      </c>
      <c r="V1800" s="131">
        <f t="shared" si="41"/>
        <v>26970</v>
      </c>
      <c r="W1800">
        <v>141</v>
      </c>
      <c r="X1800" s="151" t="s">
        <v>105</v>
      </c>
      <c r="Y1800" s="135" t="s">
        <v>55</v>
      </c>
      <c r="Z1800" s="307">
        <v>226</v>
      </c>
      <c r="AB1800" t="str">
        <f>IF(Table1[[#This Row],[TIPO2]]="costo", VLOOKUP(Table1[[#This Row],[PARTIDA PRESUPUESTAL]],'Cost Report'!G:G,1,0),"Balance")</f>
        <v>2795-003</v>
      </c>
      <c r="AC1800" s="118"/>
      <c r="AD1800" s="159">
        <f>+Table1[[#This Row],[SUBTOTAL]]+Table1[[#This Row],[IVA]]-Table1[[#This Row],[RET IVA]]-Table1[[#This Row],[RET ISR]]-Table1[[#This Row],[TOTAL]]</f>
        <v>0</v>
      </c>
      <c r="AE1800" s="150"/>
      <c r="AF1800" s="151"/>
      <c r="AG1800" s="126"/>
      <c r="AK1800" s="306" t="str">
        <f>IF(ISNUMBER(Table1[[#This Row],[FECHA DE RECIBIDO]]), Table1[[#This Row],[FECHA DE RECIBIDO]]-DATE(2023,8,30), "")</f>
        <v/>
      </c>
    </row>
    <row r="1801" spans="1:37" ht="16.05" customHeight="1">
      <c r="A1801" s="152" t="s">
        <v>3602</v>
      </c>
      <c r="B1801" s="153">
        <v>683</v>
      </c>
      <c r="C1801" s="126" t="s">
        <v>1407</v>
      </c>
      <c r="D1801">
        <v>1204</v>
      </c>
      <c r="E1801" s="126" t="s">
        <v>3660</v>
      </c>
      <c r="F1801" s="125" t="s">
        <v>1607</v>
      </c>
      <c r="G1801" s="125" t="s">
        <v>134</v>
      </c>
      <c r="H1801">
        <v>125</v>
      </c>
      <c r="I1801" s="125" t="s">
        <v>1546</v>
      </c>
      <c r="J1801" s="308" t="s">
        <v>214</v>
      </c>
      <c r="K1801" s="127" t="s">
        <v>3418</v>
      </c>
      <c r="L1801" s="153" t="s">
        <v>118</v>
      </c>
      <c r="M1801">
        <v>500</v>
      </c>
      <c r="N1801" s="123">
        <v>1</v>
      </c>
      <c r="O1801">
        <v>1186</v>
      </c>
      <c r="P1801" s="132" t="s">
        <v>77</v>
      </c>
      <c r="Q1801" s="132">
        <v>8266</v>
      </c>
      <c r="R1801" s="132">
        <v>1322.56</v>
      </c>
      <c r="S1801" s="132"/>
      <c r="T1801" s="156">
        <v>0</v>
      </c>
      <c r="U1801" s="132">
        <v>0</v>
      </c>
      <c r="V1801" s="132">
        <f t="shared" si="41"/>
        <v>9588.56</v>
      </c>
      <c r="W1801">
        <v>219</v>
      </c>
      <c r="X1801" s="153" t="s">
        <v>2041</v>
      </c>
      <c r="Y1801" s="124" t="s">
        <v>55</v>
      </c>
      <c r="Z1801" s="308">
        <v>226</v>
      </c>
      <c r="AB1801" t="str">
        <f>IF(Table1[[#This Row],[TIPO2]]="costo", VLOOKUP(Table1[[#This Row],[PARTIDA PRESUPUESTAL]],'Cost Report'!G:G,1,0),"Balance")</f>
        <v>7201-003</v>
      </c>
      <c r="AC1801" s="118"/>
      <c r="AD1801" s="159">
        <f>+Table1[[#This Row],[SUBTOTAL]]+Table1[[#This Row],[IVA]]-Table1[[#This Row],[RET IVA]]-Table1[[#This Row],[RET ISR]]-Table1[[#This Row],[TOTAL]]</f>
        <v>0</v>
      </c>
      <c r="AE1801" s="152"/>
      <c r="AF1801" s="153"/>
      <c r="AG1801" s="126"/>
      <c r="AK1801" s="306" t="str">
        <f>IF(ISNUMBER(Table1[[#This Row],[FECHA DE RECIBIDO]]), Table1[[#This Row],[FECHA DE RECIBIDO]]-DATE(2023,8,30), "")</f>
        <v/>
      </c>
    </row>
    <row r="1802" spans="1:37" ht="16.05" customHeight="1">
      <c r="A1802" s="150" t="s">
        <v>3603</v>
      </c>
      <c r="B1802" s="151">
        <v>684</v>
      </c>
      <c r="C1802" s="126" t="s">
        <v>278</v>
      </c>
      <c r="D1802">
        <v>1205</v>
      </c>
      <c r="E1802" s="126" t="s">
        <v>2010</v>
      </c>
      <c r="F1802" s="122" t="s">
        <v>1607</v>
      </c>
      <c r="G1802" s="122" t="s">
        <v>134</v>
      </c>
      <c r="H1802">
        <v>380</v>
      </c>
      <c r="I1802" s="122" t="s">
        <v>1546</v>
      </c>
      <c r="J1802" s="307" t="s">
        <v>214</v>
      </c>
      <c r="K1802" s="127" t="s">
        <v>3418</v>
      </c>
      <c r="L1802" s="151" t="s">
        <v>118</v>
      </c>
      <c r="M1802">
        <v>501</v>
      </c>
      <c r="N1802" s="123">
        <v>1</v>
      </c>
      <c r="O1802">
        <v>1187</v>
      </c>
      <c r="P1802" s="132" t="s">
        <v>77</v>
      </c>
      <c r="Q1802" s="131">
        <v>147840</v>
      </c>
      <c r="R1802" s="131">
        <v>23654.400000000001</v>
      </c>
      <c r="S1802" s="131"/>
      <c r="T1802" s="155">
        <v>0</v>
      </c>
      <c r="U1802" s="131">
        <v>0</v>
      </c>
      <c r="V1802" s="131">
        <f t="shared" si="41"/>
        <v>171494.39999999999</v>
      </c>
      <c r="W1802">
        <v>220</v>
      </c>
      <c r="X1802" s="151" t="s">
        <v>195</v>
      </c>
      <c r="Y1802" s="135" t="s">
        <v>55</v>
      </c>
      <c r="Z1802" s="307">
        <v>226</v>
      </c>
      <c r="AB1802" t="str">
        <f>IF(Table1[[#This Row],[TIPO2]]="costo", VLOOKUP(Table1[[#This Row],[PARTIDA PRESUPUESTAL]],'Cost Report'!G:G,1,0),"Balance")</f>
        <v>1401-002</v>
      </c>
      <c r="AC1802" s="118"/>
      <c r="AD1802" s="159">
        <f>+Table1[[#This Row],[SUBTOTAL]]+Table1[[#This Row],[IVA]]-Table1[[#This Row],[RET IVA]]-Table1[[#This Row],[RET ISR]]-Table1[[#This Row],[TOTAL]]</f>
        <v>0</v>
      </c>
      <c r="AE1802" s="150"/>
      <c r="AF1802" s="151"/>
      <c r="AG1802" s="126"/>
      <c r="AK1802" s="306" t="str">
        <f>IF(ISNUMBER(Table1[[#This Row],[FECHA DE RECIBIDO]]), Table1[[#This Row],[FECHA DE RECIBIDO]]-DATE(2023,8,30), "")</f>
        <v/>
      </c>
    </row>
    <row r="1803" spans="1:37" ht="16.05" customHeight="1">
      <c r="A1803" s="152" t="s">
        <v>3604</v>
      </c>
      <c r="B1803" s="153">
        <v>685</v>
      </c>
      <c r="C1803" s="126" t="s">
        <v>469</v>
      </c>
      <c r="D1803">
        <v>1206</v>
      </c>
      <c r="E1803" s="126" t="s">
        <v>1605</v>
      </c>
      <c r="F1803" s="125" t="s">
        <v>1607</v>
      </c>
      <c r="G1803" s="125" t="s">
        <v>134</v>
      </c>
      <c r="H1803">
        <v>5</v>
      </c>
      <c r="I1803" s="125" t="s">
        <v>1546</v>
      </c>
      <c r="J1803" s="308" t="s">
        <v>214</v>
      </c>
      <c r="K1803" s="127" t="s">
        <v>3418</v>
      </c>
      <c r="L1803" s="153" t="s">
        <v>118</v>
      </c>
      <c r="M1803">
        <v>5</v>
      </c>
      <c r="N1803" s="123">
        <v>0</v>
      </c>
      <c r="O1803">
        <v>1188</v>
      </c>
      <c r="P1803" s="132" t="s">
        <v>77</v>
      </c>
      <c r="Q1803" s="132">
        <v>46000</v>
      </c>
      <c r="R1803" s="132">
        <f t="shared" ref="R1803:R1805" si="43">Q1803*0.16</f>
        <v>7360</v>
      </c>
      <c r="S1803" s="132"/>
      <c r="T1803" s="156">
        <v>0</v>
      </c>
      <c r="U1803" s="132">
        <v>0</v>
      </c>
      <c r="V1803" s="132">
        <f t="shared" si="41"/>
        <v>53360</v>
      </c>
      <c r="W1803">
        <v>4</v>
      </c>
      <c r="X1803" s="153" t="s">
        <v>135</v>
      </c>
      <c r="Y1803" s="124" t="s">
        <v>55</v>
      </c>
      <c r="Z1803" s="308">
        <v>226</v>
      </c>
      <c r="AB1803" t="str">
        <f>IF(Table1[[#This Row],[TIPO2]]="costo", VLOOKUP(Table1[[#This Row],[PARTIDA PRESUPUESTAL]],'Cost Report'!G:G,1,0),"Balance")</f>
        <v>2010-012</v>
      </c>
      <c r="AC1803" s="118"/>
      <c r="AD1803" s="159">
        <f>+Table1[[#This Row],[SUBTOTAL]]+Table1[[#This Row],[IVA]]-Table1[[#This Row],[RET IVA]]-Table1[[#This Row],[RET ISR]]-Table1[[#This Row],[TOTAL]]</f>
        <v>0</v>
      </c>
      <c r="AE1803" s="152"/>
      <c r="AF1803" s="153"/>
      <c r="AG1803" s="126"/>
      <c r="AK1803" s="306" t="str">
        <f>IF(ISNUMBER(Table1[[#This Row],[FECHA DE RECIBIDO]]), Table1[[#This Row],[FECHA DE RECIBIDO]]-DATE(2023,8,30), "")</f>
        <v/>
      </c>
    </row>
    <row r="1804" spans="1:37" ht="16.05" customHeight="1">
      <c r="A1804" s="150" t="s">
        <v>3604</v>
      </c>
      <c r="B1804" s="151">
        <v>685</v>
      </c>
      <c r="C1804" s="126" t="s">
        <v>2395</v>
      </c>
      <c r="D1804">
        <v>1206</v>
      </c>
      <c r="E1804" s="126" t="s">
        <v>1605</v>
      </c>
      <c r="F1804" s="122" t="s">
        <v>1607</v>
      </c>
      <c r="G1804" s="122" t="s">
        <v>134</v>
      </c>
      <c r="H1804">
        <v>5</v>
      </c>
      <c r="I1804" s="122" t="s">
        <v>1546</v>
      </c>
      <c r="J1804" s="307" t="s">
        <v>214</v>
      </c>
      <c r="K1804" s="127" t="s">
        <v>3418</v>
      </c>
      <c r="L1804" s="151" t="s">
        <v>118</v>
      </c>
      <c r="M1804">
        <v>5</v>
      </c>
      <c r="N1804" s="123">
        <v>0</v>
      </c>
      <c r="O1804">
        <v>1188</v>
      </c>
      <c r="P1804" s="132" t="s">
        <v>77</v>
      </c>
      <c r="Q1804" s="131">
        <v>24000</v>
      </c>
      <c r="R1804" s="131">
        <f t="shared" si="43"/>
        <v>3840</v>
      </c>
      <c r="S1804" s="131"/>
      <c r="T1804" s="155">
        <v>0</v>
      </c>
      <c r="U1804" s="131">
        <v>0</v>
      </c>
      <c r="V1804" s="131">
        <f t="shared" si="41"/>
        <v>27840</v>
      </c>
      <c r="W1804">
        <v>4</v>
      </c>
      <c r="X1804" s="151" t="s">
        <v>135</v>
      </c>
      <c r="Y1804" s="135" t="s">
        <v>55</v>
      </c>
      <c r="Z1804" s="307">
        <v>226</v>
      </c>
      <c r="AB1804" t="str">
        <f>IF(Table1[[#This Row],[TIPO2]]="costo", VLOOKUP(Table1[[#This Row],[PARTIDA PRESUPUESTAL]],'Cost Report'!G:G,1,0),"Balance")</f>
        <v>2011-005</v>
      </c>
      <c r="AC1804" s="118"/>
      <c r="AD1804" s="159">
        <f>+Table1[[#This Row],[SUBTOTAL]]+Table1[[#This Row],[IVA]]-Table1[[#This Row],[RET IVA]]-Table1[[#This Row],[RET ISR]]-Table1[[#This Row],[TOTAL]]</f>
        <v>0</v>
      </c>
      <c r="AE1804" s="150"/>
      <c r="AF1804" s="151"/>
      <c r="AG1804" s="126"/>
      <c r="AK1804" s="306" t="str">
        <f>IF(ISNUMBER(Table1[[#This Row],[FECHA DE RECIBIDO]]), Table1[[#This Row],[FECHA DE RECIBIDO]]-DATE(2023,8,30), "")</f>
        <v/>
      </c>
    </row>
    <row r="1805" spans="1:37" ht="16.05" customHeight="1">
      <c r="A1805" s="152" t="s">
        <v>3604</v>
      </c>
      <c r="B1805" s="153">
        <v>685</v>
      </c>
      <c r="C1805" s="126" t="s">
        <v>2401</v>
      </c>
      <c r="D1805">
        <v>1206</v>
      </c>
      <c r="E1805" s="126" t="s">
        <v>1605</v>
      </c>
      <c r="F1805" s="125" t="s">
        <v>1607</v>
      </c>
      <c r="G1805" s="125" t="s">
        <v>134</v>
      </c>
      <c r="H1805">
        <v>5</v>
      </c>
      <c r="I1805" s="125" t="s">
        <v>1546</v>
      </c>
      <c r="J1805" s="308" t="s">
        <v>214</v>
      </c>
      <c r="K1805" s="127" t="s">
        <v>3418</v>
      </c>
      <c r="L1805" s="153" t="s">
        <v>118</v>
      </c>
      <c r="M1805">
        <v>5</v>
      </c>
      <c r="N1805" s="123">
        <v>0</v>
      </c>
      <c r="O1805">
        <v>1188</v>
      </c>
      <c r="P1805" s="132" t="s">
        <v>77</v>
      </c>
      <c r="Q1805" s="132">
        <v>20000</v>
      </c>
      <c r="R1805" s="132">
        <f t="shared" si="43"/>
        <v>3200</v>
      </c>
      <c r="S1805" s="132"/>
      <c r="T1805" s="156">
        <v>0</v>
      </c>
      <c r="U1805" s="132">
        <v>0</v>
      </c>
      <c r="V1805" s="132">
        <f t="shared" si="41"/>
        <v>23200</v>
      </c>
      <c r="W1805">
        <v>4</v>
      </c>
      <c r="X1805" s="153" t="s">
        <v>135</v>
      </c>
      <c r="Y1805" s="124" t="s">
        <v>55</v>
      </c>
      <c r="Z1805" s="308">
        <v>226</v>
      </c>
      <c r="AB1805" t="str">
        <f>IF(Table1[[#This Row],[TIPO2]]="costo", VLOOKUP(Table1[[#This Row],[PARTIDA PRESUPUESTAL]],'Cost Report'!G:G,1,0),"Balance")</f>
        <v>2011-013</v>
      </c>
      <c r="AC1805" s="118"/>
      <c r="AD1805" s="159">
        <f>+Table1[[#This Row],[SUBTOTAL]]+Table1[[#This Row],[IVA]]-Table1[[#This Row],[RET IVA]]-Table1[[#This Row],[RET ISR]]-Table1[[#This Row],[TOTAL]]</f>
        <v>0</v>
      </c>
      <c r="AE1805" s="152"/>
      <c r="AF1805" s="153"/>
      <c r="AG1805" s="126"/>
      <c r="AK1805" s="306" t="str">
        <f>IF(ISNUMBER(Table1[[#This Row],[FECHA DE RECIBIDO]]), Table1[[#This Row],[FECHA DE RECIBIDO]]-DATE(2023,8,30), "")</f>
        <v/>
      </c>
    </row>
    <row r="1806" spans="1:37" ht="16.05" customHeight="1">
      <c r="A1806" s="150" t="s">
        <v>3605</v>
      </c>
      <c r="B1806" s="151">
        <v>686</v>
      </c>
      <c r="C1806" s="126" t="s">
        <v>3088</v>
      </c>
      <c r="D1806">
        <v>1207</v>
      </c>
      <c r="E1806" s="126" t="s">
        <v>1605</v>
      </c>
      <c r="F1806" s="122" t="s">
        <v>1607</v>
      </c>
      <c r="G1806" s="122" t="s">
        <v>134</v>
      </c>
      <c r="H1806">
        <v>5</v>
      </c>
      <c r="I1806" s="122" t="s">
        <v>1546</v>
      </c>
      <c r="J1806" s="307" t="s">
        <v>214</v>
      </c>
      <c r="K1806" s="127" t="s">
        <v>3418</v>
      </c>
      <c r="L1806" s="151" t="s">
        <v>118</v>
      </c>
      <c r="M1806">
        <v>5</v>
      </c>
      <c r="N1806" s="123">
        <v>0</v>
      </c>
      <c r="O1806">
        <v>1189</v>
      </c>
      <c r="P1806" s="132" t="s">
        <v>77</v>
      </c>
      <c r="Q1806" s="131">
        <v>11000</v>
      </c>
      <c r="R1806" s="131">
        <v>1760</v>
      </c>
      <c r="S1806" s="131"/>
      <c r="T1806" s="155">
        <v>0</v>
      </c>
      <c r="U1806" s="131">
        <v>0</v>
      </c>
      <c r="V1806" s="131">
        <f t="shared" si="41"/>
        <v>12760</v>
      </c>
      <c r="W1806">
        <v>4</v>
      </c>
      <c r="X1806" s="151" t="s">
        <v>135</v>
      </c>
      <c r="Y1806" s="135" t="s">
        <v>55</v>
      </c>
      <c r="Z1806" s="307">
        <v>226</v>
      </c>
      <c r="AB1806" t="str">
        <f>IF(Table1[[#This Row],[TIPO2]]="costo", VLOOKUP(Table1[[#This Row],[PARTIDA PRESUPUESTAL]],'Cost Report'!G:G,1,0),"Balance")</f>
        <v>7001-005</v>
      </c>
      <c r="AC1806" s="118"/>
      <c r="AD1806" s="159">
        <f>+Table1[[#This Row],[SUBTOTAL]]+Table1[[#This Row],[IVA]]-Table1[[#This Row],[RET IVA]]-Table1[[#This Row],[RET ISR]]-Table1[[#This Row],[TOTAL]]</f>
        <v>0</v>
      </c>
      <c r="AE1806" s="150"/>
      <c r="AF1806" s="151"/>
      <c r="AG1806" s="126"/>
      <c r="AK1806" s="306" t="str">
        <f>IF(ISNUMBER(Table1[[#This Row],[FECHA DE RECIBIDO]]), Table1[[#This Row],[FECHA DE RECIBIDO]]-DATE(2023,8,30), "")</f>
        <v/>
      </c>
    </row>
    <row r="1807" spans="1:37">
      <c r="A1807" s="152" t="s">
        <v>3606</v>
      </c>
      <c r="B1807" s="153">
        <v>687</v>
      </c>
      <c r="C1807" s="126" t="s">
        <v>2405</v>
      </c>
      <c r="D1807">
        <v>1208</v>
      </c>
      <c r="E1807" s="126" t="s">
        <v>1605</v>
      </c>
      <c r="F1807" s="125" t="s">
        <v>1607</v>
      </c>
      <c r="G1807" s="125" t="s">
        <v>134</v>
      </c>
      <c r="H1807">
        <v>5</v>
      </c>
      <c r="I1807" s="125" t="s">
        <v>1546</v>
      </c>
      <c r="J1807" s="308" t="s">
        <v>214</v>
      </c>
      <c r="K1807" s="127" t="s">
        <v>3418</v>
      </c>
      <c r="L1807" s="153" t="s">
        <v>118</v>
      </c>
      <c r="M1807">
        <v>5</v>
      </c>
      <c r="N1807" s="123">
        <v>0</v>
      </c>
      <c r="O1807">
        <v>1190</v>
      </c>
      <c r="P1807" s="132" t="s">
        <v>77</v>
      </c>
      <c r="Q1807" s="132">
        <v>18000</v>
      </c>
      <c r="R1807" s="132">
        <f t="shared" ref="R1807:R1808" si="44">Q1807*0.16</f>
        <v>2880</v>
      </c>
      <c r="S1807" s="132"/>
      <c r="T1807" s="156">
        <v>0</v>
      </c>
      <c r="U1807" s="132">
        <v>0</v>
      </c>
      <c r="V1807" s="132">
        <f t="shared" si="41"/>
        <v>20880</v>
      </c>
      <c r="W1807">
        <v>4</v>
      </c>
      <c r="X1807" s="153" t="s">
        <v>135</v>
      </c>
      <c r="Y1807" s="124" t="s">
        <v>55</v>
      </c>
      <c r="Z1807" s="308">
        <v>226</v>
      </c>
      <c r="AB1807" t="str">
        <f>IF(Table1[[#This Row],[TIPO2]]="costo", VLOOKUP(Table1[[#This Row],[PARTIDA PRESUPUESTAL]],'Cost Report'!G:G,1,0),"Balance")</f>
        <v>2011-019</v>
      </c>
      <c r="AC1807" s="118"/>
      <c r="AD1807" s="159">
        <f>+Table1[[#This Row],[SUBTOTAL]]+Table1[[#This Row],[IVA]]-Table1[[#This Row],[RET IVA]]-Table1[[#This Row],[RET ISR]]-Table1[[#This Row],[TOTAL]]</f>
        <v>0</v>
      </c>
      <c r="AE1807" s="152"/>
      <c r="AF1807" s="153"/>
      <c r="AG1807" s="126"/>
      <c r="AK1807" s="306" t="str">
        <f>IF(ISNUMBER(Table1[[#This Row],[FECHA DE RECIBIDO]]), Table1[[#This Row],[FECHA DE RECIBIDO]]-DATE(2023,8,30), "")</f>
        <v/>
      </c>
    </row>
    <row r="1808" spans="1:37">
      <c r="A1808" s="150" t="s">
        <v>3606</v>
      </c>
      <c r="B1808" s="151">
        <v>687</v>
      </c>
      <c r="C1808" s="126" t="s">
        <v>2406</v>
      </c>
      <c r="D1808">
        <v>1208</v>
      </c>
      <c r="E1808" s="126" t="s">
        <v>1605</v>
      </c>
      <c r="F1808" s="122" t="s">
        <v>1607</v>
      </c>
      <c r="G1808" s="122" t="s">
        <v>134</v>
      </c>
      <c r="H1808">
        <v>5</v>
      </c>
      <c r="I1808" s="122" t="s">
        <v>1546</v>
      </c>
      <c r="J1808" s="307" t="s">
        <v>214</v>
      </c>
      <c r="K1808" s="127" t="s">
        <v>3418</v>
      </c>
      <c r="L1808" s="151" t="s">
        <v>118</v>
      </c>
      <c r="M1808">
        <v>5</v>
      </c>
      <c r="N1808" s="123">
        <v>0</v>
      </c>
      <c r="O1808">
        <v>1190</v>
      </c>
      <c r="P1808" s="132" t="s">
        <v>77</v>
      </c>
      <c r="Q1808" s="131">
        <v>49500</v>
      </c>
      <c r="R1808" s="131">
        <f t="shared" si="44"/>
        <v>7920</v>
      </c>
      <c r="S1808" s="131"/>
      <c r="T1808" s="155">
        <v>0</v>
      </c>
      <c r="U1808" s="131">
        <v>0</v>
      </c>
      <c r="V1808" s="131">
        <f t="shared" si="41"/>
        <v>57420</v>
      </c>
      <c r="W1808">
        <v>4</v>
      </c>
      <c r="X1808" s="151" t="s">
        <v>135</v>
      </c>
      <c r="Y1808" s="135" t="s">
        <v>55</v>
      </c>
      <c r="Z1808" s="307">
        <v>226</v>
      </c>
      <c r="AB1808" t="str">
        <f>IF(Table1[[#This Row],[TIPO2]]="costo", VLOOKUP(Table1[[#This Row],[PARTIDA PRESUPUESTAL]],'Cost Report'!G:G,1,0),"Balance")</f>
        <v>2011-020</v>
      </c>
      <c r="AC1808" s="118"/>
      <c r="AD1808" s="159">
        <f>+Table1[[#This Row],[SUBTOTAL]]+Table1[[#This Row],[IVA]]-Table1[[#This Row],[RET IVA]]-Table1[[#This Row],[RET ISR]]-Table1[[#This Row],[TOTAL]]</f>
        <v>0</v>
      </c>
      <c r="AE1808" s="150"/>
      <c r="AF1808" s="151"/>
      <c r="AG1808" s="126"/>
      <c r="AK1808" s="306" t="str">
        <f>IF(ISNUMBER(Table1[[#This Row],[FECHA DE RECIBIDO]]), Table1[[#This Row],[FECHA DE RECIBIDO]]-DATE(2023,8,30), "")</f>
        <v/>
      </c>
    </row>
    <row r="1809" spans="1:37" ht="16.95" customHeight="1">
      <c r="A1809" s="152" t="s">
        <v>3607</v>
      </c>
      <c r="B1809" s="153">
        <v>688</v>
      </c>
      <c r="C1809" s="126" t="s">
        <v>2407</v>
      </c>
      <c r="D1809">
        <v>1209</v>
      </c>
      <c r="E1809" s="126" t="s">
        <v>1605</v>
      </c>
      <c r="F1809" s="125" t="s">
        <v>1607</v>
      </c>
      <c r="G1809" s="125" t="s">
        <v>134</v>
      </c>
      <c r="H1809">
        <v>5</v>
      </c>
      <c r="I1809" s="125" t="s">
        <v>1546</v>
      </c>
      <c r="J1809" s="308" t="s">
        <v>214</v>
      </c>
      <c r="K1809" s="127" t="s">
        <v>3418</v>
      </c>
      <c r="L1809" s="153" t="s">
        <v>118</v>
      </c>
      <c r="M1809">
        <v>5</v>
      </c>
      <c r="N1809" s="123">
        <v>0</v>
      </c>
      <c r="O1809">
        <v>1191</v>
      </c>
      <c r="P1809" s="132" t="s">
        <v>77</v>
      </c>
      <c r="Q1809" s="132">
        <v>11000</v>
      </c>
      <c r="R1809" s="132">
        <v>1760</v>
      </c>
      <c r="S1809" s="132"/>
      <c r="T1809" s="156">
        <v>0</v>
      </c>
      <c r="U1809" s="132">
        <v>0</v>
      </c>
      <c r="V1809" s="132">
        <f t="shared" si="41"/>
        <v>12760</v>
      </c>
      <c r="W1809">
        <v>4</v>
      </c>
      <c r="X1809" s="153" t="s">
        <v>135</v>
      </c>
      <c r="Y1809" s="124" t="s">
        <v>55</v>
      </c>
      <c r="Z1809" s="308">
        <v>226</v>
      </c>
      <c r="AB1809" t="str">
        <f>IF(Table1[[#This Row],[TIPO2]]="costo", VLOOKUP(Table1[[#This Row],[PARTIDA PRESUPUESTAL]],'Cost Report'!G:G,1,0),"Balance")</f>
        <v>2011-021</v>
      </c>
      <c r="AC1809" s="118"/>
      <c r="AD1809" s="159">
        <f>+Table1[[#This Row],[SUBTOTAL]]+Table1[[#This Row],[IVA]]-Table1[[#This Row],[RET IVA]]-Table1[[#This Row],[RET ISR]]-Table1[[#This Row],[TOTAL]]</f>
        <v>0</v>
      </c>
      <c r="AE1809" s="152"/>
      <c r="AF1809" s="153"/>
      <c r="AG1809" s="126"/>
      <c r="AK1809" s="306" t="str">
        <f>IF(ISNUMBER(Table1[[#This Row],[FECHA DE RECIBIDO]]), Table1[[#This Row],[FECHA DE RECIBIDO]]-DATE(2023,8,30), "")</f>
        <v/>
      </c>
    </row>
    <row r="1810" spans="1:37" ht="16.95" customHeight="1">
      <c r="A1810" s="150" t="s">
        <v>3608</v>
      </c>
      <c r="B1810" s="151">
        <v>689</v>
      </c>
      <c r="C1810" s="126" t="s">
        <v>987</v>
      </c>
      <c r="D1810">
        <v>1210</v>
      </c>
      <c r="E1810" s="126" t="s">
        <v>3267</v>
      </c>
      <c r="F1810" s="122" t="s">
        <v>1607</v>
      </c>
      <c r="G1810" s="122" t="s">
        <v>134</v>
      </c>
      <c r="H1810">
        <v>259</v>
      </c>
      <c r="I1810" s="122" t="s">
        <v>1546</v>
      </c>
      <c r="J1810" s="307" t="s">
        <v>214</v>
      </c>
      <c r="K1810" s="127" t="s">
        <v>3418</v>
      </c>
      <c r="L1810" s="151" t="s">
        <v>118</v>
      </c>
      <c r="M1810">
        <v>502</v>
      </c>
      <c r="N1810" s="123">
        <v>24</v>
      </c>
      <c r="O1810">
        <v>1192</v>
      </c>
      <c r="P1810" s="132" t="s">
        <v>77</v>
      </c>
      <c r="Q1810" s="131">
        <v>171300</v>
      </c>
      <c r="R1810" s="131">
        <v>27408</v>
      </c>
      <c r="S1810" s="131"/>
      <c r="T1810" s="155">
        <v>0</v>
      </c>
      <c r="U1810" s="131">
        <v>0</v>
      </c>
      <c r="V1810" s="131">
        <f t="shared" si="41"/>
        <v>198708</v>
      </c>
      <c r="W1810">
        <v>158</v>
      </c>
      <c r="X1810" s="151" t="s">
        <v>2035</v>
      </c>
      <c r="Y1810" s="135" t="s">
        <v>55</v>
      </c>
      <c r="Z1810" s="307">
        <v>226</v>
      </c>
      <c r="AB1810" t="str">
        <f>IF(Table1[[#This Row],[TIPO2]]="costo", VLOOKUP(Table1[[#This Row],[PARTIDA PRESUPUESTAL]],'Cost Report'!G:G,1,0),"Balance")</f>
        <v>3412-011</v>
      </c>
      <c r="AC1810" s="118"/>
      <c r="AD1810" s="159">
        <f>+Table1[[#This Row],[SUBTOTAL]]+Table1[[#This Row],[IVA]]-Table1[[#This Row],[RET IVA]]-Table1[[#This Row],[RET ISR]]-Table1[[#This Row],[TOTAL]]</f>
        <v>0</v>
      </c>
      <c r="AE1810" s="150"/>
      <c r="AF1810" s="151"/>
      <c r="AG1810" s="126"/>
      <c r="AK1810" s="306" t="str">
        <f>IF(ISNUMBER(Table1[[#This Row],[FECHA DE RECIBIDO]]), Table1[[#This Row],[FECHA DE RECIBIDO]]-DATE(2023,8,30), "")</f>
        <v/>
      </c>
    </row>
    <row r="1811" spans="1:37" ht="16.95" customHeight="1">
      <c r="A1811" s="152" t="s">
        <v>3609</v>
      </c>
      <c r="B1811" s="153">
        <v>690</v>
      </c>
      <c r="C1811" s="126" t="s">
        <v>987</v>
      </c>
      <c r="D1811">
        <v>1211</v>
      </c>
      <c r="E1811" s="126" t="s">
        <v>3267</v>
      </c>
      <c r="F1811" s="125" t="s">
        <v>1607</v>
      </c>
      <c r="G1811" s="125" t="s">
        <v>134</v>
      </c>
      <c r="H1811">
        <v>259</v>
      </c>
      <c r="I1811" s="125" t="s">
        <v>1546</v>
      </c>
      <c r="J1811" s="308" t="s">
        <v>214</v>
      </c>
      <c r="K1811" s="127" t="s">
        <v>3418</v>
      </c>
      <c r="L1811" s="153" t="s">
        <v>118</v>
      </c>
      <c r="M1811">
        <v>502</v>
      </c>
      <c r="N1811" s="123">
        <v>24</v>
      </c>
      <c r="O1811">
        <v>1192</v>
      </c>
      <c r="P1811" s="132" t="s">
        <v>77</v>
      </c>
      <c r="Q1811" s="132">
        <v>171300</v>
      </c>
      <c r="R1811" s="132">
        <v>27408</v>
      </c>
      <c r="S1811" s="132"/>
      <c r="T1811" s="156">
        <v>0</v>
      </c>
      <c r="U1811" s="132">
        <v>0</v>
      </c>
      <c r="V1811" s="132">
        <f t="shared" si="41"/>
        <v>198708</v>
      </c>
      <c r="W1811">
        <v>158</v>
      </c>
      <c r="X1811" s="153" t="s">
        <v>2035</v>
      </c>
      <c r="Y1811" s="124" t="s">
        <v>55</v>
      </c>
      <c r="Z1811" s="308">
        <v>226</v>
      </c>
      <c r="AB1811" t="str">
        <f>IF(Table1[[#This Row],[TIPO2]]="costo", VLOOKUP(Table1[[#This Row],[PARTIDA PRESUPUESTAL]],'Cost Report'!G:G,1,0),"Balance")</f>
        <v>3412-011</v>
      </c>
      <c r="AC1811" s="118"/>
      <c r="AD1811" s="159">
        <f>+Table1[[#This Row],[SUBTOTAL]]+Table1[[#This Row],[IVA]]-Table1[[#This Row],[RET IVA]]-Table1[[#This Row],[RET ISR]]-Table1[[#This Row],[TOTAL]]</f>
        <v>0</v>
      </c>
      <c r="AE1811" s="152"/>
      <c r="AF1811" s="153"/>
      <c r="AG1811" s="126"/>
      <c r="AK1811" s="306" t="str">
        <f>IF(ISNUMBER(Table1[[#This Row],[FECHA DE RECIBIDO]]), Table1[[#This Row],[FECHA DE RECIBIDO]]-DATE(2023,8,30), "")</f>
        <v/>
      </c>
    </row>
    <row r="1812" spans="1:37" ht="16.95" customHeight="1">
      <c r="A1812" s="150" t="s">
        <v>3610</v>
      </c>
      <c r="B1812" s="151">
        <v>691</v>
      </c>
      <c r="C1812" s="126" t="s">
        <v>989</v>
      </c>
      <c r="D1812">
        <v>1212</v>
      </c>
      <c r="E1812" s="126" t="s">
        <v>3235</v>
      </c>
      <c r="F1812" s="122" t="s">
        <v>3296</v>
      </c>
      <c r="G1812" s="122" t="s">
        <v>3297</v>
      </c>
      <c r="H1812">
        <v>260</v>
      </c>
      <c r="I1812" s="122" t="s">
        <v>1546</v>
      </c>
      <c r="J1812" s="307" t="s">
        <v>214</v>
      </c>
      <c r="K1812" s="127" t="s">
        <v>3418</v>
      </c>
      <c r="L1812" s="151" t="s">
        <v>118</v>
      </c>
      <c r="M1812">
        <v>345</v>
      </c>
      <c r="N1812" s="123">
        <v>24</v>
      </c>
      <c r="O1812">
        <v>1193</v>
      </c>
      <c r="P1812" s="132" t="s">
        <v>77</v>
      </c>
      <c r="Q1812" s="131">
        <v>210000</v>
      </c>
      <c r="R1812" s="131">
        <v>33600</v>
      </c>
      <c r="S1812" s="131"/>
      <c r="T1812" s="155">
        <v>22400.07</v>
      </c>
      <c r="U1812" s="131">
        <v>21000</v>
      </c>
      <c r="V1812" s="131">
        <f t="shared" si="41"/>
        <v>200199.93</v>
      </c>
      <c r="W1812">
        <v>159</v>
      </c>
      <c r="X1812" s="151" t="s">
        <v>2035</v>
      </c>
      <c r="Y1812" s="135" t="s">
        <v>55</v>
      </c>
      <c r="Z1812" s="307">
        <v>226</v>
      </c>
      <c r="AB1812" t="str">
        <f>IF(Table1[[#This Row],[TIPO2]]="costo", VLOOKUP(Table1[[#This Row],[PARTIDA PRESUPUESTAL]],'Cost Report'!G:G,1,0),"Balance")</f>
        <v>3412-015</v>
      </c>
      <c r="AC1812" s="118"/>
      <c r="AD1812" s="159">
        <f>+Table1[[#This Row],[SUBTOTAL]]+Table1[[#This Row],[IVA]]-Table1[[#This Row],[RET IVA]]-Table1[[#This Row],[RET ISR]]-Table1[[#This Row],[TOTAL]]</f>
        <v>0</v>
      </c>
      <c r="AE1812" s="150"/>
      <c r="AF1812" s="151"/>
      <c r="AG1812" s="126"/>
      <c r="AK1812" s="306" t="str">
        <f>IF(ISNUMBER(Table1[[#This Row],[FECHA DE RECIBIDO]]), Table1[[#This Row],[FECHA DE RECIBIDO]]-DATE(2023,8,30), "")</f>
        <v/>
      </c>
    </row>
    <row r="1813" spans="1:37" ht="16.95" customHeight="1">
      <c r="A1813" s="152" t="s">
        <v>3611</v>
      </c>
      <c r="B1813" s="153">
        <v>692</v>
      </c>
      <c r="C1813" s="126" t="s">
        <v>989</v>
      </c>
      <c r="D1813">
        <v>1213</v>
      </c>
      <c r="E1813" s="126" t="s">
        <v>3235</v>
      </c>
      <c r="F1813" s="125" t="s">
        <v>3296</v>
      </c>
      <c r="G1813" s="125" t="s">
        <v>3297</v>
      </c>
      <c r="H1813">
        <v>260</v>
      </c>
      <c r="I1813" s="125" t="s">
        <v>1546</v>
      </c>
      <c r="J1813" s="308" t="s">
        <v>214</v>
      </c>
      <c r="K1813" s="127" t="s">
        <v>3418</v>
      </c>
      <c r="L1813" s="153" t="s">
        <v>118</v>
      </c>
      <c r="M1813">
        <v>345</v>
      </c>
      <c r="N1813" s="123">
        <v>24</v>
      </c>
      <c r="O1813">
        <v>1194</v>
      </c>
      <c r="P1813" s="132" t="s">
        <v>77</v>
      </c>
      <c r="Q1813" s="132">
        <v>210000</v>
      </c>
      <c r="R1813" s="132">
        <v>33600</v>
      </c>
      <c r="S1813" s="132"/>
      <c r="T1813" s="156">
        <v>22400.07</v>
      </c>
      <c r="U1813" s="132">
        <v>21000</v>
      </c>
      <c r="V1813" s="132">
        <f t="shared" si="41"/>
        <v>200199.93</v>
      </c>
      <c r="W1813">
        <v>159</v>
      </c>
      <c r="X1813" s="153" t="s">
        <v>2035</v>
      </c>
      <c r="Y1813" s="124" t="s">
        <v>55</v>
      </c>
      <c r="Z1813" s="308">
        <v>226</v>
      </c>
      <c r="AB1813" t="str">
        <f>IF(Table1[[#This Row],[TIPO2]]="costo", VLOOKUP(Table1[[#This Row],[PARTIDA PRESUPUESTAL]],'Cost Report'!G:G,1,0),"Balance")</f>
        <v>3412-015</v>
      </c>
      <c r="AC1813" s="118"/>
      <c r="AD1813" s="159">
        <f>+Table1[[#This Row],[SUBTOTAL]]+Table1[[#This Row],[IVA]]-Table1[[#This Row],[RET IVA]]-Table1[[#This Row],[RET ISR]]-Table1[[#This Row],[TOTAL]]</f>
        <v>0</v>
      </c>
      <c r="AE1813" s="152"/>
      <c r="AF1813" s="153"/>
      <c r="AG1813" s="126"/>
      <c r="AK1813" s="306" t="str">
        <f>IF(ISNUMBER(Table1[[#This Row],[FECHA DE RECIBIDO]]), Table1[[#This Row],[FECHA DE RECIBIDO]]-DATE(2023,8,30), "")</f>
        <v/>
      </c>
    </row>
    <row r="1814" spans="1:37" ht="16.95" customHeight="1">
      <c r="A1814" s="150" t="s">
        <v>3612</v>
      </c>
      <c r="B1814" s="151">
        <v>693</v>
      </c>
      <c r="C1814" s="126" t="s">
        <v>985</v>
      </c>
      <c r="D1814">
        <v>1214</v>
      </c>
      <c r="E1814" s="126" t="s">
        <v>3292</v>
      </c>
      <c r="F1814" s="122" t="s">
        <v>1607</v>
      </c>
      <c r="G1814" s="122" t="s">
        <v>134</v>
      </c>
      <c r="H1814">
        <v>251</v>
      </c>
      <c r="I1814" s="122" t="s">
        <v>1546</v>
      </c>
      <c r="J1814" s="307" t="s">
        <v>214</v>
      </c>
      <c r="K1814" s="127" t="s">
        <v>3418</v>
      </c>
      <c r="L1814" s="151" t="s">
        <v>118</v>
      </c>
      <c r="M1814">
        <v>329</v>
      </c>
      <c r="N1814" s="123">
        <v>24</v>
      </c>
      <c r="O1814">
        <v>1195</v>
      </c>
      <c r="P1814" s="132" t="s">
        <v>77</v>
      </c>
      <c r="Q1814" s="131">
        <v>8000</v>
      </c>
      <c r="R1814" s="131">
        <v>1280</v>
      </c>
      <c r="S1814" s="131"/>
      <c r="T1814" s="155">
        <v>0</v>
      </c>
      <c r="U1814" s="131">
        <v>0</v>
      </c>
      <c r="V1814" s="131">
        <f t="shared" si="41"/>
        <v>9280</v>
      </c>
      <c r="W1814">
        <v>150</v>
      </c>
      <c r="X1814" s="151" t="s">
        <v>105</v>
      </c>
      <c r="Y1814" s="135" t="s">
        <v>55</v>
      </c>
      <c r="Z1814" s="307">
        <v>226</v>
      </c>
      <c r="AB1814" t="str">
        <f>IF(Table1[[#This Row],[TIPO2]]="costo", VLOOKUP(Table1[[#This Row],[PARTIDA PRESUPUESTAL]],'Cost Report'!G:G,1,0),"Balance")</f>
        <v>3412-007</v>
      </c>
      <c r="AC1814" s="118"/>
      <c r="AD1814" s="159">
        <f>+Table1[[#This Row],[SUBTOTAL]]+Table1[[#This Row],[IVA]]-Table1[[#This Row],[RET IVA]]-Table1[[#This Row],[RET ISR]]-Table1[[#This Row],[TOTAL]]</f>
        <v>0</v>
      </c>
      <c r="AE1814" s="150"/>
      <c r="AF1814" s="151"/>
      <c r="AG1814" s="126"/>
      <c r="AK1814" s="306" t="str">
        <f>IF(ISNUMBER(Table1[[#This Row],[FECHA DE RECIBIDO]]), Table1[[#This Row],[FECHA DE RECIBIDO]]-DATE(2023,8,30), "")</f>
        <v/>
      </c>
    </row>
    <row r="1815" spans="1:37" ht="16.95" customHeight="1">
      <c r="A1815" s="152" t="s">
        <v>3613</v>
      </c>
      <c r="B1815" s="153">
        <v>694</v>
      </c>
      <c r="C1815" s="126" t="s">
        <v>985</v>
      </c>
      <c r="D1815">
        <v>1215</v>
      </c>
      <c r="E1815" s="126" t="s">
        <v>3292</v>
      </c>
      <c r="F1815" s="125" t="s">
        <v>1607</v>
      </c>
      <c r="G1815" s="125" t="s">
        <v>134</v>
      </c>
      <c r="H1815">
        <v>251</v>
      </c>
      <c r="I1815" s="125" t="s">
        <v>1546</v>
      </c>
      <c r="J1815" s="308" t="s">
        <v>214</v>
      </c>
      <c r="K1815" s="127" t="s">
        <v>3418</v>
      </c>
      <c r="L1815" s="153" t="s">
        <v>118</v>
      </c>
      <c r="M1815">
        <v>329</v>
      </c>
      <c r="N1815" s="123">
        <v>24</v>
      </c>
      <c r="O1815">
        <v>1196</v>
      </c>
      <c r="P1815" s="132" t="s">
        <v>77</v>
      </c>
      <c r="Q1815" s="132">
        <v>2500</v>
      </c>
      <c r="R1815" s="132">
        <v>400</v>
      </c>
      <c r="S1815" s="132"/>
      <c r="T1815" s="156">
        <v>0</v>
      </c>
      <c r="U1815" s="132">
        <v>0</v>
      </c>
      <c r="V1815" s="132">
        <f t="shared" si="41"/>
        <v>2900</v>
      </c>
      <c r="W1815">
        <v>150</v>
      </c>
      <c r="X1815" s="153" t="s">
        <v>105</v>
      </c>
      <c r="Y1815" s="124" t="s">
        <v>55</v>
      </c>
      <c r="Z1815" s="308">
        <v>226</v>
      </c>
      <c r="AB1815" t="str">
        <f>IF(Table1[[#This Row],[TIPO2]]="costo", VLOOKUP(Table1[[#This Row],[PARTIDA PRESUPUESTAL]],'Cost Report'!G:G,1,0),"Balance")</f>
        <v>3412-007</v>
      </c>
      <c r="AC1815" s="118"/>
      <c r="AD1815" s="159">
        <f>+Table1[[#This Row],[SUBTOTAL]]+Table1[[#This Row],[IVA]]-Table1[[#This Row],[RET IVA]]-Table1[[#This Row],[RET ISR]]-Table1[[#This Row],[TOTAL]]</f>
        <v>0</v>
      </c>
      <c r="AE1815" s="152"/>
      <c r="AF1815" s="153"/>
      <c r="AG1815" s="126"/>
      <c r="AK1815" s="306" t="str">
        <f>IF(ISNUMBER(Table1[[#This Row],[FECHA DE RECIBIDO]]), Table1[[#This Row],[FECHA DE RECIBIDO]]-DATE(2023,8,30), "")</f>
        <v/>
      </c>
    </row>
    <row r="1816" spans="1:37" ht="16.95" customHeight="1">
      <c r="A1816" s="150" t="s">
        <v>3614</v>
      </c>
      <c r="B1816" s="151">
        <v>695</v>
      </c>
      <c r="C1816" s="126" t="s">
        <v>991</v>
      </c>
      <c r="D1816">
        <v>1216</v>
      </c>
      <c r="E1816" s="126" t="s">
        <v>3268</v>
      </c>
      <c r="F1816" s="122" t="s">
        <v>1607</v>
      </c>
      <c r="G1816" s="122" t="s">
        <v>134</v>
      </c>
      <c r="H1816">
        <v>381</v>
      </c>
      <c r="I1816" s="122" t="s">
        <v>1546</v>
      </c>
      <c r="J1816" s="307" t="s">
        <v>214</v>
      </c>
      <c r="K1816" s="127" t="s">
        <v>3418</v>
      </c>
      <c r="L1816" s="151" t="s">
        <v>118</v>
      </c>
      <c r="M1816">
        <v>503</v>
      </c>
      <c r="N1816" s="123">
        <v>24</v>
      </c>
      <c r="O1816">
        <v>1197</v>
      </c>
      <c r="P1816" s="132" t="s">
        <v>77</v>
      </c>
      <c r="Q1816" s="131">
        <v>37500</v>
      </c>
      <c r="R1816" s="131">
        <v>6000</v>
      </c>
      <c r="S1816" s="131"/>
      <c r="T1816" s="155">
        <v>0</v>
      </c>
      <c r="U1816" s="131">
        <v>0</v>
      </c>
      <c r="V1816" s="131">
        <f t="shared" si="41"/>
        <v>43500</v>
      </c>
      <c r="W1816">
        <v>221</v>
      </c>
      <c r="X1816" s="151" t="s">
        <v>105</v>
      </c>
      <c r="Y1816" s="135" t="s">
        <v>55</v>
      </c>
      <c r="Z1816" s="307">
        <v>226</v>
      </c>
      <c r="AB1816" t="str">
        <f>IF(Table1[[#This Row],[TIPO2]]="costo", VLOOKUP(Table1[[#This Row],[PARTIDA PRESUPUESTAL]],'Cost Report'!G:G,1,0),"Balance")</f>
        <v>3412-019</v>
      </c>
      <c r="AC1816" s="118"/>
      <c r="AD1816" s="159">
        <f>+Table1[[#This Row],[SUBTOTAL]]+Table1[[#This Row],[IVA]]-Table1[[#This Row],[RET IVA]]-Table1[[#This Row],[RET ISR]]-Table1[[#This Row],[TOTAL]]</f>
        <v>0</v>
      </c>
      <c r="AE1816" s="150"/>
      <c r="AF1816" s="151"/>
      <c r="AG1816" s="126"/>
      <c r="AK1816" s="306" t="str">
        <f>IF(ISNUMBER(Table1[[#This Row],[FECHA DE RECIBIDO]]), Table1[[#This Row],[FECHA DE RECIBIDO]]-DATE(2023,8,30), "")</f>
        <v/>
      </c>
    </row>
    <row r="1817" spans="1:37" ht="16.95" customHeight="1">
      <c r="A1817" s="152" t="s">
        <v>3615</v>
      </c>
      <c r="B1817" s="153">
        <v>696</v>
      </c>
      <c r="C1817" s="126" t="s">
        <v>991</v>
      </c>
      <c r="D1817">
        <v>1217</v>
      </c>
      <c r="E1817" s="126" t="s">
        <v>3268</v>
      </c>
      <c r="F1817" s="125" t="s">
        <v>1607</v>
      </c>
      <c r="G1817" s="125" t="s">
        <v>134</v>
      </c>
      <c r="H1817">
        <v>381</v>
      </c>
      <c r="I1817" s="125" t="s">
        <v>1546</v>
      </c>
      <c r="J1817" s="308" t="s">
        <v>214</v>
      </c>
      <c r="K1817" s="127" t="s">
        <v>3418</v>
      </c>
      <c r="L1817" s="153" t="s">
        <v>118</v>
      </c>
      <c r="M1817">
        <v>503</v>
      </c>
      <c r="N1817" s="123">
        <v>24</v>
      </c>
      <c r="O1817">
        <v>1198</v>
      </c>
      <c r="P1817" s="132" t="s">
        <v>77</v>
      </c>
      <c r="Q1817" s="132">
        <v>37500</v>
      </c>
      <c r="R1817" s="132">
        <v>6000</v>
      </c>
      <c r="S1817" s="132"/>
      <c r="T1817" s="156">
        <v>0</v>
      </c>
      <c r="U1817" s="132">
        <v>0</v>
      </c>
      <c r="V1817" s="132">
        <f t="shared" si="41"/>
        <v>43500</v>
      </c>
      <c r="W1817">
        <v>221</v>
      </c>
      <c r="X1817" s="153" t="s">
        <v>105</v>
      </c>
      <c r="Y1817" s="124" t="s">
        <v>55</v>
      </c>
      <c r="Z1817" s="308">
        <v>226</v>
      </c>
      <c r="AB1817" t="str">
        <f>IF(Table1[[#This Row],[TIPO2]]="costo", VLOOKUP(Table1[[#This Row],[PARTIDA PRESUPUESTAL]],'Cost Report'!G:G,1,0),"Balance")</f>
        <v>3412-019</v>
      </c>
      <c r="AC1817" s="118"/>
      <c r="AD1817" s="159">
        <f>+Table1[[#This Row],[SUBTOTAL]]+Table1[[#This Row],[IVA]]-Table1[[#This Row],[RET IVA]]-Table1[[#This Row],[RET ISR]]-Table1[[#This Row],[TOTAL]]</f>
        <v>0</v>
      </c>
      <c r="AE1817" s="152"/>
      <c r="AF1817" s="153"/>
      <c r="AG1817" s="126"/>
      <c r="AK1817" s="306" t="str">
        <f>IF(ISNUMBER(Table1[[#This Row],[FECHA DE RECIBIDO]]), Table1[[#This Row],[FECHA DE RECIBIDO]]-DATE(2023,8,30), "")</f>
        <v/>
      </c>
    </row>
    <row r="1818" spans="1:37" ht="16.95" customHeight="1">
      <c r="A1818" s="150" t="s">
        <v>3616</v>
      </c>
      <c r="B1818" s="151">
        <v>697</v>
      </c>
      <c r="C1818" s="126" t="s">
        <v>2534</v>
      </c>
      <c r="D1818">
        <v>1218</v>
      </c>
      <c r="E1818" s="126" t="s">
        <v>3354</v>
      </c>
      <c r="F1818" s="122" t="s">
        <v>1589</v>
      </c>
      <c r="G1818" s="122" t="s">
        <v>129</v>
      </c>
      <c r="H1818">
        <v>382</v>
      </c>
      <c r="I1818" s="122" t="s">
        <v>1546</v>
      </c>
      <c r="J1818" s="307" t="s">
        <v>214</v>
      </c>
      <c r="K1818" s="127" t="s">
        <v>3418</v>
      </c>
      <c r="L1818" s="151" t="s">
        <v>118</v>
      </c>
      <c r="M1818">
        <v>504</v>
      </c>
      <c r="N1818" s="123">
        <v>51</v>
      </c>
      <c r="O1818">
        <v>1199</v>
      </c>
      <c r="P1818" s="132" t="s">
        <v>77</v>
      </c>
      <c r="Q1818" s="131">
        <v>230</v>
      </c>
      <c r="R1818" s="131">
        <v>36.799999999999997</v>
      </c>
      <c r="S1818" s="131"/>
      <c r="T1818" s="155">
        <v>0</v>
      </c>
      <c r="U1818" s="131">
        <v>0</v>
      </c>
      <c r="V1818" s="131">
        <f t="shared" si="41"/>
        <v>266.8</v>
      </c>
      <c r="W1818">
        <v>222</v>
      </c>
      <c r="X1818" s="151" t="s">
        <v>195</v>
      </c>
      <c r="Y1818" s="135" t="s">
        <v>55</v>
      </c>
      <c r="Z1818" s="307">
        <v>226</v>
      </c>
      <c r="AB1818" t="str">
        <f>IF(Table1[[#This Row],[TIPO2]]="costo", VLOOKUP(Table1[[#This Row],[PARTIDA PRESUPUESTAL]],'Cost Report'!G:G,1,0),"Balance")</f>
        <v>2494-047</v>
      </c>
      <c r="AC1818" s="118"/>
      <c r="AD1818" s="159">
        <f>+Table1[[#This Row],[SUBTOTAL]]+Table1[[#This Row],[IVA]]-Table1[[#This Row],[RET IVA]]-Table1[[#This Row],[RET ISR]]-Table1[[#This Row],[TOTAL]]</f>
        <v>0</v>
      </c>
      <c r="AE1818" s="150"/>
      <c r="AF1818" s="151"/>
      <c r="AG1818" s="126"/>
      <c r="AK1818" s="306" t="str">
        <f>IF(ISNUMBER(Table1[[#This Row],[FECHA DE RECIBIDO]]), Table1[[#This Row],[FECHA DE RECIBIDO]]-DATE(2023,8,30), "")</f>
        <v/>
      </c>
    </row>
    <row r="1819" spans="1:37" ht="16.95" customHeight="1">
      <c r="A1819" s="152" t="s">
        <v>3617</v>
      </c>
      <c r="B1819" s="153">
        <v>698</v>
      </c>
      <c r="C1819" s="126" t="s">
        <v>1732</v>
      </c>
      <c r="D1819">
        <v>1219</v>
      </c>
      <c r="E1819" s="126" t="s">
        <v>3354</v>
      </c>
      <c r="F1819" s="125" t="s">
        <v>1589</v>
      </c>
      <c r="G1819" s="125" t="s">
        <v>129</v>
      </c>
      <c r="H1819">
        <v>382</v>
      </c>
      <c r="I1819" s="125" t="s">
        <v>1546</v>
      </c>
      <c r="J1819" s="308" t="s">
        <v>214</v>
      </c>
      <c r="K1819" s="127" t="s">
        <v>3418</v>
      </c>
      <c r="L1819" s="153" t="s">
        <v>118</v>
      </c>
      <c r="M1819">
        <v>504</v>
      </c>
      <c r="N1819" s="123">
        <v>51</v>
      </c>
      <c r="O1819">
        <v>1200</v>
      </c>
      <c r="P1819" s="132" t="s">
        <v>77</v>
      </c>
      <c r="Q1819" s="132">
        <v>2620</v>
      </c>
      <c r="R1819" s="132">
        <v>419.2</v>
      </c>
      <c r="S1819" s="132"/>
      <c r="T1819" s="156">
        <v>0</v>
      </c>
      <c r="U1819" s="132">
        <v>0</v>
      </c>
      <c r="V1819" s="132">
        <f t="shared" si="41"/>
        <v>3039.2</v>
      </c>
      <c r="W1819">
        <v>222</v>
      </c>
      <c r="X1819" s="153" t="s">
        <v>195</v>
      </c>
      <c r="Y1819" s="124" t="s">
        <v>55</v>
      </c>
      <c r="Z1819" s="308">
        <v>226</v>
      </c>
      <c r="AB1819" t="str">
        <f>IF(Table1[[#This Row],[TIPO2]]="costo", VLOOKUP(Table1[[#This Row],[PARTIDA PRESUPUESTAL]],'Cost Report'!G:G,1,0),"Balance")</f>
        <v>2494-035</v>
      </c>
      <c r="AC1819" s="118" t="s">
        <v>3799</v>
      </c>
      <c r="AD1819" s="159">
        <f>+Table1[[#This Row],[SUBTOTAL]]+Table1[[#This Row],[IVA]]-Table1[[#This Row],[RET IVA]]-Table1[[#This Row],[RET ISR]]-Table1[[#This Row],[TOTAL]]</f>
        <v>0</v>
      </c>
      <c r="AE1819" s="152"/>
      <c r="AF1819" s="153"/>
      <c r="AG1819" s="126"/>
      <c r="AK1819" s="306" t="str">
        <f>IF(ISNUMBER(Table1[[#This Row],[FECHA DE RECIBIDO]]), Table1[[#This Row],[FECHA DE RECIBIDO]]-DATE(2023,8,30), "")</f>
        <v/>
      </c>
    </row>
    <row r="1820" spans="1:37" ht="16.95" customHeight="1">
      <c r="A1820" s="150" t="s">
        <v>3618</v>
      </c>
      <c r="B1820" s="151">
        <v>699</v>
      </c>
      <c r="C1820" s="126" t="s">
        <v>2566</v>
      </c>
      <c r="D1820">
        <v>1220</v>
      </c>
      <c r="E1820" s="126" t="s">
        <v>3354</v>
      </c>
      <c r="F1820" s="122" t="s">
        <v>1589</v>
      </c>
      <c r="G1820" s="122" t="s">
        <v>129</v>
      </c>
      <c r="H1820">
        <v>382</v>
      </c>
      <c r="I1820" s="122" t="s">
        <v>1546</v>
      </c>
      <c r="J1820" s="307" t="s">
        <v>214</v>
      </c>
      <c r="K1820" s="127" t="s">
        <v>3418</v>
      </c>
      <c r="L1820" s="151" t="s">
        <v>118</v>
      </c>
      <c r="M1820">
        <v>504</v>
      </c>
      <c r="N1820" s="123">
        <v>51</v>
      </c>
      <c r="O1820">
        <v>1201</v>
      </c>
      <c r="P1820" s="132" t="s">
        <v>77</v>
      </c>
      <c r="Q1820" s="131">
        <v>2040</v>
      </c>
      <c r="R1820" s="131">
        <v>326.39999999999998</v>
      </c>
      <c r="S1820" s="131"/>
      <c r="T1820" s="155">
        <v>0</v>
      </c>
      <c r="U1820" s="131">
        <v>0</v>
      </c>
      <c r="V1820" s="131">
        <f t="shared" si="41"/>
        <v>2366.4</v>
      </c>
      <c r="W1820">
        <v>222</v>
      </c>
      <c r="X1820" s="151" t="s">
        <v>195</v>
      </c>
      <c r="Y1820" s="135" t="s">
        <v>55</v>
      </c>
      <c r="Z1820" s="307">
        <v>226</v>
      </c>
      <c r="AB1820" t="str">
        <f>IF(Table1[[#This Row],[TIPO2]]="costo", VLOOKUP(Table1[[#This Row],[PARTIDA PRESUPUESTAL]],'Cost Report'!G:G,1,0),"Balance")</f>
        <v>2594-003</v>
      </c>
      <c r="AC1820" s="118"/>
      <c r="AD1820" s="159">
        <f>+Table1[[#This Row],[SUBTOTAL]]+Table1[[#This Row],[IVA]]-Table1[[#This Row],[RET IVA]]-Table1[[#This Row],[RET ISR]]-Table1[[#This Row],[TOTAL]]</f>
        <v>0</v>
      </c>
      <c r="AE1820" s="150"/>
      <c r="AF1820" s="151"/>
      <c r="AG1820" s="126"/>
      <c r="AK1820" s="306" t="str">
        <f>IF(ISNUMBER(Table1[[#This Row],[FECHA DE RECIBIDO]]), Table1[[#This Row],[FECHA DE RECIBIDO]]-DATE(2023,8,30), "")</f>
        <v/>
      </c>
    </row>
    <row r="1821" spans="1:37" ht="16.95" customHeight="1">
      <c r="A1821" s="152" t="s">
        <v>3619</v>
      </c>
      <c r="B1821" s="153">
        <v>700</v>
      </c>
      <c r="C1821" s="126" t="s">
        <v>2466</v>
      </c>
      <c r="D1821">
        <v>1221</v>
      </c>
      <c r="E1821" s="126" t="s">
        <v>1598</v>
      </c>
      <c r="F1821" s="125" t="s">
        <v>1607</v>
      </c>
      <c r="G1821" s="125" t="s">
        <v>134</v>
      </c>
      <c r="H1821">
        <v>383</v>
      </c>
      <c r="I1821" s="125" t="s">
        <v>1546</v>
      </c>
      <c r="J1821" s="308" t="s">
        <v>214</v>
      </c>
      <c r="K1821" s="127" t="s">
        <v>3418</v>
      </c>
      <c r="L1821" s="153" t="s">
        <v>118</v>
      </c>
      <c r="M1821">
        <v>505</v>
      </c>
      <c r="N1821" s="123">
        <v>51</v>
      </c>
      <c r="O1821">
        <v>1202</v>
      </c>
      <c r="P1821" s="132" t="s">
        <v>77</v>
      </c>
      <c r="Q1821" s="132">
        <v>10995.4</v>
      </c>
      <c r="R1821" s="132">
        <v>1759.26</v>
      </c>
      <c r="S1821" s="132"/>
      <c r="T1821" s="156">
        <v>0</v>
      </c>
      <c r="U1821" s="132">
        <v>0</v>
      </c>
      <c r="V1821" s="132">
        <f t="shared" si="41"/>
        <v>12754.66</v>
      </c>
      <c r="W1821">
        <v>223</v>
      </c>
      <c r="X1821" s="153" t="s">
        <v>3120</v>
      </c>
      <c r="Y1821" s="124" t="s">
        <v>55</v>
      </c>
      <c r="Z1821" s="308">
        <v>226</v>
      </c>
      <c r="AB1821" t="str">
        <f>IF(Table1[[#This Row],[TIPO2]]="costo", VLOOKUP(Table1[[#This Row],[PARTIDA PRESUPUESTAL]],'Cost Report'!G:G,1,0),"Balance")</f>
        <v>2394-005</v>
      </c>
      <c r="AC1821" s="118"/>
      <c r="AD1821" s="159">
        <f>+Table1[[#This Row],[SUBTOTAL]]+Table1[[#This Row],[IVA]]-Table1[[#This Row],[RET IVA]]-Table1[[#This Row],[RET ISR]]-Table1[[#This Row],[TOTAL]]</f>
        <v>0</v>
      </c>
      <c r="AE1821" s="152"/>
      <c r="AF1821" s="153"/>
      <c r="AG1821" s="126"/>
      <c r="AK1821" s="306" t="str">
        <f>IF(ISNUMBER(Table1[[#This Row],[FECHA DE RECIBIDO]]), Table1[[#This Row],[FECHA DE RECIBIDO]]-DATE(2023,8,30), "")</f>
        <v/>
      </c>
    </row>
    <row r="1822" spans="1:37" ht="16.95" customHeight="1">
      <c r="A1822" s="150" t="s">
        <v>3620</v>
      </c>
      <c r="B1822" s="151">
        <v>701</v>
      </c>
      <c r="C1822" s="126" t="s">
        <v>2466</v>
      </c>
      <c r="D1822">
        <v>1222</v>
      </c>
      <c r="E1822" s="126" t="s">
        <v>1598</v>
      </c>
      <c r="F1822" s="122" t="s">
        <v>1607</v>
      </c>
      <c r="G1822" s="122" t="s">
        <v>134</v>
      </c>
      <c r="H1822">
        <v>383</v>
      </c>
      <c r="I1822" s="122" t="s">
        <v>1546</v>
      </c>
      <c r="J1822" s="307" t="s">
        <v>214</v>
      </c>
      <c r="K1822" s="127" t="s">
        <v>3418</v>
      </c>
      <c r="L1822" s="151" t="s">
        <v>118</v>
      </c>
      <c r="M1822">
        <v>505</v>
      </c>
      <c r="N1822" s="123">
        <v>51</v>
      </c>
      <c r="O1822">
        <v>1203</v>
      </c>
      <c r="P1822" s="132" t="s">
        <v>77</v>
      </c>
      <c r="Q1822" s="131">
        <v>10110.48</v>
      </c>
      <c r="R1822" s="131">
        <v>1617.68</v>
      </c>
      <c r="S1822" s="131"/>
      <c r="T1822" s="155">
        <v>0</v>
      </c>
      <c r="U1822" s="131">
        <v>0</v>
      </c>
      <c r="V1822" s="131">
        <f t="shared" si="41"/>
        <v>11728.16</v>
      </c>
      <c r="W1822">
        <v>223</v>
      </c>
      <c r="X1822" s="151" t="s">
        <v>3120</v>
      </c>
      <c r="Y1822" s="135" t="s">
        <v>55</v>
      </c>
      <c r="Z1822" s="307">
        <v>226</v>
      </c>
      <c r="AB1822" t="str">
        <f>IF(Table1[[#This Row],[TIPO2]]="costo", VLOOKUP(Table1[[#This Row],[PARTIDA PRESUPUESTAL]],'Cost Report'!G:G,1,0),"Balance")</f>
        <v>2394-005</v>
      </c>
      <c r="AC1822" s="118"/>
      <c r="AD1822" s="159">
        <f>+Table1[[#This Row],[SUBTOTAL]]+Table1[[#This Row],[IVA]]-Table1[[#This Row],[RET IVA]]-Table1[[#This Row],[RET ISR]]-Table1[[#This Row],[TOTAL]]</f>
        <v>0</v>
      </c>
      <c r="AE1822" s="150"/>
      <c r="AF1822" s="151"/>
      <c r="AG1822" s="126"/>
      <c r="AK1822" s="306" t="str">
        <f>IF(ISNUMBER(Table1[[#This Row],[FECHA DE RECIBIDO]]), Table1[[#This Row],[FECHA DE RECIBIDO]]-DATE(2023,8,30), "")</f>
        <v/>
      </c>
    </row>
    <row r="1823" spans="1:37" ht="16.95" customHeight="1">
      <c r="A1823" s="152" t="s">
        <v>3621</v>
      </c>
      <c r="B1823" s="153">
        <v>702</v>
      </c>
      <c r="C1823" s="126" t="s">
        <v>2596</v>
      </c>
      <c r="D1823">
        <v>1223</v>
      </c>
      <c r="E1823" s="126" t="s">
        <v>1609</v>
      </c>
      <c r="F1823" s="125" t="s">
        <v>1589</v>
      </c>
      <c r="G1823" s="125" t="s">
        <v>129</v>
      </c>
      <c r="H1823">
        <v>384</v>
      </c>
      <c r="I1823" s="125" t="s">
        <v>1546</v>
      </c>
      <c r="J1823" s="308" t="s">
        <v>214</v>
      </c>
      <c r="K1823" s="127" t="s">
        <v>3418</v>
      </c>
      <c r="L1823" s="153" t="s">
        <v>118</v>
      </c>
      <c r="M1823">
        <v>506</v>
      </c>
      <c r="N1823" s="123">
        <v>118</v>
      </c>
      <c r="O1823">
        <v>1204</v>
      </c>
      <c r="P1823" s="132" t="s">
        <v>77</v>
      </c>
      <c r="Q1823" s="132">
        <v>5130</v>
      </c>
      <c r="R1823" s="132">
        <v>820.8</v>
      </c>
      <c r="S1823" s="132"/>
      <c r="T1823" s="156">
        <v>547.20000000000005</v>
      </c>
      <c r="U1823" s="132">
        <v>513</v>
      </c>
      <c r="V1823" s="132">
        <f t="shared" ref="V1823" si="45">+Q1823+R1823-T1823-U1823</f>
        <v>4890.6000000000004</v>
      </c>
      <c r="W1823">
        <v>215</v>
      </c>
      <c r="X1823" s="153" t="s">
        <v>2041</v>
      </c>
      <c r="Y1823" s="124" t="s">
        <v>55</v>
      </c>
      <c r="Z1823" s="308">
        <v>226</v>
      </c>
      <c r="AB1823" t="str">
        <f>IF(Table1[[#This Row],[TIPO2]]="costo", VLOOKUP(Table1[[#This Row],[PARTIDA PRESUPUESTAL]],'Cost Report'!G:G,1,0),"Balance")</f>
        <v>2794-003</v>
      </c>
      <c r="AC1823" s="118"/>
      <c r="AD1823" s="159">
        <f>+Table1[[#This Row],[SUBTOTAL]]+Table1[[#This Row],[IVA]]-Table1[[#This Row],[RET IVA]]-Table1[[#This Row],[RET ISR]]-Table1[[#This Row],[TOTAL]]</f>
        <v>0</v>
      </c>
      <c r="AE1823" s="152"/>
      <c r="AF1823" s="153"/>
      <c r="AG1823" s="126"/>
      <c r="AK1823" s="306" t="str">
        <f>IF(ISNUMBER(Table1[[#This Row],[FECHA DE RECIBIDO]]), Table1[[#This Row],[FECHA DE RECIBIDO]]-DATE(2023,8,30), "")</f>
        <v/>
      </c>
    </row>
    <row r="1824" spans="1:37" ht="16.95" customHeight="1">
      <c r="A1824" s="150" t="s">
        <v>3622</v>
      </c>
      <c r="B1824" s="151">
        <v>703</v>
      </c>
      <c r="C1824" s="126" t="s">
        <v>2596</v>
      </c>
      <c r="D1824">
        <v>1224</v>
      </c>
      <c r="E1824" s="126" t="s">
        <v>3661</v>
      </c>
      <c r="F1824" s="122" t="s">
        <v>1589</v>
      </c>
      <c r="G1824" s="122" t="s">
        <v>129</v>
      </c>
      <c r="H1824">
        <v>385</v>
      </c>
      <c r="I1824" s="122" t="s">
        <v>1546</v>
      </c>
      <c r="J1824" s="307" t="s">
        <v>214</v>
      </c>
      <c r="K1824" s="127" t="s">
        <v>3418</v>
      </c>
      <c r="L1824" s="151" t="s">
        <v>118</v>
      </c>
      <c r="M1824">
        <v>507</v>
      </c>
      <c r="N1824" s="123">
        <v>118</v>
      </c>
      <c r="O1824">
        <v>1205</v>
      </c>
      <c r="P1824" s="132" t="s">
        <v>77</v>
      </c>
      <c r="Q1824" s="131">
        <v>5103.1400000000003</v>
      </c>
      <c r="R1824" s="131">
        <v>816.5</v>
      </c>
      <c r="S1824" s="131"/>
      <c r="T1824" s="155">
        <v>544.34</v>
      </c>
      <c r="U1824" s="131">
        <v>510.31</v>
      </c>
      <c r="V1824" s="131">
        <f t="shared" si="41"/>
        <v>4864.99</v>
      </c>
      <c r="W1824">
        <v>224</v>
      </c>
      <c r="X1824" s="151" t="s">
        <v>2035</v>
      </c>
      <c r="Y1824" s="135" t="s">
        <v>55</v>
      </c>
      <c r="Z1824" s="307">
        <v>226</v>
      </c>
      <c r="AB1824" t="str">
        <f>IF(Table1[[#This Row],[TIPO2]]="costo", VLOOKUP(Table1[[#This Row],[PARTIDA PRESUPUESTAL]],'Cost Report'!G:G,1,0),"Balance")</f>
        <v>2794-003</v>
      </c>
      <c r="AC1824" s="118"/>
      <c r="AD1824" s="159">
        <f>+Table1[[#This Row],[SUBTOTAL]]+Table1[[#This Row],[IVA]]-Table1[[#This Row],[RET IVA]]-Table1[[#This Row],[RET ISR]]-Table1[[#This Row],[TOTAL]]</f>
        <v>0</v>
      </c>
      <c r="AE1824" s="150"/>
      <c r="AF1824" s="151"/>
      <c r="AG1824" s="126"/>
      <c r="AK1824" s="306" t="str">
        <f>IF(ISNUMBER(Table1[[#This Row],[FECHA DE RECIBIDO]]), Table1[[#This Row],[FECHA DE RECIBIDO]]-DATE(2023,8,30), "")</f>
        <v/>
      </c>
    </row>
    <row r="1825" spans="1:37" ht="16.95" customHeight="1">
      <c r="A1825" s="152" t="s">
        <v>3623</v>
      </c>
      <c r="B1825" s="153">
        <v>704</v>
      </c>
      <c r="C1825" s="126" t="s">
        <v>2335</v>
      </c>
      <c r="D1825">
        <v>1225</v>
      </c>
      <c r="E1825" s="126" t="s">
        <v>2104</v>
      </c>
      <c r="F1825" s="125" t="s">
        <v>1384</v>
      </c>
      <c r="G1825" s="125" t="s">
        <v>134</v>
      </c>
      <c r="H1825">
        <v>164</v>
      </c>
      <c r="I1825" s="125" t="s">
        <v>1546</v>
      </c>
      <c r="J1825" s="308" t="s">
        <v>214</v>
      </c>
      <c r="K1825" s="127" t="s">
        <v>3418</v>
      </c>
      <c r="L1825" s="153" t="s">
        <v>1579</v>
      </c>
      <c r="M1825">
        <v>220</v>
      </c>
      <c r="N1825" s="123">
        <v>17</v>
      </c>
      <c r="O1825">
        <v>1206</v>
      </c>
      <c r="P1825" s="132" t="s">
        <v>77</v>
      </c>
      <c r="Q1825" s="132">
        <v>44.78</v>
      </c>
      <c r="R1825" s="132">
        <v>7.16</v>
      </c>
      <c r="S1825" s="132"/>
      <c r="T1825" s="156"/>
      <c r="U1825" s="132"/>
      <c r="V1825" s="132">
        <f t="shared" si="41"/>
        <v>51.94</v>
      </c>
      <c r="W1825">
        <v>167</v>
      </c>
      <c r="X1825" s="153" t="s">
        <v>1644</v>
      </c>
      <c r="Y1825" s="124" t="s">
        <v>55</v>
      </c>
      <c r="Z1825" s="308">
        <v>208</v>
      </c>
      <c r="AB1825" t="str">
        <f>IF(Table1[[#This Row],[TIPO2]]="costo", VLOOKUP(Table1[[#This Row],[PARTIDA PRESUPUESTAL]],'Cost Report'!G:G,1,0),"Balance")</f>
        <v>1487-003</v>
      </c>
      <c r="AC1825" s="118"/>
      <c r="AD1825" s="159">
        <f>+Table1[[#This Row],[SUBTOTAL]]+Table1[[#This Row],[IVA]]-Table1[[#This Row],[RET IVA]]-Table1[[#This Row],[RET ISR]]-Table1[[#This Row],[TOTAL]]</f>
        <v>0</v>
      </c>
      <c r="AE1825" s="152"/>
      <c r="AF1825" s="153"/>
      <c r="AG1825" s="126" t="s">
        <v>3420</v>
      </c>
      <c r="AK1825" s="306" t="str">
        <f>IF(ISNUMBER(Table1[[#This Row],[FECHA DE RECIBIDO]]), Table1[[#This Row],[FECHA DE RECIBIDO]]-DATE(2023,8,30), "")</f>
        <v/>
      </c>
    </row>
    <row r="1826" spans="1:37" ht="16.95" customHeight="1">
      <c r="A1826" s="150" t="s">
        <v>3623</v>
      </c>
      <c r="B1826" s="151">
        <v>704</v>
      </c>
      <c r="C1826" s="126" t="s">
        <v>2860</v>
      </c>
      <c r="D1826">
        <v>1226</v>
      </c>
      <c r="E1826" s="126" t="s">
        <v>2103</v>
      </c>
      <c r="F1826" s="122" t="s">
        <v>1384</v>
      </c>
      <c r="G1826" s="122" t="s">
        <v>134</v>
      </c>
      <c r="H1826">
        <v>163</v>
      </c>
      <c r="I1826" s="122" t="s">
        <v>1546</v>
      </c>
      <c r="J1826" s="307" t="s">
        <v>214</v>
      </c>
      <c r="K1826" s="127" t="s">
        <v>3418</v>
      </c>
      <c r="L1826" s="151" t="s">
        <v>1579</v>
      </c>
      <c r="M1826">
        <v>219</v>
      </c>
      <c r="N1826" s="123">
        <v>17</v>
      </c>
      <c r="O1826">
        <v>1207</v>
      </c>
      <c r="P1826" s="132" t="s">
        <v>77</v>
      </c>
      <c r="Q1826" s="131">
        <v>62.71</v>
      </c>
      <c r="R1826" s="131">
        <v>10.029999999999999</v>
      </c>
      <c r="S1826" s="131"/>
      <c r="T1826" s="155"/>
      <c r="U1826" s="131"/>
      <c r="V1826" s="131">
        <f t="shared" si="41"/>
        <v>72.739999999999995</v>
      </c>
      <c r="W1826">
        <v>167</v>
      </c>
      <c r="X1826" s="151" t="s">
        <v>1644</v>
      </c>
      <c r="Y1826" s="135" t="s">
        <v>55</v>
      </c>
      <c r="Z1826" s="307">
        <v>208</v>
      </c>
      <c r="AB1826" t="str">
        <f>IF(Table1[[#This Row],[TIPO2]]="costo", VLOOKUP(Table1[[#This Row],[PARTIDA PRESUPUESTAL]],'Cost Report'!G:G,1,0),"Balance")</f>
        <v>3629-003</v>
      </c>
      <c r="AC1826" s="118"/>
      <c r="AD1826" s="159">
        <f>+Table1[[#This Row],[SUBTOTAL]]+Table1[[#This Row],[IVA]]-Table1[[#This Row],[RET IVA]]-Table1[[#This Row],[RET ISR]]-Table1[[#This Row],[TOTAL]]</f>
        <v>0</v>
      </c>
      <c r="AE1826" s="150"/>
      <c r="AF1826" s="151"/>
      <c r="AG1826" s="126" t="s">
        <v>3420</v>
      </c>
      <c r="AK1826" s="306" t="str">
        <f>IF(ISNUMBER(Table1[[#This Row],[FECHA DE RECIBIDO]]), Table1[[#This Row],[FECHA DE RECIBIDO]]-DATE(2023,8,30), "")</f>
        <v/>
      </c>
    </row>
    <row r="1827" spans="1:37" ht="16.95" customHeight="1">
      <c r="A1827" s="152" t="s">
        <v>3623</v>
      </c>
      <c r="B1827" s="153">
        <v>704</v>
      </c>
      <c r="C1827" s="126" t="s">
        <v>2833</v>
      </c>
      <c r="D1827">
        <v>1227</v>
      </c>
      <c r="E1827" s="126" t="s">
        <v>1612</v>
      </c>
      <c r="F1827" s="125" t="s">
        <v>1607</v>
      </c>
      <c r="G1827" s="125" t="s">
        <v>134</v>
      </c>
      <c r="H1827">
        <v>91</v>
      </c>
      <c r="I1827" s="125" t="s">
        <v>1546</v>
      </c>
      <c r="J1827" s="308" t="s">
        <v>214</v>
      </c>
      <c r="K1827" s="127" t="s">
        <v>3418</v>
      </c>
      <c r="L1827" s="153" t="s">
        <v>1579</v>
      </c>
      <c r="M1827">
        <v>122</v>
      </c>
      <c r="N1827" s="123">
        <v>17</v>
      </c>
      <c r="O1827">
        <v>1208</v>
      </c>
      <c r="P1827" s="132" t="s">
        <v>77</v>
      </c>
      <c r="Q1827" s="132">
        <v>1851.44</v>
      </c>
      <c r="R1827" s="132"/>
      <c r="S1827" s="132"/>
      <c r="T1827" s="156"/>
      <c r="U1827" s="132"/>
      <c r="V1827" s="132">
        <f t="shared" si="41"/>
        <v>1851.44</v>
      </c>
      <c r="W1827">
        <v>167</v>
      </c>
      <c r="X1827" s="153" t="s">
        <v>1644</v>
      </c>
      <c r="Y1827" s="124" t="s">
        <v>55</v>
      </c>
      <c r="Z1827" s="308">
        <v>209</v>
      </c>
      <c r="AB1827" t="str">
        <f>IF(Table1[[#This Row],[TIPO2]]="costo", VLOOKUP(Table1[[#This Row],[PARTIDA PRESUPUESTAL]],'Cost Report'!G:G,1,0),"Balance")</f>
        <v>3416-015</v>
      </c>
      <c r="AC1827" s="118"/>
      <c r="AD1827" s="159">
        <f>+Table1[[#This Row],[SUBTOTAL]]+Table1[[#This Row],[IVA]]-Table1[[#This Row],[RET IVA]]-Table1[[#This Row],[RET ISR]]-Table1[[#This Row],[TOTAL]]</f>
        <v>0</v>
      </c>
      <c r="AE1827" s="152"/>
      <c r="AF1827" s="153"/>
      <c r="AG1827" s="126" t="s">
        <v>3420</v>
      </c>
      <c r="AK1827" s="306" t="str">
        <f>IF(ISNUMBER(Table1[[#This Row],[FECHA DE RECIBIDO]]), Table1[[#This Row],[FECHA DE RECIBIDO]]-DATE(2023,8,30), "")</f>
        <v/>
      </c>
    </row>
    <row r="1828" spans="1:37" ht="16.95" customHeight="1">
      <c r="A1828" s="150" t="s">
        <v>3623</v>
      </c>
      <c r="B1828" s="151">
        <v>704</v>
      </c>
      <c r="C1828" s="126" t="s">
        <v>3002</v>
      </c>
      <c r="D1828">
        <v>1228</v>
      </c>
      <c r="E1828" s="126" t="s">
        <v>1612</v>
      </c>
      <c r="F1828" s="122" t="s">
        <v>1607</v>
      </c>
      <c r="G1828" s="122" t="s">
        <v>134</v>
      </c>
      <c r="H1828">
        <v>91</v>
      </c>
      <c r="I1828" s="122" t="s">
        <v>1546</v>
      </c>
      <c r="J1828" s="307" t="s">
        <v>214</v>
      </c>
      <c r="K1828" s="127" t="s">
        <v>3418</v>
      </c>
      <c r="L1828" s="151" t="s">
        <v>1579</v>
      </c>
      <c r="M1828">
        <v>122</v>
      </c>
      <c r="N1828" s="123">
        <v>17</v>
      </c>
      <c r="O1828">
        <v>1209</v>
      </c>
      <c r="P1828" s="132" t="s">
        <v>77</v>
      </c>
      <c r="Q1828" s="131">
        <v>128.97999999999999</v>
      </c>
      <c r="R1828" s="131">
        <v>6.62</v>
      </c>
      <c r="S1828" s="131"/>
      <c r="T1828" s="155"/>
      <c r="U1828" s="131"/>
      <c r="V1828" s="131">
        <f t="shared" si="41"/>
        <v>135.6</v>
      </c>
      <c r="W1828">
        <v>167</v>
      </c>
      <c r="X1828" s="151" t="s">
        <v>1644</v>
      </c>
      <c r="Y1828" s="135" t="s">
        <v>55</v>
      </c>
      <c r="Z1828" s="307">
        <v>209</v>
      </c>
      <c r="AB1828" t="str">
        <f>IF(Table1[[#This Row],[TIPO2]]="costo", VLOOKUP(Table1[[#This Row],[PARTIDA PRESUPUESTAL]],'Cost Report'!G:G,1,0),"Balance")</f>
        <v>4180-003</v>
      </c>
      <c r="AC1828" s="118"/>
      <c r="AD1828" s="159">
        <f>+Table1[[#This Row],[SUBTOTAL]]+Table1[[#This Row],[IVA]]-Table1[[#This Row],[RET IVA]]-Table1[[#This Row],[RET ISR]]-Table1[[#This Row],[TOTAL]]</f>
        <v>0</v>
      </c>
      <c r="AE1828" s="150"/>
      <c r="AF1828" s="151"/>
      <c r="AG1828" s="126" t="s">
        <v>3420</v>
      </c>
      <c r="AK1828" s="306" t="str">
        <f>IF(ISNUMBER(Table1[[#This Row],[FECHA DE RECIBIDO]]), Table1[[#This Row],[FECHA DE RECIBIDO]]-DATE(2023,8,30), "")</f>
        <v/>
      </c>
    </row>
    <row r="1829" spans="1:37" ht="16.95" customHeight="1">
      <c r="A1829" s="152" t="s">
        <v>3623</v>
      </c>
      <c r="B1829" s="153">
        <v>704</v>
      </c>
      <c r="C1829" s="126" t="s">
        <v>2443</v>
      </c>
      <c r="D1829">
        <v>1229</v>
      </c>
      <c r="E1829" s="126" t="s">
        <v>1984</v>
      </c>
      <c r="F1829" s="125" t="s">
        <v>1602</v>
      </c>
      <c r="G1829" s="125" t="s">
        <v>134</v>
      </c>
      <c r="H1829">
        <v>386</v>
      </c>
      <c r="I1829" s="125" t="s">
        <v>1546</v>
      </c>
      <c r="J1829" s="308" t="s">
        <v>214</v>
      </c>
      <c r="K1829" s="127" t="s">
        <v>3418</v>
      </c>
      <c r="L1829" s="153" t="s">
        <v>1579</v>
      </c>
      <c r="M1829">
        <v>508</v>
      </c>
      <c r="N1829" s="123">
        <v>17</v>
      </c>
      <c r="O1829">
        <v>1210</v>
      </c>
      <c r="P1829" s="132" t="s">
        <v>77</v>
      </c>
      <c r="Q1829" s="132">
        <v>1210.3399999999999</v>
      </c>
      <c r="R1829" s="132">
        <v>193.66</v>
      </c>
      <c r="S1829" s="132"/>
      <c r="T1829" s="156"/>
      <c r="U1829" s="132"/>
      <c r="V1829" s="132">
        <f t="shared" si="41"/>
        <v>1404</v>
      </c>
      <c r="W1829">
        <v>167</v>
      </c>
      <c r="X1829" s="153" t="s">
        <v>1644</v>
      </c>
      <c r="Y1829" s="124" t="s">
        <v>55</v>
      </c>
      <c r="Z1829" s="308">
        <v>209</v>
      </c>
      <c r="AB1829" t="str">
        <f>IF(Table1[[#This Row],[TIPO2]]="costo", VLOOKUP(Table1[[#This Row],[PARTIDA PRESUPUESTAL]],'Cost Report'!G:G,1,0),"Balance")</f>
        <v>2080-003</v>
      </c>
      <c r="AC1829" s="118"/>
      <c r="AD1829" s="159">
        <f>+Table1[[#This Row],[SUBTOTAL]]+Table1[[#This Row],[IVA]]-Table1[[#This Row],[RET IVA]]-Table1[[#This Row],[RET ISR]]-Table1[[#This Row],[TOTAL]]</f>
        <v>0</v>
      </c>
      <c r="AE1829" s="152"/>
      <c r="AF1829" s="153"/>
      <c r="AG1829" s="126" t="s">
        <v>3420</v>
      </c>
      <c r="AK1829" s="306" t="str">
        <f>IF(ISNUMBER(Table1[[#This Row],[FECHA DE RECIBIDO]]), Table1[[#This Row],[FECHA DE RECIBIDO]]-DATE(2023,8,30), "")</f>
        <v/>
      </c>
    </row>
    <row r="1830" spans="1:37" ht="16.95" customHeight="1">
      <c r="A1830" s="150" t="s">
        <v>3623</v>
      </c>
      <c r="B1830" s="151">
        <v>704</v>
      </c>
      <c r="C1830" s="126" t="s">
        <v>2860</v>
      </c>
      <c r="D1830">
        <v>1230</v>
      </c>
      <c r="E1830" s="126" t="s">
        <v>1603</v>
      </c>
      <c r="F1830" s="122" t="s">
        <v>1607</v>
      </c>
      <c r="G1830" s="122" t="s">
        <v>134</v>
      </c>
      <c r="H1830">
        <v>43</v>
      </c>
      <c r="I1830" s="122" t="s">
        <v>1546</v>
      </c>
      <c r="J1830" s="307" t="s">
        <v>214</v>
      </c>
      <c r="K1830" s="127" t="s">
        <v>3418</v>
      </c>
      <c r="L1830" s="151" t="s">
        <v>1579</v>
      </c>
      <c r="M1830">
        <v>67</v>
      </c>
      <c r="N1830" s="123">
        <v>17</v>
      </c>
      <c r="O1830">
        <v>1211</v>
      </c>
      <c r="P1830" s="132" t="s">
        <v>77</v>
      </c>
      <c r="Q1830" s="131">
        <v>10.34</v>
      </c>
      <c r="R1830" s="131">
        <v>1.66</v>
      </c>
      <c r="S1830" s="131"/>
      <c r="T1830" s="155"/>
      <c r="U1830" s="131"/>
      <c r="V1830" s="131">
        <f t="shared" si="41"/>
        <v>12</v>
      </c>
      <c r="W1830">
        <v>167</v>
      </c>
      <c r="X1830" s="151" t="s">
        <v>1644</v>
      </c>
      <c r="Y1830" s="135" t="s">
        <v>55</v>
      </c>
      <c r="Z1830" s="307">
        <v>209</v>
      </c>
      <c r="AB1830" t="str">
        <f>IF(Table1[[#This Row],[TIPO2]]="costo", VLOOKUP(Table1[[#This Row],[PARTIDA PRESUPUESTAL]],'Cost Report'!G:G,1,0),"Balance")</f>
        <v>3629-003</v>
      </c>
      <c r="AC1830" s="118"/>
      <c r="AD1830" s="159">
        <f>+Table1[[#This Row],[SUBTOTAL]]+Table1[[#This Row],[IVA]]-Table1[[#This Row],[RET IVA]]-Table1[[#This Row],[RET ISR]]-Table1[[#This Row],[TOTAL]]</f>
        <v>0</v>
      </c>
      <c r="AE1830" s="150"/>
      <c r="AF1830" s="151"/>
      <c r="AG1830" s="126" t="s">
        <v>3420</v>
      </c>
      <c r="AK1830" s="306" t="str">
        <f>IF(ISNUMBER(Table1[[#This Row],[FECHA DE RECIBIDO]]), Table1[[#This Row],[FECHA DE RECIBIDO]]-DATE(2023,8,30), "")</f>
        <v/>
      </c>
    </row>
    <row r="1831" spans="1:37" ht="16.95" customHeight="1">
      <c r="A1831" s="152" t="s">
        <v>3623</v>
      </c>
      <c r="B1831" s="153">
        <v>704</v>
      </c>
      <c r="C1831" s="126" t="s">
        <v>2860</v>
      </c>
      <c r="D1831">
        <v>1231</v>
      </c>
      <c r="E1831" s="126" t="s">
        <v>1603</v>
      </c>
      <c r="F1831" s="125" t="s">
        <v>1607</v>
      </c>
      <c r="G1831" s="125" t="s">
        <v>134</v>
      </c>
      <c r="H1831">
        <v>43</v>
      </c>
      <c r="I1831" s="125" t="s">
        <v>1546</v>
      </c>
      <c r="J1831" s="308" t="s">
        <v>214</v>
      </c>
      <c r="K1831" s="127" t="s">
        <v>3418</v>
      </c>
      <c r="L1831" s="153" t="s">
        <v>1579</v>
      </c>
      <c r="M1831">
        <v>67</v>
      </c>
      <c r="N1831" s="123">
        <v>17</v>
      </c>
      <c r="O1831">
        <v>1211</v>
      </c>
      <c r="P1831" s="132" t="s">
        <v>77</v>
      </c>
      <c r="Q1831" s="132">
        <v>10.34</v>
      </c>
      <c r="R1831" s="132">
        <v>1.66</v>
      </c>
      <c r="S1831" s="132"/>
      <c r="T1831" s="156"/>
      <c r="U1831" s="132"/>
      <c r="V1831" s="132">
        <f t="shared" si="41"/>
        <v>12</v>
      </c>
      <c r="W1831">
        <v>167</v>
      </c>
      <c r="X1831" s="153" t="s">
        <v>1644</v>
      </c>
      <c r="Y1831" s="124" t="s">
        <v>55</v>
      </c>
      <c r="Z1831" s="308">
        <v>209</v>
      </c>
      <c r="AB1831" t="str">
        <f>IF(Table1[[#This Row],[TIPO2]]="costo", VLOOKUP(Table1[[#This Row],[PARTIDA PRESUPUESTAL]],'Cost Report'!G:G,1,0),"Balance")</f>
        <v>3629-003</v>
      </c>
      <c r="AC1831" s="118"/>
      <c r="AD1831" s="159">
        <f>+Table1[[#This Row],[SUBTOTAL]]+Table1[[#This Row],[IVA]]-Table1[[#This Row],[RET IVA]]-Table1[[#This Row],[RET ISR]]-Table1[[#This Row],[TOTAL]]</f>
        <v>0</v>
      </c>
      <c r="AE1831" s="152"/>
      <c r="AF1831" s="153"/>
      <c r="AG1831" s="126" t="s">
        <v>3420</v>
      </c>
      <c r="AK1831" s="306" t="str">
        <f>IF(ISNUMBER(Table1[[#This Row],[FECHA DE RECIBIDO]]), Table1[[#This Row],[FECHA DE RECIBIDO]]-DATE(2023,8,30), "")</f>
        <v/>
      </c>
    </row>
    <row r="1832" spans="1:37" ht="16.95" customHeight="1">
      <c r="A1832" s="150" t="s">
        <v>3623</v>
      </c>
      <c r="B1832" s="151">
        <v>704</v>
      </c>
      <c r="C1832" s="126" t="s">
        <v>2860</v>
      </c>
      <c r="D1832">
        <v>1232</v>
      </c>
      <c r="E1832" s="126" t="s">
        <v>1603</v>
      </c>
      <c r="F1832" s="122" t="s">
        <v>1607</v>
      </c>
      <c r="G1832" s="122" t="s">
        <v>134</v>
      </c>
      <c r="H1832">
        <v>43</v>
      </c>
      <c r="I1832" s="122" t="s">
        <v>1546</v>
      </c>
      <c r="J1832" s="307" t="s">
        <v>214</v>
      </c>
      <c r="K1832" s="127" t="s">
        <v>3418</v>
      </c>
      <c r="L1832" s="151" t="s">
        <v>1579</v>
      </c>
      <c r="M1832">
        <v>67</v>
      </c>
      <c r="N1832" s="123">
        <v>17</v>
      </c>
      <c r="O1832">
        <v>1211</v>
      </c>
      <c r="P1832" s="132" t="s">
        <v>77</v>
      </c>
      <c r="Q1832" s="131">
        <v>10.34</v>
      </c>
      <c r="R1832" s="131">
        <v>1.66</v>
      </c>
      <c r="S1832" s="131"/>
      <c r="T1832" s="155"/>
      <c r="U1832" s="131"/>
      <c r="V1832" s="131">
        <f t="shared" si="41"/>
        <v>12</v>
      </c>
      <c r="W1832">
        <v>167</v>
      </c>
      <c r="X1832" s="151" t="s">
        <v>1644</v>
      </c>
      <c r="Y1832" s="135" t="s">
        <v>55</v>
      </c>
      <c r="Z1832" s="307">
        <v>209</v>
      </c>
      <c r="AB1832" t="str">
        <f>IF(Table1[[#This Row],[TIPO2]]="costo", VLOOKUP(Table1[[#This Row],[PARTIDA PRESUPUESTAL]],'Cost Report'!G:G,1,0),"Balance")</f>
        <v>3629-003</v>
      </c>
      <c r="AC1832" s="118"/>
      <c r="AD1832" s="159">
        <f>+Table1[[#This Row],[SUBTOTAL]]+Table1[[#This Row],[IVA]]-Table1[[#This Row],[RET IVA]]-Table1[[#This Row],[RET ISR]]-Table1[[#This Row],[TOTAL]]</f>
        <v>0</v>
      </c>
      <c r="AE1832" s="150"/>
      <c r="AF1832" s="151"/>
      <c r="AG1832" s="126" t="s">
        <v>3420</v>
      </c>
      <c r="AK1832" s="306" t="str">
        <f>IF(ISNUMBER(Table1[[#This Row],[FECHA DE RECIBIDO]]), Table1[[#This Row],[FECHA DE RECIBIDO]]-DATE(2023,8,30), "")</f>
        <v/>
      </c>
    </row>
    <row r="1833" spans="1:37" ht="16.95" customHeight="1">
      <c r="A1833" s="152" t="s">
        <v>3623</v>
      </c>
      <c r="B1833" s="153">
        <v>704</v>
      </c>
      <c r="C1833" s="126" t="s">
        <v>2860</v>
      </c>
      <c r="D1833">
        <v>1233</v>
      </c>
      <c r="E1833" s="126" t="s">
        <v>1603</v>
      </c>
      <c r="F1833" s="125" t="s">
        <v>1607</v>
      </c>
      <c r="G1833" s="125" t="s">
        <v>134</v>
      </c>
      <c r="H1833">
        <v>43</v>
      </c>
      <c r="I1833" s="125" t="s">
        <v>1546</v>
      </c>
      <c r="J1833" s="308" t="s">
        <v>214</v>
      </c>
      <c r="K1833" s="127" t="s">
        <v>3418</v>
      </c>
      <c r="L1833" s="153" t="s">
        <v>1579</v>
      </c>
      <c r="M1833">
        <v>67</v>
      </c>
      <c r="N1833" s="123">
        <v>17</v>
      </c>
      <c r="O1833">
        <v>1211</v>
      </c>
      <c r="P1833" s="132" t="s">
        <v>77</v>
      </c>
      <c r="Q1833" s="132">
        <v>10.34</v>
      </c>
      <c r="R1833" s="132">
        <v>1.66</v>
      </c>
      <c r="S1833" s="132"/>
      <c r="T1833" s="156"/>
      <c r="U1833" s="132"/>
      <c r="V1833" s="132">
        <f t="shared" si="41"/>
        <v>12</v>
      </c>
      <c r="W1833">
        <v>167</v>
      </c>
      <c r="X1833" s="153" t="s">
        <v>1644</v>
      </c>
      <c r="Y1833" s="124" t="s">
        <v>55</v>
      </c>
      <c r="Z1833" s="308">
        <v>209</v>
      </c>
      <c r="AB1833" t="str">
        <f>IF(Table1[[#This Row],[TIPO2]]="costo", VLOOKUP(Table1[[#This Row],[PARTIDA PRESUPUESTAL]],'Cost Report'!G:G,1,0),"Balance")</f>
        <v>3629-003</v>
      </c>
      <c r="AC1833" s="118"/>
      <c r="AD1833" s="159">
        <f>+Table1[[#This Row],[SUBTOTAL]]+Table1[[#This Row],[IVA]]-Table1[[#This Row],[RET IVA]]-Table1[[#This Row],[RET ISR]]-Table1[[#This Row],[TOTAL]]</f>
        <v>0</v>
      </c>
      <c r="AE1833" s="152"/>
      <c r="AF1833" s="153"/>
      <c r="AG1833" s="126" t="s">
        <v>3420</v>
      </c>
      <c r="AK1833" s="306" t="str">
        <f>IF(ISNUMBER(Table1[[#This Row],[FECHA DE RECIBIDO]]), Table1[[#This Row],[FECHA DE RECIBIDO]]-DATE(2023,8,30), "")</f>
        <v/>
      </c>
    </row>
    <row r="1834" spans="1:37" ht="16.95" customHeight="1">
      <c r="A1834" s="150" t="s">
        <v>3623</v>
      </c>
      <c r="B1834" s="151">
        <v>704</v>
      </c>
      <c r="C1834" s="126" t="s">
        <v>2860</v>
      </c>
      <c r="D1834">
        <v>958</v>
      </c>
      <c r="E1834" s="126" t="s">
        <v>2104</v>
      </c>
      <c r="F1834" s="122" t="s">
        <v>1384</v>
      </c>
      <c r="G1834" s="122" t="s">
        <v>134</v>
      </c>
      <c r="H1834">
        <v>164</v>
      </c>
      <c r="I1834" s="122" t="s">
        <v>1546</v>
      </c>
      <c r="J1834" s="307" t="s">
        <v>214</v>
      </c>
      <c r="K1834" s="127" t="s">
        <v>3418</v>
      </c>
      <c r="L1834" s="151" t="s">
        <v>1579</v>
      </c>
      <c r="M1834">
        <v>220</v>
      </c>
      <c r="N1834" s="123">
        <v>17</v>
      </c>
      <c r="O1834">
        <v>1207</v>
      </c>
      <c r="P1834" s="132" t="s">
        <v>77</v>
      </c>
      <c r="Q1834" s="131">
        <v>65.14</v>
      </c>
      <c r="R1834" s="131">
        <v>10.42</v>
      </c>
      <c r="S1834" s="131"/>
      <c r="T1834" s="155"/>
      <c r="U1834" s="131"/>
      <c r="V1834" s="131">
        <f t="shared" si="41"/>
        <v>75.56</v>
      </c>
      <c r="W1834">
        <v>167</v>
      </c>
      <c r="X1834" s="151" t="s">
        <v>1644</v>
      </c>
      <c r="Y1834" s="135" t="s">
        <v>55</v>
      </c>
      <c r="Z1834" s="307">
        <v>209</v>
      </c>
      <c r="AB1834" t="str">
        <f>IF(Table1[[#This Row],[TIPO2]]="costo", VLOOKUP(Table1[[#This Row],[PARTIDA PRESUPUESTAL]],'Cost Report'!G:G,1,0),"Balance")</f>
        <v>3629-003</v>
      </c>
      <c r="AC1834" s="118"/>
      <c r="AD1834" s="159">
        <f>+Table1[[#This Row],[SUBTOTAL]]+Table1[[#This Row],[IVA]]-Table1[[#This Row],[RET IVA]]-Table1[[#This Row],[RET ISR]]-Table1[[#This Row],[TOTAL]]</f>
        <v>0</v>
      </c>
      <c r="AE1834" s="150"/>
      <c r="AF1834" s="151"/>
      <c r="AG1834" s="126" t="s">
        <v>3420</v>
      </c>
      <c r="AK1834" s="306" t="str">
        <f>IF(ISNUMBER(Table1[[#This Row],[FECHA DE RECIBIDO]]), Table1[[#This Row],[FECHA DE RECIBIDO]]-DATE(2023,8,30), "")</f>
        <v/>
      </c>
    </row>
    <row r="1835" spans="1:37" ht="16.95" customHeight="1">
      <c r="A1835" s="152" t="s">
        <v>3623</v>
      </c>
      <c r="B1835" s="153">
        <v>704</v>
      </c>
      <c r="C1835" s="126" t="s">
        <v>2860</v>
      </c>
      <c r="D1835">
        <v>1234</v>
      </c>
      <c r="E1835" s="126" t="s">
        <v>2103</v>
      </c>
      <c r="F1835" s="125" t="s">
        <v>1384</v>
      </c>
      <c r="G1835" s="125" t="s">
        <v>134</v>
      </c>
      <c r="H1835">
        <v>163</v>
      </c>
      <c r="I1835" s="125" t="s">
        <v>1546</v>
      </c>
      <c r="J1835" s="308" t="s">
        <v>214</v>
      </c>
      <c r="K1835" s="127" t="s">
        <v>3418</v>
      </c>
      <c r="L1835" s="153" t="s">
        <v>1579</v>
      </c>
      <c r="M1835">
        <v>219</v>
      </c>
      <c r="N1835" s="123">
        <v>17</v>
      </c>
      <c r="O1835">
        <v>1207</v>
      </c>
      <c r="P1835" s="132" t="s">
        <v>77</v>
      </c>
      <c r="Q1835" s="132">
        <v>98.12</v>
      </c>
      <c r="R1835" s="132">
        <v>15.7</v>
      </c>
      <c r="S1835" s="132"/>
      <c r="T1835" s="156"/>
      <c r="U1835" s="132"/>
      <c r="V1835" s="132">
        <f t="shared" si="41"/>
        <v>113.82000000000001</v>
      </c>
      <c r="W1835">
        <v>167</v>
      </c>
      <c r="X1835" s="153" t="s">
        <v>1644</v>
      </c>
      <c r="Y1835" s="124" t="s">
        <v>55</v>
      </c>
      <c r="Z1835" s="308">
        <v>209</v>
      </c>
      <c r="AB1835" t="str">
        <f>IF(Table1[[#This Row],[TIPO2]]="costo", VLOOKUP(Table1[[#This Row],[PARTIDA PRESUPUESTAL]],'Cost Report'!G:G,1,0),"Balance")</f>
        <v>3629-003</v>
      </c>
      <c r="AC1835" s="118"/>
      <c r="AD1835" s="159">
        <f>+Table1[[#This Row],[SUBTOTAL]]+Table1[[#This Row],[IVA]]-Table1[[#This Row],[RET IVA]]-Table1[[#This Row],[RET ISR]]-Table1[[#This Row],[TOTAL]]</f>
        <v>0</v>
      </c>
      <c r="AE1835" s="152"/>
      <c r="AF1835" s="153"/>
      <c r="AG1835" s="126" t="s">
        <v>3420</v>
      </c>
      <c r="AK1835" s="306" t="str">
        <f>IF(ISNUMBER(Table1[[#This Row],[FECHA DE RECIBIDO]]), Table1[[#This Row],[FECHA DE RECIBIDO]]-DATE(2023,8,30), "")</f>
        <v/>
      </c>
    </row>
    <row r="1836" spans="1:37" ht="16.95" customHeight="1">
      <c r="A1836" s="150" t="s">
        <v>3623</v>
      </c>
      <c r="B1836" s="151">
        <v>704</v>
      </c>
      <c r="C1836" s="126" t="s">
        <v>2860</v>
      </c>
      <c r="D1836">
        <v>1235</v>
      </c>
      <c r="E1836" s="126" t="s">
        <v>2101</v>
      </c>
      <c r="F1836" s="122" t="s">
        <v>1607</v>
      </c>
      <c r="G1836" s="122" t="s">
        <v>134</v>
      </c>
      <c r="H1836">
        <v>387</v>
      </c>
      <c r="I1836" s="122" t="s">
        <v>1546</v>
      </c>
      <c r="J1836" s="307" t="s">
        <v>214</v>
      </c>
      <c r="K1836" s="127" t="s">
        <v>3418</v>
      </c>
      <c r="L1836" s="151" t="s">
        <v>1579</v>
      </c>
      <c r="M1836">
        <v>509</v>
      </c>
      <c r="N1836" s="123">
        <v>17</v>
      </c>
      <c r="O1836">
        <v>1212</v>
      </c>
      <c r="P1836" s="132" t="s">
        <v>77</v>
      </c>
      <c r="Q1836" s="131">
        <v>63.79</v>
      </c>
      <c r="R1836" s="131">
        <v>10.210000000000001</v>
      </c>
      <c r="S1836" s="131"/>
      <c r="T1836" s="155"/>
      <c r="U1836" s="131"/>
      <c r="V1836" s="131">
        <f t="shared" si="41"/>
        <v>74</v>
      </c>
      <c r="W1836">
        <v>167</v>
      </c>
      <c r="X1836" s="151" t="s">
        <v>1644</v>
      </c>
      <c r="Y1836" s="135" t="s">
        <v>55</v>
      </c>
      <c r="Z1836" s="307">
        <v>211</v>
      </c>
      <c r="AB1836" t="str">
        <f>IF(Table1[[#This Row],[TIPO2]]="costo", VLOOKUP(Table1[[#This Row],[PARTIDA PRESUPUESTAL]],'Cost Report'!G:G,1,0),"Balance")</f>
        <v>3629-003</v>
      </c>
      <c r="AC1836" s="118"/>
      <c r="AD1836" s="159">
        <f>+Table1[[#This Row],[SUBTOTAL]]+Table1[[#This Row],[IVA]]-Table1[[#This Row],[RET IVA]]-Table1[[#This Row],[RET ISR]]-Table1[[#This Row],[TOTAL]]</f>
        <v>0</v>
      </c>
      <c r="AE1836" s="150"/>
      <c r="AF1836" s="151"/>
      <c r="AG1836" s="126" t="s">
        <v>3420</v>
      </c>
      <c r="AK1836" s="306" t="str">
        <f>IF(ISNUMBER(Table1[[#This Row],[FECHA DE RECIBIDO]]), Table1[[#This Row],[FECHA DE RECIBIDO]]-DATE(2023,8,30), "")</f>
        <v/>
      </c>
    </row>
    <row r="1837" spans="1:37" ht="16.95" customHeight="1">
      <c r="A1837" s="152" t="s">
        <v>3623</v>
      </c>
      <c r="B1837" s="153">
        <v>704</v>
      </c>
      <c r="C1837" s="126" t="s">
        <v>2616</v>
      </c>
      <c r="D1837">
        <v>1236</v>
      </c>
      <c r="E1837" s="126" t="s">
        <v>2070</v>
      </c>
      <c r="F1837" s="125" t="s">
        <v>1382</v>
      </c>
      <c r="G1837" s="125" t="s">
        <v>134</v>
      </c>
      <c r="H1837">
        <v>31</v>
      </c>
      <c r="I1837" s="125" t="s">
        <v>1546</v>
      </c>
      <c r="J1837" s="308" t="s">
        <v>214</v>
      </c>
      <c r="K1837" s="127" t="s">
        <v>3418</v>
      </c>
      <c r="L1837" s="153" t="s">
        <v>1579</v>
      </c>
      <c r="M1837">
        <v>69</v>
      </c>
      <c r="N1837" s="123">
        <v>17</v>
      </c>
      <c r="O1837">
        <v>1213</v>
      </c>
      <c r="P1837" s="132" t="s">
        <v>77</v>
      </c>
      <c r="Q1837" s="132">
        <v>31.9</v>
      </c>
      <c r="R1837" s="132">
        <v>5.0999999999999996</v>
      </c>
      <c r="S1837" s="132"/>
      <c r="T1837" s="156"/>
      <c r="U1837" s="132"/>
      <c r="V1837" s="132">
        <f t="shared" si="41"/>
        <v>37</v>
      </c>
      <c r="W1837">
        <v>167</v>
      </c>
      <c r="X1837" s="153" t="s">
        <v>1644</v>
      </c>
      <c r="Y1837" s="124" t="s">
        <v>55</v>
      </c>
      <c r="Z1837" s="308">
        <v>212</v>
      </c>
      <c r="AA1837" t="s">
        <v>3693</v>
      </c>
      <c r="AB1837" t="str">
        <f>IF(Table1[[#This Row],[TIPO2]]="costo", VLOOKUP(Table1[[#This Row],[PARTIDA PRESUPUESTAL]],'Cost Report'!G:G,1,0),"Balance")</f>
        <v>2808-003</v>
      </c>
      <c r="AC1837" s="118"/>
      <c r="AD1837" s="159">
        <f>+Table1[[#This Row],[SUBTOTAL]]+Table1[[#This Row],[IVA]]-Table1[[#This Row],[RET IVA]]-Table1[[#This Row],[RET ISR]]-Table1[[#This Row],[TOTAL]]</f>
        <v>0</v>
      </c>
      <c r="AE1837" s="152"/>
      <c r="AF1837" s="153"/>
      <c r="AG1837" s="126" t="s">
        <v>3420</v>
      </c>
      <c r="AK1837" s="306" t="str">
        <f>IF(ISNUMBER(Table1[[#This Row],[FECHA DE RECIBIDO]]), Table1[[#This Row],[FECHA DE RECIBIDO]]-DATE(2023,8,30), "")</f>
        <v/>
      </c>
    </row>
    <row r="1838" spans="1:37" ht="16.95" customHeight="1">
      <c r="A1838" s="150" t="s">
        <v>3623</v>
      </c>
      <c r="B1838" s="151">
        <v>704</v>
      </c>
      <c r="C1838" s="126" t="s">
        <v>2436</v>
      </c>
      <c r="D1838">
        <v>1237</v>
      </c>
      <c r="E1838" s="126" t="s">
        <v>2070</v>
      </c>
      <c r="F1838" s="122" t="s">
        <v>1382</v>
      </c>
      <c r="G1838" s="122" t="s">
        <v>134</v>
      </c>
      <c r="H1838">
        <v>31</v>
      </c>
      <c r="I1838" s="122" t="s">
        <v>1546</v>
      </c>
      <c r="J1838" s="307" t="s">
        <v>214</v>
      </c>
      <c r="K1838" s="127" t="s">
        <v>3418</v>
      </c>
      <c r="L1838" s="151" t="s">
        <v>1579</v>
      </c>
      <c r="M1838">
        <v>69</v>
      </c>
      <c r="N1838" s="123">
        <v>17</v>
      </c>
      <c r="O1838">
        <v>1214</v>
      </c>
      <c r="P1838" s="132" t="s">
        <v>77</v>
      </c>
      <c r="Q1838" s="131">
        <f>78.62-0.7</f>
        <v>77.92</v>
      </c>
      <c r="R1838" s="131">
        <v>12.58</v>
      </c>
      <c r="S1838" s="131">
        <v>0.7</v>
      </c>
      <c r="T1838" s="155"/>
      <c r="U1838" s="131"/>
      <c r="V1838" s="131">
        <f t="shared" si="41"/>
        <v>90.5</v>
      </c>
      <c r="W1838">
        <v>167</v>
      </c>
      <c r="X1838" s="151" t="s">
        <v>1644</v>
      </c>
      <c r="Y1838" s="135" t="s">
        <v>55</v>
      </c>
      <c r="Z1838" s="307">
        <v>212</v>
      </c>
      <c r="AB1838" t="str">
        <f>IF(Table1[[#This Row],[TIPO2]]="costo", VLOOKUP(Table1[[#This Row],[PARTIDA PRESUPUESTAL]],'Cost Report'!G:G,1,0),"Balance")</f>
        <v>2042-003</v>
      </c>
      <c r="AC1838" s="118"/>
      <c r="AD1838" s="159">
        <f>+Table1[[#This Row],[SUBTOTAL]]+Table1[[#This Row],[IVA]]-Table1[[#This Row],[RET IVA]]-Table1[[#This Row],[RET ISR]]-Table1[[#This Row],[TOTAL]]</f>
        <v>0</v>
      </c>
      <c r="AE1838" s="150"/>
      <c r="AF1838" s="151"/>
      <c r="AG1838" s="126" t="s">
        <v>3420</v>
      </c>
      <c r="AK1838" s="306" t="str">
        <f>IF(ISNUMBER(Table1[[#This Row],[FECHA DE RECIBIDO]]), Table1[[#This Row],[FECHA DE RECIBIDO]]-DATE(2023,8,30), "")</f>
        <v/>
      </c>
    </row>
    <row r="1839" spans="1:37" ht="16.95" customHeight="1">
      <c r="A1839" s="152" t="s">
        <v>3623</v>
      </c>
      <c r="B1839" s="153">
        <v>704</v>
      </c>
      <c r="C1839" s="126" t="s">
        <v>2436</v>
      </c>
      <c r="D1839">
        <v>1238</v>
      </c>
      <c r="E1839" s="126" t="s">
        <v>2070</v>
      </c>
      <c r="F1839" s="125" t="s">
        <v>1607</v>
      </c>
      <c r="G1839" s="125" t="s">
        <v>134</v>
      </c>
      <c r="H1839">
        <v>32</v>
      </c>
      <c r="I1839" s="125" t="s">
        <v>1546</v>
      </c>
      <c r="J1839" s="308" t="s">
        <v>214</v>
      </c>
      <c r="K1839" s="127" t="s">
        <v>3418</v>
      </c>
      <c r="L1839" s="153" t="s">
        <v>1579</v>
      </c>
      <c r="M1839">
        <v>510</v>
      </c>
      <c r="N1839" s="123">
        <v>17</v>
      </c>
      <c r="O1839">
        <v>1215</v>
      </c>
      <c r="P1839" s="132" t="s">
        <v>77</v>
      </c>
      <c r="Q1839" s="132">
        <v>50.86</v>
      </c>
      <c r="R1839" s="132">
        <v>8.14</v>
      </c>
      <c r="S1839" s="132"/>
      <c r="T1839" s="156"/>
      <c r="U1839" s="132"/>
      <c r="V1839" s="132">
        <f t="shared" si="41"/>
        <v>59</v>
      </c>
      <c r="W1839">
        <v>167</v>
      </c>
      <c r="X1839" s="153" t="s">
        <v>1644</v>
      </c>
      <c r="Y1839" s="124" t="s">
        <v>55</v>
      </c>
      <c r="Z1839" s="308">
        <v>212</v>
      </c>
      <c r="AB1839" t="str">
        <f>IF(Table1[[#This Row],[TIPO2]]="costo", VLOOKUP(Table1[[#This Row],[PARTIDA PRESUPUESTAL]],'Cost Report'!G:G,1,0),"Balance")</f>
        <v>2042-003</v>
      </c>
      <c r="AC1839" s="118"/>
      <c r="AD1839" s="159">
        <f>+Table1[[#This Row],[SUBTOTAL]]+Table1[[#This Row],[IVA]]-Table1[[#This Row],[RET IVA]]-Table1[[#This Row],[RET ISR]]-Table1[[#This Row],[TOTAL]]</f>
        <v>0</v>
      </c>
      <c r="AE1839" s="152"/>
      <c r="AF1839" s="153"/>
      <c r="AG1839" s="126" t="s">
        <v>3420</v>
      </c>
      <c r="AK1839" s="306" t="str">
        <f>IF(ISNUMBER(Table1[[#This Row],[FECHA DE RECIBIDO]]), Table1[[#This Row],[FECHA DE RECIBIDO]]-DATE(2023,8,30), "")</f>
        <v/>
      </c>
    </row>
    <row r="1840" spans="1:37" ht="16.95" customHeight="1">
      <c r="A1840" s="150" t="s">
        <v>3623</v>
      </c>
      <c r="B1840" s="151">
        <v>704</v>
      </c>
      <c r="C1840" s="126" t="s">
        <v>2436</v>
      </c>
      <c r="D1840">
        <v>1239</v>
      </c>
      <c r="E1840" s="126" t="s">
        <v>1603</v>
      </c>
      <c r="F1840" s="122" t="s">
        <v>1607</v>
      </c>
      <c r="G1840" s="122" t="s">
        <v>134</v>
      </c>
      <c r="H1840">
        <v>388</v>
      </c>
      <c r="I1840" s="122" t="s">
        <v>1546</v>
      </c>
      <c r="J1840" s="307" t="s">
        <v>214</v>
      </c>
      <c r="K1840" s="127" t="s">
        <v>3418</v>
      </c>
      <c r="L1840" s="151" t="s">
        <v>1579</v>
      </c>
      <c r="M1840">
        <v>511</v>
      </c>
      <c r="N1840" s="123">
        <v>17</v>
      </c>
      <c r="O1840">
        <v>1216</v>
      </c>
      <c r="P1840" s="132" t="s">
        <v>77</v>
      </c>
      <c r="Q1840" s="131">
        <v>434.48</v>
      </c>
      <c r="R1840" s="131">
        <v>69.52</v>
      </c>
      <c r="S1840" s="131"/>
      <c r="T1840" s="155"/>
      <c r="U1840" s="131"/>
      <c r="V1840" s="131">
        <f t="shared" si="41"/>
        <v>504</v>
      </c>
      <c r="W1840">
        <v>167</v>
      </c>
      <c r="X1840" s="151" t="s">
        <v>1644</v>
      </c>
      <c r="Y1840" s="135" t="s">
        <v>55</v>
      </c>
      <c r="Z1840" s="307">
        <v>212</v>
      </c>
      <c r="AB1840" t="str">
        <f>IF(Table1[[#This Row],[TIPO2]]="costo", VLOOKUP(Table1[[#This Row],[PARTIDA PRESUPUESTAL]],'Cost Report'!G:G,1,0),"Balance")</f>
        <v>2042-003</v>
      </c>
      <c r="AC1840" s="118"/>
      <c r="AD1840" s="159">
        <f>+Table1[[#This Row],[SUBTOTAL]]+Table1[[#This Row],[IVA]]-Table1[[#This Row],[RET IVA]]-Table1[[#This Row],[RET ISR]]-Table1[[#This Row],[TOTAL]]</f>
        <v>0</v>
      </c>
      <c r="AE1840" s="150"/>
      <c r="AF1840" s="151"/>
      <c r="AG1840" s="126" t="s">
        <v>3420</v>
      </c>
      <c r="AK1840" s="306" t="str">
        <f>IF(ISNUMBER(Table1[[#This Row],[FECHA DE RECIBIDO]]), Table1[[#This Row],[FECHA DE RECIBIDO]]-DATE(2023,8,30), "")</f>
        <v/>
      </c>
    </row>
    <row r="1841" spans="1:37" ht="16.95" customHeight="1">
      <c r="A1841" s="152" t="s">
        <v>3623</v>
      </c>
      <c r="B1841" s="153">
        <v>704</v>
      </c>
      <c r="C1841" s="126" t="s">
        <v>2436</v>
      </c>
      <c r="D1841">
        <v>1240</v>
      </c>
      <c r="E1841" s="126" t="s">
        <v>1603</v>
      </c>
      <c r="F1841" s="125" t="s">
        <v>1607</v>
      </c>
      <c r="G1841" s="125" t="s">
        <v>134</v>
      </c>
      <c r="H1841">
        <v>24</v>
      </c>
      <c r="I1841" s="125" t="s">
        <v>1546</v>
      </c>
      <c r="J1841" s="308" t="s">
        <v>214</v>
      </c>
      <c r="K1841" s="127" t="s">
        <v>3418</v>
      </c>
      <c r="L1841" s="153" t="s">
        <v>1579</v>
      </c>
      <c r="M1841">
        <v>33</v>
      </c>
      <c r="N1841" s="123">
        <v>17</v>
      </c>
      <c r="O1841">
        <v>1217</v>
      </c>
      <c r="P1841" s="132" t="s">
        <v>77</v>
      </c>
      <c r="Q1841" s="132">
        <v>50</v>
      </c>
      <c r="R1841" s="132">
        <v>8</v>
      </c>
      <c r="S1841" s="132"/>
      <c r="T1841" s="156"/>
      <c r="U1841" s="132"/>
      <c r="V1841" s="132">
        <f t="shared" si="41"/>
        <v>58</v>
      </c>
      <c r="W1841">
        <v>167</v>
      </c>
      <c r="X1841" s="153" t="s">
        <v>1644</v>
      </c>
      <c r="Y1841" s="124" t="s">
        <v>55</v>
      </c>
      <c r="Z1841" s="308">
        <v>213</v>
      </c>
      <c r="AB1841" t="str">
        <f>IF(Table1[[#This Row],[TIPO2]]="costo", VLOOKUP(Table1[[#This Row],[PARTIDA PRESUPUESTAL]],'Cost Report'!G:G,1,0),"Balance")</f>
        <v>2042-003</v>
      </c>
      <c r="AC1841" s="118"/>
      <c r="AD1841" s="159">
        <f>+Table1[[#This Row],[SUBTOTAL]]+Table1[[#This Row],[IVA]]-Table1[[#This Row],[RET IVA]]-Table1[[#This Row],[RET ISR]]-Table1[[#This Row],[TOTAL]]</f>
        <v>0</v>
      </c>
      <c r="AE1841" s="152"/>
      <c r="AF1841" s="153"/>
      <c r="AG1841" s="126" t="s">
        <v>3420</v>
      </c>
      <c r="AK1841" s="306" t="str">
        <f>IF(ISNUMBER(Table1[[#This Row],[FECHA DE RECIBIDO]]), Table1[[#This Row],[FECHA DE RECIBIDO]]-DATE(2023,8,30), "")</f>
        <v/>
      </c>
    </row>
    <row r="1842" spans="1:37" ht="16.95" customHeight="1">
      <c r="A1842" s="150" t="s">
        <v>3623</v>
      </c>
      <c r="B1842" s="151">
        <v>704</v>
      </c>
      <c r="C1842" s="126" t="s">
        <v>3002</v>
      </c>
      <c r="D1842">
        <v>1241</v>
      </c>
      <c r="E1842" s="126" t="s">
        <v>1996</v>
      </c>
      <c r="F1842" s="122" t="s">
        <v>1602</v>
      </c>
      <c r="G1842" s="122" t="s">
        <v>134</v>
      </c>
      <c r="H1842">
        <v>134</v>
      </c>
      <c r="I1842" s="122" t="s">
        <v>1546</v>
      </c>
      <c r="J1842" s="307" t="s">
        <v>214</v>
      </c>
      <c r="K1842" s="127" t="s">
        <v>3418</v>
      </c>
      <c r="L1842" s="151" t="s">
        <v>1579</v>
      </c>
      <c r="M1842">
        <v>105</v>
      </c>
      <c r="N1842" s="123">
        <v>17</v>
      </c>
      <c r="O1842">
        <v>1218</v>
      </c>
      <c r="P1842" s="132" t="s">
        <v>77</v>
      </c>
      <c r="Q1842" s="131">
        <v>3979.31</v>
      </c>
      <c r="R1842" s="131">
        <v>636.69000000000005</v>
      </c>
      <c r="S1842" s="131"/>
      <c r="T1842" s="155"/>
      <c r="U1842" s="131"/>
      <c r="V1842" s="131">
        <f t="shared" si="41"/>
        <v>4616</v>
      </c>
      <c r="W1842">
        <v>167</v>
      </c>
      <c r="X1842" s="151" t="s">
        <v>1644</v>
      </c>
      <c r="Y1842" s="135" t="s">
        <v>55</v>
      </c>
      <c r="Z1842" s="307">
        <v>214</v>
      </c>
      <c r="AB1842" t="str">
        <f>IF(Table1[[#This Row],[TIPO2]]="costo", VLOOKUP(Table1[[#This Row],[PARTIDA PRESUPUESTAL]],'Cost Report'!G:G,1,0),"Balance")</f>
        <v>4180-003</v>
      </c>
      <c r="AC1842" s="118"/>
      <c r="AD1842" s="159">
        <f>+Table1[[#This Row],[SUBTOTAL]]+Table1[[#This Row],[IVA]]-Table1[[#This Row],[RET IVA]]-Table1[[#This Row],[RET ISR]]-Table1[[#This Row],[TOTAL]]</f>
        <v>0</v>
      </c>
      <c r="AE1842" s="150"/>
      <c r="AF1842" s="151"/>
      <c r="AG1842" s="126" t="s">
        <v>3420</v>
      </c>
      <c r="AK1842" s="306" t="str">
        <f>IF(ISNUMBER(Table1[[#This Row],[FECHA DE RECIBIDO]]), Table1[[#This Row],[FECHA DE RECIBIDO]]-DATE(2023,8,30), "")</f>
        <v/>
      </c>
    </row>
    <row r="1843" spans="1:37" ht="16.95" customHeight="1">
      <c r="A1843" s="152" t="s">
        <v>3623</v>
      </c>
      <c r="B1843" s="153">
        <v>704</v>
      </c>
      <c r="C1843" s="126" t="s">
        <v>3002</v>
      </c>
      <c r="D1843">
        <v>1242</v>
      </c>
      <c r="E1843" s="126" t="s">
        <v>1999</v>
      </c>
      <c r="F1843" s="125" t="s">
        <v>1607</v>
      </c>
      <c r="G1843" s="125" t="s">
        <v>134</v>
      </c>
      <c r="H1843">
        <v>41</v>
      </c>
      <c r="I1843" s="125" t="s">
        <v>1546</v>
      </c>
      <c r="J1843" s="308" t="s">
        <v>214</v>
      </c>
      <c r="K1843" s="127" t="s">
        <v>3418</v>
      </c>
      <c r="L1843" s="153" t="s">
        <v>1579</v>
      </c>
      <c r="M1843">
        <v>323</v>
      </c>
      <c r="N1843" s="123">
        <v>17</v>
      </c>
      <c r="O1843">
        <v>1219</v>
      </c>
      <c r="P1843" s="132" t="s">
        <v>77</v>
      </c>
      <c r="Q1843" s="132">
        <v>180.04</v>
      </c>
      <c r="R1843" s="132"/>
      <c r="S1843" s="132"/>
      <c r="T1843" s="156"/>
      <c r="U1843" s="132"/>
      <c r="V1843" s="132">
        <f t="shared" si="41"/>
        <v>180.04</v>
      </c>
      <c r="W1843">
        <v>167</v>
      </c>
      <c r="X1843" s="153" t="s">
        <v>1644</v>
      </c>
      <c r="Y1843" s="124" t="s">
        <v>55</v>
      </c>
      <c r="Z1843" s="308">
        <v>214</v>
      </c>
      <c r="AB1843" t="str">
        <f>IF(Table1[[#This Row],[TIPO2]]="costo", VLOOKUP(Table1[[#This Row],[PARTIDA PRESUPUESTAL]],'Cost Report'!G:G,1,0),"Balance")</f>
        <v>4180-003</v>
      </c>
      <c r="AC1843" s="118"/>
      <c r="AD1843" s="159">
        <f>+Table1[[#This Row],[SUBTOTAL]]+Table1[[#This Row],[IVA]]-Table1[[#This Row],[RET IVA]]-Table1[[#This Row],[RET ISR]]-Table1[[#This Row],[TOTAL]]</f>
        <v>0</v>
      </c>
      <c r="AE1843" s="152"/>
      <c r="AF1843" s="153"/>
      <c r="AG1843" s="126" t="s">
        <v>3420</v>
      </c>
      <c r="AK1843" s="306" t="str">
        <f>IF(ISNUMBER(Table1[[#This Row],[FECHA DE RECIBIDO]]), Table1[[#This Row],[FECHA DE RECIBIDO]]-DATE(2023,8,30), "")</f>
        <v/>
      </c>
    </row>
    <row r="1844" spans="1:37" ht="16.95" customHeight="1">
      <c r="A1844" s="150" t="s">
        <v>3623</v>
      </c>
      <c r="B1844" s="151">
        <v>704</v>
      </c>
      <c r="C1844" s="126" t="s">
        <v>2436</v>
      </c>
      <c r="D1844">
        <v>661</v>
      </c>
      <c r="E1844" s="126"/>
      <c r="F1844" s="122"/>
      <c r="G1844" s="122"/>
      <c r="H1844"/>
      <c r="I1844" s="122"/>
      <c r="J1844" s="307">
        <v>204</v>
      </c>
      <c r="K1844" s="127" t="s">
        <v>3418</v>
      </c>
      <c r="L1844" s="151" t="s">
        <v>1579</v>
      </c>
      <c r="M1844">
        <v>176</v>
      </c>
      <c r="N1844" s="123">
        <v>17</v>
      </c>
      <c r="O1844">
        <v>1220</v>
      </c>
      <c r="P1844" s="132" t="s">
        <v>77</v>
      </c>
      <c r="Q1844" s="131">
        <v>287</v>
      </c>
      <c r="R1844" s="131"/>
      <c r="S1844" s="131"/>
      <c r="T1844" s="155"/>
      <c r="U1844" s="131"/>
      <c r="V1844" s="131">
        <f t="shared" si="41"/>
        <v>287</v>
      </c>
      <c r="W1844">
        <v>167</v>
      </c>
      <c r="X1844" s="151" t="s">
        <v>1644</v>
      </c>
      <c r="Y1844" s="135" t="s">
        <v>55</v>
      </c>
      <c r="Z1844" s="307">
        <v>204</v>
      </c>
      <c r="AB1844" t="str">
        <f>IF(Table1[[#This Row],[TIPO2]]="costo", VLOOKUP(Table1[[#This Row],[PARTIDA PRESUPUESTAL]],'Cost Report'!G:G,1,0),"Balance")</f>
        <v>2042-003</v>
      </c>
      <c r="AC1844" s="118"/>
      <c r="AD1844" s="159">
        <f>+Table1[[#This Row],[SUBTOTAL]]+Table1[[#This Row],[IVA]]-Table1[[#This Row],[RET IVA]]-Table1[[#This Row],[RET ISR]]-Table1[[#This Row],[TOTAL]]</f>
        <v>0</v>
      </c>
      <c r="AE1844" s="150"/>
      <c r="AF1844" s="151"/>
      <c r="AG1844" s="126" t="s">
        <v>3420</v>
      </c>
      <c r="AK1844" s="306">
        <f>IF(ISNUMBER(Table1[[#This Row],[FECHA DE RECIBIDO]]), Table1[[#This Row],[FECHA DE RECIBIDO]]-DATE(2023,8,30), "")</f>
        <v>-44964</v>
      </c>
    </row>
    <row r="1845" spans="1:37" ht="16.95" customHeight="1">
      <c r="A1845" s="152" t="s">
        <v>3623</v>
      </c>
      <c r="B1845" s="153">
        <v>704</v>
      </c>
      <c r="C1845" s="126" t="s">
        <v>3108</v>
      </c>
      <c r="D1845">
        <v>661</v>
      </c>
      <c r="E1845" s="126"/>
      <c r="F1845" s="125"/>
      <c r="G1845" s="125"/>
      <c r="H1845"/>
      <c r="I1845" s="125"/>
      <c r="J1845" s="308">
        <v>204</v>
      </c>
      <c r="K1845" s="127" t="s">
        <v>3418</v>
      </c>
      <c r="L1845" s="153" t="s">
        <v>1579</v>
      </c>
      <c r="M1845">
        <v>512</v>
      </c>
      <c r="N1845" s="123">
        <v>17</v>
      </c>
      <c r="O1845">
        <v>162</v>
      </c>
      <c r="P1845" s="132" t="s">
        <v>77</v>
      </c>
      <c r="Q1845" s="132">
        <v>34.22</v>
      </c>
      <c r="R1845" s="132"/>
      <c r="S1845" s="132"/>
      <c r="T1845" s="156"/>
      <c r="U1845" s="132"/>
      <c r="V1845" s="132">
        <f t="shared" si="41"/>
        <v>34.22</v>
      </c>
      <c r="W1845">
        <v>167</v>
      </c>
      <c r="X1845" s="153" t="s">
        <v>1644</v>
      </c>
      <c r="Y1845" s="124" t="s">
        <v>55</v>
      </c>
      <c r="Z1845" s="308">
        <v>204</v>
      </c>
      <c r="AB1845" t="str">
        <f>IF(Table1[[#This Row],[TIPO2]]="costo", VLOOKUP(Table1[[#This Row],[PARTIDA PRESUPUESTAL]],'Cost Report'!G:G,1,0),"Balance")</f>
        <v>7080-003</v>
      </c>
      <c r="AC1845" s="118"/>
      <c r="AD1845" s="159">
        <f>+Table1[[#This Row],[SUBTOTAL]]+Table1[[#This Row],[IVA]]-Table1[[#This Row],[RET IVA]]-Table1[[#This Row],[RET ISR]]-Table1[[#This Row],[TOTAL]]</f>
        <v>0</v>
      </c>
      <c r="AE1845" s="152"/>
      <c r="AF1845" s="153"/>
      <c r="AG1845" s="126" t="s">
        <v>3420</v>
      </c>
      <c r="AK1845" s="306">
        <f>IF(ISNUMBER(Table1[[#This Row],[FECHA DE RECIBIDO]]), Table1[[#This Row],[FECHA DE RECIBIDO]]-DATE(2023,8,30), "")</f>
        <v>-44964</v>
      </c>
    </row>
    <row r="1846" spans="1:37" ht="16.95" customHeight="1">
      <c r="A1846" s="150" t="s">
        <v>3623</v>
      </c>
      <c r="B1846" s="151">
        <v>704</v>
      </c>
      <c r="C1846" s="126" t="s">
        <v>3105</v>
      </c>
      <c r="D1846">
        <v>661</v>
      </c>
      <c r="E1846" s="126"/>
      <c r="F1846" s="122"/>
      <c r="G1846" s="122"/>
      <c r="H1846"/>
      <c r="I1846" s="122"/>
      <c r="J1846" s="307">
        <v>209</v>
      </c>
      <c r="K1846" s="127" t="s">
        <v>3418</v>
      </c>
      <c r="L1846" s="151" t="s">
        <v>1579</v>
      </c>
      <c r="M1846">
        <v>513</v>
      </c>
      <c r="N1846" s="123">
        <v>17</v>
      </c>
      <c r="O1846">
        <v>1221</v>
      </c>
      <c r="P1846" s="132" t="s">
        <v>77</v>
      </c>
      <c r="Q1846" s="131">
        <v>2800.01</v>
      </c>
      <c r="R1846" s="131"/>
      <c r="S1846" s="131"/>
      <c r="T1846" s="155"/>
      <c r="U1846" s="131"/>
      <c r="V1846" s="131">
        <f t="shared" si="41"/>
        <v>2800.01</v>
      </c>
      <c r="W1846">
        <v>167</v>
      </c>
      <c r="X1846" s="151" t="s">
        <v>1644</v>
      </c>
      <c r="Y1846" s="135" t="s">
        <v>55</v>
      </c>
      <c r="Z1846" s="307">
        <v>209</v>
      </c>
      <c r="AB1846" t="str">
        <f>IF(Table1[[#This Row],[TIPO2]]="costo", VLOOKUP(Table1[[#This Row],[PARTIDA PRESUPUESTAL]],'Cost Report'!G:G,1,0),"Balance")</f>
        <v>7050-005</v>
      </c>
      <c r="AC1846" s="118"/>
      <c r="AD1846" s="159">
        <f>+Table1[[#This Row],[SUBTOTAL]]+Table1[[#This Row],[IVA]]-Table1[[#This Row],[RET IVA]]-Table1[[#This Row],[RET ISR]]-Table1[[#This Row],[TOTAL]]</f>
        <v>0</v>
      </c>
      <c r="AE1846" s="150"/>
      <c r="AF1846" s="151"/>
      <c r="AG1846" s="126" t="s">
        <v>3420</v>
      </c>
      <c r="AK1846" s="306">
        <f>IF(ISNUMBER(Table1[[#This Row],[FECHA DE RECIBIDO]]), Table1[[#This Row],[FECHA DE RECIBIDO]]-DATE(2023,8,30), "")</f>
        <v>-44959</v>
      </c>
    </row>
    <row r="1847" spans="1:37" ht="16.95" customHeight="1">
      <c r="A1847" s="152" t="s">
        <v>3623</v>
      </c>
      <c r="B1847" s="153">
        <v>704</v>
      </c>
      <c r="C1847" s="126" t="s">
        <v>3108</v>
      </c>
      <c r="D1847">
        <v>661</v>
      </c>
      <c r="E1847" s="126"/>
      <c r="F1847" s="125"/>
      <c r="G1847" s="125"/>
      <c r="H1847"/>
      <c r="I1847" s="125"/>
      <c r="J1847" s="308">
        <v>211</v>
      </c>
      <c r="K1847" s="127" t="s">
        <v>3418</v>
      </c>
      <c r="L1847" s="153" t="s">
        <v>1579</v>
      </c>
      <c r="M1847">
        <v>512</v>
      </c>
      <c r="N1847" s="123">
        <v>17</v>
      </c>
      <c r="O1847">
        <v>162</v>
      </c>
      <c r="P1847" s="132" t="s">
        <v>77</v>
      </c>
      <c r="Q1847" s="132">
        <v>34.200000000000003</v>
      </c>
      <c r="R1847" s="132"/>
      <c r="S1847" s="132"/>
      <c r="T1847" s="156"/>
      <c r="U1847" s="132"/>
      <c r="V1847" s="132">
        <f t="shared" si="41"/>
        <v>34.200000000000003</v>
      </c>
      <c r="W1847">
        <v>167</v>
      </c>
      <c r="X1847" s="153" t="s">
        <v>1644</v>
      </c>
      <c r="Y1847" s="124" t="s">
        <v>55</v>
      </c>
      <c r="Z1847" s="308">
        <v>211</v>
      </c>
      <c r="AB1847" t="str">
        <f>IF(Table1[[#This Row],[TIPO2]]="costo", VLOOKUP(Table1[[#This Row],[PARTIDA PRESUPUESTAL]],'Cost Report'!G:G,1,0),"Balance")</f>
        <v>7080-003</v>
      </c>
      <c r="AC1847" s="118"/>
      <c r="AD1847" s="159">
        <f>+Table1[[#This Row],[SUBTOTAL]]+Table1[[#This Row],[IVA]]-Table1[[#This Row],[RET IVA]]-Table1[[#This Row],[RET ISR]]-Table1[[#This Row],[TOTAL]]</f>
        <v>0</v>
      </c>
      <c r="AE1847" s="152"/>
      <c r="AF1847" s="153"/>
      <c r="AG1847" s="126" t="s">
        <v>3420</v>
      </c>
      <c r="AK1847" s="306">
        <f>IF(ISNUMBER(Table1[[#This Row],[FECHA DE RECIBIDO]]), Table1[[#This Row],[FECHA DE RECIBIDO]]-DATE(2023,8,30), "")</f>
        <v>-44957</v>
      </c>
    </row>
    <row r="1848" spans="1:37" ht="16.95" customHeight="1">
      <c r="A1848" s="150" t="s">
        <v>3623</v>
      </c>
      <c r="B1848" s="151">
        <v>704</v>
      </c>
      <c r="C1848" s="126" t="s">
        <v>3108</v>
      </c>
      <c r="D1848">
        <v>661</v>
      </c>
      <c r="E1848" s="126"/>
      <c r="F1848" s="122"/>
      <c r="G1848" s="122"/>
      <c r="H1848"/>
      <c r="I1848" s="122"/>
      <c r="J1848" s="307">
        <v>211</v>
      </c>
      <c r="K1848" s="127" t="s">
        <v>3418</v>
      </c>
      <c r="L1848" s="151" t="s">
        <v>1579</v>
      </c>
      <c r="M1848">
        <v>512</v>
      </c>
      <c r="N1848" s="123">
        <v>17</v>
      </c>
      <c r="O1848">
        <v>162</v>
      </c>
      <c r="P1848" s="132" t="s">
        <v>77</v>
      </c>
      <c r="Q1848" s="131">
        <v>34.22</v>
      </c>
      <c r="R1848" s="131"/>
      <c r="S1848" s="131"/>
      <c r="T1848" s="155"/>
      <c r="U1848" s="131"/>
      <c r="V1848" s="131">
        <f t="shared" si="41"/>
        <v>34.22</v>
      </c>
      <c r="W1848">
        <v>167</v>
      </c>
      <c r="X1848" s="151" t="s">
        <v>1644</v>
      </c>
      <c r="Y1848" s="135" t="s">
        <v>55</v>
      </c>
      <c r="Z1848" s="307">
        <v>211</v>
      </c>
      <c r="AB1848" t="str">
        <f>IF(Table1[[#This Row],[TIPO2]]="costo", VLOOKUP(Table1[[#This Row],[PARTIDA PRESUPUESTAL]],'Cost Report'!G:G,1,0),"Balance")</f>
        <v>7080-003</v>
      </c>
      <c r="AC1848" s="118"/>
      <c r="AD1848" s="159">
        <f>+Table1[[#This Row],[SUBTOTAL]]+Table1[[#This Row],[IVA]]-Table1[[#This Row],[RET IVA]]-Table1[[#This Row],[RET ISR]]-Table1[[#This Row],[TOTAL]]</f>
        <v>0</v>
      </c>
      <c r="AE1848" s="150"/>
      <c r="AF1848" s="151"/>
      <c r="AG1848" s="126" t="s">
        <v>3420</v>
      </c>
      <c r="AK1848" s="306">
        <f>IF(ISNUMBER(Table1[[#This Row],[FECHA DE RECIBIDO]]), Table1[[#This Row],[FECHA DE RECIBIDO]]-DATE(2023,8,30), "")</f>
        <v>-44957</v>
      </c>
    </row>
    <row r="1849" spans="1:37" ht="16.95" customHeight="1">
      <c r="A1849" s="152" t="s">
        <v>3623</v>
      </c>
      <c r="B1849" s="153">
        <v>704</v>
      </c>
      <c r="C1849" s="126" t="s">
        <v>2436</v>
      </c>
      <c r="D1849">
        <v>661</v>
      </c>
      <c r="E1849" s="126"/>
      <c r="F1849" s="125"/>
      <c r="G1849" s="125"/>
      <c r="H1849"/>
      <c r="I1849" s="125"/>
      <c r="J1849" s="308">
        <v>213</v>
      </c>
      <c r="K1849" s="127" t="s">
        <v>3418</v>
      </c>
      <c r="L1849" s="153" t="s">
        <v>1579</v>
      </c>
      <c r="M1849">
        <v>176</v>
      </c>
      <c r="N1849" s="123">
        <v>17</v>
      </c>
      <c r="O1849">
        <v>1220</v>
      </c>
      <c r="P1849" s="132" t="s">
        <v>77</v>
      </c>
      <c r="Q1849" s="132">
        <v>554</v>
      </c>
      <c r="R1849" s="132"/>
      <c r="S1849" s="132"/>
      <c r="T1849" s="156"/>
      <c r="U1849" s="132"/>
      <c r="V1849" s="132">
        <f t="shared" si="41"/>
        <v>554</v>
      </c>
      <c r="W1849">
        <v>167</v>
      </c>
      <c r="X1849" s="153" t="s">
        <v>1644</v>
      </c>
      <c r="Y1849" s="124" t="s">
        <v>55</v>
      </c>
      <c r="Z1849" s="308">
        <v>213</v>
      </c>
      <c r="AB1849" t="str">
        <f>IF(Table1[[#This Row],[TIPO2]]="costo", VLOOKUP(Table1[[#This Row],[PARTIDA PRESUPUESTAL]],'Cost Report'!G:G,1,0),"Balance")</f>
        <v>2042-003</v>
      </c>
      <c r="AC1849" s="118"/>
      <c r="AD1849" s="159">
        <f>+Table1[[#This Row],[SUBTOTAL]]+Table1[[#This Row],[IVA]]-Table1[[#This Row],[RET IVA]]-Table1[[#This Row],[RET ISR]]-Table1[[#This Row],[TOTAL]]</f>
        <v>0</v>
      </c>
      <c r="AE1849" s="152"/>
      <c r="AF1849" s="153"/>
      <c r="AG1849" s="126" t="s">
        <v>3420</v>
      </c>
      <c r="AK1849" s="306">
        <f>IF(ISNUMBER(Table1[[#This Row],[FECHA DE RECIBIDO]]), Table1[[#This Row],[FECHA DE RECIBIDO]]-DATE(2023,8,30), "")</f>
        <v>-44955</v>
      </c>
    </row>
    <row r="1850" spans="1:37" ht="16.95" customHeight="1">
      <c r="A1850" s="150" t="s">
        <v>3624</v>
      </c>
      <c r="B1850" s="151">
        <v>705</v>
      </c>
      <c r="C1850" s="126" t="s">
        <v>2749</v>
      </c>
      <c r="D1850">
        <v>1243</v>
      </c>
      <c r="E1850" s="126"/>
      <c r="F1850" s="122"/>
      <c r="G1850" s="122" t="s">
        <v>134</v>
      </c>
      <c r="H1850"/>
      <c r="I1850" s="122" t="s">
        <v>1546</v>
      </c>
      <c r="J1850" s="307" t="s">
        <v>214</v>
      </c>
      <c r="K1850" s="127" t="s">
        <v>3418</v>
      </c>
      <c r="L1850" s="151" t="s">
        <v>1579</v>
      </c>
      <c r="M1850">
        <v>514</v>
      </c>
      <c r="N1850" s="123">
        <v>17</v>
      </c>
      <c r="O1850">
        <v>1222</v>
      </c>
      <c r="P1850" s="132" t="s">
        <v>77</v>
      </c>
      <c r="Q1850" s="131">
        <v>55</v>
      </c>
      <c r="R1850" s="131"/>
      <c r="S1850" s="131"/>
      <c r="T1850" s="155"/>
      <c r="U1850" s="131"/>
      <c r="V1850" s="131">
        <f t="shared" si="41"/>
        <v>55</v>
      </c>
      <c r="W1850">
        <v>93</v>
      </c>
      <c r="X1850" s="151" t="s">
        <v>1644</v>
      </c>
      <c r="Y1850" s="135" t="s">
        <v>55</v>
      </c>
      <c r="Z1850" s="307">
        <v>203</v>
      </c>
      <c r="AB1850" t="str">
        <f>IF(Table1[[#This Row],[TIPO2]]="costo", VLOOKUP(Table1[[#This Row],[PARTIDA PRESUPUESTAL]],'Cost Report'!G:G,1,0),"Balance")</f>
        <v>3401-011</v>
      </c>
      <c r="AC1850" s="118"/>
      <c r="AD1850" s="159">
        <f>+Table1[[#This Row],[SUBTOTAL]]+Table1[[#This Row],[IVA]]-Table1[[#This Row],[RET IVA]]-Table1[[#This Row],[RET ISR]]-Table1[[#This Row],[TOTAL]]</f>
        <v>0</v>
      </c>
      <c r="AE1850" s="150"/>
      <c r="AF1850" s="151"/>
      <c r="AG1850" s="126" t="s">
        <v>3420</v>
      </c>
      <c r="AK1850" s="306" t="str">
        <f>IF(ISNUMBER(Table1[[#This Row],[FECHA DE RECIBIDO]]), Table1[[#This Row],[FECHA DE RECIBIDO]]-DATE(2023,8,30), "")</f>
        <v/>
      </c>
    </row>
    <row r="1851" spans="1:37" ht="16.95" customHeight="1">
      <c r="A1851" s="152" t="s">
        <v>3624</v>
      </c>
      <c r="B1851" s="153">
        <v>705</v>
      </c>
      <c r="C1851" s="126" t="s">
        <v>1129</v>
      </c>
      <c r="D1851">
        <v>1244</v>
      </c>
      <c r="E1851" s="126"/>
      <c r="F1851" s="125"/>
      <c r="G1851" s="125" t="s">
        <v>134</v>
      </c>
      <c r="H1851"/>
      <c r="I1851" s="125" t="s">
        <v>1546</v>
      </c>
      <c r="J1851" s="308" t="s">
        <v>214</v>
      </c>
      <c r="K1851" s="127" t="s">
        <v>3418</v>
      </c>
      <c r="L1851" s="153" t="s">
        <v>1579</v>
      </c>
      <c r="M1851">
        <v>58</v>
      </c>
      <c r="N1851" s="123">
        <v>17</v>
      </c>
      <c r="O1851">
        <v>1223</v>
      </c>
      <c r="P1851" s="132" t="s">
        <v>77</v>
      </c>
      <c r="Q1851" s="132">
        <v>3458.69</v>
      </c>
      <c r="R1851" s="132">
        <v>406.6</v>
      </c>
      <c r="S1851" s="132"/>
      <c r="T1851" s="156"/>
      <c r="U1851" s="132"/>
      <c r="V1851" s="132">
        <f t="shared" si="41"/>
        <v>3865.29</v>
      </c>
      <c r="W1851">
        <v>93</v>
      </c>
      <c r="X1851" s="153" t="s">
        <v>1644</v>
      </c>
      <c r="Y1851" s="124" t="s">
        <v>55</v>
      </c>
      <c r="Z1851" s="308">
        <v>205</v>
      </c>
      <c r="AB1851" t="str">
        <f>IF(Table1[[#This Row],[TIPO2]]="costo", VLOOKUP(Table1[[#This Row],[PARTIDA PRESUPUESTAL]],'Cost Report'!G:G,1,0),"Balance")</f>
        <v>3901-018</v>
      </c>
      <c r="AC1851" s="118"/>
      <c r="AD1851" s="159">
        <f>+Table1[[#This Row],[SUBTOTAL]]+Table1[[#This Row],[IVA]]-Table1[[#This Row],[RET IVA]]-Table1[[#This Row],[RET ISR]]-Table1[[#This Row],[TOTAL]]</f>
        <v>0</v>
      </c>
      <c r="AE1851" s="152"/>
      <c r="AF1851" s="153"/>
      <c r="AG1851" s="126" t="s">
        <v>3420</v>
      </c>
      <c r="AK1851" s="306" t="str">
        <f>IF(ISNUMBER(Table1[[#This Row],[FECHA DE RECIBIDO]]), Table1[[#This Row],[FECHA DE RECIBIDO]]-DATE(2023,8,30), "")</f>
        <v/>
      </c>
    </row>
    <row r="1852" spans="1:37" ht="16.95" customHeight="1">
      <c r="A1852" s="150" t="s">
        <v>3624</v>
      </c>
      <c r="B1852" s="151">
        <v>705</v>
      </c>
      <c r="C1852" s="126" t="s">
        <v>1417</v>
      </c>
      <c r="D1852">
        <v>1245</v>
      </c>
      <c r="E1852" s="126"/>
      <c r="F1852" s="122"/>
      <c r="G1852" s="122" t="s">
        <v>134</v>
      </c>
      <c r="H1852"/>
      <c r="I1852" s="122" t="s">
        <v>1546</v>
      </c>
      <c r="J1852" s="307" t="s">
        <v>214</v>
      </c>
      <c r="K1852" s="127" t="s">
        <v>3418</v>
      </c>
      <c r="L1852" s="151" t="s">
        <v>1579</v>
      </c>
      <c r="M1852">
        <v>58</v>
      </c>
      <c r="N1852" s="123">
        <v>17</v>
      </c>
      <c r="O1852">
        <v>1224</v>
      </c>
      <c r="P1852" s="132" t="s">
        <v>77</v>
      </c>
      <c r="Q1852" s="131">
        <v>300.81</v>
      </c>
      <c r="R1852" s="131">
        <v>0</v>
      </c>
      <c r="S1852" s="131"/>
      <c r="T1852" s="155"/>
      <c r="U1852" s="131"/>
      <c r="V1852" s="131">
        <f t="shared" si="41"/>
        <v>300.81</v>
      </c>
      <c r="W1852">
        <v>93</v>
      </c>
      <c r="X1852" s="151" t="s">
        <v>1644</v>
      </c>
      <c r="Y1852" s="135" t="s">
        <v>55</v>
      </c>
      <c r="Z1852" s="307">
        <v>205</v>
      </c>
      <c r="AB1852" t="str">
        <f>IF(Table1[[#This Row],[TIPO2]]="costo", VLOOKUP(Table1[[#This Row],[PARTIDA PRESUPUESTAL]],'Cost Report'!G:G,1,0),"Balance")</f>
        <v>3999-001</v>
      </c>
      <c r="AC1852" s="118"/>
      <c r="AD1852" s="159">
        <f>+Table1[[#This Row],[SUBTOTAL]]+Table1[[#This Row],[IVA]]-Table1[[#This Row],[RET IVA]]-Table1[[#This Row],[RET ISR]]-Table1[[#This Row],[TOTAL]]</f>
        <v>0</v>
      </c>
      <c r="AE1852" s="150"/>
      <c r="AF1852" s="151"/>
      <c r="AG1852" s="126" t="s">
        <v>3420</v>
      </c>
      <c r="AK1852" s="306" t="str">
        <f>IF(ISNUMBER(Table1[[#This Row],[FECHA DE RECIBIDO]]), Table1[[#This Row],[FECHA DE RECIBIDO]]-DATE(2023,8,30), "")</f>
        <v/>
      </c>
    </row>
    <row r="1853" spans="1:37" ht="16.95" customHeight="1">
      <c r="A1853" s="152" t="s">
        <v>3624</v>
      </c>
      <c r="B1853" s="153">
        <v>705</v>
      </c>
      <c r="C1853" s="126" t="s">
        <v>404</v>
      </c>
      <c r="D1853">
        <v>1246</v>
      </c>
      <c r="E1853" s="126"/>
      <c r="F1853" s="125"/>
      <c r="G1853" s="125" t="s">
        <v>134</v>
      </c>
      <c r="H1853"/>
      <c r="I1853" s="125" t="s">
        <v>1546</v>
      </c>
      <c r="J1853" s="308" t="s">
        <v>214</v>
      </c>
      <c r="K1853" s="127" t="s">
        <v>3418</v>
      </c>
      <c r="L1853" s="153" t="s">
        <v>1579</v>
      </c>
      <c r="M1853">
        <v>58</v>
      </c>
      <c r="N1853" s="123">
        <v>17</v>
      </c>
      <c r="O1853">
        <v>1225</v>
      </c>
      <c r="P1853" s="132" t="s">
        <v>77</v>
      </c>
      <c r="Q1853" s="132">
        <v>3696.57</v>
      </c>
      <c r="R1853" s="132">
        <v>412.2</v>
      </c>
      <c r="S1853" s="132"/>
      <c r="T1853" s="156"/>
      <c r="U1853" s="132"/>
      <c r="V1853" s="132">
        <f t="shared" si="41"/>
        <v>4108.7700000000004</v>
      </c>
      <c r="W1853">
        <v>93</v>
      </c>
      <c r="X1853" s="153" t="s">
        <v>1644</v>
      </c>
      <c r="Y1853" s="124" t="s">
        <v>55</v>
      </c>
      <c r="Z1853" s="308">
        <v>205</v>
      </c>
      <c r="AB1853" t="str">
        <f>IF(Table1[[#This Row],[TIPO2]]="costo", VLOOKUP(Table1[[#This Row],[PARTIDA PRESUPUESTAL]],'Cost Report'!G:G,1,0),"Balance")</f>
        <v>1630-005</v>
      </c>
      <c r="AC1853" s="118"/>
      <c r="AD1853" s="159">
        <f>+Table1[[#This Row],[SUBTOTAL]]+Table1[[#This Row],[IVA]]-Table1[[#This Row],[RET IVA]]-Table1[[#This Row],[RET ISR]]-Table1[[#This Row],[TOTAL]]</f>
        <v>0</v>
      </c>
      <c r="AE1853" s="152"/>
      <c r="AF1853" s="153"/>
      <c r="AG1853" s="126" t="s">
        <v>3420</v>
      </c>
      <c r="AK1853" s="306" t="str">
        <f>IF(ISNUMBER(Table1[[#This Row],[FECHA DE RECIBIDO]]), Table1[[#This Row],[FECHA DE RECIBIDO]]-DATE(2023,8,30), "")</f>
        <v/>
      </c>
    </row>
    <row r="1854" spans="1:37" ht="16.95" customHeight="1">
      <c r="A1854" s="150" t="s">
        <v>3624</v>
      </c>
      <c r="B1854" s="151">
        <v>705</v>
      </c>
      <c r="C1854" s="126" t="s">
        <v>2436</v>
      </c>
      <c r="D1854">
        <v>1016</v>
      </c>
      <c r="E1854" s="126" t="s">
        <v>3394</v>
      </c>
      <c r="F1854" s="122" t="s">
        <v>1382</v>
      </c>
      <c r="G1854" s="122" t="s">
        <v>134</v>
      </c>
      <c r="H1854">
        <v>31</v>
      </c>
      <c r="I1854" s="122" t="s">
        <v>1546</v>
      </c>
      <c r="J1854" s="307" t="s">
        <v>214</v>
      </c>
      <c r="K1854" s="127" t="s">
        <v>3418</v>
      </c>
      <c r="L1854" s="151" t="s">
        <v>1579</v>
      </c>
      <c r="M1854">
        <v>69</v>
      </c>
      <c r="N1854" s="123">
        <v>17</v>
      </c>
      <c r="O1854">
        <v>1226</v>
      </c>
      <c r="P1854" s="132" t="s">
        <v>77</v>
      </c>
      <c r="Q1854" s="131">
        <v>131.18</v>
      </c>
      <c r="R1854" s="131">
        <v>12.82</v>
      </c>
      <c r="S1854" s="131"/>
      <c r="T1854" s="155"/>
      <c r="U1854" s="131"/>
      <c r="V1854" s="131">
        <f t="shared" si="41"/>
        <v>144</v>
      </c>
      <c r="W1854">
        <v>93</v>
      </c>
      <c r="X1854" s="151" t="s">
        <v>1644</v>
      </c>
      <c r="Y1854" s="135" t="s">
        <v>55</v>
      </c>
      <c r="Z1854" s="307">
        <v>209</v>
      </c>
      <c r="AB1854" t="str">
        <f>IF(Table1[[#This Row],[TIPO2]]="costo", VLOOKUP(Table1[[#This Row],[PARTIDA PRESUPUESTAL]],'Cost Report'!G:G,1,0),"Balance")</f>
        <v>2042-003</v>
      </c>
      <c r="AC1854" s="118"/>
      <c r="AD1854" s="159">
        <f>+Table1[[#This Row],[SUBTOTAL]]+Table1[[#This Row],[IVA]]-Table1[[#This Row],[RET IVA]]-Table1[[#This Row],[RET ISR]]-Table1[[#This Row],[TOTAL]]</f>
        <v>0</v>
      </c>
      <c r="AE1854" s="150"/>
      <c r="AF1854" s="151"/>
      <c r="AG1854" s="126" t="s">
        <v>3420</v>
      </c>
      <c r="AK1854" s="306" t="str">
        <f>IF(ISNUMBER(Table1[[#This Row],[FECHA DE RECIBIDO]]), Table1[[#This Row],[FECHA DE RECIBIDO]]-DATE(2023,8,30), "")</f>
        <v/>
      </c>
    </row>
    <row r="1855" spans="1:37" ht="16.95" customHeight="1">
      <c r="A1855" s="152" t="s">
        <v>3624</v>
      </c>
      <c r="B1855" s="153">
        <v>705</v>
      </c>
      <c r="C1855" s="126" t="s">
        <v>395</v>
      </c>
      <c r="D1855">
        <v>1247</v>
      </c>
      <c r="E1855" s="126" t="s">
        <v>2067</v>
      </c>
      <c r="F1855" s="125" t="s">
        <v>1607</v>
      </c>
      <c r="G1855" s="125" t="s">
        <v>134</v>
      </c>
      <c r="H1855">
        <v>136</v>
      </c>
      <c r="I1855" s="125" t="s">
        <v>1546</v>
      </c>
      <c r="J1855" s="308" t="s">
        <v>214</v>
      </c>
      <c r="K1855" s="127" t="s">
        <v>3418</v>
      </c>
      <c r="L1855" s="153" t="s">
        <v>1579</v>
      </c>
      <c r="M1855">
        <v>178</v>
      </c>
      <c r="N1855" s="123">
        <v>17</v>
      </c>
      <c r="O1855">
        <v>1227</v>
      </c>
      <c r="P1855" s="132" t="s">
        <v>77</v>
      </c>
      <c r="Q1855" s="132">
        <v>2952.48</v>
      </c>
      <c r="R1855" s="132">
        <v>389.52</v>
      </c>
      <c r="S1855" s="132"/>
      <c r="T1855" s="156"/>
      <c r="U1855" s="132"/>
      <c r="V1855" s="132">
        <f t="shared" si="41"/>
        <v>3342</v>
      </c>
      <c r="W1855">
        <v>93</v>
      </c>
      <c r="X1855" s="153" t="s">
        <v>1644</v>
      </c>
      <c r="Y1855" s="124" t="s">
        <v>55</v>
      </c>
      <c r="Z1855" s="308">
        <v>212</v>
      </c>
      <c r="AB1855" t="str">
        <f>IF(Table1[[#This Row],[TIPO2]]="costo", VLOOKUP(Table1[[#This Row],[PARTIDA PRESUPUESTAL]],'Cost Report'!G:G,1,0),"Balance")</f>
        <v>1620-003</v>
      </c>
      <c r="AC1855" s="118"/>
      <c r="AD1855" s="159">
        <f>+Table1[[#This Row],[SUBTOTAL]]+Table1[[#This Row],[IVA]]-Table1[[#This Row],[RET IVA]]-Table1[[#This Row],[RET ISR]]-Table1[[#This Row],[TOTAL]]</f>
        <v>0</v>
      </c>
      <c r="AE1855" s="152"/>
      <c r="AF1855" s="153"/>
      <c r="AG1855" s="126" t="s">
        <v>3420</v>
      </c>
      <c r="AK1855" s="306" t="str">
        <f>IF(ISNUMBER(Table1[[#This Row],[FECHA DE RECIBIDO]]), Table1[[#This Row],[FECHA DE RECIBIDO]]-DATE(2023,8,30), "")</f>
        <v/>
      </c>
    </row>
    <row r="1856" spans="1:37" ht="16.95" customHeight="1">
      <c r="A1856" s="150" t="s">
        <v>3624</v>
      </c>
      <c r="B1856" s="151">
        <v>705</v>
      </c>
      <c r="C1856" s="126" t="s">
        <v>395</v>
      </c>
      <c r="D1856">
        <v>1248</v>
      </c>
      <c r="E1856" s="126" t="s">
        <v>2067</v>
      </c>
      <c r="F1856" s="122" t="s">
        <v>1607</v>
      </c>
      <c r="G1856" s="122" t="s">
        <v>134</v>
      </c>
      <c r="H1856">
        <v>136</v>
      </c>
      <c r="I1856" s="122" t="s">
        <v>1546</v>
      </c>
      <c r="J1856" s="307" t="s">
        <v>214</v>
      </c>
      <c r="K1856" s="127" t="s">
        <v>3418</v>
      </c>
      <c r="L1856" s="151" t="s">
        <v>1579</v>
      </c>
      <c r="M1856">
        <v>178</v>
      </c>
      <c r="N1856" s="123">
        <v>17</v>
      </c>
      <c r="O1856">
        <v>1227</v>
      </c>
      <c r="P1856" s="132" t="s">
        <v>77</v>
      </c>
      <c r="Q1856" s="131">
        <v>4155.5200000000004</v>
      </c>
      <c r="R1856" s="131">
        <v>570.48</v>
      </c>
      <c r="S1856" s="131"/>
      <c r="T1856" s="155"/>
      <c r="U1856" s="131"/>
      <c r="V1856" s="131">
        <f t="shared" si="41"/>
        <v>4726</v>
      </c>
      <c r="W1856">
        <v>93</v>
      </c>
      <c r="X1856" s="151" t="s">
        <v>1644</v>
      </c>
      <c r="Y1856" s="135" t="s">
        <v>55</v>
      </c>
      <c r="Z1856" s="307">
        <v>212</v>
      </c>
      <c r="AB1856" t="str">
        <f>IF(Table1[[#This Row],[TIPO2]]="costo", VLOOKUP(Table1[[#This Row],[PARTIDA PRESUPUESTAL]],'Cost Report'!G:G,1,0),"Balance")</f>
        <v>1620-003</v>
      </c>
      <c r="AC1856" s="118"/>
      <c r="AD1856" s="159">
        <f>+Table1[[#This Row],[SUBTOTAL]]+Table1[[#This Row],[IVA]]-Table1[[#This Row],[RET IVA]]-Table1[[#This Row],[RET ISR]]-Table1[[#This Row],[TOTAL]]</f>
        <v>0</v>
      </c>
      <c r="AE1856" s="150"/>
      <c r="AF1856" s="151"/>
      <c r="AG1856" s="126" t="s">
        <v>3420</v>
      </c>
      <c r="AK1856" s="306" t="str">
        <f>IF(ISNUMBER(Table1[[#This Row],[FECHA DE RECIBIDO]]), Table1[[#This Row],[FECHA DE RECIBIDO]]-DATE(2023,8,30), "")</f>
        <v/>
      </c>
    </row>
    <row r="1857" spans="1:37" ht="16.95" customHeight="1">
      <c r="A1857" s="152" t="s">
        <v>3624</v>
      </c>
      <c r="B1857" s="153">
        <v>705</v>
      </c>
      <c r="C1857" s="126" t="s">
        <v>415</v>
      </c>
      <c r="D1857">
        <v>1249</v>
      </c>
      <c r="E1857" s="126" t="s">
        <v>2067</v>
      </c>
      <c r="F1857" s="125" t="s">
        <v>1607</v>
      </c>
      <c r="G1857" s="125" t="s">
        <v>134</v>
      </c>
      <c r="H1857">
        <v>136</v>
      </c>
      <c r="I1857" s="125" t="s">
        <v>1546</v>
      </c>
      <c r="J1857" s="308" t="s">
        <v>214</v>
      </c>
      <c r="K1857" s="127" t="s">
        <v>3418</v>
      </c>
      <c r="L1857" s="153" t="s">
        <v>1579</v>
      </c>
      <c r="M1857">
        <v>178</v>
      </c>
      <c r="N1857" s="123">
        <v>17</v>
      </c>
      <c r="O1857">
        <v>1228</v>
      </c>
      <c r="P1857" s="132" t="s">
        <v>77</v>
      </c>
      <c r="Q1857" s="132">
        <v>10139.030000000001</v>
      </c>
      <c r="R1857" s="132">
        <v>1444.97</v>
      </c>
      <c r="S1857" s="132"/>
      <c r="T1857" s="156"/>
      <c r="U1857" s="132"/>
      <c r="V1857" s="132">
        <f t="shared" si="41"/>
        <v>11584</v>
      </c>
      <c r="W1857">
        <v>93</v>
      </c>
      <c r="X1857" s="153" t="s">
        <v>1644</v>
      </c>
      <c r="Y1857" s="124" t="s">
        <v>55</v>
      </c>
      <c r="Z1857" s="308">
        <v>212</v>
      </c>
      <c r="AB1857" t="str">
        <f>IF(Table1[[#This Row],[TIPO2]]="costo", VLOOKUP(Table1[[#This Row],[PARTIDA PRESUPUESTAL]],'Cost Report'!G:G,1,0),"Balance")</f>
        <v>1640-003</v>
      </c>
      <c r="AC1857" s="118"/>
      <c r="AD1857" s="159">
        <f>+Table1[[#This Row],[SUBTOTAL]]+Table1[[#This Row],[IVA]]-Table1[[#This Row],[RET IVA]]-Table1[[#This Row],[RET ISR]]-Table1[[#This Row],[TOTAL]]</f>
        <v>0</v>
      </c>
      <c r="AE1857" s="152"/>
      <c r="AF1857" s="153"/>
      <c r="AG1857" s="126" t="s">
        <v>3420</v>
      </c>
      <c r="AK1857" s="306" t="str">
        <f>IF(ISNUMBER(Table1[[#This Row],[FECHA DE RECIBIDO]]), Table1[[#This Row],[FECHA DE RECIBIDO]]-DATE(2023,8,30), "")</f>
        <v/>
      </c>
    </row>
    <row r="1858" spans="1:37" ht="16.95" customHeight="1">
      <c r="A1858" s="150" t="s">
        <v>3624</v>
      </c>
      <c r="B1858" s="151">
        <v>705</v>
      </c>
      <c r="C1858" s="126" t="s">
        <v>415</v>
      </c>
      <c r="D1858">
        <v>1250</v>
      </c>
      <c r="E1858" s="126" t="s">
        <v>2067</v>
      </c>
      <c r="F1858" s="122" t="s">
        <v>1607</v>
      </c>
      <c r="G1858" s="122" t="s">
        <v>134</v>
      </c>
      <c r="H1858">
        <v>136</v>
      </c>
      <c r="I1858" s="122" t="s">
        <v>1546</v>
      </c>
      <c r="J1858" s="307" t="s">
        <v>214</v>
      </c>
      <c r="K1858" s="127" t="s">
        <v>3418</v>
      </c>
      <c r="L1858" s="151" t="s">
        <v>1579</v>
      </c>
      <c r="M1858">
        <v>178</v>
      </c>
      <c r="N1858" s="123">
        <v>17</v>
      </c>
      <c r="O1858">
        <v>1229</v>
      </c>
      <c r="P1858" s="132" t="s">
        <v>77</v>
      </c>
      <c r="Q1858" s="131">
        <v>10139.030000000001</v>
      </c>
      <c r="R1858" s="131">
        <v>1444.97</v>
      </c>
      <c r="S1858" s="131"/>
      <c r="T1858" s="155"/>
      <c r="U1858" s="131"/>
      <c r="V1858" s="131">
        <f t="shared" si="41"/>
        <v>11584</v>
      </c>
      <c r="W1858">
        <v>93</v>
      </c>
      <c r="X1858" s="151" t="s">
        <v>1644</v>
      </c>
      <c r="Y1858" s="135" t="s">
        <v>55</v>
      </c>
      <c r="Z1858" s="307">
        <v>212</v>
      </c>
      <c r="AB1858" t="str">
        <f>IF(Table1[[#This Row],[TIPO2]]="costo", VLOOKUP(Table1[[#This Row],[PARTIDA PRESUPUESTAL]],'Cost Report'!G:G,1,0),"Balance")</f>
        <v>1640-003</v>
      </c>
      <c r="AC1858" s="118"/>
      <c r="AD1858" s="159">
        <f>+Table1[[#This Row],[SUBTOTAL]]+Table1[[#This Row],[IVA]]-Table1[[#This Row],[RET IVA]]-Table1[[#This Row],[RET ISR]]-Table1[[#This Row],[TOTAL]]</f>
        <v>0</v>
      </c>
      <c r="AE1858" s="150"/>
      <c r="AF1858" s="151"/>
      <c r="AG1858" s="126" t="s">
        <v>3420</v>
      </c>
      <c r="AK1858" s="306" t="str">
        <f>IF(ISNUMBER(Table1[[#This Row],[FECHA DE RECIBIDO]]), Table1[[#This Row],[FECHA DE RECIBIDO]]-DATE(2023,8,30), "")</f>
        <v/>
      </c>
    </row>
    <row r="1859" spans="1:37" ht="16.95" customHeight="1">
      <c r="A1859" s="152" t="s">
        <v>3624</v>
      </c>
      <c r="B1859" s="153">
        <v>705</v>
      </c>
      <c r="C1859" s="126" t="s">
        <v>415</v>
      </c>
      <c r="D1859">
        <v>1251</v>
      </c>
      <c r="E1859" s="126" t="s">
        <v>2067</v>
      </c>
      <c r="F1859" s="125" t="s">
        <v>1607</v>
      </c>
      <c r="G1859" s="125" t="s">
        <v>134</v>
      </c>
      <c r="H1859">
        <v>136</v>
      </c>
      <c r="I1859" s="125" t="s">
        <v>1546</v>
      </c>
      <c r="J1859" s="308" t="s">
        <v>214</v>
      </c>
      <c r="K1859" s="127" t="s">
        <v>3418</v>
      </c>
      <c r="L1859" s="153" t="s">
        <v>1579</v>
      </c>
      <c r="M1859">
        <v>178</v>
      </c>
      <c r="N1859" s="123">
        <v>17</v>
      </c>
      <c r="O1859">
        <v>1230</v>
      </c>
      <c r="P1859" s="132" t="s">
        <v>77</v>
      </c>
      <c r="Q1859" s="132">
        <v>8511.4500000000007</v>
      </c>
      <c r="R1859" s="132">
        <v>1184.55</v>
      </c>
      <c r="S1859" s="132"/>
      <c r="T1859" s="156"/>
      <c r="U1859" s="132"/>
      <c r="V1859" s="132">
        <f t="shared" ref="V1859:V1922" si="46">Q1859+R1859-T1859-U1859</f>
        <v>9696</v>
      </c>
      <c r="W1859">
        <v>93</v>
      </c>
      <c r="X1859" s="153" t="s">
        <v>1644</v>
      </c>
      <c r="Y1859" s="124" t="s">
        <v>55</v>
      </c>
      <c r="Z1859" s="308">
        <v>212</v>
      </c>
      <c r="AB1859" t="str">
        <f>IF(Table1[[#This Row],[TIPO2]]="costo", VLOOKUP(Table1[[#This Row],[PARTIDA PRESUPUESTAL]],'Cost Report'!G:G,1,0),"Balance")</f>
        <v>1640-003</v>
      </c>
      <c r="AC1859" s="118"/>
      <c r="AD1859" s="159">
        <f>+Table1[[#This Row],[SUBTOTAL]]+Table1[[#This Row],[IVA]]-Table1[[#This Row],[RET IVA]]-Table1[[#This Row],[RET ISR]]-Table1[[#This Row],[TOTAL]]</f>
        <v>0</v>
      </c>
      <c r="AE1859" s="152"/>
      <c r="AF1859" s="153"/>
      <c r="AG1859" s="126" t="s">
        <v>3420</v>
      </c>
      <c r="AK1859" s="306" t="str">
        <f>IF(ISNUMBER(Table1[[#This Row],[FECHA DE RECIBIDO]]), Table1[[#This Row],[FECHA DE RECIBIDO]]-DATE(2023,8,30), "")</f>
        <v/>
      </c>
    </row>
    <row r="1860" spans="1:37" ht="16.95" customHeight="1">
      <c r="A1860" s="150" t="s">
        <v>3624</v>
      </c>
      <c r="B1860" s="151">
        <v>705</v>
      </c>
      <c r="C1860" s="126" t="s">
        <v>2436</v>
      </c>
      <c r="D1860">
        <v>1252</v>
      </c>
      <c r="E1860" s="126" t="s">
        <v>1647</v>
      </c>
      <c r="F1860" s="122" t="s">
        <v>1607</v>
      </c>
      <c r="G1860" s="122" t="s">
        <v>134</v>
      </c>
      <c r="H1860">
        <v>43</v>
      </c>
      <c r="I1860" s="122" t="s">
        <v>1546</v>
      </c>
      <c r="J1860" s="307" t="s">
        <v>214</v>
      </c>
      <c r="K1860" s="127" t="s">
        <v>3418</v>
      </c>
      <c r="L1860" s="151" t="s">
        <v>1579</v>
      </c>
      <c r="M1860">
        <v>67</v>
      </c>
      <c r="N1860" s="123">
        <v>17</v>
      </c>
      <c r="O1860">
        <v>1231</v>
      </c>
      <c r="P1860" s="132" t="s">
        <v>77</v>
      </c>
      <c r="Q1860" s="131">
        <v>9.5</v>
      </c>
      <c r="R1860" s="131"/>
      <c r="S1860" s="131"/>
      <c r="T1860" s="155"/>
      <c r="U1860" s="131"/>
      <c r="V1860" s="131">
        <f t="shared" si="46"/>
        <v>9.5</v>
      </c>
      <c r="W1860">
        <v>93</v>
      </c>
      <c r="X1860" s="151" t="s">
        <v>1644</v>
      </c>
      <c r="Y1860" s="135" t="s">
        <v>55</v>
      </c>
      <c r="Z1860" s="307">
        <v>214</v>
      </c>
      <c r="AB1860" t="str">
        <f>IF(Table1[[#This Row],[TIPO2]]="costo", VLOOKUP(Table1[[#This Row],[PARTIDA PRESUPUESTAL]],'Cost Report'!G:G,1,0),"Balance")</f>
        <v>2042-003</v>
      </c>
      <c r="AC1860" s="118"/>
      <c r="AD1860" s="159">
        <f>+Table1[[#This Row],[SUBTOTAL]]+Table1[[#This Row],[IVA]]-Table1[[#This Row],[RET IVA]]-Table1[[#This Row],[RET ISR]]-Table1[[#This Row],[TOTAL]]</f>
        <v>0</v>
      </c>
      <c r="AE1860" s="150"/>
      <c r="AF1860" s="151"/>
      <c r="AG1860" s="126" t="s">
        <v>3420</v>
      </c>
      <c r="AK1860" s="306" t="str">
        <f>IF(ISNUMBER(Table1[[#This Row],[FECHA DE RECIBIDO]]), Table1[[#This Row],[FECHA DE RECIBIDO]]-DATE(2023,8,30), "")</f>
        <v/>
      </c>
    </row>
    <row r="1861" spans="1:37" ht="16.95" customHeight="1">
      <c r="A1861" s="152" t="s">
        <v>3624</v>
      </c>
      <c r="B1861" s="153">
        <v>705</v>
      </c>
      <c r="C1861" s="126" t="s">
        <v>2436</v>
      </c>
      <c r="D1861">
        <v>1253</v>
      </c>
      <c r="E1861" s="126" t="s">
        <v>1655</v>
      </c>
      <c r="F1861" s="125" t="s">
        <v>1607</v>
      </c>
      <c r="G1861" s="125" t="s">
        <v>134</v>
      </c>
      <c r="H1861">
        <v>43</v>
      </c>
      <c r="I1861" s="125" t="s">
        <v>1546</v>
      </c>
      <c r="J1861" s="308" t="s">
        <v>214</v>
      </c>
      <c r="K1861" s="127" t="s">
        <v>3418</v>
      </c>
      <c r="L1861" s="153" t="s">
        <v>1579</v>
      </c>
      <c r="M1861">
        <v>67</v>
      </c>
      <c r="N1861" s="123">
        <v>17</v>
      </c>
      <c r="O1861">
        <v>1231</v>
      </c>
      <c r="P1861" s="132" t="s">
        <v>77</v>
      </c>
      <c r="Q1861" s="132">
        <v>14</v>
      </c>
      <c r="R1861" s="132"/>
      <c r="S1861" s="132"/>
      <c r="T1861" s="156"/>
      <c r="U1861" s="132"/>
      <c r="V1861" s="132">
        <f t="shared" si="46"/>
        <v>14</v>
      </c>
      <c r="W1861">
        <v>93</v>
      </c>
      <c r="X1861" s="153" t="s">
        <v>1644</v>
      </c>
      <c r="Y1861" s="124" t="s">
        <v>55</v>
      </c>
      <c r="Z1861" s="308">
        <v>214</v>
      </c>
      <c r="AB1861" t="str">
        <f>IF(Table1[[#This Row],[TIPO2]]="costo", VLOOKUP(Table1[[#This Row],[PARTIDA PRESUPUESTAL]],'Cost Report'!G:G,1,0),"Balance")</f>
        <v>2042-003</v>
      </c>
      <c r="AC1861" s="118"/>
      <c r="AD1861" s="159">
        <f>+Table1[[#This Row],[SUBTOTAL]]+Table1[[#This Row],[IVA]]-Table1[[#This Row],[RET IVA]]-Table1[[#This Row],[RET ISR]]-Table1[[#This Row],[TOTAL]]</f>
        <v>0</v>
      </c>
      <c r="AE1861" s="152"/>
      <c r="AF1861" s="153"/>
      <c r="AG1861" s="126" t="s">
        <v>3420</v>
      </c>
      <c r="AK1861" s="306" t="str">
        <f>IF(ISNUMBER(Table1[[#This Row],[FECHA DE RECIBIDO]]), Table1[[#This Row],[FECHA DE RECIBIDO]]-DATE(2023,8,30), "")</f>
        <v/>
      </c>
    </row>
    <row r="1862" spans="1:37" ht="16.95" customHeight="1">
      <c r="A1862" s="150" t="s">
        <v>3624</v>
      </c>
      <c r="B1862" s="151">
        <v>705</v>
      </c>
      <c r="C1862" s="126" t="s">
        <v>2436</v>
      </c>
      <c r="D1862">
        <v>1254</v>
      </c>
      <c r="E1862" s="126" t="s">
        <v>1615</v>
      </c>
      <c r="F1862" s="122" t="s">
        <v>1607</v>
      </c>
      <c r="G1862" s="122" t="s">
        <v>134</v>
      </c>
      <c r="H1862">
        <v>43</v>
      </c>
      <c r="I1862" s="122" t="s">
        <v>1546</v>
      </c>
      <c r="J1862" s="307" t="s">
        <v>214</v>
      </c>
      <c r="K1862" s="127" t="s">
        <v>3418</v>
      </c>
      <c r="L1862" s="151" t="s">
        <v>1579</v>
      </c>
      <c r="M1862">
        <v>67</v>
      </c>
      <c r="N1862" s="123">
        <v>17</v>
      </c>
      <c r="O1862">
        <v>1231</v>
      </c>
      <c r="P1862" s="132" t="s">
        <v>77</v>
      </c>
      <c r="Q1862" s="131">
        <v>14</v>
      </c>
      <c r="R1862" s="131"/>
      <c r="S1862" s="131"/>
      <c r="T1862" s="155"/>
      <c r="U1862" s="131"/>
      <c r="V1862" s="131">
        <f t="shared" si="46"/>
        <v>14</v>
      </c>
      <c r="W1862">
        <v>93</v>
      </c>
      <c r="X1862" s="151" t="s">
        <v>1644</v>
      </c>
      <c r="Y1862" s="135" t="s">
        <v>55</v>
      </c>
      <c r="Z1862" s="307">
        <v>214</v>
      </c>
      <c r="AB1862" t="str">
        <f>IF(Table1[[#This Row],[TIPO2]]="costo", VLOOKUP(Table1[[#This Row],[PARTIDA PRESUPUESTAL]],'Cost Report'!G:G,1,0),"Balance")</f>
        <v>2042-003</v>
      </c>
      <c r="AC1862" s="118"/>
      <c r="AD1862" s="159">
        <f>+Table1[[#This Row],[SUBTOTAL]]+Table1[[#This Row],[IVA]]-Table1[[#This Row],[RET IVA]]-Table1[[#This Row],[RET ISR]]-Table1[[#This Row],[TOTAL]]</f>
        <v>0</v>
      </c>
      <c r="AE1862" s="150"/>
      <c r="AF1862" s="151"/>
      <c r="AG1862" s="126" t="s">
        <v>3420</v>
      </c>
      <c r="AK1862" s="306" t="str">
        <f>IF(ISNUMBER(Table1[[#This Row],[FECHA DE RECIBIDO]]), Table1[[#This Row],[FECHA DE RECIBIDO]]-DATE(2023,8,30), "")</f>
        <v/>
      </c>
    </row>
    <row r="1863" spans="1:37" ht="16.95" customHeight="1">
      <c r="A1863" s="152" t="s">
        <v>3624</v>
      </c>
      <c r="B1863" s="153">
        <v>705</v>
      </c>
      <c r="C1863" s="126" t="s">
        <v>2436</v>
      </c>
      <c r="D1863">
        <v>1255</v>
      </c>
      <c r="E1863" s="126" t="s">
        <v>1615</v>
      </c>
      <c r="F1863" s="125" t="s">
        <v>1607</v>
      </c>
      <c r="G1863" s="125" t="s">
        <v>134</v>
      </c>
      <c r="H1863">
        <v>43</v>
      </c>
      <c r="I1863" s="125" t="s">
        <v>1546</v>
      </c>
      <c r="J1863" s="308" t="s">
        <v>214</v>
      </c>
      <c r="K1863" s="127" t="s">
        <v>3418</v>
      </c>
      <c r="L1863" s="153" t="s">
        <v>1579</v>
      </c>
      <c r="M1863">
        <v>67</v>
      </c>
      <c r="N1863" s="123">
        <v>17</v>
      </c>
      <c r="O1863">
        <v>1232</v>
      </c>
      <c r="P1863" s="132" t="s">
        <v>77</v>
      </c>
      <c r="Q1863" s="132">
        <v>81</v>
      </c>
      <c r="R1863" s="132"/>
      <c r="S1863" s="132"/>
      <c r="T1863" s="156"/>
      <c r="U1863" s="132"/>
      <c r="V1863" s="132">
        <f t="shared" si="46"/>
        <v>81</v>
      </c>
      <c r="W1863">
        <v>93</v>
      </c>
      <c r="X1863" s="153" t="s">
        <v>1644</v>
      </c>
      <c r="Y1863" s="124" t="s">
        <v>55</v>
      </c>
      <c r="Z1863" s="308">
        <v>214</v>
      </c>
      <c r="AB1863" t="str">
        <f>IF(Table1[[#This Row],[TIPO2]]="costo", VLOOKUP(Table1[[#This Row],[PARTIDA PRESUPUESTAL]],'Cost Report'!G:G,1,0),"Balance")</f>
        <v>2042-003</v>
      </c>
      <c r="AC1863" s="118"/>
      <c r="AD1863" s="159">
        <f>+Table1[[#This Row],[SUBTOTAL]]+Table1[[#This Row],[IVA]]-Table1[[#This Row],[RET IVA]]-Table1[[#This Row],[RET ISR]]-Table1[[#This Row],[TOTAL]]</f>
        <v>0</v>
      </c>
      <c r="AE1863" s="152"/>
      <c r="AF1863" s="153"/>
      <c r="AG1863" s="126" t="s">
        <v>3420</v>
      </c>
      <c r="AK1863" s="306" t="str">
        <f>IF(ISNUMBER(Table1[[#This Row],[FECHA DE RECIBIDO]]), Table1[[#This Row],[FECHA DE RECIBIDO]]-DATE(2023,8,30), "")</f>
        <v/>
      </c>
    </row>
    <row r="1864" spans="1:37" ht="16.95" customHeight="1">
      <c r="A1864" s="150" t="s">
        <v>3624</v>
      </c>
      <c r="B1864" s="151">
        <v>705</v>
      </c>
      <c r="C1864" s="126" t="s">
        <v>2358</v>
      </c>
      <c r="D1864">
        <v>1256</v>
      </c>
      <c r="E1864" s="126" t="s">
        <v>3662</v>
      </c>
      <c r="F1864" s="122" t="s">
        <v>1384</v>
      </c>
      <c r="G1864" s="122" t="s">
        <v>134</v>
      </c>
      <c r="H1864">
        <v>389</v>
      </c>
      <c r="I1864" s="122" t="s">
        <v>1546</v>
      </c>
      <c r="J1864" s="307" t="s">
        <v>214</v>
      </c>
      <c r="K1864" s="127" t="s">
        <v>3418</v>
      </c>
      <c r="L1864" s="151" t="s">
        <v>1579</v>
      </c>
      <c r="M1864">
        <v>515</v>
      </c>
      <c r="N1864" s="123">
        <v>17</v>
      </c>
      <c r="O1864">
        <v>1233</v>
      </c>
      <c r="P1864" s="132" t="s">
        <v>77</v>
      </c>
      <c r="Q1864" s="131">
        <f>21994+659.82</f>
        <v>22653.82</v>
      </c>
      <c r="R1864" s="131">
        <v>3519.04</v>
      </c>
      <c r="S1864" s="131">
        <v>659.82</v>
      </c>
      <c r="T1864" s="155"/>
      <c r="U1864" s="131"/>
      <c r="V1864" s="131">
        <f t="shared" si="46"/>
        <v>26172.86</v>
      </c>
      <c r="W1864">
        <v>93</v>
      </c>
      <c r="X1864" s="151" t="s">
        <v>1644</v>
      </c>
      <c r="Y1864" s="135" t="s">
        <v>55</v>
      </c>
      <c r="Z1864" s="307">
        <v>214</v>
      </c>
      <c r="AB1864" t="str">
        <f>IF(Table1[[#This Row],[TIPO2]]="costo", VLOOKUP(Table1[[#This Row],[PARTIDA PRESUPUESTAL]],'Cost Report'!G:G,1,0),"Balance")</f>
        <v>1641-020</v>
      </c>
      <c r="AC1864" s="118"/>
      <c r="AD1864" s="159">
        <f>+Table1[[#This Row],[SUBTOTAL]]+Table1[[#This Row],[IVA]]-Table1[[#This Row],[RET IVA]]-Table1[[#This Row],[RET ISR]]-Table1[[#This Row],[TOTAL]]</f>
        <v>0</v>
      </c>
      <c r="AE1864" s="150"/>
      <c r="AF1864" s="151"/>
      <c r="AG1864" s="126" t="s">
        <v>3420</v>
      </c>
      <c r="AK1864" s="306" t="str">
        <f>IF(ISNUMBER(Table1[[#This Row],[FECHA DE RECIBIDO]]), Table1[[#This Row],[FECHA DE RECIBIDO]]-DATE(2023,8,30), "")</f>
        <v/>
      </c>
    </row>
    <row r="1865" spans="1:37" ht="16.95" customHeight="1">
      <c r="A1865" s="152" t="s">
        <v>3624</v>
      </c>
      <c r="B1865" s="153">
        <v>705</v>
      </c>
      <c r="C1865" s="126" t="s">
        <v>2436</v>
      </c>
      <c r="D1865">
        <v>1257</v>
      </c>
      <c r="E1865" s="126" t="s">
        <v>3394</v>
      </c>
      <c r="F1865" s="125" t="s">
        <v>1382</v>
      </c>
      <c r="G1865" s="125" t="s">
        <v>134</v>
      </c>
      <c r="H1865">
        <v>31</v>
      </c>
      <c r="I1865" s="125" t="s">
        <v>1546</v>
      </c>
      <c r="J1865" s="308" t="s">
        <v>214</v>
      </c>
      <c r="K1865" s="127" t="s">
        <v>3418</v>
      </c>
      <c r="L1865" s="153" t="s">
        <v>1579</v>
      </c>
      <c r="M1865">
        <v>69</v>
      </c>
      <c r="N1865" s="123">
        <v>17</v>
      </c>
      <c r="O1865">
        <v>1234</v>
      </c>
      <c r="P1865" s="132" t="s">
        <v>77</v>
      </c>
      <c r="Q1865" s="132">
        <v>55.59</v>
      </c>
      <c r="R1865" s="132">
        <v>1.41</v>
      </c>
      <c r="S1865" s="132"/>
      <c r="T1865" s="156"/>
      <c r="U1865" s="132"/>
      <c r="V1865" s="132">
        <f t="shared" si="46"/>
        <v>57</v>
      </c>
      <c r="W1865">
        <v>93</v>
      </c>
      <c r="X1865" s="153" t="s">
        <v>1644</v>
      </c>
      <c r="Y1865" s="124" t="s">
        <v>55</v>
      </c>
      <c r="Z1865" s="308">
        <v>214</v>
      </c>
      <c r="AB1865" t="str">
        <f>IF(Table1[[#This Row],[TIPO2]]="costo", VLOOKUP(Table1[[#This Row],[PARTIDA PRESUPUESTAL]],'Cost Report'!G:G,1,0),"Balance")</f>
        <v>2042-003</v>
      </c>
      <c r="AC1865" s="118"/>
      <c r="AD1865" s="159">
        <f>+Table1[[#This Row],[SUBTOTAL]]+Table1[[#This Row],[IVA]]-Table1[[#This Row],[RET IVA]]-Table1[[#This Row],[RET ISR]]-Table1[[#This Row],[TOTAL]]</f>
        <v>0</v>
      </c>
      <c r="AE1865" s="152"/>
      <c r="AF1865" s="153"/>
      <c r="AG1865" s="126" t="s">
        <v>3420</v>
      </c>
      <c r="AK1865" s="306" t="str">
        <f>IF(ISNUMBER(Table1[[#This Row],[FECHA DE RECIBIDO]]), Table1[[#This Row],[FECHA DE RECIBIDO]]-DATE(2023,8,30), "")</f>
        <v/>
      </c>
    </row>
    <row r="1866" spans="1:37" ht="16.95" customHeight="1">
      <c r="A1866" s="150" t="s">
        <v>3624</v>
      </c>
      <c r="B1866" s="151">
        <v>705</v>
      </c>
      <c r="C1866" s="126" t="s">
        <v>2436</v>
      </c>
      <c r="D1866">
        <v>1258</v>
      </c>
      <c r="E1866" s="126" t="s">
        <v>1615</v>
      </c>
      <c r="F1866" s="122" t="s">
        <v>1607</v>
      </c>
      <c r="G1866" s="122" t="s">
        <v>134</v>
      </c>
      <c r="H1866">
        <v>32</v>
      </c>
      <c r="I1866" s="122" t="s">
        <v>1546</v>
      </c>
      <c r="J1866" s="307" t="s">
        <v>214</v>
      </c>
      <c r="K1866" s="127" t="s">
        <v>3418</v>
      </c>
      <c r="L1866" s="151" t="s">
        <v>1579</v>
      </c>
      <c r="M1866">
        <v>510</v>
      </c>
      <c r="N1866" s="123">
        <v>17</v>
      </c>
      <c r="O1866">
        <v>1235</v>
      </c>
      <c r="P1866" s="132" t="s">
        <v>77</v>
      </c>
      <c r="Q1866" s="131">
        <v>155.16999999999999</v>
      </c>
      <c r="R1866" s="131">
        <v>24.83</v>
      </c>
      <c r="S1866" s="131"/>
      <c r="T1866" s="155"/>
      <c r="U1866" s="131"/>
      <c r="V1866" s="131">
        <f t="shared" si="46"/>
        <v>180</v>
      </c>
      <c r="W1866">
        <v>93</v>
      </c>
      <c r="X1866" s="151" t="s">
        <v>1644</v>
      </c>
      <c r="Y1866" s="135" t="s">
        <v>55</v>
      </c>
      <c r="Z1866" s="307">
        <v>214</v>
      </c>
      <c r="AB1866" t="str">
        <f>IF(Table1[[#This Row],[TIPO2]]="costo", VLOOKUP(Table1[[#This Row],[PARTIDA PRESUPUESTAL]],'Cost Report'!G:G,1,0),"Balance")</f>
        <v>2042-003</v>
      </c>
      <c r="AC1866" s="118"/>
      <c r="AD1866" s="159">
        <f>+Table1[[#This Row],[SUBTOTAL]]+Table1[[#This Row],[IVA]]-Table1[[#This Row],[RET IVA]]-Table1[[#This Row],[RET ISR]]-Table1[[#This Row],[TOTAL]]</f>
        <v>0</v>
      </c>
      <c r="AE1866" s="150"/>
      <c r="AF1866" s="151"/>
      <c r="AG1866" s="126" t="s">
        <v>3420</v>
      </c>
      <c r="AK1866" s="306" t="str">
        <f>IF(ISNUMBER(Table1[[#This Row],[FECHA DE RECIBIDO]]), Table1[[#This Row],[FECHA DE RECIBIDO]]-DATE(2023,8,30), "")</f>
        <v/>
      </c>
    </row>
    <row r="1867" spans="1:37" ht="16.95" customHeight="1">
      <c r="A1867" s="152" t="s">
        <v>3624</v>
      </c>
      <c r="B1867" s="153">
        <v>705</v>
      </c>
      <c r="C1867" s="126" t="s">
        <v>2436</v>
      </c>
      <c r="D1867">
        <v>1259</v>
      </c>
      <c r="E1867" s="126" t="s">
        <v>1996</v>
      </c>
      <c r="F1867" s="125" t="s">
        <v>1607</v>
      </c>
      <c r="G1867" s="125" t="s">
        <v>134</v>
      </c>
      <c r="H1867">
        <v>32</v>
      </c>
      <c r="I1867" s="125" t="s">
        <v>1546</v>
      </c>
      <c r="J1867" s="308" t="s">
        <v>214</v>
      </c>
      <c r="K1867" s="127" t="s">
        <v>3418</v>
      </c>
      <c r="L1867" s="153" t="s">
        <v>1579</v>
      </c>
      <c r="M1867">
        <v>510</v>
      </c>
      <c r="N1867" s="123">
        <v>17</v>
      </c>
      <c r="O1867">
        <v>1236</v>
      </c>
      <c r="P1867" s="132" t="s">
        <v>77</v>
      </c>
      <c r="Q1867" s="132">
        <v>160.34</v>
      </c>
      <c r="R1867" s="132">
        <v>25.66</v>
      </c>
      <c r="S1867" s="132"/>
      <c r="T1867" s="156"/>
      <c r="U1867" s="132"/>
      <c r="V1867" s="132">
        <f t="shared" si="46"/>
        <v>186</v>
      </c>
      <c r="W1867">
        <v>93</v>
      </c>
      <c r="X1867" s="153" t="s">
        <v>1644</v>
      </c>
      <c r="Y1867" s="124" t="s">
        <v>55</v>
      </c>
      <c r="Z1867" s="308">
        <v>214</v>
      </c>
      <c r="AB1867" t="str">
        <f>IF(Table1[[#This Row],[TIPO2]]="costo", VLOOKUP(Table1[[#This Row],[PARTIDA PRESUPUESTAL]],'Cost Report'!G:G,1,0),"Balance")</f>
        <v>2042-003</v>
      </c>
      <c r="AC1867" s="118"/>
      <c r="AD1867" s="159">
        <f>+Table1[[#This Row],[SUBTOTAL]]+Table1[[#This Row],[IVA]]-Table1[[#This Row],[RET IVA]]-Table1[[#This Row],[RET ISR]]-Table1[[#This Row],[TOTAL]]</f>
        <v>0</v>
      </c>
      <c r="AE1867" s="152"/>
      <c r="AF1867" s="153"/>
      <c r="AG1867" s="126" t="s">
        <v>3420</v>
      </c>
      <c r="AK1867" s="306" t="str">
        <f>IF(ISNUMBER(Table1[[#This Row],[FECHA DE RECIBIDO]]), Table1[[#This Row],[FECHA DE RECIBIDO]]-DATE(2023,8,30), "")</f>
        <v/>
      </c>
    </row>
    <row r="1868" spans="1:37" ht="16.95" customHeight="1">
      <c r="A1868" s="150" t="s">
        <v>3624</v>
      </c>
      <c r="B1868" s="151">
        <v>705</v>
      </c>
      <c r="C1868" s="126" t="s">
        <v>2749</v>
      </c>
      <c r="D1868">
        <v>1260</v>
      </c>
      <c r="E1868" s="126" t="s">
        <v>1984</v>
      </c>
      <c r="F1868" s="122" t="s">
        <v>1382</v>
      </c>
      <c r="G1868" s="122" t="s">
        <v>134</v>
      </c>
      <c r="H1868">
        <v>31</v>
      </c>
      <c r="I1868" s="122" t="s">
        <v>1546</v>
      </c>
      <c r="J1868" s="307" t="s">
        <v>214</v>
      </c>
      <c r="K1868" s="127" t="s">
        <v>3418</v>
      </c>
      <c r="L1868" s="151" t="s">
        <v>1579</v>
      </c>
      <c r="M1868">
        <v>69</v>
      </c>
      <c r="N1868" s="123">
        <v>17</v>
      </c>
      <c r="O1868">
        <v>1237</v>
      </c>
      <c r="P1868" s="132" t="s">
        <v>77</v>
      </c>
      <c r="Q1868" s="131">
        <v>542.41</v>
      </c>
      <c r="R1868" s="131">
        <v>51.01</v>
      </c>
      <c r="S1868" s="131"/>
      <c r="T1868" s="155"/>
      <c r="U1868" s="131"/>
      <c r="V1868" s="131">
        <f t="shared" si="46"/>
        <v>593.41999999999996</v>
      </c>
      <c r="W1868">
        <v>93</v>
      </c>
      <c r="X1868" s="151" t="s">
        <v>1644</v>
      </c>
      <c r="Y1868" s="135" t="s">
        <v>55</v>
      </c>
      <c r="Z1868" s="307">
        <v>184</v>
      </c>
      <c r="AB1868" t="str">
        <f>IF(Table1[[#This Row],[TIPO2]]="costo", VLOOKUP(Table1[[#This Row],[PARTIDA PRESUPUESTAL]],'Cost Report'!G:G,1,0),"Balance")</f>
        <v>3401-011</v>
      </c>
      <c r="AC1868" s="118"/>
      <c r="AD1868" s="159">
        <f>+Table1[[#This Row],[SUBTOTAL]]+Table1[[#This Row],[IVA]]-Table1[[#This Row],[RET IVA]]-Table1[[#This Row],[RET ISR]]-Table1[[#This Row],[TOTAL]]</f>
        <v>0</v>
      </c>
      <c r="AE1868" s="150"/>
      <c r="AF1868" s="151"/>
      <c r="AG1868" s="126" t="s">
        <v>3420</v>
      </c>
      <c r="AK1868" s="306" t="str">
        <f>IF(ISNUMBER(Table1[[#This Row],[FECHA DE RECIBIDO]]), Table1[[#This Row],[FECHA DE RECIBIDO]]-DATE(2023,8,30), "")</f>
        <v/>
      </c>
    </row>
    <row r="1869" spans="1:37" ht="16.95" customHeight="1">
      <c r="A1869" s="152" t="s">
        <v>3624</v>
      </c>
      <c r="B1869" s="153">
        <v>705</v>
      </c>
      <c r="C1869" s="126" t="s">
        <v>2749</v>
      </c>
      <c r="D1869">
        <v>661</v>
      </c>
      <c r="E1869" s="126"/>
      <c r="F1869" s="125"/>
      <c r="G1869" s="125"/>
      <c r="H1869"/>
      <c r="I1869" s="125"/>
      <c r="J1869" s="308">
        <v>202</v>
      </c>
      <c r="K1869" s="127" t="s">
        <v>3418</v>
      </c>
      <c r="L1869" s="153" t="s">
        <v>1579</v>
      </c>
      <c r="M1869">
        <v>516</v>
      </c>
      <c r="N1869" s="123">
        <v>17</v>
      </c>
      <c r="O1869">
        <v>1238</v>
      </c>
      <c r="P1869" s="132" t="s">
        <v>77</v>
      </c>
      <c r="Q1869" s="132">
        <v>719</v>
      </c>
      <c r="R1869" s="132"/>
      <c r="S1869" s="132"/>
      <c r="T1869" s="156"/>
      <c r="U1869" s="132"/>
      <c r="V1869" s="132">
        <f t="shared" si="46"/>
        <v>719</v>
      </c>
      <c r="W1869">
        <v>93</v>
      </c>
      <c r="X1869" s="153" t="s">
        <v>1644</v>
      </c>
      <c r="Y1869" s="124" t="s">
        <v>55</v>
      </c>
      <c r="Z1869" s="308">
        <v>202</v>
      </c>
      <c r="AB1869" t="str">
        <f>IF(Table1[[#This Row],[TIPO2]]="costo", VLOOKUP(Table1[[#This Row],[PARTIDA PRESUPUESTAL]],'Cost Report'!G:G,1,0),"Balance")</f>
        <v>3401-011</v>
      </c>
      <c r="AC1869" s="118"/>
      <c r="AD1869" s="159">
        <f>+Table1[[#This Row],[SUBTOTAL]]+Table1[[#This Row],[IVA]]-Table1[[#This Row],[RET IVA]]-Table1[[#This Row],[RET ISR]]-Table1[[#This Row],[TOTAL]]</f>
        <v>0</v>
      </c>
      <c r="AE1869" s="152"/>
      <c r="AF1869" s="153"/>
      <c r="AG1869" s="126" t="s">
        <v>3420</v>
      </c>
      <c r="AK1869" s="306">
        <f>IF(ISNUMBER(Table1[[#This Row],[FECHA DE RECIBIDO]]), Table1[[#This Row],[FECHA DE RECIBIDO]]-DATE(2023,8,30), "")</f>
        <v>-44966</v>
      </c>
    </row>
    <row r="1870" spans="1:37" ht="16.95" customHeight="1">
      <c r="A1870" s="150" t="s">
        <v>3624</v>
      </c>
      <c r="B1870" s="151">
        <v>705</v>
      </c>
      <c r="C1870" s="126" t="s">
        <v>3103</v>
      </c>
      <c r="D1870">
        <v>661</v>
      </c>
      <c r="E1870" s="126"/>
      <c r="F1870" s="122"/>
      <c r="G1870" s="122"/>
      <c r="H1870"/>
      <c r="I1870" s="122"/>
      <c r="J1870" s="307">
        <v>207</v>
      </c>
      <c r="K1870" s="127" t="s">
        <v>3418</v>
      </c>
      <c r="L1870" s="151" t="s">
        <v>1579</v>
      </c>
      <c r="M1870">
        <v>512</v>
      </c>
      <c r="N1870" s="123">
        <v>17</v>
      </c>
      <c r="O1870">
        <v>162</v>
      </c>
      <c r="P1870" s="132" t="s">
        <v>77</v>
      </c>
      <c r="Q1870" s="131">
        <v>34.22</v>
      </c>
      <c r="R1870" s="131"/>
      <c r="S1870" s="131"/>
      <c r="T1870" s="155"/>
      <c r="U1870" s="131"/>
      <c r="V1870" s="131">
        <f t="shared" si="46"/>
        <v>34.22</v>
      </c>
      <c r="W1870">
        <v>93</v>
      </c>
      <c r="X1870" s="151" t="s">
        <v>1644</v>
      </c>
      <c r="Y1870" s="135" t="s">
        <v>55</v>
      </c>
      <c r="Z1870" s="307">
        <v>207</v>
      </c>
      <c r="AB1870" t="str">
        <f>IF(Table1[[#This Row],[TIPO2]]="costo", VLOOKUP(Table1[[#This Row],[PARTIDA PRESUPUESTAL]],'Cost Report'!G:G,1,0),"Balance")</f>
        <v>7038-009</v>
      </c>
      <c r="AC1870" s="118"/>
      <c r="AD1870" s="159">
        <f>+Table1[[#This Row],[SUBTOTAL]]+Table1[[#This Row],[IVA]]-Table1[[#This Row],[RET IVA]]-Table1[[#This Row],[RET ISR]]-Table1[[#This Row],[TOTAL]]</f>
        <v>0</v>
      </c>
      <c r="AE1870" s="150"/>
      <c r="AF1870" s="151"/>
      <c r="AG1870" s="126" t="s">
        <v>3420</v>
      </c>
      <c r="AK1870" s="306">
        <f>IF(ISNUMBER(Table1[[#This Row],[FECHA DE RECIBIDO]]), Table1[[#This Row],[FECHA DE RECIBIDO]]-DATE(2023,8,30), "")</f>
        <v>-44961</v>
      </c>
    </row>
    <row r="1871" spans="1:37" ht="16.95" customHeight="1">
      <c r="A1871" s="152" t="s">
        <v>3624</v>
      </c>
      <c r="B1871" s="153">
        <v>705</v>
      </c>
      <c r="C1871" s="126" t="s">
        <v>2436</v>
      </c>
      <c r="D1871">
        <v>661</v>
      </c>
      <c r="E1871" s="126"/>
      <c r="F1871" s="125"/>
      <c r="G1871" s="125"/>
      <c r="H1871"/>
      <c r="I1871" s="125"/>
      <c r="J1871" s="308">
        <v>212</v>
      </c>
      <c r="K1871" s="127" t="s">
        <v>3418</v>
      </c>
      <c r="L1871" s="153" t="s">
        <v>1579</v>
      </c>
      <c r="M1871">
        <v>517</v>
      </c>
      <c r="N1871" s="123">
        <v>17</v>
      </c>
      <c r="O1871">
        <v>1239</v>
      </c>
      <c r="P1871" s="132" t="s">
        <v>77</v>
      </c>
      <c r="Q1871" s="132">
        <v>38</v>
      </c>
      <c r="R1871" s="132"/>
      <c r="S1871" s="132"/>
      <c r="T1871" s="156"/>
      <c r="U1871" s="132"/>
      <c r="V1871" s="132">
        <f t="shared" si="46"/>
        <v>38</v>
      </c>
      <c r="W1871">
        <v>93</v>
      </c>
      <c r="X1871" s="153" t="s">
        <v>1644</v>
      </c>
      <c r="Y1871" s="124" t="s">
        <v>55</v>
      </c>
      <c r="Z1871" s="308">
        <v>212</v>
      </c>
      <c r="AB1871" t="str">
        <f>IF(Table1[[#This Row],[TIPO2]]="costo", VLOOKUP(Table1[[#This Row],[PARTIDA PRESUPUESTAL]],'Cost Report'!G:G,1,0),"Balance")</f>
        <v>2042-003</v>
      </c>
      <c r="AC1871" s="118"/>
      <c r="AD1871" s="159">
        <f>+Table1[[#This Row],[SUBTOTAL]]+Table1[[#This Row],[IVA]]-Table1[[#This Row],[RET IVA]]-Table1[[#This Row],[RET ISR]]-Table1[[#This Row],[TOTAL]]</f>
        <v>0</v>
      </c>
      <c r="AE1871" s="152"/>
      <c r="AF1871" s="153"/>
      <c r="AG1871" s="126" t="s">
        <v>3420</v>
      </c>
      <c r="AK1871" s="306">
        <f>IF(ISNUMBER(Table1[[#This Row],[FECHA DE RECIBIDO]]), Table1[[#This Row],[FECHA DE RECIBIDO]]-DATE(2023,8,30), "")</f>
        <v>-44956</v>
      </c>
    </row>
    <row r="1872" spans="1:37" ht="16.95" customHeight="1">
      <c r="A1872" s="150" t="s">
        <v>3624</v>
      </c>
      <c r="B1872" s="151">
        <v>705</v>
      </c>
      <c r="C1872" s="126" t="s">
        <v>2436</v>
      </c>
      <c r="D1872">
        <v>661</v>
      </c>
      <c r="E1872" s="126"/>
      <c r="F1872" s="122"/>
      <c r="G1872" s="122"/>
      <c r="H1872"/>
      <c r="I1872" s="122"/>
      <c r="J1872" s="307">
        <v>212</v>
      </c>
      <c r="K1872" s="127" t="s">
        <v>3418</v>
      </c>
      <c r="L1872" s="151" t="s">
        <v>1579</v>
      </c>
      <c r="M1872">
        <v>517</v>
      </c>
      <c r="N1872" s="123">
        <v>17</v>
      </c>
      <c r="O1872">
        <v>1239</v>
      </c>
      <c r="P1872" s="132" t="s">
        <v>77</v>
      </c>
      <c r="Q1872" s="131">
        <v>340</v>
      </c>
      <c r="R1872" s="131"/>
      <c r="S1872" s="131"/>
      <c r="T1872" s="155"/>
      <c r="U1872" s="131"/>
      <c r="V1872" s="131">
        <f t="shared" si="46"/>
        <v>340</v>
      </c>
      <c r="W1872">
        <v>93</v>
      </c>
      <c r="X1872" s="151" t="s">
        <v>1644</v>
      </c>
      <c r="Y1872" s="135" t="s">
        <v>55</v>
      </c>
      <c r="Z1872" s="307">
        <v>212</v>
      </c>
      <c r="AB1872" t="str">
        <f>IF(Table1[[#This Row],[TIPO2]]="costo", VLOOKUP(Table1[[#This Row],[PARTIDA PRESUPUESTAL]],'Cost Report'!G:G,1,0),"Balance")</f>
        <v>2042-003</v>
      </c>
      <c r="AC1872" s="118"/>
      <c r="AD1872" s="159">
        <f>+Table1[[#This Row],[SUBTOTAL]]+Table1[[#This Row],[IVA]]-Table1[[#This Row],[RET IVA]]-Table1[[#This Row],[RET ISR]]-Table1[[#This Row],[TOTAL]]</f>
        <v>0</v>
      </c>
      <c r="AE1872" s="150"/>
      <c r="AF1872" s="151"/>
      <c r="AG1872" s="126" t="s">
        <v>3420</v>
      </c>
      <c r="AK1872" s="306">
        <f>IF(ISNUMBER(Table1[[#This Row],[FECHA DE RECIBIDO]]), Table1[[#This Row],[FECHA DE RECIBIDO]]-DATE(2023,8,30), "")</f>
        <v>-44956</v>
      </c>
    </row>
    <row r="1873" spans="1:37" ht="16.95" customHeight="1">
      <c r="A1873" s="152" t="s">
        <v>3625</v>
      </c>
      <c r="B1873" s="153">
        <v>706</v>
      </c>
      <c r="C1873" s="126" t="s">
        <v>2566</v>
      </c>
      <c r="D1873">
        <v>1261</v>
      </c>
      <c r="E1873" s="126" t="s">
        <v>1603</v>
      </c>
      <c r="F1873" s="125" t="s">
        <v>1607</v>
      </c>
      <c r="G1873" s="125" t="s">
        <v>134</v>
      </c>
      <c r="H1873">
        <v>390</v>
      </c>
      <c r="I1873" s="125" t="s">
        <v>1546</v>
      </c>
      <c r="J1873" s="308" t="s">
        <v>214</v>
      </c>
      <c r="K1873" s="127" t="s">
        <v>3418</v>
      </c>
      <c r="L1873" s="153" t="s">
        <v>1579</v>
      </c>
      <c r="M1873">
        <v>518</v>
      </c>
      <c r="N1873" s="123">
        <v>17</v>
      </c>
      <c r="O1873">
        <v>1240</v>
      </c>
      <c r="P1873" s="132" t="s">
        <v>77</v>
      </c>
      <c r="Q1873" s="132">
        <v>1200.6199999999999</v>
      </c>
      <c r="R1873" s="132">
        <v>192.08</v>
      </c>
      <c r="S1873" s="132"/>
      <c r="T1873" s="156"/>
      <c r="U1873" s="132"/>
      <c r="V1873" s="132">
        <f t="shared" si="46"/>
        <v>1392.6999999999998</v>
      </c>
      <c r="W1873">
        <v>147</v>
      </c>
      <c r="X1873" s="153" t="s">
        <v>1644</v>
      </c>
      <c r="Y1873" s="124" t="s">
        <v>55</v>
      </c>
      <c r="Z1873" s="308">
        <v>210</v>
      </c>
      <c r="AB1873" t="str">
        <f>IF(Table1[[#This Row],[TIPO2]]="costo", VLOOKUP(Table1[[#This Row],[PARTIDA PRESUPUESTAL]],'Cost Report'!G:G,1,0),"Balance")</f>
        <v>2594-003</v>
      </c>
      <c r="AC1873" s="118"/>
      <c r="AD1873" s="159">
        <f>+Table1[[#This Row],[SUBTOTAL]]+Table1[[#This Row],[IVA]]-Table1[[#This Row],[RET IVA]]-Table1[[#This Row],[RET ISR]]-Table1[[#This Row],[TOTAL]]</f>
        <v>0</v>
      </c>
      <c r="AE1873" s="152"/>
      <c r="AF1873" s="153"/>
      <c r="AG1873" s="126" t="s">
        <v>3420</v>
      </c>
      <c r="AK1873" s="306" t="str">
        <f>IF(ISNUMBER(Table1[[#This Row],[FECHA DE RECIBIDO]]), Table1[[#This Row],[FECHA DE RECIBIDO]]-DATE(2023,8,30), "")</f>
        <v/>
      </c>
    </row>
    <row r="1874" spans="1:37" ht="16.95" customHeight="1">
      <c r="A1874" s="150" t="s">
        <v>3625</v>
      </c>
      <c r="B1874" s="151">
        <v>706</v>
      </c>
      <c r="C1874" s="126" t="s">
        <v>2566</v>
      </c>
      <c r="D1874">
        <v>1262</v>
      </c>
      <c r="E1874" s="126" t="s">
        <v>3663</v>
      </c>
      <c r="F1874" s="122" t="s">
        <v>1607</v>
      </c>
      <c r="G1874" s="122" t="s">
        <v>134</v>
      </c>
      <c r="H1874">
        <v>156</v>
      </c>
      <c r="I1874" s="122" t="s">
        <v>1546</v>
      </c>
      <c r="J1874" s="307" t="s">
        <v>214</v>
      </c>
      <c r="K1874" s="127" t="s">
        <v>3418</v>
      </c>
      <c r="L1874" s="151" t="s">
        <v>1579</v>
      </c>
      <c r="M1874">
        <v>207</v>
      </c>
      <c r="N1874" s="123">
        <v>17</v>
      </c>
      <c r="O1874">
        <v>1241</v>
      </c>
      <c r="P1874" s="132" t="s">
        <v>77</v>
      </c>
      <c r="Q1874" s="131">
        <v>1119.83</v>
      </c>
      <c r="R1874" s="131">
        <v>179.17</v>
      </c>
      <c r="S1874" s="131"/>
      <c r="T1874" s="155"/>
      <c r="U1874" s="131"/>
      <c r="V1874" s="131">
        <f t="shared" si="46"/>
        <v>1299</v>
      </c>
      <c r="W1874">
        <v>147</v>
      </c>
      <c r="X1874" s="151" t="s">
        <v>1644</v>
      </c>
      <c r="Y1874" s="135" t="s">
        <v>55</v>
      </c>
      <c r="Z1874" s="307">
        <v>211</v>
      </c>
      <c r="AB1874" t="str">
        <f>IF(Table1[[#This Row],[TIPO2]]="costo", VLOOKUP(Table1[[#This Row],[PARTIDA PRESUPUESTAL]],'Cost Report'!G:G,1,0),"Balance")</f>
        <v>2594-003</v>
      </c>
      <c r="AC1874" s="118"/>
      <c r="AD1874" s="159">
        <f>+Table1[[#This Row],[SUBTOTAL]]+Table1[[#This Row],[IVA]]-Table1[[#This Row],[RET IVA]]-Table1[[#This Row],[RET ISR]]-Table1[[#This Row],[TOTAL]]</f>
        <v>0</v>
      </c>
      <c r="AE1874" s="150"/>
      <c r="AF1874" s="151"/>
      <c r="AG1874" s="126" t="s">
        <v>3420</v>
      </c>
      <c r="AK1874" s="306" t="str">
        <f>IF(ISNUMBER(Table1[[#This Row],[FECHA DE RECIBIDO]]), Table1[[#This Row],[FECHA DE RECIBIDO]]-DATE(2023,8,30), "")</f>
        <v/>
      </c>
    </row>
    <row r="1875" spans="1:37" ht="16.95" customHeight="1">
      <c r="A1875" s="152" t="s">
        <v>3625</v>
      </c>
      <c r="B1875" s="153">
        <v>706</v>
      </c>
      <c r="C1875" s="126" t="s">
        <v>2566</v>
      </c>
      <c r="D1875">
        <v>1263</v>
      </c>
      <c r="E1875" s="126"/>
      <c r="F1875" s="125"/>
      <c r="G1875" s="125" t="s">
        <v>134</v>
      </c>
      <c r="H1875"/>
      <c r="I1875" s="125" t="s">
        <v>1546</v>
      </c>
      <c r="J1875" s="308">
        <v>207</v>
      </c>
      <c r="K1875" s="127" t="s">
        <v>3418</v>
      </c>
      <c r="L1875" s="153" t="s">
        <v>1579</v>
      </c>
      <c r="M1875">
        <v>78</v>
      </c>
      <c r="N1875" s="123">
        <v>17</v>
      </c>
      <c r="O1875">
        <v>1242</v>
      </c>
      <c r="P1875" s="132" t="s">
        <v>77</v>
      </c>
      <c r="Q1875" s="132">
        <v>1082.76</v>
      </c>
      <c r="R1875" s="132">
        <v>173.24</v>
      </c>
      <c r="S1875" s="132"/>
      <c r="T1875" s="156"/>
      <c r="U1875" s="132"/>
      <c r="V1875" s="132">
        <f t="shared" si="46"/>
        <v>1256</v>
      </c>
      <c r="W1875">
        <v>147</v>
      </c>
      <c r="X1875" s="153" t="s">
        <v>1644</v>
      </c>
      <c r="Y1875" s="124" t="s">
        <v>55</v>
      </c>
      <c r="Z1875" s="308">
        <v>207</v>
      </c>
      <c r="AB1875" t="str">
        <f>IF(Table1[[#This Row],[TIPO2]]="costo", VLOOKUP(Table1[[#This Row],[PARTIDA PRESUPUESTAL]],'Cost Report'!G:G,1,0),"Balance")</f>
        <v>2594-003</v>
      </c>
      <c r="AC1875" s="118"/>
      <c r="AD1875" s="159">
        <f>+Table1[[#This Row],[SUBTOTAL]]+Table1[[#This Row],[IVA]]-Table1[[#This Row],[RET IVA]]-Table1[[#This Row],[RET ISR]]-Table1[[#This Row],[TOTAL]]</f>
        <v>0</v>
      </c>
      <c r="AE1875" s="152"/>
      <c r="AF1875" s="153"/>
      <c r="AG1875" s="126" t="s">
        <v>3420</v>
      </c>
      <c r="AK1875" s="306">
        <f>IF(ISNUMBER(Table1[[#This Row],[FECHA DE RECIBIDO]]), Table1[[#This Row],[FECHA DE RECIBIDO]]-DATE(2023,8,30), "")</f>
        <v>-44961</v>
      </c>
    </row>
    <row r="1876" spans="1:37" ht="16.95" customHeight="1">
      <c r="A1876" s="150" t="s">
        <v>3625</v>
      </c>
      <c r="B1876" s="151">
        <v>706</v>
      </c>
      <c r="C1876" s="126" t="s">
        <v>2566</v>
      </c>
      <c r="D1876">
        <v>1264</v>
      </c>
      <c r="E1876" s="126"/>
      <c r="F1876" s="122"/>
      <c r="G1876" s="122" t="s">
        <v>134</v>
      </c>
      <c r="H1876"/>
      <c r="I1876" s="122" t="s">
        <v>1546</v>
      </c>
      <c r="J1876" s="307">
        <v>204</v>
      </c>
      <c r="K1876" s="127" t="s">
        <v>3418</v>
      </c>
      <c r="L1876" s="151" t="s">
        <v>1579</v>
      </c>
      <c r="M1876">
        <v>364</v>
      </c>
      <c r="N1876" s="123">
        <v>17</v>
      </c>
      <c r="O1876">
        <v>1243</v>
      </c>
      <c r="P1876" s="132" t="s">
        <v>77</v>
      </c>
      <c r="Q1876" s="131">
        <v>3726.82</v>
      </c>
      <c r="R1876" s="131">
        <v>596.28</v>
      </c>
      <c r="S1876" s="131"/>
      <c r="T1876" s="155"/>
      <c r="U1876" s="131"/>
      <c r="V1876" s="131">
        <f t="shared" si="46"/>
        <v>4323.1000000000004</v>
      </c>
      <c r="W1876">
        <v>147</v>
      </c>
      <c r="X1876" s="151" t="s">
        <v>1644</v>
      </c>
      <c r="Y1876" s="135" t="s">
        <v>55</v>
      </c>
      <c r="Z1876" s="307">
        <v>204</v>
      </c>
      <c r="AB1876" t="str">
        <f>IF(Table1[[#This Row],[TIPO2]]="costo", VLOOKUP(Table1[[#This Row],[PARTIDA PRESUPUESTAL]],'Cost Report'!G:G,1,0),"Balance")</f>
        <v>2594-003</v>
      </c>
      <c r="AC1876" s="118"/>
      <c r="AD1876" s="159">
        <f>+Table1[[#This Row],[SUBTOTAL]]+Table1[[#This Row],[IVA]]-Table1[[#This Row],[RET IVA]]-Table1[[#This Row],[RET ISR]]-Table1[[#This Row],[TOTAL]]</f>
        <v>0</v>
      </c>
      <c r="AE1876" s="150"/>
      <c r="AF1876" s="151"/>
      <c r="AG1876" s="126" t="s">
        <v>3420</v>
      </c>
      <c r="AK1876" s="306">
        <f>IF(ISNUMBER(Table1[[#This Row],[FECHA DE RECIBIDO]]), Table1[[#This Row],[FECHA DE RECIBIDO]]-DATE(2023,8,30), "")</f>
        <v>-44964</v>
      </c>
    </row>
    <row r="1877" spans="1:37" ht="16.95" customHeight="1">
      <c r="A1877" s="152" t="s">
        <v>3625</v>
      </c>
      <c r="B1877" s="153">
        <v>706</v>
      </c>
      <c r="C1877" s="126" t="s">
        <v>2566</v>
      </c>
      <c r="D1877">
        <v>1265</v>
      </c>
      <c r="E1877" s="126"/>
      <c r="F1877" s="125"/>
      <c r="G1877" s="125" t="s">
        <v>134</v>
      </c>
      <c r="H1877"/>
      <c r="I1877" s="125" t="s">
        <v>1546</v>
      </c>
      <c r="J1877" s="308">
        <v>197</v>
      </c>
      <c r="K1877" s="127" t="s">
        <v>3418</v>
      </c>
      <c r="L1877" s="153" t="s">
        <v>1579</v>
      </c>
      <c r="M1877">
        <v>306</v>
      </c>
      <c r="N1877" s="123">
        <v>17</v>
      </c>
      <c r="O1877">
        <v>1244</v>
      </c>
      <c r="P1877" s="132" t="s">
        <v>77</v>
      </c>
      <c r="Q1877" s="132">
        <v>602.59</v>
      </c>
      <c r="R1877" s="132">
        <v>96.41</v>
      </c>
      <c r="S1877" s="132"/>
      <c r="T1877" s="156"/>
      <c r="U1877" s="132"/>
      <c r="V1877" s="132">
        <f t="shared" si="46"/>
        <v>699</v>
      </c>
      <c r="W1877">
        <v>147</v>
      </c>
      <c r="X1877" s="153" t="s">
        <v>1644</v>
      </c>
      <c r="Y1877" s="124" t="s">
        <v>55</v>
      </c>
      <c r="Z1877" s="308">
        <v>197</v>
      </c>
      <c r="AB1877" t="str">
        <f>IF(Table1[[#This Row],[TIPO2]]="costo", VLOOKUP(Table1[[#This Row],[PARTIDA PRESUPUESTAL]],'Cost Report'!G:G,1,0),"Balance")</f>
        <v>2594-003</v>
      </c>
      <c r="AC1877" s="118"/>
      <c r="AD1877" s="159">
        <f>+Table1[[#This Row],[SUBTOTAL]]+Table1[[#This Row],[IVA]]-Table1[[#This Row],[RET IVA]]-Table1[[#This Row],[RET ISR]]-Table1[[#This Row],[TOTAL]]</f>
        <v>0</v>
      </c>
      <c r="AE1877" s="152"/>
      <c r="AF1877" s="153"/>
      <c r="AG1877" s="126" t="s">
        <v>3420</v>
      </c>
      <c r="AK1877" s="306">
        <f>IF(ISNUMBER(Table1[[#This Row],[FECHA DE RECIBIDO]]), Table1[[#This Row],[FECHA DE RECIBIDO]]-DATE(2023,8,30), "")</f>
        <v>-44971</v>
      </c>
    </row>
    <row r="1878" spans="1:37" ht="16.95" customHeight="1">
      <c r="A1878" s="150" t="s">
        <v>3625</v>
      </c>
      <c r="B1878" s="151">
        <v>706</v>
      </c>
      <c r="C1878" s="126" t="s">
        <v>2566</v>
      </c>
      <c r="D1878">
        <v>1266</v>
      </c>
      <c r="E1878" s="126"/>
      <c r="F1878" s="122"/>
      <c r="G1878" s="122" t="s">
        <v>134</v>
      </c>
      <c r="H1878"/>
      <c r="I1878" s="122" t="s">
        <v>1546</v>
      </c>
      <c r="J1878" s="307">
        <v>204</v>
      </c>
      <c r="K1878" s="127" t="s">
        <v>3418</v>
      </c>
      <c r="L1878" s="151" t="s">
        <v>1579</v>
      </c>
      <c r="M1878">
        <v>207</v>
      </c>
      <c r="N1878" s="123">
        <v>17</v>
      </c>
      <c r="O1878">
        <v>1245</v>
      </c>
      <c r="P1878" s="132" t="s">
        <v>77</v>
      </c>
      <c r="Q1878" s="131">
        <v>2016.72</v>
      </c>
      <c r="R1878" s="131">
        <v>322.68</v>
      </c>
      <c r="S1878" s="131"/>
      <c r="T1878" s="155"/>
      <c r="U1878" s="131"/>
      <c r="V1878" s="131">
        <f t="shared" si="46"/>
        <v>2339.4</v>
      </c>
      <c r="W1878">
        <v>147</v>
      </c>
      <c r="X1878" s="151" t="s">
        <v>1644</v>
      </c>
      <c r="Y1878" s="135" t="s">
        <v>55</v>
      </c>
      <c r="Z1878" s="307">
        <v>204</v>
      </c>
      <c r="AB1878" t="str">
        <f>IF(Table1[[#This Row],[TIPO2]]="costo", VLOOKUP(Table1[[#This Row],[PARTIDA PRESUPUESTAL]],'Cost Report'!G:G,1,0),"Balance")</f>
        <v>2594-003</v>
      </c>
      <c r="AC1878" s="118"/>
      <c r="AD1878" s="159">
        <f>+Table1[[#This Row],[SUBTOTAL]]+Table1[[#This Row],[IVA]]-Table1[[#This Row],[RET IVA]]-Table1[[#This Row],[RET ISR]]-Table1[[#This Row],[TOTAL]]</f>
        <v>0</v>
      </c>
      <c r="AE1878" s="150"/>
      <c r="AF1878" s="151"/>
      <c r="AG1878" s="126" t="s">
        <v>3420</v>
      </c>
      <c r="AK1878" s="306">
        <f>IF(ISNUMBER(Table1[[#This Row],[FECHA DE RECIBIDO]]), Table1[[#This Row],[FECHA DE RECIBIDO]]-DATE(2023,8,30), "")</f>
        <v>-44964</v>
      </c>
    </row>
    <row r="1879" spans="1:37" ht="16.95" customHeight="1">
      <c r="A1879" s="152" t="s">
        <v>3625</v>
      </c>
      <c r="B1879" s="153">
        <v>706</v>
      </c>
      <c r="C1879" s="126" t="s">
        <v>2566</v>
      </c>
      <c r="D1879">
        <v>1267</v>
      </c>
      <c r="E1879" s="126"/>
      <c r="F1879" s="125"/>
      <c r="G1879" s="125" t="s">
        <v>134</v>
      </c>
      <c r="H1879"/>
      <c r="I1879" s="125" t="s">
        <v>1546</v>
      </c>
      <c r="J1879" s="308">
        <v>204</v>
      </c>
      <c r="K1879" s="127" t="s">
        <v>3418</v>
      </c>
      <c r="L1879" s="153" t="s">
        <v>1579</v>
      </c>
      <c r="M1879">
        <v>519</v>
      </c>
      <c r="N1879" s="123">
        <v>17</v>
      </c>
      <c r="O1879">
        <v>1246</v>
      </c>
      <c r="P1879" s="132" t="s">
        <v>77</v>
      </c>
      <c r="Q1879" s="132">
        <v>3059.49</v>
      </c>
      <c r="R1879" s="132">
        <v>489.52</v>
      </c>
      <c r="S1879" s="132"/>
      <c r="T1879" s="156"/>
      <c r="U1879" s="132"/>
      <c r="V1879" s="132">
        <f t="shared" si="46"/>
        <v>3549.0099999999998</v>
      </c>
      <c r="W1879">
        <v>147</v>
      </c>
      <c r="X1879" s="153" t="s">
        <v>1644</v>
      </c>
      <c r="Y1879" s="124" t="s">
        <v>55</v>
      </c>
      <c r="Z1879" s="308">
        <v>204</v>
      </c>
      <c r="AB1879" t="str">
        <f>IF(Table1[[#This Row],[TIPO2]]="costo", VLOOKUP(Table1[[#This Row],[PARTIDA PRESUPUESTAL]],'Cost Report'!G:G,1,0),"Balance")</f>
        <v>2594-003</v>
      </c>
      <c r="AC1879" s="118"/>
      <c r="AD1879" s="159">
        <f>+Table1[[#This Row],[SUBTOTAL]]+Table1[[#This Row],[IVA]]-Table1[[#This Row],[RET IVA]]-Table1[[#This Row],[RET ISR]]-Table1[[#This Row],[TOTAL]]</f>
        <v>0</v>
      </c>
      <c r="AE1879" s="152"/>
      <c r="AF1879" s="153"/>
      <c r="AG1879" s="126" t="s">
        <v>3420</v>
      </c>
      <c r="AK1879" s="306">
        <f>IF(ISNUMBER(Table1[[#This Row],[FECHA DE RECIBIDO]]), Table1[[#This Row],[FECHA DE RECIBIDO]]-DATE(2023,8,30), "")</f>
        <v>-44964</v>
      </c>
    </row>
    <row r="1880" spans="1:37" ht="16.95" customHeight="1">
      <c r="A1880" s="150" t="s">
        <v>3625</v>
      </c>
      <c r="B1880" s="151">
        <v>706</v>
      </c>
      <c r="C1880" s="126" t="s">
        <v>2566</v>
      </c>
      <c r="D1880">
        <v>1268</v>
      </c>
      <c r="E1880" s="126"/>
      <c r="F1880" s="122"/>
      <c r="G1880" s="122" t="s">
        <v>134</v>
      </c>
      <c r="H1880"/>
      <c r="I1880" s="122" t="s">
        <v>1546</v>
      </c>
      <c r="J1880" s="307">
        <v>203</v>
      </c>
      <c r="K1880" s="127" t="s">
        <v>3418</v>
      </c>
      <c r="L1880" s="151" t="s">
        <v>1579</v>
      </c>
      <c r="M1880">
        <v>193</v>
      </c>
      <c r="N1880" s="123">
        <v>17</v>
      </c>
      <c r="O1880">
        <v>1247</v>
      </c>
      <c r="P1880" s="132" t="s">
        <v>77</v>
      </c>
      <c r="Q1880" s="131">
        <v>731.9</v>
      </c>
      <c r="R1880" s="131">
        <v>117.1</v>
      </c>
      <c r="S1880" s="131"/>
      <c r="T1880" s="155"/>
      <c r="U1880" s="131"/>
      <c r="V1880" s="131">
        <f t="shared" si="46"/>
        <v>849</v>
      </c>
      <c r="W1880">
        <v>147</v>
      </c>
      <c r="X1880" s="151" t="s">
        <v>1644</v>
      </c>
      <c r="Y1880" s="135" t="s">
        <v>55</v>
      </c>
      <c r="Z1880" s="307">
        <v>203</v>
      </c>
      <c r="AB1880" t="str">
        <f>IF(Table1[[#This Row],[TIPO2]]="costo", VLOOKUP(Table1[[#This Row],[PARTIDA PRESUPUESTAL]],'Cost Report'!G:G,1,0),"Balance")</f>
        <v>2594-003</v>
      </c>
      <c r="AC1880" s="118"/>
      <c r="AD1880" s="159">
        <f>+Table1[[#This Row],[SUBTOTAL]]+Table1[[#This Row],[IVA]]-Table1[[#This Row],[RET IVA]]-Table1[[#This Row],[RET ISR]]-Table1[[#This Row],[TOTAL]]</f>
        <v>0</v>
      </c>
      <c r="AE1880" s="150"/>
      <c r="AF1880" s="151"/>
      <c r="AG1880" s="126" t="s">
        <v>3420</v>
      </c>
      <c r="AK1880" s="306">
        <f>IF(ISNUMBER(Table1[[#This Row],[FECHA DE RECIBIDO]]), Table1[[#This Row],[FECHA DE RECIBIDO]]-DATE(2023,8,30), "")</f>
        <v>-44965</v>
      </c>
    </row>
    <row r="1881" spans="1:37" ht="16.95" customHeight="1">
      <c r="A1881" s="152" t="s">
        <v>3625</v>
      </c>
      <c r="B1881" s="153">
        <v>706</v>
      </c>
      <c r="C1881" s="126" t="s">
        <v>2566</v>
      </c>
      <c r="D1881">
        <v>1269</v>
      </c>
      <c r="E1881" s="126" t="s">
        <v>1596</v>
      </c>
      <c r="F1881" s="125" t="s">
        <v>1589</v>
      </c>
      <c r="G1881" s="125" t="s">
        <v>134</v>
      </c>
      <c r="H1881">
        <v>391</v>
      </c>
      <c r="I1881" s="125" t="s">
        <v>1546</v>
      </c>
      <c r="J1881" s="308" t="s">
        <v>214</v>
      </c>
      <c r="K1881" s="127" t="s">
        <v>3418</v>
      </c>
      <c r="L1881" s="153" t="s">
        <v>1579</v>
      </c>
      <c r="M1881">
        <v>520</v>
      </c>
      <c r="N1881" s="123">
        <v>17</v>
      </c>
      <c r="O1881">
        <v>1248</v>
      </c>
      <c r="P1881" s="132" t="s">
        <v>77</v>
      </c>
      <c r="Q1881" s="132">
        <v>170</v>
      </c>
      <c r="R1881" s="132">
        <v>27.2</v>
      </c>
      <c r="S1881" s="132"/>
      <c r="T1881" s="156"/>
      <c r="U1881" s="132"/>
      <c r="V1881" s="132">
        <f t="shared" si="46"/>
        <v>197.2</v>
      </c>
      <c r="W1881">
        <v>147</v>
      </c>
      <c r="X1881" s="153" t="s">
        <v>1644</v>
      </c>
      <c r="Y1881" s="124" t="s">
        <v>55</v>
      </c>
      <c r="Z1881" s="308">
        <v>210</v>
      </c>
      <c r="AB1881" t="str">
        <f>IF(Table1[[#This Row],[TIPO2]]="costo", VLOOKUP(Table1[[#This Row],[PARTIDA PRESUPUESTAL]],'Cost Report'!G:G,1,0),"Balance")</f>
        <v>2594-003</v>
      </c>
      <c r="AC1881" s="118"/>
      <c r="AD1881" s="159">
        <f>+Table1[[#This Row],[SUBTOTAL]]+Table1[[#This Row],[IVA]]-Table1[[#This Row],[RET IVA]]-Table1[[#This Row],[RET ISR]]-Table1[[#This Row],[TOTAL]]</f>
        <v>0</v>
      </c>
      <c r="AE1881" s="152"/>
      <c r="AF1881" s="153"/>
      <c r="AG1881" s="126" t="s">
        <v>3420</v>
      </c>
      <c r="AK1881" s="306" t="str">
        <f>IF(ISNUMBER(Table1[[#This Row],[FECHA DE RECIBIDO]]), Table1[[#This Row],[FECHA DE RECIBIDO]]-DATE(2023,8,30), "")</f>
        <v/>
      </c>
    </row>
    <row r="1882" spans="1:37" ht="16.95" customHeight="1">
      <c r="A1882" s="150" t="s">
        <v>3625</v>
      </c>
      <c r="B1882" s="151">
        <v>706</v>
      </c>
      <c r="C1882" s="126" t="s">
        <v>2566</v>
      </c>
      <c r="D1882">
        <v>1270</v>
      </c>
      <c r="E1882" s="126" t="s">
        <v>1985</v>
      </c>
      <c r="F1882" s="122" t="s">
        <v>1602</v>
      </c>
      <c r="G1882" s="122" t="s">
        <v>134</v>
      </c>
      <c r="H1882">
        <v>392</v>
      </c>
      <c r="I1882" s="122" t="s">
        <v>1546</v>
      </c>
      <c r="J1882" s="307" t="s">
        <v>214</v>
      </c>
      <c r="K1882" s="127" t="s">
        <v>3418</v>
      </c>
      <c r="L1882" s="151" t="s">
        <v>1579</v>
      </c>
      <c r="M1882">
        <v>521</v>
      </c>
      <c r="N1882" s="123">
        <v>17</v>
      </c>
      <c r="O1882">
        <v>1249</v>
      </c>
      <c r="P1882" s="132" t="s">
        <v>77</v>
      </c>
      <c r="Q1882" s="131">
        <v>140</v>
      </c>
      <c r="R1882" s="131"/>
      <c r="S1882" s="131"/>
      <c r="T1882" s="155"/>
      <c r="U1882" s="131"/>
      <c r="V1882" s="131">
        <f t="shared" si="46"/>
        <v>140</v>
      </c>
      <c r="W1882">
        <v>147</v>
      </c>
      <c r="X1882" s="151" t="s">
        <v>1644</v>
      </c>
      <c r="Y1882" s="135" t="s">
        <v>55</v>
      </c>
      <c r="Z1882" s="307">
        <v>211</v>
      </c>
      <c r="AB1882" t="str">
        <f>IF(Table1[[#This Row],[TIPO2]]="costo", VLOOKUP(Table1[[#This Row],[PARTIDA PRESUPUESTAL]],'Cost Report'!G:G,1,0),"Balance")</f>
        <v>2594-003</v>
      </c>
      <c r="AC1882" s="118"/>
      <c r="AD1882" s="159">
        <f>+Table1[[#This Row],[SUBTOTAL]]+Table1[[#This Row],[IVA]]-Table1[[#This Row],[RET IVA]]-Table1[[#This Row],[RET ISR]]-Table1[[#This Row],[TOTAL]]</f>
        <v>0</v>
      </c>
      <c r="AE1882" s="150"/>
      <c r="AF1882" s="151"/>
      <c r="AG1882" s="126" t="s">
        <v>3420</v>
      </c>
      <c r="AK1882" s="306" t="str">
        <f>IF(ISNUMBER(Table1[[#This Row],[FECHA DE RECIBIDO]]), Table1[[#This Row],[FECHA DE RECIBIDO]]-DATE(2023,8,30), "")</f>
        <v/>
      </c>
    </row>
    <row r="1883" spans="1:37" ht="16.95" customHeight="1">
      <c r="A1883" s="152" t="s">
        <v>3625</v>
      </c>
      <c r="B1883" s="153">
        <v>706</v>
      </c>
      <c r="C1883" s="126" t="s">
        <v>2565</v>
      </c>
      <c r="D1883">
        <v>1271</v>
      </c>
      <c r="E1883" s="126" t="s">
        <v>1598</v>
      </c>
      <c r="F1883" s="125" t="s">
        <v>1607</v>
      </c>
      <c r="G1883" s="125" t="s">
        <v>134</v>
      </c>
      <c r="H1883">
        <v>393</v>
      </c>
      <c r="I1883" s="125" t="s">
        <v>1546</v>
      </c>
      <c r="J1883" s="308" t="s">
        <v>214</v>
      </c>
      <c r="K1883" s="127" t="s">
        <v>3418</v>
      </c>
      <c r="L1883" s="153" t="s">
        <v>1579</v>
      </c>
      <c r="M1883">
        <v>522</v>
      </c>
      <c r="N1883" s="123">
        <v>17</v>
      </c>
      <c r="O1883">
        <v>905</v>
      </c>
      <c r="P1883" s="132" t="s">
        <v>77</v>
      </c>
      <c r="Q1883" s="132">
        <v>51.72</v>
      </c>
      <c r="R1883" s="132">
        <v>8.2799999999999994</v>
      </c>
      <c r="S1883" s="132"/>
      <c r="T1883" s="156"/>
      <c r="U1883" s="132"/>
      <c r="V1883" s="132">
        <f t="shared" si="46"/>
        <v>60</v>
      </c>
      <c r="W1883">
        <v>147</v>
      </c>
      <c r="X1883" s="153" t="s">
        <v>1644</v>
      </c>
      <c r="Y1883" s="124" t="s">
        <v>55</v>
      </c>
      <c r="Z1883" s="308">
        <v>185</v>
      </c>
      <c r="AB1883" t="str">
        <f>IF(Table1[[#This Row],[TIPO2]]="costo", VLOOKUP(Table1[[#This Row],[PARTIDA PRESUPUESTAL]],'Cost Report'!G:G,1,0),"Balance")</f>
        <v>2585-003</v>
      </c>
      <c r="AC1883" s="118"/>
      <c r="AD1883" s="159">
        <f>+Table1[[#This Row],[SUBTOTAL]]+Table1[[#This Row],[IVA]]-Table1[[#This Row],[RET IVA]]-Table1[[#This Row],[RET ISR]]-Table1[[#This Row],[TOTAL]]</f>
        <v>0</v>
      </c>
      <c r="AE1883" s="152"/>
      <c r="AF1883" s="153"/>
      <c r="AG1883" s="126" t="s">
        <v>3420</v>
      </c>
      <c r="AK1883" s="306" t="str">
        <f>IF(ISNUMBER(Table1[[#This Row],[FECHA DE RECIBIDO]]), Table1[[#This Row],[FECHA DE RECIBIDO]]-DATE(2023,8,30), "")</f>
        <v/>
      </c>
    </row>
    <row r="1884" spans="1:37" ht="16.95" customHeight="1">
      <c r="A1884" s="150" t="s">
        <v>3625</v>
      </c>
      <c r="B1884" s="151">
        <v>706</v>
      </c>
      <c r="C1884" s="126" t="s">
        <v>2566</v>
      </c>
      <c r="D1884">
        <v>1272</v>
      </c>
      <c r="E1884" s="126" t="s">
        <v>3270</v>
      </c>
      <c r="F1884" s="122" t="s">
        <v>1589</v>
      </c>
      <c r="G1884" s="122" t="s">
        <v>134</v>
      </c>
      <c r="H1884">
        <v>394</v>
      </c>
      <c r="I1884" s="122" t="s">
        <v>1546</v>
      </c>
      <c r="J1884" s="307" t="s">
        <v>214</v>
      </c>
      <c r="K1884" s="127" t="s">
        <v>3418</v>
      </c>
      <c r="L1884" s="151" t="s">
        <v>1579</v>
      </c>
      <c r="M1884">
        <v>523</v>
      </c>
      <c r="N1884" s="123">
        <v>17</v>
      </c>
      <c r="O1884">
        <v>1250</v>
      </c>
      <c r="P1884" s="132" t="s">
        <v>77</v>
      </c>
      <c r="Q1884" s="131">
        <v>646.54999999999995</v>
      </c>
      <c r="R1884" s="131">
        <v>103.45</v>
      </c>
      <c r="S1884" s="131"/>
      <c r="T1884" s="155"/>
      <c r="U1884" s="131"/>
      <c r="V1884" s="131">
        <f t="shared" si="46"/>
        <v>750</v>
      </c>
      <c r="W1884">
        <v>147</v>
      </c>
      <c r="X1884" s="151" t="s">
        <v>1644</v>
      </c>
      <c r="Y1884" s="135" t="s">
        <v>55</v>
      </c>
      <c r="Z1884" s="307">
        <v>213</v>
      </c>
      <c r="AB1884" t="str">
        <f>IF(Table1[[#This Row],[TIPO2]]="costo", VLOOKUP(Table1[[#This Row],[PARTIDA PRESUPUESTAL]],'Cost Report'!G:G,1,0),"Balance")</f>
        <v>2594-003</v>
      </c>
      <c r="AC1884" s="118"/>
      <c r="AD1884" s="159">
        <f>+Table1[[#This Row],[SUBTOTAL]]+Table1[[#This Row],[IVA]]-Table1[[#This Row],[RET IVA]]-Table1[[#This Row],[RET ISR]]-Table1[[#This Row],[TOTAL]]</f>
        <v>0</v>
      </c>
      <c r="AE1884" s="150"/>
      <c r="AF1884" s="151"/>
      <c r="AG1884" s="126" t="s">
        <v>3420</v>
      </c>
      <c r="AK1884" s="306" t="str">
        <f>IF(ISNUMBER(Table1[[#This Row],[FECHA DE RECIBIDO]]), Table1[[#This Row],[FECHA DE RECIBIDO]]-DATE(2023,8,30), "")</f>
        <v/>
      </c>
    </row>
    <row r="1885" spans="1:37" ht="16.95" customHeight="1">
      <c r="A1885" s="152" t="s">
        <v>3625</v>
      </c>
      <c r="B1885" s="153">
        <v>706</v>
      </c>
      <c r="C1885" s="126" t="s">
        <v>2566</v>
      </c>
      <c r="D1885">
        <v>1273</v>
      </c>
      <c r="E1885" s="126" t="s">
        <v>3270</v>
      </c>
      <c r="F1885" s="125" t="s">
        <v>1589</v>
      </c>
      <c r="G1885" s="125" t="s">
        <v>134</v>
      </c>
      <c r="H1885">
        <v>395</v>
      </c>
      <c r="I1885" s="125" t="s">
        <v>1546</v>
      </c>
      <c r="J1885" s="308" t="s">
        <v>214</v>
      </c>
      <c r="K1885" s="127" t="s">
        <v>3418</v>
      </c>
      <c r="L1885" s="153" t="s">
        <v>1579</v>
      </c>
      <c r="M1885">
        <v>524</v>
      </c>
      <c r="N1885" s="123">
        <v>17</v>
      </c>
      <c r="O1885">
        <v>1251</v>
      </c>
      <c r="P1885" s="132" t="s">
        <v>77</v>
      </c>
      <c r="Q1885" s="132">
        <v>555</v>
      </c>
      <c r="R1885" s="132">
        <v>88.8</v>
      </c>
      <c r="S1885" s="132"/>
      <c r="T1885" s="156"/>
      <c r="U1885" s="132"/>
      <c r="V1885" s="132">
        <f t="shared" si="46"/>
        <v>643.79999999999995</v>
      </c>
      <c r="W1885">
        <v>147</v>
      </c>
      <c r="X1885" s="153" t="s">
        <v>1644</v>
      </c>
      <c r="Y1885" s="124" t="s">
        <v>55</v>
      </c>
      <c r="Z1885" s="308">
        <v>218</v>
      </c>
      <c r="AB1885" t="str">
        <f>IF(Table1[[#This Row],[TIPO2]]="costo", VLOOKUP(Table1[[#This Row],[PARTIDA PRESUPUESTAL]],'Cost Report'!G:G,1,0),"Balance")</f>
        <v>2594-003</v>
      </c>
      <c r="AC1885" s="118"/>
      <c r="AD1885" s="159">
        <f>+Table1[[#This Row],[SUBTOTAL]]+Table1[[#This Row],[IVA]]-Table1[[#This Row],[RET IVA]]-Table1[[#This Row],[RET ISR]]-Table1[[#This Row],[TOTAL]]</f>
        <v>0</v>
      </c>
      <c r="AE1885" s="152"/>
      <c r="AF1885" s="153"/>
      <c r="AG1885" s="126" t="s">
        <v>3420</v>
      </c>
      <c r="AK1885" s="306" t="str">
        <f>IF(ISNUMBER(Table1[[#This Row],[FECHA DE RECIBIDO]]), Table1[[#This Row],[FECHA DE RECIBIDO]]-DATE(2023,8,30), "")</f>
        <v/>
      </c>
    </row>
    <row r="1886" spans="1:37" ht="16.95" customHeight="1">
      <c r="A1886" s="150" t="s">
        <v>3625</v>
      </c>
      <c r="B1886" s="151">
        <v>706</v>
      </c>
      <c r="C1886" s="126" t="s">
        <v>2566</v>
      </c>
      <c r="D1886">
        <v>1274</v>
      </c>
      <c r="E1886" s="126" t="s">
        <v>1999</v>
      </c>
      <c r="F1886" s="122" t="s">
        <v>1607</v>
      </c>
      <c r="G1886" s="122" t="s">
        <v>134</v>
      </c>
      <c r="H1886">
        <v>396</v>
      </c>
      <c r="I1886" s="122" t="s">
        <v>1546</v>
      </c>
      <c r="J1886" s="307" t="s">
        <v>214</v>
      </c>
      <c r="K1886" s="127" t="s">
        <v>3418</v>
      </c>
      <c r="L1886" s="151" t="s">
        <v>1579</v>
      </c>
      <c r="M1886">
        <v>525</v>
      </c>
      <c r="N1886" s="123">
        <v>17</v>
      </c>
      <c r="O1886">
        <v>1252</v>
      </c>
      <c r="P1886" s="132" t="s">
        <v>77</v>
      </c>
      <c r="Q1886" s="131">
        <v>343.97</v>
      </c>
      <c r="R1886" s="131">
        <v>55.03</v>
      </c>
      <c r="S1886" s="131"/>
      <c r="T1886" s="155"/>
      <c r="U1886" s="131"/>
      <c r="V1886" s="131">
        <f t="shared" si="46"/>
        <v>399</v>
      </c>
      <c r="W1886">
        <v>147</v>
      </c>
      <c r="X1886" s="151" t="s">
        <v>1644</v>
      </c>
      <c r="Y1886" s="135" t="s">
        <v>55</v>
      </c>
      <c r="Z1886" s="307">
        <v>184</v>
      </c>
      <c r="AB1886" t="str">
        <f>IF(Table1[[#This Row],[TIPO2]]="costo", VLOOKUP(Table1[[#This Row],[PARTIDA PRESUPUESTAL]],'Cost Report'!G:G,1,0),"Balance")</f>
        <v>2594-003</v>
      </c>
      <c r="AC1886" s="118"/>
      <c r="AD1886" s="159">
        <f>+Table1[[#This Row],[SUBTOTAL]]+Table1[[#This Row],[IVA]]-Table1[[#This Row],[RET IVA]]-Table1[[#This Row],[RET ISR]]-Table1[[#This Row],[TOTAL]]</f>
        <v>0</v>
      </c>
      <c r="AE1886" s="150"/>
      <c r="AF1886" s="151"/>
      <c r="AG1886" s="126" t="s">
        <v>3420</v>
      </c>
      <c r="AK1886" s="306" t="str">
        <f>IF(ISNUMBER(Table1[[#This Row],[FECHA DE RECIBIDO]]), Table1[[#This Row],[FECHA DE RECIBIDO]]-DATE(2023,8,30), "")</f>
        <v/>
      </c>
    </row>
    <row r="1887" spans="1:37" ht="16.95" customHeight="1">
      <c r="A1887" s="152" t="s">
        <v>3625</v>
      </c>
      <c r="B1887" s="153">
        <v>706</v>
      </c>
      <c r="C1887" s="126" t="s">
        <v>2566</v>
      </c>
      <c r="D1887">
        <v>1275</v>
      </c>
      <c r="E1887" s="126" t="s">
        <v>3664</v>
      </c>
      <c r="F1887" s="125" t="s">
        <v>1607</v>
      </c>
      <c r="G1887" s="125" t="s">
        <v>134</v>
      </c>
      <c r="H1887">
        <v>397</v>
      </c>
      <c r="I1887" s="125" t="s">
        <v>1546</v>
      </c>
      <c r="J1887" s="308" t="s">
        <v>214</v>
      </c>
      <c r="K1887" s="127" t="s">
        <v>3418</v>
      </c>
      <c r="L1887" s="153" t="s">
        <v>1579</v>
      </c>
      <c r="M1887">
        <v>526</v>
      </c>
      <c r="N1887" s="123">
        <v>17</v>
      </c>
      <c r="O1887">
        <v>1253</v>
      </c>
      <c r="P1887" s="132" t="s">
        <v>77</v>
      </c>
      <c r="Q1887" s="132">
        <v>425</v>
      </c>
      <c r="R1887" s="132">
        <v>68</v>
      </c>
      <c r="S1887" s="132"/>
      <c r="T1887" s="156"/>
      <c r="U1887" s="132"/>
      <c r="V1887" s="132">
        <f t="shared" si="46"/>
        <v>493</v>
      </c>
      <c r="W1887">
        <v>147</v>
      </c>
      <c r="X1887" s="153" t="s">
        <v>1644</v>
      </c>
      <c r="Y1887" s="124" t="s">
        <v>55</v>
      </c>
      <c r="Z1887" s="308">
        <v>211</v>
      </c>
      <c r="AB1887" t="str">
        <f>IF(Table1[[#This Row],[TIPO2]]="costo", VLOOKUP(Table1[[#This Row],[PARTIDA PRESUPUESTAL]],'Cost Report'!G:G,1,0),"Balance")</f>
        <v>2594-003</v>
      </c>
      <c r="AC1887" s="118"/>
      <c r="AD1887" s="159">
        <f>+Table1[[#This Row],[SUBTOTAL]]+Table1[[#This Row],[IVA]]-Table1[[#This Row],[RET IVA]]-Table1[[#This Row],[RET ISR]]-Table1[[#This Row],[TOTAL]]</f>
        <v>0</v>
      </c>
      <c r="AE1887" s="152"/>
      <c r="AF1887" s="153"/>
      <c r="AG1887" s="126" t="s">
        <v>3420</v>
      </c>
      <c r="AK1887" s="306" t="str">
        <f>IF(ISNUMBER(Table1[[#This Row],[FECHA DE RECIBIDO]]), Table1[[#This Row],[FECHA DE RECIBIDO]]-DATE(2023,8,30), "")</f>
        <v/>
      </c>
    </row>
    <row r="1888" spans="1:37" ht="16.95" customHeight="1">
      <c r="A1888" s="150" t="s">
        <v>3625</v>
      </c>
      <c r="B1888" s="151">
        <v>706</v>
      </c>
      <c r="C1888" s="126" t="s">
        <v>2566</v>
      </c>
      <c r="D1888">
        <v>1276</v>
      </c>
      <c r="E1888" s="126" t="s">
        <v>3665</v>
      </c>
      <c r="F1888" s="122" t="s">
        <v>1589</v>
      </c>
      <c r="G1888" s="122" t="s">
        <v>134</v>
      </c>
      <c r="H1888">
        <v>398</v>
      </c>
      <c r="I1888" s="122" t="s">
        <v>1546</v>
      </c>
      <c r="J1888" s="307" t="s">
        <v>214</v>
      </c>
      <c r="K1888" s="127" t="s">
        <v>3418</v>
      </c>
      <c r="L1888" s="151" t="s">
        <v>1579</v>
      </c>
      <c r="M1888">
        <v>527</v>
      </c>
      <c r="N1888" s="123">
        <v>17</v>
      </c>
      <c r="O1888">
        <v>1254</v>
      </c>
      <c r="P1888" s="132" t="s">
        <v>77</v>
      </c>
      <c r="Q1888" s="131">
        <v>228.45</v>
      </c>
      <c r="R1888" s="131">
        <v>36.549999999999997</v>
      </c>
      <c r="S1888" s="131"/>
      <c r="T1888" s="155"/>
      <c r="U1888" s="131"/>
      <c r="V1888" s="131">
        <f t="shared" si="46"/>
        <v>265</v>
      </c>
      <c r="W1888">
        <v>147</v>
      </c>
      <c r="X1888" s="151" t="s">
        <v>1644</v>
      </c>
      <c r="Y1888" s="135" t="s">
        <v>55</v>
      </c>
      <c r="Z1888" s="307">
        <v>217</v>
      </c>
      <c r="AB1888" t="str">
        <f>IF(Table1[[#This Row],[TIPO2]]="costo", VLOOKUP(Table1[[#This Row],[PARTIDA PRESUPUESTAL]],'Cost Report'!G:G,1,0),"Balance")</f>
        <v>2594-003</v>
      </c>
      <c r="AC1888" s="118"/>
      <c r="AD1888" s="159">
        <f>+Table1[[#This Row],[SUBTOTAL]]+Table1[[#This Row],[IVA]]-Table1[[#This Row],[RET IVA]]-Table1[[#This Row],[RET ISR]]-Table1[[#This Row],[TOTAL]]</f>
        <v>0</v>
      </c>
      <c r="AE1888" s="150"/>
      <c r="AF1888" s="151"/>
      <c r="AG1888" s="126" t="s">
        <v>3420</v>
      </c>
      <c r="AK1888" s="306" t="str">
        <f>IF(ISNUMBER(Table1[[#This Row],[FECHA DE RECIBIDO]]), Table1[[#This Row],[FECHA DE RECIBIDO]]-DATE(2023,8,30), "")</f>
        <v/>
      </c>
    </row>
    <row r="1889" spans="1:37" ht="16.95" customHeight="1">
      <c r="A1889" s="152" t="s">
        <v>3625</v>
      </c>
      <c r="B1889" s="153">
        <v>706</v>
      </c>
      <c r="C1889" s="126" t="s">
        <v>2565</v>
      </c>
      <c r="D1889">
        <v>661</v>
      </c>
      <c r="E1889" s="126"/>
      <c r="F1889" s="125"/>
      <c r="G1889" s="125"/>
      <c r="H1889"/>
      <c r="I1889" s="125"/>
      <c r="J1889" s="308">
        <v>212</v>
      </c>
      <c r="K1889" s="127" t="s">
        <v>3418</v>
      </c>
      <c r="L1889" s="153" t="s">
        <v>1579</v>
      </c>
      <c r="M1889">
        <v>528</v>
      </c>
      <c r="N1889" s="123">
        <v>17</v>
      </c>
      <c r="O1889">
        <v>1255</v>
      </c>
      <c r="P1889" s="132" t="s">
        <v>77</v>
      </c>
      <c r="Q1889" s="132">
        <v>10</v>
      </c>
      <c r="R1889" s="132"/>
      <c r="S1889" s="132"/>
      <c r="T1889" s="156"/>
      <c r="U1889" s="132"/>
      <c r="V1889" s="132">
        <f t="shared" si="46"/>
        <v>10</v>
      </c>
      <c r="W1889">
        <v>147</v>
      </c>
      <c r="X1889" s="153" t="s">
        <v>1644</v>
      </c>
      <c r="Y1889" s="124" t="s">
        <v>55</v>
      </c>
      <c r="Z1889" s="308">
        <v>212</v>
      </c>
      <c r="AB1889" t="str">
        <f>IF(Table1[[#This Row],[TIPO2]]="costo", VLOOKUP(Table1[[#This Row],[PARTIDA PRESUPUESTAL]],'Cost Report'!G:G,1,0),"Balance")</f>
        <v>2585-003</v>
      </c>
      <c r="AC1889" s="118"/>
      <c r="AD1889" s="159">
        <f>+Table1[[#This Row],[SUBTOTAL]]+Table1[[#This Row],[IVA]]-Table1[[#This Row],[RET IVA]]-Table1[[#This Row],[RET ISR]]-Table1[[#This Row],[TOTAL]]</f>
        <v>0</v>
      </c>
      <c r="AE1889" s="152"/>
      <c r="AF1889" s="153"/>
      <c r="AG1889" s="126" t="s">
        <v>3420</v>
      </c>
      <c r="AK1889" s="306">
        <f>IF(ISNUMBER(Table1[[#This Row],[FECHA DE RECIBIDO]]), Table1[[#This Row],[FECHA DE RECIBIDO]]-DATE(2023,8,30), "")</f>
        <v>-44956</v>
      </c>
    </row>
    <row r="1890" spans="1:37" ht="16.95" customHeight="1">
      <c r="A1890" s="150" t="s">
        <v>3625</v>
      </c>
      <c r="B1890" s="151">
        <v>706</v>
      </c>
      <c r="C1890" s="126" t="s">
        <v>2565</v>
      </c>
      <c r="D1890">
        <v>661</v>
      </c>
      <c r="E1890" s="126"/>
      <c r="F1890" s="122"/>
      <c r="G1890" s="122"/>
      <c r="H1890"/>
      <c r="I1890" s="122"/>
      <c r="J1890" s="307">
        <v>214</v>
      </c>
      <c r="K1890" s="127" t="s">
        <v>3418</v>
      </c>
      <c r="L1890" s="151" t="s">
        <v>1579</v>
      </c>
      <c r="M1890">
        <v>529</v>
      </c>
      <c r="N1890" s="123">
        <v>17</v>
      </c>
      <c r="O1890">
        <v>1255</v>
      </c>
      <c r="P1890" s="132" t="s">
        <v>77</v>
      </c>
      <c r="Q1890" s="131">
        <v>10</v>
      </c>
      <c r="R1890" s="131"/>
      <c r="S1890" s="131"/>
      <c r="T1890" s="155"/>
      <c r="U1890" s="131"/>
      <c r="V1890" s="131">
        <f t="shared" si="46"/>
        <v>10</v>
      </c>
      <c r="W1890">
        <v>147</v>
      </c>
      <c r="X1890" s="151" t="s">
        <v>1644</v>
      </c>
      <c r="Y1890" s="135" t="s">
        <v>55</v>
      </c>
      <c r="Z1890" s="307">
        <v>214</v>
      </c>
      <c r="AB1890" t="str">
        <f>IF(Table1[[#This Row],[TIPO2]]="costo", VLOOKUP(Table1[[#This Row],[PARTIDA PRESUPUESTAL]],'Cost Report'!G:G,1,0),"Balance")</f>
        <v>2585-003</v>
      </c>
      <c r="AC1890" s="118"/>
      <c r="AD1890" s="159">
        <f>+Table1[[#This Row],[SUBTOTAL]]+Table1[[#This Row],[IVA]]-Table1[[#This Row],[RET IVA]]-Table1[[#This Row],[RET ISR]]-Table1[[#This Row],[TOTAL]]</f>
        <v>0</v>
      </c>
      <c r="AE1890" s="150"/>
      <c r="AF1890" s="151"/>
      <c r="AG1890" s="126" t="s">
        <v>3420</v>
      </c>
      <c r="AK1890" s="306">
        <f>IF(ISNUMBER(Table1[[#This Row],[FECHA DE RECIBIDO]]), Table1[[#This Row],[FECHA DE RECIBIDO]]-DATE(2023,8,30), "")</f>
        <v>-44954</v>
      </c>
    </row>
    <row r="1891" spans="1:37" ht="16.95" customHeight="1">
      <c r="A1891" s="152" t="s">
        <v>3625</v>
      </c>
      <c r="B1891" s="153">
        <v>706</v>
      </c>
      <c r="C1891" s="126" t="s">
        <v>2565</v>
      </c>
      <c r="D1891">
        <v>661</v>
      </c>
      <c r="E1891" s="126"/>
      <c r="F1891" s="125"/>
      <c r="G1891" s="125"/>
      <c r="H1891"/>
      <c r="I1891" s="125"/>
      <c r="J1891" s="308">
        <v>214</v>
      </c>
      <c r="K1891" s="127" t="s">
        <v>3418</v>
      </c>
      <c r="L1891" s="153" t="s">
        <v>1579</v>
      </c>
      <c r="M1891">
        <v>530</v>
      </c>
      <c r="N1891" s="123">
        <v>17</v>
      </c>
      <c r="O1891">
        <v>1255</v>
      </c>
      <c r="P1891" s="132" t="s">
        <v>77</v>
      </c>
      <c r="Q1891" s="132">
        <v>30</v>
      </c>
      <c r="R1891" s="132"/>
      <c r="S1891" s="132"/>
      <c r="T1891" s="156"/>
      <c r="U1891" s="132"/>
      <c r="V1891" s="132">
        <f t="shared" si="46"/>
        <v>30</v>
      </c>
      <c r="W1891">
        <v>147</v>
      </c>
      <c r="X1891" s="153" t="s">
        <v>1644</v>
      </c>
      <c r="Y1891" s="124" t="s">
        <v>55</v>
      </c>
      <c r="Z1891" s="308">
        <v>214</v>
      </c>
      <c r="AB1891" t="str">
        <f>IF(Table1[[#This Row],[TIPO2]]="costo", VLOOKUP(Table1[[#This Row],[PARTIDA PRESUPUESTAL]],'Cost Report'!G:G,1,0),"Balance")</f>
        <v>2585-003</v>
      </c>
      <c r="AC1891" s="118"/>
      <c r="AD1891" s="159">
        <f>+Table1[[#This Row],[SUBTOTAL]]+Table1[[#This Row],[IVA]]-Table1[[#This Row],[RET IVA]]-Table1[[#This Row],[RET ISR]]-Table1[[#This Row],[TOTAL]]</f>
        <v>0</v>
      </c>
      <c r="AE1891" s="152"/>
      <c r="AF1891" s="153"/>
      <c r="AG1891" s="126" t="s">
        <v>3420</v>
      </c>
      <c r="AK1891" s="306">
        <f>IF(ISNUMBER(Table1[[#This Row],[FECHA DE RECIBIDO]]), Table1[[#This Row],[FECHA DE RECIBIDO]]-DATE(2023,8,30), "")</f>
        <v>-44954</v>
      </c>
    </row>
    <row r="1892" spans="1:37" ht="16.95" customHeight="1">
      <c r="A1892" s="150" t="s">
        <v>3626</v>
      </c>
      <c r="B1892" s="151">
        <v>707</v>
      </c>
      <c r="C1892" s="126" t="s">
        <v>2566</v>
      </c>
      <c r="D1892">
        <v>1277</v>
      </c>
      <c r="E1892" s="126" t="s">
        <v>2008</v>
      </c>
      <c r="F1892" s="122" t="s">
        <v>1607</v>
      </c>
      <c r="G1892" s="122" t="s">
        <v>134</v>
      </c>
      <c r="H1892">
        <v>234</v>
      </c>
      <c r="I1892" s="122" t="s">
        <v>1546</v>
      </c>
      <c r="J1892" s="307" t="s">
        <v>214</v>
      </c>
      <c r="K1892" s="127" t="s">
        <v>3418</v>
      </c>
      <c r="L1892" s="151" t="s">
        <v>1579</v>
      </c>
      <c r="M1892">
        <v>306</v>
      </c>
      <c r="N1892" s="123">
        <v>17</v>
      </c>
      <c r="O1892">
        <v>1256</v>
      </c>
      <c r="P1892" s="132" t="s">
        <v>77</v>
      </c>
      <c r="Q1892" s="131">
        <v>775</v>
      </c>
      <c r="R1892" s="131">
        <v>124</v>
      </c>
      <c r="S1892" s="131"/>
      <c r="T1892" s="155"/>
      <c r="U1892" s="131"/>
      <c r="V1892" s="131">
        <f t="shared" si="46"/>
        <v>899</v>
      </c>
      <c r="W1892">
        <v>148</v>
      </c>
      <c r="X1892" s="151" t="s">
        <v>1644</v>
      </c>
      <c r="Y1892" s="135" t="s">
        <v>55</v>
      </c>
      <c r="Z1892" s="307">
        <v>213</v>
      </c>
      <c r="AB1892" t="str">
        <f>IF(Table1[[#This Row],[TIPO2]]="costo", VLOOKUP(Table1[[#This Row],[PARTIDA PRESUPUESTAL]],'Cost Report'!G:G,1,0),"Balance")</f>
        <v>2594-003</v>
      </c>
      <c r="AC1892" s="118"/>
      <c r="AD1892" s="159">
        <f>+Table1[[#This Row],[SUBTOTAL]]+Table1[[#This Row],[IVA]]-Table1[[#This Row],[RET IVA]]-Table1[[#This Row],[RET ISR]]-Table1[[#This Row],[TOTAL]]</f>
        <v>0</v>
      </c>
      <c r="AE1892" s="150"/>
      <c r="AF1892" s="151"/>
      <c r="AG1892" s="126" t="s">
        <v>3420</v>
      </c>
      <c r="AK1892" s="306" t="str">
        <f>IF(ISNUMBER(Table1[[#This Row],[FECHA DE RECIBIDO]]), Table1[[#This Row],[FECHA DE RECIBIDO]]-DATE(2023,8,30), "")</f>
        <v/>
      </c>
    </row>
    <row r="1893" spans="1:37" ht="16.95" customHeight="1">
      <c r="A1893" s="152" t="s">
        <v>3626</v>
      </c>
      <c r="B1893" s="153">
        <v>707</v>
      </c>
      <c r="C1893" s="126" t="s">
        <v>2566</v>
      </c>
      <c r="D1893">
        <v>1278</v>
      </c>
      <c r="E1893" s="126" t="s">
        <v>1598</v>
      </c>
      <c r="F1893" s="125" t="s">
        <v>1607</v>
      </c>
      <c r="G1893" s="125" t="s">
        <v>134</v>
      </c>
      <c r="H1893">
        <v>399</v>
      </c>
      <c r="I1893" s="125" t="s">
        <v>1546</v>
      </c>
      <c r="J1893" s="308" t="s">
        <v>214</v>
      </c>
      <c r="K1893" s="127" t="s">
        <v>3418</v>
      </c>
      <c r="L1893" s="153" t="s">
        <v>1579</v>
      </c>
      <c r="M1893">
        <v>531</v>
      </c>
      <c r="N1893" s="123">
        <v>17</v>
      </c>
      <c r="O1893">
        <v>1257</v>
      </c>
      <c r="P1893" s="132" t="s">
        <v>77</v>
      </c>
      <c r="Q1893" s="132">
        <v>394.82</v>
      </c>
      <c r="R1893" s="132">
        <v>63.17</v>
      </c>
      <c r="S1893" s="132"/>
      <c r="T1893" s="156"/>
      <c r="U1893" s="132"/>
      <c r="V1893" s="132">
        <f t="shared" si="46"/>
        <v>457.99</v>
      </c>
      <c r="W1893">
        <v>148</v>
      </c>
      <c r="X1893" s="153" t="s">
        <v>1644</v>
      </c>
      <c r="Y1893" s="124" t="s">
        <v>55</v>
      </c>
      <c r="Z1893" s="308">
        <v>212</v>
      </c>
      <c r="AB1893" t="str">
        <f>IF(Table1[[#This Row],[TIPO2]]="costo", VLOOKUP(Table1[[#This Row],[PARTIDA PRESUPUESTAL]],'Cost Report'!G:G,1,0),"Balance")</f>
        <v>2594-003</v>
      </c>
      <c r="AC1893" s="118"/>
      <c r="AD1893" s="159">
        <f>+Table1[[#This Row],[SUBTOTAL]]+Table1[[#This Row],[IVA]]-Table1[[#This Row],[RET IVA]]-Table1[[#This Row],[RET ISR]]-Table1[[#This Row],[TOTAL]]</f>
        <v>0</v>
      </c>
      <c r="AE1893" s="152"/>
      <c r="AF1893" s="153"/>
      <c r="AG1893" s="126" t="s">
        <v>3420</v>
      </c>
      <c r="AK1893" s="306" t="str">
        <f>IF(ISNUMBER(Table1[[#This Row],[FECHA DE RECIBIDO]]), Table1[[#This Row],[FECHA DE RECIBIDO]]-DATE(2023,8,30), "")</f>
        <v/>
      </c>
    </row>
    <row r="1894" spans="1:37" ht="16.95" customHeight="1">
      <c r="A1894" s="150" t="s">
        <v>3626</v>
      </c>
      <c r="B1894" s="151">
        <v>707</v>
      </c>
      <c r="C1894" s="126" t="s">
        <v>2566</v>
      </c>
      <c r="D1894">
        <v>1279</v>
      </c>
      <c r="E1894" s="126" t="s">
        <v>1598</v>
      </c>
      <c r="F1894" s="122" t="s">
        <v>1607</v>
      </c>
      <c r="G1894" s="122" t="s">
        <v>134</v>
      </c>
      <c r="H1894">
        <v>400</v>
      </c>
      <c r="I1894" s="122" t="s">
        <v>1546</v>
      </c>
      <c r="J1894" s="307" t="s">
        <v>214</v>
      </c>
      <c r="K1894" s="127" t="s">
        <v>3418</v>
      </c>
      <c r="L1894" s="151" t="s">
        <v>1579</v>
      </c>
      <c r="M1894">
        <v>532</v>
      </c>
      <c r="N1894" s="123">
        <v>17</v>
      </c>
      <c r="O1894">
        <v>1258</v>
      </c>
      <c r="P1894" s="132" t="s">
        <v>77</v>
      </c>
      <c r="Q1894" s="131">
        <v>129.31</v>
      </c>
      <c r="R1894" s="131">
        <v>20.69</v>
      </c>
      <c r="S1894" s="131"/>
      <c r="T1894" s="155"/>
      <c r="U1894" s="131"/>
      <c r="V1894" s="131">
        <f t="shared" si="46"/>
        <v>150</v>
      </c>
      <c r="W1894">
        <v>148</v>
      </c>
      <c r="X1894" s="151" t="s">
        <v>1644</v>
      </c>
      <c r="Y1894" s="135" t="s">
        <v>55</v>
      </c>
      <c r="Z1894" s="307">
        <v>212</v>
      </c>
      <c r="AB1894" t="str">
        <f>IF(Table1[[#This Row],[TIPO2]]="costo", VLOOKUP(Table1[[#This Row],[PARTIDA PRESUPUESTAL]],'Cost Report'!G:G,1,0),"Balance")</f>
        <v>2594-003</v>
      </c>
      <c r="AC1894" s="118"/>
      <c r="AD1894" s="159">
        <f>+Table1[[#This Row],[SUBTOTAL]]+Table1[[#This Row],[IVA]]-Table1[[#This Row],[RET IVA]]-Table1[[#This Row],[RET ISR]]-Table1[[#This Row],[TOTAL]]</f>
        <v>0</v>
      </c>
      <c r="AE1894" s="150"/>
      <c r="AF1894" s="151"/>
      <c r="AG1894" s="126" t="s">
        <v>3420</v>
      </c>
      <c r="AK1894" s="306" t="str">
        <f>IF(ISNUMBER(Table1[[#This Row],[FECHA DE RECIBIDO]]), Table1[[#This Row],[FECHA DE RECIBIDO]]-DATE(2023,8,30), "")</f>
        <v/>
      </c>
    </row>
    <row r="1895" spans="1:37" ht="16.95" customHeight="1">
      <c r="A1895" s="152" t="s">
        <v>3626</v>
      </c>
      <c r="B1895" s="153">
        <v>707</v>
      </c>
      <c r="C1895" s="126" t="s">
        <v>2566</v>
      </c>
      <c r="D1895">
        <v>1280</v>
      </c>
      <c r="E1895" s="126" t="s">
        <v>1598</v>
      </c>
      <c r="F1895" s="125" t="s">
        <v>1607</v>
      </c>
      <c r="G1895" s="125" t="s">
        <v>134</v>
      </c>
      <c r="H1895">
        <v>400</v>
      </c>
      <c r="I1895" s="125" t="s">
        <v>1546</v>
      </c>
      <c r="J1895" s="308" t="s">
        <v>214</v>
      </c>
      <c r="K1895" s="127" t="s">
        <v>3418</v>
      </c>
      <c r="L1895" s="153" t="s">
        <v>1579</v>
      </c>
      <c r="M1895">
        <v>532</v>
      </c>
      <c r="N1895" s="123">
        <v>17</v>
      </c>
      <c r="O1895">
        <v>1259</v>
      </c>
      <c r="P1895" s="132" t="s">
        <v>77</v>
      </c>
      <c r="Q1895" s="132">
        <v>129.31</v>
      </c>
      <c r="R1895" s="132">
        <v>20.69</v>
      </c>
      <c r="S1895" s="132"/>
      <c r="T1895" s="156"/>
      <c r="U1895" s="132"/>
      <c r="V1895" s="132">
        <f t="shared" si="46"/>
        <v>150</v>
      </c>
      <c r="W1895">
        <v>148</v>
      </c>
      <c r="X1895" s="153" t="s">
        <v>1644</v>
      </c>
      <c r="Y1895" s="124" t="s">
        <v>55</v>
      </c>
      <c r="Z1895" s="308">
        <v>212</v>
      </c>
      <c r="AB1895" t="str">
        <f>IF(Table1[[#This Row],[TIPO2]]="costo", VLOOKUP(Table1[[#This Row],[PARTIDA PRESUPUESTAL]],'Cost Report'!G:G,1,0),"Balance")</f>
        <v>2594-003</v>
      </c>
      <c r="AC1895" s="118"/>
      <c r="AD1895" s="159">
        <f>+Table1[[#This Row],[SUBTOTAL]]+Table1[[#This Row],[IVA]]-Table1[[#This Row],[RET IVA]]-Table1[[#This Row],[RET ISR]]-Table1[[#This Row],[TOTAL]]</f>
        <v>0</v>
      </c>
      <c r="AE1895" s="152"/>
      <c r="AF1895" s="153"/>
      <c r="AG1895" s="126" t="s">
        <v>3420</v>
      </c>
      <c r="AK1895" s="306" t="str">
        <f>IF(ISNUMBER(Table1[[#This Row],[FECHA DE RECIBIDO]]), Table1[[#This Row],[FECHA DE RECIBIDO]]-DATE(2023,8,30), "")</f>
        <v/>
      </c>
    </row>
    <row r="1896" spans="1:37" ht="16.95" customHeight="1">
      <c r="A1896" s="150" t="s">
        <v>3626</v>
      </c>
      <c r="B1896" s="151">
        <v>707</v>
      </c>
      <c r="C1896" s="126" t="s">
        <v>2566</v>
      </c>
      <c r="D1896">
        <v>1281</v>
      </c>
      <c r="E1896" s="126" t="s">
        <v>1598</v>
      </c>
      <c r="F1896" s="122" t="s">
        <v>1607</v>
      </c>
      <c r="G1896" s="122" t="s">
        <v>134</v>
      </c>
      <c r="H1896">
        <v>156</v>
      </c>
      <c r="I1896" s="122" t="s">
        <v>1546</v>
      </c>
      <c r="J1896" s="307" t="s">
        <v>214</v>
      </c>
      <c r="K1896" s="127" t="s">
        <v>3418</v>
      </c>
      <c r="L1896" s="151" t="s">
        <v>1579</v>
      </c>
      <c r="M1896">
        <v>207</v>
      </c>
      <c r="N1896" s="123">
        <v>17</v>
      </c>
      <c r="O1896">
        <v>1260</v>
      </c>
      <c r="P1896" s="132" t="s">
        <v>77</v>
      </c>
      <c r="Q1896" s="131">
        <v>228.45</v>
      </c>
      <c r="R1896" s="131">
        <v>36.549999999999997</v>
      </c>
      <c r="S1896" s="131"/>
      <c r="T1896" s="155"/>
      <c r="U1896" s="131"/>
      <c r="V1896" s="131">
        <f t="shared" si="46"/>
        <v>265</v>
      </c>
      <c r="W1896">
        <v>148</v>
      </c>
      <c r="X1896" s="151" t="s">
        <v>1644</v>
      </c>
      <c r="Y1896" s="135" t="s">
        <v>55</v>
      </c>
      <c r="Z1896" s="307">
        <v>212</v>
      </c>
      <c r="AB1896" t="str">
        <f>IF(Table1[[#This Row],[TIPO2]]="costo", VLOOKUP(Table1[[#This Row],[PARTIDA PRESUPUESTAL]],'Cost Report'!G:G,1,0),"Balance")</f>
        <v>2594-003</v>
      </c>
      <c r="AC1896" s="118"/>
      <c r="AD1896" s="159">
        <f>+Table1[[#This Row],[SUBTOTAL]]+Table1[[#This Row],[IVA]]-Table1[[#This Row],[RET IVA]]-Table1[[#This Row],[RET ISR]]-Table1[[#This Row],[TOTAL]]</f>
        <v>0</v>
      </c>
      <c r="AE1896" s="150"/>
      <c r="AF1896" s="151"/>
      <c r="AG1896" s="126" t="s">
        <v>3420</v>
      </c>
      <c r="AK1896" s="306" t="str">
        <f>IF(ISNUMBER(Table1[[#This Row],[FECHA DE RECIBIDO]]), Table1[[#This Row],[FECHA DE RECIBIDO]]-DATE(2023,8,30), "")</f>
        <v/>
      </c>
    </row>
    <row r="1897" spans="1:37" ht="16.95" customHeight="1">
      <c r="A1897" s="152" t="s">
        <v>3626</v>
      </c>
      <c r="B1897" s="153">
        <v>707</v>
      </c>
      <c r="C1897" s="126" t="s">
        <v>2566</v>
      </c>
      <c r="D1897">
        <v>1282</v>
      </c>
      <c r="E1897" s="126" t="s">
        <v>1596</v>
      </c>
      <c r="F1897" s="125" t="s">
        <v>1607</v>
      </c>
      <c r="G1897" s="125" t="s">
        <v>134</v>
      </c>
      <c r="H1897">
        <v>401</v>
      </c>
      <c r="I1897" s="125" t="s">
        <v>1546</v>
      </c>
      <c r="J1897" s="308" t="s">
        <v>214</v>
      </c>
      <c r="K1897" s="127" t="s">
        <v>3418</v>
      </c>
      <c r="L1897" s="153" t="s">
        <v>1579</v>
      </c>
      <c r="M1897">
        <v>533</v>
      </c>
      <c r="N1897" s="123">
        <v>17</v>
      </c>
      <c r="O1897">
        <v>1261</v>
      </c>
      <c r="P1897" s="132" t="s">
        <v>77</v>
      </c>
      <c r="Q1897" s="132">
        <v>286.20999999999998</v>
      </c>
      <c r="R1897" s="132">
        <v>45.79</v>
      </c>
      <c r="S1897" s="132"/>
      <c r="T1897" s="156"/>
      <c r="U1897" s="132"/>
      <c r="V1897" s="132">
        <f t="shared" si="46"/>
        <v>332</v>
      </c>
      <c r="W1897">
        <v>148</v>
      </c>
      <c r="X1897" s="153" t="s">
        <v>1644</v>
      </c>
      <c r="Y1897" s="124" t="s">
        <v>55</v>
      </c>
      <c r="Z1897" s="308">
        <v>209</v>
      </c>
      <c r="AB1897" t="str">
        <f>IF(Table1[[#This Row],[TIPO2]]="costo", VLOOKUP(Table1[[#This Row],[PARTIDA PRESUPUESTAL]],'Cost Report'!G:G,1,0),"Balance")</f>
        <v>2594-003</v>
      </c>
      <c r="AC1897" s="118"/>
      <c r="AD1897" s="159">
        <f>+Table1[[#This Row],[SUBTOTAL]]+Table1[[#This Row],[IVA]]-Table1[[#This Row],[RET IVA]]-Table1[[#This Row],[RET ISR]]-Table1[[#This Row],[TOTAL]]</f>
        <v>0</v>
      </c>
      <c r="AE1897" s="152"/>
      <c r="AF1897" s="153"/>
      <c r="AG1897" s="126" t="s">
        <v>3420</v>
      </c>
      <c r="AK1897" s="306" t="str">
        <f>IF(ISNUMBER(Table1[[#This Row],[FECHA DE RECIBIDO]]), Table1[[#This Row],[FECHA DE RECIBIDO]]-DATE(2023,8,30), "")</f>
        <v/>
      </c>
    </row>
    <row r="1898" spans="1:37" ht="16.95" customHeight="1">
      <c r="A1898" s="150" t="s">
        <v>3626</v>
      </c>
      <c r="B1898" s="151">
        <v>707</v>
      </c>
      <c r="C1898" s="126" t="s">
        <v>2566</v>
      </c>
      <c r="D1898">
        <v>1283</v>
      </c>
      <c r="E1898" s="126" t="s">
        <v>1596</v>
      </c>
      <c r="F1898" s="122" t="s">
        <v>1607</v>
      </c>
      <c r="G1898" s="122" t="s">
        <v>134</v>
      </c>
      <c r="H1898">
        <v>402</v>
      </c>
      <c r="I1898" s="122" t="s">
        <v>1546</v>
      </c>
      <c r="J1898" s="307" t="s">
        <v>214</v>
      </c>
      <c r="K1898" s="127" t="s">
        <v>3418</v>
      </c>
      <c r="L1898" s="151" t="s">
        <v>1579</v>
      </c>
      <c r="M1898">
        <v>534</v>
      </c>
      <c r="N1898" s="123">
        <v>17</v>
      </c>
      <c r="O1898">
        <v>1262</v>
      </c>
      <c r="P1898" s="132" t="s">
        <v>77</v>
      </c>
      <c r="Q1898" s="131">
        <v>3448.28</v>
      </c>
      <c r="R1898" s="131">
        <v>551.72</v>
      </c>
      <c r="S1898" s="131"/>
      <c r="T1898" s="155"/>
      <c r="U1898" s="131"/>
      <c r="V1898" s="131">
        <f t="shared" si="46"/>
        <v>4000</v>
      </c>
      <c r="W1898">
        <v>148</v>
      </c>
      <c r="X1898" s="151" t="s">
        <v>1644</v>
      </c>
      <c r="Y1898" s="135" t="s">
        <v>55</v>
      </c>
      <c r="Z1898" s="307">
        <v>209</v>
      </c>
      <c r="AB1898" t="str">
        <f>IF(Table1[[#This Row],[TIPO2]]="costo", VLOOKUP(Table1[[#This Row],[PARTIDA PRESUPUESTAL]],'Cost Report'!G:G,1,0),"Balance")</f>
        <v>2594-003</v>
      </c>
      <c r="AC1898" s="118"/>
      <c r="AD1898" s="159">
        <f>+Table1[[#This Row],[SUBTOTAL]]+Table1[[#This Row],[IVA]]-Table1[[#This Row],[RET IVA]]-Table1[[#This Row],[RET ISR]]-Table1[[#This Row],[TOTAL]]</f>
        <v>0</v>
      </c>
      <c r="AE1898" s="150"/>
      <c r="AF1898" s="151"/>
      <c r="AG1898" s="126" t="s">
        <v>3420</v>
      </c>
      <c r="AK1898" s="306" t="str">
        <f>IF(ISNUMBER(Table1[[#This Row],[FECHA DE RECIBIDO]]), Table1[[#This Row],[FECHA DE RECIBIDO]]-DATE(2023,8,30), "")</f>
        <v/>
      </c>
    </row>
    <row r="1899" spans="1:37" ht="16.95" customHeight="1">
      <c r="A1899" s="152" t="s">
        <v>3626</v>
      </c>
      <c r="B1899" s="153">
        <v>707</v>
      </c>
      <c r="C1899" s="126" t="s">
        <v>2566</v>
      </c>
      <c r="D1899">
        <v>1284</v>
      </c>
      <c r="E1899" s="126" t="s">
        <v>1596</v>
      </c>
      <c r="F1899" s="125" t="s">
        <v>1607</v>
      </c>
      <c r="G1899" s="125" t="s">
        <v>134</v>
      </c>
      <c r="H1899">
        <v>403</v>
      </c>
      <c r="I1899" s="125" t="s">
        <v>1546</v>
      </c>
      <c r="J1899" s="308" t="s">
        <v>214</v>
      </c>
      <c r="K1899" s="127" t="s">
        <v>3418</v>
      </c>
      <c r="L1899" s="153" t="s">
        <v>1579</v>
      </c>
      <c r="M1899">
        <v>535</v>
      </c>
      <c r="N1899" s="123">
        <v>17</v>
      </c>
      <c r="O1899">
        <v>1263</v>
      </c>
      <c r="P1899" s="132" t="s">
        <v>77</v>
      </c>
      <c r="Q1899" s="132">
        <v>1240.52</v>
      </c>
      <c r="R1899" s="132">
        <v>198.48</v>
      </c>
      <c r="S1899" s="132"/>
      <c r="T1899" s="156"/>
      <c r="U1899" s="132"/>
      <c r="V1899" s="132">
        <f t="shared" si="46"/>
        <v>1439</v>
      </c>
      <c r="W1899">
        <v>148</v>
      </c>
      <c r="X1899" s="153" t="s">
        <v>1644</v>
      </c>
      <c r="Y1899" s="124" t="s">
        <v>55</v>
      </c>
      <c r="Z1899" s="308">
        <v>209</v>
      </c>
      <c r="AB1899" t="str">
        <f>IF(Table1[[#This Row],[TIPO2]]="costo", VLOOKUP(Table1[[#This Row],[PARTIDA PRESUPUESTAL]],'Cost Report'!G:G,1,0),"Balance")</f>
        <v>2594-003</v>
      </c>
      <c r="AC1899" s="118"/>
      <c r="AD1899" s="159">
        <f>+Table1[[#This Row],[SUBTOTAL]]+Table1[[#This Row],[IVA]]-Table1[[#This Row],[RET IVA]]-Table1[[#This Row],[RET ISR]]-Table1[[#This Row],[TOTAL]]</f>
        <v>0</v>
      </c>
      <c r="AE1899" s="152"/>
      <c r="AF1899" s="153"/>
      <c r="AG1899" s="126" t="s">
        <v>3420</v>
      </c>
      <c r="AK1899" s="306" t="str">
        <f>IF(ISNUMBER(Table1[[#This Row],[FECHA DE RECIBIDO]]), Table1[[#This Row],[FECHA DE RECIBIDO]]-DATE(2023,8,30), "")</f>
        <v/>
      </c>
    </row>
    <row r="1900" spans="1:37" ht="16.95" customHeight="1">
      <c r="A1900" s="150" t="s">
        <v>3626</v>
      </c>
      <c r="B1900" s="151">
        <v>707</v>
      </c>
      <c r="C1900" s="126" t="s">
        <v>2566</v>
      </c>
      <c r="D1900">
        <v>1285</v>
      </c>
      <c r="E1900" s="126" t="s">
        <v>3665</v>
      </c>
      <c r="F1900" s="122" t="s">
        <v>1589</v>
      </c>
      <c r="G1900" s="122" t="s">
        <v>134</v>
      </c>
      <c r="H1900">
        <v>398</v>
      </c>
      <c r="I1900" s="122" t="s">
        <v>1546</v>
      </c>
      <c r="J1900" s="307" t="s">
        <v>214</v>
      </c>
      <c r="K1900" s="127" t="s">
        <v>3418</v>
      </c>
      <c r="L1900" s="151" t="s">
        <v>1579</v>
      </c>
      <c r="M1900">
        <v>527</v>
      </c>
      <c r="N1900" s="123">
        <v>17</v>
      </c>
      <c r="O1900">
        <v>1264</v>
      </c>
      <c r="P1900" s="132" t="s">
        <v>77</v>
      </c>
      <c r="Q1900" s="131">
        <v>3987.7</v>
      </c>
      <c r="R1900" s="131">
        <v>638.03</v>
      </c>
      <c r="S1900" s="131"/>
      <c r="T1900" s="155"/>
      <c r="U1900" s="131"/>
      <c r="V1900" s="131">
        <f t="shared" si="46"/>
        <v>4625.7299999999996</v>
      </c>
      <c r="W1900">
        <v>148</v>
      </c>
      <c r="X1900" s="151" t="s">
        <v>1644</v>
      </c>
      <c r="Y1900" s="135" t="s">
        <v>55</v>
      </c>
      <c r="Z1900" s="307">
        <v>209</v>
      </c>
      <c r="AB1900" t="str">
        <f>IF(Table1[[#This Row],[TIPO2]]="costo", VLOOKUP(Table1[[#This Row],[PARTIDA PRESUPUESTAL]],'Cost Report'!G:G,1,0),"Balance")</f>
        <v>2594-003</v>
      </c>
      <c r="AC1900" s="118"/>
      <c r="AD1900" s="159">
        <f>+Table1[[#This Row],[SUBTOTAL]]+Table1[[#This Row],[IVA]]-Table1[[#This Row],[RET IVA]]-Table1[[#This Row],[RET ISR]]-Table1[[#This Row],[TOTAL]]</f>
        <v>0</v>
      </c>
      <c r="AE1900" s="150"/>
      <c r="AF1900" s="151"/>
      <c r="AG1900" s="126" t="s">
        <v>3420</v>
      </c>
      <c r="AK1900" s="306" t="str">
        <f>IF(ISNUMBER(Table1[[#This Row],[FECHA DE RECIBIDO]]), Table1[[#This Row],[FECHA DE RECIBIDO]]-DATE(2023,8,30), "")</f>
        <v/>
      </c>
    </row>
    <row r="1901" spans="1:37" ht="16.95" customHeight="1">
      <c r="A1901" s="152" t="s">
        <v>3626</v>
      </c>
      <c r="B1901" s="153">
        <v>707</v>
      </c>
      <c r="C1901" s="126" t="s">
        <v>2565</v>
      </c>
      <c r="D1901">
        <v>1286</v>
      </c>
      <c r="E1901" s="126" t="s">
        <v>1596</v>
      </c>
      <c r="F1901" s="125" t="s">
        <v>1607</v>
      </c>
      <c r="G1901" s="125" t="s">
        <v>134</v>
      </c>
      <c r="H1901">
        <v>177</v>
      </c>
      <c r="I1901" s="125" t="s">
        <v>1546</v>
      </c>
      <c r="J1901" s="308" t="s">
        <v>214</v>
      </c>
      <c r="K1901" s="127" t="s">
        <v>3418</v>
      </c>
      <c r="L1901" s="153" t="s">
        <v>1579</v>
      </c>
      <c r="M1901">
        <v>238</v>
      </c>
      <c r="N1901" s="123">
        <v>17</v>
      </c>
      <c r="O1901">
        <v>1265</v>
      </c>
      <c r="P1901" s="132" t="s">
        <v>77</v>
      </c>
      <c r="Q1901" s="132">
        <v>41.31</v>
      </c>
      <c r="R1901" s="132">
        <v>6.61</v>
      </c>
      <c r="S1901" s="132"/>
      <c r="T1901" s="156"/>
      <c r="U1901" s="132"/>
      <c r="V1901" s="132">
        <f t="shared" si="46"/>
        <v>47.92</v>
      </c>
      <c r="W1901">
        <v>148</v>
      </c>
      <c r="X1901" s="153" t="s">
        <v>1644</v>
      </c>
      <c r="Y1901" s="124" t="s">
        <v>55</v>
      </c>
      <c r="Z1901" s="308">
        <v>213</v>
      </c>
      <c r="AB1901" t="str">
        <f>IF(Table1[[#This Row],[TIPO2]]="costo", VLOOKUP(Table1[[#This Row],[PARTIDA PRESUPUESTAL]],'Cost Report'!G:G,1,0),"Balance")</f>
        <v>2585-003</v>
      </c>
      <c r="AC1901" s="118"/>
      <c r="AD1901" s="159">
        <f>+Table1[[#This Row],[SUBTOTAL]]+Table1[[#This Row],[IVA]]-Table1[[#This Row],[RET IVA]]-Table1[[#This Row],[RET ISR]]-Table1[[#This Row],[TOTAL]]</f>
        <v>0</v>
      </c>
      <c r="AE1901" s="152"/>
      <c r="AF1901" s="153"/>
      <c r="AG1901" s="126" t="s">
        <v>3420</v>
      </c>
      <c r="AK1901" s="306" t="str">
        <f>IF(ISNUMBER(Table1[[#This Row],[FECHA DE RECIBIDO]]), Table1[[#This Row],[FECHA DE RECIBIDO]]-DATE(2023,8,30), "")</f>
        <v/>
      </c>
    </row>
    <row r="1902" spans="1:37" ht="16.95" customHeight="1">
      <c r="A1902" s="150" t="s">
        <v>3626</v>
      </c>
      <c r="B1902" s="151">
        <v>707</v>
      </c>
      <c r="C1902" s="126" t="s">
        <v>2565</v>
      </c>
      <c r="D1902">
        <v>1287</v>
      </c>
      <c r="E1902" s="126" t="s">
        <v>1596</v>
      </c>
      <c r="F1902" s="122" t="s">
        <v>1607</v>
      </c>
      <c r="G1902" s="122" t="s">
        <v>134</v>
      </c>
      <c r="H1902">
        <v>248</v>
      </c>
      <c r="I1902" s="122" t="s">
        <v>1546</v>
      </c>
      <c r="J1902" s="307" t="s">
        <v>214</v>
      </c>
      <c r="K1902" s="127" t="s">
        <v>3418</v>
      </c>
      <c r="L1902" s="151" t="s">
        <v>1579</v>
      </c>
      <c r="M1902">
        <v>325</v>
      </c>
      <c r="N1902" s="123">
        <v>17</v>
      </c>
      <c r="O1902">
        <v>1266</v>
      </c>
      <c r="P1902" s="132" t="s">
        <v>77</v>
      </c>
      <c r="Q1902" s="131">
        <v>219.79</v>
      </c>
      <c r="R1902" s="131">
        <v>35.159999999999997</v>
      </c>
      <c r="S1902" s="131"/>
      <c r="T1902" s="155"/>
      <c r="U1902" s="131"/>
      <c r="V1902" s="131">
        <f t="shared" si="46"/>
        <v>254.95</v>
      </c>
      <c r="W1902">
        <v>148</v>
      </c>
      <c r="X1902" s="151" t="s">
        <v>1644</v>
      </c>
      <c r="Y1902" s="135" t="s">
        <v>55</v>
      </c>
      <c r="Z1902" s="307">
        <v>209</v>
      </c>
      <c r="AB1902" t="str">
        <f>IF(Table1[[#This Row],[TIPO2]]="costo", VLOOKUP(Table1[[#This Row],[PARTIDA PRESUPUESTAL]],'Cost Report'!G:G,1,0),"Balance")</f>
        <v>2585-003</v>
      </c>
      <c r="AC1902" s="118"/>
      <c r="AD1902" s="159">
        <f>+Table1[[#This Row],[SUBTOTAL]]+Table1[[#This Row],[IVA]]-Table1[[#This Row],[RET IVA]]-Table1[[#This Row],[RET ISR]]-Table1[[#This Row],[TOTAL]]</f>
        <v>0</v>
      </c>
      <c r="AE1902" s="150"/>
      <c r="AF1902" s="151"/>
      <c r="AG1902" s="126" t="s">
        <v>3420</v>
      </c>
      <c r="AK1902" s="306" t="str">
        <f>IF(ISNUMBER(Table1[[#This Row],[FECHA DE RECIBIDO]]), Table1[[#This Row],[FECHA DE RECIBIDO]]-DATE(2023,8,30), "")</f>
        <v/>
      </c>
    </row>
    <row r="1903" spans="1:37" ht="16.95" customHeight="1">
      <c r="A1903" s="152" t="s">
        <v>3626</v>
      </c>
      <c r="B1903" s="153">
        <v>707</v>
      </c>
      <c r="C1903" s="126" t="s">
        <v>2566</v>
      </c>
      <c r="D1903">
        <v>1288</v>
      </c>
      <c r="E1903" s="126" t="s">
        <v>1596</v>
      </c>
      <c r="F1903" s="125" t="s">
        <v>1607</v>
      </c>
      <c r="G1903" s="125" t="s">
        <v>134</v>
      </c>
      <c r="H1903">
        <v>404</v>
      </c>
      <c r="I1903" s="125" t="s">
        <v>1546</v>
      </c>
      <c r="J1903" s="308" t="s">
        <v>214</v>
      </c>
      <c r="K1903" s="127" t="s">
        <v>3418</v>
      </c>
      <c r="L1903" s="153" t="s">
        <v>1579</v>
      </c>
      <c r="M1903">
        <v>536</v>
      </c>
      <c r="N1903" s="123">
        <v>17</v>
      </c>
      <c r="O1903">
        <v>1267</v>
      </c>
      <c r="P1903" s="132" t="s">
        <v>77</v>
      </c>
      <c r="Q1903" s="132">
        <v>790</v>
      </c>
      <c r="R1903" s="132"/>
      <c r="S1903" s="132"/>
      <c r="T1903" s="156"/>
      <c r="U1903" s="132"/>
      <c r="V1903" s="132">
        <f t="shared" si="46"/>
        <v>790</v>
      </c>
      <c r="W1903">
        <v>148</v>
      </c>
      <c r="X1903" s="153" t="s">
        <v>1644</v>
      </c>
      <c r="Y1903" s="124" t="s">
        <v>55</v>
      </c>
      <c r="Z1903" s="308">
        <v>209</v>
      </c>
      <c r="AB1903" t="str">
        <f>IF(Table1[[#This Row],[TIPO2]]="costo", VLOOKUP(Table1[[#This Row],[PARTIDA PRESUPUESTAL]],'Cost Report'!G:G,1,0),"Balance")</f>
        <v>2594-003</v>
      </c>
      <c r="AC1903" s="118"/>
      <c r="AD1903" s="159">
        <f>+Table1[[#This Row],[SUBTOTAL]]+Table1[[#This Row],[IVA]]-Table1[[#This Row],[RET IVA]]-Table1[[#This Row],[RET ISR]]-Table1[[#This Row],[TOTAL]]</f>
        <v>0</v>
      </c>
      <c r="AE1903" s="152"/>
      <c r="AF1903" s="153"/>
      <c r="AG1903" s="126" t="s">
        <v>3420</v>
      </c>
      <c r="AK1903" s="306" t="str">
        <f>IF(ISNUMBER(Table1[[#This Row],[FECHA DE RECIBIDO]]), Table1[[#This Row],[FECHA DE RECIBIDO]]-DATE(2023,8,30), "")</f>
        <v/>
      </c>
    </row>
    <row r="1904" spans="1:37" ht="16.95" customHeight="1">
      <c r="A1904" s="150" t="s">
        <v>3626</v>
      </c>
      <c r="B1904" s="151">
        <v>707</v>
      </c>
      <c r="C1904" s="126" t="s">
        <v>2565</v>
      </c>
      <c r="D1904">
        <v>1289</v>
      </c>
      <c r="E1904" s="126" t="s">
        <v>3356</v>
      </c>
      <c r="F1904" s="122" t="s">
        <v>1589</v>
      </c>
      <c r="G1904" s="122" t="s">
        <v>134</v>
      </c>
      <c r="H1904">
        <v>405</v>
      </c>
      <c r="I1904" s="122" t="s">
        <v>1546</v>
      </c>
      <c r="J1904" s="307" t="s">
        <v>214</v>
      </c>
      <c r="K1904" s="127" t="s">
        <v>3418</v>
      </c>
      <c r="L1904" s="151" t="s">
        <v>1579</v>
      </c>
      <c r="M1904">
        <v>537</v>
      </c>
      <c r="N1904" s="123">
        <v>17</v>
      </c>
      <c r="O1904">
        <v>1268</v>
      </c>
      <c r="P1904" s="132" t="s">
        <v>77</v>
      </c>
      <c r="Q1904" s="131">
        <v>206.91</v>
      </c>
      <c r="R1904" s="131">
        <v>33.090000000000003</v>
      </c>
      <c r="S1904" s="131"/>
      <c r="T1904" s="155"/>
      <c r="U1904" s="131"/>
      <c r="V1904" s="131">
        <f t="shared" si="46"/>
        <v>240</v>
      </c>
      <c r="W1904">
        <v>148</v>
      </c>
      <c r="X1904" s="151" t="s">
        <v>1644</v>
      </c>
      <c r="Y1904" s="135" t="s">
        <v>55</v>
      </c>
      <c r="Z1904" s="307">
        <v>210</v>
      </c>
      <c r="AB1904" t="str">
        <f>IF(Table1[[#This Row],[TIPO2]]="costo", VLOOKUP(Table1[[#This Row],[PARTIDA PRESUPUESTAL]],'Cost Report'!G:G,1,0),"Balance")</f>
        <v>2585-003</v>
      </c>
      <c r="AC1904" s="118"/>
      <c r="AD1904" s="159">
        <f>+Table1[[#This Row],[SUBTOTAL]]+Table1[[#This Row],[IVA]]-Table1[[#This Row],[RET IVA]]-Table1[[#This Row],[RET ISR]]-Table1[[#This Row],[TOTAL]]</f>
        <v>0</v>
      </c>
      <c r="AE1904" s="150"/>
      <c r="AF1904" s="151"/>
      <c r="AG1904" s="126" t="s">
        <v>3420</v>
      </c>
      <c r="AK1904" s="306" t="str">
        <f>IF(ISNUMBER(Table1[[#This Row],[FECHA DE RECIBIDO]]), Table1[[#This Row],[FECHA DE RECIBIDO]]-DATE(2023,8,30), "")</f>
        <v/>
      </c>
    </row>
    <row r="1905" spans="1:37" ht="16.95" customHeight="1">
      <c r="A1905" s="152" t="s">
        <v>3626</v>
      </c>
      <c r="B1905" s="153">
        <v>707</v>
      </c>
      <c r="C1905" s="126" t="s">
        <v>2566</v>
      </c>
      <c r="D1905">
        <v>1290</v>
      </c>
      <c r="E1905" s="126" t="s">
        <v>3666</v>
      </c>
      <c r="F1905" s="125" t="s">
        <v>1593</v>
      </c>
      <c r="G1905" s="125" t="s">
        <v>134</v>
      </c>
      <c r="H1905">
        <v>406</v>
      </c>
      <c r="I1905" s="125" t="s">
        <v>1546</v>
      </c>
      <c r="J1905" s="308" t="s">
        <v>214</v>
      </c>
      <c r="K1905" s="127" t="s">
        <v>3418</v>
      </c>
      <c r="L1905" s="153" t="s">
        <v>1579</v>
      </c>
      <c r="M1905">
        <v>538</v>
      </c>
      <c r="N1905" s="123">
        <v>17</v>
      </c>
      <c r="O1905">
        <v>1269</v>
      </c>
      <c r="P1905" s="132" t="s">
        <v>77</v>
      </c>
      <c r="Q1905" s="132">
        <v>301.2</v>
      </c>
      <c r="R1905" s="132">
        <v>48.8</v>
      </c>
      <c r="S1905" s="132"/>
      <c r="T1905" s="156"/>
      <c r="U1905" s="132"/>
      <c r="V1905" s="132">
        <f t="shared" si="46"/>
        <v>350</v>
      </c>
      <c r="W1905">
        <v>148</v>
      </c>
      <c r="X1905" s="153" t="s">
        <v>1644</v>
      </c>
      <c r="Y1905" s="124" t="s">
        <v>55</v>
      </c>
      <c r="Z1905" s="308">
        <v>210</v>
      </c>
      <c r="AB1905" t="str">
        <f>IF(Table1[[#This Row],[TIPO2]]="costo", VLOOKUP(Table1[[#This Row],[PARTIDA PRESUPUESTAL]],'Cost Report'!G:G,1,0),"Balance")</f>
        <v>2594-003</v>
      </c>
      <c r="AC1905" s="118"/>
      <c r="AD1905" s="159">
        <f>+Table1[[#This Row],[SUBTOTAL]]+Table1[[#This Row],[IVA]]-Table1[[#This Row],[RET IVA]]-Table1[[#This Row],[RET ISR]]-Table1[[#This Row],[TOTAL]]</f>
        <v>0</v>
      </c>
      <c r="AE1905" s="152"/>
      <c r="AF1905" s="153"/>
      <c r="AG1905" s="126" t="s">
        <v>3420</v>
      </c>
      <c r="AK1905" s="306" t="str">
        <f>IF(ISNUMBER(Table1[[#This Row],[FECHA DE RECIBIDO]]), Table1[[#This Row],[FECHA DE RECIBIDO]]-DATE(2023,8,30), "")</f>
        <v/>
      </c>
    </row>
    <row r="1906" spans="1:37" ht="16.95" customHeight="1">
      <c r="A1906" s="150" t="s">
        <v>3626</v>
      </c>
      <c r="B1906" s="151">
        <v>707</v>
      </c>
      <c r="C1906" s="126" t="s">
        <v>2566</v>
      </c>
      <c r="D1906">
        <v>1291</v>
      </c>
      <c r="E1906" s="126" t="s">
        <v>3264</v>
      </c>
      <c r="F1906" s="122" t="s">
        <v>1607</v>
      </c>
      <c r="G1906" s="122" t="s">
        <v>134</v>
      </c>
      <c r="H1906">
        <v>156</v>
      </c>
      <c r="I1906" s="122" t="s">
        <v>1546</v>
      </c>
      <c r="J1906" s="307" t="s">
        <v>214</v>
      </c>
      <c r="K1906" s="127" t="s">
        <v>3418</v>
      </c>
      <c r="L1906" s="151" t="s">
        <v>1579</v>
      </c>
      <c r="M1906">
        <v>207</v>
      </c>
      <c r="N1906" s="123">
        <v>17</v>
      </c>
      <c r="O1906">
        <v>1270</v>
      </c>
      <c r="P1906" s="132" t="s">
        <v>77</v>
      </c>
      <c r="Q1906" s="131">
        <v>391.68</v>
      </c>
      <c r="R1906" s="131">
        <v>62.67</v>
      </c>
      <c r="S1906" s="131"/>
      <c r="T1906" s="155"/>
      <c r="U1906" s="131"/>
      <c r="V1906" s="131">
        <f t="shared" si="46"/>
        <v>454.35</v>
      </c>
      <c r="W1906">
        <v>148</v>
      </c>
      <c r="X1906" s="151" t="s">
        <v>1644</v>
      </c>
      <c r="Y1906" s="135" t="s">
        <v>55</v>
      </c>
      <c r="Z1906" s="307">
        <v>211</v>
      </c>
      <c r="AB1906" t="str">
        <f>IF(Table1[[#This Row],[TIPO2]]="costo", VLOOKUP(Table1[[#This Row],[PARTIDA PRESUPUESTAL]],'Cost Report'!G:G,1,0),"Balance")</f>
        <v>2594-003</v>
      </c>
      <c r="AC1906" s="118"/>
      <c r="AD1906" s="159">
        <f>+Table1[[#This Row],[SUBTOTAL]]+Table1[[#This Row],[IVA]]-Table1[[#This Row],[RET IVA]]-Table1[[#This Row],[RET ISR]]-Table1[[#This Row],[TOTAL]]</f>
        <v>0</v>
      </c>
      <c r="AE1906" s="150"/>
      <c r="AF1906" s="151"/>
      <c r="AG1906" s="126" t="s">
        <v>3420</v>
      </c>
      <c r="AK1906" s="306" t="str">
        <f>IF(ISNUMBER(Table1[[#This Row],[FECHA DE RECIBIDO]]), Table1[[#This Row],[FECHA DE RECIBIDO]]-DATE(2023,8,30), "")</f>
        <v/>
      </c>
    </row>
    <row r="1907" spans="1:37" ht="16.95" customHeight="1">
      <c r="A1907" s="152" t="s">
        <v>3626</v>
      </c>
      <c r="B1907" s="153">
        <v>707</v>
      </c>
      <c r="C1907" s="126" t="s">
        <v>2566</v>
      </c>
      <c r="D1907">
        <v>1292</v>
      </c>
      <c r="E1907" s="126" t="s">
        <v>1999</v>
      </c>
      <c r="F1907" s="125" t="s">
        <v>1607</v>
      </c>
      <c r="G1907" s="125" t="s">
        <v>134</v>
      </c>
      <c r="H1907">
        <v>97</v>
      </c>
      <c r="I1907" s="125" t="s">
        <v>1546</v>
      </c>
      <c r="J1907" s="308" t="s">
        <v>214</v>
      </c>
      <c r="K1907" s="127" t="s">
        <v>3418</v>
      </c>
      <c r="L1907" s="153" t="s">
        <v>1579</v>
      </c>
      <c r="M1907">
        <v>193</v>
      </c>
      <c r="N1907" s="123">
        <v>17</v>
      </c>
      <c r="O1907">
        <v>1270</v>
      </c>
      <c r="P1907" s="132" t="s">
        <v>77</v>
      </c>
      <c r="Q1907" s="132">
        <v>326.72000000000003</v>
      </c>
      <c r="R1907" s="132">
        <v>52.28</v>
      </c>
      <c r="S1907" s="132"/>
      <c r="T1907" s="156"/>
      <c r="U1907" s="132"/>
      <c r="V1907" s="132">
        <f t="shared" si="46"/>
        <v>379</v>
      </c>
      <c r="W1907">
        <v>148</v>
      </c>
      <c r="X1907" s="153" t="s">
        <v>1644</v>
      </c>
      <c r="Y1907" s="124" t="s">
        <v>55</v>
      </c>
      <c r="Z1907" s="308">
        <v>212</v>
      </c>
      <c r="AB1907" t="str">
        <f>IF(Table1[[#This Row],[TIPO2]]="costo", VLOOKUP(Table1[[#This Row],[PARTIDA PRESUPUESTAL]],'Cost Report'!G:G,1,0),"Balance")</f>
        <v>2594-003</v>
      </c>
      <c r="AC1907" s="118"/>
      <c r="AD1907" s="159">
        <f>+Table1[[#This Row],[SUBTOTAL]]+Table1[[#This Row],[IVA]]-Table1[[#This Row],[RET IVA]]-Table1[[#This Row],[RET ISR]]-Table1[[#This Row],[TOTAL]]</f>
        <v>0</v>
      </c>
      <c r="AE1907" s="152"/>
      <c r="AF1907" s="153"/>
      <c r="AG1907" s="126" t="s">
        <v>3420</v>
      </c>
      <c r="AK1907" s="306" t="str">
        <f>IF(ISNUMBER(Table1[[#This Row],[FECHA DE RECIBIDO]]), Table1[[#This Row],[FECHA DE RECIBIDO]]-DATE(2023,8,30), "")</f>
        <v/>
      </c>
    </row>
    <row r="1908" spans="1:37" ht="16.95" customHeight="1">
      <c r="A1908" s="150" t="s">
        <v>3626</v>
      </c>
      <c r="B1908" s="151">
        <v>707</v>
      </c>
      <c r="C1908" s="126" t="s">
        <v>2566</v>
      </c>
      <c r="D1908">
        <v>1293</v>
      </c>
      <c r="E1908" s="126" t="e">
        <v>#N/A</v>
      </c>
      <c r="F1908" s="122" t="e">
        <v>#N/A</v>
      </c>
      <c r="G1908" s="122" t="s">
        <v>134</v>
      </c>
      <c r="H1908">
        <v>36</v>
      </c>
      <c r="I1908" s="122" t="e">
        <v>#N/A</v>
      </c>
      <c r="J1908" s="307" t="s">
        <v>214</v>
      </c>
      <c r="K1908" s="127" t="s">
        <v>3418</v>
      </c>
      <c r="L1908" s="151" t="s">
        <v>1579</v>
      </c>
      <c r="M1908">
        <v>390</v>
      </c>
      <c r="N1908" s="123">
        <v>17</v>
      </c>
      <c r="O1908">
        <v>1271</v>
      </c>
      <c r="P1908" s="132" t="s">
        <v>77</v>
      </c>
      <c r="Q1908" s="131">
        <v>4051.72</v>
      </c>
      <c r="R1908" s="131">
        <v>648.28</v>
      </c>
      <c r="S1908" s="131"/>
      <c r="T1908" s="155"/>
      <c r="U1908" s="131"/>
      <c r="V1908" s="131">
        <f t="shared" si="46"/>
        <v>4700</v>
      </c>
      <c r="W1908">
        <v>148</v>
      </c>
      <c r="X1908" s="151" t="s">
        <v>1644</v>
      </c>
      <c r="Y1908" s="135" t="s">
        <v>55</v>
      </c>
      <c r="Z1908" s="307">
        <v>209</v>
      </c>
      <c r="AB1908" t="str">
        <f>IF(Table1[[#This Row],[TIPO2]]="costo", VLOOKUP(Table1[[#This Row],[PARTIDA PRESUPUESTAL]],'Cost Report'!G:G,1,0),"Balance")</f>
        <v>2594-003</v>
      </c>
      <c r="AC1908" s="118"/>
      <c r="AD1908" s="159">
        <f>+Table1[[#This Row],[SUBTOTAL]]+Table1[[#This Row],[IVA]]-Table1[[#This Row],[RET IVA]]-Table1[[#This Row],[RET ISR]]-Table1[[#This Row],[TOTAL]]</f>
        <v>0</v>
      </c>
      <c r="AE1908" s="150"/>
      <c r="AF1908" s="151"/>
      <c r="AG1908" s="126" t="s">
        <v>3420</v>
      </c>
      <c r="AK1908" s="306" t="str">
        <f>IF(ISNUMBER(Table1[[#This Row],[FECHA DE RECIBIDO]]), Table1[[#This Row],[FECHA DE RECIBIDO]]-DATE(2023,8,30), "")</f>
        <v/>
      </c>
    </row>
    <row r="1909" spans="1:37" ht="16.95" customHeight="1">
      <c r="A1909" s="152" t="s">
        <v>3626</v>
      </c>
      <c r="B1909" s="153">
        <v>707</v>
      </c>
      <c r="C1909" s="126" t="s">
        <v>2566</v>
      </c>
      <c r="D1909">
        <v>1294</v>
      </c>
      <c r="E1909" s="126"/>
      <c r="F1909" s="125"/>
      <c r="G1909" s="125" t="s">
        <v>134</v>
      </c>
      <c r="H1909"/>
      <c r="I1909" s="125" t="s">
        <v>1637</v>
      </c>
      <c r="J1909" s="308">
        <v>208</v>
      </c>
      <c r="K1909" s="127" t="s">
        <v>3418</v>
      </c>
      <c r="L1909" s="153" t="s">
        <v>1579</v>
      </c>
      <c r="M1909">
        <v>207</v>
      </c>
      <c r="N1909" s="123">
        <v>17</v>
      </c>
      <c r="O1909">
        <v>1272</v>
      </c>
      <c r="P1909" s="132" t="s">
        <v>77</v>
      </c>
      <c r="Q1909" s="132">
        <v>1257.76</v>
      </c>
      <c r="R1909" s="132">
        <v>201.24</v>
      </c>
      <c r="S1909" s="132"/>
      <c r="T1909" s="156"/>
      <c r="U1909" s="132"/>
      <c r="V1909" s="132">
        <f t="shared" si="46"/>
        <v>1459</v>
      </c>
      <c r="W1909">
        <v>148</v>
      </c>
      <c r="X1909" s="153" t="s">
        <v>1644</v>
      </c>
      <c r="Y1909" s="124" t="s">
        <v>55</v>
      </c>
      <c r="Z1909" s="308">
        <v>208</v>
      </c>
      <c r="AB1909" t="str">
        <f>IF(Table1[[#This Row],[TIPO2]]="costo", VLOOKUP(Table1[[#This Row],[PARTIDA PRESUPUESTAL]],'Cost Report'!G:G,1,0),"Balance")</f>
        <v>2594-003</v>
      </c>
      <c r="AC1909" s="118"/>
      <c r="AD1909" s="159">
        <f>+Table1[[#This Row],[SUBTOTAL]]+Table1[[#This Row],[IVA]]-Table1[[#This Row],[RET IVA]]-Table1[[#This Row],[RET ISR]]-Table1[[#This Row],[TOTAL]]</f>
        <v>0</v>
      </c>
      <c r="AE1909" s="152"/>
      <c r="AF1909" s="153"/>
      <c r="AG1909" s="126" t="s">
        <v>3420</v>
      </c>
      <c r="AK1909" s="306">
        <f>IF(ISNUMBER(Table1[[#This Row],[FECHA DE RECIBIDO]]), Table1[[#This Row],[FECHA DE RECIBIDO]]-DATE(2023,8,30), "")</f>
        <v>-44960</v>
      </c>
    </row>
    <row r="1910" spans="1:37" ht="16.95" customHeight="1">
      <c r="A1910" s="150" t="s">
        <v>3626</v>
      </c>
      <c r="B1910" s="151">
        <v>707</v>
      </c>
      <c r="C1910" s="126" t="s">
        <v>2565</v>
      </c>
      <c r="D1910">
        <v>661</v>
      </c>
      <c r="E1910" s="126"/>
      <c r="F1910" s="122"/>
      <c r="G1910" s="122"/>
      <c r="H1910"/>
      <c r="I1910" s="122"/>
      <c r="J1910" s="307">
        <v>212</v>
      </c>
      <c r="K1910" s="127" t="s">
        <v>3418</v>
      </c>
      <c r="L1910" s="151" t="s">
        <v>1579</v>
      </c>
      <c r="M1910">
        <v>522</v>
      </c>
      <c r="N1910" s="123">
        <v>17</v>
      </c>
      <c r="O1910">
        <v>905</v>
      </c>
      <c r="P1910" s="132" t="s">
        <v>77</v>
      </c>
      <c r="Q1910" s="131">
        <v>90</v>
      </c>
      <c r="R1910" s="131"/>
      <c r="S1910" s="131"/>
      <c r="T1910" s="155"/>
      <c r="U1910" s="131"/>
      <c r="V1910" s="131">
        <f t="shared" si="46"/>
        <v>90</v>
      </c>
      <c r="W1910">
        <v>148</v>
      </c>
      <c r="X1910" s="151" t="s">
        <v>1644</v>
      </c>
      <c r="Y1910" s="135" t="s">
        <v>55</v>
      </c>
      <c r="Z1910" s="307">
        <v>212</v>
      </c>
      <c r="AB1910" t="str">
        <f>IF(Table1[[#This Row],[TIPO2]]="costo", VLOOKUP(Table1[[#This Row],[PARTIDA PRESUPUESTAL]],'Cost Report'!G:G,1,0),"Balance")</f>
        <v>2585-003</v>
      </c>
      <c r="AC1910" s="118"/>
      <c r="AD1910" s="159">
        <f>+Table1[[#This Row],[SUBTOTAL]]+Table1[[#This Row],[IVA]]-Table1[[#This Row],[RET IVA]]-Table1[[#This Row],[RET ISR]]-Table1[[#This Row],[TOTAL]]</f>
        <v>0</v>
      </c>
      <c r="AE1910" s="150"/>
      <c r="AF1910" s="151"/>
      <c r="AG1910" s="126" t="s">
        <v>3420</v>
      </c>
      <c r="AK1910" s="306">
        <f>IF(ISNUMBER(Table1[[#This Row],[FECHA DE RECIBIDO]]), Table1[[#This Row],[FECHA DE RECIBIDO]]-DATE(2023,8,30), "")</f>
        <v>-44956</v>
      </c>
    </row>
    <row r="1911" spans="1:37" ht="16.95" customHeight="1">
      <c r="A1911" s="152" t="s">
        <v>3627</v>
      </c>
      <c r="B1911" s="153">
        <v>708</v>
      </c>
      <c r="C1911" s="126" t="s">
        <v>1732</v>
      </c>
      <c r="D1911">
        <v>1295</v>
      </c>
      <c r="E1911" s="126" t="s">
        <v>2107</v>
      </c>
      <c r="F1911" s="125" t="s">
        <v>1593</v>
      </c>
      <c r="G1911" s="125" t="s">
        <v>134</v>
      </c>
      <c r="H1911">
        <v>407</v>
      </c>
      <c r="I1911" s="125" t="s">
        <v>1546</v>
      </c>
      <c r="J1911" s="308" t="s">
        <v>214</v>
      </c>
      <c r="K1911" s="127" t="s">
        <v>3418</v>
      </c>
      <c r="L1911" s="153" t="s">
        <v>1579</v>
      </c>
      <c r="M1911">
        <v>539</v>
      </c>
      <c r="N1911" s="123">
        <v>17</v>
      </c>
      <c r="O1911">
        <v>1273</v>
      </c>
      <c r="P1911" s="132" t="s">
        <v>77</v>
      </c>
      <c r="Q1911" s="132">
        <v>1397.59</v>
      </c>
      <c r="R1911" s="132">
        <v>226.45</v>
      </c>
      <c r="S1911" s="132"/>
      <c r="T1911" s="156"/>
      <c r="U1911" s="132"/>
      <c r="V1911" s="132">
        <f t="shared" si="46"/>
        <v>1624.04</v>
      </c>
      <c r="W1911">
        <v>145</v>
      </c>
      <c r="X1911" s="153" t="s">
        <v>1644</v>
      </c>
      <c r="Y1911" s="124" t="s">
        <v>55</v>
      </c>
      <c r="Z1911" s="308">
        <v>211</v>
      </c>
      <c r="AB1911" t="str">
        <f>IF(Table1[[#This Row],[TIPO2]]="costo", VLOOKUP(Table1[[#This Row],[PARTIDA PRESUPUESTAL]],'Cost Report'!G:G,1,0),"Balance")</f>
        <v>2494-035</v>
      </c>
      <c r="AC1911" s="118"/>
      <c r="AD1911" s="159">
        <f>+Table1[[#This Row],[SUBTOTAL]]+Table1[[#This Row],[IVA]]-Table1[[#This Row],[RET IVA]]-Table1[[#This Row],[RET ISR]]-Table1[[#This Row],[TOTAL]]</f>
        <v>0</v>
      </c>
      <c r="AE1911" s="152"/>
      <c r="AF1911" s="153"/>
      <c r="AG1911" s="126" t="s">
        <v>3420</v>
      </c>
      <c r="AK1911" s="306" t="str">
        <f>IF(ISNUMBER(Table1[[#This Row],[FECHA DE RECIBIDO]]), Table1[[#This Row],[FECHA DE RECIBIDO]]-DATE(2023,8,30), "")</f>
        <v/>
      </c>
    </row>
    <row r="1912" spans="1:37" ht="16.95" customHeight="1">
      <c r="A1912" s="150" t="s">
        <v>3627</v>
      </c>
      <c r="B1912" s="151">
        <v>708</v>
      </c>
      <c r="C1912" s="126" t="s">
        <v>1732</v>
      </c>
      <c r="D1912">
        <v>1296</v>
      </c>
      <c r="E1912" s="126" t="s">
        <v>2107</v>
      </c>
      <c r="F1912" s="122" t="s">
        <v>1593</v>
      </c>
      <c r="G1912" s="122" t="s">
        <v>134</v>
      </c>
      <c r="H1912">
        <v>407</v>
      </c>
      <c r="I1912" s="122" t="s">
        <v>1546</v>
      </c>
      <c r="J1912" s="307" t="s">
        <v>214</v>
      </c>
      <c r="K1912" s="127" t="s">
        <v>3418</v>
      </c>
      <c r="L1912" s="151" t="s">
        <v>1579</v>
      </c>
      <c r="M1912">
        <v>539</v>
      </c>
      <c r="N1912" s="123">
        <v>17</v>
      </c>
      <c r="O1912">
        <v>1274</v>
      </c>
      <c r="P1912" s="132" t="s">
        <v>77</v>
      </c>
      <c r="Q1912" s="131">
        <v>1397.59</v>
      </c>
      <c r="R1912" s="131">
        <v>226.45</v>
      </c>
      <c r="S1912" s="131"/>
      <c r="T1912" s="155"/>
      <c r="U1912" s="131"/>
      <c r="V1912" s="131">
        <f t="shared" si="46"/>
        <v>1624.04</v>
      </c>
      <c r="W1912">
        <v>145</v>
      </c>
      <c r="X1912" s="151" t="s">
        <v>1644</v>
      </c>
      <c r="Y1912" s="135" t="s">
        <v>55</v>
      </c>
      <c r="Z1912" s="307">
        <v>211</v>
      </c>
      <c r="AB1912" t="str">
        <f>IF(Table1[[#This Row],[TIPO2]]="costo", VLOOKUP(Table1[[#This Row],[PARTIDA PRESUPUESTAL]],'Cost Report'!G:G,1,0),"Balance")</f>
        <v>2494-035</v>
      </c>
      <c r="AC1912" s="118"/>
      <c r="AD1912" s="159">
        <f>+Table1[[#This Row],[SUBTOTAL]]+Table1[[#This Row],[IVA]]-Table1[[#This Row],[RET IVA]]-Table1[[#This Row],[RET ISR]]-Table1[[#This Row],[TOTAL]]</f>
        <v>0</v>
      </c>
      <c r="AE1912" s="150"/>
      <c r="AF1912" s="151"/>
      <c r="AG1912" s="126" t="s">
        <v>3420</v>
      </c>
      <c r="AK1912" s="306" t="str">
        <f>IF(ISNUMBER(Table1[[#This Row],[FECHA DE RECIBIDO]]), Table1[[#This Row],[FECHA DE RECIBIDO]]-DATE(2023,8,30), "")</f>
        <v/>
      </c>
    </row>
    <row r="1913" spans="1:37" ht="16.95" customHeight="1">
      <c r="A1913" s="152" t="s">
        <v>3627</v>
      </c>
      <c r="B1913" s="153">
        <v>708</v>
      </c>
      <c r="C1913" s="126" t="s">
        <v>1519</v>
      </c>
      <c r="D1913">
        <v>1297</v>
      </c>
      <c r="E1913" s="126" t="s">
        <v>1992</v>
      </c>
      <c r="F1913" s="125" t="s">
        <v>1589</v>
      </c>
      <c r="G1913" s="125" t="s">
        <v>134</v>
      </c>
      <c r="H1913">
        <v>408</v>
      </c>
      <c r="I1913" s="125" t="s">
        <v>1546</v>
      </c>
      <c r="J1913" s="308" t="s">
        <v>214</v>
      </c>
      <c r="K1913" s="127" t="s">
        <v>3418</v>
      </c>
      <c r="L1913" s="153" t="s">
        <v>1579</v>
      </c>
      <c r="M1913">
        <v>540</v>
      </c>
      <c r="N1913" s="123">
        <v>17</v>
      </c>
      <c r="O1913">
        <v>1275</v>
      </c>
      <c r="P1913" s="132" t="s">
        <v>77</v>
      </c>
      <c r="Q1913" s="132">
        <v>1100</v>
      </c>
      <c r="R1913" s="132">
        <v>176</v>
      </c>
      <c r="S1913" s="132"/>
      <c r="T1913" s="156"/>
      <c r="U1913" s="132"/>
      <c r="V1913" s="132">
        <f t="shared" si="46"/>
        <v>1276</v>
      </c>
      <c r="W1913">
        <v>145</v>
      </c>
      <c r="X1913" s="153" t="s">
        <v>1644</v>
      </c>
      <c r="Y1913" s="124" t="s">
        <v>55</v>
      </c>
      <c r="Z1913" s="308">
        <v>212</v>
      </c>
      <c r="AB1913" t="str">
        <f>IF(Table1[[#This Row],[TIPO2]]="costo", VLOOKUP(Table1[[#This Row],[PARTIDA PRESUPUESTAL]],'Cost Report'!G:G,1,0),"Balance")</f>
        <v>2494-031</v>
      </c>
      <c r="AC1913" s="118"/>
      <c r="AD1913" s="159">
        <f>+Table1[[#This Row],[SUBTOTAL]]+Table1[[#This Row],[IVA]]-Table1[[#This Row],[RET IVA]]-Table1[[#This Row],[RET ISR]]-Table1[[#This Row],[TOTAL]]</f>
        <v>0</v>
      </c>
      <c r="AE1913" s="152"/>
      <c r="AF1913" s="153"/>
      <c r="AG1913" s="126" t="s">
        <v>3420</v>
      </c>
      <c r="AK1913" s="306" t="str">
        <f>IF(ISNUMBER(Table1[[#This Row],[FECHA DE RECIBIDO]]), Table1[[#This Row],[FECHA DE RECIBIDO]]-DATE(2023,8,30), "")</f>
        <v/>
      </c>
    </row>
    <row r="1914" spans="1:37" ht="16.95" customHeight="1">
      <c r="A1914" s="150" t="s">
        <v>3627</v>
      </c>
      <c r="B1914" s="151">
        <v>708</v>
      </c>
      <c r="C1914" s="126" t="s">
        <v>1732</v>
      </c>
      <c r="D1914">
        <v>1298</v>
      </c>
      <c r="E1914" s="126" t="s">
        <v>3267</v>
      </c>
      <c r="F1914" s="122" t="s">
        <v>1607</v>
      </c>
      <c r="G1914" s="122" t="s">
        <v>134</v>
      </c>
      <c r="H1914">
        <v>409</v>
      </c>
      <c r="I1914" s="122" t="s">
        <v>1546</v>
      </c>
      <c r="J1914" s="307" t="s">
        <v>214</v>
      </c>
      <c r="K1914" s="127" t="s">
        <v>3418</v>
      </c>
      <c r="L1914" s="151" t="s">
        <v>1579</v>
      </c>
      <c r="M1914">
        <v>541</v>
      </c>
      <c r="N1914" s="123">
        <v>17</v>
      </c>
      <c r="O1914">
        <v>1276</v>
      </c>
      <c r="P1914" s="132" t="s">
        <v>77</v>
      </c>
      <c r="Q1914" s="131">
        <v>6894.84</v>
      </c>
      <c r="R1914" s="131">
        <v>1103.17</v>
      </c>
      <c r="S1914" s="131"/>
      <c r="T1914" s="155"/>
      <c r="U1914" s="131"/>
      <c r="V1914" s="131">
        <f t="shared" si="46"/>
        <v>7998.01</v>
      </c>
      <c r="W1914">
        <v>145</v>
      </c>
      <c r="X1914" s="151" t="s">
        <v>1644</v>
      </c>
      <c r="Y1914" s="135" t="s">
        <v>55</v>
      </c>
      <c r="Z1914" s="307">
        <v>215</v>
      </c>
      <c r="AB1914" t="str">
        <f>IF(Table1[[#This Row],[TIPO2]]="costo", VLOOKUP(Table1[[#This Row],[PARTIDA PRESUPUESTAL]],'Cost Report'!G:G,1,0),"Balance")</f>
        <v>2494-035</v>
      </c>
      <c r="AC1914" s="118"/>
      <c r="AD1914" s="159">
        <f>+Table1[[#This Row],[SUBTOTAL]]+Table1[[#This Row],[IVA]]-Table1[[#This Row],[RET IVA]]-Table1[[#This Row],[RET ISR]]-Table1[[#This Row],[TOTAL]]</f>
        <v>0</v>
      </c>
      <c r="AE1914" s="150"/>
      <c r="AF1914" s="151"/>
      <c r="AG1914" s="126" t="s">
        <v>3420</v>
      </c>
      <c r="AK1914" s="306" t="str">
        <f>IF(ISNUMBER(Table1[[#This Row],[FECHA DE RECIBIDO]]), Table1[[#This Row],[FECHA DE RECIBIDO]]-DATE(2023,8,30), "")</f>
        <v/>
      </c>
    </row>
    <row r="1915" spans="1:37" ht="16.95" customHeight="1">
      <c r="A1915" s="152" t="s">
        <v>3627</v>
      </c>
      <c r="B1915" s="153">
        <v>708</v>
      </c>
      <c r="C1915" s="126" t="s">
        <v>1505</v>
      </c>
      <c r="D1915">
        <v>1299</v>
      </c>
      <c r="E1915" s="126" t="s">
        <v>3267</v>
      </c>
      <c r="F1915" s="125" t="s">
        <v>1607</v>
      </c>
      <c r="G1915" s="125" t="s">
        <v>134</v>
      </c>
      <c r="H1915">
        <v>409</v>
      </c>
      <c r="I1915" s="125" t="s">
        <v>1546</v>
      </c>
      <c r="J1915" s="308" t="s">
        <v>214</v>
      </c>
      <c r="K1915" s="127" t="s">
        <v>3418</v>
      </c>
      <c r="L1915" s="153" t="s">
        <v>1579</v>
      </c>
      <c r="M1915">
        <v>541</v>
      </c>
      <c r="N1915" s="123">
        <v>17</v>
      </c>
      <c r="O1915">
        <v>1277</v>
      </c>
      <c r="P1915" s="132" t="s">
        <v>77</v>
      </c>
      <c r="Q1915" s="132">
        <v>6894.84</v>
      </c>
      <c r="R1915" s="132">
        <v>1103.17</v>
      </c>
      <c r="S1915" s="132"/>
      <c r="T1915" s="156"/>
      <c r="U1915" s="132"/>
      <c r="V1915" s="132">
        <f t="shared" si="46"/>
        <v>7998.01</v>
      </c>
      <c r="W1915">
        <v>145</v>
      </c>
      <c r="X1915" s="153" t="s">
        <v>1644</v>
      </c>
      <c r="Y1915" s="124" t="s">
        <v>55</v>
      </c>
      <c r="Z1915" s="308">
        <v>215</v>
      </c>
      <c r="AB1915" t="str">
        <f>IF(Table1[[#This Row],[TIPO2]]="costo", VLOOKUP(Table1[[#This Row],[PARTIDA PRESUPUESTAL]],'Cost Report'!G:G,1,0),"Balance")</f>
        <v>2494-003</v>
      </c>
      <c r="AC1915" s="118"/>
      <c r="AD1915" s="159">
        <f>+Table1[[#This Row],[SUBTOTAL]]+Table1[[#This Row],[IVA]]-Table1[[#This Row],[RET IVA]]-Table1[[#This Row],[RET ISR]]-Table1[[#This Row],[TOTAL]]</f>
        <v>0</v>
      </c>
      <c r="AE1915" s="152"/>
      <c r="AF1915" s="153"/>
      <c r="AG1915" s="126" t="s">
        <v>3420</v>
      </c>
      <c r="AK1915" s="306" t="str">
        <f>IF(ISNUMBER(Table1[[#This Row],[FECHA DE RECIBIDO]]), Table1[[#This Row],[FECHA DE RECIBIDO]]-DATE(2023,8,30), "")</f>
        <v/>
      </c>
    </row>
    <row r="1916" spans="1:37" ht="16.95" customHeight="1">
      <c r="A1916" s="150" t="s">
        <v>3627</v>
      </c>
      <c r="B1916" s="151">
        <v>708</v>
      </c>
      <c r="C1916" s="126" t="s">
        <v>1732</v>
      </c>
      <c r="D1916">
        <v>1300</v>
      </c>
      <c r="E1916" s="126" t="s">
        <v>3267</v>
      </c>
      <c r="F1916" s="122" t="s">
        <v>1607</v>
      </c>
      <c r="G1916" s="122" t="s">
        <v>134</v>
      </c>
      <c r="H1916">
        <v>409</v>
      </c>
      <c r="I1916" s="122" t="s">
        <v>1546</v>
      </c>
      <c r="J1916" s="307" t="s">
        <v>214</v>
      </c>
      <c r="K1916" s="127" t="s">
        <v>3418</v>
      </c>
      <c r="L1916" s="151" t="s">
        <v>1579</v>
      </c>
      <c r="M1916">
        <v>541</v>
      </c>
      <c r="N1916" s="123">
        <v>17</v>
      </c>
      <c r="O1916">
        <v>1278</v>
      </c>
      <c r="P1916" s="132" t="s">
        <v>77</v>
      </c>
      <c r="Q1916" s="131">
        <v>6032.76</v>
      </c>
      <c r="R1916" s="131">
        <v>965.24</v>
      </c>
      <c r="S1916" s="131"/>
      <c r="T1916" s="155"/>
      <c r="U1916" s="131"/>
      <c r="V1916" s="131">
        <f t="shared" si="46"/>
        <v>6998</v>
      </c>
      <c r="W1916">
        <v>145</v>
      </c>
      <c r="X1916" s="151" t="s">
        <v>1644</v>
      </c>
      <c r="Y1916" s="135" t="s">
        <v>55</v>
      </c>
      <c r="Z1916" s="307">
        <v>215</v>
      </c>
      <c r="AB1916" t="str">
        <f>IF(Table1[[#This Row],[TIPO2]]="costo", VLOOKUP(Table1[[#This Row],[PARTIDA PRESUPUESTAL]],'Cost Report'!G:G,1,0),"Balance")</f>
        <v>2494-035</v>
      </c>
      <c r="AC1916" s="118"/>
      <c r="AD1916" s="159">
        <f>+Table1[[#This Row],[SUBTOTAL]]+Table1[[#This Row],[IVA]]-Table1[[#This Row],[RET IVA]]-Table1[[#This Row],[RET ISR]]-Table1[[#This Row],[TOTAL]]</f>
        <v>0</v>
      </c>
      <c r="AE1916" s="150"/>
      <c r="AF1916" s="151"/>
      <c r="AG1916" s="126" t="s">
        <v>3420</v>
      </c>
      <c r="AK1916" s="306" t="str">
        <f>IF(ISNUMBER(Table1[[#This Row],[FECHA DE RECIBIDO]]), Table1[[#This Row],[FECHA DE RECIBIDO]]-DATE(2023,8,30), "")</f>
        <v/>
      </c>
    </row>
    <row r="1917" spans="1:37" ht="16.95" customHeight="1">
      <c r="A1917" s="152" t="s">
        <v>3627</v>
      </c>
      <c r="B1917" s="153">
        <v>708</v>
      </c>
      <c r="C1917" s="126" t="s">
        <v>1732</v>
      </c>
      <c r="D1917">
        <v>1301</v>
      </c>
      <c r="E1917" s="126" t="s">
        <v>1609</v>
      </c>
      <c r="F1917" s="125" t="s">
        <v>1589</v>
      </c>
      <c r="G1917" s="125" t="s">
        <v>134</v>
      </c>
      <c r="H1917">
        <v>384</v>
      </c>
      <c r="I1917" s="125" t="s">
        <v>1546</v>
      </c>
      <c r="J1917" s="308" t="s">
        <v>214</v>
      </c>
      <c r="K1917" s="127" t="s">
        <v>3418</v>
      </c>
      <c r="L1917" s="153" t="s">
        <v>1579</v>
      </c>
      <c r="M1917">
        <v>506</v>
      </c>
      <c r="N1917" s="123">
        <v>17</v>
      </c>
      <c r="O1917">
        <v>1279</v>
      </c>
      <c r="P1917" s="132" t="s">
        <v>77</v>
      </c>
      <c r="Q1917" s="132">
        <v>2534.44</v>
      </c>
      <c r="R1917" s="132">
        <v>405.56</v>
      </c>
      <c r="S1917" s="132"/>
      <c r="T1917" s="156"/>
      <c r="U1917" s="132"/>
      <c r="V1917" s="132">
        <f t="shared" si="46"/>
        <v>2940</v>
      </c>
      <c r="W1917">
        <v>145</v>
      </c>
      <c r="X1917" s="153" t="s">
        <v>1644</v>
      </c>
      <c r="Y1917" s="124" t="s">
        <v>55</v>
      </c>
      <c r="Z1917" s="308">
        <v>216</v>
      </c>
      <c r="AB1917" t="str">
        <f>IF(Table1[[#This Row],[TIPO2]]="costo", VLOOKUP(Table1[[#This Row],[PARTIDA PRESUPUESTAL]],'Cost Report'!G:G,1,0),"Balance")</f>
        <v>2494-035</v>
      </c>
      <c r="AC1917" s="118"/>
      <c r="AD1917" s="159">
        <f>+Table1[[#This Row],[SUBTOTAL]]+Table1[[#This Row],[IVA]]-Table1[[#This Row],[RET IVA]]-Table1[[#This Row],[RET ISR]]-Table1[[#This Row],[TOTAL]]</f>
        <v>0</v>
      </c>
      <c r="AE1917" s="152"/>
      <c r="AF1917" s="153"/>
      <c r="AG1917" s="126" t="s">
        <v>3420</v>
      </c>
      <c r="AK1917" s="306" t="str">
        <f>IF(ISNUMBER(Table1[[#This Row],[FECHA DE RECIBIDO]]), Table1[[#This Row],[FECHA DE RECIBIDO]]-DATE(2023,8,30), "")</f>
        <v/>
      </c>
    </row>
    <row r="1918" spans="1:37" ht="16.95" customHeight="1">
      <c r="A1918" s="150" t="s">
        <v>3627</v>
      </c>
      <c r="B1918" s="151">
        <v>708</v>
      </c>
      <c r="C1918" s="126" t="s">
        <v>610</v>
      </c>
      <c r="D1918">
        <v>1302</v>
      </c>
      <c r="E1918" s="126" t="s">
        <v>3275</v>
      </c>
      <c r="F1918" s="122" t="s">
        <v>1607</v>
      </c>
      <c r="G1918" s="122" t="s">
        <v>134</v>
      </c>
      <c r="H1918">
        <v>139</v>
      </c>
      <c r="I1918" s="122" t="s">
        <v>1546</v>
      </c>
      <c r="J1918" s="307" t="s">
        <v>214</v>
      </c>
      <c r="K1918" s="127" t="s">
        <v>3418</v>
      </c>
      <c r="L1918" s="151" t="s">
        <v>1579</v>
      </c>
      <c r="M1918">
        <v>181</v>
      </c>
      <c r="N1918" s="123">
        <v>17</v>
      </c>
      <c r="O1918">
        <v>1280</v>
      </c>
      <c r="P1918" s="132" t="s">
        <v>77</v>
      </c>
      <c r="Q1918" s="131">
        <v>401.72</v>
      </c>
      <c r="R1918" s="131">
        <v>64.28</v>
      </c>
      <c r="S1918" s="131"/>
      <c r="T1918" s="155"/>
      <c r="U1918" s="131"/>
      <c r="V1918" s="131">
        <f t="shared" si="46"/>
        <v>466</v>
      </c>
      <c r="W1918">
        <v>145</v>
      </c>
      <c r="X1918" s="151" t="s">
        <v>1644</v>
      </c>
      <c r="Y1918" s="135" t="s">
        <v>55</v>
      </c>
      <c r="Z1918" s="307">
        <v>185</v>
      </c>
      <c r="AB1918" t="str">
        <f>IF(Table1[[#This Row],[TIPO2]]="costo", VLOOKUP(Table1[[#This Row],[PARTIDA PRESUPUESTAL]],'Cost Report'!G:G,1,0),"Balance")</f>
        <v>2485-003</v>
      </c>
      <c r="AC1918" s="118"/>
      <c r="AD1918" s="159">
        <f>+Table1[[#This Row],[SUBTOTAL]]+Table1[[#This Row],[IVA]]-Table1[[#This Row],[RET IVA]]-Table1[[#This Row],[RET ISR]]-Table1[[#This Row],[TOTAL]]</f>
        <v>0</v>
      </c>
      <c r="AE1918" s="150"/>
      <c r="AF1918" s="151"/>
      <c r="AG1918" s="126" t="s">
        <v>3420</v>
      </c>
      <c r="AK1918" s="306" t="str">
        <f>IF(ISNUMBER(Table1[[#This Row],[FECHA DE RECIBIDO]]), Table1[[#This Row],[FECHA DE RECIBIDO]]-DATE(2023,8,30), "")</f>
        <v/>
      </c>
    </row>
    <row r="1919" spans="1:37" ht="16.95" customHeight="1">
      <c r="A1919" s="152" t="s">
        <v>3627</v>
      </c>
      <c r="B1919" s="153">
        <v>708</v>
      </c>
      <c r="C1919" s="126" t="s">
        <v>2455</v>
      </c>
      <c r="D1919">
        <v>661</v>
      </c>
      <c r="E1919" s="126"/>
      <c r="F1919" s="125"/>
      <c r="G1919" s="125"/>
      <c r="H1919"/>
      <c r="I1919" s="125"/>
      <c r="J1919" s="308">
        <v>210</v>
      </c>
      <c r="K1919" s="127" t="s">
        <v>3418</v>
      </c>
      <c r="L1919" s="153" t="s">
        <v>1579</v>
      </c>
      <c r="M1919">
        <v>542</v>
      </c>
      <c r="N1919" s="123">
        <v>17</v>
      </c>
      <c r="O1919">
        <v>522</v>
      </c>
      <c r="P1919" s="132" t="s">
        <v>77</v>
      </c>
      <c r="Q1919" s="132">
        <v>34.799999999999997</v>
      </c>
      <c r="R1919" s="132"/>
      <c r="S1919" s="132"/>
      <c r="T1919" s="156"/>
      <c r="U1919" s="132"/>
      <c r="V1919" s="132">
        <f t="shared" si="46"/>
        <v>34.799999999999997</v>
      </c>
      <c r="W1919">
        <v>145</v>
      </c>
      <c r="X1919" s="153" t="s">
        <v>1644</v>
      </c>
      <c r="Y1919" s="124" t="s">
        <v>55</v>
      </c>
      <c r="Z1919" s="308">
        <v>210</v>
      </c>
      <c r="AB1919" t="str">
        <f>IF(Table1[[#This Row],[TIPO2]]="costo", VLOOKUP(Table1[[#This Row],[PARTIDA PRESUPUESTAL]],'Cost Report'!G:G,1,0),"Balance")</f>
        <v>2285-003</v>
      </c>
      <c r="AC1919" s="118"/>
      <c r="AD1919" s="159">
        <f>+Table1[[#This Row],[SUBTOTAL]]+Table1[[#This Row],[IVA]]-Table1[[#This Row],[RET IVA]]-Table1[[#This Row],[RET ISR]]-Table1[[#This Row],[TOTAL]]</f>
        <v>0</v>
      </c>
      <c r="AE1919" s="152"/>
      <c r="AF1919" s="153"/>
      <c r="AG1919" s="126" t="s">
        <v>3420</v>
      </c>
      <c r="AK1919" s="306">
        <f>IF(ISNUMBER(Table1[[#This Row],[FECHA DE RECIBIDO]]), Table1[[#This Row],[FECHA DE RECIBIDO]]-DATE(2023,8,30), "")</f>
        <v>-44958</v>
      </c>
    </row>
    <row r="1920" spans="1:37" ht="16.95" customHeight="1">
      <c r="A1920" s="150" t="s">
        <v>3627</v>
      </c>
      <c r="B1920" s="151">
        <v>708</v>
      </c>
      <c r="C1920" s="126" t="s">
        <v>2455</v>
      </c>
      <c r="D1920">
        <v>661</v>
      </c>
      <c r="E1920" s="126"/>
      <c r="F1920" s="122"/>
      <c r="G1920" s="122"/>
      <c r="H1920"/>
      <c r="I1920" s="122"/>
      <c r="J1920" s="307">
        <v>211</v>
      </c>
      <c r="K1920" s="127" t="s">
        <v>3418</v>
      </c>
      <c r="L1920" s="151" t="s">
        <v>1579</v>
      </c>
      <c r="M1920">
        <v>543</v>
      </c>
      <c r="N1920" s="123">
        <v>17</v>
      </c>
      <c r="O1920">
        <v>522</v>
      </c>
      <c r="P1920" s="132" t="s">
        <v>77</v>
      </c>
      <c r="Q1920" s="131">
        <v>31.32</v>
      </c>
      <c r="R1920" s="131"/>
      <c r="S1920" s="131"/>
      <c r="T1920" s="155"/>
      <c r="U1920" s="131"/>
      <c r="V1920" s="131">
        <f t="shared" si="46"/>
        <v>31.32</v>
      </c>
      <c r="W1920">
        <v>145</v>
      </c>
      <c r="X1920" s="151" t="s">
        <v>1644</v>
      </c>
      <c r="Y1920" s="135" t="s">
        <v>55</v>
      </c>
      <c r="Z1920" s="307">
        <v>211</v>
      </c>
      <c r="AB1920" t="str">
        <f>IF(Table1[[#This Row],[TIPO2]]="costo", VLOOKUP(Table1[[#This Row],[PARTIDA PRESUPUESTAL]],'Cost Report'!G:G,1,0),"Balance")</f>
        <v>2285-003</v>
      </c>
      <c r="AC1920" s="118"/>
      <c r="AD1920" s="159">
        <f>+Table1[[#This Row],[SUBTOTAL]]+Table1[[#This Row],[IVA]]-Table1[[#This Row],[RET IVA]]-Table1[[#This Row],[RET ISR]]-Table1[[#This Row],[TOTAL]]</f>
        <v>0</v>
      </c>
      <c r="AE1920" s="150"/>
      <c r="AF1920" s="151"/>
      <c r="AG1920" s="126" t="s">
        <v>3420</v>
      </c>
      <c r="AK1920" s="306">
        <f>IF(ISNUMBER(Table1[[#This Row],[FECHA DE RECIBIDO]]), Table1[[#This Row],[FECHA DE RECIBIDO]]-DATE(2023,8,30), "")</f>
        <v>-44957</v>
      </c>
    </row>
    <row r="1921" spans="1:37" ht="16.95" customHeight="1">
      <c r="A1921" s="152" t="s">
        <v>3628</v>
      </c>
      <c r="B1921" s="153">
        <v>709</v>
      </c>
      <c r="C1921" s="126" t="s">
        <v>1505</v>
      </c>
      <c r="D1921">
        <v>1303</v>
      </c>
      <c r="E1921" s="126" t="s">
        <v>1615</v>
      </c>
      <c r="F1921" s="125" t="s">
        <v>1607</v>
      </c>
      <c r="G1921" s="125" t="s">
        <v>134</v>
      </c>
      <c r="H1921">
        <v>410</v>
      </c>
      <c r="I1921" s="125" t="s">
        <v>1546</v>
      </c>
      <c r="J1921" s="308" t="s">
        <v>214</v>
      </c>
      <c r="K1921" s="127" t="s">
        <v>3418</v>
      </c>
      <c r="L1921" s="153" t="s">
        <v>1579</v>
      </c>
      <c r="M1921">
        <v>544</v>
      </c>
      <c r="N1921" s="123">
        <v>17</v>
      </c>
      <c r="O1921">
        <v>1281</v>
      </c>
      <c r="P1921" s="132" t="s">
        <v>77</v>
      </c>
      <c r="Q1921" s="132">
        <v>375</v>
      </c>
      <c r="R1921" s="132">
        <v>60</v>
      </c>
      <c r="S1921" s="132"/>
      <c r="T1921" s="156"/>
      <c r="U1921" s="132"/>
      <c r="V1921" s="132">
        <f t="shared" si="46"/>
        <v>435</v>
      </c>
      <c r="W1921">
        <v>104</v>
      </c>
      <c r="X1921" s="153" t="s">
        <v>1644</v>
      </c>
      <c r="Y1921" s="124" t="s">
        <v>55</v>
      </c>
      <c r="Z1921" s="308">
        <v>209</v>
      </c>
      <c r="AB1921" t="str">
        <f>IF(Table1[[#This Row],[TIPO2]]="costo", VLOOKUP(Table1[[#This Row],[PARTIDA PRESUPUESTAL]],'Cost Report'!G:G,1,0),"Balance")</f>
        <v>2494-003</v>
      </c>
      <c r="AC1921" s="118"/>
      <c r="AD1921" s="159">
        <f>+Table1[[#This Row],[SUBTOTAL]]+Table1[[#This Row],[IVA]]-Table1[[#This Row],[RET IVA]]-Table1[[#This Row],[RET ISR]]-Table1[[#This Row],[TOTAL]]</f>
        <v>0</v>
      </c>
      <c r="AE1921" s="152"/>
      <c r="AF1921" s="153"/>
      <c r="AG1921" s="126" t="s">
        <v>3420</v>
      </c>
      <c r="AK1921" s="306" t="str">
        <f>IF(ISNUMBER(Table1[[#This Row],[FECHA DE RECIBIDO]]), Table1[[#This Row],[FECHA DE RECIBIDO]]-DATE(2023,8,30), "")</f>
        <v/>
      </c>
    </row>
    <row r="1922" spans="1:37" ht="16.95" customHeight="1">
      <c r="A1922" s="150" t="s">
        <v>3628</v>
      </c>
      <c r="B1922" s="151">
        <v>709</v>
      </c>
      <c r="C1922" s="126" t="s">
        <v>1517</v>
      </c>
      <c r="D1922">
        <v>1304</v>
      </c>
      <c r="E1922" s="126" t="s">
        <v>1603</v>
      </c>
      <c r="F1922" s="122" t="s">
        <v>1607</v>
      </c>
      <c r="G1922" s="122" t="s">
        <v>134</v>
      </c>
      <c r="H1922">
        <v>274</v>
      </c>
      <c r="I1922" s="122" t="s">
        <v>1546</v>
      </c>
      <c r="J1922" s="307" t="s">
        <v>214</v>
      </c>
      <c r="K1922" s="127" t="s">
        <v>3418</v>
      </c>
      <c r="L1922" s="151" t="s">
        <v>1579</v>
      </c>
      <c r="M1922">
        <v>365</v>
      </c>
      <c r="N1922" s="123">
        <v>17</v>
      </c>
      <c r="O1922">
        <v>1282</v>
      </c>
      <c r="P1922" s="132" t="s">
        <v>77</v>
      </c>
      <c r="Q1922" s="131">
        <v>820.69</v>
      </c>
      <c r="R1922" s="131">
        <v>131.31</v>
      </c>
      <c r="S1922" s="131"/>
      <c r="T1922" s="155"/>
      <c r="U1922" s="131"/>
      <c r="V1922" s="131">
        <f t="shared" si="46"/>
        <v>952</v>
      </c>
      <c r="W1922">
        <v>104</v>
      </c>
      <c r="X1922" s="151" t="s">
        <v>1644</v>
      </c>
      <c r="Y1922" s="135" t="s">
        <v>55</v>
      </c>
      <c r="Z1922" s="307">
        <v>218</v>
      </c>
      <c r="AB1922" t="str">
        <f>IF(Table1[[#This Row],[TIPO2]]="costo", VLOOKUP(Table1[[#This Row],[PARTIDA PRESUPUESTAL]],'Cost Report'!G:G,1,0),"Balance")</f>
        <v>2494-027</v>
      </c>
      <c r="AC1922" s="118"/>
      <c r="AD1922" s="159">
        <f>+Table1[[#This Row],[SUBTOTAL]]+Table1[[#This Row],[IVA]]-Table1[[#This Row],[RET IVA]]-Table1[[#This Row],[RET ISR]]-Table1[[#This Row],[TOTAL]]</f>
        <v>0</v>
      </c>
      <c r="AE1922" s="150"/>
      <c r="AF1922" s="151"/>
      <c r="AG1922" s="126" t="s">
        <v>3420</v>
      </c>
      <c r="AK1922" s="306" t="str">
        <f>IF(ISNUMBER(Table1[[#This Row],[FECHA DE RECIBIDO]]), Table1[[#This Row],[FECHA DE RECIBIDO]]-DATE(2023,8,30), "")</f>
        <v/>
      </c>
    </row>
    <row r="1923" spans="1:37" ht="16.95" customHeight="1">
      <c r="A1923" s="152" t="s">
        <v>3628</v>
      </c>
      <c r="B1923" s="153">
        <v>709</v>
      </c>
      <c r="C1923" s="126" t="s">
        <v>1517</v>
      </c>
      <c r="D1923">
        <v>1305</v>
      </c>
      <c r="E1923" s="126" t="s">
        <v>3275</v>
      </c>
      <c r="F1923" s="125" t="s">
        <v>1589</v>
      </c>
      <c r="G1923" s="125" t="s">
        <v>134</v>
      </c>
      <c r="H1923">
        <v>411</v>
      </c>
      <c r="I1923" s="125" t="s">
        <v>1546</v>
      </c>
      <c r="J1923" s="308" t="s">
        <v>214</v>
      </c>
      <c r="K1923" s="127" t="s">
        <v>3418</v>
      </c>
      <c r="L1923" s="153" t="s">
        <v>1579</v>
      </c>
      <c r="M1923">
        <v>545</v>
      </c>
      <c r="N1923" s="123">
        <v>17</v>
      </c>
      <c r="O1923">
        <v>1283</v>
      </c>
      <c r="P1923" s="132" t="s">
        <v>77</v>
      </c>
      <c r="Q1923" s="132">
        <v>1402.33</v>
      </c>
      <c r="R1923" s="132">
        <v>224.37</v>
      </c>
      <c r="S1923" s="132"/>
      <c r="T1923" s="156"/>
      <c r="U1923" s="132"/>
      <c r="V1923" s="132">
        <f t="shared" ref="V1923:V1986" si="47">Q1923+R1923-T1923-U1923</f>
        <v>1626.6999999999998</v>
      </c>
      <c r="W1923">
        <v>104</v>
      </c>
      <c r="X1923" s="153" t="s">
        <v>1644</v>
      </c>
      <c r="Y1923" s="124" t="s">
        <v>55</v>
      </c>
      <c r="Z1923" s="308">
        <v>218</v>
      </c>
      <c r="AB1923" t="str">
        <f>IF(Table1[[#This Row],[TIPO2]]="costo", VLOOKUP(Table1[[#This Row],[PARTIDA PRESUPUESTAL]],'Cost Report'!G:G,1,0),"Balance")</f>
        <v>2494-027</v>
      </c>
      <c r="AC1923" s="118"/>
      <c r="AD1923" s="159">
        <f>+Table1[[#This Row],[SUBTOTAL]]+Table1[[#This Row],[IVA]]-Table1[[#This Row],[RET IVA]]-Table1[[#This Row],[RET ISR]]-Table1[[#This Row],[TOTAL]]</f>
        <v>0</v>
      </c>
      <c r="AE1923" s="152"/>
      <c r="AF1923" s="153"/>
      <c r="AG1923" s="126" t="s">
        <v>3420</v>
      </c>
      <c r="AK1923" s="306" t="str">
        <f>IF(ISNUMBER(Table1[[#This Row],[FECHA DE RECIBIDO]]), Table1[[#This Row],[FECHA DE RECIBIDO]]-DATE(2023,8,30), "")</f>
        <v/>
      </c>
    </row>
    <row r="1924" spans="1:37" ht="16.95" customHeight="1">
      <c r="A1924" s="150" t="s">
        <v>3628</v>
      </c>
      <c r="B1924" s="151">
        <v>709</v>
      </c>
      <c r="C1924" s="126" t="s">
        <v>1513</v>
      </c>
      <c r="D1924">
        <v>1306</v>
      </c>
      <c r="E1924" s="126" t="s">
        <v>2107</v>
      </c>
      <c r="F1924" s="122" t="s">
        <v>1593</v>
      </c>
      <c r="G1924" s="122" t="s">
        <v>134</v>
      </c>
      <c r="H1924">
        <v>412</v>
      </c>
      <c r="I1924" s="122" t="s">
        <v>1546</v>
      </c>
      <c r="J1924" s="307" t="s">
        <v>214</v>
      </c>
      <c r="K1924" s="127" t="s">
        <v>3418</v>
      </c>
      <c r="L1924" s="151" t="s">
        <v>1579</v>
      </c>
      <c r="M1924">
        <v>546</v>
      </c>
      <c r="N1924" s="123">
        <v>17</v>
      </c>
      <c r="O1924">
        <v>1284</v>
      </c>
      <c r="P1924" s="132" t="s">
        <v>77</v>
      </c>
      <c r="Q1924" s="131">
        <v>202.18</v>
      </c>
      <c r="R1924" s="131">
        <v>32.35</v>
      </c>
      <c r="S1924" s="131"/>
      <c r="T1924" s="155"/>
      <c r="U1924" s="131">
        <v>2.5299999999999998</v>
      </c>
      <c r="V1924" s="131">
        <f t="shared" si="47"/>
        <v>232</v>
      </c>
      <c r="W1924">
        <v>104</v>
      </c>
      <c r="X1924" s="151" t="s">
        <v>1644</v>
      </c>
      <c r="Y1924" s="135" t="s">
        <v>55</v>
      </c>
      <c r="Z1924" s="307">
        <v>218</v>
      </c>
      <c r="AB1924" t="str">
        <f>IF(Table1[[#This Row],[TIPO2]]="costo", VLOOKUP(Table1[[#This Row],[PARTIDA PRESUPUESTAL]],'Cost Report'!G:G,1,0),"Balance")</f>
        <v>2494-019</v>
      </c>
      <c r="AC1924" s="118"/>
      <c r="AD1924" s="159">
        <f>+Table1[[#This Row],[SUBTOTAL]]+Table1[[#This Row],[IVA]]-Table1[[#This Row],[RET IVA]]-Table1[[#This Row],[RET ISR]]-Table1[[#This Row],[TOTAL]]</f>
        <v>0</v>
      </c>
      <c r="AE1924" s="150"/>
      <c r="AF1924" s="151"/>
      <c r="AG1924" s="126" t="s">
        <v>3420</v>
      </c>
      <c r="AK1924" s="306" t="str">
        <f>IF(ISNUMBER(Table1[[#This Row],[FECHA DE RECIBIDO]]), Table1[[#This Row],[FECHA DE RECIBIDO]]-DATE(2023,8,30), "")</f>
        <v/>
      </c>
    </row>
    <row r="1925" spans="1:37" ht="16.95" customHeight="1">
      <c r="A1925" s="152" t="s">
        <v>3628</v>
      </c>
      <c r="B1925" s="153">
        <v>709</v>
      </c>
      <c r="C1925" s="126" t="s">
        <v>1513</v>
      </c>
      <c r="D1925">
        <v>1307</v>
      </c>
      <c r="E1925" s="126" t="s">
        <v>3278</v>
      </c>
      <c r="F1925" s="125" t="s">
        <v>1607</v>
      </c>
      <c r="G1925" s="125" t="s">
        <v>134</v>
      </c>
      <c r="H1925">
        <v>56</v>
      </c>
      <c r="I1925" s="125" t="s">
        <v>1546</v>
      </c>
      <c r="J1925" s="308" t="s">
        <v>214</v>
      </c>
      <c r="K1925" s="127" t="s">
        <v>3418</v>
      </c>
      <c r="L1925" s="153" t="s">
        <v>1579</v>
      </c>
      <c r="M1925">
        <v>547</v>
      </c>
      <c r="N1925" s="123">
        <v>17</v>
      </c>
      <c r="O1925">
        <v>1285</v>
      </c>
      <c r="P1925" s="132" t="s">
        <v>77</v>
      </c>
      <c r="Q1925" s="132">
        <v>826.38</v>
      </c>
      <c r="R1925" s="132">
        <v>102.62</v>
      </c>
      <c r="S1925" s="132"/>
      <c r="T1925" s="156"/>
      <c r="U1925" s="132"/>
      <c r="V1925" s="132">
        <f t="shared" si="47"/>
        <v>929</v>
      </c>
      <c r="W1925">
        <v>104</v>
      </c>
      <c r="X1925" s="153" t="s">
        <v>1644</v>
      </c>
      <c r="Y1925" s="124" t="s">
        <v>55</v>
      </c>
      <c r="Z1925" s="308">
        <v>217</v>
      </c>
      <c r="AB1925" t="str">
        <f>IF(Table1[[#This Row],[TIPO2]]="costo", VLOOKUP(Table1[[#This Row],[PARTIDA PRESUPUESTAL]],'Cost Report'!G:G,1,0),"Balance")</f>
        <v>2494-019</v>
      </c>
      <c r="AC1925" s="118"/>
      <c r="AD1925" s="159">
        <f>+Table1[[#This Row],[SUBTOTAL]]+Table1[[#This Row],[IVA]]-Table1[[#This Row],[RET IVA]]-Table1[[#This Row],[RET ISR]]-Table1[[#This Row],[TOTAL]]</f>
        <v>0</v>
      </c>
      <c r="AE1925" s="152"/>
      <c r="AF1925" s="153"/>
      <c r="AG1925" s="126" t="s">
        <v>3420</v>
      </c>
      <c r="AK1925" s="306" t="str">
        <f>IF(ISNUMBER(Table1[[#This Row],[FECHA DE RECIBIDO]]), Table1[[#This Row],[FECHA DE RECIBIDO]]-DATE(2023,8,30), "")</f>
        <v/>
      </c>
    </row>
    <row r="1926" spans="1:37" ht="16.95" customHeight="1">
      <c r="A1926" s="150" t="s">
        <v>3628</v>
      </c>
      <c r="B1926" s="151">
        <v>709</v>
      </c>
      <c r="C1926" s="126" t="s">
        <v>2455</v>
      </c>
      <c r="D1926">
        <v>1308</v>
      </c>
      <c r="E1926" s="126" t="s">
        <v>3115</v>
      </c>
      <c r="F1926" s="122" t="s">
        <v>1382</v>
      </c>
      <c r="G1926" s="122" t="s">
        <v>134</v>
      </c>
      <c r="H1926">
        <v>31</v>
      </c>
      <c r="I1926" s="122" t="s">
        <v>1546</v>
      </c>
      <c r="J1926" s="307" t="s">
        <v>214</v>
      </c>
      <c r="K1926" s="127" t="s">
        <v>3418</v>
      </c>
      <c r="L1926" s="151" t="s">
        <v>1579</v>
      </c>
      <c r="M1926">
        <v>69</v>
      </c>
      <c r="N1926" s="123">
        <v>17</v>
      </c>
      <c r="O1926">
        <v>1286</v>
      </c>
      <c r="P1926" s="132" t="s">
        <v>77</v>
      </c>
      <c r="Q1926" s="131">
        <v>191</v>
      </c>
      <c r="R1926" s="131"/>
      <c r="S1926" s="131"/>
      <c r="T1926" s="155"/>
      <c r="U1926" s="131"/>
      <c r="V1926" s="131">
        <f t="shared" si="47"/>
        <v>191</v>
      </c>
      <c r="W1926">
        <v>104</v>
      </c>
      <c r="X1926" s="151" t="s">
        <v>1644</v>
      </c>
      <c r="Y1926" s="135" t="s">
        <v>55</v>
      </c>
      <c r="Z1926" s="307">
        <v>217</v>
      </c>
      <c r="AB1926" t="str">
        <f>IF(Table1[[#This Row],[TIPO2]]="costo", VLOOKUP(Table1[[#This Row],[PARTIDA PRESUPUESTAL]],'Cost Report'!G:G,1,0),"Balance")</f>
        <v>2285-003</v>
      </c>
      <c r="AC1926" s="118"/>
      <c r="AD1926" s="159">
        <f>+Table1[[#This Row],[SUBTOTAL]]+Table1[[#This Row],[IVA]]-Table1[[#This Row],[RET IVA]]-Table1[[#This Row],[RET ISR]]-Table1[[#This Row],[TOTAL]]</f>
        <v>0</v>
      </c>
      <c r="AE1926" s="150"/>
      <c r="AF1926" s="151"/>
      <c r="AG1926" s="126" t="s">
        <v>3420</v>
      </c>
      <c r="AK1926" s="306" t="str">
        <f>IF(ISNUMBER(Table1[[#This Row],[FECHA DE RECIBIDO]]), Table1[[#This Row],[FECHA DE RECIBIDO]]-DATE(2023,8,30), "")</f>
        <v/>
      </c>
    </row>
    <row r="1927" spans="1:37" ht="16.95" customHeight="1">
      <c r="A1927" s="152" t="s">
        <v>3628</v>
      </c>
      <c r="B1927" s="153">
        <v>709</v>
      </c>
      <c r="C1927" s="126" t="s">
        <v>2455</v>
      </c>
      <c r="D1927">
        <v>661</v>
      </c>
      <c r="E1927" s="126"/>
      <c r="F1927" s="125"/>
      <c r="G1927" s="125"/>
      <c r="H1927"/>
      <c r="I1927" s="125"/>
      <c r="J1927" s="308">
        <v>217</v>
      </c>
      <c r="K1927" s="127" t="s">
        <v>3418</v>
      </c>
      <c r="L1927" s="153" t="s">
        <v>1579</v>
      </c>
      <c r="M1927">
        <v>548</v>
      </c>
      <c r="N1927" s="123">
        <v>17</v>
      </c>
      <c r="O1927">
        <v>1287</v>
      </c>
      <c r="P1927" s="132" t="s">
        <v>77</v>
      </c>
      <c r="Q1927" s="132">
        <v>29.5</v>
      </c>
      <c r="R1927" s="132">
        <v>4.72</v>
      </c>
      <c r="S1927" s="132"/>
      <c r="T1927" s="156"/>
      <c r="U1927" s="132"/>
      <c r="V1927" s="132">
        <f t="shared" si="47"/>
        <v>34.22</v>
      </c>
      <c r="W1927">
        <v>104</v>
      </c>
      <c r="X1927" s="153" t="s">
        <v>1644</v>
      </c>
      <c r="Y1927" s="124" t="s">
        <v>55</v>
      </c>
      <c r="Z1927" s="308">
        <v>217</v>
      </c>
      <c r="AB1927" t="str">
        <f>IF(Table1[[#This Row],[TIPO2]]="costo", VLOOKUP(Table1[[#This Row],[PARTIDA PRESUPUESTAL]],'Cost Report'!G:G,1,0),"Balance")</f>
        <v>2285-003</v>
      </c>
      <c r="AC1927" s="118"/>
      <c r="AD1927" s="159">
        <f>+Table1[[#This Row],[SUBTOTAL]]+Table1[[#This Row],[IVA]]-Table1[[#This Row],[RET IVA]]-Table1[[#This Row],[RET ISR]]-Table1[[#This Row],[TOTAL]]</f>
        <v>0</v>
      </c>
      <c r="AE1927" s="152"/>
      <c r="AF1927" s="153"/>
      <c r="AG1927" s="126" t="s">
        <v>3420</v>
      </c>
      <c r="AK1927" s="306">
        <f>IF(ISNUMBER(Table1[[#This Row],[FECHA DE RECIBIDO]]), Table1[[#This Row],[FECHA DE RECIBIDO]]-DATE(2023,8,30), "")</f>
        <v>-44951</v>
      </c>
    </row>
    <row r="1928" spans="1:37" ht="16.95" customHeight="1">
      <c r="A1928" s="150" t="s">
        <v>3629</v>
      </c>
      <c r="B1928" s="151">
        <v>710</v>
      </c>
      <c r="C1928" s="126" t="s">
        <v>610</v>
      </c>
      <c r="D1928">
        <v>1309</v>
      </c>
      <c r="E1928" s="126"/>
      <c r="F1928" s="122"/>
      <c r="G1928" s="122" t="s">
        <v>134</v>
      </c>
      <c r="H1928"/>
      <c r="I1928" s="122" t="s">
        <v>1546</v>
      </c>
      <c r="J1928" s="307" t="s">
        <v>214</v>
      </c>
      <c r="K1928" s="127" t="s">
        <v>3418</v>
      </c>
      <c r="L1928" s="151" t="s">
        <v>1579</v>
      </c>
      <c r="M1928">
        <v>549</v>
      </c>
      <c r="N1928" s="123">
        <v>17</v>
      </c>
      <c r="O1928">
        <v>1288</v>
      </c>
      <c r="P1928" s="132" t="s">
        <v>77</v>
      </c>
      <c r="Q1928" s="131">
        <v>600</v>
      </c>
      <c r="R1928" s="131">
        <v>96</v>
      </c>
      <c r="S1928" s="131"/>
      <c r="T1928" s="155"/>
      <c r="U1928" s="131"/>
      <c r="V1928" s="131">
        <f t="shared" si="47"/>
        <v>696</v>
      </c>
      <c r="W1928">
        <v>103</v>
      </c>
      <c r="X1928" s="151" t="s">
        <v>1644</v>
      </c>
      <c r="Y1928" s="135" t="s">
        <v>55</v>
      </c>
      <c r="Z1928" s="307">
        <v>208</v>
      </c>
      <c r="AB1928" t="str">
        <f>IF(Table1[[#This Row],[TIPO2]]="costo", VLOOKUP(Table1[[#This Row],[PARTIDA PRESUPUESTAL]],'Cost Report'!G:G,1,0),"Balance")</f>
        <v>2485-003</v>
      </c>
      <c r="AC1928" s="118"/>
      <c r="AD1928" s="159">
        <f>+Table1[[#This Row],[SUBTOTAL]]+Table1[[#This Row],[IVA]]-Table1[[#This Row],[RET IVA]]-Table1[[#This Row],[RET ISR]]-Table1[[#This Row],[TOTAL]]</f>
        <v>0</v>
      </c>
      <c r="AE1928" s="150"/>
      <c r="AF1928" s="151"/>
      <c r="AG1928" s="126" t="s">
        <v>3420</v>
      </c>
      <c r="AK1928" s="306" t="str">
        <f>IF(ISNUMBER(Table1[[#This Row],[FECHA DE RECIBIDO]]), Table1[[#This Row],[FECHA DE RECIBIDO]]-DATE(2023,8,30), "")</f>
        <v/>
      </c>
    </row>
    <row r="1929" spans="1:37" ht="16.95" customHeight="1">
      <c r="A1929" s="152" t="s">
        <v>3629</v>
      </c>
      <c r="B1929" s="153">
        <v>710</v>
      </c>
      <c r="C1929" s="126" t="s">
        <v>1513</v>
      </c>
      <c r="D1929">
        <v>1310</v>
      </c>
      <c r="E1929" s="126" t="s">
        <v>3275</v>
      </c>
      <c r="F1929" s="125" t="s">
        <v>1607</v>
      </c>
      <c r="G1929" s="125" t="s">
        <v>134</v>
      </c>
      <c r="H1929">
        <v>177</v>
      </c>
      <c r="I1929" s="125" t="s">
        <v>1546</v>
      </c>
      <c r="J1929" s="308" t="s">
        <v>214</v>
      </c>
      <c r="K1929" s="127" t="s">
        <v>3418</v>
      </c>
      <c r="L1929" s="153" t="s">
        <v>1579</v>
      </c>
      <c r="M1929">
        <v>238</v>
      </c>
      <c r="N1929" s="123">
        <v>17</v>
      </c>
      <c r="O1929">
        <v>1289</v>
      </c>
      <c r="P1929" s="132" t="s">
        <v>77</v>
      </c>
      <c r="Q1929" s="132">
        <v>646.51</v>
      </c>
      <c r="R1929" s="132">
        <v>103.44</v>
      </c>
      <c r="S1929" s="132"/>
      <c r="T1929" s="156"/>
      <c r="U1929" s="132"/>
      <c r="V1929" s="132">
        <f t="shared" si="47"/>
        <v>749.95</v>
      </c>
      <c r="W1929">
        <v>103</v>
      </c>
      <c r="X1929" s="153" t="s">
        <v>1644</v>
      </c>
      <c r="Y1929" s="124" t="s">
        <v>55</v>
      </c>
      <c r="Z1929" s="308">
        <v>211</v>
      </c>
      <c r="AB1929" t="str">
        <f>IF(Table1[[#This Row],[TIPO2]]="costo", VLOOKUP(Table1[[#This Row],[PARTIDA PRESUPUESTAL]],'Cost Report'!G:G,1,0),"Balance")</f>
        <v>2494-019</v>
      </c>
      <c r="AC1929" s="118"/>
      <c r="AD1929" s="159">
        <f>+Table1[[#This Row],[SUBTOTAL]]+Table1[[#This Row],[IVA]]-Table1[[#This Row],[RET IVA]]-Table1[[#This Row],[RET ISR]]-Table1[[#This Row],[TOTAL]]</f>
        <v>0</v>
      </c>
      <c r="AE1929" s="152"/>
      <c r="AF1929" s="153"/>
      <c r="AG1929" s="126" t="s">
        <v>3420</v>
      </c>
      <c r="AK1929" s="306" t="str">
        <f>IF(ISNUMBER(Table1[[#This Row],[FECHA DE RECIBIDO]]), Table1[[#This Row],[FECHA DE RECIBIDO]]-DATE(2023,8,30), "")</f>
        <v/>
      </c>
    </row>
    <row r="1930" spans="1:37" ht="16.95" customHeight="1">
      <c r="A1930" s="150" t="s">
        <v>3629</v>
      </c>
      <c r="B1930" s="151">
        <v>710</v>
      </c>
      <c r="C1930" s="126" t="s">
        <v>1513</v>
      </c>
      <c r="D1930">
        <v>1311</v>
      </c>
      <c r="E1930" s="126" t="s">
        <v>1596</v>
      </c>
      <c r="F1930" s="122" t="s">
        <v>1607</v>
      </c>
      <c r="G1930" s="122" t="s">
        <v>134</v>
      </c>
      <c r="H1930">
        <v>177</v>
      </c>
      <c r="I1930" s="122" t="s">
        <v>1546</v>
      </c>
      <c r="J1930" s="307" t="s">
        <v>214</v>
      </c>
      <c r="K1930" s="127" t="s">
        <v>3418</v>
      </c>
      <c r="L1930" s="151" t="s">
        <v>1579</v>
      </c>
      <c r="M1930">
        <v>238</v>
      </c>
      <c r="N1930" s="123">
        <v>17</v>
      </c>
      <c r="O1930">
        <v>1290</v>
      </c>
      <c r="P1930" s="132" t="s">
        <v>77</v>
      </c>
      <c r="Q1930" s="131">
        <v>620.62</v>
      </c>
      <c r="R1930" s="131">
        <v>99.3</v>
      </c>
      <c r="S1930" s="131"/>
      <c r="T1930" s="155"/>
      <c r="U1930" s="131"/>
      <c r="V1930" s="131">
        <f t="shared" si="47"/>
        <v>719.92</v>
      </c>
      <c r="W1930">
        <v>103</v>
      </c>
      <c r="X1930" s="151" t="s">
        <v>1644</v>
      </c>
      <c r="Y1930" s="135" t="s">
        <v>55</v>
      </c>
      <c r="Z1930" s="307">
        <v>211</v>
      </c>
      <c r="AB1930" t="str">
        <f>IF(Table1[[#This Row],[TIPO2]]="costo", VLOOKUP(Table1[[#This Row],[PARTIDA PRESUPUESTAL]],'Cost Report'!G:G,1,0),"Balance")</f>
        <v>2494-019</v>
      </c>
      <c r="AC1930" s="118"/>
      <c r="AD1930" s="159">
        <f>+Table1[[#This Row],[SUBTOTAL]]+Table1[[#This Row],[IVA]]-Table1[[#This Row],[RET IVA]]-Table1[[#This Row],[RET ISR]]-Table1[[#This Row],[TOTAL]]</f>
        <v>0</v>
      </c>
      <c r="AE1930" s="150"/>
      <c r="AF1930" s="151"/>
      <c r="AG1930" s="126" t="s">
        <v>3420</v>
      </c>
      <c r="AK1930" s="306" t="str">
        <f>IF(ISNUMBER(Table1[[#This Row],[FECHA DE RECIBIDO]]), Table1[[#This Row],[FECHA DE RECIBIDO]]-DATE(2023,8,30), "")</f>
        <v/>
      </c>
    </row>
    <row r="1931" spans="1:37" ht="16.95" customHeight="1">
      <c r="A1931" s="152" t="s">
        <v>3629</v>
      </c>
      <c r="B1931" s="153">
        <v>710</v>
      </c>
      <c r="C1931" s="126" t="s">
        <v>2546</v>
      </c>
      <c r="D1931">
        <v>1312</v>
      </c>
      <c r="E1931" s="126" t="s">
        <v>3338</v>
      </c>
      <c r="F1931" s="125" t="s">
        <v>1607</v>
      </c>
      <c r="G1931" s="125" t="s">
        <v>134</v>
      </c>
      <c r="H1931">
        <v>413</v>
      </c>
      <c r="I1931" s="125" t="s">
        <v>1546</v>
      </c>
      <c r="J1931" s="308" t="s">
        <v>214</v>
      </c>
      <c r="K1931" s="127" t="s">
        <v>3418</v>
      </c>
      <c r="L1931" s="153" t="s">
        <v>1579</v>
      </c>
      <c r="M1931">
        <v>550</v>
      </c>
      <c r="N1931" s="123">
        <v>17</v>
      </c>
      <c r="O1931">
        <v>1291</v>
      </c>
      <c r="P1931" s="132" t="s">
        <v>77</v>
      </c>
      <c r="Q1931" s="132">
        <v>241.55</v>
      </c>
      <c r="R1931" s="132">
        <v>38.65</v>
      </c>
      <c r="S1931" s="132"/>
      <c r="T1931" s="156"/>
      <c r="U1931" s="132"/>
      <c r="V1931" s="132">
        <f t="shared" si="47"/>
        <v>280.2</v>
      </c>
      <c r="W1931">
        <v>103</v>
      </c>
      <c r="X1931" s="153" t="s">
        <v>1644</v>
      </c>
      <c r="Y1931" s="124" t="s">
        <v>55</v>
      </c>
      <c r="Z1931" s="308">
        <v>212</v>
      </c>
      <c r="AB1931" t="str">
        <f>IF(Table1[[#This Row],[TIPO2]]="costo", VLOOKUP(Table1[[#This Row],[PARTIDA PRESUPUESTAL]],'Cost Report'!G:G,1,0),"Balance")</f>
        <v>2494-071</v>
      </c>
      <c r="AC1931" s="118"/>
      <c r="AD1931" s="159">
        <f>+Table1[[#This Row],[SUBTOTAL]]+Table1[[#This Row],[IVA]]-Table1[[#This Row],[RET IVA]]-Table1[[#This Row],[RET ISR]]-Table1[[#This Row],[TOTAL]]</f>
        <v>0</v>
      </c>
      <c r="AE1931" s="152"/>
      <c r="AF1931" s="153"/>
      <c r="AG1931" s="126" t="s">
        <v>3420</v>
      </c>
      <c r="AK1931" s="306" t="str">
        <f>IF(ISNUMBER(Table1[[#This Row],[FECHA DE RECIBIDO]]), Table1[[#This Row],[FECHA DE RECIBIDO]]-DATE(2023,8,30), "")</f>
        <v/>
      </c>
    </row>
    <row r="1932" spans="1:37" ht="16.95" customHeight="1">
      <c r="A1932" s="150" t="s">
        <v>3629</v>
      </c>
      <c r="B1932" s="151">
        <v>710</v>
      </c>
      <c r="C1932" s="126" t="s">
        <v>2461</v>
      </c>
      <c r="D1932">
        <v>1313</v>
      </c>
      <c r="E1932" s="126" t="s">
        <v>3272</v>
      </c>
      <c r="F1932" s="122" t="s">
        <v>1607</v>
      </c>
      <c r="G1932" s="122" t="s">
        <v>134</v>
      </c>
      <c r="H1932">
        <v>286</v>
      </c>
      <c r="I1932" s="122" t="s">
        <v>1546</v>
      </c>
      <c r="J1932" s="307" t="s">
        <v>214</v>
      </c>
      <c r="K1932" s="127" t="s">
        <v>3418</v>
      </c>
      <c r="L1932" s="151" t="s">
        <v>1579</v>
      </c>
      <c r="M1932">
        <v>380</v>
      </c>
      <c r="N1932" s="123">
        <v>17</v>
      </c>
      <c r="O1932">
        <v>1292</v>
      </c>
      <c r="P1932" s="132" t="s">
        <v>77</v>
      </c>
      <c r="Q1932" s="131">
        <v>1013.78</v>
      </c>
      <c r="R1932" s="131">
        <v>162.21</v>
      </c>
      <c r="S1932" s="131"/>
      <c r="T1932" s="155"/>
      <c r="U1932" s="131"/>
      <c r="V1932" s="131">
        <f t="shared" si="47"/>
        <v>1175.99</v>
      </c>
      <c r="W1932">
        <v>103</v>
      </c>
      <c r="X1932" s="151" t="s">
        <v>1644</v>
      </c>
      <c r="Y1932" s="135" t="s">
        <v>55</v>
      </c>
      <c r="Z1932" s="307">
        <v>212</v>
      </c>
      <c r="AB1932" t="str">
        <f>IF(Table1[[#This Row],[TIPO2]]="costo", VLOOKUP(Table1[[#This Row],[PARTIDA PRESUPUESTAL]],'Cost Report'!G:G,1,0),"Balance")</f>
        <v>2385-003</v>
      </c>
      <c r="AC1932" s="118"/>
      <c r="AD1932" s="159">
        <f>+Table1[[#This Row],[SUBTOTAL]]+Table1[[#This Row],[IVA]]-Table1[[#This Row],[RET IVA]]-Table1[[#This Row],[RET ISR]]-Table1[[#This Row],[TOTAL]]</f>
        <v>0</v>
      </c>
      <c r="AE1932" s="150"/>
      <c r="AF1932" s="151"/>
      <c r="AG1932" s="126" t="s">
        <v>3420</v>
      </c>
      <c r="AK1932" s="306" t="str">
        <f>IF(ISNUMBER(Table1[[#This Row],[FECHA DE RECIBIDO]]), Table1[[#This Row],[FECHA DE RECIBIDO]]-DATE(2023,8,30), "")</f>
        <v/>
      </c>
    </row>
    <row r="1933" spans="1:37" ht="16.95" customHeight="1">
      <c r="A1933" s="152" t="s">
        <v>3629</v>
      </c>
      <c r="B1933" s="153">
        <v>710</v>
      </c>
      <c r="C1933" s="126" t="s">
        <v>2458</v>
      </c>
      <c r="D1933">
        <v>1314</v>
      </c>
      <c r="E1933" s="126" t="s">
        <v>3272</v>
      </c>
      <c r="F1933" s="125" t="s">
        <v>1607</v>
      </c>
      <c r="G1933" s="125" t="s">
        <v>134</v>
      </c>
      <c r="H1933">
        <v>286</v>
      </c>
      <c r="I1933" s="125" t="s">
        <v>1546</v>
      </c>
      <c r="J1933" s="308" t="s">
        <v>214</v>
      </c>
      <c r="K1933" s="127" t="s">
        <v>3418</v>
      </c>
      <c r="L1933" s="153" t="s">
        <v>1579</v>
      </c>
      <c r="M1933">
        <v>380</v>
      </c>
      <c r="N1933" s="123">
        <v>17</v>
      </c>
      <c r="O1933">
        <v>1293</v>
      </c>
      <c r="P1933" s="132" t="s">
        <v>77</v>
      </c>
      <c r="Q1933" s="132">
        <v>620.70000000000005</v>
      </c>
      <c r="R1933" s="132">
        <v>99.31</v>
      </c>
      <c r="S1933" s="132"/>
      <c r="T1933" s="156"/>
      <c r="U1933" s="132"/>
      <c r="V1933" s="132">
        <f t="shared" si="47"/>
        <v>720.01</v>
      </c>
      <c r="W1933">
        <v>103</v>
      </c>
      <c r="X1933" s="153" t="s">
        <v>1644</v>
      </c>
      <c r="Y1933" s="124" t="s">
        <v>55</v>
      </c>
      <c r="Z1933" s="308">
        <v>212</v>
      </c>
      <c r="AB1933" t="str">
        <f>IF(Table1[[#This Row],[TIPO2]]="costo", VLOOKUP(Table1[[#This Row],[PARTIDA PRESUPUESTAL]],'Cost Report'!G:G,1,0),"Balance")</f>
        <v>2311-003</v>
      </c>
      <c r="AC1933" s="118"/>
      <c r="AD1933" s="159">
        <f>+Table1[[#This Row],[SUBTOTAL]]+Table1[[#This Row],[IVA]]-Table1[[#This Row],[RET IVA]]-Table1[[#This Row],[RET ISR]]-Table1[[#This Row],[TOTAL]]</f>
        <v>0</v>
      </c>
      <c r="AE1933" s="152"/>
      <c r="AF1933" s="153"/>
      <c r="AG1933" s="126" t="s">
        <v>3420</v>
      </c>
      <c r="AK1933" s="306" t="str">
        <f>IF(ISNUMBER(Table1[[#This Row],[FECHA DE RECIBIDO]]), Table1[[#This Row],[FECHA DE RECIBIDO]]-DATE(2023,8,30), "")</f>
        <v/>
      </c>
    </row>
    <row r="1934" spans="1:37" ht="16.95" customHeight="1">
      <c r="A1934" s="150" t="s">
        <v>3629</v>
      </c>
      <c r="B1934" s="151">
        <v>710</v>
      </c>
      <c r="C1934" s="126" t="s">
        <v>2546</v>
      </c>
      <c r="D1934">
        <v>1315</v>
      </c>
      <c r="E1934" s="126" t="s">
        <v>3667</v>
      </c>
      <c r="F1934" s="122" t="s">
        <v>1607</v>
      </c>
      <c r="G1934" s="122" t="s">
        <v>134</v>
      </c>
      <c r="H1934">
        <v>41</v>
      </c>
      <c r="I1934" s="122" t="s">
        <v>1546</v>
      </c>
      <c r="J1934" s="307" t="s">
        <v>214</v>
      </c>
      <c r="K1934" s="127" t="s">
        <v>3418</v>
      </c>
      <c r="L1934" s="151" t="s">
        <v>1579</v>
      </c>
      <c r="M1934">
        <v>323</v>
      </c>
      <c r="N1934" s="123">
        <v>17</v>
      </c>
      <c r="O1934">
        <v>1294</v>
      </c>
      <c r="P1934" s="132" t="s">
        <v>77</v>
      </c>
      <c r="Q1934" s="131">
        <v>28.45</v>
      </c>
      <c r="R1934" s="131">
        <v>4.55</v>
      </c>
      <c r="S1934" s="131"/>
      <c r="T1934" s="155"/>
      <c r="U1934" s="131"/>
      <c r="V1934" s="131">
        <f t="shared" si="47"/>
        <v>33</v>
      </c>
      <c r="W1934">
        <v>103</v>
      </c>
      <c r="X1934" s="151" t="s">
        <v>1644</v>
      </c>
      <c r="Y1934" s="135" t="s">
        <v>55</v>
      </c>
      <c r="Z1934" s="307">
        <v>209</v>
      </c>
      <c r="AB1934" t="str">
        <f>IF(Table1[[#This Row],[TIPO2]]="costo", VLOOKUP(Table1[[#This Row],[PARTIDA PRESUPUESTAL]],'Cost Report'!G:G,1,0),"Balance")</f>
        <v>2494-071</v>
      </c>
      <c r="AC1934" s="118"/>
      <c r="AD1934" s="159">
        <f>+Table1[[#This Row],[SUBTOTAL]]+Table1[[#This Row],[IVA]]-Table1[[#This Row],[RET IVA]]-Table1[[#This Row],[RET ISR]]-Table1[[#This Row],[TOTAL]]</f>
        <v>0</v>
      </c>
      <c r="AE1934" s="150"/>
      <c r="AF1934" s="151"/>
      <c r="AG1934" s="126" t="s">
        <v>3420</v>
      </c>
      <c r="AK1934" s="306" t="str">
        <f>IF(ISNUMBER(Table1[[#This Row],[FECHA DE RECIBIDO]]), Table1[[#This Row],[FECHA DE RECIBIDO]]-DATE(2023,8,30), "")</f>
        <v/>
      </c>
    </row>
    <row r="1935" spans="1:37" ht="16.95" customHeight="1">
      <c r="A1935" s="152" t="s">
        <v>3629</v>
      </c>
      <c r="B1935" s="153">
        <v>710</v>
      </c>
      <c r="C1935" s="126" t="s">
        <v>610</v>
      </c>
      <c r="D1935">
        <v>1316</v>
      </c>
      <c r="E1935" s="126" t="s">
        <v>3668</v>
      </c>
      <c r="F1935" s="125" t="s">
        <v>1602</v>
      </c>
      <c r="G1935" s="125" t="s">
        <v>134</v>
      </c>
      <c r="H1935">
        <v>414</v>
      </c>
      <c r="I1935" s="125" t="s">
        <v>1546</v>
      </c>
      <c r="J1935" s="308" t="s">
        <v>214</v>
      </c>
      <c r="K1935" s="127" t="s">
        <v>3418</v>
      </c>
      <c r="L1935" s="153" t="s">
        <v>1579</v>
      </c>
      <c r="M1935">
        <v>551</v>
      </c>
      <c r="N1935" s="123">
        <v>17</v>
      </c>
      <c r="O1935">
        <v>1295</v>
      </c>
      <c r="P1935" s="132" t="s">
        <v>77</v>
      </c>
      <c r="Q1935" s="132">
        <v>571.54999999999995</v>
      </c>
      <c r="R1935" s="132">
        <v>91.45</v>
      </c>
      <c r="S1935" s="132"/>
      <c r="T1935" s="156"/>
      <c r="U1935" s="132"/>
      <c r="V1935" s="132">
        <f t="shared" si="47"/>
        <v>663</v>
      </c>
      <c r="W1935">
        <v>103</v>
      </c>
      <c r="X1935" s="153" t="s">
        <v>1644</v>
      </c>
      <c r="Y1935" s="124" t="s">
        <v>55</v>
      </c>
      <c r="Z1935" s="308">
        <v>211</v>
      </c>
      <c r="AB1935" t="str">
        <f>IF(Table1[[#This Row],[TIPO2]]="costo", VLOOKUP(Table1[[#This Row],[PARTIDA PRESUPUESTAL]],'Cost Report'!G:G,1,0),"Balance")</f>
        <v>2485-003</v>
      </c>
      <c r="AC1935" s="118"/>
      <c r="AD1935" s="159">
        <f>+Table1[[#This Row],[SUBTOTAL]]+Table1[[#This Row],[IVA]]-Table1[[#This Row],[RET IVA]]-Table1[[#This Row],[RET ISR]]-Table1[[#This Row],[TOTAL]]</f>
        <v>0</v>
      </c>
      <c r="AE1935" s="152"/>
      <c r="AF1935" s="153"/>
      <c r="AG1935" s="126" t="s">
        <v>3420</v>
      </c>
      <c r="AK1935" s="306" t="str">
        <f>IF(ISNUMBER(Table1[[#This Row],[FECHA DE RECIBIDO]]), Table1[[#This Row],[FECHA DE RECIBIDO]]-DATE(2023,8,30), "")</f>
        <v/>
      </c>
    </row>
    <row r="1936" spans="1:37" ht="16.95" customHeight="1">
      <c r="A1936" s="150" t="s">
        <v>3629</v>
      </c>
      <c r="B1936" s="151">
        <v>710</v>
      </c>
      <c r="C1936" s="126" t="s">
        <v>610</v>
      </c>
      <c r="D1936">
        <v>1317</v>
      </c>
      <c r="E1936" s="126" t="s">
        <v>3338</v>
      </c>
      <c r="F1936" s="122" t="s">
        <v>1607</v>
      </c>
      <c r="G1936" s="122" t="s">
        <v>134</v>
      </c>
      <c r="H1936">
        <v>413</v>
      </c>
      <c r="I1936" s="122" t="s">
        <v>1546</v>
      </c>
      <c r="J1936" s="307" t="s">
        <v>214</v>
      </c>
      <c r="K1936" s="127" t="s">
        <v>3418</v>
      </c>
      <c r="L1936" s="151" t="s">
        <v>1579</v>
      </c>
      <c r="M1936">
        <v>550</v>
      </c>
      <c r="N1936" s="123">
        <v>17</v>
      </c>
      <c r="O1936">
        <v>1296</v>
      </c>
      <c r="P1936" s="132" t="s">
        <v>77</v>
      </c>
      <c r="Q1936" s="131">
        <v>284.48</v>
      </c>
      <c r="R1936" s="131">
        <v>45.52</v>
      </c>
      <c r="S1936" s="131"/>
      <c r="T1936" s="155"/>
      <c r="U1936" s="131"/>
      <c r="V1936" s="131">
        <f t="shared" si="47"/>
        <v>330</v>
      </c>
      <c r="W1936">
        <v>103</v>
      </c>
      <c r="X1936" s="151" t="s">
        <v>1644</v>
      </c>
      <c r="Y1936" s="135" t="s">
        <v>55</v>
      </c>
      <c r="Z1936" s="307">
        <v>186</v>
      </c>
      <c r="AB1936" t="str">
        <f>IF(Table1[[#This Row],[TIPO2]]="costo", VLOOKUP(Table1[[#This Row],[PARTIDA PRESUPUESTAL]],'Cost Report'!G:G,1,0),"Balance")</f>
        <v>2485-003</v>
      </c>
      <c r="AC1936" s="118"/>
      <c r="AD1936" s="159">
        <f>+Table1[[#This Row],[SUBTOTAL]]+Table1[[#This Row],[IVA]]-Table1[[#This Row],[RET IVA]]-Table1[[#This Row],[RET ISR]]-Table1[[#This Row],[TOTAL]]</f>
        <v>0</v>
      </c>
      <c r="AE1936" s="150"/>
      <c r="AF1936" s="151"/>
      <c r="AG1936" s="126" t="s">
        <v>3420</v>
      </c>
      <c r="AK1936" s="306" t="str">
        <f>IF(ISNUMBER(Table1[[#This Row],[FECHA DE RECIBIDO]]), Table1[[#This Row],[FECHA DE RECIBIDO]]-DATE(2023,8,30), "")</f>
        <v/>
      </c>
    </row>
    <row r="1937" spans="1:37" ht="16.95" customHeight="1">
      <c r="A1937" s="152" t="s">
        <v>3629</v>
      </c>
      <c r="B1937" s="153">
        <v>710</v>
      </c>
      <c r="C1937" s="126" t="s">
        <v>1513</v>
      </c>
      <c r="D1937">
        <v>1318</v>
      </c>
      <c r="E1937" s="126" t="s">
        <v>2107</v>
      </c>
      <c r="F1937" s="125" t="s">
        <v>1602</v>
      </c>
      <c r="G1937" s="125" t="s">
        <v>134</v>
      </c>
      <c r="H1937">
        <v>270</v>
      </c>
      <c r="I1937" s="125" t="s">
        <v>1546</v>
      </c>
      <c r="J1937" s="308" t="s">
        <v>214</v>
      </c>
      <c r="K1937" s="127" t="s">
        <v>3418</v>
      </c>
      <c r="L1937" s="153" t="s">
        <v>1579</v>
      </c>
      <c r="M1937">
        <v>360</v>
      </c>
      <c r="N1937" s="123">
        <v>17</v>
      </c>
      <c r="O1937">
        <v>1297</v>
      </c>
      <c r="P1937" s="132" t="s">
        <v>77</v>
      </c>
      <c r="Q1937" s="132">
        <v>870</v>
      </c>
      <c r="R1937" s="132">
        <v>139.19999999999999</v>
      </c>
      <c r="S1937" s="132"/>
      <c r="T1937" s="156"/>
      <c r="U1937" s="132"/>
      <c r="V1937" s="132">
        <f t="shared" si="47"/>
        <v>1009.2</v>
      </c>
      <c r="W1937">
        <v>103</v>
      </c>
      <c r="X1937" s="153" t="s">
        <v>1644</v>
      </c>
      <c r="Y1937" s="124" t="s">
        <v>55</v>
      </c>
      <c r="Z1937" s="308">
        <v>186</v>
      </c>
      <c r="AB1937" t="str">
        <f>IF(Table1[[#This Row],[TIPO2]]="costo", VLOOKUP(Table1[[#This Row],[PARTIDA PRESUPUESTAL]],'Cost Report'!G:G,1,0),"Balance")</f>
        <v>2494-019</v>
      </c>
      <c r="AC1937" s="118"/>
      <c r="AD1937" s="159">
        <f>+Table1[[#This Row],[SUBTOTAL]]+Table1[[#This Row],[IVA]]-Table1[[#This Row],[RET IVA]]-Table1[[#This Row],[RET ISR]]-Table1[[#This Row],[TOTAL]]</f>
        <v>0</v>
      </c>
      <c r="AE1937" s="152"/>
      <c r="AF1937" s="153"/>
      <c r="AG1937" s="126" t="s">
        <v>3420</v>
      </c>
      <c r="AK1937" s="306" t="str">
        <f>IF(ISNUMBER(Table1[[#This Row],[FECHA DE RECIBIDO]]), Table1[[#This Row],[FECHA DE RECIBIDO]]-DATE(2023,8,30), "")</f>
        <v/>
      </c>
    </row>
    <row r="1938" spans="1:37" ht="16.95" customHeight="1">
      <c r="A1938" s="150" t="s">
        <v>3629</v>
      </c>
      <c r="B1938" s="151">
        <v>710</v>
      </c>
      <c r="C1938" s="126" t="s">
        <v>1513</v>
      </c>
      <c r="D1938">
        <v>1319</v>
      </c>
      <c r="E1938" s="126" t="s">
        <v>2107</v>
      </c>
      <c r="F1938" s="122" t="s">
        <v>1602</v>
      </c>
      <c r="G1938" s="122" t="s">
        <v>134</v>
      </c>
      <c r="H1938">
        <v>270</v>
      </c>
      <c r="I1938" s="122" t="s">
        <v>1546</v>
      </c>
      <c r="J1938" s="307" t="s">
        <v>214</v>
      </c>
      <c r="K1938" s="127" t="s">
        <v>3418</v>
      </c>
      <c r="L1938" s="151" t="s">
        <v>1579</v>
      </c>
      <c r="M1938">
        <v>360</v>
      </c>
      <c r="N1938" s="123">
        <v>17</v>
      </c>
      <c r="O1938">
        <v>1298</v>
      </c>
      <c r="P1938" s="132" t="s">
        <v>77</v>
      </c>
      <c r="Q1938" s="131">
        <v>910</v>
      </c>
      <c r="R1938" s="131">
        <v>145.6</v>
      </c>
      <c r="S1938" s="131"/>
      <c r="T1938" s="155"/>
      <c r="U1938" s="131"/>
      <c r="V1938" s="131">
        <f t="shared" si="47"/>
        <v>1055.5999999999999</v>
      </c>
      <c r="W1938">
        <v>103</v>
      </c>
      <c r="X1938" s="151" t="s">
        <v>1644</v>
      </c>
      <c r="Y1938" s="135" t="s">
        <v>55</v>
      </c>
      <c r="Z1938" s="307">
        <v>186</v>
      </c>
      <c r="AB1938" t="str">
        <f>IF(Table1[[#This Row],[TIPO2]]="costo", VLOOKUP(Table1[[#This Row],[PARTIDA PRESUPUESTAL]],'Cost Report'!G:G,1,0),"Balance")</f>
        <v>2494-019</v>
      </c>
      <c r="AC1938" s="118"/>
      <c r="AD1938" s="159">
        <f>+Table1[[#This Row],[SUBTOTAL]]+Table1[[#This Row],[IVA]]-Table1[[#This Row],[RET IVA]]-Table1[[#This Row],[RET ISR]]-Table1[[#This Row],[TOTAL]]</f>
        <v>0</v>
      </c>
      <c r="AE1938" s="150"/>
      <c r="AF1938" s="151"/>
      <c r="AG1938" s="126" t="s">
        <v>3420</v>
      </c>
      <c r="AK1938" s="306" t="str">
        <f>IF(ISNUMBER(Table1[[#This Row],[FECHA DE RECIBIDO]]), Table1[[#This Row],[FECHA DE RECIBIDO]]-DATE(2023,8,30), "")</f>
        <v/>
      </c>
    </row>
    <row r="1939" spans="1:37" ht="16.95" customHeight="1">
      <c r="A1939" s="152" t="s">
        <v>3630</v>
      </c>
      <c r="B1939" s="153">
        <v>711</v>
      </c>
      <c r="C1939" s="126" t="s">
        <v>1732</v>
      </c>
      <c r="D1939">
        <v>1320</v>
      </c>
      <c r="E1939" s="126" t="s">
        <v>1603</v>
      </c>
      <c r="F1939" s="125" t="s">
        <v>1607</v>
      </c>
      <c r="G1939" s="125" t="s">
        <v>134</v>
      </c>
      <c r="H1939">
        <v>274</v>
      </c>
      <c r="I1939" s="125" t="s">
        <v>1546</v>
      </c>
      <c r="J1939" s="308" t="s">
        <v>214</v>
      </c>
      <c r="K1939" s="127" t="s">
        <v>3418</v>
      </c>
      <c r="L1939" s="153" t="s">
        <v>1579</v>
      </c>
      <c r="M1939">
        <v>365</v>
      </c>
      <c r="N1939" s="123">
        <v>17</v>
      </c>
      <c r="O1939">
        <v>1299</v>
      </c>
      <c r="P1939" s="132" t="s">
        <v>77</v>
      </c>
      <c r="Q1939" s="132">
        <v>250.09</v>
      </c>
      <c r="R1939" s="132">
        <v>40.01</v>
      </c>
      <c r="S1939" s="132"/>
      <c r="T1939" s="156"/>
      <c r="U1939" s="132"/>
      <c r="V1939" s="132">
        <f t="shared" si="47"/>
        <v>290.10000000000002</v>
      </c>
      <c r="W1939">
        <v>166</v>
      </c>
      <c r="X1939" s="153" t="s">
        <v>1644</v>
      </c>
      <c r="Y1939" s="124" t="s">
        <v>55</v>
      </c>
      <c r="Z1939" s="308">
        <v>213</v>
      </c>
      <c r="AB1939" t="str">
        <f>IF(Table1[[#This Row],[TIPO2]]="costo", VLOOKUP(Table1[[#This Row],[PARTIDA PRESUPUESTAL]],'Cost Report'!G:G,1,0),"Balance")</f>
        <v>2494-035</v>
      </c>
      <c r="AC1939" s="118"/>
      <c r="AD1939" s="159">
        <f>+Table1[[#This Row],[SUBTOTAL]]+Table1[[#This Row],[IVA]]-Table1[[#This Row],[RET IVA]]-Table1[[#This Row],[RET ISR]]-Table1[[#This Row],[TOTAL]]</f>
        <v>0</v>
      </c>
      <c r="AE1939" s="152"/>
      <c r="AF1939" s="153"/>
      <c r="AG1939" s="126" t="s">
        <v>3420</v>
      </c>
      <c r="AK1939" s="306" t="str">
        <f>IF(ISNUMBER(Table1[[#This Row],[FECHA DE RECIBIDO]]), Table1[[#This Row],[FECHA DE RECIBIDO]]-DATE(2023,8,30), "")</f>
        <v/>
      </c>
    </row>
    <row r="1940" spans="1:37" ht="16.95" customHeight="1">
      <c r="A1940" s="150" t="s">
        <v>3630</v>
      </c>
      <c r="B1940" s="151">
        <v>711</v>
      </c>
      <c r="C1940" s="126" t="s">
        <v>2482</v>
      </c>
      <c r="D1940">
        <v>1321</v>
      </c>
      <c r="E1940" s="126" t="s">
        <v>3669</v>
      </c>
      <c r="F1940" s="122" t="s">
        <v>1593</v>
      </c>
      <c r="G1940" s="122" t="s">
        <v>134</v>
      </c>
      <c r="H1940">
        <v>415</v>
      </c>
      <c r="I1940" s="122" t="s">
        <v>1546</v>
      </c>
      <c r="J1940" s="307" t="s">
        <v>214</v>
      </c>
      <c r="K1940" s="127" t="s">
        <v>3418</v>
      </c>
      <c r="L1940" s="151" t="s">
        <v>1579</v>
      </c>
      <c r="M1940">
        <v>552</v>
      </c>
      <c r="N1940" s="123">
        <v>17</v>
      </c>
      <c r="O1940">
        <v>1300</v>
      </c>
      <c r="P1940" s="132" t="s">
        <v>77</v>
      </c>
      <c r="Q1940" s="131">
        <v>874.34</v>
      </c>
      <c r="R1940" s="131">
        <v>141.66999999999999</v>
      </c>
      <c r="S1940" s="131"/>
      <c r="T1940" s="155"/>
      <c r="U1940" s="131"/>
      <c r="V1940" s="131">
        <f t="shared" si="47"/>
        <v>1016.01</v>
      </c>
      <c r="W1940">
        <v>166</v>
      </c>
      <c r="X1940" s="151" t="s">
        <v>1644</v>
      </c>
      <c r="Y1940" s="135" t="s">
        <v>55</v>
      </c>
      <c r="Z1940" s="307">
        <v>213</v>
      </c>
      <c r="AB1940" t="str">
        <f>IF(Table1[[#This Row],[TIPO2]]="costo", VLOOKUP(Table1[[#This Row],[PARTIDA PRESUPUESTAL]],'Cost Report'!G:G,1,0),"Balance")</f>
        <v>2394-037</v>
      </c>
      <c r="AC1940" s="118"/>
      <c r="AD1940" s="159">
        <f>+Table1[[#This Row],[SUBTOTAL]]+Table1[[#This Row],[IVA]]-Table1[[#This Row],[RET IVA]]-Table1[[#This Row],[RET ISR]]-Table1[[#This Row],[TOTAL]]</f>
        <v>0</v>
      </c>
      <c r="AE1940" s="150"/>
      <c r="AF1940" s="151"/>
      <c r="AG1940" s="126" t="s">
        <v>3420</v>
      </c>
      <c r="AK1940" s="306" t="str">
        <f>IF(ISNUMBER(Table1[[#This Row],[FECHA DE RECIBIDO]]), Table1[[#This Row],[FECHA DE RECIBIDO]]-DATE(2023,8,30), "")</f>
        <v/>
      </c>
    </row>
    <row r="1941" spans="1:37" ht="16.95" customHeight="1">
      <c r="A1941" s="152" t="s">
        <v>3630</v>
      </c>
      <c r="B1941" s="153">
        <v>711</v>
      </c>
      <c r="C1941" s="126" t="s">
        <v>1732</v>
      </c>
      <c r="D1941">
        <v>1322</v>
      </c>
      <c r="E1941" s="126" t="s">
        <v>3143</v>
      </c>
      <c r="F1941" s="125" t="s">
        <v>1589</v>
      </c>
      <c r="G1941" s="125" t="s">
        <v>134</v>
      </c>
      <c r="H1941">
        <v>192</v>
      </c>
      <c r="I1941" s="125" t="s">
        <v>1546</v>
      </c>
      <c r="J1941" s="308" t="s">
        <v>214</v>
      </c>
      <c r="K1941" s="127" t="s">
        <v>3418</v>
      </c>
      <c r="L1941" s="153" t="s">
        <v>1579</v>
      </c>
      <c r="M1941">
        <v>257</v>
      </c>
      <c r="N1941" s="123">
        <v>17</v>
      </c>
      <c r="O1941">
        <v>1301</v>
      </c>
      <c r="P1941" s="132" t="s">
        <v>77</v>
      </c>
      <c r="Q1941" s="132">
        <v>680</v>
      </c>
      <c r="R1941" s="132">
        <v>108.8</v>
      </c>
      <c r="S1941" s="132"/>
      <c r="T1941" s="156"/>
      <c r="U1941" s="132"/>
      <c r="V1941" s="132">
        <f t="shared" si="47"/>
        <v>788.8</v>
      </c>
      <c r="W1941">
        <v>166</v>
      </c>
      <c r="X1941" s="153" t="s">
        <v>1644</v>
      </c>
      <c r="Y1941" s="124" t="s">
        <v>55</v>
      </c>
      <c r="Z1941" s="308">
        <v>218</v>
      </c>
      <c r="AB1941" t="str">
        <f>IF(Table1[[#This Row],[TIPO2]]="costo", VLOOKUP(Table1[[#This Row],[PARTIDA PRESUPUESTAL]],'Cost Report'!G:G,1,0),"Balance")</f>
        <v>2494-035</v>
      </c>
      <c r="AC1941" s="118"/>
      <c r="AD1941" s="159">
        <f>+Table1[[#This Row],[SUBTOTAL]]+Table1[[#This Row],[IVA]]-Table1[[#This Row],[RET IVA]]-Table1[[#This Row],[RET ISR]]-Table1[[#This Row],[TOTAL]]</f>
        <v>0</v>
      </c>
      <c r="AE1941" s="152"/>
      <c r="AF1941" s="153"/>
      <c r="AG1941" s="126" t="s">
        <v>3420</v>
      </c>
      <c r="AK1941" s="306" t="str">
        <f>IF(ISNUMBER(Table1[[#This Row],[FECHA DE RECIBIDO]]), Table1[[#This Row],[FECHA DE RECIBIDO]]-DATE(2023,8,30), "")</f>
        <v/>
      </c>
    </row>
    <row r="1942" spans="1:37" ht="16.95" customHeight="1">
      <c r="A1942" s="150" t="s">
        <v>3630</v>
      </c>
      <c r="B1942" s="151">
        <v>711</v>
      </c>
      <c r="C1942" s="126" t="s">
        <v>1513</v>
      </c>
      <c r="D1942">
        <v>1323</v>
      </c>
      <c r="E1942" s="126" t="s">
        <v>1611</v>
      </c>
      <c r="F1942" s="122" t="s">
        <v>1589</v>
      </c>
      <c r="G1942" s="122" t="s">
        <v>134</v>
      </c>
      <c r="H1942">
        <v>416</v>
      </c>
      <c r="I1942" s="122" t="s">
        <v>1546</v>
      </c>
      <c r="J1942" s="307" t="s">
        <v>214</v>
      </c>
      <c r="K1942" s="127" t="s">
        <v>3418</v>
      </c>
      <c r="L1942" s="151" t="s">
        <v>1579</v>
      </c>
      <c r="M1942">
        <v>553</v>
      </c>
      <c r="N1942" s="123">
        <v>17</v>
      </c>
      <c r="O1942">
        <v>1302</v>
      </c>
      <c r="P1942" s="132" t="s">
        <v>77</v>
      </c>
      <c r="Q1942" s="131">
        <v>639.66</v>
      </c>
      <c r="R1942" s="131">
        <v>102.35</v>
      </c>
      <c r="S1942" s="131"/>
      <c r="T1942" s="155"/>
      <c r="U1942" s="131"/>
      <c r="V1942" s="131">
        <f t="shared" si="47"/>
        <v>742.01</v>
      </c>
      <c r="W1942">
        <v>166</v>
      </c>
      <c r="X1942" s="151" t="s">
        <v>1644</v>
      </c>
      <c r="Y1942" s="135" t="s">
        <v>55</v>
      </c>
      <c r="Z1942" s="307">
        <v>219</v>
      </c>
      <c r="AB1942" t="str">
        <f>IF(Table1[[#This Row],[TIPO2]]="costo", VLOOKUP(Table1[[#This Row],[PARTIDA PRESUPUESTAL]],'Cost Report'!G:G,1,0),"Balance")</f>
        <v>2494-019</v>
      </c>
      <c r="AC1942" s="118"/>
      <c r="AD1942" s="159">
        <f>+Table1[[#This Row],[SUBTOTAL]]+Table1[[#This Row],[IVA]]-Table1[[#This Row],[RET IVA]]-Table1[[#This Row],[RET ISR]]-Table1[[#This Row],[TOTAL]]</f>
        <v>0</v>
      </c>
      <c r="AE1942" s="150"/>
      <c r="AF1942" s="151"/>
      <c r="AG1942" s="126" t="s">
        <v>3420</v>
      </c>
      <c r="AK1942" s="306" t="str">
        <f>IF(ISNUMBER(Table1[[#This Row],[FECHA DE RECIBIDO]]), Table1[[#This Row],[FECHA DE RECIBIDO]]-DATE(2023,8,30), "")</f>
        <v/>
      </c>
    </row>
    <row r="1943" spans="1:37" ht="16.95" customHeight="1">
      <c r="A1943" s="152" t="s">
        <v>3630</v>
      </c>
      <c r="B1943" s="153">
        <v>711</v>
      </c>
      <c r="C1943" s="126" t="s">
        <v>1732</v>
      </c>
      <c r="D1943">
        <v>1324</v>
      </c>
      <c r="E1943" s="126" t="s">
        <v>3354</v>
      </c>
      <c r="F1943" s="125" t="s">
        <v>1607</v>
      </c>
      <c r="G1943" s="125" t="s">
        <v>134</v>
      </c>
      <c r="H1943">
        <v>417</v>
      </c>
      <c r="I1943" s="125" t="s">
        <v>1546</v>
      </c>
      <c r="J1943" s="308" t="s">
        <v>214</v>
      </c>
      <c r="K1943" s="127" t="s">
        <v>3418</v>
      </c>
      <c r="L1943" s="153" t="s">
        <v>1579</v>
      </c>
      <c r="M1943">
        <v>554</v>
      </c>
      <c r="N1943" s="123">
        <v>17</v>
      </c>
      <c r="O1943">
        <v>1303</v>
      </c>
      <c r="P1943" s="132" t="s">
        <v>77</v>
      </c>
      <c r="Q1943" s="132">
        <v>45.39</v>
      </c>
      <c r="R1943" s="132">
        <v>7.26</v>
      </c>
      <c r="S1943" s="132"/>
      <c r="T1943" s="156"/>
      <c r="U1943" s="132"/>
      <c r="V1943" s="132">
        <f t="shared" si="47"/>
        <v>52.65</v>
      </c>
      <c r="W1943">
        <v>166</v>
      </c>
      <c r="X1943" s="153" t="s">
        <v>1644</v>
      </c>
      <c r="Y1943" s="124" t="s">
        <v>55</v>
      </c>
      <c r="Z1943" s="308">
        <v>215</v>
      </c>
      <c r="AB1943" t="str">
        <f>IF(Table1[[#This Row],[TIPO2]]="costo", VLOOKUP(Table1[[#This Row],[PARTIDA PRESUPUESTAL]],'Cost Report'!G:G,1,0),"Balance")</f>
        <v>2494-035</v>
      </c>
      <c r="AC1943" s="118"/>
      <c r="AD1943" s="159">
        <f>+Table1[[#This Row],[SUBTOTAL]]+Table1[[#This Row],[IVA]]-Table1[[#This Row],[RET IVA]]-Table1[[#This Row],[RET ISR]]-Table1[[#This Row],[TOTAL]]</f>
        <v>0</v>
      </c>
      <c r="AE1943" s="152"/>
      <c r="AF1943" s="153"/>
      <c r="AG1943" s="126" t="s">
        <v>3420</v>
      </c>
      <c r="AK1943" s="306" t="str">
        <f>IF(ISNUMBER(Table1[[#This Row],[FECHA DE RECIBIDO]]), Table1[[#This Row],[FECHA DE RECIBIDO]]-DATE(2023,8,30), "")</f>
        <v/>
      </c>
    </row>
    <row r="1944" spans="1:37" ht="16.95" customHeight="1">
      <c r="A1944" s="150" t="s">
        <v>3630</v>
      </c>
      <c r="B1944" s="151">
        <v>711</v>
      </c>
      <c r="C1944" s="126" t="s">
        <v>1732</v>
      </c>
      <c r="D1944">
        <v>1325</v>
      </c>
      <c r="E1944" s="126" t="s">
        <v>3275</v>
      </c>
      <c r="F1944" s="122" t="s">
        <v>1607</v>
      </c>
      <c r="G1944" s="122" t="s">
        <v>134</v>
      </c>
      <c r="H1944">
        <v>177</v>
      </c>
      <c r="I1944" s="122" t="s">
        <v>1546</v>
      </c>
      <c r="J1944" s="307" t="s">
        <v>214</v>
      </c>
      <c r="K1944" s="127" t="s">
        <v>3418</v>
      </c>
      <c r="L1944" s="151" t="s">
        <v>1579</v>
      </c>
      <c r="M1944">
        <v>238</v>
      </c>
      <c r="N1944" s="123">
        <v>17</v>
      </c>
      <c r="O1944">
        <v>1304</v>
      </c>
      <c r="P1944" s="132" t="s">
        <v>77</v>
      </c>
      <c r="Q1944" s="131">
        <v>603.41999999999996</v>
      </c>
      <c r="R1944" s="131">
        <v>96.55</v>
      </c>
      <c r="S1944" s="131"/>
      <c r="T1944" s="155"/>
      <c r="U1944" s="131"/>
      <c r="V1944" s="131">
        <f t="shared" si="47"/>
        <v>699.96999999999991</v>
      </c>
      <c r="W1944">
        <v>166</v>
      </c>
      <c r="X1944" s="151" t="s">
        <v>1644</v>
      </c>
      <c r="Y1944" s="135" t="s">
        <v>55</v>
      </c>
      <c r="Z1944" s="307">
        <v>215</v>
      </c>
      <c r="AB1944" t="str">
        <f>IF(Table1[[#This Row],[TIPO2]]="costo", VLOOKUP(Table1[[#This Row],[PARTIDA PRESUPUESTAL]],'Cost Report'!G:G,1,0),"Balance")</f>
        <v>2494-035</v>
      </c>
      <c r="AC1944" s="118"/>
      <c r="AD1944" s="159">
        <f>+Table1[[#This Row],[SUBTOTAL]]+Table1[[#This Row],[IVA]]-Table1[[#This Row],[RET IVA]]-Table1[[#This Row],[RET ISR]]-Table1[[#This Row],[TOTAL]]</f>
        <v>0</v>
      </c>
      <c r="AE1944" s="150"/>
      <c r="AF1944" s="151"/>
      <c r="AG1944" s="126" t="s">
        <v>3420</v>
      </c>
      <c r="AK1944" s="306" t="str">
        <f>IF(ISNUMBER(Table1[[#This Row],[FECHA DE RECIBIDO]]), Table1[[#This Row],[FECHA DE RECIBIDO]]-DATE(2023,8,30), "")</f>
        <v/>
      </c>
    </row>
    <row r="1945" spans="1:37" ht="16.95" customHeight="1">
      <c r="A1945" s="152" t="s">
        <v>3630</v>
      </c>
      <c r="B1945" s="153">
        <v>711</v>
      </c>
      <c r="C1945" s="126" t="s">
        <v>2461</v>
      </c>
      <c r="D1945">
        <v>1326</v>
      </c>
      <c r="E1945" s="126" t="s">
        <v>3354</v>
      </c>
      <c r="F1945" s="125" t="s">
        <v>1607</v>
      </c>
      <c r="G1945" s="125" t="s">
        <v>134</v>
      </c>
      <c r="H1945">
        <v>91</v>
      </c>
      <c r="I1945" s="125" t="s">
        <v>1546</v>
      </c>
      <c r="J1945" s="308" t="s">
        <v>214</v>
      </c>
      <c r="K1945" s="127" t="s">
        <v>3418</v>
      </c>
      <c r="L1945" s="153" t="s">
        <v>1579</v>
      </c>
      <c r="M1945">
        <v>122</v>
      </c>
      <c r="N1945" s="123">
        <v>17</v>
      </c>
      <c r="O1945">
        <v>1305</v>
      </c>
      <c r="P1945" s="132" t="s">
        <v>77</v>
      </c>
      <c r="Q1945" s="132">
        <v>19.260000000000002</v>
      </c>
      <c r="R1945" s="132">
        <v>3.08</v>
      </c>
      <c r="S1945" s="132"/>
      <c r="T1945" s="156"/>
      <c r="U1945" s="132"/>
      <c r="V1945" s="132">
        <f t="shared" si="47"/>
        <v>22.340000000000003</v>
      </c>
      <c r="W1945">
        <v>166</v>
      </c>
      <c r="X1945" s="153" t="s">
        <v>1644</v>
      </c>
      <c r="Y1945" s="124" t="s">
        <v>55</v>
      </c>
      <c r="Z1945" s="308">
        <v>223</v>
      </c>
      <c r="AB1945" t="str">
        <f>IF(Table1[[#This Row],[TIPO2]]="costo", VLOOKUP(Table1[[#This Row],[PARTIDA PRESUPUESTAL]],'Cost Report'!G:G,1,0),"Balance")</f>
        <v>2385-003</v>
      </c>
      <c r="AC1945" s="118"/>
      <c r="AD1945" s="159">
        <f>+Table1[[#This Row],[SUBTOTAL]]+Table1[[#This Row],[IVA]]-Table1[[#This Row],[RET IVA]]-Table1[[#This Row],[RET ISR]]-Table1[[#This Row],[TOTAL]]</f>
        <v>0</v>
      </c>
      <c r="AE1945" s="152"/>
      <c r="AF1945" s="153"/>
      <c r="AG1945" s="126" t="s">
        <v>3420</v>
      </c>
      <c r="AK1945" s="306" t="str">
        <f>IF(ISNUMBER(Table1[[#This Row],[FECHA DE RECIBIDO]]), Table1[[#This Row],[FECHA DE RECIBIDO]]-DATE(2023,8,30), "")</f>
        <v/>
      </c>
    </row>
    <row r="1946" spans="1:37" ht="16.95" customHeight="1">
      <c r="A1946" s="150" t="s">
        <v>3630</v>
      </c>
      <c r="B1946" s="151">
        <v>711</v>
      </c>
      <c r="C1946" s="126" t="s">
        <v>2455</v>
      </c>
      <c r="D1946">
        <v>1327</v>
      </c>
      <c r="E1946" s="126" t="s">
        <v>1609</v>
      </c>
      <c r="F1946" s="122" t="s">
        <v>1589</v>
      </c>
      <c r="G1946" s="122" t="s">
        <v>134</v>
      </c>
      <c r="H1946">
        <v>285</v>
      </c>
      <c r="I1946" s="122" t="s">
        <v>1546</v>
      </c>
      <c r="J1946" s="307" t="s">
        <v>214</v>
      </c>
      <c r="K1946" s="127" t="s">
        <v>3418</v>
      </c>
      <c r="L1946" s="151" t="s">
        <v>1579</v>
      </c>
      <c r="M1946">
        <v>379</v>
      </c>
      <c r="N1946" s="123">
        <v>17</v>
      </c>
      <c r="O1946">
        <v>1306</v>
      </c>
      <c r="P1946" s="132" t="s">
        <v>77</v>
      </c>
      <c r="Q1946" s="131">
        <v>651.03</v>
      </c>
      <c r="R1946" s="131">
        <v>4.97</v>
      </c>
      <c r="S1946" s="131"/>
      <c r="T1946" s="155"/>
      <c r="U1946" s="131"/>
      <c r="V1946" s="131">
        <f t="shared" si="47"/>
        <v>656</v>
      </c>
      <c r="W1946">
        <v>166</v>
      </c>
      <c r="X1946" s="151" t="s">
        <v>1644</v>
      </c>
      <c r="Y1946" s="135" t="s">
        <v>55</v>
      </c>
      <c r="Z1946" s="307">
        <v>222</v>
      </c>
      <c r="AB1946" t="str">
        <f>IF(Table1[[#This Row],[TIPO2]]="costo", VLOOKUP(Table1[[#This Row],[PARTIDA PRESUPUESTAL]],'Cost Report'!G:G,1,0),"Balance")</f>
        <v>2285-003</v>
      </c>
      <c r="AC1946" s="118"/>
      <c r="AD1946" s="159">
        <f>+Table1[[#This Row],[SUBTOTAL]]+Table1[[#This Row],[IVA]]-Table1[[#This Row],[RET IVA]]-Table1[[#This Row],[RET ISR]]-Table1[[#This Row],[TOTAL]]</f>
        <v>0</v>
      </c>
      <c r="AE1946" s="150"/>
      <c r="AF1946" s="151"/>
      <c r="AG1946" s="126" t="s">
        <v>3420</v>
      </c>
      <c r="AK1946" s="306" t="str">
        <f>IF(ISNUMBER(Table1[[#This Row],[FECHA DE RECIBIDO]]), Table1[[#This Row],[FECHA DE RECIBIDO]]-DATE(2023,8,30), "")</f>
        <v/>
      </c>
    </row>
    <row r="1947" spans="1:37" ht="16.95" customHeight="1">
      <c r="A1947" s="152" t="s">
        <v>3630</v>
      </c>
      <c r="B1947" s="153">
        <v>711</v>
      </c>
      <c r="C1947" s="126" t="s">
        <v>2455</v>
      </c>
      <c r="D1947">
        <v>1328</v>
      </c>
      <c r="E1947" s="126" t="s">
        <v>1997</v>
      </c>
      <c r="F1947" s="125" t="s">
        <v>1589</v>
      </c>
      <c r="G1947" s="125" t="s">
        <v>134</v>
      </c>
      <c r="H1947">
        <v>285</v>
      </c>
      <c r="I1947" s="125" t="s">
        <v>1546</v>
      </c>
      <c r="J1947" s="308" t="s">
        <v>214</v>
      </c>
      <c r="K1947" s="127" t="s">
        <v>3418</v>
      </c>
      <c r="L1947" s="153" t="s">
        <v>1579</v>
      </c>
      <c r="M1947">
        <v>379</v>
      </c>
      <c r="N1947" s="123">
        <v>17</v>
      </c>
      <c r="O1947">
        <v>1307</v>
      </c>
      <c r="P1947" s="132" t="s">
        <v>77</v>
      </c>
      <c r="Q1947" s="132">
        <v>170</v>
      </c>
      <c r="R1947" s="132"/>
      <c r="S1947" s="132"/>
      <c r="T1947" s="156"/>
      <c r="U1947" s="132"/>
      <c r="V1947" s="132">
        <f t="shared" si="47"/>
        <v>170</v>
      </c>
      <c r="W1947">
        <v>166</v>
      </c>
      <c r="X1947" s="153" t="s">
        <v>1644</v>
      </c>
      <c r="Y1947" s="124" t="s">
        <v>55</v>
      </c>
      <c r="Z1947" s="308">
        <v>222</v>
      </c>
      <c r="AB1947" t="str">
        <f>IF(Table1[[#This Row],[TIPO2]]="costo", VLOOKUP(Table1[[#This Row],[PARTIDA PRESUPUESTAL]],'Cost Report'!G:G,1,0),"Balance")</f>
        <v>2285-003</v>
      </c>
      <c r="AC1947" s="118"/>
      <c r="AD1947" s="159">
        <f>+Table1[[#This Row],[SUBTOTAL]]+Table1[[#This Row],[IVA]]-Table1[[#This Row],[RET IVA]]-Table1[[#This Row],[RET ISR]]-Table1[[#This Row],[TOTAL]]</f>
        <v>0</v>
      </c>
      <c r="AE1947" s="152"/>
      <c r="AF1947" s="153"/>
      <c r="AG1947" s="126" t="s">
        <v>3420</v>
      </c>
      <c r="AK1947" s="306" t="str">
        <f>IF(ISNUMBER(Table1[[#This Row],[FECHA DE RECIBIDO]]), Table1[[#This Row],[FECHA DE RECIBIDO]]-DATE(2023,8,30), "")</f>
        <v/>
      </c>
    </row>
    <row r="1948" spans="1:37" ht="16.95" customHeight="1">
      <c r="A1948" s="150" t="s">
        <v>3630</v>
      </c>
      <c r="B1948" s="151">
        <v>711</v>
      </c>
      <c r="C1948" s="126" t="s">
        <v>2455</v>
      </c>
      <c r="D1948">
        <v>1329</v>
      </c>
      <c r="E1948" s="126" t="s">
        <v>1989</v>
      </c>
      <c r="F1948" s="122" t="s">
        <v>1607</v>
      </c>
      <c r="G1948" s="122" t="s">
        <v>134</v>
      </c>
      <c r="H1948">
        <v>77</v>
      </c>
      <c r="I1948" s="122" t="s">
        <v>1546</v>
      </c>
      <c r="J1948" s="307" t="s">
        <v>214</v>
      </c>
      <c r="K1948" s="127" t="s">
        <v>3418</v>
      </c>
      <c r="L1948" s="151" t="s">
        <v>1579</v>
      </c>
      <c r="M1948">
        <v>100</v>
      </c>
      <c r="N1948" s="123">
        <v>17</v>
      </c>
      <c r="O1948">
        <v>1308</v>
      </c>
      <c r="P1948" s="132" t="s">
        <v>77</v>
      </c>
      <c r="Q1948" s="131">
        <v>75.86</v>
      </c>
      <c r="R1948" s="131">
        <v>12.14</v>
      </c>
      <c r="S1948" s="131"/>
      <c r="T1948" s="155"/>
      <c r="U1948" s="131"/>
      <c r="V1948" s="131">
        <f t="shared" si="47"/>
        <v>88</v>
      </c>
      <c r="W1948">
        <v>166</v>
      </c>
      <c r="X1948" s="151" t="s">
        <v>1644</v>
      </c>
      <c r="Y1948" s="135" t="s">
        <v>55</v>
      </c>
      <c r="Z1948" s="307">
        <v>222</v>
      </c>
      <c r="AB1948" t="str">
        <f>IF(Table1[[#This Row],[TIPO2]]="costo", VLOOKUP(Table1[[#This Row],[PARTIDA PRESUPUESTAL]],'Cost Report'!G:G,1,0),"Balance")</f>
        <v>2285-003</v>
      </c>
      <c r="AC1948" s="118"/>
      <c r="AD1948" s="159">
        <f>+Table1[[#This Row],[SUBTOTAL]]+Table1[[#This Row],[IVA]]-Table1[[#This Row],[RET IVA]]-Table1[[#This Row],[RET ISR]]-Table1[[#This Row],[TOTAL]]</f>
        <v>0</v>
      </c>
      <c r="AE1948" s="150"/>
      <c r="AF1948" s="151"/>
      <c r="AG1948" s="126" t="s">
        <v>3420</v>
      </c>
      <c r="AK1948" s="306" t="str">
        <f>IF(ISNUMBER(Table1[[#This Row],[FECHA DE RECIBIDO]]), Table1[[#This Row],[FECHA DE RECIBIDO]]-DATE(2023,8,30), "")</f>
        <v/>
      </c>
    </row>
    <row r="1949" spans="1:37" ht="16.95" customHeight="1">
      <c r="A1949" s="152" t="s">
        <v>3630</v>
      </c>
      <c r="B1949" s="153">
        <v>711</v>
      </c>
      <c r="C1949" s="126" t="s">
        <v>2455</v>
      </c>
      <c r="D1949">
        <v>1330</v>
      </c>
      <c r="E1949" s="126" t="s">
        <v>3670</v>
      </c>
      <c r="F1949" s="125" t="s">
        <v>1607</v>
      </c>
      <c r="G1949" s="125" t="s">
        <v>134</v>
      </c>
      <c r="H1949">
        <v>319</v>
      </c>
      <c r="I1949" s="125" t="s">
        <v>1546</v>
      </c>
      <c r="J1949" s="308" t="s">
        <v>214</v>
      </c>
      <c r="K1949" s="127" t="s">
        <v>3418</v>
      </c>
      <c r="L1949" s="153" t="s">
        <v>1579</v>
      </c>
      <c r="M1949">
        <v>424</v>
      </c>
      <c r="N1949" s="123">
        <v>17</v>
      </c>
      <c r="O1949">
        <v>1309</v>
      </c>
      <c r="P1949" s="132" t="s">
        <v>77</v>
      </c>
      <c r="Q1949" s="132">
        <v>60.34</v>
      </c>
      <c r="R1949" s="132">
        <v>9.66</v>
      </c>
      <c r="S1949" s="132"/>
      <c r="T1949" s="156"/>
      <c r="U1949" s="132"/>
      <c r="V1949" s="132">
        <f t="shared" si="47"/>
        <v>70</v>
      </c>
      <c r="W1949">
        <v>166</v>
      </c>
      <c r="X1949" s="153" t="s">
        <v>1644</v>
      </c>
      <c r="Y1949" s="124" t="s">
        <v>55</v>
      </c>
      <c r="Z1949" s="308">
        <v>222</v>
      </c>
      <c r="AB1949" t="str">
        <f>IF(Table1[[#This Row],[TIPO2]]="costo", VLOOKUP(Table1[[#This Row],[PARTIDA PRESUPUESTAL]],'Cost Report'!G:G,1,0),"Balance")</f>
        <v>2285-003</v>
      </c>
      <c r="AC1949" s="118"/>
      <c r="AD1949" s="159">
        <f>+Table1[[#This Row],[SUBTOTAL]]+Table1[[#This Row],[IVA]]-Table1[[#This Row],[RET IVA]]-Table1[[#This Row],[RET ISR]]-Table1[[#This Row],[TOTAL]]</f>
        <v>0</v>
      </c>
      <c r="AE1949" s="152"/>
      <c r="AF1949" s="153"/>
      <c r="AG1949" s="126" t="s">
        <v>3420</v>
      </c>
      <c r="AK1949" s="306" t="str">
        <f>IF(ISNUMBER(Table1[[#This Row],[FECHA DE RECIBIDO]]), Table1[[#This Row],[FECHA DE RECIBIDO]]-DATE(2023,8,30), "")</f>
        <v/>
      </c>
    </row>
    <row r="1950" spans="1:37" ht="16.95" customHeight="1">
      <c r="A1950" s="150" t="s">
        <v>3630</v>
      </c>
      <c r="B1950" s="151">
        <v>711</v>
      </c>
      <c r="C1950" s="126" t="s">
        <v>1732</v>
      </c>
      <c r="D1950">
        <v>1331</v>
      </c>
      <c r="E1950" s="126" t="s">
        <v>3275</v>
      </c>
      <c r="F1950" s="122" t="s">
        <v>1607</v>
      </c>
      <c r="G1950" s="122" t="s">
        <v>134</v>
      </c>
      <c r="H1950">
        <v>177</v>
      </c>
      <c r="I1950" s="122" t="s">
        <v>1546</v>
      </c>
      <c r="J1950" s="307" t="s">
        <v>214</v>
      </c>
      <c r="K1950" s="127" t="s">
        <v>3418</v>
      </c>
      <c r="L1950" s="151" t="s">
        <v>1579</v>
      </c>
      <c r="M1950">
        <v>238</v>
      </c>
      <c r="N1950" s="123">
        <v>17</v>
      </c>
      <c r="O1950">
        <v>1310</v>
      </c>
      <c r="P1950" s="132" t="s">
        <v>77</v>
      </c>
      <c r="Q1950" s="131">
        <v>172.41</v>
      </c>
      <c r="R1950" s="131">
        <v>27.58</v>
      </c>
      <c r="S1950" s="131"/>
      <c r="T1950" s="155"/>
      <c r="U1950" s="131"/>
      <c r="V1950" s="131">
        <f t="shared" si="47"/>
        <v>199.99</v>
      </c>
      <c r="W1950">
        <v>166</v>
      </c>
      <c r="X1950" s="151" t="s">
        <v>1644</v>
      </c>
      <c r="Y1950" s="135" t="s">
        <v>55</v>
      </c>
      <c r="Z1950" s="307">
        <v>215</v>
      </c>
      <c r="AB1950" t="str">
        <f>IF(Table1[[#This Row],[TIPO2]]="costo", VLOOKUP(Table1[[#This Row],[PARTIDA PRESUPUESTAL]],'Cost Report'!G:G,1,0),"Balance")</f>
        <v>2494-035</v>
      </c>
      <c r="AC1950" s="118"/>
      <c r="AD1950" s="159">
        <f>+Table1[[#This Row],[SUBTOTAL]]+Table1[[#This Row],[IVA]]-Table1[[#This Row],[RET IVA]]-Table1[[#This Row],[RET ISR]]-Table1[[#This Row],[TOTAL]]</f>
        <v>0</v>
      </c>
      <c r="AE1950" s="150"/>
      <c r="AF1950" s="151"/>
      <c r="AG1950" s="126" t="s">
        <v>3420</v>
      </c>
      <c r="AK1950" s="306" t="str">
        <f>IF(ISNUMBER(Table1[[#This Row],[FECHA DE RECIBIDO]]), Table1[[#This Row],[FECHA DE RECIBIDO]]-DATE(2023,8,30), "")</f>
        <v/>
      </c>
    </row>
    <row r="1951" spans="1:37" ht="16.95" customHeight="1">
      <c r="A1951" s="152" t="s">
        <v>3630</v>
      </c>
      <c r="B1951" s="153">
        <v>711</v>
      </c>
      <c r="C1951" s="126" t="s">
        <v>1513</v>
      </c>
      <c r="D1951">
        <v>1332</v>
      </c>
      <c r="E1951" s="126" t="s">
        <v>2107</v>
      </c>
      <c r="F1951" s="125" t="s">
        <v>1589</v>
      </c>
      <c r="G1951" s="125" t="s">
        <v>134</v>
      </c>
      <c r="H1951">
        <v>418</v>
      </c>
      <c r="I1951" s="125" t="s">
        <v>1546</v>
      </c>
      <c r="J1951" s="308" t="s">
        <v>214</v>
      </c>
      <c r="K1951" s="127" t="s">
        <v>3418</v>
      </c>
      <c r="L1951" s="153" t="s">
        <v>1579</v>
      </c>
      <c r="M1951">
        <v>555</v>
      </c>
      <c r="N1951" s="123">
        <v>17</v>
      </c>
      <c r="O1951">
        <v>1311</v>
      </c>
      <c r="P1951" s="132" t="s">
        <v>77</v>
      </c>
      <c r="Q1951" s="132">
        <v>1500</v>
      </c>
      <c r="R1951" s="132">
        <v>240</v>
      </c>
      <c r="S1951" s="132"/>
      <c r="T1951" s="156"/>
      <c r="U1951" s="132"/>
      <c r="V1951" s="132">
        <f t="shared" si="47"/>
        <v>1740</v>
      </c>
      <c r="W1951">
        <v>166</v>
      </c>
      <c r="X1951" s="153" t="s">
        <v>1644</v>
      </c>
      <c r="Y1951" s="124" t="s">
        <v>55</v>
      </c>
      <c r="Z1951" s="308">
        <v>218</v>
      </c>
      <c r="AB1951" t="str">
        <f>IF(Table1[[#This Row],[TIPO2]]="costo", VLOOKUP(Table1[[#This Row],[PARTIDA PRESUPUESTAL]],'Cost Report'!G:G,1,0),"Balance")</f>
        <v>2494-019</v>
      </c>
      <c r="AC1951" s="118"/>
      <c r="AD1951" s="159">
        <f>+Table1[[#This Row],[SUBTOTAL]]+Table1[[#This Row],[IVA]]-Table1[[#This Row],[RET IVA]]-Table1[[#This Row],[RET ISR]]-Table1[[#This Row],[TOTAL]]</f>
        <v>0</v>
      </c>
      <c r="AE1951" s="152"/>
      <c r="AF1951" s="153"/>
      <c r="AG1951" s="126" t="s">
        <v>3420</v>
      </c>
      <c r="AK1951" s="306" t="str">
        <f>IF(ISNUMBER(Table1[[#This Row],[FECHA DE RECIBIDO]]), Table1[[#This Row],[FECHA DE RECIBIDO]]-DATE(2023,8,30), "")</f>
        <v/>
      </c>
    </row>
    <row r="1952" spans="1:37" ht="16.95" customHeight="1">
      <c r="A1952" s="150" t="s">
        <v>3630</v>
      </c>
      <c r="B1952" s="151">
        <v>711</v>
      </c>
      <c r="C1952" s="126" t="s">
        <v>1513</v>
      </c>
      <c r="D1952">
        <v>1333</v>
      </c>
      <c r="E1952" s="126" t="s">
        <v>2107</v>
      </c>
      <c r="F1952" s="122" t="s">
        <v>1589</v>
      </c>
      <c r="G1952" s="122" t="s">
        <v>134</v>
      </c>
      <c r="H1952">
        <v>418</v>
      </c>
      <c r="I1952" s="122" t="s">
        <v>1546</v>
      </c>
      <c r="J1952" s="307" t="s">
        <v>214</v>
      </c>
      <c r="K1952" s="127" t="s">
        <v>3418</v>
      </c>
      <c r="L1952" s="151" t="s">
        <v>1579</v>
      </c>
      <c r="M1952">
        <v>555</v>
      </c>
      <c r="N1952" s="123">
        <v>17</v>
      </c>
      <c r="O1952">
        <v>1312</v>
      </c>
      <c r="P1952" s="132" t="s">
        <v>77</v>
      </c>
      <c r="Q1952" s="131">
        <v>570</v>
      </c>
      <c r="R1952" s="131">
        <v>91.2</v>
      </c>
      <c r="S1952" s="131"/>
      <c r="T1952" s="155"/>
      <c r="U1952" s="131"/>
      <c r="V1952" s="131">
        <f t="shared" si="47"/>
        <v>661.2</v>
      </c>
      <c r="W1952">
        <v>166</v>
      </c>
      <c r="X1952" s="151" t="s">
        <v>1644</v>
      </c>
      <c r="Y1952" s="135" t="s">
        <v>55</v>
      </c>
      <c r="Z1952" s="307">
        <v>218</v>
      </c>
      <c r="AB1952" t="str">
        <f>IF(Table1[[#This Row],[TIPO2]]="costo", VLOOKUP(Table1[[#This Row],[PARTIDA PRESUPUESTAL]],'Cost Report'!G:G,1,0),"Balance")</f>
        <v>2494-019</v>
      </c>
      <c r="AC1952" s="118"/>
      <c r="AD1952" s="159">
        <f>+Table1[[#This Row],[SUBTOTAL]]+Table1[[#This Row],[IVA]]-Table1[[#This Row],[RET IVA]]-Table1[[#This Row],[RET ISR]]-Table1[[#This Row],[TOTAL]]</f>
        <v>0</v>
      </c>
      <c r="AE1952" s="150"/>
      <c r="AF1952" s="151"/>
      <c r="AG1952" s="126" t="s">
        <v>3420</v>
      </c>
      <c r="AK1952" s="306" t="str">
        <f>IF(ISNUMBER(Table1[[#This Row],[FECHA DE RECIBIDO]]), Table1[[#This Row],[FECHA DE RECIBIDO]]-DATE(2023,8,30), "")</f>
        <v/>
      </c>
    </row>
    <row r="1953" spans="1:37" ht="16.95" customHeight="1">
      <c r="A1953" s="152" t="s">
        <v>3630</v>
      </c>
      <c r="B1953" s="153">
        <v>711</v>
      </c>
      <c r="C1953" s="126" t="s">
        <v>2544</v>
      </c>
      <c r="D1953">
        <v>1334</v>
      </c>
      <c r="E1953" s="126" t="s">
        <v>2107</v>
      </c>
      <c r="F1953" s="125" t="s">
        <v>1607</v>
      </c>
      <c r="G1953" s="125" t="s">
        <v>134</v>
      </c>
      <c r="H1953">
        <v>419</v>
      </c>
      <c r="I1953" s="125" t="s">
        <v>1546</v>
      </c>
      <c r="J1953" s="308" t="s">
        <v>214</v>
      </c>
      <c r="K1953" s="127" t="s">
        <v>3418</v>
      </c>
      <c r="L1953" s="153" t="s">
        <v>1579</v>
      </c>
      <c r="M1953">
        <v>556</v>
      </c>
      <c r="N1953" s="123">
        <v>17</v>
      </c>
      <c r="O1953">
        <v>1313</v>
      </c>
      <c r="P1953" s="132" t="s">
        <v>77</v>
      </c>
      <c r="Q1953" s="132">
        <v>1140</v>
      </c>
      <c r="R1953" s="132">
        <v>182.4</v>
      </c>
      <c r="S1953" s="132"/>
      <c r="T1953" s="156"/>
      <c r="U1953" s="132"/>
      <c r="V1953" s="132">
        <f t="shared" si="47"/>
        <v>1322.4</v>
      </c>
      <c r="W1953">
        <v>166</v>
      </c>
      <c r="X1953" s="153" t="s">
        <v>1644</v>
      </c>
      <c r="Y1953" s="124" t="s">
        <v>55</v>
      </c>
      <c r="Z1953" s="308">
        <v>216</v>
      </c>
      <c r="AB1953" t="str">
        <f>IF(Table1[[#This Row],[TIPO2]]="costo", VLOOKUP(Table1[[#This Row],[PARTIDA PRESUPUESTAL]],'Cost Report'!G:G,1,0),"Balance")</f>
        <v>2494-067</v>
      </c>
      <c r="AC1953" s="118"/>
      <c r="AD1953" s="159">
        <f>+Table1[[#This Row],[SUBTOTAL]]+Table1[[#This Row],[IVA]]-Table1[[#This Row],[RET IVA]]-Table1[[#This Row],[RET ISR]]-Table1[[#This Row],[TOTAL]]</f>
        <v>0</v>
      </c>
      <c r="AE1953" s="152"/>
      <c r="AF1953" s="153"/>
      <c r="AG1953" s="126" t="s">
        <v>3420</v>
      </c>
      <c r="AK1953" s="306" t="str">
        <f>IF(ISNUMBER(Table1[[#This Row],[FECHA DE RECIBIDO]]), Table1[[#This Row],[FECHA DE RECIBIDO]]-DATE(2023,8,30), "")</f>
        <v/>
      </c>
    </row>
    <row r="1954" spans="1:37" ht="16.95" customHeight="1">
      <c r="A1954" s="150" t="s">
        <v>3630</v>
      </c>
      <c r="B1954" s="151">
        <v>711</v>
      </c>
      <c r="C1954" s="126" t="s">
        <v>1513</v>
      </c>
      <c r="D1954">
        <v>1335</v>
      </c>
      <c r="E1954" s="126" t="s">
        <v>3671</v>
      </c>
      <c r="F1954" s="122" t="s">
        <v>1593</v>
      </c>
      <c r="G1954" s="122" t="s">
        <v>134</v>
      </c>
      <c r="H1954">
        <v>420</v>
      </c>
      <c r="I1954" s="122" t="s">
        <v>1546</v>
      </c>
      <c r="J1954" s="307" t="s">
        <v>214</v>
      </c>
      <c r="K1954" s="127" t="s">
        <v>3418</v>
      </c>
      <c r="L1954" s="151" t="s">
        <v>1579</v>
      </c>
      <c r="M1954">
        <v>557</v>
      </c>
      <c r="N1954" s="123">
        <v>17</v>
      </c>
      <c r="O1954">
        <v>1314</v>
      </c>
      <c r="P1954" s="132" t="s">
        <v>77</v>
      </c>
      <c r="Q1954" s="131">
        <v>303.36</v>
      </c>
      <c r="R1954" s="131">
        <v>48.54</v>
      </c>
      <c r="S1954" s="131"/>
      <c r="T1954" s="155"/>
      <c r="U1954" s="131">
        <v>3.79</v>
      </c>
      <c r="V1954" s="131">
        <f t="shared" si="47"/>
        <v>348.11</v>
      </c>
      <c r="W1954">
        <v>166</v>
      </c>
      <c r="X1954" s="151" t="s">
        <v>1644</v>
      </c>
      <c r="Y1954" s="135" t="s">
        <v>55</v>
      </c>
      <c r="Z1954" s="307">
        <v>217</v>
      </c>
      <c r="AB1954" t="str">
        <f>IF(Table1[[#This Row],[TIPO2]]="costo", VLOOKUP(Table1[[#This Row],[PARTIDA PRESUPUESTAL]],'Cost Report'!G:G,1,0),"Balance")</f>
        <v>2494-019</v>
      </c>
      <c r="AC1954" s="118"/>
      <c r="AD1954" s="159">
        <f>+Table1[[#This Row],[SUBTOTAL]]+Table1[[#This Row],[IVA]]-Table1[[#This Row],[RET IVA]]-Table1[[#This Row],[RET ISR]]-Table1[[#This Row],[TOTAL]]</f>
        <v>0</v>
      </c>
      <c r="AE1954" s="150"/>
      <c r="AF1954" s="151"/>
      <c r="AG1954" s="126" t="s">
        <v>3420</v>
      </c>
      <c r="AK1954" s="306" t="str">
        <f>IF(ISNUMBER(Table1[[#This Row],[FECHA DE RECIBIDO]]), Table1[[#This Row],[FECHA DE RECIBIDO]]-DATE(2023,8,30), "")</f>
        <v/>
      </c>
    </row>
    <row r="1955" spans="1:37" ht="16.95" customHeight="1">
      <c r="A1955" s="152" t="s">
        <v>3630</v>
      </c>
      <c r="B1955" s="153">
        <v>711</v>
      </c>
      <c r="C1955" s="126" t="s">
        <v>1732</v>
      </c>
      <c r="D1955">
        <v>661</v>
      </c>
      <c r="E1955" s="126"/>
      <c r="F1955" s="125"/>
      <c r="G1955" s="125"/>
      <c r="H1955"/>
      <c r="I1955" s="125"/>
      <c r="J1955" s="308" t="s">
        <v>214</v>
      </c>
      <c r="K1955" s="127" t="s">
        <v>3418</v>
      </c>
      <c r="L1955" s="153" t="s">
        <v>1579</v>
      </c>
      <c r="M1955">
        <v>558</v>
      </c>
      <c r="N1955" s="123">
        <v>17</v>
      </c>
      <c r="O1955">
        <v>1315</v>
      </c>
      <c r="P1955" s="132" t="s">
        <v>77</v>
      </c>
      <c r="Q1955" s="132">
        <v>608</v>
      </c>
      <c r="R1955" s="132"/>
      <c r="S1955" s="132"/>
      <c r="T1955" s="156"/>
      <c r="U1955" s="132"/>
      <c r="V1955" s="132">
        <f t="shared" si="47"/>
        <v>608</v>
      </c>
      <c r="W1955">
        <v>166</v>
      </c>
      <c r="X1955" s="153" t="s">
        <v>1644</v>
      </c>
      <c r="Y1955" s="124" t="s">
        <v>55</v>
      </c>
      <c r="Z1955" s="308">
        <v>210</v>
      </c>
      <c r="AB1955" t="str">
        <f>IF(Table1[[#This Row],[TIPO2]]="costo", VLOOKUP(Table1[[#This Row],[PARTIDA PRESUPUESTAL]],'Cost Report'!G:G,1,0),"Balance")</f>
        <v>2494-035</v>
      </c>
      <c r="AC1955" s="118"/>
      <c r="AD1955" s="159">
        <f>+Table1[[#This Row],[SUBTOTAL]]+Table1[[#This Row],[IVA]]-Table1[[#This Row],[RET IVA]]-Table1[[#This Row],[RET ISR]]-Table1[[#This Row],[TOTAL]]</f>
        <v>0</v>
      </c>
      <c r="AE1955" s="152"/>
      <c r="AF1955" s="153"/>
      <c r="AG1955" s="126" t="s">
        <v>3420</v>
      </c>
      <c r="AK1955" s="306" t="str">
        <f>IF(ISNUMBER(Table1[[#This Row],[FECHA DE RECIBIDO]]), Table1[[#This Row],[FECHA DE RECIBIDO]]-DATE(2023,8,30), "")</f>
        <v/>
      </c>
    </row>
    <row r="1956" spans="1:37" ht="16.95" customHeight="1">
      <c r="A1956" s="150" t="s">
        <v>3630</v>
      </c>
      <c r="B1956" s="151">
        <v>711</v>
      </c>
      <c r="C1956" s="126" t="s">
        <v>1732</v>
      </c>
      <c r="D1956">
        <v>661</v>
      </c>
      <c r="E1956" s="126"/>
      <c r="F1956" s="122"/>
      <c r="G1956" s="122"/>
      <c r="H1956"/>
      <c r="I1956" s="122"/>
      <c r="J1956" s="307" t="s">
        <v>214</v>
      </c>
      <c r="K1956" s="127" t="s">
        <v>3418</v>
      </c>
      <c r="L1956" s="151" t="s">
        <v>1579</v>
      </c>
      <c r="M1956">
        <v>558</v>
      </c>
      <c r="N1956" s="123">
        <v>17</v>
      </c>
      <c r="O1956">
        <v>1316</v>
      </c>
      <c r="P1956" s="132" t="s">
        <v>77</v>
      </c>
      <c r="Q1956" s="131">
        <v>3901</v>
      </c>
      <c r="R1956" s="131"/>
      <c r="S1956" s="131"/>
      <c r="T1956" s="155"/>
      <c r="U1956" s="131"/>
      <c r="V1956" s="131">
        <f t="shared" si="47"/>
        <v>3901</v>
      </c>
      <c r="W1956">
        <v>166</v>
      </c>
      <c r="X1956" s="151" t="s">
        <v>1644</v>
      </c>
      <c r="Y1956" s="135" t="s">
        <v>55</v>
      </c>
      <c r="Z1956" s="307">
        <v>210</v>
      </c>
      <c r="AB1956" t="str">
        <f>IF(Table1[[#This Row],[TIPO2]]="costo", VLOOKUP(Table1[[#This Row],[PARTIDA PRESUPUESTAL]],'Cost Report'!G:G,1,0),"Balance")</f>
        <v>2494-035</v>
      </c>
      <c r="AC1956" s="118"/>
      <c r="AD1956" s="159">
        <f>+Table1[[#This Row],[SUBTOTAL]]+Table1[[#This Row],[IVA]]-Table1[[#This Row],[RET IVA]]-Table1[[#This Row],[RET ISR]]-Table1[[#This Row],[TOTAL]]</f>
        <v>0</v>
      </c>
      <c r="AE1956" s="150"/>
      <c r="AF1956" s="151"/>
      <c r="AG1956" s="126" t="s">
        <v>3420</v>
      </c>
      <c r="AK1956" s="306" t="str">
        <f>IF(ISNUMBER(Table1[[#This Row],[FECHA DE RECIBIDO]]), Table1[[#This Row],[FECHA DE RECIBIDO]]-DATE(2023,8,30), "")</f>
        <v/>
      </c>
    </row>
    <row r="1957" spans="1:37" ht="16.95" customHeight="1">
      <c r="A1957" s="152" t="s">
        <v>3630</v>
      </c>
      <c r="B1957" s="153">
        <v>711</v>
      </c>
      <c r="C1957" s="126" t="s">
        <v>2455</v>
      </c>
      <c r="D1957">
        <v>661</v>
      </c>
      <c r="E1957" s="126"/>
      <c r="F1957" s="125"/>
      <c r="G1957" s="125"/>
      <c r="H1957"/>
      <c r="I1957" s="125"/>
      <c r="J1957" s="308" t="s">
        <v>214</v>
      </c>
      <c r="K1957" s="127" t="s">
        <v>3418</v>
      </c>
      <c r="L1957" s="153" t="s">
        <v>1579</v>
      </c>
      <c r="M1957">
        <v>559</v>
      </c>
      <c r="N1957" s="123">
        <v>17</v>
      </c>
      <c r="O1957">
        <v>1317</v>
      </c>
      <c r="P1957" s="132" t="s">
        <v>77</v>
      </c>
      <c r="Q1957" s="132">
        <v>32</v>
      </c>
      <c r="R1957" s="132"/>
      <c r="S1957" s="132"/>
      <c r="T1957" s="156"/>
      <c r="U1957" s="132"/>
      <c r="V1957" s="132">
        <f t="shared" si="47"/>
        <v>32</v>
      </c>
      <c r="W1957">
        <v>166</v>
      </c>
      <c r="X1957" s="153" t="s">
        <v>1644</v>
      </c>
      <c r="Y1957" s="124" t="s">
        <v>55</v>
      </c>
      <c r="Z1957" s="308">
        <v>212</v>
      </c>
      <c r="AB1957" t="str">
        <f>IF(Table1[[#This Row],[TIPO2]]="costo", VLOOKUP(Table1[[#This Row],[PARTIDA PRESUPUESTAL]],'Cost Report'!G:G,1,0),"Balance")</f>
        <v>2285-003</v>
      </c>
      <c r="AC1957" s="118"/>
      <c r="AD1957" s="159">
        <f>+Table1[[#This Row],[SUBTOTAL]]+Table1[[#This Row],[IVA]]-Table1[[#This Row],[RET IVA]]-Table1[[#This Row],[RET ISR]]-Table1[[#This Row],[TOTAL]]</f>
        <v>0</v>
      </c>
      <c r="AE1957" s="152"/>
      <c r="AF1957" s="153"/>
      <c r="AG1957" s="126" t="s">
        <v>3420</v>
      </c>
      <c r="AK1957" s="306" t="str">
        <f>IF(ISNUMBER(Table1[[#This Row],[FECHA DE RECIBIDO]]), Table1[[#This Row],[FECHA DE RECIBIDO]]-DATE(2023,8,30), "")</f>
        <v/>
      </c>
    </row>
    <row r="1958" spans="1:37" ht="16.95" customHeight="1">
      <c r="A1958" s="150" t="s">
        <v>3630</v>
      </c>
      <c r="B1958" s="151">
        <v>711</v>
      </c>
      <c r="C1958" s="126" t="s">
        <v>1732</v>
      </c>
      <c r="D1958">
        <v>661</v>
      </c>
      <c r="E1958" s="126"/>
      <c r="F1958" s="122"/>
      <c r="G1958" s="122"/>
      <c r="H1958"/>
      <c r="I1958" s="122"/>
      <c r="J1958" s="307" t="s">
        <v>214</v>
      </c>
      <c r="K1958" s="127" t="s">
        <v>3418</v>
      </c>
      <c r="L1958" s="151" t="s">
        <v>1579</v>
      </c>
      <c r="M1958">
        <v>514</v>
      </c>
      <c r="N1958" s="123">
        <v>17</v>
      </c>
      <c r="O1958">
        <v>1318</v>
      </c>
      <c r="P1958" s="132" t="s">
        <v>77</v>
      </c>
      <c r="Q1958" s="131">
        <v>588</v>
      </c>
      <c r="R1958" s="131"/>
      <c r="S1958" s="131"/>
      <c r="T1958" s="155"/>
      <c r="U1958" s="131"/>
      <c r="V1958" s="131">
        <f t="shared" si="47"/>
        <v>588</v>
      </c>
      <c r="W1958">
        <v>166</v>
      </c>
      <c r="X1958" s="151" t="s">
        <v>1644</v>
      </c>
      <c r="Y1958" s="135" t="s">
        <v>55</v>
      </c>
      <c r="Z1958" s="307">
        <v>215</v>
      </c>
      <c r="AB1958" t="str">
        <f>IF(Table1[[#This Row],[TIPO2]]="costo", VLOOKUP(Table1[[#This Row],[PARTIDA PRESUPUESTAL]],'Cost Report'!G:G,1,0),"Balance")</f>
        <v>2494-035</v>
      </c>
      <c r="AC1958" s="118"/>
      <c r="AD1958" s="159">
        <f>+Table1[[#This Row],[SUBTOTAL]]+Table1[[#This Row],[IVA]]-Table1[[#This Row],[RET IVA]]-Table1[[#This Row],[RET ISR]]-Table1[[#This Row],[TOTAL]]</f>
        <v>0</v>
      </c>
      <c r="AE1958" s="150"/>
      <c r="AF1958" s="151"/>
      <c r="AG1958" s="126" t="s">
        <v>3420</v>
      </c>
      <c r="AK1958" s="306" t="str">
        <f>IF(ISNUMBER(Table1[[#This Row],[FECHA DE RECIBIDO]]), Table1[[#This Row],[FECHA DE RECIBIDO]]-DATE(2023,8,30), "")</f>
        <v/>
      </c>
    </row>
    <row r="1959" spans="1:37" ht="16.95" customHeight="1">
      <c r="A1959" s="152" t="s">
        <v>3630</v>
      </c>
      <c r="B1959" s="153">
        <v>711</v>
      </c>
      <c r="C1959" s="126" t="s">
        <v>2455</v>
      </c>
      <c r="D1959">
        <v>661</v>
      </c>
      <c r="E1959" s="126"/>
      <c r="F1959" s="125"/>
      <c r="G1959" s="125"/>
      <c r="H1959"/>
      <c r="I1959" s="125"/>
      <c r="J1959" s="308" t="s">
        <v>214</v>
      </c>
      <c r="K1959" s="127" t="s">
        <v>3418</v>
      </c>
      <c r="L1959" s="153" t="s">
        <v>1579</v>
      </c>
      <c r="M1959">
        <v>383</v>
      </c>
      <c r="N1959" s="123">
        <v>17</v>
      </c>
      <c r="O1959">
        <v>522</v>
      </c>
      <c r="P1959" s="132" t="s">
        <v>77</v>
      </c>
      <c r="Q1959" s="132">
        <v>30.74</v>
      </c>
      <c r="R1959" s="132"/>
      <c r="S1959" s="132"/>
      <c r="T1959" s="156"/>
      <c r="U1959" s="132"/>
      <c r="V1959" s="132">
        <f t="shared" si="47"/>
        <v>30.74</v>
      </c>
      <c r="W1959">
        <v>166</v>
      </c>
      <c r="X1959" s="153" t="s">
        <v>1644</v>
      </c>
      <c r="Y1959" s="124" t="s">
        <v>55</v>
      </c>
      <c r="Z1959" s="308">
        <v>215</v>
      </c>
      <c r="AB1959" t="str">
        <f>IF(Table1[[#This Row],[TIPO2]]="costo", VLOOKUP(Table1[[#This Row],[PARTIDA PRESUPUESTAL]],'Cost Report'!G:G,1,0),"Balance")</f>
        <v>2285-003</v>
      </c>
      <c r="AC1959" s="118"/>
      <c r="AD1959" s="159">
        <f>+Table1[[#This Row],[SUBTOTAL]]+Table1[[#This Row],[IVA]]-Table1[[#This Row],[RET IVA]]-Table1[[#This Row],[RET ISR]]-Table1[[#This Row],[TOTAL]]</f>
        <v>0</v>
      </c>
      <c r="AE1959" s="152"/>
      <c r="AF1959" s="153"/>
      <c r="AG1959" s="126" t="s">
        <v>3420</v>
      </c>
      <c r="AK1959" s="306" t="str">
        <f>IF(ISNUMBER(Table1[[#This Row],[FECHA DE RECIBIDO]]), Table1[[#This Row],[FECHA DE RECIBIDO]]-DATE(2023,8,30), "")</f>
        <v/>
      </c>
    </row>
    <row r="1960" spans="1:37" ht="16.95" customHeight="1">
      <c r="A1960" s="150" t="s">
        <v>3630</v>
      </c>
      <c r="B1960" s="151">
        <v>711</v>
      </c>
      <c r="C1960" s="126" t="s">
        <v>2455</v>
      </c>
      <c r="D1960">
        <v>661</v>
      </c>
      <c r="E1960" s="126"/>
      <c r="F1960" s="122"/>
      <c r="G1960" s="122"/>
      <c r="H1960"/>
      <c r="I1960" s="122"/>
      <c r="J1960" s="307" t="s">
        <v>214</v>
      </c>
      <c r="K1960" s="127" t="s">
        <v>3418</v>
      </c>
      <c r="L1960" s="151" t="s">
        <v>1579</v>
      </c>
      <c r="M1960">
        <v>383</v>
      </c>
      <c r="N1960" s="123">
        <v>17</v>
      </c>
      <c r="O1960">
        <v>522</v>
      </c>
      <c r="P1960" s="132" t="s">
        <v>77</v>
      </c>
      <c r="Q1960" s="131">
        <v>30.74</v>
      </c>
      <c r="R1960" s="131"/>
      <c r="S1960" s="131"/>
      <c r="T1960" s="155"/>
      <c r="U1960" s="131"/>
      <c r="V1960" s="131">
        <f t="shared" si="47"/>
        <v>30.74</v>
      </c>
      <c r="W1960">
        <v>166</v>
      </c>
      <c r="X1960" s="151" t="s">
        <v>1644</v>
      </c>
      <c r="Y1960" s="135" t="s">
        <v>55</v>
      </c>
      <c r="Z1960" s="307">
        <v>216</v>
      </c>
      <c r="AB1960" t="str">
        <f>IF(Table1[[#This Row],[TIPO2]]="costo", VLOOKUP(Table1[[#This Row],[PARTIDA PRESUPUESTAL]],'Cost Report'!G:G,1,0),"Balance")</f>
        <v>2285-003</v>
      </c>
      <c r="AC1960" s="118"/>
      <c r="AD1960" s="159">
        <f>+Table1[[#This Row],[SUBTOTAL]]+Table1[[#This Row],[IVA]]-Table1[[#This Row],[RET IVA]]-Table1[[#This Row],[RET ISR]]-Table1[[#This Row],[TOTAL]]</f>
        <v>0</v>
      </c>
      <c r="AE1960" s="150"/>
      <c r="AF1960" s="151"/>
      <c r="AG1960" s="126" t="s">
        <v>3420</v>
      </c>
      <c r="AK1960" s="306" t="str">
        <f>IF(ISNUMBER(Table1[[#This Row],[FECHA DE RECIBIDO]]), Table1[[#This Row],[FECHA DE RECIBIDO]]-DATE(2023,8,30), "")</f>
        <v/>
      </c>
    </row>
    <row r="1961" spans="1:37" ht="16.95" customHeight="1">
      <c r="A1961" s="152" t="s">
        <v>3631</v>
      </c>
      <c r="B1961" s="153">
        <v>712</v>
      </c>
      <c r="C1961" s="126" t="s">
        <v>1770</v>
      </c>
      <c r="D1961">
        <v>1336</v>
      </c>
      <c r="E1961" s="126" t="s">
        <v>1624</v>
      </c>
      <c r="F1961" s="125" t="s">
        <v>1607</v>
      </c>
      <c r="G1961" s="125" t="s">
        <v>134</v>
      </c>
      <c r="H1961">
        <v>46</v>
      </c>
      <c r="I1961" s="125" t="s">
        <v>1546</v>
      </c>
      <c r="J1961" s="308" t="s">
        <v>214</v>
      </c>
      <c r="K1961" s="127" t="s">
        <v>3418</v>
      </c>
      <c r="L1961" s="153" t="s">
        <v>1579</v>
      </c>
      <c r="M1961">
        <v>58</v>
      </c>
      <c r="N1961" s="123">
        <v>17</v>
      </c>
      <c r="O1961">
        <v>1319</v>
      </c>
      <c r="P1961" s="132" t="s">
        <v>77</v>
      </c>
      <c r="Q1961" s="132">
        <v>3463.72</v>
      </c>
      <c r="R1961" s="132">
        <v>420.46</v>
      </c>
      <c r="S1961" s="132"/>
      <c r="T1961" s="156"/>
      <c r="U1961" s="132"/>
      <c r="V1961" s="132">
        <f t="shared" si="47"/>
        <v>3884.18</v>
      </c>
      <c r="W1961">
        <v>225</v>
      </c>
      <c r="X1961" s="153" t="s">
        <v>1644</v>
      </c>
      <c r="Y1961" s="124" t="s">
        <v>55</v>
      </c>
      <c r="Z1961" s="308" t="s">
        <v>214</v>
      </c>
      <c r="AB1961" t="str">
        <f>IF(Table1[[#This Row],[TIPO2]]="costo", VLOOKUP(Table1[[#This Row],[PARTIDA PRESUPUESTAL]],'Cost Report'!G:G,1,0),"Balance")</f>
        <v>3901-038</v>
      </c>
      <c r="AC1961" s="118"/>
      <c r="AD1961" s="159">
        <f>+Table1[[#This Row],[SUBTOTAL]]+Table1[[#This Row],[IVA]]-Table1[[#This Row],[RET IVA]]-Table1[[#This Row],[RET ISR]]-Table1[[#This Row],[TOTAL]]</f>
        <v>0</v>
      </c>
      <c r="AE1961" s="152"/>
      <c r="AF1961" s="153"/>
      <c r="AG1961" s="126" t="s">
        <v>3420</v>
      </c>
      <c r="AK1961" s="306" t="str">
        <f>IF(ISNUMBER(Table1[[#This Row],[FECHA DE RECIBIDO]]), Table1[[#This Row],[FECHA DE RECIBIDO]]-DATE(2023,8,30), "")</f>
        <v/>
      </c>
    </row>
    <row r="1962" spans="1:37" ht="16.95" customHeight="1">
      <c r="A1962" s="150" t="s">
        <v>3631</v>
      </c>
      <c r="B1962" s="151">
        <v>712</v>
      </c>
      <c r="C1962" s="126" t="s">
        <v>1767</v>
      </c>
      <c r="D1962">
        <v>1337</v>
      </c>
      <c r="E1962" s="126" t="s">
        <v>1624</v>
      </c>
      <c r="F1962" s="122" t="s">
        <v>1607</v>
      </c>
      <c r="G1962" s="122" t="s">
        <v>134</v>
      </c>
      <c r="H1962">
        <v>46</v>
      </c>
      <c r="I1962" s="122" t="s">
        <v>1546</v>
      </c>
      <c r="J1962" s="307" t="s">
        <v>214</v>
      </c>
      <c r="K1962" s="127" t="s">
        <v>3418</v>
      </c>
      <c r="L1962" s="151" t="s">
        <v>1579</v>
      </c>
      <c r="M1962">
        <v>58</v>
      </c>
      <c r="N1962" s="123">
        <v>17</v>
      </c>
      <c r="O1962">
        <v>1320</v>
      </c>
      <c r="P1962" s="132" t="s">
        <v>77</v>
      </c>
      <c r="Q1962" s="131">
        <v>8072</v>
      </c>
      <c r="R1962" s="131">
        <v>933</v>
      </c>
      <c r="S1962" s="131"/>
      <c r="T1962" s="155"/>
      <c r="U1962" s="131"/>
      <c r="V1962" s="131">
        <f t="shared" si="47"/>
        <v>9005</v>
      </c>
      <c r="W1962">
        <v>225</v>
      </c>
      <c r="X1962" s="151" t="s">
        <v>1644</v>
      </c>
      <c r="Y1962" s="135" t="s">
        <v>55</v>
      </c>
      <c r="Z1962" s="307">
        <v>127</v>
      </c>
      <c r="AB1962" t="str">
        <f>IF(Table1[[#This Row],[TIPO2]]="costo", VLOOKUP(Table1[[#This Row],[PARTIDA PRESUPUESTAL]],'Cost Report'!G:G,1,0),"Balance")</f>
        <v>3901-033</v>
      </c>
      <c r="AC1962" s="118"/>
      <c r="AD1962" s="159">
        <f>+Table1[[#This Row],[SUBTOTAL]]+Table1[[#This Row],[IVA]]-Table1[[#This Row],[RET IVA]]-Table1[[#This Row],[RET ISR]]-Table1[[#This Row],[TOTAL]]</f>
        <v>0</v>
      </c>
      <c r="AE1962" s="150"/>
      <c r="AF1962" s="151"/>
      <c r="AG1962" s="126" t="s">
        <v>3420</v>
      </c>
      <c r="AK1962" s="306" t="str">
        <f>IF(ISNUMBER(Table1[[#This Row],[FECHA DE RECIBIDO]]), Table1[[#This Row],[FECHA DE RECIBIDO]]-DATE(2023,8,30), "")</f>
        <v/>
      </c>
    </row>
    <row r="1963" spans="1:37" ht="16.95" customHeight="1">
      <c r="A1963" s="152" t="s">
        <v>3631</v>
      </c>
      <c r="B1963" s="153">
        <v>712</v>
      </c>
      <c r="C1963" s="126" t="s">
        <v>2352</v>
      </c>
      <c r="D1963">
        <v>1338</v>
      </c>
      <c r="E1963" s="126" t="s">
        <v>2067</v>
      </c>
      <c r="F1963" s="125" t="s">
        <v>1607</v>
      </c>
      <c r="G1963" s="125" t="s">
        <v>134</v>
      </c>
      <c r="H1963">
        <v>136</v>
      </c>
      <c r="I1963" s="125" t="s">
        <v>1546</v>
      </c>
      <c r="J1963" s="308" t="s">
        <v>214</v>
      </c>
      <c r="K1963" s="127" t="s">
        <v>3418</v>
      </c>
      <c r="L1963" s="153" t="s">
        <v>1579</v>
      </c>
      <c r="M1963">
        <v>178</v>
      </c>
      <c r="N1963" s="123">
        <v>17</v>
      </c>
      <c r="O1963">
        <v>1321</v>
      </c>
      <c r="P1963" s="132" t="s">
        <v>77</v>
      </c>
      <c r="Q1963" s="132">
        <v>6966.1</v>
      </c>
      <c r="R1963" s="132">
        <v>938.9</v>
      </c>
      <c r="S1963" s="132"/>
      <c r="T1963" s="156"/>
      <c r="U1963" s="132"/>
      <c r="V1963" s="132">
        <f t="shared" si="47"/>
        <v>7905</v>
      </c>
      <c r="W1963">
        <v>225</v>
      </c>
      <c r="X1963" s="153" t="s">
        <v>1644</v>
      </c>
      <c r="Y1963" s="124" t="s">
        <v>55</v>
      </c>
      <c r="Z1963" s="308">
        <v>187</v>
      </c>
      <c r="AB1963" t="str">
        <f>IF(Table1[[#This Row],[TIPO2]]="costo", VLOOKUP(Table1[[#This Row],[PARTIDA PRESUPUESTAL]],'Cost Report'!G:G,1,0),"Balance")</f>
        <v>1640-009</v>
      </c>
      <c r="AC1963" s="118"/>
      <c r="AD1963" s="159">
        <f>+Table1[[#This Row],[SUBTOTAL]]+Table1[[#This Row],[IVA]]-Table1[[#This Row],[RET IVA]]-Table1[[#This Row],[RET ISR]]-Table1[[#This Row],[TOTAL]]</f>
        <v>0</v>
      </c>
      <c r="AE1963" s="152"/>
      <c r="AF1963" s="153"/>
      <c r="AG1963" s="126" t="s">
        <v>3420</v>
      </c>
      <c r="AK1963" s="306" t="str">
        <f>IF(ISNUMBER(Table1[[#This Row],[FECHA DE RECIBIDO]]), Table1[[#This Row],[FECHA DE RECIBIDO]]-DATE(2023,8,30), "")</f>
        <v/>
      </c>
    </row>
    <row r="1964" spans="1:37" ht="16.95" customHeight="1">
      <c r="A1964" s="150" t="s">
        <v>3631</v>
      </c>
      <c r="B1964" s="151">
        <v>712</v>
      </c>
      <c r="C1964" s="126" t="s">
        <v>2352</v>
      </c>
      <c r="D1964">
        <v>1339</v>
      </c>
      <c r="E1964" s="126" t="s">
        <v>1624</v>
      </c>
      <c r="F1964" s="122" t="s">
        <v>1607</v>
      </c>
      <c r="G1964" s="122" t="s">
        <v>134</v>
      </c>
      <c r="H1964">
        <v>46</v>
      </c>
      <c r="I1964" s="122" t="s">
        <v>1546</v>
      </c>
      <c r="J1964" s="307" t="s">
        <v>214</v>
      </c>
      <c r="K1964" s="127" t="s">
        <v>3418</v>
      </c>
      <c r="L1964" s="151" t="s">
        <v>1579</v>
      </c>
      <c r="M1964">
        <v>58</v>
      </c>
      <c r="N1964" s="123">
        <v>17</v>
      </c>
      <c r="O1964">
        <v>1322</v>
      </c>
      <c r="P1964" s="132" t="s">
        <v>77</v>
      </c>
      <c r="Q1964" s="131">
        <v>3730.64</v>
      </c>
      <c r="R1964" s="131">
        <v>418.96</v>
      </c>
      <c r="S1964" s="131"/>
      <c r="T1964" s="155"/>
      <c r="U1964" s="131"/>
      <c r="V1964" s="131">
        <f t="shared" si="47"/>
        <v>4149.5999999999995</v>
      </c>
      <c r="W1964">
        <v>225</v>
      </c>
      <c r="X1964" s="151" t="s">
        <v>1644</v>
      </c>
      <c r="Y1964" s="135" t="s">
        <v>55</v>
      </c>
      <c r="Z1964" s="307">
        <v>158</v>
      </c>
      <c r="AB1964" t="str">
        <f>IF(Table1[[#This Row],[TIPO2]]="costo", VLOOKUP(Table1[[#This Row],[PARTIDA PRESUPUESTAL]],'Cost Report'!G:G,1,0),"Balance")</f>
        <v>1640-009</v>
      </c>
      <c r="AC1964" s="118"/>
      <c r="AD1964" s="159">
        <f>+Table1[[#This Row],[SUBTOTAL]]+Table1[[#This Row],[IVA]]-Table1[[#This Row],[RET IVA]]-Table1[[#This Row],[RET ISR]]-Table1[[#This Row],[TOTAL]]</f>
        <v>0</v>
      </c>
      <c r="AE1964" s="150"/>
      <c r="AF1964" s="151"/>
      <c r="AG1964" s="126" t="s">
        <v>3420</v>
      </c>
      <c r="AK1964" s="306" t="str">
        <f>IF(ISNUMBER(Table1[[#This Row],[FECHA DE RECIBIDO]]), Table1[[#This Row],[FECHA DE RECIBIDO]]-DATE(2023,8,30), "")</f>
        <v/>
      </c>
    </row>
    <row r="1965" spans="1:37" ht="16.95" customHeight="1">
      <c r="A1965" s="152" t="s">
        <v>3631</v>
      </c>
      <c r="B1965" s="153">
        <v>712</v>
      </c>
      <c r="C1965" s="126" t="s">
        <v>4210</v>
      </c>
      <c r="D1965">
        <v>1340</v>
      </c>
      <c r="E1965" s="126" t="s">
        <v>2075</v>
      </c>
      <c r="F1965" s="125" t="s">
        <v>2062</v>
      </c>
      <c r="G1965" s="125" t="s">
        <v>134</v>
      </c>
      <c r="H1965">
        <v>146</v>
      </c>
      <c r="I1965" s="125" t="s">
        <v>1546</v>
      </c>
      <c r="J1965" s="308" t="s">
        <v>214</v>
      </c>
      <c r="K1965" s="127" t="s">
        <v>3418</v>
      </c>
      <c r="L1965" s="153" t="s">
        <v>1579</v>
      </c>
      <c r="M1965">
        <v>560</v>
      </c>
      <c r="N1965" s="123">
        <v>17</v>
      </c>
      <c r="O1965">
        <v>1323</v>
      </c>
      <c r="P1965" s="132" t="s">
        <v>77</v>
      </c>
      <c r="Q1965" s="132">
        <v>1017.24</v>
      </c>
      <c r="R1965" s="132">
        <v>162.76</v>
      </c>
      <c r="S1965" s="132"/>
      <c r="T1965" s="156"/>
      <c r="U1965" s="132"/>
      <c r="V1965" s="132">
        <f t="shared" si="47"/>
        <v>1180</v>
      </c>
      <c r="W1965">
        <v>225</v>
      </c>
      <c r="X1965" s="153" t="s">
        <v>1644</v>
      </c>
      <c r="Y1965" s="124" t="s">
        <v>55</v>
      </c>
      <c r="Z1965" s="308">
        <v>187</v>
      </c>
      <c r="AB1965" t="str">
        <f>IF(Table1[[#This Row],[TIPO2]]="costo", VLOOKUP(Table1[[#This Row],[PARTIDA PRESUPUESTAL]],'Cost Report'!G:G,1,0),"Balance")</f>
        <v>3901-051</v>
      </c>
      <c r="AC1965" s="118"/>
      <c r="AD1965" s="159">
        <f>+Table1[[#This Row],[SUBTOTAL]]+Table1[[#This Row],[IVA]]-Table1[[#This Row],[RET IVA]]-Table1[[#This Row],[RET ISR]]-Table1[[#This Row],[TOTAL]]</f>
        <v>0</v>
      </c>
      <c r="AE1965" s="152"/>
      <c r="AF1965" s="153"/>
      <c r="AG1965" s="126" t="s">
        <v>3420</v>
      </c>
      <c r="AK1965" s="306" t="str">
        <f>IF(ISNUMBER(Table1[[#This Row],[FECHA DE RECIBIDO]]), Table1[[#This Row],[FECHA DE RECIBIDO]]-DATE(2023,8,30), "")</f>
        <v/>
      </c>
    </row>
    <row r="1966" spans="1:37" ht="16.95" customHeight="1">
      <c r="A1966" s="150" t="s">
        <v>3631</v>
      </c>
      <c r="B1966" s="151">
        <v>712</v>
      </c>
      <c r="C1966" s="126" t="s">
        <v>2953</v>
      </c>
      <c r="D1966">
        <v>1341</v>
      </c>
      <c r="E1966" s="126" t="s">
        <v>1624</v>
      </c>
      <c r="F1966" s="122" t="s">
        <v>1607</v>
      </c>
      <c r="G1966" s="122" t="s">
        <v>134</v>
      </c>
      <c r="H1966">
        <v>46</v>
      </c>
      <c r="I1966" s="122" t="s">
        <v>1546</v>
      </c>
      <c r="J1966" s="307" t="s">
        <v>214</v>
      </c>
      <c r="K1966" s="127" t="s">
        <v>3418</v>
      </c>
      <c r="L1966" s="151" t="s">
        <v>1579</v>
      </c>
      <c r="M1966">
        <v>58</v>
      </c>
      <c r="N1966" s="123">
        <v>17</v>
      </c>
      <c r="O1966">
        <v>1324</v>
      </c>
      <c r="P1966" s="132" t="s">
        <v>77</v>
      </c>
      <c r="Q1966" s="131">
        <v>1867.39</v>
      </c>
      <c r="R1966" s="131">
        <v>216.84</v>
      </c>
      <c r="S1966" s="131"/>
      <c r="T1966" s="155"/>
      <c r="U1966" s="131"/>
      <c r="V1966" s="131">
        <f t="shared" si="47"/>
        <v>2084.23</v>
      </c>
      <c r="W1966">
        <v>225</v>
      </c>
      <c r="X1966" s="151" t="s">
        <v>1644</v>
      </c>
      <c r="Y1966" s="135" t="s">
        <v>55</v>
      </c>
      <c r="Z1966" s="307">
        <v>218</v>
      </c>
      <c r="AB1966" t="str">
        <f>IF(Table1[[#This Row],[TIPO2]]="costo", VLOOKUP(Table1[[#This Row],[PARTIDA PRESUPUESTAL]],'Cost Report'!G:G,1,0),"Balance")</f>
        <v>3901-049</v>
      </c>
      <c r="AC1966" s="118"/>
      <c r="AD1966" s="159">
        <f>+Table1[[#This Row],[SUBTOTAL]]+Table1[[#This Row],[IVA]]-Table1[[#This Row],[RET IVA]]-Table1[[#This Row],[RET ISR]]-Table1[[#This Row],[TOTAL]]</f>
        <v>0</v>
      </c>
      <c r="AE1966" s="150"/>
      <c r="AF1966" s="151"/>
      <c r="AG1966" s="126" t="s">
        <v>3420</v>
      </c>
      <c r="AK1966" s="306" t="str">
        <f>IF(ISNUMBER(Table1[[#This Row],[FECHA DE RECIBIDO]]), Table1[[#This Row],[FECHA DE RECIBIDO]]-DATE(2023,8,30), "")</f>
        <v/>
      </c>
    </row>
    <row r="1967" spans="1:37" ht="16.95" customHeight="1">
      <c r="A1967" s="152" t="s">
        <v>3631</v>
      </c>
      <c r="B1967" s="153">
        <v>712</v>
      </c>
      <c r="C1967" s="126" t="s">
        <v>408</v>
      </c>
      <c r="D1967">
        <v>1342</v>
      </c>
      <c r="E1967" s="126" t="s">
        <v>1624</v>
      </c>
      <c r="F1967" s="125" t="s">
        <v>1607</v>
      </c>
      <c r="G1967" s="125" t="s">
        <v>134</v>
      </c>
      <c r="H1967">
        <v>46</v>
      </c>
      <c r="I1967" s="125" t="s">
        <v>1546</v>
      </c>
      <c r="J1967" s="308" t="s">
        <v>214</v>
      </c>
      <c r="K1967" s="127" t="s">
        <v>3418</v>
      </c>
      <c r="L1967" s="153" t="s">
        <v>1579</v>
      </c>
      <c r="M1967">
        <v>58</v>
      </c>
      <c r="N1967" s="123">
        <v>17</v>
      </c>
      <c r="O1967">
        <v>1325</v>
      </c>
      <c r="P1967" s="132" t="s">
        <v>77</v>
      </c>
      <c r="Q1967" s="132">
        <v>5510.81</v>
      </c>
      <c r="R1967" s="132">
        <v>703.79</v>
      </c>
      <c r="S1967" s="132"/>
      <c r="T1967" s="156"/>
      <c r="U1967" s="132"/>
      <c r="V1967" s="132">
        <f t="shared" si="47"/>
        <v>6214.6</v>
      </c>
      <c r="W1967">
        <v>225</v>
      </c>
      <c r="X1967" s="153" t="s">
        <v>1644</v>
      </c>
      <c r="Y1967" s="124" t="s">
        <v>55</v>
      </c>
      <c r="Z1967" s="308">
        <v>248</v>
      </c>
      <c r="AB1967" t="str">
        <f>IF(Table1[[#This Row],[TIPO2]]="costo", VLOOKUP(Table1[[#This Row],[PARTIDA PRESUPUESTAL]],'Cost Report'!G:G,1,0),"Balance")</f>
        <v>1630-011</v>
      </c>
      <c r="AC1967" s="118"/>
      <c r="AD1967" s="159">
        <f>+Table1[[#This Row],[SUBTOTAL]]+Table1[[#This Row],[IVA]]-Table1[[#This Row],[RET IVA]]-Table1[[#This Row],[RET ISR]]-Table1[[#This Row],[TOTAL]]</f>
        <v>0</v>
      </c>
      <c r="AE1967" s="152"/>
      <c r="AF1967" s="153"/>
      <c r="AG1967" s="126" t="s">
        <v>3420</v>
      </c>
      <c r="AK1967" s="306" t="str">
        <f>IF(ISNUMBER(Table1[[#This Row],[FECHA DE RECIBIDO]]), Table1[[#This Row],[FECHA DE RECIBIDO]]-DATE(2023,8,30), "")</f>
        <v/>
      </c>
    </row>
    <row r="1968" spans="1:37" ht="16.95" customHeight="1">
      <c r="A1968" s="150" t="s">
        <v>3631</v>
      </c>
      <c r="B1968" s="151">
        <v>712</v>
      </c>
      <c r="C1968" s="126" t="s">
        <v>1767</v>
      </c>
      <c r="D1968">
        <v>1343</v>
      </c>
      <c r="E1968" s="126" t="s">
        <v>1624</v>
      </c>
      <c r="F1968" s="122" t="s">
        <v>1607</v>
      </c>
      <c r="G1968" s="122" t="s">
        <v>134</v>
      </c>
      <c r="H1968">
        <v>46</v>
      </c>
      <c r="I1968" s="122" t="s">
        <v>1546</v>
      </c>
      <c r="J1968" s="307" t="s">
        <v>214</v>
      </c>
      <c r="K1968" s="127" t="s">
        <v>3418</v>
      </c>
      <c r="L1968" s="151" t="s">
        <v>1579</v>
      </c>
      <c r="M1968">
        <v>58</v>
      </c>
      <c r="N1968" s="123">
        <v>17</v>
      </c>
      <c r="O1968">
        <v>1326</v>
      </c>
      <c r="P1968" s="132" t="s">
        <v>77</v>
      </c>
      <c r="Q1968" s="131">
        <v>3259.78</v>
      </c>
      <c r="R1968" s="131">
        <v>357.68</v>
      </c>
      <c r="S1968" s="131"/>
      <c r="T1968" s="155"/>
      <c r="U1968" s="131"/>
      <c r="V1968" s="131">
        <f t="shared" si="47"/>
        <v>3617.46</v>
      </c>
      <c r="W1968">
        <v>225</v>
      </c>
      <c r="X1968" s="151" t="s">
        <v>1644</v>
      </c>
      <c r="Y1968" s="135" t="s">
        <v>55</v>
      </c>
      <c r="Z1968" s="307">
        <v>248</v>
      </c>
      <c r="AB1968" t="str">
        <f>IF(Table1[[#This Row],[TIPO2]]="costo", VLOOKUP(Table1[[#This Row],[PARTIDA PRESUPUESTAL]],'Cost Report'!G:G,1,0),"Balance")</f>
        <v>3901-033</v>
      </c>
      <c r="AC1968" s="118"/>
      <c r="AD1968" s="159">
        <f>+Table1[[#This Row],[SUBTOTAL]]+Table1[[#This Row],[IVA]]-Table1[[#This Row],[RET IVA]]-Table1[[#This Row],[RET ISR]]-Table1[[#This Row],[TOTAL]]</f>
        <v>0</v>
      </c>
      <c r="AE1968" s="150"/>
      <c r="AF1968" s="151"/>
      <c r="AG1968" s="126" t="s">
        <v>3420</v>
      </c>
      <c r="AK1968" s="306" t="str">
        <f>IF(ISNUMBER(Table1[[#This Row],[FECHA DE RECIBIDO]]), Table1[[#This Row],[FECHA DE RECIBIDO]]-DATE(2023,8,30), "")</f>
        <v/>
      </c>
    </row>
    <row r="1969" spans="1:37" ht="16.95" customHeight="1">
      <c r="A1969" s="152" t="s">
        <v>3631</v>
      </c>
      <c r="B1969" s="153">
        <v>712</v>
      </c>
      <c r="C1969" s="126" t="s">
        <v>1770</v>
      </c>
      <c r="D1969">
        <v>1344</v>
      </c>
      <c r="E1969" s="126" t="s">
        <v>1624</v>
      </c>
      <c r="F1969" s="125" t="s">
        <v>1607</v>
      </c>
      <c r="G1969" s="125" t="s">
        <v>134</v>
      </c>
      <c r="H1969">
        <v>46</v>
      </c>
      <c r="I1969" s="125" t="s">
        <v>1546</v>
      </c>
      <c r="J1969" s="308" t="s">
        <v>214</v>
      </c>
      <c r="K1969" s="127" t="s">
        <v>3418</v>
      </c>
      <c r="L1969" s="153" t="s">
        <v>1579</v>
      </c>
      <c r="M1969">
        <v>58</v>
      </c>
      <c r="N1969" s="123">
        <v>17</v>
      </c>
      <c r="O1969">
        <v>1327</v>
      </c>
      <c r="P1969" s="132" t="s">
        <v>77</v>
      </c>
      <c r="Q1969" s="132">
        <v>9812.44</v>
      </c>
      <c r="R1969" s="132">
        <v>1214.0999999999999</v>
      </c>
      <c r="S1969" s="132"/>
      <c r="T1969" s="156"/>
      <c r="U1969" s="132"/>
      <c r="V1969" s="132">
        <f t="shared" si="47"/>
        <v>11026.54</v>
      </c>
      <c r="W1969">
        <v>225</v>
      </c>
      <c r="X1969" s="153" t="s">
        <v>1644</v>
      </c>
      <c r="Y1969" s="124" t="s">
        <v>55</v>
      </c>
      <c r="Z1969" s="308">
        <v>248</v>
      </c>
      <c r="AB1969" t="str">
        <f>IF(Table1[[#This Row],[TIPO2]]="costo", VLOOKUP(Table1[[#This Row],[PARTIDA PRESUPUESTAL]],'Cost Report'!G:G,1,0),"Balance")</f>
        <v>3901-038</v>
      </c>
      <c r="AC1969" s="118"/>
      <c r="AD1969" s="159">
        <f>+Table1[[#This Row],[SUBTOTAL]]+Table1[[#This Row],[IVA]]-Table1[[#This Row],[RET IVA]]-Table1[[#This Row],[RET ISR]]-Table1[[#This Row],[TOTAL]]</f>
        <v>0</v>
      </c>
      <c r="AE1969" s="152"/>
      <c r="AF1969" s="153"/>
      <c r="AG1969" s="126" t="s">
        <v>3420</v>
      </c>
      <c r="AK1969" s="306" t="str">
        <f>IF(ISNUMBER(Table1[[#This Row],[FECHA DE RECIBIDO]]), Table1[[#This Row],[FECHA DE RECIBIDO]]-DATE(2023,8,30), "")</f>
        <v/>
      </c>
    </row>
    <row r="1970" spans="1:37" ht="16.95" customHeight="1">
      <c r="A1970" s="150" t="s">
        <v>3631</v>
      </c>
      <c r="B1970" s="151">
        <v>712</v>
      </c>
      <c r="C1970" s="126" t="s">
        <v>4210</v>
      </c>
      <c r="D1970">
        <v>1345</v>
      </c>
      <c r="E1970" s="126" t="s">
        <v>2075</v>
      </c>
      <c r="F1970" s="122" t="s">
        <v>2062</v>
      </c>
      <c r="G1970" s="122" t="s">
        <v>134</v>
      </c>
      <c r="H1970">
        <v>146</v>
      </c>
      <c r="I1970" s="122" t="s">
        <v>1546</v>
      </c>
      <c r="J1970" s="307" t="s">
        <v>214</v>
      </c>
      <c r="K1970" s="127" t="s">
        <v>3418</v>
      </c>
      <c r="L1970" s="151" t="s">
        <v>1579</v>
      </c>
      <c r="M1970">
        <v>560</v>
      </c>
      <c r="N1970" s="123">
        <v>17</v>
      </c>
      <c r="O1970">
        <v>1328</v>
      </c>
      <c r="P1970" s="132" t="s">
        <v>77</v>
      </c>
      <c r="Q1970" s="131">
        <v>913.79</v>
      </c>
      <c r="R1970" s="131">
        <v>146.21</v>
      </c>
      <c r="S1970" s="131"/>
      <c r="T1970" s="155"/>
      <c r="U1970" s="131"/>
      <c r="V1970" s="131">
        <f t="shared" si="47"/>
        <v>1060</v>
      </c>
      <c r="W1970">
        <v>225</v>
      </c>
      <c r="X1970" s="151" t="s">
        <v>1644</v>
      </c>
      <c r="Y1970" s="135" t="s">
        <v>55</v>
      </c>
      <c r="Z1970" s="307">
        <v>248</v>
      </c>
      <c r="AB1970" t="str">
        <f>IF(Table1[[#This Row],[TIPO2]]="costo", VLOOKUP(Table1[[#This Row],[PARTIDA PRESUPUESTAL]],'Cost Report'!G:G,1,0),"Balance")</f>
        <v>3901-051</v>
      </c>
      <c r="AC1970" s="118"/>
      <c r="AD1970" s="159">
        <f>+Table1[[#This Row],[SUBTOTAL]]+Table1[[#This Row],[IVA]]-Table1[[#This Row],[RET IVA]]-Table1[[#This Row],[RET ISR]]-Table1[[#This Row],[TOTAL]]</f>
        <v>0</v>
      </c>
      <c r="AE1970" s="150"/>
      <c r="AF1970" s="151"/>
      <c r="AG1970" s="126" t="s">
        <v>3420</v>
      </c>
      <c r="AK1970" s="306" t="str">
        <f>IF(ISNUMBER(Table1[[#This Row],[FECHA DE RECIBIDO]]), Table1[[#This Row],[FECHA DE RECIBIDO]]-DATE(2023,8,30), "")</f>
        <v/>
      </c>
    </row>
    <row r="1971" spans="1:37" ht="16.95" customHeight="1">
      <c r="A1971" s="152" t="s">
        <v>3631</v>
      </c>
      <c r="B1971" s="153">
        <v>712</v>
      </c>
      <c r="C1971" s="126" t="s">
        <v>4210</v>
      </c>
      <c r="D1971">
        <v>1346</v>
      </c>
      <c r="E1971" s="126" t="s">
        <v>3672</v>
      </c>
      <c r="F1971" s="125" t="s">
        <v>1607</v>
      </c>
      <c r="G1971" s="125" t="s">
        <v>134</v>
      </c>
      <c r="H1971">
        <v>421</v>
      </c>
      <c r="I1971" s="125" t="s">
        <v>1546</v>
      </c>
      <c r="J1971" s="308" t="s">
        <v>214</v>
      </c>
      <c r="K1971" s="127" t="s">
        <v>3418</v>
      </c>
      <c r="L1971" s="153" t="s">
        <v>1579</v>
      </c>
      <c r="M1971">
        <v>561</v>
      </c>
      <c r="N1971" s="123">
        <v>17</v>
      </c>
      <c r="O1971">
        <v>1329</v>
      </c>
      <c r="P1971" s="132" t="s">
        <v>77</v>
      </c>
      <c r="Q1971" s="132">
        <v>1120.69</v>
      </c>
      <c r="R1971" s="132">
        <v>179.31</v>
      </c>
      <c r="S1971" s="132"/>
      <c r="T1971" s="156"/>
      <c r="U1971" s="132"/>
      <c r="V1971" s="132">
        <f t="shared" si="47"/>
        <v>1300</v>
      </c>
      <c r="W1971">
        <v>225</v>
      </c>
      <c r="X1971" s="153" t="s">
        <v>1644</v>
      </c>
      <c r="Y1971" s="124" t="s">
        <v>55</v>
      </c>
      <c r="Z1971" s="308">
        <v>248</v>
      </c>
      <c r="AB1971" t="str">
        <f>IF(Table1[[#This Row],[TIPO2]]="costo", VLOOKUP(Table1[[#This Row],[PARTIDA PRESUPUESTAL]],'Cost Report'!G:G,1,0),"Balance")</f>
        <v>3901-051</v>
      </c>
      <c r="AC1971" s="118"/>
      <c r="AD1971" s="159">
        <f>+Table1[[#This Row],[SUBTOTAL]]+Table1[[#This Row],[IVA]]-Table1[[#This Row],[RET IVA]]-Table1[[#This Row],[RET ISR]]-Table1[[#This Row],[TOTAL]]</f>
        <v>0</v>
      </c>
      <c r="AE1971" s="152"/>
      <c r="AF1971" s="153"/>
      <c r="AG1971" s="126" t="s">
        <v>3420</v>
      </c>
      <c r="AK1971" s="306" t="str">
        <f>IF(ISNUMBER(Table1[[#This Row],[FECHA DE RECIBIDO]]), Table1[[#This Row],[FECHA DE RECIBIDO]]-DATE(2023,8,30), "")</f>
        <v/>
      </c>
    </row>
    <row r="1972" spans="1:37" ht="16.95" customHeight="1">
      <c r="A1972" s="150" t="s">
        <v>3631</v>
      </c>
      <c r="B1972" s="151">
        <v>712</v>
      </c>
      <c r="C1972" s="126" t="s">
        <v>2352</v>
      </c>
      <c r="D1972">
        <v>1347</v>
      </c>
      <c r="E1972" s="126" t="s">
        <v>1624</v>
      </c>
      <c r="F1972" s="122" t="s">
        <v>1607</v>
      </c>
      <c r="G1972" s="122" t="s">
        <v>134</v>
      </c>
      <c r="H1972">
        <v>46</v>
      </c>
      <c r="I1972" s="122" t="s">
        <v>1546</v>
      </c>
      <c r="J1972" s="307" t="s">
        <v>214</v>
      </c>
      <c r="K1972" s="127" t="s">
        <v>3418</v>
      </c>
      <c r="L1972" s="151" t="s">
        <v>1579</v>
      </c>
      <c r="M1972">
        <v>58</v>
      </c>
      <c r="N1972" s="123">
        <v>17</v>
      </c>
      <c r="O1972">
        <v>1330</v>
      </c>
      <c r="P1972" s="132" t="s">
        <v>77</v>
      </c>
      <c r="Q1972" s="131">
        <v>1322.56</v>
      </c>
      <c r="R1972" s="131">
        <v>211.61</v>
      </c>
      <c r="S1972" s="131"/>
      <c r="T1972" s="155"/>
      <c r="U1972" s="131"/>
      <c r="V1972" s="131">
        <f t="shared" si="47"/>
        <v>1534.17</v>
      </c>
      <c r="W1972">
        <v>225</v>
      </c>
      <c r="X1972" s="151" t="s">
        <v>1644</v>
      </c>
      <c r="Y1972" s="135" t="s">
        <v>55</v>
      </c>
      <c r="Z1972" s="307">
        <v>401</v>
      </c>
      <c r="AB1972" t="str">
        <f>IF(Table1[[#This Row],[TIPO2]]="costo", VLOOKUP(Table1[[#This Row],[PARTIDA PRESUPUESTAL]],'Cost Report'!G:G,1,0),"Balance")</f>
        <v>1640-009</v>
      </c>
      <c r="AC1972" s="118"/>
      <c r="AD1972" s="159">
        <f>+Table1[[#This Row],[SUBTOTAL]]+Table1[[#This Row],[IVA]]-Table1[[#This Row],[RET IVA]]-Table1[[#This Row],[RET ISR]]-Table1[[#This Row],[TOTAL]]</f>
        <v>0</v>
      </c>
      <c r="AE1972" s="150"/>
      <c r="AF1972" s="151"/>
      <c r="AG1972" s="126" t="s">
        <v>3420</v>
      </c>
      <c r="AK1972" s="306" t="str">
        <f>IF(ISNUMBER(Table1[[#This Row],[FECHA DE RECIBIDO]]), Table1[[#This Row],[FECHA DE RECIBIDO]]-DATE(2023,8,30), "")</f>
        <v/>
      </c>
    </row>
    <row r="1973" spans="1:37" ht="16.95" customHeight="1">
      <c r="A1973" s="152" t="s">
        <v>3631</v>
      </c>
      <c r="B1973" s="153">
        <v>712</v>
      </c>
      <c r="C1973" s="126" t="s">
        <v>2352</v>
      </c>
      <c r="D1973">
        <v>1348</v>
      </c>
      <c r="E1973" s="126" t="s">
        <v>1624</v>
      </c>
      <c r="F1973" s="125" t="s">
        <v>1607</v>
      </c>
      <c r="G1973" s="125" t="s">
        <v>134</v>
      </c>
      <c r="H1973">
        <v>46</v>
      </c>
      <c r="I1973" s="125" t="s">
        <v>1546</v>
      </c>
      <c r="J1973" s="308" t="s">
        <v>214</v>
      </c>
      <c r="K1973" s="127" t="s">
        <v>3418</v>
      </c>
      <c r="L1973" s="153" t="s">
        <v>1579</v>
      </c>
      <c r="M1973">
        <v>58</v>
      </c>
      <c r="N1973" s="123">
        <v>17</v>
      </c>
      <c r="O1973">
        <v>1331</v>
      </c>
      <c r="P1973" s="132" t="s">
        <v>77</v>
      </c>
      <c r="Q1973" s="132">
        <v>816.27</v>
      </c>
      <c r="R1973" s="132">
        <v>130.6</v>
      </c>
      <c r="S1973" s="132"/>
      <c r="T1973" s="156"/>
      <c r="U1973" s="132"/>
      <c r="V1973" s="132">
        <f t="shared" si="47"/>
        <v>946.87</v>
      </c>
      <c r="W1973">
        <v>225</v>
      </c>
      <c r="X1973" s="153" t="s">
        <v>1644</v>
      </c>
      <c r="Y1973" s="124" t="s">
        <v>55</v>
      </c>
      <c r="Z1973" s="308">
        <v>401</v>
      </c>
      <c r="AB1973" t="str">
        <f>IF(Table1[[#This Row],[TIPO2]]="costo", VLOOKUP(Table1[[#This Row],[PARTIDA PRESUPUESTAL]],'Cost Report'!G:G,1,0),"Balance")</f>
        <v>1640-009</v>
      </c>
      <c r="AC1973" s="118"/>
      <c r="AD1973" s="159">
        <f>+Table1[[#This Row],[SUBTOTAL]]+Table1[[#This Row],[IVA]]-Table1[[#This Row],[RET IVA]]-Table1[[#This Row],[RET ISR]]-Table1[[#This Row],[TOTAL]]</f>
        <v>0</v>
      </c>
      <c r="AE1973" s="152"/>
      <c r="AF1973" s="153"/>
      <c r="AG1973" s="126" t="s">
        <v>3420</v>
      </c>
      <c r="AK1973" s="306" t="str">
        <f>IF(ISNUMBER(Table1[[#This Row],[FECHA DE RECIBIDO]]), Table1[[#This Row],[FECHA DE RECIBIDO]]-DATE(2023,8,30), "")</f>
        <v/>
      </c>
    </row>
    <row r="1974" spans="1:37" ht="16.95" customHeight="1">
      <c r="A1974" s="150" t="s">
        <v>3631</v>
      </c>
      <c r="B1974" s="151">
        <v>712</v>
      </c>
      <c r="C1974" s="126" t="s">
        <v>2352</v>
      </c>
      <c r="D1974">
        <v>1349</v>
      </c>
      <c r="E1974" s="126" t="s">
        <v>1624</v>
      </c>
      <c r="F1974" s="122" t="s">
        <v>1607</v>
      </c>
      <c r="G1974" s="122" t="s">
        <v>134</v>
      </c>
      <c r="H1974">
        <v>46</v>
      </c>
      <c r="I1974" s="122" t="s">
        <v>1546</v>
      </c>
      <c r="J1974" s="307" t="s">
        <v>214</v>
      </c>
      <c r="K1974" s="127" t="s">
        <v>3418</v>
      </c>
      <c r="L1974" s="151" t="s">
        <v>1579</v>
      </c>
      <c r="M1974">
        <v>58</v>
      </c>
      <c r="N1974" s="123">
        <v>17</v>
      </c>
      <c r="O1974">
        <v>1332</v>
      </c>
      <c r="P1974" s="132" t="s">
        <v>77</v>
      </c>
      <c r="Q1974" s="131">
        <v>177.31</v>
      </c>
      <c r="R1974" s="131">
        <v>28.37</v>
      </c>
      <c r="S1974" s="131"/>
      <c r="T1974" s="155"/>
      <c r="U1974" s="131"/>
      <c r="V1974" s="131">
        <f t="shared" si="47"/>
        <v>205.68</v>
      </c>
      <c r="W1974">
        <v>225</v>
      </c>
      <c r="X1974" s="151" t="s">
        <v>1644</v>
      </c>
      <c r="Y1974" s="135" t="s">
        <v>55</v>
      </c>
      <c r="Z1974" s="307">
        <v>401</v>
      </c>
      <c r="AB1974" t="str">
        <f>IF(Table1[[#This Row],[TIPO2]]="costo", VLOOKUP(Table1[[#This Row],[PARTIDA PRESUPUESTAL]],'Cost Report'!G:G,1,0),"Balance")</f>
        <v>1640-009</v>
      </c>
      <c r="AC1974" s="118"/>
      <c r="AD1974" s="159">
        <f>+Table1[[#This Row],[SUBTOTAL]]+Table1[[#This Row],[IVA]]-Table1[[#This Row],[RET IVA]]-Table1[[#This Row],[RET ISR]]-Table1[[#This Row],[TOTAL]]</f>
        <v>0</v>
      </c>
      <c r="AE1974" s="150"/>
      <c r="AF1974" s="151"/>
      <c r="AG1974" s="126" t="s">
        <v>3420</v>
      </c>
      <c r="AK1974" s="306" t="str">
        <f>IF(ISNUMBER(Table1[[#This Row],[FECHA DE RECIBIDO]]), Table1[[#This Row],[FECHA DE RECIBIDO]]-DATE(2023,8,30), "")</f>
        <v/>
      </c>
    </row>
    <row r="1975" spans="1:37" ht="16.95" customHeight="1">
      <c r="A1975" s="152" t="s">
        <v>3632</v>
      </c>
      <c r="B1975" s="153">
        <v>713</v>
      </c>
      <c r="C1975" s="126" t="s">
        <v>2596</v>
      </c>
      <c r="D1975">
        <v>1350</v>
      </c>
      <c r="E1975" s="126" t="e">
        <v>#N/A</v>
      </c>
      <c r="F1975" s="125" t="e">
        <v>#N/A</v>
      </c>
      <c r="G1975" s="125" t="s">
        <v>134</v>
      </c>
      <c r="H1975">
        <v>36</v>
      </c>
      <c r="I1975" s="125" t="e">
        <v>#N/A</v>
      </c>
      <c r="J1975" s="308" t="s">
        <v>214</v>
      </c>
      <c r="K1975" s="127" t="s">
        <v>3418</v>
      </c>
      <c r="L1975" s="153" t="s">
        <v>1579</v>
      </c>
      <c r="M1975">
        <v>562</v>
      </c>
      <c r="N1975" s="123">
        <v>17</v>
      </c>
      <c r="O1975">
        <v>1333</v>
      </c>
      <c r="P1975" s="132" t="s">
        <v>77</v>
      </c>
      <c r="Q1975" s="132">
        <v>4474.1400000000003</v>
      </c>
      <c r="R1975" s="132">
        <v>715.86</v>
      </c>
      <c r="S1975" s="132"/>
      <c r="T1975" s="156"/>
      <c r="U1975" s="132"/>
      <c r="V1975" s="132">
        <f t="shared" si="47"/>
        <v>5190</v>
      </c>
      <c r="W1975">
        <v>61</v>
      </c>
      <c r="X1975" s="153" t="s">
        <v>1644</v>
      </c>
      <c r="Y1975" s="124" t="s">
        <v>55</v>
      </c>
      <c r="Z1975" s="308">
        <v>208</v>
      </c>
      <c r="AB1975" t="str">
        <f>IF(Table1[[#This Row],[TIPO2]]="costo", VLOOKUP(Table1[[#This Row],[PARTIDA PRESUPUESTAL]],'Cost Report'!G:G,1,0),"Balance")</f>
        <v>2794-003</v>
      </c>
      <c r="AC1975" s="118"/>
      <c r="AD1975" s="159">
        <f>+Table1[[#This Row],[SUBTOTAL]]+Table1[[#This Row],[IVA]]-Table1[[#This Row],[RET IVA]]-Table1[[#This Row],[RET ISR]]-Table1[[#This Row],[TOTAL]]</f>
        <v>0</v>
      </c>
      <c r="AE1975" s="152"/>
      <c r="AF1975" s="153"/>
      <c r="AG1975" s="126" t="s">
        <v>3420</v>
      </c>
      <c r="AK1975" s="306" t="str">
        <f>IF(ISNUMBER(Table1[[#This Row],[FECHA DE RECIBIDO]]), Table1[[#This Row],[FECHA DE RECIBIDO]]-DATE(2023,8,30), "")</f>
        <v/>
      </c>
    </row>
    <row r="1976" spans="1:37" ht="16.95" customHeight="1">
      <c r="A1976" s="150" t="s">
        <v>3632</v>
      </c>
      <c r="B1976" s="151">
        <v>713</v>
      </c>
      <c r="C1976" s="126" t="s">
        <v>2596</v>
      </c>
      <c r="D1976">
        <v>1351</v>
      </c>
      <c r="E1976" s="126" t="s">
        <v>2008</v>
      </c>
      <c r="F1976" s="122" t="s">
        <v>1607</v>
      </c>
      <c r="G1976" s="122" t="s">
        <v>134</v>
      </c>
      <c r="H1976">
        <v>102</v>
      </c>
      <c r="I1976" s="122" t="s">
        <v>1546</v>
      </c>
      <c r="J1976" s="307" t="s">
        <v>214</v>
      </c>
      <c r="K1976" s="127" t="s">
        <v>3418</v>
      </c>
      <c r="L1976" s="151" t="s">
        <v>1579</v>
      </c>
      <c r="M1976">
        <v>137</v>
      </c>
      <c r="N1976" s="123">
        <v>17</v>
      </c>
      <c r="O1976">
        <v>1334</v>
      </c>
      <c r="P1976" s="132" t="s">
        <v>77</v>
      </c>
      <c r="Q1976" s="131">
        <v>2239.65</v>
      </c>
      <c r="R1976" s="131">
        <v>358.35</v>
      </c>
      <c r="S1976" s="131"/>
      <c r="T1976" s="155"/>
      <c r="U1976" s="131"/>
      <c r="V1976" s="131">
        <f t="shared" si="47"/>
        <v>2598</v>
      </c>
      <c r="W1976">
        <v>61</v>
      </c>
      <c r="X1976" s="151" t="s">
        <v>1644</v>
      </c>
      <c r="Y1976" s="135" t="s">
        <v>55</v>
      </c>
      <c r="Z1976" s="307">
        <v>208</v>
      </c>
      <c r="AB1976" t="str">
        <f>IF(Table1[[#This Row],[TIPO2]]="costo", VLOOKUP(Table1[[#This Row],[PARTIDA PRESUPUESTAL]],'Cost Report'!G:G,1,0),"Balance")</f>
        <v>2794-003</v>
      </c>
      <c r="AC1976" s="118"/>
      <c r="AD1976" s="159">
        <f>+Table1[[#This Row],[SUBTOTAL]]+Table1[[#This Row],[IVA]]-Table1[[#This Row],[RET IVA]]-Table1[[#This Row],[RET ISR]]-Table1[[#This Row],[TOTAL]]</f>
        <v>0</v>
      </c>
      <c r="AE1976" s="150"/>
      <c r="AF1976" s="151"/>
      <c r="AG1976" s="126" t="s">
        <v>3420</v>
      </c>
      <c r="AK1976" s="306" t="str">
        <f>IF(ISNUMBER(Table1[[#This Row],[FECHA DE RECIBIDO]]), Table1[[#This Row],[FECHA DE RECIBIDO]]-DATE(2023,8,30), "")</f>
        <v/>
      </c>
    </row>
    <row r="1977" spans="1:37" ht="16.95" customHeight="1">
      <c r="A1977" s="152" t="s">
        <v>3632</v>
      </c>
      <c r="B1977" s="153">
        <v>713</v>
      </c>
      <c r="C1977" s="126" t="s">
        <v>2596</v>
      </c>
      <c r="D1977">
        <v>1352</v>
      </c>
      <c r="E1977" s="126" t="s">
        <v>1598</v>
      </c>
      <c r="F1977" s="125" t="s">
        <v>1607</v>
      </c>
      <c r="G1977" s="125" t="s">
        <v>134</v>
      </c>
      <c r="H1977">
        <v>150</v>
      </c>
      <c r="I1977" s="125" t="s">
        <v>1546</v>
      </c>
      <c r="J1977" s="308" t="s">
        <v>214</v>
      </c>
      <c r="K1977" s="127" t="s">
        <v>3418</v>
      </c>
      <c r="L1977" s="153" t="s">
        <v>1579</v>
      </c>
      <c r="M1977">
        <v>208</v>
      </c>
      <c r="N1977" s="123">
        <v>17</v>
      </c>
      <c r="O1977">
        <v>1335</v>
      </c>
      <c r="P1977" s="132" t="s">
        <v>77</v>
      </c>
      <c r="Q1977" s="132">
        <v>473.28</v>
      </c>
      <c r="R1977" s="132">
        <v>75.72</v>
      </c>
      <c r="S1977" s="132"/>
      <c r="T1977" s="156"/>
      <c r="U1977" s="132"/>
      <c r="V1977" s="132">
        <f t="shared" si="47"/>
        <v>549</v>
      </c>
      <c r="W1977">
        <v>61</v>
      </c>
      <c r="X1977" s="153" t="s">
        <v>1644</v>
      </c>
      <c r="Y1977" s="124" t="s">
        <v>55</v>
      </c>
      <c r="Z1977" s="308">
        <v>208</v>
      </c>
      <c r="AB1977" t="str">
        <f>IF(Table1[[#This Row],[TIPO2]]="costo", VLOOKUP(Table1[[#This Row],[PARTIDA PRESUPUESTAL]],'Cost Report'!G:G,1,0),"Balance")</f>
        <v>2794-003</v>
      </c>
      <c r="AC1977" s="118"/>
      <c r="AD1977" s="159">
        <f>+Table1[[#This Row],[SUBTOTAL]]+Table1[[#This Row],[IVA]]-Table1[[#This Row],[RET IVA]]-Table1[[#This Row],[RET ISR]]-Table1[[#This Row],[TOTAL]]</f>
        <v>0</v>
      </c>
      <c r="AE1977" s="152"/>
      <c r="AF1977" s="153"/>
      <c r="AG1977" s="126" t="s">
        <v>3420</v>
      </c>
      <c r="AK1977" s="306" t="str">
        <f>IF(ISNUMBER(Table1[[#This Row],[FECHA DE RECIBIDO]]), Table1[[#This Row],[FECHA DE RECIBIDO]]-DATE(2023,8,30), "")</f>
        <v/>
      </c>
    </row>
    <row r="1978" spans="1:37" ht="16.95" customHeight="1">
      <c r="A1978" s="150" t="s">
        <v>3632</v>
      </c>
      <c r="B1978" s="151">
        <v>713</v>
      </c>
      <c r="C1978" s="126" t="s">
        <v>2596</v>
      </c>
      <c r="D1978">
        <v>1353</v>
      </c>
      <c r="E1978" s="126" t="s">
        <v>1603</v>
      </c>
      <c r="F1978" s="122" t="s">
        <v>1607</v>
      </c>
      <c r="G1978" s="122" t="s">
        <v>134</v>
      </c>
      <c r="H1978">
        <v>422</v>
      </c>
      <c r="I1978" s="122" t="s">
        <v>1546</v>
      </c>
      <c r="J1978" s="307" t="s">
        <v>214</v>
      </c>
      <c r="K1978" s="127" t="s">
        <v>3418</v>
      </c>
      <c r="L1978" s="151" t="s">
        <v>1579</v>
      </c>
      <c r="M1978">
        <v>563</v>
      </c>
      <c r="N1978" s="123">
        <v>17</v>
      </c>
      <c r="O1978">
        <v>1336</v>
      </c>
      <c r="P1978" s="132" t="s">
        <v>77</v>
      </c>
      <c r="Q1978" s="131">
        <v>399.96</v>
      </c>
      <c r="R1978" s="131">
        <v>63.99</v>
      </c>
      <c r="S1978" s="131"/>
      <c r="T1978" s="155"/>
      <c r="U1978" s="131"/>
      <c r="V1978" s="131">
        <f t="shared" si="47"/>
        <v>463.95</v>
      </c>
      <c r="W1978">
        <v>61</v>
      </c>
      <c r="X1978" s="151" t="s">
        <v>1644</v>
      </c>
      <c r="Y1978" s="135" t="s">
        <v>55</v>
      </c>
      <c r="Z1978" s="307">
        <v>213</v>
      </c>
      <c r="AB1978" t="str">
        <f>IF(Table1[[#This Row],[TIPO2]]="costo", VLOOKUP(Table1[[#This Row],[PARTIDA PRESUPUESTAL]],'Cost Report'!G:G,1,0),"Balance")</f>
        <v>2794-003</v>
      </c>
      <c r="AC1978" s="118"/>
      <c r="AD1978" s="159">
        <f>+Table1[[#This Row],[SUBTOTAL]]+Table1[[#This Row],[IVA]]-Table1[[#This Row],[RET IVA]]-Table1[[#This Row],[RET ISR]]-Table1[[#This Row],[TOTAL]]</f>
        <v>0</v>
      </c>
      <c r="AE1978" s="150"/>
      <c r="AF1978" s="151"/>
      <c r="AG1978" s="126" t="s">
        <v>3420</v>
      </c>
      <c r="AK1978" s="306" t="str">
        <f>IF(ISNUMBER(Table1[[#This Row],[FECHA DE RECIBIDO]]), Table1[[#This Row],[FECHA DE RECIBIDO]]-DATE(2023,8,30), "")</f>
        <v/>
      </c>
    </row>
    <row r="1979" spans="1:37" ht="16.95" customHeight="1">
      <c r="A1979" s="152" t="s">
        <v>3632</v>
      </c>
      <c r="B1979" s="153">
        <v>713</v>
      </c>
      <c r="C1979" s="126" t="s">
        <v>2596</v>
      </c>
      <c r="D1979">
        <v>1354</v>
      </c>
      <c r="E1979" s="126" t="e">
        <v>#N/A</v>
      </c>
      <c r="F1979" s="125" t="e">
        <v>#N/A</v>
      </c>
      <c r="G1979" s="125" t="s">
        <v>134</v>
      </c>
      <c r="H1979">
        <v>36</v>
      </c>
      <c r="I1979" s="125" t="e">
        <v>#N/A</v>
      </c>
      <c r="J1979" s="308" t="s">
        <v>214</v>
      </c>
      <c r="K1979" s="127" t="s">
        <v>3418</v>
      </c>
      <c r="L1979" s="153" t="s">
        <v>1579</v>
      </c>
      <c r="M1979">
        <v>132</v>
      </c>
      <c r="N1979" s="123">
        <v>17</v>
      </c>
      <c r="O1979">
        <v>1333</v>
      </c>
      <c r="P1979" s="132" t="s">
        <v>77</v>
      </c>
      <c r="Q1979" s="132">
        <v>860.34</v>
      </c>
      <c r="R1979" s="132">
        <v>137.66</v>
      </c>
      <c r="S1979" s="132"/>
      <c r="T1979" s="156"/>
      <c r="U1979" s="132"/>
      <c r="V1979" s="132">
        <f t="shared" si="47"/>
        <v>998</v>
      </c>
      <c r="W1979">
        <v>61</v>
      </c>
      <c r="X1979" s="153" t="s">
        <v>1644</v>
      </c>
      <c r="Y1979" s="124" t="s">
        <v>55</v>
      </c>
      <c r="Z1979" s="308">
        <v>208</v>
      </c>
      <c r="AB1979" t="str">
        <f>IF(Table1[[#This Row],[TIPO2]]="costo", VLOOKUP(Table1[[#This Row],[PARTIDA PRESUPUESTAL]],'Cost Report'!G:G,1,0),"Balance")</f>
        <v>2794-003</v>
      </c>
      <c r="AC1979" s="118"/>
      <c r="AD1979" s="159">
        <f>+Table1[[#This Row],[SUBTOTAL]]+Table1[[#This Row],[IVA]]-Table1[[#This Row],[RET IVA]]-Table1[[#This Row],[RET ISR]]-Table1[[#This Row],[TOTAL]]</f>
        <v>0</v>
      </c>
      <c r="AE1979" s="152"/>
      <c r="AF1979" s="153"/>
      <c r="AG1979" s="126" t="s">
        <v>3420</v>
      </c>
      <c r="AK1979" s="306" t="str">
        <f>IF(ISNUMBER(Table1[[#This Row],[FECHA DE RECIBIDO]]), Table1[[#This Row],[FECHA DE RECIBIDO]]-DATE(2023,8,30), "")</f>
        <v/>
      </c>
    </row>
    <row r="1980" spans="1:37" ht="16.95" customHeight="1">
      <c r="A1980" s="150" t="s">
        <v>3632</v>
      </c>
      <c r="B1980" s="151">
        <v>713</v>
      </c>
      <c r="C1980" s="126" t="s">
        <v>2596</v>
      </c>
      <c r="D1980">
        <v>1355</v>
      </c>
      <c r="E1980" s="126" t="s">
        <v>1598</v>
      </c>
      <c r="F1980" s="122" t="s">
        <v>1607</v>
      </c>
      <c r="G1980" s="122" t="s">
        <v>134</v>
      </c>
      <c r="H1980">
        <v>97</v>
      </c>
      <c r="I1980" s="122" t="s">
        <v>1546</v>
      </c>
      <c r="J1980" s="307" t="s">
        <v>214</v>
      </c>
      <c r="K1980" s="127" t="s">
        <v>3418</v>
      </c>
      <c r="L1980" s="151" t="s">
        <v>1579</v>
      </c>
      <c r="M1980">
        <v>132</v>
      </c>
      <c r="N1980" s="123">
        <v>17</v>
      </c>
      <c r="O1980">
        <v>1337</v>
      </c>
      <c r="P1980" s="132" t="s">
        <v>77</v>
      </c>
      <c r="Q1980" s="131">
        <v>2392.2399999999998</v>
      </c>
      <c r="R1980" s="131">
        <v>382.76</v>
      </c>
      <c r="S1980" s="131"/>
      <c r="T1980" s="155"/>
      <c r="U1980" s="131"/>
      <c r="V1980" s="131">
        <f t="shared" si="47"/>
        <v>2775</v>
      </c>
      <c r="W1980">
        <v>61</v>
      </c>
      <c r="X1980" s="151" t="s">
        <v>1644</v>
      </c>
      <c r="Y1980" s="135" t="s">
        <v>55</v>
      </c>
      <c r="Z1980" s="307">
        <v>208</v>
      </c>
      <c r="AB1980" t="str">
        <f>IF(Table1[[#This Row],[TIPO2]]="costo", VLOOKUP(Table1[[#This Row],[PARTIDA PRESUPUESTAL]],'Cost Report'!G:G,1,0),"Balance")</f>
        <v>2794-003</v>
      </c>
      <c r="AC1980" s="118"/>
      <c r="AD1980" s="159">
        <f>+Table1[[#This Row],[SUBTOTAL]]+Table1[[#This Row],[IVA]]-Table1[[#This Row],[RET IVA]]-Table1[[#This Row],[RET ISR]]-Table1[[#This Row],[TOTAL]]</f>
        <v>0</v>
      </c>
      <c r="AE1980" s="150"/>
      <c r="AF1980" s="151"/>
      <c r="AG1980" s="126" t="s">
        <v>3420</v>
      </c>
      <c r="AK1980" s="306" t="str">
        <f>IF(ISNUMBER(Table1[[#This Row],[FECHA DE RECIBIDO]]), Table1[[#This Row],[FECHA DE RECIBIDO]]-DATE(2023,8,30), "")</f>
        <v/>
      </c>
    </row>
    <row r="1981" spans="1:37" ht="16.95" customHeight="1">
      <c r="A1981" s="152" t="s">
        <v>3632</v>
      </c>
      <c r="B1981" s="153">
        <v>713</v>
      </c>
      <c r="C1981" s="126" t="s">
        <v>2596</v>
      </c>
      <c r="D1981">
        <v>1356</v>
      </c>
      <c r="E1981" s="126" t="s">
        <v>1598</v>
      </c>
      <c r="F1981" s="125" t="s">
        <v>1607</v>
      </c>
      <c r="G1981" s="125" t="s">
        <v>134</v>
      </c>
      <c r="H1981">
        <v>156</v>
      </c>
      <c r="I1981" s="125" t="s">
        <v>1546</v>
      </c>
      <c r="J1981" s="308" t="s">
        <v>214</v>
      </c>
      <c r="K1981" s="127" t="s">
        <v>3418</v>
      </c>
      <c r="L1981" s="153" t="s">
        <v>1579</v>
      </c>
      <c r="M1981">
        <v>564</v>
      </c>
      <c r="N1981" s="123">
        <v>17</v>
      </c>
      <c r="O1981">
        <v>1333</v>
      </c>
      <c r="P1981" s="132" t="s">
        <v>77</v>
      </c>
      <c r="Q1981" s="132">
        <v>839.87</v>
      </c>
      <c r="R1981" s="132">
        <v>134.38</v>
      </c>
      <c r="S1981" s="132"/>
      <c r="T1981" s="156"/>
      <c r="U1981" s="132"/>
      <c r="V1981" s="132">
        <f t="shared" si="47"/>
        <v>974.25</v>
      </c>
      <c r="W1981">
        <v>61</v>
      </c>
      <c r="X1981" s="153" t="s">
        <v>1644</v>
      </c>
      <c r="Y1981" s="124" t="s">
        <v>55</v>
      </c>
      <c r="Z1981" s="308">
        <v>208</v>
      </c>
      <c r="AB1981" t="str">
        <f>IF(Table1[[#This Row],[TIPO2]]="costo", VLOOKUP(Table1[[#This Row],[PARTIDA PRESUPUESTAL]],'Cost Report'!G:G,1,0),"Balance")</f>
        <v>2794-003</v>
      </c>
      <c r="AC1981" s="118"/>
      <c r="AD1981" s="159">
        <f>+Table1[[#This Row],[SUBTOTAL]]+Table1[[#This Row],[IVA]]-Table1[[#This Row],[RET IVA]]-Table1[[#This Row],[RET ISR]]-Table1[[#This Row],[TOTAL]]</f>
        <v>0</v>
      </c>
      <c r="AE1981" s="152"/>
      <c r="AF1981" s="153"/>
      <c r="AG1981" s="126" t="s">
        <v>3420</v>
      </c>
      <c r="AK1981" s="306" t="str">
        <f>IF(ISNUMBER(Table1[[#This Row],[FECHA DE RECIBIDO]]), Table1[[#This Row],[FECHA DE RECIBIDO]]-DATE(2023,8,30), "")</f>
        <v/>
      </c>
    </row>
    <row r="1982" spans="1:37" ht="16.95" customHeight="1">
      <c r="A1982" s="150" t="s">
        <v>3632</v>
      </c>
      <c r="B1982" s="151">
        <v>713</v>
      </c>
      <c r="C1982" s="126" t="s">
        <v>2596</v>
      </c>
      <c r="D1982">
        <v>1357</v>
      </c>
      <c r="E1982" s="126" t="s">
        <v>2008</v>
      </c>
      <c r="F1982" s="122" t="s">
        <v>1607</v>
      </c>
      <c r="G1982" s="122" t="s">
        <v>134</v>
      </c>
      <c r="H1982">
        <v>100</v>
      </c>
      <c r="I1982" s="122" t="s">
        <v>1546</v>
      </c>
      <c r="J1982" s="307" t="s">
        <v>214</v>
      </c>
      <c r="K1982" s="127" t="s">
        <v>3418</v>
      </c>
      <c r="L1982" s="151" t="s">
        <v>1579</v>
      </c>
      <c r="M1982">
        <v>562</v>
      </c>
      <c r="N1982" s="123">
        <v>17</v>
      </c>
      <c r="O1982">
        <v>1337</v>
      </c>
      <c r="P1982" s="132" t="s">
        <v>77</v>
      </c>
      <c r="Q1982" s="131">
        <v>6716.39</v>
      </c>
      <c r="R1982" s="131">
        <v>1074.6099999999999</v>
      </c>
      <c r="S1982" s="131"/>
      <c r="T1982" s="155"/>
      <c r="U1982" s="131"/>
      <c r="V1982" s="131">
        <f t="shared" si="47"/>
        <v>7791</v>
      </c>
      <c r="W1982">
        <v>61</v>
      </c>
      <c r="X1982" s="151" t="s">
        <v>1644</v>
      </c>
      <c r="Y1982" s="135" t="s">
        <v>55</v>
      </c>
      <c r="Z1982" s="307">
        <v>208</v>
      </c>
      <c r="AB1982" t="str">
        <f>IF(Table1[[#This Row],[TIPO2]]="costo", VLOOKUP(Table1[[#This Row],[PARTIDA PRESUPUESTAL]],'Cost Report'!G:G,1,0),"Balance")</f>
        <v>2794-003</v>
      </c>
      <c r="AC1982" s="118"/>
      <c r="AD1982" s="159">
        <f>+Table1[[#This Row],[SUBTOTAL]]+Table1[[#This Row],[IVA]]-Table1[[#This Row],[RET IVA]]-Table1[[#This Row],[RET ISR]]-Table1[[#This Row],[TOTAL]]</f>
        <v>0</v>
      </c>
      <c r="AE1982" s="150"/>
      <c r="AF1982" s="151"/>
      <c r="AG1982" s="126" t="s">
        <v>3420</v>
      </c>
      <c r="AK1982" s="306" t="str">
        <f>IF(ISNUMBER(Table1[[#This Row],[FECHA DE RECIBIDO]]), Table1[[#This Row],[FECHA DE RECIBIDO]]-DATE(2023,8,30), "")</f>
        <v/>
      </c>
    </row>
    <row r="1983" spans="1:37" ht="16.95" customHeight="1">
      <c r="A1983" s="152" t="s">
        <v>3632</v>
      </c>
      <c r="B1983" s="153">
        <v>713</v>
      </c>
      <c r="C1983" s="126" t="s">
        <v>2596</v>
      </c>
      <c r="D1983">
        <v>1358</v>
      </c>
      <c r="E1983" s="126" t="s">
        <v>2008</v>
      </c>
      <c r="F1983" s="125" t="s">
        <v>1607</v>
      </c>
      <c r="G1983" s="125" t="s">
        <v>134</v>
      </c>
      <c r="H1983">
        <v>102</v>
      </c>
      <c r="I1983" s="125" t="s">
        <v>1546</v>
      </c>
      <c r="J1983" s="308" t="s">
        <v>214</v>
      </c>
      <c r="K1983" s="127" t="s">
        <v>3418</v>
      </c>
      <c r="L1983" s="153" t="s">
        <v>1579</v>
      </c>
      <c r="M1983">
        <v>137</v>
      </c>
      <c r="N1983" s="123">
        <v>17</v>
      </c>
      <c r="O1983">
        <v>1338</v>
      </c>
      <c r="P1983" s="132" t="s">
        <v>77</v>
      </c>
      <c r="Q1983" s="132">
        <v>775</v>
      </c>
      <c r="R1983" s="132">
        <v>124</v>
      </c>
      <c r="S1983" s="132"/>
      <c r="T1983" s="156"/>
      <c r="U1983" s="132"/>
      <c r="V1983" s="132">
        <f t="shared" si="47"/>
        <v>899</v>
      </c>
      <c r="W1983">
        <v>61</v>
      </c>
      <c r="X1983" s="153" t="s">
        <v>1644</v>
      </c>
      <c r="Y1983" s="124" t="s">
        <v>55</v>
      </c>
      <c r="Z1983" s="308">
        <v>208</v>
      </c>
      <c r="AB1983" t="str">
        <f>IF(Table1[[#This Row],[TIPO2]]="costo", VLOOKUP(Table1[[#This Row],[PARTIDA PRESUPUESTAL]],'Cost Report'!G:G,1,0),"Balance")</f>
        <v>2794-003</v>
      </c>
      <c r="AC1983" s="118"/>
      <c r="AD1983" s="159">
        <f>+Table1[[#This Row],[SUBTOTAL]]+Table1[[#This Row],[IVA]]-Table1[[#This Row],[RET IVA]]-Table1[[#This Row],[RET ISR]]-Table1[[#This Row],[TOTAL]]</f>
        <v>0</v>
      </c>
      <c r="AE1983" s="152"/>
      <c r="AF1983" s="153"/>
      <c r="AG1983" s="126" t="s">
        <v>3420</v>
      </c>
      <c r="AK1983" s="306" t="str">
        <f>IF(ISNUMBER(Table1[[#This Row],[FECHA DE RECIBIDO]]), Table1[[#This Row],[FECHA DE RECIBIDO]]-DATE(2023,8,30), "")</f>
        <v/>
      </c>
    </row>
    <row r="1984" spans="1:37" ht="16.95" customHeight="1">
      <c r="A1984" s="150" t="s">
        <v>3632</v>
      </c>
      <c r="B1984" s="151">
        <v>713</v>
      </c>
      <c r="C1984" s="126" t="s">
        <v>2596</v>
      </c>
      <c r="D1984">
        <v>1359</v>
      </c>
      <c r="E1984" s="126" t="s">
        <v>2008</v>
      </c>
      <c r="F1984" s="122" t="s">
        <v>1607</v>
      </c>
      <c r="G1984" s="122" t="s">
        <v>134</v>
      </c>
      <c r="H1984">
        <v>100</v>
      </c>
      <c r="I1984" s="122" t="s">
        <v>1546</v>
      </c>
      <c r="J1984" s="307" t="s">
        <v>214</v>
      </c>
      <c r="K1984" s="127" t="s">
        <v>3418</v>
      </c>
      <c r="L1984" s="151" t="s">
        <v>1579</v>
      </c>
      <c r="M1984">
        <v>562</v>
      </c>
      <c r="N1984" s="123">
        <v>17</v>
      </c>
      <c r="O1984">
        <v>1333</v>
      </c>
      <c r="P1984" s="132" t="s">
        <v>77</v>
      </c>
      <c r="Q1984" s="131">
        <v>2237.0700000000002</v>
      </c>
      <c r="R1984" s="131">
        <v>357.93</v>
      </c>
      <c r="S1984" s="131"/>
      <c r="T1984" s="155"/>
      <c r="U1984" s="131"/>
      <c r="V1984" s="131">
        <f t="shared" si="47"/>
        <v>2595</v>
      </c>
      <c r="W1984">
        <v>61</v>
      </c>
      <c r="X1984" s="151" t="s">
        <v>1644</v>
      </c>
      <c r="Y1984" s="135" t="s">
        <v>55</v>
      </c>
      <c r="Z1984" s="307">
        <v>209</v>
      </c>
      <c r="AB1984" t="str">
        <f>IF(Table1[[#This Row],[TIPO2]]="costo", VLOOKUP(Table1[[#This Row],[PARTIDA PRESUPUESTAL]],'Cost Report'!G:G,1,0),"Balance")</f>
        <v>2794-003</v>
      </c>
      <c r="AC1984" s="118"/>
      <c r="AD1984" s="159">
        <f>+Table1[[#This Row],[SUBTOTAL]]+Table1[[#This Row],[IVA]]-Table1[[#This Row],[RET IVA]]-Table1[[#This Row],[RET ISR]]-Table1[[#This Row],[TOTAL]]</f>
        <v>0</v>
      </c>
      <c r="AE1984" s="150"/>
      <c r="AF1984" s="151"/>
      <c r="AG1984" s="126" t="s">
        <v>3420</v>
      </c>
      <c r="AK1984" s="306" t="str">
        <f>IF(ISNUMBER(Table1[[#This Row],[FECHA DE RECIBIDO]]), Table1[[#This Row],[FECHA DE RECIBIDO]]-DATE(2023,8,30), "")</f>
        <v/>
      </c>
    </row>
    <row r="1985" spans="1:37" ht="16.95" customHeight="1">
      <c r="A1985" s="152" t="s">
        <v>3632</v>
      </c>
      <c r="B1985" s="153">
        <v>713</v>
      </c>
      <c r="C1985" s="126" t="s">
        <v>2596</v>
      </c>
      <c r="D1985">
        <v>1360</v>
      </c>
      <c r="E1985" s="126" t="s">
        <v>3275</v>
      </c>
      <c r="F1985" s="125" t="s">
        <v>1607</v>
      </c>
      <c r="G1985" s="125" t="s">
        <v>134</v>
      </c>
      <c r="H1985">
        <v>97</v>
      </c>
      <c r="I1985" s="125" t="s">
        <v>1546</v>
      </c>
      <c r="J1985" s="308" t="s">
        <v>214</v>
      </c>
      <c r="K1985" s="127" t="s">
        <v>3418</v>
      </c>
      <c r="L1985" s="153" t="s">
        <v>1579</v>
      </c>
      <c r="M1985">
        <v>132</v>
      </c>
      <c r="N1985" s="123">
        <v>17</v>
      </c>
      <c r="O1985">
        <v>1339</v>
      </c>
      <c r="P1985" s="132" t="s">
        <v>77</v>
      </c>
      <c r="Q1985" s="132">
        <v>1837.94</v>
      </c>
      <c r="R1985" s="132">
        <v>294.06</v>
      </c>
      <c r="S1985" s="132"/>
      <c r="T1985" s="156"/>
      <c r="U1985" s="132"/>
      <c r="V1985" s="132">
        <f t="shared" si="47"/>
        <v>2132</v>
      </c>
      <c r="W1985">
        <v>61</v>
      </c>
      <c r="X1985" s="153" t="s">
        <v>1644</v>
      </c>
      <c r="Y1985" s="124" t="s">
        <v>55</v>
      </c>
      <c r="Z1985" s="308">
        <v>212</v>
      </c>
      <c r="AB1985" t="str">
        <f>IF(Table1[[#This Row],[TIPO2]]="costo", VLOOKUP(Table1[[#This Row],[PARTIDA PRESUPUESTAL]],'Cost Report'!G:G,1,0),"Balance")</f>
        <v>2794-003</v>
      </c>
      <c r="AC1985" s="118"/>
      <c r="AD1985" s="159">
        <f>+Table1[[#This Row],[SUBTOTAL]]+Table1[[#This Row],[IVA]]-Table1[[#This Row],[RET IVA]]-Table1[[#This Row],[RET ISR]]-Table1[[#This Row],[TOTAL]]</f>
        <v>0</v>
      </c>
      <c r="AE1985" s="152"/>
      <c r="AF1985" s="153"/>
      <c r="AG1985" s="126" t="s">
        <v>3420</v>
      </c>
      <c r="AK1985" s="306" t="str">
        <f>IF(ISNUMBER(Table1[[#This Row],[FECHA DE RECIBIDO]]), Table1[[#This Row],[FECHA DE RECIBIDO]]-DATE(2023,8,30), "")</f>
        <v/>
      </c>
    </row>
    <row r="1986" spans="1:37" ht="16.95" customHeight="1">
      <c r="A1986" s="150" t="s">
        <v>3632</v>
      </c>
      <c r="B1986" s="151">
        <v>713</v>
      </c>
      <c r="C1986" s="126" t="s">
        <v>2596</v>
      </c>
      <c r="D1986">
        <v>1361</v>
      </c>
      <c r="E1986" s="126" t="s">
        <v>1598</v>
      </c>
      <c r="F1986" s="122" t="s">
        <v>1607</v>
      </c>
      <c r="G1986" s="122" t="s">
        <v>134</v>
      </c>
      <c r="H1986">
        <v>41</v>
      </c>
      <c r="I1986" s="122" t="s">
        <v>1546</v>
      </c>
      <c r="J1986" s="307" t="s">
        <v>214</v>
      </c>
      <c r="K1986" s="127" t="s">
        <v>3418</v>
      </c>
      <c r="L1986" s="151" t="s">
        <v>1579</v>
      </c>
      <c r="M1986">
        <v>323</v>
      </c>
      <c r="N1986" s="123">
        <v>17</v>
      </c>
      <c r="O1986">
        <v>1340</v>
      </c>
      <c r="P1986" s="132" t="s">
        <v>77</v>
      </c>
      <c r="Q1986" s="131">
        <v>649.14</v>
      </c>
      <c r="R1986" s="131">
        <v>103.86</v>
      </c>
      <c r="S1986" s="131"/>
      <c r="T1986" s="155"/>
      <c r="U1986" s="131"/>
      <c r="V1986" s="131">
        <f t="shared" si="47"/>
        <v>753</v>
      </c>
      <c r="W1986">
        <v>61</v>
      </c>
      <c r="X1986" s="151" t="s">
        <v>1644</v>
      </c>
      <c r="Y1986" s="135" t="s">
        <v>55</v>
      </c>
      <c r="Z1986" s="307">
        <v>209</v>
      </c>
      <c r="AB1986" t="str">
        <f>IF(Table1[[#This Row],[TIPO2]]="costo", VLOOKUP(Table1[[#This Row],[PARTIDA PRESUPUESTAL]],'Cost Report'!G:G,1,0),"Balance")</f>
        <v>2794-003</v>
      </c>
      <c r="AC1986" s="118"/>
      <c r="AD1986" s="159">
        <f>+Table1[[#This Row],[SUBTOTAL]]+Table1[[#This Row],[IVA]]-Table1[[#This Row],[RET IVA]]-Table1[[#This Row],[RET ISR]]-Table1[[#This Row],[TOTAL]]</f>
        <v>0</v>
      </c>
      <c r="AE1986" s="150"/>
      <c r="AF1986" s="151"/>
      <c r="AG1986" s="126" t="s">
        <v>3420</v>
      </c>
      <c r="AK1986" s="306" t="str">
        <f>IF(ISNUMBER(Table1[[#This Row],[FECHA DE RECIBIDO]]), Table1[[#This Row],[FECHA DE RECIBIDO]]-DATE(2023,8,30), "")</f>
        <v/>
      </c>
    </row>
    <row r="1987" spans="1:37" ht="16.95" customHeight="1">
      <c r="A1987" s="152" t="s">
        <v>3632</v>
      </c>
      <c r="B1987" s="153">
        <v>713</v>
      </c>
      <c r="C1987" s="126" t="s">
        <v>2596</v>
      </c>
      <c r="D1987">
        <v>1362</v>
      </c>
      <c r="E1987" s="126" t="e">
        <v>#N/A</v>
      </c>
      <c r="F1987" s="125" t="e">
        <v>#N/A</v>
      </c>
      <c r="G1987" s="125" t="s">
        <v>134</v>
      </c>
      <c r="H1987">
        <v>36</v>
      </c>
      <c r="I1987" s="125" t="e">
        <v>#N/A</v>
      </c>
      <c r="J1987" s="308" t="s">
        <v>214</v>
      </c>
      <c r="K1987" s="127" t="s">
        <v>3418</v>
      </c>
      <c r="L1987" s="153" t="s">
        <v>1579</v>
      </c>
      <c r="M1987">
        <v>565</v>
      </c>
      <c r="N1987" s="123">
        <v>17</v>
      </c>
      <c r="O1987">
        <v>1341</v>
      </c>
      <c r="P1987" s="132" t="s">
        <v>77</v>
      </c>
      <c r="Q1987" s="132">
        <v>13444.84</v>
      </c>
      <c r="R1987" s="132">
        <v>2151.16</v>
      </c>
      <c r="S1987" s="132"/>
      <c r="T1987" s="156"/>
      <c r="U1987" s="132"/>
      <c r="V1987" s="132">
        <f t="shared" ref="V1987:V2050" si="48">Q1987+R1987-T1987-U1987</f>
        <v>15596</v>
      </c>
      <c r="W1987">
        <v>61</v>
      </c>
      <c r="X1987" s="153" t="s">
        <v>1644</v>
      </c>
      <c r="Y1987" s="124" t="s">
        <v>55</v>
      </c>
      <c r="Z1987" s="308">
        <v>211</v>
      </c>
      <c r="AB1987" t="str">
        <f>IF(Table1[[#This Row],[TIPO2]]="costo", VLOOKUP(Table1[[#This Row],[PARTIDA PRESUPUESTAL]],'Cost Report'!G:G,1,0),"Balance")</f>
        <v>2794-003</v>
      </c>
      <c r="AC1987" s="118"/>
      <c r="AD1987" s="159">
        <f>+Table1[[#This Row],[SUBTOTAL]]+Table1[[#This Row],[IVA]]-Table1[[#This Row],[RET IVA]]-Table1[[#This Row],[RET ISR]]-Table1[[#This Row],[TOTAL]]</f>
        <v>0</v>
      </c>
      <c r="AE1987" s="152"/>
      <c r="AF1987" s="153"/>
      <c r="AG1987" s="126" t="s">
        <v>3420</v>
      </c>
      <c r="AK1987" s="306" t="str">
        <f>IF(ISNUMBER(Table1[[#This Row],[FECHA DE RECIBIDO]]), Table1[[#This Row],[FECHA DE RECIBIDO]]-DATE(2023,8,30), "")</f>
        <v/>
      </c>
    </row>
    <row r="1988" spans="1:37" ht="16.95" customHeight="1">
      <c r="A1988" s="150" t="s">
        <v>3632</v>
      </c>
      <c r="B1988" s="151">
        <v>713</v>
      </c>
      <c r="C1988" s="126" t="s">
        <v>2596</v>
      </c>
      <c r="D1988">
        <v>1363</v>
      </c>
      <c r="E1988" s="126" t="e">
        <v>#N/A</v>
      </c>
      <c r="F1988" s="122" t="e">
        <v>#N/A</v>
      </c>
      <c r="G1988" s="122" t="s">
        <v>134</v>
      </c>
      <c r="H1988">
        <v>36</v>
      </c>
      <c r="I1988" s="122" t="e">
        <v>#N/A</v>
      </c>
      <c r="J1988" s="307" t="s">
        <v>214</v>
      </c>
      <c r="K1988" s="127" t="s">
        <v>3418</v>
      </c>
      <c r="L1988" s="151" t="s">
        <v>1579</v>
      </c>
      <c r="M1988">
        <v>565</v>
      </c>
      <c r="N1988" s="123">
        <v>17</v>
      </c>
      <c r="O1988">
        <v>1342</v>
      </c>
      <c r="P1988" s="132" t="s">
        <v>77</v>
      </c>
      <c r="Q1988" s="131">
        <v>3232.76</v>
      </c>
      <c r="R1988" s="131">
        <v>517.24</v>
      </c>
      <c r="S1988" s="131"/>
      <c r="T1988" s="155"/>
      <c r="U1988" s="131"/>
      <c r="V1988" s="131">
        <f t="shared" si="48"/>
        <v>3750</v>
      </c>
      <c r="W1988">
        <v>61</v>
      </c>
      <c r="X1988" s="151" t="s">
        <v>1644</v>
      </c>
      <c r="Y1988" s="135" t="s">
        <v>55</v>
      </c>
      <c r="Z1988" s="307">
        <v>209</v>
      </c>
      <c r="AB1988" t="str">
        <f>IF(Table1[[#This Row],[TIPO2]]="costo", VLOOKUP(Table1[[#This Row],[PARTIDA PRESUPUESTAL]],'Cost Report'!G:G,1,0),"Balance")</f>
        <v>2794-003</v>
      </c>
      <c r="AC1988" s="118"/>
      <c r="AD1988" s="159">
        <f>+Table1[[#This Row],[SUBTOTAL]]+Table1[[#This Row],[IVA]]-Table1[[#This Row],[RET IVA]]-Table1[[#This Row],[RET ISR]]-Table1[[#This Row],[TOTAL]]</f>
        <v>0</v>
      </c>
      <c r="AE1988" s="150"/>
      <c r="AF1988" s="151"/>
      <c r="AG1988" s="126" t="s">
        <v>3420</v>
      </c>
      <c r="AK1988" s="306" t="str">
        <f>IF(ISNUMBER(Table1[[#This Row],[FECHA DE RECIBIDO]]), Table1[[#This Row],[FECHA DE RECIBIDO]]-DATE(2023,8,30), "")</f>
        <v/>
      </c>
    </row>
    <row r="1989" spans="1:37" ht="16.95" customHeight="1">
      <c r="A1989" s="152" t="s">
        <v>3632</v>
      </c>
      <c r="B1989" s="153">
        <v>713</v>
      </c>
      <c r="C1989" s="126" t="s">
        <v>2596</v>
      </c>
      <c r="D1989">
        <v>1364</v>
      </c>
      <c r="E1989" s="126" t="s">
        <v>1596</v>
      </c>
      <c r="F1989" s="125" t="s">
        <v>1607</v>
      </c>
      <c r="G1989" s="125" t="s">
        <v>134</v>
      </c>
      <c r="H1989">
        <v>423</v>
      </c>
      <c r="I1989" s="125" t="s">
        <v>1546</v>
      </c>
      <c r="J1989" s="308" t="s">
        <v>214</v>
      </c>
      <c r="K1989" s="127" t="s">
        <v>3418</v>
      </c>
      <c r="L1989" s="153" t="s">
        <v>1579</v>
      </c>
      <c r="M1989">
        <v>566</v>
      </c>
      <c r="N1989" s="123">
        <v>17</v>
      </c>
      <c r="O1989">
        <v>1343</v>
      </c>
      <c r="P1989" s="132" t="s">
        <v>77</v>
      </c>
      <c r="Q1989" s="132">
        <v>741.2</v>
      </c>
      <c r="R1989" s="132">
        <v>118.6</v>
      </c>
      <c r="S1989" s="132"/>
      <c r="T1989" s="156"/>
      <c r="U1989" s="132"/>
      <c r="V1989" s="132">
        <f t="shared" si="48"/>
        <v>859.80000000000007</v>
      </c>
      <c r="W1989">
        <v>61</v>
      </c>
      <c r="X1989" s="153" t="s">
        <v>1644</v>
      </c>
      <c r="Y1989" s="124" t="s">
        <v>55</v>
      </c>
      <c r="Z1989" s="308">
        <v>211</v>
      </c>
      <c r="AB1989" t="str">
        <f>IF(Table1[[#This Row],[TIPO2]]="costo", VLOOKUP(Table1[[#This Row],[PARTIDA PRESUPUESTAL]],'Cost Report'!G:G,1,0),"Balance")</f>
        <v>2794-003</v>
      </c>
      <c r="AC1989" s="118"/>
      <c r="AD1989" s="159">
        <f>+Table1[[#This Row],[SUBTOTAL]]+Table1[[#This Row],[IVA]]-Table1[[#This Row],[RET IVA]]-Table1[[#This Row],[RET ISR]]-Table1[[#This Row],[TOTAL]]</f>
        <v>0</v>
      </c>
      <c r="AE1989" s="152"/>
      <c r="AF1989" s="153"/>
      <c r="AG1989" s="126" t="s">
        <v>3420</v>
      </c>
      <c r="AK1989" s="306" t="str">
        <f>IF(ISNUMBER(Table1[[#This Row],[FECHA DE RECIBIDO]]), Table1[[#This Row],[FECHA DE RECIBIDO]]-DATE(2023,8,30), "")</f>
        <v/>
      </c>
    </row>
    <row r="1990" spans="1:37" ht="16.95" customHeight="1">
      <c r="A1990" s="150" t="s">
        <v>3632</v>
      </c>
      <c r="B1990" s="151">
        <v>713</v>
      </c>
      <c r="C1990" s="126" t="s">
        <v>2596</v>
      </c>
      <c r="D1990">
        <v>1365</v>
      </c>
      <c r="E1990" s="126" t="s">
        <v>3673</v>
      </c>
      <c r="F1990" s="122" t="s">
        <v>1607</v>
      </c>
      <c r="G1990" s="122" t="s">
        <v>134</v>
      </c>
      <c r="H1990">
        <v>156</v>
      </c>
      <c r="I1990" s="122" t="s">
        <v>1546</v>
      </c>
      <c r="J1990" s="307" t="s">
        <v>214</v>
      </c>
      <c r="K1990" s="127" t="s">
        <v>3418</v>
      </c>
      <c r="L1990" s="151" t="s">
        <v>1579</v>
      </c>
      <c r="M1990">
        <v>564</v>
      </c>
      <c r="N1990" s="123">
        <v>17</v>
      </c>
      <c r="O1990">
        <v>1344</v>
      </c>
      <c r="P1990" s="132" t="s">
        <v>77</v>
      </c>
      <c r="Q1990" s="131">
        <v>1059.48</v>
      </c>
      <c r="R1990" s="131">
        <v>169.52</v>
      </c>
      <c r="S1990" s="131"/>
      <c r="T1990" s="155"/>
      <c r="U1990" s="131"/>
      <c r="V1990" s="131">
        <f t="shared" si="48"/>
        <v>1229</v>
      </c>
      <c r="W1990">
        <v>61</v>
      </c>
      <c r="X1990" s="151" t="s">
        <v>1644</v>
      </c>
      <c r="Y1990" s="135" t="s">
        <v>55</v>
      </c>
      <c r="Z1990" s="307">
        <v>210</v>
      </c>
      <c r="AB1990" t="str">
        <f>IF(Table1[[#This Row],[TIPO2]]="costo", VLOOKUP(Table1[[#This Row],[PARTIDA PRESUPUESTAL]],'Cost Report'!G:G,1,0),"Balance")</f>
        <v>2794-003</v>
      </c>
      <c r="AC1990" s="118"/>
      <c r="AD1990" s="159">
        <f>+Table1[[#This Row],[SUBTOTAL]]+Table1[[#This Row],[IVA]]-Table1[[#This Row],[RET IVA]]-Table1[[#This Row],[RET ISR]]-Table1[[#This Row],[TOTAL]]</f>
        <v>0</v>
      </c>
      <c r="AE1990" s="150"/>
      <c r="AF1990" s="151"/>
      <c r="AG1990" s="126" t="s">
        <v>3420</v>
      </c>
      <c r="AK1990" s="306" t="str">
        <f>IF(ISNUMBER(Table1[[#This Row],[FECHA DE RECIBIDO]]), Table1[[#This Row],[FECHA DE RECIBIDO]]-DATE(2023,8,30), "")</f>
        <v/>
      </c>
    </row>
    <row r="1991" spans="1:37" ht="16.95" customHeight="1">
      <c r="A1991" s="152" t="s">
        <v>3632</v>
      </c>
      <c r="B1991" s="153">
        <v>713</v>
      </c>
      <c r="C1991" s="126" t="s">
        <v>2596</v>
      </c>
      <c r="D1991">
        <v>1366</v>
      </c>
      <c r="E1991" s="126" t="s">
        <v>2008</v>
      </c>
      <c r="F1991" s="125" t="s">
        <v>1607</v>
      </c>
      <c r="G1991" s="125" t="s">
        <v>134</v>
      </c>
      <c r="H1991">
        <v>100</v>
      </c>
      <c r="I1991" s="125" t="s">
        <v>1546</v>
      </c>
      <c r="J1991" s="308" t="s">
        <v>214</v>
      </c>
      <c r="K1991" s="127" t="s">
        <v>3418</v>
      </c>
      <c r="L1991" s="153" t="s">
        <v>1579</v>
      </c>
      <c r="M1991">
        <v>562</v>
      </c>
      <c r="N1991" s="123">
        <v>17</v>
      </c>
      <c r="O1991">
        <v>1345</v>
      </c>
      <c r="P1991" s="132" t="s">
        <v>77</v>
      </c>
      <c r="Q1991" s="132">
        <v>893.97</v>
      </c>
      <c r="R1991" s="132">
        <v>143.03</v>
      </c>
      <c r="S1991" s="132"/>
      <c r="T1991" s="156"/>
      <c r="U1991" s="132"/>
      <c r="V1991" s="132">
        <f t="shared" si="48"/>
        <v>1037</v>
      </c>
      <c r="W1991">
        <v>61</v>
      </c>
      <c r="X1991" s="153" t="s">
        <v>1644</v>
      </c>
      <c r="Y1991" s="124" t="s">
        <v>55</v>
      </c>
      <c r="Z1991" s="308">
        <v>210</v>
      </c>
      <c r="AB1991" t="str">
        <f>IF(Table1[[#This Row],[TIPO2]]="costo", VLOOKUP(Table1[[#This Row],[PARTIDA PRESUPUESTAL]],'Cost Report'!G:G,1,0),"Balance")</f>
        <v>2794-003</v>
      </c>
      <c r="AC1991" s="118"/>
      <c r="AD1991" s="159">
        <f>+Table1[[#This Row],[SUBTOTAL]]+Table1[[#This Row],[IVA]]-Table1[[#This Row],[RET IVA]]-Table1[[#This Row],[RET ISR]]-Table1[[#This Row],[TOTAL]]</f>
        <v>0</v>
      </c>
      <c r="AE1991" s="152"/>
      <c r="AF1991" s="153"/>
      <c r="AG1991" s="126" t="s">
        <v>3420</v>
      </c>
      <c r="AK1991" s="306" t="str">
        <f>IF(ISNUMBER(Table1[[#This Row],[FECHA DE RECIBIDO]]), Table1[[#This Row],[FECHA DE RECIBIDO]]-DATE(2023,8,30), "")</f>
        <v/>
      </c>
    </row>
    <row r="1992" spans="1:37" ht="16.95" customHeight="1">
      <c r="A1992" s="150" t="s">
        <v>3632</v>
      </c>
      <c r="B1992" s="151">
        <v>713</v>
      </c>
      <c r="C1992" s="126" t="s">
        <v>2596</v>
      </c>
      <c r="D1992">
        <v>1367</v>
      </c>
      <c r="E1992" s="126" t="s">
        <v>2008</v>
      </c>
      <c r="F1992" s="122" t="s">
        <v>1607</v>
      </c>
      <c r="G1992" s="122" t="s">
        <v>134</v>
      </c>
      <c r="H1992">
        <v>100</v>
      </c>
      <c r="I1992" s="122" t="s">
        <v>1546</v>
      </c>
      <c r="J1992" s="307" t="s">
        <v>214</v>
      </c>
      <c r="K1992" s="127" t="s">
        <v>3418</v>
      </c>
      <c r="L1992" s="151" t="s">
        <v>1579</v>
      </c>
      <c r="M1992">
        <v>562</v>
      </c>
      <c r="N1992" s="123">
        <v>17</v>
      </c>
      <c r="O1992">
        <v>1333</v>
      </c>
      <c r="P1992" s="132" t="s">
        <v>77</v>
      </c>
      <c r="Q1992" s="131">
        <v>387.07</v>
      </c>
      <c r="R1992" s="131">
        <v>61.93</v>
      </c>
      <c r="S1992" s="131"/>
      <c r="T1992" s="155"/>
      <c r="U1992" s="131"/>
      <c r="V1992" s="131">
        <f t="shared" si="48"/>
        <v>449</v>
      </c>
      <c r="W1992">
        <v>61</v>
      </c>
      <c r="X1992" s="151" t="s">
        <v>1644</v>
      </c>
      <c r="Y1992" s="135" t="s">
        <v>55</v>
      </c>
      <c r="Z1992" s="307">
        <v>210</v>
      </c>
      <c r="AB1992" t="str">
        <f>IF(Table1[[#This Row],[TIPO2]]="costo", VLOOKUP(Table1[[#This Row],[PARTIDA PRESUPUESTAL]],'Cost Report'!G:G,1,0),"Balance")</f>
        <v>2794-003</v>
      </c>
      <c r="AC1992" s="118"/>
      <c r="AD1992" s="159">
        <f>+Table1[[#This Row],[SUBTOTAL]]+Table1[[#This Row],[IVA]]-Table1[[#This Row],[RET IVA]]-Table1[[#This Row],[RET ISR]]-Table1[[#This Row],[TOTAL]]</f>
        <v>0</v>
      </c>
      <c r="AE1992" s="150"/>
      <c r="AF1992" s="151"/>
      <c r="AG1992" s="126" t="s">
        <v>3420</v>
      </c>
      <c r="AK1992" s="306" t="str">
        <f>IF(ISNUMBER(Table1[[#This Row],[FECHA DE RECIBIDO]]), Table1[[#This Row],[FECHA DE RECIBIDO]]-DATE(2023,8,30), "")</f>
        <v/>
      </c>
    </row>
    <row r="1993" spans="1:37" ht="16.95" customHeight="1">
      <c r="A1993" s="152" t="s">
        <v>3632</v>
      </c>
      <c r="B1993" s="153">
        <v>713</v>
      </c>
      <c r="C1993" s="126" t="s">
        <v>2596</v>
      </c>
      <c r="D1993">
        <v>1368</v>
      </c>
      <c r="E1993" s="126" t="s">
        <v>2008</v>
      </c>
      <c r="F1993" s="125" t="s">
        <v>1607</v>
      </c>
      <c r="G1993" s="125" t="s">
        <v>134</v>
      </c>
      <c r="H1993">
        <v>100</v>
      </c>
      <c r="I1993" s="125" t="s">
        <v>1546</v>
      </c>
      <c r="J1993" s="308" t="s">
        <v>214</v>
      </c>
      <c r="K1993" s="127" t="s">
        <v>3418</v>
      </c>
      <c r="L1993" s="153" t="s">
        <v>1579</v>
      </c>
      <c r="M1993">
        <v>562</v>
      </c>
      <c r="N1993" s="123">
        <v>17</v>
      </c>
      <c r="O1993">
        <v>1346</v>
      </c>
      <c r="P1993" s="132" t="s">
        <v>77</v>
      </c>
      <c r="Q1993" s="132">
        <v>516.38</v>
      </c>
      <c r="R1993" s="132">
        <v>82.62</v>
      </c>
      <c r="S1993" s="132"/>
      <c r="T1993" s="156"/>
      <c r="U1993" s="132"/>
      <c r="V1993" s="132">
        <f t="shared" si="48"/>
        <v>599</v>
      </c>
      <c r="W1993">
        <v>61</v>
      </c>
      <c r="X1993" s="153" t="s">
        <v>1644</v>
      </c>
      <c r="Y1993" s="124" t="s">
        <v>55</v>
      </c>
      <c r="Z1993" s="308">
        <v>210</v>
      </c>
      <c r="AB1993" t="str">
        <f>IF(Table1[[#This Row],[TIPO2]]="costo", VLOOKUP(Table1[[#This Row],[PARTIDA PRESUPUESTAL]],'Cost Report'!G:G,1,0),"Balance")</f>
        <v>2794-003</v>
      </c>
      <c r="AC1993" s="118"/>
      <c r="AD1993" s="159">
        <f>+Table1[[#This Row],[SUBTOTAL]]+Table1[[#This Row],[IVA]]-Table1[[#This Row],[RET IVA]]-Table1[[#This Row],[RET ISR]]-Table1[[#This Row],[TOTAL]]</f>
        <v>0</v>
      </c>
      <c r="AE1993" s="152"/>
      <c r="AF1993" s="153"/>
      <c r="AG1993" s="126" t="s">
        <v>3420</v>
      </c>
      <c r="AK1993" s="306" t="str">
        <f>IF(ISNUMBER(Table1[[#This Row],[FECHA DE RECIBIDO]]), Table1[[#This Row],[FECHA DE RECIBIDO]]-DATE(2023,8,30), "")</f>
        <v/>
      </c>
    </row>
    <row r="1994" spans="1:37" ht="16.95" customHeight="1">
      <c r="A1994" s="150" t="s">
        <v>3632</v>
      </c>
      <c r="B1994" s="151">
        <v>713</v>
      </c>
      <c r="C1994" s="126" t="s">
        <v>2596</v>
      </c>
      <c r="D1994">
        <v>1369</v>
      </c>
      <c r="E1994" s="126" t="e">
        <v>#N/A</v>
      </c>
      <c r="F1994" s="122" t="e">
        <v>#N/A</v>
      </c>
      <c r="G1994" s="122" t="s">
        <v>134</v>
      </c>
      <c r="H1994">
        <v>36</v>
      </c>
      <c r="I1994" s="122" t="e">
        <v>#N/A</v>
      </c>
      <c r="J1994" s="307" t="s">
        <v>214</v>
      </c>
      <c r="K1994" s="127" t="s">
        <v>3418</v>
      </c>
      <c r="L1994" s="151" t="s">
        <v>1579</v>
      </c>
      <c r="M1994">
        <v>202</v>
      </c>
      <c r="N1994" s="123">
        <v>17</v>
      </c>
      <c r="O1994">
        <v>1347</v>
      </c>
      <c r="P1994" s="132" t="s">
        <v>77</v>
      </c>
      <c r="Q1994" s="131">
        <v>413.1</v>
      </c>
      <c r="R1994" s="131">
        <v>66.099999999999994</v>
      </c>
      <c r="S1994" s="131"/>
      <c r="T1994" s="155"/>
      <c r="U1994" s="131"/>
      <c r="V1994" s="131">
        <f t="shared" si="48"/>
        <v>479.20000000000005</v>
      </c>
      <c r="W1994">
        <v>61</v>
      </c>
      <c r="X1994" s="151" t="s">
        <v>1644</v>
      </c>
      <c r="Y1994" s="135" t="s">
        <v>55</v>
      </c>
      <c r="Z1994" s="307">
        <v>208</v>
      </c>
      <c r="AB1994" t="str">
        <f>IF(Table1[[#This Row],[TIPO2]]="costo", VLOOKUP(Table1[[#This Row],[PARTIDA PRESUPUESTAL]],'Cost Report'!G:G,1,0),"Balance")</f>
        <v>2794-003</v>
      </c>
      <c r="AC1994" s="118"/>
      <c r="AD1994" s="159">
        <f>+Table1[[#This Row],[SUBTOTAL]]+Table1[[#This Row],[IVA]]-Table1[[#This Row],[RET IVA]]-Table1[[#This Row],[RET ISR]]-Table1[[#This Row],[TOTAL]]</f>
        <v>0</v>
      </c>
      <c r="AE1994" s="150"/>
      <c r="AF1994" s="151"/>
      <c r="AG1994" s="126" t="s">
        <v>3420</v>
      </c>
      <c r="AK1994" s="306" t="str">
        <f>IF(ISNUMBER(Table1[[#This Row],[FECHA DE RECIBIDO]]), Table1[[#This Row],[FECHA DE RECIBIDO]]-DATE(2023,8,30), "")</f>
        <v/>
      </c>
    </row>
    <row r="1995" spans="1:37" ht="16.95" customHeight="1">
      <c r="A1995" s="152" t="s">
        <v>3632</v>
      </c>
      <c r="B1995" s="153">
        <v>713</v>
      </c>
      <c r="C1995" s="126" t="s">
        <v>2596</v>
      </c>
      <c r="D1995">
        <v>1370</v>
      </c>
      <c r="E1995" s="126" t="e">
        <v>#N/A</v>
      </c>
      <c r="F1995" s="125" t="e">
        <v>#N/A</v>
      </c>
      <c r="G1995" s="125" t="s">
        <v>134</v>
      </c>
      <c r="H1995">
        <v>36</v>
      </c>
      <c r="I1995" s="125" t="e">
        <v>#N/A</v>
      </c>
      <c r="J1995" s="308" t="s">
        <v>214</v>
      </c>
      <c r="K1995" s="127" t="s">
        <v>3418</v>
      </c>
      <c r="L1995" s="153" t="s">
        <v>1579</v>
      </c>
      <c r="M1995">
        <v>137</v>
      </c>
      <c r="N1995" s="123">
        <v>17</v>
      </c>
      <c r="O1995">
        <v>1348</v>
      </c>
      <c r="P1995" s="132" t="s">
        <v>77</v>
      </c>
      <c r="Q1995" s="132">
        <v>1808.62</v>
      </c>
      <c r="R1995" s="132">
        <v>289.38</v>
      </c>
      <c r="S1995" s="132"/>
      <c r="T1995" s="156"/>
      <c r="U1995" s="132"/>
      <c r="V1995" s="132">
        <f t="shared" si="48"/>
        <v>2098</v>
      </c>
      <c r="W1995">
        <v>61</v>
      </c>
      <c r="X1995" s="153" t="s">
        <v>1644</v>
      </c>
      <c r="Y1995" s="124" t="s">
        <v>55</v>
      </c>
      <c r="Z1995" s="308">
        <v>212</v>
      </c>
      <c r="AB1995" t="str">
        <f>IF(Table1[[#This Row],[TIPO2]]="costo", VLOOKUP(Table1[[#This Row],[PARTIDA PRESUPUESTAL]],'Cost Report'!G:G,1,0),"Balance")</f>
        <v>2794-003</v>
      </c>
      <c r="AC1995" s="118"/>
      <c r="AD1995" s="159">
        <f>+Table1[[#This Row],[SUBTOTAL]]+Table1[[#This Row],[IVA]]-Table1[[#This Row],[RET IVA]]-Table1[[#This Row],[RET ISR]]-Table1[[#This Row],[TOTAL]]</f>
        <v>0</v>
      </c>
      <c r="AE1995" s="152"/>
      <c r="AF1995" s="153"/>
      <c r="AG1995" s="126" t="s">
        <v>3420</v>
      </c>
      <c r="AK1995" s="306" t="str">
        <f>IF(ISNUMBER(Table1[[#This Row],[FECHA DE RECIBIDO]]), Table1[[#This Row],[FECHA DE RECIBIDO]]-DATE(2023,8,30), "")</f>
        <v/>
      </c>
    </row>
    <row r="1996" spans="1:37" ht="16.95" customHeight="1">
      <c r="A1996" s="150" t="s">
        <v>3632</v>
      </c>
      <c r="B1996" s="151">
        <v>713</v>
      </c>
      <c r="C1996" s="126" t="s">
        <v>2596</v>
      </c>
      <c r="D1996">
        <v>1371</v>
      </c>
      <c r="E1996" s="126" t="e">
        <v>#N/A</v>
      </c>
      <c r="F1996" s="122" t="e">
        <v>#N/A</v>
      </c>
      <c r="G1996" s="122" t="s">
        <v>134</v>
      </c>
      <c r="H1996">
        <v>36</v>
      </c>
      <c r="I1996" s="122" t="e">
        <v>#N/A</v>
      </c>
      <c r="J1996" s="307" t="s">
        <v>214</v>
      </c>
      <c r="K1996" s="127" t="s">
        <v>3418</v>
      </c>
      <c r="L1996" s="151" t="s">
        <v>1579</v>
      </c>
      <c r="M1996">
        <v>565</v>
      </c>
      <c r="N1996" s="123">
        <v>17</v>
      </c>
      <c r="O1996">
        <v>1349</v>
      </c>
      <c r="P1996" s="132" t="s">
        <v>77</v>
      </c>
      <c r="Q1996" s="131">
        <v>4936.21</v>
      </c>
      <c r="R1996" s="131">
        <v>789.79</v>
      </c>
      <c r="S1996" s="131"/>
      <c r="T1996" s="155"/>
      <c r="U1996" s="131"/>
      <c r="V1996" s="131">
        <f t="shared" si="48"/>
        <v>5726</v>
      </c>
      <c r="W1996">
        <v>61</v>
      </c>
      <c r="X1996" s="151" t="s">
        <v>1644</v>
      </c>
      <c r="Y1996" s="135" t="s">
        <v>55</v>
      </c>
      <c r="Z1996" s="307">
        <v>212</v>
      </c>
      <c r="AB1996" t="str">
        <f>IF(Table1[[#This Row],[TIPO2]]="costo", VLOOKUP(Table1[[#This Row],[PARTIDA PRESUPUESTAL]],'Cost Report'!G:G,1,0),"Balance")</f>
        <v>2794-003</v>
      </c>
      <c r="AC1996" s="118"/>
      <c r="AD1996" s="159">
        <f>+Table1[[#This Row],[SUBTOTAL]]+Table1[[#This Row],[IVA]]-Table1[[#This Row],[RET IVA]]-Table1[[#This Row],[RET ISR]]-Table1[[#This Row],[TOTAL]]</f>
        <v>0</v>
      </c>
      <c r="AE1996" s="150"/>
      <c r="AF1996" s="151"/>
      <c r="AG1996" s="126" t="s">
        <v>3420</v>
      </c>
      <c r="AK1996" s="306" t="str">
        <f>IF(ISNUMBER(Table1[[#This Row],[FECHA DE RECIBIDO]]), Table1[[#This Row],[FECHA DE RECIBIDO]]-DATE(2023,8,30), "")</f>
        <v/>
      </c>
    </row>
    <row r="1997" spans="1:37" ht="16.95" customHeight="1">
      <c r="A1997" s="152" t="s">
        <v>3632</v>
      </c>
      <c r="B1997" s="153">
        <v>713</v>
      </c>
      <c r="C1997" s="126" t="s">
        <v>2596</v>
      </c>
      <c r="D1997">
        <v>1372</v>
      </c>
      <c r="E1997" s="126" t="s">
        <v>3275</v>
      </c>
      <c r="F1997" s="125" t="s">
        <v>1607</v>
      </c>
      <c r="G1997" s="125" t="s">
        <v>134</v>
      </c>
      <c r="H1997">
        <v>150</v>
      </c>
      <c r="I1997" s="125" t="s">
        <v>1546</v>
      </c>
      <c r="J1997" s="308" t="s">
        <v>214</v>
      </c>
      <c r="K1997" s="127" t="s">
        <v>3418</v>
      </c>
      <c r="L1997" s="153" t="s">
        <v>1579</v>
      </c>
      <c r="M1997">
        <v>208</v>
      </c>
      <c r="N1997" s="123">
        <v>17</v>
      </c>
      <c r="O1997">
        <v>1350</v>
      </c>
      <c r="P1997" s="132" t="s">
        <v>77</v>
      </c>
      <c r="Q1997" s="132">
        <v>171.55</v>
      </c>
      <c r="R1997" s="132">
        <v>27.45</v>
      </c>
      <c r="S1997" s="132"/>
      <c r="T1997" s="156"/>
      <c r="U1997" s="132"/>
      <c r="V1997" s="132">
        <f t="shared" si="48"/>
        <v>199</v>
      </c>
      <c r="W1997">
        <v>61</v>
      </c>
      <c r="X1997" s="153" t="s">
        <v>1644</v>
      </c>
      <c r="Y1997" s="124" t="s">
        <v>55</v>
      </c>
      <c r="Z1997" s="308">
        <v>211</v>
      </c>
      <c r="AB1997" t="str">
        <f>IF(Table1[[#This Row],[TIPO2]]="costo", VLOOKUP(Table1[[#This Row],[PARTIDA PRESUPUESTAL]],'Cost Report'!G:G,1,0),"Balance")</f>
        <v>2794-003</v>
      </c>
      <c r="AC1997" s="118"/>
      <c r="AD1997" s="159">
        <f>+Table1[[#This Row],[SUBTOTAL]]+Table1[[#This Row],[IVA]]-Table1[[#This Row],[RET IVA]]-Table1[[#This Row],[RET ISR]]-Table1[[#This Row],[TOTAL]]</f>
        <v>0</v>
      </c>
      <c r="AE1997" s="152"/>
      <c r="AF1997" s="153"/>
      <c r="AG1997" s="126" t="s">
        <v>3420</v>
      </c>
      <c r="AK1997" s="306" t="str">
        <f>IF(ISNUMBER(Table1[[#This Row],[FECHA DE RECIBIDO]]), Table1[[#This Row],[FECHA DE RECIBIDO]]-DATE(2023,8,30), "")</f>
        <v/>
      </c>
    </row>
    <row r="1998" spans="1:37" ht="16.95" customHeight="1">
      <c r="A1998" s="150" t="s">
        <v>3632</v>
      </c>
      <c r="B1998" s="151">
        <v>713</v>
      </c>
      <c r="C1998" s="126" t="s">
        <v>2596</v>
      </c>
      <c r="D1998">
        <v>1373</v>
      </c>
      <c r="E1998" s="126" t="s">
        <v>3275</v>
      </c>
      <c r="F1998" s="122" t="s">
        <v>1607</v>
      </c>
      <c r="G1998" s="122" t="s">
        <v>134</v>
      </c>
      <c r="H1998">
        <v>97</v>
      </c>
      <c r="I1998" s="122" t="s">
        <v>1546</v>
      </c>
      <c r="J1998" s="307" t="s">
        <v>214</v>
      </c>
      <c r="K1998" s="127" t="s">
        <v>3418</v>
      </c>
      <c r="L1998" s="151" t="s">
        <v>1579</v>
      </c>
      <c r="M1998">
        <v>132</v>
      </c>
      <c r="N1998" s="123">
        <v>17</v>
      </c>
      <c r="O1998">
        <v>1333</v>
      </c>
      <c r="P1998" s="132" t="s">
        <v>77</v>
      </c>
      <c r="Q1998" s="131">
        <v>456.03</v>
      </c>
      <c r="R1998" s="131">
        <v>72.97</v>
      </c>
      <c r="S1998" s="131"/>
      <c r="T1998" s="155"/>
      <c r="U1998" s="131"/>
      <c r="V1998" s="131">
        <f t="shared" si="48"/>
        <v>529</v>
      </c>
      <c r="W1998">
        <v>61</v>
      </c>
      <c r="X1998" s="151" t="s">
        <v>1644</v>
      </c>
      <c r="Y1998" s="135" t="s">
        <v>55</v>
      </c>
      <c r="Z1998" s="307">
        <v>212</v>
      </c>
      <c r="AB1998" t="str">
        <f>IF(Table1[[#This Row],[TIPO2]]="costo", VLOOKUP(Table1[[#This Row],[PARTIDA PRESUPUESTAL]],'Cost Report'!G:G,1,0),"Balance")</f>
        <v>2794-003</v>
      </c>
      <c r="AC1998" s="118"/>
      <c r="AD1998" s="159">
        <f>+Table1[[#This Row],[SUBTOTAL]]+Table1[[#This Row],[IVA]]-Table1[[#This Row],[RET IVA]]-Table1[[#This Row],[RET ISR]]-Table1[[#This Row],[TOTAL]]</f>
        <v>0</v>
      </c>
      <c r="AE1998" s="150"/>
      <c r="AF1998" s="151"/>
      <c r="AG1998" s="126" t="s">
        <v>3420</v>
      </c>
      <c r="AK1998" s="306" t="str">
        <f>IF(ISNUMBER(Table1[[#This Row],[FECHA DE RECIBIDO]]), Table1[[#This Row],[FECHA DE RECIBIDO]]-DATE(2023,8,30), "")</f>
        <v/>
      </c>
    </row>
    <row r="1999" spans="1:37" ht="16.95" customHeight="1">
      <c r="A1999" s="152" t="s">
        <v>3632</v>
      </c>
      <c r="B1999" s="153">
        <v>713</v>
      </c>
      <c r="C1999" s="126" t="s">
        <v>2596</v>
      </c>
      <c r="D1999">
        <v>1374</v>
      </c>
      <c r="E1999" s="126" t="s">
        <v>3275</v>
      </c>
      <c r="F1999" s="125" t="s">
        <v>1607</v>
      </c>
      <c r="G1999" s="125" t="s">
        <v>134</v>
      </c>
      <c r="H1999">
        <v>150</v>
      </c>
      <c r="I1999" s="125" t="s">
        <v>1546</v>
      </c>
      <c r="J1999" s="308" t="s">
        <v>214</v>
      </c>
      <c r="K1999" s="127" t="s">
        <v>3418</v>
      </c>
      <c r="L1999" s="153" t="s">
        <v>1579</v>
      </c>
      <c r="M1999">
        <v>208</v>
      </c>
      <c r="N1999" s="123">
        <v>17</v>
      </c>
      <c r="O1999">
        <v>1351</v>
      </c>
      <c r="P1999" s="132" t="s">
        <v>77</v>
      </c>
      <c r="Q1999" s="132">
        <v>387.07</v>
      </c>
      <c r="R1999" s="132">
        <v>61.93</v>
      </c>
      <c r="S1999" s="132"/>
      <c r="T1999" s="156"/>
      <c r="U1999" s="132"/>
      <c r="V1999" s="132">
        <f t="shared" si="48"/>
        <v>449</v>
      </c>
      <c r="W1999">
        <v>61</v>
      </c>
      <c r="X1999" s="153" t="s">
        <v>1644</v>
      </c>
      <c r="Y1999" s="124" t="s">
        <v>55</v>
      </c>
      <c r="Z1999" s="308">
        <v>211</v>
      </c>
      <c r="AB1999" t="str">
        <f>IF(Table1[[#This Row],[TIPO2]]="costo", VLOOKUP(Table1[[#This Row],[PARTIDA PRESUPUESTAL]],'Cost Report'!G:G,1,0),"Balance")</f>
        <v>2794-003</v>
      </c>
      <c r="AC1999" s="118"/>
      <c r="AD1999" s="159">
        <f>+Table1[[#This Row],[SUBTOTAL]]+Table1[[#This Row],[IVA]]-Table1[[#This Row],[RET IVA]]-Table1[[#This Row],[RET ISR]]-Table1[[#This Row],[TOTAL]]</f>
        <v>0</v>
      </c>
      <c r="AE1999" s="152"/>
      <c r="AF1999" s="153"/>
      <c r="AG1999" s="126" t="s">
        <v>3420</v>
      </c>
      <c r="AK1999" s="306" t="str">
        <f>IF(ISNUMBER(Table1[[#This Row],[FECHA DE RECIBIDO]]), Table1[[#This Row],[FECHA DE RECIBIDO]]-DATE(2023,8,30), "")</f>
        <v/>
      </c>
    </row>
    <row r="2000" spans="1:37" ht="16.95" customHeight="1">
      <c r="A2000" s="150" t="s">
        <v>3632</v>
      </c>
      <c r="B2000" s="151">
        <v>713</v>
      </c>
      <c r="C2000" s="126" t="s">
        <v>2596</v>
      </c>
      <c r="D2000">
        <v>1375</v>
      </c>
      <c r="E2000" s="126" t="s">
        <v>2008</v>
      </c>
      <c r="F2000" s="122" t="s">
        <v>1607</v>
      </c>
      <c r="G2000" s="122" t="s">
        <v>134</v>
      </c>
      <c r="H2000">
        <v>102</v>
      </c>
      <c r="I2000" s="122" t="s">
        <v>1546</v>
      </c>
      <c r="J2000" s="307" t="s">
        <v>214</v>
      </c>
      <c r="K2000" s="127" t="s">
        <v>3418</v>
      </c>
      <c r="L2000" s="151" t="s">
        <v>1579</v>
      </c>
      <c r="M2000">
        <v>137</v>
      </c>
      <c r="N2000" s="123">
        <v>17</v>
      </c>
      <c r="O2000">
        <v>1352</v>
      </c>
      <c r="P2000" s="132" t="s">
        <v>77</v>
      </c>
      <c r="Q2000" s="131">
        <v>1291.3800000000001</v>
      </c>
      <c r="R2000" s="131">
        <v>206.62</v>
      </c>
      <c r="S2000" s="131"/>
      <c r="T2000" s="155"/>
      <c r="U2000" s="131"/>
      <c r="V2000" s="131">
        <f t="shared" si="48"/>
        <v>1498</v>
      </c>
      <c r="W2000">
        <v>61</v>
      </c>
      <c r="X2000" s="151" t="s">
        <v>1644</v>
      </c>
      <c r="Y2000" s="135" t="s">
        <v>55</v>
      </c>
      <c r="Z2000" s="307">
        <v>203</v>
      </c>
      <c r="AB2000" t="str">
        <f>IF(Table1[[#This Row],[TIPO2]]="costo", VLOOKUP(Table1[[#This Row],[PARTIDA PRESUPUESTAL]],'Cost Report'!G:G,1,0),"Balance")</f>
        <v>2794-003</v>
      </c>
      <c r="AC2000" s="118"/>
      <c r="AD2000" s="159">
        <f>+Table1[[#This Row],[SUBTOTAL]]+Table1[[#This Row],[IVA]]-Table1[[#This Row],[RET IVA]]-Table1[[#This Row],[RET ISR]]-Table1[[#This Row],[TOTAL]]</f>
        <v>0</v>
      </c>
      <c r="AE2000" s="150"/>
      <c r="AF2000" s="151"/>
      <c r="AG2000" s="126" t="s">
        <v>3420</v>
      </c>
      <c r="AK2000" s="306" t="str">
        <f>IF(ISNUMBER(Table1[[#This Row],[FECHA DE RECIBIDO]]), Table1[[#This Row],[FECHA DE RECIBIDO]]-DATE(2023,8,30), "")</f>
        <v/>
      </c>
    </row>
    <row r="2001" spans="1:37" ht="16.95" customHeight="1">
      <c r="A2001" s="152" t="s">
        <v>3632</v>
      </c>
      <c r="B2001" s="153">
        <v>713</v>
      </c>
      <c r="C2001" s="126" t="s">
        <v>2596</v>
      </c>
      <c r="D2001">
        <v>1376</v>
      </c>
      <c r="E2001" s="126" t="s">
        <v>3272</v>
      </c>
      <c r="F2001" s="125" t="s">
        <v>1607</v>
      </c>
      <c r="G2001" s="125" t="s">
        <v>134</v>
      </c>
      <c r="H2001">
        <v>99</v>
      </c>
      <c r="I2001" s="125" t="s">
        <v>1546</v>
      </c>
      <c r="J2001" s="308" t="s">
        <v>214</v>
      </c>
      <c r="K2001" s="127" t="s">
        <v>3418</v>
      </c>
      <c r="L2001" s="153" t="s">
        <v>1579</v>
      </c>
      <c r="M2001">
        <v>134</v>
      </c>
      <c r="N2001" s="123">
        <v>17</v>
      </c>
      <c r="O2001">
        <v>1340</v>
      </c>
      <c r="P2001" s="132" t="s">
        <v>77</v>
      </c>
      <c r="Q2001" s="132">
        <v>448.28</v>
      </c>
      <c r="R2001" s="132">
        <v>71.72</v>
      </c>
      <c r="S2001" s="132"/>
      <c r="T2001" s="156"/>
      <c r="U2001" s="132"/>
      <c r="V2001" s="132">
        <f t="shared" si="48"/>
        <v>520</v>
      </c>
      <c r="W2001">
        <v>61</v>
      </c>
      <c r="X2001" s="153" t="s">
        <v>1644</v>
      </c>
      <c r="Y2001" s="124" t="s">
        <v>55</v>
      </c>
      <c r="Z2001" s="308">
        <v>212</v>
      </c>
      <c r="AB2001" t="str">
        <f>IF(Table1[[#This Row],[TIPO2]]="costo", VLOOKUP(Table1[[#This Row],[PARTIDA PRESUPUESTAL]],'Cost Report'!G:G,1,0),"Balance")</f>
        <v>2794-003</v>
      </c>
      <c r="AC2001" s="118"/>
      <c r="AD2001" s="159">
        <f>+Table1[[#This Row],[SUBTOTAL]]+Table1[[#This Row],[IVA]]-Table1[[#This Row],[RET IVA]]-Table1[[#This Row],[RET ISR]]-Table1[[#This Row],[TOTAL]]</f>
        <v>0</v>
      </c>
      <c r="AE2001" s="152"/>
      <c r="AF2001" s="153"/>
      <c r="AG2001" s="126" t="s">
        <v>3420</v>
      </c>
      <c r="AK2001" s="306" t="str">
        <f>IF(ISNUMBER(Table1[[#This Row],[FECHA DE RECIBIDO]]), Table1[[#This Row],[FECHA DE RECIBIDO]]-DATE(2023,8,30), "")</f>
        <v/>
      </c>
    </row>
    <row r="2002" spans="1:37" ht="16.95" customHeight="1">
      <c r="A2002" s="150" t="s">
        <v>3632</v>
      </c>
      <c r="B2002" s="151">
        <v>713</v>
      </c>
      <c r="C2002" s="126" t="s">
        <v>2596</v>
      </c>
      <c r="D2002">
        <v>1377</v>
      </c>
      <c r="E2002" s="126" t="s">
        <v>1596</v>
      </c>
      <c r="F2002" s="122" t="s">
        <v>1607</v>
      </c>
      <c r="G2002" s="122" t="s">
        <v>134</v>
      </c>
      <c r="H2002">
        <v>424</v>
      </c>
      <c r="I2002" s="122" t="s">
        <v>1546</v>
      </c>
      <c r="J2002" s="307" t="s">
        <v>214</v>
      </c>
      <c r="K2002" s="127" t="s">
        <v>3418</v>
      </c>
      <c r="L2002" s="151" t="s">
        <v>1579</v>
      </c>
      <c r="M2002">
        <v>567</v>
      </c>
      <c r="N2002" s="123">
        <v>17</v>
      </c>
      <c r="O2002">
        <v>1353</v>
      </c>
      <c r="P2002" s="132" t="s">
        <v>77</v>
      </c>
      <c r="Q2002" s="131">
        <v>2125.02</v>
      </c>
      <c r="R2002" s="131">
        <v>340.01</v>
      </c>
      <c r="S2002" s="131"/>
      <c r="T2002" s="155"/>
      <c r="U2002" s="131"/>
      <c r="V2002" s="131">
        <f t="shared" si="48"/>
        <v>2465.0299999999997</v>
      </c>
      <c r="W2002">
        <v>61</v>
      </c>
      <c r="X2002" s="151" t="s">
        <v>1644</v>
      </c>
      <c r="Y2002" s="135" t="s">
        <v>55</v>
      </c>
      <c r="Z2002" s="307">
        <v>211</v>
      </c>
      <c r="AB2002" t="str">
        <f>IF(Table1[[#This Row],[TIPO2]]="costo", VLOOKUP(Table1[[#This Row],[PARTIDA PRESUPUESTAL]],'Cost Report'!G:G,1,0),"Balance")</f>
        <v>2794-003</v>
      </c>
      <c r="AC2002" s="118"/>
      <c r="AD2002" s="159">
        <f>+Table1[[#This Row],[SUBTOTAL]]+Table1[[#This Row],[IVA]]-Table1[[#This Row],[RET IVA]]-Table1[[#This Row],[RET ISR]]-Table1[[#This Row],[TOTAL]]</f>
        <v>0</v>
      </c>
      <c r="AE2002" s="150"/>
      <c r="AF2002" s="151"/>
      <c r="AG2002" s="126" t="s">
        <v>3420</v>
      </c>
      <c r="AK2002" s="306" t="str">
        <f>IF(ISNUMBER(Table1[[#This Row],[FECHA DE RECIBIDO]]), Table1[[#This Row],[FECHA DE RECIBIDO]]-DATE(2023,8,30), "")</f>
        <v/>
      </c>
    </row>
    <row r="2003" spans="1:37" ht="16.95" customHeight="1">
      <c r="A2003" s="152" t="s">
        <v>3632</v>
      </c>
      <c r="B2003" s="153">
        <v>713</v>
      </c>
      <c r="C2003" s="126" t="s">
        <v>2596</v>
      </c>
      <c r="D2003">
        <v>1378</v>
      </c>
      <c r="E2003" s="126" t="s">
        <v>1993</v>
      </c>
      <c r="F2003" s="125" t="s">
        <v>1607</v>
      </c>
      <c r="G2003" s="125" t="s">
        <v>134</v>
      </c>
      <c r="H2003">
        <v>152</v>
      </c>
      <c r="I2003" s="125" t="s">
        <v>1546</v>
      </c>
      <c r="J2003" s="308" t="s">
        <v>214</v>
      </c>
      <c r="K2003" s="127" t="s">
        <v>3418</v>
      </c>
      <c r="L2003" s="153" t="s">
        <v>1579</v>
      </c>
      <c r="M2003">
        <v>202</v>
      </c>
      <c r="N2003" s="123">
        <v>17</v>
      </c>
      <c r="O2003">
        <v>1354</v>
      </c>
      <c r="P2003" s="132" t="s">
        <v>77</v>
      </c>
      <c r="Q2003" s="132">
        <v>1032.94</v>
      </c>
      <c r="R2003" s="132">
        <v>165.27</v>
      </c>
      <c r="S2003" s="132"/>
      <c r="T2003" s="156"/>
      <c r="U2003" s="132"/>
      <c r="V2003" s="132">
        <f t="shared" si="48"/>
        <v>1198.21</v>
      </c>
      <c r="W2003">
        <v>61</v>
      </c>
      <c r="X2003" s="153" t="s">
        <v>1644</v>
      </c>
      <c r="Y2003" s="124" t="s">
        <v>55</v>
      </c>
      <c r="Z2003" s="308">
        <v>216</v>
      </c>
      <c r="AB2003" t="str">
        <f>IF(Table1[[#This Row],[TIPO2]]="costo", VLOOKUP(Table1[[#This Row],[PARTIDA PRESUPUESTAL]],'Cost Report'!G:G,1,0),"Balance")</f>
        <v>2794-003</v>
      </c>
      <c r="AC2003" s="118"/>
      <c r="AD2003" s="159">
        <f>+Table1[[#This Row],[SUBTOTAL]]+Table1[[#This Row],[IVA]]-Table1[[#This Row],[RET IVA]]-Table1[[#This Row],[RET ISR]]-Table1[[#This Row],[TOTAL]]</f>
        <v>0</v>
      </c>
      <c r="AE2003" s="152"/>
      <c r="AF2003" s="153"/>
      <c r="AG2003" s="126" t="s">
        <v>3420</v>
      </c>
      <c r="AK2003" s="306" t="str">
        <f>IF(ISNUMBER(Table1[[#This Row],[FECHA DE RECIBIDO]]), Table1[[#This Row],[FECHA DE RECIBIDO]]-DATE(2023,8,30), "")</f>
        <v/>
      </c>
    </row>
    <row r="2004" spans="1:37" ht="16.95" customHeight="1">
      <c r="A2004" s="150" t="s">
        <v>3632</v>
      </c>
      <c r="B2004" s="151">
        <v>713</v>
      </c>
      <c r="C2004" s="126" t="s">
        <v>2596</v>
      </c>
      <c r="D2004">
        <v>1379</v>
      </c>
      <c r="E2004" s="126" t="s">
        <v>2082</v>
      </c>
      <c r="F2004" s="122" t="s">
        <v>1382</v>
      </c>
      <c r="G2004" s="122" t="s">
        <v>134</v>
      </c>
      <c r="H2004">
        <v>155</v>
      </c>
      <c r="I2004" s="122" t="s">
        <v>1546</v>
      </c>
      <c r="J2004" s="307" t="s">
        <v>214</v>
      </c>
      <c r="K2004" s="127" t="s">
        <v>3418</v>
      </c>
      <c r="L2004" s="151" t="s">
        <v>1579</v>
      </c>
      <c r="M2004">
        <v>206</v>
      </c>
      <c r="N2004" s="123">
        <v>17</v>
      </c>
      <c r="O2004">
        <v>1338</v>
      </c>
      <c r="P2004" s="132" t="s">
        <v>77</v>
      </c>
      <c r="Q2004" s="131">
        <v>541.38</v>
      </c>
      <c r="R2004" s="131">
        <v>86.62</v>
      </c>
      <c r="S2004" s="131"/>
      <c r="T2004" s="155"/>
      <c r="U2004" s="131"/>
      <c r="V2004" s="131">
        <f t="shared" si="48"/>
        <v>628</v>
      </c>
      <c r="W2004">
        <v>61</v>
      </c>
      <c r="X2004" s="151" t="s">
        <v>1644</v>
      </c>
      <c r="Y2004" s="135" t="s">
        <v>55</v>
      </c>
      <c r="Z2004" s="307">
        <v>211</v>
      </c>
      <c r="AB2004" t="str">
        <f>IF(Table1[[#This Row],[TIPO2]]="costo", VLOOKUP(Table1[[#This Row],[PARTIDA PRESUPUESTAL]],'Cost Report'!G:G,1,0),"Balance")</f>
        <v>2794-003</v>
      </c>
      <c r="AC2004" s="118"/>
      <c r="AD2004" s="159">
        <f>+Table1[[#This Row],[SUBTOTAL]]+Table1[[#This Row],[IVA]]-Table1[[#This Row],[RET IVA]]-Table1[[#This Row],[RET ISR]]-Table1[[#This Row],[TOTAL]]</f>
        <v>0</v>
      </c>
      <c r="AE2004" s="150"/>
      <c r="AF2004" s="151"/>
      <c r="AG2004" s="126" t="s">
        <v>3420</v>
      </c>
      <c r="AK2004" s="306" t="str">
        <f>IF(ISNUMBER(Table1[[#This Row],[FECHA DE RECIBIDO]]), Table1[[#This Row],[FECHA DE RECIBIDO]]-DATE(2023,8,30), "")</f>
        <v/>
      </c>
    </row>
    <row r="2005" spans="1:37" ht="16.95" customHeight="1">
      <c r="A2005" s="152" t="s">
        <v>3632</v>
      </c>
      <c r="B2005" s="153">
        <v>713</v>
      </c>
      <c r="C2005" s="126" t="s">
        <v>2596</v>
      </c>
      <c r="D2005">
        <v>1380</v>
      </c>
      <c r="E2005" s="126" t="s">
        <v>2008</v>
      </c>
      <c r="F2005" s="125" t="s">
        <v>1607</v>
      </c>
      <c r="G2005" s="125" t="s">
        <v>134</v>
      </c>
      <c r="H2005">
        <v>100</v>
      </c>
      <c r="I2005" s="125" t="s">
        <v>1546</v>
      </c>
      <c r="J2005" s="308" t="s">
        <v>214</v>
      </c>
      <c r="K2005" s="127" t="s">
        <v>3418</v>
      </c>
      <c r="L2005" s="153" t="s">
        <v>1579</v>
      </c>
      <c r="M2005">
        <v>135</v>
      </c>
      <c r="N2005" s="123">
        <v>17</v>
      </c>
      <c r="O2005">
        <v>1347</v>
      </c>
      <c r="P2005" s="132" t="s">
        <v>77</v>
      </c>
      <c r="Q2005" s="132">
        <v>162.93</v>
      </c>
      <c r="R2005" s="132">
        <v>26.07</v>
      </c>
      <c r="S2005" s="132"/>
      <c r="T2005" s="156"/>
      <c r="U2005" s="132"/>
      <c r="V2005" s="132">
        <f t="shared" si="48"/>
        <v>189</v>
      </c>
      <c r="W2005">
        <v>61</v>
      </c>
      <c r="X2005" s="153" t="s">
        <v>1644</v>
      </c>
      <c r="Y2005" s="124" t="s">
        <v>55</v>
      </c>
      <c r="Z2005" s="308">
        <v>216</v>
      </c>
      <c r="AB2005" t="str">
        <f>IF(Table1[[#This Row],[TIPO2]]="costo", VLOOKUP(Table1[[#This Row],[PARTIDA PRESUPUESTAL]],'Cost Report'!G:G,1,0),"Balance")</f>
        <v>2794-003</v>
      </c>
      <c r="AC2005" s="118"/>
      <c r="AD2005" s="159">
        <f>+Table1[[#This Row],[SUBTOTAL]]+Table1[[#This Row],[IVA]]-Table1[[#This Row],[RET IVA]]-Table1[[#This Row],[RET ISR]]-Table1[[#This Row],[TOTAL]]</f>
        <v>0</v>
      </c>
      <c r="AE2005" s="152"/>
      <c r="AF2005" s="153"/>
      <c r="AG2005" s="126" t="s">
        <v>3420</v>
      </c>
      <c r="AK2005" s="306" t="str">
        <f>IF(ISNUMBER(Table1[[#This Row],[FECHA DE RECIBIDO]]), Table1[[#This Row],[FECHA DE RECIBIDO]]-DATE(2023,8,30), "")</f>
        <v/>
      </c>
    </row>
    <row r="2006" spans="1:37" ht="16.95" customHeight="1">
      <c r="A2006" s="150" t="s">
        <v>3632</v>
      </c>
      <c r="B2006" s="151">
        <v>713</v>
      </c>
      <c r="C2006" s="126" t="s">
        <v>2596</v>
      </c>
      <c r="D2006">
        <v>1381</v>
      </c>
      <c r="E2006" s="126" t="s">
        <v>2008</v>
      </c>
      <c r="F2006" s="122" t="s">
        <v>1607</v>
      </c>
      <c r="G2006" s="122" t="s">
        <v>134</v>
      </c>
      <c r="H2006">
        <v>100</v>
      </c>
      <c r="I2006" s="122" t="s">
        <v>1546</v>
      </c>
      <c r="J2006" s="307" t="s">
        <v>214</v>
      </c>
      <c r="K2006" s="127" t="s">
        <v>3418</v>
      </c>
      <c r="L2006" s="151" t="s">
        <v>1579</v>
      </c>
      <c r="M2006">
        <v>135</v>
      </c>
      <c r="N2006" s="123">
        <v>17</v>
      </c>
      <c r="O2006">
        <v>1355</v>
      </c>
      <c r="P2006" s="132" t="s">
        <v>77</v>
      </c>
      <c r="Q2006" s="131">
        <v>1118.1099999999999</v>
      </c>
      <c r="R2006" s="131">
        <v>178.89</v>
      </c>
      <c r="S2006" s="131"/>
      <c r="T2006" s="155"/>
      <c r="U2006" s="131"/>
      <c r="V2006" s="131">
        <f t="shared" si="48"/>
        <v>1297</v>
      </c>
      <c r="W2006">
        <v>61</v>
      </c>
      <c r="X2006" s="151" t="s">
        <v>1644</v>
      </c>
      <c r="Y2006" s="135" t="s">
        <v>55</v>
      </c>
      <c r="Z2006" s="307">
        <v>216</v>
      </c>
      <c r="AB2006" t="str">
        <f>IF(Table1[[#This Row],[TIPO2]]="costo", VLOOKUP(Table1[[#This Row],[PARTIDA PRESUPUESTAL]],'Cost Report'!G:G,1,0),"Balance")</f>
        <v>2794-003</v>
      </c>
      <c r="AC2006" s="118"/>
      <c r="AD2006" s="159">
        <f>+Table1[[#This Row],[SUBTOTAL]]+Table1[[#This Row],[IVA]]-Table1[[#This Row],[RET IVA]]-Table1[[#This Row],[RET ISR]]-Table1[[#This Row],[TOTAL]]</f>
        <v>0</v>
      </c>
      <c r="AE2006" s="150"/>
      <c r="AF2006" s="151"/>
      <c r="AG2006" s="126" t="s">
        <v>3420</v>
      </c>
      <c r="AK2006" s="306" t="str">
        <f>IF(ISNUMBER(Table1[[#This Row],[FECHA DE RECIBIDO]]), Table1[[#This Row],[FECHA DE RECIBIDO]]-DATE(2023,8,30), "")</f>
        <v/>
      </c>
    </row>
    <row r="2007" spans="1:37" ht="16.95" customHeight="1">
      <c r="A2007" s="152" t="s">
        <v>3632</v>
      </c>
      <c r="B2007" s="153">
        <v>713</v>
      </c>
      <c r="C2007" s="126" t="s">
        <v>2596</v>
      </c>
      <c r="D2007">
        <v>1382</v>
      </c>
      <c r="E2007" s="126" t="s">
        <v>2008</v>
      </c>
      <c r="F2007" s="125" t="s">
        <v>1607</v>
      </c>
      <c r="G2007" s="125" t="s">
        <v>134</v>
      </c>
      <c r="H2007">
        <v>100</v>
      </c>
      <c r="I2007" s="125" t="s">
        <v>1546</v>
      </c>
      <c r="J2007" s="308" t="s">
        <v>214</v>
      </c>
      <c r="K2007" s="127" t="s">
        <v>3418</v>
      </c>
      <c r="L2007" s="153" t="s">
        <v>1579</v>
      </c>
      <c r="M2007">
        <v>135</v>
      </c>
      <c r="N2007" s="123">
        <v>17</v>
      </c>
      <c r="O2007">
        <v>1354</v>
      </c>
      <c r="P2007" s="132" t="s">
        <v>77</v>
      </c>
      <c r="Q2007" s="132">
        <v>1463.79</v>
      </c>
      <c r="R2007" s="132">
        <v>234.21</v>
      </c>
      <c r="S2007" s="132"/>
      <c r="T2007" s="156"/>
      <c r="U2007" s="132"/>
      <c r="V2007" s="132">
        <f t="shared" si="48"/>
        <v>1698</v>
      </c>
      <c r="W2007">
        <v>61</v>
      </c>
      <c r="X2007" s="153" t="s">
        <v>1644</v>
      </c>
      <c r="Y2007" s="124" t="s">
        <v>55</v>
      </c>
      <c r="Z2007" s="308">
        <v>213</v>
      </c>
      <c r="AB2007" t="str">
        <f>IF(Table1[[#This Row],[TIPO2]]="costo", VLOOKUP(Table1[[#This Row],[PARTIDA PRESUPUESTAL]],'Cost Report'!G:G,1,0),"Balance")</f>
        <v>2794-003</v>
      </c>
      <c r="AC2007" s="118"/>
      <c r="AD2007" s="159">
        <f>+Table1[[#This Row],[SUBTOTAL]]+Table1[[#This Row],[IVA]]-Table1[[#This Row],[RET IVA]]-Table1[[#This Row],[RET ISR]]-Table1[[#This Row],[TOTAL]]</f>
        <v>0</v>
      </c>
      <c r="AE2007" s="152"/>
      <c r="AF2007" s="153"/>
      <c r="AG2007" s="126" t="s">
        <v>3420</v>
      </c>
      <c r="AK2007" s="306" t="str">
        <f>IF(ISNUMBER(Table1[[#This Row],[FECHA DE RECIBIDO]]), Table1[[#This Row],[FECHA DE RECIBIDO]]-DATE(2023,8,30), "")</f>
        <v/>
      </c>
    </row>
    <row r="2008" spans="1:37" ht="16.95" customHeight="1">
      <c r="A2008" s="150" t="s">
        <v>3632</v>
      </c>
      <c r="B2008" s="151">
        <v>713</v>
      </c>
      <c r="C2008" s="126" t="s">
        <v>2596</v>
      </c>
      <c r="D2008">
        <v>1383</v>
      </c>
      <c r="E2008" s="126" t="s">
        <v>1598</v>
      </c>
      <c r="F2008" s="122" t="s">
        <v>1607</v>
      </c>
      <c r="G2008" s="122" t="s">
        <v>134</v>
      </c>
      <c r="H2008">
        <v>150</v>
      </c>
      <c r="I2008" s="122" t="s">
        <v>1546</v>
      </c>
      <c r="J2008" s="307" t="s">
        <v>214</v>
      </c>
      <c r="K2008" s="127" t="s">
        <v>3418</v>
      </c>
      <c r="L2008" s="151" t="s">
        <v>1579</v>
      </c>
      <c r="M2008">
        <v>208</v>
      </c>
      <c r="N2008" s="123">
        <v>17</v>
      </c>
      <c r="O2008">
        <v>1347</v>
      </c>
      <c r="P2008" s="132" t="s">
        <v>77</v>
      </c>
      <c r="Q2008" s="131">
        <v>387.07</v>
      </c>
      <c r="R2008" s="131">
        <v>61.93</v>
      </c>
      <c r="S2008" s="131"/>
      <c r="T2008" s="155"/>
      <c r="U2008" s="131"/>
      <c r="V2008" s="131">
        <f t="shared" si="48"/>
        <v>449</v>
      </c>
      <c r="W2008">
        <v>61</v>
      </c>
      <c r="X2008" s="151" t="s">
        <v>1644</v>
      </c>
      <c r="Y2008" s="135" t="s">
        <v>55</v>
      </c>
      <c r="Z2008" s="307">
        <v>216</v>
      </c>
      <c r="AB2008" t="str">
        <f>IF(Table1[[#This Row],[TIPO2]]="costo", VLOOKUP(Table1[[#This Row],[PARTIDA PRESUPUESTAL]],'Cost Report'!G:G,1,0),"Balance")</f>
        <v>2794-003</v>
      </c>
      <c r="AC2008" s="118"/>
      <c r="AD2008" s="159">
        <f>+Table1[[#This Row],[SUBTOTAL]]+Table1[[#This Row],[IVA]]-Table1[[#This Row],[RET IVA]]-Table1[[#This Row],[RET ISR]]-Table1[[#This Row],[TOTAL]]</f>
        <v>0</v>
      </c>
      <c r="AE2008" s="150"/>
      <c r="AF2008" s="151"/>
      <c r="AG2008" s="126" t="s">
        <v>3420</v>
      </c>
      <c r="AK2008" s="306" t="str">
        <f>IF(ISNUMBER(Table1[[#This Row],[FECHA DE RECIBIDO]]), Table1[[#This Row],[FECHA DE RECIBIDO]]-DATE(2023,8,30), "")</f>
        <v/>
      </c>
    </row>
    <row r="2009" spans="1:37" ht="16.95" customHeight="1">
      <c r="A2009" s="152" t="s">
        <v>3632</v>
      </c>
      <c r="B2009" s="153">
        <v>713</v>
      </c>
      <c r="C2009" s="126" t="s">
        <v>2596</v>
      </c>
      <c r="D2009">
        <v>1384</v>
      </c>
      <c r="E2009" s="126" t="s">
        <v>1596</v>
      </c>
      <c r="F2009" s="125" t="s">
        <v>1607</v>
      </c>
      <c r="G2009" s="125" t="s">
        <v>134</v>
      </c>
      <c r="H2009">
        <v>425</v>
      </c>
      <c r="I2009" s="125" t="s">
        <v>1546</v>
      </c>
      <c r="J2009" s="308" t="s">
        <v>214</v>
      </c>
      <c r="K2009" s="127" t="s">
        <v>3418</v>
      </c>
      <c r="L2009" s="153" t="s">
        <v>1579</v>
      </c>
      <c r="M2009">
        <v>565</v>
      </c>
      <c r="N2009" s="123">
        <v>17</v>
      </c>
      <c r="O2009">
        <v>1356</v>
      </c>
      <c r="P2009" s="132" t="s">
        <v>77</v>
      </c>
      <c r="Q2009" s="132">
        <v>941.38</v>
      </c>
      <c r="R2009" s="132">
        <v>150.62</v>
      </c>
      <c r="S2009" s="132"/>
      <c r="T2009" s="156"/>
      <c r="U2009" s="132"/>
      <c r="V2009" s="132">
        <f t="shared" si="48"/>
        <v>1092</v>
      </c>
      <c r="W2009">
        <v>61</v>
      </c>
      <c r="X2009" s="153" t="s">
        <v>1644</v>
      </c>
      <c r="Y2009" s="124" t="s">
        <v>55</v>
      </c>
      <c r="Z2009" s="308">
        <v>216</v>
      </c>
      <c r="AB2009" t="str">
        <f>IF(Table1[[#This Row],[TIPO2]]="costo", VLOOKUP(Table1[[#This Row],[PARTIDA PRESUPUESTAL]],'Cost Report'!G:G,1,0),"Balance")</f>
        <v>2794-003</v>
      </c>
      <c r="AC2009" s="118"/>
      <c r="AD2009" s="159">
        <f>+Table1[[#This Row],[SUBTOTAL]]+Table1[[#This Row],[IVA]]-Table1[[#This Row],[RET IVA]]-Table1[[#This Row],[RET ISR]]-Table1[[#This Row],[TOTAL]]</f>
        <v>0</v>
      </c>
      <c r="AE2009" s="152"/>
      <c r="AF2009" s="153"/>
      <c r="AG2009" s="126" t="s">
        <v>3420</v>
      </c>
      <c r="AK2009" s="306" t="str">
        <f>IF(ISNUMBER(Table1[[#This Row],[FECHA DE RECIBIDO]]), Table1[[#This Row],[FECHA DE RECIBIDO]]-DATE(2023,8,30), "")</f>
        <v/>
      </c>
    </row>
    <row r="2010" spans="1:37" ht="16.95" customHeight="1">
      <c r="A2010" s="150" t="s">
        <v>3632</v>
      </c>
      <c r="B2010" s="151">
        <v>713</v>
      </c>
      <c r="C2010" s="126" t="s">
        <v>2596</v>
      </c>
      <c r="D2010">
        <v>1385</v>
      </c>
      <c r="E2010" s="126" t="s">
        <v>1993</v>
      </c>
      <c r="F2010" s="122" t="s">
        <v>1607</v>
      </c>
      <c r="G2010" s="122" t="s">
        <v>134</v>
      </c>
      <c r="H2010">
        <v>426</v>
      </c>
      <c r="I2010" s="122" t="s">
        <v>1546</v>
      </c>
      <c r="J2010" s="307" t="s">
        <v>214</v>
      </c>
      <c r="K2010" s="127" t="s">
        <v>3418</v>
      </c>
      <c r="L2010" s="151" t="s">
        <v>1579</v>
      </c>
      <c r="M2010">
        <v>568</v>
      </c>
      <c r="N2010" s="123">
        <v>17</v>
      </c>
      <c r="O2010">
        <v>1357</v>
      </c>
      <c r="P2010" s="132" t="s">
        <v>77</v>
      </c>
      <c r="Q2010" s="131">
        <v>990.52</v>
      </c>
      <c r="R2010" s="131">
        <v>158.47999999999999</v>
      </c>
      <c r="S2010" s="131"/>
      <c r="T2010" s="155"/>
      <c r="U2010" s="131"/>
      <c r="V2010" s="131">
        <f t="shared" si="48"/>
        <v>1149</v>
      </c>
      <c r="W2010">
        <v>61</v>
      </c>
      <c r="X2010" s="151" t="s">
        <v>1644</v>
      </c>
      <c r="Y2010" s="135" t="s">
        <v>55</v>
      </c>
      <c r="Z2010" s="307">
        <v>216</v>
      </c>
      <c r="AB2010" t="str">
        <f>IF(Table1[[#This Row],[TIPO2]]="costo", VLOOKUP(Table1[[#This Row],[PARTIDA PRESUPUESTAL]],'Cost Report'!G:G,1,0),"Balance")</f>
        <v>2794-003</v>
      </c>
      <c r="AC2010" s="118"/>
      <c r="AD2010" s="159">
        <f>+Table1[[#This Row],[SUBTOTAL]]+Table1[[#This Row],[IVA]]-Table1[[#This Row],[RET IVA]]-Table1[[#This Row],[RET ISR]]-Table1[[#This Row],[TOTAL]]</f>
        <v>0</v>
      </c>
      <c r="AE2010" s="150"/>
      <c r="AF2010" s="151"/>
      <c r="AG2010" s="126" t="s">
        <v>3420</v>
      </c>
      <c r="AK2010" s="306" t="str">
        <f>IF(ISNUMBER(Table1[[#This Row],[FECHA DE RECIBIDO]]), Table1[[#This Row],[FECHA DE RECIBIDO]]-DATE(2023,8,30), "")</f>
        <v/>
      </c>
    </row>
    <row r="2011" spans="1:37" ht="16.95" customHeight="1">
      <c r="A2011" s="152" t="s">
        <v>3632</v>
      </c>
      <c r="B2011" s="153">
        <v>713</v>
      </c>
      <c r="C2011" s="126" t="s">
        <v>2596</v>
      </c>
      <c r="D2011">
        <v>1386</v>
      </c>
      <c r="E2011" s="126" t="s">
        <v>3636</v>
      </c>
      <c r="F2011" s="125" t="s">
        <v>1607</v>
      </c>
      <c r="G2011" s="125" t="s">
        <v>134</v>
      </c>
      <c r="H2011">
        <v>326</v>
      </c>
      <c r="I2011" s="125" t="s">
        <v>1546</v>
      </c>
      <c r="J2011" s="308" t="s">
        <v>214</v>
      </c>
      <c r="K2011" s="127" t="s">
        <v>3418</v>
      </c>
      <c r="L2011" s="153" t="s">
        <v>1579</v>
      </c>
      <c r="M2011">
        <v>435</v>
      </c>
      <c r="N2011" s="123">
        <v>17</v>
      </c>
      <c r="O2011">
        <v>1358</v>
      </c>
      <c r="P2011" s="132" t="s">
        <v>77</v>
      </c>
      <c r="Q2011" s="132">
        <v>1896.55</v>
      </c>
      <c r="R2011" s="132">
        <v>303.45</v>
      </c>
      <c r="S2011" s="132"/>
      <c r="T2011" s="156"/>
      <c r="U2011" s="132"/>
      <c r="V2011" s="132">
        <f t="shared" si="48"/>
        <v>2200</v>
      </c>
      <c r="W2011">
        <v>61</v>
      </c>
      <c r="X2011" s="153" t="s">
        <v>1644</v>
      </c>
      <c r="Y2011" s="124" t="s">
        <v>55</v>
      </c>
      <c r="Z2011" s="308">
        <v>213</v>
      </c>
      <c r="AB2011" t="str">
        <f>IF(Table1[[#This Row],[TIPO2]]="costo", VLOOKUP(Table1[[#This Row],[PARTIDA PRESUPUESTAL]],'Cost Report'!G:G,1,0),"Balance")</f>
        <v>2794-003</v>
      </c>
      <c r="AC2011" s="118"/>
      <c r="AD2011" s="159">
        <f>+Table1[[#This Row],[SUBTOTAL]]+Table1[[#This Row],[IVA]]-Table1[[#This Row],[RET IVA]]-Table1[[#This Row],[RET ISR]]-Table1[[#This Row],[TOTAL]]</f>
        <v>0</v>
      </c>
      <c r="AE2011" s="152"/>
      <c r="AF2011" s="153"/>
      <c r="AG2011" s="126" t="s">
        <v>3420</v>
      </c>
      <c r="AK2011" s="306" t="str">
        <f>IF(ISNUMBER(Table1[[#This Row],[FECHA DE RECIBIDO]]), Table1[[#This Row],[FECHA DE RECIBIDO]]-DATE(2023,8,30), "")</f>
        <v/>
      </c>
    </row>
    <row r="2012" spans="1:37" ht="16.95" customHeight="1">
      <c r="A2012" s="150" t="s">
        <v>3632</v>
      </c>
      <c r="B2012" s="151">
        <v>713</v>
      </c>
      <c r="C2012" s="126" t="s">
        <v>2596</v>
      </c>
      <c r="D2012">
        <v>1387</v>
      </c>
      <c r="E2012" s="126" t="s">
        <v>2008</v>
      </c>
      <c r="F2012" s="122" t="s">
        <v>1607</v>
      </c>
      <c r="G2012" s="122" t="s">
        <v>134</v>
      </c>
      <c r="H2012">
        <v>102</v>
      </c>
      <c r="I2012" s="122" t="s">
        <v>1546</v>
      </c>
      <c r="J2012" s="307" t="s">
        <v>214</v>
      </c>
      <c r="K2012" s="127" t="s">
        <v>3418</v>
      </c>
      <c r="L2012" s="151" t="s">
        <v>1579</v>
      </c>
      <c r="M2012">
        <v>137</v>
      </c>
      <c r="N2012" s="123">
        <v>17</v>
      </c>
      <c r="O2012">
        <v>1348</v>
      </c>
      <c r="P2012" s="132" t="s">
        <v>77</v>
      </c>
      <c r="Q2012" s="131">
        <v>3616.38</v>
      </c>
      <c r="R2012" s="131">
        <v>578.62</v>
      </c>
      <c r="S2012" s="131"/>
      <c r="T2012" s="155"/>
      <c r="U2012" s="131"/>
      <c r="V2012" s="131">
        <f t="shared" si="48"/>
        <v>4195</v>
      </c>
      <c r="W2012">
        <v>61</v>
      </c>
      <c r="X2012" s="151" t="s">
        <v>1644</v>
      </c>
      <c r="Y2012" s="135" t="s">
        <v>55</v>
      </c>
      <c r="Z2012" s="307">
        <v>213</v>
      </c>
      <c r="AB2012" t="str">
        <f>IF(Table1[[#This Row],[TIPO2]]="costo", VLOOKUP(Table1[[#This Row],[PARTIDA PRESUPUESTAL]],'Cost Report'!G:G,1,0),"Balance")</f>
        <v>2794-003</v>
      </c>
      <c r="AC2012" s="118"/>
      <c r="AD2012" s="159">
        <f>+Table1[[#This Row],[SUBTOTAL]]+Table1[[#This Row],[IVA]]-Table1[[#This Row],[RET IVA]]-Table1[[#This Row],[RET ISR]]-Table1[[#This Row],[TOTAL]]</f>
        <v>0</v>
      </c>
      <c r="AE2012" s="150"/>
      <c r="AF2012" s="151"/>
      <c r="AG2012" s="126" t="s">
        <v>3420</v>
      </c>
      <c r="AK2012" s="306" t="str">
        <f>IF(ISNUMBER(Table1[[#This Row],[FECHA DE RECIBIDO]]), Table1[[#This Row],[FECHA DE RECIBIDO]]-DATE(2023,8,30), "")</f>
        <v/>
      </c>
    </row>
    <row r="2013" spans="1:37" ht="16.95" customHeight="1">
      <c r="A2013" s="152" t="s">
        <v>3632</v>
      </c>
      <c r="B2013" s="153">
        <v>713</v>
      </c>
      <c r="C2013" s="126" t="s">
        <v>2596</v>
      </c>
      <c r="D2013">
        <v>1388</v>
      </c>
      <c r="E2013" s="126" t="e">
        <v>#N/A</v>
      </c>
      <c r="F2013" s="125" t="e">
        <v>#N/A</v>
      </c>
      <c r="G2013" s="125" t="s">
        <v>134</v>
      </c>
      <c r="H2013">
        <v>36</v>
      </c>
      <c r="I2013" s="125" t="e">
        <v>#N/A</v>
      </c>
      <c r="J2013" s="308" t="s">
        <v>214</v>
      </c>
      <c r="K2013" s="127" t="s">
        <v>3418</v>
      </c>
      <c r="L2013" s="153" t="s">
        <v>1579</v>
      </c>
      <c r="M2013">
        <v>132</v>
      </c>
      <c r="N2013" s="123">
        <v>17</v>
      </c>
      <c r="O2013">
        <v>1333</v>
      </c>
      <c r="P2013" s="132" t="s">
        <v>77</v>
      </c>
      <c r="Q2013" s="132">
        <v>430.17</v>
      </c>
      <c r="R2013" s="132">
        <v>68.83</v>
      </c>
      <c r="S2013" s="132"/>
      <c r="T2013" s="156"/>
      <c r="U2013" s="132"/>
      <c r="V2013" s="132">
        <f t="shared" si="48"/>
        <v>499</v>
      </c>
      <c r="W2013">
        <v>61</v>
      </c>
      <c r="X2013" s="153" t="s">
        <v>1644</v>
      </c>
      <c r="Y2013" s="124" t="s">
        <v>55</v>
      </c>
      <c r="Z2013" s="308">
        <v>213</v>
      </c>
      <c r="AB2013" t="str">
        <f>IF(Table1[[#This Row],[TIPO2]]="costo", VLOOKUP(Table1[[#This Row],[PARTIDA PRESUPUESTAL]],'Cost Report'!G:G,1,0),"Balance")</f>
        <v>2794-003</v>
      </c>
      <c r="AC2013" s="118"/>
      <c r="AD2013" s="159">
        <f>+Table1[[#This Row],[SUBTOTAL]]+Table1[[#This Row],[IVA]]-Table1[[#This Row],[RET IVA]]-Table1[[#This Row],[RET ISR]]-Table1[[#This Row],[TOTAL]]</f>
        <v>0</v>
      </c>
      <c r="AE2013" s="152"/>
      <c r="AF2013" s="153"/>
      <c r="AG2013" s="126" t="s">
        <v>3420</v>
      </c>
      <c r="AK2013" s="306" t="str">
        <f>IF(ISNUMBER(Table1[[#This Row],[FECHA DE RECIBIDO]]), Table1[[#This Row],[FECHA DE RECIBIDO]]-DATE(2023,8,30), "")</f>
        <v/>
      </c>
    </row>
    <row r="2014" spans="1:37" ht="16.95" customHeight="1">
      <c r="A2014" s="150" t="s">
        <v>3632</v>
      </c>
      <c r="B2014" s="151">
        <v>713</v>
      </c>
      <c r="C2014" s="126" t="s">
        <v>2596</v>
      </c>
      <c r="D2014">
        <v>1389</v>
      </c>
      <c r="E2014" s="126" t="s">
        <v>3275</v>
      </c>
      <c r="F2014" s="122" t="s">
        <v>1607</v>
      </c>
      <c r="G2014" s="122" t="s">
        <v>134</v>
      </c>
      <c r="H2014">
        <v>150</v>
      </c>
      <c r="I2014" s="122" t="s">
        <v>1546</v>
      </c>
      <c r="J2014" s="307" t="s">
        <v>214</v>
      </c>
      <c r="K2014" s="127" t="s">
        <v>3418</v>
      </c>
      <c r="L2014" s="151" t="s">
        <v>1579</v>
      </c>
      <c r="M2014">
        <v>208</v>
      </c>
      <c r="N2014" s="123">
        <v>17</v>
      </c>
      <c r="O2014">
        <v>1359</v>
      </c>
      <c r="P2014" s="132" t="s">
        <v>77</v>
      </c>
      <c r="Q2014" s="131">
        <v>2107.7800000000002</v>
      </c>
      <c r="R2014" s="131">
        <v>337.24</v>
      </c>
      <c r="S2014" s="131"/>
      <c r="T2014" s="155"/>
      <c r="U2014" s="131"/>
      <c r="V2014" s="131">
        <f t="shared" si="48"/>
        <v>2445.0200000000004</v>
      </c>
      <c r="W2014">
        <v>61</v>
      </c>
      <c r="X2014" s="151" t="s">
        <v>1644</v>
      </c>
      <c r="Y2014" s="135" t="s">
        <v>55</v>
      </c>
      <c r="Z2014" s="307">
        <v>213</v>
      </c>
      <c r="AB2014" t="str">
        <f>IF(Table1[[#This Row],[TIPO2]]="costo", VLOOKUP(Table1[[#This Row],[PARTIDA PRESUPUESTAL]],'Cost Report'!G:G,1,0),"Balance")</f>
        <v>2794-003</v>
      </c>
      <c r="AC2014" s="118"/>
      <c r="AD2014" s="159">
        <f>+Table1[[#This Row],[SUBTOTAL]]+Table1[[#This Row],[IVA]]-Table1[[#This Row],[RET IVA]]-Table1[[#This Row],[RET ISR]]-Table1[[#This Row],[TOTAL]]</f>
        <v>0</v>
      </c>
      <c r="AE2014" s="150"/>
      <c r="AF2014" s="151"/>
      <c r="AG2014" s="126" t="s">
        <v>3420</v>
      </c>
      <c r="AK2014" s="306" t="str">
        <f>IF(ISNUMBER(Table1[[#This Row],[FECHA DE RECIBIDO]]), Table1[[#This Row],[FECHA DE RECIBIDO]]-DATE(2023,8,30), "")</f>
        <v/>
      </c>
    </row>
    <row r="2015" spans="1:37" ht="16.95" customHeight="1">
      <c r="A2015" s="152" t="s">
        <v>3632</v>
      </c>
      <c r="B2015" s="153">
        <v>713</v>
      </c>
      <c r="C2015" s="126" t="s">
        <v>2596</v>
      </c>
      <c r="D2015">
        <v>1390</v>
      </c>
      <c r="E2015" s="126" t="s">
        <v>2082</v>
      </c>
      <c r="F2015" s="125" t="s">
        <v>1382</v>
      </c>
      <c r="G2015" s="125" t="s">
        <v>134</v>
      </c>
      <c r="H2015">
        <v>155</v>
      </c>
      <c r="I2015" s="125" t="s">
        <v>1546</v>
      </c>
      <c r="J2015" s="308" t="s">
        <v>214</v>
      </c>
      <c r="K2015" s="127" t="s">
        <v>3418</v>
      </c>
      <c r="L2015" s="153" t="s">
        <v>1579</v>
      </c>
      <c r="M2015">
        <v>206</v>
      </c>
      <c r="N2015" s="123">
        <v>17</v>
      </c>
      <c r="O2015">
        <v>1338</v>
      </c>
      <c r="P2015" s="132" t="s">
        <v>77</v>
      </c>
      <c r="Q2015" s="132">
        <v>541.38</v>
      </c>
      <c r="R2015" s="132">
        <v>86.62</v>
      </c>
      <c r="S2015" s="132"/>
      <c r="T2015" s="156"/>
      <c r="U2015" s="132"/>
      <c r="V2015" s="132">
        <f t="shared" si="48"/>
        <v>628</v>
      </c>
      <c r="W2015">
        <v>61</v>
      </c>
      <c r="X2015" s="153" t="s">
        <v>1644</v>
      </c>
      <c r="Y2015" s="124" t="s">
        <v>55</v>
      </c>
      <c r="Z2015" s="308">
        <v>213</v>
      </c>
      <c r="AB2015" t="str">
        <f>IF(Table1[[#This Row],[TIPO2]]="costo", VLOOKUP(Table1[[#This Row],[PARTIDA PRESUPUESTAL]],'Cost Report'!G:G,1,0),"Balance")</f>
        <v>2794-003</v>
      </c>
      <c r="AC2015" s="118"/>
      <c r="AD2015" s="159">
        <f>+Table1[[#This Row],[SUBTOTAL]]+Table1[[#This Row],[IVA]]-Table1[[#This Row],[RET IVA]]-Table1[[#This Row],[RET ISR]]-Table1[[#This Row],[TOTAL]]</f>
        <v>0</v>
      </c>
      <c r="AE2015" s="152"/>
      <c r="AF2015" s="153"/>
      <c r="AG2015" s="126" t="s">
        <v>3420</v>
      </c>
      <c r="AK2015" s="306" t="str">
        <f>IF(ISNUMBER(Table1[[#This Row],[FECHA DE RECIBIDO]]), Table1[[#This Row],[FECHA DE RECIBIDO]]-DATE(2023,8,30), "")</f>
        <v/>
      </c>
    </row>
    <row r="2016" spans="1:37" ht="16.95" customHeight="1">
      <c r="A2016" s="150" t="s">
        <v>3632</v>
      </c>
      <c r="B2016" s="151">
        <v>713</v>
      </c>
      <c r="C2016" s="126" t="s">
        <v>2596</v>
      </c>
      <c r="D2016">
        <v>1391</v>
      </c>
      <c r="E2016" s="126" t="s">
        <v>2008</v>
      </c>
      <c r="F2016" s="122" t="s">
        <v>1607</v>
      </c>
      <c r="G2016" s="122" t="s">
        <v>134</v>
      </c>
      <c r="H2016">
        <v>102</v>
      </c>
      <c r="I2016" s="122" t="s">
        <v>1546</v>
      </c>
      <c r="J2016" s="307" t="s">
        <v>214</v>
      </c>
      <c r="K2016" s="127" t="s">
        <v>3418</v>
      </c>
      <c r="L2016" s="151" t="s">
        <v>1579</v>
      </c>
      <c r="M2016">
        <v>137</v>
      </c>
      <c r="N2016" s="123">
        <v>17</v>
      </c>
      <c r="O2016">
        <v>1338</v>
      </c>
      <c r="P2016" s="132" t="s">
        <v>77</v>
      </c>
      <c r="Q2016" s="131">
        <v>3617.24</v>
      </c>
      <c r="R2016" s="131">
        <v>578.76</v>
      </c>
      <c r="S2016" s="131"/>
      <c r="T2016" s="155"/>
      <c r="U2016" s="131"/>
      <c r="V2016" s="131">
        <f t="shared" si="48"/>
        <v>4196</v>
      </c>
      <c r="W2016">
        <v>61</v>
      </c>
      <c r="X2016" s="151" t="s">
        <v>1644</v>
      </c>
      <c r="Y2016" s="135" t="s">
        <v>55</v>
      </c>
      <c r="Z2016" s="307">
        <v>213</v>
      </c>
      <c r="AB2016" t="str">
        <f>IF(Table1[[#This Row],[TIPO2]]="costo", VLOOKUP(Table1[[#This Row],[PARTIDA PRESUPUESTAL]],'Cost Report'!G:G,1,0),"Balance")</f>
        <v>2794-003</v>
      </c>
      <c r="AC2016" s="118"/>
      <c r="AD2016" s="159">
        <f>+Table1[[#This Row],[SUBTOTAL]]+Table1[[#This Row],[IVA]]-Table1[[#This Row],[RET IVA]]-Table1[[#This Row],[RET ISR]]-Table1[[#This Row],[TOTAL]]</f>
        <v>0</v>
      </c>
      <c r="AE2016" s="150"/>
      <c r="AF2016" s="151"/>
      <c r="AG2016" s="126" t="s">
        <v>3420</v>
      </c>
      <c r="AK2016" s="306" t="str">
        <f>IF(ISNUMBER(Table1[[#This Row],[FECHA DE RECIBIDO]]), Table1[[#This Row],[FECHA DE RECIBIDO]]-DATE(2023,8,30), "")</f>
        <v/>
      </c>
    </row>
    <row r="2017" spans="1:37" ht="16.95" customHeight="1">
      <c r="A2017" s="152" t="s">
        <v>3632</v>
      </c>
      <c r="B2017" s="153">
        <v>713</v>
      </c>
      <c r="C2017" s="126" t="s">
        <v>2596</v>
      </c>
      <c r="D2017">
        <v>1392</v>
      </c>
      <c r="E2017" s="126" t="s">
        <v>2008</v>
      </c>
      <c r="F2017" s="125" t="s">
        <v>1607</v>
      </c>
      <c r="G2017" s="125" t="s">
        <v>134</v>
      </c>
      <c r="H2017">
        <v>102</v>
      </c>
      <c r="I2017" s="125" t="s">
        <v>1546</v>
      </c>
      <c r="J2017" s="308" t="s">
        <v>214</v>
      </c>
      <c r="K2017" s="127" t="s">
        <v>3418</v>
      </c>
      <c r="L2017" s="153" t="s">
        <v>1579</v>
      </c>
      <c r="M2017">
        <v>137</v>
      </c>
      <c r="N2017" s="123">
        <v>17</v>
      </c>
      <c r="O2017">
        <v>1360</v>
      </c>
      <c r="P2017" s="132" t="s">
        <v>77</v>
      </c>
      <c r="Q2017" s="132">
        <v>860.34</v>
      </c>
      <c r="R2017" s="132">
        <v>137.66</v>
      </c>
      <c r="S2017" s="132"/>
      <c r="T2017" s="156"/>
      <c r="U2017" s="132"/>
      <c r="V2017" s="132">
        <f t="shared" si="48"/>
        <v>998</v>
      </c>
      <c r="W2017">
        <v>61</v>
      </c>
      <c r="X2017" s="153" t="s">
        <v>1644</v>
      </c>
      <c r="Y2017" s="124" t="s">
        <v>55</v>
      </c>
      <c r="Z2017" s="308">
        <v>213</v>
      </c>
      <c r="AB2017" t="str">
        <f>IF(Table1[[#This Row],[TIPO2]]="costo", VLOOKUP(Table1[[#This Row],[PARTIDA PRESUPUESTAL]],'Cost Report'!G:G,1,0),"Balance")</f>
        <v>2794-003</v>
      </c>
      <c r="AC2017" s="118"/>
      <c r="AD2017" s="159">
        <f>+Table1[[#This Row],[SUBTOTAL]]+Table1[[#This Row],[IVA]]-Table1[[#This Row],[RET IVA]]-Table1[[#This Row],[RET ISR]]-Table1[[#This Row],[TOTAL]]</f>
        <v>0</v>
      </c>
      <c r="AE2017" s="152"/>
      <c r="AF2017" s="153"/>
      <c r="AG2017" s="126" t="s">
        <v>3420</v>
      </c>
      <c r="AK2017" s="306" t="str">
        <f>IF(ISNUMBER(Table1[[#This Row],[FECHA DE RECIBIDO]]), Table1[[#This Row],[FECHA DE RECIBIDO]]-DATE(2023,8,30), "")</f>
        <v/>
      </c>
    </row>
    <row r="2018" spans="1:37" ht="16.95" customHeight="1">
      <c r="A2018" s="150" t="s">
        <v>3632</v>
      </c>
      <c r="B2018" s="151">
        <v>713</v>
      </c>
      <c r="C2018" s="126" t="s">
        <v>2596</v>
      </c>
      <c r="D2018">
        <v>1393</v>
      </c>
      <c r="E2018" s="126" t="s">
        <v>1596</v>
      </c>
      <c r="F2018" s="122" t="s">
        <v>1607</v>
      </c>
      <c r="G2018" s="122" t="s">
        <v>134</v>
      </c>
      <c r="H2018">
        <v>425</v>
      </c>
      <c r="I2018" s="122" t="s">
        <v>1546</v>
      </c>
      <c r="J2018" s="307" t="s">
        <v>214</v>
      </c>
      <c r="K2018" s="127" t="s">
        <v>3418</v>
      </c>
      <c r="L2018" s="151" t="s">
        <v>1579</v>
      </c>
      <c r="M2018">
        <v>565</v>
      </c>
      <c r="N2018" s="123">
        <v>17</v>
      </c>
      <c r="O2018">
        <v>1361</v>
      </c>
      <c r="P2018" s="132" t="s">
        <v>77</v>
      </c>
      <c r="Q2018" s="131">
        <v>3187.93</v>
      </c>
      <c r="R2018" s="131">
        <v>510.07</v>
      </c>
      <c r="S2018" s="131"/>
      <c r="T2018" s="155"/>
      <c r="U2018" s="131"/>
      <c r="V2018" s="131">
        <f t="shared" si="48"/>
        <v>3698</v>
      </c>
      <c r="W2018">
        <v>61</v>
      </c>
      <c r="X2018" s="151" t="s">
        <v>1644</v>
      </c>
      <c r="Y2018" s="135" t="s">
        <v>55</v>
      </c>
      <c r="Z2018" s="307">
        <v>213</v>
      </c>
      <c r="AB2018" t="str">
        <f>IF(Table1[[#This Row],[TIPO2]]="costo", VLOOKUP(Table1[[#This Row],[PARTIDA PRESUPUESTAL]],'Cost Report'!G:G,1,0),"Balance")</f>
        <v>2794-003</v>
      </c>
      <c r="AC2018" s="118"/>
      <c r="AD2018" s="159">
        <f>+Table1[[#This Row],[SUBTOTAL]]+Table1[[#This Row],[IVA]]-Table1[[#This Row],[RET IVA]]-Table1[[#This Row],[RET ISR]]-Table1[[#This Row],[TOTAL]]</f>
        <v>0</v>
      </c>
      <c r="AE2018" s="150"/>
      <c r="AF2018" s="151"/>
      <c r="AG2018" s="126" t="s">
        <v>3420</v>
      </c>
      <c r="AK2018" s="306" t="str">
        <f>IF(ISNUMBER(Table1[[#This Row],[FECHA DE RECIBIDO]]), Table1[[#This Row],[FECHA DE RECIBIDO]]-DATE(2023,8,30), "")</f>
        <v/>
      </c>
    </row>
    <row r="2019" spans="1:37" ht="16.95" customHeight="1">
      <c r="A2019" s="152" t="s">
        <v>3632</v>
      </c>
      <c r="B2019" s="153">
        <v>713</v>
      </c>
      <c r="C2019" s="126" t="s">
        <v>2596</v>
      </c>
      <c r="D2019">
        <v>1394</v>
      </c>
      <c r="E2019" s="126" t="s">
        <v>3674</v>
      </c>
      <c r="F2019" s="125" t="s">
        <v>1607</v>
      </c>
      <c r="G2019" s="125" t="s">
        <v>134</v>
      </c>
      <c r="H2019">
        <v>427</v>
      </c>
      <c r="I2019" s="125" t="s">
        <v>1546</v>
      </c>
      <c r="J2019" s="308" t="s">
        <v>214</v>
      </c>
      <c r="K2019" s="127" t="s">
        <v>3418</v>
      </c>
      <c r="L2019" s="153" t="s">
        <v>1579</v>
      </c>
      <c r="M2019">
        <v>569</v>
      </c>
      <c r="N2019" s="123">
        <v>17</v>
      </c>
      <c r="O2019">
        <v>1362</v>
      </c>
      <c r="P2019" s="132" t="s">
        <v>77</v>
      </c>
      <c r="Q2019" s="132">
        <v>1202.5999999999999</v>
      </c>
      <c r="R2019" s="132">
        <v>192.41</v>
      </c>
      <c r="S2019" s="132"/>
      <c r="T2019" s="156"/>
      <c r="U2019" s="132"/>
      <c r="V2019" s="132">
        <f t="shared" si="48"/>
        <v>1395.01</v>
      </c>
      <c r="W2019">
        <v>61</v>
      </c>
      <c r="X2019" s="153" t="s">
        <v>1644</v>
      </c>
      <c r="Y2019" s="124" t="s">
        <v>55</v>
      </c>
      <c r="Z2019" s="308">
        <v>216</v>
      </c>
      <c r="AB2019" t="str">
        <f>IF(Table1[[#This Row],[TIPO2]]="costo", VLOOKUP(Table1[[#This Row],[PARTIDA PRESUPUESTAL]],'Cost Report'!G:G,1,0),"Balance")</f>
        <v>2794-003</v>
      </c>
      <c r="AC2019" s="118"/>
      <c r="AD2019" s="159">
        <f>+Table1[[#This Row],[SUBTOTAL]]+Table1[[#This Row],[IVA]]-Table1[[#This Row],[RET IVA]]-Table1[[#This Row],[RET ISR]]-Table1[[#This Row],[TOTAL]]</f>
        <v>0</v>
      </c>
      <c r="AE2019" s="152"/>
      <c r="AF2019" s="153"/>
      <c r="AG2019" s="126" t="s">
        <v>3420</v>
      </c>
      <c r="AK2019" s="306" t="str">
        <f>IF(ISNUMBER(Table1[[#This Row],[FECHA DE RECIBIDO]]), Table1[[#This Row],[FECHA DE RECIBIDO]]-DATE(2023,8,30), "")</f>
        <v/>
      </c>
    </row>
    <row r="2020" spans="1:37" ht="16.95" customHeight="1">
      <c r="A2020" s="150" t="s">
        <v>3632</v>
      </c>
      <c r="B2020" s="151">
        <v>713</v>
      </c>
      <c r="C2020" s="126" t="s">
        <v>2596</v>
      </c>
      <c r="D2020">
        <v>1395</v>
      </c>
      <c r="E2020" s="126" t="s">
        <v>2008</v>
      </c>
      <c r="F2020" s="122" t="s">
        <v>1607</v>
      </c>
      <c r="G2020" s="122" t="s">
        <v>134</v>
      </c>
      <c r="H2020">
        <v>102</v>
      </c>
      <c r="I2020" s="122" t="s">
        <v>1546</v>
      </c>
      <c r="J2020" s="307" t="s">
        <v>214</v>
      </c>
      <c r="K2020" s="127" t="s">
        <v>3418</v>
      </c>
      <c r="L2020" s="151" t="s">
        <v>1579</v>
      </c>
      <c r="M2020">
        <v>137</v>
      </c>
      <c r="N2020" s="123">
        <v>17</v>
      </c>
      <c r="O2020">
        <v>1352</v>
      </c>
      <c r="P2020" s="132" t="s">
        <v>77</v>
      </c>
      <c r="Q2020" s="131">
        <v>1592.24</v>
      </c>
      <c r="R2020" s="131">
        <v>254.76</v>
      </c>
      <c r="S2020" s="131"/>
      <c r="T2020" s="155"/>
      <c r="U2020" s="131"/>
      <c r="V2020" s="131">
        <f t="shared" si="48"/>
        <v>1847</v>
      </c>
      <c r="W2020">
        <v>61</v>
      </c>
      <c r="X2020" s="151" t="s">
        <v>1644</v>
      </c>
      <c r="Y2020" s="135" t="s">
        <v>55</v>
      </c>
      <c r="Z2020" s="307">
        <v>212</v>
      </c>
      <c r="AB2020" t="str">
        <f>IF(Table1[[#This Row],[TIPO2]]="costo", VLOOKUP(Table1[[#This Row],[PARTIDA PRESUPUESTAL]],'Cost Report'!G:G,1,0),"Balance")</f>
        <v>2794-003</v>
      </c>
      <c r="AC2020" s="118"/>
      <c r="AD2020" s="159">
        <f>+Table1[[#This Row],[SUBTOTAL]]+Table1[[#This Row],[IVA]]-Table1[[#This Row],[RET IVA]]-Table1[[#This Row],[RET ISR]]-Table1[[#This Row],[TOTAL]]</f>
        <v>0</v>
      </c>
      <c r="AE2020" s="150"/>
      <c r="AF2020" s="151"/>
      <c r="AG2020" s="126" t="s">
        <v>3420</v>
      </c>
      <c r="AK2020" s="306" t="str">
        <f>IF(ISNUMBER(Table1[[#This Row],[FECHA DE RECIBIDO]]), Table1[[#This Row],[FECHA DE RECIBIDO]]-DATE(2023,8,30), "")</f>
        <v/>
      </c>
    </row>
    <row r="2021" spans="1:37" ht="16.95" customHeight="1">
      <c r="A2021" s="152" t="s">
        <v>3632</v>
      </c>
      <c r="B2021" s="153">
        <v>713</v>
      </c>
      <c r="C2021" s="126" t="s">
        <v>2596</v>
      </c>
      <c r="D2021">
        <v>1396</v>
      </c>
      <c r="E2021" s="126" t="s">
        <v>3275</v>
      </c>
      <c r="F2021" s="125" t="s">
        <v>1607</v>
      </c>
      <c r="G2021" s="125" t="s">
        <v>134</v>
      </c>
      <c r="H2021">
        <v>428</v>
      </c>
      <c r="I2021" s="125" t="s">
        <v>1546</v>
      </c>
      <c r="J2021" s="308" t="s">
        <v>214</v>
      </c>
      <c r="K2021" s="127" t="s">
        <v>3418</v>
      </c>
      <c r="L2021" s="153" t="s">
        <v>1579</v>
      </c>
      <c r="M2021">
        <v>570</v>
      </c>
      <c r="N2021" s="123">
        <v>17</v>
      </c>
      <c r="O2021">
        <v>1363</v>
      </c>
      <c r="P2021" s="132" t="s">
        <v>77</v>
      </c>
      <c r="Q2021" s="132">
        <v>3546.84</v>
      </c>
      <c r="R2021" s="132">
        <v>567.48</v>
      </c>
      <c r="S2021" s="132"/>
      <c r="T2021" s="156"/>
      <c r="U2021" s="132"/>
      <c r="V2021" s="132">
        <f t="shared" si="48"/>
        <v>4114.32</v>
      </c>
      <c r="W2021">
        <v>61</v>
      </c>
      <c r="X2021" s="153" t="s">
        <v>1644</v>
      </c>
      <c r="Y2021" s="124" t="s">
        <v>55</v>
      </c>
      <c r="Z2021" s="308">
        <v>213</v>
      </c>
      <c r="AB2021" t="str">
        <f>IF(Table1[[#This Row],[TIPO2]]="costo", VLOOKUP(Table1[[#This Row],[PARTIDA PRESUPUESTAL]],'Cost Report'!G:G,1,0),"Balance")</f>
        <v>2794-003</v>
      </c>
      <c r="AC2021" s="118"/>
      <c r="AD2021" s="159">
        <f>+Table1[[#This Row],[SUBTOTAL]]+Table1[[#This Row],[IVA]]-Table1[[#This Row],[RET IVA]]-Table1[[#This Row],[RET ISR]]-Table1[[#This Row],[TOTAL]]</f>
        <v>0</v>
      </c>
      <c r="AE2021" s="152"/>
      <c r="AF2021" s="153"/>
      <c r="AG2021" s="126" t="s">
        <v>3420</v>
      </c>
      <c r="AK2021" s="306" t="str">
        <f>IF(ISNUMBER(Table1[[#This Row],[FECHA DE RECIBIDO]]), Table1[[#This Row],[FECHA DE RECIBIDO]]-DATE(2023,8,30), "")</f>
        <v/>
      </c>
    </row>
    <row r="2022" spans="1:37" ht="16.95" customHeight="1">
      <c r="A2022" s="150" t="s">
        <v>3632</v>
      </c>
      <c r="B2022" s="151">
        <v>713</v>
      </c>
      <c r="C2022" s="126" t="s">
        <v>2596</v>
      </c>
      <c r="D2022">
        <v>1397</v>
      </c>
      <c r="E2022" s="126" t="e">
        <v>#N/A</v>
      </c>
      <c r="F2022" s="122" t="e">
        <v>#N/A</v>
      </c>
      <c r="G2022" s="122" t="s">
        <v>134</v>
      </c>
      <c r="H2022">
        <v>36</v>
      </c>
      <c r="I2022" s="122" t="e">
        <v>#N/A</v>
      </c>
      <c r="J2022" s="307" t="s">
        <v>214</v>
      </c>
      <c r="K2022" s="127" t="s">
        <v>3418</v>
      </c>
      <c r="L2022" s="151" t="s">
        <v>1579</v>
      </c>
      <c r="M2022">
        <v>571</v>
      </c>
      <c r="N2022" s="123">
        <v>17</v>
      </c>
      <c r="O2022">
        <v>1364</v>
      </c>
      <c r="P2022" s="132" t="s">
        <v>77</v>
      </c>
      <c r="Q2022" s="131">
        <v>60.35</v>
      </c>
      <c r="R2022" s="131">
        <v>9.66</v>
      </c>
      <c r="S2022" s="131"/>
      <c r="T2022" s="155"/>
      <c r="U2022" s="131"/>
      <c r="V2022" s="131">
        <f t="shared" si="48"/>
        <v>70.010000000000005</v>
      </c>
      <c r="W2022">
        <v>61</v>
      </c>
      <c r="X2022" s="151" t="s">
        <v>1644</v>
      </c>
      <c r="Y2022" s="135" t="s">
        <v>55</v>
      </c>
      <c r="Z2022" s="307">
        <v>269</v>
      </c>
      <c r="AB2022" t="str">
        <f>IF(Table1[[#This Row],[TIPO2]]="costo", VLOOKUP(Table1[[#This Row],[PARTIDA PRESUPUESTAL]],'Cost Report'!G:G,1,0),"Balance")</f>
        <v>2794-003</v>
      </c>
      <c r="AC2022" s="118"/>
      <c r="AD2022" s="159">
        <f>+Table1[[#This Row],[SUBTOTAL]]+Table1[[#This Row],[IVA]]-Table1[[#This Row],[RET IVA]]-Table1[[#This Row],[RET ISR]]-Table1[[#This Row],[TOTAL]]</f>
        <v>0</v>
      </c>
      <c r="AE2022" s="150"/>
      <c r="AF2022" s="151"/>
      <c r="AG2022" s="126" t="s">
        <v>3420</v>
      </c>
      <c r="AK2022" s="306" t="str">
        <f>IF(ISNUMBER(Table1[[#This Row],[FECHA DE RECIBIDO]]), Table1[[#This Row],[FECHA DE RECIBIDO]]-DATE(2023,8,30), "")</f>
        <v/>
      </c>
    </row>
    <row r="2023" spans="1:37" ht="16.95" customHeight="1">
      <c r="A2023" s="152" t="s">
        <v>3632</v>
      </c>
      <c r="B2023" s="153">
        <v>713</v>
      </c>
      <c r="C2023" s="126" t="s">
        <v>2596</v>
      </c>
      <c r="D2023">
        <v>1398</v>
      </c>
      <c r="E2023" s="126" t="s">
        <v>1603</v>
      </c>
      <c r="F2023" s="125" t="s">
        <v>1589</v>
      </c>
      <c r="G2023" s="125" t="s">
        <v>134</v>
      </c>
      <c r="H2023">
        <v>429</v>
      </c>
      <c r="I2023" s="125" t="s">
        <v>1546</v>
      </c>
      <c r="J2023" s="308" t="s">
        <v>214</v>
      </c>
      <c r="K2023" s="127" t="s">
        <v>3418</v>
      </c>
      <c r="L2023" s="153" t="s">
        <v>1579</v>
      </c>
      <c r="M2023">
        <v>572</v>
      </c>
      <c r="N2023" s="123">
        <v>17</v>
      </c>
      <c r="O2023">
        <v>1365</v>
      </c>
      <c r="P2023" s="132" t="s">
        <v>77</v>
      </c>
      <c r="Q2023" s="132">
        <v>905.17</v>
      </c>
      <c r="R2023" s="132">
        <v>144.83000000000001</v>
      </c>
      <c r="S2023" s="132"/>
      <c r="T2023" s="156"/>
      <c r="U2023" s="132"/>
      <c r="V2023" s="132">
        <f t="shared" si="48"/>
        <v>1050</v>
      </c>
      <c r="W2023">
        <v>61</v>
      </c>
      <c r="X2023" s="153" t="s">
        <v>1644</v>
      </c>
      <c r="Y2023" s="124" t="s">
        <v>55</v>
      </c>
      <c r="Z2023" s="308">
        <v>216</v>
      </c>
      <c r="AB2023" t="str">
        <f>IF(Table1[[#This Row],[TIPO2]]="costo", VLOOKUP(Table1[[#This Row],[PARTIDA PRESUPUESTAL]],'Cost Report'!G:G,1,0),"Balance")</f>
        <v>2794-003</v>
      </c>
      <c r="AC2023" s="118"/>
      <c r="AD2023" s="159">
        <f>+Table1[[#This Row],[SUBTOTAL]]+Table1[[#This Row],[IVA]]-Table1[[#This Row],[RET IVA]]-Table1[[#This Row],[RET ISR]]-Table1[[#This Row],[TOTAL]]</f>
        <v>0</v>
      </c>
      <c r="AE2023" s="152"/>
      <c r="AF2023" s="153"/>
      <c r="AG2023" s="126" t="s">
        <v>3420</v>
      </c>
      <c r="AK2023" s="306" t="str">
        <f>IF(ISNUMBER(Table1[[#This Row],[FECHA DE RECIBIDO]]), Table1[[#This Row],[FECHA DE RECIBIDO]]-DATE(2023,8,30), "")</f>
        <v/>
      </c>
    </row>
    <row r="2024" spans="1:37" ht="16.95" customHeight="1">
      <c r="A2024" s="150" t="s">
        <v>3633</v>
      </c>
      <c r="B2024" s="151">
        <v>714</v>
      </c>
      <c r="C2024" s="126" t="s">
        <v>936</v>
      </c>
      <c r="D2024">
        <v>1399</v>
      </c>
      <c r="E2024" s="126" t="e">
        <v>#N/A</v>
      </c>
      <c r="F2024" s="122" t="e">
        <v>#N/A</v>
      </c>
      <c r="G2024" s="122" t="s">
        <v>134</v>
      </c>
      <c r="H2024">
        <v>36</v>
      </c>
      <c r="I2024" s="122" t="e">
        <v>#N/A</v>
      </c>
      <c r="J2024" s="307" t="s">
        <v>214</v>
      </c>
      <c r="K2024" s="127" t="s">
        <v>3418</v>
      </c>
      <c r="L2024" s="151" t="s">
        <v>1579</v>
      </c>
      <c r="M2024">
        <v>65</v>
      </c>
      <c r="N2024" s="123">
        <v>17</v>
      </c>
      <c r="O2024">
        <v>1366</v>
      </c>
      <c r="P2024" s="132" t="s">
        <v>77</v>
      </c>
      <c r="Q2024" s="131">
        <v>112.07</v>
      </c>
      <c r="R2024" s="131">
        <v>17.93</v>
      </c>
      <c r="S2024" s="131"/>
      <c r="T2024" s="155"/>
      <c r="U2024" s="131"/>
      <c r="V2024" s="131">
        <f t="shared" si="48"/>
        <v>130</v>
      </c>
      <c r="W2024">
        <v>226</v>
      </c>
      <c r="X2024" s="151" t="s">
        <v>1644</v>
      </c>
      <c r="Y2024" s="135" t="s">
        <v>55</v>
      </c>
      <c r="Z2024" s="307">
        <v>211</v>
      </c>
      <c r="AB2024" t="str">
        <f>IF(Table1[[#This Row],[TIPO2]]="costo", VLOOKUP(Table1[[#This Row],[PARTIDA PRESUPUESTAL]],'Cost Report'!G:G,1,0),"Balance")</f>
        <v>3401-003</v>
      </c>
      <c r="AC2024" s="118"/>
      <c r="AD2024" s="159">
        <f>+Table1[[#This Row],[SUBTOTAL]]+Table1[[#This Row],[IVA]]-Table1[[#This Row],[RET IVA]]-Table1[[#This Row],[RET ISR]]-Table1[[#This Row],[TOTAL]]</f>
        <v>0</v>
      </c>
      <c r="AE2024" s="150"/>
      <c r="AF2024" s="151"/>
      <c r="AG2024" s="126" t="s">
        <v>3420</v>
      </c>
      <c r="AK2024" s="306" t="str">
        <f>IF(ISNUMBER(Table1[[#This Row],[FECHA DE RECIBIDO]]), Table1[[#This Row],[FECHA DE RECIBIDO]]-DATE(2023,8,30), "")</f>
        <v/>
      </c>
    </row>
    <row r="2025" spans="1:37" ht="16.95" customHeight="1">
      <c r="A2025" s="152" t="s">
        <v>3633</v>
      </c>
      <c r="B2025" s="153">
        <v>714</v>
      </c>
      <c r="C2025" s="126" t="s">
        <v>936</v>
      </c>
      <c r="D2025">
        <v>1400</v>
      </c>
      <c r="E2025" s="126" t="e">
        <v>#N/A</v>
      </c>
      <c r="F2025" s="125" t="e">
        <v>#N/A</v>
      </c>
      <c r="G2025" s="125" t="s">
        <v>134</v>
      </c>
      <c r="H2025">
        <v>36</v>
      </c>
      <c r="I2025" s="125" t="e">
        <v>#N/A</v>
      </c>
      <c r="J2025" s="308" t="s">
        <v>214</v>
      </c>
      <c r="K2025" s="127" t="s">
        <v>3418</v>
      </c>
      <c r="L2025" s="153" t="s">
        <v>1579</v>
      </c>
      <c r="M2025">
        <v>117</v>
      </c>
      <c r="N2025" s="123">
        <v>17</v>
      </c>
      <c r="O2025">
        <v>1367</v>
      </c>
      <c r="P2025" s="132" t="s">
        <v>77</v>
      </c>
      <c r="Q2025" s="132">
        <v>147.41</v>
      </c>
      <c r="R2025" s="132">
        <v>23.59</v>
      </c>
      <c r="S2025" s="132"/>
      <c r="T2025" s="156"/>
      <c r="U2025" s="132"/>
      <c r="V2025" s="132">
        <f t="shared" si="48"/>
        <v>171</v>
      </c>
      <c r="W2025">
        <v>226</v>
      </c>
      <c r="X2025" s="153" t="s">
        <v>1644</v>
      </c>
      <c r="Y2025" s="124" t="s">
        <v>55</v>
      </c>
      <c r="Z2025" s="308">
        <v>211</v>
      </c>
      <c r="AB2025" t="str">
        <f>IF(Table1[[#This Row],[TIPO2]]="costo", VLOOKUP(Table1[[#This Row],[PARTIDA PRESUPUESTAL]],'Cost Report'!G:G,1,0),"Balance")</f>
        <v>3401-003</v>
      </c>
      <c r="AC2025" s="118"/>
      <c r="AD2025" s="159">
        <f>+Table1[[#This Row],[SUBTOTAL]]+Table1[[#This Row],[IVA]]-Table1[[#This Row],[RET IVA]]-Table1[[#This Row],[RET ISR]]-Table1[[#This Row],[TOTAL]]</f>
        <v>0</v>
      </c>
      <c r="AE2025" s="152"/>
      <c r="AF2025" s="153"/>
      <c r="AG2025" s="126" t="s">
        <v>3420</v>
      </c>
      <c r="AK2025" s="306" t="str">
        <f>IF(ISNUMBER(Table1[[#This Row],[FECHA DE RECIBIDO]]), Table1[[#This Row],[FECHA DE RECIBIDO]]-DATE(2023,8,30), "")</f>
        <v/>
      </c>
    </row>
    <row r="2026" spans="1:37" ht="16.95" customHeight="1">
      <c r="A2026" s="150" t="s">
        <v>3633</v>
      </c>
      <c r="B2026" s="151">
        <v>714</v>
      </c>
      <c r="C2026" s="126" t="s">
        <v>936</v>
      </c>
      <c r="D2026">
        <v>1401</v>
      </c>
      <c r="E2026" s="126" t="e">
        <v>#N/A</v>
      </c>
      <c r="F2026" s="122" t="e">
        <v>#N/A</v>
      </c>
      <c r="G2026" s="122" t="s">
        <v>134</v>
      </c>
      <c r="H2026">
        <v>36</v>
      </c>
      <c r="I2026" s="122" t="e">
        <v>#N/A</v>
      </c>
      <c r="J2026" s="307" t="s">
        <v>214</v>
      </c>
      <c r="K2026" s="127" t="s">
        <v>3418</v>
      </c>
      <c r="L2026" s="151" t="s">
        <v>1579</v>
      </c>
      <c r="M2026">
        <v>573</v>
      </c>
      <c r="N2026" s="123">
        <v>17</v>
      </c>
      <c r="O2026">
        <v>1368</v>
      </c>
      <c r="P2026" s="132" t="s">
        <v>77</v>
      </c>
      <c r="Q2026" s="131">
        <v>683.62</v>
      </c>
      <c r="R2026" s="131">
        <v>109.38</v>
      </c>
      <c r="S2026" s="131"/>
      <c r="T2026" s="155"/>
      <c r="U2026" s="131"/>
      <c r="V2026" s="131">
        <f t="shared" si="48"/>
        <v>793</v>
      </c>
      <c r="W2026">
        <v>226</v>
      </c>
      <c r="X2026" s="151" t="s">
        <v>1644</v>
      </c>
      <c r="Y2026" s="135" t="s">
        <v>55</v>
      </c>
      <c r="Z2026" s="307">
        <v>211</v>
      </c>
      <c r="AB2026" t="str">
        <f>IF(Table1[[#This Row],[TIPO2]]="costo", VLOOKUP(Table1[[#This Row],[PARTIDA PRESUPUESTAL]],'Cost Report'!G:G,1,0),"Balance")</f>
        <v>3401-003</v>
      </c>
      <c r="AC2026" s="118"/>
      <c r="AD2026" s="159">
        <f>+Table1[[#This Row],[SUBTOTAL]]+Table1[[#This Row],[IVA]]-Table1[[#This Row],[RET IVA]]-Table1[[#This Row],[RET ISR]]-Table1[[#This Row],[TOTAL]]</f>
        <v>0</v>
      </c>
      <c r="AE2026" s="150"/>
      <c r="AF2026" s="151"/>
      <c r="AG2026" s="126" t="s">
        <v>3420</v>
      </c>
      <c r="AK2026" s="306" t="str">
        <f>IF(ISNUMBER(Table1[[#This Row],[FECHA DE RECIBIDO]]), Table1[[#This Row],[FECHA DE RECIBIDO]]-DATE(2023,8,30), "")</f>
        <v/>
      </c>
    </row>
    <row r="2027" spans="1:37" ht="16.95" customHeight="1">
      <c r="A2027" s="152" t="s">
        <v>3633</v>
      </c>
      <c r="B2027" s="153">
        <v>714</v>
      </c>
      <c r="C2027" s="126" t="s">
        <v>936</v>
      </c>
      <c r="D2027">
        <v>1402</v>
      </c>
      <c r="E2027" s="126" t="s">
        <v>1645</v>
      </c>
      <c r="F2027" s="125" t="s">
        <v>1607</v>
      </c>
      <c r="G2027" s="125" t="s">
        <v>134</v>
      </c>
      <c r="H2027">
        <v>430</v>
      </c>
      <c r="I2027" s="125" t="s">
        <v>1546</v>
      </c>
      <c r="J2027" s="308" t="s">
        <v>214</v>
      </c>
      <c r="K2027" s="127" t="s">
        <v>3418</v>
      </c>
      <c r="L2027" s="153" t="s">
        <v>1579</v>
      </c>
      <c r="M2027">
        <v>574</v>
      </c>
      <c r="N2027" s="123">
        <v>17</v>
      </c>
      <c r="O2027">
        <v>1369</v>
      </c>
      <c r="P2027" s="132" t="s">
        <v>77</v>
      </c>
      <c r="Q2027" s="132">
        <v>1514.66</v>
      </c>
      <c r="R2027" s="132">
        <v>242.35</v>
      </c>
      <c r="S2027" s="132"/>
      <c r="T2027" s="156"/>
      <c r="U2027" s="132"/>
      <c r="V2027" s="132">
        <f t="shared" si="48"/>
        <v>1757.01</v>
      </c>
      <c r="W2027">
        <v>226</v>
      </c>
      <c r="X2027" s="153" t="s">
        <v>1644</v>
      </c>
      <c r="Y2027" s="124" t="s">
        <v>55</v>
      </c>
      <c r="Z2027" s="308">
        <v>214</v>
      </c>
      <c r="AB2027" t="str">
        <f>IF(Table1[[#This Row],[TIPO2]]="costo", VLOOKUP(Table1[[#This Row],[PARTIDA PRESUPUESTAL]],'Cost Report'!G:G,1,0),"Balance")</f>
        <v>3401-003</v>
      </c>
      <c r="AC2027" s="118"/>
      <c r="AD2027" s="159">
        <f>+Table1[[#This Row],[SUBTOTAL]]+Table1[[#This Row],[IVA]]-Table1[[#This Row],[RET IVA]]-Table1[[#This Row],[RET ISR]]-Table1[[#This Row],[TOTAL]]</f>
        <v>0</v>
      </c>
      <c r="AE2027" s="152"/>
      <c r="AF2027" s="153"/>
      <c r="AG2027" s="126" t="s">
        <v>3420</v>
      </c>
      <c r="AK2027" s="306" t="str">
        <f>IF(ISNUMBER(Table1[[#This Row],[FECHA DE RECIBIDO]]), Table1[[#This Row],[FECHA DE RECIBIDO]]-DATE(2023,8,30), "")</f>
        <v/>
      </c>
    </row>
    <row r="2028" spans="1:37" ht="16.95" customHeight="1">
      <c r="A2028" s="150" t="s">
        <v>3633</v>
      </c>
      <c r="B2028" s="151">
        <v>714</v>
      </c>
      <c r="C2028" s="126" t="s">
        <v>936</v>
      </c>
      <c r="D2028">
        <v>1403</v>
      </c>
      <c r="E2028" s="126" t="s">
        <v>1999</v>
      </c>
      <c r="F2028" s="122" t="s">
        <v>1607</v>
      </c>
      <c r="G2028" s="122" t="s">
        <v>134</v>
      </c>
      <c r="H2028">
        <v>89</v>
      </c>
      <c r="I2028" s="122" t="s">
        <v>1546</v>
      </c>
      <c r="J2028" s="307" t="s">
        <v>214</v>
      </c>
      <c r="K2028" s="127" t="s">
        <v>3418</v>
      </c>
      <c r="L2028" s="151" t="s">
        <v>1579</v>
      </c>
      <c r="M2028">
        <v>119</v>
      </c>
      <c r="N2028" s="123">
        <v>17</v>
      </c>
      <c r="O2028">
        <v>1370</v>
      </c>
      <c r="P2028" s="132" t="s">
        <v>77</v>
      </c>
      <c r="Q2028" s="131">
        <v>379.31</v>
      </c>
      <c r="R2028" s="131">
        <v>60.69</v>
      </c>
      <c r="S2028" s="131"/>
      <c r="T2028" s="155"/>
      <c r="U2028" s="131"/>
      <c r="V2028" s="131">
        <f t="shared" si="48"/>
        <v>440</v>
      </c>
      <c r="W2028">
        <v>226</v>
      </c>
      <c r="X2028" s="151" t="s">
        <v>1644</v>
      </c>
      <c r="Y2028" s="135" t="s">
        <v>55</v>
      </c>
      <c r="Z2028" s="307">
        <v>214</v>
      </c>
      <c r="AB2028" t="str">
        <f>IF(Table1[[#This Row],[TIPO2]]="costo", VLOOKUP(Table1[[#This Row],[PARTIDA PRESUPUESTAL]],'Cost Report'!G:G,1,0),"Balance")</f>
        <v>3401-003</v>
      </c>
      <c r="AC2028" s="118"/>
      <c r="AD2028" s="159">
        <f>+Table1[[#This Row],[SUBTOTAL]]+Table1[[#This Row],[IVA]]-Table1[[#This Row],[RET IVA]]-Table1[[#This Row],[RET ISR]]-Table1[[#This Row],[TOTAL]]</f>
        <v>0</v>
      </c>
      <c r="AE2028" s="150"/>
      <c r="AF2028" s="151"/>
      <c r="AG2028" s="126" t="s">
        <v>3420</v>
      </c>
      <c r="AK2028" s="306" t="str">
        <f>IF(ISNUMBER(Table1[[#This Row],[FECHA DE RECIBIDO]]), Table1[[#This Row],[FECHA DE RECIBIDO]]-DATE(2023,8,30), "")</f>
        <v/>
      </c>
    </row>
    <row r="2029" spans="1:37" ht="16.95" customHeight="1">
      <c r="A2029" s="152" t="s">
        <v>3633</v>
      </c>
      <c r="B2029" s="153">
        <v>714</v>
      </c>
      <c r="C2029" s="126" t="s">
        <v>936</v>
      </c>
      <c r="D2029">
        <v>1404</v>
      </c>
      <c r="E2029" s="126" t="s">
        <v>3264</v>
      </c>
      <c r="F2029" s="125" t="s">
        <v>1607</v>
      </c>
      <c r="G2029" s="125" t="s">
        <v>134</v>
      </c>
      <c r="H2029">
        <v>431</v>
      </c>
      <c r="I2029" s="125" t="s">
        <v>1546</v>
      </c>
      <c r="J2029" s="308" t="s">
        <v>214</v>
      </c>
      <c r="K2029" s="127" t="s">
        <v>3418</v>
      </c>
      <c r="L2029" s="153" t="s">
        <v>1579</v>
      </c>
      <c r="M2029">
        <v>575</v>
      </c>
      <c r="N2029" s="123">
        <v>17</v>
      </c>
      <c r="O2029">
        <v>1370</v>
      </c>
      <c r="P2029" s="132" t="s">
        <v>77</v>
      </c>
      <c r="Q2029" s="132">
        <v>594.83000000000004</v>
      </c>
      <c r="R2029" s="132">
        <v>95.17</v>
      </c>
      <c r="S2029" s="132"/>
      <c r="T2029" s="156"/>
      <c r="U2029" s="132"/>
      <c r="V2029" s="132">
        <f t="shared" si="48"/>
        <v>690</v>
      </c>
      <c r="W2029">
        <v>226</v>
      </c>
      <c r="X2029" s="153" t="s">
        <v>1644</v>
      </c>
      <c r="Y2029" s="124" t="s">
        <v>55</v>
      </c>
      <c r="Z2029" s="308">
        <v>214</v>
      </c>
      <c r="AB2029" t="str">
        <f>IF(Table1[[#This Row],[TIPO2]]="costo", VLOOKUP(Table1[[#This Row],[PARTIDA PRESUPUESTAL]],'Cost Report'!G:G,1,0),"Balance")</f>
        <v>3401-003</v>
      </c>
      <c r="AC2029" s="118"/>
      <c r="AD2029" s="159">
        <f>+Table1[[#This Row],[SUBTOTAL]]+Table1[[#This Row],[IVA]]-Table1[[#This Row],[RET IVA]]-Table1[[#This Row],[RET ISR]]-Table1[[#This Row],[TOTAL]]</f>
        <v>0</v>
      </c>
      <c r="AE2029" s="152"/>
      <c r="AF2029" s="153"/>
      <c r="AG2029" s="126" t="s">
        <v>3420</v>
      </c>
      <c r="AK2029" s="306" t="str">
        <f>IF(ISNUMBER(Table1[[#This Row],[FECHA DE RECIBIDO]]), Table1[[#This Row],[FECHA DE RECIBIDO]]-DATE(2023,8,30), "")</f>
        <v/>
      </c>
    </row>
    <row r="2030" spans="1:37" ht="16.95" customHeight="1">
      <c r="A2030" s="150" t="s">
        <v>3633</v>
      </c>
      <c r="B2030" s="151">
        <v>714</v>
      </c>
      <c r="C2030" s="126" t="s">
        <v>936</v>
      </c>
      <c r="D2030">
        <v>1405</v>
      </c>
      <c r="E2030" s="126" t="s">
        <v>1988</v>
      </c>
      <c r="F2030" s="122" t="s">
        <v>1589</v>
      </c>
      <c r="G2030" s="122" t="s">
        <v>134</v>
      </c>
      <c r="H2030">
        <v>87</v>
      </c>
      <c r="I2030" s="122" t="s">
        <v>1546</v>
      </c>
      <c r="J2030" s="307" t="s">
        <v>214</v>
      </c>
      <c r="K2030" s="127" t="s">
        <v>3418</v>
      </c>
      <c r="L2030" s="151" t="s">
        <v>1579</v>
      </c>
      <c r="M2030">
        <v>117</v>
      </c>
      <c r="N2030" s="123">
        <v>17</v>
      </c>
      <c r="O2030">
        <v>1371</v>
      </c>
      <c r="P2030" s="132" t="s">
        <v>77</v>
      </c>
      <c r="Q2030" s="131">
        <v>218.1</v>
      </c>
      <c r="R2030" s="131">
        <v>34.9</v>
      </c>
      <c r="S2030" s="131"/>
      <c r="T2030" s="155"/>
      <c r="U2030" s="131"/>
      <c r="V2030" s="131">
        <f t="shared" si="48"/>
        <v>253</v>
      </c>
      <c r="W2030">
        <v>226</v>
      </c>
      <c r="X2030" s="151" t="s">
        <v>1644</v>
      </c>
      <c r="Y2030" s="135" t="s">
        <v>55</v>
      </c>
      <c r="Z2030" s="307">
        <v>214</v>
      </c>
      <c r="AB2030" t="str">
        <f>IF(Table1[[#This Row],[TIPO2]]="costo", VLOOKUP(Table1[[#This Row],[PARTIDA PRESUPUESTAL]],'Cost Report'!G:G,1,0),"Balance")</f>
        <v>3401-003</v>
      </c>
      <c r="AC2030" s="118"/>
      <c r="AD2030" s="159">
        <f>+Table1[[#This Row],[SUBTOTAL]]+Table1[[#This Row],[IVA]]-Table1[[#This Row],[RET IVA]]-Table1[[#This Row],[RET ISR]]-Table1[[#This Row],[TOTAL]]</f>
        <v>0</v>
      </c>
      <c r="AE2030" s="150"/>
      <c r="AF2030" s="151"/>
      <c r="AG2030" s="126" t="s">
        <v>3420</v>
      </c>
      <c r="AK2030" s="306" t="str">
        <f>IF(ISNUMBER(Table1[[#This Row],[FECHA DE RECIBIDO]]), Table1[[#This Row],[FECHA DE RECIBIDO]]-DATE(2023,8,30), "")</f>
        <v/>
      </c>
    </row>
    <row r="2031" spans="1:37" ht="16.95" customHeight="1">
      <c r="A2031" s="152" t="s">
        <v>3633</v>
      </c>
      <c r="B2031" s="153">
        <v>714</v>
      </c>
      <c r="C2031" s="126" t="s">
        <v>936</v>
      </c>
      <c r="D2031">
        <v>1406</v>
      </c>
      <c r="E2031" s="126" t="s">
        <v>1645</v>
      </c>
      <c r="F2031" s="125" t="s">
        <v>1593</v>
      </c>
      <c r="G2031" s="125" t="s">
        <v>134</v>
      </c>
      <c r="H2031">
        <v>432</v>
      </c>
      <c r="I2031" s="125" t="s">
        <v>1546</v>
      </c>
      <c r="J2031" s="308" t="s">
        <v>214</v>
      </c>
      <c r="K2031" s="127" t="s">
        <v>3418</v>
      </c>
      <c r="L2031" s="153" t="s">
        <v>1579</v>
      </c>
      <c r="M2031">
        <v>576</v>
      </c>
      <c r="N2031" s="123">
        <v>17</v>
      </c>
      <c r="O2031">
        <v>1372</v>
      </c>
      <c r="P2031" s="132" t="s">
        <v>77</v>
      </c>
      <c r="Q2031" s="132">
        <v>312.07</v>
      </c>
      <c r="R2031" s="132">
        <v>49.93</v>
      </c>
      <c r="S2031" s="132"/>
      <c r="T2031" s="156"/>
      <c r="U2031" s="132"/>
      <c r="V2031" s="132">
        <f t="shared" si="48"/>
        <v>362</v>
      </c>
      <c r="W2031">
        <v>226</v>
      </c>
      <c r="X2031" s="153" t="s">
        <v>1644</v>
      </c>
      <c r="Y2031" s="124" t="s">
        <v>55</v>
      </c>
      <c r="Z2031" s="308">
        <v>214</v>
      </c>
      <c r="AB2031" t="str">
        <f>IF(Table1[[#This Row],[TIPO2]]="costo", VLOOKUP(Table1[[#This Row],[PARTIDA PRESUPUESTAL]],'Cost Report'!G:G,1,0),"Balance")</f>
        <v>3401-003</v>
      </c>
      <c r="AC2031" s="118"/>
      <c r="AD2031" s="159">
        <f>+Table1[[#This Row],[SUBTOTAL]]+Table1[[#This Row],[IVA]]-Table1[[#This Row],[RET IVA]]-Table1[[#This Row],[RET ISR]]-Table1[[#This Row],[TOTAL]]</f>
        <v>0</v>
      </c>
      <c r="AE2031" s="152"/>
      <c r="AF2031" s="153"/>
      <c r="AG2031" s="126" t="s">
        <v>3420</v>
      </c>
      <c r="AK2031" s="306" t="str">
        <f>IF(ISNUMBER(Table1[[#This Row],[FECHA DE RECIBIDO]]), Table1[[#This Row],[FECHA DE RECIBIDO]]-DATE(2023,8,30), "")</f>
        <v/>
      </c>
    </row>
    <row r="2032" spans="1:37" ht="16.95" customHeight="1">
      <c r="A2032" s="150" t="s">
        <v>3633</v>
      </c>
      <c r="B2032" s="151">
        <v>714</v>
      </c>
      <c r="C2032" s="126" t="s">
        <v>936</v>
      </c>
      <c r="D2032">
        <v>1407</v>
      </c>
      <c r="E2032" s="126" t="s">
        <v>3675</v>
      </c>
      <c r="F2032" s="122" t="s">
        <v>1607</v>
      </c>
      <c r="G2032" s="122" t="s">
        <v>134</v>
      </c>
      <c r="H2032">
        <v>433</v>
      </c>
      <c r="I2032" s="122" t="s">
        <v>1546</v>
      </c>
      <c r="J2032" s="307" t="s">
        <v>214</v>
      </c>
      <c r="K2032" s="127" t="s">
        <v>3418</v>
      </c>
      <c r="L2032" s="151" t="s">
        <v>1579</v>
      </c>
      <c r="M2032">
        <v>577</v>
      </c>
      <c r="N2032" s="123">
        <v>17</v>
      </c>
      <c r="O2032">
        <v>1373</v>
      </c>
      <c r="P2032" s="132" t="s">
        <v>77</v>
      </c>
      <c r="Q2032" s="131">
        <v>274.14</v>
      </c>
      <c r="R2032" s="131">
        <v>43.86</v>
      </c>
      <c r="S2032" s="131"/>
      <c r="T2032" s="155"/>
      <c r="U2032" s="131"/>
      <c r="V2032" s="131">
        <f t="shared" si="48"/>
        <v>318</v>
      </c>
      <c r="W2032">
        <v>226</v>
      </c>
      <c r="X2032" s="151" t="s">
        <v>1644</v>
      </c>
      <c r="Y2032" s="135" t="s">
        <v>55</v>
      </c>
      <c r="Z2032" s="307">
        <v>214</v>
      </c>
      <c r="AB2032" t="str">
        <f>IF(Table1[[#This Row],[TIPO2]]="costo", VLOOKUP(Table1[[#This Row],[PARTIDA PRESUPUESTAL]],'Cost Report'!G:G,1,0),"Balance")</f>
        <v>3401-003</v>
      </c>
      <c r="AC2032" s="118"/>
      <c r="AD2032" s="159">
        <f>+Table1[[#This Row],[SUBTOTAL]]+Table1[[#This Row],[IVA]]-Table1[[#This Row],[RET IVA]]-Table1[[#This Row],[RET ISR]]-Table1[[#This Row],[TOTAL]]</f>
        <v>0</v>
      </c>
      <c r="AE2032" s="150"/>
      <c r="AF2032" s="151"/>
      <c r="AG2032" s="126" t="s">
        <v>3420</v>
      </c>
      <c r="AK2032" s="306" t="str">
        <f>IF(ISNUMBER(Table1[[#This Row],[FECHA DE RECIBIDO]]), Table1[[#This Row],[FECHA DE RECIBIDO]]-DATE(2023,8,30), "")</f>
        <v/>
      </c>
    </row>
    <row r="2033" spans="1:37" ht="16.95" customHeight="1">
      <c r="A2033" s="152" t="s">
        <v>3633</v>
      </c>
      <c r="B2033" s="153">
        <v>714</v>
      </c>
      <c r="C2033" s="126" t="s">
        <v>2851</v>
      </c>
      <c r="D2033">
        <v>1408</v>
      </c>
      <c r="E2033" s="126" t="s">
        <v>1603</v>
      </c>
      <c r="F2033" s="125" t="s">
        <v>1607</v>
      </c>
      <c r="G2033" s="125" t="s">
        <v>134</v>
      </c>
      <c r="H2033">
        <v>273</v>
      </c>
      <c r="I2033" s="125" t="s">
        <v>1546</v>
      </c>
      <c r="J2033" s="308" t="s">
        <v>214</v>
      </c>
      <c r="K2033" s="127" t="s">
        <v>3418</v>
      </c>
      <c r="L2033" s="153" t="s">
        <v>1579</v>
      </c>
      <c r="M2033">
        <v>364</v>
      </c>
      <c r="N2033" s="123">
        <v>17</v>
      </c>
      <c r="O2033">
        <v>1374</v>
      </c>
      <c r="P2033" s="132" t="s">
        <v>77</v>
      </c>
      <c r="Q2033" s="132">
        <v>14.14</v>
      </c>
      <c r="R2033" s="132">
        <v>2.2599999999999998</v>
      </c>
      <c r="S2033" s="132"/>
      <c r="T2033" s="156"/>
      <c r="U2033" s="132"/>
      <c r="V2033" s="132">
        <f t="shared" si="48"/>
        <v>16.399999999999999</v>
      </c>
      <c r="W2033">
        <v>226</v>
      </c>
      <c r="X2033" s="153" t="s">
        <v>1644</v>
      </c>
      <c r="Y2033" s="124" t="s">
        <v>55</v>
      </c>
      <c r="Z2033" s="308">
        <v>214</v>
      </c>
      <c r="AB2033" t="str">
        <f>IF(Table1[[#This Row],[TIPO2]]="costo", VLOOKUP(Table1[[#This Row],[PARTIDA PRESUPUESTAL]],'Cost Report'!G:G,1,0),"Balance")</f>
        <v>3485-003</v>
      </c>
      <c r="AC2033" s="118"/>
      <c r="AD2033" s="159">
        <f>+Table1[[#This Row],[SUBTOTAL]]+Table1[[#This Row],[IVA]]-Table1[[#This Row],[RET IVA]]-Table1[[#This Row],[RET ISR]]-Table1[[#This Row],[TOTAL]]</f>
        <v>0</v>
      </c>
      <c r="AE2033" s="152"/>
      <c r="AF2033" s="153"/>
      <c r="AG2033" s="126" t="s">
        <v>3420</v>
      </c>
      <c r="AK2033" s="306" t="str">
        <f>IF(ISNUMBER(Table1[[#This Row],[FECHA DE RECIBIDO]]), Table1[[#This Row],[FECHA DE RECIBIDO]]-DATE(2023,8,30), "")</f>
        <v/>
      </c>
    </row>
    <row r="2034" spans="1:37" ht="16.95" customHeight="1">
      <c r="A2034" s="150" t="s">
        <v>3633</v>
      </c>
      <c r="B2034" s="151">
        <v>714</v>
      </c>
      <c r="C2034" s="126" t="s">
        <v>936</v>
      </c>
      <c r="D2034">
        <v>1409</v>
      </c>
      <c r="E2034" s="126" t="s">
        <v>1645</v>
      </c>
      <c r="F2034" s="122" t="s">
        <v>1607</v>
      </c>
      <c r="G2034" s="122" t="s">
        <v>134</v>
      </c>
      <c r="H2034">
        <v>434</v>
      </c>
      <c r="I2034" s="122" t="s">
        <v>1546</v>
      </c>
      <c r="J2034" s="307" t="s">
        <v>214</v>
      </c>
      <c r="K2034" s="127" t="s">
        <v>3418</v>
      </c>
      <c r="L2034" s="151" t="s">
        <v>1579</v>
      </c>
      <c r="M2034">
        <v>578</v>
      </c>
      <c r="N2034" s="123">
        <v>17</v>
      </c>
      <c r="O2034">
        <v>1375</v>
      </c>
      <c r="P2034" s="132" t="s">
        <v>77</v>
      </c>
      <c r="Q2034" s="131">
        <v>725.86</v>
      </c>
      <c r="R2034" s="131">
        <v>116.14</v>
      </c>
      <c r="S2034" s="131"/>
      <c r="T2034" s="155"/>
      <c r="U2034" s="131"/>
      <c r="V2034" s="131">
        <f t="shared" si="48"/>
        <v>842</v>
      </c>
      <c r="W2034">
        <v>226</v>
      </c>
      <c r="X2034" s="151" t="s">
        <v>1644</v>
      </c>
      <c r="Y2034" s="135" t="s">
        <v>55</v>
      </c>
      <c r="Z2034" s="307">
        <v>214</v>
      </c>
      <c r="AB2034" t="str">
        <f>IF(Table1[[#This Row],[TIPO2]]="costo", VLOOKUP(Table1[[#This Row],[PARTIDA PRESUPUESTAL]],'Cost Report'!G:G,1,0),"Balance")</f>
        <v>3401-003</v>
      </c>
      <c r="AC2034" s="118"/>
      <c r="AD2034" s="159">
        <f>+Table1[[#This Row],[SUBTOTAL]]+Table1[[#This Row],[IVA]]-Table1[[#This Row],[RET IVA]]-Table1[[#This Row],[RET ISR]]-Table1[[#This Row],[TOTAL]]</f>
        <v>0</v>
      </c>
      <c r="AE2034" s="150"/>
      <c r="AF2034" s="151"/>
      <c r="AG2034" s="126" t="s">
        <v>3420</v>
      </c>
      <c r="AK2034" s="306" t="str">
        <f>IF(ISNUMBER(Table1[[#This Row],[FECHA DE RECIBIDO]]), Table1[[#This Row],[FECHA DE RECIBIDO]]-DATE(2023,8,30), "")</f>
        <v/>
      </c>
    </row>
    <row r="2035" spans="1:37" ht="16.95" customHeight="1">
      <c r="A2035" s="152" t="s">
        <v>3633</v>
      </c>
      <c r="B2035" s="153">
        <v>714</v>
      </c>
      <c r="C2035" s="126" t="s">
        <v>936</v>
      </c>
      <c r="D2035">
        <v>1410</v>
      </c>
      <c r="E2035" s="126" t="s">
        <v>3676</v>
      </c>
      <c r="F2035" s="125" t="s">
        <v>1607</v>
      </c>
      <c r="G2035" s="125" t="s">
        <v>134</v>
      </c>
      <c r="H2035">
        <v>32</v>
      </c>
      <c r="I2035" s="125" t="s">
        <v>1546</v>
      </c>
      <c r="J2035" s="308" t="s">
        <v>214</v>
      </c>
      <c r="K2035" s="127" t="s">
        <v>3418</v>
      </c>
      <c r="L2035" s="153" t="s">
        <v>1579</v>
      </c>
      <c r="M2035">
        <v>120</v>
      </c>
      <c r="N2035" s="123">
        <v>17</v>
      </c>
      <c r="O2035">
        <v>1376</v>
      </c>
      <c r="P2035" s="132" t="s">
        <v>77</v>
      </c>
      <c r="Q2035" s="132">
        <v>40.520000000000003</v>
      </c>
      <c r="R2035" s="132">
        <v>6.48</v>
      </c>
      <c r="S2035" s="132"/>
      <c r="T2035" s="156"/>
      <c r="U2035" s="132"/>
      <c r="V2035" s="132">
        <f t="shared" si="48"/>
        <v>47</v>
      </c>
      <c r="W2035">
        <v>226</v>
      </c>
      <c r="X2035" s="153" t="s">
        <v>1644</v>
      </c>
      <c r="Y2035" s="124" t="s">
        <v>55</v>
      </c>
      <c r="Z2035" s="308">
        <v>214</v>
      </c>
      <c r="AB2035" t="str">
        <f>IF(Table1[[#This Row],[TIPO2]]="costo", VLOOKUP(Table1[[#This Row],[PARTIDA PRESUPUESTAL]],'Cost Report'!G:G,1,0),"Balance")</f>
        <v>3401-003</v>
      </c>
      <c r="AC2035" s="118"/>
      <c r="AD2035" s="159">
        <f>+Table1[[#This Row],[SUBTOTAL]]+Table1[[#This Row],[IVA]]-Table1[[#This Row],[RET IVA]]-Table1[[#This Row],[RET ISR]]-Table1[[#This Row],[TOTAL]]</f>
        <v>0</v>
      </c>
      <c r="AE2035" s="152"/>
      <c r="AF2035" s="153"/>
      <c r="AG2035" s="126" t="s">
        <v>3420</v>
      </c>
      <c r="AK2035" s="306" t="str">
        <f>IF(ISNUMBER(Table1[[#This Row],[FECHA DE RECIBIDO]]), Table1[[#This Row],[FECHA DE RECIBIDO]]-DATE(2023,8,30), "")</f>
        <v/>
      </c>
    </row>
    <row r="2036" spans="1:37" ht="16.95" customHeight="1">
      <c r="A2036" s="150" t="s">
        <v>3633</v>
      </c>
      <c r="B2036" s="151">
        <v>714</v>
      </c>
      <c r="C2036" s="126" t="s">
        <v>936</v>
      </c>
      <c r="D2036">
        <v>1411</v>
      </c>
      <c r="E2036" s="126"/>
      <c r="F2036" s="122"/>
      <c r="G2036" s="122" t="s">
        <v>134</v>
      </c>
      <c r="H2036"/>
      <c r="I2036" s="122"/>
      <c r="J2036" s="307" t="s">
        <v>214</v>
      </c>
      <c r="K2036" s="127" t="s">
        <v>3418</v>
      </c>
      <c r="L2036" s="151" t="s">
        <v>1579</v>
      </c>
      <c r="M2036">
        <v>120</v>
      </c>
      <c r="N2036" s="123">
        <v>17</v>
      </c>
      <c r="O2036">
        <v>1367</v>
      </c>
      <c r="P2036" s="132" t="s">
        <v>77</v>
      </c>
      <c r="Q2036" s="131">
        <v>157.76</v>
      </c>
      <c r="R2036" s="131">
        <v>25.24</v>
      </c>
      <c r="S2036" s="131"/>
      <c r="T2036" s="155"/>
      <c r="U2036" s="131"/>
      <c r="V2036" s="131">
        <f t="shared" si="48"/>
        <v>183</v>
      </c>
      <c r="W2036">
        <v>226</v>
      </c>
      <c r="X2036" s="151" t="s">
        <v>1644</v>
      </c>
      <c r="Y2036" s="135" t="s">
        <v>55</v>
      </c>
      <c r="Z2036" s="307">
        <v>214</v>
      </c>
      <c r="AB2036" t="str">
        <f>IF(Table1[[#This Row],[TIPO2]]="costo", VLOOKUP(Table1[[#This Row],[PARTIDA PRESUPUESTAL]],'Cost Report'!G:G,1,0),"Balance")</f>
        <v>3401-003</v>
      </c>
      <c r="AC2036" s="118"/>
      <c r="AD2036" s="159">
        <f>+Table1[[#This Row],[SUBTOTAL]]+Table1[[#This Row],[IVA]]-Table1[[#This Row],[RET IVA]]-Table1[[#This Row],[RET ISR]]-Table1[[#This Row],[TOTAL]]</f>
        <v>0</v>
      </c>
      <c r="AE2036" s="150"/>
      <c r="AF2036" s="151"/>
      <c r="AG2036" s="126" t="s">
        <v>3420</v>
      </c>
      <c r="AK2036" s="306" t="str">
        <f>IF(ISNUMBER(Table1[[#This Row],[FECHA DE RECIBIDO]]), Table1[[#This Row],[FECHA DE RECIBIDO]]-DATE(2023,8,30), "")</f>
        <v/>
      </c>
    </row>
    <row r="2037" spans="1:37" ht="16.95" customHeight="1">
      <c r="A2037" s="152" t="s">
        <v>3633</v>
      </c>
      <c r="B2037" s="153">
        <v>714</v>
      </c>
      <c r="C2037" s="126" t="s">
        <v>936</v>
      </c>
      <c r="D2037">
        <v>1412</v>
      </c>
      <c r="E2037" s="126" t="s">
        <v>1646</v>
      </c>
      <c r="F2037" s="125" t="s">
        <v>1607</v>
      </c>
      <c r="G2037" s="125" t="s">
        <v>134</v>
      </c>
      <c r="H2037">
        <v>32</v>
      </c>
      <c r="I2037" s="125" t="s">
        <v>1546</v>
      </c>
      <c r="J2037" s="308" t="s">
        <v>214</v>
      </c>
      <c r="K2037" s="127" t="s">
        <v>3418</v>
      </c>
      <c r="L2037" s="153" t="s">
        <v>1579</v>
      </c>
      <c r="M2037">
        <v>120</v>
      </c>
      <c r="N2037" s="123">
        <v>17</v>
      </c>
      <c r="O2037">
        <v>1377</v>
      </c>
      <c r="P2037" s="132" t="s">
        <v>77</v>
      </c>
      <c r="Q2037" s="132">
        <v>162.07</v>
      </c>
      <c r="R2037" s="132">
        <v>25.93</v>
      </c>
      <c r="S2037" s="132"/>
      <c r="T2037" s="156"/>
      <c r="U2037" s="132"/>
      <c r="V2037" s="132">
        <f t="shared" si="48"/>
        <v>188</v>
      </c>
      <c r="W2037">
        <v>226</v>
      </c>
      <c r="X2037" s="153" t="s">
        <v>1644</v>
      </c>
      <c r="Y2037" s="124" t="s">
        <v>55</v>
      </c>
      <c r="Z2037" s="308">
        <v>214</v>
      </c>
      <c r="AB2037" t="str">
        <f>IF(Table1[[#This Row],[TIPO2]]="costo", VLOOKUP(Table1[[#This Row],[PARTIDA PRESUPUESTAL]],'Cost Report'!G:G,1,0),"Balance")</f>
        <v>3401-003</v>
      </c>
      <c r="AC2037" s="118"/>
      <c r="AD2037" s="159">
        <f>+Table1[[#This Row],[SUBTOTAL]]+Table1[[#This Row],[IVA]]-Table1[[#This Row],[RET IVA]]-Table1[[#This Row],[RET ISR]]-Table1[[#This Row],[TOTAL]]</f>
        <v>0</v>
      </c>
      <c r="AE2037" s="152"/>
      <c r="AF2037" s="153"/>
      <c r="AG2037" s="126" t="s">
        <v>3420</v>
      </c>
      <c r="AK2037" s="306" t="str">
        <f>IF(ISNUMBER(Table1[[#This Row],[FECHA DE RECIBIDO]]), Table1[[#This Row],[FECHA DE RECIBIDO]]-DATE(2023,8,30), "")</f>
        <v/>
      </c>
    </row>
    <row r="2038" spans="1:37" ht="16.95" customHeight="1">
      <c r="A2038" s="150" t="s">
        <v>3633</v>
      </c>
      <c r="B2038" s="151">
        <v>714</v>
      </c>
      <c r="C2038" s="126" t="s">
        <v>936</v>
      </c>
      <c r="D2038">
        <v>1413</v>
      </c>
      <c r="E2038" s="126" t="s">
        <v>3676</v>
      </c>
      <c r="F2038" s="122" t="s">
        <v>1607</v>
      </c>
      <c r="G2038" s="122" t="s">
        <v>134</v>
      </c>
      <c r="H2038">
        <v>32</v>
      </c>
      <c r="I2038" s="122" t="s">
        <v>1546</v>
      </c>
      <c r="J2038" s="307" t="s">
        <v>214</v>
      </c>
      <c r="K2038" s="127" t="s">
        <v>3418</v>
      </c>
      <c r="L2038" s="151" t="s">
        <v>1579</v>
      </c>
      <c r="M2038">
        <v>120</v>
      </c>
      <c r="N2038" s="123">
        <v>17</v>
      </c>
      <c r="O2038">
        <v>1378</v>
      </c>
      <c r="P2038" s="132" t="s">
        <v>77</v>
      </c>
      <c r="Q2038" s="131">
        <v>583.62</v>
      </c>
      <c r="R2038" s="131">
        <v>93.38</v>
      </c>
      <c r="S2038" s="131"/>
      <c r="T2038" s="155"/>
      <c r="U2038" s="131"/>
      <c r="V2038" s="131">
        <f t="shared" si="48"/>
        <v>677</v>
      </c>
      <c r="W2038">
        <v>226</v>
      </c>
      <c r="X2038" s="151" t="s">
        <v>1644</v>
      </c>
      <c r="Y2038" s="135" t="s">
        <v>55</v>
      </c>
      <c r="Z2038" s="307">
        <v>214</v>
      </c>
      <c r="AB2038" t="str">
        <f>IF(Table1[[#This Row],[TIPO2]]="costo", VLOOKUP(Table1[[#This Row],[PARTIDA PRESUPUESTAL]],'Cost Report'!G:G,1,0),"Balance")</f>
        <v>3401-003</v>
      </c>
      <c r="AC2038" s="118"/>
      <c r="AD2038" s="159">
        <f>+Table1[[#This Row],[SUBTOTAL]]+Table1[[#This Row],[IVA]]-Table1[[#This Row],[RET IVA]]-Table1[[#This Row],[RET ISR]]-Table1[[#This Row],[TOTAL]]</f>
        <v>0</v>
      </c>
      <c r="AE2038" s="150"/>
      <c r="AF2038" s="151"/>
      <c r="AG2038" s="126" t="s">
        <v>3420</v>
      </c>
      <c r="AK2038" s="306" t="str">
        <f>IF(ISNUMBER(Table1[[#This Row],[FECHA DE RECIBIDO]]), Table1[[#This Row],[FECHA DE RECIBIDO]]-DATE(2023,8,30), "")</f>
        <v/>
      </c>
    </row>
    <row r="2039" spans="1:37" ht="16.95" customHeight="1">
      <c r="A2039" s="152" t="s">
        <v>3633</v>
      </c>
      <c r="B2039" s="153">
        <v>714</v>
      </c>
      <c r="C2039" s="126" t="s">
        <v>936</v>
      </c>
      <c r="D2039">
        <v>1414</v>
      </c>
      <c r="E2039" s="126"/>
      <c r="F2039" s="125"/>
      <c r="G2039" s="125" t="s">
        <v>134</v>
      </c>
      <c r="H2039"/>
      <c r="I2039" s="125"/>
      <c r="J2039" s="308" t="s">
        <v>214</v>
      </c>
      <c r="K2039" s="127" t="s">
        <v>3418</v>
      </c>
      <c r="L2039" s="153" t="s">
        <v>1579</v>
      </c>
      <c r="M2039">
        <v>120</v>
      </c>
      <c r="N2039" s="123">
        <v>17</v>
      </c>
      <c r="O2039">
        <v>1367</v>
      </c>
      <c r="P2039" s="132" t="s">
        <v>77</v>
      </c>
      <c r="Q2039" s="132">
        <v>195.69</v>
      </c>
      <c r="R2039" s="132">
        <v>31.31</v>
      </c>
      <c r="S2039" s="132"/>
      <c r="T2039" s="156"/>
      <c r="U2039" s="132"/>
      <c r="V2039" s="132">
        <f t="shared" si="48"/>
        <v>227</v>
      </c>
      <c r="W2039">
        <v>226</v>
      </c>
      <c r="X2039" s="153" t="s">
        <v>1644</v>
      </c>
      <c r="Y2039" s="124" t="s">
        <v>55</v>
      </c>
      <c r="Z2039" s="308">
        <v>214</v>
      </c>
      <c r="AB2039" t="str">
        <f>IF(Table1[[#This Row],[TIPO2]]="costo", VLOOKUP(Table1[[#This Row],[PARTIDA PRESUPUESTAL]],'Cost Report'!G:G,1,0),"Balance")</f>
        <v>3401-003</v>
      </c>
      <c r="AC2039" s="118"/>
      <c r="AD2039" s="159">
        <f>+Table1[[#This Row],[SUBTOTAL]]+Table1[[#This Row],[IVA]]-Table1[[#This Row],[RET IVA]]-Table1[[#This Row],[RET ISR]]-Table1[[#This Row],[TOTAL]]</f>
        <v>0</v>
      </c>
      <c r="AE2039" s="152"/>
      <c r="AF2039" s="153"/>
      <c r="AG2039" s="126" t="s">
        <v>3420</v>
      </c>
      <c r="AK2039" s="306" t="str">
        <f>IF(ISNUMBER(Table1[[#This Row],[FECHA DE RECIBIDO]]), Table1[[#This Row],[FECHA DE RECIBIDO]]-DATE(2023,8,30), "")</f>
        <v/>
      </c>
    </row>
    <row r="2040" spans="1:37" ht="16.95" customHeight="1">
      <c r="A2040" s="150" t="s">
        <v>3633</v>
      </c>
      <c r="B2040" s="151">
        <v>714</v>
      </c>
      <c r="C2040" s="126" t="s">
        <v>936</v>
      </c>
      <c r="D2040">
        <v>1415</v>
      </c>
      <c r="E2040" s="126" t="s">
        <v>3676</v>
      </c>
      <c r="F2040" s="122" t="s">
        <v>1607</v>
      </c>
      <c r="G2040" s="122" t="s">
        <v>134</v>
      </c>
      <c r="H2040">
        <v>32</v>
      </c>
      <c r="I2040" s="122" t="s">
        <v>1546</v>
      </c>
      <c r="J2040" s="307" t="s">
        <v>214</v>
      </c>
      <c r="K2040" s="127" t="s">
        <v>3418</v>
      </c>
      <c r="L2040" s="151" t="s">
        <v>1579</v>
      </c>
      <c r="M2040">
        <v>120</v>
      </c>
      <c r="N2040" s="123">
        <v>17</v>
      </c>
      <c r="O2040">
        <v>1367</v>
      </c>
      <c r="P2040" s="132" t="s">
        <v>77</v>
      </c>
      <c r="Q2040" s="131">
        <v>76.72</v>
      </c>
      <c r="R2040" s="131">
        <v>12.28</v>
      </c>
      <c r="S2040" s="131"/>
      <c r="T2040" s="155"/>
      <c r="U2040" s="131"/>
      <c r="V2040" s="131">
        <f t="shared" si="48"/>
        <v>89</v>
      </c>
      <c r="W2040">
        <v>226</v>
      </c>
      <c r="X2040" s="151" t="s">
        <v>1644</v>
      </c>
      <c r="Y2040" s="135" t="s">
        <v>55</v>
      </c>
      <c r="Z2040" s="307">
        <v>214</v>
      </c>
      <c r="AB2040" t="str">
        <f>IF(Table1[[#This Row],[TIPO2]]="costo", VLOOKUP(Table1[[#This Row],[PARTIDA PRESUPUESTAL]],'Cost Report'!G:G,1,0),"Balance")</f>
        <v>3401-003</v>
      </c>
      <c r="AC2040" s="118"/>
      <c r="AD2040" s="159">
        <f>+Table1[[#This Row],[SUBTOTAL]]+Table1[[#This Row],[IVA]]-Table1[[#This Row],[RET IVA]]-Table1[[#This Row],[RET ISR]]-Table1[[#This Row],[TOTAL]]</f>
        <v>0</v>
      </c>
      <c r="AE2040" s="150"/>
      <c r="AF2040" s="151"/>
      <c r="AG2040" s="126" t="s">
        <v>3420</v>
      </c>
      <c r="AK2040" s="306" t="str">
        <f>IF(ISNUMBER(Table1[[#This Row],[FECHA DE RECIBIDO]]), Table1[[#This Row],[FECHA DE RECIBIDO]]-DATE(2023,8,30), "")</f>
        <v/>
      </c>
    </row>
    <row r="2041" spans="1:37" ht="16.95" customHeight="1">
      <c r="A2041" s="152" t="s">
        <v>3633</v>
      </c>
      <c r="B2041" s="153">
        <v>714</v>
      </c>
      <c r="C2041" s="126" t="s">
        <v>936</v>
      </c>
      <c r="D2041">
        <v>1416</v>
      </c>
      <c r="E2041" s="126" t="s">
        <v>3677</v>
      </c>
      <c r="F2041" s="125" t="s">
        <v>1607</v>
      </c>
      <c r="G2041" s="125" t="s">
        <v>134</v>
      </c>
      <c r="H2041">
        <v>32</v>
      </c>
      <c r="I2041" s="125" t="s">
        <v>1546</v>
      </c>
      <c r="J2041" s="308" t="s">
        <v>214</v>
      </c>
      <c r="K2041" s="127" t="s">
        <v>3418</v>
      </c>
      <c r="L2041" s="153" t="s">
        <v>1579</v>
      </c>
      <c r="M2041">
        <v>120</v>
      </c>
      <c r="N2041" s="123">
        <v>17</v>
      </c>
      <c r="O2041">
        <v>1379</v>
      </c>
      <c r="P2041" s="132" t="s">
        <v>77</v>
      </c>
      <c r="Q2041" s="132">
        <v>567.24</v>
      </c>
      <c r="R2041" s="132">
        <v>90.76</v>
      </c>
      <c r="S2041" s="132"/>
      <c r="T2041" s="156"/>
      <c r="U2041" s="132"/>
      <c r="V2041" s="132">
        <f t="shared" si="48"/>
        <v>658</v>
      </c>
      <c r="W2041">
        <v>226</v>
      </c>
      <c r="X2041" s="153" t="s">
        <v>1644</v>
      </c>
      <c r="Y2041" s="124" t="s">
        <v>55</v>
      </c>
      <c r="Z2041" s="308">
        <v>214</v>
      </c>
      <c r="AB2041" t="str">
        <f>IF(Table1[[#This Row],[TIPO2]]="costo", VLOOKUP(Table1[[#This Row],[PARTIDA PRESUPUESTAL]],'Cost Report'!G:G,1,0),"Balance")</f>
        <v>3401-003</v>
      </c>
      <c r="AC2041" s="118"/>
      <c r="AD2041" s="159">
        <f>+Table1[[#This Row],[SUBTOTAL]]+Table1[[#This Row],[IVA]]-Table1[[#This Row],[RET IVA]]-Table1[[#This Row],[RET ISR]]-Table1[[#This Row],[TOTAL]]</f>
        <v>0</v>
      </c>
      <c r="AE2041" s="152"/>
      <c r="AF2041" s="153"/>
      <c r="AG2041" s="126" t="s">
        <v>3420</v>
      </c>
      <c r="AK2041" s="306" t="str">
        <f>IF(ISNUMBER(Table1[[#This Row],[FECHA DE RECIBIDO]]), Table1[[#This Row],[FECHA DE RECIBIDO]]-DATE(2023,8,30), "")</f>
        <v/>
      </c>
    </row>
    <row r="2042" spans="1:37" ht="16.95" customHeight="1">
      <c r="A2042" s="150" t="s">
        <v>3633</v>
      </c>
      <c r="B2042" s="151">
        <v>714</v>
      </c>
      <c r="C2042" s="126" t="s">
        <v>2851</v>
      </c>
      <c r="D2042">
        <v>1417</v>
      </c>
      <c r="E2042" s="126" t="s">
        <v>3678</v>
      </c>
      <c r="F2042" s="122" t="s">
        <v>1607</v>
      </c>
      <c r="G2042" s="122" t="s">
        <v>134</v>
      </c>
      <c r="H2042">
        <v>91</v>
      </c>
      <c r="I2042" s="122" t="s">
        <v>1546</v>
      </c>
      <c r="J2042" s="307" t="s">
        <v>214</v>
      </c>
      <c r="K2042" s="127" t="s">
        <v>3418</v>
      </c>
      <c r="L2042" s="151" t="s">
        <v>1579</v>
      </c>
      <c r="M2042">
        <v>122</v>
      </c>
      <c r="N2042" s="123">
        <v>17</v>
      </c>
      <c r="O2042">
        <v>1380</v>
      </c>
      <c r="P2042" s="132" t="s">
        <v>77</v>
      </c>
      <c r="Q2042" s="131">
        <v>183.62</v>
      </c>
      <c r="R2042" s="131">
        <v>29.38</v>
      </c>
      <c r="S2042" s="131"/>
      <c r="T2042" s="155"/>
      <c r="U2042" s="131"/>
      <c r="V2042" s="131">
        <f t="shared" si="48"/>
        <v>213</v>
      </c>
      <c r="W2042">
        <v>226</v>
      </c>
      <c r="X2042" s="151" t="s">
        <v>1644</v>
      </c>
      <c r="Y2042" s="135" t="s">
        <v>55</v>
      </c>
      <c r="Z2042" s="307">
        <v>214</v>
      </c>
      <c r="AB2042" t="str">
        <f>IF(Table1[[#This Row],[TIPO2]]="costo", VLOOKUP(Table1[[#This Row],[PARTIDA PRESUPUESTAL]],'Cost Report'!G:G,1,0),"Balance")</f>
        <v>3485-003</v>
      </c>
      <c r="AC2042" s="118"/>
      <c r="AD2042" s="159">
        <f>+Table1[[#This Row],[SUBTOTAL]]+Table1[[#This Row],[IVA]]-Table1[[#This Row],[RET IVA]]-Table1[[#This Row],[RET ISR]]-Table1[[#This Row],[TOTAL]]</f>
        <v>0</v>
      </c>
      <c r="AE2042" s="150"/>
      <c r="AF2042" s="151"/>
      <c r="AG2042" s="126" t="s">
        <v>3420</v>
      </c>
      <c r="AK2042" s="306" t="str">
        <f>IF(ISNUMBER(Table1[[#This Row],[FECHA DE RECIBIDO]]), Table1[[#This Row],[FECHA DE RECIBIDO]]-DATE(2023,8,30), "")</f>
        <v/>
      </c>
    </row>
    <row r="2043" spans="1:37" ht="16.95" customHeight="1">
      <c r="A2043" s="152" t="s">
        <v>3633</v>
      </c>
      <c r="B2043" s="153">
        <v>714</v>
      </c>
      <c r="C2043" s="126" t="s">
        <v>936</v>
      </c>
      <c r="D2043">
        <v>1418</v>
      </c>
      <c r="E2043" s="126" t="s">
        <v>1596</v>
      </c>
      <c r="F2043" s="125" t="s">
        <v>1371</v>
      </c>
      <c r="G2043" s="125" t="s">
        <v>134</v>
      </c>
      <c r="H2043">
        <v>435</v>
      </c>
      <c r="I2043" s="125" t="s">
        <v>1546</v>
      </c>
      <c r="J2043" s="308" t="s">
        <v>214</v>
      </c>
      <c r="K2043" s="127" t="s">
        <v>3418</v>
      </c>
      <c r="L2043" s="153" t="s">
        <v>1579</v>
      </c>
      <c r="M2043">
        <v>579</v>
      </c>
      <c r="N2043" s="123">
        <v>17</v>
      </c>
      <c r="O2043">
        <v>1381</v>
      </c>
      <c r="P2043" s="132" t="s">
        <v>77</v>
      </c>
      <c r="Q2043" s="132">
        <v>288</v>
      </c>
      <c r="R2043" s="132"/>
      <c r="S2043" s="132"/>
      <c r="T2043" s="156"/>
      <c r="U2043" s="132"/>
      <c r="V2043" s="132">
        <f t="shared" si="48"/>
        <v>288</v>
      </c>
      <c r="W2043">
        <v>226</v>
      </c>
      <c r="X2043" s="153" t="s">
        <v>1644</v>
      </c>
      <c r="Y2043" s="124" t="s">
        <v>55</v>
      </c>
      <c r="Z2043" s="308">
        <v>214</v>
      </c>
      <c r="AB2043" t="str">
        <f>IF(Table1[[#This Row],[TIPO2]]="costo", VLOOKUP(Table1[[#This Row],[PARTIDA PRESUPUESTAL]],'Cost Report'!G:G,1,0),"Balance")</f>
        <v>3401-003</v>
      </c>
      <c r="AC2043" s="118"/>
      <c r="AD2043" s="159">
        <f>+Table1[[#This Row],[SUBTOTAL]]+Table1[[#This Row],[IVA]]-Table1[[#This Row],[RET IVA]]-Table1[[#This Row],[RET ISR]]-Table1[[#This Row],[TOTAL]]</f>
        <v>0</v>
      </c>
      <c r="AE2043" s="152"/>
      <c r="AF2043" s="153"/>
      <c r="AG2043" s="126" t="s">
        <v>3420</v>
      </c>
      <c r="AK2043" s="306" t="str">
        <f>IF(ISNUMBER(Table1[[#This Row],[FECHA DE RECIBIDO]]), Table1[[#This Row],[FECHA DE RECIBIDO]]-DATE(2023,8,30), "")</f>
        <v/>
      </c>
    </row>
    <row r="2044" spans="1:37" ht="16.95" customHeight="1">
      <c r="A2044" s="150" t="s">
        <v>3633</v>
      </c>
      <c r="B2044" s="151">
        <v>714</v>
      </c>
      <c r="C2044" s="126" t="s">
        <v>936</v>
      </c>
      <c r="D2044">
        <v>1419</v>
      </c>
      <c r="E2044" s="126" t="s">
        <v>1596</v>
      </c>
      <c r="F2044" s="122" t="s">
        <v>1371</v>
      </c>
      <c r="G2044" s="122" t="s">
        <v>134</v>
      </c>
      <c r="H2044">
        <v>435</v>
      </c>
      <c r="I2044" s="122" t="s">
        <v>1546</v>
      </c>
      <c r="J2044" s="307" t="s">
        <v>214</v>
      </c>
      <c r="K2044" s="127" t="s">
        <v>3418</v>
      </c>
      <c r="L2044" s="151" t="s">
        <v>1579</v>
      </c>
      <c r="M2044">
        <v>579</v>
      </c>
      <c r="N2044" s="123">
        <v>17</v>
      </c>
      <c r="O2044">
        <v>1382</v>
      </c>
      <c r="P2044" s="132" t="s">
        <v>77</v>
      </c>
      <c r="Q2044" s="131">
        <v>288</v>
      </c>
      <c r="R2044" s="131"/>
      <c r="S2044" s="131"/>
      <c r="T2044" s="155"/>
      <c r="U2044" s="131"/>
      <c r="V2044" s="131">
        <f t="shared" si="48"/>
        <v>288</v>
      </c>
      <c r="W2044">
        <v>226</v>
      </c>
      <c r="X2044" s="151" t="s">
        <v>1644</v>
      </c>
      <c r="Y2044" s="135" t="s">
        <v>55</v>
      </c>
      <c r="Z2044" s="307">
        <v>214</v>
      </c>
      <c r="AB2044" t="str">
        <f>IF(Table1[[#This Row],[TIPO2]]="costo", VLOOKUP(Table1[[#This Row],[PARTIDA PRESUPUESTAL]],'Cost Report'!G:G,1,0),"Balance")</f>
        <v>3401-003</v>
      </c>
      <c r="AC2044" s="118"/>
      <c r="AD2044" s="159">
        <f>+Table1[[#This Row],[SUBTOTAL]]+Table1[[#This Row],[IVA]]-Table1[[#This Row],[RET IVA]]-Table1[[#This Row],[RET ISR]]-Table1[[#This Row],[TOTAL]]</f>
        <v>0</v>
      </c>
      <c r="AE2044" s="150"/>
      <c r="AF2044" s="151"/>
      <c r="AG2044" s="126" t="s">
        <v>3420</v>
      </c>
      <c r="AK2044" s="306" t="str">
        <f>IF(ISNUMBER(Table1[[#This Row],[FECHA DE RECIBIDO]]), Table1[[#This Row],[FECHA DE RECIBIDO]]-DATE(2023,8,30), "")</f>
        <v/>
      </c>
    </row>
    <row r="2045" spans="1:37" ht="16.95" customHeight="1">
      <c r="A2045" s="152" t="s">
        <v>3633</v>
      </c>
      <c r="B2045" s="153">
        <v>714</v>
      </c>
      <c r="C2045" s="126" t="s">
        <v>936</v>
      </c>
      <c r="D2045">
        <v>661</v>
      </c>
      <c r="E2045" s="126"/>
      <c r="F2045" s="125"/>
      <c r="G2045" s="125" t="s">
        <v>134</v>
      </c>
      <c r="H2045"/>
      <c r="I2045" s="125" t="s">
        <v>1546</v>
      </c>
      <c r="J2045" s="308">
        <v>198</v>
      </c>
      <c r="K2045" s="127" t="s">
        <v>3418</v>
      </c>
      <c r="L2045" s="153" t="s">
        <v>1579</v>
      </c>
      <c r="M2045">
        <v>580</v>
      </c>
      <c r="N2045" s="123">
        <v>17</v>
      </c>
      <c r="O2045">
        <v>1383</v>
      </c>
      <c r="P2045" s="132" t="s">
        <v>77</v>
      </c>
      <c r="Q2045" s="132">
        <v>25</v>
      </c>
      <c r="R2045" s="132"/>
      <c r="S2045" s="132"/>
      <c r="T2045" s="156"/>
      <c r="U2045" s="132"/>
      <c r="V2045" s="132">
        <f t="shared" si="48"/>
        <v>25</v>
      </c>
      <c r="W2045">
        <v>226</v>
      </c>
      <c r="X2045" s="153" t="s">
        <v>1644</v>
      </c>
      <c r="Y2045" s="124" t="s">
        <v>55</v>
      </c>
      <c r="Z2045" s="308">
        <v>198</v>
      </c>
      <c r="AB2045" t="str">
        <f>IF(Table1[[#This Row],[TIPO2]]="costo", VLOOKUP(Table1[[#This Row],[PARTIDA PRESUPUESTAL]],'Cost Report'!G:G,1,0),"Balance")</f>
        <v>3401-003</v>
      </c>
      <c r="AC2045" s="118"/>
      <c r="AD2045" s="159">
        <f>+Table1[[#This Row],[SUBTOTAL]]+Table1[[#This Row],[IVA]]-Table1[[#This Row],[RET IVA]]-Table1[[#This Row],[RET ISR]]-Table1[[#This Row],[TOTAL]]</f>
        <v>0</v>
      </c>
      <c r="AE2045" s="152"/>
      <c r="AF2045" s="153"/>
      <c r="AG2045" s="126" t="s">
        <v>3420</v>
      </c>
      <c r="AK2045" s="306">
        <f>IF(ISNUMBER(Table1[[#This Row],[FECHA DE RECIBIDO]]), Table1[[#This Row],[FECHA DE RECIBIDO]]-DATE(2023,8,30), "")</f>
        <v>-44970</v>
      </c>
    </row>
    <row r="2046" spans="1:37" ht="16.95" customHeight="1">
      <c r="A2046" s="150" t="s">
        <v>3633</v>
      </c>
      <c r="B2046" s="151">
        <v>714</v>
      </c>
      <c r="C2046" s="126" t="s">
        <v>936</v>
      </c>
      <c r="D2046">
        <v>661</v>
      </c>
      <c r="E2046" s="126"/>
      <c r="F2046" s="122"/>
      <c r="G2046" s="122"/>
      <c r="H2046"/>
      <c r="I2046" s="122"/>
      <c r="J2046" s="307">
        <v>198</v>
      </c>
      <c r="K2046" s="127" t="s">
        <v>3418</v>
      </c>
      <c r="L2046" s="151" t="s">
        <v>1579</v>
      </c>
      <c r="M2046">
        <v>581</v>
      </c>
      <c r="N2046" s="123">
        <v>17</v>
      </c>
      <c r="O2046">
        <v>1383</v>
      </c>
      <c r="P2046" s="132" t="s">
        <v>77</v>
      </c>
      <c r="Q2046" s="131">
        <v>20.69</v>
      </c>
      <c r="R2046" s="131">
        <v>3.31</v>
      </c>
      <c r="S2046" s="131"/>
      <c r="T2046" s="155"/>
      <c r="U2046" s="131"/>
      <c r="V2046" s="131">
        <f t="shared" si="48"/>
        <v>24</v>
      </c>
      <c r="W2046">
        <v>226</v>
      </c>
      <c r="X2046" s="151" t="s">
        <v>1644</v>
      </c>
      <c r="Y2046" s="135" t="s">
        <v>55</v>
      </c>
      <c r="Z2046" s="307">
        <v>198</v>
      </c>
      <c r="AB2046" t="str">
        <f>IF(Table1[[#This Row],[TIPO2]]="costo", VLOOKUP(Table1[[#This Row],[PARTIDA PRESUPUESTAL]],'Cost Report'!G:G,1,0),"Balance")</f>
        <v>3401-003</v>
      </c>
      <c r="AC2046" s="118"/>
      <c r="AD2046" s="159">
        <f>+Table1[[#This Row],[SUBTOTAL]]+Table1[[#This Row],[IVA]]-Table1[[#This Row],[RET IVA]]-Table1[[#This Row],[RET ISR]]-Table1[[#This Row],[TOTAL]]</f>
        <v>0</v>
      </c>
      <c r="AE2046" s="150"/>
      <c r="AF2046" s="151"/>
      <c r="AG2046" s="126" t="s">
        <v>3420</v>
      </c>
      <c r="AK2046" s="306">
        <f>IF(ISNUMBER(Table1[[#This Row],[FECHA DE RECIBIDO]]), Table1[[#This Row],[FECHA DE RECIBIDO]]-DATE(2023,8,30), "")</f>
        <v>-44970</v>
      </c>
    </row>
    <row r="2047" spans="1:37" ht="16.95" customHeight="1">
      <c r="A2047" s="152" t="s">
        <v>3633</v>
      </c>
      <c r="B2047" s="153">
        <v>714</v>
      </c>
      <c r="C2047" s="126" t="s">
        <v>936</v>
      </c>
      <c r="D2047">
        <v>661</v>
      </c>
      <c r="E2047" s="126"/>
      <c r="F2047" s="125"/>
      <c r="G2047" s="125"/>
      <c r="H2047"/>
      <c r="I2047" s="125"/>
      <c r="J2047" s="308">
        <v>202</v>
      </c>
      <c r="K2047" s="127" t="s">
        <v>3418</v>
      </c>
      <c r="L2047" s="153" t="s">
        <v>1579</v>
      </c>
      <c r="M2047">
        <v>582</v>
      </c>
      <c r="N2047" s="123">
        <v>17</v>
      </c>
      <c r="O2047">
        <v>1384</v>
      </c>
      <c r="P2047" s="132" t="s">
        <v>77</v>
      </c>
      <c r="Q2047" s="132">
        <v>75</v>
      </c>
      <c r="R2047" s="132"/>
      <c r="S2047" s="132"/>
      <c r="T2047" s="156"/>
      <c r="U2047" s="132"/>
      <c r="V2047" s="132">
        <f t="shared" si="48"/>
        <v>75</v>
      </c>
      <c r="W2047">
        <v>226</v>
      </c>
      <c r="X2047" s="153" t="s">
        <v>1644</v>
      </c>
      <c r="Y2047" s="124" t="s">
        <v>55</v>
      </c>
      <c r="Z2047" s="308">
        <v>202</v>
      </c>
      <c r="AB2047" t="str">
        <f>IF(Table1[[#This Row],[TIPO2]]="costo", VLOOKUP(Table1[[#This Row],[PARTIDA PRESUPUESTAL]],'Cost Report'!G:G,1,0),"Balance")</f>
        <v>3401-003</v>
      </c>
      <c r="AC2047" s="118"/>
      <c r="AD2047" s="159">
        <f>+Table1[[#This Row],[SUBTOTAL]]+Table1[[#This Row],[IVA]]-Table1[[#This Row],[RET IVA]]-Table1[[#This Row],[RET ISR]]-Table1[[#This Row],[TOTAL]]</f>
        <v>0</v>
      </c>
      <c r="AE2047" s="152"/>
      <c r="AF2047" s="153"/>
      <c r="AG2047" s="126" t="s">
        <v>3420</v>
      </c>
      <c r="AK2047" s="306">
        <f>IF(ISNUMBER(Table1[[#This Row],[FECHA DE RECIBIDO]]), Table1[[#This Row],[FECHA DE RECIBIDO]]-DATE(2023,8,30), "")</f>
        <v>-44966</v>
      </c>
    </row>
    <row r="2048" spans="1:37" ht="16.95" customHeight="1">
      <c r="A2048" s="150" t="s">
        <v>3633</v>
      </c>
      <c r="B2048" s="151">
        <v>714</v>
      </c>
      <c r="C2048" s="126" t="s">
        <v>936</v>
      </c>
      <c r="D2048">
        <v>661</v>
      </c>
      <c r="E2048" s="126"/>
      <c r="F2048" s="122"/>
      <c r="G2048" s="122"/>
      <c r="H2048"/>
      <c r="I2048" s="122"/>
      <c r="J2048" s="307">
        <v>202</v>
      </c>
      <c r="K2048" s="127" t="s">
        <v>3418</v>
      </c>
      <c r="L2048" s="151" t="s">
        <v>1579</v>
      </c>
      <c r="M2048">
        <v>580</v>
      </c>
      <c r="N2048" s="123">
        <v>17</v>
      </c>
      <c r="O2048">
        <v>1385</v>
      </c>
      <c r="P2048" s="132" t="s">
        <v>77</v>
      </c>
      <c r="Q2048" s="131">
        <v>25</v>
      </c>
      <c r="R2048" s="131"/>
      <c r="S2048" s="131"/>
      <c r="T2048" s="155"/>
      <c r="U2048" s="131"/>
      <c r="V2048" s="131">
        <f t="shared" si="48"/>
        <v>25</v>
      </c>
      <c r="W2048">
        <v>226</v>
      </c>
      <c r="X2048" s="151" t="s">
        <v>1644</v>
      </c>
      <c r="Y2048" s="135" t="s">
        <v>55</v>
      </c>
      <c r="Z2048" s="307">
        <v>202</v>
      </c>
      <c r="AB2048" t="str">
        <f>IF(Table1[[#This Row],[TIPO2]]="costo", VLOOKUP(Table1[[#This Row],[PARTIDA PRESUPUESTAL]],'Cost Report'!G:G,1,0),"Balance")</f>
        <v>3401-003</v>
      </c>
      <c r="AC2048" s="118"/>
      <c r="AD2048" s="159">
        <f>+Table1[[#This Row],[SUBTOTAL]]+Table1[[#This Row],[IVA]]-Table1[[#This Row],[RET IVA]]-Table1[[#This Row],[RET ISR]]-Table1[[#This Row],[TOTAL]]</f>
        <v>0</v>
      </c>
      <c r="AE2048" s="150"/>
      <c r="AF2048" s="151"/>
      <c r="AG2048" s="126" t="s">
        <v>3420</v>
      </c>
      <c r="AK2048" s="306">
        <f>IF(ISNUMBER(Table1[[#This Row],[FECHA DE RECIBIDO]]), Table1[[#This Row],[FECHA DE RECIBIDO]]-DATE(2023,8,30), "")</f>
        <v>-44966</v>
      </c>
    </row>
    <row r="2049" spans="1:37" ht="16.95" customHeight="1">
      <c r="A2049" s="152" t="s">
        <v>3633</v>
      </c>
      <c r="B2049" s="153">
        <v>714</v>
      </c>
      <c r="C2049" s="126" t="s">
        <v>936</v>
      </c>
      <c r="D2049">
        <v>661</v>
      </c>
      <c r="E2049" s="126"/>
      <c r="F2049" s="125"/>
      <c r="G2049" s="125"/>
      <c r="H2049"/>
      <c r="I2049" s="125"/>
      <c r="J2049" s="308">
        <v>202</v>
      </c>
      <c r="K2049" s="127" t="s">
        <v>3418</v>
      </c>
      <c r="L2049" s="153" t="s">
        <v>1579</v>
      </c>
      <c r="M2049">
        <v>580</v>
      </c>
      <c r="N2049" s="123">
        <v>17</v>
      </c>
      <c r="O2049">
        <v>1385</v>
      </c>
      <c r="P2049" s="132" t="s">
        <v>77</v>
      </c>
      <c r="Q2049" s="132">
        <v>75</v>
      </c>
      <c r="R2049" s="132"/>
      <c r="S2049" s="132"/>
      <c r="T2049" s="156"/>
      <c r="U2049" s="132"/>
      <c r="V2049" s="132">
        <f t="shared" si="48"/>
        <v>75</v>
      </c>
      <c r="W2049">
        <v>226</v>
      </c>
      <c r="X2049" s="153" t="s">
        <v>1644</v>
      </c>
      <c r="Y2049" s="124" t="s">
        <v>55</v>
      </c>
      <c r="Z2049" s="308">
        <v>202</v>
      </c>
      <c r="AB2049" t="str">
        <f>IF(Table1[[#This Row],[TIPO2]]="costo", VLOOKUP(Table1[[#This Row],[PARTIDA PRESUPUESTAL]],'Cost Report'!G:G,1,0),"Balance")</f>
        <v>3401-003</v>
      </c>
      <c r="AC2049" s="118"/>
      <c r="AD2049" s="159">
        <f>+Table1[[#This Row],[SUBTOTAL]]+Table1[[#This Row],[IVA]]-Table1[[#This Row],[RET IVA]]-Table1[[#This Row],[RET ISR]]-Table1[[#This Row],[TOTAL]]</f>
        <v>0</v>
      </c>
      <c r="AE2049" s="152"/>
      <c r="AF2049" s="153"/>
      <c r="AG2049" s="126" t="s">
        <v>3420</v>
      </c>
      <c r="AK2049" s="306">
        <f>IF(ISNUMBER(Table1[[#This Row],[FECHA DE RECIBIDO]]), Table1[[#This Row],[FECHA DE RECIBIDO]]-DATE(2023,8,30), "")</f>
        <v>-44966</v>
      </c>
    </row>
    <row r="2050" spans="1:37" ht="16.95" customHeight="1">
      <c r="A2050" s="150" t="s">
        <v>3633</v>
      </c>
      <c r="B2050" s="151">
        <v>714</v>
      </c>
      <c r="C2050" s="126" t="s">
        <v>936</v>
      </c>
      <c r="D2050">
        <v>661</v>
      </c>
      <c r="E2050" s="126"/>
      <c r="F2050" s="122"/>
      <c r="G2050" s="122"/>
      <c r="H2050"/>
      <c r="I2050" s="122"/>
      <c r="J2050" s="307">
        <v>204</v>
      </c>
      <c r="K2050" s="127" t="s">
        <v>3418</v>
      </c>
      <c r="L2050" s="151" t="s">
        <v>1579</v>
      </c>
      <c r="M2050">
        <v>583</v>
      </c>
      <c r="N2050" s="123">
        <v>17</v>
      </c>
      <c r="O2050">
        <v>1386</v>
      </c>
      <c r="P2050" s="132" t="s">
        <v>77</v>
      </c>
      <c r="Q2050" s="131">
        <v>148.38</v>
      </c>
      <c r="R2050" s="131">
        <v>2.62</v>
      </c>
      <c r="S2050" s="131"/>
      <c r="T2050" s="155"/>
      <c r="U2050" s="131"/>
      <c r="V2050" s="131">
        <f t="shared" si="48"/>
        <v>151</v>
      </c>
      <c r="W2050">
        <v>226</v>
      </c>
      <c r="X2050" s="151" t="s">
        <v>1644</v>
      </c>
      <c r="Y2050" s="135" t="s">
        <v>55</v>
      </c>
      <c r="Z2050" s="307">
        <v>204</v>
      </c>
      <c r="AB2050" t="str">
        <f>IF(Table1[[#This Row],[TIPO2]]="costo", VLOOKUP(Table1[[#This Row],[PARTIDA PRESUPUESTAL]],'Cost Report'!G:G,1,0),"Balance")</f>
        <v>3401-003</v>
      </c>
      <c r="AC2050" s="118"/>
      <c r="AD2050" s="159">
        <f>+Table1[[#This Row],[SUBTOTAL]]+Table1[[#This Row],[IVA]]-Table1[[#This Row],[RET IVA]]-Table1[[#This Row],[RET ISR]]-Table1[[#This Row],[TOTAL]]</f>
        <v>0</v>
      </c>
      <c r="AE2050" s="150"/>
      <c r="AF2050" s="151"/>
      <c r="AG2050" s="126" t="s">
        <v>3420</v>
      </c>
      <c r="AK2050" s="306">
        <f>IF(ISNUMBER(Table1[[#This Row],[FECHA DE RECIBIDO]]), Table1[[#This Row],[FECHA DE RECIBIDO]]-DATE(2023,8,30), "")</f>
        <v>-44964</v>
      </c>
    </row>
    <row r="2051" spans="1:37" ht="16.95" customHeight="1">
      <c r="A2051" s="152" t="s">
        <v>3633</v>
      </c>
      <c r="B2051" s="153">
        <v>714</v>
      </c>
      <c r="C2051" s="126" t="s">
        <v>936</v>
      </c>
      <c r="D2051">
        <v>661</v>
      </c>
      <c r="E2051" s="126"/>
      <c r="F2051" s="125"/>
      <c r="G2051" s="125"/>
      <c r="H2051"/>
      <c r="I2051" s="125"/>
      <c r="J2051" s="308">
        <v>207</v>
      </c>
      <c r="K2051" s="127" t="s">
        <v>3418</v>
      </c>
      <c r="L2051" s="153" t="s">
        <v>1579</v>
      </c>
      <c r="M2051">
        <v>584</v>
      </c>
      <c r="N2051" s="123">
        <v>17</v>
      </c>
      <c r="O2051">
        <v>1387</v>
      </c>
      <c r="P2051" s="132" t="s">
        <v>77</v>
      </c>
      <c r="Q2051" s="132">
        <v>29.5</v>
      </c>
      <c r="R2051" s="132">
        <v>4.72</v>
      </c>
      <c r="S2051" s="132"/>
      <c r="T2051" s="156"/>
      <c r="U2051" s="132"/>
      <c r="V2051" s="132">
        <f t="shared" ref="V2051:V2096" si="49">Q2051+R2051-T2051-U2051</f>
        <v>34.22</v>
      </c>
      <c r="W2051">
        <v>226</v>
      </c>
      <c r="X2051" s="153" t="s">
        <v>1644</v>
      </c>
      <c r="Y2051" s="124" t="s">
        <v>55</v>
      </c>
      <c r="Z2051" s="308">
        <v>207</v>
      </c>
      <c r="AB2051" t="str">
        <f>IF(Table1[[#This Row],[TIPO2]]="costo", VLOOKUP(Table1[[#This Row],[PARTIDA PRESUPUESTAL]],'Cost Report'!G:G,1,0),"Balance")</f>
        <v>3401-003</v>
      </c>
      <c r="AC2051" s="118"/>
      <c r="AD2051" s="159">
        <f>+Table1[[#This Row],[SUBTOTAL]]+Table1[[#This Row],[IVA]]-Table1[[#This Row],[RET IVA]]-Table1[[#This Row],[RET ISR]]-Table1[[#This Row],[TOTAL]]</f>
        <v>0</v>
      </c>
      <c r="AE2051" s="152"/>
      <c r="AF2051" s="153"/>
      <c r="AG2051" s="126" t="s">
        <v>3420</v>
      </c>
      <c r="AK2051" s="306">
        <f>IF(ISNUMBER(Table1[[#This Row],[FECHA DE RECIBIDO]]), Table1[[#This Row],[FECHA DE RECIBIDO]]-DATE(2023,8,30), "")</f>
        <v>-44961</v>
      </c>
    </row>
    <row r="2052" spans="1:37" ht="16.95" customHeight="1">
      <c r="A2052" s="150" t="s">
        <v>3633</v>
      </c>
      <c r="B2052" s="151">
        <v>714</v>
      </c>
      <c r="C2052" s="126" t="s">
        <v>936</v>
      </c>
      <c r="D2052">
        <v>661</v>
      </c>
      <c r="E2052" s="126"/>
      <c r="F2052" s="122"/>
      <c r="G2052" s="122"/>
      <c r="H2052"/>
      <c r="I2052" s="122"/>
      <c r="J2052" s="307">
        <v>208</v>
      </c>
      <c r="K2052" s="127" t="s">
        <v>3418</v>
      </c>
      <c r="L2052" s="151" t="s">
        <v>1579</v>
      </c>
      <c r="M2052">
        <v>585</v>
      </c>
      <c r="N2052" s="123">
        <v>17</v>
      </c>
      <c r="O2052">
        <v>1388</v>
      </c>
      <c r="P2052" s="132" t="s">
        <v>77</v>
      </c>
      <c r="Q2052" s="131">
        <v>15</v>
      </c>
      <c r="R2052" s="131"/>
      <c r="S2052" s="131"/>
      <c r="T2052" s="155"/>
      <c r="U2052" s="131"/>
      <c r="V2052" s="131">
        <f t="shared" si="49"/>
        <v>15</v>
      </c>
      <c r="W2052">
        <v>226</v>
      </c>
      <c r="X2052" s="151" t="s">
        <v>1644</v>
      </c>
      <c r="Y2052" s="135" t="s">
        <v>55</v>
      </c>
      <c r="Z2052" s="307">
        <v>208</v>
      </c>
      <c r="AB2052" t="str">
        <f>IF(Table1[[#This Row],[TIPO2]]="costo", VLOOKUP(Table1[[#This Row],[PARTIDA PRESUPUESTAL]],'Cost Report'!G:G,1,0),"Balance")</f>
        <v>3401-003</v>
      </c>
      <c r="AC2052" s="118"/>
      <c r="AD2052" s="159">
        <f>+Table1[[#This Row],[SUBTOTAL]]+Table1[[#This Row],[IVA]]-Table1[[#This Row],[RET IVA]]-Table1[[#This Row],[RET ISR]]-Table1[[#This Row],[TOTAL]]</f>
        <v>0</v>
      </c>
      <c r="AE2052" s="150"/>
      <c r="AF2052" s="151"/>
      <c r="AG2052" s="126" t="s">
        <v>3420</v>
      </c>
      <c r="AK2052" s="306">
        <f>IF(ISNUMBER(Table1[[#This Row],[FECHA DE RECIBIDO]]), Table1[[#This Row],[FECHA DE RECIBIDO]]-DATE(2023,8,30), "")</f>
        <v>-44960</v>
      </c>
    </row>
    <row r="2053" spans="1:37" ht="16.95" customHeight="1">
      <c r="A2053" s="152" t="s">
        <v>3633</v>
      </c>
      <c r="B2053" s="153">
        <v>714</v>
      </c>
      <c r="C2053" s="126" t="s">
        <v>936</v>
      </c>
      <c r="D2053">
        <v>661</v>
      </c>
      <c r="E2053" s="126"/>
      <c r="F2053" s="125"/>
      <c r="G2053" s="125"/>
      <c r="H2053"/>
      <c r="I2053" s="125"/>
      <c r="J2053" s="308">
        <v>208</v>
      </c>
      <c r="K2053" s="127" t="s">
        <v>3418</v>
      </c>
      <c r="L2053" s="153" t="s">
        <v>1579</v>
      </c>
      <c r="M2053">
        <v>586</v>
      </c>
      <c r="N2053" s="123">
        <v>17</v>
      </c>
      <c r="O2053">
        <v>1389</v>
      </c>
      <c r="P2053" s="132" t="s">
        <v>77</v>
      </c>
      <c r="Q2053" s="132">
        <v>72</v>
      </c>
      <c r="R2053" s="132"/>
      <c r="S2053" s="132"/>
      <c r="T2053" s="156"/>
      <c r="U2053" s="132"/>
      <c r="V2053" s="132">
        <f t="shared" si="49"/>
        <v>72</v>
      </c>
      <c r="W2053">
        <v>226</v>
      </c>
      <c r="X2053" s="153" t="s">
        <v>1644</v>
      </c>
      <c r="Y2053" s="124" t="s">
        <v>55</v>
      </c>
      <c r="Z2053" s="308">
        <v>208</v>
      </c>
      <c r="AB2053" t="str">
        <f>IF(Table1[[#This Row],[TIPO2]]="costo", VLOOKUP(Table1[[#This Row],[PARTIDA PRESUPUESTAL]],'Cost Report'!G:G,1,0),"Balance")</f>
        <v>3401-003</v>
      </c>
      <c r="AC2053" s="118"/>
      <c r="AD2053" s="159">
        <f>+Table1[[#This Row],[SUBTOTAL]]+Table1[[#This Row],[IVA]]-Table1[[#This Row],[RET IVA]]-Table1[[#This Row],[RET ISR]]-Table1[[#This Row],[TOTAL]]</f>
        <v>0</v>
      </c>
      <c r="AE2053" s="152"/>
      <c r="AF2053" s="153"/>
      <c r="AG2053" s="126" t="s">
        <v>3420</v>
      </c>
      <c r="AK2053" s="306">
        <f>IF(ISNUMBER(Table1[[#This Row],[FECHA DE RECIBIDO]]), Table1[[#This Row],[FECHA DE RECIBIDO]]-DATE(2023,8,30), "")</f>
        <v>-44960</v>
      </c>
    </row>
    <row r="2054" spans="1:37" ht="16.95" customHeight="1">
      <c r="A2054" s="150" t="s">
        <v>3633</v>
      </c>
      <c r="B2054" s="151">
        <v>714</v>
      </c>
      <c r="C2054" s="126" t="s">
        <v>936</v>
      </c>
      <c r="D2054">
        <v>661</v>
      </c>
      <c r="E2054" s="126"/>
      <c r="F2054" s="122"/>
      <c r="G2054" s="122"/>
      <c r="H2054"/>
      <c r="I2054" s="122"/>
      <c r="J2054" s="307">
        <v>208</v>
      </c>
      <c r="K2054" s="127" t="s">
        <v>3418</v>
      </c>
      <c r="L2054" s="151" t="s">
        <v>1579</v>
      </c>
      <c r="M2054">
        <v>587</v>
      </c>
      <c r="N2054" s="123">
        <v>17</v>
      </c>
      <c r="O2054">
        <v>1388</v>
      </c>
      <c r="P2054" s="132" t="s">
        <v>77</v>
      </c>
      <c r="Q2054" s="131">
        <v>35</v>
      </c>
      <c r="R2054" s="131"/>
      <c r="S2054" s="131"/>
      <c r="T2054" s="155"/>
      <c r="U2054" s="131"/>
      <c r="V2054" s="131">
        <f t="shared" si="49"/>
        <v>35</v>
      </c>
      <c r="W2054">
        <v>226</v>
      </c>
      <c r="X2054" s="151" t="s">
        <v>1644</v>
      </c>
      <c r="Y2054" s="135" t="s">
        <v>55</v>
      </c>
      <c r="Z2054" s="307">
        <v>208</v>
      </c>
      <c r="AB2054" t="str">
        <f>IF(Table1[[#This Row],[TIPO2]]="costo", VLOOKUP(Table1[[#This Row],[PARTIDA PRESUPUESTAL]],'Cost Report'!G:G,1,0),"Balance")</f>
        <v>3401-003</v>
      </c>
      <c r="AC2054" s="118"/>
      <c r="AD2054" s="159">
        <f>+Table1[[#This Row],[SUBTOTAL]]+Table1[[#This Row],[IVA]]-Table1[[#This Row],[RET IVA]]-Table1[[#This Row],[RET ISR]]-Table1[[#This Row],[TOTAL]]</f>
        <v>0</v>
      </c>
      <c r="AE2054" s="150"/>
      <c r="AF2054" s="151"/>
      <c r="AG2054" s="126" t="s">
        <v>3420</v>
      </c>
      <c r="AK2054" s="306">
        <f>IF(ISNUMBER(Table1[[#This Row],[FECHA DE RECIBIDO]]), Table1[[#This Row],[FECHA DE RECIBIDO]]-DATE(2023,8,30), "")</f>
        <v>-44960</v>
      </c>
    </row>
    <row r="2055" spans="1:37" ht="16.95" customHeight="1">
      <c r="A2055" s="152" t="s">
        <v>3633</v>
      </c>
      <c r="B2055" s="153">
        <v>714</v>
      </c>
      <c r="C2055" s="126" t="s">
        <v>936</v>
      </c>
      <c r="D2055">
        <v>661</v>
      </c>
      <c r="E2055" s="126"/>
      <c r="F2055" s="125"/>
      <c r="G2055" s="125"/>
      <c r="H2055"/>
      <c r="I2055" s="125"/>
      <c r="J2055" s="308">
        <v>208</v>
      </c>
      <c r="K2055" s="127" t="s">
        <v>3418</v>
      </c>
      <c r="L2055" s="153" t="s">
        <v>1579</v>
      </c>
      <c r="M2055">
        <v>588</v>
      </c>
      <c r="N2055" s="123">
        <v>17</v>
      </c>
      <c r="O2055">
        <v>1390</v>
      </c>
      <c r="P2055" s="132" t="s">
        <v>77</v>
      </c>
      <c r="Q2055" s="132">
        <v>147</v>
      </c>
      <c r="R2055" s="132"/>
      <c r="S2055" s="132"/>
      <c r="T2055" s="156"/>
      <c r="U2055" s="132"/>
      <c r="V2055" s="132">
        <f t="shared" si="49"/>
        <v>147</v>
      </c>
      <c r="W2055">
        <v>226</v>
      </c>
      <c r="X2055" s="153" t="s">
        <v>1644</v>
      </c>
      <c r="Y2055" s="124" t="s">
        <v>55</v>
      </c>
      <c r="Z2055" s="308">
        <v>208</v>
      </c>
      <c r="AB2055" t="str">
        <f>IF(Table1[[#This Row],[TIPO2]]="costo", VLOOKUP(Table1[[#This Row],[PARTIDA PRESUPUESTAL]],'Cost Report'!G:G,1,0),"Balance")</f>
        <v>3401-003</v>
      </c>
      <c r="AC2055" s="118"/>
      <c r="AD2055" s="159">
        <f>+Table1[[#This Row],[SUBTOTAL]]+Table1[[#This Row],[IVA]]-Table1[[#This Row],[RET IVA]]-Table1[[#This Row],[RET ISR]]-Table1[[#This Row],[TOTAL]]</f>
        <v>0</v>
      </c>
      <c r="AE2055" s="152"/>
      <c r="AF2055" s="153"/>
      <c r="AG2055" s="126" t="s">
        <v>3420</v>
      </c>
      <c r="AK2055" s="306">
        <f>IF(ISNUMBER(Table1[[#This Row],[FECHA DE RECIBIDO]]), Table1[[#This Row],[FECHA DE RECIBIDO]]-DATE(2023,8,30), "")</f>
        <v>-44960</v>
      </c>
    </row>
    <row r="2056" spans="1:37" ht="16.95" customHeight="1">
      <c r="A2056" s="150" t="s">
        <v>3633</v>
      </c>
      <c r="B2056" s="151">
        <v>714</v>
      </c>
      <c r="C2056" s="126" t="s">
        <v>936</v>
      </c>
      <c r="D2056">
        <v>661</v>
      </c>
      <c r="E2056" s="126"/>
      <c r="F2056" s="122"/>
      <c r="G2056" s="122"/>
      <c r="H2056"/>
      <c r="I2056" s="122"/>
      <c r="J2056" s="307">
        <v>208</v>
      </c>
      <c r="K2056" s="127" t="s">
        <v>3418</v>
      </c>
      <c r="L2056" s="151" t="s">
        <v>1579</v>
      </c>
      <c r="M2056">
        <v>125</v>
      </c>
      <c r="N2056" s="123">
        <v>17</v>
      </c>
      <c r="O2056">
        <v>1391</v>
      </c>
      <c r="P2056" s="132" t="s">
        <v>77</v>
      </c>
      <c r="Q2056" s="131">
        <v>168</v>
      </c>
      <c r="R2056" s="131"/>
      <c r="S2056" s="131"/>
      <c r="T2056" s="155"/>
      <c r="U2056" s="131"/>
      <c r="V2056" s="131">
        <f t="shared" si="49"/>
        <v>168</v>
      </c>
      <c r="W2056">
        <v>226</v>
      </c>
      <c r="X2056" s="151" t="s">
        <v>1644</v>
      </c>
      <c r="Y2056" s="135" t="s">
        <v>55</v>
      </c>
      <c r="Z2056" s="307">
        <v>208</v>
      </c>
      <c r="AB2056" t="str">
        <f>IF(Table1[[#This Row],[TIPO2]]="costo", VLOOKUP(Table1[[#This Row],[PARTIDA PRESUPUESTAL]],'Cost Report'!G:G,1,0),"Balance")</f>
        <v>3401-003</v>
      </c>
      <c r="AC2056" s="118"/>
      <c r="AD2056" s="159">
        <f>+Table1[[#This Row],[SUBTOTAL]]+Table1[[#This Row],[IVA]]-Table1[[#This Row],[RET IVA]]-Table1[[#This Row],[RET ISR]]-Table1[[#This Row],[TOTAL]]</f>
        <v>0</v>
      </c>
      <c r="AE2056" s="150"/>
      <c r="AF2056" s="151"/>
      <c r="AG2056" s="126" t="s">
        <v>3420</v>
      </c>
      <c r="AK2056" s="306">
        <f>IF(ISNUMBER(Table1[[#This Row],[FECHA DE RECIBIDO]]), Table1[[#This Row],[FECHA DE RECIBIDO]]-DATE(2023,8,30), "")</f>
        <v>-44960</v>
      </c>
    </row>
    <row r="2057" spans="1:37" ht="16.95" customHeight="1">
      <c r="A2057" s="152" t="s">
        <v>3633</v>
      </c>
      <c r="B2057" s="153">
        <v>714</v>
      </c>
      <c r="C2057" s="126" t="s">
        <v>936</v>
      </c>
      <c r="D2057">
        <v>661</v>
      </c>
      <c r="E2057" s="126"/>
      <c r="F2057" s="125"/>
      <c r="G2057" s="125"/>
      <c r="H2057"/>
      <c r="I2057" s="125"/>
      <c r="J2057" s="308">
        <v>208</v>
      </c>
      <c r="K2057" s="127" t="s">
        <v>3418</v>
      </c>
      <c r="L2057" s="153" t="s">
        <v>1579</v>
      </c>
      <c r="M2057">
        <v>589</v>
      </c>
      <c r="N2057" s="123">
        <v>17</v>
      </c>
      <c r="O2057">
        <v>1392</v>
      </c>
      <c r="P2057" s="132" t="s">
        <v>77</v>
      </c>
      <c r="Q2057" s="132">
        <v>75</v>
      </c>
      <c r="R2057" s="132"/>
      <c r="S2057" s="132"/>
      <c r="T2057" s="156"/>
      <c r="U2057" s="132"/>
      <c r="V2057" s="132">
        <f t="shared" si="49"/>
        <v>75</v>
      </c>
      <c r="W2057">
        <v>226</v>
      </c>
      <c r="X2057" s="153" t="s">
        <v>1644</v>
      </c>
      <c r="Y2057" s="124" t="s">
        <v>55</v>
      </c>
      <c r="Z2057" s="308">
        <v>208</v>
      </c>
      <c r="AB2057" t="str">
        <f>IF(Table1[[#This Row],[TIPO2]]="costo", VLOOKUP(Table1[[#This Row],[PARTIDA PRESUPUESTAL]],'Cost Report'!G:G,1,0),"Balance")</f>
        <v>3401-003</v>
      </c>
      <c r="AC2057" s="118"/>
      <c r="AD2057" s="159">
        <f>+Table1[[#This Row],[SUBTOTAL]]+Table1[[#This Row],[IVA]]-Table1[[#This Row],[RET IVA]]-Table1[[#This Row],[RET ISR]]-Table1[[#This Row],[TOTAL]]</f>
        <v>0</v>
      </c>
      <c r="AE2057" s="152"/>
      <c r="AF2057" s="153"/>
      <c r="AG2057" s="126" t="s">
        <v>3420</v>
      </c>
      <c r="AK2057" s="306">
        <f>IF(ISNUMBER(Table1[[#This Row],[FECHA DE RECIBIDO]]), Table1[[#This Row],[FECHA DE RECIBIDO]]-DATE(2023,8,30), "")</f>
        <v>-44960</v>
      </c>
    </row>
    <row r="2058" spans="1:37" ht="16.95" customHeight="1">
      <c r="A2058" s="150" t="s">
        <v>3633</v>
      </c>
      <c r="B2058" s="151">
        <v>714</v>
      </c>
      <c r="C2058" s="126" t="s">
        <v>936</v>
      </c>
      <c r="D2058">
        <v>661</v>
      </c>
      <c r="E2058" s="126"/>
      <c r="F2058" s="122"/>
      <c r="G2058" s="122"/>
      <c r="H2058"/>
      <c r="I2058" s="122"/>
      <c r="J2058" s="307">
        <v>208</v>
      </c>
      <c r="K2058" s="127" t="s">
        <v>3418</v>
      </c>
      <c r="L2058" s="151" t="s">
        <v>1579</v>
      </c>
      <c r="M2058">
        <v>589</v>
      </c>
      <c r="N2058" s="123">
        <v>17</v>
      </c>
      <c r="O2058">
        <v>1393</v>
      </c>
      <c r="P2058" s="132" t="s">
        <v>77</v>
      </c>
      <c r="Q2058" s="131">
        <v>270</v>
      </c>
      <c r="R2058" s="131"/>
      <c r="S2058" s="131"/>
      <c r="T2058" s="155"/>
      <c r="U2058" s="131"/>
      <c r="V2058" s="131">
        <f t="shared" si="49"/>
        <v>270</v>
      </c>
      <c r="W2058">
        <v>226</v>
      </c>
      <c r="X2058" s="151" t="s">
        <v>1644</v>
      </c>
      <c r="Y2058" s="135" t="s">
        <v>55</v>
      </c>
      <c r="Z2058" s="307">
        <v>208</v>
      </c>
      <c r="AB2058" t="str">
        <f>IF(Table1[[#This Row],[TIPO2]]="costo", VLOOKUP(Table1[[#This Row],[PARTIDA PRESUPUESTAL]],'Cost Report'!G:G,1,0),"Balance")</f>
        <v>3401-003</v>
      </c>
      <c r="AC2058" s="118"/>
      <c r="AD2058" s="159">
        <f>+Table1[[#This Row],[SUBTOTAL]]+Table1[[#This Row],[IVA]]-Table1[[#This Row],[RET IVA]]-Table1[[#This Row],[RET ISR]]-Table1[[#This Row],[TOTAL]]</f>
        <v>0</v>
      </c>
      <c r="AE2058" s="150"/>
      <c r="AF2058" s="151"/>
      <c r="AG2058" s="126" t="s">
        <v>3420</v>
      </c>
      <c r="AK2058" s="306">
        <f>IF(ISNUMBER(Table1[[#This Row],[FECHA DE RECIBIDO]]), Table1[[#This Row],[FECHA DE RECIBIDO]]-DATE(2023,8,30), "")</f>
        <v>-44960</v>
      </c>
    </row>
    <row r="2059" spans="1:37" ht="16.95" customHeight="1">
      <c r="A2059" s="152" t="s">
        <v>3633</v>
      </c>
      <c r="B2059" s="153">
        <v>714</v>
      </c>
      <c r="C2059" s="126" t="s">
        <v>936</v>
      </c>
      <c r="D2059">
        <v>661</v>
      </c>
      <c r="E2059" s="126"/>
      <c r="F2059" s="125"/>
      <c r="G2059" s="125"/>
      <c r="H2059"/>
      <c r="I2059" s="125"/>
      <c r="J2059" s="308">
        <v>210</v>
      </c>
      <c r="K2059" s="127" t="s">
        <v>3418</v>
      </c>
      <c r="L2059" s="153" t="s">
        <v>1579</v>
      </c>
      <c r="M2059">
        <v>590</v>
      </c>
      <c r="N2059" s="123">
        <v>17</v>
      </c>
      <c r="O2059">
        <v>1394</v>
      </c>
      <c r="P2059" s="132" t="s">
        <v>77</v>
      </c>
      <c r="Q2059" s="132">
        <v>92</v>
      </c>
      <c r="R2059" s="132"/>
      <c r="S2059" s="132"/>
      <c r="T2059" s="156"/>
      <c r="U2059" s="132"/>
      <c r="V2059" s="132">
        <f t="shared" si="49"/>
        <v>92</v>
      </c>
      <c r="W2059">
        <v>226</v>
      </c>
      <c r="X2059" s="153" t="s">
        <v>1644</v>
      </c>
      <c r="Y2059" s="124" t="s">
        <v>55</v>
      </c>
      <c r="Z2059" s="308">
        <v>210</v>
      </c>
      <c r="AB2059" t="str">
        <f>IF(Table1[[#This Row],[TIPO2]]="costo", VLOOKUP(Table1[[#This Row],[PARTIDA PRESUPUESTAL]],'Cost Report'!G:G,1,0),"Balance")</f>
        <v>3401-003</v>
      </c>
      <c r="AC2059" s="118"/>
      <c r="AD2059" s="159">
        <f>+Table1[[#This Row],[SUBTOTAL]]+Table1[[#This Row],[IVA]]-Table1[[#This Row],[RET IVA]]-Table1[[#This Row],[RET ISR]]-Table1[[#This Row],[TOTAL]]</f>
        <v>0</v>
      </c>
      <c r="AE2059" s="152"/>
      <c r="AF2059" s="153"/>
      <c r="AG2059" s="126" t="s">
        <v>3420</v>
      </c>
      <c r="AK2059" s="306">
        <f>IF(ISNUMBER(Table1[[#This Row],[FECHA DE RECIBIDO]]), Table1[[#This Row],[FECHA DE RECIBIDO]]-DATE(2023,8,30), "")</f>
        <v>-44958</v>
      </c>
    </row>
    <row r="2060" spans="1:37" ht="16.95" customHeight="1">
      <c r="A2060" s="150" t="s">
        <v>3633</v>
      </c>
      <c r="B2060" s="151">
        <v>714</v>
      </c>
      <c r="C2060" s="126" t="s">
        <v>936</v>
      </c>
      <c r="D2060">
        <v>661</v>
      </c>
      <c r="E2060" s="126"/>
      <c r="F2060" s="122"/>
      <c r="G2060" s="122"/>
      <c r="H2060"/>
      <c r="I2060" s="122"/>
      <c r="J2060" s="307">
        <v>210</v>
      </c>
      <c r="K2060" s="127" t="s">
        <v>3418</v>
      </c>
      <c r="L2060" s="151" t="s">
        <v>1579</v>
      </c>
      <c r="M2060">
        <v>591</v>
      </c>
      <c r="N2060" s="123">
        <v>17</v>
      </c>
      <c r="O2060">
        <v>1395</v>
      </c>
      <c r="P2060" s="132" t="s">
        <v>77</v>
      </c>
      <c r="Q2060" s="131">
        <v>170</v>
      </c>
      <c r="R2060" s="131"/>
      <c r="S2060" s="131"/>
      <c r="T2060" s="155"/>
      <c r="U2060" s="131"/>
      <c r="V2060" s="131">
        <f t="shared" si="49"/>
        <v>170</v>
      </c>
      <c r="W2060">
        <v>226</v>
      </c>
      <c r="X2060" s="151" t="s">
        <v>1644</v>
      </c>
      <c r="Y2060" s="135" t="s">
        <v>55</v>
      </c>
      <c r="Z2060" s="307">
        <v>210</v>
      </c>
      <c r="AB2060" t="str">
        <f>IF(Table1[[#This Row],[TIPO2]]="costo", VLOOKUP(Table1[[#This Row],[PARTIDA PRESUPUESTAL]],'Cost Report'!G:G,1,0),"Balance")</f>
        <v>3401-003</v>
      </c>
      <c r="AC2060" s="118"/>
      <c r="AD2060" s="159">
        <f>+Table1[[#This Row],[SUBTOTAL]]+Table1[[#This Row],[IVA]]-Table1[[#This Row],[RET IVA]]-Table1[[#This Row],[RET ISR]]-Table1[[#This Row],[TOTAL]]</f>
        <v>0</v>
      </c>
      <c r="AE2060" s="150"/>
      <c r="AF2060" s="151"/>
      <c r="AG2060" s="126" t="s">
        <v>3420</v>
      </c>
      <c r="AK2060" s="306">
        <f>IF(ISNUMBER(Table1[[#This Row],[FECHA DE RECIBIDO]]), Table1[[#This Row],[FECHA DE RECIBIDO]]-DATE(2023,8,30), "")</f>
        <v>-44958</v>
      </c>
    </row>
    <row r="2061" spans="1:37" ht="16.95" customHeight="1">
      <c r="A2061" s="152" t="s">
        <v>3633</v>
      </c>
      <c r="B2061" s="153">
        <v>714</v>
      </c>
      <c r="C2061" s="126" t="s">
        <v>936</v>
      </c>
      <c r="D2061">
        <v>661</v>
      </c>
      <c r="E2061" s="126"/>
      <c r="F2061" s="125"/>
      <c r="G2061" s="125"/>
      <c r="H2061"/>
      <c r="I2061" s="125"/>
      <c r="J2061" s="308">
        <v>211</v>
      </c>
      <c r="K2061" s="127" t="s">
        <v>3418</v>
      </c>
      <c r="L2061" s="153" t="s">
        <v>1579</v>
      </c>
      <c r="M2061">
        <v>588</v>
      </c>
      <c r="N2061" s="123">
        <v>17</v>
      </c>
      <c r="O2061">
        <v>1396</v>
      </c>
      <c r="P2061" s="132" t="s">
        <v>77</v>
      </c>
      <c r="Q2061" s="132">
        <v>46</v>
      </c>
      <c r="R2061" s="132"/>
      <c r="S2061" s="132"/>
      <c r="T2061" s="156"/>
      <c r="U2061" s="132"/>
      <c r="V2061" s="132">
        <f t="shared" si="49"/>
        <v>46</v>
      </c>
      <c r="W2061">
        <v>226</v>
      </c>
      <c r="X2061" s="153" t="s">
        <v>1644</v>
      </c>
      <c r="Y2061" s="124" t="s">
        <v>55</v>
      </c>
      <c r="Z2061" s="308">
        <v>211</v>
      </c>
      <c r="AB2061" t="str">
        <f>IF(Table1[[#This Row],[TIPO2]]="costo", VLOOKUP(Table1[[#This Row],[PARTIDA PRESUPUESTAL]],'Cost Report'!G:G,1,0),"Balance")</f>
        <v>3401-003</v>
      </c>
      <c r="AC2061" s="118"/>
      <c r="AD2061" s="159">
        <f>+Table1[[#This Row],[SUBTOTAL]]+Table1[[#This Row],[IVA]]-Table1[[#This Row],[RET IVA]]-Table1[[#This Row],[RET ISR]]-Table1[[#This Row],[TOTAL]]</f>
        <v>0</v>
      </c>
      <c r="AE2061" s="152"/>
      <c r="AF2061" s="153"/>
      <c r="AG2061" s="126" t="s">
        <v>3420</v>
      </c>
      <c r="AK2061" s="306">
        <f>IF(ISNUMBER(Table1[[#This Row],[FECHA DE RECIBIDO]]), Table1[[#This Row],[FECHA DE RECIBIDO]]-DATE(2023,8,30), "")</f>
        <v>-44957</v>
      </c>
    </row>
    <row r="2062" spans="1:37" ht="16.95" customHeight="1">
      <c r="A2062" s="150" t="s">
        <v>3633</v>
      </c>
      <c r="B2062" s="151">
        <v>714</v>
      </c>
      <c r="C2062" s="126" t="s">
        <v>936</v>
      </c>
      <c r="D2062">
        <v>661</v>
      </c>
      <c r="E2062" s="126"/>
      <c r="F2062" s="122"/>
      <c r="G2062" s="122"/>
      <c r="H2062"/>
      <c r="I2062" s="122"/>
      <c r="J2062" s="307">
        <v>213</v>
      </c>
      <c r="K2062" s="127" t="s">
        <v>3418</v>
      </c>
      <c r="L2062" s="151" t="s">
        <v>1579</v>
      </c>
      <c r="M2062">
        <v>583</v>
      </c>
      <c r="N2062" s="123">
        <v>17</v>
      </c>
      <c r="O2062">
        <v>1397</v>
      </c>
      <c r="P2062" s="132" t="s">
        <v>77</v>
      </c>
      <c r="Q2062" s="131">
        <v>76</v>
      </c>
      <c r="R2062" s="131"/>
      <c r="S2062" s="131"/>
      <c r="T2062" s="155"/>
      <c r="U2062" s="131"/>
      <c r="V2062" s="131">
        <f t="shared" si="49"/>
        <v>76</v>
      </c>
      <c r="W2062">
        <v>226</v>
      </c>
      <c r="X2062" s="151" t="s">
        <v>1644</v>
      </c>
      <c r="Y2062" s="135" t="s">
        <v>55</v>
      </c>
      <c r="Z2062" s="307">
        <v>213</v>
      </c>
      <c r="AB2062" t="str">
        <f>IF(Table1[[#This Row],[TIPO2]]="costo", VLOOKUP(Table1[[#This Row],[PARTIDA PRESUPUESTAL]],'Cost Report'!G:G,1,0),"Balance")</f>
        <v>3401-003</v>
      </c>
      <c r="AC2062" s="118"/>
      <c r="AD2062" s="159">
        <f>+Table1[[#This Row],[SUBTOTAL]]+Table1[[#This Row],[IVA]]-Table1[[#This Row],[RET IVA]]-Table1[[#This Row],[RET ISR]]-Table1[[#This Row],[TOTAL]]</f>
        <v>0</v>
      </c>
      <c r="AE2062" s="150"/>
      <c r="AF2062" s="151"/>
      <c r="AG2062" s="126" t="s">
        <v>3420</v>
      </c>
      <c r="AK2062" s="306">
        <f>IF(ISNUMBER(Table1[[#This Row],[FECHA DE RECIBIDO]]), Table1[[#This Row],[FECHA DE RECIBIDO]]-DATE(2023,8,30), "")</f>
        <v>-44955</v>
      </c>
    </row>
    <row r="2063" spans="1:37" ht="16.95" customHeight="1">
      <c r="A2063" s="152" t="s">
        <v>3634</v>
      </c>
      <c r="B2063" s="153">
        <v>715</v>
      </c>
      <c r="C2063" s="126" t="s">
        <v>2325</v>
      </c>
      <c r="D2063">
        <v>661</v>
      </c>
      <c r="E2063" s="126"/>
      <c r="F2063" s="125"/>
      <c r="G2063" s="125"/>
      <c r="H2063"/>
      <c r="I2063" s="125"/>
      <c r="J2063" s="308">
        <v>160</v>
      </c>
      <c r="K2063" s="127" t="s">
        <v>3418</v>
      </c>
      <c r="L2063" s="153" t="s">
        <v>1579</v>
      </c>
      <c r="M2063">
        <v>592</v>
      </c>
      <c r="N2063" s="123">
        <v>17</v>
      </c>
      <c r="O2063">
        <v>1398</v>
      </c>
      <c r="P2063" s="132" t="s">
        <v>77</v>
      </c>
      <c r="Q2063" s="132">
        <v>34.799999999999997</v>
      </c>
      <c r="R2063" s="132"/>
      <c r="S2063" s="132"/>
      <c r="T2063" s="156"/>
      <c r="U2063" s="132"/>
      <c r="V2063" s="132">
        <f t="shared" si="49"/>
        <v>34.799999999999997</v>
      </c>
      <c r="W2063">
        <v>93</v>
      </c>
      <c r="X2063" s="153" t="s">
        <v>1644</v>
      </c>
      <c r="Y2063" s="124" t="s">
        <v>55</v>
      </c>
      <c r="Z2063" s="308">
        <v>160</v>
      </c>
      <c r="AB2063" t="str">
        <f>IF(Table1[[#This Row],[TIPO2]]="costo", VLOOKUP(Table1[[#This Row],[PARTIDA PRESUPUESTAL]],'Cost Report'!G:G,1,0),"Balance")</f>
        <v>1426-010</v>
      </c>
      <c r="AC2063" s="118"/>
      <c r="AD2063" s="159">
        <f>+Table1[[#This Row],[SUBTOTAL]]+Table1[[#This Row],[IVA]]-Table1[[#This Row],[RET IVA]]-Table1[[#This Row],[RET ISR]]-Table1[[#This Row],[TOTAL]]</f>
        <v>0</v>
      </c>
      <c r="AE2063" s="152"/>
      <c r="AF2063" s="153"/>
      <c r="AG2063" s="126" t="s">
        <v>3420</v>
      </c>
      <c r="AK2063" s="306">
        <f>IF(ISNUMBER(Table1[[#This Row],[FECHA DE RECIBIDO]]), Table1[[#This Row],[FECHA DE RECIBIDO]]-DATE(2023,8,30), "")</f>
        <v>-45008</v>
      </c>
    </row>
    <row r="2064" spans="1:37" ht="16.95" customHeight="1">
      <c r="A2064" s="150" t="s">
        <v>3634</v>
      </c>
      <c r="B2064" s="151">
        <v>715</v>
      </c>
      <c r="C2064" s="126" t="s">
        <v>2325</v>
      </c>
      <c r="D2064">
        <v>661</v>
      </c>
      <c r="E2064" s="126"/>
      <c r="F2064" s="122"/>
      <c r="G2064" s="122"/>
      <c r="H2064"/>
      <c r="I2064" s="122"/>
      <c r="J2064" s="307">
        <v>183</v>
      </c>
      <c r="K2064" s="127" t="s">
        <v>3418</v>
      </c>
      <c r="L2064" s="151" t="s">
        <v>1579</v>
      </c>
      <c r="M2064">
        <v>593</v>
      </c>
      <c r="N2064" s="123">
        <v>17</v>
      </c>
      <c r="O2064">
        <v>1399</v>
      </c>
      <c r="P2064" s="132" t="s">
        <v>77</v>
      </c>
      <c r="Q2064" s="131">
        <v>341.05</v>
      </c>
      <c r="R2064" s="131"/>
      <c r="S2064" s="131"/>
      <c r="T2064" s="155"/>
      <c r="U2064" s="131"/>
      <c r="V2064" s="131">
        <f t="shared" si="49"/>
        <v>341.05</v>
      </c>
      <c r="W2064">
        <v>93</v>
      </c>
      <c r="X2064" s="151" t="s">
        <v>1644</v>
      </c>
      <c r="Y2064" s="135" t="s">
        <v>55</v>
      </c>
      <c r="Z2064" s="307">
        <v>183</v>
      </c>
      <c r="AB2064" t="str">
        <f>IF(Table1[[#This Row],[TIPO2]]="costo", VLOOKUP(Table1[[#This Row],[PARTIDA PRESUPUESTAL]],'Cost Report'!G:G,1,0),"Balance")</f>
        <v>1426-010</v>
      </c>
      <c r="AC2064" s="118"/>
      <c r="AD2064" s="159">
        <f>+Table1[[#This Row],[SUBTOTAL]]+Table1[[#This Row],[IVA]]-Table1[[#This Row],[RET IVA]]-Table1[[#This Row],[RET ISR]]-Table1[[#This Row],[TOTAL]]</f>
        <v>0</v>
      </c>
      <c r="AE2064" s="150"/>
      <c r="AF2064" s="151"/>
      <c r="AG2064" s="126" t="s">
        <v>3420</v>
      </c>
      <c r="AK2064" s="306">
        <f>IF(ISNUMBER(Table1[[#This Row],[FECHA DE RECIBIDO]]), Table1[[#This Row],[FECHA DE RECIBIDO]]-DATE(2023,8,30), "")</f>
        <v>-44985</v>
      </c>
    </row>
    <row r="2065" spans="1:37" ht="16.95" customHeight="1">
      <c r="A2065" s="152" t="s">
        <v>3634</v>
      </c>
      <c r="B2065" s="153">
        <v>715</v>
      </c>
      <c r="C2065" s="126" t="s">
        <v>2325</v>
      </c>
      <c r="D2065">
        <v>661</v>
      </c>
      <c r="E2065" s="126"/>
      <c r="F2065" s="125"/>
      <c r="G2065" s="125"/>
      <c r="H2065"/>
      <c r="I2065" s="125"/>
      <c r="J2065" s="308">
        <v>183</v>
      </c>
      <c r="K2065" s="127" t="s">
        <v>3418</v>
      </c>
      <c r="L2065" s="153" t="s">
        <v>1579</v>
      </c>
      <c r="M2065">
        <v>593</v>
      </c>
      <c r="N2065" s="123">
        <v>17</v>
      </c>
      <c r="O2065">
        <v>1400</v>
      </c>
      <c r="P2065" s="132" t="s">
        <v>77</v>
      </c>
      <c r="Q2065" s="132">
        <v>34.11</v>
      </c>
      <c r="R2065" s="132"/>
      <c r="S2065" s="132"/>
      <c r="T2065" s="156"/>
      <c r="U2065" s="132"/>
      <c r="V2065" s="132">
        <f t="shared" si="49"/>
        <v>34.11</v>
      </c>
      <c r="W2065">
        <v>93</v>
      </c>
      <c r="X2065" s="153" t="s">
        <v>1644</v>
      </c>
      <c r="Y2065" s="124" t="s">
        <v>55</v>
      </c>
      <c r="Z2065" s="308">
        <v>183</v>
      </c>
      <c r="AB2065" t="str">
        <f>IF(Table1[[#This Row],[TIPO2]]="costo", VLOOKUP(Table1[[#This Row],[PARTIDA PRESUPUESTAL]],'Cost Report'!G:G,1,0),"Balance")</f>
        <v>1426-010</v>
      </c>
      <c r="AC2065" s="118"/>
      <c r="AD2065" s="159">
        <f>+Table1[[#This Row],[SUBTOTAL]]+Table1[[#This Row],[IVA]]-Table1[[#This Row],[RET IVA]]-Table1[[#This Row],[RET ISR]]-Table1[[#This Row],[TOTAL]]</f>
        <v>0</v>
      </c>
      <c r="AE2065" s="152"/>
      <c r="AF2065" s="153"/>
      <c r="AG2065" s="126" t="s">
        <v>3420</v>
      </c>
      <c r="AK2065" s="306">
        <f>IF(ISNUMBER(Table1[[#This Row],[FECHA DE RECIBIDO]]), Table1[[#This Row],[FECHA DE RECIBIDO]]-DATE(2023,8,30), "")</f>
        <v>-44985</v>
      </c>
    </row>
    <row r="2066" spans="1:37" ht="16.95" customHeight="1">
      <c r="A2066" s="150" t="s">
        <v>3634</v>
      </c>
      <c r="B2066" s="151">
        <v>715</v>
      </c>
      <c r="C2066" s="126" t="s">
        <v>2325</v>
      </c>
      <c r="D2066">
        <v>661</v>
      </c>
      <c r="E2066" s="126"/>
      <c r="F2066" s="122"/>
      <c r="G2066" s="122"/>
      <c r="H2066"/>
      <c r="I2066" s="122"/>
      <c r="J2066" s="307">
        <v>188</v>
      </c>
      <c r="K2066" s="127" t="s">
        <v>3418</v>
      </c>
      <c r="L2066" s="151" t="s">
        <v>1579</v>
      </c>
      <c r="M2066">
        <v>593</v>
      </c>
      <c r="N2066" s="123">
        <v>17</v>
      </c>
      <c r="O2066">
        <v>1401</v>
      </c>
      <c r="P2066" s="132" t="s">
        <v>77</v>
      </c>
      <c r="Q2066" s="131">
        <v>858.98</v>
      </c>
      <c r="R2066" s="131"/>
      <c r="S2066" s="131"/>
      <c r="T2066" s="155"/>
      <c r="U2066" s="131"/>
      <c r="V2066" s="131">
        <f t="shared" si="49"/>
        <v>858.98</v>
      </c>
      <c r="W2066">
        <v>93</v>
      </c>
      <c r="X2066" s="151" t="s">
        <v>1644</v>
      </c>
      <c r="Y2066" s="135" t="s">
        <v>55</v>
      </c>
      <c r="Z2066" s="307">
        <v>188</v>
      </c>
      <c r="AB2066" t="str">
        <f>IF(Table1[[#This Row],[TIPO2]]="costo", VLOOKUP(Table1[[#This Row],[PARTIDA PRESUPUESTAL]],'Cost Report'!G:G,1,0),"Balance")</f>
        <v>1426-010</v>
      </c>
      <c r="AC2066" s="118"/>
      <c r="AD2066" s="159">
        <f>+Table1[[#This Row],[SUBTOTAL]]+Table1[[#This Row],[IVA]]-Table1[[#This Row],[RET IVA]]-Table1[[#This Row],[RET ISR]]-Table1[[#This Row],[TOTAL]]</f>
        <v>0</v>
      </c>
      <c r="AE2066" s="150"/>
      <c r="AF2066" s="151"/>
      <c r="AG2066" s="126" t="s">
        <v>3420</v>
      </c>
      <c r="AK2066" s="306">
        <f>IF(ISNUMBER(Table1[[#This Row],[FECHA DE RECIBIDO]]), Table1[[#This Row],[FECHA DE RECIBIDO]]-DATE(2023,8,30), "")</f>
        <v>-44980</v>
      </c>
    </row>
    <row r="2067" spans="1:37" ht="16.95" customHeight="1">
      <c r="A2067" s="152" t="s">
        <v>3635</v>
      </c>
      <c r="B2067" s="153">
        <v>716</v>
      </c>
      <c r="C2067" s="126" t="s">
        <v>2443</v>
      </c>
      <c r="D2067">
        <v>1420</v>
      </c>
      <c r="E2067" s="126" t="e">
        <v>#N/A</v>
      </c>
      <c r="F2067" s="125" t="e">
        <v>#N/A</v>
      </c>
      <c r="G2067" s="125" t="s">
        <v>134</v>
      </c>
      <c r="H2067">
        <v>36</v>
      </c>
      <c r="I2067" s="125" t="e">
        <v>#N/A</v>
      </c>
      <c r="J2067" s="308" t="s">
        <v>214</v>
      </c>
      <c r="K2067" s="127" t="s">
        <v>3418</v>
      </c>
      <c r="L2067" s="153" t="s">
        <v>1579</v>
      </c>
      <c r="M2067">
        <v>594</v>
      </c>
      <c r="N2067" s="123">
        <v>17</v>
      </c>
      <c r="O2067">
        <v>1402</v>
      </c>
      <c r="P2067" s="132" t="s">
        <v>77</v>
      </c>
      <c r="Q2067" s="132">
        <v>68.959999999999994</v>
      </c>
      <c r="R2067" s="132">
        <v>11.03</v>
      </c>
      <c r="S2067" s="132"/>
      <c r="T2067" s="156"/>
      <c r="U2067" s="132"/>
      <c r="V2067" s="132">
        <f t="shared" si="49"/>
        <v>79.989999999999995</v>
      </c>
      <c r="W2067">
        <v>227</v>
      </c>
      <c r="X2067" s="153" t="s">
        <v>1644</v>
      </c>
      <c r="Y2067" s="124" t="s">
        <v>55</v>
      </c>
      <c r="Z2067" s="308">
        <v>211</v>
      </c>
      <c r="AB2067" t="str">
        <f>IF(Table1[[#This Row],[TIPO2]]="costo", VLOOKUP(Table1[[#This Row],[PARTIDA PRESUPUESTAL]],'Cost Report'!G:G,1,0),"Balance")</f>
        <v>2080-003</v>
      </c>
      <c r="AC2067" s="118"/>
      <c r="AD2067" s="159">
        <f>+Table1[[#This Row],[SUBTOTAL]]+Table1[[#This Row],[IVA]]-Table1[[#This Row],[RET IVA]]-Table1[[#This Row],[RET ISR]]-Table1[[#This Row],[TOTAL]]</f>
        <v>0</v>
      </c>
      <c r="AE2067" s="152"/>
      <c r="AF2067" s="153"/>
      <c r="AG2067" s="126" t="s">
        <v>3420</v>
      </c>
      <c r="AK2067" s="306" t="str">
        <f>IF(ISNUMBER(Table1[[#This Row],[FECHA DE RECIBIDO]]), Table1[[#This Row],[FECHA DE RECIBIDO]]-DATE(2023,8,30), "")</f>
        <v/>
      </c>
    </row>
    <row r="2068" spans="1:37" ht="16.95" customHeight="1">
      <c r="A2068" s="150" t="s">
        <v>3635</v>
      </c>
      <c r="B2068" s="151">
        <v>716</v>
      </c>
      <c r="C2068" s="126" t="s">
        <v>2860</v>
      </c>
      <c r="D2068">
        <v>1421</v>
      </c>
      <c r="E2068" s="126" t="e">
        <v>#N/A</v>
      </c>
      <c r="F2068" s="122" t="e">
        <v>#N/A</v>
      </c>
      <c r="G2068" s="122" t="s">
        <v>134</v>
      </c>
      <c r="H2068">
        <v>36</v>
      </c>
      <c r="I2068" s="122" t="e">
        <v>#N/A</v>
      </c>
      <c r="J2068" s="307" t="s">
        <v>214</v>
      </c>
      <c r="K2068" s="127" t="s">
        <v>3418</v>
      </c>
      <c r="L2068" s="151" t="s">
        <v>1579</v>
      </c>
      <c r="M2068">
        <v>595</v>
      </c>
      <c r="N2068" s="123">
        <v>17</v>
      </c>
      <c r="O2068">
        <v>1403</v>
      </c>
      <c r="P2068" s="132" t="s">
        <v>77</v>
      </c>
      <c r="Q2068" s="131">
        <v>378.45</v>
      </c>
      <c r="R2068" s="131">
        <v>60.55</v>
      </c>
      <c r="S2068" s="131"/>
      <c r="T2068" s="155"/>
      <c r="U2068" s="131"/>
      <c r="V2068" s="131">
        <f t="shared" si="49"/>
        <v>439</v>
      </c>
      <c r="W2068">
        <v>227</v>
      </c>
      <c r="X2068" s="151" t="s">
        <v>1644</v>
      </c>
      <c r="Y2068" s="135" t="s">
        <v>55</v>
      </c>
      <c r="Z2068" s="307">
        <v>212</v>
      </c>
      <c r="AB2068" t="str">
        <f>IF(Table1[[#This Row],[TIPO2]]="costo", VLOOKUP(Table1[[#This Row],[PARTIDA PRESUPUESTAL]],'Cost Report'!G:G,1,0),"Balance")</f>
        <v>3629-003</v>
      </c>
      <c r="AC2068" s="118"/>
      <c r="AD2068" s="159">
        <f>+Table1[[#This Row],[SUBTOTAL]]+Table1[[#This Row],[IVA]]-Table1[[#This Row],[RET IVA]]-Table1[[#This Row],[RET ISR]]-Table1[[#This Row],[TOTAL]]</f>
        <v>0</v>
      </c>
      <c r="AE2068" s="150"/>
      <c r="AF2068" s="151"/>
      <c r="AG2068" s="126" t="s">
        <v>3420</v>
      </c>
      <c r="AK2068" s="306" t="str">
        <f>IF(ISNUMBER(Table1[[#This Row],[FECHA DE RECIBIDO]]), Table1[[#This Row],[FECHA DE RECIBIDO]]-DATE(2023,8,30), "")</f>
        <v/>
      </c>
    </row>
    <row r="2069" spans="1:37" ht="16.95" customHeight="1">
      <c r="A2069" s="152" t="s">
        <v>3635</v>
      </c>
      <c r="B2069" s="153">
        <v>716</v>
      </c>
      <c r="C2069" s="126" t="s">
        <v>2860</v>
      </c>
      <c r="D2069">
        <v>1422</v>
      </c>
      <c r="E2069" s="126" t="s">
        <v>1989</v>
      </c>
      <c r="F2069" s="125" t="s">
        <v>1607</v>
      </c>
      <c r="G2069" s="125" t="s">
        <v>134</v>
      </c>
      <c r="H2069">
        <v>436</v>
      </c>
      <c r="I2069" s="125" t="s">
        <v>1546</v>
      </c>
      <c r="J2069" s="308" t="s">
        <v>214</v>
      </c>
      <c r="K2069" s="127" t="s">
        <v>3418</v>
      </c>
      <c r="L2069" s="153" t="s">
        <v>1579</v>
      </c>
      <c r="M2069">
        <v>596</v>
      </c>
      <c r="N2069" s="123">
        <v>17</v>
      </c>
      <c r="O2069">
        <v>1404</v>
      </c>
      <c r="P2069" s="132" t="s">
        <v>77</v>
      </c>
      <c r="Q2069" s="132">
        <v>88.79</v>
      </c>
      <c r="R2069" s="132">
        <v>14.21</v>
      </c>
      <c r="S2069" s="132"/>
      <c r="T2069" s="156"/>
      <c r="U2069" s="132"/>
      <c r="V2069" s="132">
        <f t="shared" si="49"/>
        <v>103</v>
      </c>
      <c r="W2069">
        <v>227</v>
      </c>
      <c r="X2069" s="153" t="s">
        <v>1644</v>
      </c>
      <c r="Y2069" s="124" t="s">
        <v>55</v>
      </c>
      <c r="Z2069" s="308">
        <v>212</v>
      </c>
      <c r="AB2069" t="str">
        <f>IF(Table1[[#This Row],[TIPO2]]="costo", VLOOKUP(Table1[[#This Row],[PARTIDA PRESUPUESTAL]],'Cost Report'!G:G,1,0),"Balance")</f>
        <v>3629-003</v>
      </c>
      <c r="AC2069" s="118"/>
      <c r="AD2069" s="159">
        <f>+Table1[[#This Row],[SUBTOTAL]]+Table1[[#This Row],[IVA]]-Table1[[#This Row],[RET IVA]]-Table1[[#This Row],[RET ISR]]-Table1[[#This Row],[TOTAL]]</f>
        <v>0</v>
      </c>
      <c r="AE2069" s="152"/>
      <c r="AF2069" s="153"/>
      <c r="AG2069" s="126" t="s">
        <v>3420</v>
      </c>
      <c r="AK2069" s="306" t="str">
        <f>IF(ISNUMBER(Table1[[#This Row],[FECHA DE RECIBIDO]]), Table1[[#This Row],[FECHA DE RECIBIDO]]-DATE(2023,8,30), "")</f>
        <v/>
      </c>
    </row>
    <row r="2070" spans="1:37" ht="16.95" customHeight="1">
      <c r="A2070" s="150" t="s">
        <v>3635</v>
      </c>
      <c r="B2070" s="151">
        <v>716</v>
      </c>
      <c r="C2070" s="126" t="s">
        <v>2860</v>
      </c>
      <c r="D2070">
        <v>1423</v>
      </c>
      <c r="E2070" s="126" t="s">
        <v>1989</v>
      </c>
      <c r="F2070" s="122" t="s">
        <v>1607</v>
      </c>
      <c r="G2070" s="122" t="s">
        <v>134</v>
      </c>
      <c r="H2070">
        <v>77</v>
      </c>
      <c r="I2070" s="122" t="s">
        <v>1546</v>
      </c>
      <c r="J2070" s="307" t="s">
        <v>214</v>
      </c>
      <c r="K2070" s="127" t="s">
        <v>3418</v>
      </c>
      <c r="L2070" s="151" t="s">
        <v>1579</v>
      </c>
      <c r="M2070">
        <v>100</v>
      </c>
      <c r="N2070" s="123">
        <v>17</v>
      </c>
      <c r="O2070">
        <v>1404</v>
      </c>
      <c r="P2070" s="132" t="s">
        <v>77</v>
      </c>
      <c r="Q2070" s="131">
        <v>95.69</v>
      </c>
      <c r="R2070" s="131">
        <v>15.31</v>
      </c>
      <c r="S2070" s="131"/>
      <c r="T2070" s="155"/>
      <c r="U2070" s="131"/>
      <c r="V2070" s="131">
        <f t="shared" si="49"/>
        <v>111</v>
      </c>
      <c r="W2070">
        <v>227</v>
      </c>
      <c r="X2070" s="151" t="s">
        <v>1644</v>
      </c>
      <c r="Y2070" s="135" t="s">
        <v>55</v>
      </c>
      <c r="Z2070" s="307">
        <v>212</v>
      </c>
      <c r="AB2070" t="str">
        <f>IF(Table1[[#This Row],[TIPO2]]="costo", VLOOKUP(Table1[[#This Row],[PARTIDA PRESUPUESTAL]],'Cost Report'!G:G,1,0),"Balance")</f>
        <v>3629-003</v>
      </c>
      <c r="AC2070" s="118"/>
      <c r="AD2070" s="159">
        <f>+Table1[[#This Row],[SUBTOTAL]]+Table1[[#This Row],[IVA]]-Table1[[#This Row],[RET IVA]]-Table1[[#This Row],[RET ISR]]-Table1[[#This Row],[TOTAL]]</f>
        <v>0</v>
      </c>
      <c r="AE2070" s="150"/>
      <c r="AF2070" s="151"/>
      <c r="AG2070" s="126" t="s">
        <v>3420</v>
      </c>
      <c r="AK2070" s="306" t="str">
        <f>IF(ISNUMBER(Table1[[#This Row],[FECHA DE RECIBIDO]]), Table1[[#This Row],[FECHA DE RECIBIDO]]-DATE(2023,8,30), "")</f>
        <v/>
      </c>
    </row>
    <row r="2071" spans="1:37" ht="16.95" customHeight="1">
      <c r="A2071" s="152" t="s">
        <v>3635</v>
      </c>
      <c r="B2071" s="153">
        <v>716</v>
      </c>
      <c r="C2071" s="126" t="s">
        <v>2774</v>
      </c>
      <c r="D2071">
        <v>1424</v>
      </c>
      <c r="E2071" s="126" t="s">
        <v>3652</v>
      </c>
      <c r="F2071" s="125" t="s">
        <v>1607</v>
      </c>
      <c r="G2071" s="125" t="s">
        <v>134</v>
      </c>
      <c r="H2071">
        <v>437</v>
      </c>
      <c r="I2071" s="125" t="s">
        <v>1546</v>
      </c>
      <c r="J2071" s="308" t="s">
        <v>214</v>
      </c>
      <c r="K2071" s="127" t="s">
        <v>3418</v>
      </c>
      <c r="L2071" s="153" t="s">
        <v>1579</v>
      </c>
      <c r="M2071">
        <v>597</v>
      </c>
      <c r="N2071" s="123">
        <v>17</v>
      </c>
      <c r="O2071">
        <v>1405</v>
      </c>
      <c r="P2071" s="132" t="s">
        <v>77</v>
      </c>
      <c r="Q2071" s="132">
        <v>324.14</v>
      </c>
      <c r="R2071" s="132">
        <v>51.86</v>
      </c>
      <c r="S2071" s="132"/>
      <c r="T2071" s="156"/>
      <c r="U2071" s="132"/>
      <c r="V2071" s="132">
        <f t="shared" si="49"/>
        <v>376</v>
      </c>
      <c r="W2071">
        <v>227</v>
      </c>
      <c r="X2071" s="153" t="s">
        <v>1644</v>
      </c>
      <c r="Y2071" s="124" t="s">
        <v>55</v>
      </c>
      <c r="Z2071" s="308">
        <v>212</v>
      </c>
      <c r="AB2071" t="str">
        <f>IF(Table1[[#This Row],[TIPO2]]="costo", VLOOKUP(Table1[[#This Row],[PARTIDA PRESUPUESTAL]],'Cost Report'!G:G,1,0),"Balance")</f>
        <v>3401-042</v>
      </c>
      <c r="AC2071" s="118"/>
      <c r="AD2071" s="159">
        <f>+Table1[[#This Row],[SUBTOTAL]]+Table1[[#This Row],[IVA]]-Table1[[#This Row],[RET IVA]]-Table1[[#This Row],[RET ISR]]-Table1[[#This Row],[TOTAL]]</f>
        <v>0</v>
      </c>
      <c r="AE2071" s="152"/>
      <c r="AF2071" s="153"/>
      <c r="AG2071" s="126" t="s">
        <v>3420</v>
      </c>
      <c r="AK2071" s="306" t="str">
        <f>IF(ISNUMBER(Table1[[#This Row],[FECHA DE RECIBIDO]]), Table1[[#This Row],[FECHA DE RECIBIDO]]-DATE(2023,8,30), "")</f>
        <v/>
      </c>
    </row>
    <row r="2072" spans="1:37" ht="16.95" customHeight="1">
      <c r="A2072" s="150" t="s">
        <v>3635</v>
      </c>
      <c r="B2072" s="151">
        <v>716</v>
      </c>
      <c r="C2072" s="126" t="s">
        <v>2860</v>
      </c>
      <c r="D2072">
        <v>1425</v>
      </c>
      <c r="E2072" s="126" t="s">
        <v>3679</v>
      </c>
      <c r="F2072" s="122" t="s">
        <v>1607</v>
      </c>
      <c r="G2072" s="122" t="s">
        <v>134</v>
      </c>
      <c r="H2072">
        <v>438</v>
      </c>
      <c r="I2072" s="122" t="s">
        <v>1546</v>
      </c>
      <c r="J2072" s="307" t="s">
        <v>214</v>
      </c>
      <c r="K2072" s="127" t="s">
        <v>3418</v>
      </c>
      <c r="L2072" s="151" t="s">
        <v>1579</v>
      </c>
      <c r="M2072">
        <v>598</v>
      </c>
      <c r="N2072" s="123">
        <v>17</v>
      </c>
      <c r="O2072">
        <v>1406</v>
      </c>
      <c r="P2072" s="132" t="s">
        <v>77</v>
      </c>
      <c r="Q2072" s="131">
        <v>90.52</v>
      </c>
      <c r="R2072" s="131">
        <v>14.48</v>
      </c>
      <c r="S2072" s="131"/>
      <c r="T2072" s="155"/>
      <c r="U2072" s="131"/>
      <c r="V2072" s="131">
        <f t="shared" si="49"/>
        <v>105</v>
      </c>
      <c r="W2072">
        <v>227</v>
      </c>
      <c r="X2072" s="151" t="s">
        <v>1644</v>
      </c>
      <c r="Y2072" s="135" t="s">
        <v>55</v>
      </c>
      <c r="Z2072" s="307">
        <v>212</v>
      </c>
      <c r="AB2072" t="str">
        <f>IF(Table1[[#This Row],[TIPO2]]="costo", VLOOKUP(Table1[[#This Row],[PARTIDA PRESUPUESTAL]],'Cost Report'!G:G,1,0),"Balance")</f>
        <v>3629-003</v>
      </c>
      <c r="AC2072" s="118"/>
      <c r="AD2072" s="159">
        <f>+Table1[[#This Row],[SUBTOTAL]]+Table1[[#This Row],[IVA]]-Table1[[#This Row],[RET IVA]]-Table1[[#This Row],[RET ISR]]-Table1[[#This Row],[TOTAL]]</f>
        <v>0</v>
      </c>
      <c r="AE2072" s="150"/>
      <c r="AF2072" s="151"/>
      <c r="AG2072" s="126" t="s">
        <v>3420</v>
      </c>
      <c r="AK2072" s="306" t="str">
        <f>IF(ISNUMBER(Table1[[#This Row],[FECHA DE RECIBIDO]]), Table1[[#This Row],[FECHA DE RECIBIDO]]-DATE(2023,8,30), "")</f>
        <v/>
      </c>
    </row>
    <row r="2073" spans="1:37" ht="16.95" customHeight="1">
      <c r="A2073" s="152" t="s">
        <v>3635</v>
      </c>
      <c r="B2073" s="153">
        <v>716</v>
      </c>
      <c r="C2073" s="126" t="s">
        <v>2860</v>
      </c>
      <c r="D2073">
        <v>1426</v>
      </c>
      <c r="E2073" s="126" t="s">
        <v>3670</v>
      </c>
      <c r="F2073" s="125" t="s">
        <v>1607</v>
      </c>
      <c r="G2073" s="125" t="s">
        <v>134</v>
      </c>
      <c r="H2073">
        <v>319</v>
      </c>
      <c r="I2073" s="125" t="s">
        <v>1546</v>
      </c>
      <c r="J2073" s="308" t="s">
        <v>214</v>
      </c>
      <c r="K2073" s="127" t="s">
        <v>3418</v>
      </c>
      <c r="L2073" s="153" t="s">
        <v>1579</v>
      </c>
      <c r="M2073">
        <v>424</v>
      </c>
      <c r="N2073" s="123">
        <v>17</v>
      </c>
      <c r="O2073">
        <v>1407</v>
      </c>
      <c r="P2073" s="132" t="s">
        <v>77</v>
      </c>
      <c r="Q2073" s="132">
        <v>1372.41</v>
      </c>
      <c r="R2073" s="132">
        <v>219.59</v>
      </c>
      <c r="S2073" s="132"/>
      <c r="T2073" s="156"/>
      <c r="U2073" s="132"/>
      <c r="V2073" s="132">
        <f t="shared" si="49"/>
        <v>1592</v>
      </c>
      <c r="W2073">
        <v>227</v>
      </c>
      <c r="X2073" s="153" t="s">
        <v>1644</v>
      </c>
      <c r="Y2073" s="124" t="s">
        <v>55</v>
      </c>
      <c r="Z2073" s="308">
        <v>212</v>
      </c>
      <c r="AB2073" t="str">
        <f>IF(Table1[[#This Row],[TIPO2]]="costo", VLOOKUP(Table1[[#This Row],[PARTIDA PRESUPUESTAL]],'Cost Report'!G:G,1,0),"Balance")</f>
        <v>3629-003</v>
      </c>
      <c r="AC2073" s="118"/>
      <c r="AD2073" s="159">
        <f>+Table1[[#This Row],[SUBTOTAL]]+Table1[[#This Row],[IVA]]-Table1[[#This Row],[RET IVA]]-Table1[[#This Row],[RET ISR]]-Table1[[#This Row],[TOTAL]]</f>
        <v>0</v>
      </c>
      <c r="AE2073" s="152"/>
      <c r="AF2073" s="153"/>
      <c r="AG2073" s="126" t="s">
        <v>3420</v>
      </c>
      <c r="AK2073" s="306" t="str">
        <f>IF(ISNUMBER(Table1[[#This Row],[FECHA DE RECIBIDO]]), Table1[[#This Row],[FECHA DE RECIBIDO]]-DATE(2023,8,30), "")</f>
        <v/>
      </c>
    </row>
    <row r="2074" spans="1:37" ht="16.95" customHeight="1">
      <c r="A2074" s="150" t="s">
        <v>3635</v>
      </c>
      <c r="B2074" s="151">
        <v>716</v>
      </c>
      <c r="C2074" s="126" t="s">
        <v>2436</v>
      </c>
      <c r="D2074">
        <v>1427</v>
      </c>
      <c r="E2074" s="126" t="s">
        <v>1603</v>
      </c>
      <c r="F2074" s="122" t="s">
        <v>1607</v>
      </c>
      <c r="G2074" s="122" t="s">
        <v>134</v>
      </c>
      <c r="H2074">
        <v>56</v>
      </c>
      <c r="I2074" s="122" t="s">
        <v>1546</v>
      </c>
      <c r="J2074" s="307" t="s">
        <v>214</v>
      </c>
      <c r="K2074" s="127" t="s">
        <v>3418</v>
      </c>
      <c r="L2074" s="151" t="s">
        <v>1579</v>
      </c>
      <c r="M2074">
        <v>184</v>
      </c>
      <c r="N2074" s="123">
        <v>17</v>
      </c>
      <c r="O2074">
        <v>1408</v>
      </c>
      <c r="P2074" s="132" t="s">
        <v>77</v>
      </c>
      <c r="Q2074" s="131">
        <v>435.27</v>
      </c>
      <c r="R2074" s="131">
        <v>14.73</v>
      </c>
      <c r="S2074" s="131"/>
      <c r="T2074" s="155"/>
      <c r="U2074" s="131"/>
      <c r="V2074" s="131">
        <f t="shared" si="49"/>
        <v>450</v>
      </c>
      <c r="W2074">
        <v>227</v>
      </c>
      <c r="X2074" s="151" t="s">
        <v>1644</v>
      </c>
      <c r="Y2074" s="135" t="s">
        <v>55</v>
      </c>
      <c r="Z2074" s="307">
        <v>212</v>
      </c>
      <c r="AB2074" t="str">
        <f>IF(Table1[[#This Row],[TIPO2]]="costo", VLOOKUP(Table1[[#This Row],[PARTIDA PRESUPUESTAL]],'Cost Report'!G:G,1,0),"Balance")</f>
        <v>2042-003</v>
      </c>
      <c r="AC2074" s="118"/>
      <c r="AD2074" s="159">
        <f>+Table1[[#This Row],[SUBTOTAL]]+Table1[[#This Row],[IVA]]-Table1[[#This Row],[RET IVA]]-Table1[[#This Row],[RET ISR]]-Table1[[#This Row],[TOTAL]]</f>
        <v>0</v>
      </c>
      <c r="AE2074" s="150"/>
      <c r="AF2074" s="151"/>
      <c r="AG2074" s="126" t="s">
        <v>3420</v>
      </c>
      <c r="AK2074" s="306" t="str">
        <f>IF(ISNUMBER(Table1[[#This Row],[FECHA DE RECIBIDO]]), Table1[[#This Row],[FECHA DE RECIBIDO]]-DATE(2023,8,30), "")</f>
        <v/>
      </c>
    </row>
    <row r="2075" spans="1:37" ht="16.95" customHeight="1">
      <c r="A2075" s="152" t="s">
        <v>3635</v>
      </c>
      <c r="B2075" s="153">
        <v>716</v>
      </c>
      <c r="C2075" s="126" t="s">
        <v>2774</v>
      </c>
      <c r="D2075">
        <v>1428</v>
      </c>
      <c r="E2075" s="126"/>
      <c r="F2075" s="125"/>
      <c r="G2075" s="125" t="s">
        <v>134</v>
      </c>
      <c r="H2075"/>
      <c r="I2075" s="125" t="e">
        <v>#N/A</v>
      </c>
      <c r="J2075" s="308" t="s">
        <v>214</v>
      </c>
      <c r="K2075" s="127" t="s">
        <v>3418</v>
      </c>
      <c r="L2075" s="153" t="s">
        <v>1579</v>
      </c>
      <c r="M2075">
        <v>599</v>
      </c>
      <c r="N2075" s="123">
        <v>17</v>
      </c>
      <c r="O2075">
        <v>1409</v>
      </c>
      <c r="P2075" s="132" t="s">
        <v>77</v>
      </c>
      <c r="Q2075" s="132">
        <v>2168.1</v>
      </c>
      <c r="R2075" s="132">
        <v>346.9</v>
      </c>
      <c r="S2075" s="132"/>
      <c r="T2075" s="156"/>
      <c r="U2075" s="132"/>
      <c r="V2075" s="132">
        <f t="shared" si="49"/>
        <v>2515</v>
      </c>
      <c r="W2075">
        <v>227</v>
      </c>
      <c r="X2075" s="153" t="s">
        <v>1644</v>
      </c>
      <c r="Y2075" s="124" t="s">
        <v>55</v>
      </c>
      <c r="Z2075" s="308">
        <v>212</v>
      </c>
      <c r="AB2075" t="str">
        <f>IF(Table1[[#This Row],[TIPO2]]="costo", VLOOKUP(Table1[[#This Row],[PARTIDA PRESUPUESTAL]],'Cost Report'!G:G,1,0),"Balance")</f>
        <v>3401-042</v>
      </c>
      <c r="AC2075" s="118"/>
      <c r="AD2075" s="159">
        <f>+Table1[[#This Row],[SUBTOTAL]]+Table1[[#This Row],[IVA]]-Table1[[#This Row],[RET IVA]]-Table1[[#This Row],[RET ISR]]-Table1[[#This Row],[TOTAL]]</f>
        <v>0</v>
      </c>
      <c r="AE2075" s="152"/>
      <c r="AF2075" s="153"/>
      <c r="AG2075" s="126" t="s">
        <v>3420</v>
      </c>
      <c r="AK2075" s="306" t="str">
        <f>IF(ISNUMBER(Table1[[#This Row],[FECHA DE RECIBIDO]]), Table1[[#This Row],[FECHA DE RECIBIDO]]-DATE(2023,8,30), "")</f>
        <v/>
      </c>
    </row>
    <row r="2076" spans="1:37" ht="16.95" customHeight="1">
      <c r="A2076" s="150" t="s">
        <v>3635</v>
      </c>
      <c r="B2076" s="151">
        <v>716</v>
      </c>
      <c r="C2076" s="126" t="s">
        <v>2774</v>
      </c>
      <c r="D2076">
        <v>1429</v>
      </c>
      <c r="E2076" s="126" t="s">
        <v>3680</v>
      </c>
      <c r="F2076" s="122" t="s">
        <v>1382</v>
      </c>
      <c r="G2076" s="122" t="s">
        <v>134</v>
      </c>
      <c r="H2076">
        <v>31</v>
      </c>
      <c r="I2076" s="122" t="s">
        <v>1546</v>
      </c>
      <c r="J2076" s="307" t="s">
        <v>214</v>
      </c>
      <c r="K2076" s="127" t="s">
        <v>3418</v>
      </c>
      <c r="L2076" s="151" t="s">
        <v>1579</v>
      </c>
      <c r="M2076">
        <v>69</v>
      </c>
      <c r="N2076" s="123">
        <v>17</v>
      </c>
      <c r="O2076">
        <v>1410</v>
      </c>
      <c r="P2076" s="132" t="s">
        <v>77</v>
      </c>
      <c r="Q2076" s="131">
        <v>198</v>
      </c>
      <c r="R2076" s="131"/>
      <c r="S2076" s="131"/>
      <c r="T2076" s="155"/>
      <c r="U2076" s="131"/>
      <c r="V2076" s="131">
        <f t="shared" si="49"/>
        <v>198</v>
      </c>
      <c r="W2076">
        <v>227</v>
      </c>
      <c r="X2076" s="151" t="s">
        <v>1644</v>
      </c>
      <c r="Y2076" s="135" t="s">
        <v>55</v>
      </c>
      <c r="Z2076" s="307">
        <v>214</v>
      </c>
      <c r="AB2076" t="str">
        <f>IF(Table1[[#This Row],[TIPO2]]="costo", VLOOKUP(Table1[[#This Row],[PARTIDA PRESUPUESTAL]],'Cost Report'!G:G,1,0),"Balance")</f>
        <v>3401-042</v>
      </c>
      <c r="AC2076" s="118"/>
      <c r="AD2076" s="159">
        <f>+Table1[[#This Row],[SUBTOTAL]]+Table1[[#This Row],[IVA]]-Table1[[#This Row],[RET IVA]]-Table1[[#This Row],[RET ISR]]-Table1[[#This Row],[TOTAL]]</f>
        <v>0</v>
      </c>
      <c r="AE2076" s="150"/>
      <c r="AF2076" s="151"/>
      <c r="AG2076" s="126" t="s">
        <v>3420</v>
      </c>
      <c r="AK2076" s="306" t="str">
        <f>IF(ISNUMBER(Table1[[#This Row],[FECHA DE RECIBIDO]]), Table1[[#This Row],[FECHA DE RECIBIDO]]-DATE(2023,8,30), "")</f>
        <v/>
      </c>
    </row>
    <row r="2077" spans="1:37" ht="16.95" customHeight="1">
      <c r="A2077" s="152" t="s">
        <v>3635</v>
      </c>
      <c r="B2077" s="153">
        <v>716</v>
      </c>
      <c r="C2077" s="126" t="s">
        <v>2774</v>
      </c>
      <c r="D2077">
        <v>1430</v>
      </c>
      <c r="E2077" s="126" t="s">
        <v>1996</v>
      </c>
      <c r="F2077" s="125" t="s">
        <v>1602</v>
      </c>
      <c r="G2077" s="125" t="s">
        <v>134</v>
      </c>
      <c r="H2077">
        <v>134</v>
      </c>
      <c r="I2077" s="125" t="s">
        <v>1546</v>
      </c>
      <c r="J2077" s="308" t="s">
        <v>214</v>
      </c>
      <c r="K2077" s="127" t="s">
        <v>3418</v>
      </c>
      <c r="L2077" s="153" t="s">
        <v>1579</v>
      </c>
      <c r="M2077">
        <v>105</v>
      </c>
      <c r="N2077" s="123">
        <v>17</v>
      </c>
      <c r="O2077">
        <v>1411</v>
      </c>
      <c r="P2077" s="132" t="s">
        <v>77</v>
      </c>
      <c r="Q2077" s="132">
        <v>2889.66</v>
      </c>
      <c r="R2077" s="132">
        <v>462.34</v>
      </c>
      <c r="S2077" s="132"/>
      <c r="T2077" s="156"/>
      <c r="U2077" s="132"/>
      <c r="V2077" s="132">
        <f t="shared" si="49"/>
        <v>3352</v>
      </c>
      <c r="W2077">
        <v>227</v>
      </c>
      <c r="X2077" s="153" t="s">
        <v>1644</v>
      </c>
      <c r="Y2077" s="124" t="s">
        <v>55</v>
      </c>
      <c r="Z2077" s="308">
        <v>214</v>
      </c>
      <c r="AB2077" t="str">
        <f>IF(Table1[[#This Row],[TIPO2]]="costo", VLOOKUP(Table1[[#This Row],[PARTIDA PRESUPUESTAL]],'Cost Report'!G:G,1,0),"Balance")</f>
        <v>3401-042</v>
      </c>
      <c r="AC2077" s="118"/>
      <c r="AD2077" s="159">
        <f>+Table1[[#This Row],[SUBTOTAL]]+Table1[[#This Row],[IVA]]-Table1[[#This Row],[RET IVA]]-Table1[[#This Row],[RET ISR]]-Table1[[#This Row],[TOTAL]]</f>
        <v>0</v>
      </c>
      <c r="AE2077" s="152"/>
      <c r="AF2077" s="153"/>
      <c r="AG2077" s="126" t="s">
        <v>3420</v>
      </c>
      <c r="AK2077" s="306" t="str">
        <f>IF(ISNUMBER(Table1[[#This Row],[FECHA DE RECIBIDO]]), Table1[[#This Row],[FECHA DE RECIBIDO]]-DATE(2023,8,30), "")</f>
        <v/>
      </c>
    </row>
    <row r="2078" spans="1:37" ht="16.95" customHeight="1">
      <c r="A2078" s="150" t="s">
        <v>3635</v>
      </c>
      <c r="B2078" s="151">
        <v>716</v>
      </c>
      <c r="C2078" s="126" t="s">
        <v>2829</v>
      </c>
      <c r="D2078">
        <v>1431</v>
      </c>
      <c r="E2078" s="126" t="s">
        <v>1991</v>
      </c>
      <c r="F2078" s="122" t="s">
        <v>1607</v>
      </c>
      <c r="G2078" s="122" t="s">
        <v>134</v>
      </c>
      <c r="H2078">
        <v>439</v>
      </c>
      <c r="I2078" s="122" t="s">
        <v>1546</v>
      </c>
      <c r="J2078" s="307" t="s">
        <v>214</v>
      </c>
      <c r="K2078" s="127" t="s">
        <v>3418</v>
      </c>
      <c r="L2078" s="151" t="s">
        <v>1579</v>
      </c>
      <c r="M2078">
        <v>595</v>
      </c>
      <c r="N2078" s="123">
        <v>17</v>
      </c>
      <c r="O2078">
        <v>1412</v>
      </c>
      <c r="P2078" s="132" t="s">
        <v>77</v>
      </c>
      <c r="Q2078" s="131">
        <v>378.45</v>
      </c>
      <c r="R2078" s="131">
        <v>60.55</v>
      </c>
      <c r="S2078" s="131"/>
      <c r="T2078" s="155"/>
      <c r="U2078" s="131"/>
      <c r="V2078" s="131">
        <f t="shared" si="49"/>
        <v>439</v>
      </c>
      <c r="W2078">
        <v>227</v>
      </c>
      <c r="X2078" s="151" t="s">
        <v>1644</v>
      </c>
      <c r="Y2078" s="135" t="s">
        <v>55</v>
      </c>
      <c r="Z2078" s="307">
        <v>216</v>
      </c>
      <c r="AB2078" t="str">
        <f>IF(Table1[[#This Row],[TIPO2]]="costo", VLOOKUP(Table1[[#This Row],[PARTIDA PRESUPUESTAL]],'Cost Report'!G:G,1,0),"Balance")</f>
        <v>3412-138</v>
      </c>
      <c r="AC2078" s="118"/>
      <c r="AD2078" s="159">
        <f>+Table1[[#This Row],[SUBTOTAL]]+Table1[[#This Row],[IVA]]-Table1[[#This Row],[RET IVA]]-Table1[[#This Row],[RET ISR]]-Table1[[#This Row],[TOTAL]]</f>
        <v>0</v>
      </c>
      <c r="AE2078" s="150"/>
      <c r="AF2078" s="151"/>
      <c r="AG2078" s="126" t="s">
        <v>3420</v>
      </c>
      <c r="AK2078" s="306" t="str">
        <f>IF(ISNUMBER(Table1[[#This Row],[FECHA DE RECIBIDO]]), Table1[[#This Row],[FECHA DE RECIBIDO]]-DATE(2023,8,30), "")</f>
        <v/>
      </c>
    </row>
    <row r="2079" spans="1:37" ht="16.95" customHeight="1">
      <c r="A2079" s="152" t="s">
        <v>3635</v>
      </c>
      <c r="B2079" s="153">
        <v>716</v>
      </c>
      <c r="C2079" s="126" t="s">
        <v>2774</v>
      </c>
      <c r="D2079">
        <v>1432</v>
      </c>
      <c r="E2079" s="126" t="s">
        <v>1996</v>
      </c>
      <c r="F2079" s="125" t="s">
        <v>1607</v>
      </c>
      <c r="G2079" s="125" t="s">
        <v>134</v>
      </c>
      <c r="H2079">
        <v>32</v>
      </c>
      <c r="I2079" s="125" t="s">
        <v>1546</v>
      </c>
      <c r="J2079" s="308" t="s">
        <v>214</v>
      </c>
      <c r="K2079" s="127" t="s">
        <v>3418</v>
      </c>
      <c r="L2079" s="153" t="s">
        <v>1579</v>
      </c>
      <c r="M2079">
        <v>510</v>
      </c>
      <c r="N2079" s="123">
        <v>17</v>
      </c>
      <c r="O2079">
        <v>1413</v>
      </c>
      <c r="P2079" s="132" t="s">
        <v>77</v>
      </c>
      <c r="Q2079" s="132">
        <v>667.24</v>
      </c>
      <c r="R2079" s="132">
        <v>106.76</v>
      </c>
      <c r="S2079" s="132"/>
      <c r="T2079" s="156"/>
      <c r="U2079" s="132"/>
      <c r="V2079" s="132">
        <f t="shared" si="49"/>
        <v>774</v>
      </c>
      <c r="W2079">
        <v>227</v>
      </c>
      <c r="X2079" s="153" t="s">
        <v>1644</v>
      </c>
      <c r="Y2079" s="124" t="s">
        <v>55</v>
      </c>
      <c r="Z2079" s="308">
        <v>216</v>
      </c>
      <c r="AB2079" t="str">
        <f>IF(Table1[[#This Row],[TIPO2]]="costo", VLOOKUP(Table1[[#This Row],[PARTIDA PRESUPUESTAL]],'Cost Report'!G:G,1,0),"Balance")</f>
        <v>3401-042</v>
      </c>
      <c r="AC2079" s="118"/>
      <c r="AD2079" s="159">
        <f>+Table1[[#This Row],[SUBTOTAL]]+Table1[[#This Row],[IVA]]-Table1[[#This Row],[RET IVA]]-Table1[[#This Row],[RET ISR]]-Table1[[#This Row],[TOTAL]]</f>
        <v>0</v>
      </c>
      <c r="AE2079" s="152"/>
      <c r="AF2079" s="153"/>
      <c r="AG2079" s="126" t="s">
        <v>3420</v>
      </c>
      <c r="AK2079" s="306" t="str">
        <f>IF(ISNUMBER(Table1[[#This Row],[FECHA DE RECIBIDO]]), Table1[[#This Row],[FECHA DE RECIBIDO]]-DATE(2023,8,30), "")</f>
        <v/>
      </c>
    </row>
    <row r="2080" spans="1:37" ht="16.95" customHeight="1">
      <c r="A2080" s="150" t="s">
        <v>3635</v>
      </c>
      <c r="B2080" s="151">
        <v>716</v>
      </c>
      <c r="C2080" s="126" t="s">
        <v>2774</v>
      </c>
      <c r="D2080">
        <v>1433</v>
      </c>
      <c r="E2080" s="126" t="s">
        <v>1984</v>
      </c>
      <c r="F2080" s="122" t="s">
        <v>1607</v>
      </c>
      <c r="G2080" s="122" t="s">
        <v>134</v>
      </c>
      <c r="H2080">
        <v>74</v>
      </c>
      <c r="I2080" s="122" t="s">
        <v>1546</v>
      </c>
      <c r="J2080" s="307" t="s">
        <v>214</v>
      </c>
      <c r="K2080" s="127" t="s">
        <v>3418</v>
      </c>
      <c r="L2080" s="151" t="s">
        <v>1579</v>
      </c>
      <c r="M2080">
        <v>96</v>
      </c>
      <c r="N2080" s="123">
        <v>17</v>
      </c>
      <c r="O2080">
        <v>1414</v>
      </c>
      <c r="P2080" s="132" t="s">
        <v>77</v>
      </c>
      <c r="Q2080" s="131">
        <v>2181.9</v>
      </c>
      <c r="R2080" s="131">
        <v>349.1</v>
      </c>
      <c r="S2080" s="131"/>
      <c r="T2080" s="155"/>
      <c r="U2080" s="131"/>
      <c r="V2080" s="131">
        <f t="shared" si="49"/>
        <v>2531</v>
      </c>
      <c r="W2080">
        <v>227</v>
      </c>
      <c r="X2080" s="151" t="s">
        <v>1644</v>
      </c>
      <c r="Y2080" s="135" t="s">
        <v>55</v>
      </c>
      <c r="Z2080" s="307">
        <v>216</v>
      </c>
      <c r="AB2080" t="str">
        <f>IF(Table1[[#This Row],[TIPO2]]="costo", VLOOKUP(Table1[[#This Row],[PARTIDA PRESUPUESTAL]],'Cost Report'!G:G,1,0),"Balance")</f>
        <v>3401-042</v>
      </c>
      <c r="AC2080" s="118"/>
      <c r="AD2080" s="159">
        <f>+Table1[[#This Row],[SUBTOTAL]]+Table1[[#This Row],[IVA]]-Table1[[#This Row],[RET IVA]]-Table1[[#This Row],[RET ISR]]-Table1[[#This Row],[TOTAL]]</f>
        <v>0</v>
      </c>
      <c r="AE2080" s="150"/>
      <c r="AF2080" s="151"/>
      <c r="AG2080" s="126" t="s">
        <v>3420</v>
      </c>
      <c r="AK2080" s="306" t="str">
        <f>IF(ISNUMBER(Table1[[#This Row],[FECHA DE RECIBIDO]]), Table1[[#This Row],[FECHA DE RECIBIDO]]-DATE(2023,8,30), "")</f>
        <v/>
      </c>
    </row>
    <row r="2081" spans="1:37" ht="16.95" customHeight="1">
      <c r="A2081" s="152" t="s">
        <v>3635</v>
      </c>
      <c r="B2081" s="153">
        <v>716</v>
      </c>
      <c r="C2081" s="126" t="s">
        <v>2774</v>
      </c>
      <c r="D2081">
        <v>1434</v>
      </c>
      <c r="E2081" s="126" t="s">
        <v>1999</v>
      </c>
      <c r="F2081" s="125" t="s">
        <v>1607</v>
      </c>
      <c r="G2081" s="125" t="s">
        <v>134</v>
      </c>
      <c r="H2081">
        <v>41</v>
      </c>
      <c r="I2081" s="125" t="s">
        <v>1546</v>
      </c>
      <c r="J2081" s="308" t="s">
        <v>214</v>
      </c>
      <c r="K2081" s="127" t="s">
        <v>3418</v>
      </c>
      <c r="L2081" s="153" t="s">
        <v>1579</v>
      </c>
      <c r="M2081">
        <v>323</v>
      </c>
      <c r="N2081" s="123">
        <v>17</v>
      </c>
      <c r="O2081">
        <v>1415</v>
      </c>
      <c r="P2081" s="132" t="s">
        <v>77</v>
      </c>
      <c r="Q2081" s="132">
        <v>322.23</v>
      </c>
      <c r="R2081" s="132"/>
      <c r="S2081" s="132"/>
      <c r="T2081" s="156"/>
      <c r="U2081" s="132"/>
      <c r="V2081" s="132">
        <f t="shared" si="49"/>
        <v>322.23</v>
      </c>
      <c r="W2081">
        <v>227</v>
      </c>
      <c r="X2081" s="153" t="s">
        <v>1644</v>
      </c>
      <c r="Y2081" s="124" t="s">
        <v>55</v>
      </c>
      <c r="Z2081" s="308">
        <v>217</v>
      </c>
      <c r="AB2081" t="str">
        <f>IF(Table1[[#This Row],[TIPO2]]="costo", VLOOKUP(Table1[[#This Row],[PARTIDA PRESUPUESTAL]],'Cost Report'!G:G,1,0),"Balance")</f>
        <v>3401-042</v>
      </c>
      <c r="AC2081" s="118"/>
      <c r="AD2081" s="159">
        <f>+Table1[[#This Row],[SUBTOTAL]]+Table1[[#This Row],[IVA]]-Table1[[#This Row],[RET IVA]]-Table1[[#This Row],[RET ISR]]-Table1[[#This Row],[TOTAL]]</f>
        <v>0</v>
      </c>
      <c r="AE2081" s="152"/>
      <c r="AF2081" s="153"/>
      <c r="AG2081" s="126" t="s">
        <v>3420</v>
      </c>
      <c r="AK2081" s="306" t="str">
        <f>IF(ISNUMBER(Table1[[#This Row],[FECHA DE RECIBIDO]]), Table1[[#This Row],[FECHA DE RECIBIDO]]-DATE(2023,8,30), "")</f>
        <v/>
      </c>
    </row>
    <row r="2082" spans="1:37" ht="16.95" customHeight="1">
      <c r="A2082" s="150" t="s">
        <v>3635</v>
      </c>
      <c r="B2082" s="151">
        <v>716</v>
      </c>
      <c r="C2082" s="126" t="s">
        <v>2774</v>
      </c>
      <c r="D2082">
        <v>1435</v>
      </c>
      <c r="E2082" s="126" t="s">
        <v>3264</v>
      </c>
      <c r="F2082" s="122" t="s">
        <v>1607</v>
      </c>
      <c r="G2082" s="122" t="s">
        <v>134</v>
      </c>
      <c r="H2082">
        <v>41</v>
      </c>
      <c r="I2082" s="122" t="s">
        <v>1546</v>
      </c>
      <c r="J2082" s="307" t="s">
        <v>214</v>
      </c>
      <c r="K2082" s="127" t="s">
        <v>3418</v>
      </c>
      <c r="L2082" s="151" t="s">
        <v>1579</v>
      </c>
      <c r="M2082">
        <v>323</v>
      </c>
      <c r="N2082" s="123">
        <v>17</v>
      </c>
      <c r="O2082">
        <v>1416</v>
      </c>
      <c r="P2082" s="132" t="s">
        <v>77</v>
      </c>
      <c r="Q2082" s="131">
        <v>393.1</v>
      </c>
      <c r="R2082" s="131">
        <v>62.9</v>
      </c>
      <c r="S2082" s="131"/>
      <c r="T2082" s="155"/>
      <c r="U2082" s="131"/>
      <c r="V2082" s="131">
        <f t="shared" si="49"/>
        <v>456</v>
      </c>
      <c r="W2082">
        <v>227</v>
      </c>
      <c r="X2082" s="151" t="s">
        <v>1644</v>
      </c>
      <c r="Y2082" s="135" t="s">
        <v>55</v>
      </c>
      <c r="Z2082" s="307">
        <v>217</v>
      </c>
      <c r="AB2082" t="str">
        <f>IF(Table1[[#This Row],[TIPO2]]="costo", VLOOKUP(Table1[[#This Row],[PARTIDA PRESUPUESTAL]],'Cost Report'!G:G,1,0),"Balance")</f>
        <v>3401-042</v>
      </c>
      <c r="AC2082" s="118"/>
      <c r="AD2082" s="159">
        <f>+Table1[[#This Row],[SUBTOTAL]]+Table1[[#This Row],[IVA]]-Table1[[#This Row],[RET IVA]]-Table1[[#This Row],[RET ISR]]-Table1[[#This Row],[TOTAL]]</f>
        <v>0</v>
      </c>
      <c r="AE2082" s="150"/>
      <c r="AF2082" s="151"/>
      <c r="AG2082" s="126" t="s">
        <v>3420</v>
      </c>
      <c r="AK2082" s="306" t="str">
        <f>IF(ISNUMBER(Table1[[#This Row],[FECHA DE RECIBIDO]]), Table1[[#This Row],[FECHA DE RECIBIDO]]-DATE(2023,8,30), "")</f>
        <v/>
      </c>
    </row>
    <row r="2083" spans="1:37" ht="16.95" customHeight="1">
      <c r="A2083" s="152" t="s">
        <v>3635</v>
      </c>
      <c r="B2083" s="153">
        <v>716</v>
      </c>
      <c r="C2083" s="126" t="s">
        <v>2774</v>
      </c>
      <c r="D2083">
        <v>1436</v>
      </c>
      <c r="E2083" s="126" t="s">
        <v>3681</v>
      </c>
      <c r="F2083" s="125" t="s">
        <v>1607</v>
      </c>
      <c r="G2083" s="125" t="s">
        <v>134</v>
      </c>
      <c r="H2083">
        <v>312</v>
      </c>
      <c r="I2083" s="125" t="s">
        <v>1546</v>
      </c>
      <c r="J2083" s="308" t="s">
        <v>214</v>
      </c>
      <c r="K2083" s="127" t="s">
        <v>3418</v>
      </c>
      <c r="L2083" s="153" t="s">
        <v>1579</v>
      </c>
      <c r="M2083">
        <v>417</v>
      </c>
      <c r="N2083" s="123">
        <v>17</v>
      </c>
      <c r="O2083">
        <v>1417</v>
      </c>
      <c r="P2083" s="132" t="s">
        <v>77</v>
      </c>
      <c r="Q2083" s="132">
        <v>101.55</v>
      </c>
      <c r="R2083" s="132"/>
      <c r="S2083" s="132"/>
      <c r="T2083" s="156"/>
      <c r="U2083" s="132"/>
      <c r="V2083" s="132">
        <f t="shared" si="49"/>
        <v>101.55</v>
      </c>
      <c r="W2083">
        <v>227</v>
      </c>
      <c r="X2083" s="153" t="s">
        <v>1644</v>
      </c>
      <c r="Y2083" s="124" t="s">
        <v>55</v>
      </c>
      <c r="Z2083" s="308">
        <v>218</v>
      </c>
      <c r="AB2083" t="str">
        <f>IF(Table1[[#This Row],[TIPO2]]="costo", VLOOKUP(Table1[[#This Row],[PARTIDA PRESUPUESTAL]],'Cost Report'!G:G,1,0),"Balance")</f>
        <v>3401-042</v>
      </c>
      <c r="AC2083" s="118"/>
      <c r="AD2083" s="159">
        <f>+Table1[[#This Row],[SUBTOTAL]]+Table1[[#This Row],[IVA]]-Table1[[#This Row],[RET IVA]]-Table1[[#This Row],[RET ISR]]-Table1[[#This Row],[TOTAL]]</f>
        <v>0</v>
      </c>
      <c r="AE2083" s="152"/>
      <c r="AF2083" s="153"/>
      <c r="AG2083" s="126" t="s">
        <v>3420</v>
      </c>
      <c r="AK2083" s="306" t="str">
        <f>IF(ISNUMBER(Table1[[#This Row],[FECHA DE RECIBIDO]]), Table1[[#This Row],[FECHA DE RECIBIDO]]-DATE(2023,8,30), "")</f>
        <v/>
      </c>
    </row>
    <row r="2084" spans="1:37" ht="16.95" customHeight="1">
      <c r="A2084" s="150" t="s">
        <v>3635</v>
      </c>
      <c r="B2084" s="151">
        <v>716</v>
      </c>
      <c r="C2084" s="126" t="s">
        <v>2443</v>
      </c>
      <c r="D2084">
        <v>1437</v>
      </c>
      <c r="E2084" s="126" t="s">
        <v>3682</v>
      </c>
      <c r="F2084" s="122" t="s">
        <v>1593</v>
      </c>
      <c r="G2084" s="122" t="s">
        <v>134</v>
      </c>
      <c r="H2084">
        <v>440</v>
      </c>
      <c r="I2084" s="122" t="s">
        <v>1546</v>
      </c>
      <c r="J2084" s="307" t="s">
        <v>214</v>
      </c>
      <c r="K2084" s="127" t="s">
        <v>3418</v>
      </c>
      <c r="L2084" s="151" t="s">
        <v>1579</v>
      </c>
      <c r="M2084">
        <v>600</v>
      </c>
      <c r="N2084" s="123">
        <v>17</v>
      </c>
      <c r="O2084">
        <v>1418</v>
      </c>
      <c r="P2084" s="132" t="s">
        <v>77</v>
      </c>
      <c r="Q2084" s="131">
        <v>97.58</v>
      </c>
      <c r="R2084" s="131">
        <v>15.61</v>
      </c>
      <c r="S2084" s="131"/>
      <c r="T2084" s="155"/>
      <c r="U2084" s="131">
        <v>1.19</v>
      </c>
      <c r="V2084" s="131">
        <f t="shared" si="49"/>
        <v>112</v>
      </c>
      <c r="W2084">
        <v>227</v>
      </c>
      <c r="X2084" s="151" t="s">
        <v>1644</v>
      </c>
      <c r="Y2084" s="135" t="s">
        <v>55</v>
      </c>
      <c r="Z2084" s="307">
        <v>219</v>
      </c>
      <c r="AB2084" t="str">
        <f>IF(Table1[[#This Row],[TIPO2]]="costo", VLOOKUP(Table1[[#This Row],[PARTIDA PRESUPUESTAL]],'Cost Report'!G:G,1,0),"Balance")</f>
        <v>2080-003</v>
      </c>
      <c r="AC2084" s="118"/>
      <c r="AD2084" s="159">
        <f>+Table1[[#This Row],[SUBTOTAL]]+Table1[[#This Row],[IVA]]-Table1[[#This Row],[RET IVA]]-Table1[[#This Row],[RET ISR]]-Table1[[#This Row],[TOTAL]]</f>
        <v>0</v>
      </c>
      <c r="AE2084" s="150"/>
      <c r="AF2084" s="151"/>
      <c r="AG2084" s="126" t="s">
        <v>3420</v>
      </c>
      <c r="AK2084" s="306" t="str">
        <f>IF(ISNUMBER(Table1[[#This Row],[FECHA DE RECIBIDO]]), Table1[[#This Row],[FECHA DE RECIBIDO]]-DATE(2023,8,30), "")</f>
        <v/>
      </c>
    </row>
    <row r="2085" spans="1:37" ht="16.95" customHeight="1">
      <c r="A2085" s="152" t="s">
        <v>3635</v>
      </c>
      <c r="B2085" s="153">
        <v>716</v>
      </c>
      <c r="C2085" s="126" t="s">
        <v>2860</v>
      </c>
      <c r="D2085">
        <v>661</v>
      </c>
      <c r="E2085" s="126"/>
      <c r="F2085" s="125"/>
      <c r="G2085" s="125"/>
      <c r="H2085"/>
      <c r="I2085" s="125"/>
      <c r="J2085" s="308">
        <v>201</v>
      </c>
      <c r="K2085" s="127" t="s">
        <v>3418</v>
      </c>
      <c r="L2085" s="153" t="s">
        <v>1579</v>
      </c>
      <c r="M2085">
        <v>601</v>
      </c>
      <c r="N2085" s="123">
        <v>17</v>
      </c>
      <c r="O2085">
        <v>1419</v>
      </c>
      <c r="P2085" s="132" t="s">
        <v>77</v>
      </c>
      <c r="Q2085" s="132">
        <v>54</v>
      </c>
      <c r="R2085" s="132"/>
      <c r="S2085" s="132"/>
      <c r="T2085" s="156"/>
      <c r="U2085" s="132"/>
      <c r="V2085" s="132">
        <f t="shared" si="49"/>
        <v>54</v>
      </c>
      <c r="W2085">
        <v>227</v>
      </c>
      <c r="X2085" s="153" t="s">
        <v>1644</v>
      </c>
      <c r="Y2085" s="124" t="s">
        <v>55</v>
      </c>
      <c r="Z2085" s="308">
        <v>201</v>
      </c>
      <c r="AB2085" t="str">
        <f>IF(Table1[[#This Row],[TIPO2]]="costo", VLOOKUP(Table1[[#This Row],[PARTIDA PRESUPUESTAL]],'Cost Report'!G:G,1,0),"Balance")</f>
        <v>3629-003</v>
      </c>
      <c r="AC2085" s="118"/>
      <c r="AD2085" s="159">
        <f>+Table1[[#This Row],[SUBTOTAL]]+Table1[[#This Row],[IVA]]-Table1[[#This Row],[RET IVA]]-Table1[[#This Row],[RET ISR]]-Table1[[#This Row],[TOTAL]]</f>
        <v>0</v>
      </c>
      <c r="AE2085" s="152"/>
      <c r="AF2085" s="153"/>
      <c r="AG2085" s="126" t="s">
        <v>3420</v>
      </c>
      <c r="AK2085" s="306">
        <f>IF(ISNUMBER(Table1[[#This Row],[FECHA DE RECIBIDO]]), Table1[[#This Row],[FECHA DE RECIBIDO]]-DATE(2023,8,30), "")</f>
        <v>-44967</v>
      </c>
    </row>
    <row r="2086" spans="1:37" ht="16.95" customHeight="1">
      <c r="A2086" s="150" t="s">
        <v>3635</v>
      </c>
      <c r="B2086" s="151">
        <v>716</v>
      </c>
      <c r="C2086" s="126" t="s">
        <v>2860</v>
      </c>
      <c r="D2086">
        <v>661</v>
      </c>
      <c r="E2086" s="126"/>
      <c r="F2086" s="122"/>
      <c r="G2086" s="122"/>
      <c r="H2086"/>
      <c r="I2086" s="122"/>
      <c r="J2086" s="307">
        <v>206</v>
      </c>
      <c r="K2086" s="127" t="s">
        <v>3418</v>
      </c>
      <c r="L2086" s="151" t="s">
        <v>1579</v>
      </c>
      <c r="M2086">
        <v>602</v>
      </c>
      <c r="N2086" s="123">
        <v>17</v>
      </c>
      <c r="O2086">
        <v>1419</v>
      </c>
      <c r="P2086" s="132" t="s">
        <v>77</v>
      </c>
      <c r="Q2086" s="131">
        <v>54</v>
      </c>
      <c r="R2086" s="131"/>
      <c r="S2086" s="131"/>
      <c r="T2086" s="155"/>
      <c r="U2086" s="131"/>
      <c r="V2086" s="131">
        <f t="shared" si="49"/>
        <v>54</v>
      </c>
      <c r="W2086">
        <v>227</v>
      </c>
      <c r="X2086" s="151" t="s">
        <v>1644</v>
      </c>
      <c r="Y2086" s="135" t="s">
        <v>55</v>
      </c>
      <c r="Z2086" s="307">
        <v>206</v>
      </c>
      <c r="AB2086" t="str">
        <f>IF(Table1[[#This Row],[TIPO2]]="costo", VLOOKUP(Table1[[#This Row],[PARTIDA PRESUPUESTAL]],'Cost Report'!G:G,1,0),"Balance")</f>
        <v>3629-003</v>
      </c>
      <c r="AC2086" s="118"/>
      <c r="AD2086" s="159">
        <f>+Table1[[#This Row],[SUBTOTAL]]+Table1[[#This Row],[IVA]]-Table1[[#This Row],[RET IVA]]-Table1[[#This Row],[RET ISR]]-Table1[[#This Row],[TOTAL]]</f>
        <v>0</v>
      </c>
      <c r="AE2086" s="150"/>
      <c r="AF2086" s="151"/>
      <c r="AG2086" s="126" t="s">
        <v>3420</v>
      </c>
      <c r="AK2086" s="306">
        <f>IF(ISNUMBER(Table1[[#This Row],[FECHA DE RECIBIDO]]), Table1[[#This Row],[FECHA DE RECIBIDO]]-DATE(2023,8,30), "")</f>
        <v>-44962</v>
      </c>
    </row>
    <row r="2087" spans="1:37" ht="16.95" customHeight="1">
      <c r="A2087" s="152" t="s">
        <v>3635</v>
      </c>
      <c r="B2087" s="153">
        <v>716</v>
      </c>
      <c r="C2087" s="126" t="s">
        <v>2860</v>
      </c>
      <c r="D2087">
        <v>661</v>
      </c>
      <c r="E2087" s="126"/>
      <c r="F2087" s="125"/>
      <c r="G2087" s="125"/>
      <c r="H2087"/>
      <c r="I2087" s="125"/>
      <c r="J2087" s="308">
        <v>206</v>
      </c>
      <c r="K2087" s="127" t="s">
        <v>3418</v>
      </c>
      <c r="L2087" s="153" t="s">
        <v>1579</v>
      </c>
      <c r="M2087">
        <v>603</v>
      </c>
      <c r="N2087" s="123">
        <v>17</v>
      </c>
      <c r="O2087">
        <v>1419</v>
      </c>
      <c r="P2087" s="132" t="s">
        <v>77</v>
      </c>
      <c r="Q2087" s="132">
        <v>54</v>
      </c>
      <c r="R2087" s="132"/>
      <c r="S2087" s="132"/>
      <c r="T2087" s="156"/>
      <c r="U2087" s="132"/>
      <c r="V2087" s="132">
        <f t="shared" si="49"/>
        <v>54</v>
      </c>
      <c r="W2087">
        <v>227</v>
      </c>
      <c r="X2087" s="153" t="s">
        <v>1644</v>
      </c>
      <c r="Y2087" s="124" t="s">
        <v>55</v>
      </c>
      <c r="Z2087" s="308">
        <v>206</v>
      </c>
      <c r="AB2087" t="str">
        <f>IF(Table1[[#This Row],[TIPO2]]="costo", VLOOKUP(Table1[[#This Row],[PARTIDA PRESUPUESTAL]],'Cost Report'!G:G,1,0),"Balance")</f>
        <v>3629-003</v>
      </c>
      <c r="AC2087" s="118"/>
      <c r="AD2087" s="159">
        <f>+Table1[[#This Row],[SUBTOTAL]]+Table1[[#This Row],[IVA]]-Table1[[#This Row],[RET IVA]]-Table1[[#This Row],[RET ISR]]-Table1[[#This Row],[TOTAL]]</f>
        <v>0</v>
      </c>
      <c r="AE2087" s="152"/>
      <c r="AF2087" s="153"/>
      <c r="AG2087" s="126" t="s">
        <v>3420</v>
      </c>
      <c r="AK2087" s="306">
        <f>IF(ISNUMBER(Table1[[#This Row],[FECHA DE RECIBIDO]]), Table1[[#This Row],[FECHA DE RECIBIDO]]-DATE(2023,8,30), "")</f>
        <v>-44962</v>
      </c>
    </row>
    <row r="2088" spans="1:37" ht="16.95" customHeight="1">
      <c r="A2088" s="150" t="s">
        <v>3635</v>
      </c>
      <c r="B2088" s="151">
        <v>716</v>
      </c>
      <c r="C2088" s="126" t="s">
        <v>2860</v>
      </c>
      <c r="D2088">
        <v>661</v>
      </c>
      <c r="E2088" s="126"/>
      <c r="F2088" s="122"/>
      <c r="G2088" s="122"/>
      <c r="H2088"/>
      <c r="I2088" s="122"/>
      <c r="J2088" s="307">
        <v>206</v>
      </c>
      <c r="K2088" s="127" t="s">
        <v>3418</v>
      </c>
      <c r="L2088" s="151" t="s">
        <v>1579</v>
      </c>
      <c r="M2088">
        <v>604</v>
      </c>
      <c r="N2088" s="123">
        <v>17</v>
      </c>
      <c r="O2088">
        <v>1419</v>
      </c>
      <c r="P2088" s="132" t="s">
        <v>77</v>
      </c>
      <c r="Q2088" s="131">
        <v>68</v>
      </c>
      <c r="R2088" s="131"/>
      <c r="S2088" s="131"/>
      <c r="T2088" s="155"/>
      <c r="U2088" s="131"/>
      <c r="V2088" s="131">
        <f t="shared" si="49"/>
        <v>68</v>
      </c>
      <c r="W2088">
        <v>227</v>
      </c>
      <c r="X2088" s="151" t="s">
        <v>1644</v>
      </c>
      <c r="Y2088" s="135" t="s">
        <v>55</v>
      </c>
      <c r="Z2088" s="307">
        <v>206</v>
      </c>
      <c r="AB2088" t="str">
        <f>IF(Table1[[#This Row],[TIPO2]]="costo", VLOOKUP(Table1[[#This Row],[PARTIDA PRESUPUESTAL]],'Cost Report'!G:G,1,0),"Balance")</f>
        <v>3629-003</v>
      </c>
      <c r="AC2088" s="118"/>
      <c r="AD2088" s="159">
        <f>+Table1[[#This Row],[SUBTOTAL]]+Table1[[#This Row],[IVA]]-Table1[[#This Row],[RET IVA]]-Table1[[#This Row],[RET ISR]]-Table1[[#This Row],[TOTAL]]</f>
        <v>0</v>
      </c>
      <c r="AE2088" s="150"/>
      <c r="AF2088" s="151"/>
      <c r="AG2088" s="126" t="s">
        <v>3420</v>
      </c>
      <c r="AK2088" s="306">
        <f>IF(ISNUMBER(Table1[[#This Row],[FECHA DE RECIBIDO]]), Table1[[#This Row],[FECHA DE RECIBIDO]]-DATE(2023,8,30), "")</f>
        <v>-44962</v>
      </c>
    </row>
    <row r="2089" spans="1:37" ht="16.95" customHeight="1">
      <c r="A2089" s="152" t="s">
        <v>3635</v>
      </c>
      <c r="B2089" s="153">
        <v>716</v>
      </c>
      <c r="C2089" s="126" t="s">
        <v>2436</v>
      </c>
      <c r="D2089">
        <v>661</v>
      </c>
      <c r="E2089" s="126"/>
      <c r="F2089" s="125"/>
      <c r="G2089" s="125"/>
      <c r="H2089"/>
      <c r="I2089" s="125"/>
      <c r="J2089" s="308">
        <v>211</v>
      </c>
      <c r="K2089" s="127" t="s">
        <v>3418</v>
      </c>
      <c r="L2089" s="153" t="s">
        <v>1579</v>
      </c>
      <c r="M2089">
        <v>605</v>
      </c>
      <c r="N2089" s="123">
        <v>17</v>
      </c>
      <c r="O2089">
        <v>1420</v>
      </c>
      <c r="P2089" s="132" t="s">
        <v>77</v>
      </c>
      <c r="Q2089" s="132">
        <v>3075</v>
      </c>
      <c r="R2089" s="132"/>
      <c r="S2089" s="132"/>
      <c r="T2089" s="156"/>
      <c r="U2089" s="132"/>
      <c r="V2089" s="132">
        <f t="shared" si="49"/>
        <v>3075</v>
      </c>
      <c r="W2089">
        <v>227</v>
      </c>
      <c r="X2089" s="153" t="s">
        <v>1644</v>
      </c>
      <c r="Y2089" s="124" t="s">
        <v>55</v>
      </c>
      <c r="Z2089" s="308">
        <v>211</v>
      </c>
      <c r="AB2089" t="str">
        <f>IF(Table1[[#This Row],[TIPO2]]="costo", VLOOKUP(Table1[[#This Row],[PARTIDA PRESUPUESTAL]],'Cost Report'!G:G,1,0),"Balance")</f>
        <v>2042-003</v>
      </c>
      <c r="AC2089" s="118"/>
      <c r="AD2089" s="159">
        <f>+Table1[[#This Row],[SUBTOTAL]]+Table1[[#This Row],[IVA]]-Table1[[#This Row],[RET IVA]]-Table1[[#This Row],[RET ISR]]-Table1[[#This Row],[TOTAL]]</f>
        <v>0</v>
      </c>
      <c r="AE2089" s="152"/>
      <c r="AF2089" s="153"/>
      <c r="AG2089" s="126" t="s">
        <v>3420</v>
      </c>
      <c r="AK2089" s="306">
        <f>IF(ISNUMBER(Table1[[#This Row],[FECHA DE RECIBIDO]]), Table1[[#This Row],[FECHA DE RECIBIDO]]-DATE(2023,8,30), "")</f>
        <v>-44957</v>
      </c>
    </row>
    <row r="2090" spans="1:37" ht="16.95" customHeight="1">
      <c r="A2090" s="150" t="s">
        <v>3635</v>
      </c>
      <c r="B2090" s="151">
        <v>716</v>
      </c>
      <c r="C2090" s="126" t="s">
        <v>2436</v>
      </c>
      <c r="D2090">
        <v>661</v>
      </c>
      <c r="E2090" s="126"/>
      <c r="F2090" s="122"/>
      <c r="G2090" s="122"/>
      <c r="H2090"/>
      <c r="I2090" s="122"/>
      <c r="J2090" s="307">
        <v>212</v>
      </c>
      <c r="K2090" s="127" t="s">
        <v>3418</v>
      </c>
      <c r="L2090" s="151" t="s">
        <v>1579</v>
      </c>
      <c r="M2090">
        <v>599</v>
      </c>
      <c r="N2090" s="123">
        <v>17</v>
      </c>
      <c r="O2090">
        <v>1421</v>
      </c>
      <c r="P2090" s="132" t="s">
        <v>77</v>
      </c>
      <c r="Q2090" s="131">
        <v>251.5</v>
      </c>
      <c r="R2090" s="131"/>
      <c r="S2090" s="131"/>
      <c r="T2090" s="155"/>
      <c r="U2090" s="131"/>
      <c r="V2090" s="131">
        <f t="shared" si="49"/>
        <v>251.5</v>
      </c>
      <c r="W2090">
        <v>227</v>
      </c>
      <c r="X2090" s="151" t="s">
        <v>1644</v>
      </c>
      <c r="Y2090" s="135" t="s">
        <v>55</v>
      </c>
      <c r="Z2090" s="307">
        <v>212</v>
      </c>
      <c r="AB2090" t="str">
        <f>IF(Table1[[#This Row],[TIPO2]]="costo", VLOOKUP(Table1[[#This Row],[PARTIDA PRESUPUESTAL]],'Cost Report'!G:G,1,0),"Balance")</f>
        <v>2042-003</v>
      </c>
      <c r="AC2090" s="118"/>
      <c r="AD2090" s="159">
        <f>+Table1[[#This Row],[SUBTOTAL]]+Table1[[#This Row],[IVA]]-Table1[[#This Row],[RET IVA]]-Table1[[#This Row],[RET ISR]]-Table1[[#This Row],[TOTAL]]</f>
        <v>0</v>
      </c>
      <c r="AE2090" s="150"/>
      <c r="AF2090" s="151"/>
      <c r="AG2090" s="126" t="s">
        <v>3420</v>
      </c>
      <c r="AK2090" s="306">
        <f>IF(ISNUMBER(Table1[[#This Row],[FECHA DE RECIBIDO]]), Table1[[#This Row],[FECHA DE RECIBIDO]]-DATE(2023,8,30), "")</f>
        <v>-44956</v>
      </c>
    </row>
    <row r="2091" spans="1:37" ht="16.95" customHeight="1">
      <c r="A2091" s="152" t="s">
        <v>3635</v>
      </c>
      <c r="B2091" s="153">
        <v>716</v>
      </c>
      <c r="C2091" s="126" t="s">
        <v>2436</v>
      </c>
      <c r="D2091">
        <v>661</v>
      </c>
      <c r="E2091" s="126"/>
      <c r="F2091" s="125"/>
      <c r="G2091" s="125"/>
      <c r="H2091"/>
      <c r="I2091" s="125"/>
      <c r="J2091" s="308">
        <v>212</v>
      </c>
      <c r="K2091" s="127" t="s">
        <v>3418</v>
      </c>
      <c r="L2091" s="153" t="s">
        <v>1579</v>
      </c>
      <c r="M2091">
        <v>606</v>
      </c>
      <c r="N2091" s="123">
        <v>17</v>
      </c>
      <c r="O2091">
        <v>1422</v>
      </c>
      <c r="P2091" s="132" t="s">
        <v>77</v>
      </c>
      <c r="Q2091" s="132">
        <v>500</v>
      </c>
      <c r="R2091" s="132"/>
      <c r="S2091" s="132"/>
      <c r="T2091" s="156"/>
      <c r="U2091" s="132"/>
      <c r="V2091" s="132">
        <f t="shared" si="49"/>
        <v>500</v>
      </c>
      <c r="W2091">
        <v>227</v>
      </c>
      <c r="X2091" s="153" t="s">
        <v>1644</v>
      </c>
      <c r="Y2091" s="124" t="s">
        <v>55</v>
      </c>
      <c r="Z2091" s="308">
        <v>212</v>
      </c>
      <c r="AB2091" t="str">
        <f>IF(Table1[[#This Row],[TIPO2]]="costo", VLOOKUP(Table1[[#This Row],[PARTIDA PRESUPUESTAL]],'Cost Report'!G:G,1,0),"Balance")</f>
        <v>2042-003</v>
      </c>
      <c r="AC2091" s="118"/>
      <c r="AD2091" s="159">
        <f>+Table1[[#This Row],[SUBTOTAL]]+Table1[[#This Row],[IVA]]-Table1[[#This Row],[RET IVA]]-Table1[[#This Row],[RET ISR]]-Table1[[#This Row],[TOTAL]]</f>
        <v>0</v>
      </c>
      <c r="AE2091" s="152"/>
      <c r="AF2091" s="153"/>
      <c r="AG2091" s="126" t="s">
        <v>3420</v>
      </c>
      <c r="AK2091" s="306">
        <f>IF(ISNUMBER(Table1[[#This Row],[FECHA DE RECIBIDO]]), Table1[[#This Row],[FECHA DE RECIBIDO]]-DATE(2023,8,30), "")</f>
        <v>-44956</v>
      </c>
    </row>
    <row r="2092" spans="1:37" ht="16.95" customHeight="1">
      <c r="A2092" s="150" t="s">
        <v>3635</v>
      </c>
      <c r="B2092" s="151">
        <v>716</v>
      </c>
      <c r="C2092" s="126" t="s">
        <v>2860</v>
      </c>
      <c r="D2092">
        <v>661</v>
      </c>
      <c r="E2092" s="126"/>
      <c r="F2092" s="122"/>
      <c r="G2092" s="122"/>
      <c r="H2092"/>
      <c r="I2092" s="122"/>
      <c r="J2092" s="307">
        <v>216</v>
      </c>
      <c r="K2092" s="127" t="s">
        <v>3418</v>
      </c>
      <c r="L2092" s="151" t="s">
        <v>1579</v>
      </c>
      <c r="M2092">
        <v>607</v>
      </c>
      <c r="N2092" s="123">
        <v>17</v>
      </c>
      <c r="O2092">
        <v>1423</v>
      </c>
      <c r="P2092" s="132" t="s">
        <v>77</v>
      </c>
      <c r="Q2092" s="131">
        <v>439</v>
      </c>
      <c r="R2092" s="131"/>
      <c r="S2092" s="131"/>
      <c r="T2092" s="155"/>
      <c r="U2092" s="131"/>
      <c r="V2092" s="131">
        <f t="shared" si="49"/>
        <v>439</v>
      </c>
      <c r="W2092">
        <v>227</v>
      </c>
      <c r="X2092" s="151" t="s">
        <v>1644</v>
      </c>
      <c r="Y2092" s="135" t="s">
        <v>55</v>
      </c>
      <c r="Z2092" s="307">
        <v>216</v>
      </c>
      <c r="AB2092" t="str">
        <f>IF(Table1[[#This Row],[TIPO2]]="costo", VLOOKUP(Table1[[#This Row],[PARTIDA PRESUPUESTAL]],'Cost Report'!G:G,1,0),"Balance")</f>
        <v>3629-003</v>
      </c>
      <c r="AC2092" s="118"/>
      <c r="AD2092" s="159">
        <f>+Table1[[#This Row],[SUBTOTAL]]+Table1[[#This Row],[IVA]]-Table1[[#This Row],[RET IVA]]-Table1[[#This Row],[RET ISR]]-Table1[[#This Row],[TOTAL]]</f>
        <v>0</v>
      </c>
      <c r="AE2092" s="150"/>
      <c r="AF2092" s="151"/>
      <c r="AG2092" s="126" t="s">
        <v>3420</v>
      </c>
      <c r="AK2092" s="306">
        <f>IF(ISNUMBER(Table1[[#This Row],[FECHA DE RECIBIDO]]), Table1[[#This Row],[FECHA DE RECIBIDO]]-DATE(2023,8,30), "")</f>
        <v>-44952</v>
      </c>
    </row>
    <row r="2093" spans="1:37" ht="16.05" customHeight="1">
      <c r="A2093" s="152"/>
      <c r="B2093" s="153"/>
      <c r="C2093" s="126" t="s">
        <v>71</v>
      </c>
      <c r="D2093"/>
      <c r="E2093" s="126"/>
      <c r="F2093" s="125"/>
      <c r="G2093" s="125"/>
      <c r="H2093"/>
      <c r="I2093" s="125"/>
      <c r="J2093" s="308" t="s">
        <v>214</v>
      </c>
      <c r="K2093" s="127" t="s">
        <v>3418</v>
      </c>
      <c r="L2093" s="153" t="s">
        <v>1643</v>
      </c>
      <c r="M2093">
        <v>608</v>
      </c>
      <c r="N2093" s="123"/>
      <c r="O2093">
        <v>1424</v>
      </c>
      <c r="P2093" s="131" t="s">
        <v>78</v>
      </c>
      <c r="Q2093" s="132">
        <v>-431555.25</v>
      </c>
      <c r="R2093" s="132"/>
      <c r="S2093" s="132"/>
      <c r="T2093" s="156"/>
      <c r="U2093" s="132"/>
      <c r="V2093" s="132">
        <f t="shared" si="49"/>
        <v>-431555.25</v>
      </c>
      <c r="W2093"/>
      <c r="X2093" s="153"/>
      <c r="Y2093" s="124"/>
      <c r="Z2093" s="308">
        <v>212</v>
      </c>
      <c r="AB2093" t="str">
        <f>IF(Table1[[#This Row],[TIPO2]]="costo", VLOOKUP(Table1[[#This Row],[PARTIDA PRESUPUESTAL]],'Cost Report'!G:G,1,0),"Balance")</f>
        <v>Balance</v>
      </c>
      <c r="AC2093" s="118"/>
      <c r="AD2093" s="159">
        <f>+Table1[[#This Row],[SUBTOTAL]]+Table1[[#This Row],[IVA]]-Table1[[#This Row],[RET IVA]]-Table1[[#This Row],[RET ISR]]-Table1[[#This Row],[TOTAL]]</f>
        <v>0</v>
      </c>
      <c r="AE2093" s="152"/>
      <c r="AF2093" s="153"/>
      <c r="AG2093" s="126" t="s">
        <v>3420</v>
      </c>
      <c r="AK2093" s="306" t="str">
        <f>IF(ISNUMBER(Table1[[#This Row],[FECHA DE RECIBIDO]]), Table1[[#This Row],[FECHA DE RECIBIDO]]-DATE(2023,8,30), "")</f>
        <v/>
      </c>
    </row>
    <row r="2094" spans="1:37" ht="16.95" customHeight="1">
      <c r="A2094" s="150" t="s">
        <v>3686</v>
      </c>
      <c r="B2094" s="151" t="s">
        <v>1576</v>
      </c>
      <c r="C2094" s="126" t="s">
        <v>74</v>
      </c>
      <c r="D2094">
        <v>1438</v>
      </c>
      <c r="E2094" s="126" t="s">
        <v>1577</v>
      </c>
      <c r="F2094" s="122">
        <v>616</v>
      </c>
      <c r="G2094" s="122" t="s">
        <v>1490</v>
      </c>
      <c r="H2094">
        <v>0</v>
      </c>
      <c r="I2094" s="122" t="s">
        <v>1546</v>
      </c>
      <c r="J2094" s="307">
        <v>218.87839120370336</v>
      </c>
      <c r="K2094" s="127" t="s">
        <v>3418</v>
      </c>
      <c r="L2094" s="151" t="s">
        <v>98</v>
      </c>
      <c r="M2094">
        <v>28</v>
      </c>
      <c r="N2094" s="123"/>
      <c r="O2094">
        <v>1425</v>
      </c>
      <c r="P2094" s="131" t="s">
        <v>78</v>
      </c>
      <c r="Q2094" s="131">
        <v>46837721.549999997</v>
      </c>
      <c r="R2094" s="131">
        <v>0</v>
      </c>
      <c r="S2094" s="131"/>
      <c r="T2094" s="155"/>
      <c r="U2094" s="131"/>
      <c r="V2094" s="131">
        <f t="shared" si="49"/>
        <v>46837721.549999997</v>
      </c>
      <c r="W2094">
        <v>34</v>
      </c>
      <c r="X2094" s="151" t="s">
        <v>1576</v>
      </c>
      <c r="Y2094" s="135" t="s">
        <v>55</v>
      </c>
      <c r="Z2094" s="307">
        <v>212</v>
      </c>
      <c r="AB2094" t="str">
        <f>IF(Table1[[#This Row],[TIPO2]]="costo", VLOOKUP(Table1[[#This Row],[PARTIDA PRESUPUESTAL]],'Cost Report'!G:G,1,0),"Balance")</f>
        <v>Balance</v>
      </c>
      <c r="AC2094" s="118"/>
      <c r="AD2094" s="159">
        <f>+Table1[[#This Row],[SUBTOTAL]]+Table1[[#This Row],[IVA]]-Table1[[#This Row],[RET IVA]]-Table1[[#This Row],[RET ISR]]-Table1[[#This Row],[TOTAL]]</f>
        <v>0</v>
      </c>
      <c r="AE2094" s="150"/>
      <c r="AF2094" s="151"/>
      <c r="AG2094" s="126"/>
      <c r="AK2094" s="306">
        <f>IF(ISNUMBER(Table1[[#This Row],[FECHA DE RECIBIDO]]), Table1[[#This Row],[FECHA DE RECIBIDO]]-DATE(2023,8,30), "")</f>
        <v>-44949.121608796297</v>
      </c>
    </row>
    <row r="2095" spans="1:37" ht="16.95" customHeight="1">
      <c r="A2095" s="152" t="s">
        <v>3687</v>
      </c>
      <c r="B2095" s="153" t="s">
        <v>1576</v>
      </c>
      <c r="C2095" s="126" t="s">
        <v>75</v>
      </c>
      <c r="D2095">
        <v>1439</v>
      </c>
      <c r="E2095" s="126" t="s">
        <v>1577</v>
      </c>
      <c r="F2095" s="125">
        <v>616</v>
      </c>
      <c r="G2095" s="125" t="s">
        <v>1490</v>
      </c>
      <c r="H2095">
        <v>0</v>
      </c>
      <c r="I2095" s="125" t="s">
        <v>1546</v>
      </c>
      <c r="J2095" s="308">
        <v>218.88043981481314</v>
      </c>
      <c r="K2095" s="127" t="s">
        <v>3418</v>
      </c>
      <c r="L2095" s="153" t="s">
        <v>98</v>
      </c>
      <c r="M2095">
        <v>28</v>
      </c>
      <c r="N2095" s="123"/>
      <c r="O2095">
        <v>23</v>
      </c>
      <c r="P2095" s="131" t="s">
        <v>78</v>
      </c>
      <c r="Q2095" s="132">
        <v>7494035.4500000002</v>
      </c>
      <c r="R2095" s="132">
        <v>0</v>
      </c>
      <c r="S2095" s="132"/>
      <c r="T2095" s="156"/>
      <c r="U2095" s="132"/>
      <c r="V2095" s="132">
        <f t="shared" si="49"/>
        <v>7494035.4500000002</v>
      </c>
      <c r="W2095">
        <v>34</v>
      </c>
      <c r="X2095" s="153" t="s">
        <v>1576</v>
      </c>
      <c r="Y2095" s="124" t="s">
        <v>55</v>
      </c>
      <c r="Z2095" s="308">
        <v>212</v>
      </c>
      <c r="AB2095" t="str">
        <f>IF(Table1[[#This Row],[TIPO2]]="costo", VLOOKUP(Table1[[#This Row],[PARTIDA PRESUPUESTAL]],'Cost Report'!G:G,1,0),"Balance")</f>
        <v>Balance</v>
      </c>
      <c r="AC2095" s="118"/>
      <c r="AD2095" s="159">
        <f>+Table1[[#This Row],[SUBTOTAL]]+Table1[[#This Row],[IVA]]-Table1[[#This Row],[RET IVA]]-Table1[[#This Row],[RET ISR]]-Table1[[#This Row],[TOTAL]]</f>
        <v>0</v>
      </c>
      <c r="AE2095" s="152"/>
      <c r="AF2095" s="153"/>
      <c r="AG2095" s="126"/>
      <c r="AK2095" s="306">
        <f>IF(ISNUMBER(Table1[[#This Row],[FECHA DE RECIBIDO]]), Table1[[#This Row],[FECHA DE RECIBIDO]]-DATE(2023,8,30), "")</f>
        <v>-44949.119560185187</v>
      </c>
    </row>
    <row r="2096" spans="1:37" ht="16.95" customHeight="1">
      <c r="A2096" s="150"/>
      <c r="B2096" s="151">
        <v>2000</v>
      </c>
      <c r="C2096" s="126" t="s">
        <v>3102</v>
      </c>
      <c r="D2096"/>
      <c r="E2096" s="126"/>
      <c r="F2096" s="122"/>
      <c r="G2096" s="122"/>
      <c r="H2096"/>
      <c r="I2096" s="122"/>
      <c r="J2096" s="307" t="s">
        <v>214</v>
      </c>
      <c r="K2096" s="127" t="s">
        <v>3418</v>
      </c>
      <c r="L2096" s="151" t="s">
        <v>1485</v>
      </c>
      <c r="M2096">
        <v>7</v>
      </c>
      <c r="N2096" s="123"/>
      <c r="O2096">
        <v>1426</v>
      </c>
      <c r="P2096" s="132" t="s">
        <v>77</v>
      </c>
      <c r="Q2096" s="131">
        <v>510</v>
      </c>
      <c r="R2096" s="131">
        <f>+Table1[[#This Row],[SUBTOTAL]]*0.16</f>
        <v>81.600000000000009</v>
      </c>
      <c r="S2096" s="131"/>
      <c r="T2096" s="155"/>
      <c r="U2096" s="131"/>
      <c r="V2096" s="131">
        <f t="shared" si="49"/>
        <v>591.6</v>
      </c>
      <c r="W2096"/>
      <c r="X2096" s="151"/>
      <c r="Y2096" s="135"/>
      <c r="Z2096" s="307">
        <v>226</v>
      </c>
      <c r="AB2096" t="str">
        <f>IF(Table1[[#This Row],[TIPO2]]="costo", VLOOKUP(Table1[[#This Row],[PARTIDA PRESUPUESTAL]],'Cost Report'!G:G,1,0),"Balance")</f>
        <v>7038-008</v>
      </c>
      <c r="AC2096" s="118"/>
      <c r="AD2096" s="159">
        <f>+Table1[[#This Row],[SUBTOTAL]]+Table1[[#This Row],[IVA]]-Table1[[#This Row],[RET IVA]]-Table1[[#This Row],[RET ISR]]-Table1[[#This Row],[TOTAL]]</f>
        <v>0</v>
      </c>
      <c r="AE2096" s="150"/>
      <c r="AF2096" s="151"/>
      <c r="AG2096" s="126"/>
      <c r="AK2096" s="306" t="str">
        <f>IF(ISNUMBER(Table1[[#This Row],[FECHA DE RECIBIDO]]), Table1[[#This Row],[FECHA DE RECIBIDO]]-DATE(2023,8,30), "")</f>
        <v/>
      </c>
    </row>
    <row r="2097" spans="1:37" ht="16.95" customHeight="1">
      <c r="A2097" s="152" t="s">
        <v>3434</v>
      </c>
      <c r="B2097" s="153">
        <v>516</v>
      </c>
      <c r="C2097" s="126" t="s">
        <v>914</v>
      </c>
      <c r="D2097">
        <v>1440</v>
      </c>
      <c r="E2097" s="126" t="s">
        <v>3237</v>
      </c>
      <c r="F2097" s="125" t="s">
        <v>1607</v>
      </c>
      <c r="G2097" s="125" t="s">
        <v>134</v>
      </c>
      <c r="H2097">
        <v>213</v>
      </c>
      <c r="I2097" s="125" t="s">
        <v>1546</v>
      </c>
      <c r="J2097" s="308" t="s">
        <v>214</v>
      </c>
      <c r="K2097" s="127" t="s">
        <v>3418</v>
      </c>
      <c r="L2097" s="153" t="s">
        <v>3306</v>
      </c>
      <c r="M2097">
        <v>609</v>
      </c>
      <c r="N2097" s="123">
        <v>1</v>
      </c>
      <c r="O2097">
        <v>1427</v>
      </c>
      <c r="P2097" s="132" t="s">
        <v>77</v>
      </c>
      <c r="Q2097" s="132">
        <v>14000</v>
      </c>
      <c r="R2097" s="132">
        <v>2240</v>
      </c>
      <c r="S2097" s="132"/>
      <c r="T2097" s="156"/>
      <c r="U2097" s="132"/>
      <c r="V2097" s="132">
        <v>16240</v>
      </c>
      <c r="W2097">
        <v>134</v>
      </c>
      <c r="X2097" s="153" t="s">
        <v>2024</v>
      </c>
      <c r="Y2097" s="124" t="s">
        <v>55</v>
      </c>
      <c r="Z2097" s="308">
        <v>225</v>
      </c>
      <c r="AB2097" t="str">
        <f>IF(Table1[[#This Row],[TIPO2]]="costo", VLOOKUP(Table1[[#This Row],[PARTIDA PRESUPUESTAL]],'Cost Report'!G:G,1,0),"Balance")</f>
        <v>3201-007</v>
      </c>
      <c r="AC2097" s="118"/>
      <c r="AD2097" s="159">
        <f>+Table1[[#This Row],[SUBTOTAL]]+Table1[[#This Row],[IVA]]-Table1[[#This Row],[RET IVA]]-Table1[[#This Row],[RET ISR]]-Table1[[#This Row],[TOTAL]]</f>
        <v>0</v>
      </c>
      <c r="AE2097" s="152"/>
      <c r="AF2097" s="153"/>
      <c r="AG2097" s="126"/>
      <c r="AK2097" s="306" t="str">
        <f>IF(ISNUMBER(Table1[[#This Row],[FECHA DE RECIBIDO]]), Table1[[#This Row],[FECHA DE RECIBIDO]]-DATE(2023,8,30), "")</f>
        <v/>
      </c>
    </row>
    <row r="2098" spans="1:37" ht="16.95" customHeight="1">
      <c r="A2098" s="150" t="s">
        <v>3435</v>
      </c>
      <c r="B2098" s="151">
        <v>517</v>
      </c>
      <c r="C2098" s="126" t="s">
        <v>911</v>
      </c>
      <c r="D2098">
        <v>1441</v>
      </c>
      <c r="E2098" s="126" t="s">
        <v>3237</v>
      </c>
      <c r="F2098" s="122" t="s">
        <v>1607</v>
      </c>
      <c r="G2098" s="122" t="s">
        <v>134</v>
      </c>
      <c r="H2098">
        <v>213</v>
      </c>
      <c r="I2098" s="122" t="s">
        <v>1546</v>
      </c>
      <c r="J2098" s="307" t="s">
        <v>214</v>
      </c>
      <c r="K2098" s="127" t="s">
        <v>3418</v>
      </c>
      <c r="L2098" s="151" t="s">
        <v>3306</v>
      </c>
      <c r="M2098">
        <v>609</v>
      </c>
      <c r="N2098" s="123">
        <v>1</v>
      </c>
      <c r="O2098">
        <v>1428</v>
      </c>
      <c r="P2098" s="132" t="s">
        <v>77</v>
      </c>
      <c r="Q2098" s="131">
        <v>16000</v>
      </c>
      <c r="R2098" s="131">
        <v>2560</v>
      </c>
      <c r="S2098" s="131"/>
      <c r="T2098" s="155"/>
      <c r="U2098" s="131"/>
      <c r="V2098" s="131">
        <v>18560</v>
      </c>
      <c r="W2098">
        <v>134</v>
      </c>
      <c r="X2098" s="151" t="s">
        <v>2024</v>
      </c>
      <c r="Y2098" s="135" t="s">
        <v>55</v>
      </c>
      <c r="Z2098" s="307">
        <v>225</v>
      </c>
      <c r="AB2098" t="str">
        <f>IF(Table1[[#This Row],[TIPO2]]="costo", VLOOKUP(Table1[[#This Row],[PARTIDA PRESUPUESTAL]],'Cost Report'!G:G,1,0),"Balance")</f>
        <v>3201-004</v>
      </c>
      <c r="AC2098" s="118"/>
      <c r="AD2098" s="159">
        <f>+Table1[[#This Row],[SUBTOTAL]]+Table1[[#This Row],[IVA]]-Table1[[#This Row],[RET IVA]]-Table1[[#This Row],[RET ISR]]-Table1[[#This Row],[TOTAL]]</f>
        <v>0</v>
      </c>
      <c r="AE2098" s="150"/>
      <c r="AF2098" s="151"/>
      <c r="AG2098" s="126"/>
      <c r="AK2098" s="306" t="str">
        <f>IF(ISNUMBER(Table1[[#This Row],[FECHA DE RECIBIDO]]), Table1[[#This Row],[FECHA DE RECIBIDO]]-DATE(2023,8,30), "")</f>
        <v/>
      </c>
    </row>
    <row r="2099" spans="1:37" ht="16.95" customHeight="1">
      <c r="A2099" s="152" t="s">
        <v>3585</v>
      </c>
      <c r="B2099" s="153">
        <v>662</v>
      </c>
      <c r="C2099" s="126" t="s">
        <v>764</v>
      </c>
      <c r="D2099">
        <v>1442</v>
      </c>
      <c r="E2099" s="126" t="s">
        <v>3782</v>
      </c>
      <c r="F2099" s="125" t="s">
        <v>1593</v>
      </c>
      <c r="G2099" s="125" t="s">
        <v>109</v>
      </c>
      <c r="H2099">
        <v>441</v>
      </c>
      <c r="I2099" s="125" t="s">
        <v>1546</v>
      </c>
      <c r="J2099" s="308" t="s">
        <v>214</v>
      </c>
      <c r="K2099" s="127" t="s">
        <v>3797</v>
      </c>
      <c r="L2099" s="153" t="s">
        <v>110</v>
      </c>
      <c r="M2099">
        <v>610</v>
      </c>
      <c r="N2099" s="123">
        <v>119</v>
      </c>
      <c r="O2099">
        <v>1429</v>
      </c>
      <c r="P2099" s="132" t="s">
        <v>77</v>
      </c>
      <c r="Q2099" s="132">
        <v>3450</v>
      </c>
      <c r="R2099" s="132">
        <v>552</v>
      </c>
      <c r="S2099" s="132"/>
      <c r="T2099" s="156">
        <v>368</v>
      </c>
      <c r="U2099" s="132">
        <v>43.13</v>
      </c>
      <c r="V2099" s="132">
        <v>3590.87</v>
      </c>
      <c r="W2099">
        <v>228</v>
      </c>
      <c r="X2099" s="153" t="s">
        <v>1429</v>
      </c>
      <c r="Y2099" s="124" t="s">
        <v>55</v>
      </c>
      <c r="Z2099" s="308">
        <v>229</v>
      </c>
      <c r="AB2099" t="str">
        <f>IF(Table1[[#This Row],[TIPO2]]="costo", VLOOKUP(Table1[[#This Row],[PARTIDA PRESUPUESTAL]],'Cost Report'!G:G,1,0),"Balance")</f>
        <v>3003-015</v>
      </c>
      <c r="AC2099" s="118"/>
      <c r="AD2099" s="159">
        <f>+Table1[[#This Row],[SUBTOTAL]]+Table1[[#This Row],[IVA]]-Table1[[#This Row],[RET IVA]]-Table1[[#This Row],[RET ISR]]-Table1[[#This Row],[TOTAL]]</f>
        <v>0</v>
      </c>
      <c r="AE2099" s="152"/>
      <c r="AF2099" s="153"/>
      <c r="AG2099" s="126"/>
      <c r="AK2099" s="306" t="str">
        <f>IF(ISNUMBER(Table1[[#This Row],[FECHA DE RECIBIDO]]), Table1[[#This Row],[FECHA DE RECIBIDO]]-DATE(2023,8,30), "")</f>
        <v/>
      </c>
    </row>
    <row r="2100" spans="1:37" ht="16.95" customHeight="1">
      <c r="A2100" s="150" t="s">
        <v>3586</v>
      </c>
      <c r="B2100" s="151">
        <v>663</v>
      </c>
      <c r="C2100" s="126" t="s">
        <v>765</v>
      </c>
      <c r="D2100">
        <v>1443</v>
      </c>
      <c r="E2100" s="126" t="s">
        <v>3782</v>
      </c>
      <c r="F2100" s="122" t="s">
        <v>1593</v>
      </c>
      <c r="G2100" s="122" t="s">
        <v>109</v>
      </c>
      <c r="H2100">
        <v>441</v>
      </c>
      <c r="I2100" s="122" t="s">
        <v>1546</v>
      </c>
      <c r="J2100" s="307" t="s">
        <v>214</v>
      </c>
      <c r="K2100" s="127" t="s">
        <v>3797</v>
      </c>
      <c r="L2100" s="151" t="s">
        <v>110</v>
      </c>
      <c r="M2100">
        <v>610</v>
      </c>
      <c r="N2100" s="123">
        <v>119</v>
      </c>
      <c r="O2100">
        <v>1430</v>
      </c>
      <c r="P2100" s="132" t="s">
        <v>77</v>
      </c>
      <c r="Q2100" s="131">
        <v>20700</v>
      </c>
      <c r="R2100" s="131">
        <v>3312</v>
      </c>
      <c r="S2100" s="131"/>
      <c r="T2100" s="155">
        <v>2208</v>
      </c>
      <c r="U2100" s="131">
        <v>258.76</v>
      </c>
      <c r="V2100" s="131">
        <v>21545.24</v>
      </c>
      <c r="W2100">
        <v>228</v>
      </c>
      <c r="X2100" s="151" t="s">
        <v>1429</v>
      </c>
      <c r="Y2100" s="135" t="s">
        <v>55</v>
      </c>
      <c r="Z2100" s="307">
        <v>229</v>
      </c>
      <c r="AB2100" t="str">
        <f>IF(Table1[[#This Row],[TIPO2]]="costo", VLOOKUP(Table1[[#This Row],[PARTIDA PRESUPUESTAL]],'Cost Report'!G:G,1,0),"Balance")</f>
        <v>3003-016</v>
      </c>
      <c r="AC2100" s="118"/>
      <c r="AD2100" s="159">
        <f>+Table1[[#This Row],[SUBTOTAL]]+Table1[[#This Row],[IVA]]-Table1[[#This Row],[RET IVA]]-Table1[[#This Row],[RET ISR]]-Table1[[#This Row],[TOTAL]]</f>
        <v>0</v>
      </c>
      <c r="AE2100" s="150"/>
      <c r="AF2100" s="151"/>
      <c r="AG2100" s="126"/>
      <c r="AK2100" s="306" t="str">
        <f>IF(ISNUMBER(Table1[[#This Row],[FECHA DE RECIBIDO]]), Table1[[#This Row],[FECHA DE RECIBIDO]]-DATE(2023,8,30), "")</f>
        <v/>
      </c>
    </row>
    <row r="2101" spans="1:37" ht="16.95" customHeight="1">
      <c r="A2101" s="152" t="s">
        <v>3696</v>
      </c>
      <c r="B2101" s="153">
        <v>717</v>
      </c>
      <c r="C2101" s="126" t="s">
        <v>5473</v>
      </c>
      <c r="D2101">
        <v>1444</v>
      </c>
      <c r="E2101" s="126" t="s">
        <v>3275</v>
      </c>
      <c r="F2101" s="125" t="s">
        <v>1589</v>
      </c>
      <c r="G2101" s="125" t="s">
        <v>129</v>
      </c>
      <c r="H2101">
        <v>442</v>
      </c>
      <c r="I2101" s="125" t="s">
        <v>1546</v>
      </c>
      <c r="J2101" s="308" t="s">
        <v>214</v>
      </c>
      <c r="K2101" s="127" t="s">
        <v>3797</v>
      </c>
      <c r="L2101" s="153" t="s">
        <v>3306</v>
      </c>
      <c r="M2101">
        <v>611</v>
      </c>
      <c r="N2101" s="123">
        <v>1</v>
      </c>
      <c r="O2101">
        <v>1431</v>
      </c>
      <c r="P2101" s="131" t="s">
        <v>77</v>
      </c>
      <c r="Q2101" s="132">
        <v>8045.98</v>
      </c>
      <c r="R2101" s="132">
        <v>0</v>
      </c>
      <c r="S2101" s="132"/>
      <c r="T2101" s="156">
        <v>241.38</v>
      </c>
      <c r="U2101" s="132">
        <v>804.6</v>
      </c>
      <c r="V2101" s="132">
        <v>6999.9999999999991</v>
      </c>
      <c r="W2101">
        <v>229</v>
      </c>
      <c r="X2101" s="153" t="s">
        <v>1431</v>
      </c>
      <c r="Y2101" s="124" t="s">
        <v>55</v>
      </c>
      <c r="Z2101" s="308">
        <v>229</v>
      </c>
      <c r="AB2101" t="str">
        <f>IF(Table1[[#This Row],[TIPO2]]="costo", VLOOKUP(Table1[[#This Row],[PARTIDA PRESUPUESTAL]],'Cost Report'!G:G,1,0),"Balance")</f>
        <v>7230-001</v>
      </c>
      <c r="AC2101" s="118"/>
      <c r="AD2101" s="159">
        <f>+Table1[[#This Row],[SUBTOTAL]]+Table1[[#This Row],[IVA]]-Table1[[#This Row],[RET IVA]]-Table1[[#This Row],[RET ISR]]-Table1[[#This Row],[TOTAL]]</f>
        <v>0</v>
      </c>
      <c r="AE2101" s="152"/>
      <c r="AF2101" s="153"/>
      <c r="AG2101" s="126"/>
      <c r="AJ2101" s="213" t="s">
        <v>5479</v>
      </c>
      <c r="AK2101" s="306" t="str">
        <f>IF(ISNUMBER(Table1[[#This Row],[FECHA DE RECIBIDO]]), Table1[[#This Row],[FECHA DE RECIBIDO]]-DATE(2023,8,30), "")</f>
        <v/>
      </c>
    </row>
    <row r="2102" spans="1:37" ht="16.95" customHeight="1">
      <c r="A2102" s="150" t="s">
        <v>3697</v>
      </c>
      <c r="B2102" s="151">
        <v>718</v>
      </c>
      <c r="C2102" s="126" t="s">
        <v>3002</v>
      </c>
      <c r="D2102">
        <v>1445</v>
      </c>
      <c r="E2102" s="126" t="s">
        <v>3636</v>
      </c>
      <c r="F2102" s="122" t="s">
        <v>1607</v>
      </c>
      <c r="G2102" s="122" t="s">
        <v>134</v>
      </c>
      <c r="H2102">
        <v>443</v>
      </c>
      <c r="I2102" s="122" t="s">
        <v>1546</v>
      </c>
      <c r="J2102" s="307" t="s">
        <v>214</v>
      </c>
      <c r="K2102" s="127" t="s">
        <v>3797</v>
      </c>
      <c r="L2102" s="151" t="s">
        <v>3306</v>
      </c>
      <c r="M2102">
        <v>612</v>
      </c>
      <c r="N2102" s="123">
        <v>1</v>
      </c>
      <c r="O2102">
        <v>1432</v>
      </c>
      <c r="P2102" s="132" t="s">
        <v>77</v>
      </c>
      <c r="Q2102" s="131">
        <v>6800</v>
      </c>
      <c r="R2102" s="131">
        <v>1088</v>
      </c>
      <c r="S2102" s="131"/>
      <c r="T2102" s="155">
        <v>0</v>
      </c>
      <c r="U2102" s="131">
        <v>0</v>
      </c>
      <c r="V2102" s="131">
        <v>7888</v>
      </c>
      <c r="W2102">
        <v>230</v>
      </c>
      <c r="X2102" s="151" t="s">
        <v>3796</v>
      </c>
      <c r="Y2102" s="135" t="s">
        <v>55</v>
      </c>
      <c r="Z2102" s="307">
        <v>229</v>
      </c>
      <c r="AB2102" t="str">
        <f>IF(Table1[[#This Row],[TIPO2]]="costo", VLOOKUP(Table1[[#This Row],[PARTIDA PRESUPUESTAL]],'Cost Report'!G:G,1,0),"Balance")</f>
        <v>4180-003</v>
      </c>
      <c r="AC2102" s="118"/>
      <c r="AD2102" s="159">
        <f>+Table1[[#This Row],[SUBTOTAL]]+Table1[[#This Row],[IVA]]-Table1[[#This Row],[RET IVA]]-Table1[[#This Row],[RET ISR]]-Table1[[#This Row],[TOTAL]]</f>
        <v>0</v>
      </c>
      <c r="AE2102" s="150"/>
      <c r="AF2102" s="151"/>
      <c r="AG2102" s="126"/>
      <c r="AK2102" s="306" t="str">
        <f>IF(ISNUMBER(Table1[[#This Row],[FECHA DE RECIBIDO]]), Table1[[#This Row],[FECHA DE RECIBIDO]]-DATE(2023,8,30), "")</f>
        <v/>
      </c>
    </row>
    <row r="2103" spans="1:37" ht="16.95" customHeight="1">
      <c r="A2103" s="152" t="s">
        <v>3698</v>
      </c>
      <c r="B2103" s="153">
        <v>719</v>
      </c>
      <c r="C2103" s="126" t="s">
        <v>1139</v>
      </c>
      <c r="D2103">
        <v>1446</v>
      </c>
      <c r="E2103" s="126" t="s">
        <v>1603</v>
      </c>
      <c r="F2103" s="125" t="s">
        <v>1607</v>
      </c>
      <c r="G2103" s="125" t="s">
        <v>134</v>
      </c>
      <c r="H2103">
        <v>444</v>
      </c>
      <c r="I2103" s="125" t="s">
        <v>1546</v>
      </c>
      <c r="J2103" s="308" t="s">
        <v>214</v>
      </c>
      <c r="K2103" s="127" t="s">
        <v>3797</v>
      </c>
      <c r="L2103" s="153" t="s">
        <v>3306</v>
      </c>
      <c r="M2103">
        <v>613</v>
      </c>
      <c r="N2103" s="123">
        <v>1</v>
      </c>
      <c r="O2103">
        <v>1433</v>
      </c>
      <c r="P2103" s="132" t="s">
        <v>77</v>
      </c>
      <c r="Q2103" s="132">
        <v>26000</v>
      </c>
      <c r="R2103" s="132">
        <v>4160</v>
      </c>
      <c r="S2103" s="132"/>
      <c r="T2103" s="156">
        <v>0</v>
      </c>
      <c r="U2103" s="132">
        <v>0</v>
      </c>
      <c r="V2103" s="132">
        <v>30160</v>
      </c>
      <c r="W2103">
        <v>231</v>
      </c>
      <c r="X2103" s="153" t="s">
        <v>1429</v>
      </c>
      <c r="Y2103" s="124" t="s">
        <v>55</v>
      </c>
      <c r="Z2103" s="308">
        <v>229</v>
      </c>
      <c r="AB2103" t="str">
        <f>IF(Table1[[#This Row],[TIPO2]]="costo", VLOOKUP(Table1[[#This Row],[PARTIDA PRESUPUESTAL]],'Cost Report'!G:G,1,0),"Balance")</f>
        <v>3902-003</v>
      </c>
      <c r="AC2103" s="118"/>
      <c r="AD2103" s="159">
        <f>+Table1[[#This Row],[SUBTOTAL]]+Table1[[#This Row],[IVA]]-Table1[[#This Row],[RET IVA]]-Table1[[#This Row],[RET ISR]]-Table1[[#This Row],[TOTAL]]</f>
        <v>0</v>
      </c>
      <c r="AE2103" s="152"/>
      <c r="AF2103" s="153"/>
      <c r="AG2103" s="126"/>
      <c r="AK2103" s="306" t="str">
        <f>IF(ISNUMBER(Table1[[#This Row],[FECHA DE RECIBIDO]]), Table1[[#This Row],[FECHA DE RECIBIDO]]-DATE(2023,8,30), "")</f>
        <v/>
      </c>
    </row>
    <row r="2104" spans="1:37" ht="16.95" customHeight="1">
      <c r="A2104" s="150" t="s">
        <v>3699</v>
      </c>
      <c r="B2104" s="151">
        <v>720</v>
      </c>
      <c r="C2104" s="126" t="s">
        <v>1139</v>
      </c>
      <c r="D2104">
        <v>1447</v>
      </c>
      <c r="E2104" s="126" t="s">
        <v>1603</v>
      </c>
      <c r="F2104" s="122" t="s">
        <v>1607</v>
      </c>
      <c r="G2104" s="122" t="s">
        <v>134</v>
      </c>
      <c r="H2104">
        <v>444</v>
      </c>
      <c r="I2104" s="122" t="s">
        <v>1546</v>
      </c>
      <c r="J2104" s="307" t="s">
        <v>214</v>
      </c>
      <c r="K2104" s="127" t="s">
        <v>3797</v>
      </c>
      <c r="L2104" s="151" t="s">
        <v>3306</v>
      </c>
      <c r="M2104">
        <v>613</v>
      </c>
      <c r="N2104" s="123">
        <v>1</v>
      </c>
      <c r="O2104">
        <v>1434</v>
      </c>
      <c r="P2104" s="132" t="s">
        <v>77</v>
      </c>
      <c r="Q2104" s="131">
        <v>2600</v>
      </c>
      <c r="R2104" s="131">
        <v>416</v>
      </c>
      <c r="S2104" s="131"/>
      <c r="T2104" s="155">
        <v>0</v>
      </c>
      <c r="U2104" s="131">
        <v>0</v>
      </c>
      <c r="V2104" s="131">
        <v>3016</v>
      </c>
      <c r="W2104">
        <v>231</v>
      </c>
      <c r="X2104" s="151" t="s">
        <v>1429</v>
      </c>
      <c r="Y2104" s="135" t="s">
        <v>55</v>
      </c>
      <c r="Z2104" s="307">
        <v>229</v>
      </c>
      <c r="AB2104" t="str">
        <f>IF(Table1[[#This Row],[TIPO2]]="costo", VLOOKUP(Table1[[#This Row],[PARTIDA PRESUPUESTAL]],'Cost Report'!G:G,1,0),"Balance")</f>
        <v>3902-003</v>
      </c>
      <c r="AC2104" s="118"/>
      <c r="AD2104" s="159">
        <f>+Table1[[#This Row],[SUBTOTAL]]+Table1[[#This Row],[IVA]]-Table1[[#This Row],[RET IVA]]-Table1[[#This Row],[RET ISR]]-Table1[[#This Row],[TOTAL]]</f>
        <v>0</v>
      </c>
      <c r="AE2104" s="150"/>
      <c r="AF2104" s="151"/>
      <c r="AG2104" s="126"/>
      <c r="AK2104" s="306" t="str">
        <f>IF(ISNUMBER(Table1[[#This Row],[FECHA DE RECIBIDO]]), Table1[[#This Row],[FECHA DE RECIBIDO]]-DATE(2023,8,30), "")</f>
        <v/>
      </c>
    </row>
    <row r="2105" spans="1:37" ht="16.95" customHeight="1">
      <c r="A2105" s="152" t="s">
        <v>3700</v>
      </c>
      <c r="B2105" s="153">
        <v>721</v>
      </c>
      <c r="C2105" s="126" t="s">
        <v>970</v>
      </c>
      <c r="D2105">
        <v>1448</v>
      </c>
      <c r="E2105" s="126" t="s">
        <v>1605</v>
      </c>
      <c r="F2105" s="125" t="s">
        <v>1607</v>
      </c>
      <c r="G2105" s="125" t="s">
        <v>134</v>
      </c>
      <c r="H2105">
        <v>84</v>
      </c>
      <c r="I2105" s="125" t="s">
        <v>1546</v>
      </c>
      <c r="J2105" s="308" t="s">
        <v>214</v>
      </c>
      <c r="K2105" s="127" t="s">
        <v>3797</v>
      </c>
      <c r="L2105" s="153" t="s">
        <v>3306</v>
      </c>
      <c r="M2105">
        <v>614</v>
      </c>
      <c r="N2105" s="123">
        <v>1</v>
      </c>
      <c r="O2105">
        <v>1435</v>
      </c>
      <c r="P2105" s="132" t="s">
        <v>77</v>
      </c>
      <c r="Q2105" s="132">
        <v>160998.93</v>
      </c>
      <c r="R2105" s="132">
        <v>25759.83</v>
      </c>
      <c r="S2105" s="132"/>
      <c r="T2105" s="156">
        <v>0</v>
      </c>
      <c r="U2105" s="132">
        <v>0</v>
      </c>
      <c r="V2105" s="132">
        <v>62252.92</v>
      </c>
      <c r="W2105">
        <v>56</v>
      </c>
      <c r="X2105" s="153" t="s">
        <v>1429</v>
      </c>
      <c r="Y2105" s="124" t="s">
        <v>55</v>
      </c>
      <c r="Z2105" s="308">
        <v>229</v>
      </c>
      <c r="AB2105" t="str">
        <f>IF(Table1[[#This Row],[TIPO2]]="costo", VLOOKUP(Table1[[#This Row],[PARTIDA PRESUPUESTAL]],'Cost Report'!G:G,1,0),"Balance")</f>
        <v>3410-003</v>
      </c>
      <c r="AC2105" s="118"/>
      <c r="AD2105" s="159">
        <f>+Table1[[#This Row],[SUBTOTAL]]+Table1[[#This Row],[IVA]]-Table1[[#This Row],[RET IVA]]-Table1[[#This Row],[RET ISR]]-Table1[[#This Row],[TOTAL]]</f>
        <v>124505.84000000001</v>
      </c>
      <c r="AE2105" s="152"/>
      <c r="AF2105" s="153"/>
      <c r="AG2105" s="126"/>
      <c r="AK2105" s="306" t="str">
        <f>IF(ISNUMBER(Table1[[#This Row],[FECHA DE RECIBIDO]]), Table1[[#This Row],[FECHA DE RECIBIDO]]-DATE(2023,8,30), "")</f>
        <v/>
      </c>
    </row>
    <row r="2106" spans="1:37" ht="16.95" customHeight="1">
      <c r="A2106" s="150" t="s">
        <v>3700</v>
      </c>
      <c r="B2106" s="151">
        <v>721</v>
      </c>
      <c r="C2106" s="126" t="s">
        <v>971</v>
      </c>
      <c r="D2106">
        <v>1448</v>
      </c>
      <c r="E2106" s="126" t="s">
        <v>1605</v>
      </c>
      <c r="F2106" s="122" t="s">
        <v>1607</v>
      </c>
      <c r="G2106" s="122" t="s">
        <v>134</v>
      </c>
      <c r="H2106">
        <v>84</v>
      </c>
      <c r="I2106" s="122" t="s">
        <v>1546</v>
      </c>
      <c r="J2106" s="307" t="s">
        <v>214</v>
      </c>
      <c r="K2106" s="127" t="s">
        <v>3797</v>
      </c>
      <c r="L2106" s="151" t="s">
        <v>3306</v>
      </c>
      <c r="M2106">
        <v>614</v>
      </c>
      <c r="N2106" s="123">
        <v>1</v>
      </c>
      <c r="O2106">
        <v>1435</v>
      </c>
      <c r="P2106" s="132" t="s">
        <v>77</v>
      </c>
      <c r="Q2106" s="131">
        <v>77279.48</v>
      </c>
      <c r="R2106" s="131">
        <v>12364.72</v>
      </c>
      <c r="S2106" s="131"/>
      <c r="T2106" s="155">
        <v>0</v>
      </c>
      <c r="U2106" s="131">
        <v>0</v>
      </c>
      <c r="V2106" s="131">
        <v>29881.4</v>
      </c>
      <c r="W2106">
        <v>56</v>
      </c>
      <c r="X2106" s="151" t="s">
        <v>1429</v>
      </c>
      <c r="Y2106" s="135" t="s">
        <v>55</v>
      </c>
      <c r="Z2106" s="307">
        <v>229</v>
      </c>
      <c r="AB2106" t="str">
        <f>IF(Table1[[#This Row],[TIPO2]]="costo", VLOOKUP(Table1[[#This Row],[PARTIDA PRESUPUESTAL]],'Cost Report'!G:G,1,0),"Balance")</f>
        <v>3410-004</v>
      </c>
      <c r="AC2106" s="118"/>
      <c r="AD2106" s="159">
        <f>+Table1[[#This Row],[SUBTOTAL]]+Table1[[#This Row],[IVA]]-Table1[[#This Row],[RET IVA]]-Table1[[#This Row],[RET ISR]]-Table1[[#This Row],[TOTAL]]</f>
        <v>59762.799999999996</v>
      </c>
      <c r="AE2106" s="150"/>
      <c r="AF2106" s="151"/>
      <c r="AG2106" s="126"/>
      <c r="AK2106" s="306" t="str">
        <f>IF(ISNUMBER(Table1[[#This Row],[FECHA DE RECIBIDO]]), Table1[[#This Row],[FECHA DE RECIBIDO]]-DATE(2023,8,30), "")</f>
        <v/>
      </c>
    </row>
    <row r="2107" spans="1:37" ht="16.95" customHeight="1">
      <c r="A2107" s="152" t="s">
        <v>3700</v>
      </c>
      <c r="B2107" s="153">
        <v>721</v>
      </c>
      <c r="C2107" s="126" t="s">
        <v>972</v>
      </c>
      <c r="D2107">
        <v>1448</v>
      </c>
      <c r="E2107" s="126" t="s">
        <v>1605</v>
      </c>
      <c r="F2107" s="125" t="s">
        <v>1607</v>
      </c>
      <c r="G2107" s="125" t="s">
        <v>134</v>
      </c>
      <c r="H2107">
        <v>84</v>
      </c>
      <c r="I2107" s="125" t="s">
        <v>1546</v>
      </c>
      <c r="J2107" s="308" t="s">
        <v>214</v>
      </c>
      <c r="K2107" s="127" t="s">
        <v>3797</v>
      </c>
      <c r="L2107" s="153" t="s">
        <v>3306</v>
      </c>
      <c r="M2107">
        <v>614</v>
      </c>
      <c r="N2107" s="123">
        <v>1</v>
      </c>
      <c r="O2107">
        <v>1435</v>
      </c>
      <c r="P2107" s="132" t="s">
        <v>77</v>
      </c>
      <c r="Q2107" s="132">
        <v>244718.37</v>
      </c>
      <c r="R2107" s="132">
        <v>39154.94</v>
      </c>
      <c r="S2107" s="132"/>
      <c r="T2107" s="156">
        <v>0</v>
      </c>
      <c r="U2107" s="132">
        <v>0</v>
      </c>
      <c r="V2107" s="132">
        <v>94624.439999999988</v>
      </c>
      <c r="W2107">
        <v>56</v>
      </c>
      <c r="X2107" s="153" t="s">
        <v>1429</v>
      </c>
      <c r="Y2107" s="124" t="s">
        <v>55</v>
      </c>
      <c r="Z2107" s="308">
        <v>229</v>
      </c>
      <c r="AB2107" t="str">
        <f>IF(Table1[[#This Row],[TIPO2]]="costo", VLOOKUP(Table1[[#This Row],[PARTIDA PRESUPUESTAL]],'Cost Report'!G:G,1,0),"Balance")</f>
        <v>3410-005</v>
      </c>
      <c r="AC2107" s="118"/>
      <c r="AD2107" s="159">
        <f>+Table1[[#This Row],[SUBTOTAL]]+Table1[[#This Row],[IVA]]-Table1[[#This Row],[RET IVA]]-Table1[[#This Row],[RET ISR]]-Table1[[#This Row],[TOTAL]]</f>
        <v>189248.87</v>
      </c>
      <c r="AE2107" s="152"/>
      <c r="AF2107" s="153"/>
      <c r="AG2107" s="126"/>
      <c r="AK2107" s="306" t="str">
        <f>IF(ISNUMBER(Table1[[#This Row],[FECHA DE RECIBIDO]]), Table1[[#This Row],[FECHA DE RECIBIDO]]-DATE(2023,8,30), "")</f>
        <v/>
      </c>
    </row>
    <row r="2108" spans="1:37" ht="16.95" customHeight="1">
      <c r="A2108" s="150" t="s">
        <v>3700</v>
      </c>
      <c r="B2108" s="151">
        <v>721</v>
      </c>
      <c r="C2108" s="126" t="s">
        <v>973</v>
      </c>
      <c r="D2108">
        <v>1448</v>
      </c>
      <c r="E2108" s="126" t="s">
        <v>1605</v>
      </c>
      <c r="F2108" s="122" t="s">
        <v>1607</v>
      </c>
      <c r="G2108" s="122" t="s">
        <v>134</v>
      </c>
      <c r="H2108">
        <v>84</v>
      </c>
      <c r="I2108" s="122" t="s">
        <v>1546</v>
      </c>
      <c r="J2108" s="307" t="s">
        <v>214</v>
      </c>
      <c r="K2108" s="127" t="s">
        <v>3797</v>
      </c>
      <c r="L2108" s="151" t="s">
        <v>3306</v>
      </c>
      <c r="M2108">
        <v>614</v>
      </c>
      <c r="N2108" s="123">
        <v>1</v>
      </c>
      <c r="O2108">
        <v>1435</v>
      </c>
      <c r="P2108" s="132" t="s">
        <v>77</v>
      </c>
      <c r="Q2108" s="131">
        <v>115919.23</v>
      </c>
      <c r="R2108" s="131">
        <v>18547.07</v>
      </c>
      <c r="S2108" s="131"/>
      <c r="T2108" s="155">
        <v>0</v>
      </c>
      <c r="U2108" s="131">
        <v>0</v>
      </c>
      <c r="V2108" s="131">
        <v>44822.1</v>
      </c>
      <c r="W2108">
        <v>56</v>
      </c>
      <c r="X2108" s="151" t="s">
        <v>1429</v>
      </c>
      <c r="Y2108" s="135" t="s">
        <v>55</v>
      </c>
      <c r="Z2108" s="307">
        <v>229</v>
      </c>
      <c r="AB2108" t="str">
        <f>IF(Table1[[#This Row],[TIPO2]]="costo", VLOOKUP(Table1[[#This Row],[PARTIDA PRESUPUESTAL]],'Cost Report'!G:G,1,0),"Balance")</f>
        <v>3410-006</v>
      </c>
      <c r="AC2108" s="118"/>
      <c r="AD2108" s="159">
        <f>+Table1[[#This Row],[SUBTOTAL]]+Table1[[#This Row],[IVA]]-Table1[[#This Row],[RET IVA]]-Table1[[#This Row],[RET ISR]]-Table1[[#This Row],[TOTAL]]</f>
        <v>89644.199999999983</v>
      </c>
      <c r="AE2108" s="150"/>
      <c r="AF2108" s="151"/>
      <c r="AG2108" s="126"/>
      <c r="AK2108" s="306" t="str">
        <f>IF(ISNUMBER(Table1[[#This Row],[FECHA DE RECIBIDO]]), Table1[[#This Row],[FECHA DE RECIBIDO]]-DATE(2023,8,30), "")</f>
        <v/>
      </c>
    </row>
    <row r="2109" spans="1:37" ht="16.95" customHeight="1">
      <c r="A2109" s="152" t="s">
        <v>3700</v>
      </c>
      <c r="B2109" s="153">
        <v>721</v>
      </c>
      <c r="C2109" s="126" t="s">
        <v>974</v>
      </c>
      <c r="D2109">
        <v>1448</v>
      </c>
      <c r="E2109" s="126" t="s">
        <v>1605</v>
      </c>
      <c r="F2109" s="125" t="s">
        <v>1607</v>
      </c>
      <c r="G2109" s="125" t="s">
        <v>134</v>
      </c>
      <c r="H2109">
        <v>84</v>
      </c>
      <c r="I2109" s="125" t="s">
        <v>1546</v>
      </c>
      <c r="J2109" s="308" t="s">
        <v>214</v>
      </c>
      <c r="K2109" s="127" t="s">
        <v>3797</v>
      </c>
      <c r="L2109" s="153" t="s">
        <v>3306</v>
      </c>
      <c r="M2109">
        <v>614</v>
      </c>
      <c r="N2109" s="123">
        <v>1</v>
      </c>
      <c r="O2109">
        <v>1435</v>
      </c>
      <c r="P2109" s="132" t="s">
        <v>77</v>
      </c>
      <c r="Q2109" s="132">
        <v>115919.23</v>
      </c>
      <c r="R2109" s="132">
        <v>18547.07</v>
      </c>
      <c r="S2109" s="132"/>
      <c r="T2109" s="156">
        <v>0</v>
      </c>
      <c r="U2109" s="132">
        <v>0</v>
      </c>
      <c r="V2109" s="132">
        <v>44822.1</v>
      </c>
      <c r="W2109">
        <v>56</v>
      </c>
      <c r="X2109" s="153" t="s">
        <v>1429</v>
      </c>
      <c r="Y2109" s="124" t="s">
        <v>55</v>
      </c>
      <c r="Z2109" s="308">
        <v>229</v>
      </c>
      <c r="AB2109" t="str">
        <f>IF(Table1[[#This Row],[TIPO2]]="costo", VLOOKUP(Table1[[#This Row],[PARTIDA PRESUPUESTAL]],'Cost Report'!G:G,1,0),"Balance")</f>
        <v>3410-007</v>
      </c>
      <c r="AC2109" s="118"/>
      <c r="AD2109" s="159">
        <f>+Table1[[#This Row],[SUBTOTAL]]+Table1[[#This Row],[IVA]]-Table1[[#This Row],[RET IVA]]-Table1[[#This Row],[RET ISR]]-Table1[[#This Row],[TOTAL]]</f>
        <v>89644.199999999983</v>
      </c>
      <c r="AE2109" s="152"/>
      <c r="AF2109" s="153"/>
      <c r="AG2109" s="126"/>
      <c r="AK2109" s="306" t="str">
        <f>IF(ISNUMBER(Table1[[#This Row],[FECHA DE RECIBIDO]]), Table1[[#This Row],[FECHA DE RECIBIDO]]-DATE(2023,8,30), "")</f>
        <v/>
      </c>
    </row>
    <row r="2110" spans="1:37" ht="16.95" customHeight="1">
      <c r="A2110" s="150" t="s">
        <v>3700</v>
      </c>
      <c r="B2110" s="151">
        <v>721</v>
      </c>
      <c r="C2110" s="126" t="s">
        <v>975</v>
      </c>
      <c r="D2110">
        <v>1448</v>
      </c>
      <c r="E2110" s="126" t="s">
        <v>1605</v>
      </c>
      <c r="F2110" s="122" t="s">
        <v>1607</v>
      </c>
      <c r="G2110" s="122" t="s">
        <v>134</v>
      </c>
      <c r="H2110">
        <v>84</v>
      </c>
      <c r="I2110" s="122" t="s">
        <v>1546</v>
      </c>
      <c r="J2110" s="307" t="s">
        <v>214</v>
      </c>
      <c r="K2110" s="127" t="s">
        <v>3797</v>
      </c>
      <c r="L2110" s="151" t="s">
        <v>3306</v>
      </c>
      <c r="M2110">
        <v>614</v>
      </c>
      <c r="N2110" s="123">
        <v>1</v>
      </c>
      <c r="O2110">
        <v>1435</v>
      </c>
      <c r="P2110" s="132" t="s">
        <v>77</v>
      </c>
      <c r="Q2110" s="131">
        <v>29133.14</v>
      </c>
      <c r="R2110" s="131">
        <v>4661.3</v>
      </c>
      <c r="S2110" s="131"/>
      <c r="T2110" s="155">
        <v>0</v>
      </c>
      <c r="U2110" s="131">
        <v>0</v>
      </c>
      <c r="V2110" s="131">
        <v>11264.82</v>
      </c>
      <c r="W2110">
        <v>56</v>
      </c>
      <c r="X2110" s="151" t="s">
        <v>1429</v>
      </c>
      <c r="Y2110" s="135" t="s">
        <v>55</v>
      </c>
      <c r="Z2110" s="307">
        <v>229</v>
      </c>
      <c r="AB2110" t="str">
        <f>IF(Table1[[#This Row],[TIPO2]]="costo", VLOOKUP(Table1[[#This Row],[PARTIDA PRESUPUESTAL]],'Cost Report'!G:G,1,0),"Balance")</f>
        <v>3410-008</v>
      </c>
      <c r="AC2110" s="118"/>
      <c r="AD2110" s="159">
        <f>+Table1[[#This Row],[SUBTOTAL]]+Table1[[#This Row],[IVA]]-Table1[[#This Row],[RET IVA]]-Table1[[#This Row],[RET ISR]]-Table1[[#This Row],[TOTAL]]</f>
        <v>22529.620000000003</v>
      </c>
      <c r="AE2110" s="150"/>
      <c r="AF2110" s="151"/>
      <c r="AG2110" s="126"/>
      <c r="AK2110" s="306" t="str">
        <f>IF(ISNUMBER(Table1[[#This Row],[FECHA DE RECIBIDO]]), Table1[[#This Row],[FECHA DE RECIBIDO]]-DATE(2023,8,30), "")</f>
        <v/>
      </c>
    </row>
    <row r="2111" spans="1:37" ht="16.95" customHeight="1">
      <c r="A2111" s="152" t="s">
        <v>3700</v>
      </c>
      <c r="B2111" s="153">
        <v>721</v>
      </c>
      <c r="C2111" s="126" t="s">
        <v>978</v>
      </c>
      <c r="D2111">
        <v>1448</v>
      </c>
      <c r="E2111" s="126" t="s">
        <v>1605</v>
      </c>
      <c r="F2111" s="125" t="s">
        <v>1607</v>
      </c>
      <c r="G2111" s="125" t="s">
        <v>134</v>
      </c>
      <c r="H2111">
        <v>84</v>
      </c>
      <c r="I2111" s="125" t="s">
        <v>1546</v>
      </c>
      <c r="J2111" s="308" t="s">
        <v>214</v>
      </c>
      <c r="K2111" s="127" t="s">
        <v>3797</v>
      </c>
      <c r="L2111" s="153" t="s">
        <v>3306</v>
      </c>
      <c r="M2111">
        <v>614</v>
      </c>
      <c r="N2111" s="123">
        <v>1</v>
      </c>
      <c r="O2111">
        <v>1435</v>
      </c>
      <c r="P2111" s="132" t="s">
        <v>77</v>
      </c>
      <c r="Q2111" s="132">
        <v>23589.59</v>
      </c>
      <c r="R2111" s="132">
        <v>3774.33</v>
      </c>
      <c r="S2111" s="132"/>
      <c r="T2111" s="156">
        <v>0</v>
      </c>
      <c r="U2111" s="132">
        <v>0</v>
      </c>
      <c r="V2111" s="132">
        <v>9121.31</v>
      </c>
      <c r="W2111">
        <v>56</v>
      </c>
      <c r="X2111" s="153" t="s">
        <v>1429</v>
      </c>
      <c r="Y2111" s="124" t="s">
        <v>55</v>
      </c>
      <c r="Z2111" s="308">
        <v>229</v>
      </c>
      <c r="AB2111" t="str">
        <f>IF(Table1[[#This Row],[TIPO2]]="costo", VLOOKUP(Table1[[#This Row],[PARTIDA PRESUPUESTAL]],'Cost Report'!G:G,1,0),"Balance")</f>
        <v>3410-013</v>
      </c>
      <c r="AC2111" s="118"/>
      <c r="AD2111" s="159">
        <f>+Table1[[#This Row],[SUBTOTAL]]+Table1[[#This Row],[IVA]]-Table1[[#This Row],[RET IVA]]-Table1[[#This Row],[RET ISR]]-Table1[[#This Row],[TOTAL]]</f>
        <v>18242.61</v>
      </c>
      <c r="AE2111" s="152"/>
      <c r="AF2111" s="153"/>
      <c r="AG2111" s="126"/>
      <c r="AK2111" s="306" t="str">
        <f>IF(ISNUMBER(Table1[[#This Row],[FECHA DE RECIBIDO]]), Table1[[#This Row],[FECHA DE RECIBIDO]]-DATE(2023,8,30), "")</f>
        <v/>
      </c>
    </row>
    <row r="2112" spans="1:37" ht="16.95" customHeight="1">
      <c r="A2112" s="150" t="s">
        <v>3700</v>
      </c>
      <c r="B2112" s="151">
        <v>721</v>
      </c>
      <c r="C2112" s="126" t="s">
        <v>980</v>
      </c>
      <c r="D2112">
        <v>1448</v>
      </c>
      <c r="E2112" s="126" t="s">
        <v>1605</v>
      </c>
      <c r="F2112" s="122" t="s">
        <v>1607</v>
      </c>
      <c r="G2112" s="122" t="s">
        <v>134</v>
      </c>
      <c r="H2112">
        <v>84</v>
      </c>
      <c r="I2112" s="122" t="s">
        <v>1546</v>
      </c>
      <c r="J2112" s="307" t="s">
        <v>214</v>
      </c>
      <c r="K2112" s="127" t="s">
        <v>3797</v>
      </c>
      <c r="L2112" s="151" t="s">
        <v>3306</v>
      </c>
      <c r="M2112">
        <v>614</v>
      </c>
      <c r="N2112" s="123">
        <v>1</v>
      </c>
      <c r="O2112">
        <v>1435</v>
      </c>
      <c r="P2112" s="132" t="s">
        <v>77</v>
      </c>
      <c r="Q2112" s="131">
        <v>163652.75</v>
      </c>
      <c r="R2112" s="131">
        <v>26184.44</v>
      </c>
      <c r="S2112" s="131"/>
      <c r="T2112" s="155">
        <v>0</v>
      </c>
      <c r="U2112" s="131">
        <v>0</v>
      </c>
      <c r="V2112" s="131">
        <v>63279.07</v>
      </c>
      <c r="W2112">
        <v>56</v>
      </c>
      <c r="X2112" s="151" t="s">
        <v>1429</v>
      </c>
      <c r="Y2112" s="135" t="s">
        <v>55</v>
      </c>
      <c r="Z2112" s="307">
        <v>229</v>
      </c>
      <c r="AB2112" t="str">
        <f>IF(Table1[[#This Row],[TIPO2]]="costo", VLOOKUP(Table1[[#This Row],[PARTIDA PRESUPUESTAL]],'Cost Report'!G:G,1,0),"Balance")</f>
        <v>3410-017</v>
      </c>
      <c r="AC2112" s="118"/>
      <c r="AD2112" s="159">
        <f>+Table1[[#This Row],[SUBTOTAL]]+Table1[[#This Row],[IVA]]-Table1[[#This Row],[RET IVA]]-Table1[[#This Row],[RET ISR]]-Table1[[#This Row],[TOTAL]]</f>
        <v>126558.12</v>
      </c>
      <c r="AE2112" s="150"/>
      <c r="AF2112" s="151"/>
      <c r="AG2112" s="126"/>
      <c r="AK2112" s="306" t="str">
        <f>IF(ISNUMBER(Table1[[#This Row],[FECHA DE RECIBIDO]]), Table1[[#This Row],[FECHA DE RECIBIDO]]-DATE(2023,8,30), "")</f>
        <v/>
      </c>
    </row>
    <row r="2113" spans="1:37" ht="16.95" customHeight="1">
      <c r="A2113" s="152" t="s">
        <v>3701</v>
      </c>
      <c r="B2113" s="153">
        <v>722</v>
      </c>
      <c r="C2113" s="126" t="s">
        <v>424</v>
      </c>
      <c r="D2113">
        <v>1449</v>
      </c>
      <c r="E2113" s="126" t="s">
        <v>3292</v>
      </c>
      <c r="F2113" s="125" t="s">
        <v>1607</v>
      </c>
      <c r="G2113" s="125" t="s">
        <v>134</v>
      </c>
      <c r="H2113">
        <v>251</v>
      </c>
      <c r="I2113" s="125" t="s">
        <v>1546</v>
      </c>
      <c r="J2113" s="308" t="s">
        <v>214</v>
      </c>
      <c r="K2113" s="127" t="s">
        <v>3797</v>
      </c>
      <c r="L2113" s="153" t="s">
        <v>3306</v>
      </c>
      <c r="M2113">
        <v>615</v>
      </c>
      <c r="N2113" s="123">
        <v>1</v>
      </c>
      <c r="O2113">
        <v>1436</v>
      </c>
      <c r="P2113" s="132" t="s">
        <v>77</v>
      </c>
      <c r="Q2113" s="132">
        <v>32091.59</v>
      </c>
      <c r="R2113" s="132">
        <v>5134.66</v>
      </c>
      <c r="S2113" s="132"/>
      <c r="T2113" s="156">
        <v>0</v>
      </c>
      <c r="U2113" s="132">
        <v>0</v>
      </c>
      <c r="V2113" s="132">
        <v>37226.25</v>
      </c>
      <c r="W2113">
        <v>150</v>
      </c>
      <c r="X2113" s="153" t="s">
        <v>2024</v>
      </c>
      <c r="Y2113" s="124" t="s">
        <v>55</v>
      </c>
      <c r="Z2113" s="308">
        <v>229</v>
      </c>
      <c r="AB2113" t="str">
        <f>IF(Table1[[#This Row],[TIPO2]]="costo", VLOOKUP(Table1[[#This Row],[PARTIDA PRESUPUESTAL]],'Cost Report'!G:G,1,0),"Balance")</f>
        <v>1642-003</v>
      </c>
      <c r="AC2113" s="118"/>
      <c r="AD2113" s="159">
        <f>+Table1[[#This Row],[SUBTOTAL]]+Table1[[#This Row],[IVA]]-Table1[[#This Row],[RET IVA]]-Table1[[#This Row],[RET ISR]]-Table1[[#This Row],[TOTAL]]</f>
        <v>0</v>
      </c>
      <c r="AE2113" s="152"/>
      <c r="AF2113" s="153"/>
      <c r="AG2113" s="126"/>
      <c r="AK2113" s="306" t="str">
        <f>IF(ISNUMBER(Table1[[#This Row],[FECHA DE RECIBIDO]]), Table1[[#This Row],[FECHA DE RECIBIDO]]-DATE(2023,8,30), "")</f>
        <v/>
      </c>
    </row>
    <row r="2114" spans="1:37" ht="16.95" customHeight="1">
      <c r="A2114" s="150" t="s">
        <v>3701</v>
      </c>
      <c r="B2114" s="151">
        <v>722</v>
      </c>
      <c r="C2114" s="126" t="s">
        <v>2988</v>
      </c>
      <c r="D2114">
        <v>1449</v>
      </c>
      <c r="E2114" s="126" t="s">
        <v>3292</v>
      </c>
      <c r="F2114" s="122" t="s">
        <v>1607</v>
      </c>
      <c r="G2114" s="122" t="s">
        <v>134</v>
      </c>
      <c r="H2114">
        <v>251</v>
      </c>
      <c r="I2114" s="122" t="s">
        <v>1546</v>
      </c>
      <c r="J2114" s="307" t="s">
        <v>214</v>
      </c>
      <c r="K2114" s="127" t="s">
        <v>3797</v>
      </c>
      <c r="L2114" s="151" t="s">
        <v>3306</v>
      </c>
      <c r="M2114">
        <v>615</v>
      </c>
      <c r="N2114" s="123">
        <v>1</v>
      </c>
      <c r="O2114">
        <v>1436</v>
      </c>
      <c r="P2114" s="132" t="s">
        <v>77</v>
      </c>
      <c r="Q2114" s="131">
        <v>1500</v>
      </c>
      <c r="R2114" s="131"/>
      <c r="S2114" s="131"/>
      <c r="T2114" s="155"/>
      <c r="U2114" s="131"/>
      <c r="V2114" s="131">
        <v>1500</v>
      </c>
      <c r="W2114">
        <v>150</v>
      </c>
      <c r="X2114" s="151" t="s">
        <v>2024</v>
      </c>
      <c r="Y2114" s="135" t="s">
        <v>55</v>
      </c>
      <c r="Z2114" s="307">
        <v>229</v>
      </c>
      <c r="AB2114" t="str">
        <f>IF(Table1[[#This Row],[TIPO2]]="costo", VLOOKUP(Table1[[#This Row],[PARTIDA PRESUPUESTAL]],'Cost Report'!G:G,1,0),"Balance")</f>
        <v>3903-052</v>
      </c>
      <c r="AC2114" s="118"/>
      <c r="AD2114" s="159">
        <f>+Table1[[#This Row],[SUBTOTAL]]+Table1[[#This Row],[IVA]]-Table1[[#This Row],[RET IVA]]-Table1[[#This Row],[RET ISR]]-Table1[[#This Row],[TOTAL]]</f>
        <v>0</v>
      </c>
      <c r="AE2114" s="150"/>
      <c r="AF2114" s="151"/>
      <c r="AG2114" s="126"/>
      <c r="AK2114" s="306" t="str">
        <f>IF(ISNUMBER(Table1[[#This Row],[FECHA DE RECIBIDO]]), Table1[[#This Row],[FECHA DE RECIBIDO]]-DATE(2023,8,30), "")</f>
        <v/>
      </c>
    </row>
    <row r="2115" spans="1:37" ht="16.95" customHeight="1">
      <c r="A2115" s="152" t="s">
        <v>3702</v>
      </c>
      <c r="B2115" s="153">
        <v>723</v>
      </c>
      <c r="C2115" s="126" t="s">
        <v>2575</v>
      </c>
      <c r="D2115">
        <v>1450</v>
      </c>
      <c r="E2115" s="126" t="s">
        <v>3636</v>
      </c>
      <c r="F2115" s="125" t="s">
        <v>1607</v>
      </c>
      <c r="G2115" s="125" t="s">
        <v>134</v>
      </c>
      <c r="H2115">
        <v>443</v>
      </c>
      <c r="I2115" s="125" t="s">
        <v>1546</v>
      </c>
      <c r="J2115" s="308" t="s">
        <v>214</v>
      </c>
      <c r="K2115" s="127">
        <v>3</v>
      </c>
      <c r="L2115" s="153" t="s">
        <v>3306</v>
      </c>
      <c r="M2115">
        <v>612</v>
      </c>
      <c r="N2115" s="123">
        <v>1</v>
      </c>
      <c r="O2115">
        <v>1437</v>
      </c>
      <c r="P2115" s="132" t="s">
        <v>77</v>
      </c>
      <c r="Q2115" s="132">
        <v>35184.31</v>
      </c>
      <c r="R2115" s="132">
        <v>5629.4895999999999</v>
      </c>
      <c r="S2115" s="132"/>
      <c r="T2115" s="156">
        <v>0</v>
      </c>
      <c r="U2115" s="132">
        <v>0</v>
      </c>
      <c r="V2115" s="132">
        <v>40813.799599999998</v>
      </c>
      <c r="W2115">
        <v>230</v>
      </c>
      <c r="X2115" s="153" t="s">
        <v>3796</v>
      </c>
      <c r="Y2115" s="124" t="s">
        <v>55</v>
      </c>
      <c r="Z2115" s="308">
        <v>229</v>
      </c>
      <c r="AB2115" t="str">
        <f>IF(Table1[[#This Row],[TIPO2]]="costo", VLOOKUP(Table1[[#This Row],[PARTIDA PRESUPUESTAL]],'Cost Report'!G:G,1,0),"Balance")</f>
        <v>2621-004</v>
      </c>
      <c r="AC2115" s="118"/>
      <c r="AD2115" s="159">
        <f>+Table1[[#This Row],[SUBTOTAL]]+Table1[[#This Row],[IVA]]-Table1[[#This Row],[RET IVA]]-Table1[[#This Row],[RET ISR]]-Table1[[#This Row],[TOTAL]]</f>
        <v>0</v>
      </c>
      <c r="AE2115" s="152"/>
      <c r="AF2115" s="153"/>
      <c r="AG2115" s="126"/>
      <c r="AK2115" s="306" t="str">
        <f>IF(ISNUMBER(Table1[[#This Row],[FECHA DE RECIBIDO]]), Table1[[#This Row],[FECHA DE RECIBIDO]]-DATE(2023,8,30), "")</f>
        <v/>
      </c>
    </row>
    <row r="2116" spans="1:37" ht="16.95" customHeight="1">
      <c r="A2116" s="150"/>
      <c r="B2116" s="151"/>
      <c r="C2116" s="126" t="s">
        <v>1520</v>
      </c>
      <c r="D2116">
        <v>1450</v>
      </c>
      <c r="E2116" s="126" t="s">
        <v>3636</v>
      </c>
      <c r="F2116" s="122" t="s">
        <v>1607</v>
      </c>
      <c r="G2116" s="122" t="s">
        <v>134</v>
      </c>
      <c r="H2116">
        <v>443</v>
      </c>
      <c r="I2116" s="122" t="s">
        <v>1546</v>
      </c>
      <c r="J2116" s="307" t="s">
        <v>214</v>
      </c>
      <c r="K2116" s="127">
        <v>3</v>
      </c>
      <c r="L2116" s="151" t="s">
        <v>3306</v>
      </c>
      <c r="M2116">
        <v>612</v>
      </c>
      <c r="N2116" s="123">
        <v>1</v>
      </c>
      <c r="O2116">
        <v>1437</v>
      </c>
      <c r="P2116" s="132" t="s">
        <v>77</v>
      </c>
      <c r="Q2116" s="131">
        <v>30706.31</v>
      </c>
      <c r="R2116" s="131">
        <v>4913.0096000000003</v>
      </c>
      <c r="S2116" s="131"/>
      <c r="T2116" s="155">
        <v>0</v>
      </c>
      <c r="U2116" s="131">
        <v>0</v>
      </c>
      <c r="V2116" s="131">
        <v>35619.319600000003</v>
      </c>
      <c r="W2116">
        <v>230</v>
      </c>
      <c r="X2116" s="151" t="s">
        <v>3796</v>
      </c>
      <c r="Y2116" s="135" t="s">
        <v>55</v>
      </c>
      <c r="Z2116" s="307">
        <v>229</v>
      </c>
      <c r="AB2116" t="str">
        <f>IF(Table1[[#This Row],[TIPO2]]="costo", VLOOKUP(Table1[[#This Row],[PARTIDA PRESUPUESTAL]],'Cost Report'!G:G,1,0),"Balance")</f>
        <v>2623-003</v>
      </c>
      <c r="AC2116" s="118"/>
      <c r="AD2116" s="159">
        <f>+Table1[[#This Row],[SUBTOTAL]]+Table1[[#This Row],[IVA]]-Table1[[#This Row],[RET IVA]]-Table1[[#This Row],[RET ISR]]-Table1[[#This Row],[TOTAL]]</f>
        <v>0</v>
      </c>
      <c r="AE2116" s="150"/>
      <c r="AF2116" s="151"/>
      <c r="AG2116" s="126"/>
      <c r="AK2116" s="306" t="str">
        <f>IF(ISNUMBER(Table1[[#This Row],[FECHA DE RECIBIDO]]), Table1[[#This Row],[FECHA DE RECIBIDO]]-DATE(2023,8,30), "")</f>
        <v/>
      </c>
    </row>
    <row r="2117" spans="1:37" ht="16.95" customHeight="1">
      <c r="A2117" s="152"/>
      <c r="B2117" s="153"/>
      <c r="C2117" s="126" t="s">
        <v>1521</v>
      </c>
      <c r="D2117">
        <v>1450</v>
      </c>
      <c r="E2117" s="126" t="s">
        <v>3636</v>
      </c>
      <c r="F2117" s="125" t="s">
        <v>1607</v>
      </c>
      <c r="G2117" s="125" t="s">
        <v>134</v>
      </c>
      <c r="H2117">
        <v>443</v>
      </c>
      <c r="I2117" s="125" t="s">
        <v>1546</v>
      </c>
      <c r="J2117" s="308" t="s">
        <v>214</v>
      </c>
      <c r="K2117" s="127">
        <v>3</v>
      </c>
      <c r="L2117" s="153" t="s">
        <v>3306</v>
      </c>
      <c r="M2117">
        <v>612</v>
      </c>
      <c r="N2117" s="123">
        <v>1</v>
      </c>
      <c r="O2117">
        <v>1437</v>
      </c>
      <c r="P2117" s="132" t="s">
        <v>77</v>
      </c>
      <c r="Q2117" s="132">
        <v>30706.31</v>
      </c>
      <c r="R2117" s="132">
        <v>4913.0096000000003</v>
      </c>
      <c r="S2117" s="132"/>
      <c r="T2117" s="156">
        <v>0</v>
      </c>
      <c r="U2117" s="132">
        <v>0</v>
      </c>
      <c r="V2117" s="132">
        <v>35619.319600000003</v>
      </c>
      <c r="W2117">
        <v>230</v>
      </c>
      <c r="X2117" s="153" t="s">
        <v>3796</v>
      </c>
      <c r="Y2117" s="124" t="s">
        <v>55</v>
      </c>
      <c r="Z2117" s="308">
        <v>229</v>
      </c>
      <c r="AB2117" t="str">
        <f>IF(Table1[[#This Row],[TIPO2]]="costo", VLOOKUP(Table1[[#This Row],[PARTIDA PRESUPUESTAL]],'Cost Report'!G:G,1,0),"Balance")</f>
        <v>2623-004</v>
      </c>
      <c r="AC2117" s="118"/>
      <c r="AD2117" s="159">
        <f>+Table1[[#This Row],[SUBTOTAL]]+Table1[[#This Row],[IVA]]-Table1[[#This Row],[RET IVA]]-Table1[[#This Row],[RET ISR]]-Table1[[#This Row],[TOTAL]]</f>
        <v>0</v>
      </c>
      <c r="AE2117" s="152"/>
      <c r="AF2117" s="153"/>
      <c r="AG2117" s="126"/>
      <c r="AK2117" s="306" t="str">
        <f>IF(ISNUMBER(Table1[[#This Row],[FECHA DE RECIBIDO]]), Table1[[#This Row],[FECHA DE RECIBIDO]]-DATE(2023,8,30), "")</f>
        <v/>
      </c>
    </row>
    <row r="2118" spans="1:37" ht="16.95" customHeight="1">
      <c r="A2118" s="150"/>
      <c r="B2118" s="151"/>
      <c r="C2118" s="126" t="s">
        <v>1522</v>
      </c>
      <c r="D2118">
        <v>1450</v>
      </c>
      <c r="E2118" s="126" t="s">
        <v>3636</v>
      </c>
      <c r="F2118" s="122" t="s">
        <v>1607</v>
      </c>
      <c r="G2118" s="122" t="s">
        <v>134</v>
      </c>
      <c r="H2118">
        <v>443</v>
      </c>
      <c r="I2118" s="122" t="s">
        <v>1546</v>
      </c>
      <c r="J2118" s="307" t="s">
        <v>214</v>
      </c>
      <c r="K2118" s="127">
        <v>3</v>
      </c>
      <c r="L2118" s="151" t="s">
        <v>3306</v>
      </c>
      <c r="M2118">
        <v>612</v>
      </c>
      <c r="N2118" s="123">
        <v>1</v>
      </c>
      <c r="O2118">
        <v>1437</v>
      </c>
      <c r="P2118" s="132" t="s">
        <v>77</v>
      </c>
      <c r="Q2118" s="131">
        <v>40941.74</v>
      </c>
      <c r="R2118" s="131">
        <v>6550.6783999999998</v>
      </c>
      <c r="S2118" s="131"/>
      <c r="T2118" s="155">
        <v>0</v>
      </c>
      <c r="U2118" s="131">
        <v>0</v>
      </c>
      <c r="V2118" s="131">
        <v>47492.418399999995</v>
      </c>
      <c r="W2118">
        <v>230</v>
      </c>
      <c r="X2118" s="151" t="s">
        <v>3796</v>
      </c>
      <c r="Y2118" s="135" t="s">
        <v>55</v>
      </c>
      <c r="Z2118" s="307">
        <v>229</v>
      </c>
      <c r="AB2118" t="str">
        <f>IF(Table1[[#This Row],[TIPO2]]="costo", VLOOKUP(Table1[[#This Row],[PARTIDA PRESUPUESTAL]],'Cost Report'!G:G,1,0),"Balance")</f>
        <v>2623-005</v>
      </c>
      <c r="AC2118" s="118"/>
      <c r="AD2118" s="159">
        <f>+Table1[[#This Row],[SUBTOTAL]]+Table1[[#This Row],[IVA]]-Table1[[#This Row],[RET IVA]]-Table1[[#This Row],[RET ISR]]-Table1[[#This Row],[TOTAL]]</f>
        <v>0</v>
      </c>
      <c r="AE2118" s="150"/>
      <c r="AF2118" s="151"/>
      <c r="AG2118" s="126"/>
      <c r="AK2118" s="306" t="str">
        <f>IF(ISNUMBER(Table1[[#This Row],[FECHA DE RECIBIDO]]), Table1[[#This Row],[FECHA DE RECIBIDO]]-DATE(2023,8,30), "")</f>
        <v/>
      </c>
    </row>
    <row r="2119" spans="1:37" ht="16.95" customHeight="1">
      <c r="A2119" s="152"/>
      <c r="B2119" s="153"/>
      <c r="C2119" s="126" t="s">
        <v>1752</v>
      </c>
      <c r="D2119">
        <v>1450</v>
      </c>
      <c r="E2119" s="126" t="s">
        <v>3636</v>
      </c>
      <c r="F2119" s="125" t="s">
        <v>1607</v>
      </c>
      <c r="G2119" s="125" t="s">
        <v>134</v>
      </c>
      <c r="H2119">
        <v>443</v>
      </c>
      <c r="I2119" s="125" t="s">
        <v>1546</v>
      </c>
      <c r="J2119" s="308" t="s">
        <v>214</v>
      </c>
      <c r="K2119" s="127">
        <v>3</v>
      </c>
      <c r="L2119" s="153" t="s">
        <v>3306</v>
      </c>
      <c r="M2119">
        <v>612</v>
      </c>
      <c r="N2119" s="123">
        <v>1</v>
      </c>
      <c r="O2119">
        <v>1437</v>
      </c>
      <c r="P2119" s="132" t="s">
        <v>77</v>
      </c>
      <c r="Q2119" s="132">
        <v>36143.870000000003</v>
      </c>
      <c r="R2119" s="132">
        <v>5783.0192000000006</v>
      </c>
      <c r="S2119" s="132"/>
      <c r="T2119" s="156">
        <v>0</v>
      </c>
      <c r="U2119" s="132">
        <v>0</v>
      </c>
      <c r="V2119" s="132">
        <v>41926.889200000005</v>
      </c>
      <c r="W2119">
        <v>230</v>
      </c>
      <c r="X2119" s="153" t="s">
        <v>3796</v>
      </c>
      <c r="Y2119" s="124" t="s">
        <v>55</v>
      </c>
      <c r="Z2119" s="308">
        <v>229</v>
      </c>
      <c r="AB2119" t="str">
        <f>IF(Table1[[#This Row],[TIPO2]]="costo", VLOOKUP(Table1[[#This Row],[PARTIDA PRESUPUESTAL]],'Cost Report'!G:G,1,0),"Balance")</f>
        <v>2623-006</v>
      </c>
      <c r="AC2119" s="118"/>
      <c r="AD2119" s="159">
        <f>+Table1[[#This Row],[SUBTOTAL]]+Table1[[#This Row],[IVA]]-Table1[[#This Row],[RET IVA]]-Table1[[#This Row],[RET ISR]]-Table1[[#This Row],[TOTAL]]</f>
        <v>0</v>
      </c>
      <c r="AE2119" s="152"/>
      <c r="AF2119" s="153"/>
      <c r="AG2119" s="126"/>
      <c r="AK2119" s="306" t="str">
        <f>IF(ISNUMBER(Table1[[#This Row],[FECHA DE RECIBIDO]]), Table1[[#This Row],[FECHA DE RECIBIDO]]-DATE(2023,8,30), "")</f>
        <v/>
      </c>
    </row>
    <row r="2120" spans="1:37" ht="16.95" customHeight="1">
      <c r="A2120" s="150"/>
      <c r="B2120" s="151"/>
      <c r="C2120" s="126" t="s">
        <v>1753</v>
      </c>
      <c r="D2120">
        <v>1450</v>
      </c>
      <c r="E2120" s="126" t="s">
        <v>3636</v>
      </c>
      <c r="F2120" s="122" t="s">
        <v>1607</v>
      </c>
      <c r="G2120" s="122" t="s">
        <v>134</v>
      </c>
      <c r="H2120">
        <v>443</v>
      </c>
      <c r="I2120" s="122" t="s">
        <v>1546</v>
      </c>
      <c r="J2120" s="307" t="s">
        <v>214</v>
      </c>
      <c r="K2120" s="127">
        <v>3</v>
      </c>
      <c r="L2120" s="151" t="s">
        <v>3306</v>
      </c>
      <c r="M2120">
        <v>612</v>
      </c>
      <c r="N2120" s="123">
        <v>1</v>
      </c>
      <c r="O2120">
        <v>1437</v>
      </c>
      <c r="P2120" s="132" t="s">
        <v>77</v>
      </c>
      <c r="Q2120" s="131">
        <v>9062.6200000000008</v>
      </c>
      <c r="R2120" s="131">
        <v>1450.0192000000002</v>
      </c>
      <c r="S2120" s="131"/>
      <c r="T2120" s="155">
        <v>0</v>
      </c>
      <c r="U2120" s="131">
        <v>0</v>
      </c>
      <c r="V2120" s="131">
        <v>10512.639200000001</v>
      </c>
      <c r="W2120">
        <v>230</v>
      </c>
      <c r="X2120" s="151" t="s">
        <v>3796</v>
      </c>
      <c r="Y2120" s="135" t="s">
        <v>55</v>
      </c>
      <c r="Z2120" s="307">
        <v>229</v>
      </c>
      <c r="AB2120" t="str">
        <f>IF(Table1[[#This Row],[TIPO2]]="costo", VLOOKUP(Table1[[#This Row],[PARTIDA PRESUPUESTAL]],'Cost Report'!G:G,1,0),"Balance")</f>
        <v>2623-007</v>
      </c>
      <c r="AC2120" s="118"/>
      <c r="AD2120" s="159">
        <f>+Table1[[#This Row],[SUBTOTAL]]+Table1[[#This Row],[IVA]]-Table1[[#This Row],[RET IVA]]-Table1[[#This Row],[RET ISR]]-Table1[[#This Row],[TOTAL]]</f>
        <v>0</v>
      </c>
      <c r="AE2120" s="150"/>
      <c r="AF2120" s="151"/>
      <c r="AG2120" s="126"/>
      <c r="AK2120" s="306" t="str">
        <f>IF(ISNUMBER(Table1[[#This Row],[FECHA DE RECIBIDO]]), Table1[[#This Row],[FECHA DE RECIBIDO]]-DATE(2023,8,30), "")</f>
        <v/>
      </c>
    </row>
    <row r="2121" spans="1:37" ht="16.95" customHeight="1">
      <c r="A2121" s="152"/>
      <c r="B2121" s="153"/>
      <c r="C2121" s="126" t="s">
        <v>1754</v>
      </c>
      <c r="D2121">
        <v>1450</v>
      </c>
      <c r="E2121" s="126" t="s">
        <v>3636</v>
      </c>
      <c r="F2121" s="125" t="s">
        <v>1607</v>
      </c>
      <c r="G2121" s="125" t="s">
        <v>134</v>
      </c>
      <c r="H2121">
        <v>443</v>
      </c>
      <c r="I2121" s="125" t="s">
        <v>1546</v>
      </c>
      <c r="J2121" s="308" t="s">
        <v>214</v>
      </c>
      <c r="K2121" s="127">
        <v>3</v>
      </c>
      <c r="L2121" s="153" t="s">
        <v>3306</v>
      </c>
      <c r="M2121">
        <v>612</v>
      </c>
      <c r="N2121" s="123">
        <v>1</v>
      </c>
      <c r="O2121">
        <v>1437</v>
      </c>
      <c r="P2121" s="132" t="s">
        <v>77</v>
      </c>
      <c r="Q2121" s="132">
        <v>9595.7099999999991</v>
      </c>
      <c r="R2121" s="132">
        <v>1535.3136</v>
      </c>
      <c r="S2121" s="132"/>
      <c r="T2121" s="156">
        <v>0</v>
      </c>
      <c r="U2121" s="132">
        <v>0</v>
      </c>
      <c r="V2121" s="132">
        <v>11131.023599999999</v>
      </c>
      <c r="W2121">
        <v>230</v>
      </c>
      <c r="X2121" s="153" t="s">
        <v>3796</v>
      </c>
      <c r="Y2121" s="124" t="s">
        <v>55</v>
      </c>
      <c r="Z2121" s="308">
        <v>229</v>
      </c>
      <c r="AB2121" t="str">
        <f>IF(Table1[[#This Row],[TIPO2]]="costo", VLOOKUP(Table1[[#This Row],[PARTIDA PRESUPUESTAL]],'Cost Report'!G:G,1,0),"Balance")</f>
        <v>2623-008</v>
      </c>
      <c r="AC2121" s="118"/>
      <c r="AD2121" s="159">
        <f>+Table1[[#This Row],[SUBTOTAL]]+Table1[[#This Row],[IVA]]-Table1[[#This Row],[RET IVA]]-Table1[[#This Row],[RET ISR]]-Table1[[#This Row],[TOTAL]]</f>
        <v>0</v>
      </c>
      <c r="AE2121" s="152"/>
      <c r="AF2121" s="153"/>
      <c r="AG2121" s="126"/>
      <c r="AK2121" s="306" t="str">
        <f>IF(ISNUMBER(Table1[[#This Row],[FECHA DE RECIBIDO]]), Table1[[#This Row],[FECHA DE RECIBIDO]]-DATE(2023,8,30), "")</f>
        <v/>
      </c>
    </row>
    <row r="2122" spans="1:37" ht="16.95" customHeight="1">
      <c r="A2122" s="150"/>
      <c r="B2122" s="151"/>
      <c r="C2122" s="126" t="s">
        <v>1757</v>
      </c>
      <c r="D2122">
        <v>1450</v>
      </c>
      <c r="E2122" s="126" t="s">
        <v>3636</v>
      </c>
      <c r="F2122" s="122" t="s">
        <v>1607</v>
      </c>
      <c r="G2122" s="122" t="s">
        <v>134</v>
      </c>
      <c r="H2122">
        <v>443</v>
      </c>
      <c r="I2122" s="122" t="s">
        <v>1546</v>
      </c>
      <c r="J2122" s="307" t="s">
        <v>214</v>
      </c>
      <c r="K2122" s="127">
        <v>3</v>
      </c>
      <c r="L2122" s="151" t="s">
        <v>3306</v>
      </c>
      <c r="M2122">
        <v>612</v>
      </c>
      <c r="N2122" s="123">
        <v>1</v>
      </c>
      <c r="O2122">
        <v>1437</v>
      </c>
      <c r="P2122" s="132" t="s">
        <v>77</v>
      </c>
      <c r="Q2122" s="131">
        <v>3241.22</v>
      </c>
      <c r="R2122" s="131">
        <v>518.59519999999998</v>
      </c>
      <c r="S2122" s="131"/>
      <c r="T2122" s="155">
        <v>0</v>
      </c>
      <c r="U2122" s="131">
        <v>0</v>
      </c>
      <c r="V2122" s="131">
        <v>3759.8152</v>
      </c>
      <c r="W2122">
        <v>230</v>
      </c>
      <c r="X2122" s="151" t="s">
        <v>3796</v>
      </c>
      <c r="Y2122" s="135" t="s">
        <v>55</v>
      </c>
      <c r="Z2122" s="307">
        <v>229</v>
      </c>
      <c r="AB2122" t="str">
        <f>IF(Table1[[#This Row],[TIPO2]]="costo", VLOOKUP(Table1[[#This Row],[PARTIDA PRESUPUESTAL]],'Cost Report'!G:G,1,0),"Balance")</f>
        <v>2623-013</v>
      </c>
      <c r="AC2122" s="118"/>
      <c r="AD2122" s="159">
        <f>+Table1[[#This Row],[SUBTOTAL]]+Table1[[#This Row],[IVA]]-Table1[[#This Row],[RET IVA]]-Table1[[#This Row],[RET ISR]]-Table1[[#This Row],[TOTAL]]</f>
        <v>0</v>
      </c>
      <c r="AE2122" s="150"/>
      <c r="AF2122" s="151"/>
      <c r="AG2122" s="126"/>
      <c r="AK2122" s="306" t="str">
        <f>IF(ISNUMBER(Table1[[#This Row],[FECHA DE RECIBIDO]]), Table1[[#This Row],[FECHA DE RECIBIDO]]-DATE(2023,8,30), "")</f>
        <v/>
      </c>
    </row>
    <row r="2123" spans="1:37" ht="16.95" customHeight="1">
      <c r="A2123" s="152"/>
      <c r="B2123" s="153"/>
      <c r="C2123" s="126" t="s">
        <v>2578</v>
      </c>
      <c r="D2123">
        <v>1450</v>
      </c>
      <c r="E2123" s="126" t="s">
        <v>3636</v>
      </c>
      <c r="F2123" s="125" t="s">
        <v>1607</v>
      </c>
      <c r="G2123" s="125" t="s">
        <v>134</v>
      </c>
      <c r="H2123">
        <v>443</v>
      </c>
      <c r="I2123" s="125" t="s">
        <v>1546</v>
      </c>
      <c r="J2123" s="308" t="s">
        <v>214</v>
      </c>
      <c r="K2123" s="127">
        <v>3</v>
      </c>
      <c r="L2123" s="153" t="s">
        <v>3306</v>
      </c>
      <c r="M2123">
        <v>612</v>
      </c>
      <c r="N2123" s="123">
        <v>1</v>
      </c>
      <c r="O2123">
        <v>1437</v>
      </c>
      <c r="P2123" s="132" t="s">
        <v>77</v>
      </c>
      <c r="Q2123" s="132">
        <v>16206.1</v>
      </c>
      <c r="R2123" s="132">
        <v>2592.9760000000001</v>
      </c>
      <c r="S2123" s="132"/>
      <c r="T2123" s="156">
        <v>0</v>
      </c>
      <c r="U2123" s="132">
        <v>0</v>
      </c>
      <c r="V2123" s="132">
        <v>18799.076000000001</v>
      </c>
      <c r="W2123">
        <v>230</v>
      </c>
      <c r="X2123" s="153" t="s">
        <v>3796</v>
      </c>
      <c r="Y2123" s="124" t="s">
        <v>55</v>
      </c>
      <c r="Z2123" s="308">
        <v>229</v>
      </c>
      <c r="AB2123" t="str">
        <f>IF(Table1[[#This Row],[TIPO2]]="costo", VLOOKUP(Table1[[#This Row],[PARTIDA PRESUPUESTAL]],'Cost Report'!G:G,1,0),"Balance")</f>
        <v>2623-018</v>
      </c>
      <c r="AC2123" s="118"/>
      <c r="AD2123" s="159">
        <f>+Table1[[#This Row],[SUBTOTAL]]+Table1[[#This Row],[IVA]]-Table1[[#This Row],[RET IVA]]-Table1[[#This Row],[RET ISR]]-Table1[[#This Row],[TOTAL]]</f>
        <v>0</v>
      </c>
      <c r="AE2123" s="152"/>
      <c r="AF2123" s="153"/>
      <c r="AG2123" s="126"/>
      <c r="AK2123" s="306" t="str">
        <f>IF(ISNUMBER(Table1[[#This Row],[FECHA DE RECIBIDO]]), Table1[[#This Row],[FECHA DE RECIBIDO]]-DATE(2023,8,30), "")</f>
        <v/>
      </c>
    </row>
    <row r="2124" spans="1:37" ht="16.95" customHeight="1">
      <c r="A2124" s="150"/>
      <c r="B2124" s="151"/>
      <c r="C2124" s="126" t="s">
        <v>2579</v>
      </c>
      <c r="D2124">
        <v>1450</v>
      </c>
      <c r="E2124" s="126" t="s">
        <v>3636</v>
      </c>
      <c r="F2124" s="122" t="s">
        <v>1607</v>
      </c>
      <c r="G2124" s="122" t="s">
        <v>134</v>
      </c>
      <c r="H2124">
        <v>443</v>
      </c>
      <c r="I2124" s="122" t="s">
        <v>1546</v>
      </c>
      <c r="J2124" s="307" t="s">
        <v>214</v>
      </c>
      <c r="K2124" s="127">
        <v>3</v>
      </c>
      <c r="L2124" s="151" t="s">
        <v>3306</v>
      </c>
      <c r="M2124">
        <v>612</v>
      </c>
      <c r="N2124" s="123">
        <v>1</v>
      </c>
      <c r="O2124">
        <v>1437</v>
      </c>
      <c r="P2124" s="132" t="s">
        <v>77</v>
      </c>
      <c r="Q2124" s="131">
        <v>3411.81</v>
      </c>
      <c r="R2124" s="131">
        <v>545.88959999999997</v>
      </c>
      <c r="S2124" s="131"/>
      <c r="T2124" s="155">
        <v>0</v>
      </c>
      <c r="U2124" s="131">
        <v>0</v>
      </c>
      <c r="V2124" s="131">
        <v>3957.6995999999999</v>
      </c>
      <c r="W2124">
        <v>230</v>
      </c>
      <c r="X2124" s="151" t="s">
        <v>3796</v>
      </c>
      <c r="Y2124" s="135" t="s">
        <v>55</v>
      </c>
      <c r="Z2124" s="307">
        <v>229</v>
      </c>
      <c r="AB2124" t="str">
        <f>IF(Table1[[#This Row],[TIPO2]]="costo", VLOOKUP(Table1[[#This Row],[PARTIDA PRESUPUESTAL]],'Cost Report'!G:G,1,0),"Balance")</f>
        <v>2623-019</v>
      </c>
      <c r="AC2124" s="118"/>
      <c r="AD2124" s="159">
        <f>+Table1[[#This Row],[SUBTOTAL]]+Table1[[#This Row],[IVA]]-Table1[[#This Row],[RET IVA]]-Table1[[#This Row],[RET ISR]]-Table1[[#This Row],[TOTAL]]</f>
        <v>0</v>
      </c>
      <c r="AE2124" s="150"/>
      <c r="AF2124" s="151"/>
      <c r="AG2124" s="126"/>
      <c r="AK2124" s="306" t="str">
        <f>IF(ISNUMBER(Table1[[#This Row],[FECHA DE RECIBIDO]]), Table1[[#This Row],[FECHA DE RECIBIDO]]-DATE(2023,8,30), "")</f>
        <v/>
      </c>
    </row>
    <row r="2125" spans="1:37" ht="16.95" customHeight="1">
      <c r="A2125" s="152" t="s">
        <v>3703</v>
      </c>
      <c r="B2125" s="153">
        <v>724</v>
      </c>
      <c r="C2125" s="126" t="s">
        <v>2575</v>
      </c>
      <c r="D2125">
        <v>1451</v>
      </c>
      <c r="E2125" s="126" t="s">
        <v>3636</v>
      </c>
      <c r="F2125" s="125" t="s">
        <v>1607</v>
      </c>
      <c r="G2125" s="125" t="s">
        <v>134</v>
      </c>
      <c r="H2125">
        <v>443</v>
      </c>
      <c r="I2125" s="125" t="s">
        <v>1546</v>
      </c>
      <c r="J2125" s="308" t="s">
        <v>214</v>
      </c>
      <c r="K2125" s="127">
        <v>3</v>
      </c>
      <c r="L2125" s="153" t="s">
        <v>3306</v>
      </c>
      <c r="M2125">
        <v>612</v>
      </c>
      <c r="N2125" s="123">
        <v>1</v>
      </c>
      <c r="O2125">
        <v>1438</v>
      </c>
      <c r="P2125" s="132" t="s">
        <v>77</v>
      </c>
      <c r="Q2125" s="132">
        <v>14793.1</v>
      </c>
      <c r="R2125" s="132">
        <v>2366.8960000000002</v>
      </c>
      <c r="S2125" s="132"/>
      <c r="T2125" s="156">
        <v>0</v>
      </c>
      <c r="U2125" s="132">
        <v>0</v>
      </c>
      <c r="V2125" s="132">
        <v>17159.995999999999</v>
      </c>
      <c r="W2125">
        <v>230</v>
      </c>
      <c r="X2125" s="153" t="s">
        <v>3796</v>
      </c>
      <c r="Y2125" s="124" t="s">
        <v>55</v>
      </c>
      <c r="Z2125" s="308">
        <v>229</v>
      </c>
      <c r="AB2125" t="str">
        <f>IF(Table1[[#This Row],[TIPO2]]="costo", VLOOKUP(Table1[[#This Row],[PARTIDA PRESUPUESTAL]],'Cost Report'!G:G,1,0),"Balance")</f>
        <v>2621-004</v>
      </c>
      <c r="AC2125" s="118"/>
      <c r="AD2125" s="159">
        <f>+Table1[[#This Row],[SUBTOTAL]]+Table1[[#This Row],[IVA]]-Table1[[#This Row],[RET IVA]]-Table1[[#This Row],[RET ISR]]-Table1[[#This Row],[TOTAL]]</f>
        <v>0</v>
      </c>
      <c r="AE2125" s="152"/>
      <c r="AF2125" s="153"/>
      <c r="AG2125" s="126"/>
      <c r="AK2125" s="306" t="str">
        <f>IF(ISNUMBER(Table1[[#This Row],[FECHA DE RECIBIDO]]), Table1[[#This Row],[FECHA DE RECIBIDO]]-DATE(2023,8,30), "")</f>
        <v/>
      </c>
    </row>
    <row r="2126" spans="1:37" ht="16.95" customHeight="1">
      <c r="A2126" s="150"/>
      <c r="B2126" s="151"/>
      <c r="C2126" s="126" t="s">
        <v>1520</v>
      </c>
      <c r="D2126">
        <v>1451</v>
      </c>
      <c r="E2126" s="126" t="s">
        <v>3636</v>
      </c>
      <c r="F2126" s="122" t="s">
        <v>1607</v>
      </c>
      <c r="G2126" s="122" t="s">
        <v>134</v>
      </c>
      <c r="H2126">
        <v>443</v>
      </c>
      <c r="I2126" s="122" t="s">
        <v>1546</v>
      </c>
      <c r="J2126" s="307" t="s">
        <v>214</v>
      </c>
      <c r="K2126" s="127">
        <v>3</v>
      </c>
      <c r="L2126" s="151" t="s">
        <v>3306</v>
      </c>
      <c r="M2126">
        <v>612</v>
      </c>
      <c r="N2126" s="123">
        <v>1</v>
      </c>
      <c r="O2126">
        <v>1438</v>
      </c>
      <c r="P2126" s="132" t="s">
        <v>77</v>
      </c>
      <c r="Q2126" s="131">
        <v>12910.34</v>
      </c>
      <c r="R2126" s="131">
        <v>2065.6543999999999</v>
      </c>
      <c r="S2126" s="131"/>
      <c r="T2126" s="155">
        <v>0</v>
      </c>
      <c r="U2126" s="131">
        <v>0</v>
      </c>
      <c r="V2126" s="131">
        <v>14975.9944</v>
      </c>
      <c r="W2126">
        <v>230</v>
      </c>
      <c r="X2126" s="151" t="s">
        <v>3796</v>
      </c>
      <c r="Y2126" s="135" t="s">
        <v>55</v>
      </c>
      <c r="Z2126" s="307">
        <v>229</v>
      </c>
      <c r="AB2126" t="str">
        <f>IF(Table1[[#This Row],[TIPO2]]="costo", VLOOKUP(Table1[[#This Row],[PARTIDA PRESUPUESTAL]],'Cost Report'!G:G,1,0),"Balance")</f>
        <v>2623-003</v>
      </c>
      <c r="AC2126" s="118"/>
      <c r="AD2126" s="159">
        <f>+Table1[[#This Row],[SUBTOTAL]]+Table1[[#This Row],[IVA]]-Table1[[#This Row],[RET IVA]]-Table1[[#This Row],[RET ISR]]-Table1[[#This Row],[TOTAL]]</f>
        <v>0</v>
      </c>
      <c r="AE2126" s="150"/>
      <c r="AF2126" s="151"/>
      <c r="AG2126" s="126"/>
      <c r="AK2126" s="306" t="str">
        <f>IF(ISNUMBER(Table1[[#This Row],[FECHA DE RECIBIDO]]), Table1[[#This Row],[FECHA DE RECIBIDO]]-DATE(2023,8,30), "")</f>
        <v/>
      </c>
    </row>
    <row r="2127" spans="1:37" ht="16.95" customHeight="1">
      <c r="A2127" s="152"/>
      <c r="B2127" s="153"/>
      <c r="C2127" s="126" t="s">
        <v>1521</v>
      </c>
      <c r="D2127">
        <v>1451</v>
      </c>
      <c r="E2127" s="126" t="s">
        <v>3636</v>
      </c>
      <c r="F2127" s="125" t="s">
        <v>1607</v>
      </c>
      <c r="G2127" s="125" t="s">
        <v>134</v>
      </c>
      <c r="H2127">
        <v>443</v>
      </c>
      <c r="I2127" s="125" t="s">
        <v>1546</v>
      </c>
      <c r="J2127" s="308" t="s">
        <v>214</v>
      </c>
      <c r="K2127" s="127">
        <v>3</v>
      </c>
      <c r="L2127" s="153" t="s">
        <v>3306</v>
      </c>
      <c r="M2127">
        <v>612</v>
      </c>
      <c r="N2127" s="123">
        <v>1</v>
      </c>
      <c r="O2127">
        <v>1438</v>
      </c>
      <c r="P2127" s="132" t="s">
        <v>77</v>
      </c>
      <c r="Q2127" s="132">
        <v>12910.34</v>
      </c>
      <c r="R2127" s="132">
        <v>2065.6543999999999</v>
      </c>
      <c r="S2127" s="132"/>
      <c r="T2127" s="156">
        <v>0</v>
      </c>
      <c r="U2127" s="132">
        <v>0</v>
      </c>
      <c r="V2127" s="132">
        <v>14975.9944</v>
      </c>
      <c r="W2127">
        <v>230</v>
      </c>
      <c r="X2127" s="153" t="s">
        <v>3796</v>
      </c>
      <c r="Y2127" s="124" t="s">
        <v>55</v>
      </c>
      <c r="Z2127" s="308">
        <v>229</v>
      </c>
      <c r="AB2127" t="str">
        <f>IF(Table1[[#This Row],[TIPO2]]="costo", VLOOKUP(Table1[[#This Row],[PARTIDA PRESUPUESTAL]],'Cost Report'!G:G,1,0),"Balance")</f>
        <v>2623-004</v>
      </c>
      <c r="AC2127" s="118"/>
      <c r="AD2127" s="159">
        <f>+Table1[[#This Row],[SUBTOTAL]]+Table1[[#This Row],[IVA]]-Table1[[#This Row],[RET IVA]]-Table1[[#This Row],[RET ISR]]-Table1[[#This Row],[TOTAL]]</f>
        <v>0</v>
      </c>
      <c r="AE2127" s="152"/>
      <c r="AF2127" s="153"/>
      <c r="AG2127" s="126"/>
      <c r="AK2127" s="306" t="str">
        <f>IF(ISNUMBER(Table1[[#This Row],[FECHA DE RECIBIDO]]), Table1[[#This Row],[FECHA DE RECIBIDO]]-DATE(2023,8,30), "")</f>
        <v/>
      </c>
    </row>
    <row r="2128" spans="1:37" ht="16.95" customHeight="1">
      <c r="A2128" s="150"/>
      <c r="B2128" s="151"/>
      <c r="C2128" s="126" t="s">
        <v>1522</v>
      </c>
      <c r="D2128">
        <v>1451</v>
      </c>
      <c r="E2128" s="126" t="s">
        <v>3636</v>
      </c>
      <c r="F2128" s="122" t="s">
        <v>1607</v>
      </c>
      <c r="G2128" s="122" t="s">
        <v>134</v>
      </c>
      <c r="H2128">
        <v>443</v>
      </c>
      <c r="I2128" s="122" t="s">
        <v>1546</v>
      </c>
      <c r="J2128" s="307" t="s">
        <v>214</v>
      </c>
      <c r="K2128" s="127">
        <v>3</v>
      </c>
      <c r="L2128" s="151" t="s">
        <v>3306</v>
      </c>
      <c r="M2128">
        <v>612</v>
      </c>
      <c r="N2128" s="123">
        <v>1</v>
      </c>
      <c r="O2128">
        <v>1438</v>
      </c>
      <c r="P2128" s="132" t="s">
        <v>77</v>
      </c>
      <c r="Q2128" s="131">
        <v>17213.79</v>
      </c>
      <c r="R2128" s="131">
        <v>2754.2064</v>
      </c>
      <c r="S2128" s="131"/>
      <c r="T2128" s="155">
        <v>0</v>
      </c>
      <c r="U2128" s="131">
        <v>0</v>
      </c>
      <c r="V2128" s="131">
        <v>19967.9964</v>
      </c>
      <c r="W2128">
        <v>230</v>
      </c>
      <c r="X2128" s="151" t="s">
        <v>3796</v>
      </c>
      <c r="Y2128" s="135" t="s">
        <v>55</v>
      </c>
      <c r="Z2128" s="307">
        <v>229</v>
      </c>
      <c r="AB2128" t="str">
        <f>IF(Table1[[#This Row],[TIPO2]]="costo", VLOOKUP(Table1[[#This Row],[PARTIDA PRESUPUESTAL]],'Cost Report'!G:G,1,0),"Balance")</f>
        <v>2623-005</v>
      </c>
      <c r="AC2128" s="118"/>
      <c r="AD2128" s="159">
        <f>+Table1[[#This Row],[SUBTOTAL]]+Table1[[#This Row],[IVA]]-Table1[[#This Row],[RET IVA]]-Table1[[#This Row],[RET ISR]]-Table1[[#This Row],[TOTAL]]</f>
        <v>0</v>
      </c>
      <c r="AE2128" s="150"/>
      <c r="AF2128" s="151"/>
      <c r="AG2128" s="126"/>
      <c r="AK2128" s="306" t="str">
        <f>IF(ISNUMBER(Table1[[#This Row],[FECHA DE RECIBIDO]]), Table1[[#This Row],[FECHA DE RECIBIDO]]-DATE(2023,8,30), "")</f>
        <v/>
      </c>
    </row>
    <row r="2129" spans="1:37" ht="16.95" customHeight="1">
      <c r="A2129" s="152"/>
      <c r="B2129" s="153"/>
      <c r="C2129" s="126" t="s">
        <v>1752</v>
      </c>
      <c r="D2129">
        <v>1451</v>
      </c>
      <c r="E2129" s="126" t="s">
        <v>3636</v>
      </c>
      <c r="F2129" s="125" t="s">
        <v>1607</v>
      </c>
      <c r="G2129" s="125" t="s">
        <v>134</v>
      </c>
      <c r="H2129">
        <v>443</v>
      </c>
      <c r="I2129" s="125" t="s">
        <v>1546</v>
      </c>
      <c r="J2129" s="308" t="s">
        <v>214</v>
      </c>
      <c r="K2129" s="127">
        <v>3</v>
      </c>
      <c r="L2129" s="153" t="s">
        <v>3306</v>
      </c>
      <c r="M2129">
        <v>612</v>
      </c>
      <c r="N2129" s="123">
        <v>1</v>
      </c>
      <c r="O2129">
        <v>1438</v>
      </c>
      <c r="P2129" s="132" t="s">
        <v>77</v>
      </c>
      <c r="Q2129" s="132">
        <v>15196.56</v>
      </c>
      <c r="R2129" s="132">
        <v>2431.4495999999999</v>
      </c>
      <c r="S2129" s="132"/>
      <c r="T2129" s="156">
        <v>0</v>
      </c>
      <c r="U2129" s="132">
        <v>0</v>
      </c>
      <c r="V2129" s="132">
        <v>17628.009599999998</v>
      </c>
      <c r="W2129">
        <v>230</v>
      </c>
      <c r="X2129" s="153" t="s">
        <v>3796</v>
      </c>
      <c r="Y2129" s="124" t="s">
        <v>55</v>
      </c>
      <c r="Z2129" s="308">
        <v>229</v>
      </c>
      <c r="AB2129" t="str">
        <f>IF(Table1[[#This Row],[TIPO2]]="costo", VLOOKUP(Table1[[#This Row],[PARTIDA PRESUPUESTAL]],'Cost Report'!G:G,1,0),"Balance")</f>
        <v>2623-006</v>
      </c>
      <c r="AC2129" s="118"/>
      <c r="AD2129" s="159">
        <f>+Table1[[#This Row],[SUBTOTAL]]+Table1[[#This Row],[IVA]]-Table1[[#This Row],[RET IVA]]-Table1[[#This Row],[RET ISR]]-Table1[[#This Row],[TOTAL]]</f>
        <v>0</v>
      </c>
      <c r="AE2129" s="152"/>
      <c r="AF2129" s="153"/>
      <c r="AG2129" s="126"/>
      <c r="AK2129" s="306" t="str">
        <f>IF(ISNUMBER(Table1[[#This Row],[FECHA DE RECIBIDO]]), Table1[[#This Row],[FECHA DE RECIBIDO]]-DATE(2023,8,30), "")</f>
        <v/>
      </c>
    </row>
    <row r="2130" spans="1:37" ht="16.95" customHeight="1">
      <c r="A2130" s="150"/>
      <c r="B2130" s="151"/>
      <c r="C2130" s="126" t="s">
        <v>1753</v>
      </c>
      <c r="D2130">
        <v>1451</v>
      </c>
      <c r="E2130" s="126" t="s">
        <v>3636</v>
      </c>
      <c r="F2130" s="122" t="s">
        <v>1607</v>
      </c>
      <c r="G2130" s="122" t="s">
        <v>134</v>
      </c>
      <c r="H2130">
        <v>443</v>
      </c>
      <c r="I2130" s="122" t="s">
        <v>1546</v>
      </c>
      <c r="J2130" s="307" t="s">
        <v>214</v>
      </c>
      <c r="K2130" s="127">
        <v>3</v>
      </c>
      <c r="L2130" s="151" t="s">
        <v>3306</v>
      </c>
      <c r="M2130">
        <v>612</v>
      </c>
      <c r="N2130" s="123">
        <v>1</v>
      </c>
      <c r="O2130">
        <v>1438</v>
      </c>
      <c r="P2130" s="132" t="s">
        <v>77</v>
      </c>
      <c r="Q2130" s="131">
        <v>3810.35</v>
      </c>
      <c r="R2130" s="131">
        <v>609.65599999999995</v>
      </c>
      <c r="S2130" s="131"/>
      <c r="T2130" s="155">
        <v>0</v>
      </c>
      <c r="U2130" s="131">
        <v>0</v>
      </c>
      <c r="V2130" s="131">
        <v>4420.0059999999994</v>
      </c>
      <c r="W2130">
        <v>230</v>
      </c>
      <c r="X2130" s="151" t="s">
        <v>3796</v>
      </c>
      <c r="Y2130" s="135" t="s">
        <v>55</v>
      </c>
      <c r="Z2130" s="307">
        <v>229</v>
      </c>
      <c r="AB2130" t="str">
        <f>IF(Table1[[#This Row],[TIPO2]]="costo", VLOOKUP(Table1[[#This Row],[PARTIDA PRESUPUESTAL]],'Cost Report'!G:G,1,0),"Balance")</f>
        <v>2623-007</v>
      </c>
      <c r="AC2130" s="118"/>
      <c r="AD2130" s="159">
        <f>+Table1[[#This Row],[SUBTOTAL]]+Table1[[#This Row],[IVA]]-Table1[[#This Row],[RET IVA]]-Table1[[#This Row],[RET ISR]]-Table1[[#This Row],[TOTAL]]</f>
        <v>0</v>
      </c>
      <c r="AE2130" s="150"/>
      <c r="AF2130" s="151"/>
      <c r="AG2130" s="126"/>
      <c r="AK2130" s="306" t="str">
        <f>IF(ISNUMBER(Table1[[#This Row],[FECHA DE RECIBIDO]]), Table1[[#This Row],[FECHA DE RECIBIDO]]-DATE(2023,8,30), "")</f>
        <v/>
      </c>
    </row>
    <row r="2131" spans="1:37" ht="16.95" customHeight="1">
      <c r="A2131" s="152"/>
      <c r="B2131" s="153"/>
      <c r="C2131" s="126" t="s">
        <v>1754</v>
      </c>
      <c r="D2131">
        <v>1451</v>
      </c>
      <c r="E2131" s="126" t="s">
        <v>3636</v>
      </c>
      <c r="F2131" s="125" t="s">
        <v>1607</v>
      </c>
      <c r="G2131" s="125" t="s">
        <v>134</v>
      </c>
      <c r="H2131">
        <v>443</v>
      </c>
      <c r="I2131" s="125" t="s">
        <v>1546</v>
      </c>
      <c r="J2131" s="308" t="s">
        <v>214</v>
      </c>
      <c r="K2131" s="127">
        <v>3</v>
      </c>
      <c r="L2131" s="153" t="s">
        <v>3306</v>
      </c>
      <c r="M2131">
        <v>612</v>
      </c>
      <c r="N2131" s="123">
        <v>1</v>
      </c>
      <c r="O2131">
        <v>1438</v>
      </c>
      <c r="P2131" s="132" t="s">
        <v>77</v>
      </c>
      <c r="Q2131" s="132">
        <v>4034.49</v>
      </c>
      <c r="R2131" s="132">
        <v>645.51839999999993</v>
      </c>
      <c r="S2131" s="132"/>
      <c r="T2131" s="156">
        <v>0</v>
      </c>
      <c r="U2131" s="132">
        <v>0</v>
      </c>
      <c r="V2131" s="132">
        <v>4680.0083999999997</v>
      </c>
      <c r="W2131">
        <v>230</v>
      </c>
      <c r="X2131" s="153" t="s">
        <v>3796</v>
      </c>
      <c r="Y2131" s="124" t="s">
        <v>55</v>
      </c>
      <c r="Z2131" s="308">
        <v>229</v>
      </c>
      <c r="AB2131" t="str">
        <f>IF(Table1[[#This Row],[TIPO2]]="costo", VLOOKUP(Table1[[#This Row],[PARTIDA PRESUPUESTAL]],'Cost Report'!G:G,1,0),"Balance")</f>
        <v>2623-008</v>
      </c>
      <c r="AC2131" s="118"/>
      <c r="AD2131" s="159">
        <f>+Table1[[#This Row],[SUBTOTAL]]+Table1[[#This Row],[IVA]]-Table1[[#This Row],[RET IVA]]-Table1[[#This Row],[RET ISR]]-Table1[[#This Row],[TOTAL]]</f>
        <v>0</v>
      </c>
      <c r="AE2131" s="152"/>
      <c r="AF2131" s="153"/>
      <c r="AG2131" s="126"/>
      <c r="AK2131" s="306" t="str">
        <f>IF(ISNUMBER(Table1[[#This Row],[FECHA DE RECIBIDO]]), Table1[[#This Row],[FECHA DE RECIBIDO]]-DATE(2023,8,30), "")</f>
        <v/>
      </c>
    </row>
    <row r="2132" spans="1:37" ht="16.95" customHeight="1">
      <c r="A2132" s="150"/>
      <c r="B2132" s="151"/>
      <c r="C2132" s="126" t="s">
        <v>1757</v>
      </c>
      <c r="D2132">
        <v>1451</v>
      </c>
      <c r="E2132" s="126" t="s">
        <v>3636</v>
      </c>
      <c r="F2132" s="122" t="s">
        <v>1607</v>
      </c>
      <c r="G2132" s="122" t="s">
        <v>134</v>
      </c>
      <c r="H2132">
        <v>443</v>
      </c>
      <c r="I2132" s="122" t="s">
        <v>1546</v>
      </c>
      <c r="J2132" s="307" t="s">
        <v>214</v>
      </c>
      <c r="K2132" s="127">
        <v>3</v>
      </c>
      <c r="L2132" s="151" t="s">
        <v>3306</v>
      </c>
      <c r="M2132">
        <v>612</v>
      </c>
      <c r="N2132" s="123">
        <v>1</v>
      </c>
      <c r="O2132">
        <v>1438</v>
      </c>
      <c r="P2132" s="132" t="s">
        <v>77</v>
      </c>
      <c r="Q2132" s="131">
        <v>1362.76</v>
      </c>
      <c r="R2132" s="131">
        <v>218.04160000000002</v>
      </c>
      <c r="S2132" s="131"/>
      <c r="T2132" s="155">
        <v>0</v>
      </c>
      <c r="U2132" s="131">
        <v>0</v>
      </c>
      <c r="V2132" s="131">
        <v>1580.8016</v>
      </c>
      <c r="W2132">
        <v>230</v>
      </c>
      <c r="X2132" s="151" t="s">
        <v>3796</v>
      </c>
      <c r="Y2132" s="135" t="s">
        <v>55</v>
      </c>
      <c r="Z2132" s="307">
        <v>229</v>
      </c>
      <c r="AB2132" t="str">
        <f>IF(Table1[[#This Row],[TIPO2]]="costo", VLOOKUP(Table1[[#This Row],[PARTIDA PRESUPUESTAL]],'Cost Report'!G:G,1,0),"Balance")</f>
        <v>2623-013</v>
      </c>
      <c r="AC2132" s="118"/>
      <c r="AD2132" s="159">
        <f>+Table1[[#This Row],[SUBTOTAL]]+Table1[[#This Row],[IVA]]-Table1[[#This Row],[RET IVA]]-Table1[[#This Row],[RET ISR]]-Table1[[#This Row],[TOTAL]]</f>
        <v>0</v>
      </c>
      <c r="AE2132" s="150"/>
      <c r="AF2132" s="151"/>
      <c r="AG2132" s="126"/>
      <c r="AK2132" s="306" t="str">
        <f>IF(ISNUMBER(Table1[[#This Row],[FECHA DE RECIBIDO]]), Table1[[#This Row],[FECHA DE RECIBIDO]]-DATE(2023,8,30), "")</f>
        <v/>
      </c>
    </row>
    <row r="2133" spans="1:37" ht="16.95" customHeight="1">
      <c r="A2133" s="152"/>
      <c r="B2133" s="153"/>
      <c r="C2133" s="126" t="s">
        <v>2578</v>
      </c>
      <c r="D2133">
        <v>1451</v>
      </c>
      <c r="E2133" s="126" t="s">
        <v>3636</v>
      </c>
      <c r="F2133" s="125" t="s">
        <v>1607</v>
      </c>
      <c r="G2133" s="125" t="s">
        <v>134</v>
      </c>
      <c r="H2133">
        <v>443</v>
      </c>
      <c r="I2133" s="125" t="s">
        <v>1546</v>
      </c>
      <c r="J2133" s="308" t="s">
        <v>214</v>
      </c>
      <c r="K2133" s="127">
        <v>3</v>
      </c>
      <c r="L2133" s="153" t="s">
        <v>3306</v>
      </c>
      <c r="M2133">
        <v>612</v>
      </c>
      <c r="N2133" s="123">
        <v>1</v>
      </c>
      <c r="O2133">
        <v>1438</v>
      </c>
      <c r="P2133" s="132" t="s">
        <v>77</v>
      </c>
      <c r="Q2133" s="132">
        <v>6813.79</v>
      </c>
      <c r="R2133" s="132">
        <v>1090.2064</v>
      </c>
      <c r="S2133" s="132"/>
      <c r="T2133" s="156">
        <v>0</v>
      </c>
      <c r="U2133" s="132">
        <v>0</v>
      </c>
      <c r="V2133" s="132">
        <v>7903.9964</v>
      </c>
      <c r="W2133">
        <v>230</v>
      </c>
      <c r="X2133" s="153" t="s">
        <v>3796</v>
      </c>
      <c r="Y2133" s="124" t="s">
        <v>55</v>
      </c>
      <c r="Z2133" s="308">
        <v>229</v>
      </c>
      <c r="AB2133" t="str">
        <f>IF(Table1[[#This Row],[TIPO2]]="costo", VLOOKUP(Table1[[#This Row],[PARTIDA PRESUPUESTAL]],'Cost Report'!G:G,1,0),"Balance")</f>
        <v>2623-018</v>
      </c>
      <c r="AC2133" s="118"/>
      <c r="AD2133" s="159">
        <f>+Table1[[#This Row],[SUBTOTAL]]+Table1[[#This Row],[IVA]]-Table1[[#This Row],[RET IVA]]-Table1[[#This Row],[RET ISR]]-Table1[[#This Row],[TOTAL]]</f>
        <v>0</v>
      </c>
      <c r="AE2133" s="152"/>
      <c r="AF2133" s="153"/>
      <c r="AG2133" s="126"/>
      <c r="AK2133" s="306" t="str">
        <f>IF(ISNUMBER(Table1[[#This Row],[FECHA DE RECIBIDO]]), Table1[[#This Row],[FECHA DE RECIBIDO]]-DATE(2023,8,30), "")</f>
        <v/>
      </c>
    </row>
    <row r="2134" spans="1:37" ht="16.95" customHeight="1">
      <c r="A2134" s="150"/>
      <c r="B2134" s="151"/>
      <c r="C2134" s="126" t="s">
        <v>2579</v>
      </c>
      <c r="D2134">
        <v>1451</v>
      </c>
      <c r="E2134" s="126" t="s">
        <v>3636</v>
      </c>
      <c r="F2134" s="122" t="s">
        <v>1607</v>
      </c>
      <c r="G2134" s="122" t="s">
        <v>134</v>
      </c>
      <c r="H2134">
        <v>443</v>
      </c>
      <c r="I2134" s="122" t="s">
        <v>1546</v>
      </c>
      <c r="J2134" s="307" t="s">
        <v>214</v>
      </c>
      <c r="K2134" s="127">
        <v>3</v>
      </c>
      <c r="L2134" s="151" t="s">
        <v>3306</v>
      </c>
      <c r="M2134">
        <v>612</v>
      </c>
      <c r="N2134" s="123">
        <v>1</v>
      </c>
      <c r="O2134">
        <v>1438</v>
      </c>
      <c r="P2134" s="132" t="s">
        <v>77</v>
      </c>
      <c r="Q2134" s="131">
        <v>1434.48</v>
      </c>
      <c r="R2134" s="131">
        <v>229.51680000000002</v>
      </c>
      <c r="S2134" s="131"/>
      <c r="T2134" s="155">
        <v>0</v>
      </c>
      <c r="U2134" s="131">
        <v>0</v>
      </c>
      <c r="V2134" s="131">
        <v>1663.9968000000001</v>
      </c>
      <c r="W2134">
        <v>230</v>
      </c>
      <c r="X2134" s="151" t="s">
        <v>3796</v>
      </c>
      <c r="Y2134" s="135" t="s">
        <v>55</v>
      </c>
      <c r="Z2134" s="307">
        <v>229</v>
      </c>
      <c r="AB2134" t="str">
        <f>IF(Table1[[#This Row],[TIPO2]]="costo", VLOOKUP(Table1[[#This Row],[PARTIDA PRESUPUESTAL]],'Cost Report'!G:G,1,0),"Balance")</f>
        <v>2623-019</v>
      </c>
      <c r="AC2134" s="118"/>
      <c r="AD2134" s="159">
        <f>+Table1[[#This Row],[SUBTOTAL]]+Table1[[#This Row],[IVA]]-Table1[[#This Row],[RET IVA]]-Table1[[#This Row],[RET ISR]]-Table1[[#This Row],[TOTAL]]</f>
        <v>0</v>
      </c>
      <c r="AE2134" s="150"/>
      <c r="AF2134" s="151"/>
      <c r="AG2134" s="126"/>
      <c r="AK2134" s="306" t="str">
        <f>IF(ISNUMBER(Table1[[#This Row],[FECHA DE RECIBIDO]]), Table1[[#This Row],[FECHA DE RECIBIDO]]-DATE(2023,8,30), "")</f>
        <v/>
      </c>
    </row>
    <row r="2135" spans="1:37" ht="16.95" customHeight="1">
      <c r="A2135" s="152" t="s">
        <v>3704</v>
      </c>
      <c r="B2135" s="153">
        <v>725</v>
      </c>
      <c r="C2135" s="126" t="s">
        <v>2575</v>
      </c>
      <c r="D2135">
        <v>1452</v>
      </c>
      <c r="E2135" s="126" t="s">
        <v>3636</v>
      </c>
      <c r="F2135" s="125" t="s">
        <v>1607</v>
      </c>
      <c r="G2135" s="125" t="s">
        <v>134</v>
      </c>
      <c r="H2135">
        <v>443</v>
      </c>
      <c r="I2135" s="125" t="s">
        <v>1546</v>
      </c>
      <c r="J2135" s="308" t="s">
        <v>214</v>
      </c>
      <c r="K2135" s="127">
        <v>3</v>
      </c>
      <c r="L2135" s="153" t="s">
        <v>3306</v>
      </c>
      <c r="M2135">
        <v>612</v>
      </c>
      <c r="N2135" s="123">
        <v>1</v>
      </c>
      <c r="O2135">
        <v>1439</v>
      </c>
      <c r="P2135" s="132" t="s">
        <v>77</v>
      </c>
      <c r="Q2135" s="132">
        <v>16022.59</v>
      </c>
      <c r="R2135" s="132">
        <v>2563.6143999999999</v>
      </c>
      <c r="S2135" s="132"/>
      <c r="T2135" s="156">
        <v>0</v>
      </c>
      <c r="U2135" s="132">
        <v>0</v>
      </c>
      <c r="V2135" s="132">
        <v>18586.204399999999</v>
      </c>
      <c r="W2135">
        <v>230</v>
      </c>
      <c r="X2135" s="153" t="s">
        <v>3796</v>
      </c>
      <c r="Y2135" s="124" t="s">
        <v>55</v>
      </c>
      <c r="Z2135" s="308">
        <v>229</v>
      </c>
      <c r="AB2135" t="str">
        <f>IF(Table1[[#This Row],[TIPO2]]="costo", VLOOKUP(Table1[[#This Row],[PARTIDA PRESUPUESTAL]],'Cost Report'!G:G,1,0),"Balance")</f>
        <v>2621-004</v>
      </c>
      <c r="AC2135" s="118"/>
      <c r="AD2135" s="159">
        <f>+Table1[[#This Row],[SUBTOTAL]]+Table1[[#This Row],[IVA]]-Table1[[#This Row],[RET IVA]]-Table1[[#This Row],[RET ISR]]-Table1[[#This Row],[TOTAL]]</f>
        <v>0</v>
      </c>
      <c r="AE2135" s="152"/>
      <c r="AF2135" s="153"/>
      <c r="AG2135" s="126"/>
      <c r="AK2135" s="306" t="str">
        <f>IF(ISNUMBER(Table1[[#This Row],[FECHA DE RECIBIDO]]), Table1[[#This Row],[FECHA DE RECIBIDO]]-DATE(2023,8,30), "")</f>
        <v/>
      </c>
    </row>
    <row r="2136" spans="1:37" ht="16.95" customHeight="1">
      <c r="A2136" s="150"/>
      <c r="B2136" s="151"/>
      <c r="C2136" s="126" t="s">
        <v>1520</v>
      </c>
      <c r="D2136">
        <v>1452</v>
      </c>
      <c r="E2136" s="126" t="s">
        <v>3636</v>
      </c>
      <c r="F2136" s="122" t="s">
        <v>1607</v>
      </c>
      <c r="G2136" s="122" t="s">
        <v>134</v>
      </c>
      <c r="H2136">
        <v>443</v>
      </c>
      <c r="I2136" s="122" t="s">
        <v>1546</v>
      </c>
      <c r="J2136" s="307" t="s">
        <v>214</v>
      </c>
      <c r="K2136" s="127">
        <v>3</v>
      </c>
      <c r="L2136" s="151" t="s">
        <v>3306</v>
      </c>
      <c r="M2136">
        <v>612</v>
      </c>
      <c r="N2136" s="123">
        <v>1</v>
      </c>
      <c r="O2136">
        <v>1439</v>
      </c>
      <c r="P2136" s="132" t="s">
        <v>77</v>
      </c>
      <c r="Q2136" s="131">
        <v>13983.35</v>
      </c>
      <c r="R2136" s="131">
        <v>2237.3360000000002</v>
      </c>
      <c r="S2136" s="131"/>
      <c r="T2136" s="155">
        <v>0</v>
      </c>
      <c r="U2136" s="131">
        <v>0</v>
      </c>
      <c r="V2136" s="131">
        <v>16220.686000000002</v>
      </c>
      <c r="W2136">
        <v>230</v>
      </c>
      <c r="X2136" s="151" t="s">
        <v>3796</v>
      </c>
      <c r="Y2136" s="135" t="s">
        <v>55</v>
      </c>
      <c r="Z2136" s="307">
        <v>229</v>
      </c>
      <c r="AB2136" t="str">
        <f>IF(Table1[[#This Row],[TIPO2]]="costo", VLOOKUP(Table1[[#This Row],[PARTIDA PRESUPUESTAL]],'Cost Report'!G:G,1,0),"Balance")</f>
        <v>2623-003</v>
      </c>
      <c r="AC2136" s="118"/>
      <c r="AD2136" s="159">
        <f>+Table1[[#This Row],[SUBTOTAL]]+Table1[[#This Row],[IVA]]-Table1[[#This Row],[RET IVA]]-Table1[[#This Row],[RET ISR]]-Table1[[#This Row],[TOTAL]]</f>
        <v>0</v>
      </c>
      <c r="AE2136" s="150"/>
      <c r="AF2136" s="151"/>
      <c r="AG2136" s="126"/>
      <c r="AK2136" s="306" t="str">
        <f>IF(ISNUMBER(Table1[[#This Row],[FECHA DE RECIBIDO]]), Table1[[#This Row],[FECHA DE RECIBIDO]]-DATE(2023,8,30), "")</f>
        <v/>
      </c>
    </row>
    <row r="2137" spans="1:37" ht="16.95" customHeight="1">
      <c r="A2137" s="152"/>
      <c r="B2137" s="153"/>
      <c r="C2137" s="126" t="s">
        <v>1521</v>
      </c>
      <c r="D2137">
        <v>1452</v>
      </c>
      <c r="E2137" s="126" t="s">
        <v>3636</v>
      </c>
      <c r="F2137" s="125" t="s">
        <v>1607</v>
      </c>
      <c r="G2137" s="125" t="s">
        <v>134</v>
      </c>
      <c r="H2137">
        <v>443</v>
      </c>
      <c r="I2137" s="125" t="s">
        <v>1546</v>
      </c>
      <c r="J2137" s="308" t="s">
        <v>214</v>
      </c>
      <c r="K2137" s="127">
        <v>3</v>
      </c>
      <c r="L2137" s="153" t="s">
        <v>3306</v>
      </c>
      <c r="M2137">
        <v>612</v>
      </c>
      <c r="N2137" s="123">
        <v>1</v>
      </c>
      <c r="O2137">
        <v>1439</v>
      </c>
      <c r="P2137" s="132" t="s">
        <v>77</v>
      </c>
      <c r="Q2137" s="132">
        <v>13983.35</v>
      </c>
      <c r="R2137" s="132">
        <v>2237.3360000000002</v>
      </c>
      <c r="S2137" s="132"/>
      <c r="T2137" s="156">
        <v>0</v>
      </c>
      <c r="U2137" s="132">
        <v>0</v>
      </c>
      <c r="V2137" s="132">
        <v>16220.686000000002</v>
      </c>
      <c r="W2137">
        <v>230</v>
      </c>
      <c r="X2137" s="153" t="s">
        <v>3796</v>
      </c>
      <c r="Y2137" s="124" t="s">
        <v>55</v>
      </c>
      <c r="Z2137" s="308">
        <v>229</v>
      </c>
      <c r="AB2137" t="str">
        <f>IF(Table1[[#This Row],[TIPO2]]="costo", VLOOKUP(Table1[[#This Row],[PARTIDA PRESUPUESTAL]],'Cost Report'!G:G,1,0),"Balance")</f>
        <v>2623-004</v>
      </c>
      <c r="AC2137" s="118"/>
      <c r="AD2137" s="159">
        <f>+Table1[[#This Row],[SUBTOTAL]]+Table1[[#This Row],[IVA]]-Table1[[#This Row],[RET IVA]]-Table1[[#This Row],[RET ISR]]-Table1[[#This Row],[TOTAL]]</f>
        <v>0</v>
      </c>
      <c r="AE2137" s="152"/>
      <c r="AF2137" s="153"/>
      <c r="AG2137" s="126"/>
      <c r="AK2137" s="306" t="str">
        <f>IF(ISNUMBER(Table1[[#This Row],[FECHA DE RECIBIDO]]), Table1[[#This Row],[FECHA DE RECIBIDO]]-DATE(2023,8,30), "")</f>
        <v/>
      </c>
    </row>
    <row r="2138" spans="1:37" ht="16.95" customHeight="1">
      <c r="A2138" s="150"/>
      <c r="B2138" s="151"/>
      <c r="C2138" s="126" t="s">
        <v>1522</v>
      </c>
      <c r="D2138">
        <v>1452</v>
      </c>
      <c r="E2138" s="126" t="s">
        <v>3636</v>
      </c>
      <c r="F2138" s="122" t="s">
        <v>1607</v>
      </c>
      <c r="G2138" s="122" t="s">
        <v>134</v>
      </c>
      <c r="H2138">
        <v>443</v>
      </c>
      <c r="I2138" s="122" t="s">
        <v>1546</v>
      </c>
      <c r="J2138" s="307" t="s">
        <v>214</v>
      </c>
      <c r="K2138" s="127">
        <v>3</v>
      </c>
      <c r="L2138" s="151" t="s">
        <v>3306</v>
      </c>
      <c r="M2138">
        <v>612</v>
      </c>
      <c r="N2138" s="123">
        <v>1</v>
      </c>
      <c r="O2138">
        <v>1439</v>
      </c>
      <c r="P2138" s="132" t="s">
        <v>77</v>
      </c>
      <c r="Q2138" s="131">
        <v>18644.47</v>
      </c>
      <c r="R2138" s="131">
        <v>2983.1152000000002</v>
      </c>
      <c r="S2138" s="131"/>
      <c r="T2138" s="155">
        <v>0</v>
      </c>
      <c r="U2138" s="131">
        <v>0</v>
      </c>
      <c r="V2138" s="131">
        <v>21627.585200000001</v>
      </c>
      <c r="W2138">
        <v>230</v>
      </c>
      <c r="X2138" s="151" t="s">
        <v>3796</v>
      </c>
      <c r="Y2138" s="135" t="s">
        <v>55</v>
      </c>
      <c r="Z2138" s="307">
        <v>229</v>
      </c>
      <c r="AB2138" t="str">
        <f>IF(Table1[[#This Row],[TIPO2]]="costo", VLOOKUP(Table1[[#This Row],[PARTIDA PRESUPUESTAL]],'Cost Report'!G:G,1,0),"Balance")</f>
        <v>2623-005</v>
      </c>
      <c r="AC2138" s="118"/>
      <c r="AD2138" s="159">
        <f>+Table1[[#This Row],[SUBTOTAL]]+Table1[[#This Row],[IVA]]-Table1[[#This Row],[RET IVA]]-Table1[[#This Row],[RET ISR]]-Table1[[#This Row],[TOTAL]]</f>
        <v>0</v>
      </c>
      <c r="AE2138" s="150"/>
      <c r="AF2138" s="151"/>
      <c r="AG2138" s="126"/>
      <c r="AK2138" s="306" t="str">
        <f>IF(ISNUMBER(Table1[[#This Row],[FECHA DE RECIBIDO]]), Table1[[#This Row],[FECHA DE RECIBIDO]]-DATE(2023,8,30), "")</f>
        <v/>
      </c>
    </row>
    <row r="2139" spans="1:37" ht="16.95" customHeight="1">
      <c r="A2139" s="152"/>
      <c r="B2139" s="153"/>
      <c r="C2139" s="126" t="s">
        <v>1752</v>
      </c>
      <c r="D2139">
        <v>1452</v>
      </c>
      <c r="E2139" s="126" t="s">
        <v>3636</v>
      </c>
      <c r="F2139" s="125" t="s">
        <v>1607</v>
      </c>
      <c r="G2139" s="125" t="s">
        <v>134</v>
      </c>
      <c r="H2139">
        <v>443</v>
      </c>
      <c r="I2139" s="125" t="s">
        <v>1546</v>
      </c>
      <c r="J2139" s="308" t="s">
        <v>214</v>
      </c>
      <c r="K2139" s="127">
        <v>3</v>
      </c>
      <c r="L2139" s="153" t="s">
        <v>3306</v>
      </c>
      <c r="M2139">
        <v>612</v>
      </c>
      <c r="N2139" s="123">
        <v>1</v>
      </c>
      <c r="O2139">
        <v>1439</v>
      </c>
      <c r="P2139" s="132" t="s">
        <v>77</v>
      </c>
      <c r="Q2139" s="132">
        <v>16459.57</v>
      </c>
      <c r="R2139" s="132">
        <v>2633.5311999999999</v>
      </c>
      <c r="S2139" s="132"/>
      <c r="T2139" s="156">
        <v>0</v>
      </c>
      <c r="U2139" s="132">
        <v>0</v>
      </c>
      <c r="V2139" s="132">
        <v>19093.101200000001</v>
      </c>
      <c r="W2139">
        <v>230</v>
      </c>
      <c r="X2139" s="153" t="s">
        <v>3796</v>
      </c>
      <c r="Y2139" s="124" t="s">
        <v>55</v>
      </c>
      <c r="Z2139" s="308">
        <v>229</v>
      </c>
      <c r="AB2139" t="str">
        <f>IF(Table1[[#This Row],[TIPO2]]="costo", VLOOKUP(Table1[[#This Row],[PARTIDA PRESUPUESTAL]],'Cost Report'!G:G,1,0),"Balance")</f>
        <v>2623-006</v>
      </c>
      <c r="AC2139" s="118"/>
      <c r="AD2139" s="159">
        <f>+Table1[[#This Row],[SUBTOTAL]]+Table1[[#This Row],[IVA]]-Table1[[#This Row],[RET IVA]]-Table1[[#This Row],[RET ISR]]-Table1[[#This Row],[TOTAL]]</f>
        <v>0</v>
      </c>
      <c r="AE2139" s="152"/>
      <c r="AF2139" s="153"/>
      <c r="AG2139" s="126"/>
      <c r="AK2139" s="306" t="str">
        <f>IF(ISNUMBER(Table1[[#This Row],[FECHA DE RECIBIDO]]), Table1[[#This Row],[FECHA DE RECIBIDO]]-DATE(2023,8,30), "")</f>
        <v/>
      </c>
    </row>
    <row r="2140" spans="1:37" ht="16.95" customHeight="1">
      <c r="A2140" s="150"/>
      <c r="B2140" s="151"/>
      <c r="C2140" s="126" t="s">
        <v>1753</v>
      </c>
      <c r="D2140">
        <v>1452</v>
      </c>
      <c r="E2140" s="126" t="s">
        <v>3636</v>
      </c>
      <c r="F2140" s="122" t="s">
        <v>1607</v>
      </c>
      <c r="G2140" s="122" t="s">
        <v>134</v>
      </c>
      <c r="H2140">
        <v>443</v>
      </c>
      <c r="I2140" s="122" t="s">
        <v>1546</v>
      </c>
      <c r="J2140" s="307" t="s">
        <v>214</v>
      </c>
      <c r="K2140" s="127">
        <v>3</v>
      </c>
      <c r="L2140" s="151" t="s">
        <v>3306</v>
      </c>
      <c r="M2140">
        <v>612</v>
      </c>
      <c r="N2140" s="123">
        <v>1</v>
      </c>
      <c r="O2140">
        <v>1439</v>
      </c>
      <c r="P2140" s="132" t="s">
        <v>77</v>
      </c>
      <c r="Q2140" s="131">
        <v>4127.03</v>
      </c>
      <c r="R2140" s="131">
        <v>660.32479999999998</v>
      </c>
      <c r="S2140" s="131"/>
      <c r="T2140" s="155">
        <v>0</v>
      </c>
      <c r="U2140" s="131">
        <v>0</v>
      </c>
      <c r="V2140" s="131">
        <v>4787.3548000000001</v>
      </c>
      <c r="W2140">
        <v>230</v>
      </c>
      <c r="X2140" s="151" t="s">
        <v>3796</v>
      </c>
      <c r="Y2140" s="135" t="s">
        <v>55</v>
      </c>
      <c r="Z2140" s="307">
        <v>229</v>
      </c>
      <c r="AB2140" t="str">
        <f>IF(Table1[[#This Row],[TIPO2]]="costo", VLOOKUP(Table1[[#This Row],[PARTIDA PRESUPUESTAL]],'Cost Report'!G:G,1,0),"Balance")</f>
        <v>2623-007</v>
      </c>
      <c r="AC2140" s="118"/>
      <c r="AD2140" s="159">
        <f>+Table1[[#This Row],[SUBTOTAL]]+Table1[[#This Row],[IVA]]-Table1[[#This Row],[RET IVA]]-Table1[[#This Row],[RET ISR]]-Table1[[#This Row],[TOTAL]]</f>
        <v>0</v>
      </c>
      <c r="AE2140" s="150"/>
      <c r="AF2140" s="151"/>
      <c r="AG2140" s="126"/>
      <c r="AK2140" s="306" t="str">
        <f>IF(ISNUMBER(Table1[[#This Row],[FECHA DE RECIBIDO]]), Table1[[#This Row],[FECHA DE RECIBIDO]]-DATE(2023,8,30), "")</f>
        <v/>
      </c>
    </row>
    <row r="2141" spans="1:37" ht="16.95" customHeight="1">
      <c r="A2141" s="152"/>
      <c r="B2141" s="153"/>
      <c r="C2141" s="126" t="s">
        <v>1754</v>
      </c>
      <c r="D2141">
        <v>1452</v>
      </c>
      <c r="E2141" s="126" t="s">
        <v>3636</v>
      </c>
      <c r="F2141" s="125" t="s">
        <v>1607</v>
      </c>
      <c r="G2141" s="125" t="s">
        <v>134</v>
      </c>
      <c r="H2141">
        <v>443</v>
      </c>
      <c r="I2141" s="125" t="s">
        <v>1546</v>
      </c>
      <c r="J2141" s="308" t="s">
        <v>214</v>
      </c>
      <c r="K2141" s="127">
        <v>3</v>
      </c>
      <c r="L2141" s="153" t="s">
        <v>3306</v>
      </c>
      <c r="M2141">
        <v>612</v>
      </c>
      <c r="N2141" s="123">
        <v>1</v>
      </c>
      <c r="O2141">
        <v>1439</v>
      </c>
      <c r="P2141" s="132" t="s">
        <v>77</v>
      </c>
      <c r="Q2141" s="132">
        <v>4369.8</v>
      </c>
      <c r="R2141" s="132">
        <v>699.16800000000001</v>
      </c>
      <c r="S2141" s="132"/>
      <c r="T2141" s="156">
        <v>0</v>
      </c>
      <c r="U2141" s="132">
        <v>0</v>
      </c>
      <c r="V2141" s="132">
        <v>5068.9679999999998</v>
      </c>
      <c r="W2141">
        <v>230</v>
      </c>
      <c r="X2141" s="153" t="s">
        <v>3796</v>
      </c>
      <c r="Y2141" s="124" t="s">
        <v>55</v>
      </c>
      <c r="Z2141" s="308">
        <v>229</v>
      </c>
      <c r="AB2141" t="str">
        <f>IF(Table1[[#This Row],[TIPO2]]="costo", VLOOKUP(Table1[[#This Row],[PARTIDA PRESUPUESTAL]],'Cost Report'!G:G,1,0),"Balance")</f>
        <v>2623-008</v>
      </c>
      <c r="AC2141" s="118"/>
      <c r="AD2141" s="159">
        <f>+Table1[[#This Row],[SUBTOTAL]]+Table1[[#This Row],[IVA]]-Table1[[#This Row],[RET IVA]]-Table1[[#This Row],[RET ISR]]-Table1[[#This Row],[TOTAL]]</f>
        <v>0</v>
      </c>
      <c r="AE2141" s="152"/>
      <c r="AF2141" s="153"/>
      <c r="AG2141" s="126"/>
      <c r="AK2141" s="306" t="str">
        <f>IF(ISNUMBER(Table1[[#This Row],[FECHA DE RECIBIDO]]), Table1[[#This Row],[FECHA DE RECIBIDO]]-DATE(2023,8,30), "")</f>
        <v/>
      </c>
    </row>
    <row r="2142" spans="1:37" ht="16.95" customHeight="1">
      <c r="A2142" s="150"/>
      <c r="B2142" s="151"/>
      <c r="C2142" s="126" t="s">
        <v>1757</v>
      </c>
      <c r="D2142">
        <v>1452</v>
      </c>
      <c r="E2142" s="126" t="s">
        <v>3636</v>
      </c>
      <c r="F2142" s="122" t="s">
        <v>1607</v>
      </c>
      <c r="G2142" s="122" t="s">
        <v>134</v>
      </c>
      <c r="H2142">
        <v>443</v>
      </c>
      <c r="I2142" s="122" t="s">
        <v>1546</v>
      </c>
      <c r="J2142" s="307" t="s">
        <v>214</v>
      </c>
      <c r="K2142" s="127">
        <v>3</v>
      </c>
      <c r="L2142" s="151" t="s">
        <v>3306</v>
      </c>
      <c r="M2142">
        <v>612</v>
      </c>
      <c r="N2142" s="123">
        <v>1</v>
      </c>
      <c r="O2142">
        <v>1439</v>
      </c>
      <c r="P2142" s="132" t="s">
        <v>77</v>
      </c>
      <c r="Q2142" s="131">
        <v>1476.02</v>
      </c>
      <c r="R2142" s="131">
        <v>236.16319999999999</v>
      </c>
      <c r="S2142" s="131"/>
      <c r="T2142" s="155">
        <v>0</v>
      </c>
      <c r="U2142" s="131">
        <v>0</v>
      </c>
      <c r="V2142" s="131">
        <v>1712.1831999999999</v>
      </c>
      <c r="W2142">
        <v>230</v>
      </c>
      <c r="X2142" s="151" t="s">
        <v>3796</v>
      </c>
      <c r="Y2142" s="135" t="s">
        <v>55</v>
      </c>
      <c r="Z2142" s="307">
        <v>229</v>
      </c>
      <c r="AB2142" t="str">
        <f>IF(Table1[[#This Row],[TIPO2]]="costo", VLOOKUP(Table1[[#This Row],[PARTIDA PRESUPUESTAL]],'Cost Report'!G:G,1,0),"Balance")</f>
        <v>2623-013</v>
      </c>
      <c r="AC2142" s="118"/>
      <c r="AD2142" s="159">
        <f>+Table1[[#This Row],[SUBTOTAL]]+Table1[[#This Row],[IVA]]-Table1[[#This Row],[RET IVA]]-Table1[[#This Row],[RET ISR]]-Table1[[#This Row],[TOTAL]]</f>
        <v>0</v>
      </c>
      <c r="AE2142" s="150"/>
      <c r="AF2142" s="151"/>
      <c r="AG2142" s="126"/>
      <c r="AK2142" s="306" t="str">
        <f>IF(ISNUMBER(Table1[[#This Row],[FECHA DE RECIBIDO]]), Table1[[#This Row],[FECHA DE RECIBIDO]]-DATE(2023,8,30), "")</f>
        <v/>
      </c>
    </row>
    <row r="2143" spans="1:37" ht="16.95" customHeight="1">
      <c r="A2143" s="152"/>
      <c r="B2143" s="153"/>
      <c r="C2143" s="126" t="s">
        <v>2578</v>
      </c>
      <c r="D2143">
        <v>1452</v>
      </c>
      <c r="E2143" s="126" t="s">
        <v>3636</v>
      </c>
      <c r="F2143" s="125" t="s">
        <v>1607</v>
      </c>
      <c r="G2143" s="125" t="s">
        <v>134</v>
      </c>
      <c r="H2143">
        <v>443</v>
      </c>
      <c r="I2143" s="125" t="s">
        <v>1546</v>
      </c>
      <c r="J2143" s="308" t="s">
        <v>214</v>
      </c>
      <c r="K2143" s="127">
        <v>3</v>
      </c>
      <c r="L2143" s="153" t="s">
        <v>3306</v>
      </c>
      <c r="M2143">
        <v>612</v>
      </c>
      <c r="N2143" s="123">
        <v>1</v>
      </c>
      <c r="O2143">
        <v>1439</v>
      </c>
      <c r="P2143" s="132" t="s">
        <v>77</v>
      </c>
      <c r="Q2143" s="132">
        <v>7380.11</v>
      </c>
      <c r="R2143" s="132">
        <v>1180.8176000000001</v>
      </c>
      <c r="S2143" s="132"/>
      <c r="T2143" s="156">
        <v>0</v>
      </c>
      <c r="U2143" s="132">
        <v>0</v>
      </c>
      <c r="V2143" s="132">
        <v>8560.9275999999991</v>
      </c>
      <c r="W2143">
        <v>230</v>
      </c>
      <c r="X2143" s="153" t="s">
        <v>3796</v>
      </c>
      <c r="Y2143" s="124" t="s">
        <v>55</v>
      </c>
      <c r="Z2143" s="308">
        <v>229</v>
      </c>
      <c r="AB2143" t="str">
        <f>IF(Table1[[#This Row],[TIPO2]]="costo", VLOOKUP(Table1[[#This Row],[PARTIDA PRESUPUESTAL]],'Cost Report'!G:G,1,0),"Balance")</f>
        <v>2623-018</v>
      </c>
      <c r="AC2143" s="118"/>
      <c r="AD2143" s="159">
        <f>+Table1[[#This Row],[SUBTOTAL]]+Table1[[#This Row],[IVA]]-Table1[[#This Row],[RET IVA]]-Table1[[#This Row],[RET ISR]]-Table1[[#This Row],[TOTAL]]</f>
        <v>0</v>
      </c>
      <c r="AE2143" s="152"/>
      <c r="AF2143" s="153"/>
      <c r="AG2143" s="126"/>
      <c r="AK2143" s="306" t="str">
        <f>IF(ISNUMBER(Table1[[#This Row],[FECHA DE RECIBIDO]]), Table1[[#This Row],[FECHA DE RECIBIDO]]-DATE(2023,8,30), "")</f>
        <v/>
      </c>
    </row>
    <row r="2144" spans="1:37" ht="16.95" customHeight="1">
      <c r="A2144" s="150"/>
      <c r="B2144" s="151"/>
      <c r="C2144" s="126" t="s">
        <v>2579</v>
      </c>
      <c r="D2144">
        <v>1452</v>
      </c>
      <c r="E2144" s="126" t="s">
        <v>3636</v>
      </c>
      <c r="F2144" s="122" t="s">
        <v>1607</v>
      </c>
      <c r="G2144" s="122" t="s">
        <v>134</v>
      </c>
      <c r="H2144">
        <v>443</v>
      </c>
      <c r="I2144" s="122" t="s">
        <v>1546</v>
      </c>
      <c r="J2144" s="307" t="s">
        <v>214</v>
      </c>
      <c r="K2144" s="127">
        <v>3</v>
      </c>
      <c r="L2144" s="151" t="s">
        <v>3306</v>
      </c>
      <c r="M2144">
        <v>612</v>
      </c>
      <c r="N2144" s="123">
        <v>1</v>
      </c>
      <c r="O2144">
        <v>1439</v>
      </c>
      <c r="P2144" s="132" t="s">
        <v>77</v>
      </c>
      <c r="Q2144" s="131">
        <v>1553.71</v>
      </c>
      <c r="R2144" s="131">
        <v>248.59360000000001</v>
      </c>
      <c r="S2144" s="131"/>
      <c r="T2144" s="155">
        <v>0</v>
      </c>
      <c r="U2144" s="131">
        <v>0</v>
      </c>
      <c r="V2144" s="131">
        <v>1802.3036</v>
      </c>
      <c r="W2144">
        <v>230</v>
      </c>
      <c r="X2144" s="151" t="s">
        <v>3796</v>
      </c>
      <c r="Y2144" s="135" t="s">
        <v>55</v>
      </c>
      <c r="Z2144" s="307">
        <v>229</v>
      </c>
      <c r="AA2144" t="s">
        <v>3801</v>
      </c>
      <c r="AB2144" t="str">
        <f>IF(Table1[[#This Row],[TIPO2]]="costo", VLOOKUP(Table1[[#This Row],[PARTIDA PRESUPUESTAL]],'Cost Report'!G:G,1,0),"Balance")</f>
        <v>2623-019</v>
      </c>
      <c r="AC2144" s="118"/>
      <c r="AD2144" s="159">
        <f>+Table1[[#This Row],[SUBTOTAL]]+Table1[[#This Row],[IVA]]-Table1[[#This Row],[RET IVA]]-Table1[[#This Row],[RET ISR]]-Table1[[#This Row],[TOTAL]]</f>
        <v>0</v>
      </c>
      <c r="AE2144" s="150"/>
      <c r="AF2144" s="151"/>
      <c r="AG2144" s="126"/>
      <c r="AK2144" s="306" t="str">
        <f>IF(ISNUMBER(Table1[[#This Row],[FECHA DE RECIBIDO]]), Table1[[#This Row],[FECHA DE RECIBIDO]]-DATE(2023,8,30), "")</f>
        <v/>
      </c>
    </row>
    <row r="2145" spans="1:37" ht="16.95" customHeight="1">
      <c r="A2145" s="152" t="s">
        <v>3705</v>
      </c>
      <c r="B2145" s="153">
        <v>726</v>
      </c>
      <c r="C2145" s="126" t="s">
        <v>2956</v>
      </c>
      <c r="D2145">
        <v>1453</v>
      </c>
      <c r="E2145" s="126" t="s">
        <v>1985</v>
      </c>
      <c r="F2145" s="125" t="s">
        <v>1607</v>
      </c>
      <c r="G2145" s="125" t="s">
        <v>134</v>
      </c>
      <c r="H2145">
        <v>47</v>
      </c>
      <c r="I2145" s="125" t="s">
        <v>1546</v>
      </c>
      <c r="J2145" s="308" t="s">
        <v>214</v>
      </c>
      <c r="K2145" s="127" t="s">
        <v>3797</v>
      </c>
      <c r="L2145" s="153" t="s">
        <v>3306</v>
      </c>
      <c r="M2145">
        <v>448</v>
      </c>
      <c r="N2145" s="123">
        <v>1</v>
      </c>
      <c r="O2145">
        <v>1440</v>
      </c>
      <c r="P2145" s="132" t="s">
        <v>77</v>
      </c>
      <c r="Q2145" s="132">
        <v>117152.94</v>
      </c>
      <c r="R2145" s="132">
        <v>18744.47</v>
      </c>
      <c r="S2145" s="132"/>
      <c r="T2145" s="156">
        <v>0</v>
      </c>
      <c r="U2145" s="132">
        <v>0</v>
      </c>
      <c r="V2145" s="132">
        <v>135897.41</v>
      </c>
      <c r="W2145">
        <v>36</v>
      </c>
      <c r="X2145" s="153" t="s">
        <v>1430</v>
      </c>
      <c r="Y2145" s="124" t="s">
        <v>55</v>
      </c>
      <c r="Z2145" s="308">
        <v>229</v>
      </c>
      <c r="AB2145" t="str">
        <f>IF(Table1[[#This Row],[TIPO2]]="costo", VLOOKUP(Table1[[#This Row],[PARTIDA PRESUPUESTAL]],'Cost Report'!G:G,1,0),"Balance")</f>
        <v>3902-032</v>
      </c>
      <c r="AC2145" s="118"/>
      <c r="AD2145" s="159">
        <f>+Table1[[#This Row],[SUBTOTAL]]+Table1[[#This Row],[IVA]]-Table1[[#This Row],[RET IVA]]-Table1[[#This Row],[RET ISR]]-Table1[[#This Row],[TOTAL]]</f>
        <v>0</v>
      </c>
      <c r="AE2145" s="152"/>
      <c r="AF2145" s="153"/>
      <c r="AG2145" s="126"/>
      <c r="AK2145" s="306" t="str">
        <f>IF(ISNUMBER(Table1[[#This Row],[FECHA DE RECIBIDO]]), Table1[[#This Row],[FECHA DE RECIBIDO]]-DATE(2023,8,30), "")</f>
        <v/>
      </c>
    </row>
    <row r="2146" spans="1:37" ht="16.95" customHeight="1">
      <c r="A2146" s="150" t="s">
        <v>3705</v>
      </c>
      <c r="B2146" s="151">
        <v>726</v>
      </c>
      <c r="C2146" s="126" t="s">
        <v>1417</v>
      </c>
      <c r="D2146">
        <v>1453</v>
      </c>
      <c r="E2146" s="126" t="s">
        <v>1985</v>
      </c>
      <c r="F2146" s="122" t="s">
        <v>1607</v>
      </c>
      <c r="G2146" s="122" t="s">
        <v>134</v>
      </c>
      <c r="H2146">
        <v>47</v>
      </c>
      <c r="I2146" s="122" t="s">
        <v>1546</v>
      </c>
      <c r="J2146" s="307" t="s">
        <v>214</v>
      </c>
      <c r="K2146" s="127" t="s">
        <v>3797</v>
      </c>
      <c r="L2146" s="151" t="s">
        <v>3306</v>
      </c>
      <c r="M2146">
        <v>448</v>
      </c>
      <c r="N2146" s="123">
        <v>1</v>
      </c>
      <c r="O2146">
        <v>1440</v>
      </c>
      <c r="P2146" s="132" t="s">
        <v>77</v>
      </c>
      <c r="Q2146" s="131">
        <v>3514.59</v>
      </c>
      <c r="R2146" s="131">
        <v>0</v>
      </c>
      <c r="S2146" s="131">
        <v>0</v>
      </c>
      <c r="T2146" s="155">
        <v>0</v>
      </c>
      <c r="U2146" s="131">
        <v>0</v>
      </c>
      <c r="V2146" s="131">
        <v>3514.59</v>
      </c>
      <c r="W2146">
        <v>36</v>
      </c>
      <c r="X2146" s="151" t="s">
        <v>1430</v>
      </c>
      <c r="Y2146" s="135" t="s">
        <v>55</v>
      </c>
      <c r="Z2146" s="307">
        <v>229</v>
      </c>
      <c r="AB2146" t="str">
        <f>IF(Table1[[#This Row],[TIPO2]]="costo", VLOOKUP(Table1[[#This Row],[PARTIDA PRESUPUESTAL]],'Cost Report'!G:G,1,0),"Balance")</f>
        <v>3999-001</v>
      </c>
      <c r="AC2146" s="118"/>
      <c r="AD2146" s="159">
        <f>+Table1[[#This Row],[SUBTOTAL]]+Table1[[#This Row],[IVA]]-Table1[[#This Row],[RET IVA]]-Table1[[#This Row],[RET ISR]]-Table1[[#This Row],[TOTAL]]</f>
        <v>0</v>
      </c>
      <c r="AE2146" s="150"/>
      <c r="AF2146" s="151"/>
      <c r="AG2146" s="126"/>
      <c r="AK2146" s="306" t="str">
        <f>IF(ISNUMBER(Table1[[#This Row],[FECHA DE RECIBIDO]]), Table1[[#This Row],[FECHA DE RECIBIDO]]-DATE(2023,8,30), "")</f>
        <v/>
      </c>
    </row>
    <row r="2147" spans="1:37" ht="16.95" customHeight="1">
      <c r="A2147" s="152" t="s">
        <v>3706</v>
      </c>
      <c r="B2147" s="153">
        <v>727</v>
      </c>
      <c r="C2147" s="126" t="s">
        <v>2468</v>
      </c>
      <c r="D2147">
        <v>1454</v>
      </c>
      <c r="E2147" s="126" t="s">
        <v>1996</v>
      </c>
      <c r="F2147" s="125" t="s">
        <v>1589</v>
      </c>
      <c r="G2147" s="125" t="s">
        <v>129</v>
      </c>
      <c r="H2147">
        <v>126</v>
      </c>
      <c r="I2147" s="125" t="s">
        <v>1546</v>
      </c>
      <c r="J2147" s="308" t="s">
        <v>214</v>
      </c>
      <c r="K2147" s="127" t="s">
        <v>3797</v>
      </c>
      <c r="L2147" s="153" t="s">
        <v>3306</v>
      </c>
      <c r="M2147">
        <v>166</v>
      </c>
      <c r="N2147" s="123">
        <v>51</v>
      </c>
      <c r="O2147">
        <v>1441</v>
      </c>
      <c r="P2147" s="132" t="s">
        <v>77</v>
      </c>
      <c r="Q2147" s="132">
        <v>105907.5</v>
      </c>
      <c r="R2147" s="132">
        <v>16945.2</v>
      </c>
      <c r="S2147" s="132"/>
      <c r="T2147" s="156">
        <v>11296.84</v>
      </c>
      <c r="U2147" s="132">
        <v>10590.75</v>
      </c>
      <c r="V2147" s="132">
        <v>100965.11</v>
      </c>
      <c r="W2147">
        <v>89</v>
      </c>
      <c r="X2147" s="153" t="s">
        <v>3120</v>
      </c>
      <c r="Y2147" s="124" t="s">
        <v>55</v>
      </c>
      <c r="Z2147" s="308">
        <v>229</v>
      </c>
      <c r="AB2147" t="str">
        <f>IF(Table1[[#This Row],[TIPO2]]="costo", VLOOKUP(Table1[[#This Row],[PARTIDA PRESUPUESTAL]],'Cost Report'!G:G,1,0),"Balance")</f>
        <v>2394-009</v>
      </c>
      <c r="AC2147" s="118"/>
      <c r="AD2147" s="159">
        <f>+Table1[[#This Row],[SUBTOTAL]]+Table1[[#This Row],[IVA]]-Table1[[#This Row],[RET IVA]]-Table1[[#This Row],[RET ISR]]-Table1[[#This Row],[TOTAL]]</f>
        <v>0</v>
      </c>
      <c r="AE2147" s="152"/>
      <c r="AF2147" s="153"/>
      <c r="AG2147" s="126"/>
      <c r="AK2147" s="306" t="str">
        <f>IF(ISNUMBER(Table1[[#This Row],[FECHA DE RECIBIDO]]), Table1[[#This Row],[FECHA DE RECIBIDO]]-DATE(2023,8,30), "")</f>
        <v/>
      </c>
    </row>
    <row r="2148" spans="1:37" ht="16.95" customHeight="1">
      <c r="A2148" s="150" t="s">
        <v>3707</v>
      </c>
      <c r="B2148" s="151">
        <v>728</v>
      </c>
      <c r="C2148" s="126" t="s">
        <v>435</v>
      </c>
      <c r="D2148">
        <v>1455</v>
      </c>
      <c r="E2148" s="126" t="s">
        <v>1591</v>
      </c>
      <c r="F2148" s="122" t="s">
        <v>1589</v>
      </c>
      <c r="G2148" s="122" t="s">
        <v>129</v>
      </c>
      <c r="H2148">
        <v>17</v>
      </c>
      <c r="I2148" s="122" t="s">
        <v>1546</v>
      </c>
      <c r="J2148" s="307" t="s">
        <v>214</v>
      </c>
      <c r="K2148" s="127" t="s">
        <v>3797</v>
      </c>
      <c r="L2148" s="151" t="s">
        <v>110</v>
      </c>
      <c r="M2148">
        <v>22</v>
      </c>
      <c r="N2148" s="123">
        <v>3</v>
      </c>
      <c r="O2148">
        <v>1442</v>
      </c>
      <c r="P2148" s="132" t="s">
        <v>77</v>
      </c>
      <c r="Q2148" s="131">
        <v>40000</v>
      </c>
      <c r="R2148" s="131">
        <v>6400</v>
      </c>
      <c r="S2148" s="131"/>
      <c r="T2148" s="155">
        <v>4266.68</v>
      </c>
      <c r="U2148" s="131">
        <v>4000</v>
      </c>
      <c r="V2148" s="131">
        <v>38133.32</v>
      </c>
      <c r="W2148">
        <v>17</v>
      </c>
      <c r="X2148" s="151" t="s">
        <v>1430</v>
      </c>
      <c r="Y2148" s="135" t="s">
        <v>55</v>
      </c>
      <c r="Z2148" s="307">
        <v>233</v>
      </c>
      <c r="AB2148" t="str">
        <f>IF(Table1[[#This Row],[TIPO2]]="costo", VLOOKUP(Table1[[#This Row],[PARTIDA PRESUPUESTAL]],'Cost Report'!G:G,1,0),"Balance")</f>
        <v>2001-005</v>
      </c>
      <c r="AC2148" s="118"/>
      <c r="AD2148" s="159">
        <f>+Table1[[#This Row],[SUBTOTAL]]+Table1[[#This Row],[IVA]]-Table1[[#This Row],[RET IVA]]-Table1[[#This Row],[RET ISR]]-Table1[[#This Row],[TOTAL]]</f>
        <v>0</v>
      </c>
      <c r="AE2148" s="150"/>
      <c r="AF2148" s="151"/>
      <c r="AG2148" s="126"/>
      <c r="AK2148" s="306" t="str">
        <f>IF(ISNUMBER(Table1[[#This Row],[FECHA DE RECIBIDO]]), Table1[[#This Row],[FECHA DE RECIBIDO]]-DATE(2023,8,30), "")</f>
        <v/>
      </c>
    </row>
    <row r="2149" spans="1:37" ht="16.95" customHeight="1">
      <c r="A2149" s="152" t="s">
        <v>3708</v>
      </c>
      <c r="B2149" s="153">
        <v>729</v>
      </c>
      <c r="C2149" s="126" t="s">
        <v>2891</v>
      </c>
      <c r="D2149">
        <v>1456</v>
      </c>
      <c r="E2149" s="126" t="s">
        <v>3171</v>
      </c>
      <c r="F2149" s="125" t="s">
        <v>1602</v>
      </c>
      <c r="G2149" s="125" t="s">
        <v>1617</v>
      </c>
      <c r="H2149">
        <v>201</v>
      </c>
      <c r="I2149" s="125" t="s">
        <v>1546</v>
      </c>
      <c r="J2149" s="308" t="s">
        <v>214</v>
      </c>
      <c r="K2149" s="127" t="s">
        <v>3797</v>
      </c>
      <c r="L2149" s="153" t="s">
        <v>110</v>
      </c>
      <c r="M2149">
        <v>266</v>
      </c>
      <c r="N2149" s="123">
        <v>66</v>
      </c>
      <c r="O2149">
        <v>1443</v>
      </c>
      <c r="P2149" s="132" t="s">
        <v>77</v>
      </c>
      <c r="Q2149" s="132">
        <v>5000</v>
      </c>
      <c r="R2149" s="132">
        <v>800</v>
      </c>
      <c r="S2149" s="132"/>
      <c r="T2149" s="156">
        <v>533.34</v>
      </c>
      <c r="U2149" s="132">
        <v>0</v>
      </c>
      <c r="V2149" s="132">
        <v>5266.66</v>
      </c>
      <c r="W2149">
        <v>122</v>
      </c>
      <c r="X2149" s="153" t="s">
        <v>1434</v>
      </c>
      <c r="Y2149" s="124" t="s">
        <v>55</v>
      </c>
      <c r="Z2149" s="308">
        <v>233</v>
      </c>
      <c r="AB2149" t="str">
        <f>IF(Table1[[#This Row],[TIPO2]]="costo", VLOOKUP(Table1[[#This Row],[PARTIDA PRESUPUESTAL]],'Cost Report'!G:G,1,0),"Balance")</f>
        <v>3683-128</v>
      </c>
      <c r="AC2149" s="118"/>
      <c r="AD2149" s="159">
        <f>+Table1[[#This Row],[SUBTOTAL]]+Table1[[#This Row],[IVA]]-Table1[[#This Row],[RET IVA]]-Table1[[#This Row],[RET ISR]]-Table1[[#This Row],[TOTAL]]</f>
        <v>0</v>
      </c>
      <c r="AE2149" s="152"/>
      <c r="AF2149" s="153"/>
      <c r="AG2149" s="126"/>
      <c r="AK2149" s="306" t="str">
        <f>IF(ISNUMBER(Table1[[#This Row],[FECHA DE RECIBIDO]]), Table1[[#This Row],[FECHA DE RECIBIDO]]-DATE(2023,8,30), "")</f>
        <v/>
      </c>
    </row>
    <row r="2150" spans="1:37" ht="16.95" customHeight="1">
      <c r="A2150" s="150" t="s">
        <v>3709</v>
      </c>
      <c r="B2150" s="151">
        <v>730</v>
      </c>
      <c r="C2150" s="126" t="s">
        <v>231</v>
      </c>
      <c r="D2150">
        <v>1457</v>
      </c>
      <c r="E2150" s="126" t="s">
        <v>3783</v>
      </c>
      <c r="F2150" s="122" t="s">
        <v>1593</v>
      </c>
      <c r="G2150" s="122" t="s">
        <v>109</v>
      </c>
      <c r="H2150">
        <v>13</v>
      </c>
      <c r="I2150" s="122" t="s">
        <v>1546</v>
      </c>
      <c r="J2150" s="307" t="s">
        <v>214</v>
      </c>
      <c r="K2150" s="127" t="s">
        <v>3797</v>
      </c>
      <c r="L2150" s="151" t="s">
        <v>110</v>
      </c>
      <c r="M2150">
        <v>17</v>
      </c>
      <c r="N2150" s="123">
        <v>120</v>
      </c>
      <c r="O2150">
        <v>1444</v>
      </c>
      <c r="P2150" s="132" t="s">
        <v>77</v>
      </c>
      <c r="Q2150" s="131">
        <v>900000</v>
      </c>
      <c r="R2150" s="131">
        <v>144000</v>
      </c>
      <c r="S2150" s="131"/>
      <c r="T2150" s="155">
        <v>96000.3</v>
      </c>
      <c r="U2150" s="131">
        <v>11250</v>
      </c>
      <c r="V2150" s="131">
        <v>936749.7</v>
      </c>
      <c r="W2150">
        <v>13</v>
      </c>
      <c r="X2150" s="151" t="s">
        <v>1431</v>
      </c>
      <c r="Y2150" s="135" t="s">
        <v>55</v>
      </c>
      <c r="Z2150" s="307">
        <v>233</v>
      </c>
      <c r="AB2150" t="str">
        <f>IF(Table1[[#This Row],[TIPO2]]="costo", VLOOKUP(Table1[[#This Row],[PARTIDA PRESUPUESTAL]],'Cost Report'!G:G,1,0),"Balance")</f>
        <v>1201-006</v>
      </c>
      <c r="AC2150" s="118"/>
      <c r="AD2150" s="159">
        <f>+Table1[[#This Row],[SUBTOTAL]]+Table1[[#This Row],[IVA]]-Table1[[#This Row],[RET IVA]]-Table1[[#This Row],[RET ISR]]-Table1[[#This Row],[TOTAL]]</f>
        <v>0</v>
      </c>
      <c r="AE2150" s="150"/>
      <c r="AF2150" s="151"/>
      <c r="AG2150" s="126"/>
      <c r="AK2150" s="306" t="str">
        <f>IF(ISNUMBER(Table1[[#This Row],[FECHA DE RECIBIDO]]), Table1[[#This Row],[FECHA DE RECIBIDO]]-DATE(2023,8,30), "")</f>
        <v/>
      </c>
    </row>
    <row r="2151" spans="1:37" ht="16.95" customHeight="1">
      <c r="A2151" s="152" t="s">
        <v>3710</v>
      </c>
      <c r="B2151" s="153">
        <v>731</v>
      </c>
      <c r="C2151" s="126" t="s">
        <v>956</v>
      </c>
      <c r="D2151">
        <v>1458</v>
      </c>
      <c r="E2151" s="126" t="s">
        <v>1598</v>
      </c>
      <c r="F2151" s="125" t="s">
        <v>1593</v>
      </c>
      <c r="G2151" s="125" t="s">
        <v>109</v>
      </c>
      <c r="H2151">
        <v>25</v>
      </c>
      <c r="I2151" s="125" t="s">
        <v>1546</v>
      </c>
      <c r="J2151" s="308" t="s">
        <v>214</v>
      </c>
      <c r="K2151" s="127" t="s">
        <v>3797</v>
      </c>
      <c r="L2151" s="153" t="s">
        <v>110</v>
      </c>
      <c r="M2151">
        <v>34</v>
      </c>
      <c r="N2151" s="123">
        <v>10</v>
      </c>
      <c r="O2151">
        <v>1445</v>
      </c>
      <c r="P2151" s="132" t="s">
        <v>77</v>
      </c>
      <c r="Q2151" s="132">
        <v>21000</v>
      </c>
      <c r="R2151" s="132">
        <v>3360</v>
      </c>
      <c r="S2151" s="132"/>
      <c r="T2151" s="156">
        <v>2240</v>
      </c>
      <c r="U2151" s="132">
        <v>262.5</v>
      </c>
      <c r="V2151" s="132">
        <v>21857.5</v>
      </c>
      <c r="W2151">
        <v>27</v>
      </c>
      <c r="X2151" s="153" t="s">
        <v>1429</v>
      </c>
      <c r="Y2151" s="124" t="s">
        <v>55</v>
      </c>
      <c r="Z2151" s="308">
        <v>233</v>
      </c>
      <c r="AB2151" t="str">
        <f>IF(Table1[[#This Row],[TIPO2]]="costo", VLOOKUP(Table1[[#This Row],[PARTIDA PRESUPUESTAL]],'Cost Report'!G:G,1,0),"Balance")</f>
        <v>3403-016</v>
      </c>
      <c r="AC2151" s="118"/>
      <c r="AD2151" s="159">
        <f>+Table1[[#This Row],[SUBTOTAL]]+Table1[[#This Row],[IVA]]-Table1[[#This Row],[RET IVA]]-Table1[[#This Row],[RET ISR]]-Table1[[#This Row],[TOTAL]]</f>
        <v>0</v>
      </c>
      <c r="AE2151" s="152"/>
      <c r="AF2151" s="153"/>
      <c r="AG2151" s="126"/>
      <c r="AK2151" s="306" t="str">
        <f>IF(ISNUMBER(Table1[[#This Row],[FECHA DE RECIBIDO]]), Table1[[#This Row],[FECHA DE RECIBIDO]]-DATE(2023,8,30), "")</f>
        <v/>
      </c>
    </row>
    <row r="2152" spans="1:37" ht="16.95" customHeight="1">
      <c r="A2152" s="150" t="s">
        <v>3711</v>
      </c>
      <c r="B2152" s="151">
        <v>732</v>
      </c>
      <c r="C2152" s="126" t="s">
        <v>1868</v>
      </c>
      <c r="D2152">
        <v>1459</v>
      </c>
      <c r="E2152" s="126" t="s">
        <v>1614</v>
      </c>
      <c r="F2152" s="122" t="s">
        <v>1593</v>
      </c>
      <c r="G2152" s="122" t="s">
        <v>109</v>
      </c>
      <c r="H2152">
        <v>114</v>
      </c>
      <c r="I2152" s="122" t="s">
        <v>1546</v>
      </c>
      <c r="J2152" s="307" t="s">
        <v>214</v>
      </c>
      <c r="K2152" s="127" t="s">
        <v>3797</v>
      </c>
      <c r="L2152" s="151" t="s">
        <v>2028</v>
      </c>
      <c r="M2152">
        <v>152</v>
      </c>
      <c r="N2152" s="123">
        <v>44</v>
      </c>
      <c r="O2152">
        <v>1446</v>
      </c>
      <c r="P2152" s="132" t="s">
        <v>77</v>
      </c>
      <c r="Q2152" s="131">
        <v>3120</v>
      </c>
      <c r="R2152" s="131">
        <v>499.2</v>
      </c>
      <c r="S2152" s="131"/>
      <c r="T2152" s="155">
        <v>332.8</v>
      </c>
      <c r="U2152" s="131">
        <v>39</v>
      </c>
      <c r="V2152" s="131">
        <v>3247.3999999999996</v>
      </c>
      <c r="W2152">
        <v>76</v>
      </c>
      <c r="X2152" s="151" t="s">
        <v>1429</v>
      </c>
      <c r="Y2152" s="135" t="s">
        <v>55</v>
      </c>
      <c r="Z2152" s="307">
        <v>233</v>
      </c>
      <c r="AB2152" t="str">
        <f>IF(Table1[[#This Row],[TIPO2]]="costo", VLOOKUP(Table1[[#This Row],[PARTIDA PRESUPUESTAL]],'Cost Report'!G:G,1,0),"Balance")</f>
        <v>3442-006</v>
      </c>
      <c r="AC2152" s="118"/>
      <c r="AD2152" s="159">
        <f>+Table1[[#This Row],[SUBTOTAL]]+Table1[[#This Row],[IVA]]-Table1[[#This Row],[RET IVA]]-Table1[[#This Row],[RET ISR]]-Table1[[#This Row],[TOTAL]]</f>
        <v>0</v>
      </c>
      <c r="AE2152" s="150"/>
      <c r="AF2152" s="151"/>
      <c r="AG2152" s="126"/>
      <c r="AK2152" s="306" t="str">
        <f>IF(ISNUMBER(Table1[[#This Row],[FECHA DE RECIBIDO]]), Table1[[#This Row],[FECHA DE RECIBIDO]]-DATE(2023,8,30), "")</f>
        <v/>
      </c>
    </row>
    <row r="2153" spans="1:37" ht="16.95" customHeight="1">
      <c r="A2153" s="152" t="s">
        <v>3712</v>
      </c>
      <c r="B2153" s="153">
        <v>733</v>
      </c>
      <c r="C2153" s="126" t="s">
        <v>695</v>
      </c>
      <c r="D2153">
        <v>1460</v>
      </c>
      <c r="E2153" s="126" t="s">
        <v>2020</v>
      </c>
      <c r="F2153" s="125" t="s">
        <v>1602</v>
      </c>
      <c r="G2153" s="125" t="s">
        <v>1617</v>
      </c>
      <c r="H2153">
        <v>118</v>
      </c>
      <c r="I2153" s="125" t="s">
        <v>1546</v>
      </c>
      <c r="J2153" s="308" t="s">
        <v>214</v>
      </c>
      <c r="K2153" s="127" t="s">
        <v>3797</v>
      </c>
      <c r="L2153" s="153" t="s">
        <v>110</v>
      </c>
      <c r="M2153">
        <v>156</v>
      </c>
      <c r="N2153" s="123">
        <v>48</v>
      </c>
      <c r="O2153">
        <v>1447</v>
      </c>
      <c r="P2153" s="132" t="s">
        <v>77</v>
      </c>
      <c r="Q2153" s="132">
        <v>24000</v>
      </c>
      <c r="R2153" s="132">
        <v>3840</v>
      </c>
      <c r="S2153" s="132"/>
      <c r="T2153" s="156">
        <v>2560.08</v>
      </c>
      <c r="U2153" s="132">
        <v>0</v>
      </c>
      <c r="V2153" s="132">
        <v>25279.919999999998</v>
      </c>
      <c r="W2153">
        <v>80</v>
      </c>
      <c r="X2153" s="153" t="s">
        <v>1429</v>
      </c>
      <c r="Y2153" s="124" t="s">
        <v>55</v>
      </c>
      <c r="Z2153" s="308">
        <v>233</v>
      </c>
      <c r="AB2153" t="str">
        <f>IF(Table1[[#This Row],[TIPO2]]="costo", VLOOKUP(Table1[[#This Row],[PARTIDA PRESUPUESTAL]],'Cost Report'!G:G,1,0),"Balance")</f>
        <v>2804-004</v>
      </c>
      <c r="AC2153" s="118"/>
      <c r="AD2153" s="159">
        <f>+Table1[[#This Row],[SUBTOTAL]]+Table1[[#This Row],[IVA]]-Table1[[#This Row],[RET IVA]]-Table1[[#This Row],[RET ISR]]-Table1[[#This Row],[TOTAL]]</f>
        <v>0</v>
      </c>
      <c r="AE2153" s="152"/>
      <c r="AF2153" s="153"/>
      <c r="AG2153" s="126"/>
      <c r="AK2153" s="306" t="str">
        <f>IF(ISNUMBER(Table1[[#This Row],[FECHA DE RECIBIDO]]), Table1[[#This Row],[FECHA DE RECIBIDO]]-DATE(2023,8,30), "")</f>
        <v/>
      </c>
    </row>
    <row r="2154" spans="1:37" ht="16.95" customHeight="1">
      <c r="A2154" s="150" t="s">
        <v>3713</v>
      </c>
      <c r="B2154" s="151">
        <v>734</v>
      </c>
      <c r="C2154" s="126" t="s">
        <v>426</v>
      </c>
      <c r="D2154">
        <v>1461</v>
      </c>
      <c r="E2154" s="126" t="s">
        <v>3657</v>
      </c>
      <c r="F2154" s="122" t="s">
        <v>1589</v>
      </c>
      <c r="G2154" s="122" t="s">
        <v>129</v>
      </c>
      <c r="H2154">
        <v>374</v>
      </c>
      <c r="I2154" s="122" t="s">
        <v>1546</v>
      </c>
      <c r="J2154" s="307" t="s">
        <v>214</v>
      </c>
      <c r="K2154" s="127" t="s">
        <v>3797</v>
      </c>
      <c r="L2154" s="151" t="s">
        <v>2028</v>
      </c>
      <c r="M2154">
        <v>493</v>
      </c>
      <c r="N2154" s="123">
        <v>116</v>
      </c>
      <c r="O2154">
        <v>1448</v>
      </c>
      <c r="P2154" s="132" t="s">
        <v>77</v>
      </c>
      <c r="Q2154" s="131">
        <v>10500</v>
      </c>
      <c r="R2154" s="131">
        <f t="shared" ref="R2154:R2155" si="50">TRUNC(($Q2154*0.16),2)</f>
        <v>1680</v>
      </c>
      <c r="S2154" s="131"/>
      <c r="T2154" s="155">
        <f>TRUNC(($Q2154*0.106667),2)</f>
        <v>1120</v>
      </c>
      <c r="U2154" s="131">
        <f t="shared" ref="U2154:U2155" si="51">TRUNC(($Q2154*0.1),2)</f>
        <v>1050</v>
      </c>
      <c r="V2154" s="131">
        <v>10010</v>
      </c>
      <c r="W2154">
        <v>212</v>
      </c>
      <c r="X2154" s="151" t="s">
        <v>1430</v>
      </c>
      <c r="Y2154" s="135" t="s">
        <v>55</v>
      </c>
      <c r="Z2154" s="307">
        <v>233</v>
      </c>
      <c r="AB2154" t="str">
        <f>IF(Table1[[#This Row],[TIPO2]]="costo", VLOOKUP(Table1[[#This Row],[PARTIDA PRESUPUESTAL]],'Cost Report'!G:G,1,0),"Balance")</f>
        <v>1642-007</v>
      </c>
      <c r="AC2154" s="118"/>
      <c r="AD2154" s="159">
        <f>+Table1[[#This Row],[SUBTOTAL]]+Table1[[#This Row],[IVA]]-Table1[[#This Row],[RET IVA]]-Table1[[#This Row],[RET ISR]]-Table1[[#This Row],[TOTAL]]</f>
        <v>0</v>
      </c>
      <c r="AE2154" s="150"/>
      <c r="AF2154" s="151"/>
      <c r="AG2154" s="126"/>
      <c r="AK2154" s="306" t="str">
        <f>IF(ISNUMBER(Table1[[#This Row],[FECHA DE RECIBIDO]]), Table1[[#This Row],[FECHA DE RECIBIDO]]-DATE(2023,8,30), "")</f>
        <v/>
      </c>
    </row>
    <row r="2155" spans="1:37" ht="16.95" customHeight="1">
      <c r="A2155" s="152"/>
      <c r="B2155" s="153">
        <v>734</v>
      </c>
      <c r="C2155" s="126" t="s">
        <v>427</v>
      </c>
      <c r="D2155">
        <v>1461</v>
      </c>
      <c r="E2155" s="126" t="s">
        <v>3657</v>
      </c>
      <c r="F2155" s="125" t="s">
        <v>1589</v>
      </c>
      <c r="G2155" s="125" t="s">
        <v>129</v>
      </c>
      <c r="H2155">
        <v>374</v>
      </c>
      <c r="I2155" s="125" t="s">
        <v>1546</v>
      </c>
      <c r="J2155" s="308" t="s">
        <v>214</v>
      </c>
      <c r="K2155" s="127" t="s">
        <v>3797</v>
      </c>
      <c r="L2155" s="153" t="s">
        <v>2028</v>
      </c>
      <c r="M2155">
        <v>493</v>
      </c>
      <c r="N2155" s="123">
        <v>116</v>
      </c>
      <c r="O2155">
        <v>1448</v>
      </c>
      <c r="P2155" s="132" t="s">
        <v>77</v>
      </c>
      <c r="Q2155" s="132">
        <v>9000</v>
      </c>
      <c r="R2155" s="132">
        <f t="shared" si="50"/>
        <v>1440</v>
      </c>
      <c r="S2155" s="132"/>
      <c r="T2155" s="156">
        <f>TRUNC(($Q2155*0.106667),2)+0.01</f>
        <v>960.01</v>
      </c>
      <c r="U2155" s="132">
        <f t="shared" si="51"/>
        <v>900</v>
      </c>
      <c r="V2155" s="132">
        <v>8579.99</v>
      </c>
      <c r="W2155">
        <v>212</v>
      </c>
      <c r="X2155" s="153" t="s">
        <v>1430</v>
      </c>
      <c r="Y2155" s="124" t="s">
        <v>55</v>
      </c>
      <c r="Z2155" s="308">
        <v>233</v>
      </c>
      <c r="AB2155" t="str">
        <f>IF(Table1[[#This Row],[TIPO2]]="costo", VLOOKUP(Table1[[#This Row],[PARTIDA PRESUPUESTAL]],'Cost Report'!G:G,1,0),"Balance")</f>
        <v>1642-008</v>
      </c>
      <c r="AC2155" s="118"/>
      <c r="AD2155" s="159">
        <f>+Table1[[#This Row],[SUBTOTAL]]+Table1[[#This Row],[IVA]]-Table1[[#This Row],[RET IVA]]-Table1[[#This Row],[RET ISR]]-Table1[[#This Row],[TOTAL]]</f>
        <v>0</v>
      </c>
      <c r="AE2155" s="152"/>
      <c r="AF2155" s="153"/>
      <c r="AG2155" s="126"/>
      <c r="AK2155" s="306" t="str">
        <f>IF(ISNUMBER(Table1[[#This Row],[FECHA DE RECIBIDO]]), Table1[[#This Row],[FECHA DE RECIBIDO]]-DATE(2023,8,30), "")</f>
        <v/>
      </c>
    </row>
    <row r="2156" spans="1:37" ht="16.95" customHeight="1">
      <c r="A2156" s="150" t="s">
        <v>3714</v>
      </c>
      <c r="B2156" s="151">
        <v>735</v>
      </c>
      <c r="C2156" s="126" t="s">
        <v>911</v>
      </c>
      <c r="D2156">
        <v>1462</v>
      </c>
      <c r="E2156" s="126" t="s">
        <v>3237</v>
      </c>
      <c r="F2156" s="122" t="s">
        <v>1607</v>
      </c>
      <c r="G2156" s="122" t="s">
        <v>134</v>
      </c>
      <c r="H2156">
        <v>213</v>
      </c>
      <c r="I2156" s="122" t="s">
        <v>1546</v>
      </c>
      <c r="J2156" s="307" t="s">
        <v>214</v>
      </c>
      <c r="K2156" s="127" t="s">
        <v>3797</v>
      </c>
      <c r="L2156" s="151" t="s">
        <v>3306</v>
      </c>
      <c r="M2156">
        <v>616</v>
      </c>
      <c r="N2156" s="123">
        <v>1</v>
      </c>
      <c r="O2156">
        <v>1449</v>
      </c>
      <c r="P2156" s="132" t="s">
        <v>77</v>
      </c>
      <c r="Q2156" s="131">
        <v>16000</v>
      </c>
      <c r="R2156" s="131">
        <v>2560</v>
      </c>
      <c r="S2156" s="131"/>
      <c r="T2156" s="155">
        <v>0</v>
      </c>
      <c r="U2156" s="131">
        <v>0</v>
      </c>
      <c r="V2156" s="131">
        <v>18560</v>
      </c>
      <c r="W2156">
        <v>134</v>
      </c>
      <c r="X2156" s="151" t="s">
        <v>2024</v>
      </c>
      <c r="Y2156" s="135" t="s">
        <v>55</v>
      </c>
      <c r="Z2156" s="307">
        <v>233</v>
      </c>
      <c r="AB2156" t="str">
        <f>IF(Table1[[#This Row],[TIPO2]]="costo", VLOOKUP(Table1[[#This Row],[PARTIDA PRESUPUESTAL]],'Cost Report'!G:G,1,0),"Balance")</f>
        <v>3201-004</v>
      </c>
      <c r="AC2156" s="118"/>
      <c r="AD2156" s="159">
        <f>+Table1[[#This Row],[SUBTOTAL]]+Table1[[#This Row],[IVA]]-Table1[[#This Row],[RET IVA]]-Table1[[#This Row],[RET ISR]]-Table1[[#This Row],[TOTAL]]</f>
        <v>0</v>
      </c>
      <c r="AE2156" s="150"/>
      <c r="AF2156" s="151"/>
      <c r="AG2156" s="126"/>
      <c r="AK2156" s="306" t="str">
        <f>IF(ISNUMBER(Table1[[#This Row],[FECHA DE RECIBIDO]]), Table1[[#This Row],[FECHA DE RECIBIDO]]-DATE(2023,8,30), "")</f>
        <v/>
      </c>
    </row>
    <row r="2157" spans="1:37" ht="16.95" customHeight="1">
      <c r="A2157" s="152" t="s">
        <v>3715</v>
      </c>
      <c r="B2157" s="153">
        <v>736</v>
      </c>
      <c r="C2157" s="126" t="s">
        <v>914</v>
      </c>
      <c r="D2157">
        <v>1463</v>
      </c>
      <c r="E2157" s="126" t="s">
        <v>3237</v>
      </c>
      <c r="F2157" s="125" t="s">
        <v>1607</v>
      </c>
      <c r="G2157" s="125" t="s">
        <v>134</v>
      </c>
      <c r="H2157">
        <v>213</v>
      </c>
      <c r="I2157" s="125" t="s">
        <v>1546</v>
      </c>
      <c r="J2157" s="308" t="s">
        <v>214</v>
      </c>
      <c r="K2157" s="127" t="s">
        <v>3797</v>
      </c>
      <c r="L2157" s="153" t="s">
        <v>3306</v>
      </c>
      <c r="M2157">
        <v>617</v>
      </c>
      <c r="N2157" s="123">
        <v>1</v>
      </c>
      <c r="O2157">
        <v>1450</v>
      </c>
      <c r="P2157" s="132" t="s">
        <v>77</v>
      </c>
      <c r="Q2157" s="132">
        <v>14000</v>
      </c>
      <c r="R2157" s="132">
        <v>2240</v>
      </c>
      <c r="S2157" s="132"/>
      <c r="T2157" s="156">
        <v>0</v>
      </c>
      <c r="U2157" s="132">
        <v>0</v>
      </c>
      <c r="V2157" s="132">
        <v>16240</v>
      </c>
      <c r="W2157">
        <v>134</v>
      </c>
      <c r="X2157" s="153" t="s">
        <v>2024</v>
      </c>
      <c r="Y2157" s="124" t="s">
        <v>55</v>
      </c>
      <c r="Z2157" s="308">
        <v>233</v>
      </c>
      <c r="AB2157" t="str">
        <f>IF(Table1[[#This Row],[TIPO2]]="costo", VLOOKUP(Table1[[#This Row],[PARTIDA PRESUPUESTAL]],'Cost Report'!G:G,1,0),"Balance")</f>
        <v>3201-007</v>
      </c>
      <c r="AC2157" s="118"/>
      <c r="AD2157" s="159">
        <f>+Table1[[#This Row],[SUBTOTAL]]+Table1[[#This Row],[IVA]]-Table1[[#This Row],[RET IVA]]-Table1[[#This Row],[RET ISR]]-Table1[[#This Row],[TOTAL]]</f>
        <v>0</v>
      </c>
      <c r="AE2157" s="152"/>
      <c r="AF2157" s="153"/>
      <c r="AG2157" s="126"/>
      <c r="AK2157" s="306" t="str">
        <f>IF(ISNUMBER(Table1[[#This Row],[FECHA DE RECIBIDO]]), Table1[[#This Row],[FECHA DE RECIBIDO]]-DATE(2023,8,30), "")</f>
        <v/>
      </c>
    </row>
    <row r="2158" spans="1:37" ht="16.95" customHeight="1">
      <c r="A2158" s="150" t="s">
        <v>3716</v>
      </c>
      <c r="B2158" s="151">
        <v>737</v>
      </c>
      <c r="C2158" s="126" t="s">
        <v>915</v>
      </c>
      <c r="D2158">
        <v>1464</v>
      </c>
      <c r="E2158" s="126" t="s">
        <v>3237</v>
      </c>
      <c r="F2158" s="122" t="s">
        <v>1607</v>
      </c>
      <c r="G2158" s="122" t="s">
        <v>134</v>
      </c>
      <c r="H2158">
        <v>213</v>
      </c>
      <c r="I2158" s="122" t="s">
        <v>1546</v>
      </c>
      <c r="J2158" s="307" t="s">
        <v>214</v>
      </c>
      <c r="K2158" s="127" t="s">
        <v>3797</v>
      </c>
      <c r="L2158" s="151" t="s">
        <v>3306</v>
      </c>
      <c r="M2158">
        <v>617</v>
      </c>
      <c r="N2158" s="123">
        <v>1</v>
      </c>
      <c r="O2158">
        <v>1451</v>
      </c>
      <c r="P2158" s="132" t="s">
        <v>77</v>
      </c>
      <c r="Q2158" s="131">
        <v>9200</v>
      </c>
      <c r="R2158" s="131">
        <v>1472</v>
      </c>
      <c r="S2158" s="131"/>
      <c r="T2158" s="155">
        <v>0</v>
      </c>
      <c r="U2158" s="131">
        <v>0</v>
      </c>
      <c r="V2158" s="131">
        <v>10672</v>
      </c>
      <c r="W2158">
        <v>134</v>
      </c>
      <c r="X2158" s="151" t="s">
        <v>2024</v>
      </c>
      <c r="Y2158" s="135" t="s">
        <v>55</v>
      </c>
      <c r="Z2158" s="307">
        <v>233</v>
      </c>
      <c r="AB2158" t="str">
        <f>IF(Table1[[#This Row],[TIPO2]]="costo", VLOOKUP(Table1[[#This Row],[PARTIDA PRESUPUESTAL]],'Cost Report'!G:G,1,0),"Balance")</f>
        <v>3201-008</v>
      </c>
      <c r="AC2158" s="118"/>
      <c r="AD2158" s="159">
        <f>+Table1[[#This Row],[SUBTOTAL]]+Table1[[#This Row],[IVA]]-Table1[[#This Row],[RET IVA]]-Table1[[#This Row],[RET ISR]]-Table1[[#This Row],[TOTAL]]</f>
        <v>0</v>
      </c>
      <c r="AE2158" s="150"/>
      <c r="AF2158" s="151"/>
      <c r="AG2158" s="126"/>
      <c r="AK2158" s="306" t="str">
        <f>IF(ISNUMBER(Table1[[#This Row],[FECHA DE RECIBIDO]]), Table1[[#This Row],[FECHA DE RECIBIDO]]-DATE(2023,8,30), "")</f>
        <v/>
      </c>
    </row>
    <row r="2159" spans="1:37" ht="16.95" customHeight="1">
      <c r="A2159" s="152" t="s">
        <v>3717</v>
      </c>
      <c r="B2159" s="153">
        <v>738</v>
      </c>
      <c r="C2159" s="126" t="s">
        <v>3002</v>
      </c>
      <c r="D2159">
        <v>1465</v>
      </c>
      <c r="E2159" s="126" t="s">
        <v>3636</v>
      </c>
      <c r="F2159" s="125" t="s">
        <v>1607</v>
      </c>
      <c r="G2159" s="125" t="s">
        <v>134</v>
      </c>
      <c r="H2159">
        <v>333</v>
      </c>
      <c r="I2159" s="125" t="s">
        <v>1546</v>
      </c>
      <c r="J2159" s="308" t="s">
        <v>214</v>
      </c>
      <c r="K2159" s="127" t="s">
        <v>3797</v>
      </c>
      <c r="L2159" s="153" t="s">
        <v>3306</v>
      </c>
      <c r="M2159">
        <v>447</v>
      </c>
      <c r="N2159" s="123">
        <v>1</v>
      </c>
      <c r="O2159">
        <v>1452</v>
      </c>
      <c r="P2159" s="132" t="s">
        <v>77</v>
      </c>
      <c r="Q2159" s="132">
        <v>10000</v>
      </c>
      <c r="R2159" s="132">
        <v>1600</v>
      </c>
      <c r="S2159" s="132"/>
      <c r="T2159" s="156">
        <v>0</v>
      </c>
      <c r="U2159" s="132">
        <v>0</v>
      </c>
      <c r="V2159" s="132">
        <v>11600</v>
      </c>
      <c r="W2159">
        <v>171</v>
      </c>
      <c r="X2159" s="153" t="s">
        <v>3683</v>
      </c>
      <c r="Y2159" s="124" t="s">
        <v>55</v>
      </c>
      <c r="Z2159" s="308">
        <v>233</v>
      </c>
      <c r="AB2159" t="str">
        <f>IF(Table1[[#This Row],[TIPO2]]="costo", VLOOKUP(Table1[[#This Row],[PARTIDA PRESUPUESTAL]],'Cost Report'!G:G,1,0),"Balance")</f>
        <v>4180-003</v>
      </c>
      <c r="AC2159" s="118"/>
      <c r="AD2159" s="159">
        <f>+Table1[[#This Row],[SUBTOTAL]]+Table1[[#This Row],[IVA]]-Table1[[#This Row],[RET IVA]]-Table1[[#This Row],[RET ISR]]-Table1[[#This Row],[TOTAL]]</f>
        <v>0</v>
      </c>
      <c r="AE2159" s="152"/>
      <c r="AF2159" s="153"/>
      <c r="AG2159" s="126"/>
      <c r="AK2159" s="306" t="str">
        <f>IF(ISNUMBER(Table1[[#This Row],[FECHA DE RECIBIDO]]), Table1[[#This Row],[FECHA DE RECIBIDO]]-DATE(2023,8,30), "")</f>
        <v/>
      </c>
    </row>
    <row r="2160" spans="1:37" ht="16.95" customHeight="1">
      <c r="A2160" s="150" t="s">
        <v>3718</v>
      </c>
      <c r="B2160" s="151">
        <v>739</v>
      </c>
      <c r="C2160" s="126" t="s">
        <v>2854</v>
      </c>
      <c r="D2160">
        <v>1466</v>
      </c>
      <c r="E2160" s="126" t="s">
        <v>3636</v>
      </c>
      <c r="F2160" s="122" t="s">
        <v>1607</v>
      </c>
      <c r="G2160" s="122" t="s">
        <v>134</v>
      </c>
      <c r="H2160">
        <v>333</v>
      </c>
      <c r="I2160" s="122" t="s">
        <v>1546</v>
      </c>
      <c r="J2160" s="307" t="s">
        <v>214</v>
      </c>
      <c r="K2160" s="127" t="s">
        <v>3797</v>
      </c>
      <c r="L2160" s="151" t="s">
        <v>3306</v>
      </c>
      <c r="M2160">
        <v>447</v>
      </c>
      <c r="N2160" s="123">
        <v>1</v>
      </c>
      <c r="O2160">
        <v>1453</v>
      </c>
      <c r="P2160" s="132" t="s">
        <v>77</v>
      </c>
      <c r="Q2160" s="131">
        <v>76000</v>
      </c>
      <c r="R2160" s="131">
        <v>12160</v>
      </c>
      <c r="S2160" s="131"/>
      <c r="T2160" s="155">
        <v>0</v>
      </c>
      <c r="U2160" s="131">
        <v>0</v>
      </c>
      <c r="V2160" s="131">
        <v>88160</v>
      </c>
      <c r="W2160">
        <v>171</v>
      </c>
      <c r="X2160" s="151" t="s">
        <v>3683</v>
      </c>
      <c r="Y2160" s="135" t="s">
        <v>55</v>
      </c>
      <c r="Z2160" s="307">
        <v>233</v>
      </c>
      <c r="AB2160" t="str">
        <f>IF(Table1[[#This Row],[TIPO2]]="costo", VLOOKUP(Table1[[#This Row],[PARTIDA PRESUPUESTAL]],'Cost Report'!G:G,1,0),"Balance")</f>
        <v>3583-004</v>
      </c>
      <c r="AC2160" s="118"/>
      <c r="AD2160" s="159">
        <f>+Table1[[#This Row],[SUBTOTAL]]+Table1[[#This Row],[IVA]]-Table1[[#This Row],[RET IVA]]-Table1[[#This Row],[RET ISR]]-Table1[[#This Row],[TOTAL]]</f>
        <v>0</v>
      </c>
      <c r="AE2160" s="150"/>
      <c r="AF2160" s="151"/>
      <c r="AG2160" s="126"/>
      <c r="AK2160" s="306" t="str">
        <f>IF(ISNUMBER(Table1[[#This Row],[FECHA DE RECIBIDO]]), Table1[[#This Row],[FECHA DE RECIBIDO]]-DATE(2023,8,30), "")</f>
        <v/>
      </c>
    </row>
    <row r="2161" spans="1:37" ht="16.95" customHeight="1">
      <c r="A2161" s="152" t="s">
        <v>3719</v>
      </c>
      <c r="B2161" s="153">
        <v>740</v>
      </c>
      <c r="C2161" s="126" t="s">
        <v>3412</v>
      </c>
      <c r="D2161">
        <v>1467</v>
      </c>
      <c r="E2161" s="126" t="s">
        <v>3636</v>
      </c>
      <c r="F2161" s="125" t="s">
        <v>1607</v>
      </c>
      <c r="G2161" s="125" t="s">
        <v>134</v>
      </c>
      <c r="H2161">
        <v>333</v>
      </c>
      <c r="I2161" s="125" t="s">
        <v>1546</v>
      </c>
      <c r="J2161" s="308" t="s">
        <v>214</v>
      </c>
      <c r="K2161" s="127" t="s">
        <v>3797</v>
      </c>
      <c r="L2161" s="153" t="s">
        <v>3306</v>
      </c>
      <c r="M2161">
        <v>447</v>
      </c>
      <c r="N2161" s="123">
        <v>1</v>
      </c>
      <c r="O2161">
        <v>1454</v>
      </c>
      <c r="P2161" s="132" t="s">
        <v>77</v>
      </c>
      <c r="Q2161" s="132">
        <v>12500</v>
      </c>
      <c r="R2161" s="132">
        <v>2000</v>
      </c>
      <c r="S2161" s="132"/>
      <c r="T2161" s="156">
        <v>0</v>
      </c>
      <c r="U2161" s="132">
        <v>0</v>
      </c>
      <c r="V2161" s="132">
        <v>14500</v>
      </c>
      <c r="W2161">
        <v>171</v>
      </c>
      <c r="X2161" s="153" t="s">
        <v>3683</v>
      </c>
      <c r="Y2161" s="124" t="s">
        <v>55</v>
      </c>
      <c r="Z2161" s="308">
        <v>233</v>
      </c>
      <c r="AB2161" t="str">
        <f>IF(Table1[[#This Row],[TIPO2]]="costo", VLOOKUP(Table1[[#This Row],[PARTIDA PRESUPUESTAL]],'Cost Report'!G:G,1,0),"Balance")</f>
        <v>3193-117</v>
      </c>
      <c r="AC2161" s="118"/>
      <c r="AD2161" s="159">
        <f>+Table1[[#This Row],[SUBTOTAL]]+Table1[[#This Row],[IVA]]-Table1[[#This Row],[RET IVA]]-Table1[[#This Row],[RET ISR]]-Table1[[#This Row],[TOTAL]]</f>
        <v>0</v>
      </c>
      <c r="AE2161" s="152"/>
      <c r="AF2161" s="153"/>
      <c r="AG2161" s="126"/>
      <c r="AK2161" s="306" t="str">
        <f>IF(ISNUMBER(Table1[[#This Row],[FECHA DE RECIBIDO]]), Table1[[#This Row],[FECHA DE RECIBIDO]]-DATE(2023,8,30), "")</f>
        <v/>
      </c>
    </row>
    <row r="2162" spans="1:37" ht="16.95" customHeight="1">
      <c r="A2162" s="150" t="s">
        <v>3720</v>
      </c>
      <c r="B2162" s="151">
        <v>741</v>
      </c>
      <c r="C2162" s="126" t="s">
        <v>1746</v>
      </c>
      <c r="D2162">
        <v>1468</v>
      </c>
      <c r="E2162" s="126" t="s">
        <v>3636</v>
      </c>
      <c r="F2162" s="122" t="s">
        <v>1607</v>
      </c>
      <c r="G2162" s="122" t="s">
        <v>134</v>
      </c>
      <c r="H2162">
        <v>333</v>
      </c>
      <c r="I2162" s="122" t="s">
        <v>1546</v>
      </c>
      <c r="J2162" s="307" t="s">
        <v>214</v>
      </c>
      <c r="K2162" s="127" t="s">
        <v>3797</v>
      </c>
      <c r="L2162" s="151" t="s">
        <v>3306</v>
      </c>
      <c r="M2162">
        <v>447</v>
      </c>
      <c r="N2162" s="123">
        <v>1</v>
      </c>
      <c r="O2162">
        <v>1455</v>
      </c>
      <c r="P2162" s="132" t="s">
        <v>77</v>
      </c>
      <c r="Q2162" s="131">
        <v>12000</v>
      </c>
      <c r="R2162" s="131">
        <v>1920</v>
      </c>
      <c r="S2162" s="131"/>
      <c r="T2162" s="155">
        <v>0</v>
      </c>
      <c r="U2162" s="131">
        <v>0</v>
      </c>
      <c r="V2162" s="131">
        <v>13920</v>
      </c>
      <c r="W2162">
        <v>171</v>
      </c>
      <c r="X2162" s="151" t="s">
        <v>3683</v>
      </c>
      <c r="Y2162" s="135" t="s">
        <v>55</v>
      </c>
      <c r="Z2162" s="307">
        <v>233</v>
      </c>
      <c r="AB2162" t="str">
        <f>IF(Table1[[#This Row],[TIPO2]]="costo", VLOOKUP(Table1[[#This Row],[PARTIDA PRESUPUESTAL]],'Cost Report'!G:G,1,0),"Balance")</f>
        <v>2602-015</v>
      </c>
      <c r="AC2162" s="118"/>
      <c r="AD2162" s="159">
        <f>+Table1[[#This Row],[SUBTOTAL]]+Table1[[#This Row],[IVA]]-Table1[[#This Row],[RET IVA]]-Table1[[#This Row],[RET ISR]]-Table1[[#This Row],[TOTAL]]</f>
        <v>0</v>
      </c>
      <c r="AE2162" s="150"/>
      <c r="AF2162" s="151"/>
      <c r="AG2162" s="126"/>
      <c r="AK2162" s="306" t="str">
        <f>IF(ISNUMBER(Table1[[#This Row],[FECHA DE RECIBIDO]]), Table1[[#This Row],[FECHA DE RECIBIDO]]-DATE(2023,8,30), "")</f>
        <v/>
      </c>
    </row>
    <row r="2163" spans="1:37" ht="16.95" customHeight="1">
      <c r="A2163" s="152" t="s">
        <v>3720</v>
      </c>
      <c r="B2163" s="153">
        <v>741</v>
      </c>
      <c r="C2163" s="126" t="s">
        <v>1744</v>
      </c>
      <c r="D2163">
        <v>1468</v>
      </c>
      <c r="E2163" s="126" t="s">
        <v>3636</v>
      </c>
      <c r="F2163" s="125" t="s">
        <v>1607</v>
      </c>
      <c r="G2163" s="125" t="s">
        <v>134</v>
      </c>
      <c r="H2163">
        <v>333</v>
      </c>
      <c r="I2163" s="125" t="s">
        <v>1546</v>
      </c>
      <c r="J2163" s="308" t="s">
        <v>214</v>
      </c>
      <c r="K2163" s="127" t="s">
        <v>3797</v>
      </c>
      <c r="L2163" s="153" t="s">
        <v>3306</v>
      </c>
      <c r="M2163">
        <v>447</v>
      </c>
      <c r="N2163" s="123">
        <v>1</v>
      </c>
      <c r="O2163">
        <v>1455</v>
      </c>
      <c r="P2163" s="132" t="s">
        <v>77</v>
      </c>
      <c r="Q2163" s="132">
        <v>12000</v>
      </c>
      <c r="R2163" s="132">
        <v>1920</v>
      </c>
      <c r="S2163" s="132"/>
      <c r="T2163" s="156">
        <v>0</v>
      </c>
      <c r="U2163" s="132">
        <v>0</v>
      </c>
      <c r="V2163" s="132">
        <v>13920</v>
      </c>
      <c r="W2163">
        <v>171</v>
      </c>
      <c r="X2163" s="153" t="s">
        <v>3683</v>
      </c>
      <c r="Y2163" s="124" t="s">
        <v>55</v>
      </c>
      <c r="Z2163" s="308">
        <v>233</v>
      </c>
      <c r="AB2163" t="str">
        <f>IF(Table1[[#This Row],[TIPO2]]="costo", VLOOKUP(Table1[[#This Row],[PARTIDA PRESUPUESTAL]],'Cost Report'!G:G,1,0),"Balance")</f>
        <v>2602-013</v>
      </c>
      <c r="AC2163" s="118"/>
      <c r="AD2163" s="159">
        <f>+Table1[[#This Row],[SUBTOTAL]]+Table1[[#This Row],[IVA]]-Table1[[#This Row],[RET IVA]]-Table1[[#This Row],[RET ISR]]-Table1[[#This Row],[TOTAL]]</f>
        <v>0</v>
      </c>
      <c r="AE2163" s="152"/>
      <c r="AF2163" s="153"/>
      <c r="AG2163" s="126"/>
      <c r="AK2163" s="306" t="str">
        <f>IF(ISNUMBER(Table1[[#This Row],[FECHA DE RECIBIDO]]), Table1[[#This Row],[FECHA DE RECIBIDO]]-DATE(2023,8,30), "")</f>
        <v/>
      </c>
    </row>
    <row r="2164" spans="1:37" ht="16.95" customHeight="1">
      <c r="A2164" s="150" t="s">
        <v>3720</v>
      </c>
      <c r="B2164" s="151">
        <v>741</v>
      </c>
      <c r="C2164" s="126" t="s">
        <v>1745</v>
      </c>
      <c r="D2164">
        <v>1468</v>
      </c>
      <c r="E2164" s="126" t="s">
        <v>3636</v>
      </c>
      <c r="F2164" s="122" t="s">
        <v>1607</v>
      </c>
      <c r="G2164" s="122" t="s">
        <v>134</v>
      </c>
      <c r="H2164">
        <v>333</v>
      </c>
      <c r="I2164" s="122" t="s">
        <v>1546</v>
      </c>
      <c r="J2164" s="307" t="s">
        <v>214</v>
      </c>
      <c r="K2164" s="127" t="s">
        <v>3797</v>
      </c>
      <c r="L2164" s="151" t="s">
        <v>3306</v>
      </c>
      <c r="M2164">
        <v>447</v>
      </c>
      <c r="N2164" s="123">
        <v>1</v>
      </c>
      <c r="O2164">
        <v>1455</v>
      </c>
      <c r="P2164" s="132" t="s">
        <v>77</v>
      </c>
      <c r="Q2164" s="131">
        <v>14400</v>
      </c>
      <c r="R2164" s="131">
        <v>2304</v>
      </c>
      <c r="S2164" s="131"/>
      <c r="T2164" s="155">
        <v>0</v>
      </c>
      <c r="U2164" s="131">
        <v>0</v>
      </c>
      <c r="V2164" s="131">
        <v>16704</v>
      </c>
      <c r="W2164">
        <v>171</v>
      </c>
      <c r="X2164" s="151" t="s">
        <v>3683</v>
      </c>
      <c r="Y2164" s="135" t="s">
        <v>55</v>
      </c>
      <c r="Z2164" s="307">
        <v>233</v>
      </c>
      <c r="AB2164" t="str">
        <f>IF(Table1[[#This Row],[TIPO2]]="costo", VLOOKUP(Table1[[#This Row],[PARTIDA PRESUPUESTAL]],'Cost Report'!G:G,1,0),"Balance")</f>
        <v>2602-014</v>
      </c>
      <c r="AC2164" s="118"/>
      <c r="AD2164" s="159">
        <f>+Table1[[#This Row],[SUBTOTAL]]+Table1[[#This Row],[IVA]]-Table1[[#This Row],[RET IVA]]-Table1[[#This Row],[RET ISR]]-Table1[[#This Row],[TOTAL]]</f>
        <v>0</v>
      </c>
      <c r="AE2164" s="150"/>
      <c r="AF2164" s="151"/>
      <c r="AG2164" s="126"/>
      <c r="AK2164" s="306" t="str">
        <f>IF(ISNUMBER(Table1[[#This Row],[FECHA DE RECIBIDO]]), Table1[[#This Row],[FECHA DE RECIBIDO]]-DATE(2023,8,30), "")</f>
        <v/>
      </c>
    </row>
    <row r="2165" spans="1:37" ht="16.95" customHeight="1">
      <c r="A2165" s="152" t="s">
        <v>3720</v>
      </c>
      <c r="B2165" s="153">
        <v>741</v>
      </c>
      <c r="C2165" s="126" t="s">
        <v>1746</v>
      </c>
      <c r="D2165">
        <v>1468</v>
      </c>
      <c r="E2165" s="126" t="s">
        <v>3636</v>
      </c>
      <c r="F2165" s="125" t="s">
        <v>1607</v>
      </c>
      <c r="G2165" s="125" t="s">
        <v>134</v>
      </c>
      <c r="H2165">
        <v>333</v>
      </c>
      <c r="I2165" s="125" t="s">
        <v>1546</v>
      </c>
      <c r="J2165" s="308" t="s">
        <v>214</v>
      </c>
      <c r="K2165" s="127" t="s">
        <v>3797</v>
      </c>
      <c r="L2165" s="153" t="s">
        <v>3306</v>
      </c>
      <c r="M2165">
        <v>447</v>
      </c>
      <c r="N2165" s="123">
        <v>1</v>
      </c>
      <c r="O2165">
        <v>1455</v>
      </c>
      <c r="P2165" s="132" t="s">
        <v>77</v>
      </c>
      <c r="Q2165" s="132">
        <v>12000</v>
      </c>
      <c r="R2165" s="132">
        <v>1920</v>
      </c>
      <c r="S2165" s="132"/>
      <c r="T2165" s="156">
        <v>0</v>
      </c>
      <c r="U2165" s="132">
        <v>0</v>
      </c>
      <c r="V2165" s="132">
        <v>13920</v>
      </c>
      <c r="W2165">
        <v>171</v>
      </c>
      <c r="X2165" s="153" t="s">
        <v>3683</v>
      </c>
      <c r="Y2165" s="124" t="s">
        <v>55</v>
      </c>
      <c r="Z2165" s="308">
        <v>233</v>
      </c>
      <c r="AB2165" t="str">
        <f>IF(Table1[[#This Row],[TIPO2]]="costo", VLOOKUP(Table1[[#This Row],[PARTIDA PRESUPUESTAL]],'Cost Report'!G:G,1,0),"Balance")</f>
        <v>2602-015</v>
      </c>
      <c r="AC2165" s="118"/>
      <c r="AD2165" s="159">
        <f>+Table1[[#This Row],[SUBTOTAL]]+Table1[[#This Row],[IVA]]-Table1[[#This Row],[RET IVA]]-Table1[[#This Row],[RET ISR]]-Table1[[#This Row],[TOTAL]]</f>
        <v>0</v>
      </c>
      <c r="AE2165" s="152"/>
      <c r="AF2165" s="153"/>
      <c r="AG2165" s="126"/>
      <c r="AK2165" s="306" t="str">
        <f>IF(ISNUMBER(Table1[[#This Row],[FECHA DE RECIBIDO]]), Table1[[#This Row],[FECHA DE RECIBIDO]]-DATE(2023,8,30), "")</f>
        <v/>
      </c>
    </row>
    <row r="2166" spans="1:37" ht="16.95" customHeight="1">
      <c r="A2166" s="150" t="s">
        <v>3720</v>
      </c>
      <c r="B2166" s="151">
        <v>741</v>
      </c>
      <c r="C2166" s="126" t="s">
        <v>1747</v>
      </c>
      <c r="D2166">
        <v>1468</v>
      </c>
      <c r="E2166" s="126" t="s">
        <v>3636</v>
      </c>
      <c r="F2166" s="122" t="s">
        <v>1607</v>
      </c>
      <c r="G2166" s="122" t="s">
        <v>134</v>
      </c>
      <c r="H2166">
        <v>333</v>
      </c>
      <c r="I2166" s="122" t="s">
        <v>1546</v>
      </c>
      <c r="J2166" s="307" t="s">
        <v>214</v>
      </c>
      <c r="K2166" s="127" t="s">
        <v>3797</v>
      </c>
      <c r="L2166" s="151" t="s">
        <v>3306</v>
      </c>
      <c r="M2166">
        <v>447</v>
      </c>
      <c r="N2166" s="123">
        <v>1</v>
      </c>
      <c r="O2166">
        <v>1455</v>
      </c>
      <c r="P2166" s="132" t="s">
        <v>77</v>
      </c>
      <c r="Q2166" s="131">
        <v>25200</v>
      </c>
      <c r="R2166" s="131">
        <v>4032</v>
      </c>
      <c r="S2166" s="131"/>
      <c r="T2166" s="155">
        <v>0</v>
      </c>
      <c r="U2166" s="131">
        <v>0</v>
      </c>
      <c r="V2166" s="131">
        <v>29232</v>
      </c>
      <c r="W2166">
        <v>171</v>
      </c>
      <c r="X2166" s="151" t="s">
        <v>3683</v>
      </c>
      <c r="Y2166" s="135" t="s">
        <v>55</v>
      </c>
      <c r="Z2166" s="307">
        <v>233</v>
      </c>
      <c r="AB2166" t="str">
        <f>IF(Table1[[#This Row],[TIPO2]]="costo", VLOOKUP(Table1[[#This Row],[PARTIDA PRESUPUESTAL]],'Cost Report'!G:G,1,0),"Balance")</f>
        <v>2602-016</v>
      </c>
      <c r="AC2166" s="118"/>
      <c r="AD2166" s="159">
        <f>+Table1[[#This Row],[SUBTOTAL]]+Table1[[#This Row],[IVA]]-Table1[[#This Row],[RET IVA]]-Table1[[#This Row],[RET ISR]]-Table1[[#This Row],[TOTAL]]</f>
        <v>0</v>
      </c>
      <c r="AE2166" s="150"/>
      <c r="AF2166" s="151"/>
      <c r="AG2166" s="126"/>
      <c r="AK2166" s="306" t="str">
        <f>IF(ISNUMBER(Table1[[#This Row],[FECHA DE RECIBIDO]]), Table1[[#This Row],[FECHA DE RECIBIDO]]-DATE(2023,8,30), "")</f>
        <v/>
      </c>
    </row>
    <row r="2167" spans="1:37" ht="16.95" customHeight="1">
      <c r="A2167" s="152" t="s">
        <v>3720</v>
      </c>
      <c r="B2167" s="153">
        <v>741</v>
      </c>
      <c r="C2167" s="126" t="s">
        <v>1750</v>
      </c>
      <c r="D2167">
        <v>1468</v>
      </c>
      <c r="E2167" s="126" t="s">
        <v>3636</v>
      </c>
      <c r="F2167" s="125" t="s">
        <v>1607</v>
      </c>
      <c r="G2167" s="125" t="s">
        <v>134</v>
      </c>
      <c r="H2167">
        <v>333</v>
      </c>
      <c r="I2167" s="125" t="s">
        <v>1546</v>
      </c>
      <c r="J2167" s="308" t="s">
        <v>214</v>
      </c>
      <c r="K2167" s="127" t="s">
        <v>3797</v>
      </c>
      <c r="L2167" s="153" t="s">
        <v>3306</v>
      </c>
      <c r="M2167">
        <v>447</v>
      </c>
      <c r="N2167" s="123">
        <v>1</v>
      </c>
      <c r="O2167">
        <v>1455</v>
      </c>
      <c r="P2167" s="132" t="s">
        <v>77</v>
      </c>
      <c r="Q2167" s="132">
        <v>23900</v>
      </c>
      <c r="R2167" s="132">
        <v>3824</v>
      </c>
      <c r="S2167" s="132"/>
      <c r="T2167" s="156">
        <v>0</v>
      </c>
      <c r="U2167" s="132">
        <v>0</v>
      </c>
      <c r="V2167" s="132">
        <v>27724</v>
      </c>
      <c r="W2167">
        <v>171</v>
      </c>
      <c r="X2167" s="153" t="s">
        <v>3683</v>
      </c>
      <c r="Y2167" s="124" t="s">
        <v>55</v>
      </c>
      <c r="Z2167" s="308">
        <v>233</v>
      </c>
      <c r="AB2167" t="str">
        <f>IF(Table1[[#This Row],[TIPO2]]="costo", VLOOKUP(Table1[[#This Row],[PARTIDA PRESUPUESTAL]],'Cost Report'!G:G,1,0),"Balance")</f>
        <v>2602-019</v>
      </c>
      <c r="AC2167" s="118"/>
      <c r="AD2167" s="159">
        <f>+Table1[[#This Row],[SUBTOTAL]]+Table1[[#This Row],[IVA]]-Table1[[#This Row],[RET IVA]]-Table1[[#This Row],[RET ISR]]-Table1[[#This Row],[TOTAL]]</f>
        <v>0</v>
      </c>
      <c r="AE2167" s="152"/>
      <c r="AF2167" s="153"/>
      <c r="AG2167" s="126"/>
      <c r="AK2167" s="306" t="str">
        <f>IF(ISNUMBER(Table1[[#This Row],[FECHA DE RECIBIDO]]), Table1[[#This Row],[FECHA DE RECIBIDO]]-DATE(2023,8,30), "")</f>
        <v/>
      </c>
    </row>
    <row r="2168" spans="1:37" ht="16.95" customHeight="1">
      <c r="A2168" s="150" t="s">
        <v>3721</v>
      </c>
      <c r="B2168" s="151">
        <v>742</v>
      </c>
      <c r="C2168" s="126" t="s">
        <v>2680</v>
      </c>
      <c r="D2168">
        <v>1469</v>
      </c>
      <c r="E2168" s="126" t="s">
        <v>1645</v>
      </c>
      <c r="F2168" s="122" t="s">
        <v>1593</v>
      </c>
      <c r="G2168" s="122" t="s">
        <v>109</v>
      </c>
      <c r="H2168">
        <v>336</v>
      </c>
      <c r="I2168" s="122" t="s">
        <v>1546</v>
      </c>
      <c r="J2168" s="307" t="s">
        <v>214</v>
      </c>
      <c r="K2168" s="127" t="s">
        <v>3797</v>
      </c>
      <c r="L2168" s="151" t="s">
        <v>3306</v>
      </c>
      <c r="M2168">
        <v>453</v>
      </c>
      <c r="N2168" s="123">
        <v>1</v>
      </c>
      <c r="O2168">
        <v>1456</v>
      </c>
      <c r="P2168" s="132" t="s">
        <v>77</v>
      </c>
      <c r="Q2168" s="131">
        <v>23080</v>
      </c>
      <c r="R2168" s="131">
        <v>3692.8</v>
      </c>
      <c r="S2168" s="131"/>
      <c r="T2168" s="155">
        <v>2461.87</v>
      </c>
      <c r="U2168" s="131">
        <v>288.5</v>
      </c>
      <c r="V2168" s="131">
        <v>24022.43</v>
      </c>
      <c r="W2168">
        <v>174</v>
      </c>
      <c r="X2168" s="151" t="s">
        <v>1429</v>
      </c>
      <c r="Y2168" s="135" t="s">
        <v>55</v>
      </c>
      <c r="Z2168" s="307">
        <v>233</v>
      </c>
      <c r="AB2168" t="str">
        <f>IF(Table1[[#This Row],[TIPO2]]="costo", VLOOKUP(Table1[[#This Row],[PARTIDA PRESUPUESTAL]],'Cost Report'!G:G,1,0),"Balance")</f>
        <v>3110-003</v>
      </c>
      <c r="AC2168" s="118"/>
      <c r="AD2168" s="159">
        <f>+Table1[[#This Row],[SUBTOTAL]]+Table1[[#This Row],[IVA]]-Table1[[#This Row],[RET IVA]]-Table1[[#This Row],[RET ISR]]-Table1[[#This Row],[TOTAL]]</f>
        <v>0</v>
      </c>
      <c r="AE2168" s="150"/>
      <c r="AF2168" s="151"/>
      <c r="AG2168" s="126"/>
      <c r="AK2168" s="306" t="str">
        <f>IF(ISNUMBER(Table1[[#This Row],[FECHA DE RECIBIDO]]), Table1[[#This Row],[FECHA DE RECIBIDO]]-DATE(2023,8,30), "")</f>
        <v/>
      </c>
    </row>
    <row r="2169" spans="1:37" ht="16.95" customHeight="1">
      <c r="A2169" s="152" t="s">
        <v>3722</v>
      </c>
      <c r="B2169" s="153">
        <v>743</v>
      </c>
      <c r="C2169" s="126" t="s">
        <v>2789</v>
      </c>
      <c r="D2169">
        <v>1470</v>
      </c>
      <c r="E2169" s="126" t="s">
        <v>3637</v>
      </c>
      <c r="F2169" s="125" t="s">
        <v>1593</v>
      </c>
      <c r="G2169" s="125" t="s">
        <v>109</v>
      </c>
      <c r="H2169">
        <v>258</v>
      </c>
      <c r="I2169" s="125" t="s">
        <v>1546</v>
      </c>
      <c r="J2169" s="308" t="s">
        <v>214</v>
      </c>
      <c r="K2169" s="127" t="s">
        <v>3797</v>
      </c>
      <c r="L2169" s="153" t="s">
        <v>3306</v>
      </c>
      <c r="M2169">
        <v>453</v>
      </c>
      <c r="N2169" s="123">
        <v>1</v>
      </c>
      <c r="O2169">
        <v>1457</v>
      </c>
      <c r="P2169" s="132" t="s">
        <v>77</v>
      </c>
      <c r="Q2169" s="132">
        <v>30000</v>
      </c>
      <c r="R2169" s="132">
        <v>4800</v>
      </c>
      <c r="S2169" s="132"/>
      <c r="T2169" s="156">
        <v>3200.01</v>
      </c>
      <c r="U2169" s="132">
        <v>375</v>
      </c>
      <c r="V2169" s="132">
        <v>31224.989999999998</v>
      </c>
      <c r="W2169">
        <v>157</v>
      </c>
      <c r="X2169" s="153" t="s">
        <v>1429</v>
      </c>
      <c r="Y2169" s="124" t="s">
        <v>55</v>
      </c>
      <c r="Z2169" s="308">
        <v>233</v>
      </c>
      <c r="AB2169" t="str">
        <f>IF(Table1[[#This Row],[TIPO2]]="costo", VLOOKUP(Table1[[#This Row],[PARTIDA PRESUPUESTAL]],'Cost Report'!G:G,1,0),"Balance")</f>
        <v>3408-003</v>
      </c>
      <c r="AC2169" s="118"/>
      <c r="AD2169" s="159">
        <f>+Table1[[#This Row],[SUBTOTAL]]+Table1[[#This Row],[IVA]]-Table1[[#This Row],[RET IVA]]-Table1[[#This Row],[RET ISR]]-Table1[[#This Row],[TOTAL]]</f>
        <v>0</v>
      </c>
      <c r="AE2169" s="152"/>
      <c r="AF2169" s="153"/>
      <c r="AG2169" s="126"/>
      <c r="AK2169" s="306" t="str">
        <f>IF(ISNUMBER(Table1[[#This Row],[FECHA DE RECIBIDO]]), Table1[[#This Row],[FECHA DE RECIBIDO]]-DATE(2023,8,30), "")</f>
        <v/>
      </c>
    </row>
    <row r="2170" spans="1:37" ht="16.95" customHeight="1">
      <c r="A2170" s="150" t="s">
        <v>3729</v>
      </c>
      <c r="B2170" s="151">
        <v>750</v>
      </c>
      <c r="C2170" s="126" t="s">
        <v>2956</v>
      </c>
      <c r="D2170">
        <v>1471</v>
      </c>
      <c r="E2170" s="126" t="s">
        <v>1985</v>
      </c>
      <c r="F2170" s="122" t="s">
        <v>1607</v>
      </c>
      <c r="G2170" s="122" t="s">
        <v>134</v>
      </c>
      <c r="H2170">
        <v>47</v>
      </c>
      <c r="I2170" s="122" t="s">
        <v>1546</v>
      </c>
      <c r="J2170" s="307" t="s">
        <v>214</v>
      </c>
      <c r="K2170" s="127" t="s">
        <v>3797</v>
      </c>
      <c r="L2170" s="151" t="s">
        <v>3306</v>
      </c>
      <c r="M2170">
        <v>448</v>
      </c>
      <c r="N2170" s="123">
        <v>1</v>
      </c>
      <c r="O2170">
        <v>1458</v>
      </c>
      <c r="P2170" s="132" t="s">
        <v>77</v>
      </c>
      <c r="Q2170" s="131">
        <v>135870.59</v>
      </c>
      <c r="R2170" s="131">
        <v>21739.29</v>
      </c>
      <c r="S2170" s="131"/>
      <c r="T2170" s="155">
        <v>0</v>
      </c>
      <c r="U2170" s="131">
        <v>0</v>
      </c>
      <c r="V2170" s="131">
        <v>157609.88</v>
      </c>
      <c r="W2170">
        <v>36</v>
      </c>
      <c r="X2170" s="151" t="s">
        <v>1430</v>
      </c>
      <c r="Y2170" s="135" t="s">
        <v>55</v>
      </c>
      <c r="Z2170" s="307">
        <v>233</v>
      </c>
      <c r="AB2170" t="str">
        <f>IF(Table1[[#This Row],[TIPO2]]="costo", VLOOKUP(Table1[[#This Row],[PARTIDA PRESUPUESTAL]],'Cost Report'!G:G,1,0),"Balance")</f>
        <v>3902-032</v>
      </c>
      <c r="AC2170" s="118"/>
      <c r="AD2170" s="159">
        <f>+Table1[[#This Row],[SUBTOTAL]]+Table1[[#This Row],[IVA]]-Table1[[#This Row],[RET IVA]]-Table1[[#This Row],[RET ISR]]-Table1[[#This Row],[TOTAL]]</f>
        <v>0</v>
      </c>
      <c r="AE2170" s="150"/>
      <c r="AF2170" s="151"/>
      <c r="AG2170" s="126"/>
      <c r="AH2170" s="120">
        <f>+Table1[[#This Row],[CONCEPTO]]+Table1[[#This Row],[SUBTOTAL]]</f>
        <v>137328.59</v>
      </c>
      <c r="AK2170" s="306" t="str">
        <f>IF(ISNUMBER(Table1[[#This Row],[FECHA DE RECIBIDO]]), Table1[[#This Row],[FECHA DE RECIBIDO]]-DATE(2023,8,30), "")</f>
        <v/>
      </c>
    </row>
    <row r="2171" spans="1:37" ht="16.95" customHeight="1">
      <c r="A2171" s="152" t="s">
        <v>3729</v>
      </c>
      <c r="B2171" s="153">
        <v>750</v>
      </c>
      <c r="C2171" s="126" t="s">
        <v>1417</v>
      </c>
      <c r="D2171">
        <v>1471</v>
      </c>
      <c r="E2171" s="126" t="s">
        <v>1985</v>
      </c>
      <c r="F2171" s="125" t="s">
        <v>1607</v>
      </c>
      <c r="G2171" s="125" t="s">
        <v>134</v>
      </c>
      <c r="H2171">
        <v>47</v>
      </c>
      <c r="I2171" s="125" t="s">
        <v>1546</v>
      </c>
      <c r="J2171" s="308" t="s">
        <v>214</v>
      </c>
      <c r="K2171" s="127" t="s">
        <v>3797</v>
      </c>
      <c r="L2171" s="153" t="s">
        <v>3306</v>
      </c>
      <c r="M2171">
        <v>448</v>
      </c>
      <c r="N2171" s="123">
        <v>1</v>
      </c>
      <c r="O2171">
        <v>1458</v>
      </c>
      <c r="P2171" s="132" t="s">
        <v>77</v>
      </c>
      <c r="Q2171" s="132">
        <v>4076.12</v>
      </c>
      <c r="R2171" s="132">
        <v>0</v>
      </c>
      <c r="S2171" s="132"/>
      <c r="T2171" s="156">
        <v>0</v>
      </c>
      <c r="U2171" s="132">
        <v>0</v>
      </c>
      <c r="V2171" s="132">
        <v>4076.12</v>
      </c>
      <c r="W2171">
        <v>36</v>
      </c>
      <c r="X2171" s="153" t="s">
        <v>1430</v>
      </c>
      <c r="Y2171" s="124" t="s">
        <v>55</v>
      </c>
      <c r="Z2171" s="308">
        <v>233</v>
      </c>
      <c r="AB2171" t="str">
        <f>IF(Table1[[#This Row],[TIPO2]]="costo", VLOOKUP(Table1[[#This Row],[PARTIDA PRESUPUESTAL]],'Cost Report'!G:G,1,0),"Balance")</f>
        <v>3999-001</v>
      </c>
      <c r="AC2171" s="118"/>
      <c r="AD2171" s="159">
        <f>+Table1[[#This Row],[SUBTOTAL]]+Table1[[#This Row],[IVA]]-Table1[[#This Row],[RET IVA]]-Table1[[#This Row],[RET ISR]]-Table1[[#This Row],[TOTAL]]</f>
        <v>0</v>
      </c>
      <c r="AE2171" s="152"/>
      <c r="AF2171" s="153"/>
      <c r="AG2171" s="126"/>
      <c r="AH2171" s="120">
        <f>+Table1[[#This Row],[CONCEPTO]]+Table1[[#This Row],[SUBTOTAL]]</f>
        <v>5534.12</v>
      </c>
      <c r="AK2171" s="306" t="str">
        <f>IF(ISNUMBER(Table1[[#This Row],[FECHA DE RECIBIDO]]), Table1[[#This Row],[FECHA DE RECIBIDO]]-DATE(2023,8,30), "")</f>
        <v/>
      </c>
    </row>
    <row r="2172" spans="1:37" ht="16.95" customHeight="1">
      <c r="A2172" s="150" t="s">
        <v>3730</v>
      </c>
      <c r="B2172" s="151">
        <v>751</v>
      </c>
      <c r="C2172" s="126" t="s">
        <v>2555</v>
      </c>
      <c r="D2172">
        <v>1472</v>
      </c>
      <c r="E2172" s="126" t="s">
        <v>3278</v>
      </c>
      <c r="F2172" s="122" t="s">
        <v>1589</v>
      </c>
      <c r="G2172" s="122" t="s">
        <v>129</v>
      </c>
      <c r="H2172">
        <v>445</v>
      </c>
      <c r="I2172" s="122" t="s">
        <v>1546</v>
      </c>
      <c r="J2172" s="307" t="s">
        <v>214</v>
      </c>
      <c r="K2172" s="127" t="s">
        <v>3797</v>
      </c>
      <c r="L2172" s="151" t="s">
        <v>3306</v>
      </c>
      <c r="M2172">
        <v>618</v>
      </c>
      <c r="N2172" s="123">
        <v>1</v>
      </c>
      <c r="O2172">
        <v>1459</v>
      </c>
      <c r="P2172" s="132" t="s">
        <v>77</v>
      </c>
      <c r="Q2172" s="131">
        <v>19175</v>
      </c>
      <c r="R2172" s="131">
        <v>3068</v>
      </c>
      <c r="S2172" s="131"/>
      <c r="T2172" s="155">
        <v>0</v>
      </c>
      <c r="U2172" s="131">
        <v>0</v>
      </c>
      <c r="V2172" s="131">
        <v>22243</v>
      </c>
      <c r="W2172">
        <v>232</v>
      </c>
      <c r="X2172" s="151" t="s">
        <v>1433</v>
      </c>
      <c r="Y2172" s="135" t="s">
        <v>55</v>
      </c>
      <c r="Z2172" s="307">
        <v>233</v>
      </c>
      <c r="AB2172" t="str">
        <f>IF(Table1[[#This Row],[TIPO2]]="costo", VLOOKUP(Table1[[#This Row],[PARTIDA PRESUPUESTAL]],'Cost Report'!G:G,1,0),"Balance")</f>
        <v>2495-021</v>
      </c>
      <c r="AC2172" s="118"/>
      <c r="AD2172" s="159">
        <f>+Table1[[#This Row],[SUBTOTAL]]+Table1[[#This Row],[IVA]]-Table1[[#This Row],[RET IVA]]-Table1[[#This Row],[RET ISR]]-Table1[[#This Row],[TOTAL]]</f>
        <v>0</v>
      </c>
      <c r="AE2172" s="150"/>
      <c r="AF2172" s="151"/>
      <c r="AG2172" s="126"/>
      <c r="AH2172" s="120">
        <f>+Table1[[#This Row],[CONCEPTO]]+Table1[[#This Row],[SUBTOTAL]]</f>
        <v>20634</v>
      </c>
      <c r="AK2172" s="306" t="str">
        <f>IF(ISNUMBER(Table1[[#This Row],[FECHA DE RECIBIDO]]), Table1[[#This Row],[FECHA DE RECIBIDO]]-DATE(2023,8,30), "")</f>
        <v/>
      </c>
    </row>
    <row r="2173" spans="1:37" ht="16.95" customHeight="1">
      <c r="A2173" s="152" t="s">
        <v>3731</v>
      </c>
      <c r="B2173" s="153">
        <v>752</v>
      </c>
      <c r="C2173" s="126" t="s">
        <v>2719</v>
      </c>
      <c r="D2173">
        <v>1473</v>
      </c>
      <c r="E2173" s="126" t="s">
        <v>3373</v>
      </c>
      <c r="F2173" s="125" t="s">
        <v>1607</v>
      </c>
      <c r="G2173" s="125" t="s">
        <v>134</v>
      </c>
      <c r="H2173">
        <v>446</v>
      </c>
      <c r="I2173" s="125" t="s">
        <v>1546</v>
      </c>
      <c r="J2173" s="308" t="s">
        <v>214</v>
      </c>
      <c r="K2173" s="127" t="s">
        <v>3797</v>
      </c>
      <c r="L2173" s="153" t="s">
        <v>3306</v>
      </c>
      <c r="M2173">
        <v>619</v>
      </c>
      <c r="N2173" s="123">
        <v>1</v>
      </c>
      <c r="O2173">
        <v>1460</v>
      </c>
      <c r="P2173" s="132" t="s">
        <v>77</v>
      </c>
      <c r="Q2173" s="132">
        <v>71925</v>
      </c>
      <c r="R2173" s="132">
        <v>11508</v>
      </c>
      <c r="S2173" s="132"/>
      <c r="T2173" s="156">
        <v>0</v>
      </c>
      <c r="U2173" s="132">
        <v>0</v>
      </c>
      <c r="V2173" s="132">
        <v>83433</v>
      </c>
      <c r="W2173">
        <v>233</v>
      </c>
      <c r="X2173" s="153" t="s">
        <v>2024</v>
      </c>
      <c r="Y2173" s="124" t="s">
        <v>55</v>
      </c>
      <c r="Z2173" s="308">
        <v>233</v>
      </c>
      <c r="AB2173" t="str">
        <f>IF(Table1[[#This Row],[TIPO2]]="costo", VLOOKUP(Table1[[#This Row],[PARTIDA PRESUPUESTAL]],'Cost Report'!G:G,1,0),"Balance")</f>
        <v>3193-094</v>
      </c>
      <c r="AC2173" s="118"/>
      <c r="AD2173" s="159">
        <f>+Table1[[#This Row],[SUBTOTAL]]+Table1[[#This Row],[IVA]]-Table1[[#This Row],[RET IVA]]-Table1[[#This Row],[RET ISR]]-Table1[[#This Row],[TOTAL]]</f>
        <v>0</v>
      </c>
      <c r="AE2173" s="152"/>
      <c r="AF2173" s="153"/>
      <c r="AG2173" s="126"/>
      <c r="AH2173" s="120">
        <f>+Table1[[#This Row],[CONCEPTO]]+Table1[[#This Row],[SUBTOTAL]]</f>
        <v>73385</v>
      </c>
      <c r="AK2173" s="306" t="str">
        <f>IF(ISNUMBER(Table1[[#This Row],[FECHA DE RECIBIDO]]), Table1[[#This Row],[FECHA DE RECIBIDO]]-DATE(2023,8,30), "")</f>
        <v/>
      </c>
    </row>
    <row r="2174" spans="1:37" ht="16.95" customHeight="1">
      <c r="A2174" s="150" t="s">
        <v>3732</v>
      </c>
      <c r="B2174" s="151">
        <v>753</v>
      </c>
      <c r="C2174" s="126" t="s">
        <v>1142</v>
      </c>
      <c r="D2174">
        <v>1474</v>
      </c>
      <c r="E2174" s="126" t="s">
        <v>1603</v>
      </c>
      <c r="F2174" s="122" t="s">
        <v>1607</v>
      </c>
      <c r="G2174" s="122" t="s">
        <v>134</v>
      </c>
      <c r="H2174">
        <v>24</v>
      </c>
      <c r="I2174" s="122" t="s">
        <v>1546</v>
      </c>
      <c r="J2174" s="307" t="s">
        <v>214</v>
      </c>
      <c r="K2174" s="127" t="s">
        <v>3797</v>
      </c>
      <c r="L2174" s="151" t="s">
        <v>3306</v>
      </c>
      <c r="M2174">
        <v>620</v>
      </c>
      <c r="N2174" s="123">
        <v>1</v>
      </c>
      <c r="O2174">
        <v>1461</v>
      </c>
      <c r="P2174" s="132" t="s">
        <v>77</v>
      </c>
      <c r="Q2174" s="131">
        <v>763766.16</v>
      </c>
      <c r="R2174" s="131">
        <v>122202.59</v>
      </c>
      <c r="S2174" s="131"/>
      <c r="T2174" s="155">
        <v>0</v>
      </c>
      <c r="U2174" s="131">
        <v>0</v>
      </c>
      <c r="V2174" s="131">
        <v>885968.75</v>
      </c>
      <c r="W2174">
        <v>26</v>
      </c>
      <c r="X2174" s="151" t="s">
        <v>1430</v>
      </c>
      <c r="Y2174" s="135" t="s">
        <v>55</v>
      </c>
      <c r="Z2174" s="307">
        <v>233</v>
      </c>
      <c r="AB2174" t="str">
        <f>IF(Table1[[#This Row],[TIPO2]]="costo", VLOOKUP(Table1[[#This Row],[PARTIDA PRESUPUESTAL]],'Cost Report'!G:G,1,0),"Balance")</f>
        <v>3902-008</v>
      </c>
      <c r="AC2174" s="118"/>
      <c r="AD2174" s="159">
        <f>+Table1[[#This Row],[SUBTOTAL]]+Table1[[#This Row],[IVA]]-Table1[[#This Row],[RET IVA]]-Table1[[#This Row],[RET ISR]]-Table1[[#This Row],[TOTAL]]</f>
        <v>0</v>
      </c>
      <c r="AE2174" s="150"/>
      <c r="AF2174" s="151"/>
      <c r="AG2174" s="126"/>
      <c r="AH2174" s="120">
        <f>+Table1[[#This Row],[CONCEPTO]]+Table1[[#This Row],[SUBTOTAL]]</f>
        <v>765227.16</v>
      </c>
      <c r="AK2174" s="306" t="str">
        <f>IF(ISNUMBER(Table1[[#This Row],[FECHA DE RECIBIDO]]), Table1[[#This Row],[FECHA DE RECIBIDO]]-DATE(2023,8,30), "")</f>
        <v/>
      </c>
    </row>
    <row r="2175" spans="1:37" ht="16.95" customHeight="1">
      <c r="A2175" s="152" t="s">
        <v>3733</v>
      </c>
      <c r="B2175" s="153">
        <v>754</v>
      </c>
      <c r="C2175" s="126" t="s">
        <v>1142</v>
      </c>
      <c r="D2175">
        <v>1475</v>
      </c>
      <c r="E2175" s="126" t="s">
        <v>1603</v>
      </c>
      <c r="F2175" s="125" t="s">
        <v>1607</v>
      </c>
      <c r="G2175" s="125" t="s">
        <v>134</v>
      </c>
      <c r="H2175">
        <v>24</v>
      </c>
      <c r="I2175" s="125" t="s">
        <v>1546</v>
      </c>
      <c r="J2175" s="308" t="s">
        <v>214</v>
      </c>
      <c r="K2175" s="127" t="s">
        <v>3797</v>
      </c>
      <c r="L2175" s="153" t="s">
        <v>3306</v>
      </c>
      <c r="M2175">
        <v>620</v>
      </c>
      <c r="N2175" s="123">
        <v>1</v>
      </c>
      <c r="O2175">
        <v>1461</v>
      </c>
      <c r="P2175" s="132" t="s">
        <v>77</v>
      </c>
      <c r="Q2175" s="132">
        <v>34453.660000000003</v>
      </c>
      <c r="R2175" s="132">
        <v>5512.59</v>
      </c>
      <c r="S2175" s="132"/>
      <c r="T2175" s="156">
        <v>0</v>
      </c>
      <c r="U2175" s="132">
        <v>0</v>
      </c>
      <c r="V2175" s="132">
        <v>39966.25</v>
      </c>
      <c r="W2175">
        <v>26</v>
      </c>
      <c r="X2175" s="153" t="s">
        <v>1430</v>
      </c>
      <c r="Y2175" s="124" t="s">
        <v>55</v>
      </c>
      <c r="Z2175" s="308">
        <v>233</v>
      </c>
      <c r="AB2175" t="str">
        <f>IF(Table1[[#This Row],[TIPO2]]="costo", VLOOKUP(Table1[[#This Row],[PARTIDA PRESUPUESTAL]],'Cost Report'!G:G,1,0),"Balance")</f>
        <v>3902-008</v>
      </c>
      <c r="AC2175" s="118"/>
      <c r="AD2175" s="159">
        <f>+Table1[[#This Row],[SUBTOTAL]]+Table1[[#This Row],[IVA]]-Table1[[#This Row],[RET IVA]]-Table1[[#This Row],[RET ISR]]-Table1[[#This Row],[TOTAL]]</f>
        <v>0</v>
      </c>
      <c r="AE2175" s="152"/>
      <c r="AF2175" s="153"/>
      <c r="AG2175" s="126"/>
      <c r="AH2175" s="120">
        <f>+Table1[[#This Row],[CONCEPTO]]+Table1[[#This Row],[SUBTOTAL]]</f>
        <v>35914.660000000003</v>
      </c>
      <c r="AK2175" s="306" t="str">
        <f>IF(ISNUMBER(Table1[[#This Row],[FECHA DE RECIBIDO]]), Table1[[#This Row],[FECHA DE RECIBIDO]]-DATE(2023,8,30), "")</f>
        <v/>
      </c>
    </row>
    <row r="2176" spans="1:37" ht="16.95" customHeight="1">
      <c r="A2176" s="150" t="s">
        <v>3733</v>
      </c>
      <c r="B2176" s="151">
        <v>754</v>
      </c>
      <c r="C2176" s="126" t="s">
        <v>1176</v>
      </c>
      <c r="D2176">
        <v>1475</v>
      </c>
      <c r="E2176" s="126" t="s">
        <v>1603</v>
      </c>
      <c r="F2176" s="122" t="s">
        <v>1607</v>
      </c>
      <c r="G2176" s="122" t="s">
        <v>134</v>
      </c>
      <c r="H2176">
        <v>24</v>
      </c>
      <c r="I2176" s="122" t="s">
        <v>1546</v>
      </c>
      <c r="J2176" s="307" t="s">
        <v>214</v>
      </c>
      <c r="K2176" s="127" t="s">
        <v>3797</v>
      </c>
      <c r="L2176" s="151" t="s">
        <v>3306</v>
      </c>
      <c r="M2176">
        <v>620</v>
      </c>
      <c r="N2176" s="123">
        <v>1</v>
      </c>
      <c r="O2176">
        <v>1461</v>
      </c>
      <c r="P2176" s="132" t="s">
        <v>77</v>
      </c>
      <c r="Q2176" s="131">
        <v>184126.8</v>
      </c>
      <c r="R2176" s="131">
        <v>29460.29</v>
      </c>
      <c r="S2176" s="131"/>
      <c r="T2176" s="155">
        <v>0</v>
      </c>
      <c r="U2176" s="131">
        <v>0</v>
      </c>
      <c r="V2176" s="131">
        <v>213587.09</v>
      </c>
      <c r="W2176">
        <v>26</v>
      </c>
      <c r="X2176" s="151" t="s">
        <v>1430</v>
      </c>
      <c r="Y2176" s="135" t="s">
        <v>55</v>
      </c>
      <c r="Z2176" s="307">
        <v>233</v>
      </c>
      <c r="AB2176" t="str">
        <f>IF(Table1[[#This Row],[TIPO2]]="costo", VLOOKUP(Table1[[#This Row],[PARTIDA PRESUPUESTAL]],'Cost Report'!G:G,1,0),"Balance")</f>
        <v>3903-029</v>
      </c>
      <c r="AC2176" s="118"/>
      <c r="AD2176" s="159">
        <f>+Table1[[#This Row],[SUBTOTAL]]+Table1[[#This Row],[IVA]]-Table1[[#This Row],[RET IVA]]-Table1[[#This Row],[RET ISR]]-Table1[[#This Row],[TOTAL]]</f>
        <v>0</v>
      </c>
      <c r="AE2176" s="150"/>
      <c r="AF2176" s="151"/>
      <c r="AG2176" s="126"/>
      <c r="AH2176" s="120">
        <f>+Table1[[#This Row],[CONCEPTO]]+Table1[[#This Row],[SUBTOTAL]]</f>
        <v>185587.8</v>
      </c>
      <c r="AK2176" s="306" t="str">
        <f>IF(ISNUMBER(Table1[[#This Row],[FECHA DE RECIBIDO]]), Table1[[#This Row],[FECHA DE RECIBIDO]]-DATE(2023,8,30), "")</f>
        <v/>
      </c>
    </row>
    <row r="2177" spans="1:37" ht="16.95" customHeight="1">
      <c r="A2177" s="152" t="s">
        <v>3733</v>
      </c>
      <c r="B2177" s="153">
        <v>754</v>
      </c>
      <c r="C2177" s="126" t="s">
        <v>2980</v>
      </c>
      <c r="D2177">
        <v>1475</v>
      </c>
      <c r="E2177" s="126" t="s">
        <v>1603</v>
      </c>
      <c r="F2177" s="125" t="s">
        <v>1607</v>
      </c>
      <c r="G2177" s="125" t="s">
        <v>134</v>
      </c>
      <c r="H2177">
        <v>24</v>
      </c>
      <c r="I2177" s="125" t="s">
        <v>1546</v>
      </c>
      <c r="J2177" s="308" t="s">
        <v>214</v>
      </c>
      <c r="K2177" s="127" t="s">
        <v>3797</v>
      </c>
      <c r="L2177" s="153" t="s">
        <v>3306</v>
      </c>
      <c r="M2177">
        <v>620</v>
      </c>
      <c r="N2177" s="123">
        <v>1</v>
      </c>
      <c r="O2177">
        <v>1461</v>
      </c>
      <c r="P2177" s="132" t="s">
        <v>77</v>
      </c>
      <c r="Q2177" s="132">
        <v>31419.54</v>
      </c>
      <c r="R2177" s="132">
        <v>5027.13</v>
      </c>
      <c r="S2177" s="132"/>
      <c r="T2177" s="156">
        <v>0</v>
      </c>
      <c r="U2177" s="132">
        <v>0</v>
      </c>
      <c r="V2177" s="132">
        <v>36446.67</v>
      </c>
      <c r="W2177">
        <v>26</v>
      </c>
      <c r="X2177" s="153" t="s">
        <v>1430</v>
      </c>
      <c r="Y2177" s="124" t="s">
        <v>55</v>
      </c>
      <c r="Z2177" s="308">
        <v>233</v>
      </c>
      <c r="AB2177" t="str">
        <f>IF(Table1[[#This Row],[TIPO2]]="costo", VLOOKUP(Table1[[#This Row],[PARTIDA PRESUPUESTAL]],'Cost Report'!G:G,1,0),"Balance")</f>
        <v>3903-040</v>
      </c>
      <c r="AC2177" s="118"/>
      <c r="AD2177" s="159">
        <f>+Table1[[#This Row],[SUBTOTAL]]+Table1[[#This Row],[IVA]]-Table1[[#This Row],[RET IVA]]-Table1[[#This Row],[RET ISR]]-Table1[[#This Row],[TOTAL]]</f>
        <v>0</v>
      </c>
      <c r="AE2177" s="152"/>
      <c r="AF2177" s="153"/>
      <c r="AG2177" s="126"/>
      <c r="AH2177" s="120">
        <f>+Table1[[#This Row],[CONCEPTO]]+Table1[[#This Row],[SUBTOTAL]]</f>
        <v>32880.54</v>
      </c>
      <c r="AK2177" s="306" t="str">
        <f>IF(ISNUMBER(Table1[[#This Row],[FECHA DE RECIBIDO]]), Table1[[#This Row],[FECHA DE RECIBIDO]]-DATE(2023,8,30), "")</f>
        <v/>
      </c>
    </row>
    <row r="2178" spans="1:37" ht="16.95" customHeight="1">
      <c r="A2178" s="150" t="s">
        <v>3734</v>
      </c>
      <c r="B2178" s="151">
        <v>755</v>
      </c>
      <c r="C2178" s="126" t="s">
        <v>1055</v>
      </c>
      <c r="D2178">
        <v>1476</v>
      </c>
      <c r="E2178" s="126" t="s">
        <v>1616</v>
      </c>
      <c r="F2178" s="122" t="s">
        <v>1607</v>
      </c>
      <c r="G2178" s="122" t="s">
        <v>134</v>
      </c>
      <c r="H2178">
        <v>37</v>
      </c>
      <c r="I2178" s="122" t="s">
        <v>1546</v>
      </c>
      <c r="J2178" s="307" t="s">
        <v>214</v>
      </c>
      <c r="K2178" s="127" t="s">
        <v>3797</v>
      </c>
      <c r="L2178" s="151" t="s">
        <v>3306</v>
      </c>
      <c r="M2178">
        <v>337</v>
      </c>
      <c r="N2178" s="123">
        <v>1</v>
      </c>
      <c r="O2178">
        <v>1462</v>
      </c>
      <c r="P2178" s="132" t="s">
        <v>77</v>
      </c>
      <c r="Q2178" s="131">
        <v>1140.98</v>
      </c>
      <c r="R2178" s="131">
        <v>182.56</v>
      </c>
      <c r="S2178" s="131"/>
      <c r="T2178" s="155">
        <v>0</v>
      </c>
      <c r="U2178" s="131">
        <v>0</v>
      </c>
      <c r="V2178" s="131">
        <v>1323.54</v>
      </c>
      <c r="W2178">
        <v>32</v>
      </c>
      <c r="X2178" s="151" t="s">
        <v>3689</v>
      </c>
      <c r="Y2178" s="135" t="s">
        <v>55</v>
      </c>
      <c r="Z2178" s="307">
        <v>233</v>
      </c>
      <c r="AB2178" t="str">
        <f>IF(Table1[[#This Row],[TIPO2]]="costo", VLOOKUP(Table1[[#This Row],[PARTIDA PRESUPUESTAL]],'Cost Report'!G:G,1,0),"Balance")</f>
        <v>3683-036</v>
      </c>
      <c r="AC2178" s="118"/>
      <c r="AD2178" s="159">
        <f>+Table1[[#This Row],[SUBTOTAL]]+Table1[[#This Row],[IVA]]-Table1[[#This Row],[RET IVA]]-Table1[[#This Row],[RET ISR]]-Table1[[#This Row],[TOTAL]]</f>
        <v>0</v>
      </c>
      <c r="AE2178" s="150"/>
      <c r="AF2178" s="151"/>
      <c r="AG2178" s="126"/>
      <c r="AH2178" s="120">
        <f>+Table1[[#This Row],[CONCEPTO]]+Table1[[#This Row],[SUBTOTAL]]</f>
        <v>2602.98</v>
      </c>
      <c r="AK2178" s="306" t="str">
        <f>IF(ISNUMBER(Table1[[#This Row],[FECHA DE RECIBIDO]]), Table1[[#This Row],[FECHA DE RECIBIDO]]-DATE(2023,8,30), "")</f>
        <v/>
      </c>
    </row>
    <row r="2179" spans="1:37" ht="16.95" customHeight="1">
      <c r="A2179" s="152" t="s">
        <v>3734</v>
      </c>
      <c r="B2179" s="153">
        <v>755</v>
      </c>
      <c r="C2179" s="126" t="s">
        <v>1055</v>
      </c>
      <c r="D2179">
        <v>1476</v>
      </c>
      <c r="E2179" s="126" t="s">
        <v>1616</v>
      </c>
      <c r="F2179" s="125" t="s">
        <v>1607</v>
      </c>
      <c r="G2179" s="125" t="s">
        <v>134</v>
      </c>
      <c r="H2179">
        <v>37</v>
      </c>
      <c r="I2179" s="125" t="s">
        <v>1546</v>
      </c>
      <c r="J2179" s="308" t="s">
        <v>214</v>
      </c>
      <c r="K2179" s="127" t="s">
        <v>3797</v>
      </c>
      <c r="L2179" s="153" t="s">
        <v>3306</v>
      </c>
      <c r="M2179">
        <v>337</v>
      </c>
      <c r="N2179" s="123">
        <v>1</v>
      </c>
      <c r="O2179">
        <v>1462</v>
      </c>
      <c r="P2179" s="132" t="s">
        <v>77</v>
      </c>
      <c r="Q2179" s="132">
        <v>1140.98</v>
      </c>
      <c r="R2179" s="132">
        <v>182.56</v>
      </c>
      <c r="S2179" s="132"/>
      <c r="T2179" s="156">
        <v>0</v>
      </c>
      <c r="U2179" s="132">
        <v>0</v>
      </c>
      <c r="V2179" s="132">
        <v>1323.54</v>
      </c>
      <c r="W2179">
        <v>32</v>
      </c>
      <c r="X2179" s="153" t="s">
        <v>3689</v>
      </c>
      <c r="Y2179" s="124" t="s">
        <v>55</v>
      </c>
      <c r="Z2179" s="308">
        <v>233</v>
      </c>
      <c r="AB2179" t="str">
        <f>IF(Table1[[#This Row],[TIPO2]]="costo", VLOOKUP(Table1[[#This Row],[PARTIDA PRESUPUESTAL]],'Cost Report'!G:G,1,0),"Balance")</f>
        <v>3683-036</v>
      </c>
      <c r="AC2179" s="118"/>
      <c r="AD2179" s="159">
        <f>+Table1[[#This Row],[SUBTOTAL]]+Table1[[#This Row],[IVA]]-Table1[[#This Row],[RET IVA]]-Table1[[#This Row],[RET ISR]]-Table1[[#This Row],[TOTAL]]</f>
        <v>0</v>
      </c>
      <c r="AE2179" s="152"/>
      <c r="AF2179" s="153"/>
      <c r="AG2179" s="126"/>
      <c r="AH2179" s="120">
        <f>+Table1[[#This Row],[CONCEPTO]]+Table1[[#This Row],[SUBTOTAL]]</f>
        <v>2602.98</v>
      </c>
      <c r="AK2179" s="306" t="str">
        <f>IF(ISNUMBER(Table1[[#This Row],[FECHA DE RECIBIDO]]), Table1[[#This Row],[FECHA DE RECIBIDO]]-DATE(2023,8,30), "")</f>
        <v/>
      </c>
    </row>
    <row r="2180" spans="1:37" ht="16.95" customHeight="1">
      <c r="A2180" s="150" t="s">
        <v>3734</v>
      </c>
      <c r="B2180" s="151">
        <v>755</v>
      </c>
      <c r="C2180" s="126" t="s">
        <v>1055</v>
      </c>
      <c r="D2180">
        <v>1476</v>
      </c>
      <c r="E2180" s="126" t="s">
        <v>1616</v>
      </c>
      <c r="F2180" s="122" t="s">
        <v>1607</v>
      </c>
      <c r="G2180" s="122" t="s">
        <v>134</v>
      </c>
      <c r="H2180">
        <v>37</v>
      </c>
      <c r="I2180" s="122" t="s">
        <v>1546</v>
      </c>
      <c r="J2180" s="307" t="s">
        <v>214</v>
      </c>
      <c r="K2180" s="127" t="s">
        <v>3797</v>
      </c>
      <c r="L2180" s="151" t="s">
        <v>3306</v>
      </c>
      <c r="M2180">
        <v>337</v>
      </c>
      <c r="N2180" s="123">
        <v>1</v>
      </c>
      <c r="O2180">
        <v>1462</v>
      </c>
      <c r="P2180" s="132" t="s">
        <v>77</v>
      </c>
      <c r="Q2180" s="131">
        <v>1711.46</v>
      </c>
      <c r="R2180" s="131">
        <v>273.83</v>
      </c>
      <c r="S2180" s="131"/>
      <c r="T2180" s="155">
        <v>0</v>
      </c>
      <c r="U2180" s="131">
        <v>0</v>
      </c>
      <c r="V2180" s="131">
        <v>1985.29</v>
      </c>
      <c r="W2180">
        <v>32</v>
      </c>
      <c r="X2180" s="151" t="s">
        <v>3689</v>
      </c>
      <c r="Y2180" s="135" t="s">
        <v>55</v>
      </c>
      <c r="Z2180" s="307">
        <v>233</v>
      </c>
      <c r="AB2180" t="str">
        <f>IF(Table1[[#This Row],[TIPO2]]="costo", VLOOKUP(Table1[[#This Row],[PARTIDA PRESUPUESTAL]],'Cost Report'!G:G,1,0),"Balance")</f>
        <v>3683-036</v>
      </c>
      <c r="AC2180" s="118"/>
      <c r="AD2180" s="159">
        <f>+Table1[[#This Row],[SUBTOTAL]]+Table1[[#This Row],[IVA]]-Table1[[#This Row],[RET IVA]]-Table1[[#This Row],[RET ISR]]-Table1[[#This Row],[TOTAL]]</f>
        <v>0</v>
      </c>
      <c r="AE2180" s="150"/>
      <c r="AF2180" s="151"/>
      <c r="AG2180" s="126"/>
      <c r="AH2180" s="120">
        <f>+Table1[[#This Row],[CONCEPTO]]+Table1[[#This Row],[SUBTOTAL]]</f>
        <v>3173.46</v>
      </c>
      <c r="AK2180" s="306" t="str">
        <f>IF(ISNUMBER(Table1[[#This Row],[FECHA DE RECIBIDO]]), Table1[[#This Row],[FECHA DE RECIBIDO]]-DATE(2023,8,30), "")</f>
        <v/>
      </c>
    </row>
    <row r="2181" spans="1:37" ht="16.95" customHeight="1">
      <c r="A2181" s="152" t="s">
        <v>3734</v>
      </c>
      <c r="B2181" s="153">
        <v>755</v>
      </c>
      <c r="C2181" s="126" t="s">
        <v>1055</v>
      </c>
      <c r="D2181">
        <v>1476</v>
      </c>
      <c r="E2181" s="126" t="s">
        <v>1616</v>
      </c>
      <c r="F2181" s="125" t="s">
        <v>1607</v>
      </c>
      <c r="G2181" s="125" t="s">
        <v>134</v>
      </c>
      <c r="H2181">
        <v>37</v>
      </c>
      <c r="I2181" s="125" t="s">
        <v>1546</v>
      </c>
      <c r="J2181" s="308" t="s">
        <v>214</v>
      </c>
      <c r="K2181" s="127" t="s">
        <v>3797</v>
      </c>
      <c r="L2181" s="153" t="s">
        <v>3306</v>
      </c>
      <c r="M2181">
        <v>337</v>
      </c>
      <c r="N2181" s="123">
        <v>1</v>
      </c>
      <c r="O2181">
        <v>1462</v>
      </c>
      <c r="P2181" s="132" t="s">
        <v>77</v>
      </c>
      <c r="Q2181" s="132">
        <v>836.72</v>
      </c>
      <c r="R2181" s="132">
        <v>133.87</v>
      </c>
      <c r="S2181" s="132"/>
      <c r="T2181" s="156">
        <v>0</v>
      </c>
      <c r="U2181" s="132">
        <v>0</v>
      </c>
      <c r="V2181" s="132">
        <v>970.59</v>
      </c>
      <c r="W2181">
        <v>32</v>
      </c>
      <c r="X2181" s="153" t="s">
        <v>3689</v>
      </c>
      <c r="Y2181" s="124" t="s">
        <v>55</v>
      </c>
      <c r="Z2181" s="308">
        <v>233</v>
      </c>
      <c r="AB2181" t="str">
        <f>IF(Table1[[#This Row],[TIPO2]]="costo", VLOOKUP(Table1[[#This Row],[PARTIDA PRESUPUESTAL]],'Cost Report'!G:G,1,0),"Balance")</f>
        <v>3683-036</v>
      </c>
      <c r="AC2181" s="118"/>
      <c r="AD2181" s="159">
        <f>+Table1[[#This Row],[SUBTOTAL]]+Table1[[#This Row],[IVA]]-Table1[[#This Row],[RET IVA]]-Table1[[#This Row],[RET ISR]]-Table1[[#This Row],[TOTAL]]</f>
        <v>0</v>
      </c>
      <c r="AE2181" s="152"/>
      <c r="AF2181" s="153"/>
      <c r="AG2181" s="126"/>
      <c r="AH2181" s="120">
        <f>+Table1[[#This Row],[CONCEPTO]]+Table1[[#This Row],[SUBTOTAL]]</f>
        <v>2298.7200000000003</v>
      </c>
      <c r="AK2181" s="306" t="str">
        <f>IF(ISNUMBER(Table1[[#This Row],[FECHA DE RECIBIDO]]), Table1[[#This Row],[FECHA DE RECIBIDO]]-DATE(2023,8,30), "")</f>
        <v/>
      </c>
    </row>
    <row r="2182" spans="1:37" ht="16.95" customHeight="1">
      <c r="A2182" s="150" t="s">
        <v>3734</v>
      </c>
      <c r="B2182" s="151">
        <v>755</v>
      </c>
      <c r="C2182" s="126" t="s">
        <v>1055</v>
      </c>
      <c r="D2182">
        <v>1476</v>
      </c>
      <c r="E2182" s="126" t="s">
        <v>1616</v>
      </c>
      <c r="F2182" s="122" t="s">
        <v>1607</v>
      </c>
      <c r="G2182" s="122" t="s">
        <v>134</v>
      </c>
      <c r="H2182">
        <v>37</v>
      </c>
      <c r="I2182" s="122" t="s">
        <v>1546</v>
      </c>
      <c r="J2182" s="307" t="s">
        <v>214</v>
      </c>
      <c r="K2182" s="127" t="s">
        <v>3797</v>
      </c>
      <c r="L2182" s="151" t="s">
        <v>3306</v>
      </c>
      <c r="M2182">
        <v>337</v>
      </c>
      <c r="N2182" s="123">
        <v>1</v>
      </c>
      <c r="O2182">
        <v>1462</v>
      </c>
      <c r="P2182" s="132" t="s">
        <v>77</v>
      </c>
      <c r="Q2182" s="131">
        <v>821.5</v>
      </c>
      <c r="R2182" s="131">
        <v>131.44</v>
      </c>
      <c r="S2182" s="131"/>
      <c r="T2182" s="155">
        <v>0</v>
      </c>
      <c r="U2182" s="131">
        <v>0</v>
      </c>
      <c r="V2182" s="131">
        <v>952.94</v>
      </c>
      <c r="W2182">
        <v>32</v>
      </c>
      <c r="X2182" s="151" t="s">
        <v>3689</v>
      </c>
      <c r="Y2182" s="135" t="s">
        <v>55</v>
      </c>
      <c r="Z2182" s="307">
        <v>233</v>
      </c>
      <c r="AB2182" t="str">
        <f>IF(Table1[[#This Row],[TIPO2]]="costo", VLOOKUP(Table1[[#This Row],[PARTIDA PRESUPUESTAL]],'Cost Report'!G:G,1,0),"Balance")</f>
        <v>3683-036</v>
      </c>
      <c r="AC2182" s="118"/>
      <c r="AD2182" s="159">
        <f>+Table1[[#This Row],[SUBTOTAL]]+Table1[[#This Row],[IVA]]-Table1[[#This Row],[RET IVA]]-Table1[[#This Row],[RET ISR]]-Table1[[#This Row],[TOTAL]]</f>
        <v>0</v>
      </c>
      <c r="AE2182" s="150"/>
      <c r="AF2182" s="151"/>
      <c r="AG2182" s="126"/>
      <c r="AH2182" s="120">
        <f>+Table1[[#This Row],[CONCEPTO]]+Table1[[#This Row],[SUBTOTAL]]</f>
        <v>2283.5</v>
      </c>
      <c r="AK2182" s="306" t="str">
        <f>IF(ISNUMBER(Table1[[#This Row],[FECHA DE RECIBIDO]]), Table1[[#This Row],[FECHA DE RECIBIDO]]-DATE(2023,8,30), "")</f>
        <v/>
      </c>
    </row>
    <row r="2183" spans="1:37" ht="16.95" customHeight="1">
      <c r="A2183" s="152" t="s">
        <v>3734</v>
      </c>
      <c r="B2183" s="153">
        <v>755</v>
      </c>
      <c r="C2183" s="126" t="s">
        <v>1055</v>
      </c>
      <c r="D2183">
        <v>1476</v>
      </c>
      <c r="E2183" s="126" t="s">
        <v>1616</v>
      </c>
      <c r="F2183" s="125" t="s">
        <v>1607</v>
      </c>
      <c r="G2183" s="125" t="s">
        <v>134</v>
      </c>
      <c r="H2183">
        <v>37</v>
      </c>
      <c r="I2183" s="125" t="s">
        <v>1546</v>
      </c>
      <c r="J2183" s="308" t="s">
        <v>214</v>
      </c>
      <c r="K2183" s="127" t="s">
        <v>3797</v>
      </c>
      <c r="L2183" s="153" t="s">
        <v>3306</v>
      </c>
      <c r="M2183">
        <v>337</v>
      </c>
      <c r="N2183" s="123">
        <v>1</v>
      </c>
      <c r="O2183">
        <v>1462</v>
      </c>
      <c r="P2183" s="132" t="s">
        <v>77</v>
      </c>
      <c r="Q2183" s="132">
        <v>410.75</v>
      </c>
      <c r="R2183" s="132">
        <v>65.72</v>
      </c>
      <c r="S2183" s="132"/>
      <c r="T2183" s="156">
        <v>0</v>
      </c>
      <c r="U2183" s="132">
        <v>0</v>
      </c>
      <c r="V2183" s="132">
        <v>476.47</v>
      </c>
      <c r="W2183">
        <v>32</v>
      </c>
      <c r="X2183" s="153" t="s">
        <v>3689</v>
      </c>
      <c r="Y2183" s="124" t="s">
        <v>55</v>
      </c>
      <c r="Z2183" s="308">
        <v>233</v>
      </c>
      <c r="AB2183" t="str">
        <f>IF(Table1[[#This Row],[TIPO2]]="costo", VLOOKUP(Table1[[#This Row],[PARTIDA PRESUPUESTAL]],'Cost Report'!G:G,1,0),"Balance")</f>
        <v>3683-036</v>
      </c>
      <c r="AC2183" s="118"/>
      <c r="AD2183" s="159">
        <f>+Table1[[#This Row],[SUBTOTAL]]+Table1[[#This Row],[IVA]]-Table1[[#This Row],[RET IVA]]-Table1[[#This Row],[RET ISR]]-Table1[[#This Row],[TOTAL]]</f>
        <v>0</v>
      </c>
      <c r="AE2183" s="152"/>
      <c r="AF2183" s="153"/>
      <c r="AG2183" s="126"/>
      <c r="AH2183" s="120">
        <f>+Table1[[#This Row],[CONCEPTO]]+Table1[[#This Row],[SUBTOTAL]]</f>
        <v>1872.75</v>
      </c>
      <c r="AK2183" s="306" t="str">
        <f>IF(ISNUMBER(Table1[[#This Row],[FECHA DE RECIBIDO]]), Table1[[#This Row],[FECHA DE RECIBIDO]]-DATE(2023,8,30), "")</f>
        <v/>
      </c>
    </row>
    <row r="2184" spans="1:37" ht="16.95" customHeight="1">
      <c r="A2184" s="150" t="s">
        <v>3734</v>
      </c>
      <c r="B2184" s="151">
        <v>755</v>
      </c>
      <c r="C2184" s="126" t="s">
        <v>1055</v>
      </c>
      <c r="D2184">
        <v>1476</v>
      </c>
      <c r="E2184" s="126" t="s">
        <v>1616</v>
      </c>
      <c r="F2184" s="122" t="s">
        <v>1607</v>
      </c>
      <c r="G2184" s="122" t="s">
        <v>134</v>
      </c>
      <c r="H2184">
        <v>37</v>
      </c>
      <c r="I2184" s="122" t="s">
        <v>1546</v>
      </c>
      <c r="J2184" s="307" t="s">
        <v>214</v>
      </c>
      <c r="K2184" s="127" t="s">
        <v>3797</v>
      </c>
      <c r="L2184" s="151" t="s">
        <v>3306</v>
      </c>
      <c r="M2184">
        <v>337</v>
      </c>
      <c r="N2184" s="123">
        <v>1</v>
      </c>
      <c r="O2184">
        <v>1462</v>
      </c>
      <c r="P2184" s="132" t="s">
        <v>77</v>
      </c>
      <c r="Q2184" s="131">
        <v>821.5</v>
      </c>
      <c r="R2184" s="131">
        <v>131.44</v>
      </c>
      <c r="S2184" s="131"/>
      <c r="T2184" s="155">
        <v>0</v>
      </c>
      <c r="U2184" s="131">
        <v>0</v>
      </c>
      <c r="V2184" s="131">
        <v>952.94</v>
      </c>
      <c r="W2184">
        <v>32</v>
      </c>
      <c r="X2184" s="151" t="s">
        <v>3689</v>
      </c>
      <c r="Y2184" s="135" t="s">
        <v>55</v>
      </c>
      <c r="Z2184" s="307">
        <v>233</v>
      </c>
      <c r="AB2184" t="str">
        <f>IF(Table1[[#This Row],[TIPO2]]="costo", VLOOKUP(Table1[[#This Row],[PARTIDA PRESUPUESTAL]],'Cost Report'!G:G,1,0),"Balance")</f>
        <v>3683-036</v>
      </c>
      <c r="AC2184" s="118"/>
      <c r="AD2184" s="159">
        <f>+Table1[[#This Row],[SUBTOTAL]]+Table1[[#This Row],[IVA]]-Table1[[#This Row],[RET IVA]]-Table1[[#This Row],[RET ISR]]-Table1[[#This Row],[TOTAL]]</f>
        <v>0</v>
      </c>
      <c r="AE2184" s="150"/>
      <c r="AF2184" s="151"/>
      <c r="AG2184" s="126"/>
      <c r="AH2184" s="120">
        <f>+Table1[[#This Row],[CONCEPTO]]+Table1[[#This Row],[SUBTOTAL]]</f>
        <v>2283.5</v>
      </c>
      <c r="AK2184" s="306" t="str">
        <f>IF(ISNUMBER(Table1[[#This Row],[FECHA DE RECIBIDO]]), Table1[[#This Row],[FECHA DE RECIBIDO]]-DATE(2023,8,30), "")</f>
        <v/>
      </c>
    </row>
    <row r="2185" spans="1:37" ht="16.95" customHeight="1">
      <c r="A2185" s="152" t="s">
        <v>3734</v>
      </c>
      <c r="B2185" s="153">
        <v>755</v>
      </c>
      <c r="C2185" s="126" t="s">
        <v>1055</v>
      </c>
      <c r="D2185">
        <v>1476</v>
      </c>
      <c r="E2185" s="126" t="s">
        <v>1616</v>
      </c>
      <c r="F2185" s="125" t="s">
        <v>1607</v>
      </c>
      <c r="G2185" s="125" t="s">
        <v>134</v>
      </c>
      <c r="H2185">
        <v>37</v>
      </c>
      <c r="I2185" s="125" t="s">
        <v>1546</v>
      </c>
      <c r="J2185" s="308" t="s">
        <v>214</v>
      </c>
      <c r="K2185" s="127" t="s">
        <v>3797</v>
      </c>
      <c r="L2185" s="153" t="s">
        <v>3306</v>
      </c>
      <c r="M2185">
        <v>337</v>
      </c>
      <c r="N2185" s="123">
        <v>1</v>
      </c>
      <c r="O2185">
        <v>1462</v>
      </c>
      <c r="P2185" s="132" t="s">
        <v>77</v>
      </c>
      <c r="Q2185" s="132">
        <v>836.72</v>
      </c>
      <c r="R2185" s="132">
        <v>133.87</v>
      </c>
      <c r="S2185" s="132"/>
      <c r="T2185" s="156">
        <v>0</v>
      </c>
      <c r="U2185" s="132">
        <v>0</v>
      </c>
      <c r="V2185" s="132">
        <v>970.59</v>
      </c>
      <c r="W2185">
        <v>32</v>
      </c>
      <c r="X2185" s="153" t="s">
        <v>3689</v>
      </c>
      <c r="Y2185" s="124" t="s">
        <v>55</v>
      </c>
      <c r="Z2185" s="308">
        <v>233</v>
      </c>
      <c r="AB2185" t="str">
        <f>IF(Table1[[#This Row],[TIPO2]]="costo", VLOOKUP(Table1[[#This Row],[PARTIDA PRESUPUESTAL]],'Cost Report'!G:G,1,0),"Balance")</f>
        <v>3683-036</v>
      </c>
      <c r="AC2185" s="118"/>
      <c r="AD2185" s="159">
        <f>+Table1[[#This Row],[SUBTOTAL]]+Table1[[#This Row],[IVA]]-Table1[[#This Row],[RET IVA]]-Table1[[#This Row],[RET ISR]]-Table1[[#This Row],[TOTAL]]</f>
        <v>0</v>
      </c>
      <c r="AE2185" s="152"/>
      <c r="AF2185" s="153"/>
      <c r="AG2185" s="126"/>
      <c r="AH2185" s="120">
        <f>+Table1[[#This Row],[CONCEPTO]]+Table1[[#This Row],[SUBTOTAL]]</f>
        <v>2298.7200000000003</v>
      </c>
      <c r="AK2185" s="306" t="str">
        <f>IF(ISNUMBER(Table1[[#This Row],[FECHA DE RECIBIDO]]), Table1[[#This Row],[FECHA DE RECIBIDO]]-DATE(2023,8,30), "")</f>
        <v/>
      </c>
    </row>
    <row r="2186" spans="1:37" ht="16.95" customHeight="1">
      <c r="A2186" s="150" t="s">
        <v>3734</v>
      </c>
      <c r="B2186" s="151">
        <v>755</v>
      </c>
      <c r="C2186" s="126" t="s">
        <v>1055</v>
      </c>
      <c r="D2186">
        <v>1476</v>
      </c>
      <c r="E2186" s="126" t="s">
        <v>1616</v>
      </c>
      <c r="F2186" s="122" t="s">
        <v>1607</v>
      </c>
      <c r="G2186" s="122" t="s">
        <v>134</v>
      </c>
      <c r="H2186">
        <v>37</v>
      </c>
      <c r="I2186" s="122" t="s">
        <v>1546</v>
      </c>
      <c r="J2186" s="307" t="s">
        <v>214</v>
      </c>
      <c r="K2186" s="127" t="s">
        <v>3797</v>
      </c>
      <c r="L2186" s="151" t="s">
        <v>3306</v>
      </c>
      <c r="M2186">
        <v>337</v>
      </c>
      <c r="N2186" s="123">
        <v>1</v>
      </c>
      <c r="O2186">
        <v>1462</v>
      </c>
      <c r="P2186" s="132" t="s">
        <v>77</v>
      </c>
      <c r="Q2186" s="131">
        <v>836.72</v>
      </c>
      <c r="R2186" s="131">
        <v>133.83000000000001</v>
      </c>
      <c r="S2186" s="131"/>
      <c r="T2186" s="155">
        <v>0</v>
      </c>
      <c r="U2186" s="131">
        <v>0</v>
      </c>
      <c r="V2186" s="131">
        <v>970.55000000000007</v>
      </c>
      <c r="W2186">
        <v>32</v>
      </c>
      <c r="X2186" s="151" t="s">
        <v>3689</v>
      </c>
      <c r="Y2186" s="135" t="s">
        <v>55</v>
      </c>
      <c r="Z2186" s="307">
        <v>233</v>
      </c>
      <c r="AB2186" t="str">
        <f>IF(Table1[[#This Row],[TIPO2]]="costo", VLOOKUP(Table1[[#This Row],[PARTIDA PRESUPUESTAL]],'Cost Report'!G:G,1,0),"Balance")</f>
        <v>3683-036</v>
      </c>
      <c r="AC2186" s="118"/>
      <c r="AD2186" s="159">
        <f>+Table1[[#This Row],[SUBTOTAL]]+Table1[[#This Row],[IVA]]-Table1[[#This Row],[RET IVA]]-Table1[[#This Row],[RET ISR]]-Table1[[#This Row],[TOTAL]]</f>
        <v>0</v>
      </c>
      <c r="AE2186" s="150"/>
      <c r="AF2186" s="151"/>
      <c r="AG2186" s="126"/>
      <c r="AH2186" s="120">
        <f>+Table1[[#This Row],[CONCEPTO]]+Table1[[#This Row],[SUBTOTAL]]</f>
        <v>2298.7200000000003</v>
      </c>
      <c r="AK2186" s="306" t="str">
        <f>IF(ISNUMBER(Table1[[#This Row],[FECHA DE RECIBIDO]]), Table1[[#This Row],[FECHA DE RECIBIDO]]-DATE(2023,8,30), "")</f>
        <v/>
      </c>
    </row>
    <row r="2187" spans="1:37" ht="16.95" customHeight="1">
      <c r="A2187" s="152" t="s">
        <v>3734</v>
      </c>
      <c r="B2187" s="153">
        <v>755</v>
      </c>
      <c r="C2187" s="126" t="s">
        <v>1055</v>
      </c>
      <c r="D2187">
        <v>1476</v>
      </c>
      <c r="E2187" s="126" t="s">
        <v>1616</v>
      </c>
      <c r="F2187" s="125" t="s">
        <v>1607</v>
      </c>
      <c r="G2187" s="125" t="s">
        <v>134</v>
      </c>
      <c r="H2187">
        <v>37</v>
      </c>
      <c r="I2187" s="125" t="s">
        <v>1546</v>
      </c>
      <c r="J2187" s="308" t="s">
        <v>214</v>
      </c>
      <c r="K2187" s="127" t="s">
        <v>3797</v>
      </c>
      <c r="L2187" s="153" t="s">
        <v>3306</v>
      </c>
      <c r="M2187">
        <v>337</v>
      </c>
      <c r="N2187" s="123">
        <v>1</v>
      </c>
      <c r="O2187">
        <v>1462</v>
      </c>
      <c r="P2187" s="132" t="s">
        <v>77</v>
      </c>
      <c r="Q2187" s="132">
        <v>570.49</v>
      </c>
      <c r="R2187" s="132">
        <v>91.28</v>
      </c>
      <c r="S2187" s="132"/>
      <c r="T2187" s="156">
        <v>0</v>
      </c>
      <c r="U2187" s="132">
        <v>0</v>
      </c>
      <c r="V2187" s="132">
        <v>661.77</v>
      </c>
      <c r="W2187">
        <v>32</v>
      </c>
      <c r="X2187" s="153" t="s">
        <v>3689</v>
      </c>
      <c r="Y2187" s="124" t="s">
        <v>55</v>
      </c>
      <c r="Z2187" s="308">
        <v>233</v>
      </c>
      <c r="AB2187" t="str">
        <f>IF(Table1[[#This Row],[TIPO2]]="costo", VLOOKUP(Table1[[#This Row],[PARTIDA PRESUPUESTAL]],'Cost Report'!G:G,1,0),"Balance")</f>
        <v>3683-036</v>
      </c>
      <c r="AC2187" s="118"/>
      <c r="AD2187" s="159">
        <f>+Table1[[#This Row],[SUBTOTAL]]+Table1[[#This Row],[IVA]]-Table1[[#This Row],[RET IVA]]-Table1[[#This Row],[RET ISR]]-Table1[[#This Row],[TOTAL]]</f>
        <v>0</v>
      </c>
      <c r="AE2187" s="152"/>
      <c r="AF2187" s="153"/>
      <c r="AG2187" s="126"/>
      <c r="AH2187" s="120">
        <f>+Table1[[#This Row],[CONCEPTO]]+Table1[[#This Row],[SUBTOTAL]]</f>
        <v>2032.49</v>
      </c>
      <c r="AK2187" s="306" t="str">
        <f>IF(ISNUMBER(Table1[[#This Row],[FECHA DE RECIBIDO]]), Table1[[#This Row],[FECHA DE RECIBIDO]]-DATE(2023,8,30), "")</f>
        <v/>
      </c>
    </row>
    <row r="2188" spans="1:37" ht="16.95" customHeight="1">
      <c r="A2188" s="150" t="s">
        <v>3734</v>
      </c>
      <c r="B2188" s="151">
        <v>755</v>
      </c>
      <c r="C2188" s="126" t="s">
        <v>1055</v>
      </c>
      <c r="D2188">
        <v>1476</v>
      </c>
      <c r="E2188" s="126" t="s">
        <v>1616</v>
      </c>
      <c r="F2188" s="122" t="s">
        <v>1607</v>
      </c>
      <c r="G2188" s="122" t="s">
        <v>134</v>
      </c>
      <c r="H2188">
        <v>37</v>
      </c>
      <c r="I2188" s="122" t="s">
        <v>1546</v>
      </c>
      <c r="J2188" s="307" t="s">
        <v>214</v>
      </c>
      <c r="K2188" s="127" t="s">
        <v>3797</v>
      </c>
      <c r="L2188" s="151" t="s">
        <v>3306</v>
      </c>
      <c r="M2188">
        <v>337</v>
      </c>
      <c r="N2188" s="123">
        <v>1</v>
      </c>
      <c r="O2188">
        <v>1462</v>
      </c>
      <c r="P2188" s="132" t="s">
        <v>77</v>
      </c>
      <c r="Q2188" s="131">
        <v>570.49</v>
      </c>
      <c r="R2188" s="131">
        <v>91.28</v>
      </c>
      <c r="S2188" s="131"/>
      <c r="T2188" s="155">
        <v>0</v>
      </c>
      <c r="U2188" s="131">
        <v>0</v>
      </c>
      <c r="V2188" s="131">
        <v>661.77</v>
      </c>
      <c r="W2188">
        <v>32</v>
      </c>
      <c r="X2188" s="151" t="s">
        <v>3689</v>
      </c>
      <c r="Y2188" s="135" t="s">
        <v>55</v>
      </c>
      <c r="Z2188" s="307">
        <v>233</v>
      </c>
      <c r="AB2188" t="str">
        <f>IF(Table1[[#This Row],[TIPO2]]="costo", VLOOKUP(Table1[[#This Row],[PARTIDA PRESUPUESTAL]],'Cost Report'!G:G,1,0),"Balance")</f>
        <v>3683-036</v>
      </c>
      <c r="AC2188" s="118"/>
      <c r="AD2188" s="159">
        <f>+Table1[[#This Row],[SUBTOTAL]]+Table1[[#This Row],[IVA]]-Table1[[#This Row],[RET IVA]]-Table1[[#This Row],[RET ISR]]-Table1[[#This Row],[TOTAL]]</f>
        <v>0</v>
      </c>
      <c r="AE2188" s="150"/>
      <c r="AF2188" s="151"/>
      <c r="AG2188" s="126"/>
      <c r="AH2188" s="120">
        <f>+Table1[[#This Row],[CONCEPTO]]+Table1[[#This Row],[SUBTOTAL]]</f>
        <v>2032.49</v>
      </c>
      <c r="AK2188" s="306" t="str">
        <f>IF(ISNUMBER(Table1[[#This Row],[FECHA DE RECIBIDO]]), Table1[[#This Row],[FECHA DE RECIBIDO]]-DATE(2023,8,30), "")</f>
        <v/>
      </c>
    </row>
    <row r="2189" spans="1:37" ht="16.95" customHeight="1">
      <c r="A2189" s="152" t="s">
        <v>3734</v>
      </c>
      <c r="B2189" s="153">
        <v>755</v>
      </c>
      <c r="C2189" s="126" t="s">
        <v>1055</v>
      </c>
      <c r="D2189">
        <v>1476</v>
      </c>
      <c r="E2189" s="126" t="s">
        <v>1616</v>
      </c>
      <c r="F2189" s="125" t="s">
        <v>1607</v>
      </c>
      <c r="G2189" s="125" t="s">
        <v>134</v>
      </c>
      <c r="H2189">
        <v>37</v>
      </c>
      <c r="I2189" s="125" t="s">
        <v>1546</v>
      </c>
      <c r="J2189" s="308" t="s">
        <v>214</v>
      </c>
      <c r="K2189" s="127" t="s">
        <v>3797</v>
      </c>
      <c r="L2189" s="153" t="s">
        <v>3306</v>
      </c>
      <c r="M2189">
        <v>337</v>
      </c>
      <c r="N2189" s="123">
        <v>1</v>
      </c>
      <c r="O2189">
        <v>1462</v>
      </c>
      <c r="P2189" s="132" t="s">
        <v>77</v>
      </c>
      <c r="Q2189" s="132">
        <v>570.49</v>
      </c>
      <c r="R2189" s="132">
        <v>91.28</v>
      </c>
      <c r="S2189" s="132"/>
      <c r="T2189" s="156">
        <v>0</v>
      </c>
      <c r="U2189" s="132">
        <v>0</v>
      </c>
      <c r="V2189" s="132">
        <v>661.77</v>
      </c>
      <c r="W2189">
        <v>32</v>
      </c>
      <c r="X2189" s="153" t="s">
        <v>3689</v>
      </c>
      <c r="Y2189" s="124" t="s">
        <v>55</v>
      </c>
      <c r="Z2189" s="308">
        <v>233</v>
      </c>
      <c r="AB2189" t="str">
        <f>IF(Table1[[#This Row],[TIPO2]]="costo", VLOOKUP(Table1[[#This Row],[PARTIDA PRESUPUESTAL]],'Cost Report'!G:G,1,0),"Balance")</f>
        <v>3683-036</v>
      </c>
      <c r="AC2189" s="118"/>
      <c r="AD2189" s="159">
        <f>+Table1[[#This Row],[SUBTOTAL]]+Table1[[#This Row],[IVA]]-Table1[[#This Row],[RET IVA]]-Table1[[#This Row],[RET ISR]]-Table1[[#This Row],[TOTAL]]</f>
        <v>0</v>
      </c>
      <c r="AE2189" s="152"/>
      <c r="AF2189" s="153"/>
      <c r="AG2189" s="126"/>
      <c r="AH2189" s="120">
        <f>+Table1[[#This Row],[CONCEPTO]]+Table1[[#This Row],[SUBTOTAL]]</f>
        <v>2032.49</v>
      </c>
      <c r="AK2189" s="306" t="str">
        <f>IF(ISNUMBER(Table1[[#This Row],[FECHA DE RECIBIDO]]), Table1[[#This Row],[FECHA DE RECIBIDO]]-DATE(2023,8,30), "")</f>
        <v/>
      </c>
    </row>
    <row r="2190" spans="1:37" ht="16.95" customHeight="1">
      <c r="A2190" s="150" t="s">
        <v>3734</v>
      </c>
      <c r="B2190" s="151">
        <v>755</v>
      </c>
      <c r="C2190" s="126" t="s">
        <v>1055</v>
      </c>
      <c r="D2190">
        <v>1476</v>
      </c>
      <c r="E2190" s="126" t="s">
        <v>1616</v>
      </c>
      <c r="F2190" s="122" t="s">
        <v>1607</v>
      </c>
      <c r="G2190" s="122" t="s">
        <v>134</v>
      </c>
      <c r="H2190">
        <v>37</v>
      </c>
      <c r="I2190" s="122" t="s">
        <v>1546</v>
      </c>
      <c r="J2190" s="307" t="s">
        <v>214</v>
      </c>
      <c r="K2190" s="127" t="s">
        <v>3797</v>
      </c>
      <c r="L2190" s="151" t="s">
        <v>3306</v>
      </c>
      <c r="M2190">
        <v>337</v>
      </c>
      <c r="N2190" s="123">
        <v>1</v>
      </c>
      <c r="O2190">
        <v>1462</v>
      </c>
      <c r="P2190" s="132" t="s">
        <v>77</v>
      </c>
      <c r="Q2190" s="131">
        <v>570.49</v>
      </c>
      <c r="R2190" s="131">
        <v>91.28</v>
      </c>
      <c r="S2190" s="131"/>
      <c r="T2190" s="155">
        <v>0</v>
      </c>
      <c r="U2190" s="131">
        <v>0</v>
      </c>
      <c r="V2190" s="131">
        <v>661.77</v>
      </c>
      <c r="W2190">
        <v>32</v>
      </c>
      <c r="X2190" s="151" t="s">
        <v>3689</v>
      </c>
      <c r="Y2190" s="135" t="s">
        <v>55</v>
      </c>
      <c r="Z2190" s="307">
        <v>233</v>
      </c>
      <c r="AB2190" t="str">
        <f>IF(Table1[[#This Row],[TIPO2]]="costo", VLOOKUP(Table1[[#This Row],[PARTIDA PRESUPUESTAL]],'Cost Report'!G:G,1,0),"Balance")</f>
        <v>3683-036</v>
      </c>
      <c r="AC2190" s="118"/>
      <c r="AD2190" s="159">
        <f>+Table1[[#This Row],[SUBTOTAL]]+Table1[[#This Row],[IVA]]-Table1[[#This Row],[RET IVA]]-Table1[[#This Row],[RET ISR]]-Table1[[#This Row],[TOTAL]]</f>
        <v>0</v>
      </c>
      <c r="AE2190" s="150"/>
      <c r="AF2190" s="151"/>
      <c r="AG2190" s="126"/>
      <c r="AH2190" s="120">
        <f>+Table1[[#This Row],[CONCEPTO]]+Table1[[#This Row],[SUBTOTAL]]</f>
        <v>2032.49</v>
      </c>
      <c r="AK2190" s="306" t="str">
        <f>IF(ISNUMBER(Table1[[#This Row],[FECHA DE RECIBIDO]]), Table1[[#This Row],[FECHA DE RECIBIDO]]-DATE(2023,8,30), "")</f>
        <v/>
      </c>
    </row>
    <row r="2191" spans="1:37" ht="16.95" customHeight="1">
      <c r="A2191" s="152" t="s">
        <v>3734</v>
      </c>
      <c r="B2191" s="153">
        <v>755</v>
      </c>
      <c r="C2191" s="126" t="s">
        <v>1055</v>
      </c>
      <c r="D2191">
        <v>1476</v>
      </c>
      <c r="E2191" s="126" t="s">
        <v>1616</v>
      </c>
      <c r="F2191" s="125" t="s">
        <v>1607</v>
      </c>
      <c r="G2191" s="125" t="s">
        <v>134</v>
      </c>
      <c r="H2191">
        <v>37</v>
      </c>
      <c r="I2191" s="125" t="s">
        <v>1546</v>
      </c>
      <c r="J2191" s="308" t="s">
        <v>214</v>
      </c>
      <c r="K2191" s="127" t="s">
        <v>3797</v>
      </c>
      <c r="L2191" s="153" t="s">
        <v>3306</v>
      </c>
      <c r="M2191">
        <v>337</v>
      </c>
      <c r="N2191" s="123">
        <v>1</v>
      </c>
      <c r="O2191">
        <v>1462</v>
      </c>
      <c r="P2191" s="132" t="s">
        <v>77</v>
      </c>
      <c r="Q2191" s="132">
        <v>836.72</v>
      </c>
      <c r="R2191" s="132">
        <v>133.87</v>
      </c>
      <c r="S2191" s="132"/>
      <c r="T2191" s="156">
        <v>0</v>
      </c>
      <c r="U2191" s="132">
        <v>0</v>
      </c>
      <c r="V2191" s="132">
        <v>970.59</v>
      </c>
      <c r="W2191">
        <v>32</v>
      </c>
      <c r="X2191" s="153" t="s">
        <v>3689</v>
      </c>
      <c r="Y2191" s="124" t="s">
        <v>55</v>
      </c>
      <c r="Z2191" s="308">
        <v>233</v>
      </c>
      <c r="AB2191" t="str">
        <f>IF(Table1[[#This Row],[TIPO2]]="costo", VLOOKUP(Table1[[#This Row],[PARTIDA PRESUPUESTAL]],'Cost Report'!G:G,1,0),"Balance")</f>
        <v>3683-036</v>
      </c>
      <c r="AC2191" s="118"/>
      <c r="AD2191" s="159">
        <f>+Table1[[#This Row],[SUBTOTAL]]+Table1[[#This Row],[IVA]]-Table1[[#This Row],[RET IVA]]-Table1[[#This Row],[RET ISR]]-Table1[[#This Row],[TOTAL]]</f>
        <v>0</v>
      </c>
      <c r="AE2191" s="152"/>
      <c r="AF2191" s="153"/>
      <c r="AG2191" s="126"/>
      <c r="AH2191" s="120">
        <f>+Table1[[#This Row],[CONCEPTO]]+Table1[[#This Row],[SUBTOTAL]]</f>
        <v>2298.7200000000003</v>
      </c>
      <c r="AK2191" s="306" t="str">
        <f>IF(ISNUMBER(Table1[[#This Row],[FECHA DE RECIBIDO]]), Table1[[#This Row],[FECHA DE RECIBIDO]]-DATE(2023,8,30), "")</f>
        <v/>
      </c>
    </row>
    <row r="2192" spans="1:37" ht="16.95" customHeight="1">
      <c r="A2192" s="150" t="s">
        <v>3734</v>
      </c>
      <c r="B2192" s="151">
        <v>755</v>
      </c>
      <c r="C2192" s="126" t="s">
        <v>1055</v>
      </c>
      <c r="D2192">
        <v>1476</v>
      </c>
      <c r="E2192" s="126" t="s">
        <v>1616</v>
      </c>
      <c r="F2192" s="122" t="s">
        <v>1607</v>
      </c>
      <c r="G2192" s="122" t="s">
        <v>134</v>
      </c>
      <c r="H2192">
        <v>37</v>
      </c>
      <c r="I2192" s="122" t="s">
        <v>1546</v>
      </c>
      <c r="J2192" s="307" t="s">
        <v>214</v>
      </c>
      <c r="K2192" s="127" t="s">
        <v>3797</v>
      </c>
      <c r="L2192" s="151" t="s">
        <v>3306</v>
      </c>
      <c r="M2192">
        <v>337</v>
      </c>
      <c r="N2192" s="123">
        <v>1</v>
      </c>
      <c r="O2192">
        <v>1462</v>
      </c>
      <c r="P2192" s="132" t="s">
        <v>77</v>
      </c>
      <c r="Q2192" s="131">
        <v>570.49</v>
      </c>
      <c r="R2192" s="131">
        <v>91.28</v>
      </c>
      <c r="S2192" s="131"/>
      <c r="T2192" s="155">
        <v>0</v>
      </c>
      <c r="U2192" s="131">
        <v>0</v>
      </c>
      <c r="V2192" s="131">
        <v>661.77</v>
      </c>
      <c r="W2192">
        <v>32</v>
      </c>
      <c r="X2192" s="151" t="s">
        <v>3689</v>
      </c>
      <c r="Y2192" s="135" t="s">
        <v>55</v>
      </c>
      <c r="Z2192" s="307">
        <v>233</v>
      </c>
      <c r="AB2192" t="str">
        <f>IF(Table1[[#This Row],[TIPO2]]="costo", VLOOKUP(Table1[[#This Row],[PARTIDA PRESUPUESTAL]],'Cost Report'!G:G,1,0),"Balance")</f>
        <v>3683-036</v>
      </c>
      <c r="AC2192" s="118"/>
      <c r="AD2192" s="159">
        <f>+Table1[[#This Row],[SUBTOTAL]]+Table1[[#This Row],[IVA]]-Table1[[#This Row],[RET IVA]]-Table1[[#This Row],[RET ISR]]-Table1[[#This Row],[TOTAL]]</f>
        <v>0</v>
      </c>
      <c r="AE2192" s="150"/>
      <c r="AF2192" s="151"/>
      <c r="AG2192" s="126"/>
      <c r="AH2192" s="120">
        <f>+Table1[[#This Row],[CONCEPTO]]+Table1[[#This Row],[SUBTOTAL]]</f>
        <v>2032.49</v>
      </c>
      <c r="AK2192" s="306" t="str">
        <f>IF(ISNUMBER(Table1[[#This Row],[FECHA DE RECIBIDO]]), Table1[[#This Row],[FECHA DE RECIBIDO]]-DATE(2023,8,30), "")</f>
        <v/>
      </c>
    </row>
    <row r="2193" spans="1:37" ht="16.95" customHeight="1">
      <c r="A2193" s="152" t="s">
        <v>3734</v>
      </c>
      <c r="B2193" s="153">
        <v>755</v>
      </c>
      <c r="C2193" s="126" t="s">
        <v>1055</v>
      </c>
      <c r="D2193">
        <v>1476</v>
      </c>
      <c r="E2193" s="126" t="s">
        <v>1616</v>
      </c>
      <c r="F2193" s="125" t="s">
        <v>1607</v>
      </c>
      <c r="G2193" s="125" t="s">
        <v>134</v>
      </c>
      <c r="H2193">
        <v>37</v>
      </c>
      <c r="I2193" s="125" t="s">
        <v>1546</v>
      </c>
      <c r="J2193" s="308" t="s">
        <v>214</v>
      </c>
      <c r="K2193" s="127" t="s">
        <v>3797</v>
      </c>
      <c r="L2193" s="153" t="s">
        <v>3306</v>
      </c>
      <c r="M2193">
        <v>337</v>
      </c>
      <c r="N2193" s="123">
        <v>1</v>
      </c>
      <c r="O2193">
        <v>1462</v>
      </c>
      <c r="P2193" s="132" t="s">
        <v>77</v>
      </c>
      <c r="Q2193" s="132">
        <v>836.72</v>
      </c>
      <c r="R2193" s="132">
        <v>133.87</v>
      </c>
      <c r="S2193" s="132"/>
      <c r="T2193" s="156">
        <v>0</v>
      </c>
      <c r="U2193" s="132">
        <v>0</v>
      </c>
      <c r="V2193" s="132">
        <v>970.59</v>
      </c>
      <c r="W2193">
        <v>32</v>
      </c>
      <c r="X2193" s="153" t="s">
        <v>3689</v>
      </c>
      <c r="Y2193" s="124" t="s">
        <v>55</v>
      </c>
      <c r="Z2193" s="308">
        <v>233</v>
      </c>
      <c r="AB2193" t="str">
        <f>IF(Table1[[#This Row],[TIPO2]]="costo", VLOOKUP(Table1[[#This Row],[PARTIDA PRESUPUESTAL]],'Cost Report'!G:G,1,0),"Balance")</f>
        <v>3683-036</v>
      </c>
      <c r="AC2193" s="118"/>
      <c r="AD2193" s="159">
        <f>+Table1[[#This Row],[SUBTOTAL]]+Table1[[#This Row],[IVA]]-Table1[[#This Row],[RET IVA]]-Table1[[#This Row],[RET ISR]]-Table1[[#This Row],[TOTAL]]</f>
        <v>0</v>
      </c>
      <c r="AE2193" s="152"/>
      <c r="AF2193" s="153"/>
      <c r="AG2193" s="126"/>
      <c r="AH2193" s="120">
        <f>+Table1[[#This Row],[CONCEPTO]]+Table1[[#This Row],[SUBTOTAL]]</f>
        <v>2298.7200000000003</v>
      </c>
      <c r="AK2193" s="306" t="str">
        <f>IF(ISNUMBER(Table1[[#This Row],[FECHA DE RECIBIDO]]), Table1[[#This Row],[FECHA DE RECIBIDO]]-DATE(2023,8,30), "")</f>
        <v/>
      </c>
    </row>
    <row r="2194" spans="1:37" ht="16.95" customHeight="1">
      <c r="A2194" s="150" t="s">
        <v>3734</v>
      </c>
      <c r="B2194" s="151">
        <v>755</v>
      </c>
      <c r="C2194" s="126" t="s">
        <v>1055</v>
      </c>
      <c r="D2194">
        <v>1476</v>
      </c>
      <c r="E2194" s="126" t="s">
        <v>1616</v>
      </c>
      <c r="F2194" s="122" t="s">
        <v>1607</v>
      </c>
      <c r="G2194" s="122" t="s">
        <v>134</v>
      </c>
      <c r="H2194">
        <v>37</v>
      </c>
      <c r="I2194" s="122" t="s">
        <v>1546</v>
      </c>
      <c r="J2194" s="307" t="s">
        <v>214</v>
      </c>
      <c r="K2194" s="127" t="s">
        <v>3797</v>
      </c>
      <c r="L2194" s="151" t="s">
        <v>3306</v>
      </c>
      <c r="M2194">
        <v>337</v>
      </c>
      <c r="N2194" s="123">
        <v>1</v>
      </c>
      <c r="O2194">
        <v>1462</v>
      </c>
      <c r="P2194" s="132" t="s">
        <v>77</v>
      </c>
      <c r="Q2194" s="131">
        <v>855.73</v>
      </c>
      <c r="R2194" s="131">
        <v>136.91999999999999</v>
      </c>
      <c r="S2194" s="131"/>
      <c r="T2194" s="155">
        <v>0</v>
      </c>
      <c r="U2194" s="131">
        <v>0</v>
      </c>
      <c r="V2194" s="131">
        <v>992.65</v>
      </c>
      <c r="W2194">
        <v>32</v>
      </c>
      <c r="X2194" s="151" t="s">
        <v>3689</v>
      </c>
      <c r="Y2194" s="135" t="s">
        <v>55</v>
      </c>
      <c r="Z2194" s="307">
        <v>233</v>
      </c>
      <c r="AB2194" t="str">
        <f>IF(Table1[[#This Row],[TIPO2]]="costo", VLOOKUP(Table1[[#This Row],[PARTIDA PRESUPUESTAL]],'Cost Report'!G:G,1,0),"Balance")</f>
        <v>3683-036</v>
      </c>
      <c r="AC2194" s="118"/>
      <c r="AD2194" s="159">
        <f>+Table1[[#This Row],[SUBTOTAL]]+Table1[[#This Row],[IVA]]-Table1[[#This Row],[RET IVA]]-Table1[[#This Row],[RET ISR]]-Table1[[#This Row],[TOTAL]]</f>
        <v>0</v>
      </c>
      <c r="AE2194" s="150"/>
      <c r="AF2194" s="151"/>
      <c r="AG2194" s="126"/>
      <c r="AH2194" s="120">
        <f>+Table1[[#This Row],[CONCEPTO]]+Table1[[#This Row],[SUBTOTAL]]</f>
        <v>2317.73</v>
      </c>
      <c r="AK2194" s="306" t="str">
        <f>IF(ISNUMBER(Table1[[#This Row],[FECHA DE RECIBIDO]]), Table1[[#This Row],[FECHA DE RECIBIDO]]-DATE(2023,8,30), "")</f>
        <v/>
      </c>
    </row>
    <row r="2195" spans="1:37" ht="16.95" customHeight="1">
      <c r="A2195" s="152" t="s">
        <v>3734</v>
      </c>
      <c r="B2195" s="153">
        <v>755</v>
      </c>
      <c r="C2195" s="126" t="s">
        <v>1055</v>
      </c>
      <c r="D2195">
        <v>1476</v>
      </c>
      <c r="E2195" s="126" t="s">
        <v>1616</v>
      </c>
      <c r="F2195" s="125" t="s">
        <v>1607</v>
      </c>
      <c r="G2195" s="125" t="s">
        <v>134</v>
      </c>
      <c r="H2195">
        <v>37</v>
      </c>
      <c r="I2195" s="125" t="s">
        <v>1546</v>
      </c>
      <c r="J2195" s="308" t="s">
        <v>214</v>
      </c>
      <c r="K2195" s="127" t="s">
        <v>3797</v>
      </c>
      <c r="L2195" s="153" t="s">
        <v>3306</v>
      </c>
      <c r="M2195">
        <v>337</v>
      </c>
      <c r="N2195" s="123">
        <v>1</v>
      </c>
      <c r="O2195">
        <v>1462</v>
      </c>
      <c r="P2195" s="132" t="s">
        <v>77</v>
      </c>
      <c r="Q2195" s="132">
        <v>1064.9100000000001</v>
      </c>
      <c r="R2195" s="132">
        <v>170.39</v>
      </c>
      <c r="S2195" s="132"/>
      <c r="T2195" s="156">
        <v>0</v>
      </c>
      <c r="U2195" s="132">
        <v>0</v>
      </c>
      <c r="V2195" s="132">
        <v>1235.3000000000002</v>
      </c>
      <c r="W2195">
        <v>32</v>
      </c>
      <c r="X2195" s="153" t="s">
        <v>3689</v>
      </c>
      <c r="Y2195" s="124" t="s">
        <v>55</v>
      </c>
      <c r="Z2195" s="308">
        <v>233</v>
      </c>
      <c r="AB2195" t="str">
        <f>IF(Table1[[#This Row],[TIPO2]]="costo", VLOOKUP(Table1[[#This Row],[PARTIDA PRESUPUESTAL]],'Cost Report'!G:G,1,0),"Balance")</f>
        <v>3683-036</v>
      </c>
      <c r="AC2195" s="118"/>
      <c r="AD2195" s="159">
        <f>+Table1[[#This Row],[SUBTOTAL]]+Table1[[#This Row],[IVA]]-Table1[[#This Row],[RET IVA]]-Table1[[#This Row],[RET ISR]]-Table1[[#This Row],[TOTAL]]</f>
        <v>0</v>
      </c>
      <c r="AE2195" s="152"/>
      <c r="AF2195" s="153"/>
      <c r="AG2195" s="126"/>
      <c r="AH2195" s="120">
        <f>+Table1[[#This Row],[CONCEPTO]]+Table1[[#This Row],[SUBTOTAL]]</f>
        <v>2526.91</v>
      </c>
      <c r="AK2195" s="306" t="str">
        <f>IF(ISNUMBER(Table1[[#This Row],[FECHA DE RECIBIDO]]), Table1[[#This Row],[FECHA DE RECIBIDO]]-DATE(2023,8,30), "")</f>
        <v/>
      </c>
    </row>
    <row r="2196" spans="1:37" ht="16.95" customHeight="1">
      <c r="A2196" s="150" t="s">
        <v>3734</v>
      </c>
      <c r="B2196" s="151">
        <v>755</v>
      </c>
      <c r="C2196" s="126" t="s">
        <v>1055</v>
      </c>
      <c r="D2196">
        <v>1476</v>
      </c>
      <c r="E2196" s="126" t="s">
        <v>1616</v>
      </c>
      <c r="F2196" s="122" t="s">
        <v>1607</v>
      </c>
      <c r="G2196" s="122" t="s">
        <v>134</v>
      </c>
      <c r="H2196">
        <v>37</v>
      </c>
      <c r="I2196" s="122" t="s">
        <v>1546</v>
      </c>
      <c r="J2196" s="307" t="s">
        <v>214</v>
      </c>
      <c r="K2196" s="127" t="s">
        <v>3797</v>
      </c>
      <c r="L2196" s="151" t="s">
        <v>3306</v>
      </c>
      <c r="M2196">
        <v>337</v>
      </c>
      <c r="N2196" s="123">
        <v>1</v>
      </c>
      <c r="O2196">
        <v>1462</v>
      </c>
      <c r="P2196" s="132" t="s">
        <v>77</v>
      </c>
      <c r="Q2196" s="131">
        <v>2129.8200000000002</v>
      </c>
      <c r="R2196" s="131">
        <v>340.77</v>
      </c>
      <c r="S2196" s="131"/>
      <c r="T2196" s="155">
        <v>0</v>
      </c>
      <c r="U2196" s="131">
        <v>0</v>
      </c>
      <c r="V2196" s="131">
        <v>2470.59</v>
      </c>
      <c r="W2196">
        <v>32</v>
      </c>
      <c r="X2196" s="151" t="s">
        <v>3689</v>
      </c>
      <c r="Y2196" s="135" t="s">
        <v>55</v>
      </c>
      <c r="Z2196" s="307">
        <v>233</v>
      </c>
      <c r="AB2196" t="str">
        <f>IF(Table1[[#This Row],[TIPO2]]="costo", VLOOKUP(Table1[[#This Row],[PARTIDA PRESUPUESTAL]],'Cost Report'!G:G,1,0),"Balance")</f>
        <v>3683-036</v>
      </c>
      <c r="AC2196" s="118"/>
      <c r="AD2196" s="159">
        <f>+Table1[[#This Row],[SUBTOTAL]]+Table1[[#This Row],[IVA]]-Table1[[#This Row],[RET IVA]]-Table1[[#This Row],[RET ISR]]-Table1[[#This Row],[TOTAL]]</f>
        <v>0</v>
      </c>
      <c r="AE2196" s="150"/>
      <c r="AF2196" s="151"/>
      <c r="AG2196" s="126"/>
      <c r="AH2196" s="120">
        <f>+Table1[[#This Row],[CONCEPTO]]+Table1[[#This Row],[SUBTOTAL]]</f>
        <v>3591.82</v>
      </c>
      <c r="AK2196" s="306" t="str">
        <f>IF(ISNUMBER(Table1[[#This Row],[FECHA DE RECIBIDO]]), Table1[[#This Row],[FECHA DE RECIBIDO]]-DATE(2023,8,30), "")</f>
        <v/>
      </c>
    </row>
    <row r="2197" spans="1:37" ht="16.95" customHeight="1">
      <c r="A2197" s="152" t="s">
        <v>3734</v>
      </c>
      <c r="B2197" s="153">
        <v>755</v>
      </c>
      <c r="C2197" s="126" t="s">
        <v>1055</v>
      </c>
      <c r="D2197">
        <v>1476</v>
      </c>
      <c r="E2197" s="126" t="s">
        <v>1616</v>
      </c>
      <c r="F2197" s="125" t="s">
        <v>1607</v>
      </c>
      <c r="G2197" s="125" t="s">
        <v>134</v>
      </c>
      <c r="H2197">
        <v>37</v>
      </c>
      <c r="I2197" s="125" t="s">
        <v>1546</v>
      </c>
      <c r="J2197" s="308" t="s">
        <v>214</v>
      </c>
      <c r="K2197" s="127" t="s">
        <v>3797</v>
      </c>
      <c r="L2197" s="153" t="s">
        <v>3306</v>
      </c>
      <c r="M2197">
        <v>337</v>
      </c>
      <c r="N2197" s="123">
        <v>1</v>
      </c>
      <c r="O2197">
        <v>1462</v>
      </c>
      <c r="P2197" s="132" t="s">
        <v>77</v>
      </c>
      <c r="Q2197" s="132">
        <v>1064.9100000000001</v>
      </c>
      <c r="R2197" s="132">
        <v>170.39</v>
      </c>
      <c r="S2197" s="132"/>
      <c r="T2197" s="156">
        <v>0</v>
      </c>
      <c r="U2197" s="132">
        <v>0</v>
      </c>
      <c r="V2197" s="132">
        <v>1235.3000000000002</v>
      </c>
      <c r="W2197">
        <v>32</v>
      </c>
      <c r="X2197" s="153" t="s">
        <v>3689</v>
      </c>
      <c r="Y2197" s="124" t="s">
        <v>55</v>
      </c>
      <c r="Z2197" s="308">
        <v>233</v>
      </c>
      <c r="AB2197" t="str">
        <f>IF(Table1[[#This Row],[TIPO2]]="costo", VLOOKUP(Table1[[#This Row],[PARTIDA PRESUPUESTAL]],'Cost Report'!G:G,1,0),"Balance")</f>
        <v>3683-036</v>
      </c>
      <c r="AC2197" s="118"/>
      <c r="AD2197" s="159">
        <f>+Table1[[#This Row],[SUBTOTAL]]+Table1[[#This Row],[IVA]]-Table1[[#This Row],[RET IVA]]-Table1[[#This Row],[RET ISR]]-Table1[[#This Row],[TOTAL]]</f>
        <v>0</v>
      </c>
      <c r="AE2197" s="152"/>
      <c r="AF2197" s="153"/>
      <c r="AG2197" s="126"/>
      <c r="AH2197" s="120">
        <f>+Table1[[#This Row],[CONCEPTO]]+Table1[[#This Row],[SUBTOTAL]]</f>
        <v>2526.91</v>
      </c>
      <c r="AK2197" s="306" t="str">
        <f>IF(ISNUMBER(Table1[[#This Row],[FECHA DE RECIBIDO]]), Table1[[#This Row],[FECHA DE RECIBIDO]]-DATE(2023,8,30), "")</f>
        <v/>
      </c>
    </row>
    <row r="2198" spans="1:37" ht="16.95" customHeight="1">
      <c r="A2198" s="150" t="s">
        <v>3734</v>
      </c>
      <c r="B2198" s="151">
        <v>755</v>
      </c>
      <c r="C2198" s="126" t="s">
        <v>1055</v>
      </c>
      <c r="D2198">
        <v>1476</v>
      </c>
      <c r="E2198" s="126" t="s">
        <v>1616</v>
      </c>
      <c r="F2198" s="122" t="s">
        <v>1607</v>
      </c>
      <c r="G2198" s="122" t="s">
        <v>134</v>
      </c>
      <c r="H2198">
        <v>37</v>
      </c>
      <c r="I2198" s="122" t="s">
        <v>1546</v>
      </c>
      <c r="J2198" s="307" t="s">
        <v>214</v>
      </c>
      <c r="K2198" s="127" t="s">
        <v>3797</v>
      </c>
      <c r="L2198" s="151" t="s">
        <v>3306</v>
      </c>
      <c r="M2198">
        <v>337</v>
      </c>
      <c r="N2198" s="123">
        <v>1</v>
      </c>
      <c r="O2198">
        <v>1462</v>
      </c>
      <c r="P2198" s="132" t="s">
        <v>77</v>
      </c>
      <c r="Q2198" s="131">
        <v>1064.9100000000001</v>
      </c>
      <c r="R2198" s="131">
        <v>170.39</v>
      </c>
      <c r="S2198" s="131"/>
      <c r="T2198" s="155">
        <v>0</v>
      </c>
      <c r="U2198" s="131">
        <v>0</v>
      </c>
      <c r="V2198" s="131">
        <v>1235.3000000000002</v>
      </c>
      <c r="W2198">
        <v>32</v>
      </c>
      <c r="X2198" s="151" t="s">
        <v>3689</v>
      </c>
      <c r="Y2198" s="135" t="s">
        <v>55</v>
      </c>
      <c r="Z2198" s="307">
        <v>233</v>
      </c>
      <c r="AB2198" t="str">
        <f>IF(Table1[[#This Row],[TIPO2]]="costo", VLOOKUP(Table1[[#This Row],[PARTIDA PRESUPUESTAL]],'Cost Report'!G:G,1,0),"Balance")</f>
        <v>3683-036</v>
      </c>
      <c r="AC2198" s="118"/>
      <c r="AD2198" s="159">
        <f>+Table1[[#This Row],[SUBTOTAL]]+Table1[[#This Row],[IVA]]-Table1[[#This Row],[RET IVA]]-Table1[[#This Row],[RET ISR]]-Table1[[#This Row],[TOTAL]]</f>
        <v>0</v>
      </c>
      <c r="AE2198" s="150"/>
      <c r="AF2198" s="151"/>
      <c r="AG2198" s="126"/>
      <c r="AH2198" s="120">
        <f>+Table1[[#This Row],[CONCEPTO]]+Table1[[#This Row],[SUBTOTAL]]</f>
        <v>2526.91</v>
      </c>
      <c r="AK2198" s="306" t="str">
        <f>IF(ISNUMBER(Table1[[#This Row],[FECHA DE RECIBIDO]]), Table1[[#This Row],[FECHA DE RECIBIDO]]-DATE(2023,8,30), "")</f>
        <v/>
      </c>
    </row>
    <row r="2199" spans="1:37" ht="16.95" customHeight="1">
      <c r="A2199" s="152" t="s">
        <v>3734</v>
      </c>
      <c r="B2199" s="153">
        <v>755</v>
      </c>
      <c r="C2199" s="126" t="s">
        <v>1055</v>
      </c>
      <c r="D2199">
        <v>1476</v>
      </c>
      <c r="E2199" s="126" t="s">
        <v>1616</v>
      </c>
      <c r="F2199" s="125" t="s">
        <v>1607</v>
      </c>
      <c r="G2199" s="125" t="s">
        <v>134</v>
      </c>
      <c r="H2199">
        <v>37</v>
      </c>
      <c r="I2199" s="125" t="s">
        <v>1546</v>
      </c>
      <c r="J2199" s="308" t="s">
        <v>214</v>
      </c>
      <c r="K2199" s="127" t="s">
        <v>3797</v>
      </c>
      <c r="L2199" s="153" t="s">
        <v>3306</v>
      </c>
      <c r="M2199">
        <v>337</v>
      </c>
      <c r="N2199" s="123">
        <v>1</v>
      </c>
      <c r="O2199">
        <v>1462</v>
      </c>
      <c r="P2199" s="132" t="s">
        <v>77</v>
      </c>
      <c r="Q2199" s="132">
        <v>346.37</v>
      </c>
      <c r="R2199" s="132">
        <v>55.42</v>
      </c>
      <c r="S2199" s="132"/>
      <c r="T2199" s="156">
        <v>0</v>
      </c>
      <c r="U2199" s="132">
        <v>0</v>
      </c>
      <c r="V2199" s="132">
        <v>401.79</v>
      </c>
      <c r="W2199">
        <v>32</v>
      </c>
      <c r="X2199" s="153" t="s">
        <v>3689</v>
      </c>
      <c r="Y2199" s="124" t="s">
        <v>55</v>
      </c>
      <c r="Z2199" s="308">
        <v>233</v>
      </c>
      <c r="AB2199" t="str">
        <f>IF(Table1[[#This Row],[TIPO2]]="costo", VLOOKUP(Table1[[#This Row],[PARTIDA PRESUPUESTAL]],'Cost Report'!G:G,1,0),"Balance")</f>
        <v>3683-036</v>
      </c>
      <c r="AC2199" s="118"/>
      <c r="AD2199" s="159">
        <f>+Table1[[#This Row],[SUBTOTAL]]+Table1[[#This Row],[IVA]]-Table1[[#This Row],[RET IVA]]-Table1[[#This Row],[RET ISR]]-Table1[[#This Row],[TOTAL]]</f>
        <v>0</v>
      </c>
      <c r="AE2199" s="152"/>
      <c r="AF2199" s="153"/>
      <c r="AG2199" s="126"/>
      <c r="AH2199" s="120">
        <f>+Table1[[#This Row],[CONCEPTO]]+Table1[[#This Row],[SUBTOTAL]]</f>
        <v>1808.37</v>
      </c>
      <c r="AK2199" s="306" t="str">
        <f>IF(ISNUMBER(Table1[[#This Row],[FECHA DE RECIBIDO]]), Table1[[#This Row],[FECHA DE RECIBIDO]]-DATE(2023,8,30), "")</f>
        <v/>
      </c>
    </row>
    <row r="2200" spans="1:37" ht="16.95" customHeight="1">
      <c r="A2200" s="150" t="s">
        <v>3734</v>
      </c>
      <c r="B2200" s="151">
        <v>755</v>
      </c>
      <c r="C2200" s="126" t="s">
        <v>1055</v>
      </c>
      <c r="D2200">
        <v>1476</v>
      </c>
      <c r="E2200" s="126" t="s">
        <v>1616</v>
      </c>
      <c r="F2200" s="122" t="s">
        <v>1607</v>
      </c>
      <c r="G2200" s="122" t="s">
        <v>134</v>
      </c>
      <c r="H2200">
        <v>37</v>
      </c>
      <c r="I2200" s="122" t="s">
        <v>1546</v>
      </c>
      <c r="J2200" s="307" t="s">
        <v>214</v>
      </c>
      <c r="K2200" s="127" t="s">
        <v>3797</v>
      </c>
      <c r="L2200" s="151" t="s">
        <v>3306</v>
      </c>
      <c r="M2200">
        <v>337</v>
      </c>
      <c r="N2200" s="123">
        <v>1</v>
      </c>
      <c r="O2200">
        <v>1462</v>
      </c>
      <c r="P2200" s="132" t="s">
        <v>77</v>
      </c>
      <c r="Q2200" s="131">
        <v>190.16</v>
      </c>
      <c r="R2200" s="131">
        <v>30.43</v>
      </c>
      <c r="S2200" s="131"/>
      <c r="T2200" s="155">
        <v>0</v>
      </c>
      <c r="U2200" s="131">
        <v>0</v>
      </c>
      <c r="V2200" s="131">
        <v>220.59</v>
      </c>
      <c r="W2200">
        <v>32</v>
      </c>
      <c r="X2200" s="151" t="s">
        <v>3689</v>
      </c>
      <c r="Y2200" s="135" t="s">
        <v>55</v>
      </c>
      <c r="Z2200" s="307">
        <v>233</v>
      </c>
      <c r="AB2200" t="str">
        <f>IF(Table1[[#This Row],[TIPO2]]="costo", VLOOKUP(Table1[[#This Row],[PARTIDA PRESUPUESTAL]],'Cost Report'!G:G,1,0),"Balance")</f>
        <v>3683-036</v>
      </c>
      <c r="AC2200" s="118"/>
      <c r="AD2200" s="159">
        <f>+Table1[[#This Row],[SUBTOTAL]]+Table1[[#This Row],[IVA]]-Table1[[#This Row],[RET IVA]]-Table1[[#This Row],[RET ISR]]-Table1[[#This Row],[TOTAL]]</f>
        <v>0</v>
      </c>
      <c r="AE2200" s="150"/>
      <c r="AF2200" s="151"/>
      <c r="AG2200" s="126"/>
      <c r="AH2200" s="120">
        <f>+Table1[[#This Row],[CONCEPTO]]+Table1[[#This Row],[SUBTOTAL]]</f>
        <v>1652.16</v>
      </c>
      <c r="AK2200" s="306" t="str">
        <f>IF(ISNUMBER(Table1[[#This Row],[FECHA DE RECIBIDO]]), Table1[[#This Row],[FECHA DE RECIBIDO]]-DATE(2023,8,30), "")</f>
        <v/>
      </c>
    </row>
    <row r="2201" spans="1:37" ht="16.95" customHeight="1">
      <c r="A2201" s="152" t="s">
        <v>3739</v>
      </c>
      <c r="B2201" s="153">
        <v>760</v>
      </c>
      <c r="C2201" s="126" t="s">
        <v>1728</v>
      </c>
      <c r="D2201">
        <v>1477</v>
      </c>
      <c r="E2201" s="126" t="s">
        <v>1985</v>
      </c>
      <c r="F2201" s="125" t="s">
        <v>1593</v>
      </c>
      <c r="G2201" s="125" t="s">
        <v>109</v>
      </c>
      <c r="H2201">
        <v>265</v>
      </c>
      <c r="I2201" s="125" t="s">
        <v>1546</v>
      </c>
      <c r="J2201" s="308" t="s">
        <v>214</v>
      </c>
      <c r="K2201" s="127" t="s">
        <v>3797</v>
      </c>
      <c r="L2201" s="153" t="s">
        <v>3306</v>
      </c>
      <c r="M2201">
        <v>353</v>
      </c>
      <c r="N2201" s="123">
        <v>1</v>
      </c>
      <c r="O2201">
        <v>1463</v>
      </c>
      <c r="P2201" s="132" t="s">
        <v>77</v>
      </c>
      <c r="Q2201" s="132">
        <v>351769</v>
      </c>
      <c r="R2201" s="132">
        <v>56283.040000000001</v>
      </c>
      <c r="S2201" s="132"/>
      <c r="T2201" s="156">
        <v>0</v>
      </c>
      <c r="U2201" s="132">
        <v>0</v>
      </c>
      <c r="V2201" s="132">
        <v>408052.04</v>
      </c>
      <c r="W2201">
        <v>165</v>
      </c>
      <c r="X2201" s="153" t="s">
        <v>3685</v>
      </c>
      <c r="Y2201" s="124" t="s">
        <v>55</v>
      </c>
      <c r="Z2201" s="308">
        <v>233</v>
      </c>
      <c r="AB2201" t="str">
        <f>IF(Table1[[#This Row],[TIPO2]]="costo", VLOOKUP(Table1[[#This Row],[PARTIDA PRESUPUESTAL]],'Cost Report'!G:G,1,0),"Balance")</f>
        <v>2103-004</v>
      </c>
      <c r="AC2201" s="118"/>
      <c r="AD2201" s="159">
        <f>+Table1[[#This Row],[SUBTOTAL]]+Table1[[#This Row],[IVA]]-Table1[[#This Row],[RET IVA]]-Table1[[#This Row],[RET ISR]]-Table1[[#This Row],[TOTAL]]</f>
        <v>0</v>
      </c>
      <c r="AE2201" s="152"/>
      <c r="AF2201" s="153"/>
      <c r="AG2201" s="126"/>
      <c r="AH2201" s="120">
        <f>+Table1[[#This Row],[CONCEPTO]]+Table1[[#This Row],[SUBTOTAL]]</f>
        <v>353232</v>
      </c>
      <c r="AK2201" s="306" t="str">
        <f>IF(ISNUMBER(Table1[[#This Row],[FECHA DE RECIBIDO]]), Table1[[#This Row],[FECHA DE RECIBIDO]]-DATE(2023,8,30), "")</f>
        <v/>
      </c>
    </row>
    <row r="2202" spans="1:37" ht="16.95" customHeight="1">
      <c r="A2202" s="150" t="s">
        <v>3740</v>
      </c>
      <c r="B2202" s="151">
        <v>761</v>
      </c>
      <c r="C2202" s="126" t="s">
        <v>1505</v>
      </c>
      <c r="D2202">
        <v>1478</v>
      </c>
      <c r="E2202" s="126" t="s">
        <v>3235</v>
      </c>
      <c r="F2202" s="122" t="s">
        <v>1589</v>
      </c>
      <c r="G2202" s="122" t="s">
        <v>129</v>
      </c>
      <c r="H2202">
        <v>212</v>
      </c>
      <c r="I2202" s="122" t="s">
        <v>1546</v>
      </c>
      <c r="J2202" s="307" t="s">
        <v>214</v>
      </c>
      <c r="K2202" s="127" t="s">
        <v>3797</v>
      </c>
      <c r="L2202" s="151" t="s">
        <v>3306</v>
      </c>
      <c r="M2202">
        <v>277</v>
      </c>
      <c r="N2202" s="123">
        <v>51</v>
      </c>
      <c r="O2202">
        <v>1464</v>
      </c>
      <c r="P2202" s="132" t="s">
        <v>77</v>
      </c>
      <c r="Q2202" s="131">
        <v>1748.9</v>
      </c>
      <c r="R2202" s="131">
        <v>279.83</v>
      </c>
      <c r="S2202" s="131"/>
      <c r="T2202" s="155">
        <v>0</v>
      </c>
      <c r="U2202" s="131">
        <v>0</v>
      </c>
      <c r="V2202" s="131">
        <v>2028.73</v>
      </c>
      <c r="W2202">
        <v>133</v>
      </c>
      <c r="X2202" s="151" t="s">
        <v>2035</v>
      </c>
      <c r="Y2202" s="135" t="s">
        <v>55</v>
      </c>
      <c r="Z2202" s="307">
        <v>233</v>
      </c>
      <c r="AB2202" t="str">
        <f>IF(Table1[[#This Row],[TIPO2]]="costo", VLOOKUP(Table1[[#This Row],[PARTIDA PRESUPUESTAL]],'Cost Report'!G:G,1,0),"Balance")</f>
        <v>2494-003</v>
      </c>
      <c r="AC2202" s="118"/>
      <c r="AD2202" s="159">
        <f>+Table1[[#This Row],[SUBTOTAL]]+Table1[[#This Row],[IVA]]-Table1[[#This Row],[RET IVA]]-Table1[[#This Row],[RET ISR]]-Table1[[#This Row],[TOTAL]]</f>
        <v>0</v>
      </c>
      <c r="AE2202" s="150"/>
      <c r="AF2202" s="151"/>
      <c r="AG2202" s="126"/>
      <c r="AH2202" s="120">
        <f>+Table1[[#This Row],[CONCEPTO]]+Table1[[#This Row],[SUBTOTAL]]</f>
        <v>3212.9</v>
      </c>
      <c r="AK2202" s="306" t="str">
        <f>IF(ISNUMBER(Table1[[#This Row],[FECHA DE RECIBIDO]]), Table1[[#This Row],[FECHA DE RECIBIDO]]-DATE(2023,8,30), "")</f>
        <v/>
      </c>
    </row>
    <row r="2203" spans="1:37" ht="16.95" customHeight="1">
      <c r="A2203" s="152" t="s">
        <v>3741</v>
      </c>
      <c r="B2203" s="153">
        <v>762</v>
      </c>
      <c r="C2203" s="126" t="s">
        <v>2566</v>
      </c>
      <c r="D2203">
        <v>1479</v>
      </c>
      <c r="E2203" s="126" t="s">
        <v>3784</v>
      </c>
      <c r="F2203" s="125" t="s">
        <v>1589</v>
      </c>
      <c r="G2203" s="125" t="s">
        <v>129</v>
      </c>
      <c r="H2203">
        <v>447</v>
      </c>
      <c r="I2203" s="125" t="s">
        <v>1546</v>
      </c>
      <c r="J2203" s="308" t="s">
        <v>214</v>
      </c>
      <c r="K2203" s="127" t="s">
        <v>3797</v>
      </c>
      <c r="L2203" s="153" t="s">
        <v>3306</v>
      </c>
      <c r="M2203">
        <v>621</v>
      </c>
      <c r="N2203" s="123">
        <v>51</v>
      </c>
      <c r="O2203">
        <v>1465</v>
      </c>
      <c r="P2203" s="132" t="s">
        <v>77</v>
      </c>
      <c r="Q2203" s="132">
        <v>3500</v>
      </c>
      <c r="R2203" s="132">
        <v>560</v>
      </c>
      <c r="S2203" s="132"/>
      <c r="T2203" s="156">
        <v>373.33</v>
      </c>
      <c r="U2203" s="132">
        <v>350</v>
      </c>
      <c r="V2203" s="132">
        <v>3336.67</v>
      </c>
      <c r="W2203">
        <v>234</v>
      </c>
      <c r="X2203" s="153" t="s">
        <v>2041</v>
      </c>
      <c r="Y2203" s="124" t="s">
        <v>55</v>
      </c>
      <c r="Z2203" s="308">
        <v>233</v>
      </c>
      <c r="AB2203" t="str">
        <f>IF(Table1[[#This Row],[TIPO2]]="costo", VLOOKUP(Table1[[#This Row],[PARTIDA PRESUPUESTAL]],'Cost Report'!G:G,1,0),"Balance")</f>
        <v>2594-003</v>
      </c>
      <c r="AC2203" s="118"/>
      <c r="AD2203" s="159">
        <f>+Table1[[#This Row],[SUBTOTAL]]+Table1[[#This Row],[IVA]]-Table1[[#This Row],[RET IVA]]-Table1[[#This Row],[RET ISR]]-Table1[[#This Row],[TOTAL]]</f>
        <v>0</v>
      </c>
      <c r="AE2203" s="152"/>
      <c r="AF2203" s="153"/>
      <c r="AG2203" s="126"/>
      <c r="AH2203" s="120">
        <f>+Table1[[#This Row],[CONCEPTO]]+Table1[[#This Row],[SUBTOTAL]]</f>
        <v>4965</v>
      </c>
      <c r="AK2203" s="306" t="str">
        <f>IF(ISNUMBER(Table1[[#This Row],[FECHA DE RECIBIDO]]), Table1[[#This Row],[FECHA DE RECIBIDO]]-DATE(2023,8,30), "")</f>
        <v/>
      </c>
    </row>
    <row r="2204" spans="1:37" ht="16.95" customHeight="1">
      <c r="A2204" s="150" t="s">
        <v>3742</v>
      </c>
      <c r="B2204" s="151">
        <v>763</v>
      </c>
      <c r="C2204" s="126" t="s">
        <v>2544</v>
      </c>
      <c r="D2204">
        <v>1480</v>
      </c>
      <c r="E2204" s="126" t="s">
        <v>3636</v>
      </c>
      <c r="F2204" s="122" t="s">
        <v>1589</v>
      </c>
      <c r="G2204" s="122" t="s">
        <v>129</v>
      </c>
      <c r="H2204">
        <v>331</v>
      </c>
      <c r="I2204" s="122" t="s">
        <v>1546</v>
      </c>
      <c r="J2204" s="307" t="s">
        <v>214</v>
      </c>
      <c r="K2204" s="127" t="s">
        <v>3797</v>
      </c>
      <c r="L2204" s="151" t="s">
        <v>3306</v>
      </c>
      <c r="M2204">
        <v>444</v>
      </c>
      <c r="N2204" s="123">
        <v>51</v>
      </c>
      <c r="O2204">
        <v>1466</v>
      </c>
      <c r="P2204" s="132" t="s">
        <v>77</v>
      </c>
      <c r="Q2204" s="131">
        <v>24900</v>
      </c>
      <c r="R2204" s="131">
        <v>3984</v>
      </c>
      <c r="S2204" s="131"/>
      <c r="T2204" s="155">
        <v>2656.01</v>
      </c>
      <c r="U2204" s="131">
        <v>2490</v>
      </c>
      <c r="V2204" s="131">
        <v>23737.989999999998</v>
      </c>
      <c r="W2204">
        <v>168</v>
      </c>
      <c r="X2204" s="151" t="s">
        <v>105</v>
      </c>
      <c r="Y2204" s="135" t="s">
        <v>55</v>
      </c>
      <c r="Z2204" s="307">
        <v>233</v>
      </c>
      <c r="AB2204" t="str">
        <f>IF(Table1[[#This Row],[TIPO2]]="costo", VLOOKUP(Table1[[#This Row],[PARTIDA PRESUPUESTAL]],'Cost Report'!G:G,1,0),"Balance")</f>
        <v>2494-067</v>
      </c>
      <c r="AC2204" s="118"/>
      <c r="AD2204" s="159">
        <f>+Table1[[#This Row],[SUBTOTAL]]+Table1[[#This Row],[IVA]]-Table1[[#This Row],[RET IVA]]-Table1[[#This Row],[RET ISR]]-Table1[[#This Row],[TOTAL]]</f>
        <v>0</v>
      </c>
      <c r="AE2204" s="150"/>
      <c r="AF2204" s="151"/>
      <c r="AG2204" s="126"/>
      <c r="AH2204" s="120">
        <f>+Table1[[#This Row],[CONCEPTO]]+Table1[[#This Row],[SUBTOTAL]]</f>
        <v>26366</v>
      </c>
      <c r="AK2204" s="306" t="str">
        <f>IF(ISNUMBER(Table1[[#This Row],[FECHA DE RECIBIDO]]), Table1[[#This Row],[FECHA DE RECIBIDO]]-DATE(2023,8,30), "")</f>
        <v/>
      </c>
    </row>
    <row r="2205" spans="1:37" ht="16.95" customHeight="1">
      <c r="A2205" s="152" t="s">
        <v>3743</v>
      </c>
      <c r="B2205" s="153">
        <v>764</v>
      </c>
      <c r="C2205" s="126" t="s">
        <v>1519</v>
      </c>
      <c r="D2205">
        <v>1481</v>
      </c>
      <c r="E2205" s="126" t="s">
        <v>3237</v>
      </c>
      <c r="F2205" s="125" t="s">
        <v>1607</v>
      </c>
      <c r="G2205" s="125" t="s">
        <v>134</v>
      </c>
      <c r="H2205">
        <v>448</v>
      </c>
      <c r="I2205" s="125" t="s">
        <v>1546</v>
      </c>
      <c r="J2205" s="308" t="s">
        <v>214</v>
      </c>
      <c r="K2205" s="127" t="s">
        <v>3797</v>
      </c>
      <c r="L2205" s="153" t="s">
        <v>3306</v>
      </c>
      <c r="M2205">
        <v>622</v>
      </c>
      <c r="N2205" s="123">
        <v>51</v>
      </c>
      <c r="O2205">
        <v>1467</v>
      </c>
      <c r="P2205" s="132" t="s">
        <v>77</v>
      </c>
      <c r="Q2205" s="132">
        <v>10500</v>
      </c>
      <c r="R2205" s="132">
        <v>1680</v>
      </c>
      <c r="S2205" s="132"/>
      <c r="T2205" s="156">
        <v>0</v>
      </c>
      <c r="U2205" s="132">
        <v>0</v>
      </c>
      <c r="V2205" s="132">
        <v>12180</v>
      </c>
      <c r="W2205">
        <v>170</v>
      </c>
      <c r="X2205" s="153" t="s">
        <v>3120</v>
      </c>
      <c r="Y2205" s="124" t="s">
        <v>55</v>
      </c>
      <c r="Z2205" s="308">
        <v>233</v>
      </c>
      <c r="AB2205" t="str">
        <f>IF(Table1[[#This Row],[TIPO2]]="costo", VLOOKUP(Table1[[#This Row],[PARTIDA PRESUPUESTAL]],'Cost Report'!G:G,1,0),"Balance")</f>
        <v>2494-031</v>
      </c>
      <c r="AC2205" s="118"/>
      <c r="AD2205" s="159">
        <f>+Table1[[#This Row],[SUBTOTAL]]+Table1[[#This Row],[IVA]]-Table1[[#This Row],[RET IVA]]-Table1[[#This Row],[RET ISR]]-Table1[[#This Row],[TOTAL]]</f>
        <v>0</v>
      </c>
      <c r="AE2205" s="152"/>
      <c r="AF2205" s="153"/>
      <c r="AG2205" s="126"/>
      <c r="AH2205" s="120">
        <f>+Table1[[#This Row],[CONCEPTO]]+Table1[[#This Row],[SUBTOTAL]]</f>
        <v>11967</v>
      </c>
      <c r="AK2205" s="306" t="str">
        <f>IF(ISNUMBER(Table1[[#This Row],[FECHA DE RECIBIDO]]), Table1[[#This Row],[FECHA DE RECIBIDO]]-DATE(2023,8,30), "")</f>
        <v/>
      </c>
    </row>
    <row r="2206" spans="1:37" ht="16.95" customHeight="1">
      <c r="A2206" s="150" t="s">
        <v>3744</v>
      </c>
      <c r="B2206" s="151">
        <v>765</v>
      </c>
      <c r="C2206" s="126" t="s">
        <v>1519</v>
      </c>
      <c r="D2206">
        <v>1482</v>
      </c>
      <c r="E2206" s="126" t="s">
        <v>1603</v>
      </c>
      <c r="F2206" s="122" t="s">
        <v>1607</v>
      </c>
      <c r="G2206" s="122" t="s">
        <v>134</v>
      </c>
      <c r="H2206">
        <v>449</v>
      </c>
      <c r="I2206" s="122" t="s">
        <v>1546</v>
      </c>
      <c r="J2206" s="307" t="s">
        <v>214</v>
      </c>
      <c r="K2206" s="127" t="s">
        <v>3797</v>
      </c>
      <c r="L2206" s="151" t="s">
        <v>3306</v>
      </c>
      <c r="M2206">
        <v>623</v>
      </c>
      <c r="N2206" s="123">
        <v>51</v>
      </c>
      <c r="O2206">
        <v>1468</v>
      </c>
      <c r="P2206" s="132" t="s">
        <v>77</v>
      </c>
      <c r="Q2206" s="131">
        <v>1035</v>
      </c>
      <c r="R2206" s="131">
        <v>165.6</v>
      </c>
      <c r="S2206" s="131"/>
      <c r="T2206" s="155">
        <v>0</v>
      </c>
      <c r="U2206" s="131">
        <v>0</v>
      </c>
      <c r="V2206" s="131">
        <v>1200.5999999999999</v>
      </c>
      <c r="W2206">
        <v>235</v>
      </c>
      <c r="X2206" s="151" t="s">
        <v>195</v>
      </c>
      <c r="Y2206" s="135" t="s">
        <v>55</v>
      </c>
      <c r="Z2206" s="307">
        <v>233</v>
      </c>
      <c r="AB2206" t="str">
        <f>IF(Table1[[#This Row],[TIPO2]]="costo", VLOOKUP(Table1[[#This Row],[PARTIDA PRESUPUESTAL]],'Cost Report'!G:G,1,0),"Balance")</f>
        <v>2494-031</v>
      </c>
      <c r="AC2206" s="118"/>
      <c r="AD2206" s="159">
        <f>+Table1[[#This Row],[SUBTOTAL]]+Table1[[#This Row],[IVA]]-Table1[[#This Row],[RET IVA]]-Table1[[#This Row],[RET ISR]]-Table1[[#This Row],[TOTAL]]</f>
        <v>0</v>
      </c>
      <c r="AE2206" s="150"/>
      <c r="AF2206" s="151"/>
      <c r="AG2206" s="126"/>
      <c r="AH2206" s="120">
        <f>+Table1[[#This Row],[CONCEPTO]]+Table1[[#This Row],[SUBTOTAL]]</f>
        <v>2503</v>
      </c>
      <c r="AK2206" s="306" t="str">
        <f>IF(ISNUMBER(Table1[[#This Row],[FECHA DE RECIBIDO]]), Table1[[#This Row],[FECHA DE RECIBIDO]]-DATE(2023,8,30), "")</f>
        <v/>
      </c>
    </row>
    <row r="2207" spans="1:37" ht="16.95" customHeight="1">
      <c r="A2207" s="152"/>
      <c r="B2207" s="153">
        <v>766</v>
      </c>
      <c r="C2207" s="126" t="s">
        <v>1519</v>
      </c>
      <c r="D2207">
        <v>1483</v>
      </c>
      <c r="E2207" s="126" t="s">
        <v>1603</v>
      </c>
      <c r="F2207" s="125" t="s">
        <v>1607</v>
      </c>
      <c r="G2207" s="125" t="s">
        <v>134</v>
      </c>
      <c r="H2207">
        <v>449</v>
      </c>
      <c r="I2207" s="125" t="s">
        <v>1546</v>
      </c>
      <c r="J2207" s="308" t="s">
        <v>214</v>
      </c>
      <c r="K2207" s="127" t="s">
        <v>3797</v>
      </c>
      <c r="L2207" s="153" t="s">
        <v>3306</v>
      </c>
      <c r="M2207">
        <v>623</v>
      </c>
      <c r="N2207" s="123">
        <v>51</v>
      </c>
      <c r="O2207">
        <v>1469</v>
      </c>
      <c r="P2207" s="132" t="s">
        <v>77</v>
      </c>
      <c r="Q2207" s="132">
        <v>240</v>
      </c>
      <c r="R2207" s="132">
        <v>38.4</v>
      </c>
      <c r="S2207" s="132"/>
      <c r="T2207" s="156">
        <v>0</v>
      </c>
      <c r="U2207" s="132">
        <v>0</v>
      </c>
      <c r="V2207" s="132">
        <v>278.39999999999998</v>
      </c>
      <c r="W2207">
        <v>235</v>
      </c>
      <c r="X2207" s="153" t="s">
        <v>195</v>
      </c>
      <c r="Y2207" s="124" t="s">
        <v>55</v>
      </c>
      <c r="Z2207" s="308">
        <v>233</v>
      </c>
      <c r="AB2207" t="str">
        <f>IF(Table1[[#This Row],[TIPO2]]="costo", VLOOKUP(Table1[[#This Row],[PARTIDA PRESUPUESTAL]],'Cost Report'!G:G,1,0),"Balance")</f>
        <v>2494-031</v>
      </c>
      <c r="AC2207" s="118"/>
      <c r="AD2207" s="159">
        <f>+Table1[[#This Row],[SUBTOTAL]]+Table1[[#This Row],[IVA]]-Table1[[#This Row],[RET IVA]]-Table1[[#This Row],[RET ISR]]-Table1[[#This Row],[TOTAL]]</f>
        <v>0</v>
      </c>
      <c r="AE2207" s="152"/>
      <c r="AF2207" s="153"/>
      <c r="AG2207" s="126"/>
      <c r="AH2207" s="120">
        <f>+Table1[[#This Row],[CONCEPTO]]+Table1[[#This Row],[SUBTOTAL]]</f>
        <v>1709</v>
      </c>
      <c r="AK2207" s="306" t="str">
        <f>IF(ISNUMBER(Table1[[#This Row],[FECHA DE RECIBIDO]]), Table1[[#This Row],[FECHA DE RECIBIDO]]-DATE(2023,8,30), "")</f>
        <v/>
      </c>
    </row>
    <row r="2208" spans="1:37" ht="16.95" customHeight="1">
      <c r="A2208" s="150" t="s">
        <v>3745</v>
      </c>
      <c r="B2208" s="151">
        <v>767</v>
      </c>
      <c r="C2208" s="126" t="s">
        <v>1505</v>
      </c>
      <c r="D2208">
        <v>1484</v>
      </c>
      <c r="E2208" s="126" t="s">
        <v>3354</v>
      </c>
      <c r="F2208" s="122" t="s">
        <v>1589</v>
      </c>
      <c r="G2208" s="122" t="s">
        <v>129</v>
      </c>
      <c r="H2208">
        <v>382</v>
      </c>
      <c r="I2208" s="122" t="s">
        <v>1546</v>
      </c>
      <c r="J2208" s="307" t="s">
        <v>214</v>
      </c>
      <c r="K2208" s="127" t="s">
        <v>3797</v>
      </c>
      <c r="L2208" s="151" t="s">
        <v>3306</v>
      </c>
      <c r="M2208">
        <v>504</v>
      </c>
      <c r="N2208" s="123">
        <v>51</v>
      </c>
      <c r="O2208">
        <v>1470</v>
      </c>
      <c r="P2208" s="132" t="s">
        <v>77</v>
      </c>
      <c r="Q2208" s="131">
        <v>7284</v>
      </c>
      <c r="R2208" s="131">
        <v>1165.44</v>
      </c>
      <c r="S2208" s="131"/>
      <c r="T2208" s="155">
        <v>0</v>
      </c>
      <c r="U2208" s="131">
        <v>0</v>
      </c>
      <c r="V2208" s="131">
        <v>8449.44</v>
      </c>
      <c r="W2208">
        <v>222</v>
      </c>
      <c r="X2208" s="151" t="s">
        <v>195</v>
      </c>
      <c r="Y2208" s="135" t="s">
        <v>55</v>
      </c>
      <c r="Z2208" s="307">
        <v>233</v>
      </c>
      <c r="AB2208" t="str">
        <f>IF(Table1[[#This Row],[TIPO2]]="costo", VLOOKUP(Table1[[#This Row],[PARTIDA PRESUPUESTAL]],'Cost Report'!G:G,1,0),"Balance")</f>
        <v>2494-003</v>
      </c>
      <c r="AC2208" s="118"/>
      <c r="AD2208" s="159">
        <f>+Table1[[#This Row],[SUBTOTAL]]+Table1[[#This Row],[IVA]]-Table1[[#This Row],[RET IVA]]-Table1[[#This Row],[RET ISR]]-Table1[[#This Row],[TOTAL]]</f>
        <v>0</v>
      </c>
      <c r="AE2208" s="150"/>
      <c r="AF2208" s="151"/>
      <c r="AG2208" s="126"/>
      <c r="AH2208" s="120">
        <f>+Table1[[#This Row],[CONCEPTO]]+Table1[[#This Row],[SUBTOTAL]]</f>
        <v>8754</v>
      </c>
      <c r="AK2208" s="306" t="str">
        <f>IF(ISNUMBER(Table1[[#This Row],[FECHA DE RECIBIDO]]), Table1[[#This Row],[FECHA DE RECIBIDO]]-DATE(2023,8,30), "")</f>
        <v/>
      </c>
    </row>
    <row r="2209" spans="1:37" ht="16.95" customHeight="1">
      <c r="A2209" s="152"/>
      <c r="B2209" s="153">
        <v>768</v>
      </c>
      <c r="C2209" s="126" t="s">
        <v>2566</v>
      </c>
      <c r="D2209">
        <v>1485</v>
      </c>
      <c r="E2209" s="126" t="s">
        <v>3354</v>
      </c>
      <c r="F2209" s="125" t="s">
        <v>1589</v>
      </c>
      <c r="G2209" s="125" t="s">
        <v>129</v>
      </c>
      <c r="H2209">
        <v>382</v>
      </c>
      <c r="I2209" s="125" t="s">
        <v>1546</v>
      </c>
      <c r="J2209" s="308" t="s">
        <v>214</v>
      </c>
      <c r="K2209" s="127" t="s">
        <v>3797</v>
      </c>
      <c r="L2209" s="153" t="s">
        <v>3306</v>
      </c>
      <c r="M2209">
        <v>504</v>
      </c>
      <c r="N2209" s="123">
        <v>51</v>
      </c>
      <c r="O2209">
        <v>1201</v>
      </c>
      <c r="P2209" s="132" t="s">
        <v>77</v>
      </c>
      <c r="Q2209" s="132">
        <v>70</v>
      </c>
      <c r="R2209" s="132">
        <v>11.2</v>
      </c>
      <c r="S2209" s="132"/>
      <c r="T2209" s="156">
        <v>0</v>
      </c>
      <c r="U2209" s="132">
        <v>0</v>
      </c>
      <c r="V2209" s="132">
        <v>81.2</v>
      </c>
      <c r="W2209">
        <v>222</v>
      </c>
      <c r="X2209" s="153" t="s">
        <v>195</v>
      </c>
      <c r="Y2209" s="124" t="s">
        <v>55</v>
      </c>
      <c r="Z2209" s="308">
        <v>233</v>
      </c>
      <c r="AB2209" t="str">
        <f>IF(Table1[[#This Row],[TIPO2]]="costo", VLOOKUP(Table1[[#This Row],[PARTIDA PRESUPUESTAL]],'Cost Report'!G:G,1,0),"Balance")</f>
        <v>2594-003</v>
      </c>
      <c r="AC2209" s="118"/>
      <c r="AD2209" s="159">
        <f>+Table1[[#This Row],[SUBTOTAL]]+Table1[[#This Row],[IVA]]-Table1[[#This Row],[RET IVA]]-Table1[[#This Row],[RET ISR]]-Table1[[#This Row],[TOTAL]]</f>
        <v>0</v>
      </c>
      <c r="AE2209" s="152"/>
      <c r="AF2209" s="153"/>
      <c r="AG2209" s="126"/>
      <c r="AH2209" s="120">
        <f>+Table1[[#This Row],[CONCEPTO]]+Table1[[#This Row],[SUBTOTAL]]</f>
        <v>1271</v>
      </c>
      <c r="AK2209" s="306" t="str">
        <f>IF(ISNUMBER(Table1[[#This Row],[FECHA DE RECIBIDO]]), Table1[[#This Row],[FECHA DE RECIBIDO]]-DATE(2023,8,30), "")</f>
        <v/>
      </c>
    </row>
    <row r="2210" spans="1:37" ht="16.95" customHeight="1">
      <c r="A2210" s="150"/>
      <c r="B2210" s="151">
        <v>769</v>
      </c>
      <c r="C2210" s="126" t="s">
        <v>1505</v>
      </c>
      <c r="D2210">
        <v>1486</v>
      </c>
      <c r="E2210" s="126" t="s">
        <v>3354</v>
      </c>
      <c r="F2210" s="122" t="s">
        <v>1589</v>
      </c>
      <c r="G2210" s="122" t="s">
        <v>129</v>
      </c>
      <c r="H2210">
        <v>382</v>
      </c>
      <c r="I2210" s="122" t="s">
        <v>1546</v>
      </c>
      <c r="J2210" s="307" t="s">
        <v>214</v>
      </c>
      <c r="K2210" s="127" t="s">
        <v>3797</v>
      </c>
      <c r="L2210" s="151" t="s">
        <v>3306</v>
      </c>
      <c r="M2210">
        <v>504</v>
      </c>
      <c r="N2210" s="123">
        <v>51</v>
      </c>
      <c r="O2210">
        <v>1470</v>
      </c>
      <c r="P2210" s="132" t="s">
        <v>77</v>
      </c>
      <c r="Q2210" s="131">
        <v>1800</v>
      </c>
      <c r="R2210" s="131">
        <v>288</v>
      </c>
      <c r="S2210" s="131"/>
      <c r="T2210" s="155">
        <v>0</v>
      </c>
      <c r="U2210" s="131">
        <v>0</v>
      </c>
      <c r="V2210" s="131">
        <v>2088</v>
      </c>
      <c r="W2210">
        <v>222</v>
      </c>
      <c r="X2210" s="151" t="s">
        <v>195</v>
      </c>
      <c r="Y2210" s="135" t="s">
        <v>55</v>
      </c>
      <c r="Z2210" s="307">
        <v>233</v>
      </c>
      <c r="AB2210" t="str">
        <f>IF(Table1[[#This Row],[TIPO2]]="costo", VLOOKUP(Table1[[#This Row],[PARTIDA PRESUPUESTAL]],'Cost Report'!G:G,1,0),"Balance")</f>
        <v>2494-003</v>
      </c>
      <c r="AC2210" s="118"/>
      <c r="AD2210" s="159">
        <f>+Table1[[#This Row],[SUBTOTAL]]+Table1[[#This Row],[IVA]]-Table1[[#This Row],[RET IVA]]-Table1[[#This Row],[RET ISR]]-Table1[[#This Row],[TOTAL]]</f>
        <v>0</v>
      </c>
      <c r="AE2210" s="150"/>
      <c r="AF2210" s="151"/>
      <c r="AG2210" s="126"/>
      <c r="AH2210" s="120">
        <f>+Table1[[#This Row],[CONCEPTO]]+Table1[[#This Row],[SUBTOTAL]]</f>
        <v>3270</v>
      </c>
      <c r="AK2210" s="306" t="str">
        <f>IF(ISNUMBER(Table1[[#This Row],[FECHA DE RECIBIDO]]), Table1[[#This Row],[FECHA DE RECIBIDO]]-DATE(2023,8,30), "")</f>
        <v/>
      </c>
    </row>
    <row r="2211" spans="1:37" ht="16.95" customHeight="1">
      <c r="A2211" s="152" t="s">
        <v>3746</v>
      </c>
      <c r="B2211" s="153">
        <v>770</v>
      </c>
      <c r="C2211" s="126" t="s">
        <v>1505</v>
      </c>
      <c r="D2211">
        <v>1487</v>
      </c>
      <c r="E2211" s="126" t="s">
        <v>1614</v>
      </c>
      <c r="F2211" s="125" t="s">
        <v>1589</v>
      </c>
      <c r="G2211" s="125" t="s">
        <v>129</v>
      </c>
      <c r="H2211">
        <v>261</v>
      </c>
      <c r="I2211" s="125" t="s">
        <v>1546</v>
      </c>
      <c r="J2211" s="308" t="s">
        <v>214</v>
      </c>
      <c r="K2211" s="127" t="s">
        <v>3797</v>
      </c>
      <c r="L2211" s="153" t="s">
        <v>3306</v>
      </c>
      <c r="M2211">
        <v>347</v>
      </c>
      <c r="N2211" s="123">
        <v>51</v>
      </c>
      <c r="O2211">
        <v>1471</v>
      </c>
      <c r="P2211" s="132" t="s">
        <v>77</v>
      </c>
      <c r="Q2211" s="132">
        <v>3700</v>
      </c>
      <c r="R2211" s="132">
        <v>592</v>
      </c>
      <c r="S2211" s="132"/>
      <c r="T2211" s="156">
        <v>394.67</v>
      </c>
      <c r="U2211" s="132">
        <v>0</v>
      </c>
      <c r="V2211" s="132">
        <v>3897.33</v>
      </c>
      <c r="W2211">
        <v>161</v>
      </c>
      <c r="X2211" s="153" t="s">
        <v>2035</v>
      </c>
      <c r="Y2211" s="124" t="s">
        <v>55</v>
      </c>
      <c r="Z2211" s="308">
        <v>233</v>
      </c>
      <c r="AB2211" t="str">
        <f>IF(Table1[[#This Row],[TIPO2]]="costo", VLOOKUP(Table1[[#This Row],[PARTIDA PRESUPUESTAL]],'Cost Report'!G:G,1,0),"Balance")</f>
        <v>2494-003</v>
      </c>
      <c r="AC2211" s="118"/>
      <c r="AD2211" s="159">
        <f>+Table1[[#This Row],[SUBTOTAL]]+Table1[[#This Row],[IVA]]-Table1[[#This Row],[RET IVA]]-Table1[[#This Row],[RET ISR]]-Table1[[#This Row],[TOTAL]]</f>
        <v>0</v>
      </c>
      <c r="AE2211" s="152"/>
      <c r="AF2211" s="153"/>
      <c r="AG2211" s="126"/>
      <c r="AH2211" s="120">
        <f>+Table1[[#This Row],[CONCEPTO]]+Table1[[#This Row],[SUBTOTAL]]</f>
        <v>5171</v>
      </c>
      <c r="AK2211" s="306" t="str">
        <f>IF(ISNUMBER(Table1[[#This Row],[FECHA DE RECIBIDO]]), Table1[[#This Row],[FECHA DE RECIBIDO]]-DATE(2023,8,30), "")</f>
        <v/>
      </c>
    </row>
    <row r="2212" spans="1:37" ht="16.95" customHeight="1">
      <c r="A2212" s="150"/>
      <c r="B2212" s="151">
        <v>771</v>
      </c>
      <c r="C2212" s="126" t="s">
        <v>2556</v>
      </c>
      <c r="D2212">
        <v>1488</v>
      </c>
      <c r="E2212" s="126" t="s">
        <v>1614</v>
      </c>
      <c r="F2212" s="122" t="s">
        <v>1589</v>
      </c>
      <c r="G2212" s="122" t="s">
        <v>129</v>
      </c>
      <c r="H2212">
        <v>261</v>
      </c>
      <c r="I2212" s="122" t="s">
        <v>1546</v>
      </c>
      <c r="J2212" s="307" t="s">
        <v>214</v>
      </c>
      <c r="K2212" s="127" t="s">
        <v>3797</v>
      </c>
      <c r="L2212" s="151" t="s">
        <v>3306</v>
      </c>
      <c r="M2212">
        <v>347</v>
      </c>
      <c r="N2212" s="123">
        <v>51</v>
      </c>
      <c r="O2212">
        <v>1472</v>
      </c>
      <c r="P2212" s="132" t="s">
        <v>77</v>
      </c>
      <c r="Q2212" s="131">
        <v>5600</v>
      </c>
      <c r="R2212" s="131">
        <v>896</v>
      </c>
      <c r="S2212" s="131"/>
      <c r="T2212" s="155">
        <v>0</v>
      </c>
      <c r="U2212" s="131">
        <v>0</v>
      </c>
      <c r="V2212" s="131">
        <v>6496</v>
      </c>
      <c r="W2212">
        <v>161</v>
      </c>
      <c r="X2212" s="151" t="s">
        <v>2035</v>
      </c>
      <c r="Y2212" s="135" t="s">
        <v>55</v>
      </c>
      <c r="Z2212" s="307">
        <v>233</v>
      </c>
      <c r="AB2212" t="str">
        <f>IF(Table1[[#This Row],[TIPO2]]="costo", VLOOKUP(Table1[[#This Row],[PARTIDA PRESUPUESTAL]],'Cost Report'!G:G,1,0),"Balance")</f>
        <v>2498-003</v>
      </c>
      <c r="AC2212" s="118"/>
      <c r="AD2212" s="159">
        <f>+Table1[[#This Row],[SUBTOTAL]]+Table1[[#This Row],[IVA]]-Table1[[#This Row],[RET IVA]]-Table1[[#This Row],[RET ISR]]-Table1[[#This Row],[TOTAL]]</f>
        <v>0</v>
      </c>
      <c r="AE2212" s="150"/>
      <c r="AF2212" s="151"/>
      <c r="AG2212" s="126"/>
      <c r="AH2212" s="120">
        <f>+Table1[[#This Row],[CONCEPTO]]+Table1[[#This Row],[SUBTOTAL]]</f>
        <v>7072</v>
      </c>
      <c r="AK2212" s="306" t="str">
        <f>IF(ISNUMBER(Table1[[#This Row],[FECHA DE RECIBIDO]]), Table1[[#This Row],[FECHA DE RECIBIDO]]-DATE(2023,8,30), "")</f>
        <v/>
      </c>
    </row>
    <row r="2213" spans="1:37" ht="16.95" customHeight="1">
      <c r="A2213" s="152" t="s">
        <v>3747</v>
      </c>
      <c r="B2213" s="153">
        <v>772</v>
      </c>
      <c r="C2213" s="126" t="s">
        <v>2530</v>
      </c>
      <c r="D2213">
        <v>1489</v>
      </c>
      <c r="E2213" s="126" t="s">
        <v>3262</v>
      </c>
      <c r="F2213" s="125" t="s">
        <v>1589</v>
      </c>
      <c r="G2213" s="125" t="s">
        <v>129</v>
      </c>
      <c r="H2213">
        <v>450</v>
      </c>
      <c r="I2213" s="125" t="s">
        <v>1546</v>
      </c>
      <c r="J2213" s="308" t="s">
        <v>214</v>
      </c>
      <c r="K2213" s="127" t="s">
        <v>3797</v>
      </c>
      <c r="L2213" s="153" t="s">
        <v>3306</v>
      </c>
      <c r="M2213">
        <v>624</v>
      </c>
      <c r="N2213" s="123">
        <v>51</v>
      </c>
      <c r="O2213">
        <v>1473</v>
      </c>
      <c r="P2213" s="132" t="s">
        <v>77</v>
      </c>
      <c r="Q2213" s="132">
        <v>10489.51</v>
      </c>
      <c r="R2213" s="132">
        <v>1678.32</v>
      </c>
      <c r="S2213" s="132"/>
      <c r="T2213" s="156">
        <v>1118.8800000000001</v>
      </c>
      <c r="U2213" s="132">
        <v>1048.95</v>
      </c>
      <c r="V2213" s="132">
        <v>10000</v>
      </c>
      <c r="W2213">
        <v>236</v>
      </c>
      <c r="X2213" s="153" t="s">
        <v>2035</v>
      </c>
      <c r="Y2213" s="124" t="s">
        <v>55</v>
      </c>
      <c r="Z2213" s="308">
        <v>233</v>
      </c>
      <c r="AB2213" t="str">
        <f>IF(Table1[[#This Row],[TIPO2]]="costo", VLOOKUP(Table1[[#This Row],[PARTIDA PRESUPUESTAL]],'Cost Report'!G:G,1,0),"Balance")</f>
        <v>2494-039</v>
      </c>
      <c r="AC2213" s="118"/>
      <c r="AD2213" s="159">
        <f>+Table1[[#This Row],[SUBTOTAL]]+Table1[[#This Row],[IVA]]-Table1[[#This Row],[RET IVA]]-Table1[[#This Row],[RET ISR]]-Table1[[#This Row],[TOTAL]]</f>
        <v>0</v>
      </c>
      <c r="AE2213" s="152"/>
      <c r="AF2213" s="153"/>
      <c r="AG2213" s="126"/>
      <c r="AH2213" s="120">
        <f>+Table1[[#This Row],[CONCEPTO]]+Table1[[#This Row],[SUBTOTAL]]</f>
        <v>11962.51</v>
      </c>
      <c r="AK2213" s="306" t="str">
        <f>IF(ISNUMBER(Table1[[#This Row],[FECHA DE RECIBIDO]]), Table1[[#This Row],[FECHA DE RECIBIDO]]-DATE(2023,8,30), "")</f>
        <v/>
      </c>
    </row>
    <row r="2214" spans="1:37" ht="16.95" customHeight="1">
      <c r="A2214" s="150" t="s">
        <v>3748</v>
      </c>
      <c r="B2214" s="151">
        <v>773</v>
      </c>
      <c r="C2214" s="126" t="s">
        <v>2566</v>
      </c>
      <c r="D2214">
        <v>1490</v>
      </c>
      <c r="E2214" s="126" t="s">
        <v>3232</v>
      </c>
      <c r="F2214" s="122" t="s">
        <v>1589</v>
      </c>
      <c r="G2214" s="122" t="s">
        <v>129</v>
      </c>
      <c r="H2214">
        <v>211</v>
      </c>
      <c r="I2214" s="122" t="s">
        <v>1546</v>
      </c>
      <c r="J2214" s="307" t="s">
        <v>214</v>
      </c>
      <c r="K2214" s="127" t="s">
        <v>3797</v>
      </c>
      <c r="L2214" s="151" t="s">
        <v>3306</v>
      </c>
      <c r="M2214">
        <v>275</v>
      </c>
      <c r="N2214" s="123">
        <v>51</v>
      </c>
      <c r="O2214">
        <v>1474</v>
      </c>
      <c r="P2214" s="132" t="s">
        <v>77</v>
      </c>
      <c r="Q2214" s="131">
        <v>2851.55</v>
      </c>
      <c r="R2214" s="131">
        <v>456.25</v>
      </c>
      <c r="S2214" s="131"/>
      <c r="T2214" s="155">
        <v>0</v>
      </c>
      <c r="U2214" s="131">
        <v>0</v>
      </c>
      <c r="V2214" s="131">
        <v>3307.8</v>
      </c>
      <c r="W2214">
        <v>131</v>
      </c>
      <c r="X2214" s="151" t="s">
        <v>2035</v>
      </c>
      <c r="Y2214" s="135" t="s">
        <v>55</v>
      </c>
      <c r="Z2214" s="307">
        <v>233</v>
      </c>
      <c r="AB2214" t="str">
        <f>IF(Table1[[#This Row],[TIPO2]]="costo", VLOOKUP(Table1[[#This Row],[PARTIDA PRESUPUESTAL]],'Cost Report'!G:G,1,0),"Balance")</f>
        <v>2594-003</v>
      </c>
      <c r="AC2214" s="118"/>
      <c r="AD2214" s="159">
        <f>+Table1[[#This Row],[SUBTOTAL]]+Table1[[#This Row],[IVA]]-Table1[[#This Row],[RET IVA]]-Table1[[#This Row],[RET ISR]]-Table1[[#This Row],[TOTAL]]</f>
        <v>0</v>
      </c>
      <c r="AE2214" s="150"/>
      <c r="AF2214" s="151"/>
      <c r="AG2214" s="126"/>
      <c r="AH2214" s="120">
        <f>+Table1[[#This Row],[CONCEPTO]]+Table1[[#This Row],[SUBTOTAL]]</f>
        <v>4325.55</v>
      </c>
      <c r="AK2214" s="306" t="str">
        <f>IF(ISNUMBER(Table1[[#This Row],[FECHA DE RECIBIDO]]), Table1[[#This Row],[FECHA DE RECIBIDO]]-DATE(2023,8,30), "")</f>
        <v/>
      </c>
    </row>
    <row r="2215" spans="1:37" ht="16.95" customHeight="1">
      <c r="A2215" s="152" t="s">
        <v>3749</v>
      </c>
      <c r="B2215" s="153">
        <v>774</v>
      </c>
      <c r="C2215" s="126" t="s">
        <v>69</v>
      </c>
      <c r="D2215"/>
      <c r="E2215" s="126" t="s">
        <v>1911</v>
      </c>
      <c r="F2215" s="125" t="s">
        <v>1911</v>
      </c>
      <c r="G2215" s="125" t="s">
        <v>1911</v>
      </c>
      <c r="H2215"/>
      <c r="I2215" s="125" t="s">
        <v>1911</v>
      </c>
      <c r="J2215" s="308" t="s">
        <v>214</v>
      </c>
      <c r="K2215" s="127" t="s">
        <v>3797</v>
      </c>
      <c r="L2215" s="153" t="s">
        <v>3306</v>
      </c>
      <c r="M2215">
        <v>625</v>
      </c>
      <c r="N2215" s="123">
        <v>51</v>
      </c>
      <c r="O2215">
        <v>1475</v>
      </c>
      <c r="P2215" s="131" t="s">
        <v>78</v>
      </c>
      <c r="Q2215" s="236">
        <v>90440</v>
      </c>
      <c r="R2215" s="132">
        <v>0</v>
      </c>
      <c r="S2215" s="132"/>
      <c r="T2215" s="156">
        <v>0</v>
      </c>
      <c r="U2215" s="132">
        <v>0</v>
      </c>
      <c r="V2215" s="132">
        <v>90440</v>
      </c>
      <c r="W2215">
        <v>237</v>
      </c>
      <c r="X2215" s="153" t="s">
        <v>2035</v>
      </c>
      <c r="Y2215" s="124" t="s">
        <v>55</v>
      </c>
      <c r="Z2215" s="308">
        <v>233</v>
      </c>
      <c r="AB2215" t="str">
        <f>IF(Table1[[#This Row],[TIPO2]]="costo", VLOOKUP(Table1[[#This Row],[PARTIDA PRESUPUESTAL]],'Cost Report'!G:G,1,0),"Balance")</f>
        <v>Balance</v>
      </c>
      <c r="AC2215" s="118"/>
      <c r="AD2215" s="159">
        <f>+Table1[[#This Row],[SUBTOTAL]]+Table1[[#This Row],[IVA]]-Table1[[#This Row],[RET IVA]]-Table1[[#This Row],[RET ISR]]-Table1[[#This Row],[TOTAL]]</f>
        <v>0</v>
      </c>
      <c r="AE2215" s="152"/>
      <c r="AF2215" s="153"/>
      <c r="AG2215" s="126"/>
      <c r="AH2215" s="120">
        <f>+Table1[[#This Row],[CONCEPTO]]+Table1[[#This Row],[SUBTOTAL]]</f>
        <v>91915</v>
      </c>
      <c r="AK2215" s="306" t="str">
        <f>IF(ISNUMBER(Table1[[#This Row],[FECHA DE RECIBIDO]]), Table1[[#This Row],[FECHA DE RECIBIDO]]-DATE(2023,8,30), "")</f>
        <v/>
      </c>
    </row>
    <row r="2216" spans="1:37" ht="16.95" customHeight="1">
      <c r="A2216" s="150" t="s">
        <v>3750</v>
      </c>
      <c r="B2216" s="151">
        <v>775</v>
      </c>
      <c r="C2216" s="126" t="s">
        <v>2466</v>
      </c>
      <c r="D2216">
        <v>1491</v>
      </c>
      <c r="E2216" s="126" t="s">
        <v>3785</v>
      </c>
      <c r="F2216" s="122" t="s">
        <v>1607</v>
      </c>
      <c r="G2216" s="122" t="s">
        <v>134</v>
      </c>
      <c r="H2216">
        <v>451</v>
      </c>
      <c r="I2216" s="122" t="s">
        <v>1546</v>
      </c>
      <c r="J2216" s="307" t="s">
        <v>214</v>
      </c>
      <c r="K2216" s="127" t="s">
        <v>3797</v>
      </c>
      <c r="L2216" s="151" t="s">
        <v>3306</v>
      </c>
      <c r="M2216">
        <v>626</v>
      </c>
      <c r="N2216" s="123">
        <v>51</v>
      </c>
      <c r="O2216">
        <v>1476</v>
      </c>
      <c r="P2216" s="132" t="s">
        <v>77</v>
      </c>
      <c r="Q2216" s="131">
        <v>50670</v>
      </c>
      <c r="R2216" s="131">
        <v>8107.2</v>
      </c>
      <c r="S2216" s="131"/>
      <c r="T2216" s="155">
        <v>0</v>
      </c>
      <c r="U2216" s="131">
        <v>0</v>
      </c>
      <c r="V2216" s="131">
        <v>58777.2</v>
      </c>
      <c r="W2216">
        <v>238</v>
      </c>
      <c r="X2216" s="151" t="s">
        <v>2035</v>
      </c>
      <c r="Y2216" s="135" t="s">
        <v>55</v>
      </c>
      <c r="Z2216" s="307">
        <v>233</v>
      </c>
      <c r="AB2216" t="str">
        <f>IF(Table1[[#This Row],[TIPO2]]="costo", VLOOKUP(Table1[[#This Row],[PARTIDA PRESUPUESTAL]],'Cost Report'!G:G,1,0),"Balance")</f>
        <v>2394-005</v>
      </c>
      <c r="AC2216" s="118"/>
      <c r="AD2216" s="159">
        <f>+Table1[[#This Row],[SUBTOTAL]]+Table1[[#This Row],[IVA]]-Table1[[#This Row],[RET IVA]]-Table1[[#This Row],[RET ISR]]-Table1[[#This Row],[TOTAL]]</f>
        <v>0</v>
      </c>
      <c r="AE2216" s="150"/>
      <c r="AF2216" s="151"/>
      <c r="AG2216" s="126"/>
      <c r="AH2216" s="120">
        <f>+Table1[[#This Row],[CONCEPTO]]+Table1[[#This Row],[SUBTOTAL]]</f>
        <v>52146</v>
      </c>
      <c r="AK2216" s="306" t="str">
        <f>IF(ISNUMBER(Table1[[#This Row],[FECHA DE RECIBIDO]]), Table1[[#This Row],[FECHA DE RECIBIDO]]-DATE(2023,8,30), "")</f>
        <v/>
      </c>
    </row>
    <row r="2217" spans="1:37" ht="16.95" customHeight="1">
      <c r="A2217" s="152" t="s">
        <v>3751</v>
      </c>
      <c r="B2217" s="153">
        <v>776</v>
      </c>
      <c r="C2217" s="126" t="s">
        <v>2566</v>
      </c>
      <c r="D2217">
        <v>1492</v>
      </c>
      <c r="E2217" s="126" t="s">
        <v>3786</v>
      </c>
      <c r="F2217" s="125" t="s">
        <v>1589</v>
      </c>
      <c r="G2217" s="125" t="s">
        <v>129</v>
      </c>
      <c r="H2217">
        <v>452</v>
      </c>
      <c r="I2217" s="125" t="s">
        <v>1546</v>
      </c>
      <c r="J2217" s="308" t="s">
        <v>214</v>
      </c>
      <c r="K2217" s="127" t="s">
        <v>3797</v>
      </c>
      <c r="L2217" s="153" t="s">
        <v>3306</v>
      </c>
      <c r="M2217">
        <v>627</v>
      </c>
      <c r="N2217" s="123">
        <v>51</v>
      </c>
      <c r="O2217">
        <v>1477</v>
      </c>
      <c r="P2217" s="132" t="s">
        <v>77</v>
      </c>
      <c r="Q2217" s="132">
        <v>13440</v>
      </c>
      <c r="R2217" s="132">
        <v>2150.4</v>
      </c>
      <c r="S2217" s="132"/>
      <c r="T2217" s="156">
        <v>1433.6</v>
      </c>
      <c r="U2217" s="132">
        <v>0</v>
      </c>
      <c r="V2217" s="132">
        <v>14156.8</v>
      </c>
      <c r="W2217">
        <v>239</v>
      </c>
      <c r="X2217" s="153" t="s">
        <v>2041</v>
      </c>
      <c r="Y2217" s="124" t="s">
        <v>55</v>
      </c>
      <c r="Z2217" s="308">
        <v>233</v>
      </c>
      <c r="AB2217" t="str">
        <f>IF(Table1[[#This Row],[TIPO2]]="costo", VLOOKUP(Table1[[#This Row],[PARTIDA PRESUPUESTAL]],'Cost Report'!G:G,1,0),"Balance")</f>
        <v>2594-003</v>
      </c>
      <c r="AC2217" s="118"/>
      <c r="AD2217" s="159">
        <f>+Table1[[#This Row],[SUBTOTAL]]+Table1[[#This Row],[IVA]]-Table1[[#This Row],[RET IVA]]-Table1[[#This Row],[RET ISR]]-Table1[[#This Row],[TOTAL]]</f>
        <v>0</v>
      </c>
      <c r="AE2217" s="152"/>
      <c r="AF2217" s="153"/>
      <c r="AG2217" s="126"/>
      <c r="AH2217" s="120">
        <f>+Table1[[#This Row],[CONCEPTO]]+Table1[[#This Row],[SUBTOTAL]]</f>
        <v>14917</v>
      </c>
      <c r="AK2217" s="306" t="str">
        <f>IF(ISNUMBER(Table1[[#This Row],[FECHA DE RECIBIDO]]), Table1[[#This Row],[FECHA DE RECIBIDO]]-DATE(2023,8,30), "")</f>
        <v/>
      </c>
    </row>
    <row r="2218" spans="1:37" ht="16.95" customHeight="1">
      <c r="A2218" s="150" t="s">
        <v>3752</v>
      </c>
      <c r="B2218" s="151">
        <v>777</v>
      </c>
      <c r="C2218" s="126" t="s">
        <v>1505</v>
      </c>
      <c r="D2218">
        <v>1493</v>
      </c>
      <c r="E2218" s="126" t="s">
        <v>3235</v>
      </c>
      <c r="F2218" s="122" t="s">
        <v>1589</v>
      </c>
      <c r="G2218" s="122" t="s">
        <v>129</v>
      </c>
      <c r="H2218">
        <v>212</v>
      </c>
      <c r="I2218" s="122" t="s">
        <v>1546</v>
      </c>
      <c r="J2218" s="307" t="s">
        <v>214</v>
      </c>
      <c r="K2218" s="127" t="s">
        <v>3797</v>
      </c>
      <c r="L2218" s="151" t="s">
        <v>3306</v>
      </c>
      <c r="M2218">
        <v>277</v>
      </c>
      <c r="N2218" s="123">
        <v>51</v>
      </c>
      <c r="O2218">
        <v>1478</v>
      </c>
      <c r="P2218" s="132" t="s">
        <v>77</v>
      </c>
      <c r="Q2218" s="131">
        <v>1340.79</v>
      </c>
      <c r="R2218" s="131">
        <v>214.53</v>
      </c>
      <c r="S2218" s="131"/>
      <c r="T2218" s="155">
        <v>0</v>
      </c>
      <c r="U2218" s="131">
        <v>0</v>
      </c>
      <c r="V2218" s="131">
        <v>1555.32</v>
      </c>
      <c r="W2218">
        <v>133</v>
      </c>
      <c r="X2218" s="151" t="s">
        <v>2035</v>
      </c>
      <c r="Y2218" s="135" t="s">
        <v>55</v>
      </c>
      <c r="Z2218" s="307">
        <v>233</v>
      </c>
      <c r="AB2218" t="str">
        <f>IF(Table1[[#This Row],[TIPO2]]="costo", VLOOKUP(Table1[[#This Row],[PARTIDA PRESUPUESTAL]],'Cost Report'!G:G,1,0),"Balance")</f>
        <v>2494-003</v>
      </c>
      <c r="AC2218" s="118"/>
      <c r="AD2218" s="159">
        <f>+Table1[[#This Row],[SUBTOTAL]]+Table1[[#This Row],[IVA]]-Table1[[#This Row],[RET IVA]]-Table1[[#This Row],[RET ISR]]-Table1[[#This Row],[TOTAL]]</f>
        <v>0</v>
      </c>
      <c r="AE2218" s="150"/>
      <c r="AF2218" s="151"/>
      <c r="AG2218" s="126"/>
      <c r="AH2218" s="120">
        <f>+Table1[[#This Row],[CONCEPTO]]+Table1[[#This Row],[SUBTOTAL]]</f>
        <v>2818.79</v>
      </c>
      <c r="AK2218" s="306" t="str">
        <f>IF(ISNUMBER(Table1[[#This Row],[FECHA DE RECIBIDO]]), Table1[[#This Row],[FECHA DE RECIBIDO]]-DATE(2023,8,30), "")</f>
        <v/>
      </c>
    </row>
    <row r="2219" spans="1:37" ht="16.95" customHeight="1">
      <c r="A2219" s="152" t="s">
        <v>3753</v>
      </c>
      <c r="B2219" s="153">
        <v>778</v>
      </c>
      <c r="C2219" s="126" t="s">
        <v>364</v>
      </c>
      <c r="D2219">
        <v>1494</v>
      </c>
      <c r="E2219" s="126" t="s">
        <v>3787</v>
      </c>
      <c r="F2219" s="125" t="s">
        <v>1589</v>
      </c>
      <c r="G2219" s="125" t="s">
        <v>129</v>
      </c>
      <c r="H2219">
        <v>453</v>
      </c>
      <c r="I2219" s="125" t="s">
        <v>1546</v>
      </c>
      <c r="J2219" s="308" t="s">
        <v>214</v>
      </c>
      <c r="K2219" s="127" t="s">
        <v>3797</v>
      </c>
      <c r="L2219" s="153" t="s">
        <v>3306</v>
      </c>
      <c r="M2219">
        <v>628</v>
      </c>
      <c r="N2219" s="123">
        <v>1</v>
      </c>
      <c r="O2219">
        <v>1479</v>
      </c>
      <c r="P2219" s="132" t="s">
        <v>77</v>
      </c>
      <c r="Q2219" s="132">
        <v>108000</v>
      </c>
      <c r="R2219" s="132">
        <v>17280</v>
      </c>
      <c r="S2219" s="132"/>
      <c r="T2219" s="156">
        <v>11520.04</v>
      </c>
      <c r="U2219" s="132">
        <v>10800</v>
      </c>
      <c r="V2219" s="132">
        <v>102959.95999999999</v>
      </c>
      <c r="W2219">
        <v>240</v>
      </c>
      <c r="X2219" s="153" t="s">
        <v>2041</v>
      </c>
      <c r="Y2219" s="124" t="s">
        <v>55</v>
      </c>
      <c r="Z2219" s="308">
        <v>233</v>
      </c>
      <c r="AB2219" t="str">
        <f>IF(Table1[[#This Row],[TIPO2]]="costo", VLOOKUP(Table1[[#This Row],[PARTIDA PRESUPUESTAL]],'Cost Report'!G:G,1,0),"Balance")</f>
        <v>1410-004</v>
      </c>
      <c r="AC2219" s="118"/>
      <c r="AD2219" s="159">
        <f>+Table1[[#This Row],[SUBTOTAL]]+Table1[[#This Row],[IVA]]-Table1[[#This Row],[RET IVA]]-Table1[[#This Row],[RET ISR]]-Table1[[#This Row],[TOTAL]]</f>
        <v>0</v>
      </c>
      <c r="AE2219" s="152"/>
      <c r="AF2219" s="153"/>
      <c r="AG2219" s="126"/>
      <c r="AH2219" s="120">
        <f>+Table1[[#This Row],[CONCEPTO]]+Table1[[#This Row],[SUBTOTAL]]</f>
        <v>109479</v>
      </c>
      <c r="AK2219" s="306" t="str">
        <f>IF(ISNUMBER(Table1[[#This Row],[FECHA DE RECIBIDO]]), Table1[[#This Row],[FECHA DE RECIBIDO]]-DATE(2023,8,30), "")</f>
        <v/>
      </c>
    </row>
    <row r="2220" spans="1:37" ht="16.95" customHeight="1">
      <c r="A2220" s="150" t="s">
        <v>3754</v>
      </c>
      <c r="B2220" s="151">
        <v>779</v>
      </c>
      <c r="C2220" s="126" t="s">
        <v>1407</v>
      </c>
      <c r="D2220">
        <v>1495</v>
      </c>
      <c r="E2220" s="126" t="s">
        <v>3660</v>
      </c>
      <c r="F2220" s="122" t="s">
        <v>1607</v>
      </c>
      <c r="G2220" s="122" t="s">
        <v>134</v>
      </c>
      <c r="H2220">
        <v>125</v>
      </c>
      <c r="I2220" s="122" t="s">
        <v>1546</v>
      </c>
      <c r="J2220" s="307" t="s">
        <v>214</v>
      </c>
      <c r="K2220" s="127" t="s">
        <v>3797</v>
      </c>
      <c r="L2220" s="151" t="s">
        <v>3306</v>
      </c>
      <c r="M2220">
        <v>629</v>
      </c>
      <c r="N2220" s="123">
        <v>1</v>
      </c>
      <c r="O2220">
        <v>1186</v>
      </c>
      <c r="P2220" s="132" t="s">
        <v>77</v>
      </c>
      <c r="Q2220" s="131">
        <v>49960</v>
      </c>
      <c r="R2220" s="131">
        <v>7993.6</v>
      </c>
      <c r="S2220" s="131"/>
      <c r="T2220" s="155">
        <v>0</v>
      </c>
      <c r="U2220" s="131">
        <v>0</v>
      </c>
      <c r="V2220" s="131">
        <v>57953.599999999999</v>
      </c>
      <c r="W2220">
        <v>241</v>
      </c>
      <c r="X2220" s="151" t="s">
        <v>2041</v>
      </c>
      <c r="Y2220" s="135" t="s">
        <v>55</v>
      </c>
      <c r="Z2220" s="307">
        <v>233</v>
      </c>
      <c r="AB2220" t="str">
        <f>IF(Table1[[#This Row],[TIPO2]]="costo", VLOOKUP(Table1[[#This Row],[PARTIDA PRESUPUESTAL]],'Cost Report'!G:G,1,0),"Balance")</f>
        <v>7201-003</v>
      </c>
      <c r="AC2220" s="118"/>
      <c r="AD2220" s="159">
        <f>+Table1[[#This Row],[SUBTOTAL]]+Table1[[#This Row],[IVA]]-Table1[[#This Row],[RET IVA]]-Table1[[#This Row],[RET ISR]]-Table1[[#This Row],[TOTAL]]</f>
        <v>0</v>
      </c>
      <c r="AE2220" s="150"/>
      <c r="AF2220" s="151"/>
      <c r="AG2220" s="126"/>
      <c r="AH2220" s="120">
        <f>+Table1[[#This Row],[CONCEPTO]]+Table1[[#This Row],[SUBTOTAL]]</f>
        <v>51146</v>
      </c>
      <c r="AK2220" s="306" t="str">
        <f>IF(ISNUMBER(Table1[[#This Row],[FECHA DE RECIBIDO]]), Table1[[#This Row],[FECHA DE RECIBIDO]]-DATE(2023,8,30), "")</f>
        <v/>
      </c>
    </row>
    <row r="2221" spans="1:37" ht="16.95" customHeight="1">
      <c r="A2221" s="152" t="s">
        <v>3755</v>
      </c>
      <c r="B2221" s="153">
        <v>780</v>
      </c>
      <c r="C2221" s="126" t="s">
        <v>279</v>
      </c>
      <c r="D2221">
        <v>1496</v>
      </c>
      <c r="E2221" s="126" t="s">
        <v>3354</v>
      </c>
      <c r="F2221" s="125" t="s">
        <v>1371</v>
      </c>
      <c r="G2221" s="125" t="s">
        <v>2065</v>
      </c>
      <c r="H2221">
        <v>454</v>
      </c>
      <c r="I2221" s="125" t="s">
        <v>1546</v>
      </c>
      <c r="J2221" s="308" t="s">
        <v>214</v>
      </c>
      <c r="K2221" s="127" t="s">
        <v>3797</v>
      </c>
      <c r="L2221" s="153" t="s">
        <v>3306</v>
      </c>
      <c r="M2221">
        <v>630</v>
      </c>
      <c r="N2221" s="123">
        <v>1</v>
      </c>
      <c r="O2221">
        <v>1480</v>
      </c>
      <c r="P2221" s="132" t="s">
        <v>77</v>
      </c>
      <c r="Q2221" s="132">
        <v>22082.04</v>
      </c>
      <c r="R2221" s="132">
        <v>6592.01</v>
      </c>
      <c r="S2221" s="132"/>
      <c r="T2221" s="156">
        <v>0</v>
      </c>
      <c r="U2221" s="132">
        <v>0</v>
      </c>
      <c r="V2221" s="132">
        <f t="shared" ref="V2221:V2257" si="52">+Q2221+R2221-T2221-U2221</f>
        <v>28674.050000000003</v>
      </c>
      <c r="W2221">
        <v>242</v>
      </c>
      <c r="X2221" s="153" t="s">
        <v>2035</v>
      </c>
      <c r="Y2221" s="124" t="s">
        <v>55</v>
      </c>
      <c r="Z2221" s="308">
        <v>233</v>
      </c>
      <c r="AB2221" t="str">
        <f>IF(Table1[[#This Row],[TIPO2]]="costo", VLOOKUP(Table1[[#This Row],[PARTIDA PRESUPUESTAL]],'Cost Report'!G:G,1,0),"Balance")</f>
        <v>1401-003</v>
      </c>
      <c r="AC2221" s="118"/>
      <c r="AD2221" s="159">
        <f>+Table1[[#This Row],[SUBTOTAL]]+Table1[[#This Row],[IVA]]-Table1[[#This Row],[RET IVA]]-Table1[[#This Row],[RET ISR]]-Table1[[#This Row],[TOTAL]]</f>
        <v>0</v>
      </c>
      <c r="AE2221" s="152"/>
      <c r="AF2221" s="153"/>
      <c r="AG2221" s="126"/>
      <c r="AH2221" s="120">
        <f>+Table1[[#This Row],[CONCEPTO]]+Table1[[#This Row],[SUBTOTAL]]</f>
        <v>23562.04</v>
      </c>
      <c r="AK2221" s="306" t="str">
        <f>IF(ISNUMBER(Table1[[#This Row],[FECHA DE RECIBIDO]]), Table1[[#This Row],[FECHA DE RECIBIDO]]-DATE(2023,8,30), "")</f>
        <v/>
      </c>
    </row>
    <row r="2222" spans="1:37" ht="16.95" customHeight="1">
      <c r="A2222" s="150"/>
      <c r="B2222" s="151"/>
      <c r="C2222" s="126" t="s">
        <v>282</v>
      </c>
      <c r="D2222">
        <v>1496</v>
      </c>
      <c r="E2222" s="126" t="s">
        <v>3354</v>
      </c>
      <c r="F2222" s="122" t="s">
        <v>1371</v>
      </c>
      <c r="G2222" s="122" t="s">
        <v>2065</v>
      </c>
      <c r="H2222">
        <v>454</v>
      </c>
      <c r="I2222" s="122" t="s">
        <v>1546</v>
      </c>
      <c r="J2222" s="307" t="s">
        <v>214</v>
      </c>
      <c r="K2222" s="127" t="s">
        <v>3797</v>
      </c>
      <c r="L2222" s="151" t="s">
        <v>3306</v>
      </c>
      <c r="M2222">
        <v>630</v>
      </c>
      <c r="N2222" s="123">
        <v>1</v>
      </c>
      <c r="O2222">
        <v>1480</v>
      </c>
      <c r="P2222" s="132" t="s">
        <v>77</v>
      </c>
      <c r="Q2222" s="131">
        <v>3680.34</v>
      </c>
      <c r="R2222" s="131">
        <v>703.47440000000006</v>
      </c>
      <c r="S2222" s="131"/>
      <c r="T2222" s="155">
        <v>0</v>
      </c>
      <c r="U2222" s="131">
        <v>0</v>
      </c>
      <c r="V2222" s="131">
        <f t="shared" si="52"/>
        <v>4383.8144000000002</v>
      </c>
      <c r="W2222">
        <v>242</v>
      </c>
      <c r="X2222" s="151" t="s">
        <v>2035</v>
      </c>
      <c r="Y2222" s="135" t="s">
        <v>55</v>
      </c>
      <c r="Z2222" s="307">
        <v>233</v>
      </c>
      <c r="AB2222" t="str">
        <f>IF(Table1[[#This Row],[TIPO2]]="costo", VLOOKUP(Table1[[#This Row],[PARTIDA PRESUPUESTAL]],'Cost Report'!G:G,1,0),"Balance")</f>
        <v>1401-006</v>
      </c>
      <c r="AC2222" s="118"/>
      <c r="AD2222" s="159">
        <f>+Table1[[#This Row],[SUBTOTAL]]+Table1[[#This Row],[IVA]]-Table1[[#This Row],[RET IVA]]-Table1[[#This Row],[RET ISR]]-Table1[[#This Row],[TOTAL]]</f>
        <v>0</v>
      </c>
      <c r="AE2222" s="150"/>
      <c r="AF2222" s="151"/>
      <c r="AG2222" s="126"/>
      <c r="AH2222" s="120">
        <f>+Table1[[#This Row],[CONCEPTO]]+Table1[[#This Row],[SUBTOTAL]]</f>
        <v>5160.34</v>
      </c>
      <c r="AK2222" s="306" t="str">
        <f>IF(ISNUMBER(Table1[[#This Row],[FECHA DE RECIBIDO]]), Table1[[#This Row],[FECHA DE RECIBIDO]]-DATE(2023,8,30), "")</f>
        <v/>
      </c>
    </row>
    <row r="2223" spans="1:37" ht="16.95" customHeight="1">
      <c r="A2223" s="152"/>
      <c r="B2223" s="153"/>
      <c r="C2223" s="126" t="s">
        <v>283</v>
      </c>
      <c r="D2223">
        <v>1496</v>
      </c>
      <c r="E2223" s="126" t="s">
        <v>3354</v>
      </c>
      <c r="F2223" s="125" t="s">
        <v>1371</v>
      </c>
      <c r="G2223" s="125" t="s">
        <v>2065</v>
      </c>
      <c r="H2223">
        <v>454</v>
      </c>
      <c r="I2223" s="125" t="s">
        <v>1546</v>
      </c>
      <c r="J2223" s="308" t="s">
        <v>214</v>
      </c>
      <c r="K2223" s="127" t="s">
        <v>3797</v>
      </c>
      <c r="L2223" s="153" t="s">
        <v>3306</v>
      </c>
      <c r="M2223">
        <v>630</v>
      </c>
      <c r="N2223" s="123">
        <v>1</v>
      </c>
      <c r="O2223">
        <v>1480</v>
      </c>
      <c r="P2223" s="132" t="s">
        <v>77</v>
      </c>
      <c r="Q2223" s="132">
        <v>17230.919999999998</v>
      </c>
      <c r="R2223" s="132">
        <v>3151.6311999999998</v>
      </c>
      <c r="S2223" s="132"/>
      <c r="T2223" s="156">
        <v>0</v>
      </c>
      <c r="U2223" s="132">
        <v>0</v>
      </c>
      <c r="V2223" s="132">
        <f t="shared" si="52"/>
        <v>20382.551199999998</v>
      </c>
      <c r="W2223">
        <v>242</v>
      </c>
      <c r="X2223" s="153" t="s">
        <v>2035</v>
      </c>
      <c r="Y2223" s="124" t="s">
        <v>55</v>
      </c>
      <c r="Z2223" s="308">
        <v>233</v>
      </c>
      <c r="AB2223" t="str">
        <f>IF(Table1[[#This Row],[TIPO2]]="costo", VLOOKUP(Table1[[#This Row],[PARTIDA PRESUPUESTAL]],'Cost Report'!G:G,1,0),"Balance")</f>
        <v>1401-007</v>
      </c>
      <c r="AC2223" s="118"/>
      <c r="AD2223" s="159">
        <f>+Table1[[#This Row],[SUBTOTAL]]+Table1[[#This Row],[IVA]]-Table1[[#This Row],[RET IVA]]-Table1[[#This Row],[RET ISR]]-Table1[[#This Row],[TOTAL]]</f>
        <v>0</v>
      </c>
      <c r="AE2223" s="152"/>
      <c r="AF2223" s="153"/>
      <c r="AG2223" s="126"/>
      <c r="AH2223" s="120">
        <f>+Table1[[#This Row],[CONCEPTO]]+Table1[[#This Row],[SUBTOTAL]]</f>
        <v>18710.919999999998</v>
      </c>
      <c r="AK2223" s="306" t="str">
        <f>IF(ISNUMBER(Table1[[#This Row],[FECHA DE RECIBIDO]]), Table1[[#This Row],[FECHA DE RECIBIDO]]-DATE(2023,8,30), "")</f>
        <v/>
      </c>
    </row>
    <row r="2224" spans="1:37" ht="16.95" customHeight="1">
      <c r="A2224" s="150"/>
      <c r="B2224" s="151"/>
      <c r="C2224" s="126" t="s">
        <v>286</v>
      </c>
      <c r="D2224">
        <v>1496</v>
      </c>
      <c r="E2224" s="126" t="s">
        <v>3354</v>
      </c>
      <c r="F2224" s="122" t="s">
        <v>1371</v>
      </c>
      <c r="G2224" s="122" t="s">
        <v>2065</v>
      </c>
      <c r="H2224">
        <v>454</v>
      </c>
      <c r="I2224" s="122" t="s">
        <v>1546</v>
      </c>
      <c r="J2224" s="307" t="s">
        <v>214</v>
      </c>
      <c r="K2224" s="127" t="s">
        <v>3797</v>
      </c>
      <c r="L2224" s="151" t="s">
        <v>3306</v>
      </c>
      <c r="M2224">
        <v>630</v>
      </c>
      <c r="N2224" s="123">
        <v>1</v>
      </c>
      <c r="O2224">
        <v>1480</v>
      </c>
      <c r="P2224" s="132" t="s">
        <v>77</v>
      </c>
      <c r="Q2224" s="131">
        <v>22082.04</v>
      </c>
      <c r="R2224" s="131">
        <v>6592.0183999999999</v>
      </c>
      <c r="S2224" s="131"/>
      <c r="T2224" s="155">
        <v>0</v>
      </c>
      <c r="U2224" s="131">
        <v>0</v>
      </c>
      <c r="V2224" s="131">
        <f t="shared" si="52"/>
        <v>28674.058400000002</v>
      </c>
      <c r="W2224">
        <v>242</v>
      </c>
      <c r="X2224" s="151" t="s">
        <v>2035</v>
      </c>
      <c r="Y2224" s="135" t="s">
        <v>55</v>
      </c>
      <c r="Z2224" s="307">
        <v>233</v>
      </c>
      <c r="AB2224" t="str">
        <f>IF(Table1[[#This Row],[TIPO2]]="costo", VLOOKUP(Table1[[#This Row],[PARTIDA PRESUPUESTAL]],'Cost Report'!G:G,1,0),"Balance")</f>
        <v>1401-012</v>
      </c>
      <c r="AC2224" s="118"/>
      <c r="AD2224" s="159">
        <f>+Table1[[#This Row],[SUBTOTAL]]+Table1[[#This Row],[IVA]]-Table1[[#This Row],[RET IVA]]-Table1[[#This Row],[RET ISR]]-Table1[[#This Row],[TOTAL]]</f>
        <v>0</v>
      </c>
      <c r="AE2224" s="150"/>
      <c r="AF2224" s="151"/>
      <c r="AG2224" s="126"/>
      <c r="AH2224" s="120">
        <f>+Table1[[#This Row],[CONCEPTO]]+Table1[[#This Row],[SUBTOTAL]]</f>
        <v>23562.04</v>
      </c>
      <c r="AK2224" s="306" t="str">
        <f>IF(ISNUMBER(Table1[[#This Row],[FECHA DE RECIBIDO]]), Table1[[#This Row],[FECHA DE RECIBIDO]]-DATE(2023,8,30), "")</f>
        <v/>
      </c>
    </row>
    <row r="2225" spans="1:37" ht="16.95" customHeight="1">
      <c r="A2225" s="152"/>
      <c r="B2225" s="153"/>
      <c r="C2225" s="126" t="s">
        <v>289</v>
      </c>
      <c r="D2225">
        <v>1496</v>
      </c>
      <c r="E2225" s="126" t="s">
        <v>3354</v>
      </c>
      <c r="F2225" s="125" t="s">
        <v>1371</v>
      </c>
      <c r="G2225" s="125" t="s">
        <v>2065</v>
      </c>
      <c r="H2225">
        <v>454</v>
      </c>
      <c r="I2225" s="125" t="s">
        <v>1546</v>
      </c>
      <c r="J2225" s="308" t="s">
        <v>214</v>
      </c>
      <c r="K2225" s="127" t="s">
        <v>3797</v>
      </c>
      <c r="L2225" s="153" t="s">
        <v>3306</v>
      </c>
      <c r="M2225">
        <v>630</v>
      </c>
      <c r="N2225" s="123">
        <v>1</v>
      </c>
      <c r="O2225">
        <v>1480</v>
      </c>
      <c r="P2225" s="132" t="s">
        <v>77</v>
      </c>
      <c r="Q2225" s="132">
        <v>3680.34</v>
      </c>
      <c r="R2225" s="132">
        <v>703.47440000000006</v>
      </c>
      <c r="S2225" s="132"/>
      <c r="T2225" s="156">
        <v>0</v>
      </c>
      <c r="U2225" s="132">
        <v>0</v>
      </c>
      <c r="V2225" s="132">
        <f t="shared" si="52"/>
        <v>4383.8144000000002</v>
      </c>
      <c r="W2225">
        <v>242</v>
      </c>
      <c r="X2225" s="153" t="s">
        <v>2035</v>
      </c>
      <c r="Y2225" s="124" t="s">
        <v>55</v>
      </c>
      <c r="Z2225" s="308">
        <v>233</v>
      </c>
      <c r="AB2225" t="str">
        <f>IF(Table1[[#This Row],[TIPO2]]="costo", VLOOKUP(Table1[[#This Row],[PARTIDA PRESUPUESTAL]],'Cost Report'!G:G,1,0),"Balance")</f>
        <v>1401-015</v>
      </c>
      <c r="AC2225" s="118"/>
      <c r="AD2225" s="159">
        <f>+Table1[[#This Row],[SUBTOTAL]]+Table1[[#This Row],[IVA]]-Table1[[#This Row],[RET IVA]]-Table1[[#This Row],[RET ISR]]-Table1[[#This Row],[TOTAL]]</f>
        <v>0</v>
      </c>
      <c r="AE2225" s="152"/>
      <c r="AF2225" s="153"/>
      <c r="AG2225" s="126"/>
      <c r="AH2225" s="120">
        <f>+Table1[[#This Row],[CONCEPTO]]+Table1[[#This Row],[SUBTOTAL]]</f>
        <v>5160.34</v>
      </c>
      <c r="AK2225" s="306" t="str">
        <f>IF(ISNUMBER(Table1[[#This Row],[FECHA DE RECIBIDO]]), Table1[[#This Row],[FECHA DE RECIBIDO]]-DATE(2023,8,30), "")</f>
        <v/>
      </c>
    </row>
    <row r="2226" spans="1:37" ht="16.95" customHeight="1">
      <c r="A2226" s="150"/>
      <c r="B2226" s="151"/>
      <c r="C2226" s="126" t="s">
        <v>290</v>
      </c>
      <c r="D2226">
        <v>1496</v>
      </c>
      <c r="E2226" s="126" t="s">
        <v>3354</v>
      </c>
      <c r="F2226" s="122" t="s">
        <v>1371</v>
      </c>
      <c r="G2226" s="122" t="s">
        <v>2065</v>
      </c>
      <c r="H2226">
        <v>454</v>
      </c>
      <c r="I2226" s="122" t="s">
        <v>1546</v>
      </c>
      <c r="J2226" s="307" t="s">
        <v>214</v>
      </c>
      <c r="K2226" s="127" t="s">
        <v>3797</v>
      </c>
      <c r="L2226" s="151" t="s">
        <v>3306</v>
      </c>
      <c r="M2226">
        <v>630</v>
      </c>
      <c r="N2226" s="123">
        <v>1</v>
      </c>
      <c r="O2226">
        <v>1480</v>
      </c>
      <c r="P2226" s="132" t="s">
        <v>77</v>
      </c>
      <c r="Q2226" s="131">
        <v>35350.39</v>
      </c>
      <c r="R2226" s="131">
        <v>6610.8743999999997</v>
      </c>
      <c r="S2226" s="131"/>
      <c r="T2226" s="155">
        <v>0</v>
      </c>
      <c r="U2226" s="131">
        <v>0</v>
      </c>
      <c r="V2226" s="131">
        <f t="shared" si="52"/>
        <v>41961.2644</v>
      </c>
      <c r="W2226">
        <v>242</v>
      </c>
      <c r="X2226" s="151" t="s">
        <v>2035</v>
      </c>
      <c r="Y2226" s="135" t="s">
        <v>55</v>
      </c>
      <c r="Z2226" s="307">
        <v>233</v>
      </c>
      <c r="AB2226" t="str">
        <f>IF(Table1[[#This Row],[TIPO2]]="costo", VLOOKUP(Table1[[#This Row],[PARTIDA PRESUPUESTAL]],'Cost Report'!G:G,1,0),"Balance")</f>
        <v>1401-016</v>
      </c>
      <c r="AC2226" s="118"/>
      <c r="AD2226" s="159">
        <f>+Table1[[#This Row],[SUBTOTAL]]+Table1[[#This Row],[IVA]]-Table1[[#This Row],[RET IVA]]-Table1[[#This Row],[RET ISR]]-Table1[[#This Row],[TOTAL]]</f>
        <v>0</v>
      </c>
      <c r="AE2226" s="150"/>
      <c r="AF2226" s="151"/>
      <c r="AG2226" s="126"/>
      <c r="AH2226" s="120">
        <f>+Table1[[#This Row],[CONCEPTO]]+Table1[[#This Row],[SUBTOTAL]]</f>
        <v>36830.39</v>
      </c>
      <c r="AK2226" s="306" t="str">
        <f>IF(ISNUMBER(Table1[[#This Row],[FECHA DE RECIBIDO]]), Table1[[#This Row],[FECHA DE RECIBIDO]]-DATE(2023,8,30), "")</f>
        <v/>
      </c>
    </row>
    <row r="2227" spans="1:37" ht="16.95" customHeight="1">
      <c r="A2227" s="152"/>
      <c r="B2227" s="153"/>
      <c r="C2227" s="126" t="s">
        <v>293</v>
      </c>
      <c r="D2227">
        <v>1496</v>
      </c>
      <c r="E2227" s="126" t="s">
        <v>3354</v>
      </c>
      <c r="F2227" s="125" t="s">
        <v>1371</v>
      </c>
      <c r="G2227" s="125" t="s">
        <v>2065</v>
      </c>
      <c r="H2227">
        <v>454</v>
      </c>
      <c r="I2227" s="125" t="s">
        <v>1546</v>
      </c>
      <c r="J2227" s="308" t="s">
        <v>214</v>
      </c>
      <c r="K2227" s="127" t="s">
        <v>3797</v>
      </c>
      <c r="L2227" s="153" t="s">
        <v>3306</v>
      </c>
      <c r="M2227">
        <v>630</v>
      </c>
      <c r="N2227" s="123">
        <v>1</v>
      </c>
      <c r="O2227">
        <v>1480</v>
      </c>
      <c r="P2227" s="132" t="s">
        <v>77</v>
      </c>
      <c r="Q2227" s="132">
        <v>18401.699999999997</v>
      </c>
      <c r="R2227" s="132">
        <v>6003.1640000000007</v>
      </c>
      <c r="S2227" s="132"/>
      <c r="T2227" s="156">
        <v>0</v>
      </c>
      <c r="U2227" s="132">
        <v>0</v>
      </c>
      <c r="V2227" s="132">
        <f t="shared" si="52"/>
        <v>24404.863999999998</v>
      </c>
      <c r="W2227">
        <v>242</v>
      </c>
      <c r="X2227" s="153" t="s">
        <v>2035</v>
      </c>
      <c r="Y2227" s="124" t="s">
        <v>55</v>
      </c>
      <c r="Z2227" s="308">
        <v>233</v>
      </c>
      <c r="AB2227" t="str">
        <f>IF(Table1[[#This Row],[TIPO2]]="costo", VLOOKUP(Table1[[#This Row],[PARTIDA PRESUPUESTAL]],'Cost Report'!G:G,1,0),"Balance")</f>
        <v>1401-021</v>
      </c>
      <c r="AC2227" s="118"/>
      <c r="AD2227" s="159">
        <f>+Table1[[#This Row],[SUBTOTAL]]+Table1[[#This Row],[IVA]]-Table1[[#This Row],[RET IVA]]-Table1[[#This Row],[RET ISR]]-Table1[[#This Row],[TOTAL]]</f>
        <v>0</v>
      </c>
      <c r="AE2227" s="152"/>
      <c r="AF2227" s="153"/>
      <c r="AG2227" s="126"/>
      <c r="AH2227" s="120">
        <f>+Table1[[#This Row],[CONCEPTO]]+Table1[[#This Row],[SUBTOTAL]]</f>
        <v>19881.699999999997</v>
      </c>
      <c r="AK2227" s="306" t="str">
        <f>IF(ISNUMBER(Table1[[#This Row],[FECHA DE RECIBIDO]]), Table1[[#This Row],[FECHA DE RECIBIDO]]-DATE(2023,8,30), "")</f>
        <v/>
      </c>
    </row>
    <row r="2228" spans="1:37" ht="16.95" customHeight="1">
      <c r="A2228" s="150"/>
      <c r="B2228" s="151"/>
      <c r="C2228" s="126" t="s">
        <v>296</v>
      </c>
      <c r="D2228">
        <v>1496</v>
      </c>
      <c r="E2228" s="126" t="s">
        <v>3354</v>
      </c>
      <c r="F2228" s="122" t="s">
        <v>1371</v>
      </c>
      <c r="G2228" s="122" t="s">
        <v>2065</v>
      </c>
      <c r="H2228">
        <v>454</v>
      </c>
      <c r="I2228" s="122" t="s">
        <v>1546</v>
      </c>
      <c r="J2228" s="307" t="s">
        <v>214</v>
      </c>
      <c r="K2228" s="127" t="s">
        <v>3797</v>
      </c>
      <c r="L2228" s="151" t="s">
        <v>3306</v>
      </c>
      <c r="M2228">
        <v>630</v>
      </c>
      <c r="N2228" s="123">
        <v>1</v>
      </c>
      <c r="O2228">
        <v>1480</v>
      </c>
      <c r="P2228" s="132" t="s">
        <v>77</v>
      </c>
      <c r="Q2228" s="131">
        <v>3680.34</v>
      </c>
      <c r="R2228" s="131">
        <v>703.47440000000006</v>
      </c>
      <c r="S2228" s="131"/>
      <c r="T2228" s="155">
        <v>0</v>
      </c>
      <c r="U2228" s="131">
        <v>0</v>
      </c>
      <c r="V2228" s="131">
        <f t="shared" si="52"/>
        <v>4383.8144000000002</v>
      </c>
      <c r="W2228">
        <v>242</v>
      </c>
      <c r="X2228" s="151" t="s">
        <v>2035</v>
      </c>
      <c r="Y2228" s="135" t="s">
        <v>55</v>
      </c>
      <c r="Z2228" s="307">
        <v>233</v>
      </c>
      <c r="AB2228" t="str">
        <f>IF(Table1[[#This Row],[TIPO2]]="costo", VLOOKUP(Table1[[#This Row],[PARTIDA PRESUPUESTAL]],'Cost Report'!G:G,1,0),"Balance")</f>
        <v>1401-024</v>
      </c>
      <c r="AC2228" s="118"/>
      <c r="AD2228" s="159">
        <f>+Table1[[#This Row],[SUBTOTAL]]+Table1[[#This Row],[IVA]]-Table1[[#This Row],[RET IVA]]-Table1[[#This Row],[RET ISR]]-Table1[[#This Row],[TOTAL]]</f>
        <v>0</v>
      </c>
      <c r="AE2228" s="150"/>
      <c r="AF2228" s="151"/>
      <c r="AG2228" s="126"/>
      <c r="AH2228" s="120">
        <f>+Table1[[#This Row],[CONCEPTO]]+Table1[[#This Row],[SUBTOTAL]]</f>
        <v>5160.34</v>
      </c>
      <c r="AK2228" s="306" t="str">
        <f>IF(ISNUMBER(Table1[[#This Row],[FECHA DE RECIBIDO]]), Table1[[#This Row],[FECHA DE RECIBIDO]]-DATE(2023,8,30), "")</f>
        <v/>
      </c>
    </row>
    <row r="2229" spans="1:37" ht="16.95" customHeight="1">
      <c r="A2229" s="152"/>
      <c r="B2229" s="153"/>
      <c r="C2229" s="126" t="s">
        <v>297</v>
      </c>
      <c r="D2229">
        <v>1496</v>
      </c>
      <c r="E2229" s="126" t="s">
        <v>3354</v>
      </c>
      <c r="F2229" s="125" t="s">
        <v>1371</v>
      </c>
      <c r="G2229" s="125" t="s">
        <v>2065</v>
      </c>
      <c r="H2229">
        <v>454</v>
      </c>
      <c r="I2229" s="125" t="s">
        <v>1546</v>
      </c>
      <c r="J2229" s="308" t="s">
        <v>214</v>
      </c>
      <c r="K2229" s="127" t="s">
        <v>3797</v>
      </c>
      <c r="L2229" s="153" t="s">
        <v>3306</v>
      </c>
      <c r="M2229">
        <v>630</v>
      </c>
      <c r="N2229" s="123">
        <v>1</v>
      </c>
      <c r="O2229">
        <v>1480</v>
      </c>
      <c r="P2229" s="132" t="s">
        <v>77</v>
      </c>
      <c r="Q2229" s="132">
        <v>6564</v>
      </c>
      <c r="R2229" s="132">
        <v>3002.7799999999997</v>
      </c>
      <c r="S2229" s="132"/>
      <c r="T2229" s="156">
        <v>0</v>
      </c>
      <c r="U2229" s="132">
        <v>0</v>
      </c>
      <c r="V2229" s="132">
        <f t="shared" si="52"/>
        <v>9566.7799999999988</v>
      </c>
      <c r="W2229">
        <v>242</v>
      </c>
      <c r="X2229" s="153" t="s">
        <v>2035</v>
      </c>
      <c r="Y2229" s="124" t="s">
        <v>55</v>
      </c>
      <c r="Z2229" s="308">
        <v>233</v>
      </c>
      <c r="AB2229" t="str">
        <f>IF(Table1[[#This Row],[TIPO2]]="costo", VLOOKUP(Table1[[#This Row],[PARTIDA PRESUPUESTAL]],'Cost Report'!G:G,1,0),"Balance")</f>
        <v>1401-025</v>
      </c>
      <c r="AC2229" s="118"/>
      <c r="AD2229" s="159">
        <f>+Table1[[#This Row],[SUBTOTAL]]+Table1[[#This Row],[IVA]]-Table1[[#This Row],[RET IVA]]-Table1[[#This Row],[RET ISR]]-Table1[[#This Row],[TOTAL]]</f>
        <v>0</v>
      </c>
      <c r="AE2229" s="152"/>
      <c r="AF2229" s="153"/>
      <c r="AG2229" s="126"/>
      <c r="AH2229" s="120">
        <f>+Table1[[#This Row],[CONCEPTO]]+Table1[[#This Row],[SUBTOTAL]]</f>
        <v>8044</v>
      </c>
      <c r="AK2229" s="306" t="str">
        <f>IF(ISNUMBER(Table1[[#This Row],[FECHA DE RECIBIDO]]), Table1[[#This Row],[FECHA DE RECIBIDO]]-DATE(2023,8,30), "")</f>
        <v/>
      </c>
    </row>
    <row r="2230" spans="1:37" ht="16.95" customHeight="1">
      <c r="A2230" s="150"/>
      <c r="B2230" s="151"/>
      <c r="C2230" s="126" t="s">
        <v>300</v>
      </c>
      <c r="D2230">
        <v>1496</v>
      </c>
      <c r="E2230" s="126" t="s">
        <v>3354</v>
      </c>
      <c r="F2230" s="122" t="s">
        <v>1371</v>
      </c>
      <c r="G2230" s="122" t="s">
        <v>2065</v>
      </c>
      <c r="H2230">
        <v>454</v>
      </c>
      <c r="I2230" s="122" t="s">
        <v>1546</v>
      </c>
      <c r="J2230" s="307" t="s">
        <v>214</v>
      </c>
      <c r="K2230" s="127" t="s">
        <v>3797</v>
      </c>
      <c r="L2230" s="151" t="s">
        <v>3306</v>
      </c>
      <c r="M2230">
        <v>630</v>
      </c>
      <c r="N2230" s="123">
        <v>1</v>
      </c>
      <c r="O2230">
        <v>1480</v>
      </c>
      <c r="P2230" s="132" t="s">
        <v>77</v>
      </c>
      <c r="Q2230" s="131">
        <v>18401.699999999997</v>
      </c>
      <c r="R2230" s="131">
        <v>6003.1640000000007</v>
      </c>
      <c r="S2230" s="131"/>
      <c r="T2230" s="155">
        <v>0</v>
      </c>
      <c r="U2230" s="131">
        <v>0</v>
      </c>
      <c r="V2230" s="131">
        <f t="shared" si="52"/>
        <v>24404.863999999998</v>
      </c>
      <c r="W2230">
        <v>242</v>
      </c>
      <c r="X2230" s="151" t="s">
        <v>2035</v>
      </c>
      <c r="Y2230" s="135" t="s">
        <v>55</v>
      </c>
      <c r="Z2230" s="307">
        <v>233</v>
      </c>
      <c r="AB2230" t="str">
        <f>IF(Table1[[#This Row],[TIPO2]]="costo", VLOOKUP(Table1[[#This Row],[PARTIDA PRESUPUESTAL]],'Cost Report'!G:G,1,0),"Balance")</f>
        <v>1401-030</v>
      </c>
      <c r="AC2230" s="118"/>
      <c r="AD2230" s="159">
        <f>+Table1[[#This Row],[SUBTOTAL]]+Table1[[#This Row],[IVA]]-Table1[[#This Row],[RET IVA]]-Table1[[#This Row],[RET ISR]]-Table1[[#This Row],[TOTAL]]</f>
        <v>0</v>
      </c>
      <c r="AE2230" s="150"/>
      <c r="AF2230" s="151"/>
      <c r="AG2230" s="126"/>
      <c r="AH2230" s="120">
        <f>+Table1[[#This Row],[CONCEPTO]]+Table1[[#This Row],[SUBTOTAL]]</f>
        <v>19881.699999999997</v>
      </c>
      <c r="AK2230" s="306" t="str">
        <f>IF(ISNUMBER(Table1[[#This Row],[FECHA DE RECIBIDO]]), Table1[[#This Row],[FECHA DE RECIBIDO]]-DATE(2023,8,30), "")</f>
        <v/>
      </c>
    </row>
    <row r="2231" spans="1:37" ht="16.95" customHeight="1">
      <c r="A2231" s="152"/>
      <c r="B2231" s="153"/>
      <c r="C2231" s="126" t="s">
        <v>301</v>
      </c>
      <c r="D2231">
        <v>1496</v>
      </c>
      <c r="E2231" s="126" t="s">
        <v>3354</v>
      </c>
      <c r="F2231" s="125" t="s">
        <v>1371</v>
      </c>
      <c r="G2231" s="125" t="s">
        <v>2065</v>
      </c>
      <c r="H2231">
        <v>454</v>
      </c>
      <c r="I2231" s="125" t="s">
        <v>1546</v>
      </c>
      <c r="J2231" s="308" t="s">
        <v>214</v>
      </c>
      <c r="K2231" s="127" t="s">
        <v>3797</v>
      </c>
      <c r="L2231" s="153" t="s">
        <v>3306</v>
      </c>
      <c r="M2231">
        <v>630</v>
      </c>
      <c r="N2231" s="123">
        <v>1</v>
      </c>
      <c r="O2231">
        <v>1480</v>
      </c>
      <c r="P2231" s="132" t="s">
        <v>77</v>
      </c>
      <c r="Q2231" s="132">
        <v>3680.34</v>
      </c>
      <c r="R2231" s="132">
        <v>703.47440000000006</v>
      </c>
      <c r="S2231" s="132"/>
      <c r="T2231" s="156">
        <v>0</v>
      </c>
      <c r="U2231" s="132">
        <v>0</v>
      </c>
      <c r="V2231" s="132">
        <f t="shared" si="52"/>
        <v>4383.8144000000002</v>
      </c>
      <c r="W2231">
        <v>242</v>
      </c>
      <c r="X2231" s="153" t="s">
        <v>2035</v>
      </c>
      <c r="Y2231" s="124" t="s">
        <v>55</v>
      </c>
      <c r="Z2231" s="308">
        <v>233</v>
      </c>
      <c r="AB2231" t="str">
        <f>IF(Table1[[#This Row],[TIPO2]]="costo", VLOOKUP(Table1[[#This Row],[PARTIDA PRESUPUESTAL]],'Cost Report'!G:G,1,0),"Balance")</f>
        <v>1401-031</v>
      </c>
      <c r="AC2231" s="118"/>
      <c r="AD2231" s="159">
        <f>+Table1[[#This Row],[SUBTOTAL]]+Table1[[#This Row],[IVA]]-Table1[[#This Row],[RET IVA]]-Table1[[#This Row],[RET ISR]]-Table1[[#This Row],[TOTAL]]</f>
        <v>0</v>
      </c>
      <c r="AE2231" s="152"/>
      <c r="AF2231" s="153"/>
      <c r="AG2231" s="126"/>
      <c r="AH2231" s="120">
        <f>+Table1[[#This Row],[CONCEPTO]]+Table1[[#This Row],[SUBTOTAL]]</f>
        <v>5160.34</v>
      </c>
      <c r="AK2231" s="306" t="str">
        <f>IF(ISNUMBER(Table1[[#This Row],[FECHA DE RECIBIDO]]), Table1[[#This Row],[FECHA DE RECIBIDO]]-DATE(2023,8,30), "")</f>
        <v/>
      </c>
    </row>
    <row r="2232" spans="1:37" ht="16.95" customHeight="1">
      <c r="A2232" s="150"/>
      <c r="B2232" s="151"/>
      <c r="C2232" s="126" t="s">
        <v>302</v>
      </c>
      <c r="D2232">
        <v>1496</v>
      </c>
      <c r="E2232" s="126" t="s">
        <v>3354</v>
      </c>
      <c r="F2232" s="122" t="s">
        <v>1371</v>
      </c>
      <c r="G2232" s="122" t="s">
        <v>2065</v>
      </c>
      <c r="H2232">
        <v>454</v>
      </c>
      <c r="I2232" s="122" t="s">
        <v>1546</v>
      </c>
      <c r="J2232" s="307" t="s">
        <v>214</v>
      </c>
      <c r="K2232" s="127" t="s">
        <v>3797</v>
      </c>
      <c r="L2232" s="151" t="s">
        <v>3306</v>
      </c>
      <c r="M2232">
        <v>630</v>
      </c>
      <c r="N2232" s="123">
        <v>1</v>
      </c>
      <c r="O2232">
        <v>1480</v>
      </c>
      <c r="P2232" s="132" t="s">
        <v>77</v>
      </c>
      <c r="Q2232" s="131">
        <v>8205</v>
      </c>
      <c r="R2232" s="131">
        <v>3265.34</v>
      </c>
      <c r="S2232" s="131"/>
      <c r="T2232" s="155">
        <v>0</v>
      </c>
      <c r="U2232" s="131">
        <v>0</v>
      </c>
      <c r="V2232" s="131">
        <f t="shared" si="52"/>
        <v>11470.34</v>
      </c>
      <c r="W2232">
        <v>242</v>
      </c>
      <c r="X2232" s="151" t="s">
        <v>2035</v>
      </c>
      <c r="Y2232" s="135" t="s">
        <v>55</v>
      </c>
      <c r="Z2232" s="307">
        <v>233</v>
      </c>
      <c r="AB2232" t="str">
        <f>IF(Table1[[#This Row],[TIPO2]]="costo", VLOOKUP(Table1[[#This Row],[PARTIDA PRESUPUESTAL]],'Cost Report'!G:G,1,0),"Balance")</f>
        <v>1401-032</v>
      </c>
      <c r="AC2232" s="118"/>
      <c r="AD2232" s="159">
        <f>+Table1[[#This Row],[SUBTOTAL]]+Table1[[#This Row],[IVA]]-Table1[[#This Row],[RET IVA]]-Table1[[#This Row],[RET ISR]]-Table1[[#This Row],[TOTAL]]</f>
        <v>0</v>
      </c>
      <c r="AE2232" s="150"/>
      <c r="AF2232" s="151"/>
      <c r="AG2232" s="126"/>
      <c r="AH2232" s="120">
        <f>+Table1[[#This Row],[CONCEPTO]]+Table1[[#This Row],[SUBTOTAL]]</f>
        <v>9685</v>
      </c>
      <c r="AK2232" s="306" t="str">
        <f>IF(ISNUMBER(Table1[[#This Row],[FECHA DE RECIBIDO]]), Table1[[#This Row],[FECHA DE RECIBIDO]]-DATE(2023,8,30), "")</f>
        <v/>
      </c>
    </row>
    <row r="2233" spans="1:37" ht="16.95" customHeight="1">
      <c r="A2233" s="152"/>
      <c r="B2233" s="153"/>
      <c r="C2233" s="126" t="s">
        <v>305</v>
      </c>
      <c r="D2233">
        <v>1496</v>
      </c>
      <c r="E2233" s="126" t="s">
        <v>3354</v>
      </c>
      <c r="F2233" s="125" t="s">
        <v>1371</v>
      </c>
      <c r="G2233" s="125" t="s">
        <v>2065</v>
      </c>
      <c r="H2233">
        <v>454</v>
      </c>
      <c r="I2233" s="125" t="s">
        <v>1546</v>
      </c>
      <c r="J2233" s="308" t="s">
        <v>214</v>
      </c>
      <c r="K2233" s="127" t="s">
        <v>3797</v>
      </c>
      <c r="L2233" s="153" t="s">
        <v>3306</v>
      </c>
      <c r="M2233">
        <v>630</v>
      </c>
      <c r="N2233" s="123">
        <v>1</v>
      </c>
      <c r="O2233">
        <v>1480</v>
      </c>
      <c r="P2233" s="132" t="s">
        <v>77</v>
      </c>
      <c r="Q2233" s="132">
        <v>18401.699999999997</v>
      </c>
      <c r="R2233" s="132">
        <v>6003.1640000000007</v>
      </c>
      <c r="S2233" s="132"/>
      <c r="T2233" s="156">
        <v>0</v>
      </c>
      <c r="U2233" s="132">
        <v>0</v>
      </c>
      <c r="V2233" s="132">
        <f t="shared" si="52"/>
        <v>24404.863999999998</v>
      </c>
      <c r="W2233">
        <v>242</v>
      </c>
      <c r="X2233" s="153" t="s">
        <v>2035</v>
      </c>
      <c r="Y2233" s="124" t="s">
        <v>55</v>
      </c>
      <c r="Z2233" s="308">
        <v>233</v>
      </c>
      <c r="AB2233" t="str">
        <f>IF(Table1[[#This Row],[TIPO2]]="costo", VLOOKUP(Table1[[#This Row],[PARTIDA PRESUPUESTAL]],'Cost Report'!G:G,1,0),"Balance")</f>
        <v>1401-037</v>
      </c>
      <c r="AC2233" s="118"/>
      <c r="AD2233" s="159">
        <f>+Table1[[#This Row],[SUBTOTAL]]+Table1[[#This Row],[IVA]]-Table1[[#This Row],[RET IVA]]-Table1[[#This Row],[RET ISR]]-Table1[[#This Row],[TOTAL]]</f>
        <v>0</v>
      </c>
      <c r="AE2233" s="152"/>
      <c r="AF2233" s="153"/>
      <c r="AG2233" s="126"/>
      <c r="AH2233" s="120">
        <f>+Table1[[#This Row],[CONCEPTO]]+Table1[[#This Row],[SUBTOTAL]]</f>
        <v>19881.699999999997</v>
      </c>
      <c r="AK2233" s="306" t="str">
        <f>IF(ISNUMBER(Table1[[#This Row],[FECHA DE RECIBIDO]]), Table1[[#This Row],[FECHA DE RECIBIDO]]-DATE(2023,8,30), "")</f>
        <v/>
      </c>
    </row>
    <row r="2234" spans="1:37" ht="16.95" customHeight="1">
      <c r="A2234" s="150"/>
      <c r="B2234" s="151"/>
      <c r="C2234" s="126" t="s">
        <v>306</v>
      </c>
      <c r="D2234">
        <v>1496</v>
      </c>
      <c r="E2234" s="126" t="s">
        <v>3354</v>
      </c>
      <c r="F2234" s="122" t="s">
        <v>1371</v>
      </c>
      <c r="G2234" s="122" t="s">
        <v>2065</v>
      </c>
      <c r="H2234">
        <v>454</v>
      </c>
      <c r="I2234" s="122" t="s">
        <v>1546</v>
      </c>
      <c r="J2234" s="307" t="s">
        <v>214</v>
      </c>
      <c r="K2234" s="127" t="s">
        <v>3797</v>
      </c>
      <c r="L2234" s="151" t="s">
        <v>3306</v>
      </c>
      <c r="M2234">
        <v>630</v>
      </c>
      <c r="N2234" s="123">
        <v>1</v>
      </c>
      <c r="O2234">
        <v>1480</v>
      </c>
      <c r="P2234" s="132" t="s">
        <v>77</v>
      </c>
      <c r="Q2234" s="131">
        <v>3680.34</v>
      </c>
      <c r="R2234" s="131">
        <v>703.47440000000006</v>
      </c>
      <c r="S2234" s="131"/>
      <c r="T2234" s="155">
        <v>0</v>
      </c>
      <c r="U2234" s="131">
        <v>0</v>
      </c>
      <c r="V2234" s="131">
        <f t="shared" si="52"/>
        <v>4383.8144000000002</v>
      </c>
      <c r="W2234">
        <v>242</v>
      </c>
      <c r="X2234" s="151" t="s">
        <v>2035</v>
      </c>
      <c r="Y2234" s="135" t="s">
        <v>55</v>
      </c>
      <c r="Z2234" s="307">
        <v>233</v>
      </c>
      <c r="AB2234" t="str">
        <f>IF(Table1[[#This Row],[TIPO2]]="costo", VLOOKUP(Table1[[#This Row],[PARTIDA PRESUPUESTAL]],'Cost Report'!G:G,1,0),"Balance")</f>
        <v>1401-038</v>
      </c>
      <c r="AC2234" s="118"/>
      <c r="AD2234" s="159">
        <f>+Table1[[#This Row],[SUBTOTAL]]+Table1[[#This Row],[IVA]]-Table1[[#This Row],[RET IVA]]-Table1[[#This Row],[RET ISR]]-Table1[[#This Row],[TOTAL]]</f>
        <v>0</v>
      </c>
      <c r="AE2234" s="150"/>
      <c r="AF2234" s="151"/>
      <c r="AG2234" s="126"/>
      <c r="AH2234" s="120">
        <f>+Table1[[#This Row],[CONCEPTO]]+Table1[[#This Row],[SUBTOTAL]]</f>
        <v>5160.34</v>
      </c>
      <c r="AK2234" s="306" t="str">
        <f>IF(ISNUMBER(Table1[[#This Row],[FECHA DE RECIBIDO]]), Table1[[#This Row],[FECHA DE RECIBIDO]]-DATE(2023,8,30), "")</f>
        <v/>
      </c>
    </row>
    <row r="2235" spans="1:37" ht="16.95" customHeight="1">
      <c r="A2235" s="152"/>
      <c r="B2235" s="153"/>
      <c r="C2235" s="126" t="s">
        <v>307</v>
      </c>
      <c r="D2235">
        <v>1496</v>
      </c>
      <c r="E2235" s="126" t="s">
        <v>3354</v>
      </c>
      <c r="F2235" s="125" t="s">
        <v>1371</v>
      </c>
      <c r="G2235" s="125" t="s">
        <v>2065</v>
      </c>
      <c r="H2235">
        <v>454</v>
      </c>
      <c r="I2235" s="125" t="s">
        <v>1546</v>
      </c>
      <c r="J2235" s="308" t="s">
        <v>214</v>
      </c>
      <c r="K2235" s="127" t="s">
        <v>3797</v>
      </c>
      <c r="L2235" s="153" t="s">
        <v>3306</v>
      </c>
      <c r="M2235">
        <v>630</v>
      </c>
      <c r="N2235" s="123">
        <v>1</v>
      </c>
      <c r="O2235">
        <v>1480</v>
      </c>
      <c r="P2235" s="132" t="s">
        <v>77</v>
      </c>
      <c r="Q2235" s="132">
        <v>1230.7799999999997</v>
      </c>
      <c r="R2235" s="132">
        <v>967.96080000000006</v>
      </c>
      <c r="S2235" s="132"/>
      <c r="T2235" s="156">
        <v>0</v>
      </c>
      <c r="U2235" s="132">
        <v>0</v>
      </c>
      <c r="V2235" s="132">
        <f t="shared" si="52"/>
        <v>2198.7407999999996</v>
      </c>
      <c r="W2235">
        <v>242</v>
      </c>
      <c r="X2235" s="153" t="s">
        <v>2035</v>
      </c>
      <c r="Y2235" s="124" t="s">
        <v>55</v>
      </c>
      <c r="Z2235" s="308">
        <v>233</v>
      </c>
      <c r="AB2235" t="str">
        <f>IF(Table1[[#This Row],[TIPO2]]="costo", VLOOKUP(Table1[[#This Row],[PARTIDA PRESUPUESTAL]],'Cost Report'!G:G,1,0),"Balance")</f>
        <v>1401-039</v>
      </c>
      <c r="AC2235" s="118"/>
      <c r="AD2235" s="159">
        <f>+Table1[[#This Row],[SUBTOTAL]]+Table1[[#This Row],[IVA]]-Table1[[#This Row],[RET IVA]]-Table1[[#This Row],[RET ISR]]-Table1[[#This Row],[TOTAL]]</f>
        <v>0</v>
      </c>
      <c r="AE2235" s="152"/>
      <c r="AF2235" s="153"/>
      <c r="AG2235" s="126"/>
      <c r="AH2235" s="120">
        <f>+Table1[[#This Row],[CONCEPTO]]+Table1[[#This Row],[SUBTOTAL]]</f>
        <v>2710.7799999999997</v>
      </c>
      <c r="AK2235" s="306" t="str">
        <f>IF(ISNUMBER(Table1[[#This Row],[FECHA DE RECIBIDO]]), Table1[[#This Row],[FECHA DE RECIBIDO]]-DATE(2023,8,30), "")</f>
        <v/>
      </c>
    </row>
    <row r="2236" spans="1:37" ht="16.95" customHeight="1">
      <c r="A2236" s="150"/>
      <c r="B2236" s="151"/>
      <c r="C2236" s="126" t="s">
        <v>2171</v>
      </c>
      <c r="D2236">
        <v>1496</v>
      </c>
      <c r="E2236" s="126" t="s">
        <v>3354</v>
      </c>
      <c r="F2236" s="122" t="s">
        <v>1371</v>
      </c>
      <c r="G2236" s="122" t="s">
        <v>2065</v>
      </c>
      <c r="H2236">
        <v>454</v>
      </c>
      <c r="I2236" s="122" t="s">
        <v>1546</v>
      </c>
      <c r="J2236" s="307" t="s">
        <v>214</v>
      </c>
      <c r="K2236" s="127" t="s">
        <v>3797</v>
      </c>
      <c r="L2236" s="151" t="s">
        <v>3306</v>
      </c>
      <c r="M2236">
        <v>630</v>
      </c>
      <c r="N2236" s="123">
        <v>1</v>
      </c>
      <c r="O2236">
        <v>1480</v>
      </c>
      <c r="P2236" s="132" t="s">
        <v>77</v>
      </c>
      <c r="Q2236" s="131">
        <v>4500.84</v>
      </c>
      <c r="R2236" s="131">
        <v>834.75440000000003</v>
      </c>
      <c r="S2236" s="131"/>
      <c r="T2236" s="155">
        <v>0</v>
      </c>
      <c r="U2236" s="131">
        <v>0</v>
      </c>
      <c r="V2236" s="131">
        <f t="shared" si="52"/>
        <v>5335.5944</v>
      </c>
      <c r="W2236">
        <v>242</v>
      </c>
      <c r="X2236" s="151" t="s">
        <v>2035</v>
      </c>
      <c r="Y2236" s="135" t="s">
        <v>55</v>
      </c>
      <c r="Z2236" s="307">
        <v>233</v>
      </c>
      <c r="AB2236" t="str">
        <f>IF(Table1[[#This Row],[TIPO2]]="costo", VLOOKUP(Table1[[#This Row],[PARTIDA PRESUPUESTAL]],'Cost Report'!G:G,1,0),"Balance")</f>
        <v>1401-052</v>
      </c>
      <c r="AC2236" s="118"/>
      <c r="AD2236" s="159">
        <f>+Table1[[#This Row],[SUBTOTAL]]+Table1[[#This Row],[IVA]]-Table1[[#This Row],[RET IVA]]-Table1[[#This Row],[RET ISR]]-Table1[[#This Row],[TOTAL]]</f>
        <v>0</v>
      </c>
      <c r="AE2236" s="150"/>
      <c r="AF2236" s="151"/>
      <c r="AG2236" s="126"/>
      <c r="AH2236" s="120">
        <f>+Table1[[#This Row],[CONCEPTO]]+Table1[[#This Row],[SUBTOTAL]]</f>
        <v>5980.84</v>
      </c>
      <c r="AK2236" s="306" t="str">
        <f>IF(ISNUMBER(Table1[[#This Row],[FECHA DE RECIBIDO]]), Table1[[#This Row],[FECHA DE RECIBIDO]]-DATE(2023,8,30), "")</f>
        <v/>
      </c>
    </row>
    <row r="2237" spans="1:37" ht="16.95" customHeight="1">
      <c r="A2237" s="152"/>
      <c r="B2237" s="153"/>
      <c r="C2237" s="126" t="s">
        <v>2187</v>
      </c>
      <c r="D2237">
        <v>1496</v>
      </c>
      <c r="E2237" s="126" t="s">
        <v>3354</v>
      </c>
      <c r="F2237" s="125" t="s">
        <v>1371</v>
      </c>
      <c r="G2237" s="125" t="s">
        <v>2065</v>
      </c>
      <c r="H2237">
        <v>454</v>
      </c>
      <c r="I2237" s="125" t="s">
        <v>1546</v>
      </c>
      <c r="J2237" s="308" t="s">
        <v>214</v>
      </c>
      <c r="K2237" s="127" t="s">
        <v>3797</v>
      </c>
      <c r="L2237" s="153" t="s">
        <v>3306</v>
      </c>
      <c r="M2237">
        <v>630</v>
      </c>
      <c r="N2237" s="123">
        <v>1</v>
      </c>
      <c r="O2237">
        <v>1480</v>
      </c>
      <c r="P2237" s="132" t="s">
        <v>77</v>
      </c>
      <c r="Q2237" s="132">
        <v>22082.04</v>
      </c>
      <c r="R2237" s="132">
        <v>6592.0183999999999</v>
      </c>
      <c r="S2237" s="132"/>
      <c r="T2237" s="156">
        <v>0</v>
      </c>
      <c r="U2237" s="132">
        <v>0</v>
      </c>
      <c r="V2237" s="132">
        <f t="shared" si="52"/>
        <v>28674.058400000002</v>
      </c>
      <c r="W2237">
        <v>242</v>
      </c>
      <c r="X2237" s="153" t="s">
        <v>2035</v>
      </c>
      <c r="Y2237" s="124" t="s">
        <v>55</v>
      </c>
      <c r="Z2237" s="308">
        <v>233</v>
      </c>
      <c r="AB2237" t="str">
        <f>IF(Table1[[#This Row],[TIPO2]]="costo", VLOOKUP(Table1[[#This Row],[PARTIDA PRESUPUESTAL]],'Cost Report'!G:G,1,0),"Balance")</f>
        <v>1401-076</v>
      </c>
      <c r="AC2237" s="118"/>
      <c r="AD2237" s="159">
        <f>+Table1[[#This Row],[SUBTOTAL]]+Table1[[#This Row],[IVA]]-Table1[[#This Row],[RET IVA]]-Table1[[#This Row],[RET ISR]]-Table1[[#This Row],[TOTAL]]</f>
        <v>0</v>
      </c>
      <c r="AE2237" s="152"/>
      <c r="AF2237" s="153"/>
      <c r="AG2237" s="126"/>
      <c r="AH2237" s="120">
        <f>+Table1[[#This Row],[CONCEPTO]]+Table1[[#This Row],[SUBTOTAL]]</f>
        <v>23562.04</v>
      </c>
      <c r="AK2237" s="306" t="str">
        <f>IF(ISNUMBER(Table1[[#This Row],[FECHA DE RECIBIDO]]), Table1[[#This Row],[FECHA DE RECIBIDO]]-DATE(2023,8,30), "")</f>
        <v/>
      </c>
    </row>
    <row r="2238" spans="1:37" ht="16.95" customHeight="1">
      <c r="A2238" s="150"/>
      <c r="B2238" s="151"/>
      <c r="C2238" s="126" t="s">
        <v>2188</v>
      </c>
      <c r="D2238">
        <v>1496</v>
      </c>
      <c r="E2238" s="126" t="s">
        <v>3354</v>
      </c>
      <c r="F2238" s="122" t="s">
        <v>1371</v>
      </c>
      <c r="G2238" s="122" t="s">
        <v>2065</v>
      </c>
      <c r="H2238">
        <v>454</v>
      </c>
      <c r="I2238" s="122" t="s">
        <v>1546</v>
      </c>
      <c r="J2238" s="307" t="s">
        <v>214</v>
      </c>
      <c r="K2238" s="127" t="s">
        <v>3797</v>
      </c>
      <c r="L2238" s="151" t="s">
        <v>3306</v>
      </c>
      <c r="M2238">
        <v>630</v>
      </c>
      <c r="N2238" s="123">
        <v>1</v>
      </c>
      <c r="O2238">
        <v>1480</v>
      </c>
      <c r="P2238" s="132" t="s">
        <v>77</v>
      </c>
      <c r="Q2238" s="131">
        <v>3680.34</v>
      </c>
      <c r="R2238" s="131">
        <v>703.47440000000006</v>
      </c>
      <c r="S2238" s="131"/>
      <c r="T2238" s="155">
        <v>0</v>
      </c>
      <c r="U2238" s="131">
        <v>0</v>
      </c>
      <c r="V2238" s="131">
        <f t="shared" si="52"/>
        <v>4383.8144000000002</v>
      </c>
      <c r="W2238">
        <v>242</v>
      </c>
      <c r="X2238" s="151" t="s">
        <v>2035</v>
      </c>
      <c r="Y2238" s="135" t="s">
        <v>55</v>
      </c>
      <c r="Z2238" s="307">
        <v>233</v>
      </c>
      <c r="AB2238" t="str">
        <f>IF(Table1[[#This Row],[TIPO2]]="costo", VLOOKUP(Table1[[#This Row],[PARTIDA PRESUPUESTAL]],'Cost Report'!G:G,1,0),"Balance")</f>
        <v>1401-077</v>
      </c>
      <c r="AC2238" s="118"/>
      <c r="AD2238" s="159">
        <f>+Table1[[#This Row],[SUBTOTAL]]+Table1[[#This Row],[IVA]]-Table1[[#This Row],[RET IVA]]-Table1[[#This Row],[RET ISR]]-Table1[[#This Row],[TOTAL]]</f>
        <v>0</v>
      </c>
      <c r="AE2238" s="150"/>
      <c r="AF2238" s="151"/>
      <c r="AG2238" s="126"/>
      <c r="AH2238" s="120">
        <f>+Table1[[#This Row],[CONCEPTO]]+Table1[[#This Row],[SUBTOTAL]]</f>
        <v>5160.34</v>
      </c>
      <c r="AK2238" s="306" t="str">
        <f>IF(ISNUMBER(Table1[[#This Row],[FECHA DE RECIBIDO]]), Table1[[#This Row],[FECHA DE RECIBIDO]]-DATE(2023,8,30), "")</f>
        <v/>
      </c>
    </row>
    <row r="2239" spans="1:37" ht="16.95" customHeight="1">
      <c r="A2239" s="152"/>
      <c r="B2239" s="153"/>
      <c r="C2239" s="126" t="s">
        <v>2189</v>
      </c>
      <c r="D2239">
        <v>1496</v>
      </c>
      <c r="E2239" s="126" t="s">
        <v>3354</v>
      </c>
      <c r="F2239" s="125" t="s">
        <v>1371</v>
      </c>
      <c r="G2239" s="125" t="s">
        <v>2065</v>
      </c>
      <c r="H2239">
        <v>454</v>
      </c>
      <c r="I2239" s="125" t="s">
        <v>1546</v>
      </c>
      <c r="J2239" s="308" t="s">
        <v>214</v>
      </c>
      <c r="K2239" s="127" t="s">
        <v>3797</v>
      </c>
      <c r="L2239" s="153" t="s">
        <v>3306</v>
      </c>
      <c r="M2239">
        <v>630</v>
      </c>
      <c r="N2239" s="123">
        <v>1</v>
      </c>
      <c r="O2239">
        <v>1480</v>
      </c>
      <c r="P2239" s="132" t="s">
        <v>77</v>
      </c>
      <c r="Q2239" s="132">
        <v>16027.240000000002</v>
      </c>
      <c r="R2239" s="132">
        <v>3239.18</v>
      </c>
      <c r="S2239" s="132"/>
      <c r="T2239" s="156">
        <v>0</v>
      </c>
      <c r="U2239" s="132">
        <v>0</v>
      </c>
      <c r="V2239" s="132">
        <f t="shared" si="52"/>
        <v>19266.420000000002</v>
      </c>
      <c r="W2239">
        <v>242</v>
      </c>
      <c r="X2239" s="153" t="s">
        <v>2035</v>
      </c>
      <c r="Y2239" s="124" t="s">
        <v>55</v>
      </c>
      <c r="Z2239" s="308">
        <v>233</v>
      </c>
      <c r="AB2239" t="str">
        <f>IF(Table1[[#This Row],[TIPO2]]="costo", VLOOKUP(Table1[[#This Row],[PARTIDA PRESUPUESTAL]],'Cost Report'!G:G,1,0),"Balance")</f>
        <v>1401-078</v>
      </c>
      <c r="AC2239" s="118"/>
      <c r="AD2239" s="159">
        <f>+Table1[[#This Row],[SUBTOTAL]]+Table1[[#This Row],[IVA]]-Table1[[#This Row],[RET IVA]]-Table1[[#This Row],[RET ISR]]-Table1[[#This Row],[TOTAL]]</f>
        <v>0</v>
      </c>
      <c r="AE2239" s="152"/>
      <c r="AF2239" s="153"/>
      <c r="AG2239" s="126"/>
      <c r="AH2239" s="120">
        <f>+Table1[[#This Row],[CONCEPTO]]+Table1[[#This Row],[SUBTOTAL]]</f>
        <v>17507.240000000002</v>
      </c>
      <c r="AK2239" s="306" t="str">
        <f>IF(ISNUMBER(Table1[[#This Row],[FECHA DE RECIBIDO]]), Table1[[#This Row],[FECHA DE RECIBIDO]]-DATE(2023,8,30), "")</f>
        <v/>
      </c>
    </row>
    <row r="2240" spans="1:37" ht="16.95" customHeight="1">
      <c r="A2240" s="150"/>
      <c r="B2240" s="151"/>
      <c r="C2240" s="126" t="s">
        <v>319</v>
      </c>
      <c r="D2240">
        <v>1496</v>
      </c>
      <c r="E2240" s="126" t="s">
        <v>3354</v>
      </c>
      <c r="F2240" s="122" t="s">
        <v>1371</v>
      </c>
      <c r="G2240" s="122" t="s">
        <v>2065</v>
      </c>
      <c r="H2240">
        <v>454</v>
      </c>
      <c r="I2240" s="122" t="s">
        <v>1546</v>
      </c>
      <c r="J2240" s="307" t="s">
        <v>214</v>
      </c>
      <c r="K2240" s="127" t="s">
        <v>3797</v>
      </c>
      <c r="L2240" s="151" t="s">
        <v>3306</v>
      </c>
      <c r="M2240">
        <v>630</v>
      </c>
      <c r="N2240" s="123">
        <v>1</v>
      </c>
      <c r="O2240">
        <v>1480</v>
      </c>
      <c r="P2240" s="132" t="s">
        <v>77</v>
      </c>
      <c r="Q2240" s="131">
        <v>4500.84</v>
      </c>
      <c r="R2240" s="131">
        <v>834.75440000000003</v>
      </c>
      <c r="S2240" s="131"/>
      <c r="T2240" s="155">
        <v>0</v>
      </c>
      <c r="U2240" s="131">
        <v>0</v>
      </c>
      <c r="V2240" s="131">
        <f t="shared" si="52"/>
        <v>5335.5944</v>
      </c>
      <c r="W2240">
        <v>242</v>
      </c>
      <c r="X2240" s="151" t="s">
        <v>2035</v>
      </c>
      <c r="Y2240" s="135" t="s">
        <v>55</v>
      </c>
      <c r="Z2240" s="307">
        <v>233</v>
      </c>
      <c r="AB2240" t="str">
        <f>IF(Table1[[#This Row],[TIPO2]]="costo", VLOOKUP(Table1[[#This Row],[PARTIDA PRESUPUESTAL]],'Cost Report'!G:G,1,0),"Balance")</f>
        <v>1403-011</v>
      </c>
      <c r="AC2240" s="118"/>
      <c r="AD2240" s="159">
        <f>+Table1[[#This Row],[SUBTOTAL]]+Table1[[#This Row],[IVA]]-Table1[[#This Row],[RET IVA]]-Table1[[#This Row],[RET ISR]]-Table1[[#This Row],[TOTAL]]</f>
        <v>0</v>
      </c>
      <c r="AE2240" s="150"/>
      <c r="AF2240" s="151"/>
      <c r="AG2240" s="126"/>
      <c r="AH2240" s="120">
        <f>+Table1[[#This Row],[CONCEPTO]]+Table1[[#This Row],[SUBTOTAL]]</f>
        <v>5980.84</v>
      </c>
      <c r="AK2240" s="306" t="str">
        <f>IF(ISNUMBER(Table1[[#This Row],[FECHA DE RECIBIDO]]), Table1[[#This Row],[FECHA DE RECIBIDO]]-DATE(2023,8,30), "")</f>
        <v/>
      </c>
    </row>
    <row r="2241" spans="1:37" ht="16.95" customHeight="1">
      <c r="A2241" s="152"/>
      <c r="B2241" s="153"/>
      <c r="C2241" s="126" t="s">
        <v>2219</v>
      </c>
      <c r="D2241">
        <v>1496</v>
      </c>
      <c r="E2241" s="126" t="s">
        <v>3354</v>
      </c>
      <c r="F2241" s="125" t="s">
        <v>1371</v>
      </c>
      <c r="G2241" s="125" t="s">
        <v>2065</v>
      </c>
      <c r="H2241">
        <v>454</v>
      </c>
      <c r="I2241" s="125" t="s">
        <v>1546</v>
      </c>
      <c r="J2241" s="308" t="s">
        <v>214</v>
      </c>
      <c r="K2241" s="127" t="s">
        <v>3797</v>
      </c>
      <c r="L2241" s="153" t="s">
        <v>3306</v>
      </c>
      <c r="M2241">
        <v>630</v>
      </c>
      <c r="N2241" s="123">
        <v>1</v>
      </c>
      <c r="O2241">
        <v>1480</v>
      </c>
      <c r="P2241" s="132" t="s">
        <v>77</v>
      </c>
      <c r="Q2241" s="132">
        <v>1711.01</v>
      </c>
      <c r="R2241" s="132">
        <v>388.38159999999999</v>
      </c>
      <c r="S2241" s="132"/>
      <c r="T2241" s="156">
        <v>0</v>
      </c>
      <c r="U2241" s="132">
        <v>0</v>
      </c>
      <c r="V2241" s="132">
        <f t="shared" si="52"/>
        <v>2099.3915999999999</v>
      </c>
      <c r="W2241">
        <v>242</v>
      </c>
      <c r="X2241" s="153" t="s">
        <v>2035</v>
      </c>
      <c r="Y2241" s="124" t="s">
        <v>55</v>
      </c>
      <c r="Z2241" s="308">
        <v>233</v>
      </c>
      <c r="AB2241" t="str">
        <f>IF(Table1[[#This Row],[TIPO2]]="costo", VLOOKUP(Table1[[#This Row],[PARTIDA PRESUPUESTAL]],'Cost Report'!G:G,1,0),"Balance")</f>
        <v>1406-004</v>
      </c>
      <c r="AC2241" s="118"/>
      <c r="AD2241" s="159">
        <f>+Table1[[#This Row],[SUBTOTAL]]+Table1[[#This Row],[IVA]]-Table1[[#This Row],[RET IVA]]-Table1[[#This Row],[RET ISR]]-Table1[[#This Row],[TOTAL]]</f>
        <v>0</v>
      </c>
      <c r="AE2241" s="152"/>
      <c r="AF2241" s="153"/>
      <c r="AG2241" s="126"/>
      <c r="AH2241" s="120">
        <f>+Table1[[#This Row],[CONCEPTO]]+Table1[[#This Row],[SUBTOTAL]]</f>
        <v>3191.01</v>
      </c>
      <c r="AK2241" s="306" t="str">
        <f>IF(ISNUMBER(Table1[[#This Row],[FECHA DE RECIBIDO]]), Table1[[#This Row],[FECHA DE RECIBIDO]]-DATE(2023,8,30), "")</f>
        <v/>
      </c>
    </row>
    <row r="2242" spans="1:37" ht="16.95" customHeight="1">
      <c r="A2242" s="150"/>
      <c r="B2242" s="151"/>
      <c r="C2242" s="126" t="s">
        <v>2220</v>
      </c>
      <c r="D2242">
        <v>1496</v>
      </c>
      <c r="E2242" s="126" t="s">
        <v>3354</v>
      </c>
      <c r="F2242" s="122" t="s">
        <v>1371</v>
      </c>
      <c r="G2242" s="122" t="s">
        <v>2065</v>
      </c>
      <c r="H2242">
        <v>454</v>
      </c>
      <c r="I2242" s="122" t="s">
        <v>1546</v>
      </c>
      <c r="J2242" s="307" t="s">
        <v>214</v>
      </c>
      <c r="K2242" s="127" t="s">
        <v>3797</v>
      </c>
      <c r="L2242" s="151" t="s">
        <v>3306</v>
      </c>
      <c r="M2242">
        <v>630</v>
      </c>
      <c r="N2242" s="123">
        <v>1</v>
      </c>
      <c r="O2242">
        <v>1480</v>
      </c>
      <c r="P2242" s="132" t="s">
        <v>77</v>
      </c>
      <c r="Q2242" s="131">
        <v>10266.059999999998</v>
      </c>
      <c r="R2242" s="131">
        <v>3125.9976000000001</v>
      </c>
      <c r="S2242" s="131"/>
      <c r="T2242" s="155">
        <v>0</v>
      </c>
      <c r="U2242" s="131">
        <v>0</v>
      </c>
      <c r="V2242" s="131">
        <f t="shared" si="52"/>
        <v>13392.057599999998</v>
      </c>
      <c r="W2242">
        <v>242</v>
      </c>
      <c r="X2242" s="151" t="s">
        <v>2035</v>
      </c>
      <c r="Y2242" s="135" t="s">
        <v>55</v>
      </c>
      <c r="Z2242" s="307">
        <v>233</v>
      </c>
      <c r="AB2242" t="str">
        <f>IF(Table1[[#This Row],[TIPO2]]="costo", VLOOKUP(Table1[[#This Row],[PARTIDA PRESUPUESTAL]],'Cost Report'!G:G,1,0),"Balance")</f>
        <v>1406-005</v>
      </c>
      <c r="AC2242" s="118"/>
      <c r="AD2242" s="159">
        <f>+Table1[[#This Row],[SUBTOTAL]]+Table1[[#This Row],[IVA]]-Table1[[#This Row],[RET IVA]]-Table1[[#This Row],[RET ISR]]-Table1[[#This Row],[TOTAL]]</f>
        <v>0</v>
      </c>
      <c r="AE2242" s="150"/>
      <c r="AF2242" s="151"/>
      <c r="AG2242" s="126"/>
      <c r="AH2242" s="120">
        <f>+Table1[[#This Row],[CONCEPTO]]+Table1[[#This Row],[SUBTOTAL]]</f>
        <v>11746.059999999998</v>
      </c>
      <c r="AK2242" s="306" t="str">
        <f>IF(ISNUMBER(Table1[[#This Row],[FECHA DE RECIBIDO]]), Table1[[#This Row],[FECHA DE RECIBIDO]]-DATE(2023,8,30), "")</f>
        <v/>
      </c>
    </row>
    <row r="2243" spans="1:37" ht="16.95" customHeight="1">
      <c r="A2243" s="152"/>
      <c r="B2243" s="153"/>
      <c r="C2243" s="126" t="s">
        <v>2221</v>
      </c>
      <c r="D2243">
        <v>1496</v>
      </c>
      <c r="E2243" s="126" t="s">
        <v>3354</v>
      </c>
      <c r="F2243" s="125" t="s">
        <v>1371</v>
      </c>
      <c r="G2243" s="125" t="s">
        <v>2065</v>
      </c>
      <c r="H2243">
        <v>454</v>
      </c>
      <c r="I2243" s="125" t="s">
        <v>1546</v>
      </c>
      <c r="J2243" s="308" t="s">
        <v>214</v>
      </c>
      <c r="K2243" s="127" t="s">
        <v>3797</v>
      </c>
      <c r="L2243" s="153" t="s">
        <v>3306</v>
      </c>
      <c r="M2243">
        <v>630</v>
      </c>
      <c r="N2243" s="123">
        <v>1</v>
      </c>
      <c r="O2243">
        <v>1480</v>
      </c>
      <c r="P2243" s="132" t="s">
        <v>77</v>
      </c>
      <c r="Q2243" s="132">
        <v>18548.129999999997</v>
      </c>
      <c r="R2243" s="132">
        <v>3472.7336</v>
      </c>
      <c r="S2243" s="132"/>
      <c r="T2243" s="156">
        <v>0</v>
      </c>
      <c r="U2243" s="132">
        <v>0</v>
      </c>
      <c r="V2243" s="132">
        <f t="shared" si="52"/>
        <v>22020.863599999997</v>
      </c>
      <c r="W2243">
        <v>242</v>
      </c>
      <c r="X2243" s="153" t="s">
        <v>2035</v>
      </c>
      <c r="Y2243" s="124" t="s">
        <v>55</v>
      </c>
      <c r="Z2243" s="308">
        <v>233</v>
      </c>
      <c r="AB2243" t="str">
        <f>IF(Table1[[#This Row],[TIPO2]]="costo", VLOOKUP(Table1[[#This Row],[PARTIDA PRESUPUESTAL]],'Cost Report'!G:G,1,0),"Balance")</f>
        <v>1406-006</v>
      </c>
      <c r="AC2243" s="118"/>
      <c r="AD2243" s="159">
        <f>+Table1[[#This Row],[SUBTOTAL]]+Table1[[#This Row],[IVA]]-Table1[[#This Row],[RET IVA]]-Table1[[#This Row],[RET ISR]]-Table1[[#This Row],[TOTAL]]</f>
        <v>0</v>
      </c>
      <c r="AE2243" s="152"/>
      <c r="AF2243" s="153"/>
      <c r="AG2243" s="126"/>
      <c r="AH2243" s="120">
        <f>+Table1[[#This Row],[CONCEPTO]]+Table1[[#This Row],[SUBTOTAL]]</f>
        <v>20028.129999999997</v>
      </c>
      <c r="AK2243" s="306" t="str">
        <f>IF(ISNUMBER(Table1[[#This Row],[FECHA DE RECIBIDO]]), Table1[[#This Row],[FECHA DE RECIBIDO]]-DATE(2023,8,30), "")</f>
        <v/>
      </c>
    </row>
    <row r="2244" spans="1:37" ht="16.95" customHeight="1">
      <c r="A2244" s="150"/>
      <c r="B2244" s="151"/>
      <c r="C2244" s="126" t="s">
        <v>369</v>
      </c>
      <c r="D2244">
        <v>1496</v>
      </c>
      <c r="E2244" s="126" t="s">
        <v>3354</v>
      </c>
      <c r="F2244" s="122" t="s">
        <v>1371</v>
      </c>
      <c r="G2244" s="122" t="s">
        <v>2065</v>
      </c>
      <c r="H2244">
        <v>454</v>
      </c>
      <c r="I2244" s="122" t="s">
        <v>1546</v>
      </c>
      <c r="J2244" s="307" t="s">
        <v>214</v>
      </c>
      <c r="K2244" s="127" t="s">
        <v>3797</v>
      </c>
      <c r="L2244" s="151" t="s">
        <v>3306</v>
      </c>
      <c r="M2244">
        <v>630</v>
      </c>
      <c r="N2244" s="123">
        <v>1</v>
      </c>
      <c r="O2244">
        <v>1480</v>
      </c>
      <c r="P2244" s="132" t="s">
        <v>77</v>
      </c>
      <c r="Q2244" s="131">
        <v>14721.36</v>
      </c>
      <c r="R2244" s="131">
        <v>4825.4552000000003</v>
      </c>
      <c r="S2244" s="131"/>
      <c r="T2244" s="155">
        <v>0</v>
      </c>
      <c r="U2244" s="131">
        <v>0</v>
      </c>
      <c r="V2244" s="131">
        <f t="shared" si="52"/>
        <v>19546.815200000001</v>
      </c>
      <c r="W2244">
        <v>242</v>
      </c>
      <c r="X2244" s="151" t="s">
        <v>2035</v>
      </c>
      <c r="Y2244" s="135" t="s">
        <v>55</v>
      </c>
      <c r="Z2244" s="307">
        <v>233</v>
      </c>
      <c r="AB2244" t="str">
        <f>IF(Table1[[#This Row],[TIPO2]]="costo", VLOOKUP(Table1[[#This Row],[PARTIDA PRESUPUESTAL]],'Cost Report'!G:G,1,0),"Balance")</f>
        <v>1410-009</v>
      </c>
      <c r="AC2244" s="118"/>
      <c r="AD2244" s="159">
        <f>+Table1[[#This Row],[SUBTOTAL]]+Table1[[#This Row],[IVA]]-Table1[[#This Row],[RET IVA]]-Table1[[#This Row],[RET ISR]]-Table1[[#This Row],[TOTAL]]</f>
        <v>0</v>
      </c>
      <c r="AE2244" s="150"/>
      <c r="AF2244" s="151"/>
      <c r="AG2244" s="126"/>
      <c r="AH2244" s="120">
        <f>+Table1[[#This Row],[CONCEPTO]]+Table1[[#This Row],[SUBTOTAL]]</f>
        <v>16201.36</v>
      </c>
      <c r="AK2244" s="306" t="str">
        <f>IF(ISNUMBER(Table1[[#This Row],[FECHA DE RECIBIDO]]), Table1[[#This Row],[FECHA DE RECIBIDO]]-DATE(2023,8,30), "")</f>
        <v/>
      </c>
    </row>
    <row r="2245" spans="1:37" ht="16.95" customHeight="1">
      <c r="A2245" s="152"/>
      <c r="B2245" s="153"/>
      <c r="C2245" s="126" t="s">
        <v>370</v>
      </c>
      <c r="D2245">
        <v>1496</v>
      </c>
      <c r="E2245" s="126" t="s">
        <v>3354</v>
      </c>
      <c r="F2245" s="125" t="s">
        <v>1371</v>
      </c>
      <c r="G2245" s="125" t="s">
        <v>2065</v>
      </c>
      <c r="H2245">
        <v>454</v>
      </c>
      <c r="I2245" s="125" t="s">
        <v>1546</v>
      </c>
      <c r="J2245" s="308" t="s">
        <v>214</v>
      </c>
      <c r="K2245" s="127" t="s">
        <v>3797</v>
      </c>
      <c r="L2245" s="153" t="s">
        <v>3306</v>
      </c>
      <c r="M2245">
        <v>630</v>
      </c>
      <c r="N2245" s="123">
        <v>1</v>
      </c>
      <c r="O2245">
        <v>1480</v>
      </c>
      <c r="P2245" s="132" t="s">
        <v>77</v>
      </c>
      <c r="Q2245" s="132">
        <v>4500.84</v>
      </c>
      <c r="R2245" s="132">
        <v>834.75440000000003</v>
      </c>
      <c r="S2245" s="132"/>
      <c r="T2245" s="156">
        <v>0</v>
      </c>
      <c r="U2245" s="132">
        <v>0</v>
      </c>
      <c r="V2245" s="132">
        <f t="shared" si="52"/>
        <v>5335.5944</v>
      </c>
      <c r="W2245">
        <v>242</v>
      </c>
      <c r="X2245" s="153" t="s">
        <v>2035</v>
      </c>
      <c r="Y2245" s="124" t="s">
        <v>55</v>
      </c>
      <c r="Z2245" s="308">
        <v>233</v>
      </c>
      <c r="AB2245" t="str">
        <f>IF(Table1[[#This Row],[TIPO2]]="costo", VLOOKUP(Table1[[#This Row],[PARTIDA PRESUPUESTAL]],'Cost Report'!G:G,1,0),"Balance")</f>
        <v>1410-010</v>
      </c>
      <c r="AC2245" s="118"/>
      <c r="AD2245" s="159">
        <f>+Table1[[#This Row],[SUBTOTAL]]+Table1[[#This Row],[IVA]]-Table1[[#This Row],[RET IVA]]-Table1[[#This Row],[RET ISR]]-Table1[[#This Row],[TOTAL]]</f>
        <v>0</v>
      </c>
      <c r="AE2245" s="152"/>
      <c r="AF2245" s="153"/>
      <c r="AG2245" s="126"/>
      <c r="AH2245" s="120">
        <f>+Table1[[#This Row],[CONCEPTO]]+Table1[[#This Row],[SUBTOTAL]]</f>
        <v>5980.84</v>
      </c>
      <c r="AK2245" s="306" t="str">
        <f>IF(ISNUMBER(Table1[[#This Row],[FECHA DE RECIBIDO]]), Table1[[#This Row],[FECHA DE RECIBIDO]]-DATE(2023,8,30), "")</f>
        <v/>
      </c>
    </row>
    <row r="2246" spans="1:37" ht="16.95" customHeight="1">
      <c r="A2246" s="150"/>
      <c r="B2246" s="151"/>
      <c r="C2246" s="126" t="s">
        <v>371</v>
      </c>
      <c r="D2246">
        <v>1496</v>
      </c>
      <c r="E2246" s="126" t="s">
        <v>3354</v>
      </c>
      <c r="F2246" s="122" t="s">
        <v>1371</v>
      </c>
      <c r="G2246" s="122" t="s">
        <v>2065</v>
      </c>
      <c r="H2246">
        <v>454</v>
      </c>
      <c r="I2246" s="122" t="s">
        <v>1546</v>
      </c>
      <c r="J2246" s="307" t="s">
        <v>214</v>
      </c>
      <c r="K2246" s="127" t="s">
        <v>3797</v>
      </c>
      <c r="L2246" s="151" t="s">
        <v>3306</v>
      </c>
      <c r="M2246">
        <v>630</v>
      </c>
      <c r="N2246" s="123">
        <v>1</v>
      </c>
      <c r="O2246">
        <v>1480</v>
      </c>
      <c r="P2246" s="132" t="s">
        <v>77</v>
      </c>
      <c r="Q2246" s="131">
        <v>14536.73</v>
      </c>
      <c r="R2246" s="131">
        <v>2440.4967999999999</v>
      </c>
      <c r="S2246" s="131"/>
      <c r="T2246" s="155">
        <v>0</v>
      </c>
      <c r="U2246" s="131">
        <v>0</v>
      </c>
      <c r="V2246" s="131">
        <f t="shared" si="52"/>
        <v>16977.2268</v>
      </c>
      <c r="W2246">
        <v>242</v>
      </c>
      <c r="X2246" s="151" t="s">
        <v>2035</v>
      </c>
      <c r="Y2246" s="135" t="s">
        <v>55</v>
      </c>
      <c r="Z2246" s="307">
        <v>233</v>
      </c>
      <c r="AB2246" t="str">
        <f>IF(Table1[[#This Row],[TIPO2]]="costo", VLOOKUP(Table1[[#This Row],[PARTIDA PRESUPUESTAL]],'Cost Report'!G:G,1,0),"Balance")</f>
        <v>1410-011</v>
      </c>
      <c r="AC2246" s="118"/>
      <c r="AD2246" s="159">
        <f>+Table1[[#This Row],[SUBTOTAL]]+Table1[[#This Row],[IVA]]-Table1[[#This Row],[RET IVA]]-Table1[[#This Row],[RET ISR]]-Table1[[#This Row],[TOTAL]]</f>
        <v>0</v>
      </c>
      <c r="AE2246" s="150"/>
      <c r="AF2246" s="151"/>
      <c r="AG2246" s="126"/>
      <c r="AH2246" s="120">
        <f>+Table1[[#This Row],[CONCEPTO]]+Table1[[#This Row],[SUBTOTAL]]</f>
        <v>16016.73</v>
      </c>
      <c r="AK2246" s="306" t="str">
        <f>IF(ISNUMBER(Table1[[#This Row],[FECHA DE RECIBIDO]]), Table1[[#This Row],[FECHA DE RECIBIDO]]-DATE(2023,8,30), "")</f>
        <v/>
      </c>
    </row>
    <row r="2247" spans="1:37" ht="16.95" customHeight="1">
      <c r="A2247" s="152"/>
      <c r="B2247" s="153"/>
      <c r="C2247" s="126" t="s">
        <v>2230</v>
      </c>
      <c r="D2247">
        <v>1496</v>
      </c>
      <c r="E2247" s="126" t="s">
        <v>3354</v>
      </c>
      <c r="F2247" s="125" t="s">
        <v>1371</v>
      </c>
      <c r="G2247" s="125" t="s">
        <v>2065</v>
      </c>
      <c r="H2247">
        <v>454</v>
      </c>
      <c r="I2247" s="125" t="s">
        <v>1546</v>
      </c>
      <c r="J2247" s="308" t="s">
        <v>214</v>
      </c>
      <c r="K2247" s="127" t="s">
        <v>3797</v>
      </c>
      <c r="L2247" s="153" t="s">
        <v>3306</v>
      </c>
      <c r="M2247">
        <v>630</v>
      </c>
      <c r="N2247" s="123">
        <v>1</v>
      </c>
      <c r="O2247">
        <v>1480</v>
      </c>
      <c r="P2247" s="132" t="s">
        <v>77</v>
      </c>
      <c r="Q2247" s="132">
        <v>14721.36</v>
      </c>
      <c r="R2247" s="132">
        <v>2470.0376000000001</v>
      </c>
      <c r="S2247" s="132"/>
      <c r="T2247" s="156">
        <v>0</v>
      </c>
      <c r="U2247" s="132">
        <v>0</v>
      </c>
      <c r="V2247" s="132">
        <f t="shared" si="52"/>
        <v>17191.3976</v>
      </c>
      <c r="W2247">
        <v>242</v>
      </c>
      <c r="X2247" s="153" t="s">
        <v>2035</v>
      </c>
      <c r="Y2247" s="124" t="s">
        <v>55</v>
      </c>
      <c r="Z2247" s="308">
        <v>233</v>
      </c>
      <c r="AB2247" t="str">
        <f>IF(Table1[[#This Row],[TIPO2]]="costo", VLOOKUP(Table1[[#This Row],[PARTIDA PRESUPUESTAL]],'Cost Report'!G:G,1,0),"Balance")</f>
        <v>1410-022</v>
      </c>
      <c r="AC2247" s="118"/>
      <c r="AD2247" s="159">
        <f>+Table1[[#This Row],[SUBTOTAL]]+Table1[[#This Row],[IVA]]-Table1[[#This Row],[RET IVA]]-Table1[[#This Row],[RET ISR]]-Table1[[#This Row],[TOTAL]]</f>
        <v>0</v>
      </c>
      <c r="AE2247" s="152"/>
      <c r="AF2247" s="153"/>
      <c r="AG2247" s="126"/>
      <c r="AH2247" s="120">
        <f>+Table1[[#This Row],[CONCEPTO]]+Table1[[#This Row],[SUBTOTAL]]</f>
        <v>16201.36</v>
      </c>
      <c r="AK2247" s="306" t="str">
        <f>IF(ISNUMBER(Table1[[#This Row],[FECHA DE RECIBIDO]]), Table1[[#This Row],[FECHA DE RECIBIDO]]-DATE(2023,8,30), "")</f>
        <v/>
      </c>
    </row>
    <row r="2248" spans="1:37" ht="16.95" customHeight="1">
      <c r="A2248" s="150"/>
      <c r="B2248" s="151"/>
      <c r="C2248" s="126" t="s">
        <v>2231</v>
      </c>
      <c r="D2248">
        <v>1496</v>
      </c>
      <c r="E2248" s="126" t="s">
        <v>3354</v>
      </c>
      <c r="F2248" s="122" t="s">
        <v>1371</v>
      </c>
      <c r="G2248" s="122" t="s">
        <v>2065</v>
      </c>
      <c r="H2248">
        <v>454</v>
      </c>
      <c r="I2248" s="122" t="s">
        <v>1546</v>
      </c>
      <c r="J2248" s="307" t="s">
        <v>214</v>
      </c>
      <c r="K2248" s="127" t="s">
        <v>3797</v>
      </c>
      <c r="L2248" s="151" t="s">
        <v>3306</v>
      </c>
      <c r="M2248">
        <v>630</v>
      </c>
      <c r="N2248" s="123">
        <v>1</v>
      </c>
      <c r="O2248">
        <v>1480</v>
      </c>
      <c r="P2248" s="132" t="s">
        <v>77</v>
      </c>
      <c r="Q2248" s="131">
        <v>4500.84</v>
      </c>
      <c r="R2248" s="131">
        <v>834.75440000000003</v>
      </c>
      <c r="S2248" s="131"/>
      <c r="T2248" s="155">
        <v>0</v>
      </c>
      <c r="U2248" s="131">
        <v>0</v>
      </c>
      <c r="V2248" s="131">
        <f t="shared" si="52"/>
        <v>5335.5944</v>
      </c>
      <c r="W2248">
        <v>242</v>
      </c>
      <c r="X2248" s="151" t="s">
        <v>2035</v>
      </c>
      <c r="Y2248" s="135" t="s">
        <v>55</v>
      </c>
      <c r="Z2248" s="307">
        <v>233</v>
      </c>
      <c r="AB2248" t="str">
        <f>IF(Table1[[#This Row],[TIPO2]]="costo", VLOOKUP(Table1[[#This Row],[PARTIDA PRESUPUESTAL]],'Cost Report'!G:G,1,0),"Balance")</f>
        <v>1410-023</v>
      </c>
      <c r="AC2248" s="118"/>
      <c r="AD2248" s="159">
        <f>+Table1[[#This Row],[SUBTOTAL]]+Table1[[#This Row],[IVA]]-Table1[[#This Row],[RET IVA]]-Table1[[#This Row],[RET ISR]]-Table1[[#This Row],[TOTAL]]</f>
        <v>0</v>
      </c>
      <c r="AE2248" s="150"/>
      <c r="AF2248" s="151"/>
      <c r="AG2248" s="126"/>
      <c r="AH2248" s="120">
        <f>+Table1[[#This Row],[CONCEPTO]]+Table1[[#This Row],[SUBTOTAL]]</f>
        <v>5980.84</v>
      </c>
      <c r="AK2248" s="306" t="str">
        <f>IF(ISNUMBER(Table1[[#This Row],[FECHA DE RECIBIDO]]), Table1[[#This Row],[FECHA DE RECIBIDO]]-DATE(2023,8,30), "")</f>
        <v/>
      </c>
    </row>
    <row r="2249" spans="1:37" ht="16.95" customHeight="1">
      <c r="A2249" s="152"/>
      <c r="B2249" s="153"/>
      <c r="C2249" s="126" t="s">
        <v>2232</v>
      </c>
      <c r="D2249">
        <v>1496</v>
      </c>
      <c r="E2249" s="126" t="s">
        <v>3354</v>
      </c>
      <c r="F2249" s="125" t="s">
        <v>1371</v>
      </c>
      <c r="G2249" s="125" t="s">
        <v>2065</v>
      </c>
      <c r="H2249">
        <v>454</v>
      </c>
      <c r="I2249" s="125" t="s">
        <v>1546</v>
      </c>
      <c r="J2249" s="308" t="s">
        <v>214</v>
      </c>
      <c r="K2249" s="127" t="s">
        <v>3797</v>
      </c>
      <c r="L2249" s="153" t="s">
        <v>3306</v>
      </c>
      <c r="M2249">
        <v>630</v>
      </c>
      <c r="N2249" s="123">
        <v>1</v>
      </c>
      <c r="O2249">
        <v>1480</v>
      </c>
      <c r="P2249" s="132" t="s">
        <v>77</v>
      </c>
      <c r="Q2249" s="132">
        <v>14536.73</v>
      </c>
      <c r="R2249" s="132">
        <v>2440.4967999999999</v>
      </c>
      <c r="S2249" s="132"/>
      <c r="T2249" s="156">
        <v>0</v>
      </c>
      <c r="U2249" s="132">
        <v>0</v>
      </c>
      <c r="V2249" s="132">
        <f t="shared" si="52"/>
        <v>16977.2268</v>
      </c>
      <c r="W2249">
        <v>242</v>
      </c>
      <c r="X2249" s="153" t="s">
        <v>2035</v>
      </c>
      <c r="Y2249" s="124" t="s">
        <v>55</v>
      </c>
      <c r="Z2249" s="308">
        <v>233</v>
      </c>
      <c r="AB2249" t="str">
        <f>IF(Table1[[#This Row],[TIPO2]]="costo", VLOOKUP(Table1[[#This Row],[PARTIDA PRESUPUESTAL]],'Cost Report'!G:G,1,0),"Balance")</f>
        <v>1410-024</v>
      </c>
      <c r="AC2249" s="118"/>
      <c r="AD2249" s="159">
        <f>+Table1[[#This Row],[SUBTOTAL]]+Table1[[#This Row],[IVA]]-Table1[[#This Row],[RET IVA]]-Table1[[#This Row],[RET ISR]]-Table1[[#This Row],[TOTAL]]</f>
        <v>0</v>
      </c>
      <c r="AE2249" s="152"/>
      <c r="AF2249" s="153"/>
      <c r="AG2249" s="126"/>
      <c r="AH2249" s="120">
        <f>+Table1[[#This Row],[CONCEPTO]]+Table1[[#This Row],[SUBTOTAL]]</f>
        <v>16016.73</v>
      </c>
      <c r="AK2249" s="306" t="str">
        <f>IF(ISNUMBER(Table1[[#This Row],[FECHA DE RECIBIDO]]), Table1[[#This Row],[FECHA DE RECIBIDO]]-DATE(2023,8,30), "")</f>
        <v/>
      </c>
    </row>
    <row r="2250" spans="1:37" ht="16.95" customHeight="1">
      <c r="A2250" s="150"/>
      <c r="B2250" s="151"/>
      <c r="C2250" s="126" t="s">
        <v>2247</v>
      </c>
      <c r="D2250">
        <v>1496</v>
      </c>
      <c r="E2250" s="126" t="s">
        <v>3354</v>
      </c>
      <c r="F2250" s="122" t="s">
        <v>1371</v>
      </c>
      <c r="G2250" s="122" t="s">
        <v>2065</v>
      </c>
      <c r="H2250">
        <v>454</v>
      </c>
      <c r="I2250" s="122" t="s">
        <v>1546</v>
      </c>
      <c r="J2250" s="307" t="s">
        <v>214</v>
      </c>
      <c r="K2250" s="127" t="s">
        <v>3797</v>
      </c>
      <c r="L2250" s="151" t="s">
        <v>3306</v>
      </c>
      <c r="M2250">
        <v>630</v>
      </c>
      <c r="N2250" s="123">
        <v>1</v>
      </c>
      <c r="O2250">
        <v>1480</v>
      </c>
      <c r="P2250" s="132" t="s">
        <v>77</v>
      </c>
      <c r="Q2250" s="131">
        <v>14721.36</v>
      </c>
      <c r="R2250" s="131">
        <v>4236.6008000000002</v>
      </c>
      <c r="S2250" s="131"/>
      <c r="T2250" s="155">
        <v>0</v>
      </c>
      <c r="U2250" s="131">
        <v>0</v>
      </c>
      <c r="V2250" s="131">
        <f t="shared" si="52"/>
        <v>18957.960800000001</v>
      </c>
      <c r="W2250">
        <v>242</v>
      </c>
      <c r="X2250" s="151" t="s">
        <v>2035</v>
      </c>
      <c r="Y2250" s="135" t="s">
        <v>55</v>
      </c>
      <c r="Z2250" s="307">
        <v>233</v>
      </c>
      <c r="AB2250" t="str">
        <f>IF(Table1[[#This Row],[TIPO2]]="costo", VLOOKUP(Table1[[#This Row],[PARTIDA PRESUPUESTAL]],'Cost Report'!G:G,1,0),"Balance")</f>
        <v>1411-026</v>
      </c>
      <c r="AC2250" s="118"/>
      <c r="AD2250" s="159">
        <f>+Table1[[#This Row],[SUBTOTAL]]+Table1[[#This Row],[IVA]]-Table1[[#This Row],[RET IVA]]-Table1[[#This Row],[RET ISR]]-Table1[[#This Row],[TOTAL]]</f>
        <v>0</v>
      </c>
      <c r="AE2250" s="150"/>
      <c r="AF2250" s="151"/>
      <c r="AG2250" s="126"/>
      <c r="AH2250" s="120">
        <f>+Table1[[#This Row],[CONCEPTO]]+Table1[[#This Row],[SUBTOTAL]]</f>
        <v>16201.36</v>
      </c>
      <c r="AK2250" s="306" t="str">
        <f>IF(ISNUMBER(Table1[[#This Row],[FECHA DE RECIBIDO]]), Table1[[#This Row],[FECHA DE RECIBIDO]]-DATE(2023,8,30), "")</f>
        <v/>
      </c>
    </row>
    <row r="2251" spans="1:37" ht="16.95" customHeight="1">
      <c r="A2251" s="152"/>
      <c r="B2251" s="153"/>
      <c r="C2251" s="126" t="s">
        <v>2248</v>
      </c>
      <c r="D2251">
        <v>1496</v>
      </c>
      <c r="E2251" s="126" t="s">
        <v>3354</v>
      </c>
      <c r="F2251" s="125" t="s">
        <v>1371</v>
      </c>
      <c r="G2251" s="125" t="s">
        <v>2065</v>
      </c>
      <c r="H2251">
        <v>454</v>
      </c>
      <c r="I2251" s="125" t="s">
        <v>1546</v>
      </c>
      <c r="J2251" s="308" t="s">
        <v>214</v>
      </c>
      <c r="K2251" s="127" t="s">
        <v>3797</v>
      </c>
      <c r="L2251" s="153" t="s">
        <v>3306</v>
      </c>
      <c r="M2251">
        <v>630</v>
      </c>
      <c r="N2251" s="123">
        <v>1</v>
      </c>
      <c r="O2251">
        <v>1480</v>
      </c>
      <c r="P2251" s="132" t="s">
        <v>77</v>
      </c>
      <c r="Q2251" s="132">
        <v>9846</v>
      </c>
      <c r="R2251" s="132">
        <v>1689.98</v>
      </c>
      <c r="S2251" s="132"/>
      <c r="T2251" s="156">
        <v>0</v>
      </c>
      <c r="U2251" s="132">
        <v>0</v>
      </c>
      <c r="V2251" s="132">
        <f t="shared" si="52"/>
        <v>11535.98</v>
      </c>
      <c r="W2251">
        <v>242</v>
      </c>
      <c r="X2251" s="153" t="s">
        <v>2035</v>
      </c>
      <c r="Y2251" s="124" t="s">
        <v>55</v>
      </c>
      <c r="Z2251" s="308">
        <v>233</v>
      </c>
      <c r="AB2251" t="str">
        <f>IF(Table1[[#This Row],[TIPO2]]="costo", VLOOKUP(Table1[[#This Row],[PARTIDA PRESUPUESTAL]],'Cost Report'!G:G,1,0),"Balance")</f>
        <v>1411-027</v>
      </c>
      <c r="AC2251" s="118"/>
      <c r="AD2251" s="159">
        <f>+Table1[[#This Row],[SUBTOTAL]]+Table1[[#This Row],[IVA]]-Table1[[#This Row],[RET IVA]]-Table1[[#This Row],[RET ISR]]-Table1[[#This Row],[TOTAL]]</f>
        <v>0</v>
      </c>
      <c r="AE2251" s="152"/>
      <c r="AF2251" s="153"/>
      <c r="AG2251" s="126"/>
      <c r="AH2251" s="120">
        <f>+Table1[[#This Row],[CONCEPTO]]+Table1[[#This Row],[SUBTOTAL]]</f>
        <v>11326</v>
      </c>
      <c r="AK2251" s="306" t="str">
        <f>IF(ISNUMBER(Table1[[#This Row],[FECHA DE RECIBIDO]]), Table1[[#This Row],[FECHA DE RECIBIDO]]-DATE(2023,8,30), "")</f>
        <v/>
      </c>
    </row>
    <row r="2252" spans="1:37" ht="16.95" customHeight="1">
      <c r="A2252" s="150"/>
      <c r="B2252" s="151"/>
      <c r="C2252" s="126" t="s">
        <v>1416</v>
      </c>
      <c r="D2252">
        <v>1496</v>
      </c>
      <c r="E2252" s="126" t="s">
        <v>3354</v>
      </c>
      <c r="F2252" s="122" t="s">
        <v>1371</v>
      </c>
      <c r="G2252" s="122" t="s">
        <v>2065</v>
      </c>
      <c r="H2252">
        <v>454</v>
      </c>
      <c r="I2252" s="122" t="s">
        <v>1546</v>
      </c>
      <c r="J2252" s="307" t="s">
        <v>214</v>
      </c>
      <c r="K2252" s="127" t="s">
        <v>3797</v>
      </c>
      <c r="L2252" s="151" t="s">
        <v>3306</v>
      </c>
      <c r="M2252">
        <v>630</v>
      </c>
      <c r="N2252" s="123">
        <v>1</v>
      </c>
      <c r="O2252">
        <v>1480</v>
      </c>
      <c r="P2252" s="132" t="s">
        <v>77</v>
      </c>
      <c r="Q2252" s="131">
        <v>153097.06</v>
      </c>
      <c r="R2252" s="131">
        <v>0</v>
      </c>
      <c r="S2252" s="131"/>
      <c r="T2252" s="155">
        <v>0</v>
      </c>
      <c r="U2252" s="131">
        <v>0</v>
      </c>
      <c r="V2252" s="131">
        <f t="shared" si="52"/>
        <v>153097.06</v>
      </c>
      <c r="W2252">
        <v>242</v>
      </c>
      <c r="X2252" s="151" t="s">
        <v>2035</v>
      </c>
      <c r="Y2252" s="135" t="s">
        <v>55</v>
      </c>
      <c r="Z2252" s="307">
        <v>233</v>
      </c>
      <c r="AB2252" t="str">
        <f>IF(Table1[[#This Row],[TIPO2]]="costo", VLOOKUP(Table1[[#This Row],[PARTIDA PRESUPUESTAL]],'Cost Report'!G:G,1,0),"Balance")</f>
        <v>1499-001</v>
      </c>
      <c r="AC2252" s="118"/>
      <c r="AD2252" s="159">
        <f>+Table1[[#This Row],[SUBTOTAL]]+Table1[[#This Row],[IVA]]-Table1[[#This Row],[RET IVA]]-Table1[[#This Row],[RET ISR]]-Table1[[#This Row],[TOTAL]]</f>
        <v>0</v>
      </c>
      <c r="AE2252" s="150"/>
      <c r="AF2252" s="151"/>
      <c r="AG2252" s="126"/>
      <c r="AH2252" s="120">
        <f>+Table1[[#This Row],[CONCEPTO]]+Table1[[#This Row],[SUBTOTAL]]</f>
        <v>154577.06</v>
      </c>
      <c r="AK2252" s="306" t="str">
        <f>IF(ISNUMBER(Table1[[#This Row],[FECHA DE RECIBIDO]]), Table1[[#This Row],[FECHA DE RECIBIDO]]-DATE(2023,8,30), "")</f>
        <v/>
      </c>
    </row>
    <row r="2253" spans="1:37" ht="16.95" customHeight="1">
      <c r="A2253" s="152"/>
      <c r="B2253" s="153"/>
      <c r="C2253" s="126" t="s">
        <v>3002</v>
      </c>
      <c r="D2253">
        <v>1496</v>
      </c>
      <c r="E2253" s="126" t="s">
        <v>3354</v>
      </c>
      <c r="F2253" s="125" t="s">
        <v>1371</v>
      </c>
      <c r="G2253" s="125" t="s">
        <v>2065</v>
      </c>
      <c r="H2253">
        <v>454</v>
      </c>
      <c r="I2253" s="125" t="s">
        <v>1546</v>
      </c>
      <c r="J2253" s="308" t="s">
        <v>214</v>
      </c>
      <c r="K2253" s="127" t="s">
        <v>3797</v>
      </c>
      <c r="L2253" s="153" t="s">
        <v>3306</v>
      </c>
      <c r="M2253">
        <v>630</v>
      </c>
      <c r="N2253" s="123">
        <v>1</v>
      </c>
      <c r="O2253">
        <v>1480</v>
      </c>
      <c r="P2253" s="132" t="s">
        <v>77</v>
      </c>
      <c r="Q2253" s="132">
        <v>284107.60999999993</v>
      </c>
      <c r="R2253" s="132">
        <v>0</v>
      </c>
      <c r="S2253" s="132"/>
      <c r="T2253" s="156">
        <v>0</v>
      </c>
      <c r="U2253" s="132">
        <v>0</v>
      </c>
      <c r="V2253" s="132">
        <f t="shared" si="52"/>
        <v>284107.60999999993</v>
      </c>
      <c r="W2253">
        <v>242</v>
      </c>
      <c r="X2253" s="153" t="s">
        <v>2035</v>
      </c>
      <c r="Y2253" s="124" t="s">
        <v>55</v>
      </c>
      <c r="Z2253" s="308">
        <v>233</v>
      </c>
      <c r="AB2253" t="str">
        <f>IF(Table1[[#This Row],[TIPO2]]="costo", VLOOKUP(Table1[[#This Row],[PARTIDA PRESUPUESTAL]],'Cost Report'!G:G,1,0),"Balance")</f>
        <v>4180-003</v>
      </c>
      <c r="AC2253" s="118"/>
      <c r="AD2253" s="159">
        <f>+Table1[[#This Row],[SUBTOTAL]]+Table1[[#This Row],[IVA]]-Table1[[#This Row],[RET IVA]]-Table1[[#This Row],[RET ISR]]-Table1[[#This Row],[TOTAL]]</f>
        <v>0</v>
      </c>
      <c r="AE2253" s="152"/>
      <c r="AF2253" s="153"/>
      <c r="AG2253" s="126"/>
      <c r="AH2253" s="120"/>
      <c r="AK2253" s="306" t="str">
        <f>IF(ISNUMBER(Table1[[#This Row],[FECHA DE RECIBIDO]]), Table1[[#This Row],[FECHA DE RECIBIDO]]-DATE(2023,8,30), "")</f>
        <v/>
      </c>
    </row>
    <row r="2254" spans="1:37" ht="16.95" customHeight="1">
      <c r="A2254" s="150"/>
      <c r="B2254" s="151">
        <v>781</v>
      </c>
      <c r="C2254" s="126" t="s">
        <v>253</v>
      </c>
      <c r="D2254">
        <v>1497</v>
      </c>
      <c r="E2254" s="126" t="s">
        <v>3354</v>
      </c>
      <c r="F2254" s="122" t="s">
        <v>1371</v>
      </c>
      <c r="G2254" s="122" t="s">
        <v>2065</v>
      </c>
      <c r="H2254">
        <v>454</v>
      </c>
      <c r="I2254" s="122" t="s">
        <v>1546</v>
      </c>
      <c r="J2254" s="307" t="s">
        <v>214</v>
      </c>
      <c r="K2254" s="127" t="s">
        <v>3797</v>
      </c>
      <c r="L2254" s="151" t="s">
        <v>3306</v>
      </c>
      <c r="M2254">
        <v>630</v>
      </c>
      <c r="N2254" s="123">
        <v>1</v>
      </c>
      <c r="O2254">
        <v>1481</v>
      </c>
      <c r="P2254" s="132" t="s">
        <v>77</v>
      </c>
      <c r="Q2254" s="131">
        <v>14970.54</v>
      </c>
      <c r="R2254" s="131">
        <v>6191.0384000000004</v>
      </c>
      <c r="S2254" s="131"/>
      <c r="T2254" s="155">
        <v>0</v>
      </c>
      <c r="U2254" s="131">
        <v>0</v>
      </c>
      <c r="V2254" s="131">
        <f t="shared" si="52"/>
        <v>21161.578400000002</v>
      </c>
      <c r="W2254">
        <v>242</v>
      </c>
      <c r="X2254" s="151" t="s">
        <v>2035</v>
      </c>
      <c r="Y2254" s="135" t="s">
        <v>55</v>
      </c>
      <c r="Z2254" s="307">
        <v>233</v>
      </c>
      <c r="AB2254" t="str">
        <f>IF(Table1[[#This Row],[TIPO2]]="costo", VLOOKUP(Table1[[#This Row],[PARTIDA PRESUPUESTAL]],'Cost Report'!G:G,1,0),"Balance")</f>
        <v>1301-004</v>
      </c>
      <c r="AC2254" s="118"/>
      <c r="AD2254" s="159">
        <f>+Table1[[#This Row],[SUBTOTAL]]+Table1[[#This Row],[IVA]]-Table1[[#This Row],[RET IVA]]-Table1[[#This Row],[RET ISR]]-Table1[[#This Row],[TOTAL]]</f>
        <v>0</v>
      </c>
      <c r="AE2254" s="150"/>
      <c r="AF2254" s="151"/>
      <c r="AG2254" s="126"/>
      <c r="AH2254" s="120">
        <f>+Table1[[#This Row],[CONCEPTO]]+Table1[[#This Row],[SUBTOTAL]]</f>
        <v>16451.54</v>
      </c>
      <c r="AK2254" s="306" t="str">
        <f>IF(ISNUMBER(Table1[[#This Row],[FECHA DE RECIBIDO]]), Table1[[#This Row],[FECHA DE RECIBIDO]]-DATE(2023,8,30), "")</f>
        <v/>
      </c>
    </row>
    <row r="2255" spans="1:37" ht="16.95" customHeight="1">
      <c r="A2255" s="152"/>
      <c r="B2255" s="153"/>
      <c r="C2255" s="126" t="s">
        <v>254</v>
      </c>
      <c r="D2255">
        <v>1497</v>
      </c>
      <c r="E2255" s="126" t="s">
        <v>3354</v>
      </c>
      <c r="F2255" s="125" t="s">
        <v>1371</v>
      </c>
      <c r="G2255" s="125" t="s">
        <v>2065</v>
      </c>
      <c r="H2255">
        <v>454</v>
      </c>
      <c r="I2255" s="125" t="s">
        <v>1546</v>
      </c>
      <c r="J2255" s="308" t="s">
        <v>214</v>
      </c>
      <c r="K2255" s="127" t="s">
        <v>3797</v>
      </c>
      <c r="L2255" s="153" t="s">
        <v>3306</v>
      </c>
      <c r="M2255">
        <v>630</v>
      </c>
      <c r="N2255" s="123">
        <v>1</v>
      </c>
      <c r="O2255">
        <v>1481</v>
      </c>
      <c r="P2255" s="132" t="s">
        <v>77</v>
      </c>
      <c r="Q2255" s="132">
        <v>2495.09</v>
      </c>
      <c r="R2255" s="132">
        <v>2198.8944000000001</v>
      </c>
      <c r="S2255" s="132"/>
      <c r="T2255" s="156">
        <v>0</v>
      </c>
      <c r="U2255" s="132">
        <v>0</v>
      </c>
      <c r="V2255" s="132">
        <f t="shared" si="52"/>
        <v>4693.9844000000003</v>
      </c>
      <c r="W2255">
        <v>242</v>
      </c>
      <c r="X2255" s="153" t="s">
        <v>2035</v>
      </c>
      <c r="Y2255" s="124" t="s">
        <v>55</v>
      </c>
      <c r="Z2255" s="308">
        <v>233</v>
      </c>
      <c r="AB2255" t="str">
        <f>IF(Table1[[#This Row],[TIPO2]]="costo", VLOOKUP(Table1[[#This Row],[PARTIDA PRESUPUESTAL]],'Cost Report'!G:G,1,0),"Balance")</f>
        <v>1301-005</v>
      </c>
      <c r="AC2255" s="118"/>
      <c r="AD2255" s="159">
        <f>+Table1[[#This Row],[SUBTOTAL]]+Table1[[#This Row],[IVA]]-Table1[[#This Row],[RET IVA]]-Table1[[#This Row],[RET ISR]]-Table1[[#This Row],[TOTAL]]</f>
        <v>0</v>
      </c>
      <c r="AE2255" s="152"/>
      <c r="AF2255" s="153"/>
      <c r="AG2255" s="126"/>
      <c r="AH2255" s="120">
        <f>+Table1[[#This Row],[CONCEPTO]]+Table1[[#This Row],[SUBTOTAL]]</f>
        <v>3976.09</v>
      </c>
      <c r="AK2255" s="306" t="str">
        <f>IF(ISNUMBER(Table1[[#This Row],[FECHA DE RECIBIDO]]), Table1[[#This Row],[FECHA DE RECIBIDO]]-DATE(2023,8,30), "")</f>
        <v/>
      </c>
    </row>
    <row r="2256" spans="1:37" ht="16.95" customHeight="1">
      <c r="A2256" s="150"/>
      <c r="B2256" s="151"/>
      <c r="C2256" s="126" t="s">
        <v>255</v>
      </c>
      <c r="D2256">
        <v>1497</v>
      </c>
      <c r="E2256" s="126" t="s">
        <v>3354</v>
      </c>
      <c r="F2256" s="122" t="s">
        <v>1371</v>
      </c>
      <c r="G2256" s="122" t="s">
        <v>2065</v>
      </c>
      <c r="H2256">
        <v>454</v>
      </c>
      <c r="I2256" s="122" t="s">
        <v>1546</v>
      </c>
      <c r="J2256" s="307" t="s">
        <v>214</v>
      </c>
      <c r="K2256" s="127" t="s">
        <v>3797</v>
      </c>
      <c r="L2256" s="151" t="s">
        <v>3306</v>
      </c>
      <c r="M2256">
        <v>630</v>
      </c>
      <c r="N2256" s="123">
        <v>1</v>
      </c>
      <c r="O2256">
        <v>1481</v>
      </c>
      <c r="P2256" s="132" t="s">
        <v>77</v>
      </c>
      <c r="Q2256" s="131">
        <v>27494.639999999999</v>
      </c>
      <c r="R2256" s="131">
        <v>6768.19</v>
      </c>
      <c r="S2256" s="131"/>
      <c r="T2256" s="155">
        <v>0</v>
      </c>
      <c r="U2256" s="131">
        <v>0</v>
      </c>
      <c r="V2256" s="131">
        <f t="shared" si="52"/>
        <v>34262.83</v>
      </c>
      <c r="W2256">
        <v>242</v>
      </c>
      <c r="X2256" s="151" t="s">
        <v>2035</v>
      </c>
      <c r="Y2256" s="135" t="s">
        <v>55</v>
      </c>
      <c r="Z2256" s="307">
        <v>233</v>
      </c>
      <c r="AB2256" t="str">
        <f>IF(Table1[[#This Row],[TIPO2]]="costo", VLOOKUP(Table1[[#This Row],[PARTIDA PRESUPUESTAL]],'Cost Report'!G:G,1,0),"Balance")</f>
        <v>1301-006</v>
      </c>
      <c r="AC2256" s="118"/>
      <c r="AD2256" s="159">
        <f>+Table1[[#This Row],[SUBTOTAL]]+Table1[[#This Row],[IVA]]-Table1[[#This Row],[RET IVA]]-Table1[[#This Row],[RET ISR]]-Table1[[#This Row],[TOTAL]]</f>
        <v>0</v>
      </c>
      <c r="AE2256" s="150"/>
      <c r="AF2256" s="151"/>
      <c r="AG2256" s="126"/>
      <c r="AH2256" s="120">
        <f>+Table1[[#This Row],[CONCEPTO]]+Table1[[#This Row],[SUBTOTAL]]</f>
        <v>28975.64</v>
      </c>
      <c r="AK2256" s="306" t="str">
        <f>IF(ISNUMBER(Table1[[#This Row],[FECHA DE RECIBIDO]]), Table1[[#This Row],[FECHA DE RECIBIDO]]-DATE(2023,8,30), "")</f>
        <v/>
      </c>
    </row>
    <row r="2257" spans="1:37" ht="16.95" customHeight="1">
      <c r="A2257" s="152"/>
      <c r="B2257" s="153"/>
      <c r="C2257" s="126" t="s">
        <v>256</v>
      </c>
      <c r="D2257">
        <v>1497</v>
      </c>
      <c r="E2257" s="126" t="s">
        <v>3354</v>
      </c>
      <c r="F2257" s="125" t="s">
        <v>1371</v>
      </c>
      <c r="G2257" s="125" t="s">
        <v>2065</v>
      </c>
      <c r="H2257">
        <v>454</v>
      </c>
      <c r="I2257" s="125" t="s">
        <v>1546</v>
      </c>
      <c r="J2257" s="308" t="s">
        <v>214</v>
      </c>
      <c r="K2257" s="127" t="s">
        <v>3797</v>
      </c>
      <c r="L2257" s="153" t="s">
        <v>3306</v>
      </c>
      <c r="M2257">
        <v>630</v>
      </c>
      <c r="N2257" s="123">
        <v>1</v>
      </c>
      <c r="O2257">
        <v>1481</v>
      </c>
      <c r="P2257" s="132" t="s">
        <v>77</v>
      </c>
      <c r="Q2257" s="132">
        <v>2700</v>
      </c>
      <c r="R2257" s="132">
        <v>2423.6800000000003</v>
      </c>
      <c r="S2257" s="132"/>
      <c r="T2257" s="156">
        <v>0</v>
      </c>
      <c r="U2257" s="132">
        <v>0</v>
      </c>
      <c r="V2257" s="132">
        <f t="shared" si="52"/>
        <v>5123.68</v>
      </c>
      <c r="W2257">
        <v>242</v>
      </c>
      <c r="X2257" s="153" t="s">
        <v>2035</v>
      </c>
      <c r="Y2257" s="124" t="s">
        <v>55</v>
      </c>
      <c r="Z2257" s="308">
        <v>233</v>
      </c>
      <c r="AB2257" t="str">
        <f>IF(Table1[[#This Row],[TIPO2]]="costo", VLOOKUP(Table1[[#This Row],[PARTIDA PRESUPUESTAL]],'Cost Report'!G:G,1,0),"Balance")</f>
        <v>1301-007</v>
      </c>
      <c r="AC2257" s="118"/>
      <c r="AD2257" s="159">
        <f>+Table1[[#This Row],[SUBTOTAL]]+Table1[[#This Row],[IVA]]-Table1[[#This Row],[RET IVA]]-Table1[[#This Row],[RET ISR]]-Table1[[#This Row],[TOTAL]]</f>
        <v>0</v>
      </c>
      <c r="AE2257" s="152"/>
      <c r="AF2257" s="153"/>
      <c r="AG2257" s="126"/>
      <c r="AH2257" s="120">
        <f>+Table1[[#This Row],[CONCEPTO]]+Table1[[#This Row],[SUBTOTAL]]</f>
        <v>4181</v>
      </c>
      <c r="AK2257" s="306" t="str">
        <f>IF(ISNUMBER(Table1[[#This Row],[FECHA DE RECIBIDO]]), Table1[[#This Row],[FECHA DE RECIBIDO]]-DATE(2023,8,30), "")</f>
        <v/>
      </c>
    </row>
    <row r="2258" spans="1:37" ht="16.95" customHeight="1">
      <c r="A2258" s="150" t="s">
        <v>3756</v>
      </c>
      <c r="B2258" s="151">
        <v>782</v>
      </c>
      <c r="C2258" s="126" t="s">
        <v>2852</v>
      </c>
      <c r="D2258">
        <v>1498</v>
      </c>
      <c r="E2258" s="126" t="s">
        <v>3267</v>
      </c>
      <c r="F2258" s="122" t="s">
        <v>1607</v>
      </c>
      <c r="G2258" s="122" t="s">
        <v>134</v>
      </c>
      <c r="H2258">
        <v>259</v>
      </c>
      <c r="I2258" s="122" t="s">
        <v>1546</v>
      </c>
      <c r="J2258" s="307" t="s">
        <v>214</v>
      </c>
      <c r="K2258" s="127" t="s">
        <v>3797</v>
      </c>
      <c r="L2258" s="151" t="s">
        <v>3306</v>
      </c>
      <c r="M2258">
        <v>502</v>
      </c>
      <c r="N2258" s="123">
        <v>121</v>
      </c>
      <c r="O2258">
        <v>1482</v>
      </c>
      <c r="P2258" s="132" t="s">
        <v>77</v>
      </c>
      <c r="Q2258" s="131">
        <v>36500</v>
      </c>
      <c r="R2258" s="131">
        <v>5840</v>
      </c>
      <c r="S2258" s="131"/>
      <c r="T2258" s="155">
        <v>0</v>
      </c>
      <c r="U2258" s="131">
        <v>0</v>
      </c>
      <c r="V2258" s="131">
        <v>42340</v>
      </c>
      <c r="W2258">
        <v>158</v>
      </c>
      <c r="X2258" s="151" t="s">
        <v>2035</v>
      </c>
      <c r="Y2258" s="135" t="s">
        <v>55</v>
      </c>
      <c r="Z2258" s="307">
        <v>233</v>
      </c>
      <c r="AB2258" t="str">
        <f>IF(Table1[[#This Row],[TIPO2]]="costo", VLOOKUP(Table1[[#This Row],[PARTIDA PRESUPUESTAL]],'Cost Report'!G:G,1,0),"Balance")</f>
        <v>3498-003</v>
      </c>
      <c r="AC2258" s="118"/>
      <c r="AD2258" s="159">
        <f>+Table1[[#This Row],[SUBTOTAL]]+Table1[[#This Row],[IVA]]-Table1[[#This Row],[RET IVA]]-Table1[[#This Row],[RET ISR]]-Table1[[#This Row],[TOTAL]]</f>
        <v>0</v>
      </c>
      <c r="AE2258" s="150"/>
      <c r="AF2258" s="151"/>
      <c r="AG2258" s="126"/>
      <c r="AH2258" s="120">
        <f>+Table1[[#This Row],[CONCEPTO]]+Table1[[#This Row],[SUBTOTAL]]</f>
        <v>37982</v>
      </c>
      <c r="AK2258" s="306" t="str">
        <f>IF(ISNUMBER(Table1[[#This Row],[FECHA DE RECIBIDO]]), Table1[[#This Row],[FECHA DE RECIBIDO]]-DATE(2023,8,30), "")</f>
        <v/>
      </c>
    </row>
    <row r="2259" spans="1:37" ht="16.95" customHeight="1">
      <c r="A2259" s="152"/>
      <c r="B2259" s="153">
        <v>783</v>
      </c>
      <c r="C2259" s="126" t="s">
        <v>2573</v>
      </c>
      <c r="D2259">
        <v>1499</v>
      </c>
      <c r="E2259" s="126" t="s">
        <v>3267</v>
      </c>
      <c r="F2259" s="125" t="s">
        <v>1607</v>
      </c>
      <c r="G2259" s="125" t="s">
        <v>134</v>
      </c>
      <c r="H2259">
        <v>259</v>
      </c>
      <c r="I2259" s="125" t="s">
        <v>1546</v>
      </c>
      <c r="J2259" s="308" t="s">
        <v>214</v>
      </c>
      <c r="K2259" s="127" t="s">
        <v>3797</v>
      </c>
      <c r="L2259" s="153" t="s">
        <v>3306</v>
      </c>
      <c r="M2259">
        <v>502</v>
      </c>
      <c r="N2259" s="123">
        <v>121</v>
      </c>
      <c r="O2259">
        <v>1483</v>
      </c>
      <c r="P2259" s="132" t="s">
        <v>77</v>
      </c>
      <c r="Q2259" s="132">
        <v>4000</v>
      </c>
      <c r="R2259" s="132">
        <v>640</v>
      </c>
      <c r="S2259" s="132"/>
      <c r="T2259" s="156">
        <v>0</v>
      </c>
      <c r="U2259" s="132">
        <v>0</v>
      </c>
      <c r="V2259" s="132">
        <v>4640</v>
      </c>
      <c r="W2259">
        <v>158</v>
      </c>
      <c r="X2259" s="153" t="s">
        <v>2035</v>
      </c>
      <c r="Y2259" s="124" t="s">
        <v>55</v>
      </c>
      <c r="Z2259" s="308">
        <v>233</v>
      </c>
      <c r="AB2259" t="str">
        <f>IF(Table1[[#This Row],[TIPO2]]="costo", VLOOKUP(Table1[[#This Row],[PARTIDA PRESUPUESTAL]],'Cost Report'!G:G,1,0),"Balance")</f>
        <v>2602-021</v>
      </c>
      <c r="AC2259" s="118"/>
      <c r="AD2259" s="159">
        <f>+Table1[[#This Row],[SUBTOTAL]]+Table1[[#This Row],[IVA]]-Table1[[#This Row],[RET IVA]]-Table1[[#This Row],[RET ISR]]-Table1[[#This Row],[TOTAL]]</f>
        <v>0</v>
      </c>
      <c r="AE2259" s="152"/>
      <c r="AF2259" s="153"/>
      <c r="AG2259" s="126"/>
      <c r="AH2259" s="120">
        <f>+Table1[[#This Row],[CONCEPTO]]+Table1[[#This Row],[SUBTOTAL]]</f>
        <v>5483</v>
      </c>
      <c r="AK2259" s="306" t="str">
        <f>IF(ISNUMBER(Table1[[#This Row],[FECHA DE RECIBIDO]]), Table1[[#This Row],[FECHA DE RECIBIDO]]-DATE(2023,8,30), "")</f>
        <v/>
      </c>
    </row>
    <row r="2260" spans="1:37" ht="16.95" customHeight="1">
      <c r="A2260" s="150" t="s">
        <v>3757</v>
      </c>
      <c r="B2260" s="151">
        <v>784</v>
      </c>
      <c r="C2260" s="126" t="s">
        <v>2850</v>
      </c>
      <c r="D2260">
        <v>1500</v>
      </c>
      <c r="E2260" s="126" t="s">
        <v>3292</v>
      </c>
      <c r="F2260" s="122" t="s">
        <v>1607</v>
      </c>
      <c r="G2260" s="122" t="s">
        <v>134</v>
      </c>
      <c r="H2260">
        <v>251</v>
      </c>
      <c r="I2260" s="122" t="s">
        <v>1546</v>
      </c>
      <c r="J2260" s="307" t="s">
        <v>214</v>
      </c>
      <c r="K2260" s="127" t="s">
        <v>3797</v>
      </c>
      <c r="L2260" s="151" t="s">
        <v>3306</v>
      </c>
      <c r="M2260">
        <v>329</v>
      </c>
      <c r="N2260" s="123">
        <v>121</v>
      </c>
      <c r="O2260">
        <v>1484</v>
      </c>
      <c r="P2260" s="132" t="s">
        <v>77</v>
      </c>
      <c r="Q2260" s="131">
        <v>3000</v>
      </c>
      <c r="R2260" s="131">
        <v>480</v>
      </c>
      <c r="S2260" s="131"/>
      <c r="T2260" s="155">
        <v>0</v>
      </c>
      <c r="U2260" s="131">
        <v>0</v>
      </c>
      <c r="V2260" s="131">
        <v>3480</v>
      </c>
      <c r="W2260">
        <v>150</v>
      </c>
      <c r="X2260" s="151" t="s">
        <v>2024</v>
      </c>
      <c r="Y2260" s="135" t="s">
        <v>55</v>
      </c>
      <c r="Z2260" s="307">
        <v>233</v>
      </c>
      <c r="AB2260" t="str">
        <f>IF(Table1[[#This Row],[TIPO2]]="costo", VLOOKUP(Table1[[#This Row],[PARTIDA PRESUPUESTAL]],'Cost Report'!G:G,1,0),"Balance")</f>
        <v>3480-011</v>
      </c>
      <c r="AC2260" s="118"/>
      <c r="AD2260" s="159">
        <f>+Table1[[#This Row],[SUBTOTAL]]+Table1[[#This Row],[IVA]]-Table1[[#This Row],[RET IVA]]-Table1[[#This Row],[RET ISR]]-Table1[[#This Row],[TOTAL]]</f>
        <v>0</v>
      </c>
      <c r="AE2260" s="150"/>
      <c r="AF2260" s="151"/>
      <c r="AG2260" s="126"/>
      <c r="AH2260" s="120">
        <f>+Table1[[#This Row],[CONCEPTO]]+Table1[[#This Row],[SUBTOTAL]]</f>
        <v>4484</v>
      </c>
      <c r="AK2260" s="306" t="str">
        <f>IF(ISNUMBER(Table1[[#This Row],[FECHA DE RECIBIDO]]), Table1[[#This Row],[FECHA DE RECIBIDO]]-DATE(2023,8,30), "")</f>
        <v/>
      </c>
    </row>
    <row r="2261" spans="1:37" ht="16.95" customHeight="1">
      <c r="A2261" s="152" t="s">
        <v>3758</v>
      </c>
      <c r="B2261" s="153">
        <v>785</v>
      </c>
      <c r="C2261" s="126" t="s">
        <v>2825</v>
      </c>
      <c r="D2261">
        <v>1501</v>
      </c>
      <c r="E2261" s="126" t="s">
        <v>3788</v>
      </c>
      <c r="F2261" s="125" t="s">
        <v>1607</v>
      </c>
      <c r="G2261" s="125" t="s">
        <v>134</v>
      </c>
      <c r="H2261">
        <v>455</v>
      </c>
      <c r="I2261" s="125" t="s">
        <v>1546</v>
      </c>
      <c r="J2261" s="308" t="s">
        <v>214</v>
      </c>
      <c r="K2261" s="127" t="s">
        <v>3797</v>
      </c>
      <c r="L2261" s="153" t="s">
        <v>3306</v>
      </c>
      <c r="M2261">
        <v>631</v>
      </c>
      <c r="N2261" s="123">
        <v>121</v>
      </c>
      <c r="O2261">
        <v>1485</v>
      </c>
      <c r="P2261" s="132" t="s">
        <v>77</v>
      </c>
      <c r="Q2261" s="132">
        <v>30000</v>
      </c>
      <c r="R2261" s="132">
        <v>4800</v>
      </c>
      <c r="S2261" s="132"/>
      <c r="T2261" s="156">
        <v>0</v>
      </c>
      <c r="U2261" s="132">
        <v>0</v>
      </c>
      <c r="V2261" s="132">
        <v>34800</v>
      </c>
      <c r="W2261">
        <v>243</v>
      </c>
      <c r="X2261" s="153" t="s">
        <v>3759</v>
      </c>
      <c r="Y2261" s="124" t="s">
        <v>55</v>
      </c>
      <c r="Z2261" s="308">
        <v>233</v>
      </c>
      <c r="AB2261" t="str">
        <f>IF(Table1[[#This Row],[TIPO2]]="costo", VLOOKUP(Table1[[#This Row],[PARTIDA PRESUPUESTAL]],'Cost Report'!G:G,1,0),"Balance")</f>
        <v>3412-132</v>
      </c>
      <c r="AC2261" s="118"/>
      <c r="AD2261" s="159">
        <f>+Table1[[#This Row],[SUBTOTAL]]+Table1[[#This Row],[IVA]]-Table1[[#This Row],[RET IVA]]-Table1[[#This Row],[RET ISR]]-Table1[[#This Row],[TOTAL]]</f>
        <v>0</v>
      </c>
      <c r="AE2261" s="152"/>
      <c r="AF2261" s="153"/>
      <c r="AG2261" s="126"/>
      <c r="AH2261" s="120">
        <f>+Table1[[#This Row],[CONCEPTO]]+Table1[[#This Row],[SUBTOTAL]]</f>
        <v>31485</v>
      </c>
      <c r="AK2261" s="306" t="str">
        <f>IF(ISNUMBER(Table1[[#This Row],[FECHA DE RECIBIDO]]), Table1[[#This Row],[FECHA DE RECIBIDO]]-DATE(2023,8,30), "")</f>
        <v/>
      </c>
    </row>
    <row r="2262" spans="1:37" ht="16.95" customHeight="1">
      <c r="A2262" s="150" t="s">
        <v>3760</v>
      </c>
      <c r="B2262" s="151">
        <v>786</v>
      </c>
      <c r="C2262" s="126" t="s">
        <v>2852</v>
      </c>
      <c r="D2262">
        <v>1502</v>
      </c>
      <c r="E2262" s="126" t="s">
        <v>3671</v>
      </c>
      <c r="F2262" s="122" t="s">
        <v>1602</v>
      </c>
      <c r="G2262" s="122" t="s">
        <v>1617</v>
      </c>
      <c r="H2262">
        <v>456</v>
      </c>
      <c r="I2262" s="122" t="s">
        <v>1546</v>
      </c>
      <c r="J2262" s="307" t="s">
        <v>214</v>
      </c>
      <c r="K2262" s="127" t="s">
        <v>3797</v>
      </c>
      <c r="L2262" s="151" t="s">
        <v>3306</v>
      </c>
      <c r="M2262">
        <v>632</v>
      </c>
      <c r="N2262" s="123">
        <v>121</v>
      </c>
      <c r="O2262">
        <v>1486</v>
      </c>
      <c r="P2262" s="132" t="s">
        <v>77</v>
      </c>
      <c r="Q2262" s="131">
        <v>9734.27</v>
      </c>
      <c r="R2262" s="131">
        <v>1557.49</v>
      </c>
      <c r="S2262" s="131"/>
      <c r="T2262" s="155">
        <v>1038.33</v>
      </c>
      <c r="U2262" s="131">
        <v>973.43</v>
      </c>
      <c r="V2262" s="131">
        <v>9280</v>
      </c>
      <c r="W2262">
        <v>244</v>
      </c>
      <c r="X2262" s="151" t="s">
        <v>2035</v>
      </c>
      <c r="Y2262" s="135" t="s">
        <v>55</v>
      </c>
      <c r="Z2262" s="307">
        <v>233</v>
      </c>
      <c r="AB2262" t="str">
        <f>IF(Table1[[#This Row],[TIPO2]]="costo", VLOOKUP(Table1[[#This Row],[PARTIDA PRESUPUESTAL]],'Cost Report'!G:G,1,0),"Balance")</f>
        <v>3498-003</v>
      </c>
      <c r="AC2262" s="118"/>
      <c r="AD2262" s="159">
        <f>+Table1[[#This Row],[SUBTOTAL]]+Table1[[#This Row],[IVA]]-Table1[[#This Row],[RET IVA]]-Table1[[#This Row],[RET ISR]]-Table1[[#This Row],[TOTAL]]</f>
        <v>0</v>
      </c>
      <c r="AE2262" s="150"/>
      <c r="AF2262" s="151"/>
      <c r="AG2262" s="126"/>
      <c r="AH2262" s="120">
        <f>+Table1[[#This Row],[CONCEPTO]]+Table1[[#This Row],[SUBTOTAL]]</f>
        <v>11220.27</v>
      </c>
      <c r="AK2262" s="306" t="str">
        <f>IF(ISNUMBER(Table1[[#This Row],[FECHA DE RECIBIDO]]), Table1[[#This Row],[FECHA DE RECIBIDO]]-DATE(2023,8,30), "")</f>
        <v/>
      </c>
    </row>
    <row r="2263" spans="1:37" ht="16.95" customHeight="1">
      <c r="A2263" s="152" t="s">
        <v>3761</v>
      </c>
      <c r="B2263" s="153" t="s">
        <v>1576</v>
      </c>
      <c r="C2263" s="126" t="s">
        <v>72</v>
      </c>
      <c r="D2263"/>
      <c r="E2263" s="126" t="s">
        <v>1911</v>
      </c>
      <c r="F2263" s="125" t="s">
        <v>1911</v>
      </c>
      <c r="G2263" s="125" t="s">
        <v>1911</v>
      </c>
      <c r="H2263"/>
      <c r="I2263" s="125" t="s">
        <v>1911</v>
      </c>
      <c r="J2263" s="308" t="s">
        <v>214</v>
      </c>
      <c r="K2263" s="127" t="s">
        <v>3797</v>
      </c>
      <c r="L2263" s="153" t="s">
        <v>156</v>
      </c>
      <c r="M2263">
        <v>61</v>
      </c>
      <c r="N2263" s="123">
        <v>0</v>
      </c>
      <c r="O2263">
        <v>1487</v>
      </c>
      <c r="P2263" s="131" t="s">
        <v>78</v>
      </c>
      <c r="Q2263" s="132">
        <v>478924.93</v>
      </c>
      <c r="R2263" s="132">
        <v>0</v>
      </c>
      <c r="S2263" s="132"/>
      <c r="T2263" s="156">
        <v>0</v>
      </c>
      <c r="U2263" s="132">
        <v>0</v>
      </c>
      <c r="V2263" s="132">
        <v>478924.93</v>
      </c>
      <c r="W2263">
        <v>35</v>
      </c>
      <c r="X2263" s="153" t="s">
        <v>105</v>
      </c>
      <c r="Y2263" s="124" t="s">
        <v>55</v>
      </c>
      <c r="Z2263" s="308">
        <v>233</v>
      </c>
      <c r="AB2263" t="str">
        <f>IF(Table1[[#This Row],[TIPO2]]="costo", VLOOKUP(Table1[[#This Row],[PARTIDA PRESUPUESTAL]],'Cost Report'!G:G,1,0),"Balance")</f>
        <v>Balance</v>
      </c>
      <c r="AC2263" s="118"/>
      <c r="AD2263" s="159">
        <f>+Table1[[#This Row],[SUBTOTAL]]+Table1[[#This Row],[IVA]]-Table1[[#This Row],[RET IVA]]-Table1[[#This Row],[RET ISR]]-Table1[[#This Row],[TOTAL]]</f>
        <v>0</v>
      </c>
      <c r="AE2263" s="152"/>
      <c r="AF2263" s="153"/>
      <c r="AG2263" s="126"/>
      <c r="AH2263" s="120">
        <f>+Table1[[#This Row],[CONCEPTO]]+Table1[[#This Row],[SUBTOTAL]]</f>
        <v>480411.93</v>
      </c>
      <c r="AK2263" s="306" t="str">
        <f>IF(ISNUMBER(Table1[[#This Row],[FECHA DE RECIBIDO]]), Table1[[#This Row],[FECHA DE RECIBIDO]]-DATE(2023,8,30), "")</f>
        <v/>
      </c>
    </row>
    <row r="2264" spans="1:37" ht="16.95" customHeight="1">
      <c r="A2264" s="150" t="s">
        <v>3762</v>
      </c>
      <c r="B2264" s="151" t="s">
        <v>1576</v>
      </c>
      <c r="C2264" s="126" t="s">
        <v>73</v>
      </c>
      <c r="D2264"/>
      <c r="E2264" s="126" t="s">
        <v>1911</v>
      </c>
      <c r="F2264" s="122" t="s">
        <v>1911</v>
      </c>
      <c r="G2264" s="122" t="s">
        <v>1911</v>
      </c>
      <c r="H2264"/>
      <c r="I2264" s="122" t="s">
        <v>1911</v>
      </c>
      <c r="J2264" s="307" t="s">
        <v>214</v>
      </c>
      <c r="K2264" s="127" t="s">
        <v>3797</v>
      </c>
      <c r="L2264" s="151" t="s">
        <v>156</v>
      </c>
      <c r="M2264">
        <v>61</v>
      </c>
      <c r="N2264" s="123">
        <v>0</v>
      </c>
      <c r="O2264">
        <v>1488</v>
      </c>
      <c r="P2264" s="131" t="s">
        <v>78</v>
      </c>
      <c r="Q2264" s="131">
        <v>253385.22</v>
      </c>
      <c r="R2264" s="131">
        <v>0</v>
      </c>
      <c r="S2264" s="131"/>
      <c r="T2264" s="155">
        <v>0</v>
      </c>
      <c r="U2264" s="131">
        <v>0</v>
      </c>
      <c r="V2264" s="131">
        <v>253385.22</v>
      </c>
      <c r="W2264">
        <v>35</v>
      </c>
      <c r="X2264" s="151" t="s">
        <v>105</v>
      </c>
      <c r="Y2264" s="135" t="s">
        <v>55</v>
      </c>
      <c r="Z2264" s="307">
        <v>233</v>
      </c>
      <c r="AB2264" t="str">
        <f>IF(Table1[[#This Row],[TIPO2]]="costo", VLOOKUP(Table1[[#This Row],[PARTIDA PRESUPUESTAL]],'Cost Report'!G:G,1,0),"Balance")</f>
        <v>Balance</v>
      </c>
      <c r="AC2264" s="118"/>
      <c r="AD2264" s="159">
        <f>+Table1[[#This Row],[SUBTOTAL]]+Table1[[#This Row],[IVA]]-Table1[[#This Row],[RET IVA]]-Table1[[#This Row],[RET ISR]]-Table1[[#This Row],[TOTAL]]</f>
        <v>0</v>
      </c>
      <c r="AE2264" s="150"/>
      <c r="AF2264" s="151"/>
      <c r="AG2264" s="126"/>
      <c r="AH2264" s="120">
        <f>+Table1[[#This Row],[CONCEPTO]]+Table1[[#This Row],[SUBTOTAL]]</f>
        <v>254873.22</v>
      </c>
      <c r="AK2264" s="306" t="str">
        <f>IF(ISNUMBER(Table1[[#This Row],[FECHA DE RECIBIDO]]), Table1[[#This Row],[FECHA DE RECIBIDO]]-DATE(2023,8,30), "")</f>
        <v/>
      </c>
    </row>
    <row r="2265" spans="1:37" ht="16.95" customHeight="1">
      <c r="A2265" s="152" t="s">
        <v>3763</v>
      </c>
      <c r="B2265" s="153">
        <v>787</v>
      </c>
      <c r="C2265" s="126" t="s">
        <v>2825</v>
      </c>
      <c r="D2265">
        <v>1503</v>
      </c>
      <c r="E2265" s="126" t="s">
        <v>1596</v>
      </c>
      <c r="F2265" s="125" t="s">
        <v>1602</v>
      </c>
      <c r="G2265" s="125" t="s">
        <v>1617</v>
      </c>
      <c r="H2265">
        <v>457</v>
      </c>
      <c r="I2265" s="125" t="s">
        <v>1546</v>
      </c>
      <c r="J2265" s="308" t="s">
        <v>214</v>
      </c>
      <c r="K2265" s="127" t="s">
        <v>3797</v>
      </c>
      <c r="L2265" s="153" t="s">
        <v>3306</v>
      </c>
      <c r="M2265">
        <v>633</v>
      </c>
      <c r="N2265" s="123">
        <v>24</v>
      </c>
      <c r="O2265">
        <v>1489</v>
      </c>
      <c r="P2265" s="132" t="s">
        <v>77</v>
      </c>
      <c r="Q2265" s="132">
        <v>25000</v>
      </c>
      <c r="R2265" s="132">
        <v>4000</v>
      </c>
      <c r="S2265" s="132"/>
      <c r="T2265" s="156">
        <v>2666.67</v>
      </c>
      <c r="U2265" s="132">
        <v>2500</v>
      </c>
      <c r="V2265" s="132">
        <v>23833.33</v>
      </c>
      <c r="W2265">
        <v>245</v>
      </c>
      <c r="X2265" s="153" t="s">
        <v>1430</v>
      </c>
      <c r="Y2265" s="124" t="s">
        <v>55</v>
      </c>
      <c r="Z2265" s="308">
        <v>233</v>
      </c>
      <c r="AB2265" t="str">
        <f>IF(Table1[[#This Row],[TIPO2]]="costo", VLOOKUP(Table1[[#This Row],[PARTIDA PRESUPUESTAL]],'Cost Report'!G:G,1,0),"Balance")</f>
        <v>3412-132</v>
      </c>
      <c r="AC2265" s="118"/>
      <c r="AD2265" s="159">
        <f>+Table1[[#This Row],[SUBTOTAL]]+Table1[[#This Row],[IVA]]-Table1[[#This Row],[RET IVA]]-Table1[[#This Row],[RET ISR]]-Table1[[#This Row],[TOTAL]]</f>
        <v>0</v>
      </c>
      <c r="AE2265" s="152"/>
      <c r="AF2265" s="153"/>
      <c r="AG2265" s="126"/>
      <c r="AH2265" s="120">
        <f>+Table1[[#This Row],[CONCEPTO]]+Table1[[#This Row],[SUBTOTAL]]</f>
        <v>26489</v>
      </c>
      <c r="AK2265" s="306" t="str">
        <f>IF(ISNUMBER(Table1[[#This Row],[FECHA DE RECIBIDO]]), Table1[[#This Row],[FECHA DE RECIBIDO]]-DATE(2023,8,30), "")</f>
        <v/>
      </c>
    </row>
    <row r="2266" spans="1:37" ht="16.95" customHeight="1">
      <c r="A2266" s="150" t="s">
        <v>3764</v>
      </c>
      <c r="B2266" s="151">
        <v>788</v>
      </c>
      <c r="C2266" s="126" t="s">
        <v>3002</v>
      </c>
      <c r="D2266">
        <v>1504</v>
      </c>
      <c r="E2266" s="126" t="s">
        <v>3292</v>
      </c>
      <c r="F2266" s="122" t="s">
        <v>1607</v>
      </c>
      <c r="G2266" s="122" t="s">
        <v>134</v>
      </c>
      <c r="H2266">
        <v>458</v>
      </c>
      <c r="I2266" s="122" t="s">
        <v>1546</v>
      </c>
      <c r="J2266" s="307" t="s">
        <v>214</v>
      </c>
      <c r="K2266" s="127" t="s">
        <v>3797</v>
      </c>
      <c r="L2266" s="151" t="s">
        <v>3306</v>
      </c>
      <c r="M2266">
        <v>634</v>
      </c>
      <c r="N2266" s="123">
        <v>1</v>
      </c>
      <c r="O2266">
        <v>1490</v>
      </c>
      <c r="P2266" s="132" t="s">
        <v>77</v>
      </c>
      <c r="Q2266" s="131">
        <v>335925.72</v>
      </c>
      <c r="R2266" s="131">
        <v>53748.12</v>
      </c>
      <c r="S2266" s="131"/>
      <c r="T2266" s="155">
        <v>0</v>
      </c>
      <c r="U2266" s="131">
        <v>0</v>
      </c>
      <c r="V2266" s="131">
        <v>389673.83999999997</v>
      </c>
      <c r="W2266">
        <v>246</v>
      </c>
      <c r="X2266" s="151" t="s">
        <v>1429</v>
      </c>
      <c r="Y2266" s="135" t="s">
        <v>55</v>
      </c>
      <c r="Z2266" s="307">
        <v>233</v>
      </c>
      <c r="AB2266" t="str">
        <f>IF(Table1[[#This Row],[TIPO2]]="costo", VLOOKUP(Table1[[#This Row],[PARTIDA PRESUPUESTAL]],'Cost Report'!G:G,1,0),"Balance")</f>
        <v>4180-003</v>
      </c>
      <c r="AC2266" s="118"/>
      <c r="AD2266" s="159">
        <f>+Table1[[#This Row],[SUBTOTAL]]+Table1[[#This Row],[IVA]]-Table1[[#This Row],[RET IVA]]-Table1[[#This Row],[RET ISR]]-Table1[[#This Row],[TOTAL]]</f>
        <v>0</v>
      </c>
      <c r="AE2266" s="150"/>
      <c r="AF2266" s="151"/>
      <c r="AG2266" s="126"/>
      <c r="AH2266" s="120">
        <f>+Table1[[#This Row],[CONCEPTO]]+Table1[[#This Row],[SUBTOTAL]]</f>
        <v>337415.72</v>
      </c>
      <c r="AK2266" s="306" t="str">
        <f>IF(ISNUMBER(Table1[[#This Row],[FECHA DE RECIBIDO]]), Table1[[#This Row],[FECHA DE RECIBIDO]]-DATE(2023,8,30), "")</f>
        <v/>
      </c>
    </row>
    <row r="2267" spans="1:37" ht="16.95" customHeight="1">
      <c r="A2267" s="152" t="s">
        <v>3764</v>
      </c>
      <c r="B2267" s="153">
        <v>788</v>
      </c>
      <c r="C2267" s="126" t="s">
        <v>866</v>
      </c>
      <c r="D2267">
        <v>1504</v>
      </c>
      <c r="E2267" s="126" t="s">
        <v>3292</v>
      </c>
      <c r="F2267" s="125" t="s">
        <v>1607</v>
      </c>
      <c r="G2267" s="125" t="s">
        <v>134</v>
      </c>
      <c r="H2267">
        <v>458</v>
      </c>
      <c r="I2267" s="125" t="s">
        <v>1546</v>
      </c>
      <c r="J2267" s="308" t="s">
        <v>214</v>
      </c>
      <c r="K2267" s="127" t="s">
        <v>3797</v>
      </c>
      <c r="L2267" s="153" t="s">
        <v>3306</v>
      </c>
      <c r="M2267">
        <v>634</v>
      </c>
      <c r="N2267" s="123">
        <v>1</v>
      </c>
      <c r="O2267">
        <v>1490</v>
      </c>
      <c r="P2267" s="132" t="s">
        <v>77</v>
      </c>
      <c r="Q2267" s="132">
        <v>2414076</v>
      </c>
      <c r="R2267" s="132">
        <v>386252.16</v>
      </c>
      <c r="S2267" s="132"/>
      <c r="T2267" s="156">
        <v>0</v>
      </c>
      <c r="U2267" s="132">
        <v>0</v>
      </c>
      <c r="V2267" s="132">
        <v>2800328.16</v>
      </c>
      <c r="W2267">
        <v>246</v>
      </c>
      <c r="X2267" s="153" t="s">
        <v>1429</v>
      </c>
      <c r="Y2267" s="124" t="s">
        <v>55</v>
      </c>
      <c r="Z2267" s="308">
        <v>233</v>
      </c>
      <c r="AB2267" t="str">
        <f>IF(Table1[[#This Row],[TIPO2]]="costo", VLOOKUP(Table1[[#This Row],[PARTIDA PRESUPUESTAL]],'Cost Report'!G:G,1,0),"Balance")</f>
        <v>3193-041</v>
      </c>
      <c r="AC2267" s="118"/>
      <c r="AD2267" s="159">
        <f>+Table1[[#This Row],[SUBTOTAL]]+Table1[[#This Row],[IVA]]-Table1[[#This Row],[RET IVA]]-Table1[[#This Row],[RET ISR]]-Table1[[#This Row],[TOTAL]]</f>
        <v>0</v>
      </c>
      <c r="AE2267" s="152"/>
      <c r="AF2267" s="153"/>
      <c r="AG2267" s="126"/>
      <c r="AH2267" s="120">
        <f>+Table1[[#This Row],[CONCEPTO]]+Table1[[#This Row],[SUBTOTAL]]</f>
        <v>2415566</v>
      </c>
      <c r="AK2267" s="306" t="str">
        <f>IF(ISNUMBER(Table1[[#This Row],[FECHA DE RECIBIDO]]), Table1[[#This Row],[FECHA DE RECIBIDO]]-DATE(2023,8,30), "")</f>
        <v/>
      </c>
    </row>
    <row r="2268" spans="1:37" ht="16.95" customHeight="1">
      <c r="A2268" s="150" t="s">
        <v>3764</v>
      </c>
      <c r="B2268" s="151">
        <v>788</v>
      </c>
      <c r="C2268" s="126" t="s">
        <v>868</v>
      </c>
      <c r="D2268">
        <v>1504</v>
      </c>
      <c r="E2268" s="126" t="s">
        <v>3292</v>
      </c>
      <c r="F2268" s="122" t="s">
        <v>1607</v>
      </c>
      <c r="G2268" s="122" t="s">
        <v>134</v>
      </c>
      <c r="H2268">
        <v>458</v>
      </c>
      <c r="I2268" s="122" t="s">
        <v>1546</v>
      </c>
      <c r="J2268" s="307" t="s">
        <v>214</v>
      </c>
      <c r="K2268" s="127" t="s">
        <v>3797</v>
      </c>
      <c r="L2268" s="151" t="s">
        <v>3306</v>
      </c>
      <c r="M2268">
        <v>634</v>
      </c>
      <c r="N2268" s="123">
        <v>1</v>
      </c>
      <c r="O2268">
        <v>1490</v>
      </c>
      <c r="P2268" s="132" t="s">
        <v>77</v>
      </c>
      <c r="Q2268" s="131">
        <v>2110037.4</v>
      </c>
      <c r="R2268" s="131">
        <v>337605.98</v>
      </c>
      <c r="S2268" s="131"/>
      <c r="T2268" s="155">
        <v>0</v>
      </c>
      <c r="U2268" s="131">
        <v>0</v>
      </c>
      <c r="V2268" s="131">
        <v>2447643.38</v>
      </c>
      <c r="W2268">
        <v>246</v>
      </c>
      <c r="X2268" s="151" t="s">
        <v>1429</v>
      </c>
      <c r="Y2268" s="135" t="s">
        <v>55</v>
      </c>
      <c r="Z2268" s="307">
        <v>233</v>
      </c>
      <c r="AB2268" t="str">
        <f>IF(Table1[[#This Row],[TIPO2]]="costo", VLOOKUP(Table1[[#This Row],[PARTIDA PRESUPUESTAL]],'Cost Report'!G:G,1,0),"Balance")</f>
        <v>3193-045</v>
      </c>
      <c r="AC2268" s="118"/>
      <c r="AD2268" s="159">
        <f>+Table1[[#This Row],[SUBTOTAL]]+Table1[[#This Row],[IVA]]-Table1[[#This Row],[RET IVA]]-Table1[[#This Row],[RET ISR]]-Table1[[#This Row],[TOTAL]]</f>
        <v>0</v>
      </c>
      <c r="AE2268" s="150"/>
      <c r="AF2268" s="151"/>
      <c r="AG2268" s="126"/>
      <c r="AH2268" s="120">
        <f>+Table1[[#This Row],[CONCEPTO]]+Table1[[#This Row],[SUBTOTAL]]</f>
        <v>2111527.4</v>
      </c>
      <c r="AK2268" s="306" t="str">
        <f>IF(ISNUMBER(Table1[[#This Row],[FECHA DE RECIBIDO]]), Table1[[#This Row],[FECHA DE RECIBIDO]]-DATE(2023,8,30), "")</f>
        <v/>
      </c>
    </row>
    <row r="2269" spans="1:37" ht="16.95" customHeight="1">
      <c r="A2269" s="152" t="s">
        <v>3764</v>
      </c>
      <c r="B2269" s="153">
        <v>788</v>
      </c>
      <c r="C2269" s="126" t="s">
        <v>903</v>
      </c>
      <c r="D2269">
        <v>1504</v>
      </c>
      <c r="E2269" s="126" t="s">
        <v>3292</v>
      </c>
      <c r="F2269" s="125" t="s">
        <v>1607</v>
      </c>
      <c r="G2269" s="125" t="s">
        <v>134</v>
      </c>
      <c r="H2269">
        <v>458</v>
      </c>
      <c r="I2269" s="125" t="s">
        <v>1546</v>
      </c>
      <c r="J2269" s="308" t="s">
        <v>214</v>
      </c>
      <c r="K2269" s="127" t="s">
        <v>3797</v>
      </c>
      <c r="L2269" s="153" t="s">
        <v>3306</v>
      </c>
      <c r="M2269">
        <v>634</v>
      </c>
      <c r="N2269" s="123">
        <v>1</v>
      </c>
      <c r="O2269">
        <v>1490</v>
      </c>
      <c r="P2269" s="132" t="s">
        <v>77</v>
      </c>
      <c r="Q2269" s="132">
        <v>764239</v>
      </c>
      <c r="R2269" s="132">
        <v>122278.24</v>
      </c>
      <c r="S2269" s="132"/>
      <c r="T2269" s="156">
        <v>0</v>
      </c>
      <c r="U2269" s="132">
        <v>0</v>
      </c>
      <c r="V2269" s="132">
        <v>886517.24</v>
      </c>
      <c r="W2269">
        <v>246</v>
      </c>
      <c r="X2269" s="153" t="s">
        <v>1429</v>
      </c>
      <c r="Y2269" s="124" t="s">
        <v>55</v>
      </c>
      <c r="Z2269" s="308">
        <v>233</v>
      </c>
      <c r="AB2269" t="str">
        <f>IF(Table1[[#This Row],[TIPO2]]="costo", VLOOKUP(Table1[[#This Row],[PARTIDA PRESUPUESTAL]],'Cost Report'!G:G,1,0),"Balance")</f>
        <v>3193-082</v>
      </c>
      <c r="AC2269" s="118"/>
      <c r="AD2269" s="159">
        <f>+Table1[[#This Row],[SUBTOTAL]]+Table1[[#This Row],[IVA]]-Table1[[#This Row],[RET IVA]]-Table1[[#This Row],[RET ISR]]-Table1[[#This Row],[TOTAL]]</f>
        <v>0</v>
      </c>
      <c r="AE2269" s="152"/>
      <c r="AF2269" s="153"/>
      <c r="AG2269" s="126"/>
      <c r="AH2269" s="120">
        <f>+Table1[[#This Row],[CONCEPTO]]+Table1[[#This Row],[SUBTOTAL]]</f>
        <v>765729</v>
      </c>
      <c r="AK2269" s="306" t="str">
        <f>IF(ISNUMBER(Table1[[#This Row],[FECHA DE RECIBIDO]]), Table1[[#This Row],[FECHA DE RECIBIDO]]-DATE(2023,8,30), "")</f>
        <v/>
      </c>
    </row>
    <row r="2270" spans="1:37" ht="16.95" customHeight="1">
      <c r="A2270" s="150" t="s">
        <v>3764</v>
      </c>
      <c r="B2270" s="151">
        <v>788</v>
      </c>
      <c r="C2270" s="126" t="s">
        <v>1534</v>
      </c>
      <c r="D2270">
        <v>1504</v>
      </c>
      <c r="E2270" s="126" t="s">
        <v>3292</v>
      </c>
      <c r="F2270" s="122" t="s">
        <v>1607</v>
      </c>
      <c r="G2270" s="122" t="s">
        <v>134</v>
      </c>
      <c r="H2270">
        <v>458</v>
      </c>
      <c r="I2270" s="122" t="s">
        <v>1546</v>
      </c>
      <c r="J2270" s="307" t="s">
        <v>214</v>
      </c>
      <c r="K2270" s="127" t="s">
        <v>3797</v>
      </c>
      <c r="L2270" s="151" t="s">
        <v>3306</v>
      </c>
      <c r="M2270">
        <v>634</v>
      </c>
      <c r="N2270" s="123">
        <v>1</v>
      </c>
      <c r="O2270">
        <v>1490</v>
      </c>
      <c r="P2270" s="132" t="s">
        <v>77</v>
      </c>
      <c r="Q2270" s="131">
        <v>253876</v>
      </c>
      <c r="R2270" s="131">
        <v>40620.160000000003</v>
      </c>
      <c r="S2270" s="131"/>
      <c r="T2270" s="155">
        <v>0</v>
      </c>
      <c r="U2270" s="131">
        <v>0</v>
      </c>
      <c r="V2270" s="131">
        <v>294496.16000000003</v>
      </c>
      <c r="W2270">
        <v>246</v>
      </c>
      <c r="X2270" s="151" t="s">
        <v>1429</v>
      </c>
      <c r="Y2270" s="135" t="s">
        <v>55</v>
      </c>
      <c r="Z2270" s="307">
        <v>233</v>
      </c>
      <c r="AB2270" t="str">
        <f>IF(Table1[[#This Row],[TIPO2]]="costo", VLOOKUP(Table1[[#This Row],[PARTIDA PRESUPUESTAL]],'Cost Report'!G:G,1,0),"Balance")</f>
        <v>3193-086</v>
      </c>
      <c r="AC2270" s="118"/>
      <c r="AD2270" s="159">
        <f>+Table1[[#This Row],[SUBTOTAL]]+Table1[[#This Row],[IVA]]-Table1[[#This Row],[RET IVA]]-Table1[[#This Row],[RET ISR]]-Table1[[#This Row],[TOTAL]]</f>
        <v>0</v>
      </c>
      <c r="AE2270" s="150"/>
      <c r="AF2270" s="151"/>
      <c r="AG2270" s="126"/>
      <c r="AH2270" s="120">
        <f>+Table1[[#This Row],[CONCEPTO]]+Table1[[#This Row],[SUBTOTAL]]</f>
        <v>255366</v>
      </c>
      <c r="AK2270" s="306" t="str">
        <f>IF(ISNUMBER(Table1[[#This Row],[FECHA DE RECIBIDO]]), Table1[[#This Row],[FECHA DE RECIBIDO]]-DATE(2023,8,30), "")</f>
        <v/>
      </c>
    </row>
    <row r="2271" spans="1:37" ht="16.95" customHeight="1">
      <c r="A2271" s="152" t="s">
        <v>3764</v>
      </c>
      <c r="B2271" s="153">
        <v>788</v>
      </c>
      <c r="C2271" s="126" t="s">
        <v>1765</v>
      </c>
      <c r="D2271">
        <v>1504</v>
      </c>
      <c r="E2271" s="126" t="s">
        <v>3292</v>
      </c>
      <c r="F2271" s="125" t="s">
        <v>1607</v>
      </c>
      <c r="G2271" s="125" t="s">
        <v>134</v>
      </c>
      <c r="H2271">
        <v>458</v>
      </c>
      <c r="I2271" s="125" t="s">
        <v>1546</v>
      </c>
      <c r="J2271" s="308" t="s">
        <v>214</v>
      </c>
      <c r="K2271" s="127" t="s">
        <v>3797</v>
      </c>
      <c r="L2271" s="153" t="s">
        <v>3306</v>
      </c>
      <c r="M2271">
        <v>634</v>
      </c>
      <c r="N2271" s="123">
        <v>1</v>
      </c>
      <c r="O2271">
        <v>1490</v>
      </c>
      <c r="P2271" s="132" t="s">
        <v>77</v>
      </c>
      <c r="Q2271" s="132">
        <v>286068.71999999997</v>
      </c>
      <c r="R2271" s="132">
        <v>45771</v>
      </c>
      <c r="S2271" s="132"/>
      <c r="T2271" s="156">
        <v>0</v>
      </c>
      <c r="U2271" s="132">
        <v>0</v>
      </c>
      <c r="V2271" s="132">
        <v>331839.71999999997</v>
      </c>
      <c r="W2271">
        <v>246</v>
      </c>
      <c r="X2271" s="153" t="s">
        <v>1429</v>
      </c>
      <c r="Y2271" s="124" t="s">
        <v>55</v>
      </c>
      <c r="Z2271" s="308">
        <v>233</v>
      </c>
      <c r="AB2271" t="str">
        <f>IF(Table1[[#This Row],[TIPO2]]="costo", VLOOKUP(Table1[[#This Row],[PARTIDA PRESUPUESTAL]],'Cost Report'!G:G,1,0),"Balance")</f>
        <v>3193-090</v>
      </c>
      <c r="AC2271" s="118"/>
      <c r="AD2271" s="159">
        <f>+Table1[[#This Row],[SUBTOTAL]]+Table1[[#This Row],[IVA]]-Table1[[#This Row],[RET IVA]]-Table1[[#This Row],[RET ISR]]-Table1[[#This Row],[TOTAL]]</f>
        <v>0</v>
      </c>
      <c r="AE2271" s="152"/>
      <c r="AF2271" s="153"/>
      <c r="AG2271" s="126"/>
      <c r="AH2271" s="120">
        <f>+Table1[[#This Row],[CONCEPTO]]+Table1[[#This Row],[SUBTOTAL]]</f>
        <v>287558.71999999997</v>
      </c>
      <c r="AK2271" s="306" t="str">
        <f>IF(ISNUMBER(Table1[[#This Row],[FECHA DE RECIBIDO]]), Table1[[#This Row],[FECHA DE RECIBIDO]]-DATE(2023,8,30), "")</f>
        <v/>
      </c>
    </row>
    <row r="2272" spans="1:37" ht="16.95" customHeight="1">
      <c r="A2272" s="150" t="s">
        <v>3765</v>
      </c>
      <c r="B2272" s="151">
        <v>789</v>
      </c>
      <c r="C2272" s="126" t="s">
        <v>1765</v>
      </c>
      <c r="D2272">
        <v>1505</v>
      </c>
      <c r="E2272" s="126" t="s">
        <v>3292</v>
      </c>
      <c r="F2272" s="122" t="s">
        <v>1607</v>
      </c>
      <c r="G2272" s="122" t="s">
        <v>134</v>
      </c>
      <c r="H2272">
        <v>458</v>
      </c>
      <c r="I2272" s="122" t="s">
        <v>1546</v>
      </c>
      <c r="J2272" s="307" t="s">
        <v>214</v>
      </c>
      <c r="K2272" s="127" t="s">
        <v>3797</v>
      </c>
      <c r="L2272" s="151" t="s">
        <v>3306</v>
      </c>
      <c r="M2272">
        <v>634</v>
      </c>
      <c r="N2272" s="123">
        <v>1</v>
      </c>
      <c r="O2272">
        <v>1491</v>
      </c>
      <c r="P2272" s="132" t="s">
        <v>77</v>
      </c>
      <c r="Q2272" s="131">
        <v>283265.15999999997</v>
      </c>
      <c r="R2272" s="131">
        <v>45322.43</v>
      </c>
      <c r="S2272" s="131"/>
      <c r="T2272" s="155">
        <v>0</v>
      </c>
      <c r="U2272" s="131">
        <v>0</v>
      </c>
      <c r="V2272" s="131">
        <v>328587.58999999997</v>
      </c>
      <c r="W2272">
        <v>246</v>
      </c>
      <c r="X2272" s="151" t="s">
        <v>1429</v>
      </c>
      <c r="Y2272" s="135" t="s">
        <v>55</v>
      </c>
      <c r="Z2272" s="307">
        <v>233</v>
      </c>
      <c r="AB2272" t="str">
        <f>IF(Table1[[#This Row],[TIPO2]]="costo", VLOOKUP(Table1[[#This Row],[PARTIDA PRESUPUESTAL]],'Cost Report'!G:G,1,0),"Balance")</f>
        <v>3193-090</v>
      </c>
      <c r="AC2272" s="118"/>
      <c r="AD2272" s="159">
        <f>+Table1[[#This Row],[SUBTOTAL]]+Table1[[#This Row],[IVA]]-Table1[[#This Row],[RET IVA]]-Table1[[#This Row],[RET ISR]]-Table1[[#This Row],[TOTAL]]</f>
        <v>0</v>
      </c>
      <c r="AE2272" s="150"/>
      <c r="AF2272" s="151"/>
      <c r="AG2272" s="126"/>
      <c r="AH2272" s="120">
        <f>+Table1[[#This Row],[CONCEPTO]]+Table1[[#This Row],[SUBTOTAL]]</f>
        <v>284756.15999999997</v>
      </c>
      <c r="AK2272" s="306" t="str">
        <f>IF(ISNUMBER(Table1[[#This Row],[FECHA DE RECIBIDO]]), Table1[[#This Row],[FECHA DE RECIBIDO]]-DATE(2023,8,30), "")</f>
        <v/>
      </c>
    </row>
    <row r="2273" spans="1:37" ht="16.95" customHeight="1">
      <c r="A2273" s="152" t="s">
        <v>3766</v>
      </c>
      <c r="B2273" s="153">
        <v>790</v>
      </c>
      <c r="C2273" s="126" t="s">
        <v>977</v>
      </c>
      <c r="D2273">
        <v>1506</v>
      </c>
      <c r="E2273" s="126" t="s">
        <v>1603</v>
      </c>
      <c r="F2273" s="125" t="s">
        <v>1607</v>
      </c>
      <c r="G2273" s="125" t="s">
        <v>134</v>
      </c>
      <c r="H2273">
        <v>459</v>
      </c>
      <c r="I2273" s="125" t="s">
        <v>1546</v>
      </c>
      <c r="J2273" s="308" t="s">
        <v>214</v>
      </c>
      <c r="K2273" s="127" t="s">
        <v>3797</v>
      </c>
      <c r="L2273" s="153" t="s">
        <v>1579</v>
      </c>
      <c r="M2273">
        <v>635</v>
      </c>
      <c r="N2273" s="123">
        <v>17</v>
      </c>
      <c r="O2273">
        <v>1492</v>
      </c>
      <c r="P2273" s="132" t="s">
        <v>77</v>
      </c>
      <c r="Q2273" s="132">
        <v>87.94</v>
      </c>
      <c r="R2273" s="132">
        <v>14.07</v>
      </c>
      <c r="S2273" s="132"/>
      <c r="T2273" s="156"/>
      <c r="U2273" s="132"/>
      <c r="V2273" s="132">
        <v>102.00999999999999</v>
      </c>
      <c r="W2273">
        <v>167</v>
      </c>
      <c r="X2273" s="153" t="s">
        <v>1644</v>
      </c>
      <c r="Y2273" s="124" t="s">
        <v>55</v>
      </c>
      <c r="Z2273" s="308">
        <v>212</v>
      </c>
      <c r="AB2273" t="str">
        <f>IF(Table1[[#This Row],[TIPO2]]="costo", VLOOKUP(Table1[[#This Row],[PARTIDA PRESUPUESTAL]],'Cost Report'!G:G,1,0),"Balance")</f>
        <v>3410-012</v>
      </c>
      <c r="AC2273" s="118"/>
      <c r="AD2273" s="159">
        <f>+Table1[[#This Row],[SUBTOTAL]]+Table1[[#This Row],[IVA]]-Table1[[#This Row],[RET IVA]]-Table1[[#This Row],[RET ISR]]-Table1[[#This Row],[TOTAL]]</f>
        <v>0</v>
      </c>
      <c r="AE2273" s="152"/>
      <c r="AF2273" s="153"/>
      <c r="AG2273" s="126" t="s">
        <v>3420</v>
      </c>
      <c r="AH2273" s="120">
        <f>+Table1[[#This Row],[CONCEPTO]]+Table1[[#This Row],[SUBTOTAL]]</f>
        <v>1579.94</v>
      </c>
      <c r="AK2273" s="306" t="str">
        <f>IF(ISNUMBER(Table1[[#This Row],[FECHA DE RECIBIDO]]), Table1[[#This Row],[FECHA DE RECIBIDO]]-DATE(2023,8,30), "")</f>
        <v/>
      </c>
    </row>
    <row r="2274" spans="1:37" ht="16.95" customHeight="1">
      <c r="A2274" s="150" t="s">
        <v>3766</v>
      </c>
      <c r="B2274" s="151">
        <v>790</v>
      </c>
      <c r="C2274" s="126" t="s">
        <v>977</v>
      </c>
      <c r="D2274">
        <v>1507</v>
      </c>
      <c r="E2274" s="126" t="s">
        <v>1646</v>
      </c>
      <c r="F2274" s="122" t="s">
        <v>1607</v>
      </c>
      <c r="G2274" s="122" t="s">
        <v>134</v>
      </c>
      <c r="H2274">
        <v>459</v>
      </c>
      <c r="I2274" s="122" t="s">
        <v>1546</v>
      </c>
      <c r="J2274" s="307" t="s">
        <v>214</v>
      </c>
      <c r="K2274" s="127" t="s">
        <v>3797</v>
      </c>
      <c r="L2274" s="151" t="s">
        <v>1579</v>
      </c>
      <c r="M2274">
        <v>635</v>
      </c>
      <c r="N2274" s="123">
        <v>17</v>
      </c>
      <c r="O2274">
        <v>1493</v>
      </c>
      <c r="P2274" s="132" t="s">
        <v>77</v>
      </c>
      <c r="Q2274" s="131">
        <v>307.79000000000002</v>
      </c>
      <c r="R2274" s="131">
        <v>49.25</v>
      </c>
      <c r="S2274" s="131"/>
      <c r="T2274" s="155"/>
      <c r="U2274" s="131"/>
      <c r="V2274" s="131">
        <v>357.04</v>
      </c>
      <c r="W2274">
        <v>167</v>
      </c>
      <c r="X2274" s="151" t="s">
        <v>1644</v>
      </c>
      <c r="Y2274" s="135" t="s">
        <v>55</v>
      </c>
      <c r="Z2274" s="307">
        <v>212</v>
      </c>
      <c r="AB2274" t="str">
        <f>IF(Table1[[#This Row],[TIPO2]]="costo", VLOOKUP(Table1[[#This Row],[PARTIDA PRESUPUESTAL]],'Cost Report'!G:G,1,0),"Balance")</f>
        <v>3410-012</v>
      </c>
      <c r="AC2274" s="118"/>
      <c r="AD2274" s="159">
        <f>+Table1[[#This Row],[SUBTOTAL]]+Table1[[#This Row],[IVA]]-Table1[[#This Row],[RET IVA]]-Table1[[#This Row],[RET ISR]]-Table1[[#This Row],[TOTAL]]</f>
        <v>0</v>
      </c>
      <c r="AE2274" s="150"/>
      <c r="AF2274" s="151"/>
      <c r="AG2274" s="126" t="s">
        <v>3420</v>
      </c>
      <c r="AH2274" s="120">
        <f>+Table1[[#This Row],[CONCEPTO]]+Table1[[#This Row],[SUBTOTAL]]</f>
        <v>1800.79</v>
      </c>
      <c r="AK2274" s="306" t="str">
        <f>IF(ISNUMBER(Table1[[#This Row],[FECHA DE RECIBIDO]]), Table1[[#This Row],[FECHA DE RECIBIDO]]-DATE(2023,8,30), "")</f>
        <v/>
      </c>
    </row>
    <row r="2275" spans="1:37" ht="16.95" customHeight="1">
      <c r="A2275" s="152" t="s">
        <v>3766</v>
      </c>
      <c r="B2275" s="153">
        <v>790</v>
      </c>
      <c r="C2275" s="126" t="s">
        <v>2443</v>
      </c>
      <c r="D2275">
        <v>1508</v>
      </c>
      <c r="E2275" s="126" t="s">
        <v>1615</v>
      </c>
      <c r="F2275" s="125" t="s">
        <v>1607</v>
      </c>
      <c r="G2275" s="125" t="s">
        <v>134</v>
      </c>
      <c r="H2275">
        <v>274</v>
      </c>
      <c r="I2275" s="125" t="s">
        <v>1546</v>
      </c>
      <c r="J2275" s="308" t="s">
        <v>214</v>
      </c>
      <c r="K2275" s="127" t="s">
        <v>3797</v>
      </c>
      <c r="L2275" s="153" t="s">
        <v>1579</v>
      </c>
      <c r="M2275">
        <v>365</v>
      </c>
      <c r="N2275" s="123">
        <v>17</v>
      </c>
      <c r="O2275">
        <v>1494</v>
      </c>
      <c r="P2275" s="132" t="s">
        <v>77</v>
      </c>
      <c r="Q2275" s="132">
        <v>125.95</v>
      </c>
      <c r="R2275" s="132">
        <v>20.149999999999999</v>
      </c>
      <c r="S2275" s="132"/>
      <c r="T2275" s="156"/>
      <c r="U2275" s="132"/>
      <c r="V2275" s="132">
        <v>146.1</v>
      </c>
      <c r="W2275">
        <v>167</v>
      </c>
      <c r="X2275" s="153" t="s">
        <v>1644</v>
      </c>
      <c r="Y2275" s="124" t="s">
        <v>55</v>
      </c>
      <c r="Z2275" s="308">
        <v>214</v>
      </c>
      <c r="AB2275" t="str">
        <f>IF(Table1[[#This Row],[TIPO2]]="costo", VLOOKUP(Table1[[#This Row],[PARTIDA PRESUPUESTAL]],'Cost Report'!G:G,1,0),"Balance")</f>
        <v>2080-003</v>
      </c>
      <c r="AC2275" s="118"/>
      <c r="AD2275" s="159">
        <f>+Table1[[#This Row],[SUBTOTAL]]+Table1[[#This Row],[IVA]]-Table1[[#This Row],[RET IVA]]-Table1[[#This Row],[RET ISR]]-Table1[[#This Row],[TOTAL]]</f>
        <v>0</v>
      </c>
      <c r="AE2275" s="152"/>
      <c r="AF2275" s="153"/>
      <c r="AG2275" s="126" t="s">
        <v>3420</v>
      </c>
      <c r="AH2275" s="120">
        <f>+Table1[[#This Row],[CONCEPTO]]+Table1[[#This Row],[SUBTOTAL]]</f>
        <v>1619.95</v>
      </c>
      <c r="AK2275" s="306" t="str">
        <f>IF(ISNUMBER(Table1[[#This Row],[FECHA DE RECIBIDO]]), Table1[[#This Row],[FECHA DE RECIBIDO]]-DATE(2023,8,30), "")</f>
        <v/>
      </c>
    </row>
    <row r="2276" spans="1:37" ht="16.95" customHeight="1">
      <c r="A2276" s="150" t="s">
        <v>3766</v>
      </c>
      <c r="B2276" s="151">
        <v>790</v>
      </c>
      <c r="C2276" s="126" t="s">
        <v>2443</v>
      </c>
      <c r="D2276">
        <v>1509</v>
      </c>
      <c r="E2276" s="126" t="s">
        <v>1987</v>
      </c>
      <c r="F2276" s="122" t="s">
        <v>1607</v>
      </c>
      <c r="G2276" s="122" t="s">
        <v>134</v>
      </c>
      <c r="H2276">
        <v>326</v>
      </c>
      <c r="I2276" s="122" t="s">
        <v>1546</v>
      </c>
      <c r="J2276" s="307" t="s">
        <v>214</v>
      </c>
      <c r="K2276" s="127" t="s">
        <v>3797</v>
      </c>
      <c r="L2276" s="151" t="s">
        <v>1579</v>
      </c>
      <c r="M2276">
        <v>435</v>
      </c>
      <c r="N2276" s="123">
        <v>17</v>
      </c>
      <c r="O2276">
        <v>1495</v>
      </c>
      <c r="P2276" s="132" t="s">
        <v>77</v>
      </c>
      <c r="Q2276" s="131">
        <v>1637.93</v>
      </c>
      <c r="R2276" s="131">
        <v>262.07</v>
      </c>
      <c r="S2276" s="131"/>
      <c r="T2276" s="155"/>
      <c r="U2276" s="131"/>
      <c r="V2276" s="131">
        <v>1900</v>
      </c>
      <c r="W2276">
        <v>167</v>
      </c>
      <c r="X2276" s="151" t="s">
        <v>1644</v>
      </c>
      <c r="Y2276" s="135" t="s">
        <v>55</v>
      </c>
      <c r="Z2276" s="307">
        <v>214</v>
      </c>
      <c r="AB2276" t="str">
        <f>IF(Table1[[#This Row],[TIPO2]]="costo", VLOOKUP(Table1[[#This Row],[PARTIDA PRESUPUESTAL]],'Cost Report'!G:G,1,0),"Balance")</f>
        <v>2080-003</v>
      </c>
      <c r="AC2276" s="118"/>
      <c r="AD2276" s="159">
        <f>+Table1[[#This Row],[SUBTOTAL]]+Table1[[#This Row],[IVA]]-Table1[[#This Row],[RET IVA]]-Table1[[#This Row],[RET ISR]]-Table1[[#This Row],[TOTAL]]</f>
        <v>0</v>
      </c>
      <c r="AE2276" s="150"/>
      <c r="AF2276" s="151"/>
      <c r="AG2276" s="126" t="s">
        <v>3420</v>
      </c>
      <c r="AH2276" s="120">
        <f>+Table1[[#This Row],[CONCEPTO]]+Table1[[#This Row],[SUBTOTAL]]</f>
        <v>3132.9300000000003</v>
      </c>
      <c r="AK2276" s="306" t="str">
        <f>IF(ISNUMBER(Table1[[#This Row],[FECHA DE RECIBIDO]]), Table1[[#This Row],[FECHA DE RECIBIDO]]-DATE(2023,8,30), "")</f>
        <v/>
      </c>
    </row>
    <row r="2277" spans="1:37" ht="16.95" customHeight="1">
      <c r="A2277" s="152" t="s">
        <v>3766</v>
      </c>
      <c r="B2277" s="153">
        <v>790</v>
      </c>
      <c r="C2277" s="126" t="s">
        <v>2443</v>
      </c>
      <c r="D2277">
        <v>1510</v>
      </c>
      <c r="E2277" s="126" t="s">
        <v>1987</v>
      </c>
      <c r="F2277" s="125" t="s">
        <v>1607</v>
      </c>
      <c r="G2277" s="125" t="s">
        <v>134</v>
      </c>
      <c r="H2277">
        <v>326</v>
      </c>
      <c r="I2277" s="125" t="s">
        <v>1546</v>
      </c>
      <c r="J2277" s="308" t="s">
        <v>214</v>
      </c>
      <c r="K2277" s="127" t="s">
        <v>3797</v>
      </c>
      <c r="L2277" s="153" t="s">
        <v>1579</v>
      </c>
      <c r="M2277">
        <v>435</v>
      </c>
      <c r="N2277" s="123">
        <v>17</v>
      </c>
      <c r="O2277">
        <v>1495</v>
      </c>
      <c r="P2277" s="132" t="s">
        <v>77</v>
      </c>
      <c r="Q2277" s="132">
        <v>4215.5200000000004</v>
      </c>
      <c r="R2277" s="132">
        <v>674.48</v>
      </c>
      <c r="S2277" s="132"/>
      <c r="T2277" s="156"/>
      <c r="U2277" s="132"/>
      <c r="V2277" s="132">
        <v>4890</v>
      </c>
      <c r="W2277">
        <v>167</v>
      </c>
      <c r="X2277" s="153" t="s">
        <v>1644</v>
      </c>
      <c r="Y2277" s="124" t="s">
        <v>55</v>
      </c>
      <c r="Z2277" s="308">
        <v>214</v>
      </c>
      <c r="AB2277" t="str">
        <f>IF(Table1[[#This Row],[TIPO2]]="costo", VLOOKUP(Table1[[#This Row],[PARTIDA PRESUPUESTAL]],'Cost Report'!G:G,1,0),"Balance")</f>
        <v>2080-003</v>
      </c>
      <c r="AC2277" s="118"/>
      <c r="AD2277" s="159">
        <f>+Table1[[#This Row],[SUBTOTAL]]+Table1[[#This Row],[IVA]]-Table1[[#This Row],[RET IVA]]-Table1[[#This Row],[RET ISR]]-Table1[[#This Row],[TOTAL]]</f>
        <v>0</v>
      </c>
      <c r="AE2277" s="152"/>
      <c r="AF2277" s="153"/>
      <c r="AG2277" s="126" t="s">
        <v>3420</v>
      </c>
      <c r="AH2277" s="120">
        <f>+Table1[[#This Row],[CONCEPTO]]+Table1[[#This Row],[SUBTOTAL]]</f>
        <v>5710.52</v>
      </c>
      <c r="AK2277" s="306" t="str">
        <f>IF(ISNUMBER(Table1[[#This Row],[FECHA DE RECIBIDO]]), Table1[[#This Row],[FECHA DE RECIBIDO]]-DATE(2023,8,30), "")</f>
        <v/>
      </c>
    </row>
    <row r="2278" spans="1:37" ht="16.95" customHeight="1">
      <c r="A2278" s="150" t="s">
        <v>3766</v>
      </c>
      <c r="B2278" s="151">
        <v>790</v>
      </c>
      <c r="C2278" s="126" t="s">
        <v>977</v>
      </c>
      <c r="D2278">
        <v>1511</v>
      </c>
      <c r="E2278" s="126" t="s">
        <v>1603</v>
      </c>
      <c r="F2278" s="122" t="s">
        <v>1607</v>
      </c>
      <c r="G2278" s="122" t="s">
        <v>134</v>
      </c>
      <c r="H2278">
        <v>459</v>
      </c>
      <c r="I2278" s="122" t="s">
        <v>1546</v>
      </c>
      <c r="J2278" s="307" t="s">
        <v>214</v>
      </c>
      <c r="K2278" s="127" t="s">
        <v>3797</v>
      </c>
      <c r="L2278" s="151" t="s">
        <v>1579</v>
      </c>
      <c r="M2278">
        <v>635</v>
      </c>
      <c r="N2278" s="123">
        <v>17</v>
      </c>
      <c r="O2278">
        <v>1492</v>
      </c>
      <c r="P2278" s="132" t="s">
        <v>77</v>
      </c>
      <c r="Q2278" s="131">
        <v>31</v>
      </c>
      <c r="R2278" s="131"/>
      <c r="S2278" s="131"/>
      <c r="T2278" s="155"/>
      <c r="U2278" s="131"/>
      <c r="V2278" s="131">
        <v>31</v>
      </c>
      <c r="W2278">
        <v>167</v>
      </c>
      <c r="X2278" s="151" t="s">
        <v>1644</v>
      </c>
      <c r="Y2278" s="135" t="s">
        <v>55</v>
      </c>
      <c r="Z2278" s="307">
        <v>214</v>
      </c>
      <c r="AB2278" t="str">
        <f>IF(Table1[[#This Row],[TIPO2]]="costo", VLOOKUP(Table1[[#This Row],[PARTIDA PRESUPUESTAL]],'Cost Report'!G:G,1,0),"Balance")</f>
        <v>3410-012</v>
      </c>
      <c r="AC2278" s="118"/>
      <c r="AD2278" s="159">
        <f>+Table1[[#This Row],[SUBTOTAL]]+Table1[[#This Row],[IVA]]-Table1[[#This Row],[RET IVA]]-Table1[[#This Row],[RET ISR]]-Table1[[#This Row],[TOTAL]]</f>
        <v>0</v>
      </c>
      <c r="AE2278" s="150"/>
      <c r="AF2278" s="151"/>
      <c r="AG2278" s="126" t="s">
        <v>3420</v>
      </c>
      <c r="AH2278" s="120">
        <f>+Table1[[#This Row],[CONCEPTO]]+Table1[[#This Row],[SUBTOTAL]]</f>
        <v>1523</v>
      </c>
      <c r="AK2278" s="306" t="str">
        <f>IF(ISNUMBER(Table1[[#This Row],[FECHA DE RECIBIDO]]), Table1[[#This Row],[FECHA DE RECIBIDO]]-DATE(2023,8,30), "")</f>
        <v/>
      </c>
    </row>
    <row r="2279" spans="1:37" ht="16.95" customHeight="1">
      <c r="A2279" s="152" t="s">
        <v>3766</v>
      </c>
      <c r="B2279" s="153">
        <v>790</v>
      </c>
      <c r="C2279" s="126" t="s">
        <v>977</v>
      </c>
      <c r="D2279">
        <v>1512</v>
      </c>
      <c r="E2279" s="126" t="s">
        <v>1603</v>
      </c>
      <c r="F2279" s="125" t="s">
        <v>1607</v>
      </c>
      <c r="G2279" s="125" t="s">
        <v>134</v>
      </c>
      <c r="H2279">
        <v>459</v>
      </c>
      <c r="I2279" s="125" t="s">
        <v>1546</v>
      </c>
      <c r="J2279" s="308" t="s">
        <v>214</v>
      </c>
      <c r="K2279" s="127" t="s">
        <v>3797</v>
      </c>
      <c r="L2279" s="153" t="s">
        <v>1579</v>
      </c>
      <c r="M2279">
        <v>635</v>
      </c>
      <c r="N2279" s="123">
        <v>17</v>
      </c>
      <c r="O2279">
        <v>1496</v>
      </c>
      <c r="P2279" s="132" t="s">
        <v>77</v>
      </c>
      <c r="Q2279" s="132">
        <v>114.5</v>
      </c>
      <c r="R2279" s="132">
        <v>8.4</v>
      </c>
      <c r="S2279" s="132"/>
      <c r="T2279" s="156"/>
      <c r="U2279" s="132"/>
      <c r="V2279" s="132">
        <v>122.9</v>
      </c>
      <c r="W2279">
        <v>167</v>
      </c>
      <c r="X2279" s="153" t="s">
        <v>1644</v>
      </c>
      <c r="Y2279" s="124" t="s">
        <v>55</v>
      </c>
      <c r="Z2279" s="308">
        <v>214</v>
      </c>
      <c r="AB2279" t="str">
        <f>IF(Table1[[#This Row],[TIPO2]]="costo", VLOOKUP(Table1[[#This Row],[PARTIDA PRESUPUESTAL]],'Cost Report'!G:G,1,0),"Balance")</f>
        <v>3410-012</v>
      </c>
      <c r="AC2279" s="118"/>
      <c r="AD2279" s="159">
        <f>+Table1[[#This Row],[SUBTOTAL]]+Table1[[#This Row],[IVA]]-Table1[[#This Row],[RET IVA]]-Table1[[#This Row],[RET ISR]]-Table1[[#This Row],[TOTAL]]</f>
        <v>0</v>
      </c>
      <c r="AE2279" s="152"/>
      <c r="AF2279" s="153"/>
      <c r="AG2279" s="126" t="s">
        <v>3420</v>
      </c>
      <c r="AH2279" s="120">
        <f>+Table1[[#This Row],[CONCEPTO]]+Table1[[#This Row],[SUBTOTAL]]</f>
        <v>1610.5</v>
      </c>
      <c r="AK2279" s="306" t="str">
        <f>IF(ISNUMBER(Table1[[#This Row],[FECHA DE RECIBIDO]]), Table1[[#This Row],[FECHA DE RECIBIDO]]-DATE(2023,8,30), "")</f>
        <v/>
      </c>
    </row>
    <row r="2280" spans="1:37" ht="16.95" customHeight="1">
      <c r="A2280" s="150" t="s">
        <v>3766</v>
      </c>
      <c r="B2280" s="151">
        <v>790</v>
      </c>
      <c r="C2280" s="126" t="s">
        <v>2443</v>
      </c>
      <c r="D2280">
        <v>1513</v>
      </c>
      <c r="E2280" s="126" t="s">
        <v>1603</v>
      </c>
      <c r="F2280" s="122" t="s">
        <v>1607</v>
      </c>
      <c r="G2280" s="122" t="s">
        <v>134</v>
      </c>
      <c r="H2280">
        <v>99</v>
      </c>
      <c r="I2280" s="122" t="s">
        <v>1546</v>
      </c>
      <c r="J2280" s="307" t="s">
        <v>214</v>
      </c>
      <c r="K2280" s="127" t="s">
        <v>3797</v>
      </c>
      <c r="L2280" s="151" t="s">
        <v>1579</v>
      </c>
      <c r="M2280">
        <v>134</v>
      </c>
      <c r="N2280" s="123">
        <v>17</v>
      </c>
      <c r="O2280">
        <v>1497</v>
      </c>
      <c r="P2280" s="132" t="s">
        <v>77</v>
      </c>
      <c r="Q2280" s="131">
        <v>61.24</v>
      </c>
      <c r="R2280" s="131">
        <v>9.8000000000000007</v>
      </c>
      <c r="S2280" s="131"/>
      <c r="T2280" s="155"/>
      <c r="U2280" s="131"/>
      <c r="V2280" s="131">
        <v>71.040000000000006</v>
      </c>
      <c r="W2280">
        <v>167</v>
      </c>
      <c r="X2280" s="151" t="s">
        <v>1644</v>
      </c>
      <c r="Y2280" s="135" t="s">
        <v>55</v>
      </c>
      <c r="Z2280" s="307">
        <v>214</v>
      </c>
      <c r="AB2280" t="str">
        <f>IF(Table1[[#This Row],[TIPO2]]="costo", VLOOKUP(Table1[[#This Row],[PARTIDA PRESUPUESTAL]],'Cost Report'!G:G,1,0),"Balance")</f>
        <v>2080-003</v>
      </c>
      <c r="AC2280" s="118"/>
      <c r="AD2280" s="159">
        <f>+Table1[[#This Row],[SUBTOTAL]]+Table1[[#This Row],[IVA]]-Table1[[#This Row],[RET IVA]]-Table1[[#This Row],[RET ISR]]-Table1[[#This Row],[TOTAL]]</f>
        <v>0</v>
      </c>
      <c r="AE2280" s="150"/>
      <c r="AF2280" s="151"/>
      <c r="AG2280" s="126" t="s">
        <v>3420</v>
      </c>
      <c r="AH2280" s="120">
        <f>+Table1[[#This Row],[CONCEPTO]]+Table1[[#This Row],[SUBTOTAL]]</f>
        <v>1558.24</v>
      </c>
      <c r="AK2280" s="306" t="str">
        <f>IF(ISNUMBER(Table1[[#This Row],[FECHA DE RECIBIDO]]), Table1[[#This Row],[FECHA DE RECIBIDO]]-DATE(2023,8,30), "")</f>
        <v/>
      </c>
    </row>
    <row r="2281" spans="1:37" ht="16.95" customHeight="1">
      <c r="A2281" s="152" t="s">
        <v>3766</v>
      </c>
      <c r="B2281" s="153">
        <v>790</v>
      </c>
      <c r="C2281" s="126" t="s">
        <v>2443</v>
      </c>
      <c r="D2281">
        <v>1514</v>
      </c>
      <c r="E2281" s="126" t="s">
        <v>1603</v>
      </c>
      <c r="F2281" s="125" t="s">
        <v>1607</v>
      </c>
      <c r="G2281" s="125" t="s">
        <v>134</v>
      </c>
      <c r="H2281">
        <v>273</v>
      </c>
      <c r="I2281" s="125" t="s">
        <v>1546</v>
      </c>
      <c r="J2281" s="308" t="s">
        <v>214</v>
      </c>
      <c r="K2281" s="127" t="s">
        <v>3797</v>
      </c>
      <c r="L2281" s="153" t="s">
        <v>1579</v>
      </c>
      <c r="M2281">
        <v>364</v>
      </c>
      <c r="N2281" s="123">
        <v>17</v>
      </c>
      <c r="O2281">
        <v>1498</v>
      </c>
      <c r="P2281" s="132" t="s">
        <v>77</v>
      </c>
      <c r="Q2281" s="132">
        <v>154.91</v>
      </c>
      <c r="R2281" s="132">
        <v>24.79</v>
      </c>
      <c r="S2281" s="132"/>
      <c r="T2281" s="156"/>
      <c r="U2281" s="132"/>
      <c r="V2281" s="132">
        <v>179.7</v>
      </c>
      <c r="W2281">
        <v>167</v>
      </c>
      <c r="X2281" s="153" t="s">
        <v>1644</v>
      </c>
      <c r="Y2281" s="124" t="s">
        <v>55</v>
      </c>
      <c r="Z2281" s="308">
        <v>214</v>
      </c>
      <c r="AB2281" t="str">
        <f>IF(Table1[[#This Row],[TIPO2]]="costo", VLOOKUP(Table1[[#This Row],[PARTIDA PRESUPUESTAL]],'Cost Report'!G:G,1,0),"Balance")</f>
        <v>2080-003</v>
      </c>
      <c r="AC2281" s="118"/>
      <c r="AD2281" s="159">
        <f>+Table1[[#This Row],[SUBTOTAL]]+Table1[[#This Row],[IVA]]-Table1[[#This Row],[RET IVA]]-Table1[[#This Row],[RET ISR]]-Table1[[#This Row],[TOTAL]]</f>
        <v>0</v>
      </c>
      <c r="AE2281" s="152"/>
      <c r="AF2281" s="153"/>
      <c r="AG2281" s="126" t="s">
        <v>3420</v>
      </c>
      <c r="AH2281" s="120">
        <f>+Table1[[#This Row],[CONCEPTO]]+Table1[[#This Row],[SUBTOTAL]]</f>
        <v>1652.91</v>
      </c>
      <c r="AK2281" s="306" t="str">
        <f>IF(ISNUMBER(Table1[[#This Row],[FECHA DE RECIBIDO]]), Table1[[#This Row],[FECHA DE RECIBIDO]]-DATE(2023,8,30), "")</f>
        <v/>
      </c>
    </row>
    <row r="2282" spans="1:37" ht="16.95" customHeight="1">
      <c r="A2282" s="150" t="s">
        <v>3766</v>
      </c>
      <c r="B2282" s="151">
        <v>790</v>
      </c>
      <c r="C2282" s="126" t="s">
        <v>2443</v>
      </c>
      <c r="D2282">
        <v>1515</v>
      </c>
      <c r="E2282" s="126" t="s">
        <v>1603</v>
      </c>
      <c r="F2282" s="122" t="s">
        <v>1607</v>
      </c>
      <c r="G2282" s="122" t="s">
        <v>134</v>
      </c>
      <c r="H2282">
        <v>273</v>
      </c>
      <c r="I2282" s="122" t="s">
        <v>1546</v>
      </c>
      <c r="J2282" s="307" t="s">
        <v>214</v>
      </c>
      <c r="K2282" s="127" t="s">
        <v>3797</v>
      </c>
      <c r="L2282" s="151" t="s">
        <v>1579</v>
      </c>
      <c r="M2282">
        <v>364</v>
      </c>
      <c r="N2282" s="123">
        <v>17</v>
      </c>
      <c r="O2282">
        <v>1499</v>
      </c>
      <c r="P2282" s="132" t="s">
        <v>77</v>
      </c>
      <c r="Q2282" s="131">
        <v>184.4</v>
      </c>
      <c r="R2282" s="131">
        <v>29.5</v>
      </c>
      <c r="S2282" s="131"/>
      <c r="T2282" s="155"/>
      <c r="U2282" s="131"/>
      <c r="V2282" s="131">
        <v>213.9</v>
      </c>
      <c r="W2282">
        <v>167</v>
      </c>
      <c r="X2282" s="151" t="s">
        <v>1644</v>
      </c>
      <c r="Y2282" s="135" t="s">
        <v>55</v>
      </c>
      <c r="Z2282" s="307">
        <v>214</v>
      </c>
      <c r="AB2282" t="str">
        <f>IF(Table1[[#This Row],[TIPO2]]="costo", VLOOKUP(Table1[[#This Row],[PARTIDA PRESUPUESTAL]],'Cost Report'!G:G,1,0),"Balance")</f>
        <v>2080-003</v>
      </c>
      <c r="AC2282" s="118"/>
      <c r="AD2282" s="159">
        <f>+Table1[[#This Row],[SUBTOTAL]]+Table1[[#This Row],[IVA]]-Table1[[#This Row],[RET IVA]]-Table1[[#This Row],[RET ISR]]-Table1[[#This Row],[TOTAL]]</f>
        <v>0</v>
      </c>
      <c r="AE2282" s="150"/>
      <c r="AF2282" s="151"/>
      <c r="AG2282" s="126" t="s">
        <v>3420</v>
      </c>
      <c r="AH2282" s="120">
        <f>+Table1[[#This Row],[CONCEPTO]]+Table1[[#This Row],[SUBTOTAL]]</f>
        <v>1683.4</v>
      </c>
      <c r="AK2282" s="306" t="str">
        <f>IF(ISNUMBER(Table1[[#This Row],[FECHA DE RECIBIDO]]), Table1[[#This Row],[FECHA DE RECIBIDO]]-DATE(2023,8,30), "")</f>
        <v/>
      </c>
    </row>
    <row r="2283" spans="1:37" ht="16.95" customHeight="1">
      <c r="A2283" s="152" t="s">
        <v>3766</v>
      </c>
      <c r="B2283" s="153">
        <v>790</v>
      </c>
      <c r="C2283" s="126" t="s">
        <v>2443</v>
      </c>
      <c r="D2283">
        <v>1516</v>
      </c>
      <c r="E2283" s="126" t="s">
        <v>3292</v>
      </c>
      <c r="F2283" s="125" t="s">
        <v>1589</v>
      </c>
      <c r="G2283" s="125" t="s">
        <v>129</v>
      </c>
      <c r="H2283">
        <v>285</v>
      </c>
      <c r="I2283" s="125" t="s">
        <v>1546</v>
      </c>
      <c r="J2283" s="308" t="s">
        <v>214</v>
      </c>
      <c r="K2283" s="127" t="s">
        <v>3797</v>
      </c>
      <c r="L2283" s="153" t="s">
        <v>1579</v>
      </c>
      <c r="M2283">
        <v>379</v>
      </c>
      <c r="N2283" s="123">
        <v>17</v>
      </c>
      <c r="O2283">
        <v>1500</v>
      </c>
      <c r="P2283" s="132" t="s">
        <v>77</v>
      </c>
      <c r="Q2283" s="132">
        <v>145</v>
      </c>
      <c r="R2283" s="132"/>
      <c r="S2283" s="132"/>
      <c r="T2283" s="156"/>
      <c r="U2283" s="132"/>
      <c r="V2283" s="132">
        <v>145</v>
      </c>
      <c r="W2283">
        <v>167</v>
      </c>
      <c r="X2283" s="153" t="s">
        <v>1644</v>
      </c>
      <c r="Y2283" s="124" t="s">
        <v>55</v>
      </c>
      <c r="Z2283" s="308">
        <v>216</v>
      </c>
      <c r="AB2283" t="str">
        <f>IF(Table1[[#This Row],[TIPO2]]="costo", VLOOKUP(Table1[[#This Row],[PARTIDA PRESUPUESTAL]],'Cost Report'!G:G,1,0),"Balance")</f>
        <v>2080-003</v>
      </c>
      <c r="AC2283" s="118"/>
      <c r="AD2283" s="159">
        <f>+Table1[[#This Row],[SUBTOTAL]]+Table1[[#This Row],[IVA]]-Table1[[#This Row],[RET IVA]]-Table1[[#This Row],[RET ISR]]-Table1[[#This Row],[TOTAL]]</f>
        <v>0</v>
      </c>
      <c r="AE2283" s="152"/>
      <c r="AF2283" s="153"/>
      <c r="AG2283" s="126" t="s">
        <v>3420</v>
      </c>
      <c r="AH2283" s="120">
        <f>+Table1[[#This Row],[CONCEPTO]]+Table1[[#This Row],[SUBTOTAL]]</f>
        <v>1645</v>
      </c>
      <c r="AK2283" s="306" t="str">
        <f>IF(ISNUMBER(Table1[[#This Row],[FECHA DE RECIBIDO]]), Table1[[#This Row],[FECHA DE RECIBIDO]]-DATE(2023,8,30), "")</f>
        <v/>
      </c>
    </row>
    <row r="2284" spans="1:37" ht="16.95" customHeight="1">
      <c r="A2284" s="150" t="s">
        <v>3766</v>
      </c>
      <c r="B2284" s="151">
        <v>790</v>
      </c>
      <c r="C2284" s="126" t="s">
        <v>2443</v>
      </c>
      <c r="D2284">
        <v>1517</v>
      </c>
      <c r="E2284" s="126" t="s">
        <v>3267</v>
      </c>
      <c r="F2284" s="122" t="s">
        <v>1607</v>
      </c>
      <c r="G2284" s="122" t="s">
        <v>134</v>
      </c>
      <c r="H2284">
        <v>57</v>
      </c>
      <c r="I2284" s="122" t="s">
        <v>1546</v>
      </c>
      <c r="J2284" s="307" t="s">
        <v>214</v>
      </c>
      <c r="K2284" s="127" t="s">
        <v>3797</v>
      </c>
      <c r="L2284" s="151" t="s">
        <v>1579</v>
      </c>
      <c r="M2284">
        <v>79</v>
      </c>
      <c r="N2284" s="123">
        <v>17</v>
      </c>
      <c r="O2284">
        <v>1501</v>
      </c>
      <c r="P2284" s="132" t="s">
        <v>77</v>
      </c>
      <c r="Q2284" s="131">
        <v>1756.03</v>
      </c>
      <c r="R2284" s="131">
        <v>280.97000000000003</v>
      </c>
      <c r="S2284" s="131"/>
      <c r="T2284" s="155"/>
      <c r="U2284" s="131"/>
      <c r="V2284" s="131">
        <v>2037</v>
      </c>
      <c r="W2284">
        <v>167</v>
      </c>
      <c r="X2284" s="151" t="s">
        <v>1644</v>
      </c>
      <c r="Y2284" s="135" t="s">
        <v>55</v>
      </c>
      <c r="Z2284" s="307">
        <v>216</v>
      </c>
      <c r="AB2284" t="str">
        <f>IF(Table1[[#This Row],[TIPO2]]="costo", VLOOKUP(Table1[[#This Row],[PARTIDA PRESUPUESTAL]],'Cost Report'!G:G,1,0),"Balance")</f>
        <v>2080-003</v>
      </c>
      <c r="AC2284" s="118"/>
      <c r="AD2284" s="159">
        <f>+Table1[[#This Row],[SUBTOTAL]]+Table1[[#This Row],[IVA]]-Table1[[#This Row],[RET IVA]]-Table1[[#This Row],[RET ISR]]-Table1[[#This Row],[TOTAL]]</f>
        <v>0</v>
      </c>
      <c r="AE2284" s="150"/>
      <c r="AF2284" s="151"/>
      <c r="AG2284" s="126" t="s">
        <v>3420</v>
      </c>
      <c r="AH2284" s="120">
        <f>+Table1[[#This Row],[CONCEPTO]]+Table1[[#This Row],[SUBTOTAL]]</f>
        <v>3257.0299999999997</v>
      </c>
      <c r="AK2284" s="306" t="str">
        <f>IF(ISNUMBER(Table1[[#This Row],[FECHA DE RECIBIDO]]), Table1[[#This Row],[FECHA DE RECIBIDO]]-DATE(2023,8,30), "")</f>
        <v/>
      </c>
    </row>
    <row r="2285" spans="1:37" ht="16.95" customHeight="1">
      <c r="A2285" s="152" t="s">
        <v>3766</v>
      </c>
      <c r="B2285" s="153">
        <v>790</v>
      </c>
      <c r="C2285" s="126" t="s">
        <v>977</v>
      </c>
      <c r="D2285">
        <v>1518</v>
      </c>
      <c r="E2285" s="126" t="s">
        <v>1999</v>
      </c>
      <c r="F2285" s="125" t="s">
        <v>1607</v>
      </c>
      <c r="G2285" s="125" t="s">
        <v>134</v>
      </c>
      <c r="H2285">
        <v>41</v>
      </c>
      <c r="I2285" s="125" t="s">
        <v>1546</v>
      </c>
      <c r="J2285" s="308" t="s">
        <v>214</v>
      </c>
      <c r="K2285" s="127" t="s">
        <v>3797</v>
      </c>
      <c r="L2285" s="153" t="s">
        <v>1579</v>
      </c>
      <c r="M2285">
        <v>323</v>
      </c>
      <c r="N2285" s="123">
        <v>17</v>
      </c>
      <c r="O2285">
        <v>1502</v>
      </c>
      <c r="P2285" s="132" t="s">
        <v>77</v>
      </c>
      <c r="Q2285" s="132">
        <v>283.36</v>
      </c>
      <c r="R2285" s="132"/>
      <c r="S2285" s="132"/>
      <c r="T2285" s="156"/>
      <c r="U2285" s="132"/>
      <c r="V2285" s="132">
        <v>283.36</v>
      </c>
      <c r="W2285">
        <v>167</v>
      </c>
      <c r="X2285" s="153" t="s">
        <v>1644</v>
      </c>
      <c r="Y2285" s="124" t="s">
        <v>55</v>
      </c>
      <c r="Z2285" s="308">
        <v>218</v>
      </c>
      <c r="AB2285" t="str">
        <f>IF(Table1[[#This Row],[TIPO2]]="costo", VLOOKUP(Table1[[#This Row],[PARTIDA PRESUPUESTAL]],'Cost Report'!G:G,1,0),"Balance")</f>
        <v>3410-012</v>
      </c>
      <c r="AC2285" s="118"/>
      <c r="AD2285" s="159">
        <f>+Table1[[#This Row],[SUBTOTAL]]+Table1[[#This Row],[IVA]]-Table1[[#This Row],[RET IVA]]-Table1[[#This Row],[RET ISR]]-Table1[[#This Row],[TOTAL]]</f>
        <v>0</v>
      </c>
      <c r="AE2285" s="152"/>
      <c r="AF2285" s="153"/>
      <c r="AG2285" s="126" t="s">
        <v>3420</v>
      </c>
      <c r="AH2285" s="120">
        <f>+Table1[[#This Row],[CONCEPTO]]+Table1[[#This Row],[SUBTOTAL]]</f>
        <v>1785.3600000000001</v>
      </c>
      <c r="AK2285" s="306" t="str">
        <f>IF(ISNUMBER(Table1[[#This Row],[FECHA DE RECIBIDO]]), Table1[[#This Row],[FECHA DE RECIBIDO]]-DATE(2023,8,30), "")</f>
        <v/>
      </c>
    </row>
    <row r="2286" spans="1:37" ht="16.95" customHeight="1">
      <c r="A2286" s="150" t="s">
        <v>3766</v>
      </c>
      <c r="B2286" s="151">
        <v>790</v>
      </c>
      <c r="C2286" s="126" t="s">
        <v>977</v>
      </c>
      <c r="D2286">
        <v>1519</v>
      </c>
      <c r="E2286" s="126" t="s">
        <v>3264</v>
      </c>
      <c r="F2286" s="122" t="s">
        <v>1607</v>
      </c>
      <c r="G2286" s="122" t="s">
        <v>134</v>
      </c>
      <c r="H2286">
        <v>41</v>
      </c>
      <c r="I2286" s="122" t="s">
        <v>1546</v>
      </c>
      <c r="J2286" s="307" t="s">
        <v>214</v>
      </c>
      <c r="K2286" s="127" t="s">
        <v>3797</v>
      </c>
      <c r="L2286" s="151" t="s">
        <v>1579</v>
      </c>
      <c r="M2286">
        <v>323</v>
      </c>
      <c r="N2286" s="123">
        <v>17</v>
      </c>
      <c r="O2286">
        <v>1493</v>
      </c>
      <c r="P2286" s="132" t="s">
        <v>77</v>
      </c>
      <c r="Q2286" s="131">
        <v>1100.8599999999999</v>
      </c>
      <c r="R2286" s="131">
        <v>176.14</v>
      </c>
      <c r="S2286" s="131"/>
      <c r="T2286" s="155"/>
      <c r="U2286" s="131"/>
      <c r="V2286" s="131">
        <v>1277</v>
      </c>
      <c r="W2286">
        <v>167</v>
      </c>
      <c r="X2286" s="151" t="s">
        <v>1644</v>
      </c>
      <c r="Y2286" s="135" t="s">
        <v>55</v>
      </c>
      <c r="Z2286" s="307">
        <v>218</v>
      </c>
      <c r="AB2286" t="str">
        <f>IF(Table1[[#This Row],[TIPO2]]="costo", VLOOKUP(Table1[[#This Row],[PARTIDA PRESUPUESTAL]],'Cost Report'!G:G,1,0),"Balance")</f>
        <v>3410-012</v>
      </c>
      <c r="AC2286" s="118"/>
      <c r="AD2286" s="159">
        <f>+Table1[[#This Row],[SUBTOTAL]]+Table1[[#This Row],[IVA]]-Table1[[#This Row],[RET IVA]]-Table1[[#This Row],[RET ISR]]-Table1[[#This Row],[TOTAL]]</f>
        <v>0</v>
      </c>
      <c r="AE2286" s="150"/>
      <c r="AF2286" s="151"/>
      <c r="AG2286" s="126" t="s">
        <v>3420</v>
      </c>
      <c r="AH2286" s="120">
        <f>+Table1[[#This Row],[CONCEPTO]]+Table1[[#This Row],[SUBTOTAL]]</f>
        <v>2593.8599999999997</v>
      </c>
      <c r="AK2286" s="306" t="str">
        <f>IF(ISNUMBER(Table1[[#This Row],[FECHA DE RECIBIDO]]), Table1[[#This Row],[FECHA DE RECIBIDO]]-DATE(2023,8,30), "")</f>
        <v/>
      </c>
    </row>
    <row r="2287" spans="1:37" ht="16.95" customHeight="1">
      <c r="A2287" s="152" t="s">
        <v>3766</v>
      </c>
      <c r="B2287" s="153">
        <v>790</v>
      </c>
      <c r="C2287" s="126" t="s">
        <v>2443</v>
      </c>
      <c r="D2287">
        <v>689</v>
      </c>
      <c r="E2287" s="126"/>
      <c r="F2287" s="125"/>
      <c r="G2287" s="125"/>
      <c r="H2287"/>
      <c r="I2287" s="125"/>
      <c r="J2287" s="308">
        <v>209</v>
      </c>
      <c r="K2287" s="127" t="s">
        <v>3797</v>
      </c>
      <c r="L2287" s="153" t="s">
        <v>1579</v>
      </c>
      <c r="M2287">
        <v>636</v>
      </c>
      <c r="N2287" s="123">
        <v>17</v>
      </c>
      <c r="O2287">
        <v>1503</v>
      </c>
      <c r="P2287" s="132" t="s">
        <v>77</v>
      </c>
      <c r="Q2287" s="132">
        <v>55</v>
      </c>
      <c r="R2287" s="132"/>
      <c r="S2287" s="132"/>
      <c r="T2287" s="156"/>
      <c r="U2287" s="132"/>
      <c r="V2287" s="132">
        <v>55</v>
      </c>
      <c r="W2287">
        <v>167</v>
      </c>
      <c r="X2287" s="153" t="s">
        <v>1644</v>
      </c>
      <c r="Y2287" s="124" t="s">
        <v>55</v>
      </c>
      <c r="Z2287" s="308">
        <v>209</v>
      </c>
      <c r="AB2287" t="str">
        <f>IF(Table1[[#This Row],[TIPO2]]="costo", VLOOKUP(Table1[[#This Row],[PARTIDA PRESUPUESTAL]],'Cost Report'!G:G,1,0),"Balance")</f>
        <v>2080-003</v>
      </c>
      <c r="AC2287" s="118"/>
      <c r="AD2287" s="159">
        <f>+Table1[[#This Row],[SUBTOTAL]]+Table1[[#This Row],[IVA]]-Table1[[#This Row],[RET IVA]]-Table1[[#This Row],[RET ISR]]-Table1[[#This Row],[TOTAL]]</f>
        <v>0</v>
      </c>
      <c r="AE2287" s="152"/>
      <c r="AF2287" s="153"/>
      <c r="AG2287" s="126" t="s">
        <v>3420</v>
      </c>
      <c r="AH2287" s="120">
        <f>+Table1[[#This Row],[CONCEPTO]]+Table1[[#This Row],[SUBTOTAL]]</f>
        <v>1558</v>
      </c>
      <c r="AK2287" s="306">
        <f>IF(ISNUMBER(Table1[[#This Row],[FECHA DE RECIBIDO]]), Table1[[#This Row],[FECHA DE RECIBIDO]]-DATE(2023,8,30), "")</f>
        <v>-44959</v>
      </c>
    </row>
    <row r="2288" spans="1:37" ht="16.95" customHeight="1">
      <c r="A2288" s="150" t="s">
        <v>3766</v>
      </c>
      <c r="B2288" s="151">
        <v>790</v>
      </c>
      <c r="C2288" s="126" t="s">
        <v>3103</v>
      </c>
      <c r="D2288">
        <v>689</v>
      </c>
      <c r="E2288" s="126"/>
      <c r="F2288" s="122"/>
      <c r="G2288" s="122"/>
      <c r="H2288"/>
      <c r="I2288" s="122"/>
      <c r="J2288" s="307">
        <v>211</v>
      </c>
      <c r="K2288" s="127" t="s">
        <v>3797</v>
      </c>
      <c r="L2288" s="151" t="s">
        <v>1579</v>
      </c>
      <c r="M2288">
        <v>512</v>
      </c>
      <c r="N2288" s="123">
        <v>17</v>
      </c>
      <c r="O2288">
        <v>162</v>
      </c>
      <c r="P2288" s="132" t="s">
        <v>77</v>
      </c>
      <c r="Q2288" s="131">
        <v>34.22</v>
      </c>
      <c r="R2288" s="131"/>
      <c r="S2288" s="131"/>
      <c r="T2288" s="155"/>
      <c r="U2288" s="131"/>
      <c r="V2288" s="131">
        <v>34.22</v>
      </c>
      <c r="W2288">
        <v>167</v>
      </c>
      <c r="X2288" s="151" t="s">
        <v>1644</v>
      </c>
      <c r="Y2288" s="135" t="s">
        <v>55</v>
      </c>
      <c r="Z2288" s="307">
        <v>211</v>
      </c>
      <c r="AB2288" t="str">
        <f>IF(Table1[[#This Row],[TIPO2]]="costo", VLOOKUP(Table1[[#This Row],[PARTIDA PRESUPUESTAL]],'Cost Report'!G:G,1,0),"Balance")</f>
        <v>7038-009</v>
      </c>
      <c r="AC2288" s="118"/>
      <c r="AD2288" s="159">
        <f>+Table1[[#This Row],[SUBTOTAL]]+Table1[[#This Row],[IVA]]-Table1[[#This Row],[RET IVA]]-Table1[[#This Row],[RET ISR]]-Table1[[#This Row],[TOTAL]]</f>
        <v>0</v>
      </c>
      <c r="AE2288" s="150"/>
      <c r="AF2288" s="151"/>
      <c r="AG2288" s="126" t="s">
        <v>3420</v>
      </c>
      <c r="AH2288" s="120">
        <f>+Table1[[#This Row],[CONCEPTO]]+Table1[[#This Row],[SUBTOTAL]]</f>
        <v>196.22</v>
      </c>
      <c r="AK2288" s="306">
        <f>IF(ISNUMBER(Table1[[#This Row],[FECHA DE RECIBIDO]]), Table1[[#This Row],[FECHA DE RECIBIDO]]-DATE(2023,8,30), "")</f>
        <v>-44957</v>
      </c>
    </row>
    <row r="2289" spans="1:37" ht="16.95" customHeight="1">
      <c r="A2289" s="152" t="s">
        <v>3766</v>
      </c>
      <c r="B2289" s="153">
        <v>790</v>
      </c>
      <c r="C2289" s="126" t="s">
        <v>3103</v>
      </c>
      <c r="D2289">
        <v>689</v>
      </c>
      <c r="E2289" s="126"/>
      <c r="F2289" s="125"/>
      <c r="G2289" s="125"/>
      <c r="H2289"/>
      <c r="I2289" s="125"/>
      <c r="J2289" s="308">
        <v>211</v>
      </c>
      <c r="K2289" s="127" t="s">
        <v>3797</v>
      </c>
      <c r="L2289" s="153" t="s">
        <v>1579</v>
      </c>
      <c r="M2289">
        <v>512</v>
      </c>
      <c r="N2289" s="123">
        <v>17</v>
      </c>
      <c r="O2289">
        <v>162</v>
      </c>
      <c r="P2289" s="132" t="s">
        <v>77</v>
      </c>
      <c r="Q2289" s="132">
        <v>34.22</v>
      </c>
      <c r="R2289" s="132"/>
      <c r="S2289" s="132"/>
      <c r="T2289" s="156"/>
      <c r="U2289" s="132"/>
      <c r="V2289" s="132">
        <v>34.22</v>
      </c>
      <c r="W2289">
        <v>167</v>
      </c>
      <c r="X2289" s="153" t="s">
        <v>1644</v>
      </c>
      <c r="Y2289" s="124" t="s">
        <v>55</v>
      </c>
      <c r="Z2289" s="308">
        <v>211</v>
      </c>
      <c r="AB2289" t="str">
        <f>IF(Table1[[#This Row],[TIPO2]]="costo", VLOOKUP(Table1[[#This Row],[PARTIDA PRESUPUESTAL]],'Cost Report'!G:G,1,0),"Balance")</f>
        <v>7038-009</v>
      </c>
      <c r="AC2289" s="118"/>
      <c r="AD2289" s="159">
        <f>+Table1[[#This Row],[SUBTOTAL]]+Table1[[#This Row],[IVA]]-Table1[[#This Row],[RET IVA]]-Table1[[#This Row],[RET ISR]]-Table1[[#This Row],[TOTAL]]</f>
        <v>0</v>
      </c>
      <c r="AE2289" s="152"/>
      <c r="AF2289" s="153"/>
      <c r="AG2289" s="126" t="s">
        <v>3420</v>
      </c>
      <c r="AH2289" s="120">
        <f>+Table1[[#This Row],[CONCEPTO]]+Table1[[#This Row],[SUBTOTAL]]</f>
        <v>196.22</v>
      </c>
      <c r="AK2289" s="306">
        <f>IF(ISNUMBER(Table1[[#This Row],[FECHA DE RECIBIDO]]), Table1[[#This Row],[FECHA DE RECIBIDO]]-DATE(2023,8,30), "")</f>
        <v>-44957</v>
      </c>
    </row>
    <row r="2290" spans="1:37" ht="16.95" customHeight="1">
      <c r="A2290" s="150" t="s">
        <v>3766</v>
      </c>
      <c r="B2290" s="151">
        <v>790</v>
      </c>
      <c r="C2290" s="126" t="s">
        <v>977</v>
      </c>
      <c r="D2290">
        <v>689</v>
      </c>
      <c r="E2290" s="126"/>
      <c r="F2290" s="122"/>
      <c r="G2290" s="122"/>
      <c r="H2290"/>
      <c r="I2290" s="122"/>
      <c r="J2290" s="307">
        <v>212</v>
      </c>
      <c r="K2290" s="127" t="s">
        <v>3797</v>
      </c>
      <c r="L2290" s="151" t="s">
        <v>1579</v>
      </c>
      <c r="M2290">
        <v>637</v>
      </c>
      <c r="N2290" s="123">
        <v>17</v>
      </c>
      <c r="O2290">
        <v>1504</v>
      </c>
      <c r="P2290" s="132" t="s">
        <v>77</v>
      </c>
      <c r="Q2290" s="131">
        <v>567</v>
      </c>
      <c r="R2290" s="131"/>
      <c r="S2290" s="131"/>
      <c r="T2290" s="155"/>
      <c r="U2290" s="131"/>
      <c r="V2290" s="131">
        <v>567</v>
      </c>
      <c r="W2290">
        <v>167</v>
      </c>
      <c r="X2290" s="151" t="s">
        <v>1644</v>
      </c>
      <c r="Y2290" s="135" t="s">
        <v>55</v>
      </c>
      <c r="Z2290" s="307">
        <v>212</v>
      </c>
      <c r="AB2290" t="str">
        <f>IF(Table1[[#This Row],[TIPO2]]="costo", VLOOKUP(Table1[[#This Row],[PARTIDA PRESUPUESTAL]],'Cost Report'!G:G,1,0),"Balance")</f>
        <v>3410-012</v>
      </c>
      <c r="AC2290" s="118"/>
      <c r="AD2290" s="159">
        <f>+Table1[[#This Row],[SUBTOTAL]]+Table1[[#This Row],[IVA]]-Table1[[#This Row],[RET IVA]]-Table1[[#This Row],[RET ISR]]-Table1[[#This Row],[TOTAL]]</f>
        <v>0</v>
      </c>
      <c r="AE2290" s="150"/>
      <c r="AF2290" s="151"/>
      <c r="AG2290" s="126" t="s">
        <v>3420</v>
      </c>
      <c r="AH2290" s="120">
        <f>+Table1[[#This Row],[CONCEPTO]]+Table1[[#This Row],[SUBTOTAL]]</f>
        <v>2071</v>
      </c>
      <c r="AK2290" s="306">
        <f>IF(ISNUMBER(Table1[[#This Row],[FECHA DE RECIBIDO]]), Table1[[#This Row],[FECHA DE RECIBIDO]]-DATE(2023,8,30), "")</f>
        <v>-44956</v>
      </c>
    </row>
    <row r="2291" spans="1:37" ht="16.95" customHeight="1">
      <c r="A2291" s="152" t="s">
        <v>3766</v>
      </c>
      <c r="B2291" s="153">
        <v>790</v>
      </c>
      <c r="C2291" s="126" t="s">
        <v>69</v>
      </c>
      <c r="D2291">
        <v>689</v>
      </c>
      <c r="E2291" s="126"/>
      <c r="F2291" s="125"/>
      <c r="G2291" s="125"/>
      <c r="H2291"/>
      <c r="I2291" s="125"/>
      <c r="J2291" s="308">
        <v>216</v>
      </c>
      <c r="K2291" s="127" t="s">
        <v>3797</v>
      </c>
      <c r="L2291" s="153" t="s">
        <v>1579</v>
      </c>
      <c r="M2291">
        <v>638</v>
      </c>
      <c r="N2291" s="123">
        <v>17</v>
      </c>
      <c r="O2291">
        <v>1505</v>
      </c>
      <c r="P2291" s="131" t="s">
        <v>78</v>
      </c>
      <c r="Q2291" s="132">
        <v>3000</v>
      </c>
      <c r="R2291" s="132"/>
      <c r="S2291" s="132"/>
      <c r="T2291" s="156"/>
      <c r="U2291" s="132"/>
      <c r="V2291" s="132">
        <v>3000</v>
      </c>
      <c r="W2291">
        <v>167</v>
      </c>
      <c r="X2291" s="153" t="s">
        <v>1644</v>
      </c>
      <c r="Y2291" s="124" t="s">
        <v>55</v>
      </c>
      <c r="Z2291" s="308">
        <v>216</v>
      </c>
      <c r="AB2291" t="str">
        <f>IF(Table1[[#This Row],[TIPO2]]="costo", VLOOKUP(Table1[[#This Row],[PARTIDA PRESUPUESTAL]],'Cost Report'!G:G,1,0),"Balance")</f>
        <v>Balance</v>
      </c>
      <c r="AC2291" s="118"/>
      <c r="AD2291" s="159">
        <f>+Table1[[#This Row],[SUBTOTAL]]+Table1[[#This Row],[IVA]]-Table1[[#This Row],[RET IVA]]-Table1[[#This Row],[RET ISR]]-Table1[[#This Row],[TOTAL]]</f>
        <v>0</v>
      </c>
      <c r="AE2291" s="152"/>
      <c r="AF2291" s="153"/>
      <c r="AG2291" s="126" t="s">
        <v>3420</v>
      </c>
      <c r="AH2291" s="120">
        <f>+Table1[[#This Row],[CONCEPTO]]+Table1[[#This Row],[SUBTOTAL]]</f>
        <v>4505</v>
      </c>
      <c r="AK2291" s="306">
        <f>IF(ISNUMBER(Table1[[#This Row],[FECHA DE RECIBIDO]]), Table1[[#This Row],[FECHA DE RECIBIDO]]-DATE(2023,8,30), "")</f>
        <v>-44952</v>
      </c>
    </row>
    <row r="2292" spans="1:37" ht="16.95" customHeight="1">
      <c r="A2292" s="150" t="s">
        <v>3766</v>
      </c>
      <c r="B2292" s="151">
        <v>790</v>
      </c>
      <c r="C2292" s="126" t="s">
        <v>3103</v>
      </c>
      <c r="D2292">
        <v>689</v>
      </c>
      <c r="E2292" s="126"/>
      <c r="F2292" s="122"/>
      <c r="G2292" s="122"/>
      <c r="H2292"/>
      <c r="I2292" s="122"/>
      <c r="J2292" s="307">
        <v>216</v>
      </c>
      <c r="K2292" s="127" t="s">
        <v>3797</v>
      </c>
      <c r="L2292" s="151" t="s">
        <v>1579</v>
      </c>
      <c r="M2292">
        <v>512</v>
      </c>
      <c r="N2292" s="123">
        <v>17</v>
      </c>
      <c r="O2292">
        <v>162</v>
      </c>
      <c r="P2292" s="132" t="s">
        <v>77</v>
      </c>
      <c r="Q2292" s="131">
        <v>34.22</v>
      </c>
      <c r="R2292" s="131"/>
      <c r="S2292" s="131"/>
      <c r="T2292" s="155"/>
      <c r="U2292" s="131"/>
      <c r="V2292" s="131">
        <v>34.22</v>
      </c>
      <c r="W2292">
        <v>167</v>
      </c>
      <c r="X2292" s="151" t="s">
        <v>1644</v>
      </c>
      <c r="Y2292" s="135" t="s">
        <v>55</v>
      </c>
      <c r="Z2292" s="307">
        <v>216</v>
      </c>
      <c r="AB2292" t="str">
        <f>IF(Table1[[#This Row],[TIPO2]]="costo", VLOOKUP(Table1[[#This Row],[PARTIDA PRESUPUESTAL]],'Cost Report'!G:G,1,0),"Balance")</f>
        <v>7038-009</v>
      </c>
      <c r="AC2292" s="118"/>
      <c r="AD2292" s="159">
        <f>+Table1[[#This Row],[SUBTOTAL]]+Table1[[#This Row],[IVA]]-Table1[[#This Row],[RET IVA]]-Table1[[#This Row],[RET ISR]]-Table1[[#This Row],[TOTAL]]</f>
        <v>0</v>
      </c>
      <c r="AE2292" s="150"/>
      <c r="AF2292" s="151"/>
      <c r="AG2292" s="126" t="s">
        <v>3420</v>
      </c>
      <c r="AH2292" s="120">
        <f>+Table1[[#This Row],[CONCEPTO]]+Table1[[#This Row],[SUBTOTAL]]</f>
        <v>196.22</v>
      </c>
      <c r="AK2292" s="306">
        <f>IF(ISNUMBER(Table1[[#This Row],[FECHA DE RECIBIDO]]), Table1[[#This Row],[FECHA DE RECIBIDO]]-DATE(2023,8,30), "")</f>
        <v>-44952</v>
      </c>
    </row>
    <row r="2293" spans="1:37" ht="16.95" customHeight="1">
      <c r="A2293" s="152" t="s">
        <v>3766</v>
      </c>
      <c r="B2293" s="153">
        <v>790</v>
      </c>
      <c r="C2293" s="126" t="s">
        <v>2443</v>
      </c>
      <c r="D2293">
        <v>689</v>
      </c>
      <c r="E2293" s="126"/>
      <c r="F2293" s="125"/>
      <c r="G2293" s="125"/>
      <c r="H2293"/>
      <c r="I2293" s="125"/>
      <c r="J2293" s="308">
        <v>220</v>
      </c>
      <c r="K2293" s="127" t="s">
        <v>3797</v>
      </c>
      <c r="L2293" s="153" t="s">
        <v>1579</v>
      </c>
      <c r="M2293">
        <v>639</v>
      </c>
      <c r="N2293" s="123">
        <v>17</v>
      </c>
      <c r="O2293">
        <v>1506</v>
      </c>
      <c r="P2293" s="132" t="s">
        <v>77</v>
      </c>
      <c r="Q2293" s="132">
        <v>1000</v>
      </c>
      <c r="R2293" s="132"/>
      <c r="S2293" s="132"/>
      <c r="T2293" s="156"/>
      <c r="U2293" s="132"/>
      <c r="V2293" s="132">
        <v>1000</v>
      </c>
      <c r="W2293">
        <v>167</v>
      </c>
      <c r="X2293" s="153" t="s">
        <v>1644</v>
      </c>
      <c r="Y2293" s="124" t="s">
        <v>55</v>
      </c>
      <c r="Z2293" s="308">
        <v>220</v>
      </c>
      <c r="AB2293" t="str">
        <f>IF(Table1[[#This Row],[TIPO2]]="costo", VLOOKUP(Table1[[#This Row],[PARTIDA PRESUPUESTAL]],'Cost Report'!G:G,1,0),"Balance")</f>
        <v>2080-003</v>
      </c>
      <c r="AC2293" s="118"/>
      <c r="AD2293" s="159">
        <f>+Table1[[#This Row],[SUBTOTAL]]+Table1[[#This Row],[IVA]]-Table1[[#This Row],[RET IVA]]-Table1[[#This Row],[RET ISR]]-Table1[[#This Row],[TOTAL]]</f>
        <v>0</v>
      </c>
      <c r="AE2293" s="152"/>
      <c r="AF2293" s="153"/>
      <c r="AG2293" s="126" t="s">
        <v>3420</v>
      </c>
      <c r="AH2293" s="120">
        <f>+Table1[[#This Row],[CONCEPTO]]+Table1[[#This Row],[SUBTOTAL]]</f>
        <v>2506</v>
      </c>
      <c r="AK2293" s="306">
        <f>IF(ISNUMBER(Table1[[#This Row],[FECHA DE RECIBIDO]]), Table1[[#This Row],[FECHA DE RECIBIDO]]-DATE(2023,8,30), "")</f>
        <v>-44948</v>
      </c>
    </row>
    <row r="2294" spans="1:37" ht="16.95" customHeight="1">
      <c r="A2294" s="150" t="s">
        <v>3766</v>
      </c>
      <c r="B2294" s="151">
        <v>790</v>
      </c>
      <c r="C2294" s="126" t="s">
        <v>3103</v>
      </c>
      <c r="D2294">
        <v>689</v>
      </c>
      <c r="E2294" s="126"/>
      <c r="F2294" s="122"/>
      <c r="G2294" s="122"/>
      <c r="H2294"/>
      <c r="I2294" s="122"/>
      <c r="J2294" s="307">
        <v>220</v>
      </c>
      <c r="K2294" s="127" t="s">
        <v>3797</v>
      </c>
      <c r="L2294" s="151" t="s">
        <v>1579</v>
      </c>
      <c r="M2294">
        <v>512</v>
      </c>
      <c r="N2294" s="123">
        <v>17</v>
      </c>
      <c r="O2294">
        <v>162</v>
      </c>
      <c r="P2294" s="132" t="s">
        <v>77</v>
      </c>
      <c r="Q2294" s="131">
        <v>34.22</v>
      </c>
      <c r="R2294" s="131"/>
      <c r="S2294" s="131"/>
      <c r="T2294" s="155"/>
      <c r="U2294" s="131"/>
      <c r="V2294" s="131">
        <v>34.22</v>
      </c>
      <c r="W2294">
        <v>167</v>
      </c>
      <c r="X2294" s="151" t="s">
        <v>1644</v>
      </c>
      <c r="Y2294" s="135" t="s">
        <v>55</v>
      </c>
      <c r="Z2294" s="307">
        <v>220</v>
      </c>
      <c r="AB2294" t="str">
        <f>IF(Table1[[#This Row],[TIPO2]]="costo", VLOOKUP(Table1[[#This Row],[PARTIDA PRESUPUESTAL]],'Cost Report'!G:G,1,0),"Balance")</f>
        <v>7038-009</v>
      </c>
      <c r="AC2294" s="118"/>
      <c r="AD2294" s="159">
        <f>+Table1[[#This Row],[SUBTOTAL]]+Table1[[#This Row],[IVA]]-Table1[[#This Row],[RET IVA]]-Table1[[#This Row],[RET ISR]]-Table1[[#This Row],[TOTAL]]</f>
        <v>0</v>
      </c>
      <c r="AE2294" s="150"/>
      <c r="AF2294" s="151"/>
      <c r="AG2294" s="126" t="s">
        <v>3420</v>
      </c>
      <c r="AH2294" s="120">
        <f>+Table1[[#This Row],[CONCEPTO]]+Table1[[#This Row],[SUBTOTAL]]</f>
        <v>196.22</v>
      </c>
      <c r="AK2294" s="306">
        <f>IF(ISNUMBER(Table1[[#This Row],[FECHA DE RECIBIDO]]), Table1[[#This Row],[FECHA DE RECIBIDO]]-DATE(2023,8,30), "")</f>
        <v>-44948</v>
      </c>
    </row>
    <row r="2295" spans="1:37" ht="16.95" customHeight="1">
      <c r="A2295" s="152" t="s">
        <v>3767</v>
      </c>
      <c r="B2295" s="153">
        <v>791</v>
      </c>
      <c r="C2295" s="126" t="s">
        <v>4210</v>
      </c>
      <c r="D2295">
        <v>1520</v>
      </c>
      <c r="E2295" s="126" t="s">
        <v>2075</v>
      </c>
      <c r="F2295" s="125" t="s">
        <v>2062</v>
      </c>
      <c r="G2295" s="125" t="e">
        <v>#N/A</v>
      </c>
      <c r="H2295">
        <v>146</v>
      </c>
      <c r="I2295" s="125" t="s">
        <v>1546</v>
      </c>
      <c r="J2295" s="308" t="s">
        <v>214</v>
      </c>
      <c r="K2295" s="127" t="s">
        <v>3797</v>
      </c>
      <c r="L2295" s="153" t="s">
        <v>1579</v>
      </c>
      <c r="M2295">
        <v>192</v>
      </c>
      <c r="N2295" s="123">
        <v>17</v>
      </c>
      <c r="O2295">
        <v>1507</v>
      </c>
      <c r="P2295" s="132" t="s">
        <v>77</v>
      </c>
      <c r="Q2295" s="132">
        <v>1082.33</v>
      </c>
      <c r="R2295" s="132">
        <v>173.17</v>
      </c>
      <c r="S2295" s="132"/>
      <c r="T2295" s="156"/>
      <c r="U2295" s="132"/>
      <c r="V2295" s="132">
        <v>1255.5</v>
      </c>
      <c r="W2295">
        <v>93</v>
      </c>
      <c r="X2295" s="153" t="s">
        <v>1644</v>
      </c>
      <c r="Y2295" s="124" t="s">
        <v>55</v>
      </c>
      <c r="Z2295" s="308">
        <v>209</v>
      </c>
      <c r="AB2295" t="str">
        <f>IF(Table1[[#This Row],[TIPO2]]="costo", VLOOKUP(Table1[[#This Row],[PARTIDA PRESUPUESTAL]],'Cost Report'!G:G,1,0),"Balance")</f>
        <v>3901-051</v>
      </c>
      <c r="AC2295" s="118"/>
      <c r="AD2295" s="159">
        <f>+Table1[[#This Row],[SUBTOTAL]]+Table1[[#This Row],[IVA]]-Table1[[#This Row],[RET IVA]]-Table1[[#This Row],[RET ISR]]-Table1[[#This Row],[TOTAL]]</f>
        <v>0</v>
      </c>
      <c r="AE2295" s="152"/>
      <c r="AF2295" s="153"/>
      <c r="AG2295" s="126" t="s">
        <v>3420</v>
      </c>
      <c r="AH2295" s="120">
        <f>+Table1[[#This Row],[CONCEPTO]]+Table1[[#This Row],[SUBTOTAL]]</f>
        <v>2589.33</v>
      </c>
      <c r="AK2295" s="306" t="str">
        <f>IF(ISNUMBER(Table1[[#This Row],[FECHA DE RECIBIDO]]), Table1[[#This Row],[FECHA DE RECIBIDO]]-DATE(2023,8,30), "")</f>
        <v/>
      </c>
    </row>
    <row r="2296" spans="1:37" ht="16.95" customHeight="1">
      <c r="A2296" s="150" t="s">
        <v>3767</v>
      </c>
      <c r="B2296" s="151">
        <v>791</v>
      </c>
      <c r="C2296" s="126" t="s">
        <v>2443</v>
      </c>
      <c r="D2296">
        <v>1521</v>
      </c>
      <c r="E2296" s="126" t="s">
        <v>1603</v>
      </c>
      <c r="F2296" s="122" t="s">
        <v>1607</v>
      </c>
      <c r="G2296" s="122" t="s">
        <v>134</v>
      </c>
      <c r="H2296">
        <v>273</v>
      </c>
      <c r="I2296" s="122" t="s">
        <v>1546</v>
      </c>
      <c r="J2296" s="307" t="s">
        <v>214</v>
      </c>
      <c r="K2296" s="127" t="s">
        <v>3797</v>
      </c>
      <c r="L2296" s="151" t="s">
        <v>1579</v>
      </c>
      <c r="M2296">
        <v>364</v>
      </c>
      <c r="N2296" s="123">
        <v>17</v>
      </c>
      <c r="O2296">
        <v>1508</v>
      </c>
      <c r="P2296" s="132" t="s">
        <v>77</v>
      </c>
      <c r="Q2296" s="131">
        <v>207.59</v>
      </c>
      <c r="R2296" s="131">
        <v>33.21</v>
      </c>
      <c r="S2296" s="131"/>
      <c r="T2296" s="155"/>
      <c r="U2296" s="131"/>
      <c r="V2296" s="131">
        <v>240.8</v>
      </c>
      <c r="W2296">
        <v>93</v>
      </c>
      <c r="X2296" s="151" t="s">
        <v>1644</v>
      </c>
      <c r="Y2296" s="135" t="s">
        <v>55</v>
      </c>
      <c r="Z2296" s="307">
        <v>209</v>
      </c>
      <c r="AB2296" t="str">
        <f>IF(Table1[[#This Row],[TIPO2]]="costo", VLOOKUP(Table1[[#This Row],[PARTIDA PRESUPUESTAL]],'Cost Report'!G:G,1,0),"Balance")</f>
        <v>2080-003</v>
      </c>
      <c r="AC2296" s="118"/>
      <c r="AD2296" s="159">
        <f>+Table1[[#This Row],[SUBTOTAL]]+Table1[[#This Row],[IVA]]-Table1[[#This Row],[RET IVA]]-Table1[[#This Row],[RET ISR]]-Table1[[#This Row],[TOTAL]]</f>
        <v>0</v>
      </c>
      <c r="AE2296" s="150"/>
      <c r="AF2296" s="151"/>
      <c r="AG2296" s="126" t="s">
        <v>3420</v>
      </c>
      <c r="AH2296" s="120">
        <f>+Table1[[#This Row],[CONCEPTO]]+Table1[[#This Row],[SUBTOTAL]]</f>
        <v>1715.59</v>
      </c>
      <c r="AK2296" s="306" t="str">
        <f>IF(ISNUMBER(Table1[[#This Row],[FECHA DE RECIBIDO]]), Table1[[#This Row],[FECHA DE RECIBIDO]]-DATE(2023,8,30), "")</f>
        <v/>
      </c>
    </row>
    <row r="2297" spans="1:37" ht="16.95" customHeight="1">
      <c r="A2297" s="152" t="s">
        <v>3767</v>
      </c>
      <c r="B2297" s="153">
        <v>791</v>
      </c>
      <c r="C2297" s="126" t="s">
        <v>2443</v>
      </c>
      <c r="D2297">
        <v>1522</v>
      </c>
      <c r="E2297" s="126" t="s">
        <v>1603</v>
      </c>
      <c r="F2297" s="125" t="s">
        <v>1607</v>
      </c>
      <c r="G2297" s="125" t="s">
        <v>134</v>
      </c>
      <c r="H2297">
        <v>273</v>
      </c>
      <c r="I2297" s="125" t="s">
        <v>1546</v>
      </c>
      <c r="J2297" s="308" t="s">
        <v>214</v>
      </c>
      <c r="K2297" s="127" t="s">
        <v>3797</v>
      </c>
      <c r="L2297" s="153" t="s">
        <v>1579</v>
      </c>
      <c r="M2297">
        <v>364</v>
      </c>
      <c r="N2297" s="123">
        <v>17</v>
      </c>
      <c r="O2297">
        <v>1509</v>
      </c>
      <c r="P2297" s="132" t="s">
        <v>77</v>
      </c>
      <c r="Q2297" s="132">
        <v>333.62</v>
      </c>
      <c r="R2297" s="132">
        <v>53.38</v>
      </c>
      <c r="S2297" s="132"/>
      <c r="T2297" s="156"/>
      <c r="U2297" s="132"/>
      <c r="V2297" s="132">
        <v>387</v>
      </c>
      <c r="W2297">
        <v>93</v>
      </c>
      <c r="X2297" s="153" t="s">
        <v>1644</v>
      </c>
      <c r="Y2297" s="124" t="s">
        <v>55</v>
      </c>
      <c r="Z2297" s="308">
        <v>209</v>
      </c>
      <c r="AB2297" t="str">
        <f>IF(Table1[[#This Row],[TIPO2]]="costo", VLOOKUP(Table1[[#This Row],[PARTIDA PRESUPUESTAL]],'Cost Report'!G:G,1,0),"Balance")</f>
        <v>2080-003</v>
      </c>
      <c r="AC2297" s="118"/>
      <c r="AD2297" s="159">
        <f>+Table1[[#This Row],[SUBTOTAL]]+Table1[[#This Row],[IVA]]-Table1[[#This Row],[RET IVA]]-Table1[[#This Row],[RET ISR]]-Table1[[#This Row],[TOTAL]]</f>
        <v>0</v>
      </c>
      <c r="AE2297" s="152"/>
      <c r="AF2297" s="153"/>
      <c r="AG2297" s="126" t="s">
        <v>3420</v>
      </c>
      <c r="AH2297" s="120">
        <f>+Table1[[#This Row],[CONCEPTO]]+Table1[[#This Row],[SUBTOTAL]]</f>
        <v>1842.62</v>
      </c>
      <c r="AK2297" s="306" t="str">
        <f>IF(ISNUMBER(Table1[[#This Row],[FECHA DE RECIBIDO]]), Table1[[#This Row],[FECHA DE RECIBIDO]]-DATE(2023,8,30), "")</f>
        <v/>
      </c>
    </row>
    <row r="2298" spans="1:37" ht="16.95" customHeight="1">
      <c r="A2298" s="150" t="s">
        <v>3767</v>
      </c>
      <c r="B2298" s="151">
        <v>791</v>
      </c>
      <c r="C2298" s="126" t="s">
        <v>1770</v>
      </c>
      <c r="D2298">
        <v>1523</v>
      </c>
      <c r="E2298" s="126" t="s">
        <v>1624</v>
      </c>
      <c r="F2298" s="122" t="s">
        <v>1607</v>
      </c>
      <c r="G2298" s="122" t="s">
        <v>134</v>
      </c>
      <c r="H2298">
        <v>46</v>
      </c>
      <c r="I2298" s="122" t="s">
        <v>1546</v>
      </c>
      <c r="J2298" s="307" t="s">
        <v>214</v>
      </c>
      <c r="K2298" s="127" t="s">
        <v>3797</v>
      </c>
      <c r="L2298" s="151" t="s">
        <v>1579</v>
      </c>
      <c r="M2298">
        <v>58</v>
      </c>
      <c r="N2298" s="123">
        <v>17</v>
      </c>
      <c r="O2298">
        <v>1510</v>
      </c>
      <c r="P2298" s="132" t="s">
        <v>77</v>
      </c>
      <c r="Q2298" s="131">
        <v>668.97</v>
      </c>
      <c r="R2298" s="131">
        <v>107.04</v>
      </c>
      <c r="S2298" s="131"/>
      <c r="T2298" s="155"/>
      <c r="U2298" s="131"/>
      <c r="V2298" s="131">
        <v>776.01</v>
      </c>
      <c r="W2298">
        <v>93</v>
      </c>
      <c r="X2298" s="151" t="s">
        <v>1644</v>
      </c>
      <c r="Y2298" s="135" t="s">
        <v>55</v>
      </c>
      <c r="Z2298" s="307">
        <v>212</v>
      </c>
      <c r="AB2298" t="str">
        <f>IF(Table1[[#This Row],[TIPO2]]="costo", VLOOKUP(Table1[[#This Row],[PARTIDA PRESUPUESTAL]],'Cost Report'!G:G,1,0),"Balance")</f>
        <v>3901-038</v>
      </c>
      <c r="AC2298" s="118"/>
      <c r="AD2298" s="159">
        <f>+Table1[[#This Row],[SUBTOTAL]]+Table1[[#This Row],[IVA]]-Table1[[#This Row],[RET IVA]]-Table1[[#This Row],[RET ISR]]-Table1[[#This Row],[TOTAL]]</f>
        <v>0</v>
      </c>
      <c r="AE2298" s="150"/>
      <c r="AF2298" s="151"/>
      <c r="AG2298" s="126" t="s">
        <v>3420</v>
      </c>
      <c r="AH2298" s="120">
        <f>+Table1[[#This Row],[CONCEPTO]]+Table1[[#This Row],[SUBTOTAL]]</f>
        <v>2178.9700000000003</v>
      </c>
      <c r="AK2298" s="306" t="str">
        <f>IF(ISNUMBER(Table1[[#This Row],[FECHA DE RECIBIDO]]), Table1[[#This Row],[FECHA DE RECIBIDO]]-DATE(2023,8,30), "")</f>
        <v/>
      </c>
    </row>
    <row r="2299" spans="1:37" ht="16.95" customHeight="1">
      <c r="A2299" s="152" t="s">
        <v>3767</v>
      </c>
      <c r="B2299" s="153">
        <v>791</v>
      </c>
      <c r="C2299" s="126" t="s">
        <v>1770</v>
      </c>
      <c r="D2299">
        <v>1524</v>
      </c>
      <c r="E2299" s="126" t="s">
        <v>1624</v>
      </c>
      <c r="F2299" s="125" t="s">
        <v>1607</v>
      </c>
      <c r="G2299" s="125" t="s">
        <v>134</v>
      </c>
      <c r="H2299">
        <v>46</v>
      </c>
      <c r="I2299" s="125" t="s">
        <v>1546</v>
      </c>
      <c r="J2299" s="308" t="s">
        <v>214</v>
      </c>
      <c r="K2299" s="127" t="s">
        <v>3797</v>
      </c>
      <c r="L2299" s="153" t="s">
        <v>1579</v>
      </c>
      <c r="M2299">
        <v>58</v>
      </c>
      <c r="N2299" s="123">
        <v>17</v>
      </c>
      <c r="O2299">
        <v>1511</v>
      </c>
      <c r="P2299" s="132" t="s">
        <v>77</v>
      </c>
      <c r="Q2299" s="132">
        <v>1565</v>
      </c>
      <c r="R2299" s="132">
        <v>250.4</v>
      </c>
      <c r="S2299" s="132"/>
      <c r="T2299" s="156"/>
      <c r="U2299" s="132"/>
      <c r="V2299" s="132">
        <v>1815.4</v>
      </c>
      <c r="W2299">
        <v>93</v>
      </c>
      <c r="X2299" s="153" t="s">
        <v>1644</v>
      </c>
      <c r="Y2299" s="124" t="s">
        <v>55</v>
      </c>
      <c r="Z2299" s="308">
        <v>212</v>
      </c>
      <c r="AB2299" t="str">
        <f>IF(Table1[[#This Row],[TIPO2]]="costo", VLOOKUP(Table1[[#This Row],[PARTIDA PRESUPUESTAL]],'Cost Report'!G:G,1,0),"Balance")</f>
        <v>3901-038</v>
      </c>
      <c r="AC2299" s="118"/>
      <c r="AD2299" s="159">
        <f>+Table1[[#This Row],[SUBTOTAL]]+Table1[[#This Row],[IVA]]-Table1[[#This Row],[RET IVA]]-Table1[[#This Row],[RET ISR]]-Table1[[#This Row],[TOTAL]]</f>
        <v>0</v>
      </c>
      <c r="AE2299" s="152"/>
      <c r="AF2299" s="153"/>
      <c r="AG2299" s="126" t="s">
        <v>3420</v>
      </c>
      <c r="AH2299" s="120">
        <f>+Table1[[#This Row],[CONCEPTO]]+Table1[[#This Row],[SUBTOTAL]]</f>
        <v>3076</v>
      </c>
      <c r="AK2299" s="306" t="str">
        <f>IF(ISNUMBER(Table1[[#This Row],[FECHA DE RECIBIDO]]), Table1[[#This Row],[FECHA DE RECIBIDO]]-DATE(2023,8,30), "")</f>
        <v/>
      </c>
    </row>
    <row r="2300" spans="1:37" ht="16.95" customHeight="1">
      <c r="A2300" s="150" t="s">
        <v>3767</v>
      </c>
      <c r="B2300" s="151">
        <v>791</v>
      </c>
      <c r="C2300" s="126" t="s">
        <v>2952</v>
      </c>
      <c r="D2300">
        <v>1525</v>
      </c>
      <c r="E2300" s="126" t="s">
        <v>1624</v>
      </c>
      <c r="F2300" s="122" t="s">
        <v>1607</v>
      </c>
      <c r="G2300" s="122" t="s">
        <v>134</v>
      </c>
      <c r="H2300">
        <v>46</v>
      </c>
      <c r="I2300" s="122" t="s">
        <v>1546</v>
      </c>
      <c r="J2300" s="307" t="s">
        <v>214</v>
      </c>
      <c r="K2300" s="127" t="s">
        <v>3797</v>
      </c>
      <c r="L2300" s="151" t="s">
        <v>1579</v>
      </c>
      <c r="M2300">
        <v>58</v>
      </c>
      <c r="N2300" s="123">
        <v>17</v>
      </c>
      <c r="O2300">
        <v>1512</v>
      </c>
      <c r="P2300" s="132" t="s">
        <v>77</v>
      </c>
      <c r="Q2300" s="131">
        <v>1574.78</v>
      </c>
      <c r="R2300" s="131">
        <v>154.49</v>
      </c>
      <c r="S2300" s="131"/>
      <c r="T2300" s="155"/>
      <c r="U2300" s="131"/>
      <c r="V2300" s="131">
        <v>1729.27</v>
      </c>
      <c r="W2300">
        <v>93</v>
      </c>
      <c r="X2300" s="151" t="s">
        <v>1644</v>
      </c>
      <c r="Y2300" s="135" t="s">
        <v>55</v>
      </c>
      <c r="Z2300" s="307">
        <v>212</v>
      </c>
      <c r="AB2300" t="str">
        <f>IF(Table1[[#This Row],[TIPO2]]="costo", VLOOKUP(Table1[[#This Row],[PARTIDA PRESUPUESTAL]],'Cost Report'!G:G,1,0),"Balance")</f>
        <v>3901-048</v>
      </c>
      <c r="AC2300" s="118"/>
      <c r="AD2300" s="159">
        <f>+Table1[[#This Row],[SUBTOTAL]]+Table1[[#This Row],[IVA]]-Table1[[#This Row],[RET IVA]]-Table1[[#This Row],[RET ISR]]-Table1[[#This Row],[TOTAL]]</f>
        <v>0</v>
      </c>
      <c r="AE2300" s="150"/>
      <c r="AF2300" s="151"/>
      <c r="AG2300" s="126" t="s">
        <v>3420</v>
      </c>
      <c r="AH2300" s="120">
        <f>+Table1[[#This Row],[CONCEPTO]]+Table1[[#This Row],[SUBTOTAL]]</f>
        <v>3086.7799999999997</v>
      </c>
      <c r="AK2300" s="306" t="str">
        <f>IF(ISNUMBER(Table1[[#This Row],[FECHA DE RECIBIDO]]), Table1[[#This Row],[FECHA DE RECIBIDO]]-DATE(2023,8,30), "")</f>
        <v/>
      </c>
    </row>
    <row r="2301" spans="1:37" ht="16.95" customHeight="1">
      <c r="A2301" s="152" t="s">
        <v>3767</v>
      </c>
      <c r="B2301" s="153">
        <v>791</v>
      </c>
      <c r="C2301" s="126" t="s">
        <v>2774</v>
      </c>
      <c r="D2301">
        <v>1526</v>
      </c>
      <c r="E2301" s="126" t="s">
        <v>3267</v>
      </c>
      <c r="F2301" s="125" t="s">
        <v>1607</v>
      </c>
      <c r="G2301" s="125" t="s">
        <v>134</v>
      </c>
      <c r="H2301">
        <v>460</v>
      </c>
      <c r="I2301" s="125" t="s">
        <v>1546</v>
      </c>
      <c r="J2301" s="308" t="s">
        <v>214</v>
      </c>
      <c r="K2301" s="127" t="s">
        <v>3797</v>
      </c>
      <c r="L2301" s="153" t="s">
        <v>1579</v>
      </c>
      <c r="M2301">
        <v>640</v>
      </c>
      <c r="N2301" s="123">
        <v>17</v>
      </c>
      <c r="O2301">
        <v>1513</v>
      </c>
      <c r="P2301" s="132" t="s">
        <v>77</v>
      </c>
      <c r="Q2301" s="132">
        <v>3650.87</v>
      </c>
      <c r="R2301" s="132">
        <v>584.14</v>
      </c>
      <c r="S2301" s="132"/>
      <c r="T2301" s="156"/>
      <c r="U2301" s="132"/>
      <c r="V2301" s="132">
        <v>4235.01</v>
      </c>
      <c r="W2301">
        <v>93</v>
      </c>
      <c r="X2301" s="153" t="s">
        <v>1644</v>
      </c>
      <c r="Y2301" s="124" t="s">
        <v>55</v>
      </c>
      <c r="Z2301" s="308">
        <v>212</v>
      </c>
      <c r="AB2301" t="str">
        <f>IF(Table1[[#This Row],[TIPO2]]="costo", VLOOKUP(Table1[[#This Row],[PARTIDA PRESUPUESTAL]],'Cost Report'!G:G,1,0),"Balance")</f>
        <v>3401-042</v>
      </c>
      <c r="AC2301" s="118"/>
      <c r="AD2301" s="159">
        <f>+Table1[[#This Row],[SUBTOTAL]]+Table1[[#This Row],[IVA]]-Table1[[#This Row],[RET IVA]]-Table1[[#This Row],[RET ISR]]-Table1[[#This Row],[TOTAL]]</f>
        <v>0</v>
      </c>
      <c r="AE2301" s="152"/>
      <c r="AF2301" s="153"/>
      <c r="AG2301" s="126" t="s">
        <v>3420</v>
      </c>
      <c r="AH2301" s="120">
        <f>+Table1[[#This Row],[CONCEPTO]]+Table1[[#This Row],[SUBTOTAL]]</f>
        <v>5163.87</v>
      </c>
      <c r="AK2301" s="306" t="str">
        <f>IF(ISNUMBER(Table1[[#This Row],[FECHA DE RECIBIDO]]), Table1[[#This Row],[FECHA DE RECIBIDO]]-DATE(2023,8,30), "")</f>
        <v/>
      </c>
    </row>
    <row r="2302" spans="1:37" ht="16.95" customHeight="1">
      <c r="A2302" s="150" t="s">
        <v>3767</v>
      </c>
      <c r="B2302" s="151">
        <v>791</v>
      </c>
      <c r="C2302" s="126" t="s">
        <v>2443</v>
      </c>
      <c r="D2302">
        <v>1527</v>
      </c>
      <c r="E2302" s="126" t="s">
        <v>1603</v>
      </c>
      <c r="F2302" s="122" t="s">
        <v>1607</v>
      </c>
      <c r="G2302" s="122" t="s">
        <v>134</v>
      </c>
      <c r="H2302">
        <v>273</v>
      </c>
      <c r="I2302" s="122" t="s">
        <v>1546</v>
      </c>
      <c r="J2302" s="307" t="s">
        <v>214</v>
      </c>
      <c r="K2302" s="127" t="s">
        <v>3797</v>
      </c>
      <c r="L2302" s="151" t="s">
        <v>1579</v>
      </c>
      <c r="M2302">
        <v>364</v>
      </c>
      <c r="N2302" s="123">
        <v>17</v>
      </c>
      <c r="O2302">
        <v>1514</v>
      </c>
      <c r="P2302" s="132" t="s">
        <v>77</v>
      </c>
      <c r="Q2302" s="131">
        <v>96.98</v>
      </c>
      <c r="R2302" s="131">
        <v>15.52</v>
      </c>
      <c r="S2302" s="131"/>
      <c r="T2302" s="155"/>
      <c r="U2302" s="131"/>
      <c r="V2302" s="131">
        <v>112.5</v>
      </c>
      <c r="W2302">
        <v>93</v>
      </c>
      <c r="X2302" s="151" t="s">
        <v>1644</v>
      </c>
      <c r="Y2302" s="135" t="s">
        <v>55</v>
      </c>
      <c r="Z2302" s="307">
        <v>214</v>
      </c>
      <c r="AB2302" t="str">
        <f>IF(Table1[[#This Row],[TIPO2]]="costo", VLOOKUP(Table1[[#This Row],[PARTIDA PRESUPUESTAL]],'Cost Report'!G:G,1,0),"Balance")</f>
        <v>2080-003</v>
      </c>
      <c r="AC2302" s="118"/>
      <c r="AD2302" s="159">
        <f>+Table1[[#This Row],[SUBTOTAL]]+Table1[[#This Row],[IVA]]-Table1[[#This Row],[RET IVA]]-Table1[[#This Row],[RET ISR]]-Table1[[#This Row],[TOTAL]]</f>
        <v>0</v>
      </c>
      <c r="AE2302" s="150"/>
      <c r="AF2302" s="151"/>
      <c r="AG2302" s="126" t="s">
        <v>3420</v>
      </c>
      <c r="AH2302" s="120">
        <f>+Table1[[#This Row],[CONCEPTO]]+Table1[[#This Row],[SUBTOTAL]]</f>
        <v>1610.98</v>
      </c>
      <c r="AK2302" s="306" t="str">
        <f>IF(ISNUMBER(Table1[[#This Row],[FECHA DE RECIBIDO]]), Table1[[#This Row],[FECHA DE RECIBIDO]]-DATE(2023,8,30), "")</f>
        <v/>
      </c>
    </row>
    <row r="2303" spans="1:37" ht="16.95" customHeight="1">
      <c r="A2303" s="152" t="s">
        <v>3767</v>
      </c>
      <c r="B2303" s="153">
        <v>791</v>
      </c>
      <c r="C2303" s="126" t="s">
        <v>3105</v>
      </c>
      <c r="D2303">
        <v>1528</v>
      </c>
      <c r="E2303" s="126" t="s">
        <v>1595</v>
      </c>
      <c r="F2303" s="125" t="s">
        <v>1589</v>
      </c>
      <c r="G2303" s="125" t="s">
        <v>129</v>
      </c>
      <c r="H2303">
        <v>461</v>
      </c>
      <c r="I2303" s="125" t="s">
        <v>1546</v>
      </c>
      <c r="J2303" s="308" t="s">
        <v>214</v>
      </c>
      <c r="K2303" s="127" t="s">
        <v>3797</v>
      </c>
      <c r="L2303" s="153" t="s">
        <v>1579</v>
      </c>
      <c r="M2303">
        <v>641</v>
      </c>
      <c r="N2303" s="123">
        <v>17</v>
      </c>
      <c r="O2303">
        <v>1515</v>
      </c>
      <c r="P2303" s="132" t="s">
        <v>77</v>
      </c>
      <c r="Q2303" s="132">
        <v>4731.9799999999996</v>
      </c>
      <c r="R2303" s="132">
        <v>757.12</v>
      </c>
      <c r="S2303" s="132"/>
      <c r="T2303" s="156"/>
      <c r="U2303" s="132"/>
      <c r="V2303" s="132">
        <v>5489.0999999999995</v>
      </c>
      <c r="W2303">
        <v>93</v>
      </c>
      <c r="X2303" s="153" t="s">
        <v>1644</v>
      </c>
      <c r="Y2303" s="124" t="s">
        <v>55</v>
      </c>
      <c r="Z2303" s="308">
        <v>215</v>
      </c>
      <c r="AB2303" t="str">
        <f>IF(Table1[[#This Row],[TIPO2]]="costo", VLOOKUP(Table1[[#This Row],[PARTIDA PRESUPUESTAL]],'Cost Report'!G:G,1,0),"Balance")</f>
        <v>7050-005</v>
      </c>
      <c r="AC2303" s="118"/>
      <c r="AD2303" s="159">
        <f>+Table1[[#This Row],[SUBTOTAL]]+Table1[[#This Row],[IVA]]-Table1[[#This Row],[RET IVA]]-Table1[[#This Row],[RET ISR]]-Table1[[#This Row],[TOTAL]]</f>
        <v>0</v>
      </c>
      <c r="AE2303" s="152"/>
      <c r="AF2303" s="153"/>
      <c r="AG2303" s="126" t="s">
        <v>3420</v>
      </c>
      <c r="AH2303" s="120">
        <f>+Table1[[#This Row],[CONCEPTO]]+Table1[[#This Row],[SUBTOTAL]]</f>
        <v>6246.98</v>
      </c>
      <c r="AK2303" s="306" t="str">
        <f>IF(ISNUMBER(Table1[[#This Row],[FECHA DE RECIBIDO]]), Table1[[#This Row],[FECHA DE RECIBIDO]]-DATE(2023,8,30), "")</f>
        <v/>
      </c>
    </row>
    <row r="2304" spans="1:37" ht="16.95" customHeight="1">
      <c r="A2304" s="150" t="s">
        <v>3767</v>
      </c>
      <c r="B2304" s="151">
        <v>791</v>
      </c>
      <c r="C2304" s="126" t="s">
        <v>3105</v>
      </c>
      <c r="D2304">
        <v>1529</v>
      </c>
      <c r="E2304" s="126" t="s">
        <v>1595</v>
      </c>
      <c r="F2304" s="122" t="s">
        <v>1589</v>
      </c>
      <c r="G2304" s="122" t="s">
        <v>129</v>
      </c>
      <c r="H2304">
        <v>461</v>
      </c>
      <c r="I2304" s="122" t="s">
        <v>1546</v>
      </c>
      <c r="J2304" s="307" t="s">
        <v>214</v>
      </c>
      <c r="K2304" s="127" t="s">
        <v>3797</v>
      </c>
      <c r="L2304" s="151" t="s">
        <v>1579</v>
      </c>
      <c r="M2304">
        <v>641</v>
      </c>
      <c r="N2304" s="123">
        <v>17</v>
      </c>
      <c r="O2304">
        <v>1515</v>
      </c>
      <c r="P2304" s="132" t="s">
        <v>77</v>
      </c>
      <c r="Q2304" s="131">
        <v>4731.9799999999996</v>
      </c>
      <c r="R2304" s="131">
        <v>757.12</v>
      </c>
      <c r="S2304" s="131"/>
      <c r="T2304" s="155"/>
      <c r="U2304" s="131"/>
      <c r="V2304" s="131">
        <v>5489.0999999999995</v>
      </c>
      <c r="W2304">
        <v>93</v>
      </c>
      <c r="X2304" s="151" t="s">
        <v>1644</v>
      </c>
      <c r="Y2304" s="135" t="s">
        <v>55</v>
      </c>
      <c r="Z2304" s="307">
        <v>215</v>
      </c>
      <c r="AB2304" t="str">
        <f>IF(Table1[[#This Row],[TIPO2]]="costo", VLOOKUP(Table1[[#This Row],[PARTIDA PRESUPUESTAL]],'Cost Report'!G:G,1,0),"Balance")</f>
        <v>7050-005</v>
      </c>
      <c r="AC2304" s="118"/>
      <c r="AD2304" s="159">
        <f>+Table1[[#This Row],[SUBTOTAL]]+Table1[[#This Row],[IVA]]-Table1[[#This Row],[RET IVA]]-Table1[[#This Row],[RET ISR]]-Table1[[#This Row],[TOTAL]]</f>
        <v>0</v>
      </c>
      <c r="AE2304" s="150"/>
      <c r="AF2304" s="151"/>
      <c r="AG2304" s="126" t="s">
        <v>3420</v>
      </c>
      <c r="AH2304" s="120">
        <f>+Table1[[#This Row],[CONCEPTO]]+Table1[[#This Row],[SUBTOTAL]]</f>
        <v>6246.98</v>
      </c>
      <c r="AK2304" s="306" t="str">
        <f>IF(ISNUMBER(Table1[[#This Row],[FECHA DE RECIBIDO]]), Table1[[#This Row],[FECHA DE RECIBIDO]]-DATE(2023,8,30), "")</f>
        <v/>
      </c>
    </row>
    <row r="2305" spans="1:37" ht="16.95" customHeight="1">
      <c r="A2305" s="152" t="s">
        <v>3767</v>
      </c>
      <c r="B2305" s="153">
        <v>791</v>
      </c>
      <c r="C2305" s="126" t="s">
        <v>2443</v>
      </c>
      <c r="D2305">
        <v>1530</v>
      </c>
      <c r="E2305" s="126" t="s">
        <v>1603</v>
      </c>
      <c r="F2305" s="125" t="s">
        <v>1607</v>
      </c>
      <c r="G2305" s="125" t="s">
        <v>134</v>
      </c>
      <c r="H2305">
        <v>273</v>
      </c>
      <c r="I2305" s="125" t="s">
        <v>1546</v>
      </c>
      <c r="J2305" s="308" t="s">
        <v>214</v>
      </c>
      <c r="K2305" s="127" t="s">
        <v>3797</v>
      </c>
      <c r="L2305" s="153" t="s">
        <v>1579</v>
      </c>
      <c r="M2305">
        <v>364</v>
      </c>
      <c r="N2305" s="123">
        <v>17</v>
      </c>
      <c r="O2305">
        <v>1516</v>
      </c>
      <c r="P2305" s="132" t="s">
        <v>77</v>
      </c>
      <c r="Q2305" s="132">
        <v>162.93</v>
      </c>
      <c r="R2305" s="132">
        <v>26.07</v>
      </c>
      <c r="S2305" s="132"/>
      <c r="T2305" s="156"/>
      <c r="U2305" s="132"/>
      <c r="V2305" s="132">
        <v>189</v>
      </c>
      <c r="W2305">
        <v>93</v>
      </c>
      <c r="X2305" s="153" t="s">
        <v>1644</v>
      </c>
      <c r="Y2305" s="124" t="s">
        <v>55</v>
      </c>
      <c r="Z2305" s="308">
        <v>218</v>
      </c>
      <c r="AB2305" t="str">
        <f>IF(Table1[[#This Row],[TIPO2]]="costo", VLOOKUP(Table1[[#This Row],[PARTIDA PRESUPUESTAL]],'Cost Report'!G:G,1,0),"Balance")</f>
        <v>2080-003</v>
      </c>
      <c r="AC2305" s="118"/>
      <c r="AD2305" s="159">
        <f>+Table1[[#This Row],[SUBTOTAL]]+Table1[[#This Row],[IVA]]-Table1[[#This Row],[RET IVA]]-Table1[[#This Row],[RET ISR]]-Table1[[#This Row],[TOTAL]]</f>
        <v>0</v>
      </c>
      <c r="AE2305" s="152"/>
      <c r="AF2305" s="153"/>
      <c r="AG2305" s="126" t="s">
        <v>3420</v>
      </c>
      <c r="AH2305" s="120">
        <f>+Table1[[#This Row],[CONCEPTO]]+Table1[[#This Row],[SUBTOTAL]]</f>
        <v>1678.93</v>
      </c>
      <c r="AK2305" s="306" t="str">
        <f>IF(ISNUMBER(Table1[[#This Row],[FECHA DE RECIBIDO]]), Table1[[#This Row],[FECHA DE RECIBIDO]]-DATE(2023,8,30), "")</f>
        <v/>
      </c>
    </row>
    <row r="2306" spans="1:37" ht="16.95" customHeight="1">
      <c r="A2306" s="150" t="s">
        <v>3767</v>
      </c>
      <c r="B2306" s="151">
        <v>791</v>
      </c>
      <c r="C2306" s="126" t="s">
        <v>2860</v>
      </c>
      <c r="D2306">
        <v>1531</v>
      </c>
      <c r="E2306" s="126" t="s">
        <v>1603</v>
      </c>
      <c r="F2306" s="122" t="s">
        <v>1607</v>
      </c>
      <c r="G2306" s="122" t="s">
        <v>134</v>
      </c>
      <c r="H2306">
        <v>43</v>
      </c>
      <c r="I2306" s="122" t="s">
        <v>1546</v>
      </c>
      <c r="J2306" s="307" t="s">
        <v>214</v>
      </c>
      <c r="K2306" s="127" t="s">
        <v>3797</v>
      </c>
      <c r="L2306" s="151" t="s">
        <v>1579</v>
      </c>
      <c r="M2306">
        <v>442</v>
      </c>
      <c r="N2306" s="123">
        <v>17</v>
      </c>
      <c r="O2306">
        <v>1517</v>
      </c>
      <c r="P2306" s="132" t="s">
        <v>77</v>
      </c>
      <c r="Q2306" s="131">
        <v>10.34</v>
      </c>
      <c r="R2306" s="131">
        <v>1.66</v>
      </c>
      <c r="S2306" s="131"/>
      <c r="T2306" s="155"/>
      <c r="U2306" s="131"/>
      <c r="V2306" s="131">
        <v>12</v>
      </c>
      <c r="W2306">
        <v>93</v>
      </c>
      <c r="X2306" s="151" t="s">
        <v>1644</v>
      </c>
      <c r="Y2306" s="135" t="s">
        <v>55</v>
      </c>
      <c r="Z2306" s="307">
        <v>219</v>
      </c>
      <c r="AB2306" t="str">
        <f>IF(Table1[[#This Row],[TIPO2]]="costo", VLOOKUP(Table1[[#This Row],[PARTIDA PRESUPUESTAL]],'Cost Report'!G:G,1,0),"Balance")</f>
        <v>3629-003</v>
      </c>
      <c r="AC2306" s="118"/>
      <c r="AD2306" s="159">
        <f>+Table1[[#This Row],[SUBTOTAL]]+Table1[[#This Row],[IVA]]-Table1[[#This Row],[RET IVA]]-Table1[[#This Row],[RET ISR]]-Table1[[#This Row],[TOTAL]]</f>
        <v>0</v>
      </c>
      <c r="AE2306" s="150"/>
      <c r="AF2306" s="151"/>
      <c r="AG2306" s="126" t="s">
        <v>3420</v>
      </c>
      <c r="AH2306" s="120">
        <f>+Table1[[#This Row],[CONCEPTO]]+Table1[[#This Row],[SUBTOTAL]]</f>
        <v>1527.34</v>
      </c>
      <c r="AK2306" s="306" t="str">
        <f>IF(ISNUMBER(Table1[[#This Row],[FECHA DE RECIBIDO]]), Table1[[#This Row],[FECHA DE RECIBIDO]]-DATE(2023,8,30), "")</f>
        <v/>
      </c>
    </row>
    <row r="2307" spans="1:37" ht="16.95" customHeight="1">
      <c r="A2307" s="152" t="s">
        <v>3767</v>
      </c>
      <c r="B2307" s="153">
        <v>791</v>
      </c>
      <c r="C2307" s="126" t="s">
        <v>2860</v>
      </c>
      <c r="D2307">
        <v>1532</v>
      </c>
      <c r="E2307" s="126" t="s">
        <v>1603</v>
      </c>
      <c r="F2307" s="125" t="s">
        <v>1607</v>
      </c>
      <c r="G2307" s="125" t="s">
        <v>134</v>
      </c>
      <c r="H2307">
        <v>43</v>
      </c>
      <c r="I2307" s="125" t="s">
        <v>1546</v>
      </c>
      <c r="J2307" s="308" t="s">
        <v>214</v>
      </c>
      <c r="K2307" s="127" t="s">
        <v>3797</v>
      </c>
      <c r="L2307" s="153" t="s">
        <v>1579</v>
      </c>
      <c r="M2307">
        <v>442</v>
      </c>
      <c r="N2307" s="123">
        <v>17</v>
      </c>
      <c r="O2307">
        <v>1517</v>
      </c>
      <c r="P2307" s="132" t="s">
        <v>77</v>
      </c>
      <c r="Q2307" s="132">
        <v>10.34</v>
      </c>
      <c r="R2307" s="132">
        <v>1.66</v>
      </c>
      <c r="S2307" s="132"/>
      <c r="T2307" s="156"/>
      <c r="U2307" s="132"/>
      <c r="V2307" s="132">
        <v>12</v>
      </c>
      <c r="W2307">
        <v>93</v>
      </c>
      <c r="X2307" s="153" t="s">
        <v>1644</v>
      </c>
      <c r="Y2307" s="124" t="s">
        <v>55</v>
      </c>
      <c r="Z2307" s="308">
        <v>219</v>
      </c>
      <c r="AB2307" t="str">
        <f>IF(Table1[[#This Row],[TIPO2]]="costo", VLOOKUP(Table1[[#This Row],[PARTIDA PRESUPUESTAL]],'Cost Report'!G:G,1,0),"Balance")</f>
        <v>3629-003</v>
      </c>
      <c r="AC2307" s="118"/>
      <c r="AD2307" s="159">
        <f>+Table1[[#This Row],[SUBTOTAL]]+Table1[[#This Row],[IVA]]-Table1[[#This Row],[RET IVA]]-Table1[[#This Row],[RET ISR]]-Table1[[#This Row],[TOTAL]]</f>
        <v>0</v>
      </c>
      <c r="AE2307" s="152"/>
      <c r="AF2307" s="153"/>
      <c r="AG2307" s="126" t="s">
        <v>3420</v>
      </c>
      <c r="AH2307" s="120">
        <f>+Table1[[#This Row],[CONCEPTO]]+Table1[[#This Row],[SUBTOTAL]]</f>
        <v>1527.34</v>
      </c>
      <c r="AK2307" s="306" t="str">
        <f>IF(ISNUMBER(Table1[[#This Row],[FECHA DE RECIBIDO]]), Table1[[#This Row],[FECHA DE RECIBIDO]]-DATE(2023,8,30), "")</f>
        <v/>
      </c>
    </row>
    <row r="2308" spans="1:37" ht="16.95" customHeight="1">
      <c r="A2308" s="150" t="s">
        <v>3767</v>
      </c>
      <c r="B2308" s="151">
        <v>791</v>
      </c>
      <c r="C2308" s="126" t="s">
        <v>2860</v>
      </c>
      <c r="D2308">
        <v>1533</v>
      </c>
      <c r="E2308" s="126" t="s">
        <v>1603</v>
      </c>
      <c r="F2308" s="122" t="s">
        <v>1607</v>
      </c>
      <c r="G2308" s="122" t="s">
        <v>134</v>
      </c>
      <c r="H2308">
        <v>43</v>
      </c>
      <c r="I2308" s="122" t="s">
        <v>1546</v>
      </c>
      <c r="J2308" s="307" t="s">
        <v>214</v>
      </c>
      <c r="K2308" s="127" t="s">
        <v>3797</v>
      </c>
      <c r="L2308" s="151" t="s">
        <v>1579</v>
      </c>
      <c r="M2308">
        <v>442</v>
      </c>
      <c r="N2308" s="123">
        <v>17</v>
      </c>
      <c r="O2308">
        <v>1517</v>
      </c>
      <c r="P2308" s="132" t="s">
        <v>77</v>
      </c>
      <c r="Q2308" s="131">
        <v>10.34</v>
      </c>
      <c r="R2308" s="131">
        <v>1.66</v>
      </c>
      <c r="S2308" s="131"/>
      <c r="T2308" s="155"/>
      <c r="U2308" s="131"/>
      <c r="V2308" s="131">
        <v>12</v>
      </c>
      <c r="W2308">
        <v>93</v>
      </c>
      <c r="X2308" s="151" t="s">
        <v>1644</v>
      </c>
      <c r="Y2308" s="135" t="s">
        <v>55</v>
      </c>
      <c r="Z2308" s="307">
        <v>219</v>
      </c>
      <c r="AB2308" t="str">
        <f>IF(Table1[[#This Row],[TIPO2]]="costo", VLOOKUP(Table1[[#This Row],[PARTIDA PRESUPUESTAL]],'Cost Report'!G:G,1,0),"Balance")</f>
        <v>3629-003</v>
      </c>
      <c r="AC2308" s="118"/>
      <c r="AD2308" s="159">
        <f>+Table1[[#This Row],[SUBTOTAL]]+Table1[[#This Row],[IVA]]-Table1[[#This Row],[RET IVA]]-Table1[[#This Row],[RET ISR]]-Table1[[#This Row],[TOTAL]]</f>
        <v>0</v>
      </c>
      <c r="AE2308" s="150"/>
      <c r="AF2308" s="151"/>
      <c r="AG2308" s="126" t="s">
        <v>3420</v>
      </c>
      <c r="AH2308" s="120">
        <f>+Table1[[#This Row],[CONCEPTO]]+Table1[[#This Row],[SUBTOTAL]]</f>
        <v>1527.34</v>
      </c>
      <c r="AK2308" s="306" t="str">
        <f>IF(ISNUMBER(Table1[[#This Row],[FECHA DE RECIBIDO]]), Table1[[#This Row],[FECHA DE RECIBIDO]]-DATE(2023,8,30), "")</f>
        <v/>
      </c>
    </row>
    <row r="2309" spans="1:37" ht="16.95" customHeight="1">
      <c r="A2309" s="152" t="s">
        <v>3767</v>
      </c>
      <c r="B2309" s="153">
        <v>791</v>
      </c>
      <c r="C2309" s="126" t="s">
        <v>2860</v>
      </c>
      <c r="D2309">
        <v>1534</v>
      </c>
      <c r="E2309" s="126" t="s">
        <v>1603</v>
      </c>
      <c r="F2309" s="125" t="s">
        <v>1607</v>
      </c>
      <c r="G2309" s="125" t="s">
        <v>134</v>
      </c>
      <c r="H2309">
        <v>43</v>
      </c>
      <c r="I2309" s="125" t="s">
        <v>1546</v>
      </c>
      <c r="J2309" s="308" t="s">
        <v>214</v>
      </c>
      <c r="K2309" s="127" t="s">
        <v>3797</v>
      </c>
      <c r="L2309" s="153" t="s">
        <v>1579</v>
      </c>
      <c r="M2309">
        <v>442</v>
      </c>
      <c r="N2309" s="123">
        <v>17</v>
      </c>
      <c r="O2309">
        <v>1517</v>
      </c>
      <c r="P2309" s="132" t="s">
        <v>77</v>
      </c>
      <c r="Q2309" s="132">
        <v>10.34</v>
      </c>
      <c r="R2309" s="132">
        <v>1.66</v>
      </c>
      <c r="S2309" s="132"/>
      <c r="T2309" s="156"/>
      <c r="U2309" s="132"/>
      <c r="V2309" s="132">
        <v>12</v>
      </c>
      <c r="W2309">
        <v>93</v>
      </c>
      <c r="X2309" s="153" t="s">
        <v>1644</v>
      </c>
      <c r="Y2309" s="124" t="s">
        <v>55</v>
      </c>
      <c r="Z2309" s="308">
        <v>219</v>
      </c>
      <c r="AB2309" t="str">
        <f>IF(Table1[[#This Row],[TIPO2]]="costo", VLOOKUP(Table1[[#This Row],[PARTIDA PRESUPUESTAL]],'Cost Report'!G:G,1,0),"Balance")</f>
        <v>3629-003</v>
      </c>
      <c r="AC2309" s="118"/>
      <c r="AD2309" s="159">
        <f>+Table1[[#This Row],[SUBTOTAL]]+Table1[[#This Row],[IVA]]-Table1[[#This Row],[RET IVA]]-Table1[[#This Row],[RET ISR]]-Table1[[#This Row],[TOTAL]]</f>
        <v>0</v>
      </c>
      <c r="AE2309" s="152"/>
      <c r="AF2309" s="153"/>
      <c r="AG2309" s="126" t="s">
        <v>3420</v>
      </c>
      <c r="AH2309" s="120">
        <f>+Table1[[#This Row],[CONCEPTO]]+Table1[[#This Row],[SUBTOTAL]]</f>
        <v>1527.34</v>
      </c>
      <c r="AK2309" s="306" t="str">
        <f>IF(ISNUMBER(Table1[[#This Row],[FECHA DE RECIBIDO]]), Table1[[#This Row],[FECHA DE RECIBIDO]]-DATE(2023,8,30), "")</f>
        <v/>
      </c>
    </row>
    <row r="2310" spans="1:37" ht="16.95" customHeight="1">
      <c r="A2310" s="150" t="s">
        <v>3767</v>
      </c>
      <c r="B2310" s="151">
        <v>791</v>
      </c>
      <c r="C2310" s="126" t="s">
        <v>2860</v>
      </c>
      <c r="D2310">
        <v>1535</v>
      </c>
      <c r="E2310" s="126" t="s">
        <v>1603</v>
      </c>
      <c r="F2310" s="122" t="s">
        <v>1607</v>
      </c>
      <c r="G2310" s="122" t="s">
        <v>134</v>
      </c>
      <c r="H2310">
        <v>43</v>
      </c>
      <c r="I2310" s="122" t="s">
        <v>1546</v>
      </c>
      <c r="J2310" s="307" t="s">
        <v>214</v>
      </c>
      <c r="K2310" s="127" t="s">
        <v>3797</v>
      </c>
      <c r="L2310" s="151" t="s">
        <v>1579</v>
      </c>
      <c r="M2310">
        <v>442</v>
      </c>
      <c r="N2310" s="123">
        <v>17</v>
      </c>
      <c r="O2310">
        <v>1517</v>
      </c>
      <c r="P2310" s="132" t="s">
        <v>77</v>
      </c>
      <c r="Q2310" s="131">
        <v>10.34</v>
      </c>
      <c r="R2310" s="131">
        <v>1.66</v>
      </c>
      <c r="S2310" s="131"/>
      <c r="T2310" s="155"/>
      <c r="U2310" s="131"/>
      <c r="V2310" s="131">
        <v>12</v>
      </c>
      <c r="W2310">
        <v>93</v>
      </c>
      <c r="X2310" s="151" t="s">
        <v>1644</v>
      </c>
      <c r="Y2310" s="135" t="s">
        <v>55</v>
      </c>
      <c r="Z2310" s="307">
        <v>219</v>
      </c>
      <c r="AB2310" t="str">
        <f>IF(Table1[[#This Row],[TIPO2]]="costo", VLOOKUP(Table1[[#This Row],[PARTIDA PRESUPUESTAL]],'Cost Report'!G:G,1,0),"Balance")</f>
        <v>3629-003</v>
      </c>
      <c r="AC2310" s="118"/>
      <c r="AD2310" s="159">
        <f>+Table1[[#This Row],[SUBTOTAL]]+Table1[[#This Row],[IVA]]-Table1[[#This Row],[RET IVA]]-Table1[[#This Row],[RET ISR]]-Table1[[#This Row],[TOTAL]]</f>
        <v>0</v>
      </c>
      <c r="AE2310" s="150"/>
      <c r="AF2310" s="151"/>
      <c r="AG2310" s="126" t="s">
        <v>3420</v>
      </c>
      <c r="AH2310" s="120">
        <f>+Table1[[#This Row],[CONCEPTO]]+Table1[[#This Row],[SUBTOTAL]]</f>
        <v>1527.34</v>
      </c>
      <c r="AK2310" s="306" t="str">
        <f>IF(ISNUMBER(Table1[[#This Row],[FECHA DE RECIBIDO]]), Table1[[#This Row],[FECHA DE RECIBIDO]]-DATE(2023,8,30), "")</f>
        <v/>
      </c>
    </row>
    <row r="2311" spans="1:37" ht="16.95" customHeight="1">
      <c r="A2311" s="152" t="s">
        <v>3767</v>
      </c>
      <c r="B2311" s="153">
        <v>791</v>
      </c>
      <c r="C2311" s="126" t="s">
        <v>2860</v>
      </c>
      <c r="D2311">
        <v>1536</v>
      </c>
      <c r="E2311" s="126" t="s">
        <v>1603</v>
      </c>
      <c r="F2311" s="125" t="s">
        <v>1607</v>
      </c>
      <c r="G2311" s="125" t="s">
        <v>134</v>
      </c>
      <c r="H2311">
        <v>43</v>
      </c>
      <c r="I2311" s="125" t="s">
        <v>1546</v>
      </c>
      <c r="J2311" s="308" t="s">
        <v>214</v>
      </c>
      <c r="K2311" s="127" t="s">
        <v>3797</v>
      </c>
      <c r="L2311" s="153" t="s">
        <v>1579</v>
      </c>
      <c r="M2311">
        <v>442</v>
      </c>
      <c r="N2311" s="123">
        <v>17</v>
      </c>
      <c r="O2311">
        <v>1517</v>
      </c>
      <c r="P2311" s="132" t="s">
        <v>77</v>
      </c>
      <c r="Q2311" s="132">
        <v>10.34</v>
      </c>
      <c r="R2311" s="132">
        <v>1.66</v>
      </c>
      <c r="S2311" s="132"/>
      <c r="T2311" s="156"/>
      <c r="U2311" s="132"/>
      <c r="V2311" s="132">
        <v>12</v>
      </c>
      <c r="W2311">
        <v>93</v>
      </c>
      <c r="X2311" s="153" t="s">
        <v>1644</v>
      </c>
      <c r="Y2311" s="124" t="s">
        <v>55</v>
      </c>
      <c r="Z2311" s="308">
        <v>219</v>
      </c>
      <c r="AB2311" t="str">
        <f>IF(Table1[[#This Row],[TIPO2]]="costo", VLOOKUP(Table1[[#This Row],[PARTIDA PRESUPUESTAL]],'Cost Report'!G:G,1,0),"Balance")</f>
        <v>3629-003</v>
      </c>
      <c r="AC2311" s="118"/>
      <c r="AD2311" s="159">
        <f>+Table1[[#This Row],[SUBTOTAL]]+Table1[[#This Row],[IVA]]-Table1[[#This Row],[RET IVA]]-Table1[[#This Row],[RET ISR]]-Table1[[#This Row],[TOTAL]]</f>
        <v>0</v>
      </c>
      <c r="AE2311" s="152"/>
      <c r="AF2311" s="153"/>
      <c r="AG2311" s="126" t="s">
        <v>3420</v>
      </c>
      <c r="AH2311" s="120">
        <f>+Table1[[#This Row],[CONCEPTO]]+Table1[[#This Row],[SUBTOTAL]]</f>
        <v>1527.34</v>
      </c>
      <c r="AK2311" s="306" t="str">
        <f>IF(ISNUMBER(Table1[[#This Row],[FECHA DE RECIBIDO]]), Table1[[#This Row],[FECHA DE RECIBIDO]]-DATE(2023,8,30), "")</f>
        <v/>
      </c>
    </row>
    <row r="2312" spans="1:37" ht="16.95" customHeight="1">
      <c r="A2312" s="150" t="s">
        <v>3767</v>
      </c>
      <c r="B2312" s="151">
        <v>791</v>
      </c>
      <c r="C2312" s="126" t="s">
        <v>2860</v>
      </c>
      <c r="D2312">
        <v>1537</v>
      </c>
      <c r="E2312" s="126" t="s">
        <v>1603</v>
      </c>
      <c r="F2312" s="122" t="s">
        <v>1607</v>
      </c>
      <c r="G2312" s="122" t="s">
        <v>134</v>
      </c>
      <c r="H2312">
        <v>43</v>
      </c>
      <c r="I2312" s="122" t="s">
        <v>1546</v>
      </c>
      <c r="J2312" s="307" t="s">
        <v>214</v>
      </c>
      <c r="K2312" s="127" t="s">
        <v>3797</v>
      </c>
      <c r="L2312" s="151" t="s">
        <v>1579</v>
      </c>
      <c r="M2312">
        <v>442</v>
      </c>
      <c r="N2312" s="123">
        <v>17</v>
      </c>
      <c r="O2312">
        <v>1517</v>
      </c>
      <c r="P2312" s="132" t="s">
        <v>77</v>
      </c>
      <c r="Q2312" s="131">
        <v>10.34</v>
      </c>
      <c r="R2312" s="131">
        <v>1.66</v>
      </c>
      <c r="S2312" s="131"/>
      <c r="T2312" s="155"/>
      <c r="U2312" s="131"/>
      <c r="V2312" s="131">
        <v>12</v>
      </c>
      <c r="W2312">
        <v>93</v>
      </c>
      <c r="X2312" s="151" t="s">
        <v>1644</v>
      </c>
      <c r="Y2312" s="135" t="s">
        <v>55</v>
      </c>
      <c r="Z2312" s="307">
        <v>219</v>
      </c>
      <c r="AB2312" t="str">
        <f>IF(Table1[[#This Row],[TIPO2]]="costo", VLOOKUP(Table1[[#This Row],[PARTIDA PRESUPUESTAL]],'Cost Report'!G:G,1,0),"Balance")</f>
        <v>3629-003</v>
      </c>
      <c r="AC2312" s="118"/>
      <c r="AD2312" s="159">
        <f>+Table1[[#This Row],[SUBTOTAL]]+Table1[[#This Row],[IVA]]-Table1[[#This Row],[RET IVA]]-Table1[[#This Row],[RET ISR]]-Table1[[#This Row],[TOTAL]]</f>
        <v>0</v>
      </c>
      <c r="AE2312" s="150"/>
      <c r="AF2312" s="151"/>
      <c r="AG2312" s="126" t="s">
        <v>3420</v>
      </c>
      <c r="AH2312" s="120">
        <f>+Table1[[#This Row],[CONCEPTO]]+Table1[[#This Row],[SUBTOTAL]]</f>
        <v>1527.34</v>
      </c>
      <c r="AK2312" s="306" t="str">
        <f>IF(ISNUMBER(Table1[[#This Row],[FECHA DE RECIBIDO]]), Table1[[#This Row],[FECHA DE RECIBIDO]]-DATE(2023,8,30), "")</f>
        <v/>
      </c>
    </row>
    <row r="2313" spans="1:37" ht="16.95" customHeight="1">
      <c r="A2313" s="152" t="s">
        <v>3767</v>
      </c>
      <c r="B2313" s="153">
        <v>791</v>
      </c>
      <c r="C2313" s="126" t="s">
        <v>2860</v>
      </c>
      <c r="D2313">
        <v>1538</v>
      </c>
      <c r="E2313" s="126" t="s">
        <v>1603</v>
      </c>
      <c r="F2313" s="125" t="s">
        <v>1607</v>
      </c>
      <c r="G2313" s="125" t="s">
        <v>134</v>
      </c>
      <c r="H2313">
        <v>43</v>
      </c>
      <c r="I2313" s="125" t="s">
        <v>1546</v>
      </c>
      <c r="J2313" s="308" t="s">
        <v>214</v>
      </c>
      <c r="K2313" s="127" t="s">
        <v>3797</v>
      </c>
      <c r="L2313" s="153" t="s">
        <v>1579</v>
      </c>
      <c r="M2313">
        <v>442</v>
      </c>
      <c r="N2313" s="123">
        <v>17</v>
      </c>
      <c r="O2313">
        <v>1517</v>
      </c>
      <c r="P2313" s="132" t="s">
        <v>77</v>
      </c>
      <c r="Q2313" s="132">
        <v>10.34</v>
      </c>
      <c r="R2313" s="132">
        <v>1.66</v>
      </c>
      <c r="S2313" s="132"/>
      <c r="T2313" s="156"/>
      <c r="U2313" s="132"/>
      <c r="V2313" s="132">
        <v>12</v>
      </c>
      <c r="W2313">
        <v>93</v>
      </c>
      <c r="X2313" s="153" t="s">
        <v>1644</v>
      </c>
      <c r="Y2313" s="124" t="s">
        <v>55</v>
      </c>
      <c r="Z2313" s="308">
        <v>219</v>
      </c>
      <c r="AB2313" t="str">
        <f>IF(Table1[[#This Row],[TIPO2]]="costo", VLOOKUP(Table1[[#This Row],[PARTIDA PRESUPUESTAL]],'Cost Report'!G:G,1,0),"Balance")</f>
        <v>3629-003</v>
      </c>
      <c r="AC2313" s="118"/>
      <c r="AD2313" s="159">
        <f>+Table1[[#This Row],[SUBTOTAL]]+Table1[[#This Row],[IVA]]-Table1[[#This Row],[RET IVA]]-Table1[[#This Row],[RET ISR]]-Table1[[#This Row],[TOTAL]]</f>
        <v>0</v>
      </c>
      <c r="AE2313" s="152"/>
      <c r="AF2313" s="153"/>
      <c r="AG2313" s="126" t="s">
        <v>3420</v>
      </c>
      <c r="AH2313" s="120">
        <f>+Table1[[#This Row],[CONCEPTO]]+Table1[[#This Row],[SUBTOTAL]]</f>
        <v>1527.34</v>
      </c>
      <c r="AK2313" s="306" t="str">
        <f>IF(ISNUMBER(Table1[[#This Row],[FECHA DE RECIBIDO]]), Table1[[#This Row],[FECHA DE RECIBIDO]]-DATE(2023,8,30), "")</f>
        <v/>
      </c>
    </row>
    <row r="2314" spans="1:37" ht="16.95" customHeight="1">
      <c r="A2314" s="150" t="s">
        <v>3767</v>
      </c>
      <c r="B2314" s="151">
        <v>791</v>
      </c>
      <c r="C2314" s="126" t="s">
        <v>2860</v>
      </c>
      <c r="D2314">
        <v>1539</v>
      </c>
      <c r="E2314" s="126" t="s">
        <v>1603</v>
      </c>
      <c r="F2314" s="122" t="s">
        <v>1607</v>
      </c>
      <c r="G2314" s="122" t="s">
        <v>134</v>
      </c>
      <c r="H2314">
        <v>43</v>
      </c>
      <c r="I2314" s="122" t="s">
        <v>1546</v>
      </c>
      <c r="J2314" s="307" t="s">
        <v>214</v>
      </c>
      <c r="K2314" s="127" t="s">
        <v>3797</v>
      </c>
      <c r="L2314" s="151" t="s">
        <v>1579</v>
      </c>
      <c r="M2314">
        <v>442</v>
      </c>
      <c r="N2314" s="123">
        <v>17</v>
      </c>
      <c r="O2314">
        <v>1517</v>
      </c>
      <c r="P2314" s="132" t="s">
        <v>77</v>
      </c>
      <c r="Q2314" s="131">
        <v>10.34</v>
      </c>
      <c r="R2314" s="131">
        <v>1.66</v>
      </c>
      <c r="S2314" s="131"/>
      <c r="T2314" s="155"/>
      <c r="U2314" s="131"/>
      <c r="V2314" s="131">
        <v>12</v>
      </c>
      <c r="W2314">
        <v>93</v>
      </c>
      <c r="X2314" s="151" t="s">
        <v>1644</v>
      </c>
      <c r="Y2314" s="135" t="s">
        <v>55</v>
      </c>
      <c r="Z2314" s="307">
        <v>219</v>
      </c>
      <c r="AB2314" t="str">
        <f>IF(Table1[[#This Row],[TIPO2]]="costo", VLOOKUP(Table1[[#This Row],[PARTIDA PRESUPUESTAL]],'Cost Report'!G:G,1,0),"Balance")</f>
        <v>3629-003</v>
      </c>
      <c r="AC2314" s="118"/>
      <c r="AD2314" s="159">
        <f>+Table1[[#This Row],[SUBTOTAL]]+Table1[[#This Row],[IVA]]-Table1[[#This Row],[RET IVA]]-Table1[[#This Row],[RET ISR]]-Table1[[#This Row],[TOTAL]]</f>
        <v>0</v>
      </c>
      <c r="AE2314" s="150"/>
      <c r="AF2314" s="151"/>
      <c r="AG2314" s="126" t="s">
        <v>3420</v>
      </c>
      <c r="AH2314" s="120">
        <f>+Table1[[#This Row],[CONCEPTO]]+Table1[[#This Row],[SUBTOTAL]]</f>
        <v>1527.34</v>
      </c>
      <c r="AK2314" s="306" t="str">
        <f>IF(ISNUMBER(Table1[[#This Row],[FECHA DE RECIBIDO]]), Table1[[#This Row],[FECHA DE RECIBIDO]]-DATE(2023,8,30), "")</f>
        <v/>
      </c>
    </row>
    <row r="2315" spans="1:37" ht="16.95" customHeight="1">
      <c r="A2315" s="152" t="s">
        <v>3767</v>
      </c>
      <c r="B2315" s="153">
        <v>791</v>
      </c>
      <c r="C2315" s="126" t="s">
        <v>2860</v>
      </c>
      <c r="D2315">
        <v>1540</v>
      </c>
      <c r="E2315" s="126" t="s">
        <v>1603</v>
      </c>
      <c r="F2315" s="125" t="s">
        <v>1607</v>
      </c>
      <c r="G2315" s="125" t="s">
        <v>134</v>
      </c>
      <c r="H2315">
        <v>43</v>
      </c>
      <c r="I2315" s="125" t="s">
        <v>1546</v>
      </c>
      <c r="J2315" s="308" t="s">
        <v>214</v>
      </c>
      <c r="K2315" s="127" t="s">
        <v>3797</v>
      </c>
      <c r="L2315" s="153" t="s">
        <v>1579</v>
      </c>
      <c r="M2315">
        <v>442</v>
      </c>
      <c r="N2315" s="123">
        <v>17</v>
      </c>
      <c r="O2315">
        <v>1517</v>
      </c>
      <c r="P2315" s="132" t="s">
        <v>77</v>
      </c>
      <c r="Q2315" s="132">
        <v>10.34</v>
      </c>
      <c r="R2315" s="132">
        <v>1.66</v>
      </c>
      <c r="S2315" s="132"/>
      <c r="T2315" s="156"/>
      <c r="U2315" s="132"/>
      <c r="V2315" s="132">
        <v>12</v>
      </c>
      <c r="W2315">
        <v>93</v>
      </c>
      <c r="X2315" s="153" t="s">
        <v>1644</v>
      </c>
      <c r="Y2315" s="124" t="s">
        <v>55</v>
      </c>
      <c r="Z2315" s="308">
        <v>219</v>
      </c>
      <c r="AB2315" t="str">
        <f>IF(Table1[[#This Row],[TIPO2]]="costo", VLOOKUP(Table1[[#This Row],[PARTIDA PRESUPUESTAL]],'Cost Report'!G:G,1,0),"Balance")</f>
        <v>3629-003</v>
      </c>
      <c r="AC2315" s="118"/>
      <c r="AD2315" s="159">
        <f>+Table1[[#This Row],[SUBTOTAL]]+Table1[[#This Row],[IVA]]-Table1[[#This Row],[RET IVA]]-Table1[[#This Row],[RET ISR]]-Table1[[#This Row],[TOTAL]]</f>
        <v>0</v>
      </c>
      <c r="AE2315" s="152"/>
      <c r="AF2315" s="153"/>
      <c r="AG2315" s="126" t="s">
        <v>3420</v>
      </c>
      <c r="AH2315" s="120">
        <f>+Table1[[#This Row],[CONCEPTO]]+Table1[[#This Row],[SUBTOTAL]]</f>
        <v>1527.34</v>
      </c>
      <c r="AK2315" s="306" t="str">
        <f>IF(ISNUMBER(Table1[[#This Row],[FECHA DE RECIBIDO]]), Table1[[#This Row],[FECHA DE RECIBIDO]]-DATE(2023,8,30), "")</f>
        <v/>
      </c>
    </row>
    <row r="2316" spans="1:37" ht="16.95" customHeight="1">
      <c r="A2316" s="150" t="s">
        <v>3767</v>
      </c>
      <c r="B2316" s="151">
        <v>791</v>
      </c>
      <c r="C2316" s="126" t="s">
        <v>2860</v>
      </c>
      <c r="D2316">
        <v>1541</v>
      </c>
      <c r="E2316" s="126" t="s">
        <v>1603</v>
      </c>
      <c r="F2316" s="122" t="s">
        <v>1607</v>
      </c>
      <c r="G2316" s="122" t="s">
        <v>134</v>
      </c>
      <c r="H2316">
        <v>43</v>
      </c>
      <c r="I2316" s="122" t="s">
        <v>1546</v>
      </c>
      <c r="J2316" s="307" t="s">
        <v>214</v>
      </c>
      <c r="K2316" s="127" t="s">
        <v>3797</v>
      </c>
      <c r="L2316" s="151" t="s">
        <v>1579</v>
      </c>
      <c r="M2316">
        <v>442</v>
      </c>
      <c r="N2316" s="123">
        <v>17</v>
      </c>
      <c r="O2316">
        <v>1517</v>
      </c>
      <c r="P2316" s="132" t="s">
        <v>77</v>
      </c>
      <c r="Q2316" s="131">
        <v>10.34</v>
      </c>
      <c r="R2316" s="131">
        <v>1.66</v>
      </c>
      <c r="S2316" s="131"/>
      <c r="T2316" s="155"/>
      <c r="U2316" s="131"/>
      <c r="V2316" s="131">
        <v>12</v>
      </c>
      <c r="W2316">
        <v>93</v>
      </c>
      <c r="X2316" s="151" t="s">
        <v>1644</v>
      </c>
      <c r="Y2316" s="135" t="s">
        <v>55</v>
      </c>
      <c r="Z2316" s="307">
        <v>219</v>
      </c>
      <c r="AB2316" t="str">
        <f>IF(Table1[[#This Row],[TIPO2]]="costo", VLOOKUP(Table1[[#This Row],[PARTIDA PRESUPUESTAL]],'Cost Report'!G:G,1,0),"Balance")</f>
        <v>3629-003</v>
      </c>
      <c r="AC2316" s="118"/>
      <c r="AD2316" s="159">
        <f>+Table1[[#This Row],[SUBTOTAL]]+Table1[[#This Row],[IVA]]-Table1[[#This Row],[RET IVA]]-Table1[[#This Row],[RET ISR]]-Table1[[#This Row],[TOTAL]]</f>
        <v>0</v>
      </c>
      <c r="AE2316" s="150"/>
      <c r="AF2316" s="151"/>
      <c r="AG2316" s="126" t="s">
        <v>3420</v>
      </c>
      <c r="AH2316" s="120">
        <f>+Table1[[#This Row],[CONCEPTO]]+Table1[[#This Row],[SUBTOTAL]]</f>
        <v>1527.34</v>
      </c>
      <c r="AK2316" s="306" t="str">
        <f>IF(ISNUMBER(Table1[[#This Row],[FECHA DE RECIBIDO]]), Table1[[#This Row],[FECHA DE RECIBIDO]]-DATE(2023,8,30), "")</f>
        <v/>
      </c>
    </row>
    <row r="2317" spans="1:37" ht="16.95" customHeight="1">
      <c r="A2317" s="152" t="s">
        <v>3767</v>
      </c>
      <c r="B2317" s="153">
        <v>791</v>
      </c>
      <c r="C2317" s="126" t="s">
        <v>2860</v>
      </c>
      <c r="D2317">
        <v>1542</v>
      </c>
      <c r="E2317" s="126" t="s">
        <v>1603</v>
      </c>
      <c r="F2317" s="125" t="s">
        <v>1607</v>
      </c>
      <c r="G2317" s="125" t="s">
        <v>134</v>
      </c>
      <c r="H2317">
        <v>43</v>
      </c>
      <c r="I2317" s="125" t="s">
        <v>1546</v>
      </c>
      <c r="J2317" s="308" t="s">
        <v>214</v>
      </c>
      <c r="K2317" s="127" t="s">
        <v>3797</v>
      </c>
      <c r="L2317" s="153" t="s">
        <v>1579</v>
      </c>
      <c r="M2317">
        <v>442</v>
      </c>
      <c r="N2317" s="123">
        <v>17</v>
      </c>
      <c r="O2317">
        <v>1517</v>
      </c>
      <c r="P2317" s="132" t="s">
        <v>77</v>
      </c>
      <c r="Q2317" s="132">
        <v>10.34</v>
      </c>
      <c r="R2317" s="132">
        <v>1.66</v>
      </c>
      <c r="S2317" s="132"/>
      <c r="T2317" s="156"/>
      <c r="U2317" s="132"/>
      <c r="V2317" s="132">
        <v>12</v>
      </c>
      <c r="W2317">
        <v>93</v>
      </c>
      <c r="X2317" s="153" t="s">
        <v>1644</v>
      </c>
      <c r="Y2317" s="124" t="s">
        <v>55</v>
      </c>
      <c r="Z2317" s="308">
        <v>219</v>
      </c>
      <c r="AB2317" t="str">
        <f>IF(Table1[[#This Row],[TIPO2]]="costo", VLOOKUP(Table1[[#This Row],[PARTIDA PRESUPUESTAL]],'Cost Report'!G:G,1,0),"Balance")</f>
        <v>3629-003</v>
      </c>
      <c r="AC2317" s="118"/>
      <c r="AD2317" s="159">
        <f>+Table1[[#This Row],[SUBTOTAL]]+Table1[[#This Row],[IVA]]-Table1[[#This Row],[RET IVA]]-Table1[[#This Row],[RET ISR]]-Table1[[#This Row],[TOTAL]]</f>
        <v>0</v>
      </c>
      <c r="AE2317" s="152"/>
      <c r="AF2317" s="153"/>
      <c r="AG2317" s="126" t="s">
        <v>3420</v>
      </c>
      <c r="AH2317" s="120">
        <f>+Table1[[#This Row],[CONCEPTO]]+Table1[[#This Row],[SUBTOTAL]]</f>
        <v>1527.34</v>
      </c>
      <c r="AK2317" s="306" t="str">
        <f>IF(ISNUMBER(Table1[[#This Row],[FECHA DE RECIBIDO]]), Table1[[#This Row],[FECHA DE RECIBIDO]]-DATE(2023,8,30), "")</f>
        <v/>
      </c>
    </row>
    <row r="2318" spans="1:37" ht="16.95" customHeight="1">
      <c r="A2318" s="150" t="s">
        <v>3767</v>
      </c>
      <c r="B2318" s="151">
        <v>791</v>
      </c>
      <c r="C2318" s="126" t="s">
        <v>977</v>
      </c>
      <c r="D2318">
        <v>1543</v>
      </c>
      <c r="E2318" s="126" t="s">
        <v>3789</v>
      </c>
      <c r="F2318" s="122" t="s">
        <v>1382</v>
      </c>
      <c r="G2318" s="122" t="s">
        <v>134</v>
      </c>
      <c r="H2318">
        <v>31</v>
      </c>
      <c r="I2318" s="122" t="s">
        <v>1546</v>
      </c>
      <c r="J2318" s="307" t="s">
        <v>214</v>
      </c>
      <c r="K2318" s="127" t="s">
        <v>3797</v>
      </c>
      <c r="L2318" s="151" t="s">
        <v>1579</v>
      </c>
      <c r="M2318">
        <v>69</v>
      </c>
      <c r="N2318" s="123">
        <v>17</v>
      </c>
      <c r="O2318">
        <v>1518</v>
      </c>
      <c r="P2318" s="132" t="s">
        <v>77</v>
      </c>
      <c r="Q2318" s="131">
        <v>27</v>
      </c>
      <c r="R2318" s="131"/>
      <c r="S2318" s="131"/>
      <c r="T2318" s="155"/>
      <c r="U2318" s="131"/>
      <c r="V2318" s="131">
        <v>27</v>
      </c>
      <c r="W2318">
        <v>93</v>
      </c>
      <c r="X2318" s="151" t="s">
        <v>1644</v>
      </c>
      <c r="Y2318" s="135" t="s">
        <v>55</v>
      </c>
      <c r="Z2318" s="307">
        <v>219</v>
      </c>
      <c r="AB2318" t="str">
        <f>IF(Table1[[#This Row],[TIPO2]]="costo", VLOOKUP(Table1[[#This Row],[PARTIDA PRESUPUESTAL]],'Cost Report'!G:G,1,0),"Balance")</f>
        <v>3410-012</v>
      </c>
      <c r="AC2318" s="118"/>
      <c r="AD2318" s="159">
        <f>+Table1[[#This Row],[SUBTOTAL]]+Table1[[#This Row],[IVA]]-Table1[[#This Row],[RET IVA]]-Table1[[#This Row],[RET ISR]]-Table1[[#This Row],[TOTAL]]</f>
        <v>0</v>
      </c>
      <c r="AE2318" s="150"/>
      <c r="AF2318" s="151"/>
      <c r="AG2318" s="126" t="s">
        <v>3420</v>
      </c>
      <c r="AH2318" s="120">
        <f>+Table1[[#This Row],[CONCEPTO]]+Table1[[#This Row],[SUBTOTAL]]</f>
        <v>1545</v>
      </c>
      <c r="AK2318" s="306" t="str">
        <f>IF(ISNUMBER(Table1[[#This Row],[FECHA DE RECIBIDO]]), Table1[[#This Row],[FECHA DE RECIBIDO]]-DATE(2023,8,30), "")</f>
        <v/>
      </c>
    </row>
    <row r="2319" spans="1:37" ht="16.95" customHeight="1">
      <c r="A2319" s="152" t="s">
        <v>3767</v>
      </c>
      <c r="B2319" s="153">
        <v>791</v>
      </c>
      <c r="C2319" s="126" t="s">
        <v>977</v>
      </c>
      <c r="D2319">
        <v>1544</v>
      </c>
      <c r="E2319" s="126" t="s">
        <v>3789</v>
      </c>
      <c r="F2319" s="125" t="s">
        <v>1382</v>
      </c>
      <c r="G2319" s="125" t="s">
        <v>134</v>
      </c>
      <c r="H2319">
        <v>31</v>
      </c>
      <c r="I2319" s="125" t="s">
        <v>1546</v>
      </c>
      <c r="J2319" s="308" t="s">
        <v>214</v>
      </c>
      <c r="K2319" s="127" t="s">
        <v>3797</v>
      </c>
      <c r="L2319" s="153" t="s">
        <v>1579</v>
      </c>
      <c r="M2319">
        <v>69</v>
      </c>
      <c r="N2319" s="123">
        <v>17</v>
      </c>
      <c r="O2319">
        <v>1519</v>
      </c>
      <c r="P2319" s="132" t="s">
        <v>77</v>
      </c>
      <c r="Q2319" s="132">
        <v>70.69</v>
      </c>
      <c r="R2319" s="132">
        <v>11.31</v>
      </c>
      <c r="S2319" s="132"/>
      <c r="T2319" s="156"/>
      <c r="U2319" s="132"/>
      <c r="V2319" s="132">
        <v>82</v>
      </c>
      <c r="W2319">
        <v>93</v>
      </c>
      <c r="X2319" s="153" t="s">
        <v>1644</v>
      </c>
      <c r="Y2319" s="124" t="s">
        <v>55</v>
      </c>
      <c r="Z2319" s="308">
        <v>219</v>
      </c>
      <c r="AB2319" t="str">
        <f>IF(Table1[[#This Row],[TIPO2]]="costo", VLOOKUP(Table1[[#This Row],[PARTIDA PRESUPUESTAL]],'Cost Report'!G:G,1,0),"Balance")</f>
        <v>3410-012</v>
      </c>
      <c r="AC2319" s="118"/>
      <c r="AD2319" s="159">
        <f>+Table1[[#This Row],[SUBTOTAL]]+Table1[[#This Row],[IVA]]-Table1[[#This Row],[RET IVA]]-Table1[[#This Row],[RET ISR]]-Table1[[#This Row],[TOTAL]]</f>
        <v>0</v>
      </c>
      <c r="AE2319" s="152"/>
      <c r="AF2319" s="153"/>
      <c r="AG2319" s="126" t="s">
        <v>3420</v>
      </c>
      <c r="AH2319" s="120">
        <f>+Table1[[#This Row],[CONCEPTO]]+Table1[[#This Row],[SUBTOTAL]]</f>
        <v>1589.69</v>
      </c>
      <c r="AK2319" s="306" t="str">
        <f>IF(ISNUMBER(Table1[[#This Row],[FECHA DE RECIBIDO]]), Table1[[#This Row],[FECHA DE RECIBIDO]]-DATE(2023,8,30), "")</f>
        <v/>
      </c>
    </row>
    <row r="2320" spans="1:37" ht="16.95" customHeight="1">
      <c r="A2320" s="150" t="s">
        <v>3767</v>
      </c>
      <c r="B2320" s="151">
        <v>791</v>
      </c>
      <c r="C2320" s="126" t="s">
        <v>977</v>
      </c>
      <c r="D2320">
        <v>1545</v>
      </c>
      <c r="E2320" s="126" t="s">
        <v>3789</v>
      </c>
      <c r="F2320" s="122" t="s">
        <v>1382</v>
      </c>
      <c r="G2320" s="122" t="s">
        <v>134</v>
      </c>
      <c r="H2320">
        <v>31</v>
      </c>
      <c r="I2320" s="122" t="s">
        <v>1546</v>
      </c>
      <c r="J2320" s="307" t="s">
        <v>214</v>
      </c>
      <c r="K2320" s="127" t="s">
        <v>3797</v>
      </c>
      <c r="L2320" s="151" t="s">
        <v>1579</v>
      </c>
      <c r="M2320">
        <v>69</v>
      </c>
      <c r="N2320" s="123">
        <v>17</v>
      </c>
      <c r="O2320">
        <v>1520</v>
      </c>
      <c r="P2320" s="132" t="s">
        <v>77</v>
      </c>
      <c r="Q2320" s="131">
        <v>244.97</v>
      </c>
      <c r="R2320" s="131">
        <v>3.03</v>
      </c>
      <c r="S2320" s="131"/>
      <c r="T2320" s="155"/>
      <c r="U2320" s="131"/>
      <c r="V2320" s="131">
        <v>248</v>
      </c>
      <c r="W2320">
        <v>93</v>
      </c>
      <c r="X2320" s="151" t="s">
        <v>1644</v>
      </c>
      <c r="Y2320" s="135" t="s">
        <v>55</v>
      </c>
      <c r="Z2320" s="307">
        <v>219</v>
      </c>
      <c r="AB2320" t="str">
        <f>IF(Table1[[#This Row],[TIPO2]]="costo", VLOOKUP(Table1[[#This Row],[PARTIDA PRESUPUESTAL]],'Cost Report'!G:G,1,0),"Balance")</f>
        <v>3410-012</v>
      </c>
      <c r="AC2320" s="118"/>
      <c r="AD2320" s="159">
        <f>+Table1[[#This Row],[SUBTOTAL]]+Table1[[#This Row],[IVA]]-Table1[[#This Row],[RET IVA]]-Table1[[#This Row],[RET ISR]]-Table1[[#This Row],[TOTAL]]</f>
        <v>0</v>
      </c>
      <c r="AE2320" s="150"/>
      <c r="AF2320" s="151"/>
      <c r="AG2320" s="126" t="s">
        <v>3420</v>
      </c>
      <c r="AH2320" s="120">
        <f>+Table1[[#This Row],[CONCEPTO]]+Table1[[#This Row],[SUBTOTAL]]</f>
        <v>1764.97</v>
      </c>
      <c r="AK2320" s="306" t="str">
        <f>IF(ISNUMBER(Table1[[#This Row],[FECHA DE RECIBIDO]]), Table1[[#This Row],[FECHA DE RECIBIDO]]-DATE(2023,8,30), "")</f>
        <v/>
      </c>
    </row>
    <row r="2321" spans="1:37" ht="16.95" customHeight="1">
      <c r="A2321" s="152" t="s">
        <v>3767</v>
      </c>
      <c r="B2321" s="153">
        <v>791</v>
      </c>
      <c r="C2321" s="126" t="s">
        <v>2443</v>
      </c>
      <c r="D2321">
        <v>1546</v>
      </c>
      <c r="E2321" s="126" t="s">
        <v>1603</v>
      </c>
      <c r="F2321" s="125" t="s">
        <v>1607</v>
      </c>
      <c r="G2321" s="125" t="s">
        <v>134</v>
      </c>
      <c r="H2321">
        <v>273</v>
      </c>
      <c r="I2321" s="125" t="s">
        <v>1546</v>
      </c>
      <c r="J2321" s="308" t="s">
        <v>214</v>
      </c>
      <c r="K2321" s="127" t="s">
        <v>3797</v>
      </c>
      <c r="L2321" s="153" t="s">
        <v>1579</v>
      </c>
      <c r="M2321">
        <v>364</v>
      </c>
      <c r="N2321" s="123">
        <v>17</v>
      </c>
      <c r="O2321">
        <v>1521</v>
      </c>
      <c r="P2321" s="132" t="s">
        <v>77</v>
      </c>
      <c r="Q2321" s="132">
        <v>76.55</v>
      </c>
      <c r="R2321" s="132">
        <v>12.25</v>
      </c>
      <c r="S2321" s="132"/>
      <c r="T2321" s="156"/>
      <c r="U2321" s="132"/>
      <c r="V2321" s="132">
        <v>88.8</v>
      </c>
      <c r="W2321">
        <v>93</v>
      </c>
      <c r="X2321" s="153" t="s">
        <v>1644</v>
      </c>
      <c r="Y2321" s="124" t="s">
        <v>55</v>
      </c>
      <c r="Z2321" s="308">
        <v>223</v>
      </c>
      <c r="AB2321" t="str">
        <f>IF(Table1[[#This Row],[TIPO2]]="costo", VLOOKUP(Table1[[#This Row],[PARTIDA PRESUPUESTAL]],'Cost Report'!G:G,1,0),"Balance")</f>
        <v>2080-003</v>
      </c>
      <c r="AC2321" s="118"/>
      <c r="AD2321" s="159">
        <f>+Table1[[#This Row],[SUBTOTAL]]+Table1[[#This Row],[IVA]]-Table1[[#This Row],[RET IVA]]-Table1[[#This Row],[RET ISR]]-Table1[[#This Row],[TOTAL]]</f>
        <v>0</v>
      </c>
      <c r="AE2321" s="152"/>
      <c r="AF2321" s="153"/>
      <c r="AG2321" s="126" t="s">
        <v>3420</v>
      </c>
      <c r="AH2321" s="120">
        <f>+Table1[[#This Row],[CONCEPTO]]+Table1[[#This Row],[SUBTOTAL]]</f>
        <v>1597.55</v>
      </c>
      <c r="AK2321" s="306" t="str">
        <f>IF(ISNUMBER(Table1[[#This Row],[FECHA DE RECIBIDO]]), Table1[[#This Row],[FECHA DE RECIBIDO]]-DATE(2023,8,30), "")</f>
        <v/>
      </c>
    </row>
    <row r="2322" spans="1:37" ht="16.95" customHeight="1">
      <c r="A2322" s="150" t="s">
        <v>3767</v>
      </c>
      <c r="B2322" s="151">
        <v>791</v>
      </c>
      <c r="C2322" s="126" t="s">
        <v>2335</v>
      </c>
      <c r="D2322">
        <v>689</v>
      </c>
      <c r="E2322" s="126"/>
      <c r="F2322" s="122"/>
      <c r="G2322" s="122"/>
      <c r="H2322"/>
      <c r="I2322" s="122"/>
      <c r="J2322" s="307">
        <v>210</v>
      </c>
      <c r="K2322" s="127" t="s">
        <v>3797</v>
      </c>
      <c r="L2322" s="151" t="s">
        <v>1579</v>
      </c>
      <c r="M2322">
        <v>642</v>
      </c>
      <c r="N2322" s="123">
        <v>17</v>
      </c>
      <c r="O2322">
        <v>1522</v>
      </c>
      <c r="P2322" s="132" t="s">
        <v>77</v>
      </c>
      <c r="Q2322" s="131">
        <v>1200</v>
      </c>
      <c r="R2322" s="131"/>
      <c r="S2322" s="131"/>
      <c r="T2322" s="155"/>
      <c r="U2322" s="131"/>
      <c r="V2322" s="131">
        <v>1200</v>
      </c>
      <c r="W2322">
        <v>93</v>
      </c>
      <c r="X2322" s="151" t="s">
        <v>1644</v>
      </c>
      <c r="Y2322" s="135" t="s">
        <v>55</v>
      </c>
      <c r="Z2322" s="307">
        <v>210</v>
      </c>
      <c r="AB2322" t="str">
        <f>IF(Table1[[#This Row],[TIPO2]]="costo", VLOOKUP(Table1[[#This Row],[PARTIDA PRESUPUESTAL]],'Cost Report'!G:G,1,0),"Balance")</f>
        <v>1487-003</v>
      </c>
      <c r="AC2322" s="118"/>
      <c r="AD2322" s="159">
        <f>+Table1[[#This Row],[SUBTOTAL]]+Table1[[#This Row],[IVA]]-Table1[[#This Row],[RET IVA]]-Table1[[#This Row],[RET ISR]]-Table1[[#This Row],[TOTAL]]</f>
        <v>0</v>
      </c>
      <c r="AE2322" s="150"/>
      <c r="AF2322" s="151"/>
      <c r="AG2322" s="126" t="s">
        <v>3420</v>
      </c>
      <c r="AH2322" s="120">
        <f>+Table1[[#This Row],[CONCEPTO]]+Table1[[#This Row],[SUBTOTAL]]</f>
        <v>2722</v>
      </c>
      <c r="AK2322" s="306">
        <f>IF(ISNUMBER(Table1[[#This Row],[FECHA DE RECIBIDO]]), Table1[[#This Row],[FECHA DE RECIBIDO]]-DATE(2023,8,30), "")</f>
        <v>-44958</v>
      </c>
    </row>
    <row r="2323" spans="1:37" ht="16.95" customHeight="1">
      <c r="A2323" s="152" t="s">
        <v>3767</v>
      </c>
      <c r="B2323" s="153">
        <v>791</v>
      </c>
      <c r="C2323" s="126" t="s">
        <v>2335</v>
      </c>
      <c r="D2323">
        <v>689</v>
      </c>
      <c r="E2323" s="126"/>
      <c r="F2323" s="125"/>
      <c r="G2323" s="125"/>
      <c r="H2323"/>
      <c r="I2323" s="125"/>
      <c r="J2323" s="308">
        <v>210</v>
      </c>
      <c r="K2323" s="127" t="s">
        <v>3797</v>
      </c>
      <c r="L2323" s="153" t="s">
        <v>1579</v>
      </c>
      <c r="M2323">
        <v>643</v>
      </c>
      <c r="N2323" s="123">
        <v>17</v>
      </c>
      <c r="O2323">
        <v>1522</v>
      </c>
      <c r="P2323" s="132" t="s">
        <v>77</v>
      </c>
      <c r="Q2323" s="132">
        <v>500</v>
      </c>
      <c r="R2323" s="132"/>
      <c r="S2323" s="132"/>
      <c r="T2323" s="156"/>
      <c r="U2323" s="132"/>
      <c r="V2323" s="132">
        <v>500</v>
      </c>
      <c r="W2323">
        <v>93</v>
      </c>
      <c r="X2323" s="153" t="s">
        <v>1644</v>
      </c>
      <c r="Y2323" s="124" t="s">
        <v>55</v>
      </c>
      <c r="Z2323" s="308">
        <v>210</v>
      </c>
      <c r="AB2323" t="str">
        <f>IF(Table1[[#This Row],[TIPO2]]="costo", VLOOKUP(Table1[[#This Row],[PARTIDA PRESUPUESTAL]],'Cost Report'!G:G,1,0),"Balance")</f>
        <v>1487-003</v>
      </c>
      <c r="AC2323" s="118"/>
      <c r="AD2323" s="159">
        <f>+Table1[[#This Row],[SUBTOTAL]]+Table1[[#This Row],[IVA]]-Table1[[#This Row],[RET IVA]]-Table1[[#This Row],[RET ISR]]-Table1[[#This Row],[TOTAL]]</f>
        <v>0</v>
      </c>
      <c r="AE2323" s="152"/>
      <c r="AF2323" s="153"/>
      <c r="AG2323" s="126" t="s">
        <v>3420</v>
      </c>
      <c r="AH2323" s="120">
        <f>+Table1[[#This Row],[CONCEPTO]]+Table1[[#This Row],[SUBTOTAL]]</f>
        <v>2022</v>
      </c>
      <c r="AK2323" s="306">
        <f>IF(ISNUMBER(Table1[[#This Row],[FECHA DE RECIBIDO]]), Table1[[#This Row],[FECHA DE RECIBIDO]]-DATE(2023,8,30), "")</f>
        <v>-44958</v>
      </c>
    </row>
    <row r="2324" spans="1:37" ht="16.95" customHeight="1">
      <c r="A2324" s="150" t="s">
        <v>3767</v>
      </c>
      <c r="B2324" s="151">
        <v>791</v>
      </c>
      <c r="C2324" s="126" t="s">
        <v>69</v>
      </c>
      <c r="D2324">
        <v>689</v>
      </c>
      <c r="E2324" s="126"/>
      <c r="F2324" s="122"/>
      <c r="G2324" s="122"/>
      <c r="H2324"/>
      <c r="I2324" s="122"/>
      <c r="J2324" s="307">
        <v>216</v>
      </c>
      <c r="K2324" s="127" t="s">
        <v>3797</v>
      </c>
      <c r="L2324" s="151" t="s">
        <v>1579</v>
      </c>
      <c r="M2324">
        <v>638</v>
      </c>
      <c r="N2324" s="123">
        <v>17</v>
      </c>
      <c r="O2324">
        <v>1523</v>
      </c>
      <c r="P2324" s="131" t="s">
        <v>78</v>
      </c>
      <c r="Q2324" s="131">
        <v>7000</v>
      </c>
      <c r="R2324" s="131"/>
      <c r="S2324" s="131"/>
      <c r="T2324" s="155"/>
      <c r="U2324" s="131"/>
      <c r="V2324" s="131">
        <v>7000</v>
      </c>
      <c r="W2324">
        <v>93</v>
      </c>
      <c r="X2324" s="151" t="s">
        <v>1644</v>
      </c>
      <c r="Y2324" s="135" t="s">
        <v>55</v>
      </c>
      <c r="Z2324" s="307">
        <v>216</v>
      </c>
      <c r="AB2324" t="str">
        <f>IF(Table1[[#This Row],[TIPO2]]="costo", VLOOKUP(Table1[[#This Row],[PARTIDA PRESUPUESTAL]],'Cost Report'!G:G,1,0),"Balance")</f>
        <v>Balance</v>
      </c>
      <c r="AC2324" s="118"/>
      <c r="AD2324" s="159">
        <f>+Table1[[#This Row],[SUBTOTAL]]+Table1[[#This Row],[IVA]]-Table1[[#This Row],[RET IVA]]-Table1[[#This Row],[RET ISR]]-Table1[[#This Row],[TOTAL]]</f>
        <v>0</v>
      </c>
      <c r="AE2324" s="150"/>
      <c r="AF2324" s="151"/>
      <c r="AG2324" s="126" t="s">
        <v>3420</v>
      </c>
      <c r="AH2324" s="120">
        <f>+Table1[[#This Row],[CONCEPTO]]+Table1[[#This Row],[SUBTOTAL]]</f>
        <v>8523</v>
      </c>
      <c r="AK2324" s="306">
        <f>IF(ISNUMBER(Table1[[#This Row],[FECHA DE RECIBIDO]]), Table1[[#This Row],[FECHA DE RECIBIDO]]-DATE(2023,8,30), "")</f>
        <v>-44952</v>
      </c>
    </row>
    <row r="2325" spans="1:37" ht="16.95" customHeight="1">
      <c r="A2325" s="152" t="s">
        <v>3767</v>
      </c>
      <c r="B2325" s="153">
        <v>791</v>
      </c>
      <c r="C2325" s="126" t="s">
        <v>2443</v>
      </c>
      <c r="D2325">
        <v>689</v>
      </c>
      <c r="E2325" s="126"/>
      <c r="F2325" s="125"/>
      <c r="G2325" s="125"/>
      <c r="H2325"/>
      <c r="I2325" s="125"/>
      <c r="J2325" s="308">
        <v>220</v>
      </c>
      <c r="K2325" s="127" t="s">
        <v>3797</v>
      </c>
      <c r="L2325" s="153" t="s">
        <v>1579</v>
      </c>
      <c r="M2325">
        <v>644</v>
      </c>
      <c r="N2325" s="123">
        <v>17</v>
      </c>
      <c r="O2325">
        <v>1524</v>
      </c>
      <c r="P2325" s="132" t="s">
        <v>77</v>
      </c>
      <c r="Q2325" s="132">
        <v>5400</v>
      </c>
      <c r="R2325" s="132"/>
      <c r="S2325" s="132"/>
      <c r="T2325" s="156"/>
      <c r="U2325" s="132"/>
      <c r="V2325" s="132">
        <v>5400</v>
      </c>
      <c r="W2325">
        <v>93</v>
      </c>
      <c r="X2325" s="153" t="s">
        <v>1644</v>
      </c>
      <c r="Y2325" s="124" t="s">
        <v>55</v>
      </c>
      <c r="Z2325" s="308">
        <v>220</v>
      </c>
      <c r="AB2325" t="str">
        <f>IF(Table1[[#This Row],[TIPO2]]="costo", VLOOKUP(Table1[[#This Row],[PARTIDA PRESUPUESTAL]],'Cost Report'!G:G,1,0),"Balance")</f>
        <v>2080-003</v>
      </c>
      <c r="AC2325" s="118"/>
      <c r="AD2325" s="159">
        <f>+Table1[[#This Row],[SUBTOTAL]]+Table1[[#This Row],[IVA]]-Table1[[#This Row],[RET IVA]]-Table1[[#This Row],[RET ISR]]-Table1[[#This Row],[TOTAL]]</f>
        <v>0</v>
      </c>
      <c r="AE2325" s="152"/>
      <c r="AF2325" s="153"/>
      <c r="AG2325" s="126" t="s">
        <v>3420</v>
      </c>
      <c r="AH2325" s="120">
        <f>+Table1[[#This Row],[CONCEPTO]]+Table1[[#This Row],[SUBTOTAL]]</f>
        <v>6924</v>
      </c>
      <c r="AK2325" s="306">
        <f>IF(ISNUMBER(Table1[[#This Row],[FECHA DE RECIBIDO]]), Table1[[#This Row],[FECHA DE RECIBIDO]]-DATE(2023,8,30), "")</f>
        <v>-44948</v>
      </c>
    </row>
    <row r="2326" spans="1:37" ht="16.95" customHeight="1">
      <c r="A2326" s="150" t="s">
        <v>3768</v>
      </c>
      <c r="B2326" s="151">
        <v>792</v>
      </c>
      <c r="C2326" s="126" t="s">
        <v>2443</v>
      </c>
      <c r="D2326">
        <v>689</v>
      </c>
      <c r="E2326" s="126"/>
      <c r="F2326" s="122"/>
      <c r="G2326" s="122"/>
      <c r="H2326"/>
      <c r="I2326" s="122"/>
      <c r="J2326" s="307">
        <v>220</v>
      </c>
      <c r="K2326" s="127" t="s">
        <v>3797</v>
      </c>
      <c r="L2326" s="151" t="s">
        <v>1579</v>
      </c>
      <c r="M2326">
        <v>645</v>
      </c>
      <c r="N2326" s="123">
        <v>17</v>
      </c>
      <c r="O2326">
        <v>1524</v>
      </c>
      <c r="P2326" s="132" t="s">
        <v>77</v>
      </c>
      <c r="Q2326" s="131">
        <v>1100</v>
      </c>
      <c r="R2326" s="131"/>
      <c r="S2326" s="131"/>
      <c r="T2326" s="155"/>
      <c r="U2326" s="131"/>
      <c r="V2326" s="131">
        <v>1100</v>
      </c>
      <c r="W2326">
        <v>39</v>
      </c>
      <c r="X2326" s="151" t="s">
        <v>1644</v>
      </c>
      <c r="Y2326" s="135" t="s">
        <v>55</v>
      </c>
      <c r="Z2326" s="307">
        <v>220</v>
      </c>
      <c r="AB2326" t="str">
        <f>IF(Table1[[#This Row],[TIPO2]]="costo", VLOOKUP(Table1[[#This Row],[PARTIDA PRESUPUESTAL]],'Cost Report'!G:G,1,0),"Balance")</f>
        <v>2080-003</v>
      </c>
      <c r="AC2326" s="118"/>
      <c r="AD2326" s="159">
        <f>+Table1[[#This Row],[SUBTOTAL]]+Table1[[#This Row],[IVA]]-Table1[[#This Row],[RET IVA]]-Table1[[#This Row],[RET ISR]]-Table1[[#This Row],[TOTAL]]</f>
        <v>0</v>
      </c>
      <c r="AE2326" s="150"/>
      <c r="AF2326" s="151"/>
      <c r="AG2326" s="126" t="s">
        <v>3420</v>
      </c>
      <c r="AH2326" s="120">
        <f>+Table1[[#This Row],[CONCEPTO]]+Table1[[#This Row],[SUBTOTAL]]</f>
        <v>2624</v>
      </c>
      <c r="AK2326" s="306">
        <f>IF(ISNUMBER(Table1[[#This Row],[FECHA DE RECIBIDO]]), Table1[[#This Row],[FECHA DE RECIBIDO]]-DATE(2023,8,30), "")</f>
        <v>-44948</v>
      </c>
    </row>
    <row r="2327" spans="1:37" ht="16.95" customHeight="1">
      <c r="A2327" s="152" t="s">
        <v>3768</v>
      </c>
      <c r="B2327" s="153">
        <v>792</v>
      </c>
      <c r="C2327" s="126" t="s">
        <v>2443</v>
      </c>
      <c r="D2327">
        <v>689</v>
      </c>
      <c r="E2327" s="126"/>
      <c r="F2327" s="125"/>
      <c r="G2327" s="125"/>
      <c r="H2327"/>
      <c r="I2327" s="125"/>
      <c r="J2327" s="308">
        <v>220</v>
      </c>
      <c r="K2327" s="127" t="s">
        <v>3797</v>
      </c>
      <c r="L2327" s="153" t="s">
        <v>1579</v>
      </c>
      <c r="M2327">
        <v>512</v>
      </c>
      <c r="N2327" s="123">
        <v>17</v>
      </c>
      <c r="O2327">
        <v>162</v>
      </c>
      <c r="P2327" s="132" t="s">
        <v>77</v>
      </c>
      <c r="Q2327" s="132">
        <v>34.22</v>
      </c>
      <c r="R2327" s="132"/>
      <c r="S2327" s="132"/>
      <c r="T2327" s="156"/>
      <c r="U2327" s="132"/>
      <c r="V2327" s="132">
        <v>34.22</v>
      </c>
      <c r="W2327">
        <v>39</v>
      </c>
      <c r="X2327" s="153" t="s">
        <v>1644</v>
      </c>
      <c r="Y2327" s="124" t="s">
        <v>55</v>
      </c>
      <c r="Z2327" s="308">
        <v>220</v>
      </c>
      <c r="AB2327" t="str">
        <f>IF(Table1[[#This Row],[TIPO2]]="costo", VLOOKUP(Table1[[#This Row],[PARTIDA PRESUPUESTAL]],'Cost Report'!G:G,1,0),"Balance")</f>
        <v>2080-003</v>
      </c>
      <c r="AC2327" s="118"/>
      <c r="AD2327" s="159">
        <f>+Table1[[#This Row],[SUBTOTAL]]+Table1[[#This Row],[IVA]]-Table1[[#This Row],[RET IVA]]-Table1[[#This Row],[RET ISR]]-Table1[[#This Row],[TOTAL]]</f>
        <v>0</v>
      </c>
      <c r="AE2327" s="152"/>
      <c r="AF2327" s="153"/>
      <c r="AG2327" s="126" t="s">
        <v>3420</v>
      </c>
      <c r="AH2327" s="120">
        <f>+Table1[[#This Row],[CONCEPTO]]+Table1[[#This Row],[SUBTOTAL]]</f>
        <v>196.22</v>
      </c>
      <c r="AK2327" s="306">
        <f>IF(ISNUMBER(Table1[[#This Row],[FECHA DE RECIBIDO]]), Table1[[#This Row],[FECHA DE RECIBIDO]]-DATE(2023,8,30), "")</f>
        <v>-44948</v>
      </c>
    </row>
    <row r="2328" spans="1:37" ht="16.95" customHeight="1">
      <c r="A2328" s="150" t="s">
        <v>3769</v>
      </c>
      <c r="B2328" s="151">
        <v>793</v>
      </c>
      <c r="C2328" s="126" t="s">
        <v>5474</v>
      </c>
      <c r="D2328">
        <v>1547</v>
      </c>
      <c r="E2328" s="126" t="s">
        <v>1645</v>
      </c>
      <c r="F2328" s="122" t="s">
        <v>1607</v>
      </c>
      <c r="G2328" s="122" t="s">
        <v>134</v>
      </c>
      <c r="H2328">
        <v>462</v>
      </c>
      <c r="I2328" s="122" t="s">
        <v>1546</v>
      </c>
      <c r="J2328" s="307" t="s">
        <v>214</v>
      </c>
      <c r="K2328" s="127" t="s">
        <v>3797</v>
      </c>
      <c r="L2328" s="151" t="s">
        <v>1579</v>
      </c>
      <c r="M2328">
        <v>646</v>
      </c>
      <c r="N2328" s="123">
        <v>17</v>
      </c>
      <c r="O2328">
        <v>1525</v>
      </c>
      <c r="P2328" s="131" t="s">
        <v>77</v>
      </c>
      <c r="Q2328" s="131">
        <v>5894.01</v>
      </c>
      <c r="R2328" s="131">
        <v>875.6</v>
      </c>
      <c r="S2328" s="131"/>
      <c r="T2328" s="155"/>
      <c r="U2328" s="131"/>
      <c r="V2328" s="131">
        <v>6769.6100000000006</v>
      </c>
      <c r="W2328">
        <v>93</v>
      </c>
      <c r="X2328" s="151" t="s">
        <v>1644</v>
      </c>
      <c r="Y2328" s="135" t="s">
        <v>55</v>
      </c>
      <c r="Z2328" s="307">
        <v>208</v>
      </c>
      <c r="AB2328" t="str">
        <f>IF(Table1[[#This Row],[TIPO2]]="costo", VLOOKUP(Table1[[#This Row],[PARTIDA PRESUPUESTAL]],'Cost Report'!G:G,1,0),"Balance")</f>
        <v>7230-002</v>
      </c>
      <c r="AC2328" s="118"/>
      <c r="AD2328" s="159">
        <f>+Table1[[#This Row],[SUBTOTAL]]+Table1[[#This Row],[IVA]]-Table1[[#This Row],[RET IVA]]-Table1[[#This Row],[RET ISR]]-Table1[[#This Row],[TOTAL]]</f>
        <v>0</v>
      </c>
      <c r="AE2328" s="150"/>
      <c r="AF2328" s="151"/>
      <c r="AG2328" s="126" t="s">
        <v>3420</v>
      </c>
      <c r="AH2328" s="120">
        <f>+Table1[[#This Row],[CONCEPTO]]+Table1[[#This Row],[SUBTOTAL]]</f>
        <v>7419.01</v>
      </c>
      <c r="AJ2328" s="213" t="s">
        <v>5479</v>
      </c>
      <c r="AK2328" s="306" t="str">
        <f>IF(ISNUMBER(Table1[[#This Row],[FECHA DE RECIBIDO]]), Table1[[#This Row],[FECHA DE RECIBIDO]]-DATE(2023,8,30), "")</f>
        <v/>
      </c>
    </row>
    <row r="2329" spans="1:37" ht="16.95" customHeight="1">
      <c r="A2329" s="152" t="s">
        <v>3769</v>
      </c>
      <c r="B2329" s="153">
        <v>793</v>
      </c>
      <c r="C2329" s="126" t="s">
        <v>5474</v>
      </c>
      <c r="D2329">
        <v>1548</v>
      </c>
      <c r="E2329" s="126" t="s">
        <v>3292</v>
      </c>
      <c r="F2329" s="125" t="s">
        <v>1607</v>
      </c>
      <c r="G2329" s="125" t="s">
        <v>134</v>
      </c>
      <c r="H2329">
        <v>463</v>
      </c>
      <c r="I2329" s="125" t="s">
        <v>1546</v>
      </c>
      <c r="J2329" s="308" t="s">
        <v>214</v>
      </c>
      <c r="K2329" s="127" t="s">
        <v>3797</v>
      </c>
      <c r="L2329" s="153" t="s">
        <v>1579</v>
      </c>
      <c r="M2329">
        <v>647</v>
      </c>
      <c r="N2329" s="123">
        <v>17</v>
      </c>
      <c r="O2329">
        <v>1526</v>
      </c>
      <c r="P2329" s="131" t="s">
        <v>77</v>
      </c>
      <c r="Q2329" s="132">
        <v>2409.75</v>
      </c>
      <c r="R2329" s="132">
        <v>385.56</v>
      </c>
      <c r="S2329" s="132"/>
      <c r="T2329" s="156"/>
      <c r="U2329" s="132"/>
      <c r="V2329" s="132">
        <v>2795.31</v>
      </c>
      <c r="W2329">
        <v>93</v>
      </c>
      <c r="X2329" s="153" t="s">
        <v>1644</v>
      </c>
      <c r="Y2329" s="124" t="s">
        <v>55</v>
      </c>
      <c r="Z2329" s="308">
        <v>208</v>
      </c>
      <c r="AB2329" t="str">
        <f>IF(Table1[[#This Row],[TIPO2]]="costo", VLOOKUP(Table1[[#This Row],[PARTIDA PRESUPUESTAL]],'Cost Report'!G:G,1,0),"Balance")</f>
        <v>7230-002</v>
      </c>
      <c r="AC2329" s="118"/>
      <c r="AD2329" s="159">
        <f>+Table1[[#This Row],[SUBTOTAL]]+Table1[[#This Row],[IVA]]-Table1[[#This Row],[RET IVA]]-Table1[[#This Row],[RET ISR]]-Table1[[#This Row],[TOTAL]]</f>
        <v>0</v>
      </c>
      <c r="AE2329" s="152"/>
      <c r="AF2329" s="153"/>
      <c r="AG2329" s="126" t="s">
        <v>3420</v>
      </c>
      <c r="AH2329" s="120">
        <f>+Table1[[#This Row],[CONCEPTO]]+Table1[[#This Row],[SUBTOTAL]]</f>
        <v>3935.75</v>
      </c>
      <c r="AJ2329" s="213" t="s">
        <v>5479</v>
      </c>
      <c r="AK2329" s="306" t="str">
        <f>IF(ISNUMBER(Table1[[#This Row],[FECHA DE RECIBIDO]]), Table1[[#This Row],[FECHA DE RECIBIDO]]-DATE(2023,8,30), "")</f>
        <v/>
      </c>
    </row>
    <row r="2330" spans="1:37" ht="16.95" customHeight="1">
      <c r="A2330" s="150" t="s">
        <v>3769</v>
      </c>
      <c r="B2330" s="151">
        <v>793</v>
      </c>
      <c r="C2330" s="126" t="s">
        <v>5474</v>
      </c>
      <c r="D2330">
        <v>1549</v>
      </c>
      <c r="E2330" s="126" t="s">
        <v>3670</v>
      </c>
      <c r="F2330" s="122" t="s">
        <v>1593</v>
      </c>
      <c r="G2330" s="122" t="s">
        <v>109</v>
      </c>
      <c r="H2330">
        <v>464</v>
      </c>
      <c r="I2330" s="122" t="s">
        <v>1546</v>
      </c>
      <c r="J2330" s="307" t="s">
        <v>214</v>
      </c>
      <c r="K2330" s="127" t="s">
        <v>3797</v>
      </c>
      <c r="L2330" s="151" t="s">
        <v>1579</v>
      </c>
      <c r="M2330">
        <v>648</v>
      </c>
      <c r="N2330" s="123">
        <v>17</v>
      </c>
      <c r="O2330">
        <v>1527</v>
      </c>
      <c r="P2330" s="131" t="s">
        <v>77</v>
      </c>
      <c r="Q2330" s="131">
        <v>3133.15</v>
      </c>
      <c r="R2330" s="131"/>
      <c r="S2330" s="131">
        <v>93.99</v>
      </c>
      <c r="T2330" s="155"/>
      <c r="U2330" s="131">
        <v>39.159999999999997</v>
      </c>
      <c r="V2330" s="131">
        <v>3093.9900000000002</v>
      </c>
      <c r="W2330">
        <v>93</v>
      </c>
      <c r="X2330" s="151" t="s">
        <v>1644</v>
      </c>
      <c r="Y2330" s="135" t="s">
        <v>55</v>
      </c>
      <c r="Z2330" s="307">
        <v>215</v>
      </c>
      <c r="AB2330" t="str">
        <f>IF(Table1[[#This Row],[TIPO2]]="costo", VLOOKUP(Table1[[#This Row],[PARTIDA PRESUPUESTAL]],'Cost Report'!G:G,1,0),"Balance")</f>
        <v>7230-002</v>
      </c>
      <c r="AC2330" s="118"/>
      <c r="AD2330" s="159">
        <f>+Table1[[#This Row],[SUBTOTAL]]+Table1[[#This Row],[IVA]]-Table1[[#This Row],[RET IVA]]-Table1[[#This Row],[RET ISR]]-Table1[[#This Row],[TOTAL]]</f>
        <v>0</v>
      </c>
      <c r="AE2330" s="150"/>
      <c r="AF2330" s="151"/>
      <c r="AG2330" s="126" t="s">
        <v>3420</v>
      </c>
      <c r="AH2330" s="120">
        <f>+Table1[[#This Row],[CONCEPTO]]+Table1[[#This Row],[SUBTOTAL]]</f>
        <v>4660.1499999999996</v>
      </c>
      <c r="AJ2330" s="213" t="s">
        <v>5479</v>
      </c>
      <c r="AK2330" s="306" t="str">
        <f>IF(ISNUMBER(Table1[[#This Row],[FECHA DE RECIBIDO]]), Table1[[#This Row],[FECHA DE RECIBIDO]]-DATE(2023,8,30), "")</f>
        <v/>
      </c>
    </row>
    <row r="2331" spans="1:37" ht="16.95" customHeight="1">
      <c r="A2331" s="152" t="s">
        <v>3769</v>
      </c>
      <c r="B2331" s="153">
        <v>793</v>
      </c>
      <c r="C2331" s="126" t="s">
        <v>5473</v>
      </c>
      <c r="D2331">
        <v>1550</v>
      </c>
      <c r="E2331" s="126" t="e">
        <v>#N/A</v>
      </c>
      <c r="F2331" s="125" t="e">
        <v>#N/A</v>
      </c>
      <c r="G2331" s="125" t="e">
        <v>#N/A</v>
      </c>
      <c r="H2331">
        <v>36</v>
      </c>
      <c r="I2331" s="125" t="e">
        <v>#N/A</v>
      </c>
      <c r="J2331" s="308" t="s">
        <v>214</v>
      </c>
      <c r="K2331" s="127" t="s">
        <v>3797</v>
      </c>
      <c r="L2331" s="153" t="s">
        <v>1579</v>
      </c>
      <c r="M2331">
        <v>649</v>
      </c>
      <c r="N2331" s="123">
        <v>17</v>
      </c>
      <c r="O2331">
        <v>1528</v>
      </c>
      <c r="P2331" s="131" t="s">
        <v>77</v>
      </c>
      <c r="Q2331" s="132">
        <v>0</v>
      </c>
      <c r="R2331" s="132"/>
      <c r="S2331" s="132"/>
      <c r="T2331" s="156"/>
      <c r="U2331" s="132"/>
      <c r="V2331" s="132">
        <v>25000</v>
      </c>
      <c r="W2331">
        <v>93</v>
      </c>
      <c r="X2331" s="153" t="s">
        <v>1644</v>
      </c>
      <c r="Y2331" s="124" t="s">
        <v>55</v>
      </c>
      <c r="Z2331" s="308">
        <v>-153</v>
      </c>
      <c r="AB2331" t="str">
        <f>IF(Table1[[#This Row],[TIPO2]]="costo", VLOOKUP(Table1[[#This Row],[PARTIDA PRESUPUESTAL]],'Cost Report'!G:G,1,0),"Balance")</f>
        <v>7230-001</v>
      </c>
      <c r="AC2331" s="118"/>
      <c r="AD2331" s="159">
        <f>+Table1[[#This Row],[SUBTOTAL]]+Table1[[#This Row],[IVA]]-Table1[[#This Row],[RET IVA]]-Table1[[#This Row],[RET ISR]]-Table1[[#This Row],[TOTAL]]</f>
        <v>-25000</v>
      </c>
      <c r="AE2331" s="152"/>
      <c r="AF2331" s="153"/>
      <c r="AG2331" s="126" t="s">
        <v>3420</v>
      </c>
      <c r="AH2331" s="120">
        <f>+Table1[[#This Row],[CONCEPTO]]+Table1[[#This Row],[SUBTOTAL]]</f>
        <v>1528</v>
      </c>
      <c r="AJ2331" s="213" t="s">
        <v>5479</v>
      </c>
      <c r="AK2331" s="306" t="str">
        <f>IF(ISNUMBER(Table1[[#This Row],[FECHA DE RECIBIDO]]), Table1[[#This Row],[FECHA DE RECIBIDO]]-DATE(2023,8,30), "")</f>
        <v/>
      </c>
    </row>
    <row r="2332" spans="1:37" ht="16.95" customHeight="1">
      <c r="A2332" s="150" t="s">
        <v>3769</v>
      </c>
      <c r="B2332" s="151">
        <v>793</v>
      </c>
      <c r="C2332" s="126" t="s">
        <v>5473</v>
      </c>
      <c r="D2332">
        <v>1551</v>
      </c>
      <c r="E2332" s="126" t="s">
        <v>1603</v>
      </c>
      <c r="F2332" s="122" t="s">
        <v>1607</v>
      </c>
      <c r="G2332" s="122" t="s">
        <v>134</v>
      </c>
      <c r="H2332">
        <v>91</v>
      </c>
      <c r="I2332" s="122" t="s">
        <v>1546</v>
      </c>
      <c r="J2332" s="307" t="s">
        <v>214</v>
      </c>
      <c r="K2332" s="127" t="s">
        <v>3797</v>
      </c>
      <c r="L2332" s="151" t="s">
        <v>1579</v>
      </c>
      <c r="M2332">
        <v>122</v>
      </c>
      <c r="N2332" s="123">
        <v>17</v>
      </c>
      <c r="O2332">
        <v>1529</v>
      </c>
      <c r="P2332" s="131" t="s">
        <v>77</v>
      </c>
      <c r="Q2332" s="131">
        <v>498.97</v>
      </c>
      <c r="R2332" s="131"/>
      <c r="S2332" s="131"/>
      <c r="T2332" s="155"/>
      <c r="U2332" s="131"/>
      <c r="V2332" s="131">
        <v>498.97</v>
      </c>
      <c r="W2332">
        <v>93</v>
      </c>
      <c r="X2332" s="151" t="s">
        <v>1644</v>
      </c>
      <c r="Y2332" s="135" t="s">
        <v>55</v>
      </c>
      <c r="Z2332" s="307">
        <v>215</v>
      </c>
      <c r="AB2332" t="str">
        <f>IF(Table1[[#This Row],[TIPO2]]="costo", VLOOKUP(Table1[[#This Row],[PARTIDA PRESUPUESTAL]],'Cost Report'!G:G,1,0),"Balance")</f>
        <v>7230-001</v>
      </c>
      <c r="AC2332" s="118"/>
      <c r="AD2332" s="159">
        <f>+Table1[[#This Row],[SUBTOTAL]]+Table1[[#This Row],[IVA]]-Table1[[#This Row],[RET IVA]]-Table1[[#This Row],[RET ISR]]-Table1[[#This Row],[TOTAL]]</f>
        <v>0</v>
      </c>
      <c r="AE2332" s="150"/>
      <c r="AF2332" s="151"/>
      <c r="AG2332" s="126" t="s">
        <v>3420</v>
      </c>
      <c r="AH2332" s="120">
        <f>+Table1[[#This Row],[CONCEPTO]]+Table1[[#This Row],[SUBTOTAL]]</f>
        <v>2027.97</v>
      </c>
      <c r="AJ2332" s="213" t="s">
        <v>5479</v>
      </c>
      <c r="AK2332" s="306" t="str">
        <f>IF(ISNUMBER(Table1[[#This Row],[FECHA DE RECIBIDO]]), Table1[[#This Row],[FECHA DE RECIBIDO]]-DATE(2023,8,30), "")</f>
        <v/>
      </c>
    </row>
    <row r="2333" spans="1:37" ht="16.95" customHeight="1">
      <c r="A2333" s="152" t="s">
        <v>3770</v>
      </c>
      <c r="B2333" s="153">
        <v>794</v>
      </c>
      <c r="C2333" s="126" t="s">
        <v>5473</v>
      </c>
      <c r="D2333">
        <v>1552</v>
      </c>
      <c r="E2333" s="126" t="s">
        <v>3790</v>
      </c>
      <c r="F2333" s="125" t="s">
        <v>1593</v>
      </c>
      <c r="G2333" s="125" t="s">
        <v>109</v>
      </c>
      <c r="H2333">
        <v>465</v>
      </c>
      <c r="I2333" s="125" t="s">
        <v>1546</v>
      </c>
      <c r="J2333" s="308" t="s">
        <v>214</v>
      </c>
      <c r="K2333" s="127" t="s">
        <v>3797</v>
      </c>
      <c r="L2333" s="153" t="s">
        <v>1579</v>
      </c>
      <c r="M2333">
        <v>650</v>
      </c>
      <c r="N2333" s="123">
        <v>17</v>
      </c>
      <c r="O2333">
        <v>1530</v>
      </c>
      <c r="P2333" s="131" t="s">
        <v>77</v>
      </c>
      <c r="Q2333" s="132">
        <v>3500</v>
      </c>
      <c r="R2333" s="132"/>
      <c r="S2333" s="132"/>
      <c r="T2333" s="156"/>
      <c r="U2333" s="132">
        <v>43.75</v>
      </c>
      <c r="V2333" s="132">
        <v>3456.25</v>
      </c>
      <c r="W2333">
        <v>227</v>
      </c>
      <c r="X2333" s="153" t="s">
        <v>1644</v>
      </c>
      <c r="Y2333" s="124" t="s">
        <v>55</v>
      </c>
      <c r="Z2333" s="308">
        <v>217</v>
      </c>
      <c r="AB2333" t="str">
        <f>IF(Table1[[#This Row],[TIPO2]]="costo", VLOOKUP(Table1[[#This Row],[PARTIDA PRESUPUESTAL]],'Cost Report'!G:G,1,0),"Balance")</f>
        <v>7230-001</v>
      </c>
      <c r="AC2333" s="118"/>
      <c r="AD2333" s="159">
        <f>+Table1[[#This Row],[SUBTOTAL]]+Table1[[#This Row],[IVA]]-Table1[[#This Row],[RET IVA]]-Table1[[#This Row],[RET ISR]]-Table1[[#This Row],[TOTAL]]</f>
        <v>0</v>
      </c>
      <c r="AE2333" s="152"/>
      <c r="AF2333" s="153"/>
      <c r="AG2333" s="126" t="s">
        <v>3420</v>
      </c>
      <c r="AH2333" s="120">
        <f>+Table1[[#This Row],[CONCEPTO]]+Table1[[#This Row],[SUBTOTAL]]</f>
        <v>5030</v>
      </c>
      <c r="AJ2333" s="213" t="s">
        <v>5479</v>
      </c>
      <c r="AK2333" s="306" t="str">
        <f>IF(ISNUMBER(Table1[[#This Row],[FECHA DE RECIBIDO]]), Table1[[#This Row],[FECHA DE RECIBIDO]]-DATE(2023,8,30), "")</f>
        <v/>
      </c>
    </row>
    <row r="2334" spans="1:37" ht="16.95" customHeight="1">
      <c r="A2334" s="150" t="s">
        <v>3770</v>
      </c>
      <c r="B2334" s="151">
        <v>794</v>
      </c>
      <c r="C2334" s="126" t="s">
        <v>5473</v>
      </c>
      <c r="D2334">
        <v>1553</v>
      </c>
      <c r="E2334" s="126" t="s">
        <v>1997</v>
      </c>
      <c r="F2334" s="122" t="s">
        <v>1607</v>
      </c>
      <c r="G2334" s="122" t="s">
        <v>134</v>
      </c>
      <c r="H2334">
        <v>466</v>
      </c>
      <c r="I2334" s="122" t="s">
        <v>1546</v>
      </c>
      <c r="J2334" s="307" t="s">
        <v>214</v>
      </c>
      <c r="K2334" s="127" t="s">
        <v>3797</v>
      </c>
      <c r="L2334" s="151" t="s">
        <v>1579</v>
      </c>
      <c r="M2334">
        <v>651</v>
      </c>
      <c r="N2334" s="123">
        <v>17</v>
      </c>
      <c r="O2334">
        <v>1531</v>
      </c>
      <c r="P2334" s="131" t="s">
        <v>77</v>
      </c>
      <c r="Q2334" s="131">
        <v>1246.67</v>
      </c>
      <c r="R2334" s="131">
        <v>199.46720000000002</v>
      </c>
      <c r="S2334" s="131"/>
      <c r="T2334" s="155"/>
      <c r="U2334" s="131"/>
      <c r="V2334" s="131">
        <v>1446.1372000000001</v>
      </c>
      <c r="W2334">
        <v>227</v>
      </c>
      <c r="X2334" s="151" t="s">
        <v>1644</v>
      </c>
      <c r="Y2334" s="135" t="s">
        <v>55</v>
      </c>
      <c r="Z2334" s="307">
        <v>213</v>
      </c>
      <c r="AB2334" t="str">
        <f>IF(Table1[[#This Row],[TIPO2]]="costo", VLOOKUP(Table1[[#This Row],[PARTIDA PRESUPUESTAL]],'Cost Report'!G:G,1,0),"Balance")</f>
        <v>7230-001</v>
      </c>
      <c r="AC2334" s="118"/>
      <c r="AD2334" s="159">
        <f>+Table1[[#This Row],[SUBTOTAL]]+Table1[[#This Row],[IVA]]-Table1[[#This Row],[RET IVA]]-Table1[[#This Row],[RET ISR]]-Table1[[#This Row],[TOTAL]]</f>
        <v>0</v>
      </c>
      <c r="AE2334" s="150"/>
      <c r="AF2334" s="151"/>
      <c r="AG2334" s="126" t="s">
        <v>3420</v>
      </c>
      <c r="AH2334" s="120">
        <f>+Table1[[#This Row],[CONCEPTO]]+Table1[[#This Row],[SUBTOTAL]]</f>
        <v>2777.67</v>
      </c>
      <c r="AJ2334" s="213" t="s">
        <v>5479</v>
      </c>
      <c r="AK2334" s="306" t="str">
        <f>IF(ISNUMBER(Table1[[#This Row],[FECHA DE RECIBIDO]]), Table1[[#This Row],[FECHA DE RECIBIDO]]-DATE(2023,8,30), "")</f>
        <v/>
      </c>
    </row>
    <row r="2335" spans="1:37" ht="16.95" customHeight="1">
      <c r="A2335" s="152" t="s">
        <v>3770</v>
      </c>
      <c r="B2335" s="153">
        <v>794</v>
      </c>
      <c r="C2335" s="126" t="s">
        <v>5473</v>
      </c>
      <c r="D2335">
        <v>689</v>
      </c>
      <c r="E2335" s="126"/>
      <c r="F2335" s="125"/>
      <c r="G2335" s="125"/>
      <c r="H2335"/>
      <c r="I2335" s="125"/>
      <c r="J2335" s="308" t="s">
        <v>214</v>
      </c>
      <c r="K2335" s="127" t="s">
        <v>3797</v>
      </c>
      <c r="L2335" s="153" t="s">
        <v>1579</v>
      </c>
      <c r="M2335">
        <v>650</v>
      </c>
      <c r="N2335" s="123">
        <v>17</v>
      </c>
      <c r="O2335">
        <v>1532</v>
      </c>
      <c r="P2335" s="131" t="s">
        <v>77</v>
      </c>
      <c r="Q2335" s="132">
        <v>43.75</v>
      </c>
      <c r="R2335" s="132"/>
      <c r="S2335" s="132"/>
      <c r="T2335" s="156"/>
      <c r="U2335" s="132"/>
      <c r="V2335" s="132">
        <v>43.75</v>
      </c>
      <c r="W2335">
        <v>227</v>
      </c>
      <c r="X2335" s="153" t="s">
        <v>1644</v>
      </c>
      <c r="Y2335" s="124" t="s">
        <v>55</v>
      </c>
      <c r="Z2335" s="308">
        <v>217</v>
      </c>
      <c r="AB2335" t="str">
        <f>IF(Table1[[#This Row],[TIPO2]]="costo", VLOOKUP(Table1[[#This Row],[PARTIDA PRESUPUESTAL]],'Cost Report'!G:G,1,0),"Balance")</f>
        <v>7230-001</v>
      </c>
      <c r="AC2335" s="118"/>
      <c r="AD2335" s="159">
        <f>+Table1[[#This Row],[SUBTOTAL]]+Table1[[#This Row],[IVA]]-Table1[[#This Row],[RET IVA]]-Table1[[#This Row],[RET ISR]]-Table1[[#This Row],[TOTAL]]</f>
        <v>0</v>
      </c>
      <c r="AE2335" s="152"/>
      <c r="AF2335" s="153"/>
      <c r="AG2335" s="126" t="s">
        <v>3420</v>
      </c>
      <c r="AH2335" s="120">
        <f>+Table1[[#This Row],[CONCEPTO]]+Table1[[#This Row],[SUBTOTAL]]</f>
        <v>1575.75</v>
      </c>
      <c r="AJ2335" s="213" t="s">
        <v>5479</v>
      </c>
      <c r="AK2335" s="306" t="str">
        <f>IF(ISNUMBER(Table1[[#This Row],[FECHA DE RECIBIDO]]), Table1[[#This Row],[FECHA DE RECIBIDO]]-DATE(2023,8,30), "")</f>
        <v/>
      </c>
    </row>
    <row r="2336" spans="1:37" ht="16.95" customHeight="1">
      <c r="A2336" s="150" t="s">
        <v>3771</v>
      </c>
      <c r="B2336" s="151">
        <v>795</v>
      </c>
      <c r="C2336" s="126" t="s">
        <v>3415</v>
      </c>
      <c r="D2336">
        <v>1013</v>
      </c>
      <c r="E2336" s="126" t="s">
        <v>1623</v>
      </c>
      <c r="F2336" s="122" t="s">
        <v>1607</v>
      </c>
      <c r="G2336" s="122" t="s">
        <v>134</v>
      </c>
      <c r="H2336">
        <v>45</v>
      </c>
      <c r="I2336" s="122" t="s">
        <v>1546</v>
      </c>
      <c r="J2336" s="307" t="s">
        <v>214</v>
      </c>
      <c r="K2336" s="127" t="s">
        <v>3797</v>
      </c>
      <c r="L2336" s="151" t="s">
        <v>1579</v>
      </c>
      <c r="M2336">
        <v>56</v>
      </c>
      <c r="N2336" s="123">
        <v>17</v>
      </c>
      <c r="O2336">
        <v>1533</v>
      </c>
      <c r="P2336" s="132" t="s">
        <v>77</v>
      </c>
      <c r="Q2336" s="131">
        <v>344.83</v>
      </c>
      <c r="R2336" s="131">
        <v>55.17</v>
      </c>
      <c r="S2336" s="131"/>
      <c r="T2336" s="155"/>
      <c r="U2336" s="131"/>
      <c r="V2336" s="131">
        <v>400</v>
      </c>
      <c r="W2336">
        <v>93</v>
      </c>
      <c r="X2336" s="151" t="s">
        <v>1644</v>
      </c>
      <c r="Y2336" s="135" t="s">
        <v>55</v>
      </c>
      <c r="Z2336" s="307">
        <v>203</v>
      </c>
      <c r="AB2336" t="str">
        <f>IF(Table1[[#This Row],[TIPO2]]="costo", VLOOKUP(Table1[[#This Row],[PARTIDA PRESUPUESTAL]],'Cost Report'!G:G,1,0),"Balance")</f>
        <v>3629-006</v>
      </c>
      <c r="AC2336" s="118"/>
      <c r="AD2336" s="159">
        <f>+Table1[[#This Row],[SUBTOTAL]]+Table1[[#This Row],[IVA]]-Table1[[#This Row],[RET IVA]]-Table1[[#This Row],[RET ISR]]-Table1[[#This Row],[TOTAL]]</f>
        <v>0</v>
      </c>
      <c r="AE2336" s="150"/>
      <c r="AF2336" s="151"/>
      <c r="AG2336" s="126" t="s">
        <v>3420</v>
      </c>
      <c r="AH2336" s="120">
        <f>+Table1[[#This Row],[CONCEPTO]]+Table1[[#This Row],[SUBTOTAL]]</f>
        <v>1877.83</v>
      </c>
      <c r="AK2336" s="306" t="str">
        <f>IF(ISNUMBER(Table1[[#This Row],[FECHA DE RECIBIDO]]), Table1[[#This Row],[FECHA DE RECIBIDO]]-DATE(2023,8,30), "")</f>
        <v/>
      </c>
    </row>
    <row r="2337" spans="1:37" ht="16.95" customHeight="1">
      <c r="A2337" s="152" t="s">
        <v>3771</v>
      </c>
      <c r="B2337" s="153">
        <v>795</v>
      </c>
      <c r="C2337" s="126" t="s">
        <v>3415</v>
      </c>
      <c r="D2337">
        <v>946</v>
      </c>
      <c r="E2337" s="126" t="s">
        <v>1623</v>
      </c>
      <c r="F2337" s="125" t="s">
        <v>1607</v>
      </c>
      <c r="G2337" s="125" t="s">
        <v>134</v>
      </c>
      <c r="H2337">
        <v>45</v>
      </c>
      <c r="I2337" s="125" t="s">
        <v>1546</v>
      </c>
      <c r="J2337" s="308" t="s">
        <v>214</v>
      </c>
      <c r="K2337" s="127" t="s">
        <v>3797</v>
      </c>
      <c r="L2337" s="153" t="s">
        <v>1579</v>
      </c>
      <c r="M2337">
        <v>56</v>
      </c>
      <c r="N2337" s="123">
        <v>17</v>
      </c>
      <c r="O2337">
        <v>1534</v>
      </c>
      <c r="P2337" s="132" t="s">
        <v>77</v>
      </c>
      <c r="Q2337" s="132">
        <v>1724.14</v>
      </c>
      <c r="R2337" s="132">
        <v>275.86</v>
      </c>
      <c r="S2337" s="132"/>
      <c r="T2337" s="156"/>
      <c r="U2337" s="132"/>
      <c r="V2337" s="132">
        <v>2000</v>
      </c>
      <c r="W2337">
        <v>93</v>
      </c>
      <c r="X2337" s="153" t="s">
        <v>1644</v>
      </c>
      <c r="Y2337" s="124" t="s">
        <v>55</v>
      </c>
      <c r="Z2337" s="308">
        <v>203</v>
      </c>
      <c r="AB2337" t="str">
        <f>IF(Table1[[#This Row],[TIPO2]]="costo", VLOOKUP(Table1[[#This Row],[PARTIDA PRESUPUESTAL]],'Cost Report'!G:G,1,0),"Balance")</f>
        <v>3629-006</v>
      </c>
      <c r="AC2337" s="118"/>
      <c r="AD2337" s="159">
        <f>+Table1[[#This Row],[SUBTOTAL]]+Table1[[#This Row],[IVA]]-Table1[[#This Row],[RET IVA]]-Table1[[#This Row],[RET ISR]]-Table1[[#This Row],[TOTAL]]</f>
        <v>0</v>
      </c>
      <c r="AE2337" s="152"/>
      <c r="AF2337" s="153"/>
      <c r="AG2337" s="126" t="s">
        <v>3420</v>
      </c>
      <c r="AH2337" s="120">
        <f>+Table1[[#This Row],[CONCEPTO]]+Table1[[#This Row],[SUBTOTAL]]</f>
        <v>3258.1400000000003</v>
      </c>
      <c r="AK2337" s="306" t="str">
        <f>IF(ISNUMBER(Table1[[#This Row],[FECHA DE RECIBIDO]]), Table1[[#This Row],[FECHA DE RECIBIDO]]-DATE(2023,8,30), "")</f>
        <v/>
      </c>
    </row>
    <row r="2338" spans="1:37" ht="16.95" customHeight="1">
      <c r="A2338" s="150" t="s">
        <v>3771</v>
      </c>
      <c r="B2338" s="151">
        <v>795</v>
      </c>
      <c r="C2338" s="126" t="s">
        <v>3415</v>
      </c>
      <c r="D2338">
        <v>1012</v>
      </c>
      <c r="E2338" s="126" t="s">
        <v>1623</v>
      </c>
      <c r="F2338" s="122" t="s">
        <v>1607</v>
      </c>
      <c r="G2338" s="122" t="s">
        <v>134</v>
      </c>
      <c r="H2338">
        <v>45</v>
      </c>
      <c r="I2338" s="122" t="s">
        <v>1546</v>
      </c>
      <c r="J2338" s="307" t="s">
        <v>214</v>
      </c>
      <c r="K2338" s="127" t="s">
        <v>3797</v>
      </c>
      <c r="L2338" s="151" t="s">
        <v>1579</v>
      </c>
      <c r="M2338">
        <v>56</v>
      </c>
      <c r="N2338" s="123">
        <v>17</v>
      </c>
      <c r="O2338">
        <v>1534</v>
      </c>
      <c r="P2338" s="132" t="s">
        <v>77</v>
      </c>
      <c r="Q2338" s="131">
        <v>1206.9000000000001</v>
      </c>
      <c r="R2338" s="131">
        <v>193.1</v>
      </c>
      <c r="S2338" s="131"/>
      <c r="T2338" s="155"/>
      <c r="U2338" s="131"/>
      <c r="V2338" s="131">
        <v>1400</v>
      </c>
      <c r="W2338">
        <v>93</v>
      </c>
      <c r="X2338" s="151" t="s">
        <v>1644</v>
      </c>
      <c r="Y2338" s="135" t="s">
        <v>55</v>
      </c>
      <c r="Z2338" s="307">
        <v>205</v>
      </c>
      <c r="AB2338" t="str">
        <f>IF(Table1[[#This Row],[TIPO2]]="costo", VLOOKUP(Table1[[#This Row],[PARTIDA PRESUPUESTAL]],'Cost Report'!G:G,1,0),"Balance")</f>
        <v>3629-006</v>
      </c>
      <c r="AC2338" s="118"/>
      <c r="AD2338" s="159">
        <f>+Table1[[#This Row],[SUBTOTAL]]+Table1[[#This Row],[IVA]]-Table1[[#This Row],[RET IVA]]-Table1[[#This Row],[RET ISR]]-Table1[[#This Row],[TOTAL]]</f>
        <v>0</v>
      </c>
      <c r="AE2338" s="150"/>
      <c r="AF2338" s="151"/>
      <c r="AG2338" s="126" t="s">
        <v>3420</v>
      </c>
      <c r="AH2338" s="120">
        <f>+Table1[[#This Row],[CONCEPTO]]+Table1[[#This Row],[SUBTOTAL]]</f>
        <v>2740.9</v>
      </c>
      <c r="AK2338" s="306" t="str">
        <f>IF(ISNUMBER(Table1[[#This Row],[FECHA DE RECIBIDO]]), Table1[[#This Row],[FECHA DE RECIBIDO]]-DATE(2023,8,30), "")</f>
        <v/>
      </c>
    </row>
    <row r="2339" spans="1:37" ht="16.95" customHeight="1">
      <c r="A2339" s="152" t="s">
        <v>3771</v>
      </c>
      <c r="B2339" s="153">
        <v>795</v>
      </c>
      <c r="C2339" s="126" t="s">
        <v>3415</v>
      </c>
      <c r="D2339">
        <v>1554</v>
      </c>
      <c r="E2339" s="126" t="s">
        <v>1623</v>
      </c>
      <c r="F2339" s="125" t="s">
        <v>1607</v>
      </c>
      <c r="G2339" s="125" t="s">
        <v>134</v>
      </c>
      <c r="H2339">
        <v>45</v>
      </c>
      <c r="I2339" s="125" t="s">
        <v>1546</v>
      </c>
      <c r="J2339" s="308" t="s">
        <v>214</v>
      </c>
      <c r="K2339" s="127" t="s">
        <v>3797</v>
      </c>
      <c r="L2339" s="153" t="s">
        <v>1579</v>
      </c>
      <c r="M2339">
        <v>56</v>
      </c>
      <c r="N2339" s="123">
        <v>17</v>
      </c>
      <c r="O2339">
        <v>1535</v>
      </c>
      <c r="P2339" s="132" t="s">
        <v>77</v>
      </c>
      <c r="Q2339" s="132">
        <v>862.07</v>
      </c>
      <c r="R2339" s="132">
        <v>137.93</v>
      </c>
      <c r="S2339" s="132"/>
      <c r="T2339" s="156"/>
      <c r="U2339" s="132"/>
      <c r="V2339" s="132">
        <v>1000</v>
      </c>
      <c r="W2339">
        <v>93</v>
      </c>
      <c r="X2339" s="153" t="s">
        <v>1644</v>
      </c>
      <c r="Y2339" s="124" t="s">
        <v>55</v>
      </c>
      <c r="Z2339" s="308">
        <v>211</v>
      </c>
      <c r="AB2339" t="str">
        <f>IF(Table1[[#This Row],[TIPO2]]="costo", VLOOKUP(Table1[[#This Row],[PARTIDA PRESUPUESTAL]],'Cost Report'!G:G,1,0),"Balance")</f>
        <v>3629-006</v>
      </c>
      <c r="AC2339" s="118"/>
      <c r="AD2339" s="159">
        <f>+Table1[[#This Row],[SUBTOTAL]]+Table1[[#This Row],[IVA]]-Table1[[#This Row],[RET IVA]]-Table1[[#This Row],[RET ISR]]-Table1[[#This Row],[TOTAL]]</f>
        <v>0</v>
      </c>
      <c r="AE2339" s="152"/>
      <c r="AF2339" s="153"/>
      <c r="AG2339" s="126" t="s">
        <v>3420</v>
      </c>
      <c r="AH2339" s="120">
        <f>+Table1[[#This Row],[CONCEPTO]]+Table1[[#This Row],[SUBTOTAL]]</f>
        <v>2397.0700000000002</v>
      </c>
      <c r="AK2339" s="306" t="str">
        <f>IF(ISNUMBER(Table1[[#This Row],[FECHA DE RECIBIDO]]), Table1[[#This Row],[FECHA DE RECIBIDO]]-DATE(2023,8,30), "")</f>
        <v/>
      </c>
    </row>
    <row r="2340" spans="1:37" ht="16.95" customHeight="1">
      <c r="A2340" s="150" t="s">
        <v>3771</v>
      </c>
      <c r="B2340" s="151">
        <v>795</v>
      </c>
      <c r="C2340" s="126" t="s">
        <v>3415</v>
      </c>
      <c r="D2340">
        <v>1555</v>
      </c>
      <c r="E2340" s="126" t="s">
        <v>1623</v>
      </c>
      <c r="F2340" s="122" t="s">
        <v>1607</v>
      </c>
      <c r="G2340" s="122" t="s">
        <v>134</v>
      </c>
      <c r="H2340">
        <v>45</v>
      </c>
      <c r="I2340" s="122" t="s">
        <v>1546</v>
      </c>
      <c r="J2340" s="307" t="s">
        <v>214</v>
      </c>
      <c r="K2340" s="127" t="s">
        <v>3797</v>
      </c>
      <c r="L2340" s="151" t="s">
        <v>1579</v>
      </c>
      <c r="M2340">
        <v>56</v>
      </c>
      <c r="N2340" s="123">
        <v>17</v>
      </c>
      <c r="O2340">
        <v>1535</v>
      </c>
      <c r="P2340" s="132" t="s">
        <v>77</v>
      </c>
      <c r="Q2340" s="131">
        <v>1034.48</v>
      </c>
      <c r="R2340" s="131">
        <v>165.52</v>
      </c>
      <c r="S2340" s="131"/>
      <c r="T2340" s="155"/>
      <c r="U2340" s="131"/>
      <c r="V2340" s="131">
        <v>1200</v>
      </c>
      <c r="W2340">
        <v>93</v>
      </c>
      <c r="X2340" s="151" t="s">
        <v>1644</v>
      </c>
      <c r="Y2340" s="135" t="s">
        <v>55</v>
      </c>
      <c r="Z2340" s="307">
        <v>211</v>
      </c>
      <c r="AB2340" t="str">
        <f>IF(Table1[[#This Row],[TIPO2]]="costo", VLOOKUP(Table1[[#This Row],[PARTIDA PRESUPUESTAL]],'Cost Report'!G:G,1,0),"Balance")</f>
        <v>3629-006</v>
      </c>
      <c r="AC2340" s="118"/>
      <c r="AD2340" s="159">
        <f>+Table1[[#This Row],[SUBTOTAL]]+Table1[[#This Row],[IVA]]-Table1[[#This Row],[RET IVA]]-Table1[[#This Row],[RET ISR]]-Table1[[#This Row],[TOTAL]]</f>
        <v>0</v>
      </c>
      <c r="AE2340" s="150"/>
      <c r="AF2340" s="151"/>
      <c r="AG2340" s="126" t="s">
        <v>3420</v>
      </c>
      <c r="AH2340" s="120">
        <f>+Table1[[#This Row],[CONCEPTO]]+Table1[[#This Row],[SUBTOTAL]]</f>
        <v>2569.48</v>
      </c>
      <c r="AK2340" s="306" t="str">
        <f>IF(ISNUMBER(Table1[[#This Row],[FECHA DE RECIBIDO]]), Table1[[#This Row],[FECHA DE RECIBIDO]]-DATE(2023,8,30), "")</f>
        <v/>
      </c>
    </row>
    <row r="2341" spans="1:37" ht="16.95" customHeight="1">
      <c r="A2341" s="152" t="s">
        <v>3771</v>
      </c>
      <c r="B2341" s="153">
        <v>795</v>
      </c>
      <c r="C2341" s="126" t="s">
        <v>3415</v>
      </c>
      <c r="D2341">
        <v>1556</v>
      </c>
      <c r="E2341" s="126" t="s">
        <v>1623</v>
      </c>
      <c r="F2341" s="125" t="s">
        <v>1607</v>
      </c>
      <c r="G2341" s="125" t="s">
        <v>134</v>
      </c>
      <c r="H2341">
        <v>45</v>
      </c>
      <c r="I2341" s="125" t="s">
        <v>1546</v>
      </c>
      <c r="J2341" s="308" t="s">
        <v>214</v>
      </c>
      <c r="K2341" s="127" t="s">
        <v>3797</v>
      </c>
      <c r="L2341" s="153" t="s">
        <v>1579</v>
      </c>
      <c r="M2341">
        <v>56</v>
      </c>
      <c r="N2341" s="123">
        <v>17</v>
      </c>
      <c r="O2341">
        <v>1535</v>
      </c>
      <c r="P2341" s="132" t="s">
        <v>77</v>
      </c>
      <c r="Q2341" s="132">
        <v>1120.69</v>
      </c>
      <c r="R2341" s="132">
        <v>179.31</v>
      </c>
      <c r="S2341" s="132"/>
      <c r="T2341" s="156"/>
      <c r="U2341" s="132"/>
      <c r="V2341" s="132">
        <v>1300</v>
      </c>
      <c r="W2341">
        <v>93</v>
      </c>
      <c r="X2341" s="153" t="s">
        <v>1644</v>
      </c>
      <c r="Y2341" s="124" t="s">
        <v>55</v>
      </c>
      <c r="Z2341" s="308">
        <v>211</v>
      </c>
      <c r="AB2341" t="str">
        <f>IF(Table1[[#This Row],[TIPO2]]="costo", VLOOKUP(Table1[[#This Row],[PARTIDA PRESUPUESTAL]],'Cost Report'!G:G,1,0),"Balance")</f>
        <v>3629-006</v>
      </c>
      <c r="AC2341" s="118"/>
      <c r="AD2341" s="159">
        <f>+Table1[[#This Row],[SUBTOTAL]]+Table1[[#This Row],[IVA]]-Table1[[#This Row],[RET IVA]]-Table1[[#This Row],[RET ISR]]-Table1[[#This Row],[TOTAL]]</f>
        <v>0</v>
      </c>
      <c r="AE2341" s="152"/>
      <c r="AF2341" s="153"/>
      <c r="AG2341" s="126" t="s">
        <v>3420</v>
      </c>
      <c r="AH2341" s="120">
        <f>+Table1[[#This Row],[CONCEPTO]]+Table1[[#This Row],[SUBTOTAL]]</f>
        <v>2655.69</v>
      </c>
      <c r="AK2341" s="306" t="str">
        <f>IF(ISNUMBER(Table1[[#This Row],[FECHA DE RECIBIDO]]), Table1[[#This Row],[FECHA DE RECIBIDO]]-DATE(2023,8,30), "")</f>
        <v/>
      </c>
    </row>
    <row r="2342" spans="1:37" ht="16.95" customHeight="1">
      <c r="A2342" s="150" t="s">
        <v>3771</v>
      </c>
      <c r="B2342" s="151">
        <v>795</v>
      </c>
      <c r="C2342" s="126" t="s">
        <v>3415</v>
      </c>
      <c r="D2342">
        <v>1557</v>
      </c>
      <c r="E2342" s="126" t="s">
        <v>1623</v>
      </c>
      <c r="F2342" s="122" t="s">
        <v>1607</v>
      </c>
      <c r="G2342" s="122" t="s">
        <v>134</v>
      </c>
      <c r="H2342">
        <v>45</v>
      </c>
      <c r="I2342" s="122" t="s">
        <v>1546</v>
      </c>
      <c r="J2342" s="307" t="s">
        <v>214</v>
      </c>
      <c r="K2342" s="127" t="s">
        <v>3797</v>
      </c>
      <c r="L2342" s="151" t="s">
        <v>1579</v>
      </c>
      <c r="M2342">
        <v>56</v>
      </c>
      <c r="N2342" s="123">
        <v>17</v>
      </c>
      <c r="O2342">
        <v>1535</v>
      </c>
      <c r="P2342" s="132" t="s">
        <v>77</v>
      </c>
      <c r="Q2342" s="131">
        <v>1724.14</v>
      </c>
      <c r="R2342" s="131">
        <v>275.86</v>
      </c>
      <c r="S2342" s="131"/>
      <c r="T2342" s="155"/>
      <c r="U2342" s="131"/>
      <c r="V2342" s="131">
        <v>2000</v>
      </c>
      <c r="W2342">
        <v>93</v>
      </c>
      <c r="X2342" s="151" t="s">
        <v>1644</v>
      </c>
      <c r="Y2342" s="135" t="s">
        <v>55</v>
      </c>
      <c r="Z2342" s="307">
        <v>211</v>
      </c>
      <c r="AB2342" t="str">
        <f>IF(Table1[[#This Row],[TIPO2]]="costo", VLOOKUP(Table1[[#This Row],[PARTIDA PRESUPUESTAL]],'Cost Report'!G:G,1,0),"Balance")</f>
        <v>3629-006</v>
      </c>
      <c r="AC2342" s="118"/>
      <c r="AD2342" s="159">
        <f>+Table1[[#This Row],[SUBTOTAL]]+Table1[[#This Row],[IVA]]-Table1[[#This Row],[RET IVA]]-Table1[[#This Row],[RET ISR]]-Table1[[#This Row],[TOTAL]]</f>
        <v>0</v>
      </c>
      <c r="AE2342" s="150"/>
      <c r="AF2342" s="151"/>
      <c r="AG2342" s="126" t="s">
        <v>3420</v>
      </c>
      <c r="AH2342" s="120">
        <f>+Table1[[#This Row],[CONCEPTO]]+Table1[[#This Row],[SUBTOTAL]]</f>
        <v>3259.1400000000003</v>
      </c>
      <c r="AK2342" s="306" t="str">
        <f>IF(ISNUMBER(Table1[[#This Row],[FECHA DE RECIBIDO]]), Table1[[#This Row],[FECHA DE RECIBIDO]]-DATE(2023,8,30), "")</f>
        <v/>
      </c>
    </row>
    <row r="2343" spans="1:37" ht="16.95" customHeight="1">
      <c r="A2343" s="152" t="s">
        <v>3771</v>
      </c>
      <c r="B2343" s="153">
        <v>795</v>
      </c>
      <c r="C2343" s="126" t="s">
        <v>3415</v>
      </c>
      <c r="D2343">
        <v>1558</v>
      </c>
      <c r="E2343" s="126" t="s">
        <v>1623</v>
      </c>
      <c r="F2343" s="125" t="s">
        <v>1607</v>
      </c>
      <c r="G2343" s="125" t="s">
        <v>134</v>
      </c>
      <c r="H2343">
        <v>45</v>
      </c>
      <c r="I2343" s="125" t="s">
        <v>1546</v>
      </c>
      <c r="J2343" s="308" t="s">
        <v>214</v>
      </c>
      <c r="K2343" s="127" t="s">
        <v>3797</v>
      </c>
      <c r="L2343" s="153" t="s">
        <v>1579</v>
      </c>
      <c r="M2343">
        <v>56</v>
      </c>
      <c r="N2343" s="123">
        <v>17</v>
      </c>
      <c r="O2343">
        <v>1535</v>
      </c>
      <c r="P2343" s="132" t="s">
        <v>77</v>
      </c>
      <c r="Q2343" s="132">
        <v>1120.69</v>
      </c>
      <c r="R2343" s="132">
        <v>179.31</v>
      </c>
      <c r="S2343" s="132"/>
      <c r="T2343" s="156"/>
      <c r="U2343" s="132"/>
      <c r="V2343" s="132">
        <v>1300</v>
      </c>
      <c r="W2343">
        <v>93</v>
      </c>
      <c r="X2343" s="153" t="s">
        <v>1644</v>
      </c>
      <c r="Y2343" s="124" t="s">
        <v>55</v>
      </c>
      <c r="Z2343" s="308">
        <v>212</v>
      </c>
      <c r="AB2343" t="str">
        <f>IF(Table1[[#This Row],[TIPO2]]="costo", VLOOKUP(Table1[[#This Row],[PARTIDA PRESUPUESTAL]],'Cost Report'!G:G,1,0),"Balance")</f>
        <v>3629-006</v>
      </c>
      <c r="AC2343" s="118"/>
      <c r="AD2343" s="159">
        <f>+Table1[[#This Row],[SUBTOTAL]]+Table1[[#This Row],[IVA]]-Table1[[#This Row],[RET IVA]]-Table1[[#This Row],[RET ISR]]-Table1[[#This Row],[TOTAL]]</f>
        <v>0</v>
      </c>
      <c r="AE2343" s="152"/>
      <c r="AF2343" s="153"/>
      <c r="AG2343" s="126" t="s">
        <v>3420</v>
      </c>
      <c r="AH2343" s="120">
        <f>+Table1[[#This Row],[CONCEPTO]]+Table1[[#This Row],[SUBTOTAL]]</f>
        <v>2655.69</v>
      </c>
      <c r="AK2343" s="306" t="str">
        <f>IF(ISNUMBER(Table1[[#This Row],[FECHA DE RECIBIDO]]), Table1[[#This Row],[FECHA DE RECIBIDO]]-DATE(2023,8,30), "")</f>
        <v/>
      </c>
    </row>
    <row r="2344" spans="1:37" ht="16.95" customHeight="1">
      <c r="A2344" s="150" t="s">
        <v>3771</v>
      </c>
      <c r="B2344" s="151">
        <v>795</v>
      </c>
      <c r="C2344" s="126" t="s">
        <v>3415</v>
      </c>
      <c r="D2344">
        <v>1559</v>
      </c>
      <c r="E2344" s="126" t="s">
        <v>1623</v>
      </c>
      <c r="F2344" s="122" t="s">
        <v>1607</v>
      </c>
      <c r="G2344" s="122" t="s">
        <v>134</v>
      </c>
      <c r="H2344">
        <v>45</v>
      </c>
      <c r="I2344" s="122" t="s">
        <v>1546</v>
      </c>
      <c r="J2344" s="307" t="s">
        <v>214</v>
      </c>
      <c r="K2344" s="127" t="s">
        <v>3797</v>
      </c>
      <c r="L2344" s="151" t="s">
        <v>1579</v>
      </c>
      <c r="M2344">
        <v>56</v>
      </c>
      <c r="N2344" s="123">
        <v>17</v>
      </c>
      <c r="O2344">
        <v>1535</v>
      </c>
      <c r="P2344" s="132" t="s">
        <v>77</v>
      </c>
      <c r="Q2344" s="131">
        <v>1120.69</v>
      </c>
      <c r="R2344" s="131">
        <v>179.31</v>
      </c>
      <c r="S2344" s="131"/>
      <c r="T2344" s="155"/>
      <c r="U2344" s="131"/>
      <c r="V2344" s="131">
        <v>1300</v>
      </c>
      <c r="W2344">
        <v>93</v>
      </c>
      <c r="X2344" s="151" t="s">
        <v>1644</v>
      </c>
      <c r="Y2344" s="135" t="s">
        <v>55</v>
      </c>
      <c r="Z2344" s="307">
        <v>212</v>
      </c>
      <c r="AB2344" t="str">
        <f>IF(Table1[[#This Row],[TIPO2]]="costo", VLOOKUP(Table1[[#This Row],[PARTIDA PRESUPUESTAL]],'Cost Report'!G:G,1,0),"Balance")</f>
        <v>3629-006</v>
      </c>
      <c r="AC2344" s="118"/>
      <c r="AD2344" s="159">
        <f>+Table1[[#This Row],[SUBTOTAL]]+Table1[[#This Row],[IVA]]-Table1[[#This Row],[RET IVA]]-Table1[[#This Row],[RET ISR]]-Table1[[#This Row],[TOTAL]]</f>
        <v>0</v>
      </c>
      <c r="AE2344" s="150"/>
      <c r="AF2344" s="151"/>
      <c r="AG2344" s="126" t="s">
        <v>3420</v>
      </c>
      <c r="AH2344" s="120">
        <f>+Table1[[#This Row],[CONCEPTO]]+Table1[[#This Row],[SUBTOTAL]]</f>
        <v>2655.69</v>
      </c>
      <c r="AK2344" s="306" t="str">
        <f>IF(ISNUMBER(Table1[[#This Row],[FECHA DE RECIBIDO]]), Table1[[#This Row],[FECHA DE RECIBIDO]]-DATE(2023,8,30), "")</f>
        <v/>
      </c>
    </row>
    <row r="2345" spans="1:37" ht="16.95" customHeight="1">
      <c r="A2345" s="152" t="s">
        <v>3771</v>
      </c>
      <c r="B2345" s="153">
        <v>795</v>
      </c>
      <c r="C2345" s="126" t="s">
        <v>2443</v>
      </c>
      <c r="D2345">
        <v>1560</v>
      </c>
      <c r="E2345" s="126" t="s">
        <v>1615</v>
      </c>
      <c r="F2345" s="125" t="s">
        <v>1607</v>
      </c>
      <c r="G2345" s="125" t="s">
        <v>134</v>
      </c>
      <c r="H2345">
        <v>32</v>
      </c>
      <c r="I2345" s="125" t="s">
        <v>1546</v>
      </c>
      <c r="J2345" s="308" t="s">
        <v>214</v>
      </c>
      <c r="K2345" s="127" t="s">
        <v>3797</v>
      </c>
      <c r="L2345" s="153" t="s">
        <v>1579</v>
      </c>
      <c r="M2345">
        <v>510</v>
      </c>
      <c r="N2345" s="123">
        <v>17</v>
      </c>
      <c r="O2345">
        <v>1536</v>
      </c>
      <c r="P2345" s="132" t="s">
        <v>77</v>
      </c>
      <c r="Q2345" s="132">
        <v>74.14</v>
      </c>
      <c r="R2345" s="132">
        <v>11.86</v>
      </c>
      <c r="S2345" s="132"/>
      <c r="T2345" s="156"/>
      <c r="U2345" s="132"/>
      <c r="V2345" s="132">
        <v>86</v>
      </c>
      <c r="W2345">
        <v>93</v>
      </c>
      <c r="X2345" s="153" t="s">
        <v>1644</v>
      </c>
      <c r="Y2345" s="124" t="s">
        <v>55</v>
      </c>
      <c r="Z2345" s="308">
        <v>214</v>
      </c>
      <c r="AB2345" t="str">
        <f>IF(Table1[[#This Row],[TIPO2]]="costo", VLOOKUP(Table1[[#This Row],[PARTIDA PRESUPUESTAL]],'Cost Report'!G:G,1,0),"Balance")</f>
        <v>2080-003</v>
      </c>
      <c r="AC2345" s="118"/>
      <c r="AD2345" s="159">
        <f>+Table1[[#This Row],[SUBTOTAL]]+Table1[[#This Row],[IVA]]-Table1[[#This Row],[RET IVA]]-Table1[[#This Row],[RET ISR]]-Table1[[#This Row],[TOTAL]]</f>
        <v>0</v>
      </c>
      <c r="AE2345" s="152"/>
      <c r="AF2345" s="153"/>
      <c r="AG2345" s="126" t="s">
        <v>3420</v>
      </c>
      <c r="AH2345" s="120">
        <f>+Table1[[#This Row],[CONCEPTO]]+Table1[[#This Row],[SUBTOTAL]]</f>
        <v>1610.14</v>
      </c>
      <c r="AK2345" s="306" t="str">
        <f>IF(ISNUMBER(Table1[[#This Row],[FECHA DE RECIBIDO]]), Table1[[#This Row],[FECHA DE RECIBIDO]]-DATE(2023,8,30), "")</f>
        <v/>
      </c>
    </row>
    <row r="2346" spans="1:37" ht="16.95" customHeight="1">
      <c r="A2346" s="150" t="s">
        <v>3771</v>
      </c>
      <c r="B2346" s="151">
        <v>795</v>
      </c>
      <c r="C2346" s="126" t="s">
        <v>2443</v>
      </c>
      <c r="D2346">
        <v>1561</v>
      </c>
      <c r="E2346" s="126" t="s">
        <v>1615</v>
      </c>
      <c r="F2346" s="122" t="s">
        <v>1607</v>
      </c>
      <c r="G2346" s="122" t="s">
        <v>134</v>
      </c>
      <c r="H2346">
        <v>274</v>
      </c>
      <c r="I2346" s="122" t="s">
        <v>1546</v>
      </c>
      <c r="J2346" s="307" t="s">
        <v>214</v>
      </c>
      <c r="K2346" s="127" t="s">
        <v>3797</v>
      </c>
      <c r="L2346" s="151" t="s">
        <v>1579</v>
      </c>
      <c r="M2346">
        <v>365</v>
      </c>
      <c r="N2346" s="123">
        <v>17</v>
      </c>
      <c r="O2346">
        <v>1537</v>
      </c>
      <c r="P2346" s="132" t="s">
        <v>77</v>
      </c>
      <c r="Q2346" s="131">
        <v>791.38</v>
      </c>
      <c r="R2346" s="131">
        <v>126.62</v>
      </c>
      <c r="S2346" s="131"/>
      <c r="T2346" s="155"/>
      <c r="U2346" s="131"/>
      <c r="V2346" s="131">
        <v>918</v>
      </c>
      <c r="W2346">
        <v>93</v>
      </c>
      <c r="X2346" s="151" t="s">
        <v>1644</v>
      </c>
      <c r="Y2346" s="135" t="s">
        <v>55</v>
      </c>
      <c r="Z2346" s="307">
        <v>215</v>
      </c>
      <c r="AB2346" t="str">
        <f>IF(Table1[[#This Row],[TIPO2]]="costo", VLOOKUP(Table1[[#This Row],[PARTIDA PRESUPUESTAL]],'Cost Report'!G:G,1,0),"Balance")</f>
        <v>2080-003</v>
      </c>
      <c r="AC2346" s="118"/>
      <c r="AD2346" s="159">
        <f>+Table1[[#This Row],[SUBTOTAL]]+Table1[[#This Row],[IVA]]-Table1[[#This Row],[RET IVA]]-Table1[[#This Row],[RET ISR]]-Table1[[#This Row],[TOTAL]]</f>
        <v>0</v>
      </c>
      <c r="AE2346" s="150"/>
      <c r="AF2346" s="151"/>
      <c r="AG2346" s="126" t="s">
        <v>3420</v>
      </c>
      <c r="AH2346" s="120">
        <f>+Table1[[#This Row],[CONCEPTO]]+Table1[[#This Row],[SUBTOTAL]]</f>
        <v>2328.38</v>
      </c>
      <c r="AK2346" s="306" t="str">
        <f>IF(ISNUMBER(Table1[[#This Row],[FECHA DE RECIBIDO]]), Table1[[#This Row],[FECHA DE RECIBIDO]]-DATE(2023,8,30), "")</f>
        <v/>
      </c>
    </row>
    <row r="2347" spans="1:37" ht="16.95" customHeight="1">
      <c r="A2347" s="152" t="s">
        <v>3771</v>
      </c>
      <c r="B2347" s="153">
        <v>795</v>
      </c>
      <c r="C2347" s="126" t="s">
        <v>2443</v>
      </c>
      <c r="D2347">
        <v>1562</v>
      </c>
      <c r="E2347" s="126" t="s">
        <v>1603</v>
      </c>
      <c r="F2347" s="125" t="s">
        <v>1607</v>
      </c>
      <c r="G2347" s="125" t="s">
        <v>134</v>
      </c>
      <c r="H2347">
        <v>273</v>
      </c>
      <c r="I2347" s="125" t="s">
        <v>1546</v>
      </c>
      <c r="J2347" s="308" t="s">
        <v>214</v>
      </c>
      <c r="K2347" s="127" t="s">
        <v>3797</v>
      </c>
      <c r="L2347" s="153" t="s">
        <v>1579</v>
      </c>
      <c r="M2347">
        <v>364</v>
      </c>
      <c r="N2347" s="123">
        <v>17</v>
      </c>
      <c r="O2347">
        <v>1537</v>
      </c>
      <c r="P2347" s="132" t="s">
        <v>77</v>
      </c>
      <c r="Q2347" s="132">
        <v>1015.52</v>
      </c>
      <c r="R2347" s="132">
        <v>162.47999999999999</v>
      </c>
      <c r="S2347" s="132"/>
      <c r="T2347" s="156"/>
      <c r="U2347" s="132"/>
      <c r="V2347" s="132">
        <v>1178</v>
      </c>
      <c r="W2347">
        <v>93</v>
      </c>
      <c r="X2347" s="153" t="s">
        <v>1644</v>
      </c>
      <c r="Y2347" s="124" t="s">
        <v>55</v>
      </c>
      <c r="Z2347" s="308">
        <v>215</v>
      </c>
      <c r="AB2347" t="str">
        <f>IF(Table1[[#This Row],[TIPO2]]="costo", VLOOKUP(Table1[[#This Row],[PARTIDA PRESUPUESTAL]],'Cost Report'!G:G,1,0),"Balance")</f>
        <v>2080-003</v>
      </c>
      <c r="AC2347" s="118"/>
      <c r="AD2347" s="159">
        <f>+Table1[[#This Row],[SUBTOTAL]]+Table1[[#This Row],[IVA]]-Table1[[#This Row],[RET IVA]]-Table1[[#This Row],[RET ISR]]-Table1[[#This Row],[TOTAL]]</f>
        <v>0</v>
      </c>
      <c r="AE2347" s="152"/>
      <c r="AF2347" s="153"/>
      <c r="AG2347" s="126" t="s">
        <v>3420</v>
      </c>
      <c r="AH2347" s="120">
        <f>+Table1[[#This Row],[CONCEPTO]]+Table1[[#This Row],[SUBTOTAL]]</f>
        <v>2552.52</v>
      </c>
      <c r="AK2347" s="306" t="str">
        <f>IF(ISNUMBER(Table1[[#This Row],[FECHA DE RECIBIDO]]), Table1[[#This Row],[FECHA DE RECIBIDO]]-DATE(2023,8,30), "")</f>
        <v/>
      </c>
    </row>
    <row r="2348" spans="1:37" ht="16.95" customHeight="1">
      <c r="A2348" s="150" t="s">
        <v>3771</v>
      </c>
      <c r="B2348" s="151">
        <v>795</v>
      </c>
      <c r="C2348" s="126" t="s">
        <v>3415</v>
      </c>
      <c r="D2348">
        <v>1563</v>
      </c>
      <c r="E2348" s="126" t="s">
        <v>1623</v>
      </c>
      <c r="F2348" s="122" t="s">
        <v>1607</v>
      </c>
      <c r="G2348" s="122" t="s">
        <v>134</v>
      </c>
      <c r="H2348">
        <v>45</v>
      </c>
      <c r="I2348" s="122" t="s">
        <v>1546</v>
      </c>
      <c r="J2348" s="307" t="s">
        <v>214</v>
      </c>
      <c r="K2348" s="127" t="s">
        <v>3797</v>
      </c>
      <c r="L2348" s="151" t="s">
        <v>1579</v>
      </c>
      <c r="M2348">
        <v>56</v>
      </c>
      <c r="N2348" s="123">
        <v>17</v>
      </c>
      <c r="O2348">
        <v>1534</v>
      </c>
      <c r="P2348" s="132" t="s">
        <v>77</v>
      </c>
      <c r="Q2348" s="131">
        <v>862.07</v>
      </c>
      <c r="R2348" s="131">
        <v>137.93</v>
      </c>
      <c r="S2348" s="131"/>
      <c r="T2348" s="155"/>
      <c r="U2348" s="131"/>
      <c r="V2348" s="131">
        <v>1000</v>
      </c>
      <c r="W2348">
        <v>93</v>
      </c>
      <c r="X2348" s="151" t="s">
        <v>1644</v>
      </c>
      <c r="Y2348" s="135" t="s">
        <v>55</v>
      </c>
      <c r="Z2348" s="307">
        <v>217</v>
      </c>
      <c r="AB2348" t="str">
        <f>IF(Table1[[#This Row],[TIPO2]]="costo", VLOOKUP(Table1[[#This Row],[PARTIDA PRESUPUESTAL]],'Cost Report'!G:G,1,0),"Balance")</f>
        <v>3629-006</v>
      </c>
      <c r="AC2348" s="118"/>
      <c r="AD2348" s="159">
        <f>+Table1[[#This Row],[SUBTOTAL]]+Table1[[#This Row],[IVA]]-Table1[[#This Row],[RET IVA]]-Table1[[#This Row],[RET ISR]]-Table1[[#This Row],[TOTAL]]</f>
        <v>0</v>
      </c>
      <c r="AE2348" s="150"/>
      <c r="AF2348" s="151"/>
      <c r="AG2348" s="126" t="s">
        <v>3420</v>
      </c>
      <c r="AH2348" s="120">
        <f>+Table1[[#This Row],[CONCEPTO]]+Table1[[#This Row],[SUBTOTAL]]</f>
        <v>2396.0700000000002</v>
      </c>
      <c r="AK2348" s="306" t="str">
        <f>IF(ISNUMBER(Table1[[#This Row],[FECHA DE RECIBIDO]]), Table1[[#This Row],[FECHA DE RECIBIDO]]-DATE(2023,8,30), "")</f>
        <v/>
      </c>
    </row>
    <row r="2349" spans="1:37" ht="16.95" customHeight="1">
      <c r="A2349" s="152" t="s">
        <v>3771</v>
      </c>
      <c r="B2349" s="153">
        <v>795</v>
      </c>
      <c r="C2349" s="126" t="s">
        <v>3415</v>
      </c>
      <c r="D2349">
        <v>1564</v>
      </c>
      <c r="E2349" s="126" t="s">
        <v>1623</v>
      </c>
      <c r="F2349" s="125" t="s">
        <v>1607</v>
      </c>
      <c r="G2349" s="125" t="s">
        <v>134</v>
      </c>
      <c r="H2349">
        <v>45</v>
      </c>
      <c r="I2349" s="125" t="s">
        <v>1546</v>
      </c>
      <c r="J2349" s="308" t="s">
        <v>214</v>
      </c>
      <c r="K2349" s="127" t="s">
        <v>3797</v>
      </c>
      <c r="L2349" s="153" t="s">
        <v>1579</v>
      </c>
      <c r="M2349">
        <v>56</v>
      </c>
      <c r="N2349" s="123">
        <v>17</v>
      </c>
      <c r="O2349">
        <v>1534</v>
      </c>
      <c r="P2349" s="132" t="s">
        <v>77</v>
      </c>
      <c r="Q2349" s="132">
        <v>1120.69</v>
      </c>
      <c r="R2349" s="132">
        <v>179.31</v>
      </c>
      <c r="S2349" s="132"/>
      <c r="T2349" s="156"/>
      <c r="U2349" s="132"/>
      <c r="V2349" s="132">
        <v>1300</v>
      </c>
      <c r="W2349">
        <v>93</v>
      </c>
      <c r="X2349" s="153" t="s">
        <v>1644</v>
      </c>
      <c r="Y2349" s="124" t="s">
        <v>55</v>
      </c>
      <c r="Z2349" s="308">
        <v>217</v>
      </c>
      <c r="AB2349" t="str">
        <f>IF(Table1[[#This Row],[TIPO2]]="costo", VLOOKUP(Table1[[#This Row],[PARTIDA PRESUPUESTAL]],'Cost Report'!G:G,1,0),"Balance")</f>
        <v>3629-006</v>
      </c>
      <c r="AC2349" s="118"/>
      <c r="AD2349" s="159">
        <f>+Table1[[#This Row],[SUBTOTAL]]+Table1[[#This Row],[IVA]]-Table1[[#This Row],[RET IVA]]-Table1[[#This Row],[RET ISR]]-Table1[[#This Row],[TOTAL]]</f>
        <v>0</v>
      </c>
      <c r="AE2349" s="152"/>
      <c r="AF2349" s="153"/>
      <c r="AG2349" s="126" t="s">
        <v>3420</v>
      </c>
      <c r="AH2349" s="120">
        <f>+Table1[[#This Row],[CONCEPTO]]+Table1[[#This Row],[SUBTOTAL]]</f>
        <v>2654.69</v>
      </c>
      <c r="AK2349" s="306" t="str">
        <f>IF(ISNUMBER(Table1[[#This Row],[FECHA DE RECIBIDO]]), Table1[[#This Row],[FECHA DE RECIBIDO]]-DATE(2023,8,30), "")</f>
        <v/>
      </c>
    </row>
    <row r="2350" spans="1:37" ht="16.95" customHeight="1">
      <c r="A2350" s="150" t="s">
        <v>3771</v>
      </c>
      <c r="B2350" s="151">
        <v>795</v>
      </c>
      <c r="C2350" s="126" t="s">
        <v>3415</v>
      </c>
      <c r="D2350">
        <v>1565</v>
      </c>
      <c r="E2350" s="126" t="s">
        <v>1623</v>
      </c>
      <c r="F2350" s="122" t="s">
        <v>1607</v>
      </c>
      <c r="G2350" s="122" t="s">
        <v>134</v>
      </c>
      <c r="H2350">
        <v>45</v>
      </c>
      <c r="I2350" s="122" t="s">
        <v>1546</v>
      </c>
      <c r="J2350" s="307" t="s">
        <v>214</v>
      </c>
      <c r="K2350" s="127" t="s">
        <v>3797</v>
      </c>
      <c r="L2350" s="151" t="s">
        <v>1579</v>
      </c>
      <c r="M2350">
        <v>56</v>
      </c>
      <c r="N2350" s="123">
        <v>17</v>
      </c>
      <c r="O2350">
        <v>1538</v>
      </c>
      <c r="P2350" s="132" t="s">
        <v>77</v>
      </c>
      <c r="Q2350" s="131">
        <v>1120.69</v>
      </c>
      <c r="R2350" s="131">
        <v>179.31</v>
      </c>
      <c r="S2350" s="131"/>
      <c r="T2350" s="155"/>
      <c r="U2350" s="131"/>
      <c r="V2350" s="131">
        <v>1300</v>
      </c>
      <c r="W2350">
        <v>93</v>
      </c>
      <c r="X2350" s="151" t="s">
        <v>1644</v>
      </c>
      <c r="Y2350" s="135" t="s">
        <v>55</v>
      </c>
      <c r="Z2350" s="307">
        <v>217</v>
      </c>
      <c r="AB2350" t="str">
        <f>IF(Table1[[#This Row],[TIPO2]]="costo", VLOOKUP(Table1[[#This Row],[PARTIDA PRESUPUESTAL]],'Cost Report'!G:G,1,0),"Balance")</f>
        <v>3629-006</v>
      </c>
      <c r="AC2350" s="118"/>
      <c r="AD2350" s="159">
        <f>+Table1[[#This Row],[SUBTOTAL]]+Table1[[#This Row],[IVA]]-Table1[[#This Row],[RET IVA]]-Table1[[#This Row],[RET ISR]]-Table1[[#This Row],[TOTAL]]</f>
        <v>0</v>
      </c>
      <c r="AE2350" s="150"/>
      <c r="AF2350" s="151"/>
      <c r="AG2350" s="126" t="s">
        <v>3420</v>
      </c>
      <c r="AK2350" s="306" t="str">
        <f>IF(ISNUMBER(Table1[[#This Row],[FECHA DE RECIBIDO]]), Table1[[#This Row],[FECHA DE RECIBIDO]]-DATE(2023,8,30), "")</f>
        <v/>
      </c>
    </row>
    <row r="2351" spans="1:37" ht="16.95" customHeight="1">
      <c r="A2351" s="152" t="s">
        <v>3771</v>
      </c>
      <c r="B2351" s="153">
        <v>795</v>
      </c>
      <c r="C2351" s="126" t="s">
        <v>3415</v>
      </c>
      <c r="D2351">
        <v>1566</v>
      </c>
      <c r="E2351" s="126" t="s">
        <v>1623</v>
      </c>
      <c r="F2351" s="125" t="s">
        <v>1607</v>
      </c>
      <c r="G2351" s="125" t="s">
        <v>134</v>
      </c>
      <c r="H2351">
        <v>45</v>
      </c>
      <c r="I2351" s="125" t="s">
        <v>1546</v>
      </c>
      <c r="J2351" s="308" t="s">
        <v>214</v>
      </c>
      <c r="K2351" s="127" t="s">
        <v>3797</v>
      </c>
      <c r="L2351" s="153" t="s">
        <v>1579</v>
      </c>
      <c r="M2351">
        <v>56</v>
      </c>
      <c r="N2351" s="123">
        <v>17</v>
      </c>
      <c r="O2351">
        <v>1535</v>
      </c>
      <c r="P2351" s="132" t="s">
        <v>77</v>
      </c>
      <c r="Q2351" s="132">
        <v>1724.14</v>
      </c>
      <c r="R2351" s="132">
        <v>275.86</v>
      </c>
      <c r="S2351" s="132"/>
      <c r="T2351" s="156"/>
      <c r="U2351" s="132"/>
      <c r="V2351" s="132">
        <v>2000</v>
      </c>
      <c r="W2351">
        <v>93</v>
      </c>
      <c r="X2351" s="153" t="s">
        <v>1644</v>
      </c>
      <c r="Y2351" s="124" t="s">
        <v>55</v>
      </c>
      <c r="Z2351" s="308">
        <v>217</v>
      </c>
      <c r="AB2351" t="str">
        <f>IF(Table1[[#This Row],[TIPO2]]="costo", VLOOKUP(Table1[[#This Row],[PARTIDA PRESUPUESTAL]],'Cost Report'!G:G,1,0),"Balance")</f>
        <v>3629-006</v>
      </c>
      <c r="AC2351" s="118"/>
      <c r="AD2351" s="159">
        <f>+Table1[[#This Row],[SUBTOTAL]]+Table1[[#This Row],[IVA]]-Table1[[#This Row],[RET IVA]]-Table1[[#This Row],[RET ISR]]-Table1[[#This Row],[TOTAL]]</f>
        <v>0</v>
      </c>
      <c r="AE2351" s="152"/>
      <c r="AF2351" s="153"/>
      <c r="AG2351" s="126" t="s">
        <v>3420</v>
      </c>
      <c r="AK2351" s="306" t="str">
        <f>IF(ISNUMBER(Table1[[#This Row],[FECHA DE RECIBIDO]]), Table1[[#This Row],[FECHA DE RECIBIDO]]-DATE(2023,8,30), "")</f>
        <v/>
      </c>
    </row>
    <row r="2352" spans="1:37" ht="16.95" customHeight="1">
      <c r="A2352" s="150" t="s">
        <v>3771</v>
      </c>
      <c r="B2352" s="151">
        <v>795</v>
      </c>
      <c r="C2352" s="126" t="s">
        <v>2860</v>
      </c>
      <c r="D2352">
        <v>1567</v>
      </c>
      <c r="E2352" s="126" t="s">
        <v>1603</v>
      </c>
      <c r="F2352" s="122" t="s">
        <v>1607</v>
      </c>
      <c r="G2352" s="122" t="s">
        <v>134</v>
      </c>
      <c r="H2352">
        <v>43</v>
      </c>
      <c r="I2352" s="122" t="s">
        <v>1546</v>
      </c>
      <c r="J2352" s="307" t="s">
        <v>214</v>
      </c>
      <c r="K2352" s="127" t="s">
        <v>3797</v>
      </c>
      <c r="L2352" s="151" t="s">
        <v>1579</v>
      </c>
      <c r="M2352">
        <v>67</v>
      </c>
      <c r="N2352" s="123">
        <v>17</v>
      </c>
      <c r="O2352">
        <v>1539</v>
      </c>
      <c r="P2352" s="132" t="s">
        <v>77</v>
      </c>
      <c r="Q2352" s="131">
        <v>20.69</v>
      </c>
      <c r="R2352" s="131">
        <v>3.31</v>
      </c>
      <c r="S2352" s="131"/>
      <c r="T2352" s="155"/>
      <c r="U2352" s="131"/>
      <c r="V2352" s="131">
        <v>24</v>
      </c>
      <c r="W2352">
        <v>93</v>
      </c>
      <c r="X2352" s="151" t="s">
        <v>1644</v>
      </c>
      <c r="Y2352" s="135" t="s">
        <v>55</v>
      </c>
      <c r="Z2352" s="307">
        <v>224</v>
      </c>
      <c r="AB2352" t="str">
        <f>IF(Table1[[#This Row],[TIPO2]]="costo", VLOOKUP(Table1[[#This Row],[PARTIDA PRESUPUESTAL]],'Cost Report'!G:G,1,0),"Balance")</f>
        <v>3629-003</v>
      </c>
      <c r="AC2352" s="118"/>
      <c r="AD2352" s="159">
        <f>+Table1[[#This Row],[SUBTOTAL]]+Table1[[#This Row],[IVA]]-Table1[[#This Row],[RET IVA]]-Table1[[#This Row],[RET ISR]]-Table1[[#This Row],[TOTAL]]</f>
        <v>0</v>
      </c>
      <c r="AE2352" s="150"/>
      <c r="AF2352" s="151"/>
      <c r="AG2352" s="126" t="s">
        <v>3420</v>
      </c>
      <c r="AK2352" s="306" t="str">
        <f>IF(ISNUMBER(Table1[[#This Row],[FECHA DE RECIBIDO]]), Table1[[#This Row],[FECHA DE RECIBIDO]]-DATE(2023,8,30), "")</f>
        <v/>
      </c>
    </row>
    <row r="2353" spans="1:37" ht="16.95" customHeight="1">
      <c r="A2353" s="152" t="s">
        <v>3771</v>
      </c>
      <c r="B2353" s="153">
        <v>795</v>
      </c>
      <c r="C2353" s="126" t="s">
        <v>2860</v>
      </c>
      <c r="D2353">
        <v>1568</v>
      </c>
      <c r="E2353" s="126" t="s">
        <v>1603</v>
      </c>
      <c r="F2353" s="125" t="s">
        <v>1607</v>
      </c>
      <c r="G2353" s="125" t="s">
        <v>134</v>
      </c>
      <c r="H2353">
        <v>43</v>
      </c>
      <c r="I2353" s="125" t="s">
        <v>1546</v>
      </c>
      <c r="J2353" s="308" t="s">
        <v>214</v>
      </c>
      <c r="K2353" s="127" t="s">
        <v>3797</v>
      </c>
      <c r="L2353" s="153" t="s">
        <v>1579</v>
      </c>
      <c r="M2353">
        <v>67</v>
      </c>
      <c r="N2353" s="123">
        <v>17</v>
      </c>
      <c r="O2353">
        <v>1517</v>
      </c>
      <c r="P2353" s="132" t="s">
        <v>77</v>
      </c>
      <c r="Q2353" s="132">
        <v>10.34</v>
      </c>
      <c r="R2353" s="132">
        <v>1.66</v>
      </c>
      <c r="S2353" s="132"/>
      <c r="T2353" s="156"/>
      <c r="U2353" s="132"/>
      <c r="V2353" s="132">
        <v>12</v>
      </c>
      <c r="W2353">
        <v>93</v>
      </c>
      <c r="X2353" s="153" t="s">
        <v>1644</v>
      </c>
      <c r="Y2353" s="124" t="s">
        <v>55</v>
      </c>
      <c r="Z2353" s="308">
        <v>224</v>
      </c>
      <c r="AB2353" t="str">
        <f>IF(Table1[[#This Row],[TIPO2]]="costo", VLOOKUP(Table1[[#This Row],[PARTIDA PRESUPUESTAL]],'Cost Report'!G:G,1,0),"Balance")</f>
        <v>3629-003</v>
      </c>
      <c r="AC2353" s="118"/>
      <c r="AD2353" s="159">
        <f>+Table1[[#This Row],[SUBTOTAL]]+Table1[[#This Row],[IVA]]-Table1[[#This Row],[RET IVA]]-Table1[[#This Row],[RET ISR]]-Table1[[#This Row],[TOTAL]]</f>
        <v>0</v>
      </c>
      <c r="AE2353" s="152"/>
      <c r="AF2353" s="153"/>
      <c r="AG2353" s="126" t="s">
        <v>3420</v>
      </c>
      <c r="AK2353" s="306" t="str">
        <f>IF(ISNUMBER(Table1[[#This Row],[FECHA DE RECIBIDO]]), Table1[[#This Row],[FECHA DE RECIBIDO]]-DATE(2023,8,30), "")</f>
        <v/>
      </c>
    </row>
    <row r="2354" spans="1:37" ht="16.95" customHeight="1">
      <c r="A2354" s="150" t="s">
        <v>3771</v>
      </c>
      <c r="B2354" s="151">
        <v>795</v>
      </c>
      <c r="C2354" s="126" t="s">
        <v>3415</v>
      </c>
      <c r="D2354">
        <v>1569</v>
      </c>
      <c r="E2354" s="126" t="s">
        <v>1623</v>
      </c>
      <c r="F2354" s="122" t="s">
        <v>1607</v>
      </c>
      <c r="G2354" s="122" t="s">
        <v>134</v>
      </c>
      <c r="H2354">
        <v>45</v>
      </c>
      <c r="I2354" s="122" t="s">
        <v>1546</v>
      </c>
      <c r="J2354" s="307" t="s">
        <v>214</v>
      </c>
      <c r="K2354" s="127" t="s">
        <v>3797</v>
      </c>
      <c r="L2354" s="151" t="s">
        <v>1579</v>
      </c>
      <c r="M2354">
        <v>56</v>
      </c>
      <c r="N2354" s="123">
        <v>17</v>
      </c>
      <c r="O2354">
        <v>1540</v>
      </c>
      <c r="P2354" s="132" t="s">
        <v>77</v>
      </c>
      <c r="Q2354" s="131">
        <v>1293.0999999999999</v>
      </c>
      <c r="R2354" s="131">
        <v>206.9</v>
      </c>
      <c r="S2354" s="131"/>
      <c r="T2354" s="155"/>
      <c r="U2354" s="131"/>
      <c r="V2354" s="131">
        <v>1500</v>
      </c>
      <c r="W2354">
        <v>93</v>
      </c>
      <c r="X2354" s="151" t="s">
        <v>1644</v>
      </c>
      <c r="Y2354" s="135" t="s">
        <v>55</v>
      </c>
      <c r="Z2354" s="307">
        <v>224</v>
      </c>
      <c r="AB2354" t="str">
        <f>IF(Table1[[#This Row],[TIPO2]]="costo", VLOOKUP(Table1[[#This Row],[PARTIDA PRESUPUESTAL]],'Cost Report'!G:G,1,0),"Balance")</f>
        <v>3629-006</v>
      </c>
      <c r="AC2354" s="118"/>
      <c r="AD2354" s="159">
        <f>+Table1[[#This Row],[SUBTOTAL]]+Table1[[#This Row],[IVA]]-Table1[[#This Row],[RET IVA]]-Table1[[#This Row],[RET ISR]]-Table1[[#This Row],[TOTAL]]</f>
        <v>0</v>
      </c>
      <c r="AE2354" s="150"/>
      <c r="AF2354" s="151"/>
      <c r="AG2354" s="126" t="s">
        <v>3420</v>
      </c>
      <c r="AK2354" s="306" t="str">
        <f>IF(ISNUMBER(Table1[[#This Row],[FECHA DE RECIBIDO]]), Table1[[#This Row],[FECHA DE RECIBIDO]]-DATE(2023,8,30), "")</f>
        <v/>
      </c>
    </row>
    <row r="2355" spans="1:37" ht="16.95" customHeight="1">
      <c r="A2355" s="152" t="s">
        <v>3771</v>
      </c>
      <c r="B2355" s="153">
        <v>795</v>
      </c>
      <c r="C2355" s="126" t="s">
        <v>1767</v>
      </c>
      <c r="D2355">
        <v>1570</v>
      </c>
      <c r="E2355" s="126" t="s">
        <v>1624</v>
      </c>
      <c r="F2355" s="125" t="s">
        <v>1607</v>
      </c>
      <c r="G2355" s="125" t="s">
        <v>134</v>
      </c>
      <c r="H2355">
        <v>46</v>
      </c>
      <c r="I2355" s="125" t="s">
        <v>1546</v>
      </c>
      <c r="J2355" s="308" t="s">
        <v>214</v>
      </c>
      <c r="K2355" s="127" t="s">
        <v>3797</v>
      </c>
      <c r="L2355" s="153" t="s">
        <v>1579</v>
      </c>
      <c r="M2355">
        <v>58</v>
      </c>
      <c r="N2355" s="123">
        <v>17</v>
      </c>
      <c r="O2355">
        <v>1541</v>
      </c>
      <c r="P2355" s="132" t="s">
        <v>77</v>
      </c>
      <c r="Q2355" s="132">
        <v>2505.3200000000002</v>
      </c>
      <c r="R2355" s="132">
        <v>318.91000000000003</v>
      </c>
      <c r="S2355" s="132"/>
      <c r="T2355" s="156"/>
      <c r="U2355" s="132"/>
      <c r="V2355" s="132">
        <v>2824.23</v>
      </c>
      <c r="W2355">
        <v>93</v>
      </c>
      <c r="X2355" s="153" t="s">
        <v>1644</v>
      </c>
      <c r="Y2355" s="124" t="s">
        <v>55</v>
      </c>
      <c r="Z2355" s="308">
        <v>224</v>
      </c>
      <c r="AB2355" t="str">
        <f>IF(Table1[[#This Row],[TIPO2]]="costo", VLOOKUP(Table1[[#This Row],[PARTIDA PRESUPUESTAL]],'Cost Report'!G:G,1,0),"Balance")</f>
        <v>3901-033</v>
      </c>
      <c r="AC2355" s="118"/>
      <c r="AD2355" s="159">
        <f>+Table1[[#This Row],[SUBTOTAL]]+Table1[[#This Row],[IVA]]-Table1[[#This Row],[RET IVA]]-Table1[[#This Row],[RET ISR]]-Table1[[#This Row],[TOTAL]]</f>
        <v>0</v>
      </c>
      <c r="AE2355" s="152"/>
      <c r="AF2355" s="153"/>
      <c r="AG2355" s="126" t="s">
        <v>3420</v>
      </c>
      <c r="AK2355" s="306" t="str">
        <f>IF(ISNUMBER(Table1[[#This Row],[FECHA DE RECIBIDO]]), Table1[[#This Row],[FECHA DE RECIBIDO]]-DATE(2023,8,30), "")</f>
        <v/>
      </c>
    </row>
    <row r="2356" spans="1:37" ht="16.95" customHeight="1">
      <c r="A2356" s="150" t="s">
        <v>3771</v>
      </c>
      <c r="B2356" s="151">
        <v>795</v>
      </c>
      <c r="C2356" s="126" t="s">
        <v>2860</v>
      </c>
      <c r="D2356">
        <v>1571</v>
      </c>
      <c r="E2356" s="126" t="s">
        <v>1603</v>
      </c>
      <c r="F2356" s="122" t="s">
        <v>1607</v>
      </c>
      <c r="G2356" s="122" t="s">
        <v>134</v>
      </c>
      <c r="H2356">
        <v>43</v>
      </c>
      <c r="I2356" s="122" t="s">
        <v>1546</v>
      </c>
      <c r="J2356" s="307" t="s">
        <v>214</v>
      </c>
      <c r="K2356" s="127" t="s">
        <v>3797</v>
      </c>
      <c r="L2356" s="151" t="s">
        <v>1579</v>
      </c>
      <c r="M2356">
        <v>67</v>
      </c>
      <c r="N2356" s="123">
        <v>17</v>
      </c>
      <c r="O2356">
        <v>1517</v>
      </c>
      <c r="P2356" s="132" t="s">
        <v>77</v>
      </c>
      <c r="Q2356" s="131">
        <v>10.34</v>
      </c>
      <c r="R2356" s="131">
        <v>1.66</v>
      </c>
      <c r="S2356" s="131"/>
      <c r="T2356" s="155"/>
      <c r="U2356" s="131"/>
      <c r="V2356" s="131">
        <v>12</v>
      </c>
      <c r="W2356">
        <v>93</v>
      </c>
      <c r="X2356" s="151" t="s">
        <v>1644</v>
      </c>
      <c r="Y2356" s="135" t="s">
        <v>55</v>
      </c>
      <c r="Z2356" s="307">
        <v>225</v>
      </c>
      <c r="AB2356" t="str">
        <f>IF(Table1[[#This Row],[TIPO2]]="costo", VLOOKUP(Table1[[#This Row],[PARTIDA PRESUPUESTAL]],'Cost Report'!G:G,1,0),"Balance")</f>
        <v>3629-003</v>
      </c>
      <c r="AC2356" s="118"/>
      <c r="AD2356" s="159">
        <f>+Table1[[#This Row],[SUBTOTAL]]+Table1[[#This Row],[IVA]]-Table1[[#This Row],[RET IVA]]-Table1[[#This Row],[RET ISR]]-Table1[[#This Row],[TOTAL]]</f>
        <v>0</v>
      </c>
      <c r="AE2356" s="150"/>
      <c r="AF2356" s="151"/>
      <c r="AG2356" s="126" t="s">
        <v>3420</v>
      </c>
      <c r="AK2356" s="306" t="str">
        <f>IF(ISNUMBER(Table1[[#This Row],[FECHA DE RECIBIDO]]), Table1[[#This Row],[FECHA DE RECIBIDO]]-DATE(2023,8,30), "")</f>
        <v/>
      </c>
    </row>
    <row r="2357" spans="1:37" ht="16.95" customHeight="1">
      <c r="A2357" s="152" t="s">
        <v>3771</v>
      </c>
      <c r="B2357" s="153">
        <v>795</v>
      </c>
      <c r="C2357" s="126" t="s">
        <v>2443</v>
      </c>
      <c r="D2357">
        <v>1572</v>
      </c>
      <c r="E2357" s="126" t="s">
        <v>1603</v>
      </c>
      <c r="F2357" s="125" t="s">
        <v>1607</v>
      </c>
      <c r="G2357" s="125" t="s">
        <v>134</v>
      </c>
      <c r="H2357">
        <v>43</v>
      </c>
      <c r="I2357" s="125" t="s">
        <v>1546</v>
      </c>
      <c r="J2357" s="308" t="s">
        <v>214</v>
      </c>
      <c r="K2357" s="127" t="s">
        <v>3797</v>
      </c>
      <c r="L2357" s="153" t="s">
        <v>1579</v>
      </c>
      <c r="M2357">
        <v>67</v>
      </c>
      <c r="N2357" s="123">
        <v>17</v>
      </c>
      <c r="O2357">
        <v>1542</v>
      </c>
      <c r="P2357" s="132" t="s">
        <v>77</v>
      </c>
      <c r="Q2357" s="132">
        <v>125</v>
      </c>
      <c r="R2357" s="132"/>
      <c r="S2357" s="132"/>
      <c r="T2357" s="156"/>
      <c r="U2357" s="132"/>
      <c r="V2357" s="132">
        <v>125</v>
      </c>
      <c r="W2357">
        <v>93</v>
      </c>
      <c r="X2357" s="153" t="s">
        <v>1644</v>
      </c>
      <c r="Y2357" s="124" t="s">
        <v>55</v>
      </c>
      <c r="Z2357" s="308">
        <v>225</v>
      </c>
      <c r="AB2357" t="str">
        <f>IF(Table1[[#This Row],[TIPO2]]="costo", VLOOKUP(Table1[[#This Row],[PARTIDA PRESUPUESTAL]],'Cost Report'!G:G,1,0),"Balance")</f>
        <v>2080-003</v>
      </c>
      <c r="AC2357" s="118"/>
      <c r="AD2357" s="159">
        <f>+Table1[[#This Row],[SUBTOTAL]]+Table1[[#This Row],[IVA]]-Table1[[#This Row],[RET IVA]]-Table1[[#This Row],[RET ISR]]-Table1[[#This Row],[TOTAL]]</f>
        <v>0</v>
      </c>
      <c r="AE2357" s="152"/>
      <c r="AF2357" s="153"/>
      <c r="AG2357" s="126" t="s">
        <v>3420</v>
      </c>
      <c r="AK2357" s="306" t="str">
        <f>IF(ISNUMBER(Table1[[#This Row],[FECHA DE RECIBIDO]]), Table1[[#This Row],[FECHA DE RECIBIDO]]-DATE(2023,8,30), "")</f>
        <v/>
      </c>
    </row>
    <row r="2358" spans="1:37" ht="16.95" customHeight="1">
      <c r="A2358" s="150" t="s">
        <v>3771</v>
      </c>
      <c r="B2358" s="151">
        <v>795</v>
      </c>
      <c r="C2358" s="126" t="s">
        <v>395</v>
      </c>
      <c r="D2358">
        <v>1573</v>
      </c>
      <c r="E2358" s="126" t="s">
        <v>2067</v>
      </c>
      <c r="F2358" s="122" t="s">
        <v>1607</v>
      </c>
      <c r="G2358" s="122" t="s">
        <v>134</v>
      </c>
      <c r="H2358">
        <v>136</v>
      </c>
      <c r="I2358" s="122" t="s">
        <v>1546</v>
      </c>
      <c r="J2358" s="307" t="s">
        <v>214</v>
      </c>
      <c r="K2358" s="127" t="s">
        <v>3797</v>
      </c>
      <c r="L2358" s="151" t="s">
        <v>1579</v>
      </c>
      <c r="M2358">
        <v>178</v>
      </c>
      <c r="N2358" s="123">
        <v>17</v>
      </c>
      <c r="O2358">
        <v>1543</v>
      </c>
      <c r="P2358" s="132" t="s">
        <v>77</v>
      </c>
      <c r="Q2358" s="131">
        <v>8217.14</v>
      </c>
      <c r="R2358" s="131">
        <v>1231.8599999999999</v>
      </c>
      <c r="S2358" s="131"/>
      <c r="T2358" s="155"/>
      <c r="U2358" s="131"/>
      <c r="V2358" s="131">
        <v>9449</v>
      </c>
      <c r="W2358">
        <v>93</v>
      </c>
      <c r="X2358" s="151" t="s">
        <v>1644</v>
      </c>
      <c r="Y2358" s="135" t="s">
        <v>55</v>
      </c>
      <c r="Z2358" s="307">
        <v>225</v>
      </c>
      <c r="AB2358" t="str">
        <f>IF(Table1[[#This Row],[TIPO2]]="costo", VLOOKUP(Table1[[#This Row],[PARTIDA PRESUPUESTAL]],'Cost Report'!G:G,1,0),"Balance")</f>
        <v>1620-003</v>
      </c>
      <c r="AC2358" s="118"/>
      <c r="AD2358" s="159">
        <f>+Table1[[#This Row],[SUBTOTAL]]+Table1[[#This Row],[IVA]]-Table1[[#This Row],[RET IVA]]-Table1[[#This Row],[RET ISR]]-Table1[[#This Row],[TOTAL]]</f>
        <v>0</v>
      </c>
      <c r="AE2358" s="150"/>
      <c r="AF2358" s="151"/>
      <c r="AG2358" s="126" t="s">
        <v>3420</v>
      </c>
      <c r="AK2358" s="306" t="str">
        <f>IF(ISNUMBER(Table1[[#This Row],[FECHA DE RECIBIDO]]), Table1[[#This Row],[FECHA DE RECIBIDO]]-DATE(2023,8,30), "")</f>
        <v/>
      </c>
    </row>
    <row r="2359" spans="1:37" ht="16.95" customHeight="1">
      <c r="A2359" s="152" t="s">
        <v>3771</v>
      </c>
      <c r="B2359" s="153">
        <v>795</v>
      </c>
      <c r="C2359" s="126" t="s">
        <v>420</v>
      </c>
      <c r="D2359">
        <v>1574</v>
      </c>
      <c r="E2359" s="126" t="s">
        <v>3791</v>
      </c>
      <c r="F2359" s="125" t="s">
        <v>1607</v>
      </c>
      <c r="G2359" s="125" t="s">
        <v>134</v>
      </c>
      <c r="H2359">
        <v>99</v>
      </c>
      <c r="I2359" s="125" t="s">
        <v>1546</v>
      </c>
      <c r="J2359" s="308" t="s">
        <v>214</v>
      </c>
      <c r="K2359" s="127" t="s">
        <v>3797</v>
      </c>
      <c r="L2359" s="153" t="s">
        <v>1579</v>
      </c>
      <c r="M2359">
        <v>652</v>
      </c>
      <c r="N2359" s="123">
        <v>17</v>
      </c>
      <c r="O2359">
        <v>1544</v>
      </c>
      <c r="P2359" s="132" t="s">
        <v>77</v>
      </c>
      <c r="Q2359" s="132">
        <v>633.62</v>
      </c>
      <c r="R2359" s="132">
        <v>101.38</v>
      </c>
      <c r="S2359" s="132"/>
      <c r="T2359" s="156"/>
      <c r="U2359" s="132"/>
      <c r="V2359" s="132">
        <v>735</v>
      </c>
      <c r="W2359">
        <v>93</v>
      </c>
      <c r="X2359" s="153" t="s">
        <v>1644</v>
      </c>
      <c r="Y2359" s="124" t="s">
        <v>55</v>
      </c>
      <c r="Z2359" s="308">
        <v>225</v>
      </c>
      <c r="AB2359" t="str">
        <f>IF(Table1[[#This Row],[TIPO2]]="costo", VLOOKUP(Table1[[#This Row],[PARTIDA PRESUPUESTAL]],'Cost Report'!G:G,1,0),"Balance")</f>
        <v>1641-003</v>
      </c>
      <c r="AC2359" s="118"/>
      <c r="AD2359" s="159">
        <f>+Table1[[#This Row],[SUBTOTAL]]+Table1[[#This Row],[IVA]]-Table1[[#This Row],[RET IVA]]-Table1[[#This Row],[RET ISR]]-Table1[[#This Row],[TOTAL]]</f>
        <v>0</v>
      </c>
      <c r="AE2359" s="152"/>
      <c r="AF2359" s="153"/>
      <c r="AG2359" s="126" t="s">
        <v>3420</v>
      </c>
      <c r="AK2359" s="306" t="str">
        <f>IF(ISNUMBER(Table1[[#This Row],[FECHA DE RECIBIDO]]), Table1[[#This Row],[FECHA DE RECIBIDO]]-DATE(2023,8,30), "")</f>
        <v/>
      </c>
    </row>
    <row r="2360" spans="1:37" ht="16.95" customHeight="1">
      <c r="A2360" s="150" t="s">
        <v>3771</v>
      </c>
      <c r="B2360" s="151">
        <v>795</v>
      </c>
      <c r="C2360" s="126" t="s">
        <v>3415</v>
      </c>
      <c r="D2360">
        <v>1575</v>
      </c>
      <c r="E2360" s="126" t="s">
        <v>1623</v>
      </c>
      <c r="F2360" s="122" t="s">
        <v>1607</v>
      </c>
      <c r="G2360" s="122" t="s">
        <v>134</v>
      </c>
      <c r="H2360">
        <v>45</v>
      </c>
      <c r="I2360" s="122" t="s">
        <v>1546</v>
      </c>
      <c r="J2360" s="307" t="s">
        <v>214</v>
      </c>
      <c r="K2360" s="127" t="s">
        <v>3797</v>
      </c>
      <c r="L2360" s="151" t="s">
        <v>1579</v>
      </c>
      <c r="M2360">
        <v>56</v>
      </c>
      <c r="N2360" s="123">
        <v>17</v>
      </c>
      <c r="O2360">
        <v>1540</v>
      </c>
      <c r="P2360" s="132" t="s">
        <v>77</v>
      </c>
      <c r="Q2360" s="131">
        <v>862.07</v>
      </c>
      <c r="R2360" s="131">
        <v>137.93</v>
      </c>
      <c r="S2360" s="131"/>
      <c r="T2360" s="155"/>
      <c r="U2360" s="131"/>
      <c r="V2360" s="131">
        <v>1000</v>
      </c>
      <c r="W2360">
        <v>93</v>
      </c>
      <c r="X2360" s="151" t="s">
        <v>1644</v>
      </c>
      <c r="Y2360" s="135" t="s">
        <v>55</v>
      </c>
      <c r="Z2360" s="307">
        <v>225</v>
      </c>
      <c r="AB2360" t="str">
        <f>IF(Table1[[#This Row],[TIPO2]]="costo", VLOOKUP(Table1[[#This Row],[PARTIDA PRESUPUESTAL]],'Cost Report'!G:G,1,0),"Balance")</f>
        <v>3629-006</v>
      </c>
      <c r="AC2360" s="118"/>
      <c r="AD2360" s="159">
        <f>+Table1[[#This Row],[SUBTOTAL]]+Table1[[#This Row],[IVA]]-Table1[[#This Row],[RET IVA]]-Table1[[#This Row],[RET ISR]]-Table1[[#This Row],[TOTAL]]</f>
        <v>0</v>
      </c>
      <c r="AE2360" s="150"/>
      <c r="AF2360" s="151"/>
      <c r="AG2360" s="126" t="s">
        <v>3420</v>
      </c>
      <c r="AK2360" s="306" t="str">
        <f>IF(ISNUMBER(Table1[[#This Row],[FECHA DE RECIBIDO]]), Table1[[#This Row],[FECHA DE RECIBIDO]]-DATE(2023,8,30), "")</f>
        <v/>
      </c>
    </row>
    <row r="2361" spans="1:37" ht="16.95" customHeight="1">
      <c r="A2361" s="152" t="s">
        <v>3771</v>
      </c>
      <c r="B2361" s="153">
        <v>795</v>
      </c>
      <c r="C2361" s="126" t="s">
        <v>2829</v>
      </c>
      <c r="D2361">
        <v>689</v>
      </c>
      <c r="E2361" s="126"/>
      <c r="F2361" s="125"/>
      <c r="G2361" s="125"/>
      <c r="H2361"/>
      <c r="I2361" s="125"/>
      <c r="J2361" s="308">
        <v>203</v>
      </c>
      <c r="K2361" s="127" t="s">
        <v>3797</v>
      </c>
      <c r="L2361" s="153" t="s">
        <v>1579</v>
      </c>
      <c r="M2361">
        <v>214</v>
      </c>
      <c r="N2361" s="123">
        <v>17</v>
      </c>
      <c r="O2361">
        <v>1545</v>
      </c>
      <c r="P2361" s="132" t="s">
        <v>77</v>
      </c>
      <c r="Q2361" s="132">
        <v>12</v>
      </c>
      <c r="R2361" s="132"/>
      <c r="S2361" s="132"/>
      <c r="T2361" s="156"/>
      <c r="U2361" s="132"/>
      <c r="V2361" s="132">
        <v>12</v>
      </c>
      <c r="W2361">
        <v>93</v>
      </c>
      <c r="X2361" s="153" t="s">
        <v>1644</v>
      </c>
      <c r="Y2361" s="124" t="s">
        <v>55</v>
      </c>
      <c r="Z2361" s="308">
        <v>203</v>
      </c>
      <c r="AB2361" t="str">
        <f>IF(Table1[[#This Row],[TIPO2]]="costo", VLOOKUP(Table1[[#This Row],[PARTIDA PRESUPUESTAL]],'Cost Report'!G:G,1,0),"Balance")</f>
        <v>3412-138</v>
      </c>
      <c r="AC2361" s="118"/>
      <c r="AD2361" s="159">
        <f>+Table1[[#This Row],[SUBTOTAL]]+Table1[[#This Row],[IVA]]-Table1[[#This Row],[RET IVA]]-Table1[[#This Row],[RET ISR]]-Table1[[#This Row],[TOTAL]]</f>
        <v>0</v>
      </c>
      <c r="AE2361" s="152"/>
      <c r="AF2361" s="153"/>
      <c r="AG2361" s="126" t="s">
        <v>3420</v>
      </c>
      <c r="AK2361" s="306">
        <f>IF(ISNUMBER(Table1[[#This Row],[FECHA DE RECIBIDO]]), Table1[[#This Row],[FECHA DE RECIBIDO]]-DATE(2023,8,30), "")</f>
        <v>-44965</v>
      </c>
    </row>
    <row r="2362" spans="1:37" ht="16.95" customHeight="1">
      <c r="A2362" s="150" t="s">
        <v>3771</v>
      </c>
      <c r="B2362" s="151">
        <v>795</v>
      </c>
      <c r="C2362" s="126" t="s">
        <v>2443</v>
      </c>
      <c r="D2362">
        <v>689</v>
      </c>
      <c r="E2362" s="126"/>
      <c r="F2362" s="122"/>
      <c r="G2362" s="122"/>
      <c r="H2362"/>
      <c r="I2362" s="122"/>
      <c r="J2362" s="307">
        <v>207</v>
      </c>
      <c r="K2362" s="127" t="s">
        <v>3797</v>
      </c>
      <c r="L2362" s="151" t="s">
        <v>1579</v>
      </c>
      <c r="M2362">
        <v>653</v>
      </c>
      <c r="N2362" s="123">
        <v>17</v>
      </c>
      <c r="O2362">
        <v>1546</v>
      </c>
      <c r="P2362" s="132" t="s">
        <v>77</v>
      </c>
      <c r="Q2362" s="131">
        <v>37</v>
      </c>
      <c r="R2362" s="131"/>
      <c r="S2362" s="131"/>
      <c r="T2362" s="155"/>
      <c r="U2362" s="131"/>
      <c r="V2362" s="131">
        <v>37</v>
      </c>
      <c r="W2362">
        <v>93</v>
      </c>
      <c r="X2362" s="151" t="s">
        <v>1644</v>
      </c>
      <c r="Y2362" s="135" t="s">
        <v>55</v>
      </c>
      <c r="Z2362" s="307">
        <v>207</v>
      </c>
      <c r="AB2362" t="str">
        <f>IF(Table1[[#This Row],[TIPO2]]="costo", VLOOKUP(Table1[[#This Row],[PARTIDA PRESUPUESTAL]],'Cost Report'!G:G,1,0),"Balance")</f>
        <v>2080-003</v>
      </c>
      <c r="AC2362" s="118"/>
      <c r="AD2362" s="159">
        <f>+Table1[[#This Row],[SUBTOTAL]]+Table1[[#This Row],[IVA]]-Table1[[#This Row],[RET IVA]]-Table1[[#This Row],[RET ISR]]-Table1[[#This Row],[TOTAL]]</f>
        <v>0</v>
      </c>
      <c r="AE2362" s="150"/>
      <c r="AF2362" s="151"/>
      <c r="AG2362" s="126" t="s">
        <v>3420</v>
      </c>
      <c r="AK2362" s="306">
        <f>IF(ISNUMBER(Table1[[#This Row],[FECHA DE RECIBIDO]]), Table1[[#This Row],[FECHA DE RECIBIDO]]-DATE(2023,8,30), "")</f>
        <v>-44961</v>
      </c>
    </row>
    <row r="2363" spans="1:37" ht="16.95" customHeight="1">
      <c r="A2363" s="152" t="s">
        <v>3771</v>
      </c>
      <c r="B2363" s="153">
        <v>795</v>
      </c>
      <c r="C2363" s="126" t="s">
        <v>3103</v>
      </c>
      <c r="D2363">
        <v>689</v>
      </c>
      <c r="E2363" s="126"/>
      <c r="F2363" s="125"/>
      <c r="G2363" s="125"/>
      <c r="H2363"/>
      <c r="I2363" s="125"/>
      <c r="J2363" s="308">
        <v>212</v>
      </c>
      <c r="K2363" s="127" t="s">
        <v>3797</v>
      </c>
      <c r="L2363" s="153" t="s">
        <v>1579</v>
      </c>
      <c r="M2363">
        <v>654</v>
      </c>
      <c r="N2363" s="123">
        <v>17</v>
      </c>
      <c r="O2363">
        <v>162</v>
      </c>
      <c r="P2363" s="132" t="s">
        <v>77</v>
      </c>
      <c r="Q2363" s="132">
        <v>34.22</v>
      </c>
      <c r="R2363" s="132"/>
      <c r="S2363" s="132"/>
      <c r="T2363" s="156"/>
      <c r="U2363" s="132"/>
      <c r="V2363" s="132">
        <v>34.22</v>
      </c>
      <c r="W2363">
        <v>93</v>
      </c>
      <c r="X2363" s="153" t="s">
        <v>1644</v>
      </c>
      <c r="Y2363" s="124" t="s">
        <v>55</v>
      </c>
      <c r="Z2363" s="308">
        <v>212</v>
      </c>
      <c r="AB2363" t="str">
        <f>IF(Table1[[#This Row],[TIPO2]]="costo", VLOOKUP(Table1[[#This Row],[PARTIDA PRESUPUESTAL]],'Cost Report'!G:G,1,0),"Balance")</f>
        <v>7038-009</v>
      </c>
      <c r="AC2363" s="118"/>
      <c r="AD2363" s="159">
        <f>+Table1[[#This Row],[SUBTOTAL]]+Table1[[#This Row],[IVA]]-Table1[[#This Row],[RET IVA]]-Table1[[#This Row],[RET ISR]]-Table1[[#This Row],[TOTAL]]</f>
        <v>0</v>
      </c>
      <c r="AE2363" s="152"/>
      <c r="AF2363" s="153"/>
      <c r="AG2363" s="126" t="s">
        <v>3420</v>
      </c>
      <c r="AK2363" s="306">
        <f>IF(ISNUMBER(Table1[[#This Row],[FECHA DE RECIBIDO]]), Table1[[#This Row],[FECHA DE RECIBIDO]]-DATE(2023,8,30), "")</f>
        <v>-44956</v>
      </c>
    </row>
    <row r="2364" spans="1:37" ht="16.95" customHeight="1">
      <c r="A2364" s="150" t="s">
        <v>3771</v>
      </c>
      <c r="B2364" s="151">
        <v>795</v>
      </c>
      <c r="C2364" s="126" t="s">
        <v>2829</v>
      </c>
      <c r="D2364">
        <v>689</v>
      </c>
      <c r="E2364" s="126"/>
      <c r="F2364" s="122"/>
      <c r="G2364" s="122"/>
      <c r="H2364"/>
      <c r="I2364" s="122"/>
      <c r="J2364" s="307">
        <v>212</v>
      </c>
      <c r="K2364" s="127" t="s">
        <v>3797</v>
      </c>
      <c r="L2364" s="151" t="s">
        <v>1579</v>
      </c>
      <c r="M2364">
        <v>655</v>
      </c>
      <c r="N2364" s="123">
        <v>17</v>
      </c>
      <c r="O2364">
        <v>1212</v>
      </c>
      <c r="P2364" s="132" t="s">
        <v>77</v>
      </c>
      <c r="Q2364" s="131">
        <v>5</v>
      </c>
      <c r="R2364" s="131"/>
      <c r="S2364" s="131"/>
      <c r="T2364" s="155"/>
      <c r="U2364" s="131"/>
      <c r="V2364" s="131">
        <v>5</v>
      </c>
      <c r="W2364">
        <v>93</v>
      </c>
      <c r="X2364" s="151" t="s">
        <v>1644</v>
      </c>
      <c r="Y2364" s="135" t="s">
        <v>55</v>
      </c>
      <c r="Z2364" s="307">
        <v>212</v>
      </c>
      <c r="AB2364" t="str">
        <f>IF(Table1[[#This Row],[TIPO2]]="costo", VLOOKUP(Table1[[#This Row],[PARTIDA PRESUPUESTAL]],'Cost Report'!G:G,1,0),"Balance")</f>
        <v>3412-138</v>
      </c>
      <c r="AC2364" s="118"/>
      <c r="AD2364" s="159">
        <f>+Table1[[#This Row],[SUBTOTAL]]+Table1[[#This Row],[IVA]]-Table1[[#This Row],[RET IVA]]-Table1[[#This Row],[RET ISR]]-Table1[[#This Row],[TOTAL]]</f>
        <v>0</v>
      </c>
      <c r="AE2364" s="150"/>
      <c r="AF2364" s="151"/>
      <c r="AG2364" s="126" t="s">
        <v>3420</v>
      </c>
      <c r="AK2364" s="306">
        <f>IF(ISNUMBER(Table1[[#This Row],[FECHA DE RECIBIDO]]), Table1[[#This Row],[FECHA DE RECIBIDO]]-DATE(2023,8,30), "")</f>
        <v>-44956</v>
      </c>
    </row>
    <row r="2365" spans="1:37" ht="16.95" customHeight="1">
      <c r="A2365" s="152" t="s">
        <v>3771</v>
      </c>
      <c r="B2365" s="153">
        <v>795</v>
      </c>
      <c r="C2365" s="126" t="s">
        <v>3103</v>
      </c>
      <c r="D2365">
        <v>689</v>
      </c>
      <c r="E2365" s="126"/>
      <c r="F2365" s="125"/>
      <c r="G2365" s="125"/>
      <c r="H2365"/>
      <c r="I2365" s="125"/>
      <c r="J2365" s="308">
        <v>215</v>
      </c>
      <c r="K2365" s="127" t="s">
        <v>3797</v>
      </c>
      <c r="L2365" s="153" t="s">
        <v>1579</v>
      </c>
      <c r="M2365">
        <v>654</v>
      </c>
      <c r="N2365" s="123">
        <v>17</v>
      </c>
      <c r="O2365">
        <v>162</v>
      </c>
      <c r="P2365" s="132" t="s">
        <v>77</v>
      </c>
      <c r="Q2365" s="132">
        <v>34.22</v>
      </c>
      <c r="R2365" s="132"/>
      <c r="S2365" s="132"/>
      <c r="T2365" s="156"/>
      <c r="U2365" s="132"/>
      <c r="V2365" s="132">
        <v>34.22</v>
      </c>
      <c r="W2365">
        <v>93</v>
      </c>
      <c r="X2365" s="153" t="s">
        <v>1644</v>
      </c>
      <c r="Y2365" s="124" t="s">
        <v>55</v>
      </c>
      <c r="Z2365" s="308">
        <v>215</v>
      </c>
      <c r="AB2365" t="str">
        <f>IF(Table1[[#This Row],[TIPO2]]="costo", VLOOKUP(Table1[[#This Row],[PARTIDA PRESUPUESTAL]],'Cost Report'!G:G,1,0),"Balance")</f>
        <v>7038-009</v>
      </c>
      <c r="AC2365" s="118"/>
      <c r="AD2365" s="159">
        <f>+Table1[[#This Row],[SUBTOTAL]]+Table1[[#This Row],[IVA]]-Table1[[#This Row],[RET IVA]]-Table1[[#This Row],[RET ISR]]-Table1[[#This Row],[TOTAL]]</f>
        <v>0</v>
      </c>
      <c r="AE2365" s="152"/>
      <c r="AF2365" s="153"/>
      <c r="AG2365" s="126" t="s">
        <v>3420</v>
      </c>
      <c r="AK2365" s="306">
        <f>IF(ISNUMBER(Table1[[#This Row],[FECHA DE RECIBIDO]]), Table1[[#This Row],[FECHA DE RECIBIDO]]-DATE(2023,8,30), "")</f>
        <v>-44953</v>
      </c>
    </row>
    <row r="2366" spans="1:37" ht="16.95" customHeight="1">
      <c r="A2366" s="150" t="s">
        <v>3771</v>
      </c>
      <c r="B2366" s="151">
        <v>795</v>
      </c>
      <c r="C2366" s="126" t="s">
        <v>3103</v>
      </c>
      <c r="D2366">
        <v>689</v>
      </c>
      <c r="E2366" s="126"/>
      <c r="F2366" s="122"/>
      <c r="G2366" s="122"/>
      <c r="H2366"/>
      <c r="I2366" s="122"/>
      <c r="J2366" s="307">
        <v>216</v>
      </c>
      <c r="K2366" s="127" t="s">
        <v>3797</v>
      </c>
      <c r="L2366" s="151" t="s">
        <v>1579</v>
      </c>
      <c r="M2366">
        <v>654</v>
      </c>
      <c r="N2366" s="123">
        <v>17</v>
      </c>
      <c r="O2366">
        <v>162</v>
      </c>
      <c r="P2366" s="132" t="s">
        <v>77</v>
      </c>
      <c r="Q2366" s="131">
        <v>34.22</v>
      </c>
      <c r="R2366" s="131"/>
      <c r="S2366" s="131"/>
      <c r="T2366" s="155"/>
      <c r="U2366" s="131"/>
      <c r="V2366" s="131">
        <v>34.22</v>
      </c>
      <c r="W2366">
        <v>93</v>
      </c>
      <c r="X2366" s="151" t="s">
        <v>1644</v>
      </c>
      <c r="Y2366" s="135" t="s">
        <v>55</v>
      </c>
      <c r="Z2366" s="307">
        <v>216</v>
      </c>
      <c r="AB2366" t="str">
        <f>IF(Table1[[#This Row],[TIPO2]]="costo", VLOOKUP(Table1[[#This Row],[PARTIDA PRESUPUESTAL]],'Cost Report'!G:G,1,0),"Balance")</f>
        <v>7038-009</v>
      </c>
      <c r="AC2366" s="118"/>
      <c r="AD2366" s="159">
        <f>+Table1[[#This Row],[SUBTOTAL]]+Table1[[#This Row],[IVA]]-Table1[[#This Row],[RET IVA]]-Table1[[#This Row],[RET ISR]]-Table1[[#This Row],[TOTAL]]</f>
        <v>0</v>
      </c>
      <c r="AE2366" s="150"/>
      <c r="AF2366" s="151"/>
      <c r="AG2366" s="126" t="s">
        <v>3420</v>
      </c>
      <c r="AK2366" s="306">
        <f>IF(ISNUMBER(Table1[[#This Row],[FECHA DE RECIBIDO]]), Table1[[#This Row],[FECHA DE RECIBIDO]]-DATE(2023,8,30), "")</f>
        <v>-44952</v>
      </c>
    </row>
    <row r="2367" spans="1:37" ht="16.95" customHeight="1">
      <c r="A2367" s="152" t="s">
        <v>3771</v>
      </c>
      <c r="B2367" s="153">
        <v>795</v>
      </c>
      <c r="C2367" s="126" t="s">
        <v>3103</v>
      </c>
      <c r="D2367">
        <v>689</v>
      </c>
      <c r="E2367" s="126"/>
      <c r="F2367" s="125"/>
      <c r="G2367" s="125"/>
      <c r="H2367"/>
      <c r="I2367" s="125"/>
      <c r="J2367" s="308">
        <v>220</v>
      </c>
      <c r="K2367" s="127" t="s">
        <v>3797</v>
      </c>
      <c r="L2367" s="153" t="s">
        <v>1579</v>
      </c>
      <c r="M2367">
        <v>654</v>
      </c>
      <c r="N2367" s="123">
        <v>17</v>
      </c>
      <c r="O2367">
        <v>162</v>
      </c>
      <c r="P2367" s="132" t="s">
        <v>77</v>
      </c>
      <c r="Q2367" s="132">
        <v>34.22</v>
      </c>
      <c r="R2367" s="132"/>
      <c r="S2367" s="132"/>
      <c r="T2367" s="156"/>
      <c r="U2367" s="132"/>
      <c r="V2367" s="132">
        <v>34.22</v>
      </c>
      <c r="W2367">
        <v>93</v>
      </c>
      <c r="X2367" s="153" t="s">
        <v>1644</v>
      </c>
      <c r="Y2367" s="124" t="s">
        <v>55</v>
      </c>
      <c r="Z2367" s="308">
        <v>220</v>
      </c>
      <c r="AB2367" t="str">
        <f>IF(Table1[[#This Row],[TIPO2]]="costo", VLOOKUP(Table1[[#This Row],[PARTIDA PRESUPUESTAL]],'Cost Report'!G:G,1,0),"Balance")</f>
        <v>7038-009</v>
      </c>
      <c r="AC2367" s="118"/>
      <c r="AD2367" s="159">
        <f>+Table1[[#This Row],[SUBTOTAL]]+Table1[[#This Row],[IVA]]-Table1[[#This Row],[RET IVA]]-Table1[[#This Row],[RET ISR]]-Table1[[#This Row],[TOTAL]]</f>
        <v>0</v>
      </c>
      <c r="AE2367" s="152"/>
      <c r="AF2367" s="153"/>
      <c r="AG2367" s="126" t="s">
        <v>3420</v>
      </c>
      <c r="AK2367" s="306">
        <f>IF(ISNUMBER(Table1[[#This Row],[FECHA DE RECIBIDO]]), Table1[[#This Row],[FECHA DE RECIBIDO]]-DATE(2023,8,30), "")</f>
        <v>-44948</v>
      </c>
    </row>
    <row r="2368" spans="1:37" ht="16.95" customHeight="1">
      <c r="A2368" s="150" t="s">
        <v>3771</v>
      </c>
      <c r="B2368" s="151">
        <v>795</v>
      </c>
      <c r="C2368" s="126" t="s">
        <v>3103</v>
      </c>
      <c r="D2368">
        <v>689</v>
      </c>
      <c r="E2368" s="126"/>
      <c r="F2368" s="122"/>
      <c r="G2368" s="122"/>
      <c r="H2368"/>
      <c r="I2368" s="122"/>
      <c r="J2368" s="307">
        <v>222</v>
      </c>
      <c r="K2368" s="127" t="s">
        <v>3797</v>
      </c>
      <c r="L2368" s="151" t="s">
        <v>1579</v>
      </c>
      <c r="M2368">
        <v>654</v>
      </c>
      <c r="N2368" s="123">
        <v>17</v>
      </c>
      <c r="O2368">
        <v>1547</v>
      </c>
      <c r="P2368" s="132" t="s">
        <v>77</v>
      </c>
      <c r="Q2368" s="131">
        <v>34.22</v>
      </c>
      <c r="R2368" s="131"/>
      <c r="S2368" s="131"/>
      <c r="T2368" s="155"/>
      <c r="U2368" s="131"/>
      <c r="V2368" s="131">
        <v>34.22</v>
      </c>
      <c r="W2368">
        <v>93</v>
      </c>
      <c r="X2368" s="151" t="s">
        <v>1644</v>
      </c>
      <c r="Y2368" s="135" t="s">
        <v>55</v>
      </c>
      <c r="Z2368" s="307">
        <v>222</v>
      </c>
      <c r="AB2368" t="str">
        <f>IF(Table1[[#This Row],[TIPO2]]="costo", VLOOKUP(Table1[[#This Row],[PARTIDA PRESUPUESTAL]],'Cost Report'!G:G,1,0),"Balance")</f>
        <v>7038-009</v>
      </c>
      <c r="AC2368" s="118"/>
      <c r="AD2368" s="159">
        <f>+Table1[[#This Row],[SUBTOTAL]]+Table1[[#This Row],[IVA]]-Table1[[#This Row],[RET IVA]]-Table1[[#This Row],[RET ISR]]-Table1[[#This Row],[TOTAL]]</f>
        <v>0</v>
      </c>
      <c r="AE2368" s="150"/>
      <c r="AF2368" s="151"/>
      <c r="AG2368" s="126" t="s">
        <v>3420</v>
      </c>
      <c r="AK2368" s="306">
        <f>IF(ISNUMBER(Table1[[#This Row],[FECHA DE RECIBIDO]]), Table1[[#This Row],[FECHA DE RECIBIDO]]-DATE(2023,8,30), "")</f>
        <v>-44946</v>
      </c>
    </row>
    <row r="2369" spans="1:37" ht="16.95" customHeight="1">
      <c r="A2369" s="152" t="s">
        <v>3771</v>
      </c>
      <c r="B2369" s="153">
        <v>795</v>
      </c>
      <c r="C2369" s="126" t="s">
        <v>2860</v>
      </c>
      <c r="D2369">
        <v>689</v>
      </c>
      <c r="E2369" s="126"/>
      <c r="F2369" s="125"/>
      <c r="G2369" s="125"/>
      <c r="H2369"/>
      <c r="I2369" s="125"/>
      <c r="J2369" s="308">
        <v>225</v>
      </c>
      <c r="K2369" s="127" t="s">
        <v>3797</v>
      </c>
      <c r="L2369" s="153" t="s">
        <v>1579</v>
      </c>
      <c r="M2369">
        <v>184</v>
      </c>
      <c r="N2369" s="123">
        <v>17</v>
      </c>
      <c r="O2369">
        <v>1005</v>
      </c>
      <c r="P2369" s="132" t="s">
        <v>77</v>
      </c>
      <c r="Q2369" s="132">
        <v>10</v>
      </c>
      <c r="R2369" s="132"/>
      <c r="S2369" s="132"/>
      <c r="T2369" s="156"/>
      <c r="U2369" s="132"/>
      <c r="V2369" s="132">
        <v>10</v>
      </c>
      <c r="W2369">
        <v>93</v>
      </c>
      <c r="X2369" s="153" t="s">
        <v>1644</v>
      </c>
      <c r="Y2369" s="124" t="s">
        <v>55</v>
      </c>
      <c r="Z2369" s="308">
        <v>225</v>
      </c>
      <c r="AB2369" t="str">
        <f>IF(Table1[[#This Row],[TIPO2]]="costo", VLOOKUP(Table1[[#This Row],[PARTIDA PRESUPUESTAL]],'Cost Report'!G:G,1,0),"Balance")</f>
        <v>3629-003</v>
      </c>
      <c r="AC2369" s="118"/>
      <c r="AD2369" s="159">
        <f>+Table1[[#This Row],[SUBTOTAL]]+Table1[[#This Row],[IVA]]-Table1[[#This Row],[RET IVA]]-Table1[[#This Row],[RET ISR]]-Table1[[#This Row],[TOTAL]]</f>
        <v>0</v>
      </c>
      <c r="AE2369" s="152"/>
      <c r="AF2369" s="153"/>
      <c r="AG2369" s="126" t="s">
        <v>3420</v>
      </c>
      <c r="AK2369" s="306">
        <f>IF(ISNUMBER(Table1[[#This Row],[FECHA DE RECIBIDO]]), Table1[[#This Row],[FECHA DE RECIBIDO]]-DATE(2023,8,30), "")</f>
        <v>-44943</v>
      </c>
    </row>
    <row r="2370" spans="1:37" ht="16.95" customHeight="1">
      <c r="A2370" s="150" t="s">
        <v>3772</v>
      </c>
      <c r="B2370" s="151">
        <v>796</v>
      </c>
      <c r="C2370" s="126" t="s">
        <v>2829</v>
      </c>
      <c r="D2370">
        <v>1576</v>
      </c>
      <c r="E2370" s="126" t="s">
        <v>1991</v>
      </c>
      <c r="F2370" s="122" t="s">
        <v>1607</v>
      </c>
      <c r="G2370" s="122" t="s">
        <v>134</v>
      </c>
      <c r="H2370">
        <v>78</v>
      </c>
      <c r="I2370" s="122" t="s">
        <v>1546</v>
      </c>
      <c r="J2370" s="307" t="s">
        <v>214</v>
      </c>
      <c r="K2370" s="127" t="s">
        <v>3797</v>
      </c>
      <c r="L2370" s="151" t="s">
        <v>1579</v>
      </c>
      <c r="M2370">
        <v>102</v>
      </c>
      <c r="N2370" s="123">
        <v>17</v>
      </c>
      <c r="O2370">
        <v>1212</v>
      </c>
      <c r="P2370" s="132" t="s">
        <v>77</v>
      </c>
      <c r="Q2370" s="131">
        <v>47.41</v>
      </c>
      <c r="R2370" s="131">
        <v>7.5855999999999995</v>
      </c>
      <c r="S2370" s="131"/>
      <c r="T2370" s="155"/>
      <c r="U2370" s="131"/>
      <c r="V2370" s="131">
        <v>54.995599999999996</v>
      </c>
      <c r="W2370">
        <v>93</v>
      </c>
      <c r="X2370" s="151" t="s">
        <v>1644</v>
      </c>
      <c r="Y2370" s="135" t="s">
        <v>55</v>
      </c>
      <c r="Z2370" s="307">
        <v>201</v>
      </c>
      <c r="AB2370" t="str">
        <f>IF(Table1[[#This Row],[TIPO2]]="costo", VLOOKUP(Table1[[#This Row],[PARTIDA PRESUPUESTAL]],'Cost Report'!G:G,1,0),"Balance")</f>
        <v>3412-138</v>
      </c>
      <c r="AC2370" s="118"/>
      <c r="AD2370" s="159">
        <f>+Table1[[#This Row],[SUBTOTAL]]+Table1[[#This Row],[IVA]]-Table1[[#This Row],[RET IVA]]-Table1[[#This Row],[RET ISR]]-Table1[[#This Row],[TOTAL]]</f>
        <v>0</v>
      </c>
      <c r="AE2370" s="150"/>
      <c r="AF2370" s="151"/>
      <c r="AG2370" s="126" t="s">
        <v>3420</v>
      </c>
      <c r="AK2370" s="306" t="str">
        <f>IF(ISNUMBER(Table1[[#This Row],[FECHA DE RECIBIDO]]), Table1[[#This Row],[FECHA DE RECIBIDO]]-DATE(2023,8,30), "")</f>
        <v/>
      </c>
    </row>
    <row r="2371" spans="1:37" ht="16.95" customHeight="1">
      <c r="A2371" s="152" t="s">
        <v>3772</v>
      </c>
      <c r="B2371" s="153">
        <v>796</v>
      </c>
      <c r="C2371" s="126" t="s">
        <v>3415</v>
      </c>
      <c r="D2371">
        <v>1577</v>
      </c>
      <c r="E2371" s="126" t="s">
        <v>1623</v>
      </c>
      <c r="F2371" s="125" t="s">
        <v>1607</v>
      </c>
      <c r="G2371" s="125" t="s">
        <v>134</v>
      </c>
      <c r="H2371">
        <v>45</v>
      </c>
      <c r="I2371" s="125" t="s">
        <v>1546</v>
      </c>
      <c r="J2371" s="308" t="s">
        <v>214</v>
      </c>
      <c r="K2371" s="127" t="s">
        <v>3797</v>
      </c>
      <c r="L2371" s="153" t="s">
        <v>1579</v>
      </c>
      <c r="M2371">
        <v>656</v>
      </c>
      <c r="N2371" s="123">
        <v>17</v>
      </c>
      <c r="O2371">
        <v>1548</v>
      </c>
      <c r="P2371" s="132" t="s">
        <v>77</v>
      </c>
      <c r="Q2371" s="132">
        <v>344.83</v>
      </c>
      <c r="R2371" s="132">
        <v>55.172799999999995</v>
      </c>
      <c r="S2371" s="132"/>
      <c r="T2371" s="156"/>
      <c r="U2371" s="132"/>
      <c r="V2371" s="132">
        <v>400.00279999999998</v>
      </c>
      <c r="W2371">
        <v>93</v>
      </c>
      <c r="X2371" s="153" t="s">
        <v>1644</v>
      </c>
      <c r="Y2371" s="124" t="s">
        <v>55</v>
      </c>
      <c r="Z2371" s="308">
        <v>203</v>
      </c>
      <c r="AB2371" t="str">
        <f>IF(Table1[[#This Row],[TIPO2]]="costo", VLOOKUP(Table1[[#This Row],[PARTIDA PRESUPUESTAL]],'Cost Report'!G:G,1,0),"Balance")</f>
        <v>3629-006</v>
      </c>
      <c r="AC2371" s="118"/>
      <c r="AD2371" s="159">
        <f>+Table1[[#This Row],[SUBTOTAL]]+Table1[[#This Row],[IVA]]-Table1[[#This Row],[RET IVA]]-Table1[[#This Row],[RET ISR]]-Table1[[#This Row],[TOTAL]]</f>
        <v>0</v>
      </c>
      <c r="AE2371" s="152"/>
      <c r="AF2371" s="153"/>
      <c r="AG2371" s="126" t="s">
        <v>3420</v>
      </c>
      <c r="AK2371" s="306" t="str">
        <f>IF(ISNUMBER(Table1[[#This Row],[FECHA DE RECIBIDO]]), Table1[[#This Row],[FECHA DE RECIBIDO]]-DATE(2023,8,30), "")</f>
        <v/>
      </c>
    </row>
    <row r="2372" spans="1:37" ht="16.95" customHeight="1">
      <c r="A2372" s="150" t="s">
        <v>3772</v>
      </c>
      <c r="B2372" s="151">
        <v>796</v>
      </c>
      <c r="C2372" s="126" t="s">
        <v>3415</v>
      </c>
      <c r="D2372">
        <v>1578</v>
      </c>
      <c r="E2372" s="126" t="s">
        <v>1623</v>
      </c>
      <c r="F2372" s="122" t="s">
        <v>1607</v>
      </c>
      <c r="G2372" s="122" t="s">
        <v>134</v>
      </c>
      <c r="H2372">
        <v>45</v>
      </c>
      <c r="I2372" s="122" t="s">
        <v>1546</v>
      </c>
      <c r="J2372" s="307" t="s">
        <v>214</v>
      </c>
      <c r="K2372" s="127" t="s">
        <v>3797</v>
      </c>
      <c r="L2372" s="151" t="s">
        <v>1579</v>
      </c>
      <c r="M2372">
        <v>656</v>
      </c>
      <c r="N2372" s="123">
        <v>17</v>
      </c>
      <c r="O2372">
        <v>1548</v>
      </c>
      <c r="P2372" s="132" t="s">
        <v>77</v>
      </c>
      <c r="Q2372" s="131">
        <v>517.24</v>
      </c>
      <c r="R2372" s="131">
        <v>82.758400000000009</v>
      </c>
      <c r="S2372" s="131"/>
      <c r="T2372" s="155"/>
      <c r="U2372" s="131"/>
      <c r="V2372" s="131">
        <v>599.99840000000006</v>
      </c>
      <c r="W2372">
        <v>93</v>
      </c>
      <c r="X2372" s="151" t="s">
        <v>1644</v>
      </c>
      <c r="Y2372" s="135" t="s">
        <v>55</v>
      </c>
      <c r="Z2372" s="307">
        <v>203</v>
      </c>
      <c r="AB2372" t="str">
        <f>IF(Table1[[#This Row],[TIPO2]]="costo", VLOOKUP(Table1[[#This Row],[PARTIDA PRESUPUESTAL]],'Cost Report'!G:G,1,0),"Balance")</f>
        <v>3629-006</v>
      </c>
      <c r="AC2372" s="118"/>
      <c r="AD2372" s="159">
        <f>+Table1[[#This Row],[SUBTOTAL]]+Table1[[#This Row],[IVA]]-Table1[[#This Row],[RET IVA]]-Table1[[#This Row],[RET ISR]]-Table1[[#This Row],[TOTAL]]</f>
        <v>0</v>
      </c>
      <c r="AE2372" s="150"/>
      <c r="AF2372" s="151"/>
      <c r="AG2372" s="126" t="s">
        <v>3420</v>
      </c>
      <c r="AK2372" s="306" t="str">
        <f>IF(ISNUMBER(Table1[[#This Row],[FECHA DE RECIBIDO]]), Table1[[#This Row],[FECHA DE RECIBIDO]]-DATE(2023,8,30), "")</f>
        <v/>
      </c>
    </row>
    <row r="2373" spans="1:37" ht="16.95" customHeight="1">
      <c r="A2373" s="152" t="s">
        <v>3772</v>
      </c>
      <c r="B2373" s="153">
        <v>796</v>
      </c>
      <c r="C2373" s="126" t="s">
        <v>3415</v>
      </c>
      <c r="D2373">
        <v>1579</v>
      </c>
      <c r="E2373" s="126" t="s">
        <v>1623</v>
      </c>
      <c r="F2373" s="125" t="s">
        <v>1607</v>
      </c>
      <c r="G2373" s="125" t="s">
        <v>134</v>
      </c>
      <c r="H2373">
        <v>45</v>
      </c>
      <c r="I2373" s="125" t="s">
        <v>1546</v>
      </c>
      <c r="J2373" s="308" t="s">
        <v>214</v>
      </c>
      <c r="K2373" s="127" t="s">
        <v>3797</v>
      </c>
      <c r="L2373" s="153" t="s">
        <v>1579</v>
      </c>
      <c r="M2373">
        <v>656</v>
      </c>
      <c r="N2373" s="123">
        <v>17</v>
      </c>
      <c r="O2373">
        <v>1548</v>
      </c>
      <c r="P2373" s="132" t="s">
        <v>77</v>
      </c>
      <c r="Q2373" s="132">
        <v>862.07</v>
      </c>
      <c r="R2373" s="132">
        <v>137.93120000000002</v>
      </c>
      <c r="S2373" s="132"/>
      <c r="T2373" s="156"/>
      <c r="U2373" s="132"/>
      <c r="V2373" s="132">
        <v>1000.0012</v>
      </c>
      <c r="W2373">
        <v>93</v>
      </c>
      <c r="X2373" s="153" t="s">
        <v>1644</v>
      </c>
      <c r="Y2373" s="124" t="s">
        <v>55</v>
      </c>
      <c r="Z2373" s="308">
        <v>203</v>
      </c>
      <c r="AB2373" t="str">
        <f>IF(Table1[[#This Row],[TIPO2]]="costo", VLOOKUP(Table1[[#This Row],[PARTIDA PRESUPUESTAL]],'Cost Report'!G:G,1,0),"Balance")</f>
        <v>3629-006</v>
      </c>
      <c r="AC2373" s="118"/>
      <c r="AD2373" s="159">
        <f>+Table1[[#This Row],[SUBTOTAL]]+Table1[[#This Row],[IVA]]-Table1[[#This Row],[RET IVA]]-Table1[[#This Row],[RET ISR]]-Table1[[#This Row],[TOTAL]]</f>
        <v>0</v>
      </c>
      <c r="AE2373" s="152"/>
      <c r="AF2373" s="153"/>
      <c r="AG2373" s="126" t="s">
        <v>3420</v>
      </c>
      <c r="AK2373" s="306" t="str">
        <f>IF(ISNUMBER(Table1[[#This Row],[FECHA DE RECIBIDO]]), Table1[[#This Row],[FECHA DE RECIBIDO]]-DATE(2023,8,30), "")</f>
        <v/>
      </c>
    </row>
    <row r="2374" spans="1:37">
      <c r="A2374" s="150" t="s">
        <v>3772</v>
      </c>
      <c r="B2374" s="151">
        <v>796</v>
      </c>
      <c r="C2374" s="126" t="s">
        <v>3415</v>
      </c>
      <c r="D2374">
        <v>1580</v>
      </c>
      <c r="E2374" s="126" t="s">
        <v>1623</v>
      </c>
      <c r="F2374" s="122" t="s">
        <v>1607</v>
      </c>
      <c r="G2374" s="122" t="s">
        <v>134</v>
      </c>
      <c r="H2374">
        <v>45</v>
      </c>
      <c r="I2374" s="122" t="s">
        <v>1546</v>
      </c>
      <c r="J2374" s="307" t="s">
        <v>214</v>
      </c>
      <c r="K2374" s="127" t="s">
        <v>3797</v>
      </c>
      <c r="L2374" s="151" t="s">
        <v>1579</v>
      </c>
      <c r="M2374">
        <v>656</v>
      </c>
      <c r="N2374" s="123">
        <v>17</v>
      </c>
      <c r="O2374">
        <v>1548</v>
      </c>
      <c r="P2374" s="132" t="s">
        <v>77</v>
      </c>
      <c r="Q2374" s="131">
        <v>1724.14</v>
      </c>
      <c r="R2374" s="131">
        <v>275.86240000000004</v>
      </c>
      <c r="S2374" s="131"/>
      <c r="T2374" s="155"/>
      <c r="U2374" s="131"/>
      <c r="V2374" s="131">
        <v>2000.0024000000001</v>
      </c>
      <c r="W2374">
        <v>93</v>
      </c>
      <c r="X2374" s="151" t="s">
        <v>1644</v>
      </c>
      <c r="Y2374" s="135" t="s">
        <v>55</v>
      </c>
      <c r="Z2374" s="307">
        <v>203</v>
      </c>
      <c r="AB2374" t="str">
        <f>IF(Table1[[#This Row],[TIPO2]]="costo", VLOOKUP(Table1[[#This Row],[PARTIDA PRESUPUESTAL]],'Cost Report'!G:G,1,0),"Balance")</f>
        <v>3629-006</v>
      </c>
      <c r="AC2374" s="118"/>
      <c r="AD2374" s="159">
        <f>+Table1[[#This Row],[SUBTOTAL]]+Table1[[#This Row],[IVA]]-Table1[[#This Row],[RET IVA]]-Table1[[#This Row],[RET ISR]]-Table1[[#This Row],[TOTAL]]</f>
        <v>0</v>
      </c>
      <c r="AE2374" s="150"/>
      <c r="AF2374" s="151"/>
      <c r="AG2374" s="126" t="s">
        <v>3420</v>
      </c>
      <c r="AK2374" s="306" t="str">
        <f>IF(ISNUMBER(Table1[[#This Row],[FECHA DE RECIBIDO]]), Table1[[#This Row],[FECHA DE RECIBIDO]]-DATE(2023,8,30), "")</f>
        <v/>
      </c>
    </row>
    <row r="2375" spans="1:37">
      <c r="A2375" s="152" t="s">
        <v>3772</v>
      </c>
      <c r="B2375" s="153">
        <v>796</v>
      </c>
      <c r="C2375" s="126" t="s">
        <v>3415</v>
      </c>
      <c r="D2375">
        <v>1581</v>
      </c>
      <c r="E2375" s="126" t="s">
        <v>1623</v>
      </c>
      <c r="F2375" s="125" t="s">
        <v>1607</v>
      </c>
      <c r="G2375" s="125" t="s">
        <v>134</v>
      </c>
      <c r="H2375">
        <v>45</v>
      </c>
      <c r="I2375" s="125" t="s">
        <v>1546</v>
      </c>
      <c r="J2375" s="308" t="s">
        <v>214</v>
      </c>
      <c r="K2375" s="127" t="s">
        <v>3797</v>
      </c>
      <c r="L2375" s="153" t="s">
        <v>1579</v>
      </c>
      <c r="M2375">
        <v>656</v>
      </c>
      <c r="N2375" s="123">
        <v>17</v>
      </c>
      <c r="O2375">
        <v>1548</v>
      </c>
      <c r="P2375" s="132" t="s">
        <v>77</v>
      </c>
      <c r="Q2375" s="132">
        <v>1034.48</v>
      </c>
      <c r="R2375" s="132">
        <v>165.51680000000002</v>
      </c>
      <c r="S2375" s="132"/>
      <c r="T2375" s="156"/>
      <c r="U2375" s="132"/>
      <c r="V2375" s="132">
        <v>1199.9968000000001</v>
      </c>
      <c r="W2375">
        <v>93</v>
      </c>
      <c r="X2375" s="153" t="s">
        <v>1644</v>
      </c>
      <c r="Y2375" s="124" t="s">
        <v>55</v>
      </c>
      <c r="Z2375" s="308">
        <v>205</v>
      </c>
      <c r="AB2375" t="str">
        <f>IF(Table1[[#This Row],[TIPO2]]="costo", VLOOKUP(Table1[[#This Row],[PARTIDA PRESUPUESTAL]],'Cost Report'!G:G,1,0),"Balance")</f>
        <v>3629-006</v>
      </c>
      <c r="AC2375" s="118"/>
      <c r="AD2375" s="159">
        <f>+Table1[[#This Row],[SUBTOTAL]]+Table1[[#This Row],[IVA]]-Table1[[#This Row],[RET IVA]]-Table1[[#This Row],[RET ISR]]-Table1[[#This Row],[TOTAL]]</f>
        <v>0</v>
      </c>
      <c r="AE2375" s="152"/>
      <c r="AF2375" s="153"/>
      <c r="AG2375" s="126" t="s">
        <v>3420</v>
      </c>
      <c r="AK2375" s="306" t="str">
        <f>IF(ISNUMBER(Table1[[#This Row],[FECHA DE RECIBIDO]]), Table1[[#This Row],[FECHA DE RECIBIDO]]-DATE(2023,8,30), "")</f>
        <v/>
      </c>
    </row>
    <row r="2376" spans="1:37" ht="16.05" customHeight="1">
      <c r="A2376" s="150" t="s">
        <v>3772</v>
      </c>
      <c r="B2376" s="151">
        <v>796</v>
      </c>
      <c r="C2376" s="126" t="s">
        <v>3415</v>
      </c>
      <c r="D2376">
        <v>1582</v>
      </c>
      <c r="E2376" s="126" t="s">
        <v>1623</v>
      </c>
      <c r="F2376" s="122" t="s">
        <v>1607</v>
      </c>
      <c r="G2376" s="122" t="s">
        <v>134</v>
      </c>
      <c r="H2376">
        <v>45</v>
      </c>
      <c r="I2376" s="122" t="s">
        <v>1546</v>
      </c>
      <c r="J2376" s="307" t="s">
        <v>214</v>
      </c>
      <c r="K2376" s="127" t="s">
        <v>3797</v>
      </c>
      <c r="L2376" s="151" t="s">
        <v>1579</v>
      </c>
      <c r="M2376">
        <v>656</v>
      </c>
      <c r="N2376" s="123">
        <v>17</v>
      </c>
      <c r="O2376">
        <v>1549</v>
      </c>
      <c r="P2376" s="132" t="s">
        <v>77</v>
      </c>
      <c r="Q2376" s="131">
        <v>862.07</v>
      </c>
      <c r="R2376" s="131">
        <v>137.93120000000002</v>
      </c>
      <c r="S2376" s="131"/>
      <c r="T2376" s="155"/>
      <c r="U2376" s="131"/>
      <c r="V2376" s="131">
        <v>1000.0012</v>
      </c>
      <c r="W2376">
        <v>93</v>
      </c>
      <c r="X2376" s="151" t="s">
        <v>1644</v>
      </c>
      <c r="Y2376" s="135" t="s">
        <v>55</v>
      </c>
      <c r="Z2376" s="307">
        <v>208</v>
      </c>
      <c r="AB2376" t="str">
        <f>IF(Table1[[#This Row],[TIPO2]]="costo", VLOOKUP(Table1[[#This Row],[PARTIDA PRESUPUESTAL]],'Cost Report'!G:G,1,0),"Balance")</f>
        <v>3629-006</v>
      </c>
      <c r="AC2376" s="118"/>
      <c r="AD2376" s="159">
        <f>+Table1[[#This Row],[SUBTOTAL]]+Table1[[#This Row],[IVA]]-Table1[[#This Row],[RET IVA]]-Table1[[#This Row],[RET ISR]]-Table1[[#This Row],[TOTAL]]</f>
        <v>0</v>
      </c>
      <c r="AE2376" s="150"/>
      <c r="AF2376" s="151"/>
      <c r="AG2376" s="126" t="s">
        <v>3420</v>
      </c>
      <c r="AK2376" s="306" t="str">
        <f>IF(ISNUMBER(Table1[[#This Row],[FECHA DE RECIBIDO]]), Table1[[#This Row],[FECHA DE RECIBIDO]]-DATE(2023,8,30), "")</f>
        <v/>
      </c>
    </row>
    <row r="2377" spans="1:37" ht="16.05" customHeight="1">
      <c r="A2377" s="152" t="s">
        <v>3772</v>
      </c>
      <c r="B2377" s="153">
        <v>796</v>
      </c>
      <c r="C2377" s="126" t="s">
        <v>3416</v>
      </c>
      <c r="D2377">
        <v>1583</v>
      </c>
      <c r="E2377" s="126" t="s">
        <v>3792</v>
      </c>
      <c r="F2377" s="125" t="s">
        <v>1607</v>
      </c>
      <c r="G2377" s="125" t="s">
        <v>134</v>
      </c>
      <c r="H2377">
        <v>467</v>
      </c>
      <c r="I2377" s="125" t="s">
        <v>1546</v>
      </c>
      <c r="J2377" s="308" t="s">
        <v>214</v>
      </c>
      <c r="K2377" s="127" t="s">
        <v>3797</v>
      </c>
      <c r="L2377" s="153" t="s">
        <v>1579</v>
      </c>
      <c r="M2377">
        <v>657</v>
      </c>
      <c r="N2377" s="123">
        <v>17</v>
      </c>
      <c r="O2377">
        <v>1550</v>
      </c>
      <c r="P2377" s="132" t="s">
        <v>77</v>
      </c>
      <c r="Q2377" s="132">
        <v>146.55000000000001</v>
      </c>
      <c r="R2377" s="132">
        <v>23.448000000000004</v>
      </c>
      <c r="S2377" s="132"/>
      <c r="T2377" s="156"/>
      <c r="U2377" s="132"/>
      <c r="V2377" s="132">
        <v>169.99800000000002</v>
      </c>
      <c r="W2377">
        <v>93</v>
      </c>
      <c r="X2377" s="153" t="s">
        <v>1644</v>
      </c>
      <c r="Y2377" s="124" t="s">
        <v>55</v>
      </c>
      <c r="Z2377" s="308">
        <v>211</v>
      </c>
      <c r="AB2377" t="str">
        <f>IF(Table1[[#This Row],[TIPO2]]="costo", VLOOKUP(Table1[[#This Row],[PARTIDA PRESUPUESTAL]],'Cost Report'!G:G,1,0),"Balance")</f>
        <v>3442-040</v>
      </c>
      <c r="AC2377" s="118"/>
      <c r="AD2377" s="159">
        <f>+Table1[[#This Row],[SUBTOTAL]]+Table1[[#This Row],[IVA]]-Table1[[#This Row],[RET IVA]]-Table1[[#This Row],[RET ISR]]-Table1[[#This Row],[TOTAL]]</f>
        <v>0</v>
      </c>
      <c r="AE2377" s="152"/>
      <c r="AF2377" s="153"/>
      <c r="AG2377" s="126" t="s">
        <v>3420</v>
      </c>
      <c r="AK2377" s="306" t="str">
        <f>IF(ISNUMBER(Table1[[#This Row],[FECHA DE RECIBIDO]]), Table1[[#This Row],[FECHA DE RECIBIDO]]-DATE(2023,8,30), "")</f>
        <v/>
      </c>
    </row>
    <row r="2378" spans="1:37" ht="16.05" customHeight="1">
      <c r="A2378" s="150" t="s">
        <v>3772</v>
      </c>
      <c r="B2378" s="151">
        <v>796</v>
      </c>
      <c r="C2378" s="126" t="s">
        <v>3416</v>
      </c>
      <c r="D2378">
        <v>1584</v>
      </c>
      <c r="E2378" s="126" t="s">
        <v>3670</v>
      </c>
      <c r="F2378" s="122" t="s">
        <v>1607</v>
      </c>
      <c r="G2378" s="122" t="s">
        <v>134</v>
      </c>
      <c r="H2378">
        <v>319</v>
      </c>
      <c r="I2378" s="122" t="s">
        <v>1546</v>
      </c>
      <c r="J2378" s="307" t="s">
        <v>214</v>
      </c>
      <c r="K2378" s="127" t="s">
        <v>3797</v>
      </c>
      <c r="L2378" s="151" t="s">
        <v>1579</v>
      </c>
      <c r="M2378">
        <v>424</v>
      </c>
      <c r="N2378" s="123">
        <v>17</v>
      </c>
      <c r="O2378">
        <v>1551</v>
      </c>
      <c r="P2378" s="132" t="s">
        <v>77</v>
      </c>
      <c r="Q2378" s="131">
        <v>686.21</v>
      </c>
      <c r="R2378" s="131">
        <v>109.79360000000001</v>
      </c>
      <c r="S2378" s="131"/>
      <c r="T2378" s="155"/>
      <c r="U2378" s="131"/>
      <c r="V2378" s="131">
        <v>796.00360000000001</v>
      </c>
      <c r="W2378">
        <v>93</v>
      </c>
      <c r="X2378" s="151" t="s">
        <v>1644</v>
      </c>
      <c r="Y2378" s="135" t="s">
        <v>55</v>
      </c>
      <c r="Z2378" s="307">
        <v>211</v>
      </c>
      <c r="AB2378" t="str">
        <f>IF(Table1[[#This Row],[TIPO2]]="costo", VLOOKUP(Table1[[#This Row],[PARTIDA PRESUPUESTAL]],'Cost Report'!G:G,1,0),"Balance")</f>
        <v>3442-040</v>
      </c>
      <c r="AC2378" s="118"/>
      <c r="AD2378" s="159">
        <f>+Table1[[#This Row],[SUBTOTAL]]+Table1[[#This Row],[IVA]]-Table1[[#This Row],[RET IVA]]-Table1[[#This Row],[RET ISR]]-Table1[[#This Row],[TOTAL]]</f>
        <v>0</v>
      </c>
      <c r="AE2378" s="150"/>
      <c r="AF2378" s="151"/>
      <c r="AG2378" s="126" t="s">
        <v>3420</v>
      </c>
      <c r="AK2378" s="306" t="str">
        <f>IF(ISNUMBER(Table1[[#This Row],[FECHA DE RECIBIDO]]), Table1[[#This Row],[FECHA DE RECIBIDO]]-DATE(2023,8,30), "")</f>
        <v/>
      </c>
    </row>
    <row r="2379" spans="1:37" ht="16.05" customHeight="1">
      <c r="A2379" s="152" t="s">
        <v>3772</v>
      </c>
      <c r="B2379" s="153">
        <v>796</v>
      </c>
      <c r="C2379" s="126" t="s">
        <v>2865</v>
      </c>
      <c r="D2379">
        <v>1585</v>
      </c>
      <c r="E2379" s="126" t="s">
        <v>3793</v>
      </c>
      <c r="F2379" s="125" t="s">
        <v>1607</v>
      </c>
      <c r="G2379" s="125" t="s">
        <v>134</v>
      </c>
      <c r="H2379">
        <v>468</v>
      </c>
      <c r="I2379" s="125" t="s">
        <v>1546</v>
      </c>
      <c r="J2379" s="308" t="s">
        <v>214</v>
      </c>
      <c r="K2379" s="127" t="s">
        <v>3797</v>
      </c>
      <c r="L2379" s="153" t="s">
        <v>1579</v>
      </c>
      <c r="M2379">
        <v>658</v>
      </c>
      <c r="N2379" s="123">
        <v>17</v>
      </c>
      <c r="O2379">
        <v>1552</v>
      </c>
      <c r="P2379" s="132" t="s">
        <v>77</v>
      </c>
      <c r="Q2379" s="132">
        <v>778.76</v>
      </c>
      <c r="R2379" s="132">
        <v>121.33</v>
      </c>
      <c r="S2379" s="132"/>
      <c r="T2379" s="156"/>
      <c r="U2379" s="132"/>
      <c r="V2379" s="132">
        <v>900.09</v>
      </c>
      <c r="W2379">
        <v>93</v>
      </c>
      <c r="X2379" s="153" t="s">
        <v>1644</v>
      </c>
      <c r="Y2379" s="124" t="s">
        <v>55</v>
      </c>
      <c r="Z2379" s="308">
        <v>211</v>
      </c>
      <c r="AB2379" t="str">
        <f>IF(Table1[[#This Row],[TIPO2]]="costo", VLOOKUP(Table1[[#This Row],[PARTIDA PRESUPUESTAL]],'Cost Report'!G:G,1,0),"Balance")</f>
        <v>3632-004</v>
      </c>
      <c r="AC2379" s="118"/>
      <c r="AD2379" s="159">
        <f>+Table1[[#This Row],[SUBTOTAL]]+Table1[[#This Row],[IVA]]-Table1[[#This Row],[RET IVA]]-Table1[[#This Row],[RET ISR]]-Table1[[#This Row],[TOTAL]]</f>
        <v>0</v>
      </c>
      <c r="AE2379" s="152"/>
      <c r="AF2379" s="153"/>
      <c r="AG2379" s="126" t="s">
        <v>3420</v>
      </c>
      <c r="AK2379" s="306" t="str">
        <f>IF(ISNUMBER(Table1[[#This Row],[FECHA DE RECIBIDO]]), Table1[[#This Row],[FECHA DE RECIBIDO]]-DATE(2023,8,30), "")</f>
        <v/>
      </c>
    </row>
    <row r="2380" spans="1:37" ht="16.05" customHeight="1">
      <c r="A2380" s="150" t="s">
        <v>3772</v>
      </c>
      <c r="B2380" s="151">
        <v>796</v>
      </c>
      <c r="C2380" s="126" t="s">
        <v>1873</v>
      </c>
      <c r="D2380">
        <v>1586</v>
      </c>
      <c r="E2380" s="126" t="s">
        <v>3383</v>
      </c>
      <c r="F2380" s="122" t="s">
        <v>1607</v>
      </c>
      <c r="G2380" s="122" t="s">
        <v>134</v>
      </c>
      <c r="H2380">
        <v>319</v>
      </c>
      <c r="I2380" s="122" t="s">
        <v>1546</v>
      </c>
      <c r="J2380" s="307" t="s">
        <v>214</v>
      </c>
      <c r="K2380" s="127" t="s">
        <v>3797</v>
      </c>
      <c r="L2380" s="151" t="s">
        <v>1579</v>
      </c>
      <c r="M2380">
        <v>424</v>
      </c>
      <c r="N2380" s="123">
        <v>17</v>
      </c>
      <c r="O2380">
        <v>1553</v>
      </c>
      <c r="P2380" s="132" t="s">
        <v>77</v>
      </c>
      <c r="Q2380" s="131">
        <v>215.22</v>
      </c>
      <c r="R2380" s="131">
        <v>9.7799999999999994</v>
      </c>
      <c r="S2380" s="131"/>
      <c r="T2380" s="155"/>
      <c r="U2380" s="131"/>
      <c r="V2380" s="131">
        <v>225</v>
      </c>
      <c r="W2380">
        <v>93</v>
      </c>
      <c r="X2380" s="151" t="s">
        <v>1644</v>
      </c>
      <c r="Y2380" s="135" t="s">
        <v>55</v>
      </c>
      <c r="Z2380" s="307">
        <v>211</v>
      </c>
      <c r="AB2380" t="str">
        <f>IF(Table1[[#This Row],[TIPO2]]="costo", VLOOKUP(Table1[[#This Row],[PARTIDA PRESUPUESTAL]],'Cost Report'!G:G,1,0),"Balance")</f>
        <v>3442-015</v>
      </c>
      <c r="AC2380" s="118"/>
      <c r="AD2380" s="159">
        <f>+Table1[[#This Row],[SUBTOTAL]]+Table1[[#This Row],[IVA]]-Table1[[#This Row],[RET IVA]]-Table1[[#This Row],[RET ISR]]-Table1[[#This Row],[TOTAL]]</f>
        <v>0</v>
      </c>
      <c r="AE2380" s="150"/>
      <c r="AF2380" s="151"/>
      <c r="AG2380" s="126" t="s">
        <v>3420</v>
      </c>
      <c r="AK2380" s="306" t="str">
        <f>IF(ISNUMBER(Table1[[#This Row],[FECHA DE RECIBIDO]]), Table1[[#This Row],[FECHA DE RECIBIDO]]-DATE(2023,8,30), "")</f>
        <v/>
      </c>
    </row>
    <row r="2381" spans="1:37" ht="16.05" customHeight="1">
      <c r="A2381" s="152" t="s">
        <v>3772</v>
      </c>
      <c r="B2381" s="153">
        <v>796</v>
      </c>
      <c r="C2381" s="126" t="s">
        <v>3416</v>
      </c>
      <c r="D2381">
        <v>1587</v>
      </c>
      <c r="E2381" s="126" t="s">
        <v>3794</v>
      </c>
      <c r="F2381" s="125" t="s">
        <v>1371</v>
      </c>
      <c r="G2381" s="125" t="s">
        <v>2065</v>
      </c>
      <c r="H2381">
        <v>469</v>
      </c>
      <c r="I2381" s="125" t="s">
        <v>1546</v>
      </c>
      <c r="J2381" s="308" t="s">
        <v>214</v>
      </c>
      <c r="K2381" s="127" t="s">
        <v>3797</v>
      </c>
      <c r="L2381" s="153" t="s">
        <v>1579</v>
      </c>
      <c r="M2381">
        <v>659</v>
      </c>
      <c r="N2381" s="123">
        <v>17</v>
      </c>
      <c r="O2381">
        <v>1550</v>
      </c>
      <c r="P2381" s="132" t="s">
        <v>77</v>
      </c>
      <c r="Q2381" s="132">
        <v>53.45</v>
      </c>
      <c r="R2381" s="132">
        <v>8.5520000000000014</v>
      </c>
      <c r="S2381" s="132"/>
      <c r="T2381" s="156"/>
      <c r="U2381" s="132"/>
      <c r="V2381" s="132">
        <v>62.002000000000002</v>
      </c>
      <c r="W2381">
        <v>93</v>
      </c>
      <c r="X2381" s="153" t="s">
        <v>1644</v>
      </c>
      <c r="Y2381" s="124" t="s">
        <v>55</v>
      </c>
      <c r="Z2381" s="308">
        <v>211</v>
      </c>
      <c r="AB2381" t="str">
        <f>IF(Table1[[#This Row],[TIPO2]]="costo", VLOOKUP(Table1[[#This Row],[PARTIDA PRESUPUESTAL]],'Cost Report'!G:G,1,0),"Balance")</f>
        <v>3442-040</v>
      </c>
      <c r="AC2381" s="118"/>
      <c r="AD2381" s="159">
        <f>+Table1[[#This Row],[SUBTOTAL]]+Table1[[#This Row],[IVA]]-Table1[[#This Row],[RET IVA]]-Table1[[#This Row],[RET ISR]]-Table1[[#This Row],[TOTAL]]</f>
        <v>0</v>
      </c>
      <c r="AE2381" s="152"/>
      <c r="AF2381" s="153"/>
      <c r="AG2381" s="126" t="s">
        <v>3420</v>
      </c>
      <c r="AK2381" s="306" t="str">
        <f>IF(ISNUMBER(Table1[[#This Row],[FECHA DE RECIBIDO]]), Table1[[#This Row],[FECHA DE RECIBIDO]]-DATE(2023,8,30), "")</f>
        <v/>
      </c>
    </row>
    <row r="2382" spans="1:37" ht="16.05" customHeight="1">
      <c r="A2382" s="150" t="s">
        <v>3772</v>
      </c>
      <c r="B2382" s="151">
        <v>796</v>
      </c>
      <c r="C2382" s="126" t="s">
        <v>3416</v>
      </c>
      <c r="D2382">
        <v>1588</v>
      </c>
      <c r="E2382" s="126" t="s">
        <v>3794</v>
      </c>
      <c r="F2382" s="122" t="s">
        <v>1371</v>
      </c>
      <c r="G2382" s="122" t="s">
        <v>2065</v>
      </c>
      <c r="H2382">
        <v>469</v>
      </c>
      <c r="I2382" s="122" t="s">
        <v>1546</v>
      </c>
      <c r="J2382" s="307" t="s">
        <v>214</v>
      </c>
      <c r="K2382" s="127" t="s">
        <v>3797</v>
      </c>
      <c r="L2382" s="151" t="s">
        <v>1579</v>
      </c>
      <c r="M2382">
        <v>659</v>
      </c>
      <c r="N2382" s="123">
        <v>17</v>
      </c>
      <c r="O2382">
        <v>1550</v>
      </c>
      <c r="P2382" s="132" t="s">
        <v>77</v>
      </c>
      <c r="Q2382" s="131">
        <v>53.45</v>
      </c>
      <c r="R2382" s="131">
        <v>8.5520000000000014</v>
      </c>
      <c r="S2382" s="131"/>
      <c r="T2382" s="155"/>
      <c r="U2382" s="131"/>
      <c r="V2382" s="131">
        <v>62.002000000000002</v>
      </c>
      <c r="W2382">
        <v>93</v>
      </c>
      <c r="X2382" s="151" t="s">
        <v>1644</v>
      </c>
      <c r="Y2382" s="135" t="s">
        <v>55</v>
      </c>
      <c r="Z2382" s="307">
        <v>211</v>
      </c>
      <c r="AB2382" t="str">
        <f>IF(Table1[[#This Row],[TIPO2]]="costo", VLOOKUP(Table1[[#This Row],[PARTIDA PRESUPUESTAL]],'Cost Report'!G:G,1,0),"Balance")</f>
        <v>3442-040</v>
      </c>
      <c r="AC2382" s="118"/>
      <c r="AD2382" s="159">
        <f>+Table1[[#This Row],[SUBTOTAL]]+Table1[[#This Row],[IVA]]-Table1[[#This Row],[RET IVA]]-Table1[[#This Row],[RET ISR]]-Table1[[#This Row],[TOTAL]]</f>
        <v>0</v>
      </c>
      <c r="AE2382" s="150"/>
      <c r="AF2382" s="151"/>
      <c r="AG2382" s="126" t="s">
        <v>3420</v>
      </c>
      <c r="AK2382" s="306" t="str">
        <f>IF(ISNUMBER(Table1[[#This Row],[FECHA DE RECIBIDO]]), Table1[[#This Row],[FECHA DE RECIBIDO]]-DATE(2023,8,30), "")</f>
        <v/>
      </c>
    </row>
    <row r="2383" spans="1:37" ht="16.05" customHeight="1">
      <c r="A2383" s="152" t="s">
        <v>3772</v>
      </c>
      <c r="B2383" s="153">
        <v>796</v>
      </c>
      <c r="C2383" s="126" t="s">
        <v>2865</v>
      </c>
      <c r="D2383">
        <v>1589</v>
      </c>
      <c r="E2383" s="126" t="s">
        <v>3795</v>
      </c>
      <c r="F2383" s="125" t="s">
        <v>1607</v>
      </c>
      <c r="G2383" s="125" t="s">
        <v>134</v>
      </c>
      <c r="H2383">
        <v>470</v>
      </c>
      <c r="I2383" s="125" t="s">
        <v>1546</v>
      </c>
      <c r="J2383" s="308" t="s">
        <v>214</v>
      </c>
      <c r="K2383" s="127" t="s">
        <v>3797</v>
      </c>
      <c r="L2383" s="153" t="s">
        <v>1579</v>
      </c>
      <c r="M2383">
        <v>660</v>
      </c>
      <c r="N2383" s="123">
        <v>17</v>
      </c>
      <c r="O2383">
        <v>1554</v>
      </c>
      <c r="P2383" s="132" t="s">
        <v>77</v>
      </c>
      <c r="Q2383" s="132">
        <v>792.12</v>
      </c>
      <c r="R2383" s="132">
        <v>123.36</v>
      </c>
      <c r="S2383" s="132"/>
      <c r="T2383" s="156"/>
      <c r="U2383" s="132"/>
      <c r="V2383" s="132">
        <v>915.48</v>
      </c>
      <c r="W2383">
        <v>93</v>
      </c>
      <c r="X2383" s="153" t="s">
        <v>1644</v>
      </c>
      <c r="Y2383" s="124" t="s">
        <v>55</v>
      </c>
      <c r="Z2383" s="308">
        <v>211</v>
      </c>
      <c r="AB2383" t="str">
        <f>IF(Table1[[#This Row],[TIPO2]]="costo", VLOOKUP(Table1[[#This Row],[PARTIDA PRESUPUESTAL]],'Cost Report'!G:G,1,0),"Balance")</f>
        <v>3632-004</v>
      </c>
      <c r="AC2383" s="118"/>
      <c r="AD2383" s="159">
        <f>+Table1[[#This Row],[SUBTOTAL]]+Table1[[#This Row],[IVA]]-Table1[[#This Row],[RET IVA]]-Table1[[#This Row],[RET ISR]]-Table1[[#This Row],[TOTAL]]</f>
        <v>0</v>
      </c>
      <c r="AE2383" s="152"/>
      <c r="AF2383" s="153"/>
      <c r="AG2383" s="126" t="s">
        <v>3420</v>
      </c>
      <c r="AK2383" s="306" t="str">
        <f>IF(ISNUMBER(Table1[[#This Row],[FECHA DE RECIBIDO]]), Table1[[#This Row],[FECHA DE RECIBIDO]]-DATE(2023,8,30), "")</f>
        <v/>
      </c>
    </row>
    <row r="2384" spans="1:37" ht="16.05" customHeight="1">
      <c r="A2384" s="150" t="s">
        <v>3772</v>
      </c>
      <c r="B2384" s="151">
        <v>796</v>
      </c>
      <c r="C2384" s="126" t="s">
        <v>3415</v>
      </c>
      <c r="D2384">
        <v>1590</v>
      </c>
      <c r="E2384" s="126" t="s">
        <v>1623</v>
      </c>
      <c r="F2384" s="122" t="s">
        <v>1607</v>
      </c>
      <c r="G2384" s="122" t="s">
        <v>134</v>
      </c>
      <c r="H2384">
        <v>45</v>
      </c>
      <c r="I2384" s="122" t="s">
        <v>1546</v>
      </c>
      <c r="J2384" s="307" t="s">
        <v>214</v>
      </c>
      <c r="K2384" s="127" t="s">
        <v>3797</v>
      </c>
      <c r="L2384" s="151" t="s">
        <v>1579</v>
      </c>
      <c r="M2384">
        <v>656</v>
      </c>
      <c r="N2384" s="123">
        <v>17</v>
      </c>
      <c r="O2384">
        <v>1555</v>
      </c>
      <c r="P2384" s="132" t="s">
        <v>77</v>
      </c>
      <c r="Q2384" s="131">
        <v>431.03</v>
      </c>
      <c r="R2384" s="131">
        <v>68.97</v>
      </c>
      <c r="S2384" s="131"/>
      <c r="T2384" s="155"/>
      <c r="U2384" s="131"/>
      <c r="V2384" s="131">
        <v>500</v>
      </c>
      <c r="W2384">
        <v>93</v>
      </c>
      <c r="X2384" s="151" t="s">
        <v>1644</v>
      </c>
      <c r="Y2384" s="135" t="s">
        <v>55</v>
      </c>
      <c r="Z2384" s="307">
        <v>212</v>
      </c>
      <c r="AB2384" t="str">
        <f>IF(Table1[[#This Row],[TIPO2]]="costo", VLOOKUP(Table1[[#This Row],[PARTIDA PRESUPUESTAL]],'Cost Report'!G:G,1,0),"Balance")</f>
        <v>3629-006</v>
      </c>
      <c r="AC2384" s="118"/>
      <c r="AD2384" s="159">
        <f>+Table1[[#This Row],[SUBTOTAL]]+Table1[[#This Row],[IVA]]-Table1[[#This Row],[RET IVA]]-Table1[[#This Row],[RET ISR]]-Table1[[#This Row],[TOTAL]]</f>
        <v>0</v>
      </c>
      <c r="AE2384" s="150"/>
      <c r="AF2384" s="151"/>
      <c r="AG2384" s="126" t="s">
        <v>3420</v>
      </c>
      <c r="AK2384" s="306" t="str">
        <f>IF(ISNUMBER(Table1[[#This Row],[FECHA DE RECIBIDO]]), Table1[[#This Row],[FECHA DE RECIBIDO]]-DATE(2023,8,30), "")</f>
        <v/>
      </c>
    </row>
    <row r="2385" spans="1:37" ht="16.05" customHeight="1">
      <c r="A2385" s="152" t="s">
        <v>3772</v>
      </c>
      <c r="B2385" s="153">
        <v>796</v>
      </c>
      <c r="C2385" s="126" t="s">
        <v>2829</v>
      </c>
      <c r="D2385">
        <v>1591</v>
      </c>
      <c r="E2385" s="126" t="s">
        <v>1991</v>
      </c>
      <c r="F2385" s="125" t="s">
        <v>1607</v>
      </c>
      <c r="G2385" s="125" t="s">
        <v>134</v>
      </c>
      <c r="H2385">
        <v>78</v>
      </c>
      <c r="I2385" s="125" t="s">
        <v>1546</v>
      </c>
      <c r="J2385" s="308" t="s">
        <v>214</v>
      </c>
      <c r="K2385" s="127" t="s">
        <v>3797</v>
      </c>
      <c r="L2385" s="153" t="s">
        <v>1579</v>
      </c>
      <c r="M2385">
        <v>102</v>
      </c>
      <c r="N2385" s="123">
        <v>17</v>
      </c>
      <c r="O2385">
        <v>1212</v>
      </c>
      <c r="P2385" s="132" t="s">
        <v>77</v>
      </c>
      <c r="Q2385" s="132">
        <v>94.83</v>
      </c>
      <c r="R2385" s="132">
        <v>15.172800000000001</v>
      </c>
      <c r="S2385" s="132"/>
      <c r="T2385" s="156"/>
      <c r="U2385" s="132"/>
      <c r="V2385" s="132">
        <v>110.00279999999999</v>
      </c>
      <c r="W2385">
        <v>93</v>
      </c>
      <c r="X2385" s="153" t="s">
        <v>1644</v>
      </c>
      <c r="Y2385" s="124" t="s">
        <v>55</v>
      </c>
      <c r="Z2385" s="308">
        <v>226</v>
      </c>
      <c r="AB2385" t="str">
        <f>IF(Table1[[#This Row],[TIPO2]]="costo", VLOOKUP(Table1[[#This Row],[PARTIDA PRESUPUESTAL]],'Cost Report'!G:G,1,0),"Balance")</f>
        <v>3412-138</v>
      </c>
      <c r="AC2385" s="118"/>
      <c r="AD2385" s="159">
        <f>+Table1[[#This Row],[SUBTOTAL]]+Table1[[#This Row],[IVA]]-Table1[[#This Row],[RET IVA]]-Table1[[#This Row],[RET ISR]]-Table1[[#This Row],[TOTAL]]</f>
        <v>0</v>
      </c>
      <c r="AE2385" s="152"/>
      <c r="AF2385" s="153"/>
      <c r="AG2385" s="126" t="s">
        <v>3420</v>
      </c>
      <c r="AK2385" s="306" t="str">
        <f>IF(ISNUMBER(Table1[[#This Row],[FECHA DE RECIBIDO]]), Table1[[#This Row],[FECHA DE RECIBIDO]]-DATE(2023,8,30), "")</f>
        <v/>
      </c>
    </row>
    <row r="2386" spans="1:37" ht="16.05" customHeight="1">
      <c r="A2386" s="150" t="s">
        <v>3772</v>
      </c>
      <c r="B2386" s="151">
        <v>796</v>
      </c>
      <c r="C2386" s="126" t="s">
        <v>2953</v>
      </c>
      <c r="D2386">
        <v>1592</v>
      </c>
      <c r="E2386" s="126" t="s">
        <v>2075</v>
      </c>
      <c r="F2386" s="122" t="s">
        <v>2062</v>
      </c>
      <c r="G2386" s="122" t="e">
        <v>#N/A</v>
      </c>
      <c r="H2386">
        <v>146</v>
      </c>
      <c r="I2386" s="122" t="s">
        <v>1546</v>
      </c>
      <c r="J2386" s="307" t="s">
        <v>214</v>
      </c>
      <c r="K2386" s="127" t="s">
        <v>3797</v>
      </c>
      <c r="L2386" s="151" t="s">
        <v>1579</v>
      </c>
      <c r="M2386">
        <v>661</v>
      </c>
      <c r="N2386" s="123">
        <v>17</v>
      </c>
      <c r="O2386">
        <v>1556</v>
      </c>
      <c r="P2386" s="132" t="s">
        <v>77</v>
      </c>
      <c r="Q2386" s="131">
        <v>913.79</v>
      </c>
      <c r="R2386" s="131">
        <v>146.2064</v>
      </c>
      <c r="S2386" s="131"/>
      <c r="T2386" s="155"/>
      <c r="U2386" s="131"/>
      <c r="V2386" s="131">
        <v>1059.9964</v>
      </c>
      <c r="W2386">
        <v>93</v>
      </c>
      <c r="X2386" s="151" t="s">
        <v>1644</v>
      </c>
      <c r="Y2386" s="135" t="s">
        <v>55</v>
      </c>
      <c r="Z2386" s="307">
        <v>226</v>
      </c>
      <c r="AB2386" t="str">
        <f>IF(Table1[[#This Row],[TIPO2]]="costo", VLOOKUP(Table1[[#This Row],[PARTIDA PRESUPUESTAL]],'Cost Report'!G:G,1,0),"Balance")</f>
        <v>3901-049</v>
      </c>
      <c r="AC2386" s="118"/>
      <c r="AD2386" s="159">
        <f>+Table1[[#This Row],[SUBTOTAL]]+Table1[[#This Row],[IVA]]-Table1[[#This Row],[RET IVA]]-Table1[[#This Row],[RET ISR]]-Table1[[#This Row],[TOTAL]]</f>
        <v>0</v>
      </c>
      <c r="AE2386" s="150"/>
      <c r="AF2386" s="151"/>
      <c r="AG2386" s="126" t="s">
        <v>3420</v>
      </c>
      <c r="AK2386" s="306" t="str">
        <f>IF(ISNUMBER(Table1[[#This Row],[FECHA DE RECIBIDO]]), Table1[[#This Row],[FECHA DE RECIBIDO]]-DATE(2023,8,30), "")</f>
        <v/>
      </c>
    </row>
    <row r="2387" spans="1:37" ht="16.05" customHeight="1">
      <c r="A2387" s="152" t="s">
        <v>3772</v>
      </c>
      <c r="B2387" s="153">
        <v>796</v>
      </c>
      <c r="C2387" s="126" t="s">
        <v>2953</v>
      </c>
      <c r="D2387">
        <v>1593</v>
      </c>
      <c r="E2387" s="126" t="s">
        <v>2075</v>
      </c>
      <c r="F2387" s="125" t="s">
        <v>2062</v>
      </c>
      <c r="G2387" s="125" t="e">
        <v>#N/A</v>
      </c>
      <c r="H2387">
        <v>146</v>
      </c>
      <c r="I2387" s="125" t="s">
        <v>1546</v>
      </c>
      <c r="J2387" s="308" t="s">
        <v>214</v>
      </c>
      <c r="K2387" s="127" t="s">
        <v>3797</v>
      </c>
      <c r="L2387" s="153" t="s">
        <v>1579</v>
      </c>
      <c r="M2387">
        <v>661</v>
      </c>
      <c r="N2387" s="123">
        <v>17</v>
      </c>
      <c r="O2387">
        <v>1557</v>
      </c>
      <c r="P2387" s="132" t="s">
        <v>77</v>
      </c>
      <c r="Q2387" s="132">
        <v>913.79</v>
      </c>
      <c r="R2387" s="132">
        <v>146.2064</v>
      </c>
      <c r="S2387" s="132"/>
      <c r="T2387" s="156"/>
      <c r="U2387" s="132"/>
      <c r="V2387" s="132">
        <v>1059.9964</v>
      </c>
      <c r="W2387">
        <v>93</v>
      </c>
      <c r="X2387" s="153" t="s">
        <v>1644</v>
      </c>
      <c r="Y2387" s="124" t="s">
        <v>55</v>
      </c>
      <c r="Z2387" s="308">
        <v>226</v>
      </c>
      <c r="AB2387" t="str">
        <f>IF(Table1[[#This Row],[TIPO2]]="costo", VLOOKUP(Table1[[#This Row],[PARTIDA PRESUPUESTAL]],'Cost Report'!G:G,1,0),"Balance")</f>
        <v>3901-049</v>
      </c>
      <c r="AC2387" s="118"/>
      <c r="AD2387" s="159">
        <f>+Table1[[#This Row],[SUBTOTAL]]+Table1[[#This Row],[IVA]]-Table1[[#This Row],[RET IVA]]-Table1[[#This Row],[RET ISR]]-Table1[[#This Row],[TOTAL]]</f>
        <v>0</v>
      </c>
      <c r="AE2387" s="152"/>
      <c r="AF2387" s="153"/>
      <c r="AG2387" s="126" t="s">
        <v>3420</v>
      </c>
      <c r="AK2387" s="306" t="str">
        <f>IF(ISNUMBER(Table1[[#This Row],[FECHA DE RECIBIDO]]), Table1[[#This Row],[FECHA DE RECIBIDO]]-DATE(2023,8,30), "")</f>
        <v/>
      </c>
    </row>
    <row r="2388" spans="1:37" ht="16.05" customHeight="1">
      <c r="A2388" s="150" t="s">
        <v>3772</v>
      </c>
      <c r="B2388" s="151">
        <v>796</v>
      </c>
      <c r="C2388" s="126" t="s">
        <v>2953</v>
      </c>
      <c r="D2388">
        <v>1594</v>
      </c>
      <c r="E2388" s="126" t="s">
        <v>2075</v>
      </c>
      <c r="F2388" s="122" t="s">
        <v>2062</v>
      </c>
      <c r="G2388" s="122" t="e">
        <v>#N/A</v>
      </c>
      <c r="H2388">
        <v>146</v>
      </c>
      <c r="I2388" s="122" t="s">
        <v>1546</v>
      </c>
      <c r="J2388" s="307" t="s">
        <v>214</v>
      </c>
      <c r="K2388" s="127" t="s">
        <v>3797</v>
      </c>
      <c r="L2388" s="151" t="s">
        <v>1579</v>
      </c>
      <c r="M2388">
        <v>661</v>
      </c>
      <c r="N2388" s="123">
        <v>17</v>
      </c>
      <c r="O2388">
        <v>1558</v>
      </c>
      <c r="P2388" s="132" t="s">
        <v>77</v>
      </c>
      <c r="Q2388" s="131">
        <v>913.79</v>
      </c>
      <c r="R2388" s="131">
        <v>146.2064</v>
      </c>
      <c r="S2388" s="131"/>
      <c r="T2388" s="155"/>
      <c r="U2388" s="131"/>
      <c r="V2388" s="131">
        <v>1059.9964</v>
      </c>
      <c r="W2388">
        <v>93</v>
      </c>
      <c r="X2388" s="151" t="s">
        <v>1644</v>
      </c>
      <c r="Y2388" s="135" t="s">
        <v>55</v>
      </c>
      <c r="Z2388" s="307">
        <v>226</v>
      </c>
      <c r="AB2388" t="str">
        <f>IF(Table1[[#This Row],[TIPO2]]="costo", VLOOKUP(Table1[[#This Row],[PARTIDA PRESUPUESTAL]],'Cost Report'!G:G,1,0),"Balance")</f>
        <v>3901-049</v>
      </c>
      <c r="AC2388" s="118"/>
      <c r="AD2388" s="159">
        <f>+Table1[[#This Row],[SUBTOTAL]]+Table1[[#This Row],[IVA]]-Table1[[#This Row],[RET IVA]]-Table1[[#This Row],[RET ISR]]-Table1[[#This Row],[TOTAL]]</f>
        <v>0</v>
      </c>
      <c r="AE2388" s="150"/>
      <c r="AF2388" s="151"/>
      <c r="AG2388" s="126" t="s">
        <v>3420</v>
      </c>
      <c r="AK2388" s="306" t="str">
        <f>IF(ISNUMBER(Table1[[#This Row],[FECHA DE RECIBIDO]]), Table1[[#This Row],[FECHA DE RECIBIDO]]-DATE(2023,8,30), "")</f>
        <v/>
      </c>
    </row>
    <row r="2389" spans="1:37" ht="16.05" customHeight="1">
      <c r="A2389" s="152" t="s">
        <v>3772</v>
      </c>
      <c r="B2389" s="153">
        <v>796</v>
      </c>
      <c r="C2389" s="126" t="s">
        <v>2953</v>
      </c>
      <c r="D2389">
        <v>1595</v>
      </c>
      <c r="E2389" s="126" t="s">
        <v>2075</v>
      </c>
      <c r="F2389" s="125" t="s">
        <v>2062</v>
      </c>
      <c r="G2389" s="125" t="e">
        <v>#N/A</v>
      </c>
      <c r="H2389">
        <v>146</v>
      </c>
      <c r="I2389" s="125" t="s">
        <v>1546</v>
      </c>
      <c r="J2389" s="308" t="s">
        <v>214</v>
      </c>
      <c r="K2389" s="127" t="s">
        <v>3797</v>
      </c>
      <c r="L2389" s="153" t="s">
        <v>1579</v>
      </c>
      <c r="M2389">
        <v>661</v>
      </c>
      <c r="N2389" s="123">
        <v>17</v>
      </c>
      <c r="O2389">
        <v>1559</v>
      </c>
      <c r="P2389" s="132" t="s">
        <v>77</v>
      </c>
      <c r="Q2389" s="132">
        <v>913.79</v>
      </c>
      <c r="R2389" s="132">
        <v>146.2064</v>
      </c>
      <c r="S2389" s="132"/>
      <c r="T2389" s="156"/>
      <c r="U2389" s="132"/>
      <c r="V2389" s="132">
        <v>1059.9964</v>
      </c>
      <c r="W2389">
        <v>93</v>
      </c>
      <c r="X2389" s="153" t="s">
        <v>1644</v>
      </c>
      <c r="Y2389" s="124" t="s">
        <v>55</v>
      </c>
      <c r="Z2389" s="308">
        <v>226</v>
      </c>
      <c r="AB2389" t="str">
        <f>IF(Table1[[#This Row],[TIPO2]]="costo", VLOOKUP(Table1[[#This Row],[PARTIDA PRESUPUESTAL]],'Cost Report'!G:G,1,0),"Balance")</f>
        <v>3901-049</v>
      </c>
      <c r="AC2389" s="118"/>
      <c r="AD2389" s="159">
        <f>+Table1[[#This Row],[SUBTOTAL]]+Table1[[#This Row],[IVA]]-Table1[[#This Row],[RET IVA]]-Table1[[#This Row],[RET ISR]]-Table1[[#This Row],[TOTAL]]</f>
        <v>0</v>
      </c>
      <c r="AE2389" s="152"/>
      <c r="AF2389" s="153"/>
      <c r="AG2389" s="126" t="s">
        <v>3420</v>
      </c>
      <c r="AK2389" s="306" t="str">
        <f>IF(ISNUMBER(Table1[[#This Row],[FECHA DE RECIBIDO]]), Table1[[#This Row],[FECHA DE RECIBIDO]]-DATE(2023,8,30), "")</f>
        <v/>
      </c>
    </row>
    <row r="2390" spans="1:37" ht="16.05" customHeight="1">
      <c r="A2390" s="150" t="s">
        <v>3772</v>
      </c>
      <c r="B2390" s="151">
        <v>796</v>
      </c>
      <c r="C2390" s="126" t="s">
        <v>977</v>
      </c>
      <c r="D2390">
        <v>1596</v>
      </c>
      <c r="E2390" s="126" t="s">
        <v>1999</v>
      </c>
      <c r="F2390" s="122" t="s">
        <v>1607</v>
      </c>
      <c r="G2390" s="122" t="s">
        <v>134</v>
      </c>
      <c r="H2390">
        <v>471</v>
      </c>
      <c r="I2390" s="122" t="s">
        <v>1546</v>
      </c>
      <c r="J2390" s="307" t="s">
        <v>214</v>
      </c>
      <c r="K2390" s="127" t="s">
        <v>3797</v>
      </c>
      <c r="L2390" s="151" t="s">
        <v>1579</v>
      </c>
      <c r="M2390">
        <v>662</v>
      </c>
      <c r="N2390" s="123">
        <v>17</v>
      </c>
      <c r="O2390">
        <v>1560</v>
      </c>
      <c r="P2390" s="132" t="s">
        <v>77</v>
      </c>
      <c r="Q2390" s="131">
        <v>780.01</v>
      </c>
      <c r="R2390" s="131"/>
      <c r="S2390" s="131"/>
      <c r="T2390" s="155"/>
      <c r="U2390" s="131"/>
      <c r="V2390" s="131">
        <v>780.01</v>
      </c>
      <c r="W2390">
        <v>93</v>
      </c>
      <c r="X2390" s="151" t="s">
        <v>1644</v>
      </c>
      <c r="Y2390" s="135" t="s">
        <v>55</v>
      </c>
      <c r="Z2390" s="307">
        <v>226</v>
      </c>
      <c r="AB2390" t="str">
        <f>IF(Table1[[#This Row],[TIPO2]]="costo", VLOOKUP(Table1[[#This Row],[PARTIDA PRESUPUESTAL]],'Cost Report'!G:G,1,0),"Balance")</f>
        <v>3410-012</v>
      </c>
      <c r="AC2390" s="118"/>
      <c r="AD2390" s="159">
        <f>+Table1[[#This Row],[SUBTOTAL]]+Table1[[#This Row],[IVA]]-Table1[[#This Row],[RET IVA]]-Table1[[#This Row],[RET ISR]]-Table1[[#This Row],[TOTAL]]</f>
        <v>0</v>
      </c>
      <c r="AE2390" s="150"/>
      <c r="AF2390" s="151"/>
      <c r="AG2390" s="126" t="s">
        <v>3420</v>
      </c>
      <c r="AK2390" s="306" t="str">
        <f>IF(ISNUMBER(Table1[[#This Row],[FECHA DE RECIBIDO]]), Table1[[#This Row],[FECHA DE RECIBIDO]]-DATE(2023,8,30), "")</f>
        <v/>
      </c>
    </row>
    <row r="2391" spans="1:37" ht="16.05" customHeight="1">
      <c r="A2391" s="152" t="s">
        <v>3772</v>
      </c>
      <c r="B2391" s="153">
        <v>796</v>
      </c>
      <c r="C2391" s="126" t="s">
        <v>399</v>
      </c>
      <c r="D2391">
        <v>1597</v>
      </c>
      <c r="E2391" s="126" t="s">
        <v>1598</v>
      </c>
      <c r="F2391" s="125" t="s">
        <v>1607</v>
      </c>
      <c r="G2391" s="125" t="s">
        <v>134</v>
      </c>
      <c r="H2391">
        <v>156</v>
      </c>
      <c r="I2391" s="125" t="s">
        <v>1546</v>
      </c>
      <c r="J2391" s="308" t="s">
        <v>214</v>
      </c>
      <c r="K2391" s="127" t="s">
        <v>3797</v>
      </c>
      <c r="L2391" s="153" t="s">
        <v>1579</v>
      </c>
      <c r="M2391">
        <v>207</v>
      </c>
      <c r="N2391" s="123">
        <v>17</v>
      </c>
      <c r="O2391">
        <v>1561</v>
      </c>
      <c r="P2391" s="132" t="s">
        <v>77</v>
      </c>
      <c r="Q2391" s="132">
        <v>2727.84</v>
      </c>
      <c r="R2391" s="132">
        <v>436.46</v>
      </c>
      <c r="S2391" s="132"/>
      <c r="T2391" s="156"/>
      <c r="U2391" s="132"/>
      <c r="V2391" s="132">
        <v>3164.3</v>
      </c>
      <c r="W2391">
        <v>93</v>
      </c>
      <c r="X2391" s="153" t="s">
        <v>1644</v>
      </c>
      <c r="Y2391" s="124" t="s">
        <v>55</v>
      </c>
      <c r="Z2391" s="308">
        <v>227</v>
      </c>
      <c r="AB2391" t="str">
        <f>IF(Table1[[#This Row],[TIPO2]]="costo", VLOOKUP(Table1[[#This Row],[PARTIDA PRESUPUESTAL]],'Cost Report'!G:G,1,0),"Balance")</f>
        <v>1621-003</v>
      </c>
      <c r="AC2391" s="118"/>
      <c r="AD2391" s="159">
        <f>+Table1[[#This Row],[SUBTOTAL]]+Table1[[#This Row],[IVA]]-Table1[[#This Row],[RET IVA]]-Table1[[#This Row],[RET ISR]]-Table1[[#This Row],[TOTAL]]</f>
        <v>0</v>
      </c>
      <c r="AE2391" s="152"/>
      <c r="AF2391" s="153"/>
      <c r="AG2391" s="126" t="s">
        <v>3420</v>
      </c>
      <c r="AK2391" s="306" t="str">
        <f>IF(ISNUMBER(Table1[[#This Row],[FECHA DE RECIBIDO]]), Table1[[#This Row],[FECHA DE RECIBIDO]]-DATE(2023,8,30), "")</f>
        <v/>
      </c>
    </row>
    <row r="2392" spans="1:37" ht="16.05" customHeight="1">
      <c r="A2392" s="150" t="s">
        <v>3772</v>
      </c>
      <c r="B2392" s="151">
        <v>796</v>
      </c>
      <c r="C2392" s="126" t="s">
        <v>399</v>
      </c>
      <c r="D2392">
        <v>1598</v>
      </c>
      <c r="E2392" s="126" t="s">
        <v>3356</v>
      </c>
      <c r="F2392" s="122" t="s">
        <v>1607</v>
      </c>
      <c r="G2392" s="122" t="s">
        <v>134</v>
      </c>
      <c r="H2392">
        <v>156</v>
      </c>
      <c r="I2392" s="122" t="s">
        <v>1546</v>
      </c>
      <c r="J2392" s="307" t="s">
        <v>214</v>
      </c>
      <c r="K2392" s="127" t="s">
        <v>3797</v>
      </c>
      <c r="L2392" s="151" t="s">
        <v>1579</v>
      </c>
      <c r="M2392">
        <v>207</v>
      </c>
      <c r="N2392" s="123">
        <v>17</v>
      </c>
      <c r="O2392">
        <v>1562</v>
      </c>
      <c r="P2392" s="132" t="s">
        <v>77</v>
      </c>
      <c r="Q2392" s="131">
        <v>1288.98</v>
      </c>
      <c r="R2392" s="131">
        <v>206.22</v>
      </c>
      <c r="S2392" s="131"/>
      <c r="T2392" s="155"/>
      <c r="U2392" s="131"/>
      <c r="V2392" s="131">
        <v>1495.2</v>
      </c>
      <c r="W2392">
        <v>93</v>
      </c>
      <c r="X2392" s="151" t="s">
        <v>1644</v>
      </c>
      <c r="Y2392" s="135" t="s">
        <v>55</v>
      </c>
      <c r="Z2392" s="307">
        <v>229</v>
      </c>
      <c r="AB2392" t="str">
        <f>IF(Table1[[#This Row],[TIPO2]]="costo", VLOOKUP(Table1[[#This Row],[PARTIDA PRESUPUESTAL]],'Cost Report'!G:G,1,0),"Balance")</f>
        <v>1621-003</v>
      </c>
      <c r="AC2392" s="118"/>
      <c r="AD2392" s="159">
        <f>+Table1[[#This Row],[SUBTOTAL]]+Table1[[#This Row],[IVA]]-Table1[[#This Row],[RET IVA]]-Table1[[#This Row],[RET ISR]]-Table1[[#This Row],[TOTAL]]</f>
        <v>0</v>
      </c>
      <c r="AE2392" s="150"/>
      <c r="AF2392" s="151"/>
      <c r="AG2392" s="126" t="s">
        <v>3420</v>
      </c>
      <c r="AK2392" s="306" t="str">
        <f>IF(ISNUMBER(Table1[[#This Row],[FECHA DE RECIBIDO]]), Table1[[#This Row],[FECHA DE RECIBIDO]]-DATE(2023,8,30), "")</f>
        <v/>
      </c>
    </row>
    <row r="2393" spans="1:37" ht="16.05" customHeight="1">
      <c r="A2393" s="152" t="s">
        <v>3772</v>
      </c>
      <c r="B2393" s="153">
        <v>796</v>
      </c>
      <c r="C2393" s="126" t="s">
        <v>1714</v>
      </c>
      <c r="D2393">
        <v>689</v>
      </c>
      <c r="E2393" s="126"/>
      <c r="F2393" s="125"/>
      <c r="G2393" s="125"/>
      <c r="H2393"/>
      <c r="I2393" s="125"/>
      <c r="J2393" s="308">
        <v>191</v>
      </c>
      <c r="K2393" s="127" t="s">
        <v>3797</v>
      </c>
      <c r="L2393" s="153" t="s">
        <v>1579</v>
      </c>
      <c r="M2393">
        <v>663</v>
      </c>
      <c r="N2393" s="123">
        <v>17</v>
      </c>
      <c r="O2393">
        <v>1563</v>
      </c>
      <c r="P2393" s="132" t="s">
        <v>77</v>
      </c>
      <c r="Q2393" s="132">
        <v>1767</v>
      </c>
      <c r="R2393" s="132"/>
      <c r="S2393" s="132"/>
      <c r="T2393" s="156"/>
      <c r="U2393" s="132"/>
      <c r="V2393" s="132">
        <v>1767</v>
      </c>
      <c r="W2393">
        <v>93</v>
      </c>
      <c r="X2393" s="153" t="s">
        <v>1644</v>
      </c>
      <c r="Y2393" s="124" t="s">
        <v>55</v>
      </c>
      <c r="Z2393" s="308">
        <v>191</v>
      </c>
      <c r="AB2393" t="str">
        <f>IF(Table1[[#This Row],[TIPO2]]="costo", VLOOKUP(Table1[[#This Row],[PARTIDA PRESUPUESTAL]],'Cost Report'!G:G,1,0),"Balance")</f>
        <v>1426-003</v>
      </c>
      <c r="AC2393" s="118"/>
      <c r="AD2393" s="159">
        <f>+Table1[[#This Row],[SUBTOTAL]]+Table1[[#This Row],[IVA]]-Table1[[#This Row],[RET IVA]]-Table1[[#This Row],[RET ISR]]-Table1[[#This Row],[TOTAL]]</f>
        <v>0</v>
      </c>
      <c r="AE2393" s="152"/>
      <c r="AF2393" s="153"/>
      <c r="AG2393" s="126" t="s">
        <v>3420</v>
      </c>
      <c r="AK2393" s="306">
        <f>IF(ISNUMBER(Table1[[#This Row],[FECHA DE RECIBIDO]]), Table1[[#This Row],[FECHA DE RECIBIDO]]-DATE(2023,8,30), "")</f>
        <v>-44977</v>
      </c>
    </row>
    <row r="2394" spans="1:37" ht="16.05" customHeight="1">
      <c r="A2394" s="150" t="s">
        <v>3772</v>
      </c>
      <c r="B2394" s="151">
        <v>796</v>
      </c>
      <c r="C2394" s="126" t="s">
        <v>2860</v>
      </c>
      <c r="D2394">
        <v>689</v>
      </c>
      <c r="E2394" s="126"/>
      <c r="F2394" s="122"/>
      <c r="G2394" s="122"/>
      <c r="H2394"/>
      <c r="I2394" s="122"/>
      <c r="J2394" s="307">
        <v>201</v>
      </c>
      <c r="K2394" s="127" t="s">
        <v>3797</v>
      </c>
      <c r="L2394" s="151" t="s">
        <v>1579</v>
      </c>
      <c r="M2394">
        <v>664</v>
      </c>
      <c r="N2394" s="123">
        <v>17</v>
      </c>
      <c r="O2394">
        <v>1564</v>
      </c>
      <c r="P2394" s="132" t="s">
        <v>77</v>
      </c>
      <c r="Q2394" s="131">
        <v>170</v>
      </c>
      <c r="R2394" s="131"/>
      <c r="S2394" s="131"/>
      <c r="T2394" s="155"/>
      <c r="U2394" s="131"/>
      <c r="V2394" s="131">
        <v>170</v>
      </c>
      <c r="W2394">
        <v>93</v>
      </c>
      <c r="X2394" s="151" t="s">
        <v>1644</v>
      </c>
      <c r="Y2394" s="135" t="s">
        <v>55</v>
      </c>
      <c r="Z2394" s="307">
        <v>201</v>
      </c>
      <c r="AB2394" t="str">
        <f>IF(Table1[[#This Row],[TIPO2]]="costo", VLOOKUP(Table1[[#This Row],[PARTIDA PRESUPUESTAL]],'Cost Report'!G:G,1,0),"Balance")</f>
        <v>3629-003</v>
      </c>
      <c r="AC2394" s="118"/>
      <c r="AD2394" s="159">
        <f>+Table1[[#This Row],[SUBTOTAL]]+Table1[[#This Row],[IVA]]-Table1[[#This Row],[RET IVA]]-Table1[[#This Row],[RET ISR]]-Table1[[#This Row],[TOTAL]]</f>
        <v>0</v>
      </c>
      <c r="AE2394" s="150"/>
      <c r="AF2394" s="151"/>
      <c r="AG2394" s="126" t="s">
        <v>3420</v>
      </c>
      <c r="AK2394" s="306">
        <f>IF(ISNUMBER(Table1[[#This Row],[FECHA DE RECIBIDO]]), Table1[[#This Row],[FECHA DE RECIBIDO]]-DATE(2023,8,30), "")</f>
        <v>-44967</v>
      </c>
    </row>
    <row r="2395" spans="1:37" ht="16.05" customHeight="1">
      <c r="A2395" s="152" t="s">
        <v>3772</v>
      </c>
      <c r="B2395" s="153">
        <v>796</v>
      </c>
      <c r="C2395" s="126" t="s">
        <v>2860</v>
      </c>
      <c r="D2395">
        <v>689</v>
      </c>
      <c r="E2395" s="126"/>
      <c r="F2395" s="125"/>
      <c r="G2395" s="125"/>
      <c r="H2395"/>
      <c r="I2395" s="125"/>
      <c r="J2395" s="308">
        <v>201</v>
      </c>
      <c r="K2395" s="127" t="s">
        <v>3797</v>
      </c>
      <c r="L2395" s="153" t="s">
        <v>1579</v>
      </c>
      <c r="M2395">
        <v>664</v>
      </c>
      <c r="N2395" s="123">
        <v>17</v>
      </c>
      <c r="O2395">
        <v>1564</v>
      </c>
      <c r="P2395" s="132" t="s">
        <v>77</v>
      </c>
      <c r="Q2395" s="132">
        <v>170</v>
      </c>
      <c r="R2395" s="132"/>
      <c r="S2395" s="132"/>
      <c r="T2395" s="156"/>
      <c r="U2395" s="132"/>
      <c r="V2395" s="132">
        <v>170</v>
      </c>
      <c r="W2395">
        <v>93</v>
      </c>
      <c r="X2395" s="153" t="s">
        <v>1644</v>
      </c>
      <c r="Y2395" s="124" t="s">
        <v>55</v>
      </c>
      <c r="Z2395" s="308">
        <v>201</v>
      </c>
      <c r="AB2395" t="str">
        <f>IF(Table1[[#This Row],[TIPO2]]="costo", VLOOKUP(Table1[[#This Row],[PARTIDA PRESUPUESTAL]],'Cost Report'!G:G,1,0),"Balance")</f>
        <v>3629-003</v>
      </c>
      <c r="AC2395" s="118"/>
      <c r="AD2395" s="159">
        <f>+Table1[[#This Row],[SUBTOTAL]]+Table1[[#This Row],[IVA]]-Table1[[#This Row],[RET IVA]]-Table1[[#This Row],[RET ISR]]-Table1[[#This Row],[TOTAL]]</f>
        <v>0</v>
      </c>
      <c r="AE2395" s="152"/>
      <c r="AF2395" s="153"/>
      <c r="AG2395" s="126" t="s">
        <v>3420</v>
      </c>
      <c r="AK2395" s="306">
        <f>IF(ISNUMBER(Table1[[#This Row],[FECHA DE RECIBIDO]]), Table1[[#This Row],[FECHA DE RECIBIDO]]-DATE(2023,8,30), "")</f>
        <v>-44967</v>
      </c>
    </row>
    <row r="2396" spans="1:37" ht="16.05" customHeight="1">
      <c r="A2396" s="150" t="s">
        <v>3772</v>
      </c>
      <c r="B2396" s="151">
        <v>796</v>
      </c>
      <c r="C2396" s="126" t="s">
        <v>2860</v>
      </c>
      <c r="D2396">
        <v>689</v>
      </c>
      <c r="E2396" s="126"/>
      <c r="F2396" s="122"/>
      <c r="G2396" s="122"/>
      <c r="H2396"/>
      <c r="I2396" s="122"/>
      <c r="J2396" s="307">
        <v>201</v>
      </c>
      <c r="K2396" s="127" t="s">
        <v>3797</v>
      </c>
      <c r="L2396" s="151" t="s">
        <v>1579</v>
      </c>
      <c r="M2396">
        <v>665</v>
      </c>
      <c r="N2396" s="123">
        <v>17</v>
      </c>
      <c r="O2396">
        <v>1564</v>
      </c>
      <c r="P2396" s="132" t="s">
        <v>77</v>
      </c>
      <c r="Q2396" s="131">
        <v>54</v>
      </c>
      <c r="R2396" s="131"/>
      <c r="S2396" s="131"/>
      <c r="T2396" s="155"/>
      <c r="U2396" s="131"/>
      <c r="V2396" s="131">
        <v>54</v>
      </c>
      <c r="W2396">
        <v>93</v>
      </c>
      <c r="X2396" s="151" t="s">
        <v>1644</v>
      </c>
      <c r="Y2396" s="135" t="s">
        <v>55</v>
      </c>
      <c r="Z2396" s="307">
        <v>201</v>
      </c>
      <c r="AB2396" t="str">
        <f>IF(Table1[[#This Row],[TIPO2]]="costo", VLOOKUP(Table1[[#This Row],[PARTIDA PRESUPUESTAL]],'Cost Report'!G:G,1,0),"Balance")</f>
        <v>3629-003</v>
      </c>
      <c r="AC2396" s="118"/>
      <c r="AD2396" s="159">
        <f>+Table1[[#This Row],[SUBTOTAL]]+Table1[[#This Row],[IVA]]-Table1[[#This Row],[RET IVA]]-Table1[[#This Row],[RET ISR]]-Table1[[#This Row],[TOTAL]]</f>
        <v>0</v>
      </c>
      <c r="AE2396" s="150"/>
      <c r="AF2396" s="151"/>
      <c r="AG2396" s="126" t="s">
        <v>3420</v>
      </c>
      <c r="AK2396" s="306">
        <f>IF(ISNUMBER(Table1[[#This Row],[FECHA DE RECIBIDO]]), Table1[[#This Row],[FECHA DE RECIBIDO]]-DATE(2023,8,30), "")</f>
        <v>-44967</v>
      </c>
    </row>
    <row r="2397" spans="1:37" ht="16.05" customHeight="1">
      <c r="A2397" s="152" t="s">
        <v>3772</v>
      </c>
      <c r="B2397" s="153">
        <v>796</v>
      </c>
      <c r="C2397" s="126" t="s">
        <v>2860</v>
      </c>
      <c r="D2397">
        <v>689</v>
      </c>
      <c r="E2397" s="126"/>
      <c r="F2397" s="125"/>
      <c r="G2397" s="125"/>
      <c r="H2397"/>
      <c r="I2397" s="125"/>
      <c r="J2397" s="308">
        <v>201</v>
      </c>
      <c r="K2397" s="127" t="s">
        <v>3797</v>
      </c>
      <c r="L2397" s="153" t="s">
        <v>1579</v>
      </c>
      <c r="M2397">
        <v>604</v>
      </c>
      <c r="N2397" s="123">
        <v>17</v>
      </c>
      <c r="O2397">
        <v>1564</v>
      </c>
      <c r="P2397" s="132" t="s">
        <v>77</v>
      </c>
      <c r="Q2397" s="132">
        <v>68</v>
      </c>
      <c r="R2397" s="132"/>
      <c r="S2397" s="132"/>
      <c r="T2397" s="156"/>
      <c r="U2397" s="132"/>
      <c r="V2397" s="132">
        <v>68</v>
      </c>
      <c r="W2397">
        <v>93</v>
      </c>
      <c r="X2397" s="153" t="s">
        <v>1644</v>
      </c>
      <c r="Y2397" s="124" t="s">
        <v>55</v>
      </c>
      <c r="Z2397" s="308">
        <v>201</v>
      </c>
      <c r="AB2397" t="str">
        <f>IF(Table1[[#This Row],[TIPO2]]="costo", VLOOKUP(Table1[[#This Row],[PARTIDA PRESUPUESTAL]],'Cost Report'!G:G,1,0),"Balance")</f>
        <v>3629-003</v>
      </c>
      <c r="AC2397" s="118"/>
      <c r="AD2397" s="159">
        <f>+Table1[[#This Row],[SUBTOTAL]]+Table1[[#This Row],[IVA]]-Table1[[#This Row],[RET IVA]]-Table1[[#This Row],[RET ISR]]-Table1[[#This Row],[TOTAL]]</f>
        <v>0</v>
      </c>
      <c r="AE2397" s="152"/>
      <c r="AF2397" s="153"/>
      <c r="AG2397" s="126" t="s">
        <v>3420</v>
      </c>
      <c r="AK2397" s="306">
        <f>IF(ISNUMBER(Table1[[#This Row],[FECHA DE RECIBIDO]]), Table1[[#This Row],[FECHA DE RECIBIDO]]-DATE(2023,8,30), "")</f>
        <v>-44967</v>
      </c>
    </row>
    <row r="2398" spans="1:37" ht="16.05" customHeight="1">
      <c r="A2398" s="150" t="s">
        <v>3772</v>
      </c>
      <c r="B2398" s="151">
        <v>796</v>
      </c>
      <c r="C2398" s="126" t="s">
        <v>2860</v>
      </c>
      <c r="D2398">
        <v>689</v>
      </c>
      <c r="E2398" s="126"/>
      <c r="F2398" s="122"/>
      <c r="G2398" s="122"/>
      <c r="H2398"/>
      <c r="I2398" s="122"/>
      <c r="J2398" s="307">
        <v>201</v>
      </c>
      <c r="K2398" s="127" t="s">
        <v>3797</v>
      </c>
      <c r="L2398" s="151" t="s">
        <v>1579</v>
      </c>
      <c r="M2398">
        <v>666</v>
      </c>
      <c r="N2398" s="123">
        <v>17</v>
      </c>
      <c r="O2398">
        <v>1564</v>
      </c>
      <c r="P2398" s="132" t="s">
        <v>77</v>
      </c>
      <c r="Q2398" s="131">
        <v>105</v>
      </c>
      <c r="R2398" s="131"/>
      <c r="S2398" s="131"/>
      <c r="T2398" s="155"/>
      <c r="U2398" s="131"/>
      <c r="V2398" s="131">
        <v>105</v>
      </c>
      <c r="W2398">
        <v>93</v>
      </c>
      <c r="X2398" s="151" t="s">
        <v>1644</v>
      </c>
      <c r="Y2398" s="135" t="s">
        <v>55</v>
      </c>
      <c r="Z2398" s="307">
        <v>201</v>
      </c>
      <c r="AB2398" t="str">
        <f>IF(Table1[[#This Row],[TIPO2]]="costo", VLOOKUP(Table1[[#This Row],[PARTIDA PRESUPUESTAL]],'Cost Report'!G:G,1,0),"Balance")</f>
        <v>3629-003</v>
      </c>
      <c r="AC2398" s="118"/>
      <c r="AD2398" s="159">
        <f>+Table1[[#This Row],[SUBTOTAL]]+Table1[[#This Row],[IVA]]-Table1[[#This Row],[RET IVA]]-Table1[[#This Row],[RET ISR]]-Table1[[#This Row],[TOTAL]]</f>
        <v>0</v>
      </c>
      <c r="AE2398" s="150"/>
      <c r="AF2398" s="151"/>
      <c r="AG2398" s="126" t="s">
        <v>3420</v>
      </c>
      <c r="AK2398" s="306">
        <f>IF(ISNUMBER(Table1[[#This Row],[FECHA DE RECIBIDO]]), Table1[[#This Row],[FECHA DE RECIBIDO]]-DATE(2023,8,30), "")</f>
        <v>-44967</v>
      </c>
    </row>
    <row r="2399" spans="1:37" ht="16.05" customHeight="1">
      <c r="A2399" s="152" t="s">
        <v>3772</v>
      </c>
      <c r="B2399" s="153">
        <v>796</v>
      </c>
      <c r="C2399" s="126" t="s">
        <v>2860</v>
      </c>
      <c r="D2399">
        <v>689</v>
      </c>
      <c r="E2399" s="126"/>
      <c r="F2399" s="125"/>
      <c r="G2399" s="125"/>
      <c r="H2399"/>
      <c r="I2399" s="125"/>
      <c r="J2399" s="308">
        <v>201</v>
      </c>
      <c r="K2399" s="127" t="s">
        <v>3797</v>
      </c>
      <c r="L2399" s="153" t="s">
        <v>1579</v>
      </c>
      <c r="M2399">
        <v>601</v>
      </c>
      <c r="N2399" s="123">
        <v>17</v>
      </c>
      <c r="O2399">
        <v>1564</v>
      </c>
      <c r="P2399" s="132" t="s">
        <v>77</v>
      </c>
      <c r="Q2399" s="132">
        <v>54</v>
      </c>
      <c r="R2399" s="132"/>
      <c r="S2399" s="132"/>
      <c r="T2399" s="156"/>
      <c r="U2399" s="132"/>
      <c r="V2399" s="132">
        <v>54</v>
      </c>
      <c r="W2399">
        <v>93</v>
      </c>
      <c r="X2399" s="153" t="s">
        <v>1644</v>
      </c>
      <c r="Y2399" s="124" t="s">
        <v>55</v>
      </c>
      <c r="Z2399" s="308">
        <v>201</v>
      </c>
      <c r="AB2399" t="str">
        <f>IF(Table1[[#This Row],[TIPO2]]="costo", VLOOKUP(Table1[[#This Row],[PARTIDA PRESUPUESTAL]],'Cost Report'!G:G,1,0),"Balance")</f>
        <v>3629-003</v>
      </c>
      <c r="AC2399" s="118"/>
      <c r="AD2399" s="159">
        <f>+Table1[[#This Row],[SUBTOTAL]]+Table1[[#This Row],[IVA]]-Table1[[#This Row],[RET IVA]]-Table1[[#This Row],[RET ISR]]-Table1[[#This Row],[TOTAL]]</f>
        <v>0</v>
      </c>
      <c r="AE2399" s="152"/>
      <c r="AF2399" s="153"/>
      <c r="AG2399" s="126" t="s">
        <v>3420</v>
      </c>
      <c r="AK2399" s="306">
        <f>IF(ISNUMBER(Table1[[#This Row],[FECHA DE RECIBIDO]]), Table1[[#This Row],[FECHA DE RECIBIDO]]-DATE(2023,8,30), "")</f>
        <v>-44967</v>
      </c>
    </row>
    <row r="2400" spans="1:37" ht="16.05" customHeight="1">
      <c r="A2400" s="150" t="s">
        <v>3772</v>
      </c>
      <c r="B2400" s="151">
        <v>796</v>
      </c>
      <c r="C2400" s="126" t="s">
        <v>2860</v>
      </c>
      <c r="D2400">
        <v>689</v>
      </c>
      <c r="E2400" s="126"/>
      <c r="F2400" s="122"/>
      <c r="G2400" s="122"/>
      <c r="H2400"/>
      <c r="I2400" s="122"/>
      <c r="J2400" s="307">
        <v>201</v>
      </c>
      <c r="K2400" s="127" t="s">
        <v>3797</v>
      </c>
      <c r="L2400" s="151" t="s">
        <v>1579</v>
      </c>
      <c r="M2400">
        <v>667</v>
      </c>
      <c r="N2400" s="123">
        <v>17</v>
      </c>
      <c r="O2400">
        <v>1564</v>
      </c>
      <c r="P2400" s="132" t="s">
        <v>77</v>
      </c>
      <c r="Q2400" s="131">
        <v>103</v>
      </c>
      <c r="R2400" s="131"/>
      <c r="S2400" s="131"/>
      <c r="T2400" s="155"/>
      <c r="U2400" s="131"/>
      <c r="V2400" s="131">
        <v>103</v>
      </c>
      <c r="W2400">
        <v>93</v>
      </c>
      <c r="X2400" s="151" t="s">
        <v>1644</v>
      </c>
      <c r="Y2400" s="135" t="s">
        <v>55</v>
      </c>
      <c r="Z2400" s="307">
        <v>201</v>
      </c>
      <c r="AB2400" t="str">
        <f>IF(Table1[[#This Row],[TIPO2]]="costo", VLOOKUP(Table1[[#This Row],[PARTIDA PRESUPUESTAL]],'Cost Report'!G:G,1,0),"Balance")</f>
        <v>3629-003</v>
      </c>
      <c r="AC2400" s="118"/>
      <c r="AD2400" s="159">
        <f>+Table1[[#This Row],[SUBTOTAL]]+Table1[[#This Row],[IVA]]-Table1[[#This Row],[RET IVA]]-Table1[[#This Row],[RET ISR]]-Table1[[#This Row],[TOTAL]]</f>
        <v>0</v>
      </c>
      <c r="AE2400" s="150"/>
      <c r="AF2400" s="151"/>
      <c r="AG2400" s="126" t="s">
        <v>3420</v>
      </c>
      <c r="AK2400" s="306">
        <f>IF(ISNUMBER(Table1[[#This Row],[FECHA DE RECIBIDO]]), Table1[[#This Row],[FECHA DE RECIBIDO]]-DATE(2023,8,30), "")</f>
        <v>-44967</v>
      </c>
    </row>
    <row r="2401" spans="1:37">
      <c r="A2401" s="152" t="s">
        <v>3772</v>
      </c>
      <c r="B2401" s="153">
        <v>796</v>
      </c>
      <c r="C2401" s="126" t="s">
        <v>3103</v>
      </c>
      <c r="D2401">
        <v>689</v>
      </c>
      <c r="E2401" s="126"/>
      <c r="F2401" s="125"/>
      <c r="G2401" s="125"/>
      <c r="H2401"/>
      <c r="I2401" s="125"/>
      <c r="J2401" s="308">
        <v>223</v>
      </c>
      <c r="K2401" s="127" t="s">
        <v>3797</v>
      </c>
      <c r="L2401" s="153" t="s">
        <v>1579</v>
      </c>
      <c r="M2401">
        <v>668</v>
      </c>
      <c r="N2401" s="123">
        <v>17</v>
      </c>
      <c r="O2401">
        <v>162</v>
      </c>
      <c r="P2401" s="132" t="s">
        <v>77</v>
      </c>
      <c r="Q2401" s="132">
        <v>30.74</v>
      </c>
      <c r="R2401" s="132"/>
      <c r="S2401" s="132"/>
      <c r="T2401" s="156"/>
      <c r="U2401" s="132"/>
      <c r="V2401" s="132">
        <v>30.74</v>
      </c>
      <c r="W2401">
        <v>93</v>
      </c>
      <c r="X2401" s="153" t="s">
        <v>1644</v>
      </c>
      <c r="Y2401" s="124" t="s">
        <v>55</v>
      </c>
      <c r="Z2401" s="308">
        <v>223</v>
      </c>
      <c r="AB2401" t="str">
        <f>IF(Table1[[#This Row],[TIPO2]]="costo", VLOOKUP(Table1[[#This Row],[PARTIDA PRESUPUESTAL]],'Cost Report'!G:G,1,0),"Balance")</f>
        <v>7038-009</v>
      </c>
      <c r="AC2401" s="118"/>
      <c r="AD2401" s="159">
        <f>+Table1[[#This Row],[SUBTOTAL]]+Table1[[#This Row],[IVA]]-Table1[[#This Row],[RET IVA]]-Table1[[#This Row],[RET ISR]]-Table1[[#This Row],[TOTAL]]</f>
        <v>0</v>
      </c>
      <c r="AE2401" s="152"/>
      <c r="AF2401" s="153"/>
      <c r="AG2401" s="126" t="s">
        <v>3420</v>
      </c>
      <c r="AK2401" s="306">
        <f>IF(ISNUMBER(Table1[[#This Row],[FECHA DE RECIBIDO]]), Table1[[#This Row],[FECHA DE RECIBIDO]]-DATE(2023,8,30), "")</f>
        <v>-44945</v>
      </c>
    </row>
    <row r="2402" spans="1:37">
      <c r="A2402" s="150" t="s">
        <v>3772</v>
      </c>
      <c r="B2402" s="151">
        <v>796</v>
      </c>
      <c r="C2402" s="126" t="s">
        <v>3103</v>
      </c>
      <c r="D2402">
        <v>689</v>
      </c>
      <c r="E2402" s="126"/>
      <c r="F2402" s="122"/>
      <c r="G2402" s="122"/>
      <c r="H2402"/>
      <c r="I2402" s="122"/>
      <c r="J2402" s="307">
        <v>225</v>
      </c>
      <c r="K2402" s="127" t="s">
        <v>3797</v>
      </c>
      <c r="L2402" s="151" t="s">
        <v>1579</v>
      </c>
      <c r="M2402">
        <v>668</v>
      </c>
      <c r="N2402" s="123">
        <v>17</v>
      </c>
      <c r="O2402">
        <v>162</v>
      </c>
      <c r="P2402" s="132" t="s">
        <v>77</v>
      </c>
      <c r="Q2402" s="131">
        <v>30.74</v>
      </c>
      <c r="R2402" s="131"/>
      <c r="S2402" s="131"/>
      <c r="T2402" s="155"/>
      <c r="U2402" s="131"/>
      <c r="V2402" s="131">
        <v>30.74</v>
      </c>
      <c r="W2402">
        <v>93</v>
      </c>
      <c r="X2402" s="151" t="s">
        <v>1644</v>
      </c>
      <c r="Y2402" s="135" t="s">
        <v>55</v>
      </c>
      <c r="Z2402" s="307">
        <v>225</v>
      </c>
      <c r="AB2402" t="str">
        <f>IF(Table1[[#This Row],[TIPO2]]="costo", VLOOKUP(Table1[[#This Row],[PARTIDA PRESUPUESTAL]],'Cost Report'!G:G,1,0),"Balance")</f>
        <v>7038-009</v>
      </c>
      <c r="AC2402" s="118"/>
      <c r="AD2402" s="159">
        <f>+Table1[[#This Row],[SUBTOTAL]]+Table1[[#This Row],[IVA]]-Table1[[#This Row],[RET IVA]]-Table1[[#This Row],[RET ISR]]-Table1[[#This Row],[TOTAL]]</f>
        <v>0</v>
      </c>
      <c r="AE2402" s="150"/>
      <c r="AF2402" s="151"/>
      <c r="AG2402" s="126" t="s">
        <v>3420</v>
      </c>
      <c r="AK2402" s="306">
        <f>IF(ISNUMBER(Table1[[#This Row],[FECHA DE RECIBIDO]]), Table1[[#This Row],[FECHA DE RECIBIDO]]-DATE(2023,8,30), "")</f>
        <v>-44943</v>
      </c>
    </row>
    <row r="2403" spans="1:37">
      <c r="A2403" s="152" t="s">
        <v>3772</v>
      </c>
      <c r="B2403" s="153">
        <v>796</v>
      </c>
      <c r="C2403" s="126" t="s">
        <v>3103</v>
      </c>
      <c r="D2403">
        <v>689</v>
      </c>
      <c r="E2403" s="126"/>
      <c r="F2403" s="125"/>
      <c r="G2403" s="125"/>
      <c r="H2403"/>
      <c r="I2403" s="125"/>
      <c r="J2403" s="308">
        <v>229</v>
      </c>
      <c r="K2403" s="127" t="s">
        <v>3797</v>
      </c>
      <c r="L2403" s="153" t="s">
        <v>1579</v>
      </c>
      <c r="M2403">
        <v>668</v>
      </c>
      <c r="N2403" s="123">
        <v>17</v>
      </c>
      <c r="O2403">
        <v>162</v>
      </c>
      <c r="P2403" s="132" t="s">
        <v>77</v>
      </c>
      <c r="Q2403" s="132">
        <v>30.74</v>
      </c>
      <c r="R2403" s="132"/>
      <c r="S2403" s="132"/>
      <c r="T2403" s="156"/>
      <c r="U2403" s="132"/>
      <c r="V2403" s="132">
        <v>30.74</v>
      </c>
      <c r="W2403">
        <v>93</v>
      </c>
      <c r="X2403" s="153" t="s">
        <v>1644</v>
      </c>
      <c r="Y2403" s="124" t="s">
        <v>55</v>
      </c>
      <c r="Z2403" s="308">
        <v>229</v>
      </c>
      <c r="AB2403" t="str">
        <f>IF(Table1[[#This Row],[TIPO2]]="costo", VLOOKUP(Table1[[#This Row],[PARTIDA PRESUPUESTAL]],'Cost Report'!G:G,1,0),"Balance")</f>
        <v>7038-009</v>
      </c>
      <c r="AC2403" s="118"/>
      <c r="AD2403" s="159">
        <f>+Table1[[#This Row],[SUBTOTAL]]+Table1[[#This Row],[IVA]]-Table1[[#This Row],[RET IVA]]-Table1[[#This Row],[RET ISR]]-Table1[[#This Row],[TOTAL]]</f>
        <v>0</v>
      </c>
      <c r="AE2403" s="152"/>
      <c r="AF2403" s="153"/>
      <c r="AG2403" s="126" t="s">
        <v>3420</v>
      </c>
      <c r="AK2403" s="306">
        <f>IF(ISNUMBER(Table1[[#This Row],[FECHA DE RECIBIDO]]), Table1[[#This Row],[FECHA DE RECIBIDO]]-DATE(2023,8,30), "")</f>
        <v>-44939</v>
      </c>
    </row>
    <row r="2404" spans="1:37">
      <c r="A2404" s="150" t="s">
        <v>3772</v>
      </c>
      <c r="B2404" s="151">
        <v>796</v>
      </c>
      <c r="C2404" s="126" t="s">
        <v>3103</v>
      </c>
      <c r="D2404">
        <v>689</v>
      </c>
      <c r="E2404" s="126"/>
      <c r="F2404" s="122"/>
      <c r="G2404" s="122"/>
      <c r="H2404"/>
      <c r="I2404" s="122"/>
      <c r="J2404" s="307">
        <v>229</v>
      </c>
      <c r="K2404" s="127" t="s">
        <v>3797</v>
      </c>
      <c r="L2404" s="151" t="s">
        <v>1579</v>
      </c>
      <c r="M2404">
        <v>668</v>
      </c>
      <c r="N2404" s="123">
        <v>17</v>
      </c>
      <c r="O2404">
        <v>162</v>
      </c>
      <c r="P2404" s="132" t="s">
        <v>77</v>
      </c>
      <c r="Q2404" s="131">
        <v>30.74</v>
      </c>
      <c r="R2404" s="131"/>
      <c r="S2404" s="131"/>
      <c r="T2404" s="155"/>
      <c r="U2404" s="131"/>
      <c r="V2404" s="131">
        <v>30.74</v>
      </c>
      <c r="W2404">
        <v>93</v>
      </c>
      <c r="X2404" s="151" t="s">
        <v>1644</v>
      </c>
      <c r="Y2404" s="135" t="s">
        <v>55</v>
      </c>
      <c r="Z2404" s="307">
        <v>229</v>
      </c>
      <c r="AB2404" t="str">
        <f>IF(Table1[[#This Row],[TIPO2]]="costo", VLOOKUP(Table1[[#This Row],[PARTIDA PRESUPUESTAL]],'Cost Report'!G:G,1,0),"Balance")</f>
        <v>7038-009</v>
      </c>
      <c r="AC2404" s="118"/>
      <c r="AD2404" s="159">
        <f>+Table1[[#This Row],[SUBTOTAL]]+Table1[[#This Row],[IVA]]-Table1[[#This Row],[RET IVA]]-Table1[[#This Row],[RET ISR]]-Table1[[#This Row],[TOTAL]]</f>
        <v>0</v>
      </c>
      <c r="AE2404" s="150"/>
      <c r="AF2404" s="151"/>
      <c r="AG2404" s="126" t="s">
        <v>3420</v>
      </c>
      <c r="AK2404" s="306">
        <f>IF(ISNUMBER(Table1[[#This Row],[FECHA DE RECIBIDO]]), Table1[[#This Row],[FECHA DE RECIBIDO]]-DATE(2023,8,30), "")</f>
        <v>-44939</v>
      </c>
    </row>
    <row r="2405" spans="1:37" ht="16.05" customHeight="1">
      <c r="A2405" s="152" t="s">
        <v>3772</v>
      </c>
      <c r="B2405" s="153">
        <v>796</v>
      </c>
      <c r="C2405" s="126" t="s">
        <v>3103</v>
      </c>
      <c r="D2405">
        <v>689</v>
      </c>
      <c r="E2405" s="126"/>
      <c r="F2405" s="125"/>
      <c r="G2405" s="125"/>
      <c r="H2405"/>
      <c r="I2405" s="125"/>
      <c r="J2405" s="308">
        <v>230</v>
      </c>
      <c r="K2405" s="127" t="s">
        <v>3797</v>
      </c>
      <c r="L2405" s="153" t="s">
        <v>1579</v>
      </c>
      <c r="M2405">
        <v>668</v>
      </c>
      <c r="N2405" s="123">
        <v>17</v>
      </c>
      <c r="O2405">
        <v>162</v>
      </c>
      <c r="P2405" s="132" t="s">
        <v>77</v>
      </c>
      <c r="Q2405" s="132">
        <v>30.74</v>
      </c>
      <c r="R2405" s="132"/>
      <c r="S2405" s="132"/>
      <c r="T2405" s="156"/>
      <c r="U2405" s="132"/>
      <c r="V2405" s="132">
        <v>30.74</v>
      </c>
      <c r="W2405">
        <v>93</v>
      </c>
      <c r="X2405" s="153" t="s">
        <v>1644</v>
      </c>
      <c r="Y2405" s="124" t="s">
        <v>55</v>
      </c>
      <c r="Z2405" s="308">
        <v>230</v>
      </c>
      <c r="AB2405" t="str">
        <f>IF(Table1[[#This Row],[TIPO2]]="costo", VLOOKUP(Table1[[#This Row],[PARTIDA PRESUPUESTAL]],'Cost Report'!G:G,1,0),"Balance")</f>
        <v>7038-009</v>
      </c>
      <c r="AC2405" s="118"/>
      <c r="AD2405" s="159">
        <f>+Table1[[#This Row],[SUBTOTAL]]+Table1[[#This Row],[IVA]]-Table1[[#This Row],[RET IVA]]-Table1[[#This Row],[RET ISR]]-Table1[[#This Row],[TOTAL]]</f>
        <v>0</v>
      </c>
      <c r="AE2405" s="152"/>
      <c r="AF2405" s="153"/>
      <c r="AG2405" s="126" t="s">
        <v>3420</v>
      </c>
      <c r="AK2405" s="306">
        <f>IF(ISNUMBER(Table1[[#This Row],[FECHA DE RECIBIDO]]), Table1[[#This Row],[FECHA DE RECIBIDO]]-DATE(2023,8,30), "")</f>
        <v>-44938</v>
      </c>
    </row>
    <row r="2406" spans="1:37" ht="16.05" customHeight="1">
      <c r="A2406" s="150" t="s">
        <v>3773</v>
      </c>
      <c r="B2406" s="151">
        <v>797</v>
      </c>
      <c r="C2406" s="126" t="s">
        <v>2596</v>
      </c>
      <c r="D2406">
        <v>689</v>
      </c>
      <c r="E2406" s="126"/>
      <c r="F2406" s="122"/>
      <c r="G2406" s="122"/>
      <c r="H2406"/>
      <c r="I2406" s="122"/>
      <c r="J2406" s="307">
        <v>183</v>
      </c>
      <c r="K2406" s="127" t="s">
        <v>3797</v>
      </c>
      <c r="L2406" s="151" t="s">
        <v>1579</v>
      </c>
      <c r="M2406">
        <v>669</v>
      </c>
      <c r="N2406" s="123">
        <v>17</v>
      </c>
      <c r="O2406">
        <v>1565</v>
      </c>
      <c r="P2406" s="132" t="s">
        <v>77</v>
      </c>
      <c r="Q2406" s="131">
        <v>998.1</v>
      </c>
      <c r="R2406" s="131"/>
      <c r="S2406" s="131"/>
      <c r="T2406" s="155"/>
      <c r="U2406" s="131"/>
      <c r="V2406" s="131">
        <v>998.1</v>
      </c>
      <c r="W2406">
        <v>61</v>
      </c>
      <c r="X2406" s="151" t="s">
        <v>1644</v>
      </c>
      <c r="Y2406" s="135" t="s">
        <v>55</v>
      </c>
      <c r="Z2406" s="307">
        <v>183</v>
      </c>
      <c r="AB2406" t="str">
        <f>IF(Table1[[#This Row],[TIPO2]]="costo", VLOOKUP(Table1[[#This Row],[PARTIDA PRESUPUESTAL]],'Cost Report'!G:G,1,0),"Balance")</f>
        <v>2794-003</v>
      </c>
      <c r="AC2406" s="118"/>
      <c r="AD2406" s="159">
        <f>+Table1[[#This Row],[SUBTOTAL]]+Table1[[#This Row],[IVA]]-Table1[[#This Row],[RET IVA]]-Table1[[#This Row],[RET ISR]]-Table1[[#This Row],[TOTAL]]</f>
        <v>0</v>
      </c>
      <c r="AE2406" s="150"/>
      <c r="AF2406" s="151"/>
      <c r="AG2406" s="126" t="s">
        <v>3420</v>
      </c>
      <c r="AK2406" s="306">
        <f>IF(ISNUMBER(Table1[[#This Row],[FECHA DE RECIBIDO]]), Table1[[#This Row],[FECHA DE RECIBIDO]]-DATE(2023,8,30), "")</f>
        <v>-44985</v>
      </c>
    </row>
    <row r="2407" spans="1:37" ht="16.05" customHeight="1">
      <c r="A2407" s="152" t="s">
        <v>3773</v>
      </c>
      <c r="B2407" s="153">
        <v>797</v>
      </c>
      <c r="C2407" s="126" t="s">
        <v>2596</v>
      </c>
      <c r="D2407">
        <v>689</v>
      </c>
      <c r="E2407" s="126"/>
      <c r="F2407" s="125"/>
      <c r="G2407" s="125"/>
      <c r="H2407"/>
      <c r="I2407" s="125"/>
      <c r="J2407" s="308">
        <v>185</v>
      </c>
      <c r="K2407" s="127" t="s">
        <v>3797</v>
      </c>
      <c r="L2407" s="153" t="s">
        <v>1579</v>
      </c>
      <c r="M2407">
        <v>670</v>
      </c>
      <c r="N2407" s="123">
        <v>17</v>
      </c>
      <c r="O2407">
        <v>1566</v>
      </c>
      <c r="P2407" s="132" t="s">
        <v>77</v>
      </c>
      <c r="Q2407" s="132">
        <v>3848</v>
      </c>
      <c r="R2407" s="132"/>
      <c r="S2407" s="132"/>
      <c r="T2407" s="156"/>
      <c r="U2407" s="132"/>
      <c r="V2407" s="132">
        <v>3848</v>
      </c>
      <c r="W2407">
        <v>61</v>
      </c>
      <c r="X2407" s="153" t="s">
        <v>1644</v>
      </c>
      <c r="Y2407" s="124" t="s">
        <v>55</v>
      </c>
      <c r="Z2407" s="308">
        <v>185</v>
      </c>
      <c r="AB2407" t="str">
        <f>IF(Table1[[#This Row],[TIPO2]]="costo", VLOOKUP(Table1[[#This Row],[PARTIDA PRESUPUESTAL]],'Cost Report'!G:G,1,0),"Balance")</f>
        <v>2794-003</v>
      </c>
      <c r="AC2407" s="118"/>
      <c r="AD2407" s="159">
        <f>+Table1[[#This Row],[SUBTOTAL]]+Table1[[#This Row],[IVA]]-Table1[[#This Row],[RET IVA]]-Table1[[#This Row],[RET ISR]]-Table1[[#This Row],[TOTAL]]</f>
        <v>0</v>
      </c>
      <c r="AE2407" s="152"/>
      <c r="AF2407" s="153"/>
      <c r="AG2407" s="126" t="s">
        <v>3420</v>
      </c>
      <c r="AK2407" s="306">
        <f>IF(ISNUMBER(Table1[[#This Row],[FECHA DE RECIBIDO]]), Table1[[#This Row],[FECHA DE RECIBIDO]]-DATE(2023,8,30), "")</f>
        <v>-44983</v>
      </c>
    </row>
    <row r="2408" spans="1:37" ht="16.05" customHeight="1">
      <c r="A2408" s="150" t="s">
        <v>3773</v>
      </c>
      <c r="B2408" s="151">
        <v>797</v>
      </c>
      <c r="C2408" s="126" t="s">
        <v>2596</v>
      </c>
      <c r="D2408">
        <v>689</v>
      </c>
      <c r="E2408" s="126"/>
      <c r="F2408" s="122"/>
      <c r="G2408" s="122"/>
      <c r="H2408"/>
      <c r="I2408" s="122"/>
      <c r="J2408" s="307">
        <v>183</v>
      </c>
      <c r="K2408" s="127" t="s">
        <v>3797</v>
      </c>
      <c r="L2408" s="151" t="s">
        <v>1579</v>
      </c>
      <c r="M2408">
        <v>671</v>
      </c>
      <c r="N2408" s="123">
        <v>17</v>
      </c>
      <c r="O2408">
        <v>1567</v>
      </c>
      <c r="P2408" s="132" t="s">
        <v>77</v>
      </c>
      <c r="Q2408" s="131">
        <v>1799</v>
      </c>
      <c r="R2408" s="131"/>
      <c r="S2408" s="131"/>
      <c r="T2408" s="155"/>
      <c r="U2408" s="131"/>
      <c r="V2408" s="131">
        <v>1799</v>
      </c>
      <c r="W2408">
        <v>61</v>
      </c>
      <c r="X2408" s="151" t="s">
        <v>1644</v>
      </c>
      <c r="Y2408" s="135" t="s">
        <v>55</v>
      </c>
      <c r="Z2408" s="307">
        <v>183</v>
      </c>
      <c r="AB2408" t="str">
        <f>IF(Table1[[#This Row],[TIPO2]]="costo", VLOOKUP(Table1[[#This Row],[PARTIDA PRESUPUESTAL]],'Cost Report'!G:G,1,0),"Balance")</f>
        <v>2794-003</v>
      </c>
      <c r="AC2408" s="118"/>
      <c r="AD2408" s="159">
        <f>+Table1[[#This Row],[SUBTOTAL]]+Table1[[#This Row],[IVA]]-Table1[[#This Row],[RET IVA]]-Table1[[#This Row],[RET ISR]]-Table1[[#This Row],[TOTAL]]</f>
        <v>0</v>
      </c>
      <c r="AE2408" s="150"/>
      <c r="AF2408" s="151"/>
      <c r="AG2408" s="126" t="s">
        <v>3420</v>
      </c>
      <c r="AK2408" s="306">
        <f>IF(ISNUMBER(Table1[[#This Row],[FECHA DE RECIBIDO]]), Table1[[#This Row],[FECHA DE RECIBIDO]]-DATE(2023,8,30), "")</f>
        <v>-44985</v>
      </c>
    </row>
    <row r="2409" spans="1:37" ht="16.05" customHeight="1">
      <c r="A2409" s="152" t="s">
        <v>3774</v>
      </c>
      <c r="B2409" s="153">
        <v>798</v>
      </c>
      <c r="C2409" s="126" t="s">
        <v>2596</v>
      </c>
      <c r="D2409">
        <v>689</v>
      </c>
      <c r="E2409" s="126"/>
      <c r="F2409" s="125"/>
      <c r="G2409" s="125"/>
      <c r="H2409"/>
      <c r="I2409" s="125"/>
      <c r="J2409" s="308">
        <v>182</v>
      </c>
      <c r="K2409" s="127" t="s">
        <v>3797</v>
      </c>
      <c r="L2409" s="153" t="s">
        <v>1579</v>
      </c>
      <c r="M2409">
        <v>670</v>
      </c>
      <c r="N2409" s="123">
        <v>17</v>
      </c>
      <c r="O2409">
        <v>1568</v>
      </c>
      <c r="P2409" s="132" t="s">
        <v>77</v>
      </c>
      <c r="Q2409" s="132">
        <v>2505.8000000000002</v>
      </c>
      <c r="R2409" s="132"/>
      <c r="S2409" s="132"/>
      <c r="T2409" s="156"/>
      <c r="U2409" s="132"/>
      <c r="V2409" s="132">
        <v>2505.8000000000002</v>
      </c>
      <c r="W2409">
        <v>62</v>
      </c>
      <c r="X2409" s="153" t="s">
        <v>1644</v>
      </c>
      <c r="Y2409" s="124" t="s">
        <v>55</v>
      </c>
      <c r="Z2409" s="308">
        <v>182</v>
      </c>
      <c r="AB2409" t="str">
        <f>IF(Table1[[#This Row],[TIPO2]]="costo", VLOOKUP(Table1[[#This Row],[PARTIDA PRESUPUESTAL]],'Cost Report'!G:G,1,0),"Balance")</f>
        <v>2794-003</v>
      </c>
      <c r="AC2409" s="118"/>
      <c r="AD2409" s="159">
        <f>+Table1[[#This Row],[SUBTOTAL]]+Table1[[#This Row],[IVA]]-Table1[[#This Row],[RET IVA]]-Table1[[#This Row],[RET ISR]]-Table1[[#This Row],[TOTAL]]</f>
        <v>0</v>
      </c>
      <c r="AE2409" s="152"/>
      <c r="AF2409" s="153"/>
      <c r="AG2409" s="126" t="s">
        <v>3420</v>
      </c>
      <c r="AK2409" s="306">
        <f>IF(ISNUMBER(Table1[[#This Row],[FECHA DE RECIBIDO]]), Table1[[#This Row],[FECHA DE RECIBIDO]]-DATE(2023,8,30), "")</f>
        <v>-44986</v>
      </c>
    </row>
    <row r="2410" spans="1:37" ht="16.05" customHeight="1">
      <c r="A2410" s="150" t="s">
        <v>3774</v>
      </c>
      <c r="B2410" s="151">
        <v>798</v>
      </c>
      <c r="C2410" s="126" t="s">
        <v>2596</v>
      </c>
      <c r="D2410">
        <v>689</v>
      </c>
      <c r="E2410" s="126"/>
      <c r="F2410" s="122"/>
      <c r="G2410" s="122"/>
      <c r="H2410"/>
      <c r="I2410" s="122"/>
      <c r="J2410" s="307">
        <v>188</v>
      </c>
      <c r="K2410" s="127" t="s">
        <v>3797</v>
      </c>
      <c r="L2410" s="151" t="s">
        <v>1579</v>
      </c>
      <c r="M2410">
        <v>670</v>
      </c>
      <c r="N2410" s="123">
        <v>17</v>
      </c>
      <c r="O2410">
        <v>1569</v>
      </c>
      <c r="P2410" s="132" t="s">
        <v>77</v>
      </c>
      <c r="Q2410" s="131">
        <v>1495</v>
      </c>
      <c r="R2410" s="131"/>
      <c r="S2410" s="131"/>
      <c r="T2410" s="155"/>
      <c r="U2410" s="131"/>
      <c r="V2410" s="131">
        <v>1495</v>
      </c>
      <c r="W2410">
        <v>62</v>
      </c>
      <c r="X2410" s="151" t="s">
        <v>1644</v>
      </c>
      <c r="Y2410" s="135" t="s">
        <v>55</v>
      </c>
      <c r="Z2410" s="307">
        <v>188</v>
      </c>
      <c r="AB2410" t="str">
        <f>IF(Table1[[#This Row],[TIPO2]]="costo", VLOOKUP(Table1[[#This Row],[PARTIDA PRESUPUESTAL]],'Cost Report'!G:G,1,0),"Balance")</f>
        <v>2794-003</v>
      </c>
      <c r="AC2410" s="118"/>
      <c r="AD2410" s="159">
        <f>+Table1[[#This Row],[SUBTOTAL]]+Table1[[#This Row],[IVA]]-Table1[[#This Row],[RET IVA]]-Table1[[#This Row],[RET ISR]]-Table1[[#This Row],[TOTAL]]</f>
        <v>0</v>
      </c>
      <c r="AE2410" s="150"/>
      <c r="AF2410" s="151"/>
      <c r="AG2410" s="126" t="s">
        <v>3420</v>
      </c>
      <c r="AK2410" s="306">
        <f>IF(ISNUMBER(Table1[[#This Row],[FECHA DE RECIBIDO]]), Table1[[#This Row],[FECHA DE RECIBIDO]]-DATE(2023,8,30), "")</f>
        <v>-44980</v>
      </c>
    </row>
    <row r="2411" spans="1:37" ht="16.05" customHeight="1">
      <c r="A2411" s="152" t="s">
        <v>3774</v>
      </c>
      <c r="B2411" s="153">
        <v>798</v>
      </c>
      <c r="C2411" s="126" t="s">
        <v>2596</v>
      </c>
      <c r="D2411">
        <v>689</v>
      </c>
      <c r="E2411" s="126"/>
      <c r="F2411" s="125"/>
      <c r="G2411" s="125"/>
      <c r="H2411"/>
      <c r="I2411" s="125"/>
      <c r="J2411" s="308">
        <v>180</v>
      </c>
      <c r="K2411" s="127" t="s">
        <v>3797</v>
      </c>
      <c r="L2411" s="153" t="s">
        <v>1579</v>
      </c>
      <c r="M2411">
        <v>672</v>
      </c>
      <c r="N2411" s="123">
        <v>17</v>
      </c>
      <c r="O2411">
        <v>1570</v>
      </c>
      <c r="P2411" s="132" t="s">
        <v>77</v>
      </c>
      <c r="Q2411" s="132">
        <v>8546</v>
      </c>
      <c r="R2411" s="132"/>
      <c r="S2411" s="132"/>
      <c r="T2411" s="156"/>
      <c r="U2411" s="132"/>
      <c r="V2411" s="132">
        <v>8546</v>
      </c>
      <c r="W2411">
        <v>62</v>
      </c>
      <c r="X2411" s="153" t="s">
        <v>1644</v>
      </c>
      <c r="Y2411" s="124" t="s">
        <v>55</v>
      </c>
      <c r="Z2411" s="308">
        <v>180</v>
      </c>
      <c r="AB2411" t="str">
        <f>IF(Table1[[#This Row],[TIPO2]]="costo", VLOOKUP(Table1[[#This Row],[PARTIDA PRESUPUESTAL]],'Cost Report'!G:G,1,0),"Balance")</f>
        <v>2794-003</v>
      </c>
      <c r="AC2411" s="118"/>
      <c r="AD2411" s="159">
        <f>+Table1[[#This Row],[SUBTOTAL]]+Table1[[#This Row],[IVA]]-Table1[[#This Row],[RET IVA]]-Table1[[#This Row],[RET ISR]]-Table1[[#This Row],[TOTAL]]</f>
        <v>0</v>
      </c>
      <c r="AE2411" s="152"/>
      <c r="AF2411" s="153"/>
      <c r="AG2411" s="126" t="s">
        <v>3420</v>
      </c>
      <c r="AK2411" s="306">
        <f>IF(ISNUMBER(Table1[[#This Row],[FECHA DE RECIBIDO]]), Table1[[#This Row],[FECHA DE RECIBIDO]]-DATE(2023,8,30), "")</f>
        <v>-44988</v>
      </c>
    </row>
    <row r="2412" spans="1:37" ht="16.05" customHeight="1">
      <c r="A2412" s="150" t="s">
        <v>3775</v>
      </c>
      <c r="B2412" s="151">
        <v>799</v>
      </c>
      <c r="C2412" s="126" t="s">
        <v>2596</v>
      </c>
      <c r="D2412">
        <v>1599</v>
      </c>
      <c r="E2412" s="126" t="s">
        <v>2010</v>
      </c>
      <c r="F2412" s="122" t="s">
        <v>1607</v>
      </c>
      <c r="G2412" s="122" t="s">
        <v>134</v>
      </c>
      <c r="H2412">
        <v>327</v>
      </c>
      <c r="I2412" s="122" t="s">
        <v>1546</v>
      </c>
      <c r="J2412" s="307" t="s">
        <v>214</v>
      </c>
      <c r="K2412" s="127" t="s">
        <v>3797</v>
      </c>
      <c r="L2412" s="151" t="s">
        <v>1579</v>
      </c>
      <c r="M2412">
        <v>673</v>
      </c>
      <c r="N2412" s="123">
        <v>17</v>
      </c>
      <c r="O2412">
        <v>1571</v>
      </c>
      <c r="P2412" s="132" t="s">
        <v>77</v>
      </c>
      <c r="Q2412" s="131">
        <v>1550</v>
      </c>
      <c r="R2412" s="131">
        <v>248</v>
      </c>
      <c r="S2412" s="131"/>
      <c r="T2412" s="155"/>
      <c r="U2412" s="131"/>
      <c r="V2412" s="131">
        <v>1798</v>
      </c>
      <c r="W2412">
        <v>61</v>
      </c>
      <c r="X2412" s="151" t="s">
        <v>1644</v>
      </c>
      <c r="Y2412" s="135" t="s">
        <v>55</v>
      </c>
      <c r="Z2412" s="307">
        <v>219</v>
      </c>
      <c r="AB2412" t="str">
        <f>IF(Table1[[#This Row],[TIPO2]]="costo", VLOOKUP(Table1[[#This Row],[PARTIDA PRESUPUESTAL]],'Cost Report'!G:G,1,0),"Balance")</f>
        <v>2794-003</v>
      </c>
      <c r="AC2412" s="118"/>
      <c r="AD2412" s="159">
        <f>+Table1[[#This Row],[SUBTOTAL]]+Table1[[#This Row],[IVA]]-Table1[[#This Row],[RET IVA]]-Table1[[#This Row],[RET ISR]]-Table1[[#This Row],[TOTAL]]</f>
        <v>0</v>
      </c>
      <c r="AE2412" s="150"/>
      <c r="AF2412" s="151"/>
      <c r="AG2412" s="126" t="s">
        <v>3420</v>
      </c>
      <c r="AK2412" s="306" t="str">
        <f>IF(ISNUMBER(Table1[[#This Row],[FECHA DE RECIBIDO]]), Table1[[#This Row],[FECHA DE RECIBIDO]]-DATE(2023,8,30), "")</f>
        <v/>
      </c>
    </row>
    <row r="2413" spans="1:37" ht="16.05" customHeight="1">
      <c r="A2413" s="152" t="s">
        <v>3775</v>
      </c>
      <c r="B2413" s="153">
        <v>799</v>
      </c>
      <c r="C2413" s="126" t="s">
        <v>2596</v>
      </c>
      <c r="D2413">
        <v>1600</v>
      </c>
      <c r="E2413" s="126" t="s">
        <v>2010</v>
      </c>
      <c r="F2413" s="125" t="s">
        <v>1607</v>
      </c>
      <c r="G2413" s="125" t="s">
        <v>134</v>
      </c>
      <c r="H2413">
        <v>327</v>
      </c>
      <c r="I2413" s="125" t="s">
        <v>1546</v>
      </c>
      <c r="J2413" s="308" t="s">
        <v>214</v>
      </c>
      <c r="K2413" s="127" t="s">
        <v>3797</v>
      </c>
      <c r="L2413" s="153" t="s">
        <v>1579</v>
      </c>
      <c r="M2413">
        <v>673</v>
      </c>
      <c r="N2413" s="123">
        <v>17</v>
      </c>
      <c r="O2413">
        <v>1571</v>
      </c>
      <c r="P2413" s="132" t="s">
        <v>77</v>
      </c>
      <c r="Q2413" s="132">
        <v>688.79</v>
      </c>
      <c r="R2413" s="132">
        <v>110.21</v>
      </c>
      <c r="S2413" s="132"/>
      <c r="T2413" s="156"/>
      <c r="U2413" s="132"/>
      <c r="V2413" s="132">
        <v>799</v>
      </c>
      <c r="W2413">
        <v>61</v>
      </c>
      <c r="X2413" s="153" t="s">
        <v>1644</v>
      </c>
      <c r="Y2413" s="124" t="s">
        <v>55</v>
      </c>
      <c r="Z2413" s="308">
        <v>219</v>
      </c>
      <c r="AB2413" t="str">
        <f>IF(Table1[[#This Row],[TIPO2]]="costo", VLOOKUP(Table1[[#This Row],[PARTIDA PRESUPUESTAL]],'Cost Report'!G:G,1,0),"Balance")</f>
        <v>2794-003</v>
      </c>
      <c r="AC2413" s="118"/>
      <c r="AD2413" s="159">
        <f>+Table1[[#This Row],[SUBTOTAL]]+Table1[[#This Row],[IVA]]-Table1[[#This Row],[RET IVA]]-Table1[[#This Row],[RET ISR]]-Table1[[#This Row],[TOTAL]]</f>
        <v>0</v>
      </c>
      <c r="AE2413" s="152"/>
      <c r="AF2413" s="153"/>
      <c r="AG2413" s="126" t="s">
        <v>3420</v>
      </c>
      <c r="AK2413" s="306" t="str">
        <f>IF(ISNUMBER(Table1[[#This Row],[FECHA DE RECIBIDO]]), Table1[[#This Row],[FECHA DE RECIBIDO]]-DATE(2023,8,30), "")</f>
        <v/>
      </c>
    </row>
    <row r="2414" spans="1:37" ht="16.05" customHeight="1">
      <c r="A2414" s="150" t="s">
        <v>3775</v>
      </c>
      <c r="B2414" s="151">
        <v>799</v>
      </c>
      <c r="C2414" s="126" t="s">
        <v>2596</v>
      </c>
      <c r="D2414">
        <v>1601</v>
      </c>
      <c r="E2414" s="126" t="s">
        <v>2010</v>
      </c>
      <c r="F2414" s="122" t="s">
        <v>1607</v>
      </c>
      <c r="G2414" s="122" t="s">
        <v>134</v>
      </c>
      <c r="H2414">
        <v>327</v>
      </c>
      <c r="I2414" s="122" t="s">
        <v>1546</v>
      </c>
      <c r="J2414" s="307" t="s">
        <v>214</v>
      </c>
      <c r="K2414" s="127" t="s">
        <v>3797</v>
      </c>
      <c r="L2414" s="151" t="s">
        <v>1579</v>
      </c>
      <c r="M2414">
        <v>673</v>
      </c>
      <c r="N2414" s="123">
        <v>17</v>
      </c>
      <c r="O2414">
        <v>1571</v>
      </c>
      <c r="P2414" s="132" t="s">
        <v>77</v>
      </c>
      <c r="Q2414" s="131">
        <v>861.21</v>
      </c>
      <c r="R2414" s="131">
        <v>137.79</v>
      </c>
      <c r="S2414" s="131"/>
      <c r="T2414" s="155"/>
      <c r="U2414" s="131"/>
      <c r="V2414" s="131">
        <v>999</v>
      </c>
      <c r="W2414">
        <v>61</v>
      </c>
      <c r="X2414" s="151" t="s">
        <v>1644</v>
      </c>
      <c r="Y2414" s="135" t="s">
        <v>55</v>
      </c>
      <c r="Z2414" s="307">
        <v>219</v>
      </c>
      <c r="AB2414" t="str">
        <f>IF(Table1[[#This Row],[TIPO2]]="costo", VLOOKUP(Table1[[#This Row],[PARTIDA PRESUPUESTAL]],'Cost Report'!G:G,1,0),"Balance")</f>
        <v>2794-003</v>
      </c>
      <c r="AC2414" s="118"/>
      <c r="AD2414" s="159">
        <f>+Table1[[#This Row],[SUBTOTAL]]+Table1[[#This Row],[IVA]]-Table1[[#This Row],[RET IVA]]-Table1[[#This Row],[RET ISR]]-Table1[[#This Row],[TOTAL]]</f>
        <v>0</v>
      </c>
      <c r="AE2414" s="150"/>
      <c r="AF2414" s="151"/>
      <c r="AG2414" s="126" t="s">
        <v>3420</v>
      </c>
      <c r="AK2414" s="306" t="str">
        <f>IF(ISNUMBER(Table1[[#This Row],[FECHA DE RECIBIDO]]), Table1[[#This Row],[FECHA DE RECIBIDO]]-DATE(2023,8,30), "")</f>
        <v/>
      </c>
    </row>
    <row r="2415" spans="1:37" ht="16.05" customHeight="1">
      <c r="A2415" s="152" t="s">
        <v>3775</v>
      </c>
      <c r="B2415" s="153">
        <v>799</v>
      </c>
      <c r="C2415" s="126" t="s">
        <v>2596</v>
      </c>
      <c r="D2415">
        <v>1602</v>
      </c>
      <c r="E2415" s="126" t="s">
        <v>2082</v>
      </c>
      <c r="F2415" s="125" t="s">
        <v>1382</v>
      </c>
      <c r="G2415" s="125" t="e">
        <v>#N/A</v>
      </c>
      <c r="H2415">
        <v>155</v>
      </c>
      <c r="I2415" s="125" t="s">
        <v>1546</v>
      </c>
      <c r="J2415" s="308" t="s">
        <v>214</v>
      </c>
      <c r="K2415" s="127" t="s">
        <v>3797</v>
      </c>
      <c r="L2415" s="153" t="s">
        <v>1579</v>
      </c>
      <c r="M2415">
        <v>206</v>
      </c>
      <c r="N2415" s="123">
        <v>17</v>
      </c>
      <c r="O2415">
        <v>1571</v>
      </c>
      <c r="P2415" s="132" t="s">
        <v>77</v>
      </c>
      <c r="Q2415" s="132">
        <v>881.39</v>
      </c>
      <c r="R2415" s="132">
        <v>141.02000000000001</v>
      </c>
      <c r="S2415" s="132"/>
      <c r="T2415" s="156"/>
      <c r="U2415" s="132"/>
      <c r="V2415" s="132">
        <v>1022.41</v>
      </c>
      <c r="W2415">
        <v>61</v>
      </c>
      <c r="X2415" s="153" t="s">
        <v>1644</v>
      </c>
      <c r="Y2415" s="124" t="s">
        <v>55</v>
      </c>
      <c r="Z2415" s="308">
        <v>206</v>
      </c>
      <c r="AB2415" t="str">
        <f>IF(Table1[[#This Row],[TIPO2]]="costo", VLOOKUP(Table1[[#This Row],[PARTIDA PRESUPUESTAL]],'Cost Report'!G:G,1,0),"Balance")</f>
        <v>2794-003</v>
      </c>
      <c r="AC2415" s="118"/>
      <c r="AD2415" s="159">
        <f>+Table1[[#This Row],[SUBTOTAL]]+Table1[[#This Row],[IVA]]-Table1[[#This Row],[RET IVA]]-Table1[[#This Row],[RET ISR]]-Table1[[#This Row],[TOTAL]]</f>
        <v>0</v>
      </c>
      <c r="AE2415" s="152"/>
      <c r="AF2415" s="153"/>
      <c r="AG2415" s="126" t="s">
        <v>3420</v>
      </c>
      <c r="AK2415" s="306" t="str">
        <f>IF(ISNUMBER(Table1[[#This Row],[FECHA DE RECIBIDO]]), Table1[[#This Row],[FECHA DE RECIBIDO]]-DATE(2023,8,30), "")</f>
        <v/>
      </c>
    </row>
    <row r="2416" spans="1:37" ht="16.05" customHeight="1">
      <c r="A2416" s="150" t="s">
        <v>3776</v>
      </c>
      <c r="B2416" s="151">
        <v>800</v>
      </c>
      <c r="C2416" s="126" t="s">
        <v>2596</v>
      </c>
      <c r="D2416">
        <v>689</v>
      </c>
      <c r="E2416" s="126"/>
      <c r="F2416" s="122"/>
      <c r="G2416" s="122"/>
      <c r="H2416"/>
      <c r="I2416" s="122"/>
      <c r="J2416" s="307">
        <v>211</v>
      </c>
      <c r="K2416" s="127" t="s">
        <v>3797</v>
      </c>
      <c r="L2416" s="151" t="s">
        <v>1579</v>
      </c>
      <c r="M2416">
        <v>674</v>
      </c>
      <c r="N2416" s="123">
        <v>17</v>
      </c>
      <c r="O2416">
        <v>905</v>
      </c>
      <c r="P2416" s="132" t="s">
        <v>77</v>
      </c>
      <c r="Q2416" s="131">
        <v>35</v>
      </c>
      <c r="R2416" s="131"/>
      <c r="S2416" s="131"/>
      <c r="T2416" s="155"/>
      <c r="U2416" s="131"/>
      <c r="V2416" s="131">
        <v>35</v>
      </c>
      <c r="W2416">
        <v>61</v>
      </c>
      <c r="X2416" s="151" t="s">
        <v>1644</v>
      </c>
      <c r="Y2416" s="135" t="s">
        <v>55</v>
      </c>
      <c r="Z2416" s="307">
        <v>211</v>
      </c>
      <c r="AB2416" t="str">
        <f>IF(Table1[[#This Row],[TIPO2]]="costo", VLOOKUP(Table1[[#This Row],[PARTIDA PRESUPUESTAL]],'Cost Report'!G:G,1,0),"Balance")</f>
        <v>2794-003</v>
      </c>
      <c r="AC2416" s="118"/>
      <c r="AD2416" s="159">
        <f>+Table1[[#This Row],[SUBTOTAL]]+Table1[[#This Row],[IVA]]-Table1[[#This Row],[RET IVA]]-Table1[[#This Row],[RET ISR]]-Table1[[#This Row],[TOTAL]]</f>
        <v>0</v>
      </c>
      <c r="AE2416" s="150"/>
      <c r="AF2416" s="151"/>
      <c r="AG2416" s="126" t="s">
        <v>3420</v>
      </c>
      <c r="AK2416" s="306">
        <f>IF(ISNUMBER(Table1[[#This Row],[FECHA DE RECIBIDO]]), Table1[[#This Row],[FECHA DE RECIBIDO]]-DATE(2023,8,30), "")</f>
        <v>-44957</v>
      </c>
    </row>
    <row r="2417" spans="1:37" ht="16.05" customHeight="1">
      <c r="A2417" s="152" t="s">
        <v>3776</v>
      </c>
      <c r="B2417" s="153">
        <v>800</v>
      </c>
      <c r="C2417" s="126" t="s">
        <v>2596</v>
      </c>
      <c r="D2417">
        <v>689</v>
      </c>
      <c r="E2417" s="126"/>
      <c r="F2417" s="125"/>
      <c r="G2417" s="125"/>
      <c r="H2417"/>
      <c r="I2417" s="125"/>
      <c r="J2417" s="308">
        <v>211</v>
      </c>
      <c r="K2417" s="127" t="s">
        <v>3797</v>
      </c>
      <c r="L2417" s="153" t="s">
        <v>1579</v>
      </c>
      <c r="M2417">
        <v>675</v>
      </c>
      <c r="N2417" s="123">
        <v>17</v>
      </c>
      <c r="O2417">
        <v>905</v>
      </c>
      <c r="P2417" s="132" t="s">
        <v>77</v>
      </c>
      <c r="Q2417" s="132">
        <v>10</v>
      </c>
      <c r="R2417" s="132"/>
      <c r="S2417" s="132"/>
      <c r="T2417" s="156"/>
      <c r="U2417" s="132"/>
      <c r="V2417" s="132">
        <v>10</v>
      </c>
      <c r="W2417">
        <v>61</v>
      </c>
      <c r="X2417" s="153" t="s">
        <v>1644</v>
      </c>
      <c r="Y2417" s="124" t="s">
        <v>55</v>
      </c>
      <c r="Z2417" s="308">
        <v>211</v>
      </c>
      <c r="AB2417" t="str">
        <f>IF(Table1[[#This Row],[TIPO2]]="costo", VLOOKUP(Table1[[#This Row],[PARTIDA PRESUPUESTAL]],'Cost Report'!G:G,1,0),"Balance")</f>
        <v>2794-003</v>
      </c>
      <c r="AC2417" s="118"/>
      <c r="AD2417" s="159">
        <f>+Table1[[#This Row],[SUBTOTAL]]+Table1[[#This Row],[IVA]]-Table1[[#This Row],[RET IVA]]-Table1[[#This Row],[RET ISR]]-Table1[[#This Row],[TOTAL]]</f>
        <v>0</v>
      </c>
      <c r="AE2417" s="152"/>
      <c r="AF2417" s="153"/>
      <c r="AG2417" s="126" t="s">
        <v>3420</v>
      </c>
      <c r="AK2417" s="306">
        <f>IF(ISNUMBER(Table1[[#This Row],[FECHA DE RECIBIDO]]), Table1[[#This Row],[FECHA DE RECIBIDO]]-DATE(2023,8,30), "")</f>
        <v>-44957</v>
      </c>
    </row>
    <row r="2418" spans="1:37" ht="16.05" customHeight="1">
      <c r="A2418" s="150" t="s">
        <v>3776</v>
      </c>
      <c r="B2418" s="151">
        <v>800</v>
      </c>
      <c r="C2418" s="126" t="s">
        <v>2596</v>
      </c>
      <c r="D2418">
        <v>689</v>
      </c>
      <c r="E2418" s="126"/>
      <c r="F2418" s="122"/>
      <c r="G2418" s="122"/>
      <c r="H2418"/>
      <c r="I2418" s="122"/>
      <c r="J2418" s="307">
        <v>212</v>
      </c>
      <c r="K2418" s="127" t="s">
        <v>3797</v>
      </c>
      <c r="L2418" s="151" t="s">
        <v>1579</v>
      </c>
      <c r="M2418">
        <v>674</v>
      </c>
      <c r="N2418" s="123">
        <v>17</v>
      </c>
      <c r="O2418">
        <v>905</v>
      </c>
      <c r="P2418" s="132" t="s">
        <v>77</v>
      </c>
      <c r="Q2418" s="131">
        <v>20</v>
      </c>
      <c r="R2418" s="131"/>
      <c r="S2418" s="131"/>
      <c r="T2418" s="155"/>
      <c r="U2418" s="131"/>
      <c r="V2418" s="131">
        <v>20</v>
      </c>
      <c r="W2418">
        <v>61</v>
      </c>
      <c r="X2418" s="151" t="s">
        <v>1644</v>
      </c>
      <c r="Y2418" s="135" t="s">
        <v>55</v>
      </c>
      <c r="Z2418" s="307">
        <v>212</v>
      </c>
      <c r="AB2418" t="str">
        <f>IF(Table1[[#This Row],[TIPO2]]="costo", VLOOKUP(Table1[[#This Row],[PARTIDA PRESUPUESTAL]],'Cost Report'!G:G,1,0),"Balance")</f>
        <v>2794-003</v>
      </c>
      <c r="AC2418" s="118"/>
      <c r="AD2418" s="159">
        <f>+Table1[[#This Row],[SUBTOTAL]]+Table1[[#This Row],[IVA]]-Table1[[#This Row],[RET IVA]]-Table1[[#This Row],[RET ISR]]-Table1[[#This Row],[TOTAL]]</f>
        <v>0</v>
      </c>
      <c r="AE2418" s="150"/>
      <c r="AF2418" s="151"/>
      <c r="AG2418" s="126" t="s">
        <v>3420</v>
      </c>
      <c r="AK2418" s="306">
        <f>IF(ISNUMBER(Table1[[#This Row],[FECHA DE RECIBIDO]]), Table1[[#This Row],[FECHA DE RECIBIDO]]-DATE(2023,8,30), "")</f>
        <v>-44956</v>
      </c>
    </row>
    <row r="2419" spans="1:37" ht="16.05" customHeight="1">
      <c r="A2419" s="152" t="s">
        <v>3776</v>
      </c>
      <c r="B2419" s="153">
        <v>800</v>
      </c>
      <c r="C2419" s="126" t="s">
        <v>2596</v>
      </c>
      <c r="D2419">
        <v>689</v>
      </c>
      <c r="E2419" s="126"/>
      <c r="F2419" s="125"/>
      <c r="G2419" s="125"/>
      <c r="H2419"/>
      <c r="I2419" s="125"/>
      <c r="J2419" s="308">
        <v>212</v>
      </c>
      <c r="K2419" s="127" t="s">
        <v>3797</v>
      </c>
      <c r="L2419" s="153" t="s">
        <v>1579</v>
      </c>
      <c r="M2419">
        <v>676</v>
      </c>
      <c r="N2419" s="123">
        <v>17</v>
      </c>
      <c r="O2419">
        <v>1572</v>
      </c>
      <c r="P2419" s="132" t="s">
        <v>77</v>
      </c>
      <c r="Q2419" s="132">
        <v>80</v>
      </c>
      <c r="R2419" s="132"/>
      <c r="S2419" s="132"/>
      <c r="T2419" s="156"/>
      <c r="U2419" s="132"/>
      <c r="V2419" s="132">
        <v>80</v>
      </c>
      <c r="W2419">
        <v>61</v>
      </c>
      <c r="X2419" s="153" t="s">
        <v>1644</v>
      </c>
      <c r="Y2419" s="124" t="s">
        <v>55</v>
      </c>
      <c r="Z2419" s="308">
        <v>212</v>
      </c>
      <c r="AB2419" t="str">
        <f>IF(Table1[[#This Row],[TIPO2]]="costo", VLOOKUP(Table1[[#This Row],[PARTIDA PRESUPUESTAL]],'Cost Report'!G:G,1,0),"Balance")</f>
        <v>2794-003</v>
      </c>
      <c r="AC2419" s="118"/>
      <c r="AD2419" s="159">
        <f>+Table1[[#This Row],[SUBTOTAL]]+Table1[[#This Row],[IVA]]-Table1[[#This Row],[RET IVA]]-Table1[[#This Row],[RET ISR]]-Table1[[#This Row],[TOTAL]]</f>
        <v>0</v>
      </c>
      <c r="AE2419" s="152"/>
      <c r="AF2419" s="153"/>
      <c r="AG2419" s="126" t="s">
        <v>3420</v>
      </c>
      <c r="AK2419" s="306">
        <f>IF(ISNUMBER(Table1[[#This Row],[FECHA DE RECIBIDO]]), Table1[[#This Row],[FECHA DE RECIBIDO]]-DATE(2023,8,30), "")</f>
        <v>-44956</v>
      </c>
    </row>
    <row r="2420" spans="1:37" ht="16.05" customHeight="1">
      <c r="A2420" s="150" t="s">
        <v>3776</v>
      </c>
      <c r="B2420" s="151">
        <v>800</v>
      </c>
      <c r="C2420" s="126" t="s">
        <v>2596</v>
      </c>
      <c r="D2420">
        <v>689</v>
      </c>
      <c r="E2420" s="126"/>
      <c r="F2420" s="122"/>
      <c r="G2420" s="122"/>
      <c r="H2420"/>
      <c r="I2420" s="122"/>
      <c r="J2420" s="307">
        <v>212</v>
      </c>
      <c r="K2420" s="127" t="s">
        <v>3797</v>
      </c>
      <c r="L2420" s="151" t="s">
        <v>1579</v>
      </c>
      <c r="M2420">
        <v>677</v>
      </c>
      <c r="N2420" s="123">
        <v>17</v>
      </c>
      <c r="O2420">
        <v>1573</v>
      </c>
      <c r="P2420" s="132" t="s">
        <v>77</v>
      </c>
      <c r="Q2420" s="131">
        <v>34.22</v>
      </c>
      <c r="R2420" s="131"/>
      <c r="S2420" s="131"/>
      <c r="T2420" s="155"/>
      <c r="U2420" s="131"/>
      <c r="V2420" s="131">
        <v>34.22</v>
      </c>
      <c r="W2420">
        <v>61</v>
      </c>
      <c r="X2420" s="151" t="s">
        <v>1644</v>
      </c>
      <c r="Y2420" s="135" t="s">
        <v>55</v>
      </c>
      <c r="Z2420" s="307">
        <v>212</v>
      </c>
      <c r="AB2420" t="str">
        <f>IF(Table1[[#This Row],[TIPO2]]="costo", VLOOKUP(Table1[[#This Row],[PARTIDA PRESUPUESTAL]],'Cost Report'!G:G,1,0),"Balance")</f>
        <v>2794-003</v>
      </c>
      <c r="AC2420" s="118"/>
      <c r="AD2420" s="159">
        <f>+Table1[[#This Row],[SUBTOTAL]]+Table1[[#This Row],[IVA]]-Table1[[#This Row],[RET IVA]]-Table1[[#This Row],[RET ISR]]-Table1[[#This Row],[TOTAL]]</f>
        <v>0</v>
      </c>
      <c r="AE2420" s="150"/>
      <c r="AF2420" s="151"/>
      <c r="AG2420" s="126" t="s">
        <v>3420</v>
      </c>
      <c r="AK2420" s="306">
        <f>IF(ISNUMBER(Table1[[#This Row],[FECHA DE RECIBIDO]]), Table1[[#This Row],[FECHA DE RECIBIDO]]-DATE(2023,8,30), "")</f>
        <v>-44956</v>
      </c>
    </row>
    <row r="2421" spans="1:37" ht="16.05" customHeight="1">
      <c r="A2421" s="152" t="s">
        <v>3776</v>
      </c>
      <c r="B2421" s="153">
        <v>800</v>
      </c>
      <c r="C2421" s="126" t="s">
        <v>2596</v>
      </c>
      <c r="D2421">
        <v>689</v>
      </c>
      <c r="E2421" s="126"/>
      <c r="F2421" s="125"/>
      <c r="G2421" s="125"/>
      <c r="H2421"/>
      <c r="I2421" s="125"/>
      <c r="J2421" s="308">
        <v>213</v>
      </c>
      <c r="K2421" s="127" t="s">
        <v>3797</v>
      </c>
      <c r="L2421" s="153" t="s">
        <v>1579</v>
      </c>
      <c r="M2421">
        <v>678</v>
      </c>
      <c r="N2421" s="123">
        <v>17</v>
      </c>
      <c r="O2421">
        <v>1574</v>
      </c>
      <c r="P2421" s="132" t="s">
        <v>77</v>
      </c>
      <c r="Q2421" s="132">
        <v>90</v>
      </c>
      <c r="R2421" s="132"/>
      <c r="S2421" s="132"/>
      <c r="T2421" s="156"/>
      <c r="U2421" s="132"/>
      <c r="V2421" s="132">
        <v>90</v>
      </c>
      <c r="W2421">
        <v>61</v>
      </c>
      <c r="X2421" s="153" t="s">
        <v>1644</v>
      </c>
      <c r="Y2421" s="124" t="s">
        <v>55</v>
      </c>
      <c r="Z2421" s="308">
        <v>213</v>
      </c>
      <c r="AB2421" t="str">
        <f>IF(Table1[[#This Row],[TIPO2]]="costo", VLOOKUP(Table1[[#This Row],[PARTIDA PRESUPUESTAL]],'Cost Report'!G:G,1,0),"Balance")</f>
        <v>2794-003</v>
      </c>
      <c r="AC2421" s="118"/>
      <c r="AD2421" s="159">
        <f>+Table1[[#This Row],[SUBTOTAL]]+Table1[[#This Row],[IVA]]-Table1[[#This Row],[RET IVA]]-Table1[[#This Row],[RET ISR]]-Table1[[#This Row],[TOTAL]]</f>
        <v>0</v>
      </c>
      <c r="AE2421" s="152"/>
      <c r="AF2421" s="153"/>
      <c r="AG2421" s="126" t="s">
        <v>3420</v>
      </c>
      <c r="AK2421" s="306">
        <f>IF(ISNUMBER(Table1[[#This Row],[FECHA DE RECIBIDO]]), Table1[[#This Row],[FECHA DE RECIBIDO]]-DATE(2023,8,30), "")</f>
        <v>-44955</v>
      </c>
    </row>
    <row r="2422" spans="1:37" ht="16.05" customHeight="1">
      <c r="A2422" s="150" t="s">
        <v>3776</v>
      </c>
      <c r="B2422" s="151">
        <v>800</v>
      </c>
      <c r="C2422" s="126" t="s">
        <v>2596</v>
      </c>
      <c r="D2422">
        <v>689</v>
      </c>
      <c r="E2422" s="126"/>
      <c r="F2422" s="122"/>
      <c r="G2422" s="122"/>
      <c r="H2422"/>
      <c r="I2422" s="122"/>
      <c r="J2422" s="307">
        <v>213</v>
      </c>
      <c r="K2422" s="127" t="s">
        <v>3797</v>
      </c>
      <c r="L2422" s="151" t="s">
        <v>1579</v>
      </c>
      <c r="M2422">
        <v>674</v>
      </c>
      <c r="N2422" s="123">
        <v>17</v>
      </c>
      <c r="O2422">
        <v>905</v>
      </c>
      <c r="P2422" s="132" t="s">
        <v>77</v>
      </c>
      <c r="Q2422" s="131">
        <v>20</v>
      </c>
      <c r="R2422" s="131"/>
      <c r="S2422" s="131"/>
      <c r="T2422" s="155"/>
      <c r="U2422" s="131"/>
      <c r="V2422" s="131">
        <v>20</v>
      </c>
      <c r="W2422">
        <v>61</v>
      </c>
      <c r="X2422" s="151" t="s">
        <v>1644</v>
      </c>
      <c r="Y2422" s="135" t="s">
        <v>55</v>
      </c>
      <c r="Z2422" s="307">
        <v>213</v>
      </c>
      <c r="AB2422" t="str">
        <f>IF(Table1[[#This Row],[TIPO2]]="costo", VLOOKUP(Table1[[#This Row],[PARTIDA PRESUPUESTAL]],'Cost Report'!G:G,1,0),"Balance")</f>
        <v>2794-003</v>
      </c>
      <c r="AC2422" s="118"/>
      <c r="AD2422" s="159">
        <f>+Table1[[#This Row],[SUBTOTAL]]+Table1[[#This Row],[IVA]]-Table1[[#This Row],[RET IVA]]-Table1[[#This Row],[RET ISR]]-Table1[[#This Row],[TOTAL]]</f>
        <v>0</v>
      </c>
      <c r="AE2422" s="150"/>
      <c r="AF2422" s="151"/>
      <c r="AG2422" s="126" t="s">
        <v>3420</v>
      </c>
      <c r="AK2422" s="306">
        <f>IF(ISNUMBER(Table1[[#This Row],[FECHA DE RECIBIDO]]), Table1[[#This Row],[FECHA DE RECIBIDO]]-DATE(2023,8,30), "")</f>
        <v>-44955</v>
      </c>
    </row>
    <row r="2423" spans="1:37" ht="16.05" customHeight="1">
      <c r="A2423" s="152" t="s">
        <v>3777</v>
      </c>
      <c r="B2423" s="153">
        <v>801</v>
      </c>
      <c r="C2423" s="126" t="s">
        <v>2596</v>
      </c>
      <c r="D2423">
        <v>1603</v>
      </c>
      <c r="E2423" s="126" t="s">
        <v>2096</v>
      </c>
      <c r="F2423" s="125" t="s">
        <v>1607</v>
      </c>
      <c r="G2423" s="125" t="s">
        <v>134</v>
      </c>
      <c r="H2423">
        <v>160</v>
      </c>
      <c r="I2423" s="125" t="s">
        <v>1546</v>
      </c>
      <c r="J2423" s="308" t="s">
        <v>214</v>
      </c>
      <c r="K2423" s="127" t="s">
        <v>3797</v>
      </c>
      <c r="L2423" s="153" t="s">
        <v>1579</v>
      </c>
      <c r="M2423">
        <v>213</v>
      </c>
      <c r="N2423" s="123">
        <v>17</v>
      </c>
      <c r="O2423">
        <v>1575</v>
      </c>
      <c r="P2423" s="132" t="s">
        <v>77</v>
      </c>
      <c r="Q2423" s="132">
        <v>1033.6199999999999</v>
      </c>
      <c r="R2423" s="132">
        <v>165.38</v>
      </c>
      <c r="S2423" s="132"/>
      <c r="T2423" s="156"/>
      <c r="U2423" s="132"/>
      <c r="V2423" s="132">
        <v>1199</v>
      </c>
      <c r="W2423">
        <v>62</v>
      </c>
      <c r="X2423" s="153" t="s">
        <v>1644</v>
      </c>
      <c r="Y2423" s="124" t="s">
        <v>55</v>
      </c>
      <c r="Z2423" s="308">
        <v>200</v>
      </c>
      <c r="AB2423" t="str">
        <f>IF(Table1[[#This Row],[TIPO2]]="costo", VLOOKUP(Table1[[#This Row],[PARTIDA PRESUPUESTAL]],'Cost Report'!G:G,1,0),"Balance")</f>
        <v>2794-003</v>
      </c>
      <c r="AC2423" s="118"/>
      <c r="AD2423" s="159">
        <f>+Table1[[#This Row],[SUBTOTAL]]+Table1[[#This Row],[IVA]]-Table1[[#This Row],[RET IVA]]-Table1[[#This Row],[RET ISR]]-Table1[[#This Row],[TOTAL]]</f>
        <v>0</v>
      </c>
      <c r="AE2423" s="152"/>
      <c r="AF2423" s="153"/>
      <c r="AG2423" s="126" t="s">
        <v>3420</v>
      </c>
      <c r="AK2423" s="306" t="str">
        <f>IF(ISNUMBER(Table1[[#This Row],[FECHA DE RECIBIDO]]), Table1[[#This Row],[FECHA DE RECIBIDO]]-DATE(2023,8,30), "")</f>
        <v/>
      </c>
    </row>
    <row r="2424" spans="1:37" ht="16.05" customHeight="1">
      <c r="A2424" s="150" t="s">
        <v>3777</v>
      </c>
      <c r="B2424" s="151">
        <v>801</v>
      </c>
      <c r="C2424" s="126" t="s">
        <v>2596</v>
      </c>
      <c r="D2424">
        <v>1604</v>
      </c>
      <c r="E2424" s="126" t="s">
        <v>2008</v>
      </c>
      <c r="F2424" s="122" t="s">
        <v>1607</v>
      </c>
      <c r="G2424" s="122" t="s">
        <v>134</v>
      </c>
      <c r="H2424">
        <v>102</v>
      </c>
      <c r="I2424" s="122" t="s">
        <v>1546</v>
      </c>
      <c r="J2424" s="307" t="s">
        <v>214</v>
      </c>
      <c r="K2424" s="127" t="s">
        <v>3797</v>
      </c>
      <c r="L2424" s="151" t="s">
        <v>1579</v>
      </c>
      <c r="M2424">
        <v>137</v>
      </c>
      <c r="N2424" s="123">
        <v>17</v>
      </c>
      <c r="O2424">
        <v>1576</v>
      </c>
      <c r="P2424" s="132" t="s">
        <v>77</v>
      </c>
      <c r="Q2424" s="131">
        <v>516.38</v>
      </c>
      <c r="R2424" s="131">
        <v>82.62</v>
      </c>
      <c r="S2424" s="131"/>
      <c r="T2424" s="155"/>
      <c r="U2424" s="131"/>
      <c r="V2424" s="131">
        <v>599</v>
      </c>
      <c r="W2424">
        <v>62</v>
      </c>
      <c r="X2424" s="151" t="s">
        <v>1644</v>
      </c>
      <c r="Y2424" s="135" t="s">
        <v>55</v>
      </c>
      <c r="Z2424" s="307">
        <v>204</v>
      </c>
      <c r="AB2424" t="str">
        <f>IF(Table1[[#This Row],[TIPO2]]="costo", VLOOKUP(Table1[[#This Row],[PARTIDA PRESUPUESTAL]],'Cost Report'!G:G,1,0),"Balance")</f>
        <v>2794-003</v>
      </c>
      <c r="AC2424" s="118"/>
      <c r="AD2424" s="159">
        <f>+Table1[[#This Row],[SUBTOTAL]]+Table1[[#This Row],[IVA]]-Table1[[#This Row],[RET IVA]]-Table1[[#This Row],[RET ISR]]-Table1[[#This Row],[TOTAL]]</f>
        <v>0</v>
      </c>
      <c r="AE2424" s="150"/>
      <c r="AF2424" s="151"/>
      <c r="AG2424" s="126" t="s">
        <v>3420</v>
      </c>
      <c r="AK2424" s="306" t="str">
        <f>IF(ISNUMBER(Table1[[#This Row],[FECHA DE RECIBIDO]]), Table1[[#This Row],[FECHA DE RECIBIDO]]-DATE(2023,8,30), "")</f>
        <v/>
      </c>
    </row>
    <row r="2425" spans="1:37" ht="16.05" customHeight="1">
      <c r="A2425" s="152" t="s">
        <v>3777</v>
      </c>
      <c r="B2425" s="153">
        <v>801</v>
      </c>
      <c r="C2425" s="126" t="s">
        <v>2596</v>
      </c>
      <c r="D2425">
        <v>1605</v>
      </c>
      <c r="E2425" s="126" t="s">
        <v>2004</v>
      </c>
      <c r="F2425" s="125" t="s">
        <v>1607</v>
      </c>
      <c r="G2425" s="125" t="s">
        <v>134</v>
      </c>
      <c r="H2425">
        <v>96</v>
      </c>
      <c r="I2425" s="125" t="s">
        <v>1546</v>
      </c>
      <c r="J2425" s="308" t="s">
        <v>214</v>
      </c>
      <c r="K2425" s="127" t="s">
        <v>3797</v>
      </c>
      <c r="L2425" s="153" t="s">
        <v>1579</v>
      </c>
      <c r="M2425">
        <v>679</v>
      </c>
      <c r="N2425" s="123">
        <v>17</v>
      </c>
      <c r="O2425">
        <v>1577</v>
      </c>
      <c r="P2425" s="132" t="s">
        <v>77</v>
      </c>
      <c r="Q2425" s="132">
        <v>1427.59</v>
      </c>
      <c r="R2425" s="132">
        <v>228.41</v>
      </c>
      <c r="S2425" s="132"/>
      <c r="T2425" s="156"/>
      <c r="U2425" s="132"/>
      <c r="V2425" s="132">
        <v>1656</v>
      </c>
      <c r="W2425">
        <v>62</v>
      </c>
      <c r="X2425" s="153" t="s">
        <v>1644</v>
      </c>
      <c r="Y2425" s="124" t="s">
        <v>55</v>
      </c>
      <c r="Z2425" s="308">
        <v>197</v>
      </c>
      <c r="AB2425" t="str">
        <f>IF(Table1[[#This Row],[TIPO2]]="costo", VLOOKUP(Table1[[#This Row],[PARTIDA PRESUPUESTAL]],'Cost Report'!G:G,1,0),"Balance")</f>
        <v>2794-003</v>
      </c>
      <c r="AC2425" s="118"/>
      <c r="AD2425" s="159">
        <f>+Table1[[#This Row],[SUBTOTAL]]+Table1[[#This Row],[IVA]]-Table1[[#This Row],[RET IVA]]-Table1[[#This Row],[RET ISR]]-Table1[[#This Row],[TOTAL]]</f>
        <v>0</v>
      </c>
      <c r="AE2425" s="152"/>
      <c r="AF2425" s="153"/>
      <c r="AG2425" s="126" t="s">
        <v>3420</v>
      </c>
      <c r="AK2425" s="306" t="str">
        <f>IF(ISNUMBER(Table1[[#This Row],[FECHA DE RECIBIDO]]), Table1[[#This Row],[FECHA DE RECIBIDO]]-DATE(2023,8,30), "")</f>
        <v/>
      </c>
    </row>
    <row r="2426" spans="1:37" ht="16.05" customHeight="1">
      <c r="A2426" s="150" t="s">
        <v>3777</v>
      </c>
      <c r="B2426" s="151">
        <v>801</v>
      </c>
      <c r="C2426" s="126" t="s">
        <v>2596</v>
      </c>
      <c r="D2426">
        <v>1606</v>
      </c>
      <c r="E2426" s="126" t="s">
        <v>2004</v>
      </c>
      <c r="F2426" s="122" t="s">
        <v>1607</v>
      </c>
      <c r="G2426" s="122" t="s">
        <v>134</v>
      </c>
      <c r="H2426">
        <v>96</v>
      </c>
      <c r="I2426" s="122" t="s">
        <v>1546</v>
      </c>
      <c r="J2426" s="307" t="s">
        <v>214</v>
      </c>
      <c r="K2426" s="127" t="s">
        <v>3797</v>
      </c>
      <c r="L2426" s="151" t="s">
        <v>1579</v>
      </c>
      <c r="M2426">
        <v>680</v>
      </c>
      <c r="N2426" s="123">
        <v>17</v>
      </c>
      <c r="O2426">
        <v>1578</v>
      </c>
      <c r="P2426" s="132" t="s">
        <v>77</v>
      </c>
      <c r="Q2426" s="131">
        <v>28.45</v>
      </c>
      <c r="R2426" s="131">
        <v>4.55</v>
      </c>
      <c r="S2426" s="131"/>
      <c r="T2426" s="155"/>
      <c r="U2426" s="131"/>
      <c r="V2426" s="131">
        <v>33</v>
      </c>
      <c r="W2426">
        <v>62</v>
      </c>
      <c r="X2426" s="151" t="s">
        <v>1644</v>
      </c>
      <c r="Y2426" s="135" t="s">
        <v>55</v>
      </c>
      <c r="Z2426" s="307">
        <v>230</v>
      </c>
      <c r="AB2426" t="str">
        <f>IF(Table1[[#This Row],[TIPO2]]="costo", VLOOKUP(Table1[[#This Row],[PARTIDA PRESUPUESTAL]],'Cost Report'!G:G,1,0),"Balance")</f>
        <v>2794-003</v>
      </c>
      <c r="AC2426" s="118"/>
      <c r="AD2426" s="159">
        <f>+Table1[[#This Row],[SUBTOTAL]]+Table1[[#This Row],[IVA]]-Table1[[#This Row],[RET IVA]]-Table1[[#This Row],[RET ISR]]-Table1[[#This Row],[TOTAL]]</f>
        <v>0</v>
      </c>
      <c r="AE2426" s="150"/>
      <c r="AF2426" s="151"/>
      <c r="AG2426" s="126" t="s">
        <v>3420</v>
      </c>
      <c r="AK2426" s="306" t="str">
        <f>IF(ISNUMBER(Table1[[#This Row],[FECHA DE RECIBIDO]]), Table1[[#This Row],[FECHA DE RECIBIDO]]-DATE(2023,8,30), "")</f>
        <v/>
      </c>
    </row>
    <row r="2427" spans="1:37" ht="16.05" customHeight="1">
      <c r="A2427" s="152" t="s">
        <v>3778</v>
      </c>
      <c r="B2427" s="153">
        <v>802</v>
      </c>
      <c r="C2427" s="126" t="s">
        <v>2352</v>
      </c>
      <c r="D2427">
        <v>1607</v>
      </c>
      <c r="E2427" s="126" t="s">
        <v>1641</v>
      </c>
      <c r="F2427" s="125" t="s">
        <v>1607</v>
      </c>
      <c r="G2427" s="125" t="s">
        <v>134</v>
      </c>
      <c r="H2427">
        <v>49</v>
      </c>
      <c r="I2427" s="125" t="s">
        <v>1546</v>
      </c>
      <c r="J2427" s="308" t="s">
        <v>214</v>
      </c>
      <c r="K2427" s="127" t="s">
        <v>3797</v>
      </c>
      <c r="L2427" s="153" t="s">
        <v>1579</v>
      </c>
      <c r="M2427">
        <v>681</v>
      </c>
      <c r="N2427" s="123">
        <v>17</v>
      </c>
      <c r="O2427">
        <v>1579</v>
      </c>
      <c r="P2427" s="132" t="s">
        <v>77</v>
      </c>
      <c r="Q2427" s="132">
        <v>4934</v>
      </c>
      <c r="R2427" s="132">
        <v>618</v>
      </c>
      <c r="S2427" s="132"/>
      <c r="T2427" s="156"/>
      <c r="U2427" s="132"/>
      <c r="V2427" s="132">
        <v>5552</v>
      </c>
      <c r="W2427">
        <v>225</v>
      </c>
      <c r="X2427" s="153" t="s">
        <v>1644</v>
      </c>
      <c r="Y2427" s="124" t="s">
        <v>55</v>
      </c>
      <c r="Z2427" s="308">
        <v>225</v>
      </c>
      <c r="AB2427" t="str">
        <f>IF(Table1[[#This Row],[TIPO2]]="costo", VLOOKUP(Table1[[#This Row],[PARTIDA PRESUPUESTAL]],'Cost Report'!G:G,1,0),"Balance")</f>
        <v>1640-009</v>
      </c>
      <c r="AC2427" s="118"/>
      <c r="AD2427" s="159">
        <f>+Table1[[#This Row],[SUBTOTAL]]+Table1[[#This Row],[IVA]]-Table1[[#This Row],[RET IVA]]-Table1[[#This Row],[RET ISR]]-Table1[[#This Row],[TOTAL]]</f>
        <v>0</v>
      </c>
      <c r="AE2427" s="152"/>
      <c r="AF2427" s="153"/>
      <c r="AG2427" s="126" t="s">
        <v>3420</v>
      </c>
      <c r="AK2427" s="306" t="str">
        <f>IF(ISNUMBER(Table1[[#This Row],[FECHA DE RECIBIDO]]), Table1[[#This Row],[FECHA DE RECIBIDO]]-DATE(2023,8,30), "")</f>
        <v/>
      </c>
    </row>
    <row r="2428" spans="1:37" ht="16.05" customHeight="1">
      <c r="A2428" s="150" t="s">
        <v>3778</v>
      </c>
      <c r="B2428" s="151">
        <v>802</v>
      </c>
      <c r="C2428" s="126" t="s">
        <v>2339</v>
      </c>
      <c r="D2428">
        <v>1608</v>
      </c>
      <c r="E2428" s="126" t="s">
        <v>1624</v>
      </c>
      <c r="F2428" s="122" t="s">
        <v>1607</v>
      </c>
      <c r="G2428" s="122" t="s">
        <v>134</v>
      </c>
      <c r="H2428">
        <v>46</v>
      </c>
      <c r="I2428" s="122" t="s">
        <v>1546</v>
      </c>
      <c r="J2428" s="307" t="s">
        <v>214</v>
      </c>
      <c r="K2428" s="127" t="s">
        <v>3797</v>
      </c>
      <c r="L2428" s="151" t="s">
        <v>1579</v>
      </c>
      <c r="M2428">
        <v>58</v>
      </c>
      <c r="N2428" s="123">
        <v>17</v>
      </c>
      <c r="O2428">
        <v>1580</v>
      </c>
      <c r="P2428" s="132" t="s">
        <v>77</v>
      </c>
      <c r="Q2428" s="131">
        <v>3669.51</v>
      </c>
      <c r="R2428" s="131">
        <v>409.18</v>
      </c>
      <c r="S2428" s="131"/>
      <c r="T2428" s="155"/>
      <c r="U2428" s="131"/>
      <c r="V2428" s="131">
        <v>4078.69</v>
      </c>
      <c r="W2428">
        <v>225</v>
      </c>
      <c r="X2428" s="151" t="s">
        <v>1644</v>
      </c>
      <c r="Y2428" s="135" t="s">
        <v>55</v>
      </c>
      <c r="Z2428" s="307">
        <v>225</v>
      </c>
      <c r="AB2428" t="str">
        <f>IF(Table1[[#This Row],[TIPO2]]="costo", VLOOKUP(Table1[[#This Row],[PARTIDA PRESUPUESTAL]],'Cost Report'!G:G,1,0),"Balance")</f>
        <v>1630-015</v>
      </c>
      <c r="AC2428" s="118"/>
      <c r="AD2428" s="159">
        <f>+Table1[[#This Row],[SUBTOTAL]]+Table1[[#This Row],[IVA]]-Table1[[#This Row],[RET IVA]]-Table1[[#This Row],[RET ISR]]-Table1[[#This Row],[TOTAL]]</f>
        <v>0</v>
      </c>
      <c r="AE2428" s="150"/>
      <c r="AF2428" s="151"/>
      <c r="AG2428" s="126" t="s">
        <v>3420</v>
      </c>
      <c r="AK2428" s="306" t="str">
        <f>IF(ISNUMBER(Table1[[#This Row],[FECHA DE RECIBIDO]]), Table1[[#This Row],[FECHA DE RECIBIDO]]-DATE(2023,8,30), "")</f>
        <v/>
      </c>
    </row>
    <row r="2429" spans="1:37" ht="16.05" customHeight="1">
      <c r="A2429" s="152" t="s">
        <v>3778</v>
      </c>
      <c r="B2429" s="153">
        <v>802</v>
      </c>
      <c r="C2429" s="126" t="s">
        <v>1770</v>
      </c>
      <c r="D2429">
        <v>1609</v>
      </c>
      <c r="E2429" s="126" t="s">
        <v>1624</v>
      </c>
      <c r="F2429" s="125" t="s">
        <v>1607</v>
      </c>
      <c r="G2429" s="125" t="s">
        <v>134</v>
      </c>
      <c r="H2429">
        <v>46</v>
      </c>
      <c r="I2429" s="125" t="s">
        <v>1546</v>
      </c>
      <c r="J2429" s="308" t="s">
        <v>214</v>
      </c>
      <c r="K2429" s="127" t="s">
        <v>3797</v>
      </c>
      <c r="L2429" s="153" t="s">
        <v>1579</v>
      </c>
      <c r="M2429">
        <v>58</v>
      </c>
      <c r="N2429" s="123">
        <v>17</v>
      </c>
      <c r="O2429">
        <v>1581</v>
      </c>
      <c r="P2429" s="132" t="s">
        <v>77</v>
      </c>
      <c r="Q2429" s="132">
        <v>7625.12</v>
      </c>
      <c r="R2429" s="132">
        <v>864.14</v>
      </c>
      <c r="S2429" s="132"/>
      <c r="T2429" s="156"/>
      <c r="U2429" s="132"/>
      <c r="V2429" s="132">
        <v>8489.26</v>
      </c>
      <c r="W2429">
        <v>225</v>
      </c>
      <c r="X2429" s="153" t="s">
        <v>1644</v>
      </c>
      <c r="Y2429" s="124" t="s">
        <v>55</v>
      </c>
      <c r="Z2429" s="308">
        <v>225</v>
      </c>
      <c r="AB2429" t="str">
        <f>IF(Table1[[#This Row],[TIPO2]]="costo", VLOOKUP(Table1[[#This Row],[PARTIDA PRESUPUESTAL]],'Cost Report'!G:G,1,0),"Balance")</f>
        <v>3901-038</v>
      </c>
      <c r="AC2429" s="118"/>
      <c r="AD2429" s="159">
        <f>+Table1[[#This Row],[SUBTOTAL]]+Table1[[#This Row],[IVA]]-Table1[[#This Row],[RET IVA]]-Table1[[#This Row],[RET ISR]]-Table1[[#This Row],[TOTAL]]</f>
        <v>0</v>
      </c>
      <c r="AE2429" s="152"/>
      <c r="AF2429" s="153"/>
      <c r="AG2429" s="126" t="s">
        <v>3420</v>
      </c>
      <c r="AK2429" s="306" t="str">
        <f>IF(ISNUMBER(Table1[[#This Row],[FECHA DE RECIBIDO]]), Table1[[#This Row],[FECHA DE RECIBIDO]]-DATE(2023,8,30), "")</f>
        <v/>
      </c>
    </row>
    <row r="2430" spans="1:37" ht="16.05" customHeight="1">
      <c r="A2430" s="150" t="s">
        <v>3779</v>
      </c>
      <c r="B2430" s="151">
        <v>803</v>
      </c>
      <c r="C2430" s="126" t="s">
        <v>2617</v>
      </c>
      <c r="D2430">
        <v>1610</v>
      </c>
      <c r="E2430" s="126" t="s">
        <v>3354</v>
      </c>
      <c r="F2430" s="122" t="s">
        <v>1607</v>
      </c>
      <c r="G2430" s="122" t="s">
        <v>134</v>
      </c>
      <c r="H2430">
        <v>472</v>
      </c>
      <c r="I2430" s="122" t="s">
        <v>1546</v>
      </c>
      <c r="J2430" s="307" t="s">
        <v>214</v>
      </c>
      <c r="K2430" s="127" t="s">
        <v>3797</v>
      </c>
      <c r="L2430" s="151" t="s">
        <v>1579</v>
      </c>
      <c r="M2430">
        <v>682</v>
      </c>
      <c r="N2430" s="123">
        <v>17</v>
      </c>
      <c r="O2430">
        <v>1582</v>
      </c>
      <c r="P2430" s="132" t="s">
        <v>77</v>
      </c>
      <c r="Q2430" s="131">
        <v>560</v>
      </c>
      <c r="R2430" s="131">
        <v>89.6</v>
      </c>
      <c r="S2430" s="131"/>
      <c r="T2430" s="155"/>
      <c r="U2430" s="131"/>
      <c r="V2430" s="131">
        <v>649.6</v>
      </c>
      <c r="W2430">
        <v>146</v>
      </c>
      <c r="X2430" s="151" t="s">
        <v>1644</v>
      </c>
      <c r="Y2430" s="135" t="s">
        <v>55</v>
      </c>
      <c r="Z2430" s="307">
        <v>223</v>
      </c>
      <c r="AB2430" t="str">
        <f>IF(Table1[[#This Row],[TIPO2]]="costo", VLOOKUP(Table1[[#This Row],[PARTIDA PRESUPUESTAL]],'Cost Report'!G:G,1,0),"Balance")</f>
        <v>2885-003</v>
      </c>
      <c r="AC2430" s="118"/>
      <c r="AD2430" s="159">
        <f>+Table1[[#This Row],[SUBTOTAL]]+Table1[[#This Row],[IVA]]-Table1[[#This Row],[RET IVA]]-Table1[[#This Row],[RET ISR]]-Table1[[#This Row],[TOTAL]]</f>
        <v>0</v>
      </c>
      <c r="AE2430" s="150"/>
      <c r="AF2430" s="151"/>
      <c r="AG2430" s="126" t="s">
        <v>3420</v>
      </c>
      <c r="AK2430" s="306" t="str">
        <f>IF(ISNUMBER(Table1[[#This Row],[FECHA DE RECIBIDO]]), Table1[[#This Row],[FECHA DE RECIBIDO]]-DATE(2023,8,30), "")</f>
        <v/>
      </c>
    </row>
    <row r="2431" spans="1:37" ht="16.05" customHeight="1">
      <c r="A2431" s="152" t="s">
        <v>3779</v>
      </c>
      <c r="B2431" s="153">
        <v>803</v>
      </c>
      <c r="C2431" s="126" t="s">
        <v>2616</v>
      </c>
      <c r="D2431">
        <v>1611</v>
      </c>
      <c r="E2431" s="126" t="s">
        <v>1999</v>
      </c>
      <c r="F2431" s="125" t="s">
        <v>1607</v>
      </c>
      <c r="G2431" s="125" t="s">
        <v>134</v>
      </c>
      <c r="H2431">
        <v>459</v>
      </c>
      <c r="I2431" s="125" t="s">
        <v>1546</v>
      </c>
      <c r="J2431" s="308" t="s">
        <v>214</v>
      </c>
      <c r="K2431" s="127" t="s">
        <v>3797</v>
      </c>
      <c r="L2431" s="153" t="s">
        <v>1579</v>
      </c>
      <c r="M2431">
        <v>635</v>
      </c>
      <c r="N2431" s="123">
        <v>17</v>
      </c>
      <c r="O2431">
        <v>1583</v>
      </c>
      <c r="P2431" s="132" t="s">
        <v>77</v>
      </c>
      <c r="Q2431" s="132">
        <v>1456.04</v>
      </c>
      <c r="R2431" s="132">
        <v>232.97</v>
      </c>
      <c r="S2431" s="132"/>
      <c r="T2431" s="156"/>
      <c r="U2431" s="132"/>
      <c r="V2431" s="132">
        <v>1985.99</v>
      </c>
      <c r="W2431">
        <v>146</v>
      </c>
      <c r="X2431" s="153" t="s">
        <v>1644</v>
      </c>
      <c r="Y2431" s="124" t="s">
        <v>55</v>
      </c>
      <c r="Z2431" s="308">
        <v>230</v>
      </c>
      <c r="AB2431" t="str">
        <f>IF(Table1[[#This Row],[TIPO2]]="costo", VLOOKUP(Table1[[#This Row],[PARTIDA PRESUPUESTAL]],'Cost Report'!G:G,1,0),"Balance")</f>
        <v>2808-003</v>
      </c>
      <c r="AC2431" s="118"/>
      <c r="AD2431" s="159">
        <f>+Table1[[#This Row],[SUBTOTAL]]+Table1[[#This Row],[IVA]]-Table1[[#This Row],[RET IVA]]-Table1[[#This Row],[RET ISR]]-Table1[[#This Row],[TOTAL]]</f>
        <v>-296.98</v>
      </c>
      <c r="AE2431" s="152"/>
      <c r="AF2431" s="153"/>
      <c r="AG2431" s="126" t="s">
        <v>3420</v>
      </c>
      <c r="AK2431" s="306" t="str">
        <f>IF(ISNUMBER(Table1[[#This Row],[FECHA DE RECIBIDO]]), Table1[[#This Row],[FECHA DE RECIBIDO]]-DATE(2023,8,30), "")</f>
        <v/>
      </c>
    </row>
    <row r="2432" spans="1:37" ht="16.05" customHeight="1">
      <c r="A2432" s="150" t="s">
        <v>3779</v>
      </c>
      <c r="B2432" s="151">
        <v>803</v>
      </c>
      <c r="C2432" s="126" t="s">
        <v>2616</v>
      </c>
      <c r="D2432">
        <v>1612</v>
      </c>
      <c r="E2432" s="126" t="s">
        <v>1598</v>
      </c>
      <c r="F2432" s="122" t="s">
        <v>1607</v>
      </c>
      <c r="G2432" s="122" t="s">
        <v>134</v>
      </c>
      <c r="H2432">
        <v>156</v>
      </c>
      <c r="I2432" s="122" t="s">
        <v>1546</v>
      </c>
      <c r="J2432" s="307" t="s">
        <v>214</v>
      </c>
      <c r="K2432" s="127" t="s">
        <v>3797</v>
      </c>
      <c r="L2432" s="151" t="s">
        <v>1579</v>
      </c>
      <c r="M2432">
        <v>207</v>
      </c>
      <c r="N2432" s="123">
        <v>17</v>
      </c>
      <c r="O2432">
        <v>1584</v>
      </c>
      <c r="P2432" s="132" t="s">
        <v>77</v>
      </c>
      <c r="Q2432" s="131">
        <v>637.07000000000005</v>
      </c>
      <c r="R2432" s="131">
        <v>101.93</v>
      </c>
      <c r="S2432" s="131"/>
      <c r="T2432" s="155"/>
      <c r="U2432" s="131"/>
      <c r="V2432" s="131">
        <v>739</v>
      </c>
      <c r="W2432">
        <v>146</v>
      </c>
      <c r="X2432" s="151" t="s">
        <v>1644</v>
      </c>
      <c r="Y2432" s="135" t="s">
        <v>55</v>
      </c>
      <c r="Z2432" s="307">
        <v>229</v>
      </c>
      <c r="AB2432" t="str">
        <f>IF(Table1[[#This Row],[TIPO2]]="costo", VLOOKUP(Table1[[#This Row],[PARTIDA PRESUPUESTAL]],'Cost Report'!G:G,1,0),"Balance")</f>
        <v>2808-003</v>
      </c>
      <c r="AC2432" s="118"/>
      <c r="AD2432" s="159">
        <f>+Table1[[#This Row],[SUBTOTAL]]+Table1[[#This Row],[IVA]]-Table1[[#This Row],[RET IVA]]-Table1[[#This Row],[RET ISR]]-Table1[[#This Row],[TOTAL]]</f>
        <v>0</v>
      </c>
      <c r="AE2432" s="150"/>
      <c r="AF2432" s="151"/>
      <c r="AG2432" s="126" t="s">
        <v>3420</v>
      </c>
      <c r="AK2432" s="306" t="str">
        <f>IF(ISNUMBER(Table1[[#This Row],[FECHA DE RECIBIDO]]), Table1[[#This Row],[FECHA DE RECIBIDO]]-DATE(2023,8,30), "")</f>
        <v/>
      </c>
    </row>
    <row r="2433" spans="1:37" ht="16.05" customHeight="1">
      <c r="A2433" s="152" t="s">
        <v>3779</v>
      </c>
      <c r="B2433" s="153">
        <v>803</v>
      </c>
      <c r="C2433" s="126" t="s">
        <v>2616</v>
      </c>
      <c r="D2433">
        <v>1613</v>
      </c>
      <c r="E2433" s="126" t="s">
        <v>1598</v>
      </c>
      <c r="F2433" s="125" t="s">
        <v>1607</v>
      </c>
      <c r="G2433" s="125" t="s">
        <v>134</v>
      </c>
      <c r="H2433">
        <v>101</v>
      </c>
      <c r="I2433" s="125" t="s">
        <v>1546</v>
      </c>
      <c r="J2433" s="308" t="s">
        <v>214</v>
      </c>
      <c r="K2433" s="127" t="s">
        <v>3797</v>
      </c>
      <c r="L2433" s="153" t="s">
        <v>1579</v>
      </c>
      <c r="M2433">
        <v>136</v>
      </c>
      <c r="N2433" s="123">
        <v>17</v>
      </c>
      <c r="O2433">
        <v>1585</v>
      </c>
      <c r="P2433" s="132" t="s">
        <v>77</v>
      </c>
      <c r="Q2433" s="132">
        <v>1343.1</v>
      </c>
      <c r="R2433" s="132">
        <v>214.9</v>
      </c>
      <c r="S2433" s="132"/>
      <c r="T2433" s="156"/>
      <c r="U2433" s="132"/>
      <c r="V2433" s="132">
        <v>1558</v>
      </c>
      <c r="W2433">
        <v>146</v>
      </c>
      <c r="X2433" s="153" t="s">
        <v>1644</v>
      </c>
      <c r="Y2433" s="124" t="s">
        <v>55</v>
      </c>
      <c r="Z2433" s="308">
        <v>229</v>
      </c>
      <c r="AB2433" t="str">
        <f>IF(Table1[[#This Row],[TIPO2]]="costo", VLOOKUP(Table1[[#This Row],[PARTIDA PRESUPUESTAL]],'Cost Report'!G:G,1,0),"Balance")</f>
        <v>2808-003</v>
      </c>
      <c r="AC2433" s="118"/>
      <c r="AD2433" s="159">
        <f>+Table1[[#This Row],[SUBTOTAL]]+Table1[[#This Row],[IVA]]-Table1[[#This Row],[RET IVA]]-Table1[[#This Row],[RET ISR]]-Table1[[#This Row],[TOTAL]]</f>
        <v>0</v>
      </c>
      <c r="AE2433" s="152"/>
      <c r="AF2433" s="153"/>
      <c r="AG2433" s="126" t="s">
        <v>3420</v>
      </c>
      <c r="AK2433" s="306" t="str">
        <f>IF(ISNUMBER(Table1[[#This Row],[FECHA DE RECIBIDO]]), Table1[[#This Row],[FECHA DE RECIBIDO]]-DATE(2023,8,30), "")</f>
        <v/>
      </c>
    </row>
    <row r="2434" spans="1:37" ht="16.05" customHeight="1">
      <c r="A2434" s="150" t="s">
        <v>3779</v>
      </c>
      <c r="B2434" s="151">
        <v>803</v>
      </c>
      <c r="C2434" s="126" t="s">
        <v>2616</v>
      </c>
      <c r="D2434">
        <v>1614</v>
      </c>
      <c r="E2434" s="126" t="s">
        <v>1598</v>
      </c>
      <c r="F2434" s="122" t="s">
        <v>1607</v>
      </c>
      <c r="G2434" s="122" t="s">
        <v>134</v>
      </c>
      <c r="H2434">
        <v>101</v>
      </c>
      <c r="I2434" s="122" t="s">
        <v>1546</v>
      </c>
      <c r="J2434" s="307" t="s">
        <v>214</v>
      </c>
      <c r="K2434" s="127" t="s">
        <v>3797</v>
      </c>
      <c r="L2434" s="151" t="s">
        <v>1579</v>
      </c>
      <c r="M2434">
        <v>136</v>
      </c>
      <c r="N2434" s="123">
        <v>17</v>
      </c>
      <c r="O2434">
        <v>1586</v>
      </c>
      <c r="P2434" s="132" t="s">
        <v>77</v>
      </c>
      <c r="Q2434" s="131">
        <v>1120.7</v>
      </c>
      <c r="R2434" s="131">
        <v>179.32</v>
      </c>
      <c r="S2434" s="131"/>
      <c r="T2434" s="155"/>
      <c r="U2434" s="131"/>
      <c r="V2434" s="131">
        <v>1300.02</v>
      </c>
      <c r="W2434">
        <v>146</v>
      </c>
      <c r="X2434" s="151" t="s">
        <v>1644</v>
      </c>
      <c r="Y2434" s="135" t="s">
        <v>55</v>
      </c>
      <c r="Z2434" s="307">
        <v>229</v>
      </c>
      <c r="AB2434" t="str">
        <f>IF(Table1[[#This Row],[TIPO2]]="costo", VLOOKUP(Table1[[#This Row],[PARTIDA PRESUPUESTAL]],'Cost Report'!G:G,1,0),"Balance")</f>
        <v>2808-003</v>
      </c>
      <c r="AC2434" s="118"/>
      <c r="AD2434" s="159">
        <f>+Table1[[#This Row],[SUBTOTAL]]+Table1[[#This Row],[IVA]]-Table1[[#This Row],[RET IVA]]-Table1[[#This Row],[RET ISR]]-Table1[[#This Row],[TOTAL]]</f>
        <v>0</v>
      </c>
      <c r="AE2434" s="150"/>
      <c r="AF2434" s="151"/>
      <c r="AG2434" s="126" t="s">
        <v>3420</v>
      </c>
      <c r="AK2434" s="306" t="str">
        <f>IF(ISNUMBER(Table1[[#This Row],[FECHA DE RECIBIDO]]), Table1[[#This Row],[FECHA DE RECIBIDO]]-DATE(2023,8,30), "")</f>
        <v/>
      </c>
    </row>
    <row r="2435" spans="1:37" ht="16.05" customHeight="1">
      <c r="A2435" s="152" t="s">
        <v>3779</v>
      </c>
      <c r="B2435" s="153">
        <v>803</v>
      </c>
      <c r="C2435" s="126" t="s">
        <v>2616</v>
      </c>
      <c r="D2435">
        <v>1615</v>
      </c>
      <c r="E2435" s="126" t="e">
        <v>#N/A</v>
      </c>
      <c r="F2435" s="125" t="e">
        <v>#N/A</v>
      </c>
      <c r="G2435" s="125" t="e">
        <v>#N/A</v>
      </c>
      <c r="H2435">
        <v>36</v>
      </c>
      <c r="I2435" s="125" t="e">
        <v>#N/A</v>
      </c>
      <c r="J2435" s="308" t="s">
        <v>214</v>
      </c>
      <c r="K2435" s="127" t="s">
        <v>3797</v>
      </c>
      <c r="L2435" s="153" t="s">
        <v>1579</v>
      </c>
      <c r="M2435">
        <v>683</v>
      </c>
      <c r="N2435" s="123">
        <v>17</v>
      </c>
      <c r="O2435">
        <v>1587</v>
      </c>
      <c r="P2435" s="132" t="s">
        <v>77</v>
      </c>
      <c r="Q2435" s="132">
        <v>4310.34</v>
      </c>
      <c r="R2435" s="132">
        <v>689.66</v>
      </c>
      <c r="S2435" s="132"/>
      <c r="T2435" s="156"/>
      <c r="U2435" s="132"/>
      <c r="V2435" s="132">
        <v>5000</v>
      </c>
      <c r="W2435">
        <v>146</v>
      </c>
      <c r="X2435" s="153" t="s">
        <v>1644</v>
      </c>
      <c r="Y2435" s="124" t="s">
        <v>55</v>
      </c>
      <c r="Z2435" s="308">
        <v>231</v>
      </c>
      <c r="AB2435" t="str">
        <f>IF(Table1[[#This Row],[TIPO2]]="costo", VLOOKUP(Table1[[#This Row],[PARTIDA PRESUPUESTAL]],'Cost Report'!G:G,1,0),"Balance")</f>
        <v>2808-003</v>
      </c>
      <c r="AC2435" s="118"/>
      <c r="AD2435" s="159">
        <f>+Table1[[#This Row],[SUBTOTAL]]+Table1[[#This Row],[IVA]]-Table1[[#This Row],[RET IVA]]-Table1[[#This Row],[RET ISR]]-Table1[[#This Row],[TOTAL]]</f>
        <v>0</v>
      </c>
      <c r="AE2435" s="152"/>
      <c r="AF2435" s="153"/>
      <c r="AG2435" s="126" t="s">
        <v>3420</v>
      </c>
      <c r="AK2435" s="306" t="str">
        <f>IF(ISNUMBER(Table1[[#This Row],[FECHA DE RECIBIDO]]), Table1[[#This Row],[FECHA DE RECIBIDO]]-DATE(2023,8,30), "")</f>
        <v/>
      </c>
    </row>
    <row r="2436" spans="1:37" ht="16.05" customHeight="1">
      <c r="A2436" s="150" t="s">
        <v>3779</v>
      </c>
      <c r="B2436" s="151">
        <v>803</v>
      </c>
      <c r="C2436" s="126" t="s">
        <v>2616</v>
      </c>
      <c r="D2436">
        <v>1616</v>
      </c>
      <c r="E2436" s="126" t="e">
        <v>#N/A</v>
      </c>
      <c r="F2436" s="122" t="e">
        <v>#N/A</v>
      </c>
      <c r="G2436" s="122" t="e">
        <v>#N/A</v>
      </c>
      <c r="H2436">
        <v>36</v>
      </c>
      <c r="I2436" s="122" t="e">
        <v>#N/A</v>
      </c>
      <c r="J2436" s="307" t="s">
        <v>214</v>
      </c>
      <c r="K2436" s="127" t="s">
        <v>3797</v>
      </c>
      <c r="L2436" s="151" t="s">
        <v>1579</v>
      </c>
      <c r="M2436">
        <v>683</v>
      </c>
      <c r="N2436" s="123">
        <v>17</v>
      </c>
      <c r="O2436">
        <v>1588</v>
      </c>
      <c r="P2436" s="132" t="s">
        <v>77</v>
      </c>
      <c r="Q2436" s="131">
        <v>3871.61</v>
      </c>
      <c r="R2436" s="131">
        <v>619.46</v>
      </c>
      <c r="S2436" s="131"/>
      <c r="T2436" s="155"/>
      <c r="U2436" s="131"/>
      <c r="V2436" s="131">
        <v>4491.07</v>
      </c>
      <c r="W2436">
        <v>146</v>
      </c>
      <c r="X2436" s="151" t="s">
        <v>1644</v>
      </c>
      <c r="Y2436" s="135" t="s">
        <v>55</v>
      </c>
      <c r="Z2436" s="307">
        <v>232</v>
      </c>
      <c r="AB2436" t="str">
        <f>IF(Table1[[#This Row],[TIPO2]]="costo", VLOOKUP(Table1[[#This Row],[PARTIDA PRESUPUESTAL]],'Cost Report'!G:G,1,0),"Balance")</f>
        <v>2808-003</v>
      </c>
      <c r="AC2436" s="118"/>
      <c r="AD2436" s="159">
        <f>+Table1[[#This Row],[SUBTOTAL]]+Table1[[#This Row],[IVA]]-Table1[[#This Row],[RET IVA]]-Table1[[#This Row],[RET ISR]]-Table1[[#This Row],[TOTAL]]</f>
        <v>0</v>
      </c>
      <c r="AE2436" s="150"/>
      <c r="AF2436" s="151"/>
      <c r="AG2436" s="126" t="s">
        <v>3420</v>
      </c>
      <c r="AK2436" s="306" t="str">
        <f>IF(ISNUMBER(Table1[[#This Row],[FECHA DE RECIBIDO]]), Table1[[#This Row],[FECHA DE RECIBIDO]]-DATE(2023,8,30), "")</f>
        <v/>
      </c>
    </row>
    <row r="2437" spans="1:37" ht="16.05" customHeight="1">
      <c r="A2437" s="152" t="s">
        <v>3779</v>
      </c>
      <c r="B2437" s="153">
        <v>803</v>
      </c>
      <c r="C2437" s="126" t="s">
        <v>2616</v>
      </c>
      <c r="D2437">
        <v>1617</v>
      </c>
      <c r="E2437" s="126" t="e">
        <v>#N/A</v>
      </c>
      <c r="F2437" s="125" t="e">
        <v>#N/A</v>
      </c>
      <c r="G2437" s="125" t="e">
        <v>#N/A</v>
      </c>
      <c r="H2437">
        <v>36</v>
      </c>
      <c r="I2437" s="125" t="e">
        <v>#N/A</v>
      </c>
      <c r="J2437" s="308" t="s">
        <v>214</v>
      </c>
      <c r="K2437" s="127" t="s">
        <v>3797</v>
      </c>
      <c r="L2437" s="153" t="s">
        <v>1579</v>
      </c>
      <c r="M2437">
        <v>684</v>
      </c>
      <c r="N2437" s="123">
        <v>17</v>
      </c>
      <c r="O2437">
        <v>1589</v>
      </c>
      <c r="P2437" s="132" t="s">
        <v>77</v>
      </c>
      <c r="Q2437" s="132">
        <v>689.66</v>
      </c>
      <c r="R2437" s="132">
        <v>110.34</v>
      </c>
      <c r="S2437" s="132"/>
      <c r="T2437" s="156"/>
      <c r="U2437" s="132"/>
      <c r="V2437" s="132">
        <v>800</v>
      </c>
      <c r="W2437">
        <v>146</v>
      </c>
      <c r="X2437" s="153" t="s">
        <v>1644</v>
      </c>
      <c r="Y2437" s="124" t="s">
        <v>55</v>
      </c>
      <c r="Z2437" s="308">
        <v>225</v>
      </c>
      <c r="AB2437" t="str">
        <f>IF(Table1[[#This Row],[TIPO2]]="costo", VLOOKUP(Table1[[#This Row],[PARTIDA PRESUPUESTAL]],'Cost Report'!G:G,1,0),"Balance")</f>
        <v>2808-003</v>
      </c>
      <c r="AC2437" s="118"/>
      <c r="AD2437" s="159">
        <f>+Table1[[#This Row],[SUBTOTAL]]+Table1[[#This Row],[IVA]]-Table1[[#This Row],[RET IVA]]-Table1[[#This Row],[RET ISR]]-Table1[[#This Row],[TOTAL]]</f>
        <v>0</v>
      </c>
      <c r="AE2437" s="152"/>
      <c r="AF2437" s="153"/>
      <c r="AG2437" s="126" t="s">
        <v>3420</v>
      </c>
      <c r="AK2437" s="306" t="str">
        <f>IF(ISNUMBER(Table1[[#This Row],[FECHA DE RECIBIDO]]), Table1[[#This Row],[FECHA DE RECIBIDO]]-DATE(2023,8,30), "")</f>
        <v/>
      </c>
    </row>
    <row r="2438" spans="1:37" ht="16.05" customHeight="1">
      <c r="A2438" s="150" t="s">
        <v>3779</v>
      </c>
      <c r="B2438" s="151">
        <v>803</v>
      </c>
      <c r="C2438" s="126" t="s">
        <v>2617</v>
      </c>
      <c r="D2438">
        <v>1618</v>
      </c>
      <c r="E2438" s="126" t="s">
        <v>1598</v>
      </c>
      <c r="F2438" s="122" t="s">
        <v>1607</v>
      </c>
      <c r="G2438" s="122" t="s">
        <v>134</v>
      </c>
      <c r="H2438">
        <v>291</v>
      </c>
      <c r="I2438" s="122" t="s">
        <v>1546</v>
      </c>
      <c r="J2438" s="307" t="s">
        <v>214</v>
      </c>
      <c r="K2438" s="127" t="s">
        <v>3797</v>
      </c>
      <c r="L2438" s="151" t="s">
        <v>1579</v>
      </c>
      <c r="M2438">
        <v>385</v>
      </c>
      <c r="N2438" s="123">
        <v>17</v>
      </c>
      <c r="O2438">
        <v>1590</v>
      </c>
      <c r="P2438" s="132" t="s">
        <v>77</v>
      </c>
      <c r="Q2438" s="131">
        <v>309.83999999999997</v>
      </c>
      <c r="R2438" s="131">
        <v>49.56</v>
      </c>
      <c r="S2438" s="131"/>
      <c r="T2438" s="155"/>
      <c r="U2438" s="131"/>
      <c r="V2438" s="131">
        <v>359.4</v>
      </c>
      <c r="W2438">
        <v>146</v>
      </c>
      <c r="X2438" s="151" t="s">
        <v>1644</v>
      </c>
      <c r="Y2438" s="135" t="s">
        <v>55</v>
      </c>
      <c r="Z2438" s="307">
        <v>225</v>
      </c>
      <c r="AB2438" t="str">
        <f>IF(Table1[[#This Row],[TIPO2]]="costo", VLOOKUP(Table1[[#This Row],[PARTIDA PRESUPUESTAL]],'Cost Report'!G:G,1,0),"Balance")</f>
        <v>2885-003</v>
      </c>
      <c r="AC2438" s="118"/>
      <c r="AD2438" s="159">
        <f>+Table1[[#This Row],[SUBTOTAL]]+Table1[[#This Row],[IVA]]-Table1[[#This Row],[RET IVA]]-Table1[[#This Row],[RET ISR]]-Table1[[#This Row],[TOTAL]]</f>
        <v>0</v>
      </c>
      <c r="AE2438" s="150"/>
      <c r="AF2438" s="151"/>
      <c r="AG2438" s="126" t="s">
        <v>3420</v>
      </c>
      <c r="AK2438" s="306" t="str">
        <f>IF(ISNUMBER(Table1[[#This Row],[FECHA DE RECIBIDO]]), Table1[[#This Row],[FECHA DE RECIBIDO]]-DATE(2023,8,30), "")</f>
        <v/>
      </c>
    </row>
    <row r="2439" spans="1:37" ht="16.05" customHeight="1">
      <c r="A2439" s="152" t="s">
        <v>3779</v>
      </c>
      <c r="B2439" s="153">
        <v>803</v>
      </c>
      <c r="C2439" s="126" t="s">
        <v>2617</v>
      </c>
      <c r="D2439">
        <v>1619</v>
      </c>
      <c r="E2439" s="126" t="s">
        <v>1598</v>
      </c>
      <c r="F2439" s="125" t="s">
        <v>1607</v>
      </c>
      <c r="G2439" s="125" t="s">
        <v>134</v>
      </c>
      <c r="H2439">
        <v>41</v>
      </c>
      <c r="I2439" s="125" t="s">
        <v>1546</v>
      </c>
      <c r="J2439" s="308" t="s">
        <v>214</v>
      </c>
      <c r="K2439" s="127" t="s">
        <v>3797</v>
      </c>
      <c r="L2439" s="153" t="s">
        <v>1579</v>
      </c>
      <c r="M2439">
        <v>101</v>
      </c>
      <c r="N2439" s="123">
        <v>17</v>
      </c>
      <c r="O2439">
        <v>1591</v>
      </c>
      <c r="P2439" s="132" t="s">
        <v>77</v>
      </c>
      <c r="Q2439" s="132">
        <v>629.29</v>
      </c>
      <c r="R2439" s="132">
        <v>100.69</v>
      </c>
      <c r="S2439" s="132"/>
      <c r="T2439" s="156"/>
      <c r="U2439" s="132"/>
      <c r="V2439" s="132">
        <v>729.98</v>
      </c>
      <c r="W2439">
        <v>146</v>
      </c>
      <c r="X2439" s="153" t="s">
        <v>1644</v>
      </c>
      <c r="Y2439" s="124" t="s">
        <v>55</v>
      </c>
      <c r="Z2439" s="308">
        <v>225</v>
      </c>
      <c r="AB2439" t="str">
        <f>IF(Table1[[#This Row],[TIPO2]]="costo", VLOOKUP(Table1[[#This Row],[PARTIDA PRESUPUESTAL]],'Cost Report'!G:G,1,0),"Balance")</f>
        <v>2885-003</v>
      </c>
      <c r="AC2439" s="118"/>
      <c r="AD2439" s="159">
        <f>+Table1[[#This Row],[SUBTOTAL]]+Table1[[#This Row],[IVA]]-Table1[[#This Row],[RET IVA]]-Table1[[#This Row],[RET ISR]]-Table1[[#This Row],[TOTAL]]</f>
        <v>0</v>
      </c>
      <c r="AE2439" s="152"/>
      <c r="AF2439" s="153"/>
      <c r="AG2439" s="126" t="s">
        <v>3420</v>
      </c>
      <c r="AK2439" s="306" t="str">
        <f>IF(ISNUMBER(Table1[[#This Row],[FECHA DE RECIBIDO]]), Table1[[#This Row],[FECHA DE RECIBIDO]]-DATE(2023,8,30), "")</f>
        <v/>
      </c>
    </row>
    <row r="2440" spans="1:37" ht="16.05" customHeight="1">
      <c r="A2440" s="150" t="s">
        <v>3779</v>
      </c>
      <c r="B2440" s="151">
        <v>803</v>
      </c>
      <c r="C2440" s="126" t="s">
        <v>2616</v>
      </c>
      <c r="D2440">
        <v>1620</v>
      </c>
      <c r="E2440" s="126" t="s">
        <v>1999</v>
      </c>
      <c r="F2440" s="122" t="s">
        <v>1607</v>
      </c>
      <c r="G2440" s="122" t="s">
        <v>134</v>
      </c>
      <c r="H2440">
        <v>292</v>
      </c>
      <c r="I2440" s="122" t="s">
        <v>1546</v>
      </c>
      <c r="J2440" s="307" t="s">
        <v>214</v>
      </c>
      <c r="K2440" s="127" t="s">
        <v>3797</v>
      </c>
      <c r="L2440" s="151" t="s">
        <v>1579</v>
      </c>
      <c r="M2440">
        <v>685</v>
      </c>
      <c r="N2440" s="123">
        <v>17</v>
      </c>
      <c r="O2440">
        <v>1592</v>
      </c>
      <c r="P2440" s="132" t="s">
        <v>77</v>
      </c>
      <c r="Q2440" s="131">
        <v>562.92999999999995</v>
      </c>
      <c r="R2440" s="131">
        <v>90.07</v>
      </c>
      <c r="S2440" s="131"/>
      <c r="T2440" s="155"/>
      <c r="U2440" s="131"/>
      <c r="V2440" s="131">
        <v>653</v>
      </c>
      <c r="W2440">
        <v>146</v>
      </c>
      <c r="X2440" s="151" t="s">
        <v>1644</v>
      </c>
      <c r="Y2440" s="135" t="s">
        <v>55</v>
      </c>
      <c r="Z2440" s="307">
        <v>230</v>
      </c>
      <c r="AB2440" t="str">
        <f>IF(Table1[[#This Row],[TIPO2]]="costo", VLOOKUP(Table1[[#This Row],[PARTIDA PRESUPUESTAL]],'Cost Report'!G:G,1,0),"Balance")</f>
        <v>2808-003</v>
      </c>
      <c r="AC2440" s="118"/>
      <c r="AD2440" s="159">
        <f>+Table1[[#This Row],[SUBTOTAL]]+Table1[[#This Row],[IVA]]-Table1[[#This Row],[RET IVA]]-Table1[[#This Row],[RET ISR]]-Table1[[#This Row],[TOTAL]]</f>
        <v>0</v>
      </c>
      <c r="AE2440" s="150"/>
      <c r="AF2440" s="151"/>
      <c r="AG2440" s="126" t="s">
        <v>3420</v>
      </c>
      <c r="AK2440" s="306" t="str">
        <f>IF(ISNUMBER(Table1[[#This Row],[FECHA DE RECIBIDO]]), Table1[[#This Row],[FECHA DE RECIBIDO]]-DATE(2023,8,30), "")</f>
        <v/>
      </c>
    </row>
    <row r="2441" spans="1:37" ht="16.05" customHeight="1">
      <c r="A2441" s="152" t="s">
        <v>3779</v>
      </c>
      <c r="B2441" s="153">
        <v>803</v>
      </c>
      <c r="C2441" s="126" t="s">
        <v>2616</v>
      </c>
      <c r="D2441">
        <v>1621</v>
      </c>
      <c r="E2441" s="126" t="s">
        <v>1598</v>
      </c>
      <c r="F2441" s="125" t="s">
        <v>1607</v>
      </c>
      <c r="G2441" s="125" t="s">
        <v>134</v>
      </c>
      <c r="H2441">
        <v>141</v>
      </c>
      <c r="I2441" s="125" t="s">
        <v>1546</v>
      </c>
      <c r="J2441" s="308" t="s">
        <v>214</v>
      </c>
      <c r="K2441" s="127" t="s">
        <v>3797</v>
      </c>
      <c r="L2441" s="153" t="s">
        <v>1579</v>
      </c>
      <c r="M2441">
        <v>296</v>
      </c>
      <c r="N2441" s="123">
        <v>17</v>
      </c>
      <c r="O2441">
        <v>1593</v>
      </c>
      <c r="P2441" s="132" t="s">
        <v>77</v>
      </c>
      <c r="Q2441" s="132">
        <v>4800.8599999999997</v>
      </c>
      <c r="R2441" s="132">
        <v>768.14</v>
      </c>
      <c r="S2441" s="132"/>
      <c r="T2441" s="156"/>
      <c r="U2441" s="132"/>
      <c r="V2441" s="132">
        <v>5569</v>
      </c>
      <c r="W2441">
        <v>146</v>
      </c>
      <c r="X2441" s="153" t="s">
        <v>1644</v>
      </c>
      <c r="Y2441" s="124" t="s">
        <v>55</v>
      </c>
      <c r="Z2441" s="308">
        <v>229</v>
      </c>
      <c r="AB2441" t="str">
        <f>IF(Table1[[#This Row],[TIPO2]]="costo", VLOOKUP(Table1[[#This Row],[PARTIDA PRESUPUESTAL]],'Cost Report'!G:G,1,0),"Balance")</f>
        <v>2808-003</v>
      </c>
      <c r="AC2441" s="118"/>
      <c r="AD2441" s="159">
        <f>+Table1[[#This Row],[SUBTOTAL]]+Table1[[#This Row],[IVA]]-Table1[[#This Row],[RET IVA]]-Table1[[#This Row],[RET ISR]]-Table1[[#This Row],[TOTAL]]</f>
        <v>0</v>
      </c>
      <c r="AE2441" s="152"/>
      <c r="AF2441" s="153"/>
      <c r="AG2441" s="126" t="s">
        <v>3420</v>
      </c>
      <c r="AK2441" s="306" t="str">
        <f>IF(ISNUMBER(Table1[[#This Row],[FECHA DE RECIBIDO]]), Table1[[#This Row],[FECHA DE RECIBIDO]]-DATE(2023,8,30), "")</f>
        <v/>
      </c>
    </row>
    <row r="2442" spans="1:37" ht="16.05" customHeight="1">
      <c r="A2442" s="150" t="s">
        <v>3779</v>
      </c>
      <c r="B2442" s="151">
        <v>803</v>
      </c>
      <c r="C2442" s="126" t="s">
        <v>2616</v>
      </c>
      <c r="D2442">
        <v>1622</v>
      </c>
      <c r="E2442" s="126" t="s">
        <v>1999</v>
      </c>
      <c r="F2442" s="122" t="s">
        <v>1607</v>
      </c>
      <c r="G2442" s="122" t="s">
        <v>134</v>
      </c>
      <c r="H2442">
        <v>141</v>
      </c>
      <c r="I2442" s="122" t="s">
        <v>1546</v>
      </c>
      <c r="J2442" s="307" t="s">
        <v>214</v>
      </c>
      <c r="K2442" s="127" t="s">
        <v>3797</v>
      </c>
      <c r="L2442" s="151" t="s">
        <v>1579</v>
      </c>
      <c r="M2442">
        <v>296</v>
      </c>
      <c r="N2442" s="123">
        <v>17</v>
      </c>
      <c r="O2442">
        <v>1594</v>
      </c>
      <c r="P2442" s="132" t="s">
        <v>77</v>
      </c>
      <c r="Q2442" s="131">
        <v>1465.52</v>
      </c>
      <c r="R2442" s="131">
        <v>234.48</v>
      </c>
      <c r="S2442" s="131"/>
      <c r="T2442" s="155"/>
      <c r="U2442" s="131"/>
      <c r="V2442" s="131">
        <v>1700</v>
      </c>
      <c r="W2442">
        <v>146</v>
      </c>
      <c r="X2442" s="151" t="s">
        <v>1644</v>
      </c>
      <c r="Y2442" s="135" t="s">
        <v>55</v>
      </c>
      <c r="Z2442" s="307">
        <v>230</v>
      </c>
      <c r="AB2442" t="str">
        <f>IF(Table1[[#This Row],[TIPO2]]="costo", VLOOKUP(Table1[[#This Row],[PARTIDA PRESUPUESTAL]],'Cost Report'!G:G,1,0),"Balance")</f>
        <v>2808-003</v>
      </c>
      <c r="AC2442" s="118"/>
      <c r="AD2442" s="159">
        <f>+Table1[[#This Row],[SUBTOTAL]]+Table1[[#This Row],[IVA]]-Table1[[#This Row],[RET IVA]]-Table1[[#This Row],[RET ISR]]-Table1[[#This Row],[TOTAL]]</f>
        <v>0</v>
      </c>
      <c r="AE2442" s="150"/>
      <c r="AF2442" s="151"/>
      <c r="AG2442" s="126" t="s">
        <v>3420</v>
      </c>
      <c r="AK2442" s="306" t="str">
        <f>IF(ISNUMBER(Table1[[#This Row],[FECHA DE RECIBIDO]]), Table1[[#This Row],[FECHA DE RECIBIDO]]-DATE(2023,8,30), "")</f>
        <v/>
      </c>
    </row>
    <row r="2443" spans="1:37" ht="16.05" customHeight="1">
      <c r="A2443" s="152" t="s">
        <v>3780</v>
      </c>
      <c r="B2443" s="153">
        <v>804</v>
      </c>
      <c r="C2443" s="126" t="s">
        <v>2566</v>
      </c>
      <c r="D2443">
        <v>1623</v>
      </c>
      <c r="E2443" s="126" t="s">
        <v>1598</v>
      </c>
      <c r="F2443" s="125" t="s">
        <v>1593</v>
      </c>
      <c r="G2443" s="125" t="s">
        <v>109</v>
      </c>
      <c r="H2443">
        <v>473</v>
      </c>
      <c r="I2443" s="125" t="s">
        <v>1546</v>
      </c>
      <c r="J2443" s="308" t="s">
        <v>214</v>
      </c>
      <c r="K2443" s="127" t="s">
        <v>3797</v>
      </c>
      <c r="L2443" s="153" t="s">
        <v>1579</v>
      </c>
      <c r="M2443">
        <v>686</v>
      </c>
      <c r="N2443" s="123">
        <v>17</v>
      </c>
      <c r="O2443">
        <v>1595</v>
      </c>
      <c r="P2443" s="132" t="s">
        <v>77</v>
      </c>
      <c r="Q2443" s="132">
        <v>386.43</v>
      </c>
      <c r="R2443" s="132">
        <v>4.43</v>
      </c>
      <c r="S2443" s="132"/>
      <c r="T2443" s="156"/>
      <c r="U2443" s="132"/>
      <c r="V2443" s="132">
        <v>390.86</v>
      </c>
      <c r="W2443">
        <v>147</v>
      </c>
      <c r="X2443" s="153" t="s">
        <v>1644</v>
      </c>
      <c r="Y2443" s="124" t="s">
        <v>55</v>
      </c>
      <c r="Z2443" s="308">
        <v>222</v>
      </c>
      <c r="AB2443" t="str">
        <f>IF(Table1[[#This Row],[TIPO2]]="costo", VLOOKUP(Table1[[#This Row],[PARTIDA PRESUPUESTAL]],'Cost Report'!G:G,1,0),"Balance")</f>
        <v>2594-003</v>
      </c>
      <c r="AC2443" s="118"/>
      <c r="AD2443" s="159">
        <f>+Table1[[#This Row],[SUBTOTAL]]+Table1[[#This Row],[IVA]]-Table1[[#This Row],[RET IVA]]-Table1[[#This Row],[RET ISR]]-Table1[[#This Row],[TOTAL]]</f>
        <v>0</v>
      </c>
      <c r="AE2443" s="152"/>
      <c r="AF2443" s="153"/>
      <c r="AG2443" s="126" t="s">
        <v>3420</v>
      </c>
      <c r="AK2443" s="306" t="str">
        <f>IF(ISNUMBER(Table1[[#This Row],[FECHA DE RECIBIDO]]), Table1[[#This Row],[FECHA DE RECIBIDO]]-DATE(2023,8,30), "")</f>
        <v/>
      </c>
    </row>
    <row r="2444" spans="1:37" ht="16.05" customHeight="1">
      <c r="A2444" s="150" t="s">
        <v>3780</v>
      </c>
      <c r="B2444" s="151">
        <v>804</v>
      </c>
      <c r="C2444" s="126" t="s">
        <v>2566</v>
      </c>
      <c r="D2444">
        <v>1624</v>
      </c>
      <c r="E2444" s="126" t="s">
        <v>3292</v>
      </c>
      <c r="F2444" s="122" t="s">
        <v>1607</v>
      </c>
      <c r="G2444" s="122" t="s">
        <v>134</v>
      </c>
      <c r="H2444">
        <v>310</v>
      </c>
      <c r="I2444" s="122" t="s">
        <v>1546</v>
      </c>
      <c r="J2444" s="307" t="s">
        <v>214</v>
      </c>
      <c r="K2444" s="127" t="s">
        <v>3797</v>
      </c>
      <c r="L2444" s="151" t="s">
        <v>1579</v>
      </c>
      <c r="M2444">
        <v>415</v>
      </c>
      <c r="N2444" s="123">
        <v>17</v>
      </c>
      <c r="O2444">
        <v>1596</v>
      </c>
      <c r="P2444" s="132" t="s">
        <v>77</v>
      </c>
      <c r="Q2444" s="131">
        <v>1378.62</v>
      </c>
      <c r="R2444" s="131">
        <v>220.58</v>
      </c>
      <c r="S2444" s="131"/>
      <c r="T2444" s="155"/>
      <c r="U2444" s="131"/>
      <c r="V2444" s="131">
        <v>1599.1999999999998</v>
      </c>
      <c r="W2444">
        <v>147</v>
      </c>
      <c r="X2444" s="151" t="s">
        <v>1644</v>
      </c>
      <c r="Y2444" s="135" t="s">
        <v>55</v>
      </c>
      <c r="Z2444" s="307">
        <v>214</v>
      </c>
      <c r="AB2444" t="str">
        <f>IF(Table1[[#This Row],[TIPO2]]="costo", VLOOKUP(Table1[[#This Row],[PARTIDA PRESUPUESTAL]],'Cost Report'!G:G,1,0),"Balance")</f>
        <v>2594-003</v>
      </c>
      <c r="AC2444" s="118"/>
      <c r="AD2444" s="159">
        <f>+Table1[[#This Row],[SUBTOTAL]]+Table1[[#This Row],[IVA]]-Table1[[#This Row],[RET IVA]]-Table1[[#This Row],[RET ISR]]-Table1[[#This Row],[TOTAL]]</f>
        <v>0</v>
      </c>
      <c r="AE2444" s="150"/>
      <c r="AF2444" s="151"/>
      <c r="AG2444" s="126" t="s">
        <v>3420</v>
      </c>
      <c r="AK2444" s="306" t="str">
        <f>IF(ISNUMBER(Table1[[#This Row],[FECHA DE RECIBIDO]]), Table1[[#This Row],[FECHA DE RECIBIDO]]-DATE(2023,8,30), "")</f>
        <v/>
      </c>
    </row>
    <row r="2445" spans="1:37" ht="16.05" customHeight="1">
      <c r="A2445" s="152" t="s">
        <v>3780</v>
      </c>
      <c r="B2445" s="153">
        <v>804</v>
      </c>
      <c r="C2445" s="126" t="s">
        <v>2565</v>
      </c>
      <c r="D2445">
        <v>1625</v>
      </c>
      <c r="E2445" s="126" t="s">
        <v>1603</v>
      </c>
      <c r="F2445" s="125" t="s">
        <v>1607</v>
      </c>
      <c r="G2445" s="125" t="s">
        <v>134</v>
      </c>
      <c r="H2445">
        <v>274</v>
      </c>
      <c r="I2445" s="125" t="s">
        <v>1546</v>
      </c>
      <c r="J2445" s="308" t="s">
        <v>214</v>
      </c>
      <c r="K2445" s="127" t="s">
        <v>3797</v>
      </c>
      <c r="L2445" s="153" t="s">
        <v>1579</v>
      </c>
      <c r="M2445">
        <v>365</v>
      </c>
      <c r="N2445" s="123">
        <v>17</v>
      </c>
      <c r="O2445">
        <v>1597</v>
      </c>
      <c r="P2445" s="132" t="s">
        <v>77</v>
      </c>
      <c r="Q2445" s="132">
        <v>793.1</v>
      </c>
      <c r="R2445" s="132">
        <v>126.9</v>
      </c>
      <c r="S2445" s="132"/>
      <c r="T2445" s="156"/>
      <c r="U2445" s="132"/>
      <c r="V2445" s="132">
        <v>920</v>
      </c>
      <c r="W2445">
        <v>147</v>
      </c>
      <c r="X2445" s="153" t="s">
        <v>1644</v>
      </c>
      <c r="Y2445" s="124" t="s">
        <v>55</v>
      </c>
      <c r="Z2445" s="308">
        <v>214</v>
      </c>
      <c r="AB2445" t="str">
        <f>IF(Table1[[#This Row],[TIPO2]]="costo", VLOOKUP(Table1[[#This Row],[PARTIDA PRESUPUESTAL]],'Cost Report'!G:G,1,0),"Balance")</f>
        <v>2585-003</v>
      </c>
      <c r="AC2445" s="118"/>
      <c r="AD2445" s="159">
        <f>+Table1[[#This Row],[SUBTOTAL]]+Table1[[#This Row],[IVA]]-Table1[[#This Row],[RET IVA]]-Table1[[#This Row],[RET ISR]]-Table1[[#This Row],[TOTAL]]</f>
        <v>0</v>
      </c>
      <c r="AE2445" s="152"/>
      <c r="AF2445" s="153"/>
      <c r="AG2445" s="126" t="s">
        <v>3420</v>
      </c>
      <c r="AK2445" s="306" t="str">
        <f>IF(ISNUMBER(Table1[[#This Row],[FECHA DE RECIBIDO]]), Table1[[#This Row],[FECHA DE RECIBIDO]]-DATE(2023,8,30), "")</f>
        <v/>
      </c>
    </row>
    <row r="2446" spans="1:37" ht="16.05" customHeight="1">
      <c r="A2446" s="150" t="s">
        <v>3780</v>
      </c>
      <c r="B2446" s="151">
        <v>804</v>
      </c>
      <c r="C2446" s="126" t="s">
        <v>2565</v>
      </c>
      <c r="D2446">
        <v>1626</v>
      </c>
      <c r="E2446" s="126" t="s">
        <v>1603</v>
      </c>
      <c r="F2446" s="122" t="s">
        <v>1607</v>
      </c>
      <c r="G2446" s="122" t="s">
        <v>134</v>
      </c>
      <c r="H2446">
        <v>99</v>
      </c>
      <c r="I2446" s="122" t="s">
        <v>1546</v>
      </c>
      <c r="J2446" s="307" t="s">
        <v>214</v>
      </c>
      <c r="K2446" s="127" t="s">
        <v>3797</v>
      </c>
      <c r="L2446" s="151" t="s">
        <v>1579</v>
      </c>
      <c r="M2446">
        <v>134</v>
      </c>
      <c r="N2446" s="123">
        <v>17</v>
      </c>
      <c r="O2446">
        <v>1598</v>
      </c>
      <c r="P2446" s="132" t="s">
        <v>77</v>
      </c>
      <c r="Q2446" s="131">
        <v>2214.58</v>
      </c>
      <c r="R2446" s="131">
        <v>354.33</v>
      </c>
      <c r="S2446" s="131"/>
      <c r="T2446" s="155"/>
      <c r="U2446" s="131"/>
      <c r="V2446" s="131">
        <v>2568.91</v>
      </c>
      <c r="W2446">
        <v>147</v>
      </c>
      <c r="X2446" s="151" t="s">
        <v>1644</v>
      </c>
      <c r="Y2446" s="135" t="s">
        <v>55</v>
      </c>
      <c r="Z2446" s="307">
        <v>214</v>
      </c>
      <c r="AB2446" t="str">
        <f>IF(Table1[[#This Row],[TIPO2]]="costo", VLOOKUP(Table1[[#This Row],[PARTIDA PRESUPUESTAL]],'Cost Report'!G:G,1,0),"Balance")</f>
        <v>2585-003</v>
      </c>
      <c r="AC2446" s="118"/>
      <c r="AD2446" s="159">
        <f>+Table1[[#This Row],[SUBTOTAL]]+Table1[[#This Row],[IVA]]-Table1[[#This Row],[RET IVA]]-Table1[[#This Row],[RET ISR]]-Table1[[#This Row],[TOTAL]]</f>
        <v>0</v>
      </c>
      <c r="AE2446" s="150"/>
      <c r="AF2446" s="151"/>
      <c r="AG2446" s="126" t="s">
        <v>3420</v>
      </c>
      <c r="AK2446" s="306" t="str">
        <f>IF(ISNUMBER(Table1[[#This Row],[FECHA DE RECIBIDO]]), Table1[[#This Row],[FECHA DE RECIBIDO]]-DATE(2023,8,30), "")</f>
        <v/>
      </c>
    </row>
    <row r="2447" spans="1:37" ht="16.05" customHeight="1">
      <c r="A2447" s="152" t="s">
        <v>3780</v>
      </c>
      <c r="B2447" s="153">
        <v>804</v>
      </c>
      <c r="C2447" s="126" t="s">
        <v>2566</v>
      </c>
      <c r="D2447">
        <v>1627</v>
      </c>
      <c r="E2447" s="126" t="s">
        <v>2008</v>
      </c>
      <c r="F2447" s="125" t="s">
        <v>1607</v>
      </c>
      <c r="G2447" s="125" t="s">
        <v>134</v>
      </c>
      <c r="H2447">
        <v>100</v>
      </c>
      <c r="I2447" s="125" t="s">
        <v>1546</v>
      </c>
      <c r="J2447" s="308" t="s">
        <v>214</v>
      </c>
      <c r="K2447" s="127" t="s">
        <v>3797</v>
      </c>
      <c r="L2447" s="153" t="s">
        <v>1579</v>
      </c>
      <c r="M2447">
        <v>135</v>
      </c>
      <c r="N2447" s="123">
        <v>17</v>
      </c>
      <c r="O2447">
        <v>918</v>
      </c>
      <c r="P2447" s="132" t="s">
        <v>77</v>
      </c>
      <c r="Q2447" s="132">
        <v>775</v>
      </c>
      <c r="R2447" s="132">
        <v>124</v>
      </c>
      <c r="S2447" s="132"/>
      <c r="T2447" s="156"/>
      <c r="U2447" s="132"/>
      <c r="V2447" s="132">
        <v>899</v>
      </c>
      <c r="W2447">
        <v>147</v>
      </c>
      <c r="X2447" s="153" t="s">
        <v>1644</v>
      </c>
      <c r="Y2447" s="124" t="s">
        <v>55</v>
      </c>
      <c r="Z2447" s="308">
        <v>215</v>
      </c>
      <c r="AB2447" t="str">
        <f>IF(Table1[[#This Row],[TIPO2]]="costo", VLOOKUP(Table1[[#This Row],[PARTIDA PRESUPUESTAL]],'Cost Report'!G:G,1,0),"Balance")</f>
        <v>2594-003</v>
      </c>
      <c r="AC2447" s="118"/>
      <c r="AD2447" s="159">
        <f>+Table1[[#This Row],[SUBTOTAL]]+Table1[[#This Row],[IVA]]-Table1[[#This Row],[RET IVA]]-Table1[[#This Row],[RET ISR]]-Table1[[#This Row],[TOTAL]]</f>
        <v>0</v>
      </c>
      <c r="AE2447" s="152"/>
      <c r="AF2447" s="153"/>
      <c r="AG2447" s="126" t="s">
        <v>3420</v>
      </c>
      <c r="AK2447" s="306" t="str">
        <f>IF(ISNUMBER(Table1[[#This Row],[FECHA DE RECIBIDO]]), Table1[[#This Row],[FECHA DE RECIBIDO]]-DATE(2023,8,30), "")</f>
        <v/>
      </c>
    </row>
    <row r="2448" spans="1:37" ht="16.05" customHeight="1">
      <c r="A2448" s="150" t="s">
        <v>3780</v>
      </c>
      <c r="B2448" s="151">
        <v>804</v>
      </c>
      <c r="C2448" s="126" t="s">
        <v>2566</v>
      </c>
      <c r="D2448">
        <v>689</v>
      </c>
      <c r="E2448" s="126"/>
      <c r="F2448" s="122"/>
      <c r="G2448" s="122"/>
      <c r="H2448"/>
      <c r="I2448" s="122"/>
      <c r="J2448" s="307">
        <v>190</v>
      </c>
      <c r="K2448" s="127" t="s">
        <v>3797</v>
      </c>
      <c r="L2448" s="151" t="s">
        <v>1579</v>
      </c>
      <c r="M2448">
        <v>687</v>
      </c>
      <c r="N2448" s="123">
        <v>17</v>
      </c>
      <c r="O2448">
        <v>1599</v>
      </c>
      <c r="P2448" s="132" t="s">
        <v>77</v>
      </c>
      <c r="Q2448" s="131">
        <v>160</v>
      </c>
      <c r="R2448" s="131"/>
      <c r="S2448" s="131"/>
      <c r="T2448" s="155"/>
      <c r="U2448" s="131"/>
      <c r="V2448" s="131">
        <v>160</v>
      </c>
      <c r="W2448">
        <v>147</v>
      </c>
      <c r="X2448" s="151" t="s">
        <v>1644</v>
      </c>
      <c r="Y2448" s="135" t="s">
        <v>55</v>
      </c>
      <c r="Z2448" s="307">
        <v>190</v>
      </c>
      <c r="AB2448" t="str">
        <f>IF(Table1[[#This Row],[TIPO2]]="costo", VLOOKUP(Table1[[#This Row],[PARTIDA PRESUPUESTAL]],'Cost Report'!G:G,1,0),"Balance")</f>
        <v>2594-003</v>
      </c>
      <c r="AC2448" s="118"/>
      <c r="AD2448" s="159">
        <f>+Table1[[#This Row],[SUBTOTAL]]+Table1[[#This Row],[IVA]]-Table1[[#This Row],[RET IVA]]-Table1[[#This Row],[RET ISR]]-Table1[[#This Row],[TOTAL]]</f>
        <v>0</v>
      </c>
      <c r="AE2448" s="150"/>
      <c r="AF2448" s="151"/>
      <c r="AG2448" s="126" t="s">
        <v>3420</v>
      </c>
      <c r="AK2448" s="306">
        <f>IF(ISNUMBER(Table1[[#This Row],[FECHA DE RECIBIDO]]), Table1[[#This Row],[FECHA DE RECIBIDO]]-DATE(2023,8,30), "")</f>
        <v>-44978</v>
      </c>
    </row>
    <row r="2449" spans="1:37" ht="16.05" customHeight="1">
      <c r="A2449" s="152" t="s">
        <v>3780</v>
      </c>
      <c r="B2449" s="153">
        <v>804</v>
      </c>
      <c r="C2449" s="126" t="s">
        <v>2566</v>
      </c>
      <c r="D2449">
        <v>689</v>
      </c>
      <c r="E2449" s="126"/>
      <c r="F2449" s="125"/>
      <c r="G2449" s="125"/>
      <c r="H2449"/>
      <c r="I2449" s="125"/>
      <c r="J2449" s="308">
        <v>200</v>
      </c>
      <c r="K2449" s="127" t="s">
        <v>3797</v>
      </c>
      <c r="L2449" s="153" t="s">
        <v>1579</v>
      </c>
      <c r="M2449">
        <v>688</v>
      </c>
      <c r="N2449" s="123">
        <v>17</v>
      </c>
      <c r="O2449">
        <v>1600</v>
      </c>
      <c r="P2449" s="132" t="s">
        <v>77</v>
      </c>
      <c r="Q2449" s="132">
        <v>157</v>
      </c>
      <c r="R2449" s="132"/>
      <c r="S2449" s="132"/>
      <c r="T2449" s="156"/>
      <c r="U2449" s="132"/>
      <c r="V2449" s="132">
        <v>157</v>
      </c>
      <c r="W2449">
        <v>147</v>
      </c>
      <c r="X2449" s="153" t="s">
        <v>1644</v>
      </c>
      <c r="Y2449" s="124" t="s">
        <v>55</v>
      </c>
      <c r="Z2449" s="308">
        <v>200</v>
      </c>
      <c r="AB2449" t="str">
        <f>IF(Table1[[#This Row],[TIPO2]]="costo", VLOOKUP(Table1[[#This Row],[PARTIDA PRESUPUESTAL]],'Cost Report'!G:G,1,0),"Balance")</f>
        <v>2594-003</v>
      </c>
      <c r="AC2449" s="118"/>
      <c r="AD2449" s="159">
        <f>+Table1[[#This Row],[SUBTOTAL]]+Table1[[#This Row],[IVA]]-Table1[[#This Row],[RET IVA]]-Table1[[#This Row],[RET ISR]]-Table1[[#This Row],[TOTAL]]</f>
        <v>0</v>
      </c>
      <c r="AE2449" s="152"/>
      <c r="AF2449" s="153"/>
      <c r="AG2449" s="126" t="s">
        <v>3420</v>
      </c>
      <c r="AK2449" s="306">
        <f>IF(ISNUMBER(Table1[[#This Row],[FECHA DE RECIBIDO]]), Table1[[#This Row],[FECHA DE RECIBIDO]]-DATE(2023,8,30), "")</f>
        <v>-44968</v>
      </c>
    </row>
    <row r="2450" spans="1:37" ht="16.05" customHeight="1">
      <c r="A2450" s="150" t="s">
        <v>3780</v>
      </c>
      <c r="B2450" s="151">
        <v>804</v>
      </c>
      <c r="C2450" s="126" t="s">
        <v>2566</v>
      </c>
      <c r="D2450">
        <v>689</v>
      </c>
      <c r="E2450" s="126"/>
      <c r="F2450" s="122"/>
      <c r="G2450" s="122"/>
      <c r="H2450"/>
      <c r="I2450" s="122"/>
      <c r="J2450" s="307">
        <v>200</v>
      </c>
      <c r="K2450" s="127" t="s">
        <v>3797</v>
      </c>
      <c r="L2450" s="151" t="s">
        <v>1579</v>
      </c>
      <c r="M2450">
        <v>689</v>
      </c>
      <c r="N2450" s="123">
        <v>17</v>
      </c>
      <c r="O2450">
        <v>1601</v>
      </c>
      <c r="P2450" s="132" t="s">
        <v>77</v>
      </c>
      <c r="Q2450" s="131">
        <v>100</v>
      </c>
      <c r="R2450" s="131"/>
      <c r="S2450" s="131"/>
      <c r="T2450" s="155"/>
      <c r="U2450" s="131"/>
      <c r="V2450" s="131">
        <v>100</v>
      </c>
      <c r="W2450">
        <v>147</v>
      </c>
      <c r="X2450" s="151" t="s">
        <v>1644</v>
      </c>
      <c r="Y2450" s="135" t="s">
        <v>55</v>
      </c>
      <c r="Z2450" s="307">
        <v>200</v>
      </c>
      <c r="AB2450" t="str">
        <f>IF(Table1[[#This Row],[TIPO2]]="costo", VLOOKUP(Table1[[#This Row],[PARTIDA PRESUPUESTAL]],'Cost Report'!G:G,1,0),"Balance")</f>
        <v>2594-003</v>
      </c>
      <c r="AC2450" s="118"/>
      <c r="AD2450" s="159">
        <f>+Table1[[#This Row],[SUBTOTAL]]+Table1[[#This Row],[IVA]]-Table1[[#This Row],[RET IVA]]-Table1[[#This Row],[RET ISR]]-Table1[[#This Row],[TOTAL]]</f>
        <v>0</v>
      </c>
      <c r="AE2450" s="150"/>
      <c r="AF2450" s="151"/>
      <c r="AG2450" s="126" t="s">
        <v>3420</v>
      </c>
      <c r="AK2450" s="306">
        <f>IF(ISNUMBER(Table1[[#This Row],[FECHA DE RECIBIDO]]), Table1[[#This Row],[FECHA DE RECIBIDO]]-DATE(2023,8,30), "")</f>
        <v>-44968</v>
      </c>
    </row>
    <row r="2451" spans="1:37" ht="16.05" customHeight="1">
      <c r="A2451" s="152" t="s">
        <v>3780</v>
      </c>
      <c r="B2451" s="153">
        <v>804</v>
      </c>
      <c r="C2451" s="126" t="s">
        <v>2565</v>
      </c>
      <c r="D2451">
        <v>689</v>
      </c>
      <c r="E2451" s="126"/>
      <c r="F2451" s="125"/>
      <c r="G2451" s="125"/>
      <c r="H2451"/>
      <c r="I2451" s="125"/>
      <c r="J2451" s="308">
        <v>196</v>
      </c>
      <c r="K2451" s="127" t="s">
        <v>3797</v>
      </c>
      <c r="L2451" s="153" t="s">
        <v>1579</v>
      </c>
      <c r="M2451">
        <v>690</v>
      </c>
      <c r="N2451" s="123">
        <v>17</v>
      </c>
      <c r="O2451">
        <v>522</v>
      </c>
      <c r="P2451" s="132" t="s">
        <v>77</v>
      </c>
      <c r="Q2451" s="132">
        <v>34.799999999999997</v>
      </c>
      <c r="R2451" s="132"/>
      <c r="S2451" s="132"/>
      <c r="T2451" s="156"/>
      <c r="U2451" s="132"/>
      <c r="V2451" s="132">
        <v>34.799999999999997</v>
      </c>
      <c r="W2451">
        <v>147</v>
      </c>
      <c r="X2451" s="153" t="s">
        <v>1644</v>
      </c>
      <c r="Y2451" s="124" t="s">
        <v>55</v>
      </c>
      <c r="Z2451" s="308">
        <v>196</v>
      </c>
      <c r="AB2451" t="str">
        <f>IF(Table1[[#This Row],[TIPO2]]="costo", VLOOKUP(Table1[[#This Row],[PARTIDA PRESUPUESTAL]],'Cost Report'!G:G,1,0),"Balance")</f>
        <v>2585-003</v>
      </c>
      <c r="AC2451" s="118"/>
      <c r="AD2451" s="159">
        <f>+Table1[[#This Row],[SUBTOTAL]]+Table1[[#This Row],[IVA]]-Table1[[#This Row],[RET IVA]]-Table1[[#This Row],[RET ISR]]-Table1[[#This Row],[TOTAL]]</f>
        <v>0</v>
      </c>
      <c r="AE2451" s="152"/>
      <c r="AF2451" s="153"/>
      <c r="AG2451" s="126" t="s">
        <v>3420</v>
      </c>
      <c r="AK2451" s="306">
        <f>IF(ISNUMBER(Table1[[#This Row],[FECHA DE RECIBIDO]]), Table1[[#This Row],[FECHA DE RECIBIDO]]-DATE(2023,8,30), "")</f>
        <v>-44972</v>
      </c>
    </row>
    <row r="2452" spans="1:37" ht="16.05" customHeight="1">
      <c r="A2452" s="150" t="s">
        <v>3780</v>
      </c>
      <c r="B2452" s="151">
        <v>804</v>
      </c>
      <c r="C2452" s="126" t="s">
        <v>2565</v>
      </c>
      <c r="D2452">
        <v>689</v>
      </c>
      <c r="E2452" s="126"/>
      <c r="F2452" s="122"/>
      <c r="G2452" s="122"/>
      <c r="H2452"/>
      <c r="I2452" s="122"/>
      <c r="J2452" s="307">
        <v>203</v>
      </c>
      <c r="K2452" s="127" t="s">
        <v>3797</v>
      </c>
      <c r="L2452" s="151" t="s">
        <v>1579</v>
      </c>
      <c r="M2452">
        <v>691</v>
      </c>
      <c r="N2452" s="123">
        <v>17</v>
      </c>
      <c r="O2452">
        <v>522</v>
      </c>
      <c r="P2452" s="132" t="s">
        <v>77</v>
      </c>
      <c r="Q2452" s="131">
        <v>34.799999999999997</v>
      </c>
      <c r="R2452" s="131"/>
      <c r="S2452" s="131"/>
      <c r="T2452" s="155"/>
      <c r="U2452" s="131"/>
      <c r="V2452" s="131">
        <v>34.799999999999997</v>
      </c>
      <c r="W2452">
        <v>147</v>
      </c>
      <c r="X2452" s="151" t="s">
        <v>1644</v>
      </c>
      <c r="Y2452" s="135" t="s">
        <v>55</v>
      </c>
      <c r="Z2452" s="307">
        <v>203</v>
      </c>
      <c r="AB2452" t="str">
        <f>IF(Table1[[#This Row],[TIPO2]]="costo", VLOOKUP(Table1[[#This Row],[PARTIDA PRESUPUESTAL]],'Cost Report'!G:G,1,0),"Balance")</f>
        <v>2585-003</v>
      </c>
      <c r="AC2452" s="118"/>
      <c r="AD2452" s="159">
        <f>+Table1[[#This Row],[SUBTOTAL]]+Table1[[#This Row],[IVA]]-Table1[[#This Row],[RET IVA]]-Table1[[#This Row],[RET ISR]]-Table1[[#This Row],[TOTAL]]</f>
        <v>0</v>
      </c>
      <c r="AE2452" s="150"/>
      <c r="AF2452" s="151"/>
      <c r="AG2452" s="126" t="s">
        <v>3420</v>
      </c>
      <c r="AK2452" s="306">
        <f>IF(ISNUMBER(Table1[[#This Row],[FECHA DE RECIBIDO]]), Table1[[#This Row],[FECHA DE RECIBIDO]]-DATE(2023,8,30), "")</f>
        <v>-44965</v>
      </c>
    </row>
    <row r="2453" spans="1:37" ht="16.05" customHeight="1">
      <c r="A2453" s="152" t="s">
        <v>3780</v>
      </c>
      <c r="B2453" s="153">
        <v>804</v>
      </c>
      <c r="C2453" s="126" t="s">
        <v>2565</v>
      </c>
      <c r="D2453">
        <v>689</v>
      </c>
      <c r="E2453" s="126"/>
      <c r="F2453" s="125"/>
      <c r="G2453" s="125"/>
      <c r="H2453"/>
      <c r="I2453" s="125"/>
      <c r="J2453" s="308">
        <v>207</v>
      </c>
      <c r="K2453" s="127" t="s">
        <v>3797</v>
      </c>
      <c r="L2453" s="153" t="s">
        <v>1579</v>
      </c>
      <c r="M2453">
        <v>692</v>
      </c>
      <c r="N2453" s="123">
        <v>17</v>
      </c>
      <c r="O2453">
        <v>522</v>
      </c>
      <c r="P2453" s="132" t="s">
        <v>77</v>
      </c>
      <c r="Q2453" s="132">
        <v>34.22</v>
      </c>
      <c r="R2453" s="132"/>
      <c r="S2453" s="132"/>
      <c r="T2453" s="156"/>
      <c r="U2453" s="132"/>
      <c r="V2453" s="132">
        <v>34.22</v>
      </c>
      <c r="W2453">
        <v>147</v>
      </c>
      <c r="X2453" s="153" t="s">
        <v>1644</v>
      </c>
      <c r="Y2453" s="124" t="s">
        <v>55</v>
      </c>
      <c r="Z2453" s="308">
        <v>207</v>
      </c>
      <c r="AB2453" t="str">
        <f>IF(Table1[[#This Row],[TIPO2]]="costo", VLOOKUP(Table1[[#This Row],[PARTIDA PRESUPUESTAL]],'Cost Report'!G:G,1,0),"Balance")</f>
        <v>2585-003</v>
      </c>
      <c r="AC2453" s="118"/>
      <c r="AD2453" s="159">
        <f>+Table1[[#This Row],[SUBTOTAL]]+Table1[[#This Row],[IVA]]-Table1[[#This Row],[RET IVA]]-Table1[[#This Row],[RET ISR]]-Table1[[#This Row],[TOTAL]]</f>
        <v>0</v>
      </c>
      <c r="AE2453" s="152"/>
      <c r="AF2453" s="153"/>
      <c r="AG2453" s="126" t="s">
        <v>3420</v>
      </c>
      <c r="AK2453" s="306">
        <f>IF(ISNUMBER(Table1[[#This Row],[FECHA DE RECIBIDO]]), Table1[[#This Row],[FECHA DE RECIBIDO]]-DATE(2023,8,30), "")</f>
        <v>-44961</v>
      </c>
    </row>
    <row r="2454" spans="1:37" ht="16.05" customHeight="1">
      <c r="A2454" s="150" t="s">
        <v>3780</v>
      </c>
      <c r="B2454" s="151">
        <v>804</v>
      </c>
      <c r="C2454" s="126" t="s">
        <v>2565</v>
      </c>
      <c r="D2454">
        <v>689</v>
      </c>
      <c r="E2454" s="126"/>
      <c r="F2454" s="122"/>
      <c r="G2454" s="122"/>
      <c r="H2454"/>
      <c r="I2454" s="122"/>
      <c r="J2454" s="307">
        <v>207</v>
      </c>
      <c r="K2454" s="127" t="s">
        <v>3797</v>
      </c>
      <c r="L2454" s="151" t="s">
        <v>1579</v>
      </c>
      <c r="M2454">
        <v>692</v>
      </c>
      <c r="N2454" s="123">
        <v>17</v>
      </c>
      <c r="O2454">
        <v>522</v>
      </c>
      <c r="P2454" s="132" t="s">
        <v>77</v>
      </c>
      <c r="Q2454" s="131">
        <v>34.22</v>
      </c>
      <c r="R2454" s="131"/>
      <c r="S2454" s="131"/>
      <c r="T2454" s="155"/>
      <c r="U2454" s="131"/>
      <c r="V2454" s="131">
        <v>34.22</v>
      </c>
      <c r="W2454">
        <v>147</v>
      </c>
      <c r="X2454" s="151" t="s">
        <v>1644</v>
      </c>
      <c r="Y2454" s="135" t="s">
        <v>55</v>
      </c>
      <c r="Z2454" s="307">
        <v>207</v>
      </c>
      <c r="AB2454" t="str">
        <f>IF(Table1[[#This Row],[TIPO2]]="costo", VLOOKUP(Table1[[#This Row],[PARTIDA PRESUPUESTAL]],'Cost Report'!G:G,1,0),"Balance")</f>
        <v>2585-003</v>
      </c>
      <c r="AC2454" s="118"/>
      <c r="AD2454" s="159">
        <f>+Table1[[#This Row],[SUBTOTAL]]+Table1[[#This Row],[IVA]]-Table1[[#This Row],[RET IVA]]-Table1[[#This Row],[RET ISR]]-Table1[[#This Row],[TOTAL]]</f>
        <v>0</v>
      </c>
      <c r="AE2454" s="150"/>
      <c r="AF2454" s="151"/>
      <c r="AG2454" s="126" t="s">
        <v>3420</v>
      </c>
      <c r="AK2454" s="306">
        <f>IF(ISNUMBER(Table1[[#This Row],[FECHA DE RECIBIDO]]), Table1[[#This Row],[FECHA DE RECIBIDO]]-DATE(2023,8,30), "")</f>
        <v>-44961</v>
      </c>
    </row>
    <row r="2455" spans="1:37" ht="16.05" customHeight="1">
      <c r="A2455" s="152" t="s">
        <v>3780</v>
      </c>
      <c r="B2455" s="153">
        <v>804</v>
      </c>
      <c r="C2455" s="126" t="s">
        <v>2565</v>
      </c>
      <c r="D2455">
        <v>689</v>
      </c>
      <c r="E2455" s="126"/>
      <c r="F2455" s="125"/>
      <c r="G2455" s="125"/>
      <c r="H2455"/>
      <c r="I2455" s="125"/>
      <c r="J2455" s="308">
        <v>195</v>
      </c>
      <c r="K2455" s="127" t="s">
        <v>3797</v>
      </c>
      <c r="L2455" s="153" t="s">
        <v>1579</v>
      </c>
      <c r="M2455">
        <v>395</v>
      </c>
      <c r="N2455" s="123">
        <v>17</v>
      </c>
      <c r="O2455">
        <v>1602</v>
      </c>
      <c r="P2455" s="132" t="s">
        <v>77</v>
      </c>
      <c r="Q2455" s="132">
        <v>20</v>
      </c>
      <c r="R2455" s="132"/>
      <c r="S2455" s="132"/>
      <c r="T2455" s="156"/>
      <c r="U2455" s="132"/>
      <c r="V2455" s="132">
        <v>20</v>
      </c>
      <c r="W2455">
        <v>147</v>
      </c>
      <c r="X2455" s="153" t="s">
        <v>1644</v>
      </c>
      <c r="Y2455" s="124" t="s">
        <v>55</v>
      </c>
      <c r="Z2455" s="308">
        <v>195</v>
      </c>
      <c r="AB2455" t="str">
        <f>IF(Table1[[#This Row],[TIPO2]]="costo", VLOOKUP(Table1[[#This Row],[PARTIDA PRESUPUESTAL]],'Cost Report'!G:G,1,0),"Balance")</f>
        <v>2585-003</v>
      </c>
      <c r="AC2455" s="118"/>
      <c r="AD2455" s="159">
        <f>+Table1[[#This Row],[SUBTOTAL]]+Table1[[#This Row],[IVA]]-Table1[[#This Row],[RET IVA]]-Table1[[#This Row],[RET ISR]]-Table1[[#This Row],[TOTAL]]</f>
        <v>0</v>
      </c>
      <c r="AE2455" s="152"/>
      <c r="AF2455" s="153"/>
      <c r="AG2455" s="126" t="s">
        <v>3420</v>
      </c>
      <c r="AK2455" s="306">
        <f>IF(ISNUMBER(Table1[[#This Row],[FECHA DE RECIBIDO]]), Table1[[#This Row],[FECHA DE RECIBIDO]]-DATE(2023,8,30), "")</f>
        <v>-44973</v>
      </c>
    </row>
    <row r="2456" spans="1:37" ht="16.05" customHeight="1">
      <c r="A2456" s="150" t="s">
        <v>3780</v>
      </c>
      <c r="B2456" s="151">
        <v>804</v>
      </c>
      <c r="C2456" s="126" t="s">
        <v>2565</v>
      </c>
      <c r="D2456">
        <v>689</v>
      </c>
      <c r="E2456" s="126"/>
      <c r="F2456" s="122"/>
      <c r="G2456" s="122"/>
      <c r="H2456"/>
      <c r="I2456" s="122"/>
      <c r="J2456" s="307">
        <v>197</v>
      </c>
      <c r="K2456" s="127" t="s">
        <v>3797</v>
      </c>
      <c r="L2456" s="151" t="s">
        <v>1579</v>
      </c>
      <c r="M2456">
        <v>395</v>
      </c>
      <c r="N2456" s="123">
        <v>17</v>
      </c>
      <c r="O2456">
        <v>1603</v>
      </c>
      <c r="P2456" s="132" t="s">
        <v>77</v>
      </c>
      <c r="Q2456" s="131">
        <v>60</v>
      </c>
      <c r="R2456" s="131"/>
      <c r="S2456" s="131"/>
      <c r="T2456" s="155"/>
      <c r="U2456" s="131"/>
      <c r="V2456" s="131">
        <v>60</v>
      </c>
      <c r="W2456">
        <v>147</v>
      </c>
      <c r="X2456" s="151" t="s">
        <v>1644</v>
      </c>
      <c r="Y2456" s="135" t="s">
        <v>55</v>
      </c>
      <c r="Z2456" s="307">
        <v>197</v>
      </c>
      <c r="AB2456" t="str">
        <f>IF(Table1[[#This Row],[TIPO2]]="costo", VLOOKUP(Table1[[#This Row],[PARTIDA PRESUPUESTAL]],'Cost Report'!G:G,1,0),"Balance")</f>
        <v>2585-003</v>
      </c>
      <c r="AC2456" s="118"/>
      <c r="AD2456" s="159">
        <f>+Table1[[#This Row],[SUBTOTAL]]+Table1[[#This Row],[IVA]]-Table1[[#This Row],[RET IVA]]-Table1[[#This Row],[RET ISR]]-Table1[[#This Row],[TOTAL]]</f>
        <v>0</v>
      </c>
      <c r="AE2456" s="150"/>
      <c r="AF2456" s="151"/>
      <c r="AG2456" s="126" t="s">
        <v>3420</v>
      </c>
      <c r="AK2456" s="306">
        <f>IF(ISNUMBER(Table1[[#This Row],[FECHA DE RECIBIDO]]), Table1[[#This Row],[FECHA DE RECIBIDO]]-DATE(2023,8,30), "")</f>
        <v>-44971</v>
      </c>
    </row>
    <row r="2457" spans="1:37" ht="16.05" customHeight="1">
      <c r="A2457" s="152" t="s">
        <v>3781</v>
      </c>
      <c r="B2457" s="153">
        <v>805</v>
      </c>
      <c r="C2457" s="126" t="s">
        <v>2458</v>
      </c>
      <c r="D2457">
        <v>1628</v>
      </c>
      <c r="E2457" s="126" t="s">
        <v>1611</v>
      </c>
      <c r="F2457" s="125" t="s">
        <v>1607</v>
      </c>
      <c r="G2457" s="125" t="s">
        <v>134</v>
      </c>
      <c r="H2457">
        <v>474</v>
      </c>
      <c r="I2457" s="125" t="s">
        <v>1546</v>
      </c>
      <c r="J2457" s="308" t="s">
        <v>214</v>
      </c>
      <c r="K2457" s="127" t="s">
        <v>3797</v>
      </c>
      <c r="L2457" s="153" t="s">
        <v>1579</v>
      </c>
      <c r="M2457">
        <v>693</v>
      </c>
      <c r="N2457" s="123">
        <v>17</v>
      </c>
      <c r="O2457">
        <v>1604</v>
      </c>
      <c r="P2457" s="132" t="s">
        <v>77</v>
      </c>
      <c r="Q2457" s="132">
        <v>64.66</v>
      </c>
      <c r="R2457" s="132">
        <v>10.34</v>
      </c>
      <c r="S2457" s="132"/>
      <c r="T2457" s="156"/>
      <c r="U2457" s="132"/>
      <c r="V2457" s="132">
        <v>75</v>
      </c>
      <c r="W2457">
        <v>104</v>
      </c>
      <c r="X2457" s="153" t="s">
        <v>1644</v>
      </c>
      <c r="Y2457" s="124" t="s">
        <v>55</v>
      </c>
      <c r="Z2457" s="308">
        <v>220</v>
      </c>
      <c r="AB2457" t="str">
        <f>IF(Table1[[#This Row],[TIPO2]]="costo", VLOOKUP(Table1[[#This Row],[PARTIDA PRESUPUESTAL]],'Cost Report'!G:G,1,0),"Balance")</f>
        <v>2311-003</v>
      </c>
      <c r="AC2457" s="118"/>
      <c r="AD2457" s="159">
        <f>+Table1[[#This Row],[SUBTOTAL]]+Table1[[#This Row],[IVA]]-Table1[[#This Row],[RET IVA]]-Table1[[#This Row],[RET ISR]]-Table1[[#This Row],[TOTAL]]</f>
        <v>0</v>
      </c>
      <c r="AE2457" s="152"/>
      <c r="AF2457" s="153"/>
      <c r="AG2457" s="126" t="s">
        <v>3420</v>
      </c>
      <c r="AK2457" s="306" t="str">
        <f>IF(ISNUMBER(Table1[[#This Row],[FECHA DE RECIBIDO]]), Table1[[#This Row],[FECHA DE RECIBIDO]]-DATE(2023,8,30), "")</f>
        <v/>
      </c>
    </row>
    <row r="2458" spans="1:37" ht="16.05" customHeight="1">
      <c r="A2458" s="150" t="s">
        <v>3781</v>
      </c>
      <c r="B2458" s="151">
        <v>805</v>
      </c>
      <c r="C2458" s="126" t="s">
        <v>2458</v>
      </c>
      <c r="D2458">
        <v>1629</v>
      </c>
      <c r="E2458" s="126" t="s">
        <v>3378</v>
      </c>
      <c r="F2458" s="122" t="s">
        <v>1589</v>
      </c>
      <c r="G2458" s="122" t="s">
        <v>129</v>
      </c>
      <c r="H2458">
        <v>311</v>
      </c>
      <c r="I2458" s="122" t="s">
        <v>1546</v>
      </c>
      <c r="J2458" s="307" t="s">
        <v>214</v>
      </c>
      <c r="K2458" s="127" t="s">
        <v>3797</v>
      </c>
      <c r="L2458" s="151" t="s">
        <v>1579</v>
      </c>
      <c r="M2458">
        <v>416</v>
      </c>
      <c r="N2458" s="123">
        <v>17</v>
      </c>
      <c r="O2458">
        <v>1605</v>
      </c>
      <c r="P2458" s="132" t="s">
        <v>77</v>
      </c>
      <c r="Q2458" s="131">
        <v>137.93</v>
      </c>
      <c r="R2458" s="131">
        <v>22.07</v>
      </c>
      <c r="S2458" s="131"/>
      <c r="T2458" s="155"/>
      <c r="U2458" s="131"/>
      <c r="V2458" s="131">
        <v>160</v>
      </c>
      <c r="W2458">
        <v>104</v>
      </c>
      <c r="X2458" s="151" t="s">
        <v>1644</v>
      </c>
      <c r="Y2458" s="135" t="s">
        <v>55</v>
      </c>
      <c r="Z2458" s="307">
        <v>218</v>
      </c>
      <c r="AB2458" t="str">
        <f>IF(Table1[[#This Row],[TIPO2]]="costo", VLOOKUP(Table1[[#This Row],[PARTIDA PRESUPUESTAL]],'Cost Report'!G:G,1,0),"Balance")</f>
        <v>2311-003</v>
      </c>
      <c r="AC2458" s="118"/>
      <c r="AD2458" s="159">
        <f>+Table1[[#This Row],[SUBTOTAL]]+Table1[[#This Row],[IVA]]-Table1[[#This Row],[RET IVA]]-Table1[[#This Row],[RET ISR]]-Table1[[#This Row],[TOTAL]]</f>
        <v>0</v>
      </c>
      <c r="AE2458" s="150"/>
      <c r="AF2458" s="151"/>
      <c r="AG2458" s="126" t="s">
        <v>3420</v>
      </c>
      <c r="AK2458" s="306" t="str">
        <f>IF(ISNUMBER(Table1[[#This Row],[FECHA DE RECIBIDO]]), Table1[[#This Row],[FECHA DE RECIBIDO]]-DATE(2023,8,30), "")</f>
        <v/>
      </c>
    </row>
    <row r="2459" spans="1:37" ht="16.05" customHeight="1">
      <c r="A2459" s="152" t="s">
        <v>3781</v>
      </c>
      <c r="B2459" s="153">
        <v>805</v>
      </c>
      <c r="C2459" s="126" t="s">
        <v>1513</v>
      </c>
      <c r="D2459">
        <v>1630</v>
      </c>
      <c r="E2459" s="126" t="s">
        <v>3278</v>
      </c>
      <c r="F2459" s="125" t="s">
        <v>1607</v>
      </c>
      <c r="G2459" s="125" t="s">
        <v>134</v>
      </c>
      <c r="H2459">
        <v>56</v>
      </c>
      <c r="I2459" s="125" t="s">
        <v>1546</v>
      </c>
      <c r="J2459" s="308" t="s">
        <v>214</v>
      </c>
      <c r="K2459" s="127" t="s">
        <v>3797</v>
      </c>
      <c r="L2459" s="153" t="s">
        <v>1579</v>
      </c>
      <c r="M2459">
        <v>547</v>
      </c>
      <c r="N2459" s="123">
        <v>17</v>
      </c>
      <c r="O2459">
        <v>1606</v>
      </c>
      <c r="P2459" s="132" t="s">
        <v>77</v>
      </c>
      <c r="Q2459" s="132">
        <v>401.21</v>
      </c>
      <c r="R2459" s="132">
        <v>16.66</v>
      </c>
      <c r="S2459" s="132"/>
      <c r="T2459" s="156"/>
      <c r="U2459" s="132"/>
      <c r="V2459" s="132">
        <v>417.87</v>
      </c>
      <c r="W2459">
        <v>104</v>
      </c>
      <c r="X2459" s="153" t="s">
        <v>1644</v>
      </c>
      <c r="Y2459" s="124" t="s">
        <v>55</v>
      </c>
      <c r="Z2459" s="308">
        <v>218</v>
      </c>
      <c r="AB2459" t="str">
        <f>IF(Table1[[#This Row],[TIPO2]]="costo", VLOOKUP(Table1[[#This Row],[PARTIDA PRESUPUESTAL]],'Cost Report'!G:G,1,0),"Balance")</f>
        <v>2494-019</v>
      </c>
      <c r="AC2459" s="118"/>
      <c r="AD2459" s="159">
        <f>+Table1[[#This Row],[SUBTOTAL]]+Table1[[#This Row],[IVA]]-Table1[[#This Row],[RET IVA]]-Table1[[#This Row],[RET ISR]]-Table1[[#This Row],[TOTAL]]</f>
        <v>0</v>
      </c>
      <c r="AE2459" s="152"/>
      <c r="AF2459" s="153"/>
      <c r="AG2459" s="126" t="s">
        <v>3420</v>
      </c>
      <c r="AK2459" s="306" t="str">
        <f>IF(ISNUMBER(Table1[[#This Row],[FECHA DE RECIBIDO]]), Table1[[#This Row],[FECHA DE RECIBIDO]]-DATE(2023,8,30), "")</f>
        <v/>
      </c>
    </row>
    <row r="2460" spans="1:37" ht="16.05" customHeight="1">
      <c r="A2460" s="150" t="s">
        <v>3781</v>
      </c>
      <c r="B2460" s="151">
        <v>805</v>
      </c>
      <c r="C2460" s="126" t="s">
        <v>2461</v>
      </c>
      <c r="D2460">
        <v>1631</v>
      </c>
      <c r="E2460" s="126" t="s">
        <v>1611</v>
      </c>
      <c r="F2460" s="122" t="s">
        <v>1607</v>
      </c>
      <c r="G2460" s="122" t="s">
        <v>134</v>
      </c>
      <c r="H2460">
        <v>474</v>
      </c>
      <c r="I2460" s="122" t="s">
        <v>1546</v>
      </c>
      <c r="J2460" s="307" t="s">
        <v>214</v>
      </c>
      <c r="K2460" s="127" t="s">
        <v>3797</v>
      </c>
      <c r="L2460" s="151" t="s">
        <v>1579</v>
      </c>
      <c r="M2460">
        <v>693</v>
      </c>
      <c r="N2460" s="123">
        <v>17</v>
      </c>
      <c r="O2460">
        <v>1607</v>
      </c>
      <c r="P2460" s="132" t="s">
        <v>77</v>
      </c>
      <c r="Q2460" s="131">
        <v>45.69</v>
      </c>
      <c r="R2460" s="131">
        <v>7.31</v>
      </c>
      <c r="S2460" s="131"/>
      <c r="T2460" s="155"/>
      <c r="U2460" s="131"/>
      <c r="V2460" s="131">
        <v>53</v>
      </c>
      <c r="W2460">
        <v>104</v>
      </c>
      <c r="X2460" s="151" t="s">
        <v>1644</v>
      </c>
      <c r="Y2460" s="135" t="s">
        <v>55</v>
      </c>
      <c r="Z2460" s="307">
        <v>219</v>
      </c>
      <c r="AB2460" t="str">
        <f>IF(Table1[[#This Row],[TIPO2]]="costo", VLOOKUP(Table1[[#This Row],[PARTIDA PRESUPUESTAL]],'Cost Report'!G:G,1,0),"Balance")</f>
        <v>2385-003</v>
      </c>
      <c r="AC2460" s="118"/>
      <c r="AD2460" s="159">
        <f>+Table1[[#This Row],[SUBTOTAL]]+Table1[[#This Row],[IVA]]-Table1[[#This Row],[RET IVA]]-Table1[[#This Row],[RET ISR]]-Table1[[#This Row],[TOTAL]]</f>
        <v>0</v>
      </c>
      <c r="AE2460" s="150"/>
      <c r="AF2460" s="151"/>
      <c r="AG2460" s="126" t="s">
        <v>3420</v>
      </c>
      <c r="AK2460" s="306" t="str">
        <f>IF(ISNUMBER(Table1[[#This Row],[FECHA DE RECIBIDO]]), Table1[[#This Row],[FECHA DE RECIBIDO]]-DATE(2023,8,30), "")</f>
        <v/>
      </c>
    </row>
    <row r="2461" spans="1:37" ht="16.05" customHeight="1">
      <c r="A2461" s="152" t="s">
        <v>3781</v>
      </c>
      <c r="B2461" s="153">
        <v>805</v>
      </c>
      <c r="C2461" s="126" t="s">
        <v>2455</v>
      </c>
      <c r="D2461">
        <v>1632</v>
      </c>
      <c r="E2461" s="126" t="s">
        <v>3115</v>
      </c>
      <c r="F2461" s="125" t="s">
        <v>1382</v>
      </c>
      <c r="G2461" s="125" t="e">
        <v>#N/A</v>
      </c>
      <c r="H2461">
        <v>31</v>
      </c>
      <c r="I2461" s="125" t="s">
        <v>1546</v>
      </c>
      <c r="J2461" s="308" t="s">
        <v>214</v>
      </c>
      <c r="K2461" s="127" t="s">
        <v>3797</v>
      </c>
      <c r="L2461" s="153" t="s">
        <v>1579</v>
      </c>
      <c r="M2461">
        <v>69</v>
      </c>
      <c r="N2461" s="123">
        <v>17</v>
      </c>
      <c r="O2461">
        <v>1608</v>
      </c>
      <c r="P2461" s="132" t="s">
        <v>77</v>
      </c>
      <c r="Q2461" s="132">
        <v>143.22</v>
      </c>
      <c r="R2461" s="132">
        <v>14.28</v>
      </c>
      <c r="S2461" s="132"/>
      <c r="T2461" s="156"/>
      <c r="U2461" s="132"/>
      <c r="V2461" s="132">
        <v>157.5</v>
      </c>
      <c r="W2461">
        <v>104</v>
      </c>
      <c r="X2461" s="153" t="s">
        <v>1644</v>
      </c>
      <c r="Y2461" s="124" t="s">
        <v>55</v>
      </c>
      <c r="Z2461" s="308">
        <v>221</v>
      </c>
      <c r="AB2461" t="str">
        <f>IF(Table1[[#This Row],[TIPO2]]="costo", VLOOKUP(Table1[[#This Row],[PARTIDA PRESUPUESTAL]],'Cost Report'!G:G,1,0),"Balance")</f>
        <v>2285-003</v>
      </c>
      <c r="AC2461" s="118"/>
      <c r="AD2461" s="159">
        <f>+Table1[[#This Row],[SUBTOTAL]]+Table1[[#This Row],[IVA]]-Table1[[#This Row],[RET IVA]]-Table1[[#This Row],[RET ISR]]-Table1[[#This Row],[TOTAL]]</f>
        <v>0</v>
      </c>
      <c r="AE2461" s="152"/>
      <c r="AF2461" s="153"/>
      <c r="AG2461" s="126" t="s">
        <v>3420</v>
      </c>
      <c r="AK2461" s="306" t="str">
        <f>IF(ISNUMBER(Table1[[#This Row],[FECHA DE RECIBIDO]]), Table1[[#This Row],[FECHA DE RECIBIDO]]-DATE(2023,8,30), "")</f>
        <v/>
      </c>
    </row>
    <row r="2462" spans="1:37" ht="16.05" customHeight="1">
      <c r="A2462" s="150" t="s">
        <v>3781</v>
      </c>
      <c r="B2462" s="151">
        <v>805</v>
      </c>
      <c r="C2462" s="126" t="s">
        <v>2480</v>
      </c>
      <c r="D2462">
        <v>1633</v>
      </c>
      <c r="E2462" s="126" t="s">
        <v>3671</v>
      </c>
      <c r="F2462" s="122" t="s">
        <v>1593</v>
      </c>
      <c r="G2462" s="122" t="s">
        <v>109</v>
      </c>
      <c r="H2462">
        <v>420</v>
      </c>
      <c r="I2462" s="122" t="s">
        <v>1546</v>
      </c>
      <c r="J2462" s="307" t="s">
        <v>214</v>
      </c>
      <c r="K2462" s="127" t="s">
        <v>3797</v>
      </c>
      <c r="L2462" s="151" t="s">
        <v>1579</v>
      </c>
      <c r="M2462">
        <v>557</v>
      </c>
      <c r="N2462" s="123">
        <v>17</v>
      </c>
      <c r="O2462">
        <v>1609</v>
      </c>
      <c r="P2462" s="132" t="s">
        <v>77</v>
      </c>
      <c r="Q2462" s="131">
        <v>1173</v>
      </c>
      <c r="R2462" s="131">
        <v>187.68</v>
      </c>
      <c r="S2462" s="131"/>
      <c r="T2462" s="155"/>
      <c r="U2462" s="131"/>
      <c r="V2462" s="131">
        <v>1360.68</v>
      </c>
      <c r="W2462">
        <v>104</v>
      </c>
      <c r="X2462" s="151" t="s">
        <v>1644</v>
      </c>
      <c r="Y2462" s="135" t="s">
        <v>55</v>
      </c>
      <c r="Z2462" s="307">
        <v>217</v>
      </c>
      <c r="AB2462" t="str">
        <f>IF(Table1[[#This Row],[TIPO2]]="costo", VLOOKUP(Table1[[#This Row],[PARTIDA PRESUPUESTAL]],'Cost Report'!G:G,1,0),"Balance")</f>
        <v>2394-033</v>
      </c>
      <c r="AC2462" s="118"/>
      <c r="AD2462" s="159">
        <f>+Table1[[#This Row],[SUBTOTAL]]+Table1[[#This Row],[IVA]]-Table1[[#This Row],[RET IVA]]-Table1[[#This Row],[RET ISR]]-Table1[[#This Row],[TOTAL]]</f>
        <v>0</v>
      </c>
      <c r="AE2462" s="150"/>
      <c r="AF2462" s="151"/>
      <c r="AG2462" s="126" t="s">
        <v>3420</v>
      </c>
      <c r="AK2462" s="306" t="str">
        <f>IF(ISNUMBER(Table1[[#This Row],[FECHA DE RECIBIDO]]), Table1[[#This Row],[FECHA DE RECIBIDO]]-DATE(2023,8,30), "")</f>
        <v/>
      </c>
    </row>
    <row r="2463" spans="1:37" ht="16.05" customHeight="1">
      <c r="A2463" s="152" t="s">
        <v>3781</v>
      </c>
      <c r="B2463" s="153">
        <v>805</v>
      </c>
      <c r="C2463" s="126" t="s">
        <v>2480</v>
      </c>
      <c r="D2463">
        <v>1634</v>
      </c>
      <c r="E2463" s="126" t="s">
        <v>3671</v>
      </c>
      <c r="F2463" s="125" t="s">
        <v>1593</v>
      </c>
      <c r="G2463" s="125" t="s">
        <v>109</v>
      </c>
      <c r="H2463">
        <v>420</v>
      </c>
      <c r="I2463" s="125" t="s">
        <v>1546</v>
      </c>
      <c r="J2463" s="308" t="s">
        <v>214</v>
      </c>
      <c r="K2463" s="127" t="s">
        <v>3797</v>
      </c>
      <c r="L2463" s="153" t="s">
        <v>1579</v>
      </c>
      <c r="M2463">
        <v>557</v>
      </c>
      <c r="N2463" s="123">
        <v>17</v>
      </c>
      <c r="O2463">
        <v>1610</v>
      </c>
      <c r="P2463" s="132" t="s">
        <v>77</v>
      </c>
      <c r="Q2463" s="132">
        <v>1112</v>
      </c>
      <c r="R2463" s="132">
        <v>177.92</v>
      </c>
      <c r="S2463" s="132"/>
      <c r="T2463" s="156"/>
      <c r="U2463" s="132">
        <v>13.9</v>
      </c>
      <c r="V2463" s="132">
        <v>1276.02</v>
      </c>
      <c r="W2463">
        <v>104</v>
      </c>
      <c r="X2463" s="153" t="s">
        <v>1644</v>
      </c>
      <c r="Y2463" s="124" t="s">
        <v>55</v>
      </c>
      <c r="Z2463" s="308">
        <v>217</v>
      </c>
      <c r="AB2463" t="str">
        <f>IF(Table1[[#This Row],[TIPO2]]="costo", VLOOKUP(Table1[[#This Row],[PARTIDA PRESUPUESTAL]],'Cost Report'!G:G,1,0),"Balance")</f>
        <v>2394-033</v>
      </c>
      <c r="AC2463" s="118"/>
      <c r="AD2463" s="159">
        <f>+Table1[[#This Row],[SUBTOTAL]]+Table1[[#This Row],[IVA]]-Table1[[#This Row],[RET IVA]]-Table1[[#This Row],[RET ISR]]-Table1[[#This Row],[TOTAL]]</f>
        <v>0</v>
      </c>
      <c r="AE2463" s="152"/>
      <c r="AF2463" s="153"/>
      <c r="AG2463" s="126" t="s">
        <v>3420</v>
      </c>
      <c r="AK2463" s="306" t="str">
        <f>IF(ISNUMBER(Table1[[#This Row],[FECHA DE RECIBIDO]]), Table1[[#This Row],[FECHA DE RECIBIDO]]-DATE(2023,8,30), "")</f>
        <v/>
      </c>
    </row>
    <row r="2464" spans="1:37" ht="16.05" customHeight="1">
      <c r="A2464" s="150" t="s">
        <v>3781</v>
      </c>
      <c r="B2464" s="151">
        <v>805</v>
      </c>
      <c r="C2464" s="126" t="s">
        <v>2480</v>
      </c>
      <c r="D2464">
        <v>1635</v>
      </c>
      <c r="E2464" s="126" t="s">
        <v>3671</v>
      </c>
      <c r="F2464" s="122" t="s">
        <v>1593</v>
      </c>
      <c r="G2464" s="122" t="s">
        <v>109</v>
      </c>
      <c r="H2464">
        <v>420</v>
      </c>
      <c r="I2464" s="122" t="s">
        <v>1546</v>
      </c>
      <c r="J2464" s="307" t="s">
        <v>214</v>
      </c>
      <c r="K2464" s="127" t="s">
        <v>3797</v>
      </c>
      <c r="L2464" s="151" t="s">
        <v>1579</v>
      </c>
      <c r="M2464">
        <v>557</v>
      </c>
      <c r="N2464" s="123">
        <v>17</v>
      </c>
      <c r="O2464">
        <v>1611</v>
      </c>
      <c r="P2464" s="132" t="s">
        <v>77</v>
      </c>
      <c r="Q2464" s="131">
        <v>1112</v>
      </c>
      <c r="R2464" s="131">
        <v>177.92</v>
      </c>
      <c r="S2464" s="131"/>
      <c r="T2464" s="155"/>
      <c r="U2464" s="131">
        <v>13.9</v>
      </c>
      <c r="V2464" s="131">
        <v>1276.02</v>
      </c>
      <c r="W2464">
        <v>104</v>
      </c>
      <c r="X2464" s="151" t="s">
        <v>1644</v>
      </c>
      <c r="Y2464" s="135" t="s">
        <v>55</v>
      </c>
      <c r="Z2464" s="307">
        <v>217</v>
      </c>
      <c r="AB2464" t="str">
        <f>IF(Table1[[#This Row],[TIPO2]]="costo", VLOOKUP(Table1[[#This Row],[PARTIDA PRESUPUESTAL]],'Cost Report'!G:G,1,0),"Balance")</f>
        <v>2394-033</v>
      </c>
      <c r="AC2464" s="118"/>
      <c r="AD2464" s="159">
        <f>+Table1[[#This Row],[SUBTOTAL]]+Table1[[#This Row],[IVA]]-Table1[[#This Row],[RET IVA]]-Table1[[#This Row],[RET ISR]]-Table1[[#This Row],[TOTAL]]</f>
        <v>0</v>
      </c>
      <c r="AE2464" s="150"/>
      <c r="AF2464" s="151"/>
      <c r="AG2464" s="126" t="s">
        <v>3420</v>
      </c>
      <c r="AK2464" s="306" t="str">
        <f>IF(ISNUMBER(Table1[[#This Row],[FECHA DE RECIBIDO]]), Table1[[#This Row],[FECHA DE RECIBIDO]]-DATE(2023,8,30), "")</f>
        <v/>
      </c>
    </row>
    <row r="2465" spans="1:37" ht="16.05" customHeight="1">
      <c r="A2465" s="152" t="s">
        <v>3781</v>
      </c>
      <c r="B2465" s="153">
        <v>805</v>
      </c>
      <c r="C2465" s="126" t="s">
        <v>1519</v>
      </c>
      <c r="D2465">
        <v>1636</v>
      </c>
      <c r="E2465" s="126" t="s">
        <v>3137</v>
      </c>
      <c r="F2465" s="125" t="s">
        <v>1607</v>
      </c>
      <c r="G2465" s="125" t="s">
        <v>134</v>
      </c>
      <c r="H2465">
        <v>56</v>
      </c>
      <c r="I2465" s="125" t="s">
        <v>1546</v>
      </c>
      <c r="J2465" s="308" t="s">
        <v>214</v>
      </c>
      <c r="K2465" s="127" t="s">
        <v>3797</v>
      </c>
      <c r="L2465" s="153" t="s">
        <v>1579</v>
      </c>
      <c r="M2465">
        <v>547</v>
      </c>
      <c r="N2465" s="123">
        <v>17</v>
      </c>
      <c r="O2465">
        <v>1612</v>
      </c>
      <c r="P2465" s="132" t="s">
        <v>77</v>
      </c>
      <c r="Q2465" s="132">
        <v>491.85</v>
      </c>
      <c r="R2465" s="132"/>
      <c r="S2465" s="132"/>
      <c r="T2465" s="156"/>
      <c r="U2465" s="132"/>
      <c r="V2465" s="132">
        <v>491.85</v>
      </c>
      <c r="W2465">
        <v>104</v>
      </c>
      <c r="X2465" s="153" t="s">
        <v>1644</v>
      </c>
      <c r="Y2465" s="124" t="s">
        <v>55</v>
      </c>
      <c r="Z2465" s="308">
        <v>224</v>
      </c>
      <c r="AB2465" t="str">
        <f>IF(Table1[[#This Row],[TIPO2]]="costo", VLOOKUP(Table1[[#This Row],[PARTIDA PRESUPUESTAL]],'Cost Report'!G:G,1,0),"Balance")</f>
        <v>2494-031</v>
      </c>
      <c r="AC2465" s="118"/>
      <c r="AD2465" s="159">
        <f>+Table1[[#This Row],[SUBTOTAL]]+Table1[[#This Row],[IVA]]-Table1[[#This Row],[RET IVA]]-Table1[[#This Row],[RET ISR]]-Table1[[#This Row],[TOTAL]]</f>
        <v>0</v>
      </c>
      <c r="AE2465" s="152"/>
      <c r="AF2465" s="153"/>
      <c r="AG2465" s="126" t="s">
        <v>3420</v>
      </c>
      <c r="AK2465" s="306" t="str">
        <f>IF(ISNUMBER(Table1[[#This Row],[FECHA DE RECIBIDO]]), Table1[[#This Row],[FECHA DE RECIBIDO]]-DATE(2023,8,30), "")</f>
        <v/>
      </c>
    </row>
    <row r="2466" spans="1:37" ht="16.05" customHeight="1">
      <c r="A2466" s="150" t="s">
        <v>3781</v>
      </c>
      <c r="B2466" s="151">
        <v>805</v>
      </c>
      <c r="C2466" s="126" t="s">
        <v>1513</v>
      </c>
      <c r="D2466">
        <v>1637</v>
      </c>
      <c r="E2466" s="126" t="s">
        <v>2107</v>
      </c>
      <c r="F2466" s="122" t="s">
        <v>1602</v>
      </c>
      <c r="G2466" s="122" t="s">
        <v>1617</v>
      </c>
      <c r="H2466">
        <v>475</v>
      </c>
      <c r="I2466" s="122" t="s">
        <v>1546</v>
      </c>
      <c r="J2466" s="307" t="s">
        <v>214</v>
      </c>
      <c r="K2466" s="127" t="s">
        <v>3797</v>
      </c>
      <c r="L2466" s="151" t="s">
        <v>1579</v>
      </c>
      <c r="M2466">
        <v>694</v>
      </c>
      <c r="N2466" s="123">
        <v>17</v>
      </c>
      <c r="O2466">
        <v>1613</v>
      </c>
      <c r="P2466" s="132" t="s">
        <v>77</v>
      </c>
      <c r="Q2466" s="131">
        <v>288.58999999999997</v>
      </c>
      <c r="R2466" s="131">
        <v>46.17</v>
      </c>
      <c r="S2466" s="131"/>
      <c r="T2466" s="155"/>
      <c r="U2466" s="131"/>
      <c r="V2466" s="131">
        <v>334.76</v>
      </c>
      <c r="W2466">
        <v>104</v>
      </c>
      <c r="X2466" s="151" t="s">
        <v>1644</v>
      </c>
      <c r="Y2466" s="135" t="s">
        <v>55</v>
      </c>
      <c r="Z2466" s="307">
        <v>224</v>
      </c>
      <c r="AB2466" t="str">
        <f>IF(Table1[[#This Row],[TIPO2]]="costo", VLOOKUP(Table1[[#This Row],[PARTIDA PRESUPUESTAL]],'Cost Report'!G:G,1,0),"Balance")</f>
        <v>2494-019</v>
      </c>
      <c r="AC2466" s="118"/>
      <c r="AD2466" s="159">
        <f>+Table1[[#This Row],[SUBTOTAL]]+Table1[[#This Row],[IVA]]-Table1[[#This Row],[RET IVA]]-Table1[[#This Row],[RET ISR]]-Table1[[#This Row],[TOTAL]]</f>
        <v>0</v>
      </c>
      <c r="AE2466" s="150"/>
      <c r="AF2466" s="151"/>
      <c r="AG2466" s="126" t="s">
        <v>3420</v>
      </c>
      <c r="AK2466" s="306" t="str">
        <f>IF(ISNUMBER(Table1[[#This Row],[FECHA DE RECIBIDO]]), Table1[[#This Row],[FECHA DE RECIBIDO]]-DATE(2023,8,30), "")</f>
        <v/>
      </c>
    </row>
    <row r="2467" spans="1:37" ht="16.05" customHeight="1">
      <c r="A2467" s="152" t="s">
        <v>3781</v>
      </c>
      <c r="B2467" s="153">
        <v>805</v>
      </c>
      <c r="C2467" s="126" t="s">
        <v>1513</v>
      </c>
      <c r="D2467">
        <v>1638</v>
      </c>
      <c r="E2467" s="126" t="s">
        <v>1598</v>
      </c>
      <c r="F2467" s="125" t="s">
        <v>1607</v>
      </c>
      <c r="G2467" s="125" t="s">
        <v>134</v>
      </c>
      <c r="H2467">
        <v>156</v>
      </c>
      <c r="I2467" s="125" t="s">
        <v>1546</v>
      </c>
      <c r="J2467" s="308" t="s">
        <v>214</v>
      </c>
      <c r="K2467" s="127" t="s">
        <v>3797</v>
      </c>
      <c r="L2467" s="153" t="s">
        <v>1579</v>
      </c>
      <c r="M2467">
        <v>207</v>
      </c>
      <c r="N2467" s="123">
        <v>17</v>
      </c>
      <c r="O2467">
        <v>1614</v>
      </c>
      <c r="P2467" s="132" t="s">
        <v>77</v>
      </c>
      <c r="Q2467" s="132">
        <v>723.53</v>
      </c>
      <c r="R2467" s="132">
        <v>115.76</v>
      </c>
      <c r="S2467" s="132"/>
      <c r="T2467" s="156"/>
      <c r="U2467" s="132"/>
      <c r="V2467" s="132">
        <v>839.29</v>
      </c>
      <c r="W2467">
        <v>104</v>
      </c>
      <c r="X2467" s="153" t="s">
        <v>1644</v>
      </c>
      <c r="Y2467" s="124" t="s">
        <v>55</v>
      </c>
      <c r="Z2467" s="308">
        <v>219</v>
      </c>
      <c r="AB2467" t="str">
        <f>IF(Table1[[#This Row],[TIPO2]]="costo", VLOOKUP(Table1[[#This Row],[PARTIDA PRESUPUESTAL]],'Cost Report'!G:G,1,0),"Balance")</f>
        <v>2494-019</v>
      </c>
      <c r="AC2467" s="118"/>
      <c r="AD2467" s="159">
        <f>+Table1[[#This Row],[SUBTOTAL]]+Table1[[#This Row],[IVA]]-Table1[[#This Row],[RET IVA]]-Table1[[#This Row],[RET ISR]]-Table1[[#This Row],[TOTAL]]</f>
        <v>0</v>
      </c>
      <c r="AE2467" s="152"/>
      <c r="AF2467" s="153"/>
      <c r="AG2467" s="126" t="s">
        <v>3420</v>
      </c>
      <c r="AK2467" s="306" t="str">
        <f>IF(ISNUMBER(Table1[[#This Row],[FECHA DE RECIBIDO]]), Table1[[#This Row],[FECHA DE RECIBIDO]]-DATE(2023,8,30), "")</f>
        <v/>
      </c>
    </row>
    <row r="2468" spans="1:37" ht="16.05" customHeight="1">
      <c r="A2468" s="150" t="s">
        <v>3781</v>
      </c>
      <c r="B2468" s="151">
        <v>805</v>
      </c>
      <c r="C2468" s="126" t="s">
        <v>2455</v>
      </c>
      <c r="D2468">
        <v>1639</v>
      </c>
      <c r="E2468" s="126" t="s">
        <v>3278</v>
      </c>
      <c r="F2468" s="122" t="s">
        <v>1607</v>
      </c>
      <c r="G2468" s="122" t="s">
        <v>134</v>
      </c>
      <c r="H2468">
        <v>56</v>
      </c>
      <c r="I2468" s="122" t="s">
        <v>1546</v>
      </c>
      <c r="J2468" s="307" t="s">
        <v>214</v>
      </c>
      <c r="K2468" s="127" t="s">
        <v>3797</v>
      </c>
      <c r="L2468" s="151" t="s">
        <v>1579</v>
      </c>
      <c r="M2468">
        <v>547</v>
      </c>
      <c r="N2468" s="123">
        <v>17</v>
      </c>
      <c r="O2468">
        <v>1615</v>
      </c>
      <c r="P2468" s="132" t="s">
        <v>77</v>
      </c>
      <c r="Q2468" s="131">
        <v>47.9</v>
      </c>
      <c r="R2468" s="131"/>
      <c r="S2468" s="131"/>
      <c r="T2468" s="155"/>
      <c r="U2468" s="131"/>
      <c r="V2468" s="131">
        <v>47.9</v>
      </c>
      <c r="W2468">
        <v>104</v>
      </c>
      <c r="X2468" s="151" t="s">
        <v>1644</v>
      </c>
      <c r="Y2468" s="135" t="s">
        <v>55</v>
      </c>
      <c r="Z2468" s="307">
        <v>224</v>
      </c>
      <c r="AB2468" t="str">
        <f>IF(Table1[[#This Row],[TIPO2]]="costo", VLOOKUP(Table1[[#This Row],[PARTIDA PRESUPUESTAL]],'Cost Report'!G:G,1,0),"Balance")</f>
        <v>2285-003</v>
      </c>
      <c r="AC2468" s="118"/>
      <c r="AD2468" s="159">
        <f>+Table1[[#This Row],[SUBTOTAL]]+Table1[[#This Row],[IVA]]-Table1[[#This Row],[RET IVA]]-Table1[[#This Row],[RET ISR]]-Table1[[#This Row],[TOTAL]]</f>
        <v>0</v>
      </c>
      <c r="AE2468" s="150"/>
      <c r="AF2468" s="151"/>
      <c r="AG2468" s="126" t="s">
        <v>3420</v>
      </c>
      <c r="AK2468" s="306" t="str">
        <f>IF(ISNUMBER(Table1[[#This Row],[FECHA DE RECIBIDO]]), Table1[[#This Row],[FECHA DE RECIBIDO]]-DATE(2023,8,30), "")</f>
        <v/>
      </c>
    </row>
    <row r="2469" spans="1:37" ht="16.05" customHeight="1">
      <c r="A2469" s="152" t="s">
        <v>3781</v>
      </c>
      <c r="B2469" s="153">
        <v>805</v>
      </c>
      <c r="C2469" s="126" t="s">
        <v>1505</v>
      </c>
      <c r="D2469">
        <v>1640</v>
      </c>
      <c r="E2469" s="126" t="s">
        <v>1612</v>
      </c>
      <c r="F2469" s="125" t="s">
        <v>1607</v>
      </c>
      <c r="G2469" s="125" t="s">
        <v>134</v>
      </c>
      <c r="H2469">
        <v>476</v>
      </c>
      <c r="I2469" s="125" t="s">
        <v>1546</v>
      </c>
      <c r="J2469" s="308" t="s">
        <v>214</v>
      </c>
      <c r="K2469" s="127" t="s">
        <v>3797</v>
      </c>
      <c r="L2469" s="153" t="s">
        <v>1579</v>
      </c>
      <c r="M2469">
        <v>695</v>
      </c>
      <c r="N2469" s="123">
        <v>17</v>
      </c>
      <c r="O2469">
        <v>1616</v>
      </c>
      <c r="P2469" s="132" t="s">
        <v>77</v>
      </c>
      <c r="Q2469" s="132">
        <v>2057.7600000000002</v>
      </c>
      <c r="R2469" s="132">
        <v>329.24</v>
      </c>
      <c r="S2469" s="132"/>
      <c r="T2469" s="156"/>
      <c r="U2469" s="132"/>
      <c r="V2469" s="132">
        <v>2387</v>
      </c>
      <c r="W2469">
        <v>104</v>
      </c>
      <c r="X2469" s="153" t="s">
        <v>1644</v>
      </c>
      <c r="Y2469" s="124" t="s">
        <v>55</v>
      </c>
      <c r="Z2469" s="308">
        <v>226</v>
      </c>
      <c r="AB2469" t="str">
        <f>IF(Table1[[#This Row],[TIPO2]]="costo", VLOOKUP(Table1[[#This Row],[PARTIDA PRESUPUESTAL]],'Cost Report'!G:G,1,0),"Balance")</f>
        <v>2494-003</v>
      </c>
      <c r="AC2469" s="118"/>
      <c r="AD2469" s="159">
        <f>+Table1[[#This Row],[SUBTOTAL]]+Table1[[#This Row],[IVA]]-Table1[[#This Row],[RET IVA]]-Table1[[#This Row],[RET ISR]]-Table1[[#This Row],[TOTAL]]</f>
        <v>0</v>
      </c>
      <c r="AE2469" s="152"/>
      <c r="AF2469" s="153"/>
      <c r="AG2469" s="126" t="s">
        <v>3420</v>
      </c>
      <c r="AK2469" s="306" t="str">
        <f>IF(ISNUMBER(Table1[[#This Row],[FECHA DE RECIBIDO]]), Table1[[#This Row],[FECHA DE RECIBIDO]]-DATE(2023,8,30), "")</f>
        <v/>
      </c>
    </row>
    <row r="2470" spans="1:37" ht="16.05" customHeight="1">
      <c r="A2470" s="150" t="s">
        <v>3781</v>
      </c>
      <c r="B2470" s="151">
        <v>805</v>
      </c>
      <c r="C2470" s="126" t="s">
        <v>1505</v>
      </c>
      <c r="D2470">
        <v>1641</v>
      </c>
      <c r="E2470" s="126" t="s">
        <v>3665</v>
      </c>
      <c r="F2470" s="122" t="s">
        <v>1589</v>
      </c>
      <c r="G2470" s="122" t="s">
        <v>129</v>
      </c>
      <c r="H2470">
        <v>398</v>
      </c>
      <c r="I2470" s="122" t="s">
        <v>1546</v>
      </c>
      <c r="J2470" s="307" t="s">
        <v>214</v>
      </c>
      <c r="K2470" s="127" t="s">
        <v>3797</v>
      </c>
      <c r="L2470" s="151" t="s">
        <v>1579</v>
      </c>
      <c r="M2470">
        <v>527</v>
      </c>
      <c r="N2470" s="123">
        <v>17</v>
      </c>
      <c r="O2470">
        <v>1617</v>
      </c>
      <c r="P2470" s="132" t="s">
        <v>77</v>
      </c>
      <c r="Q2470" s="131">
        <v>1051.73</v>
      </c>
      <c r="R2470" s="131">
        <v>168.27</v>
      </c>
      <c r="S2470" s="131"/>
      <c r="T2470" s="155"/>
      <c r="U2470" s="131"/>
      <c r="V2470" s="131">
        <v>1220</v>
      </c>
      <c r="W2470">
        <v>104</v>
      </c>
      <c r="X2470" s="151" t="s">
        <v>1644</v>
      </c>
      <c r="Y2470" s="135" t="s">
        <v>55</v>
      </c>
      <c r="Z2470" s="307">
        <v>226</v>
      </c>
      <c r="AB2470" t="str">
        <f>IF(Table1[[#This Row],[TIPO2]]="costo", VLOOKUP(Table1[[#This Row],[PARTIDA PRESUPUESTAL]],'Cost Report'!G:G,1,0),"Balance")</f>
        <v>2494-003</v>
      </c>
      <c r="AC2470" s="118"/>
      <c r="AD2470" s="159">
        <f>+Table1[[#This Row],[SUBTOTAL]]+Table1[[#This Row],[IVA]]-Table1[[#This Row],[RET IVA]]-Table1[[#This Row],[RET ISR]]-Table1[[#This Row],[TOTAL]]</f>
        <v>0</v>
      </c>
      <c r="AE2470" s="150"/>
      <c r="AF2470" s="151"/>
      <c r="AG2470" s="126" t="s">
        <v>3420</v>
      </c>
      <c r="AK2470" s="306" t="str">
        <f>IF(ISNUMBER(Table1[[#This Row],[FECHA DE RECIBIDO]]), Table1[[#This Row],[FECHA DE RECIBIDO]]-DATE(2023,8,30), "")</f>
        <v/>
      </c>
    </row>
    <row r="2471" spans="1:37" ht="16.05" customHeight="1">
      <c r="A2471" s="152" t="s">
        <v>3781</v>
      </c>
      <c r="B2471" s="153">
        <v>805</v>
      </c>
      <c r="C2471" s="126" t="s">
        <v>2461</v>
      </c>
      <c r="D2471">
        <v>1642</v>
      </c>
      <c r="E2471" s="126" t="s">
        <v>3232</v>
      </c>
      <c r="F2471" s="125" t="s">
        <v>1589</v>
      </c>
      <c r="G2471" s="125" t="s">
        <v>129</v>
      </c>
      <c r="H2471">
        <v>211</v>
      </c>
      <c r="I2471" s="125" t="s">
        <v>1546</v>
      </c>
      <c r="J2471" s="308" t="s">
        <v>214</v>
      </c>
      <c r="K2471" s="127" t="s">
        <v>3797</v>
      </c>
      <c r="L2471" s="153" t="s">
        <v>1579</v>
      </c>
      <c r="M2471">
        <v>275</v>
      </c>
      <c r="N2471" s="123">
        <v>17</v>
      </c>
      <c r="O2471">
        <v>1618</v>
      </c>
      <c r="P2471" s="132" t="s">
        <v>77</v>
      </c>
      <c r="Q2471" s="132">
        <v>73.28</v>
      </c>
      <c r="R2471" s="132">
        <v>11.72</v>
      </c>
      <c r="S2471" s="132"/>
      <c r="T2471" s="156"/>
      <c r="U2471" s="132"/>
      <c r="V2471" s="132">
        <v>85</v>
      </c>
      <c r="W2471">
        <v>104</v>
      </c>
      <c r="X2471" s="153" t="s">
        <v>1644</v>
      </c>
      <c r="Y2471" s="124" t="s">
        <v>55</v>
      </c>
      <c r="Z2471" s="308">
        <v>225</v>
      </c>
      <c r="AB2471" t="str">
        <f>IF(Table1[[#This Row],[TIPO2]]="costo", VLOOKUP(Table1[[#This Row],[PARTIDA PRESUPUESTAL]],'Cost Report'!G:G,1,0),"Balance")</f>
        <v>2385-003</v>
      </c>
      <c r="AC2471" s="118"/>
      <c r="AD2471" s="159">
        <f>+Table1[[#This Row],[SUBTOTAL]]+Table1[[#This Row],[IVA]]-Table1[[#This Row],[RET IVA]]-Table1[[#This Row],[RET ISR]]-Table1[[#This Row],[TOTAL]]</f>
        <v>0</v>
      </c>
      <c r="AE2471" s="152"/>
      <c r="AF2471" s="153"/>
      <c r="AG2471" s="126" t="s">
        <v>3420</v>
      </c>
      <c r="AK2471" s="306" t="str">
        <f>IF(ISNUMBER(Table1[[#This Row],[FECHA DE RECIBIDO]]), Table1[[#This Row],[FECHA DE RECIBIDO]]-DATE(2023,8,30), "")</f>
        <v/>
      </c>
    </row>
    <row r="2472" spans="1:37" ht="16.05" customHeight="1">
      <c r="A2472" s="150" t="s">
        <v>3781</v>
      </c>
      <c r="B2472" s="151">
        <v>805</v>
      </c>
      <c r="C2472" s="126" t="s">
        <v>2461</v>
      </c>
      <c r="D2472">
        <v>1643</v>
      </c>
      <c r="E2472" s="126" t="s">
        <v>3232</v>
      </c>
      <c r="F2472" s="122" t="s">
        <v>1589</v>
      </c>
      <c r="G2472" s="122" t="s">
        <v>129</v>
      </c>
      <c r="H2472">
        <v>211</v>
      </c>
      <c r="I2472" s="122" t="s">
        <v>1546</v>
      </c>
      <c r="J2472" s="307" t="s">
        <v>214</v>
      </c>
      <c r="K2472" s="127" t="s">
        <v>3797</v>
      </c>
      <c r="L2472" s="151" t="s">
        <v>1579</v>
      </c>
      <c r="M2472">
        <v>275</v>
      </c>
      <c r="N2472" s="123">
        <v>17</v>
      </c>
      <c r="O2472">
        <v>1619</v>
      </c>
      <c r="P2472" s="132" t="s">
        <v>77</v>
      </c>
      <c r="Q2472" s="131">
        <v>147.41</v>
      </c>
      <c r="R2472" s="131">
        <v>23.59</v>
      </c>
      <c r="S2472" s="131"/>
      <c r="T2472" s="155"/>
      <c r="U2472" s="131"/>
      <c r="V2472" s="131">
        <v>171</v>
      </c>
      <c r="W2472">
        <v>104</v>
      </c>
      <c r="X2472" s="151" t="s">
        <v>1644</v>
      </c>
      <c r="Y2472" s="135" t="s">
        <v>55</v>
      </c>
      <c r="Z2472" s="307">
        <v>225</v>
      </c>
      <c r="AB2472" t="str">
        <f>IF(Table1[[#This Row],[TIPO2]]="costo", VLOOKUP(Table1[[#This Row],[PARTIDA PRESUPUESTAL]],'Cost Report'!G:G,1,0),"Balance")</f>
        <v>2385-003</v>
      </c>
      <c r="AC2472" s="118"/>
      <c r="AD2472" s="159">
        <f>+Table1[[#This Row],[SUBTOTAL]]+Table1[[#This Row],[IVA]]-Table1[[#This Row],[RET IVA]]-Table1[[#This Row],[RET ISR]]-Table1[[#This Row],[TOTAL]]</f>
        <v>0</v>
      </c>
      <c r="AE2472" s="150"/>
      <c r="AF2472" s="151"/>
      <c r="AG2472" s="126" t="s">
        <v>3420</v>
      </c>
      <c r="AK2472" s="306" t="str">
        <f>IF(ISNUMBER(Table1[[#This Row],[FECHA DE RECIBIDO]]), Table1[[#This Row],[FECHA DE RECIBIDO]]-DATE(2023,8,30), "")</f>
        <v/>
      </c>
    </row>
    <row r="2473" spans="1:37" ht="16.05" customHeight="1">
      <c r="A2473" s="152" t="s">
        <v>3781</v>
      </c>
      <c r="B2473" s="153">
        <v>805</v>
      </c>
      <c r="C2473" s="126" t="s">
        <v>2455</v>
      </c>
      <c r="D2473">
        <v>689</v>
      </c>
      <c r="E2473" s="126"/>
      <c r="F2473" s="125"/>
      <c r="G2473" s="125"/>
      <c r="H2473"/>
      <c r="I2473" s="125"/>
      <c r="J2473" s="308">
        <v>222</v>
      </c>
      <c r="K2473" s="127" t="s">
        <v>3797</v>
      </c>
      <c r="L2473" s="153" t="s">
        <v>1579</v>
      </c>
      <c r="M2473">
        <v>690</v>
      </c>
      <c r="N2473" s="123">
        <v>17</v>
      </c>
      <c r="O2473">
        <v>1620</v>
      </c>
      <c r="P2473" s="132" t="s">
        <v>77</v>
      </c>
      <c r="Q2473" s="132">
        <v>30</v>
      </c>
      <c r="R2473" s="132"/>
      <c r="S2473" s="132"/>
      <c r="T2473" s="156"/>
      <c r="U2473" s="132"/>
      <c r="V2473" s="132">
        <v>30</v>
      </c>
      <c r="W2473">
        <v>104</v>
      </c>
      <c r="X2473" s="153" t="s">
        <v>1644</v>
      </c>
      <c r="Y2473" s="124" t="s">
        <v>55</v>
      </c>
      <c r="Z2473" s="308">
        <v>222</v>
      </c>
      <c r="AB2473" t="str">
        <f>IF(Table1[[#This Row],[TIPO2]]="costo", VLOOKUP(Table1[[#This Row],[PARTIDA PRESUPUESTAL]],'Cost Report'!G:G,1,0),"Balance")</f>
        <v>2285-003</v>
      </c>
      <c r="AC2473" s="118"/>
      <c r="AD2473" s="159">
        <f>+Table1[[#This Row],[SUBTOTAL]]+Table1[[#This Row],[IVA]]-Table1[[#This Row],[RET IVA]]-Table1[[#This Row],[RET ISR]]-Table1[[#This Row],[TOTAL]]</f>
        <v>0</v>
      </c>
      <c r="AE2473" s="152"/>
      <c r="AF2473" s="153"/>
      <c r="AG2473" s="126" t="s">
        <v>3420</v>
      </c>
      <c r="AK2473" s="306">
        <f>IF(ISNUMBER(Table1[[#This Row],[FECHA DE RECIBIDO]]), Table1[[#This Row],[FECHA DE RECIBIDO]]-DATE(2023,8,30), "")</f>
        <v>-44946</v>
      </c>
    </row>
    <row r="2474" spans="1:37" ht="16.05" customHeight="1">
      <c r="A2474" s="150" t="s">
        <v>3781</v>
      </c>
      <c r="B2474" s="151">
        <v>805</v>
      </c>
      <c r="C2474" s="126" t="s">
        <v>2455</v>
      </c>
      <c r="D2474">
        <v>689</v>
      </c>
      <c r="E2474" s="126"/>
      <c r="F2474" s="122"/>
      <c r="G2474" s="122"/>
      <c r="H2474"/>
      <c r="I2474" s="122"/>
      <c r="J2474" s="307">
        <v>222</v>
      </c>
      <c r="K2474" s="127" t="s">
        <v>3797</v>
      </c>
      <c r="L2474" s="151" t="s">
        <v>1579</v>
      </c>
      <c r="M2474">
        <v>696</v>
      </c>
      <c r="N2474" s="123">
        <v>17</v>
      </c>
      <c r="O2474">
        <v>1620</v>
      </c>
      <c r="P2474" s="132" t="s">
        <v>77</v>
      </c>
      <c r="Q2474" s="131">
        <v>29.5</v>
      </c>
      <c r="R2474" s="131"/>
      <c r="S2474" s="131"/>
      <c r="T2474" s="155"/>
      <c r="U2474" s="131"/>
      <c r="V2474" s="131">
        <v>29.5</v>
      </c>
      <c r="W2474">
        <v>104</v>
      </c>
      <c r="X2474" s="151" t="s">
        <v>1644</v>
      </c>
      <c r="Y2474" s="135" t="s">
        <v>55</v>
      </c>
      <c r="Z2474" s="307">
        <v>222</v>
      </c>
      <c r="AB2474" t="str">
        <f>IF(Table1[[#This Row],[TIPO2]]="costo", VLOOKUP(Table1[[#This Row],[PARTIDA PRESUPUESTAL]],'Cost Report'!G:G,1,0),"Balance")</f>
        <v>2285-003</v>
      </c>
      <c r="AC2474" s="118"/>
      <c r="AD2474" s="159">
        <f>+Table1[[#This Row],[SUBTOTAL]]+Table1[[#This Row],[IVA]]-Table1[[#This Row],[RET IVA]]-Table1[[#This Row],[RET ISR]]-Table1[[#This Row],[TOTAL]]</f>
        <v>0</v>
      </c>
      <c r="AE2474" s="150"/>
      <c r="AF2474" s="151"/>
      <c r="AG2474" s="126" t="s">
        <v>3420</v>
      </c>
      <c r="AK2474" s="306">
        <f>IF(ISNUMBER(Table1[[#This Row],[FECHA DE RECIBIDO]]), Table1[[#This Row],[FECHA DE RECIBIDO]]-DATE(2023,8,30), "")</f>
        <v>-44946</v>
      </c>
    </row>
    <row r="2475" spans="1:37" ht="16.05" customHeight="1">
      <c r="A2475" s="152" t="s">
        <v>3781</v>
      </c>
      <c r="B2475" s="153">
        <v>805</v>
      </c>
      <c r="C2475" s="126" t="s">
        <v>2455</v>
      </c>
      <c r="D2475">
        <v>689</v>
      </c>
      <c r="E2475" s="126"/>
      <c r="F2475" s="125"/>
      <c r="G2475" s="125"/>
      <c r="H2475"/>
      <c r="I2475" s="125"/>
      <c r="J2475" s="308">
        <v>227</v>
      </c>
      <c r="K2475" s="127" t="s">
        <v>3797</v>
      </c>
      <c r="L2475" s="153" t="s">
        <v>1579</v>
      </c>
      <c r="M2475">
        <v>522</v>
      </c>
      <c r="N2475" s="123">
        <v>17</v>
      </c>
      <c r="O2475">
        <v>1621</v>
      </c>
      <c r="P2475" s="132" t="s">
        <v>77</v>
      </c>
      <c r="Q2475" s="132">
        <v>60</v>
      </c>
      <c r="R2475" s="132"/>
      <c r="S2475" s="132"/>
      <c r="T2475" s="156"/>
      <c r="U2475" s="132"/>
      <c r="V2475" s="132">
        <v>60</v>
      </c>
      <c r="W2475">
        <v>104</v>
      </c>
      <c r="X2475" s="153" t="s">
        <v>1644</v>
      </c>
      <c r="Y2475" s="124" t="s">
        <v>55</v>
      </c>
      <c r="Z2475" s="308">
        <v>227</v>
      </c>
      <c r="AB2475" t="str">
        <f>IF(Table1[[#This Row],[TIPO2]]="costo", VLOOKUP(Table1[[#This Row],[PARTIDA PRESUPUESTAL]],'Cost Report'!G:G,1,0),"Balance")</f>
        <v>2285-003</v>
      </c>
      <c r="AC2475" s="118"/>
      <c r="AD2475" s="159">
        <f>+Table1[[#This Row],[SUBTOTAL]]+Table1[[#This Row],[IVA]]-Table1[[#This Row],[RET IVA]]-Table1[[#This Row],[RET ISR]]-Table1[[#This Row],[TOTAL]]</f>
        <v>0</v>
      </c>
      <c r="AE2475" s="152"/>
      <c r="AF2475" s="153"/>
      <c r="AG2475" s="126" t="s">
        <v>3420</v>
      </c>
      <c r="AK2475" s="306">
        <f>IF(ISNUMBER(Table1[[#This Row],[FECHA DE RECIBIDO]]), Table1[[#This Row],[FECHA DE RECIBIDO]]-DATE(2023,8,30), "")</f>
        <v>-44941</v>
      </c>
    </row>
    <row r="2476" spans="1:37" ht="16.05" customHeight="1">
      <c r="A2476" s="150"/>
      <c r="B2476" s="151"/>
      <c r="C2476" s="126" t="s">
        <v>71</v>
      </c>
      <c r="D2476"/>
      <c r="E2476" s="126"/>
      <c r="F2476" s="122"/>
      <c r="G2476" s="122"/>
      <c r="H2476"/>
      <c r="I2476" s="122"/>
      <c r="J2476" s="307" t="s">
        <v>214</v>
      </c>
      <c r="K2476" s="127" t="s">
        <v>3797</v>
      </c>
      <c r="L2476" s="151" t="s">
        <v>1643</v>
      </c>
      <c r="M2476">
        <v>697</v>
      </c>
      <c r="N2476" s="123"/>
      <c r="O2476">
        <v>1622</v>
      </c>
      <c r="P2476" s="131" t="s">
        <v>78</v>
      </c>
      <c r="Q2476" s="131">
        <v>-243509.71960000001</v>
      </c>
      <c r="R2476" s="131"/>
      <c r="S2476" s="131"/>
      <c r="T2476" s="155"/>
      <c r="U2476" s="131"/>
      <c r="V2476" s="131">
        <f>+Table1[[#This Row],[SUBTOTAL]]</f>
        <v>-243509.71960000001</v>
      </c>
      <c r="W2476"/>
      <c r="X2476" s="151"/>
      <c r="Y2476" s="135"/>
      <c r="Z2476" s="307">
        <v>212</v>
      </c>
      <c r="AB2476" t="s">
        <v>78</v>
      </c>
      <c r="AC2476" s="118"/>
      <c r="AD2476" s="159">
        <f>+Table1[[#This Row],[SUBTOTAL]]+Table1[[#This Row],[IVA]]-Table1[[#This Row],[RET IVA]]-Table1[[#This Row],[RET ISR]]-Table1[[#This Row],[TOTAL]]</f>
        <v>0</v>
      </c>
      <c r="AE2476" s="150"/>
      <c r="AF2476" s="151"/>
      <c r="AG2476" s="126" t="s">
        <v>3420</v>
      </c>
      <c r="AK2476" s="306" t="str">
        <f>IF(ISNUMBER(Table1[[#This Row],[FECHA DE RECIBIDO]]), Table1[[#This Row],[FECHA DE RECIBIDO]]-DATE(2023,8,30), "")</f>
        <v/>
      </c>
    </row>
    <row r="2477" spans="1:37" ht="16.05" customHeight="1">
      <c r="A2477" s="152" t="s">
        <v>3422</v>
      </c>
      <c r="B2477" s="153" t="s">
        <v>1576</v>
      </c>
      <c r="C2477" s="126" t="s">
        <v>74</v>
      </c>
      <c r="D2477">
        <v>1025</v>
      </c>
      <c r="E2477" s="126" t="s">
        <v>1577</v>
      </c>
      <c r="F2477" s="125" t="s">
        <v>1911</v>
      </c>
      <c r="G2477" s="125" t="s">
        <v>3423</v>
      </c>
      <c r="H2477">
        <v>0</v>
      </c>
      <c r="I2477" s="125" t="s">
        <v>1546</v>
      </c>
      <c r="J2477" s="308">
        <v>222.64539351852</v>
      </c>
      <c r="K2477" s="127" t="s">
        <v>3797</v>
      </c>
      <c r="L2477" s="153" t="s">
        <v>98</v>
      </c>
      <c r="M2477">
        <v>0</v>
      </c>
      <c r="N2477" s="123"/>
      <c r="O2477">
        <v>2</v>
      </c>
      <c r="P2477" s="131" t="s">
        <v>78</v>
      </c>
      <c r="Q2477" s="132">
        <v>2910893.45</v>
      </c>
      <c r="R2477" s="132">
        <v>0</v>
      </c>
      <c r="S2477" s="132"/>
      <c r="T2477" s="156"/>
      <c r="U2477" s="132"/>
      <c r="V2477" s="132">
        <v>2910893.45</v>
      </c>
      <c r="W2477">
        <v>34</v>
      </c>
      <c r="X2477" s="153" t="s">
        <v>105</v>
      </c>
      <c r="Y2477" s="124" t="s">
        <v>55</v>
      </c>
      <c r="Z2477" s="308">
        <v>222</v>
      </c>
      <c r="AB2477" t="s">
        <v>78</v>
      </c>
      <c r="AC2477" s="118"/>
      <c r="AD2477" s="159">
        <f>+Table1[[#This Row],[SUBTOTAL]]+Table1[[#This Row],[IVA]]-Table1[[#This Row],[RET IVA]]-Table1[[#This Row],[RET ISR]]-Table1[[#This Row],[TOTAL]]</f>
        <v>0</v>
      </c>
      <c r="AE2477" s="152"/>
      <c r="AF2477" s="153"/>
      <c r="AG2477" s="126"/>
      <c r="AK2477" s="306">
        <f>IF(ISNUMBER(Table1[[#This Row],[FECHA DE RECIBIDO]]), Table1[[#This Row],[FECHA DE RECIBIDO]]-DATE(2023,8,30), "")</f>
        <v>-44945.35460648148</v>
      </c>
    </row>
    <row r="2478" spans="1:37" ht="16.05" customHeight="1">
      <c r="A2478" s="150" t="s">
        <v>3807</v>
      </c>
      <c r="B2478" s="151">
        <v>806</v>
      </c>
      <c r="C2478" s="126" t="s">
        <v>71</v>
      </c>
      <c r="D2478">
        <v>1644</v>
      </c>
      <c r="E2478" s="126" t="s">
        <v>1604</v>
      </c>
      <c r="F2478" s="122" t="s">
        <v>1607</v>
      </c>
      <c r="G2478" s="122" t="s">
        <v>134</v>
      </c>
      <c r="H2478">
        <v>48</v>
      </c>
      <c r="I2478" s="122" t="s">
        <v>1546</v>
      </c>
      <c r="J2478" s="307" t="s">
        <v>214</v>
      </c>
      <c r="K2478" s="127" t="s">
        <v>3806</v>
      </c>
      <c r="L2478" s="151" t="s">
        <v>1579</v>
      </c>
      <c r="M2478">
        <v>335</v>
      </c>
      <c r="N2478" s="123">
        <v>17</v>
      </c>
      <c r="O2478">
        <v>1623</v>
      </c>
      <c r="P2478" s="131" t="s">
        <v>78</v>
      </c>
      <c r="Q2478" s="131">
        <v>132000</v>
      </c>
      <c r="R2478" s="131"/>
      <c r="S2478" s="131"/>
      <c r="T2478" s="155"/>
      <c r="U2478" s="131"/>
      <c r="V2478" s="131">
        <v>132000</v>
      </c>
      <c r="W2478"/>
      <c r="X2478" s="151" t="s">
        <v>1639</v>
      </c>
      <c r="Y2478" s="135" t="s">
        <v>55</v>
      </c>
      <c r="Z2478" s="307" t="s">
        <v>214</v>
      </c>
      <c r="AB2478" t="str">
        <f>IF(Table1[[#This Row],[TIPO2]]="costo", VLOOKUP(Table1[[#This Row],[PARTIDA PRESUPUESTAL]],'Cost Report'!G:G,1,0),"Balance")</f>
        <v>Balance</v>
      </c>
      <c r="AC2478" s="118"/>
      <c r="AD2478" s="159">
        <f>+Table1[[#This Row],[SUBTOTAL]]+Table1[[#This Row],[IVA]]-Table1[[#This Row],[RET IVA]]-Table1[[#This Row],[RET ISR]]-Table1[[#This Row],[TOTAL]]</f>
        <v>0</v>
      </c>
      <c r="AE2478" s="150"/>
      <c r="AF2478" s="151"/>
      <c r="AG2478" s="126"/>
      <c r="AK2478" s="306" t="str">
        <f>IF(ISNUMBER(Table1[[#This Row],[FECHA DE RECIBIDO]]), Table1[[#This Row],[FECHA DE RECIBIDO]]-DATE(2023,8,30), "")</f>
        <v/>
      </c>
    </row>
    <row r="2479" spans="1:37" ht="16.05" customHeight="1">
      <c r="A2479" s="152" t="s">
        <v>3807</v>
      </c>
      <c r="B2479" s="153">
        <v>806</v>
      </c>
      <c r="C2479" s="126" t="s">
        <v>3103</v>
      </c>
      <c r="D2479"/>
      <c r="E2479" s="126"/>
      <c r="F2479" s="125"/>
      <c r="G2479" s="125"/>
      <c r="H2479"/>
      <c r="I2479" s="125"/>
      <c r="J2479" s="308" t="s">
        <v>214</v>
      </c>
      <c r="K2479" s="127" t="s">
        <v>3806</v>
      </c>
      <c r="L2479" s="153" t="s">
        <v>1579</v>
      </c>
      <c r="M2479">
        <v>335</v>
      </c>
      <c r="N2479" s="123">
        <v>17</v>
      </c>
      <c r="O2479">
        <v>553</v>
      </c>
      <c r="P2479" s="132" t="s">
        <v>77</v>
      </c>
      <c r="Q2479" s="132">
        <v>3220.8</v>
      </c>
      <c r="R2479" s="132">
        <v>515.33000000000004</v>
      </c>
      <c r="S2479" s="132"/>
      <c r="T2479" s="156"/>
      <c r="U2479" s="132"/>
      <c r="V2479" s="132">
        <v>3736.13</v>
      </c>
      <c r="W2479"/>
      <c r="X2479" s="153" t="s">
        <v>1639</v>
      </c>
      <c r="Y2479" s="124" t="s">
        <v>55</v>
      </c>
      <c r="Z2479" s="308" t="s">
        <v>214</v>
      </c>
      <c r="AB2479" t="str">
        <f>IF(Table1[[#This Row],[TIPO2]]="costo", VLOOKUP(Table1[[#This Row],[PARTIDA PRESUPUESTAL]],'Cost Report'!G:G,1,0),"Balance")</f>
        <v>7038-009</v>
      </c>
      <c r="AC2479" s="118"/>
      <c r="AD2479" s="159">
        <f>+Table1[[#This Row],[SUBTOTAL]]+Table1[[#This Row],[IVA]]-Table1[[#This Row],[RET IVA]]-Table1[[#This Row],[RET ISR]]-Table1[[#This Row],[TOTAL]]</f>
        <v>0</v>
      </c>
      <c r="AE2479" s="152"/>
      <c r="AF2479" s="153"/>
      <c r="AG2479" s="126"/>
      <c r="AK2479" s="306" t="str">
        <f>IF(ISNUMBER(Table1[[#This Row],[FECHA DE RECIBIDO]]), Table1[[#This Row],[FECHA DE RECIBIDO]]-DATE(2023,8,30), "")</f>
        <v/>
      </c>
    </row>
    <row r="2480" spans="1:37" ht="16.05" customHeight="1">
      <c r="A2480" s="150" t="s">
        <v>3765</v>
      </c>
      <c r="B2480" s="151">
        <v>807</v>
      </c>
      <c r="C2480" s="126" t="s">
        <v>2734</v>
      </c>
      <c r="D2480">
        <v>1645</v>
      </c>
      <c r="E2480" s="126" t="s">
        <v>3268</v>
      </c>
      <c r="F2480" s="122" t="s">
        <v>1593</v>
      </c>
      <c r="G2480" s="122" t="s">
        <v>109</v>
      </c>
      <c r="H2480">
        <v>255</v>
      </c>
      <c r="I2480" s="122" t="s">
        <v>1546</v>
      </c>
      <c r="J2480" s="307" t="s">
        <v>214</v>
      </c>
      <c r="K2480" s="127" t="s">
        <v>3806</v>
      </c>
      <c r="L2480" s="151" t="s">
        <v>3306</v>
      </c>
      <c r="M2480">
        <v>338</v>
      </c>
      <c r="N2480" s="123">
        <v>1</v>
      </c>
      <c r="O2480">
        <v>1624</v>
      </c>
      <c r="P2480" s="132" t="s">
        <v>77</v>
      </c>
      <c r="Q2480" s="131">
        <v>19338.46</v>
      </c>
      <c r="R2480" s="131">
        <v>3094.15</v>
      </c>
      <c r="S2480" s="131"/>
      <c r="T2480" s="155">
        <v>2063.41</v>
      </c>
      <c r="U2480" s="131">
        <v>241.73</v>
      </c>
      <c r="V2480" s="131">
        <v>20127.47</v>
      </c>
      <c r="W2480">
        <v>205</v>
      </c>
      <c r="X2480" s="151" t="s">
        <v>2024</v>
      </c>
      <c r="Y2480" s="135" t="s">
        <v>55</v>
      </c>
      <c r="Z2480" s="307">
        <v>236</v>
      </c>
      <c r="AB2480" t="str">
        <f>IF(Table1[[#This Row],[TIPO2]]="costo", VLOOKUP(Table1[[#This Row],[PARTIDA PRESUPUESTAL]],'Cost Report'!G:G,1,0),"Balance")</f>
        <v>3193-115</v>
      </c>
      <c r="AC2480" s="118"/>
      <c r="AD2480" s="159">
        <f>+Table1[[#This Row],[SUBTOTAL]]+Table1[[#This Row],[IVA]]-Table1[[#This Row],[RET IVA]]-Table1[[#This Row],[RET ISR]]-Table1[[#This Row],[TOTAL]]</f>
        <v>0</v>
      </c>
      <c r="AE2480" s="150"/>
      <c r="AF2480" s="151"/>
      <c r="AG2480" s="126"/>
      <c r="AK2480" s="306" t="str">
        <f>IF(ISNUMBER(Table1[[#This Row],[FECHA DE RECIBIDO]]), Table1[[#This Row],[FECHA DE RECIBIDO]]-DATE(2023,8,30), "")</f>
        <v/>
      </c>
    </row>
    <row r="2481" spans="1:37" ht="16.05" customHeight="1">
      <c r="A2481" s="152" t="s">
        <v>3765</v>
      </c>
      <c r="B2481" s="153">
        <v>807</v>
      </c>
      <c r="C2481" s="126" t="s">
        <v>2734</v>
      </c>
      <c r="D2481">
        <v>1645</v>
      </c>
      <c r="E2481" s="126" t="s">
        <v>3268</v>
      </c>
      <c r="F2481" s="125" t="s">
        <v>1593</v>
      </c>
      <c r="G2481" s="125" t="s">
        <v>109</v>
      </c>
      <c r="H2481">
        <v>255</v>
      </c>
      <c r="I2481" s="125" t="s">
        <v>1546</v>
      </c>
      <c r="J2481" s="308" t="s">
        <v>214</v>
      </c>
      <c r="K2481" s="127" t="s">
        <v>3806</v>
      </c>
      <c r="L2481" s="153" t="s">
        <v>3306</v>
      </c>
      <c r="M2481">
        <v>338</v>
      </c>
      <c r="N2481" s="123">
        <v>1</v>
      </c>
      <c r="O2481">
        <v>1624</v>
      </c>
      <c r="P2481" s="132" t="s">
        <v>77</v>
      </c>
      <c r="Q2481" s="132">
        <v>19338.46</v>
      </c>
      <c r="R2481" s="132">
        <v>3094.15</v>
      </c>
      <c r="S2481" s="132"/>
      <c r="T2481" s="156">
        <v>2063.41</v>
      </c>
      <c r="U2481" s="132">
        <v>241.73</v>
      </c>
      <c r="V2481" s="132">
        <v>20127.47</v>
      </c>
      <c r="W2481">
        <v>205</v>
      </c>
      <c r="X2481" s="153" t="s">
        <v>2024</v>
      </c>
      <c r="Y2481" s="124" t="s">
        <v>55</v>
      </c>
      <c r="Z2481" s="308">
        <v>236</v>
      </c>
      <c r="AB2481" t="str">
        <f>IF(Table1[[#This Row],[TIPO2]]="costo", VLOOKUP(Table1[[#This Row],[PARTIDA PRESUPUESTAL]],'Cost Report'!G:G,1,0),"Balance")</f>
        <v>3193-115</v>
      </c>
      <c r="AC2481" s="118"/>
      <c r="AD2481" s="159">
        <f>+Table1[[#This Row],[SUBTOTAL]]+Table1[[#This Row],[IVA]]-Table1[[#This Row],[RET IVA]]-Table1[[#This Row],[RET ISR]]-Table1[[#This Row],[TOTAL]]</f>
        <v>0</v>
      </c>
      <c r="AE2481" s="152"/>
      <c r="AF2481" s="153"/>
      <c r="AG2481" s="126"/>
      <c r="AK2481" s="306" t="str">
        <f>IF(ISNUMBER(Table1[[#This Row],[FECHA DE RECIBIDO]]), Table1[[#This Row],[FECHA DE RECIBIDO]]-DATE(2023,8,30), "")</f>
        <v/>
      </c>
    </row>
    <row r="2482" spans="1:37" ht="16.05" customHeight="1">
      <c r="A2482" s="150" t="s">
        <v>3765</v>
      </c>
      <c r="B2482" s="151">
        <v>807</v>
      </c>
      <c r="C2482" s="126" t="s">
        <v>2734</v>
      </c>
      <c r="D2482">
        <v>1645</v>
      </c>
      <c r="E2482" s="126" t="s">
        <v>3268</v>
      </c>
      <c r="F2482" s="122" t="s">
        <v>1593</v>
      </c>
      <c r="G2482" s="122" t="s">
        <v>109</v>
      </c>
      <c r="H2482">
        <v>255</v>
      </c>
      <c r="I2482" s="122" t="s">
        <v>1546</v>
      </c>
      <c r="J2482" s="307" t="s">
        <v>214</v>
      </c>
      <c r="K2482" s="127" t="s">
        <v>3806</v>
      </c>
      <c r="L2482" s="151" t="s">
        <v>3306</v>
      </c>
      <c r="M2482">
        <v>338</v>
      </c>
      <c r="N2482" s="123">
        <v>1</v>
      </c>
      <c r="O2482">
        <v>1624</v>
      </c>
      <c r="P2482" s="132" t="s">
        <v>77</v>
      </c>
      <c r="Q2482" s="131">
        <v>19338.46</v>
      </c>
      <c r="R2482" s="131">
        <v>3094.15</v>
      </c>
      <c r="S2482" s="131"/>
      <c r="T2482" s="155">
        <v>2063.41</v>
      </c>
      <c r="U2482" s="131">
        <v>241.73</v>
      </c>
      <c r="V2482" s="131">
        <v>20127.47</v>
      </c>
      <c r="W2482">
        <v>205</v>
      </c>
      <c r="X2482" s="151" t="s">
        <v>2024</v>
      </c>
      <c r="Y2482" s="135" t="s">
        <v>55</v>
      </c>
      <c r="Z2482" s="307">
        <v>236</v>
      </c>
      <c r="AB2482" t="str">
        <f>IF(Table1[[#This Row],[TIPO2]]="costo", VLOOKUP(Table1[[#This Row],[PARTIDA PRESUPUESTAL]],'Cost Report'!G:G,1,0),"Balance")</f>
        <v>3193-115</v>
      </c>
      <c r="AC2482" s="118"/>
      <c r="AD2482" s="159">
        <f>+Table1[[#This Row],[SUBTOTAL]]+Table1[[#This Row],[IVA]]-Table1[[#This Row],[RET IVA]]-Table1[[#This Row],[RET ISR]]-Table1[[#This Row],[TOTAL]]</f>
        <v>0</v>
      </c>
      <c r="AE2482" s="150"/>
      <c r="AF2482" s="151"/>
      <c r="AG2482" s="126"/>
      <c r="AK2482" s="306" t="str">
        <f>IF(ISNUMBER(Table1[[#This Row],[FECHA DE RECIBIDO]]), Table1[[#This Row],[FECHA DE RECIBIDO]]-DATE(2023,8,30), "")</f>
        <v/>
      </c>
    </row>
    <row r="2483" spans="1:37" ht="16.05" customHeight="1">
      <c r="A2483" s="152" t="s">
        <v>3808</v>
      </c>
      <c r="B2483" s="153">
        <v>808</v>
      </c>
      <c r="C2483" s="126" t="s">
        <v>1003</v>
      </c>
      <c r="D2483">
        <v>1646</v>
      </c>
      <c r="E2483" s="126" t="s">
        <v>1614</v>
      </c>
      <c r="F2483" s="125" t="s">
        <v>1607</v>
      </c>
      <c r="G2483" s="125" t="s">
        <v>134</v>
      </c>
      <c r="H2483">
        <v>477</v>
      </c>
      <c r="I2483" s="125" t="s">
        <v>1546</v>
      </c>
      <c r="J2483" s="308" t="s">
        <v>214</v>
      </c>
      <c r="K2483" s="127" t="s">
        <v>3806</v>
      </c>
      <c r="L2483" s="153" t="s">
        <v>3306</v>
      </c>
      <c r="M2483">
        <v>698</v>
      </c>
      <c r="N2483" s="123">
        <v>1</v>
      </c>
      <c r="O2483">
        <v>1625</v>
      </c>
      <c r="P2483" s="132" t="s">
        <v>77</v>
      </c>
      <c r="Q2483" s="132">
        <v>414960</v>
      </c>
      <c r="R2483" s="132">
        <v>66393.600000000006</v>
      </c>
      <c r="S2483" s="132"/>
      <c r="T2483" s="156">
        <v>0</v>
      </c>
      <c r="U2483" s="132">
        <v>0</v>
      </c>
      <c r="V2483" s="132">
        <v>481353.6</v>
      </c>
      <c r="W2483">
        <v>247</v>
      </c>
      <c r="X2483" s="153" t="s">
        <v>1430</v>
      </c>
      <c r="Y2483" s="124" t="s">
        <v>55</v>
      </c>
      <c r="Z2483" s="308">
        <v>236</v>
      </c>
      <c r="AB2483" t="str">
        <f>IF(Table1[[#This Row],[TIPO2]]="costo", VLOOKUP(Table1[[#This Row],[PARTIDA PRESUPUESTAL]],'Cost Report'!G:G,1,0),"Balance")</f>
        <v>3412-043</v>
      </c>
      <c r="AC2483" s="118"/>
      <c r="AD2483" s="159">
        <f>+Table1[[#This Row],[SUBTOTAL]]+Table1[[#This Row],[IVA]]-Table1[[#This Row],[RET IVA]]-Table1[[#This Row],[RET ISR]]-Table1[[#This Row],[TOTAL]]</f>
        <v>0</v>
      </c>
      <c r="AE2483" s="152"/>
      <c r="AF2483" s="153"/>
      <c r="AG2483" s="126"/>
      <c r="AK2483" s="306" t="str">
        <f>IF(ISNUMBER(Table1[[#This Row],[FECHA DE RECIBIDO]]), Table1[[#This Row],[FECHA DE RECIBIDO]]-DATE(2023,8,30), "")</f>
        <v/>
      </c>
    </row>
    <row r="2484" spans="1:37" ht="16.05" customHeight="1">
      <c r="A2484" s="150"/>
      <c r="B2484" s="151">
        <v>809</v>
      </c>
      <c r="C2484" s="126" t="s">
        <v>69</v>
      </c>
      <c r="D2484">
        <v>1647</v>
      </c>
      <c r="E2484" s="126" t="s">
        <v>1482</v>
      </c>
      <c r="F2484" s="122" t="s">
        <v>1482</v>
      </c>
      <c r="G2484" s="122" t="s">
        <v>1482</v>
      </c>
      <c r="H2484">
        <v>477</v>
      </c>
      <c r="I2484" s="122" t="s">
        <v>1482</v>
      </c>
      <c r="J2484" s="307" t="s">
        <v>214</v>
      </c>
      <c r="K2484" s="127" t="s">
        <v>3806</v>
      </c>
      <c r="L2484" s="151" t="s">
        <v>3306</v>
      </c>
      <c r="M2484">
        <v>698</v>
      </c>
      <c r="N2484" s="123">
        <v>1</v>
      </c>
      <c r="O2484">
        <v>1626</v>
      </c>
      <c r="P2484" s="131" t="s">
        <v>78</v>
      </c>
      <c r="Q2484" s="238">
        <v>159600</v>
      </c>
      <c r="R2484" s="131">
        <v>0</v>
      </c>
      <c r="S2484" s="131"/>
      <c r="T2484" s="155">
        <v>0</v>
      </c>
      <c r="U2484" s="131">
        <v>0</v>
      </c>
      <c r="V2484" s="131">
        <v>159600</v>
      </c>
      <c r="W2484">
        <v>247</v>
      </c>
      <c r="X2484" s="151" t="s">
        <v>1430</v>
      </c>
      <c r="Y2484" s="135" t="s">
        <v>55</v>
      </c>
      <c r="Z2484" s="307">
        <v>236</v>
      </c>
      <c r="AB2484" t="str">
        <f>IF(Table1[[#This Row],[TIPO2]]="costo", VLOOKUP(Table1[[#This Row],[PARTIDA PRESUPUESTAL]],'Cost Report'!G:G,1,0),"Balance")</f>
        <v>Balance</v>
      </c>
      <c r="AC2484" s="118"/>
      <c r="AD2484" s="159">
        <f>+Table1[[#This Row],[SUBTOTAL]]+Table1[[#This Row],[IVA]]-Table1[[#This Row],[RET IVA]]-Table1[[#This Row],[RET ISR]]-Table1[[#This Row],[TOTAL]]</f>
        <v>0</v>
      </c>
      <c r="AE2484" s="150"/>
      <c r="AF2484" s="151"/>
      <c r="AG2484" s="126"/>
      <c r="AK2484" s="306" t="str">
        <f>IF(ISNUMBER(Table1[[#This Row],[FECHA DE RECIBIDO]]), Table1[[#This Row],[FECHA DE RECIBIDO]]-DATE(2023,8,30), "")</f>
        <v/>
      </c>
    </row>
    <row r="2485" spans="1:37" ht="16.05" customHeight="1">
      <c r="A2485" s="152" t="s">
        <v>3809</v>
      </c>
      <c r="B2485" s="153">
        <v>810</v>
      </c>
      <c r="C2485" s="126" t="s">
        <v>2729</v>
      </c>
      <c r="D2485">
        <v>1648</v>
      </c>
      <c r="E2485" s="126" t="s">
        <v>3273</v>
      </c>
      <c r="F2485" s="125" t="s">
        <v>1589</v>
      </c>
      <c r="G2485" s="125" t="s">
        <v>129</v>
      </c>
      <c r="H2485">
        <v>264</v>
      </c>
      <c r="I2485" s="125" t="s">
        <v>1546</v>
      </c>
      <c r="J2485" s="308" t="s">
        <v>214</v>
      </c>
      <c r="K2485" s="127" t="s">
        <v>3806</v>
      </c>
      <c r="L2485" s="153" t="s">
        <v>3306</v>
      </c>
      <c r="M2485">
        <v>351</v>
      </c>
      <c r="N2485" s="123">
        <v>1</v>
      </c>
      <c r="O2485">
        <v>1627</v>
      </c>
      <c r="P2485" s="132" t="s">
        <v>77</v>
      </c>
      <c r="Q2485" s="132">
        <v>39000</v>
      </c>
      <c r="R2485" s="132">
        <v>6240</v>
      </c>
      <c r="S2485" s="132"/>
      <c r="T2485" s="156">
        <v>4160.0200000000004</v>
      </c>
      <c r="U2485" s="132">
        <v>3900</v>
      </c>
      <c r="V2485" s="132">
        <v>37179.979999999996</v>
      </c>
      <c r="W2485">
        <v>164</v>
      </c>
      <c r="X2485" s="153" t="s">
        <v>1429</v>
      </c>
      <c r="Y2485" s="124" t="s">
        <v>55</v>
      </c>
      <c r="Z2485" s="308">
        <v>236</v>
      </c>
      <c r="AB2485" t="str">
        <f>IF(Table1[[#This Row],[TIPO2]]="costo", VLOOKUP(Table1[[#This Row],[PARTIDA PRESUPUESTAL]],'Cost Report'!G:G,1,0),"Balance")</f>
        <v>3193-106</v>
      </c>
      <c r="AC2485" s="118"/>
      <c r="AD2485" s="159">
        <f>+Table1[[#This Row],[SUBTOTAL]]+Table1[[#This Row],[IVA]]-Table1[[#This Row],[RET IVA]]-Table1[[#This Row],[RET ISR]]-Table1[[#This Row],[TOTAL]]</f>
        <v>0</v>
      </c>
      <c r="AE2485" s="152"/>
      <c r="AF2485" s="153"/>
      <c r="AG2485" s="126"/>
      <c r="AK2485" s="306" t="str">
        <f>IF(ISNUMBER(Table1[[#This Row],[FECHA DE RECIBIDO]]), Table1[[#This Row],[FECHA DE RECIBIDO]]-DATE(2023,8,30), "")</f>
        <v/>
      </c>
    </row>
    <row r="2486" spans="1:37" ht="16.05" customHeight="1">
      <c r="A2486" s="150" t="s">
        <v>3809</v>
      </c>
      <c r="B2486" s="151">
        <v>810</v>
      </c>
      <c r="C2486" s="126" t="s">
        <v>3411</v>
      </c>
      <c r="D2486">
        <v>1648</v>
      </c>
      <c r="E2486" s="126" t="s">
        <v>3273</v>
      </c>
      <c r="F2486" s="122" t="s">
        <v>1589</v>
      </c>
      <c r="G2486" s="122" t="s">
        <v>129</v>
      </c>
      <c r="H2486">
        <v>264</v>
      </c>
      <c r="I2486" s="122" t="s">
        <v>1546</v>
      </c>
      <c r="J2486" s="307" t="s">
        <v>214</v>
      </c>
      <c r="K2486" s="127" t="s">
        <v>3806</v>
      </c>
      <c r="L2486" s="151" t="s">
        <v>3306</v>
      </c>
      <c r="M2486">
        <v>351</v>
      </c>
      <c r="N2486" s="123">
        <v>1</v>
      </c>
      <c r="O2486">
        <v>1627</v>
      </c>
      <c r="P2486" s="132" t="s">
        <v>77</v>
      </c>
      <c r="Q2486" s="131">
        <v>16200</v>
      </c>
      <c r="R2486" s="131">
        <v>2592</v>
      </c>
      <c r="S2486" s="131"/>
      <c r="T2486" s="155">
        <v>1728.01</v>
      </c>
      <c r="U2486" s="131">
        <v>1620</v>
      </c>
      <c r="V2486" s="131">
        <v>15443.990000000002</v>
      </c>
      <c r="W2486">
        <v>164</v>
      </c>
      <c r="X2486" s="151" t="s">
        <v>1429</v>
      </c>
      <c r="Y2486" s="135" t="s">
        <v>55</v>
      </c>
      <c r="Z2486" s="307">
        <v>236</v>
      </c>
      <c r="AB2486" t="str">
        <f>IF(Table1[[#This Row],[TIPO2]]="costo", VLOOKUP(Table1[[#This Row],[PARTIDA PRESUPUESTAL]],'Cost Report'!G:G,1,0),"Balance")</f>
        <v>3193-119</v>
      </c>
      <c r="AC2486" s="118"/>
      <c r="AD2486" s="159">
        <f>+Table1[[#This Row],[SUBTOTAL]]+Table1[[#This Row],[IVA]]-Table1[[#This Row],[RET IVA]]-Table1[[#This Row],[RET ISR]]-Table1[[#This Row],[TOTAL]]</f>
        <v>0</v>
      </c>
      <c r="AE2486" s="150"/>
      <c r="AF2486" s="151"/>
      <c r="AG2486" s="126"/>
      <c r="AK2486" s="306" t="str">
        <f>IF(ISNUMBER(Table1[[#This Row],[FECHA DE RECIBIDO]]), Table1[[#This Row],[FECHA DE RECIBIDO]]-DATE(2023,8,30), "")</f>
        <v/>
      </c>
    </row>
    <row r="2487" spans="1:37" ht="16.05" customHeight="1">
      <c r="A2487" s="152" t="s">
        <v>3809</v>
      </c>
      <c r="B2487" s="153">
        <v>810</v>
      </c>
      <c r="C2487" s="126" t="s">
        <v>2728</v>
      </c>
      <c r="D2487">
        <v>1648</v>
      </c>
      <c r="E2487" s="126" t="s">
        <v>3273</v>
      </c>
      <c r="F2487" s="125" t="s">
        <v>1589</v>
      </c>
      <c r="G2487" s="125" t="s">
        <v>129</v>
      </c>
      <c r="H2487">
        <v>264</v>
      </c>
      <c r="I2487" s="125" t="s">
        <v>1546</v>
      </c>
      <c r="J2487" s="308" t="s">
        <v>214</v>
      </c>
      <c r="K2487" s="127" t="s">
        <v>3806</v>
      </c>
      <c r="L2487" s="153" t="s">
        <v>3306</v>
      </c>
      <c r="M2487">
        <v>351</v>
      </c>
      <c r="N2487" s="123">
        <v>1</v>
      </c>
      <c r="O2487">
        <v>1627</v>
      </c>
      <c r="P2487" s="132" t="s">
        <v>77</v>
      </c>
      <c r="Q2487" s="132">
        <v>17000</v>
      </c>
      <c r="R2487" s="132">
        <v>2720</v>
      </c>
      <c r="S2487" s="132"/>
      <c r="T2487" s="156">
        <v>1813.33</v>
      </c>
      <c r="U2487" s="132">
        <v>1700</v>
      </c>
      <c r="V2487" s="132">
        <v>16206.669999999998</v>
      </c>
      <c r="W2487">
        <v>164</v>
      </c>
      <c r="X2487" s="153" t="s">
        <v>1429</v>
      </c>
      <c r="Y2487" s="124" t="s">
        <v>55</v>
      </c>
      <c r="Z2487" s="308">
        <v>236</v>
      </c>
      <c r="AB2487" t="str">
        <f>IF(Table1[[#This Row],[TIPO2]]="costo", VLOOKUP(Table1[[#This Row],[PARTIDA PRESUPUESTAL]],'Cost Report'!G:G,1,0),"Balance")</f>
        <v>3193-105</v>
      </c>
      <c r="AC2487" s="118"/>
      <c r="AD2487" s="159">
        <f>+Table1[[#This Row],[SUBTOTAL]]+Table1[[#This Row],[IVA]]-Table1[[#This Row],[RET IVA]]-Table1[[#This Row],[RET ISR]]-Table1[[#This Row],[TOTAL]]</f>
        <v>0</v>
      </c>
      <c r="AE2487" s="152"/>
      <c r="AF2487" s="153"/>
      <c r="AG2487" s="126"/>
      <c r="AK2487" s="306" t="str">
        <f>IF(ISNUMBER(Table1[[#This Row],[FECHA DE RECIBIDO]]), Table1[[#This Row],[FECHA DE RECIBIDO]]-DATE(2023,8,30), "")</f>
        <v/>
      </c>
    </row>
    <row r="2488" spans="1:37" ht="16.05" customHeight="1">
      <c r="A2488" s="150" t="s">
        <v>3810</v>
      </c>
      <c r="B2488" s="151">
        <v>812</v>
      </c>
      <c r="C2488" s="126" t="s">
        <v>1515</v>
      </c>
      <c r="D2488">
        <v>1649</v>
      </c>
      <c r="E2488" s="126" t="s">
        <v>3811</v>
      </c>
      <c r="F2488" s="122" t="s">
        <v>1607</v>
      </c>
      <c r="G2488" s="122" t="s">
        <v>134</v>
      </c>
      <c r="H2488">
        <v>478</v>
      </c>
      <c r="I2488" s="122" t="s">
        <v>1546</v>
      </c>
      <c r="J2488" s="307" t="s">
        <v>214</v>
      </c>
      <c r="K2488" s="127" t="s">
        <v>3806</v>
      </c>
      <c r="L2488" s="151" t="s">
        <v>3306</v>
      </c>
      <c r="M2488">
        <v>699</v>
      </c>
      <c r="N2488" s="123">
        <v>51</v>
      </c>
      <c r="O2488">
        <v>1628</v>
      </c>
      <c r="P2488" s="132" t="s">
        <v>77</v>
      </c>
      <c r="Q2488" s="131">
        <v>14200</v>
      </c>
      <c r="R2488" s="131">
        <v>2272</v>
      </c>
      <c r="S2488" s="131"/>
      <c r="T2488" s="155">
        <v>0</v>
      </c>
      <c r="U2488" s="131">
        <v>0</v>
      </c>
      <c r="V2488" s="131">
        <v>16472</v>
      </c>
      <c r="W2488">
        <v>248</v>
      </c>
      <c r="X2488" s="151" t="s">
        <v>1433</v>
      </c>
      <c r="Y2488" s="135" t="s">
        <v>55</v>
      </c>
      <c r="Z2488" s="307">
        <v>236</v>
      </c>
      <c r="AB2488" t="str">
        <f>IF(Table1[[#This Row],[TIPO2]]="costo", VLOOKUP(Table1[[#This Row],[PARTIDA PRESUPUESTAL]],'Cost Report'!G:G,1,0),"Balance")</f>
        <v>2494-023</v>
      </c>
      <c r="AC2488" s="118"/>
      <c r="AD2488" s="159">
        <f>+Table1[[#This Row],[SUBTOTAL]]+Table1[[#This Row],[IVA]]-Table1[[#This Row],[RET IVA]]-Table1[[#This Row],[RET ISR]]-Table1[[#This Row],[TOTAL]]</f>
        <v>0</v>
      </c>
      <c r="AE2488" s="150"/>
      <c r="AF2488" s="151"/>
      <c r="AG2488" s="126"/>
      <c r="AK2488" s="306" t="str">
        <f>IF(ISNUMBER(Table1[[#This Row],[FECHA DE RECIBIDO]]), Table1[[#This Row],[FECHA DE RECIBIDO]]-DATE(2023,8,30), "")</f>
        <v/>
      </c>
    </row>
    <row r="2489" spans="1:37" ht="16.05" customHeight="1">
      <c r="A2489" s="152" t="s">
        <v>3812</v>
      </c>
      <c r="B2489" s="153">
        <v>813</v>
      </c>
      <c r="C2489" s="126" t="s">
        <v>1765</v>
      </c>
      <c r="D2489">
        <v>1650</v>
      </c>
      <c r="E2489" s="126" t="s">
        <v>1609</v>
      </c>
      <c r="F2489" s="125" t="s">
        <v>1607</v>
      </c>
      <c r="G2489" s="125" t="s">
        <v>134</v>
      </c>
      <c r="H2489">
        <v>479</v>
      </c>
      <c r="I2489" s="125" t="s">
        <v>1546</v>
      </c>
      <c r="J2489" s="308" t="s">
        <v>214</v>
      </c>
      <c r="K2489" s="127" t="s">
        <v>3806</v>
      </c>
      <c r="L2489" s="153" t="s">
        <v>3306</v>
      </c>
      <c r="M2489">
        <v>700</v>
      </c>
      <c r="N2489" s="123">
        <v>1</v>
      </c>
      <c r="O2489">
        <v>1629</v>
      </c>
      <c r="P2489" s="132" t="s">
        <v>77</v>
      </c>
      <c r="Q2489" s="132">
        <v>32900</v>
      </c>
      <c r="R2489" s="132">
        <v>5264</v>
      </c>
      <c r="S2489" s="132"/>
      <c r="T2489" s="156">
        <v>0</v>
      </c>
      <c r="U2489" s="132">
        <v>0</v>
      </c>
      <c r="V2489" s="132">
        <v>38164</v>
      </c>
      <c r="W2489">
        <v>249</v>
      </c>
      <c r="X2489" s="153" t="s">
        <v>1429</v>
      </c>
      <c r="Y2489" s="124" t="s">
        <v>55</v>
      </c>
      <c r="Z2489" s="308">
        <v>237</v>
      </c>
      <c r="AB2489" t="str">
        <f>IF(Table1[[#This Row],[TIPO2]]="costo", VLOOKUP(Table1[[#This Row],[PARTIDA PRESUPUESTAL]],'Cost Report'!G:G,1,0),"Balance")</f>
        <v>3193-090</v>
      </c>
      <c r="AC2489" s="118"/>
      <c r="AD2489" s="159">
        <f>+Table1[[#This Row],[SUBTOTAL]]+Table1[[#This Row],[IVA]]-Table1[[#This Row],[RET IVA]]-Table1[[#This Row],[RET ISR]]-Table1[[#This Row],[TOTAL]]</f>
        <v>0</v>
      </c>
      <c r="AE2489" s="152"/>
      <c r="AF2489" s="153"/>
      <c r="AG2489" s="126"/>
      <c r="AK2489" s="306" t="str">
        <f>IF(ISNUMBER(Table1[[#This Row],[FECHA DE RECIBIDO]]), Table1[[#This Row],[FECHA DE RECIBIDO]]-DATE(2023,8,30), "")</f>
        <v/>
      </c>
    </row>
    <row r="2490" spans="1:37" ht="16.05" customHeight="1">
      <c r="A2490" s="150" t="s">
        <v>3813</v>
      </c>
      <c r="B2490" s="151">
        <v>814</v>
      </c>
      <c r="C2490" s="126" t="s">
        <v>1139</v>
      </c>
      <c r="D2490">
        <v>1651</v>
      </c>
      <c r="E2490" s="126" t="s">
        <v>3292</v>
      </c>
      <c r="F2490" s="122" t="s">
        <v>3296</v>
      </c>
      <c r="G2490" s="122" t="s">
        <v>3297</v>
      </c>
      <c r="H2490">
        <v>129</v>
      </c>
      <c r="I2490" s="122" t="s">
        <v>1546</v>
      </c>
      <c r="J2490" s="307" t="s">
        <v>214</v>
      </c>
      <c r="K2490" s="127" t="s">
        <v>3806</v>
      </c>
      <c r="L2490" s="151" t="s">
        <v>3306</v>
      </c>
      <c r="M2490">
        <v>701</v>
      </c>
      <c r="N2490" s="123">
        <v>1</v>
      </c>
      <c r="O2490">
        <v>1630</v>
      </c>
      <c r="P2490" s="132" t="s">
        <v>77</v>
      </c>
      <c r="Q2490" s="131">
        <v>40000</v>
      </c>
      <c r="R2490" s="131">
        <v>6400</v>
      </c>
      <c r="S2490" s="131"/>
      <c r="T2490" s="155">
        <v>4268</v>
      </c>
      <c r="U2490" s="131">
        <v>4000</v>
      </c>
      <c r="V2490" s="131">
        <v>38132</v>
      </c>
      <c r="W2490">
        <v>92</v>
      </c>
      <c r="X2490" s="151" t="s">
        <v>1430</v>
      </c>
      <c r="Y2490" s="135" t="s">
        <v>55</v>
      </c>
      <c r="Z2490" s="307">
        <v>237</v>
      </c>
      <c r="AB2490" t="str">
        <f>IF(Table1[[#This Row],[TIPO2]]="costo", VLOOKUP(Table1[[#This Row],[PARTIDA PRESUPUESTAL]],'Cost Report'!G:G,1,0),"Balance")</f>
        <v>3902-003</v>
      </c>
      <c r="AC2490" s="118"/>
      <c r="AD2490" s="159">
        <f>+Table1[[#This Row],[SUBTOTAL]]+Table1[[#This Row],[IVA]]-Table1[[#This Row],[RET IVA]]-Table1[[#This Row],[RET ISR]]-Table1[[#This Row],[TOTAL]]</f>
        <v>0</v>
      </c>
      <c r="AE2490" s="150"/>
      <c r="AF2490" s="151"/>
      <c r="AG2490" s="126"/>
      <c r="AK2490" s="306" t="str">
        <f>IF(ISNUMBER(Table1[[#This Row],[FECHA DE RECIBIDO]]), Table1[[#This Row],[FECHA DE RECIBIDO]]-DATE(2023,8,30), "")</f>
        <v/>
      </c>
    </row>
    <row r="2491" spans="1:37" ht="16.05" customHeight="1">
      <c r="A2491" s="152" t="s">
        <v>3814</v>
      </c>
      <c r="B2491" s="153">
        <v>815</v>
      </c>
      <c r="C2491" s="126" t="s">
        <v>71</v>
      </c>
      <c r="D2491">
        <v>1652</v>
      </c>
      <c r="E2491" s="126" t="s">
        <v>1604</v>
      </c>
      <c r="F2491" s="125" t="s">
        <v>1607</v>
      </c>
      <c r="G2491" s="125" t="s">
        <v>134</v>
      </c>
      <c r="H2491">
        <v>48</v>
      </c>
      <c r="I2491" s="125" t="s">
        <v>1546</v>
      </c>
      <c r="J2491" s="308" t="s">
        <v>214</v>
      </c>
      <c r="K2491" s="127" t="s">
        <v>3806</v>
      </c>
      <c r="L2491" s="153" t="s">
        <v>1579</v>
      </c>
      <c r="M2491">
        <v>335</v>
      </c>
      <c r="N2491" s="123">
        <v>17</v>
      </c>
      <c r="O2491">
        <v>1631</v>
      </c>
      <c r="P2491" s="131" t="s">
        <v>78</v>
      </c>
      <c r="Q2491" s="132">
        <v>35000</v>
      </c>
      <c r="R2491" s="132"/>
      <c r="S2491" s="132"/>
      <c r="T2491" s="156"/>
      <c r="U2491" s="132"/>
      <c r="V2491" s="132">
        <v>35000</v>
      </c>
      <c r="W2491"/>
      <c r="X2491" s="153" t="s">
        <v>1639</v>
      </c>
      <c r="Y2491" s="124" t="s">
        <v>55</v>
      </c>
      <c r="Z2491" s="308" t="s">
        <v>214</v>
      </c>
      <c r="AB2491" t="str">
        <f>IF(Table1[[#This Row],[TIPO2]]="costo", VLOOKUP(Table1[[#This Row],[PARTIDA PRESUPUESTAL]],'Cost Report'!G:G,1,0),"Balance")</f>
        <v>Balance</v>
      </c>
      <c r="AC2491" s="118"/>
      <c r="AD2491" s="159">
        <f>+Table1[[#This Row],[SUBTOTAL]]+Table1[[#This Row],[IVA]]-Table1[[#This Row],[RET IVA]]-Table1[[#This Row],[RET ISR]]-Table1[[#This Row],[TOTAL]]</f>
        <v>0</v>
      </c>
      <c r="AE2491" s="152"/>
      <c r="AF2491" s="153"/>
      <c r="AG2491" s="126"/>
      <c r="AK2491" s="306" t="str">
        <f>IF(ISNUMBER(Table1[[#This Row],[FECHA DE RECIBIDO]]), Table1[[#This Row],[FECHA DE RECIBIDO]]-DATE(2023,8,30), "")</f>
        <v/>
      </c>
    </row>
    <row r="2492" spans="1:37" ht="16.05" customHeight="1">
      <c r="A2492" s="150" t="s">
        <v>3814</v>
      </c>
      <c r="B2492" s="151">
        <v>815</v>
      </c>
      <c r="C2492" s="126" t="s">
        <v>3103</v>
      </c>
      <c r="D2492"/>
      <c r="E2492" s="126"/>
      <c r="F2492" s="122"/>
      <c r="G2492" s="122"/>
      <c r="H2492"/>
      <c r="I2492" s="122"/>
      <c r="J2492" s="307" t="s">
        <v>214</v>
      </c>
      <c r="K2492" s="127" t="s">
        <v>3806</v>
      </c>
      <c r="L2492" s="151" t="s">
        <v>1579</v>
      </c>
      <c r="M2492">
        <v>335</v>
      </c>
      <c r="N2492" s="123">
        <v>17</v>
      </c>
      <c r="O2492">
        <v>551</v>
      </c>
      <c r="P2492" s="132" t="s">
        <v>77</v>
      </c>
      <c r="Q2492" s="131">
        <v>854</v>
      </c>
      <c r="R2492" s="131">
        <v>136.63999999999999</v>
      </c>
      <c r="S2492" s="131"/>
      <c r="T2492" s="155"/>
      <c r="U2492" s="131"/>
      <c r="V2492" s="131">
        <v>990.64</v>
      </c>
      <c r="W2492"/>
      <c r="X2492" s="151" t="s">
        <v>1639</v>
      </c>
      <c r="Y2492" s="135" t="s">
        <v>55</v>
      </c>
      <c r="Z2492" s="307" t="s">
        <v>214</v>
      </c>
      <c r="AB2492" t="str">
        <f>IF(Table1[[#This Row],[TIPO2]]="costo", VLOOKUP(Table1[[#This Row],[PARTIDA PRESUPUESTAL]],'Cost Report'!G:G,1,0),"Balance")</f>
        <v>7038-009</v>
      </c>
      <c r="AC2492" s="118"/>
      <c r="AD2492" s="159">
        <f>+Table1[[#This Row],[SUBTOTAL]]+Table1[[#This Row],[IVA]]-Table1[[#This Row],[RET IVA]]-Table1[[#This Row],[RET ISR]]-Table1[[#This Row],[TOTAL]]</f>
        <v>0</v>
      </c>
      <c r="AE2492" s="150"/>
      <c r="AF2492" s="151"/>
      <c r="AG2492" s="126"/>
      <c r="AK2492" s="306" t="str">
        <f>IF(ISNUMBER(Table1[[#This Row],[FECHA DE RECIBIDO]]), Table1[[#This Row],[FECHA DE RECIBIDO]]-DATE(2023,8,30), "")</f>
        <v/>
      </c>
    </row>
    <row r="2493" spans="1:37" ht="16.05" customHeight="1">
      <c r="A2493" s="152" t="s">
        <v>3816</v>
      </c>
      <c r="B2493" s="153">
        <v>818</v>
      </c>
      <c r="C2493" s="126" t="s">
        <v>2827</v>
      </c>
      <c r="D2493">
        <v>1653</v>
      </c>
      <c r="E2493" s="126">
        <v>44130</v>
      </c>
      <c r="F2493" s="125">
        <v>601</v>
      </c>
      <c r="G2493" s="125" t="s">
        <v>134</v>
      </c>
      <c r="H2493">
        <v>480</v>
      </c>
      <c r="I2493" s="125" t="s">
        <v>1546</v>
      </c>
      <c r="J2493" s="308">
        <v>237.70846064815123</v>
      </c>
      <c r="K2493" s="127" t="s">
        <v>3806</v>
      </c>
      <c r="L2493" s="153" t="s">
        <v>3306</v>
      </c>
      <c r="M2493">
        <v>702</v>
      </c>
      <c r="N2493" s="123">
        <v>24</v>
      </c>
      <c r="O2493">
        <v>1632</v>
      </c>
      <c r="P2493" s="132" t="s">
        <v>77</v>
      </c>
      <c r="Q2493" s="132">
        <v>60000</v>
      </c>
      <c r="R2493" s="132">
        <v>9600</v>
      </c>
      <c r="S2493" s="132"/>
      <c r="T2493" s="156">
        <v>0</v>
      </c>
      <c r="U2493" s="132">
        <v>0</v>
      </c>
      <c r="V2493" s="132">
        <v>69600</v>
      </c>
      <c r="W2493">
        <v>250</v>
      </c>
      <c r="X2493" s="153" t="s">
        <v>3817</v>
      </c>
      <c r="Y2493" s="124" t="s">
        <v>55</v>
      </c>
      <c r="Z2493" s="308">
        <v>239</v>
      </c>
      <c r="AB2493" t="str">
        <f>IF(Table1[[#This Row],[TIPO2]]="costo", VLOOKUP(Table1[[#This Row],[PARTIDA PRESUPUESTAL]],'Cost Report'!G:G,1,0),"Balance")</f>
        <v>3412-134</v>
      </c>
      <c r="AC2493" s="118"/>
      <c r="AD2493" s="159">
        <f>+Table1[[#This Row],[SUBTOTAL]]+Table1[[#This Row],[IVA]]-Table1[[#This Row],[RET IVA]]-Table1[[#This Row],[RET ISR]]-Table1[[#This Row],[TOTAL]]</f>
        <v>0</v>
      </c>
      <c r="AE2493" s="152"/>
      <c r="AF2493" s="153"/>
      <c r="AG2493" s="126"/>
      <c r="AK2493" s="306">
        <f>IF(ISNUMBER(Table1[[#This Row],[FECHA DE RECIBIDO]]), Table1[[#This Row],[FECHA DE RECIBIDO]]-DATE(2023,8,30), "")</f>
        <v>-44930.291539351849</v>
      </c>
    </row>
    <row r="2494" spans="1:37" ht="16.05" customHeight="1">
      <c r="A2494" s="150" t="s">
        <v>3818</v>
      </c>
      <c r="B2494" s="151">
        <v>819</v>
      </c>
      <c r="C2494" s="126" t="s">
        <v>2494</v>
      </c>
      <c r="D2494">
        <v>1654</v>
      </c>
      <c r="E2494" s="126" t="s">
        <v>1609</v>
      </c>
      <c r="F2494" s="122" t="s">
        <v>1589</v>
      </c>
      <c r="G2494" s="122" t="s">
        <v>129</v>
      </c>
      <c r="H2494">
        <v>481</v>
      </c>
      <c r="I2494" s="122" t="s">
        <v>1546</v>
      </c>
      <c r="J2494" s="307" t="s">
        <v>214</v>
      </c>
      <c r="K2494" s="127" t="s">
        <v>3806</v>
      </c>
      <c r="L2494" s="151" t="s">
        <v>3306</v>
      </c>
      <c r="M2494">
        <v>703</v>
      </c>
      <c r="N2494" s="123">
        <v>51</v>
      </c>
      <c r="O2494">
        <v>1633</v>
      </c>
      <c r="P2494" s="132" t="s">
        <v>77</v>
      </c>
      <c r="Q2494" s="131">
        <v>29507.91</v>
      </c>
      <c r="R2494" s="131">
        <v>4721.2700000000004</v>
      </c>
      <c r="S2494" s="131"/>
      <c r="T2494" s="155">
        <v>0</v>
      </c>
      <c r="U2494" s="131">
        <v>0</v>
      </c>
      <c r="V2494" s="131">
        <v>34229.18</v>
      </c>
      <c r="W2494">
        <v>251</v>
      </c>
      <c r="X2494" s="151" t="s">
        <v>3120</v>
      </c>
      <c r="Y2494" s="135" t="s">
        <v>55</v>
      </c>
      <c r="Z2494" s="307">
        <v>239</v>
      </c>
      <c r="AB2494" t="str">
        <f>IF(Table1[[#This Row],[TIPO2]]="costo", VLOOKUP(Table1[[#This Row],[PARTIDA PRESUPUESTAL]],'Cost Report'!G:G,1,0),"Balance")</f>
        <v>2394-061</v>
      </c>
      <c r="AC2494" s="118"/>
      <c r="AD2494" s="159">
        <f>+Table1[[#This Row],[SUBTOTAL]]+Table1[[#This Row],[IVA]]-Table1[[#This Row],[RET IVA]]-Table1[[#This Row],[RET ISR]]-Table1[[#This Row],[TOTAL]]</f>
        <v>0</v>
      </c>
      <c r="AE2494" s="150"/>
      <c r="AF2494" s="151"/>
      <c r="AG2494" s="126"/>
      <c r="AK2494" s="306" t="str">
        <f>IF(ISNUMBER(Table1[[#This Row],[FECHA DE RECIBIDO]]), Table1[[#This Row],[FECHA DE RECIBIDO]]-DATE(2023,8,30), "")</f>
        <v/>
      </c>
    </row>
    <row r="2495" spans="1:37" ht="16.05" customHeight="1">
      <c r="A2495" s="152" t="s">
        <v>3819</v>
      </c>
      <c r="B2495" s="153">
        <v>820</v>
      </c>
      <c r="C2495" s="126" t="s">
        <v>784</v>
      </c>
      <c r="D2495"/>
      <c r="E2495" s="126" t="s">
        <v>1911</v>
      </c>
      <c r="F2495" s="125" t="s">
        <v>1911</v>
      </c>
      <c r="G2495" s="125" t="s">
        <v>1911</v>
      </c>
      <c r="H2495"/>
      <c r="I2495" s="125" t="s">
        <v>1911</v>
      </c>
      <c r="J2495" s="308" t="s">
        <v>214</v>
      </c>
      <c r="K2495" s="127" t="s">
        <v>3806</v>
      </c>
      <c r="L2495" s="153" t="s">
        <v>3306</v>
      </c>
      <c r="M2495">
        <v>169</v>
      </c>
      <c r="N2495" s="123">
        <v>1</v>
      </c>
      <c r="O2495">
        <v>1634</v>
      </c>
      <c r="P2495" s="132" t="s">
        <v>77</v>
      </c>
      <c r="Q2495" s="132">
        <v>7696.55</v>
      </c>
      <c r="R2495" s="132">
        <v>1231.45</v>
      </c>
      <c r="S2495" s="132"/>
      <c r="T2495" s="156">
        <v>0</v>
      </c>
      <c r="U2495" s="132">
        <v>0</v>
      </c>
      <c r="V2495" s="132">
        <v>8928</v>
      </c>
      <c r="W2495">
        <v>252</v>
      </c>
      <c r="X2495" s="153" t="s">
        <v>2035</v>
      </c>
      <c r="Y2495" s="124" t="s">
        <v>55</v>
      </c>
      <c r="Z2495" s="308">
        <v>239</v>
      </c>
      <c r="AB2495" t="str">
        <f>IF(Table1[[#This Row],[TIPO2]]="costo", VLOOKUP(Table1[[#This Row],[PARTIDA PRESUPUESTAL]],'Cost Report'!G:G,1,0),"Balance")</f>
        <v>3085-003</v>
      </c>
      <c r="AC2495" s="118"/>
      <c r="AD2495" s="159">
        <f>+Table1[[#This Row],[SUBTOTAL]]+Table1[[#This Row],[IVA]]-Table1[[#This Row],[RET IVA]]-Table1[[#This Row],[RET ISR]]-Table1[[#This Row],[TOTAL]]</f>
        <v>0</v>
      </c>
      <c r="AE2495" s="152"/>
      <c r="AF2495" s="153"/>
      <c r="AG2495" s="126"/>
      <c r="AK2495" s="306" t="str">
        <f>IF(ISNUMBER(Table1[[#This Row],[FECHA DE RECIBIDO]]), Table1[[#This Row],[FECHA DE RECIBIDO]]-DATE(2023,8,30), "")</f>
        <v/>
      </c>
    </row>
    <row r="2496" spans="1:37" ht="16.05" customHeight="1">
      <c r="A2496" s="150" t="s">
        <v>3820</v>
      </c>
      <c r="B2496" s="151">
        <v>821</v>
      </c>
      <c r="C2496" s="126" t="s">
        <v>2566</v>
      </c>
      <c r="D2496">
        <v>1655</v>
      </c>
      <c r="E2496" s="126" t="s">
        <v>3821</v>
      </c>
      <c r="F2496" s="122" t="s">
        <v>1593</v>
      </c>
      <c r="G2496" s="122" t="s">
        <v>109</v>
      </c>
      <c r="H2496">
        <v>482</v>
      </c>
      <c r="I2496" s="122" t="s">
        <v>1546</v>
      </c>
      <c r="J2496" s="307" t="s">
        <v>214</v>
      </c>
      <c r="K2496" s="127" t="s">
        <v>3806</v>
      </c>
      <c r="L2496" s="151" t="s">
        <v>3306</v>
      </c>
      <c r="M2496">
        <v>704</v>
      </c>
      <c r="N2496" s="123">
        <v>51</v>
      </c>
      <c r="O2496">
        <v>1635</v>
      </c>
      <c r="P2496" s="132" t="s">
        <v>77</v>
      </c>
      <c r="Q2496" s="131">
        <v>2779</v>
      </c>
      <c r="R2496" s="131">
        <v>444.64</v>
      </c>
      <c r="S2496" s="131"/>
      <c r="T2496" s="155">
        <v>0</v>
      </c>
      <c r="U2496" s="131">
        <v>34.74</v>
      </c>
      <c r="V2496" s="131">
        <v>3188.9</v>
      </c>
      <c r="W2496">
        <v>253</v>
      </c>
      <c r="X2496" s="151" t="s">
        <v>3120</v>
      </c>
      <c r="Y2496" s="135" t="s">
        <v>55</v>
      </c>
      <c r="Z2496" s="307">
        <v>240</v>
      </c>
      <c r="AB2496" t="str">
        <f>IF(Table1[[#This Row],[TIPO2]]="costo", VLOOKUP(Table1[[#This Row],[PARTIDA PRESUPUESTAL]],'Cost Report'!G:G,1,0),"Balance")</f>
        <v>2594-003</v>
      </c>
      <c r="AC2496" s="118"/>
      <c r="AD2496" s="159">
        <f>+Table1[[#This Row],[SUBTOTAL]]+Table1[[#This Row],[IVA]]-Table1[[#This Row],[RET IVA]]-Table1[[#This Row],[RET ISR]]-Table1[[#This Row],[TOTAL]]</f>
        <v>0</v>
      </c>
      <c r="AE2496" s="150"/>
      <c r="AF2496" s="151"/>
      <c r="AG2496" s="126"/>
      <c r="AK2496" s="306" t="str">
        <f>IF(ISNUMBER(Table1[[#This Row],[FECHA DE RECIBIDO]]), Table1[[#This Row],[FECHA DE RECIBIDO]]-DATE(2023,8,30), "")</f>
        <v/>
      </c>
    </row>
    <row r="2497" spans="1:37" ht="16.05" customHeight="1">
      <c r="A2497" s="152" t="s">
        <v>3822</v>
      </c>
      <c r="B2497" s="153">
        <v>822</v>
      </c>
      <c r="C2497" s="126" t="s">
        <v>1505</v>
      </c>
      <c r="D2497">
        <v>1656</v>
      </c>
      <c r="E2497" s="126" t="s">
        <v>1609</v>
      </c>
      <c r="F2497" s="125" t="s">
        <v>1589</v>
      </c>
      <c r="G2497" s="125" t="s">
        <v>129</v>
      </c>
      <c r="H2497">
        <v>384</v>
      </c>
      <c r="I2497" s="125" t="s">
        <v>1546</v>
      </c>
      <c r="J2497" s="308" t="s">
        <v>214</v>
      </c>
      <c r="K2497" s="127" t="s">
        <v>3806</v>
      </c>
      <c r="L2497" s="153" t="s">
        <v>3306</v>
      </c>
      <c r="M2497">
        <v>506</v>
      </c>
      <c r="N2497" s="123">
        <v>51</v>
      </c>
      <c r="O2497">
        <v>1636</v>
      </c>
      <c r="P2497" s="132" t="s">
        <v>77</v>
      </c>
      <c r="Q2497" s="132">
        <v>22009</v>
      </c>
      <c r="R2497" s="132">
        <v>3521.44</v>
      </c>
      <c r="S2497" s="132"/>
      <c r="T2497" s="156">
        <v>0</v>
      </c>
      <c r="U2497" s="132">
        <v>0</v>
      </c>
      <c r="V2497" s="132">
        <v>25530.44</v>
      </c>
      <c r="W2497">
        <v>254</v>
      </c>
      <c r="X2497" s="153" t="s">
        <v>2037</v>
      </c>
      <c r="Y2497" s="124" t="s">
        <v>55</v>
      </c>
      <c r="Z2497" s="308">
        <v>240</v>
      </c>
      <c r="AB2497" t="str">
        <f>IF(Table1[[#This Row],[TIPO2]]="costo", VLOOKUP(Table1[[#This Row],[PARTIDA PRESUPUESTAL]],'Cost Report'!G:G,1,0),"Balance")</f>
        <v>2494-003</v>
      </c>
      <c r="AC2497" s="118"/>
      <c r="AD2497" s="159">
        <f>+Table1[[#This Row],[SUBTOTAL]]+Table1[[#This Row],[IVA]]-Table1[[#This Row],[RET IVA]]-Table1[[#This Row],[RET ISR]]-Table1[[#This Row],[TOTAL]]</f>
        <v>0</v>
      </c>
      <c r="AE2497" s="152"/>
      <c r="AF2497" s="153"/>
      <c r="AG2497" s="126"/>
      <c r="AK2497" s="306" t="str">
        <f>IF(ISNUMBER(Table1[[#This Row],[FECHA DE RECIBIDO]]), Table1[[#This Row],[FECHA DE RECIBIDO]]-DATE(2023,8,30), "")</f>
        <v/>
      </c>
    </row>
    <row r="2498" spans="1:37" ht="16.05" customHeight="1">
      <c r="A2498" s="150" t="s">
        <v>3823</v>
      </c>
      <c r="B2498" s="151">
        <v>823</v>
      </c>
      <c r="C2498" s="126" t="s">
        <v>2544</v>
      </c>
      <c r="D2498">
        <v>1657</v>
      </c>
      <c r="E2498" s="126" t="s">
        <v>3824</v>
      </c>
      <c r="F2498" s="122" t="s">
        <v>1589</v>
      </c>
      <c r="G2498" s="122" t="s">
        <v>129</v>
      </c>
      <c r="H2498">
        <v>483</v>
      </c>
      <c r="I2498" s="122" t="s">
        <v>1546</v>
      </c>
      <c r="J2498" s="307" t="s">
        <v>214</v>
      </c>
      <c r="K2498" s="127" t="s">
        <v>3806</v>
      </c>
      <c r="L2498" s="151" t="s">
        <v>3306</v>
      </c>
      <c r="M2498">
        <v>705</v>
      </c>
      <c r="N2498" s="123">
        <v>51</v>
      </c>
      <c r="O2498">
        <v>1637</v>
      </c>
      <c r="P2498" s="132" t="s">
        <v>77</v>
      </c>
      <c r="Q2498" s="131">
        <v>3873</v>
      </c>
      <c r="R2498" s="131">
        <v>619.67999999999995</v>
      </c>
      <c r="S2498" s="131"/>
      <c r="T2498" s="155">
        <v>413.12</v>
      </c>
      <c r="U2498" s="131">
        <v>0</v>
      </c>
      <c r="V2498" s="131">
        <v>4079.5600000000004</v>
      </c>
      <c r="W2498">
        <v>255</v>
      </c>
      <c r="X2498" s="151" t="s">
        <v>195</v>
      </c>
      <c r="Y2498" s="135" t="s">
        <v>55</v>
      </c>
      <c r="Z2498" s="307">
        <v>240</v>
      </c>
      <c r="AB2498" t="str">
        <f>IF(Table1[[#This Row],[TIPO2]]="costo", VLOOKUP(Table1[[#This Row],[PARTIDA PRESUPUESTAL]],'Cost Report'!G:G,1,0),"Balance")</f>
        <v>2494-067</v>
      </c>
      <c r="AC2498" s="118"/>
      <c r="AD2498" s="159">
        <f>+Table1[[#This Row],[SUBTOTAL]]+Table1[[#This Row],[IVA]]-Table1[[#This Row],[RET IVA]]-Table1[[#This Row],[RET ISR]]-Table1[[#This Row],[TOTAL]]</f>
        <v>0</v>
      </c>
      <c r="AE2498" s="150"/>
      <c r="AF2498" s="151"/>
      <c r="AG2498" s="126"/>
      <c r="AK2498" s="306" t="str">
        <f>IF(ISNUMBER(Table1[[#This Row],[FECHA DE RECIBIDO]]), Table1[[#This Row],[FECHA DE RECIBIDO]]-DATE(2023,8,30), "")</f>
        <v/>
      </c>
    </row>
    <row r="2499" spans="1:37" ht="16.05" customHeight="1">
      <c r="A2499" s="152"/>
      <c r="B2499" s="153">
        <v>824</v>
      </c>
      <c r="C2499" s="126" t="s">
        <v>1519</v>
      </c>
      <c r="D2499">
        <v>1658</v>
      </c>
      <c r="E2499" s="126" t="s">
        <v>3824</v>
      </c>
      <c r="F2499" s="125" t="s">
        <v>1589</v>
      </c>
      <c r="G2499" s="125" t="s">
        <v>129</v>
      </c>
      <c r="H2499">
        <v>483</v>
      </c>
      <c r="I2499" s="125" t="s">
        <v>1546</v>
      </c>
      <c r="J2499" s="308" t="s">
        <v>214</v>
      </c>
      <c r="K2499" s="127" t="s">
        <v>3806</v>
      </c>
      <c r="L2499" s="153" t="s">
        <v>3306</v>
      </c>
      <c r="M2499">
        <v>705</v>
      </c>
      <c r="N2499" s="123">
        <v>51</v>
      </c>
      <c r="O2499">
        <v>1638</v>
      </c>
      <c r="P2499" s="132" t="s">
        <v>77</v>
      </c>
      <c r="Q2499" s="132">
        <v>2862</v>
      </c>
      <c r="R2499" s="132">
        <v>457.92</v>
      </c>
      <c r="S2499" s="132"/>
      <c r="T2499" s="156">
        <v>305.27999999999997</v>
      </c>
      <c r="U2499" s="132">
        <v>0</v>
      </c>
      <c r="V2499" s="132">
        <v>3014.6400000000003</v>
      </c>
      <c r="W2499">
        <v>255</v>
      </c>
      <c r="X2499" s="153" t="s">
        <v>195</v>
      </c>
      <c r="Y2499" s="124" t="s">
        <v>55</v>
      </c>
      <c r="Z2499" s="308">
        <v>240</v>
      </c>
      <c r="AB2499" t="str">
        <f>IF(Table1[[#This Row],[TIPO2]]="costo", VLOOKUP(Table1[[#This Row],[PARTIDA PRESUPUESTAL]],'Cost Report'!G:G,1,0),"Balance")</f>
        <v>2494-031</v>
      </c>
      <c r="AC2499" s="118"/>
      <c r="AD2499" s="159">
        <f>+Table1[[#This Row],[SUBTOTAL]]+Table1[[#This Row],[IVA]]-Table1[[#This Row],[RET IVA]]-Table1[[#This Row],[RET ISR]]-Table1[[#This Row],[TOTAL]]</f>
        <v>0</v>
      </c>
      <c r="AE2499" s="152"/>
      <c r="AF2499" s="153"/>
      <c r="AG2499" s="126"/>
      <c r="AK2499" s="306" t="str">
        <f>IF(ISNUMBER(Table1[[#This Row],[FECHA DE RECIBIDO]]), Table1[[#This Row],[FECHA DE RECIBIDO]]-DATE(2023,8,30), "")</f>
        <v/>
      </c>
    </row>
    <row r="2500" spans="1:37" ht="16.05" customHeight="1">
      <c r="A2500" s="150"/>
      <c r="B2500" s="151">
        <v>825</v>
      </c>
      <c r="C2500" s="126" t="s">
        <v>2556</v>
      </c>
      <c r="D2500">
        <v>1659</v>
      </c>
      <c r="E2500" s="126" t="s">
        <v>3824</v>
      </c>
      <c r="F2500" s="122" t="s">
        <v>1589</v>
      </c>
      <c r="G2500" s="122" t="s">
        <v>129</v>
      </c>
      <c r="H2500">
        <v>483</v>
      </c>
      <c r="I2500" s="122" t="s">
        <v>1546</v>
      </c>
      <c r="J2500" s="307" t="s">
        <v>214</v>
      </c>
      <c r="K2500" s="127" t="s">
        <v>3806</v>
      </c>
      <c r="L2500" s="151" t="s">
        <v>3306</v>
      </c>
      <c r="M2500">
        <v>705</v>
      </c>
      <c r="N2500" s="123">
        <v>51</v>
      </c>
      <c r="O2500">
        <v>1639</v>
      </c>
      <c r="P2500" s="132" t="s">
        <v>77</v>
      </c>
      <c r="Q2500" s="131">
        <v>2505</v>
      </c>
      <c r="R2500" s="131">
        <v>400.8</v>
      </c>
      <c r="S2500" s="131"/>
      <c r="T2500" s="155">
        <v>0</v>
      </c>
      <c r="U2500" s="131">
        <v>0</v>
      </c>
      <c r="V2500" s="131">
        <v>2905.8</v>
      </c>
      <c r="W2500">
        <v>255</v>
      </c>
      <c r="X2500" s="151" t="s">
        <v>195</v>
      </c>
      <c r="Y2500" s="135" t="s">
        <v>55</v>
      </c>
      <c r="Z2500" s="307">
        <v>240</v>
      </c>
      <c r="AB2500" t="str">
        <f>IF(Table1[[#This Row],[TIPO2]]="costo", VLOOKUP(Table1[[#This Row],[PARTIDA PRESUPUESTAL]],'Cost Report'!G:G,1,0),"Balance")</f>
        <v>2498-003</v>
      </c>
      <c r="AC2500" s="118"/>
      <c r="AD2500" s="159">
        <f>+Table1[[#This Row],[SUBTOTAL]]+Table1[[#This Row],[IVA]]-Table1[[#This Row],[RET IVA]]-Table1[[#This Row],[RET ISR]]-Table1[[#This Row],[TOTAL]]</f>
        <v>0</v>
      </c>
      <c r="AE2500" s="150"/>
      <c r="AF2500" s="151"/>
      <c r="AG2500" s="126"/>
      <c r="AK2500" s="306" t="str">
        <f>IF(ISNUMBER(Table1[[#This Row],[FECHA DE RECIBIDO]]), Table1[[#This Row],[FECHA DE RECIBIDO]]-DATE(2023,8,30), "")</f>
        <v/>
      </c>
    </row>
    <row r="2501" spans="1:37" ht="16.05" customHeight="1">
      <c r="A2501" s="152" t="s">
        <v>3825</v>
      </c>
      <c r="B2501" s="153">
        <v>826</v>
      </c>
      <c r="C2501" s="126" t="s">
        <v>1505</v>
      </c>
      <c r="D2501">
        <v>1660</v>
      </c>
      <c r="E2501" s="126" t="s">
        <v>3354</v>
      </c>
      <c r="F2501" s="125" t="s">
        <v>1589</v>
      </c>
      <c r="G2501" s="125" t="s">
        <v>129</v>
      </c>
      <c r="H2501">
        <v>382</v>
      </c>
      <c r="I2501" s="125" t="s">
        <v>1546</v>
      </c>
      <c r="J2501" s="308" t="s">
        <v>214</v>
      </c>
      <c r="K2501" s="127" t="s">
        <v>3806</v>
      </c>
      <c r="L2501" s="153" t="s">
        <v>3306</v>
      </c>
      <c r="M2501">
        <v>504</v>
      </c>
      <c r="N2501" s="123">
        <v>51</v>
      </c>
      <c r="O2501">
        <v>1470</v>
      </c>
      <c r="P2501" s="132" t="s">
        <v>77</v>
      </c>
      <c r="Q2501" s="132">
        <v>690</v>
      </c>
      <c r="R2501" s="132">
        <v>110.4</v>
      </c>
      <c r="S2501" s="132"/>
      <c r="T2501" s="156">
        <v>0</v>
      </c>
      <c r="U2501" s="132">
        <v>0</v>
      </c>
      <c r="V2501" s="132">
        <v>800.4</v>
      </c>
      <c r="W2501">
        <v>222</v>
      </c>
      <c r="X2501" s="153" t="s">
        <v>195</v>
      </c>
      <c r="Y2501" s="124" t="s">
        <v>55</v>
      </c>
      <c r="Z2501" s="308">
        <v>240</v>
      </c>
      <c r="AB2501" t="str">
        <f>IF(Table1[[#This Row],[TIPO2]]="costo", VLOOKUP(Table1[[#This Row],[PARTIDA PRESUPUESTAL]],'Cost Report'!G:G,1,0),"Balance")</f>
        <v>2494-003</v>
      </c>
      <c r="AC2501" s="118"/>
      <c r="AD2501" s="159">
        <f>+Table1[[#This Row],[SUBTOTAL]]+Table1[[#This Row],[IVA]]-Table1[[#This Row],[RET IVA]]-Table1[[#This Row],[RET ISR]]-Table1[[#This Row],[TOTAL]]</f>
        <v>0</v>
      </c>
      <c r="AE2501" s="152"/>
      <c r="AF2501" s="153"/>
      <c r="AG2501" s="126"/>
      <c r="AK2501" s="306" t="str">
        <f>IF(ISNUMBER(Table1[[#This Row],[FECHA DE RECIBIDO]]), Table1[[#This Row],[FECHA DE RECIBIDO]]-DATE(2023,8,30), "")</f>
        <v/>
      </c>
    </row>
    <row r="2502" spans="1:37" ht="16.05" customHeight="1">
      <c r="A2502" s="150"/>
      <c r="B2502" s="151">
        <v>827</v>
      </c>
      <c r="C2502" s="126" t="s">
        <v>1505</v>
      </c>
      <c r="D2502">
        <v>1661</v>
      </c>
      <c r="E2502" s="126" t="s">
        <v>3354</v>
      </c>
      <c r="F2502" s="122" t="s">
        <v>1589</v>
      </c>
      <c r="G2502" s="122" t="s">
        <v>129</v>
      </c>
      <c r="H2502">
        <v>382</v>
      </c>
      <c r="I2502" s="122" t="s">
        <v>1546</v>
      </c>
      <c r="J2502" s="307" t="s">
        <v>214</v>
      </c>
      <c r="K2502" s="127" t="s">
        <v>3806</v>
      </c>
      <c r="L2502" s="151" t="s">
        <v>3306</v>
      </c>
      <c r="M2502">
        <v>504</v>
      </c>
      <c r="N2502" s="123">
        <v>51</v>
      </c>
      <c r="O2502">
        <v>1470</v>
      </c>
      <c r="P2502" s="132" t="s">
        <v>77</v>
      </c>
      <c r="Q2502" s="131">
        <v>1600</v>
      </c>
      <c r="R2502" s="131">
        <v>256</v>
      </c>
      <c r="S2502" s="131"/>
      <c r="T2502" s="155">
        <v>0</v>
      </c>
      <c r="U2502" s="131">
        <v>0</v>
      </c>
      <c r="V2502" s="131">
        <v>1856</v>
      </c>
      <c r="W2502">
        <v>222</v>
      </c>
      <c r="X2502" s="151" t="s">
        <v>195</v>
      </c>
      <c r="Y2502" s="135" t="s">
        <v>55</v>
      </c>
      <c r="Z2502" s="307">
        <v>240</v>
      </c>
      <c r="AB2502" t="str">
        <f>IF(Table1[[#This Row],[TIPO2]]="costo", VLOOKUP(Table1[[#This Row],[PARTIDA PRESUPUESTAL]],'Cost Report'!G:G,1,0),"Balance")</f>
        <v>2494-003</v>
      </c>
      <c r="AC2502" s="118"/>
      <c r="AD2502" s="159">
        <f>+Table1[[#This Row],[SUBTOTAL]]+Table1[[#This Row],[IVA]]-Table1[[#This Row],[RET IVA]]-Table1[[#This Row],[RET ISR]]-Table1[[#This Row],[TOTAL]]</f>
        <v>0</v>
      </c>
      <c r="AE2502" s="150"/>
      <c r="AF2502" s="151"/>
      <c r="AG2502" s="126"/>
      <c r="AK2502" s="306" t="str">
        <f>IF(ISNUMBER(Table1[[#This Row],[FECHA DE RECIBIDO]]), Table1[[#This Row],[FECHA DE RECIBIDO]]-DATE(2023,8,30), "")</f>
        <v/>
      </c>
    </row>
    <row r="2503" spans="1:37" ht="16.05" customHeight="1">
      <c r="A2503" s="152"/>
      <c r="B2503" s="153">
        <v>828</v>
      </c>
      <c r="C2503" s="126" t="s">
        <v>1515</v>
      </c>
      <c r="D2503">
        <v>1662</v>
      </c>
      <c r="E2503" s="126" t="s">
        <v>3354</v>
      </c>
      <c r="F2503" s="125" t="s">
        <v>1589</v>
      </c>
      <c r="G2503" s="125" t="s">
        <v>129</v>
      </c>
      <c r="H2503">
        <v>382</v>
      </c>
      <c r="I2503" s="125" t="s">
        <v>1546</v>
      </c>
      <c r="J2503" s="308" t="s">
        <v>214</v>
      </c>
      <c r="K2503" s="127" t="s">
        <v>3806</v>
      </c>
      <c r="L2503" s="153" t="s">
        <v>3306</v>
      </c>
      <c r="M2503">
        <v>504</v>
      </c>
      <c r="N2503" s="123">
        <v>51</v>
      </c>
      <c r="O2503">
        <v>1640</v>
      </c>
      <c r="P2503" s="132" t="s">
        <v>77</v>
      </c>
      <c r="Q2503" s="132">
        <v>420</v>
      </c>
      <c r="R2503" s="132">
        <v>67.2</v>
      </c>
      <c r="S2503" s="132"/>
      <c r="T2503" s="156">
        <v>0</v>
      </c>
      <c r="U2503" s="132">
        <v>0</v>
      </c>
      <c r="V2503" s="132">
        <v>487.2</v>
      </c>
      <c r="W2503">
        <v>222</v>
      </c>
      <c r="X2503" s="153" t="s">
        <v>195</v>
      </c>
      <c r="Y2503" s="124" t="s">
        <v>55</v>
      </c>
      <c r="Z2503" s="308">
        <v>240</v>
      </c>
      <c r="AB2503" t="str">
        <f>IF(Table1[[#This Row],[TIPO2]]="costo", VLOOKUP(Table1[[#This Row],[PARTIDA PRESUPUESTAL]],'Cost Report'!G:G,1,0),"Balance")</f>
        <v>2494-023</v>
      </c>
      <c r="AC2503" s="118"/>
      <c r="AD2503" s="159">
        <f>+Table1[[#This Row],[SUBTOTAL]]+Table1[[#This Row],[IVA]]-Table1[[#This Row],[RET IVA]]-Table1[[#This Row],[RET ISR]]-Table1[[#This Row],[TOTAL]]</f>
        <v>0</v>
      </c>
      <c r="AE2503" s="152"/>
      <c r="AF2503" s="153"/>
      <c r="AG2503" s="126"/>
      <c r="AK2503" s="306" t="str">
        <f>IF(ISNUMBER(Table1[[#This Row],[FECHA DE RECIBIDO]]), Table1[[#This Row],[FECHA DE RECIBIDO]]-DATE(2023,8,30), "")</f>
        <v/>
      </c>
    </row>
    <row r="2504" spans="1:37" ht="16.05" customHeight="1">
      <c r="A2504" s="150"/>
      <c r="B2504" s="151">
        <v>829</v>
      </c>
      <c r="C2504" s="126" t="s">
        <v>2546</v>
      </c>
      <c r="D2504">
        <v>1663</v>
      </c>
      <c r="E2504" s="126" t="s">
        <v>3354</v>
      </c>
      <c r="F2504" s="122" t="s">
        <v>1589</v>
      </c>
      <c r="G2504" s="122" t="s">
        <v>129</v>
      </c>
      <c r="H2504">
        <v>382</v>
      </c>
      <c r="I2504" s="122" t="s">
        <v>1546</v>
      </c>
      <c r="J2504" s="307" t="s">
        <v>214</v>
      </c>
      <c r="K2504" s="127" t="s">
        <v>3806</v>
      </c>
      <c r="L2504" s="151" t="s">
        <v>3306</v>
      </c>
      <c r="M2504">
        <v>504</v>
      </c>
      <c r="N2504" s="123">
        <v>51</v>
      </c>
      <c r="O2504">
        <v>1641</v>
      </c>
      <c r="P2504" s="132" t="s">
        <v>77</v>
      </c>
      <c r="Q2504" s="131">
        <v>2210</v>
      </c>
      <c r="R2504" s="131">
        <v>353.6</v>
      </c>
      <c r="S2504" s="131"/>
      <c r="T2504" s="155">
        <v>0</v>
      </c>
      <c r="U2504" s="131">
        <v>0</v>
      </c>
      <c r="V2504" s="131">
        <v>2563.6</v>
      </c>
      <c r="W2504">
        <v>222</v>
      </c>
      <c r="X2504" s="151" t="s">
        <v>195</v>
      </c>
      <c r="Y2504" s="135" t="s">
        <v>55</v>
      </c>
      <c r="Z2504" s="307">
        <v>240</v>
      </c>
      <c r="AB2504" t="str">
        <f>IF(Table1[[#This Row],[TIPO2]]="costo", VLOOKUP(Table1[[#This Row],[PARTIDA PRESUPUESTAL]],'Cost Report'!G:G,1,0),"Balance")</f>
        <v>2494-071</v>
      </c>
      <c r="AC2504" s="118"/>
      <c r="AD2504" s="159">
        <f>+Table1[[#This Row],[SUBTOTAL]]+Table1[[#This Row],[IVA]]-Table1[[#This Row],[RET IVA]]-Table1[[#This Row],[RET ISR]]-Table1[[#This Row],[TOTAL]]</f>
        <v>0</v>
      </c>
      <c r="AE2504" s="150"/>
      <c r="AF2504" s="151"/>
      <c r="AG2504" s="126"/>
      <c r="AK2504" s="306" t="str">
        <f>IF(ISNUMBER(Table1[[#This Row],[FECHA DE RECIBIDO]]), Table1[[#This Row],[FECHA DE RECIBIDO]]-DATE(2023,8,30), "")</f>
        <v/>
      </c>
    </row>
    <row r="2505" spans="1:37" ht="16.05" customHeight="1">
      <c r="A2505" s="152" t="s">
        <v>3826</v>
      </c>
      <c r="B2505" s="153">
        <v>830</v>
      </c>
      <c r="C2505" s="126" t="s">
        <v>2476</v>
      </c>
      <c r="D2505">
        <v>1664</v>
      </c>
      <c r="E2505" s="126" t="s">
        <v>1614</v>
      </c>
      <c r="F2505" s="125" t="s">
        <v>1593</v>
      </c>
      <c r="G2505" s="125" t="s">
        <v>109</v>
      </c>
      <c r="H2505">
        <v>484</v>
      </c>
      <c r="I2505" s="125" t="s">
        <v>1546</v>
      </c>
      <c r="J2505" s="308" t="s">
        <v>214</v>
      </c>
      <c r="K2505" s="127" t="s">
        <v>3806</v>
      </c>
      <c r="L2505" s="153" t="s">
        <v>3306</v>
      </c>
      <c r="M2505">
        <v>706</v>
      </c>
      <c r="N2505" s="123">
        <v>51</v>
      </c>
      <c r="O2505">
        <v>1642</v>
      </c>
      <c r="P2505" s="132" t="s">
        <v>77</v>
      </c>
      <c r="Q2505" s="132">
        <v>3500</v>
      </c>
      <c r="R2505" s="132">
        <v>560</v>
      </c>
      <c r="S2505" s="132"/>
      <c r="T2505" s="156">
        <v>373.33</v>
      </c>
      <c r="U2505" s="132">
        <v>43.75</v>
      </c>
      <c r="V2505" s="132">
        <v>3642.92</v>
      </c>
      <c r="W2505">
        <v>256</v>
      </c>
      <c r="X2505" s="153" t="s">
        <v>2035</v>
      </c>
      <c r="Y2505" s="124" t="s">
        <v>55</v>
      </c>
      <c r="Z2505" s="308">
        <v>240</v>
      </c>
      <c r="AB2505" t="str">
        <f>IF(Table1[[#This Row],[TIPO2]]="costo", VLOOKUP(Table1[[#This Row],[PARTIDA PRESUPUESTAL]],'Cost Report'!G:G,1,0),"Balance")</f>
        <v>2394-025</v>
      </c>
      <c r="AC2505" s="118"/>
      <c r="AD2505" s="159">
        <f>+Table1[[#This Row],[SUBTOTAL]]+Table1[[#This Row],[IVA]]-Table1[[#This Row],[RET IVA]]-Table1[[#This Row],[RET ISR]]-Table1[[#This Row],[TOTAL]]</f>
        <v>0</v>
      </c>
      <c r="AE2505" s="152"/>
      <c r="AF2505" s="153"/>
      <c r="AG2505" s="126"/>
      <c r="AK2505" s="306" t="str">
        <f>IF(ISNUMBER(Table1[[#This Row],[FECHA DE RECIBIDO]]), Table1[[#This Row],[FECHA DE RECIBIDO]]-DATE(2023,8,30), "")</f>
        <v/>
      </c>
    </row>
    <row r="2506" spans="1:37" ht="16.05" customHeight="1">
      <c r="A2506" s="150" t="s">
        <v>3827</v>
      </c>
      <c r="B2506" s="151">
        <v>831</v>
      </c>
      <c r="C2506" s="126" t="s">
        <v>1515</v>
      </c>
      <c r="D2506">
        <v>1665</v>
      </c>
      <c r="E2506" s="126" t="s">
        <v>3225</v>
      </c>
      <c r="F2506" s="122" t="s">
        <v>1589</v>
      </c>
      <c r="G2506" s="122" t="s">
        <v>129</v>
      </c>
      <c r="H2506">
        <v>485</v>
      </c>
      <c r="I2506" s="122" t="s">
        <v>1546</v>
      </c>
      <c r="J2506" s="307" t="s">
        <v>214</v>
      </c>
      <c r="K2506" s="127" t="s">
        <v>3806</v>
      </c>
      <c r="L2506" s="151" t="s">
        <v>3306</v>
      </c>
      <c r="M2506">
        <v>707</v>
      </c>
      <c r="N2506" s="123">
        <v>51</v>
      </c>
      <c r="O2506">
        <v>1643</v>
      </c>
      <c r="P2506" s="132" t="s">
        <v>77</v>
      </c>
      <c r="Q2506" s="131">
        <v>4000</v>
      </c>
      <c r="R2506" s="131">
        <v>640</v>
      </c>
      <c r="S2506" s="131"/>
      <c r="T2506" s="155">
        <v>0</v>
      </c>
      <c r="U2506" s="131">
        <v>0</v>
      </c>
      <c r="V2506" s="131">
        <v>4640</v>
      </c>
      <c r="W2506">
        <v>257</v>
      </c>
      <c r="X2506" s="151" t="s">
        <v>195</v>
      </c>
      <c r="Y2506" s="135" t="s">
        <v>55</v>
      </c>
      <c r="Z2506" s="307">
        <v>240</v>
      </c>
      <c r="AB2506" t="str">
        <f>IF(Table1[[#This Row],[TIPO2]]="costo", VLOOKUP(Table1[[#This Row],[PARTIDA PRESUPUESTAL]],'Cost Report'!G:G,1,0),"Balance")</f>
        <v>2494-023</v>
      </c>
      <c r="AC2506" s="118"/>
      <c r="AD2506" s="159">
        <f>+Table1[[#This Row],[SUBTOTAL]]+Table1[[#This Row],[IVA]]-Table1[[#This Row],[RET IVA]]-Table1[[#This Row],[RET ISR]]-Table1[[#This Row],[TOTAL]]</f>
        <v>0</v>
      </c>
      <c r="AE2506" s="150"/>
      <c r="AF2506" s="151"/>
      <c r="AG2506" s="126"/>
      <c r="AK2506" s="306" t="str">
        <f>IF(ISNUMBER(Table1[[#This Row],[FECHA DE RECIBIDO]]), Table1[[#This Row],[FECHA DE RECIBIDO]]-DATE(2023,8,30), "")</f>
        <v/>
      </c>
    </row>
    <row r="2507" spans="1:37" ht="16.05" customHeight="1">
      <c r="A2507" s="152" t="s">
        <v>3828</v>
      </c>
      <c r="B2507" s="153">
        <v>832</v>
      </c>
      <c r="C2507" s="126" t="s">
        <v>2544</v>
      </c>
      <c r="D2507">
        <v>1666</v>
      </c>
      <c r="E2507" s="126" t="s">
        <v>3785</v>
      </c>
      <c r="F2507" s="125" t="s">
        <v>1607</v>
      </c>
      <c r="G2507" s="125" t="s">
        <v>134</v>
      </c>
      <c r="H2507">
        <v>451</v>
      </c>
      <c r="I2507" s="125" t="s">
        <v>1546</v>
      </c>
      <c r="J2507" s="308" t="s">
        <v>214</v>
      </c>
      <c r="K2507" s="127" t="s">
        <v>3806</v>
      </c>
      <c r="L2507" s="153" t="s">
        <v>3306</v>
      </c>
      <c r="M2507">
        <v>626</v>
      </c>
      <c r="N2507" s="123">
        <v>51</v>
      </c>
      <c r="O2507">
        <v>1644</v>
      </c>
      <c r="P2507" s="132" t="s">
        <v>77</v>
      </c>
      <c r="Q2507" s="132">
        <v>37000</v>
      </c>
      <c r="R2507" s="132">
        <v>5920</v>
      </c>
      <c r="S2507" s="132"/>
      <c r="T2507" s="156">
        <v>0</v>
      </c>
      <c r="U2507" s="132">
        <v>0</v>
      </c>
      <c r="V2507" s="132">
        <v>42920</v>
      </c>
      <c r="W2507">
        <v>238</v>
      </c>
      <c r="X2507" s="153" t="s">
        <v>2035</v>
      </c>
      <c r="Y2507" s="124" t="s">
        <v>55</v>
      </c>
      <c r="Z2507" s="308">
        <v>240</v>
      </c>
      <c r="AB2507" t="str">
        <f>IF(Table1[[#This Row],[TIPO2]]="costo", VLOOKUP(Table1[[#This Row],[PARTIDA PRESUPUESTAL]],'Cost Report'!G:G,1,0),"Balance")</f>
        <v>2494-067</v>
      </c>
      <c r="AC2507" s="118"/>
      <c r="AD2507" s="159">
        <f>+Table1[[#This Row],[SUBTOTAL]]+Table1[[#This Row],[IVA]]-Table1[[#This Row],[RET IVA]]-Table1[[#This Row],[RET ISR]]-Table1[[#This Row],[TOTAL]]</f>
        <v>0</v>
      </c>
      <c r="AE2507" s="152"/>
      <c r="AF2507" s="153"/>
      <c r="AG2507" s="126"/>
      <c r="AK2507" s="306" t="str">
        <f>IF(ISNUMBER(Table1[[#This Row],[FECHA DE RECIBIDO]]), Table1[[#This Row],[FECHA DE RECIBIDO]]-DATE(2023,8,30), "")</f>
        <v/>
      </c>
    </row>
    <row r="2508" spans="1:37" ht="16.05" customHeight="1">
      <c r="A2508" s="150"/>
      <c r="B2508" s="151">
        <v>833</v>
      </c>
      <c r="C2508" s="126" t="s">
        <v>2566</v>
      </c>
      <c r="D2508">
        <v>1667</v>
      </c>
      <c r="E2508" s="126" t="s">
        <v>3785</v>
      </c>
      <c r="F2508" s="122" t="s">
        <v>1607</v>
      </c>
      <c r="G2508" s="122" t="s">
        <v>134</v>
      </c>
      <c r="H2508">
        <v>451</v>
      </c>
      <c r="I2508" s="122" t="s">
        <v>1546</v>
      </c>
      <c r="J2508" s="307" t="s">
        <v>214</v>
      </c>
      <c r="K2508" s="127" t="s">
        <v>3806</v>
      </c>
      <c r="L2508" s="151" t="s">
        <v>3306</v>
      </c>
      <c r="M2508">
        <v>626</v>
      </c>
      <c r="N2508" s="123">
        <v>51</v>
      </c>
      <c r="O2508">
        <v>1645</v>
      </c>
      <c r="P2508" s="132" t="s">
        <v>77</v>
      </c>
      <c r="Q2508" s="131">
        <v>5640</v>
      </c>
      <c r="R2508" s="131">
        <v>902.4</v>
      </c>
      <c r="S2508" s="131"/>
      <c r="T2508" s="155">
        <v>0</v>
      </c>
      <c r="U2508" s="131">
        <v>0</v>
      </c>
      <c r="V2508" s="131">
        <v>6542.4</v>
      </c>
      <c r="W2508">
        <v>238</v>
      </c>
      <c r="X2508" s="151" t="s">
        <v>2035</v>
      </c>
      <c r="Y2508" s="135" t="s">
        <v>55</v>
      </c>
      <c r="Z2508" s="307">
        <v>240</v>
      </c>
      <c r="AB2508" t="str">
        <f>IF(Table1[[#This Row],[TIPO2]]="costo", VLOOKUP(Table1[[#This Row],[PARTIDA PRESUPUESTAL]],'Cost Report'!G:G,1,0),"Balance")</f>
        <v>2594-003</v>
      </c>
      <c r="AC2508" s="118"/>
      <c r="AD2508" s="159">
        <f>+Table1[[#This Row],[SUBTOTAL]]+Table1[[#This Row],[IVA]]-Table1[[#This Row],[RET IVA]]-Table1[[#This Row],[RET ISR]]-Table1[[#This Row],[TOTAL]]</f>
        <v>0</v>
      </c>
      <c r="AE2508" s="150"/>
      <c r="AF2508" s="151"/>
      <c r="AG2508" s="126"/>
      <c r="AK2508" s="306" t="str">
        <f>IF(ISNUMBER(Table1[[#This Row],[FECHA DE RECIBIDO]]), Table1[[#This Row],[FECHA DE RECIBIDO]]-DATE(2023,8,30), "")</f>
        <v/>
      </c>
    </row>
    <row r="2509" spans="1:37" ht="16.05" customHeight="1">
      <c r="A2509" s="152" t="s">
        <v>3829</v>
      </c>
      <c r="B2509" s="153">
        <v>834</v>
      </c>
      <c r="C2509" s="126" t="s">
        <v>1505</v>
      </c>
      <c r="D2509">
        <v>1668</v>
      </c>
      <c r="E2509" s="126" t="s">
        <v>1605</v>
      </c>
      <c r="F2509" s="125" t="s">
        <v>1589</v>
      </c>
      <c r="G2509" s="125" t="s">
        <v>129</v>
      </c>
      <c r="H2509">
        <v>486</v>
      </c>
      <c r="I2509" s="125" t="s">
        <v>1546</v>
      </c>
      <c r="J2509" s="308" t="s">
        <v>214</v>
      </c>
      <c r="K2509" s="127" t="s">
        <v>3806</v>
      </c>
      <c r="L2509" s="153" t="s">
        <v>3306</v>
      </c>
      <c r="M2509">
        <v>625</v>
      </c>
      <c r="N2509" s="123">
        <v>51</v>
      </c>
      <c r="O2509">
        <v>1646</v>
      </c>
      <c r="P2509" s="132" t="s">
        <v>77</v>
      </c>
      <c r="Q2509" s="132">
        <v>38760</v>
      </c>
      <c r="R2509" s="132">
        <v>6201.6</v>
      </c>
      <c r="S2509" s="132"/>
      <c r="T2509" s="156">
        <v>4134.41</v>
      </c>
      <c r="U2509" s="132">
        <v>0</v>
      </c>
      <c r="V2509" s="132">
        <v>40827.19</v>
      </c>
      <c r="W2509">
        <v>237</v>
      </c>
      <c r="X2509" s="153" t="s">
        <v>2035</v>
      </c>
      <c r="Y2509" s="124" t="s">
        <v>55</v>
      </c>
      <c r="Z2509" s="308">
        <v>240</v>
      </c>
      <c r="AB2509" t="str">
        <f>IF(Table1[[#This Row],[TIPO2]]="costo", VLOOKUP(Table1[[#This Row],[PARTIDA PRESUPUESTAL]],'Cost Report'!G:G,1,0),"Balance")</f>
        <v>2494-003</v>
      </c>
      <c r="AC2509" s="118"/>
      <c r="AD2509" s="159">
        <f>+Table1[[#This Row],[SUBTOTAL]]+Table1[[#This Row],[IVA]]-Table1[[#This Row],[RET IVA]]-Table1[[#This Row],[RET ISR]]-Table1[[#This Row],[TOTAL]]</f>
        <v>0</v>
      </c>
      <c r="AE2509" s="152"/>
      <c r="AF2509" s="153"/>
      <c r="AG2509" s="126"/>
      <c r="AK2509" s="306" t="str">
        <f>IF(ISNUMBER(Table1[[#This Row],[FECHA DE RECIBIDO]]), Table1[[#This Row],[FECHA DE RECIBIDO]]-DATE(2023,8,30), "")</f>
        <v/>
      </c>
    </row>
    <row r="2510" spans="1:37" ht="16.05" customHeight="1">
      <c r="A2510" s="150" t="s">
        <v>3830</v>
      </c>
      <c r="B2510" s="151">
        <v>835</v>
      </c>
      <c r="C2510" s="126" t="s">
        <v>1507</v>
      </c>
      <c r="D2510">
        <v>1669</v>
      </c>
      <c r="E2510" s="126" t="s">
        <v>1603</v>
      </c>
      <c r="F2510" s="122" t="s">
        <v>1607</v>
      </c>
      <c r="G2510" s="122" t="s">
        <v>134</v>
      </c>
      <c r="H2510">
        <v>24</v>
      </c>
      <c r="I2510" s="122" t="s">
        <v>1546</v>
      </c>
      <c r="J2510" s="307" t="s">
        <v>214</v>
      </c>
      <c r="K2510" s="127" t="s">
        <v>3806</v>
      </c>
      <c r="L2510" s="151" t="s">
        <v>3306</v>
      </c>
      <c r="M2510">
        <v>708</v>
      </c>
      <c r="N2510" s="123">
        <v>51</v>
      </c>
      <c r="O2510">
        <v>1461</v>
      </c>
      <c r="P2510" s="132" t="s">
        <v>77</v>
      </c>
      <c r="Q2510" s="131">
        <v>10000</v>
      </c>
      <c r="R2510" s="131">
        <v>1600</v>
      </c>
      <c r="S2510" s="131"/>
      <c r="T2510" s="155">
        <v>0</v>
      </c>
      <c r="U2510" s="131">
        <v>0</v>
      </c>
      <c r="V2510" s="131">
        <v>11600</v>
      </c>
      <c r="W2510">
        <v>26</v>
      </c>
      <c r="X2510" s="151" t="s">
        <v>195</v>
      </c>
      <c r="Y2510" s="135" t="s">
        <v>55</v>
      </c>
      <c r="Z2510" s="307">
        <v>240</v>
      </c>
      <c r="AB2510" t="str">
        <f>IF(Table1[[#This Row],[TIPO2]]="costo", VLOOKUP(Table1[[#This Row],[PARTIDA PRESUPUESTAL]],'Cost Report'!G:G,1,0),"Balance")</f>
        <v>2494-007</v>
      </c>
      <c r="AC2510" s="118"/>
      <c r="AD2510" s="159">
        <f>+Table1[[#This Row],[SUBTOTAL]]+Table1[[#This Row],[IVA]]-Table1[[#This Row],[RET IVA]]-Table1[[#This Row],[RET ISR]]-Table1[[#This Row],[TOTAL]]</f>
        <v>0</v>
      </c>
      <c r="AE2510" s="150"/>
      <c r="AF2510" s="151"/>
      <c r="AG2510" s="126"/>
      <c r="AK2510" s="306" t="str">
        <f>IF(ISNUMBER(Table1[[#This Row],[FECHA DE RECIBIDO]]), Table1[[#This Row],[FECHA DE RECIBIDO]]-DATE(2023,8,30), "")</f>
        <v/>
      </c>
    </row>
    <row r="2511" spans="1:37" ht="16.05" customHeight="1">
      <c r="A2511" s="152" t="s">
        <v>3831</v>
      </c>
      <c r="B2511" s="153">
        <v>836</v>
      </c>
      <c r="C2511" s="126" t="s">
        <v>1505</v>
      </c>
      <c r="D2511">
        <v>1670</v>
      </c>
      <c r="E2511" s="126" t="s">
        <v>3235</v>
      </c>
      <c r="F2511" s="125" t="s">
        <v>1589</v>
      </c>
      <c r="G2511" s="125" t="s">
        <v>129</v>
      </c>
      <c r="H2511">
        <v>212</v>
      </c>
      <c r="I2511" s="125" t="s">
        <v>1546</v>
      </c>
      <c r="J2511" s="308" t="s">
        <v>214</v>
      </c>
      <c r="K2511" s="127" t="s">
        <v>3806</v>
      </c>
      <c r="L2511" s="153" t="s">
        <v>3306</v>
      </c>
      <c r="M2511">
        <v>277</v>
      </c>
      <c r="N2511" s="123">
        <v>51</v>
      </c>
      <c r="O2511">
        <v>641</v>
      </c>
      <c r="P2511" s="132" t="s">
        <v>77</v>
      </c>
      <c r="Q2511" s="132">
        <v>656.24</v>
      </c>
      <c r="R2511" s="132">
        <v>105</v>
      </c>
      <c r="S2511" s="132"/>
      <c r="T2511" s="156">
        <v>0</v>
      </c>
      <c r="U2511" s="132">
        <v>0</v>
      </c>
      <c r="V2511" s="132">
        <v>761.24</v>
      </c>
      <c r="W2511">
        <v>133</v>
      </c>
      <c r="X2511" s="153" t="s">
        <v>2035</v>
      </c>
      <c r="Y2511" s="124" t="s">
        <v>55</v>
      </c>
      <c r="Z2511" s="308">
        <v>240</v>
      </c>
      <c r="AB2511" t="str">
        <f>IF(Table1[[#This Row],[TIPO2]]="costo", VLOOKUP(Table1[[#This Row],[PARTIDA PRESUPUESTAL]],'Cost Report'!G:G,1,0),"Balance")</f>
        <v>2494-003</v>
      </c>
      <c r="AC2511" s="118"/>
      <c r="AD2511" s="159">
        <f>+Table1[[#This Row],[SUBTOTAL]]+Table1[[#This Row],[IVA]]-Table1[[#This Row],[RET IVA]]-Table1[[#This Row],[RET ISR]]-Table1[[#This Row],[TOTAL]]</f>
        <v>0</v>
      </c>
      <c r="AE2511" s="152"/>
      <c r="AF2511" s="153"/>
      <c r="AG2511" s="126"/>
      <c r="AK2511" s="306" t="str">
        <f>IF(ISNUMBER(Table1[[#This Row],[FECHA DE RECIBIDO]]), Table1[[#This Row],[FECHA DE RECIBIDO]]-DATE(2023,8,30), "")</f>
        <v/>
      </c>
    </row>
    <row r="2512" spans="1:37" ht="16.05" customHeight="1">
      <c r="A2512" s="150"/>
      <c r="B2512" s="151">
        <v>837</v>
      </c>
      <c r="C2512" s="126" t="s">
        <v>1515</v>
      </c>
      <c r="D2512">
        <v>1671</v>
      </c>
      <c r="E2512" s="126" t="s">
        <v>3235</v>
      </c>
      <c r="F2512" s="122" t="s">
        <v>1589</v>
      </c>
      <c r="G2512" s="122" t="s">
        <v>129</v>
      </c>
      <c r="H2512">
        <v>212</v>
      </c>
      <c r="I2512" s="122" t="s">
        <v>1546</v>
      </c>
      <c r="J2512" s="307" t="s">
        <v>214</v>
      </c>
      <c r="K2512" s="127" t="s">
        <v>3806</v>
      </c>
      <c r="L2512" s="151" t="s">
        <v>3306</v>
      </c>
      <c r="M2512">
        <v>277</v>
      </c>
      <c r="N2512" s="123">
        <v>51</v>
      </c>
      <c r="O2512">
        <v>1647</v>
      </c>
      <c r="P2512" s="132" t="s">
        <v>77</v>
      </c>
      <c r="Q2512" s="131">
        <v>14649.6</v>
      </c>
      <c r="R2512" s="131">
        <v>2343.94</v>
      </c>
      <c r="S2512" s="131"/>
      <c r="T2512" s="155">
        <v>0</v>
      </c>
      <c r="U2512" s="131">
        <v>0</v>
      </c>
      <c r="V2512" s="131">
        <v>16993.54</v>
      </c>
      <c r="W2512">
        <v>133</v>
      </c>
      <c r="X2512" s="151" t="s">
        <v>2035</v>
      </c>
      <c r="Y2512" s="135" t="s">
        <v>55</v>
      </c>
      <c r="Z2512" s="307">
        <v>240</v>
      </c>
      <c r="AB2512" t="str">
        <f>IF(Table1[[#This Row],[TIPO2]]="costo", VLOOKUP(Table1[[#This Row],[PARTIDA PRESUPUESTAL]],'Cost Report'!G:G,1,0),"Balance")</f>
        <v>2494-023</v>
      </c>
      <c r="AC2512" s="118"/>
      <c r="AD2512" s="159">
        <f>+Table1[[#This Row],[SUBTOTAL]]+Table1[[#This Row],[IVA]]-Table1[[#This Row],[RET IVA]]-Table1[[#This Row],[RET ISR]]-Table1[[#This Row],[TOTAL]]</f>
        <v>0</v>
      </c>
      <c r="AE2512" s="150"/>
      <c r="AF2512" s="151"/>
      <c r="AG2512" s="126"/>
      <c r="AK2512" s="306" t="str">
        <f>IF(ISNUMBER(Table1[[#This Row],[FECHA DE RECIBIDO]]), Table1[[#This Row],[FECHA DE RECIBIDO]]-DATE(2023,8,30), "")</f>
        <v/>
      </c>
    </row>
    <row r="2513" spans="1:37" ht="16.05" customHeight="1">
      <c r="A2513" s="152" t="s">
        <v>3832</v>
      </c>
      <c r="B2513" s="153">
        <v>838</v>
      </c>
      <c r="C2513" s="126" t="s">
        <v>2460</v>
      </c>
      <c r="D2513">
        <v>1672</v>
      </c>
      <c r="E2513" s="126" t="s">
        <v>3833</v>
      </c>
      <c r="F2513" s="125" t="s">
        <v>1607</v>
      </c>
      <c r="G2513" s="125" t="s">
        <v>134</v>
      </c>
      <c r="H2513">
        <v>487</v>
      </c>
      <c r="I2513" s="125" t="s">
        <v>1546</v>
      </c>
      <c r="J2513" s="308" t="s">
        <v>214</v>
      </c>
      <c r="K2513" s="127" t="s">
        <v>3806</v>
      </c>
      <c r="L2513" s="153" t="s">
        <v>3306</v>
      </c>
      <c r="M2513">
        <v>709</v>
      </c>
      <c r="N2513" s="123">
        <v>51</v>
      </c>
      <c r="O2513">
        <v>1648</v>
      </c>
      <c r="P2513" s="132" t="s">
        <v>77</v>
      </c>
      <c r="Q2513" s="132">
        <v>9000</v>
      </c>
      <c r="R2513" s="132">
        <v>1440</v>
      </c>
      <c r="S2513" s="132"/>
      <c r="T2513" s="156">
        <v>0</v>
      </c>
      <c r="U2513" s="132">
        <v>0</v>
      </c>
      <c r="V2513" s="132">
        <v>10440</v>
      </c>
      <c r="W2513">
        <v>258</v>
      </c>
      <c r="X2513" s="153" t="s">
        <v>1912</v>
      </c>
      <c r="Y2513" s="124" t="s">
        <v>55</v>
      </c>
      <c r="Z2513" s="308">
        <v>240</v>
      </c>
      <c r="AB2513" t="str">
        <f>IF(Table1[[#This Row],[TIPO2]]="costo", VLOOKUP(Table1[[#This Row],[PARTIDA PRESUPUESTAL]],'Cost Report'!G:G,1,0),"Balance")</f>
        <v>2311-005</v>
      </c>
      <c r="AC2513" s="118"/>
      <c r="AD2513" s="159">
        <f>+Table1[[#This Row],[SUBTOTAL]]+Table1[[#This Row],[IVA]]-Table1[[#This Row],[RET IVA]]-Table1[[#This Row],[RET ISR]]-Table1[[#This Row],[TOTAL]]</f>
        <v>0</v>
      </c>
      <c r="AE2513" s="152"/>
      <c r="AF2513" s="153"/>
      <c r="AG2513" s="126"/>
      <c r="AK2513" s="306" t="str">
        <f>IF(ISNUMBER(Table1[[#This Row],[FECHA DE RECIBIDO]]), Table1[[#This Row],[FECHA DE RECIBIDO]]-DATE(2023,8,30), "")</f>
        <v/>
      </c>
    </row>
    <row r="2514" spans="1:37" ht="16.05" customHeight="1">
      <c r="A2514" s="150" t="s">
        <v>3834</v>
      </c>
      <c r="B2514" s="151">
        <v>839</v>
      </c>
      <c r="C2514" s="126" t="s">
        <v>1507</v>
      </c>
      <c r="D2514">
        <v>1673</v>
      </c>
      <c r="E2514" s="126" t="s">
        <v>3373</v>
      </c>
      <c r="F2514" s="122" t="s">
        <v>1607</v>
      </c>
      <c r="G2514" s="122" t="s">
        <v>134</v>
      </c>
      <c r="H2514">
        <v>488</v>
      </c>
      <c r="I2514" s="122" t="s">
        <v>1546</v>
      </c>
      <c r="J2514" s="307" t="s">
        <v>214</v>
      </c>
      <c r="K2514" s="127" t="s">
        <v>3806</v>
      </c>
      <c r="L2514" s="151" t="s">
        <v>3306</v>
      </c>
      <c r="M2514">
        <v>710</v>
      </c>
      <c r="N2514" s="123">
        <v>51</v>
      </c>
      <c r="O2514">
        <v>1649</v>
      </c>
      <c r="P2514" s="132" t="s">
        <v>77</v>
      </c>
      <c r="Q2514" s="131">
        <v>15990</v>
      </c>
      <c r="R2514" s="131">
        <v>2558.4</v>
      </c>
      <c r="S2514" s="131"/>
      <c r="T2514" s="155">
        <v>0</v>
      </c>
      <c r="U2514" s="131">
        <v>0</v>
      </c>
      <c r="V2514" s="131">
        <v>18548.400000000001</v>
      </c>
      <c r="W2514">
        <v>259</v>
      </c>
      <c r="X2514" s="151" t="s">
        <v>1912</v>
      </c>
      <c r="Y2514" s="135" t="s">
        <v>55</v>
      </c>
      <c r="Z2514" s="307">
        <v>240</v>
      </c>
      <c r="AB2514" t="str">
        <f>IF(Table1[[#This Row],[TIPO2]]="costo", VLOOKUP(Table1[[#This Row],[PARTIDA PRESUPUESTAL]],'Cost Report'!G:G,1,0),"Balance")</f>
        <v>2494-007</v>
      </c>
      <c r="AC2514" s="118"/>
      <c r="AD2514" s="159">
        <f>+Table1[[#This Row],[SUBTOTAL]]+Table1[[#This Row],[IVA]]-Table1[[#This Row],[RET IVA]]-Table1[[#This Row],[RET ISR]]-Table1[[#This Row],[TOTAL]]</f>
        <v>0</v>
      </c>
      <c r="AE2514" s="150"/>
      <c r="AF2514" s="151"/>
      <c r="AG2514" s="126"/>
      <c r="AK2514" s="306" t="str">
        <f>IF(ISNUMBER(Table1[[#This Row],[FECHA DE RECIBIDO]]), Table1[[#This Row],[FECHA DE RECIBIDO]]-DATE(2023,8,30), "")</f>
        <v/>
      </c>
    </row>
    <row r="2515" spans="1:37" ht="16.05" customHeight="1">
      <c r="A2515" s="152" t="s">
        <v>3835</v>
      </c>
      <c r="B2515" s="153">
        <v>840</v>
      </c>
      <c r="C2515" s="126" t="s">
        <v>2530</v>
      </c>
      <c r="D2515">
        <v>1674</v>
      </c>
      <c r="E2515" s="126" t="s">
        <v>3262</v>
      </c>
      <c r="F2515" s="125" t="s">
        <v>1589</v>
      </c>
      <c r="G2515" s="125" t="s">
        <v>129</v>
      </c>
      <c r="H2515">
        <v>450</v>
      </c>
      <c r="I2515" s="125" t="s">
        <v>1546</v>
      </c>
      <c r="J2515" s="308" t="s">
        <v>214</v>
      </c>
      <c r="K2515" s="127" t="s">
        <v>3806</v>
      </c>
      <c r="L2515" s="153" t="s">
        <v>3306</v>
      </c>
      <c r="M2515">
        <v>624</v>
      </c>
      <c r="N2515" s="123">
        <v>51</v>
      </c>
      <c r="O2515">
        <v>1650</v>
      </c>
      <c r="P2515" s="132" t="s">
        <v>77</v>
      </c>
      <c r="Q2515" s="132">
        <v>5244.76</v>
      </c>
      <c r="R2515" s="132">
        <v>839.16</v>
      </c>
      <c r="S2515" s="132"/>
      <c r="T2515" s="156">
        <v>559.44000000000005</v>
      </c>
      <c r="U2515" s="132">
        <v>524.48</v>
      </c>
      <c r="V2515" s="132">
        <v>5000</v>
      </c>
      <c r="W2515">
        <v>236</v>
      </c>
      <c r="X2515" s="153" t="s">
        <v>2035</v>
      </c>
      <c r="Y2515" s="124" t="s">
        <v>55</v>
      </c>
      <c r="Z2515" s="308">
        <v>240</v>
      </c>
      <c r="AB2515" t="str">
        <f>IF(Table1[[#This Row],[TIPO2]]="costo", VLOOKUP(Table1[[#This Row],[PARTIDA PRESUPUESTAL]],'Cost Report'!G:G,1,0),"Balance")</f>
        <v>2494-039</v>
      </c>
      <c r="AC2515" s="118"/>
      <c r="AD2515" s="159">
        <f>+Table1[[#This Row],[SUBTOTAL]]+Table1[[#This Row],[IVA]]-Table1[[#This Row],[RET IVA]]-Table1[[#This Row],[RET ISR]]-Table1[[#This Row],[TOTAL]]</f>
        <v>0</v>
      </c>
      <c r="AE2515" s="152"/>
      <c r="AF2515" s="153"/>
      <c r="AG2515" s="126"/>
      <c r="AK2515" s="306" t="str">
        <f>IF(ISNUMBER(Table1[[#This Row],[FECHA DE RECIBIDO]]), Table1[[#This Row],[FECHA DE RECIBIDO]]-DATE(2023,8,30), "")</f>
        <v/>
      </c>
    </row>
    <row r="2516" spans="1:37" ht="16.05" customHeight="1">
      <c r="A2516" s="150" t="s">
        <v>3836</v>
      </c>
      <c r="B2516" s="151">
        <v>841</v>
      </c>
      <c r="C2516" s="126" t="s">
        <v>1507</v>
      </c>
      <c r="D2516">
        <v>1675</v>
      </c>
      <c r="E2516" s="126">
        <v>44660</v>
      </c>
      <c r="F2516" s="122">
        <v>612</v>
      </c>
      <c r="G2516" s="122" t="s">
        <v>129</v>
      </c>
      <c r="H2516">
        <v>293</v>
      </c>
      <c r="I2516" s="122" t="s">
        <v>1546</v>
      </c>
      <c r="J2516" s="307">
        <v>238.55765046296438</v>
      </c>
      <c r="K2516" s="127" t="s">
        <v>3806</v>
      </c>
      <c r="L2516" s="151" t="s">
        <v>3306</v>
      </c>
      <c r="M2516">
        <v>711</v>
      </c>
      <c r="N2516" s="123">
        <v>51</v>
      </c>
      <c r="O2516">
        <v>1651</v>
      </c>
      <c r="P2516" s="132" t="s">
        <v>77</v>
      </c>
      <c r="Q2516" s="131">
        <v>2625</v>
      </c>
      <c r="R2516" s="131">
        <v>0</v>
      </c>
      <c r="S2516" s="131"/>
      <c r="T2516" s="155">
        <v>0</v>
      </c>
      <c r="U2516" s="131">
        <v>0</v>
      </c>
      <c r="V2516" s="131">
        <v>2625</v>
      </c>
      <c r="W2516">
        <v>260</v>
      </c>
      <c r="X2516" s="151" t="s">
        <v>2037</v>
      </c>
      <c r="Y2516" s="135" t="s">
        <v>55</v>
      </c>
      <c r="Z2516" s="307">
        <v>240</v>
      </c>
      <c r="AB2516" t="str">
        <f>IF(Table1[[#This Row],[TIPO2]]="costo", VLOOKUP(Table1[[#This Row],[PARTIDA PRESUPUESTAL]],'Cost Report'!G:G,1,0),"Balance")</f>
        <v>2494-007</v>
      </c>
      <c r="AC2516" s="118"/>
      <c r="AD2516" s="159">
        <f>+Table1[[#This Row],[SUBTOTAL]]+Table1[[#This Row],[IVA]]-Table1[[#This Row],[RET IVA]]-Table1[[#This Row],[RET ISR]]-Table1[[#This Row],[TOTAL]]</f>
        <v>0</v>
      </c>
      <c r="AE2516" s="150"/>
      <c r="AF2516" s="151"/>
      <c r="AG2516" s="126"/>
      <c r="AK2516" s="306">
        <f>IF(ISNUMBER(Table1[[#This Row],[FECHA DE RECIBIDO]]), Table1[[#This Row],[FECHA DE RECIBIDO]]-DATE(2023,8,30), "")</f>
        <v>-44929.442349537036</v>
      </c>
    </row>
    <row r="2517" spans="1:37" ht="16.05" customHeight="1">
      <c r="A2517" s="152" t="s">
        <v>3837</v>
      </c>
      <c r="B2517" s="153">
        <v>842</v>
      </c>
      <c r="C2517" s="126" t="s">
        <v>1519</v>
      </c>
      <c r="D2517">
        <v>1676</v>
      </c>
      <c r="E2517" s="126" t="s">
        <v>3785</v>
      </c>
      <c r="F2517" s="125" t="s">
        <v>1607</v>
      </c>
      <c r="G2517" s="125" t="s">
        <v>134</v>
      </c>
      <c r="H2517">
        <v>451</v>
      </c>
      <c r="I2517" s="125" t="s">
        <v>1546</v>
      </c>
      <c r="J2517" s="308" t="s">
        <v>214</v>
      </c>
      <c r="K2517" s="127" t="s">
        <v>3806</v>
      </c>
      <c r="L2517" s="153" t="s">
        <v>3306</v>
      </c>
      <c r="M2517">
        <v>626</v>
      </c>
      <c r="N2517" s="123">
        <v>51</v>
      </c>
      <c r="O2517">
        <v>1652</v>
      </c>
      <c r="P2517" s="132" t="s">
        <v>77</v>
      </c>
      <c r="Q2517" s="132">
        <v>22130</v>
      </c>
      <c r="R2517" s="132">
        <v>3540.8</v>
      </c>
      <c r="S2517" s="132"/>
      <c r="T2517" s="156">
        <v>0</v>
      </c>
      <c r="U2517" s="132">
        <v>0</v>
      </c>
      <c r="V2517" s="132">
        <v>25670.799999999999</v>
      </c>
      <c r="W2517">
        <v>238</v>
      </c>
      <c r="X2517" s="153" t="s">
        <v>2035</v>
      </c>
      <c r="Y2517" s="124" t="s">
        <v>55</v>
      </c>
      <c r="Z2517" s="308">
        <v>240</v>
      </c>
      <c r="AB2517" t="str">
        <f>IF(Table1[[#This Row],[TIPO2]]="costo", VLOOKUP(Table1[[#This Row],[PARTIDA PRESUPUESTAL]],'Cost Report'!G:G,1,0),"Balance")</f>
        <v>2494-031</v>
      </c>
      <c r="AC2517" s="118"/>
      <c r="AD2517" s="159">
        <f>+Table1[[#This Row],[SUBTOTAL]]+Table1[[#This Row],[IVA]]-Table1[[#This Row],[RET IVA]]-Table1[[#This Row],[RET ISR]]-Table1[[#This Row],[TOTAL]]</f>
        <v>0</v>
      </c>
      <c r="AE2517" s="152"/>
      <c r="AF2517" s="153"/>
      <c r="AG2517" s="126"/>
      <c r="AK2517" s="306" t="str">
        <f>IF(ISNUMBER(Table1[[#This Row],[FECHA DE RECIBIDO]]), Table1[[#This Row],[FECHA DE RECIBIDO]]-DATE(2023,8,30), "")</f>
        <v/>
      </c>
    </row>
    <row r="2518" spans="1:37" ht="16.05" customHeight="1">
      <c r="A2518" s="150" t="s">
        <v>3838</v>
      </c>
      <c r="B2518" s="151">
        <v>843</v>
      </c>
      <c r="C2518" s="126" t="s">
        <v>1732</v>
      </c>
      <c r="D2518">
        <v>1677</v>
      </c>
      <c r="E2518" s="126" t="s">
        <v>1605</v>
      </c>
      <c r="F2518" s="122" t="s">
        <v>1589</v>
      </c>
      <c r="G2518" s="122" t="s">
        <v>129</v>
      </c>
      <c r="H2518">
        <v>486</v>
      </c>
      <c r="I2518" s="122" t="s">
        <v>1546</v>
      </c>
      <c r="J2518" s="307" t="s">
        <v>214</v>
      </c>
      <c r="K2518" s="127" t="s">
        <v>3806</v>
      </c>
      <c r="L2518" s="151" t="s">
        <v>3306</v>
      </c>
      <c r="M2518">
        <v>625</v>
      </c>
      <c r="N2518" s="123">
        <v>51</v>
      </c>
      <c r="O2518">
        <v>1653</v>
      </c>
      <c r="P2518" s="132" t="s">
        <v>77</v>
      </c>
      <c r="Q2518" s="131">
        <v>8990</v>
      </c>
      <c r="R2518" s="131">
        <v>1438.4</v>
      </c>
      <c r="S2518" s="131"/>
      <c r="T2518" s="155">
        <v>958.94</v>
      </c>
      <c r="U2518" s="131">
        <v>0</v>
      </c>
      <c r="V2518" s="131">
        <v>9469.4599999999991</v>
      </c>
      <c r="W2518">
        <v>237</v>
      </c>
      <c r="X2518" s="151" t="s">
        <v>2035</v>
      </c>
      <c r="Y2518" s="135" t="s">
        <v>55</v>
      </c>
      <c r="Z2518" s="307">
        <v>240</v>
      </c>
      <c r="AB2518" t="str">
        <f>IF(Table1[[#This Row],[TIPO2]]="costo", VLOOKUP(Table1[[#This Row],[PARTIDA PRESUPUESTAL]],'Cost Report'!G:G,1,0),"Balance")</f>
        <v>2494-035</v>
      </c>
      <c r="AC2518" s="118"/>
      <c r="AD2518" s="159">
        <f>+Table1[[#This Row],[SUBTOTAL]]+Table1[[#This Row],[IVA]]-Table1[[#This Row],[RET IVA]]-Table1[[#This Row],[RET ISR]]-Table1[[#This Row],[TOTAL]]</f>
        <v>0</v>
      </c>
      <c r="AE2518" s="150"/>
      <c r="AF2518" s="151"/>
      <c r="AG2518" s="126"/>
      <c r="AK2518" s="306" t="str">
        <f>IF(ISNUMBER(Table1[[#This Row],[FECHA DE RECIBIDO]]), Table1[[#This Row],[FECHA DE RECIBIDO]]-DATE(2023,8,30), "")</f>
        <v/>
      </c>
    </row>
    <row r="2519" spans="1:37" ht="16.05" customHeight="1">
      <c r="A2519" s="152" t="s">
        <v>3839</v>
      </c>
      <c r="B2519" s="153">
        <v>844</v>
      </c>
      <c r="C2519" s="126" t="s">
        <v>1511</v>
      </c>
      <c r="D2519">
        <v>1678</v>
      </c>
      <c r="E2519" s="126" t="s">
        <v>3225</v>
      </c>
      <c r="F2519" s="125" t="s">
        <v>1589</v>
      </c>
      <c r="G2519" s="125" t="s">
        <v>129</v>
      </c>
      <c r="H2519">
        <v>485</v>
      </c>
      <c r="I2519" s="125" t="s">
        <v>1546</v>
      </c>
      <c r="J2519" s="308" t="s">
        <v>214</v>
      </c>
      <c r="K2519" s="127" t="s">
        <v>3806</v>
      </c>
      <c r="L2519" s="153" t="s">
        <v>3306</v>
      </c>
      <c r="M2519">
        <v>707</v>
      </c>
      <c r="N2519" s="123">
        <v>51</v>
      </c>
      <c r="O2519">
        <v>1654</v>
      </c>
      <c r="P2519" s="132" t="s">
        <v>77</v>
      </c>
      <c r="Q2519" s="132">
        <v>1500</v>
      </c>
      <c r="R2519" s="132">
        <v>240</v>
      </c>
      <c r="S2519" s="132"/>
      <c r="T2519" s="156">
        <v>0</v>
      </c>
      <c r="U2519" s="132">
        <v>0</v>
      </c>
      <c r="V2519" s="132">
        <v>1740</v>
      </c>
      <c r="W2519">
        <v>257</v>
      </c>
      <c r="X2519" s="153" t="s">
        <v>195</v>
      </c>
      <c r="Y2519" s="124" t="s">
        <v>55</v>
      </c>
      <c r="Z2519" s="308">
        <v>240</v>
      </c>
      <c r="AB2519" t="str">
        <f>IF(Table1[[#This Row],[TIPO2]]="costo", VLOOKUP(Table1[[#This Row],[PARTIDA PRESUPUESTAL]],'Cost Report'!G:G,1,0),"Balance")</f>
        <v>2494-015</v>
      </c>
      <c r="AC2519" s="118"/>
      <c r="AD2519" s="159">
        <f>+Table1[[#This Row],[SUBTOTAL]]+Table1[[#This Row],[IVA]]-Table1[[#This Row],[RET IVA]]-Table1[[#This Row],[RET ISR]]-Table1[[#This Row],[TOTAL]]</f>
        <v>0</v>
      </c>
      <c r="AE2519" s="152"/>
      <c r="AF2519" s="153"/>
      <c r="AG2519" s="126"/>
      <c r="AK2519" s="306" t="str">
        <f>IF(ISNUMBER(Table1[[#This Row],[FECHA DE RECIBIDO]]), Table1[[#This Row],[FECHA DE RECIBIDO]]-DATE(2023,8,30), "")</f>
        <v/>
      </c>
    </row>
    <row r="2520" spans="1:37" ht="16.05" customHeight="1">
      <c r="A2520" s="150" t="s">
        <v>3840</v>
      </c>
      <c r="B2520" s="151">
        <v>845</v>
      </c>
      <c r="C2520" s="126" t="s">
        <v>927</v>
      </c>
      <c r="D2520">
        <v>1679</v>
      </c>
      <c r="E2520" s="126" t="s">
        <v>3276</v>
      </c>
      <c r="F2520" s="122" t="s">
        <v>1589</v>
      </c>
      <c r="G2520" s="122" t="s">
        <v>129</v>
      </c>
      <c r="H2520">
        <v>377</v>
      </c>
      <c r="I2520" s="122" t="s">
        <v>1546</v>
      </c>
      <c r="J2520" s="307" t="s">
        <v>214</v>
      </c>
      <c r="K2520" s="127" t="s">
        <v>3806</v>
      </c>
      <c r="L2520" s="151" t="s">
        <v>3306</v>
      </c>
      <c r="M2520">
        <v>497</v>
      </c>
      <c r="N2520" s="123">
        <v>1</v>
      </c>
      <c r="O2520">
        <v>1655</v>
      </c>
      <c r="P2520" s="132" t="s">
        <v>77</v>
      </c>
      <c r="Q2520" s="131">
        <v>60375</v>
      </c>
      <c r="R2520" s="131">
        <v>9660</v>
      </c>
      <c r="S2520" s="131"/>
      <c r="T2520" s="155">
        <v>6440</v>
      </c>
      <c r="U2520" s="131">
        <v>6037.52</v>
      </c>
      <c r="V2520" s="131">
        <v>57557.479999999996</v>
      </c>
      <c r="W2520">
        <v>216</v>
      </c>
      <c r="X2520" s="151" t="s">
        <v>2041</v>
      </c>
      <c r="Y2520" s="135" t="s">
        <v>55</v>
      </c>
      <c r="Z2520" s="307">
        <v>240</v>
      </c>
      <c r="AB2520" t="str">
        <f>IF(Table1[[#This Row],[TIPO2]]="costo", VLOOKUP(Table1[[#This Row],[PARTIDA PRESUPUESTAL]],'Cost Report'!G:G,1,0),"Balance")</f>
        <v>3292-003</v>
      </c>
      <c r="AC2520" s="118"/>
      <c r="AD2520" s="159">
        <f>+Table1[[#This Row],[SUBTOTAL]]+Table1[[#This Row],[IVA]]-Table1[[#This Row],[RET IVA]]-Table1[[#This Row],[RET ISR]]-Table1[[#This Row],[TOTAL]]</f>
        <v>0</v>
      </c>
      <c r="AE2520" s="150"/>
      <c r="AF2520" s="151"/>
      <c r="AG2520" s="126"/>
      <c r="AK2520" s="306" t="str">
        <f>IF(ISNUMBER(Table1[[#This Row],[FECHA DE RECIBIDO]]), Table1[[#This Row],[FECHA DE RECIBIDO]]-DATE(2023,8,30), "")</f>
        <v/>
      </c>
    </row>
    <row r="2521" spans="1:37" ht="16.05" customHeight="1">
      <c r="A2521" s="152" t="s">
        <v>3840</v>
      </c>
      <c r="B2521" s="153">
        <v>845</v>
      </c>
      <c r="C2521" s="126" t="s">
        <v>2745</v>
      </c>
      <c r="D2521">
        <v>1679</v>
      </c>
      <c r="E2521" s="126" t="s">
        <v>3276</v>
      </c>
      <c r="F2521" s="125" t="s">
        <v>1589</v>
      </c>
      <c r="G2521" s="125" t="s">
        <v>129</v>
      </c>
      <c r="H2521">
        <v>377</v>
      </c>
      <c r="I2521" s="125" t="s">
        <v>1546</v>
      </c>
      <c r="J2521" s="308" t="s">
        <v>214</v>
      </c>
      <c r="K2521" s="127" t="s">
        <v>3806</v>
      </c>
      <c r="L2521" s="153" t="s">
        <v>3306</v>
      </c>
      <c r="M2521">
        <v>497</v>
      </c>
      <c r="N2521" s="123">
        <v>1</v>
      </c>
      <c r="O2521">
        <v>1655</v>
      </c>
      <c r="P2521" s="132" t="s">
        <v>77</v>
      </c>
      <c r="Q2521" s="132">
        <v>5250</v>
      </c>
      <c r="R2521" s="132">
        <v>840</v>
      </c>
      <c r="S2521" s="132"/>
      <c r="T2521" s="156">
        <v>560</v>
      </c>
      <c r="U2521" s="132">
        <v>525</v>
      </c>
      <c r="V2521" s="132">
        <v>5005</v>
      </c>
      <c r="W2521">
        <v>216</v>
      </c>
      <c r="X2521" s="153" t="s">
        <v>2041</v>
      </c>
      <c r="Y2521" s="124" t="s">
        <v>55</v>
      </c>
      <c r="Z2521" s="308">
        <v>240</v>
      </c>
      <c r="AB2521" t="str">
        <f>IF(Table1[[#This Row],[TIPO2]]="costo", VLOOKUP(Table1[[#This Row],[PARTIDA PRESUPUESTAL]],'Cost Report'!G:G,1,0),"Balance")</f>
        <v>3292-007</v>
      </c>
      <c r="AC2521" s="118"/>
      <c r="AD2521" s="159">
        <f>+Table1[[#This Row],[SUBTOTAL]]+Table1[[#This Row],[IVA]]-Table1[[#This Row],[RET IVA]]-Table1[[#This Row],[RET ISR]]-Table1[[#This Row],[TOTAL]]</f>
        <v>0</v>
      </c>
      <c r="AE2521" s="152"/>
      <c r="AF2521" s="153"/>
      <c r="AG2521" s="126"/>
      <c r="AK2521" s="306" t="str">
        <f>IF(ISNUMBER(Table1[[#This Row],[FECHA DE RECIBIDO]]), Table1[[#This Row],[FECHA DE RECIBIDO]]-DATE(2023,8,30), "")</f>
        <v/>
      </c>
    </row>
    <row r="2522" spans="1:37" ht="16.05" customHeight="1">
      <c r="A2522" s="150" t="s">
        <v>3841</v>
      </c>
      <c r="B2522" s="151">
        <v>846</v>
      </c>
      <c r="C2522" s="126" t="s">
        <v>258</v>
      </c>
      <c r="D2522">
        <v>1680</v>
      </c>
      <c r="E2522" s="126" t="s">
        <v>1595</v>
      </c>
      <c r="F2522" s="122" t="s">
        <v>1607</v>
      </c>
      <c r="G2522" s="122" t="s">
        <v>134</v>
      </c>
      <c r="H2522">
        <v>489</v>
      </c>
      <c r="I2522" s="122" t="s">
        <v>1546</v>
      </c>
      <c r="J2522" s="307" t="s">
        <v>214</v>
      </c>
      <c r="K2522" s="127" t="s">
        <v>3806</v>
      </c>
      <c r="L2522" s="151" t="s">
        <v>3306</v>
      </c>
      <c r="M2522">
        <v>712</v>
      </c>
      <c r="N2522" s="123">
        <v>1</v>
      </c>
      <c r="O2522">
        <v>1656</v>
      </c>
      <c r="P2522" s="132" t="s">
        <v>77</v>
      </c>
      <c r="Q2522" s="131">
        <v>69300</v>
      </c>
      <c r="R2522" s="131">
        <v>11088</v>
      </c>
      <c r="S2522" s="131"/>
      <c r="T2522" s="155">
        <v>0</v>
      </c>
      <c r="U2522" s="131">
        <v>0</v>
      </c>
      <c r="V2522" s="131">
        <v>80388</v>
      </c>
      <c r="W2522">
        <v>261</v>
      </c>
      <c r="X2522" s="151" t="s">
        <v>135</v>
      </c>
      <c r="Y2522" s="135" t="s">
        <v>55</v>
      </c>
      <c r="Z2522" s="307">
        <v>240</v>
      </c>
      <c r="AB2522" t="str">
        <f>IF(Table1[[#This Row],[TIPO2]]="costo", VLOOKUP(Table1[[#This Row],[PARTIDA PRESUPUESTAL]],'Cost Report'!G:G,1,0),"Balance")</f>
        <v>1301-011</v>
      </c>
      <c r="AC2522" s="118"/>
      <c r="AD2522" s="159">
        <f>+Table1[[#This Row],[SUBTOTAL]]+Table1[[#This Row],[IVA]]-Table1[[#This Row],[RET IVA]]-Table1[[#This Row],[RET ISR]]-Table1[[#This Row],[TOTAL]]</f>
        <v>0</v>
      </c>
      <c r="AE2522" s="150"/>
      <c r="AF2522" s="151"/>
      <c r="AG2522" s="126"/>
      <c r="AK2522" s="306" t="str">
        <f>IF(ISNUMBER(Table1[[#This Row],[FECHA DE RECIBIDO]]), Table1[[#This Row],[FECHA DE RECIBIDO]]-DATE(2023,8,30), "")</f>
        <v/>
      </c>
    </row>
    <row r="2523" spans="1:37" ht="16.05" customHeight="1">
      <c r="A2523" s="152"/>
      <c r="B2523" s="153">
        <v>847</v>
      </c>
      <c r="C2523" s="126" t="s">
        <v>272</v>
      </c>
      <c r="D2523">
        <v>1681</v>
      </c>
      <c r="E2523" s="126">
        <v>3100</v>
      </c>
      <c r="F2523" s="125">
        <v>601</v>
      </c>
      <c r="G2523" s="125" t="s">
        <v>134</v>
      </c>
      <c r="H2523">
        <v>489</v>
      </c>
      <c r="I2523" s="125" t="s">
        <v>1546</v>
      </c>
      <c r="J2523" s="308">
        <v>237.58543981481489</v>
      </c>
      <c r="K2523" s="127" t="s">
        <v>3806</v>
      </c>
      <c r="L2523" s="153" t="s">
        <v>3306</v>
      </c>
      <c r="M2523">
        <v>712</v>
      </c>
      <c r="N2523" s="123">
        <v>1</v>
      </c>
      <c r="O2523">
        <v>1657</v>
      </c>
      <c r="P2523" s="132" t="s">
        <v>77</v>
      </c>
      <c r="Q2523" s="132">
        <v>29250</v>
      </c>
      <c r="R2523" s="132">
        <v>4680</v>
      </c>
      <c r="S2523" s="132"/>
      <c r="T2523" s="156">
        <v>0</v>
      </c>
      <c r="U2523" s="132">
        <v>0</v>
      </c>
      <c r="V2523" s="132">
        <v>33930</v>
      </c>
      <c r="W2523">
        <v>261</v>
      </c>
      <c r="X2523" s="153" t="s">
        <v>135</v>
      </c>
      <c r="Y2523" s="124" t="s">
        <v>55</v>
      </c>
      <c r="Z2523" s="308">
        <v>240</v>
      </c>
      <c r="AB2523" t="str">
        <f>IF(Table1[[#This Row],[TIPO2]]="costo", VLOOKUP(Table1[[#This Row],[PARTIDA PRESUPUESTAL]],'Cost Report'!G:G,1,0),"Balance")</f>
        <v>1302-004</v>
      </c>
      <c r="AC2523" s="118"/>
      <c r="AD2523" s="159">
        <f>+Table1[[#This Row],[SUBTOTAL]]+Table1[[#This Row],[IVA]]-Table1[[#This Row],[RET IVA]]-Table1[[#This Row],[RET ISR]]-Table1[[#This Row],[TOTAL]]</f>
        <v>0</v>
      </c>
      <c r="AE2523" s="152"/>
      <c r="AF2523" s="153"/>
      <c r="AG2523" s="126"/>
      <c r="AK2523" s="306">
        <f>IF(ISNUMBER(Table1[[#This Row],[FECHA DE RECIBIDO]]), Table1[[#This Row],[FECHA DE RECIBIDO]]-DATE(2023,8,30), "")</f>
        <v>-44930.414560185185</v>
      </c>
    </row>
    <row r="2524" spans="1:37" ht="16.05" customHeight="1">
      <c r="A2524" s="150" t="s">
        <v>3842</v>
      </c>
      <c r="B2524" s="151">
        <v>848</v>
      </c>
      <c r="C2524" s="126" t="s">
        <v>2732</v>
      </c>
      <c r="D2524">
        <v>1682</v>
      </c>
      <c r="E2524" s="126" t="s">
        <v>3843</v>
      </c>
      <c r="F2524" s="122" t="s">
        <v>1593</v>
      </c>
      <c r="G2524" s="122" t="s">
        <v>109</v>
      </c>
      <c r="H2524">
        <v>490</v>
      </c>
      <c r="I2524" s="122" t="s">
        <v>1546</v>
      </c>
      <c r="J2524" s="307" t="s">
        <v>214</v>
      </c>
      <c r="K2524" s="127" t="s">
        <v>3806</v>
      </c>
      <c r="L2524" s="151" t="s">
        <v>3306</v>
      </c>
      <c r="M2524">
        <v>713</v>
      </c>
      <c r="N2524" s="123">
        <v>1</v>
      </c>
      <c r="O2524">
        <v>1658</v>
      </c>
      <c r="P2524" s="132" t="s">
        <v>77</v>
      </c>
      <c r="Q2524" s="131">
        <v>91800</v>
      </c>
      <c r="R2524" s="131">
        <v>14688</v>
      </c>
      <c r="S2524" s="131"/>
      <c r="T2524" s="155">
        <v>0</v>
      </c>
      <c r="U2524" s="131">
        <v>0</v>
      </c>
      <c r="V2524" s="131">
        <v>106488</v>
      </c>
      <c r="W2524">
        <v>262</v>
      </c>
      <c r="X2524" s="151" t="s">
        <v>2041</v>
      </c>
      <c r="Y2524" s="135" t="s">
        <v>55</v>
      </c>
      <c r="Z2524" s="307">
        <v>240</v>
      </c>
      <c r="AB2524" t="str">
        <f>IF(Table1[[#This Row],[TIPO2]]="costo", VLOOKUP(Table1[[#This Row],[PARTIDA PRESUPUESTAL]],'Cost Report'!G:G,1,0),"Balance")</f>
        <v>3193-111</v>
      </c>
      <c r="AC2524" s="118"/>
      <c r="AD2524" s="159">
        <f>+Table1[[#This Row],[SUBTOTAL]]+Table1[[#This Row],[IVA]]-Table1[[#This Row],[RET IVA]]-Table1[[#This Row],[RET ISR]]-Table1[[#This Row],[TOTAL]]</f>
        <v>0</v>
      </c>
      <c r="AE2524" s="150"/>
      <c r="AF2524" s="151"/>
      <c r="AG2524" s="126"/>
      <c r="AK2524" s="306" t="str">
        <f>IF(ISNUMBER(Table1[[#This Row],[FECHA DE RECIBIDO]]), Table1[[#This Row],[FECHA DE RECIBIDO]]-DATE(2023,8,30), "")</f>
        <v/>
      </c>
    </row>
    <row r="2525" spans="1:37" ht="16.05" customHeight="1">
      <c r="A2525" s="152" t="s">
        <v>3844</v>
      </c>
      <c r="B2525" s="153">
        <v>849</v>
      </c>
      <c r="C2525" s="126" t="s">
        <v>69</v>
      </c>
      <c r="D2525"/>
      <c r="E2525" s="126" t="s">
        <v>1911</v>
      </c>
      <c r="F2525" s="125" t="s">
        <v>1911</v>
      </c>
      <c r="G2525" s="125" t="s">
        <v>1911</v>
      </c>
      <c r="H2525"/>
      <c r="I2525" s="125" t="s">
        <v>1911</v>
      </c>
      <c r="J2525" s="308" t="s">
        <v>214</v>
      </c>
      <c r="K2525" s="127" t="s">
        <v>3806</v>
      </c>
      <c r="L2525" s="153" t="s">
        <v>3306</v>
      </c>
      <c r="M2525">
        <v>702</v>
      </c>
      <c r="N2525" s="123">
        <v>24</v>
      </c>
      <c r="O2525">
        <v>1632</v>
      </c>
      <c r="P2525" s="131" t="s">
        <v>78</v>
      </c>
      <c r="Q2525" s="236">
        <v>69600</v>
      </c>
      <c r="R2525" s="132">
        <v>0</v>
      </c>
      <c r="S2525" s="132"/>
      <c r="T2525" s="156">
        <v>0</v>
      </c>
      <c r="U2525" s="132">
        <v>0</v>
      </c>
      <c r="V2525" s="132">
        <v>69600</v>
      </c>
      <c r="W2525">
        <v>250</v>
      </c>
      <c r="X2525" s="153" t="s">
        <v>3817</v>
      </c>
      <c r="Y2525" s="124" t="s">
        <v>55</v>
      </c>
      <c r="Z2525" s="308">
        <v>240</v>
      </c>
      <c r="AB2525" t="str">
        <f>IF(Table1[[#This Row],[TIPO2]]="costo", VLOOKUP(Table1[[#This Row],[PARTIDA PRESUPUESTAL]],'Cost Report'!G:G,1,0),"Balance")</f>
        <v>Balance</v>
      </c>
      <c r="AC2525" s="118"/>
      <c r="AD2525" s="159">
        <f>+Table1[[#This Row],[SUBTOTAL]]+Table1[[#This Row],[IVA]]-Table1[[#This Row],[RET IVA]]-Table1[[#This Row],[RET ISR]]-Table1[[#This Row],[TOTAL]]</f>
        <v>0</v>
      </c>
      <c r="AE2525" s="152"/>
      <c r="AF2525" s="153"/>
      <c r="AG2525" s="126"/>
      <c r="AK2525" s="306" t="str">
        <f>IF(ISNUMBER(Table1[[#This Row],[FECHA DE RECIBIDO]]), Table1[[#This Row],[FECHA DE RECIBIDO]]-DATE(2023,8,30), "")</f>
        <v/>
      </c>
    </row>
    <row r="2526" spans="1:37" ht="16.05" customHeight="1">
      <c r="A2526" s="150" t="s">
        <v>3845</v>
      </c>
      <c r="B2526" s="151">
        <v>850</v>
      </c>
      <c r="C2526" s="126" t="s">
        <v>2824</v>
      </c>
      <c r="D2526">
        <v>1683</v>
      </c>
      <c r="E2526" s="126">
        <v>45010</v>
      </c>
      <c r="F2526" s="122">
        <v>601</v>
      </c>
      <c r="G2526" s="122" t="s">
        <v>134</v>
      </c>
      <c r="H2526">
        <v>491</v>
      </c>
      <c r="I2526" s="122" t="s">
        <v>1546</v>
      </c>
      <c r="J2526" s="307">
        <v>230.55913194444292</v>
      </c>
      <c r="K2526" s="127" t="s">
        <v>3806</v>
      </c>
      <c r="L2526" s="151" t="s">
        <v>3306</v>
      </c>
      <c r="M2526">
        <v>714</v>
      </c>
      <c r="N2526" s="123">
        <v>24</v>
      </c>
      <c r="O2526">
        <v>1659</v>
      </c>
      <c r="P2526" s="132" t="s">
        <v>77</v>
      </c>
      <c r="Q2526" s="131">
        <v>25000</v>
      </c>
      <c r="R2526" s="131">
        <v>4000</v>
      </c>
      <c r="S2526" s="131"/>
      <c r="T2526" s="155">
        <v>0</v>
      </c>
      <c r="U2526" s="131">
        <v>0</v>
      </c>
      <c r="V2526" s="131">
        <v>29000</v>
      </c>
      <c r="W2526">
        <v>263</v>
      </c>
      <c r="X2526" s="151" t="s">
        <v>2041</v>
      </c>
      <c r="Y2526" s="135" t="s">
        <v>55</v>
      </c>
      <c r="Z2526" s="307">
        <v>240</v>
      </c>
      <c r="AB2526" t="str">
        <f>IF(Table1[[#This Row],[TIPO2]]="costo", VLOOKUP(Table1[[#This Row],[PARTIDA PRESUPUESTAL]],'Cost Report'!G:G,1,0),"Balance")</f>
        <v>3412-131</v>
      </c>
      <c r="AC2526" s="118"/>
      <c r="AD2526" s="159">
        <f>+Table1[[#This Row],[SUBTOTAL]]+Table1[[#This Row],[IVA]]-Table1[[#This Row],[RET IVA]]-Table1[[#This Row],[RET ISR]]-Table1[[#This Row],[TOTAL]]</f>
        <v>0</v>
      </c>
      <c r="AE2526" s="150"/>
      <c r="AF2526" s="151"/>
      <c r="AG2526" s="126"/>
      <c r="AK2526" s="306">
        <f>IF(ISNUMBER(Table1[[#This Row],[FECHA DE RECIBIDO]]), Table1[[#This Row],[FECHA DE RECIBIDO]]-DATE(2023,8,30), "")</f>
        <v>-44937.440868055557</v>
      </c>
    </row>
    <row r="2527" spans="1:37" ht="16.05" customHeight="1">
      <c r="A2527" s="152" t="s">
        <v>3846</v>
      </c>
      <c r="B2527" s="153">
        <v>851</v>
      </c>
      <c r="C2527" s="126" t="s">
        <v>1753</v>
      </c>
      <c r="D2527">
        <v>1684</v>
      </c>
      <c r="E2527" s="126" t="s">
        <v>3636</v>
      </c>
      <c r="F2527" s="125" t="s">
        <v>1607</v>
      </c>
      <c r="G2527" s="125" t="s">
        <v>134</v>
      </c>
      <c r="H2527">
        <v>443</v>
      </c>
      <c r="I2527" s="125" t="s">
        <v>1546</v>
      </c>
      <c r="J2527" s="308" t="s">
        <v>214</v>
      </c>
      <c r="K2527" s="127" t="s">
        <v>3806</v>
      </c>
      <c r="L2527" s="153" t="s">
        <v>3306</v>
      </c>
      <c r="M2527">
        <v>612</v>
      </c>
      <c r="N2527" s="123">
        <v>1</v>
      </c>
      <c r="O2527">
        <v>1660</v>
      </c>
      <c r="P2527" s="132" t="s">
        <v>77</v>
      </c>
      <c r="Q2527" s="132">
        <v>18000</v>
      </c>
      <c r="R2527" s="132">
        <v>2880</v>
      </c>
      <c r="S2527" s="132"/>
      <c r="T2527" s="156">
        <v>0</v>
      </c>
      <c r="U2527" s="132">
        <v>0</v>
      </c>
      <c r="V2527" s="132">
        <v>20880</v>
      </c>
      <c r="W2527">
        <v>230</v>
      </c>
      <c r="X2527" s="153" t="s">
        <v>3796</v>
      </c>
      <c r="Y2527" s="124" t="s">
        <v>55</v>
      </c>
      <c r="Z2527" s="308">
        <v>240</v>
      </c>
      <c r="AB2527" t="str">
        <f>IF(Table1[[#This Row],[TIPO2]]="costo", VLOOKUP(Table1[[#This Row],[PARTIDA PRESUPUESTAL]],'Cost Report'!G:G,1,0),"Balance")</f>
        <v>2623-007</v>
      </c>
      <c r="AC2527" s="118"/>
      <c r="AD2527" s="159">
        <f>+Table1[[#This Row],[SUBTOTAL]]+Table1[[#This Row],[IVA]]-Table1[[#This Row],[RET IVA]]-Table1[[#This Row],[RET ISR]]-Table1[[#This Row],[TOTAL]]</f>
        <v>0</v>
      </c>
      <c r="AE2527" s="152"/>
      <c r="AF2527" s="153"/>
      <c r="AG2527" s="126"/>
      <c r="AK2527" s="306" t="str">
        <f>IF(ISNUMBER(Table1[[#This Row],[FECHA DE RECIBIDO]]), Table1[[#This Row],[FECHA DE RECIBIDO]]-DATE(2023,8,30), "")</f>
        <v/>
      </c>
    </row>
    <row r="2528" spans="1:37" ht="16.05" customHeight="1">
      <c r="A2528" s="150" t="s">
        <v>3846</v>
      </c>
      <c r="B2528" s="151">
        <v>851</v>
      </c>
      <c r="C2528" s="126" t="s">
        <v>2575</v>
      </c>
      <c r="D2528">
        <v>1684</v>
      </c>
      <c r="E2528" s="126" t="s">
        <v>3636</v>
      </c>
      <c r="F2528" s="122" t="s">
        <v>1607</v>
      </c>
      <c r="G2528" s="122" t="s">
        <v>134</v>
      </c>
      <c r="H2528">
        <v>443</v>
      </c>
      <c r="I2528" s="122" t="s">
        <v>1546</v>
      </c>
      <c r="J2528" s="307" t="s">
        <v>214</v>
      </c>
      <c r="K2528" s="127" t="s">
        <v>3806</v>
      </c>
      <c r="L2528" s="151" t="s">
        <v>3306</v>
      </c>
      <c r="M2528">
        <v>612</v>
      </c>
      <c r="N2528" s="123">
        <v>1</v>
      </c>
      <c r="O2528">
        <v>1660</v>
      </c>
      <c r="P2528" s="132" t="s">
        <v>77</v>
      </c>
      <c r="Q2528" s="131">
        <v>22000</v>
      </c>
      <c r="R2528" s="131">
        <f>+Table1[[#This Row],[SUBTOTAL]]*0.16</f>
        <v>3520</v>
      </c>
      <c r="S2528" s="131"/>
      <c r="T2528" s="155">
        <v>0</v>
      </c>
      <c r="U2528" s="131">
        <v>0</v>
      </c>
      <c r="V2528" s="131">
        <f>+Table1[[#This Row],[SUBTOTAL]]+Table1[[#This Row],[IVA]]</f>
        <v>25520</v>
      </c>
      <c r="W2528">
        <v>230</v>
      </c>
      <c r="X2528" s="151" t="s">
        <v>3796</v>
      </c>
      <c r="Y2528" s="135" t="s">
        <v>55</v>
      </c>
      <c r="Z2528" s="307">
        <v>240</v>
      </c>
      <c r="AB2528" t="str">
        <f>IF(Table1[[#This Row],[TIPO2]]="costo", VLOOKUP(Table1[[#This Row],[PARTIDA PRESUPUESTAL]],'Cost Report'!G:G,1,0),"Balance")</f>
        <v>2621-004</v>
      </c>
      <c r="AC2528" s="118"/>
      <c r="AD2528" s="159">
        <f>+Table1[[#This Row],[SUBTOTAL]]+Table1[[#This Row],[IVA]]-Table1[[#This Row],[RET IVA]]-Table1[[#This Row],[RET ISR]]-Table1[[#This Row],[TOTAL]]</f>
        <v>0</v>
      </c>
      <c r="AE2528" s="150"/>
      <c r="AF2528" s="151"/>
      <c r="AG2528" s="126"/>
      <c r="AK2528" s="306" t="str">
        <f>IF(ISNUMBER(Table1[[#This Row],[FECHA DE RECIBIDO]]), Table1[[#This Row],[FECHA DE RECIBIDO]]-DATE(2023,8,30), "")</f>
        <v/>
      </c>
    </row>
    <row r="2529" spans="1:37" ht="16.05" customHeight="1">
      <c r="A2529" s="152" t="s">
        <v>3846</v>
      </c>
      <c r="B2529" s="153">
        <v>851</v>
      </c>
      <c r="C2529" s="126" t="s">
        <v>1753</v>
      </c>
      <c r="D2529">
        <v>1684</v>
      </c>
      <c r="E2529" s="126" t="s">
        <v>3636</v>
      </c>
      <c r="F2529" s="125" t="s">
        <v>1607</v>
      </c>
      <c r="G2529" s="125" t="s">
        <v>134</v>
      </c>
      <c r="H2529">
        <v>443</v>
      </c>
      <c r="I2529" s="125" t="s">
        <v>1546</v>
      </c>
      <c r="J2529" s="308" t="s">
        <v>214</v>
      </c>
      <c r="K2529" s="127" t="s">
        <v>3806</v>
      </c>
      <c r="L2529" s="153" t="s">
        <v>3306</v>
      </c>
      <c r="M2529">
        <v>612</v>
      </c>
      <c r="N2529" s="123">
        <v>1</v>
      </c>
      <c r="O2529">
        <v>1660</v>
      </c>
      <c r="P2529" s="132" t="s">
        <v>77</v>
      </c>
      <c r="Q2529" s="132">
        <v>22000</v>
      </c>
      <c r="R2529" s="132">
        <f>+Table1[[#This Row],[SUBTOTAL]]*0.16</f>
        <v>3520</v>
      </c>
      <c r="S2529" s="132"/>
      <c r="T2529" s="156">
        <v>0</v>
      </c>
      <c r="U2529" s="132">
        <v>0</v>
      </c>
      <c r="V2529" s="132">
        <f>+Table1[[#This Row],[SUBTOTAL]]+Table1[[#This Row],[IVA]]</f>
        <v>25520</v>
      </c>
      <c r="W2529">
        <v>230</v>
      </c>
      <c r="X2529" s="153" t="s">
        <v>3796</v>
      </c>
      <c r="Y2529" s="124" t="s">
        <v>55</v>
      </c>
      <c r="Z2529" s="308">
        <v>240</v>
      </c>
      <c r="AB2529" t="str">
        <f>IF(Table1[[#This Row],[TIPO2]]="costo", VLOOKUP(Table1[[#This Row],[PARTIDA PRESUPUESTAL]],'Cost Report'!G:G,1,0),"Balance")</f>
        <v>2623-007</v>
      </c>
      <c r="AC2529" s="118"/>
      <c r="AD2529" s="159">
        <f>+Table1[[#This Row],[SUBTOTAL]]+Table1[[#This Row],[IVA]]-Table1[[#This Row],[RET IVA]]-Table1[[#This Row],[RET ISR]]-Table1[[#This Row],[TOTAL]]</f>
        <v>0</v>
      </c>
      <c r="AE2529" s="152"/>
      <c r="AF2529" s="153"/>
      <c r="AG2529" s="126"/>
      <c r="AK2529" s="306" t="str">
        <f>IF(ISNUMBER(Table1[[#This Row],[FECHA DE RECIBIDO]]), Table1[[#This Row],[FECHA DE RECIBIDO]]-DATE(2023,8,30), "")</f>
        <v/>
      </c>
    </row>
    <row r="2530" spans="1:37" ht="16.05" customHeight="1">
      <c r="A2530" s="150" t="s">
        <v>3847</v>
      </c>
      <c r="B2530" s="151">
        <v>852</v>
      </c>
      <c r="C2530" s="126" t="s">
        <v>615</v>
      </c>
      <c r="D2530">
        <v>1685</v>
      </c>
      <c r="E2530" s="126" t="s">
        <v>1645</v>
      </c>
      <c r="F2530" s="122" t="s">
        <v>1593</v>
      </c>
      <c r="G2530" s="122" t="s">
        <v>109</v>
      </c>
      <c r="H2530">
        <v>334</v>
      </c>
      <c r="I2530" s="122" t="s">
        <v>1546</v>
      </c>
      <c r="J2530" s="307" t="s">
        <v>214</v>
      </c>
      <c r="K2530" s="127" t="s">
        <v>3806</v>
      </c>
      <c r="L2530" s="151" t="s">
        <v>3306</v>
      </c>
      <c r="M2530">
        <v>449</v>
      </c>
      <c r="N2530" s="123">
        <v>1</v>
      </c>
      <c r="O2530">
        <v>1661</v>
      </c>
      <c r="P2530" s="132" t="s">
        <v>77</v>
      </c>
      <c r="Q2530" s="131">
        <v>35000</v>
      </c>
      <c r="R2530" s="131">
        <v>5600</v>
      </c>
      <c r="S2530" s="131"/>
      <c r="T2530" s="155">
        <v>3733.35</v>
      </c>
      <c r="U2530" s="131">
        <v>437.5</v>
      </c>
      <c r="V2530" s="131">
        <v>36429.15</v>
      </c>
      <c r="W2530">
        <v>132</v>
      </c>
      <c r="X2530" s="151" t="s">
        <v>1430</v>
      </c>
      <c r="Y2530" s="135" t="s">
        <v>55</v>
      </c>
      <c r="Z2530" s="307">
        <v>240</v>
      </c>
      <c r="AB2530" t="str">
        <f>IF(Table1[[#This Row],[TIPO2]]="costo", VLOOKUP(Table1[[#This Row],[PARTIDA PRESUPUESTAL]],'Cost Report'!G:G,1,0),"Balance")</f>
        <v>2495-003</v>
      </c>
      <c r="AC2530" s="118"/>
      <c r="AD2530" s="159">
        <f>+Table1[[#This Row],[SUBTOTAL]]+Table1[[#This Row],[IVA]]-Table1[[#This Row],[RET IVA]]-Table1[[#This Row],[RET ISR]]-Table1[[#This Row],[TOTAL]]</f>
        <v>0</v>
      </c>
      <c r="AE2530" s="150"/>
      <c r="AF2530" s="151"/>
      <c r="AG2530" s="126"/>
      <c r="AK2530" s="306" t="str">
        <f>IF(ISNUMBER(Table1[[#This Row],[FECHA DE RECIBIDO]]), Table1[[#This Row],[FECHA DE RECIBIDO]]-DATE(2023,8,30), "")</f>
        <v/>
      </c>
    </row>
    <row r="2531" spans="1:37" ht="16.05" customHeight="1">
      <c r="A2531" s="152" t="s">
        <v>3848</v>
      </c>
      <c r="B2531" s="153">
        <v>853</v>
      </c>
      <c r="C2531" s="126" t="s">
        <v>2789</v>
      </c>
      <c r="D2531">
        <v>1686</v>
      </c>
      <c r="E2531" s="126" t="s">
        <v>3637</v>
      </c>
      <c r="F2531" s="125" t="s">
        <v>1593</v>
      </c>
      <c r="G2531" s="125" t="s">
        <v>109</v>
      </c>
      <c r="H2531">
        <v>258</v>
      </c>
      <c r="I2531" s="125" t="s">
        <v>1546</v>
      </c>
      <c r="J2531" s="308" t="s">
        <v>214</v>
      </c>
      <c r="K2531" s="127" t="s">
        <v>3806</v>
      </c>
      <c r="L2531" s="153" t="s">
        <v>3306</v>
      </c>
      <c r="M2531">
        <v>451</v>
      </c>
      <c r="N2531" s="123">
        <v>1</v>
      </c>
      <c r="O2531">
        <v>1662</v>
      </c>
      <c r="P2531" s="132" t="s">
        <v>77</v>
      </c>
      <c r="Q2531" s="132">
        <v>5000</v>
      </c>
      <c r="R2531" s="132">
        <v>800</v>
      </c>
      <c r="S2531" s="132"/>
      <c r="T2531" s="156">
        <v>533.34</v>
      </c>
      <c r="U2531" s="132">
        <v>62.5</v>
      </c>
      <c r="V2531" s="132">
        <v>5204.16</v>
      </c>
      <c r="W2531">
        <v>157</v>
      </c>
      <c r="X2531" s="153" t="s">
        <v>1429</v>
      </c>
      <c r="Y2531" s="124" t="s">
        <v>55</v>
      </c>
      <c r="Z2531" s="308">
        <v>240</v>
      </c>
      <c r="AB2531" t="str">
        <f>IF(Table1[[#This Row],[TIPO2]]="costo", VLOOKUP(Table1[[#This Row],[PARTIDA PRESUPUESTAL]],'Cost Report'!G:G,1,0),"Balance")</f>
        <v>3408-003</v>
      </c>
      <c r="AC2531" s="118"/>
      <c r="AD2531" s="159">
        <f>+Table1[[#This Row],[SUBTOTAL]]+Table1[[#This Row],[IVA]]-Table1[[#This Row],[RET IVA]]-Table1[[#This Row],[RET ISR]]-Table1[[#This Row],[TOTAL]]</f>
        <v>0</v>
      </c>
      <c r="AE2531" s="152"/>
      <c r="AF2531" s="153"/>
      <c r="AG2531" s="126"/>
      <c r="AK2531" s="306" t="str">
        <f>IF(ISNUMBER(Table1[[#This Row],[FECHA DE RECIBIDO]]), Table1[[#This Row],[FECHA DE RECIBIDO]]-DATE(2023,8,30), "")</f>
        <v/>
      </c>
    </row>
    <row r="2532" spans="1:37" ht="16.05" customHeight="1">
      <c r="A2532" s="150" t="s">
        <v>3849</v>
      </c>
      <c r="B2532" s="151">
        <v>854</v>
      </c>
      <c r="C2532" s="126" t="s">
        <v>2854</v>
      </c>
      <c r="D2532">
        <v>1687</v>
      </c>
      <c r="E2532" s="126" t="s">
        <v>3636</v>
      </c>
      <c r="F2532" s="122" t="s">
        <v>1607</v>
      </c>
      <c r="G2532" s="122" t="s">
        <v>134</v>
      </c>
      <c r="H2532">
        <v>333</v>
      </c>
      <c r="I2532" s="122" t="s">
        <v>1546</v>
      </c>
      <c r="J2532" s="307" t="s">
        <v>214</v>
      </c>
      <c r="K2532" s="127" t="s">
        <v>3806</v>
      </c>
      <c r="L2532" s="151" t="s">
        <v>3306</v>
      </c>
      <c r="M2532">
        <v>447</v>
      </c>
      <c r="N2532" s="123">
        <v>1</v>
      </c>
      <c r="O2532">
        <v>1663</v>
      </c>
      <c r="P2532" s="132" t="s">
        <v>77</v>
      </c>
      <c r="Q2532" s="131">
        <v>23000</v>
      </c>
      <c r="R2532" s="131">
        <v>3680</v>
      </c>
      <c r="S2532" s="131"/>
      <c r="T2532" s="155">
        <v>0</v>
      </c>
      <c r="U2532" s="131">
        <v>0</v>
      </c>
      <c r="V2532" s="131">
        <v>26680</v>
      </c>
      <c r="W2532">
        <v>171</v>
      </c>
      <c r="X2532" s="151" t="s">
        <v>3683</v>
      </c>
      <c r="Y2532" s="135" t="s">
        <v>55</v>
      </c>
      <c r="Z2532" s="307">
        <v>240</v>
      </c>
      <c r="AB2532" t="str">
        <f>IF(Table1[[#This Row],[TIPO2]]="costo", VLOOKUP(Table1[[#This Row],[PARTIDA PRESUPUESTAL]],'Cost Report'!G:G,1,0),"Balance")</f>
        <v>3583-004</v>
      </c>
      <c r="AC2532" s="118"/>
      <c r="AD2532" s="159">
        <f>+Table1[[#This Row],[SUBTOTAL]]+Table1[[#This Row],[IVA]]-Table1[[#This Row],[RET IVA]]-Table1[[#This Row],[RET ISR]]-Table1[[#This Row],[TOTAL]]</f>
        <v>0</v>
      </c>
      <c r="AE2532" s="150"/>
      <c r="AF2532" s="151"/>
      <c r="AG2532" s="126"/>
      <c r="AK2532" s="306" t="str">
        <f>IF(ISNUMBER(Table1[[#This Row],[FECHA DE RECIBIDO]]), Table1[[#This Row],[FECHA DE RECIBIDO]]-DATE(2023,8,30), "")</f>
        <v/>
      </c>
    </row>
    <row r="2533" spans="1:37" ht="16.05" customHeight="1">
      <c r="A2533" s="152" t="s">
        <v>3850</v>
      </c>
      <c r="B2533" s="153">
        <v>855</v>
      </c>
      <c r="C2533" s="126" t="s">
        <v>2680</v>
      </c>
      <c r="D2533">
        <v>1688</v>
      </c>
      <c r="E2533" s="126" t="s">
        <v>1645</v>
      </c>
      <c r="F2533" s="125" t="s">
        <v>1593</v>
      </c>
      <c r="G2533" s="125" t="s">
        <v>109</v>
      </c>
      <c r="H2533">
        <v>336</v>
      </c>
      <c r="I2533" s="125" t="s">
        <v>1546</v>
      </c>
      <c r="J2533" s="308" t="s">
        <v>214</v>
      </c>
      <c r="K2533" s="127" t="s">
        <v>3806</v>
      </c>
      <c r="L2533" s="153" t="s">
        <v>3306</v>
      </c>
      <c r="M2533">
        <v>453</v>
      </c>
      <c r="N2533" s="123">
        <v>1</v>
      </c>
      <c r="O2533">
        <v>1664</v>
      </c>
      <c r="P2533" s="132" t="s">
        <v>77</v>
      </c>
      <c r="Q2533" s="132">
        <v>11540</v>
      </c>
      <c r="R2533" s="132">
        <v>1846.4</v>
      </c>
      <c r="S2533" s="132"/>
      <c r="T2533" s="156">
        <v>1230.94</v>
      </c>
      <c r="U2533" s="132">
        <v>144.25</v>
      </c>
      <c r="V2533" s="132">
        <v>12011.21</v>
      </c>
      <c r="W2533">
        <v>174</v>
      </c>
      <c r="X2533" s="153" t="s">
        <v>1429</v>
      </c>
      <c r="Y2533" s="124" t="s">
        <v>55</v>
      </c>
      <c r="Z2533" s="308">
        <v>240</v>
      </c>
      <c r="AB2533" t="str">
        <f>IF(Table1[[#This Row],[TIPO2]]="costo", VLOOKUP(Table1[[#This Row],[PARTIDA PRESUPUESTAL]],'Cost Report'!G:G,1,0),"Balance")</f>
        <v>3110-003</v>
      </c>
      <c r="AC2533" s="118"/>
      <c r="AD2533" s="159">
        <f>+Table1[[#This Row],[SUBTOTAL]]+Table1[[#This Row],[IVA]]-Table1[[#This Row],[RET IVA]]-Table1[[#This Row],[RET ISR]]-Table1[[#This Row],[TOTAL]]</f>
        <v>0</v>
      </c>
      <c r="AE2533" s="152"/>
      <c r="AF2533" s="153"/>
      <c r="AG2533" s="126"/>
      <c r="AK2533" s="306" t="str">
        <f>IF(ISNUMBER(Table1[[#This Row],[FECHA DE RECIBIDO]]), Table1[[#This Row],[FECHA DE RECIBIDO]]-DATE(2023,8,30), "")</f>
        <v/>
      </c>
    </row>
    <row r="2534" spans="1:37" ht="16.05" customHeight="1">
      <c r="A2534" s="150" t="s">
        <v>3851</v>
      </c>
      <c r="B2534" s="151">
        <v>856</v>
      </c>
      <c r="C2534" s="126" t="s">
        <v>911</v>
      </c>
      <c r="D2534">
        <v>1689</v>
      </c>
      <c r="E2534" s="126" t="s">
        <v>3237</v>
      </c>
      <c r="F2534" s="122" t="s">
        <v>1607</v>
      </c>
      <c r="G2534" s="122" t="s">
        <v>134</v>
      </c>
      <c r="H2534">
        <v>213</v>
      </c>
      <c r="I2534" s="122" t="s">
        <v>1546</v>
      </c>
      <c r="J2534" s="307" t="s">
        <v>214</v>
      </c>
      <c r="K2534" s="127" t="s">
        <v>3806</v>
      </c>
      <c r="L2534" s="151" t="s">
        <v>3306</v>
      </c>
      <c r="M2534">
        <v>715</v>
      </c>
      <c r="N2534" s="123">
        <v>1</v>
      </c>
      <c r="O2534">
        <v>1665</v>
      </c>
      <c r="P2534" s="132" t="s">
        <v>77</v>
      </c>
      <c r="Q2534" s="131">
        <v>16000</v>
      </c>
      <c r="R2534" s="131">
        <v>2560</v>
      </c>
      <c r="S2534" s="131"/>
      <c r="T2534" s="155">
        <v>0</v>
      </c>
      <c r="U2534" s="131">
        <v>0</v>
      </c>
      <c r="V2534" s="131">
        <v>18560</v>
      </c>
      <c r="W2534">
        <v>134</v>
      </c>
      <c r="X2534" s="151" t="s">
        <v>2024</v>
      </c>
      <c r="Y2534" s="135" t="s">
        <v>55</v>
      </c>
      <c r="Z2534" s="307">
        <v>240</v>
      </c>
      <c r="AB2534" t="str">
        <f>IF(Table1[[#This Row],[TIPO2]]="costo", VLOOKUP(Table1[[#This Row],[PARTIDA PRESUPUESTAL]],'Cost Report'!G:G,1,0),"Balance")</f>
        <v>3201-004</v>
      </c>
      <c r="AC2534" s="118"/>
      <c r="AD2534" s="159">
        <f>+Table1[[#This Row],[SUBTOTAL]]+Table1[[#This Row],[IVA]]-Table1[[#This Row],[RET IVA]]-Table1[[#This Row],[RET ISR]]-Table1[[#This Row],[TOTAL]]</f>
        <v>0</v>
      </c>
      <c r="AE2534" s="150"/>
      <c r="AF2534" s="151"/>
      <c r="AG2534" s="126"/>
      <c r="AK2534" s="306" t="str">
        <f>IF(ISNUMBER(Table1[[#This Row],[FECHA DE RECIBIDO]]), Table1[[#This Row],[FECHA DE RECIBIDO]]-DATE(2023,8,30), "")</f>
        <v/>
      </c>
    </row>
    <row r="2535" spans="1:37" ht="16.05" customHeight="1">
      <c r="A2535" s="152"/>
      <c r="B2535" s="153">
        <v>857</v>
      </c>
      <c r="C2535" s="126" t="s">
        <v>914</v>
      </c>
      <c r="D2535">
        <v>1690</v>
      </c>
      <c r="E2535" s="126" t="s">
        <v>3237</v>
      </c>
      <c r="F2535" s="125" t="s">
        <v>1607</v>
      </c>
      <c r="G2535" s="125" t="s">
        <v>134</v>
      </c>
      <c r="H2535">
        <v>213</v>
      </c>
      <c r="I2535" s="125" t="s">
        <v>1546</v>
      </c>
      <c r="J2535" s="308" t="s">
        <v>214</v>
      </c>
      <c r="K2535" s="127" t="s">
        <v>3806</v>
      </c>
      <c r="L2535" s="153" t="s">
        <v>3306</v>
      </c>
      <c r="M2535">
        <v>715</v>
      </c>
      <c r="N2535" s="123">
        <v>1</v>
      </c>
      <c r="O2535">
        <v>1666</v>
      </c>
      <c r="P2535" s="132" t="s">
        <v>77</v>
      </c>
      <c r="Q2535" s="132">
        <v>14000</v>
      </c>
      <c r="R2535" s="132">
        <v>2240</v>
      </c>
      <c r="S2535" s="132"/>
      <c r="T2535" s="156">
        <v>0</v>
      </c>
      <c r="U2535" s="132">
        <v>0</v>
      </c>
      <c r="V2535" s="132">
        <v>16240</v>
      </c>
      <c r="W2535">
        <v>134</v>
      </c>
      <c r="X2535" s="153" t="s">
        <v>2024</v>
      </c>
      <c r="Y2535" s="124" t="s">
        <v>55</v>
      </c>
      <c r="Z2535" s="308">
        <v>240</v>
      </c>
      <c r="AB2535" t="str">
        <f>IF(Table1[[#This Row],[TIPO2]]="costo", VLOOKUP(Table1[[#This Row],[PARTIDA PRESUPUESTAL]],'Cost Report'!G:G,1,0),"Balance")</f>
        <v>3201-007</v>
      </c>
      <c r="AC2535" s="118"/>
      <c r="AD2535" s="159">
        <f>+Table1[[#This Row],[SUBTOTAL]]+Table1[[#This Row],[IVA]]-Table1[[#This Row],[RET IVA]]-Table1[[#This Row],[RET ISR]]-Table1[[#This Row],[TOTAL]]</f>
        <v>0</v>
      </c>
      <c r="AE2535" s="152"/>
      <c r="AF2535" s="153"/>
      <c r="AG2535" s="126"/>
      <c r="AK2535" s="306" t="str">
        <f>IF(ISNUMBER(Table1[[#This Row],[FECHA DE RECIBIDO]]), Table1[[#This Row],[FECHA DE RECIBIDO]]-DATE(2023,8,30), "")</f>
        <v/>
      </c>
    </row>
    <row r="2536" spans="1:37" ht="16.05" customHeight="1">
      <c r="A2536" s="150" t="s">
        <v>3852</v>
      </c>
      <c r="B2536" s="151">
        <v>858</v>
      </c>
      <c r="C2536" s="126" t="s">
        <v>963</v>
      </c>
      <c r="D2536">
        <v>1691</v>
      </c>
      <c r="E2536" s="126" t="s">
        <v>1614</v>
      </c>
      <c r="F2536" s="122" t="s">
        <v>1602</v>
      </c>
      <c r="G2536" s="122" t="s">
        <v>1617</v>
      </c>
      <c r="H2536">
        <v>492</v>
      </c>
      <c r="I2536" s="122" t="s">
        <v>1546</v>
      </c>
      <c r="J2536" s="307" t="s">
        <v>214</v>
      </c>
      <c r="K2536" s="127" t="s">
        <v>3806</v>
      </c>
      <c r="L2536" s="151" t="s">
        <v>3306</v>
      </c>
      <c r="M2536">
        <v>716</v>
      </c>
      <c r="N2536" s="123">
        <v>1</v>
      </c>
      <c r="O2536">
        <v>1667</v>
      </c>
      <c r="P2536" s="132" t="s">
        <v>77</v>
      </c>
      <c r="Q2536" s="131">
        <v>24500</v>
      </c>
      <c r="R2536" s="131">
        <v>3920</v>
      </c>
      <c r="S2536" s="131"/>
      <c r="T2536" s="155">
        <v>2613.34</v>
      </c>
      <c r="U2536" s="131">
        <v>2450</v>
      </c>
      <c r="V2536" s="131">
        <v>23356.66</v>
      </c>
      <c r="W2536">
        <v>264</v>
      </c>
      <c r="X2536" s="151" t="s">
        <v>1431</v>
      </c>
      <c r="Y2536" s="135" t="s">
        <v>55</v>
      </c>
      <c r="Z2536" s="307">
        <v>240</v>
      </c>
      <c r="AB2536" t="str">
        <f>IF(Table1[[#This Row],[TIPO2]]="costo", VLOOKUP(Table1[[#This Row],[PARTIDA PRESUPUESTAL]],'Cost Report'!G:G,1,0),"Balance")</f>
        <v>3407-005</v>
      </c>
      <c r="AC2536" s="118"/>
      <c r="AD2536" s="159">
        <f>+Table1[[#This Row],[SUBTOTAL]]+Table1[[#This Row],[IVA]]-Table1[[#This Row],[RET IVA]]-Table1[[#This Row],[RET ISR]]-Table1[[#This Row],[TOTAL]]</f>
        <v>0</v>
      </c>
      <c r="AE2536" s="150"/>
      <c r="AF2536" s="151"/>
      <c r="AG2536" s="126"/>
      <c r="AK2536" s="306" t="str">
        <f>IF(ISNUMBER(Table1[[#This Row],[FECHA DE RECIBIDO]]), Table1[[#This Row],[FECHA DE RECIBIDO]]-DATE(2023,8,30), "")</f>
        <v/>
      </c>
    </row>
    <row r="2537" spans="1:37" ht="16.05" customHeight="1">
      <c r="A2537" s="152"/>
      <c r="B2537" s="153">
        <v>859</v>
      </c>
      <c r="C2537" s="126" t="s">
        <v>963</v>
      </c>
      <c r="D2537">
        <v>1692</v>
      </c>
      <c r="E2537" s="126" t="s">
        <v>1614</v>
      </c>
      <c r="F2537" s="125" t="s">
        <v>1602</v>
      </c>
      <c r="G2537" s="125" t="s">
        <v>1617</v>
      </c>
      <c r="H2537">
        <v>492</v>
      </c>
      <c r="I2537" s="125" t="s">
        <v>1546</v>
      </c>
      <c r="J2537" s="308" t="s">
        <v>214</v>
      </c>
      <c r="K2537" s="127" t="s">
        <v>3806</v>
      </c>
      <c r="L2537" s="153" t="s">
        <v>3306</v>
      </c>
      <c r="M2537">
        <v>716</v>
      </c>
      <c r="N2537" s="123">
        <v>1</v>
      </c>
      <c r="O2537">
        <v>1668</v>
      </c>
      <c r="P2537" s="132" t="s">
        <v>77</v>
      </c>
      <c r="Q2537" s="132">
        <v>7050</v>
      </c>
      <c r="R2537" s="132">
        <v>1128</v>
      </c>
      <c r="S2537" s="132"/>
      <c r="T2537" s="156">
        <v>751.99</v>
      </c>
      <c r="U2537" s="132">
        <v>705</v>
      </c>
      <c r="V2537" s="132">
        <v>6721.01</v>
      </c>
      <c r="W2537">
        <v>264</v>
      </c>
      <c r="X2537" s="153" t="s">
        <v>1431</v>
      </c>
      <c r="Y2537" s="124" t="s">
        <v>55</v>
      </c>
      <c r="Z2537" s="308">
        <v>240</v>
      </c>
      <c r="AB2537" t="str">
        <f>IF(Table1[[#This Row],[TIPO2]]="costo", VLOOKUP(Table1[[#This Row],[PARTIDA PRESUPUESTAL]],'Cost Report'!G:G,1,0),"Balance")</f>
        <v>3407-005</v>
      </c>
      <c r="AC2537" s="118"/>
      <c r="AD2537" s="159">
        <f>+Table1[[#This Row],[SUBTOTAL]]+Table1[[#This Row],[IVA]]-Table1[[#This Row],[RET IVA]]-Table1[[#This Row],[RET ISR]]-Table1[[#This Row],[TOTAL]]</f>
        <v>0</v>
      </c>
      <c r="AE2537" s="152"/>
      <c r="AF2537" s="153"/>
      <c r="AG2537" s="126"/>
      <c r="AK2537" s="306" t="str">
        <f>IF(ISNUMBER(Table1[[#This Row],[FECHA DE RECIBIDO]]), Table1[[#This Row],[FECHA DE RECIBIDO]]-DATE(2023,8,30), "")</f>
        <v/>
      </c>
    </row>
    <row r="2538" spans="1:37" ht="16.05" customHeight="1">
      <c r="A2538" s="150"/>
      <c r="B2538" s="151">
        <v>860</v>
      </c>
      <c r="C2538" s="126" t="s">
        <v>3002</v>
      </c>
      <c r="D2538">
        <v>1693</v>
      </c>
      <c r="E2538" s="126" t="s">
        <v>1614</v>
      </c>
      <c r="F2538" s="122" t="s">
        <v>1602</v>
      </c>
      <c r="G2538" s="122" t="s">
        <v>1617</v>
      </c>
      <c r="H2538">
        <v>492</v>
      </c>
      <c r="I2538" s="122" t="s">
        <v>1546</v>
      </c>
      <c r="J2538" s="307" t="s">
        <v>214</v>
      </c>
      <c r="K2538" s="127" t="s">
        <v>3806</v>
      </c>
      <c r="L2538" s="151" t="s">
        <v>3306</v>
      </c>
      <c r="M2538">
        <v>716</v>
      </c>
      <c r="N2538" s="123">
        <v>1</v>
      </c>
      <c r="O2538">
        <v>1669</v>
      </c>
      <c r="P2538" s="132" t="s">
        <v>77</v>
      </c>
      <c r="Q2538" s="131">
        <v>1700</v>
      </c>
      <c r="R2538" s="131">
        <v>272</v>
      </c>
      <c r="S2538" s="131"/>
      <c r="T2538" s="155">
        <v>181.34</v>
      </c>
      <c r="U2538" s="131">
        <v>200</v>
      </c>
      <c r="V2538" s="131">
        <v>1590.66</v>
      </c>
      <c r="W2538">
        <v>264</v>
      </c>
      <c r="X2538" s="151" t="s">
        <v>1431</v>
      </c>
      <c r="Y2538" s="135" t="s">
        <v>55</v>
      </c>
      <c r="Z2538" s="307">
        <v>240</v>
      </c>
      <c r="AB2538" t="str">
        <f>IF(Table1[[#This Row],[TIPO2]]="costo", VLOOKUP(Table1[[#This Row],[PARTIDA PRESUPUESTAL]],'Cost Report'!G:G,1,0),"Balance")</f>
        <v>4180-003</v>
      </c>
      <c r="AC2538" s="118"/>
      <c r="AD2538" s="159">
        <f>+Table1[[#This Row],[SUBTOTAL]]+Table1[[#This Row],[IVA]]-Table1[[#This Row],[RET IVA]]-Table1[[#This Row],[RET ISR]]-Table1[[#This Row],[TOTAL]]</f>
        <v>0</v>
      </c>
      <c r="AE2538" s="150"/>
      <c r="AF2538" s="151"/>
      <c r="AG2538" s="126"/>
      <c r="AK2538" s="306" t="str">
        <f>IF(ISNUMBER(Table1[[#This Row],[FECHA DE RECIBIDO]]), Table1[[#This Row],[FECHA DE RECIBIDO]]-DATE(2023,8,30), "")</f>
        <v/>
      </c>
    </row>
    <row r="2539" spans="1:37" ht="16.05" customHeight="1">
      <c r="A2539" s="152" t="s">
        <v>3853</v>
      </c>
      <c r="B2539" s="153">
        <v>861</v>
      </c>
      <c r="C2539" s="126" t="s">
        <v>2852</v>
      </c>
      <c r="D2539">
        <v>1694</v>
      </c>
      <c r="E2539" s="126" t="s">
        <v>1603</v>
      </c>
      <c r="F2539" s="125" t="s">
        <v>1607</v>
      </c>
      <c r="G2539" s="125" t="s">
        <v>134</v>
      </c>
      <c r="H2539">
        <v>24</v>
      </c>
      <c r="I2539" s="125" t="s">
        <v>1546</v>
      </c>
      <c r="J2539" s="308" t="s">
        <v>214</v>
      </c>
      <c r="K2539" s="127" t="s">
        <v>3806</v>
      </c>
      <c r="L2539" s="153" t="s">
        <v>3306</v>
      </c>
      <c r="M2539">
        <v>620</v>
      </c>
      <c r="N2539" s="123">
        <v>1</v>
      </c>
      <c r="O2539">
        <v>1461</v>
      </c>
      <c r="P2539" s="132" t="s">
        <v>77</v>
      </c>
      <c r="Q2539" s="132">
        <v>3200</v>
      </c>
      <c r="R2539" s="132">
        <v>512</v>
      </c>
      <c r="S2539" s="132"/>
      <c r="T2539" s="156">
        <v>0</v>
      </c>
      <c r="U2539" s="132">
        <v>0</v>
      </c>
      <c r="V2539" s="132">
        <v>3712</v>
      </c>
      <c r="W2539">
        <v>26</v>
      </c>
      <c r="X2539" s="153" t="s">
        <v>1430</v>
      </c>
      <c r="Y2539" s="124" t="s">
        <v>55</v>
      </c>
      <c r="Z2539" s="308">
        <v>240</v>
      </c>
      <c r="AB2539" t="str">
        <f>IF(Table1[[#This Row],[TIPO2]]="costo", VLOOKUP(Table1[[#This Row],[PARTIDA PRESUPUESTAL]],'Cost Report'!G:G,1,0),"Balance")</f>
        <v>3498-003</v>
      </c>
      <c r="AC2539" s="118"/>
      <c r="AD2539" s="159">
        <f>+Table1[[#This Row],[SUBTOTAL]]+Table1[[#This Row],[IVA]]-Table1[[#This Row],[RET IVA]]-Table1[[#This Row],[RET ISR]]-Table1[[#This Row],[TOTAL]]</f>
        <v>0</v>
      </c>
      <c r="AE2539" s="152"/>
      <c r="AF2539" s="153"/>
      <c r="AG2539" s="126"/>
      <c r="AK2539" s="306" t="str">
        <f>IF(ISNUMBER(Table1[[#This Row],[FECHA DE RECIBIDO]]), Table1[[#This Row],[FECHA DE RECIBIDO]]-DATE(2023,8,30), "")</f>
        <v/>
      </c>
    </row>
    <row r="2540" spans="1:37" ht="16.05" customHeight="1">
      <c r="A2540" s="150" t="s">
        <v>3854</v>
      </c>
      <c r="B2540" s="151">
        <v>862</v>
      </c>
      <c r="C2540" s="126" t="s">
        <v>2728</v>
      </c>
      <c r="D2540">
        <v>1695</v>
      </c>
      <c r="E2540" s="126" t="s">
        <v>3273</v>
      </c>
      <c r="F2540" s="122" t="s">
        <v>1589</v>
      </c>
      <c r="G2540" s="122" t="s">
        <v>129</v>
      </c>
      <c r="H2540">
        <v>264</v>
      </c>
      <c r="I2540" s="122" t="s">
        <v>1546</v>
      </c>
      <c r="J2540" s="307" t="s">
        <v>214</v>
      </c>
      <c r="K2540" s="127" t="s">
        <v>3806</v>
      </c>
      <c r="L2540" s="151" t="s">
        <v>3306</v>
      </c>
      <c r="M2540">
        <v>351</v>
      </c>
      <c r="N2540" s="123">
        <v>1</v>
      </c>
      <c r="O2540">
        <v>1670</v>
      </c>
      <c r="P2540" s="132" t="s">
        <v>77</v>
      </c>
      <c r="Q2540" s="131">
        <v>18500</v>
      </c>
      <c r="R2540" s="131">
        <v>2960</v>
      </c>
      <c r="S2540" s="131"/>
      <c r="T2540" s="155">
        <v>1973.34</v>
      </c>
      <c r="U2540" s="131">
        <v>1850</v>
      </c>
      <c r="V2540" s="131">
        <v>17636.66</v>
      </c>
      <c r="W2540">
        <v>164</v>
      </c>
      <c r="X2540" s="151" t="s">
        <v>1429</v>
      </c>
      <c r="Y2540" s="135" t="s">
        <v>55</v>
      </c>
      <c r="Z2540" s="307">
        <v>240</v>
      </c>
      <c r="AB2540" t="str">
        <f>IF(Table1[[#This Row],[TIPO2]]="costo", VLOOKUP(Table1[[#This Row],[PARTIDA PRESUPUESTAL]],'Cost Report'!G:G,1,0),"Balance")</f>
        <v>3193-105</v>
      </c>
      <c r="AC2540" s="118"/>
      <c r="AD2540" s="159">
        <f>+Table1[[#This Row],[SUBTOTAL]]+Table1[[#This Row],[IVA]]-Table1[[#This Row],[RET IVA]]-Table1[[#This Row],[RET ISR]]-Table1[[#This Row],[TOTAL]]</f>
        <v>0</v>
      </c>
      <c r="AE2540" s="150"/>
      <c r="AF2540" s="151"/>
      <c r="AG2540" s="126"/>
      <c r="AK2540" s="306" t="str">
        <f>IF(ISNUMBER(Table1[[#This Row],[FECHA DE RECIBIDO]]), Table1[[#This Row],[FECHA DE RECIBIDO]]-DATE(2023,8,30), "")</f>
        <v/>
      </c>
    </row>
    <row r="2541" spans="1:37" ht="16.05" customHeight="1">
      <c r="A2541" s="152" t="s">
        <v>3854</v>
      </c>
      <c r="B2541" s="153">
        <v>862</v>
      </c>
      <c r="C2541" s="126" t="s">
        <v>3411</v>
      </c>
      <c r="D2541">
        <v>1695</v>
      </c>
      <c r="E2541" s="126" t="s">
        <v>3273</v>
      </c>
      <c r="F2541" s="125" t="s">
        <v>1589</v>
      </c>
      <c r="G2541" s="125" t="s">
        <v>129</v>
      </c>
      <c r="H2541">
        <v>264</v>
      </c>
      <c r="I2541" s="125" t="s">
        <v>1546</v>
      </c>
      <c r="J2541" s="308" t="s">
        <v>214</v>
      </c>
      <c r="K2541" s="127" t="s">
        <v>3806</v>
      </c>
      <c r="L2541" s="153" t="s">
        <v>3306</v>
      </c>
      <c r="M2541">
        <v>351</v>
      </c>
      <c r="N2541" s="123">
        <v>1</v>
      </c>
      <c r="O2541">
        <v>1670</v>
      </c>
      <c r="P2541" s="132" t="s">
        <v>77</v>
      </c>
      <c r="Q2541" s="132">
        <v>16200</v>
      </c>
      <c r="R2541" s="132">
        <v>2592</v>
      </c>
      <c r="S2541" s="132"/>
      <c r="T2541" s="156">
        <v>1728</v>
      </c>
      <c r="U2541" s="132">
        <v>1620</v>
      </c>
      <c r="V2541" s="132">
        <v>15444</v>
      </c>
      <c r="W2541">
        <v>164</v>
      </c>
      <c r="X2541" s="153" t="s">
        <v>1429</v>
      </c>
      <c r="Y2541" s="124" t="s">
        <v>55</v>
      </c>
      <c r="Z2541" s="308">
        <v>240</v>
      </c>
      <c r="AB2541" t="str">
        <f>IF(Table1[[#This Row],[TIPO2]]="costo", VLOOKUP(Table1[[#This Row],[PARTIDA PRESUPUESTAL]],'Cost Report'!G:G,1,0),"Balance")</f>
        <v>3193-119</v>
      </c>
      <c r="AC2541" s="118"/>
      <c r="AD2541" s="159">
        <f>+Table1[[#This Row],[SUBTOTAL]]+Table1[[#This Row],[IVA]]-Table1[[#This Row],[RET IVA]]-Table1[[#This Row],[RET ISR]]-Table1[[#This Row],[TOTAL]]</f>
        <v>0</v>
      </c>
      <c r="AE2541" s="152"/>
      <c r="AF2541" s="153"/>
      <c r="AG2541" s="126"/>
      <c r="AK2541" s="306" t="str">
        <f>IF(ISNUMBER(Table1[[#This Row],[FECHA DE RECIBIDO]]), Table1[[#This Row],[FECHA DE RECIBIDO]]-DATE(2023,8,30), "")</f>
        <v/>
      </c>
    </row>
    <row r="2542" spans="1:37" ht="16.05" customHeight="1">
      <c r="A2542" s="150" t="s">
        <v>3855</v>
      </c>
      <c r="B2542" s="151">
        <v>863</v>
      </c>
      <c r="C2542" s="126" t="s">
        <v>2956</v>
      </c>
      <c r="D2542">
        <v>1696</v>
      </c>
      <c r="E2542" s="126" t="s">
        <v>1985</v>
      </c>
      <c r="F2542" s="122" t="s">
        <v>1607</v>
      </c>
      <c r="G2542" s="122" t="s">
        <v>134</v>
      </c>
      <c r="H2542">
        <v>47</v>
      </c>
      <c r="I2542" s="122" t="s">
        <v>1546</v>
      </c>
      <c r="J2542" s="307" t="s">
        <v>214</v>
      </c>
      <c r="K2542" s="127" t="s">
        <v>3806</v>
      </c>
      <c r="L2542" s="151" t="s">
        <v>3306</v>
      </c>
      <c r="M2542">
        <v>448</v>
      </c>
      <c r="N2542" s="123">
        <v>1</v>
      </c>
      <c r="O2542">
        <v>1671</v>
      </c>
      <c r="P2542" s="132" t="s">
        <v>77</v>
      </c>
      <c r="Q2542" s="131">
        <v>162247.06</v>
      </c>
      <c r="R2542" s="131">
        <v>25959.53</v>
      </c>
      <c r="S2542" s="131"/>
      <c r="T2542" s="155">
        <v>0</v>
      </c>
      <c r="U2542" s="131">
        <v>0</v>
      </c>
      <c r="V2542" s="131">
        <v>188206.59</v>
      </c>
      <c r="W2542">
        <v>36</v>
      </c>
      <c r="X2542" s="151" t="s">
        <v>1430</v>
      </c>
      <c r="Y2542" s="135" t="s">
        <v>55</v>
      </c>
      <c r="Z2542" s="307">
        <v>240</v>
      </c>
      <c r="AB2542" t="str">
        <f>IF(Table1[[#This Row],[TIPO2]]="costo", VLOOKUP(Table1[[#This Row],[PARTIDA PRESUPUESTAL]],'Cost Report'!G:G,1,0),"Balance")</f>
        <v>3902-032</v>
      </c>
      <c r="AC2542" s="118"/>
      <c r="AD2542" s="159">
        <f>+Table1[[#This Row],[SUBTOTAL]]+Table1[[#This Row],[IVA]]-Table1[[#This Row],[RET IVA]]-Table1[[#This Row],[RET ISR]]-Table1[[#This Row],[TOTAL]]</f>
        <v>0</v>
      </c>
      <c r="AE2542" s="150"/>
      <c r="AF2542" s="151"/>
      <c r="AG2542" s="126"/>
      <c r="AK2542" s="306" t="str">
        <f>IF(ISNUMBER(Table1[[#This Row],[FECHA DE RECIBIDO]]), Table1[[#This Row],[FECHA DE RECIBIDO]]-DATE(2023,8,30), "")</f>
        <v/>
      </c>
    </row>
    <row r="2543" spans="1:37" ht="16.05" customHeight="1">
      <c r="A2543" s="152" t="s">
        <v>3855</v>
      </c>
      <c r="B2543" s="153">
        <v>863</v>
      </c>
      <c r="C2543" s="126" t="s">
        <v>1417</v>
      </c>
      <c r="D2543">
        <v>1696</v>
      </c>
      <c r="E2543" s="126" t="s">
        <v>1985</v>
      </c>
      <c r="F2543" s="125" t="s">
        <v>1607</v>
      </c>
      <c r="G2543" s="125" t="s">
        <v>134</v>
      </c>
      <c r="H2543">
        <v>47</v>
      </c>
      <c r="I2543" s="125" t="s">
        <v>1546</v>
      </c>
      <c r="J2543" s="308" t="s">
        <v>214</v>
      </c>
      <c r="K2543" s="127" t="s">
        <v>3806</v>
      </c>
      <c r="L2543" s="153" t="s">
        <v>3306</v>
      </c>
      <c r="M2543">
        <v>448</v>
      </c>
      <c r="N2543" s="123">
        <v>1</v>
      </c>
      <c r="O2543">
        <v>1671</v>
      </c>
      <c r="P2543" s="132" t="s">
        <v>77</v>
      </c>
      <c r="Q2543" s="132">
        <v>4867.41</v>
      </c>
      <c r="R2543" s="132">
        <v>0</v>
      </c>
      <c r="S2543" s="132"/>
      <c r="T2543" s="156">
        <v>0</v>
      </c>
      <c r="U2543" s="132">
        <v>0</v>
      </c>
      <c r="V2543" s="132">
        <v>4867.41</v>
      </c>
      <c r="W2543">
        <v>36</v>
      </c>
      <c r="X2543" s="153" t="s">
        <v>1430</v>
      </c>
      <c r="Y2543" s="124" t="s">
        <v>55</v>
      </c>
      <c r="Z2543" s="308">
        <v>240</v>
      </c>
      <c r="AB2543" t="str">
        <f>IF(Table1[[#This Row],[TIPO2]]="costo", VLOOKUP(Table1[[#This Row],[PARTIDA PRESUPUESTAL]],'Cost Report'!G:G,1,0),"Balance")</f>
        <v>3999-001</v>
      </c>
      <c r="AC2543" s="118"/>
      <c r="AD2543" s="159">
        <f>+Table1[[#This Row],[SUBTOTAL]]+Table1[[#This Row],[IVA]]-Table1[[#This Row],[RET IVA]]-Table1[[#This Row],[RET ISR]]-Table1[[#This Row],[TOTAL]]</f>
        <v>0</v>
      </c>
      <c r="AE2543" s="152"/>
      <c r="AF2543" s="153"/>
      <c r="AG2543" s="126"/>
      <c r="AK2543" s="306" t="str">
        <f>IF(ISNUMBER(Table1[[#This Row],[FECHA DE RECIBIDO]]), Table1[[#This Row],[FECHA DE RECIBIDO]]-DATE(2023,8,30), "")</f>
        <v/>
      </c>
    </row>
    <row r="2544" spans="1:37" ht="16.05" customHeight="1">
      <c r="A2544" s="150" t="s">
        <v>3856</v>
      </c>
      <c r="B2544" s="151">
        <v>864</v>
      </c>
      <c r="C2544" s="126" t="s">
        <v>1728</v>
      </c>
      <c r="D2544">
        <v>1697</v>
      </c>
      <c r="E2544" s="126" t="s">
        <v>1985</v>
      </c>
      <c r="F2544" s="122" t="s">
        <v>1593</v>
      </c>
      <c r="G2544" s="122" t="s">
        <v>109</v>
      </c>
      <c r="H2544">
        <v>265</v>
      </c>
      <c r="I2544" s="122" t="s">
        <v>1546</v>
      </c>
      <c r="J2544" s="307" t="s">
        <v>214</v>
      </c>
      <c r="K2544" s="127" t="s">
        <v>3806</v>
      </c>
      <c r="L2544" s="151" t="s">
        <v>3306</v>
      </c>
      <c r="M2544">
        <v>353</v>
      </c>
      <c r="N2544" s="123">
        <v>1</v>
      </c>
      <c r="O2544">
        <v>1672</v>
      </c>
      <c r="P2544" s="132" t="s">
        <v>77</v>
      </c>
      <c r="Q2544" s="131">
        <v>331866</v>
      </c>
      <c r="R2544" s="131">
        <v>53098.559999999998</v>
      </c>
      <c r="S2544" s="131"/>
      <c r="T2544" s="155">
        <v>0</v>
      </c>
      <c r="U2544" s="131">
        <v>0</v>
      </c>
      <c r="V2544" s="131">
        <v>384964.56</v>
      </c>
      <c r="W2544">
        <v>165</v>
      </c>
      <c r="X2544" s="151" t="s">
        <v>3685</v>
      </c>
      <c r="Y2544" s="135" t="s">
        <v>55</v>
      </c>
      <c r="Z2544" s="307">
        <v>240</v>
      </c>
      <c r="AB2544" t="str">
        <f>IF(Table1[[#This Row],[TIPO2]]="costo", VLOOKUP(Table1[[#This Row],[PARTIDA PRESUPUESTAL]],'Cost Report'!G:G,1,0),"Balance")</f>
        <v>2103-004</v>
      </c>
      <c r="AC2544" s="118"/>
      <c r="AD2544" s="159">
        <f>+Table1[[#This Row],[SUBTOTAL]]+Table1[[#This Row],[IVA]]-Table1[[#This Row],[RET IVA]]-Table1[[#This Row],[RET ISR]]-Table1[[#This Row],[TOTAL]]</f>
        <v>0</v>
      </c>
      <c r="AE2544" s="150"/>
      <c r="AF2544" s="151"/>
      <c r="AG2544" s="126"/>
      <c r="AK2544" s="306" t="str">
        <f>IF(ISNUMBER(Table1[[#This Row],[FECHA DE RECIBIDO]]), Table1[[#This Row],[FECHA DE RECIBIDO]]-DATE(2023,8,30), "")</f>
        <v/>
      </c>
    </row>
    <row r="2545" spans="1:37" ht="16.05" customHeight="1">
      <c r="A2545" s="152" t="s">
        <v>3857</v>
      </c>
      <c r="B2545" s="153">
        <v>865</v>
      </c>
      <c r="C2545" s="126" t="s">
        <v>475</v>
      </c>
      <c r="D2545">
        <v>1698</v>
      </c>
      <c r="E2545" s="126" t="s">
        <v>1588</v>
      </c>
      <c r="F2545" s="125" t="s">
        <v>1589</v>
      </c>
      <c r="G2545" s="125" t="s">
        <v>129</v>
      </c>
      <c r="H2545">
        <v>15</v>
      </c>
      <c r="I2545" s="125" t="s">
        <v>1546</v>
      </c>
      <c r="J2545" s="308" t="s">
        <v>214</v>
      </c>
      <c r="K2545" s="127" t="s">
        <v>3806</v>
      </c>
      <c r="L2545" s="153" t="s">
        <v>110</v>
      </c>
      <c r="M2545">
        <v>19</v>
      </c>
      <c r="N2545" s="123">
        <v>1</v>
      </c>
      <c r="O2545">
        <v>1673</v>
      </c>
      <c r="P2545" s="132" t="s">
        <v>77</v>
      </c>
      <c r="Q2545" s="132">
        <v>37800</v>
      </c>
      <c r="R2545" s="132">
        <v>6048</v>
      </c>
      <c r="S2545" s="132"/>
      <c r="T2545" s="156">
        <v>4032.02</v>
      </c>
      <c r="U2545" s="132">
        <v>3780</v>
      </c>
      <c r="V2545" s="132">
        <v>36035.980000000003</v>
      </c>
      <c r="W2545">
        <v>15</v>
      </c>
      <c r="X2545" s="153" t="s">
        <v>1429</v>
      </c>
      <c r="Y2545" s="124" t="s">
        <v>55</v>
      </c>
      <c r="Z2545" s="308">
        <v>240</v>
      </c>
      <c r="AB2545" t="str">
        <f>IF(Table1[[#This Row],[TIPO2]]="costo", VLOOKUP(Table1[[#This Row],[PARTIDA PRESUPUESTAL]],'Cost Report'!G:G,1,0),"Balance")</f>
        <v>2013-005</v>
      </c>
      <c r="AC2545" s="118"/>
      <c r="AD2545" s="159">
        <f>+Table1[[#This Row],[SUBTOTAL]]+Table1[[#This Row],[IVA]]-Table1[[#This Row],[RET IVA]]-Table1[[#This Row],[RET ISR]]-Table1[[#This Row],[TOTAL]]</f>
        <v>0</v>
      </c>
      <c r="AE2545" s="152"/>
      <c r="AF2545" s="153"/>
      <c r="AG2545" s="126"/>
      <c r="AK2545" s="306" t="str">
        <f>IF(ISNUMBER(Table1[[#This Row],[FECHA DE RECIBIDO]]), Table1[[#This Row],[FECHA DE RECIBIDO]]-DATE(2023,8,30), "")</f>
        <v/>
      </c>
    </row>
    <row r="2546" spans="1:37" ht="16.05" customHeight="1">
      <c r="A2546" s="150" t="s">
        <v>3858</v>
      </c>
      <c r="B2546" s="151">
        <v>866</v>
      </c>
      <c r="C2546" s="126" t="s">
        <v>243</v>
      </c>
      <c r="D2546">
        <v>1699</v>
      </c>
      <c r="E2546" s="126" t="s">
        <v>1590</v>
      </c>
      <c r="F2546" s="122" t="s">
        <v>1589</v>
      </c>
      <c r="G2546" s="122" t="s">
        <v>129</v>
      </c>
      <c r="H2546">
        <v>16</v>
      </c>
      <c r="I2546" s="122" t="s">
        <v>1546</v>
      </c>
      <c r="J2546" s="307" t="s">
        <v>214</v>
      </c>
      <c r="K2546" s="127" t="s">
        <v>3806</v>
      </c>
      <c r="L2546" s="151" t="s">
        <v>110</v>
      </c>
      <c r="M2546">
        <v>21</v>
      </c>
      <c r="N2546" s="123">
        <v>2</v>
      </c>
      <c r="O2546">
        <v>1674</v>
      </c>
      <c r="P2546" s="132" t="s">
        <v>77</v>
      </c>
      <c r="Q2546" s="131">
        <v>42000</v>
      </c>
      <c r="R2546" s="131">
        <v>6720</v>
      </c>
      <c r="S2546" s="131"/>
      <c r="T2546" s="155">
        <v>4480.01</v>
      </c>
      <c r="U2546" s="131">
        <v>4200</v>
      </c>
      <c r="V2546" s="131">
        <v>40039.99</v>
      </c>
      <c r="W2546">
        <v>16</v>
      </c>
      <c r="X2546" s="151" t="s">
        <v>1429</v>
      </c>
      <c r="Y2546" s="135" t="s">
        <v>55</v>
      </c>
      <c r="Z2546" s="307">
        <v>240</v>
      </c>
      <c r="AB2546" t="str">
        <f>IF(Table1[[#This Row],[TIPO2]]="costo", VLOOKUP(Table1[[#This Row],[PARTIDA PRESUPUESTAL]],'Cost Report'!G:G,1,0),"Balance")</f>
        <v>1204-005</v>
      </c>
      <c r="AC2546" s="118"/>
      <c r="AD2546" s="159">
        <f>+Table1[[#This Row],[SUBTOTAL]]+Table1[[#This Row],[IVA]]-Table1[[#This Row],[RET IVA]]-Table1[[#This Row],[RET ISR]]-Table1[[#This Row],[TOTAL]]</f>
        <v>0</v>
      </c>
      <c r="AE2546" s="150"/>
      <c r="AF2546" s="151"/>
      <c r="AG2546" s="126"/>
      <c r="AK2546" s="306" t="str">
        <f>IF(ISNUMBER(Table1[[#This Row],[FECHA DE RECIBIDO]]), Table1[[#This Row],[FECHA DE RECIBIDO]]-DATE(2023,8,30), "")</f>
        <v/>
      </c>
    </row>
    <row r="2547" spans="1:37" ht="16.05" customHeight="1">
      <c r="A2547" s="152" t="s">
        <v>3859</v>
      </c>
      <c r="B2547" s="153">
        <v>867</v>
      </c>
      <c r="C2547" s="126" t="s">
        <v>243</v>
      </c>
      <c r="D2547">
        <v>1700</v>
      </c>
      <c r="E2547" s="126" t="s">
        <v>1590</v>
      </c>
      <c r="F2547" s="125" t="s">
        <v>1589</v>
      </c>
      <c r="G2547" s="125" t="s">
        <v>129</v>
      </c>
      <c r="H2547">
        <v>16</v>
      </c>
      <c r="I2547" s="125" t="s">
        <v>1546</v>
      </c>
      <c r="J2547" s="308" t="s">
        <v>214</v>
      </c>
      <c r="K2547" s="127" t="s">
        <v>3806</v>
      </c>
      <c r="L2547" s="153" t="s">
        <v>110</v>
      </c>
      <c r="M2547">
        <v>21</v>
      </c>
      <c r="N2547" s="123">
        <v>2</v>
      </c>
      <c r="O2547">
        <v>1675</v>
      </c>
      <c r="P2547" s="132" t="s">
        <v>77</v>
      </c>
      <c r="Q2547" s="132">
        <v>42000</v>
      </c>
      <c r="R2547" s="132">
        <v>6720</v>
      </c>
      <c r="S2547" s="132"/>
      <c r="T2547" s="156">
        <v>4480.01</v>
      </c>
      <c r="U2547" s="132">
        <v>4200</v>
      </c>
      <c r="V2547" s="132">
        <v>40039.99</v>
      </c>
      <c r="W2547">
        <v>16</v>
      </c>
      <c r="X2547" s="153" t="s">
        <v>1429</v>
      </c>
      <c r="Y2547" s="124" t="s">
        <v>55</v>
      </c>
      <c r="Z2547" s="308">
        <v>240</v>
      </c>
      <c r="AB2547" t="str">
        <f>IF(Table1[[#This Row],[TIPO2]]="costo", VLOOKUP(Table1[[#This Row],[PARTIDA PRESUPUESTAL]],'Cost Report'!G:G,1,0),"Balance")</f>
        <v>1204-005</v>
      </c>
      <c r="AC2547" s="118"/>
      <c r="AD2547" s="159">
        <f>+Table1[[#This Row],[SUBTOTAL]]+Table1[[#This Row],[IVA]]-Table1[[#This Row],[RET IVA]]-Table1[[#This Row],[RET ISR]]-Table1[[#This Row],[TOTAL]]</f>
        <v>0</v>
      </c>
      <c r="AE2547" s="152"/>
      <c r="AF2547" s="153"/>
      <c r="AG2547" s="126"/>
      <c r="AK2547" s="306" t="str">
        <f>IF(ISNUMBER(Table1[[#This Row],[FECHA DE RECIBIDO]]), Table1[[#This Row],[FECHA DE RECIBIDO]]-DATE(2023,8,30), "")</f>
        <v/>
      </c>
    </row>
    <row r="2548" spans="1:37" ht="16.05" customHeight="1">
      <c r="A2548" s="150" t="s">
        <v>3860</v>
      </c>
      <c r="B2548" s="151">
        <v>868</v>
      </c>
      <c r="C2548" s="126" t="s">
        <v>435</v>
      </c>
      <c r="D2548">
        <v>1701</v>
      </c>
      <c r="E2548" s="126" t="s">
        <v>1591</v>
      </c>
      <c r="F2548" s="122" t="s">
        <v>1589</v>
      </c>
      <c r="G2548" s="122" t="s">
        <v>129</v>
      </c>
      <c r="H2548">
        <v>17</v>
      </c>
      <c r="I2548" s="122" t="s">
        <v>1546</v>
      </c>
      <c r="J2548" s="307" t="s">
        <v>214</v>
      </c>
      <c r="K2548" s="127" t="s">
        <v>3806</v>
      </c>
      <c r="L2548" s="151" t="s">
        <v>110</v>
      </c>
      <c r="M2548">
        <v>22</v>
      </c>
      <c r="N2548" s="123">
        <v>3</v>
      </c>
      <c r="O2548">
        <v>1676</v>
      </c>
      <c r="P2548" s="132" t="s">
        <v>77</v>
      </c>
      <c r="Q2548" s="131">
        <v>40000</v>
      </c>
      <c r="R2548" s="131">
        <v>6400</v>
      </c>
      <c r="S2548" s="131"/>
      <c r="T2548" s="155">
        <v>4266.68</v>
      </c>
      <c r="U2548" s="131">
        <v>4000</v>
      </c>
      <c r="V2548" s="131">
        <v>38133.32</v>
      </c>
      <c r="W2548">
        <v>17</v>
      </c>
      <c r="X2548" s="151" t="s">
        <v>1430</v>
      </c>
      <c r="Y2548" s="135" t="s">
        <v>55</v>
      </c>
      <c r="Z2548" s="307">
        <v>240</v>
      </c>
      <c r="AB2548" t="str">
        <f>IF(Table1[[#This Row],[TIPO2]]="costo", VLOOKUP(Table1[[#This Row],[PARTIDA PRESUPUESTAL]],'Cost Report'!G:G,1,0),"Balance")</f>
        <v>2001-005</v>
      </c>
      <c r="AC2548" s="118"/>
      <c r="AD2548" s="159">
        <f>+Table1[[#This Row],[SUBTOTAL]]+Table1[[#This Row],[IVA]]-Table1[[#This Row],[RET IVA]]-Table1[[#This Row],[RET ISR]]-Table1[[#This Row],[TOTAL]]</f>
        <v>0</v>
      </c>
      <c r="AE2548" s="150"/>
      <c r="AF2548" s="151"/>
      <c r="AG2548" s="126"/>
      <c r="AK2548" s="306" t="str">
        <f>IF(ISNUMBER(Table1[[#This Row],[FECHA DE RECIBIDO]]), Table1[[#This Row],[FECHA DE RECIBIDO]]-DATE(2023,8,30), "")</f>
        <v/>
      </c>
    </row>
    <row r="2549" spans="1:37" ht="16.05" customHeight="1">
      <c r="A2549" s="152" t="s">
        <v>3861</v>
      </c>
      <c r="B2549" s="153">
        <v>869</v>
      </c>
      <c r="C2549" s="126" t="s">
        <v>2143</v>
      </c>
      <c r="D2549">
        <v>1702</v>
      </c>
      <c r="E2549" s="126" t="s">
        <v>1592</v>
      </c>
      <c r="F2549" s="125" t="s">
        <v>1593</v>
      </c>
      <c r="G2549" s="125" t="s">
        <v>109</v>
      </c>
      <c r="H2549">
        <v>18</v>
      </c>
      <c r="I2549" s="125" t="s">
        <v>1546</v>
      </c>
      <c r="J2549" s="308" t="s">
        <v>214</v>
      </c>
      <c r="K2549" s="127" t="s">
        <v>3806</v>
      </c>
      <c r="L2549" s="153" t="s">
        <v>110</v>
      </c>
      <c r="M2549">
        <v>23</v>
      </c>
      <c r="N2549" s="123">
        <v>4</v>
      </c>
      <c r="O2549">
        <v>1677</v>
      </c>
      <c r="P2549" s="132" t="s">
        <v>77</v>
      </c>
      <c r="Q2549" s="132">
        <v>20000</v>
      </c>
      <c r="R2549" s="132">
        <v>3200</v>
      </c>
      <c r="S2549" s="132"/>
      <c r="T2549" s="156">
        <v>2133.34</v>
      </c>
      <c r="U2549" s="132">
        <v>250</v>
      </c>
      <c r="V2549" s="132">
        <v>20816.66</v>
      </c>
      <c r="W2549">
        <v>18</v>
      </c>
      <c r="X2549" s="153" t="s">
        <v>1429</v>
      </c>
      <c r="Y2549" s="124" t="s">
        <v>55</v>
      </c>
      <c r="Z2549" s="308">
        <v>240</v>
      </c>
      <c r="AB2549" t="str">
        <f>IF(Table1[[#This Row],[TIPO2]]="costo", VLOOKUP(Table1[[#This Row],[PARTIDA PRESUPUESTAL]],'Cost Report'!G:G,1,0),"Balance")</f>
        <v>1222-009</v>
      </c>
      <c r="AC2549" s="118"/>
      <c r="AD2549" s="159">
        <f>+Table1[[#This Row],[SUBTOTAL]]+Table1[[#This Row],[IVA]]-Table1[[#This Row],[RET IVA]]-Table1[[#This Row],[RET ISR]]-Table1[[#This Row],[TOTAL]]</f>
        <v>0</v>
      </c>
      <c r="AE2549" s="152"/>
      <c r="AF2549" s="153"/>
      <c r="AG2549" s="126"/>
      <c r="AK2549" s="306" t="str">
        <f>IF(ISNUMBER(Table1[[#This Row],[FECHA DE RECIBIDO]]), Table1[[#This Row],[FECHA DE RECIBIDO]]-DATE(2023,8,30), "")</f>
        <v/>
      </c>
    </row>
    <row r="2550" spans="1:37" ht="16.05" customHeight="1">
      <c r="A2550" s="150" t="s">
        <v>3862</v>
      </c>
      <c r="B2550" s="151">
        <v>870</v>
      </c>
      <c r="C2550" s="126" t="s">
        <v>478</v>
      </c>
      <c r="D2550">
        <v>1703</v>
      </c>
      <c r="E2550" s="126" t="s">
        <v>1594</v>
      </c>
      <c r="F2550" s="122" t="s">
        <v>1593</v>
      </c>
      <c r="G2550" s="122" t="s">
        <v>109</v>
      </c>
      <c r="H2550">
        <v>21</v>
      </c>
      <c r="I2550" s="122" t="s">
        <v>1546</v>
      </c>
      <c r="J2550" s="307" t="s">
        <v>214</v>
      </c>
      <c r="K2550" s="127" t="s">
        <v>3806</v>
      </c>
      <c r="L2550" s="151" t="s">
        <v>110</v>
      </c>
      <c r="M2550">
        <v>27</v>
      </c>
      <c r="N2550" s="123">
        <v>5</v>
      </c>
      <c r="O2550">
        <v>1678</v>
      </c>
      <c r="P2550" s="132" t="s">
        <v>77</v>
      </c>
      <c r="Q2550" s="131">
        <v>16000</v>
      </c>
      <c r="R2550" s="131">
        <v>2560</v>
      </c>
      <c r="S2550" s="131"/>
      <c r="T2550" s="155">
        <v>1706.66</v>
      </c>
      <c r="U2550" s="131">
        <v>200</v>
      </c>
      <c r="V2550" s="131">
        <v>16653.34</v>
      </c>
      <c r="W2550">
        <v>21</v>
      </c>
      <c r="X2550" s="151" t="s">
        <v>1431</v>
      </c>
      <c r="Y2550" s="135" t="s">
        <v>55</v>
      </c>
      <c r="Z2550" s="307">
        <v>240</v>
      </c>
      <c r="AB2550" t="str">
        <f>IF(Table1[[#This Row],[TIPO2]]="costo", VLOOKUP(Table1[[#This Row],[PARTIDA PRESUPUESTAL]],'Cost Report'!G:G,1,0),"Balance")</f>
        <v>2014-004</v>
      </c>
      <c r="AC2550" s="118"/>
      <c r="AD2550" s="159">
        <f>+Table1[[#This Row],[SUBTOTAL]]+Table1[[#This Row],[IVA]]-Table1[[#This Row],[RET IVA]]-Table1[[#This Row],[RET ISR]]-Table1[[#This Row],[TOTAL]]</f>
        <v>0</v>
      </c>
      <c r="AE2550" s="150"/>
      <c r="AF2550" s="151"/>
      <c r="AG2550" s="126"/>
      <c r="AK2550" s="306" t="str">
        <f>IF(ISNUMBER(Table1[[#This Row],[FECHA DE RECIBIDO]]), Table1[[#This Row],[FECHA DE RECIBIDO]]-DATE(2023,8,30), "")</f>
        <v/>
      </c>
    </row>
    <row r="2551" spans="1:37" ht="16.05" customHeight="1">
      <c r="A2551" s="152" t="s">
        <v>3863</v>
      </c>
      <c r="B2551" s="153">
        <v>871</v>
      </c>
      <c r="C2551" s="126" t="s">
        <v>491</v>
      </c>
      <c r="D2551">
        <v>1704</v>
      </c>
      <c r="E2551" s="126" t="s">
        <v>2010</v>
      </c>
      <c r="F2551" s="125" t="s">
        <v>1589</v>
      </c>
      <c r="G2551" s="125" t="s">
        <v>129</v>
      </c>
      <c r="H2551">
        <v>60</v>
      </c>
      <c r="I2551" s="125" t="s">
        <v>1546</v>
      </c>
      <c r="J2551" s="308" t="s">
        <v>214</v>
      </c>
      <c r="K2551" s="127" t="s">
        <v>3806</v>
      </c>
      <c r="L2551" s="153" t="s">
        <v>110</v>
      </c>
      <c r="M2551">
        <v>83</v>
      </c>
      <c r="N2551" s="123">
        <v>19</v>
      </c>
      <c r="O2551">
        <v>1679</v>
      </c>
      <c r="P2551" s="132" t="s">
        <v>77</v>
      </c>
      <c r="Q2551" s="132">
        <v>37800</v>
      </c>
      <c r="R2551" s="132">
        <v>6048</v>
      </c>
      <c r="S2551" s="132"/>
      <c r="T2551" s="156">
        <v>4032.02</v>
      </c>
      <c r="U2551" s="132">
        <v>3780</v>
      </c>
      <c r="V2551" s="132">
        <v>36035.980000000003</v>
      </c>
      <c r="W2551">
        <v>42</v>
      </c>
      <c r="X2551" s="153" t="s">
        <v>1430</v>
      </c>
      <c r="Y2551" s="124" t="s">
        <v>55</v>
      </c>
      <c r="Z2551" s="308">
        <v>240</v>
      </c>
      <c r="AB2551" t="str">
        <f>IF(Table1[[#This Row],[TIPO2]]="costo", VLOOKUP(Table1[[#This Row],[PARTIDA PRESUPUESTAL]],'Cost Report'!G:G,1,0),"Balance")</f>
        <v>2020-004</v>
      </c>
      <c r="AC2551" s="118"/>
      <c r="AD2551" s="159">
        <f>+Table1[[#This Row],[SUBTOTAL]]+Table1[[#This Row],[IVA]]-Table1[[#This Row],[RET IVA]]-Table1[[#This Row],[RET ISR]]-Table1[[#This Row],[TOTAL]]</f>
        <v>0</v>
      </c>
      <c r="AE2551" s="152"/>
      <c r="AF2551" s="153"/>
      <c r="AG2551" s="126"/>
      <c r="AK2551" s="306" t="str">
        <f>IF(ISNUMBER(Table1[[#This Row],[FECHA DE RECIBIDO]]), Table1[[#This Row],[FECHA DE RECIBIDO]]-DATE(2023,8,30), "")</f>
        <v/>
      </c>
    </row>
    <row r="2552" spans="1:37" ht="16.05" customHeight="1">
      <c r="A2552" s="150" t="s">
        <v>3864</v>
      </c>
      <c r="B2552" s="151">
        <v>872</v>
      </c>
      <c r="C2552" s="126" t="s">
        <v>2417</v>
      </c>
      <c r="D2552">
        <v>1705</v>
      </c>
      <c r="E2552" s="126" t="s">
        <v>1888</v>
      </c>
      <c r="F2552" s="122" t="s">
        <v>1593</v>
      </c>
      <c r="G2552" s="122" t="s">
        <v>109</v>
      </c>
      <c r="H2552">
        <v>61</v>
      </c>
      <c r="I2552" s="122" t="s">
        <v>1546</v>
      </c>
      <c r="J2552" s="307" t="s">
        <v>214</v>
      </c>
      <c r="K2552" s="127" t="s">
        <v>3806</v>
      </c>
      <c r="L2552" s="151" t="s">
        <v>110</v>
      </c>
      <c r="M2552">
        <v>84</v>
      </c>
      <c r="N2552" s="123">
        <v>21</v>
      </c>
      <c r="O2552">
        <v>1680</v>
      </c>
      <c r="P2552" s="132" t="s">
        <v>77</v>
      </c>
      <c r="Q2552" s="131">
        <v>25000</v>
      </c>
      <c r="R2552" s="131">
        <v>4000</v>
      </c>
      <c r="S2552" s="131"/>
      <c r="T2552" s="155">
        <v>2666.68</v>
      </c>
      <c r="U2552" s="131">
        <v>312.5</v>
      </c>
      <c r="V2552" s="131">
        <v>26020.82</v>
      </c>
      <c r="W2552">
        <v>43</v>
      </c>
      <c r="X2552" s="151" t="s">
        <v>1431</v>
      </c>
      <c r="Y2552" s="135" t="s">
        <v>55</v>
      </c>
      <c r="Z2552" s="307">
        <v>240</v>
      </c>
      <c r="AB2552" t="str">
        <f>IF(Table1[[#This Row],[TIPO2]]="costo", VLOOKUP(Table1[[#This Row],[PARTIDA PRESUPUESTAL]],'Cost Report'!G:G,1,0),"Balance")</f>
        <v>2017-004</v>
      </c>
      <c r="AC2552" s="118"/>
      <c r="AD2552" s="159">
        <f>+Table1[[#This Row],[SUBTOTAL]]+Table1[[#This Row],[IVA]]-Table1[[#This Row],[RET IVA]]-Table1[[#This Row],[RET ISR]]-Table1[[#This Row],[TOTAL]]</f>
        <v>0</v>
      </c>
      <c r="AE2552" s="150"/>
      <c r="AF2552" s="151"/>
      <c r="AG2552" s="126"/>
      <c r="AK2552" s="306" t="str">
        <f>IF(ISNUMBER(Table1[[#This Row],[FECHA DE RECIBIDO]]), Table1[[#This Row],[FECHA DE RECIBIDO]]-DATE(2023,8,30), "")</f>
        <v/>
      </c>
    </row>
    <row r="2553" spans="1:37" ht="16.05" customHeight="1">
      <c r="A2553" s="152" t="s">
        <v>3865</v>
      </c>
      <c r="B2553" s="153">
        <v>873</v>
      </c>
      <c r="C2553" s="126" t="s">
        <v>1726</v>
      </c>
      <c r="D2553">
        <v>1706</v>
      </c>
      <c r="E2553" s="126" t="s">
        <v>1613</v>
      </c>
      <c r="F2553" s="125" t="s">
        <v>1593</v>
      </c>
      <c r="G2553" s="125" t="s">
        <v>109</v>
      </c>
      <c r="H2553">
        <v>197</v>
      </c>
      <c r="I2553" s="125" t="s">
        <v>1546</v>
      </c>
      <c r="J2553" s="308" t="s">
        <v>214</v>
      </c>
      <c r="K2553" s="127" t="s">
        <v>3806</v>
      </c>
      <c r="L2553" s="153" t="s">
        <v>110</v>
      </c>
      <c r="M2553">
        <v>262</v>
      </c>
      <c r="N2553" s="123">
        <v>62</v>
      </c>
      <c r="O2553">
        <v>1681</v>
      </c>
      <c r="P2553" s="132" t="s">
        <v>77</v>
      </c>
      <c r="Q2553" s="132">
        <v>36000</v>
      </c>
      <c r="R2553" s="132">
        <v>5760</v>
      </c>
      <c r="S2553" s="132"/>
      <c r="T2553" s="156">
        <v>3840</v>
      </c>
      <c r="U2553" s="132">
        <v>450</v>
      </c>
      <c r="V2553" s="132">
        <v>37470</v>
      </c>
      <c r="W2553">
        <v>118</v>
      </c>
      <c r="X2553" s="153" t="s">
        <v>1429</v>
      </c>
      <c r="Y2553" s="124" t="s">
        <v>55</v>
      </c>
      <c r="Z2553" s="308">
        <v>240</v>
      </c>
      <c r="AB2553" t="str">
        <f>IF(Table1[[#This Row],[TIPO2]]="costo", VLOOKUP(Table1[[#This Row],[PARTIDA PRESUPUESTAL]],'Cost Report'!G:G,1,0),"Balance")</f>
        <v>2014-010</v>
      </c>
      <c r="AC2553" s="118"/>
      <c r="AD2553" s="159">
        <f>+Table1[[#This Row],[SUBTOTAL]]+Table1[[#This Row],[IVA]]-Table1[[#This Row],[RET IVA]]-Table1[[#This Row],[RET ISR]]-Table1[[#This Row],[TOTAL]]</f>
        <v>0</v>
      </c>
      <c r="AE2553" s="152"/>
      <c r="AF2553" s="153"/>
      <c r="AG2553" s="126"/>
      <c r="AK2553" s="306" t="str">
        <f>IF(ISNUMBER(Table1[[#This Row],[FECHA DE RECIBIDO]]), Table1[[#This Row],[FECHA DE RECIBIDO]]-DATE(2023,8,30), "")</f>
        <v/>
      </c>
    </row>
    <row r="2554" spans="1:37" ht="16.05" customHeight="1">
      <c r="A2554" s="150" t="s">
        <v>3866</v>
      </c>
      <c r="B2554" s="151">
        <v>874</v>
      </c>
      <c r="C2554" s="126" t="s">
        <v>523</v>
      </c>
      <c r="D2554">
        <v>1707</v>
      </c>
      <c r="E2554" s="126" t="s">
        <v>3165</v>
      </c>
      <c r="F2554" s="122" t="s">
        <v>1589</v>
      </c>
      <c r="G2554" s="122" t="s">
        <v>129</v>
      </c>
      <c r="H2554">
        <v>198</v>
      </c>
      <c r="I2554" s="122" t="s">
        <v>1546</v>
      </c>
      <c r="J2554" s="307" t="s">
        <v>214</v>
      </c>
      <c r="K2554" s="127" t="s">
        <v>3806</v>
      </c>
      <c r="L2554" s="151" t="s">
        <v>110</v>
      </c>
      <c r="M2554">
        <v>263</v>
      </c>
      <c r="N2554" s="123">
        <v>63</v>
      </c>
      <c r="O2554">
        <v>1682</v>
      </c>
      <c r="P2554" s="132" t="s">
        <v>77</v>
      </c>
      <c r="Q2554" s="131">
        <v>16000</v>
      </c>
      <c r="R2554" s="131">
        <v>2560</v>
      </c>
      <c r="S2554" s="131"/>
      <c r="T2554" s="155">
        <v>1706.66</v>
      </c>
      <c r="U2554" s="131">
        <v>1600</v>
      </c>
      <c r="V2554" s="131">
        <v>15253.34</v>
      </c>
      <c r="W2554">
        <v>119</v>
      </c>
      <c r="X2554" s="151" t="s">
        <v>1429</v>
      </c>
      <c r="Y2554" s="135" t="s">
        <v>55</v>
      </c>
      <c r="Z2554" s="307">
        <v>240</v>
      </c>
      <c r="AB2554" t="str">
        <f>IF(Table1[[#This Row],[TIPO2]]="costo", VLOOKUP(Table1[[#This Row],[PARTIDA PRESUPUESTAL]],'Cost Report'!G:G,1,0),"Balance")</f>
        <v>2045-004</v>
      </c>
      <c r="AC2554" s="118"/>
      <c r="AD2554" s="159">
        <f>+Table1[[#This Row],[SUBTOTAL]]+Table1[[#This Row],[IVA]]-Table1[[#This Row],[RET IVA]]-Table1[[#This Row],[RET ISR]]-Table1[[#This Row],[TOTAL]]</f>
        <v>0</v>
      </c>
      <c r="AE2554" s="150"/>
      <c r="AF2554" s="151"/>
      <c r="AG2554" s="126"/>
      <c r="AK2554" s="306" t="str">
        <f>IF(ISNUMBER(Table1[[#This Row],[FECHA DE RECIBIDO]]), Table1[[#This Row],[FECHA DE RECIBIDO]]-DATE(2023,8,30), "")</f>
        <v/>
      </c>
    </row>
    <row r="2555" spans="1:37" ht="16.05" customHeight="1">
      <c r="A2555" s="152" t="s">
        <v>3867</v>
      </c>
      <c r="B2555" s="153">
        <v>875</v>
      </c>
      <c r="C2555" s="126" t="s">
        <v>495</v>
      </c>
      <c r="D2555">
        <v>1708</v>
      </c>
      <c r="E2555" s="126" t="s">
        <v>3167</v>
      </c>
      <c r="F2555" s="125" t="s">
        <v>1593</v>
      </c>
      <c r="G2555" s="125" t="s">
        <v>109</v>
      </c>
      <c r="H2555">
        <v>199</v>
      </c>
      <c r="I2555" s="125" t="s">
        <v>1546</v>
      </c>
      <c r="J2555" s="308" t="s">
        <v>214</v>
      </c>
      <c r="K2555" s="127" t="s">
        <v>3806</v>
      </c>
      <c r="L2555" s="153" t="s">
        <v>110</v>
      </c>
      <c r="M2555">
        <v>264</v>
      </c>
      <c r="N2555" s="123">
        <v>64</v>
      </c>
      <c r="O2555">
        <v>1683</v>
      </c>
      <c r="P2555" s="132" t="s">
        <v>77</v>
      </c>
      <c r="Q2555" s="132">
        <v>18000</v>
      </c>
      <c r="R2555" s="132">
        <v>2880</v>
      </c>
      <c r="S2555" s="132"/>
      <c r="T2555" s="156">
        <v>1920</v>
      </c>
      <c r="U2555" s="132">
        <v>225</v>
      </c>
      <c r="V2555" s="132">
        <v>18735</v>
      </c>
      <c r="W2555">
        <v>120</v>
      </c>
      <c r="X2555" s="153" t="s">
        <v>1429</v>
      </c>
      <c r="Y2555" s="124" t="s">
        <v>55</v>
      </c>
      <c r="Z2555" s="308">
        <v>240</v>
      </c>
      <c r="AB2555" t="str">
        <f>IF(Table1[[#This Row],[TIPO2]]="costo", VLOOKUP(Table1[[#This Row],[PARTIDA PRESUPUESTAL]],'Cost Report'!G:G,1,0),"Balance")</f>
        <v>2020-010</v>
      </c>
      <c r="AC2555" s="118"/>
      <c r="AD2555" s="159">
        <f>+Table1[[#This Row],[SUBTOTAL]]+Table1[[#This Row],[IVA]]-Table1[[#This Row],[RET IVA]]-Table1[[#This Row],[RET ISR]]-Table1[[#This Row],[TOTAL]]</f>
        <v>0</v>
      </c>
      <c r="AE2555" s="152"/>
      <c r="AF2555" s="153"/>
      <c r="AG2555" s="126"/>
      <c r="AK2555" s="306" t="str">
        <f>IF(ISNUMBER(Table1[[#This Row],[FECHA DE RECIBIDO]]), Table1[[#This Row],[FECHA DE RECIBIDO]]-DATE(2023,8,30), "")</f>
        <v/>
      </c>
    </row>
    <row r="2556" spans="1:37" ht="16.05" customHeight="1">
      <c r="A2556" s="150" t="s">
        <v>3868</v>
      </c>
      <c r="B2556" s="151">
        <v>876</v>
      </c>
      <c r="C2556" s="126" t="s">
        <v>485</v>
      </c>
      <c r="D2556">
        <v>1709</v>
      </c>
      <c r="E2556" s="126" t="s">
        <v>3169</v>
      </c>
      <c r="F2556" s="122" t="s">
        <v>1593</v>
      </c>
      <c r="G2556" s="122" t="s">
        <v>109</v>
      </c>
      <c r="H2556">
        <v>200</v>
      </c>
      <c r="I2556" s="122" t="s">
        <v>1546</v>
      </c>
      <c r="J2556" s="307" t="s">
        <v>214</v>
      </c>
      <c r="K2556" s="127" t="s">
        <v>3806</v>
      </c>
      <c r="L2556" s="151" t="s">
        <v>110</v>
      </c>
      <c r="M2556">
        <v>265</v>
      </c>
      <c r="N2556" s="123">
        <v>65</v>
      </c>
      <c r="O2556">
        <v>1684</v>
      </c>
      <c r="P2556" s="132" t="s">
        <v>77</v>
      </c>
      <c r="Q2556" s="131">
        <v>12400</v>
      </c>
      <c r="R2556" s="131">
        <v>1984</v>
      </c>
      <c r="S2556" s="131"/>
      <c r="T2556" s="155">
        <v>1322.68</v>
      </c>
      <c r="U2556" s="131">
        <v>155</v>
      </c>
      <c r="V2556" s="131">
        <v>12906.32</v>
      </c>
      <c r="W2556">
        <v>121</v>
      </c>
      <c r="X2556" s="151" t="s">
        <v>1429</v>
      </c>
      <c r="Y2556" s="135" t="s">
        <v>55</v>
      </c>
      <c r="Z2556" s="307">
        <v>240</v>
      </c>
      <c r="AB2556" t="str">
        <f>IF(Table1[[#This Row],[TIPO2]]="costo", VLOOKUP(Table1[[#This Row],[PARTIDA PRESUPUESTAL]],'Cost Report'!G:G,1,0),"Balance")</f>
        <v>2019-004</v>
      </c>
      <c r="AC2556" s="118"/>
      <c r="AD2556" s="159">
        <f>+Table1[[#This Row],[SUBTOTAL]]+Table1[[#This Row],[IVA]]-Table1[[#This Row],[RET IVA]]-Table1[[#This Row],[RET ISR]]-Table1[[#This Row],[TOTAL]]</f>
        <v>0</v>
      </c>
      <c r="AE2556" s="150"/>
      <c r="AF2556" s="151"/>
      <c r="AG2556" s="126"/>
      <c r="AK2556" s="306" t="str">
        <f>IF(ISNUMBER(Table1[[#This Row],[FECHA DE RECIBIDO]]), Table1[[#This Row],[FECHA DE RECIBIDO]]-DATE(2023,8,30), "")</f>
        <v/>
      </c>
    </row>
    <row r="2557" spans="1:37" ht="16.05" customHeight="1">
      <c r="A2557" s="152" t="s">
        <v>3869</v>
      </c>
      <c r="B2557" s="153">
        <v>877</v>
      </c>
      <c r="C2557" s="126" t="s">
        <v>2891</v>
      </c>
      <c r="D2557">
        <v>1710</v>
      </c>
      <c r="E2557" s="126" t="s">
        <v>3171</v>
      </c>
      <c r="F2557" s="125" t="s">
        <v>1602</v>
      </c>
      <c r="G2557" s="125" t="s">
        <v>1617</v>
      </c>
      <c r="H2557">
        <v>201</v>
      </c>
      <c r="I2557" s="125" t="s">
        <v>1546</v>
      </c>
      <c r="J2557" s="308" t="s">
        <v>214</v>
      </c>
      <c r="K2557" s="127" t="s">
        <v>3806</v>
      </c>
      <c r="L2557" s="153" t="s">
        <v>110</v>
      </c>
      <c r="M2557">
        <v>266</v>
      </c>
      <c r="N2557" s="123">
        <v>66</v>
      </c>
      <c r="O2557">
        <v>1685</v>
      </c>
      <c r="P2557" s="132" t="s">
        <v>77</v>
      </c>
      <c r="Q2557" s="132">
        <v>5000</v>
      </c>
      <c r="R2557" s="132">
        <v>800</v>
      </c>
      <c r="S2557" s="132"/>
      <c r="T2557" s="156">
        <v>533.34</v>
      </c>
      <c r="U2557" s="132">
        <v>0</v>
      </c>
      <c r="V2557" s="132">
        <v>5266.66</v>
      </c>
      <c r="W2557">
        <v>122</v>
      </c>
      <c r="X2557" s="153" t="s">
        <v>1434</v>
      </c>
      <c r="Y2557" s="124" t="s">
        <v>55</v>
      </c>
      <c r="Z2557" s="308">
        <v>240</v>
      </c>
      <c r="AB2557" t="str">
        <f>IF(Table1[[#This Row],[TIPO2]]="costo", VLOOKUP(Table1[[#This Row],[PARTIDA PRESUPUESTAL]],'Cost Report'!G:G,1,0),"Balance")</f>
        <v>3683-128</v>
      </c>
      <c r="AC2557" s="118"/>
      <c r="AD2557" s="159">
        <f>+Table1[[#This Row],[SUBTOTAL]]+Table1[[#This Row],[IVA]]-Table1[[#This Row],[RET IVA]]-Table1[[#This Row],[RET ISR]]-Table1[[#This Row],[TOTAL]]</f>
        <v>0</v>
      </c>
      <c r="AE2557" s="152"/>
      <c r="AF2557" s="153"/>
      <c r="AG2557" s="126"/>
      <c r="AK2557" s="306" t="str">
        <f>IF(ISNUMBER(Table1[[#This Row],[FECHA DE RECIBIDO]]), Table1[[#This Row],[FECHA DE RECIBIDO]]-DATE(2023,8,30), "")</f>
        <v/>
      </c>
    </row>
    <row r="2558" spans="1:37" ht="16.05" customHeight="1">
      <c r="A2558" s="150" t="s">
        <v>3870</v>
      </c>
      <c r="B2558" s="151">
        <v>878</v>
      </c>
      <c r="C2558" s="126" t="s">
        <v>499</v>
      </c>
      <c r="D2558">
        <v>1711</v>
      </c>
      <c r="E2558" s="126" t="s">
        <v>1646</v>
      </c>
      <c r="F2558" s="122" t="s">
        <v>1593</v>
      </c>
      <c r="G2558" s="122" t="s">
        <v>109</v>
      </c>
      <c r="H2558">
        <v>342</v>
      </c>
      <c r="I2558" s="122" t="s">
        <v>1546</v>
      </c>
      <c r="J2558" s="307" t="s">
        <v>214</v>
      </c>
      <c r="K2558" s="127" t="s">
        <v>3806</v>
      </c>
      <c r="L2558" s="151" t="s">
        <v>110</v>
      </c>
      <c r="M2558">
        <v>459</v>
      </c>
      <c r="N2558" s="123">
        <v>84</v>
      </c>
      <c r="O2558">
        <v>1686</v>
      </c>
      <c r="P2558" s="132" t="s">
        <v>77</v>
      </c>
      <c r="Q2558" s="131">
        <v>14000</v>
      </c>
      <c r="R2558" s="131">
        <v>2240</v>
      </c>
      <c r="S2558" s="131"/>
      <c r="T2558" s="155">
        <v>1493.34</v>
      </c>
      <c r="U2558" s="131">
        <v>175</v>
      </c>
      <c r="V2558" s="131">
        <v>14571.66</v>
      </c>
      <c r="W2558">
        <v>179</v>
      </c>
      <c r="X2558" s="151" t="s">
        <v>1429</v>
      </c>
      <c r="Y2558" s="135" t="s">
        <v>55</v>
      </c>
      <c r="Z2558" s="307">
        <v>240</v>
      </c>
      <c r="AB2558" t="str">
        <f>IF(Table1[[#This Row],[TIPO2]]="costo", VLOOKUP(Table1[[#This Row],[PARTIDA PRESUPUESTAL]],'Cost Report'!G:G,1,0),"Balance")</f>
        <v>2020-016</v>
      </c>
      <c r="AC2558" s="118"/>
      <c r="AD2558" s="159">
        <f>+Table1[[#This Row],[SUBTOTAL]]+Table1[[#This Row],[IVA]]-Table1[[#This Row],[RET IVA]]-Table1[[#This Row],[RET ISR]]-Table1[[#This Row],[TOTAL]]</f>
        <v>0</v>
      </c>
      <c r="AE2558" s="150"/>
      <c r="AF2558" s="151"/>
      <c r="AG2558" s="126"/>
      <c r="AK2558" s="306" t="str">
        <f>IF(ISNUMBER(Table1[[#This Row],[FECHA DE RECIBIDO]]), Table1[[#This Row],[FECHA DE RECIBIDO]]-DATE(2023,8,30), "")</f>
        <v/>
      </c>
    </row>
    <row r="2559" spans="1:37" ht="16.05" customHeight="1">
      <c r="A2559" s="152" t="s">
        <v>3871</v>
      </c>
      <c r="B2559" s="153">
        <v>879</v>
      </c>
      <c r="C2559" s="126" t="s">
        <v>506</v>
      </c>
      <c r="D2559">
        <v>1712</v>
      </c>
      <c r="E2559" s="126" t="s">
        <v>1603</v>
      </c>
      <c r="F2559" s="125" t="s">
        <v>1589</v>
      </c>
      <c r="G2559" s="125" t="s">
        <v>129</v>
      </c>
      <c r="H2559">
        <v>493</v>
      </c>
      <c r="I2559" s="125" t="s">
        <v>1546</v>
      </c>
      <c r="J2559" s="308" t="s">
        <v>214</v>
      </c>
      <c r="K2559" s="127" t="s">
        <v>3806</v>
      </c>
      <c r="L2559" s="153" t="s">
        <v>110</v>
      </c>
      <c r="M2559">
        <v>717</v>
      </c>
      <c r="N2559" s="123">
        <v>122</v>
      </c>
      <c r="O2559">
        <v>1687</v>
      </c>
      <c r="P2559" s="132" t="s">
        <v>77</v>
      </c>
      <c r="Q2559" s="132">
        <v>8000</v>
      </c>
      <c r="R2559" s="132">
        <v>1280</v>
      </c>
      <c r="S2559" s="132"/>
      <c r="T2559" s="156">
        <v>853.34</v>
      </c>
      <c r="U2559" s="132">
        <v>800</v>
      </c>
      <c r="V2559" s="132">
        <v>7626.66</v>
      </c>
      <c r="W2559">
        <v>265</v>
      </c>
      <c r="X2559" s="153" t="s">
        <v>1429</v>
      </c>
      <c r="Y2559" s="124" t="s">
        <v>55</v>
      </c>
      <c r="Z2559" s="308">
        <v>240</v>
      </c>
      <c r="AB2559" t="str">
        <f>IF(Table1[[#This Row],[TIPO2]]="costo", VLOOKUP(Table1[[#This Row],[PARTIDA PRESUPUESTAL]],'Cost Report'!G:G,1,0),"Balance")</f>
        <v>2020-027</v>
      </c>
      <c r="AC2559" s="118"/>
      <c r="AD2559" s="159">
        <f>+Table1[[#This Row],[SUBTOTAL]]+Table1[[#This Row],[IVA]]-Table1[[#This Row],[RET IVA]]-Table1[[#This Row],[RET ISR]]-Table1[[#This Row],[TOTAL]]</f>
        <v>0</v>
      </c>
      <c r="AE2559" s="152"/>
      <c r="AF2559" s="153"/>
      <c r="AG2559" s="126"/>
      <c r="AK2559" s="306" t="str">
        <f>IF(ISNUMBER(Table1[[#This Row],[FECHA DE RECIBIDO]]), Table1[[#This Row],[FECHA DE RECIBIDO]]-DATE(2023,8,30), "")</f>
        <v/>
      </c>
    </row>
    <row r="2560" spans="1:37" ht="16.05" customHeight="1">
      <c r="A2560" s="150" t="s">
        <v>3872</v>
      </c>
      <c r="B2560" s="151">
        <v>880</v>
      </c>
      <c r="C2560" s="126" t="s">
        <v>506</v>
      </c>
      <c r="D2560">
        <v>1713</v>
      </c>
      <c r="E2560" s="126" t="s">
        <v>1603</v>
      </c>
      <c r="F2560" s="122" t="s">
        <v>1589</v>
      </c>
      <c r="G2560" s="122" t="s">
        <v>129</v>
      </c>
      <c r="H2560">
        <v>493</v>
      </c>
      <c r="I2560" s="122" t="s">
        <v>1546</v>
      </c>
      <c r="J2560" s="307" t="s">
        <v>214</v>
      </c>
      <c r="K2560" s="127" t="s">
        <v>3806</v>
      </c>
      <c r="L2560" s="151" t="s">
        <v>110</v>
      </c>
      <c r="M2560">
        <v>717</v>
      </c>
      <c r="N2560" s="123">
        <v>122</v>
      </c>
      <c r="O2560">
        <v>1688</v>
      </c>
      <c r="P2560" s="132" t="s">
        <v>77</v>
      </c>
      <c r="Q2560" s="131">
        <v>8000</v>
      </c>
      <c r="R2560" s="131">
        <v>1280</v>
      </c>
      <c r="S2560" s="131"/>
      <c r="T2560" s="155">
        <v>853.34</v>
      </c>
      <c r="U2560" s="131">
        <v>800</v>
      </c>
      <c r="V2560" s="131">
        <v>7626.66</v>
      </c>
      <c r="W2560">
        <v>265</v>
      </c>
      <c r="X2560" s="151" t="s">
        <v>1429</v>
      </c>
      <c r="Y2560" s="135" t="s">
        <v>55</v>
      </c>
      <c r="Z2560" s="307">
        <v>240</v>
      </c>
      <c r="AB2560" t="str">
        <f>IF(Table1[[#This Row],[TIPO2]]="costo", VLOOKUP(Table1[[#This Row],[PARTIDA PRESUPUESTAL]],'Cost Report'!G:G,1,0),"Balance")</f>
        <v>2020-027</v>
      </c>
      <c r="AC2560" s="118"/>
      <c r="AD2560" s="159">
        <f>+Table1[[#This Row],[SUBTOTAL]]+Table1[[#This Row],[IVA]]-Table1[[#This Row],[RET IVA]]-Table1[[#This Row],[RET ISR]]-Table1[[#This Row],[TOTAL]]</f>
        <v>0</v>
      </c>
      <c r="AE2560" s="150"/>
      <c r="AF2560" s="151"/>
      <c r="AG2560" s="126"/>
      <c r="AK2560" s="306" t="str">
        <f>IF(ISNUMBER(Table1[[#This Row],[FECHA DE RECIBIDO]]), Table1[[#This Row],[FECHA DE RECIBIDO]]-DATE(2023,8,30), "")</f>
        <v/>
      </c>
    </row>
    <row r="2561" spans="1:37" ht="16.05" customHeight="1">
      <c r="A2561" s="152" t="s">
        <v>3873</v>
      </c>
      <c r="B2561" s="153">
        <v>881</v>
      </c>
      <c r="C2561" s="126" t="s">
        <v>2423</v>
      </c>
      <c r="D2561">
        <v>1714</v>
      </c>
      <c r="E2561" s="126" t="s">
        <v>1997</v>
      </c>
      <c r="F2561" s="125" t="s">
        <v>1589</v>
      </c>
      <c r="G2561" s="125" t="s">
        <v>129</v>
      </c>
      <c r="H2561">
        <v>494</v>
      </c>
      <c r="I2561" s="125" t="s">
        <v>1546</v>
      </c>
      <c r="J2561" s="308" t="s">
        <v>214</v>
      </c>
      <c r="K2561" s="127" t="s">
        <v>3806</v>
      </c>
      <c r="L2561" s="153" t="s">
        <v>110</v>
      </c>
      <c r="M2561">
        <v>718</v>
      </c>
      <c r="N2561" s="123">
        <v>123</v>
      </c>
      <c r="O2561">
        <v>1689</v>
      </c>
      <c r="P2561" s="132" t="s">
        <v>77</v>
      </c>
      <c r="Q2561" s="132">
        <v>12400</v>
      </c>
      <c r="R2561" s="132">
        <v>1984</v>
      </c>
      <c r="S2561" s="132"/>
      <c r="T2561" s="156">
        <v>1322.68</v>
      </c>
      <c r="U2561" s="132">
        <v>1240</v>
      </c>
      <c r="V2561" s="132">
        <v>11821.32</v>
      </c>
      <c r="W2561">
        <v>266</v>
      </c>
      <c r="X2561" s="153" t="s">
        <v>1429</v>
      </c>
      <c r="Y2561" s="124" t="s">
        <v>55</v>
      </c>
      <c r="Z2561" s="308">
        <v>240</v>
      </c>
      <c r="AB2561" t="str">
        <f>IF(Table1[[#This Row],[TIPO2]]="costo", VLOOKUP(Table1[[#This Row],[PARTIDA PRESUPUESTAL]],'Cost Report'!G:G,1,0),"Balance")</f>
        <v>2019-009</v>
      </c>
      <c r="AC2561" s="118"/>
      <c r="AD2561" s="159">
        <f>+Table1[[#This Row],[SUBTOTAL]]+Table1[[#This Row],[IVA]]-Table1[[#This Row],[RET IVA]]-Table1[[#This Row],[RET ISR]]-Table1[[#This Row],[TOTAL]]</f>
        <v>0</v>
      </c>
      <c r="AE2561" s="152"/>
      <c r="AF2561" s="153"/>
      <c r="AG2561" s="126"/>
      <c r="AK2561" s="306" t="str">
        <f>IF(ISNUMBER(Table1[[#This Row],[FECHA DE RECIBIDO]]), Table1[[#This Row],[FECHA DE RECIBIDO]]-DATE(2023,8,30), "")</f>
        <v/>
      </c>
    </row>
    <row r="2562" spans="1:37" ht="16.05" customHeight="1">
      <c r="A2562" s="150" t="s">
        <v>3874</v>
      </c>
      <c r="B2562" s="151">
        <v>882</v>
      </c>
      <c r="C2562" s="126" t="s">
        <v>2424</v>
      </c>
      <c r="D2562">
        <v>1715</v>
      </c>
      <c r="E2562" s="126" t="s">
        <v>1997</v>
      </c>
      <c r="F2562" s="122" t="s">
        <v>1589</v>
      </c>
      <c r="G2562" s="122" t="s">
        <v>129</v>
      </c>
      <c r="H2562">
        <v>494</v>
      </c>
      <c r="I2562" s="122" t="s">
        <v>1546</v>
      </c>
      <c r="J2562" s="307" t="s">
        <v>214</v>
      </c>
      <c r="K2562" s="127" t="s">
        <v>3806</v>
      </c>
      <c r="L2562" s="151" t="s">
        <v>110</v>
      </c>
      <c r="M2562">
        <v>718</v>
      </c>
      <c r="N2562" s="123">
        <v>123</v>
      </c>
      <c r="O2562">
        <v>1690</v>
      </c>
      <c r="P2562" s="132" t="s">
        <v>77</v>
      </c>
      <c r="Q2562" s="131">
        <v>12400</v>
      </c>
      <c r="R2562" s="131">
        <v>1984</v>
      </c>
      <c r="S2562" s="131"/>
      <c r="T2562" s="155">
        <v>1322.68</v>
      </c>
      <c r="U2562" s="131">
        <v>1240</v>
      </c>
      <c r="V2562" s="131">
        <v>11821.32</v>
      </c>
      <c r="W2562">
        <v>266</v>
      </c>
      <c r="X2562" s="151" t="s">
        <v>1429</v>
      </c>
      <c r="Y2562" s="135" t="s">
        <v>55</v>
      </c>
      <c r="Z2562" s="307">
        <v>240</v>
      </c>
      <c r="AB2562" t="str">
        <f>IF(Table1[[#This Row],[TIPO2]]="costo", VLOOKUP(Table1[[#This Row],[PARTIDA PRESUPUESTAL]],'Cost Report'!G:G,1,0),"Balance")</f>
        <v>2019-010</v>
      </c>
      <c r="AC2562" s="118"/>
      <c r="AD2562" s="159">
        <f>+Table1[[#This Row],[SUBTOTAL]]+Table1[[#This Row],[IVA]]-Table1[[#This Row],[RET IVA]]-Table1[[#This Row],[RET ISR]]-Table1[[#This Row],[TOTAL]]</f>
        <v>0</v>
      </c>
      <c r="AE2562" s="150"/>
      <c r="AF2562" s="151"/>
      <c r="AG2562" s="126"/>
      <c r="AK2562" s="306" t="str">
        <f>IF(ISNUMBER(Table1[[#This Row],[FECHA DE RECIBIDO]]), Table1[[#This Row],[FECHA DE RECIBIDO]]-DATE(2023,8,30), "")</f>
        <v/>
      </c>
    </row>
    <row r="2563" spans="1:37" ht="16.05" customHeight="1">
      <c r="A2563" s="152" t="s">
        <v>3875</v>
      </c>
      <c r="B2563" s="153">
        <v>883</v>
      </c>
      <c r="C2563" s="126" t="s">
        <v>2424</v>
      </c>
      <c r="D2563">
        <v>1716</v>
      </c>
      <c r="E2563" s="126" t="s">
        <v>1997</v>
      </c>
      <c r="F2563" s="125" t="s">
        <v>1589</v>
      </c>
      <c r="G2563" s="125" t="s">
        <v>129</v>
      </c>
      <c r="H2563">
        <v>494</v>
      </c>
      <c r="I2563" s="125" t="s">
        <v>1546</v>
      </c>
      <c r="J2563" s="308" t="s">
        <v>214</v>
      </c>
      <c r="K2563" s="127" t="s">
        <v>3806</v>
      </c>
      <c r="L2563" s="153" t="s">
        <v>110</v>
      </c>
      <c r="M2563">
        <v>718</v>
      </c>
      <c r="N2563" s="123">
        <v>123</v>
      </c>
      <c r="O2563">
        <v>1691</v>
      </c>
      <c r="P2563" s="132" t="s">
        <v>77</v>
      </c>
      <c r="Q2563" s="132">
        <v>12400</v>
      </c>
      <c r="R2563" s="132">
        <v>1984</v>
      </c>
      <c r="S2563" s="132"/>
      <c r="T2563" s="156">
        <v>1322.68</v>
      </c>
      <c r="U2563" s="132">
        <v>1240</v>
      </c>
      <c r="V2563" s="132">
        <v>11821.32</v>
      </c>
      <c r="W2563">
        <v>266</v>
      </c>
      <c r="X2563" s="153" t="s">
        <v>1429</v>
      </c>
      <c r="Y2563" s="124" t="s">
        <v>55</v>
      </c>
      <c r="Z2563" s="308">
        <v>240</v>
      </c>
      <c r="AB2563" t="str">
        <f>IF(Table1[[#This Row],[TIPO2]]="costo", VLOOKUP(Table1[[#This Row],[PARTIDA PRESUPUESTAL]],'Cost Report'!G:G,1,0),"Balance")</f>
        <v>2019-010</v>
      </c>
      <c r="AC2563" s="118"/>
      <c r="AD2563" s="159">
        <f>+Table1[[#This Row],[SUBTOTAL]]+Table1[[#This Row],[IVA]]-Table1[[#This Row],[RET IVA]]-Table1[[#This Row],[RET ISR]]-Table1[[#This Row],[TOTAL]]</f>
        <v>0</v>
      </c>
      <c r="AE2563" s="152"/>
      <c r="AF2563" s="153"/>
      <c r="AG2563" s="126"/>
      <c r="AK2563" s="306" t="str">
        <f>IF(ISNUMBER(Table1[[#This Row],[FECHA DE RECIBIDO]]), Table1[[#This Row],[FECHA DE RECIBIDO]]-DATE(2023,8,30), "")</f>
        <v/>
      </c>
    </row>
    <row r="2564" spans="1:37" ht="16.05" customHeight="1">
      <c r="A2564" s="150" t="s">
        <v>3876</v>
      </c>
      <c r="B2564" s="151">
        <v>884</v>
      </c>
      <c r="C2564" s="126" t="s">
        <v>2372</v>
      </c>
      <c r="D2564">
        <v>1717</v>
      </c>
      <c r="E2564" s="126" t="s">
        <v>3877</v>
      </c>
      <c r="F2564" s="122" t="s">
        <v>1589</v>
      </c>
      <c r="G2564" s="122" t="s">
        <v>129</v>
      </c>
      <c r="H2564">
        <v>495</v>
      </c>
      <c r="I2564" s="122" t="s">
        <v>1546</v>
      </c>
      <c r="J2564" s="307" t="s">
        <v>214</v>
      </c>
      <c r="K2564" s="127" t="s">
        <v>3806</v>
      </c>
      <c r="L2564" s="151" t="s">
        <v>110</v>
      </c>
      <c r="M2564">
        <v>719</v>
      </c>
      <c r="N2564" s="123">
        <v>124</v>
      </c>
      <c r="O2564">
        <v>1692</v>
      </c>
      <c r="P2564" s="132" t="s">
        <v>77</v>
      </c>
      <c r="Q2564" s="131">
        <v>20000</v>
      </c>
      <c r="R2564" s="131">
        <v>3200</v>
      </c>
      <c r="S2564" s="131"/>
      <c r="T2564" s="155">
        <v>2133.34</v>
      </c>
      <c r="U2564" s="131">
        <v>2000</v>
      </c>
      <c r="V2564" s="131">
        <v>19066.66</v>
      </c>
      <c r="W2564">
        <v>267</v>
      </c>
      <c r="X2564" s="151" t="s">
        <v>2024</v>
      </c>
      <c r="Y2564" s="135" t="s">
        <v>55</v>
      </c>
      <c r="Z2564" s="307">
        <v>240</v>
      </c>
      <c r="AB2564" t="str">
        <f>IF(Table1[[#This Row],[TIPO2]]="costo", VLOOKUP(Table1[[#This Row],[PARTIDA PRESUPUESTAL]],'Cost Report'!G:G,1,0),"Balance")</f>
        <v>2001-010</v>
      </c>
      <c r="AC2564" s="118"/>
      <c r="AD2564" s="159">
        <f>+Table1[[#This Row],[SUBTOTAL]]+Table1[[#This Row],[IVA]]-Table1[[#This Row],[RET IVA]]-Table1[[#This Row],[RET ISR]]-Table1[[#This Row],[TOTAL]]</f>
        <v>0</v>
      </c>
      <c r="AE2564" s="150"/>
      <c r="AF2564" s="151"/>
      <c r="AG2564" s="126"/>
      <c r="AK2564" s="306" t="str">
        <f>IF(ISNUMBER(Table1[[#This Row],[FECHA DE RECIBIDO]]), Table1[[#This Row],[FECHA DE RECIBIDO]]-DATE(2023,8,30), "")</f>
        <v/>
      </c>
    </row>
    <row r="2565" spans="1:37" ht="16.05" customHeight="1">
      <c r="A2565" s="152" t="s">
        <v>3878</v>
      </c>
      <c r="B2565" s="153">
        <v>885</v>
      </c>
      <c r="C2565" s="126" t="s">
        <v>2373</v>
      </c>
      <c r="D2565">
        <v>1718</v>
      </c>
      <c r="E2565" s="126" t="s">
        <v>3877</v>
      </c>
      <c r="F2565" s="125" t="s">
        <v>1589</v>
      </c>
      <c r="G2565" s="125" t="s">
        <v>129</v>
      </c>
      <c r="H2565">
        <v>495</v>
      </c>
      <c r="I2565" s="125" t="s">
        <v>1546</v>
      </c>
      <c r="J2565" s="308" t="s">
        <v>214</v>
      </c>
      <c r="K2565" s="127" t="s">
        <v>3806</v>
      </c>
      <c r="L2565" s="153" t="s">
        <v>110</v>
      </c>
      <c r="M2565">
        <v>719</v>
      </c>
      <c r="N2565" s="123">
        <v>124</v>
      </c>
      <c r="O2565">
        <v>1693</v>
      </c>
      <c r="P2565" s="132" t="s">
        <v>77</v>
      </c>
      <c r="Q2565" s="132">
        <v>20000</v>
      </c>
      <c r="R2565" s="132">
        <v>3200</v>
      </c>
      <c r="S2565" s="132"/>
      <c r="T2565" s="156">
        <v>2133.34</v>
      </c>
      <c r="U2565" s="132">
        <v>2000</v>
      </c>
      <c r="V2565" s="132">
        <v>19066.66</v>
      </c>
      <c r="W2565">
        <v>267</v>
      </c>
      <c r="X2565" s="153" t="s">
        <v>2024</v>
      </c>
      <c r="Y2565" s="124" t="s">
        <v>55</v>
      </c>
      <c r="Z2565" s="308">
        <v>240</v>
      </c>
      <c r="AB2565" t="str">
        <f>IF(Table1[[#This Row],[TIPO2]]="costo", VLOOKUP(Table1[[#This Row],[PARTIDA PRESUPUESTAL]],'Cost Report'!G:G,1,0),"Balance")</f>
        <v>2001-011</v>
      </c>
      <c r="AC2565" s="118"/>
      <c r="AD2565" s="159">
        <f>+Table1[[#This Row],[SUBTOTAL]]+Table1[[#This Row],[IVA]]-Table1[[#This Row],[RET IVA]]-Table1[[#This Row],[RET ISR]]-Table1[[#This Row],[TOTAL]]</f>
        <v>0</v>
      </c>
      <c r="AE2565" s="152"/>
      <c r="AF2565" s="153"/>
      <c r="AG2565" s="126"/>
      <c r="AK2565" s="306" t="str">
        <f>IF(ISNUMBER(Table1[[#This Row],[FECHA DE RECIBIDO]]), Table1[[#This Row],[FECHA DE RECIBIDO]]-DATE(2023,8,30), "")</f>
        <v/>
      </c>
    </row>
    <row r="2566" spans="1:37" ht="16.05" customHeight="1">
      <c r="A2566" s="150" t="s">
        <v>3879</v>
      </c>
      <c r="B2566" s="151">
        <v>886</v>
      </c>
      <c r="C2566" s="126" t="s">
        <v>508</v>
      </c>
      <c r="D2566">
        <v>1719</v>
      </c>
      <c r="E2566" s="126" t="s">
        <v>3880</v>
      </c>
      <c r="F2566" s="122" t="s">
        <v>1589</v>
      </c>
      <c r="G2566" s="122" t="s">
        <v>129</v>
      </c>
      <c r="H2566">
        <v>496</v>
      </c>
      <c r="I2566" s="122" t="s">
        <v>1546</v>
      </c>
      <c r="J2566" s="307" t="s">
        <v>214</v>
      </c>
      <c r="K2566" s="127" t="s">
        <v>3806</v>
      </c>
      <c r="L2566" s="151" t="s">
        <v>110</v>
      </c>
      <c r="M2566">
        <v>720</v>
      </c>
      <c r="N2566" s="123">
        <v>125</v>
      </c>
      <c r="O2566">
        <v>1694</v>
      </c>
      <c r="P2566" s="132" t="s">
        <v>77</v>
      </c>
      <c r="Q2566" s="131">
        <v>3500</v>
      </c>
      <c r="R2566" s="131">
        <v>560</v>
      </c>
      <c r="S2566" s="131"/>
      <c r="T2566" s="155">
        <v>373.33</v>
      </c>
      <c r="U2566" s="131">
        <v>350</v>
      </c>
      <c r="V2566" s="131">
        <v>3336.67</v>
      </c>
      <c r="W2566">
        <v>268</v>
      </c>
      <c r="X2566" s="151" t="s">
        <v>1430</v>
      </c>
      <c r="Y2566" s="135" t="s">
        <v>55</v>
      </c>
      <c r="Z2566" s="307">
        <v>240</v>
      </c>
      <c r="AB2566" t="str">
        <f>IF(Table1[[#This Row],[TIPO2]]="costo", VLOOKUP(Table1[[#This Row],[PARTIDA PRESUPUESTAL]],'Cost Report'!G:G,1,0),"Balance")</f>
        <v>2020-031</v>
      </c>
      <c r="AC2566" s="118"/>
      <c r="AD2566" s="159">
        <f>+Table1[[#This Row],[SUBTOTAL]]+Table1[[#This Row],[IVA]]-Table1[[#This Row],[RET IVA]]-Table1[[#This Row],[RET ISR]]-Table1[[#This Row],[TOTAL]]</f>
        <v>0</v>
      </c>
      <c r="AE2566" s="150"/>
      <c r="AF2566" s="151"/>
      <c r="AG2566" s="126"/>
      <c r="AK2566" s="306" t="str">
        <f>IF(ISNUMBER(Table1[[#This Row],[FECHA DE RECIBIDO]]), Table1[[#This Row],[FECHA DE RECIBIDO]]-DATE(2023,8,30), "")</f>
        <v/>
      </c>
    </row>
    <row r="2567" spans="1:37" ht="16.05" customHeight="1">
      <c r="A2567" s="152" t="s">
        <v>3881</v>
      </c>
      <c r="B2567" s="153">
        <v>887</v>
      </c>
      <c r="C2567" s="126" t="s">
        <v>509</v>
      </c>
      <c r="D2567">
        <v>1720</v>
      </c>
      <c r="E2567" s="126" t="s">
        <v>3880</v>
      </c>
      <c r="F2567" s="125" t="s">
        <v>1589</v>
      </c>
      <c r="G2567" s="125" t="s">
        <v>129</v>
      </c>
      <c r="H2567">
        <v>496</v>
      </c>
      <c r="I2567" s="125" t="s">
        <v>1546</v>
      </c>
      <c r="J2567" s="308" t="s">
        <v>214</v>
      </c>
      <c r="K2567" s="127" t="s">
        <v>3806</v>
      </c>
      <c r="L2567" s="153" t="s">
        <v>110</v>
      </c>
      <c r="M2567">
        <v>720</v>
      </c>
      <c r="N2567" s="123">
        <v>125</v>
      </c>
      <c r="O2567">
        <v>1695</v>
      </c>
      <c r="P2567" s="132" t="s">
        <v>77</v>
      </c>
      <c r="Q2567" s="132">
        <v>7000</v>
      </c>
      <c r="R2567" s="132">
        <v>1120</v>
      </c>
      <c r="S2567" s="132"/>
      <c r="T2567" s="156">
        <v>746.67</v>
      </c>
      <c r="U2567" s="132">
        <v>700</v>
      </c>
      <c r="V2567" s="132">
        <v>6673.33</v>
      </c>
      <c r="W2567">
        <v>268</v>
      </c>
      <c r="X2567" s="153" t="s">
        <v>1430</v>
      </c>
      <c r="Y2567" s="124" t="s">
        <v>55</v>
      </c>
      <c r="Z2567" s="308">
        <v>240</v>
      </c>
      <c r="AB2567" t="str">
        <f>IF(Table1[[#This Row],[TIPO2]]="costo", VLOOKUP(Table1[[#This Row],[PARTIDA PRESUPUESTAL]],'Cost Report'!G:G,1,0),"Balance")</f>
        <v>2020-032</v>
      </c>
      <c r="AC2567" s="118"/>
      <c r="AD2567" s="159">
        <f>+Table1[[#This Row],[SUBTOTAL]]+Table1[[#This Row],[IVA]]-Table1[[#This Row],[RET IVA]]-Table1[[#This Row],[RET ISR]]-Table1[[#This Row],[TOTAL]]</f>
        <v>0</v>
      </c>
      <c r="AE2567" s="152"/>
      <c r="AF2567" s="153"/>
      <c r="AG2567" s="126"/>
      <c r="AK2567" s="306" t="str">
        <f>IF(ISNUMBER(Table1[[#This Row],[FECHA DE RECIBIDO]]), Table1[[#This Row],[FECHA DE RECIBIDO]]-DATE(2023,8,30), "")</f>
        <v/>
      </c>
    </row>
    <row r="2568" spans="1:37" ht="16.05" customHeight="1">
      <c r="A2568" s="150" t="s">
        <v>3882</v>
      </c>
      <c r="B2568" s="151">
        <v>888</v>
      </c>
      <c r="C2568" s="126" t="s">
        <v>2378</v>
      </c>
      <c r="D2568">
        <v>1721</v>
      </c>
      <c r="E2568" s="126" t="s">
        <v>1595</v>
      </c>
      <c r="F2568" s="122" t="s">
        <v>1589</v>
      </c>
      <c r="G2568" s="122" t="s">
        <v>129</v>
      </c>
      <c r="H2568">
        <v>7</v>
      </c>
      <c r="I2568" s="122" t="s">
        <v>1546</v>
      </c>
      <c r="J2568" s="307" t="s">
        <v>214</v>
      </c>
      <c r="K2568" s="127" t="s">
        <v>3806</v>
      </c>
      <c r="L2568" s="151" t="s">
        <v>110</v>
      </c>
      <c r="M2568">
        <v>24</v>
      </c>
      <c r="N2568" s="123">
        <v>6</v>
      </c>
      <c r="O2568">
        <v>1696</v>
      </c>
      <c r="P2568" s="132" t="s">
        <v>77</v>
      </c>
      <c r="Q2568" s="131">
        <v>52500</v>
      </c>
      <c r="R2568" s="131">
        <v>8400</v>
      </c>
      <c r="S2568" s="131"/>
      <c r="T2568" s="155">
        <v>5600.02</v>
      </c>
      <c r="U2568" s="131">
        <v>5250</v>
      </c>
      <c r="V2568" s="131">
        <v>50049.979999999996</v>
      </c>
      <c r="W2568">
        <v>7</v>
      </c>
      <c r="X2568" s="151" t="s">
        <v>1431</v>
      </c>
      <c r="Y2568" s="135" t="s">
        <v>55</v>
      </c>
      <c r="Z2568" s="307">
        <v>240</v>
      </c>
      <c r="AB2568" t="str">
        <f>IF(Table1[[#This Row],[TIPO2]]="costo", VLOOKUP(Table1[[#This Row],[PARTIDA PRESUPUESTAL]],'Cost Report'!G:G,1,0),"Balance")</f>
        <v>2004-005</v>
      </c>
      <c r="AC2568" s="118"/>
      <c r="AD2568" s="159">
        <f>+Table1[[#This Row],[SUBTOTAL]]+Table1[[#This Row],[IVA]]-Table1[[#This Row],[RET IVA]]-Table1[[#This Row],[RET ISR]]-Table1[[#This Row],[TOTAL]]</f>
        <v>0</v>
      </c>
      <c r="AE2568" s="150"/>
      <c r="AF2568" s="151"/>
      <c r="AG2568" s="126"/>
      <c r="AK2568" s="306" t="str">
        <f>IF(ISNUMBER(Table1[[#This Row],[FECHA DE RECIBIDO]]), Table1[[#This Row],[FECHA DE RECIBIDO]]-DATE(2023,8,30), "")</f>
        <v/>
      </c>
    </row>
    <row r="2569" spans="1:37" ht="16.05" customHeight="1">
      <c r="A2569" s="152" t="s">
        <v>3883</v>
      </c>
      <c r="B2569" s="153">
        <v>889</v>
      </c>
      <c r="C2569" s="126" t="s">
        <v>448</v>
      </c>
      <c r="D2569">
        <v>1722</v>
      </c>
      <c r="E2569" s="126" t="s">
        <v>1577</v>
      </c>
      <c r="F2569" s="125" t="s">
        <v>1593</v>
      </c>
      <c r="G2569" s="125" t="s">
        <v>109</v>
      </c>
      <c r="H2569">
        <v>19</v>
      </c>
      <c r="I2569" s="125" t="s">
        <v>1546</v>
      </c>
      <c r="J2569" s="308" t="s">
        <v>214</v>
      </c>
      <c r="K2569" s="127" t="s">
        <v>3806</v>
      </c>
      <c r="L2569" s="153" t="s">
        <v>110</v>
      </c>
      <c r="M2569">
        <v>25</v>
      </c>
      <c r="N2569" s="123">
        <v>7</v>
      </c>
      <c r="O2569">
        <v>1697</v>
      </c>
      <c r="P2569" s="132" t="s">
        <v>77</v>
      </c>
      <c r="Q2569" s="132">
        <v>31500</v>
      </c>
      <c r="R2569" s="132">
        <v>5040</v>
      </c>
      <c r="S2569" s="132"/>
      <c r="T2569" s="156">
        <v>3360.1</v>
      </c>
      <c r="U2569" s="132">
        <v>393.76</v>
      </c>
      <c r="V2569" s="132">
        <v>32786.14</v>
      </c>
      <c r="W2569">
        <v>19</v>
      </c>
      <c r="X2569" s="153" t="s">
        <v>1429</v>
      </c>
      <c r="Y2569" s="124" t="s">
        <v>55</v>
      </c>
      <c r="Z2569" s="308">
        <v>240</v>
      </c>
      <c r="AB2569" t="str">
        <f>IF(Table1[[#This Row],[TIPO2]]="costo", VLOOKUP(Table1[[#This Row],[PARTIDA PRESUPUESTAL]],'Cost Report'!G:G,1,0),"Balance")</f>
        <v>2005-005</v>
      </c>
      <c r="AC2569" s="118"/>
      <c r="AD2569" s="159">
        <f>+Table1[[#This Row],[SUBTOTAL]]+Table1[[#This Row],[IVA]]-Table1[[#This Row],[RET IVA]]-Table1[[#This Row],[RET ISR]]-Table1[[#This Row],[TOTAL]]</f>
        <v>0</v>
      </c>
      <c r="AE2569" s="152"/>
      <c r="AF2569" s="153"/>
      <c r="AG2569" s="126"/>
      <c r="AK2569" s="306" t="str">
        <f>IF(ISNUMBER(Table1[[#This Row],[FECHA DE RECIBIDO]]), Table1[[#This Row],[FECHA DE RECIBIDO]]-DATE(2023,8,30), "")</f>
        <v/>
      </c>
    </row>
    <row r="2570" spans="1:37" ht="16.05" customHeight="1">
      <c r="A2570" s="150" t="s">
        <v>3884</v>
      </c>
      <c r="B2570" s="151">
        <v>890</v>
      </c>
      <c r="C2570" s="126" t="s">
        <v>451</v>
      </c>
      <c r="D2570">
        <v>1723</v>
      </c>
      <c r="E2570" s="126" t="s">
        <v>1890</v>
      </c>
      <c r="F2570" s="122" t="s">
        <v>1593</v>
      </c>
      <c r="G2570" s="122" t="s">
        <v>109</v>
      </c>
      <c r="H2570">
        <v>63</v>
      </c>
      <c r="I2570" s="122" t="s">
        <v>1546</v>
      </c>
      <c r="J2570" s="307" t="s">
        <v>214</v>
      </c>
      <c r="K2570" s="127" t="s">
        <v>3806</v>
      </c>
      <c r="L2570" s="151" t="s">
        <v>110</v>
      </c>
      <c r="M2570">
        <v>86</v>
      </c>
      <c r="N2570" s="123">
        <v>23</v>
      </c>
      <c r="O2570">
        <v>1698</v>
      </c>
      <c r="P2570" s="132" t="s">
        <v>77</v>
      </c>
      <c r="Q2570" s="131">
        <v>30000</v>
      </c>
      <c r="R2570" s="131">
        <v>4800</v>
      </c>
      <c r="S2570" s="131"/>
      <c r="T2570" s="155">
        <v>3200</v>
      </c>
      <c r="U2570" s="131">
        <v>375</v>
      </c>
      <c r="V2570" s="131">
        <v>31225</v>
      </c>
      <c r="W2570">
        <v>45</v>
      </c>
      <c r="X2570" s="151" t="s">
        <v>1429</v>
      </c>
      <c r="Y2570" s="135" t="s">
        <v>55</v>
      </c>
      <c r="Z2570" s="307">
        <v>240</v>
      </c>
      <c r="AB2570" t="str">
        <f>IF(Table1[[#This Row],[TIPO2]]="costo", VLOOKUP(Table1[[#This Row],[PARTIDA PRESUPUESTAL]],'Cost Report'!G:G,1,0),"Balance")</f>
        <v>2005-010</v>
      </c>
      <c r="AC2570" s="118"/>
      <c r="AD2570" s="159">
        <f>+Table1[[#This Row],[SUBTOTAL]]+Table1[[#This Row],[IVA]]-Table1[[#This Row],[RET IVA]]-Table1[[#This Row],[RET ISR]]-Table1[[#This Row],[TOTAL]]</f>
        <v>0</v>
      </c>
      <c r="AE2570" s="150"/>
      <c r="AF2570" s="151"/>
      <c r="AG2570" s="126"/>
      <c r="AK2570" s="306" t="str">
        <f>IF(ISNUMBER(Table1[[#This Row],[FECHA DE RECIBIDO]]), Table1[[#This Row],[FECHA DE RECIBIDO]]-DATE(2023,8,30), "")</f>
        <v/>
      </c>
    </row>
    <row r="2571" spans="1:37" ht="16.05" customHeight="1">
      <c r="A2571" s="152" t="s">
        <v>3885</v>
      </c>
      <c r="B2571" s="153">
        <v>891</v>
      </c>
      <c r="C2571" s="126" t="s">
        <v>2380</v>
      </c>
      <c r="D2571">
        <v>1724</v>
      </c>
      <c r="E2571" s="126" t="s">
        <v>1622</v>
      </c>
      <c r="F2571" s="125" t="s">
        <v>1589</v>
      </c>
      <c r="G2571" s="125" t="s">
        <v>129</v>
      </c>
      <c r="H2571">
        <v>106</v>
      </c>
      <c r="I2571" s="125" t="s">
        <v>1546</v>
      </c>
      <c r="J2571" s="308" t="s">
        <v>214</v>
      </c>
      <c r="K2571" s="127" t="s">
        <v>3806</v>
      </c>
      <c r="L2571" s="153" t="s">
        <v>110</v>
      </c>
      <c r="M2571">
        <v>144</v>
      </c>
      <c r="N2571" s="123">
        <v>36</v>
      </c>
      <c r="O2571">
        <v>1699</v>
      </c>
      <c r="P2571" s="132" t="s">
        <v>77</v>
      </c>
      <c r="Q2571" s="132">
        <v>30000</v>
      </c>
      <c r="R2571" s="132">
        <v>4800</v>
      </c>
      <c r="S2571" s="132"/>
      <c r="T2571" s="156">
        <v>3200</v>
      </c>
      <c r="U2571" s="132">
        <v>3000</v>
      </c>
      <c r="V2571" s="132">
        <v>28600</v>
      </c>
      <c r="W2571">
        <v>68</v>
      </c>
      <c r="X2571" s="153" t="s">
        <v>1429</v>
      </c>
      <c r="Y2571" s="124" t="s">
        <v>55</v>
      </c>
      <c r="Z2571" s="308">
        <v>240</v>
      </c>
      <c r="AB2571" t="str">
        <f>IF(Table1[[#This Row],[TIPO2]]="costo", VLOOKUP(Table1[[#This Row],[PARTIDA PRESUPUESTAL]],'Cost Report'!G:G,1,0),"Balance")</f>
        <v>2005-015</v>
      </c>
      <c r="AC2571" s="118"/>
      <c r="AD2571" s="159">
        <f>+Table1[[#This Row],[SUBTOTAL]]+Table1[[#This Row],[IVA]]-Table1[[#This Row],[RET IVA]]-Table1[[#This Row],[RET ISR]]-Table1[[#This Row],[TOTAL]]</f>
        <v>0</v>
      </c>
      <c r="AE2571" s="152"/>
      <c r="AF2571" s="153"/>
      <c r="AG2571" s="126"/>
      <c r="AK2571" s="306" t="str">
        <f>IF(ISNUMBER(Table1[[#This Row],[FECHA DE RECIBIDO]]), Table1[[#This Row],[FECHA DE RECIBIDO]]-DATE(2023,8,30), "")</f>
        <v/>
      </c>
    </row>
    <row r="2572" spans="1:37" ht="16.05" customHeight="1">
      <c r="A2572" s="150" t="s">
        <v>3886</v>
      </c>
      <c r="B2572" s="151">
        <v>892</v>
      </c>
      <c r="C2572" s="126" t="s">
        <v>456</v>
      </c>
      <c r="D2572">
        <v>1725</v>
      </c>
      <c r="E2572" s="126" t="s">
        <v>3179</v>
      </c>
      <c r="F2572" s="122" t="s">
        <v>1589</v>
      </c>
      <c r="G2572" s="122" t="s">
        <v>129</v>
      </c>
      <c r="H2572">
        <v>202</v>
      </c>
      <c r="I2572" s="122" t="s">
        <v>1546</v>
      </c>
      <c r="J2572" s="307" t="s">
        <v>214</v>
      </c>
      <c r="K2572" s="127" t="s">
        <v>3806</v>
      </c>
      <c r="L2572" s="151" t="s">
        <v>110</v>
      </c>
      <c r="M2572">
        <v>267</v>
      </c>
      <c r="N2572" s="123">
        <v>67</v>
      </c>
      <c r="O2572">
        <v>1700</v>
      </c>
      <c r="P2572" s="132" t="s">
        <v>77</v>
      </c>
      <c r="Q2572" s="131">
        <v>15000</v>
      </c>
      <c r="R2572" s="131">
        <v>2400</v>
      </c>
      <c r="S2572" s="131"/>
      <c r="T2572" s="155">
        <v>1600</v>
      </c>
      <c r="U2572" s="131">
        <v>1500</v>
      </c>
      <c r="V2572" s="131">
        <v>14300</v>
      </c>
      <c r="W2572">
        <v>123</v>
      </c>
      <c r="X2572" s="151" t="s">
        <v>1430</v>
      </c>
      <c r="Y2572" s="135" t="s">
        <v>55</v>
      </c>
      <c r="Z2572" s="307">
        <v>240</v>
      </c>
      <c r="AB2572" t="str">
        <f>IF(Table1[[#This Row],[TIPO2]]="costo", VLOOKUP(Table1[[#This Row],[PARTIDA PRESUPUESTAL]],'Cost Report'!G:G,1,0),"Balance")</f>
        <v>2006-004</v>
      </c>
      <c r="AC2572" s="118"/>
      <c r="AD2572" s="159">
        <f>+Table1[[#This Row],[SUBTOTAL]]+Table1[[#This Row],[IVA]]-Table1[[#This Row],[RET IVA]]-Table1[[#This Row],[RET ISR]]-Table1[[#This Row],[TOTAL]]</f>
        <v>0</v>
      </c>
      <c r="AE2572" s="150"/>
      <c r="AF2572" s="151"/>
      <c r="AG2572" s="126"/>
      <c r="AK2572" s="306" t="str">
        <f>IF(ISNUMBER(Table1[[#This Row],[FECHA DE RECIBIDO]]), Table1[[#This Row],[FECHA DE RECIBIDO]]-DATE(2023,8,30), "")</f>
        <v/>
      </c>
    </row>
    <row r="2573" spans="1:37" ht="16.05" customHeight="1">
      <c r="A2573" s="152" t="s">
        <v>3887</v>
      </c>
      <c r="B2573" s="153">
        <v>893</v>
      </c>
      <c r="C2573" s="126" t="s">
        <v>456</v>
      </c>
      <c r="D2573">
        <v>1726</v>
      </c>
      <c r="E2573" s="126" t="s">
        <v>3179</v>
      </c>
      <c r="F2573" s="125" t="s">
        <v>1589</v>
      </c>
      <c r="G2573" s="125" t="s">
        <v>129</v>
      </c>
      <c r="H2573">
        <v>202</v>
      </c>
      <c r="I2573" s="125" t="s">
        <v>1546</v>
      </c>
      <c r="J2573" s="308" t="s">
        <v>214</v>
      </c>
      <c r="K2573" s="127" t="s">
        <v>3806</v>
      </c>
      <c r="L2573" s="153" t="s">
        <v>110</v>
      </c>
      <c r="M2573">
        <v>267</v>
      </c>
      <c r="N2573" s="123">
        <v>67</v>
      </c>
      <c r="O2573">
        <v>1701</v>
      </c>
      <c r="P2573" s="132" t="s">
        <v>77</v>
      </c>
      <c r="Q2573" s="132">
        <v>15000</v>
      </c>
      <c r="R2573" s="132">
        <v>2400</v>
      </c>
      <c r="S2573" s="132"/>
      <c r="T2573" s="156">
        <v>1600</v>
      </c>
      <c r="U2573" s="132">
        <v>1500</v>
      </c>
      <c r="V2573" s="132">
        <v>14300</v>
      </c>
      <c r="W2573">
        <v>123</v>
      </c>
      <c r="X2573" s="153" t="s">
        <v>1430</v>
      </c>
      <c r="Y2573" s="124" t="s">
        <v>55</v>
      </c>
      <c r="Z2573" s="308">
        <v>240</v>
      </c>
      <c r="AB2573" t="str">
        <f>IF(Table1[[#This Row],[TIPO2]]="costo", VLOOKUP(Table1[[#This Row],[PARTIDA PRESUPUESTAL]],'Cost Report'!G:G,1,0),"Balance")</f>
        <v>2006-004</v>
      </c>
      <c r="AC2573" s="118"/>
      <c r="AD2573" s="159">
        <f>+Table1[[#This Row],[SUBTOTAL]]+Table1[[#This Row],[IVA]]-Table1[[#This Row],[RET IVA]]-Table1[[#This Row],[RET ISR]]-Table1[[#This Row],[TOTAL]]</f>
        <v>0</v>
      </c>
      <c r="AE2573" s="152"/>
      <c r="AF2573" s="153"/>
      <c r="AG2573" s="126"/>
      <c r="AK2573" s="306" t="str">
        <f>IF(ISNUMBER(Table1[[#This Row],[FECHA DE RECIBIDO]]), Table1[[#This Row],[FECHA DE RECIBIDO]]-DATE(2023,8,30), "")</f>
        <v/>
      </c>
    </row>
    <row r="2574" spans="1:37" ht="16.05" customHeight="1">
      <c r="A2574" s="150" t="s">
        <v>3888</v>
      </c>
      <c r="B2574" s="151">
        <v>894</v>
      </c>
      <c r="C2574" s="126" t="s">
        <v>252</v>
      </c>
      <c r="D2574">
        <v>1727</v>
      </c>
      <c r="E2574" s="126" t="s">
        <v>3181</v>
      </c>
      <c r="F2574" s="122" t="s">
        <v>1589</v>
      </c>
      <c r="G2574" s="122" t="s">
        <v>129</v>
      </c>
      <c r="H2574">
        <v>203</v>
      </c>
      <c r="I2574" s="122" t="s">
        <v>1546</v>
      </c>
      <c r="J2574" s="307" t="s">
        <v>214</v>
      </c>
      <c r="K2574" s="127" t="s">
        <v>3806</v>
      </c>
      <c r="L2574" s="151" t="s">
        <v>110</v>
      </c>
      <c r="M2574">
        <v>268</v>
      </c>
      <c r="N2574" s="123">
        <v>68</v>
      </c>
      <c r="O2574">
        <v>1702</v>
      </c>
      <c r="P2574" s="132" t="s">
        <v>77</v>
      </c>
      <c r="Q2574" s="131">
        <v>184800</v>
      </c>
      <c r="R2574" s="131">
        <v>29568</v>
      </c>
      <c r="S2574" s="131"/>
      <c r="T2574" s="155">
        <v>19712.060000000001</v>
      </c>
      <c r="U2574" s="131">
        <v>18480</v>
      </c>
      <c r="V2574" s="131">
        <v>176175.94</v>
      </c>
      <c r="W2574">
        <v>124</v>
      </c>
      <c r="X2574" s="151" t="s">
        <v>1434</v>
      </c>
      <c r="Y2574" s="135" t="s">
        <v>55</v>
      </c>
      <c r="Z2574" s="307">
        <v>240</v>
      </c>
      <c r="AB2574" t="str">
        <f>IF(Table1[[#This Row],[TIPO2]]="costo", VLOOKUP(Table1[[#This Row],[PARTIDA PRESUPUESTAL]],'Cost Report'!G:G,1,0),"Balance")</f>
        <v>1301-003</v>
      </c>
      <c r="AC2574" s="118"/>
      <c r="AD2574" s="159">
        <f>+Table1[[#This Row],[SUBTOTAL]]+Table1[[#This Row],[IVA]]-Table1[[#This Row],[RET IVA]]-Table1[[#This Row],[RET ISR]]-Table1[[#This Row],[TOTAL]]</f>
        <v>0</v>
      </c>
      <c r="AE2574" s="150"/>
      <c r="AF2574" s="151"/>
      <c r="AG2574" s="126"/>
      <c r="AK2574" s="306" t="str">
        <f>IF(ISNUMBER(Table1[[#This Row],[FECHA DE RECIBIDO]]), Table1[[#This Row],[FECHA DE RECIBIDO]]-DATE(2023,8,30), "")</f>
        <v/>
      </c>
    </row>
    <row r="2575" spans="1:37" ht="16.05" customHeight="1">
      <c r="A2575" s="152" t="s">
        <v>3889</v>
      </c>
      <c r="B2575" s="153">
        <v>895</v>
      </c>
      <c r="C2575" s="126" t="s">
        <v>272</v>
      </c>
      <c r="D2575">
        <v>1728</v>
      </c>
      <c r="E2575" s="126" t="s">
        <v>3395</v>
      </c>
      <c r="F2575" s="125" t="s">
        <v>1589</v>
      </c>
      <c r="G2575" s="125" t="s">
        <v>129</v>
      </c>
      <c r="H2575">
        <v>254</v>
      </c>
      <c r="I2575" s="125" t="s">
        <v>1546</v>
      </c>
      <c r="J2575" s="308" t="s">
        <v>214</v>
      </c>
      <c r="K2575" s="127" t="s">
        <v>3806</v>
      </c>
      <c r="L2575" s="153" t="s">
        <v>110</v>
      </c>
      <c r="M2575">
        <v>334</v>
      </c>
      <c r="N2575" s="123">
        <v>75</v>
      </c>
      <c r="O2575">
        <v>1703</v>
      </c>
      <c r="P2575" s="132" t="s">
        <v>77</v>
      </c>
      <c r="Q2575" s="132">
        <v>66300</v>
      </c>
      <c r="R2575" s="132">
        <v>10608</v>
      </c>
      <c r="S2575" s="132"/>
      <c r="T2575" s="156">
        <v>7072.02</v>
      </c>
      <c r="U2575" s="132">
        <v>6630</v>
      </c>
      <c r="V2575" s="132">
        <v>63205.979999999996</v>
      </c>
      <c r="W2575">
        <v>154</v>
      </c>
      <c r="X2575" s="153" t="s">
        <v>1429</v>
      </c>
      <c r="Y2575" s="124" t="s">
        <v>55</v>
      </c>
      <c r="Z2575" s="308">
        <v>240</v>
      </c>
      <c r="AB2575" t="str">
        <f>IF(Table1[[#This Row],[TIPO2]]="costo", VLOOKUP(Table1[[#This Row],[PARTIDA PRESUPUESTAL]],'Cost Report'!G:G,1,0),"Balance")</f>
        <v>1302-004</v>
      </c>
      <c r="AC2575" s="118"/>
      <c r="AD2575" s="159">
        <f>+Table1[[#This Row],[SUBTOTAL]]+Table1[[#This Row],[IVA]]-Table1[[#This Row],[RET IVA]]-Table1[[#This Row],[RET ISR]]-Table1[[#This Row],[TOTAL]]</f>
        <v>0</v>
      </c>
      <c r="AE2575" s="152"/>
      <c r="AF2575" s="153"/>
      <c r="AG2575" s="126"/>
      <c r="AK2575" s="306" t="str">
        <f>IF(ISNUMBER(Table1[[#This Row],[FECHA DE RECIBIDO]]), Table1[[#This Row],[FECHA DE RECIBIDO]]-DATE(2023,8,30), "")</f>
        <v/>
      </c>
    </row>
    <row r="2576" spans="1:37" ht="16.05" customHeight="1">
      <c r="A2576" s="150" t="s">
        <v>3890</v>
      </c>
      <c r="B2576" s="151">
        <v>896</v>
      </c>
      <c r="C2576" s="126" t="s">
        <v>460</v>
      </c>
      <c r="D2576">
        <v>1729</v>
      </c>
      <c r="E2576" s="126" t="s">
        <v>3640</v>
      </c>
      <c r="F2576" s="122" t="s">
        <v>1602</v>
      </c>
      <c r="G2576" s="122" t="s">
        <v>1617</v>
      </c>
      <c r="H2576">
        <v>343</v>
      </c>
      <c r="I2576" s="122" t="s">
        <v>1546</v>
      </c>
      <c r="J2576" s="307" t="s">
        <v>214</v>
      </c>
      <c r="K2576" s="127" t="s">
        <v>3806</v>
      </c>
      <c r="L2576" s="151" t="s">
        <v>110</v>
      </c>
      <c r="M2576">
        <v>460</v>
      </c>
      <c r="N2576" s="123">
        <v>85</v>
      </c>
      <c r="O2576">
        <v>1704</v>
      </c>
      <c r="P2576" s="132" t="s">
        <v>77</v>
      </c>
      <c r="Q2576" s="131">
        <v>17000</v>
      </c>
      <c r="R2576" s="131">
        <v>2720</v>
      </c>
      <c r="S2576" s="131"/>
      <c r="T2576" s="155">
        <v>1813.34</v>
      </c>
      <c r="U2576" s="131">
        <v>0</v>
      </c>
      <c r="V2576" s="131">
        <v>17906.66</v>
      </c>
      <c r="W2576">
        <v>180</v>
      </c>
      <c r="X2576" s="151" t="s">
        <v>1429</v>
      </c>
      <c r="Y2576" s="135" t="s">
        <v>55</v>
      </c>
      <c r="Z2576" s="307">
        <v>240</v>
      </c>
      <c r="AB2576" t="str">
        <f>IF(Table1[[#This Row],[TIPO2]]="costo", VLOOKUP(Table1[[#This Row],[PARTIDA PRESUPUESTAL]],'Cost Report'!G:G,1,0),"Balance")</f>
        <v>2009-004</v>
      </c>
      <c r="AC2576" s="118"/>
      <c r="AD2576" s="159">
        <f>+Table1[[#This Row],[SUBTOTAL]]+Table1[[#This Row],[IVA]]-Table1[[#This Row],[RET IVA]]-Table1[[#This Row],[RET ISR]]-Table1[[#This Row],[TOTAL]]</f>
        <v>0</v>
      </c>
      <c r="AE2576" s="150"/>
      <c r="AF2576" s="151"/>
      <c r="AG2576" s="126"/>
      <c r="AK2576" s="306" t="str">
        <f>IF(ISNUMBER(Table1[[#This Row],[FECHA DE RECIBIDO]]), Table1[[#This Row],[FECHA DE RECIBIDO]]-DATE(2023,8,30), "")</f>
        <v/>
      </c>
    </row>
    <row r="2577" spans="1:37" ht="16.05" customHeight="1">
      <c r="A2577" s="152" t="s">
        <v>3891</v>
      </c>
      <c r="B2577" s="153">
        <v>897</v>
      </c>
      <c r="C2577" s="126" t="s">
        <v>460</v>
      </c>
      <c r="D2577">
        <v>1730</v>
      </c>
      <c r="E2577" s="126" t="s">
        <v>3640</v>
      </c>
      <c r="F2577" s="125" t="s">
        <v>1602</v>
      </c>
      <c r="G2577" s="125" t="s">
        <v>1617</v>
      </c>
      <c r="H2577">
        <v>343</v>
      </c>
      <c r="I2577" s="125" t="s">
        <v>1546</v>
      </c>
      <c r="J2577" s="308" t="s">
        <v>214</v>
      </c>
      <c r="K2577" s="127" t="s">
        <v>3806</v>
      </c>
      <c r="L2577" s="153" t="s">
        <v>110</v>
      </c>
      <c r="M2577">
        <v>460</v>
      </c>
      <c r="N2577" s="123">
        <v>85</v>
      </c>
      <c r="O2577">
        <v>1705</v>
      </c>
      <c r="P2577" s="132" t="s">
        <v>77</v>
      </c>
      <c r="Q2577" s="132">
        <v>17000</v>
      </c>
      <c r="R2577" s="132">
        <v>2720</v>
      </c>
      <c r="S2577" s="132"/>
      <c r="T2577" s="156">
        <v>1813.34</v>
      </c>
      <c r="U2577" s="132">
        <v>0</v>
      </c>
      <c r="V2577" s="132">
        <v>17906.66</v>
      </c>
      <c r="W2577">
        <v>180</v>
      </c>
      <c r="X2577" s="153" t="s">
        <v>1429</v>
      </c>
      <c r="Y2577" s="124" t="s">
        <v>55</v>
      </c>
      <c r="Z2577" s="308">
        <v>240</v>
      </c>
      <c r="AB2577" t="str">
        <f>IF(Table1[[#This Row],[TIPO2]]="costo", VLOOKUP(Table1[[#This Row],[PARTIDA PRESUPUESTAL]],'Cost Report'!G:G,1,0),"Balance")</f>
        <v>2009-004</v>
      </c>
      <c r="AC2577" s="118"/>
      <c r="AD2577" s="159">
        <f>+Table1[[#This Row],[SUBTOTAL]]+Table1[[#This Row],[IVA]]-Table1[[#This Row],[RET IVA]]-Table1[[#This Row],[RET ISR]]-Table1[[#This Row],[TOTAL]]</f>
        <v>0</v>
      </c>
      <c r="AE2577" s="152"/>
      <c r="AF2577" s="153"/>
      <c r="AG2577" s="126"/>
      <c r="AK2577" s="306" t="str">
        <f>IF(ISNUMBER(Table1[[#This Row],[FECHA DE RECIBIDO]]), Table1[[#This Row],[FECHA DE RECIBIDO]]-DATE(2023,8,30), "")</f>
        <v/>
      </c>
    </row>
    <row r="2578" spans="1:37" ht="16.05" customHeight="1">
      <c r="A2578" s="150" t="s">
        <v>3892</v>
      </c>
      <c r="B2578" s="151">
        <v>898</v>
      </c>
      <c r="C2578" s="126" t="s">
        <v>258</v>
      </c>
      <c r="D2578">
        <v>1731</v>
      </c>
      <c r="E2578" s="126" t="s">
        <v>3641</v>
      </c>
      <c r="F2578" s="122" t="s">
        <v>1589</v>
      </c>
      <c r="G2578" s="122" t="s">
        <v>129</v>
      </c>
      <c r="H2578">
        <v>344</v>
      </c>
      <c r="I2578" s="122" t="s">
        <v>1546</v>
      </c>
      <c r="J2578" s="307" t="s">
        <v>214</v>
      </c>
      <c r="K2578" s="127" t="s">
        <v>3806</v>
      </c>
      <c r="L2578" s="151" t="s">
        <v>110</v>
      </c>
      <c r="M2578">
        <v>461</v>
      </c>
      <c r="N2578" s="123">
        <v>86</v>
      </c>
      <c r="O2578">
        <v>1706</v>
      </c>
      <c r="P2578" s="132" t="s">
        <v>77</v>
      </c>
      <c r="Q2578" s="131">
        <v>157080</v>
      </c>
      <c r="R2578" s="131">
        <v>25132.799999999999</v>
      </c>
      <c r="S2578" s="131"/>
      <c r="T2578" s="155">
        <v>16755.25</v>
      </c>
      <c r="U2578" s="131">
        <v>15708</v>
      </c>
      <c r="V2578" s="131">
        <v>149749.54999999999</v>
      </c>
      <c r="W2578">
        <v>181</v>
      </c>
      <c r="X2578" s="151" t="s">
        <v>2024</v>
      </c>
      <c r="Y2578" s="135" t="s">
        <v>55</v>
      </c>
      <c r="Z2578" s="307">
        <v>240</v>
      </c>
      <c r="AB2578" t="str">
        <f>IF(Table1[[#This Row],[TIPO2]]="costo", VLOOKUP(Table1[[#This Row],[PARTIDA PRESUPUESTAL]],'Cost Report'!G:G,1,0),"Balance")</f>
        <v>1301-011</v>
      </c>
      <c r="AC2578" s="118"/>
      <c r="AD2578" s="159">
        <f>+Table1[[#This Row],[SUBTOTAL]]+Table1[[#This Row],[IVA]]-Table1[[#This Row],[RET IVA]]-Table1[[#This Row],[RET ISR]]-Table1[[#This Row],[TOTAL]]</f>
        <v>0</v>
      </c>
      <c r="AE2578" s="150"/>
      <c r="AF2578" s="151"/>
      <c r="AG2578" s="126"/>
      <c r="AK2578" s="306" t="str">
        <f>IF(ISNUMBER(Table1[[#This Row],[FECHA DE RECIBIDO]]), Table1[[#This Row],[FECHA DE RECIBIDO]]-DATE(2023,8,30), "")</f>
        <v/>
      </c>
    </row>
    <row r="2579" spans="1:37" ht="16.05" customHeight="1">
      <c r="A2579" s="152" t="s">
        <v>3893</v>
      </c>
      <c r="B2579" s="153">
        <v>899</v>
      </c>
      <c r="C2579" s="126" t="s">
        <v>3401</v>
      </c>
      <c r="D2579">
        <v>1732</v>
      </c>
      <c r="E2579" s="126" t="s">
        <v>3677</v>
      </c>
      <c r="F2579" s="125" t="s">
        <v>1593</v>
      </c>
      <c r="G2579" s="125" t="s">
        <v>109</v>
      </c>
      <c r="H2579">
        <v>497</v>
      </c>
      <c r="I2579" s="125" t="s">
        <v>1546</v>
      </c>
      <c r="J2579" s="308" t="s">
        <v>214</v>
      </c>
      <c r="K2579" s="127" t="s">
        <v>3806</v>
      </c>
      <c r="L2579" s="153" t="s">
        <v>110</v>
      </c>
      <c r="M2579">
        <v>721</v>
      </c>
      <c r="N2579" s="123">
        <v>126</v>
      </c>
      <c r="O2579">
        <v>1707</v>
      </c>
      <c r="P2579" s="132" t="s">
        <v>77</v>
      </c>
      <c r="Q2579" s="132">
        <v>16800</v>
      </c>
      <c r="R2579" s="132">
        <v>2688</v>
      </c>
      <c r="S2579" s="132"/>
      <c r="T2579" s="156">
        <v>1791.89</v>
      </c>
      <c r="U2579" s="132">
        <v>210</v>
      </c>
      <c r="V2579" s="132">
        <v>17486.11</v>
      </c>
      <c r="W2579">
        <v>269</v>
      </c>
      <c r="X2579" s="153" t="s">
        <v>1429</v>
      </c>
      <c r="Y2579" s="124" t="s">
        <v>55</v>
      </c>
      <c r="Z2579" s="308">
        <v>240</v>
      </c>
      <c r="AB2579" t="str">
        <f>IF(Table1[[#This Row],[TIPO2]]="costo", VLOOKUP(Table1[[#This Row],[PARTIDA PRESUPUESTAL]],'Cost Report'!G:G,1,0),"Balance")</f>
        <v>2003-016</v>
      </c>
      <c r="AC2579" s="118"/>
      <c r="AD2579" s="159">
        <f>+Table1[[#This Row],[SUBTOTAL]]+Table1[[#This Row],[IVA]]-Table1[[#This Row],[RET IVA]]-Table1[[#This Row],[RET ISR]]-Table1[[#This Row],[TOTAL]]</f>
        <v>0</v>
      </c>
      <c r="AE2579" s="152"/>
      <c r="AF2579" s="153"/>
      <c r="AG2579" s="126"/>
      <c r="AK2579" s="306" t="str">
        <f>IF(ISNUMBER(Table1[[#This Row],[FECHA DE RECIBIDO]]), Table1[[#This Row],[FECHA DE RECIBIDO]]-DATE(2023,8,30), "")</f>
        <v/>
      </c>
    </row>
    <row r="2580" spans="1:37" ht="16.05" customHeight="1">
      <c r="A2580" s="150" t="s">
        <v>3894</v>
      </c>
      <c r="B2580" s="151">
        <v>900</v>
      </c>
      <c r="C2580" s="126" t="s">
        <v>264</v>
      </c>
      <c r="D2580">
        <v>1733</v>
      </c>
      <c r="E2580" s="126" t="s">
        <v>3895</v>
      </c>
      <c r="F2580" s="122" t="s">
        <v>1589</v>
      </c>
      <c r="G2580" s="122" t="s">
        <v>129</v>
      </c>
      <c r="H2580">
        <v>498</v>
      </c>
      <c r="I2580" s="122" t="s">
        <v>1546</v>
      </c>
      <c r="J2580" s="307" t="s">
        <v>214</v>
      </c>
      <c r="K2580" s="127" t="s">
        <v>3806</v>
      </c>
      <c r="L2580" s="151" t="s">
        <v>110</v>
      </c>
      <c r="M2580">
        <v>722</v>
      </c>
      <c r="N2580" s="123">
        <v>127</v>
      </c>
      <c r="O2580">
        <v>1708</v>
      </c>
      <c r="P2580" s="132" t="s">
        <v>77</v>
      </c>
      <c r="Q2580" s="131">
        <v>138600</v>
      </c>
      <c r="R2580" s="131">
        <v>22176</v>
      </c>
      <c r="S2580" s="131"/>
      <c r="T2580" s="155">
        <v>14784.05</v>
      </c>
      <c r="U2580" s="131">
        <v>13860</v>
      </c>
      <c r="V2580" s="131">
        <v>132131.95000000001</v>
      </c>
      <c r="W2580">
        <v>270</v>
      </c>
      <c r="X2580" s="151" t="s">
        <v>1431</v>
      </c>
      <c r="Y2580" s="135" t="s">
        <v>55</v>
      </c>
      <c r="Z2580" s="307">
        <v>240</v>
      </c>
      <c r="AB2580" t="str">
        <f>IF(Table1[[#This Row],[TIPO2]]="costo", VLOOKUP(Table1[[#This Row],[PARTIDA PRESUPUESTAL]],'Cost Report'!G:G,1,0),"Balance")</f>
        <v>1301-019</v>
      </c>
      <c r="AC2580" s="118"/>
      <c r="AD2580" s="159">
        <f>+Table1[[#This Row],[SUBTOTAL]]+Table1[[#This Row],[IVA]]-Table1[[#This Row],[RET IVA]]-Table1[[#This Row],[RET ISR]]-Table1[[#This Row],[TOTAL]]</f>
        <v>0</v>
      </c>
      <c r="AE2580" s="150"/>
      <c r="AF2580" s="151"/>
      <c r="AG2580" s="126"/>
      <c r="AK2580" s="306" t="str">
        <f>IF(ISNUMBER(Table1[[#This Row],[FECHA DE RECIBIDO]]), Table1[[#This Row],[FECHA DE RECIBIDO]]-DATE(2023,8,30), "")</f>
        <v/>
      </c>
    </row>
    <row r="2581" spans="1:37" ht="16.05" customHeight="1">
      <c r="A2581" s="152" t="s">
        <v>3896</v>
      </c>
      <c r="B2581" s="153">
        <v>901</v>
      </c>
      <c r="C2581" s="126" t="s">
        <v>945</v>
      </c>
      <c r="D2581">
        <v>1734</v>
      </c>
      <c r="E2581" s="126" t="s">
        <v>1597</v>
      </c>
      <c r="F2581" s="125" t="s">
        <v>1589</v>
      </c>
      <c r="G2581" s="125" t="s">
        <v>129</v>
      </c>
      <c r="H2581">
        <v>8</v>
      </c>
      <c r="I2581" s="125" t="s">
        <v>1546</v>
      </c>
      <c r="J2581" s="308" t="s">
        <v>214</v>
      </c>
      <c r="K2581" s="127" t="s">
        <v>3806</v>
      </c>
      <c r="L2581" s="153" t="s">
        <v>110</v>
      </c>
      <c r="M2581">
        <v>11</v>
      </c>
      <c r="N2581" s="123">
        <v>9</v>
      </c>
      <c r="O2581">
        <v>1709</v>
      </c>
      <c r="P2581" s="132" t="s">
        <v>77</v>
      </c>
      <c r="Q2581" s="132">
        <v>42000</v>
      </c>
      <c r="R2581" s="132">
        <v>6720</v>
      </c>
      <c r="S2581" s="132"/>
      <c r="T2581" s="156">
        <v>4480.0200000000004</v>
      </c>
      <c r="U2581" s="132">
        <v>4200</v>
      </c>
      <c r="V2581" s="132">
        <v>40039.979999999996</v>
      </c>
      <c r="W2581">
        <v>6</v>
      </c>
      <c r="X2581" s="153" t="s">
        <v>1430</v>
      </c>
      <c r="Y2581" s="124" t="s">
        <v>55</v>
      </c>
      <c r="Z2581" s="308">
        <v>240</v>
      </c>
      <c r="AB2581" t="str">
        <f>IF(Table1[[#This Row],[TIPO2]]="costo", VLOOKUP(Table1[[#This Row],[PARTIDA PRESUPUESTAL]],'Cost Report'!G:G,1,0),"Balance")</f>
        <v>3402-005</v>
      </c>
      <c r="AC2581" s="118"/>
      <c r="AD2581" s="159">
        <f>+Table1[[#This Row],[SUBTOTAL]]+Table1[[#This Row],[IVA]]-Table1[[#This Row],[RET IVA]]-Table1[[#This Row],[RET ISR]]-Table1[[#This Row],[TOTAL]]</f>
        <v>0</v>
      </c>
      <c r="AE2581" s="152"/>
      <c r="AF2581" s="153"/>
      <c r="AG2581" s="126"/>
      <c r="AK2581" s="306" t="str">
        <f>IF(ISNUMBER(Table1[[#This Row],[FECHA DE RECIBIDO]]), Table1[[#This Row],[FECHA DE RECIBIDO]]-DATE(2023,8,30), "")</f>
        <v/>
      </c>
    </row>
    <row r="2582" spans="1:37" ht="16.05" customHeight="1">
      <c r="A2582" s="150" t="s">
        <v>3897</v>
      </c>
      <c r="B2582" s="151">
        <v>902</v>
      </c>
      <c r="C2582" s="126" t="s">
        <v>953</v>
      </c>
      <c r="D2582">
        <v>1735</v>
      </c>
      <c r="E2582" s="126" t="s">
        <v>1596</v>
      </c>
      <c r="F2582" s="122" t="s">
        <v>1593</v>
      </c>
      <c r="G2582" s="122" t="s">
        <v>109</v>
      </c>
      <c r="H2582">
        <v>11</v>
      </c>
      <c r="I2582" s="122" t="s">
        <v>1546</v>
      </c>
      <c r="J2582" s="307" t="s">
        <v>214</v>
      </c>
      <c r="K2582" s="127" t="s">
        <v>3806</v>
      </c>
      <c r="L2582" s="151" t="s">
        <v>110</v>
      </c>
      <c r="M2582">
        <v>14</v>
      </c>
      <c r="N2582" s="123">
        <v>8</v>
      </c>
      <c r="O2582">
        <v>1710</v>
      </c>
      <c r="P2582" s="132" t="s">
        <v>77</v>
      </c>
      <c r="Q2582" s="131">
        <v>21000</v>
      </c>
      <c r="R2582" s="131">
        <v>3360</v>
      </c>
      <c r="S2582" s="131"/>
      <c r="T2582" s="155">
        <v>2239.98</v>
      </c>
      <c r="U2582" s="131">
        <v>262.5</v>
      </c>
      <c r="V2582" s="131">
        <v>21857.52</v>
      </c>
      <c r="W2582">
        <v>10</v>
      </c>
      <c r="X2582" s="151" t="s">
        <v>1432</v>
      </c>
      <c r="Y2582" s="135" t="s">
        <v>55</v>
      </c>
      <c r="Z2582" s="307">
        <v>240</v>
      </c>
      <c r="AB2582" t="str">
        <f>IF(Table1[[#This Row],[TIPO2]]="costo", VLOOKUP(Table1[[#This Row],[PARTIDA PRESUPUESTAL]],'Cost Report'!G:G,1,0),"Balance")</f>
        <v>3403-011</v>
      </c>
      <c r="AC2582" s="118"/>
      <c r="AD2582" s="159">
        <f>+Table1[[#This Row],[SUBTOTAL]]+Table1[[#This Row],[IVA]]-Table1[[#This Row],[RET IVA]]-Table1[[#This Row],[RET ISR]]-Table1[[#This Row],[TOTAL]]</f>
        <v>0</v>
      </c>
      <c r="AE2582" s="150"/>
      <c r="AF2582" s="151"/>
      <c r="AG2582" s="126"/>
      <c r="AK2582" s="306" t="str">
        <f>IF(ISNUMBER(Table1[[#This Row],[FECHA DE RECIBIDO]]), Table1[[#This Row],[FECHA DE RECIBIDO]]-DATE(2023,8,30), "")</f>
        <v/>
      </c>
    </row>
    <row r="2583" spans="1:37" ht="16.05" customHeight="1">
      <c r="A2583" s="152" t="s">
        <v>3898</v>
      </c>
      <c r="B2583" s="153">
        <v>903</v>
      </c>
      <c r="C2583" s="126" t="s">
        <v>956</v>
      </c>
      <c r="D2583">
        <v>1736</v>
      </c>
      <c r="E2583" s="126" t="s">
        <v>1598</v>
      </c>
      <c r="F2583" s="125" t="s">
        <v>1593</v>
      </c>
      <c r="G2583" s="125" t="s">
        <v>109</v>
      </c>
      <c r="H2583">
        <v>25</v>
      </c>
      <c r="I2583" s="125" t="s">
        <v>1546</v>
      </c>
      <c r="J2583" s="308" t="s">
        <v>214</v>
      </c>
      <c r="K2583" s="127" t="s">
        <v>3806</v>
      </c>
      <c r="L2583" s="153" t="s">
        <v>110</v>
      </c>
      <c r="M2583">
        <v>34</v>
      </c>
      <c r="N2583" s="123">
        <v>10</v>
      </c>
      <c r="O2583">
        <v>1711</v>
      </c>
      <c r="P2583" s="132" t="s">
        <v>77</v>
      </c>
      <c r="Q2583" s="132">
        <v>21000</v>
      </c>
      <c r="R2583" s="132">
        <v>3360</v>
      </c>
      <c r="S2583" s="132"/>
      <c r="T2583" s="156">
        <v>2240</v>
      </c>
      <c r="U2583" s="132">
        <v>262.5</v>
      </c>
      <c r="V2583" s="132">
        <v>21857.5</v>
      </c>
      <c r="W2583">
        <v>27</v>
      </c>
      <c r="X2583" s="153" t="s">
        <v>1429</v>
      </c>
      <c r="Y2583" s="124" t="s">
        <v>55</v>
      </c>
      <c r="Z2583" s="308">
        <v>240</v>
      </c>
      <c r="AB2583" t="str">
        <f>IF(Table1[[#This Row],[TIPO2]]="costo", VLOOKUP(Table1[[#This Row],[PARTIDA PRESUPUESTAL]],'Cost Report'!G:G,1,0),"Balance")</f>
        <v>3403-016</v>
      </c>
      <c r="AC2583" s="118"/>
      <c r="AD2583" s="159">
        <f>+Table1[[#This Row],[SUBTOTAL]]+Table1[[#This Row],[IVA]]-Table1[[#This Row],[RET IVA]]-Table1[[#This Row],[RET ISR]]-Table1[[#This Row],[TOTAL]]</f>
        <v>0</v>
      </c>
      <c r="AE2583" s="152"/>
      <c r="AF2583" s="153"/>
      <c r="AG2583" s="126"/>
      <c r="AK2583" s="306" t="str">
        <f>IF(ISNUMBER(Table1[[#This Row],[FECHA DE RECIBIDO]]), Table1[[#This Row],[FECHA DE RECIBIDO]]-DATE(2023,8,30), "")</f>
        <v/>
      </c>
    </row>
    <row r="2584" spans="1:37" ht="16.05" customHeight="1">
      <c r="A2584" s="150" t="s">
        <v>3899</v>
      </c>
      <c r="B2584" s="151">
        <v>904</v>
      </c>
      <c r="C2584" s="126" t="s">
        <v>948</v>
      </c>
      <c r="D2584">
        <v>1737</v>
      </c>
      <c r="E2584" s="126" t="s">
        <v>1891</v>
      </c>
      <c r="F2584" s="122" t="s">
        <v>1589</v>
      </c>
      <c r="G2584" s="122" t="s">
        <v>129</v>
      </c>
      <c r="H2584">
        <v>64</v>
      </c>
      <c r="I2584" s="122" t="s">
        <v>1546</v>
      </c>
      <c r="J2584" s="307" t="s">
        <v>214</v>
      </c>
      <c r="K2584" s="127" t="s">
        <v>3806</v>
      </c>
      <c r="L2584" s="151" t="s">
        <v>110</v>
      </c>
      <c r="M2584">
        <v>87</v>
      </c>
      <c r="N2584" s="123">
        <v>24</v>
      </c>
      <c r="O2584">
        <v>1712</v>
      </c>
      <c r="P2584" s="132" t="s">
        <v>77</v>
      </c>
      <c r="Q2584" s="131">
        <v>25200</v>
      </c>
      <c r="R2584" s="131">
        <v>4032</v>
      </c>
      <c r="S2584" s="131"/>
      <c r="T2584" s="155">
        <v>2688</v>
      </c>
      <c r="U2584" s="131">
        <v>2520</v>
      </c>
      <c r="V2584" s="131">
        <v>24024</v>
      </c>
      <c r="W2584">
        <v>46</v>
      </c>
      <c r="X2584" s="151" t="s">
        <v>1429</v>
      </c>
      <c r="Y2584" s="135" t="s">
        <v>55</v>
      </c>
      <c r="Z2584" s="307">
        <v>240</v>
      </c>
      <c r="AB2584" t="str">
        <f>IF(Table1[[#This Row],[TIPO2]]="costo", VLOOKUP(Table1[[#This Row],[PARTIDA PRESUPUESTAL]],'Cost Report'!G:G,1,0),"Balance")</f>
        <v>3403-004</v>
      </c>
      <c r="AC2584" s="118"/>
      <c r="AD2584" s="159">
        <f>+Table1[[#This Row],[SUBTOTAL]]+Table1[[#This Row],[IVA]]-Table1[[#This Row],[RET IVA]]-Table1[[#This Row],[RET ISR]]-Table1[[#This Row],[TOTAL]]</f>
        <v>0</v>
      </c>
      <c r="AE2584" s="150"/>
      <c r="AF2584" s="151"/>
      <c r="AG2584" s="126"/>
      <c r="AK2584" s="306" t="str">
        <f>IF(ISNUMBER(Table1[[#This Row],[FECHA DE RECIBIDO]]), Table1[[#This Row],[FECHA DE RECIBIDO]]-DATE(2023,8,30), "")</f>
        <v/>
      </c>
    </row>
    <row r="2585" spans="1:37" ht="16.05" customHeight="1">
      <c r="A2585" s="152" t="s">
        <v>3900</v>
      </c>
      <c r="B2585" s="153">
        <v>905</v>
      </c>
      <c r="C2585" s="126" t="s">
        <v>2783</v>
      </c>
      <c r="D2585">
        <v>1738</v>
      </c>
      <c r="E2585" s="126" t="s">
        <v>3901</v>
      </c>
      <c r="F2585" s="125" t="s">
        <v>1589</v>
      </c>
      <c r="G2585" s="125" t="s">
        <v>129</v>
      </c>
      <c r="H2585">
        <v>499</v>
      </c>
      <c r="I2585" s="125" t="s">
        <v>1546</v>
      </c>
      <c r="J2585" s="308" t="s">
        <v>214</v>
      </c>
      <c r="K2585" s="127" t="s">
        <v>3806</v>
      </c>
      <c r="L2585" s="153" t="s">
        <v>110</v>
      </c>
      <c r="M2585">
        <v>723</v>
      </c>
      <c r="N2585" s="123">
        <v>128</v>
      </c>
      <c r="O2585">
        <v>1713</v>
      </c>
      <c r="P2585" s="132" t="s">
        <v>77</v>
      </c>
      <c r="Q2585" s="132">
        <v>8500</v>
      </c>
      <c r="R2585" s="132">
        <v>1360</v>
      </c>
      <c r="S2585" s="132"/>
      <c r="T2585" s="156">
        <v>906.67</v>
      </c>
      <c r="U2585" s="132">
        <v>850</v>
      </c>
      <c r="V2585" s="132">
        <v>8103.33</v>
      </c>
      <c r="W2585">
        <v>271</v>
      </c>
      <c r="X2585" s="153" t="s">
        <v>1429</v>
      </c>
      <c r="Y2585" s="124" t="s">
        <v>55</v>
      </c>
      <c r="Z2585" s="308">
        <v>240</v>
      </c>
      <c r="AB2585" t="str">
        <f>IF(Table1[[#This Row],[TIPO2]]="costo", VLOOKUP(Table1[[#This Row],[PARTIDA PRESUPUESTAL]],'Cost Report'!G:G,1,0),"Balance")</f>
        <v>3403-037</v>
      </c>
      <c r="AC2585" s="118"/>
      <c r="AD2585" s="159">
        <f>+Table1[[#This Row],[SUBTOTAL]]+Table1[[#This Row],[IVA]]-Table1[[#This Row],[RET IVA]]-Table1[[#This Row],[RET ISR]]-Table1[[#This Row],[TOTAL]]</f>
        <v>0</v>
      </c>
      <c r="AE2585" s="152"/>
      <c r="AF2585" s="153"/>
      <c r="AG2585" s="126"/>
      <c r="AK2585" s="306" t="str">
        <f>IF(ISNUMBER(Table1[[#This Row],[FECHA DE RECIBIDO]]), Table1[[#This Row],[FECHA DE RECIBIDO]]-DATE(2023,8,30), "")</f>
        <v/>
      </c>
    </row>
    <row r="2586" spans="1:37" ht="16.05" customHeight="1">
      <c r="A2586" s="150" t="s">
        <v>3902</v>
      </c>
      <c r="B2586" s="151">
        <v>906</v>
      </c>
      <c r="C2586" s="126" t="s">
        <v>2784</v>
      </c>
      <c r="D2586">
        <v>1739</v>
      </c>
      <c r="E2586" s="126" t="s">
        <v>3901</v>
      </c>
      <c r="F2586" s="122" t="s">
        <v>1589</v>
      </c>
      <c r="G2586" s="122" t="s">
        <v>129</v>
      </c>
      <c r="H2586">
        <v>499</v>
      </c>
      <c r="I2586" s="122" t="s">
        <v>1546</v>
      </c>
      <c r="J2586" s="307" t="s">
        <v>214</v>
      </c>
      <c r="K2586" s="127" t="s">
        <v>3806</v>
      </c>
      <c r="L2586" s="151" t="s">
        <v>110</v>
      </c>
      <c r="M2586">
        <v>723</v>
      </c>
      <c r="N2586" s="123">
        <v>128</v>
      </c>
      <c r="O2586">
        <v>1714</v>
      </c>
      <c r="P2586" s="132" t="s">
        <v>77</v>
      </c>
      <c r="Q2586" s="131">
        <v>8500</v>
      </c>
      <c r="R2586" s="131">
        <v>1360</v>
      </c>
      <c r="S2586" s="131"/>
      <c r="T2586" s="155">
        <v>906.67</v>
      </c>
      <c r="U2586" s="131">
        <v>850</v>
      </c>
      <c r="V2586" s="131">
        <v>8103.33</v>
      </c>
      <c r="W2586">
        <v>271</v>
      </c>
      <c r="X2586" s="151" t="s">
        <v>1429</v>
      </c>
      <c r="Y2586" s="135" t="s">
        <v>55</v>
      </c>
      <c r="Z2586" s="307">
        <v>240</v>
      </c>
      <c r="AB2586" t="str">
        <f>IF(Table1[[#This Row],[TIPO2]]="costo", VLOOKUP(Table1[[#This Row],[PARTIDA PRESUPUESTAL]],'Cost Report'!G:G,1,0),"Balance")</f>
        <v>3403-038</v>
      </c>
      <c r="AC2586" s="118"/>
      <c r="AD2586" s="159">
        <f>+Table1[[#This Row],[SUBTOTAL]]+Table1[[#This Row],[IVA]]-Table1[[#This Row],[RET IVA]]-Table1[[#This Row],[RET ISR]]-Table1[[#This Row],[TOTAL]]</f>
        <v>0</v>
      </c>
      <c r="AE2586" s="150"/>
      <c r="AF2586" s="151"/>
      <c r="AG2586" s="126"/>
      <c r="AK2586" s="306" t="str">
        <f>IF(ISNUMBER(Table1[[#This Row],[FECHA DE RECIBIDO]]), Table1[[#This Row],[FECHA DE RECIBIDO]]-DATE(2023,8,30), "")</f>
        <v/>
      </c>
    </row>
    <row r="2587" spans="1:37" ht="16.05" customHeight="1">
      <c r="A2587" s="152" t="s">
        <v>3903</v>
      </c>
      <c r="B2587" s="153">
        <v>907</v>
      </c>
      <c r="C2587" s="126" t="s">
        <v>958</v>
      </c>
      <c r="D2587">
        <v>1740</v>
      </c>
      <c r="E2587" s="126" t="s">
        <v>3368</v>
      </c>
      <c r="F2587" s="125" t="s">
        <v>1589</v>
      </c>
      <c r="G2587" s="125" t="s">
        <v>129</v>
      </c>
      <c r="H2587">
        <v>500</v>
      </c>
      <c r="I2587" s="125" t="s">
        <v>1546</v>
      </c>
      <c r="J2587" s="308" t="s">
        <v>214</v>
      </c>
      <c r="K2587" s="127" t="s">
        <v>3806</v>
      </c>
      <c r="L2587" s="153" t="s">
        <v>110</v>
      </c>
      <c r="M2587">
        <v>724</v>
      </c>
      <c r="N2587" s="123">
        <v>129</v>
      </c>
      <c r="O2587">
        <v>1715</v>
      </c>
      <c r="P2587" s="132" t="s">
        <v>77</v>
      </c>
      <c r="Q2587" s="132">
        <v>30000</v>
      </c>
      <c r="R2587" s="132">
        <v>4800</v>
      </c>
      <c r="S2587" s="132"/>
      <c r="T2587" s="156">
        <v>3200.01</v>
      </c>
      <c r="U2587" s="132">
        <v>3000</v>
      </c>
      <c r="V2587" s="132">
        <v>28599.989999999998</v>
      </c>
      <c r="W2587">
        <v>272</v>
      </c>
      <c r="X2587" s="153" t="s">
        <v>1429</v>
      </c>
      <c r="Y2587" s="124" t="s">
        <v>55</v>
      </c>
      <c r="Z2587" s="308">
        <v>240</v>
      </c>
      <c r="AB2587" t="str">
        <f>IF(Table1[[#This Row],[TIPO2]]="costo", VLOOKUP(Table1[[#This Row],[PARTIDA PRESUPUESTAL]],'Cost Report'!G:G,1,0),"Balance")</f>
        <v>3403-020</v>
      </c>
      <c r="AC2587" s="118"/>
      <c r="AD2587" s="159">
        <f>+Table1[[#This Row],[SUBTOTAL]]+Table1[[#This Row],[IVA]]-Table1[[#This Row],[RET IVA]]-Table1[[#This Row],[RET ISR]]-Table1[[#This Row],[TOTAL]]</f>
        <v>0</v>
      </c>
      <c r="AE2587" s="152"/>
      <c r="AF2587" s="153"/>
      <c r="AG2587" s="126"/>
      <c r="AK2587" s="306" t="str">
        <f>IF(ISNUMBER(Table1[[#This Row],[FECHA DE RECIBIDO]]), Table1[[#This Row],[FECHA DE RECIBIDO]]-DATE(2023,8,30), "")</f>
        <v/>
      </c>
    </row>
    <row r="2588" spans="1:37" ht="16.05" customHeight="1">
      <c r="A2588" s="150" t="s">
        <v>3904</v>
      </c>
      <c r="B2588" s="151">
        <v>908</v>
      </c>
      <c r="C2588" s="126" t="s">
        <v>537</v>
      </c>
      <c r="D2588">
        <v>1741</v>
      </c>
      <c r="E2588" s="126" t="s">
        <v>1599</v>
      </c>
      <c r="F2588" s="122" t="s">
        <v>1589</v>
      </c>
      <c r="G2588" s="122" t="s">
        <v>129</v>
      </c>
      <c r="H2588">
        <v>20</v>
      </c>
      <c r="I2588" s="122" t="s">
        <v>1546</v>
      </c>
      <c r="J2588" s="307" t="s">
        <v>214</v>
      </c>
      <c r="K2588" s="127" t="s">
        <v>3806</v>
      </c>
      <c r="L2588" s="151" t="s">
        <v>110</v>
      </c>
      <c r="M2588">
        <v>26</v>
      </c>
      <c r="N2588" s="123">
        <v>11</v>
      </c>
      <c r="O2588">
        <v>1716</v>
      </c>
      <c r="P2588" s="132" t="s">
        <v>77</v>
      </c>
      <c r="Q2588" s="131">
        <v>64680</v>
      </c>
      <c r="R2588" s="131">
        <v>10348.799999999999</v>
      </c>
      <c r="S2588" s="131"/>
      <c r="T2588" s="155">
        <v>6899.22</v>
      </c>
      <c r="U2588" s="131">
        <v>6468</v>
      </c>
      <c r="V2588" s="131">
        <v>61661.58</v>
      </c>
      <c r="W2588">
        <v>20</v>
      </c>
      <c r="X2588" s="151" t="s">
        <v>1434</v>
      </c>
      <c r="Y2588" s="135" t="s">
        <v>55</v>
      </c>
      <c r="Z2588" s="307">
        <v>240</v>
      </c>
      <c r="AB2588" t="str">
        <f>IF(Table1[[#This Row],[TIPO2]]="costo", VLOOKUP(Table1[[#This Row],[PARTIDA PRESUPUESTAL]],'Cost Report'!G:G,1,0),"Balance")</f>
        <v>2201-005</v>
      </c>
      <c r="AC2588" s="118"/>
      <c r="AD2588" s="159">
        <f>+Table1[[#This Row],[SUBTOTAL]]+Table1[[#This Row],[IVA]]-Table1[[#This Row],[RET IVA]]-Table1[[#This Row],[RET ISR]]-Table1[[#This Row],[TOTAL]]</f>
        <v>0</v>
      </c>
      <c r="AE2588" s="150"/>
      <c r="AF2588" s="151"/>
      <c r="AG2588" s="126"/>
      <c r="AK2588" s="306" t="str">
        <f>IF(ISNUMBER(Table1[[#This Row],[FECHA DE RECIBIDO]]), Table1[[#This Row],[FECHA DE RECIBIDO]]-DATE(2023,8,30), "")</f>
        <v/>
      </c>
    </row>
    <row r="2589" spans="1:37" ht="16.05" customHeight="1">
      <c r="A2589" s="152" t="s">
        <v>3905</v>
      </c>
      <c r="B2589" s="153">
        <v>909</v>
      </c>
      <c r="C2589" s="126" t="s">
        <v>541</v>
      </c>
      <c r="D2589">
        <v>1742</v>
      </c>
      <c r="E2589" s="126" t="s">
        <v>1600</v>
      </c>
      <c r="F2589" s="125" t="s">
        <v>1593</v>
      </c>
      <c r="G2589" s="125" t="s">
        <v>109</v>
      </c>
      <c r="H2589">
        <v>26</v>
      </c>
      <c r="I2589" s="125" t="s">
        <v>1546</v>
      </c>
      <c r="J2589" s="308" t="s">
        <v>214</v>
      </c>
      <c r="K2589" s="127" t="s">
        <v>3806</v>
      </c>
      <c r="L2589" s="153" t="s">
        <v>110</v>
      </c>
      <c r="M2589">
        <v>35</v>
      </c>
      <c r="N2589" s="123">
        <v>12</v>
      </c>
      <c r="O2589">
        <v>1717</v>
      </c>
      <c r="P2589" s="132" t="s">
        <v>77</v>
      </c>
      <c r="Q2589" s="132">
        <v>43050</v>
      </c>
      <c r="R2589" s="132">
        <v>6888</v>
      </c>
      <c r="S2589" s="132"/>
      <c r="T2589" s="156">
        <v>4592.0200000000004</v>
      </c>
      <c r="U2589" s="132">
        <v>538.12</v>
      </c>
      <c r="V2589" s="132">
        <v>44807.859999999993</v>
      </c>
      <c r="W2589">
        <v>28</v>
      </c>
      <c r="X2589" s="153" t="s">
        <v>1429</v>
      </c>
      <c r="Y2589" s="124" t="s">
        <v>55</v>
      </c>
      <c r="Z2589" s="308">
        <v>240</v>
      </c>
      <c r="AB2589" t="str">
        <f>IF(Table1[[#This Row],[TIPO2]]="costo", VLOOKUP(Table1[[#This Row],[PARTIDA PRESUPUESTAL]],'Cost Report'!G:G,1,0),"Balance")</f>
        <v>2202-004</v>
      </c>
      <c r="AC2589" s="118"/>
      <c r="AD2589" s="159">
        <f>+Table1[[#This Row],[SUBTOTAL]]+Table1[[#This Row],[IVA]]-Table1[[#This Row],[RET IVA]]-Table1[[#This Row],[RET ISR]]-Table1[[#This Row],[TOTAL]]</f>
        <v>0</v>
      </c>
      <c r="AE2589" s="152"/>
      <c r="AF2589" s="153"/>
      <c r="AG2589" s="126"/>
      <c r="AK2589" s="306" t="str">
        <f>IF(ISNUMBER(Table1[[#This Row],[FECHA DE RECIBIDO]]), Table1[[#This Row],[FECHA DE RECIBIDO]]-DATE(2023,8,30), "")</f>
        <v/>
      </c>
    </row>
    <row r="2590" spans="1:37" ht="16.05" customHeight="1">
      <c r="A2590" s="150" t="s">
        <v>3906</v>
      </c>
      <c r="B2590" s="151">
        <v>910</v>
      </c>
      <c r="C2590" s="126" t="s">
        <v>541</v>
      </c>
      <c r="D2590">
        <v>1743</v>
      </c>
      <c r="E2590" s="126" t="s">
        <v>1600</v>
      </c>
      <c r="F2590" s="122" t="s">
        <v>1593</v>
      </c>
      <c r="G2590" s="122" t="s">
        <v>109</v>
      </c>
      <c r="H2590">
        <v>26</v>
      </c>
      <c r="I2590" s="122" t="s">
        <v>1546</v>
      </c>
      <c r="J2590" s="307" t="s">
        <v>214</v>
      </c>
      <c r="K2590" s="127" t="s">
        <v>3806</v>
      </c>
      <c r="L2590" s="151" t="s">
        <v>110</v>
      </c>
      <c r="M2590">
        <v>35</v>
      </c>
      <c r="N2590" s="123">
        <v>12</v>
      </c>
      <c r="O2590">
        <v>1718</v>
      </c>
      <c r="P2590" s="132" t="s">
        <v>77</v>
      </c>
      <c r="Q2590" s="131">
        <v>43050</v>
      </c>
      <c r="R2590" s="131">
        <v>6888</v>
      </c>
      <c r="S2590" s="131"/>
      <c r="T2590" s="155">
        <v>4592.0200000000004</v>
      </c>
      <c r="U2590" s="131">
        <v>538.12</v>
      </c>
      <c r="V2590" s="131">
        <v>44807.859999999993</v>
      </c>
      <c r="W2590">
        <v>28</v>
      </c>
      <c r="X2590" s="151" t="s">
        <v>1429</v>
      </c>
      <c r="Y2590" s="135" t="s">
        <v>55</v>
      </c>
      <c r="Z2590" s="307">
        <v>240</v>
      </c>
      <c r="AB2590" t="str">
        <f>IF(Table1[[#This Row],[TIPO2]]="costo", VLOOKUP(Table1[[#This Row],[PARTIDA PRESUPUESTAL]],'Cost Report'!G:G,1,0),"Balance")</f>
        <v>2202-004</v>
      </c>
      <c r="AC2590" s="118"/>
      <c r="AD2590" s="159">
        <f>+Table1[[#This Row],[SUBTOTAL]]+Table1[[#This Row],[IVA]]-Table1[[#This Row],[RET IVA]]-Table1[[#This Row],[RET ISR]]-Table1[[#This Row],[TOTAL]]</f>
        <v>0</v>
      </c>
      <c r="AE2590" s="150"/>
      <c r="AF2590" s="151"/>
      <c r="AG2590" s="126"/>
      <c r="AK2590" s="306" t="str">
        <f>IF(ISNUMBER(Table1[[#This Row],[FECHA DE RECIBIDO]]), Table1[[#This Row],[FECHA DE RECIBIDO]]-DATE(2023,8,30), "")</f>
        <v/>
      </c>
    </row>
    <row r="2591" spans="1:37" ht="16.05" customHeight="1">
      <c r="A2591" s="152" t="s">
        <v>3907</v>
      </c>
      <c r="B2591" s="153">
        <v>911</v>
      </c>
      <c r="C2591" s="126" t="s">
        <v>2454</v>
      </c>
      <c r="D2591">
        <v>1744</v>
      </c>
      <c r="E2591" s="126" t="s">
        <v>1601</v>
      </c>
      <c r="F2591" s="125" t="s">
        <v>1602</v>
      </c>
      <c r="G2591" s="125" t="s">
        <v>1617</v>
      </c>
      <c r="H2591">
        <v>27</v>
      </c>
      <c r="I2591" s="125" t="s">
        <v>1546</v>
      </c>
      <c r="J2591" s="308" t="s">
        <v>214</v>
      </c>
      <c r="K2591" s="127" t="s">
        <v>3806</v>
      </c>
      <c r="L2591" s="153" t="s">
        <v>110</v>
      </c>
      <c r="M2591">
        <v>36</v>
      </c>
      <c r="N2591" s="123">
        <v>13</v>
      </c>
      <c r="O2591">
        <v>1719</v>
      </c>
      <c r="P2591" s="132" t="s">
        <v>77</v>
      </c>
      <c r="Q2591" s="132">
        <v>25200</v>
      </c>
      <c r="R2591" s="132">
        <v>4032</v>
      </c>
      <c r="S2591" s="132"/>
      <c r="T2591" s="156">
        <v>2688</v>
      </c>
      <c r="U2591" s="132">
        <v>0</v>
      </c>
      <c r="V2591" s="132">
        <v>26544</v>
      </c>
      <c r="W2591">
        <v>29</v>
      </c>
      <c r="X2591" s="153" t="s">
        <v>1429</v>
      </c>
      <c r="Y2591" s="124" t="s">
        <v>55</v>
      </c>
      <c r="Z2591" s="308">
        <v>240</v>
      </c>
      <c r="AB2591" t="str">
        <f>IF(Table1[[#This Row],[TIPO2]]="costo", VLOOKUP(Table1[[#This Row],[PARTIDA PRESUPUESTAL]],'Cost Report'!G:G,1,0),"Balance")</f>
        <v>2213-004</v>
      </c>
      <c r="AC2591" s="118"/>
      <c r="AD2591" s="159">
        <f>+Table1[[#This Row],[SUBTOTAL]]+Table1[[#This Row],[IVA]]-Table1[[#This Row],[RET IVA]]-Table1[[#This Row],[RET ISR]]-Table1[[#This Row],[TOTAL]]</f>
        <v>0</v>
      </c>
      <c r="AE2591" s="152"/>
      <c r="AF2591" s="153"/>
      <c r="AG2591" s="126"/>
      <c r="AK2591" s="306" t="str">
        <f>IF(ISNUMBER(Table1[[#This Row],[FECHA DE RECIBIDO]]), Table1[[#This Row],[FECHA DE RECIBIDO]]-DATE(2023,8,30), "")</f>
        <v/>
      </c>
    </row>
    <row r="2592" spans="1:37" ht="16.05" customHeight="1">
      <c r="A2592" s="150" t="s">
        <v>3908</v>
      </c>
      <c r="B2592" s="151">
        <v>912</v>
      </c>
      <c r="C2592" s="126" t="s">
        <v>549</v>
      </c>
      <c r="D2592">
        <v>1745</v>
      </c>
      <c r="E2592" s="126" t="s">
        <v>1603</v>
      </c>
      <c r="F2592" s="122" t="s">
        <v>1589</v>
      </c>
      <c r="G2592" s="122" t="s">
        <v>129</v>
      </c>
      <c r="H2592">
        <v>28</v>
      </c>
      <c r="I2592" s="122" t="s">
        <v>1546</v>
      </c>
      <c r="J2592" s="307" t="s">
        <v>214</v>
      </c>
      <c r="K2592" s="127" t="s">
        <v>3806</v>
      </c>
      <c r="L2592" s="151" t="s">
        <v>110</v>
      </c>
      <c r="M2592">
        <v>37</v>
      </c>
      <c r="N2592" s="123">
        <v>14</v>
      </c>
      <c r="O2592">
        <v>1720</v>
      </c>
      <c r="P2592" s="132" t="s">
        <v>77</v>
      </c>
      <c r="Q2592" s="131">
        <v>31500</v>
      </c>
      <c r="R2592" s="131">
        <v>5040</v>
      </c>
      <c r="S2592" s="131"/>
      <c r="T2592" s="155">
        <v>3360.02</v>
      </c>
      <c r="U2592" s="131">
        <v>3150</v>
      </c>
      <c r="V2592" s="131">
        <v>30029.980000000003</v>
      </c>
      <c r="W2592">
        <v>30</v>
      </c>
      <c r="X2592" s="151" t="s">
        <v>1432</v>
      </c>
      <c r="Y2592" s="135" t="s">
        <v>55</v>
      </c>
      <c r="Z2592" s="307">
        <v>240</v>
      </c>
      <c r="AB2592" t="str">
        <f>IF(Table1[[#This Row],[TIPO2]]="costo", VLOOKUP(Table1[[#This Row],[PARTIDA PRESUPUESTAL]],'Cost Report'!G:G,1,0),"Balance")</f>
        <v>2206-004</v>
      </c>
      <c r="AC2592" s="118"/>
      <c r="AD2592" s="159">
        <f>+Table1[[#This Row],[SUBTOTAL]]+Table1[[#This Row],[IVA]]-Table1[[#This Row],[RET IVA]]-Table1[[#This Row],[RET ISR]]-Table1[[#This Row],[TOTAL]]</f>
        <v>0</v>
      </c>
      <c r="AE2592" s="150"/>
      <c r="AF2592" s="151"/>
      <c r="AG2592" s="126"/>
      <c r="AK2592" s="306" t="str">
        <f>IF(ISNUMBER(Table1[[#This Row],[FECHA DE RECIBIDO]]), Table1[[#This Row],[FECHA DE RECIBIDO]]-DATE(2023,8,30), "")</f>
        <v/>
      </c>
    </row>
    <row r="2593" spans="1:37" ht="16.05" customHeight="1">
      <c r="A2593" s="152" t="s">
        <v>3909</v>
      </c>
      <c r="B2593" s="153">
        <v>913</v>
      </c>
      <c r="C2593" s="126" t="s">
        <v>549</v>
      </c>
      <c r="D2593">
        <v>1746</v>
      </c>
      <c r="E2593" s="126" t="s">
        <v>1603</v>
      </c>
      <c r="F2593" s="125" t="s">
        <v>1589</v>
      </c>
      <c r="G2593" s="125" t="s">
        <v>129</v>
      </c>
      <c r="H2593">
        <v>28</v>
      </c>
      <c r="I2593" s="125" t="s">
        <v>1546</v>
      </c>
      <c r="J2593" s="308" t="s">
        <v>214</v>
      </c>
      <c r="K2593" s="127" t="s">
        <v>3806</v>
      </c>
      <c r="L2593" s="153" t="s">
        <v>110</v>
      </c>
      <c r="M2593">
        <v>37</v>
      </c>
      <c r="N2593" s="123">
        <v>14</v>
      </c>
      <c r="O2593">
        <v>1721</v>
      </c>
      <c r="P2593" s="132" t="s">
        <v>77</v>
      </c>
      <c r="Q2593" s="132">
        <v>31500</v>
      </c>
      <c r="R2593" s="132">
        <v>5040</v>
      </c>
      <c r="S2593" s="132"/>
      <c r="T2593" s="156">
        <v>3360.02</v>
      </c>
      <c r="U2593" s="132">
        <v>3150</v>
      </c>
      <c r="V2593" s="132">
        <v>30029.980000000003</v>
      </c>
      <c r="W2593">
        <v>30</v>
      </c>
      <c r="X2593" s="153" t="s">
        <v>1432</v>
      </c>
      <c r="Y2593" s="124" t="s">
        <v>55</v>
      </c>
      <c r="Z2593" s="308">
        <v>240</v>
      </c>
      <c r="AB2593" t="str">
        <f>IF(Table1[[#This Row],[TIPO2]]="costo", VLOOKUP(Table1[[#This Row],[PARTIDA PRESUPUESTAL]],'Cost Report'!G:G,1,0),"Balance")</f>
        <v>2206-004</v>
      </c>
      <c r="AC2593" s="118"/>
      <c r="AD2593" s="159">
        <f>+Table1[[#This Row],[SUBTOTAL]]+Table1[[#This Row],[IVA]]-Table1[[#This Row],[RET IVA]]-Table1[[#This Row],[RET ISR]]-Table1[[#This Row],[TOTAL]]</f>
        <v>0</v>
      </c>
      <c r="AE2593" s="152"/>
      <c r="AF2593" s="153"/>
      <c r="AG2593" s="126"/>
      <c r="AK2593" s="306" t="str">
        <f>IF(ISNUMBER(Table1[[#This Row],[FECHA DE RECIBIDO]]), Table1[[#This Row],[FECHA DE RECIBIDO]]-DATE(2023,8,30), "")</f>
        <v/>
      </c>
    </row>
    <row r="2594" spans="1:37" ht="16.05" customHeight="1">
      <c r="A2594" s="150" t="s">
        <v>3910</v>
      </c>
      <c r="B2594" s="151">
        <v>914</v>
      </c>
      <c r="C2594" s="126" t="s">
        <v>545</v>
      </c>
      <c r="D2594">
        <v>1747</v>
      </c>
      <c r="E2594" s="126" t="s">
        <v>1600</v>
      </c>
      <c r="F2594" s="122" t="s">
        <v>1593</v>
      </c>
      <c r="G2594" s="122" t="s">
        <v>109</v>
      </c>
      <c r="H2594">
        <v>109</v>
      </c>
      <c r="I2594" s="122" t="s">
        <v>1546</v>
      </c>
      <c r="J2594" s="307" t="s">
        <v>214</v>
      </c>
      <c r="K2594" s="127" t="s">
        <v>3806</v>
      </c>
      <c r="L2594" s="151" t="s">
        <v>110</v>
      </c>
      <c r="M2594">
        <v>147</v>
      </c>
      <c r="N2594" s="123">
        <v>39</v>
      </c>
      <c r="O2594">
        <v>1722</v>
      </c>
      <c r="P2594" s="132" t="s">
        <v>77</v>
      </c>
      <c r="Q2594" s="131">
        <v>25200</v>
      </c>
      <c r="R2594" s="131">
        <v>4032</v>
      </c>
      <c r="S2594" s="131"/>
      <c r="T2594" s="155">
        <v>2688</v>
      </c>
      <c r="U2594" s="131">
        <v>315</v>
      </c>
      <c r="V2594" s="131">
        <v>26229</v>
      </c>
      <c r="W2594">
        <v>71</v>
      </c>
      <c r="X2594" s="151" t="s">
        <v>2023</v>
      </c>
      <c r="Y2594" s="135" t="s">
        <v>55</v>
      </c>
      <c r="Z2594" s="307">
        <v>240</v>
      </c>
      <c r="AB2594" t="str">
        <f>IF(Table1[[#This Row],[TIPO2]]="costo", VLOOKUP(Table1[[#This Row],[PARTIDA PRESUPUESTAL]],'Cost Report'!G:G,1,0),"Balance")</f>
        <v>2203-004</v>
      </c>
      <c r="AC2594" s="118"/>
      <c r="AD2594" s="159">
        <f>+Table1[[#This Row],[SUBTOTAL]]+Table1[[#This Row],[IVA]]-Table1[[#This Row],[RET IVA]]-Table1[[#This Row],[RET ISR]]-Table1[[#This Row],[TOTAL]]</f>
        <v>0</v>
      </c>
      <c r="AE2594" s="150"/>
      <c r="AF2594" s="151"/>
      <c r="AG2594" s="126"/>
      <c r="AK2594" s="306" t="str">
        <f>IF(ISNUMBER(Table1[[#This Row],[FECHA DE RECIBIDO]]), Table1[[#This Row],[FECHA DE RECIBIDO]]-DATE(2023,8,30), "")</f>
        <v/>
      </c>
    </row>
    <row r="2595" spans="1:37" ht="16.05" customHeight="1">
      <c r="A2595" s="152" t="s">
        <v>3911</v>
      </c>
      <c r="B2595" s="153">
        <v>915</v>
      </c>
      <c r="C2595" s="126" t="s">
        <v>2452</v>
      </c>
      <c r="D2595">
        <v>1748</v>
      </c>
      <c r="E2595" s="126" t="s">
        <v>1613</v>
      </c>
      <c r="F2595" s="125" t="s">
        <v>1593</v>
      </c>
      <c r="G2595" s="125" t="s">
        <v>109</v>
      </c>
      <c r="H2595">
        <v>110</v>
      </c>
      <c r="I2595" s="125" t="s">
        <v>1546</v>
      </c>
      <c r="J2595" s="308" t="s">
        <v>214</v>
      </c>
      <c r="K2595" s="127" t="s">
        <v>3806</v>
      </c>
      <c r="L2595" s="153" t="s">
        <v>110</v>
      </c>
      <c r="M2595">
        <v>148</v>
      </c>
      <c r="N2595" s="123">
        <v>40</v>
      </c>
      <c r="O2595">
        <v>1723</v>
      </c>
      <c r="P2595" s="132" t="s">
        <v>77</v>
      </c>
      <c r="Q2595" s="132">
        <v>14000</v>
      </c>
      <c r="R2595" s="132">
        <v>2240</v>
      </c>
      <c r="S2595" s="132"/>
      <c r="T2595" s="156">
        <v>1493.34</v>
      </c>
      <c r="U2595" s="132">
        <v>175</v>
      </c>
      <c r="V2595" s="132">
        <v>14571.66</v>
      </c>
      <c r="W2595">
        <v>72</v>
      </c>
      <c r="X2595" s="153" t="s">
        <v>1429</v>
      </c>
      <c r="Y2595" s="124" t="s">
        <v>55</v>
      </c>
      <c r="Z2595" s="308">
        <v>240</v>
      </c>
      <c r="AB2595" t="str">
        <f>IF(Table1[[#This Row],[TIPO2]]="costo", VLOOKUP(Table1[[#This Row],[PARTIDA PRESUPUESTAL]],'Cost Report'!G:G,1,0),"Balance")</f>
        <v>2206-016</v>
      </c>
      <c r="AC2595" s="118"/>
      <c r="AD2595" s="159">
        <f>+Table1[[#This Row],[SUBTOTAL]]+Table1[[#This Row],[IVA]]-Table1[[#This Row],[RET IVA]]-Table1[[#This Row],[RET ISR]]-Table1[[#This Row],[TOTAL]]</f>
        <v>0</v>
      </c>
      <c r="AE2595" s="152"/>
      <c r="AF2595" s="153"/>
      <c r="AG2595" s="126"/>
      <c r="AK2595" s="306" t="str">
        <f>IF(ISNUMBER(Table1[[#This Row],[FECHA DE RECIBIDO]]), Table1[[#This Row],[FECHA DE RECIBIDO]]-DATE(2023,8,30), "")</f>
        <v/>
      </c>
    </row>
    <row r="2596" spans="1:37" ht="16.05" customHeight="1">
      <c r="A2596" s="150" t="s">
        <v>3912</v>
      </c>
      <c r="B2596" s="151">
        <v>916</v>
      </c>
      <c r="C2596" s="126" t="s">
        <v>583</v>
      </c>
      <c r="D2596">
        <v>1749</v>
      </c>
      <c r="E2596" s="126" t="s">
        <v>2014</v>
      </c>
      <c r="F2596" s="122" t="s">
        <v>1589</v>
      </c>
      <c r="G2596" s="122" t="s">
        <v>129</v>
      </c>
      <c r="H2596">
        <v>111</v>
      </c>
      <c r="I2596" s="122" t="s">
        <v>1546</v>
      </c>
      <c r="J2596" s="307" t="s">
        <v>214</v>
      </c>
      <c r="K2596" s="127" t="s">
        <v>3806</v>
      </c>
      <c r="L2596" s="151" t="s">
        <v>110</v>
      </c>
      <c r="M2596">
        <v>149</v>
      </c>
      <c r="N2596" s="123">
        <v>41</v>
      </c>
      <c r="O2596">
        <v>1724</v>
      </c>
      <c r="P2596" s="132" t="s">
        <v>77</v>
      </c>
      <c r="Q2596" s="131">
        <v>17850</v>
      </c>
      <c r="R2596" s="131">
        <v>2856</v>
      </c>
      <c r="S2596" s="131"/>
      <c r="T2596" s="155">
        <v>1904</v>
      </c>
      <c r="U2596" s="131">
        <v>1785</v>
      </c>
      <c r="V2596" s="131">
        <v>17017</v>
      </c>
      <c r="W2596">
        <v>73</v>
      </c>
      <c r="X2596" s="151" t="s">
        <v>1430</v>
      </c>
      <c r="Y2596" s="135" t="s">
        <v>55</v>
      </c>
      <c r="Z2596" s="307">
        <v>240</v>
      </c>
      <c r="AB2596" t="str">
        <f>IF(Table1[[#This Row],[TIPO2]]="costo", VLOOKUP(Table1[[#This Row],[PARTIDA PRESUPUESTAL]],'Cost Report'!G:G,1,0),"Balance")</f>
        <v>2401-015</v>
      </c>
      <c r="AC2596" s="118"/>
      <c r="AD2596" s="159">
        <f>+Table1[[#This Row],[SUBTOTAL]]+Table1[[#This Row],[IVA]]-Table1[[#This Row],[RET IVA]]-Table1[[#This Row],[RET ISR]]-Table1[[#This Row],[TOTAL]]</f>
        <v>0</v>
      </c>
      <c r="AE2596" s="150"/>
      <c r="AF2596" s="151"/>
      <c r="AG2596" s="126"/>
      <c r="AK2596" s="306" t="str">
        <f>IF(ISNUMBER(Table1[[#This Row],[FECHA DE RECIBIDO]]), Table1[[#This Row],[FECHA DE RECIBIDO]]-DATE(2023,8,30), "")</f>
        <v/>
      </c>
    </row>
    <row r="2597" spans="1:37" ht="16.05" customHeight="1">
      <c r="A2597" s="152" t="s">
        <v>3913</v>
      </c>
      <c r="B2597" s="153">
        <v>917</v>
      </c>
      <c r="C2597" s="126" t="s">
        <v>2527</v>
      </c>
      <c r="D2597">
        <v>1750</v>
      </c>
      <c r="E2597" s="126" t="s">
        <v>2015</v>
      </c>
      <c r="F2597" s="125" t="s">
        <v>1593</v>
      </c>
      <c r="G2597" s="125" t="s">
        <v>109</v>
      </c>
      <c r="H2597">
        <v>112</v>
      </c>
      <c r="I2597" s="125" t="s">
        <v>1546</v>
      </c>
      <c r="J2597" s="308" t="s">
        <v>214</v>
      </c>
      <c r="K2597" s="127" t="s">
        <v>3806</v>
      </c>
      <c r="L2597" s="153" t="s">
        <v>110</v>
      </c>
      <c r="M2597">
        <v>150</v>
      </c>
      <c r="N2597" s="123">
        <v>42</v>
      </c>
      <c r="O2597">
        <v>1725</v>
      </c>
      <c r="P2597" s="132" t="s">
        <v>77</v>
      </c>
      <c r="Q2597" s="132">
        <v>8500</v>
      </c>
      <c r="R2597" s="132">
        <v>1360</v>
      </c>
      <c r="S2597" s="132"/>
      <c r="T2597" s="156">
        <v>906.67</v>
      </c>
      <c r="U2597" s="132">
        <v>106.25</v>
      </c>
      <c r="V2597" s="132">
        <v>8847.08</v>
      </c>
      <c r="W2597">
        <v>74</v>
      </c>
      <c r="X2597" s="153" t="s">
        <v>1429</v>
      </c>
      <c r="Y2597" s="124" t="s">
        <v>55</v>
      </c>
      <c r="Z2597" s="308">
        <v>240</v>
      </c>
      <c r="AB2597" t="str">
        <f>IF(Table1[[#This Row],[TIPO2]]="costo", VLOOKUP(Table1[[#This Row],[PARTIDA PRESUPUESTAL]],'Cost Report'!G:G,1,0),"Balance")</f>
        <v>2405-025</v>
      </c>
      <c r="AC2597" s="118"/>
      <c r="AD2597" s="159">
        <f>+Table1[[#This Row],[SUBTOTAL]]+Table1[[#This Row],[IVA]]-Table1[[#This Row],[RET IVA]]-Table1[[#This Row],[RET ISR]]-Table1[[#This Row],[TOTAL]]</f>
        <v>0</v>
      </c>
      <c r="AE2597" s="152"/>
      <c r="AF2597" s="153"/>
      <c r="AG2597" s="126"/>
      <c r="AK2597" s="306" t="str">
        <f>IF(ISNUMBER(Table1[[#This Row],[FECHA DE RECIBIDO]]), Table1[[#This Row],[FECHA DE RECIBIDO]]-DATE(2023,8,30), "")</f>
        <v/>
      </c>
    </row>
    <row r="2598" spans="1:37" ht="16.05" customHeight="1">
      <c r="A2598" s="150" t="s">
        <v>3914</v>
      </c>
      <c r="B2598" s="151">
        <v>918</v>
      </c>
      <c r="C2598" s="126" t="s">
        <v>2558</v>
      </c>
      <c r="D2598">
        <v>1751</v>
      </c>
      <c r="E2598" s="126" t="s">
        <v>2016</v>
      </c>
      <c r="F2598" s="122" t="s">
        <v>1589</v>
      </c>
      <c r="G2598" s="122" t="s">
        <v>129</v>
      </c>
      <c r="H2598">
        <v>113</v>
      </c>
      <c r="I2598" s="122" t="s">
        <v>1546</v>
      </c>
      <c r="J2598" s="307" t="s">
        <v>214</v>
      </c>
      <c r="K2598" s="127" t="s">
        <v>3806</v>
      </c>
      <c r="L2598" s="151" t="s">
        <v>110</v>
      </c>
      <c r="M2598">
        <v>151</v>
      </c>
      <c r="N2598" s="123">
        <v>43</v>
      </c>
      <c r="O2598">
        <v>1726</v>
      </c>
      <c r="P2598" s="132" t="s">
        <v>77</v>
      </c>
      <c r="Q2598" s="131">
        <v>19600</v>
      </c>
      <c r="R2598" s="131">
        <v>3136</v>
      </c>
      <c r="S2598" s="131"/>
      <c r="T2598" s="155">
        <v>2090.6799999999998</v>
      </c>
      <c r="U2598" s="131">
        <v>1960</v>
      </c>
      <c r="V2598" s="131">
        <v>18685.32</v>
      </c>
      <c r="W2598">
        <v>75</v>
      </c>
      <c r="X2598" s="151" t="s">
        <v>2024</v>
      </c>
      <c r="Y2598" s="135" t="s">
        <v>55</v>
      </c>
      <c r="Z2598" s="307">
        <v>240</v>
      </c>
      <c r="AB2598" t="str">
        <f>IF(Table1[[#This Row],[TIPO2]]="costo", VLOOKUP(Table1[[#This Row],[PARTIDA PRESUPUESTAL]],'Cost Report'!G:G,1,0),"Balance")</f>
        <v>2501-010</v>
      </c>
      <c r="AC2598" s="118"/>
      <c r="AD2598" s="159">
        <f>+Table1[[#This Row],[SUBTOTAL]]+Table1[[#This Row],[IVA]]-Table1[[#This Row],[RET IVA]]-Table1[[#This Row],[RET ISR]]-Table1[[#This Row],[TOTAL]]</f>
        <v>0</v>
      </c>
      <c r="AE2598" s="150"/>
      <c r="AF2598" s="151"/>
      <c r="AG2598" s="126"/>
      <c r="AK2598" s="306" t="str">
        <f>IF(ISNUMBER(Table1[[#This Row],[FECHA DE RECIBIDO]]), Table1[[#This Row],[FECHA DE RECIBIDO]]-DATE(2023,8,30), "")</f>
        <v/>
      </c>
    </row>
    <row r="2599" spans="1:37" ht="16.05" customHeight="1">
      <c r="A2599" s="152" t="s">
        <v>3915</v>
      </c>
      <c r="B2599" s="153">
        <v>919</v>
      </c>
      <c r="C2599" s="126" t="s">
        <v>562</v>
      </c>
      <c r="D2599">
        <v>1752</v>
      </c>
      <c r="E2599" s="126" t="s">
        <v>3354</v>
      </c>
      <c r="F2599" s="125" t="s">
        <v>1593</v>
      </c>
      <c r="G2599" s="125" t="s">
        <v>109</v>
      </c>
      <c r="H2599">
        <v>347</v>
      </c>
      <c r="I2599" s="125" t="s">
        <v>1546</v>
      </c>
      <c r="J2599" s="308" t="s">
        <v>214</v>
      </c>
      <c r="K2599" s="127" t="s">
        <v>3806</v>
      </c>
      <c r="L2599" s="153" t="s">
        <v>110</v>
      </c>
      <c r="M2599">
        <v>464</v>
      </c>
      <c r="N2599" s="123">
        <v>89</v>
      </c>
      <c r="O2599">
        <v>1727</v>
      </c>
      <c r="P2599" s="132" t="s">
        <v>77</v>
      </c>
      <c r="Q2599" s="132">
        <v>14700</v>
      </c>
      <c r="R2599" s="132">
        <v>2352</v>
      </c>
      <c r="S2599" s="132"/>
      <c r="T2599" s="156">
        <v>1568</v>
      </c>
      <c r="U2599" s="132">
        <v>183.76</v>
      </c>
      <c r="V2599" s="132">
        <v>15300.24</v>
      </c>
      <c r="W2599">
        <v>184</v>
      </c>
      <c r="X2599" s="153" t="s">
        <v>3684</v>
      </c>
      <c r="Y2599" s="124" t="s">
        <v>55</v>
      </c>
      <c r="Z2599" s="308">
        <v>240</v>
      </c>
      <c r="AB2599" t="str">
        <f>IF(Table1[[#This Row],[TIPO2]]="costo", VLOOKUP(Table1[[#This Row],[PARTIDA PRESUPUESTAL]],'Cost Report'!G:G,1,0),"Balance")</f>
        <v>2310-004</v>
      </c>
      <c r="AC2599" s="118"/>
      <c r="AD2599" s="159">
        <f>+Table1[[#This Row],[SUBTOTAL]]+Table1[[#This Row],[IVA]]-Table1[[#This Row],[RET IVA]]-Table1[[#This Row],[RET ISR]]-Table1[[#This Row],[TOTAL]]</f>
        <v>0</v>
      </c>
      <c r="AE2599" s="152"/>
      <c r="AF2599" s="153"/>
      <c r="AG2599" s="126"/>
      <c r="AK2599" s="306" t="str">
        <f>IF(ISNUMBER(Table1[[#This Row],[FECHA DE RECIBIDO]]), Table1[[#This Row],[FECHA DE RECIBIDO]]-DATE(2023,8,30), "")</f>
        <v/>
      </c>
    </row>
    <row r="2600" spans="1:37" ht="16.05" customHeight="1">
      <c r="A2600" s="150" t="s">
        <v>3916</v>
      </c>
      <c r="B2600" s="151">
        <v>920</v>
      </c>
      <c r="C2600" s="126" t="s">
        <v>553</v>
      </c>
      <c r="D2600">
        <v>1753</v>
      </c>
      <c r="E2600" s="126" t="s">
        <v>1614</v>
      </c>
      <c r="F2600" s="122" t="s">
        <v>1593</v>
      </c>
      <c r="G2600" s="122" t="s">
        <v>109</v>
      </c>
      <c r="H2600">
        <v>114</v>
      </c>
      <c r="I2600" s="122" t="s">
        <v>1546</v>
      </c>
      <c r="J2600" s="307" t="s">
        <v>214</v>
      </c>
      <c r="K2600" s="127" t="s">
        <v>3806</v>
      </c>
      <c r="L2600" s="151" t="s">
        <v>110</v>
      </c>
      <c r="M2600">
        <v>152</v>
      </c>
      <c r="N2600" s="123">
        <v>44</v>
      </c>
      <c r="O2600">
        <v>1728</v>
      </c>
      <c r="P2600" s="132" t="s">
        <v>77</v>
      </c>
      <c r="Q2600" s="131">
        <v>15400</v>
      </c>
      <c r="R2600" s="131">
        <v>2464</v>
      </c>
      <c r="S2600" s="131"/>
      <c r="T2600" s="155">
        <v>1642.68</v>
      </c>
      <c r="U2600" s="131">
        <v>192.5</v>
      </c>
      <c r="V2600" s="131">
        <v>16028.82</v>
      </c>
      <c r="W2600">
        <v>76</v>
      </c>
      <c r="X2600" s="151" t="s">
        <v>1429</v>
      </c>
      <c r="Y2600" s="135" t="s">
        <v>55</v>
      </c>
      <c r="Z2600" s="307">
        <v>240</v>
      </c>
      <c r="AB2600" t="str">
        <f>IF(Table1[[#This Row],[TIPO2]]="costo", VLOOKUP(Table1[[#This Row],[PARTIDA PRESUPUESTAL]],'Cost Report'!G:G,1,0),"Balance")</f>
        <v>2206-010</v>
      </c>
      <c r="AC2600" s="118"/>
      <c r="AD2600" s="159">
        <f>+Table1[[#This Row],[SUBTOTAL]]+Table1[[#This Row],[IVA]]-Table1[[#This Row],[RET IVA]]-Table1[[#This Row],[RET ISR]]-Table1[[#This Row],[TOTAL]]</f>
        <v>0</v>
      </c>
      <c r="AE2600" s="150"/>
      <c r="AF2600" s="151"/>
      <c r="AG2600" s="126"/>
      <c r="AK2600" s="306" t="str">
        <f>IF(ISNUMBER(Table1[[#This Row],[FECHA DE RECIBIDO]]), Table1[[#This Row],[FECHA DE RECIBIDO]]-DATE(2023,8,30), "")</f>
        <v/>
      </c>
    </row>
    <row r="2601" spans="1:37" ht="16.05" customHeight="1">
      <c r="A2601" s="152" t="s">
        <v>3917</v>
      </c>
      <c r="B2601" s="153">
        <v>921</v>
      </c>
      <c r="C2601" s="126" t="s">
        <v>599</v>
      </c>
      <c r="D2601">
        <v>1754</v>
      </c>
      <c r="E2601" s="126" t="s">
        <v>3133</v>
      </c>
      <c r="F2601" s="125" t="s">
        <v>1593</v>
      </c>
      <c r="G2601" s="125" t="s">
        <v>109</v>
      </c>
      <c r="H2601">
        <v>187</v>
      </c>
      <c r="I2601" s="125" t="s">
        <v>1546</v>
      </c>
      <c r="J2601" s="308" t="s">
        <v>214</v>
      </c>
      <c r="K2601" s="127" t="s">
        <v>3806</v>
      </c>
      <c r="L2601" s="153" t="s">
        <v>110</v>
      </c>
      <c r="M2601">
        <v>252</v>
      </c>
      <c r="N2601" s="123">
        <v>52</v>
      </c>
      <c r="O2601">
        <v>1729</v>
      </c>
      <c r="P2601" s="132" t="s">
        <v>77</v>
      </c>
      <c r="Q2601" s="132">
        <v>15750</v>
      </c>
      <c r="R2601" s="132">
        <v>2520</v>
      </c>
      <c r="S2601" s="132"/>
      <c r="T2601" s="156">
        <v>1680</v>
      </c>
      <c r="U2601" s="132">
        <v>196.88</v>
      </c>
      <c r="V2601" s="132">
        <v>16393.12</v>
      </c>
      <c r="W2601">
        <v>108</v>
      </c>
      <c r="X2601" s="153" t="s">
        <v>1430</v>
      </c>
      <c r="Y2601" s="124" t="s">
        <v>55</v>
      </c>
      <c r="Z2601" s="308">
        <v>240</v>
      </c>
      <c r="AB2601" t="str">
        <f>IF(Table1[[#This Row],[TIPO2]]="costo", VLOOKUP(Table1[[#This Row],[PARTIDA PRESUPUESTAL]],'Cost Report'!G:G,1,0),"Balance")</f>
        <v>2403-010</v>
      </c>
      <c r="AC2601" s="118"/>
      <c r="AD2601" s="159">
        <f>+Table1[[#This Row],[SUBTOTAL]]+Table1[[#This Row],[IVA]]-Table1[[#This Row],[RET IVA]]-Table1[[#This Row],[RET ISR]]-Table1[[#This Row],[TOTAL]]</f>
        <v>0</v>
      </c>
      <c r="AE2601" s="152"/>
      <c r="AF2601" s="153"/>
      <c r="AG2601" s="126"/>
      <c r="AK2601" s="306" t="str">
        <f>IF(ISNUMBER(Table1[[#This Row],[FECHA DE RECIBIDO]]), Table1[[#This Row],[FECHA DE RECIBIDO]]-DATE(2023,8,30), "")</f>
        <v/>
      </c>
    </row>
    <row r="2602" spans="1:37" ht="16.05" customHeight="1">
      <c r="A2602" s="150" t="s">
        <v>3918</v>
      </c>
      <c r="B2602" s="151">
        <v>922</v>
      </c>
      <c r="C2602" s="126" t="s">
        <v>2550</v>
      </c>
      <c r="D2602">
        <v>1755</v>
      </c>
      <c r="E2602" s="126" t="s">
        <v>3135</v>
      </c>
      <c r="F2602" s="122" t="s">
        <v>1593</v>
      </c>
      <c r="G2602" s="122" t="s">
        <v>109</v>
      </c>
      <c r="H2602">
        <v>188</v>
      </c>
      <c r="I2602" s="122" t="s">
        <v>1546</v>
      </c>
      <c r="J2602" s="307" t="s">
        <v>214</v>
      </c>
      <c r="K2602" s="127" t="s">
        <v>3806</v>
      </c>
      <c r="L2602" s="151" t="s">
        <v>110</v>
      </c>
      <c r="M2602">
        <v>253</v>
      </c>
      <c r="N2602" s="123">
        <v>53</v>
      </c>
      <c r="O2602">
        <v>1730</v>
      </c>
      <c r="P2602" s="132" t="s">
        <v>77</v>
      </c>
      <c r="Q2602" s="131">
        <v>12600</v>
      </c>
      <c r="R2602" s="131">
        <v>2016</v>
      </c>
      <c r="S2602" s="131"/>
      <c r="T2602" s="155">
        <v>1344</v>
      </c>
      <c r="U2602" s="131">
        <v>157.5</v>
      </c>
      <c r="V2602" s="131">
        <v>13114.5</v>
      </c>
      <c r="W2602">
        <v>109</v>
      </c>
      <c r="X2602" s="151" t="s">
        <v>1429</v>
      </c>
      <c r="Y2602" s="135" t="s">
        <v>55</v>
      </c>
      <c r="Z2602" s="307">
        <v>240</v>
      </c>
      <c r="AB2602" t="str">
        <f>IF(Table1[[#This Row],[TIPO2]]="costo", VLOOKUP(Table1[[#This Row],[PARTIDA PRESUPUESTAL]],'Cost Report'!G:G,1,0),"Balance")</f>
        <v>2495-012</v>
      </c>
      <c r="AC2602" s="118"/>
      <c r="AD2602" s="159">
        <f>+Table1[[#This Row],[SUBTOTAL]]+Table1[[#This Row],[IVA]]-Table1[[#This Row],[RET IVA]]-Table1[[#This Row],[RET ISR]]-Table1[[#This Row],[TOTAL]]</f>
        <v>0</v>
      </c>
      <c r="AE2602" s="150"/>
      <c r="AF2602" s="151"/>
      <c r="AG2602" s="126"/>
      <c r="AK2602" s="306" t="str">
        <f>IF(ISNUMBER(Table1[[#This Row],[FECHA DE RECIBIDO]]), Table1[[#This Row],[FECHA DE RECIBIDO]]-DATE(2023,8,30), "")</f>
        <v/>
      </c>
    </row>
    <row r="2603" spans="1:37" ht="16.05" customHeight="1">
      <c r="A2603" s="152" t="s">
        <v>3919</v>
      </c>
      <c r="B2603" s="153">
        <v>923</v>
      </c>
      <c r="C2603" s="126" t="s">
        <v>591</v>
      </c>
      <c r="D2603">
        <v>1756</v>
      </c>
      <c r="E2603" s="126" t="s">
        <v>3137</v>
      </c>
      <c r="F2603" s="125" t="s">
        <v>1593</v>
      </c>
      <c r="G2603" s="125" t="s">
        <v>109</v>
      </c>
      <c r="H2603">
        <v>189</v>
      </c>
      <c r="I2603" s="125" t="s">
        <v>1546</v>
      </c>
      <c r="J2603" s="308" t="s">
        <v>214</v>
      </c>
      <c r="K2603" s="127" t="s">
        <v>3806</v>
      </c>
      <c r="L2603" s="153" t="s">
        <v>110</v>
      </c>
      <c r="M2603">
        <v>254</v>
      </c>
      <c r="N2603" s="123">
        <v>54</v>
      </c>
      <c r="O2603">
        <v>1731</v>
      </c>
      <c r="P2603" s="132" t="s">
        <v>77</v>
      </c>
      <c r="Q2603" s="132">
        <v>7350</v>
      </c>
      <c r="R2603" s="132">
        <v>1176</v>
      </c>
      <c r="S2603" s="132"/>
      <c r="T2603" s="156">
        <v>784</v>
      </c>
      <c r="U2603" s="132">
        <v>91.88</v>
      </c>
      <c r="V2603" s="132">
        <v>7650.12</v>
      </c>
      <c r="W2603">
        <v>110</v>
      </c>
      <c r="X2603" s="153" t="s">
        <v>1429</v>
      </c>
      <c r="Y2603" s="124" t="s">
        <v>55</v>
      </c>
      <c r="Z2603" s="308">
        <v>240</v>
      </c>
      <c r="AB2603" t="str">
        <f>IF(Table1[[#This Row],[TIPO2]]="costo", VLOOKUP(Table1[[#This Row],[PARTIDA PRESUPUESTAL]],'Cost Report'!G:G,1,0),"Balance")</f>
        <v>2401-027</v>
      </c>
      <c r="AC2603" s="118"/>
      <c r="AD2603" s="159">
        <f>+Table1[[#This Row],[SUBTOTAL]]+Table1[[#This Row],[IVA]]-Table1[[#This Row],[RET IVA]]-Table1[[#This Row],[RET ISR]]-Table1[[#This Row],[TOTAL]]</f>
        <v>0</v>
      </c>
      <c r="AE2603" s="152"/>
      <c r="AF2603" s="153"/>
      <c r="AG2603" s="126"/>
      <c r="AK2603" s="306" t="str">
        <f>IF(ISNUMBER(Table1[[#This Row],[FECHA DE RECIBIDO]]), Table1[[#This Row],[FECHA DE RECIBIDO]]-DATE(2023,8,30), "")</f>
        <v/>
      </c>
    </row>
    <row r="2604" spans="1:37" ht="16.05" customHeight="1">
      <c r="A2604" s="150" t="s">
        <v>3920</v>
      </c>
      <c r="B2604" s="151">
        <v>924</v>
      </c>
      <c r="C2604" s="126" t="s">
        <v>591</v>
      </c>
      <c r="D2604">
        <v>1757</v>
      </c>
      <c r="E2604" s="126" t="s">
        <v>3137</v>
      </c>
      <c r="F2604" s="122" t="s">
        <v>1593</v>
      </c>
      <c r="G2604" s="122" t="s">
        <v>109</v>
      </c>
      <c r="H2604">
        <v>189</v>
      </c>
      <c r="I2604" s="122" t="s">
        <v>1546</v>
      </c>
      <c r="J2604" s="307" t="s">
        <v>214</v>
      </c>
      <c r="K2604" s="127" t="s">
        <v>3806</v>
      </c>
      <c r="L2604" s="151" t="s">
        <v>110</v>
      </c>
      <c r="M2604">
        <v>254</v>
      </c>
      <c r="N2604" s="123">
        <v>54</v>
      </c>
      <c r="O2604">
        <v>1732</v>
      </c>
      <c r="P2604" s="132" t="s">
        <v>77</v>
      </c>
      <c r="Q2604" s="131">
        <v>7350</v>
      </c>
      <c r="R2604" s="131">
        <v>1176</v>
      </c>
      <c r="S2604" s="131"/>
      <c r="T2604" s="155">
        <v>784</v>
      </c>
      <c r="U2604" s="131">
        <v>91.88</v>
      </c>
      <c r="V2604" s="131">
        <v>7650.12</v>
      </c>
      <c r="W2604">
        <v>110</v>
      </c>
      <c r="X2604" s="151" t="s">
        <v>1429</v>
      </c>
      <c r="Y2604" s="135" t="s">
        <v>55</v>
      </c>
      <c r="Z2604" s="307">
        <v>240</v>
      </c>
      <c r="AB2604" t="str">
        <f>IF(Table1[[#This Row],[TIPO2]]="costo", VLOOKUP(Table1[[#This Row],[PARTIDA PRESUPUESTAL]],'Cost Report'!G:G,1,0),"Balance")</f>
        <v>2401-027</v>
      </c>
      <c r="AC2604" s="118"/>
      <c r="AD2604" s="159">
        <f>+Table1[[#This Row],[SUBTOTAL]]+Table1[[#This Row],[IVA]]-Table1[[#This Row],[RET IVA]]-Table1[[#This Row],[RET ISR]]-Table1[[#This Row],[TOTAL]]</f>
        <v>0</v>
      </c>
      <c r="AE2604" s="150"/>
      <c r="AF2604" s="151"/>
      <c r="AG2604" s="126"/>
      <c r="AK2604" s="306" t="str">
        <f>IF(ISNUMBER(Table1[[#This Row],[FECHA DE RECIBIDO]]), Table1[[#This Row],[FECHA DE RECIBIDO]]-DATE(2023,8,30), "")</f>
        <v/>
      </c>
    </row>
    <row r="2605" spans="1:37" ht="16.05" customHeight="1">
      <c r="A2605" s="152" t="s">
        <v>3921</v>
      </c>
      <c r="B2605" s="153">
        <v>925</v>
      </c>
      <c r="C2605" s="126" t="s">
        <v>1500</v>
      </c>
      <c r="D2605">
        <v>1758</v>
      </c>
      <c r="E2605" s="126" t="s">
        <v>3139</v>
      </c>
      <c r="F2605" s="125" t="s">
        <v>1593</v>
      </c>
      <c r="G2605" s="125" t="s">
        <v>109</v>
      </c>
      <c r="H2605">
        <v>190</v>
      </c>
      <c r="I2605" s="125" t="s">
        <v>1546</v>
      </c>
      <c r="J2605" s="308" t="s">
        <v>214</v>
      </c>
      <c r="K2605" s="127" t="s">
        <v>3806</v>
      </c>
      <c r="L2605" s="153" t="s">
        <v>110</v>
      </c>
      <c r="M2605">
        <v>255</v>
      </c>
      <c r="N2605" s="123">
        <v>55</v>
      </c>
      <c r="O2605">
        <v>1733</v>
      </c>
      <c r="P2605" s="132" t="s">
        <v>77</v>
      </c>
      <c r="Q2605" s="132">
        <v>16800</v>
      </c>
      <c r="R2605" s="132">
        <v>2688</v>
      </c>
      <c r="S2605" s="132"/>
      <c r="T2605" s="156">
        <v>1792</v>
      </c>
      <c r="U2605" s="132">
        <v>210</v>
      </c>
      <c r="V2605" s="132">
        <v>17486</v>
      </c>
      <c r="W2605">
        <v>111</v>
      </c>
      <c r="X2605" s="153" t="s">
        <v>1429</v>
      </c>
      <c r="Y2605" s="124" t="s">
        <v>55</v>
      </c>
      <c r="Z2605" s="308">
        <v>240</v>
      </c>
      <c r="AB2605" t="str">
        <f>IF(Table1[[#This Row],[TIPO2]]="costo", VLOOKUP(Table1[[#This Row],[PARTIDA PRESUPUESTAL]],'Cost Report'!G:G,1,0),"Balance")</f>
        <v>2402-004</v>
      </c>
      <c r="AC2605" s="118"/>
      <c r="AD2605" s="159">
        <f>+Table1[[#This Row],[SUBTOTAL]]+Table1[[#This Row],[IVA]]-Table1[[#This Row],[RET IVA]]-Table1[[#This Row],[RET ISR]]-Table1[[#This Row],[TOTAL]]</f>
        <v>0</v>
      </c>
      <c r="AE2605" s="152"/>
      <c r="AF2605" s="153"/>
      <c r="AG2605" s="126"/>
      <c r="AK2605" s="306" t="str">
        <f>IF(ISNUMBER(Table1[[#This Row],[FECHA DE RECIBIDO]]), Table1[[#This Row],[FECHA DE RECIBIDO]]-DATE(2023,8,30), "")</f>
        <v/>
      </c>
    </row>
    <row r="2606" spans="1:37" ht="16.05" customHeight="1">
      <c r="A2606" s="150" t="s">
        <v>3922</v>
      </c>
      <c r="B2606" s="151">
        <v>926</v>
      </c>
      <c r="C2606" s="126" t="s">
        <v>595</v>
      </c>
      <c r="D2606">
        <v>1759</v>
      </c>
      <c r="E2606" s="126" t="s">
        <v>3143</v>
      </c>
      <c r="F2606" s="122" t="s">
        <v>1589</v>
      </c>
      <c r="G2606" s="122" t="s">
        <v>129</v>
      </c>
      <c r="H2606">
        <v>192</v>
      </c>
      <c r="I2606" s="122" t="s">
        <v>1546</v>
      </c>
      <c r="J2606" s="307" t="s">
        <v>214</v>
      </c>
      <c r="K2606" s="127" t="s">
        <v>3806</v>
      </c>
      <c r="L2606" s="151" t="s">
        <v>110</v>
      </c>
      <c r="M2606">
        <v>257</v>
      </c>
      <c r="N2606" s="123">
        <v>57</v>
      </c>
      <c r="O2606">
        <v>1734</v>
      </c>
      <c r="P2606" s="132" t="s">
        <v>77</v>
      </c>
      <c r="Q2606" s="131">
        <v>15750</v>
      </c>
      <c r="R2606" s="131">
        <v>2520</v>
      </c>
      <c r="S2606" s="131"/>
      <c r="T2606" s="155">
        <v>1680</v>
      </c>
      <c r="U2606" s="131">
        <v>1575</v>
      </c>
      <c r="V2606" s="131">
        <v>15015</v>
      </c>
      <c r="W2606">
        <v>113</v>
      </c>
      <c r="X2606" s="151" t="s">
        <v>1429</v>
      </c>
      <c r="Y2606" s="135" t="s">
        <v>55</v>
      </c>
      <c r="Z2606" s="307">
        <v>240</v>
      </c>
      <c r="AB2606" t="str">
        <f>IF(Table1[[#This Row],[TIPO2]]="costo", VLOOKUP(Table1[[#This Row],[PARTIDA PRESUPUESTAL]],'Cost Report'!G:G,1,0),"Balance")</f>
        <v>2403-004</v>
      </c>
      <c r="AC2606" s="118"/>
      <c r="AD2606" s="159">
        <f>+Table1[[#This Row],[SUBTOTAL]]+Table1[[#This Row],[IVA]]-Table1[[#This Row],[RET IVA]]-Table1[[#This Row],[RET ISR]]-Table1[[#This Row],[TOTAL]]</f>
        <v>0</v>
      </c>
      <c r="AE2606" s="150"/>
      <c r="AF2606" s="151"/>
      <c r="AG2606" s="126"/>
      <c r="AK2606" s="306" t="str">
        <f>IF(ISNUMBER(Table1[[#This Row],[FECHA DE RECIBIDO]]), Table1[[#This Row],[FECHA DE RECIBIDO]]-DATE(2023,8,30), "")</f>
        <v/>
      </c>
    </row>
    <row r="2607" spans="1:37" ht="16.05" customHeight="1">
      <c r="A2607" s="152" t="s">
        <v>3923</v>
      </c>
      <c r="B2607" s="153">
        <v>927</v>
      </c>
      <c r="C2607" s="126" t="s">
        <v>566</v>
      </c>
      <c r="D2607">
        <v>1760</v>
      </c>
      <c r="E2607" s="126" t="s">
        <v>1614</v>
      </c>
      <c r="F2607" s="125" t="s">
        <v>1593</v>
      </c>
      <c r="G2607" s="125" t="s">
        <v>109</v>
      </c>
      <c r="H2607">
        <v>339</v>
      </c>
      <c r="I2607" s="125" t="s">
        <v>1546</v>
      </c>
      <c r="J2607" s="308" t="s">
        <v>214</v>
      </c>
      <c r="K2607" s="127" t="s">
        <v>3806</v>
      </c>
      <c r="L2607" s="153" t="s">
        <v>110</v>
      </c>
      <c r="M2607">
        <v>456</v>
      </c>
      <c r="N2607" s="123">
        <v>81</v>
      </c>
      <c r="O2607">
        <v>1735</v>
      </c>
      <c r="P2607" s="132" t="s">
        <v>77</v>
      </c>
      <c r="Q2607" s="132">
        <v>12600</v>
      </c>
      <c r="R2607" s="132">
        <v>2016</v>
      </c>
      <c r="S2607" s="132"/>
      <c r="T2607" s="156">
        <v>1344</v>
      </c>
      <c r="U2607" s="132">
        <v>157.5</v>
      </c>
      <c r="V2607" s="132">
        <v>13114.5</v>
      </c>
      <c r="W2607">
        <v>176</v>
      </c>
      <c r="X2607" s="153" t="s">
        <v>1429</v>
      </c>
      <c r="Y2607" s="124" t="s">
        <v>55</v>
      </c>
      <c r="Z2607" s="308">
        <v>240</v>
      </c>
      <c r="AB2607" t="str">
        <f>IF(Table1[[#This Row],[TIPO2]]="costo", VLOOKUP(Table1[[#This Row],[PARTIDA PRESUPUESTAL]],'Cost Report'!G:G,1,0),"Balance")</f>
        <v>2310-010</v>
      </c>
      <c r="AC2607" s="118"/>
      <c r="AD2607" s="159">
        <f>+Table1[[#This Row],[SUBTOTAL]]+Table1[[#This Row],[IVA]]-Table1[[#This Row],[RET IVA]]-Table1[[#This Row],[RET ISR]]-Table1[[#This Row],[TOTAL]]</f>
        <v>0</v>
      </c>
      <c r="AE2607" s="152"/>
      <c r="AF2607" s="153"/>
      <c r="AG2607" s="126"/>
      <c r="AK2607" s="306" t="str">
        <f>IF(ISNUMBER(Table1[[#This Row],[FECHA DE RECIBIDO]]), Table1[[#This Row],[FECHA DE RECIBIDO]]-DATE(2023,8,30), "")</f>
        <v/>
      </c>
    </row>
    <row r="2608" spans="1:37" ht="16.05" customHeight="1">
      <c r="A2608" s="150" t="s">
        <v>3924</v>
      </c>
      <c r="B2608" s="151">
        <v>928</v>
      </c>
      <c r="C2608" s="126" t="s">
        <v>2850</v>
      </c>
      <c r="D2608">
        <v>1761</v>
      </c>
      <c r="E2608" s="126" t="s">
        <v>3639</v>
      </c>
      <c r="F2608" s="122" t="s">
        <v>1593</v>
      </c>
      <c r="G2608" s="122" t="s">
        <v>109</v>
      </c>
      <c r="H2608">
        <v>340</v>
      </c>
      <c r="I2608" s="122" t="s">
        <v>1546</v>
      </c>
      <c r="J2608" s="307" t="s">
        <v>214</v>
      </c>
      <c r="K2608" s="127" t="s">
        <v>3806</v>
      </c>
      <c r="L2608" s="151" t="s">
        <v>110</v>
      </c>
      <c r="M2608">
        <v>457</v>
      </c>
      <c r="N2608" s="123">
        <v>82</v>
      </c>
      <c r="O2608">
        <v>1736</v>
      </c>
      <c r="P2608" s="132" t="s">
        <v>77</v>
      </c>
      <c r="Q2608" s="131">
        <v>7500</v>
      </c>
      <c r="R2608" s="131">
        <v>1200</v>
      </c>
      <c r="S2608" s="131"/>
      <c r="T2608" s="155">
        <v>800</v>
      </c>
      <c r="U2608" s="131">
        <v>93.75</v>
      </c>
      <c r="V2608" s="131">
        <v>7806.25</v>
      </c>
      <c r="W2608">
        <v>177</v>
      </c>
      <c r="X2608" s="151" t="s">
        <v>1429</v>
      </c>
      <c r="Y2608" s="135" t="s">
        <v>55</v>
      </c>
      <c r="Z2608" s="307">
        <v>240</v>
      </c>
      <c r="AB2608" t="str">
        <f>IF(Table1[[#This Row],[TIPO2]]="costo", VLOOKUP(Table1[[#This Row],[PARTIDA PRESUPUESTAL]],'Cost Report'!G:G,1,0),"Balance")</f>
        <v>3480-011</v>
      </c>
      <c r="AC2608" s="118"/>
      <c r="AD2608" s="159">
        <f>+Table1[[#This Row],[SUBTOTAL]]+Table1[[#This Row],[IVA]]-Table1[[#This Row],[RET IVA]]-Table1[[#This Row],[RET ISR]]-Table1[[#This Row],[TOTAL]]</f>
        <v>0</v>
      </c>
      <c r="AE2608" s="150"/>
      <c r="AF2608" s="151"/>
      <c r="AG2608" s="126"/>
      <c r="AK2608" s="306" t="str">
        <f>IF(ISNUMBER(Table1[[#This Row],[FECHA DE RECIBIDO]]), Table1[[#This Row],[FECHA DE RECIBIDO]]-DATE(2023,8,30), "")</f>
        <v/>
      </c>
    </row>
    <row r="2609" spans="1:37" ht="16.05" customHeight="1">
      <c r="A2609" s="152" t="s">
        <v>3925</v>
      </c>
      <c r="B2609" s="153">
        <v>929</v>
      </c>
      <c r="C2609" s="126" t="s">
        <v>1809</v>
      </c>
      <c r="D2609">
        <v>1762</v>
      </c>
      <c r="E2609" s="126" t="s">
        <v>3354</v>
      </c>
      <c r="F2609" s="125" t="s">
        <v>1589</v>
      </c>
      <c r="G2609" s="125" t="s">
        <v>129</v>
      </c>
      <c r="H2609">
        <v>348</v>
      </c>
      <c r="I2609" s="125" t="s">
        <v>1546</v>
      </c>
      <c r="J2609" s="308" t="s">
        <v>214</v>
      </c>
      <c r="K2609" s="127" t="s">
        <v>3806</v>
      </c>
      <c r="L2609" s="153" t="s">
        <v>110</v>
      </c>
      <c r="M2609">
        <v>465</v>
      </c>
      <c r="N2609" s="123">
        <v>90</v>
      </c>
      <c r="O2609">
        <v>1737</v>
      </c>
      <c r="P2609" s="132" t="s">
        <v>77</v>
      </c>
      <c r="Q2609" s="132">
        <v>16800</v>
      </c>
      <c r="R2609" s="132">
        <v>2688</v>
      </c>
      <c r="S2609" s="132"/>
      <c r="T2609" s="156">
        <v>1792</v>
      </c>
      <c r="U2609" s="132">
        <v>1680</v>
      </c>
      <c r="V2609" s="132">
        <v>16016</v>
      </c>
      <c r="W2609">
        <v>185</v>
      </c>
      <c r="X2609" s="153" t="s">
        <v>1433</v>
      </c>
      <c r="Y2609" s="124" t="s">
        <v>55</v>
      </c>
      <c r="Z2609" s="308">
        <v>240</v>
      </c>
      <c r="AB2609" t="str">
        <f>IF(Table1[[#This Row],[TIPO2]]="costo", VLOOKUP(Table1[[#This Row],[PARTIDA PRESUPUESTAL]],'Cost Report'!G:G,1,0),"Balance")</f>
        <v>2405-009</v>
      </c>
      <c r="AC2609" s="118"/>
      <c r="AD2609" s="159">
        <f>+Table1[[#This Row],[SUBTOTAL]]+Table1[[#This Row],[IVA]]-Table1[[#This Row],[RET IVA]]-Table1[[#This Row],[RET ISR]]-Table1[[#This Row],[TOTAL]]</f>
        <v>0</v>
      </c>
      <c r="AE2609" s="152"/>
      <c r="AF2609" s="153"/>
      <c r="AG2609" s="126"/>
      <c r="AK2609" s="306" t="str">
        <f>IF(ISNUMBER(Table1[[#This Row],[FECHA DE RECIBIDO]]), Table1[[#This Row],[FECHA DE RECIBIDO]]-DATE(2023,8,30), "")</f>
        <v/>
      </c>
    </row>
    <row r="2610" spans="1:37" ht="16.05" customHeight="1">
      <c r="A2610" s="150" t="s">
        <v>3926</v>
      </c>
      <c r="B2610" s="151">
        <v>930</v>
      </c>
      <c r="C2610" s="126" t="s">
        <v>1806</v>
      </c>
      <c r="D2610">
        <v>1763</v>
      </c>
      <c r="E2610" s="126" t="s">
        <v>1997</v>
      </c>
      <c r="F2610" s="122" t="s">
        <v>1602</v>
      </c>
      <c r="G2610" s="122" t="s">
        <v>1617</v>
      </c>
      <c r="H2610">
        <v>341</v>
      </c>
      <c r="I2610" s="122" t="s">
        <v>1546</v>
      </c>
      <c r="J2610" s="307" t="s">
        <v>214</v>
      </c>
      <c r="K2610" s="127" t="s">
        <v>3806</v>
      </c>
      <c r="L2610" s="151" t="s">
        <v>110</v>
      </c>
      <c r="M2610">
        <v>458</v>
      </c>
      <c r="N2610" s="123">
        <v>83</v>
      </c>
      <c r="O2610">
        <v>1738</v>
      </c>
      <c r="P2610" s="132" t="s">
        <v>77</v>
      </c>
      <c r="Q2610" s="131">
        <v>20580</v>
      </c>
      <c r="R2610" s="131">
        <v>3292.8</v>
      </c>
      <c r="S2610" s="131"/>
      <c r="T2610" s="155">
        <v>2195.1999999999998</v>
      </c>
      <c r="U2610" s="131">
        <v>0</v>
      </c>
      <c r="V2610" s="131">
        <v>21677.599999999999</v>
      </c>
      <c r="W2610">
        <v>178</v>
      </c>
      <c r="X2610" s="151" t="s">
        <v>2024</v>
      </c>
      <c r="Y2610" s="135" t="s">
        <v>55</v>
      </c>
      <c r="Z2610" s="307">
        <v>240</v>
      </c>
      <c r="AB2610" t="str">
        <f>IF(Table1[[#This Row],[TIPO2]]="costo", VLOOKUP(Table1[[#This Row],[PARTIDA PRESUPUESTAL]],'Cost Report'!G:G,1,0),"Balance")</f>
        <v>2405-004</v>
      </c>
      <c r="AC2610" s="118"/>
      <c r="AD2610" s="159">
        <f>+Table1[[#This Row],[SUBTOTAL]]+Table1[[#This Row],[IVA]]-Table1[[#This Row],[RET IVA]]-Table1[[#This Row],[RET ISR]]-Table1[[#This Row],[TOTAL]]</f>
        <v>0</v>
      </c>
      <c r="AE2610" s="150"/>
      <c r="AF2610" s="151"/>
      <c r="AG2610" s="126"/>
      <c r="AK2610" s="306" t="str">
        <f>IF(ISNUMBER(Table1[[#This Row],[FECHA DE RECIBIDO]]), Table1[[#This Row],[FECHA DE RECIBIDO]]-DATE(2023,8,30), "")</f>
        <v/>
      </c>
    </row>
    <row r="2611" spans="1:37" ht="16.05" customHeight="1">
      <c r="A2611" s="152" t="s">
        <v>3927</v>
      </c>
      <c r="B2611" s="153">
        <v>931</v>
      </c>
      <c r="C2611" s="126" t="s">
        <v>2527</v>
      </c>
      <c r="D2611">
        <v>1764</v>
      </c>
      <c r="E2611" s="126" t="s">
        <v>1609</v>
      </c>
      <c r="F2611" s="125" t="s">
        <v>1602</v>
      </c>
      <c r="G2611" s="125" t="s">
        <v>1617</v>
      </c>
      <c r="H2611">
        <v>501</v>
      </c>
      <c r="I2611" s="125" t="s">
        <v>1546</v>
      </c>
      <c r="J2611" s="308" t="s">
        <v>214</v>
      </c>
      <c r="K2611" s="127" t="s">
        <v>3806</v>
      </c>
      <c r="L2611" s="153" t="s">
        <v>110</v>
      </c>
      <c r="M2611">
        <v>725</v>
      </c>
      <c r="N2611" s="123">
        <v>130</v>
      </c>
      <c r="O2611">
        <v>1739</v>
      </c>
      <c r="P2611" s="132" t="s">
        <v>77</v>
      </c>
      <c r="Q2611" s="132">
        <v>10290</v>
      </c>
      <c r="R2611" s="132">
        <v>1646.4</v>
      </c>
      <c r="S2611" s="132"/>
      <c r="T2611" s="156">
        <v>1097.5999999999999</v>
      </c>
      <c r="U2611" s="132">
        <v>0</v>
      </c>
      <c r="V2611" s="132">
        <v>10838.8</v>
      </c>
      <c r="W2611">
        <v>273</v>
      </c>
      <c r="X2611" s="153" t="s">
        <v>2024</v>
      </c>
      <c r="Y2611" s="124" t="s">
        <v>55</v>
      </c>
      <c r="Z2611" s="308">
        <v>240</v>
      </c>
      <c r="AB2611" t="str">
        <f>IF(Table1[[#This Row],[TIPO2]]="costo", VLOOKUP(Table1[[#This Row],[PARTIDA PRESUPUESTAL]],'Cost Report'!G:G,1,0),"Balance")</f>
        <v>2405-025</v>
      </c>
      <c r="AC2611" s="118"/>
      <c r="AD2611" s="159">
        <f>+Table1[[#This Row],[SUBTOTAL]]+Table1[[#This Row],[IVA]]-Table1[[#This Row],[RET IVA]]-Table1[[#This Row],[RET ISR]]-Table1[[#This Row],[TOTAL]]</f>
        <v>0</v>
      </c>
      <c r="AE2611" s="152"/>
      <c r="AF2611" s="153"/>
      <c r="AG2611" s="126"/>
      <c r="AK2611" s="306" t="str">
        <f>IF(ISNUMBER(Table1[[#This Row],[FECHA DE RECIBIDO]]), Table1[[#This Row],[FECHA DE RECIBIDO]]-DATE(2023,8,30), "")</f>
        <v/>
      </c>
    </row>
    <row r="2612" spans="1:37" ht="16.05" customHeight="1">
      <c r="A2612" s="150" t="s">
        <v>3928</v>
      </c>
      <c r="B2612" s="151">
        <v>932</v>
      </c>
      <c r="C2612" s="126" t="s">
        <v>2553</v>
      </c>
      <c r="D2612">
        <v>1765</v>
      </c>
      <c r="E2612" s="126" t="s">
        <v>3929</v>
      </c>
      <c r="F2612" s="122" t="s">
        <v>1593</v>
      </c>
      <c r="G2612" s="122" t="s">
        <v>109</v>
      </c>
      <c r="H2612">
        <v>502</v>
      </c>
      <c r="I2612" s="122" t="s">
        <v>1546</v>
      </c>
      <c r="J2612" s="307" t="s">
        <v>214</v>
      </c>
      <c r="K2612" s="127" t="s">
        <v>3806</v>
      </c>
      <c r="L2612" s="151" t="s">
        <v>110</v>
      </c>
      <c r="M2612">
        <v>726</v>
      </c>
      <c r="N2612" s="123">
        <v>131</v>
      </c>
      <c r="O2612">
        <v>1740</v>
      </c>
      <c r="P2612" s="132" t="s">
        <v>77</v>
      </c>
      <c r="Q2612" s="131">
        <v>6250</v>
      </c>
      <c r="R2612" s="131">
        <v>1000</v>
      </c>
      <c r="S2612" s="131"/>
      <c r="T2612" s="155">
        <v>666.88</v>
      </c>
      <c r="U2612" s="131">
        <v>78.13</v>
      </c>
      <c r="V2612" s="131">
        <v>6504.99</v>
      </c>
      <c r="W2612">
        <v>274</v>
      </c>
      <c r="X2612" s="151" t="s">
        <v>1430</v>
      </c>
      <c r="Y2612" s="135" t="s">
        <v>55</v>
      </c>
      <c r="Z2612" s="307">
        <v>240</v>
      </c>
      <c r="AB2612" t="str">
        <f>IF(Table1[[#This Row],[TIPO2]]="costo", VLOOKUP(Table1[[#This Row],[PARTIDA PRESUPUESTAL]],'Cost Report'!G:G,1,0),"Balance")</f>
        <v>2495-017</v>
      </c>
      <c r="AC2612" s="118"/>
      <c r="AD2612" s="159">
        <f>+Table1[[#This Row],[SUBTOTAL]]+Table1[[#This Row],[IVA]]-Table1[[#This Row],[RET IVA]]-Table1[[#This Row],[RET ISR]]-Table1[[#This Row],[TOTAL]]</f>
        <v>0</v>
      </c>
      <c r="AE2612" s="150"/>
      <c r="AF2612" s="151"/>
      <c r="AG2612" s="126"/>
      <c r="AK2612" s="306" t="str">
        <f>IF(ISNUMBER(Table1[[#This Row],[FECHA DE RECIBIDO]]), Table1[[#This Row],[FECHA DE RECIBIDO]]-DATE(2023,8,30), "")</f>
        <v/>
      </c>
    </row>
    <row r="2613" spans="1:37" ht="16.05" customHeight="1">
      <c r="A2613" s="152" t="s">
        <v>3930</v>
      </c>
      <c r="B2613" s="153">
        <v>933</v>
      </c>
      <c r="C2613" s="126" t="s">
        <v>2527</v>
      </c>
      <c r="D2613">
        <v>1766</v>
      </c>
      <c r="E2613" s="126" t="s">
        <v>3276</v>
      </c>
      <c r="F2613" s="125" t="s">
        <v>1593</v>
      </c>
      <c r="G2613" s="125" t="s">
        <v>109</v>
      </c>
      <c r="H2613">
        <v>503</v>
      </c>
      <c r="I2613" s="125" t="s">
        <v>1546</v>
      </c>
      <c r="J2613" s="308" t="s">
        <v>214</v>
      </c>
      <c r="K2613" s="127" t="s">
        <v>3806</v>
      </c>
      <c r="L2613" s="153" t="s">
        <v>110</v>
      </c>
      <c r="M2613">
        <v>727</v>
      </c>
      <c r="N2613" s="123">
        <v>132</v>
      </c>
      <c r="O2613">
        <v>1741</v>
      </c>
      <c r="P2613" s="132" t="s">
        <v>77</v>
      </c>
      <c r="Q2613" s="132">
        <v>1470</v>
      </c>
      <c r="R2613" s="132">
        <v>235.2</v>
      </c>
      <c r="S2613" s="132"/>
      <c r="T2613" s="156">
        <v>156.80000000000001</v>
      </c>
      <c r="U2613" s="132">
        <v>18.38</v>
      </c>
      <c r="V2613" s="132">
        <v>1530.02</v>
      </c>
      <c r="W2613">
        <v>275</v>
      </c>
      <c r="X2613" s="153" t="s">
        <v>1429</v>
      </c>
      <c r="Y2613" s="124" t="s">
        <v>55</v>
      </c>
      <c r="Z2613" s="308">
        <v>240</v>
      </c>
      <c r="AB2613" t="str">
        <f>IF(Table1[[#This Row],[TIPO2]]="costo", VLOOKUP(Table1[[#This Row],[PARTIDA PRESUPUESTAL]],'Cost Report'!G:G,1,0),"Balance")</f>
        <v>2405-025</v>
      </c>
      <c r="AC2613" s="118"/>
      <c r="AD2613" s="159">
        <f>+Table1[[#This Row],[SUBTOTAL]]+Table1[[#This Row],[IVA]]-Table1[[#This Row],[RET IVA]]-Table1[[#This Row],[RET ISR]]-Table1[[#This Row],[TOTAL]]</f>
        <v>0</v>
      </c>
      <c r="AE2613" s="152"/>
      <c r="AF2613" s="153"/>
      <c r="AG2613" s="126"/>
      <c r="AK2613" s="306" t="str">
        <f>IF(ISNUMBER(Table1[[#This Row],[FECHA DE RECIBIDO]]), Table1[[#This Row],[FECHA DE RECIBIDO]]-DATE(2023,8,30), "")</f>
        <v/>
      </c>
    </row>
    <row r="2614" spans="1:37" ht="16.05" customHeight="1">
      <c r="A2614" s="150" t="s">
        <v>3931</v>
      </c>
      <c r="B2614" s="151">
        <v>934</v>
      </c>
      <c r="C2614" s="126" t="s">
        <v>2527</v>
      </c>
      <c r="D2614">
        <v>1767</v>
      </c>
      <c r="E2614" s="126" t="s">
        <v>3932</v>
      </c>
      <c r="F2614" s="122" t="s">
        <v>1589</v>
      </c>
      <c r="G2614" s="122" t="s">
        <v>129</v>
      </c>
      <c r="H2614">
        <v>504</v>
      </c>
      <c r="I2614" s="122" t="s">
        <v>1546</v>
      </c>
      <c r="J2614" s="307" t="s">
        <v>214</v>
      </c>
      <c r="K2614" s="127" t="s">
        <v>3806</v>
      </c>
      <c r="L2614" s="151" t="s">
        <v>110</v>
      </c>
      <c r="M2614">
        <v>728</v>
      </c>
      <c r="N2614" s="123">
        <v>133</v>
      </c>
      <c r="O2614">
        <v>1742</v>
      </c>
      <c r="P2614" s="132" t="s">
        <v>77</v>
      </c>
      <c r="Q2614" s="131">
        <v>1470</v>
      </c>
      <c r="R2614" s="131">
        <v>235.2</v>
      </c>
      <c r="S2614" s="131"/>
      <c r="T2614" s="155">
        <v>156.80000000000001</v>
      </c>
      <c r="U2614" s="131">
        <v>147</v>
      </c>
      <c r="V2614" s="131">
        <v>1401.4</v>
      </c>
      <c r="W2614">
        <v>276</v>
      </c>
      <c r="X2614" s="151" t="s">
        <v>1431</v>
      </c>
      <c r="Y2614" s="135" t="s">
        <v>55</v>
      </c>
      <c r="Z2614" s="307">
        <v>240</v>
      </c>
      <c r="AB2614" t="str">
        <f>IF(Table1[[#This Row],[TIPO2]]="costo", VLOOKUP(Table1[[#This Row],[PARTIDA PRESUPUESTAL]],'Cost Report'!G:G,1,0),"Balance")</f>
        <v>2405-025</v>
      </c>
      <c r="AC2614" s="118"/>
      <c r="AD2614" s="159">
        <f>+Table1[[#This Row],[SUBTOTAL]]+Table1[[#This Row],[IVA]]-Table1[[#This Row],[RET IVA]]-Table1[[#This Row],[RET ISR]]-Table1[[#This Row],[TOTAL]]</f>
        <v>0</v>
      </c>
      <c r="AE2614" s="150"/>
      <c r="AF2614" s="151"/>
      <c r="AG2614" s="126"/>
      <c r="AK2614" s="306" t="str">
        <f>IF(ISNUMBER(Table1[[#This Row],[FECHA DE RECIBIDO]]), Table1[[#This Row],[FECHA DE RECIBIDO]]-DATE(2023,8,30), "")</f>
        <v/>
      </c>
    </row>
    <row r="2615" spans="1:37" ht="16.05" customHeight="1">
      <c r="A2615" s="152" t="s">
        <v>3933</v>
      </c>
      <c r="B2615" s="153">
        <v>935</v>
      </c>
      <c r="C2615" s="126" t="s">
        <v>602</v>
      </c>
      <c r="D2615">
        <v>1768</v>
      </c>
      <c r="E2615" s="126" t="s">
        <v>3934</v>
      </c>
      <c r="F2615" s="125" t="s">
        <v>1593</v>
      </c>
      <c r="G2615" s="125" t="s">
        <v>109</v>
      </c>
      <c r="H2615">
        <v>505</v>
      </c>
      <c r="I2615" s="125" t="s">
        <v>1546</v>
      </c>
      <c r="J2615" s="308" t="s">
        <v>214</v>
      </c>
      <c r="K2615" s="127" t="s">
        <v>3806</v>
      </c>
      <c r="L2615" s="153" t="s">
        <v>110</v>
      </c>
      <c r="M2615">
        <v>729</v>
      </c>
      <c r="N2615" s="123">
        <v>134</v>
      </c>
      <c r="O2615">
        <v>1743</v>
      </c>
      <c r="P2615" s="132" t="s">
        <v>77</v>
      </c>
      <c r="Q2615" s="132">
        <v>7875</v>
      </c>
      <c r="R2615" s="132">
        <v>1260</v>
      </c>
      <c r="S2615" s="132"/>
      <c r="T2615" s="156">
        <v>840</v>
      </c>
      <c r="U2615" s="132">
        <v>98.44</v>
      </c>
      <c r="V2615" s="132">
        <v>8196.56</v>
      </c>
      <c r="W2615">
        <v>277</v>
      </c>
      <c r="X2615" s="153" t="s">
        <v>1429</v>
      </c>
      <c r="Y2615" s="124" t="s">
        <v>55</v>
      </c>
      <c r="Z2615" s="308">
        <v>240</v>
      </c>
      <c r="AB2615" t="str">
        <f>IF(Table1[[#This Row],[TIPO2]]="costo", VLOOKUP(Table1[[#This Row],[PARTIDA PRESUPUESTAL]],'Cost Report'!G:G,1,0),"Balance")</f>
        <v>2403-015</v>
      </c>
      <c r="AC2615" s="118"/>
      <c r="AD2615" s="159">
        <f>+Table1[[#This Row],[SUBTOTAL]]+Table1[[#This Row],[IVA]]-Table1[[#This Row],[RET IVA]]-Table1[[#This Row],[RET ISR]]-Table1[[#This Row],[TOTAL]]</f>
        <v>0</v>
      </c>
      <c r="AE2615" s="152"/>
      <c r="AF2615" s="153"/>
      <c r="AG2615" s="126"/>
      <c r="AK2615" s="306" t="str">
        <f>IF(ISNUMBER(Table1[[#This Row],[FECHA DE RECIBIDO]]), Table1[[#This Row],[FECHA DE RECIBIDO]]-DATE(2023,8,30), "")</f>
        <v/>
      </c>
    </row>
    <row r="2616" spans="1:37" ht="16.05" customHeight="1">
      <c r="A2616" s="150" t="s">
        <v>3935</v>
      </c>
      <c r="B2616" s="151">
        <v>936</v>
      </c>
      <c r="C2616" s="126" t="s">
        <v>603</v>
      </c>
      <c r="D2616">
        <v>1769</v>
      </c>
      <c r="E2616" s="126" t="s">
        <v>3934</v>
      </c>
      <c r="F2616" s="122" t="s">
        <v>1593</v>
      </c>
      <c r="G2616" s="122" t="s">
        <v>109</v>
      </c>
      <c r="H2616">
        <v>505</v>
      </c>
      <c r="I2616" s="122" t="s">
        <v>1546</v>
      </c>
      <c r="J2616" s="307" t="s">
        <v>214</v>
      </c>
      <c r="K2616" s="127" t="s">
        <v>3806</v>
      </c>
      <c r="L2616" s="151" t="s">
        <v>110</v>
      </c>
      <c r="M2616">
        <v>729</v>
      </c>
      <c r="N2616" s="123">
        <v>134</v>
      </c>
      <c r="O2616">
        <v>1744</v>
      </c>
      <c r="P2616" s="132" t="s">
        <v>77</v>
      </c>
      <c r="Q2616" s="131">
        <v>15750</v>
      </c>
      <c r="R2616" s="131">
        <v>2520</v>
      </c>
      <c r="S2616" s="131"/>
      <c r="T2616" s="155">
        <v>1680</v>
      </c>
      <c r="U2616" s="131">
        <v>196.88</v>
      </c>
      <c r="V2616" s="131">
        <v>16393.12</v>
      </c>
      <c r="W2616">
        <v>277</v>
      </c>
      <c r="X2616" s="151" t="s">
        <v>1429</v>
      </c>
      <c r="Y2616" s="135" t="s">
        <v>55</v>
      </c>
      <c r="Z2616" s="307">
        <v>240</v>
      </c>
      <c r="AB2616" t="str">
        <f>IF(Table1[[#This Row],[TIPO2]]="costo", VLOOKUP(Table1[[#This Row],[PARTIDA PRESUPUESTAL]],'Cost Report'!G:G,1,0),"Balance")</f>
        <v>2403-016</v>
      </c>
      <c r="AC2616" s="118"/>
      <c r="AD2616" s="159">
        <f>+Table1[[#This Row],[SUBTOTAL]]+Table1[[#This Row],[IVA]]-Table1[[#This Row],[RET IVA]]-Table1[[#This Row],[RET ISR]]-Table1[[#This Row],[TOTAL]]</f>
        <v>0</v>
      </c>
      <c r="AE2616" s="150"/>
      <c r="AF2616" s="151"/>
      <c r="AG2616" s="126"/>
      <c r="AK2616" s="306" t="str">
        <f>IF(ISNUMBER(Table1[[#This Row],[FECHA DE RECIBIDO]]), Table1[[#This Row],[FECHA DE RECIBIDO]]-DATE(2023,8,30), "")</f>
        <v/>
      </c>
    </row>
    <row r="2617" spans="1:37" ht="16.05" customHeight="1">
      <c r="A2617" s="152" t="s">
        <v>3936</v>
      </c>
      <c r="B2617" s="153">
        <v>937</v>
      </c>
      <c r="C2617" s="126" t="s">
        <v>603</v>
      </c>
      <c r="D2617">
        <v>1770</v>
      </c>
      <c r="E2617" s="126" t="s">
        <v>3934</v>
      </c>
      <c r="F2617" s="125" t="s">
        <v>1593</v>
      </c>
      <c r="G2617" s="125" t="s">
        <v>109</v>
      </c>
      <c r="H2617">
        <v>505</v>
      </c>
      <c r="I2617" s="125" t="s">
        <v>1546</v>
      </c>
      <c r="J2617" s="308" t="s">
        <v>214</v>
      </c>
      <c r="K2617" s="127" t="s">
        <v>3806</v>
      </c>
      <c r="L2617" s="153" t="s">
        <v>110</v>
      </c>
      <c r="M2617">
        <v>729</v>
      </c>
      <c r="N2617" s="123">
        <v>134</v>
      </c>
      <c r="O2617">
        <v>1745</v>
      </c>
      <c r="P2617" s="132" t="s">
        <v>77</v>
      </c>
      <c r="Q2617" s="132">
        <v>15750</v>
      </c>
      <c r="R2617" s="132">
        <v>2520</v>
      </c>
      <c r="S2617" s="132"/>
      <c r="T2617" s="156">
        <v>1680</v>
      </c>
      <c r="U2617" s="132">
        <v>196.88</v>
      </c>
      <c r="V2617" s="132">
        <v>16393.12</v>
      </c>
      <c r="W2617">
        <v>277</v>
      </c>
      <c r="X2617" s="153" t="s">
        <v>1429</v>
      </c>
      <c r="Y2617" s="124" t="s">
        <v>55</v>
      </c>
      <c r="Z2617" s="308">
        <v>240</v>
      </c>
      <c r="AB2617" t="str">
        <f>IF(Table1[[#This Row],[TIPO2]]="costo", VLOOKUP(Table1[[#This Row],[PARTIDA PRESUPUESTAL]],'Cost Report'!G:G,1,0),"Balance")</f>
        <v>2403-016</v>
      </c>
      <c r="AC2617" s="118"/>
      <c r="AD2617" s="159">
        <f>+Table1[[#This Row],[SUBTOTAL]]+Table1[[#This Row],[IVA]]-Table1[[#This Row],[RET IVA]]-Table1[[#This Row],[RET ISR]]-Table1[[#This Row],[TOTAL]]</f>
        <v>0</v>
      </c>
      <c r="AE2617" s="152"/>
      <c r="AF2617" s="153"/>
      <c r="AG2617" s="126"/>
      <c r="AK2617" s="306" t="str">
        <f>IF(ISNUMBER(Table1[[#This Row],[FECHA DE RECIBIDO]]), Table1[[#This Row],[FECHA DE RECIBIDO]]-DATE(2023,8,30), "")</f>
        <v/>
      </c>
    </row>
    <row r="2618" spans="1:37" ht="16.05" customHeight="1">
      <c r="A2618" s="150" t="s">
        <v>3937</v>
      </c>
      <c r="B2618" s="151">
        <v>938</v>
      </c>
      <c r="C2618" s="126" t="s">
        <v>2527</v>
      </c>
      <c r="D2618">
        <v>1771</v>
      </c>
      <c r="E2618" s="126" t="s">
        <v>3784</v>
      </c>
      <c r="F2618" s="122" t="s">
        <v>1589</v>
      </c>
      <c r="G2618" s="122" t="s">
        <v>129</v>
      </c>
      <c r="H2618">
        <v>447</v>
      </c>
      <c r="I2618" s="122" t="s">
        <v>1546</v>
      </c>
      <c r="J2618" s="307" t="s">
        <v>214</v>
      </c>
      <c r="K2618" s="127" t="s">
        <v>3806</v>
      </c>
      <c r="L2618" s="151" t="s">
        <v>110</v>
      </c>
      <c r="M2618">
        <v>621</v>
      </c>
      <c r="N2618" s="123">
        <v>135</v>
      </c>
      <c r="O2618">
        <v>1746</v>
      </c>
      <c r="P2618" s="132" t="s">
        <v>77</v>
      </c>
      <c r="Q2618" s="131">
        <v>1470</v>
      </c>
      <c r="R2618" s="131">
        <v>235.2</v>
      </c>
      <c r="S2618" s="131"/>
      <c r="T2618" s="155">
        <v>156.80000000000001</v>
      </c>
      <c r="U2618" s="131">
        <v>147</v>
      </c>
      <c r="V2618" s="131">
        <v>1401.4</v>
      </c>
      <c r="W2618">
        <v>234</v>
      </c>
      <c r="X2618" s="151" t="s">
        <v>1431</v>
      </c>
      <c r="Y2618" s="135" t="s">
        <v>55</v>
      </c>
      <c r="Z2618" s="307">
        <v>240</v>
      </c>
      <c r="AB2618" t="str">
        <f>IF(Table1[[#This Row],[TIPO2]]="costo", VLOOKUP(Table1[[#This Row],[PARTIDA PRESUPUESTAL]],'Cost Report'!G:G,1,0),"Balance")</f>
        <v>2405-025</v>
      </c>
      <c r="AC2618" s="118"/>
      <c r="AD2618" s="159">
        <f>+Table1[[#This Row],[SUBTOTAL]]+Table1[[#This Row],[IVA]]-Table1[[#This Row],[RET IVA]]-Table1[[#This Row],[RET ISR]]-Table1[[#This Row],[TOTAL]]</f>
        <v>0</v>
      </c>
      <c r="AE2618" s="150"/>
      <c r="AF2618" s="151"/>
      <c r="AG2618" s="126"/>
      <c r="AK2618" s="306" t="str">
        <f>IF(ISNUMBER(Table1[[#This Row],[FECHA DE RECIBIDO]]), Table1[[#This Row],[FECHA DE RECIBIDO]]-DATE(2023,8,30), "")</f>
        <v/>
      </c>
    </row>
    <row r="2619" spans="1:37" ht="16.05" customHeight="1">
      <c r="A2619" s="152" t="s">
        <v>3938</v>
      </c>
      <c r="B2619" s="153">
        <v>939</v>
      </c>
      <c r="C2619" s="126" t="s">
        <v>2527</v>
      </c>
      <c r="D2619">
        <v>1772</v>
      </c>
      <c r="E2619" s="126" t="s">
        <v>1609</v>
      </c>
      <c r="F2619" s="125" t="s">
        <v>1593</v>
      </c>
      <c r="G2619" s="125" t="s">
        <v>109</v>
      </c>
      <c r="H2619">
        <v>506</v>
      </c>
      <c r="I2619" s="125" t="s">
        <v>1546</v>
      </c>
      <c r="J2619" s="308" t="s">
        <v>214</v>
      </c>
      <c r="K2619" s="127" t="s">
        <v>3806</v>
      </c>
      <c r="L2619" s="153" t="s">
        <v>110</v>
      </c>
      <c r="M2619">
        <v>730</v>
      </c>
      <c r="N2619" s="123">
        <v>136</v>
      </c>
      <c r="O2619">
        <v>1747</v>
      </c>
      <c r="P2619" s="132" t="s">
        <v>77</v>
      </c>
      <c r="Q2619" s="132">
        <v>2940</v>
      </c>
      <c r="R2619" s="132">
        <v>470.4</v>
      </c>
      <c r="S2619" s="132"/>
      <c r="T2619" s="156">
        <v>313.60000000000002</v>
      </c>
      <c r="U2619" s="132">
        <v>36.75</v>
      </c>
      <c r="V2619" s="132">
        <v>3060.05</v>
      </c>
      <c r="W2619">
        <v>278</v>
      </c>
      <c r="X2619" s="153" t="s">
        <v>1431</v>
      </c>
      <c r="Y2619" s="124" t="s">
        <v>55</v>
      </c>
      <c r="Z2619" s="308">
        <v>240</v>
      </c>
      <c r="AB2619" t="str">
        <f>IF(Table1[[#This Row],[TIPO2]]="costo", VLOOKUP(Table1[[#This Row],[PARTIDA PRESUPUESTAL]],'Cost Report'!G:G,1,0),"Balance")</f>
        <v>2405-025</v>
      </c>
      <c r="AC2619" s="118"/>
      <c r="AD2619" s="159">
        <f>+Table1[[#This Row],[SUBTOTAL]]+Table1[[#This Row],[IVA]]-Table1[[#This Row],[RET IVA]]-Table1[[#This Row],[RET ISR]]-Table1[[#This Row],[TOTAL]]</f>
        <v>0</v>
      </c>
      <c r="AE2619" s="152"/>
      <c r="AF2619" s="153"/>
      <c r="AG2619" s="126"/>
      <c r="AK2619" s="306" t="str">
        <f>IF(ISNUMBER(Table1[[#This Row],[FECHA DE RECIBIDO]]), Table1[[#This Row],[FECHA DE RECIBIDO]]-DATE(2023,8,30), "")</f>
        <v/>
      </c>
    </row>
    <row r="2620" spans="1:37" ht="16.05" customHeight="1">
      <c r="A2620" s="150" t="s">
        <v>3939</v>
      </c>
      <c r="B2620" s="151">
        <v>940</v>
      </c>
      <c r="C2620" s="126" t="s">
        <v>2527</v>
      </c>
      <c r="D2620">
        <v>1773</v>
      </c>
      <c r="E2620" s="126" t="s">
        <v>3272</v>
      </c>
      <c r="F2620" s="122" t="s">
        <v>1593</v>
      </c>
      <c r="G2620" s="122" t="s">
        <v>109</v>
      </c>
      <c r="H2620">
        <v>507</v>
      </c>
      <c r="I2620" s="122" t="s">
        <v>1546</v>
      </c>
      <c r="J2620" s="307" t="s">
        <v>214</v>
      </c>
      <c r="K2620" s="127" t="s">
        <v>3806</v>
      </c>
      <c r="L2620" s="151" t="s">
        <v>110</v>
      </c>
      <c r="M2620">
        <v>731</v>
      </c>
      <c r="N2620" s="123">
        <v>137</v>
      </c>
      <c r="O2620">
        <v>1748</v>
      </c>
      <c r="P2620" s="132" t="s">
        <v>77</v>
      </c>
      <c r="Q2620" s="131">
        <v>1470</v>
      </c>
      <c r="R2620" s="131">
        <v>235.2</v>
      </c>
      <c r="S2620" s="131"/>
      <c r="T2620" s="155">
        <v>156.80000000000001</v>
      </c>
      <c r="U2620" s="131">
        <v>18.38</v>
      </c>
      <c r="V2620" s="131">
        <v>1530.02</v>
      </c>
      <c r="W2620">
        <v>279</v>
      </c>
      <c r="X2620" s="151" t="s">
        <v>1429</v>
      </c>
      <c r="Y2620" s="135" t="s">
        <v>55</v>
      </c>
      <c r="Z2620" s="307">
        <v>240</v>
      </c>
      <c r="AB2620" t="str">
        <f>IF(Table1[[#This Row],[TIPO2]]="costo", VLOOKUP(Table1[[#This Row],[PARTIDA PRESUPUESTAL]],'Cost Report'!G:G,1,0),"Balance")</f>
        <v>2405-025</v>
      </c>
      <c r="AC2620" s="118"/>
      <c r="AD2620" s="159">
        <f>+Table1[[#This Row],[SUBTOTAL]]+Table1[[#This Row],[IVA]]-Table1[[#This Row],[RET IVA]]-Table1[[#This Row],[RET ISR]]-Table1[[#This Row],[TOTAL]]</f>
        <v>0</v>
      </c>
      <c r="AE2620" s="150"/>
      <c r="AF2620" s="151"/>
      <c r="AG2620" s="126"/>
      <c r="AK2620" s="306" t="str">
        <f>IF(ISNUMBER(Table1[[#This Row],[FECHA DE RECIBIDO]]), Table1[[#This Row],[FECHA DE RECIBIDO]]-DATE(2023,8,30), "")</f>
        <v/>
      </c>
    </row>
    <row r="2621" spans="1:37" ht="16.05" customHeight="1">
      <c r="A2621" s="152" t="s">
        <v>3940</v>
      </c>
      <c r="B2621" s="153">
        <v>941</v>
      </c>
      <c r="C2621" s="126" t="s">
        <v>2510</v>
      </c>
      <c r="D2621">
        <v>1774</v>
      </c>
      <c r="E2621" s="126" t="s">
        <v>3941</v>
      </c>
      <c r="F2621" s="125" t="s">
        <v>1593</v>
      </c>
      <c r="G2621" s="125" t="s">
        <v>109</v>
      </c>
      <c r="H2621">
        <v>508</v>
      </c>
      <c r="I2621" s="125" t="s">
        <v>1546</v>
      </c>
      <c r="J2621" s="308" t="s">
        <v>214</v>
      </c>
      <c r="K2621" s="127" t="s">
        <v>3806</v>
      </c>
      <c r="L2621" s="153" t="s">
        <v>110</v>
      </c>
      <c r="M2621">
        <v>732</v>
      </c>
      <c r="N2621" s="123">
        <v>138</v>
      </c>
      <c r="O2621">
        <v>1749</v>
      </c>
      <c r="P2621" s="132" t="s">
        <v>77</v>
      </c>
      <c r="Q2621" s="132">
        <v>8500</v>
      </c>
      <c r="R2621" s="132">
        <v>1360</v>
      </c>
      <c r="S2621" s="132"/>
      <c r="T2621" s="156">
        <v>906.67</v>
      </c>
      <c r="U2621" s="132">
        <v>106.25</v>
      </c>
      <c r="V2621" s="132">
        <v>8847.08</v>
      </c>
      <c r="W2621">
        <v>280</v>
      </c>
      <c r="X2621" s="153" t="s">
        <v>1429</v>
      </c>
      <c r="Y2621" s="124" t="s">
        <v>55</v>
      </c>
      <c r="Z2621" s="308">
        <v>240</v>
      </c>
      <c r="AB2621" t="str">
        <f>IF(Table1[[#This Row],[TIPO2]]="costo", VLOOKUP(Table1[[#This Row],[PARTIDA PRESUPUESTAL]],'Cost Report'!G:G,1,0),"Balance")</f>
        <v>2401-043</v>
      </c>
      <c r="AC2621" s="118"/>
      <c r="AD2621" s="159">
        <f>+Table1[[#This Row],[SUBTOTAL]]+Table1[[#This Row],[IVA]]-Table1[[#This Row],[RET IVA]]-Table1[[#This Row],[RET ISR]]-Table1[[#This Row],[TOTAL]]</f>
        <v>0</v>
      </c>
      <c r="AE2621" s="152"/>
      <c r="AF2621" s="153"/>
      <c r="AG2621" s="126"/>
      <c r="AK2621" s="306" t="str">
        <f>IF(ISNUMBER(Table1[[#This Row],[FECHA DE RECIBIDO]]), Table1[[#This Row],[FECHA DE RECIBIDO]]-DATE(2023,8,30), "")</f>
        <v/>
      </c>
    </row>
    <row r="2622" spans="1:37" ht="16.05" customHeight="1">
      <c r="A2622" s="150" t="s">
        <v>3942</v>
      </c>
      <c r="B2622" s="151">
        <v>942</v>
      </c>
      <c r="C2622" s="126" t="s">
        <v>2511</v>
      </c>
      <c r="D2622">
        <v>1775</v>
      </c>
      <c r="E2622" s="126" t="s">
        <v>3941</v>
      </c>
      <c r="F2622" s="122" t="s">
        <v>1593</v>
      </c>
      <c r="G2622" s="122" t="s">
        <v>109</v>
      </c>
      <c r="H2622">
        <v>508</v>
      </c>
      <c r="I2622" s="122" t="s">
        <v>1546</v>
      </c>
      <c r="J2622" s="307" t="s">
        <v>214</v>
      </c>
      <c r="K2622" s="127" t="s">
        <v>3806</v>
      </c>
      <c r="L2622" s="151" t="s">
        <v>110</v>
      </c>
      <c r="M2622">
        <v>732</v>
      </c>
      <c r="N2622" s="123">
        <v>138</v>
      </c>
      <c r="O2622">
        <v>1750</v>
      </c>
      <c r="P2622" s="132" t="s">
        <v>77</v>
      </c>
      <c r="Q2622" s="131">
        <v>8500</v>
      </c>
      <c r="R2622" s="131">
        <v>1360</v>
      </c>
      <c r="S2622" s="131"/>
      <c r="T2622" s="155">
        <v>906.67</v>
      </c>
      <c r="U2622" s="131">
        <v>106.25</v>
      </c>
      <c r="V2622" s="131">
        <v>8847.08</v>
      </c>
      <c r="W2622">
        <v>280</v>
      </c>
      <c r="X2622" s="151" t="s">
        <v>1429</v>
      </c>
      <c r="Y2622" s="135" t="s">
        <v>55</v>
      </c>
      <c r="Z2622" s="307">
        <v>240</v>
      </c>
      <c r="AB2622" t="str">
        <f>IF(Table1[[#This Row],[TIPO2]]="costo", VLOOKUP(Table1[[#This Row],[PARTIDA PRESUPUESTAL]],'Cost Report'!G:G,1,0),"Balance")</f>
        <v>2401-044</v>
      </c>
      <c r="AC2622" s="118"/>
      <c r="AD2622" s="159">
        <f>+Table1[[#This Row],[SUBTOTAL]]+Table1[[#This Row],[IVA]]-Table1[[#This Row],[RET IVA]]-Table1[[#This Row],[RET ISR]]-Table1[[#This Row],[TOTAL]]</f>
        <v>0</v>
      </c>
      <c r="AE2622" s="150"/>
      <c r="AF2622" s="151"/>
      <c r="AG2622" s="126"/>
      <c r="AK2622" s="306" t="str">
        <f>IF(ISNUMBER(Table1[[#This Row],[FECHA DE RECIBIDO]]), Table1[[#This Row],[FECHA DE RECIBIDO]]-DATE(2023,8,30), "")</f>
        <v/>
      </c>
    </row>
    <row r="2623" spans="1:37" ht="16.05" customHeight="1">
      <c r="A2623" s="152" t="s">
        <v>3943</v>
      </c>
      <c r="B2623" s="153">
        <v>943</v>
      </c>
      <c r="C2623" s="126" t="s">
        <v>2527</v>
      </c>
      <c r="D2623">
        <v>1776</v>
      </c>
      <c r="E2623" s="126" t="s">
        <v>1990</v>
      </c>
      <c r="F2623" s="125" t="s">
        <v>1589</v>
      </c>
      <c r="G2623" s="125" t="s">
        <v>129</v>
      </c>
      <c r="H2623">
        <v>509</v>
      </c>
      <c r="I2623" s="125" t="s">
        <v>1546</v>
      </c>
      <c r="J2623" s="308" t="s">
        <v>214</v>
      </c>
      <c r="K2623" s="127" t="s">
        <v>3806</v>
      </c>
      <c r="L2623" s="153" t="s">
        <v>110</v>
      </c>
      <c r="M2623">
        <v>733</v>
      </c>
      <c r="N2623" s="123">
        <v>139</v>
      </c>
      <c r="O2623">
        <v>1751</v>
      </c>
      <c r="P2623" s="132" t="s">
        <v>77</v>
      </c>
      <c r="Q2623" s="132">
        <v>6533.33</v>
      </c>
      <c r="R2623" s="132">
        <v>1045.33</v>
      </c>
      <c r="S2623" s="132"/>
      <c r="T2623" s="156">
        <v>696.89</v>
      </c>
      <c r="U2623" s="132">
        <v>653.33000000000004</v>
      </c>
      <c r="V2623" s="132">
        <v>6228.44</v>
      </c>
      <c r="W2623">
        <v>281</v>
      </c>
      <c r="X2623" s="153" t="s">
        <v>1430</v>
      </c>
      <c r="Y2623" s="124" t="s">
        <v>55</v>
      </c>
      <c r="Z2623" s="308">
        <v>240</v>
      </c>
      <c r="AB2623" t="str">
        <f>IF(Table1[[#This Row],[TIPO2]]="costo", VLOOKUP(Table1[[#This Row],[PARTIDA PRESUPUESTAL]],'Cost Report'!G:G,1,0),"Balance")</f>
        <v>2405-025</v>
      </c>
      <c r="AC2623" s="118"/>
      <c r="AD2623" s="159">
        <f>+Table1[[#This Row],[SUBTOTAL]]+Table1[[#This Row],[IVA]]-Table1[[#This Row],[RET IVA]]-Table1[[#This Row],[RET ISR]]-Table1[[#This Row],[TOTAL]]</f>
        <v>0</v>
      </c>
      <c r="AE2623" s="152"/>
      <c r="AF2623" s="153"/>
      <c r="AG2623" s="126"/>
      <c r="AK2623" s="306" t="str">
        <f>IF(ISNUMBER(Table1[[#This Row],[FECHA DE RECIBIDO]]), Table1[[#This Row],[FECHA DE RECIBIDO]]-DATE(2023,8,30), "")</f>
        <v/>
      </c>
    </row>
    <row r="2624" spans="1:37" ht="16.05" customHeight="1">
      <c r="A2624" s="150" t="s">
        <v>3944</v>
      </c>
      <c r="B2624" s="151">
        <v>944</v>
      </c>
      <c r="C2624" s="126" t="s">
        <v>2527</v>
      </c>
      <c r="D2624">
        <v>1777</v>
      </c>
      <c r="E2624" s="126" t="s">
        <v>1990</v>
      </c>
      <c r="F2624" s="122" t="s">
        <v>1589</v>
      </c>
      <c r="G2624" s="122" t="s">
        <v>129</v>
      </c>
      <c r="H2624">
        <v>509</v>
      </c>
      <c r="I2624" s="122" t="s">
        <v>1546</v>
      </c>
      <c r="J2624" s="307" t="s">
        <v>214</v>
      </c>
      <c r="K2624" s="127" t="s">
        <v>3806</v>
      </c>
      <c r="L2624" s="151" t="s">
        <v>110</v>
      </c>
      <c r="M2624">
        <v>733</v>
      </c>
      <c r="N2624" s="123">
        <v>139</v>
      </c>
      <c r="O2624">
        <v>1752</v>
      </c>
      <c r="P2624" s="132" t="s">
        <v>77</v>
      </c>
      <c r="Q2624" s="131">
        <v>19600</v>
      </c>
      <c r="R2624" s="131">
        <v>3136</v>
      </c>
      <c r="S2624" s="131"/>
      <c r="T2624" s="155">
        <v>2090.6799999999998</v>
      </c>
      <c r="U2624" s="131">
        <v>1960</v>
      </c>
      <c r="V2624" s="131">
        <v>18685.32</v>
      </c>
      <c r="W2624">
        <v>281</v>
      </c>
      <c r="X2624" s="151" t="s">
        <v>1430</v>
      </c>
      <c r="Y2624" s="135" t="s">
        <v>55</v>
      </c>
      <c r="Z2624" s="307">
        <v>240</v>
      </c>
      <c r="AB2624" t="str">
        <f>IF(Table1[[#This Row],[TIPO2]]="costo", VLOOKUP(Table1[[#This Row],[PARTIDA PRESUPUESTAL]],'Cost Report'!G:G,1,0),"Balance")</f>
        <v>2405-025</v>
      </c>
      <c r="AC2624" s="118"/>
      <c r="AD2624" s="159">
        <f>+Table1[[#This Row],[SUBTOTAL]]+Table1[[#This Row],[IVA]]-Table1[[#This Row],[RET IVA]]-Table1[[#This Row],[RET ISR]]-Table1[[#This Row],[TOTAL]]</f>
        <v>0</v>
      </c>
      <c r="AE2624" s="150"/>
      <c r="AF2624" s="151"/>
      <c r="AG2624" s="126"/>
      <c r="AK2624" s="306" t="str">
        <f>IF(ISNUMBER(Table1[[#This Row],[FECHA DE RECIBIDO]]), Table1[[#This Row],[FECHA DE RECIBIDO]]-DATE(2023,8,30), "")</f>
        <v/>
      </c>
    </row>
    <row r="2625" spans="1:37" ht="16.05" customHeight="1">
      <c r="A2625" s="152" t="s">
        <v>3945</v>
      </c>
      <c r="B2625" s="153">
        <v>945</v>
      </c>
      <c r="C2625" s="126" t="s">
        <v>2527</v>
      </c>
      <c r="D2625">
        <v>1778</v>
      </c>
      <c r="E2625" s="126" t="s">
        <v>3946</v>
      </c>
      <c r="F2625" s="125" t="s">
        <v>1593</v>
      </c>
      <c r="G2625" s="125" t="s">
        <v>109</v>
      </c>
      <c r="H2625">
        <v>510</v>
      </c>
      <c r="I2625" s="125" t="s">
        <v>1546</v>
      </c>
      <c r="J2625" s="308" t="s">
        <v>214</v>
      </c>
      <c r="K2625" s="127" t="s">
        <v>3806</v>
      </c>
      <c r="L2625" s="153" t="s">
        <v>110</v>
      </c>
      <c r="M2625">
        <v>734</v>
      </c>
      <c r="N2625" s="123">
        <v>140</v>
      </c>
      <c r="O2625">
        <v>1753</v>
      </c>
      <c r="P2625" s="132" t="s">
        <v>77</v>
      </c>
      <c r="Q2625" s="132">
        <v>2940</v>
      </c>
      <c r="R2625" s="132">
        <v>470.4</v>
      </c>
      <c r="S2625" s="132"/>
      <c r="T2625" s="156">
        <v>313.60000000000002</v>
      </c>
      <c r="U2625" s="132">
        <v>36.76</v>
      </c>
      <c r="V2625" s="132">
        <v>3060.04</v>
      </c>
      <c r="W2625">
        <v>282</v>
      </c>
      <c r="X2625" s="153" t="s">
        <v>1429</v>
      </c>
      <c r="Y2625" s="124" t="s">
        <v>55</v>
      </c>
      <c r="Z2625" s="308">
        <v>240</v>
      </c>
      <c r="AB2625" t="str">
        <f>IF(Table1[[#This Row],[TIPO2]]="costo", VLOOKUP(Table1[[#This Row],[PARTIDA PRESUPUESTAL]],'Cost Report'!G:G,1,0),"Balance")</f>
        <v>2405-025</v>
      </c>
      <c r="AC2625" s="118"/>
      <c r="AD2625" s="159">
        <f>+Table1[[#This Row],[SUBTOTAL]]+Table1[[#This Row],[IVA]]-Table1[[#This Row],[RET IVA]]-Table1[[#This Row],[RET ISR]]-Table1[[#This Row],[TOTAL]]</f>
        <v>0</v>
      </c>
      <c r="AE2625" s="152"/>
      <c r="AF2625" s="153"/>
      <c r="AG2625" s="126"/>
      <c r="AK2625" s="306" t="str">
        <f>IF(ISNUMBER(Table1[[#This Row],[FECHA DE RECIBIDO]]), Table1[[#This Row],[FECHA DE RECIBIDO]]-DATE(2023,8,30), "")</f>
        <v/>
      </c>
    </row>
    <row r="2626" spans="1:37" ht="16.05" customHeight="1">
      <c r="A2626" s="150" t="s">
        <v>3947</v>
      </c>
      <c r="B2626" s="151">
        <v>946</v>
      </c>
      <c r="C2626" s="126" t="s">
        <v>2527</v>
      </c>
      <c r="D2626">
        <v>1779</v>
      </c>
      <c r="E2626" s="126" t="s">
        <v>3948</v>
      </c>
      <c r="F2626" s="122" t="s">
        <v>1593</v>
      </c>
      <c r="G2626" s="122" t="s">
        <v>109</v>
      </c>
      <c r="H2626">
        <v>511</v>
      </c>
      <c r="I2626" s="122" t="s">
        <v>1546</v>
      </c>
      <c r="J2626" s="307" t="s">
        <v>214</v>
      </c>
      <c r="K2626" s="127" t="s">
        <v>3806</v>
      </c>
      <c r="L2626" s="151" t="s">
        <v>110</v>
      </c>
      <c r="M2626">
        <v>735</v>
      </c>
      <c r="N2626" s="123">
        <v>141</v>
      </c>
      <c r="O2626">
        <v>1754</v>
      </c>
      <c r="P2626" s="132" t="s">
        <v>77</v>
      </c>
      <c r="Q2626" s="131">
        <v>2940</v>
      </c>
      <c r="R2626" s="131">
        <v>470.4</v>
      </c>
      <c r="S2626" s="131"/>
      <c r="T2626" s="155">
        <v>313.60000000000002</v>
      </c>
      <c r="U2626" s="131">
        <v>36.75</v>
      </c>
      <c r="V2626" s="131">
        <v>3060.05</v>
      </c>
      <c r="W2626">
        <v>283</v>
      </c>
      <c r="X2626" s="151" t="s">
        <v>1431</v>
      </c>
      <c r="Y2626" s="135" t="s">
        <v>55</v>
      </c>
      <c r="Z2626" s="307">
        <v>240</v>
      </c>
      <c r="AB2626" t="str">
        <f>IF(Table1[[#This Row],[TIPO2]]="costo", VLOOKUP(Table1[[#This Row],[PARTIDA PRESUPUESTAL]],'Cost Report'!G:G,1,0),"Balance")</f>
        <v>2405-025</v>
      </c>
      <c r="AC2626" s="118"/>
      <c r="AD2626" s="159">
        <f>+Table1[[#This Row],[SUBTOTAL]]+Table1[[#This Row],[IVA]]-Table1[[#This Row],[RET IVA]]-Table1[[#This Row],[RET ISR]]-Table1[[#This Row],[TOTAL]]</f>
        <v>0</v>
      </c>
      <c r="AE2626" s="150"/>
      <c r="AF2626" s="151"/>
      <c r="AG2626" s="126"/>
      <c r="AK2626" s="306" t="str">
        <f>IF(ISNUMBER(Table1[[#This Row],[FECHA DE RECIBIDO]]), Table1[[#This Row],[FECHA DE RECIBIDO]]-DATE(2023,8,30), "")</f>
        <v/>
      </c>
    </row>
    <row r="2627" spans="1:37" ht="16.05" customHeight="1">
      <c r="A2627" s="152" t="s">
        <v>3949</v>
      </c>
      <c r="B2627" s="153">
        <v>947</v>
      </c>
      <c r="C2627" s="126" t="s">
        <v>587</v>
      </c>
      <c r="D2627">
        <v>1780</v>
      </c>
      <c r="E2627" s="126" t="s">
        <v>3950</v>
      </c>
      <c r="F2627" s="125" t="s">
        <v>1602</v>
      </c>
      <c r="G2627" s="125" t="s">
        <v>1617</v>
      </c>
      <c r="H2627">
        <v>512</v>
      </c>
      <c r="I2627" s="125" t="s">
        <v>1546</v>
      </c>
      <c r="J2627" s="308" t="s">
        <v>214</v>
      </c>
      <c r="K2627" s="127" t="s">
        <v>3806</v>
      </c>
      <c r="L2627" s="153" t="s">
        <v>110</v>
      </c>
      <c r="M2627">
        <v>736</v>
      </c>
      <c r="N2627" s="123">
        <v>142</v>
      </c>
      <c r="O2627">
        <v>1755</v>
      </c>
      <c r="P2627" s="132" t="s">
        <v>77</v>
      </c>
      <c r="Q2627" s="132">
        <v>17850</v>
      </c>
      <c r="R2627" s="132">
        <v>2856</v>
      </c>
      <c r="S2627" s="132"/>
      <c r="T2627" s="156">
        <v>1904</v>
      </c>
      <c r="U2627" s="132">
        <v>0</v>
      </c>
      <c r="V2627" s="132">
        <v>18802</v>
      </c>
      <c r="W2627">
        <v>284</v>
      </c>
      <c r="X2627" s="153" t="s">
        <v>1430</v>
      </c>
      <c r="Y2627" s="124" t="s">
        <v>55</v>
      </c>
      <c r="Z2627" s="308">
        <v>240</v>
      </c>
      <c r="AB2627" t="str">
        <f>IF(Table1[[#This Row],[TIPO2]]="costo", VLOOKUP(Table1[[#This Row],[PARTIDA PRESUPUESTAL]],'Cost Report'!G:G,1,0),"Balance")</f>
        <v>2401-021</v>
      </c>
      <c r="AC2627" s="118"/>
      <c r="AD2627" s="159">
        <f>+Table1[[#This Row],[SUBTOTAL]]+Table1[[#This Row],[IVA]]-Table1[[#This Row],[RET IVA]]-Table1[[#This Row],[RET ISR]]-Table1[[#This Row],[TOTAL]]</f>
        <v>0</v>
      </c>
      <c r="AE2627" s="152"/>
      <c r="AF2627" s="153"/>
      <c r="AG2627" s="126"/>
      <c r="AK2627" s="306" t="str">
        <f>IF(ISNUMBER(Table1[[#This Row],[FECHA DE RECIBIDO]]), Table1[[#This Row],[FECHA DE RECIBIDO]]-DATE(2023,8,30), "")</f>
        <v/>
      </c>
    </row>
    <row r="2628" spans="1:37" ht="16.05" customHeight="1">
      <c r="A2628" s="150" t="s">
        <v>3951</v>
      </c>
      <c r="B2628" s="151">
        <v>948</v>
      </c>
      <c r="C2628" s="126" t="s">
        <v>587</v>
      </c>
      <c r="D2628">
        <v>1781</v>
      </c>
      <c r="E2628" s="126" t="s">
        <v>3950</v>
      </c>
      <c r="F2628" s="122" t="s">
        <v>1602</v>
      </c>
      <c r="G2628" s="122" t="s">
        <v>1617</v>
      </c>
      <c r="H2628">
        <v>512</v>
      </c>
      <c r="I2628" s="122" t="s">
        <v>1546</v>
      </c>
      <c r="J2628" s="307" t="s">
        <v>214</v>
      </c>
      <c r="K2628" s="127" t="s">
        <v>3806</v>
      </c>
      <c r="L2628" s="151" t="s">
        <v>110</v>
      </c>
      <c r="M2628">
        <v>736</v>
      </c>
      <c r="N2628" s="123">
        <v>142</v>
      </c>
      <c r="O2628">
        <v>1756</v>
      </c>
      <c r="P2628" s="132" t="s">
        <v>77</v>
      </c>
      <c r="Q2628" s="131">
        <v>17850</v>
      </c>
      <c r="R2628" s="131">
        <v>2856</v>
      </c>
      <c r="S2628" s="131"/>
      <c r="T2628" s="155">
        <v>1904</v>
      </c>
      <c r="U2628" s="131">
        <v>0</v>
      </c>
      <c r="V2628" s="131">
        <v>18802</v>
      </c>
      <c r="W2628">
        <v>284</v>
      </c>
      <c r="X2628" s="151" t="s">
        <v>1430</v>
      </c>
      <c r="Y2628" s="135" t="s">
        <v>55</v>
      </c>
      <c r="Z2628" s="307">
        <v>240</v>
      </c>
      <c r="AB2628" t="str">
        <f>IF(Table1[[#This Row],[TIPO2]]="costo", VLOOKUP(Table1[[#This Row],[PARTIDA PRESUPUESTAL]],'Cost Report'!G:G,1,0),"Balance")</f>
        <v>2401-021</v>
      </c>
      <c r="AC2628" s="118"/>
      <c r="AD2628" s="159">
        <f>+Table1[[#This Row],[SUBTOTAL]]+Table1[[#This Row],[IVA]]-Table1[[#This Row],[RET IVA]]-Table1[[#This Row],[RET ISR]]-Table1[[#This Row],[TOTAL]]</f>
        <v>0</v>
      </c>
      <c r="AE2628" s="150"/>
      <c r="AF2628" s="151"/>
      <c r="AG2628" s="126"/>
      <c r="AK2628" s="306" t="str">
        <f>IF(ISNUMBER(Table1[[#This Row],[FECHA DE RECIBIDO]]), Table1[[#This Row],[FECHA DE RECIBIDO]]-DATE(2023,8,30), "")</f>
        <v/>
      </c>
    </row>
    <row r="2629" spans="1:37" ht="16.05" customHeight="1">
      <c r="A2629" s="152" t="s">
        <v>3952</v>
      </c>
      <c r="B2629" s="153">
        <v>949</v>
      </c>
      <c r="C2629" s="126" t="s">
        <v>2515</v>
      </c>
      <c r="D2629">
        <v>1782</v>
      </c>
      <c r="E2629" s="126" t="s">
        <v>3953</v>
      </c>
      <c r="F2629" s="125" t="s">
        <v>1593</v>
      </c>
      <c r="G2629" s="125" t="s">
        <v>109</v>
      </c>
      <c r="H2629">
        <v>513</v>
      </c>
      <c r="I2629" s="125" t="s">
        <v>1546</v>
      </c>
      <c r="J2629" s="308" t="s">
        <v>214</v>
      </c>
      <c r="K2629" s="127" t="s">
        <v>3806</v>
      </c>
      <c r="L2629" s="153" t="s">
        <v>110</v>
      </c>
      <c r="M2629">
        <v>737</v>
      </c>
      <c r="N2629" s="123">
        <v>143</v>
      </c>
      <c r="O2629">
        <v>1757</v>
      </c>
      <c r="P2629" s="132" t="s">
        <v>77</v>
      </c>
      <c r="Q2629" s="132">
        <v>7500</v>
      </c>
      <c r="R2629" s="132">
        <v>1200</v>
      </c>
      <c r="S2629" s="132"/>
      <c r="T2629" s="156">
        <v>800</v>
      </c>
      <c r="U2629" s="132">
        <v>93.75</v>
      </c>
      <c r="V2629" s="132">
        <v>7806.25</v>
      </c>
      <c r="W2629">
        <v>285</v>
      </c>
      <c r="X2629" s="153" t="s">
        <v>1431</v>
      </c>
      <c r="Y2629" s="124" t="s">
        <v>55</v>
      </c>
      <c r="Z2629" s="308">
        <v>240</v>
      </c>
      <c r="AB2629" t="str">
        <f>IF(Table1[[#This Row],[TIPO2]]="costo", VLOOKUP(Table1[[#This Row],[PARTIDA PRESUPUESTAL]],'Cost Report'!G:G,1,0),"Balance")</f>
        <v>2403-026</v>
      </c>
      <c r="AC2629" s="118"/>
      <c r="AD2629" s="159">
        <f>+Table1[[#This Row],[SUBTOTAL]]+Table1[[#This Row],[IVA]]-Table1[[#This Row],[RET IVA]]-Table1[[#This Row],[RET ISR]]-Table1[[#This Row],[TOTAL]]</f>
        <v>0</v>
      </c>
      <c r="AE2629" s="152"/>
      <c r="AF2629" s="153"/>
      <c r="AG2629" s="126"/>
      <c r="AK2629" s="306" t="str">
        <f>IF(ISNUMBER(Table1[[#This Row],[FECHA DE RECIBIDO]]), Table1[[#This Row],[FECHA DE RECIBIDO]]-DATE(2023,8,30), "")</f>
        <v/>
      </c>
    </row>
    <row r="2630" spans="1:37" ht="16.05" customHeight="1">
      <c r="A2630" s="150" t="s">
        <v>3954</v>
      </c>
      <c r="B2630" s="151">
        <v>950</v>
      </c>
      <c r="C2630" s="126" t="s">
        <v>2516</v>
      </c>
      <c r="D2630">
        <v>1783</v>
      </c>
      <c r="E2630" s="126" t="s">
        <v>3953</v>
      </c>
      <c r="F2630" s="122" t="s">
        <v>1593</v>
      </c>
      <c r="G2630" s="122" t="s">
        <v>109</v>
      </c>
      <c r="H2630">
        <v>513</v>
      </c>
      <c r="I2630" s="122" t="s">
        <v>1546</v>
      </c>
      <c r="J2630" s="307" t="s">
        <v>214</v>
      </c>
      <c r="K2630" s="127" t="s">
        <v>3806</v>
      </c>
      <c r="L2630" s="151" t="s">
        <v>110</v>
      </c>
      <c r="M2630">
        <v>737</v>
      </c>
      <c r="N2630" s="123">
        <v>143</v>
      </c>
      <c r="O2630">
        <v>1758</v>
      </c>
      <c r="P2630" s="132" t="s">
        <v>77</v>
      </c>
      <c r="Q2630" s="131">
        <v>7500</v>
      </c>
      <c r="R2630" s="131">
        <v>1200</v>
      </c>
      <c r="S2630" s="131"/>
      <c r="T2630" s="155">
        <v>800</v>
      </c>
      <c r="U2630" s="131">
        <v>93.75</v>
      </c>
      <c r="V2630" s="131">
        <v>7806.25</v>
      </c>
      <c r="W2630">
        <v>285</v>
      </c>
      <c r="X2630" s="151" t="s">
        <v>1431</v>
      </c>
      <c r="Y2630" s="135" t="s">
        <v>55</v>
      </c>
      <c r="Z2630" s="307">
        <v>240</v>
      </c>
      <c r="AB2630" t="str">
        <f>IF(Table1[[#This Row],[TIPO2]]="costo", VLOOKUP(Table1[[#This Row],[PARTIDA PRESUPUESTAL]],'Cost Report'!G:G,1,0),"Balance")</f>
        <v>2403-027</v>
      </c>
      <c r="AC2630" s="118"/>
      <c r="AD2630" s="159">
        <f>+Table1[[#This Row],[SUBTOTAL]]+Table1[[#This Row],[IVA]]-Table1[[#This Row],[RET IVA]]-Table1[[#This Row],[RET ISR]]-Table1[[#This Row],[TOTAL]]</f>
        <v>0</v>
      </c>
      <c r="AE2630" s="150"/>
      <c r="AF2630" s="151"/>
      <c r="AG2630" s="126"/>
      <c r="AK2630" s="306" t="str">
        <f>IF(ISNUMBER(Table1[[#This Row],[FECHA DE RECIBIDO]]), Table1[[#This Row],[FECHA DE RECIBIDO]]-DATE(2023,8,30), "")</f>
        <v/>
      </c>
    </row>
    <row r="2631" spans="1:37" ht="16.05" customHeight="1">
      <c r="A2631" s="152" t="s">
        <v>3955</v>
      </c>
      <c r="B2631" s="153">
        <v>951</v>
      </c>
      <c r="C2631" s="126" t="s">
        <v>1817</v>
      </c>
      <c r="D2631">
        <v>1784</v>
      </c>
      <c r="E2631" s="126" t="s">
        <v>1577</v>
      </c>
      <c r="F2631" s="125" t="s">
        <v>1589</v>
      </c>
      <c r="G2631" s="125" t="s">
        <v>129</v>
      </c>
      <c r="H2631">
        <v>29</v>
      </c>
      <c r="I2631" s="125" t="s">
        <v>1546</v>
      </c>
      <c r="J2631" s="308" t="s">
        <v>214</v>
      </c>
      <c r="K2631" s="127" t="s">
        <v>3806</v>
      </c>
      <c r="L2631" s="153" t="s">
        <v>110</v>
      </c>
      <c r="M2631">
        <v>38</v>
      </c>
      <c r="N2631" s="123">
        <v>16</v>
      </c>
      <c r="O2631">
        <v>1759</v>
      </c>
      <c r="P2631" s="132" t="s">
        <v>77</v>
      </c>
      <c r="Q2631" s="132">
        <v>28000</v>
      </c>
      <c r="R2631" s="132">
        <v>4480</v>
      </c>
      <c r="S2631" s="132"/>
      <c r="T2631" s="156">
        <v>2986.68</v>
      </c>
      <c r="U2631" s="132">
        <v>2800</v>
      </c>
      <c r="V2631" s="132">
        <v>26693.32</v>
      </c>
      <c r="W2631">
        <v>31</v>
      </c>
      <c r="X2631" s="153" t="s">
        <v>1429</v>
      </c>
      <c r="Y2631" s="124" t="s">
        <v>55</v>
      </c>
      <c r="Z2631" s="308">
        <v>240</v>
      </c>
      <c r="AB2631" t="str">
        <f>IF(Table1[[#This Row],[TIPO2]]="costo", VLOOKUP(Table1[[#This Row],[PARTIDA PRESUPUESTAL]],'Cost Report'!G:G,1,0),"Balance")</f>
        <v>2705-004</v>
      </c>
      <c r="AC2631" s="118"/>
      <c r="AD2631" s="159">
        <f>+Table1[[#This Row],[SUBTOTAL]]+Table1[[#This Row],[IVA]]-Table1[[#This Row],[RET IVA]]-Table1[[#This Row],[RET ISR]]-Table1[[#This Row],[TOTAL]]</f>
        <v>0</v>
      </c>
      <c r="AE2631" s="152"/>
      <c r="AF2631" s="153"/>
      <c r="AG2631" s="126"/>
      <c r="AK2631" s="306" t="str">
        <f>IF(ISNUMBER(Table1[[#This Row],[FECHA DE RECIBIDO]]), Table1[[#This Row],[FECHA DE RECIBIDO]]-DATE(2023,8,30), "")</f>
        <v/>
      </c>
    </row>
    <row r="2632" spans="1:37" ht="16.05" customHeight="1">
      <c r="A2632" s="150" t="s">
        <v>3956</v>
      </c>
      <c r="B2632" s="151">
        <v>952</v>
      </c>
      <c r="C2632" s="126" t="s">
        <v>658</v>
      </c>
      <c r="D2632">
        <v>1785</v>
      </c>
      <c r="E2632" s="126" t="s">
        <v>1894</v>
      </c>
      <c r="F2632" s="122" t="s">
        <v>1593</v>
      </c>
      <c r="G2632" s="122" t="s">
        <v>109</v>
      </c>
      <c r="H2632">
        <v>67</v>
      </c>
      <c r="I2632" s="122" t="s">
        <v>1546</v>
      </c>
      <c r="J2632" s="307" t="s">
        <v>214</v>
      </c>
      <c r="K2632" s="127" t="s">
        <v>3806</v>
      </c>
      <c r="L2632" s="151" t="s">
        <v>110</v>
      </c>
      <c r="M2632">
        <v>90</v>
      </c>
      <c r="N2632" s="123">
        <v>27</v>
      </c>
      <c r="O2632">
        <v>1760</v>
      </c>
      <c r="P2632" s="132" t="s">
        <v>77</v>
      </c>
      <c r="Q2632" s="131">
        <v>20000</v>
      </c>
      <c r="R2632" s="131">
        <v>3200</v>
      </c>
      <c r="S2632" s="131"/>
      <c r="T2632" s="155">
        <v>2133.34</v>
      </c>
      <c r="U2632" s="131">
        <v>250</v>
      </c>
      <c r="V2632" s="131">
        <v>20816.66</v>
      </c>
      <c r="W2632">
        <v>49</v>
      </c>
      <c r="X2632" s="151" t="s">
        <v>1430</v>
      </c>
      <c r="Y2632" s="135" t="s">
        <v>55</v>
      </c>
      <c r="Z2632" s="307">
        <v>240</v>
      </c>
      <c r="AB2632" t="str">
        <f>IF(Table1[[#This Row],[TIPO2]]="costo", VLOOKUP(Table1[[#This Row],[PARTIDA PRESUPUESTAL]],'Cost Report'!G:G,1,0),"Balance")</f>
        <v>2703-004</v>
      </c>
      <c r="AC2632" s="118"/>
      <c r="AD2632" s="159">
        <f>+Table1[[#This Row],[SUBTOTAL]]+Table1[[#This Row],[IVA]]-Table1[[#This Row],[RET IVA]]-Table1[[#This Row],[RET ISR]]-Table1[[#This Row],[TOTAL]]</f>
        <v>0</v>
      </c>
      <c r="AE2632" s="150"/>
      <c r="AF2632" s="151"/>
      <c r="AG2632" s="126"/>
      <c r="AK2632" s="306" t="str">
        <f>IF(ISNUMBER(Table1[[#This Row],[FECHA DE RECIBIDO]]), Table1[[#This Row],[FECHA DE RECIBIDO]]-DATE(2023,8,30), "")</f>
        <v/>
      </c>
    </row>
    <row r="2633" spans="1:37" ht="16.05" customHeight="1">
      <c r="A2633" s="152" t="s">
        <v>3957</v>
      </c>
      <c r="B2633" s="153">
        <v>953</v>
      </c>
      <c r="C2633" s="126" t="s">
        <v>2599</v>
      </c>
      <c r="D2633">
        <v>1786</v>
      </c>
      <c r="E2633" s="126" t="s">
        <v>1577</v>
      </c>
      <c r="F2633" s="125" t="s">
        <v>1589</v>
      </c>
      <c r="G2633" s="125" t="s">
        <v>129</v>
      </c>
      <c r="H2633">
        <v>68</v>
      </c>
      <c r="I2633" s="125" t="s">
        <v>1546</v>
      </c>
      <c r="J2633" s="308" t="s">
        <v>214</v>
      </c>
      <c r="K2633" s="127" t="s">
        <v>3806</v>
      </c>
      <c r="L2633" s="153" t="s">
        <v>110</v>
      </c>
      <c r="M2633">
        <v>91</v>
      </c>
      <c r="N2633" s="123">
        <v>28</v>
      </c>
      <c r="O2633">
        <v>1761</v>
      </c>
      <c r="P2633" s="132" t="s">
        <v>77</v>
      </c>
      <c r="Q2633" s="132">
        <v>18000</v>
      </c>
      <c r="R2633" s="132">
        <v>2880</v>
      </c>
      <c r="S2633" s="132"/>
      <c r="T2633" s="156">
        <v>1920</v>
      </c>
      <c r="U2633" s="132">
        <v>1800</v>
      </c>
      <c r="V2633" s="132">
        <v>17160</v>
      </c>
      <c r="W2633">
        <v>50</v>
      </c>
      <c r="X2633" s="153" t="s">
        <v>1434</v>
      </c>
      <c r="Y2633" s="124" t="s">
        <v>55</v>
      </c>
      <c r="Z2633" s="308">
        <v>240</v>
      </c>
      <c r="AB2633" t="str">
        <f>IF(Table1[[#This Row],[TIPO2]]="costo", VLOOKUP(Table1[[#This Row],[PARTIDA PRESUPUESTAL]],'Cost Report'!G:G,1,0),"Balance")</f>
        <v>2795-012</v>
      </c>
      <c r="AC2633" s="118"/>
      <c r="AD2633" s="159">
        <f>+Table1[[#This Row],[SUBTOTAL]]+Table1[[#This Row],[IVA]]-Table1[[#This Row],[RET IVA]]-Table1[[#This Row],[RET ISR]]-Table1[[#This Row],[TOTAL]]</f>
        <v>0</v>
      </c>
      <c r="AE2633" s="152"/>
      <c r="AF2633" s="153"/>
      <c r="AG2633" s="126"/>
      <c r="AK2633" s="306" t="str">
        <f>IF(ISNUMBER(Table1[[#This Row],[FECHA DE RECIBIDO]]), Table1[[#This Row],[FECHA DE RECIBIDO]]-DATE(2023,8,30), "")</f>
        <v/>
      </c>
    </row>
    <row r="2634" spans="1:37" ht="16.05" customHeight="1">
      <c r="A2634" s="150" t="s">
        <v>3958</v>
      </c>
      <c r="B2634" s="151">
        <v>954</v>
      </c>
      <c r="C2634" s="126" t="s">
        <v>662</v>
      </c>
      <c r="D2634">
        <v>1787</v>
      </c>
      <c r="E2634" s="126" t="s">
        <v>3214</v>
      </c>
      <c r="F2634" s="122" t="s">
        <v>1589</v>
      </c>
      <c r="G2634" s="122" t="s">
        <v>129</v>
      </c>
      <c r="H2634">
        <v>204</v>
      </c>
      <c r="I2634" s="122" t="s">
        <v>1546</v>
      </c>
      <c r="J2634" s="307" t="s">
        <v>214</v>
      </c>
      <c r="K2634" s="127" t="s">
        <v>3806</v>
      </c>
      <c r="L2634" s="151" t="s">
        <v>110</v>
      </c>
      <c r="M2634">
        <v>269</v>
      </c>
      <c r="N2634" s="123">
        <v>69</v>
      </c>
      <c r="O2634">
        <v>1762</v>
      </c>
      <c r="P2634" s="132" t="s">
        <v>77</v>
      </c>
      <c r="Q2634" s="131">
        <v>15000</v>
      </c>
      <c r="R2634" s="131">
        <v>2400</v>
      </c>
      <c r="S2634" s="131"/>
      <c r="T2634" s="155">
        <v>1600</v>
      </c>
      <c r="U2634" s="131">
        <v>1500</v>
      </c>
      <c r="V2634" s="131">
        <v>14300</v>
      </c>
      <c r="W2634">
        <v>125</v>
      </c>
      <c r="X2634" s="151" t="s">
        <v>1434</v>
      </c>
      <c r="Y2634" s="135" t="s">
        <v>55</v>
      </c>
      <c r="Z2634" s="307">
        <v>240</v>
      </c>
      <c r="AB2634" t="str">
        <f>IF(Table1[[#This Row],[TIPO2]]="costo", VLOOKUP(Table1[[#This Row],[PARTIDA PRESUPUESTAL]],'Cost Report'!G:G,1,0),"Balance")</f>
        <v>2707-004</v>
      </c>
      <c r="AC2634" s="118"/>
      <c r="AD2634" s="159">
        <f>+Table1[[#This Row],[SUBTOTAL]]+Table1[[#This Row],[IVA]]-Table1[[#This Row],[RET IVA]]-Table1[[#This Row],[RET ISR]]-Table1[[#This Row],[TOTAL]]</f>
        <v>0</v>
      </c>
      <c r="AE2634" s="150"/>
      <c r="AF2634" s="151"/>
      <c r="AG2634" s="126"/>
      <c r="AK2634" s="306" t="str">
        <f>IF(ISNUMBER(Table1[[#This Row],[FECHA DE RECIBIDO]]), Table1[[#This Row],[FECHA DE RECIBIDO]]-DATE(2023,8,30), "")</f>
        <v/>
      </c>
    </row>
    <row r="2635" spans="1:37" ht="16.05" customHeight="1">
      <c r="A2635" s="152" t="s">
        <v>3959</v>
      </c>
      <c r="B2635" s="153">
        <v>955</v>
      </c>
      <c r="C2635" s="126" t="s">
        <v>1526</v>
      </c>
      <c r="D2635">
        <v>1788</v>
      </c>
      <c r="E2635" s="126" t="s">
        <v>2012</v>
      </c>
      <c r="F2635" s="125" t="s">
        <v>1589</v>
      </c>
      <c r="G2635" s="125" t="s">
        <v>129</v>
      </c>
      <c r="H2635">
        <v>205</v>
      </c>
      <c r="I2635" s="125" t="s">
        <v>1546</v>
      </c>
      <c r="J2635" s="308" t="s">
        <v>214</v>
      </c>
      <c r="K2635" s="127" t="s">
        <v>3806</v>
      </c>
      <c r="L2635" s="153" t="s">
        <v>110</v>
      </c>
      <c r="M2635">
        <v>270</v>
      </c>
      <c r="N2635" s="123">
        <v>70</v>
      </c>
      <c r="O2635">
        <v>1763</v>
      </c>
      <c r="P2635" s="132" t="s">
        <v>77</v>
      </c>
      <c r="Q2635" s="132">
        <v>16000</v>
      </c>
      <c r="R2635" s="132">
        <v>2560</v>
      </c>
      <c r="S2635" s="132"/>
      <c r="T2635" s="156">
        <v>1706.68</v>
      </c>
      <c r="U2635" s="132">
        <v>1600</v>
      </c>
      <c r="V2635" s="132">
        <v>15253.32</v>
      </c>
      <c r="W2635">
        <v>126</v>
      </c>
      <c r="X2635" s="153" t="s">
        <v>1434</v>
      </c>
      <c r="Y2635" s="124" t="s">
        <v>55</v>
      </c>
      <c r="Z2635" s="308">
        <v>240</v>
      </c>
      <c r="AB2635" t="str">
        <f>IF(Table1[[#This Row],[TIPO2]]="costo", VLOOKUP(Table1[[#This Row],[PARTIDA PRESUPUESTAL]],'Cost Report'!G:G,1,0),"Balance")</f>
        <v>2706-004</v>
      </c>
      <c r="AC2635" s="118"/>
      <c r="AD2635" s="159">
        <f>+Table1[[#This Row],[SUBTOTAL]]+Table1[[#This Row],[IVA]]-Table1[[#This Row],[RET IVA]]-Table1[[#This Row],[RET ISR]]-Table1[[#This Row],[TOTAL]]</f>
        <v>0</v>
      </c>
      <c r="AE2635" s="152"/>
      <c r="AF2635" s="153"/>
      <c r="AG2635" s="126"/>
      <c r="AK2635" s="306" t="str">
        <f>IF(ISNUMBER(Table1[[#This Row],[FECHA DE RECIBIDO]]), Table1[[#This Row],[FECHA DE RECIBIDO]]-DATE(2023,8,30), "")</f>
        <v/>
      </c>
    </row>
    <row r="2636" spans="1:37" ht="16.05" customHeight="1">
      <c r="A2636" s="150" t="s">
        <v>3960</v>
      </c>
      <c r="B2636" s="151">
        <v>956</v>
      </c>
      <c r="C2636" s="126" t="s">
        <v>2594</v>
      </c>
      <c r="D2636">
        <v>1789</v>
      </c>
      <c r="E2636" s="126" t="s">
        <v>3961</v>
      </c>
      <c r="F2636" s="122" t="s">
        <v>1602</v>
      </c>
      <c r="G2636" s="122" t="s">
        <v>1617</v>
      </c>
      <c r="H2636">
        <v>514</v>
      </c>
      <c r="I2636" s="122" t="s">
        <v>1546</v>
      </c>
      <c r="J2636" s="307" t="s">
        <v>214</v>
      </c>
      <c r="K2636" s="127" t="s">
        <v>3806</v>
      </c>
      <c r="L2636" s="151" t="s">
        <v>110</v>
      </c>
      <c r="M2636">
        <v>738</v>
      </c>
      <c r="N2636" s="123">
        <v>144</v>
      </c>
      <c r="O2636">
        <v>1764</v>
      </c>
      <c r="P2636" s="132" t="s">
        <v>77</v>
      </c>
      <c r="Q2636" s="131">
        <v>6000</v>
      </c>
      <c r="R2636" s="131">
        <v>960</v>
      </c>
      <c r="S2636" s="131"/>
      <c r="T2636" s="155">
        <v>640</v>
      </c>
      <c r="U2636" s="131">
        <v>0</v>
      </c>
      <c r="V2636" s="131">
        <v>6320</v>
      </c>
      <c r="W2636">
        <v>286</v>
      </c>
      <c r="X2636" s="151" t="s">
        <v>1431</v>
      </c>
      <c r="Y2636" s="135" t="s">
        <v>55</v>
      </c>
      <c r="Z2636" s="307">
        <v>240</v>
      </c>
      <c r="AB2636" t="str">
        <f>IF(Table1[[#This Row],[TIPO2]]="costo", VLOOKUP(Table1[[#This Row],[PARTIDA PRESUPUESTAL]],'Cost Report'!G:G,1,0),"Balance")</f>
        <v>2707-025</v>
      </c>
      <c r="AC2636" s="118"/>
      <c r="AD2636" s="159">
        <f>+Table1[[#This Row],[SUBTOTAL]]+Table1[[#This Row],[IVA]]-Table1[[#This Row],[RET IVA]]-Table1[[#This Row],[RET ISR]]-Table1[[#This Row],[TOTAL]]</f>
        <v>0</v>
      </c>
      <c r="AE2636" s="150"/>
      <c r="AF2636" s="151"/>
      <c r="AG2636" s="126"/>
      <c r="AK2636" s="306" t="str">
        <f>IF(ISNUMBER(Table1[[#This Row],[FECHA DE RECIBIDO]]), Table1[[#This Row],[FECHA DE RECIBIDO]]-DATE(2023,8,30), "")</f>
        <v/>
      </c>
    </row>
    <row r="2637" spans="1:37" ht="16.05" customHeight="1">
      <c r="A2637" s="152" t="s">
        <v>3962</v>
      </c>
      <c r="B2637" s="153">
        <v>957</v>
      </c>
      <c r="C2637" s="126" t="s">
        <v>2594</v>
      </c>
      <c r="D2637">
        <v>1790</v>
      </c>
      <c r="E2637" s="126" t="s">
        <v>1613</v>
      </c>
      <c r="F2637" s="125" t="s">
        <v>1593</v>
      </c>
      <c r="G2637" s="125" t="s">
        <v>109</v>
      </c>
      <c r="H2637">
        <v>515</v>
      </c>
      <c r="I2637" s="125" t="s">
        <v>1546</v>
      </c>
      <c r="J2637" s="308" t="s">
        <v>214</v>
      </c>
      <c r="K2637" s="127" t="s">
        <v>3806</v>
      </c>
      <c r="L2637" s="153" t="s">
        <v>110</v>
      </c>
      <c r="M2637">
        <v>739</v>
      </c>
      <c r="N2637" s="123">
        <v>145</v>
      </c>
      <c r="O2637">
        <v>1765</v>
      </c>
      <c r="P2637" s="132" t="s">
        <v>77</v>
      </c>
      <c r="Q2637" s="132">
        <v>3000</v>
      </c>
      <c r="R2637" s="132">
        <v>480</v>
      </c>
      <c r="S2637" s="132"/>
      <c r="T2637" s="156">
        <v>320</v>
      </c>
      <c r="U2637" s="132">
        <v>37.5</v>
      </c>
      <c r="V2637" s="132">
        <v>3122.5</v>
      </c>
      <c r="W2637">
        <v>287</v>
      </c>
      <c r="X2637" s="153" t="s">
        <v>1429</v>
      </c>
      <c r="Y2637" s="124" t="s">
        <v>55</v>
      </c>
      <c r="Z2637" s="308">
        <v>240</v>
      </c>
      <c r="AB2637" t="str">
        <f>IF(Table1[[#This Row],[TIPO2]]="costo", VLOOKUP(Table1[[#This Row],[PARTIDA PRESUPUESTAL]],'Cost Report'!G:G,1,0),"Balance")</f>
        <v>2707-025</v>
      </c>
      <c r="AC2637" s="118"/>
      <c r="AD2637" s="159">
        <f>+Table1[[#This Row],[SUBTOTAL]]+Table1[[#This Row],[IVA]]-Table1[[#This Row],[RET IVA]]-Table1[[#This Row],[RET ISR]]-Table1[[#This Row],[TOTAL]]</f>
        <v>0</v>
      </c>
      <c r="AE2637" s="152"/>
      <c r="AF2637" s="153"/>
      <c r="AG2637" s="126"/>
      <c r="AK2637" s="306" t="str">
        <f>IF(ISNUMBER(Table1[[#This Row],[FECHA DE RECIBIDO]]), Table1[[#This Row],[FECHA DE RECIBIDO]]-DATE(2023,8,30), "")</f>
        <v/>
      </c>
    </row>
    <row r="2638" spans="1:37" ht="16.05" customHeight="1">
      <c r="A2638" s="150" t="s">
        <v>3963</v>
      </c>
      <c r="B2638" s="151">
        <v>958</v>
      </c>
      <c r="C2638" s="126" t="s">
        <v>2590</v>
      </c>
      <c r="D2638">
        <v>1791</v>
      </c>
      <c r="E2638" s="126" t="s">
        <v>1613</v>
      </c>
      <c r="F2638" s="122" t="s">
        <v>1593</v>
      </c>
      <c r="G2638" s="122" t="s">
        <v>109</v>
      </c>
      <c r="H2638">
        <v>515</v>
      </c>
      <c r="I2638" s="122" t="s">
        <v>1546</v>
      </c>
      <c r="J2638" s="307" t="s">
        <v>214</v>
      </c>
      <c r="K2638" s="127" t="s">
        <v>3806</v>
      </c>
      <c r="L2638" s="151" t="s">
        <v>110</v>
      </c>
      <c r="M2638">
        <v>739</v>
      </c>
      <c r="N2638" s="123">
        <v>145</v>
      </c>
      <c r="O2638">
        <v>1766</v>
      </c>
      <c r="P2638" s="132" t="s">
        <v>77</v>
      </c>
      <c r="Q2638" s="131">
        <v>7500</v>
      </c>
      <c r="R2638" s="131">
        <v>1200</v>
      </c>
      <c r="S2638" s="131"/>
      <c r="T2638" s="155">
        <v>800</v>
      </c>
      <c r="U2638" s="131">
        <v>93.75</v>
      </c>
      <c r="V2638" s="131">
        <v>7806.25</v>
      </c>
      <c r="W2638">
        <v>287</v>
      </c>
      <c r="X2638" s="151" t="s">
        <v>1429</v>
      </c>
      <c r="Y2638" s="135" t="s">
        <v>55</v>
      </c>
      <c r="Z2638" s="307">
        <v>240</v>
      </c>
      <c r="AB2638" t="str">
        <f>IF(Table1[[#This Row],[TIPO2]]="costo", VLOOKUP(Table1[[#This Row],[PARTIDA PRESUPUESTAL]],'Cost Report'!G:G,1,0),"Balance")</f>
        <v>2707-019</v>
      </c>
      <c r="AC2638" s="118"/>
      <c r="AD2638" s="159">
        <f>+Table1[[#This Row],[SUBTOTAL]]+Table1[[#This Row],[IVA]]-Table1[[#This Row],[RET IVA]]-Table1[[#This Row],[RET ISR]]-Table1[[#This Row],[TOTAL]]</f>
        <v>0</v>
      </c>
      <c r="AE2638" s="150"/>
      <c r="AF2638" s="151"/>
      <c r="AG2638" s="126"/>
      <c r="AK2638" s="306" t="str">
        <f>IF(ISNUMBER(Table1[[#This Row],[FECHA DE RECIBIDO]]), Table1[[#This Row],[FECHA DE RECIBIDO]]-DATE(2023,8,30), "")</f>
        <v/>
      </c>
    </row>
    <row r="2639" spans="1:37" ht="16.05" customHeight="1">
      <c r="A2639" s="152" t="s">
        <v>3964</v>
      </c>
      <c r="B2639" s="153">
        <v>959</v>
      </c>
      <c r="C2639" s="126" t="s">
        <v>2591</v>
      </c>
      <c r="D2639">
        <v>1792</v>
      </c>
      <c r="E2639" s="126" t="s">
        <v>1613</v>
      </c>
      <c r="F2639" s="125" t="s">
        <v>1593</v>
      </c>
      <c r="G2639" s="125" t="s">
        <v>109</v>
      </c>
      <c r="H2639">
        <v>515</v>
      </c>
      <c r="I2639" s="125" t="s">
        <v>1546</v>
      </c>
      <c r="J2639" s="308" t="s">
        <v>214</v>
      </c>
      <c r="K2639" s="127" t="s">
        <v>3806</v>
      </c>
      <c r="L2639" s="153" t="s">
        <v>110</v>
      </c>
      <c r="M2639">
        <v>739</v>
      </c>
      <c r="N2639" s="123">
        <v>145</v>
      </c>
      <c r="O2639">
        <v>1767</v>
      </c>
      <c r="P2639" s="132" t="s">
        <v>77</v>
      </c>
      <c r="Q2639" s="132">
        <v>7500</v>
      </c>
      <c r="R2639" s="132">
        <v>1200</v>
      </c>
      <c r="S2639" s="132"/>
      <c r="T2639" s="156">
        <v>800</v>
      </c>
      <c r="U2639" s="132">
        <v>93.75</v>
      </c>
      <c r="V2639" s="132">
        <v>7806.25</v>
      </c>
      <c r="W2639">
        <v>287</v>
      </c>
      <c r="X2639" s="153" t="s">
        <v>1429</v>
      </c>
      <c r="Y2639" s="124" t="s">
        <v>55</v>
      </c>
      <c r="Z2639" s="308">
        <v>240</v>
      </c>
      <c r="AB2639" t="str">
        <f>IF(Table1[[#This Row],[TIPO2]]="costo", VLOOKUP(Table1[[#This Row],[PARTIDA PRESUPUESTAL]],'Cost Report'!G:G,1,0),"Balance")</f>
        <v>2707-020</v>
      </c>
      <c r="AC2639" s="118"/>
      <c r="AD2639" s="159">
        <f>+Table1[[#This Row],[SUBTOTAL]]+Table1[[#This Row],[IVA]]-Table1[[#This Row],[RET IVA]]-Table1[[#This Row],[RET ISR]]-Table1[[#This Row],[TOTAL]]</f>
        <v>0</v>
      </c>
      <c r="AE2639" s="152"/>
      <c r="AF2639" s="153"/>
      <c r="AG2639" s="126"/>
      <c r="AK2639" s="306" t="str">
        <f>IF(ISNUMBER(Table1[[#This Row],[FECHA DE RECIBIDO]]), Table1[[#This Row],[FECHA DE RECIBIDO]]-DATE(2023,8,30), "")</f>
        <v/>
      </c>
    </row>
    <row r="2640" spans="1:37" ht="16.05" customHeight="1">
      <c r="A2640" s="150" t="s">
        <v>3965</v>
      </c>
      <c r="B2640" s="151">
        <v>960</v>
      </c>
      <c r="C2640" s="126" t="s">
        <v>2594</v>
      </c>
      <c r="D2640">
        <v>1793</v>
      </c>
      <c r="E2640" s="126" t="s">
        <v>3966</v>
      </c>
      <c r="F2640" s="122" t="s">
        <v>1593</v>
      </c>
      <c r="G2640" s="122" t="s">
        <v>109</v>
      </c>
      <c r="H2640">
        <v>516</v>
      </c>
      <c r="I2640" s="122" t="s">
        <v>1546</v>
      </c>
      <c r="J2640" s="307" t="s">
        <v>214</v>
      </c>
      <c r="K2640" s="127" t="s">
        <v>3806</v>
      </c>
      <c r="L2640" s="151" t="s">
        <v>110</v>
      </c>
      <c r="M2640">
        <v>740</v>
      </c>
      <c r="N2640" s="123">
        <v>146</v>
      </c>
      <c r="O2640">
        <v>1768</v>
      </c>
      <c r="P2640" s="132" t="s">
        <v>77</v>
      </c>
      <c r="Q2640" s="131">
        <v>6000</v>
      </c>
      <c r="R2640" s="131">
        <v>960</v>
      </c>
      <c r="S2640" s="131"/>
      <c r="T2640" s="155">
        <v>640</v>
      </c>
      <c r="U2640" s="131">
        <v>75</v>
      </c>
      <c r="V2640" s="131">
        <v>6245</v>
      </c>
      <c r="W2640">
        <v>288</v>
      </c>
      <c r="X2640" s="151" t="s">
        <v>1429</v>
      </c>
      <c r="Y2640" s="135" t="s">
        <v>55</v>
      </c>
      <c r="Z2640" s="307">
        <v>240</v>
      </c>
      <c r="AB2640" t="str">
        <f>IF(Table1[[#This Row],[TIPO2]]="costo", VLOOKUP(Table1[[#This Row],[PARTIDA PRESUPUESTAL]],'Cost Report'!G:G,1,0),"Balance")</f>
        <v>2707-025</v>
      </c>
      <c r="AC2640" s="118"/>
      <c r="AD2640" s="159">
        <f>+Table1[[#This Row],[SUBTOTAL]]+Table1[[#This Row],[IVA]]-Table1[[#This Row],[RET IVA]]-Table1[[#This Row],[RET ISR]]-Table1[[#This Row],[TOTAL]]</f>
        <v>0</v>
      </c>
      <c r="AE2640" s="150"/>
      <c r="AF2640" s="151"/>
      <c r="AG2640" s="126"/>
      <c r="AK2640" s="306" t="str">
        <f>IF(ISNUMBER(Table1[[#This Row],[FECHA DE RECIBIDO]]), Table1[[#This Row],[FECHA DE RECIBIDO]]-DATE(2023,8,30), "")</f>
        <v/>
      </c>
    </row>
    <row r="2641" spans="1:37" ht="16.05" customHeight="1">
      <c r="A2641" s="152" t="s">
        <v>3967</v>
      </c>
      <c r="B2641" s="153">
        <v>961</v>
      </c>
      <c r="C2641" s="126" t="s">
        <v>2586</v>
      </c>
      <c r="D2641">
        <v>1794</v>
      </c>
      <c r="E2641" s="126" t="s">
        <v>3966</v>
      </c>
      <c r="F2641" s="125" t="s">
        <v>1593</v>
      </c>
      <c r="G2641" s="125" t="s">
        <v>109</v>
      </c>
      <c r="H2641">
        <v>516</v>
      </c>
      <c r="I2641" s="125" t="s">
        <v>1546</v>
      </c>
      <c r="J2641" s="308" t="s">
        <v>214</v>
      </c>
      <c r="K2641" s="127" t="s">
        <v>3806</v>
      </c>
      <c r="L2641" s="153" t="s">
        <v>110</v>
      </c>
      <c r="M2641">
        <v>740</v>
      </c>
      <c r="N2641" s="123">
        <v>146</v>
      </c>
      <c r="O2641">
        <v>1769</v>
      </c>
      <c r="P2641" s="132" t="s">
        <v>77</v>
      </c>
      <c r="Q2641" s="132">
        <v>8000</v>
      </c>
      <c r="R2641" s="132">
        <v>1280</v>
      </c>
      <c r="S2641" s="132"/>
      <c r="T2641" s="156">
        <v>853.34</v>
      </c>
      <c r="U2641" s="132">
        <v>100</v>
      </c>
      <c r="V2641" s="132">
        <v>8326.66</v>
      </c>
      <c r="W2641">
        <v>288</v>
      </c>
      <c r="X2641" s="153" t="s">
        <v>1429</v>
      </c>
      <c r="Y2641" s="124" t="s">
        <v>55</v>
      </c>
      <c r="Z2641" s="308">
        <v>240</v>
      </c>
      <c r="AB2641" t="str">
        <f>IF(Table1[[#This Row],[TIPO2]]="costo", VLOOKUP(Table1[[#This Row],[PARTIDA PRESUPUESTAL]],'Cost Report'!G:G,1,0),"Balance")</f>
        <v>2706-009</v>
      </c>
      <c r="AC2641" s="118"/>
      <c r="AD2641" s="159">
        <f>+Table1[[#This Row],[SUBTOTAL]]+Table1[[#This Row],[IVA]]-Table1[[#This Row],[RET IVA]]-Table1[[#This Row],[RET ISR]]-Table1[[#This Row],[TOTAL]]</f>
        <v>0</v>
      </c>
      <c r="AE2641" s="152"/>
      <c r="AF2641" s="153"/>
      <c r="AG2641" s="126"/>
      <c r="AK2641" s="306" t="str">
        <f>IF(ISNUMBER(Table1[[#This Row],[FECHA DE RECIBIDO]]), Table1[[#This Row],[FECHA DE RECIBIDO]]-DATE(2023,8,30), "")</f>
        <v/>
      </c>
    </row>
    <row r="2642" spans="1:37" ht="16.05" customHeight="1">
      <c r="A2642" s="150" t="s">
        <v>3968</v>
      </c>
      <c r="B2642" s="151">
        <v>962</v>
      </c>
      <c r="C2642" s="126" t="s">
        <v>2587</v>
      </c>
      <c r="D2642">
        <v>1795</v>
      </c>
      <c r="E2642" s="126" t="s">
        <v>3966</v>
      </c>
      <c r="F2642" s="122" t="s">
        <v>1593</v>
      </c>
      <c r="G2642" s="122" t="s">
        <v>109</v>
      </c>
      <c r="H2642">
        <v>516</v>
      </c>
      <c r="I2642" s="122" t="s">
        <v>1546</v>
      </c>
      <c r="J2642" s="307" t="s">
        <v>214</v>
      </c>
      <c r="K2642" s="127" t="s">
        <v>3806</v>
      </c>
      <c r="L2642" s="151" t="s">
        <v>110</v>
      </c>
      <c r="M2642">
        <v>740</v>
      </c>
      <c r="N2642" s="123">
        <v>146</v>
      </c>
      <c r="O2642">
        <v>1770</v>
      </c>
      <c r="P2642" s="132" t="s">
        <v>77</v>
      </c>
      <c r="Q2642" s="131">
        <v>8000</v>
      </c>
      <c r="R2642" s="131">
        <v>1280</v>
      </c>
      <c r="S2642" s="131"/>
      <c r="T2642" s="155">
        <v>853.34</v>
      </c>
      <c r="U2642" s="131">
        <v>100</v>
      </c>
      <c r="V2642" s="131">
        <v>8326.66</v>
      </c>
      <c r="W2642">
        <v>288</v>
      </c>
      <c r="X2642" s="151" t="s">
        <v>1429</v>
      </c>
      <c r="Y2642" s="135" t="s">
        <v>55</v>
      </c>
      <c r="Z2642" s="307">
        <v>240</v>
      </c>
      <c r="AB2642" t="str">
        <f>IF(Table1[[#This Row],[TIPO2]]="costo", VLOOKUP(Table1[[#This Row],[PARTIDA PRESUPUESTAL]],'Cost Report'!G:G,1,0),"Balance")</f>
        <v>2706-010</v>
      </c>
      <c r="AC2642" s="118"/>
      <c r="AD2642" s="159">
        <f>+Table1[[#This Row],[SUBTOTAL]]+Table1[[#This Row],[IVA]]-Table1[[#This Row],[RET IVA]]-Table1[[#This Row],[RET ISR]]-Table1[[#This Row],[TOTAL]]</f>
        <v>0</v>
      </c>
      <c r="AE2642" s="150"/>
      <c r="AF2642" s="151"/>
      <c r="AG2642" s="126"/>
      <c r="AK2642" s="306" t="str">
        <f>IF(ISNUMBER(Table1[[#This Row],[FECHA DE RECIBIDO]]), Table1[[#This Row],[FECHA DE RECIBIDO]]-DATE(2023,8,30), "")</f>
        <v/>
      </c>
    </row>
    <row r="2643" spans="1:37" ht="16.05" customHeight="1">
      <c r="A2643" s="152" t="s">
        <v>3969</v>
      </c>
      <c r="B2643" s="153">
        <v>963</v>
      </c>
      <c r="C2643" s="126" t="s">
        <v>381</v>
      </c>
      <c r="D2643">
        <v>1796</v>
      </c>
      <c r="E2643" s="126" t="s">
        <v>3217</v>
      </c>
      <c r="F2643" s="125" t="s">
        <v>1593</v>
      </c>
      <c r="G2643" s="125" t="s">
        <v>109</v>
      </c>
      <c r="H2643">
        <v>206</v>
      </c>
      <c r="I2643" s="125" t="s">
        <v>1546</v>
      </c>
      <c r="J2643" s="308" t="s">
        <v>214</v>
      </c>
      <c r="K2643" s="127" t="s">
        <v>3806</v>
      </c>
      <c r="L2643" s="153" t="s">
        <v>110</v>
      </c>
      <c r="M2643">
        <v>271</v>
      </c>
      <c r="N2643" s="123">
        <v>71</v>
      </c>
      <c r="O2643">
        <v>1771</v>
      </c>
      <c r="P2643" s="132" t="s">
        <v>77</v>
      </c>
      <c r="Q2643" s="132">
        <v>40000</v>
      </c>
      <c r="R2643" s="132">
        <v>6400</v>
      </c>
      <c r="S2643" s="132"/>
      <c r="T2643" s="156">
        <v>4266.68</v>
      </c>
      <c r="U2643" s="132">
        <v>500</v>
      </c>
      <c r="V2643" s="132">
        <v>41633.32</v>
      </c>
      <c r="W2643">
        <v>127</v>
      </c>
      <c r="X2643" s="153" t="s">
        <v>1431</v>
      </c>
      <c r="Y2643" s="124" t="s">
        <v>55</v>
      </c>
      <c r="Z2643" s="308">
        <v>240</v>
      </c>
      <c r="AB2643" t="str">
        <f>IF(Table1[[#This Row],[TIPO2]]="costo", VLOOKUP(Table1[[#This Row],[PARTIDA PRESUPUESTAL]],'Cost Report'!G:G,1,0),"Balance")</f>
        <v>1413-004</v>
      </c>
      <c r="AC2643" s="118"/>
      <c r="AD2643" s="159">
        <f>+Table1[[#This Row],[SUBTOTAL]]+Table1[[#This Row],[IVA]]-Table1[[#This Row],[RET IVA]]-Table1[[#This Row],[RET ISR]]-Table1[[#This Row],[TOTAL]]</f>
        <v>0</v>
      </c>
      <c r="AE2643" s="152"/>
      <c r="AF2643" s="153"/>
      <c r="AG2643" s="126"/>
      <c r="AK2643" s="306" t="str">
        <f>IF(ISNUMBER(Table1[[#This Row],[FECHA DE RECIBIDO]]), Table1[[#This Row],[FECHA DE RECIBIDO]]-DATE(2023,8,30), "")</f>
        <v/>
      </c>
    </row>
    <row r="2644" spans="1:37" ht="16.05" customHeight="1">
      <c r="A2644" s="150" t="s">
        <v>3970</v>
      </c>
      <c r="B2644" s="151">
        <v>964</v>
      </c>
      <c r="C2644" s="126" t="s">
        <v>3011</v>
      </c>
      <c r="D2644">
        <v>1797</v>
      </c>
      <c r="E2644" s="126" t="s">
        <v>2018</v>
      </c>
      <c r="F2644" s="122" t="s">
        <v>1593</v>
      </c>
      <c r="G2644" s="122" t="s">
        <v>109</v>
      </c>
      <c r="H2644">
        <v>116</v>
      </c>
      <c r="I2644" s="122" t="s">
        <v>1546</v>
      </c>
      <c r="J2644" s="307" t="s">
        <v>214</v>
      </c>
      <c r="K2644" s="127" t="s">
        <v>3806</v>
      </c>
      <c r="L2644" s="151" t="s">
        <v>110</v>
      </c>
      <c r="M2644">
        <v>154</v>
      </c>
      <c r="N2644" s="123">
        <v>46</v>
      </c>
      <c r="O2644">
        <v>1772</v>
      </c>
      <c r="P2644" s="132" t="s">
        <v>77</v>
      </c>
      <c r="Q2644" s="131">
        <v>44000</v>
      </c>
      <c r="R2644" s="131">
        <v>7040</v>
      </c>
      <c r="S2644" s="131"/>
      <c r="T2644" s="155">
        <v>4693.34</v>
      </c>
      <c r="U2644" s="131">
        <v>550</v>
      </c>
      <c r="V2644" s="131">
        <v>45796.66</v>
      </c>
      <c r="W2644">
        <v>78</v>
      </c>
      <c r="X2644" s="151" t="s">
        <v>1430</v>
      </c>
      <c r="Y2644" s="135" t="s">
        <v>55</v>
      </c>
      <c r="Z2644" s="307">
        <v>240</v>
      </c>
      <c r="AB2644" t="str">
        <f>IF(Table1[[#This Row],[TIPO2]]="costo", VLOOKUP(Table1[[#This Row],[PARTIDA PRESUPUESTAL]],'Cost Report'!G:G,1,0),"Balance")</f>
        <v>5009-005</v>
      </c>
      <c r="AC2644" s="118"/>
      <c r="AD2644" s="159">
        <f>+Table1[[#This Row],[SUBTOTAL]]+Table1[[#This Row],[IVA]]-Table1[[#This Row],[RET IVA]]-Table1[[#This Row],[RET ISR]]-Table1[[#This Row],[TOTAL]]</f>
        <v>0</v>
      </c>
      <c r="AE2644" s="150"/>
      <c r="AF2644" s="151"/>
      <c r="AG2644" s="126"/>
      <c r="AK2644" s="306" t="str">
        <f>IF(ISNUMBER(Table1[[#This Row],[FECHA DE RECIBIDO]]), Table1[[#This Row],[FECHA DE RECIBIDO]]-DATE(2023,8,30), "")</f>
        <v/>
      </c>
    </row>
    <row r="2645" spans="1:37" ht="16.05" customHeight="1">
      <c r="A2645" s="152" t="s">
        <v>3971</v>
      </c>
      <c r="B2645" s="153">
        <v>965</v>
      </c>
      <c r="C2645" s="126" t="s">
        <v>2603</v>
      </c>
      <c r="D2645">
        <v>1798</v>
      </c>
      <c r="E2645" s="126" t="s">
        <v>2019</v>
      </c>
      <c r="F2645" s="125" t="s">
        <v>1602</v>
      </c>
      <c r="G2645" s="125" t="s">
        <v>1617</v>
      </c>
      <c r="H2645">
        <v>117</v>
      </c>
      <c r="I2645" s="125" t="s">
        <v>1546</v>
      </c>
      <c r="J2645" s="308" t="s">
        <v>214</v>
      </c>
      <c r="K2645" s="127" t="s">
        <v>3806</v>
      </c>
      <c r="L2645" s="153" t="s">
        <v>110</v>
      </c>
      <c r="M2645">
        <v>155</v>
      </c>
      <c r="N2645" s="123">
        <v>47</v>
      </c>
      <c r="O2645">
        <v>1773</v>
      </c>
      <c r="P2645" s="132" t="s">
        <v>77</v>
      </c>
      <c r="Q2645" s="132">
        <v>24600</v>
      </c>
      <c r="R2645" s="132">
        <v>3936</v>
      </c>
      <c r="S2645" s="132"/>
      <c r="T2645" s="156">
        <v>2624.01</v>
      </c>
      <c r="U2645" s="132">
        <v>0</v>
      </c>
      <c r="V2645" s="132">
        <v>25911.989999999998</v>
      </c>
      <c r="W2645">
        <v>79</v>
      </c>
      <c r="X2645" s="153" t="s">
        <v>1429</v>
      </c>
      <c r="Y2645" s="124" t="s">
        <v>55</v>
      </c>
      <c r="Z2645" s="308">
        <v>240</v>
      </c>
      <c r="AB2645" t="str">
        <f>IF(Table1[[#This Row],[TIPO2]]="costo", VLOOKUP(Table1[[#This Row],[PARTIDA PRESUPUESTAL]],'Cost Report'!G:G,1,0),"Balance")</f>
        <v>2801-010</v>
      </c>
      <c r="AC2645" s="118"/>
      <c r="AD2645" s="159">
        <f>+Table1[[#This Row],[SUBTOTAL]]+Table1[[#This Row],[IVA]]-Table1[[#This Row],[RET IVA]]-Table1[[#This Row],[RET ISR]]-Table1[[#This Row],[TOTAL]]</f>
        <v>0</v>
      </c>
      <c r="AE2645" s="152"/>
      <c r="AF2645" s="153"/>
      <c r="AG2645" s="126"/>
      <c r="AK2645" s="306" t="str">
        <f>IF(ISNUMBER(Table1[[#This Row],[FECHA DE RECIBIDO]]), Table1[[#This Row],[FECHA DE RECIBIDO]]-DATE(2023,8,30), "")</f>
        <v/>
      </c>
    </row>
    <row r="2646" spans="1:37" ht="16.05" customHeight="1">
      <c r="A2646" s="150" t="s">
        <v>3972</v>
      </c>
      <c r="B2646" s="151">
        <v>966</v>
      </c>
      <c r="C2646" s="126" t="s">
        <v>695</v>
      </c>
      <c r="D2646">
        <v>1799</v>
      </c>
      <c r="E2646" s="126" t="s">
        <v>2020</v>
      </c>
      <c r="F2646" s="122" t="s">
        <v>1602</v>
      </c>
      <c r="G2646" s="122" t="s">
        <v>1617</v>
      </c>
      <c r="H2646">
        <v>118</v>
      </c>
      <c r="I2646" s="122" t="s">
        <v>1546</v>
      </c>
      <c r="J2646" s="307" t="s">
        <v>214</v>
      </c>
      <c r="K2646" s="127" t="s">
        <v>3806</v>
      </c>
      <c r="L2646" s="151" t="s">
        <v>110</v>
      </c>
      <c r="M2646">
        <v>156</v>
      </c>
      <c r="N2646" s="123">
        <v>48</v>
      </c>
      <c r="O2646">
        <v>1774</v>
      </c>
      <c r="P2646" s="132" t="s">
        <v>77</v>
      </c>
      <c r="Q2646" s="131">
        <v>24000</v>
      </c>
      <c r="R2646" s="131">
        <v>3840</v>
      </c>
      <c r="S2646" s="131"/>
      <c r="T2646" s="155">
        <v>2560</v>
      </c>
      <c r="U2646" s="131">
        <v>0</v>
      </c>
      <c r="V2646" s="131">
        <v>25280</v>
      </c>
      <c r="W2646">
        <v>80</v>
      </c>
      <c r="X2646" s="151" t="s">
        <v>1429</v>
      </c>
      <c r="Y2646" s="135" t="s">
        <v>55</v>
      </c>
      <c r="Z2646" s="307">
        <v>240</v>
      </c>
      <c r="AB2646" t="str">
        <f>IF(Table1[[#This Row],[TIPO2]]="costo", VLOOKUP(Table1[[#This Row],[PARTIDA PRESUPUESTAL]],'Cost Report'!G:G,1,0),"Balance")</f>
        <v>2804-004</v>
      </c>
      <c r="AC2646" s="118"/>
      <c r="AD2646" s="159">
        <f>+Table1[[#This Row],[SUBTOTAL]]+Table1[[#This Row],[IVA]]-Table1[[#This Row],[RET IVA]]-Table1[[#This Row],[RET ISR]]-Table1[[#This Row],[TOTAL]]</f>
        <v>0</v>
      </c>
      <c r="AE2646" s="150"/>
      <c r="AF2646" s="151"/>
      <c r="AG2646" s="126"/>
      <c r="AK2646" s="306" t="str">
        <f>IF(ISNUMBER(Table1[[#This Row],[FECHA DE RECIBIDO]]), Table1[[#This Row],[FECHA DE RECIBIDO]]-DATE(2023,8,30), "")</f>
        <v/>
      </c>
    </row>
    <row r="2647" spans="1:37" ht="16.05" customHeight="1">
      <c r="A2647" s="152" t="s">
        <v>3973</v>
      </c>
      <c r="B2647" s="153">
        <v>967</v>
      </c>
      <c r="C2647" s="126" t="s">
        <v>686</v>
      </c>
      <c r="D2647">
        <v>1800</v>
      </c>
      <c r="E2647" s="126" t="s">
        <v>1999</v>
      </c>
      <c r="F2647" s="125" t="s">
        <v>1593</v>
      </c>
      <c r="G2647" s="125" t="s">
        <v>109</v>
      </c>
      <c r="H2647">
        <v>517</v>
      </c>
      <c r="I2647" s="125" t="s">
        <v>1546</v>
      </c>
      <c r="J2647" s="308" t="s">
        <v>214</v>
      </c>
      <c r="K2647" s="127" t="s">
        <v>3806</v>
      </c>
      <c r="L2647" s="153" t="s">
        <v>110</v>
      </c>
      <c r="M2647">
        <v>741</v>
      </c>
      <c r="N2647" s="123">
        <v>147</v>
      </c>
      <c r="O2647">
        <v>1775</v>
      </c>
      <c r="P2647" s="132" t="s">
        <v>77</v>
      </c>
      <c r="Q2647" s="132">
        <v>36000</v>
      </c>
      <c r="R2647" s="132">
        <v>5760</v>
      </c>
      <c r="S2647" s="132"/>
      <c r="T2647" s="156">
        <v>3840</v>
      </c>
      <c r="U2647" s="132">
        <v>450</v>
      </c>
      <c r="V2647" s="132">
        <v>37470</v>
      </c>
      <c r="W2647">
        <v>289</v>
      </c>
      <c r="X2647" s="153" t="s">
        <v>1430</v>
      </c>
      <c r="Y2647" s="124" t="s">
        <v>55</v>
      </c>
      <c r="Z2647" s="308">
        <v>240</v>
      </c>
      <c r="AB2647" t="str">
        <f>IF(Table1[[#This Row],[TIPO2]]="costo", VLOOKUP(Table1[[#This Row],[PARTIDA PRESUPUESTAL]],'Cost Report'!G:G,1,0),"Balance")</f>
        <v>2802-003</v>
      </c>
      <c r="AC2647" s="118"/>
      <c r="AD2647" s="159">
        <f>+Table1[[#This Row],[SUBTOTAL]]+Table1[[#This Row],[IVA]]-Table1[[#This Row],[RET IVA]]-Table1[[#This Row],[RET ISR]]-Table1[[#This Row],[TOTAL]]</f>
        <v>0</v>
      </c>
      <c r="AE2647" s="152"/>
      <c r="AF2647" s="153"/>
      <c r="AG2647" s="126"/>
      <c r="AK2647" s="306" t="str">
        <f>IF(ISNUMBER(Table1[[#This Row],[FECHA DE RECIBIDO]]), Table1[[#This Row],[FECHA DE RECIBIDO]]-DATE(2023,8,30), "")</f>
        <v/>
      </c>
    </row>
    <row r="2648" spans="1:37" ht="16.05" customHeight="1">
      <c r="A2648" s="150" t="s">
        <v>3974</v>
      </c>
      <c r="B2648" s="151">
        <v>968</v>
      </c>
      <c r="C2648" s="126" t="s">
        <v>687</v>
      </c>
      <c r="D2648">
        <v>1801</v>
      </c>
      <c r="E2648" s="126" t="s">
        <v>1999</v>
      </c>
      <c r="F2648" s="122" t="s">
        <v>1593</v>
      </c>
      <c r="G2648" s="122" t="s">
        <v>109</v>
      </c>
      <c r="H2648">
        <v>517</v>
      </c>
      <c r="I2648" s="122" t="s">
        <v>1546</v>
      </c>
      <c r="J2648" s="307" t="s">
        <v>214</v>
      </c>
      <c r="K2648" s="127" t="s">
        <v>3806</v>
      </c>
      <c r="L2648" s="151" t="s">
        <v>110</v>
      </c>
      <c r="M2648">
        <v>741</v>
      </c>
      <c r="N2648" s="123">
        <v>147</v>
      </c>
      <c r="O2648">
        <v>1776</v>
      </c>
      <c r="P2648" s="132" t="s">
        <v>77</v>
      </c>
      <c r="Q2648" s="131">
        <v>48000</v>
      </c>
      <c r="R2648" s="131">
        <v>7680</v>
      </c>
      <c r="S2648" s="131"/>
      <c r="T2648" s="155">
        <v>5120</v>
      </c>
      <c r="U2648" s="131">
        <v>600</v>
      </c>
      <c r="V2648" s="131">
        <v>49960</v>
      </c>
      <c r="W2648">
        <v>289</v>
      </c>
      <c r="X2648" s="151" t="s">
        <v>1430</v>
      </c>
      <c r="Y2648" s="135" t="s">
        <v>55</v>
      </c>
      <c r="Z2648" s="307">
        <v>240</v>
      </c>
      <c r="AB2648" t="str">
        <f>IF(Table1[[#This Row],[TIPO2]]="costo", VLOOKUP(Table1[[#This Row],[PARTIDA PRESUPUESTAL]],'Cost Report'!G:G,1,0),"Balance")</f>
        <v>2802-004</v>
      </c>
      <c r="AC2648" s="118"/>
      <c r="AD2648" s="159">
        <f>+Table1[[#This Row],[SUBTOTAL]]+Table1[[#This Row],[IVA]]-Table1[[#This Row],[RET IVA]]-Table1[[#This Row],[RET ISR]]-Table1[[#This Row],[TOTAL]]</f>
        <v>0</v>
      </c>
      <c r="AE2648" s="150"/>
      <c r="AF2648" s="151"/>
      <c r="AG2648" s="126"/>
      <c r="AK2648" s="306" t="str">
        <f>IF(ISNUMBER(Table1[[#This Row],[FECHA DE RECIBIDO]]), Table1[[#This Row],[FECHA DE RECIBIDO]]-DATE(2023,8,30), "")</f>
        <v/>
      </c>
    </row>
    <row r="2649" spans="1:37" ht="16.05" customHeight="1">
      <c r="A2649" s="152" t="s">
        <v>3975</v>
      </c>
      <c r="B2649" s="153">
        <v>969</v>
      </c>
      <c r="C2649" s="126" t="s">
        <v>699</v>
      </c>
      <c r="D2649">
        <v>1802</v>
      </c>
      <c r="E2649" s="126" t="s">
        <v>3976</v>
      </c>
      <c r="F2649" s="125" t="s">
        <v>1589</v>
      </c>
      <c r="G2649" s="125" t="s">
        <v>129</v>
      </c>
      <c r="H2649">
        <v>349</v>
      </c>
      <c r="I2649" s="125" t="s">
        <v>1546</v>
      </c>
      <c r="J2649" s="308" t="s">
        <v>214</v>
      </c>
      <c r="K2649" s="127" t="s">
        <v>3806</v>
      </c>
      <c r="L2649" s="153" t="s">
        <v>110</v>
      </c>
      <c r="M2649">
        <v>466</v>
      </c>
      <c r="N2649" s="123">
        <v>91</v>
      </c>
      <c r="O2649">
        <v>1777</v>
      </c>
      <c r="P2649" s="132" t="s">
        <v>77</v>
      </c>
      <c r="Q2649" s="132">
        <v>18600</v>
      </c>
      <c r="R2649" s="132">
        <v>2976</v>
      </c>
      <c r="S2649" s="132"/>
      <c r="T2649" s="156">
        <v>1984</v>
      </c>
      <c r="U2649" s="132">
        <v>1860</v>
      </c>
      <c r="V2649" s="132">
        <v>17732</v>
      </c>
      <c r="W2649">
        <v>186</v>
      </c>
      <c r="X2649" s="153" t="s">
        <v>1430</v>
      </c>
      <c r="Y2649" s="124" t="s">
        <v>55</v>
      </c>
      <c r="Z2649" s="308">
        <v>240</v>
      </c>
      <c r="AB2649" t="str">
        <f>IF(Table1[[#This Row],[TIPO2]]="costo", VLOOKUP(Table1[[#This Row],[PARTIDA PRESUPUESTAL]],'Cost Report'!G:G,1,0),"Balance")</f>
        <v>2805-004</v>
      </c>
      <c r="AC2649" s="118"/>
      <c r="AD2649" s="159">
        <f>+Table1[[#This Row],[SUBTOTAL]]+Table1[[#This Row],[IVA]]-Table1[[#This Row],[RET IVA]]-Table1[[#This Row],[RET ISR]]-Table1[[#This Row],[TOTAL]]</f>
        <v>0</v>
      </c>
      <c r="AE2649" s="152"/>
      <c r="AF2649" s="153"/>
      <c r="AG2649" s="126"/>
      <c r="AK2649" s="306" t="str">
        <f>IF(ISNUMBER(Table1[[#This Row],[FECHA DE RECIBIDO]]), Table1[[#This Row],[FECHA DE RECIBIDO]]-DATE(2023,8,30), "")</f>
        <v/>
      </c>
    </row>
    <row r="2650" spans="1:37" ht="16.05" customHeight="1">
      <c r="A2650" s="150" t="s">
        <v>3977</v>
      </c>
      <c r="B2650" s="151">
        <v>970</v>
      </c>
      <c r="C2650" s="126" t="s">
        <v>691</v>
      </c>
      <c r="D2650">
        <v>1803</v>
      </c>
      <c r="E2650" s="126" t="s">
        <v>3225</v>
      </c>
      <c r="F2650" s="122" t="s">
        <v>1593</v>
      </c>
      <c r="G2650" s="122" t="s">
        <v>109</v>
      </c>
      <c r="H2650">
        <v>208</v>
      </c>
      <c r="I2650" s="122" t="s">
        <v>1546</v>
      </c>
      <c r="J2650" s="307" t="s">
        <v>214</v>
      </c>
      <c r="K2650" s="127" t="s">
        <v>3806</v>
      </c>
      <c r="L2650" s="151" t="s">
        <v>110</v>
      </c>
      <c r="M2650">
        <v>273</v>
      </c>
      <c r="N2650" s="123">
        <v>73</v>
      </c>
      <c r="O2650">
        <v>1778</v>
      </c>
      <c r="P2650" s="132" t="s">
        <v>77</v>
      </c>
      <c r="Q2650" s="131">
        <v>10300</v>
      </c>
      <c r="R2650" s="131">
        <v>1648</v>
      </c>
      <c r="S2650" s="131"/>
      <c r="T2650" s="155">
        <v>1098.67</v>
      </c>
      <c r="U2650" s="131">
        <v>128.75</v>
      </c>
      <c r="V2650" s="131">
        <v>10720.58</v>
      </c>
      <c r="W2650">
        <v>129</v>
      </c>
      <c r="X2650" s="151" t="s">
        <v>1430</v>
      </c>
      <c r="Y2650" s="135" t="s">
        <v>55</v>
      </c>
      <c r="Z2650" s="307">
        <v>240</v>
      </c>
      <c r="AB2650" t="str">
        <f>IF(Table1[[#This Row],[TIPO2]]="costo", VLOOKUP(Table1[[#This Row],[PARTIDA PRESUPUESTAL]],'Cost Report'!G:G,1,0),"Balance")</f>
        <v>2802-010</v>
      </c>
      <c r="AC2650" s="118"/>
      <c r="AD2650" s="159">
        <f>+Table1[[#This Row],[SUBTOTAL]]+Table1[[#This Row],[IVA]]-Table1[[#This Row],[RET IVA]]-Table1[[#This Row],[RET ISR]]-Table1[[#This Row],[TOTAL]]</f>
        <v>0</v>
      </c>
      <c r="AE2650" s="150"/>
      <c r="AF2650" s="151"/>
      <c r="AG2650" s="126"/>
      <c r="AK2650" s="306" t="str">
        <f>IF(ISNUMBER(Table1[[#This Row],[FECHA DE RECIBIDO]]), Table1[[#This Row],[FECHA DE RECIBIDO]]-DATE(2023,8,30), "")</f>
        <v/>
      </c>
    </row>
    <row r="2651" spans="1:37" ht="16.05" customHeight="1">
      <c r="A2651" s="152" t="s">
        <v>3978</v>
      </c>
      <c r="B2651" s="153">
        <v>971</v>
      </c>
      <c r="C2651" s="126" t="s">
        <v>691</v>
      </c>
      <c r="D2651">
        <v>1804</v>
      </c>
      <c r="E2651" s="126" t="s">
        <v>3225</v>
      </c>
      <c r="F2651" s="125" t="s">
        <v>1593</v>
      </c>
      <c r="G2651" s="125" t="s">
        <v>109</v>
      </c>
      <c r="H2651">
        <v>208</v>
      </c>
      <c r="I2651" s="125" t="s">
        <v>1546</v>
      </c>
      <c r="J2651" s="308" t="s">
        <v>214</v>
      </c>
      <c r="K2651" s="127" t="s">
        <v>3806</v>
      </c>
      <c r="L2651" s="153" t="s">
        <v>110</v>
      </c>
      <c r="M2651">
        <v>273</v>
      </c>
      <c r="N2651" s="123">
        <v>73</v>
      </c>
      <c r="O2651">
        <v>1779</v>
      </c>
      <c r="P2651" s="132" t="s">
        <v>77</v>
      </c>
      <c r="Q2651" s="132">
        <v>10300</v>
      </c>
      <c r="R2651" s="132">
        <v>1648</v>
      </c>
      <c r="S2651" s="132"/>
      <c r="T2651" s="156">
        <v>1098.67</v>
      </c>
      <c r="U2651" s="132">
        <v>128.75</v>
      </c>
      <c r="V2651" s="132">
        <v>10720.58</v>
      </c>
      <c r="W2651">
        <v>129</v>
      </c>
      <c r="X2651" s="153" t="s">
        <v>1430</v>
      </c>
      <c r="Y2651" s="124" t="s">
        <v>55</v>
      </c>
      <c r="Z2651" s="308">
        <v>240</v>
      </c>
      <c r="AB2651" t="str">
        <f>IF(Table1[[#This Row],[TIPO2]]="costo", VLOOKUP(Table1[[#This Row],[PARTIDA PRESUPUESTAL]],'Cost Report'!G:G,1,0),"Balance")</f>
        <v>2802-010</v>
      </c>
      <c r="AC2651" s="118"/>
      <c r="AD2651" s="159">
        <f>+Table1[[#This Row],[SUBTOTAL]]+Table1[[#This Row],[IVA]]-Table1[[#This Row],[RET IVA]]-Table1[[#This Row],[RET ISR]]-Table1[[#This Row],[TOTAL]]</f>
        <v>0</v>
      </c>
      <c r="AE2651" s="152"/>
      <c r="AF2651" s="153"/>
      <c r="AG2651" s="126"/>
      <c r="AK2651" s="306" t="str">
        <f>IF(ISNUMBER(Table1[[#This Row],[FECHA DE RECIBIDO]]), Table1[[#This Row],[FECHA DE RECIBIDO]]-DATE(2023,8,30), "")</f>
        <v/>
      </c>
    </row>
    <row r="2652" spans="1:37" ht="16.05" customHeight="1">
      <c r="A2652" s="150" t="s">
        <v>3979</v>
      </c>
      <c r="B2652" s="151">
        <v>972</v>
      </c>
      <c r="C2652" s="126" t="s">
        <v>2607</v>
      </c>
      <c r="D2652">
        <v>1805</v>
      </c>
      <c r="E2652" s="126" t="s">
        <v>1645</v>
      </c>
      <c r="F2652" s="122" t="s">
        <v>1589</v>
      </c>
      <c r="G2652" s="122" t="s">
        <v>129</v>
      </c>
      <c r="H2652">
        <v>518</v>
      </c>
      <c r="I2652" s="122" t="s">
        <v>1546</v>
      </c>
      <c r="J2652" s="307" t="s">
        <v>214</v>
      </c>
      <c r="K2652" s="127" t="s">
        <v>3806</v>
      </c>
      <c r="L2652" s="151" t="s">
        <v>110</v>
      </c>
      <c r="M2652">
        <v>742</v>
      </c>
      <c r="N2652" s="123">
        <v>148</v>
      </c>
      <c r="O2652">
        <v>1780</v>
      </c>
      <c r="P2652" s="132" t="s">
        <v>77</v>
      </c>
      <c r="Q2652" s="131">
        <v>9000</v>
      </c>
      <c r="R2652" s="131">
        <v>1440</v>
      </c>
      <c r="S2652" s="131"/>
      <c r="T2652" s="155">
        <v>960</v>
      </c>
      <c r="U2652" s="131">
        <v>900</v>
      </c>
      <c r="V2652" s="131">
        <v>8580</v>
      </c>
      <c r="W2652">
        <v>290</v>
      </c>
      <c r="X2652" s="151" t="s">
        <v>1429</v>
      </c>
      <c r="Y2652" s="135" t="s">
        <v>55</v>
      </c>
      <c r="Z2652" s="307">
        <v>240</v>
      </c>
      <c r="AB2652" t="str">
        <f>IF(Table1[[#This Row],[TIPO2]]="costo", VLOOKUP(Table1[[#This Row],[PARTIDA PRESUPUESTAL]],'Cost Report'!G:G,1,0),"Balance")</f>
        <v>2802-020</v>
      </c>
      <c r="AC2652" s="118"/>
      <c r="AD2652" s="159">
        <f>+Table1[[#This Row],[SUBTOTAL]]+Table1[[#This Row],[IVA]]-Table1[[#This Row],[RET IVA]]-Table1[[#This Row],[RET ISR]]-Table1[[#This Row],[TOTAL]]</f>
        <v>0</v>
      </c>
      <c r="AE2652" s="150"/>
      <c r="AF2652" s="151"/>
      <c r="AG2652" s="126"/>
      <c r="AK2652" s="306" t="str">
        <f>IF(ISNUMBER(Table1[[#This Row],[FECHA DE RECIBIDO]]), Table1[[#This Row],[FECHA DE RECIBIDO]]-DATE(2023,8,30), "")</f>
        <v/>
      </c>
    </row>
    <row r="2653" spans="1:37" ht="16.05" customHeight="1">
      <c r="A2653" s="152" t="s">
        <v>3980</v>
      </c>
      <c r="B2653" s="153">
        <v>973</v>
      </c>
      <c r="C2653" s="126" t="s">
        <v>2608</v>
      </c>
      <c r="D2653">
        <v>1806</v>
      </c>
      <c r="E2653" s="126" t="s">
        <v>1645</v>
      </c>
      <c r="F2653" s="125" t="s">
        <v>1589</v>
      </c>
      <c r="G2653" s="125" t="s">
        <v>129</v>
      </c>
      <c r="H2653">
        <v>518</v>
      </c>
      <c r="I2653" s="125" t="s">
        <v>1546</v>
      </c>
      <c r="J2653" s="308" t="s">
        <v>214</v>
      </c>
      <c r="K2653" s="127" t="s">
        <v>3806</v>
      </c>
      <c r="L2653" s="153" t="s">
        <v>110</v>
      </c>
      <c r="M2653">
        <v>742</v>
      </c>
      <c r="N2653" s="123">
        <v>148</v>
      </c>
      <c r="O2653">
        <v>1781</v>
      </c>
      <c r="P2653" s="132" t="s">
        <v>77</v>
      </c>
      <c r="Q2653" s="132">
        <v>18000</v>
      </c>
      <c r="R2653" s="132">
        <v>2880</v>
      </c>
      <c r="S2653" s="132"/>
      <c r="T2653" s="156">
        <v>1920</v>
      </c>
      <c r="U2653" s="132">
        <v>1800</v>
      </c>
      <c r="V2653" s="132">
        <v>17160</v>
      </c>
      <c r="W2653">
        <v>290</v>
      </c>
      <c r="X2653" s="153" t="s">
        <v>1429</v>
      </c>
      <c r="Y2653" s="124" t="s">
        <v>55</v>
      </c>
      <c r="Z2653" s="308">
        <v>240</v>
      </c>
      <c r="AB2653" t="str">
        <f>IF(Table1[[#This Row],[TIPO2]]="costo", VLOOKUP(Table1[[#This Row],[PARTIDA PRESUPUESTAL]],'Cost Report'!G:G,1,0),"Balance")</f>
        <v>2802-021</v>
      </c>
      <c r="AC2653" s="118"/>
      <c r="AD2653" s="159">
        <f>+Table1[[#This Row],[SUBTOTAL]]+Table1[[#This Row],[IVA]]-Table1[[#This Row],[RET IVA]]-Table1[[#This Row],[RET ISR]]-Table1[[#This Row],[TOTAL]]</f>
        <v>0</v>
      </c>
      <c r="AE2653" s="152"/>
      <c r="AF2653" s="153"/>
      <c r="AG2653" s="126"/>
      <c r="AK2653" s="306" t="str">
        <f>IF(ISNUMBER(Table1[[#This Row],[FECHA DE RECIBIDO]]), Table1[[#This Row],[FECHA DE RECIBIDO]]-DATE(2023,8,30), "")</f>
        <v/>
      </c>
    </row>
    <row r="2654" spans="1:37" ht="16.05" customHeight="1">
      <c r="A2654" s="150" t="s">
        <v>3981</v>
      </c>
      <c r="B2654" s="151">
        <v>974</v>
      </c>
      <c r="C2654" s="126" t="s">
        <v>2612</v>
      </c>
      <c r="D2654">
        <v>1807</v>
      </c>
      <c r="E2654" s="126" t="s">
        <v>3277</v>
      </c>
      <c r="F2654" s="122" t="s">
        <v>1593</v>
      </c>
      <c r="G2654" s="122" t="s">
        <v>109</v>
      </c>
      <c r="H2654">
        <v>519</v>
      </c>
      <c r="I2654" s="122" t="s">
        <v>1546</v>
      </c>
      <c r="J2654" s="307" t="s">
        <v>214</v>
      </c>
      <c r="K2654" s="127" t="s">
        <v>3806</v>
      </c>
      <c r="L2654" s="151" t="s">
        <v>110</v>
      </c>
      <c r="M2654">
        <v>743</v>
      </c>
      <c r="N2654" s="123">
        <v>149</v>
      </c>
      <c r="O2654">
        <v>1782</v>
      </c>
      <c r="P2654" s="132" t="s">
        <v>77</v>
      </c>
      <c r="Q2654" s="131">
        <v>8000</v>
      </c>
      <c r="R2654" s="131">
        <v>1280</v>
      </c>
      <c r="S2654" s="131"/>
      <c r="T2654" s="155">
        <v>853.34</v>
      </c>
      <c r="U2654" s="131">
        <v>100</v>
      </c>
      <c r="V2654" s="131">
        <v>8326.66</v>
      </c>
      <c r="W2654">
        <v>291</v>
      </c>
      <c r="X2654" s="151" t="s">
        <v>1429</v>
      </c>
      <c r="Y2654" s="135" t="s">
        <v>55</v>
      </c>
      <c r="Z2654" s="307">
        <v>240</v>
      </c>
      <c r="AB2654" t="str">
        <f>IF(Table1[[#This Row],[TIPO2]]="costo", VLOOKUP(Table1[[#This Row],[PARTIDA PRESUPUESTAL]],'Cost Report'!G:G,1,0),"Balance")</f>
        <v>2805-014</v>
      </c>
      <c r="AC2654" s="118"/>
      <c r="AD2654" s="159">
        <f>+Table1[[#This Row],[SUBTOTAL]]+Table1[[#This Row],[IVA]]-Table1[[#This Row],[RET IVA]]-Table1[[#This Row],[RET ISR]]-Table1[[#This Row],[TOTAL]]</f>
        <v>0</v>
      </c>
      <c r="AE2654" s="150"/>
      <c r="AF2654" s="151"/>
      <c r="AG2654" s="126"/>
      <c r="AK2654" s="306" t="str">
        <f>IF(ISNUMBER(Table1[[#This Row],[FECHA DE RECIBIDO]]), Table1[[#This Row],[FECHA DE RECIBIDO]]-DATE(2023,8,30), "")</f>
        <v/>
      </c>
    </row>
    <row r="2655" spans="1:37" ht="16.05" customHeight="1">
      <c r="A2655" s="152" t="s">
        <v>3982</v>
      </c>
      <c r="B2655" s="153">
        <v>975</v>
      </c>
      <c r="C2655" s="126" t="s">
        <v>2613</v>
      </c>
      <c r="D2655">
        <v>1808</v>
      </c>
      <c r="E2655" s="126" t="s">
        <v>3277</v>
      </c>
      <c r="F2655" s="125" t="s">
        <v>1593</v>
      </c>
      <c r="G2655" s="125" t="s">
        <v>109</v>
      </c>
      <c r="H2655">
        <v>519</v>
      </c>
      <c r="I2655" s="125" t="s">
        <v>1546</v>
      </c>
      <c r="J2655" s="308" t="s">
        <v>214</v>
      </c>
      <c r="K2655" s="127" t="s">
        <v>3806</v>
      </c>
      <c r="L2655" s="153" t="s">
        <v>110</v>
      </c>
      <c r="M2655">
        <v>743</v>
      </c>
      <c r="N2655" s="123">
        <v>149</v>
      </c>
      <c r="O2655">
        <v>1783</v>
      </c>
      <c r="P2655" s="132" t="s">
        <v>77</v>
      </c>
      <c r="Q2655" s="132">
        <v>8000</v>
      </c>
      <c r="R2655" s="132">
        <v>1280</v>
      </c>
      <c r="S2655" s="132"/>
      <c r="T2655" s="156">
        <v>853.34</v>
      </c>
      <c r="U2655" s="132">
        <v>100</v>
      </c>
      <c r="V2655" s="132">
        <v>8326.66</v>
      </c>
      <c r="W2655">
        <v>291</v>
      </c>
      <c r="X2655" s="153" t="s">
        <v>1429</v>
      </c>
      <c r="Y2655" s="124" t="s">
        <v>55</v>
      </c>
      <c r="Z2655" s="308">
        <v>240</v>
      </c>
      <c r="AB2655" t="str">
        <f>IF(Table1[[#This Row],[TIPO2]]="costo", VLOOKUP(Table1[[#This Row],[PARTIDA PRESUPUESTAL]],'Cost Report'!G:G,1,0),"Balance")</f>
        <v>2805-015</v>
      </c>
      <c r="AC2655" s="118"/>
      <c r="AD2655" s="159">
        <f>+Table1[[#This Row],[SUBTOTAL]]+Table1[[#This Row],[IVA]]-Table1[[#This Row],[RET IVA]]-Table1[[#This Row],[RET ISR]]-Table1[[#This Row],[TOTAL]]</f>
        <v>0</v>
      </c>
      <c r="AE2655" s="152"/>
      <c r="AF2655" s="153"/>
      <c r="AG2655" s="126"/>
      <c r="AK2655" s="306" t="str">
        <f>IF(ISNUMBER(Table1[[#This Row],[FECHA DE RECIBIDO]]), Table1[[#This Row],[FECHA DE RECIBIDO]]-DATE(2023,8,30), "")</f>
        <v/>
      </c>
    </row>
    <row r="2656" spans="1:37" ht="16.05" customHeight="1">
      <c r="A2656" s="150" t="s">
        <v>3983</v>
      </c>
      <c r="B2656" s="151">
        <v>976</v>
      </c>
      <c r="C2656" s="126" t="s">
        <v>702</v>
      </c>
      <c r="D2656">
        <v>1809</v>
      </c>
      <c r="E2656" s="126" t="s">
        <v>3984</v>
      </c>
      <c r="F2656" s="122" t="s">
        <v>1589</v>
      </c>
      <c r="G2656" s="122" t="s">
        <v>129</v>
      </c>
      <c r="H2656">
        <v>520</v>
      </c>
      <c r="I2656" s="122" t="s">
        <v>1546</v>
      </c>
      <c r="J2656" s="307" t="s">
        <v>214</v>
      </c>
      <c r="K2656" s="127" t="s">
        <v>3806</v>
      </c>
      <c r="L2656" s="151" t="s">
        <v>110</v>
      </c>
      <c r="M2656">
        <v>744</v>
      </c>
      <c r="N2656" s="123">
        <v>150</v>
      </c>
      <c r="O2656">
        <v>1784</v>
      </c>
      <c r="P2656" s="132" t="s">
        <v>77</v>
      </c>
      <c r="Q2656" s="131">
        <v>8000</v>
      </c>
      <c r="R2656" s="131">
        <v>1280</v>
      </c>
      <c r="S2656" s="131"/>
      <c r="T2656" s="155">
        <v>853.34</v>
      </c>
      <c r="U2656" s="131">
        <v>800</v>
      </c>
      <c r="V2656" s="131">
        <v>7626.66</v>
      </c>
      <c r="W2656">
        <v>292</v>
      </c>
      <c r="X2656" s="151" t="s">
        <v>1430</v>
      </c>
      <c r="Y2656" s="135" t="s">
        <v>55</v>
      </c>
      <c r="Z2656" s="307">
        <v>240</v>
      </c>
      <c r="AB2656" t="str">
        <f>IF(Table1[[#This Row],[TIPO2]]="costo", VLOOKUP(Table1[[#This Row],[PARTIDA PRESUPUESTAL]],'Cost Report'!G:G,1,0),"Balance")</f>
        <v>2805-009</v>
      </c>
      <c r="AC2656" s="118"/>
      <c r="AD2656" s="159">
        <f>+Table1[[#This Row],[SUBTOTAL]]+Table1[[#This Row],[IVA]]-Table1[[#This Row],[RET IVA]]-Table1[[#This Row],[RET ISR]]-Table1[[#This Row],[TOTAL]]</f>
        <v>0</v>
      </c>
      <c r="AE2656" s="150"/>
      <c r="AF2656" s="151"/>
      <c r="AG2656" s="126"/>
      <c r="AK2656" s="306" t="str">
        <f>IF(ISNUMBER(Table1[[#This Row],[FECHA DE RECIBIDO]]), Table1[[#This Row],[FECHA DE RECIBIDO]]-DATE(2023,8,30), "")</f>
        <v/>
      </c>
    </row>
    <row r="2657" spans="1:37" ht="16.05" customHeight="1">
      <c r="A2657" s="152" t="s">
        <v>3985</v>
      </c>
      <c r="B2657" s="153">
        <v>977</v>
      </c>
      <c r="C2657" s="126" t="s">
        <v>703</v>
      </c>
      <c r="D2657">
        <v>1810</v>
      </c>
      <c r="E2657" s="126" t="s">
        <v>3984</v>
      </c>
      <c r="F2657" s="125" t="s">
        <v>1589</v>
      </c>
      <c r="G2657" s="125" t="s">
        <v>129</v>
      </c>
      <c r="H2657">
        <v>520</v>
      </c>
      <c r="I2657" s="125" t="s">
        <v>1546</v>
      </c>
      <c r="J2657" s="308" t="s">
        <v>214</v>
      </c>
      <c r="K2657" s="127" t="s">
        <v>3806</v>
      </c>
      <c r="L2657" s="153" t="s">
        <v>110</v>
      </c>
      <c r="M2657">
        <v>744</v>
      </c>
      <c r="N2657" s="123">
        <v>150</v>
      </c>
      <c r="O2657">
        <v>1785</v>
      </c>
      <c r="P2657" s="132" t="s">
        <v>77</v>
      </c>
      <c r="Q2657" s="132">
        <v>8000</v>
      </c>
      <c r="R2657" s="132">
        <v>1280</v>
      </c>
      <c r="S2657" s="132"/>
      <c r="T2657" s="156">
        <v>853.34</v>
      </c>
      <c r="U2657" s="132">
        <v>800</v>
      </c>
      <c r="V2657" s="132">
        <v>7626.66</v>
      </c>
      <c r="W2657">
        <v>292</v>
      </c>
      <c r="X2657" s="153" t="s">
        <v>1430</v>
      </c>
      <c r="Y2657" s="124" t="s">
        <v>55</v>
      </c>
      <c r="Z2657" s="308">
        <v>240</v>
      </c>
      <c r="AB2657" t="str">
        <f>IF(Table1[[#This Row],[TIPO2]]="costo", VLOOKUP(Table1[[#This Row],[PARTIDA PRESUPUESTAL]],'Cost Report'!G:G,1,0),"Balance")</f>
        <v>2805-010</v>
      </c>
      <c r="AC2657" s="118"/>
      <c r="AD2657" s="159">
        <f>+Table1[[#This Row],[SUBTOTAL]]+Table1[[#This Row],[IVA]]-Table1[[#This Row],[RET IVA]]-Table1[[#This Row],[RET ISR]]-Table1[[#This Row],[TOTAL]]</f>
        <v>0</v>
      </c>
      <c r="AE2657" s="152"/>
      <c r="AF2657" s="153"/>
      <c r="AG2657" s="126"/>
      <c r="AK2657" s="306" t="str">
        <f>IF(ISNUMBER(Table1[[#This Row],[FECHA DE RECIBIDO]]), Table1[[#This Row],[FECHA DE RECIBIDO]]-DATE(2023,8,30), "")</f>
        <v/>
      </c>
    </row>
    <row r="2658" spans="1:37" ht="16.05" customHeight="1">
      <c r="A2658" s="150" t="s">
        <v>3986</v>
      </c>
      <c r="B2658" s="151">
        <v>978</v>
      </c>
      <c r="C2658" s="126" t="s">
        <v>1532</v>
      </c>
      <c r="D2658">
        <v>1811</v>
      </c>
      <c r="E2658" s="126" t="s">
        <v>3987</v>
      </c>
      <c r="F2658" s="122" t="s">
        <v>1589</v>
      </c>
      <c r="G2658" s="122" t="s">
        <v>129</v>
      </c>
      <c r="H2658">
        <v>521</v>
      </c>
      <c r="I2658" s="122" t="s">
        <v>1546</v>
      </c>
      <c r="J2658" s="307" t="s">
        <v>214</v>
      </c>
      <c r="K2658" s="127" t="s">
        <v>3806</v>
      </c>
      <c r="L2658" s="151" t="s">
        <v>110</v>
      </c>
      <c r="M2658">
        <v>745</v>
      </c>
      <c r="N2658" s="123">
        <v>151</v>
      </c>
      <c r="O2658">
        <v>1786</v>
      </c>
      <c r="P2658" s="132" t="s">
        <v>77</v>
      </c>
      <c r="Q2658" s="131">
        <v>8000</v>
      </c>
      <c r="R2658" s="131">
        <v>1280</v>
      </c>
      <c r="S2658" s="131"/>
      <c r="T2658" s="155">
        <v>853.34</v>
      </c>
      <c r="U2658" s="131">
        <v>800</v>
      </c>
      <c r="V2658" s="131">
        <v>7626.66</v>
      </c>
      <c r="W2658">
        <v>293</v>
      </c>
      <c r="X2658" s="151" t="s">
        <v>1429</v>
      </c>
      <c r="Y2658" s="135" t="s">
        <v>55</v>
      </c>
      <c r="Z2658" s="307">
        <v>240</v>
      </c>
      <c r="AB2658" t="str">
        <f>IF(Table1[[#This Row],[TIPO2]]="costo", VLOOKUP(Table1[[#This Row],[PARTIDA PRESUPUESTAL]],'Cost Report'!G:G,1,0),"Balance")</f>
        <v>2802-014</v>
      </c>
      <c r="AC2658" s="118"/>
      <c r="AD2658" s="159">
        <f>+Table1[[#This Row],[SUBTOTAL]]+Table1[[#This Row],[IVA]]-Table1[[#This Row],[RET IVA]]-Table1[[#This Row],[RET ISR]]-Table1[[#This Row],[TOTAL]]</f>
        <v>0</v>
      </c>
      <c r="AE2658" s="150"/>
      <c r="AF2658" s="151"/>
      <c r="AG2658" s="126"/>
      <c r="AK2658" s="306" t="str">
        <f>IF(ISNUMBER(Table1[[#This Row],[FECHA DE RECIBIDO]]), Table1[[#This Row],[FECHA DE RECIBIDO]]-DATE(2023,8,30), "")</f>
        <v/>
      </c>
    </row>
    <row r="2659" spans="1:37" ht="16.05" customHeight="1">
      <c r="A2659" s="152" t="s">
        <v>3988</v>
      </c>
      <c r="B2659" s="153">
        <v>979</v>
      </c>
      <c r="C2659" s="126" t="s">
        <v>1533</v>
      </c>
      <c r="D2659">
        <v>1812</v>
      </c>
      <c r="E2659" s="126" t="s">
        <v>3987</v>
      </c>
      <c r="F2659" s="125" t="s">
        <v>1589</v>
      </c>
      <c r="G2659" s="125" t="s">
        <v>129</v>
      </c>
      <c r="H2659">
        <v>521</v>
      </c>
      <c r="I2659" s="125" t="s">
        <v>1546</v>
      </c>
      <c r="J2659" s="308" t="s">
        <v>214</v>
      </c>
      <c r="K2659" s="127" t="s">
        <v>3806</v>
      </c>
      <c r="L2659" s="153" t="s">
        <v>110</v>
      </c>
      <c r="M2659">
        <v>745</v>
      </c>
      <c r="N2659" s="123">
        <v>151</v>
      </c>
      <c r="O2659">
        <v>1787</v>
      </c>
      <c r="P2659" s="132" t="s">
        <v>77</v>
      </c>
      <c r="Q2659" s="132">
        <v>8000</v>
      </c>
      <c r="R2659" s="132">
        <v>1280</v>
      </c>
      <c r="S2659" s="132"/>
      <c r="T2659" s="156">
        <v>853.34</v>
      </c>
      <c r="U2659" s="132">
        <v>800</v>
      </c>
      <c r="V2659" s="132">
        <v>7626.66</v>
      </c>
      <c r="W2659">
        <v>293</v>
      </c>
      <c r="X2659" s="153" t="s">
        <v>1429</v>
      </c>
      <c r="Y2659" s="124" t="s">
        <v>55</v>
      </c>
      <c r="Z2659" s="308">
        <v>240</v>
      </c>
      <c r="AB2659" t="str">
        <f>IF(Table1[[#This Row],[TIPO2]]="costo", VLOOKUP(Table1[[#This Row],[PARTIDA PRESUPUESTAL]],'Cost Report'!G:G,1,0),"Balance")</f>
        <v>2802-015</v>
      </c>
      <c r="AC2659" s="118"/>
      <c r="AD2659" s="159">
        <f>+Table1[[#This Row],[SUBTOTAL]]+Table1[[#This Row],[IVA]]-Table1[[#This Row],[RET IVA]]-Table1[[#This Row],[RET ISR]]-Table1[[#This Row],[TOTAL]]</f>
        <v>0</v>
      </c>
      <c r="AE2659" s="152"/>
      <c r="AF2659" s="153"/>
      <c r="AG2659" s="126"/>
      <c r="AK2659" s="306" t="str">
        <f>IF(ISNUMBER(Table1[[#This Row],[FECHA DE RECIBIDO]]), Table1[[#This Row],[FECHA DE RECIBIDO]]-DATE(2023,8,30), "")</f>
        <v/>
      </c>
    </row>
    <row r="2660" spans="1:37" ht="16.05" customHeight="1">
      <c r="A2660" s="150" t="s">
        <v>3989</v>
      </c>
      <c r="B2660" s="151">
        <v>980</v>
      </c>
      <c r="C2660" s="126" t="s">
        <v>1533</v>
      </c>
      <c r="D2660">
        <v>1813</v>
      </c>
      <c r="E2660" s="126" t="s">
        <v>3987</v>
      </c>
      <c r="F2660" s="122" t="s">
        <v>1589</v>
      </c>
      <c r="G2660" s="122" t="s">
        <v>129</v>
      </c>
      <c r="H2660">
        <v>521</v>
      </c>
      <c r="I2660" s="122" t="s">
        <v>1546</v>
      </c>
      <c r="J2660" s="307" t="s">
        <v>214</v>
      </c>
      <c r="K2660" s="127" t="s">
        <v>3806</v>
      </c>
      <c r="L2660" s="151" t="s">
        <v>110</v>
      </c>
      <c r="M2660">
        <v>745</v>
      </c>
      <c r="N2660" s="123">
        <v>151</v>
      </c>
      <c r="O2660">
        <v>1788</v>
      </c>
      <c r="P2660" s="132" t="s">
        <v>77</v>
      </c>
      <c r="Q2660" s="131">
        <v>8000</v>
      </c>
      <c r="R2660" s="131">
        <v>1280</v>
      </c>
      <c r="S2660" s="131"/>
      <c r="T2660" s="155">
        <v>853.34</v>
      </c>
      <c r="U2660" s="131">
        <v>800</v>
      </c>
      <c r="V2660" s="131">
        <v>7626.66</v>
      </c>
      <c r="W2660">
        <v>293</v>
      </c>
      <c r="X2660" s="151" t="s">
        <v>1429</v>
      </c>
      <c r="Y2660" s="135" t="s">
        <v>55</v>
      </c>
      <c r="Z2660" s="307">
        <v>240</v>
      </c>
      <c r="AB2660" t="str">
        <f>IF(Table1[[#This Row],[TIPO2]]="costo", VLOOKUP(Table1[[#This Row],[PARTIDA PRESUPUESTAL]],'Cost Report'!G:G,1,0),"Balance")</f>
        <v>2802-015</v>
      </c>
      <c r="AC2660" s="118"/>
      <c r="AD2660" s="159">
        <f>+Table1[[#This Row],[SUBTOTAL]]+Table1[[#This Row],[IVA]]-Table1[[#This Row],[RET IVA]]-Table1[[#This Row],[RET ISR]]-Table1[[#This Row],[TOTAL]]</f>
        <v>0</v>
      </c>
      <c r="AE2660" s="150"/>
      <c r="AF2660" s="151"/>
      <c r="AG2660" s="126"/>
      <c r="AK2660" s="306" t="str">
        <f>IF(ISNUMBER(Table1[[#This Row],[FECHA DE RECIBIDO]]), Table1[[#This Row],[FECHA DE RECIBIDO]]-DATE(2023,8,30), "")</f>
        <v/>
      </c>
    </row>
    <row r="2661" spans="1:37" ht="16.05" customHeight="1">
      <c r="A2661" s="152" t="s">
        <v>3990</v>
      </c>
      <c r="B2661" s="153">
        <v>981</v>
      </c>
      <c r="C2661" s="126" t="s">
        <v>1859</v>
      </c>
      <c r="D2661">
        <v>1814</v>
      </c>
      <c r="E2661" s="126" t="s">
        <v>3227</v>
      </c>
      <c r="F2661" s="125" t="s">
        <v>1589</v>
      </c>
      <c r="G2661" s="125" t="s">
        <v>129</v>
      </c>
      <c r="H2661">
        <v>209</v>
      </c>
      <c r="I2661" s="125" t="s">
        <v>1546</v>
      </c>
      <c r="J2661" s="308" t="s">
        <v>214</v>
      </c>
      <c r="K2661" s="127" t="s">
        <v>3806</v>
      </c>
      <c r="L2661" s="153" t="s">
        <v>110</v>
      </c>
      <c r="M2661">
        <v>274</v>
      </c>
      <c r="N2661" s="123">
        <v>74</v>
      </c>
      <c r="O2661">
        <v>1789</v>
      </c>
      <c r="P2661" s="132" t="s">
        <v>77</v>
      </c>
      <c r="Q2661" s="132">
        <v>24000</v>
      </c>
      <c r="R2661" s="132">
        <v>0</v>
      </c>
      <c r="S2661" s="132"/>
      <c r="T2661" s="156">
        <v>0</v>
      </c>
      <c r="U2661" s="132">
        <v>2400</v>
      </c>
      <c r="V2661" s="132">
        <v>21600</v>
      </c>
      <c r="W2661">
        <v>130</v>
      </c>
      <c r="X2661" s="153" t="s">
        <v>1434</v>
      </c>
      <c r="Y2661" s="124" t="s">
        <v>55</v>
      </c>
      <c r="Z2661" s="308">
        <v>240</v>
      </c>
      <c r="AB2661" t="str">
        <f>IF(Table1[[#This Row],[TIPO2]]="costo", VLOOKUP(Table1[[#This Row],[PARTIDA PRESUPUESTAL]],'Cost Report'!G:G,1,0),"Balance")</f>
        <v>3416-004</v>
      </c>
      <c r="AC2661" s="118"/>
      <c r="AD2661" s="159">
        <f>+Table1[[#This Row],[SUBTOTAL]]+Table1[[#This Row],[IVA]]-Table1[[#This Row],[RET IVA]]-Table1[[#This Row],[RET ISR]]-Table1[[#This Row],[TOTAL]]</f>
        <v>0</v>
      </c>
      <c r="AE2661" s="152"/>
      <c r="AF2661" s="153"/>
      <c r="AG2661" s="126"/>
      <c r="AK2661" s="306" t="str">
        <f>IF(ISNUMBER(Table1[[#This Row],[FECHA DE RECIBIDO]]), Table1[[#This Row],[FECHA DE RECIBIDO]]-DATE(2023,8,30), "")</f>
        <v/>
      </c>
    </row>
    <row r="2662" spans="1:37" ht="16.05" customHeight="1">
      <c r="A2662" s="150" t="s">
        <v>3991</v>
      </c>
      <c r="B2662" s="151">
        <v>982</v>
      </c>
      <c r="C2662" s="126" t="s">
        <v>809</v>
      </c>
      <c r="D2662">
        <v>1815</v>
      </c>
      <c r="E2662" s="126" t="s">
        <v>3273</v>
      </c>
      <c r="F2662" s="122" t="s">
        <v>1589</v>
      </c>
      <c r="G2662" s="122" t="s">
        <v>129</v>
      </c>
      <c r="H2662">
        <v>350</v>
      </c>
      <c r="I2662" s="122" t="s">
        <v>1546</v>
      </c>
      <c r="J2662" s="307" t="s">
        <v>214</v>
      </c>
      <c r="K2662" s="127" t="s">
        <v>3806</v>
      </c>
      <c r="L2662" s="151" t="s">
        <v>110</v>
      </c>
      <c r="M2662">
        <v>467</v>
      </c>
      <c r="N2662" s="123">
        <v>92</v>
      </c>
      <c r="O2662">
        <v>1790</v>
      </c>
      <c r="P2662" s="132" t="s">
        <v>77</v>
      </c>
      <c r="Q2662" s="131">
        <v>43000</v>
      </c>
      <c r="R2662" s="131">
        <v>6880</v>
      </c>
      <c r="S2662" s="131"/>
      <c r="T2662" s="155">
        <v>4586.68</v>
      </c>
      <c r="U2662" s="131">
        <v>4300</v>
      </c>
      <c r="V2662" s="131">
        <v>40993.32</v>
      </c>
      <c r="W2662">
        <v>187</v>
      </c>
      <c r="X2662" s="151" t="s">
        <v>1429</v>
      </c>
      <c r="Y2662" s="135" t="s">
        <v>55</v>
      </c>
      <c r="Z2662" s="307">
        <v>240</v>
      </c>
      <c r="AB2662" t="str">
        <f>IF(Table1[[#This Row],[TIPO2]]="costo", VLOOKUP(Table1[[#This Row],[PARTIDA PRESUPUESTAL]],'Cost Report'!G:G,1,0),"Balance")</f>
        <v>3104-004</v>
      </c>
      <c r="AC2662" s="118"/>
      <c r="AD2662" s="159">
        <f>+Table1[[#This Row],[SUBTOTAL]]+Table1[[#This Row],[IVA]]-Table1[[#This Row],[RET IVA]]-Table1[[#This Row],[RET ISR]]-Table1[[#This Row],[TOTAL]]</f>
        <v>0</v>
      </c>
      <c r="AE2662" s="150"/>
      <c r="AF2662" s="151"/>
      <c r="AG2662" s="126"/>
      <c r="AK2662" s="306" t="str">
        <f>IF(ISNUMBER(Table1[[#This Row],[FECHA DE RECIBIDO]]), Table1[[#This Row],[FECHA DE RECIBIDO]]-DATE(2023,8,30), "")</f>
        <v/>
      </c>
    </row>
    <row r="2663" spans="1:37" ht="16.05" customHeight="1">
      <c r="A2663" s="152" t="s">
        <v>3992</v>
      </c>
      <c r="B2663" s="153">
        <v>983</v>
      </c>
      <c r="C2663" s="126" t="s">
        <v>803</v>
      </c>
      <c r="D2663">
        <v>1816</v>
      </c>
      <c r="E2663" s="126" t="s">
        <v>3643</v>
      </c>
      <c r="F2663" s="125" t="s">
        <v>1589</v>
      </c>
      <c r="G2663" s="125" t="s">
        <v>129</v>
      </c>
      <c r="H2663">
        <v>351</v>
      </c>
      <c r="I2663" s="125" t="s">
        <v>1546</v>
      </c>
      <c r="J2663" s="308" t="s">
        <v>214</v>
      </c>
      <c r="K2663" s="127" t="s">
        <v>3806</v>
      </c>
      <c r="L2663" s="153" t="s">
        <v>110</v>
      </c>
      <c r="M2663">
        <v>468</v>
      </c>
      <c r="N2663" s="123">
        <v>93</v>
      </c>
      <c r="O2663">
        <v>1791</v>
      </c>
      <c r="P2663" s="132" t="s">
        <v>77</v>
      </c>
      <c r="Q2663" s="132">
        <v>52500</v>
      </c>
      <c r="R2663" s="132">
        <v>8400</v>
      </c>
      <c r="S2663" s="132"/>
      <c r="T2663" s="156">
        <v>5600.02</v>
      </c>
      <c r="U2663" s="132">
        <v>5250</v>
      </c>
      <c r="V2663" s="132">
        <v>50049.979999999996</v>
      </c>
      <c r="W2663">
        <v>188</v>
      </c>
      <c r="X2663" s="153" t="s">
        <v>1429</v>
      </c>
      <c r="Y2663" s="124" t="s">
        <v>55</v>
      </c>
      <c r="Z2663" s="308">
        <v>240</v>
      </c>
      <c r="AB2663" t="str">
        <f>IF(Table1[[#This Row],[TIPO2]]="costo", VLOOKUP(Table1[[#This Row],[PARTIDA PRESUPUESTAL]],'Cost Report'!G:G,1,0),"Balance")</f>
        <v>3102-010</v>
      </c>
      <c r="AC2663" s="118"/>
      <c r="AD2663" s="159">
        <f>+Table1[[#This Row],[SUBTOTAL]]+Table1[[#This Row],[IVA]]-Table1[[#This Row],[RET IVA]]-Table1[[#This Row],[RET ISR]]-Table1[[#This Row],[TOTAL]]</f>
        <v>0</v>
      </c>
      <c r="AE2663" s="152"/>
      <c r="AF2663" s="153"/>
      <c r="AG2663" s="126"/>
      <c r="AK2663" s="306" t="str">
        <f>IF(ISNUMBER(Table1[[#This Row],[FECHA DE RECIBIDO]]), Table1[[#This Row],[FECHA DE RECIBIDO]]-DATE(2023,8,30), "")</f>
        <v/>
      </c>
    </row>
    <row r="2664" spans="1:37" ht="16.05" customHeight="1">
      <c r="A2664" s="150" t="s">
        <v>3993</v>
      </c>
      <c r="B2664" s="151">
        <v>984</v>
      </c>
      <c r="C2664" s="126" t="s">
        <v>1838</v>
      </c>
      <c r="D2664">
        <v>1817</v>
      </c>
      <c r="E2664" s="126" t="s">
        <v>3644</v>
      </c>
      <c r="F2664" s="122" t="s">
        <v>1602</v>
      </c>
      <c r="G2664" s="122" t="s">
        <v>1617</v>
      </c>
      <c r="H2664">
        <v>352</v>
      </c>
      <c r="I2664" s="122" t="s">
        <v>1546</v>
      </c>
      <c r="J2664" s="307" t="s">
        <v>214</v>
      </c>
      <c r="K2664" s="127" t="s">
        <v>3806</v>
      </c>
      <c r="L2664" s="151" t="s">
        <v>110</v>
      </c>
      <c r="M2664">
        <v>469</v>
      </c>
      <c r="N2664" s="123">
        <v>94</v>
      </c>
      <c r="O2664">
        <v>1792</v>
      </c>
      <c r="P2664" s="132" t="s">
        <v>77</v>
      </c>
      <c r="Q2664" s="131">
        <v>30000</v>
      </c>
      <c r="R2664" s="131">
        <v>4800</v>
      </c>
      <c r="S2664" s="131"/>
      <c r="T2664" s="155">
        <v>3200</v>
      </c>
      <c r="U2664" s="131">
        <v>0</v>
      </c>
      <c r="V2664" s="131">
        <v>31600</v>
      </c>
      <c r="W2664">
        <v>189</v>
      </c>
      <c r="X2664" s="151" t="s">
        <v>1431</v>
      </c>
      <c r="Y2664" s="135" t="s">
        <v>55</v>
      </c>
      <c r="Z2664" s="307">
        <v>240</v>
      </c>
      <c r="AB2664" t="str">
        <f>IF(Table1[[#This Row],[TIPO2]]="costo", VLOOKUP(Table1[[#This Row],[PARTIDA PRESUPUESTAL]],'Cost Report'!G:G,1,0),"Balance")</f>
        <v>3145-021</v>
      </c>
      <c r="AC2664" s="118"/>
      <c r="AD2664" s="159">
        <f>+Table1[[#This Row],[SUBTOTAL]]+Table1[[#This Row],[IVA]]-Table1[[#This Row],[RET IVA]]-Table1[[#This Row],[RET ISR]]-Table1[[#This Row],[TOTAL]]</f>
        <v>0</v>
      </c>
      <c r="AE2664" s="150"/>
      <c r="AF2664" s="151"/>
      <c r="AG2664" s="126"/>
      <c r="AK2664" s="306" t="str">
        <f>IF(ISNUMBER(Table1[[#This Row],[FECHA DE RECIBIDO]]), Table1[[#This Row],[FECHA DE RECIBIDO]]-DATE(2023,8,30), "")</f>
        <v/>
      </c>
    </row>
    <row r="2665" spans="1:37" ht="16.05" customHeight="1">
      <c r="A2665" s="152" t="s">
        <v>3994</v>
      </c>
      <c r="B2665" s="153">
        <v>985</v>
      </c>
      <c r="C2665" s="126" t="s">
        <v>817</v>
      </c>
      <c r="D2665">
        <v>1818</v>
      </c>
      <c r="E2665" s="126" t="s">
        <v>2005</v>
      </c>
      <c r="F2665" s="125" t="s">
        <v>1589</v>
      </c>
      <c r="G2665" s="125" t="s">
        <v>129</v>
      </c>
      <c r="H2665">
        <v>353</v>
      </c>
      <c r="I2665" s="125" t="s">
        <v>1546</v>
      </c>
      <c r="J2665" s="308" t="s">
        <v>214</v>
      </c>
      <c r="K2665" s="127" t="s">
        <v>3806</v>
      </c>
      <c r="L2665" s="153" t="s">
        <v>110</v>
      </c>
      <c r="M2665">
        <v>470</v>
      </c>
      <c r="N2665" s="123">
        <v>95</v>
      </c>
      <c r="O2665">
        <v>1793</v>
      </c>
      <c r="P2665" s="132" t="s">
        <v>77</v>
      </c>
      <c r="Q2665" s="132">
        <v>40000</v>
      </c>
      <c r="R2665" s="132">
        <v>6400</v>
      </c>
      <c r="S2665" s="132"/>
      <c r="T2665" s="156">
        <v>4266.68</v>
      </c>
      <c r="U2665" s="132">
        <v>4000</v>
      </c>
      <c r="V2665" s="132">
        <v>38133.32</v>
      </c>
      <c r="W2665">
        <v>190</v>
      </c>
      <c r="X2665" s="153" t="s">
        <v>1429</v>
      </c>
      <c r="Y2665" s="124" t="s">
        <v>55</v>
      </c>
      <c r="Z2665" s="308">
        <v>240</v>
      </c>
      <c r="AB2665" t="str">
        <f>IF(Table1[[#This Row],[TIPO2]]="costo", VLOOKUP(Table1[[#This Row],[PARTIDA PRESUPUESTAL]],'Cost Report'!G:G,1,0),"Balance")</f>
        <v>3109-004</v>
      </c>
      <c r="AC2665" s="118"/>
      <c r="AD2665" s="159">
        <f>+Table1[[#This Row],[SUBTOTAL]]+Table1[[#This Row],[IVA]]-Table1[[#This Row],[RET IVA]]-Table1[[#This Row],[RET ISR]]-Table1[[#This Row],[TOTAL]]</f>
        <v>0</v>
      </c>
      <c r="AE2665" s="152"/>
      <c r="AF2665" s="153"/>
      <c r="AG2665" s="126"/>
      <c r="AK2665" s="306" t="str">
        <f>IF(ISNUMBER(Table1[[#This Row],[FECHA DE RECIBIDO]]), Table1[[#This Row],[FECHA DE RECIBIDO]]-DATE(2023,8,30), "")</f>
        <v/>
      </c>
    </row>
    <row r="2666" spans="1:37" ht="16.05" customHeight="1">
      <c r="A2666" s="150" t="s">
        <v>3995</v>
      </c>
      <c r="B2666" s="151">
        <v>986</v>
      </c>
      <c r="C2666" s="126" t="s">
        <v>2677</v>
      </c>
      <c r="D2666">
        <v>1819</v>
      </c>
      <c r="E2666" s="126" t="s">
        <v>2006</v>
      </c>
      <c r="F2666" s="122" t="s">
        <v>1589</v>
      </c>
      <c r="G2666" s="122" t="s">
        <v>129</v>
      </c>
      <c r="H2666">
        <v>354</v>
      </c>
      <c r="I2666" s="122" t="s">
        <v>1546</v>
      </c>
      <c r="J2666" s="307" t="s">
        <v>214</v>
      </c>
      <c r="K2666" s="127" t="s">
        <v>3806</v>
      </c>
      <c r="L2666" s="151" t="s">
        <v>110</v>
      </c>
      <c r="M2666">
        <v>471</v>
      </c>
      <c r="N2666" s="123">
        <v>96</v>
      </c>
      <c r="O2666">
        <v>1794</v>
      </c>
      <c r="P2666" s="132" t="s">
        <v>77</v>
      </c>
      <c r="Q2666" s="131">
        <v>28000</v>
      </c>
      <c r="R2666" s="131">
        <v>4480</v>
      </c>
      <c r="S2666" s="131"/>
      <c r="T2666" s="155">
        <v>2986.68</v>
      </c>
      <c r="U2666" s="131">
        <v>2800</v>
      </c>
      <c r="V2666" s="131">
        <v>26693.32</v>
      </c>
      <c r="W2666">
        <v>191</v>
      </c>
      <c r="X2666" s="151" t="s">
        <v>1431</v>
      </c>
      <c r="Y2666" s="135" t="s">
        <v>55</v>
      </c>
      <c r="Z2666" s="307">
        <v>240</v>
      </c>
      <c r="AB2666" t="str">
        <f>IF(Table1[[#This Row],[TIPO2]]="costo", VLOOKUP(Table1[[#This Row],[PARTIDA PRESUPUESTAL]],'Cost Report'!G:G,1,0),"Balance")</f>
        <v>3108-004</v>
      </c>
      <c r="AC2666" s="118"/>
      <c r="AD2666" s="159">
        <f>+Table1[[#This Row],[SUBTOTAL]]+Table1[[#This Row],[IVA]]-Table1[[#This Row],[RET IVA]]-Table1[[#This Row],[RET ISR]]-Table1[[#This Row],[TOTAL]]</f>
        <v>0</v>
      </c>
      <c r="AE2666" s="150"/>
      <c r="AF2666" s="151"/>
      <c r="AG2666" s="126"/>
      <c r="AK2666" s="306" t="str">
        <f>IF(ISNUMBER(Table1[[#This Row],[FECHA DE RECIBIDO]]), Table1[[#This Row],[FECHA DE RECIBIDO]]-DATE(2023,8,30), "")</f>
        <v/>
      </c>
    </row>
    <row r="2667" spans="1:37" ht="16.05" customHeight="1">
      <c r="A2667" s="152" t="s">
        <v>3996</v>
      </c>
      <c r="B2667" s="153">
        <v>987</v>
      </c>
      <c r="C2667" s="126" t="s">
        <v>3002</v>
      </c>
      <c r="D2667">
        <v>1820</v>
      </c>
      <c r="E2667" s="126" t="s">
        <v>2006</v>
      </c>
      <c r="F2667" s="125" t="s">
        <v>1589</v>
      </c>
      <c r="G2667" s="125" t="s">
        <v>129</v>
      </c>
      <c r="H2667">
        <v>354</v>
      </c>
      <c r="I2667" s="125" t="s">
        <v>1546</v>
      </c>
      <c r="J2667" s="308" t="s">
        <v>214</v>
      </c>
      <c r="K2667" s="127" t="s">
        <v>3806</v>
      </c>
      <c r="L2667" s="153" t="s">
        <v>110</v>
      </c>
      <c r="M2667">
        <v>471</v>
      </c>
      <c r="N2667" s="123">
        <v>96</v>
      </c>
      <c r="O2667">
        <v>1795</v>
      </c>
      <c r="P2667" s="132" t="s">
        <v>77</v>
      </c>
      <c r="Q2667" s="132">
        <v>2333.33</v>
      </c>
      <c r="R2667" s="132">
        <v>373.33</v>
      </c>
      <c r="S2667" s="132"/>
      <c r="T2667" s="156">
        <v>248.89</v>
      </c>
      <c r="U2667" s="132">
        <v>233.33</v>
      </c>
      <c r="V2667" s="132">
        <v>2224.44</v>
      </c>
      <c r="W2667">
        <v>191</v>
      </c>
      <c r="X2667" s="153" t="s">
        <v>1431</v>
      </c>
      <c r="Y2667" s="124" t="s">
        <v>55</v>
      </c>
      <c r="Z2667" s="308">
        <v>240</v>
      </c>
      <c r="AB2667" t="str">
        <f>IF(Table1[[#This Row],[TIPO2]]="costo", VLOOKUP(Table1[[#This Row],[PARTIDA PRESUPUESTAL]],'Cost Report'!G:G,1,0),"Balance")</f>
        <v>4180-003</v>
      </c>
      <c r="AC2667" s="118"/>
      <c r="AD2667" s="159">
        <f>+Table1[[#This Row],[SUBTOTAL]]+Table1[[#This Row],[IVA]]-Table1[[#This Row],[RET IVA]]-Table1[[#This Row],[RET ISR]]-Table1[[#This Row],[TOTAL]]</f>
        <v>0</v>
      </c>
      <c r="AE2667" s="152"/>
      <c r="AF2667" s="153"/>
      <c r="AG2667" s="126"/>
      <c r="AK2667" s="306" t="str">
        <f>IF(ISNUMBER(Table1[[#This Row],[FECHA DE RECIBIDO]]), Table1[[#This Row],[FECHA DE RECIBIDO]]-DATE(2023,8,30), "")</f>
        <v/>
      </c>
    </row>
    <row r="2668" spans="1:37" ht="16.05" customHeight="1">
      <c r="A2668" s="150" t="s">
        <v>3997</v>
      </c>
      <c r="B2668" s="151">
        <v>988</v>
      </c>
      <c r="C2668" s="126" t="s">
        <v>1827</v>
      </c>
      <c r="D2668">
        <v>1821</v>
      </c>
      <c r="E2668" s="126" t="s">
        <v>3646</v>
      </c>
      <c r="F2668" s="122" t="s">
        <v>1589</v>
      </c>
      <c r="G2668" s="122" t="s">
        <v>129</v>
      </c>
      <c r="H2668">
        <v>356</v>
      </c>
      <c r="I2668" s="122" t="s">
        <v>1546</v>
      </c>
      <c r="J2668" s="307" t="s">
        <v>214</v>
      </c>
      <c r="K2668" s="127" t="s">
        <v>3806</v>
      </c>
      <c r="L2668" s="151" t="s">
        <v>110</v>
      </c>
      <c r="M2668">
        <v>473</v>
      </c>
      <c r="N2668" s="123">
        <v>98</v>
      </c>
      <c r="O2668">
        <v>1796</v>
      </c>
      <c r="P2668" s="132" t="s">
        <v>77</v>
      </c>
      <c r="Q2668" s="131">
        <v>34500</v>
      </c>
      <c r="R2668" s="131">
        <v>5520</v>
      </c>
      <c r="S2668" s="131"/>
      <c r="T2668" s="155">
        <v>3680.02</v>
      </c>
      <c r="U2668" s="131">
        <v>3450</v>
      </c>
      <c r="V2668" s="131">
        <v>32889.980000000003</v>
      </c>
      <c r="W2668">
        <v>193</v>
      </c>
      <c r="X2668" s="151" t="s">
        <v>1431</v>
      </c>
      <c r="Y2668" s="135" t="s">
        <v>55</v>
      </c>
      <c r="Z2668" s="307">
        <v>240</v>
      </c>
      <c r="AB2668" t="str">
        <f>IF(Table1[[#This Row],[TIPO2]]="costo", VLOOKUP(Table1[[#This Row],[PARTIDA PRESUPUESTAL]],'Cost Report'!G:G,1,0),"Balance")</f>
        <v>3145-004</v>
      </c>
      <c r="AC2668" s="118"/>
      <c r="AD2668" s="159">
        <f>+Table1[[#This Row],[SUBTOTAL]]+Table1[[#This Row],[IVA]]-Table1[[#This Row],[RET IVA]]-Table1[[#This Row],[RET ISR]]-Table1[[#This Row],[TOTAL]]</f>
        <v>0</v>
      </c>
      <c r="AE2668" s="150"/>
      <c r="AF2668" s="151"/>
      <c r="AG2668" s="126"/>
      <c r="AK2668" s="306" t="str">
        <f>IF(ISNUMBER(Table1[[#This Row],[FECHA DE RECIBIDO]]), Table1[[#This Row],[FECHA DE RECIBIDO]]-DATE(2023,8,30), "")</f>
        <v/>
      </c>
    </row>
    <row r="2669" spans="1:37" ht="16.05" customHeight="1">
      <c r="A2669" s="152" t="s">
        <v>3998</v>
      </c>
      <c r="B2669" s="153">
        <v>989</v>
      </c>
      <c r="C2669" s="126" t="s">
        <v>799</v>
      </c>
      <c r="D2669">
        <v>1822</v>
      </c>
      <c r="E2669" s="126" t="s">
        <v>3273</v>
      </c>
      <c r="F2669" s="125" t="s">
        <v>1589</v>
      </c>
      <c r="G2669" s="125" t="s">
        <v>129</v>
      </c>
      <c r="H2669">
        <v>264</v>
      </c>
      <c r="I2669" s="125" t="s">
        <v>1546</v>
      </c>
      <c r="J2669" s="308" t="s">
        <v>214</v>
      </c>
      <c r="K2669" s="127" t="s">
        <v>3806</v>
      </c>
      <c r="L2669" s="153" t="s">
        <v>110</v>
      </c>
      <c r="M2669">
        <v>475</v>
      </c>
      <c r="N2669" s="123">
        <v>1</v>
      </c>
      <c r="O2669">
        <v>1797</v>
      </c>
      <c r="P2669" s="132" t="s">
        <v>77</v>
      </c>
      <c r="Q2669" s="132">
        <v>52000</v>
      </c>
      <c r="R2669" s="132">
        <v>8320</v>
      </c>
      <c r="S2669" s="132"/>
      <c r="T2669" s="156">
        <v>5546.68</v>
      </c>
      <c r="U2669" s="132">
        <v>5200</v>
      </c>
      <c r="V2669" s="132">
        <v>49573.32</v>
      </c>
      <c r="W2669">
        <v>164</v>
      </c>
      <c r="X2669" s="153" t="s">
        <v>1429</v>
      </c>
      <c r="Y2669" s="124" t="s">
        <v>55</v>
      </c>
      <c r="Z2669" s="308">
        <v>240</v>
      </c>
      <c r="AB2669" t="str">
        <f>IF(Table1[[#This Row],[TIPO2]]="costo", VLOOKUP(Table1[[#This Row],[PARTIDA PRESUPUESTAL]],'Cost Report'!G:G,1,0),"Balance")</f>
        <v>3102-004</v>
      </c>
      <c r="AC2669" s="118"/>
      <c r="AD2669" s="159">
        <f>+Table1[[#This Row],[SUBTOTAL]]+Table1[[#This Row],[IVA]]-Table1[[#This Row],[RET IVA]]-Table1[[#This Row],[RET ISR]]-Table1[[#This Row],[TOTAL]]</f>
        <v>0</v>
      </c>
      <c r="AE2669" s="152"/>
      <c r="AF2669" s="153"/>
      <c r="AG2669" s="126"/>
      <c r="AK2669" s="306" t="str">
        <f>IF(ISNUMBER(Table1[[#This Row],[FECHA DE RECIBIDO]]), Table1[[#This Row],[FECHA DE RECIBIDO]]-DATE(2023,8,30), "")</f>
        <v/>
      </c>
    </row>
    <row r="2670" spans="1:37" ht="16.05" customHeight="1">
      <c r="A2670" s="150" t="s">
        <v>3999</v>
      </c>
      <c r="B2670" s="151">
        <v>990</v>
      </c>
      <c r="C2670" s="126" t="s">
        <v>1841</v>
      </c>
      <c r="D2670">
        <v>1823</v>
      </c>
      <c r="E2670" s="126" t="s">
        <v>3648</v>
      </c>
      <c r="F2670" s="122" t="s">
        <v>1593</v>
      </c>
      <c r="G2670" s="122" t="s">
        <v>109</v>
      </c>
      <c r="H2670">
        <v>358</v>
      </c>
      <c r="I2670" s="122" t="s">
        <v>1546</v>
      </c>
      <c r="J2670" s="307" t="s">
        <v>214</v>
      </c>
      <c r="K2670" s="127" t="s">
        <v>3806</v>
      </c>
      <c r="L2670" s="151" t="s">
        <v>110</v>
      </c>
      <c r="M2670">
        <v>476</v>
      </c>
      <c r="N2670" s="123">
        <v>100</v>
      </c>
      <c r="O2670">
        <v>1798</v>
      </c>
      <c r="P2670" s="132" t="s">
        <v>77</v>
      </c>
      <c r="Q2670" s="131">
        <v>30000</v>
      </c>
      <c r="R2670" s="131">
        <v>4800</v>
      </c>
      <c r="S2670" s="131"/>
      <c r="T2670" s="155">
        <v>3200</v>
      </c>
      <c r="U2670" s="131">
        <v>375</v>
      </c>
      <c r="V2670" s="131">
        <v>31225</v>
      </c>
      <c r="W2670">
        <v>195</v>
      </c>
      <c r="X2670" s="151" t="s">
        <v>1429</v>
      </c>
      <c r="Y2670" s="135" t="s">
        <v>55</v>
      </c>
      <c r="Z2670" s="307">
        <v>240</v>
      </c>
      <c r="AB2670" t="str">
        <f>IF(Table1[[#This Row],[TIPO2]]="costo", VLOOKUP(Table1[[#This Row],[PARTIDA PRESUPUESTAL]],'Cost Report'!G:G,1,0),"Balance")</f>
        <v>3145-026</v>
      </c>
      <c r="AC2670" s="118"/>
      <c r="AD2670" s="159">
        <f>+Table1[[#This Row],[SUBTOTAL]]+Table1[[#This Row],[IVA]]-Table1[[#This Row],[RET IVA]]-Table1[[#This Row],[RET ISR]]-Table1[[#This Row],[TOTAL]]</f>
        <v>0</v>
      </c>
      <c r="AE2670" s="150"/>
      <c r="AF2670" s="151"/>
      <c r="AG2670" s="126"/>
      <c r="AK2670" s="306" t="str">
        <f>IF(ISNUMBER(Table1[[#This Row],[FECHA DE RECIBIDO]]), Table1[[#This Row],[FECHA DE RECIBIDO]]-DATE(2023,8,30), "")</f>
        <v/>
      </c>
    </row>
    <row r="2671" spans="1:37" ht="16.05" customHeight="1">
      <c r="A2671" s="152" t="s">
        <v>4000</v>
      </c>
      <c r="B2671" s="153">
        <v>991</v>
      </c>
      <c r="C2671" s="126" t="s">
        <v>1830</v>
      </c>
      <c r="D2671">
        <v>1824</v>
      </c>
      <c r="E2671" s="126" t="s">
        <v>3371</v>
      </c>
      <c r="F2671" s="125" t="s">
        <v>1589</v>
      </c>
      <c r="G2671" s="125" t="s">
        <v>129</v>
      </c>
      <c r="H2671">
        <v>522</v>
      </c>
      <c r="I2671" s="125" t="s">
        <v>1546</v>
      </c>
      <c r="J2671" s="308" t="s">
        <v>214</v>
      </c>
      <c r="K2671" s="127" t="s">
        <v>3806</v>
      </c>
      <c r="L2671" s="153" t="s">
        <v>110</v>
      </c>
      <c r="M2671">
        <v>746</v>
      </c>
      <c r="N2671" s="123">
        <v>152</v>
      </c>
      <c r="O2671">
        <v>1799</v>
      </c>
      <c r="P2671" s="132" t="s">
        <v>77</v>
      </c>
      <c r="Q2671" s="132">
        <v>5750</v>
      </c>
      <c r="R2671" s="132">
        <v>920</v>
      </c>
      <c r="S2671" s="132"/>
      <c r="T2671" s="156">
        <v>613.34</v>
      </c>
      <c r="U2671" s="132">
        <v>575</v>
      </c>
      <c r="V2671" s="132">
        <v>5481.66</v>
      </c>
      <c r="W2671">
        <v>294</v>
      </c>
      <c r="X2671" s="153" t="s">
        <v>1429</v>
      </c>
      <c r="Y2671" s="124" t="s">
        <v>55</v>
      </c>
      <c r="Z2671" s="308">
        <v>240</v>
      </c>
      <c r="AB2671" t="str">
        <f>IF(Table1[[#This Row],[TIPO2]]="costo", VLOOKUP(Table1[[#This Row],[PARTIDA PRESUPUESTAL]],'Cost Report'!G:G,1,0),"Balance")</f>
        <v>3145-009</v>
      </c>
      <c r="AC2671" s="118"/>
      <c r="AD2671" s="159">
        <f>+Table1[[#This Row],[SUBTOTAL]]+Table1[[#This Row],[IVA]]-Table1[[#This Row],[RET IVA]]-Table1[[#This Row],[RET ISR]]-Table1[[#This Row],[TOTAL]]</f>
        <v>0</v>
      </c>
      <c r="AE2671" s="152"/>
      <c r="AF2671" s="153"/>
      <c r="AG2671" s="126"/>
      <c r="AK2671" s="306" t="str">
        <f>IF(ISNUMBER(Table1[[#This Row],[FECHA DE RECIBIDO]]), Table1[[#This Row],[FECHA DE RECIBIDO]]-DATE(2023,8,30), "")</f>
        <v/>
      </c>
    </row>
    <row r="2672" spans="1:37" ht="16.05" customHeight="1">
      <c r="A2672" s="150" t="s">
        <v>4001</v>
      </c>
      <c r="B2672" s="151">
        <v>992</v>
      </c>
      <c r="C2672" s="126" t="s">
        <v>1831</v>
      </c>
      <c r="D2672">
        <v>1825</v>
      </c>
      <c r="E2672" s="126" t="s">
        <v>3371</v>
      </c>
      <c r="F2672" s="122" t="s">
        <v>1589</v>
      </c>
      <c r="G2672" s="122" t="s">
        <v>129</v>
      </c>
      <c r="H2672">
        <v>522</v>
      </c>
      <c r="I2672" s="122" t="s">
        <v>1546</v>
      </c>
      <c r="J2672" s="307" t="s">
        <v>214</v>
      </c>
      <c r="K2672" s="127" t="s">
        <v>3806</v>
      </c>
      <c r="L2672" s="151" t="s">
        <v>110</v>
      </c>
      <c r="M2672">
        <v>746</v>
      </c>
      <c r="N2672" s="123">
        <v>152</v>
      </c>
      <c r="O2672">
        <v>1800</v>
      </c>
      <c r="P2672" s="132" t="s">
        <v>77</v>
      </c>
      <c r="Q2672" s="131">
        <v>34500</v>
      </c>
      <c r="R2672" s="131">
        <v>5520</v>
      </c>
      <c r="S2672" s="131"/>
      <c r="T2672" s="155">
        <v>3680.02</v>
      </c>
      <c r="U2672" s="131">
        <v>3450</v>
      </c>
      <c r="V2672" s="131">
        <v>32889.980000000003</v>
      </c>
      <c r="W2672">
        <v>294</v>
      </c>
      <c r="X2672" s="151" t="s">
        <v>1429</v>
      </c>
      <c r="Y2672" s="135" t="s">
        <v>55</v>
      </c>
      <c r="Z2672" s="307">
        <v>240</v>
      </c>
      <c r="AB2672" t="str">
        <f>IF(Table1[[#This Row],[TIPO2]]="costo", VLOOKUP(Table1[[#This Row],[PARTIDA PRESUPUESTAL]],'Cost Report'!G:G,1,0),"Balance")</f>
        <v>3145-010</v>
      </c>
      <c r="AC2672" s="118"/>
      <c r="AD2672" s="159">
        <f>+Table1[[#This Row],[SUBTOTAL]]+Table1[[#This Row],[IVA]]-Table1[[#This Row],[RET IVA]]-Table1[[#This Row],[RET ISR]]-Table1[[#This Row],[TOTAL]]</f>
        <v>0</v>
      </c>
      <c r="AE2672" s="150"/>
      <c r="AF2672" s="151"/>
      <c r="AG2672" s="126"/>
      <c r="AK2672" s="306" t="str">
        <f>IF(ISNUMBER(Table1[[#This Row],[FECHA DE RECIBIDO]]), Table1[[#This Row],[FECHA DE RECIBIDO]]-DATE(2023,8,30), "")</f>
        <v/>
      </c>
    </row>
    <row r="2673" spans="1:37" ht="16.05" customHeight="1">
      <c r="A2673" s="152" t="s">
        <v>4002</v>
      </c>
      <c r="B2673" s="153">
        <v>993</v>
      </c>
      <c r="C2673" s="126" t="s">
        <v>3404</v>
      </c>
      <c r="D2673">
        <v>1826</v>
      </c>
      <c r="E2673" s="126" t="s">
        <v>4003</v>
      </c>
      <c r="F2673" s="125" t="s">
        <v>1589</v>
      </c>
      <c r="G2673" s="125" t="s">
        <v>129</v>
      </c>
      <c r="H2673">
        <v>523</v>
      </c>
      <c r="I2673" s="125" t="s">
        <v>1546</v>
      </c>
      <c r="J2673" s="308" t="s">
        <v>214</v>
      </c>
      <c r="K2673" s="127" t="s">
        <v>3806</v>
      </c>
      <c r="L2673" s="153" t="s">
        <v>110</v>
      </c>
      <c r="M2673">
        <v>747</v>
      </c>
      <c r="N2673" s="123">
        <v>153</v>
      </c>
      <c r="O2673">
        <v>1801</v>
      </c>
      <c r="P2673" s="132" t="s">
        <v>77</v>
      </c>
      <c r="Q2673" s="132">
        <v>21666.66</v>
      </c>
      <c r="R2673" s="132">
        <v>3466.67</v>
      </c>
      <c r="S2673" s="132"/>
      <c r="T2673" s="156">
        <v>2311.12</v>
      </c>
      <c r="U2673" s="132">
        <v>2166.67</v>
      </c>
      <c r="V2673" s="132">
        <v>20655.54</v>
      </c>
      <c r="W2673">
        <v>295</v>
      </c>
      <c r="X2673" s="153" t="s">
        <v>1434</v>
      </c>
      <c r="Y2673" s="124" t="s">
        <v>55</v>
      </c>
      <c r="Z2673" s="308">
        <v>240</v>
      </c>
      <c r="AB2673" t="str">
        <f>IF(Table1[[#This Row],[TIPO2]]="costo", VLOOKUP(Table1[[#This Row],[PARTIDA PRESUPUESTAL]],'Cost Report'!G:G,1,0),"Balance")</f>
        <v>3102-031</v>
      </c>
      <c r="AC2673" s="118"/>
      <c r="AD2673" s="159">
        <f>+Table1[[#This Row],[SUBTOTAL]]+Table1[[#This Row],[IVA]]-Table1[[#This Row],[RET IVA]]-Table1[[#This Row],[RET ISR]]-Table1[[#This Row],[TOTAL]]</f>
        <v>0</v>
      </c>
      <c r="AE2673" s="152"/>
      <c r="AF2673" s="153"/>
      <c r="AG2673" s="126"/>
      <c r="AK2673" s="306" t="str">
        <f>IF(ISNUMBER(Table1[[#This Row],[FECHA DE RECIBIDO]]), Table1[[#This Row],[FECHA DE RECIBIDO]]-DATE(2023,8,30), "")</f>
        <v/>
      </c>
    </row>
    <row r="2674" spans="1:37" ht="16.05" customHeight="1">
      <c r="A2674" s="150" t="s">
        <v>4004</v>
      </c>
      <c r="B2674" s="151">
        <v>994</v>
      </c>
      <c r="C2674" s="126" t="s">
        <v>3405</v>
      </c>
      <c r="D2674">
        <v>1827</v>
      </c>
      <c r="E2674" s="126" t="s">
        <v>4005</v>
      </c>
      <c r="F2674" s="122" t="s">
        <v>1589</v>
      </c>
      <c r="G2674" s="122" t="s">
        <v>129</v>
      </c>
      <c r="H2674">
        <v>524</v>
      </c>
      <c r="I2674" s="122" t="s">
        <v>1546</v>
      </c>
      <c r="J2674" s="307" t="s">
        <v>214</v>
      </c>
      <c r="K2674" s="127" t="s">
        <v>3806</v>
      </c>
      <c r="L2674" s="151" t="s">
        <v>110</v>
      </c>
      <c r="M2674">
        <v>748</v>
      </c>
      <c r="N2674" s="123">
        <v>154</v>
      </c>
      <c r="O2674">
        <v>1802</v>
      </c>
      <c r="P2674" s="132" t="s">
        <v>77</v>
      </c>
      <c r="Q2674" s="131">
        <v>10000</v>
      </c>
      <c r="R2674" s="131">
        <v>1600</v>
      </c>
      <c r="S2674" s="131"/>
      <c r="T2674" s="155">
        <v>1066.67</v>
      </c>
      <c r="U2674" s="131">
        <v>1000</v>
      </c>
      <c r="V2674" s="131">
        <v>9533.33</v>
      </c>
      <c r="W2674">
        <v>296</v>
      </c>
      <c r="X2674" s="151" t="s">
        <v>1430</v>
      </c>
      <c r="Y2674" s="135" t="s">
        <v>55</v>
      </c>
      <c r="Z2674" s="307">
        <v>240</v>
      </c>
      <c r="AB2674" t="str">
        <f>IF(Table1[[#This Row],[TIPO2]]="costo", VLOOKUP(Table1[[#This Row],[PARTIDA PRESUPUESTAL]],'Cost Report'!G:G,1,0),"Balance")</f>
        <v>3104-029</v>
      </c>
      <c r="AC2674" s="118"/>
      <c r="AD2674" s="159">
        <f>+Table1[[#This Row],[SUBTOTAL]]+Table1[[#This Row],[IVA]]-Table1[[#This Row],[RET IVA]]-Table1[[#This Row],[RET ISR]]-Table1[[#This Row],[TOTAL]]</f>
        <v>0</v>
      </c>
      <c r="AE2674" s="150"/>
      <c r="AF2674" s="151"/>
      <c r="AG2674" s="126"/>
      <c r="AK2674" s="306" t="str">
        <f>IF(ISNUMBER(Table1[[#This Row],[FECHA DE RECIBIDO]]), Table1[[#This Row],[FECHA DE RECIBIDO]]-DATE(2023,8,30), "")</f>
        <v/>
      </c>
    </row>
    <row r="2675" spans="1:37" ht="16.05" customHeight="1">
      <c r="A2675" s="152" t="s">
        <v>4006</v>
      </c>
      <c r="B2675" s="153">
        <v>995</v>
      </c>
      <c r="C2675" s="126" t="s">
        <v>2669</v>
      </c>
      <c r="D2675">
        <v>1828</v>
      </c>
      <c r="E2675" s="126" t="s">
        <v>4005</v>
      </c>
      <c r="F2675" s="125" t="s">
        <v>1589</v>
      </c>
      <c r="G2675" s="125" t="s">
        <v>129</v>
      </c>
      <c r="H2675">
        <v>524</v>
      </c>
      <c r="I2675" s="125" t="s">
        <v>1546</v>
      </c>
      <c r="J2675" s="308" t="s">
        <v>214</v>
      </c>
      <c r="K2675" s="127" t="s">
        <v>3806</v>
      </c>
      <c r="L2675" s="153" t="s">
        <v>110</v>
      </c>
      <c r="M2675">
        <v>748</v>
      </c>
      <c r="N2675" s="123">
        <v>154</v>
      </c>
      <c r="O2675">
        <v>1803</v>
      </c>
      <c r="P2675" s="132" t="s">
        <v>77</v>
      </c>
      <c r="Q2675" s="132">
        <v>15000</v>
      </c>
      <c r="R2675" s="132">
        <v>2400</v>
      </c>
      <c r="S2675" s="132"/>
      <c r="T2675" s="156">
        <v>1600</v>
      </c>
      <c r="U2675" s="132">
        <v>1500</v>
      </c>
      <c r="V2675" s="132">
        <v>14300</v>
      </c>
      <c r="W2675">
        <v>296</v>
      </c>
      <c r="X2675" s="153" t="s">
        <v>1430</v>
      </c>
      <c r="Y2675" s="124" t="s">
        <v>55</v>
      </c>
      <c r="Z2675" s="308">
        <v>240</v>
      </c>
      <c r="AB2675" t="str">
        <f>IF(Table1[[#This Row],[TIPO2]]="costo", VLOOKUP(Table1[[#This Row],[PARTIDA PRESUPUESTAL]],'Cost Report'!G:G,1,0),"Balance")</f>
        <v>3104-019</v>
      </c>
      <c r="AC2675" s="118"/>
      <c r="AD2675" s="159">
        <f>+Table1[[#This Row],[SUBTOTAL]]+Table1[[#This Row],[IVA]]-Table1[[#This Row],[RET IVA]]-Table1[[#This Row],[RET ISR]]-Table1[[#This Row],[TOTAL]]</f>
        <v>0</v>
      </c>
      <c r="AE2675" s="152"/>
      <c r="AF2675" s="153"/>
      <c r="AG2675" s="126"/>
      <c r="AK2675" s="306" t="str">
        <f>IF(ISNUMBER(Table1[[#This Row],[FECHA DE RECIBIDO]]), Table1[[#This Row],[FECHA DE RECIBIDO]]-DATE(2023,8,30), "")</f>
        <v/>
      </c>
    </row>
    <row r="2676" spans="1:37" ht="16.05" customHeight="1">
      <c r="A2676" s="150" t="s">
        <v>4007</v>
      </c>
      <c r="B2676" s="151">
        <v>996</v>
      </c>
      <c r="C2676" s="126" t="s">
        <v>3405</v>
      </c>
      <c r="D2676">
        <v>1829</v>
      </c>
      <c r="E2676" s="126" t="s">
        <v>1614</v>
      </c>
      <c r="F2676" s="122" t="s">
        <v>1602</v>
      </c>
      <c r="G2676" s="122" t="s">
        <v>1617</v>
      </c>
      <c r="H2676">
        <v>525</v>
      </c>
      <c r="I2676" s="122" t="s">
        <v>1546</v>
      </c>
      <c r="J2676" s="307" t="s">
        <v>214</v>
      </c>
      <c r="K2676" s="127" t="s">
        <v>3806</v>
      </c>
      <c r="L2676" s="151" t="s">
        <v>110</v>
      </c>
      <c r="M2676">
        <v>749</v>
      </c>
      <c r="N2676" s="123">
        <v>155</v>
      </c>
      <c r="O2676">
        <v>1804</v>
      </c>
      <c r="P2676" s="132" t="s">
        <v>77</v>
      </c>
      <c r="Q2676" s="131">
        <v>25083.31</v>
      </c>
      <c r="R2676" s="131">
        <v>4013.33</v>
      </c>
      <c r="S2676" s="131"/>
      <c r="T2676" s="155">
        <v>2675.56</v>
      </c>
      <c r="U2676" s="131">
        <v>0</v>
      </c>
      <c r="V2676" s="131">
        <v>26421.079999999998</v>
      </c>
      <c r="W2676">
        <v>297</v>
      </c>
      <c r="X2676" s="151" t="s">
        <v>1430</v>
      </c>
      <c r="Y2676" s="135" t="s">
        <v>55</v>
      </c>
      <c r="Z2676" s="307">
        <v>240</v>
      </c>
      <c r="AB2676" t="str">
        <f>IF(Table1[[#This Row],[TIPO2]]="costo", VLOOKUP(Table1[[#This Row],[PARTIDA PRESUPUESTAL]],'Cost Report'!G:G,1,0),"Balance")</f>
        <v>3104-029</v>
      </c>
      <c r="AC2676" s="118"/>
      <c r="AD2676" s="159">
        <f>+Table1[[#This Row],[SUBTOTAL]]+Table1[[#This Row],[IVA]]-Table1[[#This Row],[RET IVA]]-Table1[[#This Row],[RET ISR]]-Table1[[#This Row],[TOTAL]]</f>
        <v>0</v>
      </c>
      <c r="AE2676" s="150"/>
      <c r="AF2676" s="151"/>
      <c r="AG2676" s="126"/>
      <c r="AK2676" s="306" t="str">
        <f>IF(ISNUMBER(Table1[[#This Row],[FECHA DE RECIBIDO]]), Table1[[#This Row],[FECHA DE RECIBIDO]]-DATE(2023,8,30), "")</f>
        <v/>
      </c>
    </row>
    <row r="2677" spans="1:37" ht="16.05" customHeight="1">
      <c r="A2677" s="152" t="s">
        <v>4008</v>
      </c>
      <c r="B2677" s="153">
        <v>997</v>
      </c>
      <c r="C2677" s="126" t="s">
        <v>1823</v>
      </c>
      <c r="D2677">
        <v>1830</v>
      </c>
      <c r="E2677" s="126" t="s">
        <v>1614</v>
      </c>
      <c r="F2677" s="125" t="s">
        <v>1602</v>
      </c>
      <c r="G2677" s="125" t="s">
        <v>1617</v>
      </c>
      <c r="H2677">
        <v>525</v>
      </c>
      <c r="I2677" s="125" t="s">
        <v>1546</v>
      </c>
      <c r="J2677" s="308" t="s">
        <v>214</v>
      </c>
      <c r="K2677" s="127" t="s">
        <v>3806</v>
      </c>
      <c r="L2677" s="153" t="s">
        <v>110</v>
      </c>
      <c r="M2677">
        <v>749</v>
      </c>
      <c r="N2677" s="123">
        <v>155</v>
      </c>
      <c r="O2677">
        <v>1805</v>
      </c>
      <c r="P2677" s="132" t="s">
        <v>77</v>
      </c>
      <c r="Q2677" s="132">
        <v>21500</v>
      </c>
      <c r="R2677" s="132">
        <v>3440</v>
      </c>
      <c r="S2677" s="132"/>
      <c r="T2677" s="156">
        <v>2293.34</v>
      </c>
      <c r="U2677" s="132">
        <v>0</v>
      </c>
      <c r="V2677" s="132">
        <v>22646.66</v>
      </c>
      <c r="W2677">
        <v>297</v>
      </c>
      <c r="X2677" s="153" t="s">
        <v>1430</v>
      </c>
      <c r="Y2677" s="124" t="s">
        <v>55</v>
      </c>
      <c r="Z2677" s="308">
        <v>240</v>
      </c>
      <c r="AB2677" t="str">
        <f>IF(Table1[[#This Row],[TIPO2]]="costo", VLOOKUP(Table1[[#This Row],[PARTIDA PRESUPUESTAL]],'Cost Report'!G:G,1,0),"Balance")</f>
        <v>3104-014</v>
      </c>
      <c r="AC2677" s="118"/>
      <c r="AD2677" s="159">
        <f>+Table1[[#This Row],[SUBTOTAL]]+Table1[[#This Row],[IVA]]-Table1[[#This Row],[RET IVA]]-Table1[[#This Row],[RET ISR]]-Table1[[#This Row],[TOTAL]]</f>
        <v>0</v>
      </c>
      <c r="AE2677" s="152"/>
      <c r="AF2677" s="153"/>
      <c r="AG2677" s="126"/>
      <c r="AK2677" s="306" t="str">
        <f>IF(ISNUMBER(Table1[[#This Row],[FECHA DE RECIBIDO]]), Table1[[#This Row],[FECHA DE RECIBIDO]]-DATE(2023,8,30), "")</f>
        <v/>
      </c>
    </row>
    <row r="2678" spans="1:37" ht="16.05" customHeight="1">
      <c r="A2678" s="150" t="s">
        <v>4009</v>
      </c>
      <c r="B2678" s="151">
        <v>998</v>
      </c>
      <c r="C2678" s="126" t="s">
        <v>2661</v>
      </c>
      <c r="D2678">
        <v>1831</v>
      </c>
      <c r="E2678" s="126" t="s">
        <v>3115</v>
      </c>
      <c r="F2678" s="122" t="s">
        <v>1593</v>
      </c>
      <c r="G2678" s="122" t="s">
        <v>109</v>
      </c>
      <c r="H2678">
        <v>526</v>
      </c>
      <c r="I2678" s="122" t="s">
        <v>1546</v>
      </c>
      <c r="J2678" s="307" t="s">
        <v>214</v>
      </c>
      <c r="K2678" s="127" t="s">
        <v>3806</v>
      </c>
      <c r="L2678" s="151" t="s">
        <v>110</v>
      </c>
      <c r="M2678">
        <v>750</v>
      </c>
      <c r="N2678" s="123">
        <v>156</v>
      </c>
      <c r="O2678">
        <v>1806</v>
      </c>
      <c r="P2678" s="132" t="s">
        <v>77</v>
      </c>
      <c r="Q2678" s="131">
        <v>13125</v>
      </c>
      <c r="R2678" s="131">
        <v>2100</v>
      </c>
      <c r="S2678" s="131"/>
      <c r="T2678" s="155">
        <v>1400</v>
      </c>
      <c r="U2678" s="131">
        <v>164.06</v>
      </c>
      <c r="V2678" s="131">
        <v>13660.94</v>
      </c>
      <c r="W2678">
        <v>298</v>
      </c>
      <c r="X2678" s="151" t="s">
        <v>1431</v>
      </c>
      <c r="Y2678" s="135" t="s">
        <v>55</v>
      </c>
      <c r="Z2678" s="307">
        <v>240</v>
      </c>
      <c r="AB2678" t="str">
        <f>IF(Table1[[#This Row],[TIPO2]]="costo", VLOOKUP(Table1[[#This Row],[PARTIDA PRESUPUESTAL]],'Cost Report'!G:G,1,0),"Balance")</f>
        <v>3102-020</v>
      </c>
      <c r="AC2678" s="118"/>
      <c r="AD2678" s="159">
        <f>+Table1[[#This Row],[SUBTOTAL]]+Table1[[#This Row],[IVA]]-Table1[[#This Row],[RET IVA]]-Table1[[#This Row],[RET ISR]]-Table1[[#This Row],[TOTAL]]</f>
        <v>0</v>
      </c>
      <c r="AE2678" s="150"/>
      <c r="AF2678" s="151"/>
      <c r="AG2678" s="126"/>
      <c r="AK2678" s="306" t="str">
        <f>IF(ISNUMBER(Table1[[#This Row],[FECHA DE RECIBIDO]]), Table1[[#This Row],[FECHA DE RECIBIDO]]-DATE(2023,8,30), "")</f>
        <v/>
      </c>
    </row>
    <row r="2679" spans="1:37" ht="16.05" customHeight="1">
      <c r="A2679" s="152" t="s">
        <v>4009</v>
      </c>
      <c r="B2679" s="153">
        <v>998</v>
      </c>
      <c r="C2679" s="126" t="s">
        <v>2666</v>
      </c>
      <c r="D2679">
        <v>1831</v>
      </c>
      <c r="E2679" s="126" t="s">
        <v>3115</v>
      </c>
      <c r="F2679" s="125" t="s">
        <v>1593</v>
      </c>
      <c r="G2679" s="125" t="s">
        <v>109</v>
      </c>
      <c r="H2679">
        <v>526</v>
      </c>
      <c r="I2679" s="125" t="s">
        <v>1546</v>
      </c>
      <c r="J2679" s="308" t="s">
        <v>214</v>
      </c>
      <c r="K2679" s="127" t="s">
        <v>3806</v>
      </c>
      <c r="L2679" s="153" t="s">
        <v>110</v>
      </c>
      <c r="M2679">
        <v>750</v>
      </c>
      <c r="N2679" s="123">
        <v>156</v>
      </c>
      <c r="O2679">
        <v>1806</v>
      </c>
      <c r="P2679" s="132" t="s">
        <v>77</v>
      </c>
      <c r="Q2679" s="132">
        <v>4375</v>
      </c>
      <c r="R2679" s="132">
        <v>700</v>
      </c>
      <c r="S2679" s="132"/>
      <c r="T2679" s="156">
        <v>466.67</v>
      </c>
      <c r="U2679" s="132">
        <v>54.69</v>
      </c>
      <c r="V2679" s="132">
        <v>4553.6400000000003</v>
      </c>
      <c r="W2679">
        <v>298</v>
      </c>
      <c r="X2679" s="153" t="s">
        <v>1431</v>
      </c>
      <c r="Y2679" s="124" t="s">
        <v>55</v>
      </c>
      <c r="Z2679" s="308">
        <v>240</v>
      </c>
      <c r="AB2679" t="str">
        <f>IF(Table1[[#This Row],[TIPO2]]="costo", VLOOKUP(Table1[[#This Row],[PARTIDA PRESUPUESTAL]],'Cost Report'!G:G,1,0),"Balance")</f>
        <v>3102-029</v>
      </c>
      <c r="AC2679" s="118"/>
      <c r="AD2679" s="159">
        <f>+Table1[[#This Row],[SUBTOTAL]]+Table1[[#This Row],[IVA]]-Table1[[#This Row],[RET IVA]]-Table1[[#This Row],[RET ISR]]-Table1[[#This Row],[TOTAL]]</f>
        <v>0</v>
      </c>
      <c r="AE2679" s="152"/>
      <c r="AF2679" s="153"/>
      <c r="AG2679" s="126"/>
      <c r="AK2679" s="306" t="str">
        <f>IF(ISNUMBER(Table1[[#This Row],[FECHA DE RECIBIDO]]), Table1[[#This Row],[FECHA DE RECIBIDO]]-DATE(2023,8,30), "")</f>
        <v/>
      </c>
    </row>
    <row r="2680" spans="1:37" ht="16.05" customHeight="1">
      <c r="A2680" s="150" t="s">
        <v>4010</v>
      </c>
      <c r="B2680" s="151">
        <v>999</v>
      </c>
      <c r="C2680" s="126" t="s">
        <v>913</v>
      </c>
      <c r="D2680">
        <v>1832</v>
      </c>
      <c r="E2680" s="126" t="s">
        <v>3649</v>
      </c>
      <c r="F2680" s="122" t="s">
        <v>1589</v>
      </c>
      <c r="G2680" s="122" t="s">
        <v>129</v>
      </c>
      <c r="H2680">
        <v>359</v>
      </c>
      <c r="I2680" s="122" t="s">
        <v>1546</v>
      </c>
      <c r="J2680" s="307" t="s">
        <v>214</v>
      </c>
      <c r="K2680" s="127" t="s">
        <v>3806</v>
      </c>
      <c r="L2680" s="151" t="s">
        <v>110</v>
      </c>
      <c r="M2680">
        <v>477</v>
      </c>
      <c r="N2680" s="123">
        <v>101</v>
      </c>
      <c r="O2680">
        <v>1807</v>
      </c>
      <c r="P2680" s="132" t="s">
        <v>77</v>
      </c>
      <c r="Q2680" s="131">
        <v>9000</v>
      </c>
      <c r="R2680" s="131">
        <v>1440</v>
      </c>
      <c r="S2680" s="131"/>
      <c r="T2680" s="155">
        <v>960</v>
      </c>
      <c r="U2680" s="131">
        <v>900</v>
      </c>
      <c r="V2680" s="131">
        <v>8580</v>
      </c>
      <c r="W2680">
        <v>196</v>
      </c>
      <c r="X2680" s="151" t="s">
        <v>1429</v>
      </c>
      <c r="Y2680" s="135" t="s">
        <v>55</v>
      </c>
      <c r="Z2680" s="307">
        <v>240</v>
      </c>
      <c r="AB2680" t="str">
        <f>IF(Table1[[#This Row],[TIPO2]]="costo", VLOOKUP(Table1[[#This Row],[PARTIDA PRESUPUESTAL]],'Cost Report'!G:G,1,0),"Balance")</f>
        <v>3201-006</v>
      </c>
      <c r="AC2680" s="118"/>
      <c r="AD2680" s="159">
        <f>+Table1[[#This Row],[SUBTOTAL]]+Table1[[#This Row],[IVA]]-Table1[[#This Row],[RET IVA]]-Table1[[#This Row],[RET ISR]]-Table1[[#This Row],[TOTAL]]</f>
        <v>0</v>
      </c>
      <c r="AE2680" s="150"/>
      <c r="AF2680" s="151"/>
      <c r="AG2680" s="126"/>
      <c r="AK2680" s="306" t="str">
        <f>IF(ISNUMBER(Table1[[#This Row],[FECHA DE RECIBIDO]]), Table1[[#This Row],[FECHA DE RECIBIDO]]-DATE(2023,8,30), "")</f>
        <v/>
      </c>
    </row>
    <row r="2681" spans="1:37" ht="16.05" customHeight="1">
      <c r="A2681" s="152" t="s">
        <v>4011</v>
      </c>
      <c r="B2681" s="153">
        <v>1000</v>
      </c>
      <c r="C2681" s="126" t="s">
        <v>912</v>
      </c>
      <c r="D2681">
        <v>1833</v>
      </c>
      <c r="E2681" s="126" t="s">
        <v>3649</v>
      </c>
      <c r="F2681" s="125" t="s">
        <v>1589</v>
      </c>
      <c r="G2681" s="125" t="s">
        <v>129</v>
      </c>
      <c r="H2681">
        <v>359</v>
      </c>
      <c r="I2681" s="125" t="s">
        <v>1546</v>
      </c>
      <c r="J2681" s="308" t="s">
        <v>214</v>
      </c>
      <c r="K2681" s="127" t="s">
        <v>3806</v>
      </c>
      <c r="L2681" s="153" t="s">
        <v>110</v>
      </c>
      <c r="M2681">
        <v>477</v>
      </c>
      <c r="N2681" s="123">
        <v>101</v>
      </c>
      <c r="O2681">
        <v>1808</v>
      </c>
      <c r="P2681" s="132" t="s">
        <v>77</v>
      </c>
      <c r="Q2681" s="132">
        <v>12000</v>
      </c>
      <c r="R2681" s="132">
        <v>1920</v>
      </c>
      <c r="S2681" s="132"/>
      <c r="T2681" s="156">
        <v>1280</v>
      </c>
      <c r="U2681" s="132">
        <v>1200</v>
      </c>
      <c r="V2681" s="132">
        <v>11440</v>
      </c>
      <c r="W2681">
        <v>196</v>
      </c>
      <c r="X2681" s="153" t="s">
        <v>1429</v>
      </c>
      <c r="Y2681" s="124" t="s">
        <v>55</v>
      </c>
      <c r="Z2681" s="308">
        <v>240</v>
      </c>
      <c r="AB2681" t="str">
        <f>IF(Table1[[#This Row],[TIPO2]]="costo", VLOOKUP(Table1[[#This Row],[PARTIDA PRESUPUESTAL]],'Cost Report'!G:G,1,0),"Balance")</f>
        <v>3201-005</v>
      </c>
      <c r="AC2681" s="118"/>
      <c r="AD2681" s="159">
        <f>+Table1[[#This Row],[SUBTOTAL]]+Table1[[#This Row],[IVA]]-Table1[[#This Row],[RET IVA]]-Table1[[#This Row],[RET ISR]]-Table1[[#This Row],[TOTAL]]</f>
        <v>0</v>
      </c>
      <c r="AE2681" s="152"/>
      <c r="AF2681" s="153"/>
      <c r="AG2681" s="126"/>
      <c r="AK2681" s="306" t="str">
        <f>IF(ISNUMBER(Table1[[#This Row],[FECHA DE RECIBIDO]]), Table1[[#This Row],[FECHA DE RECIBIDO]]-DATE(2023,8,30), "")</f>
        <v/>
      </c>
    </row>
    <row r="2682" spans="1:37" ht="16.05" customHeight="1">
      <c r="A2682" s="150" t="s">
        <v>4012</v>
      </c>
      <c r="B2682" s="151">
        <v>1001</v>
      </c>
      <c r="C2682" s="126" t="s">
        <v>912</v>
      </c>
      <c r="D2682">
        <v>1834</v>
      </c>
      <c r="E2682" s="126" t="s">
        <v>2001</v>
      </c>
      <c r="F2682" s="122" t="s">
        <v>1589</v>
      </c>
      <c r="G2682" s="122" t="s">
        <v>129</v>
      </c>
      <c r="H2682">
        <v>360</v>
      </c>
      <c r="I2682" s="122" t="s">
        <v>1546</v>
      </c>
      <c r="J2682" s="307" t="s">
        <v>214</v>
      </c>
      <c r="K2682" s="127" t="s">
        <v>3806</v>
      </c>
      <c r="L2682" s="151" t="s">
        <v>110</v>
      </c>
      <c r="M2682">
        <v>478</v>
      </c>
      <c r="N2682" s="123">
        <v>102</v>
      </c>
      <c r="O2682">
        <v>1809</v>
      </c>
      <c r="P2682" s="132" t="s">
        <v>77</v>
      </c>
      <c r="Q2682" s="131">
        <v>2000</v>
      </c>
      <c r="R2682" s="131">
        <v>320</v>
      </c>
      <c r="S2682" s="131"/>
      <c r="T2682" s="155">
        <v>213.33</v>
      </c>
      <c r="U2682" s="131">
        <v>200</v>
      </c>
      <c r="V2682" s="131">
        <v>1906.67</v>
      </c>
      <c r="W2682">
        <v>197</v>
      </c>
      <c r="X2682" s="151" t="s">
        <v>1431</v>
      </c>
      <c r="Y2682" s="135" t="s">
        <v>55</v>
      </c>
      <c r="Z2682" s="307">
        <v>240</v>
      </c>
      <c r="AB2682" t="str">
        <f>IF(Table1[[#This Row],[TIPO2]]="costo", VLOOKUP(Table1[[#This Row],[PARTIDA PRESUPUESTAL]],'Cost Report'!G:G,1,0),"Balance")</f>
        <v>3201-005</v>
      </c>
      <c r="AC2682" s="118"/>
      <c r="AD2682" s="159">
        <f>+Table1[[#This Row],[SUBTOTAL]]+Table1[[#This Row],[IVA]]-Table1[[#This Row],[RET IVA]]-Table1[[#This Row],[RET ISR]]-Table1[[#This Row],[TOTAL]]</f>
        <v>0</v>
      </c>
      <c r="AE2682" s="150"/>
      <c r="AF2682" s="151"/>
      <c r="AG2682" s="126"/>
      <c r="AK2682" s="306" t="str">
        <f>IF(ISNUMBER(Table1[[#This Row],[FECHA DE RECIBIDO]]), Table1[[#This Row],[FECHA DE RECIBIDO]]-DATE(2023,8,30), "")</f>
        <v/>
      </c>
    </row>
    <row r="2683" spans="1:37" ht="16.05" customHeight="1">
      <c r="A2683" s="152" t="s">
        <v>4013</v>
      </c>
      <c r="B2683" s="153">
        <v>1002</v>
      </c>
      <c r="C2683" s="126" t="s">
        <v>912</v>
      </c>
      <c r="D2683">
        <v>1835</v>
      </c>
      <c r="E2683" s="126" t="s">
        <v>1629</v>
      </c>
      <c r="F2683" s="125" t="s">
        <v>1593</v>
      </c>
      <c r="G2683" s="125" t="s">
        <v>109</v>
      </c>
      <c r="H2683">
        <v>361</v>
      </c>
      <c r="I2683" s="125" t="s">
        <v>1546</v>
      </c>
      <c r="J2683" s="308" t="s">
        <v>214</v>
      </c>
      <c r="K2683" s="127" t="s">
        <v>3806</v>
      </c>
      <c r="L2683" s="153" t="s">
        <v>110</v>
      </c>
      <c r="M2683">
        <v>479</v>
      </c>
      <c r="N2683" s="123">
        <v>103</v>
      </c>
      <c r="O2683">
        <v>1810</v>
      </c>
      <c r="P2683" s="132" t="s">
        <v>77</v>
      </c>
      <c r="Q2683" s="132">
        <v>12500</v>
      </c>
      <c r="R2683" s="132">
        <v>2000</v>
      </c>
      <c r="S2683" s="132"/>
      <c r="T2683" s="156">
        <v>1333.34</v>
      </c>
      <c r="U2683" s="132">
        <v>156.25</v>
      </c>
      <c r="V2683" s="132">
        <v>13010.41</v>
      </c>
      <c r="W2683">
        <v>198</v>
      </c>
      <c r="X2683" s="153" t="s">
        <v>1430</v>
      </c>
      <c r="Y2683" s="124" t="s">
        <v>55</v>
      </c>
      <c r="Z2683" s="308">
        <v>240</v>
      </c>
      <c r="AB2683" t="str">
        <f>IF(Table1[[#This Row],[TIPO2]]="costo", VLOOKUP(Table1[[#This Row],[PARTIDA PRESUPUESTAL]],'Cost Report'!G:G,1,0),"Balance")</f>
        <v>3201-005</v>
      </c>
      <c r="AC2683" s="118"/>
      <c r="AD2683" s="159">
        <f>+Table1[[#This Row],[SUBTOTAL]]+Table1[[#This Row],[IVA]]-Table1[[#This Row],[RET IVA]]-Table1[[#This Row],[RET ISR]]-Table1[[#This Row],[TOTAL]]</f>
        <v>0</v>
      </c>
      <c r="AE2683" s="152"/>
      <c r="AF2683" s="153"/>
      <c r="AG2683" s="126"/>
      <c r="AK2683" s="306" t="str">
        <f>IF(ISNUMBER(Table1[[#This Row],[FECHA DE RECIBIDO]]), Table1[[#This Row],[FECHA DE RECIBIDO]]-DATE(2023,8,30), "")</f>
        <v/>
      </c>
    </row>
    <row r="2684" spans="1:37" ht="16.05" customHeight="1">
      <c r="A2684" s="150" t="s">
        <v>4014</v>
      </c>
      <c r="B2684" s="151">
        <v>1003</v>
      </c>
      <c r="C2684" s="126" t="s">
        <v>912</v>
      </c>
      <c r="D2684">
        <v>1836</v>
      </c>
      <c r="E2684" s="126" t="s">
        <v>1629</v>
      </c>
      <c r="F2684" s="122" t="s">
        <v>1593</v>
      </c>
      <c r="G2684" s="122" t="s">
        <v>109</v>
      </c>
      <c r="H2684">
        <v>361</v>
      </c>
      <c r="I2684" s="122" t="s">
        <v>1546</v>
      </c>
      <c r="J2684" s="307" t="s">
        <v>214</v>
      </c>
      <c r="K2684" s="127" t="s">
        <v>3806</v>
      </c>
      <c r="L2684" s="151" t="s">
        <v>110</v>
      </c>
      <c r="M2684">
        <v>479</v>
      </c>
      <c r="N2684" s="123">
        <v>103</v>
      </c>
      <c r="O2684">
        <v>1811</v>
      </c>
      <c r="P2684" s="132" t="s">
        <v>77</v>
      </c>
      <c r="Q2684" s="131">
        <v>16000</v>
      </c>
      <c r="R2684" s="131">
        <v>2560</v>
      </c>
      <c r="S2684" s="131"/>
      <c r="T2684" s="155">
        <v>1706.67</v>
      </c>
      <c r="U2684" s="131">
        <v>200</v>
      </c>
      <c r="V2684" s="131">
        <v>16653.330000000002</v>
      </c>
      <c r="W2684">
        <v>198</v>
      </c>
      <c r="X2684" s="151" t="s">
        <v>1430</v>
      </c>
      <c r="Y2684" s="135" t="s">
        <v>55</v>
      </c>
      <c r="Z2684" s="307">
        <v>240</v>
      </c>
      <c r="AB2684" t="str">
        <f>IF(Table1[[#This Row],[TIPO2]]="costo", VLOOKUP(Table1[[#This Row],[PARTIDA PRESUPUESTAL]],'Cost Report'!G:G,1,0),"Balance")</f>
        <v>3201-005</v>
      </c>
      <c r="AC2684" s="118"/>
      <c r="AD2684" s="159">
        <f>+Table1[[#This Row],[SUBTOTAL]]+Table1[[#This Row],[IVA]]-Table1[[#This Row],[RET IVA]]-Table1[[#This Row],[RET ISR]]-Table1[[#This Row],[TOTAL]]</f>
        <v>0</v>
      </c>
      <c r="AE2684" s="150"/>
      <c r="AF2684" s="151"/>
      <c r="AG2684" s="126"/>
      <c r="AK2684" s="306" t="str">
        <f>IF(ISNUMBER(Table1[[#This Row],[FECHA DE RECIBIDO]]), Table1[[#This Row],[FECHA DE RECIBIDO]]-DATE(2023,8,30), "")</f>
        <v/>
      </c>
    </row>
    <row r="2685" spans="1:37" ht="16.05" customHeight="1">
      <c r="A2685" s="152" t="s">
        <v>4015</v>
      </c>
      <c r="B2685" s="153">
        <v>1004</v>
      </c>
      <c r="C2685" s="126" t="s">
        <v>915</v>
      </c>
      <c r="D2685">
        <v>1837</v>
      </c>
      <c r="E2685" s="126" t="s">
        <v>1629</v>
      </c>
      <c r="F2685" s="125" t="s">
        <v>1593</v>
      </c>
      <c r="G2685" s="125" t="s">
        <v>109</v>
      </c>
      <c r="H2685">
        <v>361</v>
      </c>
      <c r="I2685" s="125" t="s">
        <v>1546</v>
      </c>
      <c r="J2685" s="308" t="s">
        <v>214</v>
      </c>
      <c r="K2685" s="127" t="s">
        <v>3806</v>
      </c>
      <c r="L2685" s="153" t="s">
        <v>110</v>
      </c>
      <c r="M2685">
        <v>479</v>
      </c>
      <c r="N2685" s="123">
        <v>103</v>
      </c>
      <c r="O2685">
        <v>1812</v>
      </c>
      <c r="P2685" s="132" t="s">
        <v>77</v>
      </c>
      <c r="Q2685" s="132">
        <v>5333.33</v>
      </c>
      <c r="R2685" s="132">
        <v>853.33</v>
      </c>
      <c r="S2685" s="132"/>
      <c r="T2685" s="156">
        <v>568.89</v>
      </c>
      <c r="U2685" s="132">
        <v>66.67</v>
      </c>
      <c r="V2685" s="132">
        <v>5551.0999999999995</v>
      </c>
      <c r="W2685">
        <v>198</v>
      </c>
      <c r="X2685" s="153" t="s">
        <v>1430</v>
      </c>
      <c r="Y2685" s="124" t="s">
        <v>55</v>
      </c>
      <c r="Z2685" s="308">
        <v>240</v>
      </c>
      <c r="AB2685" t="str">
        <f>IF(Table1[[#This Row],[TIPO2]]="costo", VLOOKUP(Table1[[#This Row],[PARTIDA PRESUPUESTAL]],'Cost Report'!G:G,1,0),"Balance")</f>
        <v>3201-008</v>
      </c>
      <c r="AC2685" s="118"/>
      <c r="AD2685" s="159">
        <f>+Table1[[#This Row],[SUBTOTAL]]+Table1[[#This Row],[IVA]]-Table1[[#This Row],[RET IVA]]-Table1[[#This Row],[RET ISR]]-Table1[[#This Row],[TOTAL]]</f>
        <v>0</v>
      </c>
      <c r="AE2685" s="152"/>
      <c r="AF2685" s="153"/>
      <c r="AG2685" s="126"/>
      <c r="AK2685" s="306" t="str">
        <f>IF(ISNUMBER(Table1[[#This Row],[FECHA DE RECIBIDO]]), Table1[[#This Row],[FECHA DE RECIBIDO]]-DATE(2023,8,30), "")</f>
        <v/>
      </c>
    </row>
    <row r="2686" spans="1:37" ht="16.05" customHeight="1">
      <c r="A2686" s="150" t="s">
        <v>4016</v>
      </c>
      <c r="B2686" s="151">
        <v>1005</v>
      </c>
      <c r="C2686" s="126" t="s">
        <v>911</v>
      </c>
      <c r="D2686">
        <v>1838</v>
      </c>
      <c r="E2686" s="126" t="s">
        <v>1614</v>
      </c>
      <c r="F2686" s="122" t="s">
        <v>1593</v>
      </c>
      <c r="G2686" s="122" t="s">
        <v>109</v>
      </c>
      <c r="H2686">
        <v>527</v>
      </c>
      <c r="I2686" s="122" t="s">
        <v>1546</v>
      </c>
      <c r="J2686" s="307" t="s">
        <v>214</v>
      </c>
      <c r="K2686" s="127" t="s">
        <v>3806</v>
      </c>
      <c r="L2686" s="151" t="s">
        <v>110</v>
      </c>
      <c r="M2686">
        <v>751</v>
      </c>
      <c r="N2686" s="123">
        <v>157</v>
      </c>
      <c r="O2686">
        <v>1813</v>
      </c>
      <c r="P2686" s="132" t="s">
        <v>77</v>
      </c>
      <c r="Q2686" s="131">
        <v>8700</v>
      </c>
      <c r="R2686" s="131">
        <v>1392</v>
      </c>
      <c r="S2686" s="131"/>
      <c r="T2686" s="155">
        <v>928.03</v>
      </c>
      <c r="U2686" s="131">
        <v>108.75</v>
      </c>
      <c r="V2686" s="131">
        <v>9055.2199999999993</v>
      </c>
      <c r="W2686">
        <v>299</v>
      </c>
      <c r="X2686" s="151" t="s">
        <v>1429</v>
      </c>
      <c r="Y2686" s="135" t="s">
        <v>55</v>
      </c>
      <c r="Z2686" s="307">
        <v>240</v>
      </c>
      <c r="AB2686" t="str">
        <f>IF(Table1[[#This Row],[TIPO2]]="costo", VLOOKUP(Table1[[#This Row],[PARTIDA PRESUPUESTAL]],'Cost Report'!G:G,1,0),"Balance")</f>
        <v>3201-004</v>
      </c>
      <c r="AC2686" s="118"/>
      <c r="AD2686" s="159">
        <f>+Table1[[#This Row],[SUBTOTAL]]+Table1[[#This Row],[IVA]]-Table1[[#This Row],[RET IVA]]-Table1[[#This Row],[RET ISR]]-Table1[[#This Row],[TOTAL]]</f>
        <v>0</v>
      </c>
      <c r="AE2686" s="150"/>
      <c r="AF2686" s="151"/>
      <c r="AG2686" s="126"/>
      <c r="AK2686" s="306" t="str">
        <f>IF(ISNUMBER(Table1[[#This Row],[FECHA DE RECIBIDO]]), Table1[[#This Row],[FECHA DE RECIBIDO]]-DATE(2023,8,30), "")</f>
        <v/>
      </c>
    </row>
    <row r="2687" spans="1:37" ht="16.05" customHeight="1">
      <c r="A2687" s="152" t="s">
        <v>4017</v>
      </c>
      <c r="B2687" s="153">
        <v>1006</v>
      </c>
      <c r="C2687" s="126" t="s">
        <v>716</v>
      </c>
      <c r="D2687">
        <v>1839</v>
      </c>
      <c r="E2687" s="126" t="s">
        <v>3650</v>
      </c>
      <c r="F2687" s="125" t="s">
        <v>1593</v>
      </c>
      <c r="G2687" s="125" t="s">
        <v>109</v>
      </c>
      <c r="H2687">
        <v>362</v>
      </c>
      <c r="I2687" s="125" t="s">
        <v>1546</v>
      </c>
      <c r="J2687" s="308" t="s">
        <v>214</v>
      </c>
      <c r="K2687" s="127" t="s">
        <v>3806</v>
      </c>
      <c r="L2687" s="153" t="s">
        <v>110</v>
      </c>
      <c r="M2687">
        <v>480</v>
      </c>
      <c r="N2687" s="123">
        <v>104</v>
      </c>
      <c r="O2687">
        <v>1814</v>
      </c>
      <c r="P2687" s="132" t="s">
        <v>77</v>
      </c>
      <c r="Q2687" s="132">
        <v>28625.040000000001</v>
      </c>
      <c r="R2687" s="132">
        <v>4580</v>
      </c>
      <c r="S2687" s="132"/>
      <c r="T2687" s="156">
        <v>3053.34</v>
      </c>
      <c r="U2687" s="132">
        <v>357.82</v>
      </c>
      <c r="V2687" s="132">
        <v>29793.88</v>
      </c>
      <c r="W2687">
        <v>199</v>
      </c>
      <c r="X2687" s="153" t="s">
        <v>1434</v>
      </c>
      <c r="Y2687" s="124" t="s">
        <v>55</v>
      </c>
      <c r="Z2687" s="308">
        <v>240</v>
      </c>
      <c r="AB2687" t="str">
        <f>IF(Table1[[#This Row],[TIPO2]]="costo", VLOOKUP(Table1[[#This Row],[PARTIDA PRESUPUESTAL]],'Cost Report'!G:G,1,0),"Balance")</f>
        <v>2902-010</v>
      </c>
      <c r="AC2687" s="118"/>
      <c r="AD2687" s="159">
        <f>+Table1[[#This Row],[SUBTOTAL]]+Table1[[#This Row],[IVA]]-Table1[[#This Row],[RET IVA]]-Table1[[#This Row],[RET ISR]]-Table1[[#This Row],[TOTAL]]</f>
        <v>0</v>
      </c>
      <c r="AE2687" s="152"/>
      <c r="AF2687" s="153"/>
      <c r="AG2687" s="126"/>
      <c r="AK2687" s="306" t="str">
        <f>IF(ISNUMBER(Table1[[#This Row],[FECHA DE RECIBIDO]]), Table1[[#This Row],[FECHA DE RECIBIDO]]-DATE(2023,8,30), "")</f>
        <v/>
      </c>
    </row>
    <row r="2688" spans="1:37" ht="16.05" customHeight="1">
      <c r="A2688" s="150" t="s">
        <v>4018</v>
      </c>
      <c r="B2688" s="151">
        <v>1007</v>
      </c>
      <c r="C2688" s="126" t="s">
        <v>720</v>
      </c>
      <c r="D2688">
        <v>1840</v>
      </c>
      <c r="E2688" s="126" t="s">
        <v>3651</v>
      </c>
      <c r="F2688" s="122" t="s">
        <v>1589</v>
      </c>
      <c r="G2688" s="122" t="s">
        <v>129</v>
      </c>
      <c r="H2688">
        <v>363</v>
      </c>
      <c r="I2688" s="122" t="s">
        <v>1546</v>
      </c>
      <c r="J2688" s="307" t="s">
        <v>214</v>
      </c>
      <c r="K2688" s="127" t="s">
        <v>3806</v>
      </c>
      <c r="L2688" s="151" t="s">
        <v>110</v>
      </c>
      <c r="M2688">
        <v>481</v>
      </c>
      <c r="N2688" s="123">
        <v>105</v>
      </c>
      <c r="O2688">
        <v>1815</v>
      </c>
      <c r="P2688" s="132" t="s">
        <v>77</v>
      </c>
      <c r="Q2688" s="131">
        <v>28625.040000000001</v>
      </c>
      <c r="R2688" s="131">
        <v>4580</v>
      </c>
      <c r="S2688" s="131"/>
      <c r="T2688" s="155">
        <v>3053.34</v>
      </c>
      <c r="U2688" s="131">
        <v>2862.5</v>
      </c>
      <c r="V2688" s="131">
        <v>27289.200000000001</v>
      </c>
      <c r="W2688">
        <v>200</v>
      </c>
      <c r="X2688" s="151" t="s">
        <v>1434</v>
      </c>
      <c r="Y2688" s="135" t="s">
        <v>55</v>
      </c>
      <c r="Z2688" s="307">
        <v>240</v>
      </c>
      <c r="AB2688" t="str">
        <f>IF(Table1[[#This Row],[TIPO2]]="costo", VLOOKUP(Table1[[#This Row],[PARTIDA PRESUPUESTAL]],'Cost Report'!G:G,1,0),"Balance")</f>
        <v>2902-016</v>
      </c>
      <c r="AC2688" s="118"/>
      <c r="AD2688" s="159">
        <f>+Table1[[#This Row],[SUBTOTAL]]+Table1[[#This Row],[IVA]]-Table1[[#This Row],[RET IVA]]-Table1[[#This Row],[RET ISR]]-Table1[[#This Row],[TOTAL]]</f>
        <v>0</v>
      </c>
      <c r="AE2688" s="150"/>
      <c r="AF2688" s="151"/>
      <c r="AG2688" s="126"/>
      <c r="AK2688" s="306" t="str">
        <f>IF(ISNUMBER(Table1[[#This Row],[FECHA DE RECIBIDO]]), Table1[[#This Row],[FECHA DE RECIBIDO]]-DATE(2023,8,30), "")</f>
        <v/>
      </c>
    </row>
    <row r="2689" spans="1:37" ht="16.05" customHeight="1">
      <c r="A2689" s="152" t="s">
        <v>4019</v>
      </c>
      <c r="B2689" s="153">
        <v>1008</v>
      </c>
      <c r="C2689" s="126" t="s">
        <v>712</v>
      </c>
      <c r="D2689">
        <v>1841</v>
      </c>
      <c r="E2689" s="126" t="s">
        <v>3137</v>
      </c>
      <c r="F2689" s="125" t="s">
        <v>1593</v>
      </c>
      <c r="G2689" s="125" t="s">
        <v>109</v>
      </c>
      <c r="H2689">
        <v>364</v>
      </c>
      <c r="I2689" s="125" t="s">
        <v>1546</v>
      </c>
      <c r="J2689" s="308" t="s">
        <v>214</v>
      </c>
      <c r="K2689" s="127" t="s">
        <v>3806</v>
      </c>
      <c r="L2689" s="153" t="s">
        <v>110</v>
      </c>
      <c r="M2689">
        <v>482</v>
      </c>
      <c r="N2689" s="123">
        <v>106</v>
      </c>
      <c r="O2689">
        <v>1816</v>
      </c>
      <c r="P2689" s="132" t="s">
        <v>77</v>
      </c>
      <c r="Q2689" s="132">
        <v>28625.040000000001</v>
      </c>
      <c r="R2689" s="132">
        <v>4580</v>
      </c>
      <c r="S2689" s="132"/>
      <c r="T2689" s="156">
        <v>3053.34</v>
      </c>
      <c r="U2689" s="132">
        <v>357.82</v>
      </c>
      <c r="V2689" s="132">
        <v>29793.88</v>
      </c>
      <c r="W2689">
        <v>201</v>
      </c>
      <c r="X2689" s="153" t="s">
        <v>1434</v>
      </c>
      <c r="Y2689" s="124" t="s">
        <v>55</v>
      </c>
      <c r="Z2689" s="308">
        <v>240</v>
      </c>
      <c r="AB2689" t="str">
        <f>IF(Table1[[#This Row],[TIPO2]]="costo", VLOOKUP(Table1[[#This Row],[PARTIDA PRESUPUESTAL]],'Cost Report'!G:G,1,0),"Balance")</f>
        <v>2902-004</v>
      </c>
      <c r="AC2689" s="118"/>
      <c r="AD2689" s="159">
        <f>+Table1[[#This Row],[SUBTOTAL]]+Table1[[#This Row],[IVA]]-Table1[[#This Row],[RET IVA]]-Table1[[#This Row],[RET ISR]]-Table1[[#This Row],[TOTAL]]</f>
        <v>0</v>
      </c>
      <c r="AE2689" s="152"/>
      <c r="AF2689" s="153"/>
      <c r="AG2689" s="126"/>
      <c r="AK2689" s="306" t="str">
        <f>IF(ISNUMBER(Table1[[#This Row],[FECHA DE RECIBIDO]]), Table1[[#This Row],[FECHA DE RECIBIDO]]-DATE(2023,8,30), "")</f>
        <v/>
      </c>
    </row>
    <row r="2690" spans="1:37" ht="16.05" customHeight="1">
      <c r="A2690" s="150" t="s">
        <v>4020</v>
      </c>
      <c r="B2690" s="151">
        <v>1009</v>
      </c>
      <c r="C2690" s="126" t="s">
        <v>740</v>
      </c>
      <c r="D2690">
        <v>1842</v>
      </c>
      <c r="E2690" s="126" t="s">
        <v>3652</v>
      </c>
      <c r="F2690" s="122" t="s">
        <v>1593</v>
      </c>
      <c r="G2690" s="122" t="s">
        <v>109</v>
      </c>
      <c r="H2690">
        <v>365</v>
      </c>
      <c r="I2690" s="122" t="s">
        <v>1546</v>
      </c>
      <c r="J2690" s="307" t="s">
        <v>214</v>
      </c>
      <c r="K2690" s="127" t="s">
        <v>3806</v>
      </c>
      <c r="L2690" s="151" t="s">
        <v>110</v>
      </c>
      <c r="M2690">
        <v>483</v>
      </c>
      <c r="N2690" s="123">
        <v>107</v>
      </c>
      <c r="O2690">
        <v>1817</v>
      </c>
      <c r="P2690" s="132" t="s">
        <v>77</v>
      </c>
      <c r="Q2690" s="131">
        <v>28625.040000000001</v>
      </c>
      <c r="R2690" s="131">
        <v>4580</v>
      </c>
      <c r="S2690" s="131"/>
      <c r="T2690" s="155">
        <v>3053.34</v>
      </c>
      <c r="U2690" s="131">
        <v>357.8</v>
      </c>
      <c r="V2690" s="131">
        <v>29793.9</v>
      </c>
      <c r="W2690">
        <v>202</v>
      </c>
      <c r="X2690" s="151" t="s">
        <v>3684</v>
      </c>
      <c r="Y2690" s="135" t="s">
        <v>55</v>
      </c>
      <c r="Z2690" s="307">
        <v>240</v>
      </c>
      <c r="AB2690" t="str">
        <f>IF(Table1[[#This Row],[TIPO2]]="costo", VLOOKUP(Table1[[#This Row],[PARTIDA PRESUPUESTAL]],'Cost Report'!G:G,1,0),"Balance")</f>
        <v>3002-004</v>
      </c>
      <c r="AC2690" s="118"/>
      <c r="AD2690" s="159">
        <f>+Table1[[#This Row],[SUBTOTAL]]+Table1[[#This Row],[IVA]]-Table1[[#This Row],[RET IVA]]-Table1[[#This Row],[RET ISR]]-Table1[[#This Row],[TOTAL]]</f>
        <v>0</v>
      </c>
      <c r="AE2690" s="150"/>
      <c r="AF2690" s="151"/>
      <c r="AG2690" s="126"/>
      <c r="AK2690" s="306" t="str">
        <f>IF(ISNUMBER(Table1[[#This Row],[FECHA DE RECIBIDO]]), Table1[[#This Row],[FECHA DE RECIBIDO]]-DATE(2023,8,30), "")</f>
        <v/>
      </c>
    </row>
    <row r="2691" spans="1:37" ht="16.05" customHeight="1">
      <c r="A2691" s="152" t="s">
        <v>4021</v>
      </c>
      <c r="B2691" s="153">
        <v>1010</v>
      </c>
      <c r="C2691" s="126" t="s">
        <v>748</v>
      </c>
      <c r="D2691">
        <v>1843</v>
      </c>
      <c r="E2691" s="126" t="s">
        <v>1997</v>
      </c>
      <c r="F2691" s="125" t="s">
        <v>1593</v>
      </c>
      <c r="G2691" s="125" t="s">
        <v>109</v>
      </c>
      <c r="H2691">
        <v>366</v>
      </c>
      <c r="I2691" s="125" t="s">
        <v>1546</v>
      </c>
      <c r="J2691" s="308" t="s">
        <v>214</v>
      </c>
      <c r="K2691" s="127" t="s">
        <v>3806</v>
      </c>
      <c r="L2691" s="153" t="s">
        <v>110</v>
      </c>
      <c r="M2691">
        <v>484</v>
      </c>
      <c r="N2691" s="123">
        <v>108</v>
      </c>
      <c r="O2691">
        <v>1816</v>
      </c>
      <c r="P2691" s="132" t="s">
        <v>77</v>
      </c>
      <c r="Q2691" s="132">
        <v>28625.040000000001</v>
      </c>
      <c r="R2691" s="132">
        <v>4580</v>
      </c>
      <c r="S2691" s="132"/>
      <c r="T2691" s="156">
        <v>3053.34</v>
      </c>
      <c r="U2691" s="132">
        <v>357.82</v>
      </c>
      <c r="V2691" s="132">
        <v>29793.88</v>
      </c>
      <c r="W2691">
        <v>203</v>
      </c>
      <c r="X2691" s="153" t="s">
        <v>1434</v>
      </c>
      <c r="Y2691" s="124" t="s">
        <v>55</v>
      </c>
      <c r="Z2691" s="308">
        <v>240</v>
      </c>
      <c r="AB2691" t="str">
        <f>IF(Table1[[#This Row],[TIPO2]]="costo", VLOOKUP(Table1[[#This Row],[PARTIDA PRESUPUESTAL]],'Cost Report'!G:G,1,0),"Balance")</f>
        <v>3002-016</v>
      </c>
      <c r="AC2691" s="118"/>
      <c r="AD2691" s="159">
        <f>+Table1[[#This Row],[SUBTOTAL]]+Table1[[#This Row],[IVA]]-Table1[[#This Row],[RET IVA]]-Table1[[#This Row],[RET ISR]]-Table1[[#This Row],[TOTAL]]</f>
        <v>0</v>
      </c>
      <c r="AE2691" s="152"/>
      <c r="AF2691" s="153"/>
      <c r="AG2691" s="126"/>
      <c r="AK2691" s="306" t="str">
        <f>IF(ISNUMBER(Table1[[#This Row],[FECHA DE RECIBIDO]]), Table1[[#This Row],[FECHA DE RECIBIDO]]-DATE(2023,8,30), "")</f>
        <v/>
      </c>
    </row>
    <row r="2692" spans="1:37" ht="16.05" customHeight="1">
      <c r="A2692" s="150" t="s">
        <v>4022</v>
      </c>
      <c r="B2692" s="151">
        <v>1011</v>
      </c>
      <c r="C2692" s="126" t="s">
        <v>744</v>
      </c>
      <c r="D2692">
        <v>1844</v>
      </c>
      <c r="E2692" s="126" t="s">
        <v>3373</v>
      </c>
      <c r="F2692" s="122" t="s">
        <v>1593</v>
      </c>
      <c r="G2692" s="122" t="s">
        <v>109</v>
      </c>
      <c r="H2692">
        <v>367</v>
      </c>
      <c r="I2692" s="122" t="s">
        <v>1546</v>
      </c>
      <c r="J2692" s="307" t="s">
        <v>214</v>
      </c>
      <c r="K2692" s="127" t="s">
        <v>3806</v>
      </c>
      <c r="L2692" s="151" t="s">
        <v>110</v>
      </c>
      <c r="M2692">
        <v>485</v>
      </c>
      <c r="N2692" s="123">
        <v>109</v>
      </c>
      <c r="O2692">
        <v>1818</v>
      </c>
      <c r="P2692" s="132" t="s">
        <v>77</v>
      </c>
      <c r="Q2692" s="131">
        <v>14314.8</v>
      </c>
      <c r="R2692" s="131">
        <v>2290.36</v>
      </c>
      <c r="S2692" s="131"/>
      <c r="T2692" s="155">
        <v>1526.91</v>
      </c>
      <c r="U2692" s="131">
        <v>178.93</v>
      </c>
      <c r="V2692" s="131">
        <v>14899.32</v>
      </c>
      <c r="W2692">
        <v>204</v>
      </c>
      <c r="X2692" s="151" t="s">
        <v>3684</v>
      </c>
      <c r="Y2692" s="135" t="s">
        <v>55</v>
      </c>
      <c r="Z2692" s="307">
        <v>240</v>
      </c>
      <c r="AB2692" t="str">
        <f>IF(Table1[[#This Row],[TIPO2]]="costo", VLOOKUP(Table1[[#This Row],[PARTIDA PRESUPUESTAL]],'Cost Report'!G:G,1,0),"Balance")</f>
        <v>3002-010</v>
      </c>
      <c r="AC2692" s="118"/>
      <c r="AD2692" s="159">
        <f>+Table1[[#This Row],[SUBTOTAL]]+Table1[[#This Row],[IVA]]-Table1[[#This Row],[RET IVA]]-Table1[[#This Row],[RET ISR]]-Table1[[#This Row],[TOTAL]]</f>
        <v>0</v>
      </c>
      <c r="AE2692" s="150"/>
      <c r="AF2692" s="151"/>
      <c r="AG2692" s="126"/>
      <c r="AK2692" s="306" t="str">
        <f>IF(ISNUMBER(Table1[[#This Row],[FECHA DE RECIBIDO]]), Table1[[#This Row],[FECHA DE RECIBIDO]]-DATE(2023,8,30), "")</f>
        <v/>
      </c>
    </row>
    <row r="2693" spans="1:37" ht="16.05" customHeight="1">
      <c r="A2693" s="152" t="s">
        <v>4023</v>
      </c>
      <c r="B2693" s="153">
        <v>1012</v>
      </c>
      <c r="C2693" s="126" t="s">
        <v>2629</v>
      </c>
      <c r="D2693">
        <v>1845</v>
      </c>
      <c r="E2693" s="126" t="s">
        <v>3373</v>
      </c>
      <c r="F2693" s="125" t="s">
        <v>1593</v>
      </c>
      <c r="G2693" s="125" t="s">
        <v>109</v>
      </c>
      <c r="H2693">
        <v>367</v>
      </c>
      <c r="I2693" s="125" t="s">
        <v>1546</v>
      </c>
      <c r="J2693" s="308" t="s">
        <v>214</v>
      </c>
      <c r="K2693" s="127" t="s">
        <v>3806</v>
      </c>
      <c r="L2693" s="153" t="s">
        <v>110</v>
      </c>
      <c r="M2693">
        <v>485</v>
      </c>
      <c r="N2693" s="123">
        <v>109</v>
      </c>
      <c r="O2693">
        <v>1819</v>
      </c>
      <c r="P2693" s="132" t="s">
        <v>77</v>
      </c>
      <c r="Q2693" s="132">
        <v>17622.150000000001</v>
      </c>
      <c r="R2693" s="132">
        <v>2819.54</v>
      </c>
      <c r="S2693" s="132"/>
      <c r="T2693" s="156">
        <v>1879.7</v>
      </c>
      <c r="U2693" s="132">
        <v>220.27</v>
      </c>
      <c r="V2693" s="132">
        <v>18341.72</v>
      </c>
      <c r="W2693">
        <v>204</v>
      </c>
      <c r="X2693" s="153" t="s">
        <v>3684</v>
      </c>
      <c r="Y2693" s="124" t="s">
        <v>55</v>
      </c>
      <c r="Z2693" s="308">
        <v>240</v>
      </c>
      <c r="AB2693" t="str">
        <f>IF(Table1[[#This Row],[TIPO2]]="costo", VLOOKUP(Table1[[#This Row],[PARTIDA PRESUPUESTAL]],'Cost Report'!G:G,1,0),"Balance")</f>
        <v>3001-010</v>
      </c>
      <c r="AC2693" s="118"/>
      <c r="AD2693" s="159">
        <f>+Table1[[#This Row],[SUBTOTAL]]+Table1[[#This Row],[IVA]]-Table1[[#This Row],[RET IVA]]-Table1[[#This Row],[RET ISR]]-Table1[[#This Row],[TOTAL]]</f>
        <v>0</v>
      </c>
      <c r="AE2693" s="152"/>
      <c r="AF2693" s="153"/>
      <c r="AG2693" s="126"/>
      <c r="AK2693" s="306" t="str">
        <f>IF(ISNUMBER(Table1[[#This Row],[FECHA DE RECIBIDO]]), Table1[[#This Row],[FECHA DE RECIBIDO]]-DATE(2023,8,30), "")</f>
        <v/>
      </c>
    </row>
    <row r="2694" spans="1:37" ht="16.05" customHeight="1">
      <c r="A2694" s="150" t="s">
        <v>4024</v>
      </c>
      <c r="B2694" s="151">
        <v>1013</v>
      </c>
      <c r="C2694" s="126" t="s">
        <v>734</v>
      </c>
      <c r="D2694">
        <v>1846</v>
      </c>
      <c r="E2694" s="126" t="s">
        <v>3268</v>
      </c>
      <c r="F2694" s="122" t="s">
        <v>1593</v>
      </c>
      <c r="G2694" s="122" t="s">
        <v>109</v>
      </c>
      <c r="H2694">
        <v>255</v>
      </c>
      <c r="I2694" s="122" t="s">
        <v>1546</v>
      </c>
      <c r="J2694" s="307" t="s">
        <v>214</v>
      </c>
      <c r="K2694" s="127" t="s">
        <v>3806</v>
      </c>
      <c r="L2694" s="151" t="s">
        <v>110</v>
      </c>
      <c r="M2694">
        <v>486</v>
      </c>
      <c r="N2694" s="123">
        <v>1</v>
      </c>
      <c r="O2694">
        <v>1820</v>
      </c>
      <c r="P2694" s="132" t="s">
        <v>77</v>
      </c>
      <c r="Q2694" s="131">
        <v>17622.38</v>
      </c>
      <c r="R2694" s="131">
        <v>2819.58</v>
      </c>
      <c r="S2694" s="131"/>
      <c r="T2694" s="155">
        <v>1880.31</v>
      </c>
      <c r="U2694" s="131">
        <v>220.28</v>
      </c>
      <c r="V2694" s="131">
        <v>18341.37</v>
      </c>
      <c r="W2694">
        <v>205</v>
      </c>
      <c r="X2694" s="151" t="s">
        <v>2024</v>
      </c>
      <c r="Y2694" s="135" t="s">
        <v>55</v>
      </c>
      <c r="Z2694" s="307">
        <v>240</v>
      </c>
      <c r="AB2694" t="str">
        <f>IF(Table1[[#This Row],[TIPO2]]="costo", VLOOKUP(Table1[[#This Row],[PARTIDA PRESUPUESTAL]],'Cost Report'!G:G,1,0),"Balance")</f>
        <v>3001-004</v>
      </c>
      <c r="AC2694" s="118"/>
      <c r="AD2694" s="159">
        <f>+Table1[[#This Row],[SUBTOTAL]]+Table1[[#This Row],[IVA]]-Table1[[#This Row],[RET IVA]]-Table1[[#This Row],[RET ISR]]-Table1[[#This Row],[TOTAL]]</f>
        <v>0</v>
      </c>
      <c r="AE2694" s="150"/>
      <c r="AF2694" s="151"/>
      <c r="AG2694" s="126"/>
      <c r="AK2694" s="306" t="str">
        <f>IF(ISNUMBER(Table1[[#This Row],[FECHA DE RECIBIDO]]), Table1[[#This Row],[FECHA DE RECIBIDO]]-DATE(2023,8,30), "")</f>
        <v/>
      </c>
    </row>
    <row r="2695" spans="1:37" ht="16.05" customHeight="1">
      <c r="A2695" s="152" t="s">
        <v>4025</v>
      </c>
      <c r="B2695" s="153">
        <v>1014</v>
      </c>
      <c r="C2695" s="126" t="s">
        <v>734</v>
      </c>
      <c r="D2695">
        <v>1847</v>
      </c>
      <c r="E2695" s="126" t="s">
        <v>3268</v>
      </c>
      <c r="F2695" s="125" t="s">
        <v>1593</v>
      </c>
      <c r="G2695" s="125" t="s">
        <v>109</v>
      </c>
      <c r="H2695">
        <v>255</v>
      </c>
      <c r="I2695" s="125" t="s">
        <v>1546</v>
      </c>
      <c r="J2695" s="308" t="s">
        <v>214</v>
      </c>
      <c r="K2695" s="127" t="s">
        <v>3806</v>
      </c>
      <c r="L2695" s="153" t="s">
        <v>110</v>
      </c>
      <c r="M2695">
        <v>486</v>
      </c>
      <c r="N2695" s="123">
        <v>1</v>
      </c>
      <c r="O2695">
        <v>1821</v>
      </c>
      <c r="P2695" s="132" t="s">
        <v>77</v>
      </c>
      <c r="Q2695" s="132">
        <v>17622.38</v>
      </c>
      <c r="R2695" s="132">
        <v>2819.58</v>
      </c>
      <c r="S2695" s="132"/>
      <c r="T2695" s="156">
        <v>1880.31</v>
      </c>
      <c r="U2695" s="132">
        <v>220.28</v>
      </c>
      <c r="V2695" s="132">
        <v>18341.37</v>
      </c>
      <c r="W2695">
        <v>205</v>
      </c>
      <c r="X2695" s="153" t="s">
        <v>2024</v>
      </c>
      <c r="Y2695" s="124" t="s">
        <v>55</v>
      </c>
      <c r="Z2695" s="308">
        <v>240</v>
      </c>
      <c r="AB2695" t="str">
        <f>IF(Table1[[#This Row],[TIPO2]]="costo", VLOOKUP(Table1[[#This Row],[PARTIDA PRESUPUESTAL]],'Cost Report'!G:G,1,0),"Balance")</f>
        <v>3001-004</v>
      </c>
      <c r="AC2695" s="118"/>
      <c r="AD2695" s="159">
        <f>+Table1[[#This Row],[SUBTOTAL]]+Table1[[#This Row],[IVA]]-Table1[[#This Row],[RET IVA]]-Table1[[#This Row],[RET ISR]]-Table1[[#This Row],[TOTAL]]</f>
        <v>0</v>
      </c>
      <c r="AE2695" s="152"/>
      <c r="AF2695" s="153"/>
      <c r="AG2695" s="126"/>
      <c r="AK2695" s="306" t="str">
        <f>IF(ISNUMBER(Table1[[#This Row],[FECHA DE RECIBIDO]]), Table1[[#This Row],[FECHA DE RECIBIDO]]-DATE(2023,8,30), "")</f>
        <v/>
      </c>
    </row>
    <row r="2696" spans="1:37" ht="16.05" customHeight="1">
      <c r="A2696" s="150" t="s">
        <v>4026</v>
      </c>
      <c r="B2696" s="151">
        <v>1015</v>
      </c>
      <c r="C2696" s="126" t="s">
        <v>2625</v>
      </c>
      <c r="D2696">
        <v>1848</v>
      </c>
      <c r="E2696" s="126" t="s">
        <v>4027</v>
      </c>
      <c r="F2696" s="122" t="s">
        <v>1593</v>
      </c>
      <c r="G2696" s="122" t="s">
        <v>109</v>
      </c>
      <c r="H2696">
        <v>528</v>
      </c>
      <c r="I2696" s="122" t="s">
        <v>1546</v>
      </c>
      <c r="J2696" s="307" t="s">
        <v>214</v>
      </c>
      <c r="K2696" s="127" t="s">
        <v>3806</v>
      </c>
      <c r="L2696" s="151" t="s">
        <v>110</v>
      </c>
      <c r="M2696">
        <v>752</v>
      </c>
      <c r="N2696" s="123">
        <v>158</v>
      </c>
      <c r="O2696">
        <v>1822</v>
      </c>
      <c r="P2696" s="132" t="s">
        <v>77</v>
      </c>
      <c r="Q2696" s="131">
        <v>2385.8000000000002</v>
      </c>
      <c r="R2696" s="131">
        <v>381.73</v>
      </c>
      <c r="S2696" s="131"/>
      <c r="T2696" s="155">
        <v>254.49</v>
      </c>
      <c r="U2696" s="131">
        <v>29.82</v>
      </c>
      <c r="V2696" s="131">
        <v>2483.2199999999998</v>
      </c>
      <c r="W2696">
        <v>300</v>
      </c>
      <c r="X2696" s="151" t="s">
        <v>1429</v>
      </c>
      <c r="Y2696" s="135" t="s">
        <v>55</v>
      </c>
      <c r="Z2696" s="307">
        <v>240</v>
      </c>
      <c r="AB2696" t="str">
        <f>IF(Table1[[#This Row],[TIPO2]]="costo", VLOOKUP(Table1[[#This Row],[PARTIDA PRESUPUESTAL]],'Cost Report'!G:G,1,0),"Balance")</f>
        <v>2911-003</v>
      </c>
      <c r="AC2696" s="118"/>
      <c r="AD2696" s="159">
        <f>+Table1[[#This Row],[SUBTOTAL]]+Table1[[#This Row],[IVA]]-Table1[[#This Row],[RET IVA]]-Table1[[#This Row],[RET ISR]]-Table1[[#This Row],[TOTAL]]</f>
        <v>0</v>
      </c>
      <c r="AE2696" s="150"/>
      <c r="AF2696" s="151"/>
      <c r="AG2696" s="126"/>
      <c r="AK2696" s="306" t="str">
        <f>IF(ISNUMBER(Table1[[#This Row],[FECHA DE RECIBIDO]]), Table1[[#This Row],[FECHA DE RECIBIDO]]-DATE(2023,8,30), "")</f>
        <v/>
      </c>
    </row>
    <row r="2697" spans="1:37" ht="16.05" customHeight="1">
      <c r="A2697" s="152" t="s">
        <v>4028</v>
      </c>
      <c r="B2697" s="153">
        <v>1016</v>
      </c>
      <c r="C2697" s="126" t="s">
        <v>779</v>
      </c>
      <c r="D2697">
        <v>1849</v>
      </c>
      <c r="E2697" s="126" t="s">
        <v>3653</v>
      </c>
      <c r="F2697" s="125" t="s">
        <v>1589</v>
      </c>
      <c r="G2697" s="125" t="s">
        <v>129</v>
      </c>
      <c r="H2697">
        <v>368</v>
      </c>
      <c r="I2697" s="125" t="s">
        <v>1546</v>
      </c>
      <c r="J2697" s="308" t="s">
        <v>214</v>
      </c>
      <c r="K2697" s="127" t="s">
        <v>3806</v>
      </c>
      <c r="L2697" s="153" t="s">
        <v>110</v>
      </c>
      <c r="M2697">
        <v>487</v>
      </c>
      <c r="N2697" s="123">
        <v>110</v>
      </c>
      <c r="O2697">
        <v>1823</v>
      </c>
      <c r="P2697" s="132" t="s">
        <v>77</v>
      </c>
      <c r="Q2697" s="132">
        <v>19550</v>
      </c>
      <c r="R2697" s="132">
        <v>3128</v>
      </c>
      <c r="S2697" s="132"/>
      <c r="T2697" s="156">
        <v>2085.34</v>
      </c>
      <c r="U2697" s="132">
        <v>1955</v>
      </c>
      <c r="V2697" s="132">
        <v>18637.66</v>
      </c>
      <c r="W2697">
        <v>206</v>
      </c>
      <c r="X2697" s="153" t="s">
        <v>1434</v>
      </c>
      <c r="Y2697" s="124" t="s">
        <v>55</v>
      </c>
      <c r="Z2697" s="308">
        <v>240</v>
      </c>
      <c r="AB2697" t="str">
        <f>IF(Table1[[#This Row],[TIPO2]]="costo", VLOOKUP(Table1[[#This Row],[PARTIDA PRESUPUESTAL]],'Cost Report'!G:G,1,0),"Balance")</f>
        <v>3004-004</v>
      </c>
      <c r="AC2697" s="118"/>
      <c r="AD2697" s="159">
        <f>+Table1[[#This Row],[SUBTOTAL]]+Table1[[#This Row],[IVA]]-Table1[[#This Row],[RET IVA]]-Table1[[#This Row],[RET ISR]]-Table1[[#This Row],[TOTAL]]</f>
        <v>0</v>
      </c>
      <c r="AE2697" s="152"/>
      <c r="AF2697" s="153"/>
      <c r="AG2697" s="126"/>
      <c r="AK2697" s="306" t="str">
        <f>IF(ISNUMBER(Table1[[#This Row],[FECHA DE RECIBIDO]]), Table1[[#This Row],[FECHA DE RECIBIDO]]-DATE(2023,8,30), "")</f>
        <v/>
      </c>
    </row>
    <row r="2698" spans="1:37" ht="16.05" customHeight="1">
      <c r="A2698" s="150" t="s">
        <v>4029</v>
      </c>
      <c r="B2698" s="151">
        <v>1017</v>
      </c>
      <c r="C2698" s="126" t="s">
        <v>757</v>
      </c>
      <c r="D2698">
        <v>1850</v>
      </c>
      <c r="E2698" s="126" t="s">
        <v>3653</v>
      </c>
      <c r="F2698" s="122" t="s">
        <v>1589</v>
      </c>
      <c r="G2698" s="122" t="s">
        <v>129</v>
      </c>
      <c r="H2698">
        <v>369</v>
      </c>
      <c r="I2698" s="122" t="s">
        <v>1546</v>
      </c>
      <c r="J2698" s="307" t="s">
        <v>214</v>
      </c>
      <c r="K2698" s="127" t="s">
        <v>3806</v>
      </c>
      <c r="L2698" s="151" t="s">
        <v>110</v>
      </c>
      <c r="M2698">
        <v>488</v>
      </c>
      <c r="N2698" s="123">
        <v>111</v>
      </c>
      <c r="O2698">
        <v>1824</v>
      </c>
      <c r="P2698" s="132" t="s">
        <v>77</v>
      </c>
      <c r="Q2698" s="131">
        <v>24140</v>
      </c>
      <c r="R2698" s="131">
        <v>3862.4</v>
      </c>
      <c r="S2698" s="131"/>
      <c r="T2698" s="155">
        <v>2574.94</v>
      </c>
      <c r="U2698" s="131">
        <v>2414</v>
      </c>
      <c r="V2698" s="131">
        <v>23013.460000000003</v>
      </c>
      <c r="W2698">
        <v>207</v>
      </c>
      <c r="X2698" s="151" t="s">
        <v>1433</v>
      </c>
      <c r="Y2698" s="135" t="s">
        <v>55</v>
      </c>
      <c r="Z2698" s="307">
        <v>240</v>
      </c>
      <c r="AB2698" t="str">
        <f>IF(Table1[[#This Row],[TIPO2]]="costo", VLOOKUP(Table1[[#This Row],[PARTIDA PRESUPUESTAL]],'Cost Report'!G:G,1,0),"Balance")</f>
        <v>3003-004</v>
      </c>
      <c r="AC2698" s="118"/>
      <c r="AD2698" s="159">
        <f>+Table1[[#This Row],[SUBTOTAL]]+Table1[[#This Row],[IVA]]-Table1[[#This Row],[RET IVA]]-Table1[[#This Row],[RET ISR]]-Table1[[#This Row],[TOTAL]]</f>
        <v>0</v>
      </c>
      <c r="AE2698" s="150"/>
      <c r="AF2698" s="151"/>
      <c r="AG2698" s="126"/>
      <c r="AK2698" s="306" t="str">
        <f>IF(ISNUMBER(Table1[[#This Row],[FECHA DE RECIBIDO]]), Table1[[#This Row],[FECHA DE RECIBIDO]]-DATE(2023,8,30), "")</f>
        <v/>
      </c>
    </row>
    <row r="2699" spans="1:37" ht="16.05" customHeight="1">
      <c r="A2699" s="152" t="s">
        <v>4030</v>
      </c>
      <c r="B2699" s="153">
        <v>1018</v>
      </c>
      <c r="C2699" s="126" t="s">
        <v>761</v>
      </c>
      <c r="D2699">
        <v>1851</v>
      </c>
      <c r="E2699" s="126" t="s">
        <v>3654</v>
      </c>
      <c r="F2699" s="125" t="s">
        <v>1593</v>
      </c>
      <c r="G2699" s="125" t="s">
        <v>109</v>
      </c>
      <c r="H2699">
        <v>370</v>
      </c>
      <c r="I2699" s="125" t="s">
        <v>1546</v>
      </c>
      <c r="J2699" s="308" t="s">
        <v>214</v>
      </c>
      <c r="K2699" s="127" t="s">
        <v>3806</v>
      </c>
      <c r="L2699" s="153" t="s">
        <v>110</v>
      </c>
      <c r="M2699">
        <v>489</v>
      </c>
      <c r="N2699" s="123">
        <v>112</v>
      </c>
      <c r="O2699">
        <v>1825</v>
      </c>
      <c r="P2699" s="132" t="s">
        <v>77</v>
      </c>
      <c r="Q2699" s="132">
        <v>19550</v>
      </c>
      <c r="R2699" s="132">
        <v>3128</v>
      </c>
      <c r="S2699" s="132"/>
      <c r="T2699" s="156">
        <v>2085.3200000000002</v>
      </c>
      <c r="U2699" s="132">
        <v>244.38</v>
      </c>
      <c r="V2699" s="132">
        <v>20348.3</v>
      </c>
      <c r="W2699">
        <v>208</v>
      </c>
      <c r="X2699" s="153" t="s">
        <v>1431</v>
      </c>
      <c r="Y2699" s="124" t="s">
        <v>55</v>
      </c>
      <c r="Z2699" s="308">
        <v>240</v>
      </c>
      <c r="AB2699" t="str">
        <f>IF(Table1[[#This Row],[TIPO2]]="costo", VLOOKUP(Table1[[#This Row],[PARTIDA PRESUPUESTAL]],'Cost Report'!G:G,1,0),"Balance")</f>
        <v>3003-010</v>
      </c>
      <c r="AC2699" s="118"/>
      <c r="AD2699" s="159">
        <f>+Table1[[#This Row],[SUBTOTAL]]+Table1[[#This Row],[IVA]]-Table1[[#This Row],[RET IVA]]-Table1[[#This Row],[RET ISR]]-Table1[[#This Row],[TOTAL]]</f>
        <v>0</v>
      </c>
      <c r="AE2699" s="152"/>
      <c r="AF2699" s="153"/>
      <c r="AG2699" s="126"/>
      <c r="AK2699" s="306" t="str">
        <f>IF(ISNUMBER(Table1[[#This Row],[FECHA DE RECIBIDO]]), Table1[[#This Row],[FECHA DE RECIBIDO]]-DATE(2023,8,30), "")</f>
        <v/>
      </c>
    </row>
    <row r="2700" spans="1:37" ht="16.05" customHeight="1">
      <c r="A2700" s="150" t="s">
        <v>4031</v>
      </c>
      <c r="B2700" s="151">
        <v>1019</v>
      </c>
      <c r="C2700" s="126" t="s">
        <v>769</v>
      </c>
      <c r="D2700">
        <v>1852</v>
      </c>
      <c r="E2700" s="126" t="s">
        <v>3655</v>
      </c>
      <c r="F2700" s="122" t="s">
        <v>1593</v>
      </c>
      <c r="G2700" s="122" t="s">
        <v>109</v>
      </c>
      <c r="H2700">
        <v>371</v>
      </c>
      <c r="I2700" s="122" t="s">
        <v>1546</v>
      </c>
      <c r="J2700" s="307" t="s">
        <v>214</v>
      </c>
      <c r="K2700" s="127" t="s">
        <v>3806</v>
      </c>
      <c r="L2700" s="151" t="s">
        <v>110</v>
      </c>
      <c r="M2700">
        <v>490</v>
      </c>
      <c r="N2700" s="123">
        <v>113</v>
      </c>
      <c r="O2700">
        <v>1826</v>
      </c>
      <c r="P2700" s="132" t="s">
        <v>77</v>
      </c>
      <c r="Q2700" s="131">
        <v>20700</v>
      </c>
      <c r="R2700" s="131">
        <v>3312</v>
      </c>
      <c r="S2700" s="131"/>
      <c r="T2700" s="155">
        <v>2207.98</v>
      </c>
      <c r="U2700" s="131">
        <v>258.76</v>
      </c>
      <c r="V2700" s="131">
        <v>21545.260000000002</v>
      </c>
      <c r="W2700">
        <v>209</v>
      </c>
      <c r="X2700" s="151" t="s">
        <v>1429</v>
      </c>
      <c r="Y2700" s="135" t="s">
        <v>55</v>
      </c>
      <c r="Z2700" s="307">
        <v>240</v>
      </c>
      <c r="AB2700" t="str">
        <f>IF(Table1[[#This Row],[TIPO2]]="costo", VLOOKUP(Table1[[#This Row],[PARTIDA PRESUPUESTAL]],'Cost Report'!G:G,1,0),"Balance")</f>
        <v>3003-022</v>
      </c>
      <c r="AC2700" s="118"/>
      <c r="AD2700" s="159">
        <f>+Table1[[#This Row],[SUBTOTAL]]+Table1[[#This Row],[IVA]]-Table1[[#This Row],[RET IVA]]-Table1[[#This Row],[RET ISR]]-Table1[[#This Row],[TOTAL]]</f>
        <v>0</v>
      </c>
      <c r="AE2700" s="150"/>
      <c r="AF2700" s="151"/>
      <c r="AG2700" s="126"/>
      <c r="AK2700" s="306" t="str">
        <f>IF(ISNUMBER(Table1[[#This Row],[FECHA DE RECIBIDO]]), Table1[[#This Row],[FECHA DE RECIBIDO]]-DATE(2023,8,30), "")</f>
        <v/>
      </c>
    </row>
    <row r="2701" spans="1:37" ht="16.05" customHeight="1">
      <c r="A2701" s="152" t="s">
        <v>4032</v>
      </c>
      <c r="B2701" s="153">
        <v>1020</v>
      </c>
      <c r="C2701" s="126" t="s">
        <v>765</v>
      </c>
      <c r="D2701">
        <v>1853</v>
      </c>
      <c r="E2701" s="126" t="s">
        <v>3782</v>
      </c>
      <c r="F2701" s="125" t="s">
        <v>1593</v>
      </c>
      <c r="G2701" s="125" t="s">
        <v>109</v>
      </c>
      <c r="H2701">
        <v>441</v>
      </c>
      <c r="I2701" s="125" t="s">
        <v>1546</v>
      </c>
      <c r="J2701" s="308" t="s">
        <v>214</v>
      </c>
      <c r="K2701" s="127" t="s">
        <v>3806</v>
      </c>
      <c r="L2701" s="153" t="s">
        <v>110</v>
      </c>
      <c r="M2701">
        <v>610</v>
      </c>
      <c r="N2701" s="123">
        <v>119</v>
      </c>
      <c r="O2701">
        <v>1827</v>
      </c>
      <c r="P2701" s="132" t="s">
        <v>77</v>
      </c>
      <c r="Q2701" s="132">
        <v>20700</v>
      </c>
      <c r="R2701" s="132">
        <v>3312</v>
      </c>
      <c r="S2701" s="132"/>
      <c r="T2701" s="156">
        <v>2208</v>
      </c>
      <c r="U2701" s="132">
        <v>258.76</v>
      </c>
      <c r="V2701" s="132">
        <v>21545.24</v>
      </c>
      <c r="W2701">
        <v>228</v>
      </c>
      <c r="X2701" s="153" t="s">
        <v>1429</v>
      </c>
      <c r="Y2701" s="124" t="s">
        <v>55</v>
      </c>
      <c r="Z2701" s="308">
        <v>240</v>
      </c>
      <c r="AB2701" t="str">
        <f>IF(Table1[[#This Row],[TIPO2]]="costo", VLOOKUP(Table1[[#This Row],[PARTIDA PRESUPUESTAL]],'Cost Report'!G:G,1,0),"Balance")</f>
        <v>3003-016</v>
      </c>
      <c r="AC2701" s="118"/>
      <c r="AD2701" s="159">
        <f>+Table1[[#This Row],[SUBTOTAL]]+Table1[[#This Row],[IVA]]-Table1[[#This Row],[RET IVA]]-Table1[[#This Row],[RET ISR]]-Table1[[#This Row],[TOTAL]]</f>
        <v>0</v>
      </c>
      <c r="AE2701" s="152"/>
      <c r="AF2701" s="153"/>
      <c r="AG2701" s="126"/>
      <c r="AK2701" s="306" t="str">
        <f>IF(ISNUMBER(Table1[[#This Row],[FECHA DE RECIBIDO]]), Table1[[#This Row],[FECHA DE RECIBIDO]]-DATE(2023,8,30), "")</f>
        <v/>
      </c>
    </row>
    <row r="2702" spans="1:37" ht="16.05" customHeight="1">
      <c r="A2702" s="150" t="s">
        <v>4033</v>
      </c>
      <c r="B2702" s="151">
        <v>1021</v>
      </c>
      <c r="C2702" s="126" t="s">
        <v>1027</v>
      </c>
      <c r="D2702">
        <v>1854</v>
      </c>
      <c r="E2702" s="126" t="s">
        <v>3656</v>
      </c>
      <c r="F2702" s="122" t="s">
        <v>1589</v>
      </c>
      <c r="G2702" s="122" t="s">
        <v>129</v>
      </c>
      <c r="H2702">
        <v>372</v>
      </c>
      <c r="I2702" s="122" t="s">
        <v>1546</v>
      </c>
      <c r="J2702" s="307" t="s">
        <v>214</v>
      </c>
      <c r="K2702" s="127" t="s">
        <v>3806</v>
      </c>
      <c r="L2702" s="151" t="s">
        <v>110</v>
      </c>
      <c r="M2702">
        <v>491</v>
      </c>
      <c r="N2702" s="123">
        <v>114</v>
      </c>
      <c r="O2702">
        <v>1828</v>
      </c>
      <c r="P2702" s="132" t="s">
        <v>77</v>
      </c>
      <c r="Q2702" s="131">
        <v>8000</v>
      </c>
      <c r="R2702" s="131">
        <v>1280</v>
      </c>
      <c r="S2702" s="131"/>
      <c r="T2702" s="155">
        <v>853.34</v>
      </c>
      <c r="U2702" s="131">
        <v>800</v>
      </c>
      <c r="V2702" s="131">
        <v>7626.66</v>
      </c>
      <c r="W2702">
        <v>210</v>
      </c>
      <c r="X2702" s="151" t="s">
        <v>3684</v>
      </c>
      <c r="Y2702" s="135" t="s">
        <v>55</v>
      </c>
      <c r="Z2702" s="307">
        <v>240</v>
      </c>
      <c r="AB2702" t="str">
        <f>IF(Table1[[#This Row],[TIPO2]]="costo", VLOOKUP(Table1[[#This Row],[PARTIDA PRESUPUESTAL]],'Cost Report'!G:G,1,0),"Balance")</f>
        <v>3601-004</v>
      </c>
      <c r="AC2702" s="118"/>
      <c r="AD2702" s="159">
        <f>+Table1[[#This Row],[SUBTOTAL]]+Table1[[#This Row],[IVA]]-Table1[[#This Row],[RET IVA]]-Table1[[#This Row],[RET ISR]]-Table1[[#This Row],[TOTAL]]</f>
        <v>0</v>
      </c>
      <c r="AE2702" s="150"/>
      <c r="AF2702" s="151"/>
      <c r="AG2702" s="126"/>
      <c r="AK2702" s="306" t="str">
        <f>IF(ISNUMBER(Table1[[#This Row],[FECHA DE RECIBIDO]]), Table1[[#This Row],[FECHA DE RECIBIDO]]-DATE(2023,8,30), "")</f>
        <v/>
      </c>
    </row>
    <row r="2703" spans="1:37" ht="16.05" customHeight="1">
      <c r="A2703" s="152" t="s">
        <v>4034</v>
      </c>
      <c r="B2703" s="153">
        <v>1022</v>
      </c>
      <c r="C2703" s="126" t="s">
        <v>1027</v>
      </c>
      <c r="D2703">
        <v>1855</v>
      </c>
      <c r="E2703" s="126" t="s">
        <v>3656</v>
      </c>
      <c r="F2703" s="125" t="s">
        <v>1589</v>
      </c>
      <c r="G2703" s="125" t="s">
        <v>129</v>
      </c>
      <c r="H2703">
        <v>372</v>
      </c>
      <c r="I2703" s="125" t="s">
        <v>1546</v>
      </c>
      <c r="J2703" s="308" t="s">
        <v>214</v>
      </c>
      <c r="K2703" s="127" t="s">
        <v>3806</v>
      </c>
      <c r="L2703" s="153" t="s">
        <v>110</v>
      </c>
      <c r="M2703">
        <v>491</v>
      </c>
      <c r="N2703" s="123">
        <v>114</v>
      </c>
      <c r="O2703">
        <v>1829</v>
      </c>
      <c r="P2703" s="132" t="s">
        <v>77</v>
      </c>
      <c r="Q2703" s="132">
        <v>8000</v>
      </c>
      <c r="R2703" s="132">
        <v>1280</v>
      </c>
      <c r="S2703" s="132"/>
      <c r="T2703" s="156">
        <v>853.34</v>
      </c>
      <c r="U2703" s="132">
        <v>800</v>
      </c>
      <c r="V2703" s="132">
        <v>7626.66</v>
      </c>
      <c r="W2703">
        <v>210</v>
      </c>
      <c r="X2703" s="153" t="s">
        <v>3684</v>
      </c>
      <c r="Y2703" s="124" t="s">
        <v>55</v>
      </c>
      <c r="Z2703" s="308">
        <v>240</v>
      </c>
      <c r="AB2703" t="str">
        <f>IF(Table1[[#This Row],[TIPO2]]="costo", VLOOKUP(Table1[[#This Row],[PARTIDA PRESUPUESTAL]],'Cost Report'!G:G,1,0),"Balance")</f>
        <v>3601-004</v>
      </c>
      <c r="AC2703" s="118"/>
      <c r="AD2703" s="159">
        <f>+Table1[[#This Row],[SUBTOTAL]]+Table1[[#This Row],[IVA]]-Table1[[#This Row],[RET IVA]]-Table1[[#This Row],[RET ISR]]-Table1[[#This Row],[TOTAL]]</f>
        <v>0</v>
      </c>
      <c r="AE2703" s="152"/>
      <c r="AF2703" s="153"/>
      <c r="AG2703" s="126"/>
      <c r="AK2703" s="306" t="str">
        <f>IF(ISNUMBER(Table1[[#This Row],[FECHA DE RECIBIDO]]), Table1[[#This Row],[FECHA DE RECIBIDO]]-DATE(2023,8,30), "")</f>
        <v/>
      </c>
    </row>
    <row r="2704" spans="1:37" ht="16.05" customHeight="1">
      <c r="A2704" s="150" t="s">
        <v>4035</v>
      </c>
      <c r="B2704" s="151">
        <v>1023</v>
      </c>
      <c r="C2704" s="126" t="s">
        <v>1027</v>
      </c>
      <c r="D2704">
        <v>1856</v>
      </c>
      <c r="E2704" s="126" t="s">
        <v>3656</v>
      </c>
      <c r="F2704" s="122" t="s">
        <v>1589</v>
      </c>
      <c r="G2704" s="122" t="s">
        <v>129</v>
      </c>
      <c r="H2704">
        <v>372</v>
      </c>
      <c r="I2704" s="122" t="s">
        <v>1546</v>
      </c>
      <c r="J2704" s="307" t="s">
        <v>214</v>
      </c>
      <c r="K2704" s="127" t="s">
        <v>3806</v>
      </c>
      <c r="L2704" s="151" t="s">
        <v>110</v>
      </c>
      <c r="M2704">
        <v>491</v>
      </c>
      <c r="N2704" s="123">
        <v>114</v>
      </c>
      <c r="O2704">
        <v>1830</v>
      </c>
      <c r="P2704" s="132" t="s">
        <v>77</v>
      </c>
      <c r="Q2704" s="131">
        <v>8000</v>
      </c>
      <c r="R2704" s="131">
        <v>1280</v>
      </c>
      <c r="S2704" s="131"/>
      <c r="T2704" s="155">
        <v>853.34</v>
      </c>
      <c r="U2704" s="131">
        <v>800</v>
      </c>
      <c r="V2704" s="131">
        <v>7626.66</v>
      </c>
      <c r="W2704">
        <v>210</v>
      </c>
      <c r="X2704" s="151" t="s">
        <v>3684</v>
      </c>
      <c r="Y2704" s="135" t="s">
        <v>55</v>
      </c>
      <c r="Z2704" s="307">
        <v>240</v>
      </c>
      <c r="AB2704" t="str">
        <f>IF(Table1[[#This Row],[TIPO2]]="costo", VLOOKUP(Table1[[#This Row],[PARTIDA PRESUPUESTAL]],'Cost Report'!G:G,1,0),"Balance")</f>
        <v>3601-004</v>
      </c>
      <c r="AC2704" s="118"/>
      <c r="AD2704" s="159">
        <f>+Table1[[#This Row],[SUBTOTAL]]+Table1[[#This Row],[IVA]]-Table1[[#This Row],[RET IVA]]-Table1[[#This Row],[RET ISR]]-Table1[[#This Row],[TOTAL]]</f>
        <v>0</v>
      </c>
      <c r="AE2704" s="150"/>
      <c r="AF2704" s="151"/>
      <c r="AG2704" s="126"/>
      <c r="AK2704" s="306" t="str">
        <f>IF(ISNUMBER(Table1[[#This Row],[FECHA DE RECIBIDO]]), Table1[[#This Row],[FECHA DE RECIBIDO]]-DATE(2023,8,30), "")</f>
        <v/>
      </c>
    </row>
    <row r="2705" spans="1:37" ht="16.05" customHeight="1">
      <c r="A2705" s="152" t="s">
        <v>4036</v>
      </c>
      <c r="B2705" s="153">
        <v>1024</v>
      </c>
      <c r="C2705" s="126" t="s">
        <v>1027</v>
      </c>
      <c r="D2705">
        <v>1857</v>
      </c>
      <c r="E2705" s="126" t="s">
        <v>3656</v>
      </c>
      <c r="F2705" s="125" t="s">
        <v>1589</v>
      </c>
      <c r="G2705" s="125" t="s">
        <v>129</v>
      </c>
      <c r="H2705">
        <v>372</v>
      </c>
      <c r="I2705" s="125" t="s">
        <v>1546</v>
      </c>
      <c r="J2705" s="308" t="s">
        <v>214</v>
      </c>
      <c r="K2705" s="127" t="s">
        <v>3806</v>
      </c>
      <c r="L2705" s="153" t="s">
        <v>110</v>
      </c>
      <c r="M2705">
        <v>491</v>
      </c>
      <c r="N2705" s="123">
        <v>114</v>
      </c>
      <c r="O2705">
        <v>1831</v>
      </c>
      <c r="P2705" s="132" t="s">
        <v>77</v>
      </c>
      <c r="Q2705" s="132">
        <v>8000</v>
      </c>
      <c r="R2705" s="132">
        <v>1280</v>
      </c>
      <c r="S2705" s="132"/>
      <c r="T2705" s="156">
        <v>853.34</v>
      </c>
      <c r="U2705" s="132">
        <v>800</v>
      </c>
      <c r="V2705" s="132">
        <v>7626.66</v>
      </c>
      <c r="W2705">
        <v>210</v>
      </c>
      <c r="X2705" s="153" t="s">
        <v>3684</v>
      </c>
      <c r="Y2705" s="124" t="s">
        <v>55</v>
      </c>
      <c r="Z2705" s="308">
        <v>240</v>
      </c>
      <c r="AB2705" t="str">
        <f>IF(Table1[[#This Row],[TIPO2]]="costo", VLOOKUP(Table1[[#This Row],[PARTIDA PRESUPUESTAL]],'Cost Report'!G:G,1,0),"Balance")</f>
        <v>3601-004</v>
      </c>
      <c r="AC2705" s="118"/>
      <c r="AD2705" s="159">
        <f>+Table1[[#This Row],[SUBTOTAL]]+Table1[[#This Row],[IVA]]-Table1[[#This Row],[RET IVA]]-Table1[[#This Row],[RET ISR]]-Table1[[#This Row],[TOTAL]]</f>
        <v>0</v>
      </c>
      <c r="AE2705" s="152"/>
      <c r="AF2705" s="153"/>
      <c r="AG2705" s="126"/>
      <c r="AK2705" s="306" t="str">
        <f>IF(ISNUMBER(Table1[[#This Row],[FECHA DE RECIBIDO]]), Table1[[#This Row],[FECHA DE RECIBIDO]]-DATE(2023,8,30), "")</f>
        <v/>
      </c>
    </row>
    <row r="2706" spans="1:37" ht="16.05" customHeight="1">
      <c r="A2706" s="150" t="s">
        <v>4037</v>
      </c>
      <c r="B2706" s="151">
        <v>1025</v>
      </c>
      <c r="C2706" s="126" t="s">
        <v>299</v>
      </c>
      <c r="D2706">
        <v>1858</v>
      </c>
      <c r="E2706" s="126" t="s">
        <v>2005</v>
      </c>
      <c r="F2706" s="122" t="s">
        <v>1589</v>
      </c>
      <c r="G2706" s="122" t="s">
        <v>129</v>
      </c>
      <c r="H2706">
        <v>373</v>
      </c>
      <c r="I2706" s="122" t="s">
        <v>1546</v>
      </c>
      <c r="J2706" s="307" t="s">
        <v>214</v>
      </c>
      <c r="K2706" s="127" t="s">
        <v>3806</v>
      </c>
      <c r="L2706" s="151" t="s">
        <v>110</v>
      </c>
      <c r="M2706">
        <v>492</v>
      </c>
      <c r="N2706" s="123">
        <v>115</v>
      </c>
      <c r="O2706">
        <v>1832</v>
      </c>
      <c r="P2706" s="132" t="s">
        <v>77</v>
      </c>
      <c r="Q2706" s="131">
        <v>60480</v>
      </c>
      <c r="R2706" s="131">
        <v>9676.7999999999993</v>
      </c>
      <c r="S2706" s="131"/>
      <c r="T2706" s="155">
        <v>6451.22</v>
      </c>
      <c r="U2706" s="131">
        <v>6048</v>
      </c>
      <c r="V2706" s="131">
        <v>57657.58</v>
      </c>
      <c r="W2706">
        <v>211</v>
      </c>
      <c r="X2706" s="151" t="s">
        <v>1429</v>
      </c>
      <c r="Y2706" s="135" t="s">
        <v>55</v>
      </c>
      <c r="Z2706" s="307">
        <v>240</v>
      </c>
      <c r="AB2706" t="str">
        <f>IF(Table1[[#This Row],[TIPO2]]="costo", VLOOKUP(Table1[[#This Row],[PARTIDA PRESUPUESTAL]],'Cost Report'!G:G,1,0),"Balance")</f>
        <v>1401-029</v>
      </c>
      <c r="AC2706" s="118"/>
      <c r="AD2706" s="159">
        <f>+Table1[[#This Row],[SUBTOTAL]]+Table1[[#This Row],[IVA]]-Table1[[#This Row],[RET IVA]]-Table1[[#This Row],[RET ISR]]-Table1[[#This Row],[TOTAL]]</f>
        <v>0</v>
      </c>
      <c r="AE2706" s="150"/>
      <c r="AF2706" s="151"/>
      <c r="AG2706" s="126"/>
      <c r="AK2706" s="306" t="str">
        <f>IF(ISNUMBER(Table1[[#This Row],[FECHA DE RECIBIDO]]), Table1[[#This Row],[FECHA DE RECIBIDO]]-DATE(2023,8,30), "")</f>
        <v/>
      </c>
    </row>
    <row r="2707" spans="1:37" ht="16.05" customHeight="1">
      <c r="A2707" s="152" t="s">
        <v>4038</v>
      </c>
      <c r="B2707" s="153">
        <v>1026</v>
      </c>
      <c r="C2707" s="126" t="s">
        <v>278</v>
      </c>
      <c r="D2707">
        <v>1859</v>
      </c>
      <c r="E2707" s="126" t="s">
        <v>3657</v>
      </c>
      <c r="F2707" s="125" t="s">
        <v>1589</v>
      </c>
      <c r="G2707" s="125" t="s">
        <v>129</v>
      </c>
      <c r="H2707">
        <v>374</v>
      </c>
      <c r="I2707" s="125" t="s">
        <v>1546</v>
      </c>
      <c r="J2707" s="308" t="s">
        <v>214</v>
      </c>
      <c r="K2707" s="127" t="s">
        <v>3806</v>
      </c>
      <c r="L2707" s="153" t="s">
        <v>110</v>
      </c>
      <c r="M2707">
        <v>493</v>
      </c>
      <c r="N2707" s="123">
        <v>116</v>
      </c>
      <c r="O2707">
        <v>1833</v>
      </c>
      <c r="P2707" s="132" t="s">
        <v>77</v>
      </c>
      <c r="Q2707" s="132">
        <v>443520</v>
      </c>
      <c r="R2707" s="132">
        <v>70963.199999999997</v>
      </c>
      <c r="S2707" s="132"/>
      <c r="T2707" s="156">
        <v>47308.95</v>
      </c>
      <c r="U2707" s="132">
        <v>44352</v>
      </c>
      <c r="V2707" s="132">
        <v>422822.25</v>
      </c>
      <c r="W2707">
        <v>212</v>
      </c>
      <c r="X2707" s="153" t="s">
        <v>1430</v>
      </c>
      <c r="Y2707" s="124" t="s">
        <v>55</v>
      </c>
      <c r="Z2707" s="308">
        <v>240</v>
      </c>
      <c r="AB2707" t="str">
        <f>IF(Table1[[#This Row],[TIPO2]]="costo", VLOOKUP(Table1[[#This Row],[PARTIDA PRESUPUESTAL]],'Cost Report'!G:G,1,0),"Balance")</f>
        <v>1401-002</v>
      </c>
      <c r="AC2707" s="118"/>
      <c r="AD2707" s="159">
        <f>+Table1[[#This Row],[SUBTOTAL]]+Table1[[#This Row],[IVA]]-Table1[[#This Row],[RET IVA]]-Table1[[#This Row],[RET ISR]]-Table1[[#This Row],[TOTAL]]</f>
        <v>0</v>
      </c>
      <c r="AE2707" s="152"/>
      <c r="AF2707" s="153"/>
      <c r="AG2707" s="126"/>
      <c r="AK2707" s="306" t="str">
        <f>IF(ISNUMBER(Table1[[#This Row],[FECHA DE RECIBIDO]]), Table1[[#This Row],[FECHA DE RECIBIDO]]-DATE(2023,8,30), "")</f>
        <v/>
      </c>
    </row>
    <row r="2708" spans="1:37" ht="16.05" customHeight="1">
      <c r="A2708" s="150" t="s">
        <v>4039</v>
      </c>
      <c r="B2708" s="151">
        <v>1027</v>
      </c>
      <c r="C2708" s="126" t="s">
        <v>317</v>
      </c>
      <c r="D2708">
        <v>1860</v>
      </c>
      <c r="E2708" s="126" t="s">
        <v>4040</v>
      </c>
      <c r="F2708" s="122" t="s">
        <v>1589</v>
      </c>
      <c r="G2708" s="122" t="s">
        <v>129</v>
      </c>
      <c r="H2708">
        <v>529</v>
      </c>
      <c r="I2708" s="122" t="s">
        <v>1546</v>
      </c>
      <c r="J2708" s="307" t="s">
        <v>214</v>
      </c>
      <c r="K2708" s="127" t="s">
        <v>3806</v>
      </c>
      <c r="L2708" s="151" t="s">
        <v>110</v>
      </c>
      <c r="M2708">
        <v>753</v>
      </c>
      <c r="N2708" s="123">
        <v>159</v>
      </c>
      <c r="O2708">
        <v>1834</v>
      </c>
      <c r="P2708" s="132" t="s">
        <v>77</v>
      </c>
      <c r="Q2708" s="131">
        <v>94500</v>
      </c>
      <c r="R2708" s="131">
        <v>15120</v>
      </c>
      <c r="S2708" s="131"/>
      <c r="T2708" s="155">
        <v>10080.030000000001</v>
      </c>
      <c r="U2708" s="131">
        <v>9450</v>
      </c>
      <c r="V2708" s="131">
        <v>90089.97</v>
      </c>
      <c r="W2708">
        <v>301</v>
      </c>
      <c r="X2708" s="151" t="s">
        <v>1431</v>
      </c>
      <c r="Y2708" s="135" t="s">
        <v>55</v>
      </c>
      <c r="Z2708" s="307">
        <v>240</v>
      </c>
      <c r="AB2708" t="str">
        <f>IF(Table1[[#This Row],[TIPO2]]="costo", VLOOKUP(Table1[[#This Row],[PARTIDA PRESUPUESTAL]],'Cost Report'!G:G,1,0),"Balance")</f>
        <v>1403-009</v>
      </c>
      <c r="AC2708" s="118"/>
      <c r="AD2708" s="159">
        <f>+Table1[[#This Row],[SUBTOTAL]]+Table1[[#This Row],[IVA]]-Table1[[#This Row],[RET IVA]]-Table1[[#This Row],[RET ISR]]-Table1[[#This Row],[TOTAL]]</f>
        <v>0</v>
      </c>
      <c r="AE2708" s="150"/>
      <c r="AF2708" s="151"/>
      <c r="AG2708" s="126"/>
      <c r="AK2708" s="306" t="str">
        <f>IF(ISNUMBER(Table1[[#This Row],[FECHA DE RECIBIDO]]), Table1[[#This Row],[FECHA DE RECIBIDO]]-DATE(2023,8,30), "")</f>
        <v/>
      </c>
    </row>
    <row r="2709" spans="1:37" ht="16.05" customHeight="1">
      <c r="A2709" s="152" t="s">
        <v>4041</v>
      </c>
      <c r="B2709" s="153">
        <v>1028</v>
      </c>
      <c r="C2709" s="126" t="s">
        <v>327</v>
      </c>
      <c r="D2709">
        <v>1861</v>
      </c>
      <c r="E2709" s="126" t="s">
        <v>3784</v>
      </c>
      <c r="F2709" s="125" t="s">
        <v>1593</v>
      </c>
      <c r="G2709" s="125" t="s">
        <v>109</v>
      </c>
      <c r="H2709">
        <v>530</v>
      </c>
      <c r="I2709" s="125" t="s">
        <v>1546</v>
      </c>
      <c r="J2709" s="308" t="s">
        <v>214</v>
      </c>
      <c r="K2709" s="127" t="s">
        <v>3806</v>
      </c>
      <c r="L2709" s="153" t="s">
        <v>110</v>
      </c>
      <c r="M2709">
        <v>754</v>
      </c>
      <c r="N2709" s="123">
        <v>160</v>
      </c>
      <c r="O2709">
        <v>1835</v>
      </c>
      <c r="P2709" s="132" t="s">
        <v>77</v>
      </c>
      <c r="Q2709" s="132">
        <v>18900</v>
      </c>
      <c r="R2709" s="132">
        <v>3024</v>
      </c>
      <c r="S2709" s="132"/>
      <c r="T2709" s="156">
        <v>2016.01</v>
      </c>
      <c r="U2709" s="132">
        <v>236.25</v>
      </c>
      <c r="V2709" s="132">
        <v>19671.740000000002</v>
      </c>
      <c r="W2709">
        <v>302</v>
      </c>
      <c r="X2709" s="153" t="s">
        <v>1429</v>
      </c>
      <c r="Y2709" s="124" t="s">
        <v>55</v>
      </c>
      <c r="Z2709" s="308">
        <v>240</v>
      </c>
      <c r="AB2709" t="str">
        <f>IF(Table1[[#This Row],[TIPO2]]="costo", VLOOKUP(Table1[[#This Row],[PARTIDA PRESUPUESTAL]],'Cost Report'!G:G,1,0),"Balance")</f>
        <v>1403-023</v>
      </c>
      <c r="AC2709" s="118"/>
      <c r="AD2709" s="159">
        <f>+Table1[[#This Row],[SUBTOTAL]]+Table1[[#This Row],[IVA]]-Table1[[#This Row],[RET IVA]]-Table1[[#This Row],[RET ISR]]-Table1[[#This Row],[TOTAL]]</f>
        <v>0</v>
      </c>
      <c r="AE2709" s="152"/>
      <c r="AF2709" s="153"/>
      <c r="AG2709" s="126"/>
      <c r="AK2709" s="306" t="str">
        <f>IF(ISNUMBER(Table1[[#This Row],[FECHA DE RECIBIDO]]), Table1[[#This Row],[FECHA DE RECIBIDO]]-DATE(2023,8,30), "")</f>
        <v/>
      </c>
    </row>
    <row r="2710" spans="1:37" ht="16.05" customHeight="1">
      <c r="A2710" s="150" t="s">
        <v>4042</v>
      </c>
      <c r="B2710" s="151">
        <v>1029</v>
      </c>
      <c r="C2710" s="126" t="s">
        <v>312</v>
      </c>
      <c r="D2710">
        <v>1862</v>
      </c>
      <c r="E2710" s="126" t="s">
        <v>1645</v>
      </c>
      <c r="F2710" s="122" t="s">
        <v>1589</v>
      </c>
      <c r="G2710" s="122" t="s">
        <v>129</v>
      </c>
      <c r="H2710">
        <v>531</v>
      </c>
      <c r="I2710" s="122" t="s">
        <v>1546</v>
      </c>
      <c r="J2710" s="307" t="s">
        <v>214</v>
      </c>
      <c r="K2710" s="127" t="s">
        <v>3806</v>
      </c>
      <c r="L2710" s="151" t="s">
        <v>110</v>
      </c>
      <c r="M2710">
        <v>755</v>
      </c>
      <c r="N2710" s="123">
        <v>161</v>
      </c>
      <c r="O2710">
        <v>1836</v>
      </c>
      <c r="P2710" s="132" t="s">
        <v>77</v>
      </c>
      <c r="Q2710" s="131">
        <v>94500</v>
      </c>
      <c r="R2710" s="131">
        <v>15120</v>
      </c>
      <c r="S2710" s="131"/>
      <c r="T2710" s="155">
        <v>10080.030000000001</v>
      </c>
      <c r="U2710" s="131">
        <v>9450</v>
      </c>
      <c r="V2710" s="131">
        <v>90089.97</v>
      </c>
      <c r="W2710">
        <v>303</v>
      </c>
      <c r="X2710" s="151" t="s">
        <v>1430</v>
      </c>
      <c r="Y2710" s="135" t="s">
        <v>55</v>
      </c>
      <c r="Z2710" s="307">
        <v>240</v>
      </c>
      <c r="AB2710" t="str">
        <f>IF(Table1[[#This Row],[TIPO2]]="costo", VLOOKUP(Table1[[#This Row],[PARTIDA PRESUPUESTAL]],'Cost Report'!G:G,1,0),"Balance")</f>
        <v>1403-002</v>
      </c>
      <c r="AC2710" s="118"/>
      <c r="AD2710" s="159">
        <f>+Table1[[#This Row],[SUBTOTAL]]+Table1[[#This Row],[IVA]]-Table1[[#This Row],[RET IVA]]-Table1[[#This Row],[RET ISR]]-Table1[[#This Row],[TOTAL]]</f>
        <v>0</v>
      </c>
      <c r="AE2710" s="150"/>
      <c r="AF2710" s="151"/>
      <c r="AG2710" s="126"/>
      <c r="AK2710" s="306" t="str">
        <f>IF(ISNUMBER(Table1[[#This Row],[FECHA DE RECIBIDO]]), Table1[[#This Row],[FECHA DE RECIBIDO]]-DATE(2023,8,30), "")</f>
        <v/>
      </c>
    </row>
    <row r="2711" spans="1:37" ht="16.05" customHeight="1">
      <c r="A2711" s="152" t="s">
        <v>4043</v>
      </c>
      <c r="B2711" s="153">
        <v>1030</v>
      </c>
      <c r="C2711" s="126" t="s">
        <v>292</v>
      </c>
      <c r="D2711">
        <v>1863</v>
      </c>
      <c r="E2711" s="126" t="s">
        <v>3369</v>
      </c>
      <c r="F2711" s="125" t="s">
        <v>1589</v>
      </c>
      <c r="G2711" s="125" t="s">
        <v>129</v>
      </c>
      <c r="H2711">
        <v>532</v>
      </c>
      <c r="I2711" s="125" t="s">
        <v>1546</v>
      </c>
      <c r="J2711" s="308" t="s">
        <v>214</v>
      </c>
      <c r="K2711" s="127" t="s">
        <v>3806</v>
      </c>
      <c r="L2711" s="153" t="s">
        <v>110</v>
      </c>
      <c r="M2711">
        <v>756</v>
      </c>
      <c r="N2711" s="123">
        <v>162</v>
      </c>
      <c r="O2711">
        <v>1837</v>
      </c>
      <c r="P2711" s="132" t="s">
        <v>77</v>
      </c>
      <c r="Q2711" s="132">
        <v>44100</v>
      </c>
      <c r="R2711" s="132">
        <v>7056</v>
      </c>
      <c r="S2711" s="132"/>
      <c r="T2711" s="156">
        <v>4704.01</v>
      </c>
      <c r="U2711" s="132">
        <v>4410</v>
      </c>
      <c r="V2711" s="132">
        <v>42041.99</v>
      </c>
      <c r="W2711">
        <v>304</v>
      </c>
      <c r="X2711" s="153" t="s">
        <v>1430</v>
      </c>
      <c r="Y2711" s="124" t="s">
        <v>55</v>
      </c>
      <c r="Z2711" s="308">
        <v>240</v>
      </c>
      <c r="AB2711" t="str">
        <f>IF(Table1[[#This Row],[TIPO2]]="costo", VLOOKUP(Table1[[#This Row],[PARTIDA PRESUPUESTAL]],'Cost Report'!G:G,1,0),"Balance")</f>
        <v>1401-020</v>
      </c>
      <c r="AC2711" s="118"/>
      <c r="AD2711" s="159">
        <f>+Table1[[#This Row],[SUBTOTAL]]+Table1[[#This Row],[IVA]]-Table1[[#This Row],[RET IVA]]-Table1[[#This Row],[RET ISR]]-Table1[[#This Row],[TOTAL]]</f>
        <v>0</v>
      </c>
      <c r="AE2711" s="152"/>
      <c r="AF2711" s="153"/>
      <c r="AG2711" s="126"/>
      <c r="AK2711" s="306" t="str">
        <f>IF(ISNUMBER(Table1[[#This Row],[FECHA DE RECIBIDO]]), Table1[[#This Row],[FECHA DE RECIBIDO]]-DATE(2023,8,30), "")</f>
        <v/>
      </c>
    </row>
    <row r="2712" spans="1:37" ht="16.05" customHeight="1">
      <c r="A2712" s="150" t="s">
        <v>4044</v>
      </c>
      <c r="B2712" s="151">
        <v>1031</v>
      </c>
      <c r="C2712" s="126" t="s">
        <v>920</v>
      </c>
      <c r="D2712">
        <v>1864</v>
      </c>
      <c r="E2712" s="126" t="s">
        <v>3371</v>
      </c>
      <c r="F2712" s="122" t="s">
        <v>1589</v>
      </c>
      <c r="G2712" s="122" t="s">
        <v>129</v>
      </c>
      <c r="H2712">
        <v>375</v>
      </c>
      <c r="I2712" s="122" t="s">
        <v>1546</v>
      </c>
      <c r="J2712" s="307" t="s">
        <v>214</v>
      </c>
      <c r="K2712" s="127" t="s">
        <v>3806</v>
      </c>
      <c r="L2712" s="151" t="s">
        <v>110</v>
      </c>
      <c r="M2712">
        <v>494</v>
      </c>
      <c r="N2712" s="123">
        <v>117</v>
      </c>
      <c r="O2712">
        <v>1838</v>
      </c>
      <c r="P2712" s="132" t="s">
        <v>77</v>
      </c>
      <c r="Q2712" s="131">
        <v>24000</v>
      </c>
      <c r="R2712" s="131">
        <v>3840</v>
      </c>
      <c r="S2712" s="131"/>
      <c r="T2712" s="155">
        <v>2560</v>
      </c>
      <c r="U2712" s="131">
        <v>2400</v>
      </c>
      <c r="V2712" s="131">
        <v>22880</v>
      </c>
      <c r="W2712">
        <v>213</v>
      </c>
      <c r="X2712" s="151" t="s">
        <v>1431</v>
      </c>
      <c r="Y2712" s="135" t="s">
        <v>55</v>
      </c>
      <c r="Z2712" s="307">
        <v>240</v>
      </c>
      <c r="AB2712" t="str">
        <f>IF(Table1[[#This Row],[TIPO2]]="costo", VLOOKUP(Table1[[#This Row],[PARTIDA PRESUPUESTAL]],'Cost Report'!G:G,1,0),"Balance")</f>
        <v>3220-003</v>
      </c>
      <c r="AC2712" s="118"/>
      <c r="AD2712" s="159">
        <f>+Table1[[#This Row],[SUBTOTAL]]+Table1[[#This Row],[IVA]]-Table1[[#This Row],[RET IVA]]-Table1[[#This Row],[RET ISR]]-Table1[[#This Row],[TOTAL]]</f>
        <v>0</v>
      </c>
      <c r="AE2712" s="150"/>
      <c r="AF2712" s="151"/>
      <c r="AG2712" s="126"/>
      <c r="AK2712" s="306" t="str">
        <f>IF(ISNUMBER(Table1[[#This Row],[FECHA DE RECIBIDO]]), Table1[[#This Row],[FECHA DE RECIBIDO]]-DATE(2023,8,30), "")</f>
        <v/>
      </c>
    </row>
    <row r="2713" spans="1:37" ht="16.05" customHeight="1">
      <c r="A2713" s="152" t="s">
        <v>4045</v>
      </c>
      <c r="B2713" s="153">
        <v>1032</v>
      </c>
      <c r="C2713" s="126" t="s">
        <v>3002</v>
      </c>
      <c r="D2713">
        <v>1865</v>
      </c>
      <c r="E2713" s="126" t="s">
        <v>3371</v>
      </c>
      <c r="F2713" s="125" t="s">
        <v>1589</v>
      </c>
      <c r="G2713" s="125" t="s">
        <v>129</v>
      </c>
      <c r="H2713">
        <v>375</v>
      </c>
      <c r="I2713" s="125" t="s">
        <v>1546</v>
      </c>
      <c r="J2713" s="308" t="s">
        <v>214</v>
      </c>
      <c r="K2713" s="127" t="s">
        <v>3806</v>
      </c>
      <c r="L2713" s="153" t="s">
        <v>110</v>
      </c>
      <c r="M2713">
        <v>494</v>
      </c>
      <c r="N2713" s="123">
        <v>117</v>
      </c>
      <c r="O2713">
        <v>1839</v>
      </c>
      <c r="P2713" s="132" t="s">
        <v>77</v>
      </c>
      <c r="Q2713" s="132">
        <v>2666</v>
      </c>
      <c r="R2713" s="132">
        <v>426.56</v>
      </c>
      <c r="S2713" s="132"/>
      <c r="T2713" s="156">
        <v>284.38</v>
      </c>
      <c r="U2713" s="132">
        <v>266.60000000000002</v>
      </c>
      <c r="V2713" s="132">
        <v>2541.58</v>
      </c>
      <c r="W2713">
        <v>213</v>
      </c>
      <c r="X2713" s="153" t="s">
        <v>1431</v>
      </c>
      <c r="Y2713" s="124" t="s">
        <v>55</v>
      </c>
      <c r="Z2713" s="308">
        <v>240</v>
      </c>
      <c r="AB2713" t="str">
        <f>IF(Table1[[#This Row],[TIPO2]]="costo", VLOOKUP(Table1[[#This Row],[PARTIDA PRESUPUESTAL]],'Cost Report'!G:G,1,0),"Balance")</f>
        <v>4180-003</v>
      </c>
      <c r="AC2713" s="118"/>
      <c r="AD2713" s="159">
        <f>+Table1[[#This Row],[SUBTOTAL]]+Table1[[#This Row],[IVA]]-Table1[[#This Row],[RET IVA]]-Table1[[#This Row],[RET ISR]]-Table1[[#This Row],[TOTAL]]</f>
        <v>0</v>
      </c>
      <c r="AE2713" s="152"/>
      <c r="AF2713" s="153"/>
      <c r="AG2713" s="126"/>
      <c r="AK2713" s="306" t="str">
        <f>IF(ISNUMBER(Table1[[#This Row],[FECHA DE RECIBIDO]]), Table1[[#This Row],[FECHA DE RECIBIDO]]-DATE(2023,8,30), "")</f>
        <v/>
      </c>
    </row>
    <row r="2714" spans="1:37" ht="16.05" customHeight="1">
      <c r="A2714" s="150" t="s">
        <v>4046</v>
      </c>
      <c r="B2714" s="151">
        <v>1033</v>
      </c>
      <c r="C2714" s="126" t="s">
        <v>922</v>
      </c>
      <c r="D2714">
        <v>1866</v>
      </c>
      <c r="E2714" s="126" t="s">
        <v>4047</v>
      </c>
      <c r="F2714" s="122" t="s">
        <v>1593</v>
      </c>
      <c r="G2714" s="122" t="s">
        <v>109</v>
      </c>
      <c r="H2714">
        <v>533</v>
      </c>
      <c r="I2714" s="122" t="s">
        <v>1546</v>
      </c>
      <c r="J2714" s="307" t="s">
        <v>214</v>
      </c>
      <c r="K2714" s="127" t="s">
        <v>3806</v>
      </c>
      <c r="L2714" s="151" t="s">
        <v>110</v>
      </c>
      <c r="M2714">
        <v>757</v>
      </c>
      <c r="N2714" s="123">
        <v>163</v>
      </c>
      <c r="O2714">
        <v>1840</v>
      </c>
      <c r="P2714" s="132" t="s">
        <v>77</v>
      </c>
      <c r="Q2714" s="131">
        <v>12000</v>
      </c>
      <c r="R2714" s="131">
        <v>1920</v>
      </c>
      <c r="S2714" s="131"/>
      <c r="T2714" s="155">
        <v>1280</v>
      </c>
      <c r="U2714" s="131">
        <v>150</v>
      </c>
      <c r="V2714" s="131">
        <v>12490</v>
      </c>
      <c r="W2714">
        <v>305</v>
      </c>
      <c r="X2714" s="151" t="s">
        <v>4048</v>
      </c>
      <c r="Y2714" s="135" t="s">
        <v>55</v>
      </c>
      <c r="Z2714" s="307">
        <v>240</v>
      </c>
      <c r="AB2714" t="str">
        <f>IF(Table1[[#This Row],[TIPO2]]="costo", VLOOKUP(Table1[[#This Row],[PARTIDA PRESUPUESTAL]],'Cost Report'!G:G,1,0),"Balance")</f>
        <v>3220-007</v>
      </c>
      <c r="AC2714" s="118"/>
      <c r="AD2714" s="159">
        <f>+Table1[[#This Row],[SUBTOTAL]]+Table1[[#This Row],[IVA]]-Table1[[#This Row],[RET IVA]]-Table1[[#This Row],[RET ISR]]-Table1[[#This Row],[TOTAL]]</f>
        <v>0</v>
      </c>
      <c r="AE2714" s="150"/>
      <c r="AF2714" s="151"/>
      <c r="AG2714" s="126"/>
      <c r="AK2714" s="306" t="str">
        <f>IF(ISNUMBER(Table1[[#This Row],[FECHA DE RECIBIDO]]), Table1[[#This Row],[FECHA DE RECIBIDO]]-DATE(2023,8,30), "")</f>
        <v/>
      </c>
    </row>
    <row r="2715" spans="1:37" ht="16.05" customHeight="1">
      <c r="A2715" s="152" t="s">
        <v>4049</v>
      </c>
      <c r="B2715" s="153">
        <v>1034</v>
      </c>
      <c r="C2715" s="126" t="s">
        <v>922</v>
      </c>
      <c r="D2715">
        <v>1867</v>
      </c>
      <c r="E2715" s="126" t="s">
        <v>4050</v>
      </c>
      <c r="F2715" s="125" t="s">
        <v>1593</v>
      </c>
      <c r="G2715" s="125" t="s">
        <v>109</v>
      </c>
      <c r="H2715">
        <v>534</v>
      </c>
      <c r="I2715" s="125" t="s">
        <v>1546</v>
      </c>
      <c r="J2715" s="308" t="s">
        <v>214</v>
      </c>
      <c r="K2715" s="127" t="s">
        <v>3806</v>
      </c>
      <c r="L2715" s="153" t="s">
        <v>110</v>
      </c>
      <c r="M2715">
        <v>758</v>
      </c>
      <c r="N2715" s="123">
        <v>164</v>
      </c>
      <c r="O2715">
        <v>1841</v>
      </c>
      <c r="P2715" s="132" t="s">
        <v>77</v>
      </c>
      <c r="Q2715" s="132">
        <v>13450.76</v>
      </c>
      <c r="R2715" s="132">
        <v>2152.12</v>
      </c>
      <c r="S2715" s="132"/>
      <c r="T2715" s="156">
        <v>1434.75</v>
      </c>
      <c r="U2715" s="132">
        <v>168.13</v>
      </c>
      <c r="V2715" s="132">
        <v>14000.000000000002</v>
      </c>
      <c r="W2715">
        <v>306</v>
      </c>
      <c r="X2715" s="153" t="s">
        <v>1429</v>
      </c>
      <c r="Y2715" s="124" t="s">
        <v>55</v>
      </c>
      <c r="Z2715" s="308">
        <v>240</v>
      </c>
      <c r="AB2715" t="str">
        <f>IF(Table1[[#This Row],[TIPO2]]="costo", VLOOKUP(Table1[[#This Row],[PARTIDA PRESUPUESTAL]],'Cost Report'!G:G,1,0),"Balance")</f>
        <v>3220-007</v>
      </c>
      <c r="AC2715" s="118"/>
      <c r="AD2715" s="159">
        <f>+Table1[[#This Row],[SUBTOTAL]]+Table1[[#This Row],[IVA]]-Table1[[#This Row],[RET IVA]]-Table1[[#This Row],[RET ISR]]-Table1[[#This Row],[TOTAL]]</f>
        <v>0</v>
      </c>
      <c r="AE2715" s="152"/>
      <c r="AF2715" s="153"/>
      <c r="AG2715" s="126"/>
      <c r="AK2715" s="306" t="str">
        <f>IF(ISNUMBER(Table1[[#This Row],[FECHA DE RECIBIDO]]), Table1[[#This Row],[FECHA DE RECIBIDO]]-DATE(2023,8,30), "")</f>
        <v/>
      </c>
    </row>
    <row r="2716" spans="1:37" ht="16.05" customHeight="1">
      <c r="A2716" s="150" t="s">
        <v>4051</v>
      </c>
      <c r="B2716" s="151">
        <v>1035</v>
      </c>
      <c r="C2716" s="126" t="s">
        <v>922</v>
      </c>
      <c r="D2716">
        <v>1868</v>
      </c>
      <c r="E2716" s="126" t="s">
        <v>3645</v>
      </c>
      <c r="F2716" s="122" t="s">
        <v>1589</v>
      </c>
      <c r="G2716" s="122" t="s">
        <v>129</v>
      </c>
      <c r="H2716">
        <v>535</v>
      </c>
      <c r="I2716" s="122" t="s">
        <v>1546</v>
      </c>
      <c r="J2716" s="307" t="s">
        <v>214</v>
      </c>
      <c r="K2716" s="127" t="s">
        <v>3806</v>
      </c>
      <c r="L2716" s="151" t="s">
        <v>110</v>
      </c>
      <c r="M2716">
        <v>759</v>
      </c>
      <c r="N2716" s="123">
        <v>165</v>
      </c>
      <c r="O2716">
        <v>1842</v>
      </c>
      <c r="P2716" s="132" t="s">
        <v>77</v>
      </c>
      <c r="Q2716" s="131">
        <v>16000</v>
      </c>
      <c r="R2716" s="131">
        <v>2560</v>
      </c>
      <c r="S2716" s="131"/>
      <c r="T2716" s="155">
        <v>1706.68</v>
      </c>
      <c r="U2716" s="131">
        <v>1600</v>
      </c>
      <c r="V2716" s="131">
        <v>15253.32</v>
      </c>
      <c r="W2716">
        <v>307</v>
      </c>
      <c r="X2716" s="151" t="s">
        <v>1434</v>
      </c>
      <c r="Y2716" s="135" t="s">
        <v>55</v>
      </c>
      <c r="Z2716" s="307">
        <v>240</v>
      </c>
      <c r="AB2716" t="str">
        <f>IF(Table1[[#This Row],[TIPO2]]="costo", VLOOKUP(Table1[[#This Row],[PARTIDA PRESUPUESTAL]],'Cost Report'!G:G,1,0),"Balance")</f>
        <v>3220-007</v>
      </c>
      <c r="AC2716" s="118"/>
      <c r="AD2716" s="159">
        <f>+Table1[[#This Row],[SUBTOTAL]]+Table1[[#This Row],[IVA]]-Table1[[#This Row],[RET IVA]]-Table1[[#This Row],[RET ISR]]-Table1[[#This Row],[TOTAL]]</f>
        <v>0</v>
      </c>
      <c r="AE2716" s="150"/>
      <c r="AF2716" s="151"/>
      <c r="AG2716" s="126"/>
      <c r="AK2716" s="306" t="str">
        <f>IF(ISNUMBER(Table1[[#This Row],[FECHA DE RECIBIDO]]), Table1[[#This Row],[FECHA DE RECIBIDO]]-DATE(2023,8,30), "")</f>
        <v/>
      </c>
    </row>
    <row r="2717" spans="1:37" ht="16.05" customHeight="1">
      <c r="A2717" s="152" t="s">
        <v>4052</v>
      </c>
      <c r="B2717" s="153">
        <v>1036</v>
      </c>
      <c r="C2717" s="126" t="s">
        <v>365</v>
      </c>
      <c r="D2717">
        <v>1869</v>
      </c>
      <c r="E2717" s="126" t="s">
        <v>4053</v>
      </c>
      <c r="F2717" s="125" t="s">
        <v>1589</v>
      </c>
      <c r="G2717" s="125" t="s">
        <v>129</v>
      </c>
      <c r="H2717">
        <v>536</v>
      </c>
      <c r="I2717" s="125" t="s">
        <v>1546</v>
      </c>
      <c r="J2717" s="308" t="s">
        <v>214</v>
      </c>
      <c r="K2717" s="127" t="s">
        <v>3806</v>
      </c>
      <c r="L2717" s="153" t="s">
        <v>110</v>
      </c>
      <c r="M2717">
        <v>760</v>
      </c>
      <c r="N2717" s="123">
        <v>166</v>
      </c>
      <c r="O2717">
        <v>1843</v>
      </c>
      <c r="P2717" s="132" t="s">
        <v>77</v>
      </c>
      <c r="Q2717" s="132">
        <v>21000</v>
      </c>
      <c r="R2717" s="132">
        <v>3360</v>
      </c>
      <c r="S2717" s="132"/>
      <c r="T2717" s="156">
        <v>2240.0100000000002</v>
      </c>
      <c r="U2717" s="132">
        <v>2100</v>
      </c>
      <c r="V2717" s="132">
        <v>20019.989999999998</v>
      </c>
      <c r="W2717">
        <v>308</v>
      </c>
      <c r="X2717" s="153" t="s">
        <v>1429</v>
      </c>
      <c r="Y2717" s="124" t="s">
        <v>55</v>
      </c>
      <c r="Z2717" s="308">
        <v>240</v>
      </c>
      <c r="AB2717" t="str">
        <f>IF(Table1[[#This Row],[TIPO2]]="costo", VLOOKUP(Table1[[#This Row],[PARTIDA PRESUPUESTAL]],'Cost Report'!G:G,1,0),"Balance")</f>
        <v>1410-005</v>
      </c>
      <c r="AC2717" s="118"/>
      <c r="AD2717" s="159">
        <f>+Table1[[#This Row],[SUBTOTAL]]+Table1[[#This Row],[IVA]]-Table1[[#This Row],[RET IVA]]-Table1[[#This Row],[RET ISR]]-Table1[[#This Row],[TOTAL]]</f>
        <v>0</v>
      </c>
      <c r="AE2717" s="152"/>
      <c r="AF2717" s="153"/>
      <c r="AG2717" s="126"/>
      <c r="AK2717" s="306" t="str">
        <f>IF(ISNUMBER(Table1[[#This Row],[FECHA DE RECIBIDO]]), Table1[[#This Row],[FECHA DE RECIBIDO]]-DATE(2023,8,30), "")</f>
        <v/>
      </c>
    </row>
    <row r="2718" spans="1:37" ht="16.05" customHeight="1">
      <c r="A2718" s="150" t="s">
        <v>4054</v>
      </c>
      <c r="B2718" s="151">
        <v>1037</v>
      </c>
      <c r="C2718" s="126" t="s">
        <v>365</v>
      </c>
      <c r="D2718">
        <v>1870</v>
      </c>
      <c r="E2718" s="126" t="s">
        <v>4053</v>
      </c>
      <c r="F2718" s="122" t="s">
        <v>1589</v>
      </c>
      <c r="G2718" s="122" t="s">
        <v>129</v>
      </c>
      <c r="H2718">
        <v>536</v>
      </c>
      <c r="I2718" s="122" t="s">
        <v>1546</v>
      </c>
      <c r="J2718" s="307" t="s">
        <v>214</v>
      </c>
      <c r="K2718" s="127" t="s">
        <v>3806</v>
      </c>
      <c r="L2718" s="151" t="s">
        <v>110</v>
      </c>
      <c r="M2718">
        <v>760</v>
      </c>
      <c r="N2718" s="123">
        <v>166</v>
      </c>
      <c r="O2718">
        <v>1844</v>
      </c>
      <c r="P2718" s="132" t="s">
        <v>77</v>
      </c>
      <c r="Q2718" s="131">
        <v>21000</v>
      </c>
      <c r="R2718" s="131">
        <v>3360</v>
      </c>
      <c r="S2718" s="131"/>
      <c r="T2718" s="155">
        <v>2240.0100000000002</v>
      </c>
      <c r="U2718" s="131">
        <v>2100</v>
      </c>
      <c r="V2718" s="131">
        <v>20019.989999999998</v>
      </c>
      <c r="W2718">
        <v>308</v>
      </c>
      <c r="X2718" s="151" t="s">
        <v>1429</v>
      </c>
      <c r="Y2718" s="135" t="s">
        <v>55</v>
      </c>
      <c r="Z2718" s="307">
        <v>240</v>
      </c>
      <c r="AB2718" t="str">
        <f>IF(Table1[[#This Row],[TIPO2]]="costo", VLOOKUP(Table1[[#This Row],[PARTIDA PRESUPUESTAL]],'Cost Report'!G:G,1,0),"Balance")</f>
        <v>1410-005</v>
      </c>
      <c r="AC2718" s="118"/>
      <c r="AD2718" s="159">
        <f>+Table1[[#This Row],[SUBTOTAL]]+Table1[[#This Row],[IVA]]-Table1[[#This Row],[RET IVA]]-Table1[[#This Row],[RET ISR]]-Table1[[#This Row],[TOTAL]]</f>
        <v>0</v>
      </c>
      <c r="AE2718" s="150"/>
      <c r="AF2718" s="151"/>
      <c r="AG2718" s="126"/>
      <c r="AK2718" s="306" t="str">
        <f>IF(ISNUMBER(Table1[[#This Row],[FECHA DE RECIBIDO]]), Table1[[#This Row],[FECHA DE RECIBIDO]]-DATE(2023,8,30), "")</f>
        <v/>
      </c>
    </row>
    <row r="2719" spans="1:37" ht="16.05" customHeight="1">
      <c r="A2719" s="152" t="s">
        <v>4055</v>
      </c>
      <c r="B2719" s="153">
        <v>1038</v>
      </c>
      <c r="C2719" s="126" t="s">
        <v>365</v>
      </c>
      <c r="D2719">
        <v>1871</v>
      </c>
      <c r="E2719" s="126" t="s">
        <v>4053</v>
      </c>
      <c r="F2719" s="125" t="s">
        <v>1589</v>
      </c>
      <c r="G2719" s="125" t="s">
        <v>129</v>
      </c>
      <c r="H2719">
        <v>536</v>
      </c>
      <c r="I2719" s="125" t="s">
        <v>1546</v>
      </c>
      <c r="J2719" s="308" t="s">
        <v>214</v>
      </c>
      <c r="K2719" s="127" t="s">
        <v>3806</v>
      </c>
      <c r="L2719" s="153" t="s">
        <v>110</v>
      </c>
      <c r="M2719">
        <v>760</v>
      </c>
      <c r="N2719" s="123">
        <v>166</v>
      </c>
      <c r="O2719">
        <v>1845</v>
      </c>
      <c r="P2719" s="132" t="s">
        <v>77</v>
      </c>
      <c r="Q2719" s="132">
        <v>31000</v>
      </c>
      <c r="R2719" s="132">
        <v>4960</v>
      </c>
      <c r="S2719" s="132"/>
      <c r="T2719" s="156">
        <v>3306.68</v>
      </c>
      <c r="U2719" s="132">
        <v>3100</v>
      </c>
      <c r="V2719" s="132">
        <v>29553.32</v>
      </c>
      <c r="W2719">
        <v>308</v>
      </c>
      <c r="X2719" s="153" t="s">
        <v>1429</v>
      </c>
      <c r="Y2719" s="124" t="s">
        <v>55</v>
      </c>
      <c r="Z2719" s="308">
        <v>240</v>
      </c>
      <c r="AB2719" t="str">
        <f>IF(Table1[[#This Row],[TIPO2]]="costo", VLOOKUP(Table1[[#This Row],[PARTIDA PRESUPUESTAL]],'Cost Report'!G:G,1,0),"Balance")</f>
        <v>1410-005</v>
      </c>
      <c r="AC2719" s="118"/>
      <c r="AD2719" s="159">
        <f>+Table1[[#This Row],[SUBTOTAL]]+Table1[[#This Row],[IVA]]-Table1[[#This Row],[RET IVA]]-Table1[[#This Row],[RET ISR]]-Table1[[#This Row],[TOTAL]]</f>
        <v>0</v>
      </c>
      <c r="AE2719" s="152"/>
      <c r="AF2719" s="153"/>
      <c r="AG2719" s="126"/>
      <c r="AK2719" s="306" t="str">
        <f>IF(ISNUMBER(Table1[[#This Row],[FECHA DE RECIBIDO]]), Table1[[#This Row],[FECHA DE RECIBIDO]]-DATE(2023,8,30), "")</f>
        <v/>
      </c>
    </row>
    <row r="2720" spans="1:37" ht="16.05" customHeight="1">
      <c r="A2720" s="150" t="s">
        <v>4056</v>
      </c>
      <c r="B2720" s="151">
        <v>1039</v>
      </c>
      <c r="C2720" s="126" t="s">
        <v>365</v>
      </c>
      <c r="D2720">
        <v>1872</v>
      </c>
      <c r="E2720" s="126" t="s">
        <v>4053</v>
      </c>
      <c r="F2720" s="122" t="s">
        <v>1589</v>
      </c>
      <c r="G2720" s="122" t="s">
        <v>129</v>
      </c>
      <c r="H2720">
        <v>536</v>
      </c>
      <c r="I2720" s="122" t="s">
        <v>1546</v>
      </c>
      <c r="J2720" s="307" t="s">
        <v>214</v>
      </c>
      <c r="K2720" s="127" t="s">
        <v>3806</v>
      </c>
      <c r="L2720" s="151" t="s">
        <v>110</v>
      </c>
      <c r="M2720">
        <v>760</v>
      </c>
      <c r="N2720" s="123">
        <v>166</v>
      </c>
      <c r="O2720">
        <v>1846</v>
      </c>
      <c r="P2720" s="132" t="s">
        <v>77</v>
      </c>
      <c r="Q2720" s="131">
        <v>2718</v>
      </c>
      <c r="R2720" s="131">
        <v>434.88</v>
      </c>
      <c r="S2720" s="131"/>
      <c r="T2720" s="155">
        <v>289.92</v>
      </c>
      <c r="U2720" s="131">
        <v>271.8</v>
      </c>
      <c r="V2720" s="131">
        <v>2591.16</v>
      </c>
      <c r="W2720">
        <v>308</v>
      </c>
      <c r="X2720" s="151" t="s">
        <v>1429</v>
      </c>
      <c r="Y2720" s="135" t="s">
        <v>55</v>
      </c>
      <c r="Z2720" s="307">
        <v>240</v>
      </c>
      <c r="AB2720" t="str">
        <f>IF(Table1[[#This Row],[TIPO2]]="costo", VLOOKUP(Table1[[#This Row],[PARTIDA PRESUPUESTAL]],'Cost Report'!G:G,1,0),"Balance")</f>
        <v>1410-005</v>
      </c>
      <c r="AC2720" s="118"/>
      <c r="AD2720" s="159">
        <f>+Table1[[#This Row],[SUBTOTAL]]+Table1[[#This Row],[IVA]]-Table1[[#This Row],[RET IVA]]-Table1[[#This Row],[RET ISR]]-Table1[[#This Row],[TOTAL]]</f>
        <v>0</v>
      </c>
      <c r="AE2720" s="150"/>
      <c r="AF2720" s="151"/>
      <c r="AG2720" s="126"/>
      <c r="AK2720" s="306" t="str">
        <f>IF(ISNUMBER(Table1[[#This Row],[FECHA DE RECIBIDO]]), Table1[[#This Row],[FECHA DE RECIBIDO]]-DATE(2023,8,30), "")</f>
        <v/>
      </c>
    </row>
    <row r="2721" spans="1:37" ht="16.05" customHeight="1">
      <c r="A2721" s="152" t="s">
        <v>4056</v>
      </c>
      <c r="B2721" s="153">
        <v>1039</v>
      </c>
      <c r="C2721" s="126" t="s">
        <v>365</v>
      </c>
      <c r="D2721">
        <v>1872</v>
      </c>
      <c r="E2721" s="126" t="s">
        <v>4053</v>
      </c>
      <c r="F2721" s="125" t="s">
        <v>1589</v>
      </c>
      <c r="G2721" s="125" t="s">
        <v>129</v>
      </c>
      <c r="H2721">
        <v>536</v>
      </c>
      <c r="I2721" s="125" t="s">
        <v>1546</v>
      </c>
      <c r="J2721" s="308" t="s">
        <v>214</v>
      </c>
      <c r="K2721" s="127" t="s">
        <v>3806</v>
      </c>
      <c r="L2721" s="153" t="s">
        <v>110</v>
      </c>
      <c r="M2721">
        <v>760</v>
      </c>
      <c r="N2721" s="123">
        <v>166</v>
      </c>
      <c r="O2721">
        <v>1846</v>
      </c>
      <c r="P2721" s="132" t="s">
        <v>77</v>
      </c>
      <c r="Q2721" s="132">
        <v>17436</v>
      </c>
      <c r="R2721" s="132">
        <v>2789.76</v>
      </c>
      <c r="S2721" s="132"/>
      <c r="T2721" s="156">
        <v>1859.85</v>
      </c>
      <c r="U2721" s="132">
        <v>1743.6</v>
      </c>
      <c r="V2721" s="132">
        <v>16622.310000000005</v>
      </c>
      <c r="W2721">
        <v>308</v>
      </c>
      <c r="X2721" s="153" t="s">
        <v>1429</v>
      </c>
      <c r="Y2721" s="124" t="s">
        <v>55</v>
      </c>
      <c r="Z2721" s="308">
        <v>240</v>
      </c>
      <c r="AB2721" t="str">
        <f>IF(Table1[[#This Row],[TIPO2]]="costo", VLOOKUP(Table1[[#This Row],[PARTIDA PRESUPUESTAL]],'Cost Report'!G:G,1,0),"Balance")</f>
        <v>1410-005</v>
      </c>
      <c r="AC2721" s="118"/>
      <c r="AD2721" s="159">
        <f>+Table1[[#This Row],[SUBTOTAL]]+Table1[[#This Row],[IVA]]-Table1[[#This Row],[RET IVA]]-Table1[[#This Row],[RET ISR]]-Table1[[#This Row],[TOTAL]]</f>
        <v>0</v>
      </c>
      <c r="AE2721" s="152"/>
      <c r="AF2721" s="153"/>
      <c r="AG2721" s="126"/>
      <c r="AK2721" s="306" t="str">
        <f>IF(ISNUMBER(Table1[[#This Row],[FECHA DE RECIBIDO]]), Table1[[#This Row],[FECHA DE RECIBIDO]]-DATE(2023,8,30), "")</f>
        <v/>
      </c>
    </row>
    <row r="2722" spans="1:37" ht="16.05" customHeight="1">
      <c r="A2722" s="150" t="s">
        <v>4057</v>
      </c>
      <c r="B2722" s="151">
        <v>1040</v>
      </c>
      <c r="C2722" s="126" t="s">
        <v>368</v>
      </c>
      <c r="D2722">
        <v>1873</v>
      </c>
      <c r="E2722" s="126" t="s">
        <v>4053</v>
      </c>
      <c r="F2722" s="122" t="s">
        <v>1589</v>
      </c>
      <c r="G2722" s="122" t="s">
        <v>129</v>
      </c>
      <c r="H2722">
        <v>536</v>
      </c>
      <c r="I2722" s="122" t="s">
        <v>1546</v>
      </c>
      <c r="J2722" s="307" t="s">
        <v>214</v>
      </c>
      <c r="K2722" s="127" t="s">
        <v>3806</v>
      </c>
      <c r="L2722" s="151" t="s">
        <v>110</v>
      </c>
      <c r="M2722">
        <v>760</v>
      </c>
      <c r="N2722" s="123">
        <v>166</v>
      </c>
      <c r="O2722">
        <v>1847</v>
      </c>
      <c r="P2722" s="132" t="s">
        <v>77</v>
      </c>
      <c r="Q2722" s="131">
        <v>28872</v>
      </c>
      <c r="R2722" s="131">
        <v>4619.5200000000004</v>
      </c>
      <c r="S2722" s="131"/>
      <c r="T2722" s="155">
        <v>3079.69</v>
      </c>
      <c r="U2722" s="131">
        <v>2887.2</v>
      </c>
      <c r="V2722" s="131">
        <v>27524.630000000005</v>
      </c>
      <c r="W2722">
        <v>308</v>
      </c>
      <c r="X2722" s="151" t="s">
        <v>1429</v>
      </c>
      <c r="Y2722" s="135" t="s">
        <v>55</v>
      </c>
      <c r="Z2722" s="307">
        <v>240</v>
      </c>
      <c r="AB2722" t="str">
        <f>IF(Table1[[#This Row],[TIPO2]]="costo", VLOOKUP(Table1[[#This Row],[PARTIDA PRESUPUESTAL]],'Cost Report'!G:G,1,0),"Balance")</f>
        <v>1410-008</v>
      </c>
      <c r="AC2722" s="118"/>
      <c r="AD2722" s="159">
        <f>+Table1[[#This Row],[SUBTOTAL]]+Table1[[#This Row],[IVA]]-Table1[[#This Row],[RET IVA]]-Table1[[#This Row],[RET ISR]]-Table1[[#This Row],[TOTAL]]</f>
        <v>0</v>
      </c>
      <c r="AE2722" s="150"/>
      <c r="AF2722" s="151"/>
      <c r="AG2722" s="126"/>
      <c r="AK2722" s="306" t="str">
        <f>IF(ISNUMBER(Table1[[#This Row],[FECHA DE RECIBIDO]]), Table1[[#This Row],[FECHA DE RECIBIDO]]-DATE(2023,8,30), "")</f>
        <v/>
      </c>
    </row>
    <row r="2723" spans="1:37" ht="16.05" customHeight="1">
      <c r="A2723" s="152" t="s">
        <v>4058</v>
      </c>
      <c r="B2723" s="153">
        <v>1041</v>
      </c>
      <c r="C2723" s="126" t="s">
        <v>366</v>
      </c>
      <c r="D2723">
        <v>1874</v>
      </c>
      <c r="E2723" s="126" t="s">
        <v>4053</v>
      </c>
      <c r="F2723" s="125" t="s">
        <v>1589</v>
      </c>
      <c r="G2723" s="125" t="s">
        <v>129</v>
      </c>
      <c r="H2723">
        <v>536</v>
      </c>
      <c r="I2723" s="125" t="s">
        <v>1546</v>
      </c>
      <c r="J2723" s="308" t="s">
        <v>214</v>
      </c>
      <c r="K2723" s="127" t="s">
        <v>3806</v>
      </c>
      <c r="L2723" s="153" t="s">
        <v>110</v>
      </c>
      <c r="M2723">
        <v>760</v>
      </c>
      <c r="N2723" s="123">
        <v>166</v>
      </c>
      <c r="O2723">
        <v>1848</v>
      </c>
      <c r="P2723" s="132" t="s">
        <v>77</v>
      </c>
      <c r="Q2723" s="132">
        <v>5436</v>
      </c>
      <c r="R2723" s="132">
        <v>869.76</v>
      </c>
      <c r="S2723" s="132"/>
      <c r="T2723" s="156">
        <v>579.84</v>
      </c>
      <c r="U2723" s="132">
        <v>543.6</v>
      </c>
      <c r="V2723" s="132">
        <v>5182.32</v>
      </c>
      <c r="W2723">
        <v>308</v>
      </c>
      <c r="X2723" s="153" t="s">
        <v>1429</v>
      </c>
      <c r="Y2723" s="124" t="s">
        <v>55</v>
      </c>
      <c r="Z2723" s="308">
        <v>240</v>
      </c>
      <c r="AB2723" t="str">
        <f>IF(Table1[[#This Row],[TIPO2]]="costo", VLOOKUP(Table1[[#This Row],[PARTIDA PRESUPUESTAL]],'Cost Report'!G:G,1,0),"Balance")</f>
        <v>1410-006</v>
      </c>
      <c r="AC2723" s="118"/>
      <c r="AD2723" s="159">
        <f>+Table1[[#This Row],[SUBTOTAL]]+Table1[[#This Row],[IVA]]-Table1[[#This Row],[RET IVA]]-Table1[[#This Row],[RET ISR]]-Table1[[#This Row],[TOTAL]]</f>
        <v>0</v>
      </c>
      <c r="AE2723" s="152"/>
      <c r="AF2723" s="153"/>
      <c r="AG2723" s="126"/>
      <c r="AK2723" s="306" t="str">
        <f>IF(ISNUMBER(Table1[[#This Row],[FECHA DE RECIBIDO]]), Table1[[#This Row],[FECHA DE RECIBIDO]]-DATE(2023,8,30), "")</f>
        <v/>
      </c>
    </row>
    <row r="2724" spans="1:37" ht="16.05" customHeight="1">
      <c r="A2724" s="150" t="s">
        <v>4058</v>
      </c>
      <c r="B2724" s="151">
        <v>1041</v>
      </c>
      <c r="C2724" s="126" t="s">
        <v>368</v>
      </c>
      <c r="D2724">
        <v>1874</v>
      </c>
      <c r="E2724" s="126" t="s">
        <v>4053</v>
      </c>
      <c r="F2724" s="122" t="s">
        <v>1589</v>
      </c>
      <c r="G2724" s="122" t="s">
        <v>129</v>
      </c>
      <c r="H2724">
        <v>536</v>
      </c>
      <c r="I2724" s="122" t="s">
        <v>1546</v>
      </c>
      <c r="J2724" s="307" t="s">
        <v>214</v>
      </c>
      <c r="K2724" s="127" t="s">
        <v>3806</v>
      </c>
      <c r="L2724" s="151" t="s">
        <v>110</v>
      </c>
      <c r="M2724">
        <v>760</v>
      </c>
      <c r="N2724" s="123">
        <v>166</v>
      </c>
      <c r="O2724">
        <v>1848</v>
      </c>
      <c r="P2724" s="132" t="s">
        <v>77</v>
      </c>
      <c r="Q2724" s="131">
        <v>8718</v>
      </c>
      <c r="R2724" s="131">
        <v>1394.88</v>
      </c>
      <c r="S2724" s="131"/>
      <c r="T2724" s="155">
        <v>929.92</v>
      </c>
      <c r="U2724" s="131">
        <v>871.8</v>
      </c>
      <c r="V2724" s="131">
        <v>8311.1600000000017</v>
      </c>
      <c r="W2724">
        <v>308</v>
      </c>
      <c r="X2724" s="151" t="s">
        <v>1429</v>
      </c>
      <c r="Y2724" s="135" t="s">
        <v>55</v>
      </c>
      <c r="Z2724" s="307">
        <v>240</v>
      </c>
      <c r="AB2724" t="str">
        <f>IF(Table1[[#This Row],[TIPO2]]="costo", VLOOKUP(Table1[[#This Row],[PARTIDA PRESUPUESTAL]],'Cost Report'!G:G,1,0),"Balance")</f>
        <v>1410-008</v>
      </c>
      <c r="AC2724" s="118"/>
      <c r="AD2724" s="159">
        <f>+Table1[[#This Row],[SUBTOTAL]]+Table1[[#This Row],[IVA]]-Table1[[#This Row],[RET IVA]]-Table1[[#This Row],[RET ISR]]-Table1[[#This Row],[TOTAL]]</f>
        <v>0</v>
      </c>
      <c r="AE2724" s="150"/>
      <c r="AF2724" s="151"/>
      <c r="AG2724" s="126"/>
      <c r="AK2724" s="306" t="str">
        <f>IF(ISNUMBER(Table1[[#This Row],[FECHA DE RECIBIDO]]), Table1[[#This Row],[FECHA DE RECIBIDO]]-DATE(2023,8,30), "")</f>
        <v/>
      </c>
    </row>
    <row r="2725" spans="1:37" ht="16.05" customHeight="1">
      <c r="A2725" s="152" t="s">
        <v>4059</v>
      </c>
      <c r="B2725" s="153">
        <v>1042</v>
      </c>
      <c r="C2725" s="126" t="s">
        <v>3002</v>
      </c>
      <c r="D2725">
        <v>1875</v>
      </c>
      <c r="E2725" s="126" t="s">
        <v>3987</v>
      </c>
      <c r="F2725" s="125" t="s">
        <v>1589</v>
      </c>
      <c r="G2725" s="125" t="s">
        <v>129</v>
      </c>
      <c r="H2725">
        <v>537</v>
      </c>
      <c r="I2725" s="125" t="s">
        <v>1546</v>
      </c>
      <c r="J2725" s="308" t="s">
        <v>214</v>
      </c>
      <c r="K2725" s="127" t="s">
        <v>3806</v>
      </c>
      <c r="L2725" s="153" t="s">
        <v>110</v>
      </c>
      <c r="M2725">
        <v>761</v>
      </c>
      <c r="N2725" s="123">
        <v>167</v>
      </c>
      <c r="O2725">
        <v>1849</v>
      </c>
      <c r="P2725" s="132" t="s">
        <v>77</v>
      </c>
      <c r="Q2725" s="132">
        <v>3750</v>
      </c>
      <c r="R2725" s="132">
        <v>600</v>
      </c>
      <c r="S2725" s="132"/>
      <c r="T2725" s="156">
        <v>400</v>
      </c>
      <c r="U2725" s="132">
        <v>375</v>
      </c>
      <c r="V2725" s="132">
        <v>3575</v>
      </c>
      <c r="W2725">
        <v>309</v>
      </c>
      <c r="X2725" s="153" t="s">
        <v>1429</v>
      </c>
      <c r="Y2725" s="124" t="s">
        <v>55</v>
      </c>
      <c r="Z2725" s="308">
        <v>240</v>
      </c>
      <c r="AB2725" t="str">
        <f>IF(Table1[[#This Row],[TIPO2]]="costo", VLOOKUP(Table1[[#This Row],[PARTIDA PRESUPUESTAL]],'Cost Report'!G:G,1,0),"Balance")</f>
        <v>4180-003</v>
      </c>
      <c r="AC2725" s="118"/>
      <c r="AD2725" s="159">
        <f>+Table1[[#This Row],[SUBTOTAL]]+Table1[[#This Row],[IVA]]-Table1[[#This Row],[RET IVA]]-Table1[[#This Row],[RET ISR]]-Table1[[#This Row],[TOTAL]]</f>
        <v>0</v>
      </c>
      <c r="AE2725" s="152"/>
      <c r="AF2725" s="153"/>
      <c r="AG2725" s="126"/>
      <c r="AK2725" s="306" t="str">
        <f>IF(ISNUMBER(Table1[[#This Row],[FECHA DE RECIBIDO]]), Table1[[#This Row],[FECHA DE RECIBIDO]]-DATE(2023,8,30), "")</f>
        <v/>
      </c>
    </row>
    <row r="2726" spans="1:37" ht="16.05" customHeight="1">
      <c r="A2726" s="150" t="s">
        <v>4060</v>
      </c>
      <c r="B2726" s="151">
        <v>1043</v>
      </c>
      <c r="C2726" s="126" t="s">
        <v>1843</v>
      </c>
      <c r="D2726">
        <v>1876</v>
      </c>
      <c r="E2726" s="126" t="s">
        <v>3987</v>
      </c>
      <c r="F2726" s="122" t="s">
        <v>1589</v>
      </c>
      <c r="G2726" s="122" t="s">
        <v>129</v>
      </c>
      <c r="H2726">
        <v>537</v>
      </c>
      <c r="I2726" s="122" t="s">
        <v>1546</v>
      </c>
      <c r="J2726" s="307" t="s">
        <v>214</v>
      </c>
      <c r="K2726" s="127" t="s">
        <v>3806</v>
      </c>
      <c r="L2726" s="151" t="s">
        <v>110</v>
      </c>
      <c r="M2726">
        <v>761</v>
      </c>
      <c r="N2726" s="123">
        <v>167</v>
      </c>
      <c r="O2726">
        <v>1850</v>
      </c>
      <c r="P2726" s="132" t="s">
        <v>77</v>
      </c>
      <c r="Q2726" s="131">
        <v>3750</v>
      </c>
      <c r="R2726" s="131">
        <v>600</v>
      </c>
      <c r="S2726" s="131"/>
      <c r="T2726" s="155">
        <v>400</v>
      </c>
      <c r="U2726" s="131">
        <v>375</v>
      </c>
      <c r="V2726" s="131">
        <v>3575</v>
      </c>
      <c r="W2726">
        <v>309</v>
      </c>
      <c r="X2726" s="151" t="s">
        <v>1429</v>
      </c>
      <c r="Y2726" s="135" t="s">
        <v>55</v>
      </c>
      <c r="Z2726" s="307">
        <v>240</v>
      </c>
      <c r="AB2726" t="str">
        <f>IF(Table1[[#This Row],[TIPO2]]="costo", VLOOKUP(Table1[[#This Row],[PARTIDA PRESUPUESTAL]],'Cost Report'!G:G,1,0),"Balance")</f>
        <v>3145-030</v>
      </c>
      <c r="AC2726" s="118"/>
      <c r="AD2726" s="159">
        <f>+Table1[[#This Row],[SUBTOTAL]]+Table1[[#This Row],[IVA]]-Table1[[#This Row],[RET IVA]]-Table1[[#This Row],[RET ISR]]-Table1[[#This Row],[TOTAL]]</f>
        <v>0</v>
      </c>
      <c r="AE2726" s="150"/>
      <c r="AF2726" s="151"/>
      <c r="AG2726" s="126"/>
      <c r="AK2726" s="306" t="str">
        <f>IF(ISNUMBER(Table1[[#This Row],[FECHA DE RECIBIDO]]), Table1[[#This Row],[FECHA DE RECIBIDO]]-DATE(2023,8,30), "")</f>
        <v/>
      </c>
    </row>
    <row r="2727" spans="1:37" ht="16.05" customHeight="1">
      <c r="A2727" s="152" t="s">
        <v>4061</v>
      </c>
      <c r="B2727" s="153">
        <v>1044</v>
      </c>
      <c r="C2727" s="126" t="s">
        <v>1844</v>
      </c>
      <c r="D2727">
        <v>1877</v>
      </c>
      <c r="E2727" s="126" t="s">
        <v>3987</v>
      </c>
      <c r="F2727" s="125" t="s">
        <v>1589</v>
      </c>
      <c r="G2727" s="125" t="s">
        <v>129</v>
      </c>
      <c r="H2727">
        <v>537</v>
      </c>
      <c r="I2727" s="125" t="s">
        <v>1546</v>
      </c>
      <c r="J2727" s="308" t="s">
        <v>214</v>
      </c>
      <c r="K2727" s="127" t="s">
        <v>3806</v>
      </c>
      <c r="L2727" s="153" t="s">
        <v>110</v>
      </c>
      <c r="M2727">
        <v>761</v>
      </c>
      <c r="N2727" s="123">
        <v>167</v>
      </c>
      <c r="O2727">
        <v>1851</v>
      </c>
      <c r="P2727" s="132" t="s">
        <v>77</v>
      </c>
      <c r="Q2727" s="132">
        <v>15000</v>
      </c>
      <c r="R2727" s="132">
        <v>2400</v>
      </c>
      <c r="S2727" s="132"/>
      <c r="T2727" s="156">
        <v>1600</v>
      </c>
      <c r="U2727" s="132">
        <v>1500</v>
      </c>
      <c r="V2727" s="132">
        <v>14300</v>
      </c>
      <c r="W2727">
        <v>309</v>
      </c>
      <c r="X2727" s="153" t="s">
        <v>1429</v>
      </c>
      <c r="Y2727" s="124" t="s">
        <v>55</v>
      </c>
      <c r="Z2727" s="308">
        <v>240</v>
      </c>
      <c r="AB2727" t="str">
        <f>IF(Table1[[#This Row],[TIPO2]]="costo", VLOOKUP(Table1[[#This Row],[PARTIDA PRESUPUESTAL]],'Cost Report'!G:G,1,0),"Balance")</f>
        <v>3145-031</v>
      </c>
      <c r="AC2727" s="118"/>
      <c r="AD2727" s="159">
        <f>+Table1[[#This Row],[SUBTOTAL]]+Table1[[#This Row],[IVA]]-Table1[[#This Row],[RET IVA]]-Table1[[#This Row],[RET ISR]]-Table1[[#This Row],[TOTAL]]</f>
        <v>0</v>
      </c>
      <c r="AE2727" s="152"/>
      <c r="AF2727" s="153"/>
      <c r="AG2727" s="126"/>
      <c r="AK2727" s="306" t="str">
        <f>IF(ISNUMBER(Table1[[#This Row],[FECHA DE RECIBIDO]]), Table1[[#This Row],[FECHA DE RECIBIDO]]-DATE(2023,8,30), "")</f>
        <v/>
      </c>
    </row>
    <row r="2728" spans="1:37" ht="16.05" customHeight="1">
      <c r="A2728" s="150" t="s">
        <v>4062</v>
      </c>
      <c r="B2728" s="151">
        <v>1045</v>
      </c>
      <c r="C2728" s="126" t="s">
        <v>1844</v>
      </c>
      <c r="D2728">
        <v>1878</v>
      </c>
      <c r="E2728" s="126" t="s">
        <v>3987</v>
      </c>
      <c r="F2728" s="122" t="s">
        <v>1589</v>
      </c>
      <c r="G2728" s="122" t="s">
        <v>129</v>
      </c>
      <c r="H2728">
        <v>537</v>
      </c>
      <c r="I2728" s="122" t="s">
        <v>1546</v>
      </c>
      <c r="J2728" s="307" t="s">
        <v>214</v>
      </c>
      <c r="K2728" s="127" t="s">
        <v>3806</v>
      </c>
      <c r="L2728" s="151" t="s">
        <v>110</v>
      </c>
      <c r="M2728">
        <v>761</v>
      </c>
      <c r="N2728" s="123">
        <v>167</v>
      </c>
      <c r="O2728">
        <v>1852</v>
      </c>
      <c r="P2728" s="132" t="s">
        <v>77</v>
      </c>
      <c r="Q2728" s="131">
        <v>15000</v>
      </c>
      <c r="R2728" s="131">
        <v>2400</v>
      </c>
      <c r="S2728" s="131"/>
      <c r="T2728" s="155">
        <v>1600</v>
      </c>
      <c r="U2728" s="131">
        <v>1500</v>
      </c>
      <c r="V2728" s="131">
        <v>14300</v>
      </c>
      <c r="W2728">
        <v>309</v>
      </c>
      <c r="X2728" s="151" t="s">
        <v>1429</v>
      </c>
      <c r="Y2728" s="135" t="s">
        <v>55</v>
      </c>
      <c r="Z2728" s="307">
        <v>240</v>
      </c>
      <c r="AB2728" t="str">
        <f>IF(Table1[[#This Row],[TIPO2]]="costo", VLOOKUP(Table1[[#This Row],[PARTIDA PRESUPUESTAL]],'Cost Report'!G:G,1,0),"Balance")</f>
        <v>3145-031</v>
      </c>
      <c r="AC2728" s="118"/>
      <c r="AD2728" s="159">
        <f>+Table1[[#This Row],[SUBTOTAL]]+Table1[[#This Row],[IVA]]-Table1[[#This Row],[RET IVA]]-Table1[[#This Row],[RET ISR]]-Table1[[#This Row],[TOTAL]]</f>
        <v>0</v>
      </c>
      <c r="AE2728" s="150"/>
      <c r="AF2728" s="151"/>
      <c r="AG2728" s="126"/>
      <c r="AK2728" s="306" t="str">
        <f>IF(ISNUMBER(Table1[[#This Row],[FECHA DE RECIBIDO]]), Table1[[#This Row],[FECHA DE RECIBIDO]]-DATE(2023,8,30), "")</f>
        <v/>
      </c>
    </row>
    <row r="2729" spans="1:37" ht="16.05" customHeight="1">
      <c r="A2729" s="152" t="s">
        <v>4063</v>
      </c>
      <c r="B2729" s="153">
        <v>1046</v>
      </c>
      <c r="C2729" s="126" t="s">
        <v>1868</v>
      </c>
      <c r="D2729">
        <v>1879</v>
      </c>
      <c r="E2729" s="126" t="s">
        <v>1603</v>
      </c>
      <c r="F2729" s="125" t="s">
        <v>1589</v>
      </c>
      <c r="G2729" s="125" t="s">
        <v>129</v>
      </c>
      <c r="H2729">
        <v>28</v>
      </c>
      <c r="I2729" s="125" t="s">
        <v>1546</v>
      </c>
      <c r="J2729" s="308" t="s">
        <v>214</v>
      </c>
      <c r="K2729" s="127" t="s">
        <v>3806</v>
      </c>
      <c r="L2729" s="153" t="s">
        <v>2028</v>
      </c>
      <c r="M2729">
        <v>37</v>
      </c>
      <c r="N2729" s="123">
        <v>14</v>
      </c>
      <c r="O2729">
        <v>1853</v>
      </c>
      <c r="P2729" s="132" t="s">
        <v>77</v>
      </c>
      <c r="Q2729" s="132">
        <v>2160</v>
      </c>
      <c r="R2729" s="132">
        <v>345.6</v>
      </c>
      <c r="S2729" s="132"/>
      <c r="T2729" s="156">
        <v>230.4</v>
      </c>
      <c r="U2729" s="132">
        <v>216</v>
      </c>
      <c r="V2729" s="132">
        <v>2059.1999999999998</v>
      </c>
      <c r="W2729">
        <v>30</v>
      </c>
      <c r="X2729" s="153" t="s">
        <v>1432</v>
      </c>
      <c r="Y2729" s="124" t="s">
        <v>55</v>
      </c>
      <c r="Z2729" s="308">
        <v>240</v>
      </c>
      <c r="AB2729" t="str">
        <f>IF(Table1[[#This Row],[TIPO2]]="costo", VLOOKUP(Table1[[#This Row],[PARTIDA PRESUPUESTAL]],'Cost Report'!G:G,1,0),"Balance")</f>
        <v>3442-006</v>
      </c>
      <c r="AC2729" s="118"/>
      <c r="AD2729" s="159">
        <f>+Table1[[#This Row],[SUBTOTAL]]+Table1[[#This Row],[IVA]]-Table1[[#This Row],[RET IVA]]-Table1[[#This Row],[RET ISR]]-Table1[[#This Row],[TOTAL]]</f>
        <v>0</v>
      </c>
      <c r="AE2729" s="152"/>
      <c r="AF2729" s="153"/>
      <c r="AG2729" s="126"/>
      <c r="AK2729" s="306" t="str">
        <f>IF(ISNUMBER(Table1[[#This Row],[FECHA DE RECIBIDO]]), Table1[[#This Row],[FECHA DE RECIBIDO]]-DATE(2023,8,30), "")</f>
        <v/>
      </c>
    </row>
    <row r="2730" spans="1:37" ht="16.05" customHeight="1">
      <c r="A2730" s="150" t="s">
        <v>4064</v>
      </c>
      <c r="B2730" s="151">
        <v>1047</v>
      </c>
      <c r="C2730" s="126" t="s">
        <v>1868</v>
      </c>
      <c r="D2730">
        <v>1880</v>
      </c>
      <c r="E2730" s="126" t="s">
        <v>2015</v>
      </c>
      <c r="F2730" s="122" t="s">
        <v>1593</v>
      </c>
      <c r="G2730" s="122" t="s">
        <v>109</v>
      </c>
      <c r="H2730">
        <v>112</v>
      </c>
      <c r="I2730" s="122" t="s">
        <v>1546</v>
      </c>
      <c r="J2730" s="307" t="s">
        <v>214</v>
      </c>
      <c r="K2730" s="127" t="s">
        <v>3806</v>
      </c>
      <c r="L2730" s="151" t="s">
        <v>2028</v>
      </c>
      <c r="M2730">
        <v>150</v>
      </c>
      <c r="N2730" s="123">
        <v>42</v>
      </c>
      <c r="O2730">
        <v>1854</v>
      </c>
      <c r="P2730" s="132" t="s">
        <v>77</v>
      </c>
      <c r="Q2730" s="131">
        <v>1220</v>
      </c>
      <c r="R2730" s="131">
        <v>195.2</v>
      </c>
      <c r="S2730" s="131"/>
      <c r="T2730" s="155">
        <v>130.13</v>
      </c>
      <c r="U2730" s="131">
        <v>15.25</v>
      </c>
      <c r="V2730" s="131">
        <v>1269.8200000000002</v>
      </c>
      <c r="W2730">
        <v>74</v>
      </c>
      <c r="X2730" s="151" t="s">
        <v>1429</v>
      </c>
      <c r="Y2730" s="135" t="s">
        <v>55</v>
      </c>
      <c r="Z2730" s="307">
        <v>240</v>
      </c>
      <c r="AB2730" t="str">
        <f>IF(Table1[[#This Row],[TIPO2]]="costo", VLOOKUP(Table1[[#This Row],[PARTIDA PRESUPUESTAL]],'Cost Report'!G:G,1,0),"Balance")</f>
        <v>3442-006</v>
      </c>
      <c r="AC2730" s="118"/>
      <c r="AD2730" s="159">
        <f>+Table1[[#This Row],[SUBTOTAL]]+Table1[[#This Row],[IVA]]-Table1[[#This Row],[RET IVA]]-Table1[[#This Row],[RET ISR]]-Table1[[#This Row],[TOTAL]]</f>
        <v>0</v>
      </c>
      <c r="AE2730" s="150"/>
      <c r="AF2730" s="151"/>
      <c r="AG2730" s="126"/>
      <c r="AK2730" s="306" t="str">
        <f>IF(ISNUMBER(Table1[[#This Row],[FECHA DE RECIBIDO]]), Table1[[#This Row],[FECHA DE RECIBIDO]]-DATE(2023,8,30), "")</f>
        <v/>
      </c>
    </row>
    <row r="2731" spans="1:37" ht="16.05" customHeight="1">
      <c r="A2731" s="152" t="s">
        <v>4065</v>
      </c>
      <c r="B2731" s="153">
        <v>1048</v>
      </c>
      <c r="C2731" s="126" t="s">
        <v>1868</v>
      </c>
      <c r="D2731">
        <v>1881</v>
      </c>
      <c r="E2731" s="126" t="s">
        <v>3929</v>
      </c>
      <c r="F2731" s="125" t="s">
        <v>1593</v>
      </c>
      <c r="G2731" s="125" t="s">
        <v>109</v>
      </c>
      <c r="H2731">
        <v>502</v>
      </c>
      <c r="I2731" s="125" t="s">
        <v>1546</v>
      </c>
      <c r="J2731" s="308" t="s">
        <v>214</v>
      </c>
      <c r="K2731" s="127" t="s">
        <v>3806</v>
      </c>
      <c r="L2731" s="153" t="s">
        <v>2028</v>
      </c>
      <c r="M2731">
        <v>726</v>
      </c>
      <c r="N2731" s="123">
        <v>131</v>
      </c>
      <c r="O2731">
        <v>1855</v>
      </c>
      <c r="P2731" s="132" t="s">
        <v>77</v>
      </c>
      <c r="Q2731" s="132">
        <v>920</v>
      </c>
      <c r="R2731" s="132">
        <v>147.19999999999999</v>
      </c>
      <c r="S2731" s="132"/>
      <c r="T2731" s="156">
        <v>98.13</v>
      </c>
      <c r="U2731" s="132">
        <v>11.5</v>
      </c>
      <c r="V2731" s="132">
        <v>957.57</v>
      </c>
      <c r="W2731">
        <v>274</v>
      </c>
      <c r="X2731" s="153" t="s">
        <v>1430</v>
      </c>
      <c r="Y2731" s="124" t="s">
        <v>55</v>
      </c>
      <c r="Z2731" s="308">
        <v>240</v>
      </c>
      <c r="AB2731" t="str">
        <f>IF(Table1[[#This Row],[TIPO2]]="costo", VLOOKUP(Table1[[#This Row],[PARTIDA PRESUPUESTAL]],'Cost Report'!G:G,1,0),"Balance")</f>
        <v>3442-006</v>
      </c>
      <c r="AC2731" s="118"/>
      <c r="AD2731" s="159">
        <f>+Table1[[#This Row],[SUBTOTAL]]+Table1[[#This Row],[IVA]]-Table1[[#This Row],[RET IVA]]-Table1[[#This Row],[RET ISR]]-Table1[[#This Row],[TOTAL]]</f>
        <v>0</v>
      </c>
      <c r="AE2731" s="152"/>
      <c r="AF2731" s="153"/>
      <c r="AG2731" s="126"/>
      <c r="AK2731" s="306" t="str">
        <f>IF(ISNUMBER(Table1[[#This Row],[FECHA DE RECIBIDO]]), Table1[[#This Row],[FECHA DE RECIBIDO]]-DATE(2023,8,30), "")</f>
        <v/>
      </c>
    </row>
    <row r="2732" spans="1:37" ht="16.05" customHeight="1">
      <c r="A2732" s="150" t="s">
        <v>4066</v>
      </c>
      <c r="B2732" s="151">
        <v>1049</v>
      </c>
      <c r="C2732" s="126" t="s">
        <v>1868</v>
      </c>
      <c r="D2732">
        <v>1882</v>
      </c>
      <c r="E2732" s="126" t="s">
        <v>3934</v>
      </c>
      <c r="F2732" s="122" t="s">
        <v>1593</v>
      </c>
      <c r="G2732" s="122" t="s">
        <v>109</v>
      </c>
      <c r="H2732">
        <v>505</v>
      </c>
      <c r="I2732" s="122" t="s">
        <v>1546</v>
      </c>
      <c r="J2732" s="307" t="s">
        <v>214</v>
      </c>
      <c r="K2732" s="127" t="s">
        <v>3806</v>
      </c>
      <c r="L2732" s="151" t="s">
        <v>2028</v>
      </c>
      <c r="M2732">
        <v>729</v>
      </c>
      <c r="N2732" s="123">
        <v>134</v>
      </c>
      <c r="O2732">
        <v>1856</v>
      </c>
      <c r="P2732" s="132" t="s">
        <v>77</v>
      </c>
      <c r="Q2732" s="131">
        <v>3626.67</v>
      </c>
      <c r="R2732" s="131">
        <v>580.27</v>
      </c>
      <c r="S2732" s="131"/>
      <c r="T2732" s="155">
        <v>386.85</v>
      </c>
      <c r="U2732" s="131">
        <v>45.33</v>
      </c>
      <c r="V2732" s="131">
        <v>3774.7600000000007</v>
      </c>
      <c r="W2732">
        <v>277</v>
      </c>
      <c r="X2732" s="151" t="s">
        <v>1429</v>
      </c>
      <c r="Y2732" s="135" t="s">
        <v>55</v>
      </c>
      <c r="Z2732" s="307">
        <v>240</v>
      </c>
      <c r="AB2732" t="str">
        <f>IF(Table1[[#This Row],[TIPO2]]="costo", VLOOKUP(Table1[[#This Row],[PARTIDA PRESUPUESTAL]],'Cost Report'!G:G,1,0),"Balance")</f>
        <v>3442-006</v>
      </c>
      <c r="AC2732" s="118"/>
      <c r="AD2732" s="159">
        <f>+Table1[[#This Row],[SUBTOTAL]]+Table1[[#This Row],[IVA]]-Table1[[#This Row],[RET IVA]]-Table1[[#This Row],[RET ISR]]-Table1[[#This Row],[TOTAL]]</f>
        <v>0</v>
      </c>
      <c r="AE2732" s="150"/>
      <c r="AF2732" s="151"/>
      <c r="AG2732" s="126"/>
      <c r="AK2732" s="306" t="str">
        <f>IF(ISNUMBER(Table1[[#This Row],[FECHA DE RECIBIDO]]), Table1[[#This Row],[FECHA DE RECIBIDO]]-DATE(2023,8,30), "")</f>
        <v/>
      </c>
    </row>
    <row r="2733" spans="1:37" ht="16.05" customHeight="1">
      <c r="A2733" s="152" t="s">
        <v>4067</v>
      </c>
      <c r="B2733" s="153">
        <v>1050</v>
      </c>
      <c r="C2733" s="126" t="s">
        <v>1868</v>
      </c>
      <c r="D2733">
        <v>1883</v>
      </c>
      <c r="E2733" s="126" t="s">
        <v>3934</v>
      </c>
      <c r="F2733" s="125" t="s">
        <v>1593</v>
      </c>
      <c r="G2733" s="125" t="s">
        <v>109</v>
      </c>
      <c r="H2733">
        <v>505</v>
      </c>
      <c r="I2733" s="125" t="s">
        <v>1546</v>
      </c>
      <c r="J2733" s="308" t="s">
        <v>214</v>
      </c>
      <c r="K2733" s="127" t="s">
        <v>3806</v>
      </c>
      <c r="L2733" s="153" t="s">
        <v>2028</v>
      </c>
      <c r="M2733">
        <v>729</v>
      </c>
      <c r="N2733" s="123">
        <v>134</v>
      </c>
      <c r="O2733">
        <v>1857</v>
      </c>
      <c r="P2733" s="132" t="s">
        <v>77</v>
      </c>
      <c r="Q2733" s="132">
        <v>3626.67</v>
      </c>
      <c r="R2733" s="132">
        <v>580.27</v>
      </c>
      <c r="S2733" s="132"/>
      <c r="T2733" s="156">
        <v>386.85</v>
      </c>
      <c r="U2733" s="132">
        <v>45.33</v>
      </c>
      <c r="V2733" s="132">
        <v>3774.7600000000007</v>
      </c>
      <c r="W2733">
        <v>277</v>
      </c>
      <c r="X2733" s="153" t="s">
        <v>1429</v>
      </c>
      <c r="Y2733" s="124" t="s">
        <v>55</v>
      </c>
      <c r="Z2733" s="308">
        <v>240</v>
      </c>
      <c r="AB2733" t="str">
        <f>IF(Table1[[#This Row],[TIPO2]]="costo", VLOOKUP(Table1[[#This Row],[PARTIDA PRESUPUESTAL]],'Cost Report'!G:G,1,0),"Balance")</f>
        <v>3442-006</v>
      </c>
      <c r="AC2733" s="118"/>
      <c r="AD2733" s="159">
        <f>+Table1[[#This Row],[SUBTOTAL]]+Table1[[#This Row],[IVA]]-Table1[[#This Row],[RET IVA]]-Table1[[#This Row],[RET ISR]]-Table1[[#This Row],[TOTAL]]</f>
        <v>0</v>
      </c>
      <c r="AE2733" s="152"/>
      <c r="AF2733" s="153"/>
      <c r="AG2733" s="126"/>
      <c r="AK2733" s="306" t="str">
        <f>IF(ISNUMBER(Table1[[#This Row],[FECHA DE RECIBIDO]]), Table1[[#This Row],[FECHA DE RECIBIDO]]-DATE(2023,8,30), "")</f>
        <v/>
      </c>
    </row>
    <row r="2734" spans="1:37" ht="16.05" customHeight="1">
      <c r="A2734" s="150" t="s">
        <v>4068</v>
      </c>
      <c r="B2734" s="151">
        <v>1051</v>
      </c>
      <c r="C2734" s="126" t="s">
        <v>1868</v>
      </c>
      <c r="D2734">
        <v>1884</v>
      </c>
      <c r="E2734" s="126" t="s">
        <v>3941</v>
      </c>
      <c r="F2734" s="122" t="s">
        <v>1593</v>
      </c>
      <c r="G2734" s="122" t="s">
        <v>109</v>
      </c>
      <c r="H2734">
        <v>508</v>
      </c>
      <c r="I2734" s="122" t="s">
        <v>1546</v>
      </c>
      <c r="J2734" s="307" t="s">
        <v>214</v>
      </c>
      <c r="K2734" s="127" t="s">
        <v>3806</v>
      </c>
      <c r="L2734" s="151" t="s">
        <v>2028</v>
      </c>
      <c r="M2734">
        <v>732</v>
      </c>
      <c r="N2734" s="123">
        <v>138</v>
      </c>
      <c r="O2734">
        <v>1858</v>
      </c>
      <c r="P2734" s="132" t="s">
        <v>77</v>
      </c>
      <c r="Q2734" s="131">
        <v>2440</v>
      </c>
      <c r="R2734" s="131">
        <v>390.4</v>
      </c>
      <c r="S2734" s="131"/>
      <c r="T2734" s="155">
        <v>260.27</v>
      </c>
      <c r="U2734" s="131">
        <v>30.5</v>
      </c>
      <c r="V2734" s="131">
        <v>2539.63</v>
      </c>
      <c r="W2734">
        <v>280</v>
      </c>
      <c r="X2734" s="151" t="s">
        <v>1429</v>
      </c>
      <c r="Y2734" s="135" t="s">
        <v>55</v>
      </c>
      <c r="Z2734" s="307">
        <v>240</v>
      </c>
      <c r="AB2734" t="str">
        <f>IF(Table1[[#This Row],[TIPO2]]="costo", VLOOKUP(Table1[[#This Row],[PARTIDA PRESUPUESTAL]],'Cost Report'!G:G,1,0),"Balance")</f>
        <v>3442-006</v>
      </c>
      <c r="AC2734" s="118"/>
      <c r="AD2734" s="159">
        <f>+Table1[[#This Row],[SUBTOTAL]]+Table1[[#This Row],[IVA]]-Table1[[#This Row],[RET IVA]]-Table1[[#This Row],[RET ISR]]-Table1[[#This Row],[TOTAL]]</f>
        <v>0</v>
      </c>
      <c r="AE2734" s="150"/>
      <c r="AF2734" s="151"/>
      <c r="AG2734" s="126"/>
      <c r="AK2734" s="306" t="str">
        <f>IF(ISNUMBER(Table1[[#This Row],[FECHA DE RECIBIDO]]), Table1[[#This Row],[FECHA DE RECIBIDO]]-DATE(2023,8,30), "")</f>
        <v/>
      </c>
    </row>
    <row r="2735" spans="1:37" ht="16.05" customHeight="1">
      <c r="A2735" s="152" t="s">
        <v>4069</v>
      </c>
      <c r="B2735" s="153">
        <v>1052</v>
      </c>
      <c r="C2735" s="126" t="s">
        <v>2564</v>
      </c>
      <c r="D2735">
        <v>1885</v>
      </c>
      <c r="E2735" s="126" t="s">
        <v>4070</v>
      </c>
      <c r="F2735" s="125" t="s">
        <v>1589</v>
      </c>
      <c r="G2735" s="125" t="s">
        <v>129</v>
      </c>
      <c r="H2735">
        <v>538</v>
      </c>
      <c r="I2735" s="125" t="s">
        <v>1546</v>
      </c>
      <c r="J2735" s="308" t="s">
        <v>214</v>
      </c>
      <c r="K2735" s="127" t="s">
        <v>3806</v>
      </c>
      <c r="L2735" s="153" t="s">
        <v>3306</v>
      </c>
      <c r="M2735">
        <v>762</v>
      </c>
      <c r="N2735" s="123">
        <v>51</v>
      </c>
      <c r="O2735">
        <v>1859</v>
      </c>
      <c r="P2735" s="132" t="s">
        <v>77</v>
      </c>
      <c r="Q2735" s="132">
        <v>2500</v>
      </c>
      <c r="R2735" s="132">
        <v>400</v>
      </c>
      <c r="S2735" s="132"/>
      <c r="T2735" s="156">
        <v>0</v>
      </c>
      <c r="U2735" s="132">
        <v>0</v>
      </c>
      <c r="V2735" s="132">
        <v>2900</v>
      </c>
      <c r="W2735">
        <v>310</v>
      </c>
      <c r="X2735" s="153" t="s">
        <v>195</v>
      </c>
      <c r="Y2735" s="124" t="s">
        <v>55</v>
      </c>
      <c r="Z2735" s="308">
        <v>240</v>
      </c>
      <c r="AB2735" t="str">
        <f>IF(Table1[[#This Row],[TIPO2]]="costo", VLOOKUP(Table1[[#This Row],[PARTIDA PRESUPUESTAL]],'Cost Report'!G:G,1,0),"Balance")</f>
        <v>2508-007</v>
      </c>
      <c r="AC2735" s="118"/>
      <c r="AD2735" s="159">
        <f>+Table1[[#This Row],[SUBTOTAL]]+Table1[[#This Row],[IVA]]-Table1[[#This Row],[RET IVA]]-Table1[[#This Row],[RET ISR]]-Table1[[#This Row],[TOTAL]]</f>
        <v>0</v>
      </c>
      <c r="AE2735" s="152"/>
      <c r="AF2735" s="153"/>
      <c r="AG2735" s="126"/>
      <c r="AK2735" s="306" t="str">
        <f>IF(ISNUMBER(Table1[[#This Row],[FECHA DE RECIBIDO]]), Table1[[#This Row],[FECHA DE RECIBIDO]]-DATE(2023,8,30), "")</f>
        <v/>
      </c>
    </row>
    <row r="2736" spans="1:37" ht="16.05" customHeight="1">
      <c r="A2736" s="150" t="s">
        <v>4071</v>
      </c>
      <c r="B2736" s="151">
        <v>1053</v>
      </c>
      <c r="C2736" s="126" t="s">
        <v>1505</v>
      </c>
      <c r="D2736">
        <v>1886</v>
      </c>
      <c r="E2736" s="126" t="s">
        <v>3785</v>
      </c>
      <c r="F2736" s="122" t="s">
        <v>1607</v>
      </c>
      <c r="G2736" s="122" t="s">
        <v>134</v>
      </c>
      <c r="H2736">
        <v>451</v>
      </c>
      <c r="I2736" s="122" t="s">
        <v>1546</v>
      </c>
      <c r="J2736" s="307" t="s">
        <v>214</v>
      </c>
      <c r="K2736" s="127" t="s">
        <v>3806</v>
      </c>
      <c r="L2736" s="151" t="s">
        <v>3306</v>
      </c>
      <c r="M2736">
        <v>763</v>
      </c>
      <c r="N2736" s="123">
        <v>51</v>
      </c>
      <c r="O2736">
        <v>1860</v>
      </c>
      <c r="P2736" s="132" t="s">
        <v>77</v>
      </c>
      <c r="Q2736" s="131">
        <v>1000</v>
      </c>
      <c r="R2736" s="131">
        <v>160</v>
      </c>
      <c r="S2736" s="131"/>
      <c r="T2736" s="155">
        <v>0</v>
      </c>
      <c r="U2736" s="131">
        <v>0</v>
      </c>
      <c r="V2736" s="131">
        <v>1160</v>
      </c>
      <c r="W2736">
        <v>238</v>
      </c>
      <c r="X2736" s="151" t="s">
        <v>2035</v>
      </c>
      <c r="Y2736" s="135" t="s">
        <v>55</v>
      </c>
      <c r="Z2736" s="307">
        <v>240</v>
      </c>
      <c r="AB2736" t="str">
        <f>IF(Table1[[#This Row],[TIPO2]]="costo", VLOOKUP(Table1[[#This Row],[PARTIDA PRESUPUESTAL]],'Cost Report'!G:G,1,0),"Balance")</f>
        <v>2494-003</v>
      </c>
      <c r="AC2736" s="118"/>
      <c r="AD2736" s="159">
        <f>+Table1[[#This Row],[SUBTOTAL]]+Table1[[#This Row],[IVA]]-Table1[[#This Row],[RET IVA]]-Table1[[#This Row],[RET ISR]]-Table1[[#This Row],[TOTAL]]</f>
        <v>0</v>
      </c>
      <c r="AE2736" s="150"/>
      <c r="AF2736" s="151"/>
      <c r="AG2736" s="126"/>
      <c r="AK2736" s="306" t="str">
        <f>IF(ISNUMBER(Table1[[#This Row],[FECHA DE RECIBIDO]]), Table1[[#This Row],[FECHA DE RECIBIDO]]-DATE(2023,8,30), "")</f>
        <v/>
      </c>
    </row>
    <row r="2737" spans="1:37" ht="16.05" customHeight="1">
      <c r="A2737" s="152"/>
      <c r="B2737" s="153">
        <v>1054</v>
      </c>
      <c r="C2737" s="126" t="s">
        <v>1507</v>
      </c>
      <c r="D2737">
        <v>1887</v>
      </c>
      <c r="E2737" s="126" t="s">
        <v>3785</v>
      </c>
      <c r="F2737" s="125" t="s">
        <v>1607</v>
      </c>
      <c r="G2737" s="125" t="s">
        <v>134</v>
      </c>
      <c r="H2737">
        <v>451</v>
      </c>
      <c r="I2737" s="125" t="s">
        <v>1546</v>
      </c>
      <c r="J2737" s="308" t="s">
        <v>214</v>
      </c>
      <c r="K2737" s="127" t="s">
        <v>3806</v>
      </c>
      <c r="L2737" s="153" t="s">
        <v>3306</v>
      </c>
      <c r="M2737">
        <v>763</v>
      </c>
      <c r="N2737" s="123">
        <v>51</v>
      </c>
      <c r="O2737">
        <v>1861</v>
      </c>
      <c r="P2737" s="132" t="s">
        <v>77</v>
      </c>
      <c r="Q2737" s="132">
        <v>1850</v>
      </c>
      <c r="R2737" s="132">
        <v>296</v>
      </c>
      <c r="S2737" s="132"/>
      <c r="T2737" s="156">
        <v>0</v>
      </c>
      <c r="U2737" s="132">
        <v>0</v>
      </c>
      <c r="V2737" s="132">
        <v>2146</v>
      </c>
      <c r="W2737">
        <v>238</v>
      </c>
      <c r="X2737" s="153" t="s">
        <v>2035</v>
      </c>
      <c r="Y2737" s="124" t="s">
        <v>55</v>
      </c>
      <c r="Z2737" s="308">
        <v>240</v>
      </c>
      <c r="AB2737" t="str">
        <f>IF(Table1[[#This Row],[TIPO2]]="costo", VLOOKUP(Table1[[#This Row],[PARTIDA PRESUPUESTAL]],'Cost Report'!G:G,1,0),"Balance")</f>
        <v>2494-007</v>
      </c>
      <c r="AC2737" s="118"/>
      <c r="AD2737" s="159">
        <f>+Table1[[#This Row],[SUBTOTAL]]+Table1[[#This Row],[IVA]]-Table1[[#This Row],[RET IVA]]-Table1[[#This Row],[RET ISR]]-Table1[[#This Row],[TOTAL]]</f>
        <v>0</v>
      </c>
      <c r="AE2737" s="152"/>
      <c r="AF2737" s="153"/>
      <c r="AG2737" s="126"/>
      <c r="AK2737" s="306" t="str">
        <f>IF(ISNUMBER(Table1[[#This Row],[FECHA DE RECIBIDO]]), Table1[[#This Row],[FECHA DE RECIBIDO]]-DATE(2023,8,30), "")</f>
        <v/>
      </c>
    </row>
    <row r="2738" spans="1:37" ht="16.05" customHeight="1">
      <c r="A2738" s="150"/>
      <c r="B2738" s="151">
        <v>1055</v>
      </c>
      <c r="C2738" s="126" t="s">
        <v>2546</v>
      </c>
      <c r="D2738">
        <v>1888</v>
      </c>
      <c r="E2738" s="126" t="s">
        <v>3785</v>
      </c>
      <c r="F2738" s="122" t="s">
        <v>1607</v>
      </c>
      <c r="G2738" s="122" t="s">
        <v>134</v>
      </c>
      <c r="H2738">
        <v>451</v>
      </c>
      <c r="I2738" s="122" t="s">
        <v>1546</v>
      </c>
      <c r="J2738" s="307" t="s">
        <v>214</v>
      </c>
      <c r="K2738" s="127" t="s">
        <v>3806</v>
      </c>
      <c r="L2738" s="151" t="s">
        <v>3306</v>
      </c>
      <c r="M2738">
        <v>763</v>
      </c>
      <c r="N2738" s="123">
        <v>51</v>
      </c>
      <c r="O2738">
        <v>1862</v>
      </c>
      <c r="P2738" s="132" t="s">
        <v>77</v>
      </c>
      <c r="Q2738" s="131">
        <v>1800</v>
      </c>
      <c r="R2738" s="131">
        <v>288</v>
      </c>
      <c r="S2738" s="131"/>
      <c r="T2738" s="155">
        <v>0</v>
      </c>
      <c r="U2738" s="131">
        <v>0</v>
      </c>
      <c r="V2738" s="131">
        <v>2088</v>
      </c>
      <c r="W2738">
        <v>238</v>
      </c>
      <c r="X2738" s="151" t="s">
        <v>2035</v>
      </c>
      <c r="Y2738" s="135" t="s">
        <v>55</v>
      </c>
      <c r="Z2738" s="307">
        <v>240</v>
      </c>
      <c r="AB2738" t="str">
        <f>IF(Table1[[#This Row],[TIPO2]]="costo", VLOOKUP(Table1[[#This Row],[PARTIDA PRESUPUESTAL]],'Cost Report'!G:G,1,0),"Balance")</f>
        <v>2494-071</v>
      </c>
      <c r="AC2738" s="118"/>
      <c r="AD2738" s="159">
        <f>+Table1[[#This Row],[SUBTOTAL]]+Table1[[#This Row],[IVA]]-Table1[[#This Row],[RET IVA]]-Table1[[#This Row],[RET ISR]]-Table1[[#This Row],[TOTAL]]</f>
        <v>0</v>
      </c>
      <c r="AE2738" s="150"/>
      <c r="AF2738" s="151"/>
      <c r="AG2738" s="126"/>
      <c r="AK2738" s="306" t="str">
        <f>IF(ISNUMBER(Table1[[#This Row],[FECHA DE RECIBIDO]]), Table1[[#This Row],[FECHA DE RECIBIDO]]-DATE(2023,8,30), "")</f>
        <v/>
      </c>
    </row>
    <row r="2739" spans="1:37" ht="16.05" customHeight="1">
      <c r="A2739" s="152"/>
      <c r="B2739" s="153">
        <v>1056</v>
      </c>
      <c r="C2739" s="126" t="s">
        <v>2566</v>
      </c>
      <c r="D2739">
        <v>1889</v>
      </c>
      <c r="E2739" s="126" t="s">
        <v>3785</v>
      </c>
      <c r="F2739" s="125" t="s">
        <v>1607</v>
      </c>
      <c r="G2739" s="125" t="s">
        <v>134</v>
      </c>
      <c r="H2739">
        <v>451</v>
      </c>
      <c r="I2739" s="125" t="s">
        <v>1546</v>
      </c>
      <c r="J2739" s="308" t="s">
        <v>214</v>
      </c>
      <c r="K2739" s="127" t="s">
        <v>3806</v>
      </c>
      <c r="L2739" s="153" t="s">
        <v>3306</v>
      </c>
      <c r="M2739">
        <v>763</v>
      </c>
      <c r="N2739" s="123">
        <v>51</v>
      </c>
      <c r="O2739">
        <v>1863</v>
      </c>
      <c r="P2739" s="132" t="s">
        <v>77</v>
      </c>
      <c r="Q2739" s="132">
        <v>5030</v>
      </c>
      <c r="R2739" s="132">
        <v>804.8</v>
      </c>
      <c r="S2739" s="132"/>
      <c r="T2739" s="156">
        <v>0</v>
      </c>
      <c r="U2739" s="132">
        <v>0</v>
      </c>
      <c r="V2739" s="132">
        <v>5834.8</v>
      </c>
      <c r="W2739">
        <v>238</v>
      </c>
      <c r="X2739" s="153" t="s">
        <v>2035</v>
      </c>
      <c r="Y2739" s="124" t="s">
        <v>55</v>
      </c>
      <c r="Z2739" s="308">
        <v>240</v>
      </c>
      <c r="AB2739" t="str">
        <f>IF(Table1[[#This Row],[TIPO2]]="costo", VLOOKUP(Table1[[#This Row],[PARTIDA PRESUPUESTAL]],'Cost Report'!G:G,1,0),"Balance")</f>
        <v>2594-003</v>
      </c>
      <c r="AC2739" s="118"/>
      <c r="AD2739" s="159">
        <f>+Table1[[#This Row],[SUBTOTAL]]+Table1[[#This Row],[IVA]]-Table1[[#This Row],[RET IVA]]-Table1[[#This Row],[RET ISR]]-Table1[[#This Row],[TOTAL]]</f>
        <v>0</v>
      </c>
      <c r="AE2739" s="152"/>
      <c r="AF2739" s="153"/>
      <c r="AG2739" s="126"/>
      <c r="AK2739" s="306" t="str">
        <f>IF(ISNUMBER(Table1[[#This Row],[FECHA DE RECIBIDO]]), Table1[[#This Row],[FECHA DE RECIBIDO]]-DATE(2023,8,30), "")</f>
        <v/>
      </c>
    </row>
    <row r="2740" spans="1:37" ht="16.05" customHeight="1">
      <c r="A2740" s="150" t="s">
        <v>4072</v>
      </c>
      <c r="B2740" s="151">
        <v>1057</v>
      </c>
      <c r="C2740" s="126" t="s">
        <v>2484</v>
      </c>
      <c r="D2740">
        <v>1890</v>
      </c>
      <c r="E2740" s="126">
        <v>45601</v>
      </c>
      <c r="F2740" s="122">
        <v>601</v>
      </c>
      <c r="G2740" s="122" t="s">
        <v>134</v>
      </c>
      <c r="H2740">
        <v>539</v>
      </c>
      <c r="I2740" s="122" t="s">
        <v>1546</v>
      </c>
      <c r="J2740" s="307">
        <v>244.49755787036702</v>
      </c>
      <c r="K2740" s="127" t="s">
        <v>3806</v>
      </c>
      <c r="L2740" s="151" t="s">
        <v>3306</v>
      </c>
      <c r="M2740">
        <v>764</v>
      </c>
      <c r="N2740" s="123">
        <v>51</v>
      </c>
      <c r="O2740">
        <v>1864</v>
      </c>
      <c r="P2740" s="131" t="s">
        <v>77</v>
      </c>
      <c r="Q2740" s="131">
        <v>17700</v>
      </c>
      <c r="R2740" s="131">
        <v>2832</v>
      </c>
      <c r="S2740" s="131"/>
      <c r="T2740" s="155">
        <v>0</v>
      </c>
      <c r="U2740" s="131">
        <v>0</v>
      </c>
      <c r="V2740" s="131">
        <v>20532</v>
      </c>
      <c r="W2740">
        <v>311</v>
      </c>
      <c r="X2740" s="151" t="s">
        <v>3120</v>
      </c>
      <c r="Y2740" s="135" t="s">
        <v>55</v>
      </c>
      <c r="Z2740" s="307">
        <v>240</v>
      </c>
      <c r="AB2740" t="str">
        <f>IF(Table1[[#This Row],[TIPO2]]="costo", VLOOKUP(Table1[[#This Row],[PARTIDA PRESUPUESTAL]],'Cost Report'!G:G,1,0),"Balance")</f>
        <v>2394-041</v>
      </c>
      <c r="AC2740" s="118"/>
      <c r="AD2740" s="159">
        <f>+Table1[[#This Row],[SUBTOTAL]]+Table1[[#This Row],[IVA]]-Table1[[#This Row],[RET IVA]]-Table1[[#This Row],[RET ISR]]-Table1[[#This Row],[TOTAL]]</f>
        <v>0</v>
      </c>
      <c r="AE2740" s="150"/>
      <c r="AF2740" s="151"/>
      <c r="AG2740" s="126"/>
      <c r="AK2740" s="306">
        <f>IF(ISNUMBER(Table1[[#This Row],[FECHA DE RECIBIDO]]), Table1[[#This Row],[FECHA DE RECIBIDO]]-DATE(2023,8,30), "")</f>
        <v>-44923.502442129633</v>
      </c>
    </row>
    <row r="2741" spans="1:37" ht="16.05" customHeight="1">
      <c r="A2741" s="152" t="s">
        <v>4073</v>
      </c>
      <c r="B2741" s="153">
        <v>1058</v>
      </c>
      <c r="C2741" s="126" t="s">
        <v>2532</v>
      </c>
      <c r="D2741">
        <v>1891</v>
      </c>
      <c r="E2741" s="126" t="s">
        <v>4074</v>
      </c>
      <c r="F2741" s="125" t="s">
        <v>1593</v>
      </c>
      <c r="G2741" s="125" t="s">
        <v>109</v>
      </c>
      <c r="H2741">
        <v>540</v>
      </c>
      <c r="I2741" s="125" t="s">
        <v>1546</v>
      </c>
      <c r="J2741" s="308" t="s">
        <v>214</v>
      </c>
      <c r="K2741" s="127" t="s">
        <v>3806</v>
      </c>
      <c r="L2741" s="153" t="s">
        <v>3306</v>
      </c>
      <c r="M2741">
        <v>765</v>
      </c>
      <c r="N2741" s="123">
        <v>51</v>
      </c>
      <c r="O2741">
        <v>1865</v>
      </c>
      <c r="P2741" s="132" t="s">
        <v>77</v>
      </c>
      <c r="Q2741" s="132">
        <v>25000</v>
      </c>
      <c r="R2741" s="132">
        <v>4000</v>
      </c>
      <c r="S2741" s="132"/>
      <c r="T2741" s="156">
        <v>0</v>
      </c>
      <c r="U2741" s="132">
        <v>312.5</v>
      </c>
      <c r="V2741" s="132">
        <v>28687.5</v>
      </c>
      <c r="W2741">
        <v>312</v>
      </c>
      <c r="X2741" s="153" t="s">
        <v>195</v>
      </c>
      <c r="Y2741" s="124" t="s">
        <v>55</v>
      </c>
      <c r="Z2741" s="308">
        <v>240</v>
      </c>
      <c r="AB2741" t="str">
        <f>IF(Table1[[#This Row],[TIPO2]]="costo", VLOOKUP(Table1[[#This Row],[PARTIDA PRESUPUESTAL]],'Cost Report'!G:G,1,0),"Balance")</f>
        <v>2494-043</v>
      </c>
      <c r="AC2741" s="118"/>
      <c r="AD2741" s="159">
        <f>+Table1[[#This Row],[SUBTOTAL]]+Table1[[#This Row],[IVA]]-Table1[[#This Row],[RET IVA]]-Table1[[#This Row],[RET ISR]]-Table1[[#This Row],[TOTAL]]</f>
        <v>0</v>
      </c>
      <c r="AE2741" s="152"/>
      <c r="AF2741" s="153"/>
      <c r="AG2741" s="126"/>
      <c r="AK2741" s="306" t="str">
        <f>IF(ISNUMBER(Table1[[#This Row],[FECHA DE RECIBIDO]]), Table1[[#This Row],[FECHA DE RECIBIDO]]-DATE(2023,8,30), "")</f>
        <v/>
      </c>
    </row>
    <row r="2742" spans="1:37" ht="16.05" customHeight="1">
      <c r="A2742" s="150" t="s">
        <v>4075</v>
      </c>
      <c r="B2742" s="151">
        <v>1059</v>
      </c>
      <c r="C2742" s="126" t="s">
        <v>2536</v>
      </c>
      <c r="D2742">
        <v>1892</v>
      </c>
      <c r="E2742" s="126" t="s">
        <v>4076</v>
      </c>
      <c r="F2742" s="122" t="s">
        <v>1607</v>
      </c>
      <c r="G2742" s="122" t="s">
        <v>134</v>
      </c>
      <c r="H2742">
        <v>541</v>
      </c>
      <c r="I2742" s="122" t="s">
        <v>1546</v>
      </c>
      <c r="J2742" s="307" t="s">
        <v>214</v>
      </c>
      <c r="K2742" s="127" t="s">
        <v>3806</v>
      </c>
      <c r="L2742" s="151" t="s">
        <v>3306</v>
      </c>
      <c r="M2742">
        <v>766</v>
      </c>
      <c r="N2742" s="123">
        <v>51</v>
      </c>
      <c r="O2742">
        <v>1866</v>
      </c>
      <c r="P2742" s="132" t="s">
        <v>77</v>
      </c>
      <c r="Q2742" s="131">
        <v>38696</v>
      </c>
      <c r="R2742" s="131">
        <v>6191.36</v>
      </c>
      <c r="S2742" s="131"/>
      <c r="T2742" s="155">
        <v>0</v>
      </c>
      <c r="U2742" s="131">
        <v>0</v>
      </c>
      <c r="V2742" s="131">
        <v>44887.360000000001</v>
      </c>
      <c r="W2742">
        <v>313</v>
      </c>
      <c r="X2742" s="151" t="s">
        <v>2035</v>
      </c>
      <c r="Y2742" s="135" t="s">
        <v>55</v>
      </c>
      <c r="Z2742" s="307">
        <v>240</v>
      </c>
      <c r="AB2742" t="str">
        <f>IF(Table1[[#This Row],[TIPO2]]="costo", VLOOKUP(Table1[[#This Row],[PARTIDA PRESUPUESTAL]],'Cost Report'!G:G,1,0),"Balance")</f>
        <v>2494-051</v>
      </c>
      <c r="AC2742" s="118"/>
      <c r="AD2742" s="159">
        <f>+Table1[[#This Row],[SUBTOTAL]]+Table1[[#This Row],[IVA]]-Table1[[#This Row],[RET IVA]]-Table1[[#This Row],[RET ISR]]-Table1[[#This Row],[TOTAL]]</f>
        <v>0</v>
      </c>
      <c r="AE2742" s="150"/>
      <c r="AF2742" s="151"/>
      <c r="AG2742" s="126"/>
      <c r="AK2742" s="306" t="str">
        <f>IF(ISNUMBER(Table1[[#This Row],[FECHA DE RECIBIDO]]), Table1[[#This Row],[FECHA DE RECIBIDO]]-DATE(2023,8,30), "")</f>
        <v/>
      </c>
    </row>
    <row r="2743" spans="1:37" ht="16.05" customHeight="1">
      <c r="A2743" s="152" t="s">
        <v>4077</v>
      </c>
      <c r="B2743" s="153">
        <v>1060</v>
      </c>
      <c r="C2743" s="126" t="s">
        <v>1511</v>
      </c>
      <c r="D2743">
        <v>1893</v>
      </c>
      <c r="E2743" s="126" t="s">
        <v>1646</v>
      </c>
      <c r="F2743" s="125" t="s">
        <v>1589</v>
      </c>
      <c r="G2743" s="125" t="s">
        <v>129</v>
      </c>
      <c r="H2743">
        <v>542</v>
      </c>
      <c r="I2743" s="125" t="s">
        <v>1546</v>
      </c>
      <c r="J2743" s="308" t="s">
        <v>214</v>
      </c>
      <c r="K2743" s="127" t="s">
        <v>3806</v>
      </c>
      <c r="L2743" s="153" t="s">
        <v>3306</v>
      </c>
      <c r="M2743">
        <v>767</v>
      </c>
      <c r="N2743" s="123">
        <v>51</v>
      </c>
      <c r="O2743">
        <v>1867</v>
      </c>
      <c r="P2743" s="132" t="s">
        <v>77</v>
      </c>
      <c r="Q2743" s="132">
        <v>2098</v>
      </c>
      <c r="R2743" s="132">
        <v>335.68</v>
      </c>
      <c r="S2743" s="132"/>
      <c r="T2743" s="156">
        <v>223.79</v>
      </c>
      <c r="U2743" s="132">
        <v>209.8</v>
      </c>
      <c r="V2743" s="132">
        <v>2000.09</v>
      </c>
      <c r="W2743">
        <v>314</v>
      </c>
      <c r="X2743" s="153" t="s">
        <v>2035</v>
      </c>
      <c r="Y2743" s="124" t="s">
        <v>55</v>
      </c>
      <c r="Z2743" s="308">
        <v>240</v>
      </c>
      <c r="AB2743" t="str">
        <f>IF(Table1[[#This Row],[TIPO2]]="costo", VLOOKUP(Table1[[#This Row],[PARTIDA PRESUPUESTAL]],'Cost Report'!G:G,1,0),"Balance")</f>
        <v>2494-015</v>
      </c>
      <c r="AC2743" s="118"/>
      <c r="AD2743" s="159">
        <f>+Table1[[#This Row],[SUBTOTAL]]+Table1[[#This Row],[IVA]]-Table1[[#This Row],[RET IVA]]-Table1[[#This Row],[RET ISR]]-Table1[[#This Row],[TOTAL]]</f>
        <v>0</v>
      </c>
      <c r="AE2743" s="152"/>
      <c r="AF2743" s="153"/>
      <c r="AG2743" s="126"/>
      <c r="AK2743" s="306" t="str">
        <f>IF(ISNUMBER(Table1[[#This Row],[FECHA DE RECIBIDO]]), Table1[[#This Row],[FECHA DE RECIBIDO]]-DATE(2023,8,30), "")</f>
        <v/>
      </c>
    </row>
    <row r="2744" spans="1:37" ht="16.05" customHeight="1">
      <c r="A2744" s="150" t="s">
        <v>4078</v>
      </c>
      <c r="B2744" s="151">
        <v>1061</v>
      </c>
      <c r="C2744" s="126" t="s">
        <v>1505</v>
      </c>
      <c r="D2744">
        <v>1894</v>
      </c>
      <c r="E2744" s="126" t="s">
        <v>1614</v>
      </c>
      <c r="F2744" s="122" t="s">
        <v>1602</v>
      </c>
      <c r="G2744" s="122" t="s">
        <v>1617</v>
      </c>
      <c r="H2744">
        <v>543</v>
      </c>
      <c r="I2744" s="122" t="s">
        <v>1546</v>
      </c>
      <c r="J2744" s="307" t="s">
        <v>214</v>
      </c>
      <c r="K2744" s="127" t="s">
        <v>3806</v>
      </c>
      <c r="L2744" s="151" t="s">
        <v>3306</v>
      </c>
      <c r="M2744">
        <v>768</v>
      </c>
      <c r="N2744" s="123">
        <v>51</v>
      </c>
      <c r="O2744">
        <v>1868</v>
      </c>
      <c r="P2744" s="132" t="s">
        <v>77</v>
      </c>
      <c r="Q2744" s="131">
        <v>14469</v>
      </c>
      <c r="R2744" s="131">
        <v>2315.04</v>
      </c>
      <c r="S2744" s="131"/>
      <c r="T2744" s="155">
        <v>0</v>
      </c>
      <c r="U2744" s="131">
        <v>0</v>
      </c>
      <c r="V2744" s="131">
        <v>16784.04</v>
      </c>
      <c r="W2744">
        <v>315</v>
      </c>
      <c r="X2744" s="151" t="s">
        <v>3817</v>
      </c>
      <c r="Y2744" s="135" t="s">
        <v>55</v>
      </c>
      <c r="Z2744" s="307">
        <v>240</v>
      </c>
      <c r="AB2744" t="str">
        <f>IF(Table1[[#This Row],[TIPO2]]="costo", VLOOKUP(Table1[[#This Row],[PARTIDA PRESUPUESTAL]],'Cost Report'!G:G,1,0),"Balance")</f>
        <v>2494-003</v>
      </c>
      <c r="AC2744" s="118"/>
      <c r="AD2744" s="159">
        <f>+Table1[[#This Row],[SUBTOTAL]]+Table1[[#This Row],[IVA]]-Table1[[#This Row],[RET IVA]]-Table1[[#This Row],[RET ISR]]-Table1[[#This Row],[TOTAL]]</f>
        <v>0</v>
      </c>
      <c r="AE2744" s="150"/>
      <c r="AF2744" s="151"/>
      <c r="AG2744" s="126"/>
      <c r="AK2744" s="306" t="str">
        <f>IF(ISNUMBER(Table1[[#This Row],[FECHA DE RECIBIDO]]), Table1[[#This Row],[FECHA DE RECIBIDO]]-DATE(2023,8,30), "")</f>
        <v/>
      </c>
    </row>
    <row r="2745" spans="1:37">
      <c r="A2745" s="152"/>
      <c r="B2745" s="153">
        <v>1062</v>
      </c>
      <c r="C2745" s="126" t="s">
        <v>1507</v>
      </c>
      <c r="D2745">
        <v>1895</v>
      </c>
      <c r="E2745" s="126" t="s">
        <v>1614</v>
      </c>
      <c r="F2745" s="125" t="s">
        <v>1602</v>
      </c>
      <c r="G2745" s="125" t="s">
        <v>1617</v>
      </c>
      <c r="H2745">
        <v>543</v>
      </c>
      <c r="I2745" s="125" t="s">
        <v>1546</v>
      </c>
      <c r="J2745" s="308" t="s">
        <v>214</v>
      </c>
      <c r="K2745" s="127" t="s">
        <v>3806</v>
      </c>
      <c r="L2745" s="153" t="s">
        <v>3306</v>
      </c>
      <c r="M2745">
        <v>768</v>
      </c>
      <c r="N2745" s="123">
        <v>51</v>
      </c>
      <c r="O2745">
        <v>1869</v>
      </c>
      <c r="P2745" s="132" t="s">
        <v>77</v>
      </c>
      <c r="Q2745" s="132">
        <v>25100</v>
      </c>
      <c r="R2745" s="132">
        <v>4016</v>
      </c>
      <c r="S2745" s="132"/>
      <c r="T2745" s="156">
        <v>0</v>
      </c>
      <c r="U2745" s="132">
        <v>0</v>
      </c>
      <c r="V2745" s="132">
        <v>29116</v>
      </c>
      <c r="W2745">
        <v>315</v>
      </c>
      <c r="X2745" s="153" t="s">
        <v>3817</v>
      </c>
      <c r="Y2745" s="124" t="s">
        <v>55</v>
      </c>
      <c r="Z2745" s="308">
        <v>240</v>
      </c>
      <c r="AB2745" t="str">
        <f>IF(Table1[[#This Row],[TIPO2]]="costo", VLOOKUP(Table1[[#This Row],[PARTIDA PRESUPUESTAL]],'Cost Report'!G:G,1,0),"Balance")</f>
        <v>2494-007</v>
      </c>
      <c r="AC2745" s="118"/>
      <c r="AD2745" s="159">
        <f>+Table1[[#This Row],[SUBTOTAL]]+Table1[[#This Row],[IVA]]-Table1[[#This Row],[RET IVA]]-Table1[[#This Row],[RET ISR]]-Table1[[#This Row],[TOTAL]]</f>
        <v>0</v>
      </c>
      <c r="AE2745" s="152"/>
      <c r="AF2745" s="153"/>
      <c r="AG2745" s="126"/>
      <c r="AK2745" s="306" t="str">
        <f>IF(ISNUMBER(Table1[[#This Row],[FECHA DE RECIBIDO]]), Table1[[#This Row],[FECHA DE RECIBIDO]]-DATE(2023,8,30), "")</f>
        <v/>
      </c>
    </row>
    <row r="2746" spans="1:37" ht="16.05" customHeight="1">
      <c r="A2746" s="150" t="s">
        <v>4079</v>
      </c>
      <c r="B2746" s="151">
        <v>1063</v>
      </c>
      <c r="C2746" s="126" t="s">
        <v>2484</v>
      </c>
      <c r="D2746">
        <v>1896</v>
      </c>
      <c r="E2746" s="126" t="s">
        <v>4080</v>
      </c>
      <c r="F2746" s="122" t="s">
        <v>1607</v>
      </c>
      <c r="G2746" s="122" t="s">
        <v>134</v>
      </c>
      <c r="H2746">
        <v>544</v>
      </c>
      <c r="I2746" s="122" t="s">
        <v>1546</v>
      </c>
      <c r="J2746" s="307" t="s">
        <v>214</v>
      </c>
      <c r="K2746" s="127" t="s">
        <v>3806</v>
      </c>
      <c r="L2746" s="151" t="s">
        <v>3306</v>
      </c>
      <c r="M2746">
        <v>769</v>
      </c>
      <c r="N2746" s="123">
        <v>51</v>
      </c>
      <c r="O2746">
        <v>1870</v>
      </c>
      <c r="P2746" s="132" t="s">
        <v>77</v>
      </c>
      <c r="Q2746" s="131">
        <v>28500</v>
      </c>
      <c r="R2746" s="131">
        <v>4560</v>
      </c>
      <c r="S2746" s="131"/>
      <c r="T2746" s="155">
        <v>0</v>
      </c>
      <c r="U2746" s="131">
        <v>0</v>
      </c>
      <c r="V2746" s="131">
        <v>33060</v>
      </c>
      <c r="W2746">
        <v>316</v>
      </c>
      <c r="X2746" s="151" t="s">
        <v>105</v>
      </c>
      <c r="Y2746" s="135" t="s">
        <v>55</v>
      </c>
      <c r="Z2746" s="307">
        <v>240</v>
      </c>
      <c r="AB2746" t="str">
        <f>IF(Table1[[#This Row],[TIPO2]]="costo", VLOOKUP(Table1[[#This Row],[PARTIDA PRESUPUESTAL]],'Cost Report'!G:G,1,0),"Balance")</f>
        <v>2394-041</v>
      </c>
      <c r="AC2746" s="118"/>
      <c r="AD2746" s="159">
        <f>+Table1[[#This Row],[SUBTOTAL]]+Table1[[#This Row],[IVA]]-Table1[[#This Row],[RET IVA]]-Table1[[#This Row],[RET ISR]]-Table1[[#This Row],[TOTAL]]</f>
        <v>0</v>
      </c>
      <c r="AE2746" s="150"/>
      <c r="AF2746" s="151"/>
      <c r="AG2746" s="126"/>
      <c r="AK2746" s="306" t="str">
        <f>IF(ISNUMBER(Table1[[#This Row],[FECHA DE RECIBIDO]]), Table1[[#This Row],[FECHA DE RECIBIDO]]-DATE(2023,8,30), "")</f>
        <v/>
      </c>
    </row>
    <row r="2747" spans="1:37" ht="16.05" customHeight="1">
      <c r="A2747" s="152" t="s">
        <v>4081</v>
      </c>
      <c r="B2747" s="153">
        <v>1064</v>
      </c>
      <c r="C2747" s="126" t="s">
        <v>1513</v>
      </c>
      <c r="D2747">
        <v>1897</v>
      </c>
      <c r="E2747" s="126" t="s">
        <v>3354</v>
      </c>
      <c r="F2747" s="125" t="s">
        <v>1589</v>
      </c>
      <c r="G2747" s="125" t="s">
        <v>129</v>
      </c>
      <c r="H2747">
        <v>348</v>
      </c>
      <c r="I2747" s="125" t="s">
        <v>1546</v>
      </c>
      <c r="J2747" s="308" t="s">
        <v>214</v>
      </c>
      <c r="K2747" s="127" t="s">
        <v>3806</v>
      </c>
      <c r="L2747" s="153" t="s">
        <v>3306</v>
      </c>
      <c r="M2747">
        <v>770</v>
      </c>
      <c r="N2747" s="123">
        <v>51</v>
      </c>
      <c r="O2747">
        <v>1871</v>
      </c>
      <c r="P2747" s="132" t="s">
        <v>77</v>
      </c>
      <c r="Q2747" s="132">
        <v>1290</v>
      </c>
      <c r="R2747" s="132">
        <v>206.4</v>
      </c>
      <c r="S2747" s="132"/>
      <c r="T2747" s="156">
        <v>137.6</v>
      </c>
      <c r="U2747" s="132">
        <v>129</v>
      </c>
      <c r="V2747" s="132">
        <v>1229.8000000000002</v>
      </c>
      <c r="W2747">
        <v>185</v>
      </c>
      <c r="X2747" s="153" t="s">
        <v>3120</v>
      </c>
      <c r="Y2747" s="124" t="s">
        <v>55</v>
      </c>
      <c r="Z2747" s="308">
        <v>240</v>
      </c>
      <c r="AB2747" t="str">
        <f>IF(Table1[[#This Row],[TIPO2]]="costo", VLOOKUP(Table1[[#This Row],[PARTIDA PRESUPUESTAL]],'Cost Report'!G:G,1,0),"Balance")</f>
        <v>2494-019</v>
      </c>
      <c r="AC2747" s="118"/>
      <c r="AD2747" s="159">
        <f>+Table1[[#This Row],[SUBTOTAL]]+Table1[[#This Row],[IVA]]-Table1[[#This Row],[RET IVA]]-Table1[[#This Row],[RET ISR]]-Table1[[#This Row],[TOTAL]]</f>
        <v>0</v>
      </c>
      <c r="AE2747" s="152"/>
      <c r="AF2747" s="153"/>
      <c r="AG2747" s="126"/>
      <c r="AK2747" s="306" t="str">
        <f>IF(ISNUMBER(Table1[[#This Row],[FECHA DE RECIBIDO]]), Table1[[#This Row],[FECHA DE RECIBIDO]]-DATE(2023,8,30), "")</f>
        <v/>
      </c>
    </row>
    <row r="2748" spans="1:37" ht="16.05" customHeight="1">
      <c r="A2748" s="150" t="s">
        <v>4082</v>
      </c>
      <c r="B2748" s="151">
        <v>1065</v>
      </c>
      <c r="C2748" s="126" t="s">
        <v>253</v>
      </c>
      <c r="D2748">
        <v>1898</v>
      </c>
      <c r="E2748" s="126" t="s">
        <v>3354</v>
      </c>
      <c r="F2748" s="122" t="s">
        <v>1371</v>
      </c>
      <c r="G2748" s="122" t="s">
        <v>2065</v>
      </c>
      <c r="H2748">
        <v>454</v>
      </c>
      <c r="I2748" s="122" t="s">
        <v>1546</v>
      </c>
      <c r="J2748" s="307" t="s">
        <v>214</v>
      </c>
      <c r="K2748" s="127">
        <v>4</v>
      </c>
      <c r="L2748" s="151" t="s">
        <v>3306</v>
      </c>
      <c r="M2748">
        <v>630</v>
      </c>
      <c r="N2748" s="123">
        <v>1</v>
      </c>
      <c r="O2748">
        <v>1481</v>
      </c>
      <c r="P2748" s="132" t="s">
        <v>77</v>
      </c>
      <c r="Q2748" s="131">
        <v>15070.72</v>
      </c>
      <c r="R2748" s="131">
        <v>1936.5220000000002</v>
      </c>
      <c r="S2748" s="131"/>
      <c r="T2748" s="155">
        <v>0</v>
      </c>
      <c r="U2748" s="131">
        <v>0</v>
      </c>
      <c r="V2748" s="131">
        <f t="shared" ref="V2748:V2790" si="53">+Q2748+R2748-T2748-U2748</f>
        <v>17007.241999999998</v>
      </c>
      <c r="W2748">
        <v>242</v>
      </c>
      <c r="X2748" s="151" t="s">
        <v>2035</v>
      </c>
      <c r="Y2748" s="135" t="s">
        <v>55</v>
      </c>
      <c r="Z2748" s="307">
        <v>240</v>
      </c>
      <c r="AB2748" t="str">
        <f>IF(Table1[[#This Row],[TIPO2]]="costo", VLOOKUP(Table1[[#This Row],[PARTIDA PRESUPUESTAL]],'Cost Report'!G:G,1,0),"Balance")</f>
        <v>1301-004</v>
      </c>
      <c r="AC2748" s="118"/>
      <c r="AD2748" s="159">
        <f>+Table1[[#This Row],[SUBTOTAL]]+Table1[[#This Row],[IVA]]-Table1[[#This Row],[RET IVA]]-Table1[[#This Row],[RET ISR]]-Table1[[#This Row],[TOTAL]]</f>
        <v>0</v>
      </c>
      <c r="AE2748" s="150"/>
      <c r="AF2748" s="151"/>
      <c r="AG2748" s="126"/>
      <c r="AK2748" s="306" t="str">
        <f>IF(ISNUMBER(Table1[[#This Row],[FECHA DE RECIBIDO]]), Table1[[#This Row],[FECHA DE RECIBIDO]]-DATE(2023,8,30), "")</f>
        <v/>
      </c>
    </row>
    <row r="2749" spans="1:37" ht="16.05" customHeight="1">
      <c r="A2749" s="152"/>
      <c r="B2749" s="153"/>
      <c r="C2749" s="126" t="s">
        <v>254</v>
      </c>
      <c r="D2749">
        <v>1898</v>
      </c>
      <c r="E2749" s="126" t="s">
        <v>3354</v>
      </c>
      <c r="F2749" s="125" t="s">
        <v>1371</v>
      </c>
      <c r="G2749" s="125" t="s">
        <v>2065</v>
      </c>
      <c r="H2749">
        <v>454</v>
      </c>
      <c r="I2749" s="125" t="s">
        <v>1546</v>
      </c>
      <c r="J2749" s="308" t="s">
        <v>214</v>
      </c>
      <c r="K2749" s="127">
        <v>4</v>
      </c>
      <c r="L2749" s="153" t="s">
        <v>3306</v>
      </c>
      <c r="M2749">
        <v>630</v>
      </c>
      <c r="N2749" s="123">
        <v>1</v>
      </c>
      <c r="O2749">
        <v>1481</v>
      </c>
      <c r="P2749" s="132" t="s">
        <v>77</v>
      </c>
      <c r="Q2749" s="132">
        <v>2595.27</v>
      </c>
      <c r="R2749" s="132">
        <v>688.97699999999998</v>
      </c>
      <c r="S2749" s="132"/>
      <c r="T2749" s="156">
        <v>0</v>
      </c>
      <c r="U2749" s="132">
        <v>0</v>
      </c>
      <c r="V2749" s="132">
        <f t="shared" si="53"/>
        <v>3284.2469999999998</v>
      </c>
      <c r="W2749">
        <v>242</v>
      </c>
      <c r="X2749" s="153" t="s">
        <v>2035</v>
      </c>
      <c r="Y2749" s="124" t="s">
        <v>55</v>
      </c>
      <c r="Z2749" s="308">
        <v>240</v>
      </c>
      <c r="AB2749" t="str">
        <f>IF(Table1[[#This Row],[TIPO2]]="costo", VLOOKUP(Table1[[#This Row],[PARTIDA PRESUPUESTAL]],'Cost Report'!G:G,1,0),"Balance")</f>
        <v>1301-005</v>
      </c>
      <c r="AC2749" s="118"/>
      <c r="AD2749" s="159">
        <f>+Table1[[#This Row],[SUBTOTAL]]+Table1[[#This Row],[IVA]]-Table1[[#This Row],[RET IVA]]-Table1[[#This Row],[RET ISR]]-Table1[[#This Row],[TOTAL]]</f>
        <v>0</v>
      </c>
      <c r="AE2749" s="152"/>
      <c r="AF2749" s="153"/>
      <c r="AG2749" s="126"/>
      <c r="AK2749" s="306" t="str">
        <f>IF(ISNUMBER(Table1[[#This Row],[FECHA DE RECIBIDO]]), Table1[[#This Row],[FECHA DE RECIBIDO]]-DATE(2023,8,30), "")</f>
        <v/>
      </c>
    </row>
    <row r="2750" spans="1:37" ht="16.05" customHeight="1">
      <c r="A2750" s="150"/>
      <c r="B2750" s="151"/>
      <c r="C2750" s="126" t="s">
        <v>255</v>
      </c>
      <c r="D2750">
        <v>1898</v>
      </c>
      <c r="E2750" s="126" t="s">
        <v>3354</v>
      </c>
      <c r="F2750" s="122" t="s">
        <v>1371</v>
      </c>
      <c r="G2750" s="122" t="s">
        <v>2065</v>
      </c>
      <c r="H2750">
        <v>454</v>
      </c>
      <c r="I2750" s="122" t="s">
        <v>1546</v>
      </c>
      <c r="J2750" s="307" t="s">
        <v>214</v>
      </c>
      <c r="K2750" s="127">
        <v>4</v>
      </c>
      <c r="L2750" s="151" t="s">
        <v>3306</v>
      </c>
      <c r="M2750">
        <v>630</v>
      </c>
      <c r="N2750" s="123">
        <v>1</v>
      </c>
      <c r="O2750">
        <v>1481</v>
      </c>
      <c r="P2750" s="132" t="s">
        <v>77</v>
      </c>
      <c r="Q2750" s="131">
        <v>14954.74</v>
      </c>
      <c r="R2750" s="131">
        <v>1924.9240000000002</v>
      </c>
      <c r="S2750" s="131"/>
      <c r="T2750" s="155">
        <v>0</v>
      </c>
      <c r="U2750" s="131">
        <v>0</v>
      </c>
      <c r="V2750" s="131">
        <f t="shared" si="53"/>
        <v>16879.664000000001</v>
      </c>
      <c r="W2750">
        <v>242</v>
      </c>
      <c r="X2750" s="151" t="s">
        <v>2035</v>
      </c>
      <c r="Y2750" s="135" t="s">
        <v>55</v>
      </c>
      <c r="Z2750" s="307">
        <v>240</v>
      </c>
      <c r="AB2750" t="str">
        <f>IF(Table1[[#This Row],[TIPO2]]="costo", VLOOKUP(Table1[[#This Row],[PARTIDA PRESUPUESTAL]],'Cost Report'!G:G,1,0),"Balance")</f>
        <v>1301-006</v>
      </c>
      <c r="AC2750" s="118"/>
      <c r="AD2750" s="159">
        <f>+Table1[[#This Row],[SUBTOTAL]]+Table1[[#This Row],[IVA]]-Table1[[#This Row],[RET IVA]]-Table1[[#This Row],[RET ISR]]-Table1[[#This Row],[TOTAL]]</f>
        <v>0</v>
      </c>
      <c r="AE2750" s="150"/>
      <c r="AF2750" s="151"/>
      <c r="AG2750" s="126"/>
      <c r="AK2750" s="306" t="str">
        <f>IF(ISNUMBER(Table1[[#This Row],[FECHA DE RECIBIDO]]), Table1[[#This Row],[FECHA DE RECIBIDO]]-DATE(2023,8,30), "")</f>
        <v/>
      </c>
    </row>
    <row r="2751" spans="1:37" ht="16.05" customHeight="1">
      <c r="A2751" s="152"/>
      <c r="B2751" s="153"/>
      <c r="C2751" s="126" t="s">
        <v>256</v>
      </c>
      <c r="D2751">
        <v>1898</v>
      </c>
      <c r="E2751" s="126" t="s">
        <v>3354</v>
      </c>
      <c r="F2751" s="125" t="s">
        <v>1371</v>
      </c>
      <c r="G2751" s="125" t="s">
        <v>2065</v>
      </c>
      <c r="H2751">
        <v>454</v>
      </c>
      <c r="I2751" s="125" t="s">
        <v>1546</v>
      </c>
      <c r="J2751" s="308" t="s">
        <v>214</v>
      </c>
      <c r="K2751" s="127">
        <v>4</v>
      </c>
      <c r="L2751" s="153" t="s">
        <v>3306</v>
      </c>
      <c r="M2751">
        <v>630</v>
      </c>
      <c r="N2751" s="123">
        <v>1</v>
      </c>
      <c r="O2751">
        <v>1481</v>
      </c>
      <c r="P2751" s="132" t="s">
        <v>77</v>
      </c>
      <c r="Q2751" s="132">
        <v>2433.56</v>
      </c>
      <c r="R2751" s="132">
        <v>672.89600000000007</v>
      </c>
      <c r="S2751" s="132"/>
      <c r="T2751" s="156">
        <v>0</v>
      </c>
      <c r="U2751" s="132">
        <v>0</v>
      </c>
      <c r="V2751" s="132">
        <f t="shared" si="53"/>
        <v>3106.4560000000001</v>
      </c>
      <c r="W2751">
        <v>242</v>
      </c>
      <c r="X2751" s="153" t="s">
        <v>2035</v>
      </c>
      <c r="Y2751" s="124" t="s">
        <v>55</v>
      </c>
      <c r="Z2751" s="308">
        <v>240</v>
      </c>
      <c r="AB2751" t="str">
        <f>IF(Table1[[#This Row],[TIPO2]]="costo", VLOOKUP(Table1[[#This Row],[PARTIDA PRESUPUESTAL]],'Cost Report'!G:G,1,0),"Balance")</f>
        <v>1301-007</v>
      </c>
      <c r="AC2751" s="118"/>
      <c r="AD2751" s="159">
        <f>+Table1[[#This Row],[SUBTOTAL]]+Table1[[#This Row],[IVA]]-Table1[[#This Row],[RET IVA]]-Table1[[#This Row],[RET ISR]]-Table1[[#This Row],[TOTAL]]</f>
        <v>0</v>
      </c>
      <c r="AE2751" s="152"/>
      <c r="AF2751" s="153"/>
      <c r="AG2751" s="126"/>
      <c r="AK2751" s="306" t="str">
        <f>IF(ISNUMBER(Table1[[#This Row],[FECHA DE RECIBIDO]]), Table1[[#This Row],[FECHA DE RECIBIDO]]-DATE(2023,8,30), "")</f>
        <v/>
      </c>
    </row>
    <row r="2752" spans="1:37" ht="16.05" customHeight="1">
      <c r="A2752" s="150"/>
      <c r="B2752" s="151">
        <v>1066</v>
      </c>
      <c r="C2752" s="126" t="s">
        <v>279</v>
      </c>
      <c r="D2752">
        <v>1899</v>
      </c>
      <c r="E2752" s="126" t="s">
        <v>3354</v>
      </c>
      <c r="F2752" s="122" t="s">
        <v>1371</v>
      </c>
      <c r="G2752" s="122" t="s">
        <v>2065</v>
      </c>
      <c r="H2752">
        <v>454</v>
      </c>
      <c r="I2752" s="122" t="s">
        <v>1546</v>
      </c>
      <c r="J2752" s="307" t="s">
        <v>214</v>
      </c>
      <c r="K2752" s="127">
        <v>4</v>
      </c>
      <c r="L2752" s="151" t="s">
        <v>3306</v>
      </c>
      <c r="M2752">
        <v>630</v>
      </c>
      <c r="N2752" s="123">
        <v>1</v>
      </c>
      <c r="O2752">
        <v>1480</v>
      </c>
      <c r="P2752" s="132" t="s">
        <v>77</v>
      </c>
      <c r="Q2752" s="131">
        <v>22182.22</v>
      </c>
      <c r="R2752" s="131">
        <v>2647.672</v>
      </c>
      <c r="S2752" s="131"/>
      <c r="T2752" s="155">
        <v>0</v>
      </c>
      <c r="U2752" s="131">
        <v>0</v>
      </c>
      <c r="V2752" s="131">
        <f t="shared" si="53"/>
        <v>24829.892</v>
      </c>
      <c r="W2752">
        <v>242</v>
      </c>
      <c r="X2752" s="151" t="s">
        <v>2035</v>
      </c>
      <c r="Y2752" s="135" t="s">
        <v>55</v>
      </c>
      <c r="Z2752" s="307">
        <v>240</v>
      </c>
      <c r="AB2752" t="str">
        <f>IF(Table1[[#This Row],[TIPO2]]="costo", VLOOKUP(Table1[[#This Row],[PARTIDA PRESUPUESTAL]],'Cost Report'!G:G,1,0),"Balance")</f>
        <v>1401-003</v>
      </c>
      <c r="AC2752" s="118"/>
      <c r="AD2752" s="159">
        <f>+Table1[[#This Row],[SUBTOTAL]]+Table1[[#This Row],[IVA]]-Table1[[#This Row],[RET IVA]]-Table1[[#This Row],[RET ISR]]-Table1[[#This Row],[TOTAL]]</f>
        <v>0</v>
      </c>
      <c r="AE2752" s="150"/>
      <c r="AF2752" s="151"/>
      <c r="AG2752" s="126"/>
      <c r="AK2752" s="306" t="str">
        <f>IF(ISNUMBER(Table1[[#This Row],[FECHA DE RECIBIDO]]), Table1[[#This Row],[FECHA DE RECIBIDO]]-DATE(2023,8,30), "")</f>
        <v/>
      </c>
    </row>
    <row r="2753" spans="1:37" ht="16.05" customHeight="1">
      <c r="A2753" s="152"/>
      <c r="B2753" s="153"/>
      <c r="C2753" s="126" t="s">
        <v>282</v>
      </c>
      <c r="D2753">
        <v>1899</v>
      </c>
      <c r="E2753" s="126" t="s">
        <v>3354</v>
      </c>
      <c r="F2753" s="125" t="s">
        <v>1371</v>
      </c>
      <c r="G2753" s="125" t="s">
        <v>2065</v>
      </c>
      <c r="H2753">
        <v>454</v>
      </c>
      <c r="I2753" s="125" t="s">
        <v>1546</v>
      </c>
      <c r="J2753" s="308" t="s">
        <v>214</v>
      </c>
      <c r="K2753" s="127">
        <v>4</v>
      </c>
      <c r="L2753" s="153" t="s">
        <v>3306</v>
      </c>
      <c r="M2753">
        <v>630</v>
      </c>
      <c r="N2753" s="123">
        <v>1</v>
      </c>
      <c r="O2753">
        <v>1480</v>
      </c>
      <c r="P2753" s="132" t="s">
        <v>77</v>
      </c>
      <c r="Q2753" s="132">
        <v>3780.52</v>
      </c>
      <c r="R2753" s="132">
        <v>807.50199999999995</v>
      </c>
      <c r="S2753" s="132"/>
      <c r="T2753" s="156">
        <v>0</v>
      </c>
      <c r="U2753" s="132">
        <v>0</v>
      </c>
      <c r="V2753" s="132">
        <f t="shared" si="53"/>
        <v>4588.0219999999999</v>
      </c>
      <c r="W2753">
        <v>242</v>
      </c>
      <c r="X2753" s="153" t="s">
        <v>2035</v>
      </c>
      <c r="Y2753" s="124" t="s">
        <v>55</v>
      </c>
      <c r="Z2753" s="308">
        <v>240</v>
      </c>
      <c r="AB2753" t="str">
        <f>IF(Table1[[#This Row],[TIPO2]]="costo", VLOOKUP(Table1[[#This Row],[PARTIDA PRESUPUESTAL]],'Cost Report'!G:G,1,0),"Balance")</f>
        <v>1401-006</v>
      </c>
      <c r="AC2753" s="118"/>
      <c r="AD2753" s="159">
        <f>+Table1[[#This Row],[SUBTOTAL]]+Table1[[#This Row],[IVA]]-Table1[[#This Row],[RET IVA]]-Table1[[#This Row],[RET ISR]]-Table1[[#This Row],[TOTAL]]</f>
        <v>0</v>
      </c>
      <c r="AE2753" s="152"/>
      <c r="AF2753" s="153"/>
      <c r="AG2753" s="126"/>
      <c r="AK2753" s="306" t="str">
        <f>IF(ISNUMBER(Table1[[#This Row],[FECHA DE RECIBIDO]]), Table1[[#This Row],[FECHA DE RECIBIDO]]-DATE(2023,8,30), "")</f>
        <v/>
      </c>
    </row>
    <row r="2754" spans="1:37" ht="16.05" customHeight="1">
      <c r="A2754" s="150"/>
      <c r="B2754" s="151"/>
      <c r="C2754" s="126" t="s">
        <v>283</v>
      </c>
      <c r="D2754">
        <v>1899</v>
      </c>
      <c r="E2754" s="126" t="s">
        <v>3354</v>
      </c>
      <c r="F2754" s="122" t="s">
        <v>1371</v>
      </c>
      <c r="G2754" s="122" t="s">
        <v>2065</v>
      </c>
      <c r="H2754">
        <v>454</v>
      </c>
      <c r="I2754" s="122" t="s">
        <v>1546</v>
      </c>
      <c r="J2754" s="307" t="s">
        <v>214</v>
      </c>
      <c r="K2754" s="127">
        <v>4</v>
      </c>
      <c r="L2754" s="151" t="s">
        <v>3306</v>
      </c>
      <c r="M2754">
        <v>630</v>
      </c>
      <c r="N2754" s="123">
        <v>1</v>
      </c>
      <c r="O2754">
        <v>1480</v>
      </c>
      <c r="P2754" s="132" t="s">
        <v>77</v>
      </c>
      <c r="Q2754" s="131">
        <v>10889.89</v>
      </c>
      <c r="R2754" s="131">
        <v>1518.4390000000001</v>
      </c>
      <c r="S2754" s="131"/>
      <c r="T2754" s="155">
        <v>0</v>
      </c>
      <c r="U2754" s="131">
        <v>0</v>
      </c>
      <c r="V2754" s="131">
        <f t="shared" si="53"/>
        <v>12408.329</v>
      </c>
      <c r="W2754">
        <v>242</v>
      </c>
      <c r="X2754" s="151" t="s">
        <v>2035</v>
      </c>
      <c r="Y2754" s="135" t="s">
        <v>55</v>
      </c>
      <c r="Z2754" s="307">
        <v>240</v>
      </c>
      <c r="AB2754" t="str">
        <f>IF(Table1[[#This Row],[TIPO2]]="costo", VLOOKUP(Table1[[#This Row],[PARTIDA PRESUPUESTAL]],'Cost Report'!G:G,1,0),"Balance")</f>
        <v>1401-007</v>
      </c>
      <c r="AC2754" s="118"/>
      <c r="AD2754" s="159">
        <f>+Table1[[#This Row],[SUBTOTAL]]+Table1[[#This Row],[IVA]]-Table1[[#This Row],[RET IVA]]-Table1[[#This Row],[RET ISR]]-Table1[[#This Row],[TOTAL]]</f>
        <v>0</v>
      </c>
      <c r="AE2754" s="150"/>
      <c r="AF2754" s="151"/>
      <c r="AG2754" s="126"/>
      <c r="AK2754" s="306" t="str">
        <f>IF(ISNUMBER(Table1[[#This Row],[FECHA DE RECIBIDO]]), Table1[[#This Row],[FECHA DE RECIBIDO]]-DATE(2023,8,30), "")</f>
        <v/>
      </c>
    </row>
    <row r="2755" spans="1:37" ht="16.05" customHeight="1">
      <c r="A2755" s="152"/>
      <c r="B2755" s="153"/>
      <c r="C2755" s="126" t="s">
        <v>286</v>
      </c>
      <c r="D2755">
        <v>1899</v>
      </c>
      <c r="E2755" s="126" t="s">
        <v>3354</v>
      </c>
      <c r="F2755" s="125" t="s">
        <v>1371</v>
      </c>
      <c r="G2755" s="125" t="s">
        <v>2065</v>
      </c>
      <c r="H2755">
        <v>454</v>
      </c>
      <c r="I2755" s="125" t="s">
        <v>1546</v>
      </c>
      <c r="J2755" s="308" t="s">
        <v>214</v>
      </c>
      <c r="K2755" s="127">
        <v>4</v>
      </c>
      <c r="L2755" s="153" t="s">
        <v>3306</v>
      </c>
      <c r="M2755">
        <v>630</v>
      </c>
      <c r="N2755" s="123">
        <v>1</v>
      </c>
      <c r="O2755">
        <v>1480</v>
      </c>
      <c r="P2755" s="132" t="s">
        <v>77</v>
      </c>
      <c r="Q2755" s="132">
        <v>22182.22</v>
      </c>
      <c r="R2755" s="132">
        <v>2647.672</v>
      </c>
      <c r="S2755" s="132"/>
      <c r="T2755" s="156">
        <v>0</v>
      </c>
      <c r="U2755" s="132">
        <v>0</v>
      </c>
      <c r="V2755" s="132">
        <f t="shared" si="53"/>
        <v>24829.892</v>
      </c>
      <c r="W2755">
        <v>242</v>
      </c>
      <c r="X2755" s="153" t="s">
        <v>2035</v>
      </c>
      <c r="Y2755" s="124" t="s">
        <v>55</v>
      </c>
      <c r="Z2755" s="308">
        <v>240</v>
      </c>
      <c r="AB2755" t="str">
        <f>IF(Table1[[#This Row],[TIPO2]]="costo", VLOOKUP(Table1[[#This Row],[PARTIDA PRESUPUESTAL]],'Cost Report'!G:G,1,0),"Balance")</f>
        <v>1401-012</v>
      </c>
      <c r="AC2755" s="118"/>
      <c r="AD2755" s="159">
        <f>+Table1[[#This Row],[SUBTOTAL]]+Table1[[#This Row],[IVA]]-Table1[[#This Row],[RET IVA]]-Table1[[#This Row],[RET ISR]]-Table1[[#This Row],[TOTAL]]</f>
        <v>0</v>
      </c>
      <c r="AE2755" s="152"/>
      <c r="AF2755" s="153"/>
      <c r="AG2755" s="126"/>
      <c r="AK2755" s="306" t="str">
        <f>IF(ISNUMBER(Table1[[#This Row],[FECHA DE RECIBIDO]]), Table1[[#This Row],[FECHA DE RECIBIDO]]-DATE(2023,8,30), "")</f>
        <v/>
      </c>
    </row>
    <row r="2756" spans="1:37" ht="16.05" customHeight="1">
      <c r="A2756" s="150"/>
      <c r="B2756" s="151"/>
      <c r="C2756" s="126" t="s">
        <v>289</v>
      </c>
      <c r="D2756">
        <v>1899</v>
      </c>
      <c r="E2756" s="126" t="s">
        <v>3354</v>
      </c>
      <c r="F2756" s="122" t="s">
        <v>1371</v>
      </c>
      <c r="G2756" s="122" t="s">
        <v>2065</v>
      </c>
      <c r="H2756">
        <v>454</v>
      </c>
      <c r="I2756" s="122" t="s">
        <v>1546</v>
      </c>
      <c r="J2756" s="307" t="s">
        <v>214</v>
      </c>
      <c r="K2756" s="127">
        <v>4</v>
      </c>
      <c r="L2756" s="151" t="s">
        <v>3306</v>
      </c>
      <c r="M2756">
        <v>630</v>
      </c>
      <c r="N2756" s="123">
        <v>1</v>
      </c>
      <c r="O2756">
        <v>1480</v>
      </c>
      <c r="P2756" s="132" t="s">
        <v>77</v>
      </c>
      <c r="Q2756" s="131">
        <v>3780.52</v>
      </c>
      <c r="R2756" s="131">
        <v>807.50199999999995</v>
      </c>
      <c r="S2756" s="131"/>
      <c r="T2756" s="155">
        <v>0</v>
      </c>
      <c r="U2756" s="131">
        <v>0</v>
      </c>
      <c r="V2756" s="131">
        <f t="shared" si="53"/>
        <v>4588.0219999999999</v>
      </c>
      <c r="W2756">
        <v>242</v>
      </c>
      <c r="X2756" s="151" t="s">
        <v>2035</v>
      </c>
      <c r="Y2756" s="135" t="s">
        <v>55</v>
      </c>
      <c r="Z2756" s="307">
        <v>240</v>
      </c>
      <c r="AB2756" t="str">
        <f>IF(Table1[[#This Row],[TIPO2]]="costo", VLOOKUP(Table1[[#This Row],[PARTIDA PRESUPUESTAL]],'Cost Report'!G:G,1,0),"Balance")</f>
        <v>1401-015</v>
      </c>
      <c r="AC2756" s="118"/>
      <c r="AD2756" s="159">
        <f>+Table1[[#This Row],[SUBTOTAL]]+Table1[[#This Row],[IVA]]-Table1[[#This Row],[RET IVA]]-Table1[[#This Row],[RET ISR]]-Table1[[#This Row],[TOTAL]]</f>
        <v>0</v>
      </c>
      <c r="AE2756" s="150"/>
      <c r="AF2756" s="151"/>
      <c r="AG2756" s="126"/>
      <c r="AK2756" s="306" t="str">
        <f>IF(ISNUMBER(Table1[[#This Row],[FECHA DE RECIBIDO]]), Table1[[#This Row],[FECHA DE RECIBIDO]]-DATE(2023,8,30), "")</f>
        <v/>
      </c>
    </row>
    <row r="2757" spans="1:37" ht="16.05" customHeight="1">
      <c r="A2757" s="152"/>
      <c r="B2757" s="153"/>
      <c r="C2757" s="126" t="s">
        <v>290</v>
      </c>
      <c r="D2757">
        <v>1899</v>
      </c>
      <c r="E2757" s="126" t="s">
        <v>3354</v>
      </c>
      <c r="F2757" s="125" t="s">
        <v>1371</v>
      </c>
      <c r="G2757" s="125" t="s">
        <v>2065</v>
      </c>
      <c r="H2757">
        <v>454</v>
      </c>
      <c r="I2757" s="125" t="s">
        <v>1546</v>
      </c>
      <c r="J2757" s="308" t="s">
        <v>214</v>
      </c>
      <c r="K2757" s="127">
        <v>4</v>
      </c>
      <c r="L2757" s="153" t="s">
        <v>3306</v>
      </c>
      <c r="M2757">
        <v>630</v>
      </c>
      <c r="N2757" s="123">
        <v>1</v>
      </c>
      <c r="O2757">
        <v>1480</v>
      </c>
      <c r="P2757" s="132" t="s">
        <v>77</v>
      </c>
      <c r="Q2757" s="132">
        <v>7867.62</v>
      </c>
      <c r="R2757" s="132">
        <v>1216.212</v>
      </c>
      <c r="S2757" s="132"/>
      <c r="T2757" s="156">
        <v>0</v>
      </c>
      <c r="U2757" s="132">
        <v>0</v>
      </c>
      <c r="V2757" s="132">
        <f t="shared" si="53"/>
        <v>9083.8320000000003</v>
      </c>
      <c r="W2757">
        <v>242</v>
      </c>
      <c r="X2757" s="153" t="s">
        <v>2035</v>
      </c>
      <c r="Y2757" s="124" t="s">
        <v>55</v>
      </c>
      <c r="Z2757" s="308">
        <v>240</v>
      </c>
      <c r="AB2757" t="str">
        <f>IF(Table1[[#This Row],[TIPO2]]="costo", VLOOKUP(Table1[[#This Row],[PARTIDA PRESUPUESTAL]],'Cost Report'!G:G,1,0),"Balance")</f>
        <v>1401-016</v>
      </c>
      <c r="AC2757" s="118"/>
      <c r="AD2757" s="159">
        <f>+Table1[[#This Row],[SUBTOTAL]]+Table1[[#This Row],[IVA]]-Table1[[#This Row],[RET IVA]]-Table1[[#This Row],[RET ISR]]-Table1[[#This Row],[TOTAL]]</f>
        <v>0</v>
      </c>
      <c r="AE2757" s="152"/>
      <c r="AF2757" s="153"/>
      <c r="AG2757" s="126"/>
      <c r="AK2757" s="306" t="str">
        <f>IF(ISNUMBER(Table1[[#This Row],[FECHA DE RECIBIDO]]), Table1[[#This Row],[FECHA DE RECIBIDO]]-DATE(2023,8,30), "")</f>
        <v/>
      </c>
    </row>
    <row r="2758" spans="1:37" ht="16.05" customHeight="1">
      <c r="A2758" s="150"/>
      <c r="B2758" s="151"/>
      <c r="C2758" s="126" t="s">
        <v>293</v>
      </c>
      <c r="D2758">
        <v>1899</v>
      </c>
      <c r="E2758" s="126" t="s">
        <v>3354</v>
      </c>
      <c r="F2758" s="122" t="s">
        <v>1371</v>
      </c>
      <c r="G2758" s="122" t="s">
        <v>2065</v>
      </c>
      <c r="H2758">
        <v>454</v>
      </c>
      <c r="I2758" s="122" t="s">
        <v>1546</v>
      </c>
      <c r="J2758" s="307" t="s">
        <v>214</v>
      </c>
      <c r="K2758" s="127">
        <v>4</v>
      </c>
      <c r="L2758" s="151" t="s">
        <v>3306</v>
      </c>
      <c r="M2758">
        <v>630</v>
      </c>
      <c r="N2758" s="123">
        <v>1</v>
      </c>
      <c r="O2758">
        <v>1480</v>
      </c>
      <c r="P2758" s="132" t="s">
        <v>77</v>
      </c>
      <c r="Q2758" s="131">
        <v>22182.22</v>
      </c>
      <c r="R2758" s="131">
        <v>2647.672</v>
      </c>
      <c r="S2758" s="131"/>
      <c r="T2758" s="155">
        <v>0</v>
      </c>
      <c r="U2758" s="131">
        <v>0</v>
      </c>
      <c r="V2758" s="131">
        <f t="shared" si="53"/>
        <v>24829.892</v>
      </c>
      <c r="W2758">
        <v>242</v>
      </c>
      <c r="X2758" s="151" t="s">
        <v>2035</v>
      </c>
      <c r="Y2758" s="135" t="s">
        <v>55</v>
      </c>
      <c r="Z2758" s="307">
        <v>240</v>
      </c>
      <c r="AB2758" t="str">
        <f>IF(Table1[[#This Row],[TIPO2]]="costo", VLOOKUP(Table1[[#This Row],[PARTIDA PRESUPUESTAL]],'Cost Report'!G:G,1,0),"Balance")</f>
        <v>1401-021</v>
      </c>
      <c r="AC2758" s="118"/>
      <c r="AD2758" s="159">
        <f>+Table1[[#This Row],[SUBTOTAL]]+Table1[[#This Row],[IVA]]-Table1[[#This Row],[RET IVA]]-Table1[[#This Row],[RET ISR]]-Table1[[#This Row],[TOTAL]]</f>
        <v>0</v>
      </c>
      <c r="AE2758" s="150"/>
      <c r="AF2758" s="151"/>
      <c r="AG2758" s="126"/>
      <c r="AK2758" s="306" t="str">
        <f>IF(ISNUMBER(Table1[[#This Row],[FECHA DE RECIBIDO]]), Table1[[#This Row],[FECHA DE RECIBIDO]]-DATE(2023,8,30), "")</f>
        <v/>
      </c>
    </row>
    <row r="2759" spans="1:37" ht="16.05" customHeight="1">
      <c r="A2759" s="152"/>
      <c r="B2759" s="153"/>
      <c r="C2759" s="126" t="s">
        <v>296</v>
      </c>
      <c r="D2759">
        <v>1899</v>
      </c>
      <c r="E2759" s="126" t="s">
        <v>3354</v>
      </c>
      <c r="F2759" s="125" t="s">
        <v>1371</v>
      </c>
      <c r="G2759" s="125" t="s">
        <v>2065</v>
      </c>
      <c r="H2759">
        <v>454</v>
      </c>
      <c r="I2759" s="125" t="s">
        <v>1546</v>
      </c>
      <c r="J2759" s="308" t="s">
        <v>214</v>
      </c>
      <c r="K2759" s="127">
        <v>4</v>
      </c>
      <c r="L2759" s="153" t="s">
        <v>3306</v>
      </c>
      <c r="M2759">
        <v>630</v>
      </c>
      <c r="N2759" s="123">
        <v>1</v>
      </c>
      <c r="O2759">
        <v>1480</v>
      </c>
      <c r="P2759" s="132" t="s">
        <v>77</v>
      </c>
      <c r="Q2759" s="132">
        <v>3780.52</v>
      </c>
      <c r="R2759" s="132">
        <v>807.50199999999995</v>
      </c>
      <c r="S2759" s="132"/>
      <c r="T2759" s="156">
        <v>0</v>
      </c>
      <c r="U2759" s="132">
        <v>0</v>
      </c>
      <c r="V2759" s="132">
        <f t="shared" si="53"/>
        <v>4588.0219999999999</v>
      </c>
      <c r="W2759">
        <v>242</v>
      </c>
      <c r="X2759" s="153" t="s">
        <v>2035</v>
      </c>
      <c r="Y2759" s="124" t="s">
        <v>55</v>
      </c>
      <c r="Z2759" s="308">
        <v>240</v>
      </c>
      <c r="AB2759" t="str">
        <f>IF(Table1[[#This Row],[TIPO2]]="costo", VLOOKUP(Table1[[#This Row],[PARTIDA PRESUPUESTAL]],'Cost Report'!G:G,1,0),"Balance")</f>
        <v>1401-024</v>
      </c>
      <c r="AC2759" s="118"/>
      <c r="AD2759" s="159">
        <f>+Table1[[#This Row],[SUBTOTAL]]+Table1[[#This Row],[IVA]]-Table1[[#This Row],[RET IVA]]-Table1[[#This Row],[RET ISR]]-Table1[[#This Row],[TOTAL]]</f>
        <v>0</v>
      </c>
      <c r="AE2759" s="152"/>
      <c r="AF2759" s="153"/>
      <c r="AG2759" s="126"/>
      <c r="AK2759" s="306" t="str">
        <f>IF(ISNUMBER(Table1[[#This Row],[FECHA DE RECIBIDO]]), Table1[[#This Row],[FECHA DE RECIBIDO]]-DATE(2023,8,30), "")</f>
        <v/>
      </c>
    </row>
    <row r="2760" spans="1:37" ht="16.05" customHeight="1">
      <c r="A2760" s="150"/>
      <c r="B2760" s="151"/>
      <c r="C2760" s="126" t="s">
        <v>297</v>
      </c>
      <c r="D2760">
        <v>1899</v>
      </c>
      <c r="E2760" s="126" t="s">
        <v>3354</v>
      </c>
      <c r="F2760" s="122" t="s">
        <v>1371</v>
      </c>
      <c r="G2760" s="122" t="s">
        <v>2065</v>
      </c>
      <c r="H2760">
        <v>454</v>
      </c>
      <c r="I2760" s="122" t="s">
        <v>1546</v>
      </c>
      <c r="J2760" s="307" t="s">
        <v>214</v>
      </c>
      <c r="K2760" s="127">
        <v>4</v>
      </c>
      <c r="L2760" s="151" t="s">
        <v>3306</v>
      </c>
      <c r="M2760">
        <v>630</v>
      </c>
      <c r="N2760" s="123">
        <v>1</v>
      </c>
      <c r="O2760">
        <v>1480</v>
      </c>
      <c r="P2760" s="132" t="s">
        <v>77</v>
      </c>
      <c r="Q2760" s="131">
        <v>18151.18</v>
      </c>
      <c r="R2760" s="131">
        <v>2244.5680000000002</v>
      </c>
      <c r="S2760" s="131"/>
      <c r="T2760" s="155">
        <v>0</v>
      </c>
      <c r="U2760" s="131">
        <v>0</v>
      </c>
      <c r="V2760" s="131">
        <f t="shared" si="53"/>
        <v>20395.748</v>
      </c>
      <c r="W2760">
        <v>242</v>
      </c>
      <c r="X2760" s="151" t="s">
        <v>2035</v>
      </c>
      <c r="Y2760" s="135" t="s">
        <v>55</v>
      </c>
      <c r="Z2760" s="307">
        <v>240</v>
      </c>
      <c r="AB2760" t="str">
        <f>IF(Table1[[#This Row],[TIPO2]]="costo", VLOOKUP(Table1[[#This Row],[PARTIDA PRESUPUESTAL]],'Cost Report'!G:G,1,0),"Balance")</f>
        <v>1401-025</v>
      </c>
      <c r="AC2760" s="118"/>
      <c r="AD2760" s="159">
        <f>+Table1[[#This Row],[SUBTOTAL]]+Table1[[#This Row],[IVA]]-Table1[[#This Row],[RET IVA]]-Table1[[#This Row],[RET ISR]]-Table1[[#This Row],[TOTAL]]</f>
        <v>0</v>
      </c>
      <c r="AE2760" s="150"/>
      <c r="AF2760" s="151"/>
      <c r="AG2760" s="126"/>
      <c r="AK2760" s="306" t="str">
        <f>IF(ISNUMBER(Table1[[#This Row],[FECHA DE RECIBIDO]]), Table1[[#This Row],[FECHA DE RECIBIDO]]-DATE(2023,8,30), "")</f>
        <v/>
      </c>
    </row>
    <row r="2761" spans="1:37" ht="16.05" customHeight="1">
      <c r="A2761" s="152"/>
      <c r="B2761" s="153"/>
      <c r="C2761" s="126" t="s">
        <v>300</v>
      </c>
      <c r="D2761">
        <v>1899</v>
      </c>
      <c r="E2761" s="126" t="s">
        <v>3354</v>
      </c>
      <c r="F2761" s="125" t="s">
        <v>1371</v>
      </c>
      <c r="G2761" s="125" t="s">
        <v>2065</v>
      </c>
      <c r="H2761">
        <v>454</v>
      </c>
      <c r="I2761" s="125" t="s">
        <v>1546</v>
      </c>
      <c r="J2761" s="308" t="s">
        <v>214</v>
      </c>
      <c r="K2761" s="127">
        <v>4</v>
      </c>
      <c r="L2761" s="153" t="s">
        <v>3306</v>
      </c>
      <c r="M2761">
        <v>630</v>
      </c>
      <c r="N2761" s="123">
        <v>1</v>
      </c>
      <c r="O2761">
        <v>1480</v>
      </c>
      <c r="P2761" s="132" t="s">
        <v>77</v>
      </c>
      <c r="Q2761" s="132">
        <v>22182.22</v>
      </c>
      <c r="R2761" s="132">
        <v>2647.672</v>
      </c>
      <c r="S2761" s="132"/>
      <c r="T2761" s="156">
        <v>0</v>
      </c>
      <c r="U2761" s="132">
        <v>0</v>
      </c>
      <c r="V2761" s="132">
        <f t="shared" si="53"/>
        <v>24829.892</v>
      </c>
      <c r="W2761">
        <v>242</v>
      </c>
      <c r="X2761" s="153" t="s">
        <v>2035</v>
      </c>
      <c r="Y2761" s="124" t="s">
        <v>55</v>
      </c>
      <c r="Z2761" s="308">
        <v>240</v>
      </c>
      <c r="AB2761" t="str">
        <f>IF(Table1[[#This Row],[TIPO2]]="costo", VLOOKUP(Table1[[#This Row],[PARTIDA PRESUPUESTAL]],'Cost Report'!G:G,1,0),"Balance")</f>
        <v>1401-030</v>
      </c>
      <c r="AC2761" s="118"/>
      <c r="AD2761" s="159">
        <f>+Table1[[#This Row],[SUBTOTAL]]+Table1[[#This Row],[IVA]]-Table1[[#This Row],[RET IVA]]-Table1[[#This Row],[RET ISR]]-Table1[[#This Row],[TOTAL]]</f>
        <v>0</v>
      </c>
      <c r="AE2761" s="152"/>
      <c r="AF2761" s="153"/>
      <c r="AG2761" s="126"/>
      <c r="AK2761" s="306" t="str">
        <f>IF(ISNUMBER(Table1[[#This Row],[FECHA DE RECIBIDO]]), Table1[[#This Row],[FECHA DE RECIBIDO]]-DATE(2023,8,30), "")</f>
        <v/>
      </c>
    </row>
    <row r="2762" spans="1:37" ht="16.05" customHeight="1">
      <c r="A2762" s="150"/>
      <c r="B2762" s="151"/>
      <c r="C2762" s="126" t="s">
        <v>301</v>
      </c>
      <c r="D2762">
        <v>1899</v>
      </c>
      <c r="E2762" s="126" t="s">
        <v>3354</v>
      </c>
      <c r="F2762" s="122" t="s">
        <v>1371</v>
      </c>
      <c r="G2762" s="122" t="s">
        <v>2065</v>
      </c>
      <c r="H2762">
        <v>454</v>
      </c>
      <c r="I2762" s="122" t="s">
        <v>1546</v>
      </c>
      <c r="J2762" s="307" t="s">
        <v>214</v>
      </c>
      <c r="K2762" s="127">
        <v>4</v>
      </c>
      <c r="L2762" s="151" t="s">
        <v>3306</v>
      </c>
      <c r="M2762">
        <v>630</v>
      </c>
      <c r="N2762" s="123">
        <v>1</v>
      </c>
      <c r="O2762">
        <v>1480</v>
      </c>
      <c r="P2762" s="132" t="s">
        <v>77</v>
      </c>
      <c r="Q2762" s="131">
        <v>3780.52</v>
      </c>
      <c r="R2762" s="131">
        <v>807.50199999999995</v>
      </c>
      <c r="S2762" s="131"/>
      <c r="T2762" s="155">
        <v>0</v>
      </c>
      <c r="U2762" s="131">
        <v>0</v>
      </c>
      <c r="V2762" s="131">
        <f t="shared" si="53"/>
        <v>4588.0219999999999</v>
      </c>
      <c r="W2762">
        <v>242</v>
      </c>
      <c r="X2762" s="151" t="s">
        <v>2035</v>
      </c>
      <c r="Y2762" s="135" t="s">
        <v>55</v>
      </c>
      <c r="Z2762" s="307">
        <v>240</v>
      </c>
      <c r="AB2762" t="str">
        <f>IF(Table1[[#This Row],[TIPO2]]="costo", VLOOKUP(Table1[[#This Row],[PARTIDA PRESUPUESTAL]],'Cost Report'!G:G,1,0),"Balance")</f>
        <v>1401-031</v>
      </c>
      <c r="AC2762" s="118"/>
      <c r="AD2762" s="159">
        <f>+Table1[[#This Row],[SUBTOTAL]]+Table1[[#This Row],[IVA]]-Table1[[#This Row],[RET IVA]]-Table1[[#This Row],[RET ISR]]-Table1[[#This Row],[TOTAL]]</f>
        <v>0</v>
      </c>
      <c r="AE2762" s="150"/>
      <c r="AF2762" s="151"/>
      <c r="AG2762" s="126"/>
      <c r="AK2762" s="306" t="str">
        <f>IF(ISNUMBER(Table1[[#This Row],[FECHA DE RECIBIDO]]), Table1[[#This Row],[FECHA DE RECIBIDO]]-DATE(2023,8,30), "")</f>
        <v/>
      </c>
    </row>
    <row r="2763" spans="1:37" ht="16.05" customHeight="1">
      <c r="A2763" s="152"/>
      <c r="B2763" s="153"/>
      <c r="C2763" s="126" t="s">
        <v>302</v>
      </c>
      <c r="D2763">
        <v>1899</v>
      </c>
      <c r="E2763" s="126" t="s">
        <v>3354</v>
      </c>
      <c r="F2763" s="125" t="s">
        <v>1371</v>
      </c>
      <c r="G2763" s="125" t="s">
        <v>2065</v>
      </c>
      <c r="H2763">
        <v>454</v>
      </c>
      <c r="I2763" s="125" t="s">
        <v>1546</v>
      </c>
      <c r="J2763" s="308" t="s">
        <v>214</v>
      </c>
      <c r="K2763" s="127">
        <v>4</v>
      </c>
      <c r="L2763" s="153" t="s">
        <v>3306</v>
      </c>
      <c r="M2763">
        <v>630</v>
      </c>
      <c r="N2763" s="123">
        <v>1</v>
      </c>
      <c r="O2763">
        <v>1480</v>
      </c>
      <c r="P2763" s="132" t="s">
        <v>77</v>
      </c>
      <c r="Q2763" s="132">
        <v>31279.18</v>
      </c>
      <c r="R2763" s="132">
        <v>3557.3679999999999</v>
      </c>
      <c r="S2763" s="132"/>
      <c r="T2763" s="156">
        <v>0</v>
      </c>
      <c r="U2763" s="132">
        <v>0</v>
      </c>
      <c r="V2763" s="132">
        <f t="shared" si="53"/>
        <v>34836.548000000003</v>
      </c>
      <c r="W2763">
        <v>242</v>
      </c>
      <c r="X2763" s="153" t="s">
        <v>2035</v>
      </c>
      <c r="Y2763" s="124" t="s">
        <v>55</v>
      </c>
      <c r="Z2763" s="308">
        <v>240</v>
      </c>
      <c r="AB2763" t="str">
        <f>IF(Table1[[#This Row],[TIPO2]]="costo", VLOOKUP(Table1[[#This Row],[PARTIDA PRESUPUESTAL]],'Cost Report'!G:G,1,0),"Balance")</f>
        <v>1401-032</v>
      </c>
      <c r="AC2763" s="118"/>
      <c r="AD2763" s="159">
        <f>+Table1[[#This Row],[SUBTOTAL]]+Table1[[#This Row],[IVA]]-Table1[[#This Row],[RET IVA]]-Table1[[#This Row],[RET ISR]]-Table1[[#This Row],[TOTAL]]</f>
        <v>0</v>
      </c>
      <c r="AE2763" s="152"/>
      <c r="AF2763" s="153"/>
      <c r="AG2763" s="126"/>
      <c r="AK2763" s="306" t="str">
        <f>IF(ISNUMBER(Table1[[#This Row],[FECHA DE RECIBIDO]]), Table1[[#This Row],[FECHA DE RECIBIDO]]-DATE(2023,8,30), "")</f>
        <v/>
      </c>
    </row>
    <row r="2764" spans="1:37" ht="16.05" customHeight="1">
      <c r="A2764" s="150"/>
      <c r="B2764" s="151"/>
      <c r="C2764" s="126" t="s">
        <v>305</v>
      </c>
      <c r="D2764">
        <v>1899</v>
      </c>
      <c r="E2764" s="126" t="s">
        <v>3354</v>
      </c>
      <c r="F2764" s="122" t="s">
        <v>1371</v>
      </c>
      <c r="G2764" s="122" t="s">
        <v>2065</v>
      </c>
      <c r="H2764">
        <v>454</v>
      </c>
      <c r="I2764" s="122" t="s">
        <v>1546</v>
      </c>
      <c r="J2764" s="307" t="s">
        <v>214</v>
      </c>
      <c r="K2764" s="127">
        <v>4</v>
      </c>
      <c r="L2764" s="151" t="s">
        <v>3306</v>
      </c>
      <c r="M2764">
        <v>630</v>
      </c>
      <c r="N2764" s="123">
        <v>1</v>
      </c>
      <c r="O2764">
        <v>1480</v>
      </c>
      <c r="P2764" s="132" t="s">
        <v>77</v>
      </c>
      <c r="Q2764" s="131">
        <v>22182.22</v>
      </c>
      <c r="R2764" s="131">
        <v>2647.672</v>
      </c>
      <c r="S2764" s="131"/>
      <c r="T2764" s="155">
        <v>0</v>
      </c>
      <c r="U2764" s="131">
        <v>0</v>
      </c>
      <c r="V2764" s="131">
        <f t="shared" si="53"/>
        <v>24829.892</v>
      </c>
      <c r="W2764">
        <v>242</v>
      </c>
      <c r="X2764" s="151" t="s">
        <v>2035</v>
      </c>
      <c r="Y2764" s="135" t="s">
        <v>55</v>
      </c>
      <c r="Z2764" s="307">
        <v>240</v>
      </c>
      <c r="AB2764" t="str">
        <f>IF(Table1[[#This Row],[TIPO2]]="costo", VLOOKUP(Table1[[#This Row],[PARTIDA PRESUPUESTAL]],'Cost Report'!G:G,1,0),"Balance")</f>
        <v>1401-037</v>
      </c>
      <c r="AC2764" s="118"/>
      <c r="AD2764" s="159">
        <f>+Table1[[#This Row],[SUBTOTAL]]+Table1[[#This Row],[IVA]]-Table1[[#This Row],[RET IVA]]-Table1[[#This Row],[RET ISR]]-Table1[[#This Row],[TOTAL]]</f>
        <v>0</v>
      </c>
      <c r="AE2764" s="150"/>
      <c r="AF2764" s="151"/>
      <c r="AG2764" s="126"/>
      <c r="AK2764" s="306" t="str">
        <f>IF(ISNUMBER(Table1[[#This Row],[FECHA DE RECIBIDO]]), Table1[[#This Row],[FECHA DE RECIBIDO]]-DATE(2023,8,30), "")</f>
        <v/>
      </c>
    </row>
    <row r="2765" spans="1:37" ht="16.05" customHeight="1">
      <c r="A2765" s="152"/>
      <c r="B2765" s="153"/>
      <c r="C2765" s="126" t="s">
        <v>306</v>
      </c>
      <c r="D2765">
        <v>1899</v>
      </c>
      <c r="E2765" s="126" t="s">
        <v>3354</v>
      </c>
      <c r="F2765" s="125" t="s">
        <v>1371</v>
      </c>
      <c r="G2765" s="125" t="s">
        <v>2065</v>
      </c>
      <c r="H2765">
        <v>454</v>
      </c>
      <c r="I2765" s="125" t="s">
        <v>1546</v>
      </c>
      <c r="J2765" s="308" t="s">
        <v>214</v>
      </c>
      <c r="K2765" s="127">
        <v>4</v>
      </c>
      <c r="L2765" s="153" t="s">
        <v>3306</v>
      </c>
      <c r="M2765">
        <v>630</v>
      </c>
      <c r="N2765" s="123">
        <v>1</v>
      </c>
      <c r="O2765">
        <v>1480</v>
      </c>
      <c r="P2765" s="132" t="s">
        <v>77</v>
      </c>
      <c r="Q2765" s="132">
        <v>3780.52</v>
      </c>
      <c r="R2765" s="132">
        <v>807.50199999999995</v>
      </c>
      <c r="S2765" s="132"/>
      <c r="T2765" s="156">
        <v>0</v>
      </c>
      <c r="U2765" s="132">
        <v>0</v>
      </c>
      <c r="V2765" s="132">
        <f t="shared" si="53"/>
        <v>4588.0219999999999</v>
      </c>
      <c r="W2765">
        <v>242</v>
      </c>
      <c r="X2765" s="153" t="s">
        <v>2035</v>
      </c>
      <c r="Y2765" s="124" t="s">
        <v>55</v>
      </c>
      <c r="Z2765" s="308">
        <v>240</v>
      </c>
      <c r="AB2765" t="str">
        <f>IF(Table1[[#This Row],[TIPO2]]="costo", VLOOKUP(Table1[[#This Row],[PARTIDA PRESUPUESTAL]],'Cost Report'!G:G,1,0),"Balance")</f>
        <v>1401-038</v>
      </c>
      <c r="AC2765" s="118"/>
      <c r="AD2765" s="159">
        <f>+Table1[[#This Row],[SUBTOTAL]]+Table1[[#This Row],[IVA]]-Table1[[#This Row],[RET IVA]]-Table1[[#This Row],[RET ISR]]-Table1[[#This Row],[TOTAL]]</f>
        <v>0</v>
      </c>
      <c r="AE2765" s="152"/>
      <c r="AF2765" s="153"/>
      <c r="AG2765" s="126"/>
      <c r="AK2765" s="306" t="str">
        <f>IF(ISNUMBER(Table1[[#This Row],[FECHA DE RECIBIDO]]), Table1[[#This Row],[FECHA DE RECIBIDO]]-DATE(2023,8,30), "")</f>
        <v/>
      </c>
    </row>
    <row r="2766" spans="1:37" ht="16.05" customHeight="1">
      <c r="A2766" s="150"/>
      <c r="B2766" s="151"/>
      <c r="C2766" s="126" t="s">
        <v>307</v>
      </c>
      <c r="D2766">
        <v>1899</v>
      </c>
      <c r="E2766" s="126" t="s">
        <v>3354</v>
      </c>
      <c r="F2766" s="122" t="s">
        <v>1371</v>
      </c>
      <c r="G2766" s="122" t="s">
        <v>2065</v>
      </c>
      <c r="H2766">
        <v>454</v>
      </c>
      <c r="I2766" s="122" t="s">
        <v>1546</v>
      </c>
      <c r="J2766" s="307" t="s">
        <v>214</v>
      </c>
      <c r="K2766" s="127">
        <v>4</v>
      </c>
      <c r="L2766" s="151" t="s">
        <v>3306</v>
      </c>
      <c r="M2766">
        <v>630</v>
      </c>
      <c r="N2766" s="123">
        <v>1</v>
      </c>
      <c r="O2766">
        <v>1480</v>
      </c>
      <c r="P2766" s="132" t="s">
        <v>77</v>
      </c>
      <c r="Q2766" s="131">
        <v>9331.0300000000007</v>
      </c>
      <c r="R2766" s="131">
        <v>1362.5530000000001</v>
      </c>
      <c r="S2766" s="131"/>
      <c r="T2766" s="155">
        <v>0</v>
      </c>
      <c r="U2766" s="131">
        <v>0</v>
      </c>
      <c r="V2766" s="131">
        <f t="shared" si="53"/>
        <v>10693.583000000001</v>
      </c>
      <c r="W2766">
        <v>242</v>
      </c>
      <c r="X2766" s="151" t="s">
        <v>2035</v>
      </c>
      <c r="Y2766" s="135" t="s">
        <v>55</v>
      </c>
      <c r="Z2766" s="307">
        <v>240</v>
      </c>
      <c r="AB2766" t="str">
        <f>IF(Table1[[#This Row],[TIPO2]]="costo", VLOOKUP(Table1[[#This Row],[PARTIDA PRESUPUESTAL]],'Cost Report'!G:G,1,0),"Balance")</f>
        <v>1401-039</v>
      </c>
      <c r="AC2766" s="118"/>
      <c r="AD2766" s="159">
        <f>+Table1[[#This Row],[SUBTOTAL]]+Table1[[#This Row],[IVA]]-Table1[[#This Row],[RET IVA]]-Table1[[#This Row],[RET ISR]]-Table1[[#This Row],[TOTAL]]</f>
        <v>0</v>
      </c>
      <c r="AE2766" s="150"/>
      <c r="AF2766" s="151"/>
      <c r="AG2766" s="126"/>
      <c r="AK2766" s="306" t="str">
        <f>IF(ISNUMBER(Table1[[#This Row],[FECHA DE RECIBIDO]]), Table1[[#This Row],[FECHA DE RECIBIDO]]-DATE(2023,8,30), "")</f>
        <v/>
      </c>
    </row>
    <row r="2767" spans="1:37" ht="16.05" customHeight="1">
      <c r="A2767" s="152"/>
      <c r="B2767" s="153"/>
      <c r="C2767" s="126" t="s">
        <v>2170</v>
      </c>
      <c r="D2767">
        <v>1899</v>
      </c>
      <c r="E2767" s="126" t="s">
        <v>3354</v>
      </c>
      <c r="F2767" s="125" t="s">
        <v>1371</v>
      </c>
      <c r="G2767" s="125" t="s">
        <v>2065</v>
      </c>
      <c r="H2767">
        <v>454</v>
      </c>
      <c r="I2767" s="125" t="s">
        <v>1546</v>
      </c>
      <c r="J2767" s="308" t="s">
        <v>214</v>
      </c>
      <c r="K2767" s="127">
        <v>4</v>
      </c>
      <c r="L2767" s="153" t="s">
        <v>3306</v>
      </c>
      <c r="M2767">
        <v>630</v>
      </c>
      <c r="N2767" s="123">
        <v>1</v>
      </c>
      <c r="O2767">
        <v>1480</v>
      </c>
      <c r="P2767" s="132" t="s">
        <v>77</v>
      </c>
      <c r="Q2767" s="132">
        <v>3780.52</v>
      </c>
      <c r="R2767" s="132">
        <v>807.50199999999995</v>
      </c>
      <c r="S2767" s="132"/>
      <c r="T2767" s="156">
        <v>0</v>
      </c>
      <c r="U2767" s="132">
        <v>0</v>
      </c>
      <c r="V2767" s="132">
        <f t="shared" si="53"/>
        <v>4588.0219999999999</v>
      </c>
      <c r="W2767">
        <v>242</v>
      </c>
      <c r="X2767" s="153" t="s">
        <v>2035</v>
      </c>
      <c r="Y2767" s="124" t="s">
        <v>55</v>
      </c>
      <c r="Z2767" s="308">
        <v>240</v>
      </c>
      <c r="AB2767" t="str">
        <f>IF(Table1[[#This Row],[TIPO2]]="costo", VLOOKUP(Table1[[#This Row],[PARTIDA PRESUPUESTAL]],'Cost Report'!G:G,1,0),"Balance")</f>
        <v>1401-051</v>
      </c>
      <c r="AC2767" s="118"/>
      <c r="AD2767" s="159">
        <f>+Table1[[#This Row],[SUBTOTAL]]+Table1[[#This Row],[IVA]]-Table1[[#This Row],[RET IVA]]-Table1[[#This Row],[RET ISR]]-Table1[[#This Row],[TOTAL]]</f>
        <v>0</v>
      </c>
      <c r="AE2767" s="152"/>
      <c r="AF2767" s="153"/>
      <c r="AG2767" s="126"/>
      <c r="AK2767" s="306" t="str">
        <f>IF(ISNUMBER(Table1[[#This Row],[FECHA DE RECIBIDO]]), Table1[[#This Row],[FECHA DE RECIBIDO]]-DATE(2023,8,30), "")</f>
        <v/>
      </c>
    </row>
    <row r="2768" spans="1:37" ht="16.05" customHeight="1">
      <c r="A2768" s="150"/>
      <c r="B2768" s="151"/>
      <c r="C2768" s="126" t="s">
        <v>2172</v>
      </c>
      <c r="D2768">
        <v>1899</v>
      </c>
      <c r="E2768" s="126" t="s">
        <v>3354</v>
      </c>
      <c r="F2768" s="122" t="s">
        <v>1371</v>
      </c>
      <c r="G2768" s="122" t="s">
        <v>2065</v>
      </c>
      <c r="H2768">
        <v>454</v>
      </c>
      <c r="I2768" s="122" t="s">
        <v>1546</v>
      </c>
      <c r="J2768" s="307" t="s">
        <v>214</v>
      </c>
      <c r="K2768" s="127">
        <v>4</v>
      </c>
      <c r="L2768" s="151" t="s">
        <v>3306</v>
      </c>
      <c r="M2768">
        <v>630</v>
      </c>
      <c r="N2768" s="123">
        <v>1</v>
      </c>
      <c r="O2768">
        <v>1480</v>
      </c>
      <c r="P2768" s="132" t="s">
        <v>77</v>
      </c>
      <c r="Q2768" s="131">
        <v>11258.98</v>
      </c>
      <c r="R2768" s="131">
        <v>1555.348</v>
      </c>
      <c r="S2768" s="131"/>
      <c r="T2768" s="155">
        <v>0</v>
      </c>
      <c r="U2768" s="131">
        <v>0</v>
      </c>
      <c r="V2768" s="131">
        <f t="shared" si="53"/>
        <v>12814.328</v>
      </c>
      <c r="W2768">
        <v>242</v>
      </c>
      <c r="X2768" s="151" t="s">
        <v>2035</v>
      </c>
      <c r="Y2768" s="135" t="s">
        <v>55</v>
      </c>
      <c r="Z2768" s="307">
        <v>240</v>
      </c>
      <c r="AB2768" t="str">
        <f>IF(Table1[[#This Row],[TIPO2]]="costo", VLOOKUP(Table1[[#This Row],[PARTIDA PRESUPUESTAL]],'Cost Report'!G:G,1,0),"Balance")</f>
        <v>1401-053</v>
      </c>
      <c r="AC2768" s="118"/>
      <c r="AD2768" s="159">
        <f>+Table1[[#This Row],[SUBTOTAL]]+Table1[[#This Row],[IVA]]-Table1[[#This Row],[RET IVA]]-Table1[[#This Row],[RET ISR]]-Table1[[#This Row],[TOTAL]]</f>
        <v>0</v>
      </c>
      <c r="AE2768" s="150"/>
      <c r="AF2768" s="151"/>
      <c r="AG2768" s="126"/>
      <c r="AK2768" s="306" t="str">
        <f>IF(ISNUMBER(Table1[[#This Row],[FECHA DE RECIBIDO]]), Table1[[#This Row],[FECHA DE RECIBIDO]]-DATE(2023,8,30), "")</f>
        <v/>
      </c>
    </row>
    <row r="2769" spans="1:37" ht="16.05" customHeight="1">
      <c r="A2769" s="152"/>
      <c r="B2769" s="153"/>
      <c r="C2769" s="126" t="s">
        <v>2187</v>
      </c>
      <c r="D2769">
        <v>1899</v>
      </c>
      <c r="E2769" s="126" t="s">
        <v>3354</v>
      </c>
      <c r="F2769" s="125" t="s">
        <v>1371</v>
      </c>
      <c r="G2769" s="125" t="s">
        <v>2065</v>
      </c>
      <c r="H2769">
        <v>454</v>
      </c>
      <c r="I2769" s="125" t="s">
        <v>1546</v>
      </c>
      <c r="J2769" s="308" t="s">
        <v>214</v>
      </c>
      <c r="K2769" s="127">
        <v>4</v>
      </c>
      <c r="L2769" s="153" t="s">
        <v>3306</v>
      </c>
      <c r="M2769">
        <v>630</v>
      </c>
      <c r="N2769" s="123">
        <v>1</v>
      </c>
      <c r="O2769">
        <v>1480</v>
      </c>
      <c r="P2769" s="132" t="s">
        <v>77</v>
      </c>
      <c r="Q2769" s="132">
        <v>25862.560000000001</v>
      </c>
      <c r="R2769" s="132">
        <v>3015.7060000000001</v>
      </c>
      <c r="S2769" s="132"/>
      <c r="T2769" s="156">
        <v>0</v>
      </c>
      <c r="U2769" s="132">
        <v>0</v>
      </c>
      <c r="V2769" s="132">
        <f t="shared" si="53"/>
        <v>28878.266000000003</v>
      </c>
      <c r="W2769">
        <v>242</v>
      </c>
      <c r="X2769" s="153" t="s">
        <v>2035</v>
      </c>
      <c r="Y2769" s="124" t="s">
        <v>55</v>
      </c>
      <c r="Z2769" s="308">
        <v>240</v>
      </c>
      <c r="AB2769" t="str">
        <f>IF(Table1[[#This Row],[TIPO2]]="costo", VLOOKUP(Table1[[#This Row],[PARTIDA PRESUPUESTAL]],'Cost Report'!G:G,1,0),"Balance")</f>
        <v>1401-076</v>
      </c>
      <c r="AC2769" s="118"/>
      <c r="AD2769" s="159">
        <f>+Table1[[#This Row],[SUBTOTAL]]+Table1[[#This Row],[IVA]]-Table1[[#This Row],[RET IVA]]-Table1[[#This Row],[RET ISR]]-Table1[[#This Row],[TOTAL]]</f>
        <v>0</v>
      </c>
      <c r="AE2769" s="152"/>
      <c r="AF2769" s="153"/>
      <c r="AG2769" s="126"/>
      <c r="AK2769" s="306" t="str">
        <f>IF(ISNUMBER(Table1[[#This Row],[FECHA DE RECIBIDO]]), Table1[[#This Row],[FECHA DE RECIBIDO]]-DATE(2023,8,30), "")</f>
        <v/>
      </c>
    </row>
    <row r="2770" spans="1:37" ht="16.05" customHeight="1">
      <c r="A2770" s="150"/>
      <c r="B2770" s="151"/>
      <c r="C2770" s="126" t="s">
        <v>2188</v>
      </c>
      <c r="D2770">
        <v>1899</v>
      </c>
      <c r="E2770" s="126" t="s">
        <v>3354</v>
      </c>
      <c r="F2770" s="122" t="s">
        <v>1371</v>
      </c>
      <c r="G2770" s="122" t="s">
        <v>2065</v>
      </c>
      <c r="H2770">
        <v>454</v>
      </c>
      <c r="I2770" s="122" t="s">
        <v>1546</v>
      </c>
      <c r="J2770" s="307" t="s">
        <v>214</v>
      </c>
      <c r="K2770" s="127">
        <v>4</v>
      </c>
      <c r="L2770" s="151" t="s">
        <v>3306</v>
      </c>
      <c r="M2770">
        <v>630</v>
      </c>
      <c r="N2770" s="123">
        <v>1</v>
      </c>
      <c r="O2770">
        <v>1480</v>
      </c>
      <c r="P2770" s="132" t="s">
        <v>77</v>
      </c>
      <c r="Q2770" s="131">
        <v>3780.52</v>
      </c>
      <c r="R2770" s="131">
        <v>807.50199999999995</v>
      </c>
      <c r="S2770" s="131"/>
      <c r="T2770" s="155">
        <v>0</v>
      </c>
      <c r="U2770" s="131">
        <v>0</v>
      </c>
      <c r="V2770" s="131">
        <f t="shared" si="53"/>
        <v>4588.0219999999999</v>
      </c>
      <c r="W2770">
        <v>242</v>
      </c>
      <c r="X2770" s="151" t="s">
        <v>2035</v>
      </c>
      <c r="Y2770" s="135" t="s">
        <v>55</v>
      </c>
      <c r="Z2770" s="307">
        <v>240</v>
      </c>
      <c r="AB2770" t="str">
        <f>IF(Table1[[#This Row],[TIPO2]]="costo", VLOOKUP(Table1[[#This Row],[PARTIDA PRESUPUESTAL]],'Cost Report'!G:G,1,0),"Balance")</f>
        <v>1401-077</v>
      </c>
      <c r="AC2770" s="118"/>
      <c r="AD2770" s="159">
        <f>+Table1[[#This Row],[SUBTOTAL]]+Table1[[#This Row],[IVA]]-Table1[[#This Row],[RET IVA]]-Table1[[#This Row],[RET ISR]]-Table1[[#This Row],[TOTAL]]</f>
        <v>0</v>
      </c>
      <c r="AE2770" s="150"/>
      <c r="AF2770" s="151"/>
      <c r="AG2770" s="126"/>
      <c r="AK2770" s="306" t="str">
        <f>IF(ISNUMBER(Table1[[#This Row],[FECHA DE RECIBIDO]]), Table1[[#This Row],[FECHA DE RECIBIDO]]-DATE(2023,8,30), "")</f>
        <v/>
      </c>
    </row>
    <row r="2771" spans="1:37" ht="16.05" customHeight="1">
      <c r="A2771" s="152"/>
      <c r="B2771" s="153"/>
      <c r="C2771" s="126" t="s">
        <v>2189</v>
      </c>
      <c r="D2771">
        <v>1899</v>
      </c>
      <c r="E2771" s="126" t="s">
        <v>3354</v>
      </c>
      <c r="F2771" s="125" t="s">
        <v>1371</v>
      </c>
      <c r="G2771" s="125" t="s">
        <v>2065</v>
      </c>
      <c r="H2771">
        <v>454</v>
      </c>
      <c r="I2771" s="125" t="s">
        <v>1546</v>
      </c>
      <c r="J2771" s="308" t="s">
        <v>214</v>
      </c>
      <c r="K2771" s="127">
        <v>4</v>
      </c>
      <c r="L2771" s="153" t="s">
        <v>3306</v>
      </c>
      <c r="M2771">
        <v>630</v>
      </c>
      <c r="N2771" s="123">
        <v>1</v>
      </c>
      <c r="O2771">
        <v>1480</v>
      </c>
      <c r="P2771" s="132" t="s">
        <v>77</v>
      </c>
      <c r="Q2771" s="132">
        <v>5843.82</v>
      </c>
      <c r="R2771" s="132">
        <v>1013.8319999999999</v>
      </c>
      <c r="S2771" s="132"/>
      <c r="T2771" s="156">
        <v>0</v>
      </c>
      <c r="U2771" s="132">
        <v>0</v>
      </c>
      <c r="V2771" s="132">
        <f t="shared" si="53"/>
        <v>6857.652</v>
      </c>
      <c r="W2771">
        <v>242</v>
      </c>
      <c r="X2771" s="153" t="s">
        <v>2035</v>
      </c>
      <c r="Y2771" s="124" t="s">
        <v>55</v>
      </c>
      <c r="Z2771" s="308">
        <v>240</v>
      </c>
      <c r="AB2771" t="str">
        <f>IF(Table1[[#This Row],[TIPO2]]="costo", VLOOKUP(Table1[[#This Row],[PARTIDA PRESUPUESTAL]],'Cost Report'!G:G,1,0),"Balance")</f>
        <v>1401-078</v>
      </c>
      <c r="AC2771" s="118"/>
      <c r="AD2771" s="159">
        <f>+Table1[[#This Row],[SUBTOTAL]]+Table1[[#This Row],[IVA]]-Table1[[#This Row],[RET IVA]]-Table1[[#This Row],[RET ISR]]-Table1[[#This Row],[TOTAL]]</f>
        <v>0</v>
      </c>
      <c r="AE2771" s="152"/>
      <c r="AF2771" s="153"/>
      <c r="AG2771" s="126"/>
      <c r="AK2771" s="306" t="str">
        <f>IF(ISNUMBER(Table1[[#This Row],[FECHA DE RECIBIDO]]), Table1[[#This Row],[FECHA DE RECIBIDO]]-DATE(2023,8,30), "")</f>
        <v/>
      </c>
    </row>
    <row r="2772" spans="1:37" ht="16.05" customHeight="1">
      <c r="A2772" s="150"/>
      <c r="B2772" s="151"/>
      <c r="C2772" s="126" t="s">
        <v>318</v>
      </c>
      <c r="D2772">
        <v>1899</v>
      </c>
      <c r="E2772" s="126" t="s">
        <v>3354</v>
      </c>
      <c r="F2772" s="122" t="s">
        <v>1371</v>
      </c>
      <c r="G2772" s="122" t="s">
        <v>2065</v>
      </c>
      <c r="H2772">
        <v>454</v>
      </c>
      <c r="I2772" s="122" t="s">
        <v>1546</v>
      </c>
      <c r="J2772" s="307" t="s">
        <v>214</v>
      </c>
      <c r="K2772" s="127">
        <v>4</v>
      </c>
      <c r="L2772" s="151" t="s">
        <v>3306</v>
      </c>
      <c r="M2772">
        <v>630</v>
      </c>
      <c r="N2772" s="123">
        <v>1</v>
      </c>
      <c r="O2772">
        <v>1480</v>
      </c>
      <c r="P2772" s="132" t="s">
        <v>77</v>
      </c>
      <c r="Q2772" s="131">
        <v>22182.22</v>
      </c>
      <c r="R2772" s="131">
        <v>2647.672</v>
      </c>
      <c r="S2772" s="131"/>
      <c r="T2772" s="155">
        <v>0</v>
      </c>
      <c r="U2772" s="131">
        <v>0</v>
      </c>
      <c r="V2772" s="131">
        <f t="shared" si="53"/>
        <v>24829.892</v>
      </c>
      <c r="W2772">
        <v>242</v>
      </c>
      <c r="X2772" s="151" t="s">
        <v>2035</v>
      </c>
      <c r="Y2772" s="135" t="s">
        <v>55</v>
      </c>
      <c r="Z2772" s="307">
        <v>240</v>
      </c>
      <c r="AB2772" t="str">
        <f>IF(Table1[[#This Row],[TIPO2]]="costo", VLOOKUP(Table1[[#This Row],[PARTIDA PRESUPUESTAL]],'Cost Report'!G:G,1,0),"Balance")</f>
        <v>1403-010</v>
      </c>
      <c r="AC2772" s="118"/>
      <c r="AD2772" s="159">
        <f>+Table1[[#This Row],[SUBTOTAL]]+Table1[[#This Row],[IVA]]-Table1[[#This Row],[RET IVA]]-Table1[[#This Row],[RET ISR]]-Table1[[#This Row],[TOTAL]]</f>
        <v>0</v>
      </c>
      <c r="AE2772" s="150"/>
      <c r="AF2772" s="151"/>
      <c r="AG2772" s="126"/>
      <c r="AK2772" s="306" t="str">
        <f>IF(ISNUMBER(Table1[[#This Row],[FECHA DE RECIBIDO]]), Table1[[#This Row],[FECHA DE RECIBIDO]]-DATE(2023,8,30), "")</f>
        <v/>
      </c>
    </row>
    <row r="2773" spans="1:37" ht="16.05" customHeight="1">
      <c r="A2773" s="152"/>
      <c r="B2773" s="153"/>
      <c r="C2773" s="126" t="s">
        <v>320</v>
      </c>
      <c r="D2773">
        <v>1899</v>
      </c>
      <c r="E2773" s="126" t="s">
        <v>3354</v>
      </c>
      <c r="F2773" s="125" t="s">
        <v>1371</v>
      </c>
      <c r="G2773" s="125" t="s">
        <v>2065</v>
      </c>
      <c r="H2773">
        <v>454</v>
      </c>
      <c r="I2773" s="125" t="s">
        <v>1546</v>
      </c>
      <c r="J2773" s="308" t="s">
        <v>214</v>
      </c>
      <c r="K2773" s="127">
        <v>4</v>
      </c>
      <c r="L2773" s="153" t="s">
        <v>3306</v>
      </c>
      <c r="M2773">
        <v>630</v>
      </c>
      <c r="N2773" s="123">
        <v>1</v>
      </c>
      <c r="O2773">
        <v>1480</v>
      </c>
      <c r="P2773" s="132" t="s">
        <v>77</v>
      </c>
      <c r="Q2773" s="132">
        <v>18944.64</v>
      </c>
      <c r="R2773" s="132">
        <v>2323.9139999999998</v>
      </c>
      <c r="S2773" s="132"/>
      <c r="T2773" s="156">
        <v>0</v>
      </c>
      <c r="U2773" s="132">
        <v>0</v>
      </c>
      <c r="V2773" s="132">
        <f t="shared" si="53"/>
        <v>21268.554</v>
      </c>
      <c r="W2773">
        <v>242</v>
      </c>
      <c r="X2773" s="153" t="s">
        <v>2035</v>
      </c>
      <c r="Y2773" s="124" t="s">
        <v>55</v>
      </c>
      <c r="Z2773" s="308">
        <v>240</v>
      </c>
      <c r="AB2773" t="str">
        <f>IF(Table1[[#This Row],[TIPO2]]="costo", VLOOKUP(Table1[[#This Row],[PARTIDA PRESUPUESTAL]],'Cost Report'!G:G,1,0),"Balance")</f>
        <v>1403-012</v>
      </c>
      <c r="AC2773" s="118"/>
      <c r="AD2773" s="159">
        <f>+Table1[[#This Row],[SUBTOTAL]]+Table1[[#This Row],[IVA]]-Table1[[#This Row],[RET IVA]]-Table1[[#This Row],[RET ISR]]-Table1[[#This Row],[TOTAL]]</f>
        <v>0</v>
      </c>
      <c r="AE2773" s="152"/>
      <c r="AF2773" s="153"/>
      <c r="AG2773" s="126"/>
      <c r="AK2773" s="306" t="str">
        <f>IF(ISNUMBER(Table1[[#This Row],[FECHA DE RECIBIDO]]), Table1[[#This Row],[FECHA DE RECIBIDO]]-DATE(2023,8,30), "")</f>
        <v/>
      </c>
    </row>
    <row r="2774" spans="1:37" ht="16.05" customHeight="1">
      <c r="A2774" s="150"/>
      <c r="B2774" s="151"/>
      <c r="C2774" s="126" t="s">
        <v>323</v>
      </c>
      <c r="D2774">
        <v>1899</v>
      </c>
      <c r="E2774" s="126" t="s">
        <v>3354</v>
      </c>
      <c r="F2774" s="122" t="s">
        <v>1371</v>
      </c>
      <c r="G2774" s="122" t="s">
        <v>2065</v>
      </c>
      <c r="H2774">
        <v>454</v>
      </c>
      <c r="I2774" s="122" t="s">
        <v>1546</v>
      </c>
      <c r="J2774" s="307" t="s">
        <v>214</v>
      </c>
      <c r="K2774" s="127">
        <v>4</v>
      </c>
      <c r="L2774" s="151" t="s">
        <v>3306</v>
      </c>
      <c r="M2774">
        <v>630</v>
      </c>
      <c r="N2774" s="123">
        <v>1</v>
      </c>
      <c r="O2774">
        <v>1480</v>
      </c>
      <c r="P2774" s="132" t="s">
        <v>77</v>
      </c>
      <c r="Q2774" s="131">
        <v>18501.88</v>
      </c>
      <c r="R2774" s="131">
        <v>2279.6379999999999</v>
      </c>
      <c r="S2774" s="131"/>
      <c r="T2774" s="155">
        <v>0</v>
      </c>
      <c r="U2774" s="131">
        <v>0</v>
      </c>
      <c r="V2774" s="131">
        <f t="shared" si="53"/>
        <v>20781.518</v>
      </c>
      <c r="W2774">
        <v>242</v>
      </c>
      <c r="X2774" s="151" t="s">
        <v>2035</v>
      </c>
      <c r="Y2774" s="135" t="s">
        <v>55</v>
      </c>
      <c r="Z2774" s="307">
        <v>240</v>
      </c>
      <c r="AB2774" t="str">
        <f>IF(Table1[[#This Row],[TIPO2]]="costo", VLOOKUP(Table1[[#This Row],[PARTIDA PRESUPUESTAL]],'Cost Report'!G:G,1,0),"Balance")</f>
        <v>1403-017</v>
      </c>
      <c r="AC2774" s="118"/>
      <c r="AD2774" s="159">
        <f>+Table1[[#This Row],[SUBTOTAL]]+Table1[[#This Row],[IVA]]-Table1[[#This Row],[RET IVA]]-Table1[[#This Row],[RET ISR]]-Table1[[#This Row],[TOTAL]]</f>
        <v>0</v>
      </c>
      <c r="AE2774" s="150"/>
      <c r="AF2774" s="151"/>
      <c r="AG2774" s="126"/>
      <c r="AK2774" s="306" t="str">
        <f>IF(ISNUMBER(Table1[[#This Row],[FECHA DE RECIBIDO]]), Table1[[#This Row],[FECHA DE RECIBIDO]]-DATE(2023,8,30), "")</f>
        <v/>
      </c>
    </row>
    <row r="2775" spans="1:37" ht="16.05" customHeight="1">
      <c r="A2775" s="152"/>
      <c r="B2775" s="153"/>
      <c r="C2775" s="126" t="s">
        <v>325</v>
      </c>
      <c r="D2775">
        <v>1899</v>
      </c>
      <c r="E2775" s="126" t="s">
        <v>3354</v>
      </c>
      <c r="F2775" s="125" t="s">
        <v>1371</v>
      </c>
      <c r="G2775" s="125" t="s">
        <v>2065</v>
      </c>
      <c r="H2775">
        <v>454</v>
      </c>
      <c r="I2775" s="125" t="s">
        <v>1546</v>
      </c>
      <c r="J2775" s="308" t="s">
        <v>214</v>
      </c>
      <c r="K2775" s="127">
        <v>4</v>
      </c>
      <c r="L2775" s="153" t="s">
        <v>3306</v>
      </c>
      <c r="M2775">
        <v>630</v>
      </c>
      <c r="N2775" s="123">
        <v>1</v>
      </c>
      <c r="O2775">
        <v>1480</v>
      </c>
      <c r="P2775" s="132" t="s">
        <v>77</v>
      </c>
      <c r="Q2775" s="132">
        <v>19792.66</v>
      </c>
      <c r="R2775" s="132">
        <v>2408.7159999999999</v>
      </c>
      <c r="S2775" s="132"/>
      <c r="T2775" s="156">
        <v>0</v>
      </c>
      <c r="U2775" s="132">
        <v>0</v>
      </c>
      <c r="V2775" s="132">
        <f t="shared" si="53"/>
        <v>22201.376</v>
      </c>
      <c r="W2775">
        <v>242</v>
      </c>
      <c r="X2775" s="153" t="s">
        <v>2035</v>
      </c>
      <c r="Y2775" s="124" t="s">
        <v>55</v>
      </c>
      <c r="Z2775" s="308">
        <v>240</v>
      </c>
      <c r="AB2775" t="str">
        <f>IF(Table1[[#This Row],[TIPO2]]="costo", VLOOKUP(Table1[[#This Row],[PARTIDA PRESUPUESTAL]],'Cost Report'!G:G,1,0),"Balance")</f>
        <v>1403-019</v>
      </c>
      <c r="AC2775" s="118"/>
      <c r="AD2775" s="159">
        <f>+Table1[[#This Row],[SUBTOTAL]]+Table1[[#This Row],[IVA]]-Table1[[#This Row],[RET IVA]]-Table1[[#This Row],[RET ISR]]-Table1[[#This Row],[TOTAL]]</f>
        <v>0</v>
      </c>
      <c r="AE2775" s="152"/>
      <c r="AF2775" s="153"/>
      <c r="AG2775" s="126"/>
      <c r="AK2775" s="306" t="str">
        <f>IF(ISNUMBER(Table1[[#This Row],[FECHA DE RECIBIDO]]), Table1[[#This Row],[FECHA DE RECIBIDO]]-DATE(2023,8,30), "")</f>
        <v/>
      </c>
    </row>
    <row r="2776" spans="1:37" ht="16.05" customHeight="1">
      <c r="A2776" s="150"/>
      <c r="B2776" s="151"/>
      <c r="C2776" s="126" t="s">
        <v>333</v>
      </c>
      <c r="D2776">
        <v>1899</v>
      </c>
      <c r="E2776" s="126" t="s">
        <v>3354</v>
      </c>
      <c r="F2776" s="122" t="s">
        <v>1371</v>
      </c>
      <c r="G2776" s="122" t="s">
        <v>2065</v>
      </c>
      <c r="H2776">
        <v>454</v>
      </c>
      <c r="I2776" s="122" t="s">
        <v>1546</v>
      </c>
      <c r="J2776" s="307" t="s">
        <v>214</v>
      </c>
      <c r="K2776" s="127">
        <v>4</v>
      </c>
      <c r="L2776" s="151" t="s">
        <v>3306</v>
      </c>
      <c r="M2776">
        <v>630</v>
      </c>
      <c r="N2776" s="123">
        <v>1</v>
      </c>
      <c r="O2776">
        <v>1480</v>
      </c>
      <c r="P2776" s="132" t="s">
        <v>77</v>
      </c>
      <c r="Q2776" s="131">
        <v>3780.52</v>
      </c>
      <c r="R2776" s="131">
        <v>807.50199999999995</v>
      </c>
      <c r="S2776" s="131"/>
      <c r="T2776" s="155">
        <v>0</v>
      </c>
      <c r="U2776" s="131">
        <v>0</v>
      </c>
      <c r="V2776" s="131">
        <f t="shared" si="53"/>
        <v>4588.0219999999999</v>
      </c>
      <c r="W2776">
        <v>242</v>
      </c>
      <c r="X2776" s="151" t="s">
        <v>2035</v>
      </c>
      <c r="Y2776" s="135" t="s">
        <v>55</v>
      </c>
      <c r="Z2776" s="307">
        <v>240</v>
      </c>
      <c r="AB2776" t="str">
        <f>IF(Table1[[#This Row],[TIPO2]]="costo", VLOOKUP(Table1[[#This Row],[PARTIDA PRESUPUESTAL]],'Cost Report'!G:G,1,0),"Balance")</f>
        <v>1403-031</v>
      </c>
      <c r="AC2776" s="118"/>
      <c r="AD2776" s="159">
        <f>+Table1[[#This Row],[SUBTOTAL]]+Table1[[#This Row],[IVA]]-Table1[[#This Row],[RET IVA]]-Table1[[#This Row],[RET ISR]]-Table1[[#This Row],[TOTAL]]</f>
        <v>0</v>
      </c>
      <c r="AE2776" s="150"/>
      <c r="AF2776" s="151"/>
      <c r="AG2776" s="126"/>
      <c r="AK2776" s="306" t="str">
        <f>IF(ISNUMBER(Table1[[#This Row],[FECHA DE RECIBIDO]]), Table1[[#This Row],[FECHA DE RECIBIDO]]-DATE(2023,8,30), "")</f>
        <v/>
      </c>
    </row>
    <row r="2777" spans="1:37" ht="16.05" customHeight="1">
      <c r="A2777" s="152"/>
      <c r="B2777" s="153"/>
      <c r="C2777" s="126" t="s">
        <v>333</v>
      </c>
      <c r="D2777">
        <v>1899</v>
      </c>
      <c r="E2777" s="126" t="s">
        <v>3354</v>
      </c>
      <c r="F2777" s="125" t="s">
        <v>1371</v>
      </c>
      <c r="G2777" s="125" t="s">
        <v>2065</v>
      </c>
      <c r="H2777">
        <v>454</v>
      </c>
      <c r="I2777" s="125" t="s">
        <v>1546</v>
      </c>
      <c r="J2777" s="308" t="s">
        <v>214</v>
      </c>
      <c r="K2777" s="127">
        <v>4</v>
      </c>
      <c r="L2777" s="153" t="s">
        <v>3306</v>
      </c>
      <c r="M2777">
        <v>630</v>
      </c>
      <c r="N2777" s="123">
        <v>1</v>
      </c>
      <c r="O2777">
        <v>1480</v>
      </c>
      <c r="P2777" s="132" t="s">
        <v>77</v>
      </c>
      <c r="Q2777" s="132">
        <v>7460.85</v>
      </c>
      <c r="R2777" s="132">
        <v>1175.5350000000001</v>
      </c>
      <c r="S2777" s="132"/>
      <c r="T2777" s="156">
        <v>0</v>
      </c>
      <c r="U2777" s="132">
        <v>0</v>
      </c>
      <c r="V2777" s="132">
        <f t="shared" si="53"/>
        <v>8636.3850000000002</v>
      </c>
      <c r="W2777">
        <v>242</v>
      </c>
      <c r="X2777" s="153" t="s">
        <v>2035</v>
      </c>
      <c r="Y2777" s="124" t="s">
        <v>55</v>
      </c>
      <c r="Z2777" s="308">
        <v>240</v>
      </c>
      <c r="AB2777" t="str">
        <f>IF(Table1[[#This Row],[TIPO2]]="costo", VLOOKUP(Table1[[#This Row],[PARTIDA PRESUPUESTAL]],'Cost Report'!G:G,1,0),"Balance")</f>
        <v>1403-031</v>
      </c>
      <c r="AC2777" s="118"/>
      <c r="AD2777" s="159">
        <f>+Table1[[#This Row],[SUBTOTAL]]+Table1[[#This Row],[IVA]]-Table1[[#This Row],[RET IVA]]-Table1[[#This Row],[RET ISR]]-Table1[[#This Row],[TOTAL]]</f>
        <v>0</v>
      </c>
      <c r="AE2777" s="152"/>
      <c r="AF2777" s="153"/>
      <c r="AG2777" s="126"/>
      <c r="AK2777" s="306" t="str">
        <f>IF(ISNUMBER(Table1[[#This Row],[FECHA DE RECIBIDO]]), Table1[[#This Row],[FECHA DE RECIBIDO]]-DATE(2023,8,30), "")</f>
        <v/>
      </c>
    </row>
    <row r="2778" spans="1:37" ht="16.05" customHeight="1">
      <c r="A2778" s="150"/>
      <c r="B2778" s="151"/>
      <c r="C2778" s="126" t="s">
        <v>333</v>
      </c>
      <c r="D2778">
        <v>1899</v>
      </c>
      <c r="E2778" s="126" t="s">
        <v>3354</v>
      </c>
      <c r="F2778" s="122" t="s">
        <v>1371</v>
      </c>
      <c r="G2778" s="122" t="s">
        <v>2065</v>
      </c>
      <c r="H2778">
        <v>454</v>
      </c>
      <c r="I2778" s="122" t="s">
        <v>1546</v>
      </c>
      <c r="J2778" s="307" t="s">
        <v>214</v>
      </c>
      <c r="K2778" s="127">
        <v>4</v>
      </c>
      <c r="L2778" s="151" t="s">
        <v>3306</v>
      </c>
      <c r="M2778">
        <v>630</v>
      </c>
      <c r="N2778" s="123">
        <v>1</v>
      </c>
      <c r="O2778">
        <v>1480</v>
      </c>
      <c r="P2778" s="132" t="s">
        <v>77</v>
      </c>
      <c r="Q2778" s="131">
        <v>7460.85</v>
      </c>
      <c r="R2778" s="131">
        <v>1175.5350000000001</v>
      </c>
      <c r="S2778" s="131"/>
      <c r="T2778" s="155">
        <v>0</v>
      </c>
      <c r="U2778" s="131">
        <v>0</v>
      </c>
      <c r="V2778" s="131">
        <f t="shared" si="53"/>
        <v>8636.3850000000002</v>
      </c>
      <c r="W2778">
        <v>242</v>
      </c>
      <c r="X2778" s="151" t="s">
        <v>2035</v>
      </c>
      <c r="Y2778" s="135" t="s">
        <v>55</v>
      </c>
      <c r="Z2778" s="307">
        <v>240</v>
      </c>
      <c r="AB2778" t="str">
        <f>IF(Table1[[#This Row],[TIPO2]]="costo", VLOOKUP(Table1[[#This Row],[PARTIDA PRESUPUESTAL]],'Cost Report'!G:G,1,0),"Balance")</f>
        <v>1403-031</v>
      </c>
      <c r="AC2778" s="118"/>
      <c r="AD2778" s="159">
        <f>+Table1[[#This Row],[SUBTOTAL]]+Table1[[#This Row],[IVA]]-Table1[[#This Row],[RET IVA]]-Table1[[#This Row],[RET ISR]]-Table1[[#This Row],[TOTAL]]</f>
        <v>0</v>
      </c>
      <c r="AE2778" s="150"/>
      <c r="AF2778" s="151"/>
      <c r="AG2778" s="126"/>
      <c r="AK2778" s="306" t="str">
        <f>IF(ISNUMBER(Table1[[#This Row],[FECHA DE RECIBIDO]]), Table1[[#This Row],[FECHA DE RECIBIDO]]-DATE(2023,8,30), "")</f>
        <v/>
      </c>
    </row>
    <row r="2779" spans="1:37" ht="16.05" customHeight="1">
      <c r="A2779" s="152"/>
      <c r="B2779" s="153"/>
      <c r="C2779" s="126" t="s">
        <v>333</v>
      </c>
      <c r="D2779">
        <v>1899</v>
      </c>
      <c r="E2779" s="126" t="s">
        <v>3354</v>
      </c>
      <c r="F2779" s="125" t="s">
        <v>1371</v>
      </c>
      <c r="G2779" s="125" t="s">
        <v>2065</v>
      </c>
      <c r="H2779">
        <v>454</v>
      </c>
      <c r="I2779" s="125" t="s">
        <v>1546</v>
      </c>
      <c r="J2779" s="308" t="s">
        <v>214</v>
      </c>
      <c r="K2779" s="127">
        <v>4</v>
      </c>
      <c r="L2779" s="153" t="s">
        <v>3306</v>
      </c>
      <c r="M2779">
        <v>630</v>
      </c>
      <c r="N2779" s="123">
        <v>1</v>
      </c>
      <c r="O2779">
        <v>1480</v>
      </c>
      <c r="P2779" s="132" t="s">
        <v>77</v>
      </c>
      <c r="Q2779" s="132">
        <v>3780.52</v>
      </c>
      <c r="R2779" s="132">
        <v>807.50199999999995</v>
      </c>
      <c r="S2779" s="132"/>
      <c r="T2779" s="156">
        <v>0</v>
      </c>
      <c r="U2779" s="132">
        <v>0</v>
      </c>
      <c r="V2779" s="132">
        <f t="shared" si="53"/>
        <v>4588.0219999999999</v>
      </c>
      <c r="W2779">
        <v>242</v>
      </c>
      <c r="X2779" s="153" t="s">
        <v>2035</v>
      </c>
      <c r="Y2779" s="124" t="s">
        <v>55</v>
      </c>
      <c r="Z2779" s="308">
        <v>240</v>
      </c>
      <c r="AB2779" t="str">
        <f>IF(Table1[[#This Row],[TIPO2]]="costo", VLOOKUP(Table1[[#This Row],[PARTIDA PRESUPUESTAL]],'Cost Report'!G:G,1,0),"Balance")</f>
        <v>1403-031</v>
      </c>
      <c r="AC2779" s="118"/>
      <c r="AD2779" s="159">
        <f>+Table1[[#This Row],[SUBTOTAL]]+Table1[[#This Row],[IVA]]-Table1[[#This Row],[RET IVA]]-Table1[[#This Row],[RET ISR]]-Table1[[#This Row],[TOTAL]]</f>
        <v>0</v>
      </c>
      <c r="AE2779" s="152"/>
      <c r="AF2779" s="153"/>
      <c r="AG2779" s="126"/>
      <c r="AK2779" s="306" t="str">
        <f>IF(ISNUMBER(Table1[[#This Row],[FECHA DE RECIBIDO]]), Table1[[#This Row],[FECHA DE RECIBIDO]]-DATE(2023,8,30), "")</f>
        <v/>
      </c>
    </row>
    <row r="2780" spans="1:37" ht="16.05" customHeight="1">
      <c r="A2780" s="150"/>
      <c r="B2780" s="151"/>
      <c r="C2780" s="126" t="s">
        <v>335</v>
      </c>
      <c r="D2780">
        <v>1899</v>
      </c>
      <c r="E2780" s="126" t="s">
        <v>3354</v>
      </c>
      <c r="F2780" s="122" t="s">
        <v>1371</v>
      </c>
      <c r="G2780" s="122" t="s">
        <v>2065</v>
      </c>
      <c r="H2780">
        <v>454</v>
      </c>
      <c r="I2780" s="122" t="s">
        <v>1546</v>
      </c>
      <c r="J2780" s="307" t="s">
        <v>214</v>
      </c>
      <c r="K2780" s="127">
        <v>4</v>
      </c>
      <c r="L2780" s="151" t="s">
        <v>3306</v>
      </c>
      <c r="M2780">
        <v>630</v>
      </c>
      <c r="N2780" s="123">
        <v>1</v>
      </c>
      <c r="O2780">
        <v>1480</v>
      </c>
      <c r="P2780" s="132" t="s">
        <v>77</v>
      </c>
      <c r="Q2780" s="131">
        <v>13638.76</v>
      </c>
      <c r="R2780" s="131">
        <v>1793.3260000000002</v>
      </c>
      <c r="S2780" s="131"/>
      <c r="T2780" s="155">
        <v>0</v>
      </c>
      <c r="U2780" s="131">
        <v>0</v>
      </c>
      <c r="V2780" s="131">
        <f t="shared" si="53"/>
        <v>15432.086000000001</v>
      </c>
      <c r="W2780">
        <v>242</v>
      </c>
      <c r="X2780" s="151" t="s">
        <v>2035</v>
      </c>
      <c r="Y2780" s="135" t="s">
        <v>55</v>
      </c>
      <c r="Z2780" s="307">
        <v>240</v>
      </c>
      <c r="AB2780" t="str">
        <f>IF(Table1[[#This Row],[TIPO2]]="costo", VLOOKUP(Table1[[#This Row],[PARTIDA PRESUPUESTAL]],'Cost Report'!G:G,1,0),"Balance")</f>
        <v>1403-033</v>
      </c>
      <c r="AC2780" s="118"/>
      <c r="AD2780" s="159">
        <f>+Table1[[#This Row],[SUBTOTAL]]+Table1[[#This Row],[IVA]]-Table1[[#This Row],[RET IVA]]-Table1[[#This Row],[RET ISR]]-Table1[[#This Row],[TOTAL]]</f>
        <v>0</v>
      </c>
      <c r="AE2780" s="150"/>
      <c r="AF2780" s="151"/>
      <c r="AG2780" s="126"/>
      <c r="AK2780" s="306" t="str">
        <f>IF(ISNUMBER(Table1[[#This Row],[FECHA DE RECIBIDO]]), Table1[[#This Row],[FECHA DE RECIBIDO]]-DATE(2023,8,30), "")</f>
        <v/>
      </c>
    </row>
    <row r="2781" spans="1:37" ht="16.05" customHeight="1">
      <c r="A2781" s="152"/>
      <c r="B2781" s="153"/>
      <c r="C2781" s="126" t="s">
        <v>2219</v>
      </c>
      <c r="D2781">
        <v>1899</v>
      </c>
      <c r="E2781" s="126" t="s">
        <v>3354</v>
      </c>
      <c r="F2781" s="125" t="s">
        <v>1371</v>
      </c>
      <c r="G2781" s="125" t="s">
        <v>2065</v>
      </c>
      <c r="H2781">
        <v>454</v>
      </c>
      <c r="I2781" s="125" t="s">
        <v>1546</v>
      </c>
      <c r="J2781" s="308" t="s">
        <v>214</v>
      </c>
      <c r="K2781" s="127">
        <v>4</v>
      </c>
      <c r="L2781" s="153" t="s">
        <v>3306</v>
      </c>
      <c r="M2781">
        <v>630</v>
      </c>
      <c r="N2781" s="123">
        <v>1</v>
      </c>
      <c r="O2781">
        <v>1480</v>
      </c>
      <c r="P2781" s="132" t="s">
        <v>77</v>
      </c>
      <c r="Q2781" s="132">
        <v>1811.19</v>
      </c>
      <c r="R2781" s="132">
        <v>610.56899999999996</v>
      </c>
      <c r="S2781" s="132"/>
      <c r="T2781" s="156">
        <v>0</v>
      </c>
      <c r="U2781" s="132">
        <v>0</v>
      </c>
      <c r="V2781" s="132">
        <f t="shared" si="53"/>
        <v>2421.759</v>
      </c>
      <c r="W2781">
        <v>242</v>
      </c>
      <c r="X2781" s="153" t="s">
        <v>2035</v>
      </c>
      <c r="Y2781" s="124" t="s">
        <v>55</v>
      </c>
      <c r="Z2781" s="308">
        <v>240</v>
      </c>
      <c r="AB2781" t="str">
        <f>IF(Table1[[#This Row],[TIPO2]]="costo", VLOOKUP(Table1[[#This Row],[PARTIDA PRESUPUESTAL]],'Cost Report'!G:G,1,0),"Balance")</f>
        <v>1406-004</v>
      </c>
      <c r="AC2781" s="118"/>
      <c r="AD2781" s="159">
        <f>+Table1[[#This Row],[SUBTOTAL]]+Table1[[#This Row],[IVA]]-Table1[[#This Row],[RET IVA]]-Table1[[#This Row],[RET ISR]]-Table1[[#This Row],[TOTAL]]</f>
        <v>0</v>
      </c>
      <c r="AE2781" s="152"/>
      <c r="AF2781" s="153"/>
      <c r="AG2781" s="126"/>
      <c r="AK2781" s="306" t="str">
        <f>IF(ISNUMBER(Table1[[#This Row],[FECHA DE RECIBIDO]]), Table1[[#This Row],[FECHA DE RECIBIDO]]-DATE(2023,8,30), "")</f>
        <v/>
      </c>
    </row>
    <row r="2782" spans="1:37" ht="16.05" customHeight="1">
      <c r="A2782" s="150"/>
      <c r="B2782" s="151"/>
      <c r="C2782" s="126" t="s">
        <v>2220</v>
      </c>
      <c r="D2782">
        <v>1899</v>
      </c>
      <c r="E2782" s="126" t="s">
        <v>3354</v>
      </c>
      <c r="F2782" s="122" t="s">
        <v>1371</v>
      </c>
      <c r="G2782" s="122" t="s">
        <v>2065</v>
      </c>
      <c r="H2782">
        <v>454</v>
      </c>
      <c r="I2782" s="122" t="s">
        <v>1546</v>
      </c>
      <c r="J2782" s="307" t="s">
        <v>214</v>
      </c>
      <c r="K2782" s="127">
        <v>4</v>
      </c>
      <c r="L2782" s="151" t="s">
        <v>3306</v>
      </c>
      <c r="M2782">
        <v>630</v>
      </c>
      <c r="N2782" s="123">
        <v>1</v>
      </c>
      <c r="O2782">
        <v>1480</v>
      </c>
      <c r="P2782" s="132" t="s">
        <v>77</v>
      </c>
      <c r="Q2782" s="131">
        <v>10366.24</v>
      </c>
      <c r="R2782" s="131">
        <v>1466.0740000000001</v>
      </c>
      <c r="S2782" s="131"/>
      <c r="T2782" s="155">
        <v>0</v>
      </c>
      <c r="U2782" s="131">
        <v>0</v>
      </c>
      <c r="V2782" s="131">
        <f t="shared" si="53"/>
        <v>11832.314</v>
      </c>
      <c r="W2782">
        <v>242</v>
      </c>
      <c r="X2782" s="151" t="s">
        <v>2035</v>
      </c>
      <c r="Y2782" s="135" t="s">
        <v>55</v>
      </c>
      <c r="Z2782" s="307">
        <v>240</v>
      </c>
      <c r="AB2782" t="str">
        <f>IF(Table1[[#This Row],[TIPO2]]="costo", VLOOKUP(Table1[[#This Row],[PARTIDA PRESUPUESTAL]],'Cost Report'!G:G,1,0),"Balance")</f>
        <v>1406-005</v>
      </c>
      <c r="AC2782" s="118"/>
      <c r="AD2782" s="159">
        <f>+Table1[[#This Row],[SUBTOTAL]]+Table1[[#This Row],[IVA]]-Table1[[#This Row],[RET IVA]]-Table1[[#This Row],[RET ISR]]-Table1[[#This Row],[TOTAL]]</f>
        <v>0</v>
      </c>
      <c r="AE2782" s="150"/>
      <c r="AF2782" s="151"/>
      <c r="AG2782" s="126"/>
      <c r="AK2782" s="306" t="str">
        <f>IF(ISNUMBER(Table1[[#This Row],[FECHA DE RECIBIDO]]), Table1[[#This Row],[FECHA DE RECIBIDO]]-DATE(2023,8,30), "")</f>
        <v/>
      </c>
    </row>
    <row r="2783" spans="1:37" ht="16.05" customHeight="1">
      <c r="A2783" s="152"/>
      <c r="B2783" s="153"/>
      <c r="C2783" s="126" t="s">
        <v>2221</v>
      </c>
      <c r="D2783">
        <v>1899</v>
      </c>
      <c r="E2783" s="126" t="s">
        <v>3354</v>
      </c>
      <c r="F2783" s="125" t="s">
        <v>1371</v>
      </c>
      <c r="G2783" s="125" t="s">
        <v>2065</v>
      </c>
      <c r="H2783">
        <v>454</v>
      </c>
      <c r="I2783" s="125" t="s">
        <v>1546</v>
      </c>
      <c r="J2783" s="308" t="s">
        <v>214</v>
      </c>
      <c r="K2783" s="127">
        <v>4</v>
      </c>
      <c r="L2783" s="153" t="s">
        <v>3306</v>
      </c>
      <c r="M2783">
        <v>630</v>
      </c>
      <c r="N2783" s="123">
        <v>1</v>
      </c>
      <c r="O2783">
        <v>1480</v>
      </c>
      <c r="P2783" s="132" t="s">
        <v>77</v>
      </c>
      <c r="Q2783" s="132">
        <v>14463.84</v>
      </c>
      <c r="R2783" s="132">
        <v>1875.8340000000001</v>
      </c>
      <c r="S2783" s="132"/>
      <c r="T2783" s="156">
        <v>0</v>
      </c>
      <c r="U2783" s="132">
        <v>0</v>
      </c>
      <c r="V2783" s="132">
        <f t="shared" si="53"/>
        <v>16339.674000000001</v>
      </c>
      <c r="W2783">
        <v>242</v>
      </c>
      <c r="X2783" s="153" t="s">
        <v>2035</v>
      </c>
      <c r="Y2783" s="124" t="s">
        <v>55</v>
      </c>
      <c r="Z2783" s="308">
        <v>240</v>
      </c>
      <c r="AB2783" t="str">
        <f>IF(Table1[[#This Row],[TIPO2]]="costo", VLOOKUP(Table1[[#This Row],[PARTIDA PRESUPUESTAL]],'Cost Report'!G:G,1,0),"Balance")</f>
        <v>1406-006</v>
      </c>
      <c r="AC2783" s="118"/>
      <c r="AD2783" s="159">
        <f>+Table1[[#This Row],[SUBTOTAL]]+Table1[[#This Row],[IVA]]-Table1[[#This Row],[RET IVA]]-Table1[[#This Row],[RET ISR]]-Table1[[#This Row],[TOTAL]]</f>
        <v>0</v>
      </c>
      <c r="AE2783" s="152"/>
      <c r="AF2783" s="153"/>
      <c r="AG2783" s="126"/>
      <c r="AK2783" s="306" t="str">
        <f>IF(ISNUMBER(Table1[[#This Row],[FECHA DE RECIBIDO]]), Table1[[#This Row],[FECHA DE RECIBIDO]]-DATE(2023,8,30), "")</f>
        <v/>
      </c>
    </row>
    <row r="2784" spans="1:37" ht="16.05" customHeight="1">
      <c r="A2784" s="150"/>
      <c r="B2784" s="151"/>
      <c r="C2784" s="126" t="s">
        <v>369</v>
      </c>
      <c r="D2784">
        <v>1899</v>
      </c>
      <c r="E2784" s="126" t="s">
        <v>3354</v>
      </c>
      <c r="F2784" s="122" t="s">
        <v>1371</v>
      </c>
      <c r="G2784" s="122" t="s">
        <v>2065</v>
      </c>
      <c r="H2784">
        <v>454</v>
      </c>
      <c r="I2784" s="122" t="s">
        <v>1546</v>
      </c>
      <c r="J2784" s="307" t="s">
        <v>214</v>
      </c>
      <c r="K2784" s="127">
        <v>4</v>
      </c>
      <c r="L2784" s="151" t="s">
        <v>3306</v>
      </c>
      <c r="M2784">
        <v>630</v>
      </c>
      <c r="N2784" s="123">
        <v>1</v>
      </c>
      <c r="O2784">
        <v>1480</v>
      </c>
      <c r="P2784" s="132" t="s">
        <v>77</v>
      </c>
      <c r="Q2784" s="131">
        <v>21354.560000000001</v>
      </c>
      <c r="R2784" s="131">
        <v>2564.9059999999999</v>
      </c>
      <c r="S2784" s="131"/>
      <c r="T2784" s="155">
        <v>0</v>
      </c>
      <c r="U2784" s="131">
        <v>0</v>
      </c>
      <c r="V2784" s="131">
        <f t="shared" si="53"/>
        <v>23919.466</v>
      </c>
      <c r="W2784">
        <v>242</v>
      </c>
      <c r="X2784" s="151" t="s">
        <v>2035</v>
      </c>
      <c r="Y2784" s="135" t="s">
        <v>55</v>
      </c>
      <c r="Z2784" s="307">
        <v>240</v>
      </c>
      <c r="AB2784" t="str">
        <f>IF(Table1[[#This Row],[TIPO2]]="costo", VLOOKUP(Table1[[#This Row],[PARTIDA PRESUPUESTAL]],'Cost Report'!G:G,1,0),"Balance")</f>
        <v>1410-009</v>
      </c>
      <c r="AC2784" s="118"/>
      <c r="AD2784" s="159">
        <f>+Table1[[#This Row],[SUBTOTAL]]+Table1[[#This Row],[IVA]]-Table1[[#This Row],[RET IVA]]-Table1[[#This Row],[RET ISR]]-Table1[[#This Row],[TOTAL]]</f>
        <v>0</v>
      </c>
      <c r="AE2784" s="150"/>
      <c r="AF2784" s="151"/>
      <c r="AG2784" s="126"/>
      <c r="AK2784" s="306" t="str">
        <f>IF(ISNUMBER(Table1[[#This Row],[FECHA DE RECIBIDO]]), Table1[[#This Row],[FECHA DE RECIBIDO]]-DATE(2023,8,30), "")</f>
        <v/>
      </c>
    </row>
    <row r="2785" spans="1:37" ht="16.05" customHeight="1">
      <c r="A2785" s="152"/>
      <c r="B2785" s="153"/>
      <c r="C2785" s="126" t="s">
        <v>370</v>
      </c>
      <c r="D2785">
        <v>1899</v>
      </c>
      <c r="E2785" s="126" t="s">
        <v>3354</v>
      </c>
      <c r="F2785" s="125" t="s">
        <v>1371</v>
      </c>
      <c r="G2785" s="125" t="s">
        <v>2065</v>
      </c>
      <c r="H2785">
        <v>454</v>
      </c>
      <c r="I2785" s="125" t="s">
        <v>1546</v>
      </c>
      <c r="J2785" s="308" t="s">
        <v>214</v>
      </c>
      <c r="K2785" s="127">
        <v>4</v>
      </c>
      <c r="L2785" s="153" t="s">
        <v>3306</v>
      </c>
      <c r="M2785">
        <v>630</v>
      </c>
      <c r="N2785" s="123">
        <v>1</v>
      </c>
      <c r="O2785">
        <v>1480</v>
      </c>
      <c r="P2785" s="132" t="s">
        <v>77</v>
      </c>
      <c r="Q2785" s="132">
        <v>4601.0200000000004</v>
      </c>
      <c r="R2785" s="132">
        <v>889.55200000000013</v>
      </c>
      <c r="S2785" s="132"/>
      <c r="T2785" s="156">
        <v>0</v>
      </c>
      <c r="U2785" s="132">
        <v>0</v>
      </c>
      <c r="V2785" s="132">
        <f t="shared" si="53"/>
        <v>5490.5720000000001</v>
      </c>
      <c r="W2785">
        <v>242</v>
      </c>
      <c r="X2785" s="153" t="s">
        <v>2035</v>
      </c>
      <c r="Y2785" s="124" t="s">
        <v>55</v>
      </c>
      <c r="Z2785" s="308">
        <v>240</v>
      </c>
      <c r="AB2785" t="str">
        <f>IF(Table1[[#This Row],[TIPO2]]="costo", VLOOKUP(Table1[[#This Row],[PARTIDA PRESUPUESTAL]],'Cost Report'!G:G,1,0),"Balance")</f>
        <v>1410-010</v>
      </c>
      <c r="AC2785" s="118"/>
      <c r="AD2785" s="159">
        <f>+Table1[[#This Row],[SUBTOTAL]]+Table1[[#This Row],[IVA]]-Table1[[#This Row],[RET IVA]]-Table1[[#This Row],[RET ISR]]-Table1[[#This Row],[TOTAL]]</f>
        <v>0</v>
      </c>
      <c r="AE2785" s="152"/>
      <c r="AF2785" s="153"/>
      <c r="AG2785" s="126"/>
      <c r="AK2785" s="306" t="str">
        <f>IF(ISNUMBER(Table1[[#This Row],[FECHA DE RECIBIDO]]), Table1[[#This Row],[FECHA DE RECIBIDO]]-DATE(2023,8,30), "")</f>
        <v/>
      </c>
    </row>
    <row r="2786" spans="1:37" ht="16.05" customHeight="1">
      <c r="A2786" s="150"/>
      <c r="B2786" s="151"/>
      <c r="C2786" s="126" t="s">
        <v>371</v>
      </c>
      <c r="D2786">
        <v>1899</v>
      </c>
      <c r="E2786" s="126" t="s">
        <v>3354</v>
      </c>
      <c r="F2786" s="122" t="s">
        <v>1371</v>
      </c>
      <c r="G2786" s="122" t="s">
        <v>2065</v>
      </c>
      <c r="H2786">
        <v>454</v>
      </c>
      <c r="I2786" s="122" t="s">
        <v>1546</v>
      </c>
      <c r="J2786" s="307" t="s">
        <v>214</v>
      </c>
      <c r="K2786" s="127">
        <v>4</v>
      </c>
      <c r="L2786" s="151" t="s">
        <v>3306</v>
      </c>
      <c r="M2786">
        <v>630</v>
      </c>
      <c r="N2786" s="123">
        <v>1</v>
      </c>
      <c r="O2786">
        <v>1480</v>
      </c>
      <c r="P2786" s="132" t="s">
        <v>77</v>
      </c>
      <c r="Q2786" s="131">
        <v>11031.54</v>
      </c>
      <c r="R2786" s="131">
        <v>1532.6040000000003</v>
      </c>
      <c r="S2786" s="131"/>
      <c r="T2786" s="155">
        <v>0</v>
      </c>
      <c r="U2786" s="131">
        <v>0</v>
      </c>
      <c r="V2786" s="131">
        <f t="shared" si="53"/>
        <v>12564.144</v>
      </c>
      <c r="W2786">
        <v>242</v>
      </c>
      <c r="X2786" s="151" t="s">
        <v>2035</v>
      </c>
      <c r="Y2786" s="135" t="s">
        <v>55</v>
      </c>
      <c r="Z2786" s="307">
        <v>240</v>
      </c>
      <c r="AB2786" t="str">
        <f>IF(Table1[[#This Row],[TIPO2]]="costo", VLOOKUP(Table1[[#This Row],[PARTIDA PRESUPUESTAL]],'Cost Report'!G:G,1,0),"Balance")</f>
        <v>1410-011</v>
      </c>
      <c r="AC2786" s="118"/>
      <c r="AD2786" s="159">
        <f>+Table1[[#This Row],[SUBTOTAL]]+Table1[[#This Row],[IVA]]-Table1[[#This Row],[RET IVA]]-Table1[[#This Row],[RET ISR]]-Table1[[#This Row],[TOTAL]]</f>
        <v>0</v>
      </c>
      <c r="AE2786" s="150"/>
      <c r="AF2786" s="151"/>
      <c r="AG2786" s="126"/>
      <c r="AK2786" s="306" t="str">
        <f>IF(ISNUMBER(Table1[[#This Row],[FECHA DE RECIBIDO]]), Table1[[#This Row],[FECHA DE RECIBIDO]]-DATE(2023,8,30), "")</f>
        <v/>
      </c>
    </row>
    <row r="2787" spans="1:37" ht="16.05" customHeight="1">
      <c r="A2787" s="152"/>
      <c r="B2787" s="153"/>
      <c r="C2787" s="126" t="s">
        <v>2230</v>
      </c>
      <c r="D2787">
        <v>1899</v>
      </c>
      <c r="E2787" s="126" t="s">
        <v>3354</v>
      </c>
      <c r="F2787" s="125" t="s">
        <v>1371</v>
      </c>
      <c r="G2787" s="125" t="s">
        <v>2065</v>
      </c>
      <c r="H2787">
        <v>454</v>
      </c>
      <c r="I2787" s="125" t="s">
        <v>1546</v>
      </c>
      <c r="J2787" s="308" t="s">
        <v>214</v>
      </c>
      <c r="K2787" s="127">
        <v>4</v>
      </c>
      <c r="L2787" s="153" t="s">
        <v>3306</v>
      </c>
      <c r="M2787">
        <v>630</v>
      </c>
      <c r="N2787" s="123">
        <v>1</v>
      </c>
      <c r="O2787">
        <v>1480</v>
      </c>
      <c r="P2787" s="132" t="s">
        <v>77</v>
      </c>
      <c r="Q2787" s="132">
        <v>11141.2</v>
      </c>
      <c r="R2787" s="132">
        <v>1543.5700000000002</v>
      </c>
      <c r="S2787" s="132"/>
      <c r="T2787" s="156">
        <v>0</v>
      </c>
      <c r="U2787" s="132">
        <v>0</v>
      </c>
      <c r="V2787" s="132">
        <f t="shared" si="53"/>
        <v>12684.77</v>
      </c>
      <c r="W2787">
        <v>242</v>
      </c>
      <c r="X2787" s="153" t="s">
        <v>2035</v>
      </c>
      <c r="Y2787" s="124" t="s">
        <v>55</v>
      </c>
      <c r="Z2787" s="308">
        <v>240</v>
      </c>
      <c r="AB2787" t="str">
        <f>IF(Table1[[#This Row],[TIPO2]]="costo", VLOOKUP(Table1[[#This Row],[PARTIDA PRESUPUESTAL]],'Cost Report'!G:G,1,0),"Balance")</f>
        <v>1410-022</v>
      </c>
      <c r="AC2787" s="118"/>
      <c r="AD2787" s="159">
        <f>+Table1[[#This Row],[SUBTOTAL]]+Table1[[#This Row],[IVA]]-Table1[[#This Row],[RET IVA]]-Table1[[#This Row],[RET ISR]]-Table1[[#This Row],[TOTAL]]</f>
        <v>0</v>
      </c>
      <c r="AE2787" s="152"/>
      <c r="AF2787" s="153"/>
      <c r="AG2787" s="126"/>
      <c r="AK2787" s="306" t="str">
        <f>IF(ISNUMBER(Table1[[#This Row],[FECHA DE RECIBIDO]]), Table1[[#This Row],[FECHA DE RECIBIDO]]-DATE(2023,8,30), "")</f>
        <v/>
      </c>
    </row>
    <row r="2788" spans="1:37" ht="16.05" customHeight="1">
      <c r="A2788" s="150"/>
      <c r="B2788" s="151"/>
      <c r="C2788" s="126" t="s">
        <v>2231</v>
      </c>
      <c r="D2788">
        <v>1899</v>
      </c>
      <c r="E2788" s="126" t="s">
        <v>3354</v>
      </c>
      <c r="F2788" s="122" t="s">
        <v>1371</v>
      </c>
      <c r="G2788" s="122" t="s">
        <v>2065</v>
      </c>
      <c r="H2788">
        <v>454</v>
      </c>
      <c r="I2788" s="122" t="s">
        <v>1546</v>
      </c>
      <c r="J2788" s="307" t="s">
        <v>214</v>
      </c>
      <c r="K2788" s="127">
        <v>4</v>
      </c>
      <c r="L2788" s="151" t="s">
        <v>3306</v>
      </c>
      <c r="M2788">
        <v>630</v>
      </c>
      <c r="N2788" s="123">
        <v>1</v>
      </c>
      <c r="O2788">
        <v>1480</v>
      </c>
      <c r="P2788" s="132" t="s">
        <v>77</v>
      </c>
      <c r="Q2788" s="131">
        <v>4601.0200000000004</v>
      </c>
      <c r="R2788" s="131">
        <v>889.55200000000013</v>
      </c>
      <c r="S2788" s="131"/>
      <c r="T2788" s="155">
        <v>0</v>
      </c>
      <c r="U2788" s="131">
        <v>0</v>
      </c>
      <c r="V2788" s="131">
        <f t="shared" si="53"/>
        <v>5490.5720000000001</v>
      </c>
      <c r="W2788">
        <v>242</v>
      </c>
      <c r="X2788" s="151" t="s">
        <v>2035</v>
      </c>
      <c r="Y2788" s="135" t="s">
        <v>55</v>
      </c>
      <c r="Z2788" s="307">
        <v>240</v>
      </c>
      <c r="AB2788" t="str">
        <f>IF(Table1[[#This Row],[TIPO2]]="costo", VLOOKUP(Table1[[#This Row],[PARTIDA PRESUPUESTAL]],'Cost Report'!G:G,1,0),"Balance")</f>
        <v>1410-023</v>
      </c>
      <c r="AC2788" s="118"/>
      <c r="AD2788" s="159">
        <f>+Table1[[#This Row],[SUBTOTAL]]+Table1[[#This Row],[IVA]]-Table1[[#This Row],[RET IVA]]-Table1[[#This Row],[RET ISR]]-Table1[[#This Row],[TOTAL]]</f>
        <v>0</v>
      </c>
      <c r="AE2788" s="150"/>
      <c r="AF2788" s="151"/>
      <c r="AG2788" s="126"/>
      <c r="AK2788" s="306" t="str">
        <f>IF(ISNUMBER(Table1[[#This Row],[FECHA DE RECIBIDO]]), Table1[[#This Row],[FECHA DE RECIBIDO]]-DATE(2023,8,30), "")</f>
        <v/>
      </c>
    </row>
    <row r="2789" spans="1:37" ht="16.05" customHeight="1">
      <c r="A2789" s="152"/>
      <c r="B2789" s="153"/>
      <c r="C2789" s="126" t="s">
        <v>2232</v>
      </c>
      <c r="D2789">
        <v>1899</v>
      </c>
      <c r="E2789" s="126" t="s">
        <v>3354</v>
      </c>
      <c r="F2789" s="125" t="s">
        <v>1371</v>
      </c>
      <c r="G2789" s="125" t="s">
        <v>2065</v>
      </c>
      <c r="H2789">
        <v>454</v>
      </c>
      <c r="I2789" s="125" t="s">
        <v>1546</v>
      </c>
      <c r="J2789" s="308" t="s">
        <v>214</v>
      </c>
      <c r="K2789" s="127">
        <v>4</v>
      </c>
      <c r="L2789" s="153" t="s">
        <v>3306</v>
      </c>
      <c r="M2789">
        <v>630</v>
      </c>
      <c r="N2789" s="123">
        <v>1</v>
      </c>
      <c r="O2789">
        <v>1480</v>
      </c>
      <c r="P2789" s="132" t="s">
        <v>77</v>
      </c>
      <c r="Q2789" s="132">
        <v>1850.58</v>
      </c>
      <c r="R2789" s="132">
        <v>614.50800000000004</v>
      </c>
      <c r="S2789" s="132"/>
      <c r="T2789" s="156">
        <v>0</v>
      </c>
      <c r="U2789" s="132">
        <v>0</v>
      </c>
      <c r="V2789" s="132">
        <f t="shared" si="53"/>
        <v>2465.0879999999997</v>
      </c>
      <c r="W2789">
        <v>242</v>
      </c>
      <c r="X2789" s="153" t="s">
        <v>2035</v>
      </c>
      <c r="Y2789" s="124" t="s">
        <v>55</v>
      </c>
      <c r="Z2789" s="308">
        <v>240</v>
      </c>
      <c r="AB2789" t="str">
        <f>IF(Table1[[#This Row],[TIPO2]]="costo", VLOOKUP(Table1[[#This Row],[PARTIDA PRESUPUESTAL]],'Cost Report'!G:G,1,0),"Balance")</f>
        <v>1410-024</v>
      </c>
      <c r="AC2789" s="118"/>
      <c r="AD2789" s="159">
        <f>+Table1[[#This Row],[SUBTOTAL]]+Table1[[#This Row],[IVA]]-Table1[[#This Row],[RET IVA]]-Table1[[#This Row],[RET ISR]]-Table1[[#This Row],[TOTAL]]</f>
        <v>0</v>
      </c>
      <c r="AE2789" s="152"/>
      <c r="AF2789" s="153"/>
      <c r="AG2789" s="126"/>
      <c r="AK2789" s="306" t="str">
        <f>IF(ISNUMBER(Table1[[#This Row],[FECHA DE RECIBIDO]]), Table1[[#This Row],[FECHA DE RECIBIDO]]-DATE(2023,8,30), "")</f>
        <v/>
      </c>
    </row>
    <row r="2790" spans="1:37" ht="16.05" customHeight="1">
      <c r="A2790" s="150"/>
      <c r="B2790" s="151"/>
      <c r="C2790" s="126" t="s">
        <v>1416</v>
      </c>
      <c r="D2790">
        <v>1899</v>
      </c>
      <c r="E2790" s="126" t="s">
        <v>3354</v>
      </c>
      <c r="F2790" s="122" t="s">
        <v>1371</v>
      </c>
      <c r="G2790" s="122" t="s">
        <v>2065</v>
      </c>
      <c r="H2790">
        <v>454</v>
      </c>
      <c r="I2790" s="122" t="s">
        <v>1546</v>
      </c>
      <c r="J2790" s="307" t="s">
        <v>214</v>
      </c>
      <c r="K2790" s="127">
        <v>4</v>
      </c>
      <c r="L2790" s="151" t="s">
        <v>3306</v>
      </c>
      <c r="M2790">
        <v>630</v>
      </c>
      <c r="N2790" s="123">
        <v>1</v>
      </c>
      <c r="O2790">
        <v>1480</v>
      </c>
      <c r="P2790" s="132" t="s">
        <v>77</v>
      </c>
      <c r="Q2790" s="131">
        <v>181303.69</v>
      </c>
      <c r="R2790" s="131">
        <v>18559.819000000003</v>
      </c>
      <c r="S2790" s="131"/>
      <c r="T2790" s="155">
        <v>0</v>
      </c>
      <c r="U2790" s="131">
        <v>0</v>
      </c>
      <c r="V2790" s="131">
        <f t="shared" si="53"/>
        <v>199863.50900000002</v>
      </c>
      <c r="W2790">
        <v>242</v>
      </c>
      <c r="X2790" s="151" t="s">
        <v>2035</v>
      </c>
      <c r="Y2790" s="135" t="s">
        <v>55</v>
      </c>
      <c r="Z2790" s="307">
        <v>240</v>
      </c>
      <c r="AB2790" t="str">
        <f>IF(Table1[[#This Row],[TIPO2]]="costo", VLOOKUP(Table1[[#This Row],[PARTIDA PRESUPUESTAL]],'Cost Report'!G:G,1,0),"Balance")</f>
        <v>1499-001</v>
      </c>
      <c r="AC2790" s="118"/>
      <c r="AD2790" s="159">
        <f>+Table1[[#This Row],[SUBTOTAL]]+Table1[[#This Row],[IVA]]-Table1[[#This Row],[RET IVA]]-Table1[[#This Row],[RET ISR]]-Table1[[#This Row],[TOTAL]]</f>
        <v>0</v>
      </c>
      <c r="AE2790" s="150"/>
      <c r="AF2790" s="151"/>
      <c r="AG2790" s="126"/>
      <c r="AK2790" s="306" t="str">
        <f>IF(ISNUMBER(Table1[[#This Row],[FECHA DE RECIBIDO]]), Table1[[#This Row],[FECHA DE RECIBIDO]]-DATE(2023,8,30), "")</f>
        <v/>
      </c>
    </row>
    <row r="2791" spans="1:37" ht="16.05" customHeight="1">
      <c r="A2791" s="152" t="s">
        <v>4083</v>
      </c>
      <c r="B2791" s="153">
        <v>1067</v>
      </c>
      <c r="C2791" s="126" t="s">
        <v>2852</v>
      </c>
      <c r="D2791">
        <v>1900</v>
      </c>
      <c r="E2791" s="126" t="s">
        <v>3378</v>
      </c>
      <c r="F2791" s="125" t="s">
        <v>1607</v>
      </c>
      <c r="G2791" s="125" t="s">
        <v>134</v>
      </c>
      <c r="H2791">
        <v>545</v>
      </c>
      <c r="I2791" s="125" t="s">
        <v>1546</v>
      </c>
      <c r="J2791" s="308" t="s">
        <v>214</v>
      </c>
      <c r="K2791" s="127" t="s">
        <v>3806</v>
      </c>
      <c r="L2791" s="153" t="s">
        <v>3306</v>
      </c>
      <c r="M2791">
        <v>771</v>
      </c>
      <c r="N2791" s="123">
        <v>1</v>
      </c>
      <c r="O2791">
        <v>1872</v>
      </c>
      <c r="P2791" s="132" t="s">
        <v>77</v>
      </c>
      <c r="Q2791" s="132">
        <v>2490</v>
      </c>
      <c r="R2791" s="132">
        <v>398.4</v>
      </c>
      <c r="S2791" s="132"/>
      <c r="T2791" s="156">
        <v>0</v>
      </c>
      <c r="U2791" s="132">
        <v>0</v>
      </c>
      <c r="V2791" s="132">
        <v>2888.4</v>
      </c>
      <c r="W2791">
        <v>317</v>
      </c>
      <c r="X2791" s="153" t="s">
        <v>2035</v>
      </c>
      <c r="Y2791" s="124" t="s">
        <v>55</v>
      </c>
      <c r="Z2791" s="308">
        <v>240</v>
      </c>
      <c r="AB2791" t="str">
        <f>IF(Table1[[#This Row],[TIPO2]]="costo", VLOOKUP(Table1[[#This Row],[PARTIDA PRESUPUESTAL]],'Cost Report'!G:G,1,0),"Balance")</f>
        <v>3498-003</v>
      </c>
      <c r="AC2791" s="118"/>
      <c r="AD2791" s="159">
        <f>+Table1[[#This Row],[SUBTOTAL]]+Table1[[#This Row],[IVA]]-Table1[[#This Row],[RET IVA]]-Table1[[#This Row],[RET ISR]]-Table1[[#This Row],[TOTAL]]</f>
        <v>0</v>
      </c>
      <c r="AE2791" s="152"/>
      <c r="AF2791" s="153"/>
      <c r="AG2791" s="126"/>
      <c r="AK2791" s="306" t="str">
        <f>IF(ISNUMBER(Table1[[#This Row],[FECHA DE RECIBIDO]]), Table1[[#This Row],[FECHA DE RECIBIDO]]-DATE(2023,8,30), "")</f>
        <v/>
      </c>
    </row>
    <row r="2792" spans="1:37" ht="16.05" customHeight="1">
      <c r="A2792" s="150" t="s">
        <v>4084</v>
      </c>
      <c r="B2792" s="151">
        <v>1068</v>
      </c>
      <c r="C2792" s="126" t="s">
        <v>2846</v>
      </c>
      <c r="D2792">
        <v>1901</v>
      </c>
      <c r="E2792" s="126" t="s">
        <v>4085</v>
      </c>
      <c r="F2792" s="122" t="s">
        <v>1593</v>
      </c>
      <c r="G2792" s="122" t="s">
        <v>109</v>
      </c>
      <c r="H2792">
        <v>546</v>
      </c>
      <c r="I2792" s="122" t="s">
        <v>1546</v>
      </c>
      <c r="J2792" s="307" t="s">
        <v>214</v>
      </c>
      <c r="K2792" s="127" t="s">
        <v>3806</v>
      </c>
      <c r="L2792" s="151" t="s">
        <v>3306</v>
      </c>
      <c r="M2792">
        <v>772</v>
      </c>
      <c r="N2792" s="123">
        <v>1</v>
      </c>
      <c r="O2792">
        <v>1873</v>
      </c>
      <c r="P2792" s="132" t="s">
        <v>77</v>
      </c>
      <c r="Q2792" s="131">
        <v>1600</v>
      </c>
      <c r="R2792" s="131">
        <v>256</v>
      </c>
      <c r="S2792" s="131"/>
      <c r="T2792" s="155">
        <v>0</v>
      </c>
      <c r="U2792" s="131">
        <v>20</v>
      </c>
      <c r="V2792" s="131">
        <v>1836</v>
      </c>
      <c r="W2792">
        <v>318</v>
      </c>
      <c r="X2792" s="151" t="s">
        <v>2041</v>
      </c>
      <c r="Y2792" s="135" t="s">
        <v>55</v>
      </c>
      <c r="Z2792" s="307">
        <v>240</v>
      </c>
      <c r="AB2792" t="str">
        <f>IF(Table1[[#This Row],[TIPO2]]="costo", VLOOKUP(Table1[[#This Row],[PARTIDA PRESUPUESTAL]],'Cost Report'!G:G,1,0),"Balance")</f>
        <v>3480-003</v>
      </c>
      <c r="AC2792" s="118"/>
      <c r="AD2792" s="159">
        <f>+Table1[[#This Row],[SUBTOTAL]]+Table1[[#This Row],[IVA]]-Table1[[#This Row],[RET IVA]]-Table1[[#This Row],[RET ISR]]-Table1[[#This Row],[TOTAL]]</f>
        <v>0</v>
      </c>
      <c r="AE2792" s="150"/>
      <c r="AF2792" s="151"/>
      <c r="AG2792" s="126"/>
      <c r="AK2792" s="306" t="str">
        <f>IF(ISNUMBER(Table1[[#This Row],[FECHA DE RECIBIDO]]), Table1[[#This Row],[FECHA DE RECIBIDO]]-DATE(2023,8,30), "")</f>
        <v/>
      </c>
    </row>
    <row r="2793" spans="1:37" ht="16.05" customHeight="1">
      <c r="A2793" s="152"/>
      <c r="B2793" s="153">
        <v>1069</v>
      </c>
      <c r="C2793" s="126" t="s">
        <v>2846</v>
      </c>
      <c r="D2793">
        <v>1902</v>
      </c>
      <c r="E2793" s="126" t="s">
        <v>4085</v>
      </c>
      <c r="F2793" s="125" t="s">
        <v>1593</v>
      </c>
      <c r="G2793" s="125" t="s">
        <v>109</v>
      </c>
      <c r="H2793">
        <v>546</v>
      </c>
      <c r="I2793" s="125" t="s">
        <v>1546</v>
      </c>
      <c r="J2793" s="308" t="s">
        <v>214</v>
      </c>
      <c r="K2793" s="127" t="s">
        <v>3806</v>
      </c>
      <c r="L2793" s="153" t="s">
        <v>3306</v>
      </c>
      <c r="M2793">
        <v>772</v>
      </c>
      <c r="N2793" s="123">
        <v>1</v>
      </c>
      <c r="O2793">
        <v>1874</v>
      </c>
      <c r="P2793" s="132" t="s">
        <v>77</v>
      </c>
      <c r="Q2793" s="132">
        <v>7500</v>
      </c>
      <c r="R2793" s="132">
        <v>1200</v>
      </c>
      <c r="S2793" s="132"/>
      <c r="T2793" s="156">
        <v>0</v>
      </c>
      <c r="U2793" s="132">
        <v>93.75</v>
      </c>
      <c r="V2793" s="132">
        <v>8606.25</v>
      </c>
      <c r="W2793">
        <v>318</v>
      </c>
      <c r="X2793" s="153" t="s">
        <v>2041</v>
      </c>
      <c r="Y2793" s="124" t="s">
        <v>55</v>
      </c>
      <c r="Z2793" s="308">
        <v>240</v>
      </c>
      <c r="AB2793" t="str">
        <f>IF(Table1[[#This Row],[TIPO2]]="costo", VLOOKUP(Table1[[#This Row],[PARTIDA PRESUPUESTAL]],'Cost Report'!G:G,1,0),"Balance")</f>
        <v>3480-003</v>
      </c>
      <c r="AC2793" s="118"/>
      <c r="AD2793" s="159">
        <f>+Table1[[#This Row],[SUBTOTAL]]+Table1[[#This Row],[IVA]]-Table1[[#This Row],[RET IVA]]-Table1[[#This Row],[RET ISR]]-Table1[[#This Row],[TOTAL]]</f>
        <v>0</v>
      </c>
      <c r="AE2793" s="152"/>
      <c r="AF2793" s="153"/>
      <c r="AG2793" s="126"/>
      <c r="AK2793" s="306" t="str">
        <f>IF(ISNUMBER(Table1[[#This Row],[FECHA DE RECIBIDO]]), Table1[[#This Row],[FECHA DE RECIBIDO]]-DATE(2023,8,30), "")</f>
        <v/>
      </c>
    </row>
    <row r="2794" spans="1:37" ht="16.05" customHeight="1">
      <c r="A2794" s="150"/>
      <c r="B2794" s="151">
        <v>1070</v>
      </c>
      <c r="C2794" s="126" t="s">
        <v>2846</v>
      </c>
      <c r="D2794">
        <v>1903</v>
      </c>
      <c r="E2794" s="126" t="s">
        <v>4085</v>
      </c>
      <c r="F2794" s="122" t="s">
        <v>1593</v>
      </c>
      <c r="G2794" s="122" t="s">
        <v>109</v>
      </c>
      <c r="H2794">
        <v>546</v>
      </c>
      <c r="I2794" s="122" t="s">
        <v>1546</v>
      </c>
      <c r="J2794" s="307" t="s">
        <v>214</v>
      </c>
      <c r="K2794" s="127" t="s">
        <v>3806</v>
      </c>
      <c r="L2794" s="151" t="s">
        <v>3306</v>
      </c>
      <c r="M2794">
        <v>772</v>
      </c>
      <c r="N2794" s="123">
        <v>1</v>
      </c>
      <c r="O2794">
        <v>1875</v>
      </c>
      <c r="P2794" s="132" t="s">
        <v>77</v>
      </c>
      <c r="Q2794" s="131">
        <v>4800</v>
      </c>
      <c r="R2794" s="131">
        <v>768</v>
      </c>
      <c r="S2794" s="131"/>
      <c r="T2794" s="155">
        <v>0</v>
      </c>
      <c r="U2794" s="131">
        <v>60</v>
      </c>
      <c r="V2794" s="131">
        <v>5508</v>
      </c>
      <c r="W2794">
        <v>318</v>
      </c>
      <c r="X2794" s="151" t="s">
        <v>2041</v>
      </c>
      <c r="Y2794" s="135" t="s">
        <v>55</v>
      </c>
      <c r="Z2794" s="307">
        <v>240</v>
      </c>
      <c r="AB2794" t="str">
        <f>IF(Table1[[#This Row],[TIPO2]]="costo", VLOOKUP(Table1[[#This Row],[PARTIDA PRESUPUESTAL]],'Cost Report'!G:G,1,0),"Balance")</f>
        <v>3480-003</v>
      </c>
      <c r="AC2794" s="118"/>
      <c r="AD2794" s="159">
        <f>+Table1[[#This Row],[SUBTOTAL]]+Table1[[#This Row],[IVA]]-Table1[[#This Row],[RET IVA]]-Table1[[#This Row],[RET ISR]]-Table1[[#This Row],[TOTAL]]</f>
        <v>0</v>
      </c>
      <c r="AE2794" s="150"/>
      <c r="AF2794" s="151"/>
      <c r="AG2794" s="126"/>
      <c r="AK2794" s="306" t="str">
        <f>IF(ISNUMBER(Table1[[#This Row],[FECHA DE RECIBIDO]]), Table1[[#This Row],[FECHA DE RECIBIDO]]-DATE(2023,8,30), "")</f>
        <v/>
      </c>
    </row>
    <row r="2795" spans="1:37" ht="16.05" customHeight="1">
      <c r="A2795" s="152"/>
      <c r="B2795" s="153">
        <v>1071</v>
      </c>
      <c r="C2795" s="126" t="s">
        <v>2846</v>
      </c>
      <c r="D2795">
        <v>1904</v>
      </c>
      <c r="E2795" s="126" t="s">
        <v>4085</v>
      </c>
      <c r="F2795" s="125" t="s">
        <v>1593</v>
      </c>
      <c r="G2795" s="125" t="s">
        <v>109</v>
      </c>
      <c r="H2795">
        <v>546</v>
      </c>
      <c r="I2795" s="125" t="s">
        <v>1546</v>
      </c>
      <c r="J2795" s="308" t="s">
        <v>214</v>
      </c>
      <c r="K2795" s="127" t="s">
        <v>3806</v>
      </c>
      <c r="L2795" s="153" t="s">
        <v>3306</v>
      </c>
      <c r="M2795">
        <v>772</v>
      </c>
      <c r="N2795" s="123">
        <v>1</v>
      </c>
      <c r="O2795">
        <v>1876</v>
      </c>
      <c r="P2795" s="132" t="s">
        <v>77</v>
      </c>
      <c r="Q2795" s="132">
        <v>3200</v>
      </c>
      <c r="R2795" s="132">
        <v>512</v>
      </c>
      <c r="S2795" s="132"/>
      <c r="T2795" s="156">
        <v>0</v>
      </c>
      <c r="U2795" s="132">
        <v>40</v>
      </c>
      <c r="V2795" s="132">
        <v>3672</v>
      </c>
      <c r="W2795">
        <v>318</v>
      </c>
      <c r="X2795" s="153" t="s">
        <v>2041</v>
      </c>
      <c r="Y2795" s="124" t="s">
        <v>55</v>
      </c>
      <c r="Z2795" s="308">
        <v>240</v>
      </c>
      <c r="AB2795" t="str">
        <f>IF(Table1[[#This Row],[TIPO2]]="costo", VLOOKUP(Table1[[#This Row],[PARTIDA PRESUPUESTAL]],'Cost Report'!G:G,1,0),"Balance")</f>
        <v>3480-003</v>
      </c>
      <c r="AC2795" s="118"/>
      <c r="AD2795" s="159">
        <f>+Table1[[#This Row],[SUBTOTAL]]+Table1[[#This Row],[IVA]]-Table1[[#This Row],[RET IVA]]-Table1[[#This Row],[RET ISR]]-Table1[[#This Row],[TOTAL]]</f>
        <v>0</v>
      </c>
      <c r="AE2795" s="152"/>
      <c r="AF2795" s="153"/>
      <c r="AG2795" s="126"/>
      <c r="AK2795" s="306" t="str">
        <f>IF(ISNUMBER(Table1[[#This Row],[FECHA DE RECIBIDO]]), Table1[[#This Row],[FECHA DE RECIBIDO]]-DATE(2023,8,30), "")</f>
        <v/>
      </c>
    </row>
    <row r="2796" spans="1:37" ht="16.05" customHeight="1">
      <c r="A2796" s="150"/>
      <c r="B2796" s="151">
        <v>1072</v>
      </c>
      <c r="C2796" s="126" t="s">
        <v>2939</v>
      </c>
      <c r="D2796">
        <v>1905</v>
      </c>
      <c r="E2796" s="126" t="s">
        <v>4085</v>
      </c>
      <c r="F2796" s="122" t="s">
        <v>1593</v>
      </c>
      <c r="G2796" s="122" t="s">
        <v>109</v>
      </c>
      <c r="H2796">
        <v>546</v>
      </c>
      <c r="I2796" s="122" t="s">
        <v>1546</v>
      </c>
      <c r="J2796" s="307" t="s">
        <v>214</v>
      </c>
      <c r="K2796" s="127" t="s">
        <v>3806</v>
      </c>
      <c r="L2796" s="151" t="s">
        <v>3306</v>
      </c>
      <c r="M2796">
        <v>772</v>
      </c>
      <c r="N2796" s="123">
        <v>1</v>
      </c>
      <c r="O2796">
        <v>1877</v>
      </c>
      <c r="P2796" s="132" t="s">
        <v>77</v>
      </c>
      <c r="Q2796" s="131">
        <v>2800</v>
      </c>
      <c r="R2796" s="131">
        <v>448</v>
      </c>
      <c r="S2796" s="131"/>
      <c r="T2796" s="155">
        <v>0</v>
      </c>
      <c r="U2796" s="131">
        <v>35</v>
      </c>
      <c r="V2796" s="131">
        <v>3672</v>
      </c>
      <c r="W2796">
        <v>318</v>
      </c>
      <c r="X2796" s="151" t="s">
        <v>2041</v>
      </c>
      <c r="Y2796" s="135" t="s">
        <v>55</v>
      </c>
      <c r="Z2796" s="307">
        <v>240</v>
      </c>
      <c r="AB2796" t="str">
        <f>IF(Table1[[#This Row],[TIPO2]]="costo", VLOOKUP(Table1[[#This Row],[PARTIDA PRESUPUESTAL]],'Cost Report'!G:G,1,0),"Balance")</f>
        <v>3716-003</v>
      </c>
      <c r="AC2796" s="118"/>
      <c r="AD2796" s="159">
        <f>+Table1[[#This Row],[SUBTOTAL]]+Table1[[#This Row],[IVA]]-Table1[[#This Row],[RET IVA]]-Table1[[#This Row],[RET ISR]]-Table1[[#This Row],[TOTAL]]</f>
        <v>-459</v>
      </c>
      <c r="AE2796" s="150"/>
      <c r="AF2796" s="151"/>
      <c r="AG2796" s="126"/>
      <c r="AK2796" s="306" t="str">
        <f>IF(ISNUMBER(Table1[[#This Row],[FECHA DE RECIBIDO]]), Table1[[#This Row],[FECHA DE RECIBIDO]]-DATE(2023,8,30), "")</f>
        <v/>
      </c>
    </row>
    <row r="2797" spans="1:37" ht="16.05" customHeight="1">
      <c r="A2797" s="152"/>
      <c r="B2797" s="153">
        <v>1072</v>
      </c>
      <c r="C2797" s="126" t="s">
        <v>400</v>
      </c>
      <c r="D2797">
        <v>1905</v>
      </c>
      <c r="E2797" s="126" t="s">
        <v>4085</v>
      </c>
      <c r="F2797" s="125" t="s">
        <v>1593</v>
      </c>
      <c r="G2797" s="125" t="s">
        <v>109</v>
      </c>
      <c r="H2797">
        <v>546</v>
      </c>
      <c r="I2797" s="125" t="s">
        <v>1546</v>
      </c>
      <c r="J2797" s="308" t="s">
        <v>214</v>
      </c>
      <c r="K2797" s="127" t="s">
        <v>3806</v>
      </c>
      <c r="L2797" s="153" t="s">
        <v>3306</v>
      </c>
      <c r="M2797">
        <v>772</v>
      </c>
      <c r="N2797" s="123">
        <v>1</v>
      </c>
      <c r="O2797">
        <v>1877</v>
      </c>
      <c r="P2797" s="132" t="s">
        <v>77</v>
      </c>
      <c r="Q2797" s="132">
        <v>2800</v>
      </c>
      <c r="R2797" s="132">
        <v>448</v>
      </c>
      <c r="S2797" s="132"/>
      <c r="T2797" s="156">
        <v>0</v>
      </c>
      <c r="U2797" s="132">
        <v>35</v>
      </c>
      <c r="V2797" s="132">
        <v>3672</v>
      </c>
      <c r="W2797">
        <v>318</v>
      </c>
      <c r="X2797" s="153" t="s">
        <v>2041</v>
      </c>
      <c r="Y2797" s="124" t="s">
        <v>55</v>
      </c>
      <c r="Z2797" s="308">
        <v>240</v>
      </c>
      <c r="AB2797" t="str">
        <f>IF(Table1[[#This Row],[TIPO2]]="costo", VLOOKUP(Table1[[#This Row],[PARTIDA PRESUPUESTAL]],'Cost Report'!G:G,1,0),"Balance")</f>
        <v>1621-004</v>
      </c>
      <c r="AC2797" s="118"/>
      <c r="AD2797" s="159">
        <f>+Table1[[#This Row],[SUBTOTAL]]+Table1[[#This Row],[IVA]]-Table1[[#This Row],[RET IVA]]-Table1[[#This Row],[RET ISR]]-Table1[[#This Row],[TOTAL]]</f>
        <v>-459</v>
      </c>
      <c r="AE2797" s="152"/>
      <c r="AF2797" s="153"/>
      <c r="AG2797" s="126"/>
      <c r="AK2797" s="306" t="str">
        <f>IF(ISNUMBER(Table1[[#This Row],[FECHA DE RECIBIDO]]), Table1[[#This Row],[FECHA DE RECIBIDO]]-DATE(2023,8,30), "")</f>
        <v/>
      </c>
    </row>
    <row r="2798" spans="1:37" ht="16.05" customHeight="1">
      <c r="A2798" s="150"/>
      <c r="B2798" s="151">
        <v>1072</v>
      </c>
      <c r="C2798" s="126" t="s">
        <v>1722</v>
      </c>
      <c r="D2798">
        <v>1905</v>
      </c>
      <c r="E2798" s="126" t="s">
        <v>4085</v>
      </c>
      <c r="F2798" s="122" t="s">
        <v>1593</v>
      </c>
      <c r="G2798" s="122" t="s">
        <v>109</v>
      </c>
      <c r="H2798">
        <v>546</v>
      </c>
      <c r="I2798" s="122" t="s">
        <v>1546</v>
      </c>
      <c r="J2798" s="307" t="s">
        <v>214</v>
      </c>
      <c r="K2798" s="127" t="s">
        <v>3806</v>
      </c>
      <c r="L2798" s="151" t="s">
        <v>3306</v>
      </c>
      <c r="M2798">
        <v>772</v>
      </c>
      <c r="N2798" s="123">
        <v>1</v>
      </c>
      <c r="O2798">
        <v>1877</v>
      </c>
      <c r="P2798" s="132" t="s">
        <v>77</v>
      </c>
      <c r="Q2798" s="131">
        <v>7500</v>
      </c>
      <c r="R2798" s="131">
        <v>1200</v>
      </c>
      <c r="S2798" s="131"/>
      <c r="T2798" s="155">
        <v>0</v>
      </c>
      <c r="U2798" s="131">
        <v>93.75</v>
      </c>
      <c r="V2798" s="131">
        <v>9180</v>
      </c>
      <c r="W2798">
        <v>318</v>
      </c>
      <c r="X2798" s="151" t="s">
        <v>2041</v>
      </c>
      <c r="Y2798" s="135" t="s">
        <v>55</v>
      </c>
      <c r="Z2798" s="307">
        <v>240</v>
      </c>
      <c r="AB2798" t="str">
        <f>IF(Table1[[#This Row],[TIPO2]]="costo", VLOOKUP(Table1[[#This Row],[PARTIDA PRESUPUESTAL]],'Cost Report'!G:G,1,0),"Balance")</f>
        <v>1641-004</v>
      </c>
      <c r="AC2798" s="118"/>
      <c r="AD2798" s="159">
        <f>+Table1[[#This Row],[SUBTOTAL]]+Table1[[#This Row],[IVA]]-Table1[[#This Row],[RET IVA]]-Table1[[#This Row],[RET ISR]]-Table1[[#This Row],[TOTAL]]</f>
        <v>-573.75</v>
      </c>
      <c r="AE2798" s="150"/>
      <c r="AF2798" s="151"/>
      <c r="AG2798" s="126"/>
      <c r="AK2798" s="306" t="str">
        <f>IF(ISNUMBER(Table1[[#This Row],[FECHA DE RECIBIDO]]), Table1[[#This Row],[FECHA DE RECIBIDO]]-DATE(2023,8,30), "")</f>
        <v/>
      </c>
    </row>
    <row r="2799" spans="1:37" ht="16.05" customHeight="1">
      <c r="A2799" s="152"/>
      <c r="B2799" s="153">
        <v>1072</v>
      </c>
      <c r="C2799" s="126" t="s">
        <v>1722</v>
      </c>
      <c r="D2799">
        <v>1905</v>
      </c>
      <c r="E2799" s="126" t="s">
        <v>4085</v>
      </c>
      <c r="F2799" s="125" t="s">
        <v>1593</v>
      </c>
      <c r="G2799" s="125" t="s">
        <v>109</v>
      </c>
      <c r="H2799">
        <v>546</v>
      </c>
      <c r="I2799" s="125" t="s">
        <v>1546</v>
      </c>
      <c r="J2799" s="308" t="s">
        <v>214</v>
      </c>
      <c r="K2799" s="127" t="s">
        <v>3806</v>
      </c>
      <c r="L2799" s="153" t="s">
        <v>3306</v>
      </c>
      <c r="M2799">
        <v>772</v>
      </c>
      <c r="N2799" s="123">
        <v>1</v>
      </c>
      <c r="O2799">
        <v>1877</v>
      </c>
      <c r="P2799" s="132" t="s">
        <v>77</v>
      </c>
      <c r="Q2799" s="132">
        <v>1600</v>
      </c>
      <c r="R2799" s="132">
        <v>256</v>
      </c>
      <c r="S2799" s="132"/>
      <c r="T2799" s="156">
        <v>0</v>
      </c>
      <c r="U2799" s="132">
        <v>20</v>
      </c>
      <c r="V2799" s="132">
        <v>2754</v>
      </c>
      <c r="W2799">
        <v>318</v>
      </c>
      <c r="X2799" s="153" t="s">
        <v>2041</v>
      </c>
      <c r="Y2799" s="124" t="s">
        <v>55</v>
      </c>
      <c r="Z2799" s="308">
        <v>240</v>
      </c>
      <c r="AB2799" t="str">
        <f>IF(Table1[[#This Row],[TIPO2]]="costo", VLOOKUP(Table1[[#This Row],[PARTIDA PRESUPUESTAL]],'Cost Report'!G:G,1,0),"Balance")</f>
        <v>1641-004</v>
      </c>
      <c r="AC2799" s="118"/>
      <c r="AD2799" s="159">
        <f>+Table1[[#This Row],[SUBTOTAL]]+Table1[[#This Row],[IVA]]-Table1[[#This Row],[RET IVA]]-Table1[[#This Row],[RET ISR]]-Table1[[#This Row],[TOTAL]]</f>
        <v>-918</v>
      </c>
      <c r="AE2799" s="152"/>
      <c r="AF2799" s="153"/>
      <c r="AG2799" s="126"/>
      <c r="AK2799" s="306" t="str">
        <f>IF(ISNUMBER(Table1[[#This Row],[FECHA DE RECIBIDO]]), Table1[[#This Row],[FECHA DE RECIBIDO]]-DATE(2023,8,30), "")</f>
        <v/>
      </c>
    </row>
    <row r="2800" spans="1:37" ht="16.05" customHeight="1">
      <c r="A2800" s="150"/>
      <c r="B2800" s="151">
        <v>1072</v>
      </c>
      <c r="C2800" s="126" t="s">
        <v>2852</v>
      </c>
      <c r="D2800">
        <v>1905</v>
      </c>
      <c r="E2800" s="126" t="s">
        <v>4085</v>
      </c>
      <c r="F2800" s="122" t="s">
        <v>1593</v>
      </c>
      <c r="G2800" s="122" t="s">
        <v>109</v>
      </c>
      <c r="H2800">
        <v>546</v>
      </c>
      <c r="I2800" s="122" t="s">
        <v>1546</v>
      </c>
      <c r="J2800" s="307" t="s">
        <v>214</v>
      </c>
      <c r="K2800" s="127" t="s">
        <v>3806</v>
      </c>
      <c r="L2800" s="151" t="s">
        <v>3306</v>
      </c>
      <c r="M2800">
        <v>772</v>
      </c>
      <c r="N2800" s="123">
        <v>1</v>
      </c>
      <c r="O2800">
        <v>1877</v>
      </c>
      <c r="P2800" s="132" t="s">
        <v>77</v>
      </c>
      <c r="Q2800" s="131">
        <v>21900</v>
      </c>
      <c r="R2800" s="131">
        <v>3504</v>
      </c>
      <c r="S2800" s="131"/>
      <c r="T2800" s="155">
        <v>0</v>
      </c>
      <c r="U2800" s="131">
        <v>273.75</v>
      </c>
      <c r="V2800" s="131">
        <v>25130.25</v>
      </c>
      <c r="W2800">
        <v>318</v>
      </c>
      <c r="X2800" s="151" t="s">
        <v>2041</v>
      </c>
      <c r="Y2800" s="135" t="s">
        <v>55</v>
      </c>
      <c r="Z2800" s="307">
        <v>240</v>
      </c>
      <c r="AB2800" t="str">
        <f>IF(Table1[[#This Row],[TIPO2]]="costo", VLOOKUP(Table1[[#This Row],[PARTIDA PRESUPUESTAL]],'Cost Report'!G:G,1,0),"Balance")</f>
        <v>3498-003</v>
      </c>
      <c r="AC2800" s="118"/>
      <c r="AD2800" s="159">
        <f>+Table1[[#This Row],[SUBTOTAL]]+Table1[[#This Row],[IVA]]-Table1[[#This Row],[RET IVA]]-Table1[[#This Row],[RET ISR]]-Table1[[#This Row],[TOTAL]]</f>
        <v>0</v>
      </c>
      <c r="AE2800" s="150"/>
      <c r="AF2800" s="151"/>
      <c r="AG2800" s="126"/>
      <c r="AK2800" s="306" t="str">
        <f>IF(ISNUMBER(Table1[[#This Row],[FECHA DE RECIBIDO]]), Table1[[#This Row],[FECHA DE RECIBIDO]]-DATE(2023,8,30), "")</f>
        <v/>
      </c>
    </row>
    <row r="2801" spans="1:37" ht="16.05" customHeight="1">
      <c r="A2801" s="152"/>
      <c r="B2801" s="153">
        <v>1072</v>
      </c>
      <c r="C2801" s="126" t="s">
        <v>2852</v>
      </c>
      <c r="D2801">
        <v>1905</v>
      </c>
      <c r="E2801" s="126" t="s">
        <v>4085</v>
      </c>
      <c r="F2801" s="125" t="s">
        <v>1593</v>
      </c>
      <c r="G2801" s="125" t="s">
        <v>109</v>
      </c>
      <c r="H2801">
        <v>546</v>
      </c>
      <c r="I2801" s="125" t="s">
        <v>1546</v>
      </c>
      <c r="J2801" s="308" t="s">
        <v>214</v>
      </c>
      <c r="K2801" s="127" t="s">
        <v>3806</v>
      </c>
      <c r="L2801" s="153" t="s">
        <v>3306</v>
      </c>
      <c r="M2801">
        <v>772</v>
      </c>
      <c r="N2801" s="123">
        <v>1</v>
      </c>
      <c r="O2801">
        <v>1877</v>
      </c>
      <c r="P2801" s="132" t="s">
        <v>77</v>
      </c>
      <c r="Q2801" s="132">
        <v>27200</v>
      </c>
      <c r="R2801" s="132">
        <v>4352</v>
      </c>
      <c r="S2801" s="132"/>
      <c r="T2801" s="156">
        <v>0</v>
      </c>
      <c r="U2801" s="132">
        <v>340</v>
      </c>
      <c r="V2801" s="132">
        <v>31212</v>
      </c>
      <c r="W2801">
        <v>318</v>
      </c>
      <c r="X2801" s="153" t="s">
        <v>2041</v>
      </c>
      <c r="Y2801" s="124" t="s">
        <v>55</v>
      </c>
      <c r="Z2801" s="308">
        <v>240</v>
      </c>
      <c r="AB2801" t="str">
        <f>IF(Table1[[#This Row],[TIPO2]]="costo", VLOOKUP(Table1[[#This Row],[PARTIDA PRESUPUESTAL]],'Cost Report'!G:G,1,0),"Balance")</f>
        <v>3498-003</v>
      </c>
      <c r="AC2801" s="118"/>
      <c r="AD2801" s="159">
        <f>+Table1[[#This Row],[SUBTOTAL]]+Table1[[#This Row],[IVA]]-Table1[[#This Row],[RET IVA]]-Table1[[#This Row],[RET ISR]]-Table1[[#This Row],[TOTAL]]</f>
        <v>0</v>
      </c>
      <c r="AE2801" s="152"/>
      <c r="AF2801" s="153"/>
      <c r="AG2801" s="126"/>
      <c r="AK2801" s="306" t="str">
        <f>IF(ISNUMBER(Table1[[#This Row],[FECHA DE RECIBIDO]]), Table1[[#This Row],[FECHA DE RECIBIDO]]-DATE(2023,8,30), "")</f>
        <v/>
      </c>
    </row>
    <row r="2802" spans="1:37" ht="16.05" customHeight="1">
      <c r="A2802" s="150" t="s">
        <v>4086</v>
      </c>
      <c r="B2802" s="151">
        <v>1073</v>
      </c>
      <c r="C2802" s="126" t="s">
        <v>1139</v>
      </c>
      <c r="D2802">
        <v>1906</v>
      </c>
      <c r="E2802" s="126" t="s">
        <v>4085</v>
      </c>
      <c r="F2802" s="122" t="s">
        <v>1593</v>
      </c>
      <c r="G2802" s="122" t="s">
        <v>109</v>
      </c>
      <c r="H2802">
        <v>546</v>
      </c>
      <c r="I2802" s="122" t="s">
        <v>1546</v>
      </c>
      <c r="J2802" s="307" t="s">
        <v>214</v>
      </c>
      <c r="K2802" s="127" t="s">
        <v>3806</v>
      </c>
      <c r="L2802" s="151" t="s">
        <v>3306</v>
      </c>
      <c r="M2802">
        <v>248</v>
      </c>
      <c r="N2802" s="123">
        <v>1</v>
      </c>
      <c r="O2802">
        <v>1878</v>
      </c>
      <c r="P2802" s="132" t="s">
        <v>77</v>
      </c>
      <c r="Q2802" s="131">
        <v>21400</v>
      </c>
      <c r="R2802" s="131">
        <v>3424</v>
      </c>
      <c r="S2802" s="131"/>
      <c r="T2802" s="155">
        <v>2282.67</v>
      </c>
      <c r="U2802" s="131">
        <v>2140</v>
      </c>
      <c r="V2802" s="131">
        <v>20401.330000000002</v>
      </c>
      <c r="W2802">
        <v>105</v>
      </c>
      <c r="X2802" s="151" t="s">
        <v>2041</v>
      </c>
      <c r="Y2802" s="135" t="s">
        <v>55</v>
      </c>
      <c r="Z2802" s="307">
        <v>240</v>
      </c>
      <c r="AB2802" t="str">
        <f>IF(Table1[[#This Row],[TIPO2]]="costo", VLOOKUP(Table1[[#This Row],[PARTIDA PRESUPUESTAL]],'Cost Report'!G:G,1,0),"Balance")</f>
        <v>3902-003</v>
      </c>
      <c r="AC2802" s="118"/>
      <c r="AD2802" s="159">
        <f>+Table1[[#This Row],[SUBTOTAL]]+Table1[[#This Row],[IVA]]-Table1[[#This Row],[RET IVA]]-Table1[[#This Row],[RET ISR]]-Table1[[#This Row],[TOTAL]]</f>
        <v>0</v>
      </c>
      <c r="AE2802" s="150"/>
      <c r="AF2802" s="151"/>
      <c r="AG2802" s="126"/>
      <c r="AK2802" s="306" t="str">
        <f>IF(ISNUMBER(Table1[[#This Row],[FECHA DE RECIBIDO]]), Table1[[#This Row],[FECHA DE RECIBIDO]]-DATE(2023,8,30), "")</f>
        <v/>
      </c>
    </row>
    <row r="2803" spans="1:37" ht="16.05" customHeight="1">
      <c r="A2803" s="152" t="s">
        <v>4087</v>
      </c>
      <c r="B2803" s="153">
        <v>1074</v>
      </c>
      <c r="C2803" s="126" t="s">
        <v>2528</v>
      </c>
      <c r="D2803">
        <v>1907</v>
      </c>
      <c r="E2803" s="126">
        <v>45200</v>
      </c>
      <c r="F2803" s="125">
        <v>601</v>
      </c>
      <c r="G2803" s="125" t="s">
        <v>134</v>
      </c>
      <c r="H2803">
        <v>547</v>
      </c>
      <c r="I2803" s="125" t="s">
        <v>1546</v>
      </c>
      <c r="J2803" s="308">
        <v>238.3583564814835</v>
      </c>
      <c r="K2803" s="127" t="s">
        <v>3806</v>
      </c>
      <c r="L2803" s="153" t="s">
        <v>3306</v>
      </c>
      <c r="M2803">
        <v>773</v>
      </c>
      <c r="N2803" s="123">
        <v>1</v>
      </c>
      <c r="O2803">
        <v>1879</v>
      </c>
      <c r="P2803" s="132" t="s">
        <v>77</v>
      </c>
      <c r="Q2803" s="132">
        <v>2700</v>
      </c>
      <c r="R2803" s="132">
        <v>432</v>
      </c>
      <c r="S2803" s="132"/>
      <c r="T2803" s="156">
        <v>0</v>
      </c>
      <c r="U2803" s="132">
        <v>0</v>
      </c>
      <c r="V2803" s="132">
        <v>3132</v>
      </c>
      <c r="W2803">
        <v>319</v>
      </c>
      <c r="X2803" s="153" t="s">
        <v>2041</v>
      </c>
      <c r="Y2803" s="124" t="s">
        <v>55</v>
      </c>
      <c r="Z2803" s="308">
        <v>240</v>
      </c>
      <c r="AB2803" t="str">
        <f>IF(Table1[[#This Row],[TIPO2]]="costo", VLOOKUP(Table1[[#This Row],[PARTIDA PRESUPUESTAL]],'Cost Report'!G:G,1,0),"Balance")</f>
        <v>2485-004</v>
      </c>
      <c r="AC2803" s="118"/>
      <c r="AD2803" s="159">
        <f>+Table1[[#This Row],[SUBTOTAL]]+Table1[[#This Row],[IVA]]-Table1[[#This Row],[RET IVA]]-Table1[[#This Row],[RET ISR]]-Table1[[#This Row],[TOTAL]]</f>
        <v>0</v>
      </c>
      <c r="AE2803" s="152"/>
      <c r="AF2803" s="153"/>
      <c r="AG2803" s="126"/>
      <c r="AK2803" s="306">
        <f>IF(ISNUMBER(Table1[[#This Row],[FECHA DE RECIBIDO]]), Table1[[#This Row],[FECHA DE RECIBIDO]]-DATE(2023,8,30), "")</f>
        <v>-44929.641643518517</v>
      </c>
    </row>
    <row r="2804" spans="1:37" ht="16.05" customHeight="1">
      <c r="A2804" s="150" t="s">
        <v>4088</v>
      </c>
      <c r="B2804" s="151">
        <v>1075</v>
      </c>
      <c r="C2804" s="126" t="s">
        <v>999</v>
      </c>
      <c r="D2804">
        <v>1908</v>
      </c>
      <c r="E2804" s="126" t="s">
        <v>1596</v>
      </c>
      <c r="F2804" s="122" t="s">
        <v>1607</v>
      </c>
      <c r="G2804" s="122" t="s">
        <v>134</v>
      </c>
      <c r="H2804">
        <v>548</v>
      </c>
      <c r="I2804" s="122" t="s">
        <v>1546</v>
      </c>
      <c r="J2804" s="307" t="s">
        <v>214</v>
      </c>
      <c r="K2804" s="127" t="s">
        <v>3806</v>
      </c>
      <c r="L2804" s="151" t="s">
        <v>3306</v>
      </c>
      <c r="M2804">
        <v>774</v>
      </c>
      <c r="N2804" s="123">
        <v>24</v>
      </c>
      <c r="O2804">
        <v>1880</v>
      </c>
      <c r="P2804" s="132" t="s">
        <v>77</v>
      </c>
      <c r="Q2804" s="131">
        <v>77586.210000000006</v>
      </c>
      <c r="R2804" s="131">
        <v>12413.79</v>
      </c>
      <c r="S2804" s="131"/>
      <c r="T2804" s="155">
        <v>0</v>
      </c>
      <c r="U2804" s="131">
        <v>0</v>
      </c>
      <c r="V2804" s="131">
        <v>90000</v>
      </c>
      <c r="W2804">
        <v>320</v>
      </c>
      <c r="X2804" s="151" t="s">
        <v>2035</v>
      </c>
      <c r="Y2804" s="135" t="s">
        <v>55</v>
      </c>
      <c r="Z2804" s="307">
        <v>240</v>
      </c>
      <c r="AB2804" t="str">
        <f>IF(Table1[[#This Row],[TIPO2]]="costo", VLOOKUP(Table1[[#This Row],[PARTIDA PRESUPUESTAL]],'Cost Report'!G:G,1,0),"Balance")</f>
        <v>3412-035</v>
      </c>
      <c r="AC2804" s="118"/>
      <c r="AD2804" s="159">
        <f>+Table1[[#This Row],[SUBTOTAL]]+Table1[[#This Row],[IVA]]-Table1[[#This Row],[RET IVA]]-Table1[[#This Row],[RET ISR]]-Table1[[#This Row],[TOTAL]]</f>
        <v>0</v>
      </c>
      <c r="AE2804" s="150"/>
      <c r="AF2804" s="151"/>
      <c r="AG2804" s="126"/>
      <c r="AK2804" s="306" t="str">
        <f>IF(ISNUMBER(Table1[[#This Row],[FECHA DE RECIBIDO]]), Table1[[#This Row],[FECHA DE RECIBIDO]]-DATE(2023,8,30), "")</f>
        <v/>
      </c>
    </row>
    <row r="2805" spans="1:37" ht="16.05" customHeight="1">
      <c r="A2805" s="152" t="s">
        <v>4089</v>
      </c>
      <c r="B2805" s="153">
        <v>1076</v>
      </c>
      <c r="C2805" s="126" t="s">
        <v>1009</v>
      </c>
      <c r="D2805">
        <v>1909</v>
      </c>
      <c r="E2805" s="126" t="s">
        <v>1645</v>
      </c>
      <c r="F2805" s="125" t="s">
        <v>1607</v>
      </c>
      <c r="G2805" s="125" t="s">
        <v>134</v>
      </c>
      <c r="H2805">
        <v>549</v>
      </c>
      <c r="I2805" s="125" t="s">
        <v>1546</v>
      </c>
      <c r="J2805" s="308" t="s">
        <v>214</v>
      </c>
      <c r="K2805" s="127" t="s">
        <v>3806</v>
      </c>
      <c r="L2805" s="153" t="s">
        <v>3306</v>
      </c>
      <c r="M2805">
        <v>775</v>
      </c>
      <c r="N2805" s="123">
        <v>24</v>
      </c>
      <c r="O2805">
        <v>1881</v>
      </c>
      <c r="P2805" s="132" t="s">
        <v>77</v>
      </c>
      <c r="Q2805" s="132">
        <v>20000</v>
      </c>
      <c r="R2805" s="132">
        <v>3200</v>
      </c>
      <c r="S2805" s="132"/>
      <c r="T2805" s="156">
        <v>0</v>
      </c>
      <c r="U2805" s="132">
        <v>0</v>
      </c>
      <c r="V2805" s="132">
        <v>23200</v>
      </c>
      <c r="W2805">
        <v>321</v>
      </c>
      <c r="X2805" s="153" t="s">
        <v>3346</v>
      </c>
      <c r="Y2805" s="124" t="s">
        <v>55</v>
      </c>
      <c r="Z2805" s="308">
        <v>240</v>
      </c>
      <c r="AB2805" t="str">
        <f>IF(Table1[[#This Row],[TIPO2]]="costo", VLOOKUP(Table1[[#This Row],[PARTIDA PRESUPUESTAL]],'Cost Report'!G:G,1,0),"Balance")</f>
        <v>3412-055</v>
      </c>
      <c r="AC2805" s="118"/>
      <c r="AD2805" s="159">
        <f>+Table1[[#This Row],[SUBTOTAL]]+Table1[[#This Row],[IVA]]-Table1[[#This Row],[RET IVA]]-Table1[[#This Row],[RET ISR]]-Table1[[#This Row],[TOTAL]]</f>
        <v>0</v>
      </c>
      <c r="AE2805" s="152"/>
      <c r="AF2805" s="153"/>
      <c r="AG2805" s="126"/>
      <c r="AK2805" s="306" t="str">
        <f>IF(ISNUMBER(Table1[[#This Row],[FECHA DE RECIBIDO]]), Table1[[#This Row],[FECHA DE RECIBIDO]]-DATE(2023,8,30), "")</f>
        <v/>
      </c>
    </row>
    <row r="2806" spans="1:37" ht="16.05" customHeight="1">
      <c r="A2806" s="150" t="s">
        <v>4090</v>
      </c>
      <c r="B2806" s="151">
        <v>1077</v>
      </c>
      <c r="C2806" s="126" t="s">
        <v>2796</v>
      </c>
      <c r="D2806">
        <v>1910</v>
      </c>
      <c r="E2806" s="126" t="s">
        <v>4091</v>
      </c>
      <c r="F2806" s="122" t="s">
        <v>1593</v>
      </c>
      <c r="G2806" s="122" t="s">
        <v>109</v>
      </c>
      <c r="H2806">
        <v>550</v>
      </c>
      <c r="I2806" s="122" t="s">
        <v>1546</v>
      </c>
      <c r="J2806" s="307" t="s">
        <v>214</v>
      </c>
      <c r="K2806" s="127" t="s">
        <v>3806</v>
      </c>
      <c r="L2806" s="151" t="s">
        <v>3306</v>
      </c>
      <c r="M2806">
        <v>776</v>
      </c>
      <c r="N2806" s="123">
        <v>24</v>
      </c>
      <c r="O2806">
        <v>1882</v>
      </c>
      <c r="P2806" s="132" t="s">
        <v>77</v>
      </c>
      <c r="Q2806" s="131">
        <v>125000</v>
      </c>
      <c r="R2806" s="131">
        <v>20000</v>
      </c>
      <c r="S2806" s="131"/>
      <c r="T2806" s="155">
        <v>13333.33</v>
      </c>
      <c r="U2806" s="131">
        <v>1562.5</v>
      </c>
      <c r="V2806" s="131">
        <v>130104.17000000001</v>
      </c>
      <c r="W2806">
        <v>322</v>
      </c>
      <c r="X2806" s="151" t="s">
        <v>2035</v>
      </c>
      <c r="Y2806" s="135" t="s">
        <v>55</v>
      </c>
      <c r="Z2806" s="307">
        <v>240</v>
      </c>
      <c r="AB2806" t="str">
        <f>IF(Table1[[#This Row],[TIPO2]]="costo", VLOOKUP(Table1[[#This Row],[PARTIDA PRESUPUESTAL]],'Cost Report'!G:G,1,0),"Balance")</f>
        <v>3412-075</v>
      </c>
      <c r="AC2806" s="118"/>
      <c r="AD2806" s="159">
        <f>+Table1[[#This Row],[SUBTOTAL]]+Table1[[#This Row],[IVA]]-Table1[[#This Row],[RET IVA]]-Table1[[#This Row],[RET ISR]]-Table1[[#This Row],[TOTAL]]</f>
        <v>0</v>
      </c>
      <c r="AE2806" s="150"/>
      <c r="AF2806" s="151"/>
      <c r="AG2806" s="126"/>
      <c r="AK2806" s="306" t="str">
        <f>IF(ISNUMBER(Table1[[#This Row],[FECHA DE RECIBIDO]]), Table1[[#This Row],[FECHA DE RECIBIDO]]-DATE(2023,8,30), "")</f>
        <v/>
      </c>
    </row>
    <row r="2807" spans="1:37" ht="16.05" customHeight="1">
      <c r="A2807" s="152" t="s">
        <v>4092</v>
      </c>
      <c r="B2807" s="153">
        <v>1078</v>
      </c>
      <c r="C2807" s="126" t="s">
        <v>2824</v>
      </c>
      <c r="D2807">
        <v>1911</v>
      </c>
      <c r="E2807" s="126">
        <v>45010</v>
      </c>
      <c r="F2807" s="125">
        <v>601</v>
      </c>
      <c r="G2807" s="125" t="s">
        <v>134</v>
      </c>
      <c r="H2807">
        <v>491</v>
      </c>
      <c r="I2807" s="125" t="s">
        <v>1546</v>
      </c>
      <c r="J2807" s="308">
        <v>239.76813657407183</v>
      </c>
      <c r="K2807" s="127" t="s">
        <v>3806</v>
      </c>
      <c r="L2807" s="153" t="s">
        <v>3306</v>
      </c>
      <c r="M2807">
        <v>714</v>
      </c>
      <c r="N2807" s="123">
        <v>24</v>
      </c>
      <c r="O2807">
        <v>1883</v>
      </c>
      <c r="P2807" s="132" t="s">
        <v>77</v>
      </c>
      <c r="Q2807" s="132">
        <v>25000</v>
      </c>
      <c r="R2807" s="132">
        <v>4000</v>
      </c>
      <c r="S2807" s="132"/>
      <c r="T2807" s="156">
        <v>0</v>
      </c>
      <c r="U2807" s="132">
        <v>0</v>
      </c>
      <c r="V2807" s="132">
        <v>29000</v>
      </c>
      <c r="W2807">
        <v>263</v>
      </c>
      <c r="X2807" s="153" t="s">
        <v>2041</v>
      </c>
      <c r="Y2807" s="124" t="s">
        <v>55</v>
      </c>
      <c r="Z2807" s="308">
        <v>240</v>
      </c>
      <c r="AB2807" t="str">
        <f>IF(Table1[[#This Row],[TIPO2]]="costo", VLOOKUP(Table1[[#This Row],[PARTIDA PRESUPUESTAL]],'Cost Report'!G:G,1,0),"Balance")</f>
        <v>3412-131</v>
      </c>
      <c r="AC2807" s="118"/>
      <c r="AD2807" s="159">
        <f>+Table1[[#This Row],[SUBTOTAL]]+Table1[[#This Row],[IVA]]-Table1[[#This Row],[RET IVA]]-Table1[[#This Row],[RET ISR]]-Table1[[#This Row],[TOTAL]]</f>
        <v>0</v>
      </c>
      <c r="AE2807" s="152"/>
      <c r="AF2807" s="153"/>
      <c r="AG2807" s="126"/>
      <c r="AK2807" s="306">
        <f>IF(ISNUMBER(Table1[[#This Row],[FECHA DE RECIBIDO]]), Table1[[#This Row],[FECHA DE RECIBIDO]]-DATE(2023,8,30), "")</f>
        <v>-44928.231863425928</v>
      </c>
    </row>
    <row r="2808" spans="1:37" ht="16.05" customHeight="1">
      <c r="A2808" s="150" t="s">
        <v>4093</v>
      </c>
      <c r="B2808" s="151">
        <v>1079</v>
      </c>
      <c r="C2808" s="126" t="s">
        <v>471</v>
      </c>
      <c r="D2808">
        <v>1912</v>
      </c>
      <c r="E2808" s="126" t="s">
        <v>1605</v>
      </c>
      <c r="F2808" s="122" t="s">
        <v>1607</v>
      </c>
      <c r="G2808" s="122" t="s">
        <v>134</v>
      </c>
      <c r="H2808">
        <v>5</v>
      </c>
      <c r="I2808" s="122" t="s">
        <v>1546</v>
      </c>
      <c r="J2808" s="307" t="s">
        <v>214</v>
      </c>
      <c r="K2808" s="127" t="s">
        <v>3806</v>
      </c>
      <c r="L2808" s="151" t="s">
        <v>3306</v>
      </c>
      <c r="M2808">
        <v>5</v>
      </c>
      <c r="N2808" s="123">
        <v>0</v>
      </c>
      <c r="O2808">
        <v>1884</v>
      </c>
      <c r="P2808" s="132" t="s">
        <v>77</v>
      </c>
      <c r="Q2808" s="131">
        <v>46000</v>
      </c>
      <c r="R2808" s="131">
        <f t="shared" ref="R2808:R2810" si="54">Q2808*0.16</f>
        <v>7360</v>
      </c>
      <c r="S2808" s="131"/>
      <c r="T2808" s="155">
        <v>0</v>
      </c>
      <c r="U2808" s="131">
        <v>0</v>
      </c>
      <c r="V2808" s="131">
        <f>+Table1[[#This Row],[SUBTOTAL]]+Table1[[#This Row],[IVA]]-Table1[[#This Row],[RET IVA]]-Table1[[#This Row],[RET ISR]]</f>
        <v>53360</v>
      </c>
      <c r="W2808">
        <v>323</v>
      </c>
      <c r="X2808" s="151" t="s">
        <v>135</v>
      </c>
      <c r="Y2808" s="135" t="s">
        <v>55</v>
      </c>
      <c r="Z2808" s="307">
        <v>240</v>
      </c>
      <c r="AB2808" t="str">
        <f>IF(Table1[[#This Row],[TIPO2]]="costo", VLOOKUP(Table1[[#This Row],[PARTIDA PRESUPUESTAL]],'Cost Report'!G:G,1,0),"Balance")</f>
        <v>2010-014</v>
      </c>
      <c r="AC2808" s="118"/>
      <c r="AD2808" s="159">
        <f>+Table1[[#This Row],[SUBTOTAL]]+Table1[[#This Row],[IVA]]-Table1[[#This Row],[RET IVA]]-Table1[[#This Row],[RET ISR]]-Table1[[#This Row],[TOTAL]]</f>
        <v>0</v>
      </c>
      <c r="AE2808" s="150"/>
      <c r="AF2808" s="151"/>
      <c r="AG2808" s="126"/>
      <c r="AK2808" s="306" t="str">
        <f>IF(ISNUMBER(Table1[[#This Row],[FECHA DE RECIBIDO]]), Table1[[#This Row],[FECHA DE RECIBIDO]]-DATE(2023,8,30), "")</f>
        <v/>
      </c>
    </row>
    <row r="2809" spans="1:37" ht="16.05" customHeight="1">
      <c r="A2809" s="152" t="s">
        <v>4093</v>
      </c>
      <c r="B2809" s="153">
        <v>1079</v>
      </c>
      <c r="C2809" s="126" t="s">
        <v>2397</v>
      </c>
      <c r="D2809">
        <v>1912</v>
      </c>
      <c r="E2809" s="126" t="s">
        <v>1605</v>
      </c>
      <c r="F2809" s="125" t="s">
        <v>1607</v>
      </c>
      <c r="G2809" s="125" t="s">
        <v>134</v>
      </c>
      <c r="H2809">
        <v>5</v>
      </c>
      <c r="I2809" s="125" t="s">
        <v>1546</v>
      </c>
      <c r="J2809" s="308" t="s">
        <v>214</v>
      </c>
      <c r="K2809" s="127" t="s">
        <v>3806</v>
      </c>
      <c r="L2809" s="153" t="s">
        <v>3306</v>
      </c>
      <c r="M2809">
        <v>5</v>
      </c>
      <c r="N2809" s="123">
        <v>0</v>
      </c>
      <c r="O2809">
        <v>1884</v>
      </c>
      <c r="P2809" s="132" t="s">
        <v>77</v>
      </c>
      <c r="Q2809" s="132">
        <v>24000</v>
      </c>
      <c r="R2809" s="132">
        <f t="shared" si="54"/>
        <v>3840</v>
      </c>
      <c r="S2809" s="132"/>
      <c r="T2809" s="156">
        <v>0</v>
      </c>
      <c r="U2809" s="132">
        <v>0</v>
      </c>
      <c r="V2809" s="132">
        <f>+Table1[[#This Row],[SUBTOTAL]]+Table1[[#This Row],[IVA]]-Table1[[#This Row],[RET IVA]]-Table1[[#This Row],[RET ISR]]</f>
        <v>27840</v>
      </c>
      <c r="W2809">
        <v>323</v>
      </c>
      <c r="X2809" s="153" t="s">
        <v>135</v>
      </c>
      <c r="Y2809" s="124" t="s">
        <v>55</v>
      </c>
      <c r="Z2809" s="308">
        <v>240</v>
      </c>
      <c r="AB2809" t="str">
        <f>IF(Table1[[#This Row],[TIPO2]]="costo", VLOOKUP(Table1[[#This Row],[PARTIDA PRESUPUESTAL]],'Cost Report'!G:G,1,0),"Balance")</f>
        <v>2011-007</v>
      </c>
      <c r="AC2809" s="118"/>
      <c r="AD2809" s="159">
        <f>+Table1[[#This Row],[SUBTOTAL]]+Table1[[#This Row],[IVA]]-Table1[[#This Row],[RET IVA]]-Table1[[#This Row],[RET ISR]]-Table1[[#This Row],[TOTAL]]</f>
        <v>0</v>
      </c>
      <c r="AE2809" s="152"/>
      <c r="AF2809" s="153"/>
      <c r="AG2809" s="126"/>
      <c r="AK2809" s="306" t="str">
        <f>IF(ISNUMBER(Table1[[#This Row],[FECHA DE RECIBIDO]]), Table1[[#This Row],[FECHA DE RECIBIDO]]-DATE(2023,8,30), "")</f>
        <v/>
      </c>
    </row>
    <row r="2810" spans="1:37" ht="16.05" customHeight="1">
      <c r="A2810" s="150" t="s">
        <v>4093</v>
      </c>
      <c r="B2810" s="151">
        <v>1079</v>
      </c>
      <c r="C2810" s="126" t="s">
        <v>2403</v>
      </c>
      <c r="D2810">
        <v>1912</v>
      </c>
      <c r="E2810" s="126" t="s">
        <v>1605</v>
      </c>
      <c r="F2810" s="122" t="s">
        <v>1607</v>
      </c>
      <c r="G2810" s="122" t="s">
        <v>134</v>
      </c>
      <c r="H2810">
        <v>5</v>
      </c>
      <c r="I2810" s="122" t="s">
        <v>1546</v>
      </c>
      <c r="J2810" s="307" t="s">
        <v>214</v>
      </c>
      <c r="K2810" s="127" t="s">
        <v>3806</v>
      </c>
      <c r="L2810" s="151" t="s">
        <v>3306</v>
      </c>
      <c r="M2810">
        <v>5</v>
      </c>
      <c r="N2810" s="123">
        <v>0</v>
      </c>
      <c r="O2810">
        <v>1884</v>
      </c>
      <c r="P2810" s="132" t="s">
        <v>77</v>
      </c>
      <c r="Q2810" s="131">
        <v>20000</v>
      </c>
      <c r="R2810" s="131">
        <f t="shared" si="54"/>
        <v>3200</v>
      </c>
      <c r="S2810" s="131"/>
      <c r="T2810" s="155">
        <v>0</v>
      </c>
      <c r="U2810" s="131">
        <v>0</v>
      </c>
      <c r="V2810" s="131">
        <f>+Table1[[#This Row],[SUBTOTAL]]+Table1[[#This Row],[IVA]]-Table1[[#This Row],[RET IVA]]-Table1[[#This Row],[RET ISR]]</f>
        <v>23200</v>
      </c>
      <c r="W2810">
        <v>323</v>
      </c>
      <c r="X2810" s="151" t="s">
        <v>135</v>
      </c>
      <c r="Y2810" s="135" t="s">
        <v>55</v>
      </c>
      <c r="Z2810" s="307">
        <v>240</v>
      </c>
      <c r="AB2810" t="str">
        <f>IF(Table1[[#This Row],[TIPO2]]="costo", VLOOKUP(Table1[[#This Row],[PARTIDA PRESUPUESTAL]],'Cost Report'!G:G,1,0),"Balance")</f>
        <v>2011-015</v>
      </c>
      <c r="AC2810" s="118"/>
      <c r="AD2810" s="159">
        <f>+Table1[[#This Row],[SUBTOTAL]]+Table1[[#This Row],[IVA]]-Table1[[#This Row],[RET IVA]]-Table1[[#This Row],[RET ISR]]-Table1[[#This Row],[TOTAL]]</f>
        <v>0</v>
      </c>
      <c r="AE2810" s="150"/>
      <c r="AF2810" s="151"/>
      <c r="AG2810" s="126"/>
      <c r="AK2810" s="306" t="str">
        <f>IF(ISNUMBER(Table1[[#This Row],[FECHA DE RECIBIDO]]), Table1[[#This Row],[FECHA DE RECIBIDO]]-DATE(2023,8,30), "")</f>
        <v/>
      </c>
    </row>
    <row r="2811" spans="1:37" s="271" customFormat="1" ht="16.05" customHeight="1">
      <c r="A2811" s="291"/>
      <c r="B2811" s="292">
        <v>1080</v>
      </c>
      <c r="C2811" s="285" t="s">
        <v>3093</v>
      </c>
      <c r="D2811">
        <v>1913</v>
      </c>
      <c r="E2811" s="285" t="s">
        <v>1605</v>
      </c>
      <c r="F2811" s="285" t="s">
        <v>1607</v>
      </c>
      <c r="G2811" s="285" t="s">
        <v>134</v>
      </c>
      <c r="H2811">
        <v>5</v>
      </c>
      <c r="I2811" s="285" t="s">
        <v>1546</v>
      </c>
      <c r="J2811" s="309" t="s">
        <v>214</v>
      </c>
      <c r="K2811" s="293" t="s">
        <v>3806</v>
      </c>
      <c r="L2811" s="292" t="s">
        <v>3306</v>
      </c>
      <c r="M2811">
        <v>5</v>
      </c>
      <c r="N2811" s="294">
        <v>0</v>
      </c>
      <c r="O2811">
        <v>1885</v>
      </c>
      <c r="P2811" s="295" t="s">
        <v>78</v>
      </c>
      <c r="Q2811" s="296">
        <v>75000</v>
      </c>
      <c r="R2811" s="296">
        <v>12000</v>
      </c>
      <c r="S2811" s="296"/>
      <c r="T2811" s="297">
        <v>0</v>
      </c>
      <c r="U2811" s="296">
        <v>0</v>
      </c>
      <c r="V2811" s="296">
        <f>+Table1[[#This Row],[SUBTOTAL]]+Table1[[#This Row],[IVA]]-Table1[[#This Row],[RET IVA]]-Table1[[#This Row],[RET ISR]]</f>
        <v>87000</v>
      </c>
      <c r="W2811">
        <v>323</v>
      </c>
      <c r="X2811" s="292" t="s">
        <v>135</v>
      </c>
      <c r="Y2811" s="283" t="s">
        <v>55</v>
      </c>
      <c r="Z2811" s="309">
        <v>240</v>
      </c>
      <c r="AB2811" s="271" t="str">
        <f>IF(Table1[[#This Row],[TIPO2]]="costo", VLOOKUP(Table1[[#This Row],[PARTIDA PRESUPUESTAL]],'Cost Report'!G:G,1,0),"Balance")</f>
        <v>Balance</v>
      </c>
      <c r="AC2811" s="298"/>
      <c r="AD2811" s="272">
        <f>+Table1[[#This Row],[SUBTOTAL]]+Table1[[#This Row],[IVA]]-Table1[[#This Row],[RET IVA]]-Table1[[#This Row],[RET ISR]]-Table1[[#This Row],[TOTAL]]</f>
        <v>0</v>
      </c>
      <c r="AE2811" s="291"/>
      <c r="AF2811" s="292"/>
      <c r="AG2811" s="285"/>
      <c r="AK2811" s="306" t="str">
        <f>IF(ISNUMBER(Table1[[#This Row],[FECHA DE RECIBIDO]]), Table1[[#This Row],[FECHA DE RECIBIDO]]-DATE(2023,8,30), "")</f>
        <v/>
      </c>
    </row>
    <row r="2812" spans="1:37" ht="16.05" customHeight="1">
      <c r="A2812" s="150"/>
      <c r="B2812" s="151">
        <v>1081</v>
      </c>
      <c r="C2812" s="126" t="s">
        <v>3090</v>
      </c>
      <c r="D2812">
        <v>1914</v>
      </c>
      <c r="E2812" s="126" t="s">
        <v>1605</v>
      </c>
      <c r="F2812" s="122" t="s">
        <v>1607</v>
      </c>
      <c r="G2812" s="122" t="s">
        <v>134</v>
      </c>
      <c r="H2812">
        <v>5</v>
      </c>
      <c r="I2812" s="122" t="s">
        <v>1546</v>
      </c>
      <c r="J2812" s="307" t="s">
        <v>214</v>
      </c>
      <c r="K2812" s="127" t="s">
        <v>3806</v>
      </c>
      <c r="L2812" s="151" t="s">
        <v>3306</v>
      </c>
      <c r="M2812">
        <v>5</v>
      </c>
      <c r="N2812" s="123">
        <v>0</v>
      </c>
      <c r="O2812">
        <v>1886</v>
      </c>
      <c r="P2812" s="132" t="s">
        <v>77</v>
      </c>
      <c r="Q2812" s="131">
        <v>11000</v>
      </c>
      <c r="R2812" s="131">
        <v>1760</v>
      </c>
      <c r="S2812" s="131"/>
      <c r="T2812" s="155">
        <v>0</v>
      </c>
      <c r="U2812" s="131">
        <v>0</v>
      </c>
      <c r="V2812" s="131">
        <f>+Table1[[#This Row],[SUBTOTAL]]+Table1[[#This Row],[IVA]]-Table1[[#This Row],[RET IVA]]-Table1[[#This Row],[RET ISR]]</f>
        <v>12760</v>
      </c>
      <c r="W2812">
        <v>323</v>
      </c>
      <c r="X2812" s="151" t="s">
        <v>135</v>
      </c>
      <c r="Y2812" s="135" t="s">
        <v>55</v>
      </c>
      <c r="Z2812" s="307">
        <v>240</v>
      </c>
      <c r="AB2812" t="str">
        <f>IF(Table1[[#This Row],[TIPO2]]="costo", VLOOKUP(Table1[[#This Row],[PARTIDA PRESUPUESTAL]],'Cost Report'!G:G,1,0),"Balance")</f>
        <v>7001-007</v>
      </c>
      <c r="AC2812" s="118"/>
      <c r="AD2812" s="159">
        <f>+Table1[[#This Row],[SUBTOTAL]]+Table1[[#This Row],[IVA]]-Table1[[#This Row],[RET IVA]]-Table1[[#This Row],[RET ISR]]-Table1[[#This Row],[TOTAL]]</f>
        <v>0</v>
      </c>
      <c r="AE2812" s="150"/>
      <c r="AF2812" s="151"/>
      <c r="AG2812" s="126"/>
      <c r="AK2812" s="306" t="str">
        <f>IF(ISNUMBER(Table1[[#This Row],[FECHA DE RECIBIDO]]), Table1[[#This Row],[FECHA DE RECIBIDO]]-DATE(2023,8,30), "")</f>
        <v/>
      </c>
    </row>
    <row r="2813" spans="1:37" ht="16.05" customHeight="1">
      <c r="A2813" s="152"/>
      <c r="B2813" s="153">
        <v>1082</v>
      </c>
      <c r="C2813" s="126" t="s">
        <v>469</v>
      </c>
      <c r="D2813">
        <v>1915</v>
      </c>
      <c r="E2813" s="126" t="s">
        <v>1605</v>
      </c>
      <c r="F2813" s="125" t="s">
        <v>1607</v>
      </c>
      <c r="G2813" s="125" t="s">
        <v>134</v>
      </c>
      <c r="H2813">
        <v>5</v>
      </c>
      <c r="I2813" s="125" t="s">
        <v>1546</v>
      </c>
      <c r="J2813" s="308" t="s">
        <v>214</v>
      </c>
      <c r="K2813" s="127" t="s">
        <v>3806</v>
      </c>
      <c r="L2813" s="153" t="s">
        <v>3306</v>
      </c>
      <c r="M2813">
        <v>5</v>
      </c>
      <c r="N2813" s="123">
        <v>0</v>
      </c>
      <c r="O2813">
        <v>1887</v>
      </c>
      <c r="P2813" s="132" t="s">
        <v>77</v>
      </c>
      <c r="Q2813" s="132">
        <v>46000</v>
      </c>
      <c r="R2813" s="132">
        <v>7360</v>
      </c>
      <c r="S2813" s="132"/>
      <c r="T2813" s="156">
        <v>0</v>
      </c>
      <c r="U2813" s="132">
        <v>0</v>
      </c>
      <c r="V2813" s="132">
        <f>+Table1[[#This Row],[SUBTOTAL]]+Table1[[#This Row],[IVA]]-Table1[[#This Row],[RET IVA]]-Table1[[#This Row],[RET ISR]]</f>
        <v>53360</v>
      </c>
      <c r="W2813">
        <v>323</v>
      </c>
      <c r="X2813" s="153" t="s">
        <v>135</v>
      </c>
      <c r="Y2813" s="124" t="s">
        <v>55</v>
      </c>
      <c r="Z2813" s="308">
        <v>240</v>
      </c>
      <c r="AB2813" t="str">
        <f>IF(Table1[[#This Row],[TIPO2]]="costo", VLOOKUP(Table1[[#This Row],[PARTIDA PRESUPUESTAL]],'Cost Report'!G:G,1,0),"Balance")</f>
        <v>2010-012</v>
      </c>
      <c r="AC2813" s="118"/>
      <c r="AD2813" s="159">
        <f>+Table1[[#This Row],[SUBTOTAL]]+Table1[[#This Row],[IVA]]-Table1[[#This Row],[RET IVA]]-Table1[[#This Row],[RET ISR]]-Table1[[#This Row],[TOTAL]]</f>
        <v>0</v>
      </c>
      <c r="AE2813" s="152"/>
      <c r="AF2813" s="153"/>
      <c r="AG2813" s="126"/>
      <c r="AK2813" s="306" t="str">
        <f>IF(ISNUMBER(Table1[[#This Row],[FECHA DE RECIBIDO]]), Table1[[#This Row],[FECHA DE RECIBIDO]]-DATE(2023,8,30), "")</f>
        <v/>
      </c>
    </row>
    <row r="2814" spans="1:37" ht="16.05" customHeight="1">
      <c r="A2814" s="150"/>
      <c r="B2814" s="151">
        <v>1082</v>
      </c>
      <c r="C2814" s="126" t="s">
        <v>2395</v>
      </c>
      <c r="D2814">
        <v>1915</v>
      </c>
      <c r="E2814" s="126" t="s">
        <v>1605</v>
      </c>
      <c r="F2814" s="122" t="s">
        <v>1607</v>
      </c>
      <c r="G2814" s="122" t="s">
        <v>134</v>
      </c>
      <c r="H2814">
        <v>5</v>
      </c>
      <c r="I2814" s="122" t="s">
        <v>1546</v>
      </c>
      <c r="J2814" s="307" t="s">
        <v>214</v>
      </c>
      <c r="K2814" s="127" t="s">
        <v>3806</v>
      </c>
      <c r="L2814" s="151" t="s">
        <v>3306</v>
      </c>
      <c r="M2814">
        <v>5</v>
      </c>
      <c r="N2814" s="123">
        <v>0</v>
      </c>
      <c r="O2814">
        <v>1887</v>
      </c>
      <c r="P2814" s="132" t="s">
        <v>77</v>
      </c>
      <c r="Q2814" s="131">
        <v>24000</v>
      </c>
      <c r="R2814" s="131">
        <v>3840</v>
      </c>
      <c r="S2814" s="131"/>
      <c r="T2814" s="155">
        <v>0</v>
      </c>
      <c r="U2814" s="131">
        <v>0</v>
      </c>
      <c r="V2814" s="131">
        <f>+Table1[[#This Row],[SUBTOTAL]]+Table1[[#This Row],[IVA]]-Table1[[#This Row],[RET IVA]]-Table1[[#This Row],[RET ISR]]</f>
        <v>27840</v>
      </c>
      <c r="W2814">
        <v>323</v>
      </c>
      <c r="X2814" s="151" t="s">
        <v>135</v>
      </c>
      <c r="Y2814" s="135" t="s">
        <v>55</v>
      </c>
      <c r="Z2814" s="307">
        <v>240</v>
      </c>
      <c r="AB2814" t="str">
        <f>IF(Table1[[#This Row],[TIPO2]]="costo", VLOOKUP(Table1[[#This Row],[PARTIDA PRESUPUESTAL]],'Cost Report'!G:G,1,0),"Balance")</f>
        <v>2011-005</v>
      </c>
      <c r="AC2814" s="118"/>
      <c r="AD2814" s="159">
        <f>+Table1[[#This Row],[SUBTOTAL]]+Table1[[#This Row],[IVA]]-Table1[[#This Row],[RET IVA]]-Table1[[#This Row],[RET ISR]]-Table1[[#This Row],[TOTAL]]</f>
        <v>0</v>
      </c>
      <c r="AE2814" s="150"/>
      <c r="AF2814" s="151"/>
      <c r="AG2814" s="126"/>
      <c r="AK2814" s="306" t="str">
        <f>IF(ISNUMBER(Table1[[#This Row],[FECHA DE RECIBIDO]]), Table1[[#This Row],[FECHA DE RECIBIDO]]-DATE(2023,8,30), "")</f>
        <v/>
      </c>
    </row>
    <row r="2815" spans="1:37" ht="16.05" customHeight="1">
      <c r="A2815" s="152"/>
      <c r="B2815" s="153">
        <v>1082</v>
      </c>
      <c r="C2815" s="126" t="s">
        <v>2401</v>
      </c>
      <c r="D2815">
        <v>1915</v>
      </c>
      <c r="E2815" s="126" t="s">
        <v>1605</v>
      </c>
      <c r="F2815" s="125" t="s">
        <v>1607</v>
      </c>
      <c r="G2815" s="125" t="s">
        <v>134</v>
      </c>
      <c r="H2815">
        <v>5</v>
      </c>
      <c r="I2815" s="125" t="s">
        <v>1546</v>
      </c>
      <c r="J2815" s="308" t="s">
        <v>214</v>
      </c>
      <c r="K2815" s="127" t="s">
        <v>3806</v>
      </c>
      <c r="L2815" s="153" t="s">
        <v>3306</v>
      </c>
      <c r="M2815">
        <v>5</v>
      </c>
      <c r="N2815" s="123">
        <v>0</v>
      </c>
      <c r="O2815">
        <v>1887</v>
      </c>
      <c r="P2815" s="132" t="s">
        <v>77</v>
      </c>
      <c r="Q2815" s="132">
        <v>20000</v>
      </c>
      <c r="R2815" s="132">
        <v>3200</v>
      </c>
      <c r="S2815" s="132"/>
      <c r="T2815" s="156">
        <v>0</v>
      </c>
      <c r="U2815" s="132">
        <v>0</v>
      </c>
      <c r="V2815" s="132">
        <f>+Table1[[#This Row],[SUBTOTAL]]+Table1[[#This Row],[IVA]]-Table1[[#This Row],[RET IVA]]-Table1[[#This Row],[RET ISR]]</f>
        <v>23200</v>
      </c>
      <c r="W2815">
        <v>323</v>
      </c>
      <c r="X2815" s="153" t="s">
        <v>135</v>
      </c>
      <c r="Y2815" s="124" t="s">
        <v>55</v>
      </c>
      <c r="Z2815" s="308">
        <v>240</v>
      </c>
      <c r="AB2815" t="str">
        <f>IF(Table1[[#This Row],[TIPO2]]="costo", VLOOKUP(Table1[[#This Row],[PARTIDA PRESUPUESTAL]],'Cost Report'!G:G,1,0),"Balance")</f>
        <v>2011-013</v>
      </c>
      <c r="AC2815" s="118"/>
      <c r="AD2815" s="159">
        <f>+Table1[[#This Row],[SUBTOTAL]]+Table1[[#This Row],[IVA]]-Table1[[#This Row],[RET IVA]]-Table1[[#This Row],[RET ISR]]-Table1[[#This Row],[TOTAL]]</f>
        <v>0</v>
      </c>
      <c r="AE2815" s="152"/>
      <c r="AF2815" s="153"/>
      <c r="AG2815" s="126"/>
      <c r="AK2815" s="306" t="str">
        <f>IF(ISNUMBER(Table1[[#This Row],[FECHA DE RECIBIDO]]), Table1[[#This Row],[FECHA DE RECIBIDO]]-DATE(2023,8,30), "")</f>
        <v/>
      </c>
    </row>
    <row r="2816" spans="1:37" ht="16.05" customHeight="1">
      <c r="A2816" s="150"/>
      <c r="B2816" s="151">
        <v>1083</v>
      </c>
      <c r="C2816" s="126" t="s">
        <v>3088</v>
      </c>
      <c r="D2816">
        <v>1916</v>
      </c>
      <c r="E2816" s="126" t="s">
        <v>1605</v>
      </c>
      <c r="F2816" s="122" t="s">
        <v>1607</v>
      </c>
      <c r="G2816" s="122" t="s">
        <v>134</v>
      </c>
      <c r="H2816">
        <v>5</v>
      </c>
      <c r="I2816" s="122" t="s">
        <v>1546</v>
      </c>
      <c r="J2816" s="307" t="s">
        <v>214</v>
      </c>
      <c r="K2816" s="127" t="s">
        <v>3806</v>
      </c>
      <c r="L2816" s="151" t="s">
        <v>3306</v>
      </c>
      <c r="M2816">
        <v>5</v>
      </c>
      <c r="N2816" s="123">
        <v>0</v>
      </c>
      <c r="O2816">
        <v>1888</v>
      </c>
      <c r="P2816" s="132" t="s">
        <v>77</v>
      </c>
      <c r="Q2816" s="131">
        <v>11000</v>
      </c>
      <c r="R2816" s="131">
        <v>1760</v>
      </c>
      <c r="S2816" s="131"/>
      <c r="T2816" s="155">
        <v>0</v>
      </c>
      <c r="U2816" s="131">
        <v>0</v>
      </c>
      <c r="V2816" s="131">
        <f>+Table1[[#This Row],[SUBTOTAL]]+Table1[[#This Row],[IVA]]-Table1[[#This Row],[RET IVA]]-Table1[[#This Row],[RET ISR]]</f>
        <v>12760</v>
      </c>
      <c r="W2816">
        <v>323</v>
      </c>
      <c r="X2816" s="151" t="s">
        <v>135</v>
      </c>
      <c r="Y2816" s="135" t="s">
        <v>55</v>
      </c>
      <c r="Z2816" s="307">
        <v>240</v>
      </c>
      <c r="AB2816" t="str">
        <f>IF(Table1[[#This Row],[TIPO2]]="costo", VLOOKUP(Table1[[#This Row],[PARTIDA PRESUPUESTAL]],'Cost Report'!G:G,1,0),"Balance")</f>
        <v>7001-005</v>
      </c>
      <c r="AC2816" s="118"/>
      <c r="AD2816" s="159">
        <f>+Table1[[#This Row],[SUBTOTAL]]+Table1[[#This Row],[IVA]]-Table1[[#This Row],[RET IVA]]-Table1[[#This Row],[RET ISR]]-Table1[[#This Row],[TOTAL]]</f>
        <v>0</v>
      </c>
      <c r="AE2816" s="150"/>
      <c r="AF2816" s="151"/>
      <c r="AG2816" s="126"/>
      <c r="AK2816" s="306" t="str">
        <f>IF(ISNUMBER(Table1[[#This Row],[FECHA DE RECIBIDO]]), Table1[[#This Row],[FECHA DE RECIBIDO]]-DATE(2023,8,30), "")</f>
        <v/>
      </c>
    </row>
    <row r="2817" spans="1:37" ht="16.05" customHeight="1">
      <c r="A2817" s="152"/>
      <c r="B2817" s="153">
        <v>1084</v>
      </c>
      <c r="C2817" s="126" t="s">
        <v>2407</v>
      </c>
      <c r="D2817">
        <v>1917</v>
      </c>
      <c r="E2817" s="126" t="s">
        <v>1605</v>
      </c>
      <c r="F2817" s="125" t="s">
        <v>1607</v>
      </c>
      <c r="G2817" s="125" t="s">
        <v>134</v>
      </c>
      <c r="H2817">
        <v>5</v>
      </c>
      <c r="I2817" s="125" t="s">
        <v>1546</v>
      </c>
      <c r="J2817" s="308" t="s">
        <v>214</v>
      </c>
      <c r="K2817" s="127" t="s">
        <v>3806</v>
      </c>
      <c r="L2817" s="153" t="s">
        <v>3306</v>
      </c>
      <c r="M2817">
        <v>5</v>
      </c>
      <c r="N2817" s="123">
        <v>0</v>
      </c>
      <c r="O2817">
        <v>1889</v>
      </c>
      <c r="P2817" s="132" t="s">
        <v>77</v>
      </c>
      <c r="Q2817" s="132">
        <v>11000</v>
      </c>
      <c r="R2817" s="132">
        <v>1760</v>
      </c>
      <c r="S2817" s="132"/>
      <c r="T2817" s="156">
        <v>0</v>
      </c>
      <c r="U2817" s="132">
        <v>0</v>
      </c>
      <c r="V2817" s="132">
        <f>+Table1[[#This Row],[SUBTOTAL]]+Table1[[#This Row],[IVA]]-Table1[[#This Row],[RET IVA]]-Table1[[#This Row],[RET ISR]]</f>
        <v>12760</v>
      </c>
      <c r="W2817">
        <v>323</v>
      </c>
      <c r="X2817" s="153" t="s">
        <v>135</v>
      </c>
      <c r="Y2817" s="124" t="s">
        <v>55</v>
      </c>
      <c r="Z2817" s="308">
        <v>240</v>
      </c>
      <c r="AB2817" t="str">
        <f>IF(Table1[[#This Row],[TIPO2]]="costo", VLOOKUP(Table1[[#This Row],[PARTIDA PRESUPUESTAL]],'Cost Report'!G:G,1,0),"Balance")</f>
        <v>2011-021</v>
      </c>
      <c r="AC2817" s="118"/>
      <c r="AD2817" s="159">
        <f>+Table1[[#This Row],[SUBTOTAL]]+Table1[[#This Row],[IVA]]-Table1[[#This Row],[RET IVA]]-Table1[[#This Row],[RET ISR]]-Table1[[#This Row],[TOTAL]]</f>
        <v>0</v>
      </c>
      <c r="AE2817" s="152"/>
      <c r="AF2817" s="153"/>
      <c r="AG2817" s="126"/>
      <c r="AK2817" s="306" t="str">
        <f>IF(ISNUMBER(Table1[[#This Row],[FECHA DE RECIBIDO]]), Table1[[#This Row],[FECHA DE RECIBIDO]]-DATE(2023,8,30), "")</f>
        <v/>
      </c>
    </row>
    <row r="2818" spans="1:37" ht="16.05" customHeight="1">
      <c r="A2818" s="150" t="s">
        <v>3815</v>
      </c>
      <c r="B2818" s="151">
        <v>1085</v>
      </c>
      <c r="C2818" s="126" t="s">
        <v>2458</v>
      </c>
      <c r="D2818">
        <v>1918</v>
      </c>
      <c r="E2818" s="126" t="s">
        <v>1596</v>
      </c>
      <c r="F2818" s="122" t="s">
        <v>1602</v>
      </c>
      <c r="G2818" s="122" t="s">
        <v>1617</v>
      </c>
      <c r="H2818">
        <v>551</v>
      </c>
      <c r="I2818" s="122" t="s">
        <v>1546</v>
      </c>
      <c r="J2818" s="307" t="s">
        <v>214</v>
      </c>
      <c r="K2818" s="127" t="s">
        <v>3806</v>
      </c>
      <c r="L2818" s="151" t="s">
        <v>1579</v>
      </c>
      <c r="M2818">
        <v>653</v>
      </c>
      <c r="N2818" s="123">
        <v>17</v>
      </c>
      <c r="O2818">
        <v>1890</v>
      </c>
      <c r="P2818" s="132" t="s">
        <v>77</v>
      </c>
      <c r="Q2818" s="131">
        <v>35.9</v>
      </c>
      <c r="R2818" s="131">
        <v>5.74</v>
      </c>
      <c r="S2818" s="131"/>
      <c r="T2818" s="155"/>
      <c r="U2818" s="131"/>
      <c r="V2818" s="131">
        <f>+Table1[[#This Row],[SUBTOTAL]]+Table1[[#This Row],[IVA]]-Table1[[#This Row],[RET IVA]]-Table1[[#This Row],[RET ISR]]</f>
        <v>41.64</v>
      </c>
      <c r="W2818">
        <v>101</v>
      </c>
      <c r="X2818" s="151" t="s">
        <v>1644</v>
      </c>
      <c r="Y2818" s="135" t="s">
        <v>55</v>
      </c>
      <c r="Z2818" s="307">
        <v>219</v>
      </c>
      <c r="AB2818" t="str">
        <f>IF(Table1[[#This Row],[TIPO2]]="costo", VLOOKUP(Table1[[#This Row],[PARTIDA PRESUPUESTAL]],'Cost Report'!G:G,1,0),"Balance")</f>
        <v>2311-003</v>
      </c>
      <c r="AC2818" s="118"/>
      <c r="AD2818" s="159">
        <f>+Table1[[#This Row],[SUBTOTAL]]+Table1[[#This Row],[IVA]]-Table1[[#This Row],[RET IVA]]-Table1[[#This Row],[RET ISR]]-Table1[[#This Row],[TOTAL]]</f>
        <v>0</v>
      </c>
      <c r="AE2818" s="150"/>
      <c r="AF2818" s="151"/>
      <c r="AG2818" s="126" t="s">
        <v>3420</v>
      </c>
      <c r="AK2818" s="306" t="str">
        <f>IF(ISNUMBER(Table1[[#This Row],[FECHA DE RECIBIDO]]), Table1[[#This Row],[FECHA DE RECIBIDO]]-DATE(2023,8,30), "")</f>
        <v/>
      </c>
    </row>
    <row r="2819" spans="1:37" ht="16.05" customHeight="1">
      <c r="A2819" s="152" t="s">
        <v>3815</v>
      </c>
      <c r="B2819" s="153">
        <v>1085</v>
      </c>
      <c r="C2819" s="126" t="s">
        <v>1519</v>
      </c>
      <c r="D2819">
        <v>1919</v>
      </c>
      <c r="E2819" s="126" t="s">
        <v>2107</v>
      </c>
      <c r="F2819" s="125" t="s">
        <v>1593</v>
      </c>
      <c r="G2819" s="125" t="s">
        <v>109</v>
      </c>
      <c r="H2819">
        <v>552</v>
      </c>
      <c r="I2819" s="125" t="s">
        <v>1546</v>
      </c>
      <c r="J2819" s="308" t="s">
        <v>214</v>
      </c>
      <c r="K2819" s="127" t="s">
        <v>3806</v>
      </c>
      <c r="L2819" s="153" t="s">
        <v>1579</v>
      </c>
      <c r="M2819">
        <v>777</v>
      </c>
      <c r="N2819" s="123">
        <v>17</v>
      </c>
      <c r="O2819">
        <v>1891</v>
      </c>
      <c r="P2819" s="132" t="s">
        <v>77</v>
      </c>
      <c r="Q2819" s="132">
        <v>494.13</v>
      </c>
      <c r="R2819" s="132">
        <v>79.06</v>
      </c>
      <c r="S2819" s="132"/>
      <c r="T2819" s="156"/>
      <c r="U2819" s="132">
        <v>6.18</v>
      </c>
      <c r="V2819" s="132">
        <f>+Table1[[#This Row],[SUBTOTAL]]+Table1[[#This Row],[IVA]]-Table1[[#This Row],[RET IVA]]-Table1[[#This Row],[RET ISR]]</f>
        <v>567.0100000000001</v>
      </c>
      <c r="W2819">
        <v>101</v>
      </c>
      <c r="X2819" s="153" t="s">
        <v>1644</v>
      </c>
      <c r="Y2819" s="124" t="s">
        <v>55</v>
      </c>
      <c r="Z2819" s="308">
        <v>224</v>
      </c>
      <c r="AB2819" t="str">
        <f>IF(Table1[[#This Row],[TIPO2]]="costo", VLOOKUP(Table1[[#This Row],[PARTIDA PRESUPUESTAL]],'Cost Report'!G:G,1,0),"Balance")</f>
        <v>2494-031</v>
      </c>
      <c r="AC2819" s="118"/>
      <c r="AD2819" s="159">
        <f>+Table1[[#This Row],[SUBTOTAL]]+Table1[[#This Row],[IVA]]-Table1[[#This Row],[RET IVA]]-Table1[[#This Row],[RET ISR]]-Table1[[#This Row],[TOTAL]]</f>
        <v>0</v>
      </c>
      <c r="AE2819" s="152"/>
      <c r="AF2819" s="153"/>
      <c r="AG2819" s="126" t="s">
        <v>3420</v>
      </c>
      <c r="AK2819" s="306" t="str">
        <f>IF(ISNUMBER(Table1[[#This Row],[FECHA DE RECIBIDO]]), Table1[[#This Row],[FECHA DE RECIBIDO]]-DATE(2023,8,30), "")</f>
        <v/>
      </c>
    </row>
    <row r="2820" spans="1:37" ht="16.05" customHeight="1">
      <c r="A2820" s="150" t="s">
        <v>3815</v>
      </c>
      <c r="B2820" s="151">
        <v>1085</v>
      </c>
      <c r="C2820" s="126" t="s">
        <v>1519</v>
      </c>
      <c r="D2820">
        <v>1920</v>
      </c>
      <c r="E2820" s="126" t="s">
        <v>3275</v>
      </c>
      <c r="F2820" s="122" t="s">
        <v>1607</v>
      </c>
      <c r="G2820" s="122" t="s">
        <v>134</v>
      </c>
      <c r="H2820">
        <v>139</v>
      </c>
      <c r="I2820" s="122" t="s">
        <v>1546</v>
      </c>
      <c r="J2820" s="307" t="s">
        <v>214</v>
      </c>
      <c r="K2820" s="127" t="s">
        <v>3806</v>
      </c>
      <c r="L2820" s="151" t="s">
        <v>1579</v>
      </c>
      <c r="M2820">
        <v>181</v>
      </c>
      <c r="N2820" s="123">
        <v>17</v>
      </c>
      <c r="O2820">
        <v>1892</v>
      </c>
      <c r="P2820" s="132" t="s">
        <v>77</v>
      </c>
      <c r="Q2820" s="131">
        <v>123.15</v>
      </c>
      <c r="R2820" s="131">
        <v>19.7</v>
      </c>
      <c r="S2820" s="131"/>
      <c r="T2820" s="155"/>
      <c r="U2820" s="131"/>
      <c r="V2820" s="131">
        <f>+Table1[[#This Row],[SUBTOTAL]]+Table1[[#This Row],[IVA]]-Table1[[#This Row],[RET IVA]]-Table1[[#This Row],[RET ISR]]</f>
        <v>142.85</v>
      </c>
      <c r="W2820">
        <v>101</v>
      </c>
      <c r="X2820" s="151" t="s">
        <v>1644</v>
      </c>
      <c r="Y2820" s="135" t="s">
        <v>55</v>
      </c>
      <c r="Z2820" s="307">
        <v>223</v>
      </c>
      <c r="AB2820" t="str">
        <f>IF(Table1[[#This Row],[TIPO2]]="costo", VLOOKUP(Table1[[#This Row],[PARTIDA PRESUPUESTAL]],'Cost Report'!G:G,1,0),"Balance")</f>
        <v>2494-031</v>
      </c>
      <c r="AC2820" s="118"/>
      <c r="AD2820" s="159">
        <f>+Table1[[#This Row],[SUBTOTAL]]+Table1[[#This Row],[IVA]]-Table1[[#This Row],[RET IVA]]-Table1[[#This Row],[RET ISR]]-Table1[[#This Row],[TOTAL]]</f>
        <v>0</v>
      </c>
      <c r="AE2820" s="150"/>
      <c r="AF2820" s="151"/>
      <c r="AG2820" s="126" t="s">
        <v>3420</v>
      </c>
      <c r="AK2820" s="306" t="str">
        <f>IF(ISNUMBER(Table1[[#This Row],[FECHA DE RECIBIDO]]), Table1[[#This Row],[FECHA DE RECIBIDO]]-DATE(2023,8,30), "")</f>
        <v/>
      </c>
    </row>
    <row r="2821" spans="1:37" ht="16.05" customHeight="1">
      <c r="A2821" s="152" t="s">
        <v>3815</v>
      </c>
      <c r="B2821" s="153">
        <v>1085</v>
      </c>
      <c r="C2821" s="126" t="s">
        <v>1519</v>
      </c>
      <c r="D2821">
        <v>1921</v>
      </c>
      <c r="E2821" s="126" t="s">
        <v>3275</v>
      </c>
      <c r="F2821" s="125" t="s">
        <v>1607</v>
      </c>
      <c r="G2821" s="125" t="s">
        <v>134</v>
      </c>
      <c r="H2821">
        <v>41</v>
      </c>
      <c r="I2821" s="125" t="s">
        <v>1546</v>
      </c>
      <c r="J2821" s="308" t="s">
        <v>214</v>
      </c>
      <c r="K2821" s="127" t="s">
        <v>3806</v>
      </c>
      <c r="L2821" s="153" t="s">
        <v>1579</v>
      </c>
      <c r="M2821">
        <v>323</v>
      </c>
      <c r="N2821" s="123">
        <v>17</v>
      </c>
      <c r="O2821">
        <v>1893</v>
      </c>
      <c r="P2821" s="132" t="s">
        <v>77</v>
      </c>
      <c r="Q2821" s="132">
        <v>1032.52</v>
      </c>
      <c r="R2821" s="132">
        <v>62.48</v>
      </c>
      <c r="S2821" s="132"/>
      <c r="T2821" s="156"/>
      <c r="U2821" s="132"/>
      <c r="V2821" s="132">
        <f>+Table1[[#This Row],[SUBTOTAL]]+Table1[[#This Row],[IVA]]-Table1[[#This Row],[RET IVA]]-Table1[[#This Row],[RET ISR]]</f>
        <v>1095</v>
      </c>
      <c r="W2821">
        <v>101</v>
      </c>
      <c r="X2821" s="153" t="s">
        <v>1644</v>
      </c>
      <c r="Y2821" s="124" t="s">
        <v>55</v>
      </c>
      <c r="Z2821" s="308">
        <v>230</v>
      </c>
      <c r="AB2821" t="str">
        <f>IF(Table1[[#This Row],[TIPO2]]="costo", VLOOKUP(Table1[[#This Row],[PARTIDA PRESUPUESTAL]],'Cost Report'!G:G,1,0),"Balance")</f>
        <v>2494-031</v>
      </c>
      <c r="AC2821" s="118"/>
      <c r="AD2821" s="159">
        <f>+Table1[[#This Row],[SUBTOTAL]]+Table1[[#This Row],[IVA]]-Table1[[#This Row],[RET IVA]]-Table1[[#This Row],[RET ISR]]-Table1[[#This Row],[TOTAL]]</f>
        <v>0</v>
      </c>
      <c r="AE2821" s="152"/>
      <c r="AF2821" s="153"/>
      <c r="AG2821" s="126" t="s">
        <v>3420</v>
      </c>
      <c r="AK2821" s="306" t="str">
        <f>IF(ISNUMBER(Table1[[#This Row],[FECHA DE RECIBIDO]]), Table1[[#This Row],[FECHA DE RECIBIDO]]-DATE(2023,8,30), "")</f>
        <v/>
      </c>
    </row>
    <row r="2822" spans="1:37" ht="16.05" customHeight="1">
      <c r="A2822" s="150" t="s">
        <v>3815</v>
      </c>
      <c r="B2822" s="151">
        <v>1085</v>
      </c>
      <c r="C2822" s="126" t="s">
        <v>2455</v>
      </c>
      <c r="D2822">
        <v>1922</v>
      </c>
      <c r="E2822" s="126" t="s">
        <v>3275</v>
      </c>
      <c r="F2822" s="122" t="s">
        <v>1607</v>
      </c>
      <c r="G2822" s="122" t="s">
        <v>134</v>
      </c>
      <c r="H2822">
        <v>41</v>
      </c>
      <c r="I2822" s="122" t="s">
        <v>1546</v>
      </c>
      <c r="J2822" s="307" t="s">
        <v>214</v>
      </c>
      <c r="K2822" s="127" t="s">
        <v>3806</v>
      </c>
      <c r="L2822" s="151" t="s">
        <v>1579</v>
      </c>
      <c r="M2822">
        <v>323</v>
      </c>
      <c r="N2822" s="123">
        <v>17</v>
      </c>
      <c r="O2822">
        <v>1894</v>
      </c>
      <c r="P2822" s="132" t="s">
        <v>77</v>
      </c>
      <c r="Q2822" s="131">
        <v>676.9</v>
      </c>
      <c r="R2822" s="131">
        <v>65.099999999999994</v>
      </c>
      <c r="S2822" s="131"/>
      <c r="T2822" s="155"/>
      <c r="U2822" s="131"/>
      <c r="V2822" s="131">
        <f>+Table1[[#This Row],[SUBTOTAL]]+Table1[[#This Row],[IVA]]-Table1[[#This Row],[RET IVA]]-Table1[[#This Row],[RET ISR]]</f>
        <v>742</v>
      </c>
      <c r="W2822">
        <v>101</v>
      </c>
      <c r="X2822" s="151" t="s">
        <v>1644</v>
      </c>
      <c r="Y2822" s="135" t="s">
        <v>55</v>
      </c>
      <c r="Z2822" s="307">
        <v>231</v>
      </c>
      <c r="AB2822" t="str">
        <f>IF(Table1[[#This Row],[TIPO2]]="costo", VLOOKUP(Table1[[#This Row],[PARTIDA PRESUPUESTAL]],'Cost Report'!G:G,1,0),"Balance")</f>
        <v>2285-003</v>
      </c>
      <c r="AC2822" s="118"/>
      <c r="AD2822" s="159">
        <f>+Table1[[#This Row],[SUBTOTAL]]+Table1[[#This Row],[IVA]]-Table1[[#This Row],[RET IVA]]-Table1[[#This Row],[RET ISR]]-Table1[[#This Row],[TOTAL]]</f>
        <v>0</v>
      </c>
      <c r="AE2822" s="150"/>
      <c r="AF2822" s="151"/>
      <c r="AG2822" s="126" t="s">
        <v>3420</v>
      </c>
      <c r="AK2822" s="306" t="str">
        <f>IF(ISNUMBER(Table1[[#This Row],[FECHA DE RECIBIDO]]), Table1[[#This Row],[FECHA DE RECIBIDO]]-DATE(2023,8,30), "")</f>
        <v/>
      </c>
    </row>
    <row r="2823" spans="1:37" ht="16.05" customHeight="1">
      <c r="A2823" s="152" t="s">
        <v>3815</v>
      </c>
      <c r="B2823" s="153">
        <v>1085</v>
      </c>
      <c r="C2823" s="126" t="s">
        <v>1505</v>
      </c>
      <c r="D2823">
        <v>1923</v>
      </c>
      <c r="E2823" s="126" t="s">
        <v>3275</v>
      </c>
      <c r="F2823" s="125" t="s">
        <v>1607</v>
      </c>
      <c r="G2823" s="125" t="s">
        <v>134</v>
      </c>
      <c r="H2823">
        <v>41</v>
      </c>
      <c r="I2823" s="125" t="s">
        <v>1546</v>
      </c>
      <c r="J2823" s="308" t="s">
        <v>214</v>
      </c>
      <c r="K2823" s="127" t="s">
        <v>3806</v>
      </c>
      <c r="L2823" s="153" t="s">
        <v>1579</v>
      </c>
      <c r="M2823">
        <v>323</v>
      </c>
      <c r="N2823" s="123">
        <v>17</v>
      </c>
      <c r="O2823">
        <v>1895</v>
      </c>
      <c r="P2823" s="132" t="s">
        <v>77</v>
      </c>
      <c r="Q2823" s="132">
        <v>223.28</v>
      </c>
      <c r="R2823" s="132">
        <v>35.72</v>
      </c>
      <c r="S2823" s="132"/>
      <c r="T2823" s="156"/>
      <c r="U2823" s="132"/>
      <c r="V2823" s="132">
        <f>+Table1[[#This Row],[SUBTOTAL]]+Table1[[#This Row],[IVA]]-Table1[[#This Row],[RET IVA]]-Table1[[#This Row],[RET ISR]]</f>
        <v>259</v>
      </c>
      <c r="W2823">
        <v>101</v>
      </c>
      <c r="X2823" s="153" t="s">
        <v>1644</v>
      </c>
      <c r="Y2823" s="124" t="s">
        <v>55</v>
      </c>
      <c r="Z2823" s="308">
        <v>231</v>
      </c>
      <c r="AB2823" t="str">
        <f>IF(Table1[[#This Row],[TIPO2]]="costo", VLOOKUP(Table1[[#This Row],[PARTIDA PRESUPUESTAL]],'Cost Report'!G:G,1,0),"Balance")</f>
        <v>2494-003</v>
      </c>
      <c r="AC2823" s="118"/>
      <c r="AD2823" s="159">
        <f>+Table1[[#This Row],[SUBTOTAL]]+Table1[[#This Row],[IVA]]-Table1[[#This Row],[RET IVA]]-Table1[[#This Row],[RET ISR]]-Table1[[#This Row],[TOTAL]]</f>
        <v>0</v>
      </c>
      <c r="AE2823" s="152"/>
      <c r="AF2823" s="153"/>
      <c r="AG2823" s="126" t="s">
        <v>3420</v>
      </c>
      <c r="AK2823" s="306" t="str">
        <f>IF(ISNUMBER(Table1[[#This Row],[FECHA DE RECIBIDO]]), Table1[[#This Row],[FECHA DE RECIBIDO]]-DATE(2023,8,30), "")</f>
        <v/>
      </c>
    </row>
    <row r="2824" spans="1:37" ht="16.05" customHeight="1">
      <c r="A2824" s="150" t="s">
        <v>3815</v>
      </c>
      <c r="B2824" s="151">
        <v>1085</v>
      </c>
      <c r="C2824" s="126" t="s">
        <v>1505</v>
      </c>
      <c r="D2824">
        <v>1924</v>
      </c>
      <c r="E2824" s="126" t="s">
        <v>3363</v>
      </c>
      <c r="F2824" s="122" t="s">
        <v>1607</v>
      </c>
      <c r="G2824" s="122" t="s">
        <v>134</v>
      </c>
      <c r="H2824">
        <v>99</v>
      </c>
      <c r="I2824" s="122" t="s">
        <v>1546</v>
      </c>
      <c r="J2824" s="307" t="s">
        <v>214</v>
      </c>
      <c r="K2824" s="127" t="s">
        <v>3806</v>
      </c>
      <c r="L2824" s="151" t="s">
        <v>1579</v>
      </c>
      <c r="M2824">
        <v>134</v>
      </c>
      <c r="N2824" s="123">
        <v>17</v>
      </c>
      <c r="O2824">
        <v>1896</v>
      </c>
      <c r="P2824" s="132" t="s">
        <v>77</v>
      </c>
      <c r="Q2824" s="131">
        <v>342.24</v>
      </c>
      <c r="R2824" s="131">
        <v>54.76</v>
      </c>
      <c r="S2824" s="131"/>
      <c r="T2824" s="155"/>
      <c r="U2824" s="131"/>
      <c r="V2824" s="131">
        <f>+Table1[[#This Row],[SUBTOTAL]]+Table1[[#This Row],[IVA]]-Table1[[#This Row],[RET IVA]]-Table1[[#This Row],[RET ISR]]</f>
        <v>397</v>
      </c>
      <c r="W2824">
        <v>101</v>
      </c>
      <c r="X2824" s="151" t="s">
        <v>1644</v>
      </c>
      <c r="Y2824" s="135" t="s">
        <v>55</v>
      </c>
      <c r="Z2824" s="307">
        <v>224</v>
      </c>
      <c r="AB2824" t="str">
        <f>IF(Table1[[#This Row],[TIPO2]]="costo", VLOOKUP(Table1[[#This Row],[PARTIDA PRESUPUESTAL]],'Cost Report'!G:G,1,0),"Balance")</f>
        <v>2494-003</v>
      </c>
      <c r="AC2824" s="118"/>
      <c r="AD2824" s="159">
        <f>+Table1[[#This Row],[SUBTOTAL]]+Table1[[#This Row],[IVA]]-Table1[[#This Row],[RET IVA]]-Table1[[#This Row],[RET ISR]]-Table1[[#This Row],[TOTAL]]</f>
        <v>0</v>
      </c>
      <c r="AE2824" s="150"/>
      <c r="AF2824" s="151"/>
      <c r="AG2824" s="126" t="s">
        <v>3420</v>
      </c>
      <c r="AK2824" s="306" t="str">
        <f>IF(ISNUMBER(Table1[[#This Row],[FECHA DE RECIBIDO]]), Table1[[#This Row],[FECHA DE RECIBIDO]]-DATE(2023,8,30), "")</f>
        <v/>
      </c>
    </row>
    <row r="2825" spans="1:37" ht="16.05" customHeight="1">
      <c r="A2825" s="152" t="s">
        <v>3815</v>
      </c>
      <c r="B2825" s="153">
        <v>1085</v>
      </c>
      <c r="C2825" s="126" t="s">
        <v>1505</v>
      </c>
      <c r="D2825">
        <v>1925</v>
      </c>
      <c r="E2825" s="126" t="s">
        <v>2107</v>
      </c>
      <c r="F2825" s="125" t="s">
        <v>1607</v>
      </c>
      <c r="G2825" s="125" t="s">
        <v>134</v>
      </c>
      <c r="H2825">
        <v>419</v>
      </c>
      <c r="I2825" s="125" t="s">
        <v>1546</v>
      </c>
      <c r="J2825" s="308" t="s">
        <v>214</v>
      </c>
      <c r="K2825" s="127" t="s">
        <v>3806</v>
      </c>
      <c r="L2825" s="153" t="s">
        <v>1579</v>
      </c>
      <c r="M2825">
        <v>556</v>
      </c>
      <c r="N2825" s="123">
        <v>17</v>
      </c>
      <c r="O2825">
        <v>1897</v>
      </c>
      <c r="P2825" s="132" t="s">
        <v>77</v>
      </c>
      <c r="Q2825" s="132">
        <v>290</v>
      </c>
      <c r="R2825" s="132">
        <v>46.4</v>
      </c>
      <c r="S2825" s="132"/>
      <c r="T2825" s="156"/>
      <c r="U2825" s="132"/>
      <c r="V2825" s="132">
        <f>+Table1[[#This Row],[SUBTOTAL]]+Table1[[#This Row],[IVA]]-Table1[[#This Row],[RET IVA]]-Table1[[#This Row],[RET ISR]]</f>
        <v>336.4</v>
      </c>
      <c r="W2825">
        <v>101</v>
      </c>
      <c r="X2825" s="153" t="s">
        <v>1644</v>
      </c>
      <c r="Y2825" s="124" t="s">
        <v>55</v>
      </c>
      <c r="Z2825" s="308">
        <v>224</v>
      </c>
      <c r="AB2825" t="str">
        <f>IF(Table1[[#This Row],[TIPO2]]="costo", VLOOKUP(Table1[[#This Row],[PARTIDA PRESUPUESTAL]],'Cost Report'!G:G,1,0),"Balance")</f>
        <v>2494-003</v>
      </c>
      <c r="AC2825" s="118"/>
      <c r="AD2825" s="159">
        <f>+Table1[[#This Row],[SUBTOTAL]]+Table1[[#This Row],[IVA]]-Table1[[#This Row],[RET IVA]]-Table1[[#This Row],[RET ISR]]-Table1[[#This Row],[TOTAL]]</f>
        <v>0</v>
      </c>
      <c r="AE2825" s="152"/>
      <c r="AF2825" s="153"/>
      <c r="AG2825" s="126" t="s">
        <v>3420</v>
      </c>
      <c r="AK2825" s="306" t="str">
        <f>IF(ISNUMBER(Table1[[#This Row],[FECHA DE RECIBIDO]]), Table1[[#This Row],[FECHA DE RECIBIDO]]-DATE(2023,8,30), "")</f>
        <v/>
      </c>
    </row>
    <row r="2826" spans="1:37" ht="16.05" customHeight="1">
      <c r="A2826" s="150" t="s">
        <v>3815</v>
      </c>
      <c r="B2826" s="151">
        <v>1085</v>
      </c>
      <c r="C2826" s="126" t="s">
        <v>1505</v>
      </c>
      <c r="D2826">
        <v>1926</v>
      </c>
      <c r="E2826" s="126" t="s">
        <v>3276</v>
      </c>
      <c r="F2826" s="122" t="s">
        <v>1607</v>
      </c>
      <c r="G2826" s="122" t="s">
        <v>134</v>
      </c>
      <c r="H2826">
        <v>553</v>
      </c>
      <c r="I2826" s="122" t="s">
        <v>1546</v>
      </c>
      <c r="J2826" s="307" t="s">
        <v>214</v>
      </c>
      <c r="K2826" s="127" t="s">
        <v>3806</v>
      </c>
      <c r="L2826" s="151" t="s">
        <v>1579</v>
      </c>
      <c r="M2826">
        <v>778</v>
      </c>
      <c r="N2826" s="123">
        <v>17</v>
      </c>
      <c r="O2826">
        <v>1898</v>
      </c>
      <c r="P2826" s="132" t="s">
        <v>77</v>
      </c>
      <c r="Q2826" s="131">
        <v>2768.1</v>
      </c>
      <c r="R2826" s="131">
        <v>442.89</v>
      </c>
      <c r="S2826" s="131"/>
      <c r="T2826" s="155"/>
      <c r="U2826" s="131"/>
      <c r="V2826" s="131">
        <f>+Table1[[#This Row],[SUBTOTAL]]+Table1[[#This Row],[IVA]]-Table1[[#This Row],[RET IVA]]-Table1[[#This Row],[RET ISR]]</f>
        <v>3210.99</v>
      </c>
      <c r="W2826">
        <v>101</v>
      </c>
      <c r="X2826" s="151" t="s">
        <v>1644</v>
      </c>
      <c r="Y2826" s="135" t="s">
        <v>55</v>
      </c>
      <c r="Z2826" s="307">
        <v>226</v>
      </c>
      <c r="AB2826" t="str">
        <f>IF(Table1[[#This Row],[TIPO2]]="costo", VLOOKUP(Table1[[#This Row],[PARTIDA PRESUPUESTAL]],'Cost Report'!G:G,1,0),"Balance")</f>
        <v>2494-003</v>
      </c>
      <c r="AC2826" s="118"/>
      <c r="AD2826" s="159">
        <f>+Table1[[#This Row],[SUBTOTAL]]+Table1[[#This Row],[IVA]]-Table1[[#This Row],[RET IVA]]-Table1[[#This Row],[RET ISR]]-Table1[[#This Row],[TOTAL]]</f>
        <v>0</v>
      </c>
      <c r="AE2826" s="150"/>
      <c r="AF2826" s="151"/>
      <c r="AG2826" s="126" t="s">
        <v>3420</v>
      </c>
      <c r="AK2826" s="306" t="str">
        <f>IF(ISNUMBER(Table1[[#This Row],[FECHA DE RECIBIDO]]), Table1[[#This Row],[FECHA DE RECIBIDO]]-DATE(2023,8,30), "")</f>
        <v/>
      </c>
    </row>
    <row r="2827" spans="1:37" ht="16.05" customHeight="1">
      <c r="A2827" s="152" t="s">
        <v>3815</v>
      </c>
      <c r="B2827" s="153">
        <v>1085</v>
      </c>
      <c r="C2827" s="126" t="s">
        <v>610</v>
      </c>
      <c r="D2827">
        <v>1927</v>
      </c>
      <c r="E2827" s="126" t="s">
        <v>3292</v>
      </c>
      <c r="F2827" s="125" t="s">
        <v>1607</v>
      </c>
      <c r="G2827" s="125" t="s">
        <v>134</v>
      </c>
      <c r="H2827">
        <v>57</v>
      </c>
      <c r="I2827" s="125" t="s">
        <v>1546</v>
      </c>
      <c r="J2827" s="308" t="s">
        <v>214</v>
      </c>
      <c r="K2827" s="127" t="s">
        <v>3806</v>
      </c>
      <c r="L2827" s="153" t="s">
        <v>1579</v>
      </c>
      <c r="M2827">
        <v>79</v>
      </c>
      <c r="N2827" s="123">
        <v>17</v>
      </c>
      <c r="O2827">
        <v>1899</v>
      </c>
      <c r="P2827" s="132" t="s">
        <v>77</v>
      </c>
      <c r="Q2827" s="132">
        <v>16.38</v>
      </c>
      <c r="R2827" s="132">
        <v>2.62</v>
      </c>
      <c r="S2827" s="132"/>
      <c r="T2827" s="156"/>
      <c r="U2827" s="132"/>
      <c r="V2827" s="132">
        <f>+Table1[[#This Row],[SUBTOTAL]]+Table1[[#This Row],[IVA]]-Table1[[#This Row],[RET IVA]]-Table1[[#This Row],[RET ISR]]</f>
        <v>19</v>
      </c>
      <c r="W2827">
        <v>101</v>
      </c>
      <c r="X2827" s="153" t="s">
        <v>1644</v>
      </c>
      <c r="Y2827" s="124" t="s">
        <v>55</v>
      </c>
      <c r="Z2827" s="308">
        <v>226</v>
      </c>
      <c r="AB2827" t="str">
        <f>IF(Table1[[#This Row],[TIPO2]]="costo", VLOOKUP(Table1[[#This Row],[PARTIDA PRESUPUESTAL]],'Cost Report'!G:G,1,0),"Balance")</f>
        <v>2485-003</v>
      </c>
      <c r="AC2827" s="118"/>
      <c r="AD2827" s="159">
        <f>+Table1[[#This Row],[SUBTOTAL]]+Table1[[#This Row],[IVA]]-Table1[[#This Row],[RET IVA]]-Table1[[#This Row],[RET ISR]]-Table1[[#This Row],[TOTAL]]</f>
        <v>0</v>
      </c>
      <c r="AE2827" s="152"/>
      <c r="AF2827" s="153"/>
      <c r="AG2827" s="126" t="s">
        <v>3420</v>
      </c>
      <c r="AK2827" s="306" t="str">
        <f>IF(ISNUMBER(Table1[[#This Row],[FECHA DE RECIBIDO]]), Table1[[#This Row],[FECHA DE RECIBIDO]]-DATE(2023,8,30), "")</f>
        <v/>
      </c>
    </row>
    <row r="2828" spans="1:37" ht="16.05" customHeight="1">
      <c r="A2828" s="150" t="s">
        <v>3815</v>
      </c>
      <c r="B2828" s="151">
        <v>1085</v>
      </c>
      <c r="C2828" s="126" t="s">
        <v>2455</v>
      </c>
      <c r="D2828">
        <v>689</v>
      </c>
      <c r="E2828" s="126"/>
      <c r="F2828" s="122"/>
      <c r="G2828" s="122"/>
      <c r="H2828"/>
      <c r="I2828" s="122"/>
      <c r="J2828" s="307" t="s">
        <v>214</v>
      </c>
      <c r="K2828" s="127" t="s">
        <v>3806</v>
      </c>
      <c r="L2828" s="151" t="s">
        <v>1579</v>
      </c>
      <c r="M2828">
        <v>779</v>
      </c>
      <c r="N2828" s="123">
        <v>17</v>
      </c>
      <c r="O2828">
        <v>1620</v>
      </c>
      <c r="P2828" s="132" t="s">
        <v>77</v>
      </c>
      <c r="Q2828" s="131">
        <v>34.799999999999997</v>
      </c>
      <c r="R2828" s="131"/>
      <c r="S2828" s="131"/>
      <c r="T2828" s="155"/>
      <c r="U2828" s="131"/>
      <c r="V2828" s="131">
        <f>+Table1[[#This Row],[SUBTOTAL]]+Table1[[#This Row],[IVA]]-Table1[[#This Row],[RET IVA]]-Table1[[#This Row],[RET ISR]]</f>
        <v>34.799999999999997</v>
      </c>
      <c r="W2828">
        <v>101</v>
      </c>
      <c r="X2828" s="151" t="s">
        <v>1644</v>
      </c>
      <c r="Y2828" s="135" t="s">
        <v>55</v>
      </c>
      <c r="Z2828" s="307">
        <v>223</v>
      </c>
      <c r="AB2828" t="str">
        <f>IF(Table1[[#This Row],[TIPO2]]="costo", VLOOKUP(Table1[[#This Row],[PARTIDA PRESUPUESTAL]],'Cost Report'!G:G,1,0),"Balance")</f>
        <v>2285-003</v>
      </c>
      <c r="AC2828" s="118"/>
      <c r="AD2828" s="159">
        <f>+Table1[[#This Row],[SUBTOTAL]]+Table1[[#This Row],[IVA]]-Table1[[#This Row],[RET IVA]]-Table1[[#This Row],[RET ISR]]-Table1[[#This Row],[TOTAL]]</f>
        <v>0</v>
      </c>
      <c r="AE2828" s="150"/>
      <c r="AF2828" s="151"/>
      <c r="AG2828" s="126" t="s">
        <v>3420</v>
      </c>
      <c r="AK2828" s="306" t="str">
        <f>IF(ISNUMBER(Table1[[#This Row],[FECHA DE RECIBIDO]]), Table1[[#This Row],[FECHA DE RECIBIDO]]-DATE(2023,8,30), "")</f>
        <v/>
      </c>
    </row>
    <row r="2829" spans="1:37" ht="16.05" customHeight="1">
      <c r="A2829" s="152" t="s">
        <v>4094</v>
      </c>
      <c r="B2829" s="153">
        <v>1086</v>
      </c>
      <c r="C2829" s="126" t="s">
        <v>2480</v>
      </c>
      <c r="D2829">
        <v>1928</v>
      </c>
      <c r="E2829" s="126" t="s">
        <v>3671</v>
      </c>
      <c r="F2829" s="125" t="s">
        <v>1593</v>
      </c>
      <c r="G2829" s="125" t="s">
        <v>109</v>
      </c>
      <c r="H2829">
        <v>420</v>
      </c>
      <c r="I2829" s="125" t="s">
        <v>1546</v>
      </c>
      <c r="J2829" s="308" t="s">
        <v>214</v>
      </c>
      <c r="K2829" s="127" t="s">
        <v>3806</v>
      </c>
      <c r="L2829" s="153" t="s">
        <v>1579</v>
      </c>
      <c r="M2829">
        <v>557</v>
      </c>
      <c r="N2829" s="123">
        <v>17</v>
      </c>
      <c r="O2829">
        <v>1900</v>
      </c>
      <c r="P2829" s="132" t="s">
        <v>77</v>
      </c>
      <c r="Q2829" s="132">
        <v>1173</v>
      </c>
      <c r="R2829" s="132">
        <v>187.68</v>
      </c>
      <c r="S2829" s="132"/>
      <c r="T2829" s="156"/>
      <c r="U2829" s="132">
        <v>14.66</v>
      </c>
      <c r="V2829" s="132">
        <f>+Table1[[#This Row],[SUBTOTAL]]+Table1[[#This Row],[IVA]]-Table1[[#This Row],[RET IVA]]-Table1[[#This Row],[RET ISR]]</f>
        <v>1346.02</v>
      </c>
      <c r="W2829">
        <v>166</v>
      </c>
      <c r="X2829" s="153" t="s">
        <v>1644</v>
      </c>
      <c r="Y2829" s="124" t="s">
        <v>55</v>
      </c>
      <c r="Z2829" s="308">
        <v>217</v>
      </c>
      <c r="AB2829" t="str">
        <f>IF(Table1[[#This Row],[TIPO2]]="costo", VLOOKUP(Table1[[#This Row],[PARTIDA PRESUPUESTAL]],'Cost Report'!G:G,1,0),"Balance")</f>
        <v>2394-033</v>
      </c>
      <c r="AC2829" s="118"/>
      <c r="AD2829" s="159">
        <f>+Table1[[#This Row],[SUBTOTAL]]+Table1[[#This Row],[IVA]]-Table1[[#This Row],[RET IVA]]-Table1[[#This Row],[RET ISR]]-Table1[[#This Row],[TOTAL]]</f>
        <v>0</v>
      </c>
      <c r="AE2829" s="152"/>
      <c r="AF2829" s="153"/>
      <c r="AG2829" s="126" t="s">
        <v>3420</v>
      </c>
      <c r="AK2829" s="306" t="str">
        <f>IF(ISNUMBER(Table1[[#This Row],[FECHA DE RECIBIDO]]), Table1[[#This Row],[FECHA DE RECIBIDO]]-DATE(2023,8,30), "")</f>
        <v/>
      </c>
    </row>
    <row r="2830" spans="1:37" ht="16.05" customHeight="1">
      <c r="A2830" s="150" t="s">
        <v>4094</v>
      </c>
      <c r="B2830" s="151">
        <v>1086</v>
      </c>
      <c r="C2830" s="126" t="s">
        <v>2480</v>
      </c>
      <c r="D2830">
        <v>1929</v>
      </c>
      <c r="E2830" s="126" t="s">
        <v>3671</v>
      </c>
      <c r="F2830" s="122" t="s">
        <v>1593</v>
      </c>
      <c r="G2830" s="122" t="s">
        <v>109</v>
      </c>
      <c r="H2830">
        <v>420</v>
      </c>
      <c r="I2830" s="122" t="s">
        <v>1546</v>
      </c>
      <c r="J2830" s="307" t="s">
        <v>214</v>
      </c>
      <c r="K2830" s="127" t="s">
        <v>3806</v>
      </c>
      <c r="L2830" s="151" t="s">
        <v>1579</v>
      </c>
      <c r="M2830">
        <v>557</v>
      </c>
      <c r="N2830" s="123">
        <v>17</v>
      </c>
      <c r="O2830">
        <v>1901</v>
      </c>
      <c r="P2830" s="132" t="s">
        <v>77</v>
      </c>
      <c r="Q2830" s="131">
        <v>1112</v>
      </c>
      <c r="R2830" s="131">
        <v>177.92</v>
      </c>
      <c r="S2830" s="131"/>
      <c r="T2830" s="155"/>
      <c r="U2830" s="131">
        <v>13.9</v>
      </c>
      <c r="V2830" s="131">
        <f>+Table1[[#This Row],[SUBTOTAL]]+Table1[[#This Row],[IVA]]-Table1[[#This Row],[RET IVA]]-Table1[[#This Row],[RET ISR]]</f>
        <v>1276.02</v>
      </c>
      <c r="W2830">
        <v>166</v>
      </c>
      <c r="X2830" s="151" t="s">
        <v>1644</v>
      </c>
      <c r="Y2830" s="135" t="s">
        <v>55</v>
      </c>
      <c r="Z2830" s="307">
        <v>217</v>
      </c>
      <c r="AB2830" t="str">
        <f>IF(Table1[[#This Row],[TIPO2]]="costo", VLOOKUP(Table1[[#This Row],[PARTIDA PRESUPUESTAL]],'Cost Report'!G:G,1,0),"Balance")</f>
        <v>2394-033</v>
      </c>
      <c r="AC2830" s="118"/>
      <c r="AD2830" s="159">
        <f>+Table1[[#This Row],[SUBTOTAL]]+Table1[[#This Row],[IVA]]-Table1[[#This Row],[RET IVA]]-Table1[[#This Row],[RET ISR]]-Table1[[#This Row],[TOTAL]]</f>
        <v>0</v>
      </c>
      <c r="AE2830" s="150"/>
      <c r="AF2830" s="151"/>
      <c r="AG2830" s="126" t="s">
        <v>3420</v>
      </c>
      <c r="AK2830" s="306" t="str">
        <f>IF(ISNUMBER(Table1[[#This Row],[FECHA DE RECIBIDO]]), Table1[[#This Row],[FECHA DE RECIBIDO]]-DATE(2023,8,30), "")</f>
        <v/>
      </c>
    </row>
    <row r="2831" spans="1:37" ht="16.05" customHeight="1">
      <c r="A2831" s="152" t="s">
        <v>4094</v>
      </c>
      <c r="B2831" s="153">
        <v>1086</v>
      </c>
      <c r="C2831" s="126" t="s">
        <v>2480</v>
      </c>
      <c r="D2831">
        <v>1930</v>
      </c>
      <c r="E2831" s="126" t="s">
        <v>3671</v>
      </c>
      <c r="F2831" s="125" t="s">
        <v>1593</v>
      </c>
      <c r="G2831" s="125" t="s">
        <v>109</v>
      </c>
      <c r="H2831">
        <v>420</v>
      </c>
      <c r="I2831" s="125" t="s">
        <v>1546</v>
      </c>
      <c r="J2831" s="308" t="s">
        <v>214</v>
      </c>
      <c r="K2831" s="127" t="s">
        <v>3806</v>
      </c>
      <c r="L2831" s="153" t="s">
        <v>1579</v>
      </c>
      <c r="M2831">
        <v>557</v>
      </c>
      <c r="N2831" s="123">
        <v>17</v>
      </c>
      <c r="O2831">
        <v>1902</v>
      </c>
      <c r="P2831" s="132" t="s">
        <v>77</v>
      </c>
      <c r="Q2831" s="132">
        <v>1112</v>
      </c>
      <c r="R2831" s="132">
        <v>177.92</v>
      </c>
      <c r="S2831" s="132"/>
      <c r="T2831" s="156"/>
      <c r="U2831" s="132">
        <v>13.9</v>
      </c>
      <c r="V2831" s="132">
        <f>+Table1[[#This Row],[SUBTOTAL]]+Table1[[#This Row],[IVA]]-Table1[[#This Row],[RET IVA]]-Table1[[#This Row],[RET ISR]]</f>
        <v>1276.02</v>
      </c>
      <c r="W2831">
        <v>166</v>
      </c>
      <c r="X2831" s="153" t="s">
        <v>1644</v>
      </c>
      <c r="Y2831" s="124" t="s">
        <v>55</v>
      </c>
      <c r="Z2831" s="308">
        <v>217</v>
      </c>
      <c r="AB2831" t="str">
        <f>IF(Table1[[#This Row],[TIPO2]]="costo", VLOOKUP(Table1[[#This Row],[PARTIDA PRESUPUESTAL]],'Cost Report'!G:G,1,0),"Balance")</f>
        <v>2394-033</v>
      </c>
      <c r="AC2831" s="118"/>
      <c r="AD2831" s="159">
        <f>+Table1[[#This Row],[SUBTOTAL]]+Table1[[#This Row],[IVA]]-Table1[[#This Row],[RET IVA]]-Table1[[#This Row],[RET ISR]]-Table1[[#This Row],[TOTAL]]</f>
        <v>0</v>
      </c>
      <c r="AE2831" s="152"/>
      <c r="AF2831" s="153"/>
      <c r="AG2831" s="126" t="s">
        <v>3420</v>
      </c>
      <c r="AK2831" s="306" t="str">
        <f>IF(ISNUMBER(Table1[[#This Row],[FECHA DE RECIBIDO]]), Table1[[#This Row],[FECHA DE RECIBIDO]]-DATE(2023,8,30), "")</f>
        <v/>
      </c>
    </row>
    <row r="2832" spans="1:37" ht="16.05" customHeight="1">
      <c r="A2832" s="150" t="s">
        <v>4094</v>
      </c>
      <c r="B2832" s="151">
        <v>1086</v>
      </c>
      <c r="C2832" s="126" t="s">
        <v>1505</v>
      </c>
      <c r="D2832">
        <v>1931</v>
      </c>
      <c r="E2832" s="126" t="s">
        <v>4095</v>
      </c>
      <c r="F2832" s="122" t="s">
        <v>1607</v>
      </c>
      <c r="G2832" s="122" t="s">
        <v>134</v>
      </c>
      <c r="H2832">
        <v>554</v>
      </c>
      <c r="I2832" s="122" t="s">
        <v>1546</v>
      </c>
      <c r="J2832" s="307" t="s">
        <v>214</v>
      </c>
      <c r="K2832" s="127" t="s">
        <v>3806</v>
      </c>
      <c r="L2832" s="151" t="s">
        <v>1579</v>
      </c>
      <c r="M2832">
        <v>780</v>
      </c>
      <c r="N2832" s="123">
        <v>17</v>
      </c>
      <c r="O2832">
        <v>1903</v>
      </c>
      <c r="P2832" s="132" t="s">
        <v>77</v>
      </c>
      <c r="Q2832" s="131">
        <v>7034.49</v>
      </c>
      <c r="R2832" s="131">
        <v>1125.51</v>
      </c>
      <c r="S2832" s="131"/>
      <c r="T2832" s="155"/>
      <c r="U2832" s="131"/>
      <c r="V2832" s="131">
        <f>+Table1[[#This Row],[SUBTOTAL]]+Table1[[#This Row],[IVA]]-Table1[[#This Row],[RET IVA]]-Table1[[#This Row],[RET ISR]]</f>
        <v>8160</v>
      </c>
      <c r="W2832">
        <v>166</v>
      </c>
      <c r="X2832" s="151" t="s">
        <v>1644</v>
      </c>
      <c r="Y2832" s="135" t="s">
        <v>55</v>
      </c>
      <c r="Z2832" s="307">
        <v>223</v>
      </c>
      <c r="AB2832" t="str">
        <f>IF(Table1[[#This Row],[TIPO2]]="costo", VLOOKUP(Table1[[#This Row],[PARTIDA PRESUPUESTAL]],'Cost Report'!G:G,1,0),"Balance")</f>
        <v>2494-003</v>
      </c>
      <c r="AC2832" s="118"/>
      <c r="AD2832" s="159">
        <f>+Table1[[#This Row],[SUBTOTAL]]+Table1[[#This Row],[IVA]]-Table1[[#This Row],[RET IVA]]-Table1[[#This Row],[RET ISR]]-Table1[[#This Row],[TOTAL]]</f>
        <v>0</v>
      </c>
      <c r="AE2832" s="150"/>
      <c r="AF2832" s="151"/>
      <c r="AG2832" s="126" t="s">
        <v>3420</v>
      </c>
      <c r="AK2832" s="306" t="str">
        <f>IF(ISNUMBER(Table1[[#This Row],[FECHA DE RECIBIDO]]), Table1[[#This Row],[FECHA DE RECIBIDO]]-DATE(2023,8,30), "")</f>
        <v/>
      </c>
    </row>
    <row r="2833" spans="1:37" ht="16.05" customHeight="1">
      <c r="A2833" s="152" t="s">
        <v>4094</v>
      </c>
      <c r="B2833" s="153">
        <v>1086</v>
      </c>
      <c r="C2833" s="126" t="s">
        <v>2546</v>
      </c>
      <c r="D2833">
        <v>1932</v>
      </c>
      <c r="E2833" s="126" t="s">
        <v>1615</v>
      </c>
      <c r="F2833" s="125" t="s">
        <v>1607</v>
      </c>
      <c r="G2833" s="125" t="s">
        <v>134</v>
      </c>
      <c r="H2833">
        <v>274</v>
      </c>
      <c r="I2833" s="125" t="s">
        <v>1546</v>
      </c>
      <c r="J2833" s="308" t="s">
        <v>214</v>
      </c>
      <c r="K2833" s="127" t="s">
        <v>3806</v>
      </c>
      <c r="L2833" s="153" t="s">
        <v>1579</v>
      </c>
      <c r="M2833">
        <v>365</v>
      </c>
      <c r="N2833" s="123">
        <v>17</v>
      </c>
      <c r="O2833">
        <v>1904</v>
      </c>
      <c r="P2833" s="132" t="s">
        <v>77</v>
      </c>
      <c r="Q2833" s="132">
        <v>1146.55</v>
      </c>
      <c r="R2833" s="132">
        <v>183.45</v>
      </c>
      <c r="S2833" s="132"/>
      <c r="T2833" s="156"/>
      <c r="U2833" s="132"/>
      <c r="V2833" s="132">
        <f>+Table1[[#This Row],[SUBTOTAL]]+Table1[[#This Row],[IVA]]-Table1[[#This Row],[RET IVA]]-Table1[[#This Row],[RET ISR]]</f>
        <v>1330</v>
      </c>
      <c r="W2833">
        <v>166</v>
      </c>
      <c r="X2833" s="153" t="s">
        <v>1644</v>
      </c>
      <c r="Y2833" s="124" t="s">
        <v>55</v>
      </c>
      <c r="Z2833" s="308">
        <v>224</v>
      </c>
      <c r="AB2833" t="str">
        <f>IF(Table1[[#This Row],[TIPO2]]="costo", VLOOKUP(Table1[[#This Row],[PARTIDA PRESUPUESTAL]],'Cost Report'!G:G,1,0),"Balance")</f>
        <v>2494-071</v>
      </c>
      <c r="AC2833" s="118"/>
      <c r="AD2833" s="159">
        <f>+Table1[[#This Row],[SUBTOTAL]]+Table1[[#This Row],[IVA]]-Table1[[#This Row],[RET IVA]]-Table1[[#This Row],[RET ISR]]-Table1[[#This Row],[TOTAL]]</f>
        <v>0</v>
      </c>
      <c r="AE2833" s="152"/>
      <c r="AF2833" s="153"/>
      <c r="AG2833" s="126" t="s">
        <v>3420</v>
      </c>
      <c r="AK2833" s="306" t="str">
        <f>IF(ISNUMBER(Table1[[#This Row],[FECHA DE RECIBIDO]]), Table1[[#This Row],[FECHA DE RECIBIDO]]-DATE(2023,8,30), "")</f>
        <v/>
      </c>
    </row>
    <row r="2834" spans="1:37" ht="16.05" customHeight="1">
      <c r="A2834" s="150" t="s">
        <v>4094</v>
      </c>
      <c r="B2834" s="151">
        <v>1086</v>
      </c>
      <c r="C2834" s="126" t="s">
        <v>1513</v>
      </c>
      <c r="D2834">
        <v>1933</v>
      </c>
      <c r="E2834" s="126" t="s">
        <v>3279</v>
      </c>
      <c r="F2834" s="122" t="s">
        <v>1593</v>
      </c>
      <c r="G2834" s="122" t="s">
        <v>109</v>
      </c>
      <c r="H2834">
        <v>555</v>
      </c>
      <c r="I2834" s="122" t="s">
        <v>1546</v>
      </c>
      <c r="J2834" s="307" t="s">
        <v>214</v>
      </c>
      <c r="K2834" s="127" t="s">
        <v>3806</v>
      </c>
      <c r="L2834" s="151" t="s">
        <v>1579</v>
      </c>
      <c r="M2834">
        <v>781</v>
      </c>
      <c r="N2834" s="123">
        <v>17</v>
      </c>
      <c r="O2834">
        <v>1905</v>
      </c>
      <c r="P2834" s="132" t="s">
        <v>77</v>
      </c>
      <c r="Q2834" s="131">
        <v>620.69000000000005</v>
      </c>
      <c r="R2834" s="131">
        <v>99.31</v>
      </c>
      <c r="S2834" s="131"/>
      <c r="T2834" s="155"/>
      <c r="U2834" s="131"/>
      <c r="V2834" s="131">
        <f>+Table1[[#This Row],[SUBTOTAL]]+Table1[[#This Row],[IVA]]-Table1[[#This Row],[RET IVA]]-Table1[[#This Row],[RET ISR]]</f>
        <v>720</v>
      </c>
      <c r="W2834">
        <v>166</v>
      </c>
      <c r="X2834" s="151" t="s">
        <v>1644</v>
      </c>
      <c r="Y2834" s="135" t="s">
        <v>55</v>
      </c>
      <c r="Z2834" s="307">
        <v>217</v>
      </c>
      <c r="AB2834" t="str">
        <f>IF(Table1[[#This Row],[TIPO2]]="costo", VLOOKUP(Table1[[#This Row],[PARTIDA PRESUPUESTAL]],'Cost Report'!G:G,1,0),"Balance")</f>
        <v>2494-019</v>
      </c>
      <c r="AC2834" s="118"/>
      <c r="AD2834" s="159">
        <f>+Table1[[#This Row],[SUBTOTAL]]+Table1[[#This Row],[IVA]]-Table1[[#This Row],[RET IVA]]-Table1[[#This Row],[RET ISR]]-Table1[[#This Row],[TOTAL]]</f>
        <v>0</v>
      </c>
      <c r="AE2834" s="150"/>
      <c r="AF2834" s="151"/>
      <c r="AG2834" s="126" t="s">
        <v>3420</v>
      </c>
      <c r="AK2834" s="306" t="str">
        <f>IF(ISNUMBER(Table1[[#This Row],[FECHA DE RECIBIDO]]), Table1[[#This Row],[FECHA DE RECIBIDO]]-DATE(2023,8,30), "")</f>
        <v/>
      </c>
    </row>
    <row r="2835" spans="1:37" ht="16.05" customHeight="1">
      <c r="A2835" s="152" t="s">
        <v>4094</v>
      </c>
      <c r="B2835" s="153">
        <v>1086</v>
      </c>
      <c r="C2835" s="126" t="s">
        <v>2461</v>
      </c>
      <c r="D2835">
        <v>1934</v>
      </c>
      <c r="E2835" s="126" t="s">
        <v>3356</v>
      </c>
      <c r="F2835" s="125" t="s">
        <v>1607</v>
      </c>
      <c r="G2835" s="125" t="s">
        <v>134</v>
      </c>
      <c r="H2835">
        <v>91</v>
      </c>
      <c r="I2835" s="125" t="s">
        <v>1546</v>
      </c>
      <c r="J2835" s="308" t="s">
        <v>214</v>
      </c>
      <c r="K2835" s="127" t="s">
        <v>3806</v>
      </c>
      <c r="L2835" s="153" t="s">
        <v>1579</v>
      </c>
      <c r="M2835">
        <v>122</v>
      </c>
      <c r="N2835" s="123">
        <v>17</v>
      </c>
      <c r="O2835">
        <v>1906</v>
      </c>
      <c r="P2835" s="132" t="s">
        <v>77</v>
      </c>
      <c r="Q2835" s="132">
        <v>29.74</v>
      </c>
      <c r="R2835" s="132">
        <v>4.76</v>
      </c>
      <c r="S2835" s="132"/>
      <c r="T2835" s="156"/>
      <c r="U2835" s="132"/>
      <c r="V2835" s="132">
        <f>+Table1[[#This Row],[SUBTOTAL]]+Table1[[#This Row],[IVA]]-Table1[[#This Row],[RET IVA]]-Table1[[#This Row],[RET ISR]]</f>
        <v>34.5</v>
      </c>
      <c r="W2835">
        <v>166</v>
      </c>
      <c r="X2835" s="153" t="s">
        <v>1644</v>
      </c>
      <c r="Y2835" s="124" t="s">
        <v>55</v>
      </c>
      <c r="Z2835" s="308">
        <v>224</v>
      </c>
      <c r="AB2835" t="str">
        <f>IF(Table1[[#This Row],[TIPO2]]="costo", VLOOKUP(Table1[[#This Row],[PARTIDA PRESUPUESTAL]],'Cost Report'!G:G,1,0),"Balance")</f>
        <v>2385-003</v>
      </c>
      <c r="AC2835" s="118"/>
      <c r="AD2835" s="159">
        <f>+Table1[[#This Row],[SUBTOTAL]]+Table1[[#This Row],[IVA]]-Table1[[#This Row],[RET IVA]]-Table1[[#This Row],[RET ISR]]-Table1[[#This Row],[TOTAL]]</f>
        <v>0</v>
      </c>
      <c r="AE2835" s="152"/>
      <c r="AF2835" s="153"/>
      <c r="AG2835" s="126" t="s">
        <v>3420</v>
      </c>
      <c r="AK2835" s="306" t="str">
        <f>IF(ISNUMBER(Table1[[#This Row],[FECHA DE RECIBIDO]]), Table1[[#This Row],[FECHA DE RECIBIDO]]-DATE(2023,8,30), "")</f>
        <v/>
      </c>
    </row>
    <row r="2836" spans="1:37" ht="16.05" customHeight="1">
      <c r="A2836" s="150" t="s">
        <v>4094</v>
      </c>
      <c r="B2836" s="151">
        <v>1086</v>
      </c>
      <c r="C2836" s="126" t="s">
        <v>2544</v>
      </c>
      <c r="D2836">
        <v>1935</v>
      </c>
      <c r="E2836" s="126" t="s">
        <v>2107</v>
      </c>
      <c r="F2836" s="122" t="s">
        <v>1593</v>
      </c>
      <c r="G2836" s="122" t="s">
        <v>109</v>
      </c>
      <c r="H2836">
        <v>556</v>
      </c>
      <c r="I2836" s="122" t="s">
        <v>1546</v>
      </c>
      <c r="J2836" s="307" t="s">
        <v>214</v>
      </c>
      <c r="K2836" s="127" t="s">
        <v>3806</v>
      </c>
      <c r="L2836" s="151" t="s">
        <v>1579</v>
      </c>
      <c r="M2836">
        <v>782</v>
      </c>
      <c r="N2836" s="123">
        <v>17</v>
      </c>
      <c r="O2836">
        <v>1907</v>
      </c>
      <c r="P2836" s="132" t="s">
        <v>77</v>
      </c>
      <c r="Q2836" s="131">
        <v>1160</v>
      </c>
      <c r="R2836" s="131">
        <v>185.6</v>
      </c>
      <c r="S2836" s="131"/>
      <c r="T2836" s="155"/>
      <c r="U2836" s="131">
        <v>14.5</v>
      </c>
      <c r="V2836" s="131">
        <f>+Table1[[#This Row],[SUBTOTAL]]+Table1[[#This Row],[IVA]]-Table1[[#This Row],[RET IVA]]-Table1[[#This Row],[RET ISR]]</f>
        <v>1331.1</v>
      </c>
      <c r="W2836">
        <v>166</v>
      </c>
      <c r="X2836" s="151" t="s">
        <v>1644</v>
      </c>
      <c r="Y2836" s="135" t="s">
        <v>55</v>
      </c>
      <c r="Z2836" s="307">
        <v>219</v>
      </c>
      <c r="AB2836" t="str">
        <f>IF(Table1[[#This Row],[TIPO2]]="costo", VLOOKUP(Table1[[#This Row],[PARTIDA PRESUPUESTAL]],'Cost Report'!G:G,1,0),"Balance")</f>
        <v>2494-067</v>
      </c>
      <c r="AC2836" s="118"/>
      <c r="AD2836" s="159">
        <f>+Table1[[#This Row],[SUBTOTAL]]+Table1[[#This Row],[IVA]]-Table1[[#This Row],[RET IVA]]-Table1[[#This Row],[RET ISR]]-Table1[[#This Row],[TOTAL]]</f>
        <v>0</v>
      </c>
      <c r="AE2836" s="150"/>
      <c r="AF2836" s="151"/>
      <c r="AG2836" s="126" t="s">
        <v>3420</v>
      </c>
      <c r="AK2836" s="306" t="str">
        <f>IF(ISNUMBER(Table1[[#This Row],[FECHA DE RECIBIDO]]), Table1[[#This Row],[FECHA DE RECIBIDO]]-DATE(2023,8,30), "")</f>
        <v/>
      </c>
    </row>
    <row r="2837" spans="1:37" ht="16.05" customHeight="1">
      <c r="A2837" s="152" t="s">
        <v>4094</v>
      </c>
      <c r="B2837" s="153">
        <v>1086</v>
      </c>
      <c r="C2837" s="126" t="s">
        <v>2544</v>
      </c>
      <c r="D2837">
        <v>1936</v>
      </c>
      <c r="E2837" s="126" t="s">
        <v>2107</v>
      </c>
      <c r="F2837" s="125" t="s">
        <v>1593</v>
      </c>
      <c r="G2837" s="125" t="s">
        <v>109</v>
      </c>
      <c r="H2837">
        <v>556</v>
      </c>
      <c r="I2837" s="125" t="s">
        <v>1546</v>
      </c>
      <c r="J2837" s="308" t="s">
        <v>214</v>
      </c>
      <c r="K2837" s="127" t="s">
        <v>3806</v>
      </c>
      <c r="L2837" s="153" t="s">
        <v>1579</v>
      </c>
      <c r="M2837">
        <v>782</v>
      </c>
      <c r="N2837" s="123">
        <v>17</v>
      </c>
      <c r="O2837">
        <v>1908</v>
      </c>
      <c r="P2837" s="132" t="s">
        <v>77</v>
      </c>
      <c r="Q2837" s="132">
        <v>900</v>
      </c>
      <c r="R2837" s="132">
        <v>144</v>
      </c>
      <c r="S2837" s="132"/>
      <c r="T2837" s="156"/>
      <c r="U2837" s="132">
        <v>14.5</v>
      </c>
      <c r="V2837" s="132">
        <f>+Table1[[#This Row],[SUBTOTAL]]+Table1[[#This Row],[IVA]]-Table1[[#This Row],[RET IVA]]-Table1[[#This Row],[RET ISR]]</f>
        <v>1029.5</v>
      </c>
      <c r="W2837">
        <v>166</v>
      </c>
      <c r="X2837" s="153" t="s">
        <v>1644</v>
      </c>
      <c r="Y2837" s="124" t="s">
        <v>55</v>
      </c>
      <c r="Z2837" s="308">
        <v>219</v>
      </c>
      <c r="AB2837" t="str">
        <f>IF(Table1[[#This Row],[TIPO2]]="costo", VLOOKUP(Table1[[#This Row],[PARTIDA PRESUPUESTAL]],'Cost Report'!G:G,1,0),"Balance")</f>
        <v>2494-067</v>
      </c>
      <c r="AC2837" s="118"/>
      <c r="AD2837" s="159">
        <f>+Table1[[#This Row],[SUBTOTAL]]+Table1[[#This Row],[IVA]]-Table1[[#This Row],[RET IVA]]-Table1[[#This Row],[RET ISR]]-Table1[[#This Row],[TOTAL]]</f>
        <v>0</v>
      </c>
      <c r="AE2837" s="152"/>
      <c r="AF2837" s="153"/>
      <c r="AG2837" s="126" t="s">
        <v>3420</v>
      </c>
      <c r="AK2837" s="306" t="str">
        <f>IF(ISNUMBER(Table1[[#This Row],[FECHA DE RECIBIDO]]), Table1[[#This Row],[FECHA DE RECIBIDO]]-DATE(2023,8,30), "")</f>
        <v/>
      </c>
    </row>
    <row r="2838" spans="1:37" ht="16.05" customHeight="1">
      <c r="A2838" s="150" t="s">
        <v>4094</v>
      </c>
      <c r="B2838" s="151">
        <v>1086</v>
      </c>
      <c r="C2838" s="126" t="s">
        <v>1732</v>
      </c>
      <c r="D2838">
        <v>1937</v>
      </c>
      <c r="E2838" s="126" t="s">
        <v>1603</v>
      </c>
      <c r="F2838" s="122" t="s">
        <v>1607</v>
      </c>
      <c r="G2838" s="122" t="s">
        <v>134</v>
      </c>
      <c r="H2838">
        <v>99</v>
      </c>
      <c r="I2838" s="122" t="s">
        <v>1546</v>
      </c>
      <c r="J2838" s="307" t="s">
        <v>214</v>
      </c>
      <c r="K2838" s="127" t="s">
        <v>3806</v>
      </c>
      <c r="L2838" s="151" t="s">
        <v>1579</v>
      </c>
      <c r="M2838">
        <v>134</v>
      </c>
      <c r="N2838" s="123">
        <v>17</v>
      </c>
      <c r="O2838">
        <v>1909</v>
      </c>
      <c r="P2838" s="132" t="s">
        <v>77</v>
      </c>
      <c r="Q2838" s="131">
        <v>1550</v>
      </c>
      <c r="R2838" s="131">
        <v>248</v>
      </c>
      <c r="S2838" s="131"/>
      <c r="T2838" s="155"/>
      <c r="U2838" s="131"/>
      <c r="V2838" s="131">
        <f>+Table1[[#This Row],[SUBTOTAL]]+Table1[[#This Row],[IVA]]-Table1[[#This Row],[RET IVA]]-Table1[[#This Row],[RET ISR]]</f>
        <v>1798</v>
      </c>
      <c r="W2838">
        <v>166</v>
      </c>
      <c r="X2838" s="151" t="s">
        <v>1644</v>
      </c>
      <c r="Y2838" s="135" t="s">
        <v>55</v>
      </c>
      <c r="Z2838" s="307">
        <v>218</v>
      </c>
      <c r="AB2838" t="str">
        <f>IF(Table1[[#This Row],[TIPO2]]="costo", VLOOKUP(Table1[[#This Row],[PARTIDA PRESUPUESTAL]],'Cost Report'!G:G,1,0),"Balance")</f>
        <v>2494-035</v>
      </c>
      <c r="AC2838" s="118"/>
      <c r="AD2838" s="159">
        <f>+Table1[[#This Row],[SUBTOTAL]]+Table1[[#This Row],[IVA]]-Table1[[#This Row],[RET IVA]]-Table1[[#This Row],[RET ISR]]-Table1[[#This Row],[TOTAL]]</f>
        <v>0</v>
      </c>
      <c r="AE2838" s="150"/>
      <c r="AF2838" s="151"/>
      <c r="AG2838" s="126" t="s">
        <v>3420</v>
      </c>
      <c r="AK2838" s="306" t="str">
        <f>IF(ISNUMBER(Table1[[#This Row],[FECHA DE RECIBIDO]]), Table1[[#This Row],[FECHA DE RECIBIDO]]-DATE(2023,8,30), "")</f>
        <v/>
      </c>
    </row>
    <row r="2839" spans="1:37" ht="16.05" customHeight="1">
      <c r="A2839" s="152" t="s">
        <v>4094</v>
      </c>
      <c r="B2839" s="153">
        <v>1086</v>
      </c>
      <c r="C2839" s="126" t="s">
        <v>1513</v>
      </c>
      <c r="D2839">
        <v>1938</v>
      </c>
      <c r="E2839" s="126" t="s">
        <v>1603</v>
      </c>
      <c r="F2839" s="125" t="s">
        <v>1607</v>
      </c>
      <c r="G2839" s="125" t="s">
        <v>134</v>
      </c>
      <c r="H2839">
        <v>99</v>
      </c>
      <c r="I2839" s="125" t="s">
        <v>1546</v>
      </c>
      <c r="J2839" s="308" t="s">
        <v>214</v>
      </c>
      <c r="K2839" s="127" t="s">
        <v>3806</v>
      </c>
      <c r="L2839" s="153" t="s">
        <v>1579</v>
      </c>
      <c r="M2839">
        <v>134</v>
      </c>
      <c r="N2839" s="123">
        <v>17</v>
      </c>
      <c r="O2839">
        <v>1910</v>
      </c>
      <c r="P2839" s="132" t="s">
        <v>77</v>
      </c>
      <c r="Q2839" s="132">
        <v>322.41000000000003</v>
      </c>
      <c r="R2839" s="132">
        <v>51.59</v>
      </c>
      <c r="S2839" s="132"/>
      <c r="T2839" s="156"/>
      <c r="U2839" s="132"/>
      <c r="V2839" s="132">
        <f>+Table1[[#This Row],[SUBTOTAL]]+Table1[[#This Row],[IVA]]-Table1[[#This Row],[RET IVA]]-Table1[[#This Row],[RET ISR]]</f>
        <v>374</v>
      </c>
      <c r="W2839">
        <v>166</v>
      </c>
      <c r="X2839" s="153" t="s">
        <v>1644</v>
      </c>
      <c r="Y2839" s="124" t="s">
        <v>55</v>
      </c>
      <c r="Z2839" s="308">
        <v>218</v>
      </c>
      <c r="AB2839" t="str">
        <f>IF(Table1[[#This Row],[TIPO2]]="costo", VLOOKUP(Table1[[#This Row],[PARTIDA PRESUPUESTAL]],'Cost Report'!G:G,1,0),"Balance")</f>
        <v>2494-019</v>
      </c>
      <c r="AC2839" s="118"/>
      <c r="AD2839" s="159">
        <f>+Table1[[#This Row],[SUBTOTAL]]+Table1[[#This Row],[IVA]]-Table1[[#This Row],[RET IVA]]-Table1[[#This Row],[RET ISR]]-Table1[[#This Row],[TOTAL]]</f>
        <v>0</v>
      </c>
      <c r="AE2839" s="152"/>
      <c r="AF2839" s="153"/>
      <c r="AG2839" s="126" t="s">
        <v>3420</v>
      </c>
      <c r="AK2839" s="306" t="str">
        <f>IF(ISNUMBER(Table1[[#This Row],[FECHA DE RECIBIDO]]), Table1[[#This Row],[FECHA DE RECIBIDO]]-DATE(2023,8,30), "")</f>
        <v/>
      </c>
    </row>
    <row r="2840" spans="1:37" ht="16.05" customHeight="1">
      <c r="A2840" s="150" t="s">
        <v>4094</v>
      </c>
      <c r="B2840" s="151">
        <v>1086</v>
      </c>
      <c r="C2840" s="126" t="s">
        <v>2458</v>
      </c>
      <c r="D2840">
        <v>1939</v>
      </c>
      <c r="E2840" s="126" t="s">
        <v>1603</v>
      </c>
      <c r="F2840" s="122" t="s">
        <v>1607</v>
      </c>
      <c r="G2840" s="122" t="s">
        <v>134</v>
      </c>
      <c r="H2840">
        <v>99</v>
      </c>
      <c r="I2840" s="122" t="s">
        <v>1546</v>
      </c>
      <c r="J2840" s="307" t="s">
        <v>214</v>
      </c>
      <c r="K2840" s="127" t="s">
        <v>3806</v>
      </c>
      <c r="L2840" s="151" t="s">
        <v>1579</v>
      </c>
      <c r="M2840">
        <v>134</v>
      </c>
      <c r="N2840" s="123">
        <v>17</v>
      </c>
      <c r="O2840">
        <v>1911</v>
      </c>
      <c r="P2840" s="132" t="s">
        <v>77</v>
      </c>
      <c r="Q2840" s="131">
        <v>228.45</v>
      </c>
      <c r="R2840" s="131">
        <v>36.549999999999997</v>
      </c>
      <c r="S2840" s="131"/>
      <c r="T2840" s="155"/>
      <c r="U2840" s="131"/>
      <c r="V2840" s="131">
        <f>+Table1[[#This Row],[SUBTOTAL]]+Table1[[#This Row],[IVA]]-Table1[[#This Row],[RET IVA]]-Table1[[#This Row],[RET ISR]]</f>
        <v>265</v>
      </c>
      <c r="W2840">
        <v>166</v>
      </c>
      <c r="X2840" s="151" t="s">
        <v>1644</v>
      </c>
      <c r="Y2840" s="135" t="s">
        <v>55</v>
      </c>
      <c r="Z2840" s="307">
        <v>218</v>
      </c>
      <c r="AB2840" t="str">
        <f>IF(Table1[[#This Row],[TIPO2]]="costo", VLOOKUP(Table1[[#This Row],[PARTIDA PRESUPUESTAL]],'Cost Report'!G:G,1,0),"Balance")</f>
        <v>2311-003</v>
      </c>
      <c r="AC2840" s="118"/>
      <c r="AD2840" s="159">
        <f>+Table1[[#This Row],[SUBTOTAL]]+Table1[[#This Row],[IVA]]-Table1[[#This Row],[RET IVA]]-Table1[[#This Row],[RET ISR]]-Table1[[#This Row],[TOTAL]]</f>
        <v>0</v>
      </c>
      <c r="AE2840" s="150"/>
      <c r="AF2840" s="151"/>
      <c r="AG2840" s="126" t="s">
        <v>3420</v>
      </c>
      <c r="AK2840" s="306" t="str">
        <f>IF(ISNUMBER(Table1[[#This Row],[FECHA DE RECIBIDO]]), Table1[[#This Row],[FECHA DE RECIBIDO]]-DATE(2023,8,30), "")</f>
        <v/>
      </c>
    </row>
    <row r="2841" spans="1:37" ht="16.05" customHeight="1">
      <c r="A2841" s="152" t="s">
        <v>4094</v>
      </c>
      <c r="B2841" s="153">
        <v>1086</v>
      </c>
      <c r="C2841" s="126" t="s">
        <v>2455</v>
      </c>
      <c r="D2841">
        <v>1940</v>
      </c>
      <c r="E2841" s="126" t="s">
        <v>1603</v>
      </c>
      <c r="F2841" s="125" t="s">
        <v>1607</v>
      </c>
      <c r="G2841" s="125" t="s">
        <v>134</v>
      </c>
      <c r="H2841">
        <v>99</v>
      </c>
      <c r="I2841" s="125" t="s">
        <v>1546</v>
      </c>
      <c r="J2841" s="308" t="s">
        <v>214</v>
      </c>
      <c r="K2841" s="127" t="s">
        <v>3806</v>
      </c>
      <c r="L2841" s="153" t="s">
        <v>1579</v>
      </c>
      <c r="M2841">
        <v>134</v>
      </c>
      <c r="N2841" s="123">
        <v>17</v>
      </c>
      <c r="O2841">
        <v>1912</v>
      </c>
      <c r="P2841" s="132" t="s">
        <v>77</v>
      </c>
      <c r="Q2841" s="132">
        <v>523.79999999999995</v>
      </c>
      <c r="R2841" s="132">
        <v>83.81</v>
      </c>
      <c r="S2841" s="132"/>
      <c r="T2841" s="156"/>
      <c r="U2841" s="132"/>
      <c r="V2841" s="132">
        <f>+Table1[[#This Row],[SUBTOTAL]]+Table1[[#This Row],[IVA]]-Table1[[#This Row],[RET IVA]]-Table1[[#This Row],[RET ISR]]</f>
        <v>607.6099999999999</v>
      </c>
      <c r="W2841">
        <v>166</v>
      </c>
      <c r="X2841" s="153" t="s">
        <v>1644</v>
      </c>
      <c r="Y2841" s="124" t="s">
        <v>55</v>
      </c>
      <c r="Z2841" s="308">
        <v>218</v>
      </c>
      <c r="AB2841" t="str">
        <f>IF(Table1[[#This Row],[TIPO2]]="costo", VLOOKUP(Table1[[#This Row],[PARTIDA PRESUPUESTAL]],'Cost Report'!G:G,1,0),"Balance")</f>
        <v>2285-003</v>
      </c>
      <c r="AC2841" s="118"/>
      <c r="AD2841" s="159">
        <f>+Table1[[#This Row],[SUBTOTAL]]+Table1[[#This Row],[IVA]]-Table1[[#This Row],[RET IVA]]-Table1[[#This Row],[RET ISR]]-Table1[[#This Row],[TOTAL]]</f>
        <v>0</v>
      </c>
      <c r="AE2841" s="152"/>
      <c r="AF2841" s="153"/>
      <c r="AG2841" s="126" t="s">
        <v>3420</v>
      </c>
      <c r="AK2841" s="306" t="str">
        <f>IF(ISNUMBER(Table1[[#This Row],[FECHA DE RECIBIDO]]), Table1[[#This Row],[FECHA DE RECIBIDO]]-DATE(2023,8,30), "")</f>
        <v/>
      </c>
    </row>
    <row r="2842" spans="1:37" ht="16.05" customHeight="1">
      <c r="A2842" s="150" t="s">
        <v>4096</v>
      </c>
      <c r="B2842" s="151">
        <v>1087</v>
      </c>
      <c r="C2842" s="126" t="s">
        <v>1513</v>
      </c>
      <c r="D2842">
        <v>1941</v>
      </c>
      <c r="E2842" s="126" t="s">
        <v>2107</v>
      </c>
      <c r="F2842" s="122" t="s">
        <v>1589</v>
      </c>
      <c r="G2842" s="122" t="s">
        <v>129</v>
      </c>
      <c r="H2842">
        <v>557</v>
      </c>
      <c r="I2842" s="122" t="s">
        <v>1546</v>
      </c>
      <c r="J2842" s="307" t="s">
        <v>214</v>
      </c>
      <c r="K2842" s="127" t="s">
        <v>3806</v>
      </c>
      <c r="L2842" s="151" t="s">
        <v>1579</v>
      </c>
      <c r="M2842">
        <v>783</v>
      </c>
      <c r="N2842" s="123">
        <v>17</v>
      </c>
      <c r="O2842">
        <v>1913</v>
      </c>
      <c r="P2842" s="132" t="s">
        <v>77</v>
      </c>
      <c r="Q2842" s="131">
        <v>31.04</v>
      </c>
      <c r="R2842" s="131">
        <v>4.97</v>
      </c>
      <c r="S2842" s="131"/>
      <c r="T2842" s="155"/>
      <c r="U2842" s="131"/>
      <c r="V2842" s="131">
        <f>+Table1[[#This Row],[SUBTOTAL]]+Table1[[#This Row],[IVA]]-Table1[[#This Row],[RET IVA]]-Table1[[#This Row],[RET ISR]]</f>
        <v>36.01</v>
      </c>
      <c r="W2842">
        <v>103</v>
      </c>
      <c r="X2842" s="151" t="s">
        <v>1644</v>
      </c>
      <c r="Y2842" s="135" t="s">
        <v>55</v>
      </c>
      <c r="Z2842" s="307">
        <v>218</v>
      </c>
      <c r="AB2842" t="str">
        <f>IF(Table1[[#This Row],[TIPO2]]="costo", VLOOKUP(Table1[[#This Row],[PARTIDA PRESUPUESTAL]],'Cost Report'!G:G,1,0),"Balance")</f>
        <v>2494-019</v>
      </c>
      <c r="AC2842" s="118"/>
      <c r="AD2842" s="159">
        <f>+Table1[[#This Row],[SUBTOTAL]]+Table1[[#This Row],[IVA]]-Table1[[#This Row],[RET IVA]]-Table1[[#This Row],[RET ISR]]-Table1[[#This Row],[TOTAL]]</f>
        <v>0</v>
      </c>
      <c r="AE2842" s="150"/>
      <c r="AF2842" s="151"/>
      <c r="AG2842" s="126" t="s">
        <v>3420</v>
      </c>
      <c r="AK2842" s="306" t="str">
        <f>IF(ISNUMBER(Table1[[#This Row],[FECHA DE RECIBIDO]]), Table1[[#This Row],[FECHA DE RECIBIDO]]-DATE(2023,8,30), "")</f>
        <v/>
      </c>
    </row>
    <row r="2843" spans="1:37" ht="16.05" customHeight="1">
      <c r="A2843" s="152" t="s">
        <v>4096</v>
      </c>
      <c r="B2843" s="153">
        <v>1087</v>
      </c>
      <c r="C2843" s="126" t="s">
        <v>1732</v>
      </c>
      <c r="D2843">
        <v>1942</v>
      </c>
      <c r="E2843" s="126" t="s">
        <v>4097</v>
      </c>
      <c r="F2843" s="125" t="s">
        <v>1589</v>
      </c>
      <c r="G2843" s="125" t="s">
        <v>129</v>
      </c>
      <c r="H2843">
        <v>558</v>
      </c>
      <c r="I2843" s="125" t="s">
        <v>1546</v>
      </c>
      <c r="J2843" s="308" t="s">
        <v>214</v>
      </c>
      <c r="K2843" s="127" t="s">
        <v>3806</v>
      </c>
      <c r="L2843" s="153" t="s">
        <v>1579</v>
      </c>
      <c r="M2843">
        <v>784</v>
      </c>
      <c r="N2843" s="123">
        <v>17</v>
      </c>
      <c r="O2843">
        <v>1914</v>
      </c>
      <c r="P2843" s="132" t="s">
        <v>77</v>
      </c>
      <c r="Q2843" s="132">
        <v>1084.48</v>
      </c>
      <c r="R2843" s="132">
        <v>173.52</v>
      </c>
      <c r="S2843" s="132"/>
      <c r="T2843" s="156"/>
      <c r="U2843" s="132"/>
      <c r="V2843" s="132">
        <f>+Table1[[#This Row],[SUBTOTAL]]+Table1[[#This Row],[IVA]]-Table1[[#This Row],[RET IVA]]-Table1[[#This Row],[RET ISR]]</f>
        <v>1258</v>
      </c>
      <c r="W2843">
        <v>103</v>
      </c>
      <c r="X2843" s="153" t="s">
        <v>1644</v>
      </c>
      <c r="Y2843" s="124" t="s">
        <v>55</v>
      </c>
      <c r="Z2843" s="308">
        <v>222</v>
      </c>
      <c r="AB2843" t="str">
        <f>IF(Table1[[#This Row],[TIPO2]]="costo", VLOOKUP(Table1[[#This Row],[PARTIDA PRESUPUESTAL]],'Cost Report'!G:G,1,0),"Balance")</f>
        <v>2494-035</v>
      </c>
      <c r="AC2843" s="118"/>
      <c r="AD2843" s="159">
        <f>+Table1[[#This Row],[SUBTOTAL]]+Table1[[#This Row],[IVA]]-Table1[[#This Row],[RET IVA]]-Table1[[#This Row],[RET ISR]]-Table1[[#This Row],[TOTAL]]</f>
        <v>0</v>
      </c>
      <c r="AE2843" s="152"/>
      <c r="AF2843" s="153"/>
      <c r="AG2843" s="126" t="s">
        <v>3420</v>
      </c>
      <c r="AK2843" s="306" t="str">
        <f>IF(ISNUMBER(Table1[[#This Row],[FECHA DE RECIBIDO]]), Table1[[#This Row],[FECHA DE RECIBIDO]]-DATE(2023,8,30), "")</f>
        <v/>
      </c>
    </row>
    <row r="2844" spans="1:37" ht="16.05" customHeight="1">
      <c r="A2844" s="150" t="s">
        <v>4096</v>
      </c>
      <c r="B2844" s="151">
        <v>1087</v>
      </c>
      <c r="C2844" s="126" t="s">
        <v>1519</v>
      </c>
      <c r="D2844">
        <v>1943</v>
      </c>
      <c r="E2844" s="126" t="s">
        <v>1598</v>
      </c>
      <c r="F2844" s="122" t="s">
        <v>1607</v>
      </c>
      <c r="G2844" s="122" t="s">
        <v>134</v>
      </c>
      <c r="H2844">
        <v>156</v>
      </c>
      <c r="I2844" s="122" t="s">
        <v>1546</v>
      </c>
      <c r="J2844" s="307" t="s">
        <v>214</v>
      </c>
      <c r="K2844" s="127" t="s">
        <v>3806</v>
      </c>
      <c r="L2844" s="151" t="s">
        <v>1579</v>
      </c>
      <c r="M2844">
        <v>207</v>
      </c>
      <c r="N2844" s="123">
        <v>17</v>
      </c>
      <c r="O2844">
        <v>1915</v>
      </c>
      <c r="P2844" s="132" t="s">
        <v>77</v>
      </c>
      <c r="Q2844" s="131">
        <v>554.74</v>
      </c>
      <c r="R2844" s="131">
        <v>88.76</v>
      </c>
      <c r="S2844" s="131"/>
      <c r="T2844" s="155"/>
      <c r="U2844" s="131"/>
      <c r="V2844" s="131">
        <f>+Table1[[#This Row],[SUBTOTAL]]+Table1[[#This Row],[IVA]]-Table1[[#This Row],[RET IVA]]-Table1[[#This Row],[RET ISR]]</f>
        <v>643.5</v>
      </c>
      <c r="W2844">
        <v>103</v>
      </c>
      <c r="X2844" s="151" t="s">
        <v>1644</v>
      </c>
      <c r="Y2844" s="135" t="s">
        <v>55</v>
      </c>
      <c r="Z2844" s="307">
        <v>218</v>
      </c>
      <c r="AB2844" t="str">
        <f>IF(Table1[[#This Row],[TIPO2]]="costo", VLOOKUP(Table1[[#This Row],[PARTIDA PRESUPUESTAL]],'Cost Report'!G:G,1,0),"Balance")</f>
        <v>2494-031</v>
      </c>
      <c r="AC2844" s="118"/>
      <c r="AD2844" s="159">
        <f>+Table1[[#This Row],[SUBTOTAL]]+Table1[[#This Row],[IVA]]-Table1[[#This Row],[RET IVA]]-Table1[[#This Row],[RET ISR]]-Table1[[#This Row],[TOTAL]]</f>
        <v>0</v>
      </c>
      <c r="AE2844" s="150"/>
      <c r="AF2844" s="151"/>
      <c r="AG2844" s="126" t="s">
        <v>3420</v>
      </c>
      <c r="AK2844" s="306" t="str">
        <f>IF(ISNUMBER(Table1[[#This Row],[FECHA DE RECIBIDO]]), Table1[[#This Row],[FECHA DE RECIBIDO]]-DATE(2023,8,30), "")</f>
        <v/>
      </c>
    </row>
    <row r="2845" spans="1:37" ht="16.05" customHeight="1">
      <c r="A2845" s="152" t="s">
        <v>4096</v>
      </c>
      <c r="B2845" s="153">
        <v>1087</v>
      </c>
      <c r="C2845" s="126" t="s">
        <v>2474</v>
      </c>
      <c r="D2845">
        <v>1944</v>
      </c>
      <c r="E2845" s="126" t="s">
        <v>3282</v>
      </c>
      <c r="F2845" s="125" t="s">
        <v>1589</v>
      </c>
      <c r="G2845" s="125" t="s">
        <v>129</v>
      </c>
      <c r="H2845">
        <v>559</v>
      </c>
      <c r="I2845" s="125" t="s">
        <v>1546</v>
      </c>
      <c r="J2845" s="308" t="s">
        <v>214</v>
      </c>
      <c r="K2845" s="127" t="s">
        <v>3806</v>
      </c>
      <c r="L2845" s="153" t="s">
        <v>1579</v>
      </c>
      <c r="M2845">
        <v>785</v>
      </c>
      <c r="N2845" s="123">
        <v>17</v>
      </c>
      <c r="O2845">
        <v>1916</v>
      </c>
      <c r="P2845" s="132" t="s">
        <v>77</v>
      </c>
      <c r="Q2845" s="132">
        <v>450</v>
      </c>
      <c r="R2845" s="132">
        <v>72</v>
      </c>
      <c r="S2845" s="132"/>
      <c r="T2845" s="156"/>
      <c r="U2845" s="132"/>
      <c r="V2845" s="132">
        <f>+Table1[[#This Row],[SUBTOTAL]]+Table1[[#This Row],[IVA]]-Table1[[#This Row],[RET IVA]]-Table1[[#This Row],[RET ISR]]</f>
        <v>522</v>
      </c>
      <c r="W2845">
        <v>103</v>
      </c>
      <c r="X2845" s="153" t="s">
        <v>1644</v>
      </c>
      <c r="Y2845" s="124" t="s">
        <v>55</v>
      </c>
      <c r="Z2845" s="308">
        <v>221</v>
      </c>
      <c r="AB2845" t="str">
        <f>IF(Table1[[#This Row],[TIPO2]]="costo", VLOOKUP(Table1[[#This Row],[PARTIDA PRESUPUESTAL]],'Cost Report'!G:G,1,0),"Balance")</f>
        <v>2394-021</v>
      </c>
      <c r="AC2845" s="118"/>
      <c r="AD2845" s="159">
        <f>+Table1[[#This Row],[SUBTOTAL]]+Table1[[#This Row],[IVA]]-Table1[[#This Row],[RET IVA]]-Table1[[#This Row],[RET ISR]]-Table1[[#This Row],[TOTAL]]</f>
        <v>0</v>
      </c>
      <c r="AE2845" s="152"/>
      <c r="AF2845" s="153"/>
      <c r="AG2845" s="126" t="s">
        <v>3420</v>
      </c>
      <c r="AK2845" s="306" t="str">
        <f>IF(ISNUMBER(Table1[[#This Row],[FECHA DE RECIBIDO]]), Table1[[#This Row],[FECHA DE RECIBIDO]]-DATE(2023,8,30), "")</f>
        <v/>
      </c>
    </row>
    <row r="2846" spans="1:37" ht="16.05" customHeight="1">
      <c r="A2846" s="150" t="s">
        <v>4096</v>
      </c>
      <c r="B2846" s="151">
        <v>1087</v>
      </c>
      <c r="C2846" s="126" t="s">
        <v>2458</v>
      </c>
      <c r="D2846">
        <v>1945</v>
      </c>
      <c r="E2846" s="126" t="s">
        <v>4098</v>
      </c>
      <c r="F2846" s="122" t="s">
        <v>1607</v>
      </c>
      <c r="G2846" s="122" t="s">
        <v>134</v>
      </c>
      <c r="H2846">
        <v>560</v>
      </c>
      <c r="I2846" s="122" t="s">
        <v>1546</v>
      </c>
      <c r="J2846" s="307" t="s">
        <v>214</v>
      </c>
      <c r="K2846" s="127" t="s">
        <v>3806</v>
      </c>
      <c r="L2846" s="151" t="s">
        <v>1579</v>
      </c>
      <c r="M2846">
        <v>786</v>
      </c>
      <c r="N2846" s="123">
        <v>17</v>
      </c>
      <c r="O2846">
        <v>1917</v>
      </c>
      <c r="P2846" s="132" t="s">
        <v>77</v>
      </c>
      <c r="Q2846" s="131">
        <v>2278.02</v>
      </c>
      <c r="R2846" s="131">
        <v>364.48</v>
      </c>
      <c r="S2846" s="131"/>
      <c r="T2846" s="155"/>
      <c r="U2846" s="131"/>
      <c r="V2846" s="131">
        <f>+Table1[[#This Row],[SUBTOTAL]]+Table1[[#This Row],[IVA]]-Table1[[#This Row],[RET IVA]]-Table1[[#This Row],[RET ISR]]</f>
        <v>2642.5</v>
      </c>
      <c r="W2846">
        <v>103</v>
      </c>
      <c r="X2846" s="151" t="s">
        <v>1644</v>
      </c>
      <c r="Y2846" s="135" t="s">
        <v>55</v>
      </c>
      <c r="Z2846" s="307">
        <v>222</v>
      </c>
      <c r="AB2846" t="str">
        <f>IF(Table1[[#This Row],[TIPO2]]="costo", VLOOKUP(Table1[[#This Row],[PARTIDA PRESUPUESTAL]],'Cost Report'!G:G,1,0),"Balance")</f>
        <v>2311-003</v>
      </c>
      <c r="AC2846" s="118"/>
      <c r="AD2846" s="159">
        <f>+Table1[[#This Row],[SUBTOTAL]]+Table1[[#This Row],[IVA]]-Table1[[#This Row],[RET IVA]]-Table1[[#This Row],[RET ISR]]-Table1[[#This Row],[TOTAL]]</f>
        <v>0</v>
      </c>
      <c r="AE2846" s="150"/>
      <c r="AF2846" s="151"/>
      <c r="AG2846" s="126" t="s">
        <v>3420</v>
      </c>
      <c r="AK2846" s="306" t="str">
        <f>IF(ISNUMBER(Table1[[#This Row],[FECHA DE RECIBIDO]]), Table1[[#This Row],[FECHA DE RECIBIDO]]-DATE(2023,8,30), "")</f>
        <v/>
      </c>
    </row>
    <row r="2847" spans="1:37" ht="16.05" customHeight="1">
      <c r="A2847" s="152" t="s">
        <v>4096</v>
      </c>
      <c r="B2847" s="153">
        <v>1087</v>
      </c>
      <c r="C2847" s="126" t="s">
        <v>2455</v>
      </c>
      <c r="D2847">
        <v>1946</v>
      </c>
      <c r="E2847" s="126" t="s">
        <v>3352</v>
      </c>
      <c r="F2847" s="125" t="s">
        <v>1607</v>
      </c>
      <c r="G2847" s="125" t="s">
        <v>134</v>
      </c>
      <c r="H2847">
        <v>56</v>
      </c>
      <c r="I2847" s="125" t="s">
        <v>1546</v>
      </c>
      <c r="J2847" s="308" t="s">
        <v>214</v>
      </c>
      <c r="K2847" s="127" t="s">
        <v>3806</v>
      </c>
      <c r="L2847" s="153" t="s">
        <v>1579</v>
      </c>
      <c r="M2847">
        <v>547</v>
      </c>
      <c r="N2847" s="123">
        <v>17</v>
      </c>
      <c r="O2847">
        <v>1918</v>
      </c>
      <c r="P2847" s="132" t="s">
        <v>77</v>
      </c>
      <c r="Q2847" s="132">
        <v>137.07</v>
      </c>
      <c r="R2847" s="132">
        <v>21.93</v>
      </c>
      <c r="S2847" s="132"/>
      <c r="T2847" s="156"/>
      <c r="U2847" s="132"/>
      <c r="V2847" s="132">
        <f>+Table1[[#This Row],[SUBTOTAL]]+Table1[[#This Row],[IVA]]-Table1[[#This Row],[RET IVA]]-Table1[[#This Row],[RET ISR]]</f>
        <v>159</v>
      </c>
      <c r="W2847">
        <v>103</v>
      </c>
      <c r="X2847" s="153" t="s">
        <v>1644</v>
      </c>
      <c r="Y2847" s="124" t="s">
        <v>55</v>
      </c>
      <c r="Z2847" s="308">
        <v>223</v>
      </c>
      <c r="AB2847" t="str">
        <f>IF(Table1[[#This Row],[TIPO2]]="costo", VLOOKUP(Table1[[#This Row],[PARTIDA PRESUPUESTAL]],'Cost Report'!G:G,1,0),"Balance")</f>
        <v>2285-003</v>
      </c>
      <c r="AC2847" s="118"/>
      <c r="AD2847" s="159">
        <f>+Table1[[#This Row],[SUBTOTAL]]+Table1[[#This Row],[IVA]]-Table1[[#This Row],[RET IVA]]-Table1[[#This Row],[RET ISR]]-Table1[[#This Row],[TOTAL]]</f>
        <v>0</v>
      </c>
      <c r="AE2847" s="152"/>
      <c r="AF2847" s="153"/>
      <c r="AG2847" s="126" t="s">
        <v>3420</v>
      </c>
      <c r="AK2847" s="306" t="str">
        <f>IF(ISNUMBER(Table1[[#This Row],[FECHA DE RECIBIDO]]), Table1[[#This Row],[FECHA DE RECIBIDO]]-DATE(2023,8,30), "")</f>
        <v/>
      </c>
    </row>
    <row r="2848" spans="1:37" ht="16.05" customHeight="1">
      <c r="A2848" s="150" t="s">
        <v>4096</v>
      </c>
      <c r="B2848" s="151">
        <v>1087</v>
      </c>
      <c r="C2848" s="126" t="s">
        <v>1519</v>
      </c>
      <c r="D2848">
        <v>1947</v>
      </c>
      <c r="E2848" s="126" t="s">
        <v>2107</v>
      </c>
      <c r="F2848" s="122" t="s">
        <v>1589</v>
      </c>
      <c r="G2848" s="122" t="s">
        <v>129</v>
      </c>
      <c r="H2848">
        <v>561</v>
      </c>
      <c r="I2848" s="122" t="s">
        <v>1546</v>
      </c>
      <c r="J2848" s="307" t="s">
        <v>214</v>
      </c>
      <c r="K2848" s="127" t="s">
        <v>3806</v>
      </c>
      <c r="L2848" s="151" t="s">
        <v>1579</v>
      </c>
      <c r="M2848">
        <v>787</v>
      </c>
      <c r="N2848" s="123">
        <v>17</v>
      </c>
      <c r="O2848">
        <v>1919</v>
      </c>
      <c r="P2848" s="132" t="s">
        <v>77</v>
      </c>
      <c r="Q2848" s="131">
        <v>900</v>
      </c>
      <c r="R2848" s="131">
        <v>144</v>
      </c>
      <c r="S2848" s="131"/>
      <c r="T2848" s="155"/>
      <c r="U2848" s="131"/>
      <c r="V2848" s="131">
        <f>+Table1[[#This Row],[SUBTOTAL]]+Table1[[#This Row],[IVA]]-Table1[[#This Row],[RET IVA]]-Table1[[#This Row],[RET ISR]]</f>
        <v>1044</v>
      </c>
      <c r="W2848">
        <v>103</v>
      </c>
      <c r="X2848" s="151" t="s">
        <v>1644</v>
      </c>
      <c r="Y2848" s="135" t="s">
        <v>55</v>
      </c>
      <c r="Z2848" s="307">
        <v>225</v>
      </c>
      <c r="AB2848" t="str">
        <f>IF(Table1[[#This Row],[TIPO2]]="costo", VLOOKUP(Table1[[#This Row],[PARTIDA PRESUPUESTAL]],'Cost Report'!G:G,1,0),"Balance")</f>
        <v>2494-031</v>
      </c>
      <c r="AC2848" s="118"/>
      <c r="AD2848" s="159">
        <f>+Table1[[#This Row],[SUBTOTAL]]+Table1[[#This Row],[IVA]]-Table1[[#This Row],[RET IVA]]-Table1[[#This Row],[RET ISR]]-Table1[[#This Row],[TOTAL]]</f>
        <v>0</v>
      </c>
      <c r="AE2848" s="150"/>
      <c r="AF2848" s="151"/>
      <c r="AG2848" s="126" t="s">
        <v>3420</v>
      </c>
      <c r="AK2848" s="306" t="str">
        <f>IF(ISNUMBER(Table1[[#This Row],[FECHA DE RECIBIDO]]), Table1[[#This Row],[FECHA DE RECIBIDO]]-DATE(2023,8,30), "")</f>
        <v/>
      </c>
    </row>
    <row r="2849" spans="1:37" ht="16.05" customHeight="1">
      <c r="A2849" s="152" t="s">
        <v>4099</v>
      </c>
      <c r="B2849" s="153">
        <v>1088</v>
      </c>
      <c r="C2849" s="126" t="s">
        <v>1513</v>
      </c>
      <c r="D2849">
        <v>1948</v>
      </c>
      <c r="E2849" s="126" t="s">
        <v>2107</v>
      </c>
      <c r="F2849" s="125" t="s">
        <v>1589</v>
      </c>
      <c r="G2849" s="125" t="s">
        <v>129</v>
      </c>
      <c r="H2849">
        <v>418</v>
      </c>
      <c r="I2849" s="125" t="s">
        <v>1546</v>
      </c>
      <c r="J2849" s="308" t="s">
        <v>214</v>
      </c>
      <c r="K2849" s="127" t="s">
        <v>3806</v>
      </c>
      <c r="L2849" s="153" t="s">
        <v>1579</v>
      </c>
      <c r="M2849">
        <v>555</v>
      </c>
      <c r="N2849" s="123">
        <v>17</v>
      </c>
      <c r="O2849">
        <v>1920</v>
      </c>
      <c r="P2849" s="132" t="s">
        <v>77</v>
      </c>
      <c r="Q2849" s="132">
        <v>396</v>
      </c>
      <c r="R2849" s="132">
        <v>63.36</v>
      </c>
      <c r="S2849" s="132"/>
      <c r="T2849" s="156"/>
      <c r="U2849" s="132"/>
      <c r="V2849" s="132">
        <f>+Table1[[#This Row],[SUBTOTAL]]+Table1[[#This Row],[IVA]]-Table1[[#This Row],[RET IVA]]-Table1[[#This Row],[RET ISR]]</f>
        <v>459.36</v>
      </c>
      <c r="W2849">
        <v>145</v>
      </c>
      <c r="X2849" s="153" t="s">
        <v>1644</v>
      </c>
      <c r="Y2849" s="124" t="s">
        <v>55</v>
      </c>
      <c r="Z2849" s="308">
        <v>218</v>
      </c>
      <c r="AB2849" t="str">
        <f>IF(Table1[[#This Row],[TIPO2]]="costo", VLOOKUP(Table1[[#This Row],[PARTIDA PRESUPUESTAL]],'Cost Report'!G:G,1,0),"Balance")</f>
        <v>2494-019</v>
      </c>
      <c r="AC2849" s="118"/>
      <c r="AD2849" s="159">
        <f>+Table1[[#This Row],[SUBTOTAL]]+Table1[[#This Row],[IVA]]-Table1[[#This Row],[RET IVA]]-Table1[[#This Row],[RET ISR]]-Table1[[#This Row],[TOTAL]]</f>
        <v>0</v>
      </c>
      <c r="AE2849" s="152"/>
      <c r="AF2849" s="153"/>
      <c r="AG2849" s="126" t="s">
        <v>3420</v>
      </c>
      <c r="AK2849" s="306" t="str">
        <f>IF(ISNUMBER(Table1[[#This Row],[FECHA DE RECIBIDO]]), Table1[[#This Row],[FECHA DE RECIBIDO]]-DATE(2023,8,30), "")</f>
        <v/>
      </c>
    </row>
    <row r="2850" spans="1:37" ht="16.05" customHeight="1">
      <c r="A2850" s="150" t="s">
        <v>4099</v>
      </c>
      <c r="B2850" s="151">
        <v>1088</v>
      </c>
      <c r="C2850" s="126" t="s">
        <v>1513</v>
      </c>
      <c r="D2850">
        <v>1949</v>
      </c>
      <c r="E2850" s="126" t="s">
        <v>2107</v>
      </c>
      <c r="F2850" s="122" t="s">
        <v>1589</v>
      </c>
      <c r="G2850" s="122" t="s">
        <v>129</v>
      </c>
      <c r="H2850">
        <v>562</v>
      </c>
      <c r="I2850" s="122" t="s">
        <v>1546</v>
      </c>
      <c r="J2850" s="307" t="s">
        <v>214</v>
      </c>
      <c r="K2850" s="127" t="s">
        <v>3806</v>
      </c>
      <c r="L2850" s="151" t="s">
        <v>1579</v>
      </c>
      <c r="M2850">
        <v>788</v>
      </c>
      <c r="N2850" s="123">
        <v>17</v>
      </c>
      <c r="O2850">
        <v>1921</v>
      </c>
      <c r="P2850" s="132" t="s">
        <v>77</v>
      </c>
      <c r="Q2850" s="131">
        <v>1170</v>
      </c>
      <c r="R2850" s="131">
        <v>187.2</v>
      </c>
      <c r="S2850" s="131"/>
      <c r="T2850" s="155"/>
      <c r="U2850" s="131"/>
      <c r="V2850" s="131">
        <f>+Table1[[#This Row],[SUBTOTAL]]+Table1[[#This Row],[IVA]]-Table1[[#This Row],[RET IVA]]-Table1[[#This Row],[RET ISR]]</f>
        <v>1357.2</v>
      </c>
      <c r="W2850">
        <v>145</v>
      </c>
      <c r="X2850" s="151" t="s">
        <v>1644</v>
      </c>
      <c r="Y2850" s="135" t="s">
        <v>55</v>
      </c>
      <c r="Z2850" s="307">
        <v>217</v>
      </c>
      <c r="AB2850" t="str">
        <f>IF(Table1[[#This Row],[TIPO2]]="costo", VLOOKUP(Table1[[#This Row],[PARTIDA PRESUPUESTAL]],'Cost Report'!G:G,1,0),"Balance")</f>
        <v>2494-019</v>
      </c>
      <c r="AC2850" s="118"/>
      <c r="AD2850" s="159">
        <f>+Table1[[#This Row],[SUBTOTAL]]+Table1[[#This Row],[IVA]]-Table1[[#This Row],[RET IVA]]-Table1[[#This Row],[RET ISR]]-Table1[[#This Row],[TOTAL]]</f>
        <v>0</v>
      </c>
      <c r="AE2850" s="150"/>
      <c r="AF2850" s="151"/>
      <c r="AG2850" s="126" t="s">
        <v>3420</v>
      </c>
      <c r="AK2850" s="306" t="str">
        <f>IF(ISNUMBER(Table1[[#This Row],[FECHA DE RECIBIDO]]), Table1[[#This Row],[FECHA DE RECIBIDO]]-DATE(2023,8,30), "")</f>
        <v/>
      </c>
    </row>
    <row r="2851" spans="1:37" ht="16.05" customHeight="1">
      <c r="A2851" s="152" t="s">
        <v>4099</v>
      </c>
      <c r="B2851" s="153">
        <v>1088</v>
      </c>
      <c r="C2851" s="126" t="s">
        <v>2466</v>
      </c>
      <c r="D2851">
        <v>1950</v>
      </c>
      <c r="E2851" s="126" t="s">
        <v>1603</v>
      </c>
      <c r="F2851" s="125" t="s">
        <v>1607</v>
      </c>
      <c r="G2851" s="125" t="s">
        <v>134</v>
      </c>
      <c r="H2851">
        <v>278</v>
      </c>
      <c r="I2851" s="125" t="s">
        <v>1546</v>
      </c>
      <c r="J2851" s="308" t="s">
        <v>214</v>
      </c>
      <c r="K2851" s="127" t="s">
        <v>3806</v>
      </c>
      <c r="L2851" s="153" t="s">
        <v>1579</v>
      </c>
      <c r="M2851">
        <v>370</v>
      </c>
      <c r="N2851" s="123">
        <v>17</v>
      </c>
      <c r="O2851">
        <v>1922</v>
      </c>
      <c r="P2851" s="132" t="s">
        <v>77</v>
      </c>
      <c r="Q2851" s="132">
        <v>2028.41</v>
      </c>
      <c r="R2851" s="132">
        <v>324.52</v>
      </c>
      <c r="S2851" s="132"/>
      <c r="T2851" s="156"/>
      <c r="U2851" s="132"/>
      <c r="V2851" s="132">
        <f>+Table1[[#This Row],[SUBTOTAL]]+Table1[[#This Row],[IVA]]-Table1[[#This Row],[RET IVA]]-Table1[[#This Row],[RET ISR]]</f>
        <v>2352.9300000000003</v>
      </c>
      <c r="W2851">
        <v>145</v>
      </c>
      <c r="X2851" s="153" t="s">
        <v>1644</v>
      </c>
      <c r="Y2851" s="124" t="s">
        <v>55</v>
      </c>
      <c r="Z2851" s="308">
        <v>219</v>
      </c>
      <c r="AB2851" t="str">
        <f>IF(Table1[[#This Row],[TIPO2]]="costo", VLOOKUP(Table1[[#This Row],[PARTIDA PRESUPUESTAL]],'Cost Report'!G:G,1,0),"Balance")</f>
        <v>2394-005</v>
      </c>
      <c r="AC2851" s="118"/>
      <c r="AD2851" s="159">
        <f>+Table1[[#This Row],[SUBTOTAL]]+Table1[[#This Row],[IVA]]-Table1[[#This Row],[RET IVA]]-Table1[[#This Row],[RET ISR]]-Table1[[#This Row],[TOTAL]]</f>
        <v>0</v>
      </c>
      <c r="AE2851" s="152"/>
      <c r="AF2851" s="153"/>
      <c r="AG2851" s="126" t="s">
        <v>3420</v>
      </c>
      <c r="AK2851" s="306" t="str">
        <f>IF(ISNUMBER(Table1[[#This Row],[FECHA DE RECIBIDO]]), Table1[[#This Row],[FECHA DE RECIBIDO]]-DATE(2023,8,30), "")</f>
        <v/>
      </c>
    </row>
    <row r="2852" spans="1:37" ht="16.05" customHeight="1">
      <c r="A2852" s="150" t="s">
        <v>4100</v>
      </c>
      <c r="B2852" s="151">
        <v>1089</v>
      </c>
      <c r="C2852" s="126" t="s">
        <v>2566</v>
      </c>
      <c r="D2852">
        <v>1951</v>
      </c>
      <c r="E2852" s="126" t="s">
        <v>1646</v>
      </c>
      <c r="F2852" s="122" t="s">
        <v>1607</v>
      </c>
      <c r="G2852" s="122" t="s">
        <v>134</v>
      </c>
      <c r="H2852">
        <v>563</v>
      </c>
      <c r="I2852" s="122" t="s">
        <v>1546</v>
      </c>
      <c r="J2852" s="307" t="s">
        <v>214</v>
      </c>
      <c r="K2852" s="127" t="s">
        <v>3806</v>
      </c>
      <c r="L2852" s="151" t="s">
        <v>1579</v>
      </c>
      <c r="M2852">
        <v>789</v>
      </c>
      <c r="N2852" s="123">
        <v>17</v>
      </c>
      <c r="O2852">
        <v>1923</v>
      </c>
      <c r="P2852" s="132" t="s">
        <v>77</v>
      </c>
      <c r="Q2852" s="131">
        <v>584.74</v>
      </c>
      <c r="R2852" s="131">
        <v>93.56</v>
      </c>
      <c r="S2852" s="131"/>
      <c r="T2852" s="155"/>
      <c r="U2852" s="131"/>
      <c r="V2852" s="131">
        <f>+Table1[[#This Row],[SUBTOTAL]]+Table1[[#This Row],[IVA]]-Table1[[#This Row],[RET IVA]]-Table1[[#This Row],[RET ISR]]</f>
        <v>678.3</v>
      </c>
      <c r="W2852">
        <v>148</v>
      </c>
      <c r="X2852" s="151" t="s">
        <v>1644</v>
      </c>
      <c r="Y2852" s="135" t="s">
        <v>55</v>
      </c>
      <c r="Z2852" s="307">
        <v>213</v>
      </c>
      <c r="AB2852" t="str">
        <f>IF(Table1[[#This Row],[TIPO2]]="costo", VLOOKUP(Table1[[#This Row],[PARTIDA PRESUPUESTAL]],'Cost Report'!G:G,1,0),"Balance")</f>
        <v>2594-003</v>
      </c>
      <c r="AC2852" s="118"/>
      <c r="AD2852" s="159">
        <f>+Table1[[#This Row],[SUBTOTAL]]+Table1[[#This Row],[IVA]]-Table1[[#This Row],[RET IVA]]-Table1[[#This Row],[RET ISR]]-Table1[[#This Row],[TOTAL]]</f>
        <v>0</v>
      </c>
      <c r="AE2852" s="150"/>
      <c r="AF2852" s="151"/>
      <c r="AG2852" s="126" t="s">
        <v>3420</v>
      </c>
      <c r="AK2852" s="306" t="str">
        <f>IF(ISNUMBER(Table1[[#This Row],[FECHA DE RECIBIDO]]), Table1[[#This Row],[FECHA DE RECIBIDO]]-DATE(2023,8,30), "")</f>
        <v/>
      </c>
    </row>
    <row r="2853" spans="1:37" ht="16.05" customHeight="1">
      <c r="A2853" s="152" t="s">
        <v>4101</v>
      </c>
      <c r="B2853" s="153">
        <v>1090</v>
      </c>
      <c r="C2853" s="126" t="s">
        <v>2596</v>
      </c>
      <c r="D2853">
        <v>1952</v>
      </c>
      <c r="E2853" s="126" t="s">
        <v>3793</v>
      </c>
      <c r="F2853" s="125" t="s">
        <v>1607</v>
      </c>
      <c r="G2853" s="125" t="s">
        <v>134</v>
      </c>
      <c r="H2853">
        <v>564</v>
      </c>
      <c r="I2853" s="125" t="s">
        <v>1546</v>
      </c>
      <c r="J2853" s="308" t="s">
        <v>214</v>
      </c>
      <c r="K2853" s="127" t="s">
        <v>3806</v>
      </c>
      <c r="L2853" s="153" t="s">
        <v>1579</v>
      </c>
      <c r="M2853">
        <v>790</v>
      </c>
      <c r="N2853" s="123">
        <v>17</v>
      </c>
      <c r="O2853">
        <v>1924</v>
      </c>
      <c r="P2853" s="132" t="s">
        <v>77</v>
      </c>
      <c r="Q2853" s="132">
        <v>758.58</v>
      </c>
      <c r="R2853" s="132">
        <v>121.36</v>
      </c>
      <c r="S2853" s="132"/>
      <c r="T2853" s="156"/>
      <c r="U2853" s="132"/>
      <c r="V2853" s="132">
        <f>+Table1[[#This Row],[SUBTOTAL]]+Table1[[#This Row],[IVA]]-Table1[[#This Row],[RET IVA]]-Table1[[#This Row],[RET ISR]]</f>
        <v>879.94</v>
      </c>
      <c r="W2853">
        <v>62</v>
      </c>
      <c r="X2853" s="153" t="s">
        <v>1644</v>
      </c>
      <c r="Y2853" s="124" t="s">
        <v>55</v>
      </c>
      <c r="Z2853" s="308">
        <v>217</v>
      </c>
      <c r="AB2853" t="str">
        <f>IF(Table1[[#This Row],[TIPO2]]="costo", VLOOKUP(Table1[[#This Row],[PARTIDA PRESUPUESTAL]],'Cost Report'!G:G,1,0),"Balance")</f>
        <v>2794-003</v>
      </c>
      <c r="AC2853" s="118"/>
      <c r="AD2853" s="159">
        <f>+Table1[[#This Row],[SUBTOTAL]]+Table1[[#This Row],[IVA]]-Table1[[#This Row],[RET IVA]]-Table1[[#This Row],[RET ISR]]-Table1[[#This Row],[TOTAL]]</f>
        <v>0</v>
      </c>
      <c r="AE2853" s="152"/>
      <c r="AF2853" s="153"/>
      <c r="AG2853" s="126" t="s">
        <v>3420</v>
      </c>
      <c r="AK2853" s="306" t="str">
        <f>IF(ISNUMBER(Table1[[#This Row],[FECHA DE RECIBIDO]]), Table1[[#This Row],[FECHA DE RECIBIDO]]-DATE(2023,8,30), "")</f>
        <v/>
      </c>
    </row>
    <row r="2854" spans="1:37" ht="16.05" customHeight="1">
      <c r="A2854" s="150" t="s">
        <v>4101</v>
      </c>
      <c r="B2854" s="151">
        <v>1090</v>
      </c>
      <c r="C2854" s="126" t="s">
        <v>2596</v>
      </c>
      <c r="D2854">
        <v>1953</v>
      </c>
      <c r="E2854" s="126" t="s">
        <v>1596</v>
      </c>
      <c r="F2854" s="122" t="s">
        <v>1607</v>
      </c>
      <c r="G2854" s="122" t="s">
        <v>134</v>
      </c>
      <c r="H2854">
        <v>425</v>
      </c>
      <c r="I2854" s="122" t="s">
        <v>1546</v>
      </c>
      <c r="J2854" s="307" t="s">
        <v>214</v>
      </c>
      <c r="K2854" s="127" t="s">
        <v>3806</v>
      </c>
      <c r="L2854" s="151" t="s">
        <v>1579</v>
      </c>
      <c r="M2854">
        <v>565</v>
      </c>
      <c r="N2854" s="123">
        <v>17</v>
      </c>
      <c r="O2854">
        <v>1925</v>
      </c>
      <c r="P2854" s="132" t="s">
        <v>77</v>
      </c>
      <c r="Q2854" s="131">
        <v>2158.62</v>
      </c>
      <c r="R2854" s="131">
        <v>345.38</v>
      </c>
      <c r="S2854" s="131"/>
      <c r="T2854" s="155"/>
      <c r="U2854" s="131"/>
      <c r="V2854" s="131">
        <f>+Table1[[#This Row],[SUBTOTAL]]+Table1[[#This Row],[IVA]]-Table1[[#This Row],[RET IVA]]-Table1[[#This Row],[RET ISR]]</f>
        <v>2504</v>
      </c>
      <c r="W2854">
        <v>62</v>
      </c>
      <c r="X2854" s="151" t="s">
        <v>1644</v>
      </c>
      <c r="Y2854" s="135" t="s">
        <v>55</v>
      </c>
      <c r="Z2854" s="307">
        <v>217</v>
      </c>
      <c r="AB2854" t="str">
        <f>IF(Table1[[#This Row],[TIPO2]]="costo", VLOOKUP(Table1[[#This Row],[PARTIDA PRESUPUESTAL]],'Cost Report'!G:G,1,0),"Balance")</f>
        <v>2794-003</v>
      </c>
      <c r="AC2854" s="118"/>
      <c r="AD2854" s="159">
        <f>+Table1[[#This Row],[SUBTOTAL]]+Table1[[#This Row],[IVA]]-Table1[[#This Row],[RET IVA]]-Table1[[#This Row],[RET ISR]]-Table1[[#This Row],[TOTAL]]</f>
        <v>0</v>
      </c>
      <c r="AE2854" s="150"/>
      <c r="AF2854" s="151"/>
      <c r="AG2854" s="126" t="s">
        <v>3420</v>
      </c>
      <c r="AK2854" s="306" t="str">
        <f>IF(ISNUMBER(Table1[[#This Row],[FECHA DE RECIBIDO]]), Table1[[#This Row],[FECHA DE RECIBIDO]]-DATE(2023,8,30), "")</f>
        <v/>
      </c>
    </row>
    <row r="2855" spans="1:37" ht="16.05" customHeight="1">
      <c r="A2855" s="152" t="s">
        <v>4101</v>
      </c>
      <c r="B2855" s="153">
        <v>1090</v>
      </c>
      <c r="C2855" s="126" t="s">
        <v>2596</v>
      </c>
      <c r="D2855">
        <v>1954</v>
      </c>
      <c r="E2855" s="126" t="s">
        <v>2082</v>
      </c>
      <c r="F2855" s="125" t="s">
        <v>1382</v>
      </c>
      <c r="G2855" s="125" t="e">
        <v>#N/A</v>
      </c>
      <c r="H2855">
        <v>155</v>
      </c>
      <c r="I2855" s="125" t="s">
        <v>1546</v>
      </c>
      <c r="J2855" s="308" t="s">
        <v>214</v>
      </c>
      <c r="K2855" s="127" t="s">
        <v>3806</v>
      </c>
      <c r="L2855" s="153" t="s">
        <v>1579</v>
      </c>
      <c r="M2855">
        <v>206</v>
      </c>
      <c r="N2855" s="123">
        <v>17</v>
      </c>
      <c r="O2855">
        <v>1926</v>
      </c>
      <c r="P2855" s="132" t="s">
        <v>77</v>
      </c>
      <c r="Q2855" s="132">
        <v>541.37</v>
      </c>
      <c r="R2855" s="132">
        <v>86.62</v>
      </c>
      <c r="S2855" s="132"/>
      <c r="T2855" s="156"/>
      <c r="U2855" s="132"/>
      <c r="V2855" s="132">
        <f>+Table1[[#This Row],[SUBTOTAL]]+Table1[[#This Row],[IVA]]-Table1[[#This Row],[RET IVA]]-Table1[[#This Row],[RET ISR]]</f>
        <v>627.99</v>
      </c>
      <c r="W2855">
        <v>62</v>
      </c>
      <c r="X2855" s="153" t="s">
        <v>1644</v>
      </c>
      <c r="Y2855" s="124" t="s">
        <v>55</v>
      </c>
      <c r="Z2855" s="308">
        <v>217</v>
      </c>
      <c r="AB2855" t="str">
        <f>IF(Table1[[#This Row],[TIPO2]]="costo", VLOOKUP(Table1[[#This Row],[PARTIDA PRESUPUESTAL]],'Cost Report'!G:G,1,0),"Balance")</f>
        <v>2794-003</v>
      </c>
      <c r="AC2855" s="118"/>
      <c r="AD2855" s="159">
        <f>+Table1[[#This Row],[SUBTOTAL]]+Table1[[#This Row],[IVA]]-Table1[[#This Row],[RET IVA]]-Table1[[#This Row],[RET ISR]]-Table1[[#This Row],[TOTAL]]</f>
        <v>0</v>
      </c>
      <c r="AE2855" s="152"/>
      <c r="AF2855" s="153"/>
      <c r="AG2855" s="126" t="s">
        <v>3420</v>
      </c>
      <c r="AK2855" s="306" t="str">
        <f>IF(ISNUMBER(Table1[[#This Row],[FECHA DE RECIBIDO]]), Table1[[#This Row],[FECHA DE RECIBIDO]]-DATE(2023,8,30), "")</f>
        <v/>
      </c>
    </row>
    <row r="2856" spans="1:37" ht="16.05" customHeight="1">
      <c r="A2856" s="150" t="s">
        <v>4101</v>
      </c>
      <c r="B2856" s="151">
        <v>1090</v>
      </c>
      <c r="C2856" s="126" t="s">
        <v>2596</v>
      </c>
      <c r="D2856">
        <v>1955</v>
      </c>
      <c r="E2856" s="126" t="s">
        <v>1999</v>
      </c>
      <c r="F2856" s="122" t="s">
        <v>1607</v>
      </c>
      <c r="G2856" s="122" t="s">
        <v>134</v>
      </c>
      <c r="H2856">
        <v>97</v>
      </c>
      <c r="I2856" s="122" t="s">
        <v>1546</v>
      </c>
      <c r="J2856" s="307" t="s">
        <v>214</v>
      </c>
      <c r="K2856" s="127" t="s">
        <v>3806</v>
      </c>
      <c r="L2856" s="151" t="s">
        <v>1579</v>
      </c>
      <c r="M2856">
        <v>791</v>
      </c>
      <c r="N2856" s="123">
        <v>17</v>
      </c>
      <c r="O2856">
        <v>1927</v>
      </c>
      <c r="P2856" s="132" t="s">
        <v>77</v>
      </c>
      <c r="Q2856" s="131">
        <v>4656.05</v>
      </c>
      <c r="R2856" s="131">
        <v>744.95</v>
      </c>
      <c r="S2856" s="131"/>
      <c r="T2856" s="155"/>
      <c r="U2856" s="131"/>
      <c r="V2856" s="131">
        <f>+Table1[[#This Row],[SUBTOTAL]]+Table1[[#This Row],[IVA]]-Table1[[#This Row],[RET IVA]]-Table1[[#This Row],[RET ISR]]</f>
        <v>5401</v>
      </c>
      <c r="W2856">
        <v>62</v>
      </c>
      <c r="X2856" s="151" t="s">
        <v>1644</v>
      </c>
      <c r="Y2856" s="135" t="s">
        <v>55</v>
      </c>
      <c r="Z2856" s="307">
        <v>217</v>
      </c>
      <c r="AB2856" t="str">
        <f>IF(Table1[[#This Row],[TIPO2]]="costo", VLOOKUP(Table1[[#This Row],[PARTIDA PRESUPUESTAL]],'Cost Report'!G:G,1,0),"Balance")</f>
        <v>2794-003</v>
      </c>
      <c r="AC2856" s="118"/>
      <c r="AD2856" s="159">
        <f>+Table1[[#This Row],[SUBTOTAL]]+Table1[[#This Row],[IVA]]-Table1[[#This Row],[RET IVA]]-Table1[[#This Row],[RET ISR]]-Table1[[#This Row],[TOTAL]]</f>
        <v>0</v>
      </c>
      <c r="AE2856" s="150"/>
      <c r="AF2856" s="151"/>
      <c r="AG2856" s="126" t="s">
        <v>3420</v>
      </c>
      <c r="AK2856" s="306" t="str">
        <f>IF(ISNUMBER(Table1[[#This Row],[FECHA DE RECIBIDO]]), Table1[[#This Row],[FECHA DE RECIBIDO]]-DATE(2023,8,30), "")</f>
        <v/>
      </c>
    </row>
    <row r="2857" spans="1:37" ht="16.05" customHeight="1">
      <c r="A2857" s="152" t="s">
        <v>4101</v>
      </c>
      <c r="B2857" s="153">
        <v>1090</v>
      </c>
      <c r="C2857" s="126" t="s">
        <v>2596</v>
      </c>
      <c r="D2857">
        <v>1956</v>
      </c>
      <c r="E2857" s="126" t="s">
        <v>2082</v>
      </c>
      <c r="F2857" s="125" t="s">
        <v>1382</v>
      </c>
      <c r="G2857" s="125" t="e">
        <v>#N/A</v>
      </c>
      <c r="H2857">
        <v>155</v>
      </c>
      <c r="I2857" s="125" t="s">
        <v>1546</v>
      </c>
      <c r="J2857" s="308" t="s">
        <v>214</v>
      </c>
      <c r="K2857" s="127" t="s">
        <v>3806</v>
      </c>
      <c r="L2857" s="153" t="s">
        <v>1579</v>
      </c>
      <c r="M2857">
        <v>206</v>
      </c>
      <c r="N2857" s="123">
        <v>17</v>
      </c>
      <c r="O2857">
        <v>1928</v>
      </c>
      <c r="P2857" s="132" t="s">
        <v>77</v>
      </c>
      <c r="Q2857" s="132">
        <v>1406.22</v>
      </c>
      <c r="R2857" s="132">
        <v>225</v>
      </c>
      <c r="S2857" s="132"/>
      <c r="T2857" s="156"/>
      <c r="U2857" s="132"/>
      <c r="V2857" s="132">
        <f>+Table1[[#This Row],[SUBTOTAL]]+Table1[[#This Row],[IVA]]-Table1[[#This Row],[RET IVA]]-Table1[[#This Row],[RET ISR]]</f>
        <v>1631.22</v>
      </c>
      <c r="W2857">
        <v>62</v>
      </c>
      <c r="X2857" s="153" t="s">
        <v>1644</v>
      </c>
      <c r="Y2857" s="124" t="s">
        <v>55</v>
      </c>
      <c r="Z2857" s="308">
        <v>217</v>
      </c>
      <c r="AB2857" t="str">
        <f>IF(Table1[[#This Row],[TIPO2]]="costo", VLOOKUP(Table1[[#This Row],[PARTIDA PRESUPUESTAL]],'Cost Report'!G:G,1,0),"Balance")</f>
        <v>2794-003</v>
      </c>
      <c r="AC2857" s="118"/>
      <c r="AD2857" s="159">
        <f>+Table1[[#This Row],[SUBTOTAL]]+Table1[[#This Row],[IVA]]-Table1[[#This Row],[RET IVA]]-Table1[[#This Row],[RET ISR]]-Table1[[#This Row],[TOTAL]]</f>
        <v>0</v>
      </c>
      <c r="AE2857" s="152"/>
      <c r="AF2857" s="153"/>
      <c r="AG2857" s="126" t="s">
        <v>3420</v>
      </c>
      <c r="AK2857" s="306" t="str">
        <f>IF(ISNUMBER(Table1[[#This Row],[FECHA DE RECIBIDO]]), Table1[[#This Row],[FECHA DE RECIBIDO]]-DATE(2023,8,30), "")</f>
        <v/>
      </c>
    </row>
    <row r="2858" spans="1:37" ht="16.05" customHeight="1">
      <c r="A2858" s="150" t="s">
        <v>4101</v>
      </c>
      <c r="B2858" s="151">
        <v>1090</v>
      </c>
      <c r="C2858" s="126" t="s">
        <v>2596</v>
      </c>
      <c r="D2858">
        <v>1957</v>
      </c>
      <c r="E2858" s="126" t="s">
        <v>3275</v>
      </c>
      <c r="F2858" s="122" t="s">
        <v>1607</v>
      </c>
      <c r="G2858" s="122" t="s">
        <v>134</v>
      </c>
      <c r="H2858">
        <v>150</v>
      </c>
      <c r="I2858" s="122" t="s">
        <v>1546</v>
      </c>
      <c r="J2858" s="307" t="s">
        <v>214</v>
      </c>
      <c r="K2858" s="127" t="s">
        <v>3806</v>
      </c>
      <c r="L2858" s="151" t="s">
        <v>1579</v>
      </c>
      <c r="M2858">
        <v>208</v>
      </c>
      <c r="N2858" s="123">
        <v>17</v>
      </c>
      <c r="O2858">
        <v>1929</v>
      </c>
      <c r="P2858" s="132" t="s">
        <v>77</v>
      </c>
      <c r="Q2858" s="131">
        <v>688.79</v>
      </c>
      <c r="R2858" s="131">
        <v>110.21</v>
      </c>
      <c r="S2858" s="131"/>
      <c r="T2858" s="155"/>
      <c r="U2858" s="131"/>
      <c r="V2858" s="131">
        <f>+Table1[[#This Row],[SUBTOTAL]]+Table1[[#This Row],[IVA]]-Table1[[#This Row],[RET IVA]]-Table1[[#This Row],[RET ISR]]</f>
        <v>799</v>
      </c>
      <c r="W2858">
        <v>62</v>
      </c>
      <c r="X2858" s="151" t="s">
        <v>1644</v>
      </c>
      <c r="Y2858" s="135" t="s">
        <v>55</v>
      </c>
      <c r="Z2858" s="307">
        <v>217</v>
      </c>
      <c r="AB2858" t="str">
        <f>IF(Table1[[#This Row],[TIPO2]]="costo", VLOOKUP(Table1[[#This Row],[PARTIDA PRESUPUESTAL]],'Cost Report'!G:G,1,0),"Balance")</f>
        <v>2794-003</v>
      </c>
      <c r="AC2858" s="118"/>
      <c r="AD2858" s="159">
        <f>+Table1[[#This Row],[SUBTOTAL]]+Table1[[#This Row],[IVA]]-Table1[[#This Row],[RET IVA]]-Table1[[#This Row],[RET ISR]]-Table1[[#This Row],[TOTAL]]</f>
        <v>0</v>
      </c>
      <c r="AE2858" s="150"/>
      <c r="AF2858" s="151"/>
      <c r="AG2858" s="126" t="s">
        <v>3420</v>
      </c>
      <c r="AK2858" s="306" t="str">
        <f>IF(ISNUMBER(Table1[[#This Row],[FECHA DE RECIBIDO]]), Table1[[#This Row],[FECHA DE RECIBIDO]]-DATE(2023,8,30), "")</f>
        <v/>
      </c>
    </row>
    <row r="2859" spans="1:37" ht="16.05" customHeight="1">
      <c r="A2859" s="152" t="s">
        <v>4101</v>
      </c>
      <c r="B2859" s="153">
        <v>1090</v>
      </c>
      <c r="C2859" s="126" t="s">
        <v>2596</v>
      </c>
      <c r="D2859">
        <v>1958</v>
      </c>
      <c r="E2859" s="126" t="s">
        <v>2008</v>
      </c>
      <c r="F2859" s="125" t="s">
        <v>1607</v>
      </c>
      <c r="G2859" s="125" t="s">
        <v>134</v>
      </c>
      <c r="H2859">
        <v>102</v>
      </c>
      <c r="I2859" s="125" t="s">
        <v>1546</v>
      </c>
      <c r="J2859" s="308" t="s">
        <v>214</v>
      </c>
      <c r="K2859" s="127" t="s">
        <v>3806</v>
      </c>
      <c r="L2859" s="153" t="s">
        <v>1579</v>
      </c>
      <c r="M2859">
        <v>137</v>
      </c>
      <c r="N2859" s="123">
        <v>17</v>
      </c>
      <c r="O2859">
        <v>1930</v>
      </c>
      <c r="P2859" s="132" t="s">
        <v>77</v>
      </c>
      <c r="Q2859" s="132">
        <v>3100</v>
      </c>
      <c r="R2859" s="132">
        <v>496</v>
      </c>
      <c r="S2859" s="132"/>
      <c r="T2859" s="156"/>
      <c r="U2859" s="132"/>
      <c r="V2859" s="132">
        <f>+Table1[[#This Row],[SUBTOTAL]]+Table1[[#This Row],[IVA]]-Table1[[#This Row],[RET IVA]]-Table1[[#This Row],[RET ISR]]</f>
        <v>3596</v>
      </c>
      <c r="W2859">
        <v>62</v>
      </c>
      <c r="X2859" s="153" t="s">
        <v>1644</v>
      </c>
      <c r="Y2859" s="124" t="s">
        <v>55</v>
      </c>
      <c r="Z2859" s="308">
        <v>218</v>
      </c>
      <c r="AB2859" t="str">
        <f>IF(Table1[[#This Row],[TIPO2]]="costo", VLOOKUP(Table1[[#This Row],[PARTIDA PRESUPUESTAL]],'Cost Report'!G:G,1,0),"Balance")</f>
        <v>2794-003</v>
      </c>
      <c r="AC2859" s="118"/>
      <c r="AD2859" s="159">
        <f>+Table1[[#This Row],[SUBTOTAL]]+Table1[[#This Row],[IVA]]-Table1[[#This Row],[RET IVA]]-Table1[[#This Row],[RET ISR]]-Table1[[#This Row],[TOTAL]]</f>
        <v>0</v>
      </c>
      <c r="AE2859" s="152"/>
      <c r="AF2859" s="153"/>
      <c r="AG2859" s="126" t="s">
        <v>3420</v>
      </c>
      <c r="AK2859" s="306" t="str">
        <f>IF(ISNUMBER(Table1[[#This Row],[FECHA DE RECIBIDO]]), Table1[[#This Row],[FECHA DE RECIBIDO]]-DATE(2023,8,30), "")</f>
        <v/>
      </c>
    </row>
    <row r="2860" spans="1:37" ht="16.05" customHeight="1">
      <c r="A2860" s="150" t="s">
        <v>4101</v>
      </c>
      <c r="B2860" s="151">
        <v>1090</v>
      </c>
      <c r="C2860" s="126" t="s">
        <v>2596</v>
      </c>
      <c r="D2860">
        <v>1959</v>
      </c>
      <c r="E2860" s="126" t="s">
        <v>2008</v>
      </c>
      <c r="F2860" s="122" t="s">
        <v>1607</v>
      </c>
      <c r="G2860" s="122" t="s">
        <v>134</v>
      </c>
      <c r="H2860">
        <v>102</v>
      </c>
      <c r="I2860" s="122" t="s">
        <v>1546</v>
      </c>
      <c r="J2860" s="307" t="s">
        <v>214</v>
      </c>
      <c r="K2860" s="127" t="s">
        <v>3806</v>
      </c>
      <c r="L2860" s="151" t="s">
        <v>1579</v>
      </c>
      <c r="M2860">
        <v>137</v>
      </c>
      <c r="N2860" s="123">
        <v>17</v>
      </c>
      <c r="O2860">
        <v>1929</v>
      </c>
      <c r="P2860" s="132" t="s">
        <v>77</v>
      </c>
      <c r="Q2860" s="131">
        <v>473.28</v>
      </c>
      <c r="R2860" s="131">
        <v>75.72</v>
      </c>
      <c r="S2860" s="131"/>
      <c r="T2860" s="155"/>
      <c r="U2860" s="131"/>
      <c r="V2860" s="131">
        <f>+Table1[[#This Row],[SUBTOTAL]]+Table1[[#This Row],[IVA]]-Table1[[#This Row],[RET IVA]]-Table1[[#This Row],[RET ISR]]</f>
        <v>549</v>
      </c>
      <c r="W2860">
        <v>62</v>
      </c>
      <c r="X2860" s="151" t="s">
        <v>1644</v>
      </c>
      <c r="Y2860" s="135" t="s">
        <v>55</v>
      </c>
      <c r="Z2860" s="307">
        <v>218</v>
      </c>
      <c r="AB2860" t="str">
        <f>IF(Table1[[#This Row],[TIPO2]]="costo", VLOOKUP(Table1[[#This Row],[PARTIDA PRESUPUESTAL]],'Cost Report'!G:G,1,0),"Balance")</f>
        <v>2794-003</v>
      </c>
      <c r="AC2860" s="118"/>
      <c r="AD2860" s="159">
        <f>+Table1[[#This Row],[SUBTOTAL]]+Table1[[#This Row],[IVA]]-Table1[[#This Row],[RET IVA]]-Table1[[#This Row],[RET ISR]]-Table1[[#This Row],[TOTAL]]</f>
        <v>0</v>
      </c>
      <c r="AE2860" s="150"/>
      <c r="AF2860" s="151"/>
      <c r="AG2860" s="126" t="s">
        <v>3420</v>
      </c>
      <c r="AK2860" s="306" t="str">
        <f>IF(ISNUMBER(Table1[[#This Row],[FECHA DE RECIBIDO]]), Table1[[#This Row],[FECHA DE RECIBIDO]]-DATE(2023,8,30), "")</f>
        <v/>
      </c>
    </row>
    <row r="2861" spans="1:37" ht="16.05" customHeight="1">
      <c r="A2861" s="152" t="s">
        <v>4101</v>
      </c>
      <c r="B2861" s="153">
        <v>1090</v>
      </c>
      <c r="C2861" s="126" t="s">
        <v>2596</v>
      </c>
      <c r="D2861">
        <v>1960</v>
      </c>
      <c r="E2861" s="126" t="s">
        <v>2008</v>
      </c>
      <c r="F2861" s="125" t="s">
        <v>1607</v>
      </c>
      <c r="G2861" s="125" t="s">
        <v>134</v>
      </c>
      <c r="H2861">
        <v>102</v>
      </c>
      <c r="I2861" s="125" t="s">
        <v>1546</v>
      </c>
      <c r="J2861" s="308" t="s">
        <v>214</v>
      </c>
      <c r="K2861" s="127" t="s">
        <v>3806</v>
      </c>
      <c r="L2861" s="153" t="s">
        <v>1579</v>
      </c>
      <c r="M2861">
        <v>137</v>
      </c>
      <c r="N2861" s="123">
        <v>17</v>
      </c>
      <c r="O2861">
        <v>1931</v>
      </c>
      <c r="P2861" s="132" t="s">
        <v>77</v>
      </c>
      <c r="Q2861" s="132">
        <v>1808.62</v>
      </c>
      <c r="R2861" s="132">
        <v>289.38</v>
      </c>
      <c r="S2861" s="132"/>
      <c r="T2861" s="156"/>
      <c r="U2861" s="132"/>
      <c r="V2861" s="132">
        <f>+Table1[[#This Row],[SUBTOTAL]]+Table1[[#This Row],[IVA]]-Table1[[#This Row],[RET IVA]]-Table1[[#This Row],[RET ISR]]</f>
        <v>2098</v>
      </c>
      <c r="W2861">
        <v>62</v>
      </c>
      <c r="X2861" s="153" t="s">
        <v>1644</v>
      </c>
      <c r="Y2861" s="124" t="s">
        <v>55</v>
      </c>
      <c r="Z2861" s="308">
        <v>218</v>
      </c>
      <c r="AB2861" t="str">
        <f>IF(Table1[[#This Row],[TIPO2]]="costo", VLOOKUP(Table1[[#This Row],[PARTIDA PRESUPUESTAL]],'Cost Report'!G:G,1,0),"Balance")</f>
        <v>2794-003</v>
      </c>
      <c r="AC2861" s="118"/>
      <c r="AD2861" s="159">
        <f>+Table1[[#This Row],[SUBTOTAL]]+Table1[[#This Row],[IVA]]-Table1[[#This Row],[RET IVA]]-Table1[[#This Row],[RET ISR]]-Table1[[#This Row],[TOTAL]]</f>
        <v>0</v>
      </c>
      <c r="AE2861" s="152"/>
      <c r="AF2861" s="153"/>
      <c r="AG2861" s="126" t="s">
        <v>3420</v>
      </c>
      <c r="AK2861" s="306" t="str">
        <f>IF(ISNUMBER(Table1[[#This Row],[FECHA DE RECIBIDO]]), Table1[[#This Row],[FECHA DE RECIBIDO]]-DATE(2023,8,30), "")</f>
        <v/>
      </c>
    </row>
    <row r="2862" spans="1:37" ht="16.05" customHeight="1">
      <c r="A2862" s="150" t="s">
        <v>4101</v>
      </c>
      <c r="B2862" s="151">
        <v>1090</v>
      </c>
      <c r="C2862" s="126" t="s">
        <v>2596</v>
      </c>
      <c r="D2862">
        <v>1961</v>
      </c>
      <c r="E2862" s="126" t="s">
        <v>2008</v>
      </c>
      <c r="F2862" s="122" t="s">
        <v>1607</v>
      </c>
      <c r="G2862" s="122" t="s">
        <v>134</v>
      </c>
      <c r="H2862">
        <v>102</v>
      </c>
      <c r="I2862" s="122" t="s">
        <v>1546</v>
      </c>
      <c r="J2862" s="307" t="s">
        <v>214</v>
      </c>
      <c r="K2862" s="127" t="s">
        <v>3806</v>
      </c>
      <c r="L2862" s="151" t="s">
        <v>1579</v>
      </c>
      <c r="M2862">
        <v>137</v>
      </c>
      <c r="N2862" s="123">
        <v>17</v>
      </c>
      <c r="O2862">
        <v>1932</v>
      </c>
      <c r="P2862" s="132" t="s">
        <v>77</v>
      </c>
      <c r="Q2862" s="131">
        <v>602.59</v>
      </c>
      <c r="R2862" s="131">
        <v>96.41</v>
      </c>
      <c r="S2862" s="131"/>
      <c r="T2862" s="155"/>
      <c r="U2862" s="131"/>
      <c r="V2862" s="131">
        <f>+Table1[[#This Row],[SUBTOTAL]]+Table1[[#This Row],[IVA]]-Table1[[#This Row],[RET IVA]]-Table1[[#This Row],[RET ISR]]</f>
        <v>699</v>
      </c>
      <c r="W2862">
        <v>62</v>
      </c>
      <c r="X2862" s="151" t="s">
        <v>1644</v>
      </c>
      <c r="Y2862" s="135" t="s">
        <v>55</v>
      </c>
      <c r="Z2862" s="307">
        <v>218</v>
      </c>
      <c r="AB2862" t="str">
        <f>IF(Table1[[#This Row],[TIPO2]]="costo", VLOOKUP(Table1[[#This Row],[PARTIDA PRESUPUESTAL]],'Cost Report'!G:G,1,0),"Balance")</f>
        <v>2794-003</v>
      </c>
      <c r="AC2862" s="118"/>
      <c r="AD2862" s="159">
        <f>+Table1[[#This Row],[SUBTOTAL]]+Table1[[#This Row],[IVA]]-Table1[[#This Row],[RET IVA]]-Table1[[#This Row],[RET ISR]]-Table1[[#This Row],[TOTAL]]</f>
        <v>0</v>
      </c>
      <c r="AE2862" s="150"/>
      <c r="AF2862" s="151"/>
      <c r="AG2862" s="126" t="s">
        <v>3420</v>
      </c>
      <c r="AK2862" s="306" t="str">
        <f>IF(ISNUMBER(Table1[[#This Row],[FECHA DE RECIBIDO]]), Table1[[#This Row],[FECHA DE RECIBIDO]]-DATE(2023,8,30), "")</f>
        <v/>
      </c>
    </row>
    <row r="2863" spans="1:37" ht="16.05" customHeight="1">
      <c r="A2863" s="152" t="s">
        <v>4101</v>
      </c>
      <c r="B2863" s="153">
        <v>1090</v>
      </c>
      <c r="C2863" s="126" t="s">
        <v>2596</v>
      </c>
      <c r="D2863">
        <v>1962</v>
      </c>
      <c r="E2863" s="126" t="s">
        <v>2008</v>
      </c>
      <c r="F2863" s="125" t="s">
        <v>1607</v>
      </c>
      <c r="G2863" s="125" t="s">
        <v>134</v>
      </c>
      <c r="H2863">
        <v>102</v>
      </c>
      <c r="I2863" s="125" t="s">
        <v>1546</v>
      </c>
      <c r="J2863" s="308" t="s">
        <v>214</v>
      </c>
      <c r="K2863" s="127" t="s">
        <v>3806</v>
      </c>
      <c r="L2863" s="153" t="s">
        <v>1579</v>
      </c>
      <c r="M2863">
        <v>137</v>
      </c>
      <c r="N2863" s="123">
        <v>17</v>
      </c>
      <c r="O2863">
        <v>1933</v>
      </c>
      <c r="P2863" s="132" t="s">
        <v>77</v>
      </c>
      <c r="Q2863" s="132">
        <v>1206.03</v>
      </c>
      <c r="R2863" s="132">
        <v>192.97</v>
      </c>
      <c r="S2863" s="132"/>
      <c r="T2863" s="156"/>
      <c r="U2863" s="132"/>
      <c r="V2863" s="132">
        <f>+Table1[[#This Row],[SUBTOTAL]]+Table1[[#This Row],[IVA]]-Table1[[#This Row],[RET IVA]]-Table1[[#This Row],[RET ISR]]</f>
        <v>1399</v>
      </c>
      <c r="W2863">
        <v>62</v>
      </c>
      <c r="X2863" s="153" t="s">
        <v>1644</v>
      </c>
      <c r="Y2863" s="124" t="s">
        <v>55</v>
      </c>
      <c r="Z2863" s="308">
        <v>-147</v>
      </c>
      <c r="AB2863" t="str">
        <f>IF(Table1[[#This Row],[TIPO2]]="costo", VLOOKUP(Table1[[#This Row],[PARTIDA PRESUPUESTAL]],'Cost Report'!G:G,1,0),"Balance")</f>
        <v>2794-003</v>
      </c>
      <c r="AC2863" s="118"/>
      <c r="AD2863" s="159">
        <f>+Table1[[#This Row],[SUBTOTAL]]+Table1[[#This Row],[IVA]]-Table1[[#This Row],[RET IVA]]-Table1[[#This Row],[RET ISR]]-Table1[[#This Row],[TOTAL]]</f>
        <v>0</v>
      </c>
      <c r="AE2863" s="152"/>
      <c r="AF2863" s="153"/>
      <c r="AG2863" s="126" t="s">
        <v>3420</v>
      </c>
      <c r="AK2863" s="306" t="str">
        <f>IF(ISNUMBER(Table1[[#This Row],[FECHA DE RECIBIDO]]), Table1[[#This Row],[FECHA DE RECIBIDO]]-DATE(2023,8,30), "")</f>
        <v/>
      </c>
    </row>
    <row r="2864" spans="1:37" ht="16.05" customHeight="1">
      <c r="A2864" s="150" t="s">
        <v>4101</v>
      </c>
      <c r="B2864" s="151">
        <v>1090</v>
      </c>
      <c r="C2864" s="126" t="s">
        <v>2596</v>
      </c>
      <c r="D2864">
        <v>1963</v>
      </c>
      <c r="E2864" s="126" t="s">
        <v>1987</v>
      </c>
      <c r="F2864" s="122" t="s">
        <v>1607</v>
      </c>
      <c r="G2864" s="122" t="s">
        <v>134</v>
      </c>
      <c r="H2864">
        <v>326</v>
      </c>
      <c r="I2864" s="122" t="s">
        <v>1546</v>
      </c>
      <c r="J2864" s="307" t="s">
        <v>214</v>
      </c>
      <c r="K2864" s="127" t="s">
        <v>3806</v>
      </c>
      <c r="L2864" s="151" t="s">
        <v>1579</v>
      </c>
      <c r="M2864">
        <v>435</v>
      </c>
      <c r="N2864" s="123">
        <v>17</v>
      </c>
      <c r="O2864">
        <v>1934</v>
      </c>
      <c r="P2864" s="132" t="s">
        <v>77</v>
      </c>
      <c r="Q2864" s="131">
        <v>2844.83</v>
      </c>
      <c r="R2864" s="131">
        <v>455.17</v>
      </c>
      <c r="S2864" s="131"/>
      <c r="T2864" s="155"/>
      <c r="U2864" s="131"/>
      <c r="V2864" s="131">
        <f>+Table1[[#This Row],[SUBTOTAL]]+Table1[[#This Row],[IVA]]-Table1[[#This Row],[RET IVA]]-Table1[[#This Row],[RET ISR]]</f>
        <v>3300</v>
      </c>
      <c r="W2864">
        <v>62</v>
      </c>
      <c r="X2864" s="151" t="s">
        <v>1644</v>
      </c>
      <c r="Y2864" s="135" t="s">
        <v>55</v>
      </c>
      <c r="Z2864" s="307">
        <v>-147</v>
      </c>
      <c r="AB2864" t="str">
        <f>IF(Table1[[#This Row],[TIPO2]]="costo", VLOOKUP(Table1[[#This Row],[PARTIDA PRESUPUESTAL]],'Cost Report'!G:G,1,0),"Balance")</f>
        <v>2794-003</v>
      </c>
      <c r="AC2864" s="118"/>
      <c r="AD2864" s="159">
        <f>+Table1[[#This Row],[SUBTOTAL]]+Table1[[#This Row],[IVA]]-Table1[[#This Row],[RET IVA]]-Table1[[#This Row],[RET ISR]]-Table1[[#This Row],[TOTAL]]</f>
        <v>0</v>
      </c>
      <c r="AE2864" s="150"/>
      <c r="AF2864" s="151"/>
      <c r="AG2864" s="126" t="s">
        <v>3420</v>
      </c>
      <c r="AK2864" s="306" t="str">
        <f>IF(ISNUMBER(Table1[[#This Row],[FECHA DE RECIBIDO]]), Table1[[#This Row],[FECHA DE RECIBIDO]]-DATE(2023,8,30), "")</f>
        <v/>
      </c>
    </row>
    <row r="2865" spans="1:37" ht="16.05" customHeight="1">
      <c r="A2865" s="152" t="s">
        <v>4101</v>
      </c>
      <c r="B2865" s="153">
        <v>1090</v>
      </c>
      <c r="C2865" s="126" t="s">
        <v>2596</v>
      </c>
      <c r="D2865">
        <v>1964</v>
      </c>
      <c r="E2865" s="126" t="s">
        <v>1987</v>
      </c>
      <c r="F2865" s="125" t="s">
        <v>1607</v>
      </c>
      <c r="G2865" s="125" t="s">
        <v>134</v>
      </c>
      <c r="H2865">
        <v>326</v>
      </c>
      <c r="I2865" s="125" t="s">
        <v>1546</v>
      </c>
      <c r="J2865" s="308" t="s">
        <v>214</v>
      </c>
      <c r="K2865" s="127" t="s">
        <v>3806</v>
      </c>
      <c r="L2865" s="153" t="s">
        <v>1579</v>
      </c>
      <c r="M2865">
        <v>435</v>
      </c>
      <c r="N2865" s="123">
        <v>17</v>
      </c>
      <c r="O2865">
        <v>1935</v>
      </c>
      <c r="P2865" s="132" t="s">
        <v>77</v>
      </c>
      <c r="Q2865" s="132">
        <v>517.24</v>
      </c>
      <c r="R2865" s="132">
        <v>82.76</v>
      </c>
      <c r="S2865" s="132"/>
      <c r="T2865" s="156"/>
      <c r="U2865" s="132"/>
      <c r="V2865" s="132">
        <f>+Table1[[#This Row],[SUBTOTAL]]+Table1[[#This Row],[IVA]]-Table1[[#This Row],[RET IVA]]-Table1[[#This Row],[RET ISR]]</f>
        <v>600</v>
      </c>
      <c r="W2865">
        <v>62</v>
      </c>
      <c r="X2865" s="153" t="s">
        <v>1644</v>
      </c>
      <c r="Y2865" s="124" t="s">
        <v>55</v>
      </c>
      <c r="Z2865" s="308">
        <v>-147</v>
      </c>
      <c r="AB2865" t="str">
        <f>IF(Table1[[#This Row],[TIPO2]]="costo", VLOOKUP(Table1[[#This Row],[PARTIDA PRESUPUESTAL]],'Cost Report'!G:G,1,0),"Balance")</f>
        <v>2794-003</v>
      </c>
      <c r="AC2865" s="118"/>
      <c r="AD2865" s="159">
        <f>+Table1[[#This Row],[SUBTOTAL]]+Table1[[#This Row],[IVA]]-Table1[[#This Row],[RET IVA]]-Table1[[#This Row],[RET ISR]]-Table1[[#This Row],[TOTAL]]</f>
        <v>0</v>
      </c>
      <c r="AE2865" s="152"/>
      <c r="AF2865" s="153"/>
      <c r="AG2865" s="126" t="s">
        <v>3420</v>
      </c>
      <c r="AK2865" s="306" t="str">
        <f>IF(ISNUMBER(Table1[[#This Row],[FECHA DE RECIBIDO]]), Table1[[#This Row],[FECHA DE RECIBIDO]]-DATE(2023,8,30), "")</f>
        <v/>
      </c>
    </row>
    <row r="2866" spans="1:37" ht="16.05" customHeight="1">
      <c r="A2866" s="150" t="s">
        <v>4101</v>
      </c>
      <c r="B2866" s="151">
        <v>1090</v>
      </c>
      <c r="C2866" s="126" t="s">
        <v>2596</v>
      </c>
      <c r="D2866">
        <v>1965</v>
      </c>
      <c r="E2866" s="126" t="e">
        <v>#N/A</v>
      </c>
      <c r="F2866" s="122" t="e">
        <v>#N/A</v>
      </c>
      <c r="G2866" s="122" t="e">
        <v>#N/A</v>
      </c>
      <c r="H2866">
        <v>36</v>
      </c>
      <c r="I2866" s="122" t="e">
        <v>#N/A</v>
      </c>
      <c r="J2866" s="307" t="s">
        <v>214</v>
      </c>
      <c r="K2866" s="127" t="s">
        <v>3806</v>
      </c>
      <c r="L2866" s="151" t="s">
        <v>1579</v>
      </c>
      <c r="M2866">
        <v>565</v>
      </c>
      <c r="N2866" s="123">
        <v>17</v>
      </c>
      <c r="O2866">
        <v>1936</v>
      </c>
      <c r="P2866" s="132" t="s">
        <v>77</v>
      </c>
      <c r="Q2866" s="131">
        <v>1839.65</v>
      </c>
      <c r="R2866" s="131">
        <v>294.35000000000002</v>
      </c>
      <c r="S2866" s="131"/>
      <c r="T2866" s="155"/>
      <c r="U2866" s="131"/>
      <c r="V2866" s="131">
        <f>+Table1[[#This Row],[SUBTOTAL]]+Table1[[#This Row],[IVA]]-Table1[[#This Row],[RET IVA]]-Table1[[#This Row],[RET ISR]]</f>
        <v>2134</v>
      </c>
      <c r="W2866">
        <v>62</v>
      </c>
      <c r="X2866" s="151" t="s">
        <v>1644</v>
      </c>
      <c r="Y2866" s="135" t="s">
        <v>55</v>
      </c>
      <c r="Z2866" s="307">
        <v>220</v>
      </c>
      <c r="AB2866" t="str">
        <f>IF(Table1[[#This Row],[TIPO2]]="costo", VLOOKUP(Table1[[#This Row],[PARTIDA PRESUPUESTAL]],'Cost Report'!G:G,1,0),"Balance")</f>
        <v>2794-003</v>
      </c>
      <c r="AC2866" s="118"/>
      <c r="AD2866" s="159">
        <f>+Table1[[#This Row],[SUBTOTAL]]+Table1[[#This Row],[IVA]]-Table1[[#This Row],[RET IVA]]-Table1[[#This Row],[RET ISR]]-Table1[[#This Row],[TOTAL]]</f>
        <v>0</v>
      </c>
      <c r="AE2866" s="150"/>
      <c r="AF2866" s="151"/>
      <c r="AG2866" s="126" t="s">
        <v>3420</v>
      </c>
      <c r="AK2866" s="306" t="str">
        <f>IF(ISNUMBER(Table1[[#This Row],[FECHA DE RECIBIDO]]), Table1[[#This Row],[FECHA DE RECIBIDO]]-DATE(2023,8,30), "")</f>
        <v/>
      </c>
    </row>
    <row r="2867" spans="1:37" ht="16.05" customHeight="1">
      <c r="A2867" s="152" t="s">
        <v>4101</v>
      </c>
      <c r="B2867" s="153">
        <v>1090</v>
      </c>
      <c r="C2867" s="126" t="s">
        <v>2596</v>
      </c>
      <c r="D2867">
        <v>1966</v>
      </c>
      <c r="E2867" s="126" t="s">
        <v>1596</v>
      </c>
      <c r="F2867" s="125" t="s">
        <v>1607</v>
      </c>
      <c r="G2867" s="125" t="s">
        <v>134</v>
      </c>
      <c r="H2867">
        <v>424</v>
      </c>
      <c r="I2867" s="125" t="s">
        <v>1546</v>
      </c>
      <c r="J2867" s="308" t="s">
        <v>214</v>
      </c>
      <c r="K2867" s="127" t="s">
        <v>3806</v>
      </c>
      <c r="L2867" s="153" t="s">
        <v>1579</v>
      </c>
      <c r="M2867">
        <v>792</v>
      </c>
      <c r="N2867" s="123">
        <v>17</v>
      </c>
      <c r="O2867">
        <v>1937</v>
      </c>
      <c r="P2867" s="132" t="s">
        <v>77</v>
      </c>
      <c r="Q2867" s="132">
        <v>6715.53</v>
      </c>
      <c r="R2867" s="132">
        <v>1074.49</v>
      </c>
      <c r="S2867" s="132"/>
      <c r="T2867" s="156"/>
      <c r="U2867" s="132"/>
      <c r="V2867" s="132">
        <f>+Table1[[#This Row],[SUBTOTAL]]+Table1[[#This Row],[IVA]]-Table1[[#This Row],[RET IVA]]-Table1[[#This Row],[RET ISR]]</f>
        <v>7790.0199999999995</v>
      </c>
      <c r="W2867">
        <v>62</v>
      </c>
      <c r="X2867" s="153" t="s">
        <v>1644</v>
      </c>
      <c r="Y2867" s="124" t="s">
        <v>55</v>
      </c>
      <c r="Z2867" s="308">
        <v>220</v>
      </c>
      <c r="AB2867" t="str">
        <f>IF(Table1[[#This Row],[TIPO2]]="costo", VLOOKUP(Table1[[#This Row],[PARTIDA PRESUPUESTAL]],'Cost Report'!G:G,1,0),"Balance")</f>
        <v>2794-003</v>
      </c>
      <c r="AC2867" s="118"/>
      <c r="AD2867" s="159">
        <f>+Table1[[#This Row],[SUBTOTAL]]+Table1[[#This Row],[IVA]]-Table1[[#This Row],[RET IVA]]-Table1[[#This Row],[RET ISR]]-Table1[[#This Row],[TOTAL]]</f>
        <v>0</v>
      </c>
      <c r="AE2867" s="152"/>
      <c r="AF2867" s="153"/>
      <c r="AG2867" s="126" t="s">
        <v>3420</v>
      </c>
      <c r="AK2867" s="306" t="str">
        <f>IF(ISNUMBER(Table1[[#This Row],[FECHA DE RECIBIDO]]), Table1[[#This Row],[FECHA DE RECIBIDO]]-DATE(2023,8,30), "")</f>
        <v/>
      </c>
    </row>
    <row r="2868" spans="1:37" ht="16.05" customHeight="1">
      <c r="A2868" s="150" t="s">
        <v>4101</v>
      </c>
      <c r="B2868" s="151">
        <v>1090</v>
      </c>
      <c r="C2868" s="126" t="s">
        <v>2596</v>
      </c>
      <c r="D2868">
        <v>1967</v>
      </c>
      <c r="E2868" s="126" t="s">
        <v>1596</v>
      </c>
      <c r="F2868" s="122" t="s">
        <v>1607</v>
      </c>
      <c r="G2868" s="122" t="s">
        <v>134</v>
      </c>
      <c r="H2868">
        <v>177</v>
      </c>
      <c r="I2868" s="122" t="s">
        <v>1546</v>
      </c>
      <c r="J2868" s="307" t="s">
        <v>214</v>
      </c>
      <c r="K2868" s="127" t="s">
        <v>3806</v>
      </c>
      <c r="L2868" s="151" t="s">
        <v>1579</v>
      </c>
      <c r="M2868">
        <v>238</v>
      </c>
      <c r="N2868" s="123">
        <v>17</v>
      </c>
      <c r="O2868">
        <v>1938</v>
      </c>
      <c r="P2868" s="132" t="s">
        <v>77</v>
      </c>
      <c r="Q2868" s="131">
        <v>86.12</v>
      </c>
      <c r="R2868" s="131">
        <v>13.78</v>
      </c>
      <c r="S2868" s="131"/>
      <c r="T2868" s="155"/>
      <c r="U2868" s="131"/>
      <c r="V2868" s="131">
        <f>+Table1[[#This Row],[SUBTOTAL]]+Table1[[#This Row],[IVA]]-Table1[[#This Row],[RET IVA]]-Table1[[#This Row],[RET ISR]]</f>
        <v>99.9</v>
      </c>
      <c r="W2868">
        <v>62</v>
      </c>
      <c r="X2868" s="151" t="s">
        <v>1644</v>
      </c>
      <c r="Y2868" s="135" t="s">
        <v>55</v>
      </c>
      <c r="Z2868" s="307">
        <v>220</v>
      </c>
      <c r="AB2868" t="str">
        <f>IF(Table1[[#This Row],[TIPO2]]="costo", VLOOKUP(Table1[[#This Row],[PARTIDA PRESUPUESTAL]],'Cost Report'!G:G,1,0),"Balance")</f>
        <v>2794-003</v>
      </c>
      <c r="AC2868" s="118"/>
      <c r="AD2868" s="159">
        <f>+Table1[[#This Row],[SUBTOTAL]]+Table1[[#This Row],[IVA]]-Table1[[#This Row],[RET IVA]]-Table1[[#This Row],[RET ISR]]-Table1[[#This Row],[TOTAL]]</f>
        <v>0</v>
      </c>
      <c r="AE2868" s="150"/>
      <c r="AF2868" s="151"/>
      <c r="AG2868" s="126" t="s">
        <v>3420</v>
      </c>
      <c r="AK2868" s="306" t="str">
        <f>IF(ISNUMBER(Table1[[#This Row],[FECHA DE RECIBIDO]]), Table1[[#This Row],[FECHA DE RECIBIDO]]-DATE(2023,8,30), "")</f>
        <v/>
      </c>
    </row>
    <row r="2869" spans="1:37" ht="16.05" customHeight="1">
      <c r="A2869" s="152" t="s">
        <v>4101</v>
      </c>
      <c r="B2869" s="153">
        <v>1090</v>
      </c>
      <c r="C2869" s="126" t="s">
        <v>2596</v>
      </c>
      <c r="D2869">
        <v>1968</v>
      </c>
      <c r="E2869" s="126" t="s">
        <v>1603</v>
      </c>
      <c r="F2869" s="125" t="s">
        <v>1589</v>
      </c>
      <c r="G2869" s="125" t="s">
        <v>129</v>
      </c>
      <c r="H2869">
        <v>429</v>
      </c>
      <c r="I2869" s="125" t="s">
        <v>1546</v>
      </c>
      <c r="J2869" s="308" t="s">
        <v>214</v>
      </c>
      <c r="K2869" s="127" t="s">
        <v>3806</v>
      </c>
      <c r="L2869" s="153" t="s">
        <v>1579</v>
      </c>
      <c r="M2869">
        <v>572</v>
      </c>
      <c r="N2869" s="123">
        <v>17</v>
      </c>
      <c r="O2869">
        <v>1939</v>
      </c>
      <c r="P2869" s="132" t="s">
        <v>77</v>
      </c>
      <c r="Q2869" s="132">
        <v>9374.83</v>
      </c>
      <c r="R2869" s="132">
        <v>1499.97</v>
      </c>
      <c r="S2869" s="132"/>
      <c r="T2869" s="156"/>
      <c r="U2869" s="132"/>
      <c r="V2869" s="132">
        <f>+Table1[[#This Row],[SUBTOTAL]]+Table1[[#This Row],[IVA]]-Table1[[#This Row],[RET IVA]]-Table1[[#This Row],[RET ISR]]</f>
        <v>10874.8</v>
      </c>
      <c r="W2869">
        <v>62</v>
      </c>
      <c r="X2869" s="153" t="s">
        <v>1644</v>
      </c>
      <c r="Y2869" s="124" t="s">
        <v>55</v>
      </c>
      <c r="Z2869" s="308">
        <v>221</v>
      </c>
      <c r="AB2869" t="str">
        <f>IF(Table1[[#This Row],[TIPO2]]="costo", VLOOKUP(Table1[[#This Row],[PARTIDA PRESUPUESTAL]],'Cost Report'!G:G,1,0),"Balance")</f>
        <v>2794-003</v>
      </c>
      <c r="AC2869" s="118"/>
      <c r="AD2869" s="159">
        <f>+Table1[[#This Row],[SUBTOTAL]]+Table1[[#This Row],[IVA]]-Table1[[#This Row],[RET IVA]]-Table1[[#This Row],[RET ISR]]-Table1[[#This Row],[TOTAL]]</f>
        <v>0</v>
      </c>
      <c r="AE2869" s="152"/>
      <c r="AF2869" s="153"/>
      <c r="AG2869" s="126" t="s">
        <v>3420</v>
      </c>
      <c r="AK2869" s="306" t="str">
        <f>IF(ISNUMBER(Table1[[#This Row],[FECHA DE RECIBIDO]]), Table1[[#This Row],[FECHA DE RECIBIDO]]-DATE(2023,8,30), "")</f>
        <v/>
      </c>
    </row>
    <row r="2870" spans="1:37" ht="16.05" customHeight="1">
      <c r="A2870" s="150" t="s">
        <v>4101</v>
      </c>
      <c r="B2870" s="151">
        <v>1090</v>
      </c>
      <c r="C2870" s="126" t="s">
        <v>2596</v>
      </c>
      <c r="D2870">
        <v>1969</v>
      </c>
      <c r="E2870" s="126" t="s">
        <v>4102</v>
      </c>
      <c r="F2870" s="122" t="s">
        <v>1607</v>
      </c>
      <c r="G2870" s="122" t="s">
        <v>134</v>
      </c>
      <c r="H2870">
        <v>158</v>
      </c>
      <c r="I2870" s="122" t="s">
        <v>1546</v>
      </c>
      <c r="J2870" s="307" t="s">
        <v>214</v>
      </c>
      <c r="K2870" s="127" t="s">
        <v>3806</v>
      </c>
      <c r="L2870" s="151" t="s">
        <v>1579</v>
      </c>
      <c r="M2870">
        <v>793</v>
      </c>
      <c r="N2870" s="123">
        <v>17</v>
      </c>
      <c r="O2870">
        <v>1940</v>
      </c>
      <c r="P2870" s="132" t="s">
        <v>77</v>
      </c>
      <c r="Q2870" s="131">
        <v>1893.97</v>
      </c>
      <c r="R2870" s="131">
        <v>303.02999999999997</v>
      </c>
      <c r="S2870" s="131"/>
      <c r="T2870" s="155"/>
      <c r="U2870" s="131"/>
      <c r="V2870" s="131">
        <f>+Table1[[#This Row],[SUBTOTAL]]+Table1[[#This Row],[IVA]]-Table1[[#This Row],[RET IVA]]-Table1[[#This Row],[RET ISR]]</f>
        <v>2197</v>
      </c>
      <c r="W2870">
        <v>62</v>
      </c>
      <c r="X2870" s="151" t="s">
        <v>1644</v>
      </c>
      <c r="Y2870" s="135" t="s">
        <v>55</v>
      </c>
      <c r="Z2870" s="307">
        <v>221</v>
      </c>
      <c r="AB2870" t="str">
        <f>IF(Table1[[#This Row],[TIPO2]]="costo", VLOOKUP(Table1[[#This Row],[PARTIDA PRESUPUESTAL]],'Cost Report'!G:G,1,0),"Balance")</f>
        <v>2794-003</v>
      </c>
      <c r="AC2870" s="118"/>
      <c r="AD2870" s="159">
        <f>+Table1[[#This Row],[SUBTOTAL]]+Table1[[#This Row],[IVA]]-Table1[[#This Row],[RET IVA]]-Table1[[#This Row],[RET ISR]]-Table1[[#This Row],[TOTAL]]</f>
        <v>0</v>
      </c>
      <c r="AE2870" s="150"/>
      <c r="AF2870" s="151"/>
      <c r="AG2870" s="126" t="s">
        <v>3420</v>
      </c>
      <c r="AK2870" s="306" t="str">
        <f>IF(ISNUMBER(Table1[[#This Row],[FECHA DE RECIBIDO]]), Table1[[#This Row],[FECHA DE RECIBIDO]]-DATE(2023,8,30), "")</f>
        <v/>
      </c>
    </row>
    <row r="2871" spans="1:37" ht="16.05" customHeight="1">
      <c r="A2871" s="152" t="s">
        <v>4101</v>
      </c>
      <c r="B2871" s="153">
        <v>1090</v>
      </c>
      <c r="C2871" s="126" t="s">
        <v>2596</v>
      </c>
      <c r="D2871">
        <v>1970</v>
      </c>
      <c r="E2871" s="126" t="s">
        <v>4102</v>
      </c>
      <c r="F2871" s="125" t="s">
        <v>1607</v>
      </c>
      <c r="G2871" s="125" t="s">
        <v>134</v>
      </c>
      <c r="H2871">
        <v>150</v>
      </c>
      <c r="I2871" s="125" t="s">
        <v>1546</v>
      </c>
      <c r="J2871" s="308" t="s">
        <v>214</v>
      </c>
      <c r="K2871" s="127" t="s">
        <v>3806</v>
      </c>
      <c r="L2871" s="153" t="s">
        <v>1579</v>
      </c>
      <c r="M2871">
        <v>208</v>
      </c>
      <c r="N2871" s="123">
        <v>17</v>
      </c>
      <c r="O2871">
        <v>1941</v>
      </c>
      <c r="P2871" s="132" t="s">
        <v>77</v>
      </c>
      <c r="Q2871" s="132">
        <v>1396.57</v>
      </c>
      <c r="R2871" s="132">
        <v>223.45</v>
      </c>
      <c r="S2871" s="132"/>
      <c r="T2871" s="156"/>
      <c r="U2871" s="132"/>
      <c r="V2871" s="132">
        <f>+Table1[[#This Row],[SUBTOTAL]]+Table1[[#This Row],[IVA]]-Table1[[#This Row],[RET IVA]]-Table1[[#This Row],[RET ISR]]</f>
        <v>1620.02</v>
      </c>
      <c r="W2871">
        <v>62</v>
      </c>
      <c r="X2871" s="153" t="s">
        <v>1644</v>
      </c>
      <c r="Y2871" s="124" t="s">
        <v>55</v>
      </c>
      <c r="Z2871" s="308">
        <v>221</v>
      </c>
      <c r="AB2871" t="str">
        <f>IF(Table1[[#This Row],[TIPO2]]="costo", VLOOKUP(Table1[[#This Row],[PARTIDA PRESUPUESTAL]],'Cost Report'!G:G,1,0),"Balance")</f>
        <v>2794-003</v>
      </c>
      <c r="AC2871" s="118"/>
      <c r="AD2871" s="159">
        <f>+Table1[[#This Row],[SUBTOTAL]]+Table1[[#This Row],[IVA]]-Table1[[#This Row],[RET IVA]]-Table1[[#This Row],[RET ISR]]-Table1[[#This Row],[TOTAL]]</f>
        <v>0</v>
      </c>
      <c r="AE2871" s="152"/>
      <c r="AF2871" s="153"/>
      <c r="AG2871" s="126" t="s">
        <v>3420</v>
      </c>
      <c r="AK2871" s="306" t="str">
        <f>IF(ISNUMBER(Table1[[#This Row],[FECHA DE RECIBIDO]]), Table1[[#This Row],[FECHA DE RECIBIDO]]-DATE(2023,8,30), "")</f>
        <v/>
      </c>
    </row>
    <row r="2872" spans="1:37" ht="16.05" customHeight="1">
      <c r="A2872" s="150" t="s">
        <v>4101</v>
      </c>
      <c r="B2872" s="151">
        <v>1090</v>
      </c>
      <c r="C2872" s="126" t="s">
        <v>2596</v>
      </c>
      <c r="D2872">
        <v>1971</v>
      </c>
      <c r="E2872" s="126" t="s">
        <v>1596</v>
      </c>
      <c r="F2872" s="122" t="s">
        <v>1607</v>
      </c>
      <c r="G2872" s="122" t="s">
        <v>134</v>
      </c>
      <c r="H2872">
        <v>565</v>
      </c>
      <c r="I2872" s="122" t="s">
        <v>1546</v>
      </c>
      <c r="J2872" s="307" t="s">
        <v>214</v>
      </c>
      <c r="K2872" s="127" t="s">
        <v>3806</v>
      </c>
      <c r="L2872" s="151" t="s">
        <v>1579</v>
      </c>
      <c r="M2872">
        <v>794</v>
      </c>
      <c r="N2872" s="123">
        <v>17</v>
      </c>
      <c r="O2872">
        <v>1942</v>
      </c>
      <c r="P2872" s="132" t="s">
        <v>77</v>
      </c>
      <c r="Q2872" s="131">
        <v>422.41</v>
      </c>
      <c r="R2872" s="131">
        <v>67.59</v>
      </c>
      <c r="S2872" s="131"/>
      <c r="T2872" s="155"/>
      <c r="U2872" s="131"/>
      <c r="V2872" s="131">
        <f>+Table1[[#This Row],[SUBTOTAL]]+Table1[[#This Row],[IVA]]-Table1[[#This Row],[RET IVA]]-Table1[[#This Row],[RET ISR]]</f>
        <v>490</v>
      </c>
      <c r="W2872">
        <v>62</v>
      </c>
      <c r="X2872" s="151" t="s">
        <v>1644</v>
      </c>
      <c r="Y2872" s="135" t="s">
        <v>55</v>
      </c>
      <c r="Z2872" s="307">
        <v>222</v>
      </c>
      <c r="AB2872" t="str">
        <f>IF(Table1[[#This Row],[TIPO2]]="costo", VLOOKUP(Table1[[#This Row],[PARTIDA PRESUPUESTAL]],'Cost Report'!G:G,1,0),"Balance")</f>
        <v>2794-003</v>
      </c>
      <c r="AC2872" s="118"/>
      <c r="AD2872" s="159">
        <f>+Table1[[#This Row],[SUBTOTAL]]+Table1[[#This Row],[IVA]]-Table1[[#This Row],[RET IVA]]-Table1[[#This Row],[RET ISR]]-Table1[[#This Row],[TOTAL]]</f>
        <v>0</v>
      </c>
      <c r="AE2872" s="150"/>
      <c r="AF2872" s="151"/>
      <c r="AG2872" s="126" t="s">
        <v>3420</v>
      </c>
      <c r="AK2872" s="306" t="str">
        <f>IF(ISNUMBER(Table1[[#This Row],[FECHA DE RECIBIDO]]), Table1[[#This Row],[FECHA DE RECIBIDO]]-DATE(2023,8,30), "")</f>
        <v/>
      </c>
    </row>
    <row r="2873" spans="1:37" ht="16.05" customHeight="1">
      <c r="A2873" s="152" t="s">
        <v>4101</v>
      </c>
      <c r="B2873" s="153">
        <v>1090</v>
      </c>
      <c r="C2873" s="126" t="s">
        <v>2596</v>
      </c>
      <c r="D2873">
        <v>1972</v>
      </c>
      <c r="E2873" s="126" t="s">
        <v>1596</v>
      </c>
      <c r="F2873" s="125" t="s">
        <v>1607</v>
      </c>
      <c r="G2873" s="125" t="s">
        <v>134</v>
      </c>
      <c r="H2873">
        <v>425</v>
      </c>
      <c r="I2873" s="125" t="s">
        <v>1546</v>
      </c>
      <c r="J2873" s="308" t="s">
        <v>214</v>
      </c>
      <c r="K2873" s="127" t="s">
        <v>3806</v>
      </c>
      <c r="L2873" s="153" t="s">
        <v>1579</v>
      </c>
      <c r="M2873">
        <v>565</v>
      </c>
      <c r="N2873" s="123">
        <v>17</v>
      </c>
      <c r="O2873">
        <v>1943</v>
      </c>
      <c r="P2873" s="132" t="s">
        <v>77</v>
      </c>
      <c r="Q2873" s="132">
        <v>1900.86</v>
      </c>
      <c r="R2873" s="132">
        <v>304.14</v>
      </c>
      <c r="S2873" s="132"/>
      <c r="T2873" s="156"/>
      <c r="U2873" s="132"/>
      <c r="V2873" s="132">
        <f>+Table1[[#This Row],[SUBTOTAL]]+Table1[[#This Row],[IVA]]-Table1[[#This Row],[RET IVA]]-Table1[[#This Row],[RET ISR]]</f>
        <v>2205</v>
      </c>
      <c r="W2873">
        <v>62</v>
      </c>
      <c r="X2873" s="153" t="s">
        <v>1644</v>
      </c>
      <c r="Y2873" s="124" t="s">
        <v>55</v>
      </c>
      <c r="Z2873" s="308">
        <v>223</v>
      </c>
      <c r="AB2873" t="str">
        <f>IF(Table1[[#This Row],[TIPO2]]="costo", VLOOKUP(Table1[[#This Row],[PARTIDA PRESUPUESTAL]],'Cost Report'!G:G,1,0),"Balance")</f>
        <v>2794-003</v>
      </c>
      <c r="AC2873" s="118"/>
      <c r="AD2873" s="159">
        <f>+Table1[[#This Row],[SUBTOTAL]]+Table1[[#This Row],[IVA]]-Table1[[#This Row],[RET IVA]]-Table1[[#This Row],[RET ISR]]-Table1[[#This Row],[TOTAL]]</f>
        <v>0</v>
      </c>
      <c r="AE2873" s="152"/>
      <c r="AF2873" s="153"/>
      <c r="AG2873" s="126" t="s">
        <v>3420</v>
      </c>
      <c r="AK2873" s="306" t="str">
        <f>IF(ISNUMBER(Table1[[#This Row],[FECHA DE RECIBIDO]]), Table1[[#This Row],[FECHA DE RECIBIDO]]-DATE(2023,8,30), "")</f>
        <v/>
      </c>
    </row>
    <row r="2874" spans="1:37" ht="16.05" customHeight="1">
      <c r="A2874" s="150" t="s">
        <v>4101</v>
      </c>
      <c r="B2874" s="151">
        <v>1090</v>
      </c>
      <c r="C2874" s="126" t="s">
        <v>2596</v>
      </c>
      <c r="D2874">
        <v>1973</v>
      </c>
      <c r="E2874" s="126" t="s">
        <v>1596</v>
      </c>
      <c r="F2874" s="122" t="s">
        <v>1607</v>
      </c>
      <c r="G2874" s="122" t="s">
        <v>134</v>
      </c>
      <c r="H2874">
        <v>425</v>
      </c>
      <c r="I2874" s="122" t="s">
        <v>1546</v>
      </c>
      <c r="J2874" s="307" t="s">
        <v>214</v>
      </c>
      <c r="K2874" s="127" t="s">
        <v>3806</v>
      </c>
      <c r="L2874" s="151" t="s">
        <v>1579</v>
      </c>
      <c r="M2874">
        <v>565</v>
      </c>
      <c r="N2874" s="123">
        <v>17</v>
      </c>
      <c r="O2874">
        <v>1944</v>
      </c>
      <c r="P2874" s="132" t="s">
        <v>77</v>
      </c>
      <c r="Q2874" s="131">
        <v>2525</v>
      </c>
      <c r="R2874" s="131">
        <v>404</v>
      </c>
      <c r="S2874" s="131"/>
      <c r="T2874" s="155"/>
      <c r="U2874" s="131"/>
      <c r="V2874" s="131">
        <f>+Table1[[#This Row],[SUBTOTAL]]+Table1[[#This Row],[IVA]]-Table1[[#This Row],[RET IVA]]-Table1[[#This Row],[RET ISR]]</f>
        <v>2929</v>
      </c>
      <c r="W2874">
        <v>62</v>
      </c>
      <c r="X2874" s="151" t="s">
        <v>1644</v>
      </c>
      <c r="Y2874" s="135" t="s">
        <v>55</v>
      </c>
      <c r="Z2874" s="307">
        <v>223</v>
      </c>
      <c r="AB2874" t="str">
        <f>IF(Table1[[#This Row],[TIPO2]]="costo", VLOOKUP(Table1[[#This Row],[PARTIDA PRESUPUESTAL]],'Cost Report'!G:G,1,0),"Balance")</f>
        <v>2794-003</v>
      </c>
      <c r="AC2874" s="118"/>
      <c r="AD2874" s="159">
        <f>+Table1[[#This Row],[SUBTOTAL]]+Table1[[#This Row],[IVA]]-Table1[[#This Row],[RET IVA]]-Table1[[#This Row],[RET ISR]]-Table1[[#This Row],[TOTAL]]</f>
        <v>0</v>
      </c>
      <c r="AE2874" s="150"/>
      <c r="AF2874" s="151"/>
      <c r="AG2874" s="126" t="s">
        <v>3420</v>
      </c>
      <c r="AK2874" s="306" t="str">
        <f>IF(ISNUMBER(Table1[[#This Row],[FECHA DE RECIBIDO]]), Table1[[#This Row],[FECHA DE RECIBIDO]]-DATE(2023,8,30), "")</f>
        <v/>
      </c>
    </row>
    <row r="2875" spans="1:37" ht="16.05" customHeight="1">
      <c r="A2875" s="152" t="s">
        <v>4101</v>
      </c>
      <c r="B2875" s="153">
        <v>1090</v>
      </c>
      <c r="C2875" s="126" t="s">
        <v>2596</v>
      </c>
      <c r="D2875">
        <v>1974</v>
      </c>
      <c r="E2875" s="126" t="s">
        <v>1596</v>
      </c>
      <c r="F2875" s="125" t="s">
        <v>1607</v>
      </c>
      <c r="G2875" s="125" t="s">
        <v>134</v>
      </c>
      <c r="H2875">
        <v>424</v>
      </c>
      <c r="I2875" s="125" t="s">
        <v>1546</v>
      </c>
      <c r="J2875" s="308" t="s">
        <v>214</v>
      </c>
      <c r="K2875" s="127" t="s">
        <v>3806</v>
      </c>
      <c r="L2875" s="153" t="s">
        <v>1579</v>
      </c>
      <c r="M2875">
        <v>792</v>
      </c>
      <c r="N2875" s="123">
        <v>17</v>
      </c>
      <c r="O2875">
        <v>1945</v>
      </c>
      <c r="P2875" s="132" t="s">
        <v>77</v>
      </c>
      <c r="Q2875" s="132">
        <v>2025.86</v>
      </c>
      <c r="R2875" s="132">
        <v>324.14</v>
      </c>
      <c r="S2875" s="132"/>
      <c r="T2875" s="156"/>
      <c r="U2875" s="132"/>
      <c r="V2875" s="132">
        <f>+Table1[[#This Row],[SUBTOTAL]]+Table1[[#This Row],[IVA]]-Table1[[#This Row],[RET IVA]]-Table1[[#This Row],[RET ISR]]</f>
        <v>2350</v>
      </c>
      <c r="W2875">
        <v>62</v>
      </c>
      <c r="X2875" s="153" t="s">
        <v>1644</v>
      </c>
      <c r="Y2875" s="124" t="s">
        <v>55</v>
      </c>
      <c r="Z2875" s="308">
        <v>223</v>
      </c>
      <c r="AB2875" t="str">
        <f>IF(Table1[[#This Row],[TIPO2]]="costo", VLOOKUP(Table1[[#This Row],[PARTIDA PRESUPUESTAL]],'Cost Report'!G:G,1,0),"Balance")</f>
        <v>2794-003</v>
      </c>
      <c r="AC2875" s="118"/>
      <c r="AD2875" s="159">
        <f>+Table1[[#This Row],[SUBTOTAL]]+Table1[[#This Row],[IVA]]-Table1[[#This Row],[RET IVA]]-Table1[[#This Row],[RET ISR]]-Table1[[#This Row],[TOTAL]]</f>
        <v>0</v>
      </c>
      <c r="AE2875" s="152"/>
      <c r="AF2875" s="153"/>
      <c r="AG2875" s="126" t="s">
        <v>3420</v>
      </c>
      <c r="AK2875" s="306" t="str">
        <f>IF(ISNUMBER(Table1[[#This Row],[FECHA DE RECIBIDO]]), Table1[[#This Row],[FECHA DE RECIBIDO]]-DATE(2023,8,30), "")</f>
        <v/>
      </c>
    </row>
    <row r="2876" spans="1:37" ht="16.05" customHeight="1">
      <c r="A2876" s="150" t="s">
        <v>4101</v>
      </c>
      <c r="B2876" s="151">
        <v>1090</v>
      </c>
      <c r="C2876" s="126" t="s">
        <v>2596</v>
      </c>
      <c r="D2876">
        <v>1975</v>
      </c>
      <c r="E2876" s="126" t="s">
        <v>3275</v>
      </c>
      <c r="F2876" s="122" t="s">
        <v>1607</v>
      </c>
      <c r="G2876" s="122" t="s">
        <v>134</v>
      </c>
      <c r="H2876">
        <v>150</v>
      </c>
      <c r="I2876" s="122" t="s">
        <v>1546</v>
      </c>
      <c r="J2876" s="307" t="s">
        <v>214</v>
      </c>
      <c r="K2876" s="127" t="s">
        <v>3806</v>
      </c>
      <c r="L2876" s="151" t="s">
        <v>1579</v>
      </c>
      <c r="M2876">
        <v>208</v>
      </c>
      <c r="N2876" s="123">
        <v>17</v>
      </c>
      <c r="O2876">
        <v>1946</v>
      </c>
      <c r="P2876" s="132" t="s">
        <v>77</v>
      </c>
      <c r="Q2876" s="131">
        <v>1489.66</v>
      </c>
      <c r="R2876" s="131">
        <v>238.34</v>
      </c>
      <c r="S2876" s="131"/>
      <c r="T2876" s="155"/>
      <c r="U2876" s="131"/>
      <c r="V2876" s="131">
        <f>+Table1[[#This Row],[SUBTOTAL]]+Table1[[#This Row],[IVA]]-Table1[[#This Row],[RET IVA]]-Table1[[#This Row],[RET ISR]]</f>
        <v>1728</v>
      </c>
      <c r="W2876">
        <v>62</v>
      </c>
      <c r="X2876" s="151" t="s">
        <v>1644</v>
      </c>
      <c r="Y2876" s="135" t="s">
        <v>55</v>
      </c>
      <c r="Z2876" s="307">
        <v>223</v>
      </c>
      <c r="AB2876" t="str">
        <f>IF(Table1[[#This Row],[TIPO2]]="costo", VLOOKUP(Table1[[#This Row],[PARTIDA PRESUPUESTAL]],'Cost Report'!G:G,1,0),"Balance")</f>
        <v>2794-003</v>
      </c>
      <c r="AC2876" s="118"/>
      <c r="AD2876" s="159">
        <f>+Table1[[#This Row],[SUBTOTAL]]+Table1[[#This Row],[IVA]]-Table1[[#This Row],[RET IVA]]-Table1[[#This Row],[RET ISR]]-Table1[[#This Row],[TOTAL]]</f>
        <v>0</v>
      </c>
      <c r="AE2876" s="150"/>
      <c r="AF2876" s="151"/>
      <c r="AG2876" s="126" t="s">
        <v>3420</v>
      </c>
      <c r="AK2876" s="306" t="str">
        <f>IF(ISNUMBER(Table1[[#This Row],[FECHA DE RECIBIDO]]), Table1[[#This Row],[FECHA DE RECIBIDO]]-DATE(2023,8,30), "")</f>
        <v/>
      </c>
    </row>
    <row r="2877" spans="1:37" ht="16.05" customHeight="1">
      <c r="A2877" s="152" t="s">
        <v>4101</v>
      </c>
      <c r="B2877" s="153">
        <v>1090</v>
      </c>
      <c r="C2877" s="126" t="s">
        <v>2596</v>
      </c>
      <c r="D2877">
        <v>1976</v>
      </c>
      <c r="E2877" s="126" t="s">
        <v>2008</v>
      </c>
      <c r="F2877" s="125" t="s">
        <v>1607</v>
      </c>
      <c r="G2877" s="125" t="s">
        <v>134</v>
      </c>
      <c r="H2877">
        <v>100</v>
      </c>
      <c r="I2877" s="125" t="s">
        <v>1546</v>
      </c>
      <c r="J2877" s="308" t="s">
        <v>214</v>
      </c>
      <c r="K2877" s="127" t="s">
        <v>3806</v>
      </c>
      <c r="L2877" s="153" t="s">
        <v>1579</v>
      </c>
      <c r="M2877">
        <v>135</v>
      </c>
      <c r="N2877" s="123">
        <v>17</v>
      </c>
      <c r="O2877">
        <v>1947</v>
      </c>
      <c r="P2877" s="132" t="s">
        <v>77</v>
      </c>
      <c r="Q2877" s="132">
        <v>171.55</v>
      </c>
      <c r="R2877" s="132">
        <v>27.45</v>
      </c>
      <c r="S2877" s="132"/>
      <c r="T2877" s="156"/>
      <c r="U2877" s="132"/>
      <c r="V2877" s="132">
        <f>+Table1[[#This Row],[SUBTOTAL]]+Table1[[#This Row],[IVA]]-Table1[[#This Row],[RET IVA]]-Table1[[#This Row],[RET ISR]]</f>
        <v>199</v>
      </c>
      <c r="W2877">
        <v>62</v>
      </c>
      <c r="X2877" s="153" t="s">
        <v>1644</v>
      </c>
      <c r="Y2877" s="124" t="s">
        <v>55</v>
      </c>
      <c r="Z2877" s="308">
        <v>223</v>
      </c>
      <c r="AB2877" t="str">
        <f>IF(Table1[[#This Row],[TIPO2]]="costo", VLOOKUP(Table1[[#This Row],[PARTIDA PRESUPUESTAL]],'Cost Report'!G:G,1,0),"Balance")</f>
        <v>2794-003</v>
      </c>
      <c r="AC2877" s="118"/>
      <c r="AD2877" s="159">
        <f>+Table1[[#This Row],[SUBTOTAL]]+Table1[[#This Row],[IVA]]-Table1[[#This Row],[RET IVA]]-Table1[[#This Row],[RET ISR]]-Table1[[#This Row],[TOTAL]]</f>
        <v>0</v>
      </c>
      <c r="AE2877" s="152"/>
      <c r="AF2877" s="153"/>
      <c r="AG2877" s="126" t="s">
        <v>3420</v>
      </c>
      <c r="AK2877" s="306" t="str">
        <f>IF(ISNUMBER(Table1[[#This Row],[FECHA DE RECIBIDO]]), Table1[[#This Row],[FECHA DE RECIBIDO]]-DATE(2023,8,30), "")</f>
        <v/>
      </c>
    </row>
    <row r="2878" spans="1:37" ht="16.05" customHeight="1">
      <c r="A2878" s="150" t="s">
        <v>4101</v>
      </c>
      <c r="B2878" s="151">
        <v>1090</v>
      </c>
      <c r="C2878" s="126" t="s">
        <v>2596</v>
      </c>
      <c r="D2878">
        <v>1977</v>
      </c>
      <c r="E2878" s="126" t="s">
        <v>2008</v>
      </c>
      <c r="F2878" s="122" t="s">
        <v>1607</v>
      </c>
      <c r="G2878" s="122" t="s">
        <v>134</v>
      </c>
      <c r="H2878">
        <v>102</v>
      </c>
      <c r="I2878" s="122" t="s">
        <v>1546</v>
      </c>
      <c r="J2878" s="307" t="s">
        <v>214</v>
      </c>
      <c r="K2878" s="127" t="s">
        <v>3806</v>
      </c>
      <c r="L2878" s="151" t="s">
        <v>1579</v>
      </c>
      <c r="M2878">
        <v>137</v>
      </c>
      <c r="N2878" s="123">
        <v>17</v>
      </c>
      <c r="O2878">
        <v>1948</v>
      </c>
      <c r="P2878" s="132" t="s">
        <v>77</v>
      </c>
      <c r="Q2878" s="131">
        <v>602.59</v>
      </c>
      <c r="R2878" s="131">
        <v>96.41</v>
      </c>
      <c r="S2878" s="131"/>
      <c r="T2878" s="155"/>
      <c r="U2878" s="131"/>
      <c r="V2878" s="131">
        <f>+Table1[[#This Row],[SUBTOTAL]]+Table1[[#This Row],[IVA]]-Table1[[#This Row],[RET IVA]]-Table1[[#This Row],[RET ISR]]</f>
        <v>699</v>
      </c>
      <c r="W2878">
        <v>62</v>
      </c>
      <c r="X2878" s="151" t="s">
        <v>1644</v>
      </c>
      <c r="Y2878" s="135" t="s">
        <v>55</v>
      </c>
      <c r="Z2878" s="307">
        <v>223</v>
      </c>
      <c r="AB2878" t="str">
        <f>IF(Table1[[#This Row],[TIPO2]]="costo", VLOOKUP(Table1[[#This Row],[PARTIDA PRESUPUESTAL]],'Cost Report'!G:G,1,0),"Balance")</f>
        <v>2794-003</v>
      </c>
      <c r="AC2878" s="118"/>
      <c r="AD2878" s="159">
        <f>+Table1[[#This Row],[SUBTOTAL]]+Table1[[#This Row],[IVA]]-Table1[[#This Row],[RET IVA]]-Table1[[#This Row],[RET ISR]]-Table1[[#This Row],[TOTAL]]</f>
        <v>0</v>
      </c>
      <c r="AE2878" s="150"/>
      <c r="AF2878" s="151"/>
      <c r="AG2878" s="126" t="s">
        <v>3420</v>
      </c>
      <c r="AK2878" s="306" t="str">
        <f>IF(ISNUMBER(Table1[[#This Row],[FECHA DE RECIBIDO]]), Table1[[#This Row],[FECHA DE RECIBIDO]]-DATE(2023,8,30), "")</f>
        <v/>
      </c>
    </row>
    <row r="2879" spans="1:37" ht="16.05" customHeight="1">
      <c r="A2879" s="152" t="s">
        <v>4101</v>
      </c>
      <c r="B2879" s="153">
        <v>1090</v>
      </c>
      <c r="C2879" s="126" t="s">
        <v>2596</v>
      </c>
      <c r="D2879">
        <v>1978</v>
      </c>
      <c r="E2879" s="126" t="s">
        <v>1992</v>
      </c>
      <c r="F2879" s="125" t="s">
        <v>1602</v>
      </c>
      <c r="G2879" s="125" t="s">
        <v>1617</v>
      </c>
      <c r="H2879">
        <v>566</v>
      </c>
      <c r="I2879" s="125" t="s">
        <v>1546</v>
      </c>
      <c r="J2879" s="308" t="s">
        <v>214</v>
      </c>
      <c r="K2879" s="127" t="s">
        <v>3806</v>
      </c>
      <c r="L2879" s="153" t="s">
        <v>1579</v>
      </c>
      <c r="M2879">
        <v>795</v>
      </c>
      <c r="N2879" s="123">
        <v>17</v>
      </c>
      <c r="O2879">
        <v>1949</v>
      </c>
      <c r="P2879" s="132" t="s">
        <v>77</v>
      </c>
      <c r="Q2879" s="132">
        <v>396</v>
      </c>
      <c r="R2879" s="132">
        <v>63.36</v>
      </c>
      <c r="S2879" s="132"/>
      <c r="T2879" s="156"/>
      <c r="U2879" s="132"/>
      <c r="V2879" s="132">
        <f>+Table1[[#This Row],[SUBTOTAL]]+Table1[[#This Row],[IVA]]-Table1[[#This Row],[RET IVA]]-Table1[[#This Row],[RET ISR]]</f>
        <v>459.36</v>
      </c>
      <c r="W2879">
        <v>62</v>
      </c>
      <c r="X2879" s="153" t="s">
        <v>1644</v>
      </c>
      <c r="Y2879" s="124" t="s">
        <v>55</v>
      </c>
      <c r="Z2879" s="308">
        <v>222</v>
      </c>
      <c r="AB2879" t="str">
        <f>IF(Table1[[#This Row],[TIPO2]]="costo", VLOOKUP(Table1[[#This Row],[PARTIDA PRESUPUESTAL]],'Cost Report'!G:G,1,0),"Balance")</f>
        <v>2794-003</v>
      </c>
      <c r="AC2879" s="118"/>
      <c r="AD2879" s="159">
        <f>+Table1[[#This Row],[SUBTOTAL]]+Table1[[#This Row],[IVA]]-Table1[[#This Row],[RET IVA]]-Table1[[#This Row],[RET ISR]]-Table1[[#This Row],[TOTAL]]</f>
        <v>0</v>
      </c>
      <c r="AE2879" s="152"/>
      <c r="AF2879" s="153"/>
      <c r="AG2879" s="126" t="s">
        <v>3420</v>
      </c>
      <c r="AK2879" s="306" t="str">
        <f>IF(ISNUMBER(Table1[[#This Row],[FECHA DE RECIBIDO]]), Table1[[#This Row],[FECHA DE RECIBIDO]]-DATE(2023,8,30), "")</f>
        <v/>
      </c>
    </row>
    <row r="2880" spans="1:37" ht="16.05" customHeight="1">
      <c r="A2880" s="150" t="s">
        <v>4101</v>
      </c>
      <c r="B2880" s="151">
        <v>1090</v>
      </c>
      <c r="C2880" s="126" t="s">
        <v>2596</v>
      </c>
      <c r="D2880">
        <v>1979</v>
      </c>
      <c r="E2880" s="126" t="s">
        <v>1603</v>
      </c>
      <c r="F2880" s="122" t="s">
        <v>1607</v>
      </c>
      <c r="G2880" s="122" t="s">
        <v>134</v>
      </c>
      <c r="H2880">
        <v>91</v>
      </c>
      <c r="I2880" s="122" t="s">
        <v>1546</v>
      </c>
      <c r="J2880" s="307" t="s">
        <v>214</v>
      </c>
      <c r="K2880" s="127" t="s">
        <v>3806</v>
      </c>
      <c r="L2880" s="151" t="s">
        <v>1579</v>
      </c>
      <c r="M2880">
        <v>122</v>
      </c>
      <c r="N2880" s="123">
        <v>17</v>
      </c>
      <c r="O2880">
        <v>1950</v>
      </c>
      <c r="P2880" s="132" t="s">
        <v>77</v>
      </c>
      <c r="Q2880" s="131">
        <v>50.86</v>
      </c>
      <c r="R2880" s="131">
        <v>8.14</v>
      </c>
      <c r="S2880" s="131"/>
      <c r="T2880" s="155"/>
      <c r="U2880" s="131"/>
      <c r="V2880" s="131">
        <f>+Table1[[#This Row],[SUBTOTAL]]+Table1[[#This Row],[IVA]]-Table1[[#This Row],[RET IVA]]-Table1[[#This Row],[RET ISR]]</f>
        <v>59</v>
      </c>
      <c r="W2880">
        <v>62</v>
      </c>
      <c r="X2880" s="151" t="s">
        <v>1644</v>
      </c>
      <c r="Y2880" s="135" t="s">
        <v>55</v>
      </c>
      <c r="Z2880" s="307">
        <v>224</v>
      </c>
      <c r="AB2880" t="str">
        <f>IF(Table1[[#This Row],[TIPO2]]="costo", VLOOKUP(Table1[[#This Row],[PARTIDA PRESUPUESTAL]],'Cost Report'!G:G,1,0),"Balance")</f>
        <v>2794-003</v>
      </c>
      <c r="AC2880" s="118"/>
      <c r="AD2880" s="159">
        <f>+Table1[[#This Row],[SUBTOTAL]]+Table1[[#This Row],[IVA]]-Table1[[#This Row],[RET IVA]]-Table1[[#This Row],[RET ISR]]-Table1[[#This Row],[TOTAL]]</f>
        <v>0</v>
      </c>
      <c r="AE2880" s="150"/>
      <c r="AF2880" s="151"/>
      <c r="AG2880" s="126" t="s">
        <v>3420</v>
      </c>
      <c r="AK2880" s="306" t="str">
        <f>IF(ISNUMBER(Table1[[#This Row],[FECHA DE RECIBIDO]]), Table1[[#This Row],[FECHA DE RECIBIDO]]-DATE(2023,8,30), "")</f>
        <v/>
      </c>
    </row>
    <row r="2881" spans="1:37" ht="16.05" customHeight="1">
      <c r="A2881" s="152" t="s">
        <v>4101</v>
      </c>
      <c r="B2881" s="153">
        <v>1090</v>
      </c>
      <c r="C2881" s="126" t="s">
        <v>2596</v>
      </c>
      <c r="D2881">
        <v>1980</v>
      </c>
      <c r="E2881" s="126" t="s">
        <v>2008</v>
      </c>
      <c r="F2881" s="125" t="s">
        <v>1607</v>
      </c>
      <c r="G2881" s="125" t="s">
        <v>134</v>
      </c>
      <c r="H2881">
        <v>102</v>
      </c>
      <c r="I2881" s="125" t="s">
        <v>1546</v>
      </c>
      <c r="J2881" s="308" t="s">
        <v>214</v>
      </c>
      <c r="K2881" s="127" t="s">
        <v>3806</v>
      </c>
      <c r="L2881" s="153" t="s">
        <v>1579</v>
      </c>
      <c r="M2881">
        <v>137</v>
      </c>
      <c r="N2881" s="123">
        <v>17</v>
      </c>
      <c r="O2881">
        <v>1951</v>
      </c>
      <c r="P2881" s="132" t="s">
        <v>77</v>
      </c>
      <c r="Q2881" s="132">
        <v>1161.21</v>
      </c>
      <c r="R2881" s="132">
        <v>185.79</v>
      </c>
      <c r="S2881" s="132"/>
      <c r="T2881" s="156"/>
      <c r="U2881" s="132"/>
      <c r="V2881" s="132">
        <f>+Table1[[#This Row],[SUBTOTAL]]+Table1[[#This Row],[IVA]]-Table1[[#This Row],[RET IVA]]-Table1[[#This Row],[RET ISR]]</f>
        <v>1347</v>
      </c>
      <c r="W2881">
        <v>62</v>
      </c>
      <c r="X2881" s="153" t="s">
        <v>1644</v>
      </c>
      <c r="Y2881" s="124" t="s">
        <v>55</v>
      </c>
      <c r="Z2881" s="308">
        <v>226</v>
      </c>
      <c r="AB2881" t="str">
        <f>IF(Table1[[#This Row],[TIPO2]]="costo", VLOOKUP(Table1[[#This Row],[PARTIDA PRESUPUESTAL]],'Cost Report'!G:G,1,0),"Balance")</f>
        <v>2794-003</v>
      </c>
      <c r="AC2881" s="118"/>
      <c r="AD2881" s="159">
        <f>+Table1[[#This Row],[SUBTOTAL]]+Table1[[#This Row],[IVA]]-Table1[[#This Row],[RET IVA]]-Table1[[#This Row],[RET ISR]]-Table1[[#This Row],[TOTAL]]</f>
        <v>0</v>
      </c>
      <c r="AE2881" s="152"/>
      <c r="AF2881" s="153"/>
      <c r="AG2881" s="126" t="s">
        <v>3420</v>
      </c>
      <c r="AK2881" s="306" t="str">
        <f>IF(ISNUMBER(Table1[[#This Row],[FECHA DE RECIBIDO]]), Table1[[#This Row],[FECHA DE RECIBIDO]]-DATE(2023,8,30), "")</f>
        <v/>
      </c>
    </row>
    <row r="2882" spans="1:37" ht="16.05" customHeight="1">
      <c r="A2882" s="150" t="s">
        <v>4101</v>
      </c>
      <c r="B2882" s="151">
        <v>1090</v>
      </c>
      <c r="C2882" s="126" t="s">
        <v>2596</v>
      </c>
      <c r="D2882">
        <v>1981</v>
      </c>
      <c r="E2882" s="126" t="s">
        <v>3275</v>
      </c>
      <c r="F2882" s="122" t="s">
        <v>1607</v>
      </c>
      <c r="G2882" s="122" t="s">
        <v>134</v>
      </c>
      <c r="H2882">
        <v>97</v>
      </c>
      <c r="I2882" s="122" t="s">
        <v>1546</v>
      </c>
      <c r="J2882" s="307" t="s">
        <v>214</v>
      </c>
      <c r="K2882" s="127" t="s">
        <v>3806</v>
      </c>
      <c r="L2882" s="151" t="s">
        <v>1579</v>
      </c>
      <c r="M2882">
        <v>791</v>
      </c>
      <c r="N2882" s="123">
        <v>17</v>
      </c>
      <c r="O2882">
        <v>1952</v>
      </c>
      <c r="P2882" s="132" t="s">
        <v>77</v>
      </c>
      <c r="Q2882" s="131">
        <v>1212.93</v>
      </c>
      <c r="R2882" s="131">
        <v>194.07</v>
      </c>
      <c r="S2882" s="131"/>
      <c r="T2882" s="155"/>
      <c r="U2882" s="131"/>
      <c r="V2882" s="131">
        <f>+Table1[[#This Row],[SUBTOTAL]]+Table1[[#This Row],[IVA]]-Table1[[#This Row],[RET IVA]]-Table1[[#This Row],[RET ISR]]</f>
        <v>1407</v>
      </c>
      <c r="W2882">
        <v>62</v>
      </c>
      <c r="X2882" s="151" t="s">
        <v>1644</v>
      </c>
      <c r="Y2882" s="135" t="s">
        <v>55</v>
      </c>
      <c r="Z2882" s="307">
        <v>226</v>
      </c>
      <c r="AB2882" t="str">
        <f>IF(Table1[[#This Row],[TIPO2]]="costo", VLOOKUP(Table1[[#This Row],[PARTIDA PRESUPUESTAL]],'Cost Report'!G:G,1,0),"Balance")</f>
        <v>2794-003</v>
      </c>
      <c r="AC2882" s="118"/>
      <c r="AD2882" s="159">
        <f>+Table1[[#This Row],[SUBTOTAL]]+Table1[[#This Row],[IVA]]-Table1[[#This Row],[RET IVA]]-Table1[[#This Row],[RET ISR]]-Table1[[#This Row],[TOTAL]]</f>
        <v>0</v>
      </c>
      <c r="AE2882" s="150"/>
      <c r="AF2882" s="151"/>
      <c r="AG2882" s="126" t="s">
        <v>3420</v>
      </c>
      <c r="AK2882" s="306" t="str">
        <f>IF(ISNUMBER(Table1[[#This Row],[FECHA DE RECIBIDO]]), Table1[[#This Row],[FECHA DE RECIBIDO]]-DATE(2023,8,30), "")</f>
        <v/>
      </c>
    </row>
    <row r="2883" spans="1:37" ht="16.05" customHeight="1">
      <c r="A2883" s="152" t="s">
        <v>4103</v>
      </c>
      <c r="B2883" s="153">
        <v>1091</v>
      </c>
      <c r="C2883" s="126" t="s">
        <v>2596</v>
      </c>
      <c r="D2883">
        <v>1982</v>
      </c>
      <c r="E2883" s="126" t="s">
        <v>1992</v>
      </c>
      <c r="F2883" s="125" t="s">
        <v>1589</v>
      </c>
      <c r="G2883" s="125" t="s">
        <v>129</v>
      </c>
      <c r="H2883">
        <v>567</v>
      </c>
      <c r="I2883" s="125" t="s">
        <v>1546</v>
      </c>
      <c r="J2883" s="308" t="s">
        <v>214</v>
      </c>
      <c r="K2883" s="127" t="s">
        <v>3806</v>
      </c>
      <c r="L2883" s="153" t="s">
        <v>1579</v>
      </c>
      <c r="M2883">
        <v>796</v>
      </c>
      <c r="N2883" s="123">
        <v>17</v>
      </c>
      <c r="O2883">
        <v>1953</v>
      </c>
      <c r="P2883" s="132" t="s">
        <v>77</v>
      </c>
      <c r="Q2883" s="132">
        <v>86.12</v>
      </c>
      <c r="R2883" s="132">
        <v>13.78</v>
      </c>
      <c r="S2883" s="132"/>
      <c r="T2883" s="156"/>
      <c r="U2883" s="132"/>
      <c r="V2883" s="132">
        <f>+Table1[[#This Row],[SUBTOTAL]]+Table1[[#This Row],[IVA]]-Table1[[#This Row],[RET IVA]]-Table1[[#This Row],[RET ISR]]</f>
        <v>99.9</v>
      </c>
      <c r="W2883">
        <v>62</v>
      </c>
      <c r="X2883" s="153" t="s">
        <v>1644</v>
      </c>
      <c r="Y2883" s="124" t="s">
        <v>55</v>
      </c>
      <c r="Z2883" s="308">
        <v>217</v>
      </c>
      <c r="AB2883" t="str">
        <f>IF(Table1[[#This Row],[TIPO2]]="costo", VLOOKUP(Table1[[#This Row],[PARTIDA PRESUPUESTAL]],'Cost Report'!G:G,1,0),"Balance")</f>
        <v>2794-003</v>
      </c>
      <c r="AC2883" s="118"/>
      <c r="AD2883" s="159">
        <f>+Table1[[#This Row],[SUBTOTAL]]+Table1[[#This Row],[IVA]]-Table1[[#This Row],[RET IVA]]-Table1[[#This Row],[RET ISR]]-Table1[[#This Row],[TOTAL]]</f>
        <v>0</v>
      </c>
      <c r="AE2883" s="152"/>
      <c r="AF2883" s="153"/>
      <c r="AG2883" s="126" t="s">
        <v>3420</v>
      </c>
      <c r="AK2883" s="306" t="str">
        <f>IF(ISNUMBER(Table1[[#This Row],[FECHA DE RECIBIDO]]), Table1[[#This Row],[FECHA DE RECIBIDO]]-DATE(2023,8,30), "")</f>
        <v/>
      </c>
    </row>
    <row r="2884" spans="1:37" ht="16.05" customHeight="1">
      <c r="A2884" s="150" t="s">
        <v>4103</v>
      </c>
      <c r="B2884" s="151">
        <v>1091</v>
      </c>
      <c r="C2884" s="126" t="s">
        <v>2596</v>
      </c>
      <c r="D2884">
        <v>1983</v>
      </c>
      <c r="E2884" s="126" t="s">
        <v>1612</v>
      </c>
      <c r="F2884" s="122" t="s">
        <v>1589</v>
      </c>
      <c r="G2884" s="122" t="s">
        <v>129</v>
      </c>
      <c r="H2884">
        <v>568</v>
      </c>
      <c r="I2884" s="122" t="s">
        <v>1546</v>
      </c>
      <c r="J2884" s="307" t="s">
        <v>214</v>
      </c>
      <c r="K2884" s="127" t="s">
        <v>3806</v>
      </c>
      <c r="L2884" s="151" t="s">
        <v>1579</v>
      </c>
      <c r="M2884">
        <v>797</v>
      </c>
      <c r="N2884" s="123">
        <v>17</v>
      </c>
      <c r="O2884">
        <v>1954</v>
      </c>
      <c r="P2884" s="132" t="s">
        <v>77</v>
      </c>
      <c r="Q2884" s="131">
        <v>3793.1</v>
      </c>
      <c r="R2884" s="131">
        <v>606.9</v>
      </c>
      <c r="S2884" s="131"/>
      <c r="T2884" s="155"/>
      <c r="U2884" s="131"/>
      <c r="V2884" s="131">
        <f>+Table1[[#This Row],[SUBTOTAL]]+Table1[[#This Row],[IVA]]-Table1[[#This Row],[RET IVA]]-Table1[[#This Row],[RET ISR]]</f>
        <v>4400</v>
      </c>
      <c r="W2884">
        <v>62</v>
      </c>
      <c r="X2884" s="151" t="s">
        <v>1644</v>
      </c>
      <c r="Y2884" s="135" t="s">
        <v>55</v>
      </c>
      <c r="Z2884" s="307">
        <v>217</v>
      </c>
      <c r="AB2884" t="str">
        <f>IF(Table1[[#This Row],[TIPO2]]="costo", VLOOKUP(Table1[[#This Row],[PARTIDA PRESUPUESTAL]],'Cost Report'!G:G,1,0),"Balance")</f>
        <v>2794-003</v>
      </c>
      <c r="AC2884" s="118"/>
      <c r="AD2884" s="159">
        <f>+Table1[[#This Row],[SUBTOTAL]]+Table1[[#This Row],[IVA]]-Table1[[#This Row],[RET IVA]]-Table1[[#This Row],[RET ISR]]-Table1[[#This Row],[TOTAL]]</f>
        <v>0</v>
      </c>
      <c r="AE2884" s="150"/>
      <c r="AF2884" s="151"/>
      <c r="AG2884" s="126" t="s">
        <v>3420</v>
      </c>
      <c r="AK2884" s="306" t="str">
        <f>IF(ISNUMBER(Table1[[#This Row],[FECHA DE RECIBIDO]]), Table1[[#This Row],[FECHA DE RECIBIDO]]-DATE(2023,8,30), "")</f>
        <v/>
      </c>
    </row>
    <row r="2885" spans="1:37" ht="16.05" customHeight="1">
      <c r="A2885" s="152" t="s">
        <v>4103</v>
      </c>
      <c r="B2885" s="153">
        <v>1091</v>
      </c>
      <c r="C2885" s="126" t="s">
        <v>2596</v>
      </c>
      <c r="D2885">
        <v>1984</v>
      </c>
      <c r="E2885" s="126" t="s">
        <v>3784</v>
      </c>
      <c r="F2885" s="125" t="s">
        <v>1607</v>
      </c>
      <c r="G2885" s="125" t="s">
        <v>134</v>
      </c>
      <c r="H2885">
        <v>569</v>
      </c>
      <c r="I2885" s="125" t="s">
        <v>1546</v>
      </c>
      <c r="J2885" s="308" t="s">
        <v>214</v>
      </c>
      <c r="K2885" s="127" t="s">
        <v>3806</v>
      </c>
      <c r="L2885" s="153" t="s">
        <v>1579</v>
      </c>
      <c r="M2885">
        <v>798</v>
      </c>
      <c r="N2885" s="123">
        <v>17</v>
      </c>
      <c r="O2885">
        <v>1955</v>
      </c>
      <c r="P2885" s="132" t="s">
        <v>77</v>
      </c>
      <c r="Q2885" s="132">
        <v>1550</v>
      </c>
      <c r="R2885" s="132">
        <v>248</v>
      </c>
      <c r="S2885" s="132"/>
      <c r="T2885" s="156"/>
      <c r="U2885" s="132"/>
      <c r="V2885" s="132">
        <f>+Table1[[#This Row],[SUBTOTAL]]+Table1[[#This Row],[IVA]]-Table1[[#This Row],[RET IVA]]-Table1[[#This Row],[RET ISR]]</f>
        <v>1798</v>
      </c>
      <c r="W2885">
        <v>62</v>
      </c>
      <c r="X2885" s="153" t="s">
        <v>1644</v>
      </c>
      <c r="Y2885" s="124" t="s">
        <v>55</v>
      </c>
      <c r="Z2885" s="308">
        <v>221</v>
      </c>
      <c r="AB2885" t="str">
        <f>IF(Table1[[#This Row],[TIPO2]]="costo", VLOOKUP(Table1[[#This Row],[PARTIDA PRESUPUESTAL]],'Cost Report'!G:G,1,0),"Balance")</f>
        <v>2794-003</v>
      </c>
      <c r="AC2885" s="118"/>
      <c r="AD2885" s="159">
        <f>+Table1[[#This Row],[SUBTOTAL]]+Table1[[#This Row],[IVA]]-Table1[[#This Row],[RET IVA]]-Table1[[#This Row],[RET ISR]]-Table1[[#This Row],[TOTAL]]</f>
        <v>0</v>
      </c>
      <c r="AE2885" s="152"/>
      <c r="AF2885" s="153"/>
      <c r="AG2885" s="126" t="s">
        <v>3420</v>
      </c>
      <c r="AK2885" s="306" t="str">
        <f>IF(ISNUMBER(Table1[[#This Row],[FECHA DE RECIBIDO]]), Table1[[#This Row],[FECHA DE RECIBIDO]]-DATE(2023,8,30), "")</f>
        <v/>
      </c>
    </row>
    <row r="2886" spans="1:37" ht="16.05" customHeight="1">
      <c r="A2886" s="150" t="s">
        <v>4103</v>
      </c>
      <c r="B2886" s="151">
        <v>1091</v>
      </c>
      <c r="C2886" s="126" t="s">
        <v>2596</v>
      </c>
      <c r="D2886">
        <v>1985</v>
      </c>
      <c r="E2886" s="126" t="s">
        <v>3275</v>
      </c>
      <c r="F2886" s="122" t="s">
        <v>1589</v>
      </c>
      <c r="G2886" s="122" t="s">
        <v>129</v>
      </c>
      <c r="H2886">
        <v>570</v>
      </c>
      <c r="I2886" s="122" t="s">
        <v>1546</v>
      </c>
      <c r="J2886" s="307" t="s">
        <v>214</v>
      </c>
      <c r="K2886" s="127" t="s">
        <v>3806</v>
      </c>
      <c r="L2886" s="151" t="s">
        <v>1579</v>
      </c>
      <c r="M2886">
        <v>799</v>
      </c>
      <c r="N2886" s="123">
        <v>17</v>
      </c>
      <c r="O2886">
        <v>1956</v>
      </c>
      <c r="P2886" s="132" t="s">
        <v>77</v>
      </c>
      <c r="Q2886" s="131">
        <v>430.17</v>
      </c>
      <c r="R2886" s="131">
        <v>68.83</v>
      </c>
      <c r="S2886" s="131"/>
      <c r="T2886" s="155"/>
      <c r="U2886" s="131"/>
      <c r="V2886" s="131">
        <f>+Table1[[#This Row],[SUBTOTAL]]+Table1[[#This Row],[IVA]]-Table1[[#This Row],[RET IVA]]-Table1[[#This Row],[RET ISR]]</f>
        <v>499</v>
      </c>
      <c r="W2886">
        <v>62</v>
      </c>
      <c r="X2886" s="151" t="s">
        <v>1644</v>
      </c>
      <c r="Y2886" s="135" t="s">
        <v>55</v>
      </c>
      <c r="Z2886" s="307">
        <v>223</v>
      </c>
      <c r="AB2886" t="str">
        <f>IF(Table1[[#This Row],[TIPO2]]="costo", VLOOKUP(Table1[[#This Row],[PARTIDA PRESUPUESTAL]],'Cost Report'!G:G,1,0),"Balance")</f>
        <v>2794-003</v>
      </c>
      <c r="AC2886" s="118"/>
      <c r="AD2886" s="159">
        <f>+Table1[[#This Row],[SUBTOTAL]]+Table1[[#This Row],[IVA]]-Table1[[#This Row],[RET IVA]]-Table1[[#This Row],[RET ISR]]-Table1[[#This Row],[TOTAL]]</f>
        <v>0</v>
      </c>
      <c r="AE2886" s="150"/>
      <c r="AF2886" s="151"/>
      <c r="AG2886" s="126" t="s">
        <v>3420</v>
      </c>
      <c r="AK2886" s="306" t="str">
        <f>IF(ISNUMBER(Table1[[#This Row],[FECHA DE RECIBIDO]]), Table1[[#This Row],[FECHA DE RECIBIDO]]-DATE(2023,8,30), "")</f>
        <v/>
      </c>
    </row>
    <row r="2887" spans="1:37" ht="16.05" customHeight="1">
      <c r="A2887" s="152" t="s">
        <v>4103</v>
      </c>
      <c r="B2887" s="153">
        <v>1091</v>
      </c>
      <c r="C2887" s="126" t="s">
        <v>2596</v>
      </c>
      <c r="D2887">
        <v>1986</v>
      </c>
      <c r="E2887" s="126" t="s">
        <v>3275</v>
      </c>
      <c r="F2887" s="125" t="s">
        <v>1607</v>
      </c>
      <c r="G2887" s="125" t="s">
        <v>134</v>
      </c>
      <c r="H2887">
        <v>150</v>
      </c>
      <c r="I2887" s="125" t="s">
        <v>1546</v>
      </c>
      <c r="J2887" s="308" t="s">
        <v>214</v>
      </c>
      <c r="K2887" s="127" t="s">
        <v>3806</v>
      </c>
      <c r="L2887" s="153" t="s">
        <v>1579</v>
      </c>
      <c r="M2887">
        <v>208</v>
      </c>
      <c r="N2887" s="123">
        <v>17</v>
      </c>
      <c r="O2887">
        <v>1957</v>
      </c>
      <c r="P2887" s="132" t="s">
        <v>77</v>
      </c>
      <c r="Q2887" s="132">
        <v>1681.03</v>
      </c>
      <c r="R2887" s="132">
        <v>268.97000000000003</v>
      </c>
      <c r="S2887" s="132"/>
      <c r="T2887" s="156"/>
      <c r="U2887" s="132"/>
      <c r="V2887" s="132">
        <f>+Table1[[#This Row],[SUBTOTAL]]+Table1[[#This Row],[IVA]]-Table1[[#This Row],[RET IVA]]-Table1[[#This Row],[RET ISR]]</f>
        <v>1950</v>
      </c>
      <c r="W2887">
        <v>62</v>
      </c>
      <c r="X2887" s="153" t="s">
        <v>1644</v>
      </c>
      <c r="Y2887" s="124" t="s">
        <v>55</v>
      </c>
      <c r="Z2887" s="308">
        <v>226</v>
      </c>
      <c r="AB2887" t="str">
        <f>IF(Table1[[#This Row],[TIPO2]]="costo", VLOOKUP(Table1[[#This Row],[PARTIDA PRESUPUESTAL]],'Cost Report'!G:G,1,0),"Balance")</f>
        <v>2794-003</v>
      </c>
      <c r="AC2887" s="118"/>
      <c r="AD2887" s="159">
        <f>+Table1[[#This Row],[SUBTOTAL]]+Table1[[#This Row],[IVA]]-Table1[[#This Row],[RET IVA]]-Table1[[#This Row],[RET ISR]]-Table1[[#This Row],[TOTAL]]</f>
        <v>0</v>
      </c>
      <c r="AE2887" s="152"/>
      <c r="AF2887" s="153"/>
      <c r="AG2887" s="126" t="s">
        <v>3420</v>
      </c>
      <c r="AK2887" s="306" t="str">
        <f>IF(ISNUMBER(Table1[[#This Row],[FECHA DE RECIBIDO]]), Table1[[#This Row],[FECHA DE RECIBIDO]]-DATE(2023,8,30), "")</f>
        <v/>
      </c>
    </row>
    <row r="2888" spans="1:37" ht="16.05" customHeight="1">
      <c r="A2888" s="150" t="s">
        <v>4103</v>
      </c>
      <c r="B2888" s="151">
        <v>1091</v>
      </c>
      <c r="C2888" s="126" t="s">
        <v>2596</v>
      </c>
      <c r="D2888">
        <v>1987</v>
      </c>
      <c r="E2888" s="126" t="s">
        <v>1596</v>
      </c>
      <c r="F2888" s="122" t="s">
        <v>1593</v>
      </c>
      <c r="G2888" s="122" t="s">
        <v>109</v>
      </c>
      <c r="H2888">
        <v>571</v>
      </c>
      <c r="I2888" s="122" t="s">
        <v>1546</v>
      </c>
      <c r="J2888" s="307" t="s">
        <v>214</v>
      </c>
      <c r="K2888" s="127" t="s">
        <v>3806</v>
      </c>
      <c r="L2888" s="151" t="s">
        <v>1579</v>
      </c>
      <c r="M2888">
        <v>800</v>
      </c>
      <c r="N2888" s="123">
        <v>17</v>
      </c>
      <c r="O2888">
        <v>1958</v>
      </c>
      <c r="P2888" s="132" t="s">
        <v>77</v>
      </c>
      <c r="Q2888" s="131">
        <v>700</v>
      </c>
      <c r="R2888" s="131">
        <v>112</v>
      </c>
      <c r="S2888" s="131"/>
      <c r="T2888" s="155"/>
      <c r="U2888" s="131"/>
      <c r="V2888" s="131">
        <f>+Table1[[#This Row],[SUBTOTAL]]+Table1[[#This Row],[IVA]]-Table1[[#This Row],[RET IVA]]-Table1[[#This Row],[RET ISR]]</f>
        <v>812</v>
      </c>
      <c r="W2888">
        <v>62</v>
      </c>
      <c r="X2888" s="151" t="s">
        <v>1644</v>
      </c>
      <c r="Y2888" s="135" t="s">
        <v>55</v>
      </c>
      <c r="Z2888" s="307">
        <v>226</v>
      </c>
      <c r="AB2888" t="str">
        <f>IF(Table1[[#This Row],[TIPO2]]="costo", VLOOKUP(Table1[[#This Row],[PARTIDA PRESUPUESTAL]],'Cost Report'!G:G,1,0),"Balance")</f>
        <v>2794-003</v>
      </c>
      <c r="AC2888" s="118"/>
      <c r="AD2888" s="159">
        <f>+Table1[[#This Row],[SUBTOTAL]]+Table1[[#This Row],[IVA]]-Table1[[#This Row],[RET IVA]]-Table1[[#This Row],[RET ISR]]-Table1[[#This Row],[TOTAL]]</f>
        <v>0</v>
      </c>
      <c r="AE2888" s="150"/>
      <c r="AF2888" s="151"/>
      <c r="AG2888" s="126" t="s">
        <v>3420</v>
      </c>
      <c r="AK2888" s="306" t="str">
        <f>IF(ISNUMBER(Table1[[#This Row],[FECHA DE RECIBIDO]]), Table1[[#This Row],[FECHA DE RECIBIDO]]-DATE(2023,8,30), "")</f>
        <v/>
      </c>
    </row>
    <row r="2889" spans="1:37" ht="16.05" customHeight="1">
      <c r="A2889" s="152" t="s">
        <v>4103</v>
      </c>
      <c r="B2889" s="153">
        <v>1091</v>
      </c>
      <c r="C2889" s="126" t="s">
        <v>2596</v>
      </c>
      <c r="D2889">
        <v>1988</v>
      </c>
      <c r="E2889" s="126" t="s">
        <v>1598</v>
      </c>
      <c r="F2889" s="125" t="s">
        <v>1607</v>
      </c>
      <c r="G2889" s="125" t="s">
        <v>134</v>
      </c>
      <c r="H2889">
        <v>156</v>
      </c>
      <c r="I2889" s="125" t="s">
        <v>1546</v>
      </c>
      <c r="J2889" s="308" t="s">
        <v>214</v>
      </c>
      <c r="K2889" s="127" t="s">
        <v>3806</v>
      </c>
      <c r="L2889" s="153" t="s">
        <v>1579</v>
      </c>
      <c r="M2889">
        <v>207</v>
      </c>
      <c r="N2889" s="123">
        <v>17</v>
      </c>
      <c r="O2889">
        <v>1959</v>
      </c>
      <c r="P2889" s="132" t="s">
        <v>77</v>
      </c>
      <c r="Q2889" s="132">
        <v>1119.83</v>
      </c>
      <c r="R2889" s="132">
        <v>179.17</v>
      </c>
      <c r="S2889" s="132"/>
      <c r="T2889" s="156"/>
      <c r="U2889" s="132"/>
      <c r="V2889" s="132">
        <f>+Table1[[#This Row],[SUBTOTAL]]+Table1[[#This Row],[IVA]]-Table1[[#This Row],[RET IVA]]-Table1[[#This Row],[RET ISR]]</f>
        <v>1299</v>
      </c>
      <c r="W2889">
        <v>62</v>
      </c>
      <c r="X2889" s="153" t="s">
        <v>1644</v>
      </c>
      <c r="Y2889" s="124" t="s">
        <v>55</v>
      </c>
      <c r="Z2889" s="308">
        <v>227</v>
      </c>
      <c r="AB2889" t="str">
        <f>IF(Table1[[#This Row],[TIPO2]]="costo", VLOOKUP(Table1[[#This Row],[PARTIDA PRESUPUESTAL]],'Cost Report'!G:G,1,0),"Balance")</f>
        <v>2794-003</v>
      </c>
      <c r="AC2889" s="118"/>
      <c r="AD2889" s="159">
        <f>+Table1[[#This Row],[SUBTOTAL]]+Table1[[#This Row],[IVA]]-Table1[[#This Row],[RET IVA]]-Table1[[#This Row],[RET ISR]]-Table1[[#This Row],[TOTAL]]</f>
        <v>0</v>
      </c>
      <c r="AE2889" s="152"/>
      <c r="AF2889" s="153"/>
      <c r="AG2889" s="126" t="s">
        <v>3420</v>
      </c>
      <c r="AK2889" s="306" t="str">
        <f>IF(ISNUMBER(Table1[[#This Row],[FECHA DE RECIBIDO]]), Table1[[#This Row],[FECHA DE RECIBIDO]]-DATE(2023,8,30), "")</f>
        <v/>
      </c>
    </row>
    <row r="2890" spans="1:37" ht="16.05" customHeight="1">
      <c r="A2890" s="150" t="s">
        <v>4103</v>
      </c>
      <c r="B2890" s="151">
        <v>1091</v>
      </c>
      <c r="C2890" s="126" t="s">
        <v>2596</v>
      </c>
      <c r="D2890">
        <v>1989</v>
      </c>
      <c r="E2890" s="126" t="s">
        <v>3275</v>
      </c>
      <c r="F2890" s="122" t="s">
        <v>1607</v>
      </c>
      <c r="G2890" s="122" t="s">
        <v>134</v>
      </c>
      <c r="H2890">
        <v>101</v>
      </c>
      <c r="I2890" s="122" t="s">
        <v>1546</v>
      </c>
      <c r="J2890" s="307" t="s">
        <v>214</v>
      </c>
      <c r="K2890" s="127" t="s">
        <v>3806</v>
      </c>
      <c r="L2890" s="151" t="s">
        <v>1579</v>
      </c>
      <c r="M2890">
        <v>136</v>
      </c>
      <c r="N2890" s="123">
        <v>17</v>
      </c>
      <c r="O2890">
        <v>1346</v>
      </c>
      <c r="P2890" s="132" t="s">
        <v>77</v>
      </c>
      <c r="Q2890" s="131">
        <v>1033.79</v>
      </c>
      <c r="R2890" s="131">
        <v>165.41</v>
      </c>
      <c r="S2890" s="131"/>
      <c r="T2890" s="155"/>
      <c r="U2890" s="131"/>
      <c r="V2890" s="131">
        <f>+Table1[[#This Row],[SUBTOTAL]]+Table1[[#This Row],[IVA]]-Table1[[#This Row],[RET IVA]]-Table1[[#This Row],[RET ISR]]</f>
        <v>1199.2</v>
      </c>
      <c r="W2890">
        <v>62</v>
      </c>
      <c r="X2890" s="151" t="s">
        <v>1644</v>
      </c>
      <c r="Y2890" s="135" t="s">
        <v>55</v>
      </c>
      <c r="Z2890" s="307">
        <v>227</v>
      </c>
      <c r="AB2890" t="str">
        <f>IF(Table1[[#This Row],[TIPO2]]="costo", VLOOKUP(Table1[[#This Row],[PARTIDA PRESUPUESTAL]],'Cost Report'!G:G,1,0),"Balance")</f>
        <v>2794-003</v>
      </c>
      <c r="AC2890" s="118"/>
      <c r="AD2890" s="159">
        <f>+Table1[[#This Row],[SUBTOTAL]]+Table1[[#This Row],[IVA]]-Table1[[#This Row],[RET IVA]]-Table1[[#This Row],[RET ISR]]-Table1[[#This Row],[TOTAL]]</f>
        <v>0</v>
      </c>
      <c r="AE2890" s="150"/>
      <c r="AF2890" s="151"/>
      <c r="AG2890" s="126" t="s">
        <v>3420</v>
      </c>
      <c r="AK2890" s="306" t="str">
        <f>IF(ISNUMBER(Table1[[#This Row],[FECHA DE RECIBIDO]]), Table1[[#This Row],[FECHA DE RECIBIDO]]-DATE(2023,8,30), "")</f>
        <v/>
      </c>
    </row>
    <row r="2891" spans="1:37" ht="16.05" customHeight="1">
      <c r="A2891" s="152" t="s">
        <v>4103</v>
      </c>
      <c r="B2891" s="153">
        <v>1091</v>
      </c>
      <c r="C2891" s="126" t="s">
        <v>2596</v>
      </c>
      <c r="D2891">
        <v>1990</v>
      </c>
      <c r="E2891" s="126" t="s">
        <v>2008</v>
      </c>
      <c r="F2891" s="125" t="s">
        <v>1607</v>
      </c>
      <c r="G2891" s="125" t="s">
        <v>134</v>
      </c>
      <c r="H2891">
        <v>102</v>
      </c>
      <c r="I2891" s="125" t="s">
        <v>1546</v>
      </c>
      <c r="J2891" s="308" t="s">
        <v>214</v>
      </c>
      <c r="K2891" s="127" t="s">
        <v>3806</v>
      </c>
      <c r="L2891" s="153" t="s">
        <v>1579</v>
      </c>
      <c r="M2891">
        <v>137</v>
      </c>
      <c r="N2891" s="123">
        <v>17</v>
      </c>
      <c r="O2891">
        <v>1929</v>
      </c>
      <c r="P2891" s="132" t="s">
        <v>77</v>
      </c>
      <c r="Q2891" s="132">
        <v>1119.83</v>
      </c>
      <c r="R2891" s="132">
        <v>179.17</v>
      </c>
      <c r="S2891" s="132"/>
      <c r="T2891" s="156"/>
      <c r="U2891" s="132"/>
      <c r="V2891" s="132">
        <f>+Table1[[#This Row],[SUBTOTAL]]+Table1[[#This Row],[IVA]]-Table1[[#This Row],[RET IVA]]-Table1[[#This Row],[RET ISR]]</f>
        <v>1299</v>
      </c>
      <c r="W2891">
        <v>62</v>
      </c>
      <c r="X2891" s="153" t="s">
        <v>1644</v>
      </c>
      <c r="Y2891" s="124" t="s">
        <v>55</v>
      </c>
      <c r="Z2891" s="308">
        <v>229</v>
      </c>
      <c r="AB2891" t="str">
        <f>IF(Table1[[#This Row],[TIPO2]]="costo", VLOOKUP(Table1[[#This Row],[PARTIDA PRESUPUESTAL]],'Cost Report'!G:G,1,0),"Balance")</f>
        <v>2794-003</v>
      </c>
      <c r="AC2891" s="118"/>
      <c r="AD2891" s="159">
        <f>+Table1[[#This Row],[SUBTOTAL]]+Table1[[#This Row],[IVA]]-Table1[[#This Row],[RET IVA]]-Table1[[#This Row],[RET ISR]]-Table1[[#This Row],[TOTAL]]</f>
        <v>0</v>
      </c>
      <c r="AE2891" s="152"/>
      <c r="AF2891" s="153"/>
      <c r="AG2891" s="126" t="s">
        <v>3420</v>
      </c>
      <c r="AK2891" s="306" t="str">
        <f>IF(ISNUMBER(Table1[[#This Row],[FECHA DE RECIBIDO]]), Table1[[#This Row],[FECHA DE RECIBIDO]]-DATE(2023,8,30), "")</f>
        <v/>
      </c>
    </row>
    <row r="2892" spans="1:37" ht="16.05" customHeight="1">
      <c r="A2892" s="150" t="s">
        <v>4103</v>
      </c>
      <c r="B2892" s="151">
        <v>1091</v>
      </c>
      <c r="C2892" s="126" t="s">
        <v>2596</v>
      </c>
      <c r="D2892">
        <v>1991</v>
      </c>
      <c r="E2892" s="126" t="s">
        <v>1598</v>
      </c>
      <c r="F2892" s="122" t="s">
        <v>1607</v>
      </c>
      <c r="G2892" s="122" t="s">
        <v>134</v>
      </c>
      <c r="H2892">
        <v>97</v>
      </c>
      <c r="I2892" s="122" t="s">
        <v>1546</v>
      </c>
      <c r="J2892" s="307" t="s">
        <v>214</v>
      </c>
      <c r="K2892" s="127" t="s">
        <v>3806</v>
      </c>
      <c r="L2892" s="151" t="s">
        <v>1579</v>
      </c>
      <c r="M2892">
        <v>791</v>
      </c>
      <c r="N2892" s="123">
        <v>17</v>
      </c>
      <c r="O2892">
        <v>1960</v>
      </c>
      <c r="P2892" s="132" t="s">
        <v>77</v>
      </c>
      <c r="Q2892" s="131">
        <v>559.48</v>
      </c>
      <c r="R2892" s="131">
        <v>89.52</v>
      </c>
      <c r="S2892" s="131"/>
      <c r="T2892" s="155"/>
      <c r="U2892" s="131"/>
      <c r="V2892" s="131">
        <f>+Table1[[#This Row],[SUBTOTAL]]+Table1[[#This Row],[IVA]]-Table1[[#This Row],[RET IVA]]-Table1[[#This Row],[RET ISR]]</f>
        <v>649</v>
      </c>
      <c r="W2892">
        <v>62</v>
      </c>
      <c r="X2892" s="151" t="s">
        <v>1644</v>
      </c>
      <c r="Y2892" s="135" t="s">
        <v>55</v>
      </c>
      <c r="Z2892" s="307">
        <v>229</v>
      </c>
      <c r="AB2892" t="str">
        <f>IF(Table1[[#This Row],[TIPO2]]="costo", VLOOKUP(Table1[[#This Row],[PARTIDA PRESUPUESTAL]],'Cost Report'!G:G,1,0),"Balance")</f>
        <v>2794-003</v>
      </c>
      <c r="AC2892" s="118"/>
      <c r="AD2892" s="159">
        <f>+Table1[[#This Row],[SUBTOTAL]]+Table1[[#This Row],[IVA]]-Table1[[#This Row],[RET IVA]]-Table1[[#This Row],[RET ISR]]-Table1[[#This Row],[TOTAL]]</f>
        <v>0</v>
      </c>
      <c r="AE2892" s="150"/>
      <c r="AF2892" s="151"/>
      <c r="AG2892" s="126" t="s">
        <v>3420</v>
      </c>
      <c r="AK2892" s="306" t="str">
        <f>IF(ISNUMBER(Table1[[#This Row],[FECHA DE RECIBIDO]]), Table1[[#This Row],[FECHA DE RECIBIDO]]-DATE(2023,8,30), "")</f>
        <v/>
      </c>
    </row>
    <row r="2893" spans="1:37" ht="16.05" customHeight="1">
      <c r="A2893" s="152" t="s">
        <v>4103</v>
      </c>
      <c r="B2893" s="153">
        <v>1091</v>
      </c>
      <c r="C2893" s="126" t="s">
        <v>2596</v>
      </c>
      <c r="D2893">
        <v>1992</v>
      </c>
      <c r="E2893" s="126" t="s">
        <v>1598</v>
      </c>
      <c r="F2893" s="125" t="s">
        <v>1607</v>
      </c>
      <c r="G2893" s="125" t="s">
        <v>134</v>
      </c>
      <c r="H2893">
        <v>97</v>
      </c>
      <c r="I2893" s="125" t="s">
        <v>1546</v>
      </c>
      <c r="J2893" s="308" t="s">
        <v>214</v>
      </c>
      <c r="K2893" s="127" t="s">
        <v>3806</v>
      </c>
      <c r="L2893" s="153" t="s">
        <v>1579</v>
      </c>
      <c r="M2893">
        <v>791</v>
      </c>
      <c r="N2893" s="123">
        <v>17</v>
      </c>
      <c r="O2893">
        <v>1947</v>
      </c>
      <c r="P2893" s="132" t="s">
        <v>77</v>
      </c>
      <c r="Q2893" s="132">
        <v>172.42</v>
      </c>
      <c r="R2893" s="132">
        <v>27.58</v>
      </c>
      <c r="S2893" s="132"/>
      <c r="T2893" s="156"/>
      <c r="U2893" s="132"/>
      <c r="V2893" s="132">
        <f>+Table1[[#This Row],[SUBTOTAL]]+Table1[[#This Row],[IVA]]-Table1[[#This Row],[RET IVA]]-Table1[[#This Row],[RET ISR]]</f>
        <v>200</v>
      </c>
      <c r="W2893">
        <v>62</v>
      </c>
      <c r="X2893" s="153" t="s">
        <v>1644</v>
      </c>
      <c r="Y2893" s="124" t="s">
        <v>55</v>
      </c>
      <c r="Z2893" s="308">
        <v>229</v>
      </c>
      <c r="AB2893" t="str">
        <f>IF(Table1[[#This Row],[TIPO2]]="costo", VLOOKUP(Table1[[#This Row],[PARTIDA PRESUPUESTAL]],'Cost Report'!G:G,1,0),"Balance")</f>
        <v>2794-003</v>
      </c>
      <c r="AC2893" s="118"/>
      <c r="AD2893" s="159">
        <f>+Table1[[#This Row],[SUBTOTAL]]+Table1[[#This Row],[IVA]]-Table1[[#This Row],[RET IVA]]-Table1[[#This Row],[RET ISR]]-Table1[[#This Row],[TOTAL]]</f>
        <v>0</v>
      </c>
      <c r="AE2893" s="152"/>
      <c r="AF2893" s="153"/>
      <c r="AG2893" s="126" t="s">
        <v>3420</v>
      </c>
      <c r="AK2893" s="306" t="str">
        <f>IF(ISNUMBER(Table1[[#This Row],[FECHA DE RECIBIDO]]), Table1[[#This Row],[FECHA DE RECIBIDO]]-DATE(2023,8,30), "")</f>
        <v/>
      </c>
    </row>
    <row r="2894" spans="1:37" ht="16.05" customHeight="1">
      <c r="A2894" s="150" t="s">
        <v>4103</v>
      </c>
      <c r="B2894" s="151">
        <v>1091</v>
      </c>
      <c r="C2894" s="126" t="s">
        <v>2596</v>
      </c>
      <c r="D2894">
        <v>1993</v>
      </c>
      <c r="E2894" s="126" t="s">
        <v>1598</v>
      </c>
      <c r="F2894" s="122" t="s">
        <v>1607</v>
      </c>
      <c r="G2894" s="122" t="s">
        <v>134</v>
      </c>
      <c r="H2894">
        <v>150</v>
      </c>
      <c r="I2894" s="122" t="s">
        <v>1546</v>
      </c>
      <c r="J2894" s="307" t="s">
        <v>214</v>
      </c>
      <c r="K2894" s="127" t="s">
        <v>3806</v>
      </c>
      <c r="L2894" s="151" t="s">
        <v>1579</v>
      </c>
      <c r="M2894">
        <v>208</v>
      </c>
      <c r="N2894" s="123">
        <v>17</v>
      </c>
      <c r="O2894">
        <v>1929</v>
      </c>
      <c r="P2894" s="132" t="s">
        <v>77</v>
      </c>
      <c r="Q2894" s="131">
        <v>343.97</v>
      </c>
      <c r="R2894" s="131">
        <v>55.03</v>
      </c>
      <c r="S2894" s="131"/>
      <c r="T2894" s="155"/>
      <c r="U2894" s="131"/>
      <c r="V2894" s="131">
        <f>+Table1[[#This Row],[SUBTOTAL]]+Table1[[#This Row],[IVA]]-Table1[[#This Row],[RET IVA]]-Table1[[#This Row],[RET ISR]]</f>
        <v>399</v>
      </c>
      <c r="W2894">
        <v>62</v>
      </c>
      <c r="X2894" s="151" t="s">
        <v>1644</v>
      </c>
      <c r="Y2894" s="135" t="s">
        <v>55</v>
      </c>
      <c r="Z2894" s="307">
        <v>229</v>
      </c>
      <c r="AB2894" t="str">
        <f>IF(Table1[[#This Row],[TIPO2]]="costo", VLOOKUP(Table1[[#This Row],[PARTIDA PRESUPUESTAL]],'Cost Report'!G:G,1,0),"Balance")</f>
        <v>2794-003</v>
      </c>
      <c r="AC2894" s="118"/>
      <c r="AD2894" s="159">
        <f>+Table1[[#This Row],[SUBTOTAL]]+Table1[[#This Row],[IVA]]-Table1[[#This Row],[RET IVA]]-Table1[[#This Row],[RET ISR]]-Table1[[#This Row],[TOTAL]]</f>
        <v>0</v>
      </c>
      <c r="AE2894" s="150"/>
      <c r="AF2894" s="151"/>
      <c r="AG2894" s="126" t="s">
        <v>3420</v>
      </c>
      <c r="AK2894" s="306" t="str">
        <f>IF(ISNUMBER(Table1[[#This Row],[FECHA DE RECIBIDO]]), Table1[[#This Row],[FECHA DE RECIBIDO]]-DATE(2023,8,30), "")</f>
        <v/>
      </c>
    </row>
    <row r="2895" spans="1:37" ht="16.05" customHeight="1">
      <c r="A2895" s="152" t="s">
        <v>4103</v>
      </c>
      <c r="B2895" s="153">
        <v>1091</v>
      </c>
      <c r="C2895" s="126" t="s">
        <v>2596</v>
      </c>
      <c r="D2895">
        <v>1994</v>
      </c>
      <c r="E2895" s="126" t="s">
        <v>4102</v>
      </c>
      <c r="F2895" s="125" t="s">
        <v>1607</v>
      </c>
      <c r="G2895" s="125" t="s">
        <v>134</v>
      </c>
      <c r="H2895">
        <v>102</v>
      </c>
      <c r="I2895" s="125" t="s">
        <v>1546</v>
      </c>
      <c r="J2895" s="308" t="s">
        <v>214</v>
      </c>
      <c r="K2895" s="127" t="s">
        <v>3806</v>
      </c>
      <c r="L2895" s="153" t="s">
        <v>1579</v>
      </c>
      <c r="M2895">
        <v>137</v>
      </c>
      <c r="N2895" s="123">
        <v>17</v>
      </c>
      <c r="O2895">
        <v>1961</v>
      </c>
      <c r="P2895" s="132" t="s">
        <v>77</v>
      </c>
      <c r="Q2895" s="132">
        <v>6374.14</v>
      </c>
      <c r="R2895" s="132">
        <v>1019.86</v>
      </c>
      <c r="S2895" s="132"/>
      <c r="T2895" s="156"/>
      <c r="U2895" s="132"/>
      <c r="V2895" s="132">
        <f>+Table1[[#This Row],[SUBTOTAL]]+Table1[[#This Row],[IVA]]-Table1[[#This Row],[RET IVA]]-Table1[[#This Row],[RET ISR]]</f>
        <v>7394</v>
      </c>
      <c r="W2895">
        <v>62</v>
      </c>
      <c r="X2895" s="153" t="s">
        <v>1644</v>
      </c>
      <c r="Y2895" s="124" t="s">
        <v>55</v>
      </c>
      <c r="Z2895" s="308">
        <v>229</v>
      </c>
      <c r="AB2895" t="str">
        <f>IF(Table1[[#This Row],[TIPO2]]="costo", VLOOKUP(Table1[[#This Row],[PARTIDA PRESUPUESTAL]],'Cost Report'!G:G,1,0),"Balance")</f>
        <v>2794-003</v>
      </c>
      <c r="AC2895" s="118"/>
      <c r="AD2895" s="159">
        <f>+Table1[[#This Row],[SUBTOTAL]]+Table1[[#This Row],[IVA]]-Table1[[#This Row],[RET IVA]]-Table1[[#This Row],[RET ISR]]-Table1[[#This Row],[TOTAL]]</f>
        <v>0</v>
      </c>
      <c r="AE2895" s="152"/>
      <c r="AF2895" s="153"/>
      <c r="AG2895" s="126" t="s">
        <v>3420</v>
      </c>
      <c r="AK2895" s="306" t="str">
        <f>IF(ISNUMBER(Table1[[#This Row],[FECHA DE RECIBIDO]]), Table1[[#This Row],[FECHA DE RECIBIDO]]-DATE(2023,8,30), "")</f>
        <v/>
      </c>
    </row>
    <row r="2896" spans="1:37" ht="16.05" customHeight="1">
      <c r="A2896" s="150" t="s">
        <v>4103</v>
      </c>
      <c r="B2896" s="151">
        <v>1091</v>
      </c>
      <c r="C2896" s="126" t="s">
        <v>2596</v>
      </c>
      <c r="D2896">
        <v>1995</v>
      </c>
      <c r="E2896" s="126" t="e">
        <v>#N/A</v>
      </c>
      <c r="F2896" s="122" t="e">
        <v>#N/A</v>
      </c>
      <c r="G2896" s="122" t="e">
        <v>#N/A</v>
      </c>
      <c r="H2896">
        <v>36</v>
      </c>
      <c r="I2896" s="122" t="e">
        <v>#N/A</v>
      </c>
      <c r="J2896" s="307" t="s">
        <v>214</v>
      </c>
      <c r="K2896" s="127" t="s">
        <v>3806</v>
      </c>
      <c r="L2896" s="151" t="s">
        <v>1579</v>
      </c>
      <c r="M2896">
        <v>791</v>
      </c>
      <c r="N2896" s="123">
        <v>17</v>
      </c>
      <c r="O2896">
        <v>1948</v>
      </c>
      <c r="P2896" s="132" t="s">
        <v>77</v>
      </c>
      <c r="Q2896" s="131">
        <v>886.21</v>
      </c>
      <c r="R2896" s="131">
        <v>141.79</v>
      </c>
      <c r="S2896" s="131"/>
      <c r="T2896" s="155"/>
      <c r="U2896" s="131"/>
      <c r="V2896" s="131">
        <f>+Table1[[#This Row],[SUBTOTAL]]+Table1[[#This Row],[IVA]]-Table1[[#This Row],[RET IVA]]-Table1[[#This Row],[RET ISR]]</f>
        <v>1028</v>
      </c>
      <c r="W2896">
        <v>62</v>
      </c>
      <c r="X2896" s="151" t="s">
        <v>1644</v>
      </c>
      <c r="Y2896" s="135" t="s">
        <v>55</v>
      </c>
      <c r="Z2896" s="307">
        <v>229</v>
      </c>
      <c r="AB2896" t="str">
        <f>IF(Table1[[#This Row],[TIPO2]]="costo", VLOOKUP(Table1[[#This Row],[PARTIDA PRESUPUESTAL]],'Cost Report'!G:G,1,0),"Balance")</f>
        <v>2794-003</v>
      </c>
      <c r="AC2896" s="118"/>
      <c r="AD2896" s="159">
        <f>+Table1[[#This Row],[SUBTOTAL]]+Table1[[#This Row],[IVA]]-Table1[[#This Row],[RET IVA]]-Table1[[#This Row],[RET ISR]]-Table1[[#This Row],[TOTAL]]</f>
        <v>0</v>
      </c>
      <c r="AE2896" s="150"/>
      <c r="AF2896" s="151"/>
      <c r="AG2896" s="126" t="s">
        <v>3420</v>
      </c>
      <c r="AK2896" s="306" t="str">
        <f>IF(ISNUMBER(Table1[[#This Row],[FECHA DE RECIBIDO]]), Table1[[#This Row],[FECHA DE RECIBIDO]]-DATE(2023,8,30), "")</f>
        <v/>
      </c>
    </row>
    <row r="2897" spans="1:37" ht="16.05" customHeight="1">
      <c r="A2897" s="152" t="s">
        <v>4103</v>
      </c>
      <c r="B2897" s="153">
        <v>1091</v>
      </c>
      <c r="C2897" s="126" t="s">
        <v>2596</v>
      </c>
      <c r="D2897">
        <v>1996</v>
      </c>
      <c r="E2897" s="126" t="s">
        <v>1598</v>
      </c>
      <c r="F2897" s="125" t="s">
        <v>1607</v>
      </c>
      <c r="G2897" s="125" t="s">
        <v>134</v>
      </c>
      <c r="H2897">
        <v>393</v>
      </c>
      <c r="I2897" s="125" t="s">
        <v>1546</v>
      </c>
      <c r="J2897" s="308" t="s">
        <v>214</v>
      </c>
      <c r="K2897" s="127" t="s">
        <v>3806</v>
      </c>
      <c r="L2897" s="153" t="s">
        <v>1579</v>
      </c>
      <c r="M2897">
        <v>522</v>
      </c>
      <c r="N2897" s="123">
        <v>17</v>
      </c>
      <c r="O2897">
        <v>905</v>
      </c>
      <c r="P2897" s="132" t="s">
        <v>77</v>
      </c>
      <c r="Q2897" s="132">
        <v>51.72</v>
      </c>
      <c r="R2897" s="132">
        <v>8.2799999999999994</v>
      </c>
      <c r="S2897" s="132"/>
      <c r="T2897" s="156"/>
      <c r="U2897" s="132"/>
      <c r="V2897" s="132">
        <f>+Table1[[#This Row],[SUBTOTAL]]+Table1[[#This Row],[IVA]]-Table1[[#This Row],[RET IVA]]-Table1[[#This Row],[RET ISR]]</f>
        <v>60</v>
      </c>
      <c r="W2897">
        <v>62</v>
      </c>
      <c r="X2897" s="153" t="s">
        <v>1644</v>
      </c>
      <c r="Y2897" s="124" t="s">
        <v>55</v>
      </c>
      <c r="Z2897" s="308">
        <v>227</v>
      </c>
      <c r="AB2897" t="str">
        <f>IF(Table1[[#This Row],[TIPO2]]="costo", VLOOKUP(Table1[[#This Row],[PARTIDA PRESUPUESTAL]],'Cost Report'!G:G,1,0),"Balance")</f>
        <v>2794-003</v>
      </c>
      <c r="AC2897" s="118"/>
      <c r="AD2897" s="159">
        <f>+Table1[[#This Row],[SUBTOTAL]]+Table1[[#This Row],[IVA]]-Table1[[#This Row],[RET IVA]]-Table1[[#This Row],[RET ISR]]-Table1[[#This Row],[TOTAL]]</f>
        <v>0</v>
      </c>
      <c r="AE2897" s="152"/>
      <c r="AF2897" s="153"/>
      <c r="AG2897" s="126" t="s">
        <v>3420</v>
      </c>
      <c r="AK2897" s="306" t="str">
        <f>IF(ISNUMBER(Table1[[#This Row],[FECHA DE RECIBIDO]]), Table1[[#This Row],[FECHA DE RECIBIDO]]-DATE(2023,8,30), "")</f>
        <v/>
      </c>
    </row>
    <row r="2898" spans="1:37" ht="16.05" customHeight="1">
      <c r="A2898" s="150" t="s">
        <v>4103</v>
      </c>
      <c r="B2898" s="151">
        <v>1091</v>
      </c>
      <c r="C2898" s="126" t="s">
        <v>2596</v>
      </c>
      <c r="D2898">
        <v>1997</v>
      </c>
      <c r="E2898" s="126" t="s">
        <v>1598</v>
      </c>
      <c r="F2898" s="122" t="s">
        <v>1607</v>
      </c>
      <c r="G2898" s="122" t="s">
        <v>134</v>
      </c>
      <c r="H2898">
        <v>393</v>
      </c>
      <c r="I2898" s="122" t="s">
        <v>1546</v>
      </c>
      <c r="J2898" s="307" t="s">
        <v>214</v>
      </c>
      <c r="K2898" s="127" t="s">
        <v>3806</v>
      </c>
      <c r="L2898" s="151" t="s">
        <v>1579</v>
      </c>
      <c r="M2898">
        <v>522</v>
      </c>
      <c r="N2898" s="123">
        <v>17</v>
      </c>
      <c r="O2898">
        <v>905</v>
      </c>
      <c r="P2898" s="132" t="s">
        <v>77</v>
      </c>
      <c r="Q2898" s="131">
        <v>25.86</v>
      </c>
      <c r="R2898" s="131">
        <v>4.1399999999999997</v>
      </c>
      <c r="S2898" s="131"/>
      <c r="T2898" s="155"/>
      <c r="U2898" s="131"/>
      <c r="V2898" s="131">
        <f>+Table1[[#This Row],[SUBTOTAL]]+Table1[[#This Row],[IVA]]-Table1[[#This Row],[RET IVA]]-Table1[[#This Row],[RET ISR]]</f>
        <v>30</v>
      </c>
      <c r="W2898">
        <v>62</v>
      </c>
      <c r="X2898" s="151" t="s">
        <v>1644</v>
      </c>
      <c r="Y2898" s="135" t="s">
        <v>55</v>
      </c>
      <c r="Z2898" s="307">
        <v>219</v>
      </c>
      <c r="AB2898" t="str">
        <f>IF(Table1[[#This Row],[TIPO2]]="costo", VLOOKUP(Table1[[#This Row],[PARTIDA PRESUPUESTAL]],'Cost Report'!G:G,1,0),"Balance")</f>
        <v>2794-003</v>
      </c>
      <c r="AC2898" s="118"/>
      <c r="AD2898" s="159">
        <f>+Table1[[#This Row],[SUBTOTAL]]+Table1[[#This Row],[IVA]]-Table1[[#This Row],[RET IVA]]-Table1[[#This Row],[RET ISR]]-Table1[[#This Row],[TOTAL]]</f>
        <v>0</v>
      </c>
      <c r="AE2898" s="150"/>
      <c r="AF2898" s="151"/>
      <c r="AG2898" s="126" t="s">
        <v>3420</v>
      </c>
      <c r="AK2898" s="306" t="str">
        <f>IF(ISNUMBER(Table1[[#This Row],[FECHA DE RECIBIDO]]), Table1[[#This Row],[FECHA DE RECIBIDO]]-DATE(2023,8,30), "")</f>
        <v/>
      </c>
    </row>
    <row r="2899" spans="1:37" ht="16.05" customHeight="1">
      <c r="A2899" s="152" t="s">
        <v>4103</v>
      </c>
      <c r="B2899" s="153">
        <v>1091</v>
      </c>
      <c r="C2899" s="126" t="s">
        <v>2596</v>
      </c>
      <c r="D2899">
        <v>1998</v>
      </c>
      <c r="E2899" s="126" t="s">
        <v>3275</v>
      </c>
      <c r="F2899" s="125" t="s">
        <v>1607</v>
      </c>
      <c r="G2899" s="125" t="s">
        <v>134</v>
      </c>
      <c r="H2899">
        <v>57</v>
      </c>
      <c r="I2899" s="125" t="s">
        <v>1546</v>
      </c>
      <c r="J2899" s="308" t="s">
        <v>214</v>
      </c>
      <c r="K2899" s="127" t="s">
        <v>3806</v>
      </c>
      <c r="L2899" s="153" t="s">
        <v>1579</v>
      </c>
      <c r="M2899">
        <v>801</v>
      </c>
      <c r="N2899" s="123">
        <v>17</v>
      </c>
      <c r="O2899">
        <v>1962</v>
      </c>
      <c r="P2899" s="132" t="s">
        <v>77</v>
      </c>
      <c r="Q2899" s="132">
        <v>77.59</v>
      </c>
      <c r="R2899" s="132">
        <v>12.41</v>
      </c>
      <c r="S2899" s="132"/>
      <c r="T2899" s="156"/>
      <c r="U2899" s="132"/>
      <c r="V2899" s="132">
        <f>+Table1[[#This Row],[SUBTOTAL]]+Table1[[#This Row],[IVA]]-Table1[[#This Row],[RET IVA]]-Table1[[#This Row],[RET ISR]]</f>
        <v>90</v>
      </c>
      <c r="W2899">
        <v>62</v>
      </c>
      <c r="X2899" s="153" t="s">
        <v>1644</v>
      </c>
      <c r="Y2899" s="124" t="s">
        <v>55</v>
      </c>
      <c r="Z2899" s="308">
        <v>230</v>
      </c>
      <c r="AB2899" t="str">
        <f>IF(Table1[[#This Row],[TIPO2]]="costo", VLOOKUP(Table1[[#This Row],[PARTIDA PRESUPUESTAL]],'Cost Report'!G:G,1,0),"Balance")</f>
        <v>2794-003</v>
      </c>
      <c r="AC2899" s="118"/>
      <c r="AD2899" s="159">
        <f>+Table1[[#This Row],[SUBTOTAL]]+Table1[[#This Row],[IVA]]-Table1[[#This Row],[RET IVA]]-Table1[[#This Row],[RET ISR]]-Table1[[#This Row],[TOTAL]]</f>
        <v>0</v>
      </c>
      <c r="AE2899" s="152"/>
      <c r="AF2899" s="153"/>
      <c r="AG2899" s="126" t="s">
        <v>3420</v>
      </c>
      <c r="AK2899" s="306" t="str">
        <f>IF(ISNUMBER(Table1[[#This Row],[FECHA DE RECIBIDO]]), Table1[[#This Row],[FECHA DE RECIBIDO]]-DATE(2023,8,30), "")</f>
        <v/>
      </c>
    </row>
    <row r="2900" spans="1:37" ht="16.05" customHeight="1">
      <c r="A2900" s="150" t="s">
        <v>4103</v>
      </c>
      <c r="B2900" s="151">
        <v>1091</v>
      </c>
      <c r="C2900" s="126" t="s">
        <v>2596</v>
      </c>
      <c r="D2900">
        <v>1999</v>
      </c>
      <c r="E2900" s="126" t="s">
        <v>4102</v>
      </c>
      <c r="F2900" s="122" t="s">
        <v>1607</v>
      </c>
      <c r="G2900" s="122" t="s">
        <v>134</v>
      </c>
      <c r="H2900">
        <v>158</v>
      </c>
      <c r="I2900" s="122" t="s">
        <v>1546</v>
      </c>
      <c r="J2900" s="307" t="s">
        <v>214</v>
      </c>
      <c r="K2900" s="127" t="s">
        <v>3806</v>
      </c>
      <c r="L2900" s="151" t="s">
        <v>1579</v>
      </c>
      <c r="M2900">
        <v>211</v>
      </c>
      <c r="N2900" s="123">
        <v>17</v>
      </c>
      <c r="O2900">
        <v>1963</v>
      </c>
      <c r="P2900" s="132" t="s">
        <v>77</v>
      </c>
      <c r="Q2900" s="131">
        <v>482.07</v>
      </c>
      <c r="R2900" s="131">
        <v>77.13</v>
      </c>
      <c r="S2900" s="131"/>
      <c r="T2900" s="155"/>
      <c r="U2900" s="131"/>
      <c r="V2900" s="131">
        <f>+Table1[[#This Row],[SUBTOTAL]]+Table1[[#This Row],[IVA]]-Table1[[#This Row],[RET IVA]]-Table1[[#This Row],[RET ISR]]</f>
        <v>559.20000000000005</v>
      </c>
      <c r="W2900">
        <v>62</v>
      </c>
      <c r="X2900" s="151" t="s">
        <v>1644</v>
      </c>
      <c r="Y2900" s="135" t="s">
        <v>55</v>
      </c>
      <c r="Z2900" s="307">
        <v>230</v>
      </c>
      <c r="AB2900" t="str">
        <f>IF(Table1[[#This Row],[TIPO2]]="costo", VLOOKUP(Table1[[#This Row],[PARTIDA PRESUPUESTAL]],'Cost Report'!G:G,1,0),"Balance")</f>
        <v>2794-003</v>
      </c>
      <c r="AC2900" s="118"/>
      <c r="AD2900" s="159">
        <f>+Table1[[#This Row],[SUBTOTAL]]+Table1[[#This Row],[IVA]]-Table1[[#This Row],[RET IVA]]-Table1[[#This Row],[RET ISR]]-Table1[[#This Row],[TOTAL]]</f>
        <v>0</v>
      </c>
      <c r="AE2900" s="150"/>
      <c r="AF2900" s="151"/>
      <c r="AG2900" s="126" t="s">
        <v>3420</v>
      </c>
      <c r="AK2900" s="306" t="str">
        <f>IF(ISNUMBER(Table1[[#This Row],[FECHA DE RECIBIDO]]), Table1[[#This Row],[FECHA DE RECIBIDO]]-DATE(2023,8,30), "")</f>
        <v/>
      </c>
    </row>
    <row r="2901" spans="1:37" ht="16.05" customHeight="1">
      <c r="A2901" s="152" t="s">
        <v>4103</v>
      </c>
      <c r="B2901" s="153">
        <v>1091</v>
      </c>
      <c r="C2901" s="126" t="s">
        <v>2596</v>
      </c>
      <c r="D2901">
        <v>2000</v>
      </c>
      <c r="E2901" s="126" t="e">
        <v>#N/A</v>
      </c>
      <c r="F2901" s="125" t="e">
        <v>#N/A</v>
      </c>
      <c r="G2901" s="125" t="e">
        <v>#N/A</v>
      </c>
      <c r="H2901">
        <v>36</v>
      </c>
      <c r="I2901" s="125" t="e">
        <v>#N/A</v>
      </c>
      <c r="J2901" s="308" t="s">
        <v>214</v>
      </c>
      <c r="K2901" s="127" t="s">
        <v>3806</v>
      </c>
      <c r="L2901" s="153" t="s">
        <v>1579</v>
      </c>
      <c r="M2901">
        <v>802</v>
      </c>
      <c r="N2901" s="123">
        <v>17</v>
      </c>
      <c r="O2901">
        <v>1964</v>
      </c>
      <c r="P2901" s="132" t="s">
        <v>77</v>
      </c>
      <c r="Q2901" s="132">
        <v>515.52</v>
      </c>
      <c r="R2901" s="132">
        <v>82.48</v>
      </c>
      <c r="S2901" s="132"/>
      <c r="T2901" s="156"/>
      <c r="U2901" s="132"/>
      <c r="V2901" s="132">
        <f>+Table1[[#This Row],[SUBTOTAL]]+Table1[[#This Row],[IVA]]-Table1[[#This Row],[RET IVA]]-Table1[[#This Row],[RET ISR]]</f>
        <v>598</v>
      </c>
      <c r="W2901">
        <v>62</v>
      </c>
      <c r="X2901" s="153" t="s">
        <v>1644</v>
      </c>
      <c r="Y2901" s="124" t="s">
        <v>55</v>
      </c>
      <c r="Z2901" s="308">
        <v>230</v>
      </c>
      <c r="AB2901" t="str">
        <f>IF(Table1[[#This Row],[TIPO2]]="costo", VLOOKUP(Table1[[#This Row],[PARTIDA PRESUPUESTAL]],'Cost Report'!G:G,1,0),"Balance")</f>
        <v>2794-003</v>
      </c>
      <c r="AC2901" s="118"/>
      <c r="AD2901" s="159">
        <f>+Table1[[#This Row],[SUBTOTAL]]+Table1[[#This Row],[IVA]]-Table1[[#This Row],[RET IVA]]-Table1[[#This Row],[RET ISR]]-Table1[[#This Row],[TOTAL]]</f>
        <v>0</v>
      </c>
      <c r="AE2901" s="152"/>
      <c r="AF2901" s="153"/>
      <c r="AG2901" s="126" t="s">
        <v>3420</v>
      </c>
      <c r="AK2901" s="306" t="str">
        <f>IF(ISNUMBER(Table1[[#This Row],[FECHA DE RECIBIDO]]), Table1[[#This Row],[FECHA DE RECIBIDO]]-DATE(2023,8,30), "")</f>
        <v/>
      </c>
    </row>
    <row r="2902" spans="1:37" ht="16.05" customHeight="1">
      <c r="A2902" s="150" t="s">
        <v>4103</v>
      </c>
      <c r="B2902" s="151">
        <v>1091</v>
      </c>
      <c r="C2902" s="126" t="s">
        <v>2596</v>
      </c>
      <c r="D2902">
        <v>2001</v>
      </c>
      <c r="E2902" s="126" t="s">
        <v>4102</v>
      </c>
      <c r="F2902" s="122" t="s">
        <v>1607</v>
      </c>
      <c r="G2902" s="122" t="s">
        <v>134</v>
      </c>
      <c r="H2902">
        <v>153</v>
      </c>
      <c r="I2902" s="122" t="s">
        <v>1546</v>
      </c>
      <c r="J2902" s="307" t="s">
        <v>214</v>
      </c>
      <c r="K2902" s="127" t="s">
        <v>3806</v>
      </c>
      <c r="L2902" s="151" t="s">
        <v>1579</v>
      </c>
      <c r="M2902">
        <v>204</v>
      </c>
      <c r="N2902" s="123">
        <v>17</v>
      </c>
      <c r="O2902">
        <v>1965</v>
      </c>
      <c r="P2902" s="132" t="s">
        <v>77</v>
      </c>
      <c r="Q2902" s="131">
        <v>774.14</v>
      </c>
      <c r="R2902" s="131">
        <v>123.86</v>
      </c>
      <c r="S2902" s="131"/>
      <c r="T2902" s="155"/>
      <c r="U2902" s="131"/>
      <c r="V2902" s="131">
        <f>+Table1[[#This Row],[SUBTOTAL]]+Table1[[#This Row],[IVA]]-Table1[[#This Row],[RET IVA]]-Table1[[#This Row],[RET ISR]]</f>
        <v>898</v>
      </c>
      <c r="W2902">
        <v>62</v>
      </c>
      <c r="X2902" s="151" t="s">
        <v>1644</v>
      </c>
      <c r="Y2902" s="135" t="s">
        <v>55</v>
      </c>
      <c r="Z2902" s="307">
        <v>230</v>
      </c>
      <c r="AB2902" t="str">
        <f>IF(Table1[[#This Row],[TIPO2]]="costo", VLOOKUP(Table1[[#This Row],[PARTIDA PRESUPUESTAL]],'Cost Report'!G:G,1,0),"Balance")</f>
        <v>2794-003</v>
      </c>
      <c r="AC2902" s="118"/>
      <c r="AD2902" s="159">
        <f>+Table1[[#This Row],[SUBTOTAL]]+Table1[[#This Row],[IVA]]-Table1[[#This Row],[RET IVA]]-Table1[[#This Row],[RET ISR]]-Table1[[#This Row],[TOTAL]]</f>
        <v>0</v>
      </c>
      <c r="AE2902" s="150"/>
      <c r="AF2902" s="151"/>
      <c r="AG2902" s="126" t="s">
        <v>3420</v>
      </c>
      <c r="AK2902" s="306" t="str">
        <f>IF(ISNUMBER(Table1[[#This Row],[FECHA DE RECIBIDO]]), Table1[[#This Row],[FECHA DE RECIBIDO]]-DATE(2023,8,30), "")</f>
        <v/>
      </c>
    </row>
    <row r="2903" spans="1:37" ht="16.05" customHeight="1">
      <c r="A2903" s="152" t="s">
        <v>4103</v>
      </c>
      <c r="B2903" s="153">
        <v>1091</v>
      </c>
      <c r="C2903" s="126" t="s">
        <v>2596</v>
      </c>
      <c r="D2903">
        <v>2002</v>
      </c>
      <c r="E2903" s="126" t="s">
        <v>2008</v>
      </c>
      <c r="F2903" s="125" t="s">
        <v>1607</v>
      </c>
      <c r="G2903" s="125" t="s">
        <v>134</v>
      </c>
      <c r="H2903">
        <v>100</v>
      </c>
      <c r="I2903" s="125" t="s">
        <v>1546</v>
      </c>
      <c r="J2903" s="308" t="s">
        <v>214</v>
      </c>
      <c r="K2903" s="127" t="s">
        <v>3806</v>
      </c>
      <c r="L2903" s="153" t="s">
        <v>1579</v>
      </c>
      <c r="M2903">
        <v>135</v>
      </c>
      <c r="N2903" s="123">
        <v>17</v>
      </c>
      <c r="O2903">
        <v>1966</v>
      </c>
      <c r="P2903" s="132" t="s">
        <v>77</v>
      </c>
      <c r="Q2903" s="132">
        <v>861.21</v>
      </c>
      <c r="R2903" s="132">
        <v>137.79</v>
      </c>
      <c r="S2903" s="132"/>
      <c r="T2903" s="156"/>
      <c r="U2903" s="132"/>
      <c r="V2903" s="132">
        <f>+Table1[[#This Row],[SUBTOTAL]]+Table1[[#This Row],[IVA]]-Table1[[#This Row],[RET IVA]]-Table1[[#This Row],[RET ISR]]</f>
        <v>999</v>
      </c>
      <c r="W2903">
        <v>62</v>
      </c>
      <c r="X2903" s="153" t="s">
        <v>1644</v>
      </c>
      <c r="Y2903" s="124" t="s">
        <v>55</v>
      </c>
      <c r="Z2903" s="308">
        <v>230</v>
      </c>
      <c r="AB2903" t="str">
        <f>IF(Table1[[#This Row],[TIPO2]]="costo", VLOOKUP(Table1[[#This Row],[PARTIDA PRESUPUESTAL]],'Cost Report'!G:G,1,0),"Balance")</f>
        <v>2794-003</v>
      </c>
      <c r="AC2903" s="118"/>
      <c r="AD2903" s="159">
        <f>+Table1[[#This Row],[SUBTOTAL]]+Table1[[#This Row],[IVA]]-Table1[[#This Row],[RET IVA]]-Table1[[#This Row],[RET ISR]]-Table1[[#This Row],[TOTAL]]</f>
        <v>0</v>
      </c>
      <c r="AE2903" s="152"/>
      <c r="AF2903" s="153"/>
      <c r="AG2903" s="126" t="s">
        <v>3420</v>
      </c>
      <c r="AK2903" s="306" t="str">
        <f>IF(ISNUMBER(Table1[[#This Row],[FECHA DE RECIBIDO]]), Table1[[#This Row],[FECHA DE RECIBIDO]]-DATE(2023,8,30), "")</f>
        <v/>
      </c>
    </row>
    <row r="2904" spans="1:37" ht="16.05" customHeight="1">
      <c r="A2904" s="150" t="s">
        <v>4103</v>
      </c>
      <c r="B2904" s="151">
        <v>1091</v>
      </c>
      <c r="C2904" s="126" t="s">
        <v>2596</v>
      </c>
      <c r="D2904">
        <v>2003</v>
      </c>
      <c r="E2904" s="126" t="s">
        <v>2008</v>
      </c>
      <c r="F2904" s="122" t="s">
        <v>1607</v>
      </c>
      <c r="G2904" s="122" t="s">
        <v>134</v>
      </c>
      <c r="H2904">
        <v>100</v>
      </c>
      <c r="I2904" s="122" t="s">
        <v>1546</v>
      </c>
      <c r="J2904" s="307" t="s">
        <v>214</v>
      </c>
      <c r="K2904" s="127" t="s">
        <v>3806</v>
      </c>
      <c r="L2904" s="151" t="s">
        <v>1579</v>
      </c>
      <c r="M2904">
        <v>135</v>
      </c>
      <c r="N2904" s="123">
        <v>17</v>
      </c>
      <c r="O2904">
        <v>1935</v>
      </c>
      <c r="P2904" s="132" t="s">
        <v>77</v>
      </c>
      <c r="Q2904" s="131">
        <v>1067.23</v>
      </c>
      <c r="R2904" s="131">
        <v>170.77</v>
      </c>
      <c r="S2904" s="131"/>
      <c r="T2904" s="155"/>
      <c r="U2904" s="131"/>
      <c r="V2904" s="131">
        <f>+Table1[[#This Row],[SUBTOTAL]]+Table1[[#This Row],[IVA]]-Table1[[#This Row],[RET IVA]]-Table1[[#This Row],[RET ISR]]</f>
        <v>1238</v>
      </c>
      <c r="W2904">
        <v>62</v>
      </c>
      <c r="X2904" s="151" t="s">
        <v>1644</v>
      </c>
      <c r="Y2904" s="135" t="s">
        <v>55</v>
      </c>
      <c r="Z2904" s="307">
        <v>230</v>
      </c>
      <c r="AB2904" t="str">
        <f>IF(Table1[[#This Row],[TIPO2]]="costo", VLOOKUP(Table1[[#This Row],[PARTIDA PRESUPUESTAL]],'Cost Report'!G:G,1,0),"Balance")</f>
        <v>2794-003</v>
      </c>
      <c r="AC2904" s="118"/>
      <c r="AD2904" s="159">
        <f>+Table1[[#This Row],[SUBTOTAL]]+Table1[[#This Row],[IVA]]-Table1[[#This Row],[RET IVA]]-Table1[[#This Row],[RET ISR]]-Table1[[#This Row],[TOTAL]]</f>
        <v>0</v>
      </c>
      <c r="AE2904" s="150"/>
      <c r="AF2904" s="151"/>
      <c r="AG2904" s="126" t="s">
        <v>3420</v>
      </c>
      <c r="AK2904" s="306" t="str">
        <f>IF(ISNUMBER(Table1[[#This Row],[FECHA DE RECIBIDO]]), Table1[[#This Row],[FECHA DE RECIBIDO]]-DATE(2023,8,30), "")</f>
        <v/>
      </c>
    </row>
    <row r="2905" spans="1:37" ht="16.05" customHeight="1">
      <c r="A2905" s="152" t="s">
        <v>4103</v>
      </c>
      <c r="B2905" s="153">
        <v>1091</v>
      </c>
      <c r="C2905" s="126" t="s">
        <v>2596</v>
      </c>
      <c r="D2905">
        <v>2004</v>
      </c>
      <c r="E2905" s="126" t="s">
        <v>2008</v>
      </c>
      <c r="F2905" s="125" t="s">
        <v>1607</v>
      </c>
      <c r="G2905" s="125" t="s">
        <v>134</v>
      </c>
      <c r="H2905">
        <v>100</v>
      </c>
      <c r="I2905" s="125" t="s">
        <v>1546</v>
      </c>
      <c r="J2905" s="308" t="s">
        <v>214</v>
      </c>
      <c r="K2905" s="127" t="s">
        <v>3806</v>
      </c>
      <c r="L2905" s="153" t="s">
        <v>1579</v>
      </c>
      <c r="M2905">
        <v>135</v>
      </c>
      <c r="N2905" s="123">
        <v>17</v>
      </c>
      <c r="O2905">
        <v>1967</v>
      </c>
      <c r="P2905" s="132" t="s">
        <v>77</v>
      </c>
      <c r="Q2905" s="132">
        <v>775</v>
      </c>
      <c r="R2905" s="132">
        <v>124</v>
      </c>
      <c r="S2905" s="132"/>
      <c r="T2905" s="156"/>
      <c r="U2905" s="132"/>
      <c r="V2905" s="132">
        <f>+Table1[[#This Row],[SUBTOTAL]]+Table1[[#This Row],[IVA]]-Table1[[#This Row],[RET IVA]]-Table1[[#This Row],[RET ISR]]</f>
        <v>899</v>
      </c>
      <c r="W2905">
        <v>62</v>
      </c>
      <c r="X2905" s="153" t="s">
        <v>1644</v>
      </c>
      <c r="Y2905" s="124" t="s">
        <v>55</v>
      </c>
      <c r="Z2905" s="308">
        <v>230</v>
      </c>
      <c r="AB2905" t="str">
        <f>IF(Table1[[#This Row],[TIPO2]]="costo", VLOOKUP(Table1[[#This Row],[PARTIDA PRESUPUESTAL]],'Cost Report'!G:G,1,0),"Balance")</f>
        <v>2794-003</v>
      </c>
      <c r="AC2905" s="118"/>
      <c r="AD2905" s="159">
        <f>+Table1[[#This Row],[SUBTOTAL]]+Table1[[#This Row],[IVA]]-Table1[[#This Row],[RET IVA]]-Table1[[#This Row],[RET ISR]]-Table1[[#This Row],[TOTAL]]</f>
        <v>0</v>
      </c>
      <c r="AE2905" s="152"/>
      <c r="AF2905" s="153"/>
      <c r="AG2905" s="126" t="s">
        <v>3420</v>
      </c>
      <c r="AK2905" s="306" t="str">
        <f>IF(ISNUMBER(Table1[[#This Row],[FECHA DE RECIBIDO]]), Table1[[#This Row],[FECHA DE RECIBIDO]]-DATE(2023,8,30), "")</f>
        <v/>
      </c>
    </row>
    <row r="2906" spans="1:37" ht="16.05" customHeight="1">
      <c r="A2906" s="150" t="s">
        <v>4103</v>
      </c>
      <c r="B2906" s="151">
        <v>1091</v>
      </c>
      <c r="C2906" s="126" t="s">
        <v>2596</v>
      </c>
      <c r="D2906">
        <v>2005</v>
      </c>
      <c r="E2906" s="126" t="s">
        <v>1999</v>
      </c>
      <c r="F2906" s="122" t="s">
        <v>1607</v>
      </c>
      <c r="G2906" s="122" t="s">
        <v>134</v>
      </c>
      <c r="H2906">
        <v>97</v>
      </c>
      <c r="I2906" s="122" t="s">
        <v>1546</v>
      </c>
      <c r="J2906" s="307" t="s">
        <v>214</v>
      </c>
      <c r="K2906" s="127" t="s">
        <v>3806</v>
      </c>
      <c r="L2906" s="151" t="s">
        <v>1579</v>
      </c>
      <c r="M2906">
        <v>791</v>
      </c>
      <c r="N2906" s="123">
        <v>17</v>
      </c>
      <c r="O2906">
        <v>1929</v>
      </c>
      <c r="P2906" s="132" t="s">
        <v>77</v>
      </c>
      <c r="Q2906" s="131">
        <v>369.83</v>
      </c>
      <c r="R2906" s="131">
        <v>59.17</v>
      </c>
      <c r="S2906" s="131"/>
      <c r="T2906" s="155"/>
      <c r="U2906" s="131"/>
      <c r="V2906" s="131">
        <f>+Table1[[#This Row],[SUBTOTAL]]+Table1[[#This Row],[IVA]]-Table1[[#This Row],[RET IVA]]-Table1[[#This Row],[RET ISR]]</f>
        <v>429</v>
      </c>
      <c r="W2906">
        <v>62</v>
      </c>
      <c r="X2906" s="151" t="s">
        <v>1644</v>
      </c>
      <c r="Y2906" s="135" t="s">
        <v>55</v>
      </c>
      <c r="Z2906" s="307">
        <v>231</v>
      </c>
      <c r="AB2906" t="str">
        <f>IF(Table1[[#This Row],[TIPO2]]="costo", VLOOKUP(Table1[[#This Row],[PARTIDA PRESUPUESTAL]],'Cost Report'!G:G,1,0),"Balance")</f>
        <v>2794-003</v>
      </c>
      <c r="AC2906" s="118"/>
      <c r="AD2906" s="159">
        <f>+Table1[[#This Row],[SUBTOTAL]]+Table1[[#This Row],[IVA]]-Table1[[#This Row],[RET IVA]]-Table1[[#This Row],[RET ISR]]-Table1[[#This Row],[TOTAL]]</f>
        <v>0</v>
      </c>
      <c r="AE2906" s="150"/>
      <c r="AF2906" s="151"/>
      <c r="AG2906" s="126" t="s">
        <v>3420</v>
      </c>
      <c r="AK2906" s="306" t="str">
        <f>IF(ISNUMBER(Table1[[#This Row],[FECHA DE RECIBIDO]]), Table1[[#This Row],[FECHA DE RECIBIDO]]-DATE(2023,8,30), "")</f>
        <v/>
      </c>
    </row>
    <row r="2907" spans="1:37" ht="16.05" customHeight="1">
      <c r="A2907" s="152" t="s">
        <v>4103</v>
      </c>
      <c r="B2907" s="153">
        <v>1091</v>
      </c>
      <c r="C2907" s="126" t="s">
        <v>2596</v>
      </c>
      <c r="D2907">
        <v>2006</v>
      </c>
      <c r="E2907" s="126" t="s">
        <v>1999</v>
      </c>
      <c r="F2907" s="125" t="s">
        <v>1607</v>
      </c>
      <c r="G2907" s="125" t="s">
        <v>134</v>
      </c>
      <c r="H2907">
        <v>97</v>
      </c>
      <c r="I2907" s="125" t="s">
        <v>1546</v>
      </c>
      <c r="J2907" s="308" t="s">
        <v>214</v>
      </c>
      <c r="K2907" s="127" t="s">
        <v>3806</v>
      </c>
      <c r="L2907" s="153" t="s">
        <v>1579</v>
      </c>
      <c r="M2907">
        <v>791</v>
      </c>
      <c r="N2907" s="123">
        <v>17</v>
      </c>
      <c r="O2907">
        <v>1952</v>
      </c>
      <c r="P2907" s="132" t="s">
        <v>77</v>
      </c>
      <c r="Q2907" s="132">
        <v>2037.07</v>
      </c>
      <c r="R2907" s="132">
        <v>325.93</v>
      </c>
      <c r="S2907" s="132"/>
      <c r="T2907" s="156"/>
      <c r="U2907" s="132"/>
      <c r="V2907" s="132">
        <f>+Table1[[#This Row],[SUBTOTAL]]+Table1[[#This Row],[IVA]]-Table1[[#This Row],[RET IVA]]-Table1[[#This Row],[RET ISR]]</f>
        <v>2363</v>
      </c>
      <c r="W2907">
        <v>62</v>
      </c>
      <c r="X2907" s="153" t="s">
        <v>1644</v>
      </c>
      <c r="Y2907" s="124" t="s">
        <v>55</v>
      </c>
      <c r="Z2907" s="308">
        <v>231</v>
      </c>
      <c r="AB2907" t="str">
        <f>IF(Table1[[#This Row],[TIPO2]]="costo", VLOOKUP(Table1[[#This Row],[PARTIDA PRESUPUESTAL]],'Cost Report'!G:G,1,0),"Balance")</f>
        <v>2794-003</v>
      </c>
      <c r="AC2907" s="118"/>
      <c r="AD2907" s="159">
        <f>+Table1[[#This Row],[SUBTOTAL]]+Table1[[#This Row],[IVA]]-Table1[[#This Row],[RET IVA]]-Table1[[#This Row],[RET ISR]]-Table1[[#This Row],[TOTAL]]</f>
        <v>0</v>
      </c>
      <c r="AE2907" s="152"/>
      <c r="AF2907" s="153"/>
      <c r="AG2907" s="126" t="s">
        <v>3420</v>
      </c>
      <c r="AK2907" s="306" t="str">
        <f>IF(ISNUMBER(Table1[[#This Row],[FECHA DE RECIBIDO]]), Table1[[#This Row],[FECHA DE RECIBIDO]]-DATE(2023,8,30), "")</f>
        <v/>
      </c>
    </row>
    <row r="2908" spans="1:37" ht="16.05" customHeight="1">
      <c r="A2908" s="150" t="s">
        <v>4103</v>
      </c>
      <c r="B2908" s="151">
        <v>1091</v>
      </c>
      <c r="C2908" s="126" t="s">
        <v>2596</v>
      </c>
      <c r="D2908">
        <v>2007</v>
      </c>
      <c r="E2908" s="126" t="s">
        <v>4102</v>
      </c>
      <c r="F2908" s="122" t="s">
        <v>1607</v>
      </c>
      <c r="G2908" s="122" t="s">
        <v>134</v>
      </c>
      <c r="H2908">
        <v>572</v>
      </c>
      <c r="I2908" s="122" t="s">
        <v>1546</v>
      </c>
      <c r="J2908" s="307" t="s">
        <v>214</v>
      </c>
      <c r="K2908" s="127" t="s">
        <v>3806</v>
      </c>
      <c r="L2908" s="151" t="s">
        <v>1579</v>
      </c>
      <c r="M2908">
        <v>803</v>
      </c>
      <c r="N2908" s="123">
        <v>17</v>
      </c>
      <c r="O2908">
        <v>905</v>
      </c>
      <c r="P2908" s="132" t="s">
        <v>77</v>
      </c>
      <c r="Q2908" s="131">
        <v>8.6199999999999992</v>
      </c>
      <c r="R2908" s="131">
        <v>1.38</v>
      </c>
      <c r="S2908" s="131"/>
      <c r="T2908" s="155"/>
      <c r="U2908" s="131"/>
      <c r="V2908" s="131">
        <f>+Table1[[#This Row],[SUBTOTAL]]+Table1[[#This Row],[IVA]]-Table1[[#This Row],[RET IVA]]-Table1[[#This Row],[RET ISR]]</f>
        <v>10</v>
      </c>
      <c r="W2908">
        <v>62</v>
      </c>
      <c r="X2908" s="151" t="s">
        <v>1644</v>
      </c>
      <c r="Y2908" s="135" t="s">
        <v>55</v>
      </c>
      <c r="Z2908" s="307">
        <v>233</v>
      </c>
      <c r="AB2908" t="str">
        <f>IF(Table1[[#This Row],[TIPO2]]="costo", VLOOKUP(Table1[[#This Row],[PARTIDA PRESUPUESTAL]],'Cost Report'!G:G,1,0),"Balance")</f>
        <v>2794-003</v>
      </c>
      <c r="AC2908" s="118"/>
      <c r="AD2908" s="159">
        <f>+Table1[[#This Row],[SUBTOTAL]]+Table1[[#This Row],[IVA]]-Table1[[#This Row],[RET IVA]]-Table1[[#This Row],[RET ISR]]-Table1[[#This Row],[TOTAL]]</f>
        <v>0</v>
      </c>
      <c r="AE2908" s="150"/>
      <c r="AF2908" s="151"/>
      <c r="AG2908" s="126" t="s">
        <v>3420</v>
      </c>
      <c r="AK2908" s="306" t="str">
        <f>IF(ISNUMBER(Table1[[#This Row],[FECHA DE RECIBIDO]]), Table1[[#This Row],[FECHA DE RECIBIDO]]-DATE(2023,8,30), "")</f>
        <v/>
      </c>
    </row>
    <row r="2909" spans="1:37" ht="16.05" customHeight="1">
      <c r="A2909" s="152" t="s">
        <v>4103</v>
      </c>
      <c r="B2909" s="153">
        <v>1091</v>
      </c>
      <c r="C2909" s="126" t="s">
        <v>2596</v>
      </c>
      <c r="D2909">
        <v>2008</v>
      </c>
      <c r="E2909" s="126" t="s">
        <v>1598</v>
      </c>
      <c r="F2909" s="125" t="s">
        <v>1607</v>
      </c>
      <c r="G2909" s="125" t="s">
        <v>134</v>
      </c>
      <c r="H2909">
        <v>393</v>
      </c>
      <c r="I2909" s="125" t="s">
        <v>1546</v>
      </c>
      <c r="J2909" s="308" t="s">
        <v>214</v>
      </c>
      <c r="K2909" s="127" t="s">
        <v>3806</v>
      </c>
      <c r="L2909" s="153" t="s">
        <v>1579</v>
      </c>
      <c r="M2909">
        <v>522</v>
      </c>
      <c r="N2909" s="123">
        <v>17</v>
      </c>
      <c r="O2909">
        <v>905</v>
      </c>
      <c r="P2909" s="132" t="s">
        <v>77</v>
      </c>
      <c r="Q2909" s="132">
        <v>51.72</v>
      </c>
      <c r="R2909" s="132">
        <v>8.2799999999999994</v>
      </c>
      <c r="S2909" s="132"/>
      <c r="T2909" s="156"/>
      <c r="U2909" s="132"/>
      <c r="V2909" s="132">
        <f>+Table1[[#This Row],[SUBTOTAL]]+Table1[[#This Row],[IVA]]-Table1[[#This Row],[RET IVA]]-Table1[[#This Row],[RET ISR]]</f>
        <v>60</v>
      </c>
      <c r="W2909">
        <v>62</v>
      </c>
      <c r="X2909" s="153" t="s">
        <v>1644</v>
      </c>
      <c r="Y2909" s="124" t="s">
        <v>55</v>
      </c>
      <c r="Z2909" s="308">
        <v>236</v>
      </c>
      <c r="AB2909" t="str">
        <f>IF(Table1[[#This Row],[TIPO2]]="costo", VLOOKUP(Table1[[#This Row],[PARTIDA PRESUPUESTAL]],'Cost Report'!G:G,1,0),"Balance")</f>
        <v>2794-003</v>
      </c>
      <c r="AC2909" s="118"/>
      <c r="AD2909" s="159">
        <f>+Table1[[#This Row],[SUBTOTAL]]+Table1[[#This Row],[IVA]]-Table1[[#This Row],[RET IVA]]-Table1[[#This Row],[RET ISR]]-Table1[[#This Row],[TOTAL]]</f>
        <v>0</v>
      </c>
      <c r="AE2909" s="152"/>
      <c r="AF2909" s="153"/>
      <c r="AG2909" s="126" t="s">
        <v>3420</v>
      </c>
      <c r="AK2909" s="306" t="str">
        <f>IF(ISNUMBER(Table1[[#This Row],[FECHA DE RECIBIDO]]), Table1[[#This Row],[FECHA DE RECIBIDO]]-DATE(2023,8,30), "")</f>
        <v/>
      </c>
    </row>
    <row r="2910" spans="1:37" ht="16.05" customHeight="1">
      <c r="A2910" s="150" t="s">
        <v>4103</v>
      </c>
      <c r="B2910" s="151">
        <v>1091</v>
      </c>
      <c r="C2910" s="126" t="s">
        <v>2596</v>
      </c>
      <c r="D2910">
        <v>2009</v>
      </c>
      <c r="E2910" s="126" t="s">
        <v>4102</v>
      </c>
      <c r="F2910" s="122" t="s">
        <v>1607</v>
      </c>
      <c r="G2910" s="122" t="s">
        <v>134</v>
      </c>
      <c r="H2910">
        <v>572</v>
      </c>
      <c r="I2910" s="122" t="s">
        <v>1546</v>
      </c>
      <c r="J2910" s="307" t="s">
        <v>214</v>
      </c>
      <c r="K2910" s="127" t="s">
        <v>3806</v>
      </c>
      <c r="L2910" s="151" t="s">
        <v>1579</v>
      </c>
      <c r="M2910">
        <v>803</v>
      </c>
      <c r="N2910" s="123">
        <v>17</v>
      </c>
      <c r="O2910">
        <v>1968</v>
      </c>
      <c r="P2910" s="132" t="s">
        <v>77</v>
      </c>
      <c r="Q2910" s="131">
        <v>94.83</v>
      </c>
      <c r="R2910" s="131">
        <v>15.17</v>
      </c>
      <c r="S2910" s="131"/>
      <c r="T2910" s="155"/>
      <c r="U2910" s="131"/>
      <c r="V2910" s="131">
        <f>+Table1[[#This Row],[SUBTOTAL]]+Table1[[#This Row],[IVA]]-Table1[[#This Row],[RET IVA]]-Table1[[#This Row],[RET ISR]]</f>
        <v>110</v>
      </c>
      <c r="W2910">
        <v>62</v>
      </c>
      <c r="X2910" s="151" t="s">
        <v>1644</v>
      </c>
      <c r="Y2910" s="135" t="s">
        <v>55</v>
      </c>
      <c r="Z2910" s="307">
        <v>236</v>
      </c>
      <c r="AB2910" t="str">
        <f>IF(Table1[[#This Row],[TIPO2]]="costo", VLOOKUP(Table1[[#This Row],[PARTIDA PRESUPUESTAL]],'Cost Report'!G:G,1,0),"Balance")</f>
        <v>2794-003</v>
      </c>
      <c r="AC2910" s="118"/>
      <c r="AD2910" s="159">
        <f>+Table1[[#This Row],[SUBTOTAL]]+Table1[[#This Row],[IVA]]-Table1[[#This Row],[RET IVA]]-Table1[[#This Row],[RET ISR]]-Table1[[#This Row],[TOTAL]]</f>
        <v>0</v>
      </c>
      <c r="AE2910" s="150"/>
      <c r="AF2910" s="151"/>
      <c r="AG2910" s="126" t="s">
        <v>3420</v>
      </c>
      <c r="AK2910" s="306" t="str">
        <f>IF(ISNUMBER(Table1[[#This Row],[FECHA DE RECIBIDO]]), Table1[[#This Row],[FECHA DE RECIBIDO]]-DATE(2023,8,30), "")</f>
        <v/>
      </c>
    </row>
    <row r="2911" spans="1:37" ht="16.05" customHeight="1">
      <c r="A2911" s="152" t="s">
        <v>4104</v>
      </c>
      <c r="B2911" s="153">
        <v>1092</v>
      </c>
      <c r="C2911" s="126" t="s">
        <v>2596</v>
      </c>
      <c r="D2911">
        <v>689</v>
      </c>
      <c r="E2911" s="126"/>
      <c r="F2911" s="125"/>
      <c r="G2911" s="125"/>
      <c r="H2911"/>
      <c r="I2911" s="125"/>
      <c r="J2911" s="308" t="s">
        <v>214</v>
      </c>
      <c r="K2911" s="127" t="s">
        <v>3806</v>
      </c>
      <c r="L2911" s="153" t="s">
        <v>1579</v>
      </c>
      <c r="M2911">
        <v>804</v>
      </c>
      <c r="N2911" s="123">
        <v>17</v>
      </c>
      <c r="O2911">
        <v>905</v>
      </c>
      <c r="P2911" s="132" t="s">
        <v>77</v>
      </c>
      <c r="Q2911" s="132">
        <v>60</v>
      </c>
      <c r="R2911" s="132"/>
      <c r="S2911" s="132"/>
      <c r="T2911" s="156"/>
      <c r="U2911" s="132"/>
      <c r="V2911" s="132">
        <f>+Table1[[#This Row],[SUBTOTAL]]+Table1[[#This Row],[IVA]]-Table1[[#This Row],[RET IVA]]-Table1[[#This Row],[RET ISR]]</f>
        <v>60</v>
      </c>
      <c r="W2911">
        <v>61</v>
      </c>
      <c r="X2911" s="153" t="s">
        <v>1644</v>
      </c>
      <c r="Y2911" s="124" t="s">
        <v>55</v>
      </c>
      <c r="Z2911" s="308">
        <v>208</v>
      </c>
      <c r="AB2911" t="str">
        <f>IF(Table1[[#This Row],[TIPO2]]="costo", VLOOKUP(Table1[[#This Row],[PARTIDA PRESUPUESTAL]],'Cost Report'!G:G,1,0),"Balance")</f>
        <v>2794-003</v>
      </c>
      <c r="AC2911" s="118"/>
      <c r="AD2911" s="159">
        <f>+Table1[[#This Row],[SUBTOTAL]]+Table1[[#This Row],[IVA]]-Table1[[#This Row],[RET IVA]]-Table1[[#This Row],[RET ISR]]-Table1[[#This Row],[TOTAL]]</f>
        <v>0</v>
      </c>
      <c r="AE2911" s="152"/>
      <c r="AF2911" s="153"/>
      <c r="AG2911" s="126" t="s">
        <v>3420</v>
      </c>
      <c r="AK2911" s="306" t="str">
        <f>IF(ISNUMBER(Table1[[#This Row],[FECHA DE RECIBIDO]]), Table1[[#This Row],[FECHA DE RECIBIDO]]-DATE(2023,8,30), "")</f>
        <v/>
      </c>
    </row>
    <row r="2912" spans="1:37" ht="16.05" customHeight="1">
      <c r="A2912" s="150" t="s">
        <v>4104</v>
      </c>
      <c r="B2912" s="151">
        <v>1092</v>
      </c>
      <c r="C2912" s="126" t="s">
        <v>2596</v>
      </c>
      <c r="D2912">
        <v>689</v>
      </c>
      <c r="E2912" s="126"/>
      <c r="F2912" s="122"/>
      <c r="G2912" s="122"/>
      <c r="H2912"/>
      <c r="I2912" s="122"/>
      <c r="J2912" s="307" t="s">
        <v>214</v>
      </c>
      <c r="K2912" s="127" t="s">
        <v>3806</v>
      </c>
      <c r="L2912" s="151" t="s">
        <v>1579</v>
      </c>
      <c r="M2912">
        <v>522</v>
      </c>
      <c r="N2912" s="123">
        <v>17</v>
      </c>
      <c r="O2912">
        <v>905</v>
      </c>
      <c r="P2912" s="132" t="s">
        <v>77</v>
      </c>
      <c r="Q2912" s="131">
        <v>60</v>
      </c>
      <c r="R2912" s="131"/>
      <c r="S2912" s="131"/>
      <c r="T2912" s="155"/>
      <c r="U2912" s="131"/>
      <c r="V2912" s="131">
        <f>+Table1[[#This Row],[SUBTOTAL]]+Table1[[#This Row],[IVA]]-Table1[[#This Row],[RET IVA]]-Table1[[#This Row],[RET ISR]]</f>
        <v>60</v>
      </c>
      <c r="W2912">
        <v>61</v>
      </c>
      <c r="X2912" s="151" t="s">
        <v>1644</v>
      </c>
      <c r="Y2912" s="135" t="s">
        <v>55</v>
      </c>
      <c r="Z2912" s="307">
        <v>208</v>
      </c>
      <c r="AB2912" t="str">
        <f>IF(Table1[[#This Row],[TIPO2]]="costo", VLOOKUP(Table1[[#This Row],[PARTIDA PRESUPUESTAL]],'Cost Report'!G:G,1,0),"Balance")</f>
        <v>2794-003</v>
      </c>
      <c r="AC2912" s="118"/>
      <c r="AD2912" s="159">
        <f>+Table1[[#This Row],[SUBTOTAL]]+Table1[[#This Row],[IVA]]-Table1[[#This Row],[RET IVA]]-Table1[[#This Row],[RET ISR]]-Table1[[#This Row],[TOTAL]]</f>
        <v>0</v>
      </c>
      <c r="AE2912" s="150"/>
      <c r="AF2912" s="151"/>
      <c r="AG2912" s="126" t="s">
        <v>3420</v>
      </c>
      <c r="AK2912" s="306" t="str">
        <f>IF(ISNUMBER(Table1[[#This Row],[FECHA DE RECIBIDO]]), Table1[[#This Row],[FECHA DE RECIBIDO]]-DATE(2023,8,30), "")</f>
        <v/>
      </c>
    </row>
    <row r="2913" spans="1:37" ht="16.05" customHeight="1">
      <c r="A2913" s="152" t="s">
        <v>4104</v>
      </c>
      <c r="B2913" s="153">
        <v>1092</v>
      </c>
      <c r="C2913" s="126" t="s">
        <v>2596</v>
      </c>
      <c r="D2913">
        <v>689</v>
      </c>
      <c r="E2913" s="126"/>
      <c r="F2913" s="125"/>
      <c r="G2913" s="125"/>
      <c r="H2913"/>
      <c r="I2913" s="125"/>
      <c r="J2913" s="308" t="s">
        <v>214</v>
      </c>
      <c r="K2913" s="127" t="s">
        <v>3806</v>
      </c>
      <c r="L2913" s="153" t="s">
        <v>1579</v>
      </c>
      <c r="M2913">
        <v>805</v>
      </c>
      <c r="N2913" s="123">
        <v>17</v>
      </c>
      <c r="O2913">
        <v>905</v>
      </c>
      <c r="P2913" s="132" t="s">
        <v>77</v>
      </c>
      <c r="Q2913" s="132">
        <v>35</v>
      </c>
      <c r="R2913" s="132"/>
      <c r="S2913" s="132"/>
      <c r="T2913" s="156"/>
      <c r="U2913" s="132"/>
      <c r="V2913" s="132">
        <f>+Table1[[#This Row],[SUBTOTAL]]+Table1[[#This Row],[IVA]]-Table1[[#This Row],[RET IVA]]-Table1[[#This Row],[RET ISR]]</f>
        <v>35</v>
      </c>
      <c r="W2913">
        <v>61</v>
      </c>
      <c r="X2913" s="153" t="s">
        <v>1644</v>
      </c>
      <c r="Y2913" s="124" t="s">
        <v>55</v>
      </c>
      <c r="Z2913" s="308">
        <v>209</v>
      </c>
      <c r="AB2913" t="str">
        <f>IF(Table1[[#This Row],[TIPO2]]="costo", VLOOKUP(Table1[[#This Row],[PARTIDA PRESUPUESTAL]],'Cost Report'!G:G,1,0),"Balance")</f>
        <v>2794-003</v>
      </c>
      <c r="AC2913" s="118"/>
      <c r="AD2913" s="159">
        <f>+Table1[[#This Row],[SUBTOTAL]]+Table1[[#This Row],[IVA]]-Table1[[#This Row],[RET IVA]]-Table1[[#This Row],[RET ISR]]-Table1[[#This Row],[TOTAL]]</f>
        <v>0</v>
      </c>
      <c r="AE2913" s="152"/>
      <c r="AF2913" s="153"/>
      <c r="AG2913" s="126" t="s">
        <v>3420</v>
      </c>
      <c r="AK2913" s="306" t="str">
        <f>IF(ISNUMBER(Table1[[#This Row],[FECHA DE RECIBIDO]]), Table1[[#This Row],[FECHA DE RECIBIDO]]-DATE(2023,8,30), "")</f>
        <v/>
      </c>
    </row>
    <row r="2914" spans="1:37" ht="16.05" customHeight="1">
      <c r="A2914" s="150" t="s">
        <v>4104</v>
      </c>
      <c r="B2914" s="151">
        <v>1092</v>
      </c>
      <c r="C2914" s="126" t="s">
        <v>2596</v>
      </c>
      <c r="D2914">
        <v>689</v>
      </c>
      <c r="E2914" s="126"/>
      <c r="F2914" s="122"/>
      <c r="G2914" s="122"/>
      <c r="H2914"/>
      <c r="I2914" s="122"/>
      <c r="J2914" s="307" t="s">
        <v>214</v>
      </c>
      <c r="K2914" s="127" t="s">
        <v>3806</v>
      </c>
      <c r="L2914" s="151" t="s">
        <v>1579</v>
      </c>
      <c r="M2914">
        <v>806</v>
      </c>
      <c r="N2914" s="123">
        <v>17</v>
      </c>
      <c r="O2914">
        <v>905</v>
      </c>
      <c r="P2914" s="132" t="s">
        <v>77</v>
      </c>
      <c r="Q2914" s="131">
        <v>10</v>
      </c>
      <c r="R2914" s="131"/>
      <c r="S2914" s="131"/>
      <c r="T2914" s="155"/>
      <c r="U2914" s="131"/>
      <c r="V2914" s="131">
        <f>+Table1[[#This Row],[SUBTOTAL]]+Table1[[#This Row],[IVA]]-Table1[[#This Row],[RET IVA]]-Table1[[#This Row],[RET ISR]]</f>
        <v>10</v>
      </c>
      <c r="W2914">
        <v>61</v>
      </c>
      <c r="X2914" s="151" t="s">
        <v>1644</v>
      </c>
      <c r="Y2914" s="135" t="s">
        <v>55</v>
      </c>
      <c r="Z2914" s="307">
        <v>209</v>
      </c>
      <c r="AB2914" t="str">
        <f>IF(Table1[[#This Row],[TIPO2]]="costo", VLOOKUP(Table1[[#This Row],[PARTIDA PRESUPUESTAL]],'Cost Report'!G:G,1,0),"Balance")</f>
        <v>2794-003</v>
      </c>
      <c r="AC2914" s="118"/>
      <c r="AD2914" s="159">
        <f>+Table1[[#This Row],[SUBTOTAL]]+Table1[[#This Row],[IVA]]-Table1[[#This Row],[RET IVA]]-Table1[[#This Row],[RET ISR]]-Table1[[#This Row],[TOTAL]]</f>
        <v>0</v>
      </c>
      <c r="AE2914" s="150"/>
      <c r="AF2914" s="151"/>
      <c r="AG2914" s="126" t="s">
        <v>3420</v>
      </c>
      <c r="AK2914" s="306" t="str">
        <f>IF(ISNUMBER(Table1[[#This Row],[FECHA DE RECIBIDO]]), Table1[[#This Row],[FECHA DE RECIBIDO]]-DATE(2023,8,30), "")</f>
        <v/>
      </c>
    </row>
    <row r="2915" spans="1:37" ht="16.05" customHeight="1">
      <c r="A2915" s="152" t="s">
        <v>4104</v>
      </c>
      <c r="B2915" s="153">
        <v>1092</v>
      </c>
      <c r="C2915" s="126" t="s">
        <v>2596</v>
      </c>
      <c r="D2915">
        <v>689</v>
      </c>
      <c r="E2915" s="126"/>
      <c r="F2915" s="125"/>
      <c r="G2915" s="125"/>
      <c r="H2915"/>
      <c r="I2915" s="125"/>
      <c r="J2915" s="308" t="s">
        <v>214</v>
      </c>
      <c r="K2915" s="127" t="s">
        <v>3806</v>
      </c>
      <c r="L2915" s="153" t="s">
        <v>1579</v>
      </c>
      <c r="M2915">
        <v>807</v>
      </c>
      <c r="N2915" s="123">
        <v>17</v>
      </c>
      <c r="O2915">
        <v>905</v>
      </c>
      <c r="P2915" s="132" t="s">
        <v>77</v>
      </c>
      <c r="Q2915" s="132">
        <v>25</v>
      </c>
      <c r="R2915" s="132"/>
      <c r="S2915" s="132"/>
      <c r="T2915" s="156"/>
      <c r="U2915" s="132"/>
      <c r="V2915" s="132">
        <f>+Table1[[#This Row],[SUBTOTAL]]+Table1[[#This Row],[IVA]]-Table1[[#This Row],[RET IVA]]-Table1[[#This Row],[RET ISR]]</f>
        <v>25</v>
      </c>
      <c r="W2915">
        <v>61</v>
      </c>
      <c r="X2915" s="153" t="s">
        <v>1644</v>
      </c>
      <c r="Y2915" s="124" t="s">
        <v>55</v>
      </c>
      <c r="Z2915" s="308">
        <v>210</v>
      </c>
      <c r="AB2915" t="str">
        <f>IF(Table1[[#This Row],[TIPO2]]="costo", VLOOKUP(Table1[[#This Row],[PARTIDA PRESUPUESTAL]],'Cost Report'!G:G,1,0),"Balance")</f>
        <v>2794-003</v>
      </c>
      <c r="AC2915" s="118"/>
      <c r="AD2915" s="159">
        <f>+Table1[[#This Row],[SUBTOTAL]]+Table1[[#This Row],[IVA]]-Table1[[#This Row],[RET IVA]]-Table1[[#This Row],[RET ISR]]-Table1[[#This Row],[TOTAL]]</f>
        <v>0</v>
      </c>
      <c r="AE2915" s="152"/>
      <c r="AF2915" s="153"/>
      <c r="AG2915" s="126" t="s">
        <v>3420</v>
      </c>
      <c r="AK2915" s="306" t="str">
        <f>IF(ISNUMBER(Table1[[#This Row],[FECHA DE RECIBIDO]]), Table1[[#This Row],[FECHA DE RECIBIDO]]-DATE(2023,8,30), "")</f>
        <v/>
      </c>
    </row>
    <row r="2916" spans="1:37" ht="16.05" customHeight="1">
      <c r="A2916" s="150" t="s">
        <v>4105</v>
      </c>
      <c r="B2916" s="151">
        <v>1093</v>
      </c>
      <c r="C2916" s="126" t="s">
        <v>3108</v>
      </c>
      <c r="D2916">
        <v>2010</v>
      </c>
      <c r="E2916" s="126" t="s">
        <v>4106</v>
      </c>
      <c r="F2916" s="122" t="s">
        <v>1607</v>
      </c>
      <c r="G2916" s="122" t="s">
        <v>134</v>
      </c>
      <c r="H2916">
        <v>57</v>
      </c>
      <c r="I2916" s="122" t="s">
        <v>1546</v>
      </c>
      <c r="J2916" s="307" t="s">
        <v>214</v>
      </c>
      <c r="K2916" s="127" t="s">
        <v>3806</v>
      </c>
      <c r="L2916" s="151" t="s">
        <v>1579</v>
      </c>
      <c r="M2916">
        <v>808</v>
      </c>
      <c r="N2916" s="123">
        <v>17</v>
      </c>
      <c r="O2916">
        <v>1969</v>
      </c>
      <c r="P2916" s="132" t="s">
        <v>77</v>
      </c>
      <c r="Q2916" s="131">
        <v>1162.07</v>
      </c>
      <c r="R2916" s="131">
        <v>185.93</v>
      </c>
      <c r="S2916" s="131"/>
      <c r="T2916" s="155"/>
      <c r="U2916" s="131"/>
      <c r="V2916" s="131">
        <f>+Table1[[#This Row],[SUBTOTAL]]+Table1[[#This Row],[IVA]]-Table1[[#This Row],[RET IVA]]-Table1[[#This Row],[RET ISR]]</f>
        <v>1348</v>
      </c>
      <c r="W2916">
        <v>167</v>
      </c>
      <c r="X2916" s="151" t="s">
        <v>1644</v>
      </c>
      <c r="Y2916" s="135" t="s">
        <v>55</v>
      </c>
      <c r="Z2916" s="307">
        <v>224</v>
      </c>
      <c r="AB2916" t="str">
        <f>IF(Table1[[#This Row],[TIPO2]]="costo", VLOOKUP(Table1[[#This Row],[PARTIDA PRESUPUESTAL]],'Cost Report'!G:G,1,0),"Balance")</f>
        <v>7080-003</v>
      </c>
      <c r="AC2916" s="118"/>
      <c r="AD2916" s="159">
        <f>+Table1[[#This Row],[SUBTOTAL]]+Table1[[#This Row],[IVA]]-Table1[[#This Row],[RET IVA]]-Table1[[#This Row],[RET ISR]]-Table1[[#This Row],[TOTAL]]</f>
        <v>0</v>
      </c>
      <c r="AE2916" s="150"/>
      <c r="AF2916" s="151"/>
      <c r="AG2916" s="126" t="s">
        <v>3420</v>
      </c>
      <c r="AK2916" s="306" t="str">
        <f>IF(ISNUMBER(Table1[[#This Row],[FECHA DE RECIBIDO]]), Table1[[#This Row],[FECHA DE RECIBIDO]]-DATE(2023,8,30), "")</f>
        <v/>
      </c>
    </row>
    <row r="2917" spans="1:37" ht="16.05" customHeight="1">
      <c r="A2917" s="152" t="s">
        <v>4105</v>
      </c>
      <c r="B2917" s="153">
        <v>1093</v>
      </c>
      <c r="C2917" s="126" t="s">
        <v>3108</v>
      </c>
      <c r="D2917">
        <v>2011</v>
      </c>
      <c r="E2917" s="126" t="s">
        <v>1603</v>
      </c>
      <c r="F2917" s="125" t="s">
        <v>1607</v>
      </c>
      <c r="G2917" s="125" t="s">
        <v>134</v>
      </c>
      <c r="H2917">
        <v>273</v>
      </c>
      <c r="I2917" s="125" t="s">
        <v>1546</v>
      </c>
      <c r="J2917" s="308" t="s">
        <v>214</v>
      </c>
      <c r="K2917" s="127" t="s">
        <v>3806</v>
      </c>
      <c r="L2917" s="153" t="s">
        <v>1579</v>
      </c>
      <c r="M2917">
        <v>808</v>
      </c>
      <c r="N2917" s="123">
        <v>17</v>
      </c>
      <c r="O2917">
        <v>1521</v>
      </c>
      <c r="P2917" s="132" t="s">
        <v>77</v>
      </c>
      <c r="Q2917" s="132">
        <v>141.21</v>
      </c>
      <c r="R2917" s="132">
        <v>22.59</v>
      </c>
      <c r="S2917" s="132"/>
      <c r="T2917" s="156"/>
      <c r="U2917" s="132"/>
      <c r="V2917" s="132">
        <f>+Table1[[#This Row],[SUBTOTAL]]+Table1[[#This Row],[IVA]]-Table1[[#This Row],[RET IVA]]-Table1[[#This Row],[RET ISR]]</f>
        <v>163.80000000000001</v>
      </c>
      <c r="W2917">
        <v>167</v>
      </c>
      <c r="X2917" s="153" t="s">
        <v>1644</v>
      </c>
      <c r="Y2917" s="124" t="s">
        <v>55</v>
      </c>
      <c r="Z2917" s="308">
        <v>224</v>
      </c>
      <c r="AB2917" t="str">
        <f>IF(Table1[[#This Row],[TIPO2]]="costo", VLOOKUP(Table1[[#This Row],[PARTIDA PRESUPUESTAL]],'Cost Report'!G:G,1,0),"Balance")</f>
        <v>7080-003</v>
      </c>
      <c r="AC2917" s="118"/>
      <c r="AD2917" s="159">
        <f>+Table1[[#This Row],[SUBTOTAL]]+Table1[[#This Row],[IVA]]-Table1[[#This Row],[RET IVA]]-Table1[[#This Row],[RET ISR]]-Table1[[#This Row],[TOTAL]]</f>
        <v>0</v>
      </c>
      <c r="AE2917" s="152"/>
      <c r="AF2917" s="153"/>
      <c r="AG2917" s="126" t="s">
        <v>3420</v>
      </c>
      <c r="AK2917" s="306" t="str">
        <f>IF(ISNUMBER(Table1[[#This Row],[FECHA DE RECIBIDO]]), Table1[[#This Row],[FECHA DE RECIBIDO]]-DATE(2023,8,30), "")</f>
        <v/>
      </c>
    </row>
    <row r="2918" spans="1:37" ht="16.05" customHeight="1">
      <c r="A2918" s="150" t="s">
        <v>4105</v>
      </c>
      <c r="B2918" s="151">
        <v>1093</v>
      </c>
      <c r="C2918" s="126" t="s">
        <v>2345</v>
      </c>
      <c r="D2918">
        <v>2012</v>
      </c>
      <c r="E2918" s="126" t="s">
        <v>1624</v>
      </c>
      <c r="F2918" s="122" t="s">
        <v>1607</v>
      </c>
      <c r="G2918" s="122" t="s">
        <v>134</v>
      </c>
      <c r="H2918">
        <v>46</v>
      </c>
      <c r="I2918" s="122" t="s">
        <v>1546</v>
      </c>
      <c r="J2918" s="307" t="s">
        <v>214</v>
      </c>
      <c r="K2918" s="127" t="s">
        <v>3806</v>
      </c>
      <c r="L2918" s="151" t="s">
        <v>1579</v>
      </c>
      <c r="M2918">
        <v>58</v>
      </c>
      <c r="N2918" s="123">
        <v>17</v>
      </c>
      <c r="O2918">
        <v>1970</v>
      </c>
      <c r="P2918" s="132" t="s">
        <v>77</v>
      </c>
      <c r="Q2918" s="131">
        <v>4143.5600000000004</v>
      </c>
      <c r="R2918" s="131">
        <v>485.03</v>
      </c>
      <c r="S2918" s="131"/>
      <c r="T2918" s="155"/>
      <c r="U2918" s="131"/>
      <c r="V2918" s="131">
        <f>+Table1[[#This Row],[SUBTOTAL]]+Table1[[#This Row],[IVA]]-Table1[[#This Row],[RET IVA]]-Table1[[#This Row],[RET ISR]]</f>
        <v>4628.59</v>
      </c>
      <c r="W2918">
        <v>167</v>
      </c>
      <c r="X2918" s="151" t="s">
        <v>1644</v>
      </c>
      <c r="Y2918" s="135" t="s">
        <v>55</v>
      </c>
      <c r="Z2918" s="307">
        <v>225</v>
      </c>
      <c r="AB2918" t="str">
        <f>IF(Table1[[#This Row],[TIPO2]]="costo", VLOOKUP(Table1[[#This Row],[PARTIDA PRESUPUESTAL]],'Cost Report'!G:G,1,0),"Balance")</f>
        <v>1630-025</v>
      </c>
      <c r="AC2918" s="118"/>
      <c r="AD2918" s="159">
        <f>+Table1[[#This Row],[SUBTOTAL]]+Table1[[#This Row],[IVA]]-Table1[[#This Row],[RET IVA]]-Table1[[#This Row],[RET ISR]]-Table1[[#This Row],[TOTAL]]</f>
        <v>0</v>
      </c>
      <c r="AE2918" s="150"/>
      <c r="AF2918" s="151"/>
      <c r="AG2918" s="126" t="s">
        <v>3420</v>
      </c>
      <c r="AK2918" s="306" t="str">
        <f>IF(ISNUMBER(Table1[[#This Row],[FECHA DE RECIBIDO]]), Table1[[#This Row],[FECHA DE RECIBIDO]]-DATE(2023,8,30), "")</f>
        <v/>
      </c>
    </row>
    <row r="2919" spans="1:37" ht="16.05" customHeight="1">
      <c r="A2919" s="152" t="s">
        <v>4105</v>
      </c>
      <c r="B2919" s="153">
        <v>1093</v>
      </c>
      <c r="C2919" s="126" t="s">
        <v>2443</v>
      </c>
      <c r="D2919">
        <v>2013</v>
      </c>
      <c r="E2919" s="126" t="s">
        <v>1614</v>
      </c>
      <c r="F2919" s="125" t="s">
        <v>1607</v>
      </c>
      <c r="G2919" s="125" t="s">
        <v>134</v>
      </c>
      <c r="H2919">
        <v>275</v>
      </c>
      <c r="I2919" s="125" t="s">
        <v>1546</v>
      </c>
      <c r="J2919" s="308" t="s">
        <v>214</v>
      </c>
      <c r="K2919" s="127" t="s">
        <v>3806</v>
      </c>
      <c r="L2919" s="153" t="s">
        <v>1579</v>
      </c>
      <c r="M2919">
        <v>367</v>
      </c>
      <c r="N2919" s="123">
        <v>17</v>
      </c>
      <c r="O2919">
        <v>1971</v>
      </c>
      <c r="P2919" s="132" t="s">
        <v>77</v>
      </c>
      <c r="Q2919" s="132">
        <v>3696</v>
      </c>
      <c r="R2919" s="132">
        <v>591.36</v>
      </c>
      <c r="S2919" s="132"/>
      <c r="T2919" s="156"/>
      <c r="U2919" s="132"/>
      <c r="V2919" s="132">
        <f>+Table1[[#This Row],[SUBTOTAL]]+Table1[[#This Row],[IVA]]-Table1[[#This Row],[RET IVA]]-Table1[[#This Row],[RET ISR]]</f>
        <v>4287.3599999999997</v>
      </c>
      <c r="W2919">
        <v>167</v>
      </c>
      <c r="X2919" s="153" t="s">
        <v>1644</v>
      </c>
      <c r="Y2919" s="124" t="s">
        <v>55</v>
      </c>
      <c r="Z2919" s="308">
        <v>225</v>
      </c>
      <c r="AB2919" t="str">
        <f>IF(Table1[[#This Row],[TIPO2]]="costo", VLOOKUP(Table1[[#This Row],[PARTIDA PRESUPUESTAL]],'Cost Report'!G:G,1,0),"Balance")</f>
        <v>2080-003</v>
      </c>
      <c r="AC2919" s="118"/>
      <c r="AD2919" s="159">
        <f>+Table1[[#This Row],[SUBTOTAL]]+Table1[[#This Row],[IVA]]-Table1[[#This Row],[RET IVA]]-Table1[[#This Row],[RET ISR]]-Table1[[#This Row],[TOTAL]]</f>
        <v>0</v>
      </c>
      <c r="AE2919" s="152"/>
      <c r="AF2919" s="153"/>
      <c r="AG2919" s="126" t="s">
        <v>3420</v>
      </c>
      <c r="AK2919" s="306" t="str">
        <f>IF(ISNUMBER(Table1[[#This Row],[FECHA DE RECIBIDO]]), Table1[[#This Row],[FECHA DE RECIBIDO]]-DATE(2023,8,30), "")</f>
        <v/>
      </c>
    </row>
    <row r="2920" spans="1:37" ht="16.05" customHeight="1">
      <c r="A2920" s="150" t="s">
        <v>4105</v>
      </c>
      <c r="B2920" s="151">
        <v>1093</v>
      </c>
      <c r="C2920" s="126" t="s">
        <v>2443</v>
      </c>
      <c r="D2920">
        <v>2014</v>
      </c>
      <c r="E2920" s="126" t="s">
        <v>1614</v>
      </c>
      <c r="F2920" s="122" t="s">
        <v>1607</v>
      </c>
      <c r="G2920" s="122" t="s">
        <v>134</v>
      </c>
      <c r="H2920">
        <v>275</v>
      </c>
      <c r="I2920" s="122" t="s">
        <v>1546</v>
      </c>
      <c r="J2920" s="307" t="s">
        <v>214</v>
      </c>
      <c r="K2920" s="127" t="s">
        <v>3806</v>
      </c>
      <c r="L2920" s="151" t="s">
        <v>1579</v>
      </c>
      <c r="M2920">
        <v>367</v>
      </c>
      <c r="N2920" s="123">
        <v>17</v>
      </c>
      <c r="O2920">
        <v>1971</v>
      </c>
      <c r="P2920" s="132" t="s">
        <v>77</v>
      </c>
      <c r="Q2920" s="131">
        <v>56.7</v>
      </c>
      <c r="R2920" s="131">
        <v>9.07</v>
      </c>
      <c r="S2920" s="131"/>
      <c r="T2920" s="155"/>
      <c r="U2920" s="131"/>
      <c r="V2920" s="131">
        <f>+Table1[[#This Row],[SUBTOTAL]]+Table1[[#This Row],[IVA]]-Table1[[#This Row],[RET IVA]]-Table1[[#This Row],[RET ISR]]</f>
        <v>65.77000000000001</v>
      </c>
      <c r="W2920">
        <v>167</v>
      </c>
      <c r="X2920" s="151" t="s">
        <v>1644</v>
      </c>
      <c r="Y2920" s="135" t="s">
        <v>55</v>
      </c>
      <c r="Z2920" s="307">
        <v>225</v>
      </c>
      <c r="AB2920" t="str">
        <f>IF(Table1[[#This Row],[TIPO2]]="costo", VLOOKUP(Table1[[#This Row],[PARTIDA PRESUPUESTAL]],'Cost Report'!G:G,1,0),"Balance")</f>
        <v>2080-003</v>
      </c>
      <c r="AC2920" s="118"/>
      <c r="AD2920" s="159">
        <f>+Table1[[#This Row],[SUBTOTAL]]+Table1[[#This Row],[IVA]]-Table1[[#This Row],[RET IVA]]-Table1[[#This Row],[RET ISR]]-Table1[[#This Row],[TOTAL]]</f>
        <v>0</v>
      </c>
      <c r="AE2920" s="150"/>
      <c r="AF2920" s="151"/>
      <c r="AG2920" s="126" t="s">
        <v>3420</v>
      </c>
      <c r="AK2920" s="306" t="str">
        <f>IF(ISNUMBER(Table1[[#This Row],[FECHA DE RECIBIDO]]), Table1[[#This Row],[FECHA DE RECIBIDO]]-DATE(2023,8,30), "")</f>
        <v/>
      </c>
    </row>
    <row r="2921" spans="1:37" ht="16.05" customHeight="1">
      <c r="A2921" s="152" t="s">
        <v>4105</v>
      </c>
      <c r="B2921" s="153">
        <v>1093</v>
      </c>
      <c r="C2921" s="126" t="s">
        <v>3103</v>
      </c>
      <c r="D2921">
        <v>689</v>
      </c>
      <c r="E2921" s="126"/>
      <c r="F2921" s="125"/>
      <c r="G2921" s="125"/>
      <c r="H2921"/>
      <c r="I2921" s="125"/>
      <c r="J2921" s="308">
        <v>223</v>
      </c>
      <c r="K2921" s="127" t="s">
        <v>3806</v>
      </c>
      <c r="L2921" s="153" t="s">
        <v>1579</v>
      </c>
      <c r="M2921">
        <v>809</v>
      </c>
      <c r="N2921" s="123">
        <v>17</v>
      </c>
      <c r="O2921">
        <v>162</v>
      </c>
      <c r="P2921" s="132" t="s">
        <v>77</v>
      </c>
      <c r="Q2921" s="132">
        <v>34.22</v>
      </c>
      <c r="R2921" s="132"/>
      <c r="S2921" s="132"/>
      <c r="T2921" s="156"/>
      <c r="U2921" s="132"/>
      <c r="V2921" s="132">
        <f>+Table1[[#This Row],[SUBTOTAL]]+Table1[[#This Row],[IVA]]-Table1[[#This Row],[RET IVA]]-Table1[[#This Row],[RET ISR]]</f>
        <v>34.22</v>
      </c>
      <c r="W2921">
        <v>167</v>
      </c>
      <c r="X2921" s="153" t="s">
        <v>1644</v>
      </c>
      <c r="Y2921" s="124" t="s">
        <v>55</v>
      </c>
      <c r="Z2921" s="308">
        <v>223</v>
      </c>
      <c r="AB2921" t="str">
        <f>IF(Table1[[#This Row],[TIPO2]]="costo", VLOOKUP(Table1[[#This Row],[PARTIDA PRESUPUESTAL]],'Cost Report'!G:G,1,0),"Balance")</f>
        <v>7038-009</v>
      </c>
      <c r="AC2921" s="118"/>
      <c r="AD2921" s="159">
        <f>+Table1[[#This Row],[SUBTOTAL]]+Table1[[#This Row],[IVA]]-Table1[[#This Row],[RET IVA]]-Table1[[#This Row],[RET ISR]]-Table1[[#This Row],[TOTAL]]</f>
        <v>0</v>
      </c>
      <c r="AE2921" s="152"/>
      <c r="AF2921" s="153"/>
      <c r="AG2921" s="126" t="s">
        <v>3420</v>
      </c>
      <c r="AK2921" s="306">
        <f>IF(ISNUMBER(Table1[[#This Row],[FECHA DE RECIBIDO]]), Table1[[#This Row],[FECHA DE RECIBIDO]]-DATE(2023,8,30), "")</f>
        <v>-44945</v>
      </c>
    </row>
    <row r="2922" spans="1:37" ht="16.05" customHeight="1">
      <c r="A2922" s="150" t="s">
        <v>4105</v>
      </c>
      <c r="B2922" s="151">
        <v>1093</v>
      </c>
      <c r="C2922" s="126" t="s">
        <v>3103</v>
      </c>
      <c r="D2922">
        <v>689</v>
      </c>
      <c r="E2922" s="126"/>
      <c r="F2922" s="122"/>
      <c r="G2922" s="122"/>
      <c r="H2922"/>
      <c r="I2922" s="122"/>
      <c r="J2922" s="307">
        <v>226</v>
      </c>
      <c r="K2922" s="127" t="s">
        <v>3806</v>
      </c>
      <c r="L2922" s="151" t="s">
        <v>1579</v>
      </c>
      <c r="M2922">
        <v>809</v>
      </c>
      <c r="N2922" s="123">
        <v>17</v>
      </c>
      <c r="O2922">
        <v>162</v>
      </c>
      <c r="P2922" s="132" t="s">
        <v>77</v>
      </c>
      <c r="Q2922" s="131">
        <v>34.22</v>
      </c>
      <c r="R2922" s="131"/>
      <c r="S2922" s="131"/>
      <c r="T2922" s="155"/>
      <c r="U2922" s="131"/>
      <c r="V2922" s="131">
        <f>+Table1[[#This Row],[SUBTOTAL]]+Table1[[#This Row],[IVA]]-Table1[[#This Row],[RET IVA]]-Table1[[#This Row],[RET ISR]]</f>
        <v>34.22</v>
      </c>
      <c r="W2922">
        <v>167</v>
      </c>
      <c r="X2922" s="151" t="s">
        <v>1644</v>
      </c>
      <c r="Y2922" s="135" t="s">
        <v>55</v>
      </c>
      <c r="Z2922" s="307">
        <v>226</v>
      </c>
      <c r="AB2922" t="str">
        <f>IF(Table1[[#This Row],[TIPO2]]="costo", VLOOKUP(Table1[[#This Row],[PARTIDA PRESUPUESTAL]],'Cost Report'!G:G,1,0),"Balance")</f>
        <v>7038-009</v>
      </c>
      <c r="AC2922" s="118"/>
      <c r="AD2922" s="159">
        <f>+Table1[[#This Row],[SUBTOTAL]]+Table1[[#This Row],[IVA]]-Table1[[#This Row],[RET IVA]]-Table1[[#This Row],[RET ISR]]-Table1[[#This Row],[TOTAL]]</f>
        <v>0</v>
      </c>
      <c r="AE2922" s="150"/>
      <c r="AF2922" s="151"/>
      <c r="AG2922" s="126" t="s">
        <v>3420</v>
      </c>
      <c r="AK2922" s="306">
        <f>IF(ISNUMBER(Table1[[#This Row],[FECHA DE RECIBIDO]]), Table1[[#This Row],[FECHA DE RECIBIDO]]-DATE(2023,8,30), "")</f>
        <v>-44942</v>
      </c>
    </row>
    <row r="2923" spans="1:37" ht="16.05" customHeight="1">
      <c r="A2923" s="152" t="s">
        <v>4105</v>
      </c>
      <c r="B2923" s="153">
        <v>1093</v>
      </c>
      <c r="C2923" s="126" t="s">
        <v>2860</v>
      </c>
      <c r="D2923">
        <v>689</v>
      </c>
      <c r="E2923" s="126"/>
      <c r="F2923" s="125"/>
      <c r="G2923" s="125"/>
      <c r="H2923"/>
      <c r="I2923" s="125"/>
      <c r="J2923" s="308">
        <v>226</v>
      </c>
      <c r="K2923" s="127" t="s">
        <v>3806</v>
      </c>
      <c r="L2923" s="153" t="s">
        <v>1579</v>
      </c>
      <c r="M2923">
        <v>184</v>
      </c>
      <c r="N2923" s="123">
        <v>17</v>
      </c>
      <c r="O2923">
        <v>1972</v>
      </c>
      <c r="P2923" s="132" t="s">
        <v>77</v>
      </c>
      <c r="Q2923" s="132">
        <v>10</v>
      </c>
      <c r="R2923" s="132"/>
      <c r="S2923" s="132"/>
      <c r="T2923" s="156"/>
      <c r="U2923" s="132"/>
      <c r="V2923" s="132">
        <f>+Table1[[#This Row],[SUBTOTAL]]+Table1[[#This Row],[IVA]]-Table1[[#This Row],[RET IVA]]-Table1[[#This Row],[RET ISR]]</f>
        <v>10</v>
      </c>
      <c r="W2923">
        <v>167</v>
      </c>
      <c r="X2923" s="153" t="s">
        <v>1644</v>
      </c>
      <c r="Y2923" s="124" t="s">
        <v>55</v>
      </c>
      <c r="Z2923" s="308">
        <v>226</v>
      </c>
      <c r="AB2923" t="str">
        <f>IF(Table1[[#This Row],[TIPO2]]="costo", VLOOKUP(Table1[[#This Row],[PARTIDA PRESUPUESTAL]],'Cost Report'!G:G,1,0),"Balance")</f>
        <v>3629-003</v>
      </c>
      <c r="AC2923" s="118"/>
      <c r="AD2923" s="159">
        <f>+Table1[[#This Row],[SUBTOTAL]]+Table1[[#This Row],[IVA]]-Table1[[#This Row],[RET IVA]]-Table1[[#This Row],[RET ISR]]-Table1[[#This Row],[TOTAL]]</f>
        <v>0</v>
      </c>
      <c r="AE2923" s="152"/>
      <c r="AF2923" s="153"/>
      <c r="AG2923" s="126" t="s">
        <v>3420</v>
      </c>
      <c r="AK2923" s="306">
        <f>IF(ISNUMBER(Table1[[#This Row],[FECHA DE RECIBIDO]]), Table1[[#This Row],[FECHA DE RECIBIDO]]-DATE(2023,8,30), "")</f>
        <v>-44942</v>
      </c>
    </row>
    <row r="2924" spans="1:37" ht="16.05" customHeight="1">
      <c r="A2924" s="150" t="s">
        <v>4105</v>
      </c>
      <c r="B2924" s="151">
        <v>1093</v>
      </c>
      <c r="C2924" s="126" t="s">
        <v>2860</v>
      </c>
      <c r="D2924">
        <v>689</v>
      </c>
      <c r="E2924" s="126"/>
      <c r="F2924" s="122"/>
      <c r="G2924" s="122"/>
      <c r="H2924"/>
      <c r="I2924" s="122"/>
      <c r="J2924" s="307">
        <v>226</v>
      </c>
      <c r="K2924" s="127" t="s">
        <v>3806</v>
      </c>
      <c r="L2924" s="151" t="s">
        <v>1579</v>
      </c>
      <c r="M2924">
        <v>184</v>
      </c>
      <c r="N2924" s="123">
        <v>17</v>
      </c>
      <c r="O2924">
        <v>1972</v>
      </c>
      <c r="P2924" s="132" t="s">
        <v>77</v>
      </c>
      <c r="Q2924" s="131">
        <v>10</v>
      </c>
      <c r="R2924" s="131"/>
      <c r="S2924" s="131"/>
      <c r="T2924" s="155"/>
      <c r="U2924" s="131"/>
      <c r="V2924" s="131">
        <f>+Table1[[#This Row],[SUBTOTAL]]+Table1[[#This Row],[IVA]]-Table1[[#This Row],[RET IVA]]-Table1[[#This Row],[RET ISR]]</f>
        <v>10</v>
      </c>
      <c r="W2924">
        <v>167</v>
      </c>
      <c r="X2924" s="151" t="s">
        <v>1644</v>
      </c>
      <c r="Y2924" s="135" t="s">
        <v>55</v>
      </c>
      <c r="Z2924" s="307">
        <v>226</v>
      </c>
      <c r="AB2924" t="str">
        <f>IF(Table1[[#This Row],[TIPO2]]="costo", VLOOKUP(Table1[[#This Row],[PARTIDA PRESUPUESTAL]],'Cost Report'!G:G,1,0),"Balance")</f>
        <v>3629-003</v>
      </c>
      <c r="AC2924" s="118"/>
      <c r="AD2924" s="159">
        <f>+Table1[[#This Row],[SUBTOTAL]]+Table1[[#This Row],[IVA]]-Table1[[#This Row],[RET IVA]]-Table1[[#This Row],[RET ISR]]-Table1[[#This Row],[TOTAL]]</f>
        <v>0</v>
      </c>
      <c r="AE2924" s="150"/>
      <c r="AF2924" s="151"/>
      <c r="AG2924" s="126" t="s">
        <v>3420</v>
      </c>
      <c r="AK2924" s="306">
        <f>IF(ISNUMBER(Table1[[#This Row],[FECHA DE RECIBIDO]]), Table1[[#This Row],[FECHA DE RECIBIDO]]-DATE(2023,8,30), "")</f>
        <v>-44942</v>
      </c>
    </row>
    <row r="2925" spans="1:37" ht="16.05" customHeight="1">
      <c r="A2925" s="152" t="s">
        <v>4105</v>
      </c>
      <c r="B2925" s="153">
        <v>1093</v>
      </c>
      <c r="C2925" s="126" t="s">
        <v>2829</v>
      </c>
      <c r="D2925">
        <v>689</v>
      </c>
      <c r="E2925" s="126"/>
      <c r="F2925" s="125"/>
      <c r="G2925" s="125"/>
      <c r="H2925"/>
      <c r="I2925" s="125"/>
      <c r="J2925" s="308">
        <v>231</v>
      </c>
      <c r="K2925" s="127" t="s">
        <v>3806</v>
      </c>
      <c r="L2925" s="153" t="s">
        <v>1579</v>
      </c>
      <c r="M2925">
        <v>810</v>
      </c>
      <c r="N2925" s="123">
        <v>17</v>
      </c>
      <c r="O2925">
        <v>1973</v>
      </c>
      <c r="P2925" s="132" t="s">
        <v>77</v>
      </c>
      <c r="Q2925" s="132">
        <v>18</v>
      </c>
      <c r="R2925" s="132"/>
      <c r="S2925" s="132"/>
      <c r="T2925" s="156"/>
      <c r="U2925" s="132"/>
      <c r="V2925" s="132">
        <f>+Table1[[#This Row],[SUBTOTAL]]+Table1[[#This Row],[IVA]]-Table1[[#This Row],[RET IVA]]-Table1[[#This Row],[RET ISR]]</f>
        <v>18</v>
      </c>
      <c r="W2925">
        <v>167</v>
      </c>
      <c r="X2925" s="153" t="s">
        <v>1644</v>
      </c>
      <c r="Y2925" s="124" t="s">
        <v>55</v>
      </c>
      <c r="Z2925" s="308">
        <v>231</v>
      </c>
      <c r="AB2925" t="str">
        <f>IF(Table1[[#This Row],[TIPO2]]="costo", VLOOKUP(Table1[[#This Row],[PARTIDA PRESUPUESTAL]],'Cost Report'!G:G,1,0),"Balance")</f>
        <v>3412-138</v>
      </c>
      <c r="AC2925" s="118"/>
      <c r="AD2925" s="159">
        <f>+Table1[[#This Row],[SUBTOTAL]]+Table1[[#This Row],[IVA]]-Table1[[#This Row],[RET IVA]]-Table1[[#This Row],[RET ISR]]-Table1[[#This Row],[TOTAL]]</f>
        <v>0</v>
      </c>
      <c r="AE2925" s="152"/>
      <c r="AF2925" s="153"/>
      <c r="AG2925" s="126" t="s">
        <v>3420</v>
      </c>
      <c r="AK2925" s="306">
        <f>IF(ISNUMBER(Table1[[#This Row],[FECHA DE RECIBIDO]]), Table1[[#This Row],[FECHA DE RECIBIDO]]-DATE(2023,8,30), "")</f>
        <v>-44937</v>
      </c>
    </row>
    <row r="2926" spans="1:37" ht="16.05" customHeight="1">
      <c r="A2926" s="150" t="s">
        <v>4107</v>
      </c>
      <c r="B2926" s="151">
        <v>1094</v>
      </c>
      <c r="C2926" s="126" t="s">
        <v>3415</v>
      </c>
      <c r="D2926">
        <v>2015</v>
      </c>
      <c r="E2926" s="126" t="s">
        <v>1623</v>
      </c>
      <c r="F2926" s="122" t="s">
        <v>1607</v>
      </c>
      <c r="G2926" s="122" t="s">
        <v>134</v>
      </c>
      <c r="H2926">
        <v>45</v>
      </c>
      <c r="I2926" s="122" t="s">
        <v>1546</v>
      </c>
      <c r="J2926" s="307" t="s">
        <v>214</v>
      </c>
      <c r="K2926" s="127" t="s">
        <v>3806</v>
      </c>
      <c r="L2926" s="151" t="s">
        <v>1579</v>
      </c>
      <c r="M2926">
        <v>656</v>
      </c>
      <c r="N2926" s="123">
        <v>17</v>
      </c>
      <c r="O2926">
        <v>1974</v>
      </c>
      <c r="P2926" s="132" t="s">
        <v>77</v>
      </c>
      <c r="Q2926" s="131">
        <v>1724.14</v>
      </c>
      <c r="R2926" s="131">
        <v>275.86</v>
      </c>
      <c r="S2926" s="131"/>
      <c r="T2926" s="155"/>
      <c r="U2926" s="131"/>
      <c r="V2926" s="131">
        <f>+Table1[[#This Row],[SUBTOTAL]]+Table1[[#This Row],[IVA]]-Table1[[#This Row],[RET IVA]]-Table1[[#This Row],[RET ISR]]</f>
        <v>2000</v>
      </c>
      <c r="W2926">
        <v>167</v>
      </c>
      <c r="X2926" s="151" t="s">
        <v>1644</v>
      </c>
      <c r="Y2926" s="135" t="s">
        <v>55</v>
      </c>
      <c r="Z2926" s="307">
        <v>224</v>
      </c>
      <c r="AB2926" t="str">
        <f>IF(Table1[[#This Row],[TIPO2]]="costo", VLOOKUP(Table1[[#This Row],[PARTIDA PRESUPUESTAL]],'Cost Report'!G:G,1,0),"Balance")</f>
        <v>3629-006</v>
      </c>
      <c r="AC2926" s="118"/>
      <c r="AD2926" s="159">
        <f>+Table1[[#This Row],[SUBTOTAL]]+Table1[[#This Row],[IVA]]-Table1[[#This Row],[RET IVA]]-Table1[[#This Row],[RET ISR]]-Table1[[#This Row],[TOTAL]]</f>
        <v>0</v>
      </c>
      <c r="AE2926" s="150"/>
      <c r="AF2926" s="151"/>
      <c r="AG2926" s="126" t="s">
        <v>3420</v>
      </c>
      <c r="AK2926" s="306" t="str">
        <f>IF(ISNUMBER(Table1[[#This Row],[FECHA DE RECIBIDO]]), Table1[[#This Row],[FECHA DE RECIBIDO]]-DATE(2023,8,30), "")</f>
        <v/>
      </c>
    </row>
    <row r="2927" spans="1:37" ht="16.05" customHeight="1">
      <c r="A2927" s="152" t="s">
        <v>4107</v>
      </c>
      <c r="B2927" s="153">
        <v>1094</v>
      </c>
      <c r="C2927" s="126" t="s">
        <v>3415</v>
      </c>
      <c r="D2927">
        <v>2016</v>
      </c>
      <c r="E2927" s="126" t="s">
        <v>1623</v>
      </c>
      <c r="F2927" s="125" t="s">
        <v>1607</v>
      </c>
      <c r="G2927" s="125" t="s">
        <v>134</v>
      </c>
      <c r="H2927">
        <v>45</v>
      </c>
      <c r="I2927" s="125" t="s">
        <v>1546</v>
      </c>
      <c r="J2927" s="308" t="s">
        <v>214</v>
      </c>
      <c r="K2927" s="127" t="s">
        <v>3806</v>
      </c>
      <c r="L2927" s="153" t="s">
        <v>1579</v>
      </c>
      <c r="M2927">
        <v>656</v>
      </c>
      <c r="N2927" s="123">
        <v>17</v>
      </c>
      <c r="O2927">
        <v>1974</v>
      </c>
      <c r="P2927" s="132" t="s">
        <v>77</v>
      </c>
      <c r="Q2927" s="132">
        <v>603.45000000000005</v>
      </c>
      <c r="R2927" s="132">
        <v>96.55</v>
      </c>
      <c r="S2927" s="132"/>
      <c r="T2927" s="156"/>
      <c r="U2927" s="132"/>
      <c r="V2927" s="132">
        <f>+Table1[[#This Row],[SUBTOTAL]]+Table1[[#This Row],[IVA]]-Table1[[#This Row],[RET IVA]]-Table1[[#This Row],[RET ISR]]</f>
        <v>700</v>
      </c>
      <c r="W2927">
        <v>167</v>
      </c>
      <c r="X2927" s="153" t="s">
        <v>1644</v>
      </c>
      <c r="Y2927" s="124" t="s">
        <v>55</v>
      </c>
      <c r="Z2927" s="308">
        <v>225</v>
      </c>
      <c r="AB2927" t="str">
        <f>IF(Table1[[#This Row],[TIPO2]]="costo", VLOOKUP(Table1[[#This Row],[PARTIDA PRESUPUESTAL]],'Cost Report'!G:G,1,0),"Balance")</f>
        <v>3629-006</v>
      </c>
      <c r="AC2927" s="118"/>
      <c r="AD2927" s="159">
        <f>+Table1[[#This Row],[SUBTOTAL]]+Table1[[#This Row],[IVA]]-Table1[[#This Row],[RET IVA]]-Table1[[#This Row],[RET ISR]]-Table1[[#This Row],[TOTAL]]</f>
        <v>0</v>
      </c>
      <c r="AE2927" s="152"/>
      <c r="AF2927" s="153"/>
      <c r="AG2927" s="126" t="s">
        <v>3420</v>
      </c>
      <c r="AK2927" s="306" t="str">
        <f>IF(ISNUMBER(Table1[[#This Row],[FECHA DE RECIBIDO]]), Table1[[#This Row],[FECHA DE RECIBIDO]]-DATE(2023,8,30), "")</f>
        <v/>
      </c>
    </row>
    <row r="2928" spans="1:37" ht="16.05" customHeight="1">
      <c r="A2928" s="150" t="s">
        <v>4108</v>
      </c>
      <c r="B2928" s="151">
        <v>1095</v>
      </c>
      <c r="C2928" s="126" t="s">
        <v>1873</v>
      </c>
      <c r="D2928">
        <v>2017</v>
      </c>
      <c r="E2928" s="126" t="s">
        <v>1984</v>
      </c>
      <c r="F2928" s="122" t="s">
        <v>1607</v>
      </c>
      <c r="G2928" s="122" t="s">
        <v>134</v>
      </c>
      <c r="H2928">
        <v>74</v>
      </c>
      <c r="I2928" s="122" t="s">
        <v>1546</v>
      </c>
      <c r="J2928" s="307" t="s">
        <v>214</v>
      </c>
      <c r="K2928" s="127" t="s">
        <v>3806</v>
      </c>
      <c r="L2928" s="151" t="s">
        <v>1579</v>
      </c>
      <c r="M2928">
        <v>96</v>
      </c>
      <c r="N2928" s="123">
        <v>17</v>
      </c>
      <c r="O2928">
        <v>1975</v>
      </c>
      <c r="P2928" s="132" t="s">
        <v>77</v>
      </c>
      <c r="Q2928" s="131">
        <v>1103.45</v>
      </c>
      <c r="R2928" s="131">
        <v>176.55</v>
      </c>
      <c r="S2928" s="131"/>
      <c r="T2928" s="155"/>
      <c r="U2928" s="131"/>
      <c r="V2928" s="131">
        <f>+Table1[[#This Row],[SUBTOTAL]]+Table1[[#This Row],[IVA]]-Table1[[#This Row],[RET IVA]]-Table1[[#This Row],[RET ISR]]</f>
        <v>1280</v>
      </c>
      <c r="W2928">
        <v>227</v>
      </c>
      <c r="X2928" s="151" t="s">
        <v>1644</v>
      </c>
      <c r="Y2928" s="135" t="s">
        <v>55</v>
      </c>
      <c r="Z2928" s="307">
        <v>215</v>
      </c>
      <c r="AB2928" t="str">
        <f>IF(Table1[[#This Row],[TIPO2]]="costo", VLOOKUP(Table1[[#This Row],[PARTIDA PRESUPUESTAL]],'Cost Report'!G:G,1,0),"Balance")</f>
        <v>3442-015</v>
      </c>
      <c r="AC2928" s="118"/>
      <c r="AD2928" s="159">
        <f>+Table1[[#This Row],[SUBTOTAL]]+Table1[[#This Row],[IVA]]-Table1[[#This Row],[RET IVA]]-Table1[[#This Row],[RET ISR]]-Table1[[#This Row],[TOTAL]]</f>
        <v>0</v>
      </c>
      <c r="AE2928" s="150"/>
      <c r="AF2928" s="151"/>
      <c r="AG2928" s="126" t="s">
        <v>3420</v>
      </c>
      <c r="AK2928" s="306" t="str">
        <f>IF(ISNUMBER(Table1[[#This Row],[FECHA DE RECIBIDO]]), Table1[[#This Row],[FECHA DE RECIBIDO]]-DATE(2023,8,30), "")</f>
        <v/>
      </c>
    </row>
    <row r="2929" spans="1:37" ht="16.05" customHeight="1">
      <c r="A2929" s="150" t="s">
        <v>4108</v>
      </c>
      <c r="B2929" s="151">
        <v>1095</v>
      </c>
      <c r="C2929" s="126" t="s">
        <v>2829</v>
      </c>
      <c r="D2929">
        <v>2018</v>
      </c>
      <c r="E2929" s="126" t="s">
        <v>1991</v>
      </c>
      <c r="F2929" s="122" t="s">
        <v>1607</v>
      </c>
      <c r="G2929" s="122" t="s">
        <v>134</v>
      </c>
      <c r="H2929">
        <v>439</v>
      </c>
      <c r="I2929" s="122" t="s">
        <v>1546</v>
      </c>
      <c r="J2929" s="307" t="s">
        <v>214</v>
      </c>
      <c r="K2929" s="127" t="s">
        <v>3806</v>
      </c>
      <c r="L2929" s="151" t="s">
        <v>1579</v>
      </c>
      <c r="M2929">
        <v>595</v>
      </c>
      <c r="N2929" s="123">
        <v>17</v>
      </c>
      <c r="O2929">
        <v>1976</v>
      </c>
      <c r="P2929" s="132" t="s">
        <v>77</v>
      </c>
      <c r="Q2929" s="131">
        <v>378.45</v>
      </c>
      <c r="R2929" s="131">
        <v>60.55</v>
      </c>
      <c r="S2929" s="131"/>
      <c r="T2929" s="155"/>
      <c r="U2929" s="131"/>
      <c r="V2929" s="131">
        <f>+Table1[[#This Row],[SUBTOTAL]]+Table1[[#This Row],[IVA]]-Table1[[#This Row],[RET IVA]]-Table1[[#This Row],[RET ISR]]</f>
        <v>439</v>
      </c>
      <c r="W2929">
        <v>227</v>
      </c>
      <c r="X2929" s="151" t="s">
        <v>1644</v>
      </c>
      <c r="Y2929" s="135" t="s">
        <v>55</v>
      </c>
      <c r="Z2929" s="307">
        <v>221</v>
      </c>
      <c r="AB2929" t="str">
        <f>IF(Table1[[#This Row],[TIPO2]]="costo", VLOOKUP(Table1[[#This Row],[PARTIDA PRESUPUESTAL]],'Cost Report'!G:G,1,0),"Balance")</f>
        <v>3412-138</v>
      </c>
      <c r="AC2929" s="118"/>
      <c r="AD2929" s="159">
        <f>+Table1[[#This Row],[SUBTOTAL]]+Table1[[#This Row],[IVA]]-Table1[[#This Row],[RET IVA]]-Table1[[#This Row],[RET ISR]]-Table1[[#This Row],[TOTAL]]</f>
        <v>0</v>
      </c>
      <c r="AE2929" s="150"/>
      <c r="AF2929" s="151"/>
      <c r="AG2929" s="126" t="s">
        <v>3420</v>
      </c>
      <c r="AK2929" s="306" t="str">
        <f>IF(ISNUMBER(Table1[[#This Row],[FECHA DE RECIBIDO]]), Table1[[#This Row],[FECHA DE RECIBIDO]]-DATE(2023,8,30), "")</f>
        <v/>
      </c>
    </row>
    <row r="2930" spans="1:37" ht="16.05" customHeight="1">
      <c r="A2930" s="152" t="s">
        <v>4108</v>
      </c>
      <c r="B2930" s="153">
        <v>1095</v>
      </c>
      <c r="C2930" s="126" t="s">
        <v>2443</v>
      </c>
      <c r="D2930">
        <v>2019</v>
      </c>
      <c r="E2930" s="126" t="s">
        <v>1596</v>
      </c>
      <c r="F2930" s="125" t="s">
        <v>1607</v>
      </c>
      <c r="G2930" s="125" t="s">
        <v>134</v>
      </c>
      <c r="H2930">
        <v>248</v>
      </c>
      <c r="I2930" s="125" t="s">
        <v>1546</v>
      </c>
      <c r="J2930" s="308" t="s">
        <v>214</v>
      </c>
      <c r="K2930" s="127" t="s">
        <v>3806</v>
      </c>
      <c r="L2930" s="153" t="s">
        <v>1579</v>
      </c>
      <c r="M2930">
        <v>325</v>
      </c>
      <c r="N2930" s="123">
        <v>17</v>
      </c>
      <c r="O2930">
        <v>1977</v>
      </c>
      <c r="P2930" s="132" t="s">
        <v>77</v>
      </c>
      <c r="Q2930" s="132">
        <v>157.71</v>
      </c>
      <c r="R2930" s="132">
        <v>25.23</v>
      </c>
      <c r="S2930" s="132"/>
      <c r="T2930" s="156"/>
      <c r="U2930" s="132"/>
      <c r="V2930" s="132">
        <f>+Table1[[#This Row],[SUBTOTAL]]+Table1[[#This Row],[IVA]]-Table1[[#This Row],[RET IVA]]-Table1[[#This Row],[RET ISR]]</f>
        <v>182.94</v>
      </c>
      <c r="W2930">
        <v>227</v>
      </c>
      <c r="X2930" s="153" t="s">
        <v>1644</v>
      </c>
      <c r="Y2930" s="124" t="s">
        <v>55</v>
      </c>
      <c r="Z2930" s="308">
        <v>222</v>
      </c>
      <c r="AB2930" t="str">
        <f>IF(Table1[[#This Row],[TIPO2]]="costo", VLOOKUP(Table1[[#This Row],[PARTIDA PRESUPUESTAL]],'Cost Report'!G:G,1,0),"Balance")</f>
        <v>2080-003</v>
      </c>
      <c r="AC2930" s="118"/>
      <c r="AD2930" s="159">
        <f>+Table1[[#This Row],[SUBTOTAL]]+Table1[[#This Row],[IVA]]-Table1[[#This Row],[RET IVA]]-Table1[[#This Row],[RET ISR]]-Table1[[#This Row],[TOTAL]]</f>
        <v>0</v>
      </c>
      <c r="AE2930" s="152"/>
      <c r="AF2930" s="153"/>
      <c r="AG2930" s="126" t="s">
        <v>3420</v>
      </c>
      <c r="AK2930" s="306" t="str">
        <f>IF(ISNUMBER(Table1[[#This Row],[FECHA DE RECIBIDO]]), Table1[[#This Row],[FECHA DE RECIBIDO]]-DATE(2023,8,30), "")</f>
        <v/>
      </c>
    </row>
    <row r="2931" spans="1:37" ht="16.05" customHeight="1">
      <c r="A2931" s="150" t="s">
        <v>4108</v>
      </c>
      <c r="B2931" s="151">
        <v>1095</v>
      </c>
      <c r="C2931" s="126" t="s">
        <v>1873</v>
      </c>
      <c r="D2931">
        <v>2020</v>
      </c>
      <c r="E2931" s="126" t="s">
        <v>4109</v>
      </c>
      <c r="F2931" s="122" t="s">
        <v>1602</v>
      </c>
      <c r="G2931" s="122" t="s">
        <v>1617</v>
      </c>
      <c r="H2931">
        <v>573</v>
      </c>
      <c r="I2931" s="122" t="s">
        <v>1546</v>
      </c>
      <c r="J2931" s="307" t="s">
        <v>214</v>
      </c>
      <c r="K2931" s="127" t="s">
        <v>3806</v>
      </c>
      <c r="L2931" s="151" t="s">
        <v>1579</v>
      </c>
      <c r="M2931">
        <v>811</v>
      </c>
      <c r="N2931" s="123">
        <v>17</v>
      </c>
      <c r="O2931">
        <v>1978</v>
      </c>
      <c r="P2931" s="132" t="s">
        <v>77</v>
      </c>
      <c r="Q2931" s="131">
        <v>456.89</v>
      </c>
      <c r="R2931" s="131">
        <v>73.11</v>
      </c>
      <c r="S2931" s="131"/>
      <c r="T2931" s="155"/>
      <c r="U2931" s="131"/>
      <c r="V2931" s="131">
        <f>+Table1[[#This Row],[SUBTOTAL]]+Table1[[#This Row],[IVA]]-Table1[[#This Row],[RET IVA]]-Table1[[#This Row],[RET ISR]]</f>
        <v>530</v>
      </c>
      <c r="W2931">
        <v>227</v>
      </c>
      <c r="X2931" s="151" t="s">
        <v>1644</v>
      </c>
      <c r="Y2931" s="135" t="s">
        <v>55</v>
      </c>
      <c r="Z2931" s="307">
        <v>225</v>
      </c>
      <c r="AB2931" t="str">
        <f>IF(Table1[[#This Row],[TIPO2]]="costo", VLOOKUP(Table1[[#This Row],[PARTIDA PRESUPUESTAL]],'Cost Report'!G:G,1,0),"Balance")</f>
        <v>3442-015</v>
      </c>
      <c r="AC2931" s="118"/>
      <c r="AD2931" s="159">
        <f>+Table1[[#This Row],[SUBTOTAL]]+Table1[[#This Row],[IVA]]-Table1[[#This Row],[RET IVA]]-Table1[[#This Row],[RET ISR]]-Table1[[#This Row],[TOTAL]]</f>
        <v>0</v>
      </c>
      <c r="AE2931" s="150"/>
      <c r="AF2931" s="151"/>
      <c r="AG2931" s="126" t="s">
        <v>3420</v>
      </c>
      <c r="AK2931" s="306" t="str">
        <f>IF(ISNUMBER(Table1[[#This Row],[FECHA DE RECIBIDO]]), Table1[[#This Row],[FECHA DE RECIBIDO]]-DATE(2023,8,30), "")</f>
        <v/>
      </c>
    </row>
    <row r="2932" spans="1:37" ht="16.05" customHeight="1">
      <c r="A2932" s="152" t="s">
        <v>4108</v>
      </c>
      <c r="B2932" s="153">
        <v>1095</v>
      </c>
      <c r="C2932" s="126" t="s">
        <v>2865</v>
      </c>
      <c r="D2932">
        <v>2021</v>
      </c>
      <c r="E2932" s="126" t="s">
        <v>4110</v>
      </c>
      <c r="F2932" s="125" t="s">
        <v>1607</v>
      </c>
      <c r="G2932" s="125" t="s">
        <v>134</v>
      </c>
      <c r="H2932">
        <v>574</v>
      </c>
      <c r="I2932" s="125" t="s">
        <v>1546</v>
      </c>
      <c r="J2932" s="308" t="s">
        <v>214</v>
      </c>
      <c r="K2932" s="127" t="s">
        <v>3806</v>
      </c>
      <c r="L2932" s="153" t="s">
        <v>1579</v>
      </c>
      <c r="M2932">
        <v>812</v>
      </c>
      <c r="N2932" s="123">
        <v>17</v>
      </c>
      <c r="O2932">
        <v>1979</v>
      </c>
      <c r="P2932" s="132" t="s">
        <v>77</v>
      </c>
      <c r="Q2932" s="132">
        <v>173.03</v>
      </c>
      <c r="R2932" s="132">
        <v>26.97</v>
      </c>
      <c r="S2932" s="132"/>
      <c r="T2932" s="156"/>
      <c r="U2932" s="132"/>
      <c r="V2932" s="132">
        <f>+Table1[[#This Row],[SUBTOTAL]]+Table1[[#This Row],[IVA]]-Table1[[#This Row],[RET IVA]]-Table1[[#This Row],[RET ISR]]</f>
        <v>200</v>
      </c>
      <c r="W2932">
        <v>227</v>
      </c>
      <c r="X2932" s="153" t="s">
        <v>1644</v>
      </c>
      <c r="Y2932" s="124" t="s">
        <v>55</v>
      </c>
      <c r="Z2932" s="308">
        <v>225</v>
      </c>
      <c r="AB2932" t="str">
        <f>IF(Table1[[#This Row],[TIPO2]]="costo", VLOOKUP(Table1[[#This Row],[PARTIDA PRESUPUESTAL]],'Cost Report'!G:G,1,0),"Balance")</f>
        <v>3632-004</v>
      </c>
      <c r="AC2932" s="118"/>
      <c r="AD2932" s="159">
        <f>+Table1[[#This Row],[SUBTOTAL]]+Table1[[#This Row],[IVA]]-Table1[[#This Row],[RET IVA]]-Table1[[#This Row],[RET ISR]]-Table1[[#This Row],[TOTAL]]</f>
        <v>0</v>
      </c>
      <c r="AE2932" s="152"/>
      <c r="AF2932" s="153"/>
      <c r="AG2932" s="126" t="s">
        <v>3420</v>
      </c>
      <c r="AK2932" s="306" t="str">
        <f>IF(ISNUMBER(Table1[[#This Row],[FECHA DE RECIBIDO]]), Table1[[#This Row],[FECHA DE RECIBIDO]]-DATE(2023,8,30), "")</f>
        <v/>
      </c>
    </row>
    <row r="2933" spans="1:37" ht="16.05" customHeight="1">
      <c r="A2933" s="150" t="s">
        <v>4108</v>
      </c>
      <c r="B2933" s="151">
        <v>1095</v>
      </c>
      <c r="C2933" s="126" t="s">
        <v>2774</v>
      </c>
      <c r="D2933">
        <v>2022</v>
      </c>
      <c r="E2933" s="126" t="s">
        <v>1614</v>
      </c>
      <c r="F2933" s="122" t="s">
        <v>1593</v>
      </c>
      <c r="G2933" s="122" t="s">
        <v>109</v>
      </c>
      <c r="H2933">
        <v>50</v>
      </c>
      <c r="I2933" s="122" t="s">
        <v>1546</v>
      </c>
      <c r="J2933" s="307" t="s">
        <v>214</v>
      </c>
      <c r="K2933" s="127" t="s">
        <v>3806</v>
      </c>
      <c r="L2933" s="151" t="s">
        <v>1579</v>
      </c>
      <c r="M2933">
        <v>63</v>
      </c>
      <c r="N2933" s="123">
        <v>17</v>
      </c>
      <c r="O2933">
        <v>1980</v>
      </c>
      <c r="P2933" s="132" t="s">
        <v>77</v>
      </c>
      <c r="Q2933" s="131">
        <v>3340.52</v>
      </c>
      <c r="R2933" s="131">
        <v>534.48</v>
      </c>
      <c r="S2933" s="131"/>
      <c r="T2933" s="155"/>
      <c r="U2933" s="131"/>
      <c r="V2933" s="131">
        <f>+Table1[[#This Row],[SUBTOTAL]]+Table1[[#This Row],[IVA]]-Table1[[#This Row],[RET IVA]]-Table1[[#This Row],[RET ISR]]</f>
        <v>3875</v>
      </c>
      <c r="W2933">
        <v>227</v>
      </c>
      <c r="X2933" s="151" t="s">
        <v>1644</v>
      </c>
      <c r="Y2933" s="135" t="s">
        <v>55</v>
      </c>
      <c r="Z2933" s="307">
        <v>226</v>
      </c>
      <c r="AB2933" t="str">
        <f>IF(Table1[[#This Row],[TIPO2]]="costo", VLOOKUP(Table1[[#This Row],[PARTIDA PRESUPUESTAL]],'Cost Report'!G:G,1,0),"Balance")</f>
        <v>3401-042</v>
      </c>
      <c r="AC2933" s="118"/>
      <c r="AD2933" s="159">
        <f>+Table1[[#This Row],[SUBTOTAL]]+Table1[[#This Row],[IVA]]-Table1[[#This Row],[RET IVA]]-Table1[[#This Row],[RET ISR]]-Table1[[#This Row],[TOTAL]]</f>
        <v>0</v>
      </c>
      <c r="AE2933" s="150"/>
      <c r="AF2933" s="151"/>
      <c r="AG2933" s="126" t="s">
        <v>3420</v>
      </c>
      <c r="AK2933" s="306" t="str">
        <f>IF(ISNUMBER(Table1[[#This Row],[FECHA DE RECIBIDO]]), Table1[[#This Row],[FECHA DE RECIBIDO]]-DATE(2023,8,30), "")</f>
        <v/>
      </c>
    </row>
    <row r="2934" spans="1:37" ht="16.05" customHeight="1">
      <c r="A2934" s="152" t="s">
        <v>4108</v>
      </c>
      <c r="B2934" s="153">
        <v>1095</v>
      </c>
      <c r="C2934" s="126" t="s">
        <v>2860</v>
      </c>
      <c r="D2934">
        <v>2023</v>
      </c>
      <c r="E2934" s="126" t="s">
        <v>3794</v>
      </c>
      <c r="F2934" s="125" t="s">
        <v>1371</v>
      </c>
      <c r="G2934" s="125" t="s">
        <v>2065</v>
      </c>
      <c r="H2934">
        <v>469</v>
      </c>
      <c r="I2934" s="125" t="s">
        <v>1546</v>
      </c>
      <c r="J2934" s="308" t="s">
        <v>214</v>
      </c>
      <c r="K2934" s="127" t="s">
        <v>3806</v>
      </c>
      <c r="L2934" s="153" t="s">
        <v>1579</v>
      </c>
      <c r="M2934">
        <v>659</v>
      </c>
      <c r="N2934" s="123">
        <v>17</v>
      </c>
      <c r="O2934">
        <v>1981</v>
      </c>
      <c r="P2934" s="132" t="s">
        <v>77</v>
      </c>
      <c r="Q2934" s="132">
        <v>114.66</v>
      </c>
      <c r="R2934" s="132">
        <v>18.34</v>
      </c>
      <c r="S2934" s="132"/>
      <c r="T2934" s="156"/>
      <c r="U2934" s="132"/>
      <c r="V2934" s="132">
        <f>+Table1[[#This Row],[SUBTOTAL]]+Table1[[#This Row],[IVA]]-Table1[[#This Row],[RET IVA]]-Table1[[#This Row],[RET ISR]]</f>
        <v>133</v>
      </c>
      <c r="W2934">
        <v>227</v>
      </c>
      <c r="X2934" s="153" t="s">
        <v>1644</v>
      </c>
      <c r="Y2934" s="124" t="s">
        <v>55</v>
      </c>
      <c r="Z2934" s="308">
        <v>230</v>
      </c>
      <c r="AB2934" t="str">
        <f>IF(Table1[[#This Row],[TIPO2]]="costo", VLOOKUP(Table1[[#This Row],[PARTIDA PRESUPUESTAL]],'Cost Report'!G:G,1,0),"Balance")</f>
        <v>3629-003</v>
      </c>
      <c r="AC2934" s="118"/>
      <c r="AD2934" s="159">
        <f>+Table1[[#This Row],[SUBTOTAL]]+Table1[[#This Row],[IVA]]-Table1[[#This Row],[RET IVA]]-Table1[[#This Row],[RET ISR]]-Table1[[#This Row],[TOTAL]]</f>
        <v>0</v>
      </c>
      <c r="AE2934" s="152"/>
      <c r="AF2934" s="153"/>
      <c r="AG2934" s="126" t="s">
        <v>3420</v>
      </c>
      <c r="AK2934" s="306" t="str">
        <f>IF(ISNUMBER(Table1[[#This Row],[FECHA DE RECIBIDO]]), Table1[[#This Row],[FECHA DE RECIBIDO]]-DATE(2023,8,30), "")</f>
        <v/>
      </c>
    </row>
    <row r="2935" spans="1:37" ht="16.05" customHeight="1">
      <c r="A2935" s="150" t="s">
        <v>4108</v>
      </c>
      <c r="B2935" s="151">
        <v>1095</v>
      </c>
      <c r="C2935" s="126" t="s">
        <v>2860</v>
      </c>
      <c r="D2935">
        <v>2024</v>
      </c>
      <c r="E2935" s="126" t="s">
        <v>3794</v>
      </c>
      <c r="F2935" s="122" t="s">
        <v>1371</v>
      </c>
      <c r="G2935" s="122" t="s">
        <v>2065</v>
      </c>
      <c r="H2935">
        <v>469</v>
      </c>
      <c r="I2935" s="122" t="s">
        <v>1546</v>
      </c>
      <c r="J2935" s="307" t="s">
        <v>214</v>
      </c>
      <c r="K2935" s="127" t="s">
        <v>3806</v>
      </c>
      <c r="L2935" s="151" t="s">
        <v>1579</v>
      </c>
      <c r="M2935">
        <v>659</v>
      </c>
      <c r="N2935" s="123">
        <v>17</v>
      </c>
      <c r="O2935">
        <v>1981</v>
      </c>
      <c r="P2935" s="132" t="s">
        <v>77</v>
      </c>
      <c r="Q2935" s="131">
        <v>114.66</v>
      </c>
      <c r="R2935" s="131">
        <v>18.34</v>
      </c>
      <c r="S2935" s="131"/>
      <c r="T2935" s="155"/>
      <c r="U2935" s="131"/>
      <c r="V2935" s="131">
        <f>+Table1[[#This Row],[SUBTOTAL]]+Table1[[#This Row],[IVA]]-Table1[[#This Row],[RET IVA]]-Table1[[#This Row],[RET ISR]]</f>
        <v>133</v>
      </c>
      <c r="W2935">
        <v>227</v>
      </c>
      <c r="X2935" s="151" t="s">
        <v>1644</v>
      </c>
      <c r="Y2935" s="135" t="s">
        <v>55</v>
      </c>
      <c r="Z2935" s="307">
        <v>230</v>
      </c>
      <c r="AB2935" t="str">
        <f>IF(Table1[[#This Row],[TIPO2]]="costo", VLOOKUP(Table1[[#This Row],[PARTIDA PRESUPUESTAL]],'Cost Report'!G:G,1,0),"Balance")</f>
        <v>3629-003</v>
      </c>
      <c r="AC2935" s="118"/>
      <c r="AD2935" s="159">
        <f>+Table1[[#This Row],[SUBTOTAL]]+Table1[[#This Row],[IVA]]-Table1[[#This Row],[RET IVA]]-Table1[[#This Row],[RET ISR]]-Table1[[#This Row],[TOTAL]]</f>
        <v>0</v>
      </c>
      <c r="AE2935" s="150"/>
      <c r="AF2935" s="151"/>
      <c r="AG2935" s="126" t="s">
        <v>3420</v>
      </c>
      <c r="AK2935" s="306" t="str">
        <f>IF(ISNUMBER(Table1[[#This Row],[FECHA DE RECIBIDO]]), Table1[[#This Row],[FECHA DE RECIBIDO]]-DATE(2023,8,30), "")</f>
        <v/>
      </c>
    </row>
    <row r="2936" spans="1:37" ht="16.05" customHeight="1">
      <c r="A2936" s="152" t="s">
        <v>4108</v>
      </c>
      <c r="B2936" s="153">
        <v>1095</v>
      </c>
      <c r="C2936" s="126" t="s">
        <v>2774</v>
      </c>
      <c r="D2936">
        <v>2025</v>
      </c>
      <c r="E2936" s="126" t="s">
        <v>1603</v>
      </c>
      <c r="F2936" s="125" t="s">
        <v>1607</v>
      </c>
      <c r="G2936" s="125" t="s">
        <v>134</v>
      </c>
      <c r="H2936">
        <v>575</v>
      </c>
      <c r="I2936" s="125" t="s">
        <v>1546</v>
      </c>
      <c r="J2936" s="308" t="s">
        <v>214</v>
      </c>
      <c r="K2936" s="127" t="s">
        <v>3806</v>
      </c>
      <c r="L2936" s="153" t="s">
        <v>1579</v>
      </c>
      <c r="M2936">
        <v>573</v>
      </c>
      <c r="N2936" s="123">
        <v>17</v>
      </c>
      <c r="O2936">
        <v>1980</v>
      </c>
      <c r="P2936" s="132" t="s">
        <v>77</v>
      </c>
      <c r="Q2936" s="132">
        <v>2783.67</v>
      </c>
      <c r="R2936" s="132">
        <v>445.39</v>
      </c>
      <c r="S2936" s="132"/>
      <c r="T2936" s="156"/>
      <c r="U2936" s="132"/>
      <c r="V2936" s="132">
        <f>+Table1[[#This Row],[SUBTOTAL]]+Table1[[#This Row],[IVA]]-Table1[[#This Row],[RET IVA]]-Table1[[#This Row],[RET ISR]]</f>
        <v>3229.06</v>
      </c>
      <c r="W2936">
        <v>227</v>
      </c>
      <c r="X2936" s="153" t="s">
        <v>1644</v>
      </c>
      <c r="Y2936" s="124" t="s">
        <v>55</v>
      </c>
      <c r="Z2936" s="308">
        <v>230</v>
      </c>
      <c r="AB2936" t="str">
        <f>IF(Table1[[#This Row],[TIPO2]]="costo", VLOOKUP(Table1[[#This Row],[PARTIDA PRESUPUESTAL]],'Cost Report'!G:G,1,0),"Balance")</f>
        <v>3401-042</v>
      </c>
      <c r="AC2936" s="118"/>
      <c r="AD2936" s="159">
        <f>+Table1[[#This Row],[SUBTOTAL]]+Table1[[#This Row],[IVA]]-Table1[[#This Row],[RET IVA]]-Table1[[#This Row],[RET ISR]]-Table1[[#This Row],[TOTAL]]</f>
        <v>0</v>
      </c>
      <c r="AE2936" s="152"/>
      <c r="AF2936" s="153"/>
      <c r="AG2936" s="126" t="s">
        <v>3420</v>
      </c>
      <c r="AK2936" s="306" t="str">
        <f>IF(ISNUMBER(Table1[[#This Row],[FECHA DE RECIBIDO]]), Table1[[#This Row],[FECHA DE RECIBIDO]]-DATE(2023,8,30), "")</f>
        <v/>
      </c>
    </row>
    <row r="2937" spans="1:37" ht="16.05" customHeight="1">
      <c r="A2937" s="150" t="s">
        <v>4108</v>
      </c>
      <c r="B2937" s="151">
        <v>1095</v>
      </c>
      <c r="C2937" s="126" t="s">
        <v>2860</v>
      </c>
      <c r="D2937">
        <v>2026</v>
      </c>
      <c r="E2937" s="126" t="s">
        <v>3670</v>
      </c>
      <c r="F2937" s="122" t="s">
        <v>1607</v>
      </c>
      <c r="G2937" s="122" t="s">
        <v>134</v>
      </c>
      <c r="H2937">
        <v>319</v>
      </c>
      <c r="I2937" s="122" t="s">
        <v>1546</v>
      </c>
      <c r="J2937" s="307" t="s">
        <v>214</v>
      </c>
      <c r="K2937" s="127" t="s">
        <v>3806</v>
      </c>
      <c r="L2937" s="151" t="s">
        <v>1579</v>
      </c>
      <c r="M2937">
        <v>424</v>
      </c>
      <c r="N2937" s="123">
        <v>17</v>
      </c>
      <c r="O2937">
        <v>1982</v>
      </c>
      <c r="P2937" s="132" t="s">
        <v>77</v>
      </c>
      <c r="Q2937" s="131">
        <v>556.9</v>
      </c>
      <c r="R2937" s="131">
        <v>89.1</v>
      </c>
      <c r="S2937" s="131"/>
      <c r="T2937" s="155"/>
      <c r="U2937" s="131"/>
      <c r="V2937" s="131">
        <f>+Table1[[#This Row],[SUBTOTAL]]+Table1[[#This Row],[IVA]]-Table1[[#This Row],[RET IVA]]-Table1[[#This Row],[RET ISR]]</f>
        <v>646</v>
      </c>
      <c r="W2937">
        <v>227</v>
      </c>
      <c r="X2937" s="151" t="s">
        <v>1644</v>
      </c>
      <c r="Y2937" s="135" t="s">
        <v>55</v>
      </c>
      <c r="Z2937" s="307">
        <v>230</v>
      </c>
      <c r="AB2937" t="str">
        <f>IF(Table1[[#This Row],[TIPO2]]="costo", VLOOKUP(Table1[[#This Row],[PARTIDA PRESUPUESTAL]],'Cost Report'!G:G,1,0),"Balance")</f>
        <v>3629-003</v>
      </c>
      <c r="AC2937" s="118"/>
      <c r="AD2937" s="159">
        <f>+Table1[[#This Row],[SUBTOTAL]]+Table1[[#This Row],[IVA]]-Table1[[#This Row],[RET IVA]]-Table1[[#This Row],[RET ISR]]-Table1[[#This Row],[TOTAL]]</f>
        <v>0</v>
      </c>
      <c r="AE2937" s="150"/>
      <c r="AF2937" s="151"/>
      <c r="AG2937" s="126" t="s">
        <v>3420</v>
      </c>
      <c r="AK2937" s="306" t="str">
        <f>IF(ISNUMBER(Table1[[#This Row],[FECHA DE RECIBIDO]]), Table1[[#This Row],[FECHA DE RECIBIDO]]-DATE(2023,8,30), "")</f>
        <v/>
      </c>
    </row>
    <row r="2938" spans="1:37" ht="16.05" customHeight="1">
      <c r="A2938" s="152" t="s">
        <v>4108</v>
      </c>
      <c r="B2938" s="153">
        <v>1095</v>
      </c>
      <c r="C2938" s="126" t="s">
        <v>2860</v>
      </c>
      <c r="D2938">
        <v>2027</v>
      </c>
      <c r="E2938" s="126" t="s">
        <v>3794</v>
      </c>
      <c r="F2938" s="125" t="s">
        <v>1371</v>
      </c>
      <c r="G2938" s="125" t="s">
        <v>2065</v>
      </c>
      <c r="H2938">
        <v>576</v>
      </c>
      <c r="I2938" s="125" t="s">
        <v>1546</v>
      </c>
      <c r="J2938" s="308" t="s">
        <v>214</v>
      </c>
      <c r="K2938" s="127" t="s">
        <v>3806</v>
      </c>
      <c r="L2938" s="153" t="s">
        <v>1579</v>
      </c>
      <c r="M2938">
        <v>813</v>
      </c>
      <c r="N2938" s="123">
        <v>17</v>
      </c>
      <c r="O2938">
        <v>1981</v>
      </c>
      <c r="P2938" s="132" t="s">
        <v>77</v>
      </c>
      <c r="Q2938" s="132">
        <v>157.76</v>
      </c>
      <c r="R2938" s="132">
        <v>25.24</v>
      </c>
      <c r="S2938" s="132"/>
      <c r="T2938" s="156"/>
      <c r="U2938" s="132"/>
      <c r="V2938" s="132">
        <f>+Table1[[#This Row],[SUBTOTAL]]+Table1[[#This Row],[IVA]]-Table1[[#This Row],[RET IVA]]-Table1[[#This Row],[RET ISR]]</f>
        <v>183</v>
      </c>
      <c r="W2938">
        <v>227</v>
      </c>
      <c r="X2938" s="153" t="s">
        <v>1644</v>
      </c>
      <c r="Y2938" s="124" t="s">
        <v>55</v>
      </c>
      <c r="Z2938" s="308">
        <v>230</v>
      </c>
      <c r="AB2938" t="str">
        <f>IF(Table1[[#This Row],[TIPO2]]="costo", VLOOKUP(Table1[[#This Row],[PARTIDA PRESUPUESTAL]],'Cost Report'!G:G,1,0),"Balance")</f>
        <v>3629-003</v>
      </c>
      <c r="AC2938" s="118"/>
      <c r="AD2938" s="159">
        <f>+Table1[[#This Row],[SUBTOTAL]]+Table1[[#This Row],[IVA]]-Table1[[#This Row],[RET IVA]]-Table1[[#This Row],[RET ISR]]-Table1[[#This Row],[TOTAL]]</f>
        <v>0</v>
      </c>
      <c r="AE2938" s="152"/>
      <c r="AF2938" s="153"/>
      <c r="AG2938" s="126" t="s">
        <v>3420</v>
      </c>
      <c r="AK2938" s="306" t="str">
        <f>IF(ISNUMBER(Table1[[#This Row],[FECHA DE RECIBIDO]]), Table1[[#This Row],[FECHA DE RECIBIDO]]-DATE(2023,8,30), "")</f>
        <v/>
      </c>
    </row>
    <row r="2939" spans="1:37" ht="16.05" customHeight="1">
      <c r="A2939" s="150" t="s">
        <v>4108</v>
      </c>
      <c r="B2939" s="151">
        <v>1095</v>
      </c>
      <c r="C2939" s="126" t="s">
        <v>2774</v>
      </c>
      <c r="D2939">
        <v>2028</v>
      </c>
      <c r="E2939" s="126" t="s">
        <v>1645</v>
      </c>
      <c r="F2939" s="122" t="s">
        <v>1607</v>
      </c>
      <c r="G2939" s="122" t="s">
        <v>134</v>
      </c>
      <c r="H2939">
        <v>549</v>
      </c>
      <c r="I2939" s="122" t="s">
        <v>1546</v>
      </c>
      <c r="J2939" s="307" t="s">
        <v>214</v>
      </c>
      <c r="K2939" s="127" t="s">
        <v>3806</v>
      </c>
      <c r="L2939" s="151" t="s">
        <v>1579</v>
      </c>
      <c r="M2939">
        <v>814</v>
      </c>
      <c r="N2939" s="123">
        <v>17</v>
      </c>
      <c r="O2939">
        <v>1983</v>
      </c>
      <c r="P2939" s="132" t="s">
        <v>77</v>
      </c>
      <c r="Q2939" s="131">
        <v>284.48</v>
      </c>
      <c r="R2939" s="131">
        <v>45.52</v>
      </c>
      <c r="S2939" s="131"/>
      <c r="T2939" s="155"/>
      <c r="U2939" s="131"/>
      <c r="V2939" s="131">
        <f>+Table1[[#This Row],[SUBTOTAL]]+Table1[[#This Row],[IVA]]-Table1[[#This Row],[RET IVA]]-Table1[[#This Row],[RET ISR]]</f>
        <v>330</v>
      </c>
      <c r="W2939">
        <v>227</v>
      </c>
      <c r="X2939" s="151" t="s">
        <v>1644</v>
      </c>
      <c r="Y2939" s="135" t="s">
        <v>55</v>
      </c>
      <c r="Z2939" s="307">
        <v>232</v>
      </c>
      <c r="AB2939" t="str">
        <f>IF(Table1[[#This Row],[TIPO2]]="costo", VLOOKUP(Table1[[#This Row],[PARTIDA PRESUPUESTAL]],'Cost Report'!G:G,1,0),"Balance")</f>
        <v>3401-042</v>
      </c>
      <c r="AC2939" s="118"/>
      <c r="AD2939" s="159">
        <f>+Table1[[#This Row],[SUBTOTAL]]+Table1[[#This Row],[IVA]]-Table1[[#This Row],[RET IVA]]-Table1[[#This Row],[RET ISR]]-Table1[[#This Row],[TOTAL]]</f>
        <v>0</v>
      </c>
      <c r="AE2939" s="150"/>
      <c r="AF2939" s="151"/>
      <c r="AG2939" s="126" t="s">
        <v>3420</v>
      </c>
      <c r="AK2939" s="306" t="str">
        <f>IF(ISNUMBER(Table1[[#This Row],[FECHA DE RECIBIDO]]), Table1[[#This Row],[FECHA DE RECIBIDO]]-DATE(2023,8,30), "")</f>
        <v/>
      </c>
    </row>
    <row r="2940" spans="1:37" ht="16.05" customHeight="1">
      <c r="A2940" s="152" t="s">
        <v>4108</v>
      </c>
      <c r="B2940" s="153">
        <v>1095</v>
      </c>
      <c r="C2940" s="126" t="s">
        <v>2774</v>
      </c>
      <c r="D2940">
        <v>2029</v>
      </c>
      <c r="E2940" s="126" t="s">
        <v>1645</v>
      </c>
      <c r="F2940" s="125" t="s">
        <v>1607</v>
      </c>
      <c r="G2940" s="125" t="s">
        <v>134</v>
      </c>
      <c r="H2940">
        <v>549</v>
      </c>
      <c r="I2940" s="125" t="s">
        <v>1546</v>
      </c>
      <c r="J2940" s="308" t="s">
        <v>214</v>
      </c>
      <c r="K2940" s="127" t="s">
        <v>3806</v>
      </c>
      <c r="L2940" s="153" t="s">
        <v>1579</v>
      </c>
      <c r="M2940">
        <v>814</v>
      </c>
      <c r="N2940" s="123">
        <v>17</v>
      </c>
      <c r="O2940">
        <v>1983</v>
      </c>
      <c r="P2940" s="132" t="s">
        <v>77</v>
      </c>
      <c r="Q2940" s="132">
        <v>396.55</v>
      </c>
      <c r="R2940" s="132">
        <v>63.45</v>
      </c>
      <c r="S2940" s="132"/>
      <c r="T2940" s="156"/>
      <c r="U2940" s="132"/>
      <c r="V2940" s="132">
        <f>+Table1[[#This Row],[SUBTOTAL]]+Table1[[#This Row],[IVA]]-Table1[[#This Row],[RET IVA]]-Table1[[#This Row],[RET ISR]]</f>
        <v>460</v>
      </c>
      <c r="W2940">
        <v>227</v>
      </c>
      <c r="X2940" s="153" t="s">
        <v>1644</v>
      </c>
      <c r="Y2940" s="124" t="s">
        <v>55</v>
      </c>
      <c r="Z2940" s="308">
        <v>232</v>
      </c>
      <c r="AB2940" t="str">
        <f>IF(Table1[[#This Row],[TIPO2]]="costo", VLOOKUP(Table1[[#This Row],[PARTIDA PRESUPUESTAL]],'Cost Report'!G:G,1,0),"Balance")</f>
        <v>3401-042</v>
      </c>
      <c r="AC2940" s="118"/>
      <c r="AD2940" s="159">
        <f>+Table1[[#This Row],[SUBTOTAL]]+Table1[[#This Row],[IVA]]-Table1[[#This Row],[RET IVA]]-Table1[[#This Row],[RET ISR]]-Table1[[#This Row],[TOTAL]]</f>
        <v>0</v>
      </c>
      <c r="AE2940" s="152"/>
      <c r="AF2940" s="153"/>
      <c r="AG2940" s="126" t="s">
        <v>3420</v>
      </c>
      <c r="AK2940" s="306" t="str">
        <f>IF(ISNUMBER(Table1[[#This Row],[FECHA DE RECIBIDO]]), Table1[[#This Row],[FECHA DE RECIBIDO]]-DATE(2023,8,30), "")</f>
        <v/>
      </c>
    </row>
    <row r="2941" spans="1:37" ht="16.05" customHeight="1">
      <c r="A2941" s="150" t="s">
        <v>4108</v>
      </c>
      <c r="B2941" s="151">
        <v>1095</v>
      </c>
      <c r="C2941" s="126" t="s">
        <v>977</v>
      </c>
      <c r="D2941">
        <v>2030</v>
      </c>
      <c r="E2941" s="126" t="s">
        <v>1988</v>
      </c>
      <c r="F2941" s="122" t="s">
        <v>1589</v>
      </c>
      <c r="G2941" s="122" t="s">
        <v>129</v>
      </c>
      <c r="H2941">
        <v>87</v>
      </c>
      <c r="I2941" s="122" t="s">
        <v>1546</v>
      </c>
      <c r="J2941" s="307" t="s">
        <v>214</v>
      </c>
      <c r="K2941" s="127" t="s">
        <v>3806</v>
      </c>
      <c r="L2941" s="151" t="s">
        <v>1579</v>
      </c>
      <c r="M2941">
        <v>117</v>
      </c>
      <c r="N2941" s="123">
        <v>17</v>
      </c>
      <c r="O2941">
        <v>1984</v>
      </c>
      <c r="P2941" s="132" t="s">
        <v>77</v>
      </c>
      <c r="Q2941" s="131">
        <v>1077.5899999999999</v>
      </c>
      <c r="R2941" s="131">
        <v>172.41</v>
      </c>
      <c r="S2941" s="131"/>
      <c r="T2941" s="155"/>
      <c r="U2941" s="131"/>
      <c r="V2941" s="131">
        <f>+Table1[[#This Row],[SUBTOTAL]]+Table1[[#This Row],[IVA]]-Table1[[#This Row],[RET IVA]]-Table1[[#This Row],[RET ISR]]</f>
        <v>1250</v>
      </c>
      <c r="W2941">
        <v>227</v>
      </c>
      <c r="X2941" s="151" t="s">
        <v>1644</v>
      </c>
      <c r="Y2941" s="135" t="s">
        <v>55</v>
      </c>
      <c r="Z2941" s="307">
        <v>232</v>
      </c>
      <c r="AB2941" t="str">
        <f>IF(Table1[[#This Row],[TIPO2]]="costo", VLOOKUP(Table1[[#This Row],[PARTIDA PRESUPUESTAL]],'Cost Report'!G:G,1,0),"Balance")</f>
        <v>3410-012</v>
      </c>
      <c r="AC2941" s="118"/>
      <c r="AD2941" s="159">
        <f>+Table1[[#This Row],[SUBTOTAL]]+Table1[[#This Row],[IVA]]-Table1[[#This Row],[RET IVA]]-Table1[[#This Row],[RET ISR]]-Table1[[#This Row],[TOTAL]]</f>
        <v>0</v>
      </c>
      <c r="AE2941" s="150"/>
      <c r="AF2941" s="151"/>
      <c r="AG2941" s="126" t="s">
        <v>3420</v>
      </c>
      <c r="AK2941" s="306" t="str">
        <f>IF(ISNUMBER(Table1[[#This Row],[FECHA DE RECIBIDO]]), Table1[[#This Row],[FECHA DE RECIBIDO]]-DATE(2023,8,30), "")</f>
        <v/>
      </c>
    </row>
    <row r="2942" spans="1:37" ht="16.05" customHeight="1">
      <c r="A2942" s="152" t="s">
        <v>4108</v>
      </c>
      <c r="B2942" s="153">
        <v>1095</v>
      </c>
      <c r="C2942" s="126" t="s">
        <v>2774</v>
      </c>
      <c r="D2942">
        <v>2031</v>
      </c>
      <c r="E2942" s="126" t="s">
        <v>1603</v>
      </c>
      <c r="F2942" s="125" t="s">
        <v>1607</v>
      </c>
      <c r="G2942" s="125" t="s">
        <v>134</v>
      </c>
      <c r="H2942">
        <v>56</v>
      </c>
      <c r="I2942" s="125" t="s">
        <v>1546</v>
      </c>
      <c r="J2942" s="308" t="s">
        <v>214</v>
      </c>
      <c r="K2942" s="127" t="s">
        <v>3806</v>
      </c>
      <c r="L2942" s="153" t="s">
        <v>1579</v>
      </c>
      <c r="M2942">
        <v>184</v>
      </c>
      <c r="N2942" s="123">
        <v>17</v>
      </c>
      <c r="O2942">
        <v>1985</v>
      </c>
      <c r="P2942" s="132" t="s">
        <v>77</v>
      </c>
      <c r="Q2942" s="132">
        <v>571.47</v>
      </c>
      <c r="R2942" s="132">
        <v>32.03</v>
      </c>
      <c r="S2942" s="132"/>
      <c r="T2942" s="156"/>
      <c r="U2942" s="132"/>
      <c r="V2942" s="132">
        <f>+Table1[[#This Row],[SUBTOTAL]]+Table1[[#This Row],[IVA]]-Table1[[#This Row],[RET IVA]]-Table1[[#This Row],[RET ISR]]</f>
        <v>603.5</v>
      </c>
      <c r="W2942">
        <v>227</v>
      </c>
      <c r="X2942" s="153" t="s">
        <v>1644</v>
      </c>
      <c r="Y2942" s="124" t="s">
        <v>55</v>
      </c>
      <c r="Z2942" s="308">
        <v>232</v>
      </c>
      <c r="AB2942" t="str">
        <f>IF(Table1[[#This Row],[TIPO2]]="costo", VLOOKUP(Table1[[#This Row],[PARTIDA PRESUPUESTAL]],'Cost Report'!G:G,1,0),"Balance")</f>
        <v>3401-042</v>
      </c>
      <c r="AC2942" s="118"/>
      <c r="AD2942" s="159">
        <f>+Table1[[#This Row],[SUBTOTAL]]+Table1[[#This Row],[IVA]]-Table1[[#This Row],[RET IVA]]-Table1[[#This Row],[RET ISR]]-Table1[[#This Row],[TOTAL]]</f>
        <v>0</v>
      </c>
      <c r="AE2942" s="152"/>
      <c r="AF2942" s="153"/>
      <c r="AG2942" s="126" t="s">
        <v>3420</v>
      </c>
      <c r="AK2942" s="306" t="str">
        <f>IF(ISNUMBER(Table1[[#This Row],[FECHA DE RECIBIDO]]), Table1[[#This Row],[FECHA DE RECIBIDO]]-DATE(2023,8,30), "")</f>
        <v/>
      </c>
    </row>
    <row r="2943" spans="1:37" ht="16.05" customHeight="1">
      <c r="A2943" s="150" t="s">
        <v>4108</v>
      </c>
      <c r="B2943" s="151">
        <v>1095</v>
      </c>
      <c r="C2943" s="126" t="s">
        <v>2443</v>
      </c>
      <c r="D2943">
        <v>2032</v>
      </c>
      <c r="E2943" s="126" t="s">
        <v>3356</v>
      </c>
      <c r="F2943" s="122" t="s">
        <v>1607</v>
      </c>
      <c r="G2943" s="122" t="s">
        <v>134</v>
      </c>
      <c r="H2943">
        <v>91</v>
      </c>
      <c r="I2943" s="122" t="s">
        <v>1546</v>
      </c>
      <c r="J2943" s="307" t="s">
        <v>214</v>
      </c>
      <c r="K2943" s="127" t="s">
        <v>3806</v>
      </c>
      <c r="L2943" s="151" t="s">
        <v>1579</v>
      </c>
      <c r="M2943">
        <v>514</v>
      </c>
      <c r="N2943" s="123">
        <v>17</v>
      </c>
      <c r="O2943">
        <v>1986</v>
      </c>
      <c r="P2943" s="132" t="s">
        <v>77</v>
      </c>
      <c r="Q2943" s="131">
        <v>113.36</v>
      </c>
      <c r="R2943" s="131">
        <v>18.14</v>
      </c>
      <c r="S2943" s="131"/>
      <c r="T2943" s="155"/>
      <c r="U2943" s="131"/>
      <c r="V2943" s="131">
        <f>+Table1[[#This Row],[SUBTOTAL]]+Table1[[#This Row],[IVA]]-Table1[[#This Row],[RET IVA]]-Table1[[#This Row],[RET ISR]]</f>
        <v>131.5</v>
      </c>
      <c r="W2943">
        <v>227</v>
      </c>
      <c r="X2943" s="151" t="s">
        <v>1644</v>
      </c>
      <c r="Y2943" s="135" t="s">
        <v>55</v>
      </c>
      <c r="Z2943" s="307">
        <v>236</v>
      </c>
      <c r="AB2943" t="str">
        <f>IF(Table1[[#This Row],[TIPO2]]="costo", VLOOKUP(Table1[[#This Row],[PARTIDA PRESUPUESTAL]],'Cost Report'!G:G,1,0),"Balance")</f>
        <v>2080-003</v>
      </c>
      <c r="AC2943" s="118"/>
      <c r="AD2943" s="159">
        <f>+Table1[[#This Row],[SUBTOTAL]]+Table1[[#This Row],[IVA]]-Table1[[#This Row],[RET IVA]]-Table1[[#This Row],[RET ISR]]-Table1[[#This Row],[TOTAL]]</f>
        <v>0</v>
      </c>
      <c r="AE2943" s="150"/>
      <c r="AF2943" s="151"/>
      <c r="AG2943" s="126" t="s">
        <v>3420</v>
      </c>
      <c r="AK2943" s="306" t="str">
        <f>IF(ISNUMBER(Table1[[#This Row],[FECHA DE RECIBIDO]]), Table1[[#This Row],[FECHA DE RECIBIDO]]-DATE(2023,8,30), "")</f>
        <v/>
      </c>
    </row>
    <row r="2944" spans="1:37" ht="16.05" customHeight="1">
      <c r="A2944" s="152" t="s">
        <v>4108</v>
      </c>
      <c r="B2944" s="153">
        <v>1095</v>
      </c>
      <c r="C2944" s="126" t="s">
        <v>2443</v>
      </c>
      <c r="D2944">
        <v>2033</v>
      </c>
      <c r="E2944" s="126" t="s">
        <v>1608</v>
      </c>
      <c r="F2944" s="125" t="s">
        <v>1607</v>
      </c>
      <c r="G2944" s="125" t="s">
        <v>134</v>
      </c>
      <c r="H2944">
        <v>91</v>
      </c>
      <c r="I2944" s="125" t="s">
        <v>1546</v>
      </c>
      <c r="J2944" s="308" t="s">
        <v>214</v>
      </c>
      <c r="K2944" s="127" t="s">
        <v>3806</v>
      </c>
      <c r="L2944" s="153" t="s">
        <v>1579</v>
      </c>
      <c r="M2944">
        <v>514</v>
      </c>
      <c r="N2944" s="123">
        <v>17</v>
      </c>
      <c r="O2944">
        <v>1987</v>
      </c>
      <c r="P2944" s="132" t="s">
        <v>77</v>
      </c>
      <c r="Q2944" s="132">
        <v>167.16</v>
      </c>
      <c r="R2944" s="132">
        <v>26.75</v>
      </c>
      <c r="S2944" s="132"/>
      <c r="T2944" s="156"/>
      <c r="U2944" s="132"/>
      <c r="V2944" s="132">
        <f>+Table1[[#This Row],[SUBTOTAL]]+Table1[[#This Row],[IVA]]-Table1[[#This Row],[RET IVA]]-Table1[[#This Row],[RET ISR]]</f>
        <v>193.91</v>
      </c>
      <c r="W2944">
        <v>227</v>
      </c>
      <c r="X2944" s="153" t="s">
        <v>1644</v>
      </c>
      <c r="Y2944" s="124" t="s">
        <v>55</v>
      </c>
      <c r="Z2944" s="308">
        <v>236</v>
      </c>
      <c r="AB2944" t="str">
        <f>IF(Table1[[#This Row],[TIPO2]]="costo", VLOOKUP(Table1[[#This Row],[PARTIDA PRESUPUESTAL]],'Cost Report'!G:G,1,0),"Balance")</f>
        <v>2080-003</v>
      </c>
      <c r="AC2944" s="118"/>
      <c r="AD2944" s="159">
        <f>+Table1[[#This Row],[SUBTOTAL]]+Table1[[#This Row],[IVA]]-Table1[[#This Row],[RET IVA]]-Table1[[#This Row],[RET ISR]]-Table1[[#This Row],[TOTAL]]</f>
        <v>0</v>
      </c>
      <c r="AE2944" s="152"/>
      <c r="AF2944" s="153"/>
      <c r="AG2944" s="126" t="s">
        <v>3420</v>
      </c>
      <c r="AK2944" s="306" t="str">
        <f>IF(ISNUMBER(Table1[[#This Row],[FECHA DE RECIBIDO]]), Table1[[#This Row],[FECHA DE RECIBIDO]]-DATE(2023,8,30), "")</f>
        <v/>
      </c>
    </row>
    <row r="2945" spans="1:37" ht="16.05" customHeight="1">
      <c r="A2945" s="150" t="s">
        <v>4108</v>
      </c>
      <c r="B2945" s="151">
        <v>1095</v>
      </c>
      <c r="C2945" s="126" t="s">
        <v>2443</v>
      </c>
      <c r="D2945">
        <v>2034</v>
      </c>
      <c r="E2945" s="126" t="s">
        <v>3378</v>
      </c>
      <c r="F2945" s="122" t="s">
        <v>1607</v>
      </c>
      <c r="G2945" s="122" t="s">
        <v>134</v>
      </c>
      <c r="H2945">
        <v>57</v>
      </c>
      <c r="I2945" s="122" t="s">
        <v>1546</v>
      </c>
      <c r="J2945" s="307" t="s">
        <v>214</v>
      </c>
      <c r="K2945" s="127" t="s">
        <v>3806</v>
      </c>
      <c r="L2945" s="151" t="s">
        <v>1579</v>
      </c>
      <c r="M2945">
        <v>79</v>
      </c>
      <c r="N2945" s="123">
        <v>17</v>
      </c>
      <c r="O2945">
        <v>1988</v>
      </c>
      <c r="P2945" s="132" t="s">
        <v>77</v>
      </c>
      <c r="Q2945" s="131">
        <v>6116.38</v>
      </c>
      <c r="R2945" s="131">
        <v>978.62</v>
      </c>
      <c r="S2945" s="131"/>
      <c r="T2945" s="155"/>
      <c r="U2945" s="131"/>
      <c r="V2945" s="131">
        <f>+Table1[[#This Row],[SUBTOTAL]]+Table1[[#This Row],[IVA]]-Table1[[#This Row],[RET IVA]]-Table1[[#This Row],[RET ISR]]</f>
        <v>7095</v>
      </c>
      <c r="W2945">
        <v>227</v>
      </c>
      <c r="X2945" s="151" t="s">
        <v>1644</v>
      </c>
      <c r="Y2945" s="135" t="s">
        <v>55</v>
      </c>
      <c r="Z2945" s="307">
        <v>236</v>
      </c>
      <c r="AB2945" t="str">
        <f>IF(Table1[[#This Row],[TIPO2]]="costo", VLOOKUP(Table1[[#This Row],[PARTIDA PRESUPUESTAL]],'Cost Report'!G:G,1,0),"Balance")</f>
        <v>2080-003</v>
      </c>
      <c r="AC2945" s="118"/>
      <c r="AD2945" s="159">
        <f>+Table1[[#This Row],[SUBTOTAL]]+Table1[[#This Row],[IVA]]-Table1[[#This Row],[RET IVA]]-Table1[[#This Row],[RET ISR]]-Table1[[#This Row],[TOTAL]]</f>
        <v>0</v>
      </c>
      <c r="AE2945" s="150"/>
      <c r="AF2945" s="151"/>
      <c r="AG2945" s="126" t="s">
        <v>3420</v>
      </c>
      <c r="AK2945" s="306" t="str">
        <f>IF(ISNUMBER(Table1[[#This Row],[FECHA DE RECIBIDO]]), Table1[[#This Row],[FECHA DE RECIBIDO]]-DATE(2023,8,30), "")</f>
        <v/>
      </c>
    </row>
    <row r="2946" spans="1:37" ht="16.05" customHeight="1">
      <c r="A2946" s="152" t="s">
        <v>4108</v>
      </c>
      <c r="B2946" s="153">
        <v>1095</v>
      </c>
      <c r="C2946" s="126" t="s">
        <v>2443</v>
      </c>
      <c r="D2946">
        <v>2035</v>
      </c>
      <c r="E2946" s="126" t="s">
        <v>3356</v>
      </c>
      <c r="F2946" s="125" t="s">
        <v>1607</v>
      </c>
      <c r="G2946" s="125" t="s">
        <v>134</v>
      </c>
      <c r="H2946">
        <v>563</v>
      </c>
      <c r="I2946" s="125" t="s">
        <v>1546</v>
      </c>
      <c r="J2946" s="308" t="s">
        <v>214</v>
      </c>
      <c r="K2946" s="127" t="s">
        <v>3806</v>
      </c>
      <c r="L2946" s="153" t="s">
        <v>1579</v>
      </c>
      <c r="M2946">
        <v>789</v>
      </c>
      <c r="N2946" s="123">
        <v>17</v>
      </c>
      <c r="O2946">
        <v>1989</v>
      </c>
      <c r="P2946" s="132" t="s">
        <v>77</v>
      </c>
      <c r="Q2946" s="132">
        <v>898.72</v>
      </c>
      <c r="R2946" s="132">
        <v>143.78</v>
      </c>
      <c r="S2946" s="132"/>
      <c r="T2946" s="156"/>
      <c r="U2946" s="132"/>
      <c r="V2946" s="132">
        <f>+Table1[[#This Row],[SUBTOTAL]]+Table1[[#This Row],[IVA]]-Table1[[#This Row],[RET IVA]]-Table1[[#This Row],[RET ISR]]</f>
        <v>1042.5</v>
      </c>
      <c r="W2946">
        <v>227</v>
      </c>
      <c r="X2946" s="153" t="s">
        <v>1644</v>
      </c>
      <c r="Y2946" s="124" t="s">
        <v>55</v>
      </c>
      <c r="Z2946" s="308">
        <v>236</v>
      </c>
      <c r="AB2946" t="str">
        <f>IF(Table1[[#This Row],[TIPO2]]="costo", VLOOKUP(Table1[[#This Row],[PARTIDA PRESUPUESTAL]],'Cost Report'!G:G,1,0),"Balance")</f>
        <v>2080-003</v>
      </c>
      <c r="AC2946" s="118"/>
      <c r="AD2946" s="159">
        <f>+Table1[[#This Row],[SUBTOTAL]]+Table1[[#This Row],[IVA]]-Table1[[#This Row],[RET IVA]]-Table1[[#This Row],[RET ISR]]-Table1[[#This Row],[TOTAL]]</f>
        <v>0</v>
      </c>
      <c r="AE2946" s="152"/>
      <c r="AF2946" s="153"/>
      <c r="AG2946" s="126" t="s">
        <v>3420</v>
      </c>
      <c r="AK2946" s="306" t="str">
        <f>IF(ISNUMBER(Table1[[#This Row],[FECHA DE RECIBIDO]]), Table1[[#This Row],[FECHA DE RECIBIDO]]-DATE(2023,8,30), "")</f>
        <v/>
      </c>
    </row>
    <row r="2947" spans="1:37" ht="16.05" customHeight="1">
      <c r="A2947" s="150" t="s">
        <v>4108</v>
      </c>
      <c r="B2947" s="151">
        <v>1095</v>
      </c>
      <c r="C2947" s="126" t="s">
        <v>1873</v>
      </c>
      <c r="D2947">
        <v>2036</v>
      </c>
      <c r="E2947" s="126" t="s">
        <v>4111</v>
      </c>
      <c r="F2947" s="122" t="s">
        <v>1382</v>
      </c>
      <c r="G2947" s="122" t="e">
        <v>#N/A</v>
      </c>
      <c r="H2947">
        <v>31</v>
      </c>
      <c r="I2947" s="122" t="s">
        <v>1546</v>
      </c>
      <c r="J2947" s="307" t="s">
        <v>214</v>
      </c>
      <c r="K2947" s="127" t="s">
        <v>3806</v>
      </c>
      <c r="L2947" s="151" t="s">
        <v>1579</v>
      </c>
      <c r="M2947">
        <v>69</v>
      </c>
      <c r="N2947" s="123">
        <v>17</v>
      </c>
      <c r="O2947">
        <v>1990</v>
      </c>
      <c r="P2947" s="132" t="s">
        <v>77</v>
      </c>
      <c r="Q2947" s="131">
        <v>146.55000000000001</v>
      </c>
      <c r="R2947" s="131">
        <v>23.45</v>
      </c>
      <c r="S2947" s="131"/>
      <c r="T2947" s="155"/>
      <c r="U2947" s="131"/>
      <c r="V2947" s="131">
        <f>+Table1[[#This Row],[SUBTOTAL]]+Table1[[#This Row],[IVA]]-Table1[[#This Row],[RET IVA]]-Table1[[#This Row],[RET ISR]]</f>
        <v>170</v>
      </c>
      <c r="W2947">
        <v>227</v>
      </c>
      <c r="X2947" s="151" t="s">
        <v>1644</v>
      </c>
      <c r="Y2947" s="135" t="s">
        <v>55</v>
      </c>
      <c r="Z2947" s="307">
        <v>237</v>
      </c>
      <c r="AB2947" t="str">
        <f>IF(Table1[[#This Row],[TIPO2]]="costo", VLOOKUP(Table1[[#This Row],[PARTIDA PRESUPUESTAL]],'Cost Report'!G:G,1,0),"Balance")</f>
        <v>3442-015</v>
      </c>
      <c r="AC2947" s="118"/>
      <c r="AD2947" s="159">
        <f>+Table1[[#This Row],[SUBTOTAL]]+Table1[[#This Row],[IVA]]-Table1[[#This Row],[RET IVA]]-Table1[[#This Row],[RET ISR]]-Table1[[#This Row],[TOTAL]]</f>
        <v>0</v>
      </c>
      <c r="AE2947" s="150"/>
      <c r="AF2947" s="151"/>
      <c r="AG2947" s="126" t="s">
        <v>3420</v>
      </c>
      <c r="AK2947" s="306" t="str">
        <f>IF(ISNUMBER(Table1[[#This Row],[FECHA DE RECIBIDO]]), Table1[[#This Row],[FECHA DE RECIBIDO]]-DATE(2023,8,30), "")</f>
        <v/>
      </c>
    </row>
    <row r="2948" spans="1:37" ht="16.05" customHeight="1">
      <c r="A2948" s="152" t="s">
        <v>4108</v>
      </c>
      <c r="B2948" s="153">
        <v>1095</v>
      </c>
      <c r="C2948" s="126" t="s">
        <v>1520</v>
      </c>
      <c r="D2948">
        <v>661</v>
      </c>
      <c r="E2948" s="126"/>
      <c r="F2948" s="125"/>
      <c r="G2948" s="125"/>
      <c r="H2948"/>
      <c r="I2948" s="125"/>
      <c r="J2948" s="308" t="s">
        <v>214</v>
      </c>
      <c r="K2948" s="127" t="s">
        <v>3806</v>
      </c>
      <c r="L2948" s="153" t="s">
        <v>1579</v>
      </c>
      <c r="M2948">
        <v>815</v>
      </c>
      <c r="N2948" s="123">
        <v>17</v>
      </c>
      <c r="O2948">
        <v>1991</v>
      </c>
      <c r="P2948" s="132" t="s">
        <v>77</v>
      </c>
      <c r="Q2948" s="132">
        <v>400</v>
      </c>
      <c r="R2948" s="132"/>
      <c r="S2948" s="132"/>
      <c r="T2948" s="156"/>
      <c r="U2948" s="132"/>
      <c r="V2948" s="132">
        <f>+Table1[[#This Row],[SUBTOTAL]]+Table1[[#This Row],[IVA]]-Table1[[#This Row],[RET IVA]]-Table1[[#This Row],[RET ISR]]</f>
        <v>400</v>
      </c>
      <c r="W2948">
        <v>227</v>
      </c>
      <c r="X2948" s="153" t="s">
        <v>1644</v>
      </c>
      <c r="Y2948" s="124" t="s">
        <v>55</v>
      </c>
      <c r="Z2948" s="308">
        <v>223</v>
      </c>
      <c r="AB2948" t="str">
        <f>IF(Table1[[#This Row],[TIPO2]]="costo", VLOOKUP(Table1[[#This Row],[PARTIDA PRESUPUESTAL]],'Cost Report'!G:G,1,0),"Balance")</f>
        <v>2623-003</v>
      </c>
      <c r="AC2948" s="118"/>
      <c r="AD2948" s="159">
        <f>+Table1[[#This Row],[SUBTOTAL]]+Table1[[#This Row],[IVA]]-Table1[[#This Row],[RET IVA]]-Table1[[#This Row],[RET ISR]]-Table1[[#This Row],[TOTAL]]</f>
        <v>0</v>
      </c>
      <c r="AE2948" s="152"/>
      <c r="AF2948" s="153"/>
      <c r="AG2948" s="126" t="s">
        <v>3420</v>
      </c>
      <c r="AK2948" s="306" t="str">
        <f>IF(ISNUMBER(Table1[[#This Row],[FECHA DE RECIBIDO]]), Table1[[#This Row],[FECHA DE RECIBIDO]]-DATE(2023,8,30), "")</f>
        <v/>
      </c>
    </row>
    <row r="2949" spans="1:37" ht="16.05" customHeight="1">
      <c r="A2949" s="150" t="s">
        <v>4108</v>
      </c>
      <c r="B2949" s="151">
        <v>1095</v>
      </c>
      <c r="C2949" s="126" t="s">
        <v>3103</v>
      </c>
      <c r="D2949">
        <v>661</v>
      </c>
      <c r="E2949" s="126"/>
      <c r="F2949" s="122"/>
      <c r="G2949" s="122"/>
      <c r="H2949"/>
      <c r="I2949" s="122"/>
      <c r="J2949" s="307" t="s">
        <v>214</v>
      </c>
      <c r="K2949" s="127" t="s">
        <v>3806</v>
      </c>
      <c r="L2949" s="151" t="s">
        <v>1579</v>
      </c>
      <c r="M2949">
        <v>654</v>
      </c>
      <c r="N2949" s="123">
        <v>17</v>
      </c>
      <c r="O2949">
        <v>162</v>
      </c>
      <c r="P2949" s="132" t="s">
        <v>77</v>
      </c>
      <c r="Q2949" s="131">
        <v>34.22</v>
      </c>
      <c r="R2949" s="131"/>
      <c r="S2949" s="131"/>
      <c r="T2949" s="155"/>
      <c r="U2949" s="131"/>
      <c r="V2949" s="131">
        <f>+Table1[[#This Row],[SUBTOTAL]]+Table1[[#This Row],[IVA]]-Table1[[#This Row],[RET IVA]]-Table1[[#This Row],[RET ISR]]</f>
        <v>34.22</v>
      </c>
      <c r="W2949">
        <v>227</v>
      </c>
      <c r="X2949" s="151" t="s">
        <v>1644</v>
      </c>
      <c r="Y2949" s="135" t="s">
        <v>55</v>
      </c>
      <c r="Z2949" s="307">
        <v>225</v>
      </c>
      <c r="AB2949" t="str">
        <f>IF(Table1[[#This Row],[TIPO2]]="costo", VLOOKUP(Table1[[#This Row],[PARTIDA PRESUPUESTAL]],'Cost Report'!G:G,1,0),"Balance")</f>
        <v>7038-009</v>
      </c>
      <c r="AC2949" s="118"/>
      <c r="AD2949" s="159">
        <f>+Table1[[#This Row],[SUBTOTAL]]+Table1[[#This Row],[IVA]]-Table1[[#This Row],[RET IVA]]-Table1[[#This Row],[RET ISR]]-Table1[[#This Row],[TOTAL]]</f>
        <v>0</v>
      </c>
      <c r="AE2949" s="150"/>
      <c r="AF2949" s="151"/>
      <c r="AG2949" s="126" t="s">
        <v>3420</v>
      </c>
      <c r="AK2949" s="306" t="str">
        <f>IF(ISNUMBER(Table1[[#This Row],[FECHA DE RECIBIDO]]), Table1[[#This Row],[FECHA DE RECIBIDO]]-DATE(2023,8,30), "")</f>
        <v/>
      </c>
    </row>
    <row r="2950" spans="1:37" ht="16.05" customHeight="1">
      <c r="A2950" s="152" t="s">
        <v>4108</v>
      </c>
      <c r="B2950" s="153">
        <v>1095</v>
      </c>
      <c r="C2950" s="126" t="s">
        <v>2874</v>
      </c>
      <c r="D2950">
        <v>661</v>
      </c>
      <c r="E2950" s="126"/>
      <c r="F2950" s="125"/>
      <c r="G2950" s="125"/>
      <c r="H2950"/>
      <c r="I2950" s="125"/>
      <c r="J2950" s="308" t="s">
        <v>214</v>
      </c>
      <c r="K2950" s="127" t="s">
        <v>3806</v>
      </c>
      <c r="L2950" s="153" t="s">
        <v>1579</v>
      </c>
      <c r="M2950">
        <v>73</v>
      </c>
      <c r="N2950" s="123">
        <v>17</v>
      </c>
      <c r="O2950">
        <v>1992</v>
      </c>
      <c r="P2950" s="132" t="s">
        <v>77</v>
      </c>
      <c r="Q2950" s="132">
        <v>465</v>
      </c>
      <c r="R2950" s="132"/>
      <c r="S2950" s="132"/>
      <c r="T2950" s="156"/>
      <c r="U2950" s="132"/>
      <c r="V2950" s="132">
        <f>+Table1[[#This Row],[SUBTOTAL]]+Table1[[#This Row],[IVA]]-Table1[[#This Row],[RET IVA]]-Table1[[#This Row],[RET ISR]]</f>
        <v>465</v>
      </c>
      <c r="W2950">
        <v>227</v>
      </c>
      <c r="X2950" s="153" t="s">
        <v>1644</v>
      </c>
      <c r="Y2950" s="124" t="s">
        <v>55</v>
      </c>
      <c r="Z2950" s="308">
        <v>226</v>
      </c>
      <c r="AB2950" t="str">
        <f>IF(Table1[[#This Row],[TIPO2]]="costo", VLOOKUP(Table1[[#This Row],[PARTIDA PRESUPUESTAL]],'Cost Report'!G:G,1,0),"Balance")</f>
        <v>3632-019</v>
      </c>
      <c r="AC2950" s="118"/>
      <c r="AD2950" s="159">
        <f>+Table1[[#This Row],[SUBTOTAL]]+Table1[[#This Row],[IVA]]-Table1[[#This Row],[RET IVA]]-Table1[[#This Row],[RET ISR]]-Table1[[#This Row],[TOTAL]]</f>
        <v>0</v>
      </c>
      <c r="AE2950" s="152"/>
      <c r="AF2950" s="153"/>
      <c r="AG2950" s="126" t="s">
        <v>3420</v>
      </c>
      <c r="AK2950" s="306" t="str">
        <f>IF(ISNUMBER(Table1[[#This Row],[FECHA DE RECIBIDO]]), Table1[[#This Row],[FECHA DE RECIBIDO]]-DATE(2023,8,30), "")</f>
        <v/>
      </c>
    </row>
    <row r="2951" spans="1:37" ht="16.05" customHeight="1">
      <c r="A2951" s="150" t="s">
        <v>4108</v>
      </c>
      <c r="B2951" s="151">
        <v>1095</v>
      </c>
      <c r="C2951" s="126" t="s">
        <v>2829</v>
      </c>
      <c r="D2951">
        <v>661</v>
      </c>
      <c r="E2951" s="126"/>
      <c r="F2951" s="122"/>
      <c r="G2951" s="122"/>
      <c r="H2951"/>
      <c r="I2951" s="122"/>
      <c r="J2951" s="307" t="s">
        <v>214</v>
      </c>
      <c r="K2951" s="127" t="s">
        <v>3806</v>
      </c>
      <c r="L2951" s="151" t="s">
        <v>1579</v>
      </c>
      <c r="M2951">
        <v>74</v>
      </c>
      <c r="N2951" s="123">
        <v>17</v>
      </c>
      <c r="O2951">
        <v>1993</v>
      </c>
      <c r="P2951" s="132" t="s">
        <v>77</v>
      </c>
      <c r="Q2951" s="131">
        <v>27</v>
      </c>
      <c r="R2951" s="131"/>
      <c r="S2951" s="131"/>
      <c r="T2951" s="155"/>
      <c r="U2951" s="131"/>
      <c r="V2951" s="131">
        <f>+Table1[[#This Row],[SUBTOTAL]]+Table1[[#This Row],[IVA]]-Table1[[#This Row],[RET IVA]]-Table1[[#This Row],[RET ISR]]</f>
        <v>27</v>
      </c>
      <c r="W2951">
        <v>227</v>
      </c>
      <c r="X2951" s="151" t="s">
        <v>1644</v>
      </c>
      <c r="Y2951" s="135" t="s">
        <v>55</v>
      </c>
      <c r="Z2951" s="307">
        <v>227</v>
      </c>
      <c r="AB2951" t="str">
        <f>IF(Table1[[#This Row],[TIPO2]]="costo", VLOOKUP(Table1[[#This Row],[PARTIDA PRESUPUESTAL]],'Cost Report'!G:G,1,0),"Balance")</f>
        <v>3412-138</v>
      </c>
      <c r="AC2951" s="118"/>
      <c r="AD2951" s="159">
        <f>+Table1[[#This Row],[SUBTOTAL]]+Table1[[#This Row],[IVA]]-Table1[[#This Row],[RET IVA]]-Table1[[#This Row],[RET ISR]]-Table1[[#This Row],[TOTAL]]</f>
        <v>0</v>
      </c>
      <c r="AE2951" s="150"/>
      <c r="AF2951" s="151"/>
      <c r="AG2951" s="126" t="s">
        <v>3420</v>
      </c>
      <c r="AK2951" s="306" t="str">
        <f>IF(ISNUMBER(Table1[[#This Row],[FECHA DE RECIBIDO]]), Table1[[#This Row],[FECHA DE RECIBIDO]]-DATE(2023,8,30), "")</f>
        <v/>
      </c>
    </row>
    <row r="2952" spans="1:37" ht="16.05" customHeight="1">
      <c r="A2952" s="152" t="s">
        <v>4108</v>
      </c>
      <c r="B2952" s="153">
        <v>1095</v>
      </c>
      <c r="C2952" s="126" t="s">
        <v>2829</v>
      </c>
      <c r="D2952">
        <v>661</v>
      </c>
      <c r="E2952" s="126"/>
      <c r="F2952" s="125"/>
      <c r="G2952" s="125"/>
      <c r="H2952"/>
      <c r="I2952" s="125"/>
      <c r="J2952" s="308" t="s">
        <v>214</v>
      </c>
      <c r="K2952" s="127" t="s">
        <v>3806</v>
      </c>
      <c r="L2952" s="153" t="s">
        <v>1579</v>
      </c>
      <c r="M2952">
        <v>74</v>
      </c>
      <c r="N2952" s="123">
        <v>17</v>
      </c>
      <c r="O2952">
        <v>1993</v>
      </c>
      <c r="P2952" s="132" t="s">
        <v>77</v>
      </c>
      <c r="Q2952" s="132">
        <v>27</v>
      </c>
      <c r="R2952" s="132"/>
      <c r="S2952" s="132"/>
      <c r="T2952" s="156"/>
      <c r="U2952" s="132"/>
      <c r="V2952" s="132">
        <f>+Table1[[#This Row],[SUBTOTAL]]+Table1[[#This Row],[IVA]]-Table1[[#This Row],[RET IVA]]-Table1[[#This Row],[RET ISR]]</f>
        <v>27</v>
      </c>
      <c r="W2952">
        <v>227</v>
      </c>
      <c r="X2952" s="153" t="s">
        <v>1644</v>
      </c>
      <c r="Y2952" s="124" t="s">
        <v>55</v>
      </c>
      <c r="Z2952" s="308">
        <v>227</v>
      </c>
      <c r="AB2952" t="str">
        <f>IF(Table1[[#This Row],[TIPO2]]="costo", VLOOKUP(Table1[[#This Row],[PARTIDA PRESUPUESTAL]],'Cost Report'!G:G,1,0),"Balance")</f>
        <v>3412-138</v>
      </c>
      <c r="AC2952" s="118"/>
      <c r="AD2952" s="159">
        <f>+Table1[[#This Row],[SUBTOTAL]]+Table1[[#This Row],[IVA]]-Table1[[#This Row],[RET IVA]]-Table1[[#This Row],[RET ISR]]-Table1[[#This Row],[TOTAL]]</f>
        <v>0</v>
      </c>
      <c r="AE2952" s="152"/>
      <c r="AF2952" s="153"/>
      <c r="AG2952" s="126" t="s">
        <v>3420</v>
      </c>
      <c r="AK2952" s="306" t="str">
        <f>IF(ISNUMBER(Table1[[#This Row],[FECHA DE RECIBIDO]]), Table1[[#This Row],[FECHA DE RECIBIDO]]-DATE(2023,8,30), "")</f>
        <v/>
      </c>
    </row>
    <row r="2953" spans="1:37" ht="16.05" customHeight="1">
      <c r="A2953" s="150" t="s">
        <v>4108</v>
      </c>
      <c r="B2953" s="151">
        <v>1095</v>
      </c>
      <c r="C2953" s="126" t="s">
        <v>2874</v>
      </c>
      <c r="D2953">
        <v>661</v>
      </c>
      <c r="E2953" s="126"/>
      <c r="F2953" s="122"/>
      <c r="G2953" s="122"/>
      <c r="H2953"/>
      <c r="I2953" s="122"/>
      <c r="J2953" s="307" t="s">
        <v>214</v>
      </c>
      <c r="K2953" s="127" t="s">
        <v>3806</v>
      </c>
      <c r="L2953" s="151" t="s">
        <v>1579</v>
      </c>
      <c r="M2953">
        <v>816</v>
      </c>
      <c r="N2953" s="123">
        <v>17</v>
      </c>
      <c r="O2953">
        <v>1992</v>
      </c>
      <c r="P2953" s="132" t="s">
        <v>77</v>
      </c>
      <c r="Q2953" s="131">
        <v>390</v>
      </c>
      <c r="R2953" s="131"/>
      <c r="S2953" s="131"/>
      <c r="T2953" s="155"/>
      <c r="U2953" s="131"/>
      <c r="V2953" s="131">
        <f>+Table1[[#This Row],[SUBTOTAL]]+Table1[[#This Row],[IVA]]-Table1[[#This Row],[RET IVA]]-Table1[[#This Row],[RET ISR]]</f>
        <v>390</v>
      </c>
      <c r="W2953">
        <v>227</v>
      </c>
      <c r="X2953" s="151" t="s">
        <v>1644</v>
      </c>
      <c r="Y2953" s="135" t="s">
        <v>55</v>
      </c>
      <c r="Z2953" s="307">
        <v>227</v>
      </c>
      <c r="AB2953" t="str">
        <f>IF(Table1[[#This Row],[TIPO2]]="costo", VLOOKUP(Table1[[#This Row],[PARTIDA PRESUPUESTAL]],'Cost Report'!G:G,1,0),"Balance")</f>
        <v>3632-019</v>
      </c>
      <c r="AC2953" s="118"/>
      <c r="AD2953" s="159">
        <f>+Table1[[#This Row],[SUBTOTAL]]+Table1[[#This Row],[IVA]]-Table1[[#This Row],[RET IVA]]-Table1[[#This Row],[RET ISR]]-Table1[[#This Row],[TOTAL]]</f>
        <v>0</v>
      </c>
      <c r="AE2953" s="150"/>
      <c r="AF2953" s="151"/>
      <c r="AG2953" s="126" t="s">
        <v>3420</v>
      </c>
      <c r="AK2953" s="306" t="str">
        <f>IF(ISNUMBER(Table1[[#This Row],[FECHA DE RECIBIDO]]), Table1[[#This Row],[FECHA DE RECIBIDO]]-DATE(2023,8,30), "")</f>
        <v/>
      </c>
    </row>
    <row r="2954" spans="1:37" ht="16.05" customHeight="1">
      <c r="A2954" s="152" t="s">
        <v>4108</v>
      </c>
      <c r="B2954" s="153">
        <v>1095</v>
      </c>
      <c r="C2954" s="126" t="s">
        <v>3103</v>
      </c>
      <c r="D2954">
        <v>661</v>
      </c>
      <c r="E2954" s="126"/>
      <c r="F2954" s="125"/>
      <c r="G2954" s="125"/>
      <c r="H2954"/>
      <c r="I2954" s="125"/>
      <c r="J2954" s="308" t="s">
        <v>214</v>
      </c>
      <c r="K2954" s="127" t="s">
        <v>3806</v>
      </c>
      <c r="L2954" s="153" t="s">
        <v>1579</v>
      </c>
      <c r="M2954">
        <v>654</v>
      </c>
      <c r="N2954" s="123">
        <v>17</v>
      </c>
      <c r="O2954">
        <v>162</v>
      </c>
      <c r="P2954" s="132" t="s">
        <v>77</v>
      </c>
      <c r="Q2954" s="132">
        <v>34.22</v>
      </c>
      <c r="R2954" s="132"/>
      <c r="S2954" s="132"/>
      <c r="T2954" s="156"/>
      <c r="U2954" s="132"/>
      <c r="V2954" s="132">
        <f>+Table1[[#This Row],[SUBTOTAL]]+Table1[[#This Row],[IVA]]-Table1[[#This Row],[RET IVA]]-Table1[[#This Row],[RET ISR]]</f>
        <v>34.22</v>
      </c>
      <c r="W2954">
        <v>227</v>
      </c>
      <c r="X2954" s="153" t="s">
        <v>1644</v>
      </c>
      <c r="Y2954" s="124" t="s">
        <v>55</v>
      </c>
      <c r="Z2954" s="308">
        <v>230</v>
      </c>
      <c r="AB2954" t="str">
        <f>IF(Table1[[#This Row],[TIPO2]]="costo", VLOOKUP(Table1[[#This Row],[PARTIDA PRESUPUESTAL]],'Cost Report'!G:G,1,0),"Balance")</f>
        <v>7038-009</v>
      </c>
      <c r="AC2954" s="118"/>
      <c r="AD2954" s="159">
        <f>+Table1[[#This Row],[SUBTOTAL]]+Table1[[#This Row],[IVA]]-Table1[[#This Row],[RET IVA]]-Table1[[#This Row],[RET ISR]]-Table1[[#This Row],[TOTAL]]</f>
        <v>0</v>
      </c>
      <c r="AE2954" s="152"/>
      <c r="AF2954" s="153"/>
      <c r="AG2954" s="126" t="s">
        <v>3420</v>
      </c>
      <c r="AK2954" s="306" t="str">
        <f>IF(ISNUMBER(Table1[[#This Row],[FECHA DE RECIBIDO]]), Table1[[#This Row],[FECHA DE RECIBIDO]]-DATE(2023,8,30), "")</f>
        <v/>
      </c>
    </row>
    <row r="2955" spans="1:37" ht="16.05" customHeight="1">
      <c r="A2955" s="150" t="s">
        <v>4108</v>
      </c>
      <c r="B2955" s="151">
        <v>1095</v>
      </c>
      <c r="C2955" s="126" t="s">
        <v>3105</v>
      </c>
      <c r="D2955">
        <v>661</v>
      </c>
      <c r="E2955" s="126"/>
      <c r="F2955" s="122"/>
      <c r="G2955" s="122"/>
      <c r="H2955"/>
      <c r="I2955" s="122"/>
      <c r="J2955" s="307" t="s">
        <v>214</v>
      </c>
      <c r="K2955" s="127" t="s">
        <v>3806</v>
      </c>
      <c r="L2955" s="151" t="s">
        <v>1579</v>
      </c>
      <c r="M2955">
        <v>817</v>
      </c>
      <c r="N2955" s="123">
        <v>17</v>
      </c>
      <c r="O2955">
        <v>1994</v>
      </c>
      <c r="P2955" s="132" t="s">
        <v>77</v>
      </c>
      <c r="Q2955" s="131">
        <v>856.5</v>
      </c>
      <c r="R2955" s="131"/>
      <c r="S2955" s="131"/>
      <c r="T2955" s="155"/>
      <c r="U2955" s="131"/>
      <c r="V2955" s="131">
        <f>+Table1[[#This Row],[SUBTOTAL]]+Table1[[#This Row],[IVA]]-Table1[[#This Row],[RET IVA]]-Table1[[#This Row],[RET ISR]]</f>
        <v>856.5</v>
      </c>
      <c r="W2955">
        <v>227</v>
      </c>
      <c r="X2955" s="151" t="s">
        <v>1644</v>
      </c>
      <c r="Y2955" s="135" t="s">
        <v>55</v>
      </c>
      <c r="Z2955" s="307">
        <v>230</v>
      </c>
      <c r="AB2955" t="str">
        <f>IF(Table1[[#This Row],[TIPO2]]="costo", VLOOKUP(Table1[[#This Row],[PARTIDA PRESUPUESTAL]],'Cost Report'!G:G,1,0),"Balance")</f>
        <v>7050-005</v>
      </c>
      <c r="AC2955" s="118"/>
      <c r="AD2955" s="159">
        <f>+Table1[[#This Row],[SUBTOTAL]]+Table1[[#This Row],[IVA]]-Table1[[#This Row],[RET IVA]]-Table1[[#This Row],[RET ISR]]-Table1[[#This Row],[TOTAL]]</f>
        <v>0</v>
      </c>
      <c r="AE2955" s="150"/>
      <c r="AF2955" s="151"/>
      <c r="AG2955" s="126" t="s">
        <v>3420</v>
      </c>
      <c r="AK2955" s="306" t="str">
        <f>IF(ISNUMBER(Table1[[#This Row],[FECHA DE RECIBIDO]]), Table1[[#This Row],[FECHA DE RECIBIDO]]-DATE(2023,8,30), "")</f>
        <v/>
      </c>
    </row>
    <row r="2956" spans="1:37" ht="16.05" customHeight="1">
      <c r="A2956" s="152" t="s">
        <v>4108</v>
      </c>
      <c r="B2956" s="153">
        <v>1095</v>
      </c>
      <c r="C2956" s="126" t="s">
        <v>2874</v>
      </c>
      <c r="D2956">
        <v>661</v>
      </c>
      <c r="E2956" s="126"/>
      <c r="F2956" s="125"/>
      <c r="G2956" s="125"/>
      <c r="H2956"/>
      <c r="I2956" s="125"/>
      <c r="J2956" s="308" t="s">
        <v>214</v>
      </c>
      <c r="K2956" s="127" t="s">
        <v>3806</v>
      </c>
      <c r="L2956" s="153" t="s">
        <v>1579</v>
      </c>
      <c r="M2956">
        <v>814</v>
      </c>
      <c r="N2956" s="123">
        <v>17</v>
      </c>
      <c r="O2956">
        <v>1992</v>
      </c>
      <c r="P2956" s="132" t="s">
        <v>77</v>
      </c>
      <c r="Q2956" s="132">
        <v>39</v>
      </c>
      <c r="R2956" s="132"/>
      <c r="S2956" s="132"/>
      <c r="T2956" s="156"/>
      <c r="U2956" s="132"/>
      <c r="V2956" s="132">
        <f>+Table1[[#This Row],[SUBTOTAL]]+Table1[[#This Row],[IVA]]-Table1[[#This Row],[RET IVA]]-Table1[[#This Row],[RET ISR]]</f>
        <v>39</v>
      </c>
      <c r="W2956">
        <v>227</v>
      </c>
      <c r="X2956" s="153" t="s">
        <v>1644</v>
      </c>
      <c r="Y2956" s="124" t="s">
        <v>55</v>
      </c>
      <c r="Z2956" s="308">
        <v>232</v>
      </c>
      <c r="AB2956" t="str">
        <f>IF(Table1[[#This Row],[TIPO2]]="costo", VLOOKUP(Table1[[#This Row],[PARTIDA PRESUPUESTAL]],'Cost Report'!G:G,1,0),"Balance")</f>
        <v>3632-019</v>
      </c>
      <c r="AC2956" s="118"/>
      <c r="AD2956" s="159">
        <f>+Table1[[#This Row],[SUBTOTAL]]+Table1[[#This Row],[IVA]]-Table1[[#This Row],[RET IVA]]-Table1[[#This Row],[RET ISR]]-Table1[[#This Row],[TOTAL]]</f>
        <v>0</v>
      </c>
      <c r="AE2956" s="152"/>
      <c r="AF2956" s="153"/>
      <c r="AG2956" s="126" t="s">
        <v>3420</v>
      </c>
      <c r="AK2956" s="306" t="str">
        <f>IF(ISNUMBER(Table1[[#This Row],[FECHA DE RECIBIDO]]), Table1[[#This Row],[FECHA DE RECIBIDO]]-DATE(2023,8,30), "")</f>
        <v/>
      </c>
    </row>
    <row r="2957" spans="1:37" ht="16.05" customHeight="1">
      <c r="A2957" s="150" t="s">
        <v>4108</v>
      </c>
      <c r="B2957" s="151">
        <v>1095</v>
      </c>
      <c r="C2957" s="126" t="s">
        <v>977</v>
      </c>
      <c r="D2957">
        <v>661</v>
      </c>
      <c r="E2957" s="126"/>
      <c r="F2957" s="122"/>
      <c r="G2957" s="122"/>
      <c r="H2957"/>
      <c r="I2957" s="122"/>
      <c r="J2957" s="307" t="s">
        <v>214</v>
      </c>
      <c r="K2957" s="127" t="s">
        <v>3806</v>
      </c>
      <c r="L2957" s="151" t="s">
        <v>1579</v>
      </c>
      <c r="M2957">
        <v>818</v>
      </c>
      <c r="N2957" s="123">
        <v>17</v>
      </c>
      <c r="O2957">
        <v>1995</v>
      </c>
      <c r="P2957" s="132" t="s">
        <v>77</v>
      </c>
      <c r="Q2957" s="131">
        <v>319</v>
      </c>
      <c r="R2957" s="131"/>
      <c r="S2957" s="131"/>
      <c r="T2957" s="155"/>
      <c r="U2957" s="131"/>
      <c r="V2957" s="131">
        <f>+Table1[[#This Row],[SUBTOTAL]]+Table1[[#This Row],[IVA]]-Table1[[#This Row],[RET IVA]]-Table1[[#This Row],[RET ISR]]</f>
        <v>319</v>
      </c>
      <c r="W2957">
        <v>227</v>
      </c>
      <c r="X2957" s="151" t="s">
        <v>1644</v>
      </c>
      <c r="Y2957" s="135" t="s">
        <v>55</v>
      </c>
      <c r="Z2957" s="307">
        <v>232</v>
      </c>
      <c r="AB2957" t="str">
        <f>IF(Table1[[#This Row],[TIPO2]]="costo", VLOOKUP(Table1[[#This Row],[PARTIDA PRESUPUESTAL]],'Cost Report'!G:G,1,0),"Balance")</f>
        <v>3410-012</v>
      </c>
      <c r="AC2957" s="118"/>
      <c r="AD2957" s="159">
        <f>+Table1[[#This Row],[SUBTOTAL]]+Table1[[#This Row],[IVA]]-Table1[[#This Row],[RET IVA]]-Table1[[#This Row],[RET ISR]]-Table1[[#This Row],[TOTAL]]</f>
        <v>0</v>
      </c>
      <c r="AE2957" s="150"/>
      <c r="AF2957" s="151"/>
      <c r="AG2957" s="126" t="s">
        <v>3420</v>
      </c>
      <c r="AK2957" s="306" t="str">
        <f>IF(ISNUMBER(Table1[[#This Row],[FECHA DE RECIBIDO]]), Table1[[#This Row],[FECHA DE RECIBIDO]]-DATE(2023,8,30), "")</f>
        <v/>
      </c>
    </row>
    <row r="2958" spans="1:37" ht="16.05" customHeight="1">
      <c r="A2958" s="152"/>
      <c r="B2958" s="153"/>
      <c r="C2958" s="126" t="s">
        <v>71</v>
      </c>
      <c r="D2958"/>
      <c r="E2958" s="126"/>
      <c r="F2958" s="125"/>
      <c r="G2958" s="125"/>
      <c r="H2958"/>
      <c r="I2958" s="125"/>
      <c r="J2958" s="308" t="s">
        <v>214</v>
      </c>
      <c r="K2958" s="127" t="s">
        <v>3806</v>
      </c>
      <c r="L2958" s="153" t="s">
        <v>1643</v>
      </c>
      <c r="M2958">
        <v>697</v>
      </c>
      <c r="N2958" s="123"/>
      <c r="O2958">
        <v>1996</v>
      </c>
      <c r="P2958" s="131" t="s">
        <v>78</v>
      </c>
      <c r="Q2958" s="132">
        <v>-169777.12</v>
      </c>
      <c r="R2958" s="132"/>
      <c r="S2958" s="132"/>
      <c r="T2958" s="156"/>
      <c r="U2958" s="132"/>
      <c r="V2958" s="132">
        <f>+Table1[[#This Row],[SUBTOTAL]]+Table1[[#This Row],[IVA]]-Table1[[#This Row],[RET IVA]]-Table1[[#This Row],[RET ISR]]</f>
        <v>-169777.12</v>
      </c>
      <c r="W2958"/>
      <c r="X2958" s="153"/>
      <c r="Y2958" s="124"/>
      <c r="Z2958" s="308">
        <v>212</v>
      </c>
      <c r="AB2958" t="s">
        <v>78</v>
      </c>
      <c r="AC2958" s="118"/>
      <c r="AD2958" s="159">
        <f>+Table1[[#This Row],[SUBTOTAL]]+Table1[[#This Row],[IVA]]-Table1[[#This Row],[RET IVA]]-Table1[[#This Row],[RET ISR]]-Table1[[#This Row],[TOTAL]]</f>
        <v>0</v>
      </c>
      <c r="AE2958" s="152"/>
      <c r="AF2958" s="153"/>
      <c r="AG2958" s="126" t="s">
        <v>3420</v>
      </c>
      <c r="AK2958" s="306" t="str">
        <f>IF(ISNUMBER(Table1[[#This Row],[FECHA DE RECIBIDO]]), Table1[[#This Row],[FECHA DE RECIBIDO]]-DATE(2023,8,30), "")</f>
        <v/>
      </c>
    </row>
    <row r="2959" spans="1:37" ht="16.05" customHeight="1">
      <c r="A2959" s="150" t="s">
        <v>3426</v>
      </c>
      <c r="B2959" s="151">
        <v>507</v>
      </c>
      <c r="C2959" s="126" t="s">
        <v>69</v>
      </c>
      <c r="D2959"/>
      <c r="E2959" s="126" t="s">
        <v>1911</v>
      </c>
      <c r="F2959" s="122" t="s">
        <v>1911</v>
      </c>
      <c r="G2959" s="122" t="s">
        <v>1911</v>
      </c>
      <c r="H2959"/>
      <c r="I2959" s="122" t="s">
        <v>1911</v>
      </c>
      <c r="J2959" s="307" t="s">
        <v>214</v>
      </c>
      <c r="K2959" s="127" t="s">
        <v>3806</v>
      </c>
      <c r="L2959" s="151" t="s">
        <v>118</v>
      </c>
      <c r="M2959">
        <v>446</v>
      </c>
      <c r="N2959" s="123">
        <v>51</v>
      </c>
      <c r="O2959">
        <v>1018</v>
      </c>
      <c r="P2959" s="131" t="s">
        <v>78</v>
      </c>
      <c r="Q2959" s="238">
        <v>-32950</v>
      </c>
      <c r="R2959" s="131">
        <v>0</v>
      </c>
      <c r="S2959" s="131"/>
      <c r="T2959" s="155">
        <v>0</v>
      </c>
      <c r="U2959" s="131">
        <v>0</v>
      </c>
      <c r="V2959" s="131">
        <f>+Table1[[#This Row],[SUBTOTAL]]+Table1[[#This Row],[IVA]]-Table1[[#This Row],[RET IVA]]-Table1[[#This Row],[RET ISR]]</f>
        <v>-32950</v>
      </c>
      <c r="W2959">
        <v>170</v>
      </c>
      <c r="X2959" s="151" t="s">
        <v>3120</v>
      </c>
      <c r="Y2959" s="135" t="s">
        <v>55</v>
      </c>
      <c r="Z2959" s="307">
        <v>223</v>
      </c>
      <c r="AB2959" t="s">
        <v>78</v>
      </c>
      <c r="AC2959" s="118"/>
      <c r="AD2959" s="159">
        <f>+Table1[[#This Row],[SUBTOTAL]]+Table1[[#This Row],[IVA]]-Table1[[#This Row],[RET IVA]]-Table1[[#This Row],[RET ISR]]-Table1[[#This Row],[TOTAL]]</f>
        <v>0</v>
      </c>
      <c r="AE2959" s="150"/>
      <c r="AF2959" s="151"/>
      <c r="AG2959" s="126"/>
      <c r="AK2959" s="306" t="str">
        <f>IF(ISNUMBER(Table1[[#This Row],[FECHA DE RECIBIDO]]), Table1[[#This Row],[FECHA DE RECIBIDO]]-DATE(2023,8,30), "")</f>
        <v/>
      </c>
    </row>
    <row r="2960" spans="1:37" ht="16.05" customHeight="1">
      <c r="A2960" s="152" t="s">
        <v>4113</v>
      </c>
      <c r="B2960" s="153">
        <v>1096</v>
      </c>
      <c r="C2960" s="126" t="s">
        <v>462</v>
      </c>
      <c r="D2960">
        <v>2037</v>
      </c>
      <c r="E2960" s="126" t="s">
        <v>3934</v>
      </c>
      <c r="F2960" s="125" t="s">
        <v>1593</v>
      </c>
      <c r="G2960" s="125" t="s">
        <v>109</v>
      </c>
      <c r="H2960">
        <v>577</v>
      </c>
      <c r="I2960" s="125" t="s">
        <v>1546</v>
      </c>
      <c r="J2960" s="308" t="s">
        <v>214</v>
      </c>
      <c r="K2960" s="127" t="s">
        <v>4112</v>
      </c>
      <c r="L2960" s="153" t="s">
        <v>110</v>
      </c>
      <c r="M2960">
        <v>819</v>
      </c>
      <c r="N2960" s="123">
        <v>168</v>
      </c>
      <c r="O2960">
        <v>1997</v>
      </c>
      <c r="P2960" s="132" t="s">
        <v>77</v>
      </c>
      <c r="Q2960" s="132">
        <v>8400</v>
      </c>
      <c r="R2960" s="132">
        <f t="shared" ref="R2960:R2961" si="55">TRUNC(($Q2960*0.16),2)</f>
        <v>1344</v>
      </c>
      <c r="S2960" s="132"/>
      <c r="T2960" s="156">
        <f>TRUNC(($Q2960*0.106667),2)</f>
        <v>896</v>
      </c>
      <c r="U2960" s="132">
        <f>TRUNC(($Q2960*0.0125),2)</f>
        <v>105</v>
      </c>
      <c r="V2960" s="132">
        <f t="shared" ref="V2960:V3118" si="56">+Q2960+R2960-T2960-U2960</f>
        <v>8743</v>
      </c>
      <c r="W2960">
        <v>324</v>
      </c>
      <c r="X2960" s="153" t="s">
        <v>1430</v>
      </c>
      <c r="Y2960" s="124" t="s">
        <v>55</v>
      </c>
      <c r="Z2960" s="308">
        <v>244</v>
      </c>
      <c r="AB2960" t="str">
        <f>IF(Table1[[#This Row],[TIPO2]]="costo", VLOOKUP(Table1[[#This Row],[PARTIDA PRESUPUESTAL]],'Cost Report'!G:G,1,0),"Balance")</f>
        <v>2009-008</v>
      </c>
      <c r="AC2960" s="118"/>
      <c r="AD2960" s="159">
        <f>+Table1[[#This Row],[SUBTOTAL]]+Table1[[#This Row],[IVA]]-Table1[[#This Row],[RET IVA]]-Table1[[#This Row],[RET ISR]]-Table1[[#This Row],[TOTAL]]</f>
        <v>0</v>
      </c>
      <c r="AE2960" s="152"/>
      <c r="AF2960" s="153"/>
      <c r="AG2960" s="126"/>
      <c r="AK2960" s="306" t="str">
        <f>IF(ISNUMBER(Table1[[#This Row],[FECHA DE RECIBIDO]]), Table1[[#This Row],[FECHA DE RECIBIDO]]-DATE(2023,8,30), "")</f>
        <v/>
      </c>
    </row>
    <row r="2961" spans="1:37" ht="16.05" customHeight="1">
      <c r="A2961" s="150"/>
      <c r="B2961" s="151">
        <v>1096</v>
      </c>
      <c r="C2961" s="126" t="s">
        <v>1725</v>
      </c>
      <c r="D2961">
        <v>2037</v>
      </c>
      <c r="E2961" s="126" t="s">
        <v>3934</v>
      </c>
      <c r="F2961" s="122" t="s">
        <v>1593</v>
      </c>
      <c r="G2961" s="122" t="s">
        <v>109</v>
      </c>
      <c r="H2961">
        <v>577</v>
      </c>
      <c r="I2961" s="122" t="s">
        <v>1546</v>
      </c>
      <c r="J2961" s="307" t="s">
        <v>214</v>
      </c>
      <c r="K2961" s="127" t="s">
        <v>4112</v>
      </c>
      <c r="L2961" s="151" t="s">
        <v>110</v>
      </c>
      <c r="M2961">
        <v>819</v>
      </c>
      <c r="N2961" s="123">
        <v>168</v>
      </c>
      <c r="O2961">
        <v>1997</v>
      </c>
      <c r="P2961" s="132" t="s">
        <v>77</v>
      </c>
      <c r="Q2961" s="131">
        <v>11433.33</v>
      </c>
      <c r="R2961" s="131">
        <f t="shared" si="55"/>
        <v>1829.33</v>
      </c>
      <c r="S2961" s="131"/>
      <c r="T2961" s="155">
        <f>TRUNC(($Q2961*0.106667),2)+0.01</f>
        <v>1219.56</v>
      </c>
      <c r="U2961" s="131">
        <f>TRUNC(($Q2961*0.0125),2)+0.01</f>
        <v>142.91999999999999</v>
      </c>
      <c r="V2961" s="131">
        <f t="shared" si="56"/>
        <v>11900.18</v>
      </c>
      <c r="W2961">
        <v>324</v>
      </c>
      <c r="X2961" s="151" t="s">
        <v>1430</v>
      </c>
      <c r="Y2961" s="135" t="s">
        <v>55</v>
      </c>
      <c r="Z2961" s="307">
        <v>244</v>
      </c>
      <c r="AB2961" t="str">
        <f>IF(Table1[[#This Row],[TIPO2]]="costo", VLOOKUP(Table1[[#This Row],[PARTIDA PRESUPUESTAL]],'Cost Report'!G:G,1,0),"Balance")</f>
        <v>2009-009</v>
      </c>
      <c r="AC2961" s="118"/>
      <c r="AD2961" s="159">
        <f>+Table1[[#This Row],[SUBTOTAL]]+Table1[[#This Row],[IVA]]-Table1[[#This Row],[RET IVA]]-Table1[[#This Row],[RET ISR]]-Table1[[#This Row],[TOTAL]]</f>
        <v>0</v>
      </c>
      <c r="AE2961" s="150"/>
      <c r="AF2961" s="151"/>
      <c r="AG2961" s="126"/>
      <c r="AK2961" s="306" t="str">
        <f>IF(ISNUMBER(Table1[[#This Row],[FECHA DE RECIBIDO]]), Table1[[#This Row],[FECHA DE RECIBIDO]]-DATE(2023,8,30), "")</f>
        <v/>
      </c>
    </row>
    <row r="2962" spans="1:37" ht="16.05" customHeight="1">
      <c r="A2962" s="152" t="s">
        <v>4114</v>
      </c>
      <c r="B2962" s="153">
        <v>1097</v>
      </c>
      <c r="C2962" s="126" t="s">
        <v>2388</v>
      </c>
      <c r="D2962">
        <v>2038</v>
      </c>
      <c r="E2962" s="126" t="s">
        <v>3934</v>
      </c>
      <c r="F2962" s="125" t="s">
        <v>1593</v>
      </c>
      <c r="G2962" s="125" t="s">
        <v>109</v>
      </c>
      <c r="H2962">
        <v>577</v>
      </c>
      <c r="I2962" s="125" t="s">
        <v>1546</v>
      </c>
      <c r="J2962" s="308" t="s">
        <v>214</v>
      </c>
      <c r="K2962" s="127" t="s">
        <v>4112</v>
      </c>
      <c r="L2962" s="153" t="s">
        <v>110</v>
      </c>
      <c r="M2962">
        <v>819</v>
      </c>
      <c r="N2962" s="123">
        <v>168</v>
      </c>
      <c r="O2962">
        <v>1998</v>
      </c>
      <c r="P2962" s="132" t="s">
        <v>77</v>
      </c>
      <c r="Q2962" s="132">
        <v>17000</v>
      </c>
      <c r="R2962" s="132">
        <v>2720</v>
      </c>
      <c r="S2962" s="132"/>
      <c r="T2962" s="156">
        <v>1813.34</v>
      </c>
      <c r="U2962" s="132">
        <v>212.5</v>
      </c>
      <c r="V2962" s="132">
        <f t="shared" si="56"/>
        <v>17694.16</v>
      </c>
      <c r="W2962">
        <v>324</v>
      </c>
      <c r="X2962" s="153" t="s">
        <v>1430</v>
      </c>
      <c r="Y2962" s="124" t="s">
        <v>55</v>
      </c>
      <c r="Z2962" s="308">
        <v>244</v>
      </c>
      <c r="AB2962" t="str">
        <f>IF(Table1[[#This Row],[TIPO2]]="costo", VLOOKUP(Table1[[#This Row],[PARTIDA PRESUPUESTAL]],'Cost Report'!G:G,1,0),"Balance")</f>
        <v>2009-013</v>
      </c>
      <c r="AC2962" s="118"/>
      <c r="AD2962" s="159">
        <f>+Table1[[#This Row],[SUBTOTAL]]+Table1[[#This Row],[IVA]]-Table1[[#This Row],[RET IVA]]-Table1[[#This Row],[RET ISR]]-Table1[[#This Row],[TOTAL]]</f>
        <v>0</v>
      </c>
      <c r="AE2962" s="152"/>
      <c r="AF2962" s="153"/>
      <c r="AG2962" s="126"/>
      <c r="AK2962" s="306" t="str">
        <f>IF(ISNUMBER(Table1[[#This Row],[FECHA DE RECIBIDO]]), Table1[[#This Row],[FECHA DE RECIBIDO]]-DATE(2023,8,30), "")</f>
        <v/>
      </c>
    </row>
    <row r="2963" spans="1:37" ht="16.05" customHeight="1">
      <c r="A2963" s="150" t="s">
        <v>4115</v>
      </c>
      <c r="B2963" s="151">
        <v>1098</v>
      </c>
      <c r="C2963" s="126" t="s">
        <v>2389</v>
      </c>
      <c r="D2963">
        <v>2039</v>
      </c>
      <c r="E2963" s="126" t="s">
        <v>3934</v>
      </c>
      <c r="F2963" s="122" t="s">
        <v>1593</v>
      </c>
      <c r="G2963" s="122" t="s">
        <v>109</v>
      </c>
      <c r="H2963">
        <v>577</v>
      </c>
      <c r="I2963" s="122" t="s">
        <v>1546</v>
      </c>
      <c r="J2963" s="307" t="s">
        <v>214</v>
      </c>
      <c r="K2963" s="127" t="s">
        <v>4112</v>
      </c>
      <c r="L2963" s="151" t="s">
        <v>110</v>
      </c>
      <c r="M2963">
        <v>819</v>
      </c>
      <c r="N2963" s="123">
        <v>168</v>
      </c>
      <c r="O2963">
        <v>1999</v>
      </c>
      <c r="P2963" s="132" t="s">
        <v>77</v>
      </c>
      <c r="Q2963" s="131">
        <v>34000</v>
      </c>
      <c r="R2963" s="131">
        <v>5440</v>
      </c>
      <c r="S2963" s="131"/>
      <c r="T2963" s="155">
        <v>3626.68</v>
      </c>
      <c r="U2963" s="131">
        <v>425</v>
      </c>
      <c r="V2963" s="131">
        <f t="shared" si="56"/>
        <v>35388.32</v>
      </c>
      <c r="W2963">
        <v>324</v>
      </c>
      <c r="X2963" s="151" t="s">
        <v>1430</v>
      </c>
      <c r="Y2963" s="135" t="s">
        <v>55</v>
      </c>
      <c r="Z2963" s="307">
        <v>244</v>
      </c>
      <c r="AB2963" t="str">
        <f>IF(Table1[[#This Row],[TIPO2]]="costo", VLOOKUP(Table1[[#This Row],[PARTIDA PRESUPUESTAL]],'Cost Report'!G:G,1,0),"Balance")</f>
        <v>2009-014</v>
      </c>
      <c r="AC2963" s="118"/>
      <c r="AD2963" s="159">
        <f>+Table1[[#This Row],[SUBTOTAL]]+Table1[[#This Row],[IVA]]-Table1[[#This Row],[RET IVA]]-Table1[[#This Row],[RET ISR]]-Table1[[#This Row],[TOTAL]]</f>
        <v>0</v>
      </c>
      <c r="AE2963" s="150"/>
      <c r="AF2963" s="151"/>
      <c r="AG2963" s="126"/>
      <c r="AK2963" s="306" t="str">
        <f>IF(ISNUMBER(Table1[[#This Row],[FECHA DE RECIBIDO]]), Table1[[#This Row],[FECHA DE RECIBIDO]]-DATE(2023,8,30), "")</f>
        <v/>
      </c>
    </row>
    <row r="2964" spans="1:37" ht="16.05" customHeight="1">
      <c r="A2964" s="152" t="s">
        <v>4116</v>
      </c>
      <c r="B2964" s="153">
        <v>1099</v>
      </c>
      <c r="C2964" s="126" t="s">
        <v>3002</v>
      </c>
      <c r="D2964">
        <v>2040</v>
      </c>
      <c r="E2964" s="126" t="s">
        <v>3643</v>
      </c>
      <c r="F2964" s="125" t="s">
        <v>1589</v>
      </c>
      <c r="G2964" s="125" t="s">
        <v>129</v>
      </c>
      <c r="H2964">
        <v>351</v>
      </c>
      <c r="I2964" s="125" t="s">
        <v>1546</v>
      </c>
      <c r="J2964" s="308" t="s">
        <v>214</v>
      </c>
      <c r="K2964" s="127" t="s">
        <v>4112</v>
      </c>
      <c r="L2964" s="153" t="s">
        <v>110</v>
      </c>
      <c r="M2964">
        <v>468</v>
      </c>
      <c r="N2964" s="123">
        <v>93</v>
      </c>
      <c r="O2964">
        <v>2000</v>
      </c>
      <c r="P2964" s="132" t="s">
        <v>77</v>
      </c>
      <c r="Q2964" s="132">
        <v>13125</v>
      </c>
      <c r="R2964" s="132">
        <v>2100</v>
      </c>
      <c r="S2964" s="132"/>
      <c r="T2964" s="156">
        <v>1400</v>
      </c>
      <c r="U2964" s="132">
        <v>1312.5</v>
      </c>
      <c r="V2964" s="132">
        <f t="shared" si="56"/>
        <v>12512.5</v>
      </c>
      <c r="W2964">
        <v>188</v>
      </c>
      <c r="X2964" s="153" t="s">
        <v>1429</v>
      </c>
      <c r="Y2964" s="124" t="s">
        <v>55</v>
      </c>
      <c r="Z2964" s="308">
        <v>244</v>
      </c>
      <c r="AB2964" t="str">
        <f>IF(Table1[[#This Row],[TIPO2]]="costo", VLOOKUP(Table1[[#This Row],[PARTIDA PRESUPUESTAL]],'Cost Report'!G:G,1,0),"Balance")</f>
        <v>4180-003</v>
      </c>
      <c r="AC2964" s="118"/>
      <c r="AD2964" s="159">
        <f>+Table1[[#This Row],[SUBTOTAL]]+Table1[[#This Row],[IVA]]-Table1[[#This Row],[RET IVA]]-Table1[[#This Row],[RET ISR]]-Table1[[#This Row],[TOTAL]]</f>
        <v>0</v>
      </c>
      <c r="AE2964" s="152"/>
      <c r="AF2964" s="153"/>
      <c r="AG2964" s="126"/>
      <c r="AK2964" s="306" t="str">
        <f>IF(ISNUMBER(Table1[[#This Row],[FECHA DE RECIBIDO]]), Table1[[#This Row],[FECHA DE RECIBIDO]]-DATE(2023,8,30), "")</f>
        <v/>
      </c>
    </row>
    <row r="2965" spans="1:37" ht="16.05" customHeight="1">
      <c r="A2965" s="150" t="s">
        <v>4117</v>
      </c>
      <c r="B2965" s="151">
        <v>1100</v>
      </c>
      <c r="C2965" s="126" t="s">
        <v>285</v>
      </c>
      <c r="D2965">
        <v>2041</v>
      </c>
      <c r="E2965" s="126" t="s">
        <v>4183</v>
      </c>
      <c r="F2965" s="122" t="s">
        <v>1593</v>
      </c>
      <c r="G2965" s="122" t="s">
        <v>109</v>
      </c>
      <c r="H2965">
        <v>578</v>
      </c>
      <c r="I2965" s="122" t="s">
        <v>1546</v>
      </c>
      <c r="J2965" s="307" t="s">
        <v>214</v>
      </c>
      <c r="K2965" s="127" t="s">
        <v>4112</v>
      </c>
      <c r="L2965" s="151" t="s">
        <v>110</v>
      </c>
      <c r="M2965">
        <v>820</v>
      </c>
      <c r="N2965" s="123">
        <v>169</v>
      </c>
      <c r="O2965">
        <v>2001</v>
      </c>
      <c r="P2965" s="132" t="s">
        <v>77</v>
      </c>
      <c r="Q2965" s="131">
        <v>240000</v>
      </c>
      <c r="R2965" s="131">
        <v>38400</v>
      </c>
      <c r="S2965" s="131"/>
      <c r="T2965" s="155">
        <v>25600.080000000002</v>
      </c>
      <c r="U2965" s="131">
        <v>3000</v>
      </c>
      <c r="V2965" s="131">
        <f t="shared" si="56"/>
        <v>249799.91999999998</v>
      </c>
      <c r="W2965">
        <v>325</v>
      </c>
      <c r="X2965" s="151" t="s">
        <v>1430</v>
      </c>
      <c r="Y2965" s="135" t="s">
        <v>55</v>
      </c>
      <c r="Z2965" s="307">
        <v>244</v>
      </c>
      <c r="AB2965" t="str">
        <f>IF(Table1[[#This Row],[TIPO2]]="costo", VLOOKUP(Table1[[#This Row],[PARTIDA PRESUPUESTAL]],'Cost Report'!G:G,1,0),"Balance")</f>
        <v>1401-011</v>
      </c>
      <c r="AC2965" s="118"/>
      <c r="AD2965" s="159">
        <f>+Table1[[#This Row],[SUBTOTAL]]+Table1[[#This Row],[IVA]]-Table1[[#This Row],[RET IVA]]-Table1[[#This Row],[RET ISR]]-Table1[[#This Row],[TOTAL]]</f>
        <v>0</v>
      </c>
      <c r="AE2965" s="150"/>
      <c r="AF2965" s="151"/>
      <c r="AG2965" s="126"/>
      <c r="AK2965" s="306" t="str">
        <f>IF(ISNUMBER(Table1[[#This Row],[FECHA DE RECIBIDO]]), Table1[[#This Row],[FECHA DE RECIBIDO]]-DATE(2023,8,30), "")</f>
        <v/>
      </c>
    </row>
    <row r="2966" spans="1:37" ht="16.05" customHeight="1">
      <c r="A2966" s="152" t="s">
        <v>4118</v>
      </c>
      <c r="B2966" s="153">
        <v>1101</v>
      </c>
      <c r="C2966" s="126" t="s">
        <v>285</v>
      </c>
      <c r="D2966">
        <v>2042</v>
      </c>
      <c r="E2966" s="126" t="s">
        <v>4183</v>
      </c>
      <c r="F2966" s="125" t="s">
        <v>1593</v>
      </c>
      <c r="G2966" s="125" t="s">
        <v>109</v>
      </c>
      <c r="H2966">
        <v>578</v>
      </c>
      <c r="I2966" s="125" t="s">
        <v>1546</v>
      </c>
      <c r="J2966" s="308" t="s">
        <v>214</v>
      </c>
      <c r="K2966" s="127" t="s">
        <v>4112</v>
      </c>
      <c r="L2966" s="153" t="s">
        <v>110</v>
      </c>
      <c r="M2966">
        <v>820</v>
      </c>
      <c r="N2966" s="123">
        <v>169</v>
      </c>
      <c r="O2966">
        <v>2002</v>
      </c>
      <c r="P2966" s="132" t="s">
        <v>77</v>
      </c>
      <c r="Q2966" s="132">
        <v>240000</v>
      </c>
      <c r="R2966" s="132">
        <v>38400</v>
      </c>
      <c r="S2966" s="132"/>
      <c r="T2966" s="156">
        <v>25600.080000000002</v>
      </c>
      <c r="U2966" s="132">
        <v>3000</v>
      </c>
      <c r="V2966" s="132">
        <f t="shared" si="56"/>
        <v>249799.91999999998</v>
      </c>
      <c r="W2966">
        <v>325</v>
      </c>
      <c r="X2966" s="153" t="s">
        <v>1430</v>
      </c>
      <c r="Y2966" s="124" t="s">
        <v>55</v>
      </c>
      <c r="Z2966" s="308">
        <v>244</v>
      </c>
      <c r="AB2966" t="str">
        <f>IF(Table1[[#This Row],[TIPO2]]="costo", VLOOKUP(Table1[[#This Row],[PARTIDA PRESUPUESTAL]],'Cost Report'!G:G,1,0),"Balance")</f>
        <v>1401-011</v>
      </c>
      <c r="AC2966" s="118"/>
      <c r="AD2966" s="159">
        <f>+Table1[[#This Row],[SUBTOTAL]]+Table1[[#This Row],[IVA]]-Table1[[#This Row],[RET IVA]]-Table1[[#This Row],[RET ISR]]-Table1[[#This Row],[TOTAL]]</f>
        <v>0</v>
      </c>
      <c r="AE2966" s="152"/>
      <c r="AF2966" s="153"/>
      <c r="AG2966" s="126"/>
      <c r="AK2966" s="306" t="str">
        <f>IF(ISNUMBER(Table1[[#This Row],[FECHA DE RECIBIDO]]), Table1[[#This Row],[FECHA DE RECIBIDO]]-DATE(2023,8,30), "")</f>
        <v/>
      </c>
    </row>
    <row r="2967" spans="1:37" ht="16.05" customHeight="1">
      <c r="A2967" s="150" t="s">
        <v>4119</v>
      </c>
      <c r="B2967" s="151">
        <v>1102</v>
      </c>
      <c r="C2967" s="126" t="s">
        <v>2360</v>
      </c>
      <c r="D2967">
        <v>2043</v>
      </c>
      <c r="E2967" s="126" t="s">
        <v>4183</v>
      </c>
      <c r="F2967" s="122" t="s">
        <v>1593</v>
      </c>
      <c r="G2967" s="122" t="s">
        <v>109</v>
      </c>
      <c r="H2967">
        <v>578</v>
      </c>
      <c r="I2967" s="122" t="s">
        <v>1546</v>
      </c>
      <c r="J2967" s="307" t="s">
        <v>214</v>
      </c>
      <c r="K2967" s="127" t="s">
        <v>4112</v>
      </c>
      <c r="L2967" s="151" t="s">
        <v>110</v>
      </c>
      <c r="M2967">
        <v>820</v>
      </c>
      <c r="N2967" s="123">
        <v>169</v>
      </c>
      <c r="O2967">
        <v>2003</v>
      </c>
      <c r="P2967" s="132" t="s">
        <v>77</v>
      </c>
      <c r="Q2967" s="131">
        <v>10500</v>
      </c>
      <c r="R2967" s="131">
        <f t="shared" ref="R2967:R2968" si="57">TRUNC(($Q2967*0.16),2)</f>
        <v>1680</v>
      </c>
      <c r="S2967" s="131"/>
      <c r="T2967" s="155">
        <f>TRUNC(($Q2967*0.106667),2)</f>
        <v>1120</v>
      </c>
      <c r="U2967" s="131">
        <f t="shared" ref="U2967:U2968" si="58">TRUNC(($Q2967*0.0125),2)</f>
        <v>131.25</v>
      </c>
      <c r="V2967" s="131">
        <f t="shared" si="56"/>
        <v>10928.75</v>
      </c>
      <c r="W2967">
        <v>325</v>
      </c>
      <c r="X2967" s="151" t="s">
        <v>1430</v>
      </c>
      <c r="Y2967" s="135" t="s">
        <v>55</v>
      </c>
      <c r="Z2967" s="307">
        <v>244</v>
      </c>
      <c r="AB2967" t="str">
        <f>IF(Table1[[#This Row],[TIPO2]]="costo", VLOOKUP(Table1[[#This Row],[PARTIDA PRESUPUESTAL]],'Cost Report'!G:G,1,0),"Balance")</f>
        <v>1642-012</v>
      </c>
      <c r="AC2967" s="118"/>
      <c r="AD2967" s="159">
        <f>+Table1[[#This Row],[SUBTOTAL]]+Table1[[#This Row],[IVA]]-Table1[[#This Row],[RET IVA]]-Table1[[#This Row],[RET ISR]]-Table1[[#This Row],[TOTAL]]</f>
        <v>0</v>
      </c>
      <c r="AE2967" s="150"/>
      <c r="AF2967" s="151"/>
      <c r="AG2967" s="126"/>
      <c r="AK2967" s="306" t="str">
        <f>IF(ISNUMBER(Table1[[#This Row],[FECHA DE RECIBIDO]]), Table1[[#This Row],[FECHA DE RECIBIDO]]-DATE(2023,8,30), "")</f>
        <v/>
      </c>
    </row>
    <row r="2968" spans="1:37" ht="16.05" customHeight="1">
      <c r="A2968" s="152"/>
      <c r="B2968" s="153">
        <v>1102</v>
      </c>
      <c r="C2968" s="126" t="s">
        <v>2361</v>
      </c>
      <c r="D2968">
        <v>2043</v>
      </c>
      <c r="E2968" s="126" t="s">
        <v>4183</v>
      </c>
      <c r="F2968" s="125" t="s">
        <v>1593</v>
      </c>
      <c r="G2968" s="125" t="s">
        <v>109</v>
      </c>
      <c r="H2968">
        <v>578</v>
      </c>
      <c r="I2968" s="125" t="s">
        <v>1546</v>
      </c>
      <c r="J2968" s="308" t="s">
        <v>214</v>
      </c>
      <c r="K2968" s="127" t="s">
        <v>4112</v>
      </c>
      <c r="L2968" s="153" t="s">
        <v>110</v>
      </c>
      <c r="M2968">
        <v>820</v>
      </c>
      <c r="N2968" s="123">
        <v>169</v>
      </c>
      <c r="O2968">
        <v>2003</v>
      </c>
      <c r="P2968" s="132" t="s">
        <v>77</v>
      </c>
      <c r="Q2968" s="132">
        <v>9000</v>
      </c>
      <c r="R2968" s="132">
        <f t="shared" si="57"/>
        <v>1440</v>
      </c>
      <c r="S2968" s="132"/>
      <c r="T2968" s="156">
        <f>TRUNC(($Q2968*0.106667),2)+0.01</f>
        <v>960.01</v>
      </c>
      <c r="U2968" s="132">
        <f t="shared" si="58"/>
        <v>112.5</v>
      </c>
      <c r="V2968" s="132">
        <f t="shared" si="56"/>
        <v>9367.49</v>
      </c>
      <c r="W2968">
        <v>325</v>
      </c>
      <c r="X2968" s="153" t="s">
        <v>1430</v>
      </c>
      <c r="Y2968" s="124" t="s">
        <v>55</v>
      </c>
      <c r="Z2968" s="308">
        <v>244</v>
      </c>
      <c r="AB2968" t="str">
        <f>IF(Table1[[#This Row],[TIPO2]]="costo", VLOOKUP(Table1[[#This Row],[PARTIDA PRESUPUESTAL]],'Cost Report'!G:G,1,0),"Balance")</f>
        <v>1642-013</v>
      </c>
      <c r="AC2968" s="118"/>
      <c r="AD2968" s="159">
        <f>+Table1[[#This Row],[SUBTOTAL]]+Table1[[#This Row],[IVA]]-Table1[[#This Row],[RET IVA]]-Table1[[#This Row],[RET ISR]]-Table1[[#This Row],[TOTAL]]</f>
        <v>0</v>
      </c>
      <c r="AE2968" s="152"/>
      <c r="AF2968" s="153"/>
      <c r="AG2968" s="126"/>
      <c r="AK2968" s="306" t="str">
        <f>IF(ISNUMBER(Table1[[#This Row],[FECHA DE RECIBIDO]]), Table1[[#This Row],[FECHA DE RECIBIDO]]-DATE(2023,8,30), "")</f>
        <v/>
      </c>
    </row>
    <row r="2969" spans="1:37" ht="16.05" customHeight="1">
      <c r="A2969" s="150" t="s">
        <v>4120</v>
      </c>
      <c r="B2969" s="151">
        <v>1103</v>
      </c>
      <c r="C2969" s="126" t="s">
        <v>304</v>
      </c>
      <c r="D2969">
        <v>2044</v>
      </c>
      <c r="E2969" s="126" t="s">
        <v>4184</v>
      </c>
      <c r="F2969" s="122" t="s">
        <v>1593</v>
      </c>
      <c r="G2969" s="122" t="s">
        <v>109</v>
      </c>
      <c r="H2969">
        <v>579</v>
      </c>
      <c r="I2969" s="122" t="s">
        <v>1546</v>
      </c>
      <c r="J2969" s="307" t="s">
        <v>214</v>
      </c>
      <c r="K2969" s="127" t="s">
        <v>4112</v>
      </c>
      <c r="L2969" s="151" t="s">
        <v>110</v>
      </c>
      <c r="M2969">
        <v>821</v>
      </c>
      <c r="N2969" s="123">
        <v>170</v>
      </c>
      <c r="O2969">
        <v>2004</v>
      </c>
      <c r="P2969" s="132" t="s">
        <v>77</v>
      </c>
      <c r="Q2969" s="131">
        <v>60480</v>
      </c>
      <c r="R2969" s="131">
        <v>9676.7999999999993</v>
      </c>
      <c r="S2969" s="131"/>
      <c r="T2969" s="155">
        <v>6451.22</v>
      </c>
      <c r="U2969" s="131">
        <v>756</v>
      </c>
      <c r="V2969" s="131">
        <f t="shared" si="56"/>
        <v>62949.58</v>
      </c>
      <c r="W2969">
        <v>326</v>
      </c>
      <c r="X2969" s="151" t="s">
        <v>4209</v>
      </c>
      <c r="Y2969" s="135" t="s">
        <v>55</v>
      </c>
      <c r="Z2969" s="307">
        <v>244</v>
      </c>
      <c r="AB2969" t="str">
        <f>IF(Table1[[#This Row],[TIPO2]]="costo", VLOOKUP(Table1[[#This Row],[PARTIDA PRESUPUESTAL]],'Cost Report'!G:G,1,0),"Balance")</f>
        <v>1401-036</v>
      </c>
      <c r="AC2969" s="118"/>
      <c r="AD2969" s="159">
        <f>+Table1[[#This Row],[SUBTOTAL]]+Table1[[#This Row],[IVA]]-Table1[[#This Row],[RET IVA]]-Table1[[#This Row],[RET ISR]]-Table1[[#This Row],[TOTAL]]</f>
        <v>0</v>
      </c>
      <c r="AE2969" s="150"/>
      <c r="AF2969" s="151"/>
      <c r="AG2969" s="126"/>
      <c r="AK2969" s="306" t="str">
        <f>IF(ISNUMBER(Table1[[#This Row],[FECHA DE RECIBIDO]]), Table1[[#This Row],[FECHA DE RECIBIDO]]-DATE(2023,8,30), "")</f>
        <v/>
      </c>
    </row>
    <row r="2970" spans="1:37" ht="16.05" customHeight="1">
      <c r="A2970" s="152" t="s">
        <v>4121</v>
      </c>
      <c r="B2970" s="153">
        <v>1102</v>
      </c>
      <c r="C2970" s="126" t="s">
        <v>2460</v>
      </c>
      <c r="D2970">
        <v>2045</v>
      </c>
      <c r="E2970" s="126" t="s">
        <v>2001</v>
      </c>
      <c r="F2970" s="125" t="s">
        <v>1607</v>
      </c>
      <c r="G2970" s="125" t="s">
        <v>134</v>
      </c>
      <c r="H2970">
        <v>23</v>
      </c>
      <c r="I2970" s="125" t="s">
        <v>1546</v>
      </c>
      <c r="J2970" s="308" t="s">
        <v>214</v>
      </c>
      <c r="K2970" s="127" t="s">
        <v>4112</v>
      </c>
      <c r="L2970" s="153" t="s">
        <v>3306</v>
      </c>
      <c r="M2970">
        <v>822</v>
      </c>
      <c r="N2970" s="123">
        <v>171</v>
      </c>
      <c r="O2970">
        <v>2005</v>
      </c>
      <c r="P2970" s="132" t="s">
        <v>77</v>
      </c>
      <c r="Q2970" s="132">
        <v>26800</v>
      </c>
      <c r="R2970" s="132">
        <v>4288</v>
      </c>
      <c r="S2970" s="132"/>
      <c r="T2970" s="156">
        <v>0</v>
      </c>
      <c r="U2970" s="132">
        <v>0</v>
      </c>
      <c r="V2970" s="132">
        <f t="shared" si="56"/>
        <v>31088</v>
      </c>
      <c r="W2970">
        <v>25</v>
      </c>
      <c r="X2970" s="153" t="s">
        <v>2024</v>
      </c>
      <c r="Y2970" s="124" t="s">
        <v>55</v>
      </c>
      <c r="Z2970" s="308">
        <v>244</v>
      </c>
      <c r="AB2970" t="str">
        <f>IF(Table1[[#This Row],[TIPO2]]="costo", VLOOKUP(Table1[[#This Row],[PARTIDA PRESUPUESTAL]],'Cost Report'!G:G,1,0),"Balance")</f>
        <v>2311-005</v>
      </c>
      <c r="AC2970" s="118"/>
      <c r="AD2970" s="159">
        <f>+Table1[[#This Row],[SUBTOTAL]]+Table1[[#This Row],[IVA]]-Table1[[#This Row],[RET IVA]]-Table1[[#This Row],[RET ISR]]-Table1[[#This Row],[TOTAL]]</f>
        <v>0</v>
      </c>
      <c r="AE2970" s="152"/>
      <c r="AF2970" s="153"/>
      <c r="AG2970" s="126"/>
      <c r="AK2970" s="306" t="str">
        <f>IF(ISNUMBER(Table1[[#This Row],[FECHA DE RECIBIDO]]), Table1[[#This Row],[FECHA DE RECIBIDO]]-DATE(2023,8,30), "")</f>
        <v/>
      </c>
    </row>
    <row r="2971" spans="1:37" ht="16.05" customHeight="1">
      <c r="A2971" s="150" t="s">
        <v>4122</v>
      </c>
      <c r="B2971" s="151">
        <v>1103</v>
      </c>
      <c r="C2971" s="126" t="s">
        <v>2546</v>
      </c>
      <c r="D2971">
        <v>2046</v>
      </c>
      <c r="E2971" s="126" t="s">
        <v>1600</v>
      </c>
      <c r="F2971" s="122" t="s">
        <v>1602</v>
      </c>
      <c r="G2971" s="122" t="s">
        <v>1617</v>
      </c>
      <c r="H2971">
        <v>580</v>
      </c>
      <c r="I2971" s="122" t="s">
        <v>1546</v>
      </c>
      <c r="J2971" s="307" t="s">
        <v>214</v>
      </c>
      <c r="K2971" s="127" t="s">
        <v>4112</v>
      </c>
      <c r="L2971" s="151" t="s">
        <v>3306</v>
      </c>
      <c r="M2971">
        <v>823</v>
      </c>
      <c r="N2971" s="123">
        <v>171</v>
      </c>
      <c r="O2971">
        <v>2006</v>
      </c>
      <c r="P2971" s="132" t="s">
        <v>77</v>
      </c>
      <c r="Q2971" s="131">
        <v>10000</v>
      </c>
      <c r="R2971" s="131">
        <v>1600</v>
      </c>
      <c r="S2971" s="131"/>
      <c r="T2971" s="155">
        <v>1066.6600000000001</v>
      </c>
      <c r="U2971" s="131">
        <v>0</v>
      </c>
      <c r="V2971" s="131">
        <f t="shared" si="56"/>
        <v>10533.34</v>
      </c>
      <c r="W2971">
        <v>327</v>
      </c>
      <c r="X2971" s="151" t="s">
        <v>2035</v>
      </c>
      <c r="Y2971" s="135" t="s">
        <v>55</v>
      </c>
      <c r="Z2971" s="307">
        <v>244</v>
      </c>
      <c r="AB2971" t="str">
        <f>IF(Table1[[#This Row],[TIPO2]]="costo", VLOOKUP(Table1[[#This Row],[PARTIDA PRESUPUESTAL]],'Cost Report'!G:G,1,0),"Balance")</f>
        <v>2494-071</v>
      </c>
      <c r="AC2971" s="118"/>
      <c r="AD2971" s="159">
        <f>+Table1[[#This Row],[SUBTOTAL]]+Table1[[#This Row],[IVA]]-Table1[[#This Row],[RET IVA]]-Table1[[#This Row],[RET ISR]]-Table1[[#This Row],[TOTAL]]</f>
        <v>0</v>
      </c>
      <c r="AE2971" s="150"/>
      <c r="AF2971" s="151"/>
      <c r="AG2971" s="126"/>
      <c r="AK2971" s="306" t="str">
        <f>IF(ISNUMBER(Table1[[#This Row],[FECHA DE RECIBIDO]]), Table1[[#This Row],[FECHA DE RECIBIDO]]-DATE(2023,8,30), "")</f>
        <v/>
      </c>
    </row>
    <row r="2972" spans="1:37" ht="16.05" customHeight="1">
      <c r="A2972" s="152"/>
      <c r="B2972" s="153">
        <v>1104</v>
      </c>
      <c r="C2972" s="126" t="s">
        <v>2534</v>
      </c>
      <c r="D2972">
        <v>2047</v>
      </c>
      <c r="E2972" s="126" t="s">
        <v>1600</v>
      </c>
      <c r="F2972" s="125" t="s">
        <v>1602</v>
      </c>
      <c r="G2972" s="125" t="s">
        <v>1617</v>
      </c>
      <c r="H2972">
        <v>580</v>
      </c>
      <c r="I2972" s="125" t="s">
        <v>1546</v>
      </c>
      <c r="J2972" s="308" t="s">
        <v>214</v>
      </c>
      <c r="K2972" s="127" t="s">
        <v>4112</v>
      </c>
      <c r="L2972" s="153" t="s">
        <v>3306</v>
      </c>
      <c r="M2972">
        <v>823</v>
      </c>
      <c r="N2972" s="123">
        <v>171</v>
      </c>
      <c r="O2972">
        <v>2007</v>
      </c>
      <c r="P2972" s="132" t="s">
        <v>77</v>
      </c>
      <c r="Q2972" s="132">
        <v>40000</v>
      </c>
      <c r="R2972" s="132">
        <v>6400</v>
      </c>
      <c r="S2972" s="132"/>
      <c r="T2972" s="156">
        <v>4266.6400000000003</v>
      </c>
      <c r="U2972" s="132">
        <v>0</v>
      </c>
      <c r="V2972" s="132">
        <f t="shared" si="56"/>
        <v>42133.36</v>
      </c>
      <c r="W2972">
        <v>327</v>
      </c>
      <c r="X2972" s="153" t="s">
        <v>2035</v>
      </c>
      <c r="Y2972" s="124" t="s">
        <v>55</v>
      </c>
      <c r="Z2972" s="308">
        <v>244</v>
      </c>
      <c r="AB2972" t="str">
        <f>IF(Table1[[#This Row],[TIPO2]]="costo", VLOOKUP(Table1[[#This Row],[PARTIDA PRESUPUESTAL]],'Cost Report'!G:G,1,0),"Balance")</f>
        <v>2494-047</v>
      </c>
      <c r="AC2972" s="118"/>
      <c r="AD2972" s="159">
        <f>+Table1[[#This Row],[SUBTOTAL]]+Table1[[#This Row],[IVA]]-Table1[[#This Row],[RET IVA]]-Table1[[#This Row],[RET ISR]]-Table1[[#This Row],[TOTAL]]</f>
        <v>0</v>
      </c>
      <c r="AE2972" s="152"/>
      <c r="AF2972" s="153"/>
      <c r="AG2972" s="126"/>
      <c r="AK2972" s="306" t="str">
        <f>IF(ISNUMBER(Table1[[#This Row],[FECHA DE RECIBIDO]]), Table1[[#This Row],[FECHA DE RECIBIDO]]-DATE(2023,8,30), "")</f>
        <v/>
      </c>
    </row>
    <row r="2973" spans="1:37" ht="16.05" customHeight="1">
      <c r="A2973" s="150" t="s">
        <v>4123</v>
      </c>
      <c r="B2973" s="151">
        <v>1105</v>
      </c>
      <c r="C2973" s="126" t="s">
        <v>1507</v>
      </c>
      <c r="D2973">
        <v>2048</v>
      </c>
      <c r="E2973" s="126" t="s">
        <v>1605</v>
      </c>
      <c r="F2973" s="122" t="s">
        <v>1589</v>
      </c>
      <c r="G2973" s="122" t="s">
        <v>129</v>
      </c>
      <c r="H2973">
        <v>486</v>
      </c>
      <c r="I2973" s="122" t="s">
        <v>1546</v>
      </c>
      <c r="J2973" s="307" t="s">
        <v>214</v>
      </c>
      <c r="K2973" s="127" t="s">
        <v>4112</v>
      </c>
      <c r="L2973" s="151" t="s">
        <v>3306</v>
      </c>
      <c r="M2973">
        <v>625</v>
      </c>
      <c r="N2973" s="123">
        <v>171</v>
      </c>
      <c r="O2973">
        <v>2008</v>
      </c>
      <c r="P2973" s="132" t="s">
        <v>77</v>
      </c>
      <c r="Q2973" s="131">
        <v>56085</v>
      </c>
      <c r="R2973" s="131">
        <v>8973.6</v>
      </c>
      <c r="S2973" s="131"/>
      <c r="T2973" s="155">
        <v>5982.42</v>
      </c>
      <c r="U2973" s="131">
        <v>0</v>
      </c>
      <c r="V2973" s="131">
        <f t="shared" si="56"/>
        <v>59076.18</v>
      </c>
      <c r="W2973">
        <v>237</v>
      </c>
      <c r="X2973" s="151" t="s">
        <v>2035</v>
      </c>
      <c r="Y2973" s="135" t="s">
        <v>55</v>
      </c>
      <c r="Z2973" s="307">
        <v>244</v>
      </c>
      <c r="AB2973" t="str">
        <f>IF(Table1[[#This Row],[TIPO2]]="costo", VLOOKUP(Table1[[#This Row],[PARTIDA PRESUPUESTAL]],'Cost Report'!G:G,1,0),"Balance")</f>
        <v>2494-007</v>
      </c>
      <c r="AC2973" s="118"/>
      <c r="AD2973" s="159">
        <f>+Table1[[#This Row],[SUBTOTAL]]+Table1[[#This Row],[IVA]]-Table1[[#This Row],[RET IVA]]-Table1[[#This Row],[RET ISR]]-Table1[[#This Row],[TOTAL]]</f>
        <v>0</v>
      </c>
      <c r="AE2973" s="150"/>
      <c r="AF2973" s="151"/>
      <c r="AG2973" s="126"/>
      <c r="AK2973" s="306" t="str">
        <f>IF(ISNUMBER(Table1[[#This Row],[FECHA DE RECIBIDO]]), Table1[[#This Row],[FECHA DE RECIBIDO]]-DATE(2023,8,30), "")</f>
        <v/>
      </c>
    </row>
    <row r="2974" spans="1:37" ht="16.05" customHeight="1">
      <c r="A2974" s="152" t="s">
        <v>4124</v>
      </c>
      <c r="B2974" s="153">
        <v>1106</v>
      </c>
      <c r="C2974" s="126" t="s">
        <v>2546</v>
      </c>
      <c r="D2974">
        <v>2049</v>
      </c>
      <c r="E2974" s="126" t="s">
        <v>3811</v>
      </c>
      <c r="F2974" s="125" t="s">
        <v>1607</v>
      </c>
      <c r="G2974" s="125" t="s">
        <v>134</v>
      </c>
      <c r="H2974">
        <v>478</v>
      </c>
      <c r="I2974" s="125" t="s">
        <v>1546</v>
      </c>
      <c r="J2974" s="308" t="s">
        <v>214</v>
      </c>
      <c r="K2974" s="127" t="s">
        <v>4112</v>
      </c>
      <c r="L2974" s="153" t="s">
        <v>3306</v>
      </c>
      <c r="M2974">
        <v>699</v>
      </c>
      <c r="N2974" s="123">
        <v>51</v>
      </c>
      <c r="O2974">
        <v>2009</v>
      </c>
      <c r="P2974" s="132" t="s">
        <v>77</v>
      </c>
      <c r="Q2974" s="132">
        <v>600</v>
      </c>
      <c r="R2974" s="132">
        <v>96</v>
      </c>
      <c r="S2974" s="132"/>
      <c r="T2974" s="156">
        <v>0</v>
      </c>
      <c r="U2974" s="132">
        <v>0</v>
      </c>
      <c r="V2974" s="132">
        <f t="shared" si="56"/>
        <v>696</v>
      </c>
      <c r="W2974">
        <v>248</v>
      </c>
      <c r="X2974" s="153" t="s">
        <v>1433</v>
      </c>
      <c r="Y2974" s="124" t="s">
        <v>55</v>
      </c>
      <c r="Z2974" s="308">
        <v>244</v>
      </c>
      <c r="AB2974" t="str">
        <f>IF(Table1[[#This Row],[TIPO2]]="costo", VLOOKUP(Table1[[#This Row],[PARTIDA PRESUPUESTAL]],'Cost Report'!G:G,1,0),"Balance")</f>
        <v>2494-071</v>
      </c>
      <c r="AC2974" s="118"/>
      <c r="AD2974" s="159">
        <f>+Table1[[#This Row],[SUBTOTAL]]+Table1[[#This Row],[IVA]]-Table1[[#This Row],[RET IVA]]-Table1[[#This Row],[RET ISR]]-Table1[[#This Row],[TOTAL]]</f>
        <v>0</v>
      </c>
      <c r="AE2974" s="152"/>
      <c r="AF2974" s="153"/>
      <c r="AG2974" s="126"/>
      <c r="AK2974" s="306" t="str">
        <f>IF(ISNUMBER(Table1[[#This Row],[FECHA DE RECIBIDO]]), Table1[[#This Row],[FECHA DE RECIBIDO]]-DATE(2023,8,30), "")</f>
        <v/>
      </c>
    </row>
    <row r="2975" spans="1:37" ht="16.05" customHeight="1">
      <c r="A2975" s="150"/>
      <c r="B2975" s="151">
        <v>1107</v>
      </c>
      <c r="C2975" s="126" t="s">
        <v>1515</v>
      </c>
      <c r="D2975">
        <v>2050</v>
      </c>
      <c r="E2975" s="126" t="s">
        <v>3811</v>
      </c>
      <c r="F2975" s="122" t="s">
        <v>1607</v>
      </c>
      <c r="G2975" s="122" t="s">
        <v>134</v>
      </c>
      <c r="H2975">
        <v>478</v>
      </c>
      <c r="I2975" s="122" t="s">
        <v>1546</v>
      </c>
      <c r="J2975" s="307" t="s">
        <v>214</v>
      </c>
      <c r="K2975" s="127" t="s">
        <v>4112</v>
      </c>
      <c r="L2975" s="151" t="s">
        <v>3306</v>
      </c>
      <c r="M2975">
        <v>699</v>
      </c>
      <c r="N2975" s="123">
        <v>51</v>
      </c>
      <c r="O2975">
        <v>2010</v>
      </c>
      <c r="P2975" s="132" t="s">
        <v>77</v>
      </c>
      <c r="Q2975" s="131">
        <v>9900</v>
      </c>
      <c r="R2975" s="131">
        <v>1584</v>
      </c>
      <c r="S2975" s="131"/>
      <c r="T2975" s="155">
        <v>0</v>
      </c>
      <c r="U2975" s="131">
        <v>0</v>
      </c>
      <c r="V2975" s="131">
        <f t="shared" si="56"/>
        <v>11484</v>
      </c>
      <c r="W2975">
        <v>248</v>
      </c>
      <c r="X2975" s="151" t="s">
        <v>1433</v>
      </c>
      <c r="Y2975" s="135" t="s">
        <v>55</v>
      </c>
      <c r="Z2975" s="307">
        <v>244</v>
      </c>
      <c r="AB2975" t="str">
        <f>IF(Table1[[#This Row],[TIPO2]]="costo", VLOOKUP(Table1[[#This Row],[PARTIDA PRESUPUESTAL]],'Cost Report'!G:G,1,0),"Balance")</f>
        <v>2494-023</v>
      </c>
      <c r="AC2975" s="118"/>
      <c r="AD2975" s="159">
        <f>+Table1[[#This Row],[SUBTOTAL]]+Table1[[#This Row],[IVA]]-Table1[[#This Row],[RET IVA]]-Table1[[#This Row],[RET ISR]]-Table1[[#This Row],[TOTAL]]</f>
        <v>0</v>
      </c>
      <c r="AE2975" s="150"/>
      <c r="AF2975" s="151"/>
      <c r="AG2975" s="126"/>
      <c r="AK2975" s="306" t="str">
        <f>IF(ISNUMBER(Table1[[#This Row],[FECHA DE RECIBIDO]]), Table1[[#This Row],[FECHA DE RECIBIDO]]-DATE(2023,8,30), "")</f>
        <v/>
      </c>
    </row>
    <row r="2976" spans="1:37" ht="16.05" customHeight="1">
      <c r="A2976" s="152" t="s">
        <v>4125</v>
      </c>
      <c r="B2976" s="153">
        <v>1108</v>
      </c>
      <c r="C2976" s="126" t="s">
        <v>1515</v>
      </c>
      <c r="D2976">
        <v>2051</v>
      </c>
      <c r="E2976" s="126" t="s">
        <v>1646</v>
      </c>
      <c r="F2976" s="125" t="s">
        <v>1589</v>
      </c>
      <c r="G2976" s="125" t="s">
        <v>129</v>
      </c>
      <c r="H2976">
        <v>185</v>
      </c>
      <c r="I2976" s="125" t="s">
        <v>1546</v>
      </c>
      <c r="J2976" s="308" t="s">
        <v>214</v>
      </c>
      <c r="K2976" s="127" t="s">
        <v>4112</v>
      </c>
      <c r="L2976" s="153" t="s">
        <v>3306</v>
      </c>
      <c r="M2976">
        <v>250</v>
      </c>
      <c r="N2976" s="123">
        <v>51</v>
      </c>
      <c r="O2976">
        <v>2011</v>
      </c>
      <c r="P2976" s="132" t="s">
        <v>77</v>
      </c>
      <c r="Q2976" s="132">
        <v>2550</v>
      </c>
      <c r="R2976" s="132">
        <v>408</v>
      </c>
      <c r="S2976" s="132"/>
      <c r="T2976" s="156">
        <v>272</v>
      </c>
      <c r="U2976" s="132">
        <v>255</v>
      </c>
      <c r="V2976" s="132">
        <f t="shared" si="56"/>
        <v>2431</v>
      </c>
      <c r="W2976">
        <v>106</v>
      </c>
      <c r="X2976" s="153" t="s">
        <v>1433</v>
      </c>
      <c r="Y2976" s="124" t="s">
        <v>55</v>
      </c>
      <c r="Z2976" s="308">
        <v>244</v>
      </c>
      <c r="AB2976" t="str">
        <f>IF(Table1[[#This Row],[TIPO2]]="costo", VLOOKUP(Table1[[#This Row],[PARTIDA PRESUPUESTAL]],'Cost Report'!G:G,1,0),"Balance")</f>
        <v>2494-023</v>
      </c>
      <c r="AC2976" s="118"/>
      <c r="AD2976" s="159">
        <f>+Table1[[#This Row],[SUBTOTAL]]+Table1[[#This Row],[IVA]]-Table1[[#This Row],[RET IVA]]-Table1[[#This Row],[RET ISR]]-Table1[[#This Row],[TOTAL]]</f>
        <v>0</v>
      </c>
      <c r="AE2976" s="152"/>
      <c r="AF2976" s="153"/>
      <c r="AG2976" s="126"/>
      <c r="AK2976" s="306" t="str">
        <f>IF(ISNUMBER(Table1[[#This Row],[FECHA DE RECIBIDO]]), Table1[[#This Row],[FECHA DE RECIBIDO]]-DATE(2023,8,30), "")</f>
        <v/>
      </c>
    </row>
    <row r="2977" spans="1:37" ht="16.05" customHeight="1">
      <c r="A2977" s="150"/>
      <c r="B2977" s="151">
        <v>1109</v>
      </c>
      <c r="C2977" s="126" t="s">
        <v>3002</v>
      </c>
      <c r="D2977">
        <v>2052</v>
      </c>
      <c r="E2977" s="126" t="s">
        <v>1646</v>
      </c>
      <c r="F2977" s="122" t="s">
        <v>1589</v>
      </c>
      <c r="G2977" s="122" t="s">
        <v>129</v>
      </c>
      <c r="H2977">
        <v>185</v>
      </c>
      <c r="I2977" s="122" t="s">
        <v>1546</v>
      </c>
      <c r="J2977" s="307" t="s">
        <v>214</v>
      </c>
      <c r="K2977" s="127" t="s">
        <v>4112</v>
      </c>
      <c r="L2977" s="151" t="s">
        <v>3306</v>
      </c>
      <c r="M2977">
        <v>250</v>
      </c>
      <c r="N2977" s="123">
        <v>1</v>
      </c>
      <c r="O2977">
        <v>2012</v>
      </c>
      <c r="P2977" s="132" t="s">
        <v>77</v>
      </c>
      <c r="Q2977" s="131">
        <v>3300</v>
      </c>
      <c r="R2977" s="131">
        <v>528</v>
      </c>
      <c r="S2977" s="131"/>
      <c r="T2977" s="155">
        <v>352</v>
      </c>
      <c r="U2977" s="131">
        <v>330</v>
      </c>
      <c r="V2977" s="131">
        <f t="shared" si="56"/>
        <v>3146</v>
      </c>
      <c r="W2977">
        <v>106</v>
      </c>
      <c r="X2977" s="151" t="s">
        <v>1433</v>
      </c>
      <c r="Y2977" s="135" t="s">
        <v>55</v>
      </c>
      <c r="Z2977" s="307">
        <v>244</v>
      </c>
      <c r="AB2977" t="str">
        <f>IF(Table1[[#This Row],[TIPO2]]="costo", VLOOKUP(Table1[[#This Row],[PARTIDA PRESUPUESTAL]],'Cost Report'!G:G,1,0),"Balance")</f>
        <v>4180-003</v>
      </c>
      <c r="AC2977" s="118"/>
      <c r="AD2977" s="159">
        <f>+Table1[[#This Row],[SUBTOTAL]]+Table1[[#This Row],[IVA]]-Table1[[#This Row],[RET IVA]]-Table1[[#This Row],[RET ISR]]-Table1[[#This Row],[TOTAL]]</f>
        <v>0</v>
      </c>
      <c r="AE2977" s="150"/>
      <c r="AF2977" s="151"/>
      <c r="AG2977" s="126"/>
      <c r="AK2977" s="306" t="str">
        <f>IF(ISNUMBER(Table1[[#This Row],[FECHA DE RECIBIDO]]), Table1[[#This Row],[FECHA DE RECIBIDO]]-DATE(2023,8,30), "")</f>
        <v/>
      </c>
    </row>
    <row r="2978" spans="1:37" ht="16.05" customHeight="1">
      <c r="A2978" s="152" t="s">
        <v>4126</v>
      </c>
      <c r="B2978" s="153">
        <v>1110</v>
      </c>
      <c r="C2978" s="126" t="s">
        <v>253</v>
      </c>
      <c r="D2978">
        <v>2053</v>
      </c>
      <c r="E2978" s="126" t="s">
        <v>3354</v>
      </c>
      <c r="F2978" s="125" t="s">
        <v>1371</v>
      </c>
      <c r="G2978" s="125" t="s">
        <v>2065</v>
      </c>
      <c r="H2978">
        <v>454</v>
      </c>
      <c r="I2978" s="125" t="s">
        <v>1546</v>
      </c>
      <c r="J2978" s="308" t="s">
        <v>214</v>
      </c>
      <c r="K2978" s="127" t="s">
        <v>4112</v>
      </c>
      <c r="L2978" s="153" t="s">
        <v>3306</v>
      </c>
      <c r="M2978">
        <v>630</v>
      </c>
      <c r="N2978" s="123">
        <v>1</v>
      </c>
      <c r="O2978">
        <v>1481</v>
      </c>
      <c r="P2978" s="132" t="s">
        <v>77</v>
      </c>
      <c r="Q2978" s="132">
        <v>9980.36</v>
      </c>
      <c r="R2978" s="132">
        <v>1290.1468000000002</v>
      </c>
      <c r="S2978" s="132"/>
      <c r="T2978" s="156">
        <v>0</v>
      </c>
      <c r="U2978" s="132">
        <v>0</v>
      </c>
      <c r="V2978" s="132">
        <f t="shared" si="56"/>
        <v>11270.506800000001</v>
      </c>
      <c r="W2978">
        <v>242</v>
      </c>
      <c r="X2978" s="153" t="s">
        <v>2035</v>
      </c>
      <c r="Y2978" s="124" t="s">
        <v>55</v>
      </c>
      <c r="Z2978" s="308">
        <v>244</v>
      </c>
      <c r="AB2978" t="str">
        <f>IF(Table1[[#This Row],[TIPO2]]="costo", VLOOKUP(Table1[[#This Row],[PARTIDA PRESUPUESTAL]],'Cost Report'!G:G,1,0),"Balance")</f>
        <v>1301-004</v>
      </c>
      <c r="AC2978" s="118"/>
      <c r="AD2978" s="159">
        <f>+Table1[[#This Row],[SUBTOTAL]]+Table1[[#This Row],[IVA]]-Table1[[#This Row],[RET IVA]]-Table1[[#This Row],[RET ISR]]-Table1[[#This Row],[TOTAL]]</f>
        <v>0</v>
      </c>
      <c r="AE2978" s="152"/>
      <c r="AF2978" s="153"/>
      <c r="AG2978" s="126"/>
      <c r="AK2978" s="306" t="str">
        <f>IF(ISNUMBER(Table1[[#This Row],[FECHA DE RECIBIDO]]), Table1[[#This Row],[FECHA DE RECIBIDO]]-DATE(2023,8,30), "")</f>
        <v/>
      </c>
    </row>
    <row r="2979" spans="1:37" ht="16.05" customHeight="1">
      <c r="A2979" s="150" t="s">
        <v>4126</v>
      </c>
      <c r="B2979" s="151">
        <v>1110</v>
      </c>
      <c r="C2979" s="126" t="s">
        <v>255</v>
      </c>
      <c r="D2979">
        <v>2053</v>
      </c>
      <c r="E2979" s="126" t="s">
        <v>3354</v>
      </c>
      <c r="F2979" s="122" t="s">
        <v>1371</v>
      </c>
      <c r="G2979" s="122" t="s">
        <v>2065</v>
      </c>
      <c r="H2979">
        <v>454</v>
      </c>
      <c r="I2979" s="122" t="s">
        <v>1546</v>
      </c>
      <c r="J2979" s="307" t="s">
        <v>214</v>
      </c>
      <c r="K2979" s="127" t="s">
        <v>4112</v>
      </c>
      <c r="L2979" s="151" t="s">
        <v>3306</v>
      </c>
      <c r="M2979">
        <v>630</v>
      </c>
      <c r="N2979" s="123">
        <v>1</v>
      </c>
      <c r="O2979">
        <v>1481</v>
      </c>
      <c r="P2979" s="132" t="s">
        <v>77</v>
      </c>
      <c r="Q2979" s="131">
        <v>6255</v>
      </c>
      <c r="R2979" s="131">
        <v>805.85</v>
      </c>
      <c r="S2979" s="131"/>
      <c r="T2979" s="155">
        <v>0</v>
      </c>
      <c r="U2979" s="131">
        <v>0</v>
      </c>
      <c r="V2979" s="131">
        <f t="shared" si="56"/>
        <v>7060.85</v>
      </c>
      <c r="W2979">
        <v>242</v>
      </c>
      <c r="X2979" s="151" t="s">
        <v>2035</v>
      </c>
      <c r="Y2979" s="135" t="s">
        <v>55</v>
      </c>
      <c r="Z2979" s="307">
        <v>244</v>
      </c>
      <c r="AB2979" t="str">
        <f>IF(Table1[[#This Row],[TIPO2]]="costo", VLOOKUP(Table1[[#This Row],[PARTIDA PRESUPUESTAL]],'Cost Report'!G:G,1,0),"Balance")</f>
        <v>1301-006</v>
      </c>
      <c r="AC2979" s="118"/>
      <c r="AD2979" s="159">
        <f>+Table1[[#This Row],[SUBTOTAL]]+Table1[[#This Row],[IVA]]-Table1[[#This Row],[RET IVA]]-Table1[[#This Row],[RET ISR]]-Table1[[#This Row],[TOTAL]]</f>
        <v>0</v>
      </c>
      <c r="AE2979" s="150"/>
      <c r="AF2979" s="151"/>
      <c r="AG2979" s="126"/>
      <c r="AK2979" s="306" t="str">
        <f>IF(ISNUMBER(Table1[[#This Row],[FECHA DE RECIBIDO]]), Table1[[#This Row],[FECHA DE RECIBIDO]]-DATE(2023,8,30), "")</f>
        <v/>
      </c>
    </row>
    <row r="2980" spans="1:37" ht="16.05" customHeight="1">
      <c r="A2980" s="152" t="s">
        <v>4126</v>
      </c>
      <c r="B2980" s="153">
        <v>1110</v>
      </c>
      <c r="C2980" s="126" t="s">
        <v>256</v>
      </c>
      <c r="D2980">
        <v>2053</v>
      </c>
      <c r="E2980" s="126" t="s">
        <v>3354</v>
      </c>
      <c r="F2980" s="125" t="s">
        <v>1371</v>
      </c>
      <c r="G2980" s="125" t="s">
        <v>2065</v>
      </c>
      <c r="H2980">
        <v>454</v>
      </c>
      <c r="I2980" s="125" t="s">
        <v>1546</v>
      </c>
      <c r="J2980" s="308" t="s">
        <v>214</v>
      </c>
      <c r="K2980" s="127" t="s">
        <v>4112</v>
      </c>
      <c r="L2980" s="153" t="s">
        <v>3306</v>
      </c>
      <c r="M2980">
        <v>630</v>
      </c>
      <c r="N2980" s="123">
        <v>1</v>
      </c>
      <c r="O2980">
        <v>1481</v>
      </c>
      <c r="P2980" s="132" t="s">
        <v>77</v>
      </c>
      <c r="Q2980" s="132">
        <v>666.68</v>
      </c>
      <c r="R2980" s="132">
        <v>79.368399999999994</v>
      </c>
      <c r="S2980" s="132"/>
      <c r="T2980" s="156">
        <v>0</v>
      </c>
      <c r="U2980" s="132">
        <v>0</v>
      </c>
      <c r="V2980" s="132">
        <f t="shared" si="56"/>
        <v>746.0483999999999</v>
      </c>
      <c r="W2980">
        <v>242</v>
      </c>
      <c r="X2980" s="153" t="s">
        <v>2035</v>
      </c>
      <c r="Y2980" s="124" t="s">
        <v>55</v>
      </c>
      <c r="Z2980" s="308">
        <v>244</v>
      </c>
      <c r="AB2980" t="str">
        <f>IF(Table1[[#This Row],[TIPO2]]="costo", VLOOKUP(Table1[[#This Row],[PARTIDA PRESUPUESTAL]],'Cost Report'!G:G,1,0),"Balance")</f>
        <v>1301-007</v>
      </c>
      <c r="AC2980" s="118"/>
      <c r="AD2980" s="159">
        <f>+Table1[[#This Row],[SUBTOTAL]]+Table1[[#This Row],[IVA]]-Table1[[#This Row],[RET IVA]]-Table1[[#This Row],[RET ISR]]-Table1[[#This Row],[TOTAL]]</f>
        <v>0</v>
      </c>
      <c r="AE2980" s="152"/>
      <c r="AF2980" s="153"/>
      <c r="AG2980" s="126"/>
      <c r="AK2980" s="306" t="str">
        <f>IF(ISNUMBER(Table1[[#This Row],[FECHA DE RECIBIDO]]), Table1[[#This Row],[FECHA DE RECIBIDO]]-DATE(2023,8,30), "")</f>
        <v/>
      </c>
    </row>
    <row r="2981" spans="1:37" ht="16.05" customHeight="1">
      <c r="A2981" s="150" t="s">
        <v>4126</v>
      </c>
      <c r="B2981" s="151">
        <v>1110</v>
      </c>
      <c r="C2981" s="126" t="s">
        <v>259</v>
      </c>
      <c r="D2981">
        <v>2053</v>
      </c>
      <c r="E2981" s="126" t="s">
        <v>3354</v>
      </c>
      <c r="F2981" s="122" t="s">
        <v>1371</v>
      </c>
      <c r="G2981" s="122" t="s">
        <v>2065</v>
      </c>
      <c r="H2981">
        <v>454</v>
      </c>
      <c r="I2981" s="122" t="s">
        <v>1546</v>
      </c>
      <c r="J2981" s="307" t="s">
        <v>214</v>
      </c>
      <c r="K2981" s="127" t="s">
        <v>4112</v>
      </c>
      <c r="L2981" s="151" t="s">
        <v>3306</v>
      </c>
      <c r="M2981">
        <v>630</v>
      </c>
      <c r="N2981" s="123">
        <v>1</v>
      </c>
      <c r="O2981">
        <v>1481</v>
      </c>
      <c r="P2981" s="132" t="s">
        <v>77</v>
      </c>
      <c r="Q2981" s="131">
        <v>12475.45</v>
      </c>
      <c r="R2981" s="131">
        <v>1614.5085000000001</v>
      </c>
      <c r="S2981" s="131"/>
      <c r="T2981" s="155">
        <v>0</v>
      </c>
      <c r="U2981" s="131">
        <v>0</v>
      </c>
      <c r="V2981" s="131">
        <f t="shared" si="56"/>
        <v>14089.958500000001</v>
      </c>
      <c r="W2981">
        <v>242</v>
      </c>
      <c r="X2981" s="151" t="s">
        <v>2035</v>
      </c>
      <c r="Y2981" s="135" t="s">
        <v>55</v>
      </c>
      <c r="Z2981" s="307">
        <v>244</v>
      </c>
      <c r="AB2981" t="str">
        <f>IF(Table1[[#This Row],[TIPO2]]="costo", VLOOKUP(Table1[[#This Row],[PARTIDA PRESUPUESTAL]],'Cost Report'!G:G,1,0),"Balance")</f>
        <v>1301-012</v>
      </c>
      <c r="AC2981" s="118"/>
      <c r="AD2981" s="159">
        <f>+Table1[[#This Row],[SUBTOTAL]]+Table1[[#This Row],[IVA]]-Table1[[#This Row],[RET IVA]]-Table1[[#This Row],[RET ISR]]-Table1[[#This Row],[TOTAL]]</f>
        <v>0</v>
      </c>
      <c r="AE2981" s="150"/>
      <c r="AF2981" s="151"/>
      <c r="AG2981" s="126"/>
      <c r="AK2981" s="306" t="str">
        <f>IF(ISNUMBER(Table1[[#This Row],[FECHA DE RECIBIDO]]), Table1[[#This Row],[FECHA DE RECIBIDO]]-DATE(2023,8,30), "")</f>
        <v/>
      </c>
    </row>
    <row r="2982" spans="1:37" ht="16.05" customHeight="1">
      <c r="A2982" s="152" t="s">
        <v>4126</v>
      </c>
      <c r="B2982" s="153">
        <v>1110</v>
      </c>
      <c r="C2982" s="126" t="s">
        <v>260</v>
      </c>
      <c r="D2982">
        <v>2053</v>
      </c>
      <c r="E2982" s="126" t="s">
        <v>3354</v>
      </c>
      <c r="F2982" s="125" t="s">
        <v>1371</v>
      </c>
      <c r="G2982" s="125" t="s">
        <v>2065</v>
      </c>
      <c r="H2982">
        <v>454</v>
      </c>
      <c r="I2982" s="125" t="s">
        <v>1546</v>
      </c>
      <c r="J2982" s="308" t="s">
        <v>214</v>
      </c>
      <c r="K2982" s="127" t="s">
        <v>4112</v>
      </c>
      <c r="L2982" s="153" t="s">
        <v>3306</v>
      </c>
      <c r="M2982">
        <v>630</v>
      </c>
      <c r="N2982" s="123">
        <v>1</v>
      </c>
      <c r="O2982">
        <v>1481</v>
      </c>
      <c r="P2982" s="132" t="s">
        <v>77</v>
      </c>
      <c r="Q2982" s="132">
        <v>2495.09</v>
      </c>
      <c r="R2982" s="132">
        <v>317.06170000000003</v>
      </c>
      <c r="S2982" s="132"/>
      <c r="T2982" s="156">
        <v>0</v>
      </c>
      <c r="U2982" s="132">
        <v>0</v>
      </c>
      <c r="V2982" s="132">
        <f t="shared" si="56"/>
        <v>2812.1517000000003</v>
      </c>
      <c r="W2982">
        <v>242</v>
      </c>
      <c r="X2982" s="153" t="s">
        <v>2035</v>
      </c>
      <c r="Y2982" s="124" t="s">
        <v>55</v>
      </c>
      <c r="Z2982" s="308">
        <v>244</v>
      </c>
      <c r="AB2982" t="str">
        <f>IF(Table1[[#This Row],[TIPO2]]="costo", VLOOKUP(Table1[[#This Row],[PARTIDA PRESUPUESTAL]],'Cost Report'!G:G,1,0),"Balance")</f>
        <v>1301-013</v>
      </c>
      <c r="AC2982" s="118"/>
      <c r="AD2982" s="159">
        <f>+Table1[[#This Row],[SUBTOTAL]]+Table1[[#This Row],[IVA]]-Table1[[#This Row],[RET IVA]]-Table1[[#This Row],[RET ISR]]-Table1[[#This Row],[TOTAL]]</f>
        <v>0</v>
      </c>
      <c r="AE2982" s="152"/>
      <c r="AF2982" s="153"/>
      <c r="AG2982" s="126"/>
      <c r="AK2982" s="306" t="str">
        <f>IF(ISNUMBER(Table1[[#This Row],[FECHA DE RECIBIDO]]), Table1[[#This Row],[FECHA DE RECIBIDO]]-DATE(2023,8,30), "")</f>
        <v/>
      </c>
    </row>
    <row r="2983" spans="1:37" ht="16.05" customHeight="1">
      <c r="A2983" s="150" t="s">
        <v>4126</v>
      </c>
      <c r="B2983" s="151">
        <v>1110</v>
      </c>
      <c r="C2983" s="126" t="s">
        <v>261</v>
      </c>
      <c r="D2983">
        <v>2053</v>
      </c>
      <c r="E2983" s="126" t="s">
        <v>3354</v>
      </c>
      <c r="F2983" s="122" t="s">
        <v>1371</v>
      </c>
      <c r="G2983" s="122" t="s">
        <v>2065</v>
      </c>
      <c r="H2983">
        <v>454</v>
      </c>
      <c r="I2983" s="122" t="s">
        <v>1546</v>
      </c>
      <c r="J2983" s="307" t="s">
        <v>214</v>
      </c>
      <c r="K2983" s="127" t="s">
        <v>4112</v>
      </c>
      <c r="L2983" s="151" t="s">
        <v>3306</v>
      </c>
      <c r="M2983">
        <v>630</v>
      </c>
      <c r="N2983" s="123">
        <v>1</v>
      </c>
      <c r="O2983">
        <v>1481</v>
      </c>
      <c r="P2983" s="132" t="s">
        <v>77</v>
      </c>
      <c r="Q2983" s="131">
        <v>11676</v>
      </c>
      <c r="R2983" s="131">
        <v>1510.5800000000002</v>
      </c>
      <c r="S2983" s="131"/>
      <c r="T2983" s="155">
        <v>0</v>
      </c>
      <c r="U2983" s="131">
        <v>0</v>
      </c>
      <c r="V2983" s="131">
        <f t="shared" si="56"/>
        <v>13186.58</v>
      </c>
      <c r="W2983">
        <v>242</v>
      </c>
      <c r="X2983" s="151" t="s">
        <v>2035</v>
      </c>
      <c r="Y2983" s="135" t="s">
        <v>55</v>
      </c>
      <c r="Z2983" s="307">
        <v>244</v>
      </c>
      <c r="AB2983" t="str">
        <f>IF(Table1[[#This Row],[TIPO2]]="costo", VLOOKUP(Table1[[#This Row],[PARTIDA PRESUPUESTAL]],'Cost Report'!G:G,1,0),"Balance")</f>
        <v>1301-014</v>
      </c>
      <c r="AC2983" s="118"/>
      <c r="AD2983" s="159">
        <f>+Table1[[#This Row],[SUBTOTAL]]+Table1[[#This Row],[IVA]]-Table1[[#This Row],[RET IVA]]-Table1[[#This Row],[RET ISR]]-Table1[[#This Row],[TOTAL]]</f>
        <v>0</v>
      </c>
      <c r="AE2983" s="150"/>
      <c r="AF2983" s="151"/>
      <c r="AG2983" s="126"/>
      <c r="AK2983" s="306" t="str">
        <f>IF(ISNUMBER(Table1[[#This Row],[FECHA DE RECIBIDO]]), Table1[[#This Row],[FECHA DE RECIBIDO]]-DATE(2023,8,30), "")</f>
        <v/>
      </c>
    </row>
    <row r="2984" spans="1:37" ht="16.05" customHeight="1">
      <c r="A2984" s="152" t="s">
        <v>4126</v>
      </c>
      <c r="B2984" s="153">
        <v>1110</v>
      </c>
      <c r="C2984" s="126" t="s">
        <v>262</v>
      </c>
      <c r="D2984">
        <v>2053</v>
      </c>
      <c r="E2984" s="126" t="s">
        <v>3354</v>
      </c>
      <c r="F2984" s="125" t="s">
        <v>1371</v>
      </c>
      <c r="G2984" s="125" t="s">
        <v>2065</v>
      </c>
      <c r="H2984">
        <v>454</v>
      </c>
      <c r="I2984" s="125" t="s">
        <v>1546</v>
      </c>
      <c r="J2984" s="308" t="s">
        <v>214</v>
      </c>
      <c r="K2984" s="127" t="s">
        <v>4112</v>
      </c>
      <c r="L2984" s="153" t="s">
        <v>3306</v>
      </c>
      <c r="M2984">
        <v>630</v>
      </c>
      <c r="N2984" s="123">
        <v>1</v>
      </c>
      <c r="O2984">
        <v>1481</v>
      </c>
      <c r="P2984" s="132" t="s">
        <v>77</v>
      </c>
      <c r="Q2984" s="132">
        <v>2000.04</v>
      </c>
      <c r="R2984" s="132">
        <v>252.70519999999999</v>
      </c>
      <c r="S2984" s="132"/>
      <c r="T2984" s="156">
        <v>0</v>
      </c>
      <c r="U2984" s="132">
        <v>0</v>
      </c>
      <c r="V2984" s="132">
        <f t="shared" si="56"/>
        <v>2252.7451999999998</v>
      </c>
      <c r="W2984">
        <v>242</v>
      </c>
      <c r="X2984" s="153" t="s">
        <v>2035</v>
      </c>
      <c r="Y2984" s="124" t="s">
        <v>55</v>
      </c>
      <c r="Z2984" s="308">
        <v>244</v>
      </c>
      <c r="AB2984" t="str">
        <f>IF(Table1[[#This Row],[TIPO2]]="costo", VLOOKUP(Table1[[#This Row],[PARTIDA PRESUPUESTAL]],'Cost Report'!G:G,1,0),"Balance")</f>
        <v>1301-015</v>
      </c>
      <c r="AC2984" s="118"/>
      <c r="AD2984" s="159">
        <f>+Table1[[#This Row],[SUBTOTAL]]+Table1[[#This Row],[IVA]]-Table1[[#This Row],[RET IVA]]-Table1[[#This Row],[RET ISR]]-Table1[[#This Row],[TOTAL]]</f>
        <v>0</v>
      </c>
      <c r="AE2984" s="152"/>
      <c r="AF2984" s="153"/>
      <c r="AG2984" s="126"/>
      <c r="AK2984" s="306" t="str">
        <f>IF(ISNUMBER(Table1[[#This Row],[FECHA DE RECIBIDO]]), Table1[[#This Row],[FECHA DE RECIBIDO]]-DATE(2023,8,30), "")</f>
        <v/>
      </c>
    </row>
    <row r="2985" spans="1:37" ht="16.05" customHeight="1">
      <c r="A2985" s="150" t="s">
        <v>4126</v>
      </c>
      <c r="B2985" s="151">
        <v>1110</v>
      </c>
      <c r="C2985" s="126" t="s">
        <v>273</v>
      </c>
      <c r="D2985">
        <v>2053</v>
      </c>
      <c r="E2985" s="126" t="s">
        <v>3354</v>
      </c>
      <c r="F2985" s="122" t="s">
        <v>1371</v>
      </c>
      <c r="G2985" s="122" t="s">
        <v>2065</v>
      </c>
      <c r="H2985">
        <v>454</v>
      </c>
      <c r="I2985" s="122" t="s">
        <v>1546</v>
      </c>
      <c r="J2985" s="307" t="s">
        <v>214</v>
      </c>
      <c r="K2985" s="127" t="s">
        <v>4112</v>
      </c>
      <c r="L2985" s="151" t="s">
        <v>3306</v>
      </c>
      <c r="M2985">
        <v>630</v>
      </c>
      <c r="N2985" s="123">
        <v>1</v>
      </c>
      <c r="O2985">
        <v>1481</v>
      </c>
      <c r="P2985" s="132" t="s">
        <v>77</v>
      </c>
      <c r="Q2985" s="131">
        <v>2495.09</v>
      </c>
      <c r="R2985" s="131">
        <v>317.06170000000003</v>
      </c>
      <c r="S2985" s="131"/>
      <c r="T2985" s="155">
        <v>0</v>
      </c>
      <c r="U2985" s="131">
        <v>0</v>
      </c>
      <c r="V2985" s="131">
        <f t="shared" si="56"/>
        <v>2812.1517000000003</v>
      </c>
      <c r="W2985">
        <v>242</v>
      </c>
      <c r="X2985" s="151" t="s">
        <v>2035</v>
      </c>
      <c r="Y2985" s="135" t="s">
        <v>55</v>
      </c>
      <c r="Z2985" s="307">
        <v>244</v>
      </c>
      <c r="AB2985" t="str">
        <f>IF(Table1[[#This Row],[TIPO2]]="costo", VLOOKUP(Table1[[#This Row],[PARTIDA PRESUPUESTAL]],'Cost Report'!G:G,1,0),"Balance")</f>
        <v>1302-005</v>
      </c>
      <c r="AC2985" s="118"/>
      <c r="AD2985" s="159">
        <f>+Table1[[#This Row],[SUBTOTAL]]+Table1[[#This Row],[IVA]]-Table1[[#This Row],[RET IVA]]-Table1[[#This Row],[RET ISR]]-Table1[[#This Row],[TOTAL]]</f>
        <v>0</v>
      </c>
      <c r="AE2985" s="150"/>
      <c r="AF2985" s="151"/>
      <c r="AG2985" s="126"/>
      <c r="AK2985" s="306" t="str">
        <f>IF(ISNUMBER(Table1[[#This Row],[FECHA DE RECIBIDO]]), Table1[[#This Row],[FECHA DE RECIBIDO]]-DATE(2023,8,30), "")</f>
        <v/>
      </c>
    </row>
    <row r="2986" spans="1:37" ht="16.05" customHeight="1">
      <c r="A2986" s="152" t="s">
        <v>4126</v>
      </c>
      <c r="B2986" s="153">
        <v>1110</v>
      </c>
      <c r="C2986" s="126" t="s">
        <v>274</v>
      </c>
      <c r="D2986">
        <v>2053</v>
      </c>
      <c r="E2986" s="126" t="s">
        <v>3354</v>
      </c>
      <c r="F2986" s="125" t="s">
        <v>1371</v>
      </c>
      <c r="G2986" s="125" t="s">
        <v>2065</v>
      </c>
      <c r="H2986">
        <v>454</v>
      </c>
      <c r="I2986" s="125" t="s">
        <v>1546</v>
      </c>
      <c r="J2986" s="308" t="s">
        <v>214</v>
      </c>
      <c r="K2986" s="127" t="s">
        <v>4112</v>
      </c>
      <c r="L2986" s="153" t="s">
        <v>3306</v>
      </c>
      <c r="M2986">
        <v>630</v>
      </c>
      <c r="N2986" s="123">
        <v>1</v>
      </c>
      <c r="O2986">
        <v>1481</v>
      </c>
      <c r="P2986" s="132" t="s">
        <v>77</v>
      </c>
      <c r="Q2986" s="132">
        <v>3680.34</v>
      </c>
      <c r="R2986" s="132">
        <v>471.14420000000001</v>
      </c>
      <c r="S2986" s="132"/>
      <c r="T2986" s="156">
        <v>0</v>
      </c>
      <c r="U2986" s="132">
        <v>0</v>
      </c>
      <c r="V2986" s="132">
        <f t="shared" si="56"/>
        <v>4151.4841999999999</v>
      </c>
      <c r="W2986">
        <v>242</v>
      </c>
      <c r="X2986" s="153" t="s">
        <v>2035</v>
      </c>
      <c r="Y2986" s="124" t="s">
        <v>55</v>
      </c>
      <c r="Z2986" s="308">
        <v>244</v>
      </c>
      <c r="AB2986" t="str">
        <f>IF(Table1[[#This Row],[TIPO2]]="costo", VLOOKUP(Table1[[#This Row],[PARTIDA PRESUPUESTAL]],'Cost Report'!G:G,1,0),"Balance")</f>
        <v>1302-006</v>
      </c>
      <c r="AC2986" s="118"/>
      <c r="AD2986" s="159">
        <f>+Table1[[#This Row],[SUBTOTAL]]+Table1[[#This Row],[IVA]]-Table1[[#This Row],[RET IVA]]-Table1[[#This Row],[RET ISR]]-Table1[[#This Row],[TOTAL]]</f>
        <v>0</v>
      </c>
      <c r="AE2986" s="152"/>
      <c r="AF2986" s="153"/>
      <c r="AG2986" s="126"/>
      <c r="AK2986" s="306" t="str">
        <f>IF(ISNUMBER(Table1[[#This Row],[FECHA DE RECIBIDO]]), Table1[[#This Row],[FECHA DE RECIBIDO]]-DATE(2023,8,30), "")</f>
        <v/>
      </c>
    </row>
    <row r="2987" spans="1:37" ht="16.05" customHeight="1">
      <c r="A2987" s="150" t="s">
        <v>4126</v>
      </c>
      <c r="B2987" s="151">
        <v>1110</v>
      </c>
      <c r="C2987" s="126" t="s">
        <v>2161</v>
      </c>
      <c r="D2987">
        <v>2053</v>
      </c>
      <c r="E2987" s="126" t="s">
        <v>3354</v>
      </c>
      <c r="F2987" s="122" t="s">
        <v>1371</v>
      </c>
      <c r="G2987" s="122" t="s">
        <v>2065</v>
      </c>
      <c r="H2987">
        <v>454</v>
      </c>
      <c r="I2987" s="122" t="s">
        <v>1546</v>
      </c>
      <c r="J2987" s="307" t="s">
        <v>214</v>
      </c>
      <c r="K2987" s="127" t="s">
        <v>4112</v>
      </c>
      <c r="L2987" s="151" t="s">
        <v>3306</v>
      </c>
      <c r="M2987">
        <v>630</v>
      </c>
      <c r="N2987" s="123">
        <v>1</v>
      </c>
      <c r="O2987">
        <v>1481</v>
      </c>
      <c r="P2987" s="132" t="s">
        <v>77</v>
      </c>
      <c r="Q2987" s="131">
        <v>333.34</v>
      </c>
      <c r="R2987" s="131">
        <v>36.034199999999998</v>
      </c>
      <c r="S2987" s="131"/>
      <c r="T2987" s="155">
        <v>0</v>
      </c>
      <c r="U2987" s="131">
        <v>0</v>
      </c>
      <c r="V2987" s="131">
        <f t="shared" si="56"/>
        <v>369.37419999999997</v>
      </c>
      <c r="W2987">
        <v>242</v>
      </c>
      <c r="X2987" s="151" t="s">
        <v>2035</v>
      </c>
      <c r="Y2987" s="135" t="s">
        <v>55</v>
      </c>
      <c r="Z2987" s="307">
        <v>244</v>
      </c>
      <c r="AB2987" t="str">
        <f>IF(Table1[[#This Row],[TIPO2]]="costo", VLOOKUP(Table1[[#This Row],[PARTIDA PRESUPUESTAL]],'Cost Report'!G:G,1,0),"Balance")</f>
        <v>1302-008</v>
      </c>
      <c r="AC2987" s="118"/>
      <c r="AD2987" s="159">
        <f>+Table1[[#This Row],[SUBTOTAL]]+Table1[[#This Row],[IVA]]-Table1[[#This Row],[RET IVA]]-Table1[[#This Row],[RET ISR]]-Table1[[#This Row],[TOTAL]]</f>
        <v>0</v>
      </c>
      <c r="AE2987" s="150"/>
      <c r="AF2987" s="151"/>
      <c r="AG2987" s="126"/>
      <c r="AK2987" s="306" t="str">
        <f>IF(ISNUMBER(Table1[[#This Row],[FECHA DE RECIBIDO]]), Table1[[#This Row],[FECHA DE RECIBIDO]]-DATE(2023,8,30), "")</f>
        <v/>
      </c>
    </row>
    <row r="2988" spans="1:37" ht="16.05" customHeight="1">
      <c r="A2988" s="152"/>
      <c r="B2988" s="153">
        <v>1111</v>
      </c>
      <c r="C2988" s="126" t="s">
        <v>279</v>
      </c>
      <c r="D2988">
        <v>2054</v>
      </c>
      <c r="E2988" s="126" t="s">
        <v>3354</v>
      </c>
      <c r="F2988" s="125" t="s">
        <v>1371</v>
      </c>
      <c r="G2988" s="125" t="s">
        <v>2065</v>
      </c>
      <c r="H2988">
        <v>454</v>
      </c>
      <c r="I2988" s="125" t="s">
        <v>1546</v>
      </c>
      <c r="J2988" s="308" t="s">
        <v>214</v>
      </c>
      <c r="K2988" s="127" t="s">
        <v>4112</v>
      </c>
      <c r="L2988" s="153" t="s">
        <v>3306</v>
      </c>
      <c r="M2988">
        <v>630</v>
      </c>
      <c r="N2988" s="123">
        <v>1</v>
      </c>
      <c r="O2988">
        <v>1480</v>
      </c>
      <c r="P2988" s="132" t="s">
        <v>77</v>
      </c>
      <c r="Q2988" s="132">
        <v>22082.04</v>
      </c>
      <c r="R2988" s="132">
        <v>2863.3652000000002</v>
      </c>
      <c r="S2988" s="132"/>
      <c r="T2988" s="156">
        <v>0</v>
      </c>
      <c r="U2988" s="132">
        <v>0</v>
      </c>
      <c r="V2988" s="132">
        <f t="shared" si="56"/>
        <v>24945.405200000001</v>
      </c>
      <c r="W2988">
        <v>242</v>
      </c>
      <c r="X2988" s="153" t="s">
        <v>2035</v>
      </c>
      <c r="Y2988" s="124" t="s">
        <v>55</v>
      </c>
      <c r="Z2988" s="308">
        <v>244</v>
      </c>
      <c r="AB2988" t="str">
        <f>IF(Table1[[#This Row],[TIPO2]]="costo", VLOOKUP(Table1[[#This Row],[PARTIDA PRESUPUESTAL]],'Cost Report'!G:G,1,0),"Balance")</f>
        <v>1401-003</v>
      </c>
      <c r="AC2988" s="118"/>
      <c r="AD2988" s="159">
        <f>+Table1[[#This Row],[SUBTOTAL]]+Table1[[#This Row],[IVA]]-Table1[[#This Row],[RET IVA]]-Table1[[#This Row],[RET ISR]]-Table1[[#This Row],[TOTAL]]</f>
        <v>0</v>
      </c>
      <c r="AE2988" s="152"/>
      <c r="AF2988" s="153"/>
      <c r="AG2988" s="126"/>
      <c r="AK2988" s="306" t="str">
        <f>IF(ISNUMBER(Table1[[#This Row],[FECHA DE RECIBIDO]]), Table1[[#This Row],[FECHA DE RECIBIDO]]-DATE(2023,8,30), "")</f>
        <v/>
      </c>
    </row>
    <row r="2989" spans="1:37" ht="16.05" customHeight="1">
      <c r="A2989" s="150"/>
      <c r="B2989" s="151">
        <v>1111</v>
      </c>
      <c r="C2989" s="126" t="s">
        <v>282</v>
      </c>
      <c r="D2989">
        <v>2054</v>
      </c>
      <c r="E2989" s="126" t="s">
        <v>3354</v>
      </c>
      <c r="F2989" s="122" t="s">
        <v>1371</v>
      </c>
      <c r="G2989" s="122" t="s">
        <v>2065</v>
      </c>
      <c r="H2989">
        <v>454</v>
      </c>
      <c r="I2989" s="122" t="s">
        <v>1546</v>
      </c>
      <c r="J2989" s="307" t="s">
        <v>214</v>
      </c>
      <c r="K2989" s="127" t="s">
        <v>4112</v>
      </c>
      <c r="L2989" s="151" t="s">
        <v>3306</v>
      </c>
      <c r="M2989">
        <v>630</v>
      </c>
      <c r="N2989" s="123">
        <v>1</v>
      </c>
      <c r="O2989">
        <v>1480</v>
      </c>
      <c r="P2989" s="132" t="s">
        <v>77</v>
      </c>
      <c r="Q2989" s="131">
        <v>3680.34</v>
      </c>
      <c r="R2989" s="131">
        <v>471.14420000000001</v>
      </c>
      <c r="S2989" s="131"/>
      <c r="T2989" s="155">
        <v>0</v>
      </c>
      <c r="U2989" s="131">
        <v>0</v>
      </c>
      <c r="V2989" s="131">
        <f t="shared" si="56"/>
        <v>4151.4841999999999</v>
      </c>
      <c r="W2989">
        <v>242</v>
      </c>
      <c r="X2989" s="151" t="s">
        <v>2035</v>
      </c>
      <c r="Y2989" s="135" t="s">
        <v>55</v>
      </c>
      <c r="Z2989" s="307">
        <v>244</v>
      </c>
      <c r="AB2989" t="str">
        <f>IF(Table1[[#This Row],[TIPO2]]="costo", VLOOKUP(Table1[[#This Row],[PARTIDA PRESUPUESTAL]],'Cost Report'!G:G,1,0),"Balance")</f>
        <v>1401-006</v>
      </c>
      <c r="AC2989" s="118"/>
      <c r="AD2989" s="159">
        <f>+Table1[[#This Row],[SUBTOTAL]]+Table1[[#This Row],[IVA]]-Table1[[#This Row],[RET IVA]]-Table1[[#This Row],[RET ISR]]-Table1[[#This Row],[TOTAL]]</f>
        <v>0</v>
      </c>
      <c r="AE2989" s="150"/>
      <c r="AF2989" s="151"/>
      <c r="AG2989" s="126"/>
      <c r="AK2989" s="306" t="str">
        <f>IF(ISNUMBER(Table1[[#This Row],[FECHA DE RECIBIDO]]), Table1[[#This Row],[FECHA DE RECIBIDO]]-DATE(2023,8,30), "")</f>
        <v/>
      </c>
    </row>
    <row r="2990" spans="1:37" ht="16.05" customHeight="1">
      <c r="A2990" s="152"/>
      <c r="B2990" s="153">
        <v>1111</v>
      </c>
      <c r="C2990" s="126" t="s">
        <v>283</v>
      </c>
      <c r="D2990">
        <v>2054</v>
      </c>
      <c r="E2990" s="126" t="s">
        <v>3354</v>
      </c>
      <c r="F2990" s="125" t="s">
        <v>1371</v>
      </c>
      <c r="G2990" s="125" t="s">
        <v>2065</v>
      </c>
      <c r="H2990">
        <v>454</v>
      </c>
      <c r="I2990" s="125" t="s">
        <v>1546</v>
      </c>
      <c r="J2990" s="308" t="s">
        <v>214</v>
      </c>
      <c r="K2990" s="127" t="s">
        <v>4112</v>
      </c>
      <c r="L2990" s="153" t="s">
        <v>3306</v>
      </c>
      <c r="M2990">
        <v>630</v>
      </c>
      <c r="N2990" s="123">
        <v>1</v>
      </c>
      <c r="O2990">
        <v>1480</v>
      </c>
      <c r="P2990" s="132" t="s">
        <v>77</v>
      </c>
      <c r="Q2990" s="132">
        <v>6564.16</v>
      </c>
      <c r="R2990" s="132">
        <v>846.0408000000001</v>
      </c>
      <c r="S2990" s="132"/>
      <c r="T2990" s="156">
        <v>0</v>
      </c>
      <c r="U2990" s="132">
        <v>0</v>
      </c>
      <c r="V2990" s="132">
        <f t="shared" si="56"/>
        <v>7410.2007999999996</v>
      </c>
      <c r="W2990">
        <v>242</v>
      </c>
      <c r="X2990" s="153" t="s">
        <v>2035</v>
      </c>
      <c r="Y2990" s="124" t="s">
        <v>55</v>
      </c>
      <c r="Z2990" s="308">
        <v>244</v>
      </c>
      <c r="AB2990" t="str">
        <f>IF(Table1[[#This Row],[TIPO2]]="costo", VLOOKUP(Table1[[#This Row],[PARTIDA PRESUPUESTAL]],'Cost Report'!G:G,1,0),"Balance")</f>
        <v>1401-007</v>
      </c>
      <c r="AC2990" s="118"/>
      <c r="AD2990" s="159">
        <f>+Table1[[#This Row],[SUBTOTAL]]+Table1[[#This Row],[IVA]]-Table1[[#This Row],[RET IVA]]-Table1[[#This Row],[RET ISR]]-Table1[[#This Row],[TOTAL]]</f>
        <v>0</v>
      </c>
      <c r="AE2990" s="152"/>
      <c r="AF2990" s="153"/>
      <c r="AG2990" s="126"/>
      <c r="AK2990" s="306" t="str">
        <f>IF(ISNUMBER(Table1[[#This Row],[FECHA DE RECIBIDO]]), Table1[[#This Row],[FECHA DE RECIBIDO]]-DATE(2023,8,30), "")</f>
        <v/>
      </c>
    </row>
    <row r="2991" spans="1:37" ht="16.05" customHeight="1">
      <c r="A2991" s="150"/>
      <c r="B2991" s="151">
        <v>1111</v>
      </c>
      <c r="C2991" s="126" t="s">
        <v>286</v>
      </c>
      <c r="D2991">
        <v>2054</v>
      </c>
      <c r="E2991" s="126" t="s">
        <v>3354</v>
      </c>
      <c r="F2991" s="122" t="s">
        <v>1371</v>
      </c>
      <c r="G2991" s="122" t="s">
        <v>2065</v>
      </c>
      <c r="H2991">
        <v>454</v>
      </c>
      <c r="I2991" s="122" t="s">
        <v>1546</v>
      </c>
      <c r="J2991" s="307" t="s">
        <v>214</v>
      </c>
      <c r="K2991" s="127" t="s">
        <v>4112</v>
      </c>
      <c r="L2991" s="151" t="s">
        <v>3306</v>
      </c>
      <c r="M2991">
        <v>630</v>
      </c>
      <c r="N2991" s="123">
        <v>1</v>
      </c>
      <c r="O2991">
        <v>1480</v>
      </c>
      <c r="P2991" s="132" t="s">
        <v>77</v>
      </c>
      <c r="Q2991" s="131">
        <v>22082.04</v>
      </c>
      <c r="R2991" s="131">
        <v>2863.3652000000002</v>
      </c>
      <c r="S2991" s="131"/>
      <c r="T2991" s="155">
        <v>0</v>
      </c>
      <c r="U2991" s="131">
        <v>0</v>
      </c>
      <c r="V2991" s="131">
        <f t="shared" si="56"/>
        <v>24945.405200000001</v>
      </c>
      <c r="W2991">
        <v>242</v>
      </c>
      <c r="X2991" s="151" t="s">
        <v>2035</v>
      </c>
      <c r="Y2991" s="135" t="s">
        <v>55</v>
      </c>
      <c r="Z2991" s="307">
        <v>244</v>
      </c>
      <c r="AB2991" t="str">
        <f>IF(Table1[[#This Row],[TIPO2]]="costo", VLOOKUP(Table1[[#This Row],[PARTIDA PRESUPUESTAL]],'Cost Report'!G:G,1,0),"Balance")</f>
        <v>1401-012</v>
      </c>
      <c r="AC2991" s="118"/>
      <c r="AD2991" s="159">
        <f>+Table1[[#This Row],[SUBTOTAL]]+Table1[[#This Row],[IVA]]-Table1[[#This Row],[RET IVA]]-Table1[[#This Row],[RET ISR]]-Table1[[#This Row],[TOTAL]]</f>
        <v>0</v>
      </c>
      <c r="AE2991" s="150"/>
      <c r="AF2991" s="151"/>
      <c r="AG2991" s="126"/>
      <c r="AK2991" s="306" t="str">
        <f>IF(ISNUMBER(Table1[[#This Row],[FECHA DE RECIBIDO]]), Table1[[#This Row],[FECHA DE RECIBIDO]]-DATE(2023,8,30), "")</f>
        <v/>
      </c>
    </row>
    <row r="2992" spans="1:37" ht="16.05" customHeight="1">
      <c r="A2992" s="152"/>
      <c r="B2992" s="153">
        <v>1111</v>
      </c>
      <c r="C2992" s="126" t="s">
        <v>289</v>
      </c>
      <c r="D2992">
        <v>2054</v>
      </c>
      <c r="E2992" s="126" t="s">
        <v>3354</v>
      </c>
      <c r="F2992" s="125" t="s">
        <v>1371</v>
      </c>
      <c r="G2992" s="125" t="s">
        <v>2065</v>
      </c>
      <c r="H2992">
        <v>454</v>
      </c>
      <c r="I2992" s="125" t="s">
        <v>1546</v>
      </c>
      <c r="J2992" s="308" t="s">
        <v>214</v>
      </c>
      <c r="K2992" s="127" t="s">
        <v>4112</v>
      </c>
      <c r="L2992" s="153" t="s">
        <v>3306</v>
      </c>
      <c r="M2992">
        <v>630</v>
      </c>
      <c r="N2992" s="123">
        <v>1</v>
      </c>
      <c r="O2992">
        <v>1480</v>
      </c>
      <c r="P2992" s="132" t="s">
        <v>77</v>
      </c>
      <c r="Q2992" s="132">
        <v>3680.34</v>
      </c>
      <c r="R2992" s="132">
        <v>471.14420000000001</v>
      </c>
      <c r="S2992" s="132"/>
      <c r="T2992" s="156">
        <v>0</v>
      </c>
      <c r="U2992" s="132">
        <v>0</v>
      </c>
      <c r="V2992" s="132">
        <f t="shared" si="56"/>
        <v>4151.4841999999999</v>
      </c>
      <c r="W2992">
        <v>242</v>
      </c>
      <c r="X2992" s="153" t="s">
        <v>2035</v>
      </c>
      <c r="Y2992" s="124" t="s">
        <v>55</v>
      </c>
      <c r="Z2992" s="308">
        <v>244</v>
      </c>
      <c r="AB2992" t="str">
        <f>IF(Table1[[#This Row],[TIPO2]]="costo", VLOOKUP(Table1[[#This Row],[PARTIDA PRESUPUESTAL]],'Cost Report'!G:G,1,0),"Balance")</f>
        <v>1401-015</v>
      </c>
      <c r="AC2992" s="118"/>
      <c r="AD2992" s="159">
        <f>+Table1[[#This Row],[SUBTOTAL]]+Table1[[#This Row],[IVA]]-Table1[[#This Row],[RET IVA]]-Table1[[#This Row],[RET ISR]]-Table1[[#This Row],[TOTAL]]</f>
        <v>0</v>
      </c>
      <c r="AE2992" s="152"/>
      <c r="AF2992" s="153"/>
      <c r="AG2992" s="126"/>
      <c r="AK2992" s="306" t="str">
        <f>IF(ISNUMBER(Table1[[#This Row],[FECHA DE RECIBIDO]]), Table1[[#This Row],[FECHA DE RECIBIDO]]-DATE(2023,8,30), "")</f>
        <v/>
      </c>
    </row>
    <row r="2993" spans="1:37" ht="16.05" customHeight="1">
      <c r="A2993" s="150"/>
      <c r="B2993" s="151">
        <v>1111</v>
      </c>
      <c r="C2993" s="126" t="s">
        <v>290</v>
      </c>
      <c r="D2993">
        <v>2054</v>
      </c>
      <c r="E2993" s="126" t="s">
        <v>3354</v>
      </c>
      <c r="F2993" s="122" t="s">
        <v>1371</v>
      </c>
      <c r="G2993" s="122" t="s">
        <v>2065</v>
      </c>
      <c r="H2993">
        <v>454</v>
      </c>
      <c r="I2993" s="122" t="s">
        <v>1546</v>
      </c>
      <c r="J2993" s="307" t="s">
        <v>214</v>
      </c>
      <c r="K2993" s="127" t="s">
        <v>4112</v>
      </c>
      <c r="L2993" s="151" t="s">
        <v>3306</v>
      </c>
      <c r="M2993">
        <v>630</v>
      </c>
      <c r="N2993" s="123">
        <v>1</v>
      </c>
      <c r="O2993">
        <v>1480</v>
      </c>
      <c r="P2993" s="132" t="s">
        <v>77</v>
      </c>
      <c r="Q2993" s="131">
        <v>6974.42</v>
      </c>
      <c r="R2993" s="131">
        <v>899.3746000000001</v>
      </c>
      <c r="S2993" s="131"/>
      <c r="T2993" s="155">
        <v>0</v>
      </c>
      <c r="U2993" s="131">
        <v>0</v>
      </c>
      <c r="V2993" s="131">
        <f t="shared" si="56"/>
        <v>7873.7946000000002</v>
      </c>
      <c r="W2993">
        <v>242</v>
      </c>
      <c r="X2993" s="151" t="s">
        <v>2035</v>
      </c>
      <c r="Y2993" s="135" t="s">
        <v>55</v>
      </c>
      <c r="Z2993" s="307">
        <v>244</v>
      </c>
      <c r="AB2993" t="str">
        <f>IF(Table1[[#This Row],[TIPO2]]="costo", VLOOKUP(Table1[[#This Row],[PARTIDA PRESUPUESTAL]],'Cost Report'!G:G,1,0),"Balance")</f>
        <v>1401-016</v>
      </c>
      <c r="AC2993" s="118"/>
      <c r="AD2993" s="159">
        <f>+Table1[[#This Row],[SUBTOTAL]]+Table1[[#This Row],[IVA]]-Table1[[#This Row],[RET IVA]]-Table1[[#This Row],[RET ISR]]-Table1[[#This Row],[TOTAL]]</f>
        <v>0</v>
      </c>
      <c r="AE2993" s="150"/>
      <c r="AF2993" s="151"/>
      <c r="AG2993" s="126"/>
      <c r="AK2993" s="306" t="str">
        <f>IF(ISNUMBER(Table1[[#This Row],[FECHA DE RECIBIDO]]), Table1[[#This Row],[FECHA DE RECIBIDO]]-DATE(2023,8,30), "")</f>
        <v/>
      </c>
    </row>
    <row r="2994" spans="1:37" ht="16.05" customHeight="1">
      <c r="A2994" s="152"/>
      <c r="B2994" s="153">
        <v>1111</v>
      </c>
      <c r="C2994" s="126" t="s">
        <v>293</v>
      </c>
      <c r="D2994">
        <v>2054</v>
      </c>
      <c r="E2994" s="126" t="s">
        <v>3354</v>
      </c>
      <c r="F2994" s="125" t="s">
        <v>1371</v>
      </c>
      <c r="G2994" s="125" t="s">
        <v>2065</v>
      </c>
      <c r="H2994">
        <v>454</v>
      </c>
      <c r="I2994" s="125" t="s">
        <v>1546</v>
      </c>
      <c r="J2994" s="308" t="s">
        <v>214</v>
      </c>
      <c r="K2994" s="127" t="s">
        <v>4112</v>
      </c>
      <c r="L2994" s="153" t="s">
        <v>3306</v>
      </c>
      <c r="M2994">
        <v>630</v>
      </c>
      <c r="N2994" s="123">
        <v>1</v>
      </c>
      <c r="O2994">
        <v>1480</v>
      </c>
      <c r="P2994" s="132" t="s">
        <v>77</v>
      </c>
      <c r="Q2994" s="132">
        <v>23574.01</v>
      </c>
      <c r="R2994" s="132">
        <v>3057.3212999999996</v>
      </c>
      <c r="S2994" s="132"/>
      <c r="T2994" s="156">
        <v>0</v>
      </c>
      <c r="U2994" s="132">
        <v>0</v>
      </c>
      <c r="V2994" s="132">
        <f t="shared" si="56"/>
        <v>26631.331299999998</v>
      </c>
      <c r="W2994">
        <v>242</v>
      </c>
      <c r="X2994" s="153" t="s">
        <v>2035</v>
      </c>
      <c r="Y2994" s="124" t="s">
        <v>55</v>
      </c>
      <c r="Z2994" s="308">
        <v>244</v>
      </c>
      <c r="AB2994" t="str">
        <f>IF(Table1[[#This Row],[TIPO2]]="costo", VLOOKUP(Table1[[#This Row],[PARTIDA PRESUPUESTAL]],'Cost Report'!G:G,1,0),"Balance")</f>
        <v>1401-021</v>
      </c>
      <c r="AC2994" s="118"/>
      <c r="AD2994" s="159">
        <f>+Table1[[#This Row],[SUBTOTAL]]+Table1[[#This Row],[IVA]]-Table1[[#This Row],[RET IVA]]-Table1[[#This Row],[RET ISR]]-Table1[[#This Row],[TOTAL]]</f>
        <v>0</v>
      </c>
      <c r="AE2994" s="152"/>
      <c r="AF2994" s="153"/>
      <c r="AG2994" s="126"/>
      <c r="AK2994" s="306" t="str">
        <f>IF(ISNUMBER(Table1[[#This Row],[FECHA DE RECIBIDO]]), Table1[[#This Row],[FECHA DE RECIBIDO]]-DATE(2023,8,30), "")</f>
        <v/>
      </c>
    </row>
    <row r="2995" spans="1:37" ht="16.05" customHeight="1">
      <c r="A2995" s="150"/>
      <c r="B2995" s="151">
        <v>1111</v>
      </c>
      <c r="C2995" s="126" t="s">
        <v>296</v>
      </c>
      <c r="D2995">
        <v>2054</v>
      </c>
      <c r="E2995" s="126" t="s">
        <v>3354</v>
      </c>
      <c r="F2995" s="122" t="s">
        <v>1371</v>
      </c>
      <c r="G2995" s="122" t="s">
        <v>2065</v>
      </c>
      <c r="H2995">
        <v>454</v>
      </c>
      <c r="I2995" s="122" t="s">
        <v>1546</v>
      </c>
      <c r="J2995" s="307" t="s">
        <v>214</v>
      </c>
      <c r="K2995" s="127" t="s">
        <v>4112</v>
      </c>
      <c r="L2995" s="151" t="s">
        <v>3306</v>
      </c>
      <c r="M2995">
        <v>630</v>
      </c>
      <c r="N2995" s="123">
        <v>1</v>
      </c>
      <c r="O2995">
        <v>1480</v>
      </c>
      <c r="P2995" s="132" t="s">
        <v>77</v>
      </c>
      <c r="Q2995" s="131">
        <v>3680.34</v>
      </c>
      <c r="R2995" s="131">
        <v>471.14420000000001</v>
      </c>
      <c r="S2995" s="131"/>
      <c r="T2995" s="155">
        <v>0</v>
      </c>
      <c r="U2995" s="131">
        <v>0</v>
      </c>
      <c r="V2995" s="131">
        <f t="shared" si="56"/>
        <v>4151.4841999999999</v>
      </c>
      <c r="W2995">
        <v>242</v>
      </c>
      <c r="X2995" s="151" t="s">
        <v>2035</v>
      </c>
      <c r="Y2995" s="135" t="s">
        <v>55</v>
      </c>
      <c r="Z2995" s="307">
        <v>244</v>
      </c>
      <c r="AB2995" t="str">
        <f>IF(Table1[[#This Row],[TIPO2]]="costo", VLOOKUP(Table1[[#This Row],[PARTIDA PRESUPUESTAL]],'Cost Report'!G:G,1,0),"Balance")</f>
        <v>1401-024</v>
      </c>
      <c r="AC2995" s="118"/>
      <c r="AD2995" s="159">
        <f>+Table1[[#This Row],[SUBTOTAL]]+Table1[[#This Row],[IVA]]-Table1[[#This Row],[RET IVA]]-Table1[[#This Row],[RET ISR]]-Table1[[#This Row],[TOTAL]]</f>
        <v>0</v>
      </c>
      <c r="AE2995" s="150"/>
      <c r="AF2995" s="151"/>
      <c r="AG2995" s="126"/>
      <c r="AK2995" s="306" t="str">
        <f>IF(ISNUMBER(Table1[[#This Row],[FECHA DE RECIBIDO]]), Table1[[#This Row],[FECHA DE RECIBIDO]]-DATE(2023,8,30), "")</f>
        <v/>
      </c>
    </row>
    <row r="2996" spans="1:37" ht="16.05" customHeight="1">
      <c r="A2996" s="152"/>
      <c r="B2996" s="153">
        <v>1111</v>
      </c>
      <c r="C2996" s="126" t="s">
        <v>297</v>
      </c>
      <c r="D2996">
        <v>2054</v>
      </c>
      <c r="E2996" s="126" t="s">
        <v>3354</v>
      </c>
      <c r="F2996" s="125" t="s">
        <v>1371</v>
      </c>
      <c r="G2996" s="125" t="s">
        <v>2065</v>
      </c>
      <c r="H2996">
        <v>454</v>
      </c>
      <c r="I2996" s="125" t="s">
        <v>1546</v>
      </c>
      <c r="J2996" s="308" t="s">
        <v>214</v>
      </c>
      <c r="K2996" s="127" t="s">
        <v>4112</v>
      </c>
      <c r="L2996" s="153" t="s">
        <v>3306</v>
      </c>
      <c r="M2996">
        <v>630</v>
      </c>
      <c r="N2996" s="123">
        <v>1</v>
      </c>
      <c r="O2996">
        <v>1480</v>
      </c>
      <c r="P2996" s="132" t="s">
        <v>77</v>
      </c>
      <c r="Q2996" s="132">
        <v>16410</v>
      </c>
      <c r="R2996" s="132">
        <v>2126</v>
      </c>
      <c r="S2996" s="132"/>
      <c r="T2996" s="156">
        <v>0</v>
      </c>
      <c r="U2996" s="132">
        <v>0</v>
      </c>
      <c r="V2996" s="132">
        <f t="shared" si="56"/>
        <v>18536</v>
      </c>
      <c r="W2996">
        <v>242</v>
      </c>
      <c r="X2996" s="153" t="s">
        <v>2035</v>
      </c>
      <c r="Y2996" s="124" t="s">
        <v>55</v>
      </c>
      <c r="Z2996" s="308">
        <v>244</v>
      </c>
      <c r="AB2996" t="str">
        <f>IF(Table1[[#This Row],[TIPO2]]="costo", VLOOKUP(Table1[[#This Row],[PARTIDA PRESUPUESTAL]],'Cost Report'!G:G,1,0),"Balance")</f>
        <v>1401-025</v>
      </c>
      <c r="AC2996" s="118"/>
      <c r="AD2996" s="159">
        <f>+Table1[[#This Row],[SUBTOTAL]]+Table1[[#This Row],[IVA]]-Table1[[#This Row],[RET IVA]]-Table1[[#This Row],[RET ISR]]-Table1[[#This Row],[TOTAL]]</f>
        <v>0</v>
      </c>
      <c r="AE2996" s="152"/>
      <c r="AF2996" s="153"/>
      <c r="AG2996" s="126"/>
      <c r="AK2996" s="306" t="str">
        <f>IF(ISNUMBER(Table1[[#This Row],[FECHA DE RECIBIDO]]), Table1[[#This Row],[FECHA DE RECIBIDO]]-DATE(2023,8,30), "")</f>
        <v/>
      </c>
    </row>
    <row r="2997" spans="1:37" ht="16.05" customHeight="1">
      <c r="A2997" s="150"/>
      <c r="B2997" s="151">
        <v>1111</v>
      </c>
      <c r="C2997" s="126" t="s">
        <v>300</v>
      </c>
      <c r="D2997">
        <v>2054</v>
      </c>
      <c r="E2997" s="126" t="s">
        <v>3354</v>
      </c>
      <c r="F2997" s="122" t="s">
        <v>1371</v>
      </c>
      <c r="G2997" s="122" t="s">
        <v>2065</v>
      </c>
      <c r="H2997">
        <v>454</v>
      </c>
      <c r="I2997" s="122" t="s">
        <v>1546</v>
      </c>
      <c r="J2997" s="307" t="s">
        <v>214</v>
      </c>
      <c r="K2997" s="127" t="s">
        <v>4112</v>
      </c>
      <c r="L2997" s="151" t="s">
        <v>3306</v>
      </c>
      <c r="M2997">
        <v>630</v>
      </c>
      <c r="N2997" s="123">
        <v>1</v>
      </c>
      <c r="O2997">
        <v>1480</v>
      </c>
      <c r="P2997" s="132" t="s">
        <v>77</v>
      </c>
      <c r="Q2997" s="131">
        <v>22082.04</v>
      </c>
      <c r="R2997" s="131">
        <v>2863.3652000000002</v>
      </c>
      <c r="S2997" s="131"/>
      <c r="T2997" s="155">
        <v>0</v>
      </c>
      <c r="U2997" s="131">
        <v>0</v>
      </c>
      <c r="V2997" s="131">
        <f t="shared" si="56"/>
        <v>24945.405200000001</v>
      </c>
      <c r="W2997">
        <v>242</v>
      </c>
      <c r="X2997" s="151" t="s">
        <v>2035</v>
      </c>
      <c r="Y2997" s="135" t="s">
        <v>55</v>
      </c>
      <c r="Z2997" s="307">
        <v>244</v>
      </c>
      <c r="AB2997" t="str">
        <f>IF(Table1[[#This Row],[TIPO2]]="costo", VLOOKUP(Table1[[#This Row],[PARTIDA PRESUPUESTAL]],'Cost Report'!G:G,1,0),"Balance")</f>
        <v>1401-030</v>
      </c>
      <c r="AC2997" s="118"/>
      <c r="AD2997" s="159">
        <f>+Table1[[#This Row],[SUBTOTAL]]+Table1[[#This Row],[IVA]]-Table1[[#This Row],[RET IVA]]-Table1[[#This Row],[RET ISR]]-Table1[[#This Row],[TOTAL]]</f>
        <v>0</v>
      </c>
      <c r="AE2997" s="150"/>
      <c r="AF2997" s="151"/>
      <c r="AG2997" s="126"/>
      <c r="AK2997" s="306" t="str">
        <f>IF(ISNUMBER(Table1[[#This Row],[FECHA DE RECIBIDO]]), Table1[[#This Row],[FECHA DE RECIBIDO]]-DATE(2023,8,30), "")</f>
        <v/>
      </c>
    </row>
    <row r="2998" spans="1:37" ht="16.05" customHeight="1">
      <c r="A2998" s="152"/>
      <c r="B2998" s="153">
        <v>1111</v>
      </c>
      <c r="C2998" s="126" t="s">
        <v>301</v>
      </c>
      <c r="D2998">
        <v>2054</v>
      </c>
      <c r="E2998" s="126" t="s">
        <v>3354</v>
      </c>
      <c r="F2998" s="125" t="s">
        <v>1371</v>
      </c>
      <c r="G2998" s="125" t="s">
        <v>2065</v>
      </c>
      <c r="H2998">
        <v>454</v>
      </c>
      <c r="I2998" s="125" t="s">
        <v>1546</v>
      </c>
      <c r="J2998" s="308" t="s">
        <v>214</v>
      </c>
      <c r="K2998" s="127" t="s">
        <v>4112</v>
      </c>
      <c r="L2998" s="153" t="s">
        <v>3306</v>
      </c>
      <c r="M2998">
        <v>630</v>
      </c>
      <c r="N2998" s="123">
        <v>1</v>
      </c>
      <c r="O2998">
        <v>1480</v>
      </c>
      <c r="P2998" s="132" t="s">
        <v>77</v>
      </c>
      <c r="Q2998" s="132">
        <v>3680.34</v>
      </c>
      <c r="R2998" s="132">
        <v>471.14420000000001</v>
      </c>
      <c r="S2998" s="132"/>
      <c r="T2998" s="156">
        <v>0</v>
      </c>
      <c r="U2998" s="132">
        <v>0</v>
      </c>
      <c r="V2998" s="132">
        <f t="shared" si="56"/>
        <v>4151.4841999999999</v>
      </c>
      <c r="W2998">
        <v>242</v>
      </c>
      <c r="X2998" s="153" t="s">
        <v>2035</v>
      </c>
      <c r="Y2998" s="124" t="s">
        <v>55</v>
      </c>
      <c r="Z2998" s="308">
        <v>244</v>
      </c>
      <c r="AB2998" t="str">
        <f>IF(Table1[[#This Row],[TIPO2]]="costo", VLOOKUP(Table1[[#This Row],[PARTIDA PRESUPUESTAL]],'Cost Report'!G:G,1,0),"Balance")</f>
        <v>1401-031</v>
      </c>
      <c r="AC2998" s="118"/>
      <c r="AD2998" s="159">
        <f>+Table1[[#This Row],[SUBTOTAL]]+Table1[[#This Row],[IVA]]-Table1[[#This Row],[RET IVA]]-Table1[[#This Row],[RET ISR]]-Table1[[#This Row],[TOTAL]]</f>
        <v>0</v>
      </c>
      <c r="AE2998" s="152"/>
      <c r="AF2998" s="153"/>
      <c r="AG2998" s="126"/>
      <c r="AK2998" s="306" t="str">
        <f>IF(ISNUMBER(Table1[[#This Row],[FECHA DE RECIBIDO]]), Table1[[#This Row],[FECHA DE RECIBIDO]]-DATE(2023,8,30), "")</f>
        <v/>
      </c>
    </row>
    <row r="2999" spans="1:37" ht="16.05" customHeight="1">
      <c r="A2999" s="150"/>
      <c r="B2999" s="151">
        <v>1111</v>
      </c>
      <c r="C2999" s="126" t="s">
        <v>302</v>
      </c>
      <c r="D2999">
        <v>2054</v>
      </c>
      <c r="E2999" s="126" t="s">
        <v>3354</v>
      </c>
      <c r="F2999" s="122" t="s">
        <v>1371</v>
      </c>
      <c r="G2999" s="122" t="s">
        <v>2065</v>
      </c>
      <c r="H2999">
        <v>454</v>
      </c>
      <c r="I2999" s="122" t="s">
        <v>1546</v>
      </c>
      <c r="J2999" s="307" t="s">
        <v>214</v>
      </c>
      <c r="K2999" s="127" t="s">
        <v>4112</v>
      </c>
      <c r="L2999" s="151" t="s">
        <v>3306</v>
      </c>
      <c r="M2999">
        <v>630</v>
      </c>
      <c r="N2999" s="123">
        <v>1</v>
      </c>
      <c r="O2999">
        <v>1480</v>
      </c>
      <c r="P2999" s="132" t="s">
        <v>77</v>
      </c>
      <c r="Q2999" s="131">
        <v>12307.5</v>
      </c>
      <c r="R2999" s="131">
        <v>1592.6750000000002</v>
      </c>
      <c r="S2999" s="131"/>
      <c r="T2999" s="155">
        <v>0</v>
      </c>
      <c r="U2999" s="131">
        <v>0</v>
      </c>
      <c r="V2999" s="131">
        <f t="shared" si="56"/>
        <v>13900.174999999999</v>
      </c>
      <c r="W2999">
        <v>242</v>
      </c>
      <c r="X2999" s="151" t="s">
        <v>2035</v>
      </c>
      <c r="Y2999" s="135" t="s">
        <v>55</v>
      </c>
      <c r="Z2999" s="307">
        <v>244</v>
      </c>
      <c r="AB2999" t="str">
        <f>IF(Table1[[#This Row],[TIPO2]]="costo", VLOOKUP(Table1[[#This Row],[PARTIDA PRESUPUESTAL]],'Cost Report'!G:G,1,0),"Balance")</f>
        <v>1401-032</v>
      </c>
      <c r="AC2999" s="118"/>
      <c r="AD2999" s="159">
        <f>+Table1[[#This Row],[SUBTOTAL]]+Table1[[#This Row],[IVA]]-Table1[[#This Row],[RET IVA]]-Table1[[#This Row],[RET ISR]]-Table1[[#This Row],[TOTAL]]</f>
        <v>0</v>
      </c>
      <c r="AE2999" s="150"/>
      <c r="AF2999" s="151"/>
      <c r="AG2999" s="126"/>
      <c r="AK2999" s="306" t="str">
        <f>IF(ISNUMBER(Table1[[#This Row],[FECHA DE RECIBIDO]]), Table1[[#This Row],[FECHA DE RECIBIDO]]-DATE(2023,8,30), "")</f>
        <v/>
      </c>
    </row>
    <row r="3000" spans="1:37" ht="16.05" customHeight="1">
      <c r="A3000" s="152"/>
      <c r="B3000" s="153">
        <v>1111</v>
      </c>
      <c r="C3000" s="126" t="s">
        <v>305</v>
      </c>
      <c r="D3000">
        <v>2054</v>
      </c>
      <c r="E3000" s="126" t="s">
        <v>3354</v>
      </c>
      <c r="F3000" s="125" t="s">
        <v>1371</v>
      </c>
      <c r="G3000" s="125" t="s">
        <v>2065</v>
      </c>
      <c r="H3000">
        <v>454</v>
      </c>
      <c r="I3000" s="125" t="s">
        <v>1546</v>
      </c>
      <c r="J3000" s="308" t="s">
        <v>214</v>
      </c>
      <c r="K3000" s="127" t="s">
        <v>4112</v>
      </c>
      <c r="L3000" s="153" t="s">
        <v>3306</v>
      </c>
      <c r="M3000">
        <v>630</v>
      </c>
      <c r="N3000" s="123">
        <v>1</v>
      </c>
      <c r="O3000">
        <v>1480</v>
      </c>
      <c r="P3000" s="132" t="s">
        <v>77</v>
      </c>
      <c r="Q3000" s="132">
        <v>22082.04</v>
      </c>
      <c r="R3000" s="132">
        <v>2863.3652000000002</v>
      </c>
      <c r="S3000" s="132"/>
      <c r="T3000" s="156">
        <v>0</v>
      </c>
      <c r="U3000" s="132">
        <v>0</v>
      </c>
      <c r="V3000" s="132">
        <f t="shared" si="56"/>
        <v>24945.405200000001</v>
      </c>
      <c r="W3000">
        <v>242</v>
      </c>
      <c r="X3000" s="153" t="s">
        <v>2035</v>
      </c>
      <c r="Y3000" s="124" t="s">
        <v>55</v>
      </c>
      <c r="Z3000" s="308">
        <v>244</v>
      </c>
      <c r="AB3000" t="str">
        <f>IF(Table1[[#This Row],[TIPO2]]="costo", VLOOKUP(Table1[[#This Row],[PARTIDA PRESUPUESTAL]],'Cost Report'!G:G,1,0),"Balance")</f>
        <v>1401-037</v>
      </c>
      <c r="AC3000" s="118"/>
      <c r="AD3000" s="159">
        <f>+Table1[[#This Row],[SUBTOTAL]]+Table1[[#This Row],[IVA]]-Table1[[#This Row],[RET IVA]]-Table1[[#This Row],[RET ISR]]-Table1[[#This Row],[TOTAL]]</f>
        <v>0</v>
      </c>
      <c r="AE3000" s="152"/>
      <c r="AF3000" s="153"/>
      <c r="AG3000" s="126"/>
      <c r="AK3000" s="306" t="str">
        <f>IF(ISNUMBER(Table1[[#This Row],[FECHA DE RECIBIDO]]), Table1[[#This Row],[FECHA DE RECIBIDO]]-DATE(2023,8,30), "")</f>
        <v/>
      </c>
    </row>
    <row r="3001" spans="1:37" ht="16.05" customHeight="1">
      <c r="A3001" s="150"/>
      <c r="B3001" s="151">
        <v>1111</v>
      </c>
      <c r="C3001" s="126" t="s">
        <v>306</v>
      </c>
      <c r="D3001">
        <v>2054</v>
      </c>
      <c r="E3001" s="126" t="s">
        <v>3354</v>
      </c>
      <c r="F3001" s="122" t="s">
        <v>1371</v>
      </c>
      <c r="G3001" s="122" t="s">
        <v>2065</v>
      </c>
      <c r="H3001">
        <v>454</v>
      </c>
      <c r="I3001" s="122" t="s">
        <v>1546</v>
      </c>
      <c r="J3001" s="307" t="s">
        <v>214</v>
      </c>
      <c r="K3001" s="127" t="s">
        <v>4112</v>
      </c>
      <c r="L3001" s="151" t="s">
        <v>3306</v>
      </c>
      <c r="M3001">
        <v>630</v>
      </c>
      <c r="N3001" s="123">
        <v>1</v>
      </c>
      <c r="O3001">
        <v>1480</v>
      </c>
      <c r="P3001" s="132" t="s">
        <v>77</v>
      </c>
      <c r="Q3001" s="131">
        <v>3680.34</v>
      </c>
      <c r="R3001" s="131">
        <v>471.14420000000001</v>
      </c>
      <c r="S3001" s="131"/>
      <c r="T3001" s="155">
        <v>0</v>
      </c>
      <c r="U3001" s="131">
        <v>0</v>
      </c>
      <c r="V3001" s="131">
        <f t="shared" si="56"/>
        <v>4151.4841999999999</v>
      </c>
      <c r="W3001">
        <v>242</v>
      </c>
      <c r="X3001" s="151" t="s">
        <v>2035</v>
      </c>
      <c r="Y3001" s="135" t="s">
        <v>55</v>
      </c>
      <c r="Z3001" s="307">
        <v>244</v>
      </c>
      <c r="AB3001" t="str">
        <f>IF(Table1[[#This Row],[TIPO2]]="costo", VLOOKUP(Table1[[#This Row],[PARTIDA PRESUPUESTAL]],'Cost Report'!G:G,1,0),"Balance")</f>
        <v>1401-038</v>
      </c>
      <c r="AC3001" s="118"/>
      <c r="AD3001" s="159">
        <f>+Table1[[#This Row],[SUBTOTAL]]+Table1[[#This Row],[IVA]]-Table1[[#This Row],[RET IVA]]-Table1[[#This Row],[RET ISR]]-Table1[[#This Row],[TOTAL]]</f>
        <v>0</v>
      </c>
      <c r="AE3001" s="150"/>
      <c r="AF3001" s="151"/>
      <c r="AG3001" s="126"/>
      <c r="AK3001" s="306" t="str">
        <f>IF(ISNUMBER(Table1[[#This Row],[FECHA DE RECIBIDO]]), Table1[[#This Row],[FECHA DE RECIBIDO]]-DATE(2023,8,30), "")</f>
        <v/>
      </c>
    </row>
    <row r="3002" spans="1:37" ht="16.05" customHeight="1">
      <c r="A3002" s="152"/>
      <c r="B3002" s="153">
        <v>1111</v>
      </c>
      <c r="C3002" s="126" t="s">
        <v>307</v>
      </c>
      <c r="D3002">
        <v>2054</v>
      </c>
      <c r="E3002" s="126" t="s">
        <v>3354</v>
      </c>
      <c r="F3002" s="125" t="s">
        <v>1371</v>
      </c>
      <c r="G3002" s="125" t="s">
        <v>2065</v>
      </c>
      <c r="H3002">
        <v>454</v>
      </c>
      <c r="I3002" s="125" t="s">
        <v>1546</v>
      </c>
      <c r="J3002" s="308" t="s">
        <v>214</v>
      </c>
      <c r="K3002" s="127" t="s">
        <v>4112</v>
      </c>
      <c r="L3002" s="153" t="s">
        <v>3306</v>
      </c>
      <c r="M3002">
        <v>630</v>
      </c>
      <c r="N3002" s="123">
        <v>1</v>
      </c>
      <c r="O3002">
        <v>1480</v>
      </c>
      <c r="P3002" s="132" t="s">
        <v>77</v>
      </c>
      <c r="Q3002" s="132">
        <v>1312.8</v>
      </c>
      <c r="R3002" s="132">
        <v>163.36399999999998</v>
      </c>
      <c r="S3002" s="132"/>
      <c r="T3002" s="156">
        <v>0</v>
      </c>
      <c r="U3002" s="132">
        <v>0</v>
      </c>
      <c r="V3002" s="132">
        <f t="shared" si="56"/>
        <v>1476.164</v>
      </c>
      <c r="W3002">
        <v>242</v>
      </c>
      <c r="X3002" s="153" t="s">
        <v>2035</v>
      </c>
      <c r="Y3002" s="124" t="s">
        <v>55</v>
      </c>
      <c r="Z3002" s="308">
        <v>244</v>
      </c>
      <c r="AB3002" t="str">
        <f>IF(Table1[[#This Row],[TIPO2]]="costo", VLOOKUP(Table1[[#This Row],[PARTIDA PRESUPUESTAL]],'Cost Report'!G:G,1,0),"Balance")</f>
        <v>1401-039</v>
      </c>
      <c r="AC3002" s="118"/>
      <c r="AD3002" s="159">
        <f>+Table1[[#This Row],[SUBTOTAL]]+Table1[[#This Row],[IVA]]-Table1[[#This Row],[RET IVA]]-Table1[[#This Row],[RET ISR]]-Table1[[#This Row],[TOTAL]]</f>
        <v>0</v>
      </c>
      <c r="AE3002" s="152"/>
      <c r="AF3002" s="153"/>
      <c r="AG3002" s="126"/>
      <c r="AK3002" s="306" t="str">
        <f>IF(ISNUMBER(Table1[[#This Row],[FECHA DE RECIBIDO]]), Table1[[#This Row],[FECHA DE RECIBIDO]]-DATE(2023,8,30), "")</f>
        <v/>
      </c>
    </row>
    <row r="3003" spans="1:37" ht="16.05" customHeight="1">
      <c r="A3003" s="150"/>
      <c r="B3003" s="151">
        <v>1111</v>
      </c>
      <c r="C3003" s="126" t="s">
        <v>2175</v>
      </c>
      <c r="D3003">
        <v>2054</v>
      </c>
      <c r="E3003" s="126" t="s">
        <v>3354</v>
      </c>
      <c r="F3003" s="122" t="s">
        <v>1371</v>
      </c>
      <c r="G3003" s="122" t="s">
        <v>2065</v>
      </c>
      <c r="H3003">
        <v>454</v>
      </c>
      <c r="I3003" s="122" t="s">
        <v>1546</v>
      </c>
      <c r="J3003" s="307" t="s">
        <v>214</v>
      </c>
      <c r="K3003" s="127" t="s">
        <v>4112</v>
      </c>
      <c r="L3003" s="151" t="s">
        <v>3306</v>
      </c>
      <c r="M3003">
        <v>630</v>
      </c>
      <c r="N3003" s="123">
        <v>1</v>
      </c>
      <c r="O3003">
        <v>1480</v>
      </c>
      <c r="P3003" s="132" t="s">
        <v>77</v>
      </c>
      <c r="Q3003" s="131">
        <v>18401.7</v>
      </c>
      <c r="R3003" s="131">
        <v>2384.9209999999998</v>
      </c>
      <c r="S3003" s="131"/>
      <c r="T3003" s="155">
        <v>0</v>
      </c>
      <c r="U3003" s="131">
        <v>0</v>
      </c>
      <c r="V3003" s="131">
        <f t="shared" si="56"/>
        <v>20786.620999999999</v>
      </c>
      <c r="W3003">
        <v>242</v>
      </c>
      <c r="X3003" s="151" t="s">
        <v>2035</v>
      </c>
      <c r="Y3003" s="135" t="s">
        <v>55</v>
      </c>
      <c r="Z3003" s="307">
        <v>244</v>
      </c>
      <c r="AB3003" t="str">
        <f>IF(Table1[[#This Row],[TIPO2]]="costo", VLOOKUP(Table1[[#This Row],[PARTIDA PRESUPUESTAL]],'Cost Report'!G:G,1,0),"Balance")</f>
        <v>1401-058</v>
      </c>
      <c r="AC3003" s="118"/>
      <c r="AD3003" s="159">
        <f>+Table1[[#This Row],[SUBTOTAL]]+Table1[[#This Row],[IVA]]-Table1[[#This Row],[RET IVA]]-Table1[[#This Row],[RET ISR]]-Table1[[#This Row],[TOTAL]]</f>
        <v>0</v>
      </c>
      <c r="AE3003" s="150"/>
      <c r="AF3003" s="151"/>
      <c r="AG3003" s="126"/>
      <c r="AK3003" s="306" t="str">
        <f>IF(ISNUMBER(Table1[[#This Row],[FECHA DE RECIBIDO]]), Table1[[#This Row],[FECHA DE RECIBIDO]]-DATE(2023,8,30), "")</f>
        <v/>
      </c>
    </row>
    <row r="3004" spans="1:37" ht="16.05" customHeight="1">
      <c r="A3004" s="152"/>
      <c r="B3004" s="153">
        <v>1111</v>
      </c>
      <c r="C3004" s="126" t="s">
        <v>2176</v>
      </c>
      <c r="D3004">
        <v>2054</v>
      </c>
      <c r="E3004" s="126" t="s">
        <v>3354</v>
      </c>
      <c r="F3004" s="125" t="s">
        <v>1371</v>
      </c>
      <c r="G3004" s="125" t="s">
        <v>2065</v>
      </c>
      <c r="H3004">
        <v>454</v>
      </c>
      <c r="I3004" s="125" t="s">
        <v>1546</v>
      </c>
      <c r="J3004" s="308" t="s">
        <v>214</v>
      </c>
      <c r="K3004" s="127" t="s">
        <v>4112</v>
      </c>
      <c r="L3004" s="153" t="s">
        <v>3306</v>
      </c>
      <c r="M3004">
        <v>630</v>
      </c>
      <c r="N3004" s="123">
        <v>1</v>
      </c>
      <c r="O3004">
        <v>1480</v>
      </c>
      <c r="P3004" s="132" t="s">
        <v>77</v>
      </c>
      <c r="Q3004" s="132">
        <v>3680.34</v>
      </c>
      <c r="R3004" s="132">
        <v>471.14420000000001</v>
      </c>
      <c r="S3004" s="132"/>
      <c r="T3004" s="156">
        <v>0</v>
      </c>
      <c r="U3004" s="132">
        <v>0</v>
      </c>
      <c r="V3004" s="132">
        <f t="shared" si="56"/>
        <v>4151.4841999999999</v>
      </c>
      <c r="W3004">
        <v>242</v>
      </c>
      <c r="X3004" s="153" t="s">
        <v>2035</v>
      </c>
      <c r="Y3004" s="124" t="s">
        <v>55</v>
      </c>
      <c r="Z3004" s="308">
        <v>244</v>
      </c>
      <c r="AB3004" t="str">
        <f>IF(Table1[[#This Row],[TIPO2]]="costo", VLOOKUP(Table1[[#This Row],[PARTIDA PRESUPUESTAL]],'Cost Report'!G:G,1,0),"Balance")</f>
        <v>1401-059</v>
      </c>
      <c r="AC3004" s="118"/>
      <c r="AD3004" s="159">
        <f>+Table1[[#This Row],[SUBTOTAL]]+Table1[[#This Row],[IVA]]-Table1[[#This Row],[RET IVA]]-Table1[[#This Row],[RET ISR]]-Table1[[#This Row],[TOTAL]]</f>
        <v>0</v>
      </c>
      <c r="AE3004" s="152"/>
      <c r="AF3004" s="153"/>
      <c r="AG3004" s="126"/>
      <c r="AK3004" s="306" t="str">
        <f>IF(ISNUMBER(Table1[[#This Row],[FECHA DE RECIBIDO]]), Table1[[#This Row],[FECHA DE RECIBIDO]]-DATE(2023,8,30), "")</f>
        <v/>
      </c>
    </row>
    <row r="3005" spans="1:37" ht="16.05" customHeight="1">
      <c r="A3005" s="150"/>
      <c r="B3005" s="151">
        <v>1111</v>
      </c>
      <c r="C3005" s="126" t="s">
        <v>2177</v>
      </c>
      <c r="D3005">
        <v>2054</v>
      </c>
      <c r="E3005" s="126" t="s">
        <v>3354</v>
      </c>
      <c r="F3005" s="122" t="s">
        <v>1371</v>
      </c>
      <c r="G3005" s="122" t="s">
        <v>2065</v>
      </c>
      <c r="H3005">
        <v>454</v>
      </c>
      <c r="I3005" s="122" t="s">
        <v>1546</v>
      </c>
      <c r="J3005" s="307" t="s">
        <v>214</v>
      </c>
      <c r="K3005" s="127" t="s">
        <v>4112</v>
      </c>
      <c r="L3005" s="151" t="s">
        <v>3306</v>
      </c>
      <c r="M3005">
        <v>630</v>
      </c>
      <c r="N3005" s="123">
        <v>1</v>
      </c>
      <c r="O3005">
        <v>1480</v>
      </c>
      <c r="P3005" s="132" t="s">
        <v>77</v>
      </c>
      <c r="Q3005" s="131">
        <v>3692.34</v>
      </c>
      <c r="R3005" s="131">
        <v>472.70420000000001</v>
      </c>
      <c r="S3005" s="131"/>
      <c r="T3005" s="155">
        <v>0</v>
      </c>
      <c r="U3005" s="131">
        <v>0</v>
      </c>
      <c r="V3005" s="131">
        <f t="shared" si="56"/>
        <v>4165.0442000000003</v>
      </c>
      <c r="W3005">
        <v>242</v>
      </c>
      <c r="X3005" s="151" t="s">
        <v>2035</v>
      </c>
      <c r="Y3005" s="135" t="s">
        <v>55</v>
      </c>
      <c r="Z3005" s="307">
        <v>244</v>
      </c>
      <c r="AB3005" t="str">
        <f>IF(Table1[[#This Row],[TIPO2]]="costo", VLOOKUP(Table1[[#This Row],[PARTIDA PRESUPUESTAL]],'Cost Report'!G:G,1,0),"Balance")</f>
        <v>1401-060</v>
      </c>
      <c r="AC3005" s="118"/>
      <c r="AD3005" s="159">
        <f>+Table1[[#This Row],[SUBTOTAL]]+Table1[[#This Row],[IVA]]-Table1[[#This Row],[RET IVA]]-Table1[[#This Row],[RET ISR]]-Table1[[#This Row],[TOTAL]]</f>
        <v>0</v>
      </c>
      <c r="AE3005" s="150"/>
      <c r="AF3005" s="151"/>
      <c r="AG3005" s="126"/>
      <c r="AK3005" s="306" t="str">
        <f>IF(ISNUMBER(Table1[[#This Row],[FECHA DE RECIBIDO]]), Table1[[#This Row],[FECHA DE RECIBIDO]]-DATE(2023,8,30), "")</f>
        <v/>
      </c>
    </row>
    <row r="3006" spans="1:37" ht="16.05" customHeight="1">
      <c r="A3006" s="152"/>
      <c r="B3006" s="153">
        <v>1111</v>
      </c>
      <c r="C3006" s="126" t="s">
        <v>2181</v>
      </c>
      <c r="D3006">
        <v>2054</v>
      </c>
      <c r="E3006" s="126" t="s">
        <v>3354</v>
      </c>
      <c r="F3006" s="125" t="s">
        <v>1371</v>
      </c>
      <c r="G3006" s="125" t="s">
        <v>2065</v>
      </c>
      <c r="H3006">
        <v>454</v>
      </c>
      <c r="I3006" s="125" t="s">
        <v>1546</v>
      </c>
      <c r="J3006" s="308" t="s">
        <v>214</v>
      </c>
      <c r="K3006" s="127" t="s">
        <v>4112</v>
      </c>
      <c r="L3006" s="153" t="s">
        <v>3306</v>
      </c>
      <c r="M3006">
        <v>630</v>
      </c>
      <c r="N3006" s="123">
        <v>1</v>
      </c>
      <c r="O3006">
        <v>1480</v>
      </c>
      <c r="P3006" s="132" t="s">
        <v>77</v>
      </c>
      <c r="Q3006" s="132">
        <v>4500.84</v>
      </c>
      <c r="R3006" s="132">
        <v>577.80920000000003</v>
      </c>
      <c r="S3006" s="132"/>
      <c r="T3006" s="156">
        <v>0</v>
      </c>
      <c r="U3006" s="132">
        <v>0</v>
      </c>
      <c r="V3006" s="132">
        <f t="shared" si="56"/>
        <v>5078.6491999999998</v>
      </c>
      <c r="W3006">
        <v>242</v>
      </c>
      <c r="X3006" s="153" t="s">
        <v>2035</v>
      </c>
      <c r="Y3006" s="124" t="s">
        <v>55</v>
      </c>
      <c r="Z3006" s="308">
        <v>244</v>
      </c>
      <c r="AB3006" t="str">
        <f>IF(Table1[[#This Row],[TIPO2]]="costo", VLOOKUP(Table1[[#This Row],[PARTIDA PRESUPUESTAL]],'Cost Report'!G:G,1,0),"Balance")</f>
        <v>1401-066</v>
      </c>
      <c r="AC3006" s="118"/>
      <c r="AD3006" s="159">
        <f>+Table1[[#This Row],[SUBTOTAL]]+Table1[[#This Row],[IVA]]-Table1[[#This Row],[RET IVA]]-Table1[[#This Row],[RET ISR]]-Table1[[#This Row],[TOTAL]]</f>
        <v>0</v>
      </c>
      <c r="AE3006" s="152"/>
      <c r="AF3006" s="153"/>
      <c r="AG3006" s="126"/>
      <c r="AK3006" s="306" t="str">
        <f>IF(ISNUMBER(Table1[[#This Row],[FECHA DE RECIBIDO]]), Table1[[#This Row],[FECHA DE RECIBIDO]]-DATE(2023,8,30), "")</f>
        <v/>
      </c>
    </row>
    <row r="3007" spans="1:37" ht="16.05" customHeight="1">
      <c r="A3007" s="150"/>
      <c r="B3007" s="151">
        <v>1111</v>
      </c>
      <c r="C3007" s="126" t="s">
        <v>2187</v>
      </c>
      <c r="D3007">
        <v>2054</v>
      </c>
      <c r="E3007" s="126" t="s">
        <v>3354</v>
      </c>
      <c r="F3007" s="122" t="s">
        <v>1371</v>
      </c>
      <c r="G3007" s="122" t="s">
        <v>2065</v>
      </c>
      <c r="H3007">
        <v>454</v>
      </c>
      <c r="I3007" s="122" t="s">
        <v>1546</v>
      </c>
      <c r="J3007" s="307" t="s">
        <v>214</v>
      </c>
      <c r="K3007" s="127" t="s">
        <v>4112</v>
      </c>
      <c r="L3007" s="151" t="s">
        <v>3306</v>
      </c>
      <c r="M3007">
        <v>630</v>
      </c>
      <c r="N3007" s="123">
        <v>1</v>
      </c>
      <c r="O3007">
        <v>1480</v>
      </c>
      <c r="P3007" s="132" t="s">
        <v>77</v>
      </c>
      <c r="Q3007" s="131">
        <v>22082.04</v>
      </c>
      <c r="R3007" s="131">
        <v>2863.3652000000002</v>
      </c>
      <c r="S3007" s="131"/>
      <c r="T3007" s="155">
        <v>0</v>
      </c>
      <c r="U3007" s="131">
        <v>0</v>
      </c>
      <c r="V3007" s="131">
        <f t="shared" si="56"/>
        <v>24945.405200000001</v>
      </c>
      <c r="W3007">
        <v>242</v>
      </c>
      <c r="X3007" s="151" t="s">
        <v>2035</v>
      </c>
      <c r="Y3007" s="135" t="s">
        <v>55</v>
      </c>
      <c r="Z3007" s="307">
        <v>244</v>
      </c>
      <c r="AB3007" t="str">
        <f>IF(Table1[[#This Row],[TIPO2]]="costo", VLOOKUP(Table1[[#This Row],[PARTIDA PRESUPUESTAL]],'Cost Report'!G:G,1,0),"Balance")</f>
        <v>1401-076</v>
      </c>
      <c r="AC3007" s="118"/>
      <c r="AD3007" s="159">
        <f>+Table1[[#This Row],[SUBTOTAL]]+Table1[[#This Row],[IVA]]-Table1[[#This Row],[RET IVA]]-Table1[[#This Row],[RET ISR]]-Table1[[#This Row],[TOTAL]]</f>
        <v>0</v>
      </c>
      <c r="AE3007" s="150"/>
      <c r="AF3007" s="151"/>
      <c r="AG3007" s="126"/>
      <c r="AK3007" s="306" t="str">
        <f>IF(ISNUMBER(Table1[[#This Row],[FECHA DE RECIBIDO]]), Table1[[#This Row],[FECHA DE RECIBIDO]]-DATE(2023,8,30), "")</f>
        <v/>
      </c>
    </row>
    <row r="3008" spans="1:37" ht="16.05" customHeight="1">
      <c r="A3008" s="152"/>
      <c r="B3008" s="153">
        <v>1111</v>
      </c>
      <c r="C3008" s="126" t="s">
        <v>2188</v>
      </c>
      <c r="D3008">
        <v>2054</v>
      </c>
      <c r="E3008" s="126" t="s">
        <v>3354</v>
      </c>
      <c r="F3008" s="125" t="s">
        <v>1371</v>
      </c>
      <c r="G3008" s="125" t="s">
        <v>2065</v>
      </c>
      <c r="H3008">
        <v>454</v>
      </c>
      <c r="I3008" s="125" t="s">
        <v>1546</v>
      </c>
      <c r="J3008" s="308" t="s">
        <v>214</v>
      </c>
      <c r="K3008" s="127" t="s">
        <v>4112</v>
      </c>
      <c r="L3008" s="153" t="s">
        <v>3306</v>
      </c>
      <c r="M3008">
        <v>630</v>
      </c>
      <c r="N3008" s="123">
        <v>1</v>
      </c>
      <c r="O3008">
        <v>1480</v>
      </c>
      <c r="P3008" s="132" t="s">
        <v>77</v>
      </c>
      <c r="Q3008" s="132">
        <v>3680.34</v>
      </c>
      <c r="R3008" s="132">
        <v>471.14420000000001</v>
      </c>
      <c r="S3008" s="132"/>
      <c r="T3008" s="156">
        <v>0</v>
      </c>
      <c r="U3008" s="132">
        <v>0</v>
      </c>
      <c r="V3008" s="132">
        <f t="shared" si="56"/>
        <v>4151.4841999999999</v>
      </c>
      <c r="W3008">
        <v>242</v>
      </c>
      <c r="X3008" s="153" t="s">
        <v>2035</v>
      </c>
      <c r="Y3008" s="124" t="s">
        <v>55</v>
      </c>
      <c r="Z3008" s="308">
        <v>244</v>
      </c>
      <c r="AB3008" t="str">
        <f>IF(Table1[[#This Row],[TIPO2]]="costo", VLOOKUP(Table1[[#This Row],[PARTIDA PRESUPUESTAL]],'Cost Report'!G:G,1,0),"Balance")</f>
        <v>1401-077</v>
      </c>
      <c r="AC3008" s="118"/>
      <c r="AD3008" s="159">
        <f>+Table1[[#This Row],[SUBTOTAL]]+Table1[[#This Row],[IVA]]-Table1[[#This Row],[RET IVA]]-Table1[[#This Row],[RET ISR]]-Table1[[#This Row],[TOTAL]]</f>
        <v>0</v>
      </c>
      <c r="AE3008" s="152"/>
      <c r="AF3008" s="153"/>
      <c r="AG3008" s="126"/>
      <c r="AK3008" s="306" t="str">
        <f>IF(ISNUMBER(Table1[[#This Row],[FECHA DE RECIBIDO]]), Table1[[#This Row],[FECHA DE RECIBIDO]]-DATE(2023,8,30), "")</f>
        <v/>
      </c>
    </row>
    <row r="3009" spans="1:37" ht="16.05" customHeight="1">
      <c r="A3009" s="150"/>
      <c r="B3009" s="151">
        <v>1111</v>
      </c>
      <c r="C3009" s="126" t="s">
        <v>313</v>
      </c>
      <c r="D3009">
        <v>2054</v>
      </c>
      <c r="E3009" s="126" t="s">
        <v>3354</v>
      </c>
      <c r="F3009" s="122" t="s">
        <v>1371</v>
      </c>
      <c r="G3009" s="122" t="s">
        <v>2065</v>
      </c>
      <c r="H3009">
        <v>454</v>
      </c>
      <c r="I3009" s="122" t="s">
        <v>1546</v>
      </c>
      <c r="J3009" s="307" t="s">
        <v>214</v>
      </c>
      <c r="K3009" s="127" t="s">
        <v>4112</v>
      </c>
      <c r="L3009" s="151" t="s">
        <v>3306</v>
      </c>
      <c r="M3009">
        <v>630</v>
      </c>
      <c r="N3009" s="123">
        <v>1</v>
      </c>
      <c r="O3009">
        <v>1480</v>
      </c>
      <c r="P3009" s="132" t="s">
        <v>77</v>
      </c>
      <c r="Q3009" s="131">
        <v>11041.02</v>
      </c>
      <c r="R3009" s="131">
        <v>1428.0326000000002</v>
      </c>
      <c r="S3009" s="131"/>
      <c r="T3009" s="155">
        <v>0</v>
      </c>
      <c r="U3009" s="131">
        <v>0</v>
      </c>
      <c r="V3009" s="131">
        <f t="shared" si="56"/>
        <v>12469.052600000001</v>
      </c>
      <c r="W3009">
        <v>242</v>
      </c>
      <c r="X3009" s="151" t="s">
        <v>2035</v>
      </c>
      <c r="Y3009" s="135" t="s">
        <v>55</v>
      </c>
      <c r="Z3009" s="307">
        <v>244</v>
      </c>
      <c r="AB3009" t="str">
        <f>IF(Table1[[#This Row],[TIPO2]]="costo", VLOOKUP(Table1[[#This Row],[PARTIDA PRESUPUESTAL]],'Cost Report'!G:G,1,0),"Balance")</f>
        <v>1403-003</v>
      </c>
      <c r="AC3009" s="118"/>
      <c r="AD3009" s="159">
        <f>+Table1[[#This Row],[SUBTOTAL]]+Table1[[#This Row],[IVA]]-Table1[[#This Row],[RET IVA]]-Table1[[#This Row],[RET ISR]]-Table1[[#This Row],[TOTAL]]</f>
        <v>0</v>
      </c>
      <c r="AE3009" s="150"/>
      <c r="AF3009" s="151"/>
      <c r="AG3009" s="126"/>
      <c r="AK3009" s="306" t="str">
        <f>IF(ISNUMBER(Table1[[#This Row],[FECHA DE RECIBIDO]]), Table1[[#This Row],[FECHA DE RECIBIDO]]-DATE(2023,8,30), "")</f>
        <v/>
      </c>
    </row>
    <row r="3010" spans="1:37" ht="16.05" customHeight="1">
      <c r="A3010" s="152"/>
      <c r="B3010" s="153">
        <v>1111</v>
      </c>
      <c r="C3010" s="126" t="s">
        <v>328</v>
      </c>
      <c r="D3010">
        <v>2054</v>
      </c>
      <c r="E3010" s="126" t="s">
        <v>3354</v>
      </c>
      <c r="F3010" s="125" t="s">
        <v>1371</v>
      </c>
      <c r="G3010" s="125" t="s">
        <v>2065</v>
      </c>
      <c r="H3010">
        <v>454</v>
      </c>
      <c r="I3010" s="125" t="s">
        <v>1546</v>
      </c>
      <c r="J3010" s="308" t="s">
        <v>214</v>
      </c>
      <c r="K3010" s="127" t="s">
        <v>4112</v>
      </c>
      <c r="L3010" s="153" t="s">
        <v>3306</v>
      </c>
      <c r="M3010">
        <v>630</v>
      </c>
      <c r="N3010" s="123">
        <v>1</v>
      </c>
      <c r="O3010">
        <v>1480</v>
      </c>
      <c r="P3010" s="132" t="s">
        <v>77</v>
      </c>
      <c r="Q3010" s="132">
        <v>10964.64</v>
      </c>
      <c r="R3010" s="132">
        <v>1418.1032</v>
      </c>
      <c r="S3010" s="132"/>
      <c r="T3010" s="156">
        <v>0</v>
      </c>
      <c r="U3010" s="132">
        <v>0</v>
      </c>
      <c r="V3010" s="132">
        <f t="shared" si="56"/>
        <v>12382.743199999999</v>
      </c>
      <c r="W3010">
        <v>242</v>
      </c>
      <c r="X3010" s="153" t="s">
        <v>2035</v>
      </c>
      <c r="Y3010" s="124" t="s">
        <v>55</v>
      </c>
      <c r="Z3010" s="308">
        <v>244</v>
      </c>
      <c r="AB3010" t="str">
        <f>IF(Table1[[#This Row],[TIPO2]]="costo", VLOOKUP(Table1[[#This Row],[PARTIDA PRESUPUESTAL]],'Cost Report'!G:G,1,0),"Balance")</f>
        <v>1403-024</v>
      </c>
      <c r="AC3010" s="118"/>
      <c r="AD3010" s="159">
        <f>+Table1[[#This Row],[SUBTOTAL]]+Table1[[#This Row],[IVA]]-Table1[[#This Row],[RET IVA]]-Table1[[#This Row],[RET ISR]]-Table1[[#This Row],[TOTAL]]</f>
        <v>0</v>
      </c>
      <c r="AE3010" s="152"/>
      <c r="AF3010" s="153"/>
      <c r="AG3010" s="126"/>
      <c r="AK3010" s="306" t="str">
        <f>IF(ISNUMBER(Table1[[#This Row],[FECHA DE RECIBIDO]]), Table1[[#This Row],[FECHA DE RECIBIDO]]-DATE(2023,8,30), "")</f>
        <v/>
      </c>
    </row>
    <row r="3011" spans="1:37" ht="16.05" customHeight="1">
      <c r="A3011" s="150"/>
      <c r="B3011" s="151">
        <v>1111</v>
      </c>
      <c r="C3011" s="126" t="s">
        <v>348</v>
      </c>
      <c r="D3011">
        <v>2054</v>
      </c>
      <c r="E3011" s="126" t="s">
        <v>3354</v>
      </c>
      <c r="F3011" s="122" t="s">
        <v>1371</v>
      </c>
      <c r="G3011" s="122" t="s">
        <v>2065</v>
      </c>
      <c r="H3011">
        <v>454</v>
      </c>
      <c r="I3011" s="122" t="s">
        <v>1546</v>
      </c>
      <c r="J3011" s="307" t="s">
        <v>214</v>
      </c>
      <c r="K3011" s="127" t="s">
        <v>4112</v>
      </c>
      <c r="L3011" s="151" t="s">
        <v>3306</v>
      </c>
      <c r="M3011">
        <v>630</v>
      </c>
      <c r="N3011" s="123">
        <v>1</v>
      </c>
      <c r="O3011">
        <v>1480</v>
      </c>
      <c r="P3011" s="132" t="s">
        <v>77</v>
      </c>
      <c r="Q3011" s="131">
        <v>7309.76</v>
      </c>
      <c r="R3011" s="131">
        <v>942.9688000000001</v>
      </c>
      <c r="S3011" s="131"/>
      <c r="T3011" s="155">
        <v>0</v>
      </c>
      <c r="U3011" s="131">
        <v>0</v>
      </c>
      <c r="V3011" s="131">
        <f t="shared" si="56"/>
        <v>8252.7288000000008</v>
      </c>
      <c r="W3011">
        <v>242</v>
      </c>
      <c r="X3011" s="151" t="s">
        <v>2035</v>
      </c>
      <c r="Y3011" s="135" t="s">
        <v>55</v>
      </c>
      <c r="Z3011" s="307">
        <v>244</v>
      </c>
      <c r="AB3011" t="str">
        <f>IF(Table1[[#This Row],[TIPO2]]="costo", VLOOKUP(Table1[[#This Row],[PARTIDA PRESUPUESTAL]],'Cost Report'!G:G,1,0),"Balance")</f>
        <v>1403-052</v>
      </c>
      <c r="AC3011" s="118"/>
      <c r="AD3011" s="159">
        <f>+Table1[[#This Row],[SUBTOTAL]]+Table1[[#This Row],[IVA]]-Table1[[#This Row],[RET IVA]]-Table1[[#This Row],[RET ISR]]-Table1[[#This Row],[TOTAL]]</f>
        <v>0</v>
      </c>
      <c r="AE3011" s="150"/>
      <c r="AF3011" s="151"/>
      <c r="AG3011" s="126"/>
      <c r="AK3011" s="306" t="str">
        <f>IF(ISNUMBER(Table1[[#This Row],[FECHA DE RECIBIDO]]), Table1[[#This Row],[FECHA DE RECIBIDO]]-DATE(2023,8,30), "")</f>
        <v/>
      </c>
    </row>
    <row r="3012" spans="1:37" ht="16.05" customHeight="1">
      <c r="A3012" s="152"/>
      <c r="B3012" s="153">
        <v>1111</v>
      </c>
      <c r="C3012" s="126" t="s">
        <v>350</v>
      </c>
      <c r="D3012">
        <v>2054</v>
      </c>
      <c r="E3012" s="126" t="s">
        <v>3354</v>
      </c>
      <c r="F3012" s="125" t="s">
        <v>1371</v>
      </c>
      <c r="G3012" s="125" t="s">
        <v>2065</v>
      </c>
      <c r="H3012">
        <v>454</v>
      </c>
      <c r="I3012" s="125" t="s">
        <v>1546</v>
      </c>
      <c r="J3012" s="308" t="s">
        <v>214</v>
      </c>
      <c r="K3012" s="127" t="s">
        <v>4112</v>
      </c>
      <c r="L3012" s="153" t="s">
        <v>3306</v>
      </c>
      <c r="M3012">
        <v>630</v>
      </c>
      <c r="N3012" s="123">
        <v>1</v>
      </c>
      <c r="O3012">
        <v>1480</v>
      </c>
      <c r="P3012" s="132" t="s">
        <v>77</v>
      </c>
      <c r="Q3012" s="132">
        <v>841.66</v>
      </c>
      <c r="R3012" s="132">
        <v>102.11580000000001</v>
      </c>
      <c r="S3012" s="132"/>
      <c r="T3012" s="156">
        <v>0</v>
      </c>
      <c r="U3012" s="132">
        <v>0</v>
      </c>
      <c r="V3012" s="132">
        <f t="shared" si="56"/>
        <v>943.7758</v>
      </c>
      <c r="W3012">
        <v>242</v>
      </c>
      <c r="X3012" s="153" t="s">
        <v>2035</v>
      </c>
      <c r="Y3012" s="124" t="s">
        <v>55</v>
      </c>
      <c r="Z3012" s="308">
        <v>244</v>
      </c>
      <c r="AB3012" t="str">
        <f>IF(Table1[[#This Row],[TIPO2]]="costo", VLOOKUP(Table1[[#This Row],[PARTIDA PRESUPUESTAL]],'Cost Report'!G:G,1,0),"Balance")</f>
        <v>1403-054</v>
      </c>
      <c r="AC3012" s="118"/>
      <c r="AD3012" s="159">
        <f>+Table1[[#This Row],[SUBTOTAL]]+Table1[[#This Row],[IVA]]-Table1[[#This Row],[RET IVA]]-Table1[[#This Row],[RET ISR]]-Table1[[#This Row],[TOTAL]]</f>
        <v>0</v>
      </c>
      <c r="AE3012" s="152"/>
      <c r="AF3012" s="153"/>
      <c r="AG3012" s="126"/>
      <c r="AK3012" s="306" t="str">
        <f>IF(ISNUMBER(Table1[[#This Row],[FECHA DE RECIBIDO]]), Table1[[#This Row],[FECHA DE RECIBIDO]]-DATE(2023,8,30), "")</f>
        <v/>
      </c>
    </row>
    <row r="3013" spans="1:37" ht="16.05" customHeight="1">
      <c r="A3013" s="150"/>
      <c r="B3013" s="151">
        <v>1111</v>
      </c>
      <c r="C3013" s="126" t="s">
        <v>2192</v>
      </c>
      <c r="D3013">
        <v>2054</v>
      </c>
      <c r="E3013" s="126" t="s">
        <v>3354</v>
      </c>
      <c r="F3013" s="122" t="s">
        <v>1371</v>
      </c>
      <c r="G3013" s="122" t="s">
        <v>2065</v>
      </c>
      <c r="H3013">
        <v>454</v>
      </c>
      <c r="I3013" s="122" t="s">
        <v>1546</v>
      </c>
      <c r="J3013" s="307" t="s">
        <v>214</v>
      </c>
      <c r="K3013" s="127" t="s">
        <v>4112</v>
      </c>
      <c r="L3013" s="151" t="s">
        <v>3306</v>
      </c>
      <c r="M3013">
        <v>630</v>
      </c>
      <c r="N3013" s="123">
        <v>1</v>
      </c>
      <c r="O3013">
        <v>1480</v>
      </c>
      <c r="P3013" s="132" t="s">
        <v>77</v>
      </c>
      <c r="Q3013" s="131">
        <v>7360.68</v>
      </c>
      <c r="R3013" s="131">
        <v>949.58840000000009</v>
      </c>
      <c r="S3013" s="131"/>
      <c r="T3013" s="155">
        <v>0</v>
      </c>
      <c r="U3013" s="131">
        <v>0</v>
      </c>
      <c r="V3013" s="131">
        <f t="shared" si="56"/>
        <v>8310.2684000000008</v>
      </c>
      <c r="W3013">
        <v>242</v>
      </c>
      <c r="X3013" s="151" t="s">
        <v>2035</v>
      </c>
      <c r="Y3013" s="135" t="s">
        <v>55</v>
      </c>
      <c r="Z3013" s="307">
        <v>244</v>
      </c>
      <c r="AB3013" t="str">
        <f>IF(Table1[[#This Row],[TIPO2]]="costo", VLOOKUP(Table1[[#This Row],[PARTIDA PRESUPUESTAL]],'Cost Report'!G:G,1,0),"Balance")</f>
        <v>1403-059</v>
      </c>
      <c r="AC3013" s="118"/>
      <c r="AD3013" s="159">
        <f>+Table1[[#This Row],[SUBTOTAL]]+Table1[[#This Row],[IVA]]-Table1[[#This Row],[RET IVA]]-Table1[[#This Row],[RET ISR]]-Table1[[#This Row],[TOTAL]]</f>
        <v>0</v>
      </c>
      <c r="AE3013" s="150"/>
      <c r="AF3013" s="151"/>
      <c r="AG3013" s="126"/>
      <c r="AK3013" s="306" t="str">
        <f>IF(ISNUMBER(Table1[[#This Row],[FECHA DE RECIBIDO]]), Table1[[#This Row],[FECHA DE RECIBIDO]]-DATE(2023,8,30), "")</f>
        <v/>
      </c>
    </row>
    <row r="3014" spans="1:37" ht="16.05" customHeight="1">
      <c r="A3014" s="152"/>
      <c r="B3014" s="153">
        <v>1111</v>
      </c>
      <c r="C3014" s="126" t="s">
        <v>2194</v>
      </c>
      <c r="D3014">
        <v>2054</v>
      </c>
      <c r="E3014" s="126" t="s">
        <v>3354</v>
      </c>
      <c r="F3014" s="125" t="s">
        <v>1371</v>
      </c>
      <c r="G3014" s="125" t="s">
        <v>2065</v>
      </c>
      <c r="H3014">
        <v>454</v>
      </c>
      <c r="I3014" s="125" t="s">
        <v>1546</v>
      </c>
      <c r="J3014" s="308" t="s">
        <v>214</v>
      </c>
      <c r="K3014" s="127" t="s">
        <v>4112</v>
      </c>
      <c r="L3014" s="153" t="s">
        <v>3306</v>
      </c>
      <c r="M3014">
        <v>630</v>
      </c>
      <c r="N3014" s="123">
        <v>1</v>
      </c>
      <c r="O3014">
        <v>1480</v>
      </c>
      <c r="P3014" s="132" t="s">
        <v>77</v>
      </c>
      <c r="Q3014" s="132">
        <v>6564</v>
      </c>
      <c r="R3014" s="132">
        <v>846.0200000000001</v>
      </c>
      <c r="S3014" s="132"/>
      <c r="T3014" s="156">
        <v>0</v>
      </c>
      <c r="U3014" s="132">
        <v>0</v>
      </c>
      <c r="V3014" s="132">
        <f t="shared" si="56"/>
        <v>7410.02</v>
      </c>
      <c r="W3014">
        <v>242</v>
      </c>
      <c r="X3014" s="153" t="s">
        <v>2035</v>
      </c>
      <c r="Y3014" s="124" t="s">
        <v>55</v>
      </c>
      <c r="Z3014" s="308">
        <v>244</v>
      </c>
      <c r="AB3014" t="str">
        <f>IF(Table1[[#This Row],[TIPO2]]="costo", VLOOKUP(Table1[[#This Row],[PARTIDA PRESUPUESTAL]],'Cost Report'!G:G,1,0),"Balance")</f>
        <v>1403-061</v>
      </c>
      <c r="AC3014" s="118"/>
      <c r="AD3014" s="159">
        <f>+Table1[[#This Row],[SUBTOTAL]]+Table1[[#This Row],[IVA]]-Table1[[#This Row],[RET IVA]]-Table1[[#This Row],[RET ISR]]-Table1[[#This Row],[TOTAL]]</f>
        <v>0</v>
      </c>
      <c r="AE3014" s="152"/>
      <c r="AF3014" s="153"/>
      <c r="AG3014" s="126"/>
      <c r="AK3014" s="306" t="str">
        <f>IF(ISNUMBER(Table1[[#This Row],[FECHA DE RECIBIDO]]), Table1[[#This Row],[FECHA DE RECIBIDO]]-DATE(2023,8,30), "")</f>
        <v/>
      </c>
    </row>
    <row r="3015" spans="1:37" ht="16.05" customHeight="1">
      <c r="A3015" s="150"/>
      <c r="B3015" s="151">
        <v>1111</v>
      </c>
      <c r="C3015" s="126" t="s">
        <v>2197</v>
      </c>
      <c r="D3015">
        <v>2054</v>
      </c>
      <c r="E3015" s="126" t="s">
        <v>3354</v>
      </c>
      <c r="F3015" s="122" t="s">
        <v>1371</v>
      </c>
      <c r="G3015" s="122" t="s">
        <v>2065</v>
      </c>
      <c r="H3015">
        <v>454</v>
      </c>
      <c r="I3015" s="122" t="s">
        <v>1546</v>
      </c>
      <c r="J3015" s="307" t="s">
        <v>214</v>
      </c>
      <c r="K3015" s="127" t="s">
        <v>4112</v>
      </c>
      <c r="L3015" s="151" t="s">
        <v>3306</v>
      </c>
      <c r="M3015">
        <v>630</v>
      </c>
      <c r="N3015" s="123">
        <v>1</v>
      </c>
      <c r="O3015">
        <v>1480</v>
      </c>
      <c r="P3015" s="132" t="s">
        <v>77</v>
      </c>
      <c r="Q3015" s="131">
        <v>7360.68</v>
      </c>
      <c r="R3015" s="131">
        <v>949.58840000000009</v>
      </c>
      <c r="S3015" s="131"/>
      <c r="T3015" s="155">
        <v>0</v>
      </c>
      <c r="U3015" s="131">
        <v>0</v>
      </c>
      <c r="V3015" s="131">
        <f t="shared" si="56"/>
        <v>8310.2684000000008</v>
      </c>
      <c r="W3015">
        <v>242</v>
      </c>
      <c r="X3015" s="151" t="s">
        <v>2035</v>
      </c>
      <c r="Y3015" s="135" t="s">
        <v>55</v>
      </c>
      <c r="Z3015" s="307">
        <v>244</v>
      </c>
      <c r="AB3015" t="str">
        <f>IF(Table1[[#This Row],[TIPO2]]="costo", VLOOKUP(Table1[[#This Row],[PARTIDA PRESUPUESTAL]],'Cost Report'!G:G,1,0),"Balance")</f>
        <v>1403-066</v>
      </c>
      <c r="AC3015" s="118"/>
      <c r="AD3015" s="159">
        <f>+Table1[[#This Row],[SUBTOTAL]]+Table1[[#This Row],[IVA]]-Table1[[#This Row],[RET IVA]]-Table1[[#This Row],[RET ISR]]-Table1[[#This Row],[TOTAL]]</f>
        <v>0</v>
      </c>
      <c r="AE3015" s="150"/>
      <c r="AF3015" s="151"/>
      <c r="AG3015" s="126"/>
      <c r="AK3015" s="306" t="str">
        <f>IF(ISNUMBER(Table1[[#This Row],[FECHA DE RECIBIDO]]), Table1[[#This Row],[FECHA DE RECIBIDO]]-DATE(2023,8,30), "")</f>
        <v/>
      </c>
    </row>
    <row r="3016" spans="1:37" ht="16.05" customHeight="1">
      <c r="A3016" s="152"/>
      <c r="B3016" s="153">
        <v>1111</v>
      </c>
      <c r="C3016" s="126" t="s">
        <v>2202</v>
      </c>
      <c r="D3016">
        <v>2054</v>
      </c>
      <c r="E3016" s="126" t="s">
        <v>3354</v>
      </c>
      <c r="F3016" s="125" t="s">
        <v>1371</v>
      </c>
      <c r="G3016" s="125" t="s">
        <v>2065</v>
      </c>
      <c r="H3016">
        <v>454</v>
      </c>
      <c r="I3016" s="125" t="s">
        <v>1546</v>
      </c>
      <c r="J3016" s="308" t="s">
        <v>214</v>
      </c>
      <c r="K3016" s="127" t="s">
        <v>4112</v>
      </c>
      <c r="L3016" s="153" t="s">
        <v>3306</v>
      </c>
      <c r="M3016">
        <v>630</v>
      </c>
      <c r="N3016" s="123">
        <v>1</v>
      </c>
      <c r="O3016">
        <v>1480</v>
      </c>
      <c r="P3016" s="132" t="s">
        <v>77</v>
      </c>
      <c r="Q3016" s="132">
        <v>7360.68</v>
      </c>
      <c r="R3016" s="132">
        <v>949.58840000000009</v>
      </c>
      <c r="S3016" s="132"/>
      <c r="T3016" s="156">
        <v>0</v>
      </c>
      <c r="U3016" s="132">
        <v>0</v>
      </c>
      <c r="V3016" s="132">
        <f t="shared" si="56"/>
        <v>8310.2684000000008</v>
      </c>
      <c r="W3016">
        <v>242</v>
      </c>
      <c r="X3016" s="153" t="s">
        <v>2035</v>
      </c>
      <c r="Y3016" s="124" t="s">
        <v>55</v>
      </c>
      <c r="Z3016" s="308">
        <v>244</v>
      </c>
      <c r="AB3016" t="str">
        <f>IF(Table1[[#This Row],[TIPO2]]="costo", VLOOKUP(Table1[[#This Row],[PARTIDA PRESUPUESTAL]],'Cost Report'!G:G,1,0),"Balance")</f>
        <v>1403-073</v>
      </c>
      <c r="AC3016" s="118"/>
      <c r="AD3016" s="159">
        <f>+Table1[[#This Row],[SUBTOTAL]]+Table1[[#This Row],[IVA]]-Table1[[#This Row],[RET IVA]]-Table1[[#This Row],[RET ISR]]-Table1[[#This Row],[TOTAL]]</f>
        <v>0</v>
      </c>
      <c r="AE3016" s="152"/>
      <c r="AF3016" s="153"/>
      <c r="AG3016" s="126"/>
      <c r="AK3016" s="306" t="str">
        <f>IF(ISNUMBER(Table1[[#This Row],[FECHA DE RECIBIDO]]), Table1[[#This Row],[FECHA DE RECIBIDO]]-DATE(2023,8,30), "")</f>
        <v/>
      </c>
    </row>
    <row r="3017" spans="1:37" ht="16.05" customHeight="1">
      <c r="A3017" s="150"/>
      <c r="B3017" s="151">
        <v>1111</v>
      </c>
      <c r="C3017" s="126" t="s">
        <v>357</v>
      </c>
      <c r="D3017">
        <v>2054</v>
      </c>
      <c r="E3017" s="126" t="s">
        <v>3354</v>
      </c>
      <c r="F3017" s="122" t="s">
        <v>1371</v>
      </c>
      <c r="G3017" s="122" t="s">
        <v>2065</v>
      </c>
      <c r="H3017">
        <v>454</v>
      </c>
      <c r="I3017" s="122" t="s">
        <v>1546</v>
      </c>
      <c r="J3017" s="307" t="s">
        <v>214</v>
      </c>
      <c r="K3017" s="127" t="s">
        <v>4112</v>
      </c>
      <c r="L3017" s="151" t="s">
        <v>3306</v>
      </c>
      <c r="M3017">
        <v>630</v>
      </c>
      <c r="N3017" s="123">
        <v>1</v>
      </c>
      <c r="O3017">
        <v>1480</v>
      </c>
      <c r="P3017" s="132" t="s">
        <v>77</v>
      </c>
      <c r="Q3017" s="131">
        <v>3654.88</v>
      </c>
      <c r="R3017" s="131">
        <v>467.83440000000002</v>
      </c>
      <c r="S3017" s="131"/>
      <c r="T3017" s="155">
        <v>0</v>
      </c>
      <c r="U3017" s="131">
        <v>0</v>
      </c>
      <c r="V3017" s="131">
        <f t="shared" si="56"/>
        <v>4122.7143999999998</v>
      </c>
      <c r="W3017">
        <v>242</v>
      </c>
      <c r="X3017" s="151" t="s">
        <v>2035</v>
      </c>
      <c r="Y3017" s="135" t="s">
        <v>55</v>
      </c>
      <c r="Z3017" s="307">
        <v>244</v>
      </c>
      <c r="AB3017" t="str">
        <f>IF(Table1[[#This Row],[TIPO2]]="costo", VLOOKUP(Table1[[#This Row],[PARTIDA PRESUPUESTAL]],'Cost Report'!G:G,1,0),"Balance")</f>
        <v>1404-006</v>
      </c>
      <c r="AC3017" s="118"/>
      <c r="AD3017" s="159">
        <f>+Table1[[#This Row],[SUBTOTAL]]+Table1[[#This Row],[IVA]]-Table1[[#This Row],[RET IVA]]-Table1[[#This Row],[RET ISR]]-Table1[[#This Row],[TOTAL]]</f>
        <v>0</v>
      </c>
      <c r="AE3017" s="150"/>
      <c r="AF3017" s="151"/>
      <c r="AG3017" s="126"/>
      <c r="AK3017" s="306" t="str">
        <f>IF(ISNUMBER(Table1[[#This Row],[FECHA DE RECIBIDO]]), Table1[[#This Row],[FECHA DE RECIBIDO]]-DATE(2023,8,30), "")</f>
        <v/>
      </c>
    </row>
    <row r="3018" spans="1:37" ht="16.05" customHeight="1">
      <c r="A3018" s="152"/>
      <c r="B3018" s="153">
        <v>1111</v>
      </c>
      <c r="C3018" s="126" t="s">
        <v>2219</v>
      </c>
      <c r="D3018">
        <v>2054</v>
      </c>
      <c r="E3018" s="126" t="s">
        <v>3354</v>
      </c>
      <c r="F3018" s="125" t="s">
        <v>1371</v>
      </c>
      <c r="G3018" s="125" t="s">
        <v>2065</v>
      </c>
      <c r="H3018">
        <v>454</v>
      </c>
      <c r="I3018" s="125" t="s">
        <v>1546</v>
      </c>
      <c r="J3018" s="308" t="s">
        <v>214</v>
      </c>
      <c r="K3018" s="127" t="s">
        <v>4112</v>
      </c>
      <c r="L3018" s="153" t="s">
        <v>3306</v>
      </c>
      <c r="M3018">
        <v>630</v>
      </c>
      <c r="N3018" s="123">
        <v>1</v>
      </c>
      <c r="O3018">
        <v>1480</v>
      </c>
      <c r="P3018" s="132" t="s">
        <v>77</v>
      </c>
      <c r="Q3018" s="132">
        <v>1711.01</v>
      </c>
      <c r="R3018" s="132">
        <v>215.13129999999998</v>
      </c>
      <c r="S3018" s="132"/>
      <c r="T3018" s="156">
        <v>0</v>
      </c>
      <c r="U3018" s="132">
        <v>0</v>
      </c>
      <c r="V3018" s="132">
        <f t="shared" si="56"/>
        <v>1926.1413</v>
      </c>
      <c r="W3018">
        <v>242</v>
      </c>
      <c r="X3018" s="153" t="s">
        <v>2035</v>
      </c>
      <c r="Y3018" s="124" t="s">
        <v>55</v>
      </c>
      <c r="Z3018" s="308">
        <v>244</v>
      </c>
      <c r="AB3018" t="str">
        <f>IF(Table1[[#This Row],[TIPO2]]="costo", VLOOKUP(Table1[[#This Row],[PARTIDA PRESUPUESTAL]],'Cost Report'!G:G,1,0),"Balance")</f>
        <v>1406-004</v>
      </c>
      <c r="AC3018" s="118"/>
      <c r="AD3018" s="159">
        <f>+Table1[[#This Row],[SUBTOTAL]]+Table1[[#This Row],[IVA]]-Table1[[#This Row],[RET IVA]]-Table1[[#This Row],[RET ISR]]-Table1[[#This Row],[TOTAL]]</f>
        <v>0</v>
      </c>
      <c r="AE3018" s="152"/>
      <c r="AF3018" s="153"/>
      <c r="AG3018" s="126"/>
      <c r="AK3018" s="306" t="str">
        <f>IF(ISNUMBER(Table1[[#This Row],[FECHA DE RECIBIDO]]), Table1[[#This Row],[FECHA DE RECIBIDO]]-DATE(2023,8,30), "")</f>
        <v/>
      </c>
    </row>
    <row r="3019" spans="1:37" ht="16.05" customHeight="1">
      <c r="A3019" s="150"/>
      <c r="B3019" s="151">
        <v>1111</v>
      </c>
      <c r="C3019" s="126" t="s">
        <v>2220</v>
      </c>
      <c r="D3019">
        <v>2054</v>
      </c>
      <c r="E3019" s="126" t="s">
        <v>3354</v>
      </c>
      <c r="F3019" s="122" t="s">
        <v>1371</v>
      </c>
      <c r="G3019" s="122" t="s">
        <v>2065</v>
      </c>
      <c r="H3019">
        <v>454</v>
      </c>
      <c r="I3019" s="122" t="s">
        <v>1546</v>
      </c>
      <c r="J3019" s="307" t="s">
        <v>214</v>
      </c>
      <c r="K3019" s="127" t="s">
        <v>4112</v>
      </c>
      <c r="L3019" s="151" t="s">
        <v>3306</v>
      </c>
      <c r="M3019">
        <v>630</v>
      </c>
      <c r="N3019" s="123">
        <v>1</v>
      </c>
      <c r="O3019">
        <v>1480</v>
      </c>
      <c r="P3019" s="132" t="s">
        <v>77</v>
      </c>
      <c r="Q3019" s="131">
        <v>10266.06</v>
      </c>
      <c r="R3019" s="131">
        <v>1327.2878000000001</v>
      </c>
      <c r="S3019" s="131"/>
      <c r="T3019" s="155">
        <v>0</v>
      </c>
      <c r="U3019" s="131">
        <v>0</v>
      </c>
      <c r="V3019" s="131">
        <f t="shared" si="56"/>
        <v>11593.3478</v>
      </c>
      <c r="W3019">
        <v>242</v>
      </c>
      <c r="X3019" s="151" t="s">
        <v>2035</v>
      </c>
      <c r="Y3019" s="135" t="s">
        <v>55</v>
      </c>
      <c r="Z3019" s="307">
        <v>244</v>
      </c>
      <c r="AB3019" t="str">
        <f>IF(Table1[[#This Row],[TIPO2]]="costo", VLOOKUP(Table1[[#This Row],[PARTIDA PRESUPUESTAL]],'Cost Report'!G:G,1,0),"Balance")</f>
        <v>1406-005</v>
      </c>
      <c r="AC3019" s="118"/>
      <c r="AD3019" s="159">
        <f>+Table1[[#This Row],[SUBTOTAL]]+Table1[[#This Row],[IVA]]-Table1[[#This Row],[RET IVA]]-Table1[[#This Row],[RET ISR]]-Table1[[#This Row],[TOTAL]]</f>
        <v>0</v>
      </c>
      <c r="AE3019" s="150"/>
      <c r="AF3019" s="151"/>
      <c r="AG3019" s="126"/>
      <c r="AK3019" s="306" t="str">
        <f>IF(ISNUMBER(Table1[[#This Row],[FECHA DE RECIBIDO]]), Table1[[#This Row],[FECHA DE RECIBIDO]]-DATE(2023,8,30), "")</f>
        <v/>
      </c>
    </row>
    <row r="3020" spans="1:37" ht="16.05" customHeight="1">
      <c r="A3020" s="152"/>
      <c r="B3020" s="153">
        <v>1111</v>
      </c>
      <c r="C3020" s="126" t="s">
        <v>2221</v>
      </c>
      <c r="D3020">
        <v>2054</v>
      </c>
      <c r="E3020" s="126" t="s">
        <v>3354</v>
      </c>
      <c r="F3020" s="125" t="s">
        <v>1371</v>
      </c>
      <c r="G3020" s="125" t="s">
        <v>2065</v>
      </c>
      <c r="H3020">
        <v>454</v>
      </c>
      <c r="I3020" s="125" t="s">
        <v>1546</v>
      </c>
      <c r="J3020" s="308" t="s">
        <v>214</v>
      </c>
      <c r="K3020" s="127" t="s">
        <v>4112</v>
      </c>
      <c r="L3020" s="153" t="s">
        <v>3306</v>
      </c>
      <c r="M3020">
        <v>630</v>
      </c>
      <c r="N3020" s="123">
        <v>1</v>
      </c>
      <c r="O3020">
        <v>1480</v>
      </c>
      <c r="P3020" s="132" t="s">
        <v>77</v>
      </c>
      <c r="Q3020" s="132">
        <v>14296.5</v>
      </c>
      <c r="R3020" s="132">
        <v>1851.2450000000001</v>
      </c>
      <c r="S3020" s="132"/>
      <c r="T3020" s="156">
        <v>0</v>
      </c>
      <c r="U3020" s="132">
        <v>0</v>
      </c>
      <c r="V3020" s="132">
        <f t="shared" si="56"/>
        <v>16147.745000000001</v>
      </c>
      <c r="W3020">
        <v>242</v>
      </c>
      <c r="X3020" s="153" t="s">
        <v>2035</v>
      </c>
      <c r="Y3020" s="124" t="s">
        <v>55</v>
      </c>
      <c r="Z3020" s="308">
        <v>244</v>
      </c>
      <c r="AB3020" t="str">
        <f>IF(Table1[[#This Row],[TIPO2]]="costo", VLOOKUP(Table1[[#This Row],[PARTIDA PRESUPUESTAL]],'Cost Report'!G:G,1,0),"Balance")</f>
        <v>1406-006</v>
      </c>
      <c r="AC3020" s="118"/>
      <c r="AD3020" s="159">
        <f>+Table1[[#This Row],[SUBTOTAL]]+Table1[[#This Row],[IVA]]-Table1[[#This Row],[RET IVA]]-Table1[[#This Row],[RET ISR]]-Table1[[#This Row],[TOTAL]]</f>
        <v>0</v>
      </c>
      <c r="AE3020" s="152"/>
      <c r="AF3020" s="153"/>
      <c r="AG3020" s="126"/>
      <c r="AK3020" s="306" t="str">
        <f>IF(ISNUMBER(Table1[[#This Row],[FECHA DE RECIBIDO]]), Table1[[#This Row],[FECHA DE RECIBIDO]]-DATE(2023,8,30), "")</f>
        <v/>
      </c>
    </row>
    <row r="3021" spans="1:37" ht="16.05" customHeight="1">
      <c r="A3021" s="150"/>
      <c r="B3021" s="151">
        <v>1111</v>
      </c>
      <c r="C3021" s="126" t="s">
        <v>369</v>
      </c>
      <c r="D3021">
        <v>2054</v>
      </c>
      <c r="E3021" s="126" t="s">
        <v>3354</v>
      </c>
      <c r="F3021" s="122" t="s">
        <v>1371</v>
      </c>
      <c r="G3021" s="122" t="s">
        <v>2065</v>
      </c>
      <c r="H3021">
        <v>454</v>
      </c>
      <c r="I3021" s="122" t="s">
        <v>1546</v>
      </c>
      <c r="J3021" s="307" t="s">
        <v>214</v>
      </c>
      <c r="K3021" s="127" t="s">
        <v>4112</v>
      </c>
      <c r="L3021" s="151" t="s">
        <v>3306</v>
      </c>
      <c r="M3021">
        <v>630</v>
      </c>
      <c r="N3021" s="123">
        <v>1</v>
      </c>
      <c r="O3021">
        <v>1480</v>
      </c>
      <c r="P3021" s="132" t="s">
        <v>77</v>
      </c>
      <c r="Q3021" s="131">
        <v>7360.68</v>
      </c>
      <c r="R3021" s="131">
        <v>949.58840000000009</v>
      </c>
      <c r="S3021" s="131"/>
      <c r="T3021" s="155">
        <v>0</v>
      </c>
      <c r="U3021" s="131">
        <v>0</v>
      </c>
      <c r="V3021" s="131">
        <f t="shared" si="56"/>
        <v>8310.2684000000008</v>
      </c>
      <c r="W3021">
        <v>242</v>
      </c>
      <c r="X3021" s="151" t="s">
        <v>2035</v>
      </c>
      <c r="Y3021" s="135" t="s">
        <v>55</v>
      </c>
      <c r="Z3021" s="307">
        <v>244</v>
      </c>
      <c r="AB3021" t="str">
        <f>IF(Table1[[#This Row],[TIPO2]]="costo", VLOOKUP(Table1[[#This Row],[PARTIDA PRESUPUESTAL]],'Cost Report'!G:G,1,0),"Balance")</f>
        <v>1410-009</v>
      </c>
      <c r="AC3021" s="118"/>
      <c r="AD3021" s="159">
        <f>+Table1[[#This Row],[SUBTOTAL]]+Table1[[#This Row],[IVA]]-Table1[[#This Row],[RET IVA]]-Table1[[#This Row],[RET ISR]]-Table1[[#This Row],[TOTAL]]</f>
        <v>0</v>
      </c>
      <c r="AE3021" s="150"/>
      <c r="AF3021" s="151"/>
      <c r="AG3021" s="126"/>
      <c r="AK3021" s="306" t="str">
        <f>IF(ISNUMBER(Table1[[#This Row],[FECHA DE RECIBIDO]]), Table1[[#This Row],[FECHA DE RECIBIDO]]-DATE(2023,8,30), "")</f>
        <v/>
      </c>
    </row>
    <row r="3022" spans="1:37" ht="16.05" customHeight="1">
      <c r="A3022" s="152"/>
      <c r="B3022" s="153">
        <v>1111</v>
      </c>
      <c r="C3022" s="126" t="s">
        <v>371</v>
      </c>
      <c r="D3022">
        <v>2054</v>
      </c>
      <c r="E3022" s="126" t="s">
        <v>3354</v>
      </c>
      <c r="F3022" s="125" t="s">
        <v>1371</v>
      </c>
      <c r="G3022" s="125" t="s">
        <v>2065</v>
      </c>
      <c r="H3022">
        <v>454</v>
      </c>
      <c r="I3022" s="125" t="s">
        <v>1546</v>
      </c>
      <c r="J3022" s="308" t="s">
        <v>214</v>
      </c>
      <c r="K3022" s="127" t="s">
        <v>4112</v>
      </c>
      <c r="L3022" s="153" t="s">
        <v>3306</v>
      </c>
      <c r="M3022">
        <v>630</v>
      </c>
      <c r="N3022" s="123">
        <v>1</v>
      </c>
      <c r="O3022">
        <v>1480</v>
      </c>
      <c r="P3022" s="132" t="s">
        <v>77</v>
      </c>
      <c r="Q3022" s="132">
        <v>820.52</v>
      </c>
      <c r="R3022" s="132">
        <v>99.36760000000001</v>
      </c>
      <c r="S3022" s="132"/>
      <c r="T3022" s="156">
        <v>0</v>
      </c>
      <c r="U3022" s="132">
        <v>0</v>
      </c>
      <c r="V3022" s="132">
        <f t="shared" si="56"/>
        <v>919.88760000000002</v>
      </c>
      <c r="W3022">
        <v>242</v>
      </c>
      <c r="X3022" s="153" t="s">
        <v>2035</v>
      </c>
      <c r="Y3022" s="124" t="s">
        <v>55</v>
      </c>
      <c r="Z3022" s="308">
        <v>244</v>
      </c>
      <c r="AB3022" t="str">
        <f>IF(Table1[[#This Row],[TIPO2]]="costo", VLOOKUP(Table1[[#This Row],[PARTIDA PRESUPUESTAL]],'Cost Report'!G:G,1,0),"Balance")</f>
        <v>1410-011</v>
      </c>
      <c r="AC3022" s="118"/>
      <c r="AD3022" s="159">
        <f>+Table1[[#This Row],[SUBTOTAL]]+Table1[[#This Row],[IVA]]-Table1[[#This Row],[RET IVA]]-Table1[[#This Row],[RET ISR]]-Table1[[#This Row],[TOTAL]]</f>
        <v>0</v>
      </c>
      <c r="AE3022" s="152"/>
      <c r="AF3022" s="153"/>
      <c r="AG3022" s="126"/>
      <c r="AK3022" s="306" t="str">
        <f>IF(ISNUMBER(Table1[[#This Row],[FECHA DE RECIBIDO]]), Table1[[#This Row],[FECHA DE RECIBIDO]]-DATE(2023,8,30), "")</f>
        <v/>
      </c>
    </row>
    <row r="3023" spans="1:37" ht="16.05" customHeight="1">
      <c r="A3023" s="150"/>
      <c r="B3023" s="151">
        <v>1111</v>
      </c>
      <c r="C3023" s="126" t="s">
        <v>2230</v>
      </c>
      <c r="D3023">
        <v>2054</v>
      </c>
      <c r="E3023" s="126" t="s">
        <v>3354</v>
      </c>
      <c r="F3023" s="122" t="s">
        <v>1371</v>
      </c>
      <c r="G3023" s="122" t="s">
        <v>2065</v>
      </c>
      <c r="H3023">
        <v>454</v>
      </c>
      <c r="I3023" s="122" t="s">
        <v>1546</v>
      </c>
      <c r="J3023" s="307" t="s">
        <v>214</v>
      </c>
      <c r="K3023" s="127" t="s">
        <v>4112</v>
      </c>
      <c r="L3023" s="151" t="s">
        <v>3306</v>
      </c>
      <c r="M3023">
        <v>630</v>
      </c>
      <c r="N3023" s="123">
        <v>1</v>
      </c>
      <c r="O3023">
        <v>1480</v>
      </c>
      <c r="P3023" s="132" t="s">
        <v>77</v>
      </c>
      <c r="Q3023" s="131">
        <v>7360.68</v>
      </c>
      <c r="R3023" s="131">
        <v>949.58840000000009</v>
      </c>
      <c r="S3023" s="131"/>
      <c r="T3023" s="155">
        <v>0</v>
      </c>
      <c r="U3023" s="131">
        <v>0</v>
      </c>
      <c r="V3023" s="131">
        <f t="shared" si="56"/>
        <v>8310.2684000000008</v>
      </c>
      <c r="W3023">
        <v>242</v>
      </c>
      <c r="X3023" s="151" t="s">
        <v>2035</v>
      </c>
      <c r="Y3023" s="135" t="s">
        <v>55</v>
      </c>
      <c r="Z3023" s="307">
        <v>244</v>
      </c>
      <c r="AB3023" t="str">
        <f>IF(Table1[[#This Row],[TIPO2]]="costo", VLOOKUP(Table1[[#This Row],[PARTIDA PRESUPUESTAL]],'Cost Report'!G:G,1,0),"Balance")</f>
        <v>1410-022</v>
      </c>
      <c r="AC3023" s="118"/>
      <c r="AD3023" s="159">
        <f>+Table1[[#This Row],[SUBTOTAL]]+Table1[[#This Row],[IVA]]-Table1[[#This Row],[RET IVA]]-Table1[[#This Row],[RET ISR]]-Table1[[#This Row],[TOTAL]]</f>
        <v>0</v>
      </c>
      <c r="AE3023" s="150"/>
      <c r="AF3023" s="151"/>
      <c r="AG3023" s="126"/>
      <c r="AK3023" s="306" t="str">
        <f>IF(ISNUMBER(Table1[[#This Row],[FECHA DE RECIBIDO]]), Table1[[#This Row],[FECHA DE RECIBIDO]]-DATE(2023,8,30), "")</f>
        <v/>
      </c>
    </row>
    <row r="3024" spans="1:37" ht="16.05" customHeight="1">
      <c r="A3024" s="152"/>
      <c r="B3024" s="153">
        <v>1111</v>
      </c>
      <c r="C3024" s="126" t="s">
        <v>2232</v>
      </c>
      <c r="D3024">
        <v>2054</v>
      </c>
      <c r="E3024" s="126" t="s">
        <v>3354</v>
      </c>
      <c r="F3024" s="125" t="s">
        <v>1371</v>
      </c>
      <c r="G3024" s="125" t="s">
        <v>2065</v>
      </c>
      <c r="H3024">
        <v>454</v>
      </c>
      <c r="I3024" s="125" t="s">
        <v>1546</v>
      </c>
      <c r="J3024" s="308" t="s">
        <v>214</v>
      </c>
      <c r="K3024" s="127" t="s">
        <v>4112</v>
      </c>
      <c r="L3024" s="153" t="s">
        <v>3306</v>
      </c>
      <c r="M3024">
        <v>630</v>
      </c>
      <c r="N3024" s="123">
        <v>1</v>
      </c>
      <c r="O3024">
        <v>1480</v>
      </c>
      <c r="P3024" s="132" t="s">
        <v>77</v>
      </c>
      <c r="Q3024" s="132">
        <v>820.52</v>
      </c>
      <c r="R3024" s="132">
        <v>99.36760000000001</v>
      </c>
      <c r="S3024" s="132"/>
      <c r="T3024" s="156">
        <v>0</v>
      </c>
      <c r="U3024" s="132">
        <v>0</v>
      </c>
      <c r="V3024" s="132">
        <f t="shared" si="56"/>
        <v>919.88760000000002</v>
      </c>
      <c r="W3024">
        <v>242</v>
      </c>
      <c r="X3024" s="153" t="s">
        <v>2035</v>
      </c>
      <c r="Y3024" s="124" t="s">
        <v>55</v>
      </c>
      <c r="Z3024" s="308">
        <v>244</v>
      </c>
      <c r="AB3024" t="str">
        <f>IF(Table1[[#This Row],[TIPO2]]="costo", VLOOKUP(Table1[[#This Row],[PARTIDA PRESUPUESTAL]],'Cost Report'!G:G,1,0),"Balance")</f>
        <v>1410-024</v>
      </c>
      <c r="AC3024" s="118"/>
      <c r="AD3024" s="159">
        <f>+Table1[[#This Row],[SUBTOTAL]]+Table1[[#This Row],[IVA]]-Table1[[#This Row],[RET IVA]]-Table1[[#This Row],[RET ISR]]-Table1[[#This Row],[TOTAL]]</f>
        <v>0</v>
      </c>
      <c r="AE3024" s="152"/>
      <c r="AF3024" s="153"/>
      <c r="AG3024" s="126"/>
      <c r="AK3024" s="306" t="str">
        <f>IF(ISNUMBER(Table1[[#This Row],[FECHA DE RECIBIDO]]), Table1[[#This Row],[FECHA DE RECIBIDO]]-DATE(2023,8,30), "")</f>
        <v/>
      </c>
    </row>
    <row r="3025" spans="1:37" ht="16.05" customHeight="1">
      <c r="A3025" s="150"/>
      <c r="B3025" s="151">
        <v>1111</v>
      </c>
      <c r="C3025" s="126" t="s">
        <v>1416</v>
      </c>
      <c r="D3025">
        <v>2054</v>
      </c>
      <c r="E3025" s="126" t="s">
        <v>3354</v>
      </c>
      <c r="F3025" s="122" t="s">
        <v>1371</v>
      </c>
      <c r="G3025" s="122" t="s">
        <v>2065</v>
      </c>
      <c r="H3025">
        <v>454</v>
      </c>
      <c r="I3025" s="122" t="s">
        <v>1546</v>
      </c>
      <c r="J3025" s="307" t="s">
        <v>214</v>
      </c>
      <c r="K3025" s="127" t="s">
        <v>4112</v>
      </c>
      <c r="L3025" s="151" t="s">
        <v>3306</v>
      </c>
      <c r="M3025">
        <v>630</v>
      </c>
      <c r="N3025" s="123">
        <v>1</v>
      </c>
      <c r="O3025">
        <v>1480</v>
      </c>
      <c r="P3025" s="132" t="s">
        <v>77</v>
      </c>
      <c r="Q3025" s="131">
        <v>169673.93</v>
      </c>
      <c r="R3025" s="131">
        <v>22050.3109</v>
      </c>
      <c r="S3025" s="131"/>
      <c r="T3025" s="155">
        <v>0</v>
      </c>
      <c r="U3025" s="131">
        <v>0</v>
      </c>
      <c r="V3025" s="131">
        <f t="shared" si="56"/>
        <v>191724.2409</v>
      </c>
      <c r="W3025">
        <v>242</v>
      </c>
      <c r="X3025" s="151" t="s">
        <v>2035</v>
      </c>
      <c r="Y3025" s="135" t="s">
        <v>55</v>
      </c>
      <c r="Z3025" s="307">
        <v>244</v>
      </c>
      <c r="AB3025" t="str">
        <f>IF(Table1[[#This Row],[TIPO2]]="costo", VLOOKUP(Table1[[#This Row],[PARTIDA PRESUPUESTAL]],'Cost Report'!G:G,1,0),"Balance")</f>
        <v>1499-001</v>
      </c>
      <c r="AC3025" s="118"/>
      <c r="AD3025" s="159">
        <f>+Table1[[#This Row],[SUBTOTAL]]+Table1[[#This Row],[IVA]]-Table1[[#This Row],[RET IVA]]-Table1[[#This Row],[RET ISR]]-Table1[[#This Row],[TOTAL]]</f>
        <v>0</v>
      </c>
      <c r="AE3025" s="150"/>
      <c r="AF3025" s="151"/>
      <c r="AG3025" s="126"/>
      <c r="AK3025" s="306" t="str">
        <f>IF(ISNUMBER(Table1[[#This Row],[FECHA DE RECIBIDO]]), Table1[[#This Row],[FECHA DE RECIBIDO]]-DATE(2023,8,30), "")</f>
        <v/>
      </c>
    </row>
    <row r="3026" spans="1:37" ht="16.05" customHeight="1">
      <c r="A3026" s="152"/>
      <c r="B3026" s="153">
        <v>1111</v>
      </c>
      <c r="C3026" s="126" t="s">
        <v>1416</v>
      </c>
      <c r="D3026">
        <v>2054</v>
      </c>
      <c r="E3026" s="126" t="s">
        <v>3354</v>
      </c>
      <c r="F3026" s="125" t="s">
        <v>1371</v>
      </c>
      <c r="G3026" s="125" t="s">
        <v>2065</v>
      </c>
      <c r="H3026">
        <v>454</v>
      </c>
      <c r="I3026" s="125" t="s">
        <v>1546</v>
      </c>
      <c r="J3026" s="308" t="s">
        <v>214</v>
      </c>
      <c r="K3026" s="127" t="s">
        <v>4112</v>
      </c>
      <c r="L3026" s="153" t="s">
        <v>3306</v>
      </c>
      <c r="M3026">
        <v>630</v>
      </c>
      <c r="N3026" s="123">
        <v>1</v>
      </c>
      <c r="O3026">
        <v>1480</v>
      </c>
      <c r="P3026" s="132" t="s">
        <v>77</v>
      </c>
      <c r="Q3026" s="132">
        <v>2092.2600000000002</v>
      </c>
      <c r="R3026" s="132">
        <v>266.29380000000003</v>
      </c>
      <c r="S3026" s="132"/>
      <c r="T3026" s="156">
        <v>0</v>
      </c>
      <c r="U3026" s="132">
        <v>0</v>
      </c>
      <c r="V3026" s="132">
        <f t="shared" si="56"/>
        <v>2358.5538000000001</v>
      </c>
      <c r="W3026">
        <v>242</v>
      </c>
      <c r="X3026" s="153" t="s">
        <v>2035</v>
      </c>
      <c r="Y3026" s="124" t="s">
        <v>55</v>
      </c>
      <c r="Z3026" s="308">
        <v>244</v>
      </c>
      <c r="AB3026" t="str">
        <f>IF(Table1[[#This Row],[TIPO2]]="costo", VLOOKUP(Table1[[#This Row],[PARTIDA PRESUPUESTAL]],'Cost Report'!G:G,1,0),"Balance")</f>
        <v>1499-001</v>
      </c>
      <c r="AC3026" s="118"/>
      <c r="AD3026" s="159">
        <f>+Table1[[#This Row],[SUBTOTAL]]+Table1[[#This Row],[IVA]]-Table1[[#This Row],[RET IVA]]-Table1[[#This Row],[RET ISR]]-Table1[[#This Row],[TOTAL]]</f>
        <v>0</v>
      </c>
      <c r="AE3026" s="152"/>
      <c r="AF3026" s="153"/>
      <c r="AG3026" s="126"/>
      <c r="AK3026" s="306" t="str">
        <f>IF(ISNUMBER(Table1[[#This Row],[FECHA DE RECIBIDO]]), Table1[[#This Row],[FECHA DE RECIBIDO]]-DATE(2023,8,30), "")</f>
        <v/>
      </c>
    </row>
    <row r="3027" spans="1:37" ht="16.05" customHeight="1">
      <c r="A3027" s="150" t="s">
        <v>4127</v>
      </c>
      <c r="B3027" s="151">
        <v>1112</v>
      </c>
      <c r="C3027" s="126" t="s">
        <v>2312</v>
      </c>
      <c r="D3027">
        <v>2055</v>
      </c>
      <c r="E3027" s="126" t="s">
        <v>3179</v>
      </c>
      <c r="F3027" s="122" t="s">
        <v>1593</v>
      </c>
      <c r="G3027" s="122" t="s">
        <v>109</v>
      </c>
      <c r="H3027">
        <v>581</v>
      </c>
      <c r="I3027" s="122" t="s">
        <v>1546</v>
      </c>
      <c r="J3027" s="307" t="s">
        <v>214</v>
      </c>
      <c r="K3027" s="127" t="s">
        <v>4112</v>
      </c>
      <c r="L3027" s="151" t="s">
        <v>3306</v>
      </c>
      <c r="M3027">
        <v>824</v>
      </c>
      <c r="N3027" s="123">
        <v>1</v>
      </c>
      <c r="O3027">
        <v>2013</v>
      </c>
      <c r="P3027" s="132" t="s">
        <v>77</v>
      </c>
      <c r="Q3027" s="131">
        <v>2100</v>
      </c>
      <c r="R3027" s="131">
        <f t="shared" ref="R3027:R3030" si="59">Q3027*0.16</f>
        <v>336</v>
      </c>
      <c r="S3027" s="131"/>
      <c r="T3027" s="155">
        <f t="shared" ref="T3027:T3030" si="60">Q3027*0.106667</f>
        <v>224.00069999999999</v>
      </c>
      <c r="U3027" s="131">
        <f t="shared" ref="U3027:U3030" si="61">Q3027*0.0125</f>
        <v>26.25</v>
      </c>
      <c r="V3027" s="131">
        <f t="shared" si="56"/>
        <v>2185.7492999999999</v>
      </c>
      <c r="W3027">
        <v>328</v>
      </c>
      <c r="X3027" s="151" t="s">
        <v>195</v>
      </c>
      <c r="Y3027" s="135" t="s">
        <v>55</v>
      </c>
      <c r="Z3027" s="307">
        <v>244</v>
      </c>
      <c r="AB3027" t="str">
        <f>IF(Table1[[#This Row],[TIPO2]]="costo", VLOOKUP(Table1[[#This Row],[PARTIDA PRESUPUESTAL]],'Cost Report'!G:G,1,0),"Balance")</f>
        <v>1413-016</v>
      </c>
      <c r="AC3027" s="118"/>
      <c r="AD3027" s="159">
        <f>+Table1[[#This Row],[SUBTOTAL]]+Table1[[#This Row],[IVA]]-Table1[[#This Row],[RET IVA]]-Table1[[#This Row],[RET ISR]]-Table1[[#This Row],[TOTAL]]</f>
        <v>0</v>
      </c>
      <c r="AE3027" s="150"/>
      <c r="AF3027" s="151"/>
      <c r="AG3027" s="126"/>
      <c r="AK3027" s="306" t="str">
        <f>IF(ISNUMBER(Table1[[#This Row],[FECHA DE RECIBIDO]]), Table1[[#This Row],[FECHA DE RECIBIDO]]-DATE(2023,8,30), "")</f>
        <v/>
      </c>
    </row>
    <row r="3028" spans="1:37" ht="16.05" customHeight="1">
      <c r="A3028" s="152" t="s">
        <v>4127</v>
      </c>
      <c r="B3028" s="153">
        <v>1112</v>
      </c>
      <c r="C3028" s="126" t="s">
        <v>2314</v>
      </c>
      <c r="D3028">
        <v>2055</v>
      </c>
      <c r="E3028" s="126" t="s">
        <v>3179</v>
      </c>
      <c r="F3028" s="125" t="s">
        <v>1593</v>
      </c>
      <c r="G3028" s="125" t="s">
        <v>109</v>
      </c>
      <c r="H3028">
        <v>581</v>
      </c>
      <c r="I3028" s="125" t="s">
        <v>1546</v>
      </c>
      <c r="J3028" s="308" t="s">
        <v>214</v>
      </c>
      <c r="K3028" s="127" t="s">
        <v>4112</v>
      </c>
      <c r="L3028" s="153" t="s">
        <v>3306</v>
      </c>
      <c r="M3028">
        <v>824</v>
      </c>
      <c r="N3028" s="123">
        <v>1</v>
      </c>
      <c r="O3028">
        <v>2013</v>
      </c>
      <c r="P3028" s="132" t="s">
        <v>77</v>
      </c>
      <c r="Q3028" s="132">
        <v>2100</v>
      </c>
      <c r="R3028" s="132">
        <f t="shared" si="59"/>
        <v>336</v>
      </c>
      <c r="S3028" s="132"/>
      <c r="T3028" s="156">
        <f t="shared" si="60"/>
        <v>224.00069999999999</v>
      </c>
      <c r="U3028" s="132">
        <f t="shared" si="61"/>
        <v>26.25</v>
      </c>
      <c r="V3028" s="132">
        <f t="shared" si="56"/>
        <v>2185.7492999999999</v>
      </c>
      <c r="W3028">
        <v>328</v>
      </c>
      <c r="X3028" s="153" t="s">
        <v>195</v>
      </c>
      <c r="Y3028" s="124" t="s">
        <v>55</v>
      </c>
      <c r="Z3028" s="308">
        <v>244</v>
      </c>
      <c r="AB3028" t="str">
        <f>IF(Table1[[#This Row],[TIPO2]]="costo", VLOOKUP(Table1[[#This Row],[PARTIDA PRESUPUESTAL]],'Cost Report'!G:G,1,0),"Balance")</f>
        <v>1413-020</v>
      </c>
      <c r="AC3028" s="118"/>
      <c r="AD3028" s="159">
        <f>+Table1[[#This Row],[SUBTOTAL]]+Table1[[#This Row],[IVA]]-Table1[[#This Row],[RET IVA]]-Table1[[#This Row],[RET ISR]]-Table1[[#This Row],[TOTAL]]</f>
        <v>0</v>
      </c>
      <c r="AE3028" s="152"/>
      <c r="AF3028" s="153"/>
      <c r="AG3028" s="126"/>
      <c r="AK3028" s="306" t="str">
        <f>IF(ISNUMBER(Table1[[#This Row],[FECHA DE RECIBIDO]]), Table1[[#This Row],[FECHA DE RECIBIDO]]-DATE(2023,8,30), "")</f>
        <v/>
      </c>
    </row>
    <row r="3029" spans="1:37" ht="16.05" customHeight="1">
      <c r="A3029" s="150" t="s">
        <v>4127</v>
      </c>
      <c r="B3029" s="151">
        <v>1112</v>
      </c>
      <c r="C3029" s="126" t="s">
        <v>2318</v>
      </c>
      <c r="D3029">
        <v>2055</v>
      </c>
      <c r="E3029" s="126" t="s">
        <v>3179</v>
      </c>
      <c r="F3029" s="122" t="s">
        <v>1593</v>
      </c>
      <c r="G3029" s="122" t="s">
        <v>109</v>
      </c>
      <c r="H3029">
        <v>581</v>
      </c>
      <c r="I3029" s="122" t="s">
        <v>1546</v>
      </c>
      <c r="J3029" s="307" t="s">
        <v>214</v>
      </c>
      <c r="K3029" s="127" t="s">
        <v>4112</v>
      </c>
      <c r="L3029" s="151" t="s">
        <v>3306</v>
      </c>
      <c r="M3029">
        <v>824</v>
      </c>
      <c r="N3029" s="123">
        <v>1</v>
      </c>
      <c r="O3029">
        <v>2013</v>
      </c>
      <c r="P3029" s="132" t="s">
        <v>77</v>
      </c>
      <c r="Q3029" s="131">
        <v>2100</v>
      </c>
      <c r="R3029" s="131">
        <f t="shared" si="59"/>
        <v>336</v>
      </c>
      <c r="S3029" s="131"/>
      <c r="T3029" s="155">
        <f t="shared" si="60"/>
        <v>224.00069999999999</v>
      </c>
      <c r="U3029" s="131">
        <f t="shared" si="61"/>
        <v>26.25</v>
      </c>
      <c r="V3029" s="131">
        <f t="shared" si="56"/>
        <v>2185.7492999999999</v>
      </c>
      <c r="W3029">
        <v>328</v>
      </c>
      <c r="X3029" s="151" t="s">
        <v>195</v>
      </c>
      <c r="Y3029" s="135" t="s">
        <v>55</v>
      </c>
      <c r="Z3029" s="307">
        <v>244</v>
      </c>
      <c r="AB3029" t="str">
        <f>IF(Table1[[#This Row],[TIPO2]]="costo", VLOOKUP(Table1[[#This Row],[PARTIDA PRESUPUESTAL]],'Cost Report'!G:G,1,0),"Balance")</f>
        <v>1413-028</v>
      </c>
      <c r="AC3029" s="118"/>
      <c r="AD3029" s="159">
        <f>+Table1[[#This Row],[SUBTOTAL]]+Table1[[#This Row],[IVA]]-Table1[[#This Row],[RET IVA]]-Table1[[#This Row],[RET ISR]]-Table1[[#This Row],[TOTAL]]</f>
        <v>0</v>
      </c>
      <c r="AE3029" s="150"/>
      <c r="AF3029" s="151"/>
      <c r="AG3029" s="126"/>
      <c r="AK3029" s="306" t="str">
        <f>IF(ISNUMBER(Table1[[#This Row],[FECHA DE RECIBIDO]]), Table1[[#This Row],[FECHA DE RECIBIDO]]-DATE(2023,8,30), "")</f>
        <v/>
      </c>
    </row>
    <row r="3030" spans="1:37" ht="16.05" customHeight="1">
      <c r="A3030" s="152" t="s">
        <v>4127</v>
      </c>
      <c r="B3030" s="153">
        <v>1112</v>
      </c>
      <c r="C3030" s="126" t="s">
        <v>2316</v>
      </c>
      <c r="D3030">
        <v>2055</v>
      </c>
      <c r="E3030" s="126" t="s">
        <v>3179</v>
      </c>
      <c r="F3030" s="125" t="s">
        <v>1593</v>
      </c>
      <c r="G3030" s="125" t="s">
        <v>109</v>
      </c>
      <c r="H3030">
        <v>581</v>
      </c>
      <c r="I3030" s="125" t="s">
        <v>1546</v>
      </c>
      <c r="J3030" s="308" t="s">
        <v>214</v>
      </c>
      <c r="K3030" s="127" t="s">
        <v>4112</v>
      </c>
      <c r="L3030" s="153" t="s">
        <v>3306</v>
      </c>
      <c r="M3030">
        <v>824</v>
      </c>
      <c r="N3030" s="123">
        <v>1</v>
      </c>
      <c r="O3030">
        <v>2013</v>
      </c>
      <c r="P3030" s="132" t="s">
        <v>77</v>
      </c>
      <c r="Q3030" s="132">
        <v>9200</v>
      </c>
      <c r="R3030" s="132">
        <f t="shared" si="59"/>
        <v>1472</v>
      </c>
      <c r="S3030" s="132"/>
      <c r="T3030" s="156">
        <f t="shared" si="60"/>
        <v>981.33640000000003</v>
      </c>
      <c r="U3030" s="132">
        <f t="shared" si="61"/>
        <v>115</v>
      </c>
      <c r="V3030" s="132">
        <f t="shared" si="56"/>
        <v>9575.6635999999999</v>
      </c>
      <c r="W3030">
        <v>328</v>
      </c>
      <c r="X3030" s="153" t="s">
        <v>195</v>
      </c>
      <c r="Y3030" s="124" t="s">
        <v>55</v>
      </c>
      <c r="Z3030" s="308">
        <v>244</v>
      </c>
      <c r="AB3030" t="str">
        <f>IF(Table1[[#This Row],[TIPO2]]="costo", VLOOKUP(Table1[[#This Row],[PARTIDA PRESUPUESTAL]],'Cost Report'!G:G,1,0),"Balance")</f>
        <v>1413-024</v>
      </c>
      <c r="AC3030" s="118"/>
      <c r="AD3030" s="159">
        <f>+Table1[[#This Row],[SUBTOTAL]]+Table1[[#This Row],[IVA]]-Table1[[#This Row],[RET IVA]]-Table1[[#This Row],[RET ISR]]-Table1[[#This Row],[TOTAL]]</f>
        <v>0</v>
      </c>
      <c r="AE3030" s="152"/>
      <c r="AF3030" s="153"/>
      <c r="AG3030" s="126"/>
      <c r="AK3030" s="306" t="str">
        <f>IF(ISNUMBER(Table1[[#This Row],[FECHA DE RECIBIDO]]), Table1[[#This Row],[FECHA DE RECIBIDO]]-DATE(2023,8,30), "")</f>
        <v/>
      </c>
    </row>
    <row r="3031" spans="1:37" ht="16.05" customHeight="1">
      <c r="A3031" s="150" t="s">
        <v>4128</v>
      </c>
      <c r="B3031" s="151">
        <v>1113</v>
      </c>
      <c r="C3031" s="126" t="s">
        <v>285</v>
      </c>
      <c r="D3031">
        <v>2056</v>
      </c>
      <c r="E3031" s="126" t="s">
        <v>1647</v>
      </c>
      <c r="F3031" s="122" t="s">
        <v>1607</v>
      </c>
      <c r="G3031" s="122" t="s">
        <v>134</v>
      </c>
      <c r="H3031">
        <v>582</v>
      </c>
      <c r="I3031" s="122" t="s">
        <v>1546</v>
      </c>
      <c r="J3031" s="307" t="s">
        <v>214</v>
      </c>
      <c r="K3031" s="127" t="s">
        <v>4112</v>
      </c>
      <c r="L3031" s="151" t="s">
        <v>3306</v>
      </c>
      <c r="M3031">
        <v>825</v>
      </c>
      <c r="N3031" s="123">
        <v>1</v>
      </c>
      <c r="O3031">
        <v>2014</v>
      </c>
      <c r="P3031" s="132" t="s">
        <v>77</v>
      </c>
      <c r="Q3031" s="131">
        <v>60000</v>
      </c>
      <c r="R3031" s="131">
        <v>9600</v>
      </c>
      <c r="S3031" s="131"/>
      <c r="T3031" s="155">
        <v>0</v>
      </c>
      <c r="U3031" s="131">
        <v>0</v>
      </c>
      <c r="V3031" s="131">
        <f t="shared" si="56"/>
        <v>69600</v>
      </c>
      <c r="W3031">
        <v>329</v>
      </c>
      <c r="X3031" s="151" t="s">
        <v>2035</v>
      </c>
      <c r="Y3031" s="135" t="s">
        <v>55</v>
      </c>
      <c r="Z3031" s="307">
        <v>244</v>
      </c>
      <c r="AB3031" t="str">
        <f>IF(Table1[[#This Row],[TIPO2]]="costo", VLOOKUP(Table1[[#This Row],[PARTIDA PRESUPUESTAL]],'Cost Report'!G:G,1,0),"Balance")</f>
        <v>1401-011</v>
      </c>
      <c r="AC3031" s="118"/>
      <c r="AD3031" s="159">
        <f>+Table1[[#This Row],[SUBTOTAL]]+Table1[[#This Row],[IVA]]-Table1[[#This Row],[RET IVA]]-Table1[[#This Row],[RET ISR]]-Table1[[#This Row],[TOTAL]]</f>
        <v>0</v>
      </c>
      <c r="AE3031" s="150"/>
      <c r="AF3031" s="151"/>
      <c r="AG3031" s="126"/>
      <c r="AK3031" s="306" t="str">
        <f>IF(ISNUMBER(Table1[[#This Row],[FECHA DE RECIBIDO]]), Table1[[#This Row],[FECHA DE RECIBIDO]]-DATE(2023,8,30), "")</f>
        <v/>
      </c>
    </row>
    <row r="3032" spans="1:37" ht="16.05" customHeight="1">
      <c r="A3032" s="152"/>
      <c r="B3032" s="153">
        <v>1114</v>
      </c>
      <c r="C3032" s="126" t="s">
        <v>285</v>
      </c>
      <c r="D3032">
        <v>2057</v>
      </c>
      <c r="E3032" s="126" t="s">
        <v>1647</v>
      </c>
      <c r="F3032" s="125" t="s">
        <v>1607</v>
      </c>
      <c r="G3032" s="125" t="s">
        <v>134</v>
      </c>
      <c r="H3032">
        <v>582</v>
      </c>
      <c r="I3032" s="125" t="s">
        <v>1546</v>
      </c>
      <c r="J3032" s="308" t="s">
        <v>214</v>
      </c>
      <c r="K3032" s="127" t="s">
        <v>4112</v>
      </c>
      <c r="L3032" s="153" t="s">
        <v>3306</v>
      </c>
      <c r="M3032">
        <v>825</v>
      </c>
      <c r="N3032" s="123">
        <v>1</v>
      </c>
      <c r="O3032">
        <v>2015</v>
      </c>
      <c r="P3032" s="132" t="s">
        <v>77</v>
      </c>
      <c r="Q3032" s="132">
        <v>60000</v>
      </c>
      <c r="R3032" s="132">
        <v>9600</v>
      </c>
      <c r="S3032" s="132"/>
      <c r="T3032" s="156">
        <v>0</v>
      </c>
      <c r="U3032" s="132">
        <v>0</v>
      </c>
      <c r="V3032" s="132">
        <f t="shared" si="56"/>
        <v>69600</v>
      </c>
      <c r="W3032">
        <v>329</v>
      </c>
      <c r="X3032" s="153" t="s">
        <v>2035</v>
      </c>
      <c r="Y3032" s="124" t="s">
        <v>55</v>
      </c>
      <c r="Z3032" s="308">
        <v>244</v>
      </c>
      <c r="AB3032" t="str">
        <f>IF(Table1[[#This Row],[TIPO2]]="costo", VLOOKUP(Table1[[#This Row],[PARTIDA PRESUPUESTAL]],'Cost Report'!G:G,1,0),"Balance")</f>
        <v>1401-011</v>
      </c>
      <c r="AC3032" s="118"/>
      <c r="AD3032" s="159">
        <f>+Table1[[#This Row],[SUBTOTAL]]+Table1[[#This Row],[IVA]]-Table1[[#This Row],[RET IVA]]-Table1[[#This Row],[RET ISR]]-Table1[[#This Row],[TOTAL]]</f>
        <v>0</v>
      </c>
      <c r="AE3032" s="152"/>
      <c r="AF3032" s="153"/>
      <c r="AG3032" s="126"/>
      <c r="AK3032" s="306" t="str">
        <f>IF(ISNUMBER(Table1[[#This Row],[FECHA DE RECIBIDO]]), Table1[[#This Row],[FECHA DE RECIBIDO]]-DATE(2023,8,30), "")</f>
        <v/>
      </c>
    </row>
    <row r="3033" spans="1:37" ht="16.05" customHeight="1">
      <c r="A3033" s="150" t="s">
        <v>4129</v>
      </c>
      <c r="B3033" s="151">
        <v>1115</v>
      </c>
      <c r="C3033" s="126" t="s">
        <v>2852</v>
      </c>
      <c r="D3033">
        <v>2058</v>
      </c>
      <c r="E3033" s="126" t="s">
        <v>3292</v>
      </c>
      <c r="F3033" s="122" t="s">
        <v>1607</v>
      </c>
      <c r="G3033" s="122" t="s">
        <v>134</v>
      </c>
      <c r="H3033">
        <v>251</v>
      </c>
      <c r="I3033" s="122" t="s">
        <v>1546</v>
      </c>
      <c r="J3033" s="307" t="s">
        <v>214</v>
      </c>
      <c r="K3033" s="127" t="s">
        <v>4112</v>
      </c>
      <c r="L3033" s="151" t="s">
        <v>3306</v>
      </c>
      <c r="M3033">
        <v>329</v>
      </c>
      <c r="N3033" s="123">
        <v>24</v>
      </c>
      <c r="O3033">
        <v>2016</v>
      </c>
      <c r="P3033" s="132" t="s">
        <v>77</v>
      </c>
      <c r="Q3033" s="131">
        <v>1465.52</v>
      </c>
      <c r="R3033" s="131">
        <v>234.48</v>
      </c>
      <c r="S3033" s="131"/>
      <c r="T3033" s="155">
        <v>0</v>
      </c>
      <c r="U3033" s="131">
        <v>0</v>
      </c>
      <c r="V3033" s="131">
        <f t="shared" si="56"/>
        <v>1700</v>
      </c>
      <c r="W3033">
        <v>150</v>
      </c>
      <c r="X3033" s="151" t="s">
        <v>2024</v>
      </c>
      <c r="Y3033" s="135" t="s">
        <v>55</v>
      </c>
      <c r="Z3033" s="307">
        <v>244</v>
      </c>
      <c r="AB3033" t="str">
        <f>IF(Table1[[#This Row],[TIPO2]]="costo", VLOOKUP(Table1[[#This Row],[PARTIDA PRESUPUESTAL]],'Cost Report'!G:G,1,0),"Balance")</f>
        <v>3498-003</v>
      </c>
      <c r="AC3033" s="118"/>
      <c r="AD3033" s="159">
        <f>+Table1[[#This Row],[SUBTOTAL]]+Table1[[#This Row],[IVA]]-Table1[[#This Row],[RET IVA]]-Table1[[#This Row],[RET ISR]]-Table1[[#This Row],[TOTAL]]</f>
        <v>0</v>
      </c>
      <c r="AE3033" s="150"/>
      <c r="AF3033" s="151"/>
      <c r="AG3033" s="126"/>
      <c r="AK3033" s="306" t="str">
        <f>IF(ISNUMBER(Table1[[#This Row],[FECHA DE RECIBIDO]]), Table1[[#This Row],[FECHA DE RECIBIDO]]-DATE(2023,8,30), "")</f>
        <v/>
      </c>
    </row>
    <row r="3034" spans="1:37" ht="16.05" customHeight="1">
      <c r="A3034" s="152" t="s">
        <v>4130</v>
      </c>
      <c r="B3034" s="153">
        <v>1116</v>
      </c>
      <c r="C3034" s="126" t="s">
        <v>2825</v>
      </c>
      <c r="D3034">
        <v>2059</v>
      </c>
      <c r="E3034" s="126">
        <v>44920</v>
      </c>
      <c r="F3034" s="125">
        <v>612</v>
      </c>
      <c r="G3034" s="125" t="s">
        <v>129</v>
      </c>
      <c r="H3034">
        <v>583</v>
      </c>
      <c r="I3034" s="125" t="s">
        <v>1546</v>
      </c>
      <c r="J3034" s="308">
        <v>243.64497685185052</v>
      </c>
      <c r="K3034" s="127" t="s">
        <v>4112</v>
      </c>
      <c r="L3034" s="153" t="s">
        <v>3306</v>
      </c>
      <c r="M3034">
        <v>826</v>
      </c>
      <c r="N3034" s="123">
        <v>24</v>
      </c>
      <c r="O3034">
        <v>2017</v>
      </c>
      <c r="P3034" s="132" t="s">
        <v>77</v>
      </c>
      <c r="Q3034" s="132">
        <v>41000</v>
      </c>
      <c r="R3034" s="132">
        <f>Q3034*0.16</f>
        <v>6560</v>
      </c>
      <c r="S3034" s="132"/>
      <c r="T3034" s="156">
        <f>Q3034*0.106667</f>
        <v>4373.3469999999998</v>
      </c>
      <c r="U3034" s="132">
        <f>Q3034*0.1</f>
        <v>4100</v>
      </c>
      <c r="V3034" s="132">
        <f t="shared" si="56"/>
        <v>39086.652999999998</v>
      </c>
      <c r="W3034">
        <v>330</v>
      </c>
      <c r="X3034" s="153" t="s">
        <v>2035</v>
      </c>
      <c r="Y3034" s="124" t="s">
        <v>55</v>
      </c>
      <c r="Z3034" s="308">
        <v>244</v>
      </c>
      <c r="AB3034" t="str">
        <f>IF(Table1[[#This Row],[TIPO2]]="costo", VLOOKUP(Table1[[#This Row],[PARTIDA PRESUPUESTAL]],'Cost Report'!G:G,1,0),"Balance")</f>
        <v>3412-132</v>
      </c>
      <c r="AC3034" s="118"/>
      <c r="AD3034" s="159">
        <f>+Table1[[#This Row],[SUBTOTAL]]+Table1[[#This Row],[IVA]]-Table1[[#This Row],[RET IVA]]-Table1[[#This Row],[RET ISR]]-Table1[[#This Row],[TOTAL]]</f>
        <v>0</v>
      </c>
      <c r="AE3034" s="152"/>
      <c r="AF3034" s="153"/>
      <c r="AG3034" s="126"/>
      <c r="AK3034" s="306">
        <f>IF(ISNUMBER(Table1[[#This Row],[FECHA DE RECIBIDO]]), Table1[[#This Row],[FECHA DE RECIBIDO]]-DATE(2023,8,30), "")</f>
        <v>-44924.355023148149</v>
      </c>
    </row>
    <row r="3035" spans="1:37" ht="16.05" customHeight="1">
      <c r="A3035" s="150" t="s">
        <v>4131</v>
      </c>
      <c r="B3035" s="151">
        <v>1117</v>
      </c>
      <c r="C3035" s="126" t="s">
        <v>2802</v>
      </c>
      <c r="D3035">
        <v>2060</v>
      </c>
      <c r="E3035" s="126" t="s">
        <v>3670</v>
      </c>
      <c r="F3035" s="122" t="s">
        <v>1371</v>
      </c>
      <c r="G3035" s="122" t="s">
        <v>2065</v>
      </c>
      <c r="H3035">
        <v>584</v>
      </c>
      <c r="I3035" s="122" t="s">
        <v>1546</v>
      </c>
      <c r="J3035" s="307" t="s">
        <v>214</v>
      </c>
      <c r="K3035" s="127" t="s">
        <v>4112</v>
      </c>
      <c r="L3035" s="151" t="s">
        <v>3306</v>
      </c>
      <c r="M3035">
        <v>827</v>
      </c>
      <c r="N3035" s="123">
        <v>24</v>
      </c>
      <c r="O3035">
        <v>2018</v>
      </c>
      <c r="P3035" s="132" t="s">
        <v>77</v>
      </c>
      <c r="Q3035" s="131">
        <v>300000</v>
      </c>
      <c r="R3035" s="131">
        <v>48000</v>
      </c>
      <c r="S3035" s="131"/>
      <c r="T3035" s="155">
        <v>0</v>
      </c>
      <c r="U3035" s="131">
        <v>0</v>
      </c>
      <c r="V3035" s="131">
        <f t="shared" si="56"/>
        <v>348000</v>
      </c>
      <c r="W3035">
        <v>331</v>
      </c>
      <c r="X3035" s="151" t="s">
        <v>2035</v>
      </c>
      <c r="Y3035" s="135" t="s">
        <v>55</v>
      </c>
      <c r="Z3035" s="307">
        <v>244</v>
      </c>
      <c r="AB3035" t="str">
        <f>IF(Table1[[#This Row],[TIPO2]]="costo", VLOOKUP(Table1[[#This Row],[PARTIDA PRESUPUESTAL]],'Cost Report'!G:G,1,0),"Balance")</f>
        <v>3412-087</v>
      </c>
      <c r="AC3035" s="118"/>
      <c r="AD3035" s="159">
        <f>+Table1[[#This Row],[SUBTOTAL]]+Table1[[#This Row],[IVA]]-Table1[[#This Row],[RET IVA]]-Table1[[#This Row],[RET ISR]]-Table1[[#This Row],[TOTAL]]</f>
        <v>0</v>
      </c>
      <c r="AE3035" s="150"/>
      <c r="AF3035" s="151"/>
      <c r="AG3035" s="126"/>
      <c r="AK3035" s="306" t="str">
        <f>IF(ISNUMBER(Table1[[#This Row],[FECHA DE RECIBIDO]]), Table1[[#This Row],[FECHA DE RECIBIDO]]-DATE(2023,8,30), "")</f>
        <v/>
      </c>
    </row>
    <row r="3036" spans="1:37" ht="16.05" customHeight="1">
      <c r="A3036" s="152" t="s">
        <v>4132</v>
      </c>
      <c r="B3036" s="153">
        <v>1118</v>
      </c>
      <c r="C3036" s="126" t="s">
        <v>2804</v>
      </c>
      <c r="D3036">
        <v>2061</v>
      </c>
      <c r="E3036" s="126">
        <v>44110</v>
      </c>
      <c r="F3036" s="125" t="s">
        <v>1602</v>
      </c>
      <c r="G3036" s="125" t="s">
        <v>1617</v>
      </c>
      <c r="H3036">
        <v>585</v>
      </c>
      <c r="I3036" s="125" t="s">
        <v>1546</v>
      </c>
      <c r="J3036" s="308">
        <v>237.59399305555417</v>
      </c>
      <c r="K3036" s="127" t="s">
        <v>4112</v>
      </c>
      <c r="L3036" s="153" t="s">
        <v>3306</v>
      </c>
      <c r="M3036">
        <v>828</v>
      </c>
      <c r="N3036" s="123">
        <v>24</v>
      </c>
      <c r="O3036">
        <v>2019</v>
      </c>
      <c r="P3036" s="132" t="s">
        <v>77</v>
      </c>
      <c r="Q3036" s="132">
        <v>25000</v>
      </c>
      <c r="R3036" s="132">
        <f>Q3036*0.16</f>
        <v>4000</v>
      </c>
      <c r="S3036" s="132"/>
      <c r="T3036" s="156">
        <f>Q3036*0.106667</f>
        <v>2666.6749999999997</v>
      </c>
      <c r="U3036" s="132">
        <f>Q3036*0.1</f>
        <v>2500</v>
      </c>
      <c r="V3036" s="132">
        <f t="shared" si="56"/>
        <v>23833.325000000001</v>
      </c>
      <c r="W3036">
        <v>332</v>
      </c>
      <c r="X3036" s="153" t="s">
        <v>2035</v>
      </c>
      <c r="Y3036" s="124" t="s">
        <v>55</v>
      </c>
      <c r="Z3036" s="308">
        <v>244</v>
      </c>
      <c r="AB3036" t="str">
        <f>IF(Table1[[#This Row],[TIPO2]]="costo", VLOOKUP(Table1[[#This Row],[PARTIDA PRESUPUESTAL]],'Cost Report'!G:G,1,0),"Balance")</f>
        <v>3412-091</v>
      </c>
      <c r="AC3036" s="118"/>
      <c r="AD3036" s="159">
        <f>+Table1[[#This Row],[SUBTOTAL]]+Table1[[#This Row],[IVA]]-Table1[[#This Row],[RET IVA]]-Table1[[#This Row],[RET ISR]]-Table1[[#This Row],[TOTAL]]</f>
        <v>0</v>
      </c>
      <c r="AE3036" s="152"/>
      <c r="AF3036" s="153"/>
      <c r="AG3036" s="126"/>
      <c r="AK3036" s="306">
        <f>IF(ISNUMBER(Table1[[#This Row],[FECHA DE RECIBIDO]]), Table1[[#This Row],[FECHA DE RECIBIDO]]-DATE(2023,8,30), "")</f>
        <v>-44930.406006944446</v>
      </c>
    </row>
    <row r="3037" spans="1:37" ht="16.05" customHeight="1">
      <c r="A3037" s="150" t="s">
        <v>4133</v>
      </c>
      <c r="B3037" s="151">
        <v>1119</v>
      </c>
      <c r="C3037" s="126" t="s">
        <v>1511</v>
      </c>
      <c r="D3037">
        <v>2062</v>
      </c>
      <c r="E3037" s="126" t="s">
        <v>3373</v>
      </c>
      <c r="F3037" s="122" t="s">
        <v>1607</v>
      </c>
      <c r="G3037" s="122" t="s">
        <v>134</v>
      </c>
      <c r="H3037">
        <v>488</v>
      </c>
      <c r="I3037" s="122" t="s">
        <v>1546</v>
      </c>
      <c r="J3037" s="307" t="s">
        <v>214</v>
      </c>
      <c r="K3037" s="127" t="s">
        <v>4112</v>
      </c>
      <c r="L3037" s="151" t="s">
        <v>3306</v>
      </c>
      <c r="M3037">
        <v>829</v>
      </c>
      <c r="N3037" s="123">
        <v>51</v>
      </c>
      <c r="O3037">
        <v>2020</v>
      </c>
      <c r="P3037" s="132" t="s">
        <v>77</v>
      </c>
      <c r="Q3037" s="131">
        <v>9880</v>
      </c>
      <c r="R3037" s="131">
        <v>1580.8</v>
      </c>
      <c r="S3037" s="131"/>
      <c r="T3037" s="155">
        <v>0</v>
      </c>
      <c r="U3037" s="131">
        <v>0</v>
      </c>
      <c r="V3037" s="131">
        <f t="shared" si="56"/>
        <v>11460.8</v>
      </c>
      <c r="W3037">
        <v>259</v>
      </c>
      <c r="X3037" s="151" t="s">
        <v>1912</v>
      </c>
      <c r="Y3037" s="135" t="s">
        <v>55</v>
      </c>
      <c r="Z3037" s="307">
        <v>244</v>
      </c>
      <c r="AB3037" t="str">
        <f>IF(Table1[[#This Row],[TIPO2]]="costo", VLOOKUP(Table1[[#This Row],[PARTIDA PRESUPUESTAL]],'Cost Report'!G:G,1,0),"Balance")</f>
        <v>2494-015</v>
      </c>
      <c r="AC3037" s="118"/>
      <c r="AD3037" s="159">
        <f>+Table1[[#This Row],[SUBTOTAL]]+Table1[[#This Row],[IVA]]-Table1[[#This Row],[RET IVA]]-Table1[[#This Row],[RET ISR]]-Table1[[#This Row],[TOTAL]]</f>
        <v>0</v>
      </c>
      <c r="AE3037" s="150"/>
      <c r="AF3037" s="151"/>
      <c r="AG3037" s="126"/>
      <c r="AK3037" s="306" t="str">
        <f>IF(ISNUMBER(Table1[[#This Row],[FECHA DE RECIBIDO]]), Table1[[#This Row],[FECHA DE RECIBIDO]]-DATE(2023,8,30), "")</f>
        <v/>
      </c>
    </row>
    <row r="3038" spans="1:37" ht="16.05" customHeight="1">
      <c r="A3038" s="152"/>
      <c r="B3038" s="153">
        <v>1120</v>
      </c>
      <c r="C3038" s="126" t="s">
        <v>1515</v>
      </c>
      <c r="D3038">
        <v>2063</v>
      </c>
      <c r="E3038" s="126" t="s">
        <v>3373</v>
      </c>
      <c r="F3038" s="125" t="s">
        <v>1607</v>
      </c>
      <c r="G3038" s="125" t="s">
        <v>134</v>
      </c>
      <c r="H3038">
        <v>488</v>
      </c>
      <c r="I3038" s="125" t="s">
        <v>1546</v>
      </c>
      <c r="J3038" s="308" t="s">
        <v>214</v>
      </c>
      <c r="K3038" s="127" t="s">
        <v>4112</v>
      </c>
      <c r="L3038" s="153" t="s">
        <v>3306</v>
      </c>
      <c r="M3038">
        <v>829</v>
      </c>
      <c r="N3038" s="123">
        <v>51</v>
      </c>
      <c r="O3038">
        <v>2021</v>
      </c>
      <c r="P3038" s="132" t="s">
        <v>77</v>
      </c>
      <c r="Q3038" s="132">
        <v>5750</v>
      </c>
      <c r="R3038" s="132">
        <v>920</v>
      </c>
      <c r="S3038" s="132"/>
      <c r="T3038" s="156">
        <v>0</v>
      </c>
      <c r="U3038" s="132">
        <v>0</v>
      </c>
      <c r="V3038" s="132">
        <f t="shared" si="56"/>
        <v>6670</v>
      </c>
      <c r="W3038">
        <v>259</v>
      </c>
      <c r="X3038" s="153" t="s">
        <v>1912</v>
      </c>
      <c r="Y3038" s="124" t="s">
        <v>55</v>
      </c>
      <c r="Z3038" s="308">
        <v>244</v>
      </c>
      <c r="AB3038" t="str">
        <f>IF(Table1[[#This Row],[TIPO2]]="costo", VLOOKUP(Table1[[#This Row],[PARTIDA PRESUPUESTAL]],'Cost Report'!G:G,1,0),"Balance")</f>
        <v>2494-023</v>
      </c>
      <c r="AC3038" s="118"/>
      <c r="AD3038" s="159">
        <f>+Table1[[#This Row],[SUBTOTAL]]+Table1[[#This Row],[IVA]]-Table1[[#This Row],[RET IVA]]-Table1[[#This Row],[RET ISR]]-Table1[[#This Row],[TOTAL]]</f>
        <v>0</v>
      </c>
      <c r="AE3038" s="152"/>
      <c r="AF3038" s="153"/>
      <c r="AG3038" s="126"/>
      <c r="AK3038" s="306" t="str">
        <f>IF(ISNUMBER(Table1[[#This Row],[FECHA DE RECIBIDO]]), Table1[[#This Row],[FECHA DE RECIBIDO]]-DATE(2023,8,30), "")</f>
        <v/>
      </c>
    </row>
    <row r="3039" spans="1:37" ht="16.05" customHeight="1">
      <c r="A3039" s="150" t="s">
        <v>4134</v>
      </c>
      <c r="B3039" s="151">
        <v>1121</v>
      </c>
      <c r="C3039" s="126" t="s">
        <v>2566</v>
      </c>
      <c r="D3039">
        <v>2064</v>
      </c>
      <c r="E3039" s="126" t="s">
        <v>3790</v>
      </c>
      <c r="F3039" s="122" t="s">
        <v>1593</v>
      </c>
      <c r="G3039" s="122" t="s">
        <v>109</v>
      </c>
      <c r="H3039">
        <v>586</v>
      </c>
      <c r="I3039" s="122" t="s">
        <v>1546</v>
      </c>
      <c r="J3039" s="307" t="s">
        <v>214</v>
      </c>
      <c r="K3039" s="127" t="s">
        <v>4112</v>
      </c>
      <c r="L3039" s="151" t="s">
        <v>3306</v>
      </c>
      <c r="M3039">
        <v>830</v>
      </c>
      <c r="N3039" s="123">
        <v>51</v>
      </c>
      <c r="O3039">
        <v>2022</v>
      </c>
      <c r="P3039" s="132" t="s">
        <v>77</v>
      </c>
      <c r="Q3039" s="131">
        <v>4625.1000000000004</v>
      </c>
      <c r="R3039" s="131">
        <v>740.02</v>
      </c>
      <c r="S3039" s="131"/>
      <c r="T3039" s="155">
        <v>0</v>
      </c>
      <c r="U3039" s="131">
        <v>57.81</v>
      </c>
      <c r="V3039" s="131">
        <f t="shared" si="56"/>
        <v>5307.31</v>
      </c>
      <c r="W3039">
        <v>333</v>
      </c>
      <c r="X3039" s="151" t="s">
        <v>2035</v>
      </c>
      <c r="Y3039" s="135" t="s">
        <v>55</v>
      </c>
      <c r="Z3039" s="307">
        <v>244</v>
      </c>
      <c r="AB3039" t="str">
        <f>IF(Table1[[#This Row],[TIPO2]]="costo", VLOOKUP(Table1[[#This Row],[PARTIDA PRESUPUESTAL]],'Cost Report'!G:G,1,0),"Balance")</f>
        <v>2594-003</v>
      </c>
      <c r="AC3039" s="118"/>
      <c r="AD3039" s="159">
        <f>+Table1[[#This Row],[SUBTOTAL]]+Table1[[#This Row],[IVA]]-Table1[[#This Row],[RET IVA]]-Table1[[#This Row],[RET ISR]]-Table1[[#This Row],[TOTAL]]</f>
        <v>0</v>
      </c>
      <c r="AE3039" s="150"/>
      <c r="AF3039" s="151"/>
      <c r="AG3039" s="126"/>
      <c r="AK3039" s="306" t="str">
        <f>IF(ISNUMBER(Table1[[#This Row],[FECHA DE RECIBIDO]]), Table1[[#This Row],[FECHA DE RECIBIDO]]-DATE(2023,8,30), "")</f>
        <v/>
      </c>
    </row>
    <row r="3040" spans="1:37" ht="16.05" customHeight="1">
      <c r="A3040" s="152" t="s">
        <v>4135</v>
      </c>
      <c r="B3040" s="153">
        <v>1122</v>
      </c>
      <c r="C3040" s="126" t="s">
        <v>1515</v>
      </c>
      <c r="D3040">
        <v>2065</v>
      </c>
      <c r="E3040" s="126" t="s">
        <v>3235</v>
      </c>
      <c r="F3040" s="125" t="s">
        <v>1589</v>
      </c>
      <c r="G3040" s="125" t="s">
        <v>129</v>
      </c>
      <c r="H3040">
        <v>212</v>
      </c>
      <c r="I3040" s="125" t="s">
        <v>1546</v>
      </c>
      <c r="J3040" s="308" t="s">
        <v>214</v>
      </c>
      <c r="K3040" s="127" t="s">
        <v>4112</v>
      </c>
      <c r="L3040" s="153" t="s">
        <v>3306</v>
      </c>
      <c r="M3040">
        <v>277</v>
      </c>
      <c r="N3040" s="123">
        <v>51</v>
      </c>
      <c r="O3040">
        <v>1478</v>
      </c>
      <c r="P3040" s="132" t="s">
        <v>77</v>
      </c>
      <c r="Q3040" s="132">
        <v>3250.33</v>
      </c>
      <c r="R3040" s="132">
        <v>520.05999999999995</v>
      </c>
      <c r="S3040" s="132"/>
      <c r="T3040" s="156">
        <v>0</v>
      </c>
      <c r="U3040" s="132">
        <v>0</v>
      </c>
      <c r="V3040" s="132">
        <f t="shared" si="56"/>
        <v>3770.39</v>
      </c>
      <c r="W3040">
        <v>133</v>
      </c>
      <c r="X3040" s="153" t="s">
        <v>2035</v>
      </c>
      <c r="Y3040" s="124" t="s">
        <v>55</v>
      </c>
      <c r="Z3040" s="308">
        <v>244</v>
      </c>
      <c r="AB3040" t="str">
        <f>IF(Table1[[#This Row],[TIPO2]]="costo", VLOOKUP(Table1[[#This Row],[PARTIDA PRESUPUESTAL]],'Cost Report'!G:G,1,0),"Balance")</f>
        <v>2494-023</v>
      </c>
      <c r="AC3040" s="118"/>
      <c r="AD3040" s="159">
        <f>+Table1[[#This Row],[SUBTOTAL]]+Table1[[#This Row],[IVA]]-Table1[[#This Row],[RET IVA]]-Table1[[#This Row],[RET ISR]]-Table1[[#This Row],[TOTAL]]</f>
        <v>0</v>
      </c>
      <c r="AE3040" s="152"/>
      <c r="AF3040" s="153"/>
      <c r="AG3040" s="126"/>
      <c r="AK3040" s="306" t="str">
        <f>IF(ISNUMBER(Table1[[#This Row],[FECHA DE RECIBIDO]]), Table1[[#This Row],[FECHA DE RECIBIDO]]-DATE(2023,8,30), "")</f>
        <v/>
      </c>
    </row>
    <row r="3041" spans="1:37" ht="16.05" customHeight="1">
      <c r="A3041" s="150" t="s">
        <v>4136</v>
      </c>
      <c r="B3041" s="151">
        <v>1123</v>
      </c>
      <c r="C3041" s="126" t="s">
        <v>2468</v>
      </c>
      <c r="D3041">
        <v>2066</v>
      </c>
      <c r="E3041" s="126" t="s">
        <v>1614</v>
      </c>
      <c r="F3041" s="122" t="s">
        <v>1607</v>
      </c>
      <c r="G3041" s="122" t="s">
        <v>134</v>
      </c>
      <c r="H3041">
        <v>477</v>
      </c>
      <c r="I3041" s="122" t="s">
        <v>1546</v>
      </c>
      <c r="J3041" s="307" t="s">
        <v>214</v>
      </c>
      <c r="K3041" s="127" t="s">
        <v>4112</v>
      </c>
      <c r="L3041" s="151" t="s">
        <v>3306</v>
      </c>
      <c r="M3041">
        <v>698</v>
      </c>
      <c r="N3041" s="123">
        <v>51</v>
      </c>
      <c r="O3041">
        <v>2023</v>
      </c>
      <c r="P3041" s="132" t="s">
        <v>77</v>
      </c>
      <c r="Q3041" s="131">
        <v>4000</v>
      </c>
      <c r="R3041" s="131">
        <v>640</v>
      </c>
      <c r="S3041" s="131"/>
      <c r="T3041" s="155">
        <v>0</v>
      </c>
      <c r="U3041" s="131">
        <v>0</v>
      </c>
      <c r="V3041" s="131">
        <f t="shared" si="56"/>
        <v>4640</v>
      </c>
      <c r="W3041">
        <v>247</v>
      </c>
      <c r="X3041" s="151" t="s">
        <v>1430</v>
      </c>
      <c r="Y3041" s="135" t="s">
        <v>55</v>
      </c>
      <c r="Z3041" s="307">
        <v>244</v>
      </c>
      <c r="AB3041" t="str">
        <f>IF(Table1[[#This Row],[TIPO2]]="costo", VLOOKUP(Table1[[#This Row],[PARTIDA PRESUPUESTAL]],'Cost Report'!G:G,1,0),"Balance")</f>
        <v>2394-009</v>
      </c>
      <c r="AC3041" s="118"/>
      <c r="AD3041" s="159">
        <f>+Table1[[#This Row],[SUBTOTAL]]+Table1[[#This Row],[IVA]]-Table1[[#This Row],[RET IVA]]-Table1[[#This Row],[RET ISR]]-Table1[[#This Row],[TOTAL]]</f>
        <v>0</v>
      </c>
      <c r="AE3041" s="150"/>
      <c r="AF3041" s="151"/>
      <c r="AG3041" s="126"/>
      <c r="AK3041" s="306" t="str">
        <f>IF(ISNUMBER(Table1[[#This Row],[FECHA DE RECIBIDO]]), Table1[[#This Row],[FECHA DE RECIBIDO]]-DATE(2023,8,30), "")</f>
        <v/>
      </c>
    </row>
    <row r="3042" spans="1:37" ht="16.05" customHeight="1">
      <c r="A3042" s="152"/>
      <c r="B3042" s="153">
        <v>1124</v>
      </c>
      <c r="C3042" s="126" t="s">
        <v>2468</v>
      </c>
      <c r="D3042">
        <v>2067</v>
      </c>
      <c r="E3042" s="126" t="s">
        <v>1614</v>
      </c>
      <c r="F3042" s="125" t="s">
        <v>1607</v>
      </c>
      <c r="G3042" s="125" t="s">
        <v>134</v>
      </c>
      <c r="H3042">
        <v>477</v>
      </c>
      <c r="I3042" s="125" t="s">
        <v>1546</v>
      </c>
      <c r="J3042" s="308" t="s">
        <v>214</v>
      </c>
      <c r="K3042" s="127" t="s">
        <v>4112</v>
      </c>
      <c r="L3042" s="153" t="s">
        <v>3306</v>
      </c>
      <c r="M3042">
        <v>698</v>
      </c>
      <c r="N3042" s="123">
        <v>51</v>
      </c>
      <c r="O3042">
        <v>2024</v>
      </c>
      <c r="P3042" s="132" t="s">
        <v>77</v>
      </c>
      <c r="Q3042" s="132">
        <v>18850</v>
      </c>
      <c r="R3042" s="132">
        <v>3016</v>
      </c>
      <c r="S3042" s="132"/>
      <c r="T3042" s="156">
        <v>0</v>
      </c>
      <c r="U3042" s="132">
        <v>0</v>
      </c>
      <c r="V3042" s="132">
        <f t="shared" si="56"/>
        <v>21866</v>
      </c>
      <c r="W3042">
        <v>247</v>
      </c>
      <c r="X3042" s="153" t="s">
        <v>1430</v>
      </c>
      <c r="Y3042" s="124" t="s">
        <v>55</v>
      </c>
      <c r="Z3042" s="308">
        <v>244</v>
      </c>
      <c r="AB3042" t="str">
        <f>IF(Table1[[#This Row],[TIPO2]]="costo", VLOOKUP(Table1[[#This Row],[PARTIDA PRESUPUESTAL]],'Cost Report'!G:G,1,0),"Balance")</f>
        <v>2394-009</v>
      </c>
      <c r="AC3042" s="118"/>
      <c r="AD3042" s="159">
        <f>+Table1[[#This Row],[SUBTOTAL]]+Table1[[#This Row],[IVA]]-Table1[[#This Row],[RET IVA]]-Table1[[#This Row],[RET ISR]]-Table1[[#This Row],[TOTAL]]</f>
        <v>0</v>
      </c>
      <c r="AE3042" s="152"/>
      <c r="AF3042" s="153"/>
      <c r="AG3042" s="126"/>
      <c r="AK3042" s="306" t="str">
        <f>IF(ISNUMBER(Table1[[#This Row],[FECHA DE RECIBIDO]]), Table1[[#This Row],[FECHA DE RECIBIDO]]-DATE(2023,8,30), "")</f>
        <v/>
      </c>
    </row>
    <row r="3043" spans="1:37" ht="16.05" customHeight="1">
      <c r="A3043" s="150" t="s">
        <v>4137</v>
      </c>
      <c r="B3043" s="151">
        <v>1125</v>
      </c>
      <c r="C3043" s="126" t="s">
        <v>2566</v>
      </c>
      <c r="D3043">
        <v>2068</v>
      </c>
      <c r="E3043" s="126" t="s">
        <v>1614</v>
      </c>
      <c r="F3043" s="122" t="s">
        <v>1589</v>
      </c>
      <c r="G3043" s="122" t="s">
        <v>129</v>
      </c>
      <c r="H3043">
        <v>587</v>
      </c>
      <c r="I3043" s="122" t="s">
        <v>1546</v>
      </c>
      <c r="J3043" s="307" t="s">
        <v>214</v>
      </c>
      <c r="K3043" s="127" t="s">
        <v>4112</v>
      </c>
      <c r="L3043" s="151" t="s">
        <v>3306</v>
      </c>
      <c r="M3043">
        <v>831</v>
      </c>
      <c r="N3043" s="123">
        <v>51</v>
      </c>
      <c r="O3043">
        <v>2025</v>
      </c>
      <c r="P3043" s="132" t="s">
        <v>77</v>
      </c>
      <c r="Q3043" s="131">
        <v>1600</v>
      </c>
      <c r="R3043" s="131">
        <v>256</v>
      </c>
      <c r="S3043" s="131"/>
      <c r="T3043" s="155">
        <v>0</v>
      </c>
      <c r="U3043" s="131">
        <v>0</v>
      </c>
      <c r="V3043" s="131">
        <f t="shared" si="56"/>
        <v>1856</v>
      </c>
      <c r="W3043">
        <v>334</v>
      </c>
      <c r="X3043" s="151" t="s">
        <v>2035</v>
      </c>
      <c r="Y3043" s="135" t="s">
        <v>55</v>
      </c>
      <c r="Z3043" s="307">
        <v>244</v>
      </c>
      <c r="AB3043" t="str">
        <f>IF(Table1[[#This Row],[TIPO2]]="costo", VLOOKUP(Table1[[#This Row],[PARTIDA PRESUPUESTAL]],'Cost Report'!G:G,1,0),"Balance")</f>
        <v>2594-003</v>
      </c>
      <c r="AC3043" s="118"/>
      <c r="AD3043" s="159">
        <f>+Table1[[#This Row],[SUBTOTAL]]+Table1[[#This Row],[IVA]]-Table1[[#This Row],[RET IVA]]-Table1[[#This Row],[RET ISR]]-Table1[[#This Row],[TOTAL]]</f>
        <v>0</v>
      </c>
      <c r="AE3043" s="150"/>
      <c r="AF3043" s="151"/>
      <c r="AG3043" s="126"/>
      <c r="AK3043" s="306" t="str">
        <f>IF(ISNUMBER(Table1[[#This Row],[FECHA DE RECIBIDO]]), Table1[[#This Row],[FECHA DE RECIBIDO]]-DATE(2023,8,30), "")</f>
        <v/>
      </c>
    </row>
    <row r="3044" spans="1:37" ht="16.05" customHeight="1">
      <c r="A3044" s="152" t="s">
        <v>4138</v>
      </c>
      <c r="B3044" s="153">
        <v>1126</v>
      </c>
      <c r="C3044" s="126" t="s">
        <v>970</v>
      </c>
      <c r="D3044">
        <v>2069</v>
      </c>
      <c r="E3044" s="126" t="s">
        <v>1605</v>
      </c>
      <c r="F3044" s="125" t="s">
        <v>1607</v>
      </c>
      <c r="G3044" s="125" t="s">
        <v>134</v>
      </c>
      <c r="H3044">
        <v>84</v>
      </c>
      <c r="I3044" s="125" t="s">
        <v>1546</v>
      </c>
      <c r="J3044" s="308" t="s">
        <v>214</v>
      </c>
      <c r="K3044" s="127" t="s">
        <v>4112</v>
      </c>
      <c r="L3044" s="153" t="s">
        <v>3306</v>
      </c>
      <c r="M3044">
        <v>832</v>
      </c>
      <c r="N3044" s="123">
        <v>1</v>
      </c>
      <c r="O3044">
        <v>2026</v>
      </c>
      <c r="P3044" s="132" t="s">
        <v>77</v>
      </c>
      <c r="Q3044" s="132">
        <v>34489.29</v>
      </c>
      <c r="R3044" s="132">
        <v>5518.29</v>
      </c>
      <c r="S3044" s="132"/>
      <c r="T3044" s="156">
        <v>0</v>
      </c>
      <c r="U3044" s="132">
        <v>0</v>
      </c>
      <c r="V3044" s="132">
        <f t="shared" si="56"/>
        <v>40007.58</v>
      </c>
      <c r="W3044">
        <v>56</v>
      </c>
      <c r="X3044" s="153" t="s">
        <v>1429</v>
      </c>
      <c r="Y3044" s="124" t="s">
        <v>55</v>
      </c>
      <c r="Z3044" s="308">
        <v>244</v>
      </c>
      <c r="AB3044" t="str">
        <f>IF(Table1[[#This Row],[TIPO2]]="costo", VLOOKUP(Table1[[#This Row],[PARTIDA PRESUPUESTAL]],'Cost Report'!G:G,1,0),"Balance")</f>
        <v>3410-003</v>
      </c>
      <c r="AC3044" s="118"/>
      <c r="AD3044" s="159">
        <f>+Table1[[#This Row],[SUBTOTAL]]+Table1[[#This Row],[IVA]]-Table1[[#This Row],[RET IVA]]-Table1[[#This Row],[RET ISR]]-Table1[[#This Row],[TOTAL]]</f>
        <v>0</v>
      </c>
      <c r="AE3044" s="152"/>
      <c r="AF3044" s="153"/>
      <c r="AG3044" s="126"/>
      <c r="AK3044" s="306" t="str">
        <f>IF(ISNUMBER(Table1[[#This Row],[FECHA DE RECIBIDO]]), Table1[[#This Row],[FECHA DE RECIBIDO]]-DATE(2023,8,30), "")</f>
        <v/>
      </c>
    </row>
    <row r="3045" spans="1:37" ht="16.05" customHeight="1">
      <c r="A3045" s="150" t="s">
        <v>4138</v>
      </c>
      <c r="B3045" s="151">
        <v>1126</v>
      </c>
      <c r="C3045" s="126" t="s">
        <v>970</v>
      </c>
      <c r="D3045">
        <v>2069</v>
      </c>
      <c r="E3045" s="126" t="s">
        <v>1605</v>
      </c>
      <c r="F3045" s="122" t="s">
        <v>1607</v>
      </c>
      <c r="G3045" s="122" t="s">
        <v>134</v>
      </c>
      <c r="H3045">
        <v>84</v>
      </c>
      <c r="I3045" s="122" t="s">
        <v>1546</v>
      </c>
      <c r="J3045" s="307" t="s">
        <v>214</v>
      </c>
      <c r="K3045" s="127" t="s">
        <v>4112</v>
      </c>
      <c r="L3045" s="151" t="s">
        <v>3306</v>
      </c>
      <c r="M3045">
        <v>832</v>
      </c>
      <c r="N3045" s="123">
        <v>1</v>
      </c>
      <c r="O3045">
        <v>2026</v>
      </c>
      <c r="P3045" s="132" t="s">
        <v>77</v>
      </c>
      <c r="Q3045" s="131">
        <v>34489.279999999999</v>
      </c>
      <c r="R3045" s="131">
        <v>5518.29</v>
      </c>
      <c r="S3045" s="131"/>
      <c r="T3045" s="155">
        <v>0</v>
      </c>
      <c r="U3045" s="131">
        <v>0</v>
      </c>
      <c r="V3045" s="131">
        <f t="shared" si="56"/>
        <v>40007.57</v>
      </c>
      <c r="W3045">
        <v>56</v>
      </c>
      <c r="X3045" s="151" t="s">
        <v>1429</v>
      </c>
      <c r="Y3045" s="135" t="s">
        <v>55</v>
      </c>
      <c r="Z3045" s="307">
        <v>244</v>
      </c>
      <c r="AB3045" t="str">
        <f>IF(Table1[[#This Row],[TIPO2]]="costo", VLOOKUP(Table1[[#This Row],[PARTIDA PRESUPUESTAL]],'Cost Report'!G:G,1,0),"Balance")</f>
        <v>3410-003</v>
      </c>
      <c r="AC3045" s="118"/>
      <c r="AD3045" s="159">
        <f>+Table1[[#This Row],[SUBTOTAL]]+Table1[[#This Row],[IVA]]-Table1[[#This Row],[RET IVA]]-Table1[[#This Row],[RET ISR]]-Table1[[#This Row],[TOTAL]]</f>
        <v>0</v>
      </c>
      <c r="AE3045" s="150"/>
      <c r="AF3045" s="151"/>
      <c r="AG3045" s="126"/>
      <c r="AK3045" s="306" t="str">
        <f>IF(ISNUMBER(Table1[[#This Row],[FECHA DE RECIBIDO]]), Table1[[#This Row],[FECHA DE RECIBIDO]]-DATE(2023,8,30), "")</f>
        <v/>
      </c>
    </row>
    <row r="3046" spans="1:37" ht="16.05" customHeight="1">
      <c r="A3046" s="152" t="s">
        <v>4138</v>
      </c>
      <c r="B3046" s="153">
        <v>1126</v>
      </c>
      <c r="C3046" s="126" t="s">
        <v>978</v>
      </c>
      <c r="D3046">
        <v>2069</v>
      </c>
      <c r="E3046" s="126" t="s">
        <v>1605</v>
      </c>
      <c r="F3046" s="125" t="s">
        <v>1607</v>
      </c>
      <c r="G3046" s="125" t="s">
        <v>134</v>
      </c>
      <c r="H3046">
        <v>84</v>
      </c>
      <c r="I3046" s="125" t="s">
        <v>1546</v>
      </c>
      <c r="J3046" s="308" t="s">
        <v>214</v>
      </c>
      <c r="K3046" s="127" t="s">
        <v>4112</v>
      </c>
      <c r="L3046" s="153" t="s">
        <v>3306</v>
      </c>
      <c r="M3046">
        <v>832</v>
      </c>
      <c r="N3046" s="123">
        <v>1</v>
      </c>
      <c r="O3046">
        <v>2026</v>
      </c>
      <c r="P3046" s="132" t="s">
        <v>77</v>
      </c>
      <c r="Q3046" s="132">
        <v>34489.279999999999</v>
      </c>
      <c r="R3046" s="132">
        <v>5518.29</v>
      </c>
      <c r="S3046" s="132"/>
      <c r="T3046" s="156">
        <v>0</v>
      </c>
      <c r="U3046" s="132">
        <v>0</v>
      </c>
      <c r="V3046" s="132">
        <f t="shared" si="56"/>
        <v>40007.57</v>
      </c>
      <c r="W3046">
        <v>56</v>
      </c>
      <c r="X3046" s="153" t="s">
        <v>1429</v>
      </c>
      <c r="Y3046" s="124" t="s">
        <v>55</v>
      </c>
      <c r="Z3046" s="308">
        <v>244</v>
      </c>
      <c r="AB3046" t="str">
        <f>IF(Table1[[#This Row],[TIPO2]]="costo", VLOOKUP(Table1[[#This Row],[PARTIDA PRESUPUESTAL]],'Cost Report'!G:G,1,0),"Balance")</f>
        <v>3410-013</v>
      </c>
      <c r="AC3046" s="118"/>
      <c r="AD3046" s="159">
        <f>+Table1[[#This Row],[SUBTOTAL]]+Table1[[#This Row],[IVA]]-Table1[[#This Row],[RET IVA]]-Table1[[#This Row],[RET ISR]]-Table1[[#This Row],[TOTAL]]</f>
        <v>0</v>
      </c>
      <c r="AE3046" s="152"/>
      <c r="AF3046" s="153"/>
      <c r="AG3046" s="126"/>
      <c r="AK3046" s="306" t="str">
        <f>IF(ISNUMBER(Table1[[#This Row],[FECHA DE RECIBIDO]]), Table1[[#This Row],[FECHA DE RECIBIDO]]-DATE(2023,8,30), "")</f>
        <v/>
      </c>
    </row>
    <row r="3047" spans="1:37" ht="16.05" customHeight="1">
      <c r="A3047" s="150" t="s">
        <v>4138</v>
      </c>
      <c r="B3047" s="151">
        <v>1126</v>
      </c>
      <c r="C3047" s="126" t="s">
        <v>972</v>
      </c>
      <c r="D3047">
        <v>2069</v>
      </c>
      <c r="E3047" s="126" t="s">
        <v>1605</v>
      </c>
      <c r="F3047" s="122" t="s">
        <v>1607</v>
      </c>
      <c r="G3047" s="122" t="s">
        <v>134</v>
      </c>
      <c r="H3047">
        <v>84</v>
      </c>
      <c r="I3047" s="122" t="s">
        <v>1546</v>
      </c>
      <c r="J3047" s="307" t="s">
        <v>214</v>
      </c>
      <c r="K3047" s="127" t="s">
        <v>4112</v>
      </c>
      <c r="L3047" s="151" t="s">
        <v>3306</v>
      </c>
      <c r="M3047">
        <v>832</v>
      </c>
      <c r="N3047" s="123">
        <v>1</v>
      </c>
      <c r="O3047">
        <v>2026</v>
      </c>
      <c r="P3047" s="132" t="s">
        <v>77</v>
      </c>
      <c r="Q3047" s="131">
        <v>34489.279999999999</v>
      </c>
      <c r="R3047" s="131">
        <v>5518.29</v>
      </c>
      <c r="S3047" s="131"/>
      <c r="T3047" s="155">
        <v>0</v>
      </c>
      <c r="U3047" s="131">
        <v>0</v>
      </c>
      <c r="V3047" s="131">
        <f t="shared" si="56"/>
        <v>40007.57</v>
      </c>
      <c r="W3047">
        <v>56</v>
      </c>
      <c r="X3047" s="151" t="s">
        <v>1429</v>
      </c>
      <c r="Y3047" s="135" t="s">
        <v>55</v>
      </c>
      <c r="Z3047" s="307">
        <v>244</v>
      </c>
      <c r="AB3047" t="str">
        <f>IF(Table1[[#This Row],[TIPO2]]="costo", VLOOKUP(Table1[[#This Row],[PARTIDA PRESUPUESTAL]],'Cost Report'!G:G,1,0),"Balance")</f>
        <v>3410-005</v>
      </c>
      <c r="AC3047" s="118"/>
      <c r="AD3047" s="159">
        <f>+Table1[[#This Row],[SUBTOTAL]]+Table1[[#This Row],[IVA]]-Table1[[#This Row],[RET IVA]]-Table1[[#This Row],[RET ISR]]-Table1[[#This Row],[TOTAL]]</f>
        <v>0</v>
      </c>
      <c r="AE3047" s="150"/>
      <c r="AF3047" s="151"/>
      <c r="AG3047" s="126"/>
      <c r="AK3047" s="306" t="str">
        <f>IF(ISNUMBER(Table1[[#This Row],[FECHA DE RECIBIDO]]), Table1[[#This Row],[FECHA DE RECIBIDO]]-DATE(2023,8,30), "")</f>
        <v/>
      </c>
    </row>
    <row r="3048" spans="1:37" ht="16.05" customHeight="1">
      <c r="A3048" s="152" t="s">
        <v>4138</v>
      </c>
      <c r="B3048" s="153">
        <v>1126</v>
      </c>
      <c r="C3048" s="126" t="s">
        <v>973</v>
      </c>
      <c r="D3048">
        <v>2069</v>
      </c>
      <c r="E3048" s="126" t="s">
        <v>1605</v>
      </c>
      <c r="F3048" s="125" t="s">
        <v>1607</v>
      </c>
      <c r="G3048" s="125" t="s">
        <v>134</v>
      </c>
      <c r="H3048">
        <v>84</v>
      </c>
      <c r="I3048" s="125" t="s">
        <v>1546</v>
      </c>
      <c r="J3048" s="308" t="s">
        <v>214</v>
      </c>
      <c r="K3048" s="127" t="s">
        <v>4112</v>
      </c>
      <c r="L3048" s="153" t="s">
        <v>3306</v>
      </c>
      <c r="M3048">
        <v>832</v>
      </c>
      <c r="N3048" s="123">
        <v>1</v>
      </c>
      <c r="O3048">
        <v>2026</v>
      </c>
      <c r="P3048" s="132" t="s">
        <v>77</v>
      </c>
      <c r="Q3048" s="132">
        <v>34489.279999999999</v>
      </c>
      <c r="R3048" s="132">
        <v>5518.29</v>
      </c>
      <c r="S3048" s="132"/>
      <c r="T3048" s="156">
        <v>0</v>
      </c>
      <c r="U3048" s="132">
        <v>0</v>
      </c>
      <c r="V3048" s="132">
        <f t="shared" si="56"/>
        <v>40007.57</v>
      </c>
      <c r="W3048">
        <v>56</v>
      </c>
      <c r="X3048" s="153" t="s">
        <v>1429</v>
      </c>
      <c r="Y3048" s="124" t="s">
        <v>55</v>
      </c>
      <c r="Z3048" s="308">
        <v>244</v>
      </c>
      <c r="AB3048" t="str">
        <f>IF(Table1[[#This Row],[TIPO2]]="costo", VLOOKUP(Table1[[#This Row],[PARTIDA PRESUPUESTAL]],'Cost Report'!G:G,1,0),"Balance")</f>
        <v>3410-006</v>
      </c>
      <c r="AC3048" s="118"/>
      <c r="AD3048" s="159">
        <f>+Table1[[#This Row],[SUBTOTAL]]+Table1[[#This Row],[IVA]]-Table1[[#This Row],[RET IVA]]-Table1[[#This Row],[RET ISR]]-Table1[[#This Row],[TOTAL]]</f>
        <v>0</v>
      </c>
      <c r="AE3048" s="152"/>
      <c r="AF3048" s="153"/>
      <c r="AG3048" s="126"/>
      <c r="AK3048" s="306" t="str">
        <f>IF(ISNUMBER(Table1[[#This Row],[FECHA DE RECIBIDO]]), Table1[[#This Row],[FECHA DE RECIBIDO]]-DATE(2023,8,30), "")</f>
        <v/>
      </c>
    </row>
    <row r="3049" spans="1:37" ht="16.05" customHeight="1">
      <c r="A3049" s="150" t="s">
        <v>4138</v>
      </c>
      <c r="B3049" s="151">
        <v>1126</v>
      </c>
      <c r="C3049" s="126" t="s">
        <v>974</v>
      </c>
      <c r="D3049">
        <v>2069</v>
      </c>
      <c r="E3049" s="126" t="s">
        <v>1605</v>
      </c>
      <c r="F3049" s="122" t="s">
        <v>1607</v>
      </c>
      <c r="G3049" s="122" t="s">
        <v>134</v>
      </c>
      <c r="H3049">
        <v>84</v>
      </c>
      <c r="I3049" s="122" t="s">
        <v>1546</v>
      </c>
      <c r="J3049" s="307" t="s">
        <v>214</v>
      </c>
      <c r="K3049" s="127" t="s">
        <v>4112</v>
      </c>
      <c r="L3049" s="151" t="s">
        <v>3306</v>
      </c>
      <c r="M3049">
        <v>832</v>
      </c>
      <c r="N3049" s="123">
        <v>1</v>
      </c>
      <c r="O3049">
        <v>2026</v>
      </c>
      <c r="P3049" s="132" t="s">
        <v>77</v>
      </c>
      <c r="Q3049" s="131">
        <v>34489.279999999999</v>
      </c>
      <c r="R3049" s="131">
        <v>5518.29</v>
      </c>
      <c r="S3049" s="131"/>
      <c r="T3049" s="155">
        <v>0</v>
      </c>
      <c r="U3049" s="131">
        <v>0</v>
      </c>
      <c r="V3049" s="131">
        <f t="shared" si="56"/>
        <v>40007.57</v>
      </c>
      <c r="W3049">
        <v>56</v>
      </c>
      <c r="X3049" s="151" t="s">
        <v>1429</v>
      </c>
      <c r="Y3049" s="135" t="s">
        <v>55</v>
      </c>
      <c r="Z3049" s="307">
        <v>244</v>
      </c>
      <c r="AB3049" t="str">
        <f>IF(Table1[[#This Row],[TIPO2]]="costo", VLOOKUP(Table1[[#This Row],[PARTIDA PRESUPUESTAL]],'Cost Report'!G:G,1,0),"Balance")</f>
        <v>3410-007</v>
      </c>
      <c r="AC3049" s="118"/>
      <c r="AD3049" s="159">
        <f>+Table1[[#This Row],[SUBTOTAL]]+Table1[[#This Row],[IVA]]-Table1[[#This Row],[RET IVA]]-Table1[[#This Row],[RET ISR]]-Table1[[#This Row],[TOTAL]]</f>
        <v>0</v>
      </c>
      <c r="AE3049" s="150"/>
      <c r="AF3049" s="151"/>
      <c r="AG3049" s="126"/>
      <c r="AK3049" s="306" t="str">
        <f>IF(ISNUMBER(Table1[[#This Row],[FECHA DE RECIBIDO]]), Table1[[#This Row],[FECHA DE RECIBIDO]]-DATE(2023,8,30), "")</f>
        <v/>
      </c>
    </row>
    <row r="3050" spans="1:37" ht="16.05" customHeight="1">
      <c r="A3050" s="152" t="s">
        <v>4138</v>
      </c>
      <c r="B3050" s="153">
        <v>1126</v>
      </c>
      <c r="C3050" s="126" t="s">
        <v>975</v>
      </c>
      <c r="D3050">
        <v>2069</v>
      </c>
      <c r="E3050" s="126" t="s">
        <v>1605</v>
      </c>
      <c r="F3050" s="125" t="s">
        <v>1607</v>
      </c>
      <c r="G3050" s="125" t="s">
        <v>134</v>
      </c>
      <c r="H3050">
        <v>84</v>
      </c>
      <c r="I3050" s="125" t="s">
        <v>1546</v>
      </c>
      <c r="J3050" s="308" t="s">
        <v>214</v>
      </c>
      <c r="K3050" s="127" t="s">
        <v>4112</v>
      </c>
      <c r="L3050" s="153" t="s">
        <v>3306</v>
      </c>
      <c r="M3050">
        <v>832</v>
      </c>
      <c r="N3050" s="123">
        <v>1</v>
      </c>
      <c r="O3050">
        <v>2026</v>
      </c>
      <c r="P3050" s="132" t="s">
        <v>77</v>
      </c>
      <c r="Q3050" s="132">
        <v>34489.279999999999</v>
      </c>
      <c r="R3050" s="132">
        <v>5518.29</v>
      </c>
      <c r="S3050" s="132"/>
      <c r="T3050" s="156">
        <v>0</v>
      </c>
      <c r="U3050" s="132">
        <v>0</v>
      </c>
      <c r="V3050" s="132">
        <f t="shared" si="56"/>
        <v>40007.57</v>
      </c>
      <c r="W3050">
        <v>56</v>
      </c>
      <c r="X3050" s="153" t="s">
        <v>1429</v>
      </c>
      <c r="Y3050" s="124" t="s">
        <v>55</v>
      </c>
      <c r="Z3050" s="308">
        <v>244</v>
      </c>
      <c r="AB3050" t="str">
        <f>IF(Table1[[#This Row],[TIPO2]]="costo", VLOOKUP(Table1[[#This Row],[PARTIDA PRESUPUESTAL]],'Cost Report'!G:G,1,0),"Balance")</f>
        <v>3410-008</v>
      </c>
      <c r="AC3050" s="118"/>
      <c r="AD3050" s="159">
        <f>+Table1[[#This Row],[SUBTOTAL]]+Table1[[#This Row],[IVA]]-Table1[[#This Row],[RET IVA]]-Table1[[#This Row],[RET ISR]]-Table1[[#This Row],[TOTAL]]</f>
        <v>0</v>
      </c>
      <c r="AE3050" s="152"/>
      <c r="AF3050" s="153"/>
      <c r="AG3050" s="126"/>
      <c r="AK3050" s="306" t="str">
        <f>IF(ISNUMBER(Table1[[#This Row],[FECHA DE RECIBIDO]]), Table1[[#This Row],[FECHA DE RECIBIDO]]-DATE(2023,8,30), "")</f>
        <v/>
      </c>
    </row>
    <row r="3051" spans="1:37" ht="16.05" customHeight="1">
      <c r="A3051" s="150" t="s">
        <v>4138</v>
      </c>
      <c r="B3051" s="151">
        <v>1126</v>
      </c>
      <c r="C3051" s="126" t="s">
        <v>978</v>
      </c>
      <c r="D3051">
        <v>2069</v>
      </c>
      <c r="E3051" s="126" t="s">
        <v>1605</v>
      </c>
      <c r="F3051" s="122" t="s">
        <v>1607</v>
      </c>
      <c r="G3051" s="122" t="s">
        <v>134</v>
      </c>
      <c r="H3051">
        <v>84</v>
      </c>
      <c r="I3051" s="122" t="s">
        <v>1546</v>
      </c>
      <c r="J3051" s="307" t="s">
        <v>214</v>
      </c>
      <c r="K3051" s="127" t="s">
        <v>4112</v>
      </c>
      <c r="L3051" s="151" t="s">
        <v>3306</v>
      </c>
      <c r="M3051">
        <v>832</v>
      </c>
      <c r="N3051" s="123">
        <v>1</v>
      </c>
      <c r="O3051">
        <v>2026</v>
      </c>
      <c r="P3051" s="132" t="s">
        <v>77</v>
      </c>
      <c r="Q3051" s="131">
        <v>34489.279999999999</v>
      </c>
      <c r="R3051" s="131">
        <v>5518.29</v>
      </c>
      <c r="S3051" s="131"/>
      <c r="T3051" s="155">
        <v>0</v>
      </c>
      <c r="U3051" s="131">
        <v>0</v>
      </c>
      <c r="V3051" s="131">
        <f t="shared" si="56"/>
        <v>40007.57</v>
      </c>
      <c r="W3051">
        <v>56</v>
      </c>
      <c r="X3051" s="151" t="s">
        <v>1429</v>
      </c>
      <c r="Y3051" s="135" t="s">
        <v>55</v>
      </c>
      <c r="Z3051" s="307">
        <v>244</v>
      </c>
      <c r="AB3051" t="str">
        <f>IF(Table1[[#This Row],[TIPO2]]="costo", VLOOKUP(Table1[[#This Row],[PARTIDA PRESUPUESTAL]],'Cost Report'!G:G,1,0),"Balance")</f>
        <v>3410-013</v>
      </c>
      <c r="AC3051" s="118"/>
      <c r="AD3051" s="159">
        <f>+Table1[[#This Row],[SUBTOTAL]]+Table1[[#This Row],[IVA]]-Table1[[#This Row],[RET IVA]]-Table1[[#This Row],[RET ISR]]-Table1[[#This Row],[TOTAL]]</f>
        <v>0</v>
      </c>
      <c r="AE3051" s="150"/>
      <c r="AF3051" s="151"/>
      <c r="AG3051" s="126"/>
      <c r="AK3051" s="306" t="str">
        <f>IF(ISNUMBER(Table1[[#This Row],[FECHA DE RECIBIDO]]), Table1[[#This Row],[FECHA DE RECIBIDO]]-DATE(2023,8,30), "")</f>
        <v/>
      </c>
    </row>
    <row r="3052" spans="1:37" ht="16.05" customHeight="1">
      <c r="A3052" s="152" t="s">
        <v>4138</v>
      </c>
      <c r="B3052" s="153">
        <v>1126</v>
      </c>
      <c r="C3052" s="126" t="s">
        <v>978</v>
      </c>
      <c r="D3052">
        <v>2069</v>
      </c>
      <c r="E3052" s="126" t="s">
        <v>1605</v>
      </c>
      <c r="F3052" s="125" t="s">
        <v>1607</v>
      </c>
      <c r="G3052" s="125" t="s">
        <v>134</v>
      </c>
      <c r="H3052">
        <v>84</v>
      </c>
      <c r="I3052" s="125" t="s">
        <v>1546</v>
      </c>
      <c r="J3052" s="308" t="s">
        <v>214</v>
      </c>
      <c r="K3052" s="127" t="s">
        <v>4112</v>
      </c>
      <c r="L3052" s="153" t="s">
        <v>3306</v>
      </c>
      <c r="M3052">
        <v>832</v>
      </c>
      <c r="N3052" s="123">
        <v>1</v>
      </c>
      <c r="O3052">
        <v>2026</v>
      </c>
      <c r="P3052" s="132" t="s">
        <v>77</v>
      </c>
      <c r="Q3052" s="132">
        <v>34489.279999999999</v>
      </c>
      <c r="R3052" s="132">
        <v>5518.29</v>
      </c>
      <c r="S3052" s="132"/>
      <c r="T3052" s="156">
        <v>0</v>
      </c>
      <c r="U3052" s="132">
        <v>0</v>
      </c>
      <c r="V3052" s="132">
        <f t="shared" si="56"/>
        <v>40007.57</v>
      </c>
      <c r="W3052">
        <v>56</v>
      </c>
      <c r="X3052" s="153" t="s">
        <v>1429</v>
      </c>
      <c r="Y3052" s="124" t="s">
        <v>55</v>
      </c>
      <c r="Z3052" s="308">
        <v>244</v>
      </c>
      <c r="AB3052" t="str">
        <f>IF(Table1[[#This Row],[TIPO2]]="costo", VLOOKUP(Table1[[#This Row],[PARTIDA PRESUPUESTAL]],'Cost Report'!G:G,1,0),"Balance")</f>
        <v>3410-013</v>
      </c>
      <c r="AC3052" s="118"/>
      <c r="AD3052" s="159">
        <f>+Table1[[#This Row],[SUBTOTAL]]+Table1[[#This Row],[IVA]]-Table1[[#This Row],[RET IVA]]-Table1[[#This Row],[RET ISR]]-Table1[[#This Row],[TOTAL]]</f>
        <v>0</v>
      </c>
      <c r="AE3052" s="152"/>
      <c r="AF3052" s="153"/>
      <c r="AG3052" s="126"/>
      <c r="AK3052" s="306" t="str">
        <f>IF(ISNUMBER(Table1[[#This Row],[FECHA DE RECIBIDO]]), Table1[[#This Row],[FECHA DE RECIBIDO]]-DATE(2023,8,30), "")</f>
        <v/>
      </c>
    </row>
    <row r="3053" spans="1:37" ht="16.05" customHeight="1">
      <c r="A3053" s="150" t="s">
        <v>4139</v>
      </c>
      <c r="B3053" s="151">
        <v>1127</v>
      </c>
      <c r="C3053" s="126" t="s">
        <v>2555</v>
      </c>
      <c r="D3053">
        <v>2070</v>
      </c>
      <c r="E3053" s="126" t="s">
        <v>3278</v>
      </c>
      <c r="F3053" s="122" t="s">
        <v>1589</v>
      </c>
      <c r="G3053" s="122" t="s">
        <v>129</v>
      </c>
      <c r="H3053">
        <v>445</v>
      </c>
      <c r="I3053" s="122" t="s">
        <v>1546</v>
      </c>
      <c r="J3053" s="307" t="s">
        <v>214</v>
      </c>
      <c r="K3053" s="127" t="s">
        <v>4112</v>
      </c>
      <c r="L3053" s="151" t="s">
        <v>3306</v>
      </c>
      <c r="M3053">
        <v>618</v>
      </c>
      <c r="N3053" s="123">
        <v>1</v>
      </c>
      <c r="O3053">
        <v>2027</v>
      </c>
      <c r="P3053" s="132" t="s">
        <v>77</v>
      </c>
      <c r="Q3053" s="131">
        <v>775.87</v>
      </c>
      <c r="R3053" s="131">
        <v>124.13</v>
      </c>
      <c r="S3053" s="131"/>
      <c r="T3053" s="155">
        <v>0</v>
      </c>
      <c r="U3053" s="131">
        <v>0</v>
      </c>
      <c r="V3053" s="131">
        <f t="shared" si="56"/>
        <v>900</v>
      </c>
      <c r="W3053">
        <v>232</v>
      </c>
      <c r="X3053" s="151" t="s">
        <v>1433</v>
      </c>
      <c r="Y3053" s="135" t="s">
        <v>55</v>
      </c>
      <c r="Z3053" s="307">
        <v>244</v>
      </c>
      <c r="AB3053" t="str">
        <f>IF(Table1[[#This Row],[TIPO2]]="costo", VLOOKUP(Table1[[#This Row],[PARTIDA PRESUPUESTAL]],'Cost Report'!G:G,1,0),"Balance")</f>
        <v>2495-021</v>
      </c>
      <c r="AC3053" s="118"/>
      <c r="AD3053" s="159">
        <f>+Table1[[#This Row],[SUBTOTAL]]+Table1[[#This Row],[IVA]]-Table1[[#This Row],[RET IVA]]-Table1[[#This Row],[RET ISR]]-Table1[[#This Row],[TOTAL]]</f>
        <v>0</v>
      </c>
      <c r="AE3053" s="150"/>
      <c r="AF3053" s="151"/>
      <c r="AG3053" s="126"/>
      <c r="AK3053" s="306" t="str">
        <f>IF(ISNUMBER(Table1[[#This Row],[FECHA DE RECIBIDO]]), Table1[[#This Row],[FECHA DE RECIBIDO]]-DATE(2023,8,30), "")</f>
        <v/>
      </c>
    </row>
    <row r="3054" spans="1:37" ht="16.05" customHeight="1">
      <c r="A3054" s="152" t="s">
        <v>4140</v>
      </c>
      <c r="B3054" s="153">
        <v>1128</v>
      </c>
      <c r="C3054" s="126" t="s">
        <v>399</v>
      </c>
      <c r="D3054">
        <v>2071</v>
      </c>
      <c r="E3054" s="126" t="s">
        <v>1603</v>
      </c>
      <c r="F3054" s="125" t="s">
        <v>1607</v>
      </c>
      <c r="G3054" s="125" t="s">
        <v>134</v>
      </c>
      <c r="H3054">
        <v>214</v>
      </c>
      <c r="I3054" s="125" t="s">
        <v>1546</v>
      </c>
      <c r="J3054" s="308" t="s">
        <v>214</v>
      </c>
      <c r="K3054" s="127" t="s">
        <v>4112</v>
      </c>
      <c r="L3054" s="153" t="s">
        <v>3306</v>
      </c>
      <c r="M3054">
        <v>833</v>
      </c>
      <c r="N3054" s="123">
        <v>1</v>
      </c>
      <c r="O3054">
        <v>2028</v>
      </c>
      <c r="P3054" s="132" t="s">
        <v>77</v>
      </c>
      <c r="Q3054" s="132">
        <v>38400</v>
      </c>
      <c r="R3054" s="132">
        <v>6144</v>
      </c>
      <c r="S3054" s="132"/>
      <c r="T3054" s="156">
        <v>0</v>
      </c>
      <c r="U3054" s="132">
        <v>0</v>
      </c>
      <c r="V3054" s="132">
        <f t="shared" si="56"/>
        <v>44544</v>
      </c>
      <c r="W3054">
        <v>135</v>
      </c>
      <c r="X3054" s="153" t="s">
        <v>1429</v>
      </c>
      <c r="Y3054" s="124" t="s">
        <v>55</v>
      </c>
      <c r="Z3054" s="308">
        <v>244</v>
      </c>
      <c r="AB3054" t="str">
        <f>IF(Table1[[#This Row],[TIPO2]]="costo", VLOOKUP(Table1[[#This Row],[PARTIDA PRESUPUESTAL]],'Cost Report'!G:G,1,0),"Balance")</f>
        <v>1621-003</v>
      </c>
      <c r="AC3054" s="118"/>
      <c r="AD3054" s="159">
        <f>+Table1[[#This Row],[SUBTOTAL]]+Table1[[#This Row],[IVA]]-Table1[[#This Row],[RET IVA]]-Table1[[#This Row],[RET ISR]]-Table1[[#This Row],[TOTAL]]</f>
        <v>0</v>
      </c>
      <c r="AE3054" s="152"/>
      <c r="AF3054" s="153"/>
      <c r="AG3054" s="126"/>
      <c r="AK3054" s="306" t="str">
        <f>IF(ISNUMBER(Table1[[#This Row],[FECHA DE RECIBIDO]]), Table1[[#This Row],[FECHA DE RECIBIDO]]-DATE(2023,8,30), "")</f>
        <v/>
      </c>
    </row>
    <row r="3055" spans="1:37" ht="16.05" customHeight="1">
      <c r="A3055" s="150" t="s">
        <v>4141</v>
      </c>
      <c r="B3055" s="151">
        <v>1129</v>
      </c>
      <c r="C3055" s="126" t="s">
        <v>3002</v>
      </c>
      <c r="D3055">
        <v>2072</v>
      </c>
      <c r="E3055" s="126" t="s">
        <v>4185</v>
      </c>
      <c r="F3055" s="122" t="s">
        <v>1593</v>
      </c>
      <c r="G3055" s="122" t="s">
        <v>109</v>
      </c>
      <c r="H3055">
        <v>588</v>
      </c>
      <c r="I3055" s="122" t="s">
        <v>1546</v>
      </c>
      <c r="J3055" s="307" t="s">
        <v>214</v>
      </c>
      <c r="K3055" s="127" t="s">
        <v>4112</v>
      </c>
      <c r="L3055" s="151" t="s">
        <v>3306</v>
      </c>
      <c r="M3055">
        <v>834</v>
      </c>
      <c r="N3055" s="123">
        <v>1</v>
      </c>
      <c r="O3055">
        <v>2029</v>
      </c>
      <c r="P3055" s="132" t="s">
        <v>77</v>
      </c>
      <c r="Q3055" s="131">
        <v>10000</v>
      </c>
      <c r="R3055" s="131">
        <v>1600</v>
      </c>
      <c r="S3055" s="131"/>
      <c r="T3055" s="155">
        <v>0</v>
      </c>
      <c r="U3055" s="131">
        <v>0</v>
      </c>
      <c r="V3055" s="131">
        <f t="shared" si="56"/>
        <v>11600</v>
      </c>
      <c r="W3055">
        <v>335</v>
      </c>
      <c r="X3055" s="151" t="s">
        <v>1430</v>
      </c>
      <c r="Y3055" s="135" t="s">
        <v>55</v>
      </c>
      <c r="Z3055" s="307">
        <v>244</v>
      </c>
      <c r="AB3055" t="str">
        <f>IF(Table1[[#This Row],[TIPO2]]="costo", VLOOKUP(Table1[[#This Row],[PARTIDA PRESUPUESTAL]],'Cost Report'!G:G,1,0),"Balance")</f>
        <v>4180-003</v>
      </c>
      <c r="AC3055" s="118"/>
      <c r="AD3055" s="159">
        <f>+Table1[[#This Row],[SUBTOTAL]]+Table1[[#This Row],[IVA]]-Table1[[#This Row],[RET IVA]]-Table1[[#This Row],[RET ISR]]-Table1[[#This Row],[TOTAL]]</f>
        <v>0</v>
      </c>
      <c r="AE3055" s="150"/>
      <c r="AF3055" s="151"/>
      <c r="AG3055" s="126"/>
      <c r="AK3055" s="306" t="str">
        <f>IF(ISNUMBER(Table1[[#This Row],[FECHA DE RECIBIDO]]), Table1[[#This Row],[FECHA DE RECIBIDO]]-DATE(2023,8,30), "")</f>
        <v/>
      </c>
    </row>
    <row r="3056" spans="1:37" ht="16.05" customHeight="1">
      <c r="A3056" s="152" t="s">
        <v>4141</v>
      </c>
      <c r="B3056" s="153">
        <v>1130</v>
      </c>
      <c r="C3056" s="126" t="s">
        <v>3002</v>
      </c>
      <c r="D3056">
        <v>2073</v>
      </c>
      <c r="E3056" s="126" t="s">
        <v>4185</v>
      </c>
      <c r="F3056" s="125" t="s">
        <v>1593</v>
      </c>
      <c r="G3056" s="125" t="s">
        <v>109</v>
      </c>
      <c r="H3056">
        <v>588</v>
      </c>
      <c r="I3056" s="125" t="s">
        <v>1546</v>
      </c>
      <c r="J3056" s="308" t="s">
        <v>214</v>
      </c>
      <c r="K3056" s="127" t="s">
        <v>4112</v>
      </c>
      <c r="L3056" s="153" t="s">
        <v>3306</v>
      </c>
      <c r="M3056">
        <v>834</v>
      </c>
      <c r="N3056" s="123">
        <v>1</v>
      </c>
      <c r="O3056">
        <v>2030</v>
      </c>
      <c r="P3056" s="132" t="s">
        <v>77</v>
      </c>
      <c r="Q3056" s="132">
        <v>1000</v>
      </c>
      <c r="R3056" s="132">
        <v>160</v>
      </c>
      <c r="S3056" s="132"/>
      <c r="T3056" s="156">
        <v>0</v>
      </c>
      <c r="U3056" s="132">
        <v>0</v>
      </c>
      <c r="V3056" s="132">
        <f t="shared" si="56"/>
        <v>1160</v>
      </c>
      <c r="W3056">
        <v>335</v>
      </c>
      <c r="X3056" s="153" t="s">
        <v>1430</v>
      </c>
      <c r="Y3056" s="124" t="s">
        <v>55</v>
      </c>
      <c r="Z3056" s="308">
        <v>244</v>
      </c>
      <c r="AB3056" t="str">
        <f>IF(Table1[[#This Row],[TIPO2]]="costo", VLOOKUP(Table1[[#This Row],[PARTIDA PRESUPUESTAL]],'Cost Report'!G:G,1,0),"Balance")</f>
        <v>4180-003</v>
      </c>
      <c r="AC3056" s="118"/>
      <c r="AD3056" s="159">
        <f>+Table1[[#This Row],[SUBTOTAL]]+Table1[[#This Row],[IVA]]-Table1[[#This Row],[RET IVA]]-Table1[[#This Row],[RET ISR]]-Table1[[#This Row],[TOTAL]]</f>
        <v>0</v>
      </c>
      <c r="AE3056" s="152"/>
      <c r="AF3056" s="153"/>
      <c r="AG3056" s="126"/>
      <c r="AK3056" s="306" t="str">
        <f>IF(ISNUMBER(Table1[[#This Row],[FECHA DE RECIBIDO]]), Table1[[#This Row],[FECHA DE RECIBIDO]]-DATE(2023,8,30), "")</f>
        <v/>
      </c>
    </row>
    <row r="3057" spans="1:37" ht="16.05" customHeight="1">
      <c r="A3057" s="150" t="s">
        <v>4141</v>
      </c>
      <c r="B3057" s="151">
        <v>1130</v>
      </c>
      <c r="C3057" s="126" t="s">
        <v>2742</v>
      </c>
      <c r="D3057">
        <v>2073</v>
      </c>
      <c r="E3057" s="126" t="s">
        <v>4185</v>
      </c>
      <c r="F3057" s="122" t="s">
        <v>1593</v>
      </c>
      <c r="G3057" s="122" t="s">
        <v>109</v>
      </c>
      <c r="H3057">
        <v>588</v>
      </c>
      <c r="I3057" s="122" t="s">
        <v>1546</v>
      </c>
      <c r="J3057" s="307" t="s">
        <v>214</v>
      </c>
      <c r="K3057" s="127" t="s">
        <v>4112</v>
      </c>
      <c r="L3057" s="151" t="s">
        <v>3306</v>
      </c>
      <c r="M3057">
        <v>834</v>
      </c>
      <c r="N3057" s="123">
        <v>1</v>
      </c>
      <c r="O3057">
        <v>2030</v>
      </c>
      <c r="P3057" s="132" t="s">
        <v>77</v>
      </c>
      <c r="Q3057" s="131">
        <v>36000</v>
      </c>
      <c r="R3057" s="131">
        <v>5760</v>
      </c>
      <c r="S3057" s="131"/>
      <c r="T3057" s="155">
        <v>0</v>
      </c>
      <c r="U3057" s="131">
        <v>0</v>
      </c>
      <c r="V3057" s="131">
        <f t="shared" si="56"/>
        <v>41760</v>
      </c>
      <c r="W3057">
        <v>335</v>
      </c>
      <c r="X3057" s="151" t="s">
        <v>1430</v>
      </c>
      <c r="Y3057" s="135" t="s">
        <v>55</v>
      </c>
      <c r="Z3057" s="307">
        <v>244</v>
      </c>
      <c r="AB3057" t="str">
        <f>IF(Table1[[#This Row],[TIPO2]]="costo", VLOOKUP(Table1[[#This Row],[PARTIDA PRESUPUESTAL]],'Cost Report'!G:G,1,0),"Balance")</f>
        <v>3220-019</v>
      </c>
      <c r="AC3057" s="118"/>
      <c r="AD3057" s="159">
        <f>+Table1[[#This Row],[SUBTOTAL]]+Table1[[#This Row],[IVA]]-Table1[[#This Row],[RET IVA]]-Table1[[#This Row],[RET ISR]]-Table1[[#This Row],[TOTAL]]</f>
        <v>0</v>
      </c>
      <c r="AE3057" s="150"/>
      <c r="AF3057" s="151"/>
      <c r="AG3057" s="126"/>
      <c r="AK3057" s="306" t="str">
        <f>IF(ISNUMBER(Table1[[#This Row],[FECHA DE RECIBIDO]]), Table1[[#This Row],[FECHA DE RECIBIDO]]-DATE(2023,8,30), "")</f>
        <v/>
      </c>
    </row>
    <row r="3058" spans="1:37" ht="16.05" customHeight="1">
      <c r="A3058" s="152" t="s">
        <v>4141</v>
      </c>
      <c r="B3058" s="153">
        <v>1131</v>
      </c>
      <c r="C3058" s="126" t="s">
        <v>922</v>
      </c>
      <c r="D3058">
        <v>2074</v>
      </c>
      <c r="E3058" s="126" t="s">
        <v>4185</v>
      </c>
      <c r="F3058" s="125" t="s">
        <v>1593</v>
      </c>
      <c r="G3058" s="125" t="s">
        <v>109</v>
      </c>
      <c r="H3058">
        <v>588</v>
      </c>
      <c r="I3058" s="125" t="s">
        <v>1546</v>
      </c>
      <c r="J3058" s="308" t="s">
        <v>214</v>
      </c>
      <c r="K3058" s="127" t="s">
        <v>4112</v>
      </c>
      <c r="L3058" s="153" t="s">
        <v>3306</v>
      </c>
      <c r="M3058">
        <v>834</v>
      </c>
      <c r="N3058" s="123">
        <v>1</v>
      </c>
      <c r="O3058">
        <v>2031</v>
      </c>
      <c r="P3058" s="132" t="s">
        <v>77</v>
      </c>
      <c r="Q3058" s="132">
        <v>9000</v>
      </c>
      <c r="R3058" s="132">
        <v>1440</v>
      </c>
      <c r="S3058" s="132"/>
      <c r="T3058" s="156">
        <v>0</v>
      </c>
      <c r="U3058" s="132">
        <v>0</v>
      </c>
      <c r="V3058" s="132">
        <f t="shared" si="56"/>
        <v>10440</v>
      </c>
      <c r="W3058">
        <v>335</v>
      </c>
      <c r="X3058" s="153" t="s">
        <v>1430</v>
      </c>
      <c r="Y3058" s="124" t="s">
        <v>55</v>
      </c>
      <c r="Z3058" s="308">
        <v>244</v>
      </c>
      <c r="AB3058" t="str">
        <f>IF(Table1[[#This Row],[TIPO2]]="costo", VLOOKUP(Table1[[#This Row],[PARTIDA PRESUPUESTAL]],'Cost Report'!G:G,1,0),"Balance")</f>
        <v>3220-007</v>
      </c>
      <c r="AC3058" s="118"/>
      <c r="AD3058" s="159">
        <f>+Table1[[#This Row],[SUBTOTAL]]+Table1[[#This Row],[IVA]]-Table1[[#This Row],[RET IVA]]-Table1[[#This Row],[RET ISR]]-Table1[[#This Row],[TOTAL]]</f>
        <v>0</v>
      </c>
      <c r="AE3058" s="152"/>
      <c r="AF3058" s="153"/>
      <c r="AG3058" s="126"/>
      <c r="AK3058" s="306" t="str">
        <f>IF(ISNUMBER(Table1[[#This Row],[FECHA DE RECIBIDO]]), Table1[[#This Row],[FECHA DE RECIBIDO]]-DATE(2023,8,30), "")</f>
        <v/>
      </c>
    </row>
    <row r="3059" spans="1:37" ht="16.05" customHeight="1">
      <c r="A3059" s="150" t="s">
        <v>4141</v>
      </c>
      <c r="B3059" s="151">
        <v>1131</v>
      </c>
      <c r="C3059" s="126" t="s">
        <v>2740</v>
      </c>
      <c r="D3059">
        <v>2074</v>
      </c>
      <c r="E3059" s="126" t="s">
        <v>4185</v>
      </c>
      <c r="F3059" s="122" t="s">
        <v>1593</v>
      </c>
      <c r="G3059" s="122" t="s">
        <v>109</v>
      </c>
      <c r="H3059">
        <v>588</v>
      </c>
      <c r="I3059" s="122" t="s">
        <v>1546</v>
      </c>
      <c r="J3059" s="307" t="s">
        <v>214</v>
      </c>
      <c r="K3059" s="127" t="s">
        <v>4112</v>
      </c>
      <c r="L3059" s="151" t="s">
        <v>3306</v>
      </c>
      <c r="M3059">
        <v>834</v>
      </c>
      <c r="N3059" s="123">
        <v>1</v>
      </c>
      <c r="O3059">
        <v>2031</v>
      </c>
      <c r="P3059" s="132" t="s">
        <v>77</v>
      </c>
      <c r="Q3059" s="131">
        <v>28000</v>
      </c>
      <c r="R3059" s="131">
        <v>4480</v>
      </c>
      <c r="S3059" s="131"/>
      <c r="T3059" s="155">
        <v>0</v>
      </c>
      <c r="U3059" s="131">
        <v>0</v>
      </c>
      <c r="V3059" s="131">
        <f t="shared" si="56"/>
        <v>32480</v>
      </c>
      <c r="W3059">
        <v>335</v>
      </c>
      <c r="X3059" s="151" t="s">
        <v>1430</v>
      </c>
      <c r="Y3059" s="135" t="s">
        <v>55</v>
      </c>
      <c r="Z3059" s="307">
        <v>244</v>
      </c>
      <c r="AB3059" t="str">
        <f>IF(Table1[[#This Row],[TIPO2]]="costo", VLOOKUP(Table1[[#This Row],[PARTIDA PRESUPUESTAL]],'Cost Report'!G:G,1,0),"Balance")</f>
        <v>3220-015</v>
      </c>
      <c r="AC3059" s="118"/>
      <c r="AD3059" s="159">
        <f>+Table1[[#This Row],[SUBTOTAL]]+Table1[[#This Row],[IVA]]-Table1[[#This Row],[RET IVA]]-Table1[[#This Row],[RET ISR]]-Table1[[#This Row],[TOTAL]]</f>
        <v>0</v>
      </c>
      <c r="AE3059" s="150"/>
      <c r="AF3059" s="151"/>
      <c r="AG3059" s="126"/>
      <c r="AK3059" s="306" t="str">
        <f>IF(ISNUMBER(Table1[[#This Row],[FECHA DE RECIBIDO]]), Table1[[#This Row],[FECHA DE RECIBIDO]]-DATE(2023,8,30), "")</f>
        <v/>
      </c>
    </row>
    <row r="3060" spans="1:37" ht="16.05" customHeight="1">
      <c r="A3060" s="152" t="s">
        <v>4141</v>
      </c>
      <c r="B3060" s="153">
        <v>1131</v>
      </c>
      <c r="C3060" s="126" t="s">
        <v>922</v>
      </c>
      <c r="D3060">
        <v>2074</v>
      </c>
      <c r="E3060" s="126" t="s">
        <v>4185</v>
      </c>
      <c r="F3060" s="125" t="s">
        <v>1593</v>
      </c>
      <c r="G3060" s="125" t="s">
        <v>109</v>
      </c>
      <c r="H3060">
        <v>588</v>
      </c>
      <c r="I3060" s="125" t="s">
        <v>1546</v>
      </c>
      <c r="J3060" s="308" t="s">
        <v>214</v>
      </c>
      <c r="K3060" s="127" t="s">
        <v>4112</v>
      </c>
      <c r="L3060" s="153" t="s">
        <v>3306</v>
      </c>
      <c r="M3060">
        <v>834</v>
      </c>
      <c r="N3060" s="123">
        <v>1</v>
      </c>
      <c r="O3060">
        <v>2031</v>
      </c>
      <c r="P3060" s="132" t="s">
        <v>77</v>
      </c>
      <c r="Q3060" s="132">
        <v>30000</v>
      </c>
      <c r="R3060" s="132">
        <v>4800</v>
      </c>
      <c r="S3060" s="132"/>
      <c r="T3060" s="156">
        <v>0</v>
      </c>
      <c r="U3060" s="132">
        <v>0</v>
      </c>
      <c r="V3060" s="132">
        <f t="shared" si="56"/>
        <v>34800</v>
      </c>
      <c r="W3060">
        <v>335</v>
      </c>
      <c r="X3060" s="153" t="s">
        <v>1430</v>
      </c>
      <c r="Y3060" s="124" t="s">
        <v>55</v>
      </c>
      <c r="Z3060" s="308">
        <v>244</v>
      </c>
      <c r="AB3060" t="str">
        <f>IF(Table1[[#This Row],[TIPO2]]="costo", VLOOKUP(Table1[[#This Row],[PARTIDA PRESUPUESTAL]],'Cost Report'!G:G,1,0),"Balance")</f>
        <v>3220-007</v>
      </c>
      <c r="AC3060" s="118"/>
      <c r="AD3060" s="159">
        <f>+Table1[[#This Row],[SUBTOTAL]]+Table1[[#This Row],[IVA]]-Table1[[#This Row],[RET IVA]]-Table1[[#This Row],[RET ISR]]-Table1[[#This Row],[TOTAL]]</f>
        <v>0</v>
      </c>
      <c r="AE3060" s="152"/>
      <c r="AF3060" s="153"/>
      <c r="AG3060" s="126"/>
      <c r="AK3060" s="306" t="str">
        <f>IF(ISNUMBER(Table1[[#This Row],[FECHA DE RECIBIDO]]), Table1[[#This Row],[FECHA DE RECIBIDO]]-DATE(2023,8,30), "")</f>
        <v/>
      </c>
    </row>
    <row r="3061" spans="1:37" ht="16.05" customHeight="1">
      <c r="A3061" s="150" t="s">
        <v>4141</v>
      </c>
      <c r="B3061" s="151">
        <v>1132</v>
      </c>
      <c r="C3061" s="126" t="s">
        <v>922</v>
      </c>
      <c r="D3061">
        <v>2075</v>
      </c>
      <c r="E3061" s="126" t="s">
        <v>4185</v>
      </c>
      <c r="F3061" s="122" t="s">
        <v>1593</v>
      </c>
      <c r="G3061" s="122" t="s">
        <v>109</v>
      </c>
      <c r="H3061">
        <v>588</v>
      </c>
      <c r="I3061" s="122" t="s">
        <v>1546</v>
      </c>
      <c r="J3061" s="307" t="s">
        <v>214</v>
      </c>
      <c r="K3061" s="127" t="s">
        <v>4112</v>
      </c>
      <c r="L3061" s="151" t="s">
        <v>3306</v>
      </c>
      <c r="M3061">
        <v>834</v>
      </c>
      <c r="N3061" s="123">
        <v>1</v>
      </c>
      <c r="O3061">
        <v>2032</v>
      </c>
      <c r="P3061" s="132" t="s">
        <v>77</v>
      </c>
      <c r="Q3061" s="131">
        <v>36000</v>
      </c>
      <c r="R3061" s="131">
        <v>5760</v>
      </c>
      <c r="S3061" s="131"/>
      <c r="T3061" s="155">
        <v>0</v>
      </c>
      <c r="U3061" s="131">
        <v>0</v>
      </c>
      <c r="V3061" s="131">
        <f t="shared" si="56"/>
        <v>41760</v>
      </c>
      <c r="W3061">
        <v>335</v>
      </c>
      <c r="X3061" s="151" t="s">
        <v>1430</v>
      </c>
      <c r="Y3061" s="135" t="s">
        <v>55</v>
      </c>
      <c r="Z3061" s="307">
        <v>244</v>
      </c>
      <c r="AB3061" t="str">
        <f>IF(Table1[[#This Row],[TIPO2]]="costo", VLOOKUP(Table1[[#This Row],[PARTIDA PRESUPUESTAL]],'Cost Report'!G:G,1,0),"Balance")</f>
        <v>3220-007</v>
      </c>
      <c r="AC3061" s="118"/>
      <c r="AD3061" s="159">
        <f>+Table1[[#This Row],[SUBTOTAL]]+Table1[[#This Row],[IVA]]-Table1[[#This Row],[RET IVA]]-Table1[[#This Row],[RET ISR]]-Table1[[#This Row],[TOTAL]]</f>
        <v>0</v>
      </c>
      <c r="AE3061" s="150"/>
      <c r="AF3061" s="151"/>
      <c r="AG3061" s="126"/>
      <c r="AK3061" s="306" t="str">
        <f>IF(ISNUMBER(Table1[[#This Row],[FECHA DE RECIBIDO]]), Table1[[#This Row],[FECHA DE RECIBIDO]]-DATE(2023,8,30), "")</f>
        <v/>
      </c>
    </row>
    <row r="3062" spans="1:37" ht="16.05" customHeight="1">
      <c r="A3062" s="152" t="s">
        <v>4141</v>
      </c>
      <c r="B3062" s="153">
        <v>1133</v>
      </c>
      <c r="C3062" s="126" t="s">
        <v>922</v>
      </c>
      <c r="D3062">
        <v>2076</v>
      </c>
      <c r="E3062" s="126" t="s">
        <v>4185</v>
      </c>
      <c r="F3062" s="125" t="s">
        <v>1593</v>
      </c>
      <c r="G3062" s="125" t="s">
        <v>109</v>
      </c>
      <c r="H3062">
        <v>588</v>
      </c>
      <c r="I3062" s="125" t="s">
        <v>1546</v>
      </c>
      <c r="J3062" s="308" t="s">
        <v>214</v>
      </c>
      <c r="K3062" s="127" t="s">
        <v>4112</v>
      </c>
      <c r="L3062" s="153" t="s">
        <v>3306</v>
      </c>
      <c r="M3062">
        <v>834</v>
      </c>
      <c r="N3062" s="123">
        <v>1</v>
      </c>
      <c r="O3062">
        <v>2033</v>
      </c>
      <c r="P3062" s="132" t="s">
        <v>77</v>
      </c>
      <c r="Q3062" s="132">
        <v>1000</v>
      </c>
      <c r="R3062" s="132">
        <v>160</v>
      </c>
      <c r="S3062" s="132"/>
      <c r="T3062" s="156">
        <v>0</v>
      </c>
      <c r="U3062" s="132">
        <v>0</v>
      </c>
      <c r="V3062" s="132">
        <f t="shared" si="56"/>
        <v>1160</v>
      </c>
      <c r="W3062">
        <v>335</v>
      </c>
      <c r="X3062" s="153" t="s">
        <v>1430</v>
      </c>
      <c r="Y3062" s="124" t="s">
        <v>55</v>
      </c>
      <c r="Z3062" s="308">
        <v>244</v>
      </c>
      <c r="AB3062" t="str">
        <f>IF(Table1[[#This Row],[TIPO2]]="costo", VLOOKUP(Table1[[#This Row],[PARTIDA PRESUPUESTAL]],'Cost Report'!G:G,1,0),"Balance")</f>
        <v>3220-007</v>
      </c>
      <c r="AC3062" s="118"/>
      <c r="AD3062" s="159">
        <f>+Table1[[#This Row],[SUBTOTAL]]+Table1[[#This Row],[IVA]]-Table1[[#This Row],[RET IVA]]-Table1[[#This Row],[RET ISR]]-Table1[[#This Row],[TOTAL]]</f>
        <v>0</v>
      </c>
      <c r="AE3062" s="152"/>
      <c r="AF3062" s="153"/>
      <c r="AG3062" s="126"/>
      <c r="AK3062" s="306" t="str">
        <f>IF(ISNUMBER(Table1[[#This Row],[FECHA DE RECIBIDO]]), Table1[[#This Row],[FECHA DE RECIBIDO]]-DATE(2023,8,30), "")</f>
        <v/>
      </c>
    </row>
    <row r="3063" spans="1:37" ht="16.05" customHeight="1">
      <c r="A3063" s="150" t="s">
        <v>4141</v>
      </c>
      <c r="B3063" s="151">
        <v>1133</v>
      </c>
      <c r="C3063" s="126" t="s">
        <v>920</v>
      </c>
      <c r="D3063">
        <v>2076</v>
      </c>
      <c r="E3063" s="126" t="s">
        <v>4185</v>
      </c>
      <c r="F3063" s="122" t="s">
        <v>1593</v>
      </c>
      <c r="G3063" s="122" t="s">
        <v>109</v>
      </c>
      <c r="H3063">
        <v>588</v>
      </c>
      <c r="I3063" s="122" t="s">
        <v>1546</v>
      </c>
      <c r="J3063" s="307" t="s">
        <v>214</v>
      </c>
      <c r="K3063" s="127" t="s">
        <v>4112</v>
      </c>
      <c r="L3063" s="151" t="s">
        <v>3306</v>
      </c>
      <c r="M3063">
        <v>834</v>
      </c>
      <c r="N3063" s="123">
        <v>1</v>
      </c>
      <c r="O3063">
        <v>2033</v>
      </c>
      <c r="P3063" s="132" t="s">
        <v>77</v>
      </c>
      <c r="Q3063" s="131">
        <v>267000</v>
      </c>
      <c r="R3063" s="131">
        <v>42720</v>
      </c>
      <c r="S3063" s="131"/>
      <c r="T3063" s="155">
        <v>0</v>
      </c>
      <c r="U3063" s="131">
        <v>0</v>
      </c>
      <c r="V3063" s="131">
        <f t="shared" si="56"/>
        <v>309720</v>
      </c>
      <c r="W3063">
        <v>335</v>
      </c>
      <c r="X3063" s="151" t="s">
        <v>1430</v>
      </c>
      <c r="Y3063" s="135" t="s">
        <v>55</v>
      </c>
      <c r="Z3063" s="307">
        <v>244</v>
      </c>
      <c r="AB3063" t="str">
        <f>IF(Table1[[#This Row],[TIPO2]]="costo", VLOOKUP(Table1[[#This Row],[PARTIDA PRESUPUESTAL]],'Cost Report'!G:G,1,0),"Balance")</f>
        <v>3220-003</v>
      </c>
      <c r="AC3063" s="118"/>
      <c r="AD3063" s="159">
        <f>+Table1[[#This Row],[SUBTOTAL]]+Table1[[#This Row],[IVA]]-Table1[[#This Row],[RET IVA]]-Table1[[#This Row],[RET ISR]]-Table1[[#This Row],[TOTAL]]</f>
        <v>0</v>
      </c>
      <c r="AE3063" s="150"/>
      <c r="AF3063" s="151"/>
      <c r="AG3063" s="126"/>
      <c r="AK3063" s="306" t="str">
        <f>IF(ISNUMBER(Table1[[#This Row],[FECHA DE RECIBIDO]]), Table1[[#This Row],[FECHA DE RECIBIDO]]-DATE(2023,8,30), "")</f>
        <v/>
      </c>
    </row>
    <row r="3064" spans="1:37" ht="16.05" customHeight="1">
      <c r="A3064" s="152" t="s">
        <v>4141</v>
      </c>
      <c r="B3064" s="153">
        <v>1134</v>
      </c>
      <c r="C3064" s="126" t="s">
        <v>3002</v>
      </c>
      <c r="D3064">
        <v>2077</v>
      </c>
      <c r="E3064" s="126" t="s">
        <v>4185</v>
      </c>
      <c r="F3064" s="125" t="s">
        <v>1593</v>
      </c>
      <c r="G3064" s="125" t="s">
        <v>109</v>
      </c>
      <c r="H3064">
        <v>588</v>
      </c>
      <c r="I3064" s="125" t="s">
        <v>1546</v>
      </c>
      <c r="J3064" s="308" t="s">
        <v>214</v>
      </c>
      <c r="K3064" s="127" t="s">
        <v>4112</v>
      </c>
      <c r="L3064" s="153" t="s">
        <v>3306</v>
      </c>
      <c r="M3064">
        <v>834</v>
      </c>
      <c r="N3064" s="123">
        <v>1</v>
      </c>
      <c r="O3064">
        <v>2034</v>
      </c>
      <c r="P3064" s="132" t="s">
        <v>77</v>
      </c>
      <c r="Q3064" s="132">
        <v>11000</v>
      </c>
      <c r="R3064" s="132">
        <v>1760</v>
      </c>
      <c r="S3064" s="132"/>
      <c r="T3064" s="156">
        <v>0</v>
      </c>
      <c r="U3064" s="132">
        <v>0</v>
      </c>
      <c r="V3064" s="132">
        <f t="shared" si="56"/>
        <v>12760</v>
      </c>
      <c r="W3064">
        <v>335</v>
      </c>
      <c r="X3064" s="153" t="s">
        <v>1430</v>
      </c>
      <c r="Y3064" s="124" t="s">
        <v>55</v>
      </c>
      <c r="Z3064" s="308">
        <v>244</v>
      </c>
      <c r="AB3064" t="str">
        <f>IF(Table1[[#This Row],[TIPO2]]="costo", VLOOKUP(Table1[[#This Row],[PARTIDA PRESUPUESTAL]],'Cost Report'!G:G,1,0),"Balance")</f>
        <v>4180-003</v>
      </c>
      <c r="AC3064" s="118"/>
      <c r="AD3064" s="159">
        <f>+Table1[[#This Row],[SUBTOTAL]]+Table1[[#This Row],[IVA]]-Table1[[#This Row],[RET IVA]]-Table1[[#This Row],[RET ISR]]-Table1[[#This Row],[TOTAL]]</f>
        <v>0</v>
      </c>
      <c r="AE3064" s="152"/>
      <c r="AF3064" s="153"/>
      <c r="AG3064" s="126"/>
      <c r="AK3064" s="306" t="str">
        <f>IF(ISNUMBER(Table1[[#This Row],[FECHA DE RECIBIDO]]), Table1[[#This Row],[FECHA DE RECIBIDO]]-DATE(2023,8,30), "")</f>
        <v/>
      </c>
    </row>
    <row r="3065" spans="1:37" ht="16.05" customHeight="1">
      <c r="A3065" s="150" t="s">
        <v>4142</v>
      </c>
      <c r="B3065" s="151">
        <v>1135</v>
      </c>
      <c r="C3065" s="126" t="s">
        <v>1017</v>
      </c>
      <c r="D3065">
        <v>2078</v>
      </c>
      <c r="E3065" s="126" t="s">
        <v>1647</v>
      </c>
      <c r="F3065" s="122">
        <v>601</v>
      </c>
      <c r="G3065" s="122" t="s">
        <v>134</v>
      </c>
      <c r="H3065">
        <v>589</v>
      </c>
      <c r="I3065" s="122" t="s">
        <v>1546</v>
      </c>
      <c r="J3065" s="307">
        <v>244.55846064814978</v>
      </c>
      <c r="K3065" s="127" t="s">
        <v>4112</v>
      </c>
      <c r="L3065" s="151" t="s">
        <v>3306</v>
      </c>
      <c r="M3065">
        <v>835</v>
      </c>
      <c r="N3065" s="123">
        <v>24</v>
      </c>
      <c r="O3065">
        <v>2035</v>
      </c>
      <c r="P3065" s="132" t="s">
        <v>77</v>
      </c>
      <c r="Q3065" s="131">
        <v>150000</v>
      </c>
      <c r="R3065" s="131">
        <f t="shared" ref="R3065:R3066" si="62">Q3065*0.16</f>
        <v>24000</v>
      </c>
      <c r="S3065" s="131"/>
      <c r="T3065" s="155">
        <v>0</v>
      </c>
      <c r="U3065" s="131">
        <v>0</v>
      </c>
      <c r="V3065" s="131">
        <f t="shared" si="56"/>
        <v>174000</v>
      </c>
      <c r="W3065">
        <v>336</v>
      </c>
      <c r="X3065" s="151" t="s">
        <v>4143</v>
      </c>
      <c r="Y3065" s="135" t="s">
        <v>55</v>
      </c>
      <c r="Z3065" s="307">
        <v>244</v>
      </c>
      <c r="AB3065" t="str">
        <f>IF(Table1[[#This Row],[TIPO2]]="costo", VLOOKUP(Table1[[#This Row],[PARTIDA PRESUPUESTAL]],'Cost Report'!G:G,1,0),"Balance")</f>
        <v>3412-071</v>
      </c>
      <c r="AC3065" s="118"/>
      <c r="AD3065" s="159">
        <f>+Table1[[#This Row],[SUBTOTAL]]+Table1[[#This Row],[IVA]]-Table1[[#This Row],[RET IVA]]-Table1[[#This Row],[RET ISR]]-Table1[[#This Row],[TOTAL]]</f>
        <v>0</v>
      </c>
      <c r="AE3065" s="150"/>
      <c r="AF3065" s="151"/>
      <c r="AG3065" s="126"/>
      <c r="AK3065" s="306">
        <f>IF(ISNUMBER(Table1[[#This Row],[FECHA DE RECIBIDO]]), Table1[[#This Row],[FECHA DE RECIBIDO]]-DATE(2023,8,30), "")</f>
        <v>-44923.44153935185</v>
      </c>
    </row>
    <row r="3066" spans="1:37" ht="16.05" customHeight="1">
      <c r="A3066" s="152"/>
      <c r="B3066" s="153">
        <v>1136</v>
      </c>
      <c r="C3066" s="126" t="s">
        <v>1017</v>
      </c>
      <c r="D3066">
        <v>2079</v>
      </c>
      <c r="E3066" s="126" t="s">
        <v>1647</v>
      </c>
      <c r="F3066" s="125">
        <v>601</v>
      </c>
      <c r="G3066" s="125" t="s">
        <v>134</v>
      </c>
      <c r="H3066">
        <v>589</v>
      </c>
      <c r="I3066" s="125" t="s">
        <v>1546</v>
      </c>
      <c r="J3066" s="308">
        <v>244.56210648148408</v>
      </c>
      <c r="K3066" s="127" t="s">
        <v>4112</v>
      </c>
      <c r="L3066" s="153" t="s">
        <v>3306</v>
      </c>
      <c r="M3066">
        <v>835</v>
      </c>
      <c r="N3066" s="123">
        <v>24</v>
      </c>
      <c r="O3066">
        <v>2036</v>
      </c>
      <c r="P3066" s="132" t="s">
        <v>77</v>
      </c>
      <c r="Q3066" s="132">
        <v>7000</v>
      </c>
      <c r="R3066" s="132">
        <f t="shared" si="62"/>
        <v>1120</v>
      </c>
      <c r="S3066" s="132"/>
      <c r="T3066" s="156">
        <v>0</v>
      </c>
      <c r="U3066" s="132">
        <v>0</v>
      </c>
      <c r="V3066" s="132">
        <f t="shared" si="56"/>
        <v>8120</v>
      </c>
      <c r="W3066">
        <v>336</v>
      </c>
      <c r="X3066" s="153" t="s">
        <v>4143</v>
      </c>
      <c r="Y3066" s="124" t="s">
        <v>55</v>
      </c>
      <c r="Z3066" s="308">
        <v>244</v>
      </c>
      <c r="AB3066" t="str">
        <f>IF(Table1[[#This Row],[TIPO2]]="costo", VLOOKUP(Table1[[#This Row],[PARTIDA PRESUPUESTAL]],'Cost Report'!G:G,1,0),"Balance")</f>
        <v>3412-071</v>
      </c>
      <c r="AC3066" s="118"/>
      <c r="AD3066" s="159">
        <f>+Table1[[#This Row],[SUBTOTAL]]+Table1[[#This Row],[IVA]]-Table1[[#This Row],[RET IVA]]-Table1[[#This Row],[RET ISR]]-Table1[[#This Row],[TOTAL]]</f>
        <v>0</v>
      </c>
      <c r="AE3066" s="152"/>
      <c r="AF3066" s="153"/>
      <c r="AG3066" s="126"/>
      <c r="AK3066" s="306">
        <f>IF(ISNUMBER(Table1[[#This Row],[FECHA DE RECIBIDO]]), Table1[[#This Row],[FECHA DE RECIBIDO]]-DATE(2023,8,30), "")</f>
        <v>-44923.437893518516</v>
      </c>
    </row>
    <row r="3067" spans="1:37" ht="16.05" customHeight="1">
      <c r="A3067" s="150" t="s">
        <v>4144</v>
      </c>
      <c r="B3067" s="151">
        <v>1137</v>
      </c>
      <c r="C3067" s="126" t="s">
        <v>993</v>
      </c>
      <c r="D3067">
        <v>2080</v>
      </c>
      <c r="E3067" s="126">
        <v>44660</v>
      </c>
      <c r="F3067" s="122" t="s">
        <v>1371</v>
      </c>
      <c r="G3067" s="122" t="s">
        <v>2065</v>
      </c>
      <c r="H3067">
        <v>590</v>
      </c>
      <c r="I3067" s="122" t="s">
        <v>1546</v>
      </c>
      <c r="J3067" s="307" t="s">
        <v>214</v>
      </c>
      <c r="K3067" s="127" t="s">
        <v>4112</v>
      </c>
      <c r="L3067" s="151" t="s">
        <v>3306</v>
      </c>
      <c r="M3067">
        <v>836</v>
      </c>
      <c r="N3067" s="123">
        <v>24</v>
      </c>
      <c r="O3067">
        <v>2037</v>
      </c>
      <c r="P3067" s="132" t="s">
        <v>77</v>
      </c>
      <c r="Q3067" s="131">
        <v>70000</v>
      </c>
      <c r="R3067" s="131">
        <v>0</v>
      </c>
      <c r="S3067" s="131"/>
      <c r="T3067" s="155">
        <v>0</v>
      </c>
      <c r="U3067" s="131">
        <v>0</v>
      </c>
      <c r="V3067" s="131">
        <v>70000</v>
      </c>
      <c r="W3067">
        <v>337</v>
      </c>
      <c r="X3067" s="151" t="s">
        <v>1912</v>
      </c>
      <c r="Y3067" s="135" t="s">
        <v>55</v>
      </c>
      <c r="Z3067" s="307">
        <v>244</v>
      </c>
      <c r="AB3067" t="str">
        <f>IF(Table1[[#This Row],[TIPO2]]="costo", VLOOKUP(Table1[[#This Row],[PARTIDA PRESUPUESTAL]],'Cost Report'!G:G,1,0),"Balance")</f>
        <v>3412-023</v>
      </c>
      <c r="AC3067" s="118"/>
      <c r="AD3067" s="159">
        <f>+Table1[[#This Row],[SUBTOTAL]]+Table1[[#This Row],[IVA]]-Table1[[#This Row],[RET IVA]]-Table1[[#This Row],[RET ISR]]-Table1[[#This Row],[TOTAL]]</f>
        <v>0</v>
      </c>
      <c r="AE3067" s="150"/>
      <c r="AF3067" s="151"/>
      <c r="AG3067" s="126"/>
      <c r="AK3067" s="306" t="str">
        <f>IF(ISNUMBER(Table1[[#This Row],[FECHA DE RECIBIDO]]), Table1[[#This Row],[FECHA DE RECIBIDO]]-DATE(2023,8,30), "")</f>
        <v/>
      </c>
    </row>
    <row r="3068" spans="1:37" ht="16.05" customHeight="1">
      <c r="A3068" s="152" t="s">
        <v>4146</v>
      </c>
      <c r="B3068" s="153">
        <v>1139</v>
      </c>
      <c r="C3068" s="126" t="s">
        <v>2680</v>
      </c>
      <c r="D3068">
        <v>2081</v>
      </c>
      <c r="E3068" s="126">
        <v>45402</v>
      </c>
      <c r="F3068" s="125">
        <v>612</v>
      </c>
      <c r="G3068" s="125" t="s">
        <v>129</v>
      </c>
      <c r="H3068">
        <v>591</v>
      </c>
      <c r="I3068" s="125" t="s">
        <v>1546</v>
      </c>
      <c r="J3068" s="308">
        <v>244.50185185185546</v>
      </c>
      <c r="K3068" s="127" t="s">
        <v>4112</v>
      </c>
      <c r="L3068" s="153" t="s">
        <v>3306</v>
      </c>
      <c r="M3068">
        <v>837</v>
      </c>
      <c r="N3068" s="123">
        <v>24</v>
      </c>
      <c r="O3068">
        <v>2038</v>
      </c>
      <c r="P3068" s="132" t="s">
        <v>77</v>
      </c>
      <c r="Q3068" s="132">
        <v>7000</v>
      </c>
      <c r="R3068" s="132">
        <f>Q3068*0.16</f>
        <v>1120</v>
      </c>
      <c r="S3068" s="132"/>
      <c r="T3068" s="156">
        <f>Q3068*0.10667</f>
        <v>746.69</v>
      </c>
      <c r="U3068" s="132">
        <f>Q3068*0.1</f>
        <v>700</v>
      </c>
      <c r="V3068" s="132">
        <f t="shared" si="56"/>
        <v>6673.3099999999995</v>
      </c>
      <c r="W3068">
        <v>338</v>
      </c>
      <c r="X3068" s="153" t="s">
        <v>2035</v>
      </c>
      <c r="Y3068" s="124" t="s">
        <v>55</v>
      </c>
      <c r="Z3068" s="308">
        <v>244</v>
      </c>
      <c r="AB3068" t="str">
        <f>IF(Table1[[#This Row],[TIPO2]]="costo", VLOOKUP(Table1[[#This Row],[PARTIDA PRESUPUESTAL]],'Cost Report'!G:G,1,0),"Balance")</f>
        <v>3110-003</v>
      </c>
      <c r="AC3068" s="118"/>
      <c r="AD3068" s="159">
        <f>+Table1[[#This Row],[SUBTOTAL]]+Table1[[#This Row],[IVA]]-Table1[[#This Row],[RET IVA]]-Table1[[#This Row],[RET ISR]]-Table1[[#This Row],[TOTAL]]</f>
        <v>0</v>
      </c>
      <c r="AE3068" s="152"/>
      <c r="AF3068" s="153"/>
      <c r="AG3068" s="126"/>
      <c r="AK3068" s="306">
        <f>IF(ISNUMBER(Table1[[#This Row],[FECHA DE RECIBIDO]]), Table1[[#This Row],[FECHA DE RECIBIDO]]-DATE(2023,8,30), "")</f>
        <v>-44923.498148148145</v>
      </c>
    </row>
    <row r="3069" spans="1:37" ht="16.05" customHeight="1">
      <c r="A3069" s="150" t="s">
        <v>4147</v>
      </c>
      <c r="B3069" s="151">
        <v>1140</v>
      </c>
      <c r="C3069" s="126" t="s">
        <v>2140</v>
      </c>
      <c r="D3069">
        <v>2082</v>
      </c>
      <c r="E3069" s="126" t="s">
        <v>1604</v>
      </c>
      <c r="F3069" s="122" t="s">
        <v>1593</v>
      </c>
      <c r="G3069" s="122" t="s">
        <v>109</v>
      </c>
      <c r="H3069">
        <v>123</v>
      </c>
      <c r="I3069" s="122" t="s">
        <v>1546</v>
      </c>
      <c r="J3069" s="307" t="s">
        <v>214</v>
      </c>
      <c r="K3069" s="127" t="s">
        <v>4112</v>
      </c>
      <c r="L3069" s="151" t="s">
        <v>110</v>
      </c>
      <c r="M3069">
        <v>29</v>
      </c>
      <c r="N3069" s="123">
        <v>50</v>
      </c>
      <c r="O3069">
        <v>2039</v>
      </c>
      <c r="P3069" s="132" t="s">
        <v>77</v>
      </c>
      <c r="Q3069" s="131">
        <v>180000</v>
      </c>
      <c r="R3069" s="131">
        <f t="shared" ref="R3069:R3072" si="63">TRUNC(($Q3069*0.16),2)</f>
        <v>28800</v>
      </c>
      <c r="S3069" s="131"/>
      <c r="T3069" s="155">
        <f t="shared" ref="T3069:T3071" si="64">TRUNC(($Q3069*0.106667),2)</f>
        <v>19200.060000000001</v>
      </c>
      <c r="U3069" s="131">
        <f t="shared" ref="U3069:U3072" si="65">TRUNC(($Q3069*0.0125),2)</f>
        <v>2250</v>
      </c>
      <c r="V3069" s="131">
        <f t="shared" si="56"/>
        <v>187349.94</v>
      </c>
      <c r="W3069">
        <v>22</v>
      </c>
      <c r="X3069" s="151" t="s">
        <v>1429</v>
      </c>
      <c r="Y3069" s="135" t="s">
        <v>55</v>
      </c>
      <c r="Z3069" s="307">
        <v>247</v>
      </c>
      <c r="AB3069" t="str">
        <f>IF(Table1[[#This Row],[TIPO2]]="costo", VLOOKUP(Table1[[#This Row],[PARTIDA PRESUPUESTAL]],'Cost Report'!G:G,1,0),"Balance")</f>
        <v>1201-009</v>
      </c>
      <c r="AC3069" s="118"/>
      <c r="AD3069" s="159">
        <f>+Table1[[#This Row],[SUBTOTAL]]+Table1[[#This Row],[IVA]]-Table1[[#This Row],[RET IVA]]-Table1[[#This Row],[RET ISR]]-Table1[[#This Row],[TOTAL]]</f>
        <v>0</v>
      </c>
      <c r="AE3069" s="150"/>
      <c r="AF3069" s="151"/>
      <c r="AG3069" s="126"/>
      <c r="AK3069" s="306" t="str">
        <f>IF(ISNUMBER(Table1[[#This Row],[FECHA DE RECIBIDO]]), Table1[[#This Row],[FECHA DE RECIBIDO]]-DATE(2023,8,30), "")</f>
        <v/>
      </c>
    </row>
    <row r="3070" spans="1:37" ht="16.05" customHeight="1">
      <c r="A3070" s="152"/>
      <c r="B3070" s="153">
        <v>1140</v>
      </c>
      <c r="C3070" s="126" t="s">
        <v>2145</v>
      </c>
      <c r="D3070">
        <v>2082</v>
      </c>
      <c r="E3070" s="126" t="s">
        <v>1604</v>
      </c>
      <c r="F3070" s="125" t="s">
        <v>1593</v>
      </c>
      <c r="G3070" s="125" t="s">
        <v>109</v>
      </c>
      <c r="H3070">
        <v>123</v>
      </c>
      <c r="I3070" s="125" t="s">
        <v>1546</v>
      </c>
      <c r="J3070" s="308" t="s">
        <v>214</v>
      </c>
      <c r="K3070" s="127" t="s">
        <v>4112</v>
      </c>
      <c r="L3070" s="153" t="s">
        <v>110</v>
      </c>
      <c r="M3070">
        <v>29</v>
      </c>
      <c r="N3070" s="123">
        <v>50</v>
      </c>
      <c r="O3070">
        <v>2039</v>
      </c>
      <c r="P3070" s="132" t="s">
        <v>77</v>
      </c>
      <c r="Q3070" s="132">
        <v>117000</v>
      </c>
      <c r="R3070" s="132">
        <f t="shared" si="63"/>
        <v>18720</v>
      </c>
      <c r="S3070" s="132"/>
      <c r="T3070" s="156">
        <f t="shared" si="64"/>
        <v>12480.03</v>
      </c>
      <c r="U3070" s="132">
        <f t="shared" si="65"/>
        <v>1462.5</v>
      </c>
      <c r="V3070" s="132">
        <f t="shared" si="56"/>
        <v>121777.47</v>
      </c>
      <c r="W3070">
        <v>22</v>
      </c>
      <c r="X3070" s="153" t="s">
        <v>1429</v>
      </c>
      <c r="Y3070" s="124" t="s">
        <v>55</v>
      </c>
      <c r="Z3070" s="308">
        <v>247</v>
      </c>
      <c r="AB3070" t="str">
        <f>IF(Table1[[#This Row],[TIPO2]]="costo", VLOOKUP(Table1[[#This Row],[PARTIDA PRESUPUESTAL]],'Cost Report'!G:G,1,0),"Balance")</f>
        <v>1287-011</v>
      </c>
      <c r="AC3070" s="118"/>
      <c r="AD3070" s="159">
        <f>+Table1[[#This Row],[SUBTOTAL]]+Table1[[#This Row],[IVA]]-Table1[[#This Row],[RET IVA]]-Table1[[#This Row],[RET ISR]]-Table1[[#This Row],[TOTAL]]</f>
        <v>0</v>
      </c>
      <c r="AE3070" s="152"/>
      <c r="AF3070" s="153"/>
      <c r="AG3070" s="126"/>
      <c r="AK3070" s="306" t="str">
        <f>IF(ISNUMBER(Table1[[#This Row],[FECHA DE RECIBIDO]]), Table1[[#This Row],[FECHA DE RECIBIDO]]-DATE(2023,8,30), "")</f>
        <v/>
      </c>
    </row>
    <row r="3071" spans="1:37" ht="16.05" customHeight="1">
      <c r="A3071" s="150"/>
      <c r="B3071" s="151">
        <v>1140</v>
      </c>
      <c r="C3071" s="126" t="s">
        <v>2146</v>
      </c>
      <c r="D3071">
        <v>2082</v>
      </c>
      <c r="E3071" s="126" t="s">
        <v>1604</v>
      </c>
      <c r="F3071" s="122" t="s">
        <v>1593</v>
      </c>
      <c r="G3071" s="122" t="s">
        <v>109</v>
      </c>
      <c r="H3071">
        <v>123</v>
      </c>
      <c r="I3071" s="122" t="s">
        <v>1546</v>
      </c>
      <c r="J3071" s="307" t="s">
        <v>214</v>
      </c>
      <c r="K3071" s="127" t="s">
        <v>4112</v>
      </c>
      <c r="L3071" s="151" t="s">
        <v>110</v>
      </c>
      <c r="M3071">
        <v>29</v>
      </c>
      <c r="N3071" s="123">
        <v>50</v>
      </c>
      <c r="O3071">
        <v>2039</v>
      </c>
      <c r="P3071" s="132" t="s">
        <v>77</v>
      </c>
      <c r="Q3071" s="131">
        <v>91000</v>
      </c>
      <c r="R3071" s="131">
        <f t="shared" si="63"/>
        <v>14560</v>
      </c>
      <c r="S3071" s="131"/>
      <c r="T3071" s="155">
        <f t="shared" si="64"/>
        <v>9706.69</v>
      </c>
      <c r="U3071" s="131">
        <f t="shared" si="65"/>
        <v>1137.5</v>
      </c>
      <c r="V3071" s="131">
        <f t="shared" si="56"/>
        <v>94715.81</v>
      </c>
      <c r="W3071">
        <v>22</v>
      </c>
      <c r="X3071" s="151" t="s">
        <v>1429</v>
      </c>
      <c r="Y3071" s="135" t="s">
        <v>55</v>
      </c>
      <c r="Z3071" s="307">
        <v>247</v>
      </c>
      <c r="AB3071" t="str">
        <f>IF(Table1[[#This Row],[TIPO2]]="costo", VLOOKUP(Table1[[#This Row],[PARTIDA PRESUPUESTAL]],'Cost Report'!G:G,1,0),"Balance")</f>
        <v>1287-012</v>
      </c>
      <c r="AC3071" s="118"/>
      <c r="AD3071" s="159">
        <f>+Table1[[#This Row],[SUBTOTAL]]+Table1[[#This Row],[IVA]]-Table1[[#This Row],[RET IVA]]-Table1[[#This Row],[RET ISR]]-Table1[[#This Row],[TOTAL]]</f>
        <v>0</v>
      </c>
      <c r="AE3071" s="150"/>
      <c r="AF3071" s="151"/>
      <c r="AG3071" s="126"/>
      <c r="AK3071" s="306" t="str">
        <f>IF(ISNUMBER(Table1[[#This Row],[FECHA DE RECIBIDO]]), Table1[[#This Row],[FECHA DE RECIBIDO]]-DATE(2023,8,30), "")</f>
        <v/>
      </c>
    </row>
    <row r="3072" spans="1:37" ht="16.05" customHeight="1">
      <c r="A3072" s="152"/>
      <c r="B3072" s="153">
        <v>1140</v>
      </c>
      <c r="C3072" s="126" t="s">
        <v>2147</v>
      </c>
      <c r="D3072">
        <v>2082</v>
      </c>
      <c r="E3072" s="126" t="s">
        <v>1604</v>
      </c>
      <c r="F3072" s="125" t="s">
        <v>1593</v>
      </c>
      <c r="G3072" s="125" t="s">
        <v>109</v>
      </c>
      <c r="H3072">
        <v>123</v>
      </c>
      <c r="I3072" s="125" t="s">
        <v>1546</v>
      </c>
      <c r="J3072" s="308" t="s">
        <v>214</v>
      </c>
      <c r="K3072" s="127" t="s">
        <v>4112</v>
      </c>
      <c r="L3072" s="153" t="s">
        <v>110</v>
      </c>
      <c r="M3072">
        <v>29</v>
      </c>
      <c r="N3072" s="123">
        <v>50</v>
      </c>
      <c r="O3072">
        <v>2039</v>
      </c>
      <c r="P3072" s="132" t="s">
        <v>77</v>
      </c>
      <c r="Q3072" s="132">
        <v>112000</v>
      </c>
      <c r="R3072" s="132">
        <f t="shared" si="63"/>
        <v>17920</v>
      </c>
      <c r="S3072" s="132"/>
      <c r="T3072" s="156">
        <f>TRUNC(($Q3072*0.106667),2)+0.02</f>
        <v>11946.720000000001</v>
      </c>
      <c r="U3072" s="132">
        <f t="shared" si="65"/>
        <v>1400</v>
      </c>
      <c r="V3072" s="132">
        <f t="shared" si="56"/>
        <v>116573.28</v>
      </c>
      <c r="W3072">
        <v>22</v>
      </c>
      <c r="X3072" s="153" t="s">
        <v>1429</v>
      </c>
      <c r="Y3072" s="124" t="s">
        <v>55</v>
      </c>
      <c r="Z3072" s="308">
        <v>247</v>
      </c>
      <c r="AB3072" t="str">
        <f>IF(Table1[[#This Row],[TIPO2]]="costo", VLOOKUP(Table1[[#This Row],[PARTIDA PRESUPUESTAL]],'Cost Report'!G:G,1,0),"Balance")</f>
        <v>1287-013</v>
      </c>
      <c r="AC3072" s="118"/>
      <c r="AD3072" s="159">
        <f>+Table1[[#This Row],[SUBTOTAL]]+Table1[[#This Row],[IVA]]-Table1[[#This Row],[RET IVA]]-Table1[[#This Row],[RET ISR]]-Table1[[#This Row],[TOTAL]]</f>
        <v>0</v>
      </c>
      <c r="AE3072" s="152"/>
      <c r="AF3072" s="153"/>
      <c r="AG3072" s="126"/>
      <c r="AK3072" s="306" t="str">
        <f>IF(ISNUMBER(Table1[[#This Row],[FECHA DE RECIBIDO]]), Table1[[#This Row],[FECHA DE RECIBIDO]]-DATE(2023,8,30), "")</f>
        <v/>
      </c>
    </row>
    <row r="3073" spans="1:37" ht="16.05" customHeight="1">
      <c r="A3073" s="150" t="s">
        <v>4148</v>
      </c>
      <c r="B3073" s="151">
        <v>1141</v>
      </c>
      <c r="C3073" s="126" t="s">
        <v>1108</v>
      </c>
      <c r="D3073">
        <v>2083</v>
      </c>
      <c r="E3073" s="126" t="s">
        <v>2001</v>
      </c>
      <c r="F3073" s="122" t="s">
        <v>1607</v>
      </c>
      <c r="G3073" s="122" t="s">
        <v>134</v>
      </c>
      <c r="H3073">
        <v>121</v>
      </c>
      <c r="I3073" s="122" t="s">
        <v>1546</v>
      </c>
      <c r="J3073" s="307" t="s">
        <v>214</v>
      </c>
      <c r="K3073" s="127" t="s">
        <v>4112</v>
      </c>
      <c r="L3073" s="151" t="s">
        <v>3306</v>
      </c>
      <c r="M3073">
        <v>336</v>
      </c>
      <c r="N3073" s="123">
        <v>1</v>
      </c>
      <c r="O3073">
        <v>2040</v>
      </c>
      <c r="P3073" s="132" t="s">
        <v>77</v>
      </c>
      <c r="Q3073" s="131">
        <v>50400</v>
      </c>
      <c r="R3073" s="131">
        <v>8064</v>
      </c>
      <c r="S3073" s="131"/>
      <c r="T3073" s="155"/>
      <c r="U3073" s="131"/>
      <c r="V3073" s="131">
        <f t="shared" si="56"/>
        <v>58464</v>
      </c>
      <c r="W3073">
        <v>83</v>
      </c>
      <c r="X3073" s="151" t="s">
        <v>1430</v>
      </c>
      <c r="Y3073" s="135" t="s">
        <v>55</v>
      </c>
      <c r="Z3073" s="307">
        <v>247</v>
      </c>
      <c r="AB3073" t="str">
        <f>IF(Table1[[#This Row],[TIPO2]]="costo", VLOOKUP(Table1[[#This Row],[PARTIDA PRESUPUESTAL]],'Cost Report'!G:G,1,0),"Balance")</f>
        <v>3807-003</v>
      </c>
      <c r="AC3073" s="118"/>
      <c r="AD3073" s="159">
        <f>+Table1[[#This Row],[SUBTOTAL]]+Table1[[#This Row],[IVA]]-Table1[[#This Row],[RET IVA]]-Table1[[#This Row],[RET ISR]]-Table1[[#This Row],[TOTAL]]</f>
        <v>0</v>
      </c>
      <c r="AE3073" s="150"/>
      <c r="AF3073" s="151"/>
      <c r="AG3073" s="126"/>
      <c r="AK3073" s="306" t="str">
        <f>IF(ISNUMBER(Table1[[#This Row],[FECHA DE RECIBIDO]]), Table1[[#This Row],[FECHA DE RECIBIDO]]-DATE(2023,8,30), "")</f>
        <v/>
      </c>
    </row>
    <row r="3074" spans="1:37" ht="16.05" customHeight="1">
      <c r="A3074" s="152" t="s">
        <v>4148</v>
      </c>
      <c r="B3074" s="153">
        <v>1141</v>
      </c>
      <c r="C3074" s="126" t="s">
        <v>1110</v>
      </c>
      <c r="D3074">
        <v>2083</v>
      </c>
      <c r="E3074" s="126" t="s">
        <v>2001</v>
      </c>
      <c r="F3074" s="125" t="s">
        <v>1607</v>
      </c>
      <c r="G3074" s="125" t="s">
        <v>134</v>
      </c>
      <c r="H3074">
        <v>121</v>
      </c>
      <c r="I3074" s="125" t="s">
        <v>1546</v>
      </c>
      <c r="J3074" s="308" t="s">
        <v>214</v>
      </c>
      <c r="K3074" s="127" t="s">
        <v>4112</v>
      </c>
      <c r="L3074" s="153" t="s">
        <v>3306</v>
      </c>
      <c r="M3074">
        <v>336</v>
      </c>
      <c r="N3074" s="123">
        <v>1</v>
      </c>
      <c r="O3074">
        <v>2040</v>
      </c>
      <c r="P3074" s="132" t="s">
        <v>77</v>
      </c>
      <c r="Q3074" s="132">
        <v>84000</v>
      </c>
      <c r="R3074" s="132">
        <v>13440</v>
      </c>
      <c r="S3074" s="132"/>
      <c r="T3074" s="156"/>
      <c r="U3074" s="132"/>
      <c r="V3074" s="132">
        <f t="shared" si="56"/>
        <v>97440</v>
      </c>
      <c r="W3074">
        <v>83</v>
      </c>
      <c r="X3074" s="153" t="s">
        <v>1430</v>
      </c>
      <c r="Y3074" s="124" t="s">
        <v>55</v>
      </c>
      <c r="Z3074" s="308">
        <v>247</v>
      </c>
      <c r="AB3074" t="str">
        <f>IF(Table1[[#This Row],[TIPO2]]="costo", VLOOKUP(Table1[[#This Row],[PARTIDA PRESUPUESTAL]],'Cost Report'!G:G,1,0),"Balance")</f>
        <v>3807-007</v>
      </c>
      <c r="AC3074" s="118"/>
      <c r="AD3074" s="159">
        <f>+Table1[[#This Row],[SUBTOTAL]]+Table1[[#This Row],[IVA]]-Table1[[#This Row],[RET IVA]]-Table1[[#This Row],[RET ISR]]-Table1[[#This Row],[TOTAL]]</f>
        <v>0</v>
      </c>
      <c r="AE3074" s="152"/>
      <c r="AF3074" s="153"/>
      <c r="AG3074" s="126"/>
      <c r="AK3074" s="306" t="str">
        <f>IF(ISNUMBER(Table1[[#This Row],[FECHA DE RECIBIDO]]), Table1[[#This Row],[FECHA DE RECIBIDO]]-DATE(2023,8,30), "")</f>
        <v/>
      </c>
    </row>
    <row r="3075" spans="1:37" ht="16.05" customHeight="1">
      <c r="A3075" s="150" t="s">
        <v>4148</v>
      </c>
      <c r="B3075" s="151">
        <v>1141</v>
      </c>
      <c r="C3075" s="126" t="s">
        <v>2944</v>
      </c>
      <c r="D3075">
        <v>2083</v>
      </c>
      <c r="E3075" s="126" t="s">
        <v>2001</v>
      </c>
      <c r="F3075" s="122" t="s">
        <v>1607</v>
      </c>
      <c r="G3075" s="122" t="s">
        <v>134</v>
      </c>
      <c r="H3075">
        <v>121</v>
      </c>
      <c r="I3075" s="122" t="s">
        <v>1546</v>
      </c>
      <c r="J3075" s="307" t="s">
        <v>214</v>
      </c>
      <c r="K3075" s="127" t="s">
        <v>4112</v>
      </c>
      <c r="L3075" s="151" t="s">
        <v>3306</v>
      </c>
      <c r="M3075">
        <v>336</v>
      </c>
      <c r="N3075" s="123">
        <v>1</v>
      </c>
      <c r="O3075">
        <v>2040</v>
      </c>
      <c r="P3075" s="132" t="s">
        <v>77</v>
      </c>
      <c r="Q3075" s="131">
        <v>152000</v>
      </c>
      <c r="R3075" s="131">
        <v>24320</v>
      </c>
      <c r="S3075" s="131"/>
      <c r="T3075" s="155"/>
      <c r="U3075" s="131"/>
      <c r="V3075" s="131">
        <f t="shared" si="56"/>
        <v>176320</v>
      </c>
      <c r="W3075">
        <v>83</v>
      </c>
      <c r="X3075" s="151" t="s">
        <v>1430</v>
      </c>
      <c r="Y3075" s="135" t="s">
        <v>55</v>
      </c>
      <c r="Z3075" s="307">
        <v>247</v>
      </c>
      <c r="AB3075" t="str">
        <f>IF(Table1[[#This Row],[TIPO2]]="costo", VLOOKUP(Table1[[#This Row],[PARTIDA PRESUPUESTAL]],'Cost Report'!G:G,1,0),"Balance")</f>
        <v>3807-011</v>
      </c>
      <c r="AC3075" s="118"/>
      <c r="AD3075" s="159">
        <f>+Table1[[#This Row],[SUBTOTAL]]+Table1[[#This Row],[IVA]]-Table1[[#This Row],[RET IVA]]-Table1[[#This Row],[RET ISR]]-Table1[[#This Row],[TOTAL]]</f>
        <v>0</v>
      </c>
      <c r="AE3075" s="150"/>
      <c r="AF3075" s="151"/>
      <c r="AG3075" s="126"/>
      <c r="AK3075" s="306" t="str">
        <f>IF(ISNUMBER(Table1[[#This Row],[FECHA DE RECIBIDO]]), Table1[[#This Row],[FECHA DE RECIBIDO]]-DATE(2023,8,30), "")</f>
        <v/>
      </c>
    </row>
    <row r="3076" spans="1:37" ht="16.05" customHeight="1">
      <c r="A3076" s="152" t="s">
        <v>4148</v>
      </c>
      <c r="B3076" s="153">
        <v>1141</v>
      </c>
      <c r="C3076" s="126" t="s">
        <v>2945</v>
      </c>
      <c r="D3076">
        <v>2083</v>
      </c>
      <c r="E3076" s="126" t="s">
        <v>2001</v>
      </c>
      <c r="F3076" s="125" t="s">
        <v>1607</v>
      </c>
      <c r="G3076" s="125" t="s">
        <v>134</v>
      </c>
      <c r="H3076">
        <v>121</v>
      </c>
      <c r="I3076" s="125" t="s">
        <v>1546</v>
      </c>
      <c r="J3076" s="308" t="s">
        <v>214</v>
      </c>
      <c r="K3076" s="127" t="s">
        <v>4112</v>
      </c>
      <c r="L3076" s="153" t="s">
        <v>3306</v>
      </c>
      <c r="M3076">
        <v>336</v>
      </c>
      <c r="N3076" s="123">
        <v>1</v>
      </c>
      <c r="O3076">
        <v>2040</v>
      </c>
      <c r="P3076" s="132" t="s">
        <v>77</v>
      </c>
      <c r="Q3076" s="132">
        <v>152000</v>
      </c>
      <c r="R3076" s="132">
        <v>24320</v>
      </c>
      <c r="S3076" s="132"/>
      <c r="T3076" s="156"/>
      <c r="U3076" s="132"/>
      <c r="V3076" s="132">
        <f t="shared" si="56"/>
        <v>176320</v>
      </c>
      <c r="W3076">
        <v>83</v>
      </c>
      <c r="X3076" s="153" t="s">
        <v>1430</v>
      </c>
      <c r="Y3076" s="124" t="s">
        <v>55</v>
      </c>
      <c r="Z3076" s="308">
        <v>247</v>
      </c>
      <c r="AB3076" t="str">
        <f>IF(Table1[[#This Row],[TIPO2]]="costo", VLOOKUP(Table1[[#This Row],[PARTIDA PRESUPUESTAL]],'Cost Report'!G:G,1,0),"Balance")</f>
        <v>3807-012</v>
      </c>
      <c r="AC3076" s="118"/>
      <c r="AD3076" s="159">
        <f>+Table1[[#This Row],[SUBTOTAL]]+Table1[[#This Row],[IVA]]-Table1[[#This Row],[RET IVA]]-Table1[[#This Row],[RET ISR]]-Table1[[#This Row],[TOTAL]]</f>
        <v>0</v>
      </c>
      <c r="AE3076" s="152"/>
      <c r="AF3076" s="153"/>
      <c r="AG3076" s="126"/>
      <c r="AK3076" s="306" t="str">
        <f>IF(ISNUMBER(Table1[[#This Row],[FECHA DE RECIBIDO]]), Table1[[#This Row],[FECHA DE RECIBIDO]]-DATE(2023,8,30), "")</f>
        <v/>
      </c>
    </row>
    <row r="3077" spans="1:37" ht="16.05" customHeight="1">
      <c r="A3077" s="150" t="s">
        <v>4148</v>
      </c>
      <c r="B3077" s="151">
        <v>1141</v>
      </c>
      <c r="C3077" s="126" t="s">
        <v>3078</v>
      </c>
      <c r="D3077">
        <v>2083</v>
      </c>
      <c r="E3077" s="126" t="s">
        <v>2001</v>
      </c>
      <c r="F3077" s="122" t="s">
        <v>1607</v>
      </c>
      <c r="G3077" s="122" t="s">
        <v>134</v>
      </c>
      <c r="H3077">
        <v>121</v>
      </c>
      <c r="I3077" s="122" t="s">
        <v>1546</v>
      </c>
      <c r="J3077" s="307" t="s">
        <v>214</v>
      </c>
      <c r="K3077" s="127" t="s">
        <v>4112</v>
      </c>
      <c r="L3077" s="151" t="s">
        <v>3306</v>
      </c>
      <c r="M3077">
        <v>336</v>
      </c>
      <c r="N3077" s="123">
        <v>1</v>
      </c>
      <c r="O3077">
        <v>2040</v>
      </c>
      <c r="P3077" s="132" t="s">
        <v>77</v>
      </c>
      <c r="Q3077" s="131">
        <v>96000</v>
      </c>
      <c r="R3077" s="131">
        <v>15360</v>
      </c>
      <c r="S3077" s="131"/>
      <c r="T3077" s="155"/>
      <c r="U3077" s="131"/>
      <c r="V3077" s="131">
        <f t="shared" si="56"/>
        <v>111360</v>
      </c>
      <c r="W3077">
        <v>83</v>
      </c>
      <c r="X3077" s="151" t="s">
        <v>1430</v>
      </c>
      <c r="Y3077" s="135" t="s">
        <v>55</v>
      </c>
      <c r="Z3077" s="307">
        <v>247</v>
      </c>
      <c r="AB3077" t="str">
        <f>IF(Table1[[#This Row],[TIPO2]]="costo", VLOOKUP(Table1[[#This Row],[PARTIDA PRESUPUESTAL]],'Cost Report'!G:G,1,0),"Balance")</f>
        <v>6102-003</v>
      </c>
      <c r="AC3077" s="118"/>
      <c r="AD3077" s="159">
        <f>+Table1[[#This Row],[SUBTOTAL]]+Table1[[#This Row],[IVA]]-Table1[[#This Row],[RET IVA]]-Table1[[#This Row],[RET ISR]]-Table1[[#This Row],[TOTAL]]</f>
        <v>0</v>
      </c>
      <c r="AE3077" s="150"/>
      <c r="AF3077" s="151"/>
      <c r="AG3077" s="126"/>
      <c r="AK3077" s="306" t="str">
        <f>IF(ISNUMBER(Table1[[#This Row],[FECHA DE RECIBIDO]]), Table1[[#This Row],[FECHA DE RECIBIDO]]-DATE(2023,8,30), "")</f>
        <v/>
      </c>
    </row>
    <row r="3078" spans="1:37" ht="16.05" customHeight="1">
      <c r="A3078" s="152" t="s">
        <v>4148</v>
      </c>
      <c r="B3078" s="153">
        <v>1141</v>
      </c>
      <c r="C3078" s="126" t="s">
        <v>1187</v>
      </c>
      <c r="D3078">
        <v>2083</v>
      </c>
      <c r="E3078" s="126" t="s">
        <v>2001</v>
      </c>
      <c r="F3078" s="125" t="s">
        <v>1607</v>
      </c>
      <c r="G3078" s="125" t="s">
        <v>134</v>
      </c>
      <c r="H3078">
        <v>121</v>
      </c>
      <c r="I3078" s="125" t="s">
        <v>1546</v>
      </c>
      <c r="J3078" s="308" t="s">
        <v>214</v>
      </c>
      <c r="K3078" s="127" t="s">
        <v>4112</v>
      </c>
      <c r="L3078" s="153" t="s">
        <v>3306</v>
      </c>
      <c r="M3078">
        <v>336</v>
      </c>
      <c r="N3078" s="123">
        <v>1</v>
      </c>
      <c r="O3078">
        <v>2040</v>
      </c>
      <c r="P3078" s="132" t="s">
        <v>77</v>
      </c>
      <c r="Q3078" s="132">
        <v>10000</v>
      </c>
      <c r="R3078" s="132">
        <v>1600</v>
      </c>
      <c r="S3078" s="132"/>
      <c r="T3078" s="156"/>
      <c r="U3078" s="132"/>
      <c r="V3078" s="132">
        <f t="shared" si="56"/>
        <v>11600</v>
      </c>
      <c r="W3078">
        <v>83</v>
      </c>
      <c r="X3078" s="153" t="s">
        <v>1430</v>
      </c>
      <c r="Y3078" s="124" t="s">
        <v>55</v>
      </c>
      <c r="Z3078" s="308">
        <v>247</v>
      </c>
      <c r="AB3078" t="str">
        <f>IF(Table1[[#This Row],[TIPO2]]="costo", VLOOKUP(Table1[[#This Row],[PARTIDA PRESUPUESTAL]],'Cost Report'!G:G,1,0),"Balance")</f>
        <v>5001-003</v>
      </c>
      <c r="AC3078" s="118"/>
      <c r="AD3078" s="159">
        <f>+Table1[[#This Row],[SUBTOTAL]]+Table1[[#This Row],[IVA]]-Table1[[#This Row],[RET IVA]]-Table1[[#This Row],[RET ISR]]-Table1[[#This Row],[TOTAL]]</f>
        <v>0</v>
      </c>
      <c r="AE3078" s="152"/>
      <c r="AF3078" s="153"/>
      <c r="AG3078" s="126"/>
      <c r="AK3078" s="306" t="str">
        <f>IF(ISNUMBER(Table1[[#This Row],[FECHA DE RECIBIDO]]), Table1[[#This Row],[FECHA DE RECIBIDO]]-DATE(2023,8,30), "")</f>
        <v/>
      </c>
    </row>
    <row r="3079" spans="1:37" ht="16.05" customHeight="1">
      <c r="A3079" s="150" t="s">
        <v>4148</v>
      </c>
      <c r="B3079" s="151">
        <v>1141</v>
      </c>
      <c r="C3079" s="126" t="s">
        <v>1188</v>
      </c>
      <c r="D3079">
        <v>2083</v>
      </c>
      <c r="E3079" s="126" t="s">
        <v>2001</v>
      </c>
      <c r="F3079" s="122" t="s">
        <v>1607</v>
      </c>
      <c r="G3079" s="122" t="s">
        <v>134</v>
      </c>
      <c r="H3079">
        <v>121</v>
      </c>
      <c r="I3079" s="122" t="s">
        <v>1546</v>
      </c>
      <c r="J3079" s="307" t="s">
        <v>214</v>
      </c>
      <c r="K3079" s="127" t="s">
        <v>4112</v>
      </c>
      <c r="L3079" s="151" t="s">
        <v>3306</v>
      </c>
      <c r="M3079">
        <v>336</v>
      </c>
      <c r="N3079" s="123">
        <v>1</v>
      </c>
      <c r="O3079">
        <v>2040</v>
      </c>
      <c r="P3079" s="132" t="s">
        <v>77</v>
      </c>
      <c r="Q3079" s="131">
        <v>475000</v>
      </c>
      <c r="R3079" s="131">
        <v>76000</v>
      </c>
      <c r="S3079" s="131"/>
      <c r="T3079" s="155"/>
      <c r="U3079" s="131"/>
      <c r="V3079" s="131">
        <f t="shared" si="56"/>
        <v>551000</v>
      </c>
      <c r="W3079">
        <v>83</v>
      </c>
      <c r="X3079" s="151" t="s">
        <v>1430</v>
      </c>
      <c r="Y3079" s="135" t="s">
        <v>55</v>
      </c>
      <c r="Z3079" s="307">
        <v>247</v>
      </c>
      <c r="AB3079" t="str">
        <f>IF(Table1[[#This Row],[TIPO2]]="costo", VLOOKUP(Table1[[#This Row],[PARTIDA PRESUPUESTAL]],'Cost Report'!G:G,1,0),"Balance")</f>
        <v>5001-004</v>
      </c>
      <c r="AC3079" s="118"/>
      <c r="AD3079" s="159">
        <f>+Table1[[#This Row],[SUBTOTAL]]+Table1[[#This Row],[IVA]]-Table1[[#This Row],[RET IVA]]-Table1[[#This Row],[RET ISR]]-Table1[[#This Row],[TOTAL]]</f>
        <v>0</v>
      </c>
      <c r="AE3079" s="150"/>
      <c r="AF3079" s="151"/>
      <c r="AG3079" s="126"/>
      <c r="AK3079" s="306" t="str">
        <f>IF(ISNUMBER(Table1[[#This Row],[FECHA DE RECIBIDO]]), Table1[[#This Row],[FECHA DE RECIBIDO]]-DATE(2023,8,30), "")</f>
        <v/>
      </c>
    </row>
    <row r="3080" spans="1:37" ht="16.05" customHeight="1">
      <c r="A3080" s="152" t="s">
        <v>4148</v>
      </c>
      <c r="B3080" s="153">
        <v>1141</v>
      </c>
      <c r="C3080" s="126" t="s">
        <v>1190</v>
      </c>
      <c r="D3080">
        <v>2083</v>
      </c>
      <c r="E3080" s="126" t="s">
        <v>2001</v>
      </c>
      <c r="F3080" s="125" t="s">
        <v>1607</v>
      </c>
      <c r="G3080" s="125" t="s">
        <v>134</v>
      </c>
      <c r="H3080">
        <v>121</v>
      </c>
      <c r="I3080" s="125" t="s">
        <v>1546</v>
      </c>
      <c r="J3080" s="308" t="s">
        <v>214</v>
      </c>
      <c r="K3080" s="127" t="s">
        <v>4112</v>
      </c>
      <c r="L3080" s="153" t="s">
        <v>3306</v>
      </c>
      <c r="M3080">
        <v>336</v>
      </c>
      <c r="N3080" s="123">
        <v>1</v>
      </c>
      <c r="O3080">
        <v>2040</v>
      </c>
      <c r="P3080" s="132" t="s">
        <v>77</v>
      </c>
      <c r="Q3080" s="132">
        <v>288000</v>
      </c>
      <c r="R3080" s="132">
        <v>46080</v>
      </c>
      <c r="S3080" s="132"/>
      <c r="T3080" s="156"/>
      <c r="U3080" s="132"/>
      <c r="V3080" s="132">
        <f t="shared" si="56"/>
        <v>334080</v>
      </c>
      <c r="W3080">
        <v>83</v>
      </c>
      <c r="X3080" s="153" t="s">
        <v>1430</v>
      </c>
      <c r="Y3080" s="124" t="s">
        <v>55</v>
      </c>
      <c r="Z3080" s="308">
        <v>247</v>
      </c>
      <c r="AB3080" t="str">
        <f>IF(Table1[[#This Row],[TIPO2]]="costo", VLOOKUP(Table1[[#This Row],[PARTIDA PRESUPUESTAL]],'Cost Report'!G:G,1,0),"Balance")</f>
        <v>5001-008</v>
      </c>
      <c r="AC3080" s="118"/>
      <c r="AD3080" s="159">
        <f>+Table1[[#This Row],[SUBTOTAL]]+Table1[[#This Row],[IVA]]-Table1[[#This Row],[RET IVA]]-Table1[[#This Row],[RET ISR]]-Table1[[#This Row],[TOTAL]]</f>
        <v>0</v>
      </c>
      <c r="AE3080" s="152"/>
      <c r="AF3080" s="153"/>
      <c r="AG3080" s="126"/>
      <c r="AK3080" s="306" t="str">
        <f>IF(ISNUMBER(Table1[[#This Row],[FECHA DE RECIBIDO]]), Table1[[#This Row],[FECHA DE RECIBIDO]]-DATE(2023,8,30), "")</f>
        <v/>
      </c>
    </row>
    <row r="3081" spans="1:37" ht="16.05" customHeight="1">
      <c r="A3081" s="150" t="s">
        <v>4148</v>
      </c>
      <c r="B3081" s="151">
        <v>1141</v>
      </c>
      <c r="C3081" s="126" t="s">
        <v>1773</v>
      </c>
      <c r="D3081">
        <v>2083</v>
      </c>
      <c r="E3081" s="126" t="s">
        <v>2001</v>
      </c>
      <c r="F3081" s="122" t="s">
        <v>1607</v>
      </c>
      <c r="G3081" s="122" t="s">
        <v>134</v>
      </c>
      <c r="H3081">
        <v>121</v>
      </c>
      <c r="I3081" s="122" t="s">
        <v>1546</v>
      </c>
      <c r="J3081" s="307" t="s">
        <v>214</v>
      </c>
      <c r="K3081" s="127" t="s">
        <v>4112</v>
      </c>
      <c r="L3081" s="151" t="s">
        <v>3306</v>
      </c>
      <c r="M3081">
        <v>336</v>
      </c>
      <c r="N3081" s="123">
        <v>1</v>
      </c>
      <c r="O3081">
        <v>2040</v>
      </c>
      <c r="P3081" s="132" t="s">
        <v>77</v>
      </c>
      <c r="Q3081" s="131">
        <v>281750</v>
      </c>
      <c r="R3081" s="131">
        <v>45080</v>
      </c>
      <c r="S3081" s="131"/>
      <c r="T3081" s="155"/>
      <c r="U3081" s="131"/>
      <c r="V3081" s="131">
        <f t="shared" si="56"/>
        <v>326830</v>
      </c>
      <c r="W3081">
        <v>83</v>
      </c>
      <c r="X3081" s="151" t="s">
        <v>1430</v>
      </c>
      <c r="Y3081" s="135" t="s">
        <v>55</v>
      </c>
      <c r="Z3081" s="307">
        <v>247</v>
      </c>
      <c r="AB3081" t="str">
        <f>IF(Table1[[#This Row],[TIPO2]]="costo", VLOOKUP(Table1[[#This Row],[PARTIDA PRESUPUESTAL]],'Cost Report'!G:G,1,0),"Balance")</f>
        <v>5001-012</v>
      </c>
      <c r="AC3081" s="118"/>
      <c r="AD3081" s="159">
        <f>+Table1[[#This Row],[SUBTOTAL]]+Table1[[#This Row],[IVA]]-Table1[[#This Row],[RET IVA]]-Table1[[#This Row],[RET ISR]]-Table1[[#This Row],[TOTAL]]</f>
        <v>0</v>
      </c>
      <c r="AE3081" s="150"/>
      <c r="AF3081" s="151"/>
      <c r="AG3081" s="126"/>
      <c r="AK3081" s="306" t="str">
        <f>IF(ISNUMBER(Table1[[#This Row],[FECHA DE RECIBIDO]]), Table1[[#This Row],[FECHA DE RECIBIDO]]-DATE(2023,8,30), "")</f>
        <v/>
      </c>
    </row>
    <row r="3082" spans="1:37" ht="16.05" customHeight="1">
      <c r="A3082" s="152" t="s">
        <v>4148</v>
      </c>
      <c r="B3082" s="153">
        <v>1141</v>
      </c>
      <c r="C3082" s="126" t="s">
        <v>3004</v>
      </c>
      <c r="D3082">
        <v>2083</v>
      </c>
      <c r="E3082" s="126" t="s">
        <v>2001</v>
      </c>
      <c r="F3082" s="125" t="s">
        <v>1607</v>
      </c>
      <c r="G3082" s="125" t="s">
        <v>134</v>
      </c>
      <c r="H3082">
        <v>121</v>
      </c>
      <c r="I3082" s="125" t="s">
        <v>1546</v>
      </c>
      <c r="J3082" s="308" t="s">
        <v>214</v>
      </c>
      <c r="K3082" s="127" t="s">
        <v>4112</v>
      </c>
      <c r="L3082" s="153" t="s">
        <v>3306</v>
      </c>
      <c r="M3082">
        <v>336</v>
      </c>
      <c r="N3082" s="123">
        <v>1</v>
      </c>
      <c r="O3082">
        <v>2040</v>
      </c>
      <c r="P3082" s="132" t="s">
        <v>77</v>
      </c>
      <c r="Q3082" s="132">
        <v>288000</v>
      </c>
      <c r="R3082" s="132">
        <v>46080</v>
      </c>
      <c r="S3082" s="132"/>
      <c r="T3082" s="156"/>
      <c r="U3082" s="132"/>
      <c r="V3082" s="132">
        <f t="shared" si="56"/>
        <v>334080</v>
      </c>
      <c r="W3082">
        <v>83</v>
      </c>
      <c r="X3082" s="153" t="s">
        <v>1430</v>
      </c>
      <c r="Y3082" s="124" t="s">
        <v>55</v>
      </c>
      <c r="Z3082" s="308">
        <v>247</v>
      </c>
      <c r="AB3082" t="str">
        <f>IF(Table1[[#This Row],[TIPO2]]="costo", VLOOKUP(Table1[[#This Row],[PARTIDA PRESUPUESTAL]],'Cost Report'!G:G,1,0),"Balance")</f>
        <v>5001-016</v>
      </c>
      <c r="AC3082" s="118"/>
      <c r="AD3082" s="159">
        <f>+Table1[[#This Row],[SUBTOTAL]]+Table1[[#This Row],[IVA]]-Table1[[#This Row],[RET IVA]]-Table1[[#This Row],[RET ISR]]-Table1[[#This Row],[TOTAL]]</f>
        <v>0</v>
      </c>
      <c r="AE3082" s="152"/>
      <c r="AF3082" s="153"/>
      <c r="AG3082" s="126"/>
      <c r="AK3082" s="306" t="str">
        <f>IF(ISNUMBER(Table1[[#This Row],[FECHA DE RECIBIDO]]), Table1[[#This Row],[FECHA DE RECIBIDO]]-DATE(2023,8,30), "")</f>
        <v/>
      </c>
    </row>
    <row r="3083" spans="1:37" ht="16.05" customHeight="1">
      <c r="A3083" s="150" t="s">
        <v>4148</v>
      </c>
      <c r="B3083" s="151">
        <v>1141</v>
      </c>
      <c r="C3083" s="126" t="s">
        <v>3007</v>
      </c>
      <c r="D3083">
        <v>2083</v>
      </c>
      <c r="E3083" s="126" t="s">
        <v>2001</v>
      </c>
      <c r="F3083" s="122" t="s">
        <v>1607</v>
      </c>
      <c r="G3083" s="122" t="s">
        <v>134</v>
      </c>
      <c r="H3083">
        <v>121</v>
      </c>
      <c r="I3083" s="122" t="s">
        <v>1546</v>
      </c>
      <c r="J3083" s="307" t="s">
        <v>214</v>
      </c>
      <c r="K3083" s="127" t="s">
        <v>4112</v>
      </c>
      <c r="L3083" s="151" t="s">
        <v>3306</v>
      </c>
      <c r="M3083">
        <v>336</v>
      </c>
      <c r="N3083" s="123">
        <v>1</v>
      </c>
      <c r="O3083">
        <v>2040</v>
      </c>
      <c r="P3083" s="132" t="s">
        <v>77</v>
      </c>
      <c r="Q3083" s="131">
        <v>6250</v>
      </c>
      <c r="R3083" s="131">
        <v>1000</v>
      </c>
      <c r="S3083" s="131"/>
      <c r="T3083" s="155"/>
      <c r="U3083" s="131"/>
      <c r="V3083" s="131">
        <f t="shared" si="56"/>
        <v>7250</v>
      </c>
      <c r="W3083">
        <v>83</v>
      </c>
      <c r="X3083" s="151" t="s">
        <v>1430</v>
      </c>
      <c r="Y3083" s="135" t="s">
        <v>55</v>
      </c>
      <c r="Z3083" s="307">
        <v>247</v>
      </c>
      <c r="AB3083" t="str">
        <f>IF(Table1[[#This Row],[TIPO2]]="costo", VLOOKUP(Table1[[#This Row],[PARTIDA PRESUPUESTAL]],'Cost Report'!G:G,1,0),"Balance")</f>
        <v>5001-022</v>
      </c>
      <c r="AC3083" s="118"/>
      <c r="AD3083" s="159">
        <f>+Table1[[#This Row],[SUBTOTAL]]+Table1[[#This Row],[IVA]]-Table1[[#This Row],[RET IVA]]-Table1[[#This Row],[RET ISR]]-Table1[[#This Row],[TOTAL]]</f>
        <v>0</v>
      </c>
      <c r="AE3083" s="150"/>
      <c r="AF3083" s="151"/>
      <c r="AG3083" s="126"/>
      <c r="AK3083" s="306" t="str">
        <f>IF(ISNUMBER(Table1[[#This Row],[FECHA DE RECIBIDO]]), Table1[[#This Row],[FECHA DE RECIBIDO]]-DATE(2023,8,30), "")</f>
        <v/>
      </c>
    </row>
    <row r="3084" spans="1:37" ht="16.05" customHeight="1">
      <c r="A3084" s="152" t="s">
        <v>4148</v>
      </c>
      <c r="B3084" s="153">
        <v>1141</v>
      </c>
      <c r="C3084" s="126" t="s">
        <v>1193</v>
      </c>
      <c r="D3084">
        <v>2083</v>
      </c>
      <c r="E3084" s="126" t="s">
        <v>2001</v>
      </c>
      <c r="F3084" s="125" t="s">
        <v>1607</v>
      </c>
      <c r="G3084" s="125" t="s">
        <v>134</v>
      </c>
      <c r="H3084">
        <v>121</v>
      </c>
      <c r="I3084" s="125" t="s">
        <v>1546</v>
      </c>
      <c r="J3084" s="308" t="s">
        <v>214</v>
      </c>
      <c r="K3084" s="127" t="s">
        <v>4112</v>
      </c>
      <c r="L3084" s="153" t="s">
        <v>3306</v>
      </c>
      <c r="M3084">
        <v>336</v>
      </c>
      <c r="N3084" s="123">
        <v>1</v>
      </c>
      <c r="O3084">
        <v>2040</v>
      </c>
      <c r="P3084" s="132" t="s">
        <v>77</v>
      </c>
      <c r="Q3084" s="132">
        <v>180500</v>
      </c>
      <c r="R3084" s="132">
        <v>28880</v>
      </c>
      <c r="S3084" s="132"/>
      <c r="T3084" s="156"/>
      <c r="U3084" s="132"/>
      <c r="V3084" s="132">
        <f t="shared" si="56"/>
        <v>209380</v>
      </c>
      <c r="W3084">
        <v>83</v>
      </c>
      <c r="X3084" s="153" t="s">
        <v>1430</v>
      </c>
      <c r="Y3084" s="124" t="s">
        <v>55</v>
      </c>
      <c r="Z3084" s="308">
        <v>247</v>
      </c>
      <c r="AB3084" t="str">
        <f>IF(Table1[[#This Row],[TIPO2]]="costo", VLOOKUP(Table1[[#This Row],[PARTIDA PRESUPUESTAL]],'Cost Report'!G:G,1,0),"Balance")</f>
        <v>5002-003</v>
      </c>
      <c r="AC3084" s="118"/>
      <c r="AD3084" s="159">
        <f>+Table1[[#This Row],[SUBTOTAL]]+Table1[[#This Row],[IVA]]-Table1[[#This Row],[RET IVA]]-Table1[[#This Row],[RET ISR]]-Table1[[#This Row],[TOTAL]]</f>
        <v>0</v>
      </c>
      <c r="AE3084" s="152"/>
      <c r="AF3084" s="153"/>
      <c r="AG3084" s="126"/>
      <c r="AK3084" s="306" t="str">
        <f>IF(ISNUMBER(Table1[[#This Row],[FECHA DE RECIBIDO]]), Table1[[#This Row],[FECHA DE RECIBIDO]]-DATE(2023,8,30), "")</f>
        <v/>
      </c>
    </row>
    <row r="3085" spans="1:37" ht="16.05" customHeight="1">
      <c r="A3085" s="150" t="s">
        <v>4148</v>
      </c>
      <c r="B3085" s="151">
        <v>1141</v>
      </c>
      <c r="C3085" s="126" t="s">
        <v>3008</v>
      </c>
      <c r="D3085">
        <v>2083</v>
      </c>
      <c r="E3085" s="126" t="s">
        <v>2001</v>
      </c>
      <c r="F3085" s="122" t="s">
        <v>1607</v>
      </c>
      <c r="G3085" s="122" t="s">
        <v>134</v>
      </c>
      <c r="H3085">
        <v>121</v>
      </c>
      <c r="I3085" s="122" t="s">
        <v>1546</v>
      </c>
      <c r="J3085" s="307" t="s">
        <v>214</v>
      </c>
      <c r="K3085" s="127" t="s">
        <v>4112</v>
      </c>
      <c r="L3085" s="151" t="s">
        <v>3306</v>
      </c>
      <c r="M3085">
        <v>336</v>
      </c>
      <c r="N3085" s="123">
        <v>1</v>
      </c>
      <c r="O3085">
        <v>2040</v>
      </c>
      <c r="P3085" s="132" t="s">
        <v>77</v>
      </c>
      <c r="Q3085" s="131">
        <v>150000</v>
      </c>
      <c r="R3085" s="131">
        <v>24000</v>
      </c>
      <c r="S3085" s="131"/>
      <c r="T3085" s="155"/>
      <c r="U3085" s="131"/>
      <c r="V3085" s="131">
        <f t="shared" si="56"/>
        <v>174000</v>
      </c>
      <c r="W3085">
        <v>83</v>
      </c>
      <c r="X3085" s="151" t="s">
        <v>1430</v>
      </c>
      <c r="Y3085" s="135" t="s">
        <v>55</v>
      </c>
      <c r="Z3085" s="307">
        <v>247</v>
      </c>
      <c r="AB3085" t="str">
        <f>IF(Table1[[#This Row],[TIPO2]]="costo", VLOOKUP(Table1[[#This Row],[PARTIDA PRESUPUESTAL]],'Cost Report'!G:G,1,0),"Balance")</f>
        <v>5002-007</v>
      </c>
      <c r="AC3085" s="118"/>
      <c r="AD3085" s="159">
        <f>+Table1[[#This Row],[SUBTOTAL]]+Table1[[#This Row],[IVA]]-Table1[[#This Row],[RET IVA]]-Table1[[#This Row],[RET ISR]]-Table1[[#This Row],[TOTAL]]</f>
        <v>0</v>
      </c>
      <c r="AE3085" s="150"/>
      <c r="AF3085" s="151"/>
      <c r="AG3085" s="126"/>
      <c r="AK3085" s="306" t="str">
        <f>IF(ISNUMBER(Table1[[#This Row],[FECHA DE RECIBIDO]]), Table1[[#This Row],[FECHA DE RECIBIDO]]-DATE(2023,8,30), "")</f>
        <v/>
      </c>
    </row>
    <row r="3086" spans="1:37" ht="16.05" customHeight="1">
      <c r="A3086" s="152" t="s">
        <v>4148</v>
      </c>
      <c r="B3086" s="153">
        <v>1141</v>
      </c>
      <c r="C3086" s="126" t="s">
        <v>3010</v>
      </c>
      <c r="D3086">
        <v>2083</v>
      </c>
      <c r="E3086" s="126" t="s">
        <v>2001</v>
      </c>
      <c r="F3086" s="125" t="s">
        <v>1607</v>
      </c>
      <c r="G3086" s="125" t="s">
        <v>134</v>
      </c>
      <c r="H3086">
        <v>121</v>
      </c>
      <c r="I3086" s="125" t="s">
        <v>1546</v>
      </c>
      <c r="J3086" s="308" t="s">
        <v>214</v>
      </c>
      <c r="K3086" s="127" t="s">
        <v>4112</v>
      </c>
      <c r="L3086" s="153" t="s">
        <v>3306</v>
      </c>
      <c r="M3086">
        <v>336</v>
      </c>
      <c r="N3086" s="123">
        <v>1</v>
      </c>
      <c r="O3086">
        <v>2040</v>
      </c>
      <c r="P3086" s="132" t="s">
        <v>77</v>
      </c>
      <c r="Q3086" s="132">
        <v>105000</v>
      </c>
      <c r="R3086" s="132">
        <v>16800</v>
      </c>
      <c r="S3086" s="132"/>
      <c r="T3086" s="156"/>
      <c r="U3086" s="132"/>
      <c r="V3086" s="132">
        <f t="shared" si="56"/>
        <v>121800</v>
      </c>
      <c r="W3086">
        <v>83</v>
      </c>
      <c r="X3086" s="153" t="s">
        <v>1430</v>
      </c>
      <c r="Y3086" s="124" t="s">
        <v>55</v>
      </c>
      <c r="Z3086" s="308">
        <v>247</v>
      </c>
      <c r="AB3086" t="str">
        <f>IF(Table1[[#This Row],[TIPO2]]="costo", VLOOKUP(Table1[[#This Row],[PARTIDA PRESUPUESTAL]],'Cost Report'!G:G,1,0),"Balance")</f>
        <v>5002-011</v>
      </c>
      <c r="AC3086" s="118"/>
      <c r="AD3086" s="159">
        <f>+Table1[[#This Row],[SUBTOTAL]]+Table1[[#This Row],[IVA]]-Table1[[#This Row],[RET IVA]]-Table1[[#This Row],[RET ISR]]-Table1[[#This Row],[TOTAL]]</f>
        <v>0</v>
      </c>
      <c r="AE3086" s="152"/>
      <c r="AF3086" s="153"/>
      <c r="AG3086" s="126"/>
      <c r="AK3086" s="306" t="str">
        <f>IF(ISNUMBER(Table1[[#This Row],[FECHA DE RECIBIDO]]), Table1[[#This Row],[FECHA DE RECIBIDO]]-DATE(2023,8,30), "")</f>
        <v/>
      </c>
    </row>
    <row r="3087" spans="1:37" ht="16.05" customHeight="1">
      <c r="A3087" s="150" t="s">
        <v>4148</v>
      </c>
      <c r="B3087" s="151">
        <v>1141</v>
      </c>
      <c r="C3087" s="126" t="s">
        <v>1205</v>
      </c>
      <c r="D3087">
        <v>2083</v>
      </c>
      <c r="E3087" s="126" t="s">
        <v>2001</v>
      </c>
      <c r="F3087" s="122" t="s">
        <v>1607</v>
      </c>
      <c r="G3087" s="122" t="s">
        <v>134</v>
      </c>
      <c r="H3087">
        <v>121</v>
      </c>
      <c r="I3087" s="122" t="s">
        <v>1546</v>
      </c>
      <c r="J3087" s="307" t="s">
        <v>214</v>
      </c>
      <c r="K3087" s="127" t="s">
        <v>4112</v>
      </c>
      <c r="L3087" s="151" t="s">
        <v>3306</v>
      </c>
      <c r="M3087">
        <v>336</v>
      </c>
      <c r="N3087" s="123">
        <v>1</v>
      </c>
      <c r="O3087">
        <v>2040</v>
      </c>
      <c r="P3087" s="132" t="s">
        <v>77</v>
      </c>
      <c r="Q3087" s="131">
        <v>3000</v>
      </c>
      <c r="R3087" s="131">
        <v>480</v>
      </c>
      <c r="S3087" s="131"/>
      <c r="T3087" s="155"/>
      <c r="U3087" s="131"/>
      <c r="V3087" s="131">
        <f t="shared" si="56"/>
        <v>3480</v>
      </c>
      <c r="W3087">
        <v>83</v>
      </c>
      <c r="X3087" s="151" t="s">
        <v>1430</v>
      </c>
      <c r="Y3087" s="135" t="s">
        <v>55</v>
      </c>
      <c r="Z3087" s="307">
        <v>247</v>
      </c>
      <c r="AB3087" t="str">
        <f>IF(Table1[[#This Row],[TIPO2]]="costo", VLOOKUP(Table1[[#This Row],[PARTIDA PRESUPUESTAL]],'Cost Report'!G:G,1,0),"Balance")</f>
        <v>5011-003</v>
      </c>
      <c r="AC3087" s="118"/>
      <c r="AD3087" s="159">
        <f>+Table1[[#This Row],[SUBTOTAL]]+Table1[[#This Row],[IVA]]-Table1[[#This Row],[RET IVA]]-Table1[[#This Row],[RET ISR]]-Table1[[#This Row],[TOTAL]]</f>
        <v>0</v>
      </c>
      <c r="AE3087" s="150"/>
      <c r="AF3087" s="151"/>
      <c r="AG3087" s="126"/>
      <c r="AK3087" s="306" t="str">
        <f>IF(ISNUMBER(Table1[[#This Row],[FECHA DE RECIBIDO]]), Table1[[#This Row],[FECHA DE RECIBIDO]]-DATE(2023,8,30), "")</f>
        <v/>
      </c>
    </row>
    <row r="3088" spans="1:37" ht="16.05" customHeight="1">
      <c r="A3088" s="152" t="s">
        <v>4148</v>
      </c>
      <c r="B3088" s="153">
        <v>1141</v>
      </c>
      <c r="C3088" s="126" t="s">
        <v>1774</v>
      </c>
      <c r="D3088">
        <v>2083</v>
      </c>
      <c r="E3088" s="126" t="s">
        <v>2001</v>
      </c>
      <c r="F3088" s="125" t="s">
        <v>1607</v>
      </c>
      <c r="G3088" s="125" t="s">
        <v>134</v>
      </c>
      <c r="H3088">
        <v>121</v>
      </c>
      <c r="I3088" s="125" t="s">
        <v>1546</v>
      </c>
      <c r="J3088" s="308" t="s">
        <v>214</v>
      </c>
      <c r="K3088" s="127" t="s">
        <v>4112</v>
      </c>
      <c r="L3088" s="153" t="s">
        <v>3306</v>
      </c>
      <c r="M3088">
        <v>336</v>
      </c>
      <c r="N3088" s="123">
        <v>1</v>
      </c>
      <c r="O3088">
        <v>2040</v>
      </c>
      <c r="P3088" s="132" t="s">
        <v>77</v>
      </c>
      <c r="Q3088" s="132">
        <v>187200</v>
      </c>
      <c r="R3088" s="132">
        <v>29952</v>
      </c>
      <c r="S3088" s="132"/>
      <c r="T3088" s="156"/>
      <c r="U3088" s="132"/>
      <c r="V3088" s="132">
        <f t="shared" si="56"/>
        <v>217152</v>
      </c>
      <c r="W3088">
        <v>83</v>
      </c>
      <c r="X3088" s="153" t="s">
        <v>1430</v>
      </c>
      <c r="Y3088" s="124" t="s">
        <v>55</v>
      </c>
      <c r="Z3088" s="308">
        <v>247</v>
      </c>
      <c r="AB3088" t="str">
        <f>IF(Table1[[#This Row],[TIPO2]]="costo", VLOOKUP(Table1[[#This Row],[PARTIDA PRESUPUESTAL]],'Cost Report'!G:G,1,0),"Balance")</f>
        <v>5011-004</v>
      </c>
      <c r="AC3088" s="118"/>
      <c r="AD3088" s="159">
        <f>+Table1[[#This Row],[SUBTOTAL]]+Table1[[#This Row],[IVA]]-Table1[[#This Row],[RET IVA]]-Table1[[#This Row],[RET ISR]]-Table1[[#This Row],[TOTAL]]</f>
        <v>0</v>
      </c>
      <c r="AE3088" s="152"/>
      <c r="AF3088" s="153"/>
      <c r="AG3088" s="126"/>
      <c r="AK3088" s="306" t="str">
        <f>IF(ISNUMBER(Table1[[#This Row],[FECHA DE RECIBIDO]]), Table1[[#This Row],[FECHA DE RECIBIDO]]-DATE(2023,8,30), "")</f>
        <v/>
      </c>
    </row>
    <row r="3089" spans="1:37" ht="16.05" customHeight="1">
      <c r="A3089" s="150" t="s">
        <v>4148</v>
      </c>
      <c r="B3089" s="151">
        <v>1141</v>
      </c>
      <c r="C3089" s="126" t="s">
        <v>1227</v>
      </c>
      <c r="D3089">
        <v>2083</v>
      </c>
      <c r="E3089" s="126" t="s">
        <v>2001</v>
      </c>
      <c r="F3089" s="122" t="s">
        <v>1607</v>
      </c>
      <c r="G3089" s="122" t="s">
        <v>134</v>
      </c>
      <c r="H3089">
        <v>121</v>
      </c>
      <c r="I3089" s="122" t="s">
        <v>1546</v>
      </c>
      <c r="J3089" s="307" t="s">
        <v>214</v>
      </c>
      <c r="K3089" s="127" t="s">
        <v>4112</v>
      </c>
      <c r="L3089" s="151" t="s">
        <v>3306</v>
      </c>
      <c r="M3089">
        <v>336</v>
      </c>
      <c r="N3089" s="123">
        <v>1</v>
      </c>
      <c r="O3089">
        <v>2040</v>
      </c>
      <c r="P3089" s="132" t="s">
        <v>77</v>
      </c>
      <c r="Q3089" s="131">
        <v>140000</v>
      </c>
      <c r="R3089" s="131">
        <v>22400</v>
      </c>
      <c r="S3089" s="131"/>
      <c r="T3089" s="155"/>
      <c r="U3089" s="131"/>
      <c r="V3089" s="131">
        <f t="shared" si="56"/>
        <v>162400</v>
      </c>
      <c r="W3089">
        <v>83</v>
      </c>
      <c r="X3089" s="151" t="s">
        <v>1430</v>
      </c>
      <c r="Y3089" s="135" t="s">
        <v>55</v>
      </c>
      <c r="Z3089" s="307">
        <v>247</v>
      </c>
      <c r="AB3089" t="str">
        <f>IF(Table1[[#This Row],[TIPO2]]="costo", VLOOKUP(Table1[[#This Row],[PARTIDA PRESUPUESTAL]],'Cost Report'!G:G,1,0),"Balance")</f>
        <v>5101-003</v>
      </c>
      <c r="AC3089" s="118"/>
      <c r="AD3089" s="159">
        <f>+Table1[[#This Row],[SUBTOTAL]]+Table1[[#This Row],[IVA]]-Table1[[#This Row],[RET IVA]]-Table1[[#This Row],[RET ISR]]-Table1[[#This Row],[TOTAL]]</f>
        <v>0</v>
      </c>
      <c r="AE3089" s="150"/>
      <c r="AF3089" s="151"/>
      <c r="AG3089" s="126"/>
      <c r="AK3089" s="306" t="str">
        <f>IF(ISNUMBER(Table1[[#This Row],[FECHA DE RECIBIDO]]), Table1[[#This Row],[FECHA DE RECIBIDO]]-DATE(2023,8,30), "")</f>
        <v/>
      </c>
    </row>
    <row r="3090" spans="1:37" ht="16.05" customHeight="1">
      <c r="A3090" s="152" t="s">
        <v>4148</v>
      </c>
      <c r="B3090" s="153">
        <v>1141</v>
      </c>
      <c r="C3090" s="126" t="s">
        <v>1231</v>
      </c>
      <c r="D3090">
        <v>2083</v>
      </c>
      <c r="E3090" s="126" t="s">
        <v>2001</v>
      </c>
      <c r="F3090" s="125" t="s">
        <v>1607</v>
      </c>
      <c r="G3090" s="125" t="s">
        <v>134</v>
      </c>
      <c r="H3090">
        <v>121</v>
      </c>
      <c r="I3090" s="125" t="s">
        <v>1546</v>
      </c>
      <c r="J3090" s="308" t="s">
        <v>214</v>
      </c>
      <c r="K3090" s="127" t="s">
        <v>4112</v>
      </c>
      <c r="L3090" s="153" t="s">
        <v>3306</v>
      </c>
      <c r="M3090">
        <v>336</v>
      </c>
      <c r="N3090" s="123">
        <v>1</v>
      </c>
      <c r="O3090">
        <v>2040</v>
      </c>
      <c r="P3090" s="132" t="s">
        <v>77</v>
      </c>
      <c r="Q3090" s="132">
        <v>10000</v>
      </c>
      <c r="R3090" s="132">
        <v>1600</v>
      </c>
      <c r="S3090" s="132"/>
      <c r="T3090" s="156"/>
      <c r="U3090" s="132"/>
      <c r="V3090" s="132">
        <f t="shared" si="56"/>
        <v>11600</v>
      </c>
      <c r="W3090">
        <v>83</v>
      </c>
      <c r="X3090" s="153" t="s">
        <v>1430</v>
      </c>
      <c r="Y3090" s="124" t="s">
        <v>55</v>
      </c>
      <c r="Z3090" s="308">
        <v>247</v>
      </c>
      <c r="AB3090" t="str">
        <f>IF(Table1[[#This Row],[TIPO2]]="costo", VLOOKUP(Table1[[#This Row],[PARTIDA PRESUPUESTAL]],'Cost Report'!G:G,1,0),"Balance")</f>
        <v>5105-003</v>
      </c>
      <c r="AC3090" s="118"/>
      <c r="AD3090" s="159">
        <f>+Table1[[#This Row],[SUBTOTAL]]+Table1[[#This Row],[IVA]]-Table1[[#This Row],[RET IVA]]-Table1[[#This Row],[RET ISR]]-Table1[[#This Row],[TOTAL]]</f>
        <v>0</v>
      </c>
      <c r="AE3090" s="152"/>
      <c r="AF3090" s="153"/>
      <c r="AG3090" s="126"/>
      <c r="AK3090" s="306" t="str">
        <f>IF(ISNUMBER(Table1[[#This Row],[FECHA DE RECIBIDO]]), Table1[[#This Row],[FECHA DE RECIBIDO]]-DATE(2023,8,30), "")</f>
        <v/>
      </c>
    </row>
    <row r="3091" spans="1:37" ht="16.05" customHeight="1">
      <c r="A3091" s="150" t="s">
        <v>4148</v>
      </c>
      <c r="B3091" s="151">
        <v>1141</v>
      </c>
      <c r="C3091" s="126" t="s">
        <v>1232</v>
      </c>
      <c r="D3091">
        <v>2083</v>
      </c>
      <c r="E3091" s="126" t="s">
        <v>2001</v>
      </c>
      <c r="F3091" s="122" t="s">
        <v>1607</v>
      </c>
      <c r="G3091" s="122" t="s">
        <v>134</v>
      </c>
      <c r="H3091">
        <v>121</v>
      </c>
      <c r="I3091" s="122" t="s">
        <v>1546</v>
      </c>
      <c r="J3091" s="307" t="s">
        <v>214</v>
      </c>
      <c r="K3091" s="127" t="s">
        <v>4112</v>
      </c>
      <c r="L3091" s="151" t="s">
        <v>3306</v>
      </c>
      <c r="M3091">
        <v>336</v>
      </c>
      <c r="N3091" s="123">
        <v>1</v>
      </c>
      <c r="O3091">
        <v>2040</v>
      </c>
      <c r="P3091" s="132" t="s">
        <v>77</v>
      </c>
      <c r="Q3091" s="131">
        <v>264000</v>
      </c>
      <c r="R3091" s="131">
        <v>42240</v>
      </c>
      <c r="S3091" s="131"/>
      <c r="T3091" s="155"/>
      <c r="U3091" s="131"/>
      <c r="V3091" s="131">
        <f t="shared" si="56"/>
        <v>306240</v>
      </c>
      <c r="W3091">
        <v>83</v>
      </c>
      <c r="X3091" s="151" t="s">
        <v>1430</v>
      </c>
      <c r="Y3091" s="135" t="s">
        <v>55</v>
      </c>
      <c r="Z3091" s="307">
        <v>247</v>
      </c>
      <c r="AB3091" t="str">
        <f>IF(Table1[[#This Row],[TIPO2]]="costo", VLOOKUP(Table1[[#This Row],[PARTIDA PRESUPUESTAL]],'Cost Report'!G:G,1,0),"Balance")</f>
        <v>5105-004</v>
      </c>
      <c r="AC3091" s="118"/>
      <c r="AD3091" s="159">
        <f>+Table1[[#This Row],[SUBTOTAL]]+Table1[[#This Row],[IVA]]-Table1[[#This Row],[RET IVA]]-Table1[[#This Row],[RET ISR]]-Table1[[#This Row],[TOTAL]]</f>
        <v>0</v>
      </c>
      <c r="AE3091" s="150"/>
      <c r="AF3091" s="151"/>
      <c r="AG3091" s="126"/>
      <c r="AK3091" s="306" t="str">
        <f>IF(ISNUMBER(Table1[[#This Row],[FECHA DE RECIBIDO]]), Table1[[#This Row],[FECHA DE RECIBIDO]]-DATE(2023,8,30), "")</f>
        <v/>
      </c>
    </row>
    <row r="3092" spans="1:37" ht="16.05" customHeight="1">
      <c r="A3092" s="152" t="s">
        <v>4148</v>
      </c>
      <c r="B3092" s="153">
        <v>1141</v>
      </c>
      <c r="C3092" s="126" t="s">
        <v>1246</v>
      </c>
      <c r="D3092">
        <v>2083</v>
      </c>
      <c r="E3092" s="126" t="s">
        <v>2001</v>
      </c>
      <c r="F3092" s="125" t="s">
        <v>1607</v>
      </c>
      <c r="G3092" s="125" t="s">
        <v>134</v>
      </c>
      <c r="H3092">
        <v>121</v>
      </c>
      <c r="I3092" s="125" t="s">
        <v>1546</v>
      </c>
      <c r="J3092" s="308" t="s">
        <v>214</v>
      </c>
      <c r="K3092" s="127" t="s">
        <v>4112</v>
      </c>
      <c r="L3092" s="153" t="s">
        <v>3306</v>
      </c>
      <c r="M3092">
        <v>336</v>
      </c>
      <c r="N3092" s="123">
        <v>1</v>
      </c>
      <c r="O3092">
        <v>2040</v>
      </c>
      <c r="P3092" s="132" t="s">
        <v>77</v>
      </c>
      <c r="Q3092" s="132">
        <v>252000</v>
      </c>
      <c r="R3092" s="132">
        <v>40320</v>
      </c>
      <c r="S3092" s="132"/>
      <c r="T3092" s="156"/>
      <c r="U3092" s="132"/>
      <c r="V3092" s="132">
        <f t="shared" si="56"/>
        <v>292320</v>
      </c>
      <c r="W3092">
        <v>83</v>
      </c>
      <c r="X3092" s="153" t="s">
        <v>1430</v>
      </c>
      <c r="Y3092" s="124" t="s">
        <v>55</v>
      </c>
      <c r="Z3092" s="308">
        <v>247</v>
      </c>
      <c r="AB3092" t="str">
        <f>IF(Table1[[#This Row],[TIPO2]]="costo", VLOOKUP(Table1[[#This Row],[PARTIDA PRESUPUESTAL]],'Cost Report'!G:G,1,0),"Balance")</f>
        <v>5201-003</v>
      </c>
      <c r="AC3092" s="118"/>
      <c r="AD3092" s="159">
        <f>+Table1[[#This Row],[SUBTOTAL]]+Table1[[#This Row],[IVA]]-Table1[[#This Row],[RET IVA]]-Table1[[#This Row],[RET ISR]]-Table1[[#This Row],[TOTAL]]</f>
        <v>0</v>
      </c>
      <c r="AE3092" s="152"/>
      <c r="AF3092" s="153"/>
      <c r="AG3092" s="126"/>
      <c r="AK3092" s="306" t="str">
        <f>IF(ISNUMBER(Table1[[#This Row],[FECHA DE RECIBIDO]]), Table1[[#This Row],[FECHA DE RECIBIDO]]-DATE(2023,8,30), "")</f>
        <v/>
      </c>
    </row>
    <row r="3093" spans="1:37" ht="16.05" customHeight="1">
      <c r="A3093" s="150" t="s">
        <v>4148</v>
      </c>
      <c r="B3093" s="151">
        <v>1141</v>
      </c>
      <c r="C3093" s="126" t="s">
        <v>1249</v>
      </c>
      <c r="D3093">
        <v>2083</v>
      </c>
      <c r="E3093" s="126" t="s">
        <v>2001</v>
      </c>
      <c r="F3093" s="122" t="s">
        <v>1607</v>
      </c>
      <c r="G3093" s="122" t="s">
        <v>134</v>
      </c>
      <c r="H3093">
        <v>121</v>
      </c>
      <c r="I3093" s="122" t="s">
        <v>1546</v>
      </c>
      <c r="J3093" s="307" t="s">
        <v>214</v>
      </c>
      <c r="K3093" s="127" t="s">
        <v>4112</v>
      </c>
      <c r="L3093" s="151" t="s">
        <v>3306</v>
      </c>
      <c r="M3093">
        <v>336</v>
      </c>
      <c r="N3093" s="123">
        <v>1</v>
      </c>
      <c r="O3093">
        <v>2040</v>
      </c>
      <c r="P3093" s="132" t="s">
        <v>77</v>
      </c>
      <c r="Q3093" s="131">
        <v>126000</v>
      </c>
      <c r="R3093" s="131">
        <v>20160</v>
      </c>
      <c r="S3093" s="131"/>
      <c r="T3093" s="155"/>
      <c r="U3093" s="131"/>
      <c r="V3093" s="131">
        <f t="shared" si="56"/>
        <v>146160</v>
      </c>
      <c r="W3093">
        <v>83</v>
      </c>
      <c r="X3093" s="151" t="s">
        <v>1430</v>
      </c>
      <c r="Y3093" s="135" t="s">
        <v>55</v>
      </c>
      <c r="Z3093" s="307">
        <v>247</v>
      </c>
      <c r="AB3093" t="str">
        <f>IF(Table1[[#This Row],[TIPO2]]="costo", VLOOKUP(Table1[[#This Row],[PARTIDA PRESUPUESTAL]],'Cost Report'!G:G,1,0),"Balance")</f>
        <v>5201-008</v>
      </c>
      <c r="AC3093" s="118"/>
      <c r="AD3093" s="159">
        <f>+Table1[[#This Row],[SUBTOTAL]]+Table1[[#This Row],[IVA]]-Table1[[#This Row],[RET IVA]]-Table1[[#This Row],[RET ISR]]-Table1[[#This Row],[TOTAL]]</f>
        <v>0</v>
      </c>
      <c r="AE3093" s="150"/>
      <c r="AF3093" s="151"/>
      <c r="AG3093" s="126"/>
      <c r="AK3093" s="306" t="str">
        <f>IF(ISNUMBER(Table1[[#This Row],[FECHA DE RECIBIDO]]), Table1[[#This Row],[FECHA DE RECIBIDO]]-DATE(2023,8,30), "")</f>
        <v/>
      </c>
    </row>
    <row r="3094" spans="1:37" ht="16.05" customHeight="1">
      <c r="A3094" s="152" t="s">
        <v>4148</v>
      </c>
      <c r="B3094" s="153">
        <v>1141</v>
      </c>
      <c r="C3094" s="126" t="s">
        <v>1252</v>
      </c>
      <c r="D3094">
        <v>2083</v>
      </c>
      <c r="E3094" s="126" t="s">
        <v>2001</v>
      </c>
      <c r="F3094" s="125" t="s">
        <v>1607</v>
      </c>
      <c r="G3094" s="125" t="s">
        <v>134</v>
      </c>
      <c r="H3094">
        <v>121</v>
      </c>
      <c r="I3094" s="125" t="s">
        <v>1546</v>
      </c>
      <c r="J3094" s="308" t="s">
        <v>214</v>
      </c>
      <c r="K3094" s="127" t="s">
        <v>4112</v>
      </c>
      <c r="L3094" s="153" t="s">
        <v>3306</v>
      </c>
      <c r="M3094">
        <v>336</v>
      </c>
      <c r="N3094" s="123">
        <v>1</v>
      </c>
      <c r="O3094">
        <v>2040</v>
      </c>
      <c r="P3094" s="132" t="s">
        <v>77</v>
      </c>
      <c r="Q3094" s="132">
        <v>126000</v>
      </c>
      <c r="R3094" s="132">
        <v>20160</v>
      </c>
      <c r="S3094" s="132"/>
      <c r="T3094" s="156"/>
      <c r="U3094" s="132"/>
      <c r="V3094" s="132">
        <f t="shared" si="56"/>
        <v>146160</v>
      </c>
      <c r="W3094">
        <v>83</v>
      </c>
      <c r="X3094" s="153" t="s">
        <v>1430</v>
      </c>
      <c r="Y3094" s="124" t="s">
        <v>55</v>
      </c>
      <c r="Z3094" s="308">
        <v>247</v>
      </c>
      <c r="AB3094" t="str">
        <f>IF(Table1[[#This Row],[TIPO2]]="costo", VLOOKUP(Table1[[#This Row],[PARTIDA PRESUPUESTAL]],'Cost Report'!G:G,1,0),"Balance")</f>
        <v>5201-013</v>
      </c>
      <c r="AC3094" s="118"/>
      <c r="AD3094" s="159">
        <f>+Table1[[#This Row],[SUBTOTAL]]+Table1[[#This Row],[IVA]]-Table1[[#This Row],[RET IVA]]-Table1[[#This Row],[RET ISR]]-Table1[[#This Row],[TOTAL]]</f>
        <v>0</v>
      </c>
      <c r="AE3094" s="152"/>
      <c r="AF3094" s="153"/>
      <c r="AG3094" s="126"/>
      <c r="AK3094" s="306" t="str">
        <f>IF(ISNUMBER(Table1[[#This Row],[FECHA DE RECIBIDO]]), Table1[[#This Row],[FECHA DE RECIBIDO]]-DATE(2023,8,30), "")</f>
        <v/>
      </c>
    </row>
    <row r="3095" spans="1:37" ht="16.05" customHeight="1">
      <c r="A3095" s="150" t="s">
        <v>4148</v>
      </c>
      <c r="B3095" s="151">
        <v>1141</v>
      </c>
      <c r="C3095" s="126" t="s">
        <v>1254</v>
      </c>
      <c r="D3095">
        <v>2083</v>
      </c>
      <c r="E3095" s="126" t="s">
        <v>2001</v>
      </c>
      <c r="F3095" s="122" t="s">
        <v>1607</v>
      </c>
      <c r="G3095" s="122" t="s">
        <v>134</v>
      </c>
      <c r="H3095">
        <v>121</v>
      </c>
      <c r="I3095" s="122" t="s">
        <v>1546</v>
      </c>
      <c r="J3095" s="307" t="s">
        <v>214</v>
      </c>
      <c r="K3095" s="127" t="s">
        <v>4112</v>
      </c>
      <c r="L3095" s="151" t="s">
        <v>3306</v>
      </c>
      <c r="M3095">
        <v>336</v>
      </c>
      <c r="N3095" s="123">
        <v>1</v>
      </c>
      <c r="O3095">
        <v>2040</v>
      </c>
      <c r="P3095" s="132" t="s">
        <v>77</v>
      </c>
      <c r="Q3095" s="131">
        <v>108000</v>
      </c>
      <c r="R3095" s="131">
        <v>17280</v>
      </c>
      <c r="S3095" s="131"/>
      <c r="T3095" s="155"/>
      <c r="U3095" s="131"/>
      <c r="V3095" s="131">
        <f t="shared" si="56"/>
        <v>125280</v>
      </c>
      <c r="W3095">
        <v>83</v>
      </c>
      <c r="X3095" s="151" t="s">
        <v>1430</v>
      </c>
      <c r="Y3095" s="135" t="s">
        <v>55</v>
      </c>
      <c r="Z3095" s="307">
        <v>247</v>
      </c>
      <c r="AB3095" t="str">
        <f>IF(Table1[[#This Row],[TIPO2]]="costo", VLOOKUP(Table1[[#This Row],[PARTIDA PRESUPUESTAL]],'Cost Report'!G:G,1,0),"Balance")</f>
        <v>5201-017</v>
      </c>
      <c r="AC3095" s="118"/>
      <c r="AD3095" s="159">
        <f>+Table1[[#This Row],[SUBTOTAL]]+Table1[[#This Row],[IVA]]-Table1[[#This Row],[RET IVA]]-Table1[[#This Row],[RET ISR]]-Table1[[#This Row],[TOTAL]]</f>
        <v>0</v>
      </c>
      <c r="AE3095" s="150"/>
      <c r="AF3095" s="151"/>
      <c r="AG3095" s="126"/>
      <c r="AK3095" s="306" t="str">
        <f>IF(ISNUMBER(Table1[[#This Row],[FECHA DE RECIBIDO]]), Table1[[#This Row],[FECHA DE RECIBIDO]]-DATE(2023,8,30), "")</f>
        <v/>
      </c>
    </row>
    <row r="3096" spans="1:37" ht="16.05" customHeight="1">
      <c r="A3096" s="152" t="s">
        <v>4148</v>
      </c>
      <c r="B3096" s="153">
        <v>1141</v>
      </c>
      <c r="C3096" s="126" t="s">
        <v>1778</v>
      </c>
      <c r="D3096">
        <v>2083</v>
      </c>
      <c r="E3096" s="126" t="s">
        <v>2001</v>
      </c>
      <c r="F3096" s="125" t="s">
        <v>1607</v>
      </c>
      <c r="G3096" s="125" t="s">
        <v>134</v>
      </c>
      <c r="H3096">
        <v>121</v>
      </c>
      <c r="I3096" s="125" t="s">
        <v>1546</v>
      </c>
      <c r="J3096" s="308" t="s">
        <v>214</v>
      </c>
      <c r="K3096" s="127" t="s">
        <v>4112</v>
      </c>
      <c r="L3096" s="153" t="s">
        <v>3306</v>
      </c>
      <c r="M3096">
        <v>336</v>
      </c>
      <c r="N3096" s="123">
        <v>1</v>
      </c>
      <c r="O3096">
        <v>2040</v>
      </c>
      <c r="P3096" s="132" t="s">
        <v>77</v>
      </c>
      <c r="Q3096" s="132">
        <v>56000</v>
      </c>
      <c r="R3096" s="132">
        <v>8960</v>
      </c>
      <c r="S3096" s="132"/>
      <c r="T3096" s="156"/>
      <c r="U3096" s="132"/>
      <c r="V3096" s="132">
        <f t="shared" si="56"/>
        <v>64960</v>
      </c>
      <c r="W3096">
        <v>83</v>
      </c>
      <c r="X3096" s="153" t="s">
        <v>1430</v>
      </c>
      <c r="Y3096" s="124" t="s">
        <v>55</v>
      </c>
      <c r="Z3096" s="308">
        <v>247</v>
      </c>
      <c r="AB3096" t="str">
        <f>IF(Table1[[#This Row],[TIPO2]]="costo", VLOOKUP(Table1[[#This Row],[PARTIDA PRESUPUESTAL]],'Cost Report'!G:G,1,0),"Balance")</f>
        <v>5202-003</v>
      </c>
      <c r="AC3096" s="118"/>
      <c r="AD3096" s="159">
        <f>+Table1[[#This Row],[SUBTOTAL]]+Table1[[#This Row],[IVA]]-Table1[[#This Row],[RET IVA]]-Table1[[#This Row],[RET ISR]]-Table1[[#This Row],[TOTAL]]</f>
        <v>0</v>
      </c>
      <c r="AE3096" s="152"/>
      <c r="AF3096" s="153"/>
      <c r="AG3096" s="126"/>
      <c r="AK3096" s="306" t="str">
        <f>IF(ISNUMBER(Table1[[#This Row],[FECHA DE RECIBIDO]]), Table1[[#This Row],[FECHA DE RECIBIDO]]-DATE(2023,8,30), "")</f>
        <v/>
      </c>
    </row>
    <row r="3097" spans="1:37" ht="16.05" customHeight="1">
      <c r="A3097" s="150" t="s">
        <v>4148</v>
      </c>
      <c r="B3097" s="151">
        <v>1141</v>
      </c>
      <c r="C3097" s="126" t="s">
        <v>3054</v>
      </c>
      <c r="D3097">
        <v>2083</v>
      </c>
      <c r="E3097" s="126" t="s">
        <v>2001</v>
      </c>
      <c r="F3097" s="122" t="s">
        <v>1607</v>
      </c>
      <c r="G3097" s="122" t="s">
        <v>134</v>
      </c>
      <c r="H3097">
        <v>121</v>
      </c>
      <c r="I3097" s="122" t="s">
        <v>1546</v>
      </c>
      <c r="J3097" s="307" t="s">
        <v>214</v>
      </c>
      <c r="K3097" s="127" t="s">
        <v>4112</v>
      </c>
      <c r="L3097" s="151" t="s">
        <v>3306</v>
      </c>
      <c r="M3097">
        <v>336</v>
      </c>
      <c r="N3097" s="123">
        <v>1</v>
      </c>
      <c r="O3097">
        <v>2040</v>
      </c>
      <c r="P3097" s="132" t="s">
        <v>77</v>
      </c>
      <c r="Q3097" s="131">
        <v>126000</v>
      </c>
      <c r="R3097" s="131">
        <v>20160</v>
      </c>
      <c r="S3097" s="131"/>
      <c r="T3097" s="155"/>
      <c r="U3097" s="131"/>
      <c r="V3097" s="131">
        <f t="shared" si="56"/>
        <v>146160</v>
      </c>
      <c r="W3097">
        <v>83</v>
      </c>
      <c r="X3097" s="151" t="s">
        <v>1430</v>
      </c>
      <c r="Y3097" s="135" t="s">
        <v>55</v>
      </c>
      <c r="Z3097" s="307">
        <v>247</v>
      </c>
      <c r="AB3097" t="str">
        <f>IF(Table1[[#This Row],[TIPO2]]="costo", VLOOKUP(Table1[[#This Row],[PARTIDA PRESUPUESTAL]],'Cost Report'!G:G,1,0),"Balance")</f>
        <v>5203-003</v>
      </c>
      <c r="AC3097" s="118"/>
      <c r="AD3097" s="159">
        <f>+Table1[[#This Row],[SUBTOTAL]]+Table1[[#This Row],[IVA]]-Table1[[#This Row],[RET IVA]]-Table1[[#This Row],[RET ISR]]-Table1[[#This Row],[TOTAL]]</f>
        <v>0</v>
      </c>
      <c r="AE3097" s="150"/>
      <c r="AF3097" s="151"/>
      <c r="AG3097" s="126"/>
      <c r="AK3097" s="306" t="str">
        <f>IF(ISNUMBER(Table1[[#This Row],[FECHA DE RECIBIDO]]), Table1[[#This Row],[FECHA DE RECIBIDO]]-DATE(2023,8,30), "")</f>
        <v/>
      </c>
    </row>
    <row r="3098" spans="1:37" ht="16.05" customHeight="1">
      <c r="A3098" s="152" t="s">
        <v>4148</v>
      </c>
      <c r="B3098" s="153">
        <v>1141</v>
      </c>
      <c r="C3098" s="126" t="s">
        <v>1779</v>
      </c>
      <c r="D3098">
        <v>2083</v>
      </c>
      <c r="E3098" s="126" t="s">
        <v>2001</v>
      </c>
      <c r="F3098" s="125" t="s">
        <v>1607</v>
      </c>
      <c r="G3098" s="125" t="s">
        <v>134</v>
      </c>
      <c r="H3098">
        <v>121</v>
      </c>
      <c r="I3098" s="125" t="s">
        <v>1546</v>
      </c>
      <c r="J3098" s="308" t="s">
        <v>214</v>
      </c>
      <c r="K3098" s="127" t="s">
        <v>4112</v>
      </c>
      <c r="L3098" s="153" t="s">
        <v>3306</v>
      </c>
      <c r="M3098">
        <v>336</v>
      </c>
      <c r="N3098" s="123">
        <v>1</v>
      </c>
      <c r="O3098">
        <v>2040</v>
      </c>
      <c r="P3098" s="132" t="s">
        <v>77</v>
      </c>
      <c r="Q3098" s="132">
        <v>250000</v>
      </c>
      <c r="R3098" s="132">
        <v>40000</v>
      </c>
      <c r="S3098" s="132"/>
      <c r="T3098" s="156"/>
      <c r="U3098" s="132"/>
      <c r="V3098" s="132">
        <f t="shared" si="56"/>
        <v>290000</v>
      </c>
      <c r="W3098">
        <v>83</v>
      </c>
      <c r="X3098" s="153" t="s">
        <v>1430</v>
      </c>
      <c r="Y3098" s="124" t="s">
        <v>55</v>
      </c>
      <c r="Z3098" s="308">
        <v>247</v>
      </c>
      <c r="AB3098" t="str">
        <f>IF(Table1[[#This Row],[TIPO2]]="costo", VLOOKUP(Table1[[#This Row],[PARTIDA PRESUPUESTAL]],'Cost Report'!G:G,1,0),"Balance")</f>
        <v>5207-003</v>
      </c>
      <c r="AC3098" s="118"/>
      <c r="AD3098" s="159">
        <f>+Table1[[#This Row],[SUBTOTAL]]+Table1[[#This Row],[IVA]]-Table1[[#This Row],[RET IVA]]-Table1[[#This Row],[RET ISR]]-Table1[[#This Row],[TOTAL]]</f>
        <v>0</v>
      </c>
      <c r="AE3098" s="152"/>
      <c r="AF3098" s="153"/>
      <c r="AG3098" s="126"/>
      <c r="AK3098" s="306" t="str">
        <f>IF(ISNUMBER(Table1[[#This Row],[FECHA DE RECIBIDO]]), Table1[[#This Row],[FECHA DE RECIBIDO]]-DATE(2023,8,30), "")</f>
        <v/>
      </c>
    </row>
    <row r="3099" spans="1:37" ht="16.05" customHeight="1">
      <c r="A3099" s="150" t="s">
        <v>4148</v>
      </c>
      <c r="B3099" s="151">
        <v>1141</v>
      </c>
      <c r="C3099" s="126" t="s">
        <v>1780</v>
      </c>
      <c r="D3099">
        <v>2083</v>
      </c>
      <c r="E3099" s="126" t="s">
        <v>2001</v>
      </c>
      <c r="F3099" s="122" t="s">
        <v>1607</v>
      </c>
      <c r="G3099" s="122" t="s">
        <v>134</v>
      </c>
      <c r="H3099">
        <v>121</v>
      </c>
      <c r="I3099" s="122" t="s">
        <v>1546</v>
      </c>
      <c r="J3099" s="307" t="s">
        <v>214</v>
      </c>
      <c r="K3099" s="127" t="s">
        <v>4112</v>
      </c>
      <c r="L3099" s="151" t="s">
        <v>3306</v>
      </c>
      <c r="M3099">
        <v>336</v>
      </c>
      <c r="N3099" s="123">
        <v>1</v>
      </c>
      <c r="O3099">
        <v>2040</v>
      </c>
      <c r="P3099" s="132" t="s">
        <v>77</v>
      </c>
      <c r="Q3099" s="131">
        <v>103000</v>
      </c>
      <c r="R3099" s="131">
        <v>16480</v>
      </c>
      <c r="S3099" s="131"/>
      <c r="T3099" s="155"/>
      <c r="U3099" s="131"/>
      <c r="V3099" s="131">
        <f t="shared" si="56"/>
        <v>119480</v>
      </c>
      <c r="W3099">
        <v>83</v>
      </c>
      <c r="X3099" s="151" t="s">
        <v>1430</v>
      </c>
      <c r="Y3099" s="135" t="s">
        <v>55</v>
      </c>
      <c r="Z3099" s="307">
        <v>247</v>
      </c>
      <c r="AB3099" t="str">
        <f>IF(Table1[[#This Row],[TIPO2]]="costo", VLOOKUP(Table1[[#This Row],[PARTIDA PRESUPUESTAL]],'Cost Report'!G:G,1,0),"Balance")</f>
        <v>5222-009</v>
      </c>
      <c r="AC3099" s="118"/>
      <c r="AD3099" s="159">
        <f>+Table1[[#This Row],[SUBTOTAL]]+Table1[[#This Row],[IVA]]-Table1[[#This Row],[RET IVA]]-Table1[[#This Row],[RET ISR]]-Table1[[#This Row],[TOTAL]]</f>
        <v>0</v>
      </c>
      <c r="AE3099" s="150"/>
      <c r="AF3099" s="151"/>
      <c r="AG3099" s="126"/>
      <c r="AK3099" s="306" t="str">
        <f>IF(ISNUMBER(Table1[[#This Row],[FECHA DE RECIBIDO]]), Table1[[#This Row],[FECHA DE RECIBIDO]]-DATE(2023,8,30), "")</f>
        <v/>
      </c>
    </row>
    <row r="3100" spans="1:37" ht="16.05" customHeight="1">
      <c r="A3100" s="152" t="s">
        <v>4148</v>
      </c>
      <c r="B3100" s="153">
        <v>1141</v>
      </c>
      <c r="C3100" s="126" t="s">
        <v>3075</v>
      </c>
      <c r="D3100">
        <v>2083</v>
      </c>
      <c r="E3100" s="126" t="s">
        <v>2001</v>
      </c>
      <c r="F3100" s="125" t="s">
        <v>1607</v>
      </c>
      <c r="G3100" s="125" t="s">
        <v>134</v>
      </c>
      <c r="H3100">
        <v>121</v>
      </c>
      <c r="I3100" s="125" t="s">
        <v>1546</v>
      </c>
      <c r="J3100" s="308" t="s">
        <v>214</v>
      </c>
      <c r="K3100" s="127" t="s">
        <v>4112</v>
      </c>
      <c r="L3100" s="153" t="s">
        <v>3306</v>
      </c>
      <c r="M3100">
        <v>336</v>
      </c>
      <c r="N3100" s="123">
        <v>1</v>
      </c>
      <c r="O3100">
        <v>2040</v>
      </c>
      <c r="P3100" s="132" t="s">
        <v>77</v>
      </c>
      <c r="Q3100" s="132">
        <v>29757.77</v>
      </c>
      <c r="R3100" s="132">
        <v>4761.24</v>
      </c>
      <c r="S3100" s="132"/>
      <c r="T3100" s="156"/>
      <c r="U3100" s="132"/>
      <c r="V3100" s="132">
        <f t="shared" si="56"/>
        <v>34519.01</v>
      </c>
      <c r="W3100">
        <v>83</v>
      </c>
      <c r="X3100" s="153" t="s">
        <v>1430</v>
      </c>
      <c r="Y3100" s="124" t="s">
        <v>55</v>
      </c>
      <c r="Z3100" s="308">
        <v>247</v>
      </c>
      <c r="AB3100" t="str">
        <f>IF(Table1[[#This Row],[TIPO2]]="costo", VLOOKUP(Table1[[#This Row],[PARTIDA PRESUPUESTAL]],'Cost Report'!G:G,1,0),"Balance")</f>
        <v>6101-013</v>
      </c>
      <c r="AC3100" s="118"/>
      <c r="AD3100" s="159">
        <f>+Table1[[#This Row],[SUBTOTAL]]+Table1[[#This Row],[IVA]]-Table1[[#This Row],[RET IVA]]-Table1[[#This Row],[RET ISR]]-Table1[[#This Row],[TOTAL]]</f>
        <v>0</v>
      </c>
      <c r="AE3100" s="152"/>
      <c r="AF3100" s="153"/>
      <c r="AG3100" s="126"/>
      <c r="AK3100" s="306" t="str">
        <f>IF(ISNUMBER(Table1[[#This Row],[FECHA DE RECIBIDO]]), Table1[[#This Row],[FECHA DE RECIBIDO]]-DATE(2023,8,30), "")</f>
        <v/>
      </c>
    </row>
    <row r="3101" spans="1:37" ht="16.05" customHeight="1">
      <c r="A3101" s="150" t="s">
        <v>4148</v>
      </c>
      <c r="B3101" s="151">
        <v>1141</v>
      </c>
      <c r="C3101" s="126" t="s">
        <v>3069</v>
      </c>
      <c r="D3101">
        <v>2083</v>
      </c>
      <c r="E3101" s="126" t="s">
        <v>2001</v>
      </c>
      <c r="F3101" s="122" t="s">
        <v>1607</v>
      </c>
      <c r="G3101" s="122" t="s">
        <v>134</v>
      </c>
      <c r="H3101">
        <v>121</v>
      </c>
      <c r="I3101" s="122" t="s">
        <v>1546</v>
      </c>
      <c r="J3101" s="307" t="s">
        <v>214</v>
      </c>
      <c r="K3101" s="127" t="s">
        <v>4112</v>
      </c>
      <c r="L3101" s="151" t="s">
        <v>3306</v>
      </c>
      <c r="M3101">
        <v>336</v>
      </c>
      <c r="N3101" s="123">
        <v>1</v>
      </c>
      <c r="O3101">
        <v>2040</v>
      </c>
      <c r="P3101" s="132" t="s">
        <v>77</v>
      </c>
      <c r="Q3101" s="131">
        <v>100000</v>
      </c>
      <c r="R3101" s="131">
        <v>16000</v>
      </c>
      <c r="S3101" s="131"/>
      <c r="T3101" s="155"/>
      <c r="U3101" s="131"/>
      <c r="V3101" s="131">
        <f t="shared" si="56"/>
        <v>116000</v>
      </c>
      <c r="W3101">
        <v>83</v>
      </c>
      <c r="X3101" s="151" t="s">
        <v>1430</v>
      </c>
      <c r="Y3101" s="135" t="s">
        <v>55</v>
      </c>
      <c r="Z3101" s="307">
        <v>247</v>
      </c>
      <c r="AB3101" t="str">
        <f>IF(Table1[[#This Row],[TIPO2]]="costo", VLOOKUP(Table1[[#This Row],[PARTIDA PRESUPUESTAL]],'Cost Report'!G:G,1,0),"Balance")</f>
        <v>6101-003</v>
      </c>
      <c r="AC3101" s="118"/>
      <c r="AD3101" s="159">
        <f>+Table1[[#This Row],[SUBTOTAL]]+Table1[[#This Row],[IVA]]-Table1[[#This Row],[RET IVA]]-Table1[[#This Row],[RET ISR]]-Table1[[#This Row],[TOTAL]]</f>
        <v>0</v>
      </c>
      <c r="AE3101" s="150"/>
      <c r="AF3101" s="151"/>
      <c r="AG3101" s="126"/>
      <c r="AK3101" s="306" t="str">
        <f>IF(ISNUMBER(Table1[[#This Row],[FECHA DE RECIBIDO]]), Table1[[#This Row],[FECHA DE RECIBIDO]]-DATE(2023,8,30), "")</f>
        <v/>
      </c>
    </row>
    <row r="3102" spans="1:37" ht="16.05" customHeight="1">
      <c r="A3102" s="152" t="s">
        <v>4148</v>
      </c>
      <c r="B3102" s="153">
        <v>1141</v>
      </c>
      <c r="C3102" s="126" t="s">
        <v>3075</v>
      </c>
      <c r="D3102">
        <v>2083</v>
      </c>
      <c r="E3102" s="126" t="s">
        <v>2001</v>
      </c>
      <c r="F3102" s="125" t="s">
        <v>1607</v>
      </c>
      <c r="G3102" s="125" t="s">
        <v>134</v>
      </c>
      <c r="H3102">
        <v>121</v>
      </c>
      <c r="I3102" s="125" t="s">
        <v>1546</v>
      </c>
      <c r="J3102" s="308" t="s">
        <v>214</v>
      </c>
      <c r="K3102" s="127" t="s">
        <v>4112</v>
      </c>
      <c r="L3102" s="153" t="s">
        <v>3306</v>
      </c>
      <c r="M3102">
        <v>336</v>
      </c>
      <c r="N3102" s="123">
        <v>1</v>
      </c>
      <c r="O3102">
        <v>2040</v>
      </c>
      <c r="P3102" s="132" t="s">
        <v>77</v>
      </c>
      <c r="Q3102" s="132">
        <v>10000</v>
      </c>
      <c r="R3102" s="132">
        <v>1600</v>
      </c>
      <c r="S3102" s="132"/>
      <c r="T3102" s="156"/>
      <c r="U3102" s="132"/>
      <c r="V3102" s="132">
        <f t="shared" si="56"/>
        <v>11600</v>
      </c>
      <c r="W3102">
        <v>83</v>
      </c>
      <c r="X3102" s="153" t="s">
        <v>1430</v>
      </c>
      <c r="Y3102" s="124" t="s">
        <v>55</v>
      </c>
      <c r="Z3102" s="308">
        <v>247</v>
      </c>
      <c r="AB3102" t="str">
        <f>IF(Table1[[#This Row],[TIPO2]]="costo", VLOOKUP(Table1[[#This Row],[PARTIDA PRESUPUESTAL]],'Cost Report'!G:G,1,0),"Balance")</f>
        <v>6101-013</v>
      </c>
      <c r="AC3102" s="118"/>
      <c r="AD3102" s="159">
        <f>+Table1[[#This Row],[SUBTOTAL]]+Table1[[#This Row],[IVA]]-Table1[[#This Row],[RET IVA]]-Table1[[#This Row],[RET ISR]]-Table1[[#This Row],[TOTAL]]</f>
        <v>0</v>
      </c>
      <c r="AE3102" s="152"/>
      <c r="AF3102" s="153"/>
      <c r="AG3102" s="126"/>
      <c r="AK3102" s="306" t="str">
        <f>IF(ISNUMBER(Table1[[#This Row],[FECHA DE RECIBIDO]]), Table1[[#This Row],[FECHA DE RECIBIDO]]-DATE(2023,8,30), "")</f>
        <v/>
      </c>
    </row>
    <row r="3103" spans="1:37" ht="16.05" customHeight="1">
      <c r="A3103" s="150" t="s">
        <v>4148</v>
      </c>
      <c r="B3103" s="151">
        <v>1141</v>
      </c>
      <c r="C3103" s="126" t="s">
        <v>3072</v>
      </c>
      <c r="D3103">
        <v>2083</v>
      </c>
      <c r="E3103" s="126" t="s">
        <v>2001</v>
      </c>
      <c r="F3103" s="122" t="s">
        <v>1607</v>
      </c>
      <c r="G3103" s="122" t="s">
        <v>134</v>
      </c>
      <c r="H3103">
        <v>121</v>
      </c>
      <c r="I3103" s="122" t="s">
        <v>1546</v>
      </c>
      <c r="J3103" s="307" t="s">
        <v>214</v>
      </c>
      <c r="K3103" s="127" t="s">
        <v>4112</v>
      </c>
      <c r="L3103" s="151" t="s">
        <v>3306</v>
      </c>
      <c r="M3103">
        <v>336</v>
      </c>
      <c r="N3103" s="123">
        <v>1</v>
      </c>
      <c r="O3103">
        <v>2040</v>
      </c>
      <c r="P3103" s="132" t="s">
        <v>77</v>
      </c>
      <c r="Q3103" s="131">
        <v>70000</v>
      </c>
      <c r="R3103" s="131">
        <v>11200</v>
      </c>
      <c r="S3103" s="131"/>
      <c r="T3103" s="155"/>
      <c r="U3103" s="131"/>
      <c r="V3103" s="131">
        <f t="shared" si="56"/>
        <v>81200</v>
      </c>
      <c r="W3103">
        <v>83</v>
      </c>
      <c r="X3103" s="151" t="s">
        <v>1430</v>
      </c>
      <c r="Y3103" s="135" t="s">
        <v>55</v>
      </c>
      <c r="Z3103" s="307">
        <v>247</v>
      </c>
      <c r="AB3103" t="str">
        <f>IF(Table1[[#This Row],[TIPO2]]="costo", VLOOKUP(Table1[[#This Row],[PARTIDA PRESUPUESTAL]],'Cost Report'!G:G,1,0),"Balance")</f>
        <v>6101-008</v>
      </c>
      <c r="AC3103" s="118"/>
      <c r="AD3103" s="159">
        <f>+Table1[[#This Row],[SUBTOTAL]]+Table1[[#This Row],[IVA]]-Table1[[#This Row],[RET IVA]]-Table1[[#This Row],[RET ISR]]-Table1[[#This Row],[TOTAL]]</f>
        <v>0</v>
      </c>
      <c r="AE3103" s="150"/>
      <c r="AF3103" s="151"/>
      <c r="AG3103" s="126"/>
      <c r="AK3103" s="306" t="str">
        <f>IF(ISNUMBER(Table1[[#This Row],[FECHA DE RECIBIDO]]), Table1[[#This Row],[FECHA DE RECIBIDO]]-DATE(2023,8,30), "")</f>
        <v/>
      </c>
    </row>
    <row r="3104" spans="1:37" ht="16.05" customHeight="1">
      <c r="A3104" s="152" t="s">
        <v>4148</v>
      </c>
      <c r="B3104" s="153">
        <v>1141</v>
      </c>
      <c r="C3104" s="126" t="s">
        <v>3073</v>
      </c>
      <c r="D3104">
        <v>2083</v>
      </c>
      <c r="E3104" s="126" t="s">
        <v>2001</v>
      </c>
      <c r="F3104" s="125" t="s">
        <v>1607</v>
      </c>
      <c r="G3104" s="125" t="s">
        <v>134</v>
      </c>
      <c r="H3104">
        <v>121</v>
      </c>
      <c r="I3104" s="125" t="s">
        <v>1546</v>
      </c>
      <c r="J3104" s="308" t="s">
        <v>214</v>
      </c>
      <c r="K3104" s="127" t="s">
        <v>4112</v>
      </c>
      <c r="L3104" s="153" t="s">
        <v>3306</v>
      </c>
      <c r="M3104">
        <v>336</v>
      </c>
      <c r="N3104" s="123">
        <v>1</v>
      </c>
      <c r="O3104">
        <v>2040</v>
      </c>
      <c r="P3104" s="132" t="s">
        <v>77</v>
      </c>
      <c r="Q3104" s="132">
        <v>20000</v>
      </c>
      <c r="R3104" s="132">
        <v>3200</v>
      </c>
      <c r="S3104" s="132"/>
      <c r="T3104" s="156"/>
      <c r="U3104" s="132"/>
      <c r="V3104" s="132">
        <f t="shared" si="56"/>
        <v>23200</v>
      </c>
      <c r="W3104">
        <v>83</v>
      </c>
      <c r="X3104" s="153" t="s">
        <v>1430</v>
      </c>
      <c r="Y3104" s="124" t="s">
        <v>55</v>
      </c>
      <c r="Z3104" s="308">
        <v>247</v>
      </c>
      <c r="AB3104" t="str">
        <f>IF(Table1[[#This Row],[TIPO2]]="costo", VLOOKUP(Table1[[#This Row],[PARTIDA PRESUPUESTAL]],'Cost Report'!G:G,1,0),"Balance")</f>
        <v>6101-009</v>
      </c>
      <c r="AC3104" s="118"/>
      <c r="AD3104" s="159">
        <f>+Table1[[#This Row],[SUBTOTAL]]+Table1[[#This Row],[IVA]]-Table1[[#This Row],[RET IVA]]-Table1[[#This Row],[RET ISR]]-Table1[[#This Row],[TOTAL]]</f>
        <v>0</v>
      </c>
      <c r="AE3104" s="152"/>
      <c r="AF3104" s="153"/>
      <c r="AG3104" s="126"/>
      <c r="AK3104" s="306" t="str">
        <f>IF(ISNUMBER(Table1[[#This Row],[FECHA DE RECIBIDO]]), Table1[[#This Row],[FECHA DE RECIBIDO]]-DATE(2023,8,30), "")</f>
        <v/>
      </c>
    </row>
    <row r="3105" spans="1:37" ht="16.05" customHeight="1">
      <c r="A3105" s="150" t="s">
        <v>4148</v>
      </c>
      <c r="B3105" s="151">
        <v>1141</v>
      </c>
      <c r="C3105" s="126" t="s">
        <v>3075</v>
      </c>
      <c r="D3105">
        <v>2083</v>
      </c>
      <c r="E3105" s="126" t="s">
        <v>2001</v>
      </c>
      <c r="F3105" s="122" t="s">
        <v>1607</v>
      </c>
      <c r="G3105" s="122" t="s">
        <v>134</v>
      </c>
      <c r="H3105">
        <v>121</v>
      </c>
      <c r="I3105" s="122" t="s">
        <v>1546</v>
      </c>
      <c r="J3105" s="307" t="s">
        <v>214</v>
      </c>
      <c r="K3105" s="127" t="s">
        <v>4112</v>
      </c>
      <c r="L3105" s="151" t="s">
        <v>3306</v>
      </c>
      <c r="M3105">
        <v>336</v>
      </c>
      <c r="N3105" s="123">
        <v>1</v>
      </c>
      <c r="O3105">
        <v>2040</v>
      </c>
      <c r="P3105" s="132" t="s">
        <v>77</v>
      </c>
      <c r="Q3105" s="131">
        <v>15984.47</v>
      </c>
      <c r="R3105" s="131">
        <v>2557.52</v>
      </c>
      <c r="S3105" s="131"/>
      <c r="T3105" s="155"/>
      <c r="U3105" s="131"/>
      <c r="V3105" s="131">
        <f t="shared" si="56"/>
        <v>18541.989999999998</v>
      </c>
      <c r="W3105">
        <v>83</v>
      </c>
      <c r="X3105" s="151" t="s">
        <v>1430</v>
      </c>
      <c r="Y3105" s="135" t="s">
        <v>55</v>
      </c>
      <c r="Z3105" s="307">
        <v>247</v>
      </c>
      <c r="AB3105" t="str">
        <f>IF(Table1[[#This Row],[TIPO2]]="costo", VLOOKUP(Table1[[#This Row],[PARTIDA PRESUPUESTAL]],'Cost Report'!G:G,1,0),"Balance")</f>
        <v>6101-013</v>
      </c>
      <c r="AC3105" s="118"/>
      <c r="AD3105" s="159">
        <f>+Table1[[#This Row],[SUBTOTAL]]+Table1[[#This Row],[IVA]]-Table1[[#This Row],[RET IVA]]-Table1[[#This Row],[RET ISR]]-Table1[[#This Row],[TOTAL]]</f>
        <v>0</v>
      </c>
      <c r="AE3105" s="150"/>
      <c r="AF3105" s="151"/>
      <c r="AG3105" s="126"/>
      <c r="AK3105" s="306" t="str">
        <f>IF(ISNUMBER(Table1[[#This Row],[FECHA DE RECIBIDO]]), Table1[[#This Row],[FECHA DE RECIBIDO]]-DATE(2023,8,30), "")</f>
        <v/>
      </c>
    </row>
    <row r="3106" spans="1:37" ht="16.05" customHeight="1">
      <c r="A3106" s="152" t="s">
        <v>4149</v>
      </c>
      <c r="B3106" s="153">
        <v>1142</v>
      </c>
      <c r="C3106" s="126" t="s">
        <v>2570</v>
      </c>
      <c r="D3106">
        <v>2084</v>
      </c>
      <c r="E3106" s="126" t="s">
        <v>3636</v>
      </c>
      <c r="F3106" s="125" t="s">
        <v>1607</v>
      </c>
      <c r="G3106" s="125" t="s">
        <v>134</v>
      </c>
      <c r="H3106">
        <v>333</v>
      </c>
      <c r="I3106" s="125" t="s">
        <v>1546</v>
      </c>
      <c r="J3106" s="308" t="s">
        <v>214</v>
      </c>
      <c r="K3106" s="127" t="s">
        <v>4112</v>
      </c>
      <c r="L3106" s="153" t="s">
        <v>3306</v>
      </c>
      <c r="M3106">
        <v>447</v>
      </c>
      <c r="N3106" s="123">
        <v>1</v>
      </c>
      <c r="O3106">
        <v>2041</v>
      </c>
      <c r="P3106" s="132" t="s">
        <v>77</v>
      </c>
      <c r="Q3106" s="132">
        <v>47500</v>
      </c>
      <c r="R3106" s="132">
        <v>7600</v>
      </c>
      <c r="S3106" s="132"/>
      <c r="T3106" s="156"/>
      <c r="U3106" s="132"/>
      <c r="V3106" s="132">
        <f t="shared" si="56"/>
        <v>55100</v>
      </c>
      <c r="W3106">
        <v>171</v>
      </c>
      <c r="X3106" s="153" t="s">
        <v>3683</v>
      </c>
      <c r="Y3106" s="124" t="s">
        <v>55</v>
      </c>
      <c r="Z3106" s="308">
        <v>247</v>
      </c>
      <c r="AB3106" t="str">
        <f>IF(Table1[[#This Row],[TIPO2]]="costo", VLOOKUP(Table1[[#This Row],[PARTIDA PRESUPUESTAL]],'Cost Report'!G:G,1,0),"Balance")</f>
        <v>2601-003</v>
      </c>
      <c r="AC3106" s="118"/>
      <c r="AD3106" s="159">
        <f>+Table1[[#This Row],[SUBTOTAL]]+Table1[[#This Row],[IVA]]-Table1[[#This Row],[RET IVA]]-Table1[[#This Row],[RET ISR]]-Table1[[#This Row],[TOTAL]]</f>
        <v>0</v>
      </c>
      <c r="AE3106" s="152"/>
      <c r="AF3106" s="153"/>
      <c r="AG3106" s="126"/>
      <c r="AK3106" s="306" t="str">
        <f>IF(ISNUMBER(Table1[[#This Row],[FECHA DE RECIBIDO]]), Table1[[#This Row],[FECHA DE RECIBIDO]]-DATE(2023,8,30), "")</f>
        <v/>
      </c>
    </row>
    <row r="3107" spans="1:37" ht="16.05" customHeight="1">
      <c r="A3107" s="150" t="s">
        <v>4149</v>
      </c>
      <c r="B3107" s="151">
        <v>1142</v>
      </c>
      <c r="C3107" s="126" t="s">
        <v>2572</v>
      </c>
      <c r="D3107">
        <v>2084</v>
      </c>
      <c r="E3107" s="126" t="s">
        <v>3636</v>
      </c>
      <c r="F3107" s="122" t="s">
        <v>1607</v>
      </c>
      <c r="G3107" s="122" t="s">
        <v>134</v>
      </c>
      <c r="H3107">
        <v>333</v>
      </c>
      <c r="I3107" s="122" t="s">
        <v>1546</v>
      </c>
      <c r="J3107" s="307" t="s">
        <v>214</v>
      </c>
      <c r="K3107" s="127" t="s">
        <v>4112</v>
      </c>
      <c r="L3107" s="151" t="s">
        <v>3306</v>
      </c>
      <c r="M3107">
        <v>447</v>
      </c>
      <c r="N3107" s="123">
        <v>1</v>
      </c>
      <c r="O3107">
        <v>2041</v>
      </c>
      <c r="P3107" s="132" t="s">
        <v>77</v>
      </c>
      <c r="Q3107" s="131">
        <v>14400</v>
      </c>
      <c r="R3107" s="131">
        <v>2304</v>
      </c>
      <c r="S3107" s="131"/>
      <c r="T3107" s="155"/>
      <c r="U3107" s="131"/>
      <c r="V3107" s="131">
        <f t="shared" si="56"/>
        <v>16704</v>
      </c>
      <c r="W3107">
        <v>171</v>
      </c>
      <c r="X3107" s="151" t="s">
        <v>3683</v>
      </c>
      <c r="Y3107" s="135" t="s">
        <v>55</v>
      </c>
      <c r="Z3107" s="307">
        <v>247</v>
      </c>
      <c r="AB3107" t="str">
        <f>IF(Table1[[#This Row],[TIPO2]]="costo", VLOOKUP(Table1[[#This Row],[PARTIDA PRESUPUESTAL]],'Cost Report'!G:G,1,0),"Balance")</f>
        <v>2601-007</v>
      </c>
      <c r="AC3107" s="118"/>
      <c r="AD3107" s="159">
        <f>+Table1[[#This Row],[SUBTOTAL]]+Table1[[#This Row],[IVA]]-Table1[[#This Row],[RET IVA]]-Table1[[#This Row],[RET ISR]]-Table1[[#This Row],[TOTAL]]</f>
        <v>0</v>
      </c>
      <c r="AE3107" s="150"/>
      <c r="AF3107" s="151"/>
      <c r="AG3107" s="126"/>
      <c r="AK3107" s="306" t="str">
        <f>IF(ISNUMBER(Table1[[#This Row],[FECHA DE RECIBIDO]]), Table1[[#This Row],[FECHA DE RECIBIDO]]-DATE(2023,8,30), "")</f>
        <v/>
      </c>
    </row>
    <row r="3108" spans="1:37" ht="16.05" customHeight="1">
      <c r="A3108" s="152" t="s">
        <v>4149</v>
      </c>
      <c r="B3108" s="153">
        <v>1142</v>
      </c>
      <c r="C3108" s="126" t="s">
        <v>1740</v>
      </c>
      <c r="D3108">
        <v>2084</v>
      </c>
      <c r="E3108" s="126" t="s">
        <v>3636</v>
      </c>
      <c r="F3108" s="125" t="s">
        <v>1607</v>
      </c>
      <c r="G3108" s="125" t="s">
        <v>134</v>
      </c>
      <c r="H3108">
        <v>333</v>
      </c>
      <c r="I3108" s="125" t="s">
        <v>1546</v>
      </c>
      <c r="J3108" s="308" t="s">
        <v>214</v>
      </c>
      <c r="K3108" s="127" t="s">
        <v>4112</v>
      </c>
      <c r="L3108" s="153" t="s">
        <v>3306</v>
      </c>
      <c r="M3108">
        <v>447</v>
      </c>
      <c r="N3108" s="123">
        <v>1</v>
      </c>
      <c r="O3108">
        <v>2041</v>
      </c>
      <c r="P3108" s="132" t="s">
        <v>77</v>
      </c>
      <c r="Q3108" s="132">
        <v>12000</v>
      </c>
      <c r="R3108" s="132">
        <v>1920</v>
      </c>
      <c r="S3108" s="132"/>
      <c r="T3108" s="156"/>
      <c r="U3108" s="132"/>
      <c r="V3108" s="132">
        <f t="shared" si="56"/>
        <v>13920</v>
      </c>
      <c r="W3108">
        <v>171</v>
      </c>
      <c r="X3108" s="153" t="s">
        <v>3683</v>
      </c>
      <c r="Y3108" s="124" t="s">
        <v>55</v>
      </c>
      <c r="Z3108" s="308">
        <v>247</v>
      </c>
      <c r="AB3108" t="str">
        <f>IF(Table1[[#This Row],[TIPO2]]="costo", VLOOKUP(Table1[[#This Row],[PARTIDA PRESUPUESTAL]],'Cost Report'!G:G,1,0),"Balance")</f>
        <v>2602-009</v>
      </c>
      <c r="AC3108" s="118"/>
      <c r="AD3108" s="159">
        <f>+Table1[[#This Row],[SUBTOTAL]]+Table1[[#This Row],[IVA]]-Table1[[#This Row],[RET IVA]]-Table1[[#This Row],[RET ISR]]-Table1[[#This Row],[TOTAL]]</f>
        <v>0</v>
      </c>
      <c r="AE3108" s="152"/>
      <c r="AF3108" s="153"/>
      <c r="AG3108" s="126"/>
      <c r="AK3108" s="306" t="str">
        <f>IF(ISNUMBER(Table1[[#This Row],[FECHA DE RECIBIDO]]), Table1[[#This Row],[FECHA DE RECIBIDO]]-DATE(2023,8,30), "")</f>
        <v/>
      </c>
    </row>
    <row r="3109" spans="1:37" ht="16.05" customHeight="1">
      <c r="A3109" s="150" t="s">
        <v>4149</v>
      </c>
      <c r="B3109" s="151">
        <v>1142</v>
      </c>
      <c r="C3109" s="126" t="s">
        <v>1742</v>
      </c>
      <c r="D3109">
        <v>2084</v>
      </c>
      <c r="E3109" s="126" t="s">
        <v>3636</v>
      </c>
      <c r="F3109" s="122" t="s">
        <v>1607</v>
      </c>
      <c r="G3109" s="122" t="s">
        <v>134</v>
      </c>
      <c r="H3109">
        <v>333</v>
      </c>
      <c r="I3109" s="122" t="s">
        <v>1546</v>
      </c>
      <c r="J3109" s="307" t="s">
        <v>214</v>
      </c>
      <c r="K3109" s="127" t="s">
        <v>4112</v>
      </c>
      <c r="L3109" s="151" t="s">
        <v>3306</v>
      </c>
      <c r="M3109">
        <v>447</v>
      </c>
      <c r="N3109" s="123">
        <v>1</v>
      </c>
      <c r="O3109">
        <v>2041</v>
      </c>
      <c r="P3109" s="132" t="s">
        <v>77</v>
      </c>
      <c r="Q3109" s="131">
        <v>800</v>
      </c>
      <c r="R3109" s="131">
        <v>128</v>
      </c>
      <c r="S3109" s="131"/>
      <c r="T3109" s="155"/>
      <c r="U3109" s="131"/>
      <c r="V3109" s="131">
        <f t="shared" si="56"/>
        <v>928</v>
      </c>
      <c r="W3109">
        <v>171</v>
      </c>
      <c r="X3109" s="151" t="s">
        <v>3683</v>
      </c>
      <c r="Y3109" s="135" t="s">
        <v>55</v>
      </c>
      <c r="Z3109" s="307">
        <v>247</v>
      </c>
      <c r="AB3109" t="str">
        <f>IF(Table1[[#This Row],[TIPO2]]="costo", VLOOKUP(Table1[[#This Row],[PARTIDA PRESUPUESTAL]],'Cost Report'!G:G,1,0),"Balance")</f>
        <v>2602-011</v>
      </c>
      <c r="AC3109" s="118"/>
      <c r="AD3109" s="159">
        <f>+Table1[[#This Row],[SUBTOTAL]]+Table1[[#This Row],[IVA]]-Table1[[#This Row],[RET IVA]]-Table1[[#This Row],[RET ISR]]-Table1[[#This Row],[TOTAL]]</f>
        <v>0</v>
      </c>
      <c r="AE3109" s="150"/>
      <c r="AF3109" s="151"/>
      <c r="AG3109" s="126"/>
      <c r="AK3109" s="306" t="str">
        <f>IF(ISNUMBER(Table1[[#This Row],[FECHA DE RECIBIDO]]), Table1[[#This Row],[FECHA DE RECIBIDO]]-DATE(2023,8,30), "")</f>
        <v/>
      </c>
    </row>
    <row r="3110" spans="1:37" ht="16.05" customHeight="1">
      <c r="A3110" s="152" t="s">
        <v>4149</v>
      </c>
      <c r="B3110" s="153">
        <v>1142</v>
      </c>
      <c r="C3110" s="126" t="s">
        <v>1750</v>
      </c>
      <c r="D3110">
        <v>2084</v>
      </c>
      <c r="E3110" s="126" t="s">
        <v>3636</v>
      </c>
      <c r="F3110" s="125" t="s">
        <v>1607</v>
      </c>
      <c r="G3110" s="125" t="s">
        <v>134</v>
      </c>
      <c r="H3110">
        <v>333</v>
      </c>
      <c r="I3110" s="125" t="s">
        <v>1546</v>
      </c>
      <c r="J3110" s="308" t="s">
        <v>214</v>
      </c>
      <c r="K3110" s="127" t="s">
        <v>4112</v>
      </c>
      <c r="L3110" s="153" t="s">
        <v>3306</v>
      </c>
      <c r="M3110">
        <v>447</v>
      </c>
      <c r="N3110" s="123">
        <v>1</v>
      </c>
      <c r="O3110">
        <v>2041</v>
      </c>
      <c r="P3110" s="132" t="s">
        <v>77</v>
      </c>
      <c r="Q3110" s="132">
        <v>36100</v>
      </c>
      <c r="R3110" s="132">
        <v>5776</v>
      </c>
      <c r="S3110" s="132"/>
      <c r="T3110" s="156"/>
      <c r="U3110" s="132"/>
      <c r="V3110" s="132">
        <f t="shared" si="56"/>
        <v>41876</v>
      </c>
      <c r="W3110">
        <v>171</v>
      </c>
      <c r="X3110" s="153" t="s">
        <v>3683</v>
      </c>
      <c r="Y3110" s="124" t="s">
        <v>55</v>
      </c>
      <c r="Z3110" s="308">
        <v>247</v>
      </c>
      <c r="AB3110" t="str">
        <f>IF(Table1[[#This Row],[TIPO2]]="costo", VLOOKUP(Table1[[#This Row],[PARTIDA PRESUPUESTAL]],'Cost Report'!G:G,1,0),"Balance")</f>
        <v>2602-019</v>
      </c>
      <c r="AC3110" s="118"/>
      <c r="AD3110" s="159">
        <f>+Table1[[#This Row],[SUBTOTAL]]+Table1[[#This Row],[IVA]]-Table1[[#This Row],[RET IVA]]-Table1[[#This Row],[RET ISR]]-Table1[[#This Row],[TOTAL]]</f>
        <v>0</v>
      </c>
      <c r="AE3110" s="152"/>
      <c r="AF3110" s="153"/>
      <c r="AG3110" s="126"/>
      <c r="AK3110" s="306" t="str">
        <f>IF(ISNUMBER(Table1[[#This Row],[FECHA DE RECIBIDO]]), Table1[[#This Row],[FECHA DE RECIBIDO]]-DATE(2023,8,30), "")</f>
        <v/>
      </c>
    </row>
    <row r="3111" spans="1:37" ht="16.05" customHeight="1">
      <c r="A3111" s="150" t="s">
        <v>4149</v>
      </c>
      <c r="B3111" s="151">
        <v>1142</v>
      </c>
      <c r="C3111" s="126" t="s">
        <v>2573</v>
      </c>
      <c r="D3111">
        <v>2084</v>
      </c>
      <c r="E3111" s="126" t="s">
        <v>3636</v>
      </c>
      <c r="F3111" s="122" t="s">
        <v>1607</v>
      </c>
      <c r="G3111" s="122" t="s">
        <v>134</v>
      </c>
      <c r="H3111">
        <v>333</v>
      </c>
      <c r="I3111" s="122" t="s">
        <v>1546</v>
      </c>
      <c r="J3111" s="307" t="s">
        <v>214</v>
      </c>
      <c r="K3111" s="127" t="s">
        <v>4112</v>
      </c>
      <c r="L3111" s="151" t="s">
        <v>3306</v>
      </c>
      <c r="M3111">
        <v>447</v>
      </c>
      <c r="N3111" s="123">
        <v>1</v>
      </c>
      <c r="O3111">
        <v>2041</v>
      </c>
      <c r="P3111" s="132" t="s">
        <v>77</v>
      </c>
      <c r="Q3111" s="131">
        <v>33600</v>
      </c>
      <c r="R3111" s="131">
        <v>5376</v>
      </c>
      <c r="S3111" s="131"/>
      <c r="T3111" s="155"/>
      <c r="U3111" s="131"/>
      <c r="V3111" s="131">
        <f t="shared" si="56"/>
        <v>38976</v>
      </c>
      <c r="W3111">
        <v>171</v>
      </c>
      <c r="X3111" s="151" t="s">
        <v>3683</v>
      </c>
      <c r="Y3111" s="135" t="s">
        <v>55</v>
      </c>
      <c r="Z3111" s="307">
        <v>247</v>
      </c>
      <c r="AB3111" t="str">
        <f>IF(Table1[[#This Row],[TIPO2]]="costo", VLOOKUP(Table1[[#This Row],[PARTIDA PRESUPUESTAL]],'Cost Report'!G:G,1,0),"Balance")</f>
        <v>2602-021</v>
      </c>
      <c r="AC3111" s="118"/>
      <c r="AD3111" s="159">
        <f>+Table1[[#This Row],[SUBTOTAL]]+Table1[[#This Row],[IVA]]-Table1[[#This Row],[RET IVA]]-Table1[[#This Row],[RET ISR]]-Table1[[#This Row],[TOTAL]]</f>
        <v>0</v>
      </c>
      <c r="AE3111" s="150"/>
      <c r="AF3111" s="151"/>
      <c r="AG3111" s="126"/>
      <c r="AK3111" s="306" t="str">
        <f>IF(ISNUMBER(Table1[[#This Row],[FECHA DE RECIBIDO]]), Table1[[#This Row],[FECHA DE RECIBIDO]]-DATE(2023,8,30), "")</f>
        <v/>
      </c>
    </row>
    <row r="3112" spans="1:37" ht="16.05" customHeight="1">
      <c r="A3112" s="152" t="s">
        <v>4149</v>
      </c>
      <c r="B3112" s="153">
        <v>1142</v>
      </c>
      <c r="C3112" s="126" t="s">
        <v>2574</v>
      </c>
      <c r="D3112">
        <v>2084</v>
      </c>
      <c r="E3112" s="126" t="s">
        <v>3636</v>
      </c>
      <c r="F3112" s="125" t="s">
        <v>1607</v>
      </c>
      <c r="G3112" s="125" t="s">
        <v>134</v>
      </c>
      <c r="H3112">
        <v>333</v>
      </c>
      <c r="I3112" s="125" t="s">
        <v>1546</v>
      </c>
      <c r="J3112" s="308" t="s">
        <v>214</v>
      </c>
      <c r="K3112" s="127" t="s">
        <v>4112</v>
      </c>
      <c r="L3112" s="153" t="s">
        <v>3306</v>
      </c>
      <c r="M3112">
        <v>447</v>
      </c>
      <c r="N3112" s="123">
        <v>1</v>
      </c>
      <c r="O3112">
        <v>2041</v>
      </c>
      <c r="P3112" s="132" t="s">
        <v>77</v>
      </c>
      <c r="Q3112" s="132">
        <v>34000</v>
      </c>
      <c r="R3112" s="132">
        <v>5440</v>
      </c>
      <c r="S3112" s="132"/>
      <c r="T3112" s="156"/>
      <c r="U3112" s="132"/>
      <c r="V3112" s="132">
        <f t="shared" si="56"/>
        <v>39440</v>
      </c>
      <c r="W3112">
        <v>171</v>
      </c>
      <c r="X3112" s="153" t="s">
        <v>3683</v>
      </c>
      <c r="Y3112" s="124" t="s">
        <v>55</v>
      </c>
      <c r="Z3112" s="308">
        <v>247</v>
      </c>
      <c r="AB3112" t="str">
        <f>IF(Table1[[#This Row],[TIPO2]]="costo", VLOOKUP(Table1[[#This Row],[PARTIDA PRESUPUESTAL]],'Cost Report'!G:G,1,0),"Balance")</f>
        <v>2602-022</v>
      </c>
      <c r="AC3112" s="118"/>
      <c r="AD3112" s="159">
        <f>+Table1[[#This Row],[SUBTOTAL]]+Table1[[#This Row],[IVA]]-Table1[[#This Row],[RET IVA]]-Table1[[#This Row],[RET ISR]]-Table1[[#This Row],[TOTAL]]</f>
        <v>0</v>
      </c>
      <c r="AE3112" s="152"/>
      <c r="AF3112" s="153"/>
      <c r="AG3112" s="126"/>
      <c r="AK3112" s="306" t="str">
        <f>IF(ISNUMBER(Table1[[#This Row],[FECHA DE RECIBIDO]]), Table1[[#This Row],[FECHA DE RECIBIDO]]-DATE(2023,8,30), "")</f>
        <v/>
      </c>
    </row>
    <row r="3113" spans="1:37" ht="16.05" customHeight="1">
      <c r="A3113" s="150" t="s">
        <v>4149</v>
      </c>
      <c r="B3113" s="151">
        <v>1142</v>
      </c>
      <c r="C3113" s="126" t="s">
        <v>2574</v>
      </c>
      <c r="D3113">
        <v>2084</v>
      </c>
      <c r="E3113" s="126" t="s">
        <v>3636</v>
      </c>
      <c r="F3113" s="122" t="s">
        <v>1607</v>
      </c>
      <c r="G3113" s="122" t="s">
        <v>134</v>
      </c>
      <c r="H3113">
        <v>333</v>
      </c>
      <c r="I3113" s="122" t="s">
        <v>1546</v>
      </c>
      <c r="J3113" s="307" t="s">
        <v>214</v>
      </c>
      <c r="K3113" s="127" t="s">
        <v>4112</v>
      </c>
      <c r="L3113" s="151" t="s">
        <v>3306</v>
      </c>
      <c r="M3113">
        <v>447</v>
      </c>
      <c r="N3113" s="123">
        <v>1</v>
      </c>
      <c r="O3113">
        <v>2041</v>
      </c>
      <c r="P3113" s="132" t="s">
        <v>77</v>
      </c>
      <c r="Q3113" s="131">
        <v>42700</v>
      </c>
      <c r="R3113" s="131">
        <v>6832</v>
      </c>
      <c r="S3113" s="131"/>
      <c r="T3113" s="155"/>
      <c r="U3113" s="131"/>
      <c r="V3113" s="131">
        <f t="shared" si="56"/>
        <v>49532</v>
      </c>
      <c r="W3113">
        <v>171</v>
      </c>
      <c r="X3113" s="151" t="s">
        <v>3683</v>
      </c>
      <c r="Y3113" s="135" t="s">
        <v>55</v>
      </c>
      <c r="Z3113" s="307">
        <v>247</v>
      </c>
      <c r="AB3113" t="str">
        <f>IF(Table1[[#This Row],[TIPO2]]="costo", VLOOKUP(Table1[[#This Row],[PARTIDA PRESUPUESTAL]],'Cost Report'!G:G,1,0),"Balance")</f>
        <v>2602-022</v>
      </c>
      <c r="AC3113" s="118"/>
      <c r="AD3113" s="159">
        <f>+Table1[[#This Row],[SUBTOTAL]]+Table1[[#This Row],[IVA]]-Table1[[#This Row],[RET IVA]]-Table1[[#This Row],[RET ISR]]-Table1[[#This Row],[TOTAL]]</f>
        <v>0</v>
      </c>
      <c r="AE3113" s="150"/>
      <c r="AF3113" s="151"/>
      <c r="AG3113" s="126"/>
      <c r="AK3113" s="306" t="str">
        <f>IF(ISNUMBER(Table1[[#This Row],[FECHA DE RECIBIDO]]), Table1[[#This Row],[FECHA DE RECIBIDO]]-DATE(2023,8,30), "")</f>
        <v/>
      </c>
    </row>
    <row r="3114" spans="1:37" ht="16.05" customHeight="1">
      <c r="A3114" s="152" t="s">
        <v>4150</v>
      </c>
      <c r="B3114" s="153">
        <v>1143</v>
      </c>
      <c r="C3114" s="126" t="s">
        <v>1765</v>
      </c>
      <c r="D3114">
        <v>2085</v>
      </c>
      <c r="E3114" s="126" t="s">
        <v>1609</v>
      </c>
      <c r="F3114" s="125" t="s">
        <v>1607</v>
      </c>
      <c r="G3114" s="125" t="s">
        <v>134</v>
      </c>
      <c r="H3114">
        <v>479</v>
      </c>
      <c r="I3114" s="125" t="s">
        <v>1546</v>
      </c>
      <c r="J3114" s="308" t="s">
        <v>214</v>
      </c>
      <c r="K3114" s="127" t="s">
        <v>4112</v>
      </c>
      <c r="L3114" s="153" t="s">
        <v>3306</v>
      </c>
      <c r="M3114">
        <v>700</v>
      </c>
      <c r="N3114" s="123">
        <v>1</v>
      </c>
      <c r="O3114">
        <v>2042</v>
      </c>
      <c r="P3114" s="132" t="s">
        <v>77</v>
      </c>
      <c r="Q3114" s="132">
        <v>8300</v>
      </c>
      <c r="R3114" s="132">
        <v>1328</v>
      </c>
      <c r="S3114" s="132"/>
      <c r="T3114" s="156"/>
      <c r="U3114" s="132"/>
      <c r="V3114" s="132">
        <v>9628</v>
      </c>
      <c r="W3114">
        <v>249</v>
      </c>
      <c r="X3114" s="153" t="s">
        <v>1429</v>
      </c>
      <c r="Y3114" s="124" t="s">
        <v>55</v>
      </c>
      <c r="Z3114" s="308">
        <v>247</v>
      </c>
      <c r="AB3114" t="str">
        <f>IF(Table1[[#This Row],[TIPO2]]="costo", VLOOKUP(Table1[[#This Row],[PARTIDA PRESUPUESTAL]],'Cost Report'!G:G,1,0),"Balance")</f>
        <v>3193-090</v>
      </c>
      <c r="AC3114" s="118"/>
      <c r="AD3114" s="159">
        <f>+Table1[[#This Row],[SUBTOTAL]]+Table1[[#This Row],[IVA]]-Table1[[#This Row],[RET IVA]]-Table1[[#This Row],[RET ISR]]-Table1[[#This Row],[TOTAL]]</f>
        <v>0</v>
      </c>
      <c r="AE3114" s="152"/>
      <c r="AF3114" s="153"/>
      <c r="AG3114" s="126"/>
      <c r="AK3114" s="306" t="str">
        <f>IF(ISNUMBER(Table1[[#This Row],[FECHA DE RECIBIDO]]), Table1[[#This Row],[FECHA DE RECIBIDO]]-DATE(2023,8,30), "")</f>
        <v/>
      </c>
    </row>
    <row r="3115" spans="1:37" ht="16.05" customHeight="1">
      <c r="A3115" s="150" t="s">
        <v>4151</v>
      </c>
      <c r="B3115" s="151">
        <v>1144</v>
      </c>
      <c r="C3115" s="126" t="s">
        <v>1728</v>
      </c>
      <c r="D3115">
        <v>2086</v>
      </c>
      <c r="E3115" s="126" t="s">
        <v>1985</v>
      </c>
      <c r="F3115" s="122" t="s">
        <v>1593</v>
      </c>
      <c r="G3115" s="122" t="s">
        <v>109</v>
      </c>
      <c r="H3115">
        <v>265</v>
      </c>
      <c r="I3115" s="122" t="s">
        <v>1546</v>
      </c>
      <c r="J3115" s="307" t="s">
        <v>214</v>
      </c>
      <c r="K3115" s="127" t="s">
        <v>4112</v>
      </c>
      <c r="L3115" s="151" t="s">
        <v>3306</v>
      </c>
      <c r="M3115">
        <v>353</v>
      </c>
      <c r="N3115" s="123">
        <v>1</v>
      </c>
      <c r="O3115">
        <v>2043</v>
      </c>
      <c r="P3115" s="132" t="s">
        <v>77</v>
      </c>
      <c r="Q3115" s="131">
        <v>73600</v>
      </c>
      <c r="R3115" s="131">
        <v>11776</v>
      </c>
      <c r="S3115" s="131"/>
      <c r="T3115" s="155"/>
      <c r="U3115" s="131"/>
      <c r="V3115" s="131">
        <v>85376</v>
      </c>
      <c r="W3115">
        <v>165</v>
      </c>
      <c r="X3115" s="151" t="s">
        <v>3685</v>
      </c>
      <c r="Y3115" s="135" t="s">
        <v>55</v>
      </c>
      <c r="Z3115" s="307">
        <v>247</v>
      </c>
      <c r="AB3115" t="str">
        <f>IF(Table1[[#This Row],[TIPO2]]="costo", VLOOKUP(Table1[[#This Row],[PARTIDA PRESUPUESTAL]],'Cost Report'!G:G,1,0),"Balance")</f>
        <v>2103-004</v>
      </c>
      <c r="AC3115" s="118"/>
      <c r="AD3115" s="159">
        <f>+Table1[[#This Row],[SUBTOTAL]]+Table1[[#This Row],[IVA]]-Table1[[#This Row],[RET IVA]]-Table1[[#This Row],[RET ISR]]-Table1[[#This Row],[TOTAL]]</f>
        <v>0</v>
      </c>
      <c r="AE3115" s="150"/>
      <c r="AF3115" s="151"/>
      <c r="AG3115" s="126"/>
      <c r="AK3115" s="306" t="str">
        <f>IF(ISNUMBER(Table1[[#This Row],[FECHA DE RECIBIDO]]), Table1[[#This Row],[FECHA DE RECIBIDO]]-DATE(2023,8,30), "")</f>
        <v/>
      </c>
    </row>
    <row r="3116" spans="1:37" ht="16.05" customHeight="1">
      <c r="A3116" s="152" t="s">
        <v>4152</v>
      </c>
      <c r="B3116" s="153">
        <v>1145</v>
      </c>
      <c r="C3116" s="126" t="s">
        <v>2596</v>
      </c>
      <c r="D3116">
        <v>2087</v>
      </c>
      <c r="E3116" s="126">
        <v>45117</v>
      </c>
      <c r="F3116" s="125">
        <v>612</v>
      </c>
      <c r="G3116" s="125" t="s">
        <v>129</v>
      </c>
      <c r="H3116">
        <v>592</v>
      </c>
      <c r="I3116" s="125" t="s">
        <v>1546</v>
      </c>
      <c r="J3116" s="308">
        <v>245.61641203703766</v>
      </c>
      <c r="K3116" s="127" t="s">
        <v>4112</v>
      </c>
      <c r="L3116" s="153" t="s">
        <v>3306</v>
      </c>
      <c r="M3116">
        <v>838</v>
      </c>
      <c r="N3116" s="123">
        <v>172</v>
      </c>
      <c r="O3116">
        <v>2044</v>
      </c>
      <c r="P3116" s="132" t="s">
        <v>77</v>
      </c>
      <c r="Q3116" s="132">
        <v>22250</v>
      </c>
      <c r="R3116" s="132">
        <f t="shared" ref="R3116:R3118" si="66">Q3116*0.16</f>
        <v>3560</v>
      </c>
      <c r="S3116" s="132"/>
      <c r="T3116" s="156">
        <f>Q3116*0.106667</f>
        <v>2373.3407499999998</v>
      </c>
      <c r="U3116" s="132">
        <f>Q3116*0.1</f>
        <v>2225</v>
      </c>
      <c r="V3116" s="132">
        <f t="shared" si="56"/>
        <v>21211.659250000001</v>
      </c>
      <c r="W3116">
        <v>339</v>
      </c>
      <c r="X3116" s="153" t="s">
        <v>3817</v>
      </c>
      <c r="Y3116" s="124" t="s">
        <v>55</v>
      </c>
      <c r="Z3116" s="308">
        <v>247</v>
      </c>
      <c r="AB3116" t="str">
        <f>IF(Table1[[#This Row],[TIPO2]]="costo", VLOOKUP(Table1[[#This Row],[PARTIDA PRESUPUESTAL]],'Cost Report'!G:G,1,0),"Balance")</f>
        <v>2794-003</v>
      </c>
      <c r="AC3116" s="118"/>
      <c r="AD3116" s="159">
        <f>+Table1[[#This Row],[SUBTOTAL]]+Table1[[#This Row],[IVA]]-Table1[[#This Row],[RET IVA]]-Table1[[#This Row],[RET ISR]]-Table1[[#This Row],[TOTAL]]</f>
        <v>0</v>
      </c>
      <c r="AE3116" s="152"/>
      <c r="AF3116" s="153"/>
      <c r="AG3116" s="126"/>
      <c r="AK3116" s="306">
        <f>IF(ISNUMBER(Table1[[#This Row],[FECHA DE RECIBIDO]]), Table1[[#This Row],[FECHA DE RECIBIDO]]-DATE(2023,8,30), "")</f>
        <v>-44922.383587962962</v>
      </c>
    </row>
    <row r="3117" spans="1:37" ht="16.05" customHeight="1">
      <c r="A3117" s="150" t="s">
        <v>4153</v>
      </c>
      <c r="B3117" s="151">
        <v>1146</v>
      </c>
      <c r="C3117" s="126" t="s">
        <v>2443</v>
      </c>
      <c r="D3117">
        <v>2088</v>
      </c>
      <c r="E3117" s="126">
        <v>13508</v>
      </c>
      <c r="F3117" s="122">
        <v>612</v>
      </c>
      <c r="G3117" s="122" t="s">
        <v>129</v>
      </c>
      <c r="H3117">
        <v>85</v>
      </c>
      <c r="I3117" s="122" t="s">
        <v>1546</v>
      </c>
      <c r="J3117" s="307">
        <v>246.78847222222248</v>
      </c>
      <c r="K3117" s="127" t="s">
        <v>4112</v>
      </c>
      <c r="L3117" s="151" t="s">
        <v>3306</v>
      </c>
      <c r="M3117">
        <v>115</v>
      </c>
      <c r="N3117" s="123">
        <v>1</v>
      </c>
      <c r="O3117">
        <v>2045</v>
      </c>
      <c r="P3117" s="132" t="s">
        <v>77</v>
      </c>
      <c r="Q3117" s="131">
        <v>48600</v>
      </c>
      <c r="R3117" s="131">
        <f t="shared" si="66"/>
        <v>7776</v>
      </c>
      <c r="S3117" s="131"/>
      <c r="T3117" s="155">
        <v>5183.97</v>
      </c>
      <c r="U3117" s="131">
        <v>0</v>
      </c>
      <c r="V3117" s="131">
        <f t="shared" si="56"/>
        <v>51192.03</v>
      </c>
      <c r="W3117">
        <v>57</v>
      </c>
      <c r="X3117" s="151" t="s">
        <v>2035</v>
      </c>
      <c r="Y3117" s="135" t="s">
        <v>55</v>
      </c>
      <c r="Z3117" s="307">
        <v>247</v>
      </c>
      <c r="AB3117" t="str">
        <f>IF(Table1[[#This Row],[TIPO2]]="costo", VLOOKUP(Table1[[#This Row],[PARTIDA PRESUPUESTAL]],'Cost Report'!G:G,1,0),"Balance")</f>
        <v>2080-003</v>
      </c>
      <c r="AC3117" s="118"/>
      <c r="AD3117" s="159">
        <f>+Table1[[#This Row],[SUBTOTAL]]+Table1[[#This Row],[IVA]]-Table1[[#This Row],[RET IVA]]-Table1[[#This Row],[RET ISR]]-Table1[[#This Row],[TOTAL]]</f>
        <v>0</v>
      </c>
      <c r="AE3117" s="150" t="s">
        <v>5323</v>
      </c>
      <c r="AF3117" s="151" t="s">
        <v>5324</v>
      </c>
      <c r="AG3117" s="126"/>
      <c r="AK3117" s="306">
        <f>IF(ISNUMBER(Table1[[#This Row],[FECHA DE RECIBIDO]]), Table1[[#This Row],[FECHA DE RECIBIDO]]-DATE(2023,8,30), "")</f>
        <v>-44921.211527777778</v>
      </c>
    </row>
    <row r="3118" spans="1:37" ht="16.05" customHeight="1">
      <c r="A3118" s="152" t="s">
        <v>4154</v>
      </c>
      <c r="B3118" s="153">
        <v>1147</v>
      </c>
      <c r="C3118" s="126" t="s">
        <v>278</v>
      </c>
      <c r="D3118">
        <v>2089</v>
      </c>
      <c r="E3118" s="126" t="s">
        <v>2010</v>
      </c>
      <c r="F3118" s="125" t="s">
        <v>1607</v>
      </c>
      <c r="G3118" s="125" t="s">
        <v>134</v>
      </c>
      <c r="H3118">
        <v>380</v>
      </c>
      <c r="I3118" s="125" t="s">
        <v>1546</v>
      </c>
      <c r="J3118" s="308">
        <v>246.58256944444292</v>
      </c>
      <c r="K3118" s="127" t="s">
        <v>4112</v>
      </c>
      <c r="L3118" s="153" t="s">
        <v>3306</v>
      </c>
      <c r="M3118">
        <v>501</v>
      </c>
      <c r="N3118" s="123">
        <v>1</v>
      </c>
      <c r="O3118">
        <v>2046</v>
      </c>
      <c r="P3118" s="132" t="s">
        <v>77</v>
      </c>
      <c r="Q3118" s="132">
        <v>221760</v>
      </c>
      <c r="R3118" s="132">
        <f t="shared" si="66"/>
        <v>35481.599999999999</v>
      </c>
      <c r="S3118" s="132"/>
      <c r="T3118" s="156">
        <v>0</v>
      </c>
      <c r="U3118" s="132">
        <v>0</v>
      </c>
      <c r="V3118" s="132">
        <f t="shared" si="56"/>
        <v>257241.60000000001</v>
      </c>
      <c r="W3118">
        <v>220</v>
      </c>
      <c r="X3118" s="153" t="s">
        <v>195</v>
      </c>
      <c r="Y3118" s="124" t="s">
        <v>55</v>
      </c>
      <c r="Z3118" s="308">
        <v>247</v>
      </c>
      <c r="AB3118" t="str">
        <f>IF(Table1[[#This Row],[TIPO2]]="costo", VLOOKUP(Table1[[#This Row],[PARTIDA PRESUPUESTAL]],'Cost Report'!G:G,1,0),"Balance")</f>
        <v>1401-002</v>
      </c>
      <c r="AC3118" s="118"/>
      <c r="AD3118" s="159">
        <f>+Table1[[#This Row],[SUBTOTAL]]+Table1[[#This Row],[IVA]]-Table1[[#This Row],[RET IVA]]-Table1[[#This Row],[RET ISR]]-Table1[[#This Row],[TOTAL]]</f>
        <v>0</v>
      </c>
      <c r="AE3118" s="152"/>
      <c r="AF3118" s="153"/>
      <c r="AG3118" s="126"/>
      <c r="AK3118" s="306">
        <f>IF(ISNUMBER(Table1[[#This Row],[FECHA DE RECIBIDO]]), Table1[[#This Row],[FECHA DE RECIBIDO]]-DATE(2023,8,30), "")</f>
        <v>-44921.417430555557</v>
      </c>
    </row>
    <row r="3119" spans="1:37" ht="16.05" customHeight="1">
      <c r="A3119" s="150" t="s">
        <v>4155</v>
      </c>
      <c r="B3119" s="151">
        <v>1154</v>
      </c>
      <c r="C3119" s="126" t="s">
        <v>2953</v>
      </c>
      <c r="D3119">
        <v>2090</v>
      </c>
      <c r="E3119" s="126" t="s">
        <v>1624</v>
      </c>
      <c r="F3119" s="122" t="s">
        <v>1607</v>
      </c>
      <c r="G3119" s="122" t="s">
        <v>134</v>
      </c>
      <c r="H3119">
        <v>46</v>
      </c>
      <c r="I3119" s="122" t="s">
        <v>1546</v>
      </c>
      <c r="J3119" s="307" t="s">
        <v>214</v>
      </c>
      <c r="K3119" s="127" t="s">
        <v>4112</v>
      </c>
      <c r="L3119" s="151" t="s">
        <v>1579</v>
      </c>
      <c r="M3119">
        <v>58</v>
      </c>
      <c r="N3119" s="123">
        <v>17</v>
      </c>
      <c r="O3119">
        <v>2047</v>
      </c>
      <c r="P3119" s="132" t="s">
        <v>77</v>
      </c>
      <c r="Q3119" s="131">
        <v>1034.5</v>
      </c>
      <c r="R3119" s="131">
        <v>165.52</v>
      </c>
      <c r="S3119" s="131"/>
      <c r="T3119" s="155"/>
      <c r="U3119" s="131"/>
      <c r="V3119" s="131">
        <v>1200.02</v>
      </c>
      <c r="W3119"/>
      <c r="X3119" s="151" t="s">
        <v>1644</v>
      </c>
      <c r="Y3119" s="135" t="s">
        <v>55</v>
      </c>
      <c r="Z3119" s="307">
        <v>462</v>
      </c>
      <c r="AB3119" t="str">
        <f>IF(Table1[[#This Row],[TIPO2]]="costo", VLOOKUP(Table1[[#This Row],[PARTIDA PRESUPUESTAL]],'Cost Report'!G:G,1,0),"Balance")</f>
        <v>3901-049</v>
      </c>
      <c r="AC3119" s="118"/>
      <c r="AD3119" s="159">
        <f>+Table1[[#This Row],[SUBTOTAL]]+Table1[[#This Row],[IVA]]-Table1[[#This Row],[RET IVA]]-Table1[[#This Row],[RET ISR]]-Table1[[#This Row],[TOTAL]]</f>
        <v>0</v>
      </c>
      <c r="AE3119" s="150"/>
      <c r="AF3119" s="151"/>
      <c r="AG3119" s="126" t="s">
        <v>3420</v>
      </c>
      <c r="AK3119" s="306" t="str">
        <f>IF(ISNUMBER(Table1[[#This Row],[FECHA DE RECIBIDO]]), Table1[[#This Row],[FECHA DE RECIBIDO]]-DATE(2023,8,30), "")</f>
        <v/>
      </c>
    </row>
    <row r="3120" spans="1:37" ht="16.05" customHeight="1">
      <c r="A3120" s="152" t="s">
        <v>4155</v>
      </c>
      <c r="B3120" s="153">
        <v>1154</v>
      </c>
      <c r="C3120" s="126" t="s">
        <v>1767</v>
      </c>
      <c r="D3120">
        <v>2091</v>
      </c>
      <c r="E3120" s="126" t="s">
        <v>1624</v>
      </c>
      <c r="F3120" s="125" t="s">
        <v>1607</v>
      </c>
      <c r="G3120" s="125" t="s">
        <v>134</v>
      </c>
      <c r="H3120">
        <v>46</v>
      </c>
      <c r="I3120" s="125" t="s">
        <v>1546</v>
      </c>
      <c r="J3120" s="308" t="s">
        <v>214</v>
      </c>
      <c r="K3120" s="127" t="s">
        <v>4112</v>
      </c>
      <c r="L3120" s="153" t="s">
        <v>1579</v>
      </c>
      <c r="M3120">
        <v>58</v>
      </c>
      <c r="N3120" s="123">
        <v>17</v>
      </c>
      <c r="O3120">
        <v>2048</v>
      </c>
      <c r="P3120" s="132" t="s">
        <v>77</v>
      </c>
      <c r="Q3120" s="132">
        <v>4262.53</v>
      </c>
      <c r="R3120" s="132">
        <v>504.06</v>
      </c>
      <c r="S3120" s="132"/>
      <c r="T3120" s="156"/>
      <c r="U3120" s="132"/>
      <c r="V3120" s="132">
        <v>4766.59</v>
      </c>
      <c r="W3120"/>
      <c r="X3120" s="153" t="s">
        <v>1644</v>
      </c>
      <c r="Y3120" s="124" t="s">
        <v>55</v>
      </c>
      <c r="Z3120" s="308">
        <v>462</v>
      </c>
      <c r="AB3120" t="str">
        <f>IF(Table1[[#This Row],[TIPO2]]="costo", VLOOKUP(Table1[[#This Row],[PARTIDA PRESUPUESTAL]],'Cost Report'!G:G,1,0),"Balance")</f>
        <v>3901-033</v>
      </c>
      <c r="AC3120" s="118"/>
      <c r="AD3120" s="159">
        <f>+Table1[[#This Row],[SUBTOTAL]]+Table1[[#This Row],[IVA]]-Table1[[#This Row],[RET IVA]]-Table1[[#This Row],[RET ISR]]-Table1[[#This Row],[TOTAL]]</f>
        <v>0</v>
      </c>
      <c r="AE3120" s="152"/>
      <c r="AF3120" s="153"/>
      <c r="AG3120" s="126" t="s">
        <v>3420</v>
      </c>
      <c r="AK3120" s="306" t="str">
        <f>IF(ISNUMBER(Table1[[#This Row],[FECHA DE RECIBIDO]]), Table1[[#This Row],[FECHA DE RECIBIDO]]-DATE(2023,8,30), "")</f>
        <v/>
      </c>
    </row>
    <row r="3121" spans="1:37" ht="16.05" customHeight="1">
      <c r="A3121" s="150" t="s">
        <v>4155</v>
      </c>
      <c r="B3121" s="151">
        <v>1154</v>
      </c>
      <c r="C3121" s="126" t="s">
        <v>395</v>
      </c>
      <c r="D3121">
        <v>2092</v>
      </c>
      <c r="E3121" s="126" t="s">
        <v>2067</v>
      </c>
      <c r="F3121" s="122" t="s">
        <v>1607</v>
      </c>
      <c r="G3121" s="122" t="s">
        <v>134</v>
      </c>
      <c r="H3121">
        <v>136</v>
      </c>
      <c r="I3121" s="122" t="s">
        <v>1546</v>
      </c>
      <c r="J3121" s="307" t="s">
        <v>214</v>
      </c>
      <c r="K3121" s="127" t="s">
        <v>4112</v>
      </c>
      <c r="L3121" s="151" t="s">
        <v>1579</v>
      </c>
      <c r="M3121">
        <v>178</v>
      </c>
      <c r="N3121" s="123">
        <v>17</v>
      </c>
      <c r="O3121">
        <v>2049</v>
      </c>
      <c r="P3121" s="132" t="s">
        <v>77</v>
      </c>
      <c r="Q3121" s="131">
        <v>4245.5200000000004</v>
      </c>
      <c r="R3121" s="131">
        <v>586.48</v>
      </c>
      <c r="S3121" s="131"/>
      <c r="T3121" s="155"/>
      <c r="U3121" s="131"/>
      <c r="V3121" s="131">
        <v>4832</v>
      </c>
      <c r="W3121"/>
      <c r="X3121" s="151" t="s">
        <v>1644</v>
      </c>
      <c r="Y3121" s="135" t="s">
        <v>55</v>
      </c>
      <c r="Z3121" s="307" t="s">
        <v>214</v>
      </c>
      <c r="AB3121" t="str">
        <f>IF(Table1[[#This Row],[TIPO2]]="costo", VLOOKUP(Table1[[#This Row],[PARTIDA PRESUPUESTAL]],'Cost Report'!G:G,1,0),"Balance")</f>
        <v>1620-003</v>
      </c>
      <c r="AC3121" s="118"/>
      <c r="AD3121" s="159">
        <f>+Table1[[#This Row],[SUBTOTAL]]+Table1[[#This Row],[IVA]]-Table1[[#This Row],[RET IVA]]-Table1[[#This Row],[RET ISR]]-Table1[[#This Row],[TOTAL]]</f>
        <v>0</v>
      </c>
      <c r="AE3121" s="150"/>
      <c r="AF3121" s="151"/>
      <c r="AG3121" s="126" t="s">
        <v>3420</v>
      </c>
      <c r="AK3121" s="306" t="str">
        <f>IF(ISNUMBER(Table1[[#This Row],[FECHA DE RECIBIDO]]), Table1[[#This Row],[FECHA DE RECIBIDO]]-DATE(2023,8,30), "")</f>
        <v/>
      </c>
    </row>
    <row r="3122" spans="1:37">
      <c r="A3122" s="152" t="s">
        <v>4155</v>
      </c>
      <c r="B3122" s="153">
        <v>1154</v>
      </c>
      <c r="C3122" s="126" t="s">
        <v>395</v>
      </c>
      <c r="D3122">
        <v>2093</v>
      </c>
      <c r="E3122" s="126" t="s">
        <v>2067</v>
      </c>
      <c r="F3122" s="125" t="s">
        <v>1607</v>
      </c>
      <c r="G3122" s="125" t="s">
        <v>134</v>
      </c>
      <c r="H3122">
        <v>136</v>
      </c>
      <c r="I3122" s="125" t="s">
        <v>1546</v>
      </c>
      <c r="J3122" s="308" t="s">
        <v>214</v>
      </c>
      <c r="K3122" s="127" t="s">
        <v>4112</v>
      </c>
      <c r="L3122" s="153" t="s">
        <v>1579</v>
      </c>
      <c r="M3122">
        <v>178</v>
      </c>
      <c r="N3122" s="123">
        <v>17</v>
      </c>
      <c r="O3122">
        <v>2049</v>
      </c>
      <c r="P3122" s="132" t="s">
        <v>77</v>
      </c>
      <c r="Q3122" s="132">
        <v>5184.3100000000004</v>
      </c>
      <c r="R3122" s="132">
        <v>736.69</v>
      </c>
      <c r="S3122" s="132"/>
      <c r="T3122" s="156"/>
      <c r="U3122" s="132"/>
      <c r="V3122" s="132">
        <v>5921</v>
      </c>
      <c r="W3122"/>
      <c r="X3122" s="153" t="s">
        <v>1644</v>
      </c>
      <c r="Y3122" s="124" t="s">
        <v>55</v>
      </c>
      <c r="Z3122" s="308" t="s">
        <v>214</v>
      </c>
      <c r="AB3122" t="str">
        <f>IF(Table1[[#This Row],[TIPO2]]="costo", VLOOKUP(Table1[[#This Row],[PARTIDA PRESUPUESTAL]],'Cost Report'!G:G,1,0),"Balance")</f>
        <v>1620-003</v>
      </c>
      <c r="AC3122" s="118"/>
      <c r="AD3122" s="159">
        <f>+Table1[[#This Row],[SUBTOTAL]]+Table1[[#This Row],[IVA]]-Table1[[#This Row],[RET IVA]]-Table1[[#This Row],[RET ISR]]-Table1[[#This Row],[TOTAL]]</f>
        <v>0</v>
      </c>
      <c r="AE3122" s="152"/>
      <c r="AF3122" s="153"/>
      <c r="AG3122" s="126" t="s">
        <v>3420</v>
      </c>
      <c r="AK3122" s="306" t="str">
        <f>IF(ISNUMBER(Table1[[#This Row],[FECHA DE RECIBIDO]]), Table1[[#This Row],[FECHA DE RECIBIDO]]-DATE(2023,8,30), "")</f>
        <v/>
      </c>
    </row>
    <row r="3123" spans="1:37">
      <c r="A3123" s="150" t="s">
        <v>4155</v>
      </c>
      <c r="B3123" s="151">
        <v>1154</v>
      </c>
      <c r="C3123" s="126" t="s">
        <v>395</v>
      </c>
      <c r="D3123">
        <v>2094</v>
      </c>
      <c r="E3123" s="126" t="s">
        <v>2067</v>
      </c>
      <c r="F3123" s="122" t="s">
        <v>1607</v>
      </c>
      <c r="G3123" s="122" t="s">
        <v>134</v>
      </c>
      <c r="H3123">
        <v>136</v>
      </c>
      <c r="I3123" s="122" t="s">
        <v>1546</v>
      </c>
      <c r="J3123" s="307" t="s">
        <v>214</v>
      </c>
      <c r="K3123" s="127" t="s">
        <v>4112</v>
      </c>
      <c r="L3123" s="151" t="s">
        <v>1579</v>
      </c>
      <c r="M3123">
        <v>178</v>
      </c>
      <c r="N3123" s="123">
        <v>17</v>
      </c>
      <c r="O3123">
        <v>2050</v>
      </c>
      <c r="P3123" s="132" t="s">
        <v>77</v>
      </c>
      <c r="Q3123" s="131">
        <v>356.78</v>
      </c>
      <c r="R3123" s="131">
        <v>53.22</v>
      </c>
      <c r="S3123" s="131"/>
      <c r="T3123" s="155"/>
      <c r="U3123" s="131"/>
      <c r="V3123" s="131">
        <v>410</v>
      </c>
      <c r="W3123"/>
      <c r="X3123" s="151" t="s">
        <v>1644</v>
      </c>
      <c r="Y3123" s="135" t="s">
        <v>55</v>
      </c>
      <c r="Z3123" s="307" t="s">
        <v>214</v>
      </c>
      <c r="AB3123" t="str">
        <f>IF(Table1[[#This Row],[TIPO2]]="costo", VLOOKUP(Table1[[#This Row],[PARTIDA PRESUPUESTAL]],'Cost Report'!G:G,1,0),"Balance")</f>
        <v>1620-003</v>
      </c>
      <c r="AC3123" s="118"/>
      <c r="AD3123" s="159">
        <f>+Table1[[#This Row],[SUBTOTAL]]+Table1[[#This Row],[IVA]]-Table1[[#This Row],[RET IVA]]-Table1[[#This Row],[RET ISR]]-Table1[[#This Row],[TOTAL]]</f>
        <v>0</v>
      </c>
      <c r="AE3123" s="150"/>
      <c r="AF3123" s="151"/>
      <c r="AG3123" s="126" t="s">
        <v>3420</v>
      </c>
      <c r="AK3123" s="306" t="str">
        <f>IF(ISNUMBER(Table1[[#This Row],[FECHA DE RECIBIDO]]), Table1[[#This Row],[FECHA DE RECIBIDO]]-DATE(2023,8,30), "")</f>
        <v/>
      </c>
    </row>
    <row r="3124" spans="1:37">
      <c r="A3124" s="152" t="s">
        <v>4155</v>
      </c>
      <c r="B3124" s="153">
        <v>1154</v>
      </c>
      <c r="C3124" s="126" t="s">
        <v>395</v>
      </c>
      <c r="D3124">
        <v>2095</v>
      </c>
      <c r="E3124" s="126" t="s">
        <v>2067</v>
      </c>
      <c r="F3124" s="125" t="s">
        <v>1607</v>
      </c>
      <c r="G3124" s="125" t="s">
        <v>134</v>
      </c>
      <c r="H3124">
        <v>136</v>
      </c>
      <c r="I3124" s="125" t="s">
        <v>1546</v>
      </c>
      <c r="J3124" s="308" t="s">
        <v>214</v>
      </c>
      <c r="K3124" s="127" t="s">
        <v>4112</v>
      </c>
      <c r="L3124" s="153" t="s">
        <v>1579</v>
      </c>
      <c r="M3124">
        <v>178</v>
      </c>
      <c r="N3124" s="123">
        <v>17</v>
      </c>
      <c r="O3124">
        <v>2051</v>
      </c>
      <c r="P3124" s="132" t="s">
        <v>77</v>
      </c>
      <c r="Q3124" s="132">
        <v>8660.07</v>
      </c>
      <c r="R3124" s="132">
        <v>1209.93</v>
      </c>
      <c r="S3124" s="132"/>
      <c r="T3124" s="156"/>
      <c r="U3124" s="132"/>
      <c r="V3124" s="132">
        <v>9870</v>
      </c>
      <c r="W3124"/>
      <c r="X3124" s="153" t="s">
        <v>1644</v>
      </c>
      <c r="Y3124" s="124" t="s">
        <v>55</v>
      </c>
      <c r="Z3124" s="308" t="s">
        <v>214</v>
      </c>
      <c r="AB3124" t="str">
        <f>IF(Table1[[#This Row],[TIPO2]]="costo", VLOOKUP(Table1[[#This Row],[PARTIDA PRESUPUESTAL]],'Cost Report'!G:G,1,0),"Balance")</f>
        <v>1620-003</v>
      </c>
      <c r="AC3124" s="118"/>
      <c r="AD3124" s="159">
        <f>+Table1[[#This Row],[SUBTOTAL]]+Table1[[#This Row],[IVA]]-Table1[[#This Row],[RET IVA]]-Table1[[#This Row],[RET ISR]]-Table1[[#This Row],[TOTAL]]</f>
        <v>0</v>
      </c>
      <c r="AE3124" s="152"/>
      <c r="AF3124" s="153"/>
      <c r="AG3124" s="126" t="s">
        <v>3420</v>
      </c>
      <c r="AK3124" s="306" t="str">
        <f>IF(ISNUMBER(Table1[[#This Row],[FECHA DE RECIBIDO]]), Table1[[#This Row],[FECHA DE RECIBIDO]]-DATE(2023,8,30), "")</f>
        <v/>
      </c>
    </row>
    <row r="3125" spans="1:37" ht="15" customHeight="1">
      <c r="A3125" s="150" t="s">
        <v>4155</v>
      </c>
      <c r="B3125" s="151">
        <v>1154</v>
      </c>
      <c r="C3125" s="126" t="s">
        <v>395</v>
      </c>
      <c r="D3125">
        <v>2096</v>
      </c>
      <c r="E3125" s="126" t="s">
        <v>2067</v>
      </c>
      <c r="F3125" s="122" t="s">
        <v>1607</v>
      </c>
      <c r="G3125" s="122" t="s">
        <v>134</v>
      </c>
      <c r="H3125">
        <v>136</v>
      </c>
      <c r="I3125" s="122" t="s">
        <v>1546</v>
      </c>
      <c r="J3125" s="307" t="s">
        <v>214</v>
      </c>
      <c r="K3125" s="127" t="s">
        <v>4112</v>
      </c>
      <c r="L3125" s="151" t="s">
        <v>1579</v>
      </c>
      <c r="M3125">
        <v>178</v>
      </c>
      <c r="N3125" s="123">
        <v>17</v>
      </c>
      <c r="O3125">
        <v>2052</v>
      </c>
      <c r="P3125" s="132" t="s">
        <v>77</v>
      </c>
      <c r="Q3125" s="131">
        <v>7190.24</v>
      </c>
      <c r="R3125" s="131">
        <v>974.76</v>
      </c>
      <c r="S3125" s="131"/>
      <c r="T3125" s="155"/>
      <c r="U3125" s="131"/>
      <c r="V3125" s="131">
        <v>8165</v>
      </c>
      <c r="W3125"/>
      <c r="X3125" s="151" t="s">
        <v>1644</v>
      </c>
      <c r="Y3125" s="135" t="s">
        <v>55</v>
      </c>
      <c r="Z3125" s="307" t="s">
        <v>214</v>
      </c>
      <c r="AB3125" t="str">
        <f>IF(Table1[[#This Row],[TIPO2]]="costo", VLOOKUP(Table1[[#This Row],[PARTIDA PRESUPUESTAL]],'Cost Report'!G:G,1,0),"Balance")</f>
        <v>1620-003</v>
      </c>
      <c r="AC3125" s="118"/>
      <c r="AD3125" s="159">
        <f>+Table1[[#This Row],[SUBTOTAL]]+Table1[[#This Row],[IVA]]-Table1[[#This Row],[RET IVA]]-Table1[[#This Row],[RET ISR]]-Table1[[#This Row],[TOTAL]]</f>
        <v>0</v>
      </c>
      <c r="AE3125" s="150"/>
      <c r="AF3125" s="151"/>
      <c r="AG3125" s="126" t="s">
        <v>3420</v>
      </c>
      <c r="AK3125" s="306" t="str">
        <f>IF(ISNUMBER(Table1[[#This Row],[FECHA DE RECIBIDO]]), Table1[[#This Row],[FECHA DE RECIBIDO]]-DATE(2023,8,30), "")</f>
        <v/>
      </c>
    </row>
    <row r="3126" spans="1:37" ht="15" customHeight="1">
      <c r="A3126" s="152" t="s">
        <v>4155</v>
      </c>
      <c r="B3126" s="153">
        <v>1154</v>
      </c>
      <c r="C3126" s="126" t="s">
        <v>1121</v>
      </c>
      <c r="D3126">
        <v>2097</v>
      </c>
      <c r="E3126" s="126" t="s">
        <v>2067</v>
      </c>
      <c r="F3126" s="125" t="s">
        <v>1607</v>
      </c>
      <c r="G3126" s="125" t="s">
        <v>134</v>
      </c>
      <c r="H3126">
        <v>136</v>
      </c>
      <c r="I3126" s="125" t="s">
        <v>1546</v>
      </c>
      <c r="J3126" s="308" t="s">
        <v>214</v>
      </c>
      <c r="K3126" s="127" t="s">
        <v>4112</v>
      </c>
      <c r="L3126" s="153" t="s">
        <v>1579</v>
      </c>
      <c r="M3126">
        <v>178</v>
      </c>
      <c r="N3126" s="123">
        <v>17</v>
      </c>
      <c r="O3126">
        <v>2053</v>
      </c>
      <c r="P3126" s="132" t="s">
        <v>77</v>
      </c>
      <c r="Q3126" s="132">
        <v>7190.24</v>
      </c>
      <c r="R3126" s="132">
        <v>974.76</v>
      </c>
      <c r="S3126" s="132"/>
      <c r="T3126" s="156"/>
      <c r="U3126" s="132"/>
      <c r="V3126" s="132">
        <v>8165</v>
      </c>
      <c r="W3126"/>
      <c r="X3126" s="153" t="s">
        <v>1644</v>
      </c>
      <c r="Y3126" s="124" t="s">
        <v>55</v>
      </c>
      <c r="Z3126" s="308" t="s">
        <v>214</v>
      </c>
      <c r="AB3126" t="str">
        <f>IF(Table1[[#This Row],[TIPO2]]="costo", VLOOKUP(Table1[[#This Row],[PARTIDA PRESUPUESTAL]],'Cost Report'!G:G,1,0),"Balance")</f>
        <v>3901-004</v>
      </c>
      <c r="AC3126" s="118"/>
      <c r="AD3126" s="159">
        <f>+Table1[[#This Row],[SUBTOTAL]]+Table1[[#This Row],[IVA]]-Table1[[#This Row],[RET IVA]]-Table1[[#This Row],[RET ISR]]-Table1[[#This Row],[TOTAL]]</f>
        <v>0</v>
      </c>
      <c r="AE3126" s="152"/>
      <c r="AF3126" s="153"/>
      <c r="AG3126" s="126" t="s">
        <v>3420</v>
      </c>
      <c r="AK3126" s="306" t="str">
        <f>IF(ISNUMBER(Table1[[#This Row],[FECHA DE RECIBIDO]]), Table1[[#This Row],[FECHA DE RECIBIDO]]-DATE(2023,8,30), "")</f>
        <v/>
      </c>
    </row>
    <row r="3127" spans="1:37" ht="15" customHeight="1">
      <c r="A3127" s="150" t="s">
        <v>4155</v>
      </c>
      <c r="B3127" s="151">
        <v>1154</v>
      </c>
      <c r="C3127" s="126" t="s">
        <v>2952</v>
      </c>
      <c r="D3127">
        <v>2098</v>
      </c>
      <c r="E3127" s="126" t="s">
        <v>2067</v>
      </c>
      <c r="F3127" s="122" t="s">
        <v>1607</v>
      </c>
      <c r="G3127" s="122" t="s">
        <v>134</v>
      </c>
      <c r="H3127">
        <v>136</v>
      </c>
      <c r="I3127" s="122" t="s">
        <v>1546</v>
      </c>
      <c r="J3127" s="307" t="s">
        <v>214</v>
      </c>
      <c r="K3127" s="127" t="s">
        <v>4112</v>
      </c>
      <c r="L3127" s="151" t="s">
        <v>1579</v>
      </c>
      <c r="M3127">
        <v>178</v>
      </c>
      <c r="N3127" s="123">
        <v>17</v>
      </c>
      <c r="O3127">
        <v>2054</v>
      </c>
      <c r="P3127" s="132" t="s">
        <v>77</v>
      </c>
      <c r="Q3127" s="131">
        <v>1430</v>
      </c>
      <c r="R3127" s="131">
        <v>136</v>
      </c>
      <c r="S3127" s="131"/>
      <c r="T3127" s="155"/>
      <c r="U3127" s="131"/>
      <c r="V3127" s="131">
        <v>1566</v>
      </c>
      <c r="W3127"/>
      <c r="X3127" s="151" t="s">
        <v>1644</v>
      </c>
      <c r="Y3127" s="135" t="s">
        <v>55</v>
      </c>
      <c r="Z3127" s="307" t="s">
        <v>214</v>
      </c>
      <c r="AB3127" t="str">
        <f>IF(Table1[[#This Row],[TIPO2]]="costo", VLOOKUP(Table1[[#This Row],[PARTIDA PRESUPUESTAL]],'Cost Report'!G:G,1,0),"Balance")</f>
        <v>3901-048</v>
      </c>
      <c r="AC3127" s="118"/>
      <c r="AD3127" s="159">
        <f>+Table1[[#This Row],[SUBTOTAL]]+Table1[[#This Row],[IVA]]-Table1[[#This Row],[RET IVA]]-Table1[[#This Row],[RET ISR]]-Table1[[#This Row],[TOTAL]]</f>
        <v>0</v>
      </c>
      <c r="AE3127" s="150"/>
      <c r="AF3127" s="151"/>
      <c r="AG3127" s="126" t="s">
        <v>3420</v>
      </c>
      <c r="AK3127" s="306" t="str">
        <f>IF(ISNUMBER(Table1[[#This Row],[FECHA DE RECIBIDO]]), Table1[[#This Row],[FECHA DE RECIBIDO]]-DATE(2023,8,30), "")</f>
        <v/>
      </c>
    </row>
    <row r="3128" spans="1:37" ht="15" customHeight="1">
      <c r="A3128" s="152" t="s">
        <v>4155</v>
      </c>
      <c r="B3128" s="153">
        <v>1154</v>
      </c>
      <c r="C3128" s="126" t="s">
        <v>2952</v>
      </c>
      <c r="D3128">
        <v>2099</v>
      </c>
      <c r="E3128" s="126" t="s">
        <v>2067</v>
      </c>
      <c r="F3128" s="125" t="s">
        <v>1607</v>
      </c>
      <c r="G3128" s="125" t="s">
        <v>134</v>
      </c>
      <c r="H3128">
        <v>136</v>
      </c>
      <c r="I3128" s="125" t="s">
        <v>1546</v>
      </c>
      <c r="J3128" s="308" t="s">
        <v>214</v>
      </c>
      <c r="K3128" s="127" t="s">
        <v>4112</v>
      </c>
      <c r="L3128" s="153" t="s">
        <v>1579</v>
      </c>
      <c r="M3128">
        <v>178</v>
      </c>
      <c r="N3128" s="123">
        <v>17</v>
      </c>
      <c r="O3128">
        <v>2055</v>
      </c>
      <c r="P3128" s="132" t="s">
        <v>77</v>
      </c>
      <c r="Q3128" s="132">
        <v>232.76</v>
      </c>
      <c r="R3128" s="132">
        <v>37.24</v>
      </c>
      <c r="S3128" s="132"/>
      <c r="T3128" s="156"/>
      <c r="U3128" s="132"/>
      <c r="V3128" s="132">
        <v>270</v>
      </c>
      <c r="W3128"/>
      <c r="X3128" s="153" t="s">
        <v>1644</v>
      </c>
      <c r="Y3128" s="124" t="s">
        <v>55</v>
      </c>
      <c r="Z3128" s="308" t="s">
        <v>214</v>
      </c>
      <c r="AB3128" t="str">
        <f>IF(Table1[[#This Row],[TIPO2]]="costo", VLOOKUP(Table1[[#This Row],[PARTIDA PRESUPUESTAL]],'Cost Report'!G:G,1,0),"Balance")</f>
        <v>3901-048</v>
      </c>
      <c r="AC3128" s="118"/>
      <c r="AD3128" s="159">
        <f>+Table1[[#This Row],[SUBTOTAL]]+Table1[[#This Row],[IVA]]-Table1[[#This Row],[RET IVA]]-Table1[[#This Row],[RET ISR]]-Table1[[#This Row],[TOTAL]]</f>
        <v>0</v>
      </c>
      <c r="AE3128" s="152"/>
      <c r="AF3128" s="153"/>
      <c r="AG3128" s="126" t="s">
        <v>3420</v>
      </c>
      <c r="AK3128" s="306" t="str">
        <f>IF(ISNUMBER(Table1[[#This Row],[FECHA DE RECIBIDO]]), Table1[[#This Row],[FECHA DE RECIBIDO]]-DATE(2023,8,30), "")</f>
        <v/>
      </c>
    </row>
    <row r="3129" spans="1:37" ht="15" customHeight="1">
      <c r="A3129" s="150" t="s">
        <v>4155</v>
      </c>
      <c r="B3129" s="151">
        <v>1154</v>
      </c>
      <c r="C3129" s="126" t="s">
        <v>2952</v>
      </c>
      <c r="D3129">
        <v>2100</v>
      </c>
      <c r="E3129" s="126" t="s">
        <v>2067</v>
      </c>
      <c r="F3129" s="122" t="s">
        <v>1607</v>
      </c>
      <c r="G3129" s="122" t="s">
        <v>134</v>
      </c>
      <c r="H3129">
        <v>136</v>
      </c>
      <c r="I3129" s="122" t="s">
        <v>1546</v>
      </c>
      <c r="J3129" s="307" t="s">
        <v>214</v>
      </c>
      <c r="K3129" s="127" t="s">
        <v>4112</v>
      </c>
      <c r="L3129" s="151" t="s">
        <v>1579</v>
      </c>
      <c r="M3129">
        <v>178</v>
      </c>
      <c r="N3129" s="123">
        <v>17</v>
      </c>
      <c r="O3129">
        <v>2056</v>
      </c>
      <c r="P3129" s="132" t="s">
        <v>77</v>
      </c>
      <c r="Q3129" s="131">
        <v>259.48</v>
      </c>
      <c r="R3129" s="131">
        <v>41.52</v>
      </c>
      <c r="S3129" s="131"/>
      <c r="T3129" s="155"/>
      <c r="U3129" s="131"/>
      <c r="V3129" s="131">
        <v>301</v>
      </c>
      <c r="W3129"/>
      <c r="X3129" s="151" t="s">
        <v>1644</v>
      </c>
      <c r="Y3129" s="135" t="s">
        <v>55</v>
      </c>
      <c r="Z3129" s="307" t="s">
        <v>214</v>
      </c>
      <c r="AB3129" t="str">
        <f>IF(Table1[[#This Row],[TIPO2]]="costo", VLOOKUP(Table1[[#This Row],[PARTIDA PRESUPUESTAL]],'Cost Report'!G:G,1,0),"Balance")</f>
        <v>3901-048</v>
      </c>
      <c r="AC3129" s="118"/>
      <c r="AD3129" s="159">
        <f>+Table1[[#This Row],[SUBTOTAL]]+Table1[[#This Row],[IVA]]-Table1[[#This Row],[RET IVA]]-Table1[[#This Row],[RET ISR]]-Table1[[#This Row],[TOTAL]]</f>
        <v>0</v>
      </c>
      <c r="AE3129" s="150"/>
      <c r="AF3129" s="151"/>
      <c r="AG3129" s="126" t="s">
        <v>3420</v>
      </c>
      <c r="AK3129" s="306" t="str">
        <f>IF(ISNUMBER(Table1[[#This Row],[FECHA DE RECIBIDO]]), Table1[[#This Row],[FECHA DE RECIBIDO]]-DATE(2023,8,30), "")</f>
        <v/>
      </c>
    </row>
    <row r="3130" spans="1:37" ht="15" customHeight="1">
      <c r="A3130" s="152" t="s">
        <v>4155</v>
      </c>
      <c r="B3130" s="153">
        <v>1154</v>
      </c>
      <c r="C3130" s="126" t="s">
        <v>2352</v>
      </c>
      <c r="D3130">
        <v>2101</v>
      </c>
      <c r="E3130" s="126" t="s">
        <v>2067</v>
      </c>
      <c r="F3130" s="125" t="s">
        <v>1607</v>
      </c>
      <c r="G3130" s="125" t="s">
        <v>134</v>
      </c>
      <c r="H3130">
        <v>136</v>
      </c>
      <c r="I3130" s="125" t="s">
        <v>1546</v>
      </c>
      <c r="J3130" s="308" t="s">
        <v>214</v>
      </c>
      <c r="K3130" s="127" t="s">
        <v>4112</v>
      </c>
      <c r="L3130" s="153" t="s">
        <v>1579</v>
      </c>
      <c r="M3130">
        <v>178</v>
      </c>
      <c r="N3130" s="123">
        <v>17</v>
      </c>
      <c r="O3130">
        <v>2057</v>
      </c>
      <c r="P3130" s="132" t="s">
        <v>77</v>
      </c>
      <c r="Q3130" s="132">
        <v>350</v>
      </c>
      <c r="R3130" s="132">
        <v>56</v>
      </c>
      <c r="S3130" s="132"/>
      <c r="T3130" s="156"/>
      <c r="U3130" s="132"/>
      <c r="V3130" s="132">
        <v>406</v>
      </c>
      <c r="W3130"/>
      <c r="X3130" s="153" t="s">
        <v>1644</v>
      </c>
      <c r="Y3130" s="124" t="s">
        <v>55</v>
      </c>
      <c r="Z3130" s="308" t="s">
        <v>214</v>
      </c>
      <c r="AB3130" t="str">
        <f>IF(Table1[[#This Row],[TIPO2]]="costo", VLOOKUP(Table1[[#This Row],[PARTIDA PRESUPUESTAL]],'Cost Report'!G:G,1,0),"Balance")</f>
        <v>1640-009</v>
      </c>
      <c r="AC3130" s="118"/>
      <c r="AD3130" s="159">
        <f>+Table1[[#This Row],[SUBTOTAL]]+Table1[[#This Row],[IVA]]-Table1[[#This Row],[RET IVA]]-Table1[[#This Row],[RET ISR]]-Table1[[#This Row],[TOTAL]]</f>
        <v>0</v>
      </c>
      <c r="AE3130" s="152"/>
      <c r="AF3130" s="153"/>
      <c r="AG3130" s="126" t="s">
        <v>3420</v>
      </c>
      <c r="AK3130" s="306" t="str">
        <f>IF(ISNUMBER(Table1[[#This Row],[FECHA DE RECIBIDO]]), Table1[[#This Row],[FECHA DE RECIBIDO]]-DATE(2023,8,30), "")</f>
        <v/>
      </c>
    </row>
    <row r="3131" spans="1:37" ht="15" customHeight="1">
      <c r="A3131" s="150" t="s">
        <v>4155</v>
      </c>
      <c r="B3131" s="151">
        <v>1154</v>
      </c>
      <c r="C3131" s="126" t="s">
        <v>2352</v>
      </c>
      <c r="D3131">
        <v>2102</v>
      </c>
      <c r="E3131" s="126" t="s">
        <v>2067</v>
      </c>
      <c r="F3131" s="122" t="s">
        <v>1607</v>
      </c>
      <c r="G3131" s="122" t="s">
        <v>134</v>
      </c>
      <c r="H3131">
        <v>136</v>
      </c>
      <c r="I3131" s="122" t="s">
        <v>1546</v>
      </c>
      <c r="J3131" s="307" t="s">
        <v>214</v>
      </c>
      <c r="K3131" s="127" t="s">
        <v>4112</v>
      </c>
      <c r="L3131" s="151" t="s">
        <v>1579</v>
      </c>
      <c r="M3131">
        <v>178</v>
      </c>
      <c r="N3131" s="123">
        <v>17</v>
      </c>
      <c r="O3131">
        <v>2058</v>
      </c>
      <c r="P3131" s="132" t="s">
        <v>77</v>
      </c>
      <c r="Q3131" s="131">
        <v>4755</v>
      </c>
      <c r="R3131" s="131">
        <v>585.24</v>
      </c>
      <c r="S3131" s="131"/>
      <c r="T3131" s="155"/>
      <c r="U3131" s="131"/>
      <c r="V3131" s="131">
        <v>5340.24</v>
      </c>
      <c r="W3131"/>
      <c r="X3131" s="151" t="s">
        <v>1644</v>
      </c>
      <c r="Y3131" s="135" t="s">
        <v>55</v>
      </c>
      <c r="Z3131" s="307" t="s">
        <v>214</v>
      </c>
      <c r="AB3131" t="str">
        <f>IF(Table1[[#This Row],[TIPO2]]="costo", VLOOKUP(Table1[[#This Row],[PARTIDA PRESUPUESTAL]],'Cost Report'!G:G,1,0),"Balance")</f>
        <v>1640-009</v>
      </c>
      <c r="AC3131" s="118"/>
      <c r="AD3131" s="159">
        <f>+Table1[[#This Row],[SUBTOTAL]]+Table1[[#This Row],[IVA]]-Table1[[#This Row],[RET IVA]]-Table1[[#This Row],[RET ISR]]-Table1[[#This Row],[TOTAL]]</f>
        <v>0</v>
      </c>
      <c r="AE3131" s="150"/>
      <c r="AF3131" s="151"/>
      <c r="AG3131" s="126" t="s">
        <v>3420</v>
      </c>
      <c r="AK3131" s="306" t="str">
        <f>IF(ISNUMBER(Table1[[#This Row],[FECHA DE RECIBIDO]]), Table1[[#This Row],[FECHA DE RECIBIDO]]-DATE(2023,8,30), "")</f>
        <v/>
      </c>
    </row>
    <row r="3132" spans="1:37" ht="15" customHeight="1">
      <c r="A3132" s="152" t="s">
        <v>4156</v>
      </c>
      <c r="B3132" s="153">
        <v>1155</v>
      </c>
      <c r="C3132" s="126" t="s">
        <v>2352</v>
      </c>
      <c r="D3132">
        <v>2103</v>
      </c>
      <c r="E3132" s="126" t="s">
        <v>2067</v>
      </c>
      <c r="F3132" s="125" t="s">
        <v>1607</v>
      </c>
      <c r="G3132" s="125" t="s">
        <v>134</v>
      </c>
      <c r="H3132">
        <v>136</v>
      </c>
      <c r="I3132" s="125" t="s">
        <v>1546</v>
      </c>
      <c r="J3132" s="308" t="s">
        <v>214</v>
      </c>
      <c r="K3132" s="127" t="s">
        <v>4112</v>
      </c>
      <c r="L3132" s="153" t="s">
        <v>1579</v>
      </c>
      <c r="M3132">
        <v>178</v>
      </c>
      <c r="N3132" s="123">
        <v>17</v>
      </c>
      <c r="O3132">
        <v>2059</v>
      </c>
      <c r="P3132" s="132" t="s">
        <v>77</v>
      </c>
      <c r="Q3132" s="132">
        <v>564</v>
      </c>
      <c r="R3132" s="132">
        <v>90.34</v>
      </c>
      <c r="S3132" s="132"/>
      <c r="T3132" s="156"/>
      <c r="U3132" s="132"/>
      <c r="V3132" s="132">
        <v>654.34</v>
      </c>
      <c r="W3132"/>
      <c r="X3132" s="153" t="s">
        <v>1644</v>
      </c>
      <c r="Y3132" s="124" t="s">
        <v>55</v>
      </c>
      <c r="Z3132" s="308" t="s">
        <v>214</v>
      </c>
      <c r="AB3132" t="str">
        <f>IF(Table1[[#This Row],[TIPO2]]="costo", VLOOKUP(Table1[[#This Row],[PARTIDA PRESUPUESTAL]],'Cost Report'!G:G,1,0),"Balance")</f>
        <v>1640-009</v>
      </c>
      <c r="AC3132" s="118"/>
      <c r="AD3132" s="159">
        <f>+Table1[[#This Row],[SUBTOTAL]]+Table1[[#This Row],[IVA]]-Table1[[#This Row],[RET IVA]]-Table1[[#This Row],[RET ISR]]-Table1[[#This Row],[TOTAL]]</f>
        <v>0</v>
      </c>
      <c r="AE3132" s="152"/>
      <c r="AF3132" s="153"/>
      <c r="AG3132" s="126" t="s">
        <v>3420</v>
      </c>
      <c r="AK3132" s="306" t="str">
        <f>IF(ISNUMBER(Table1[[#This Row],[FECHA DE RECIBIDO]]), Table1[[#This Row],[FECHA DE RECIBIDO]]-DATE(2023,8,30), "")</f>
        <v/>
      </c>
    </row>
    <row r="3133" spans="1:37" ht="15" customHeight="1">
      <c r="A3133" s="150" t="s">
        <v>4156</v>
      </c>
      <c r="B3133" s="151">
        <v>1155</v>
      </c>
      <c r="C3133" s="126" t="s">
        <v>2352</v>
      </c>
      <c r="D3133">
        <v>2104</v>
      </c>
      <c r="E3133" s="126" t="s">
        <v>2067</v>
      </c>
      <c r="F3133" s="122" t="s">
        <v>1607</v>
      </c>
      <c r="G3133" s="122" t="s">
        <v>134</v>
      </c>
      <c r="H3133">
        <v>136</v>
      </c>
      <c r="I3133" s="122" t="s">
        <v>1546</v>
      </c>
      <c r="J3133" s="307" t="s">
        <v>214</v>
      </c>
      <c r="K3133" s="127" t="s">
        <v>4112</v>
      </c>
      <c r="L3133" s="151" t="s">
        <v>1579</v>
      </c>
      <c r="M3133">
        <v>178</v>
      </c>
      <c r="N3133" s="123">
        <v>17</v>
      </c>
      <c r="O3133">
        <v>2060</v>
      </c>
      <c r="P3133" s="132" t="s">
        <v>77</v>
      </c>
      <c r="Q3133" s="131">
        <v>645</v>
      </c>
      <c r="R3133" s="131">
        <v>103</v>
      </c>
      <c r="S3133" s="131"/>
      <c r="T3133" s="155"/>
      <c r="U3133" s="131"/>
      <c r="V3133" s="131">
        <v>748</v>
      </c>
      <c r="W3133"/>
      <c r="X3133" s="151" t="s">
        <v>1644</v>
      </c>
      <c r="Y3133" s="135" t="s">
        <v>55</v>
      </c>
      <c r="Z3133" s="307" t="s">
        <v>214</v>
      </c>
      <c r="AB3133" t="str">
        <f>IF(Table1[[#This Row],[TIPO2]]="costo", VLOOKUP(Table1[[#This Row],[PARTIDA PRESUPUESTAL]],'Cost Report'!G:G,1,0),"Balance")</f>
        <v>1640-009</v>
      </c>
      <c r="AC3133" s="118"/>
      <c r="AD3133" s="159">
        <f>+Table1[[#This Row],[SUBTOTAL]]+Table1[[#This Row],[IVA]]-Table1[[#This Row],[RET IVA]]-Table1[[#This Row],[RET ISR]]-Table1[[#This Row],[TOTAL]]</f>
        <v>0</v>
      </c>
      <c r="AE3133" s="150"/>
      <c r="AF3133" s="151"/>
      <c r="AG3133" s="126" t="s">
        <v>3420</v>
      </c>
      <c r="AK3133" s="306" t="str">
        <f>IF(ISNUMBER(Table1[[#This Row],[FECHA DE RECIBIDO]]), Table1[[#This Row],[FECHA DE RECIBIDO]]-DATE(2023,8,30), "")</f>
        <v/>
      </c>
    </row>
    <row r="3134" spans="1:37" ht="15" customHeight="1">
      <c r="A3134" s="152" t="s">
        <v>4156</v>
      </c>
      <c r="B3134" s="153">
        <v>1155</v>
      </c>
      <c r="C3134" s="126" t="s">
        <v>2352</v>
      </c>
      <c r="D3134">
        <v>2105</v>
      </c>
      <c r="E3134" s="126" t="s">
        <v>2067</v>
      </c>
      <c r="F3134" s="125" t="s">
        <v>1607</v>
      </c>
      <c r="G3134" s="125" t="s">
        <v>134</v>
      </c>
      <c r="H3134">
        <v>136</v>
      </c>
      <c r="I3134" s="125" t="s">
        <v>1546</v>
      </c>
      <c r="J3134" s="308" t="s">
        <v>214</v>
      </c>
      <c r="K3134" s="127" t="s">
        <v>4112</v>
      </c>
      <c r="L3134" s="153" t="s">
        <v>1579</v>
      </c>
      <c r="M3134">
        <v>178</v>
      </c>
      <c r="N3134" s="123">
        <v>17</v>
      </c>
      <c r="O3134">
        <v>2061</v>
      </c>
      <c r="P3134" s="132" t="s">
        <v>77</v>
      </c>
      <c r="Q3134" s="132">
        <v>991</v>
      </c>
      <c r="R3134" s="132">
        <v>158.62</v>
      </c>
      <c r="S3134" s="132"/>
      <c r="T3134" s="156"/>
      <c r="U3134" s="132"/>
      <c r="V3134" s="132">
        <v>1149.6199999999999</v>
      </c>
      <c r="W3134"/>
      <c r="X3134" s="153" t="s">
        <v>1644</v>
      </c>
      <c r="Y3134" s="124" t="s">
        <v>55</v>
      </c>
      <c r="Z3134" s="308" t="s">
        <v>214</v>
      </c>
      <c r="AB3134" t="str">
        <f>IF(Table1[[#This Row],[TIPO2]]="costo", VLOOKUP(Table1[[#This Row],[PARTIDA PRESUPUESTAL]],'Cost Report'!G:G,1,0),"Balance")</f>
        <v>1640-009</v>
      </c>
      <c r="AC3134" s="118"/>
      <c r="AD3134" s="159">
        <f>+Table1[[#This Row],[SUBTOTAL]]+Table1[[#This Row],[IVA]]-Table1[[#This Row],[RET IVA]]-Table1[[#This Row],[RET ISR]]-Table1[[#This Row],[TOTAL]]</f>
        <v>0</v>
      </c>
      <c r="AE3134" s="152"/>
      <c r="AF3134" s="153"/>
      <c r="AG3134" s="126" t="s">
        <v>3420</v>
      </c>
      <c r="AK3134" s="306" t="str">
        <f>IF(ISNUMBER(Table1[[#This Row],[FECHA DE RECIBIDO]]), Table1[[#This Row],[FECHA DE RECIBIDO]]-DATE(2023,8,30), "")</f>
        <v/>
      </c>
    </row>
    <row r="3135" spans="1:37" ht="15" customHeight="1">
      <c r="A3135" s="150" t="s">
        <v>4156</v>
      </c>
      <c r="B3135" s="151">
        <v>1155</v>
      </c>
      <c r="C3135" s="126" t="s">
        <v>2952</v>
      </c>
      <c r="D3135">
        <v>2106</v>
      </c>
      <c r="E3135" s="126" t="s">
        <v>1624</v>
      </c>
      <c r="F3135" s="122" t="s">
        <v>1607</v>
      </c>
      <c r="G3135" s="122" t="s">
        <v>134</v>
      </c>
      <c r="H3135">
        <v>46</v>
      </c>
      <c r="I3135" s="122" t="s">
        <v>1546</v>
      </c>
      <c r="J3135" s="307" t="s">
        <v>214</v>
      </c>
      <c r="K3135" s="127" t="s">
        <v>4112</v>
      </c>
      <c r="L3135" s="151" t="s">
        <v>1579</v>
      </c>
      <c r="M3135">
        <v>839</v>
      </c>
      <c r="N3135" s="123">
        <v>17</v>
      </c>
      <c r="O3135">
        <v>2062</v>
      </c>
      <c r="P3135" s="132" t="s">
        <v>77</v>
      </c>
      <c r="Q3135" s="131">
        <v>3710.57</v>
      </c>
      <c r="R3135" s="131">
        <v>415.75</v>
      </c>
      <c r="S3135" s="131"/>
      <c r="T3135" s="155"/>
      <c r="U3135" s="131"/>
      <c r="V3135" s="131">
        <v>4126.32</v>
      </c>
      <c r="W3135"/>
      <c r="X3135" s="151" t="s">
        <v>1644</v>
      </c>
      <c r="Y3135" s="135" t="s">
        <v>55</v>
      </c>
      <c r="Z3135" s="307" t="s">
        <v>214</v>
      </c>
      <c r="AB3135" t="str">
        <f>IF(Table1[[#This Row],[TIPO2]]="costo", VLOOKUP(Table1[[#This Row],[PARTIDA PRESUPUESTAL]],'Cost Report'!G:G,1,0),"Balance")</f>
        <v>3901-048</v>
      </c>
      <c r="AC3135" s="118"/>
      <c r="AD3135" s="159">
        <f>+Table1[[#This Row],[SUBTOTAL]]+Table1[[#This Row],[IVA]]-Table1[[#This Row],[RET IVA]]-Table1[[#This Row],[RET ISR]]-Table1[[#This Row],[TOTAL]]</f>
        <v>0</v>
      </c>
      <c r="AE3135" s="150"/>
      <c r="AF3135" s="151"/>
      <c r="AG3135" s="126" t="s">
        <v>3420</v>
      </c>
      <c r="AK3135" s="306" t="str">
        <f>IF(ISNUMBER(Table1[[#This Row],[FECHA DE RECIBIDO]]), Table1[[#This Row],[FECHA DE RECIBIDO]]-DATE(2023,8,30), "")</f>
        <v/>
      </c>
    </row>
    <row r="3136" spans="1:37" ht="15" customHeight="1">
      <c r="A3136" s="152" t="s">
        <v>4156</v>
      </c>
      <c r="B3136" s="153">
        <v>1155</v>
      </c>
      <c r="C3136" s="126" t="s">
        <v>2949</v>
      </c>
      <c r="D3136">
        <v>2107</v>
      </c>
      <c r="E3136" s="126" t="s">
        <v>1624</v>
      </c>
      <c r="F3136" s="125" t="s">
        <v>1607</v>
      </c>
      <c r="G3136" s="125" t="s">
        <v>134</v>
      </c>
      <c r="H3136">
        <v>46</v>
      </c>
      <c r="I3136" s="125" t="s">
        <v>1546</v>
      </c>
      <c r="J3136" s="308" t="s">
        <v>214</v>
      </c>
      <c r="K3136" s="127" t="s">
        <v>4112</v>
      </c>
      <c r="L3136" s="153" t="s">
        <v>1579</v>
      </c>
      <c r="M3136">
        <v>839</v>
      </c>
      <c r="N3136" s="123">
        <v>17</v>
      </c>
      <c r="O3136">
        <v>2063</v>
      </c>
      <c r="P3136" s="132" t="s">
        <v>77</v>
      </c>
      <c r="Q3136" s="132">
        <v>2181.81</v>
      </c>
      <c r="R3136" s="132">
        <v>253</v>
      </c>
      <c r="S3136" s="132"/>
      <c r="T3136" s="156"/>
      <c r="U3136" s="132"/>
      <c r="V3136" s="132">
        <v>2434.81</v>
      </c>
      <c r="W3136"/>
      <c r="X3136" s="153" t="s">
        <v>1644</v>
      </c>
      <c r="Y3136" s="124" t="s">
        <v>55</v>
      </c>
      <c r="Z3136" s="308" t="s">
        <v>214</v>
      </c>
      <c r="AB3136" t="str">
        <f>IF(Table1[[#This Row],[TIPO2]]="costo", VLOOKUP(Table1[[#This Row],[PARTIDA PRESUPUESTAL]],'Cost Report'!G:G,1,0),"Balance")</f>
        <v>3901-043</v>
      </c>
      <c r="AC3136" s="118"/>
      <c r="AD3136" s="159">
        <f>+Table1[[#This Row],[SUBTOTAL]]+Table1[[#This Row],[IVA]]-Table1[[#This Row],[RET IVA]]-Table1[[#This Row],[RET ISR]]-Table1[[#This Row],[TOTAL]]</f>
        <v>0</v>
      </c>
      <c r="AE3136" s="152"/>
      <c r="AF3136" s="153"/>
      <c r="AG3136" s="126" t="s">
        <v>3420</v>
      </c>
      <c r="AK3136" s="306" t="str">
        <f>IF(ISNUMBER(Table1[[#This Row],[FECHA DE RECIBIDO]]), Table1[[#This Row],[FECHA DE RECIBIDO]]-DATE(2023,8,30), "")</f>
        <v/>
      </c>
    </row>
    <row r="3137" spans="1:37" ht="15" customHeight="1">
      <c r="A3137" s="150" t="s">
        <v>4156</v>
      </c>
      <c r="B3137" s="151">
        <v>1155</v>
      </c>
      <c r="C3137" s="126" t="s">
        <v>2952</v>
      </c>
      <c r="D3137">
        <v>2108</v>
      </c>
      <c r="E3137" s="126" t="s">
        <v>1624</v>
      </c>
      <c r="F3137" s="122" t="s">
        <v>1607</v>
      </c>
      <c r="G3137" s="122" t="s">
        <v>134</v>
      </c>
      <c r="H3137">
        <v>46</v>
      </c>
      <c r="I3137" s="122" t="s">
        <v>1546</v>
      </c>
      <c r="J3137" s="307" t="s">
        <v>214</v>
      </c>
      <c r="K3137" s="127" t="s">
        <v>4112</v>
      </c>
      <c r="L3137" s="151" t="s">
        <v>1579</v>
      </c>
      <c r="M3137">
        <v>839</v>
      </c>
      <c r="N3137" s="123">
        <v>17</v>
      </c>
      <c r="O3137">
        <v>2064</v>
      </c>
      <c r="P3137" s="132" t="s">
        <v>77</v>
      </c>
      <c r="Q3137" s="131">
        <v>905.19</v>
      </c>
      <c r="R3137" s="131">
        <v>144.83000000000001</v>
      </c>
      <c r="S3137" s="131"/>
      <c r="T3137" s="155"/>
      <c r="U3137" s="131"/>
      <c r="V3137" s="131">
        <v>1050.02</v>
      </c>
      <c r="W3137"/>
      <c r="X3137" s="151" t="s">
        <v>1644</v>
      </c>
      <c r="Y3137" s="135" t="s">
        <v>55</v>
      </c>
      <c r="Z3137" s="307" t="s">
        <v>214</v>
      </c>
      <c r="AB3137" t="str">
        <f>IF(Table1[[#This Row],[TIPO2]]="costo", VLOOKUP(Table1[[#This Row],[PARTIDA PRESUPUESTAL]],'Cost Report'!G:G,1,0),"Balance")</f>
        <v>3901-048</v>
      </c>
      <c r="AC3137" s="118"/>
      <c r="AD3137" s="159">
        <f>+Table1[[#This Row],[SUBTOTAL]]+Table1[[#This Row],[IVA]]-Table1[[#This Row],[RET IVA]]-Table1[[#This Row],[RET ISR]]-Table1[[#This Row],[TOTAL]]</f>
        <v>0</v>
      </c>
      <c r="AE3137" s="150"/>
      <c r="AF3137" s="151"/>
      <c r="AG3137" s="126" t="s">
        <v>3420</v>
      </c>
      <c r="AK3137" s="306" t="str">
        <f>IF(ISNUMBER(Table1[[#This Row],[FECHA DE RECIBIDO]]), Table1[[#This Row],[FECHA DE RECIBIDO]]-DATE(2023,8,30), "")</f>
        <v/>
      </c>
    </row>
    <row r="3138" spans="1:37" ht="15" customHeight="1">
      <c r="A3138" s="152" t="s">
        <v>4156</v>
      </c>
      <c r="B3138" s="153">
        <v>1155</v>
      </c>
      <c r="C3138" s="126" t="s">
        <v>2952</v>
      </c>
      <c r="D3138">
        <v>2109</v>
      </c>
      <c r="E3138" s="126" t="s">
        <v>1624</v>
      </c>
      <c r="F3138" s="125" t="s">
        <v>1607</v>
      </c>
      <c r="G3138" s="125" t="s">
        <v>134</v>
      </c>
      <c r="H3138">
        <v>46</v>
      </c>
      <c r="I3138" s="125" t="s">
        <v>1546</v>
      </c>
      <c r="J3138" s="308" t="s">
        <v>214</v>
      </c>
      <c r="K3138" s="127" t="s">
        <v>4112</v>
      </c>
      <c r="L3138" s="153" t="s">
        <v>1579</v>
      </c>
      <c r="M3138">
        <v>839</v>
      </c>
      <c r="N3138" s="123">
        <v>17</v>
      </c>
      <c r="O3138">
        <v>2065</v>
      </c>
      <c r="P3138" s="132" t="s">
        <v>77</v>
      </c>
      <c r="Q3138" s="132">
        <v>1812.12</v>
      </c>
      <c r="R3138" s="132">
        <v>193.94</v>
      </c>
      <c r="S3138" s="132"/>
      <c r="T3138" s="156"/>
      <c r="U3138" s="132"/>
      <c r="V3138" s="132">
        <v>2006.06</v>
      </c>
      <c r="W3138"/>
      <c r="X3138" s="153" t="s">
        <v>1644</v>
      </c>
      <c r="Y3138" s="124" t="s">
        <v>55</v>
      </c>
      <c r="Z3138" s="308" t="s">
        <v>214</v>
      </c>
      <c r="AB3138" t="str">
        <f>IF(Table1[[#This Row],[TIPO2]]="costo", VLOOKUP(Table1[[#This Row],[PARTIDA PRESUPUESTAL]],'Cost Report'!G:G,1,0),"Balance")</f>
        <v>3901-048</v>
      </c>
      <c r="AC3138" s="118"/>
      <c r="AD3138" s="159">
        <f>+Table1[[#This Row],[SUBTOTAL]]+Table1[[#This Row],[IVA]]-Table1[[#This Row],[RET IVA]]-Table1[[#This Row],[RET ISR]]-Table1[[#This Row],[TOTAL]]</f>
        <v>0</v>
      </c>
      <c r="AE3138" s="152"/>
      <c r="AF3138" s="153"/>
      <c r="AG3138" s="126" t="s">
        <v>3420</v>
      </c>
      <c r="AK3138" s="306" t="str">
        <f>IF(ISNUMBER(Table1[[#This Row],[FECHA DE RECIBIDO]]), Table1[[#This Row],[FECHA DE RECIBIDO]]-DATE(2023,8,30), "")</f>
        <v/>
      </c>
    </row>
    <row r="3139" spans="1:37" ht="15" customHeight="1">
      <c r="A3139" s="150" t="s">
        <v>4156</v>
      </c>
      <c r="B3139" s="151">
        <v>1155</v>
      </c>
      <c r="C3139" s="126" t="s">
        <v>2952</v>
      </c>
      <c r="D3139">
        <v>2110</v>
      </c>
      <c r="E3139" s="126" t="s">
        <v>1624</v>
      </c>
      <c r="F3139" s="122" t="s">
        <v>1607</v>
      </c>
      <c r="G3139" s="122" t="s">
        <v>134</v>
      </c>
      <c r="H3139">
        <v>46</v>
      </c>
      <c r="I3139" s="122" t="s">
        <v>1546</v>
      </c>
      <c r="J3139" s="307" t="s">
        <v>214</v>
      </c>
      <c r="K3139" s="127" t="s">
        <v>4112</v>
      </c>
      <c r="L3139" s="151" t="s">
        <v>1579</v>
      </c>
      <c r="M3139">
        <v>839</v>
      </c>
      <c r="N3139" s="123">
        <v>17</v>
      </c>
      <c r="O3139">
        <v>2066</v>
      </c>
      <c r="P3139" s="132" t="s">
        <v>77</v>
      </c>
      <c r="Q3139" s="131">
        <v>3148.42</v>
      </c>
      <c r="R3139" s="131">
        <v>503.75</v>
      </c>
      <c r="S3139" s="131"/>
      <c r="T3139" s="155"/>
      <c r="U3139" s="131"/>
      <c r="V3139" s="131">
        <v>3652.17</v>
      </c>
      <c r="W3139"/>
      <c r="X3139" s="151" t="s">
        <v>1644</v>
      </c>
      <c r="Y3139" s="135" t="s">
        <v>55</v>
      </c>
      <c r="Z3139" s="307" t="s">
        <v>214</v>
      </c>
      <c r="AB3139" t="str">
        <f>IF(Table1[[#This Row],[TIPO2]]="costo", VLOOKUP(Table1[[#This Row],[PARTIDA PRESUPUESTAL]],'Cost Report'!G:G,1,0),"Balance")</f>
        <v>3901-048</v>
      </c>
      <c r="AC3139" s="118"/>
      <c r="AD3139" s="159">
        <f>+Table1[[#This Row],[SUBTOTAL]]+Table1[[#This Row],[IVA]]-Table1[[#This Row],[RET IVA]]-Table1[[#This Row],[RET ISR]]-Table1[[#This Row],[TOTAL]]</f>
        <v>0</v>
      </c>
      <c r="AE3139" s="150"/>
      <c r="AF3139" s="151"/>
      <c r="AG3139" s="126" t="s">
        <v>3420</v>
      </c>
      <c r="AK3139" s="306" t="str">
        <f>IF(ISNUMBER(Table1[[#This Row],[FECHA DE RECIBIDO]]), Table1[[#This Row],[FECHA DE RECIBIDO]]-DATE(2023,8,30), "")</f>
        <v/>
      </c>
    </row>
    <row r="3140" spans="1:37" ht="15" customHeight="1">
      <c r="A3140" s="152" t="s">
        <v>4156</v>
      </c>
      <c r="B3140" s="153">
        <v>1155</v>
      </c>
      <c r="C3140" s="126" t="s">
        <v>2952</v>
      </c>
      <c r="D3140">
        <v>2111</v>
      </c>
      <c r="E3140" s="126" t="s">
        <v>1624</v>
      </c>
      <c r="F3140" s="125" t="s">
        <v>1607</v>
      </c>
      <c r="G3140" s="125" t="s">
        <v>134</v>
      </c>
      <c r="H3140">
        <v>46</v>
      </c>
      <c r="I3140" s="125" t="s">
        <v>1546</v>
      </c>
      <c r="J3140" s="308" t="s">
        <v>214</v>
      </c>
      <c r="K3140" s="127" t="s">
        <v>4112</v>
      </c>
      <c r="L3140" s="153" t="s">
        <v>1579</v>
      </c>
      <c r="M3140">
        <v>839</v>
      </c>
      <c r="N3140" s="123">
        <v>17</v>
      </c>
      <c r="O3140">
        <v>2066</v>
      </c>
      <c r="P3140" s="132" t="s">
        <v>77</v>
      </c>
      <c r="Q3140" s="132">
        <v>224.3</v>
      </c>
      <c r="R3140" s="132">
        <v>35.89</v>
      </c>
      <c r="S3140" s="132"/>
      <c r="T3140" s="156"/>
      <c r="U3140" s="132"/>
      <c r="V3140" s="132">
        <v>260.19</v>
      </c>
      <c r="W3140"/>
      <c r="X3140" s="153" t="s">
        <v>1644</v>
      </c>
      <c r="Y3140" s="124" t="s">
        <v>55</v>
      </c>
      <c r="Z3140" s="308" t="s">
        <v>214</v>
      </c>
      <c r="AB3140" t="str">
        <f>IF(Table1[[#This Row],[TIPO2]]="costo", VLOOKUP(Table1[[#This Row],[PARTIDA PRESUPUESTAL]],'Cost Report'!G:G,1,0),"Balance")</f>
        <v>3901-048</v>
      </c>
      <c r="AC3140" s="118"/>
      <c r="AD3140" s="159">
        <f>+Table1[[#This Row],[SUBTOTAL]]+Table1[[#This Row],[IVA]]-Table1[[#This Row],[RET IVA]]-Table1[[#This Row],[RET ISR]]-Table1[[#This Row],[TOTAL]]</f>
        <v>0</v>
      </c>
      <c r="AE3140" s="152"/>
      <c r="AF3140" s="153"/>
      <c r="AG3140" s="126" t="s">
        <v>3420</v>
      </c>
      <c r="AK3140" s="306" t="str">
        <f>IF(ISNUMBER(Table1[[#This Row],[FECHA DE RECIBIDO]]), Table1[[#This Row],[FECHA DE RECIBIDO]]-DATE(2023,8,30), "")</f>
        <v/>
      </c>
    </row>
    <row r="3141" spans="1:37" ht="15" customHeight="1">
      <c r="A3141" s="150" t="s">
        <v>4156</v>
      </c>
      <c r="B3141" s="151">
        <v>1155</v>
      </c>
      <c r="C3141" s="126" t="s">
        <v>2952</v>
      </c>
      <c r="D3141">
        <v>2112</v>
      </c>
      <c r="E3141" s="126" t="s">
        <v>1624</v>
      </c>
      <c r="F3141" s="122" t="s">
        <v>1607</v>
      </c>
      <c r="G3141" s="122" t="s">
        <v>134</v>
      </c>
      <c r="H3141">
        <v>46</v>
      </c>
      <c r="I3141" s="122" t="s">
        <v>1546</v>
      </c>
      <c r="J3141" s="307" t="s">
        <v>214</v>
      </c>
      <c r="K3141" s="127" t="s">
        <v>4112</v>
      </c>
      <c r="L3141" s="151" t="s">
        <v>1579</v>
      </c>
      <c r="M3141">
        <v>839</v>
      </c>
      <c r="N3141" s="123">
        <v>17</v>
      </c>
      <c r="O3141">
        <v>2066</v>
      </c>
      <c r="P3141" s="132" t="s">
        <v>77</v>
      </c>
      <c r="Q3141" s="131">
        <v>3445.11</v>
      </c>
      <c r="R3141" s="131">
        <v>373.28</v>
      </c>
      <c r="S3141" s="131"/>
      <c r="T3141" s="155"/>
      <c r="U3141" s="131"/>
      <c r="V3141" s="131">
        <v>3818.3900000000003</v>
      </c>
      <c r="W3141"/>
      <c r="X3141" s="151" t="s">
        <v>1644</v>
      </c>
      <c r="Y3141" s="135" t="s">
        <v>55</v>
      </c>
      <c r="Z3141" s="307" t="s">
        <v>214</v>
      </c>
      <c r="AB3141" t="str">
        <f>IF(Table1[[#This Row],[TIPO2]]="costo", VLOOKUP(Table1[[#This Row],[PARTIDA PRESUPUESTAL]],'Cost Report'!G:G,1,0),"Balance")</f>
        <v>3901-048</v>
      </c>
      <c r="AC3141" s="118"/>
      <c r="AD3141" s="159">
        <f>+Table1[[#This Row],[SUBTOTAL]]+Table1[[#This Row],[IVA]]-Table1[[#This Row],[RET IVA]]-Table1[[#This Row],[RET ISR]]-Table1[[#This Row],[TOTAL]]</f>
        <v>0</v>
      </c>
      <c r="AE3141" s="150"/>
      <c r="AF3141" s="151"/>
      <c r="AG3141" s="126" t="s">
        <v>3420</v>
      </c>
      <c r="AK3141" s="306" t="str">
        <f>IF(ISNUMBER(Table1[[#This Row],[FECHA DE RECIBIDO]]), Table1[[#This Row],[FECHA DE RECIBIDO]]-DATE(2023,8,30), "")</f>
        <v/>
      </c>
    </row>
    <row r="3142" spans="1:37" ht="15" customHeight="1">
      <c r="A3142" s="152" t="s">
        <v>4156</v>
      </c>
      <c r="B3142" s="153">
        <v>1155</v>
      </c>
      <c r="C3142" s="126" t="s">
        <v>4210</v>
      </c>
      <c r="D3142">
        <v>2113</v>
      </c>
      <c r="E3142" s="126" t="s">
        <v>2075</v>
      </c>
      <c r="F3142" s="125" t="s">
        <v>2062</v>
      </c>
      <c r="G3142" s="125" t="e">
        <v>#N/A</v>
      </c>
      <c r="H3142">
        <v>146</v>
      </c>
      <c r="I3142" s="125" t="s">
        <v>1546</v>
      </c>
      <c r="J3142" s="308" t="s">
        <v>214</v>
      </c>
      <c r="K3142" s="127" t="s">
        <v>4112</v>
      </c>
      <c r="L3142" s="153" t="s">
        <v>1579</v>
      </c>
      <c r="M3142">
        <v>840</v>
      </c>
      <c r="N3142" s="123">
        <v>17</v>
      </c>
      <c r="O3142">
        <v>2067</v>
      </c>
      <c r="P3142" s="132" t="s">
        <v>77</v>
      </c>
      <c r="Q3142" s="132">
        <v>814.66</v>
      </c>
      <c r="R3142" s="132">
        <v>130.34</v>
      </c>
      <c r="S3142" s="132"/>
      <c r="T3142" s="156"/>
      <c r="U3142" s="132"/>
      <c r="V3142" s="132">
        <v>945</v>
      </c>
      <c r="W3142"/>
      <c r="X3142" s="153" t="s">
        <v>1644</v>
      </c>
      <c r="Y3142" s="124" t="s">
        <v>55</v>
      </c>
      <c r="Z3142" s="308" t="s">
        <v>214</v>
      </c>
      <c r="AB3142" t="str">
        <f>IF(Table1[[#This Row],[TIPO2]]="costo", VLOOKUP(Table1[[#This Row],[PARTIDA PRESUPUESTAL]],'Cost Report'!G:G,1,0),"Balance")</f>
        <v>3901-051</v>
      </c>
      <c r="AC3142" s="118"/>
      <c r="AD3142" s="159">
        <f>+Table1[[#This Row],[SUBTOTAL]]+Table1[[#This Row],[IVA]]-Table1[[#This Row],[RET IVA]]-Table1[[#This Row],[RET ISR]]-Table1[[#This Row],[TOTAL]]</f>
        <v>0</v>
      </c>
      <c r="AE3142" s="152"/>
      <c r="AF3142" s="153"/>
      <c r="AG3142" s="126" t="s">
        <v>3420</v>
      </c>
      <c r="AK3142" s="306" t="str">
        <f>IF(ISNUMBER(Table1[[#This Row],[FECHA DE RECIBIDO]]), Table1[[#This Row],[FECHA DE RECIBIDO]]-DATE(2023,8,30), "")</f>
        <v/>
      </c>
    </row>
    <row r="3143" spans="1:37" ht="15" customHeight="1">
      <c r="A3143" s="150" t="s">
        <v>4156</v>
      </c>
      <c r="B3143" s="151">
        <v>1155</v>
      </c>
      <c r="C3143" s="126" t="s">
        <v>2952</v>
      </c>
      <c r="D3143">
        <v>2114</v>
      </c>
      <c r="E3143" s="126" t="s">
        <v>1624</v>
      </c>
      <c r="F3143" s="122" t="s">
        <v>1607</v>
      </c>
      <c r="G3143" s="122" t="s">
        <v>134</v>
      </c>
      <c r="H3143">
        <v>46</v>
      </c>
      <c r="I3143" s="122" t="s">
        <v>1546</v>
      </c>
      <c r="J3143" s="307" t="s">
        <v>214</v>
      </c>
      <c r="K3143" s="127" t="s">
        <v>4112</v>
      </c>
      <c r="L3143" s="151" t="s">
        <v>1579</v>
      </c>
      <c r="M3143">
        <v>839</v>
      </c>
      <c r="N3143" s="123">
        <v>17</v>
      </c>
      <c r="O3143">
        <v>2068</v>
      </c>
      <c r="P3143" s="132" t="s">
        <v>77</v>
      </c>
      <c r="Q3143" s="131">
        <v>7690.56</v>
      </c>
      <c r="R3143" s="131">
        <v>1052.54</v>
      </c>
      <c r="S3143" s="131"/>
      <c r="T3143" s="155"/>
      <c r="U3143" s="131"/>
      <c r="V3143" s="131">
        <v>8743.1</v>
      </c>
      <c r="W3143"/>
      <c r="X3143" s="151" t="s">
        <v>1644</v>
      </c>
      <c r="Y3143" s="135" t="s">
        <v>55</v>
      </c>
      <c r="Z3143" s="307" t="s">
        <v>214</v>
      </c>
      <c r="AB3143" t="str">
        <f>IF(Table1[[#This Row],[TIPO2]]="costo", VLOOKUP(Table1[[#This Row],[PARTIDA PRESUPUESTAL]],'Cost Report'!G:G,1,0),"Balance")</f>
        <v>3901-048</v>
      </c>
      <c r="AC3143" s="118"/>
      <c r="AD3143" s="159">
        <f>+Table1[[#This Row],[SUBTOTAL]]+Table1[[#This Row],[IVA]]-Table1[[#This Row],[RET IVA]]-Table1[[#This Row],[RET ISR]]-Table1[[#This Row],[TOTAL]]</f>
        <v>0</v>
      </c>
      <c r="AE3143" s="150"/>
      <c r="AF3143" s="151"/>
      <c r="AG3143" s="126" t="s">
        <v>3420</v>
      </c>
      <c r="AK3143" s="306" t="str">
        <f>IF(ISNUMBER(Table1[[#This Row],[FECHA DE RECIBIDO]]), Table1[[#This Row],[FECHA DE RECIBIDO]]-DATE(2023,8,30), "")</f>
        <v/>
      </c>
    </row>
    <row r="3144" spans="1:37" ht="15" customHeight="1">
      <c r="A3144" s="152" t="s">
        <v>4156</v>
      </c>
      <c r="B3144" s="153">
        <v>1155</v>
      </c>
      <c r="C3144" s="126" t="s">
        <v>2352</v>
      </c>
      <c r="D3144">
        <v>2115</v>
      </c>
      <c r="E3144" s="126" t="s">
        <v>2067</v>
      </c>
      <c r="F3144" s="125" t="s">
        <v>1607</v>
      </c>
      <c r="G3144" s="125" t="s">
        <v>134</v>
      </c>
      <c r="H3144">
        <v>136</v>
      </c>
      <c r="I3144" s="125" t="s">
        <v>1546</v>
      </c>
      <c r="J3144" s="308" t="s">
        <v>214</v>
      </c>
      <c r="K3144" s="127" t="s">
        <v>4112</v>
      </c>
      <c r="L3144" s="153" t="s">
        <v>1579</v>
      </c>
      <c r="M3144">
        <v>178</v>
      </c>
      <c r="N3144" s="123">
        <v>17</v>
      </c>
      <c r="O3144">
        <v>2069</v>
      </c>
      <c r="P3144" s="132" t="s">
        <v>77</v>
      </c>
      <c r="Q3144" s="132">
        <v>7449.72</v>
      </c>
      <c r="R3144" s="132">
        <v>1016.28</v>
      </c>
      <c r="S3144" s="132"/>
      <c r="T3144" s="156"/>
      <c r="U3144" s="132"/>
      <c r="V3144" s="132">
        <v>8466</v>
      </c>
      <c r="W3144"/>
      <c r="X3144" s="153" t="s">
        <v>1644</v>
      </c>
      <c r="Y3144" s="124" t="s">
        <v>55</v>
      </c>
      <c r="Z3144" s="308" t="s">
        <v>214</v>
      </c>
      <c r="AB3144" t="str">
        <f>IF(Table1[[#This Row],[TIPO2]]="costo", VLOOKUP(Table1[[#This Row],[PARTIDA PRESUPUESTAL]],'Cost Report'!G:G,1,0),"Balance")</f>
        <v>1640-009</v>
      </c>
      <c r="AC3144" s="118"/>
      <c r="AD3144" s="159">
        <f>+Table1[[#This Row],[SUBTOTAL]]+Table1[[#This Row],[IVA]]-Table1[[#This Row],[RET IVA]]-Table1[[#This Row],[RET ISR]]-Table1[[#This Row],[TOTAL]]</f>
        <v>0</v>
      </c>
      <c r="AE3144" s="152"/>
      <c r="AF3144" s="153"/>
      <c r="AG3144" s="126" t="s">
        <v>3420</v>
      </c>
      <c r="AK3144" s="306" t="str">
        <f>IF(ISNUMBER(Table1[[#This Row],[FECHA DE RECIBIDO]]), Table1[[#This Row],[FECHA DE RECIBIDO]]-DATE(2023,8,30), "")</f>
        <v/>
      </c>
    </row>
    <row r="3145" spans="1:37" ht="15" customHeight="1">
      <c r="A3145" s="150" t="s">
        <v>4156</v>
      </c>
      <c r="B3145" s="151">
        <v>1155</v>
      </c>
      <c r="C3145" s="126" t="s">
        <v>2352</v>
      </c>
      <c r="D3145">
        <v>2116</v>
      </c>
      <c r="E3145" s="126" t="s">
        <v>2067</v>
      </c>
      <c r="F3145" s="122" t="s">
        <v>1607</v>
      </c>
      <c r="G3145" s="122" t="s">
        <v>134</v>
      </c>
      <c r="H3145">
        <v>136</v>
      </c>
      <c r="I3145" s="122" t="s">
        <v>1546</v>
      </c>
      <c r="J3145" s="307" t="s">
        <v>214</v>
      </c>
      <c r="K3145" s="127" t="s">
        <v>4112</v>
      </c>
      <c r="L3145" s="151" t="s">
        <v>1579</v>
      </c>
      <c r="M3145">
        <v>178</v>
      </c>
      <c r="N3145" s="123">
        <v>17</v>
      </c>
      <c r="O3145">
        <v>2070</v>
      </c>
      <c r="P3145" s="132" t="s">
        <v>77</v>
      </c>
      <c r="Q3145" s="131">
        <v>9110.93</v>
      </c>
      <c r="R3145" s="131">
        <v>1282.07</v>
      </c>
      <c r="S3145" s="131"/>
      <c r="T3145" s="155"/>
      <c r="U3145" s="131"/>
      <c r="V3145" s="131">
        <v>10393</v>
      </c>
      <c r="W3145"/>
      <c r="X3145" s="151" t="s">
        <v>1644</v>
      </c>
      <c r="Y3145" s="135" t="s">
        <v>55</v>
      </c>
      <c r="Z3145" s="307" t="s">
        <v>214</v>
      </c>
      <c r="AB3145" t="str">
        <f>IF(Table1[[#This Row],[TIPO2]]="costo", VLOOKUP(Table1[[#This Row],[PARTIDA PRESUPUESTAL]],'Cost Report'!G:G,1,0),"Balance")</f>
        <v>1640-009</v>
      </c>
      <c r="AC3145" s="118"/>
      <c r="AD3145" s="159">
        <f>+Table1[[#This Row],[SUBTOTAL]]+Table1[[#This Row],[IVA]]-Table1[[#This Row],[RET IVA]]-Table1[[#This Row],[RET ISR]]-Table1[[#This Row],[TOTAL]]</f>
        <v>0</v>
      </c>
      <c r="AE3145" s="150"/>
      <c r="AF3145" s="151"/>
      <c r="AG3145" s="126" t="s">
        <v>3420</v>
      </c>
      <c r="AK3145" s="306" t="str">
        <f>IF(ISNUMBER(Table1[[#This Row],[FECHA DE RECIBIDO]]), Table1[[#This Row],[FECHA DE RECIBIDO]]-DATE(2023,8,30), "")</f>
        <v/>
      </c>
    </row>
    <row r="3146" spans="1:37" ht="15" customHeight="1">
      <c r="A3146" s="152" t="s">
        <v>4156</v>
      </c>
      <c r="B3146" s="153">
        <v>1155</v>
      </c>
      <c r="C3146" s="126" t="s">
        <v>395</v>
      </c>
      <c r="D3146">
        <v>2117</v>
      </c>
      <c r="E3146" s="126" t="s">
        <v>2067</v>
      </c>
      <c r="F3146" s="125" t="s">
        <v>1607</v>
      </c>
      <c r="G3146" s="125" t="s">
        <v>134</v>
      </c>
      <c r="H3146">
        <v>136</v>
      </c>
      <c r="I3146" s="125" t="s">
        <v>1546</v>
      </c>
      <c r="J3146" s="308" t="s">
        <v>214</v>
      </c>
      <c r="K3146" s="127" t="s">
        <v>4112</v>
      </c>
      <c r="L3146" s="153" t="s">
        <v>1579</v>
      </c>
      <c r="M3146">
        <v>178</v>
      </c>
      <c r="N3146" s="123">
        <v>17</v>
      </c>
      <c r="O3146">
        <v>2049</v>
      </c>
      <c r="P3146" s="132" t="s">
        <v>77</v>
      </c>
      <c r="Q3146" s="132">
        <v>17346.28</v>
      </c>
      <c r="R3146" s="132">
        <v>2599.7199999999998</v>
      </c>
      <c r="S3146" s="132"/>
      <c r="T3146" s="156"/>
      <c r="U3146" s="132"/>
      <c r="V3146" s="132">
        <v>19946</v>
      </c>
      <c r="W3146"/>
      <c r="X3146" s="153" t="s">
        <v>1644</v>
      </c>
      <c r="Y3146" s="124" t="s">
        <v>55</v>
      </c>
      <c r="Z3146" s="308" t="s">
        <v>214</v>
      </c>
      <c r="AB3146" t="str">
        <f>IF(Table1[[#This Row],[TIPO2]]="costo", VLOOKUP(Table1[[#This Row],[PARTIDA PRESUPUESTAL]],'Cost Report'!G:G,1,0),"Balance")</f>
        <v>1620-003</v>
      </c>
      <c r="AC3146" s="118"/>
      <c r="AD3146" s="159">
        <f>+Table1[[#This Row],[SUBTOTAL]]+Table1[[#This Row],[IVA]]-Table1[[#This Row],[RET IVA]]-Table1[[#This Row],[RET ISR]]-Table1[[#This Row],[TOTAL]]</f>
        <v>0</v>
      </c>
      <c r="AE3146" s="152"/>
      <c r="AF3146" s="153"/>
      <c r="AG3146" s="126" t="s">
        <v>3420</v>
      </c>
      <c r="AK3146" s="306" t="str">
        <f>IF(ISNUMBER(Table1[[#This Row],[FECHA DE RECIBIDO]]), Table1[[#This Row],[FECHA DE RECIBIDO]]-DATE(2023,8,30), "")</f>
        <v/>
      </c>
    </row>
    <row r="3147" spans="1:37" ht="15" customHeight="1">
      <c r="A3147" s="150" t="s">
        <v>4157</v>
      </c>
      <c r="B3147" s="151">
        <v>1156</v>
      </c>
      <c r="C3147" s="126" t="s">
        <v>2953</v>
      </c>
      <c r="D3147">
        <v>2118</v>
      </c>
      <c r="E3147" s="126" t="s">
        <v>1624</v>
      </c>
      <c r="F3147" s="122" t="s">
        <v>1607</v>
      </c>
      <c r="G3147" s="122" t="s">
        <v>134</v>
      </c>
      <c r="H3147">
        <v>46</v>
      </c>
      <c r="I3147" s="122" t="s">
        <v>1546</v>
      </c>
      <c r="J3147" s="307" t="s">
        <v>214</v>
      </c>
      <c r="K3147" s="127" t="s">
        <v>4112</v>
      </c>
      <c r="L3147" s="151" t="s">
        <v>1579</v>
      </c>
      <c r="M3147">
        <v>839</v>
      </c>
      <c r="N3147" s="123">
        <v>17</v>
      </c>
      <c r="O3147">
        <v>2071</v>
      </c>
      <c r="P3147" s="132" t="s">
        <v>77</v>
      </c>
      <c r="Q3147" s="131">
        <v>16026.83</v>
      </c>
      <c r="R3147" s="131">
        <v>2208.4</v>
      </c>
      <c r="S3147" s="131"/>
      <c r="T3147" s="155"/>
      <c r="U3147" s="131"/>
      <c r="V3147" s="131">
        <v>18235.23</v>
      </c>
      <c r="W3147"/>
      <c r="X3147" s="151" t="s">
        <v>1644</v>
      </c>
      <c r="Y3147" s="135" t="s">
        <v>55</v>
      </c>
      <c r="Z3147" s="307" t="s">
        <v>214</v>
      </c>
      <c r="AB3147" t="str">
        <f>IF(Table1[[#This Row],[TIPO2]]="costo", VLOOKUP(Table1[[#This Row],[PARTIDA PRESUPUESTAL]],'Cost Report'!G:G,1,0),"Balance")</f>
        <v>3901-049</v>
      </c>
      <c r="AC3147" s="118"/>
      <c r="AD3147" s="159">
        <f>+Table1[[#This Row],[SUBTOTAL]]+Table1[[#This Row],[IVA]]-Table1[[#This Row],[RET IVA]]-Table1[[#This Row],[RET ISR]]-Table1[[#This Row],[TOTAL]]</f>
        <v>0</v>
      </c>
      <c r="AE3147" s="150"/>
      <c r="AF3147" s="151"/>
      <c r="AG3147" s="126" t="s">
        <v>3420</v>
      </c>
      <c r="AK3147" s="306" t="str">
        <f>IF(ISNUMBER(Table1[[#This Row],[FECHA DE RECIBIDO]]), Table1[[#This Row],[FECHA DE RECIBIDO]]-DATE(2023,8,30), "")</f>
        <v/>
      </c>
    </row>
    <row r="3148" spans="1:37" ht="15" customHeight="1">
      <c r="A3148" s="152" t="s">
        <v>4158</v>
      </c>
      <c r="B3148" s="153">
        <v>1157</v>
      </c>
      <c r="C3148" s="126" t="s">
        <v>2596</v>
      </c>
      <c r="D3148">
        <v>2119</v>
      </c>
      <c r="E3148" s="126" t="s">
        <v>2004</v>
      </c>
      <c r="F3148" s="125" t="s">
        <v>1607</v>
      </c>
      <c r="G3148" s="125" t="s">
        <v>134</v>
      </c>
      <c r="H3148">
        <v>96</v>
      </c>
      <c r="I3148" s="125" t="s">
        <v>1546</v>
      </c>
      <c r="J3148" s="308" t="s">
        <v>214</v>
      </c>
      <c r="K3148" s="127" t="s">
        <v>4112</v>
      </c>
      <c r="L3148" s="153" t="s">
        <v>1579</v>
      </c>
      <c r="M3148">
        <v>679</v>
      </c>
      <c r="N3148" s="123">
        <v>17</v>
      </c>
      <c r="O3148">
        <v>468</v>
      </c>
      <c r="P3148" s="132" t="s">
        <v>77</v>
      </c>
      <c r="Q3148" s="132">
        <v>9601.73</v>
      </c>
      <c r="R3148" s="132">
        <v>1536.27</v>
      </c>
      <c r="S3148" s="132"/>
      <c r="T3148" s="156"/>
      <c r="U3148" s="132"/>
      <c r="V3148" s="132">
        <v>11138</v>
      </c>
      <c r="W3148"/>
      <c r="X3148" s="153" t="s">
        <v>1644</v>
      </c>
      <c r="Y3148" s="124" t="s">
        <v>55</v>
      </c>
      <c r="Z3148" s="308">
        <v>181</v>
      </c>
      <c r="AB3148" t="str">
        <f>IF(Table1[[#This Row],[TIPO2]]="costo", VLOOKUP(Table1[[#This Row],[PARTIDA PRESUPUESTAL]],'Cost Report'!G:G,1,0),"Balance")</f>
        <v>2794-003</v>
      </c>
      <c r="AC3148" s="118"/>
      <c r="AD3148" s="159">
        <f>+Table1[[#This Row],[SUBTOTAL]]+Table1[[#This Row],[IVA]]-Table1[[#This Row],[RET IVA]]-Table1[[#This Row],[RET ISR]]-Table1[[#This Row],[TOTAL]]</f>
        <v>0</v>
      </c>
      <c r="AE3148" s="152"/>
      <c r="AF3148" s="153"/>
      <c r="AG3148" s="126" t="s">
        <v>3420</v>
      </c>
      <c r="AK3148" s="306" t="str">
        <f>IF(ISNUMBER(Table1[[#This Row],[FECHA DE RECIBIDO]]), Table1[[#This Row],[FECHA DE RECIBIDO]]-DATE(2023,8,30), "")</f>
        <v/>
      </c>
    </row>
    <row r="3149" spans="1:37" ht="15" customHeight="1">
      <c r="A3149" s="150" t="s">
        <v>4158</v>
      </c>
      <c r="B3149" s="151">
        <v>1157</v>
      </c>
      <c r="C3149" s="126" t="s">
        <v>2596</v>
      </c>
      <c r="D3149">
        <v>2120</v>
      </c>
      <c r="E3149" s="126" t="s">
        <v>2004</v>
      </c>
      <c r="F3149" s="122" t="s">
        <v>1607</v>
      </c>
      <c r="G3149" s="122" t="s">
        <v>134</v>
      </c>
      <c r="H3149">
        <v>96</v>
      </c>
      <c r="I3149" s="122" t="s">
        <v>1546</v>
      </c>
      <c r="J3149" s="307" t="s">
        <v>214</v>
      </c>
      <c r="K3149" s="127" t="s">
        <v>4112</v>
      </c>
      <c r="L3149" s="151" t="s">
        <v>1579</v>
      </c>
      <c r="M3149">
        <v>679</v>
      </c>
      <c r="N3149" s="123">
        <v>17</v>
      </c>
      <c r="O3149">
        <v>965</v>
      </c>
      <c r="P3149" s="132" t="s">
        <v>77</v>
      </c>
      <c r="Q3149" s="131">
        <v>1118.96</v>
      </c>
      <c r="R3149" s="131">
        <v>179.04</v>
      </c>
      <c r="S3149" s="131"/>
      <c r="T3149" s="155"/>
      <c r="U3149" s="131"/>
      <c r="V3149" s="131">
        <v>1298</v>
      </c>
      <c r="W3149"/>
      <c r="X3149" s="151" t="s">
        <v>1644</v>
      </c>
      <c r="Y3149" s="135" t="s">
        <v>55</v>
      </c>
      <c r="Z3149" s="307">
        <v>183</v>
      </c>
      <c r="AB3149" t="str">
        <f>IF(Table1[[#This Row],[TIPO2]]="costo", VLOOKUP(Table1[[#This Row],[PARTIDA PRESUPUESTAL]],'Cost Report'!G:G,1,0),"Balance")</f>
        <v>2794-003</v>
      </c>
      <c r="AC3149" s="118"/>
      <c r="AD3149" s="159">
        <f>+Table1[[#This Row],[SUBTOTAL]]+Table1[[#This Row],[IVA]]-Table1[[#This Row],[RET IVA]]-Table1[[#This Row],[RET ISR]]-Table1[[#This Row],[TOTAL]]</f>
        <v>0</v>
      </c>
      <c r="AE3149" s="150"/>
      <c r="AF3149" s="151"/>
      <c r="AG3149" s="126" t="s">
        <v>3420</v>
      </c>
      <c r="AK3149" s="306" t="str">
        <f>IF(ISNUMBER(Table1[[#This Row],[FECHA DE RECIBIDO]]), Table1[[#This Row],[FECHA DE RECIBIDO]]-DATE(2023,8,30), "")</f>
        <v/>
      </c>
    </row>
    <row r="3150" spans="1:37" ht="15" customHeight="1">
      <c r="A3150" s="152" t="s">
        <v>4158</v>
      </c>
      <c r="B3150" s="153">
        <v>1157</v>
      </c>
      <c r="C3150" s="126" t="s">
        <v>2596</v>
      </c>
      <c r="D3150">
        <v>2121</v>
      </c>
      <c r="E3150" s="126" t="e">
        <v>#N/A</v>
      </c>
      <c r="F3150" s="125" t="e">
        <v>#N/A</v>
      </c>
      <c r="G3150" s="125" t="e">
        <v>#N/A</v>
      </c>
      <c r="H3150">
        <v>36</v>
      </c>
      <c r="I3150" s="125" t="e">
        <v>#N/A</v>
      </c>
      <c r="J3150" s="308" t="s">
        <v>214</v>
      </c>
      <c r="K3150" s="127" t="s">
        <v>4112</v>
      </c>
      <c r="L3150" s="153" t="s">
        <v>1579</v>
      </c>
      <c r="M3150">
        <v>679</v>
      </c>
      <c r="N3150" s="123">
        <v>17</v>
      </c>
      <c r="O3150">
        <v>2072</v>
      </c>
      <c r="P3150" s="132" t="s">
        <v>77</v>
      </c>
      <c r="Q3150" s="132">
        <v>173.28</v>
      </c>
      <c r="R3150" s="132">
        <v>27.72</v>
      </c>
      <c r="S3150" s="132"/>
      <c r="T3150" s="156"/>
      <c r="U3150" s="132"/>
      <c r="V3150" s="132">
        <v>201</v>
      </c>
      <c r="W3150"/>
      <c r="X3150" s="153" t="s">
        <v>1644</v>
      </c>
      <c r="Y3150" s="124" t="s">
        <v>55</v>
      </c>
      <c r="Z3150" s="308">
        <v>210</v>
      </c>
      <c r="AB3150" t="str">
        <f>IF(Table1[[#This Row],[TIPO2]]="costo", VLOOKUP(Table1[[#This Row],[PARTIDA PRESUPUESTAL]],'Cost Report'!G:G,1,0),"Balance")</f>
        <v>2794-003</v>
      </c>
      <c r="AC3150" s="118"/>
      <c r="AD3150" s="159">
        <f>+Table1[[#This Row],[SUBTOTAL]]+Table1[[#This Row],[IVA]]-Table1[[#This Row],[RET IVA]]-Table1[[#This Row],[RET ISR]]-Table1[[#This Row],[TOTAL]]</f>
        <v>0</v>
      </c>
      <c r="AE3150" s="152"/>
      <c r="AF3150" s="153"/>
      <c r="AG3150" s="126" t="s">
        <v>3420</v>
      </c>
      <c r="AK3150" s="306" t="str">
        <f>IF(ISNUMBER(Table1[[#This Row],[FECHA DE RECIBIDO]]), Table1[[#This Row],[FECHA DE RECIBIDO]]-DATE(2023,8,30), "")</f>
        <v/>
      </c>
    </row>
    <row r="3151" spans="1:37" ht="15" customHeight="1">
      <c r="A3151" s="150" t="s">
        <v>4158</v>
      </c>
      <c r="B3151" s="151">
        <v>1157</v>
      </c>
      <c r="C3151" s="126" t="s">
        <v>2596</v>
      </c>
      <c r="D3151">
        <v>2122</v>
      </c>
      <c r="E3151" s="126" t="s">
        <v>2004</v>
      </c>
      <c r="F3151" s="122" t="s">
        <v>1607</v>
      </c>
      <c r="G3151" s="122" t="s">
        <v>134</v>
      </c>
      <c r="H3151">
        <v>96</v>
      </c>
      <c r="I3151" s="122" t="s">
        <v>1546</v>
      </c>
      <c r="J3151" s="307" t="s">
        <v>214</v>
      </c>
      <c r="K3151" s="127" t="s">
        <v>4112</v>
      </c>
      <c r="L3151" s="151" t="s">
        <v>1579</v>
      </c>
      <c r="M3151">
        <v>679</v>
      </c>
      <c r="N3151" s="123">
        <v>17</v>
      </c>
      <c r="O3151">
        <v>2073</v>
      </c>
      <c r="P3151" s="132" t="s">
        <v>77</v>
      </c>
      <c r="Q3151" s="131">
        <v>7407.77</v>
      </c>
      <c r="R3151" s="131">
        <v>1185.25</v>
      </c>
      <c r="S3151" s="131"/>
      <c r="T3151" s="155"/>
      <c r="U3151" s="131"/>
      <c r="V3151" s="131">
        <v>8593.02</v>
      </c>
      <c r="W3151"/>
      <c r="X3151" s="151" t="s">
        <v>1644</v>
      </c>
      <c r="Y3151" s="135" t="s">
        <v>55</v>
      </c>
      <c r="Z3151" s="307">
        <v>177</v>
      </c>
      <c r="AB3151" t="str">
        <f>IF(Table1[[#This Row],[TIPO2]]="costo", VLOOKUP(Table1[[#This Row],[PARTIDA PRESUPUESTAL]],'Cost Report'!G:G,1,0),"Balance")</f>
        <v>2794-003</v>
      </c>
      <c r="AC3151" s="118"/>
      <c r="AD3151" s="159">
        <f>+Table1[[#This Row],[SUBTOTAL]]+Table1[[#This Row],[IVA]]-Table1[[#This Row],[RET IVA]]-Table1[[#This Row],[RET ISR]]-Table1[[#This Row],[TOTAL]]</f>
        <v>0</v>
      </c>
      <c r="AE3151" s="150"/>
      <c r="AF3151" s="151"/>
      <c r="AG3151" s="126" t="s">
        <v>3420</v>
      </c>
      <c r="AK3151" s="306" t="str">
        <f>IF(ISNUMBER(Table1[[#This Row],[FECHA DE RECIBIDO]]), Table1[[#This Row],[FECHA DE RECIBIDO]]-DATE(2023,8,30), "")</f>
        <v/>
      </c>
    </row>
    <row r="3152" spans="1:37" ht="15" customHeight="1">
      <c r="A3152" s="152" t="s">
        <v>4158</v>
      </c>
      <c r="B3152" s="153">
        <v>1157</v>
      </c>
      <c r="C3152" s="126" t="s">
        <v>2596</v>
      </c>
      <c r="D3152">
        <v>2123</v>
      </c>
      <c r="E3152" s="126" t="s">
        <v>2004</v>
      </c>
      <c r="F3152" s="125" t="s">
        <v>1607</v>
      </c>
      <c r="G3152" s="125" t="s">
        <v>134</v>
      </c>
      <c r="H3152">
        <v>96</v>
      </c>
      <c r="I3152" s="125" t="s">
        <v>1546</v>
      </c>
      <c r="J3152" s="308" t="s">
        <v>214</v>
      </c>
      <c r="K3152" s="127" t="s">
        <v>4112</v>
      </c>
      <c r="L3152" s="153" t="s">
        <v>1579</v>
      </c>
      <c r="M3152">
        <v>679</v>
      </c>
      <c r="N3152" s="123">
        <v>17</v>
      </c>
      <c r="O3152">
        <v>2074</v>
      </c>
      <c r="P3152" s="132" t="s">
        <v>77</v>
      </c>
      <c r="Q3152" s="132">
        <v>6512.07</v>
      </c>
      <c r="R3152" s="132">
        <v>1041.93</v>
      </c>
      <c r="S3152" s="132"/>
      <c r="T3152" s="156"/>
      <c r="U3152" s="132"/>
      <c r="V3152" s="132">
        <v>7554</v>
      </c>
      <c r="W3152"/>
      <c r="X3152" s="153" t="s">
        <v>1644</v>
      </c>
      <c r="Y3152" s="124" t="s">
        <v>55</v>
      </c>
      <c r="Z3152" s="308">
        <v>177</v>
      </c>
      <c r="AB3152" t="str">
        <f>IF(Table1[[#This Row],[TIPO2]]="costo", VLOOKUP(Table1[[#This Row],[PARTIDA PRESUPUESTAL]],'Cost Report'!G:G,1,0),"Balance")</f>
        <v>2794-003</v>
      </c>
      <c r="AC3152" s="118"/>
      <c r="AD3152" s="159">
        <f>+Table1[[#This Row],[SUBTOTAL]]+Table1[[#This Row],[IVA]]-Table1[[#This Row],[RET IVA]]-Table1[[#This Row],[RET ISR]]-Table1[[#This Row],[TOTAL]]</f>
        <v>0</v>
      </c>
      <c r="AE3152" s="152"/>
      <c r="AF3152" s="153"/>
      <c r="AG3152" s="126" t="s">
        <v>3420</v>
      </c>
      <c r="AK3152" s="306" t="str">
        <f>IF(ISNUMBER(Table1[[#This Row],[FECHA DE RECIBIDO]]), Table1[[#This Row],[FECHA DE RECIBIDO]]-DATE(2023,8,30), "")</f>
        <v/>
      </c>
    </row>
    <row r="3153" spans="1:37" ht="15" customHeight="1">
      <c r="A3153" s="150" t="s">
        <v>4158</v>
      </c>
      <c r="B3153" s="151">
        <v>1157</v>
      </c>
      <c r="C3153" s="126" t="s">
        <v>2596</v>
      </c>
      <c r="D3153">
        <v>2124</v>
      </c>
      <c r="E3153" s="126" t="s">
        <v>2004</v>
      </c>
      <c r="F3153" s="122" t="s">
        <v>1607</v>
      </c>
      <c r="G3153" s="122" t="s">
        <v>134</v>
      </c>
      <c r="H3153">
        <v>96</v>
      </c>
      <c r="I3153" s="122" t="s">
        <v>1546</v>
      </c>
      <c r="J3153" s="307" t="s">
        <v>214</v>
      </c>
      <c r="K3153" s="127" t="s">
        <v>4112</v>
      </c>
      <c r="L3153" s="151" t="s">
        <v>1579</v>
      </c>
      <c r="M3153">
        <v>679</v>
      </c>
      <c r="N3153" s="123">
        <v>17</v>
      </c>
      <c r="O3153">
        <v>2073</v>
      </c>
      <c r="P3153" s="132" t="s">
        <v>77</v>
      </c>
      <c r="Q3153" s="131">
        <v>989.66</v>
      </c>
      <c r="R3153" s="131">
        <v>158.35</v>
      </c>
      <c r="S3153" s="131"/>
      <c r="T3153" s="155"/>
      <c r="U3153" s="131"/>
      <c r="V3153" s="131">
        <v>1148.01</v>
      </c>
      <c r="W3153"/>
      <c r="X3153" s="151" t="s">
        <v>1644</v>
      </c>
      <c r="Y3153" s="135" t="s">
        <v>55</v>
      </c>
      <c r="Z3153" s="307">
        <v>177</v>
      </c>
      <c r="AB3153" t="str">
        <f>IF(Table1[[#This Row],[TIPO2]]="costo", VLOOKUP(Table1[[#This Row],[PARTIDA PRESUPUESTAL]],'Cost Report'!G:G,1,0),"Balance")</f>
        <v>2794-003</v>
      </c>
      <c r="AC3153" s="118"/>
      <c r="AD3153" s="159">
        <f>+Table1[[#This Row],[SUBTOTAL]]+Table1[[#This Row],[IVA]]-Table1[[#This Row],[RET IVA]]-Table1[[#This Row],[RET ISR]]-Table1[[#This Row],[TOTAL]]</f>
        <v>0</v>
      </c>
      <c r="AE3153" s="150"/>
      <c r="AF3153" s="151"/>
      <c r="AG3153" s="126" t="s">
        <v>3420</v>
      </c>
      <c r="AK3153" s="306" t="str">
        <f>IF(ISNUMBER(Table1[[#This Row],[FECHA DE RECIBIDO]]), Table1[[#This Row],[FECHA DE RECIBIDO]]-DATE(2023,8,30), "")</f>
        <v/>
      </c>
    </row>
    <row r="3154" spans="1:37" ht="15" customHeight="1">
      <c r="A3154" s="152" t="s">
        <v>4158</v>
      </c>
      <c r="B3154" s="153">
        <v>1157</v>
      </c>
      <c r="C3154" s="126" t="s">
        <v>2596</v>
      </c>
      <c r="D3154">
        <v>2125</v>
      </c>
      <c r="E3154" s="126" t="s">
        <v>2004</v>
      </c>
      <c r="F3154" s="125" t="s">
        <v>1607</v>
      </c>
      <c r="G3154" s="125" t="s">
        <v>134</v>
      </c>
      <c r="H3154">
        <v>96</v>
      </c>
      <c r="I3154" s="125" t="s">
        <v>1546</v>
      </c>
      <c r="J3154" s="308" t="s">
        <v>214</v>
      </c>
      <c r="K3154" s="127" t="s">
        <v>4112</v>
      </c>
      <c r="L3154" s="153" t="s">
        <v>1579</v>
      </c>
      <c r="M3154">
        <v>679</v>
      </c>
      <c r="N3154" s="123">
        <v>17</v>
      </c>
      <c r="O3154">
        <v>2075</v>
      </c>
      <c r="P3154" s="132" t="s">
        <v>77</v>
      </c>
      <c r="Q3154" s="132">
        <v>168.96</v>
      </c>
      <c r="R3154" s="132">
        <v>27.03</v>
      </c>
      <c r="S3154" s="132"/>
      <c r="T3154" s="156"/>
      <c r="U3154" s="132"/>
      <c r="V3154" s="132">
        <v>195.99</v>
      </c>
      <c r="W3154"/>
      <c r="X3154" s="153" t="s">
        <v>1644</v>
      </c>
      <c r="Y3154" s="124" t="s">
        <v>55</v>
      </c>
      <c r="Z3154" s="308">
        <v>183</v>
      </c>
      <c r="AB3154" t="str">
        <f>IF(Table1[[#This Row],[TIPO2]]="costo", VLOOKUP(Table1[[#This Row],[PARTIDA PRESUPUESTAL]],'Cost Report'!G:G,1,0),"Balance")</f>
        <v>2794-003</v>
      </c>
      <c r="AC3154" s="118"/>
      <c r="AD3154" s="159">
        <f>+Table1[[#This Row],[SUBTOTAL]]+Table1[[#This Row],[IVA]]-Table1[[#This Row],[RET IVA]]-Table1[[#This Row],[RET ISR]]-Table1[[#This Row],[TOTAL]]</f>
        <v>0</v>
      </c>
      <c r="AE3154" s="152"/>
      <c r="AF3154" s="153"/>
      <c r="AG3154" s="126" t="s">
        <v>3420</v>
      </c>
      <c r="AK3154" s="306" t="str">
        <f>IF(ISNUMBER(Table1[[#This Row],[FECHA DE RECIBIDO]]), Table1[[#This Row],[FECHA DE RECIBIDO]]-DATE(2023,8,30), "")</f>
        <v/>
      </c>
    </row>
    <row r="3155" spans="1:37" ht="15" customHeight="1">
      <c r="A3155" s="150" t="s">
        <v>4158</v>
      </c>
      <c r="B3155" s="151">
        <v>1157</v>
      </c>
      <c r="C3155" s="126" t="s">
        <v>2596</v>
      </c>
      <c r="D3155">
        <v>2126</v>
      </c>
      <c r="E3155" s="126" t="s">
        <v>2004</v>
      </c>
      <c r="F3155" s="122" t="s">
        <v>1607</v>
      </c>
      <c r="G3155" s="122" t="s">
        <v>134</v>
      </c>
      <c r="H3155">
        <v>96</v>
      </c>
      <c r="I3155" s="122" t="s">
        <v>1546</v>
      </c>
      <c r="J3155" s="307" t="s">
        <v>214</v>
      </c>
      <c r="K3155" s="127" t="s">
        <v>4112</v>
      </c>
      <c r="L3155" s="151" t="s">
        <v>1579</v>
      </c>
      <c r="M3155">
        <v>680</v>
      </c>
      <c r="N3155" s="123">
        <v>17</v>
      </c>
      <c r="O3155">
        <v>2076</v>
      </c>
      <c r="P3155" s="132" t="s">
        <v>77</v>
      </c>
      <c r="Q3155" s="131">
        <v>25</v>
      </c>
      <c r="R3155" s="131">
        <v>4</v>
      </c>
      <c r="S3155" s="131"/>
      <c r="T3155" s="155"/>
      <c r="U3155" s="131"/>
      <c r="V3155" s="131">
        <v>29</v>
      </c>
      <c r="W3155"/>
      <c r="X3155" s="151" t="s">
        <v>1644</v>
      </c>
      <c r="Y3155" s="135" t="s">
        <v>55</v>
      </c>
      <c r="Z3155" s="307">
        <v>210</v>
      </c>
      <c r="AB3155" t="str">
        <f>IF(Table1[[#This Row],[TIPO2]]="costo", VLOOKUP(Table1[[#This Row],[PARTIDA PRESUPUESTAL]],'Cost Report'!G:G,1,0),"Balance")</f>
        <v>2794-003</v>
      </c>
      <c r="AC3155" s="118"/>
      <c r="AD3155" s="159">
        <f>+Table1[[#This Row],[SUBTOTAL]]+Table1[[#This Row],[IVA]]-Table1[[#This Row],[RET IVA]]-Table1[[#This Row],[RET ISR]]-Table1[[#This Row],[TOTAL]]</f>
        <v>0</v>
      </c>
      <c r="AE3155" s="150"/>
      <c r="AF3155" s="151"/>
      <c r="AG3155" s="126" t="s">
        <v>3420</v>
      </c>
      <c r="AK3155" s="306" t="str">
        <f>IF(ISNUMBER(Table1[[#This Row],[FECHA DE RECIBIDO]]), Table1[[#This Row],[FECHA DE RECIBIDO]]-DATE(2023,8,30), "")</f>
        <v/>
      </c>
    </row>
    <row r="3156" spans="1:37" ht="15" customHeight="1">
      <c r="A3156" s="152" t="s">
        <v>4159</v>
      </c>
      <c r="B3156" s="153">
        <v>1158</v>
      </c>
      <c r="C3156" s="126" t="s">
        <v>2596</v>
      </c>
      <c r="D3156">
        <v>2127</v>
      </c>
      <c r="E3156" s="126" t="s">
        <v>1603</v>
      </c>
      <c r="F3156" s="125" t="s">
        <v>1589</v>
      </c>
      <c r="G3156" s="125" t="s">
        <v>129</v>
      </c>
      <c r="H3156">
        <v>593</v>
      </c>
      <c r="I3156" s="125" t="s">
        <v>1546</v>
      </c>
      <c r="J3156" s="308" t="s">
        <v>214</v>
      </c>
      <c r="K3156" s="127" t="s">
        <v>4112</v>
      </c>
      <c r="L3156" s="153" t="s">
        <v>1579</v>
      </c>
      <c r="M3156">
        <v>571</v>
      </c>
      <c r="N3156" s="123">
        <v>17</v>
      </c>
      <c r="O3156">
        <v>2077</v>
      </c>
      <c r="P3156" s="132" t="s">
        <v>77</v>
      </c>
      <c r="Q3156" s="132">
        <v>779.33</v>
      </c>
      <c r="R3156" s="132">
        <v>124.71</v>
      </c>
      <c r="S3156" s="132"/>
      <c r="T3156" s="156"/>
      <c r="U3156" s="132"/>
      <c r="V3156" s="132">
        <v>904.04000000000008</v>
      </c>
      <c r="W3156"/>
      <c r="X3156" s="153" t="s">
        <v>1644</v>
      </c>
      <c r="Y3156" s="124" t="s">
        <v>55</v>
      </c>
      <c r="Z3156" s="308">
        <v>226</v>
      </c>
      <c r="AB3156" t="str">
        <f>IF(Table1[[#This Row],[TIPO2]]="costo", VLOOKUP(Table1[[#This Row],[PARTIDA PRESUPUESTAL]],'Cost Report'!G:G,1,0),"Balance")</f>
        <v>2794-003</v>
      </c>
      <c r="AC3156" s="118"/>
      <c r="AD3156" s="159">
        <f>+Table1[[#This Row],[SUBTOTAL]]+Table1[[#This Row],[IVA]]-Table1[[#This Row],[RET IVA]]-Table1[[#This Row],[RET ISR]]-Table1[[#This Row],[TOTAL]]</f>
        <v>0</v>
      </c>
      <c r="AE3156" s="152"/>
      <c r="AF3156" s="153"/>
      <c r="AG3156" s="126" t="s">
        <v>3420</v>
      </c>
      <c r="AK3156" s="306" t="str">
        <f>IF(ISNUMBER(Table1[[#This Row],[FECHA DE RECIBIDO]]), Table1[[#This Row],[FECHA DE RECIBIDO]]-DATE(2023,8,30), "")</f>
        <v/>
      </c>
    </row>
    <row r="3157" spans="1:37" ht="15" customHeight="1">
      <c r="A3157" s="150" t="s">
        <v>4159</v>
      </c>
      <c r="B3157" s="151">
        <v>1158</v>
      </c>
      <c r="C3157" s="126" t="s">
        <v>2596</v>
      </c>
      <c r="D3157">
        <v>2128</v>
      </c>
      <c r="E3157" s="126" t="s">
        <v>1603</v>
      </c>
      <c r="F3157" s="122" t="s">
        <v>1589</v>
      </c>
      <c r="G3157" s="122" t="s">
        <v>129</v>
      </c>
      <c r="H3157">
        <v>593</v>
      </c>
      <c r="I3157" s="122" t="s">
        <v>1546</v>
      </c>
      <c r="J3157" s="307" t="s">
        <v>214</v>
      </c>
      <c r="K3157" s="127" t="s">
        <v>4112</v>
      </c>
      <c r="L3157" s="151" t="s">
        <v>1579</v>
      </c>
      <c r="M3157">
        <v>571</v>
      </c>
      <c r="N3157" s="123">
        <v>17</v>
      </c>
      <c r="O3157">
        <v>2077</v>
      </c>
      <c r="P3157" s="132" t="s">
        <v>77</v>
      </c>
      <c r="Q3157" s="131">
        <v>536.23</v>
      </c>
      <c r="R3157" s="131">
        <v>85.79</v>
      </c>
      <c r="S3157" s="131"/>
      <c r="T3157" s="155"/>
      <c r="U3157" s="131"/>
      <c r="V3157" s="131">
        <v>622.02</v>
      </c>
      <c r="W3157"/>
      <c r="X3157" s="151" t="s">
        <v>1644</v>
      </c>
      <c r="Y3157" s="135" t="s">
        <v>55</v>
      </c>
      <c r="Z3157" s="307">
        <v>226</v>
      </c>
      <c r="AB3157" t="str">
        <f>IF(Table1[[#This Row],[TIPO2]]="costo", VLOOKUP(Table1[[#This Row],[PARTIDA PRESUPUESTAL]],'Cost Report'!G:G,1,0),"Balance")</f>
        <v>2794-003</v>
      </c>
      <c r="AC3157" s="118"/>
      <c r="AD3157" s="159">
        <f>+Table1[[#This Row],[SUBTOTAL]]+Table1[[#This Row],[IVA]]-Table1[[#This Row],[RET IVA]]-Table1[[#This Row],[RET ISR]]-Table1[[#This Row],[TOTAL]]</f>
        <v>0</v>
      </c>
      <c r="AE3157" s="150"/>
      <c r="AF3157" s="151"/>
      <c r="AG3157" s="126" t="s">
        <v>3420</v>
      </c>
      <c r="AK3157" s="306" t="str">
        <f>IF(ISNUMBER(Table1[[#This Row],[FECHA DE RECIBIDO]]), Table1[[#This Row],[FECHA DE RECIBIDO]]-DATE(2023,8,30), "")</f>
        <v/>
      </c>
    </row>
    <row r="3158" spans="1:37" ht="15" customHeight="1">
      <c r="A3158" s="152" t="s">
        <v>4159</v>
      </c>
      <c r="B3158" s="153">
        <v>1158</v>
      </c>
      <c r="C3158" s="126" t="s">
        <v>2596</v>
      </c>
      <c r="D3158">
        <v>2129</v>
      </c>
      <c r="E3158" s="126" t="s">
        <v>1603</v>
      </c>
      <c r="F3158" s="125" t="s">
        <v>1589</v>
      </c>
      <c r="G3158" s="125" t="s">
        <v>129</v>
      </c>
      <c r="H3158">
        <v>429</v>
      </c>
      <c r="I3158" s="125" t="s">
        <v>1546</v>
      </c>
      <c r="J3158" s="308" t="s">
        <v>214</v>
      </c>
      <c r="K3158" s="127" t="s">
        <v>4112</v>
      </c>
      <c r="L3158" s="153" t="s">
        <v>1579</v>
      </c>
      <c r="M3158">
        <v>572</v>
      </c>
      <c r="N3158" s="123">
        <v>17</v>
      </c>
      <c r="O3158">
        <v>2078</v>
      </c>
      <c r="P3158" s="132" t="s">
        <v>77</v>
      </c>
      <c r="Q3158" s="132">
        <v>1725</v>
      </c>
      <c r="R3158" s="132">
        <v>276</v>
      </c>
      <c r="S3158" s="132"/>
      <c r="T3158" s="156"/>
      <c r="U3158" s="132"/>
      <c r="V3158" s="132">
        <v>2001</v>
      </c>
      <c r="W3158"/>
      <c r="X3158" s="153" t="s">
        <v>1644</v>
      </c>
      <c r="Y3158" s="124" t="s">
        <v>55</v>
      </c>
      <c r="Z3158" s="308">
        <v>231</v>
      </c>
      <c r="AB3158" t="str">
        <f>IF(Table1[[#This Row],[TIPO2]]="costo", VLOOKUP(Table1[[#This Row],[PARTIDA PRESUPUESTAL]],'Cost Report'!G:G,1,0),"Balance")</f>
        <v>2794-003</v>
      </c>
      <c r="AC3158" s="118"/>
      <c r="AD3158" s="159">
        <f>+Table1[[#This Row],[SUBTOTAL]]+Table1[[#This Row],[IVA]]-Table1[[#This Row],[RET IVA]]-Table1[[#This Row],[RET ISR]]-Table1[[#This Row],[TOTAL]]</f>
        <v>0</v>
      </c>
      <c r="AE3158" s="152"/>
      <c r="AF3158" s="153"/>
      <c r="AG3158" s="126" t="s">
        <v>3420</v>
      </c>
      <c r="AK3158" s="306" t="str">
        <f>IF(ISNUMBER(Table1[[#This Row],[FECHA DE RECIBIDO]]), Table1[[#This Row],[FECHA DE RECIBIDO]]-DATE(2023,8,30), "")</f>
        <v/>
      </c>
    </row>
    <row r="3159" spans="1:37" ht="15" customHeight="1">
      <c r="A3159" s="150" t="s">
        <v>4159</v>
      </c>
      <c r="B3159" s="151">
        <v>1158</v>
      </c>
      <c r="C3159" s="126" t="s">
        <v>2596</v>
      </c>
      <c r="D3159">
        <v>2130</v>
      </c>
      <c r="E3159" s="126" t="s">
        <v>3663</v>
      </c>
      <c r="F3159" s="122" t="s">
        <v>1607</v>
      </c>
      <c r="G3159" s="122" t="s">
        <v>134</v>
      </c>
      <c r="H3159">
        <v>594</v>
      </c>
      <c r="I3159" s="122" t="s">
        <v>1546</v>
      </c>
      <c r="J3159" s="307" t="s">
        <v>214</v>
      </c>
      <c r="K3159" s="127" t="s">
        <v>4112</v>
      </c>
      <c r="L3159" s="151" t="s">
        <v>1579</v>
      </c>
      <c r="M3159">
        <v>841</v>
      </c>
      <c r="N3159" s="123">
        <v>17</v>
      </c>
      <c r="O3159">
        <v>2079</v>
      </c>
      <c r="P3159" s="132" t="s">
        <v>77</v>
      </c>
      <c r="Q3159" s="131">
        <v>38.79</v>
      </c>
      <c r="R3159" s="131">
        <v>6.21</v>
      </c>
      <c r="S3159" s="131"/>
      <c r="T3159" s="155"/>
      <c r="U3159" s="131"/>
      <c r="V3159" s="131">
        <v>45</v>
      </c>
      <c r="W3159"/>
      <c r="X3159" s="151" t="s">
        <v>1644</v>
      </c>
      <c r="Y3159" s="135" t="s">
        <v>55</v>
      </c>
      <c r="Z3159" s="307">
        <v>231</v>
      </c>
      <c r="AB3159" t="str">
        <f>IF(Table1[[#This Row],[TIPO2]]="costo", VLOOKUP(Table1[[#This Row],[PARTIDA PRESUPUESTAL]],'Cost Report'!G:G,1,0),"Balance")</f>
        <v>2794-003</v>
      </c>
      <c r="AC3159" s="118"/>
      <c r="AD3159" s="159">
        <f>+Table1[[#This Row],[SUBTOTAL]]+Table1[[#This Row],[IVA]]-Table1[[#This Row],[RET IVA]]-Table1[[#This Row],[RET ISR]]-Table1[[#This Row],[TOTAL]]</f>
        <v>0</v>
      </c>
      <c r="AE3159" s="150"/>
      <c r="AF3159" s="151"/>
      <c r="AG3159" s="126" t="s">
        <v>3420</v>
      </c>
      <c r="AK3159" s="306" t="str">
        <f>IF(ISNUMBER(Table1[[#This Row],[FECHA DE RECIBIDO]]), Table1[[#This Row],[FECHA DE RECIBIDO]]-DATE(2023,8,30), "")</f>
        <v/>
      </c>
    </row>
    <row r="3160" spans="1:37" ht="15" customHeight="1">
      <c r="A3160" s="152" t="s">
        <v>4159</v>
      </c>
      <c r="B3160" s="153">
        <v>1158</v>
      </c>
      <c r="C3160" s="126" t="s">
        <v>2596</v>
      </c>
      <c r="D3160">
        <v>2131</v>
      </c>
      <c r="E3160" s="126" t="s">
        <v>3976</v>
      </c>
      <c r="F3160" s="125" t="s">
        <v>1607</v>
      </c>
      <c r="G3160" s="125" t="s">
        <v>134</v>
      </c>
      <c r="H3160">
        <v>79</v>
      </c>
      <c r="I3160" s="125" t="s">
        <v>1546</v>
      </c>
      <c r="J3160" s="308" t="s">
        <v>214</v>
      </c>
      <c r="K3160" s="127" t="s">
        <v>4112</v>
      </c>
      <c r="L3160" s="153" t="s">
        <v>1579</v>
      </c>
      <c r="M3160">
        <v>103</v>
      </c>
      <c r="N3160" s="123">
        <v>17</v>
      </c>
      <c r="O3160">
        <v>2080</v>
      </c>
      <c r="P3160" s="132" t="s">
        <v>77</v>
      </c>
      <c r="Q3160" s="132">
        <v>1290.18</v>
      </c>
      <c r="R3160" s="132">
        <v>206.42</v>
      </c>
      <c r="S3160" s="132"/>
      <c r="T3160" s="156"/>
      <c r="U3160" s="132"/>
      <c r="V3160" s="132">
        <v>1496.6000000000001</v>
      </c>
      <c r="W3160"/>
      <c r="X3160" s="153" t="s">
        <v>1644</v>
      </c>
      <c r="Y3160" s="124" t="s">
        <v>55</v>
      </c>
      <c r="Z3160" s="308">
        <v>231</v>
      </c>
      <c r="AB3160" t="str">
        <f>IF(Table1[[#This Row],[TIPO2]]="costo", VLOOKUP(Table1[[#This Row],[PARTIDA PRESUPUESTAL]],'Cost Report'!G:G,1,0),"Balance")</f>
        <v>2794-003</v>
      </c>
      <c r="AC3160" s="118"/>
      <c r="AD3160" s="159">
        <f>+Table1[[#This Row],[SUBTOTAL]]+Table1[[#This Row],[IVA]]-Table1[[#This Row],[RET IVA]]-Table1[[#This Row],[RET ISR]]-Table1[[#This Row],[TOTAL]]</f>
        <v>0</v>
      </c>
      <c r="AE3160" s="152"/>
      <c r="AF3160" s="153"/>
      <c r="AG3160" s="126" t="s">
        <v>3420</v>
      </c>
      <c r="AK3160" s="306" t="str">
        <f>IF(ISNUMBER(Table1[[#This Row],[FECHA DE RECIBIDO]]), Table1[[#This Row],[FECHA DE RECIBIDO]]-DATE(2023,8,30), "")</f>
        <v/>
      </c>
    </row>
    <row r="3161" spans="1:37" ht="15" customHeight="1">
      <c r="A3161" s="150" t="s">
        <v>4159</v>
      </c>
      <c r="B3161" s="151">
        <v>1158</v>
      </c>
      <c r="C3161" s="126" t="s">
        <v>2596</v>
      </c>
      <c r="D3161">
        <v>2132</v>
      </c>
      <c r="E3161" s="126" t="s">
        <v>4102</v>
      </c>
      <c r="F3161" s="122" t="s">
        <v>1607</v>
      </c>
      <c r="G3161" s="122" t="s">
        <v>134</v>
      </c>
      <c r="H3161">
        <v>79</v>
      </c>
      <c r="I3161" s="122" t="s">
        <v>1546</v>
      </c>
      <c r="J3161" s="307" t="s">
        <v>214</v>
      </c>
      <c r="K3161" s="127" t="s">
        <v>4112</v>
      </c>
      <c r="L3161" s="151" t="s">
        <v>1579</v>
      </c>
      <c r="M3161">
        <v>103</v>
      </c>
      <c r="N3161" s="123">
        <v>17</v>
      </c>
      <c r="O3161">
        <v>2081</v>
      </c>
      <c r="P3161" s="132" t="s">
        <v>77</v>
      </c>
      <c r="Q3161" s="131">
        <v>517.76</v>
      </c>
      <c r="R3161" s="131">
        <v>82.84</v>
      </c>
      <c r="S3161" s="131"/>
      <c r="T3161" s="155"/>
      <c r="U3161" s="131"/>
      <c r="V3161" s="131">
        <v>600.6</v>
      </c>
      <c r="W3161"/>
      <c r="X3161" s="151" t="s">
        <v>1644</v>
      </c>
      <c r="Y3161" s="135" t="s">
        <v>55</v>
      </c>
      <c r="Z3161" s="307">
        <v>231</v>
      </c>
      <c r="AB3161" t="str">
        <f>IF(Table1[[#This Row],[TIPO2]]="costo", VLOOKUP(Table1[[#This Row],[PARTIDA PRESUPUESTAL]],'Cost Report'!G:G,1,0),"Balance")</f>
        <v>2794-003</v>
      </c>
      <c r="AC3161" s="118"/>
      <c r="AD3161" s="159">
        <f>+Table1[[#This Row],[SUBTOTAL]]+Table1[[#This Row],[IVA]]-Table1[[#This Row],[RET IVA]]-Table1[[#This Row],[RET ISR]]-Table1[[#This Row],[TOTAL]]</f>
        <v>0</v>
      </c>
      <c r="AE3161" s="150"/>
      <c r="AF3161" s="151"/>
      <c r="AG3161" s="126" t="s">
        <v>3420</v>
      </c>
      <c r="AK3161" s="306" t="str">
        <f>IF(ISNUMBER(Table1[[#This Row],[FECHA DE RECIBIDO]]), Table1[[#This Row],[FECHA DE RECIBIDO]]-DATE(2023,8,30), "")</f>
        <v/>
      </c>
    </row>
    <row r="3162" spans="1:37" ht="15" customHeight="1">
      <c r="A3162" s="152" t="s">
        <v>4159</v>
      </c>
      <c r="B3162" s="153">
        <v>1158</v>
      </c>
      <c r="C3162" s="126" t="s">
        <v>2596</v>
      </c>
      <c r="D3162">
        <v>2133</v>
      </c>
      <c r="E3162" s="126" t="s">
        <v>1598</v>
      </c>
      <c r="F3162" s="125" t="s">
        <v>1607</v>
      </c>
      <c r="G3162" s="125" t="s">
        <v>134</v>
      </c>
      <c r="H3162">
        <v>393</v>
      </c>
      <c r="I3162" s="125" t="s">
        <v>1546</v>
      </c>
      <c r="J3162" s="308" t="s">
        <v>214</v>
      </c>
      <c r="K3162" s="127" t="s">
        <v>4112</v>
      </c>
      <c r="L3162" s="153" t="s">
        <v>1579</v>
      </c>
      <c r="M3162">
        <v>522</v>
      </c>
      <c r="N3162" s="123">
        <v>17</v>
      </c>
      <c r="O3162">
        <v>2079</v>
      </c>
      <c r="P3162" s="132" t="s">
        <v>77</v>
      </c>
      <c r="Q3162" s="132">
        <v>25.86</v>
      </c>
      <c r="R3162" s="132">
        <v>4.1399999999999997</v>
      </c>
      <c r="S3162" s="132"/>
      <c r="T3162" s="156"/>
      <c r="U3162" s="132"/>
      <c r="V3162" s="132">
        <v>30</v>
      </c>
      <c r="W3162"/>
      <c r="X3162" s="153" t="s">
        <v>1644</v>
      </c>
      <c r="Y3162" s="124" t="s">
        <v>55</v>
      </c>
      <c r="Z3162" s="308">
        <v>233</v>
      </c>
      <c r="AB3162" t="str">
        <f>IF(Table1[[#This Row],[TIPO2]]="costo", VLOOKUP(Table1[[#This Row],[PARTIDA PRESUPUESTAL]],'Cost Report'!G:G,1,0),"Balance")</f>
        <v>2794-003</v>
      </c>
      <c r="AC3162" s="118"/>
      <c r="AD3162" s="159">
        <f>+Table1[[#This Row],[SUBTOTAL]]+Table1[[#This Row],[IVA]]-Table1[[#This Row],[RET IVA]]-Table1[[#This Row],[RET ISR]]-Table1[[#This Row],[TOTAL]]</f>
        <v>0</v>
      </c>
      <c r="AE3162" s="152"/>
      <c r="AF3162" s="153"/>
      <c r="AG3162" s="126" t="s">
        <v>3420</v>
      </c>
      <c r="AK3162" s="306" t="str">
        <f>IF(ISNUMBER(Table1[[#This Row],[FECHA DE RECIBIDO]]), Table1[[#This Row],[FECHA DE RECIBIDO]]-DATE(2023,8,30), "")</f>
        <v/>
      </c>
    </row>
    <row r="3163" spans="1:37" ht="15" customHeight="1">
      <c r="A3163" s="150" t="s">
        <v>4159</v>
      </c>
      <c r="B3163" s="151">
        <v>1158</v>
      </c>
      <c r="C3163" s="126" t="s">
        <v>2596</v>
      </c>
      <c r="D3163">
        <v>2134</v>
      </c>
      <c r="E3163" s="126" t="s">
        <v>1598</v>
      </c>
      <c r="F3163" s="122" t="s">
        <v>1607</v>
      </c>
      <c r="G3163" s="122" t="s">
        <v>134</v>
      </c>
      <c r="H3163">
        <v>393</v>
      </c>
      <c r="I3163" s="122" t="s">
        <v>1546</v>
      </c>
      <c r="J3163" s="307" t="s">
        <v>214</v>
      </c>
      <c r="K3163" s="127" t="s">
        <v>4112</v>
      </c>
      <c r="L3163" s="151" t="s">
        <v>1579</v>
      </c>
      <c r="M3163">
        <v>522</v>
      </c>
      <c r="N3163" s="123">
        <v>17</v>
      </c>
      <c r="O3163">
        <v>2079</v>
      </c>
      <c r="P3163" s="132" t="s">
        <v>77</v>
      </c>
      <c r="Q3163" s="131">
        <v>129.31</v>
      </c>
      <c r="R3163" s="131">
        <v>20.69</v>
      </c>
      <c r="S3163" s="131"/>
      <c r="T3163" s="155"/>
      <c r="U3163" s="131"/>
      <c r="V3163" s="131">
        <v>150</v>
      </c>
      <c r="W3163"/>
      <c r="X3163" s="151" t="s">
        <v>1644</v>
      </c>
      <c r="Y3163" s="135" t="s">
        <v>55</v>
      </c>
      <c r="Z3163" s="307">
        <v>236</v>
      </c>
      <c r="AB3163" t="str">
        <f>IF(Table1[[#This Row],[TIPO2]]="costo", VLOOKUP(Table1[[#This Row],[PARTIDA PRESUPUESTAL]],'Cost Report'!G:G,1,0),"Balance")</f>
        <v>2794-003</v>
      </c>
      <c r="AC3163" s="118"/>
      <c r="AD3163" s="159">
        <f>+Table1[[#This Row],[SUBTOTAL]]+Table1[[#This Row],[IVA]]-Table1[[#This Row],[RET IVA]]-Table1[[#This Row],[RET ISR]]-Table1[[#This Row],[TOTAL]]</f>
        <v>0</v>
      </c>
      <c r="AE3163" s="150"/>
      <c r="AF3163" s="151"/>
      <c r="AG3163" s="126" t="s">
        <v>3420</v>
      </c>
      <c r="AK3163" s="306" t="str">
        <f>IF(ISNUMBER(Table1[[#This Row],[FECHA DE RECIBIDO]]), Table1[[#This Row],[FECHA DE RECIBIDO]]-DATE(2023,8,30), "")</f>
        <v/>
      </c>
    </row>
    <row r="3164" spans="1:37" ht="15" customHeight="1">
      <c r="A3164" s="152" t="s">
        <v>4159</v>
      </c>
      <c r="B3164" s="153">
        <v>1158</v>
      </c>
      <c r="C3164" s="126" t="s">
        <v>2596</v>
      </c>
      <c r="D3164">
        <v>2135</v>
      </c>
      <c r="E3164" s="126" t="s">
        <v>3663</v>
      </c>
      <c r="F3164" s="125" t="s">
        <v>1607</v>
      </c>
      <c r="G3164" s="125" t="s">
        <v>134</v>
      </c>
      <c r="H3164">
        <v>594</v>
      </c>
      <c r="I3164" s="125" t="s">
        <v>1546</v>
      </c>
      <c r="J3164" s="308" t="s">
        <v>214</v>
      </c>
      <c r="K3164" s="127" t="s">
        <v>4112</v>
      </c>
      <c r="L3164" s="153" t="s">
        <v>1579</v>
      </c>
      <c r="M3164">
        <v>841</v>
      </c>
      <c r="N3164" s="123">
        <v>17</v>
      </c>
      <c r="O3164">
        <v>2079</v>
      </c>
      <c r="P3164" s="132" t="s">
        <v>77</v>
      </c>
      <c r="Q3164" s="132">
        <v>51.72</v>
      </c>
      <c r="R3164" s="132">
        <v>8.2799999999999994</v>
      </c>
      <c r="S3164" s="132"/>
      <c r="T3164" s="156"/>
      <c r="U3164" s="132"/>
      <c r="V3164" s="132">
        <v>60</v>
      </c>
      <c r="W3164"/>
      <c r="X3164" s="153" t="s">
        <v>1644</v>
      </c>
      <c r="Y3164" s="124" t="s">
        <v>55</v>
      </c>
      <c r="Z3164" s="308">
        <v>238</v>
      </c>
      <c r="AB3164" t="str">
        <f>IF(Table1[[#This Row],[TIPO2]]="costo", VLOOKUP(Table1[[#This Row],[PARTIDA PRESUPUESTAL]],'Cost Report'!G:G,1,0),"Balance")</f>
        <v>2794-003</v>
      </c>
      <c r="AC3164" s="118"/>
      <c r="AD3164" s="159">
        <f>+Table1[[#This Row],[SUBTOTAL]]+Table1[[#This Row],[IVA]]-Table1[[#This Row],[RET IVA]]-Table1[[#This Row],[RET ISR]]-Table1[[#This Row],[TOTAL]]</f>
        <v>0</v>
      </c>
      <c r="AE3164" s="152"/>
      <c r="AF3164" s="153"/>
      <c r="AG3164" s="126" t="s">
        <v>3420</v>
      </c>
      <c r="AK3164" s="306" t="str">
        <f>IF(ISNUMBER(Table1[[#This Row],[FECHA DE RECIBIDO]]), Table1[[#This Row],[FECHA DE RECIBIDO]]-DATE(2023,8,30), "")</f>
        <v/>
      </c>
    </row>
    <row r="3165" spans="1:37" ht="15" customHeight="1">
      <c r="A3165" s="150" t="s">
        <v>4159</v>
      </c>
      <c r="B3165" s="151">
        <v>1158</v>
      </c>
      <c r="C3165" s="126" t="s">
        <v>2596</v>
      </c>
      <c r="D3165">
        <v>2136</v>
      </c>
      <c r="E3165" s="126" t="s">
        <v>2109</v>
      </c>
      <c r="F3165" s="122" t="s">
        <v>1607</v>
      </c>
      <c r="G3165" s="122" t="s">
        <v>134</v>
      </c>
      <c r="H3165">
        <v>595</v>
      </c>
      <c r="I3165" s="122" t="s">
        <v>1546</v>
      </c>
      <c r="J3165" s="307" t="s">
        <v>214</v>
      </c>
      <c r="K3165" s="127" t="s">
        <v>4112</v>
      </c>
      <c r="L3165" s="151" t="s">
        <v>1579</v>
      </c>
      <c r="M3165">
        <v>842</v>
      </c>
      <c r="N3165" s="123">
        <v>17</v>
      </c>
      <c r="O3165">
        <v>2079</v>
      </c>
      <c r="P3165" s="132" t="s">
        <v>77</v>
      </c>
      <c r="Q3165" s="131">
        <v>30.17</v>
      </c>
      <c r="R3165" s="131">
        <v>4.83</v>
      </c>
      <c r="S3165" s="131"/>
      <c r="T3165" s="155"/>
      <c r="U3165" s="131"/>
      <c r="V3165" s="131">
        <v>35</v>
      </c>
      <c r="W3165"/>
      <c r="X3165" s="151" t="s">
        <v>1644</v>
      </c>
      <c r="Y3165" s="135" t="s">
        <v>55</v>
      </c>
      <c r="Z3165" s="307">
        <v>239</v>
      </c>
      <c r="AB3165" t="str">
        <f>IF(Table1[[#This Row],[TIPO2]]="costo", VLOOKUP(Table1[[#This Row],[PARTIDA PRESUPUESTAL]],'Cost Report'!G:G,1,0),"Balance")</f>
        <v>2794-003</v>
      </c>
      <c r="AC3165" s="118"/>
      <c r="AD3165" s="159">
        <f>+Table1[[#This Row],[SUBTOTAL]]+Table1[[#This Row],[IVA]]-Table1[[#This Row],[RET IVA]]-Table1[[#This Row],[RET ISR]]-Table1[[#This Row],[TOTAL]]</f>
        <v>0</v>
      </c>
      <c r="AE3165" s="150"/>
      <c r="AF3165" s="151"/>
      <c r="AG3165" s="126" t="s">
        <v>3420</v>
      </c>
      <c r="AK3165" s="306" t="str">
        <f>IF(ISNUMBER(Table1[[#This Row],[FECHA DE RECIBIDO]]), Table1[[#This Row],[FECHA DE RECIBIDO]]-DATE(2023,8,30), "")</f>
        <v/>
      </c>
    </row>
    <row r="3166" spans="1:37" ht="15" customHeight="1">
      <c r="A3166" s="152" t="s">
        <v>4159</v>
      </c>
      <c r="B3166" s="153">
        <v>1158</v>
      </c>
      <c r="C3166" s="126" t="s">
        <v>2596</v>
      </c>
      <c r="D3166">
        <v>2137</v>
      </c>
      <c r="E3166" s="126" t="s">
        <v>1598</v>
      </c>
      <c r="F3166" s="125" t="s">
        <v>1607</v>
      </c>
      <c r="G3166" s="125" t="s">
        <v>134</v>
      </c>
      <c r="H3166">
        <v>393</v>
      </c>
      <c r="I3166" s="125" t="s">
        <v>1546</v>
      </c>
      <c r="J3166" s="308" t="s">
        <v>214</v>
      </c>
      <c r="K3166" s="127" t="s">
        <v>4112</v>
      </c>
      <c r="L3166" s="153" t="s">
        <v>1579</v>
      </c>
      <c r="M3166">
        <v>522</v>
      </c>
      <c r="N3166" s="123">
        <v>17</v>
      </c>
      <c r="O3166">
        <v>2079</v>
      </c>
      <c r="P3166" s="132" t="s">
        <v>77</v>
      </c>
      <c r="Q3166" s="132">
        <v>25.86</v>
      </c>
      <c r="R3166" s="132">
        <v>4.1399999999999997</v>
      </c>
      <c r="S3166" s="132"/>
      <c r="T3166" s="156"/>
      <c r="U3166" s="132"/>
      <c r="V3166" s="132">
        <v>30</v>
      </c>
      <c r="W3166"/>
      <c r="X3166" s="153" t="s">
        <v>1644</v>
      </c>
      <c r="Y3166" s="124" t="s">
        <v>55</v>
      </c>
      <c r="Z3166" s="308">
        <v>236</v>
      </c>
      <c r="AB3166" t="str">
        <f>IF(Table1[[#This Row],[TIPO2]]="costo", VLOOKUP(Table1[[#This Row],[PARTIDA PRESUPUESTAL]],'Cost Report'!G:G,1,0),"Balance")</f>
        <v>2794-003</v>
      </c>
      <c r="AC3166" s="118"/>
      <c r="AD3166" s="159">
        <f>+Table1[[#This Row],[SUBTOTAL]]+Table1[[#This Row],[IVA]]-Table1[[#This Row],[RET IVA]]-Table1[[#This Row],[RET ISR]]-Table1[[#This Row],[TOTAL]]</f>
        <v>0</v>
      </c>
      <c r="AE3166" s="152"/>
      <c r="AF3166" s="153"/>
      <c r="AG3166" s="126" t="s">
        <v>3420</v>
      </c>
      <c r="AK3166" s="306" t="str">
        <f>IF(ISNUMBER(Table1[[#This Row],[FECHA DE RECIBIDO]]), Table1[[#This Row],[FECHA DE RECIBIDO]]-DATE(2023,8,30), "")</f>
        <v/>
      </c>
    </row>
    <row r="3167" spans="1:37" ht="15" customHeight="1">
      <c r="A3167" s="150" t="s">
        <v>4160</v>
      </c>
      <c r="B3167" s="151">
        <v>1159</v>
      </c>
      <c r="C3167" s="126" t="s">
        <v>2596</v>
      </c>
      <c r="D3167">
        <v>2138</v>
      </c>
      <c r="E3167" s="126" t="s">
        <v>2004</v>
      </c>
      <c r="F3167" s="122" t="s">
        <v>1607</v>
      </c>
      <c r="G3167" s="122" t="s">
        <v>134</v>
      </c>
      <c r="H3167">
        <v>96</v>
      </c>
      <c r="I3167" s="122" t="s">
        <v>1546</v>
      </c>
      <c r="J3167" s="307" t="s">
        <v>214</v>
      </c>
      <c r="K3167" s="127" t="s">
        <v>4112</v>
      </c>
      <c r="L3167" s="151" t="s">
        <v>1579</v>
      </c>
      <c r="M3167">
        <v>680</v>
      </c>
      <c r="N3167" s="123">
        <v>17</v>
      </c>
      <c r="O3167">
        <v>2082</v>
      </c>
      <c r="P3167" s="132" t="s">
        <v>77</v>
      </c>
      <c r="Q3167" s="131">
        <v>1937.93</v>
      </c>
      <c r="R3167" s="131">
        <v>310.07</v>
      </c>
      <c r="S3167" s="131"/>
      <c r="T3167" s="155"/>
      <c r="U3167" s="131"/>
      <c r="V3167" s="131">
        <v>2248</v>
      </c>
      <c r="W3167"/>
      <c r="X3167" s="151" t="s">
        <v>1644</v>
      </c>
      <c r="Y3167" s="135" t="s">
        <v>55</v>
      </c>
      <c r="Z3167" s="307">
        <v>236</v>
      </c>
      <c r="AB3167" t="str">
        <f>IF(Table1[[#This Row],[TIPO2]]="costo", VLOOKUP(Table1[[#This Row],[PARTIDA PRESUPUESTAL]],'Cost Report'!G:G,1,0),"Balance")</f>
        <v>2794-003</v>
      </c>
      <c r="AC3167" s="118"/>
      <c r="AD3167" s="159">
        <f>+Table1[[#This Row],[SUBTOTAL]]+Table1[[#This Row],[IVA]]-Table1[[#This Row],[RET IVA]]-Table1[[#This Row],[RET ISR]]-Table1[[#This Row],[TOTAL]]</f>
        <v>0</v>
      </c>
      <c r="AE3167" s="150"/>
      <c r="AF3167" s="151"/>
      <c r="AG3167" s="126" t="s">
        <v>3420</v>
      </c>
      <c r="AK3167" s="306" t="str">
        <f>IF(ISNUMBER(Table1[[#This Row],[FECHA DE RECIBIDO]]), Table1[[#This Row],[FECHA DE RECIBIDO]]-DATE(2023,8,30), "")</f>
        <v/>
      </c>
    </row>
    <row r="3168" spans="1:37" ht="15" customHeight="1">
      <c r="A3168" s="152" t="s">
        <v>4160</v>
      </c>
      <c r="B3168" s="153">
        <v>1159</v>
      </c>
      <c r="C3168" s="126" t="s">
        <v>2596</v>
      </c>
      <c r="D3168">
        <v>2139</v>
      </c>
      <c r="E3168" s="126" t="s">
        <v>2004</v>
      </c>
      <c r="F3168" s="125" t="s">
        <v>1607</v>
      </c>
      <c r="G3168" s="125" t="s">
        <v>134</v>
      </c>
      <c r="H3168">
        <v>96</v>
      </c>
      <c r="I3168" s="125" t="s">
        <v>1546</v>
      </c>
      <c r="J3168" s="308" t="s">
        <v>214</v>
      </c>
      <c r="K3168" s="127" t="s">
        <v>4112</v>
      </c>
      <c r="L3168" s="153" t="s">
        <v>1579</v>
      </c>
      <c r="M3168">
        <v>680</v>
      </c>
      <c r="N3168" s="123">
        <v>17</v>
      </c>
      <c r="O3168">
        <v>2083</v>
      </c>
      <c r="P3168" s="132" t="s">
        <v>77</v>
      </c>
      <c r="Q3168" s="132">
        <v>1722.42</v>
      </c>
      <c r="R3168" s="132">
        <v>275.58999999999997</v>
      </c>
      <c r="S3168" s="132"/>
      <c r="T3168" s="156"/>
      <c r="U3168" s="132"/>
      <c r="V3168" s="132">
        <v>1998.01</v>
      </c>
      <c r="W3168"/>
      <c r="X3168" s="153" t="s">
        <v>1644</v>
      </c>
      <c r="Y3168" s="124" t="s">
        <v>55</v>
      </c>
      <c r="Z3168" s="308">
        <v>236</v>
      </c>
      <c r="AB3168" t="str">
        <f>IF(Table1[[#This Row],[TIPO2]]="costo", VLOOKUP(Table1[[#This Row],[PARTIDA PRESUPUESTAL]],'Cost Report'!G:G,1,0),"Balance")</f>
        <v>2794-003</v>
      </c>
      <c r="AC3168" s="118"/>
      <c r="AD3168" s="159">
        <f>+Table1[[#This Row],[SUBTOTAL]]+Table1[[#This Row],[IVA]]-Table1[[#This Row],[RET IVA]]-Table1[[#This Row],[RET ISR]]-Table1[[#This Row],[TOTAL]]</f>
        <v>0</v>
      </c>
      <c r="AE3168" s="152"/>
      <c r="AF3168" s="153"/>
      <c r="AG3168" s="126" t="s">
        <v>3420</v>
      </c>
      <c r="AK3168" s="306" t="str">
        <f>IF(ISNUMBER(Table1[[#This Row],[FECHA DE RECIBIDO]]), Table1[[#This Row],[FECHA DE RECIBIDO]]-DATE(2023,8,30), "")</f>
        <v/>
      </c>
    </row>
    <row r="3169" spans="1:37" ht="15" customHeight="1">
      <c r="A3169" s="150" t="s">
        <v>4160</v>
      </c>
      <c r="B3169" s="151">
        <v>1159</v>
      </c>
      <c r="C3169" s="126" t="s">
        <v>2596</v>
      </c>
      <c r="D3169">
        <v>2140</v>
      </c>
      <c r="E3169" s="126" t="s">
        <v>2008</v>
      </c>
      <c r="F3169" s="122" t="s">
        <v>1607</v>
      </c>
      <c r="G3169" s="122" t="s">
        <v>134</v>
      </c>
      <c r="H3169">
        <v>102</v>
      </c>
      <c r="I3169" s="122" t="s">
        <v>1546</v>
      </c>
      <c r="J3169" s="307" t="s">
        <v>214</v>
      </c>
      <c r="K3169" s="127" t="s">
        <v>4112</v>
      </c>
      <c r="L3169" s="151" t="s">
        <v>1579</v>
      </c>
      <c r="M3169">
        <v>137</v>
      </c>
      <c r="N3169" s="123">
        <v>17</v>
      </c>
      <c r="O3169">
        <v>2084</v>
      </c>
      <c r="P3169" s="132" t="s">
        <v>77</v>
      </c>
      <c r="Q3169" s="131">
        <v>1723.28</v>
      </c>
      <c r="R3169" s="131">
        <v>275.72000000000003</v>
      </c>
      <c r="S3169" s="131"/>
      <c r="T3169" s="155"/>
      <c r="U3169" s="131"/>
      <c r="V3169" s="131">
        <v>1999</v>
      </c>
      <c r="W3169"/>
      <c r="X3169" s="151" t="s">
        <v>1644</v>
      </c>
      <c r="Y3169" s="135" t="s">
        <v>55</v>
      </c>
      <c r="Z3169" s="307">
        <v>231</v>
      </c>
      <c r="AB3169" t="str">
        <f>IF(Table1[[#This Row],[TIPO2]]="costo", VLOOKUP(Table1[[#This Row],[PARTIDA PRESUPUESTAL]],'Cost Report'!G:G,1,0),"Balance")</f>
        <v>2794-003</v>
      </c>
      <c r="AC3169" s="118"/>
      <c r="AD3169" s="159">
        <f>+Table1[[#This Row],[SUBTOTAL]]+Table1[[#This Row],[IVA]]-Table1[[#This Row],[RET IVA]]-Table1[[#This Row],[RET ISR]]-Table1[[#This Row],[TOTAL]]</f>
        <v>0</v>
      </c>
      <c r="AE3169" s="150"/>
      <c r="AF3169" s="151"/>
      <c r="AG3169" s="126" t="s">
        <v>3420</v>
      </c>
      <c r="AK3169" s="306" t="str">
        <f>IF(ISNUMBER(Table1[[#This Row],[FECHA DE RECIBIDO]]), Table1[[#This Row],[FECHA DE RECIBIDO]]-DATE(2023,8,30), "")</f>
        <v/>
      </c>
    </row>
    <row r="3170" spans="1:37" ht="15" customHeight="1">
      <c r="A3170" s="152" t="s">
        <v>4160</v>
      </c>
      <c r="B3170" s="153">
        <v>1159</v>
      </c>
      <c r="C3170" s="126" t="s">
        <v>2596</v>
      </c>
      <c r="D3170">
        <v>2141</v>
      </c>
      <c r="E3170" s="126" t="s">
        <v>1615</v>
      </c>
      <c r="F3170" s="125" t="s">
        <v>1593</v>
      </c>
      <c r="G3170" s="125" t="s">
        <v>109</v>
      </c>
      <c r="H3170">
        <v>596</v>
      </c>
      <c r="I3170" s="125" t="s">
        <v>1546</v>
      </c>
      <c r="J3170" s="308" t="s">
        <v>214</v>
      </c>
      <c r="K3170" s="127" t="s">
        <v>4112</v>
      </c>
      <c r="L3170" s="153" t="s">
        <v>1579</v>
      </c>
      <c r="M3170">
        <v>843</v>
      </c>
      <c r="N3170" s="123">
        <v>17</v>
      </c>
      <c r="O3170">
        <v>2085</v>
      </c>
      <c r="P3170" s="132" t="s">
        <v>77</v>
      </c>
      <c r="Q3170" s="132">
        <f>455+5.69</f>
        <v>460.69</v>
      </c>
      <c r="R3170" s="132">
        <v>72.8</v>
      </c>
      <c r="S3170" s="132">
        <v>5.69</v>
      </c>
      <c r="T3170" s="156"/>
      <c r="U3170" s="132"/>
      <c r="V3170" s="132">
        <v>533.49</v>
      </c>
      <c r="W3170"/>
      <c r="X3170" s="153" t="s">
        <v>1644</v>
      </c>
      <c r="Y3170" s="124" t="s">
        <v>55</v>
      </c>
      <c r="Z3170" s="308">
        <v>224</v>
      </c>
      <c r="AB3170" t="str">
        <f>IF(Table1[[#This Row],[TIPO2]]="costo", VLOOKUP(Table1[[#This Row],[PARTIDA PRESUPUESTAL]],'Cost Report'!G:G,1,0),"Balance")</f>
        <v>2794-003</v>
      </c>
      <c r="AC3170" s="118"/>
      <c r="AD3170" s="159">
        <f>+Table1[[#This Row],[SUBTOTAL]]+Table1[[#This Row],[IVA]]-Table1[[#This Row],[RET IVA]]-Table1[[#This Row],[RET ISR]]-Table1[[#This Row],[TOTAL]]</f>
        <v>0</v>
      </c>
      <c r="AE3170" s="152"/>
      <c r="AF3170" s="153"/>
      <c r="AG3170" s="126" t="s">
        <v>3420</v>
      </c>
      <c r="AK3170" s="306" t="str">
        <f>IF(ISNUMBER(Table1[[#This Row],[FECHA DE RECIBIDO]]), Table1[[#This Row],[FECHA DE RECIBIDO]]-DATE(2023,8,30), "")</f>
        <v/>
      </c>
    </row>
    <row r="3171" spans="1:37" ht="15" customHeight="1">
      <c r="A3171" s="150" t="s">
        <v>4160</v>
      </c>
      <c r="B3171" s="151">
        <v>1159</v>
      </c>
      <c r="C3171" s="126" t="s">
        <v>2596</v>
      </c>
      <c r="D3171">
        <v>2142</v>
      </c>
      <c r="E3171" s="126" t="s">
        <v>3387</v>
      </c>
      <c r="F3171" s="122" t="s">
        <v>1607</v>
      </c>
      <c r="G3171" s="122" t="s">
        <v>134</v>
      </c>
      <c r="H3171">
        <v>597</v>
      </c>
      <c r="I3171" s="122" t="s">
        <v>1546</v>
      </c>
      <c r="J3171" s="307" t="s">
        <v>214</v>
      </c>
      <c r="K3171" s="127" t="s">
        <v>4112</v>
      </c>
      <c r="L3171" s="151" t="s">
        <v>1579</v>
      </c>
      <c r="M3171">
        <v>844</v>
      </c>
      <c r="N3171" s="123">
        <v>17</v>
      </c>
      <c r="O3171">
        <v>2086</v>
      </c>
      <c r="P3171" s="132" t="s">
        <v>77</v>
      </c>
      <c r="Q3171" s="131">
        <v>150.86000000000001</v>
      </c>
      <c r="R3171" s="131">
        <v>24.14</v>
      </c>
      <c r="S3171" s="131"/>
      <c r="T3171" s="155"/>
      <c r="U3171" s="131"/>
      <c r="V3171" s="131">
        <v>175</v>
      </c>
      <c r="W3171"/>
      <c r="X3171" s="151" t="s">
        <v>1644</v>
      </c>
      <c r="Y3171" s="135" t="s">
        <v>55</v>
      </c>
      <c r="Z3171" s="307">
        <v>238</v>
      </c>
      <c r="AB3171" t="str">
        <f>IF(Table1[[#This Row],[TIPO2]]="costo", VLOOKUP(Table1[[#This Row],[PARTIDA PRESUPUESTAL]],'Cost Report'!G:G,1,0),"Balance")</f>
        <v>2794-003</v>
      </c>
      <c r="AC3171" s="118"/>
      <c r="AD3171" s="159">
        <f>+Table1[[#This Row],[SUBTOTAL]]+Table1[[#This Row],[IVA]]-Table1[[#This Row],[RET IVA]]-Table1[[#This Row],[RET ISR]]-Table1[[#This Row],[TOTAL]]</f>
        <v>0</v>
      </c>
      <c r="AE3171" s="150"/>
      <c r="AF3171" s="151"/>
      <c r="AG3171" s="126" t="s">
        <v>3420</v>
      </c>
      <c r="AK3171" s="306" t="str">
        <f>IF(ISNUMBER(Table1[[#This Row],[FECHA DE RECIBIDO]]), Table1[[#This Row],[FECHA DE RECIBIDO]]-DATE(2023,8,30), "")</f>
        <v/>
      </c>
    </row>
    <row r="3172" spans="1:37" ht="15" customHeight="1">
      <c r="A3172" s="152" t="s">
        <v>4160</v>
      </c>
      <c r="B3172" s="153">
        <v>1159</v>
      </c>
      <c r="C3172" s="126" t="s">
        <v>2596</v>
      </c>
      <c r="D3172">
        <v>2143</v>
      </c>
      <c r="E3172" s="126" t="s">
        <v>1647</v>
      </c>
      <c r="F3172" s="125" t="s">
        <v>1607</v>
      </c>
      <c r="G3172" s="125" t="s">
        <v>134</v>
      </c>
      <c r="H3172">
        <v>598</v>
      </c>
      <c r="I3172" s="125" t="s">
        <v>1546</v>
      </c>
      <c r="J3172" s="308" t="s">
        <v>214</v>
      </c>
      <c r="K3172" s="127" t="s">
        <v>4112</v>
      </c>
      <c r="L3172" s="153" t="s">
        <v>1579</v>
      </c>
      <c r="M3172">
        <v>845</v>
      </c>
      <c r="N3172" s="123">
        <v>17</v>
      </c>
      <c r="O3172">
        <v>2086</v>
      </c>
      <c r="P3172" s="132" t="s">
        <v>77</v>
      </c>
      <c r="Q3172" s="132">
        <v>51.72</v>
      </c>
      <c r="R3172" s="132">
        <v>8.2799999999999994</v>
      </c>
      <c r="S3172" s="132"/>
      <c r="T3172" s="156"/>
      <c r="U3172" s="132"/>
      <c r="V3172" s="132">
        <v>60</v>
      </c>
      <c r="W3172"/>
      <c r="X3172" s="153" t="s">
        <v>1644</v>
      </c>
      <c r="Y3172" s="124" t="s">
        <v>55</v>
      </c>
      <c r="Z3172" s="308">
        <v>215</v>
      </c>
      <c r="AB3172" t="str">
        <f>IF(Table1[[#This Row],[TIPO2]]="costo", VLOOKUP(Table1[[#This Row],[PARTIDA PRESUPUESTAL]],'Cost Report'!G:G,1,0),"Balance")</f>
        <v>2794-003</v>
      </c>
      <c r="AC3172" s="118"/>
      <c r="AD3172" s="159">
        <f>+Table1[[#This Row],[SUBTOTAL]]+Table1[[#This Row],[IVA]]-Table1[[#This Row],[RET IVA]]-Table1[[#This Row],[RET ISR]]-Table1[[#This Row],[TOTAL]]</f>
        <v>0</v>
      </c>
      <c r="AE3172" s="152"/>
      <c r="AF3172" s="153"/>
      <c r="AG3172" s="126" t="s">
        <v>3420</v>
      </c>
      <c r="AK3172" s="306" t="str">
        <f>IF(ISNUMBER(Table1[[#This Row],[FECHA DE RECIBIDO]]), Table1[[#This Row],[FECHA DE RECIBIDO]]-DATE(2023,8,30), "")</f>
        <v/>
      </c>
    </row>
    <row r="3173" spans="1:37" ht="15" customHeight="1">
      <c r="A3173" s="150" t="s">
        <v>4160</v>
      </c>
      <c r="B3173" s="151">
        <v>1159</v>
      </c>
      <c r="C3173" s="126" t="s">
        <v>2596</v>
      </c>
      <c r="D3173">
        <v>2144</v>
      </c>
      <c r="E3173" s="126" t="e">
        <v>#N/A</v>
      </c>
      <c r="F3173" s="122" t="e">
        <v>#N/A</v>
      </c>
      <c r="G3173" s="122" t="e">
        <v>#N/A</v>
      </c>
      <c r="H3173">
        <v>36</v>
      </c>
      <c r="I3173" s="122" t="e">
        <v>#N/A</v>
      </c>
      <c r="J3173" s="307" t="s">
        <v>214</v>
      </c>
      <c r="K3173" s="127" t="s">
        <v>4112</v>
      </c>
      <c r="L3173" s="151" t="s">
        <v>1579</v>
      </c>
      <c r="M3173">
        <v>846</v>
      </c>
      <c r="N3173" s="123">
        <v>17</v>
      </c>
      <c r="O3173">
        <v>2086</v>
      </c>
      <c r="P3173" s="132" t="s">
        <v>77</v>
      </c>
      <c r="Q3173" s="131">
        <v>60.35</v>
      </c>
      <c r="R3173" s="131">
        <v>9.66</v>
      </c>
      <c r="S3173" s="131"/>
      <c r="T3173" s="155"/>
      <c r="U3173" s="131"/>
      <c r="V3173" s="131">
        <v>70.010000000000005</v>
      </c>
      <c r="W3173"/>
      <c r="X3173" s="151" t="s">
        <v>1644</v>
      </c>
      <c r="Y3173" s="135" t="s">
        <v>55</v>
      </c>
      <c r="Z3173" s="307">
        <v>215</v>
      </c>
      <c r="AB3173" t="str">
        <f>IF(Table1[[#This Row],[TIPO2]]="costo", VLOOKUP(Table1[[#This Row],[PARTIDA PRESUPUESTAL]],'Cost Report'!G:G,1,0),"Balance")</f>
        <v>2794-003</v>
      </c>
      <c r="AC3173" s="118"/>
      <c r="AD3173" s="159">
        <f>+Table1[[#This Row],[SUBTOTAL]]+Table1[[#This Row],[IVA]]-Table1[[#This Row],[RET IVA]]-Table1[[#This Row],[RET ISR]]-Table1[[#This Row],[TOTAL]]</f>
        <v>0</v>
      </c>
      <c r="AE3173" s="150"/>
      <c r="AF3173" s="151"/>
      <c r="AG3173" s="126" t="s">
        <v>3420</v>
      </c>
      <c r="AK3173" s="306" t="str">
        <f>IF(ISNUMBER(Table1[[#This Row],[FECHA DE RECIBIDO]]), Table1[[#This Row],[FECHA DE RECIBIDO]]-DATE(2023,8,30), "")</f>
        <v/>
      </c>
    </row>
    <row r="3174" spans="1:37" ht="15" customHeight="1">
      <c r="A3174" s="152" t="s">
        <v>4161</v>
      </c>
      <c r="B3174" s="153">
        <v>1160</v>
      </c>
      <c r="C3174" s="126" t="s">
        <v>2596</v>
      </c>
      <c r="D3174">
        <v>689</v>
      </c>
      <c r="E3174" s="126"/>
      <c r="F3174" s="125"/>
      <c r="G3174" s="125"/>
      <c r="H3174"/>
      <c r="I3174" s="125"/>
      <c r="J3174" s="308" t="s">
        <v>214</v>
      </c>
      <c r="K3174" s="127" t="s">
        <v>4112</v>
      </c>
      <c r="L3174" s="153" t="s">
        <v>1579</v>
      </c>
      <c r="M3174">
        <v>847</v>
      </c>
      <c r="N3174" s="123">
        <v>17</v>
      </c>
      <c r="O3174">
        <v>2087</v>
      </c>
      <c r="P3174" s="132" t="s">
        <v>77</v>
      </c>
      <c r="Q3174" s="132">
        <v>25</v>
      </c>
      <c r="R3174" s="132"/>
      <c r="S3174" s="132"/>
      <c r="T3174" s="156"/>
      <c r="U3174" s="132"/>
      <c r="V3174" s="132">
        <v>25</v>
      </c>
      <c r="W3174"/>
      <c r="X3174" s="153" t="s">
        <v>1644</v>
      </c>
      <c r="Y3174" s="124" t="s">
        <v>55</v>
      </c>
      <c r="Z3174" s="308">
        <v>180</v>
      </c>
      <c r="AB3174" t="str">
        <f>IF(Table1[[#This Row],[TIPO2]]="costo", VLOOKUP(Table1[[#This Row],[PARTIDA PRESUPUESTAL]],'Cost Report'!G:G,1,0),"Balance")</f>
        <v>2794-003</v>
      </c>
      <c r="AC3174" s="118"/>
      <c r="AD3174" s="159">
        <f>+Table1[[#This Row],[SUBTOTAL]]+Table1[[#This Row],[IVA]]-Table1[[#This Row],[RET IVA]]-Table1[[#This Row],[RET ISR]]-Table1[[#This Row],[TOTAL]]</f>
        <v>0</v>
      </c>
      <c r="AE3174" s="152"/>
      <c r="AF3174" s="153"/>
      <c r="AG3174" s="126" t="s">
        <v>3420</v>
      </c>
      <c r="AK3174" s="306" t="str">
        <f>IF(ISNUMBER(Table1[[#This Row],[FECHA DE RECIBIDO]]), Table1[[#This Row],[FECHA DE RECIBIDO]]-DATE(2023,8,30), "")</f>
        <v/>
      </c>
    </row>
    <row r="3175" spans="1:37" ht="15" customHeight="1">
      <c r="A3175" s="150" t="s">
        <v>4161</v>
      </c>
      <c r="B3175" s="151">
        <v>1160</v>
      </c>
      <c r="C3175" s="126" t="s">
        <v>2596</v>
      </c>
      <c r="D3175">
        <v>689</v>
      </c>
      <c r="E3175" s="126"/>
      <c r="F3175" s="122"/>
      <c r="G3175" s="122"/>
      <c r="H3175"/>
      <c r="I3175" s="122"/>
      <c r="J3175" s="307" t="s">
        <v>214</v>
      </c>
      <c r="K3175" s="127" t="s">
        <v>4112</v>
      </c>
      <c r="L3175" s="151" t="s">
        <v>1579</v>
      </c>
      <c r="M3175">
        <v>847</v>
      </c>
      <c r="N3175" s="123">
        <v>17</v>
      </c>
      <c r="O3175">
        <v>2087</v>
      </c>
      <c r="P3175" s="132" t="s">
        <v>77</v>
      </c>
      <c r="Q3175" s="131">
        <v>87</v>
      </c>
      <c r="R3175" s="131"/>
      <c r="S3175" s="131"/>
      <c r="T3175" s="155"/>
      <c r="U3175" s="131"/>
      <c r="V3175" s="131">
        <v>87</v>
      </c>
      <c r="W3175"/>
      <c r="X3175" s="151" t="s">
        <v>1644</v>
      </c>
      <c r="Y3175" s="135" t="s">
        <v>55</v>
      </c>
      <c r="Z3175" s="307">
        <v>191</v>
      </c>
      <c r="AB3175" t="str">
        <f>IF(Table1[[#This Row],[TIPO2]]="costo", VLOOKUP(Table1[[#This Row],[PARTIDA PRESUPUESTAL]],'Cost Report'!G:G,1,0),"Balance")</f>
        <v>2794-003</v>
      </c>
      <c r="AC3175" s="118"/>
      <c r="AD3175" s="159">
        <f>+Table1[[#This Row],[SUBTOTAL]]+Table1[[#This Row],[IVA]]-Table1[[#This Row],[RET IVA]]-Table1[[#This Row],[RET ISR]]-Table1[[#This Row],[TOTAL]]</f>
        <v>0</v>
      </c>
      <c r="AE3175" s="150"/>
      <c r="AF3175" s="151"/>
      <c r="AG3175" s="126" t="s">
        <v>3420</v>
      </c>
      <c r="AK3175" s="306" t="str">
        <f>IF(ISNUMBER(Table1[[#This Row],[FECHA DE RECIBIDO]]), Table1[[#This Row],[FECHA DE RECIBIDO]]-DATE(2023,8,30), "")</f>
        <v/>
      </c>
    </row>
    <row r="3176" spans="1:37" ht="15" customHeight="1">
      <c r="A3176" s="152" t="s">
        <v>4161</v>
      </c>
      <c r="B3176" s="153">
        <v>1160</v>
      </c>
      <c r="C3176" s="126" t="s">
        <v>2596</v>
      </c>
      <c r="D3176">
        <v>689</v>
      </c>
      <c r="E3176" s="126"/>
      <c r="F3176" s="125"/>
      <c r="G3176" s="125"/>
      <c r="H3176"/>
      <c r="I3176" s="125"/>
      <c r="J3176" s="308" t="s">
        <v>214</v>
      </c>
      <c r="K3176" s="127" t="s">
        <v>4112</v>
      </c>
      <c r="L3176" s="153" t="s">
        <v>1579</v>
      </c>
      <c r="M3176">
        <v>847</v>
      </c>
      <c r="N3176" s="123">
        <v>17</v>
      </c>
      <c r="O3176">
        <v>2087</v>
      </c>
      <c r="P3176" s="132" t="s">
        <v>77</v>
      </c>
      <c r="Q3176" s="132">
        <v>37</v>
      </c>
      <c r="R3176" s="132"/>
      <c r="S3176" s="132"/>
      <c r="T3176" s="156"/>
      <c r="U3176" s="132"/>
      <c r="V3176" s="132">
        <v>37</v>
      </c>
      <c r="W3176"/>
      <c r="X3176" s="153" t="s">
        <v>1644</v>
      </c>
      <c r="Y3176" s="124" t="s">
        <v>55</v>
      </c>
      <c r="Z3176" s="308">
        <v>178</v>
      </c>
      <c r="AB3176" t="str">
        <f>IF(Table1[[#This Row],[TIPO2]]="costo", VLOOKUP(Table1[[#This Row],[PARTIDA PRESUPUESTAL]],'Cost Report'!G:G,1,0),"Balance")</f>
        <v>2794-003</v>
      </c>
      <c r="AC3176" s="118"/>
      <c r="AD3176" s="159">
        <f>+Table1[[#This Row],[SUBTOTAL]]+Table1[[#This Row],[IVA]]-Table1[[#This Row],[RET IVA]]-Table1[[#This Row],[RET ISR]]-Table1[[#This Row],[TOTAL]]</f>
        <v>0</v>
      </c>
      <c r="AE3176" s="152"/>
      <c r="AF3176" s="153"/>
      <c r="AG3176" s="126" t="s">
        <v>3420</v>
      </c>
      <c r="AK3176" s="306" t="str">
        <f>IF(ISNUMBER(Table1[[#This Row],[FECHA DE RECIBIDO]]), Table1[[#This Row],[FECHA DE RECIBIDO]]-DATE(2023,8,30), "")</f>
        <v/>
      </c>
    </row>
    <row r="3177" spans="1:37" ht="15" customHeight="1">
      <c r="A3177" s="150" t="s">
        <v>4161</v>
      </c>
      <c r="B3177" s="151">
        <v>1160</v>
      </c>
      <c r="C3177" s="126" t="s">
        <v>2596</v>
      </c>
      <c r="D3177">
        <v>689</v>
      </c>
      <c r="E3177" s="126"/>
      <c r="F3177" s="122"/>
      <c r="G3177" s="122"/>
      <c r="H3177"/>
      <c r="I3177" s="122"/>
      <c r="J3177" s="307" t="s">
        <v>214</v>
      </c>
      <c r="K3177" s="127" t="s">
        <v>4112</v>
      </c>
      <c r="L3177" s="151" t="s">
        <v>1579</v>
      </c>
      <c r="M3177">
        <v>847</v>
      </c>
      <c r="N3177" s="123">
        <v>17</v>
      </c>
      <c r="O3177">
        <v>2087</v>
      </c>
      <c r="P3177" s="132" t="s">
        <v>77</v>
      </c>
      <c r="Q3177" s="131">
        <v>75</v>
      </c>
      <c r="R3177" s="131"/>
      <c r="S3177" s="131"/>
      <c r="T3177" s="155"/>
      <c r="U3177" s="131"/>
      <c r="V3177" s="131">
        <v>75</v>
      </c>
      <c r="W3177"/>
      <c r="X3177" s="151" t="s">
        <v>1644</v>
      </c>
      <c r="Y3177" s="135" t="s">
        <v>55</v>
      </c>
      <c r="Z3177" s="307">
        <v>178</v>
      </c>
      <c r="AB3177" t="str">
        <f>IF(Table1[[#This Row],[TIPO2]]="costo", VLOOKUP(Table1[[#This Row],[PARTIDA PRESUPUESTAL]],'Cost Report'!G:G,1,0),"Balance")</f>
        <v>2794-003</v>
      </c>
      <c r="AC3177" s="118"/>
      <c r="AD3177" s="159">
        <f>+Table1[[#This Row],[SUBTOTAL]]+Table1[[#This Row],[IVA]]-Table1[[#This Row],[RET IVA]]-Table1[[#This Row],[RET ISR]]-Table1[[#This Row],[TOTAL]]</f>
        <v>0</v>
      </c>
      <c r="AE3177" s="150"/>
      <c r="AF3177" s="151"/>
      <c r="AG3177" s="126" t="s">
        <v>3420</v>
      </c>
      <c r="AK3177" s="306" t="str">
        <f>IF(ISNUMBER(Table1[[#This Row],[FECHA DE RECIBIDO]]), Table1[[#This Row],[FECHA DE RECIBIDO]]-DATE(2023,8,30), "")</f>
        <v/>
      </c>
    </row>
    <row r="3178" spans="1:37" ht="15" customHeight="1">
      <c r="A3178" s="152" t="s">
        <v>4161</v>
      </c>
      <c r="B3178" s="153">
        <v>1160</v>
      </c>
      <c r="C3178" s="126" t="s">
        <v>2596</v>
      </c>
      <c r="D3178">
        <v>689</v>
      </c>
      <c r="E3178" s="126"/>
      <c r="F3178" s="125"/>
      <c r="G3178" s="125"/>
      <c r="H3178"/>
      <c r="I3178" s="125"/>
      <c r="J3178" s="308" t="s">
        <v>214</v>
      </c>
      <c r="K3178" s="127" t="s">
        <v>4112</v>
      </c>
      <c r="L3178" s="153" t="s">
        <v>1579</v>
      </c>
      <c r="M3178">
        <v>847</v>
      </c>
      <c r="N3178" s="123">
        <v>17</v>
      </c>
      <c r="O3178">
        <v>2087</v>
      </c>
      <c r="P3178" s="132" t="s">
        <v>77</v>
      </c>
      <c r="Q3178" s="132">
        <v>50</v>
      </c>
      <c r="R3178" s="132"/>
      <c r="S3178" s="132"/>
      <c r="T3178" s="156"/>
      <c r="U3178" s="132"/>
      <c r="V3178" s="132">
        <v>50</v>
      </c>
      <c r="W3178"/>
      <c r="X3178" s="153" t="s">
        <v>1644</v>
      </c>
      <c r="Y3178" s="124" t="s">
        <v>55</v>
      </c>
      <c r="Z3178" s="308">
        <v>180</v>
      </c>
      <c r="AB3178" t="str">
        <f>IF(Table1[[#This Row],[TIPO2]]="costo", VLOOKUP(Table1[[#This Row],[PARTIDA PRESUPUESTAL]],'Cost Report'!G:G,1,0),"Balance")</f>
        <v>2794-003</v>
      </c>
      <c r="AC3178" s="118"/>
      <c r="AD3178" s="159">
        <f>+Table1[[#This Row],[SUBTOTAL]]+Table1[[#This Row],[IVA]]-Table1[[#This Row],[RET IVA]]-Table1[[#This Row],[RET ISR]]-Table1[[#This Row],[TOTAL]]</f>
        <v>0</v>
      </c>
      <c r="AE3178" s="152"/>
      <c r="AF3178" s="153"/>
      <c r="AG3178" s="126" t="s">
        <v>3420</v>
      </c>
      <c r="AK3178" s="306" t="str">
        <f>IF(ISNUMBER(Table1[[#This Row],[FECHA DE RECIBIDO]]), Table1[[#This Row],[FECHA DE RECIBIDO]]-DATE(2023,8,30), "")</f>
        <v/>
      </c>
    </row>
    <row r="3179" spans="1:37" ht="15" customHeight="1">
      <c r="A3179" s="150" t="s">
        <v>4161</v>
      </c>
      <c r="B3179" s="151">
        <v>1160</v>
      </c>
      <c r="C3179" s="126" t="s">
        <v>2596</v>
      </c>
      <c r="D3179">
        <v>689</v>
      </c>
      <c r="E3179" s="126"/>
      <c r="F3179" s="122"/>
      <c r="G3179" s="122"/>
      <c r="H3179"/>
      <c r="I3179" s="122"/>
      <c r="J3179" s="307" t="s">
        <v>214</v>
      </c>
      <c r="K3179" s="127" t="s">
        <v>4112</v>
      </c>
      <c r="L3179" s="151" t="s">
        <v>1579</v>
      </c>
      <c r="M3179">
        <v>847</v>
      </c>
      <c r="N3179" s="123">
        <v>17</v>
      </c>
      <c r="O3179">
        <v>2087</v>
      </c>
      <c r="P3179" s="132" t="s">
        <v>77</v>
      </c>
      <c r="Q3179" s="131">
        <v>50</v>
      </c>
      <c r="R3179" s="131"/>
      <c r="S3179" s="131"/>
      <c r="T3179" s="155"/>
      <c r="U3179" s="131"/>
      <c r="V3179" s="131">
        <v>50</v>
      </c>
      <c r="W3179"/>
      <c r="X3179" s="151" t="s">
        <v>1644</v>
      </c>
      <c r="Y3179" s="135" t="s">
        <v>55</v>
      </c>
      <c r="Z3179" s="307">
        <v>187</v>
      </c>
      <c r="AB3179" t="str">
        <f>IF(Table1[[#This Row],[TIPO2]]="costo", VLOOKUP(Table1[[#This Row],[PARTIDA PRESUPUESTAL]],'Cost Report'!G:G,1,0),"Balance")</f>
        <v>2794-003</v>
      </c>
      <c r="AC3179" s="118"/>
      <c r="AD3179" s="159">
        <f>+Table1[[#This Row],[SUBTOTAL]]+Table1[[#This Row],[IVA]]-Table1[[#This Row],[RET IVA]]-Table1[[#This Row],[RET ISR]]-Table1[[#This Row],[TOTAL]]</f>
        <v>0</v>
      </c>
      <c r="AE3179" s="150"/>
      <c r="AF3179" s="151"/>
      <c r="AG3179" s="126" t="s">
        <v>3420</v>
      </c>
      <c r="AK3179" s="306" t="str">
        <f>IF(ISNUMBER(Table1[[#This Row],[FECHA DE RECIBIDO]]), Table1[[#This Row],[FECHA DE RECIBIDO]]-DATE(2023,8,30), "")</f>
        <v/>
      </c>
    </row>
    <row r="3180" spans="1:37" ht="15" customHeight="1">
      <c r="A3180" s="152" t="s">
        <v>4161</v>
      </c>
      <c r="B3180" s="153">
        <v>1160</v>
      </c>
      <c r="C3180" s="126" t="s">
        <v>2596</v>
      </c>
      <c r="D3180">
        <v>689</v>
      </c>
      <c r="E3180" s="126"/>
      <c r="F3180" s="125"/>
      <c r="G3180" s="125"/>
      <c r="H3180"/>
      <c r="I3180" s="125"/>
      <c r="J3180" s="308" t="s">
        <v>214</v>
      </c>
      <c r="K3180" s="127" t="s">
        <v>4112</v>
      </c>
      <c r="L3180" s="153" t="s">
        <v>1579</v>
      </c>
      <c r="M3180">
        <v>847</v>
      </c>
      <c r="N3180" s="123">
        <v>17</v>
      </c>
      <c r="O3180">
        <v>2087</v>
      </c>
      <c r="P3180" s="132" t="s">
        <v>77</v>
      </c>
      <c r="Q3180" s="132">
        <v>25</v>
      </c>
      <c r="R3180" s="132"/>
      <c r="S3180" s="132"/>
      <c r="T3180" s="156"/>
      <c r="U3180" s="132"/>
      <c r="V3180" s="132">
        <v>25</v>
      </c>
      <c r="W3180"/>
      <c r="X3180" s="153" t="s">
        <v>1644</v>
      </c>
      <c r="Y3180" s="124" t="s">
        <v>55</v>
      </c>
      <c r="Z3180" s="308">
        <v>195</v>
      </c>
      <c r="AB3180" t="str">
        <f>IF(Table1[[#This Row],[TIPO2]]="costo", VLOOKUP(Table1[[#This Row],[PARTIDA PRESUPUESTAL]],'Cost Report'!G:G,1,0),"Balance")</f>
        <v>2794-003</v>
      </c>
      <c r="AC3180" s="118"/>
      <c r="AD3180" s="159">
        <f>+Table1[[#This Row],[SUBTOTAL]]+Table1[[#This Row],[IVA]]-Table1[[#This Row],[RET IVA]]-Table1[[#This Row],[RET ISR]]-Table1[[#This Row],[TOTAL]]</f>
        <v>0</v>
      </c>
      <c r="AE3180" s="152"/>
      <c r="AF3180" s="153"/>
      <c r="AG3180" s="126" t="s">
        <v>3420</v>
      </c>
      <c r="AK3180" s="306" t="str">
        <f>IF(ISNUMBER(Table1[[#This Row],[FECHA DE RECIBIDO]]), Table1[[#This Row],[FECHA DE RECIBIDO]]-DATE(2023,8,30), "")</f>
        <v/>
      </c>
    </row>
    <row r="3181" spans="1:37" ht="15" customHeight="1">
      <c r="A3181" s="150" t="s">
        <v>4161</v>
      </c>
      <c r="B3181" s="151">
        <v>1160</v>
      </c>
      <c r="C3181" s="126" t="s">
        <v>2596</v>
      </c>
      <c r="D3181">
        <v>689</v>
      </c>
      <c r="E3181" s="126"/>
      <c r="F3181" s="122"/>
      <c r="G3181" s="122"/>
      <c r="H3181"/>
      <c r="I3181" s="122"/>
      <c r="J3181" s="307" t="s">
        <v>214</v>
      </c>
      <c r="K3181" s="127" t="s">
        <v>4112</v>
      </c>
      <c r="L3181" s="151" t="s">
        <v>1579</v>
      </c>
      <c r="M3181">
        <v>847</v>
      </c>
      <c r="N3181" s="123">
        <v>17</v>
      </c>
      <c r="O3181">
        <v>2087</v>
      </c>
      <c r="P3181" s="132" t="s">
        <v>77</v>
      </c>
      <c r="Q3181" s="131">
        <v>75</v>
      </c>
      <c r="R3181" s="131"/>
      <c r="S3181" s="131"/>
      <c r="T3181" s="155"/>
      <c r="U3181" s="131"/>
      <c r="V3181" s="131">
        <v>75</v>
      </c>
      <c r="W3181"/>
      <c r="X3181" s="151" t="s">
        <v>1644</v>
      </c>
      <c r="Y3181" s="135" t="s">
        <v>55</v>
      </c>
      <c r="Z3181" s="307">
        <v>188</v>
      </c>
      <c r="AB3181" t="str">
        <f>IF(Table1[[#This Row],[TIPO2]]="costo", VLOOKUP(Table1[[#This Row],[PARTIDA PRESUPUESTAL]],'Cost Report'!G:G,1,0),"Balance")</f>
        <v>2794-003</v>
      </c>
      <c r="AC3181" s="118"/>
      <c r="AD3181" s="159">
        <f>+Table1[[#This Row],[SUBTOTAL]]+Table1[[#This Row],[IVA]]-Table1[[#This Row],[RET IVA]]-Table1[[#This Row],[RET ISR]]-Table1[[#This Row],[TOTAL]]</f>
        <v>0</v>
      </c>
      <c r="AE3181" s="150"/>
      <c r="AF3181" s="151"/>
      <c r="AG3181" s="126" t="s">
        <v>3420</v>
      </c>
      <c r="AK3181" s="306" t="str">
        <f>IF(ISNUMBER(Table1[[#This Row],[FECHA DE RECIBIDO]]), Table1[[#This Row],[FECHA DE RECIBIDO]]-DATE(2023,8,30), "")</f>
        <v/>
      </c>
    </row>
    <row r="3182" spans="1:37" ht="15" customHeight="1">
      <c r="A3182" s="152" t="s">
        <v>4161</v>
      </c>
      <c r="B3182" s="153">
        <v>1160</v>
      </c>
      <c r="C3182" s="126" t="s">
        <v>2596</v>
      </c>
      <c r="D3182">
        <v>689</v>
      </c>
      <c r="E3182" s="126"/>
      <c r="F3182" s="125"/>
      <c r="G3182" s="125"/>
      <c r="H3182"/>
      <c r="I3182" s="125"/>
      <c r="J3182" s="308" t="s">
        <v>214</v>
      </c>
      <c r="K3182" s="127" t="s">
        <v>4112</v>
      </c>
      <c r="L3182" s="153" t="s">
        <v>1579</v>
      </c>
      <c r="M3182">
        <v>847</v>
      </c>
      <c r="N3182" s="123">
        <v>17</v>
      </c>
      <c r="O3182">
        <v>2087</v>
      </c>
      <c r="P3182" s="132" t="s">
        <v>77</v>
      </c>
      <c r="Q3182" s="132">
        <v>37</v>
      </c>
      <c r="R3182" s="132"/>
      <c r="S3182" s="132"/>
      <c r="T3182" s="156"/>
      <c r="U3182" s="132"/>
      <c r="V3182" s="132">
        <v>37</v>
      </c>
      <c r="W3182"/>
      <c r="X3182" s="153" t="s">
        <v>1644</v>
      </c>
      <c r="Y3182" s="124" t="s">
        <v>55</v>
      </c>
      <c r="Z3182" s="308">
        <v>195</v>
      </c>
      <c r="AB3182" t="str">
        <f>IF(Table1[[#This Row],[TIPO2]]="costo", VLOOKUP(Table1[[#This Row],[PARTIDA PRESUPUESTAL]],'Cost Report'!G:G,1,0),"Balance")</f>
        <v>2794-003</v>
      </c>
      <c r="AC3182" s="118"/>
      <c r="AD3182" s="159">
        <f>+Table1[[#This Row],[SUBTOTAL]]+Table1[[#This Row],[IVA]]-Table1[[#This Row],[RET IVA]]-Table1[[#This Row],[RET ISR]]-Table1[[#This Row],[TOTAL]]</f>
        <v>0</v>
      </c>
      <c r="AE3182" s="152"/>
      <c r="AF3182" s="153"/>
      <c r="AG3182" s="126" t="s">
        <v>3420</v>
      </c>
      <c r="AK3182" s="306" t="str">
        <f>IF(ISNUMBER(Table1[[#This Row],[FECHA DE RECIBIDO]]), Table1[[#This Row],[FECHA DE RECIBIDO]]-DATE(2023,8,30), "")</f>
        <v/>
      </c>
    </row>
    <row r="3183" spans="1:37" ht="15" customHeight="1">
      <c r="A3183" s="150" t="s">
        <v>4161</v>
      </c>
      <c r="B3183" s="151">
        <v>1160</v>
      </c>
      <c r="C3183" s="126" t="s">
        <v>2596</v>
      </c>
      <c r="D3183">
        <v>689</v>
      </c>
      <c r="E3183" s="126"/>
      <c r="F3183" s="122"/>
      <c r="G3183" s="122"/>
      <c r="H3183"/>
      <c r="I3183" s="122"/>
      <c r="J3183" s="307" t="s">
        <v>214</v>
      </c>
      <c r="K3183" s="127" t="s">
        <v>4112</v>
      </c>
      <c r="L3183" s="151" t="s">
        <v>1579</v>
      </c>
      <c r="M3183">
        <v>847</v>
      </c>
      <c r="N3183" s="123">
        <v>17</v>
      </c>
      <c r="O3183">
        <v>2087</v>
      </c>
      <c r="P3183" s="132" t="s">
        <v>77</v>
      </c>
      <c r="Q3183" s="131">
        <v>37</v>
      </c>
      <c r="R3183" s="131"/>
      <c r="S3183" s="131"/>
      <c r="T3183" s="155"/>
      <c r="U3183" s="131"/>
      <c r="V3183" s="131">
        <v>37</v>
      </c>
      <c r="W3183"/>
      <c r="X3183" s="151" t="s">
        <v>1644</v>
      </c>
      <c r="Y3183" s="135" t="s">
        <v>55</v>
      </c>
      <c r="Z3183" s="307">
        <v>178</v>
      </c>
      <c r="AB3183" t="str">
        <f>IF(Table1[[#This Row],[TIPO2]]="costo", VLOOKUP(Table1[[#This Row],[PARTIDA PRESUPUESTAL]],'Cost Report'!G:G,1,0),"Balance")</f>
        <v>2794-003</v>
      </c>
      <c r="AC3183" s="118"/>
      <c r="AD3183" s="159">
        <f>+Table1[[#This Row],[SUBTOTAL]]+Table1[[#This Row],[IVA]]-Table1[[#This Row],[RET IVA]]-Table1[[#This Row],[RET ISR]]-Table1[[#This Row],[TOTAL]]</f>
        <v>0</v>
      </c>
      <c r="AE3183" s="150"/>
      <c r="AF3183" s="151"/>
      <c r="AG3183" s="126" t="s">
        <v>3420</v>
      </c>
      <c r="AK3183" s="306" t="str">
        <f>IF(ISNUMBER(Table1[[#This Row],[FECHA DE RECIBIDO]]), Table1[[#This Row],[FECHA DE RECIBIDO]]-DATE(2023,8,30), "")</f>
        <v/>
      </c>
    </row>
    <row r="3184" spans="1:37" ht="15" customHeight="1">
      <c r="A3184" s="152" t="s">
        <v>4161</v>
      </c>
      <c r="B3184" s="153">
        <v>1160</v>
      </c>
      <c r="C3184" s="126" t="s">
        <v>2596</v>
      </c>
      <c r="D3184">
        <v>689</v>
      </c>
      <c r="E3184" s="126"/>
      <c r="F3184" s="125"/>
      <c r="G3184" s="125"/>
      <c r="H3184"/>
      <c r="I3184" s="125"/>
      <c r="J3184" s="308" t="s">
        <v>214</v>
      </c>
      <c r="K3184" s="127" t="s">
        <v>4112</v>
      </c>
      <c r="L3184" s="153" t="s">
        <v>1579</v>
      </c>
      <c r="M3184">
        <v>847</v>
      </c>
      <c r="N3184" s="123">
        <v>17</v>
      </c>
      <c r="O3184">
        <v>2087</v>
      </c>
      <c r="P3184" s="132" t="s">
        <v>77</v>
      </c>
      <c r="Q3184" s="132">
        <v>87</v>
      </c>
      <c r="R3184" s="132"/>
      <c r="S3184" s="132"/>
      <c r="T3184" s="156"/>
      <c r="U3184" s="132"/>
      <c r="V3184" s="132">
        <v>87</v>
      </c>
      <c r="W3184"/>
      <c r="X3184" s="153" t="s">
        <v>1644</v>
      </c>
      <c r="Y3184" s="124" t="s">
        <v>55</v>
      </c>
      <c r="Z3184" s="308">
        <v>195</v>
      </c>
      <c r="AB3184" t="str">
        <f>IF(Table1[[#This Row],[TIPO2]]="costo", VLOOKUP(Table1[[#This Row],[PARTIDA PRESUPUESTAL]],'Cost Report'!G:G,1,0),"Balance")</f>
        <v>2794-003</v>
      </c>
      <c r="AC3184" s="118"/>
      <c r="AD3184" s="159">
        <f>+Table1[[#This Row],[SUBTOTAL]]+Table1[[#This Row],[IVA]]-Table1[[#This Row],[RET IVA]]-Table1[[#This Row],[RET ISR]]-Table1[[#This Row],[TOTAL]]</f>
        <v>0</v>
      </c>
      <c r="AE3184" s="152"/>
      <c r="AF3184" s="153"/>
      <c r="AG3184" s="126" t="s">
        <v>3420</v>
      </c>
      <c r="AK3184" s="306" t="str">
        <f>IF(ISNUMBER(Table1[[#This Row],[FECHA DE RECIBIDO]]), Table1[[#This Row],[FECHA DE RECIBIDO]]-DATE(2023,8,30), "")</f>
        <v/>
      </c>
    </row>
    <row r="3185" spans="1:37" ht="15" customHeight="1">
      <c r="A3185" s="150" t="s">
        <v>4161</v>
      </c>
      <c r="B3185" s="151">
        <v>1160</v>
      </c>
      <c r="C3185" s="126" t="s">
        <v>2596</v>
      </c>
      <c r="D3185">
        <v>689</v>
      </c>
      <c r="E3185" s="126"/>
      <c r="F3185" s="122"/>
      <c r="G3185" s="122"/>
      <c r="H3185"/>
      <c r="I3185" s="122"/>
      <c r="J3185" s="307" t="s">
        <v>214</v>
      </c>
      <c r="K3185" s="127" t="s">
        <v>4112</v>
      </c>
      <c r="L3185" s="151" t="s">
        <v>1579</v>
      </c>
      <c r="M3185">
        <v>848</v>
      </c>
      <c r="N3185" s="123">
        <v>17</v>
      </c>
      <c r="O3185">
        <v>2087</v>
      </c>
      <c r="P3185" s="132" t="s">
        <v>77</v>
      </c>
      <c r="Q3185" s="131">
        <v>30</v>
      </c>
      <c r="R3185" s="131"/>
      <c r="S3185" s="131"/>
      <c r="T3185" s="155"/>
      <c r="U3185" s="131"/>
      <c r="V3185" s="131">
        <v>30</v>
      </c>
      <c r="W3185"/>
      <c r="X3185" s="151" t="s">
        <v>1644</v>
      </c>
      <c r="Y3185" s="135" t="s">
        <v>55</v>
      </c>
      <c r="Z3185" s="307">
        <v>182</v>
      </c>
      <c r="AB3185" t="str">
        <f>IF(Table1[[#This Row],[TIPO2]]="costo", VLOOKUP(Table1[[#This Row],[PARTIDA PRESUPUESTAL]],'Cost Report'!G:G,1,0),"Balance")</f>
        <v>2794-003</v>
      </c>
      <c r="AC3185" s="118"/>
      <c r="AD3185" s="159">
        <f>+Table1[[#This Row],[SUBTOTAL]]+Table1[[#This Row],[IVA]]-Table1[[#This Row],[RET IVA]]-Table1[[#This Row],[RET ISR]]-Table1[[#This Row],[TOTAL]]</f>
        <v>0</v>
      </c>
      <c r="AE3185" s="150"/>
      <c r="AF3185" s="151"/>
      <c r="AG3185" s="126" t="s">
        <v>3420</v>
      </c>
      <c r="AK3185" s="306" t="str">
        <f>IF(ISNUMBER(Table1[[#This Row],[FECHA DE RECIBIDO]]), Table1[[#This Row],[FECHA DE RECIBIDO]]-DATE(2023,8,30), "")</f>
        <v/>
      </c>
    </row>
    <row r="3186" spans="1:37" ht="15" customHeight="1">
      <c r="A3186" s="152" t="s">
        <v>4161</v>
      </c>
      <c r="B3186" s="153">
        <v>1160</v>
      </c>
      <c r="C3186" s="126" t="s">
        <v>2596</v>
      </c>
      <c r="D3186">
        <v>689</v>
      </c>
      <c r="E3186" s="126"/>
      <c r="F3186" s="125"/>
      <c r="G3186" s="125"/>
      <c r="H3186"/>
      <c r="I3186" s="125"/>
      <c r="J3186" s="308" t="s">
        <v>214</v>
      </c>
      <c r="K3186" s="127" t="s">
        <v>4112</v>
      </c>
      <c r="L3186" s="153" t="s">
        <v>1579</v>
      </c>
      <c r="M3186">
        <v>849</v>
      </c>
      <c r="N3186" s="123">
        <v>17</v>
      </c>
      <c r="O3186">
        <v>2087</v>
      </c>
      <c r="P3186" s="132" t="s">
        <v>77</v>
      </c>
      <c r="Q3186" s="132">
        <v>90</v>
      </c>
      <c r="R3186" s="132"/>
      <c r="S3186" s="132"/>
      <c r="T3186" s="156"/>
      <c r="U3186" s="132"/>
      <c r="V3186" s="132">
        <v>90</v>
      </c>
      <c r="W3186"/>
      <c r="X3186" s="153" t="s">
        <v>1644</v>
      </c>
      <c r="Y3186" s="124" t="s">
        <v>55</v>
      </c>
      <c r="Z3186" s="308">
        <v>177</v>
      </c>
      <c r="AB3186" t="str">
        <f>IF(Table1[[#This Row],[TIPO2]]="costo", VLOOKUP(Table1[[#This Row],[PARTIDA PRESUPUESTAL]],'Cost Report'!G:G,1,0),"Balance")</f>
        <v>2794-003</v>
      </c>
      <c r="AC3186" s="118"/>
      <c r="AD3186" s="159">
        <f>+Table1[[#This Row],[SUBTOTAL]]+Table1[[#This Row],[IVA]]-Table1[[#This Row],[RET IVA]]-Table1[[#This Row],[RET ISR]]-Table1[[#This Row],[TOTAL]]</f>
        <v>0</v>
      </c>
      <c r="AE3186" s="152"/>
      <c r="AF3186" s="153"/>
      <c r="AG3186" s="126" t="s">
        <v>3420</v>
      </c>
      <c r="AK3186" s="306" t="str">
        <f>IF(ISNUMBER(Table1[[#This Row],[FECHA DE RECIBIDO]]), Table1[[#This Row],[FECHA DE RECIBIDO]]-DATE(2023,8,30), "")</f>
        <v/>
      </c>
    </row>
    <row r="3187" spans="1:37" ht="15" customHeight="1">
      <c r="A3187" s="150" t="s">
        <v>4161</v>
      </c>
      <c r="B3187" s="151">
        <v>1160</v>
      </c>
      <c r="C3187" s="126" t="s">
        <v>2596</v>
      </c>
      <c r="D3187">
        <v>689</v>
      </c>
      <c r="E3187" s="126"/>
      <c r="F3187" s="122"/>
      <c r="G3187" s="122"/>
      <c r="H3187"/>
      <c r="I3187" s="122"/>
      <c r="J3187" s="307" t="s">
        <v>214</v>
      </c>
      <c r="K3187" s="127" t="s">
        <v>4112</v>
      </c>
      <c r="L3187" s="151" t="s">
        <v>1579</v>
      </c>
      <c r="M3187">
        <v>850</v>
      </c>
      <c r="N3187" s="123">
        <v>17</v>
      </c>
      <c r="O3187">
        <v>2087</v>
      </c>
      <c r="P3187" s="132" t="s">
        <v>77</v>
      </c>
      <c r="Q3187" s="131">
        <v>85</v>
      </c>
      <c r="R3187" s="131"/>
      <c r="S3187" s="131"/>
      <c r="T3187" s="155"/>
      <c r="U3187" s="131"/>
      <c r="V3187" s="131">
        <v>85</v>
      </c>
      <c r="W3187"/>
      <c r="X3187" s="151" t="s">
        <v>1644</v>
      </c>
      <c r="Y3187" s="135" t="s">
        <v>55</v>
      </c>
      <c r="Z3187" s="307">
        <v>180</v>
      </c>
      <c r="AB3187" t="str">
        <f>IF(Table1[[#This Row],[TIPO2]]="costo", VLOOKUP(Table1[[#This Row],[PARTIDA PRESUPUESTAL]],'Cost Report'!G:G,1,0),"Balance")</f>
        <v>2794-003</v>
      </c>
      <c r="AC3187" s="118"/>
      <c r="AD3187" s="159">
        <f>+Table1[[#This Row],[SUBTOTAL]]+Table1[[#This Row],[IVA]]-Table1[[#This Row],[RET IVA]]-Table1[[#This Row],[RET ISR]]-Table1[[#This Row],[TOTAL]]</f>
        <v>0</v>
      </c>
      <c r="AE3187" s="150"/>
      <c r="AF3187" s="151"/>
      <c r="AG3187" s="126" t="s">
        <v>3420</v>
      </c>
      <c r="AK3187" s="306" t="str">
        <f>IF(ISNUMBER(Table1[[#This Row],[FECHA DE RECIBIDO]]), Table1[[#This Row],[FECHA DE RECIBIDO]]-DATE(2023,8,30), "")</f>
        <v/>
      </c>
    </row>
    <row r="3188" spans="1:37" ht="15" customHeight="1">
      <c r="A3188" s="152" t="s">
        <v>4161</v>
      </c>
      <c r="B3188" s="153">
        <v>1160</v>
      </c>
      <c r="C3188" s="126" t="s">
        <v>2596</v>
      </c>
      <c r="D3188">
        <v>689</v>
      </c>
      <c r="E3188" s="126"/>
      <c r="F3188" s="125"/>
      <c r="G3188" s="125"/>
      <c r="H3188"/>
      <c r="I3188" s="125"/>
      <c r="J3188" s="308" t="s">
        <v>214</v>
      </c>
      <c r="K3188" s="127" t="s">
        <v>4112</v>
      </c>
      <c r="L3188" s="153" t="s">
        <v>1579</v>
      </c>
      <c r="M3188">
        <v>851</v>
      </c>
      <c r="N3188" s="123">
        <v>17</v>
      </c>
      <c r="O3188">
        <v>2087</v>
      </c>
      <c r="P3188" s="132" t="s">
        <v>77</v>
      </c>
      <c r="Q3188" s="132">
        <v>63</v>
      </c>
      <c r="R3188" s="132"/>
      <c r="S3188" s="132"/>
      <c r="T3188" s="156"/>
      <c r="U3188" s="132"/>
      <c r="V3188" s="132">
        <v>63</v>
      </c>
      <c r="W3188"/>
      <c r="X3188" s="153" t="s">
        <v>1644</v>
      </c>
      <c r="Y3188" s="124" t="s">
        <v>55</v>
      </c>
      <c r="Z3188" s="308">
        <v>187</v>
      </c>
      <c r="AB3188" t="str">
        <f>IF(Table1[[#This Row],[TIPO2]]="costo", VLOOKUP(Table1[[#This Row],[PARTIDA PRESUPUESTAL]],'Cost Report'!G:G,1,0),"Balance")</f>
        <v>2794-003</v>
      </c>
      <c r="AC3188" s="118"/>
      <c r="AD3188" s="159">
        <f>+Table1[[#This Row],[SUBTOTAL]]+Table1[[#This Row],[IVA]]-Table1[[#This Row],[RET IVA]]-Table1[[#This Row],[RET ISR]]-Table1[[#This Row],[TOTAL]]</f>
        <v>0</v>
      </c>
      <c r="AE3188" s="152"/>
      <c r="AF3188" s="153"/>
      <c r="AG3188" s="126" t="s">
        <v>3420</v>
      </c>
      <c r="AK3188" s="306" t="str">
        <f>IF(ISNUMBER(Table1[[#This Row],[FECHA DE RECIBIDO]]), Table1[[#This Row],[FECHA DE RECIBIDO]]-DATE(2023,8,30), "")</f>
        <v/>
      </c>
    </row>
    <row r="3189" spans="1:37" ht="15" customHeight="1">
      <c r="A3189" s="150" t="s">
        <v>4161</v>
      </c>
      <c r="B3189" s="151">
        <v>1160</v>
      </c>
      <c r="C3189" s="126" t="s">
        <v>2596</v>
      </c>
      <c r="D3189">
        <v>689</v>
      </c>
      <c r="E3189" s="126"/>
      <c r="F3189" s="122"/>
      <c r="G3189" s="122"/>
      <c r="H3189"/>
      <c r="I3189" s="122"/>
      <c r="J3189" s="307" t="s">
        <v>214</v>
      </c>
      <c r="K3189" s="127" t="s">
        <v>4112</v>
      </c>
      <c r="L3189" s="151" t="s">
        <v>1579</v>
      </c>
      <c r="M3189">
        <v>852</v>
      </c>
      <c r="N3189" s="123">
        <v>17</v>
      </c>
      <c r="O3189">
        <v>2088</v>
      </c>
      <c r="P3189" s="132" t="s">
        <v>77</v>
      </c>
      <c r="Q3189" s="131">
        <v>150</v>
      </c>
      <c r="R3189" s="131"/>
      <c r="S3189" s="131"/>
      <c r="T3189" s="155"/>
      <c r="U3189" s="131"/>
      <c r="V3189" s="131">
        <v>150</v>
      </c>
      <c r="W3189"/>
      <c r="X3189" s="151" t="s">
        <v>1644</v>
      </c>
      <c r="Y3189" s="135" t="s">
        <v>55</v>
      </c>
      <c r="Z3189" s="307">
        <v>188</v>
      </c>
      <c r="AB3189" t="str">
        <f>IF(Table1[[#This Row],[TIPO2]]="costo", VLOOKUP(Table1[[#This Row],[PARTIDA PRESUPUESTAL]],'Cost Report'!G:G,1,0),"Balance")</f>
        <v>2794-003</v>
      </c>
      <c r="AC3189" s="118"/>
      <c r="AD3189" s="159">
        <f>+Table1[[#This Row],[SUBTOTAL]]+Table1[[#This Row],[IVA]]-Table1[[#This Row],[RET IVA]]-Table1[[#This Row],[RET ISR]]-Table1[[#This Row],[TOTAL]]</f>
        <v>0</v>
      </c>
      <c r="AE3189" s="150"/>
      <c r="AF3189" s="151"/>
      <c r="AG3189" s="126" t="s">
        <v>3420</v>
      </c>
      <c r="AK3189" s="306" t="str">
        <f>IF(ISNUMBER(Table1[[#This Row],[FECHA DE RECIBIDO]]), Table1[[#This Row],[FECHA DE RECIBIDO]]-DATE(2023,8,30), "")</f>
        <v/>
      </c>
    </row>
    <row r="3190" spans="1:37" ht="15" customHeight="1">
      <c r="A3190" s="152" t="s">
        <v>4162</v>
      </c>
      <c r="B3190" s="153">
        <v>1161</v>
      </c>
      <c r="C3190" s="126" t="s">
        <v>2596</v>
      </c>
      <c r="D3190">
        <v>2145</v>
      </c>
      <c r="E3190" s="126" t="s">
        <v>3264</v>
      </c>
      <c r="F3190" s="125" t="s">
        <v>1607</v>
      </c>
      <c r="G3190" s="125" t="s">
        <v>134</v>
      </c>
      <c r="H3190">
        <v>156</v>
      </c>
      <c r="I3190" s="125" t="s">
        <v>1546</v>
      </c>
      <c r="J3190" s="308" t="s">
        <v>214</v>
      </c>
      <c r="K3190" s="127" t="s">
        <v>4112</v>
      </c>
      <c r="L3190" s="153" t="s">
        <v>1579</v>
      </c>
      <c r="M3190">
        <v>207</v>
      </c>
      <c r="N3190" s="123">
        <v>17</v>
      </c>
      <c r="O3190">
        <v>2089</v>
      </c>
      <c r="P3190" s="132" t="s">
        <v>77</v>
      </c>
      <c r="Q3190" s="132">
        <v>1335.34</v>
      </c>
      <c r="R3190" s="132">
        <v>213.65</v>
      </c>
      <c r="S3190" s="132"/>
      <c r="T3190" s="156"/>
      <c r="U3190" s="132"/>
      <c r="V3190" s="132">
        <v>1548.99</v>
      </c>
      <c r="W3190"/>
      <c r="X3190" s="153" t="s">
        <v>1644</v>
      </c>
      <c r="Y3190" s="124" t="s">
        <v>55</v>
      </c>
      <c r="Z3190" s="308">
        <v>231</v>
      </c>
      <c r="AB3190" t="str">
        <f>IF(Table1[[#This Row],[TIPO2]]="costo", VLOOKUP(Table1[[#This Row],[PARTIDA PRESUPUESTAL]],'Cost Report'!G:G,1,0),"Balance")</f>
        <v>2794-003</v>
      </c>
      <c r="AC3190" s="118"/>
      <c r="AD3190" s="159">
        <f>+Table1[[#This Row],[SUBTOTAL]]+Table1[[#This Row],[IVA]]-Table1[[#This Row],[RET IVA]]-Table1[[#This Row],[RET ISR]]-Table1[[#This Row],[TOTAL]]</f>
        <v>0</v>
      </c>
      <c r="AE3190" s="152"/>
      <c r="AF3190" s="153"/>
      <c r="AG3190" s="126" t="s">
        <v>3420</v>
      </c>
      <c r="AK3190" s="306" t="str">
        <f>IF(ISNUMBER(Table1[[#This Row],[FECHA DE RECIBIDO]]), Table1[[#This Row],[FECHA DE RECIBIDO]]-DATE(2023,8,30), "")</f>
        <v/>
      </c>
    </row>
    <row r="3191" spans="1:37" ht="15" customHeight="1">
      <c r="A3191" s="150" t="s">
        <v>4162</v>
      </c>
      <c r="B3191" s="151">
        <v>1161</v>
      </c>
      <c r="C3191" s="126" t="s">
        <v>2596</v>
      </c>
      <c r="D3191">
        <v>2146</v>
      </c>
      <c r="E3191" s="126" t="s">
        <v>1645</v>
      </c>
      <c r="F3191" s="122" t="s">
        <v>1607</v>
      </c>
      <c r="G3191" s="122" t="s">
        <v>134</v>
      </c>
      <c r="H3191">
        <v>160</v>
      </c>
      <c r="I3191" s="122" t="s">
        <v>1546</v>
      </c>
      <c r="J3191" s="307" t="s">
        <v>214</v>
      </c>
      <c r="K3191" s="127" t="s">
        <v>4112</v>
      </c>
      <c r="L3191" s="151" t="s">
        <v>1579</v>
      </c>
      <c r="M3191">
        <v>213</v>
      </c>
      <c r="N3191" s="123">
        <v>17</v>
      </c>
      <c r="O3191">
        <v>1960</v>
      </c>
      <c r="P3191" s="132" t="s">
        <v>77</v>
      </c>
      <c r="Q3191" s="131">
        <v>1247.5</v>
      </c>
      <c r="R3191" s="131">
        <v>199.6</v>
      </c>
      <c r="S3191" s="131"/>
      <c r="T3191" s="155"/>
      <c r="U3191" s="131"/>
      <c r="V3191" s="131">
        <v>1447.1</v>
      </c>
      <c r="W3191"/>
      <c r="X3191" s="151" t="s">
        <v>1644</v>
      </c>
      <c r="Y3191" s="135" t="s">
        <v>55</v>
      </c>
      <c r="Z3191" s="307">
        <v>231</v>
      </c>
      <c r="AB3191" t="str">
        <f>IF(Table1[[#This Row],[TIPO2]]="costo", VLOOKUP(Table1[[#This Row],[PARTIDA PRESUPUESTAL]],'Cost Report'!G:G,1,0),"Balance")</f>
        <v>2794-003</v>
      </c>
      <c r="AC3191" s="118"/>
      <c r="AD3191" s="159">
        <f>+Table1[[#This Row],[SUBTOTAL]]+Table1[[#This Row],[IVA]]-Table1[[#This Row],[RET IVA]]-Table1[[#This Row],[RET ISR]]-Table1[[#This Row],[TOTAL]]</f>
        <v>0</v>
      </c>
      <c r="AE3191" s="150"/>
      <c r="AF3191" s="151"/>
      <c r="AG3191" s="126" t="s">
        <v>3420</v>
      </c>
      <c r="AK3191" s="306" t="str">
        <f>IF(ISNUMBER(Table1[[#This Row],[FECHA DE RECIBIDO]]), Table1[[#This Row],[FECHA DE RECIBIDO]]-DATE(2023,8,30), "")</f>
        <v/>
      </c>
    </row>
    <row r="3192" spans="1:37" ht="15" customHeight="1">
      <c r="A3192" s="152" t="s">
        <v>4162</v>
      </c>
      <c r="B3192" s="153">
        <v>1161</v>
      </c>
      <c r="C3192" s="126" t="s">
        <v>2596</v>
      </c>
      <c r="D3192">
        <v>2147</v>
      </c>
      <c r="E3192" s="126" t="s">
        <v>1645</v>
      </c>
      <c r="F3192" s="125" t="s">
        <v>1607</v>
      </c>
      <c r="G3192" s="125" t="s">
        <v>134</v>
      </c>
      <c r="H3192">
        <v>160</v>
      </c>
      <c r="I3192" s="125" t="s">
        <v>1546</v>
      </c>
      <c r="J3192" s="308" t="s">
        <v>214</v>
      </c>
      <c r="K3192" s="127" t="s">
        <v>4112</v>
      </c>
      <c r="L3192" s="153" t="s">
        <v>1579</v>
      </c>
      <c r="M3192">
        <v>213</v>
      </c>
      <c r="N3192" s="123">
        <v>17</v>
      </c>
      <c r="O3192">
        <v>2090</v>
      </c>
      <c r="P3192" s="132" t="s">
        <v>77</v>
      </c>
      <c r="Q3192" s="132">
        <v>348.36</v>
      </c>
      <c r="R3192" s="132">
        <v>55.74</v>
      </c>
      <c r="S3192" s="132"/>
      <c r="T3192" s="156"/>
      <c r="U3192" s="132"/>
      <c r="V3192" s="132">
        <v>404.1</v>
      </c>
      <c r="W3192"/>
      <c r="X3192" s="153" t="s">
        <v>1644</v>
      </c>
      <c r="Y3192" s="124" t="s">
        <v>55</v>
      </c>
      <c r="Z3192" s="308">
        <v>231</v>
      </c>
      <c r="AB3192" t="str">
        <f>IF(Table1[[#This Row],[TIPO2]]="costo", VLOOKUP(Table1[[#This Row],[PARTIDA PRESUPUESTAL]],'Cost Report'!G:G,1,0),"Balance")</f>
        <v>2794-003</v>
      </c>
      <c r="AC3192" s="118"/>
      <c r="AD3192" s="159">
        <f>+Table1[[#This Row],[SUBTOTAL]]+Table1[[#This Row],[IVA]]-Table1[[#This Row],[RET IVA]]-Table1[[#This Row],[RET ISR]]-Table1[[#This Row],[TOTAL]]</f>
        <v>0</v>
      </c>
      <c r="AE3192" s="152"/>
      <c r="AF3192" s="153"/>
      <c r="AG3192" s="126" t="s">
        <v>3420</v>
      </c>
      <c r="AK3192" s="306" t="str">
        <f>IF(ISNUMBER(Table1[[#This Row],[FECHA DE RECIBIDO]]), Table1[[#This Row],[FECHA DE RECIBIDO]]-DATE(2023,8,30), "")</f>
        <v/>
      </c>
    </row>
    <row r="3193" spans="1:37" ht="15" customHeight="1">
      <c r="A3193" s="150" t="s">
        <v>4162</v>
      </c>
      <c r="B3193" s="151">
        <v>1161</v>
      </c>
      <c r="C3193" s="126" t="s">
        <v>2596</v>
      </c>
      <c r="D3193">
        <v>2148</v>
      </c>
      <c r="E3193" s="126" t="s">
        <v>2008</v>
      </c>
      <c r="F3193" s="122" t="s">
        <v>1607</v>
      </c>
      <c r="G3193" s="122" t="s">
        <v>134</v>
      </c>
      <c r="H3193">
        <v>100</v>
      </c>
      <c r="I3193" s="122" t="s">
        <v>1546</v>
      </c>
      <c r="J3193" s="307" t="s">
        <v>214</v>
      </c>
      <c r="K3193" s="127" t="s">
        <v>4112</v>
      </c>
      <c r="L3193" s="151" t="s">
        <v>1579</v>
      </c>
      <c r="M3193">
        <v>135</v>
      </c>
      <c r="N3193" s="123">
        <v>17</v>
      </c>
      <c r="O3193">
        <v>1935</v>
      </c>
      <c r="P3193" s="132" t="s">
        <v>77</v>
      </c>
      <c r="Q3193" s="131">
        <v>1236.22</v>
      </c>
      <c r="R3193" s="131">
        <v>197.78</v>
      </c>
      <c r="S3193" s="131"/>
      <c r="T3193" s="155"/>
      <c r="U3193" s="131"/>
      <c r="V3193" s="131">
        <v>1434</v>
      </c>
      <c r="W3193"/>
      <c r="X3193" s="151" t="s">
        <v>1644</v>
      </c>
      <c r="Y3193" s="135" t="s">
        <v>55</v>
      </c>
      <c r="Z3193" s="307">
        <v>231</v>
      </c>
      <c r="AB3193" t="str">
        <f>IF(Table1[[#This Row],[TIPO2]]="costo", VLOOKUP(Table1[[#This Row],[PARTIDA PRESUPUESTAL]],'Cost Report'!G:G,1,0),"Balance")</f>
        <v>2794-003</v>
      </c>
      <c r="AC3193" s="118"/>
      <c r="AD3193" s="159">
        <f>+Table1[[#This Row],[SUBTOTAL]]+Table1[[#This Row],[IVA]]-Table1[[#This Row],[RET IVA]]-Table1[[#This Row],[RET ISR]]-Table1[[#This Row],[TOTAL]]</f>
        <v>0</v>
      </c>
      <c r="AE3193" s="150"/>
      <c r="AF3193" s="151"/>
      <c r="AG3193" s="126" t="s">
        <v>3420</v>
      </c>
      <c r="AK3193" s="306" t="str">
        <f>IF(ISNUMBER(Table1[[#This Row],[FECHA DE RECIBIDO]]), Table1[[#This Row],[FECHA DE RECIBIDO]]-DATE(2023,8,30), "")</f>
        <v/>
      </c>
    </row>
    <row r="3194" spans="1:37" ht="15" customHeight="1">
      <c r="A3194" s="152" t="s">
        <v>4162</v>
      </c>
      <c r="B3194" s="153">
        <v>1161</v>
      </c>
      <c r="C3194" s="126" t="s">
        <v>2596</v>
      </c>
      <c r="D3194">
        <v>2149</v>
      </c>
      <c r="E3194" s="126" t="s">
        <v>4102</v>
      </c>
      <c r="F3194" s="125" t="s">
        <v>1607</v>
      </c>
      <c r="G3194" s="125" t="s">
        <v>134</v>
      </c>
      <c r="H3194">
        <v>150</v>
      </c>
      <c r="I3194" s="125" t="s">
        <v>1546</v>
      </c>
      <c r="J3194" s="308" t="s">
        <v>214</v>
      </c>
      <c r="K3194" s="127" t="s">
        <v>4112</v>
      </c>
      <c r="L3194" s="153" t="s">
        <v>1579</v>
      </c>
      <c r="M3194">
        <v>208</v>
      </c>
      <c r="N3194" s="123">
        <v>17</v>
      </c>
      <c r="O3194">
        <v>1935</v>
      </c>
      <c r="P3194" s="132" t="s">
        <v>77</v>
      </c>
      <c r="Q3194" s="132">
        <v>171.55</v>
      </c>
      <c r="R3194" s="132">
        <v>27.45</v>
      </c>
      <c r="S3194" s="132"/>
      <c r="T3194" s="156"/>
      <c r="U3194" s="132"/>
      <c r="V3194" s="132">
        <v>199</v>
      </c>
      <c r="W3194"/>
      <c r="X3194" s="153" t="s">
        <v>1644</v>
      </c>
      <c r="Y3194" s="124" t="s">
        <v>55</v>
      </c>
      <c r="Z3194" s="308">
        <v>231</v>
      </c>
      <c r="AB3194" t="str">
        <f>IF(Table1[[#This Row],[TIPO2]]="costo", VLOOKUP(Table1[[#This Row],[PARTIDA PRESUPUESTAL]],'Cost Report'!G:G,1,0),"Balance")</f>
        <v>2794-003</v>
      </c>
      <c r="AC3194" s="118"/>
      <c r="AD3194" s="159">
        <f>+Table1[[#This Row],[SUBTOTAL]]+Table1[[#This Row],[IVA]]-Table1[[#This Row],[RET IVA]]-Table1[[#This Row],[RET ISR]]-Table1[[#This Row],[TOTAL]]</f>
        <v>0</v>
      </c>
      <c r="AE3194" s="152"/>
      <c r="AF3194" s="153"/>
      <c r="AG3194" s="126" t="s">
        <v>3420</v>
      </c>
      <c r="AK3194" s="306" t="str">
        <f>IF(ISNUMBER(Table1[[#This Row],[FECHA DE RECIBIDO]]), Table1[[#This Row],[FECHA DE RECIBIDO]]-DATE(2023,8,30), "")</f>
        <v/>
      </c>
    </row>
    <row r="3195" spans="1:37" ht="15" customHeight="1">
      <c r="A3195" s="150" t="s">
        <v>4162</v>
      </c>
      <c r="B3195" s="151">
        <v>1161</v>
      </c>
      <c r="C3195" s="126" t="s">
        <v>2596</v>
      </c>
      <c r="D3195">
        <v>2150</v>
      </c>
      <c r="E3195" s="126" t="s">
        <v>2008</v>
      </c>
      <c r="F3195" s="122" t="s">
        <v>1607</v>
      </c>
      <c r="G3195" s="122" t="s">
        <v>134</v>
      </c>
      <c r="H3195">
        <v>100</v>
      </c>
      <c r="I3195" s="122" t="s">
        <v>1546</v>
      </c>
      <c r="J3195" s="307" t="s">
        <v>214</v>
      </c>
      <c r="K3195" s="127" t="s">
        <v>4112</v>
      </c>
      <c r="L3195" s="151" t="s">
        <v>1579</v>
      </c>
      <c r="M3195">
        <v>135</v>
      </c>
      <c r="N3195" s="123">
        <v>17</v>
      </c>
      <c r="O3195">
        <v>1346</v>
      </c>
      <c r="P3195" s="132" t="s">
        <v>77</v>
      </c>
      <c r="Q3195" s="131">
        <v>1377.58</v>
      </c>
      <c r="R3195" s="131">
        <v>220.42</v>
      </c>
      <c r="S3195" s="131"/>
      <c r="T3195" s="155"/>
      <c r="U3195" s="131"/>
      <c r="V3195" s="131">
        <v>1598</v>
      </c>
      <c r="W3195"/>
      <c r="X3195" s="151" t="s">
        <v>1644</v>
      </c>
      <c r="Y3195" s="135" t="s">
        <v>55</v>
      </c>
      <c r="Z3195" s="307">
        <v>232</v>
      </c>
      <c r="AB3195" t="str">
        <f>IF(Table1[[#This Row],[TIPO2]]="costo", VLOOKUP(Table1[[#This Row],[PARTIDA PRESUPUESTAL]],'Cost Report'!G:G,1,0),"Balance")</f>
        <v>2794-003</v>
      </c>
      <c r="AC3195" s="118"/>
      <c r="AD3195" s="159">
        <f>+Table1[[#This Row],[SUBTOTAL]]+Table1[[#This Row],[IVA]]-Table1[[#This Row],[RET IVA]]-Table1[[#This Row],[RET ISR]]-Table1[[#This Row],[TOTAL]]</f>
        <v>0</v>
      </c>
      <c r="AE3195" s="150"/>
      <c r="AF3195" s="151"/>
      <c r="AG3195" s="126" t="s">
        <v>3420</v>
      </c>
      <c r="AK3195" s="306" t="str">
        <f>IF(ISNUMBER(Table1[[#This Row],[FECHA DE RECIBIDO]]), Table1[[#This Row],[FECHA DE RECIBIDO]]-DATE(2023,8,30), "")</f>
        <v/>
      </c>
    </row>
    <row r="3196" spans="1:37" ht="15" customHeight="1">
      <c r="A3196" s="152" t="s">
        <v>4162</v>
      </c>
      <c r="B3196" s="153">
        <v>1161</v>
      </c>
      <c r="C3196" s="126" t="s">
        <v>2596</v>
      </c>
      <c r="D3196">
        <v>2151</v>
      </c>
      <c r="E3196" s="126" t="s">
        <v>2008</v>
      </c>
      <c r="F3196" s="125" t="s">
        <v>1607</v>
      </c>
      <c r="G3196" s="125" t="s">
        <v>134</v>
      </c>
      <c r="H3196">
        <v>102</v>
      </c>
      <c r="I3196" s="125" t="s">
        <v>1546</v>
      </c>
      <c r="J3196" s="308" t="s">
        <v>214</v>
      </c>
      <c r="K3196" s="127" t="s">
        <v>4112</v>
      </c>
      <c r="L3196" s="153" t="s">
        <v>1579</v>
      </c>
      <c r="M3196">
        <v>137</v>
      </c>
      <c r="N3196" s="123">
        <v>17</v>
      </c>
      <c r="O3196">
        <v>2091</v>
      </c>
      <c r="P3196" s="132" t="s">
        <v>77</v>
      </c>
      <c r="Q3196" s="132">
        <v>868.1</v>
      </c>
      <c r="R3196" s="132">
        <v>138.9</v>
      </c>
      <c r="S3196" s="132"/>
      <c r="T3196" s="156"/>
      <c r="U3196" s="132"/>
      <c r="V3196" s="132">
        <v>1007</v>
      </c>
      <c r="W3196"/>
      <c r="X3196" s="153" t="s">
        <v>1644</v>
      </c>
      <c r="Y3196" s="124" t="s">
        <v>55</v>
      </c>
      <c r="Z3196" s="308">
        <v>232</v>
      </c>
      <c r="AB3196" t="str">
        <f>IF(Table1[[#This Row],[TIPO2]]="costo", VLOOKUP(Table1[[#This Row],[PARTIDA PRESUPUESTAL]],'Cost Report'!G:G,1,0),"Balance")</f>
        <v>2794-003</v>
      </c>
      <c r="AC3196" s="118"/>
      <c r="AD3196" s="159">
        <f>+Table1[[#This Row],[SUBTOTAL]]+Table1[[#This Row],[IVA]]-Table1[[#This Row],[RET IVA]]-Table1[[#This Row],[RET ISR]]-Table1[[#This Row],[TOTAL]]</f>
        <v>0</v>
      </c>
      <c r="AE3196" s="152"/>
      <c r="AF3196" s="153"/>
      <c r="AG3196" s="126" t="s">
        <v>3420</v>
      </c>
      <c r="AK3196" s="306" t="str">
        <f>IF(ISNUMBER(Table1[[#This Row],[FECHA DE RECIBIDO]]), Table1[[#This Row],[FECHA DE RECIBIDO]]-DATE(2023,8,30), "")</f>
        <v/>
      </c>
    </row>
    <row r="3197" spans="1:37" ht="15" customHeight="1">
      <c r="A3197" s="150" t="s">
        <v>4162</v>
      </c>
      <c r="B3197" s="151">
        <v>1161</v>
      </c>
      <c r="C3197" s="126" t="s">
        <v>2596</v>
      </c>
      <c r="D3197">
        <v>2152</v>
      </c>
      <c r="E3197" s="126" t="s">
        <v>2008</v>
      </c>
      <c r="F3197" s="122" t="s">
        <v>1607</v>
      </c>
      <c r="G3197" s="122" t="s">
        <v>134</v>
      </c>
      <c r="H3197">
        <v>100</v>
      </c>
      <c r="I3197" s="122" t="s">
        <v>1546</v>
      </c>
      <c r="J3197" s="307" t="s">
        <v>214</v>
      </c>
      <c r="K3197" s="127" t="s">
        <v>4112</v>
      </c>
      <c r="L3197" s="151" t="s">
        <v>1579</v>
      </c>
      <c r="M3197">
        <v>135</v>
      </c>
      <c r="N3197" s="123">
        <v>17</v>
      </c>
      <c r="O3197">
        <v>2092</v>
      </c>
      <c r="P3197" s="132" t="s">
        <v>77</v>
      </c>
      <c r="Q3197" s="131">
        <v>1719.83</v>
      </c>
      <c r="R3197" s="131">
        <v>275.17</v>
      </c>
      <c r="S3197" s="131"/>
      <c r="T3197" s="155"/>
      <c r="U3197" s="131"/>
      <c r="V3197" s="131">
        <v>1995</v>
      </c>
      <c r="W3197"/>
      <c r="X3197" s="151" t="s">
        <v>1644</v>
      </c>
      <c r="Y3197" s="135" t="s">
        <v>55</v>
      </c>
      <c r="Z3197" s="307">
        <v>232</v>
      </c>
      <c r="AB3197" t="str">
        <f>IF(Table1[[#This Row],[TIPO2]]="costo", VLOOKUP(Table1[[#This Row],[PARTIDA PRESUPUESTAL]],'Cost Report'!G:G,1,0),"Balance")</f>
        <v>2794-003</v>
      </c>
      <c r="AC3197" s="118"/>
      <c r="AD3197" s="159">
        <f>+Table1[[#This Row],[SUBTOTAL]]+Table1[[#This Row],[IVA]]-Table1[[#This Row],[RET IVA]]-Table1[[#This Row],[RET ISR]]-Table1[[#This Row],[TOTAL]]</f>
        <v>0</v>
      </c>
      <c r="AE3197" s="150"/>
      <c r="AF3197" s="151"/>
      <c r="AG3197" s="126" t="s">
        <v>3420</v>
      </c>
      <c r="AK3197" s="306" t="str">
        <f>IF(ISNUMBER(Table1[[#This Row],[FECHA DE RECIBIDO]]), Table1[[#This Row],[FECHA DE RECIBIDO]]-DATE(2023,8,30), "")</f>
        <v/>
      </c>
    </row>
    <row r="3198" spans="1:37" ht="15" customHeight="1">
      <c r="A3198" s="152" t="s">
        <v>4162</v>
      </c>
      <c r="B3198" s="153">
        <v>1161</v>
      </c>
      <c r="C3198" s="126" t="s">
        <v>2596</v>
      </c>
      <c r="D3198">
        <v>2153</v>
      </c>
      <c r="E3198" s="126" t="s">
        <v>4102</v>
      </c>
      <c r="F3198" s="125" t="s">
        <v>1589</v>
      </c>
      <c r="G3198" s="125" t="s">
        <v>129</v>
      </c>
      <c r="H3198">
        <v>599</v>
      </c>
      <c r="I3198" s="125" t="s">
        <v>1546</v>
      </c>
      <c r="J3198" s="308" t="s">
        <v>214</v>
      </c>
      <c r="K3198" s="127" t="s">
        <v>4112</v>
      </c>
      <c r="L3198" s="153" t="s">
        <v>1579</v>
      </c>
      <c r="M3198">
        <v>853</v>
      </c>
      <c r="N3198" s="123">
        <v>17</v>
      </c>
      <c r="O3198">
        <v>2093</v>
      </c>
      <c r="P3198" s="132" t="s">
        <v>77</v>
      </c>
      <c r="Q3198" s="132">
        <v>59.48</v>
      </c>
      <c r="R3198" s="132">
        <v>9.52</v>
      </c>
      <c r="S3198" s="132"/>
      <c r="T3198" s="156"/>
      <c r="U3198" s="132"/>
      <c r="V3198" s="132">
        <v>69</v>
      </c>
      <c r="W3198"/>
      <c r="X3198" s="153" t="s">
        <v>1644</v>
      </c>
      <c r="Y3198" s="124" t="s">
        <v>55</v>
      </c>
      <c r="Z3198" s="308">
        <v>232</v>
      </c>
      <c r="AB3198" t="str">
        <f>IF(Table1[[#This Row],[TIPO2]]="costo", VLOOKUP(Table1[[#This Row],[PARTIDA PRESUPUESTAL]],'Cost Report'!G:G,1,0),"Balance")</f>
        <v>2794-003</v>
      </c>
      <c r="AC3198" s="118"/>
      <c r="AD3198" s="159">
        <f>+Table1[[#This Row],[SUBTOTAL]]+Table1[[#This Row],[IVA]]-Table1[[#This Row],[RET IVA]]-Table1[[#This Row],[RET ISR]]-Table1[[#This Row],[TOTAL]]</f>
        <v>0</v>
      </c>
      <c r="AE3198" s="152"/>
      <c r="AF3198" s="153"/>
      <c r="AG3198" s="126" t="s">
        <v>3420</v>
      </c>
      <c r="AK3198" s="306" t="str">
        <f>IF(ISNUMBER(Table1[[#This Row],[FECHA DE RECIBIDO]]), Table1[[#This Row],[FECHA DE RECIBIDO]]-DATE(2023,8,30), "")</f>
        <v/>
      </c>
    </row>
    <row r="3199" spans="1:37" ht="15" customHeight="1">
      <c r="A3199" s="150" t="s">
        <v>4162</v>
      </c>
      <c r="B3199" s="151">
        <v>1161</v>
      </c>
      <c r="C3199" s="126" t="s">
        <v>2596</v>
      </c>
      <c r="D3199">
        <v>2154</v>
      </c>
      <c r="E3199" s="126" t="s">
        <v>2008</v>
      </c>
      <c r="F3199" s="122" t="s">
        <v>1607</v>
      </c>
      <c r="G3199" s="122" t="s">
        <v>134</v>
      </c>
      <c r="H3199">
        <v>102</v>
      </c>
      <c r="I3199" s="122" t="s">
        <v>1546</v>
      </c>
      <c r="J3199" s="307" t="s">
        <v>214</v>
      </c>
      <c r="K3199" s="127" t="s">
        <v>4112</v>
      </c>
      <c r="L3199" s="151" t="s">
        <v>1579</v>
      </c>
      <c r="M3199">
        <v>137</v>
      </c>
      <c r="N3199" s="123">
        <v>17</v>
      </c>
      <c r="O3199">
        <v>1960</v>
      </c>
      <c r="P3199" s="132" t="s">
        <v>77</v>
      </c>
      <c r="Q3199" s="131">
        <v>4651.7299999999996</v>
      </c>
      <c r="R3199" s="131">
        <v>744.27</v>
      </c>
      <c r="S3199" s="131"/>
      <c r="T3199" s="155"/>
      <c r="U3199" s="131"/>
      <c r="V3199" s="131">
        <v>5396</v>
      </c>
      <c r="W3199"/>
      <c r="X3199" s="151" t="s">
        <v>1644</v>
      </c>
      <c r="Y3199" s="135" t="s">
        <v>55</v>
      </c>
      <c r="Z3199" s="307">
        <v>233</v>
      </c>
      <c r="AB3199" t="str">
        <f>IF(Table1[[#This Row],[TIPO2]]="costo", VLOOKUP(Table1[[#This Row],[PARTIDA PRESUPUESTAL]],'Cost Report'!G:G,1,0),"Balance")</f>
        <v>2794-003</v>
      </c>
      <c r="AC3199" s="118"/>
      <c r="AD3199" s="159">
        <f>+Table1[[#This Row],[SUBTOTAL]]+Table1[[#This Row],[IVA]]-Table1[[#This Row],[RET IVA]]-Table1[[#This Row],[RET ISR]]-Table1[[#This Row],[TOTAL]]</f>
        <v>0</v>
      </c>
      <c r="AE3199" s="150"/>
      <c r="AF3199" s="151"/>
      <c r="AG3199" s="126" t="s">
        <v>3420</v>
      </c>
      <c r="AK3199" s="306" t="str">
        <f>IF(ISNUMBER(Table1[[#This Row],[FECHA DE RECIBIDO]]), Table1[[#This Row],[FECHA DE RECIBIDO]]-DATE(2023,8,30), "")</f>
        <v/>
      </c>
    </row>
    <row r="3200" spans="1:37" ht="15" customHeight="1">
      <c r="A3200" s="152" t="s">
        <v>4162</v>
      </c>
      <c r="B3200" s="153">
        <v>1161</v>
      </c>
      <c r="C3200" s="126" t="s">
        <v>2596</v>
      </c>
      <c r="D3200">
        <v>2155</v>
      </c>
      <c r="E3200" s="126" t="s">
        <v>1598</v>
      </c>
      <c r="F3200" s="125" t="s">
        <v>1607</v>
      </c>
      <c r="G3200" s="125" t="s">
        <v>134</v>
      </c>
      <c r="H3200">
        <v>97</v>
      </c>
      <c r="I3200" s="125" t="s">
        <v>1546</v>
      </c>
      <c r="J3200" s="308" t="s">
        <v>214</v>
      </c>
      <c r="K3200" s="127" t="s">
        <v>4112</v>
      </c>
      <c r="L3200" s="153" t="s">
        <v>1579</v>
      </c>
      <c r="M3200">
        <v>209</v>
      </c>
      <c r="N3200" s="123">
        <v>17</v>
      </c>
      <c r="O3200">
        <v>1948</v>
      </c>
      <c r="P3200" s="132" t="s">
        <v>77</v>
      </c>
      <c r="Q3200" s="132">
        <v>731.9</v>
      </c>
      <c r="R3200" s="132">
        <v>117.1</v>
      </c>
      <c r="S3200" s="132"/>
      <c r="T3200" s="156"/>
      <c r="U3200" s="132"/>
      <c r="V3200" s="132">
        <v>849</v>
      </c>
      <c r="W3200"/>
      <c r="X3200" s="153" t="s">
        <v>1644</v>
      </c>
      <c r="Y3200" s="124" t="s">
        <v>55</v>
      </c>
      <c r="Z3200" s="308">
        <v>233</v>
      </c>
      <c r="AB3200" t="str">
        <f>IF(Table1[[#This Row],[TIPO2]]="costo", VLOOKUP(Table1[[#This Row],[PARTIDA PRESUPUESTAL]],'Cost Report'!G:G,1,0),"Balance")</f>
        <v>2794-003</v>
      </c>
      <c r="AC3200" s="118"/>
      <c r="AD3200" s="159">
        <f>+Table1[[#This Row],[SUBTOTAL]]+Table1[[#This Row],[IVA]]-Table1[[#This Row],[RET IVA]]-Table1[[#This Row],[RET ISR]]-Table1[[#This Row],[TOTAL]]</f>
        <v>0</v>
      </c>
      <c r="AE3200" s="152"/>
      <c r="AF3200" s="153"/>
      <c r="AG3200" s="126" t="s">
        <v>3420</v>
      </c>
      <c r="AK3200" s="306" t="str">
        <f>IF(ISNUMBER(Table1[[#This Row],[FECHA DE RECIBIDO]]), Table1[[#This Row],[FECHA DE RECIBIDO]]-DATE(2023,8,30), "")</f>
        <v/>
      </c>
    </row>
    <row r="3201" spans="1:37" ht="15" customHeight="1">
      <c r="A3201" s="150" t="s">
        <v>4162</v>
      </c>
      <c r="B3201" s="151">
        <v>1161</v>
      </c>
      <c r="C3201" s="126" t="s">
        <v>2596</v>
      </c>
      <c r="D3201">
        <v>2156</v>
      </c>
      <c r="E3201" s="126" t="s">
        <v>1598</v>
      </c>
      <c r="F3201" s="122" t="s">
        <v>1607</v>
      </c>
      <c r="G3201" s="122" t="s">
        <v>134</v>
      </c>
      <c r="H3201">
        <v>41</v>
      </c>
      <c r="I3201" s="122" t="s">
        <v>1546</v>
      </c>
      <c r="J3201" s="307" t="s">
        <v>214</v>
      </c>
      <c r="K3201" s="127" t="s">
        <v>4112</v>
      </c>
      <c r="L3201" s="151" t="s">
        <v>1579</v>
      </c>
      <c r="M3201">
        <v>323</v>
      </c>
      <c r="N3201" s="123">
        <v>17</v>
      </c>
      <c r="O3201">
        <v>1340</v>
      </c>
      <c r="P3201" s="132" t="s">
        <v>77</v>
      </c>
      <c r="Q3201" s="131">
        <v>1538.91</v>
      </c>
      <c r="R3201" s="131">
        <v>246.21</v>
      </c>
      <c r="S3201" s="131"/>
      <c r="T3201" s="155"/>
      <c r="U3201" s="131"/>
      <c r="V3201" s="131">
        <v>1785.1200000000001</v>
      </c>
      <c r="W3201"/>
      <c r="X3201" s="151" t="s">
        <v>1644</v>
      </c>
      <c r="Y3201" s="135" t="s">
        <v>55</v>
      </c>
      <c r="Z3201" s="307">
        <v>233</v>
      </c>
      <c r="AB3201" t="str">
        <f>IF(Table1[[#This Row],[TIPO2]]="costo", VLOOKUP(Table1[[#This Row],[PARTIDA PRESUPUESTAL]],'Cost Report'!G:G,1,0),"Balance")</f>
        <v>2794-003</v>
      </c>
      <c r="AC3201" s="118"/>
      <c r="AD3201" s="159">
        <f>+Table1[[#This Row],[SUBTOTAL]]+Table1[[#This Row],[IVA]]-Table1[[#This Row],[RET IVA]]-Table1[[#This Row],[RET ISR]]-Table1[[#This Row],[TOTAL]]</f>
        <v>0</v>
      </c>
      <c r="AE3201" s="150"/>
      <c r="AF3201" s="151"/>
      <c r="AG3201" s="126" t="s">
        <v>3420</v>
      </c>
      <c r="AK3201" s="306" t="str">
        <f>IF(ISNUMBER(Table1[[#This Row],[FECHA DE RECIBIDO]]), Table1[[#This Row],[FECHA DE RECIBIDO]]-DATE(2023,8,30), "")</f>
        <v/>
      </c>
    </row>
    <row r="3202" spans="1:37" ht="15" customHeight="1">
      <c r="A3202" s="152" t="s">
        <v>4162</v>
      </c>
      <c r="B3202" s="153">
        <v>1161</v>
      </c>
      <c r="C3202" s="126" t="s">
        <v>2596</v>
      </c>
      <c r="D3202">
        <v>2157</v>
      </c>
      <c r="E3202" s="126" t="s">
        <v>1598</v>
      </c>
      <c r="F3202" s="125" t="s">
        <v>1607</v>
      </c>
      <c r="G3202" s="125" t="s">
        <v>134</v>
      </c>
      <c r="H3202">
        <v>41</v>
      </c>
      <c r="I3202" s="125" t="s">
        <v>1546</v>
      </c>
      <c r="J3202" s="308" t="s">
        <v>214</v>
      </c>
      <c r="K3202" s="127" t="s">
        <v>4112</v>
      </c>
      <c r="L3202" s="153" t="s">
        <v>1579</v>
      </c>
      <c r="M3202">
        <v>323</v>
      </c>
      <c r="N3202" s="123">
        <v>17</v>
      </c>
      <c r="O3202">
        <v>2094</v>
      </c>
      <c r="P3202" s="132" t="s">
        <v>77</v>
      </c>
      <c r="Q3202" s="132">
        <v>1557.76</v>
      </c>
      <c r="R3202" s="132">
        <v>249.24</v>
      </c>
      <c r="S3202" s="132"/>
      <c r="T3202" s="156"/>
      <c r="U3202" s="132"/>
      <c r="V3202" s="132">
        <v>1807</v>
      </c>
      <c r="W3202"/>
      <c r="X3202" s="153" t="s">
        <v>1644</v>
      </c>
      <c r="Y3202" s="124" t="s">
        <v>55</v>
      </c>
      <c r="Z3202" s="308">
        <v>233</v>
      </c>
      <c r="AB3202" t="str">
        <f>IF(Table1[[#This Row],[TIPO2]]="costo", VLOOKUP(Table1[[#This Row],[PARTIDA PRESUPUESTAL]],'Cost Report'!G:G,1,0),"Balance")</f>
        <v>2794-003</v>
      </c>
      <c r="AC3202" s="118"/>
      <c r="AD3202" s="159">
        <f>+Table1[[#This Row],[SUBTOTAL]]+Table1[[#This Row],[IVA]]-Table1[[#This Row],[RET IVA]]-Table1[[#This Row],[RET ISR]]-Table1[[#This Row],[TOTAL]]</f>
        <v>0</v>
      </c>
      <c r="AE3202" s="152"/>
      <c r="AF3202" s="153"/>
      <c r="AG3202" s="126" t="s">
        <v>3420</v>
      </c>
      <c r="AK3202" s="306" t="str">
        <f>IF(ISNUMBER(Table1[[#This Row],[FECHA DE RECIBIDO]]), Table1[[#This Row],[FECHA DE RECIBIDO]]-DATE(2023,8,30), "")</f>
        <v/>
      </c>
    </row>
    <row r="3203" spans="1:37" ht="15" customHeight="1">
      <c r="A3203" s="150" t="s">
        <v>4162</v>
      </c>
      <c r="B3203" s="151">
        <v>1161</v>
      </c>
      <c r="C3203" s="126" t="s">
        <v>2596</v>
      </c>
      <c r="D3203">
        <v>2158</v>
      </c>
      <c r="E3203" s="126" t="s">
        <v>1598</v>
      </c>
      <c r="F3203" s="122" t="s">
        <v>1607</v>
      </c>
      <c r="G3203" s="122" t="s">
        <v>134</v>
      </c>
      <c r="H3203">
        <v>101</v>
      </c>
      <c r="I3203" s="122" t="s">
        <v>1546</v>
      </c>
      <c r="J3203" s="307" t="s">
        <v>214</v>
      </c>
      <c r="K3203" s="127" t="s">
        <v>4112</v>
      </c>
      <c r="L3203" s="151" t="s">
        <v>1579</v>
      </c>
      <c r="M3203">
        <v>136</v>
      </c>
      <c r="N3203" s="123">
        <v>17</v>
      </c>
      <c r="O3203">
        <v>1346</v>
      </c>
      <c r="P3203" s="132" t="s">
        <v>77</v>
      </c>
      <c r="Q3203" s="131">
        <v>1119.83</v>
      </c>
      <c r="R3203" s="131">
        <v>179.17</v>
      </c>
      <c r="S3203" s="131"/>
      <c r="T3203" s="155"/>
      <c r="U3203" s="131"/>
      <c r="V3203" s="131">
        <v>1299</v>
      </c>
      <c r="W3203"/>
      <c r="X3203" s="151" t="s">
        <v>1644</v>
      </c>
      <c r="Y3203" s="135" t="s">
        <v>55</v>
      </c>
      <c r="Z3203" s="307">
        <v>233</v>
      </c>
      <c r="AB3203" t="str">
        <f>IF(Table1[[#This Row],[TIPO2]]="costo", VLOOKUP(Table1[[#This Row],[PARTIDA PRESUPUESTAL]],'Cost Report'!G:G,1,0),"Balance")</f>
        <v>2794-003</v>
      </c>
      <c r="AC3203" s="118"/>
      <c r="AD3203" s="159">
        <f>+Table1[[#This Row],[SUBTOTAL]]+Table1[[#This Row],[IVA]]-Table1[[#This Row],[RET IVA]]-Table1[[#This Row],[RET ISR]]-Table1[[#This Row],[TOTAL]]</f>
        <v>0</v>
      </c>
      <c r="AE3203" s="150"/>
      <c r="AF3203" s="151"/>
      <c r="AG3203" s="126" t="s">
        <v>3420</v>
      </c>
      <c r="AK3203" s="306" t="str">
        <f>IF(ISNUMBER(Table1[[#This Row],[FECHA DE RECIBIDO]]), Table1[[#This Row],[FECHA DE RECIBIDO]]-DATE(2023,8,30), "")</f>
        <v/>
      </c>
    </row>
    <row r="3204" spans="1:37" ht="15" customHeight="1">
      <c r="A3204" s="152" t="s">
        <v>4162</v>
      </c>
      <c r="B3204" s="153">
        <v>1161</v>
      </c>
      <c r="C3204" s="126" t="s">
        <v>2596</v>
      </c>
      <c r="D3204">
        <v>2159</v>
      </c>
      <c r="E3204" s="126" t="s">
        <v>1603</v>
      </c>
      <c r="F3204" s="125" t="s">
        <v>1589</v>
      </c>
      <c r="G3204" s="125" t="s">
        <v>129</v>
      </c>
      <c r="H3204">
        <v>593</v>
      </c>
      <c r="I3204" s="125" t="s">
        <v>1546</v>
      </c>
      <c r="J3204" s="308" t="s">
        <v>214</v>
      </c>
      <c r="K3204" s="127" t="s">
        <v>4112</v>
      </c>
      <c r="L3204" s="153" t="s">
        <v>1579</v>
      </c>
      <c r="M3204">
        <v>571</v>
      </c>
      <c r="N3204" s="123">
        <v>17</v>
      </c>
      <c r="O3204">
        <v>1364</v>
      </c>
      <c r="P3204" s="132" t="s">
        <v>77</v>
      </c>
      <c r="Q3204" s="132">
        <v>211.2</v>
      </c>
      <c r="R3204" s="132">
        <v>33.799999999999997</v>
      </c>
      <c r="S3204" s="132"/>
      <c r="T3204" s="156"/>
      <c r="U3204" s="132"/>
      <c r="V3204" s="132">
        <v>245</v>
      </c>
      <c r="W3204"/>
      <c r="X3204" s="153" t="s">
        <v>1644</v>
      </c>
      <c r="Y3204" s="124" t="s">
        <v>55</v>
      </c>
      <c r="Z3204" s="308">
        <v>233</v>
      </c>
      <c r="AB3204" t="str">
        <f>IF(Table1[[#This Row],[TIPO2]]="costo", VLOOKUP(Table1[[#This Row],[PARTIDA PRESUPUESTAL]],'Cost Report'!G:G,1,0),"Balance")</f>
        <v>2794-003</v>
      </c>
      <c r="AC3204" s="118"/>
      <c r="AD3204" s="159">
        <f>+Table1[[#This Row],[SUBTOTAL]]+Table1[[#This Row],[IVA]]-Table1[[#This Row],[RET IVA]]-Table1[[#This Row],[RET ISR]]-Table1[[#This Row],[TOTAL]]</f>
        <v>0</v>
      </c>
      <c r="AE3204" s="152"/>
      <c r="AF3204" s="153"/>
      <c r="AG3204" s="126" t="s">
        <v>3420</v>
      </c>
      <c r="AK3204" s="306" t="str">
        <f>IF(ISNUMBER(Table1[[#This Row],[FECHA DE RECIBIDO]]), Table1[[#This Row],[FECHA DE RECIBIDO]]-DATE(2023,8,30), "")</f>
        <v/>
      </c>
    </row>
    <row r="3205" spans="1:37" ht="15" customHeight="1">
      <c r="A3205" s="150" t="s">
        <v>4162</v>
      </c>
      <c r="B3205" s="151">
        <v>1161</v>
      </c>
      <c r="C3205" s="126" t="s">
        <v>2596</v>
      </c>
      <c r="D3205">
        <v>2160</v>
      </c>
      <c r="E3205" s="126" t="s">
        <v>4186</v>
      </c>
      <c r="F3205" s="122" t="s">
        <v>1607</v>
      </c>
      <c r="G3205" s="122" t="s">
        <v>134</v>
      </c>
      <c r="H3205">
        <v>153</v>
      </c>
      <c r="I3205" s="122" t="s">
        <v>1546</v>
      </c>
      <c r="J3205" s="307" t="s">
        <v>214</v>
      </c>
      <c r="K3205" s="127" t="s">
        <v>4112</v>
      </c>
      <c r="L3205" s="151" t="s">
        <v>1579</v>
      </c>
      <c r="M3205">
        <v>204</v>
      </c>
      <c r="N3205" s="123">
        <v>17</v>
      </c>
      <c r="O3205">
        <v>2095</v>
      </c>
      <c r="P3205" s="132" t="s">
        <v>77</v>
      </c>
      <c r="Q3205" s="131">
        <v>256.89999999999998</v>
      </c>
      <c r="R3205" s="131">
        <v>41.1</v>
      </c>
      <c r="S3205" s="131"/>
      <c r="T3205" s="155"/>
      <c r="U3205" s="131"/>
      <c r="V3205" s="131">
        <v>298</v>
      </c>
      <c r="W3205"/>
      <c r="X3205" s="151" t="s">
        <v>1644</v>
      </c>
      <c r="Y3205" s="135" t="s">
        <v>55</v>
      </c>
      <c r="Z3205" s="307">
        <v>233</v>
      </c>
      <c r="AB3205" t="str">
        <f>IF(Table1[[#This Row],[TIPO2]]="costo", VLOOKUP(Table1[[#This Row],[PARTIDA PRESUPUESTAL]],'Cost Report'!G:G,1,0),"Balance")</f>
        <v>2794-003</v>
      </c>
      <c r="AC3205" s="118"/>
      <c r="AD3205" s="159">
        <f>+Table1[[#This Row],[SUBTOTAL]]+Table1[[#This Row],[IVA]]-Table1[[#This Row],[RET IVA]]-Table1[[#This Row],[RET ISR]]-Table1[[#This Row],[TOTAL]]</f>
        <v>0</v>
      </c>
      <c r="AE3205" s="150"/>
      <c r="AF3205" s="151"/>
      <c r="AG3205" s="126" t="s">
        <v>3420</v>
      </c>
      <c r="AK3205" s="306" t="str">
        <f>IF(ISNUMBER(Table1[[#This Row],[FECHA DE RECIBIDO]]), Table1[[#This Row],[FECHA DE RECIBIDO]]-DATE(2023,8,30), "")</f>
        <v/>
      </c>
    </row>
    <row r="3206" spans="1:37" ht="15" customHeight="1">
      <c r="A3206" s="152" t="s">
        <v>4162</v>
      </c>
      <c r="B3206" s="153">
        <v>1161</v>
      </c>
      <c r="C3206" s="126" t="s">
        <v>2596</v>
      </c>
      <c r="D3206">
        <v>2161</v>
      </c>
      <c r="E3206" s="126" t="s">
        <v>1615</v>
      </c>
      <c r="F3206" s="125" t="s">
        <v>1607</v>
      </c>
      <c r="G3206" s="125" t="s">
        <v>134</v>
      </c>
      <c r="H3206">
        <v>274</v>
      </c>
      <c r="I3206" s="125" t="s">
        <v>1546</v>
      </c>
      <c r="J3206" s="308" t="s">
        <v>214</v>
      </c>
      <c r="K3206" s="127" t="s">
        <v>4112</v>
      </c>
      <c r="L3206" s="153" t="s">
        <v>1579</v>
      </c>
      <c r="M3206">
        <v>365</v>
      </c>
      <c r="N3206" s="123">
        <v>17</v>
      </c>
      <c r="O3206">
        <v>1340</v>
      </c>
      <c r="P3206" s="132" t="s">
        <v>77</v>
      </c>
      <c r="Q3206" s="132">
        <v>613.02</v>
      </c>
      <c r="R3206" s="132">
        <v>98.08</v>
      </c>
      <c r="S3206" s="132"/>
      <c r="T3206" s="156"/>
      <c r="U3206" s="132"/>
      <c r="V3206" s="132">
        <v>711.1</v>
      </c>
      <c r="W3206"/>
      <c r="X3206" s="153" t="s">
        <v>1644</v>
      </c>
      <c r="Y3206" s="124" t="s">
        <v>55</v>
      </c>
      <c r="Z3206" s="308">
        <v>233</v>
      </c>
      <c r="AB3206" t="str">
        <f>IF(Table1[[#This Row],[TIPO2]]="costo", VLOOKUP(Table1[[#This Row],[PARTIDA PRESUPUESTAL]],'Cost Report'!G:G,1,0),"Balance")</f>
        <v>2794-003</v>
      </c>
      <c r="AC3206" s="118"/>
      <c r="AD3206" s="159">
        <f>+Table1[[#This Row],[SUBTOTAL]]+Table1[[#This Row],[IVA]]-Table1[[#This Row],[RET IVA]]-Table1[[#This Row],[RET ISR]]-Table1[[#This Row],[TOTAL]]</f>
        <v>0</v>
      </c>
      <c r="AE3206" s="152"/>
      <c r="AF3206" s="153"/>
      <c r="AG3206" s="126" t="s">
        <v>3420</v>
      </c>
      <c r="AK3206" s="306" t="str">
        <f>IF(ISNUMBER(Table1[[#This Row],[FECHA DE RECIBIDO]]), Table1[[#This Row],[FECHA DE RECIBIDO]]-DATE(2023,8,30), "")</f>
        <v/>
      </c>
    </row>
    <row r="3207" spans="1:37" ht="15" customHeight="1">
      <c r="A3207" s="150" t="s">
        <v>4162</v>
      </c>
      <c r="B3207" s="151">
        <v>1161</v>
      </c>
      <c r="C3207" s="126" t="s">
        <v>2596</v>
      </c>
      <c r="D3207">
        <v>2162</v>
      </c>
      <c r="E3207" s="126" t="s">
        <v>2008</v>
      </c>
      <c r="F3207" s="122" t="s">
        <v>1607</v>
      </c>
      <c r="G3207" s="122" t="s">
        <v>134</v>
      </c>
      <c r="H3207">
        <v>100</v>
      </c>
      <c r="I3207" s="122" t="s">
        <v>1546</v>
      </c>
      <c r="J3207" s="307" t="s">
        <v>214</v>
      </c>
      <c r="K3207" s="127" t="s">
        <v>4112</v>
      </c>
      <c r="L3207" s="151" t="s">
        <v>1579</v>
      </c>
      <c r="M3207">
        <v>135</v>
      </c>
      <c r="N3207" s="123">
        <v>17</v>
      </c>
      <c r="O3207">
        <v>2096</v>
      </c>
      <c r="P3207" s="132" t="s">
        <v>77</v>
      </c>
      <c r="Q3207" s="131">
        <v>430.17</v>
      </c>
      <c r="R3207" s="131">
        <v>68.83</v>
      </c>
      <c r="S3207" s="131"/>
      <c r="T3207" s="155"/>
      <c r="U3207" s="131"/>
      <c r="V3207" s="131">
        <v>499</v>
      </c>
      <c r="W3207"/>
      <c r="X3207" s="151" t="s">
        <v>1644</v>
      </c>
      <c r="Y3207" s="135" t="s">
        <v>55</v>
      </c>
      <c r="Z3207" s="307">
        <v>233</v>
      </c>
      <c r="AB3207" t="str">
        <f>IF(Table1[[#This Row],[TIPO2]]="costo", VLOOKUP(Table1[[#This Row],[PARTIDA PRESUPUESTAL]],'Cost Report'!G:G,1,0),"Balance")</f>
        <v>2794-003</v>
      </c>
      <c r="AC3207" s="118"/>
      <c r="AD3207" s="159">
        <f>+Table1[[#This Row],[SUBTOTAL]]+Table1[[#This Row],[IVA]]-Table1[[#This Row],[RET IVA]]-Table1[[#This Row],[RET ISR]]-Table1[[#This Row],[TOTAL]]</f>
        <v>0</v>
      </c>
      <c r="AE3207" s="150"/>
      <c r="AF3207" s="151"/>
      <c r="AG3207" s="126" t="s">
        <v>3420</v>
      </c>
      <c r="AK3207" s="306" t="str">
        <f>IF(ISNUMBER(Table1[[#This Row],[FECHA DE RECIBIDO]]), Table1[[#This Row],[FECHA DE RECIBIDO]]-DATE(2023,8,30), "")</f>
        <v/>
      </c>
    </row>
    <row r="3208" spans="1:37" ht="15" customHeight="1">
      <c r="A3208" s="152" t="s">
        <v>4162</v>
      </c>
      <c r="B3208" s="153">
        <v>1161</v>
      </c>
      <c r="C3208" s="126" t="s">
        <v>2596</v>
      </c>
      <c r="D3208">
        <v>2163</v>
      </c>
      <c r="E3208" s="126" t="s">
        <v>2008</v>
      </c>
      <c r="F3208" s="125" t="s">
        <v>1607</v>
      </c>
      <c r="G3208" s="125" t="s">
        <v>134</v>
      </c>
      <c r="H3208">
        <v>100</v>
      </c>
      <c r="I3208" s="125" t="s">
        <v>1546</v>
      </c>
      <c r="J3208" s="308" t="s">
        <v>214</v>
      </c>
      <c r="K3208" s="127" t="s">
        <v>4112</v>
      </c>
      <c r="L3208" s="153" t="s">
        <v>1579</v>
      </c>
      <c r="M3208">
        <v>135</v>
      </c>
      <c r="N3208" s="123">
        <v>17</v>
      </c>
      <c r="O3208">
        <v>2097</v>
      </c>
      <c r="P3208" s="132" t="s">
        <v>77</v>
      </c>
      <c r="Q3208" s="132">
        <v>85.34</v>
      </c>
      <c r="R3208" s="132">
        <v>13.66</v>
      </c>
      <c r="S3208" s="132"/>
      <c r="T3208" s="156"/>
      <c r="U3208" s="132"/>
      <c r="V3208" s="132">
        <v>99</v>
      </c>
      <c r="W3208"/>
      <c r="X3208" s="153" t="s">
        <v>1644</v>
      </c>
      <c r="Y3208" s="124" t="s">
        <v>55</v>
      </c>
      <c r="Z3208" s="308">
        <v>233</v>
      </c>
      <c r="AB3208" t="str">
        <f>IF(Table1[[#This Row],[TIPO2]]="costo", VLOOKUP(Table1[[#This Row],[PARTIDA PRESUPUESTAL]],'Cost Report'!G:G,1,0),"Balance")</f>
        <v>2794-003</v>
      </c>
      <c r="AC3208" s="118"/>
      <c r="AD3208" s="159">
        <f>+Table1[[#This Row],[SUBTOTAL]]+Table1[[#This Row],[IVA]]-Table1[[#This Row],[RET IVA]]-Table1[[#This Row],[RET ISR]]-Table1[[#This Row],[TOTAL]]</f>
        <v>0</v>
      </c>
      <c r="AE3208" s="152"/>
      <c r="AF3208" s="153"/>
      <c r="AG3208" s="126" t="s">
        <v>3420</v>
      </c>
      <c r="AK3208" s="306" t="str">
        <f>IF(ISNUMBER(Table1[[#This Row],[FECHA DE RECIBIDO]]), Table1[[#This Row],[FECHA DE RECIBIDO]]-DATE(2023,8,30), "")</f>
        <v/>
      </c>
    </row>
    <row r="3209" spans="1:37" ht="15" customHeight="1">
      <c r="A3209" s="150" t="s">
        <v>4162</v>
      </c>
      <c r="B3209" s="151">
        <v>1161</v>
      </c>
      <c r="C3209" s="126" t="s">
        <v>2596</v>
      </c>
      <c r="D3209">
        <v>2164</v>
      </c>
      <c r="E3209" s="126" t="s">
        <v>4102</v>
      </c>
      <c r="F3209" s="122" t="s">
        <v>1607</v>
      </c>
      <c r="G3209" s="122" t="s">
        <v>134</v>
      </c>
      <c r="H3209">
        <v>600</v>
      </c>
      <c r="I3209" s="122" t="s">
        <v>1546</v>
      </c>
      <c r="J3209" s="307" t="s">
        <v>214</v>
      </c>
      <c r="K3209" s="127" t="s">
        <v>4112</v>
      </c>
      <c r="L3209" s="151" t="s">
        <v>1579</v>
      </c>
      <c r="M3209">
        <v>854</v>
      </c>
      <c r="N3209" s="123">
        <v>17</v>
      </c>
      <c r="O3209">
        <v>2097</v>
      </c>
      <c r="P3209" s="132" t="s">
        <v>77</v>
      </c>
      <c r="Q3209" s="131">
        <v>239.65</v>
      </c>
      <c r="R3209" s="131">
        <v>38.35</v>
      </c>
      <c r="S3209" s="131"/>
      <c r="T3209" s="155"/>
      <c r="U3209" s="131"/>
      <c r="V3209" s="131">
        <v>278</v>
      </c>
      <c r="W3209"/>
      <c r="X3209" s="151" t="s">
        <v>1644</v>
      </c>
      <c r="Y3209" s="135" t="s">
        <v>55</v>
      </c>
      <c r="Z3209" s="307">
        <v>233</v>
      </c>
      <c r="AB3209" t="str">
        <f>IF(Table1[[#This Row],[TIPO2]]="costo", VLOOKUP(Table1[[#This Row],[PARTIDA PRESUPUESTAL]],'Cost Report'!G:G,1,0),"Balance")</f>
        <v>2794-003</v>
      </c>
      <c r="AC3209" s="118"/>
      <c r="AD3209" s="159">
        <f>+Table1[[#This Row],[SUBTOTAL]]+Table1[[#This Row],[IVA]]-Table1[[#This Row],[RET IVA]]-Table1[[#This Row],[RET ISR]]-Table1[[#This Row],[TOTAL]]</f>
        <v>0</v>
      </c>
      <c r="AE3209" s="150"/>
      <c r="AF3209" s="151"/>
      <c r="AG3209" s="126" t="s">
        <v>3420</v>
      </c>
      <c r="AK3209" s="306" t="str">
        <f>IF(ISNUMBER(Table1[[#This Row],[FECHA DE RECIBIDO]]), Table1[[#This Row],[FECHA DE RECIBIDO]]-DATE(2023,8,30), "")</f>
        <v/>
      </c>
    </row>
    <row r="3210" spans="1:37" ht="15" customHeight="1">
      <c r="A3210" s="152" t="s">
        <v>4162</v>
      </c>
      <c r="B3210" s="153">
        <v>1161</v>
      </c>
      <c r="C3210" s="126" t="s">
        <v>2596</v>
      </c>
      <c r="D3210">
        <v>2165</v>
      </c>
      <c r="E3210" s="126" t="s">
        <v>1608</v>
      </c>
      <c r="F3210" s="125" t="s">
        <v>1607</v>
      </c>
      <c r="G3210" s="125" t="s">
        <v>134</v>
      </c>
      <c r="H3210">
        <v>177</v>
      </c>
      <c r="I3210" s="125" t="s">
        <v>1546</v>
      </c>
      <c r="J3210" s="308" t="s">
        <v>214</v>
      </c>
      <c r="K3210" s="127" t="s">
        <v>4112</v>
      </c>
      <c r="L3210" s="153" t="s">
        <v>1579</v>
      </c>
      <c r="M3210">
        <v>238</v>
      </c>
      <c r="N3210" s="123">
        <v>17</v>
      </c>
      <c r="O3210">
        <v>1340</v>
      </c>
      <c r="P3210" s="132" t="s">
        <v>77</v>
      </c>
      <c r="Q3210" s="132">
        <v>323.06</v>
      </c>
      <c r="R3210" s="132">
        <v>51.69</v>
      </c>
      <c r="S3210" s="132"/>
      <c r="T3210" s="156"/>
      <c r="U3210" s="132"/>
      <c r="V3210" s="132">
        <v>374.75</v>
      </c>
      <c r="W3210"/>
      <c r="X3210" s="153" t="s">
        <v>1644</v>
      </c>
      <c r="Y3210" s="124" t="s">
        <v>55</v>
      </c>
      <c r="Z3210" s="308">
        <v>234</v>
      </c>
      <c r="AB3210" t="str">
        <f>IF(Table1[[#This Row],[TIPO2]]="costo", VLOOKUP(Table1[[#This Row],[PARTIDA PRESUPUESTAL]],'Cost Report'!G:G,1,0),"Balance")</f>
        <v>2794-003</v>
      </c>
      <c r="AC3210" s="118"/>
      <c r="AD3210" s="159">
        <f>+Table1[[#This Row],[SUBTOTAL]]+Table1[[#This Row],[IVA]]-Table1[[#This Row],[RET IVA]]-Table1[[#This Row],[RET ISR]]-Table1[[#This Row],[TOTAL]]</f>
        <v>0</v>
      </c>
      <c r="AE3210" s="152"/>
      <c r="AF3210" s="153"/>
      <c r="AG3210" s="126" t="s">
        <v>3420</v>
      </c>
      <c r="AK3210" s="306" t="str">
        <f>IF(ISNUMBER(Table1[[#This Row],[FECHA DE RECIBIDO]]), Table1[[#This Row],[FECHA DE RECIBIDO]]-DATE(2023,8,30), "")</f>
        <v/>
      </c>
    </row>
    <row r="3211" spans="1:37" ht="15" customHeight="1">
      <c r="A3211" s="150" t="s">
        <v>4162</v>
      </c>
      <c r="B3211" s="151">
        <v>1161</v>
      </c>
      <c r="C3211" s="126" t="s">
        <v>2596</v>
      </c>
      <c r="D3211">
        <v>2166</v>
      </c>
      <c r="E3211" s="126" t="s">
        <v>1608</v>
      </c>
      <c r="F3211" s="122" t="s">
        <v>1607</v>
      </c>
      <c r="G3211" s="122" t="s">
        <v>134</v>
      </c>
      <c r="H3211">
        <v>91</v>
      </c>
      <c r="I3211" s="122" t="s">
        <v>1546</v>
      </c>
      <c r="J3211" s="307" t="s">
        <v>214</v>
      </c>
      <c r="K3211" s="127" t="s">
        <v>4112</v>
      </c>
      <c r="L3211" s="151" t="s">
        <v>1579</v>
      </c>
      <c r="M3211">
        <v>122</v>
      </c>
      <c r="N3211" s="123">
        <v>17</v>
      </c>
      <c r="O3211">
        <v>1340</v>
      </c>
      <c r="P3211" s="132" t="s">
        <v>77</v>
      </c>
      <c r="Q3211" s="131">
        <v>93.59</v>
      </c>
      <c r="R3211" s="131">
        <v>14.97</v>
      </c>
      <c r="S3211" s="131"/>
      <c r="T3211" s="155"/>
      <c r="U3211" s="131"/>
      <c r="V3211" s="131">
        <v>108.56</v>
      </c>
      <c r="W3211"/>
      <c r="X3211" s="151" t="s">
        <v>1644</v>
      </c>
      <c r="Y3211" s="135" t="s">
        <v>55</v>
      </c>
      <c r="Z3211" s="307">
        <v>234</v>
      </c>
      <c r="AB3211" t="str">
        <f>IF(Table1[[#This Row],[TIPO2]]="costo", VLOOKUP(Table1[[#This Row],[PARTIDA PRESUPUESTAL]],'Cost Report'!G:G,1,0),"Balance")</f>
        <v>2794-003</v>
      </c>
      <c r="AC3211" s="118"/>
      <c r="AD3211" s="159">
        <f>+Table1[[#This Row],[SUBTOTAL]]+Table1[[#This Row],[IVA]]-Table1[[#This Row],[RET IVA]]-Table1[[#This Row],[RET ISR]]-Table1[[#This Row],[TOTAL]]</f>
        <v>0</v>
      </c>
      <c r="AE3211" s="150"/>
      <c r="AF3211" s="151"/>
      <c r="AG3211" s="126" t="s">
        <v>3420</v>
      </c>
      <c r="AK3211" s="306" t="str">
        <f>IF(ISNUMBER(Table1[[#This Row],[FECHA DE RECIBIDO]]), Table1[[#This Row],[FECHA DE RECIBIDO]]-DATE(2023,8,30), "")</f>
        <v/>
      </c>
    </row>
    <row r="3212" spans="1:37" ht="15" customHeight="1">
      <c r="A3212" s="152" t="s">
        <v>4162</v>
      </c>
      <c r="B3212" s="153">
        <v>1161</v>
      </c>
      <c r="C3212" s="126" t="s">
        <v>2596</v>
      </c>
      <c r="D3212">
        <v>2167</v>
      </c>
      <c r="E3212" s="126" t="s">
        <v>2008</v>
      </c>
      <c r="F3212" s="125" t="s">
        <v>1607</v>
      </c>
      <c r="G3212" s="125" t="s">
        <v>134</v>
      </c>
      <c r="H3212">
        <v>102</v>
      </c>
      <c r="I3212" s="125" t="s">
        <v>1546</v>
      </c>
      <c r="J3212" s="308" t="s">
        <v>214</v>
      </c>
      <c r="K3212" s="127" t="s">
        <v>4112</v>
      </c>
      <c r="L3212" s="153" t="s">
        <v>1579</v>
      </c>
      <c r="M3212">
        <v>137</v>
      </c>
      <c r="N3212" s="123">
        <v>17</v>
      </c>
      <c r="O3212">
        <v>1959</v>
      </c>
      <c r="P3212" s="132" t="s">
        <v>77</v>
      </c>
      <c r="Q3212" s="132">
        <v>8012.93</v>
      </c>
      <c r="R3212" s="132">
        <v>1282.07</v>
      </c>
      <c r="S3212" s="132"/>
      <c r="T3212" s="156"/>
      <c r="U3212" s="132"/>
      <c r="V3212" s="132">
        <v>9295</v>
      </c>
      <c r="W3212"/>
      <c r="X3212" s="153" t="s">
        <v>1644</v>
      </c>
      <c r="Y3212" s="124" t="s">
        <v>55</v>
      </c>
      <c r="Z3212" s="308">
        <v>234</v>
      </c>
      <c r="AB3212" t="str">
        <f>IF(Table1[[#This Row],[TIPO2]]="costo", VLOOKUP(Table1[[#This Row],[PARTIDA PRESUPUESTAL]],'Cost Report'!G:G,1,0),"Balance")</f>
        <v>2794-003</v>
      </c>
      <c r="AC3212" s="118"/>
      <c r="AD3212" s="159">
        <f>+Table1[[#This Row],[SUBTOTAL]]+Table1[[#This Row],[IVA]]-Table1[[#This Row],[RET IVA]]-Table1[[#This Row],[RET ISR]]-Table1[[#This Row],[TOTAL]]</f>
        <v>0</v>
      </c>
      <c r="AE3212" s="152"/>
      <c r="AF3212" s="153"/>
      <c r="AG3212" s="126" t="s">
        <v>3420</v>
      </c>
      <c r="AK3212" s="306" t="str">
        <f>IF(ISNUMBER(Table1[[#This Row],[FECHA DE RECIBIDO]]), Table1[[#This Row],[FECHA DE RECIBIDO]]-DATE(2023,8,30), "")</f>
        <v/>
      </c>
    </row>
    <row r="3213" spans="1:37" ht="15" customHeight="1">
      <c r="A3213" s="150" t="s">
        <v>4162</v>
      </c>
      <c r="B3213" s="151">
        <v>1161</v>
      </c>
      <c r="C3213" s="126" t="s">
        <v>2596</v>
      </c>
      <c r="D3213">
        <v>2168</v>
      </c>
      <c r="E3213" s="126" t="s">
        <v>2008</v>
      </c>
      <c r="F3213" s="122" t="s">
        <v>1607</v>
      </c>
      <c r="G3213" s="122" t="s">
        <v>134</v>
      </c>
      <c r="H3213">
        <v>100</v>
      </c>
      <c r="I3213" s="122" t="s">
        <v>1546</v>
      </c>
      <c r="J3213" s="307" t="s">
        <v>214</v>
      </c>
      <c r="K3213" s="127" t="s">
        <v>4112</v>
      </c>
      <c r="L3213" s="151" t="s">
        <v>1579</v>
      </c>
      <c r="M3213">
        <v>135</v>
      </c>
      <c r="N3213" s="123">
        <v>17</v>
      </c>
      <c r="O3213">
        <v>1947</v>
      </c>
      <c r="P3213" s="132" t="s">
        <v>77</v>
      </c>
      <c r="Q3213" s="131">
        <v>343.97</v>
      </c>
      <c r="R3213" s="131">
        <v>55.03</v>
      </c>
      <c r="S3213" s="131"/>
      <c r="T3213" s="155"/>
      <c r="U3213" s="131"/>
      <c r="V3213" s="131">
        <v>399</v>
      </c>
      <c r="W3213"/>
      <c r="X3213" s="151" t="s">
        <v>1644</v>
      </c>
      <c r="Y3213" s="135" t="s">
        <v>55</v>
      </c>
      <c r="Z3213" s="307">
        <v>234</v>
      </c>
      <c r="AB3213" t="str">
        <f>IF(Table1[[#This Row],[TIPO2]]="costo", VLOOKUP(Table1[[#This Row],[PARTIDA PRESUPUESTAL]],'Cost Report'!G:G,1,0),"Balance")</f>
        <v>2794-003</v>
      </c>
      <c r="AC3213" s="118"/>
      <c r="AD3213" s="159">
        <f>+Table1[[#This Row],[SUBTOTAL]]+Table1[[#This Row],[IVA]]-Table1[[#This Row],[RET IVA]]-Table1[[#This Row],[RET ISR]]-Table1[[#This Row],[TOTAL]]</f>
        <v>0</v>
      </c>
      <c r="AE3213" s="150"/>
      <c r="AF3213" s="151"/>
      <c r="AG3213" s="126" t="s">
        <v>3420</v>
      </c>
      <c r="AK3213" s="306" t="str">
        <f>IF(ISNUMBER(Table1[[#This Row],[FECHA DE RECIBIDO]]), Table1[[#This Row],[FECHA DE RECIBIDO]]-DATE(2023,8,30), "")</f>
        <v/>
      </c>
    </row>
    <row r="3214" spans="1:37" ht="15" customHeight="1">
      <c r="A3214" s="152" t="s">
        <v>4162</v>
      </c>
      <c r="B3214" s="153">
        <v>1161</v>
      </c>
      <c r="C3214" s="126" t="s">
        <v>2596</v>
      </c>
      <c r="D3214">
        <v>2169</v>
      </c>
      <c r="E3214" s="126" t="s">
        <v>3673</v>
      </c>
      <c r="F3214" s="125" t="s">
        <v>1607</v>
      </c>
      <c r="G3214" s="125" t="s">
        <v>134</v>
      </c>
      <c r="H3214">
        <v>156</v>
      </c>
      <c r="I3214" s="125" t="s">
        <v>1546</v>
      </c>
      <c r="J3214" s="308" t="s">
        <v>214</v>
      </c>
      <c r="K3214" s="127" t="s">
        <v>4112</v>
      </c>
      <c r="L3214" s="153" t="s">
        <v>1579</v>
      </c>
      <c r="M3214">
        <v>207</v>
      </c>
      <c r="N3214" s="123">
        <v>17</v>
      </c>
      <c r="O3214">
        <v>1959</v>
      </c>
      <c r="P3214" s="132" t="s">
        <v>77</v>
      </c>
      <c r="Q3214" s="132">
        <v>3101.38</v>
      </c>
      <c r="R3214" s="132">
        <v>496.22</v>
      </c>
      <c r="S3214" s="132"/>
      <c r="T3214" s="156"/>
      <c r="U3214" s="132"/>
      <c r="V3214" s="132">
        <v>3597.6000000000004</v>
      </c>
      <c r="W3214"/>
      <c r="X3214" s="153" t="s">
        <v>1644</v>
      </c>
      <c r="Y3214" s="124" t="s">
        <v>55</v>
      </c>
      <c r="Z3214" s="308">
        <v>234</v>
      </c>
      <c r="AB3214" t="str">
        <f>IF(Table1[[#This Row],[TIPO2]]="costo", VLOOKUP(Table1[[#This Row],[PARTIDA PRESUPUESTAL]],'Cost Report'!G:G,1,0),"Balance")</f>
        <v>2794-003</v>
      </c>
      <c r="AC3214" s="118"/>
      <c r="AD3214" s="159">
        <f>+Table1[[#This Row],[SUBTOTAL]]+Table1[[#This Row],[IVA]]-Table1[[#This Row],[RET IVA]]-Table1[[#This Row],[RET ISR]]-Table1[[#This Row],[TOTAL]]</f>
        <v>0</v>
      </c>
      <c r="AE3214" s="152"/>
      <c r="AF3214" s="153"/>
      <c r="AG3214" s="126" t="s">
        <v>3420</v>
      </c>
      <c r="AK3214" s="306" t="str">
        <f>IF(ISNUMBER(Table1[[#This Row],[FECHA DE RECIBIDO]]), Table1[[#This Row],[FECHA DE RECIBIDO]]-DATE(2023,8,30), "")</f>
        <v/>
      </c>
    </row>
    <row r="3215" spans="1:37" ht="15" customHeight="1">
      <c r="A3215" s="150" t="s">
        <v>4162</v>
      </c>
      <c r="B3215" s="151">
        <v>1161</v>
      </c>
      <c r="C3215" s="126" t="s">
        <v>2596</v>
      </c>
      <c r="D3215">
        <v>2170</v>
      </c>
      <c r="E3215" s="126" t="s">
        <v>1598</v>
      </c>
      <c r="F3215" s="122" t="s">
        <v>1607</v>
      </c>
      <c r="G3215" s="122" t="s">
        <v>134</v>
      </c>
      <c r="H3215">
        <v>97</v>
      </c>
      <c r="I3215" s="122" t="s">
        <v>1546</v>
      </c>
      <c r="J3215" s="307" t="s">
        <v>214</v>
      </c>
      <c r="K3215" s="127" t="s">
        <v>4112</v>
      </c>
      <c r="L3215" s="151" t="s">
        <v>1579</v>
      </c>
      <c r="M3215">
        <v>193</v>
      </c>
      <c r="N3215" s="123">
        <v>17</v>
      </c>
      <c r="O3215">
        <v>2098</v>
      </c>
      <c r="P3215" s="132" t="s">
        <v>77</v>
      </c>
      <c r="Q3215" s="131">
        <v>3049.14</v>
      </c>
      <c r="R3215" s="131">
        <v>487.86</v>
      </c>
      <c r="S3215" s="131"/>
      <c r="T3215" s="155"/>
      <c r="U3215" s="131"/>
      <c r="V3215" s="131">
        <v>3537</v>
      </c>
      <c r="W3215"/>
      <c r="X3215" s="151" t="s">
        <v>1644</v>
      </c>
      <c r="Y3215" s="135" t="s">
        <v>55</v>
      </c>
      <c r="Z3215" s="307">
        <v>234</v>
      </c>
      <c r="AB3215" t="str">
        <f>IF(Table1[[#This Row],[TIPO2]]="costo", VLOOKUP(Table1[[#This Row],[PARTIDA PRESUPUESTAL]],'Cost Report'!G:G,1,0),"Balance")</f>
        <v>2794-003</v>
      </c>
      <c r="AC3215" s="118"/>
      <c r="AD3215" s="159">
        <f>+Table1[[#This Row],[SUBTOTAL]]+Table1[[#This Row],[IVA]]-Table1[[#This Row],[RET IVA]]-Table1[[#This Row],[RET ISR]]-Table1[[#This Row],[TOTAL]]</f>
        <v>0</v>
      </c>
      <c r="AE3215" s="150"/>
      <c r="AF3215" s="151"/>
      <c r="AG3215" s="126" t="s">
        <v>3420</v>
      </c>
      <c r="AK3215" s="306" t="str">
        <f>IF(ISNUMBER(Table1[[#This Row],[FECHA DE RECIBIDO]]), Table1[[#This Row],[FECHA DE RECIBIDO]]-DATE(2023,8,30), "")</f>
        <v/>
      </c>
    </row>
    <row r="3216" spans="1:37" ht="15" customHeight="1">
      <c r="A3216" s="152" t="s">
        <v>4162</v>
      </c>
      <c r="B3216" s="153">
        <v>1161</v>
      </c>
      <c r="C3216" s="126" t="s">
        <v>2596</v>
      </c>
      <c r="D3216">
        <v>2171</v>
      </c>
      <c r="E3216" s="126" t="s">
        <v>1598</v>
      </c>
      <c r="F3216" s="125" t="s">
        <v>1607</v>
      </c>
      <c r="G3216" s="125" t="s">
        <v>134</v>
      </c>
      <c r="H3216">
        <v>97</v>
      </c>
      <c r="I3216" s="125" t="s">
        <v>1546</v>
      </c>
      <c r="J3216" s="308" t="s">
        <v>214</v>
      </c>
      <c r="K3216" s="127" t="s">
        <v>4112</v>
      </c>
      <c r="L3216" s="153" t="s">
        <v>1579</v>
      </c>
      <c r="M3216">
        <v>193</v>
      </c>
      <c r="N3216" s="123">
        <v>17</v>
      </c>
      <c r="O3216">
        <v>1960</v>
      </c>
      <c r="P3216" s="132" t="s">
        <v>77</v>
      </c>
      <c r="Q3216" s="132">
        <v>403.45</v>
      </c>
      <c r="R3216" s="132">
        <v>64.55</v>
      </c>
      <c r="S3216" s="132"/>
      <c r="T3216" s="156"/>
      <c r="U3216" s="132"/>
      <c r="V3216" s="132">
        <v>468</v>
      </c>
      <c r="W3216"/>
      <c r="X3216" s="153" t="s">
        <v>1644</v>
      </c>
      <c r="Y3216" s="124" t="s">
        <v>55</v>
      </c>
      <c r="Z3216" s="308">
        <v>234</v>
      </c>
      <c r="AB3216" t="str">
        <f>IF(Table1[[#This Row],[TIPO2]]="costo", VLOOKUP(Table1[[#This Row],[PARTIDA PRESUPUESTAL]],'Cost Report'!G:G,1,0),"Balance")</f>
        <v>2794-003</v>
      </c>
      <c r="AC3216" s="118"/>
      <c r="AD3216" s="159">
        <f>+Table1[[#This Row],[SUBTOTAL]]+Table1[[#This Row],[IVA]]-Table1[[#This Row],[RET IVA]]-Table1[[#This Row],[RET ISR]]-Table1[[#This Row],[TOTAL]]</f>
        <v>0</v>
      </c>
      <c r="AE3216" s="152"/>
      <c r="AF3216" s="153"/>
      <c r="AG3216" s="126" t="s">
        <v>3420</v>
      </c>
      <c r="AK3216" s="306" t="str">
        <f>IF(ISNUMBER(Table1[[#This Row],[FECHA DE RECIBIDO]]), Table1[[#This Row],[FECHA DE RECIBIDO]]-DATE(2023,8,30), "")</f>
        <v/>
      </c>
    </row>
    <row r="3217" spans="1:37" ht="15" customHeight="1">
      <c r="A3217" s="150" t="s">
        <v>4162</v>
      </c>
      <c r="B3217" s="151">
        <v>1161</v>
      </c>
      <c r="C3217" s="126" t="s">
        <v>2596</v>
      </c>
      <c r="D3217">
        <v>2172</v>
      </c>
      <c r="E3217" s="126" t="s">
        <v>2008</v>
      </c>
      <c r="F3217" s="122" t="s">
        <v>1607</v>
      </c>
      <c r="G3217" s="122" t="s">
        <v>134</v>
      </c>
      <c r="H3217">
        <v>100</v>
      </c>
      <c r="I3217" s="122" t="s">
        <v>1546</v>
      </c>
      <c r="J3217" s="307" t="s">
        <v>214</v>
      </c>
      <c r="K3217" s="127" t="s">
        <v>4112</v>
      </c>
      <c r="L3217" s="151" t="s">
        <v>1579</v>
      </c>
      <c r="M3217">
        <v>135</v>
      </c>
      <c r="N3217" s="123">
        <v>17</v>
      </c>
      <c r="O3217">
        <v>1346</v>
      </c>
      <c r="P3217" s="132" t="s">
        <v>77</v>
      </c>
      <c r="Q3217" s="131">
        <v>688.79</v>
      </c>
      <c r="R3217" s="131">
        <v>110.21</v>
      </c>
      <c r="S3217" s="131"/>
      <c r="T3217" s="155"/>
      <c r="U3217" s="131"/>
      <c r="V3217" s="131">
        <v>799</v>
      </c>
      <c r="W3217"/>
      <c r="X3217" s="151" t="s">
        <v>1644</v>
      </c>
      <c r="Y3217" s="135" t="s">
        <v>55</v>
      </c>
      <c r="Z3217" s="307">
        <v>234</v>
      </c>
      <c r="AB3217" t="str">
        <f>IF(Table1[[#This Row],[TIPO2]]="costo", VLOOKUP(Table1[[#This Row],[PARTIDA PRESUPUESTAL]],'Cost Report'!G:G,1,0),"Balance")</f>
        <v>2794-003</v>
      </c>
      <c r="AC3217" s="118"/>
      <c r="AD3217" s="159">
        <f>+Table1[[#This Row],[SUBTOTAL]]+Table1[[#This Row],[IVA]]-Table1[[#This Row],[RET IVA]]-Table1[[#This Row],[RET ISR]]-Table1[[#This Row],[TOTAL]]</f>
        <v>0</v>
      </c>
      <c r="AE3217" s="150"/>
      <c r="AF3217" s="151"/>
      <c r="AG3217" s="126" t="s">
        <v>3420</v>
      </c>
      <c r="AK3217" s="306" t="str">
        <f>IF(ISNUMBER(Table1[[#This Row],[FECHA DE RECIBIDO]]), Table1[[#This Row],[FECHA DE RECIBIDO]]-DATE(2023,8,30), "")</f>
        <v/>
      </c>
    </row>
    <row r="3218" spans="1:37" ht="15" customHeight="1">
      <c r="A3218" s="152" t="s">
        <v>4163</v>
      </c>
      <c r="B3218" s="153">
        <v>1162</v>
      </c>
      <c r="C3218" s="126" t="s">
        <v>2596</v>
      </c>
      <c r="D3218">
        <v>2173</v>
      </c>
      <c r="E3218" s="126" t="s">
        <v>3275</v>
      </c>
      <c r="F3218" s="125" t="s">
        <v>1607</v>
      </c>
      <c r="G3218" s="125" t="s">
        <v>134</v>
      </c>
      <c r="H3218">
        <v>156</v>
      </c>
      <c r="I3218" s="125" t="s">
        <v>1546</v>
      </c>
      <c r="J3218" s="308" t="s">
        <v>214</v>
      </c>
      <c r="K3218" s="127" t="s">
        <v>4112</v>
      </c>
      <c r="L3218" s="153" t="s">
        <v>1579</v>
      </c>
      <c r="M3218">
        <v>207</v>
      </c>
      <c r="N3218" s="123">
        <v>17</v>
      </c>
      <c r="O3218">
        <v>1926</v>
      </c>
      <c r="P3218" s="132" t="s">
        <v>77</v>
      </c>
      <c r="Q3218" s="132">
        <v>1119.83</v>
      </c>
      <c r="R3218" s="132">
        <v>179.17</v>
      </c>
      <c r="S3218" s="132"/>
      <c r="T3218" s="156"/>
      <c r="U3218" s="132"/>
      <c r="V3218" s="132">
        <v>1299</v>
      </c>
      <c r="W3218"/>
      <c r="X3218" s="153" t="s">
        <v>1644</v>
      </c>
      <c r="Y3218" s="124" t="s">
        <v>55</v>
      </c>
      <c r="Z3218" s="308">
        <v>227</v>
      </c>
      <c r="AB3218" t="str">
        <f>IF(Table1[[#This Row],[TIPO2]]="costo", VLOOKUP(Table1[[#This Row],[PARTIDA PRESUPUESTAL]],'Cost Report'!G:G,1,0),"Balance")</f>
        <v>2794-003</v>
      </c>
      <c r="AC3218" s="118"/>
      <c r="AD3218" s="159">
        <f>+Table1[[#This Row],[SUBTOTAL]]+Table1[[#This Row],[IVA]]-Table1[[#This Row],[RET IVA]]-Table1[[#This Row],[RET ISR]]-Table1[[#This Row],[TOTAL]]</f>
        <v>0</v>
      </c>
      <c r="AE3218" s="152"/>
      <c r="AF3218" s="153"/>
      <c r="AG3218" s="126" t="s">
        <v>3420</v>
      </c>
      <c r="AK3218" s="306" t="str">
        <f>IF(ISNUMBER(Table1[[#This Row],[FECHA DE RECIBIDO]]), Table1[[#This Row],[FECHA DE RECIBIDO]]-DATE(2023,8,30), "")</f>
        <v/>
      </c>
    </row>
    <row r="3219" spans="1:37" ht="15" customHeight="1">
      <c r="A3219" s="150" t="s">
        <v>4163</v>
      </c>
      <c r="B3219" s="151">
        <v>1162</v>
      </c>
      <c r="C3219" s="126" t="s">
        <v>2596</v>
      </c>
      <c r="D3219">
        <v>2174</v>
      </c>
      <c r="E3219" s="126" t="s">
        <v>3275</v>
      </c>
      <c r="F3219" s="122" t="s">
        <v>1607</v>
      </c>
      <c r="G3219" s="122" t="s">
        <v>134</v>
      </c>
      <c r="H3219">
        <v>156</v>
      </c>
      <c r="I3219" s="122" t="s">
        <v>1546</v>
      </c>
      <c r="J3219" s="307" t="s">
        <v>214</v>
      </c>
      <c r="K3219" s="127" t="s">
        <v>4112</v>
      </c>
      <c r="L3219" s="151" t="s">
        <v>1579</v>
      </c>
      <c r="M3219">
        <v>207</v>
      </c>
      <c r="N3219" s="123">
        <v>17</v>
      </c>
      <c r="O3219">
        <v>1926</v>
      </c>
      <c r="P3219" s="132" t="s">
        <v>77</v>
      </c>
      <c r="Q3219" s="131">
        <v>1119.83</v>
      </c>
      <c r="R3219" s="131">
        <v>179.17</v>
      </c>
      <c r="S3219" s="131"/>
      <c r="T3219" s="155"/>
      <c r="U3219" s="131"/>
      <c r="V3219" s="131">
        <v>1299</v>
      </c>
      <c r="W3219"/>
      <c r="X3219" s="151" t="s">
        <v>1644</v>
      </c>
      <c r="Y3219" s="135" t="s">
        <v>55</v>
      </c>
      <c r="Z3219" s="307">
        <v>227</v>
      </c>
      <c r="AB3219" t="str">
        <f>IF(Table1[[#This Row],[TIPO2]]="costo", VLOOKUP(Table1[[#This Row],[PARTIDA PRESUPUESTAL]],'Cost Report'!G:G,1,0),"Balance")</f>
        <v>2794-003</v>
      </c>
      <c r="AC3219" s="118"/>
      <c r="AD3219" s="159">
        <f>+Table1[[#This Row],[SUBTOTAL]]+Table1[[#This Row],[IVA]]-Table1[[#This Row],[RET IVA]]-Table1[[#This Row],[RET ISR]]-Table1[[#This Row],[TOTAL]]</f>
        <v>0</v>
      </c>
      <c r="AE3219" s="150"/>
      <c r="AF3219" s="151"/>
      <c r="AG3219" s="126" t="s">
        <v>3420</v>
      </c>
      <c r="AK3219" s="306" t="str">
        <f>IF(ISNUMBER(Table1[[#This Row],[FECHA DE RECIBIDO]]), Table1[[#This Row],[FECHA DE RECIBIDO]]-DATE(2023,8,30), "")</f>
        <v/>
      </c>
    </row>
    <row r="3220" spans="1:37" ht="15" customHeight="1">
      <c r="A3220" s="152" t="s">
        <v>4163</v>
      </c>
      <c r="B3220" s="153">
        <v>1162</v>
      </c>
      <c r="C3220" s="126" t="s">
        <v>2596</v>
      </c>
      <c r="D3220">
        <v>2175</v>
      </c>
      <c r="E3220" s="126" t="s">
        <v>2008</v>
      </c>
      <c r="F3220" s="125" t="s">
        <v>1607</v>
      </c>
      <c r="G3220" s="125" t="s">
        <v>134</v>
      </c>
      <c r="H3220">
        <v>100</v>
      </c>
      <c r="I3220" s="125" t="s">
        <v>1546</v>
      </c>
      <c r="J3220" s="308" t="s">
        <v>214</v>
      </c>
      <c r="K3220" s="127" t="s">
        <v>4112</v>
      </c>
      <c r="L3220" s="153" t="s">
        <v>1579</v>
      </c>
      <c r="M3220">
        <v>135</v>
      </c>
      <c r="N3220" s="123">
        <v>17</v>
      </c>
      <c r="O3220">
        <v>2099</v>
      </c>
      <c r="P3220" s="132" t="s">
        <v>77</v>
      </c>
      <c r="Q3220" s="132">
        <v>861.21</v>
      </c>
      <c r="R3220" s="132">
        <v>137.79</v>
      </c>
      <c r="S3220" s="132"/>
      <c r="T3220" s="156"/>
      <c r="U3220" s="132"/>
      <c r="V3220" s="132">
        <v>999</v>
      </c>
      <c r="W3220"/>
      <c r="X3220" s="153" t="s">
        <v>1644</v>
      </c>
      <c r="Y3220" s="124" t="s">
        <v>55</v>
      </c>
      <c r="Z3220" s="308">
        <v>239</v>
      </c>
      <c r="AB3220" t="str">
        <f>IF(Table1[[#This Row],[TIPO2]]="costo", VLOOKUP(Table1[[#This Row],[PARTIDA PRESUPUESTAL]],'Cost Report'!G:G,1,0),"Balance")</f>
        <v>2794-003</v>
      </c>
      <c r="AC3220" s="118"/>
      <c r="AD3220" s="159">
        <f>+Table1[[#This Row],[SUBTOTAL]]+Table1[[#This Row],[IVA]]-Table1[[#This Row],[RET IVA]]-Table1[[#This Row],[RET ISR]]-Table1[[#This Row],[TOTAL]]</f>
        <v>0</v>
      </c>
      <c r="AE3220" s="152"/>
      <c r="AF3220" s="153"/>
      <c r="AG3220" s="126" t="s">
        <v>3420</v>
      </c>
      <c r="AK3220" s="306" t="str">
        <f>IF(ISNUMBER(Table1[[#This Row],[FECHA DE RECIBIDO]]), Table1[[#This Row],[FECHA DE RECIBIDO]]-DATE(2023,8,30), "")</f>
        <v/>
      </c>
    </row>
    <row r="3221" spans="1:37" ht="15" customHeight="1">
      <c r="A3221" s="150" t="s">
        <v>4163</v>
      </c>
      <c r="B3221" s="151">
        <v>1162</v>
      </c>
      <c r="C3221" s="126" t="s">
        <v>2596</v>
      </c>
      <c r="D3221">
        <v>2176</v>
      </c>
      <c r="E3221" s="126" t="s">
        <v>4187</v>
      </c>
      <c r="F3221" s="122" t="s">
        <v>1607</v>
      </c>
      <c r="G3221" s="122" t="s">
        <v>134</v>
      </c>
      <c r="H3221">
        <v>101</v>
      </c>
      <c r="I3221" s="122" t="s">
        <v>1546</v>
      </c>
      <c r="J3221" s="307" t="s">
        <v>214</v>
      </c>
      <c r="K3221" s="127" t="s">
        <v>4112</v>
      </c>
      <c r="L3221" s="151" t="s">
        <v>1579</v>
      </c>
      <c r="M3221">
        <v>136</v>
      </c>
      <c r="N3221" s="123">
        <v>17</v>
      </c>
      <c r="O3221">
        <v>2100</v>
      </c>
      <c r="P3221" s="132" t="s">
        <v>77</v>
      </c>
      <c r="Q3221" s="131">
        <v>963.79</v>
      </c>
      <c r="R3221" s="131">
        <v>154.21</v>
      </c>
      <c r="S3221" s="131"/>
      <c r="T3221" s="155"/>
      <c r="U3221" s="131"/>
      <c r="V3221" s="131">
        <v>1118</v>
      </c>
      <c r="W3221"/>
      <c r="X3221" s="151" t="s">
        <v>1644</v>
      </c>
      <c r="Y3221" s="135" t="s">
        <v>55</v>
      </c>
      <c r="Z3221" s="307">
        <v>239</v>
      </c>
      <c r="AB3221" t="str">
        <f>IF(Table1[[#This Row],[TIPO2]]="costo", VLOOKUP(Table1[[#This Row],[PARTIDA PRESUPUESTAL]],'Cost Report'!G:G,1,0),"Balance")</f>
        <v>2794-003</v>
      </c>
      <c r="AC3221" s="118"/>
      <c r="AD3221" s="159">
        <f>+Table1[[#This Row],[SUBTOTAL]]+Table1[[#This Row],[IVA]]-Table1[[#This Row],[RET IVA]]-Table1[[#This Row],[RET ISR]]-Table1[[#This Row],[TOTAL]]</f>
        <v>0</v>
      </c>
      <c r="AE3221" s="150"/>
      <c r="AF3221" s="151"/>
      <c r="AG3221" s="126" t="s">
        <v>3420</v>
      </c>
      <c r="AK3221" s="306" t="str">
        <f>IF(ISNUMBER(Table1[[#This Row],[FECHA DE RECIBIDO]]), Table1[[#This Row],[FECHA DE RECIBIDO]]-DATE(2023,8,30), "")</f>
        <v/>
      </c>
    </row>
    <row r="3222" spans="1:37" ht="15" customHeight="1">
      <c r="A3222" s="152" t="s">
        <v>4163</v>
      </c>
      <c r="B3222" s="153">
        <v>1162</v>
      </c>
      <c r="C3222" s="126" t="s">
        <v>2596</v>
      </c>
      <c r="D3222">
        <v>2177</v>
      </c>
      <c r="E3222" s="126" t="s">
        <v>3673</v>
      </c>
      <c r="F3222" s="125" t="s">
        <v>1607</v>
      </c>
      <c r="G3222" s="125" t="s">
        <v>134</v>
      </c>
      <c r="H3222">
        <v>156</v>
      </c>
      <c r="I3222" s="125" t="s">
        <v>1546</v>
      </c>
      <c r="J3222" s="308" t="s">
        <v>214</v>
      </c>
      <c r="K3222" s="127" t="s">
        <v>4112</v>
      </c>
      <c r="L3222" s="153" t="s">
        <v>1579</v>
      </c>
      <c r="M3222">
        <v>207</v>
      </c>
      <c r="N3222" s="123">
        <v>17</v>
      </c>
      <c r="O3222">
        <v>2101</v>
      </c>
      <c r="P3222" s="132" t="s">
        <v>77</v>
      </c>
      <c r="Q3222" s="132">
        <v>3588.7</v>
      </c>
      <c r="R3222" s="132">
        <v>574.20000000000005</v>
      </c>
      <c r="S3222" s="132"/>
      <c r="T3222" s="156"/>
      <c r="U3222" s="132"/>
      <c r="V3222" s="132">
        <v>4162.8999999999996</v>
      </c>
      <c r="W3222"/>
      <c r="X3222" s="153" t="s">
        <v>1644</v>
      </c>
      <c r="Y3222" s="124" t="s">
        <v>55</v>
      </c>
      <c r="Z3222" s="308">
        <v>240</v>
      </c>
      <c r="AB3222" t="str">
        <f>IF(Table1[[#This Row],[TIPO2]]="costo", VLOOKUP(Table1[[#This Row],[PARTIDA PRESUPUESTAL]],'Cost Report'!G:G,1,0),"Balance")</f>
        <v>2794-003</v>
      </c>
      <c r="AC3222" s="118"/>
      <c r="AD3222" s="159">
        <f>+Table1[[#This Row],[SUBTOTAL]]+Table1[[#This Row],[IVA]]-Table1[[#This Row],[RET IVA]]-Table1[[#This Row],[RET ISR]]-Table1[[#This Row],[TOTAL]]</f>
        <v>0</v>
      </c>
      <c r="AE3222" s="152"/>
      <c r="AF3222" s="153"/>
      <c r="AG3222" s="126" t="s">
        <v>3420</v>
      </c>
      <c r="AK3222" s="306" t="str">
        <f>IF(ISNUMBER(Table1[[#This Row],[FECHA DE RECIBIDO]]), Table1[[#This Row],[FECHA DE RECIBIDO]]-DATE(2023,8,30), "")</f>
        <v/>
      </c>
    </row>
    <row r="3223" spans="1:37" ht="15" customHeight="1">
      <c r="A3223" s="150" t="s">
        <v>4163</v>
      </c>
      <c r="B3223" s="151">
        <v>1162</v>
      </c>
      <c r="C3223" s="126" t="s">
        <v>2596</v>
      </c>
      <c r="D3223">
        <v>2178</v>
      </c>
      <c r="E3223" s="126" t="s">
        <v>3673</v>
      </c>
      <c r="F3223" s="122" t="s">
        <v>1607</v>
      </c>
      <c r="G3223" s="122" t="s">
        <v>134</v>
      </c>
      <c r="H3223">
        <v>156</v>
      </c>
      <c r="I3223" s="122" t="s">
        <v>1546</v>
      </c>
      <c r="J3223" s="307" t="s">
        <v>214</v>
      </c>
      <c r="K3223" s="127" t="s">
        <v>4112</v>
      </c>
      <c r="L3223" s="151" t="s">
        <v>1579</v>
      </c>
      <c r="M3223">
        <v>207</v>
      </c>
      <c r="N3223" s="123">
        <v>17</v>
      </c>
      <c r="O3223">
        <v>2102</v>
      </c>
      <c r="P3223" s="132" t="s">
        <v>77</v>
      </c>
      <c r="Q3223" s="131">
        <v>2594.2199999999998</v>
      </c>
      <c r="R3223" s="131">
        <v>415.08</v>
      </c>
      <c r="S3223" s="131"/>
      <c r="T3223" s="155"/>
      <c r="U3223" s="131"/>
      <c r="V3223" s="131">
        <v>3009.2999999999997</v>
      </c>
      <c r="W3223"/>
      <c r="X3223" s="151" t="s">
        <v>1644</v>
      </c>
      <c r="Y3223" s="135" t="s">
        <v>55</v>
      </c>
      <c r="Z3223" s="307">
        <v>240</v>
      </c>
      <c r="AB3223" t="str">
        <f>IF(Table1[[#This Row],[TIPO2]]="costo", VLOOKUP(Table1[[#This Row],[PARTIDA PRESUPUESTAL]],'Cost Report'!G:G,1,0),"Balance")</f>
        <v>2794-003</v>
      </c>
      <c r="AC3223" s="118"/>
      <c r="AD3223" s="159">
        <f>+Table1[[#This Row],[SUBTOTAL]]+Table1[[#This Row],[IVA]]-Table1[[#This Row],[RET IVA]]-Table1[[#This Row],[RET ISR]]-Table1[[#This Row],[TOTAL]]</f>
        <v>0</v>
      </c>
      <c r="AE3223" s="150"/>
      <c r="AF3223" s="151"/>
      <c r="AG3223" s="126" t="s">
        <v>3420</v>
      </c>
      <c r="AK3223" s="306" t="str">
        <f>IF(ISNUMBER(Table1[[#This Row],[FECHA DE RECIBIDO]]), Table1[[#This Row],[FECHA DE RECIBIDO]]-DATE(2023,8,30), "")</f>
        <v/>
      </c>
    </row>
    <row r="3224" spans="1:37" ht="15" customHeight="1">
      <c r="A3224" s="152" t="s">
        <v>4163</v>
      </c>
      <c r="B3224" s="153">
        <v>1162</v>
      </c>
      <c r="C3224" s="126" t="s">
        <v>2596</v>
      </c>
      <c r="D3224">
        <v>2179</v>
      </c>
      <c r="E3224" s="126" t="s">
        <v>3673</v>
      </c>
      <c r="F3224" s="125" t="s">
        <v>1607</v>
      </c>
      <c r="G3224" s="125" t="s">
        <v>134</v>
      </c>
      <c r="H3224">
        <v>156</v>
      </c>
      <c r="I3224" s="125" t="s">
        <v>1546</v>
      </c>
      <c r="J3224" s="308" t="s">
        <v>214</v>
      </c>
      <c r="K3224" s="127" t="s">
        <v>4112</v>
      </c>
      <c r="L3224" s="153" t="s">
        <v>1579</v>
      </c>
      <c r="M3224">
        <v>207</v>
      </c>
      <c r="N3224" s="123">
        <v>17</v>
      </c>
      <c r="O3224">
        <v>2103</v>
      </c>
      <c r="P3224" s="132" t="s">
        <v>77</v>
      </c>
      <c r="Q3224" s="132">
        <v>2592.42</v>
      </c>
      <c r="R3224" s="132">
        <v>414.79</v>
      </c>
      <c r="S3224" s="132"/>
      <c r="T3224" s="156"/>
      <c r="U3224" s="132"/>
      <c r="V3224" s="132">
        <v>3007.21</v>
      </c>
      <c r="W3224"/>
      <c r="X3224" s="153" t="s">
        <v>1644</v>
      </c>
      <c r="Y3224" s="124" t="s">
        <v>55</v>
      </c>
      <c r="Z3224" s="308">
        <v>240</v>
      </c>
      <c r="AB3224" t="str">
        <f>IF(Table1[[#This Row],[TIPO2]]="costo", VLOOKUP(Table1[[#This Row],[PARTIDA PRESUPUESTAL]],'Cost Report'!G:G,1,0),"Balance")</f>
        <v>2794-003</v>
      </c>
      <c r="AC3224" s="118"/>
      <c r="AD3224" s="159">
        <f>+Table1[[#This Row],[SUBTOTAL]]+Table1[[#This Row],[IVA]]-Table1[[#This Row],[RET IVA]]-Table1[[#This Row],[RET ISR]]-Table1[[#This Row],[TOTAL]]</f>
        <v>0</v>
      </c>
      <c r="AE3224" s="152"/>
      <c r="AF3224" s="153"/>
      <c r="AG3224" s="126" t="s">
        <v>3420</v>
      </c>
      <c r="AK3224" s="306" t="str">
        <f>IF(ISNUMBER(Table1[[#This Row],[FECHA DE RECIBIDO]]), Table1[[#This Row],[FECHA DE RECIBIDO]]-DATE(2023,8,30), "")</f>
        <v/>
      </c>
    </row>
    <row r="3225" spans="1:37" ht="15" customHeight="1">
      <c r="A3225" s="150" t="s">
        <v>4163</v>
      </c>
      <c r="B3225" s="151">
        <v>1162</v>
      </c>
      <c r="C3225" s="126" t="s">
        <v>2596</v>
      </c>
      <c r="D3225">
        <v>2180</v>
      </c>
      <c r="E3225" s="126" t="s">
        <v>2008</v>
      </c>
      <c r="F3225" s="122" t="s">
        <v>1607</v>
      </c>
      <c r="G3225" s="122" t="s">
        <v>134</v>
      </c>
      <c r="H3225">
        <v>102</v>
      </c>
      <c r="I3225" s="122" t="s">
        <v>1546</v>
      </c>
      <c r="J3225" s="307" t="s">
        <v>214</v>
      </c>
      <c r="K3225" s="127" t="s">
        <v>4112</v>
      </c>
      <c r="L3225" s="151" t="s">
        <v>1579</v>
      </c>
      <c r="M3225">
        <v>137</v>
      </c>
      <c r="N3225" s="123">
        <v>17</v>
      </c>
      <c r="O3225">
        <v>1965</v>
      </c>
      <c r="P3225" s="132" t="s">
        <v>77</v>
      </c>
      <c r="Q3225" s="131">
        <v>1075.8699999999999</v>
      </c>
      <c r="R3225" s="131">
        <v>172.13</v>
      </c>
      <c r="S3225" s="131"/>
      <c r="T3225" s="155"/>
      <c r="U3225" s="131"/>
      <c r="V3225" s="131">
        <v>1248</v>
      </c>
      <c r="W3225"/>
      <c r="X3225" s="151" t="s">
        <v>1644</v>
      </c>
      <c r="Y3225" s="135" t="s">
        <v>55</v>
      </c>
      <c r="Z3225" s="307">
        <v>240</v>
      </c>
      <c r="AB3225" t="str">
        <f>IF(Table1[[#This Row],[TIPO2]]="costo", VLOOKUP(Table1[[#This Row],[PARTIDA PRESUPUESTAL]],'Cost Report'!G:G,1,0),"Balance")</f>
        <v>2794-003</v>
      </c>
      <c r="AC3225" s="118"/>
      <c r="AD3225" s="159">
        <f>+Table1[[#This Row],[SUBTOTAL]]+Table1[[#This Row],[IVA]]-Table1[[#This Row],[RET IVA]]-Table1[[#This Row],[RET ISR]]-Table1[[#This Row],[TOTAL]]</f>
        <v>0</v>
      </c>
      <c r="AE3225" s="150"/>
      <c r="AF3225" s="151"/>
      <c r="AG3225" s="126" t="s">
        <v>3420</v>
      </c>
      <c r="AK3225" s="306" t="str">
        <f>IF(ISNUMBER(Table1[[#This Row],[FECHA DE RECIBIDO]]), Table1[[#This Row],[FECHA DE RECIBIDO]]-DATE(2023,8,30), "")</f>
        <v/>
      </c>
    </row>
    <row r="3226" spans="1:37" ht="15" customHeight="1">
      <c r="A3226" s="152" t="s">
        <v>4163</v>
      </c>
      <c r="B3226" s="153">
        <v>1162</v>
      </c>
      <c r="C3226" s="126" t="s">
        <v>2596</v>
      </c>
      <c r="D3226">
        <v>2181</v>
      </c>
      <c r="E3226" s="126" t="s">
        <v>2008</v>
      </c>
      <c r="F3226" s="125" t="s">
        <v>1607</v>
      </c>
      <c r="G3226" s="125" t="s">
        <v>134</v>
      </c>
      <c r="H3226">
        <v>102</v>
      </c>
      <c r="I3226" s="125" t="s">
        <v>1546</v>
      </c>
      <c r="J3226" s="308" t="s">
        <v>214</v>
      </c>
      <c r="K3226" s="127" t="s">
        <v>4112</v>
      </c>
      <c r="L3226" s="153" t="s">
        <v>1579</v>
      </c>
      <c r="M3226">
        <v>137</v>
      </c>
      <c r="N3226" s="123">
        <v>17</v>
      </c>
      <c r="O3226">
        <v>1960</v>
      </c>
      <c r="P3226" s="132" t="s">
        <v>77</v>
      </c>
      <c r="Q3226" s="132">
        <v>1032.76</v>
      </c>
      <c r="R3226" s="132">
        <v>165.24</v>
      </c>
      <c r="S3226" s="132"/>
      <c r="T3226" s="156"/>
      <c r="U3226" s="132"/>
      <c r="V3226" s="132">
        <v>1198</v>
      </c>
      <c r="W3226"/>
      <c r="X3226" s="153" t="s">
        <v>1644</v>
      </c>
      <c r="Y3226" s="124" t="s">
        <v>55</v>
      </c>
      <c r="Z3226" s="308">
        <v>240</v>
      </c>
      <c r="AB3226" t="str">
        <f>IF(Table1[[#This Row],[TIPO2]]="costo", VLOOKUP(Table1[[#This Row],[PARTIDA PRESUPUESTAL]],'Cost Report'!G:G,1,0),"Balance")</f>
        <v>2794-003</v>
      </c>
      <c r="AC3226" s="118"/>
      <c r="AD3226" s="159">
        <f>+Table1[[#This Row],[SUBTOTAL]]+Table1[[#This Row],[IVA]]-Table1[[#This Row],[RET IVA]]-Table1[[#This Row],[RET ISR]]-Table1[[#This Row],[TOTAL]]</f>
        <v>0</v>
      </c>
      <c r="AE3226" s="152"/>
      <c r="AF3226" s="153"/>
      <c r="AG3226" s="126" t="s">
        <v>3420</v>
      </c>
      <c r="AK3226" s="306" t="str">
        <f>IF(ISNUMBER(Table1[[#This Row],[FECHA DE RECIBIDO]]), Table1[[#This Row],[FECHA DE RECIBIDO]]-DATE(2023,8,30), "")</f>
        <v/>
      </c>
    </row>
    <row r="3227" spans="1:37" ht="15" customHeight="1">
      <c r="A3227" s="150" t="s">
        <v>4163</v>
      </c>
      <c r="B3227" s="151">
        <v>1162</v>
      </c>
      <c r="C3227" s="126" t="s">
        <v>2596</v>
      </c>
      <c r="D3227">
        <v>2182</v>
      </c>
      <c r="E3227" s="126" t="s">
        <v>2008</v>
      </c>
      <c r="F3227" s="122" t="s">
        <v>1607</v>
      </c>
      <c r="G3227" s="122" t="s">
        <v>134</v>
      </c>
      <c r="H3227">
        <v>100</v>
      </c>
      <c r="I3227" s="122" t="s">
        <v>1546</v>
      </c>
      <c r="J3227" s="307" t="s">
        <v>214</v>
      </c>
      <c r="K3227" s="127" t="s">
        <v>4112</v>
      </c>
      <c r="L3227" s="151" t="s">
        <v>1579</v>
      </c>
      <c r="M3227">
        <v>135</v>
      </c>
      <c r="N3227" s="123">
        <v>17</v>
      </c>
      <c r="O3227">
        <v>2092</v>
      </c>
      <c r="P3227" s="132" t="s">
        <v>77</v>
      </c>
      <c r="Q3227" s="131">
        <v>3956.9</v>
      </c>
      <c r="R3227" s="131">
        <v>633.1</v>
      </c>
      <c r="S3227" s="131"/>
      <c r="T3227" s="155"/>
      <c r="U3227" s="131"/>
      <c r="V3227" s="131">
        <v>4590</v>
      </c>
      <c r="W3227"/>
      <c r="X3227" s="151" t="s">
        <v>1644</v>
      </c>
      <c r="Y3227" s="135" t="s">
        <v>55</v>
      </c>
      <c r="Z3227" s="307">
        <v>240</v>
      </c>
      <c r="AB3227" t="str">
        <f>IF(Table1[[#This Row],[TIPO2]]="costo", VLOOKUP(Table1[[#This Row],[PARTIDA PRESUPUESTAL]],'Cost Report'!G:G,1,0),"Balance")</f>
        <v>2794-003</v>
      </c>
      <c r="AC3227" s="118"/>
      <c r="AD3227" s="159">
        <f>+Table1[[#This Row],[SUBTOTAL]]+Table1[[#This Row],[IVA]]-Table1[[#This Row],[RET IVA]]-Table1[[#This Row],[RET ISR]]-Table1[[#This Row],[TOTAL]]</f>
        <v>0</v>
      </c>
      <c r="AE3227" s="150"/>
      <c r="AF3227" s="151"/>
      <c r="AG3227" s="126" t="s">
        <v>3420</v>
      </c>
      <c r="AK3227" s="306" t="str">
        <f>IF(ISNUMBER(Table1[[#This Row],[FECHA DE RECIBIDO]]), Table1[[#This Row],[FECHA DE RECIBIDO]]-DATE(2023,8,30), "")</f>
        <v/>
      </c>
    </row>
    <row r="3228" spans="1:37" ht="15" customHeight="1">
      <c r="A3228" s="152" t="s">
        <v>4163</v>
      </c>
      <c r="B3228" s="153">
        <v>1162</v>
      </c>
      <c r="C3228" s="126" t="s">
        <v>2596</v>
      </c>
      <c r="D3228">
        <v>2183</v>
      </c>
      <c r="E3228" s="126" t="s">
        <v>4102</v>
      </c>
      <c r="F3228" s="125" t="s">
        <v>1607</v>
      </c>
      <c r="G3228" s="125" t="s">
        <v>134</v>
      </c>
      <c r="H3228">
        <v>601</v>
      </c>
      <c r="I3228" s="125" t="s">
        <v>1546</v>
      </c>
      <c r="J3228" s="308" t="s">
        <v>214</v>
      </c>
      <c r="K3228" s="127" t="s">
        <v>4112</v>
      </c>
      <c r="L3228" s="153" t="s">
        <v>1579</v>
      </c>
      <c r="M3228">
        <v>802</v>
      </c>
      <c r="N3228" s="123">
        <v>17</v>
      </c>
      <c r="O3228">
        <v>2104</v>
      </c>
      <c r="P3228" s="132" t="s">
        <v>77</v>
      </c>
      <c r="Q3228" s="132">
        <v>418.97</v>
      </c>
      <c r="R3228" s="132">
        <v>67.03</v>
      </c>
      <c r="S3228" s="132"/>
      <c r="T3228" s="156"/>
      <c r="U3228" s="132"/>
      <c r="V3228" s="132">
        <v>486</v>
      </c>
      <c r="W3228"/>
      <c r="X3228" s="153" t="s">
        <v>1644</v>
      </c>
      <c r="Y3228" s="124" t="s">
        <v>55</v>
      </c>
      <c r="Z3228" s="308">
        <v>240</v>
      </c>
      <c r="AB3228" t="str">
        <f>IF(Table1[[#This Row],[TIPO2]]="costo", VLOOKUP(Table1[[#This Row],[PARTIDA PRESUPUESTAL]],'Cost Report'!G:G,1,0),"Balance")</f>
        <v>2794-003</v>
      </c>
      <c r="AC3228" s="118"/>
      <c r="AD3228" s="159">
        <f>+Table1[[#This Row],[SUBTOTAL]]+Table1[[#This Row],[IVA]]-Table1[[#This Row],[RET IVA]]-Table1[[#This Row],[RET ISR]]-Table1[[#This Row],[TOTAL]]</f>
        <v>0</v>
      </c>
      <c r="AE3228" s="152"/>
      <c r="AF3228" s="153"/>
      <c r="AG3228" s="126" t="s">
        <v>3420</v>
      </c>
      <c r="AK3228" s="306" t="str">
        <f>IF(ISNUMBER(Table1[[#This Row],[FECHA DE RECIBIDO]]), Table1[[#This Row],[FECHA DE RECIBIDO]]-DATE(2023,8,30), "")</f>
        <v/>
      </c>
    </row>
    <row r="3229" spans="1:37" ht="15" customHeight="1">
      <c r="A3229" s="150" t="s">
        <v>4163</v>
      </c>
      <c r="B3229" s="151">
        <v>1162</v>
      </c>
      <c r="C3229" s="126" t="s">
        <v>2596</v>
      </c>
      <c r="D3229">
        <v>2184</v>
      </c>
      <c r="E3229" s="126" t="s">
        <v>2008</v>
      </c>
      <c r="F3229" s="122" t="s">
        <v>1607</v>
      </c>
      <c r="G3229" s="122" t="s">
        <v>134</v>
      </c>
      <c r="H3229">
        <v>100</v>
      </c>
      <c r="I3229" s="122" t="s">
        <v>1546</v>
      </c>
      <c r="J3229" s="307" t="s">
        <v>214</v>
      </c>
      <c r="K3229" s="127" t="s">
        <v>4112</v>
      </c>
      <c r="L3229" s="151" t="s">
        <v>1579</v>
      </c>
      <c r="M3229">
        <v>135</v>
      </c>
      <c r="N3229" s="123">
        <v>17</v>
      </c>
      <c r="O3229">
        <v>2104</v>
      </c>
      <c r="P3229" s="132" t="s">
        <v>77</v>
      </c>
      <c r="Q3229" s="131">
        <v>256.89999999999998</v>
      </c>
      <c r="R3229" s="131">
        <v>41.1</v>
      </c>
      <c r="S3229" s="131"/>
      <c r="T3229" s="155"/>
      <c r="U3229" s="131"/>
      <c r="V3229" s="131">
        <v>298</v>
      </c>
      <c r="W3229"/>
      <c r="X3229" s="151" t="s">
        <v>1644</v>
      </c>
      <c r="Y3229" s="135" t="s">
        <v>55</v>
      </c>
      <c r="Z3229" s="307">
        <v>240</v>
      </c>
      <c r="AB3229" t="str">
        <f>IF(Table1[[#This Row],[TIPO2]]="costo", VLOOKUP(Table1[[#This Row],[PARTIDA PRESUPUESTAL]],'Cost Report'!G:G,1,0),"Balance")</f>
        <v>2794-003</v>
      </c>
      <c r="AC3229" s="118"/>
      <c r="AD3229" s="159">
        <f>+Table1[[#This Row],[SUBTOTAL]]+Table1[[#This Row],[IVA]]-Table1[[#This Row],[RET IVA]]-Table1[[#This Row],[RET ISR]]-Table1[[#This Row],[TOTAL]]</f>
        <v>0</v>
      </c>
      <c r="AE3229" s="150"/>
      <c r="AF3229" s="151"/>
      <c r="AG3229" s="126" t="s">
        <v>3420</v>
      </c>
      <c r="AK3229" s="306" t="str">
        <f>IF(ISNUMBER(Table1[[#This Row],[FECHA DE RECIBIDO]]), Table1[[#This Row],[FECHA DE RECIBIDO]]-DATE(2023,8,30), "")</f>
        <v/>
      </c>
    </row>
    <row r="3230" spans="1:37" ht="15" customHeight="1">
      <c r="A3230" s="152" t="s">
        <v>4163</v>
      </c>
      <c r="B3230" s="153">
        <v>1162</v>
      </c>
      <c r="C3230" s="126" t="s">
        <v>2596</v>
      </c>
      <c r="D3230">
        <v>2185</v>
      </c>
      <c r="E3230" s="126" t="s">
        <v>2008</v>
      </c>
      <c r="F3230" s="125" t="s">
        <v>1607</v>
      </c>
      <c r="G3230" s="125" t="s">
        <v>134</v>
      </c>
      <c r="H3230">
        <v>100</v>
      </c>
      <c r="I3230" s="125" t="s">
        <v>1546</v>
      </c>
      <c r="J3230" s="308" t="s">
        <v>214</v>
      </c>
      <c r="K3230" s="127" t="s">
        <v>4112</v>
      </c>
      <c r="L3230" s="153" t="s">
        <v>1579</v>
      </c>
      <c r="M3230">
        <v>135</v>
      </c>
      <c r="N3230" s="123">
        <v>17</v>
      </c>
      <c r="O3230">
        <v>2104</v>
      </c>
      <c r="P3230" s="132" t="s">
        <v>77</v>
      </c>
      <c r="Q3230" s="132">
        <v>162.93</v>
      </c>
      <c r="R3230" s="132">
        <v>26.07</v>
      </c>
      <c r="S3230" s="132"/>
      <c r="T3230" s="156"/>
      <c r="U3230" s="132"/>
      <c r="V3230" s="132">
        <v>189</v>
      </c>
      <c r="W3230"/>
      <c r="X3230" s="153" t="s">
        <v>1644</v>
      </c>
      <c r="Y3230" s="124" t="s">
        <v>55</v>
      </c>
      <c r="Z3230" s="308">
        <v>240</v>
      </c>
      <c r="AB3230" t="str">
        <f>IF(Table1[[#This Row],[TIPO2]]="costo", VLOOKUP(Table1[[#This Row],[PARTIDA PRESUPUESTAL]],'Cost Report'!G:G,1,0),"Balance")</f>
        <v>2794-003</v>
      </c>
      <c r="AC3230" s="118"/>
      <c r="AD3230" s="159">
        <f>+Table1[[#This Row],[SUBTOTAL]]+Table1[[#This Row],[IVA]]-Table1[[#This Row],[RET IVA]]-Table1[[#This Row],[RET ISR]]-Table1[[#This Row],[TOTAL]]</f>
        <v>0</v>
      </c>
      <c r="AE3230" s="152"/>
      <c r="AF3230" s="153"/>
      <c r="AG3230" s="126" t="s">
        <v>3420</v>
      </c>
      <c r="AK3230" s="306" t="str">
        <f>IF(ISNUMBER(Table1[[#This Row],[FECHA DE RECIBIDO]]), Table1[[#This Row],[FECHA DE RECIBIDO]]-DATE(2023,8,30), "")</f>
        <v/>
      </c>
    </row>
    <row r="3231" spans="1:37" ht="15" customHeight="1">
      <c r="A3231" s="150" t="s">
        <v>4163</v>
      </c>
      <c r="B3231" s="151">
        <v>1162</v>
      </c>
      <c r="C3231" s="126" t="s">
        <v>2596</v>
      </c>
      <c r="D3231">
        <v>2186</v>
      </c>
      <c r="E3231" s="126" t="s">
        <v>4102</v>
      </c>
      <c r="F3231" s="122" t="s">
        <v>1607</v>
      </c>
      <c r="G3231" s="122" t="s">
        <v>134</v>
      </c>
      <c r="H3231">
        <v>153</v>
      </c>
      <c r="I3231" s="122" t="s">
        <v>1546</v>
      </c>
      <c r="J3231" s="307" t="s">
        <v>214</v>
      </c>
      <c r="K3231" s="127" t="s">
        <v>4112</v>
      </c>
      <c r="L3231" s="151" t="s">
        <v>1579</v>
      </c>
      <c r="M3231">
        <v>204</v>
      </c>
      <c r="N3231" s="123">
        <v>17</v>
      </c>
      <c r="O3231">
        <v>2104</v>
      </c>
      <c r="P3231" s="132" t="s">
        <v>77</v>
      </c>
      <c r="Q3231" s="131">
        <v>325</v>
      </c>
      <c r="R3231" s="131">
        <v>52</v>
      </c>
      <c r="S3231" s="131"/>
      <c r="T3231" s="155"/>
      <c r="U3231" s="131"/>
      <c r="V3231" s="131">
        <v>377</v>
      </c>
      <c r="W3231"/>
      <c r="X3231" s="151" t="s">
        <v>1644</v>
      </c>
      <c r="Y3231" s="135" t="s">
        <v>55</v>
      </c>
      <c r="Z3231" s="307">
        <v>240</v>
      </c>
      <c r="AB3231" t="str">
        <f>IF(Table1[[#This Row],[TIPO2]]="costo", VLOOKUP(Table1[[#This Row],[PARTIDA PRESUPUESTAL]],'Cost Report'!G:G,1,0),"Balance")</f>
        <v>2794-003</v>
      </c>
      <c r="AC3231" s="118"/>
      <c r="AD3231" s="159">
        <f>+Table1[[#This Row],[SUBTOTAL]]+Table1[[#This Row],[IVA]]-Table1[[#This Row],[RET IVA]]-Table1[[#This Row],[RET ISR]]-Table1[[#This Row],[TOTAL]]</f>
        <v>0</v>
      </c>
      <c r="AE3231" s="150"/>
      <c r="AF3231" s="151"/>
      <c r="AG3231" s="126" t="s">
        <v>3420</v>
      </c>
      <c r="AK3231" s="306" t="str">
        <f>IF(ISNUMBER(Table1[[#This Row],[FECHA DE RECIBIDO]]), Table1[[#This Row],[FECHA DE RECIBIDO]]-DATE(2023,8,30), "")</f>
        <v/>
      </c>
    </row>
    <row r="3232" spans="1:37" ht="15" customHeight="1">
      <c r="A3232" s="152" t="s">
        <v>4163</v>
      </c>
      <c r="B3232" s="153">
        <v>1162</v>
      </c>
      <c r="C3232" s="126" t="s">
        <v>2596</v>
      </c>
      <c r="D3232">
        <v>2187</v>
      </c>
      <c r="E3232" s="126" t="s">
        <v>2008</v>
      </c>
      <c r="F3232" s="125" t="s">
        <v>1607</v>
      </c>
      <c r="G3232" s="125" t="s">
        <v>134</v>
      </c>
      <c r="H3232">
        <v>100</v>
      </c>
      <c r="I3232" s="125" t="s">
        <v>1546</v>
      </c>
      <c r="J3232" s="308" t="s">
        <v>214</v>
      </c>
      <c r="K3232" s="127" t="s">
        <v>4112</v>
      </c>
      <c r="L3232" s="153" t="s">
        <v>1579</v>
      </c>
      <c r="M3232">
        <v>135</v>
      </c>
      <c r="N3232" s="123">
        <v>17</v>
      </c>
      <c r="O3232">
        <v>2092</v>
      </c>
      <c r="P3232" s="132" t="s">
        <v>77</v>
      </c>
      <c r="Q3232" s="132">
        <v>3961.21</v>
      </c>
      <c r="R3232" s="132">
        <v>633.79</v>
      </c>
      <c r="S3232" s="132"/>
      <c r="T3232" s="156"/>
      <c r="U3232" s="132"/>
      <c r="V3232" s="132">
        <v>4595</v>
      </c>
      <c r="W3232"/>
      <c r="X3232" s="153" t="s">
        <v>1644</v>
      </c>
      <c r="Y3232" s="124" t="s">
        <v>55</v>
      </c>
      <c r="Z3232" s="308">
        <v>240</v>
      </c>
      <c r="AB3232" t="str">
        <f>IF(Table1[[#This Row],[TIPO2]]="costo", VLOOKUP(Table1[[#This Row],[PARTIDA PRESUPUESTAL]],'Cost Report'!G:G,1,0),"Balance")</f>
        <v>2794-003</v>
      </c>
      <c r="AC3232" s="118"/>
      <c r="AD3232" s="159">
        <f>+Table1[[#This Row],[SUBTOTAL]]+Table1[[#This Row],[IVA]]-Table1[[#This Row],[RET IVA]]-Table1[[#This Row],[RET ISR]]-Table1[[#This Row],[TOTAL]]</f>
        <v>0</v>
      </c>
      <c r="AE3232" s="152"/>
      <c r="AF3232" s="153"/>
      <c r="AG3232" s="126" t="s">
        <v>3420</v>
      </c>
      <c r="AK3232" s="306" t="str">
        <f>IF(ISNUMBER(Table1[[#This Row],[FECHA DE RECIBIDO]]), Table1[[#This Row],[FECHA DE RECIBIDO]]-DATE(2023,8,30), "")</f>
        <v/>
      </c>
    </row>
    <row r="3233" spans="1:37" ht="15" customHeight="1">
      <c r="A3233" s="150" t="s">
        <v>4163</v>
      </c>
      <c r="B3233" s="151">
        <v>1162</v>
      </c>
      <c r="C3233" s="126" t="s">
        <v>2596</v>
      </c>
      <c r="D3233">
        <v>2188</v>
      </c>
      <c r="E3233" s="126" t="e">
        <v>#N/A</v>
      </c>
      <c r="F3233" s="122" t="e">
        <v>#N/A</v>
      </c>
      <c r="G3233" s="122" t="e">
        <v>#N/A</v>
      </c>
      <c r="H3233">
        <v>36</v>
      </c>
      <c r="I3233" s="122" t="e">
        <v>#N/A</v>
      </c>
      <c r="J3233" s="307" t="s">
        <v>214</v>
      </c>
      <c r="K3233" s="127" t="s">
        <v>4112</v>
      </c>
      <c r="L3233" s="151" t="s">
        <v>1579</v>
      </c>
      <c r="M3233">
        <v>132</v>
      </c>
      <c r="N3233" s="123">
        <v>17</v>
      </c>
      <c r="O3233">
        <v>2104</v>
      </c>
      <c r="P3233" s="132" t="s">
        <v>77</v>
      </c>
      <c r="Q3233" s="131">
        <v>171.55</v>
      </c>
      <c r="R3233" s="131">
        <v>27.45</v>
      </c>
      <c r="S3233" s="131"/>
      <c r="T3233" s="155"/>
      <c r="U3233" s="131"/>
      <c r="V3233" s="131">
        <v>199</v>
      </c>
      <c r="W3233"/>
      <c r="X3233" s="151" t="s">
        <v>1644</v>
      </c>
      <c r="Y3233" s="135" t="s">
        <v>55</v>
      </c>
      <c r="Z3233" s="307">
        <v>240</v>
      </c>
      <c r="AB3233" t="str">
        <f>IF(Table1[[#This Row],[TIPO2]]="costo", VLOOKUP(Table1[[#This Row],[PARTIDA PRESUPUESTAL]],'Cost Report'!G:G,1,0),"Balance")</f>
        <v>2794-003</v>
      </c>
      <c r="AC3233" s="118"/>
      <c r="AD3233" s="159">
        <f>+Table1[[#This Row],[SUBTOTAL]]+Table1[[#This Row],[IVA]]-Table1[[#This Row],[RET IVA]]-Table1[[#This Row],[RET ISR]]-Table1[[#This Row],[TOTAL]]</f>
        <v>0</v>
      </c>
      <c r="AE3233" s="150"/>
      <c r="AF3233" s="151"/>
      <c r="AG3233" s="126" t="s">
        <v>3420</v>
      </c>
      <c r="AK3233" s="306" t="str">
        <f>IF(ISNUMBER(Table1[[#This Row],[FECHA DE RECIBIDO]]), Table1[[#This Row],[FECHA DE RECIBIDO]]-DATE(2023,8,30), "")</f>
        <v/>
      </c>
    </row>
    <row r="3234" spans="1:37" ht="15" customHeight="1">
      <c r="A3234" s="152" t="s">
        <v>4163</v>
      </c>
      <c r="B3234" s="153">
        <v>1162</v>
      </c>
      <c r="C3234" s="126" t="s">
        <v>2596</v>
      </c>
      <c r="D3234">
        <v>2189</v>
      </c>
      <c r="E3234" s="126" t="s">
        <v>1598</v>
      </c>
      <c r="F3234" s="125" t="s">
        <v>1607</v>
      </c>
      <c r="G3234" s="125" t="s">
        <v>134</v>
      </c>
      <c r="H3234">
        <v>150</v>
      </c>
      <c r="I3234" s="125" t="s">
        <v>1546</v>
      </c>
      <c r="J3234" s="308" t="s">
        <v>214</v>
      </c>
      <c r="K3234" s="127" t="s">
        <v>4112</v>
      </c>
      <c r="L3234" s="153" t="s">
        <v>1579</v>
      </c>
      <c r="M3234">
        <v>855</v>
      </c>
      <c r="N3234" s="123">
        <v>17</v>
      </c>
      <c r="O3234">
        <v>2105</v>
      </c>
      <c r="P3234" s="132" t="s">
        <v>77</v>
      </c>
      <c r="Q3234" s="132">
        <v>4309.49</v>
      </c>
      <c r="R3234" s="132">
        <v>689.51</v>
      </c>
      <c r="S3234" s="132"/>
      <c r="T3234" s="156"/>
      <c r="U3234" s="132"/>
      <c r="V3234" s="132">
        <v>4999</v>
      </c>
      <c r="W3234"/>
      <c r="X3234" s="153" t="s">
        <v>1644</v>
      </c>
      <c r="Y3234" s="124" t="s">
        <v>55</v>
      </c>
      <c r="Z3234" s="308">
        <v>240</v>
      </c>
      <c r="AB3234" t="str">
        <f>IF(Table1[[#This Row],[TIPO2]]="costo", VLOOKUP(Table1[[#This Row],[PARTIDA PRESUPUESTAL]],'Cost Report'!G:G,1,0),"Balance")</f>
        <v>2794-003</v>
      </c>
      <c r="AC3234" s="118"/>
      <c r="AD3234" s="159">
        <f>+Table1[[#This Row],[SUBTOTAL]]+Table1[[#This Row],[IVA]]-Table1[[#This Row],[RET IVA]]-Table1[[#This Row],[RET ISR]]-Table1[[#This Row],[TOTAL]]</f>
        <v>0</v>
      </c>
      <c r="AE3234" s="152"/>
      <c r="AF3234" s="153"/>
      <c r="AG3234" s="126" t="s">
        <v>3420</v>
      </c>
      <c r="AK3234" s="306" t="str">
        <f>IF(ISNUMBER(Table1[[#This Row],[FECHA DE RECIBIDO]]), Table1[[#This Row],[FECHA DE RECIBIDO]]-DATE(2023,8,30), "")</f>
        <v/>
      </c>
    </row>
    <row r="3235" spans="1:37" ht="15" customHeight="1">
      <c r="A3235" s="150" t="s">
        <v>4163</v>
      </c>
      <c r="B3235" s="151">
        <v>1162</v>
      </c>
      <c r="C3235" s="126" t="s">
        <v>2596</v>
      </c>
      <c r="D3235">
        <v>2190</v>
      </c>
      <c r="E3235" s="126" t="s">
        <v>1598</v>
      </c>
      <c r="F3235" s="122" t="s">
        <v>1607</v>
      </c>
      <c r="G3235" s="122" t="s">
        <v>134</v>
      </c>
      <c r="H3235">
        <v>101</v>
      </c>
      <c r="I3235" s="122" t="s">
        <v>1546</v>
      </c>
      <c r="J3235" s="307" t="s">
        <v>214</v>
      </c>
      <c r="K3235" s="127" t="s">
        <v>4112</v>
      </c>
      <c r="L3235" s="151" t="s">
        <v>1579</v>
      </c>
      <c r="M3235">
        <v>136</v>
      </c>
      <c r="N3235" s="123">
        <v>17</v>
      </c>
      <c r="O3235">
        <v>2092</v>
      </c>
      <c r="P3235" s="132" t="s">
        <v>77</v>
      </c>
      <c r="Q3235" s="131">
        <v>3706.04</v>
      </c>
      <c r="R3235" s="131">
        <v>592.97</v>
      </c>
      <c r="S3235" s="131"/>
      <c r="T3235" s="155"/>
      <c r="U3235" s="131"/>
      <c r="V3235" s="131">
        <v>4299.01</v>
      </c>
      <c r="W3235"/>
      <c r="X3235" s="151" t="s">
        <v>1644</v>
      </c>
      <c r="Y3235" s="135" t="s">
        <v>55</v>
      </c>
      <c r="Z3235" s="307">
        <v>241</v>
      </c>
      <c r="AB3235" t="str">
        <f>IF(Table1[[#This Row],[TIPO2]]="costo", VLOOKUP(Table1[[#This Row],[PARTIDA PRESUPUESTAL]],'Cost Report'!G:G,1,0),"Balance")</f>
        <v>2794-003</v>
      </c>
      <c r="AC3235" s="118"/>
      <c r="AD3235" s="159">
        <f>+Table1[[#This Row],[SUBTOTAL]]+Table1[[#This Row],[IVA]]-Table1[[#This Row],[RET IVA]]-Table1[[#This Row],[RET ISR]]-Table1[[#This Row],[TOTAL]]</f>
        <v>0</v>
      </c>
      <c r="AE3235" s="150"/>
      <c r="AF3235" s="151"/>
      <c r="AG3235" s="126" t="s">
        <v>3420</v>
      </c>
      <c r="AK3235" s="306" t="str">
        <f>IF(ISNUMBER(Table1[[#This Row],[FECHA DE RECIBIDO]]), Table1[[#This Row],[FECHA DE RECIBIDO]]-DATE(2023,8,30), "")</f>
        <v/>
      </c>
    </row>
    <row r="3236" spans="1:37" ht="15" customHeight="1">
      <c r="A3236" s="152" t="s">
        <v>4163</v>
      </c>
      <c r="B3236" s="153">
        <v>1162</v>
      </c>
      <c r="C3236" s="126" t="s">
        <v>2596</v>
      </c>
      <c r="D3236">
        <v>2191</v>
      </c>
      <c r="E3236" s="126" t="s">
        <v>2008</v>
      </c>
      <c r="F3236" s="125" t="s">
        <v>1607</v>
      </c>
      <c r="G3236" s="125" t="s">
        <v>134</v>
      </c>
      <c r="H3236">
        <v>100</v>
      </c>
      <c r="I3236" s="125" t="s">
        <v>1546</v>
      </c>
      <c r="J3236" s="308" t="s">
        <v>214</v>
      </c>
      <c r="K3236" s="127" t="s">
        <v>4112</v>
      </c>
      <c r="L3236" s="153" t="s">
        <v>1579</v>
      </c>
      <c r="M3236">
        <v>135</v>
      </c>
      <c r="N3236" s="123">
        <v>17</v>
      </c>
      <c r="O3236">
        <v>1960</v>
      </c>
      <c r="P3236" s="132" t="s">
        <v>77</v>
      </c>
      <c r="Q3236" s="132">
        <v>602.59</v>
      </c>
      <c r="R3236" s="132">
        <v>96.41</v>
      </c>
      <c r="S3236" s="132"/>
      <c r="T3236" s="156"/>
      <c r="U3236" s="132"/>
      <c r="V3236" s="132">
        <v>699</v>
      </c>
      <c r="W3236"/>
      <c r="X3236" s="153" t="s">
        <v>1644</v>
      </c>
      <c r="Y3236" s="124" t="s">
        <v>55</v>
      </c>
      <c r="Z3236" s="308">
        <v>241</v>
      </c>
      <c r="AB3236" t="str">
        <f>IF(Table1[[#This Row],[TIPO2]]="costo", VLOOKUP(Table1[[#This Row],[PARTIDA PRESUPUESTAL]],'Cost Report'!G:G,1,0),"Balance")</f>
        <v>2794-003</v>
      </c>
      <c r="AC3236" s="118"/>
      <c r="AD3236" s="159">
        <f>+Table1[[#This Row],[SUBTOTAL]]+Table1[[#This Row],[IVA]]-Table1[[#This Row],[RET IVA]]-Table1[[#This Row],[RET ISR]]-Table1[[#This Row],[TOTAL]]</f>
        <v>0</v>
      </c>
      <c r="AE3236" s="152"/>
      <c r="AF3236" s="153"/>
      <c r="AG3236" s="126" t="s">
        <v>3420</v>
      </c>
      <c r="AK3236" s="306" t="str">
        <f>IF(ISNUMBER(Table1[[#This Row],[FECHA DE RECIBIDO]]), Table1[[#This Row],[FECHA DE RECIBIDO]]-DATE(2023,8,30), "")</f>
        <v/>
      </c>
    </row>
    <row r="3237" spans="1:37" ht="15" customHeight="1">
      <c r="A3237" s="150" t="s">
        <v>4163</v>
      </c>
      <c r="B3237" s="151">
        <v>1162</v>
      </c>
      <c r="C3237" s="126" t="s">
        <v>2596</v>
      </c>
      <c r="D3237">
        <v>2192</v>
      </c>
      <c r="E3237" s="126" t="s">
        <v>2008</v>
      </c>
      <c r="F3237" s="122" t="s">
        <v>1607</v>
      </c>
      <c r="G3237" s="122" t="s">
        <v>134</v>
      </c>
      <c r="H3237">
        <v>100</v>
      </c>
      <c r="I3237" s="122" t="s">
        <v>1546</v>
      </c>
      <c r="J3237" s="307" t="s">
        <v>214</v>
      </c>
      <c r="K3237" s="127" t="s">
        <v>4112</v>
      </c>
      <c r="L3237" s="151" t="s">
        <v>1579</v>
      </c>
      <c r="M3237">
        <v>135</v>
      </c>
      <c r="N3237" s="123">
        <v>17</v>
      </c>
      <c r="O3237">
        <v>2092</v>
      </c>
      <c r="P3237" s="132" t="s">
        <v>77</v>
      </c>
      <c r="Q3237" s="131">
        <v>6108.62</v>
      </c>
      <c r="R3237" s="131">
        <v>977.38</v>
      </c>
      <c r="S3237" s="131"/>
      <c r="T3237" s="155"/>
      <c r="U3237" s="131"/>
      <c r="V3237" s="131">
        <v>7086</v>
      </c>
      <c r="W3237"/>
      <c r="X3237" s="151" t="s">
        <v>1644</v>
      </c>
      <c r="Y3237" s="135" t="s">
        <v>55</v>
      </c>
      <c r="Z3237" s="307">
        <v>243</v>
      </c>
      <c r="AB3237" t="str">
        <f>IF(Table1[[#This Row],[TIPO2]]="costo", VLOOKUP(Table1[[#This Row],[PARTIDA PRESUPUESTAL]],'Cost Report'!G:G,1,0),"Balance")</f>
        <v>2794-003</v>
      </c>
      <c r="AC3237" s="118"/>
      <c r="AD3237" s="159">
        <f>+Table1[[#This Row],[SUBTOTAL]]+Table1[[#This Row],[IVA]]-Table1[[#This Row],[RET IVA]]-Table1[[#This Row],[RET ISR]]-Table1[[#This Row],[TOTAL]]</f>
        <v>0</v>
      </c>
      <c r="AE3237" s="150"/>
      <c r="AF3237" s="151"/>
      <c r="AG3237" s="126" t="s">
        <v>3420</v>
      </c>
      <c r="AK3237" s="306" t="str">
        <f>IF(ISNUMBER(Table1[[#This Row],[FECHA DE RECIBIDO]]), Table1[[#This Row],[FECHA DE RECIBIDO]]-DATE(2023,8,30), "")</f>
        <v/>
      </c>
    </row>
    <row r="3238" spans="1:37" ht="15" customHeight="1">
      <c r="A3238" s="152" t="s">
        <v>4163</v>
      </c>
      <c r="B3238" s="153">
        <v>1162</v>
      </c>
      <c r="C3238" s="126" t="s">
        <v>2596</v>
      </c>
      <c r="D3238">
        <v>2193</v>
      </c>
      <c r="E3238" s="126" t="s">
        <v>2082</v>
      </c>
      <c r="F3238" s="125" t="s">
        <v>1607</v>
      </c>
      <c r="G3238" s="125" t="s">
        <v>134</v>
      </c>
      <c r="H3238">
        <v>147</v>
      </c>
      <c r="I3238" s="125" t="s">
        <v>1546</v>
      </c>
      <c r="J3238" s="308" t="s">
        <v>214</v>
      </c>
      <c r="K3238" s="127" t="s">
        <v>4112</v>
      </c>
      <c r="L3238" s="153" t="s">
        <v>1579</v>
      </c>
      <c r="M3238">
        <v>194</v>
      </c>
      <c r="N3238" s="123">
        <v>17</v>
      </c>
      <c r="O3238">
        <v>2106</v>
      </c>
      <c r="P3238" s="132" t="s">
        <v>77</v>
      </c>
      <c r="Q3238" s="132">
        <v>3016.38</v>
      </c>
      <c r="R3238" s="132">
        <v>482.62</v>
      </c>
      <c r="S3238" s="132"/>
      <c r="T3238" s="156"/>
      <c r="U3238" s="132"/>
      <c r="V3238" s="132">
        <v>3499</v>
      </c>
      <c r="W3238"/>
      <c r="X3238" s="153" t="s">
        <v>1644</v>
      </c>
      <c r="Y3238" s="124" t="s">
        <v>55</v>
      </c>
      <c r="Z3238" s="308">
        <v>243</v>
      </c>
      <c r="AB3238" t="str">
        <f>IF(Table1[[#This Row],[TIPO2]]="costo", VLOOKUP(Table1[[#This Row],[PARTIDA PRESUPUESTAL]],'Cost Report'!G:G,1,0),"Balance")</f>
        <v>2794-003</v>
      </c>
      <c r="AC3238" s="118"/>
      <c r="AD3238" s="159">
        <f>+Table1[[#This Row],[SUBTOTAL]]+Table1[[#This Row],[IVA]]-Table1[[#This Row],[RET IVA]]-Table1[[#This Row],[RET ISR]]-Table1[[#This Row],[TOTAL]]</f>
        <v>0</v>
      </c>
      <c r="AE3238" s="152"/>
      <c r="AF3238" s="153"/>
      <c r="AG3238" s="126" t="s">
        <v>3420</v>
      </c>
      <c r="AK3238" s="306" t="str">
        <f>IF(ISNUMBER(Table1[[#This Row],[FECHA DE RECIBIDO]]), Table1[[#This Row],[FECHA DE RECIBIDO]]-DATE(2023,8,30), "")</f>
        <v/>
      </c>
    </row>
    <row r="3239" spans="1:37" ht="15" customHeight="1">
      <c r="A3239" s="150" t="s">
        <v>4164</v>
      </c>
      <c r="B3239" s="151">
        <v>1163</v>
      </c>
      <c r="C3239" s="126" t="s">
        <v>1505</v>
      </c>
      <c r="D3239">
        <v>2194</v>
      </c>
      <c r="E3239" s="126" t="s">
        <v>1614</v>
      </c>
      <c r="F3239" s="122" t="s">
        <v>1593</v>
      </c>
      <c r="G3239" s="122" t="s">
        <v>109</v>
      </c>
      <c r="H3239">
        <v>602</v>
      </c>
      <c r="I3239" s="122" t="s">
        <v>1546</v>
      </c>
      <c r="J3239" s="307" t="s">
        <v>214</v>
      </c>
      <c r="K3239" s="127" t="s">
        <v>4112</v>
      </c>
      <c r="L3239" s="151" t="s">
        <v>1579</v>
      </c>
      <c r="M3239">
        <v>856</v>
      </c>
      <c r="N3239" s="123">
        <v>17</v>
      </c>
      <c r="O3239">
        <v>2107</v>
      </c>
      <c r="P3239" s="132" t="s">
        <v>77</v>
      </c>
      <c r="Q3239" s="131">
        <v>1069.68</v>
      </c>
      <c r="R3239" s="131">
        <v>173.31</v>
      </c>
      <c r="S3239" s="131"/>
      <c r="T3239" s="155"/>
      <c r="U3239" s="131"/>
      <c r="V3239" s="131">
        <v>1242.99</v>
      </c>
      <c r="W3239"/>
      <c r="X3239" s="151" t="s">
        <v>1644</v>
      </c>
      <c r="Y3239" s="135" t="s">
        <v>55</v>
      </c>
      <c r="Z3239" s="307">
        <v>229</v>
      </c>
      <c r="AB3239" t="str">
        <f>IF(Table1[[#This Row],[TIPO2]]="costo", VLOOKUP(Table1[[#This Row],[PARTIDA PRESUPUESTAL]],'Cost Report'!G:G,1,0),"Balance")</f>
        <v>2494-003</v>
      </c>
      <c r="AC3239" s="118"/>
      <c r="AD3239" s="159">
        <f>+Table1[[#This Row],[SUBTOTAL]]+Table1[[#This Row],[IVA]]-Table1[[#This Row],[RET IVA]]-Table1[[#This Row],[RET ISR]]-Table1[[#This Row],[TOTAL]]</f>
        <v>0</v>
      </c>
      <c r="AE3239" s="150"/>
      <c r="AF3239" s="151"/>
      <c r="AG3239" s="126" t="s">
        <v>3420</v>
      </c>
      <c r="AK3239" s="306" t="str">
        <f>IF(ISNUMBER(Table1[[#This Row],[FECHA DE RECIBIDO]]), Table1[[#This Row],[FECHA DE RECIBIDO]]-DATE(2023,8,30), "")</f>
        <v/>
      </c>
    </row>
    <row r="3240" spans="1:37" ht="15" customHeight="1">
      <c r="A3240" s="152" t="s">
        <v>4164</v>
      </c>
      <c r="B3240" s="153">
        <v>1163</v>
      </c>
      <c r="C3240" s="126" t="s">
        <v>1505</v>
      </c>
      <c r="D3240">
        <v>2195</v>
      </c>
      <c r="E3240" s="126" t="s">
        <v>4188</v>
      </c>
      <c r="F3240" s="125" t="s">
        <v>1589</v>
      </c>
      <c r="G3240" s="125" t="s">
        <v>129</v>
      </c>
      <c r="H3240">
        <v>603</v>
      </c>
      <c r="I3240" s="125" t="s">
        <v>1546</v>
      </c>
      <c r="J3240" s="308" t="s">
        <v>214</v>
      </c>
      <c r="K3240" s="127" t="s">
        <v>4112</v>
      </c>
      <c r="L3240" s="153" t="s">
        <v>1579</v>
      </c>
      <c r="M3240">
        <v>857</v>
      </c>
      <c r="N3240" s="123">
        <v>17</v>
      </c>
      <c r="O3240">
        <v>2108</v>
      </c>
      <c r="P3240" s="132" t="s">
        <v>77</v>
      </c>
      <c r="Q3240" s="132">
        <v>3500</v>
      </c>
      <c r="R3240" s="132">
        <v>560</v>
      </c>
      <c r="S3240" s="132"/>
      <c r="T3240" s="156"/>
      <c r="U3240" s="132"/>
      <c r="V3240" s="132">
        <v>4060</v>
      </c>
      <c r="W3240"/>
      <c r="X3240" s="153" t="s">
        <v>1644</v>
      </c>
      <c r="Y3240" s="124" t="s">
        <v>55</v>
      </c>
      <c r="Z3240" s="308">
        <v>229</v>
      </c>
      <c r="AB3240" t="str">
        <f>IF(Table1[[#This Row],[TIPO2]]="costo", VLOOKUP(Table1[[#This Row],[PARTIDA PRESUPUESTAL]],'Cost Report'!G:G,1,0),"Balance")</f>
        <v>2494-003</v>
      </c>
      <c r="AC3240" s="118"/>
      <c r="AD3240" s="159">
        <f>+Table1[[#This Row],[SUBTOTAL]]+Table1[[#This Row],[IVA]]-Table1[[#This Row],[RET IVA]]-Table1[[#This Row],[RET ISR]]-Table1[[#This Row],[TOTAL]]</f>
        <v>0</v>
      </c>
      <c r="AE3240" s="152"/>
      <c r="AF3240" s="153"/>
      <c r="AG3240" s="126" t="s">
        <v>3420</v>
      </c>
      <c r="AK3240" s="306" t="str">
        <f>IF(ISNUMBER(Table1[[#This Row],[FECHA DE RECIBIDO]]), Table1[[#This Row],[FECHA DE RECIBIDO]]-DATE(2023,8,30), "")</f>
        <v/>
      </c>
    </row>
    <row r="3241" spans="1:37" ht="15" customHeight="1">
      <c r="A3241" s="150" t="s">
        <v>4164</v>
      </c>
      <c r="B3241" s="151">
        <v>1163</v>
      </c>
      <c r="C3241" s="126" t="s">
        <v>1519</v>
      </c>
      <c r="D3241">
        <v>2196</v>
      </c>
      <c r="E3241" s="126" t="s">
        <v>2107</v>
      </c>
      <c r="F3241" s="122" t="s">
        <v>1589</v>
      </c>
      <c r="G3241" s="122" t="s">
        <v>129</v>
      </c>
      <c r="H3241">
        <v>562</v>
      </c>
      <c r="I3241" s="122" t="s">
        <v>1546</v>
      </c>
      <c r="J3241" s="307" t="s">
        <v>214</v>
      </c>
      <c r="K3241" s="127" t="s">
        <v>4112</v>
      </c>
      <c r="L3241" s="151" t="s">
        <v>1579</v>
      </c>
      <c r="M3241">
        <v>788</v>
      </c>
      <c r="N3241" s="123">
        <v>17</v>
      </c>
      <c r="O3241">
        <v>2109</v>
      </c>
      <c r="P3241" s="132" t="s">
        <v>77</v>
      </c>
      <c r="Q3241" s="131">
        <v>540</v>
      </c>
      <c r="R3241" s="131">
        <v>86.4</v>
      </c>
      <c r="S3241" s="131"/>
      <c r="T3241" s="155"/>
      <c r="U3241" s="131"/>
      <c r="V3241" s="131">
        <v>626.4</v>
      </c>
      <c r="W3241"/>
      <c r="X3241" s="151" t="s">
        <v>1644</v>
      </c>
      <c r="Y3241" s="135" t="s">
        <v>55</v>
      </c>
      <c r="Z3241" s="307">
        <v>224</v>
      </c>
      <c r="AB3241" t="str">
        <f>IF(Table1[[#This Row],[TIPO2]]="costo", VLOOKUP(Table1[[#This Row],[PARTIDA PRESUPUESTAL]],'Cost Report'!G:G,1,0),"Balance")</f>
        <v>2494-031</v>
      </c>
      <c r="AC3241" s="118"/>
      <c r="AD3241" s="159">
        <f>+Table1[[#This Row],[SUBTOTAL]]+Table1[[#This Row],[IVA]]-Table1[[#This Row],[RET IVA]]-Table1[[#This Row],[RET ISR]]-Table1[[#This Row],[TOTAL]]</f>
        <v>0</v>
      </c>
      <c r="AE3241" s="150"/>
      <c r="AF3241" s="151"/>
      <c r="AG3241" s="126" t="s">
        <v>3420</v>
      </c>
      <c r="AK3241" s="306" t="str">
        <f>IF(ISNUMBER(Table1[[#This Row],[FECHA DE RECIBIDO]]), Table1[[#This Row],[FECHA DE RECIBIDO]]-DATE(2023,8,30), "")</f>
        <v/>
      </c>
    </row>
    <row r="3242" spans="1:37" ht="15" customHeight="1">
      <c r="A3242" s="152" t="s">
        <v>4164</v>
      </c>
      <c r="B3242" s="153">
        <v>1163</v>
      </c>
      <c r="C3242" s="126" t="s">
        <v>1505</v>
      </c>
      <c r="D3242">
        <v>2197</v>
      </c>
      <c r="E3242" s="126" t="s">
        <v>2008</v>
      </c>
      <c r="F3242" s="125" t="s">
        <v>1607</v>
      </c>
      <c r="G3242" s="125" t="s">
        <v>134</v>
      </c>
      <c r="H3242">
        <v>234</v>
      </c>
      <c r="I3242" s="125" t="s">
        <v>1546</v>
      </c>
      <c r="J3242" s="308" t="s">
        <v>214</v>
      </c>
      <c r="K3242" s="127" t="s">
        <v>4112</v>
      </c>
      <c r="L3242" s="153" t="s">
        <v>1579</v>
      </c>
      <c r="M3242">
        <v>306</v>
      </c>
      <c r="N3242" s="123">
        <v>17</v>
      </c>
      <c r="O3242">
        <v>2110</v>
      </c>
      <c r="P3242" s="132" t="s">
        <v>77</v>
      </c>
      <c r="Q3242" s="132">
        <v>824.14</v>
      </c>
      <c r="R3242" s="132">
        <v>131.86000000000001</v>
      </c>
      <c r="S3242" s="132"/>
      <c r="T3242" s="156"/>
      <c r="U3242" s="132"/>
      <c r="V3242" s="132">
        <v>956</v>
      </c>
      <c r="W3242"/>
      <c r="X3242" s="153" t="s">
        <v>1644</v>
      </c>
      <c r="Y3242" s="124" t="s">
        <v>55</v>
      </c>
      <c r="Z3242" s="308">
        <v>231</v>
      </c>
      <c r="AB3242" t="str">
        <f>IF(Table1[[#This Row],[TIPO2]]="costo", VLOOKUP(Table1[[#This Row],[PARTIDA PRESUPUESTAL]],'Cost Report'!G:G,1,0),"Balance")</f>
        <v>2494-003</v>
      </c>
      <c r="AC3242" s="118"/>
      <c r="AD3242" s="159">
        <f>+Table1[[#This Row],[SUBTOTAL]]+Table1[[#This Row],[IVA]]-Table1[[#This Row],[RET IVA]]-Table1[[#This Row],[RET ISR]]-Table1[[#This Row],[TOTAL]]</f>
        <v>0</v>
      </c>
      <c r="AE3242" s="152"/>
      <c r="AF3242" s="153"/>
      <c r="AG3242" s="126" t="s">
        <v>3420</v>
      </c>
      <c r="AK3242" s="306" t="str">
        <f>IF(ISNUMBER(Table1[[#This Row],[FECHA DE RECIBIDO]]), Table1[[#This Row],[FECHA DE RECIBIDO]]-DATE(2023,8,30), "")</f>
        <v/>
      </c>
    </row>
    <row r="3243" spans="1:37" ht="15" customHeight="1">
      <c r="A3243" s="150" t="s">
        <v>4164</v>
      </c>
      <c r="B3243" s="151">
        <v>1163</v>
      </c>
      <c r="C3243" s="126" t="s">
        <v>1513</v>
      </c>
      <c r="D3243">
        <v>2198</v>
      </c>
      <c r="E3243" s="126" t="s">
        <v>4189</v>
      </c>
      <c r="F3243" s="122" t="s">
        <v>1589</v>
      </c>
      <c r="G3243" s="122" t="s">
        <v>129</v>
      </c>
      <c r="H3243">
        <v>604</v>
      </c>
      <c r="I3243" s="122" t="s">
        <v>1546</v>
      </c>
      <c r="J3243" s="307" t="s">
        <v>214</v>
      </c>
      <c r="K3243" s="127" t="s">
        <v>4112</v>
      </c>
      <c r="L3243" s="151" t="s">
        <v>1579</v>
      </c>
      <c r="M3243">
        <v>858</v>
      </c>
      <c r="N3243" s="123">
        <v>17</v>
      </c>
      <c r="O3243">
        <v>2111</v>
      </c>
      <c r="P3243" s="132" t="s">
        <v>77</v>
      </c>
      <c r="Q3243" s="131">
        <v>240</v>
      </c>
      <c r="R3243" s="131">
        <v>38.4</v>
      </c>
      <c r="S3243" s="131"/>
      <c r="T3243" s="155"/>
      <c r="U3243" s="131"/>
      <c r="V3243" s="131">
        <v>278.39999999999998</v>
      </c>
      <c r="W3243"/>
      <c r="X3243" s="151" t="s">
        <v>1644</v>
      </c>
      <c r="Y3243" s="135" t="s">
        <v>55</v>
      </c>
      <c r="Z3243" s="307">
        <v>230</v>
      </c>
      <c r="AB3243" t="str">
        <f>IF(Table1[[#This Row],[TIPO2]]="costo", VLOOKUP(Table1[[#This Row],[PARTIDA PRESUPUESTAL]],'Cost Report'!G:G,1,0),"Balance")</f>
        <v>2494-019</v>
      </c>
      <c r="AC3243" s="118"/>
      <c r="AD3243" s="159">
        <f>+Table1[[#This Row],[SUBTOTAL]]+Table1[[#This Row],[IVA]]-Table1[[#This Row],[RET IVA]]-Table1[[#This Row],[RET ISR]]-Table1[[#This Row],[TOTAL]]</f>
        <v>0</v>
      </c>
      <c r="AE3243" s="150"/>
      <c r="AF3243" s="151"/>
      <c r="AG3243" s="126" t="s">
        <v>3420</v>
      </c>
      <c r="AK3243" s="306" t="str">
        <f>IF(ISNUMBER(Table1[[#This Row],[FECHA DE RECIBIDO]]), Table1[[#This Row],[FECHA DE RECIBIDO]]-DATE(2023,8,30), "")</f>
        <v/>
      </c>
    </row>
    <row r="3244" spans="1:37" ht="15" customHeight="1">
      <c r="A3244" s="152" t="s">
        <v>4164</v>
      </c>
      <c r="B3244" s="153">
        <v>1163</v>
      </c>
      <c r="C3244" s="126" t="s">
        <v>1505</v>
      </c>
      <c r="D3244">
        <v>2199</v>
      </c>
      <c r="E3244" s="126" t="s">
        <v>1596</v>
      </c>
      <c r="F3244" s="125" t="s">
        <v>1589</v>
      </c>
      <c r="G3244" s="125" t="s">
        <v>129</v>
      </c>
      <c r="H3244">
        <v>605</v>
      </c>
      <c r="I3244" s="125" t="s">
        <v>1546</v>
      </c>
      <c r="J3244" s="308" t="s">
        <v>214</v>
      </c>
      <c r="K3244" s="127" t="s">
        <v>4112</v>
      </c>
      <c r="L3244" s="153" t="s">
        <v>1579</v>
      </c>
      <c r="M3244">
        <v>859</v>
      </c>
      <c r="N3244" s="123">
        <v>17</v>
      </c>
      <c r="O3244">
        <v>2112</v>
      </c>
      <c r="P3244" s="132" t="s">
        <v>77</v>
      </c>
      <c r="Q3244" s="132">
        <v>174.4</v>
      </c>
      <c r="R3244" s="132">
        <v>27.9</v>
      </c>
      <c r="S3244" s="132"/>
      <c r="T3244" s="156"/>
      <c r="U3244" s="132"/>
      <c r="V3244" s="132">
        <v>202.3</v>
      </c>
      <c r="W3244"/>
      <c r="X3244" s="153" t="s">
        <v>1644</v>
      </c>
      <c r="Y3244" s="124" t="s">
        <v>55</v>
      </c>
      <c r="Z3244" s="308">
        <v>229</v>
      </c>
      <c r="AB3244" t="str">
        <f>IF(Table1[[#This Row],[TIPO2]]="costo", VLOOKUP(Table1[[#This Row],[PARTIDA PRESUPUESTAL]],'Cost Report'!G:G,1,0),"Balance")</f>
        <v>2494-003</v>
      </c>
      <c r="AC3244" s="118"/>
      <c r="AD3244" s="159">
        <f>+Table1[[#This Row],[SUBTOTAL]]+Table1[[#This Row],[IVA]]-Table1[[#This Row],[RET IVA]]-Table1[[#This Row],[RET ISR]]-Table1[[#This Row],[TOTAL]]</f>
        <v>0</v>
      </c>
      <c r="AE3244" s="152"/>
      <c r="AF3244" s="153"/>
      <c r="AG3244" s="126" t="s">
        <v>3420</v>
      </c>
      <c r="AK3244" s="306" t="str">
        <f>IF(ISNUMBER(Table1[[#This Row],[FECHA DE RECIBIDO]]), Table1[[#This Row],[FECHA DE RECIBIDO]]-DATE(2023,8,30), "")</f>
        <v/>
      </c>
    </row>
    <row r="3245" spans="1:37" ht="15" customHeight="1">
      <c r="A3245" s="150" t="s">
        <v>4164</v>
      </c>
      <c r="B3245" s="151">
        <v>1163</v>
      </c>
      <c r="C3245" s="126" t="s">
        <v>1505</v>
      </c>
      <c r="D3245">
        <v>2200</v>
      </c>
      <c r="E3245" s="126" t="s">
        <v>1999</v>
      </c>
      <c r="F3245" s="122" t="s">
        <v>1607</v>
      </c>
      <c r="G3245" s="122" t="s">
        <v>134</v>
      </c>
      <c r="H3245">
        <v>606</v>
      </c>
      <c r="I3245" s="122" t="s">
        <v>1546</v>
      </c>
      <c r="J3245" s="307" t="s">
        <v>214</v>
      </c>
      <c r="K3245" s="127" t="s">
        <v>4112</v>
      </c>
      <c r="L3245" s="151" t="s">
        <v>1579</v>
      </c>
      <c r="M3245">
        <v>860</v>
      </c>
      <c r="N3245" s="123">
        <v>17</v>
      </c>
      <c r="O3245">
        <v>2113</v>
      </c>
      <c r="P3245" s="132" t="s">
        <v>77</v>
      </c>
      <c r="Q3245" s="131">
        <v>273.27999999999997</v>
      </c>
      <c r="R3245" s="131">
        <v>43.72</v>
      </c>
      <c r="S3245" s="131"/>
      <c r="T3245" s="155"/>
      <c r="U3245" s="131"/>
      <c r="V3245" s="131">
        <v>317</v>
      </c>
      <c r="W3245"/>
      <c r="X3245" s="151" t="s">
        <v>1644</v>
      </c>
      <c r="Y3245" s="135" t="s">
        <v>55</v>
      </c>
      <c r="Z3245" s="307">
        <v>229</v>
      </c>
      <c r="AB3245" t="str">
        <f>IF(Table1[[#This Row],[TIPO2]]="costo", VLOOKUP(Table1[[#This Row],[PARTIDA PRESUPUESTAL]],'Cost Report'!G:G,1,0),"Balance")</f>
        <v>2494-003</v>
      </c>
      <c r="AC3245" s="118"/>
      <c r="AD3245" s="159">
        <f>+Table1[[#This Row],[SUBTOTAL]]+Table1[[#This Row],[IVA]]-Table1[[#This Row],[RET IVA]]-Table1[[#This Row],[RET ISR]]-Table1[[#This Row],[TOTAL]]</f>
        <v>0</v>
      </c>
      <c r="AE3245" s="150"/>
      <c r="AF3245" s="151"/>
      <c r="AG3245" s="126" t="s">
        <v>3420</v>
      </c>
      <c r="AK3245" s="306" t="str">
        <f>IF(ISNUMBER(Table1[[#This Row],[FECHA DE RECIBIDO]]), Table1[[#This Row],[FECHA DE RECIBIDO]]-DATE(2023,8,30), "")</f>
        <v/>
      </c>
    </row>
    <row r="3246" spans="1:37" ht="15" customHeight="1">
      <c r="A3246" s="152" t="s">
        <v>4164</v>
      </c>
      <c r="B3246" s="153">
        <v>1163</v>
      </c>
      <c r="C3246" s="126" t="s">
        <v>1505</v>
      </c>
      <c r="D3246">
        <v>2201</v>
      </c>
      <c r="E3246" s="126" t="s">
        <v>3275</v>
      </c>
      <c r="F3246" s="125" t="s">
        <v>1607</v>
      </c>
      <c r="G3246" s="125" t="s">
        <v>134</v>
      </c>
      <c r="H3246">
        <v>139</v>
      </c>
      <c r="I3246" s="125" t="s">
        <v>1546</v>
      </c>
      <c r="J3246" s="308" t="s">
        <v>214</v>
      </c>
      <c r="K3246" s="127" t="s">
        <v>4112</v>
      </c>
      <c r="L3246" s="153" t="s">
        <v>1579</v>
      </c>
      <c r="M3246">
        <v>181</v>
      </c>
      <c r="N3246" s="123">
        <v>17</v>
      </c>
      <c r="O3246">
        <v>2114</v>
      </c>
      <c r="P3246" s="132" t="s">
        <v>77</v>
      </c>
      <c r="Q3246" s="132">
        <v>1091.08</v>
      </c>
      <c r="R3246" s="132">
        <v>174.57</v>
      </c>
      <c r="S3246" s="132"/>
      <c r="T3246" s="156"/>
      <c r="U3246" s="132"/>
      <c r="V3246" s="132">
        <v>1265.6499999999999</v>
      </c>
      <c r="W3246"/>
      <c r="X3246" s="153" t="s">
        <v>1644</v>
      </c>
      <c r="Y3246" s="124" t="s">
        <v>55</v>
      </c>
      <c r="Z3246" s="308">
        <v>229</v>
      </c>
      <c r="AB3246" t="str">
        <f>IF(Table1[[#This Row],[TIPO2]]="costo", VLOOKUP(Table1[[#This Row],[PARTIDA PRESUPUESTAL]],'Cost Report'!G:G,1,0),"Balance")</f>
        <v>2494-003</v>
      </c>
      <c r="AC3246" s="118"/>
      <c r="AD3246" s="159">
        <f>+Table1[[#This Row],[SUBTOTAL]]+Table1[[#This Row],[IVA]]-Table1[[#This Row],[RET IVA]]-Table1[[#This Row],[RET ISR]]-Table1[[#This Row],[TOTAL]]</f>
        <v>0</v>
      </c>
      <c r="AE3246" s="152"/>
      <c r="AF3246" s="153"/>
      <c r="AG3246" s="126" t="s">
        <v>3420</v>
      </c>
      <c r="AK3246" s="306" t="str">
        <f>IF(ISNUMBER(Table1[[#This Row],[FECHA DE RECIBIDO]]), Table1[[#This Row],[FECHA DE RECIBIDO]]-DATE(2023,8,30), "")</f>
        <v/>
      </c>
    </row>
    <row r="3247" spans="1:37" ht="15" customHeight="1">
      <c r="A3247" s="150" t="s">
        <v>4164</v>
      </c>
      <c r="B3247" s="151">
        <v>1163</v>
      </c>
      <c r="C3247" s="126" t="s">
        <v>1505</v>
      </c>
      <c r="D3247">
        <v>2202</v>
      </c>
      <c r="E3247" s="126" t="s">
        <v>3275</v>
      </c>
      <c r="F3247" s="122" t="s">
        <v>1607</v>
      </c>
      <c r="G3247" s="122" t="s">
        <v>134</v>
      </c>
      <c r="H3247">
        <v>177</v>
      </c>
      <c r="I3247" s="122" t="s">
        <v>1546</v>
      </c>
      <c r="J3247" s="307" t="s">
        <v>214</v>
      </c>
      <c r="K3247" s="127" t="s">
        <v>4112</v>
      </c>
      <c r="L3247" s="151" t="s">
        <v>1579</v>
      </c>
      <c r="M3247">
        <v>238</v>
      </c>
      <c r="N3247" s="123">
        <v>17</v>
      </c>
      <c r="O3247">
        <v>2115</v>
      </c>
      <c r="P3247" s="132" t="s">
        <v>77</v>
      </c>
      <c r="Q3247" s="131">
        <v>603.36</v>
      </c>
      <c r="R3247" s="131">
        <v>96.54</v>
      </c>
      <c r="S3247" s="131"/>
      <c r="T3247" s="155"/>
      <c r="U3247" s="131"/>
      <c r="V3247" s="131">
        <v>699.9</v>
      </c>
      <c r="W3247"/>
      <c r="X3247" s="151" t="s">
        <v>1644</v>
      </c>
      <c r="Y3247" s="135" t="s">
        <v>55</v>
      </c>
      <c r="Z3247" s="307">
        <v>229</v>
      </c>
      <c r="AB3247" t="str">
        <f>IF(Table1[[#This Row],[TIPO2]]="costo", VLOOKUP(Table1[[#This Row],[PARTIDA PRESUPUESTAL]],'Cost Report'!G:G,1,0),"Balance")</f>
        <v>2494-003</v>
      </c>
      <c r="AC3247" s="118"/>
      <c r="AD3247" s="159">
        <f>+Table1[[#This Row],[SUBTOTAL]]+Table1[[#This Row],[IVA]]-Table1[[#This Row],[RET IVA]]-Table1[[#This Row],[RET ISR]]-Table1[[#This Row],[TOTAL]]</f>
        <v>0</v>
      </c>
      <c r="AE3247" s="150"/>
      <c r="AF3247" s="151"/>
      <c r="AG3247" s="126" t="s">
        <v>3420</v>
      </c>
      <c r="AK3247" s="306" t="str">
        <f>IF(ISNUMBER(Table1[[#This Row],[FECHA DE RECIBIDO]]), Table1[[#This Row],[FECHA DE RECIBIDO]]-DATE(2023,8,30), "")</f>
        <v/>
      </c>
    </row>
    <row r="3248" spans="1:37" ht="15" customHeight="1">
      <c r="A3248" s="152" t="s">
        <v>4164</v>
      </c>
      <c r="B3248" s="153">
        <v>1163</v>
      </c>
      <c r="C3248" s="126" t="s">
        <v>1505</v>
      </c>
      <c r="D3248">
        <v>2203</v>
      </c>
      <c r="E3248" s="126" t="s">
        <v>3275</v>
      </c>
      <c r="F3248" s="125" t="s">
        <v>1607</v>
      </c>
      <c r="G3248" s="125" t="s">
        <v>134</v>
      </c>
      <c r="H3248">
        <v>177</v>
      </c>
      <c r="I3248" s="125" t="s">
        <v>1546</v>
      </c>
      <c r="J3248" s="308" t="s">
        <v>214</v>
      </c>
      <c r="K3248" s="127" t="s">
        <v>4112</v>
      </c>
      <c r="L3248" s="153" t="s">
        <v>1579</v>
      </c>
      <c r="M3248">
        <v>238</v>
      </c>
      <c r="N3248" s="123">
        <v>17</v>
      </c>
      <c r="O3248">
        <v>2116</v>
      </c>
      <c r="P3248" s="132" t="s">
        <v>77</v>
      </c>
      <c r="Q3248" s="132">
        <v>103.4</v>
      </c>
      <c r="R3248" s="132">
        <v>16.54</v>
      </c>
      <c r="S3248" s="132"/>
      <c r="T3248" s="156"/>
      <c r="U3248" s="132"/>
      <c r="V3248" s="132">
        <v>119.94</v>
      </c>
      <c r="W3248"/>
      <c r="X3248" s="153" t="s">
        <v>1644</v>
      </c>
      <c r="Y3248" s="124" t="s">
        <v>55</v>
      </c>
      <c r="Z3248" s="308">
        <v>229</v>
      </c>
      <c r="AB3248" t="str">
        <f>IF(Table1[[#This Row],[TIPO2]]="costo", VLOOKUP(Table1[[#This Row],[PARTIDA PRESUPUESTAL]],'Cost Report'!G:G,1,0),"Balance")</f>
        <v>2494-003</v>
      </c>
      <c r="AC3248" s="118"/>
      <c r="AD3248" s="159">
        <f>+Table1[[#This Row],[SUBTOTAL]]+Table1[[#This Row],[IVA]]-Table1[[#This Row],[RET IVA]]-Table1[[#This Row],[RET ISR]]-Table1[[#This Row],[TOTAL]]</f>
        <v>0</v>
      </c>
      <c r="AE3248" s="152"/>
      <c r="AF3248" s="153"/>
      <c r="AG3248" s="126" t="s">
        <v>3420</v>
      </c>
      <c r="AK3248" s="306" t="str">
        <f>IF(ISNUMBER(Table1[[#This Row],[FECHA DE RECIBIDO]]), Table1[[#This Row],[FECHA DE RECIBIDO]]-DATE(2023,8,30), "")</f>
        <v/>
      </c>
    </row>
    <row r="3249" spans="1:37" ht="15" customHeight="1">
      <c r="A3249" s="150" t="s">
        <v>4164</v>
      </c>
      <c r="B3249" s="151">
        <v>1163</v>
      </c>
      <c r="C3249" s="126" t="s">
        <v>1505</v>
      </c>
      <c r="D3249">
        <v>2204</v>
      </c>
      <c r="E3249" s="126" t="s">
        <v>3363</v>
      </c>
      <c r="F3249" s="122" t="s">
        <v>1607</v>
      </c>
      <c r="G3249" s="122" t="s">
        <v>134</v>
      </c>
      <c r="H3249">
        <v>99</v>
      </c>
      <c r="I3249" s="122" t="s">
        <v>1546</v>
      </c>
      <c r="J3249" s="307" t="s">
        <v>214</v>
      </c>
      <c r="K3249" s="127" t="s">
        <v>4112</v>
      </c>
      <c r="L3249" s="151" t="s">
        <v>1579</v>
      </c>
      <c r="M3249">
        <v>134</v>
      </c>
      <c r="N3249" s="123">
        <v>17</v>
      </c>
      <c r="O3249">
        <v>2117</v>
      </c>
      <c r="P3249" s="132" t="s">
        <v>77</v>
      </c>
      <c r="Q3249" s="131">
        <v>646.54999999999995</v>
      </c>
      <c r="R3249" s="131">
        <v>103.45</v>
      </c>
      <c r="S3249" s="131"/>
      <c r="T3249" s="155"/>
      <c r="U3249" s="131"/>
      <c r="V3249" s="131">
        <v>750</v>
      </c>
      <c r="W3249"/>
      <c r="X3249" s="151" t="s">
        <v>1644</v>
      </c>
      <c r="Y3249" s="135" t="s">
        <v>55</v>
      </c>
      <c r="Z3249" s="307">
        <v>229</v>
      </c>
      <c r="AB3249" t="str">
        <f>IF(Table1[[#This Row],[TIPO2]]="costo", VLOOKUP(Table1[[#This Row],[PARTIDA PRESUPUESTAL]],'Cost Report'!G:G,1,0),"Balance")</f>
        <v>2494-003</v>
      </c>
      <c r="AC3249" s="118"/>
      <c r="AD3249" s="159">
        <f>+Table1[[#This Row],[SUBTOTAL]]+Table1[[#This Row],[IVA]]-Table1[[#This Row],[RET IVA]]-Table1[[#This Row],[RET ISR]]-Table1[[#This Row],[TOTAL]]</f>
        <v>0</v>
      </c>
      <c r="AE3249" s="150"/>
      <c r="AF3249" s="151"/>
      <c r="AG3249" s="126" t="s">
        <v>3420</v>
      </c>
      <c r="AK3249" s="306" t="str">
        <f>IF(ISNUMBER(Table1[[#This Row],[FECHA DE RECIBIDO]]), Table1[[#This Row],[FECHA DE RECIBIDO]]-DATE(2023,8,30), "")</f>
        <v/>
      </c>
    </row>
    <row r="3250" spans="1:37" ht="15" customHeight="1">
      <c r="A3250" s="152" t="s">
        <v>4164</v>
      </c>
      <c r="B3250" s="153">
        <v>1163</v>
      </c>
      <c r="C3250" s="126" t="s">
        <v>1505</v>
      </c>
      <c r="D3250">
        <v>2205</v>
      </c>
      <c r="E3250" s="126" t="s">
        <v>3275</v>
      </c>
      <c r="F3250" s="125" t="s">
        <v>1607</v>
      </c>
      <c r="G3250" s="125" t="s">
        <v>134</v>
      </c>
      <c r="H3250">
        <v>177</v>
      </c>
      <c r="I3250" s="125" t="s">
        <v>1546</v>
      </c>
      <c r="J3250" s="308" t="s">
        <v>214</v>
      </c>
      <c r="K3250" s="127" t="s">
        <v>4112</v>
      </c>
      <c r="L3250" s="153" t="s">
        <v>1579</v>
      </c>
      <c r="M3250">
        <v>238</v>
      </c>
      <c r="N3250" s="123">
        <v>17</v>
      </c>
      <c r="O3250">
        <v>2118</v>
      </c>
      <c r="P3250" s="132" t="s">
        <v>77</v>
      </c>
      <c r="Q3250" s="132">
        <v>17.23</v>
      </c>
      <c r="R3250" s="132">
        <v>2.76</v>
      </c>
      <c r="S3250" s="132"/>
      <c r="T3250" s="156"/>
      <c r="U3250" s="132"/>
      <c r="V3250" s="132">
        <v>19.990000000000002</v>
      </c>
      <c r="W3250"/>
      <c r="X3250" s="153" t="s">
        <v>1644</v>
      </c>
      <c r="Y3250" s="124" t="s">
        <v>55</v>
      </c>
      <c r="Z3250" s="308">
        <v>229</v>
      </c>
      <c r="AB3250" t="str">
        <f>IF(Table1[[#This Row],[TIPO2]]="costo", VLOOKUP(Table1[[#This Row],[PARTIDA PRESUPUESTAL]],'Cost Report'!G:G,1,0),"Balance")</f>
        <v>2494-003</v>
      </c>
      <c r="AC3250" s="118"/>
      <c r="AD3250" s="159">
        <f>+Table1[[#This Row],[SUBTOTAL]]+Table1[[#This Row],[IVA]]-Table1[[#This Row],[RET IVA]]-Table1[[#This Row],[RET ISR]]-Table1[[#This Row],[TOTAL]]</f>
        <v>0</v>
      </c>
      <c r="AE3250" s="152"/>
      <c r="AF3250" s="153"/>
      <c r="AG3250" s="126" t="s">
        <v>3420</v>
      </c>
      <c r="AK3250" s="306" t="str">
        <f>IF(ISNUMBER(Table1[[#This Row],[FECHA DE RECIBIDO]]), Table1[[#This Row],[FECHA DE RECIBIDO]]-DATE(2023,8,30), "")</f>
        <v/>
      </c>
    </row>
    <row r="3251" spans="1:37" ht="15" customHeight="1">
      <c r="A3251" s="150" t="s">
        <v>4164</v>
      </c>
      <c r="B3251" s="151">
        <v>1163</v>
      </c>
      <c r="C3251" s="126" t="s">
        <v>1505</v>
      </c>
      <c r="D3251">
        <v>2206</v>
      </c>
      <c r="E3251" s="126" t="s">
        <v>3356</v>
      </c>
      <c r="F3251" s="122" t="s">
        <v>1607</v>
      </c>
      <c r="G3251" s="122" t="s">
        <v>134</v>
      </c>
      <c r="H3251">
        <v>173</v>
      </c>
      <c r="I3251" s="122" t="s">
        <v>1546</v>
      </c>
      <c r="J3251" s="307" t="s">
        <v>214</v>
      </c>
      <c r="K3251" s="127" t="s">
        <v>4112</v>
      </c>
      <c r="L3251" s="151" t="s">
        <v>1579</v>
      </c>
      <c r="M3251">
        <v>230</v>
      </c>
      <c r="N3251" s="123">
        <v>17</v>
      </c>
      <c r="O3251">
        <v>2119</v>
      </c>
      <c r="P3251" s="132" t="s">
        <v>77</v>
      </c>
      <c r="Q3251" s="131">
        <f>738.27+16.45</f>
        <v>754.72</v>
      </c>
      <c r="R3251" s="131">
        <v>24.08</v>
      </c>
      <c r="S3251" s="131">
        <v>16.45</v>
      </c>
      <c r="T3251" s="155"/>
      <c r="U3251" s="131"/>
      <c r="V3251" s="131">
        <v>778.80000000000007</v>
      </c>
      <c r="W3251"/>
      <c r="X3251" s="151" t="s">
        <v>1644</v>
      </c>
      <c r="Y3251" s="135" t="s">
        <v>55</v>
      </c>
      <c r="Z3251" s="307">
        <v>234</v>
      </c>
      <c r="AB3251" t="str">
        <f>IF(Table1[[#This Row],[TIPO2]]="costo", VLOOKUP(Table1[[#This Row],[PARTIDA PRESUPUESTAL]],'Cost Report'!G:G,1,0),"Balance")</f>
        <v>2494-003</v>
      </c>
      <c r="AC3251" s="118"/>
      <c r="AD3251" s="159">
        <f>+Table1[[#This Row],[SUBTOTAL]]+Table1[[#This Row],[IVA]]-Table1[[#This Row],[RET IVA]]-Table1[[#This Row],[RET ISR]]-Table1[[#This Row],[TOTAL]]</f>
        <v>0</v>
      </c>
      <c r="AE3251" s="150"/>
      <c r="AF3251" s="151"/>
      <c r="AG3251" s="126" t="s">
        <v>3420</v>
      </c>
      <c r="AK3251" s="306" t="str">
        <f>IF(ISNUMBER(Table1[[#This Row],[FECHA DE RECIBIDO]]), Table1[[#This Row],[FECHA DE RECIBIDO]]-DATE(2023,8,30), "")</f>
        <v/>
      </c>
    </row>
    <row r="3252" spans="1:37" ht="15" customHeight="1">
      <c r="A3252" s="152" t="s">
        <v>4164</v>
      </c>
      <c r="B3252" s="153">
        <v>1163</v>
      </c>
      <c r="C3252" s="126" t="s">
        <v>1505</v>
      </c>
      <c r="D3252">
        <v>2207</v>
      </c>
      <c r="E3252" s="126" t="s">
        <v>1603</v>
      </c>
      <c r="F3252" s="125" t="s">
        <v>1607</v>
      </c>
      <c r="G3252" s="125" t="s">
        <v>134</v>
      </c>
      <c r="H3252">
        <v>99</v>
      </c>
      <c r="I3252" s="125" t="s">
        <v>1546</v>
      </c>
      <c r="J3252" s="308" t="s">
        <v>214</v>
      </c>
      <c r="K3252" s="127" t="s">
        <v>4112</v>
      </c>
      <c r="L3252" s="153" t="s">
        <v>1579</v>
      </c>
      <c r="M3252">
        <v>134</v>
      </c>
      <c r="N3252" s="123">
        <v>17</v>
      </c>
      <c r="O3252">
        <v>2120</v>
      </c>
      <c r="P3252" s="132" t="s">
        <v>77</v>
      </c>
      <c r="Q3252" s="132">
        <v>615.51</v>
      </c>
      <c r="R3252" s="132">
        <v>98.48</v>
      </c>
      <c r="S3252" s="132"/>
      <c r="T3252" s="156"/>
      <c r="U3252" s="132"/>
      <c r="V3252" s="132">
        <v>713.99</v>
      </c>
      <c r="W3252"/>
      <c r="X3252" s="153" t="s">
        <v>1644</v>
      </c>
      <c r="Y3252" s="124" t="s">
        <v>55</v>
      </c>
      <c r="Z3252" s="308">
        <v>234</v>
      </c>
      <c r="AB3252" t="str">
        <f>IF(Table1[[#This Row],[TIPO2]]="costo", VLOOKUP(Table1[[#This Row],[PARTIDA PRESUPUESTAL]],'Cost Report'!G:G,1,0),"Balance")</f>
        <v>2494-003</v>
      </c>
      <c r="AC3252" s="118"/>
      <c r="AD3252" s="159">
        <f>+Table1[[#This Row],[SUBTOTAL]]+Table1[[#This Row],[IVA]]-Table1[[#This Row],[RET IVA]]-Table1[[#This Row],[RET ISR]]-Table1[[#This Row],[TOTAL]]</f>
        <v>0</v>
      </c>
      <c r="AE3252" s="152"/>
      <c r="AF3252" s="153"/>
      <c r="AG3252" s="126" t="s">
        <v>3420</v>
      </c>
      <c r="AK3252" s="306" t="str">
        <f>IF(ISNUMBER(Table1[[#This Row],[FECHA DE RECIBIDO]]), Table1[[#This Row],[FECHA DE RECIBIDO]]-DATE(2023,8,30), "")</f>
        <v/>
      </c>
    </row>
    <row r="3253" spans="1:37" ht="15" customHeight="1">
      <c r="A3253" s="150" t="s">
        <v>4164</v>
      </c>
      <c r="B3253" s="151">
        <v>1163</v>
      </c>
      <c r="C3253" s="126" t="s">
        <v>1505</v>
      </c>
      <c r="D3253">
        <v>2208</v>
      </c>
      <c r="E3253" s="126" t="s">
        <v>1603</v>
      </c>
      <c r="F3253" s="122" t="s">
        <v>1607</v>
      </c>
      <c r="G3253" s="122" t="s">
        <v>134</v>
      </c>
      <c r="H3253">
        <v>99</v>
      </c>
      <c r="I3253" s="122" t="s">
        <v>1546</v>
      </c>
      <c r="J3253" s="307" t="s">
        <v>214</v>
      </c>
      <c r="K3253" s="127" t="s">
        <v>4112</v>
      </c>
      <c r="L3253" s="151" t="s">
        <v>1579</v>
      </c>
      <c r="M3253">
        <v>134</v>
      </c>
      <c r="N3253" s="123">
        <v>17</v>
      </c>
      <c r="O3253">
        <v>2120</v>
      </c>
      <c r="P3253" s="132" t="s">
        <v>77</v>
      </c>
      <c r="Q3253" s="131">
        <v>818.97</v>
      </c>
      <c r="R3253" s="131">
        <v>131.04</v>
      </c>
      <c r="S3253" s="131"/>
      <c r="T3253" s="155"/>
      <c r="U3253" s="131"/>
      <c r="V3253" s="131">
        <v>950.01</v>
      </c>
      <c r="W3253"/>
      <c r="X3253" s="151" t="s">
        <v>1644</v>
      </c>
      <c r="Y3253" s="135" t="s">
        <v>55</v>
      </c>
      <c r="Z3253" s="307">
        <v>234</v>
      </c>
      <c r="AB3253" t="str">
        <f>IF(Table1[[#This Row],[TIPO2]]="costo", VLOOKUP(Table1[[#This Row],[PARTIDA PRESUPUESTAL]],'Cost Report'!G:G,1,0),"Balance")</f>
        <v>2494-003</v>
      </c>
      <c r="AC3253" s="118"/>
      <c r="AD3253" s="159">
        <f>+Table1[[#This Row],[SUBTOTAL]]+Table1[[#This Row],[IVA]]-Table1[[#This Row],[RET IVA]]-Table1[[#This Row],[RET ISR]]-Table1[[#This Row],[TOTAL]]</f>
        <v>0</v>
      </c>
      <c r="AE3253" s="150"/>
      <c r="AF3253" s="151"/>
      <c r="AG3253" s="126" t="s">
        <v>3420</v>
      </c>
      <c r="AK3253" s="306" t="str">
        <f>IF(ISNUMBER(Table1[[#This Row],[FECHA DE RECIBIDO]]), Table1[[#This Row],[FECHA DE RECIBIDO]]-DATE(2023,8,30), "")</f>
        <v/>
      </c>
    </row>
    <row r="3254" spans="1:37" ht="15" customHeight="1">
      <c r="A3254" s="152" t="s">
        <v>4164</v>
      </c>
      <c r="B3254" s="153">
        <v>1163</v>
      </c>
      <c r="C3254" s="126" t="s">
        <v>1505</v>
      </c>
      <c r="D3254">
        <v>2209</v>
      </c>
      <c r="E3254" s="126" t="s">
        <v>1598</v>
      </c>
      <c r="F3254" s="125" t="s">
        <v>1607</v>
      </c>
      <c r="G3254" s="125" t="s">
        <v>134</v>
      </c>
      <c r="H3254">
        <v>150</v>
      </c>
      <c r="I3254" s="125" t="s">
        <v>1546</v>
      </c>
      <c r="J3254" s="308" t="s">
        <v>214</v>
      </c>
      <c r="K3254" s="127" t="s">
        <v>4112</v>
      </c>
      <c r="L3254" s="153" t="s">
        <v>1579</v>
      </c>
      <c r="M3254">
        <v>208</v>
      </c>
      <c r="N3254" s="123">
        <v>17</v>
      </c>
      <c r="O3254">
        <v>2121</v>
      </c>
      <c r="P3254" s="132" t="s">
        <v>77</v>
      </c>
      <c r="Q3254" s="132">
        <v>1208.6099999999999</v>
      </c>
      <c r="R3254" s="132">
        <v>193.37</v>
      </c>
      <c r="S3254" s="132"/>
      <c r="T3254" s="156"/>
      <c r="U3254" s="132"/>
      <c r="V3254" s="132">
        <v>1401.98</v>
      </c>
      <c r="W3254"/>
      <c r="X3254" s="153" t="s">
        <v>1644</v>
      </c>
      <c r="Y3254" s="124" t="s">
        <v>55</v>
      </c>
      <c r="Z3254" s="308">
        <v>234</v>
      </c>
      <c r="AB3254" t="str">
        <f>IF(Table1[[#This Row],[TIPO2]]="costo", VLOOKUP(Table1[[#This Row],[PARTIDA PRESUPUESTAL]],'Cost Report'!G:G,1,0),"Balance")</f>
        <v>2494-003</v>
      </c>
      <c r="AC3254" s="118"/>
      <c r="AD3254" s="159">
        <f>+Table1[[#This Row],[SUBTOTAL]]+Table1[[#This Row],[IVA]]-Table1[[#This Row],[RET IVA]]-Table1[[#This Row],[RET ISR]]-Table1[[#This Row],[TOTAL]]</f>
        <v>0</v>
      </c>
      <c r="AE3254" s="152"/>
      <c r="AF3254" s="153"/>
      <c r="AG3254" s="126" t="s">
        <v>3420</v>
      </c>
      <c r="AK3254" s="306" t="str">
        <f>IF(ISNUMBER(Table1[[#This Row],[FECHA DE RECIBIDO]]), Table1[[#This Row],[FECHA DE RECIBIDO]]-DATE(2023,8,30), "")</f>
        <v/>
      </c>
    </row>
    <row r="3255" spans="1:37" ht="15" customHeight="1">
      <c r="A3255" s="150" t="s">
        <v>4164</v>
      </c>
      <c r="B3255" s="151">
        <v>1163</v>
      </c>
      <c r="C3255" s="126" t="s">
        <v>1505</v>
      </c>
      <c r="D3255">
        <v>2210</v>
      </c>
      <c r="E3255" s="126" t="s">
        <v>1598</v>
      </c>
      <c r="F3255" s="122" t="s">
        <v>1607</v>
      </c>
      <c r="G3255" s="122" t="s">
        <v>134</v>
      </c>
      <c r="H3255">
        <v>150</v>
      </c>
      <c r="I3255" s="122" t="s">
        <v>1546</v>
      </c>
      <c r="J3255" s="307" t="s">
        <v>214</v>
      </c>
      <c r="K3255" s="127" t="s">
        <v>4112</v>
      </c>
      <c r="L3255" s="151" t="s">
        <v>1579</v>
      </c>
      <c r="M3255">
        <v>208</v>
      </c>
      <c r="N3255" s="123">
        <v>17</v>
      </c>
      <c r="O3255">
        <v>2122</v>
      </c>
      <c r="P3255" s="132" t="s">
        <v>77</v>
      </c>
      <c r="Q3255" s="131">
        <v>1654.29</v>
      </c>
      <c r="R3255" s="131">
        <v>264.69</v>
      </c>
      <c r="S3255" s="131"/>
      <c r="T3255" s="155"/>
      <c r="U3255" s="131"/>
      <c r="V3255" s="131">
        <v>1918.98</v>
      </c>
      <c r="W3255"/>
      <c r="X3255" s="151" t="s">
        <v>1644</v>
      </c>
      <c r="Y3255" s="135" t="s">
        <v>55</v>
      </c>
      <c r="Z3255" s="307">
        <v>234</v>
      </c>
      <c r="AB3255" t="str">
        <f>IF(Table1[[#This Row],[TIPO2]]="costo", VLOOKUP(Table1[[#This Row],[PARTIDA PRESUPUESTAL]],'Cost Report'!G:G,1,0),"Balance")</f>
        <v>2494-003</v>
      </c>
      <c r="AC3255" s="118"/>
      <c r="AD3255" s="159">
        <f>+Table1[[#This Row],[SUBTOTAL]]+Table1[[#This Row],[IVA]]-Table1[[#This Row],[RET IVA]]-Table1[[#This Row],[RET ISR]]-Table1[[#This Row],[TOTAL]]</f>
        <v>0</v>
      </c>
      <c r="AE3255" s="150"/>
      <c r="AF3255" s="151"/>
      <c r="AG3255" s="126" t="s">
        <v>3420</v>
      </c>
      <c r="AK3255" s="306" t="str">
        <f>IF(ISNUMBER(Table1[[#This Row],[FECHA DE RECIBIDO]]), Table1[[#This Row],[FECHA DE RECIBIDO]]-DATE(2023,8,30), "")</f>
        <v/>
      </c>
    </row>
    <row r="3256" spans="1:37" ht="15" customHeight="1">
      <c r="A3256" s="152" t="s">
        <v>4164</v>
      </c>
      <c r="B3256" s="153">
        <v>1163</v>
      </c>
      <c r="C3256" s="126" t="s">
        <v>1505</v>
      </c>
      <c r="D3256">
        <v>2211</v>
      </c>
      <c r="E3256" s="126" t="s">
        <v>2008</v>
      </c>
      <c r="F3256" s="125" t="s">
        <v>1607</v>
      </c>
      <c r="G3256" s="125" t="s">
        <v>134</v>
      </c>
      <c r="H3256">
        <v>100</v>
      </c>
      <c r="I3256" s="125" t="s">
        <v>1546</v>
      </c>
      <c r="J3256" s="308" t="s">
        <v>214</v>
      </c>
      <c r="K3256" s="127" t="s">
        <v>4112</v>
      </c>
      <c r="L3256" s="153" t="s">
        <v>1579</v>
      </c>
      <c r="M3256">
        <v>135</v>
      </c>
      <c r="N3256" s="123">
        <v>17</v>
      </c>
      <c r="O3256">
        <v>2123</v>
      </c>
      <c r="P3256" s="132" t="s">
        <v>77</v>
      </c>
      <c r="Q3256" s="132">
        <v>343.97</v>
      </c>
      <c r="R3256" s="132">
        <v>55.03</v>
      </c>
      <c r="S3256" s="132"/>
      <c r="T3256" s="156"/>
      <c r="U3256" s="132"/>
      <c r="V3256" s="132">
        <v>399</v>
      </c>
      <c r="W3256"/>
      <c r="X3256" s="153" t="s">
        <v>1644</v>
      </c>
      <c r="Y3256" s="124" t="s">
        <v>55</v>
      </c>
      <c r="Z3256" s="308">
        <v>236</v>
      </c>
      <c r="AB3256" t="str">
        <f>IF(Table1[[#This Row],[TIPO2]]="costo", VLOOKUP(Table1[[#This Row],[PARTIDA PRESUPUESTAL]],'Cost Report'!G:G,1,0),"Balance")</f>
        <v>2494-003</v>
      </c>
      <c r="AC3256" s="118"/>
      <c r="AD3256" s="159">
        <f>+Table1[[#This Row],[SUBTOTAL]]+Table1[[#This Row],[IVA]]-Table1[[#This Row],[RET IVA]]-Table1[[#This Row],[RET ISR]]-Table1[[#This Row],[TOTAL]]</f>
        <v>0</v>
      </c>
      <c r="AE3256" s="152"/>
      <c r="AF3256" s="153"/>
      <c r="AG3256" s="126" t="s">
        <v>3420</v>
      </c>
      <c r="AK3256" s="306" t="str">
        <f>IF(ISNUMBER(Table1[[#This Row],[FECHA DE RECIBIDO]]), Table1[[#This Row],[FECHA DE RECIBIDO]]-DATE(2023,8,30), "")</f>
        <v/>
      </c>
    </row>
    <row r="3257" spans="1:37" ht="15" customHeight="1">
      <c r="A3257" s="150" t="s">
        <v>4164</v>
      </c>
      <c r="B3257" s="151">
        <v>1163</v>
      </c>
      <c r="C3257" s="126" t="s">
        <v>1505</v>
      </c>
      <c r="D3257">
        <v>2212</v>
      </c>
      <c r="E3257" s="126" t="s">
        <v>2008</v>
      </c>
      <c r="F3257" s="122" t="s">
        <v>1607</v>
      </c>
      <c r="G3257" s="122" t="s">
        <v>134</v>
      </c>
      <c r="H3257">
        <v>100</v>
      </c>
      <c r="I3257" s="122" t="s">
        <v>1546</v>
      </c>
      <c r="J3257" s="307" t="s">
        <v>214</v>
      </c>
      <c r="K3257" s="127" t="s">
        <v>4112</v>
      </c>
      <c r="L3257" s="151" t="s">
        <v>1579</v>
      </c>
      <c r="M3257">
        <v>135</v>
      </c>
      <c r="N3257" s="123">
        <v>17</v>
      </c>
      <c r="O3257">
        <v>2124</v>
      </c>
      <c r="P3257" s="132" t="s">
        <v>77</v>
      </c>
      <c r="Q3257" s="131">
        <v>206.03</v>
      </c>
      <c r="R3257" s="131">
        <v>32.97</v>
      </c>
      <c r="S3257" s="131"/>
      <c r="T3257" s="155"/>
      <c r="U3257" s="131"/>
      <c r="V3257" s="131">
        <v>239</v>
      </c>
      <c r="W3257"/>
      <c r="X3257" s="151" t="s">
        <v>1644</v>
      </c>
      <c r="Y3257" s="135" t="s">
        <v>55</v>
      </c>
      <c r="Z3257" s="307">
        <v>236</v>
      </c>
      <c r="AB3257" t="str">
        <f>IF(Table1[[#This Row],[TIPO2]]="costo", VLOOKUP(Table1[[#This Row],[PARTIDA PRESUPUESTAL]],'Cost Report'!G:G,1,0),"Balance")</f>
        <v>2494-003</v>
      </c>
      <c r="AC3257" s="118"/>
      <c r="AD3257" s="159">
        <f>+Table1[[#This Row],[SUBTOTAL]]+Table1[[#This Row],[IVA]]-Table1[[#This Row],[RET IVA]]-Table1[[#This Row],[RET ISR]]-Table1[[#This Row],[TOTAL]]</f>
        <v>0</v>
      </c>
      <c r="AE3257" s="150"/>
      <c r="AF3257" s="151"/>
      <c r="AG3257" s="126" t="s">
        <v>3420</v>
      </c>
      <c r="AK3257" s="306" t="str">
        <f>IF(ISNUMBER(Table1[[#This Row],[FECHA DE RECIBIDO]]), Table1[[#This Row],[FECHA DE RECIBIDO]]-DATE(2023,8,30), "")</f>
        <v/>
      </c>
    </row>
    <row r="3258" spans="1:37" ht="15" customHeight="1">
      <c r="A3258" s="152" t="s">
        <v>4164</v>
      </c>
      <c r="B3258" s="153">
        <v>1163</v>
      </c>
      <c r="C3258" s="126" t="s">
        <v>1505</v>
      </c>
      <c r="D3258">
        <v>2213</v>
      </c>
      <c r="E3258" s="126" t="s">
        <v>2008</v>
      </c>
      <c r="F3258" s="125" t="s">
        <v>1607</v>
      </c>
      <c r="G3258" s="125" t="s">
        <v>134</v>
      </c>
      <c r="H3258">
        <v>100</v>
      </c>
      <c r="I3258" s="125" t="s">
        <v>1546</v>
      </c>
      <c r="J3258" s="308" t="s">
        <v>214</v>
      </c>
      <c r="K3258" s="127" t="s">
        <v>4112</v>
      </c>
      <c r="L3258" s="153" t="s">
        <v>1579</v>
      </c>
      <c r="M3258">
        <v>135</v>
      </c>
      <c r="N3258" s="123">
        <v>17</v>
      </c>
      <c r="O3258">
        <v>2125</v>
      </c>
      <c r="P3258" s="132" t="s">
        <v>77</v>
      </c>
      <c r="Q3258" s="132">
        <v>515.52</v>
      </c>
      <c r="R3258" s="132">
        <v>82.48</v>
      </c>
      <c r="S3258" s="132"/>
      <c r="T3258" s="156"/>
      <c r="U3258" s="132"/>
      <c r="V3258" s="132">
        <v>598</v>
      </c>
      <c r="W3258"/>
      <c r="X3258" s="153" t="s">
        <v>1644</v>
      </c>
      <c r="Y3258" s="124" t="s">
        <v>55</v>
      </c>
      <c r="Z3258" s="308">
        <v>236</v>
      </c>
      <c r="AB3258" t="str">
        <f>IF(Table1[[#This Row],[TIPO2]]="costo", VLOOKUP(Table1[[#This Row],[PARTIDA PRESUPUESTAL]],'Cost Report'!G:G,1,0),"Balance")</f>
        <v>2494-003</v>
      </c>
      <c r="AC3258" s="118"/>
      <c r="AD3258" s="159">
        <f>+Table1[[#This Row],[SUBTOTAL]]+Table1[[#This Row],[IVA]]-Table1[[#This Row],[RET IVA]]-Table1[[#This Row],[RET ISR]]-Table1[[#This Row],[TOTAL]]</f>
        <v>0</v>
      </c>
      <c r="AE3258" s="152"/>
      <c r="AF3258" s="153"/>
      <c r="AG3258" s="126" t="s">
        <v>3420</v>
      </c>
      <c r="AK3258" s="306" t="str">
        <f>IF(ISNUMBER(Table1[[#This Row],[FECHA DE RECIBIDO]]), Table1[[#This Row],[FECHA DE RECIBIDO]]-DATE(2023,8,30), "")</f>
        <v/>
      </c>
    </row>
    <row r="3259" spans="1:37" ht="15" customHeight="1">
      <c r="A3259" s="150" t="s">
        <v>4165</v>
      </c>
      <c r="B3259" s="151">
        <v>1164</v>
      </c>
      <c r="C3259" s="126" t="s">
        <v>2470</v>
      </c>
      <c r="D3259">
        <v>2214</v>
      </c>
      <c r="E3259" s="126" t="s">
        <v>4005</v>
      </c>
      <c r="F3259" s="122" t="s">
        <v>1607</v>
      </c>
      <c r="G3259" s="122" t="s">
        <v>134</v>
      </c>
      <c r="H3259">
        <v>607</v>
      </c>
      <c r="I3259" s="122" t="s">
        <v>1546</v>
      </c>
      <c r="J3259" s="307" t="s">
        <v>214</v>
      </c>
      <c r="K3259" s="127" t="s">
        <v>4112</v>
      </c>
      <c r="L3259" s="151" t="s">
        <v>1579</v>
      </c>
      <c r="M3259">
        <v>861</v>
      </c>
      <c r="N3259" s="123">
        <v>17</v>
      </c>
      <c r="O3259">
        <v>2126</v>
      </c>
      <c r="P3259" s="132" t="s">
        <v>77</v>
      </c>
      <c r="Q3259" s="131">
        <v>3396.25</v>
      </c>
      <c r="R3259" s="131">
        <v>543.71</v>
      </c>
      <c r="S3259" s="131"/>
      <c r="T3259" s="155"/>
      <c r="U3259" s="131"/>
      <c r="V3259" s="131">
        <v>3939.96</v>
      </c>
      <c r="W3259"/>
      <c r="X3259" s="151" t="s">
        <v>1644</v>
      </c>
      <c r="Y3259" s="135" t="s">
        <v>55</v>
      </c>
      <c r="Z3259" s="307">
        <v>216</v>
      </c>
      <c r="AB3259" t="str">
        <f>IF(Table1[[#This Row],[TIPO2]]="costo", VLOOKUP(Table1[[#This Row],[PARTIDA PRESUPUESTAL]],'Cost Report'!G:G,1,0),"Balance")</f>
        <v>2394-013</v>
      </c>
      <c r="AC3259" s="118"/>
      <c r="AD3259" s="159">
        <f>+Table1[[#This Row],[SUBTOTAL]]+Table1[[#This Row],[IVA]]-Table1[[#This Row],[RET IVA]]-Table1[[#This Row],[RET ISR]]-Table1[[#This Row],[TOTAL]]</f>
        <v>0</v>
      </c>
      <c r="AE3259" s="150"/>
      <c r="AF3259" s="151"/>
      <c r="AG3259" s="126" t="s">
        <v>3420</v>
      </c>
      <c r="AK3259" s="306" t="str">
        <f>IF(ISNUMBER(Table1[[#This Row],[FECHA DE RECIBIDO]]), Table1[[#This Row],[FECHA DE RECIBIDO]]-DATE(2023,8,30), "")</f>
        <v/>
      </c>
    </row>
    <row r="3260" spans="1:37" ht="15" customHeight="1">
      <c r="A3260" s="152" t="s">
        <v>4165</v>
      </c>
      <c r="B3260" s="153">
        <v>1164</v>
      </c>
      <c r="C3260" s="126" t="s">
        <v>610</v>
      </c>
      <c r="D3260">
        <v>2215</v>
      </c>
      <c r="E3260" s="126" t="s">
        <v>4190</v>
      </c>
      <c r="F3260" s="125" t="s">
        <v>1589</v>
      </c>
      <c r="G3260" s="125" t="s">
        <v>129</v>
      </c>
      <c r="H3260">
        <v>608</v>
      </c>
      <c r="I3260" s="125" t="s">
        <v>1546</v>
      </c>
      <c r="J3260" s="308" t="s">
        <v>214</v>
      </c>
      <c r="K3260" s="127" t="s">
        <v>4112</v>
      </c>
      <c r="L3260" s="153" t="s">
        <v>1579</v>
      </c>
      <c r="M3260">
        <v>862</v>
      </c>
      <c r="N3260" s="123">
        <v>17</v>
      </c>
      <c r="O3260">
        <v>2127</v>
      </c>
      <c r="P3260" s="132" t="s">
        <v>77</v>
      </c>
      <c r="Q3260" s="132">
        <v>3594.83</v>
      </c>
      <c r="R3260" s="132">
        <v>575.16999999999996</v>
      </c>
      <c r="S3260" s="132"/>
      <c r="T3260" s="156"/>
      <c r="U3260" s="132"/>
      <c r="V3260" s="132">
        <v>4170</v>
      </c>
      <c r="W3260"/>
      <c r="X3260" s="153" t="s">
        <v>1644</v>
      </c>
      <c r="Y3260" s="124" t="s">
        <v>55</v>
      </c>
      <c r="Z3260" s="308">
        <v>229</v>
      </c>
      <c r="AB3260" t="str">
        <f>IF(Table1[[#This Row],[TIPO2]]="costo", VLOOKUP(Table1[[#This Row],[PARTIDA PRESUPUESTAL]],'Cost Report'!G:G,1,0),"Balance")</f>
        <v>2485-003</v>
      </c>
      <c r="AC3260" s="118"/>
      <c r="AD3260" s="159">
        <f>+Table1[[#This Row],[SUBTOTAL]]+Table1[[#This Row],[IVA]]-Table1[[#This Row],[RET IVA]]-Table1[[#This Row],[RET ISR]]-Table1[[#This Row],[TOTAL]]</f>
        <v>0</v>
      </c>
      <c r="AE3260" s="152"/>
      <c r="AF3260" s="153"/>
      <c r="AG3260" s="126" t="s">
        <v>3420</v>
      </c>
      <c r="AK3260" s="306" t="str">
        <f>IF(ISNUMBER(Table1[[#This Row],[FECHA DE RECIBIDO]]), Table1[[#This Row],[FECHA DE RECIBIDO]]-DATE(2023,8,30), "")</f>
        <v/>
      </c>
    </row>
    <row r="3261" spans="1:37" ht="15" customHeight="1">
      <c r="A3261" s="150" t="s">
        <v>4165</v>
      </c>
      <c r="B3261" s="151">
        <v>1164</v>
      </c>
      <c r="C3261" s="126" t="s">
        <v>1505</v>
      </c>
      <c r="D3261">
        <v>2216</v>
      </c>
      <c r="E3261" s="126" t="s">
        <v>3356</v>
      </c>
      <c r="F3261" s="122" t="s">
        <v>1607</v>
      </c>
      <c r="G3261" s="122" t="s">
        <v>134</v>
      </c>
      <c r="H3261">
        <v>609</v>
      </c>
      <c r="I3261" s="122" t="s">
        <v>1546</v>
      </c>
      <c r="J3261" s="307" t="s">
        <v>214</v>
      </c>
      <c r="K3261" s="127" t="s">
        <v>4112</v>
      </c>
      <c r="L3261" s="151" t="s">
        <v>1579</v>
      </c>
      <c r="M3261">
        <v>863</v>
      </c>
      <c r="N3261" s="123">
        <v>17</v>
      </c>
      <c r="O3261">
        <v>2128</v>
      </c>
      <c r="P3261" s="132" t="s">
        <v>77</v>
      </c>
      <c r="Q3261" s="131">
        <v>256.89999999999998</v>
      </c>
      <c r="R3261" s="131">
        <v>41</v>
      </c>
      <c r="S3261" s="131"/>
      <c r="T3261" s="155"/>
      <c r="U3261" s="131"/>
      <c r="V3261" s="131">
        <v>297.89999999999998</v>
      </c>
      <c r="W3261"/>
      <c r="X3261" s="151" t="s">
        <v>1644</v>
      </c>
      <c r="Y3261" s="135" t="s">
        <v>55</v>
      </c>
      <c r="Z3261" s="307">
        <v>231</v>
      </c>
      <c r="AB3261" t="str">
        <f>IF(Table1[[#This Row],[TIPO2]]="costo", VLOOKUP(Table1[[#This Row],[PARTIDA PRESUPUESTAL]],'Cost Report'!G:G,1,0),"Balance")</f>
        <v>2494-003</v>
      </c>
      <c r="AC3261" s="118"/>
      <c r="AD3261" s="159">
        <f>+Table1[[#This Row],[SUBTOTAL]]+Table1[[#This Row],[IVA]]-Table1[[#This Row],[RET IVA]]-Table1[[#This Row],[RET ISR]]-Table1[[#This Row],[TOTAL]]</f>
        <v>0</v>
      </c>
      <c r="AE3261" s="150"/>
      <c r="AF3261" s="151"/>
      <c r="AG3261" s="126" t="s">
        <v>3420</v>
      </c>
      <c r="AK3261" s="306" t="str">
        <f>IF(ISNUMBER(Table1[[#This Row],[FECHA DE RECIBIDO]]), Table1[[#This Row],[FECHA DE RECIBIDO]]-DATE(2023,8,30), "")</f>
        <v/>
      </c>
    </row>
    <row r="3262" spans="1:37" ht="15" customHeight="1">
      <c r="A3262" s="152" t="s">
        <v>4165</v>
      </c>
      <c r="B3262" s="153">
        <v>1164</v>
      </c>
      <c r="C3262" s="126" t="s">
        <v>1511</v>
      </c>
      <c r="D3262">
        <v>2217</v>
      </c>
      <c r="E3262" s="126" t="s">
        <v>3356</v>
      </c>
      <c r="F3262" s="125" t="s">
        <v>1607</v>
      </c>
      <c r="G3262" s="125" t="s">
        <v>134</v>
      </c>
      <c r="H3262">
        <v>177</v>
      </c>
      <c r="I3262" s="125" t="s">
        <v>1546</v>
      </c>
      <c r="J3262" s="308" t="s">
        <v>214</v>
      </c>
      <c r="K3262" s="127" t="s">
        <v>4112</v>
      </c>
      <c r="L3262" s="153" t="s">
        <v>1579</v>
      </c>
      <c r="M3262">
        <v>238</v>
      </c>
      <c r="N3262" s="123">
        <v>17</v>
      </c>
      <c r="O3262">
        <v>2129</v>
      </c>
      <c r="P3262" s="132" t="s">
        <v>77</v>
      </c>
      <c r="Q3262" s="132">
        <v>1824.73</v>
      </c>
      <c r="R3262" s="132">
        <v>291.95999999999998</v>
      </c>
      <c r="S3262" s="132"/>
      <c r="T3262" s="156"/>
      <c r="U3262" s="132"/>
      <c r="V3262" s="132">
        <v>2116.69</v>
      </c>
      <c r="W3262"/>
      <c r="X3262" s="153" t="s">
        <v>1644</v>
      </c>
      <c r="Y3262" s="124" t="s">
        <v>55</v>
      </c>
      <c r="Z3262" s="308">
        <v>231</v>
      </c>
      <c r="AB3262" t="str">
        <f>IF(Table1[[#This Row],[TIPO2]]="costo", VLOOKUP(Table1[[#This Row],[PARTIDA PRESUPUESTAL]],'Cost Report'!G:G,1,0),"Balance")</f>
        <v>2494-015</v>
      </c>
      <c r="AC3262" s="118"/>
      <c r="AD3262" s="159">
        <f>+Table1[[#This Row],[SUBTOTAL]]+Table1[[#This Row],[IVA]]-Table1[[#This Row],[RET IVA]]-Table1[[#This Row],[RET ISR]]-Table1[[#This Row],[TOTAL]]</f>
        <v>0</v>
      </c>
      <c r="AE3262" s="152"/>
      <c r="AF3262" s="153"/>
      <c r="AG3262" s="126" t="s">
        <v>3420</v>
      </c>
      <c r="AK3262" s="306" t="str">
        <f>IF(ISNUMBER(Table1[[#This Row],[FECHA DE RECIBIDO]]), Table1[[#This Row],[FECHA DE RECIBIDO]]-DATE(2023,8,30), "")</f>
        <v/>
      </c>
    </row>
    <row r="3263" spans="1:37" ht="15" customHeight="1">
      <c r="A3263" s="150" t="s">
        <v>4165</v>
      </c>
      <c r="B3263" s="151">
        <v>1164</v>
      </c>
      <c r="C3263" s="126" t="s">
        <v>2476</v>
      </c>
      <c r="D3263">
        <v>2218</v>
      </c>
      <c r="E3263" s="126" t="s">
        <v>3267</v>
      </c>
      <c r="F3263" s="122" t="s">
        <v>1607</v>
      </c>
      <c r="G3263" s="122" t="s">
        <v>134</v>
      </c>
      <c r="H3263">
        <v>610</v>
      </c>
      <c r="I3263" s="122" t="s">
        <v>1546</v>
      </c>
      <c r="J3263" s="307" t="s">
        <v>214</v>
      </c>
      <c r="K3263" s="127" t="s">
        <v>4112</v>
      </c>
      <c r="L3263" s="151" t="s">
        <v>1579</v>
      </c>
      <c r="M3263">
        <v>864</v>
      </c>
      <c r="N3263" s="123">
        <v>17</v>
      </c>
      <c r="O3263">
        <v>2130</v>
      </c>
      <c r="P3263" s="132" t="s">
        <v>77</v>
      </c>
      <c r="Q3263" s="131">
        <v>1480.86</v>
      </c>
      <c r="R3263" s="131">
        <v>236.94</v>
      </c>
      <c r="S3263" s="131"/>
      <c r="T3263" s="155"/>
      <c r="U3263" s="131"/>
      <c r="V3263" s="131">
        <v>1717.8</v>
      </c>
      <c r="W3263"/>
      <c r="X3263" s="151" t="s">
        <v>1644</v>
      </c>
      <c r="Y3263" s="135" t="s">
        <v>55</v>
      </c>
      <c r="Z3263" s="307">
        <v>232</v>
      </c>
      <c r="AB3263" t="str">
        <f>IF(Table1[[#This Row],[TIPO2]]="costo", VLOOKUP(Table1[[#This Row],[PARTIDA PRESUPUESTAL]],'Cost Report'!G:G,1,0),"Balance")</f>
        <v>2394-025</v>
      </c>
      <c r="AC3263" s="118"/>
      <c r="AD3263" s="159">
        <f>+Table1[[#This Row],[SUBTOTAL]]+Table1[[#This Row],[IVA]]-Table1[[#This Row],[RET IVA]]-Table1[[#This Row],[RET ISR]]-Table1[[#This Row],[TOTAL]]</f>
        <v>0</v>
      </c>
      <c r="AE3263" s="150"/>
      <c r="AF3263" s="151"/>
      <c r="AG3263" s="126" t="s">
        <v>3420</v>
      </c>
      <c r="AK3263" s="306" t="str">
        <f>IF(ISNUMBER(Table1[[#This Row],[FECHA DE RECIBIDO]]), Table1[[#This Row],[FECHA DE RECIBIDO]]-DATE(2023,8,30), "")</f>
        <v/>
      </c>
    </row>
    <row r="3264" spans="1:37" ht="15" customHeight="1">
      <c r="A3264" s="152" t="s">
        <v>4165</v>
      </c>
      <c r="B3264" s="153">
        <v>1164</v>
      </c>
      <c r="C3264" s="126" t="s">
        <v>2546</v>
      </c>
      <c r="D3264">
        <v>2219</v>
      </c>
      <c r="E3264" s="126" t="s">
        <v>1615</v>
      </c>
      <c r="F3264" s="125" t="s">
        <v>1607</v>
      </c>
      <c r="G3264" s="125" t="s">
        <v>134</v>
      </c>
      <c r="H3264">
        <v>274</v>
      </c>
      <c r="I3264" s="125" t="s">
        <v>1546</v>
      </c>
      <c r="J3264" s="308" t="s">
        <v>214</v>
      </c>
      <c r="K3264" s="127" t="s">
        <v>4112</v>
      </c>
      <c r="L3264" s="153" t="s">
        <v>1579</v>
      </c>
      <c r="M3264">
        <v>365</v>
      </c>
      <c r="N3264" s="123">
        <v>17</v>
      </c>
      <c r="O3264">
        <v>2131</v>
      </c>
      <c r="P3264" s="132" t="s">
        <v>77</v>
      </c>
      <c r="Q3264" s="132">
        <v>1275.8599999999999</v>
      </c>
      <c r="R3264" s="132">
        <v>204.14</v>
      </c>
      <c r="S3264" s="132"/>
      <c r="T3264" s="156"/>
      <c r="U3264" s="132"/>
      <c r="V3264" s="132">
        <v>1480</v>
      </c>
      <c r="W3264"/>
      <c r="X3264" s="153" t="s">
        <v>1644</v>
      </c>
      <c r="Y3264" s="124" t="s">
        <v>55</v>
      </c>
      <c r="Z3264" s="308">
        <v>234</v>
      </c>
      <c r="AB3264" t="str">
        <f>IF(Table1[[#This Row],[TIPO2]]="costo", VLOOKUP(Table1[[#This Row],[PARTIDA PRESUPUESTAL]],'Cost Report'!G:G,1,0),"Balance")</f>
        <v>2494-071</v>
      </c>
      <c r="AC3264" s="118"/>
      <c r="AD3264" s="159">
        <f>+Table1[[#This Row],[SUBTOTAL]]+Table1[[#This Row],[IVA]]-Table1[[#This Row],[RET IVA]]-Table1[[#This Row],[RET ISR]]-Table1[[#This Row],[TOTAL]]</f>
        <v>0</v>
      </c>
      <c r="AE3264" s="152"/>
      <c r="AF3264" s="153"/>
      <c r="AG3264" s="126" t="s">
        <v>3420</v>
      </c>
      <c r="AK3264" s="306" t="str">
        <f>IF(ISNUMBER(Table1[[#This Row],[FECHA DE RECIBIDO]]), Table1[[#This Row],[FECHA DE RECIBIDO]]-DATE(2023,8,30), "")</f>
        <v/>
      </c>
    </row>
    <row r="3265" spans="1:37" ht="15" customHeight="1">
      <c r="A3265" s="150" t="s">
        <v>4165</v>
      </c>
      <c r="B3265" s="151">
        <v>1164</v>
      </c>
      <c r="C3265" s="126" t="s">
        <v>1507</v>
      </c>
      <c r="D3265">
        <v>2220</v>
      </c>
      <c r="E3265" s="126" t="s">
        <v>1615</v>
      </c>
      <c r="F3265" s="122" t="s">
        <v>1607</v>
      </c>
      <c r="G3265" s="122" t="s">
        <v>134</v>
      </c>
      <c r="H3265">
        <v>274</v>
      </c>
      <c r="I3265" s="122" t="s">
        <v>1546</v>
      </c>
      <c r="J3265" s="307" t="s">
        <v>214</v>
      </c>
      <c r="K3265" s="127" t="s">
        <v>4112</v>
      </c>
      <c r="L3265" s="151" t="s">
        <v>1579</v>
      </c>
      <c r="M3265">
        <v>365</v>
      </c>
      <c r="N3265" s="123">
        <v>17</v>
      </c>
      <c r="O3265">
        <v>2132</v>
      </c>
      <c r="P3265" s="132" t="s">
        <v>77</v>
      </c>
      <c r="Q3265" s="131">
        <v>2429.31</v>
      </c>
      <c r="R3265" s="131">
        <v>388.69</v>
      </c>
      <c r="S3265" s="131"/>
      <c r="T3265" s="155"/>
      <c r="U3265" s="131"/>
      <c r="V3265" s="131">
        <v>2818</v>
      </c>
      <c r="W3265"/>
      <c r="X3265" s="151" t="s">
        <v>1644</v>
      </c>
      <c r="Y3265" s="135" t="s">
        <v>55</v>
      </c>
      <c r="Z3265" s="307">
        <v>234</v>
      </c>
      <c r="AB3265" t="str">
        <f>IF(Table1[[#This Row],[TIPO2]]="costo", VLOOKUP(Table1[[#This Row],[PARTIDA PRESUPUESTAL]],'Cost Report'!G:G,1,0),"Balance")</f>
        <v>2494-007</v>
      </c>
      <c r="AC3265" s="118"/>
      <c r="AD3265" s="159">
        <f>+Table1[[#This Row],[SUBTOTAL]]+Table1[[#This Row],[IVA]]-Table1[[#This Row],[RET IVA]]-Table1[[#This Row],[RET ISR]]-Table1[[#This Row],[TOTAL]]</f>
        <v>0</v>
      </c>
      <c r="AE3265" s="150"/>
      <c r="AF3265" s="151"/>
      <c r="AG3265" s="126" t="s">
        <v>3420</v>
      </c>
      <c r="AK3265" s="306" t="str">
        <f>IF(ISNUMBER(Table1[[#This Row],[FECHA DE RECIBIDO]]), Table1[[#This Row],[FECHA DE RECIBIDO]]-DATE(2023,8,30), "")</f>
        <v/>
      </c>
    </row>
    <row r="3266" spans="1:37" ht="15" customHeight="1">
      <c r="A3266" s="152" t="s">
        <v>4165</v>
      </c>
      <c r="B3266" s="153">
        <v>1164</v>
      </c>
      <c r="C3266" s="126" t="s">
        <v>1507</v>
      </c>
      <c r="D3266">
        <v>2221</v>
      </c>
      <c r="E3266" s="126" t="s">
        <v>1603</v>
      </c>
      <c r="F3266" s="125" t="s">
        <v>1607</v>
      </c>
      <c r="G3266" s="125" t="s">
        <v>134</v>
      </c>
      <c r="H3266">
        <v>274</v>
      </c>
      <c r="I3266" s="125" t="s">
        <v>1546</v>
      </c>
      <c r="J3266" s="308" t="s">
        <v>214</v>
      </c>
      <c r="K3266" s="127" t="s">
        <v>4112</v>
      </c>
      <c r="L3266" s="153" t="s">
        <v>1579</v>
      </c>
      <c r="M3266">
        <v>365</v>
      </c>
      <c r="N3266" s="123">
        <v>17</v>
      </c>
      <c r="O3266">
        <v>2133</v>
      </c>
      <c r="P3266" s="132" t="s">
        <v>77</v>
      </c>
      <c r="Q3266" s="132">
        <v>462.07</v>
      </c>
      <c r="R3266" s="132">
        <v>73.930000000000007</v>
      </c>
      <c r="S3266" s="132"/>
      <c r="T3266" s="156"/>
      <c r="U3266" s="132"/>
      <c r="V3266" s="132">
        <v>536</v>
      </c>
      <c r="W3266"/>
      <c r="X3266" s="153" t="s">
        <v>1644</v>
      </c>
      <c r="Y3266" s="124" t="s">
        <v>55</v>
      </c>
      <c r="Z3266" s="308">
        <v>235</v>
      </c>
      <c r="AB3266" t="str">
        <f>IF(Table1[[#This Row],[TIPO2]]="costo", VLOOKUP(Table1[[#This Row],[PARTIDA PRESUPUESTAL]],'Cost Report'!G:G,1,0),"Balance")</f>
        <v>2494-007</v>
      </c>
      <c r="AC3266" s="118"/>
      <c r="AD3266" s="159">
        <f>+Table1[[#This Row],[SUBTOTAL]]+Table1[[#This Row],[IVA]]-Table1[[#This Row],[RET IVA]]-Table1[[#This Row],[RET ISR]]-Table1[[#This Row],[TOTAL]]</f>
        <v>0</v>
      </c>
      <c r="AE3266" s="152"/>
      <c r="AF3266" s="153"/>
      <c r="AG3266" s="126" t="s">
        <v>3420</v>
      </c>
      <c r="AK3266" s="306" t="str">
        <f>IF(ISNUMBER(Table1[[#This Row],[FECHA DE RECIBIDO]]), Table1[[#This Row],[FECHA DE RECIBIDO]]-DATE(2023,8,30), "")</f>
        <v/>
      </c>
    </row>
    <row r="3267" spans="1:37" ht="15" customHeight="1">
      <c r="A3267" s="150" t="s">
        <v>4165</v>
      </c>
      <c r="B3267" s="151">
        <v>1164</v>
      </c>
      <c r="C3267" s="126" t="s">
        <v>1507</v>
      </c>
      <c r="D3267">
        <v>2222</v>
      </c>
      <c r="E3267" s="126" t="s">
        <v>1603</v>
      </c>
      <c r="F3267" s="122" t="s">
        <v>1607</v>
      </c>
      <c r="G3267" s="122" t="s">
        <v>134</v>
      </c>
      <c r="H3267">
        <v>99</v>
      </c>
      <c r="I3267" s="122" t="s">
        <v>1546</v>
      </c>
      <c r="J3267" s="307" t="s">
        <v>214</v>
      </c>
      <c r="K3267" s="127" t="s">
        <v>4112</v>
      </c>
      <c r="L3267" s="151" t="s">
        <v>1579</v>
      </c>
      <c r="M3267">
        <v>134</v>
      </c>
      <c r="N3267" s="123">
        <v>17</v>
      </c>
      <c r="O3267">
        <v>2134</v>
      </c>
      <c r="P3267" s="132" t="s">
        <v>77</v>
      </c>
      <c r="Q3267" s="131">
        <v>619.83000000000004</v>
      </c>
      <c r="R3267" s="131">
        <v>99.17</v>
      </c>
      <c r="S3267" s="131"/>
      <c r="T3267" s="155"/>
      <c r="U3267" s="131"/>
      <c r="V3267" s="131">
        <v>719</v>
      </c>
      <c r="W3267"/>
      <c r="X3267" s="151" t="s">
        <v>1644</v>
      </c>
      <c r="Y3267" s="135" t="s">
        <v>55</v>
      </c>
      <c r="Z3267" s="307">
        <v>236</v>
      </c>
      <c r="AB3267" t="str">
        <f>IF(Table1[[#This Row],[TIPO2]]="costo", VLOOKUP(Table1[[#This Row],[PARTIDA PRESUPUESTAL]],'Cost Report'!G:G,1,0),"Balance")</f>
        <v>2494-007</v>
      </c>
      <c r="AC3267" s="118"/>
      <c r="AD3267" s="159">
        <f>+Table1[[#This Row],[SUBTOTAL]]+Table1[[#This Row],[IVA]]-Table1[[#This Row],[RET IVA]]-Table1[[#This Row],[RET ISR]]-Table1[[#This Row],[TOTAL]]</f>
        <v>0</v>
      </c>
      <c r="AE3267" s="150"/>
      <c r="AF3267" s="151"/>
      <c r="AG3267" s="126" t="s">
        <v>3420</v>
      </c>
      <c r="AK3267" s="306" t="str">
        <f>IF(ISNUMBER(Table1[[#This Row],[FECHA DE RECIBIDO]]), Table1[[#This Row],[FECHA DE RECIBIDO]]-DATE(2023,8,30), "")</f>
        <v/>
      </c>
    </row>
    <row r="3268" spans="1:37" ht="15" customHeight="1">
      <c r="A3268" s="152" t="s">
        <v>4165</v>
      </c>
      <c r="B3268" s="153">
        <v>1164</v>
      </c>
      <c r="C3268" s="126" t="s">
        <v>1507</v>
      </c>
      <c r="D3268">
        <v>2223</v>
      </c>
      <c r="E3268" s="126" t="s">
        <v>1603</v>
      </c>
      <c r="F3268" s="125" t="s">
        <v>1607</v>
      </c>
      <c r="G3268" s="125" t="s">
        <v>134</v>
      </c>
      <c r="H3268">
        <v>274</v>
      </c>
      <c r="I3268" s="125" t="s">
        <v>1546</v>
      </c>
      <c r="J3268" s="308" t="s">
        <v>214</v>
      </c>
      <c r="K3268" s="127" t="s">
        <v>4112</v>
      </c>
      <c r="L3268" s="153" t="s">
        <v>1579</v>
      </c>
      <c r="M3268">
        <v>365</v>
      </c>
      <c r="N3268" s="123">
        <v>17</v>
      </c>
      <c r="O3268">
        <v>2135</v>
      </c>
      <c r="P3268" s="132" t="s">
        <v>77</v>
      </c>
      <c r="Q3268" s="132">
        <v>61.64</v>
      </c>
      <c r="R3268" s="132">
        <v>9.86</v>
      </c>
      <c r="S3268" s="132"/>
      <c r="T3268" s="156"/>
      <c r="U3268" s="132"/>
      <c r="V3268" s="132">
        <v>71.5</v>
      </c>
      <c r="W3268"/>
      <c r="X3268" s="153" t="s">
        <v>1644</v>
      </c>
      <c r="Y3268" s="124" t="s">
        <v>55</v>
      </c>
      <c r="Z3268" s="308">
        <v>235</v>
      </c>
      <c r="AB3268" t="str">
        <f>IF(Table1[[#This Row],[TIPO2]]="costo", VLOOKUP(Table1[[#This Row],[PARTIDA PRESUPUESTAL]],'Cost Report'!G:G,1,0),"Balance")</f>
        <v>2494-007</v>
      </c>
      <c r="AC3268" s="118"/>
      <c r="AD3268" s="159">
        <f>+Table1[[#This Row],[SUBTOTAL]]+Table1[[#This Row],[IVA]]-Table1[[#This Row],[RET IVA]]-Table1[[#This Row],[RET ISR]]-Table1[[#This Row],[TOTAL]]</f>
        <v>0</v>
      </c>
      <c r="AE3268" s="152"/>
      <c r="AF3268" s="153"/>
      <c r="AG3268" s="126" t="s">
        <v>3420</v>
      </c>
      <c r="AK3268" s="306" t="str">
        <f>IF(ISNUMBER(Table1[[#This Row],[FECHA DE RECIBIDO]]), Table1[[#This Row],[FECHA DE RECIBIDO]]-DATE(2023,8,30), "")</f>
        <v/>
      </c>
    </row>
    <row r="3269" spans="1:37" ht="15" customHeight="1">
      <c r="A3269" s="150" t="s">
        <v>4165</v>
      </c>
      <c r="B3269" s="151">
        <v>1164</v>
      </c>
      <c r="C3269" s="126" t="s">
        <v>2455</v>
      </c>
      <c r="D3269">
        <v>2224</v>
      </c>
      <c r="E3269" s="126" t="s">
        <v>1603</v>
      </c>
      <c r="F3269" s="122" t="s">
        <v>1607</v>
      </c>
      <c r="G3269" s="122" t="s">
        <v>134</v>
      </c>
      <c r="H3269">
        <v>99</v>
      </c>
      <c r="I3269" s="122" t="s">
        <v>1546</v>
      </c>
      <c r="J3269" s="307" t="s">
        <v>214</v>
      </c>
      <c r="K3269" s="127" t="s">
        <v>4112</v>
      </c>
      <c r="L3269" s="151" t="s">
        <v>1579</v>
      </c>
      <c r="M3269">
        <v>134</v>
      </c>
      <c r="N3269" s="123">
        <v>17</v>
      </c>
      <c r="O3269">
        <v>2136</v>
      </c>
      <c r="P3269" s="132" t="s">
        <v>77</v>
      </c>
      <c r="Q3269" s="131">
        <v>504.31</v>
      </c>
      <c r="R3269" s="131">
        <v>80.69</v>
      </c>
      <c r="S3269" s="131"/>
      <c r="T3269" s="155"/>
      <c r="U3269" s="131"/>
      <c r="V3269" s="131">
        <v>585</v>
      </c>
      <c r="W3269"/>
      <c r="X3269" s="151" t="s">
        <v>1644</v>
      </c>
      <c r="Y3269" s="135" t="s">
        <v>55</v>
      </c>
      <c r="Z3269" s="307">
        <v>237</v>
      </c>
      <c r="AB3269" t="str">
        <f>IF(Table1[[#This Row],[TIPO2]]="costo", VLOOKUP(Table1[[#This Row],[PARTIDA PRESUPUESTAL]],'Cost Report'!G:G,1,0),"Balance")</f>
        <v>2285-003</v>
      </c>
      <c r="AC3269" s="118"/>
      <c r="AD3269" s="159">
        <f>+Table1[[#This Row],[SUBTOTAL]]+Table1[[#This Row],[IVA]]-Table1[[#This Row],[RET IVA]]-Table1[[#This Row],[RET ISR]]-Table1[[#This Row],[TOTAL]]</f>
        <v>0</v>
      </c>
      <c r="AE3269" s="150"/>
      <c r="AF3269" s="151"/>
      <c r="AG3269" s="126" t="s">
        <v>3420</v>
      </c>
      <c r="AK3269" s="306" t="str">
        <f>IF(ISNUMBER(Table1[[#This Row],[FECHA DE RECIBIDO]]), Table1[[#This Row],[FECHA DE RECIBIDO]]-DATE(2023,8,30), "")</f>
        <v/>
      </c>
    </row>
    <row r="3270" spans="1:37" ht="15" customHeight="1">
      <c r="A3270" s="152" t="s">
        <v>4165</v>
      </c>
      <c r="B3270" s="153">
        <v>1164</v>
      </c>
      <c r="C3270" s="126" t="s">
        <v>2461</v>
      </c>
      <c r="D3270">
        <v>2225</v>
      </c>
      <c r="E3270" s="126" t="s">
        <v>1614</v>
      </c>
      <c r="F3270" s="125" t="s">
        <v>1602</v>
      </c>
      <c r="G3270" s="125" t="s">
        <v>1617</v>
      </c>
      <c r="H3270">
        <v>611</v>
      </c>
      <c r="I3270" s="125" t="s">
        <v>1546</v>
      </c>
      <c r="J3270" s="308" t="s">
        <v>214</v>
      </c>
      <c r="K3270" s="127" t="s">
        <v>4112</v>
      </c>
      <c r="L3270" s="153" t="s">
        <v>1579</v>
      </c>
      <c r="M3270">
        <v>865</v>
      </c>
      <c r="N3270" s="123">
        <v>17</v>
      </c>
      <c r="O3270">
        <v>2137</v>
      </c>
      <c r="P3270" s="132" t="s">
        <v>77</v>
      </c>
      <c r="Q3270" s="132">
        <v>625</v>
      </c>
      <c r="R3270" s="132">
        <v>100</v>
      </c>
      <c r="S3270" s="132"/>
      <c r="T3270" s="156"/>
      <c r="U3270" s="132"/>
      <c r="V3270" s="132">
        <v>725</v>
      </c>
      <c r="W3270"/>
      <c r="X3270" s="153" t="s">
        <v>1644</v>
      </c>
      <c r="Y3270" s="124" t="s">
        <v>55</v>
      </c>
      <c r="Z3270" s="308">
        <v>236</v>
      </c>
      <c r="AB3270" t="str">
        <f>IF(Table1[[#This Row],[TIPO2]]="costo", VLOOKUP(Table1[[#This Row],[PARTIDA PRESUPUESTAL]],'Cost Report'!G:G,1,0),"Balance")</f>
        <v>2385-003</v>
      </c>
      <c r="AC3270" s="118"/>
      <c r="AD3270" s="159">
        <f>+Table1[[#This Row],[SUBTOTAL]]+Table1[[#This Row],[IVA]]-Table1[[#This Row],[RET IVA]]-Table1[[#This Row],[RET ISR]]-Table1[[#This Row],[TOTAL]]</f>
        <v>0</v>
      </c>
      <c r="AE3270" s="152"/>
      <c r="AF3270" s="153"/>
      <c r="AG3270" s="126" t="s">
        <v>3420</v>
      </c>
      <c r="AK3270" s="306" t="str">
        <f>IF(ISNUMBER(Table1[[#This Row],[FECHA DE RECIBIDO]]), Table1[[#This Row],[FECHA DE RECIBIDO]]-DATE(2023,8,30), "")</f>
        <v/>
      </c>
    </row>
    <row r="3271" spans="1:37" ht="15" customHeight="1">
      <c r="A3271" s="150" t="s">
        <v>4165</v>
      </c>
      <c r="B3271" s="151">
        <v>1164</v>
      </c>
      <c r="C3271" s="126" t="s">
        <v>2461</v>
      </c>
      <c r="D3271">
        <v>2226</v>
      </c>
      <c r="E3271" s="126" t="s">
        <v>1605</v>
      </c>
      <c r="F3271" s="122" t="s">
        <v>1607</v>
      </c>
      <c r="G3271" s="122" t="s">
        <v>134</v>
      </c>
      <c r="H3271">
        <v>612</v>
      </c>
      <c r="I3271" s="122" t="s">
        <v>1546</v>
      </c>
      <c r="J3271" s="307" t="s">
        <v>214</v>
      </c>
      <c r="K3271" s="127" t="s">
        <v>4112</v>
      </c>
      <c r="L3271" s="151" t="s">
        <v>1579</v>
      </c>
      <c r="M3271">
        <v>866</v>
      </c>
      <c r="N3271" s="123">
        <v>17</v>
      </c>
      <c r="O3271">
        <v>2138</v>
      </c>
      <c r="P3271" s="132" t="s">
        <v>77</v>
      </c>
      <c r="Q3271" s="131">
        <v>834.08</v>
      </c>
      <c r="R3271" s="131">
        <v>133.44999999999999</v>
      </c>
      <c r="S3271" s="131"/>
      <c r="T3271" s="155"/>
      <c r="U3271" s="131"/>
      <c r="V3271" s="131">
        <v>967.53</v>
      </c>
      <c r="W3271"/>
      <c r="X3271" s="151" t="s">
        <v>1644</v>
      </c>
      <c r="Y3271" s="135" t="s">
        <v>55</v>
      </c>
      <c r="Z3271" s="307">
        <v>238</v>
      </c>
      <c r="AB3271" t="str">
        <f>IF(Table1[[#This Row],[TIPO2]]="costo", VLOOKUP(Table1[[#This Row],[PARTIDA PRESUPUESTAL]],'Cost Report'!G:G,1,0),"Balance")</f>
        <v>2385-003</v>
      </c>
      <c r="AC3271" s="118"/>
      <c r="AD3271" s="159">
        <f>+Table1[[#This Row],[SUBTOTAL]]+Table1[[#This Row],[IVA]]-Table1[[#This Row],[RET IVA]]-Table1[[#This Row],[RET ISR]]-Table1[[#This Row],[TOTAL]]</f>
        <v>0</v>
      </c>
      <c r="AE3271" s="150"/>
      <c r="AF3271" s="151"/>
      <c r="AG3271" s="126" t="s">
        <v>3420</v>
      </c>
      <c r="AK3271" s="306" t="str">
        <f>IF(ISNUMBER(Table1[[#This Row],[FECHA DE RECIBIDO]]), Table1[[#This Row],[FECHA DE RECIBIDO]]-DATE(2023,8,30), "")</f>
        <v/>
      </c>
    </row>
    <row r="3272" spans="1:37" ht="15" customHeight="1">
      <c r="A3272" s="152" t="s">
        <v>4165</v>
      </c>
      <c r="B3272" s="153">
        <v>1164</v>
      </c>
      <c r="C3272" s="126" t="s">
        <v>2500</v>
      </c>
      <c r="D3272">
        <v>2227</v>
      </c>
      <c r="E3272" s="126" t="s">
        <v>1603</v>
      </c>
      <c r="F3272" s="125" t="s">
        <v>1607</v>
      </c>
      <c r="G3272" s="125" t="s">
        <v>134</v>
      </c>
      <c r="H3272">
        <v>99</v>
      </c>
      <c r="I3272" s="125" t="s">
        <v>1546</v>
      </c>
      <c r="J3272" s="308" t="s">
        <v>214</v>
      </c>
      <c r="K3272" s="127" t="s">
        <v>4112</v>
      </c>
      <c r="L3272" s="153" t="s">
        <v>1579</v>
      </c>
      <c r="M3272">
        <v>134</v>
      </c>
      <c r="N3272" s="123">
        <v>17</v>
      </c>
      <c r="O3272">
        <v>2139</v>
      </c>
      <c r="P3272" s="132" t="s">
        <v>77</v>
      </c>
      <c r="Q3272" s="132">
        <v>455.17</v>
      </c>
      <c r="R3272" s="132">
        <v>72.83</v>
      </c>
      <c r="S3272" s="132"/>
      <c r="T3272" s="156"/>
      <c r="U3272" s="132"/>
      <c r="V3272" s="132">
        <v>528</v>
      </c>
      <c r="W3272"/>
      <c r="X3272" s="153" t="s">
        <v>1644</v>
      </c>
      <c r="Y3272" s="124" t="s">
        <v>55</v>
      </c>
      <c r="Z3272" s="308">
        <v>238</v>
      </c>
      <c r="AB3272" t="str">
        <f>IF(Table1[[#This Row],[TIPO2]]="costo", VLOOKUP(Table1[[#This Row],[PARTIDA PRESUPUESTAL]],'Cost Report'!G:G,1,0),"Balance")</f>
        <v>2394-073</v>
      </c>
      <c r="AC3272" s="118"/>
      <c r="AD3272" s="159">
        <f>+Table1[[#This Row],[SUBTOTAL]]+Table1[[#This Row],[IVA]]-Table1[[#This Row],[RET IVA]]-Table1[[#This Row],[RET ISR]]-Table1[[#This Row],[TOTAL]]</f>
        <v>0</v>
      </c>
      <c r="AE3272" s="152"/>
      <c r="AF3272" s="153"/>
      <c r="AG3272" s="126" t="s">
        <v>3420</v>
      </c>
      <c r="AK3272" s="306" t="str">
        <f>IF(ISNUMBER(Table1[[#This Row],[FECHA DE RECIBIDO]]), Table1[[#This Row],[FECHA DE RECIBIDO]]-DATE(2023,8,30), "")</f>
        <v/>
      </c>
    </row>
    <row r="3273" spans="1:37" ht="15" customHeight="1">
      <c r="A3273" s="150" t="s">
        <v>4165</v>
      </c>
      <c r="B3273" s="151">
        <v>1164</v>
      </c>
      <c r="C3273" s="126" t="s">
        <v>2461</v>
      </c>
      <c r="D3273">
        <v>2228</v>
      </c>
      <c r="E3273" s="126" t="s">
        <v>1603</v>
      </c>
      <c r="F3273" s="122" t="s">
        <v>1607</v>
      </c>
      <c r="G3273" s="122" t="s">
        <v>134</v>
      </c>
      <c r="H3273">
        <v>278</v>
      </c>
      <c r="I3273" s="122" t="s">
        <v>1546</v>
      </c>
      <c r="J3273" s="307" t="s">
        <v>214</v>
      </c>
      <c r="K3273" s="127" t="s">
        <v>4112</v>
      </c>
      <c r="L3273" s="151" t="s">
        <v>1579</v>
      </c>
      <c r="M3273">
        <v>370</v>
      </c>
      <c r="N3273" s="123">
        <v>17</v>
      </c>
      <c r="O3273">
        <v>2140</v>
      </c>
      <c r="P3273" s="132" t="s">
        <v>77</v>
      </c>
      <c r="Q3273" s="131">
        <v>775</v>
      </c>
      <c r="R3273" s="131">
        <v>124</v>
      </c>
      <c r="S3273" s="131"/>
      <c r="T3273" s="155"/>
      <c r="U3273" s="131"/>
      <c r="V3273" s="131">
        <v>899</v>
      </c>
      <c r="W3273"/>
      <c r="X3273" s="151" t="s">
        <v>1644</v>
      </c>
      <c r="Y3273" s="135" t="s">
        <v>55</v>
      </c>
      <c r="Z3273" s="307">
        <v>233</v>
      </c>
      <c r="AB3273" t="str">
        <f>IF(Table1[[#This Row],[TIPO2]]="costo", VLOOKUP(Table1[[#This Row],[PARTIDA PRESUPUESTAL]],'Cost Report'!G:G,1,0),"Balance")</f>
        <v>2385-003</v>
      </c>
      <c r="AC3273" s="118"/>
      <c r="AD3273" s="159">
        <f>+Table1[[#This Row],[SUBTOTAL]]+Table1[[#This Row],[IVA]]-Table1[[#This Row],[RET IVA]]-Table1[[#This Row],[RET ISR]]-Table1[[#This Row],[TOTAL]]</f>
        <v>0</v>
      </c>
      <c r="AE3273" s="150"/>
      <c r="AF3273" s="151"/>
      <c r="AG3273" s="126" t="s">
        <v>3420</v>
      </c>
      <c r="AK3273" s="306" t="str">
        <f>IF(ISNUMBER(Table1[[#This Row],[FECHA DE RECIBIDO]]), Table1[[#This Row],[FECHA DE RECIBIDO]]-DATE(2023,8,30), "")</f>
        <v/>
      </c>
    </row>
    <row r="3274" spans="1:37" ht="15" customHeight="1">
      <c r="A3274" s="152" t="s">
        <v>4165</v>
      </c>
      <c r="B3274" s="153">
        <v>1164</v>
      </c>
      <c r="C3274" s="126" t="s">
        <v>2546</v>
      </c>
      <c r="D3274">
        <v>2229</v>
      </c>
      <c r="E3274" s="126" t="s">
        <v>1612</v>
      </c>
      <c r="F3274" s="125" t="s">
        <v>1607</v>
      </c>
      <c r="G3274" s="125" t="s">
        <v>134</v>
      </c>
      <c r="H3274">
        <v>294</v>
      </c>
      <c r="I3274" s="125" t="s">
        <v>1546</v>
      </c>
      <c r="J3274" s="308" t="s">
        <v>214</v>
      </c>
      <c r="K3274" s="127" t="s">
        <v>4112</v>
      </c>
      <c r="L3274" s="153" t="s">
        <v>1579</v>
      </c>
      <c r="M3274">
        <v>388</v>
      </c>
      <c r="N3274" s="123">
        <v>17</v>
      </c>
      <c r="O3274">
        <v>2141</v>
      </c>
      <c r="P3274" s="132" t="s">
        <v>77</v>
      </c>
      <c r="Q3274" s="132">
        <v>531</v>
      </c>
      <c r="R3274" s="132">
        <v>84.96</v>
      </c>
      <c r="S3274" s="132"/>
      <c r="T3274" s="156"/>
      <c r="U3274" s="132"/>
      <c r="V3274" s="132">
        <v>615.96</v>
      </c>
      <c r="W3274"/>
      <c r="X3274" s="153" t="s">
        <v>1644</v>
      </c>
      <c r="Y3274" s="124" t="s">
        <v>55</v>
      </c>
      <c r="Z3274" s="308">
        <v>233</v>
      </c>
      <c r="AB3274" t="str">
        <f>IF(Table1[[#This Row],[TIPO2]]="costo", VLOOKUP(Table1[[#This Row],[PARTIDA PRESUPUESTAL]],'Cost Report'!G:G,1,0),"Balance")</f>
        <v>2494-071</v>
      </c>
      <c r="AC3274" s="118"/>
      <c r="AD3274" s="159">
        <f>+Table1[[#This Row],[SUBTOTAL]]+Table1[[#This Row],[IVA]]-Table1[[#This Row],[RET IVA]]-Table1[[#This Row],[RET ISR]]-Table1[[#This Row],[TOTAL]]</f>
        <v>0</v>
      </c>
      <c r="AE3274" s="152"/>
      <c r="AF3274" s="153"/>
      <c r="AG3274" s="126" t="s">
        <v>3420</v>
      </c>
      <c r="AK3274" s="306" t="str">
        <f>IF(ISNUMBER(Table1[[#This Row],[FECHA DE RECIBIDO]]), Table1[[#This Row],[FECHA DE RECIBIDO]]-DATE(2023,8,30), "")</f>
        <v/>
      </c>
    </row>
    <row r="3275" spans="1:37" ht="15" customHeight="1">
      <c r="A3275" s="150" t="s">
        <v>4165</v>
      </c>
      <c r="B3275" s="151">
        <v>1164</v>
      </c>
      <c r="C3275" s="126" t="s">
        <v>2468</v>
      </c>
      <c r="D3275">
        <v>2230</v>
      </c>
      <c r="E3275" s="126" t="s">
        <v>1605</v>
      </c>
      <c r="F3275" s="122" t="s">
        <v>1607</v>
      </c>
      <c r="G3275" s="122" t="s">
        <v>134</v>
      </c>
      <c r="H3275">
        <v>612</v>
      </c>
      <c r="I3275" s="122" t="s">
        <v>1546</v>
      </c>
      <c r="J3275" s="307" t="s">
        <v>214</v>
      </c>
      <c r="K3275" s="127" t="s">
        <v>4112</v>
      </c>
      <c r="L3275" s="151" t="s">
        <v>1579</v>
      </c>
      <c r="M3275">
        <v>866</v>
      </c>
      <c r="N3275" s="123">
        <v>17</v>
      </c>
      <c r="O3275">
        <v>2142</v>
      </c>
      <c r="P3275" s="132" t="s">
        <v>77</v>
      </c>
      <c r="Q3275" s="131">
        <v>5901.38</v>
      </c>
      <c r="R3275" s="131">
        <v>944.22</v>
      </c>
      <c r="S3275" s="131"/>
      <c r="T3275" s="155"/>
      <c r="U3275" s="131"/>
      <c r="V3275" s="131">
        <v>6845.6</v>
      </c>
      <c r="W3275"/>
      <c r="X3275" s="151" t="s">
        <v>1644</v>
      </c>
      <c r="Y3275" s="135" t="s">
        <v>55</v>
      </c>
      <c r="Z3275" s="307">
        <v>234</v>
      </c>
      <c r="AB3275" t="str">
        <f>IF(Table1[[#This Row],[TIPO2]]="costo", VLOOKUP(Table1[[#This Row],[PARTIDA PRESUPUESTAL]],'Cost Report'!G:G,1,0),"Balance")</f>
        <v>2394-009</v>
      </c>
      <c r="AC3275" s="118"/>
      <c r="AD3275" s="159">
        <f>+Table1[[#This Row],[SUBTOTAL]]+Table1[[#This Row],[IVA]]-Table1[[#This Row],[RET IVA]]-Table1[[#This Row],[RET ISR]]-Table1[[#This Row],[TOTAL]]</f>
        <v>0</v>
      </c>
      <c r="AE3275" s="150"/>
      <c r="AF3275" s="151"/>
      <c r="AG3275" s="126" t="s">
        <v>3420</v>
      </c>
      <c r="AK3275" s="306" t="str">
        <f>IF(ISNUMBER(Table1[[#This Row],[FECHA DE RECIBIDO]]), Table1[[#This Row],[FECHA DE RECIBIDO]]-DATE(2023,8,30), "")</f>
        <v/>
      </c>
    </row>
    <row r="3276" spans="1:37" ht="15" customHeight="1">
      <c r="A3276" s="152" t="s">
        <v>4165</v>
      </c>
      <c r="B3276" s="153">
        <v>1164</v>
      </c>
      <c r="C3276" s="126" t="s">
        <v>1519</v>
      </c>
      <c r="D3276">
        <v>689</v>
      </c>
      <c r="E3276" s="126"/>
      <c r="F3276" s="125"/>
      <c r="G3276" s="125"/>
      <c r="H3276"/>
      <c r="I3276" s="125"/>
      <c r="J3276" s="308" t="s">
        <v>214</v>
      </c>
      <c r="K3276" s="127" t="s">
        <v>4112</v>
      </c>
      <c r="L3276" s="153" t="s">
        <v>1579</v>
      </c>
      <c r="M3276">
        <v>867</v>
      </c>
      <c r="N3276" s="123">
        <v>17</v>
      </c>
      <c r="O3276">
        <v>2143</v>
      </c>
      <c r="P3276" s="132" t="s">
        <v>77</v>
      </c>
      <c r="Q3276" s="132">
        <v>200</v>
      </c>
      <c r="R3276" s="132"/>
      <c r="S3276" s="132"/>
      <c r="T3276" s="156"/>
      <c r="U3276" s="132"/>
      <c r="V3276" s="132">
        <v>200</v>
      </c>
      <c r="W3276"/>
      <c r="X3276" s="153" t="s">
        <v>1644</v>
      </c>
      <c r="Y3276" s="124" t="s">
        <v>55</v>
      </c>
      <c r="Z3276" s="308">
        <v>216</v>
      </c>
      <c r="AB3276" t="str">
        <f>IF(Table1[[#This Row],[TIPO2]]="costo", VLOOKUP(Table1[[#This Row],[PARTIDA PRESUPUESTAL]],'Cost Report'!G:G,1,0),"Balance")</f>
        <v>2494-031</v>
      </c>
      <c r="AC3276" s="118"/>
      <c r="AD3276" s="159">
        <f>+Table1[[#This Row],[SUBTOTAL]]+Table1[[#This Row],[IVA]]-Table1[[#This Row],[RET IVA]]-Table1[[#This Row],[RET ISR]]-Table1[[#This Row],[TOTAL]]</f>
        <v>0</v>
      </c>
      <c r="AE3276" s="152"/>
      <c r="AF3276" s="153"/>
      <c r="AG3276" s="126" t="s">
        <v>3420</v>
      </c>
      <c r="AK3276" s="306" t="str">
        <f>IF(ISNUMBER(Table1[[#This Row],[FECHA DE RECIBIDO]]), Table1[[#This Row],[FECHA DE RECIBIDO]]-DATE(2023,8,30), "")</f>
        <v/>
      </c>
    </row>
    <row r="3277" spans="1:37" ht="15" customHeight="1">
      <c r="A3277" s="150" t="s">
        <v>4166</v>
      </c>
      <c r="B3277" s="151">
        <v>1165</v>
      </c>
      <c r="C3277" s="126" t="s">
        <v>1513</v>
      </c>
      <c r="D3277">
        <v>2231</v>
      </c>
      <c r="E3277" s="126" t="s">
        <v>4189</v>
      </c>
      <c r="F3277" s="122" t="s">
        <v>1589</v>
      </c>
      <c r="G3277" s="122" t="s">
        <v>129</v>
      </c>
      <c r="H3277">
        <v>604</v>
      </c>
      <c r="I3277" s="122" t="s">
        <v>1546</v>
      </c>
      <c r="J3277" s="307" t="s">
        <v>214</v>
      </c>
      <c r="K3277" s="127" t="s">
        <v>4112</v>
      </c>
      <c r="L3277" s="151" t="s">
        <v>1579</v>
      </c>
      <c r="M3277">
        <v>858</v>
      </c>
      <c r="N3277" s="123">
        <v>17</v>
      </c>
      <c r="O3277">
        <v>2144</v>
      </c>
      <c r="P3277" s="132" t="s">
        <v>77</v>
      </c>
      <c r="Q3277" s="131">
        <v>190</v>
      </c>
      <c r="R3277" s="131">
        <v>30.4</v>
      </c>
      <c r="S3277" s="131"/>
      <c r="T3277" s="155"/>
      <c r="U3277" s="131"/>
      <c r="V3277" s="131">
        <v>220.4</v>
      </c>
      <c r="W3277"/>
      <c r="X3277" s="151" t="s">
        <v>1644</v>
      </c>
      <c r="Y3277" s="135" t="s">
        <v>55</v>
      </c>
      <c r="Z3277" s="307">
        <v>230</v>
      </c>
      <c r="AB3277" t="str">
        <f>IF(Table1[[#This Row],[TIPO2]]="costo", VLOOKUP(Table1[[#This Row],[PARTIDA PRESUPUESTAL]],'Cost Report'!G:G,1,0),"Balance")</f>
        <v>2494-019</v>
      </c>
      <c r="AC3277" s="118"/>
      <c r="AD3277" s="159">
        <f>+Table1[[#This Row],[SUBTOTAL]]+Table1[[#This Row],[IVA]]-Table1[[#This Row],[RET IVA]]-Table1[[#This Row],[RET ISR]]-Table1[[#This Row],[TOTAL]]</f>
        <v>0</v>
      </c>
      <c r="AE3277" s="150"/>
      <c r="AF3277" s="151"/>
      <c r="AG3277" s="126" t="s">
        <v>3420</v>
      </c>
      <c r="AK3277" s="306" t="str">
        <f>IF(ISNUMBER(Table1[[#This Row],[FECHA DE RECIBIDO]]), Table1[[#This Row],[FECHA DE RECIBIDO]]-DATE(2023,8,30), "")</f>
        <v/>
      </c>
    </row>
    <row r="3278" spans="1:37" ht="15" customHeight="1">
      <c r="A3278" s="152" t="s">
        <v>4166</v>
      </c>
      <c r="B3278" s="153">
        <v>1165</v>
      </c>
      <c r="C3278" s="126" t="s">
        <v>1505</v>
      </c>
      <c r="D3278">
        <v>2232</v>
      </c>
      <c r="E3278" s="126" t="s">
        <v>3356</v>
      </c>
      <c r="F3278" s="125" t="s">
        <v>1607</v>
      </c>
      <c r="G3278" s="125" t="s">
        <v>134</v>
      </c>
      <c r="H3278">
        <v>173</v>
      </c>
      <c r="I3278" s="125" t="s">
        <v>1546</v>
      </c>
      <c r="J3278" s="308" t="s">
        <v>214</v>
      </c>
      <c r="K3278" s="127" t="s">
        <v>4112</v>
      </c>
      <c r="L3278" s="153" t="s">
        <v>1579</v>
      </c>
      <c r="M3278">
        <v>230</v>
      </c>
      <c r="N3278" s="123">
        <v>17</v>
      </c>
      <c r="O3278">
        <v>2145</v>
      </c>
      <c r="P3278" s="132" t="s">
        <v>77</v>
      </c>
      <c r="Q3278" s="132">
        <v>705.17</v>
      </c>
      <c r="R3278" s="132">
        <v>112.83</v>
      </c>
      <c r="S3278" s="132"/>
      <c r="T3278" s="156"/>
      <c r="U3278" s="132"/>
      <c r="V3278" s="132">
        <v>818</v>
      </c>
      <c r="W3278"/>
      <c r="X3278" s="153" t="s">
        <v>1644</v>
      </c>
      <c r="Y3278" s="124" t="s">
        <v>55</v>
      </c>
      <c r="Z3278" s="308">
        <v>232</v>
      </c>
      <c r="AB3278" t="str">
        <f>IF(Table1[[#This Row],[TIPO2]]="costo", VLOOKUP(Table1[[#This Row],[PARTIDA PRESUPUESTAL]],'Cost Report'!G:G,1,0),"Balance")</f>
        <v>2494-003</v>
      </c>
      <c r="AC3278" s="118"/>
      <c r="AD3278" s="159">
        <f>+Table1[[#This Row],[SUBTOTAL]]+Table1[[#This Row],[IVA]]-Table1[[#This Row],[RET IVA]]-Table1[[#This Row],[RET ISR]]-Table1[[#This Row],[TOTAL]]</f>
        <v>0</v>
      </c>
      <c r="AE3278" s="152"/>
      <c r="AF3278" s="153"/>
      <c r="AG3278" s="126" t="s">
        <v>3420</v>
      </c>
      <c r="AK3278" s="306" t="str">
        <f>IF(ISNUMBER(Table1[[#This Row],[FECHA DE RECIBIDO]]), Table1[[#This Row],[FECHA DE RECIBIDO]]-DATE(2023,8,30), "")</f>
        <v/>
      </c>
    </row>
    <row r="3279" spans="1:37" ht="15" customHeight="1">
      <c r="A3279" s="150" t="s">
        <v>4166</v>
      </c>
      <c r="B3279" s="151">
        <v>1165</v>
      </c>
      <c r="C3279" s="126" t="s">
        <v>2455</v>
      </c>
      <c r="D3279">
        <v>2233</v>
      </c>
      <c r="E3279" s="126" t="s">
        <v>3356</v>
      </c>
      <c r="F3279" s="122" t="s">
        <v>1607</v>
      </c>
      <c r="G3279" s="122" t="s">
        <v>134</v>
      </c>
      <c r="H3279">
        <v>613</v>
      </c>
      <c r="I3279" s="122" t="s">
        <v>1546</v>
      </c>
      <c r="J3279" s="307" t="s">
        <v>214</v>
      </c>
      <c r="K3279" s="127" t="s">
        <v>4112</v>
      </c>
      <c r="L3279" s="151" t="s">
        <v>1579</v>
      </c>
      <c r="M3279">
        <v>868</v>
      </c>
      <c r="N3279" s="123">
        <v>17</v>
      </c>
      <c r="O3279">
        <v>2146</v>
      </c>
      <c r="P3279" s="132" t="s">
        <v>77</v>
      </c>
      <c r="Q3279" s="131">
        <f>410.76+2.76</f>
        <v>413.52</v>
      </c>
      <c r="R3279" s="131">
        <v>31.48</v>
      </c>
      <c r="S3279" s="131">
        <v>2.76</v>
      </c>
      <c r="T3279" s="155"/>
      <c r="U3279" s="131"/>
      <c r="V3279" s="131">
        <v>445</v>
      </c>
      <c r="W3279"/>
      <c r="X3279" s="151" t="s">
        <v>1644</v>
      </c>
      <c r="Y3279" s="135" t="s">
        <v>55</v>
      </c>
      <c r="Z3279" s="307">
        <v>225</v>
      </c>
      <c r="AB3279" t="str">
        <f>IF(Table1[[#This Row],[TIPO2]]="costo", VLOOKUP(Table1[[#This Row],[PARTIDA PRESUPUESTAL]],'Cost Report'!G:G,1,0),"Balance")</f>
        <v>2285-003</v>
      </c>
      <c r="AC3279" s="118"/>
      <c r="AD3279" s="159">
        <f>+Table1[[#This Row],[SUBTOTAL]]+Table1[[#This Row],[IVA]]-Table1[[#This Row],[RET IVA]]-Table1[[#This Row],[RET ISR]]-Table1[[#This Row],[TOTAL]]</f>
        <v>0</v>
      </c>
      <c r="AE3279" s="150"/>
      <c r="AF3279" s="151"/>
      <c r="AG3279" s="126" t="s">
        <v>3420</v>
      </c>
      <c r="AK3279" s="306" t="str">
        <f>IF(ISNUMBER(Table1[[#This Row],[FECHA DE RECIBIDO]]), Table1[[#This Row],[FECHA DE RECIBIDO]]-DATE(2023,8,30), "")</f>
        <v/>
      </c>
    </row>
    <row r="3280" spans="1:37" ht="15" customHeight="1">
      <c r="A3280" s="152" t="s">
        <v>4166</v>
      </c>
      <c r="B3280" s="153">
        <v>1165</v>
      </c>
      <c r="C3280" s="126" t="s">
        <v>1511</v>
      </c>
      <c r="D3280">
        <v>2234</v>
      </c>
      <c r="E3280" s="126" t="s">
        <v>3237</v>
      </c>
      <c r="F3280" s="125" t="s">
        <v>1593</v>
      </c>
      <c r="G3280" s="125" t="s">
        <v>109</v>
      </c>
      <c r="H3280">
        <v>614</v>
      </c>
      <c r="I3280" s="125" t="s">
        <v>1546</v>
      </c>
      <c r="J3280" s="308" t="s">
        <v>214</v>
      </c>
      <c r="K3280" s="127" t="s">
        <v>4112</v>
      </c>
      <c r="L3280" s="153" t="s">
        <v>1579</v>
      </c>
      <c r="M3280">
        <v>869</v>
      </c>
      <c r="N3280" s="123">
        <v>17</v>
      </c>
      <c r="O3280">
        <v>2147</v>
      </c>
      <c r="P3280" s="132" t="s">
        <v>77</v>
      </c>
      <c r="Q3280" s="132">
        <v>2765</v>
      </c>
      <c r="R3280" s="132">
        <v>448</v>
      </c>
      <c r="S3280" s="132"/>
      <c r="T3280" s="156"/>
      <c r="U3280" s="132"/>
      <c r="V3280" s="132">
        <v>3213</v>
      </c>
      <c r="W3280"/>
      <c r="X3280" s="153" t="s">
        <v>1644</v>
      </c>
      <c r="Y3280" s="124" t="s">
        <v>55</v>
      </c>
      <c r="Z3280" s="308">
        <v>236</v>
      </c>
      <c r="AB3280" t="str">
        <f>IF(Table1[[#This Row],[TIPO2]]="costo", VLOOKUP(Table1[[#This Row],[PARTIDA PRESUPUESTAL]],'Cost Report'!G:G,1,0),"Balance")</f>
        <v>2494-015</v>
      </c>
      <c r="AC3280" s="118"/>
      <c r="AD3280" s="159">
        <f>+Table1[[#This Row],[SUBTOTAL]]+Table1[[#This Row],[IVA]]-Table1[[#This Row],[RET IVA]]-Table1[[#This Row],[RET ISR]]-Table1[[#This Row],[TOTAL]]</f>
        <v>0</v>
      </c>
      <c r="AE3280" s="152"/>
      <c r="AF3280" s="153"/>
      <c r="AG3280" s="126" t="s">
        <v>3420</v>
      </c>
      <c r="AK3280" s="306" t="str">
        <f>IF(ISNUMBER(Table1[[#This Row],[FECHA DE RECIBIDO]]), Table1[[#This Row],[FECHA DE RECIBIDO]]-DATE(2023,8,30), "")</f>
        <v/>
      </c>
    </row>
    <row r="3281" spans="1:37" ht="15" customHeight="1">
      <c r="A3281" s="150" t="s">
        <v>4166</v>
      </c>
      <c r="B3281" s="151">
        <v>1165</v>
      </c>
      <c r="C3281" s="126" t="s">
        <v>2474</v>
      </c>
      <c r="D3281">
        <v>2235</v>
      </c>
      <c r="E3281" s="126" t="s">
        <v>4191</v>
      </c>
      <c r="F3281" s="122" t="s">
        <v>1607</v>
      </c>
      <c r="G3281" s="122" t="s">
        <v>134</v>
      </c>
      <c r="H3281">
        <v>615</v>
      </c>
      <c r="I3281" s="122" t="s">
        <v>1546</v>
      </c>
      <c r="J3281" s="307" t="s">
        <v>214</v>
      </c>
      <c r="K3281" s="127" t="s">
        <v>4112</v>
      </c>
      <c r="L3281" s="151" t="s">
        <v>1579</v>
      </c>
      <c r="M3281">
        <v>870</v>
      </c>
      <c r="N3281" s="123">
        <v>17</v>
      </c>
      <c r="O3281">
        <v>2148</v>
      </c>
      <c r="P3281" s="132" t="s">
        <v>77</v>
      </c>
      <c r="Q3281" s="131">
        <v>2781.72</v>
      </c>
      <c r="R3281" s="131">
        <v>445.08</v>
      </c>
      <c r="S3281" s="131"/>
      <c r="T3281" s="155"/>
      <c r="U3281" s="131"/>
      <c r="V3281" s="131">
        <v>3226.7999999999997</v>
      </c>
      <c r="W3281"/>
      <c r="X3281" s="151" t="s">
        <v>1644</v>
      </c>
      <c r="Y3281" s="135" t="s">
        <v>55</v>
      </c>
      <c r="Z3281" s="307">
        <v>236</v>
      </c>
      <c r="AB3281" t="str">
        <f>IF(Table1[[#This Row],[TIPO2]]="costo", VLOOKUP(Table1[[#This Row],[PARTIDA PRESUPUESTAL]],'Cost Report'!G:G,1,0),"Balance")</f>
        <v>2394-021</v>
      </c>
      <c r="AC3281" s="118"/>
      <c r="AD3281" s="159">
        <f>+Table1[[#This Row],[SUBTOTAL]]+Table1[[#This Row],[IVA]]-Table1[[#This Row],[RET IVA]]-Table1[[#This Row],[RET ISR]]-Table1[[#This Row],[TOTAL]]</f>
        <v>0</v>
      </c>
      <c r="AE3281" s="150"/>
      <c r="AF3281" s="151"/>
      <c r="AG3281" s="126" t="s">
        <v>3420</v>
      </c>
      <c r="AK3281" s="306" t="str">
        <f>IF(ISNUMBER(Table1[[#This Row],[FECHA DE RECIBIDO]]), Table1[[#This Row],[FECHA DE RECIBIDO]]-DATE(2023,8,30), "")</f>
        <v/>
      </c>
    </row>
    <row r="3282" spans="1:37" ht="15" customHeight="1">
      <c r="A3282" s="152" t="s">
        <v>4166</v>
      </c>
      <c r="B3282" s="153">
        <v>1165</v>
      </c>
      <c r="C3282" s="126" t="s">
        <v>1507</v>
      </c>
      <c r="D3282">
        <v>2236</v>
      </c>
      <c r="E3282" s="126" t="s">
        <v>1994</v>
      </c>
      <c r="F3282" s="125" t="s">
        <v>1602</v>
      </c>
      <c r="G3282" s="125" t="s">
        <v>1617</v>
      </c>
      <c r="H3282">
        <v>616</v>
      </c>
      <c r="I3282" s="125" t="s">
        <v>1546</v>
      </c>
      <c r="J3282" s="308" t="s">
        <v>214</v>
      </c>
      <c r="K3282" s="127" t="s">
        <v>4112</v>
      </c>
      <c r="L3282" s="153" t="s">
        <v>1579</v>
      </c>
      <c r="M3282">
        <v>871</v>
      </c>
      <c r="N3282" s="123">
        <v>17</v>
      </c>
      <c r="O3282">
        <v>2149</v>
      </c>
      <c r="P3282" s="132" t="s">
        <v>77</v>
      </c>
      <c r="Q3282" s="132">
        <v>1620.69</v>
      </c>
      <c r="R3282" s="132">
        <v>259.31</v>
      </c>
      <c r="S3282" s="132"/>
      <c r="T3282" s="156"/>
      <c r="U3282" s="132"/>
      <c r="V3282" s="132">
        <v>1880</v>
      </c>
      <c r="W3282"/>
      <c r="X3282" s="153" t="s">
        <v>1644</v>
      </c>
      <c r="Y3282" s="124" t="s">
        <v>55</v>
      </c>
      <c r="Z3282" s="308">
        <v>237</v>
      </c>
      <c r="AB3282" t="str">
        <f>IF(Table1[[#This Row],[TIPO2]]="costo", VLOOKUP(Table1[[#This Row],[PARTIDA PRESUPUESTAL]],'Cost Report'!G:G,1,0),"Balance")</f>
        <v>2494-007</v>
      </c>
      <c r="AC3282" s="118"/>
      <c r="AD3282" s="159">
        <f>+Table1[[#This Row],[SUBTOTAL]]+Table1[[#This Row],[IVA]]-Table1[[#This Row],[RET IVA]]-Table1[[#This Row],[RET ISR]]-Table1[[#This Row],[TOTAL]]</f>
        <v>0</v>
      </c>
      <c r="AE3282" s="152"/>
      <c r="AF3282" s="153"/>
      <c r="AG3282" s="126" t="s">
        <v>3420</v>
      </c>
      <c r="AK3282" s="306" t="str">
        <f>IF(ISNUMBER(Table1[[#This Row],[FECHA DE RECIBIDO]]), Table1[[#This Row],[FECHA DE RECIBIDO]]-DATE(2023,8,30), "")</f>
        <v/>
      </c>
    </row>
    <row r="3283" spans="1:37" ht="15" customHeight="1">
      <c r="A3283" s="150" t="s">
        <v>4166</v>
      </c>
      <c r="B3283" s="151">
        <v>1165</v>
      </c>
      <c r="C3283" s="126" t="s">
        <v>1507</v>
      </c>
      <c r="D3283">
        <v>2237</v>
      </c>
      <c r="E3283" s="126" t="s">
        <v>1999</v>
      </c>
      <c r="F3283" s="122" t="s">
        <v>1607</v>
      </c>
      <c r="G3283" s="122" t="s">
        <v>134</v>
      </c>
      <c r="H3283">
        <v>97</v>
      </c>
      <c r="I3283" s="122" t="s">
        <v>1546</v>
      </c>
      <c r="J3283" s="307" t="s">
        <v>214</v>
      </c>
      <c r="K3283" s="127" t="s">
        <v>4112</v>
      </c>
      <c r="L3283" s="151" t="s">
        <v>1579</v>
      </c>
      <c r="M3283">
        <v>193</v>
      </c>
      <c r="N3283" s="123">
        <v>17</v>
      </c>
      <c r="O3283">
        <v>2150</v>
      </c>
      <c r="P3283" s="132" t="s">
        <v>77</v>
      </c>
      <c r="Q3283" s="131">
        <v>4074.15</v>
      </c>
      <c r="R3283" s="131">
        <v>651.85</v>
      </c>
      <c r="S3283" s="131"/>
      <c r="T3283" s="155"/>
      <c r="U3283" s="131"/>
      <c r="V3283" s="131">
        <v>4726</v>
      </c>
      <c r="W3283"/>
      <c r="X3283" s="151" t="s">
        <v>1644</v>
      </c>
      <c r="Y3283" s="135" t="s">
        <v>55</v>
      </c>
      <c r="Z3283" s="307">
        <v>236</v>
      </c>
      <c r="AB3283" t="str">
        <f>IF(Table1[[#This Row],[TIPO2]]="costo", VLOOKUP(Table1[[#This Row],[PARTIDA PRESUPUESTAL]],'Cost Report'!G:G,1,0),"Balance")</f>
        <v>2494-007</v>
      </c>
      <c r="AC3283" s="118"/>
      <c r="AD3283" s="159">
        <f>+Table1[[#This Row],[SUBTOTAL]]+Table1[[#This Row],[IVA]]-Table1[[#This Row],[RET IVA]]-Table1[[#This Row],[RET ISR]]-Table1[[#This Row],[TOTAL]]</f>
        <v>0</v>
      </c>
      <c r="AE3283" s="150"/>
      <c r="AF3283" s="151"/>
      <c r="AG3283" s="126" t="s">
        <v>3420</v>
      </c>
      <c r="AK3283" s="306" t="str">
        <f>IF(ISNUMBER(Table1[[#This Row],[FECHA DE RECIBIDO]]), Table1[[#This Row],[FECHA DE RECIBIDO]]-DATE(2023,8,30), "")</f>
        <v/>
      </c>
    </row>
    <row r="3284" spans="1:37" ht="15" customHeight="1">
      <c r="A3284" s="152" t="s">
        <v>4166</v>
      </c>
      <c r="B3284" s="153">
        <v>1165</v>
      </c>
      <c r="C3284" s="126" t="s">
        <v>1507</v>
      </c>
      <c r="D3284">
        <v>2238</v>
      </c>
      <c r="E3284" s="126" t="s">
        <v>1598</v>
      </c>
      <c r="F3284" s="125" t="s">
        <v>1607</v>
      </c>
      <c r="G3284" s="125" t="s">
        <v>134</v>
      </c>
      <c r="H3284">
        <v>156</v>
      </c>
      <c r="I3284" s="125" t="s">
        <v>1546</v>
      </c>
      <c r="J3284" s="308" t="s">
        <v>214</v>
      </c>
      <c r="K3284" s="127" t="s">
        <v>4112</v>
      </c>
      <c r="L3284" s="153" t="s">
        <v>1579</v>
      </c>
      <c r="M3284">
        <v>207</v>
      </c>
      <c r="N3284" s="123">
        <v>17</v>
      </c>
      <c r="O3284">
        <v>2151</v>
      </c>
      <c r="P3284" s="132" t="s">
        <v>77</v>
      </c>
      <c r="Q3284" s="132">
        <v>1930.43</v>
      </c>
      <c r="R3284" s="132">
        <v>308.87</v>
      </c>
      <c r="S3284" s="132"/>
      <c r="T3284" s="156"/>
      <c r="U3284" s="132"/>
      <c r="V3284" s="132">
        <v>2239.3000000000002</v>
      </c>
      <c r="W3284"/>
      <c r="X3284" s="153" t="s">
        <v>1644</v>
      </c>
      <c r="Y3284" s="124" t="s">
        <v>55</v>
      </c>
      <c r="Z3284" s="308">
        <v>234</v>
      </c>
      <c r="AB3284" t="str">
        <f>IF(Table1[[#This Row],[TIPO2]]="costo", VLOOKUP(Table1[[#This Row],[PARTIDA PRESUPUESTAL]],'Cost Report'!G:G,1,0),"Balance")</f>
        <v>2494-007</v>
      </c>
      <c r="AC3284" s="118"/>
      <c r="AD3284" s="159">
        <f>+Table1[[#This Row],[SUBTOTAL]]+Table1[[#This Row],[IVA]]-Table1[[#This Row],[RET IVA]]-Table1[[#This Row],[RET ISR]]-Table1[[#This Row],[TOTAL]]</f>
        <v>0</v>
      </c>
      <c r="AE3284" s="152"/>
      <c r="AF3284" s="153"/>
      <c r="AG3284" s="126" t="s">
        <v>3420</v>
      </c>
      <c r="AK3284" s="306" t="str">
        <f>IF(ISNUMBER(Table1[[#This Row],[FECHA DE RECIBIDO]]), Table1[[#This Row],[FECHA DE RECIBIDO]]-DATE(2023,8,30), "")</f>
        <v/>
      </c>
    </row>
    <row r="3285" spans="1:37" ht="15" customHeight="1">
      <c r="A3285" s="150" t="s">
        <v>4166</v>
      </c>
      <c r="B3285" s="151">
        <v>1165</v>
      </c>
      <c r="C3285" s="126" t="s">
        <v>1507</v>
      </c>
      <c r="D3285">
        <v>2239</v>
      </c>
      <c r="E3285" s="126" t="s">
        <v>3292</v>
      </c>
      <c r="F3285" s="122" t="s">
        <v>1607</v>
      </c>
      <c r="G3285" s="122" t="s">
        <v>134</v>
      </c>
      <c r="H3285">
        <v>57</v>
      </c>
      <c r="I3285" s="122" t="s">
        <v>1546</v>
      </c>
      <c r="J3285" s="307" t="s">
        <v>214</v>
      </c>
      <c r="K3285" s="127" t="s">
        <v>4112</v>
      </c>
      <c r="L3285" s="151" t="s">
        <v>1579</v>
      </c>
      <c r="M3285">
        <v>79</v>
      </c>
      <c r="N3285" s="123">
        <v>17</v>
      </c>
      <c r="O3285">
        <v>2152</v>
      </c>
      <c r="P3285" s="132" t="s">
        <v>77</v>
      </c>
      <c r="Q3285" s="131">
        <v>13.36</v>
      </c>
      <c r="R3285" s="131">
        <v>2.14</v>
      </c>
      <c r="S3285" s="131"/>
      <c r="T3285" s="155"/>
      <c r="U3285" s="131"/>
      <c r="V3285" s="131">
        <v>15.5</v>
      </c>
      <c r="W3285"/>
      <c r="X3285" s="151" t="s">
        <v>1644</v>
      </c>
      <c r="Y3285" s="135" t="s">
        <v>55</v>
      </c>
      <c r="Z3285" s="307">
        <v>237</v>
      </c>
      <c r="AB3285" t="str">
        <f>IF(Table1[[#This Row],[TIPO2]]="costo", VLOOKUP(Table1[[#This Row],[PARTIDA PRESUPUESTAL]],'Cost Report'!G:G,1,0),"Balance")</f>
        <v>2494-007</v>
      </c>
      <c r="AC3285" s="118"/>
      <c r="AD3285" s="159">
        <f>+Table1[[#This Row],[SUBTOTAL]]+Table1[[#This Row],[IVA]]-Table1[[#This Row],[RET IVA]]-Table1[[#This Row],[RET ISR]]-Table1[[#This Row],[TOTAL]]</f>
        <v>0</v>
      </c>
      <c r="AE3285" s="150"/>
      <c r="AF3285" s="151"/>
      <c r="AG3285" s="126" t="s">
        <v>3420</v>
      </c>
      <c r="AK3285" s="306" t="str">
        <f>IF(ISNUMBER(Table1[[#This Row],[FECHA DE RECIBIDO]]), Table1[[#This Row],[FECHA DE RECIBIDO]]-DATE(2023,8,30), "")</f>
        <v/>
      </c>
    </row>
    <row r="3286" spans="1:37" ht="15" customHeight="1">
      <c r="A3286" s="152" t="s">
        <v>4166</v>
      </c>
      <c r="B3286" s="153">
        <v>1165</v>
      </c>
      <c r="C3286" s="126" t="s">
        <v>1507</v>
      </c>
      <c r="D3286">
        <v>2240</v>
      </c>
      <c r="E3286" s="126" t="s">
        <v>3292</v>
      </c>
      <c r="F3286" s="125" t="s">
        <v>1607</v>
      </c>
      <c r="G3286" s="125" t="s">
        <v>134</v>
      </c>
      <c r="H3286">
        <v>57</v>
      </c>
      <c r="I3286" s="125" t="s">
        <v>1546</v>
      </c>
      <c r="J3286" s="308" t="s">
        <v>214</v>
      </c>
      <c r="K3286" s="127" t="s">
        <v>4112</v>
      </c>
      <c r="L3286" s="153" t="s">
        <v>1579</v>
      </c>
      <c r="M3286">
        <v>79</v>
      </c>
      <c r="N3286" s="123">
        <v>17</v>
      </c>
      <c r="O3286">
        <v>2153</v>
      </c>
      <c r="P3286" s="132" t="s">
        <v>77</v>
      </c>
      <c r="Q3286" s="132">
        <v>5741.49</v>
      </c>
      <c r="R3286" s="132">
        <v>918.62</v>
      </c>
      <c r="S3286" s="132"/>
      <c r="T3286" s="156"/>
      <c r="U3286" s="132"/>
      <c r="V3286" s="132">
        <v>6660.11</v>
      </c>
      <c r="W3286"/>
      <c r="X3286" s="153" t="s">
        <v>1644</v>
      </c>
      <c r="Y3286" s="124" t="s">
        <v>55</v>
      </c>
      <c r="Z3286" s="308">
        <v>237</v>
      </c>
      <c r="AB3286" t="str">
        <f>IF(Table1[[#This Row],[TIPO2]]="costo", VLOOKUP(Table1[[#This Row],[PARTIDA PRESUPUESTAL]],'Cost Report'!G:G,1,0),"Balance")</f>
        <v>2494-007</v>
      </c>
      <c r="AC3286" s="118"/>
      <c r="AD3286" s="159">
        <f>+Table1[[#This Row],[SUBTOTAL]]+Table1[[#This Row],[IVA]]-Table1[[#This Row],[RET IVA]]-Table1[[#This Row],[RET ISR]]-Table1[[#This Row],[TOTAL]]</f>
        <v>0</v>
      </c>
      <c r="AE3286" s="152"/>
      <c r="AF3286" s="153"/>
      <c r="AG3286" s="126" t="s">
        <v>3420</v>
      </c>
      <c r="AK3286" s="306" t="str">
        <f>IF(ISNUMBER(Table1[[#This Row],[FECHA DE RECIBIDO]]), Table1[[#This Row],[FECHA DE RECIBIDO]]-DATE(2023,8,30), "")</f>
        <v/>
      </c>
    </row>
    <row r="3287" spans="1:37" ht="15" customHeight="1">
      <c r="A3287" s="150" t="s">
        <v>4166</v>
      </c>
      <c r="B3287" s="151">
        <v>1165</v>
      </c>
      <c r="C3287" s="126" t="s">
        <v>1511</v>
      </c>
      <c r="D3287">
        <v>2241</v>
      </c>
      <c r="E3287" s="126" t="s">
        <v>2008</v>
      </c>
      <c r="F3287" s="122" t="s">
        <v>1607</v>
      </c>
      <c r="G3287" s="122" t="s">
        <v>134</v>
      </c>
      <c r="H3287">
        <v>234</v>
      </c>
      <c r="I3287" s="122" t="s">
        <v>1546</v>
      </c>
      <c r="J3287" s="307" t="s">
        <v>214</v>
      </c>
      <c r="K3287" s="127" t="s">
        <v>4112</v>
      </c>
      <c r="L3287" s="151" t="s">
        <v>1579</v>
      </c>
      <c r="M3287">
        <v>306</v>
      </c>
      <c r="N3287" s="123">
        <v>17</v>
      </c>
      <c r="O3287">
        <v>2154</v>
      </c>
      <c r="P3287" s="132" t="s">
        <v>77</v>
      </c>
      <c r="Q3287" s="131">
        <v>420.69</v>
      </c>
      <c r="R3287" s="131">
        <v>67.31</v>
      </c>
      <c r="S3287" s="131"/>
      <c r="T3287" s="155"/>
      <c r="U3287" s="131"/>
      <c r="V3287" s="131">
        <v>488</v>
      </c>
      <c r="W3287"/>
      <c r="X3287" s="151" t="s">
        <v>1644</v>
      </c>
      <c r="Y3287" s="135" t="s">
        <v>55</v>
      </c>
      <c r="Z3287" s="307">
        <v>237</v>
      </c>
      <c r="AB3287" t="str">
        <f>IF(Table1[[#This Row],[TIPO2]]="costo", VLOOKUP(Table1[[#This Row],[PARTIDA PRESUPUESTAL]],'Cost Report'!G:G,1,0),"Balance")</f>
        <v>2494-015</v>
      </c>
      <c r="AC3287" s="118"/>
      <c r="AD3287" s="159">
        <f>+Table1[[#This Row],[SUBTOTAL]]+Table1[[#This Row],[IVA]]-Table1[[#This Row],[RET IVA]]-Table1[[#This Row],[RET ISR]]-Table1[[#This Row],[TOTAL]]</f>
        <v>0</v>
      </c>
      <c r="AE3287" s="150"/>
      <c r="AF3287" s="151"/>
      <c r="AG3287" s="126" t="s">
        <v>3420</v>
      </c>
      <c r="AK3287" s="306" t="str">
        <f>IF(ISNUMBER(Table1[[#This Row],[FECHA DE RECIBIDO]]), Table1[[#This Row],[FECHA DE RECIBIDO]]-DATE(2023,8,30), "")</f>
        <v/>
      </c>
    </row>
    <row r="3288" spans="1:37" ht="15" customHeight="1">
      <c r="A3288" s="152" t="s">
        <v>4166</v>
      </c>
      <c r="B3288" s="153">
        <v>1165</v>
      </c>
      <c r="C3288" s="126" t="s">
        <v>1507</v>
      </c>
      <c r="D3288">
        <v>2242</v>
      </c>
      <c r="E3288" s="126" t="s">
        <v>2008</v>
      </c>
      <c r="F3288" s="125" t="s">
        <v>1607</v>
      </c>
      <c r="G3288" s="125" t="s">
        <v>134</v>
      </c>
      <c r="H3288">
        <v>234</v>
      </c>
      <c r="I3288" s="125" t="s">
        <v>1546</v>
      </c>
      <c r="J3288" s="308" t="s">
        <v>214</v>
      </c>
      <c r="K3288" s="127" t="s">
        <v>4112</v>
      </c>
      <c r="L3288" s="153" t="s">
        <v>1579</v>
      </c>
      <c r="M3288">
        <v>306</v>
      </c>
      <c r="N3288" s="123">
        <v>17</v>
      </c>
      <c r="O3288">
        <v>2155</v>
      </c>
      <c r="P3288" s="132" t="s">
        <v>77</v>
      </c>
      <c r="Q3288" s="132">
        <v>2239.66</v>
      </c>
      <c r="R3288" s="132">
        <v>358.34</v>
      </c>
      <c r="S3288" s="132"/>
      <c r="T3288" s="156"/>
      <c r="U3288" s="132"/>
      <c r="V3288" s="132">
        <v>2598</v>
      </c>
      <c r="W3288"/>
      <c r="X3288" s="153" t="s">
        <v>1644</v>
      </c>
      <c r="Y3288" s="124" t="s">
        <v>55</v>
      </c>
      <c r="Z3288" s="308">
        <v>237</v>
      </c>
      <c r="AB3288" t="str">
        <f>IF(Table1[[#This Row],[TIPO2]]="costo", VLOOKUP(Table1[[#This Row],[PARTIDA PRESUPUESTAL]],'Cost Report'!G:G,1,0),"Balance")</f>
        <v>2494-007</v>
      </c>
      <c r="AC3288" s="118"/>
      <c r="AD3288" s="159">
        <f>+Table1[[#This Row],[SUBTOTAL]]+Table1[[#This Row],[IVA]]-Table1[[#This Row],[RET IVA]]-Table1[[#This Row],[RET ISR]]-Table1[[#This Row],[TOTAL]]</f>
        <v>0</v>
      </c>
      <c r="AE3288" s="152"/>
      <c r="AF3288" s="153"/>
      <c r="AG3288" s="126" t="s">
        <v>3420</v>
      </c>
      <c r="AK3288" s="306" t="str">
        <f>IF(ISNUMBER(Table1[[#This Row],[FECHA DE RECIBIDO]]), Table1[[#This Row],[FECHA DE RECIBIDO]]-DATE(2023,8,30), "")</f>
        <v/>
      </c>
    </row>
    <row r="3289" spans="1:37" ht="15" customHeight="1">
      <c r="A3289" s="150" t="s">
        <v>4167</v>
      </c>
      <c r="B3289" s="151">
        <v>1166</v>
      </c>
      <c r="C3289" s="126" t="s">
        <v>2466</v>
      </c>
      <c r="D3289">
        <v>2243</v>
      </c>
      <c r="E3289" s="126" t="s">
        <v>1614</v>
      </c>
      <c r="F3289" s="122" t="s">
        <v>1607</v>
      </c>
      <c r="G3289" s="122" t="s">
        <v>134</v>
      </c>
      <c r="H3289">
        <v>617</v>
      </c>
      <c r="I3289" s="122" t="s">
        <v>1546</v>
      </c>
      <c r="J3289" s="307" t="s">
        <v>214</v>
      </c>
      <c r="K3289" s="127" t="s">
        <v>4112</v>
      </c>
      <c r="L3289" s="151" t="s">
        <v>1579</v>
      </c>
      <c r="M3289">
        <v>872</v>
      </c>
      <c r="N3289" s="123">
        <v>17</v>
      </c>
      <c r="O3289">
        <v>2156</v>
      </c>
      <c r="P3289" s="132" t="s">
        <v>77</v>
      </c>
      <c r="Q3289" s="131">
        <v>6300</v>
      </c>
      <c r="R3289" s="131">
        <v>1008</v>
      </c>
      <c r="S3289" s="131"/>
      <c r="T3289" s="155"/>
      <c r="U3289" s="131"/>
      <c r="V3289" s="131">
        <v>7308</v>
      </c>
      <c r="W3289"/>
      <c r="X3289" s="151" t="s">
        <v>1644</v>
      </c>
      <c r="Y3289" s="135" t="s">
        <v>55</v>
      </c>
      <c r="Z3289" s="307">
        <v>230</v>
      </c>
      <c r="AB3289" t="str">
        <f>IF(Table1[[#This Row],[TIPO2]]="costo", VLOOKUP(Table1[[#This Row],[PARTIDA PRESUPUESTAL]],'Cost Report'!G:G,1,0),"Balance")</f>
        <v>2394-005</v>
      </c>
      <c r="AC3289" s="118"/>
      <c r="AD3289" s="159">
        <f>+Table1[[#This Row],[SUBTOTAL]]+Table1[[#This Row],[IVA]]-Table1[[#This Row],[RET IVA]]-Table1[[#This Row],[RET ISR]]-Table1[[#This Row],[TOTAL]]</f>
        <v>0</v>
      </c>
      <c r="AE3289" s="150"/>
      <c r="AF3289" s="151"/>
      <c r="AG3289" s="126" t="s">
        <v>3420</v>
      </c>
      <c r="AK3289" s="306" t="str">
        <f>IF(ISNUMBER(Table1[[#This Row],[FECHA DE RECIBIDO]]), Table1[[#This Row],[FECHA DE RECIBIDO]]-DATE(2023,8,30), "")</f>
        <v/>
      </c>
    </row>
    <row r="3290" spans="1:37" ht="15" customHeight="1">
      <c r="A3290" s="152" t="s">
        <v>4167</v>
      </c>
      <c r="B3290" s="153">
        <v>1166</v>
      </c>
      <c r="C3290" s="126" t="s">
        <v>1519</v>
      </c>
      <c r="D3290">
        <v>2244</v>
      </c>
      <c r="E3290" s="126" t="s">
        <v>2107</v>
      </c>
      <c r="F3290" s="125" t="s">
        <v>1589</v>
      </c>
      <c r="G3290" s="125" t="s">
        <v>129</v>
      </c>
      <c r="H3290">
        <v>562</v>
      </c>
      <c r="I3290" s="125" t="s">
        <v>1546</v>
      </c>
      <c r="J3290" s="308" t="s">
        <v>214</v>
      </c>
      <c r="K3290" s="127" t="s">
        <v>4112</v>
      </c>
      <c r="L3290" s="153" t="s">
        <v>1579</v>
      </c>
      <c r="M3290">
        <v>788</v>
      </c>
      <c r="N3290" s="123">
        <v>17</v>
      </c>
      <c r="O3290">
        <v>2157</v>
      </c>
      <c r="P3290" s="132" t="s">
        <v>77</v>
      </c>
      <c r="Q3290" s="132">
        <v>1522.41</v>
      </c>
      <c r="R3290" s="132">
        <v>243.59</v>
      </c>
      <c r="S3290" s="132"/>
      <c r="T3290" s="156"/>
      <c r="U3290" s="132"/>
      <c r="V3290" s="132">
        <v>1766</v>
      </c>
      <c r="W3290"/>
      <c r="X3290" s="153" t="s">
        <v>1644</v>
      </c>
      <c r="Y3290" s="124" t="s">
        <v>55</v>
      </c>
      <c r="Z3290" s="308">
        <v>231</v>
      </c>
      <c r="AB3290" t="str">
        <f>IF(Table1[[#This Row],[TIPO2]]="costo", VLOOKUP(Table1[[#This Row],[PARTIDA PRESUPUESTAL]],'Cost Report'!G:G,1,0),"Balance")</f>
        <v>2494-031</v>
      </c>
      <c r="AC3290" s="118"/>
      <c r="AD3290" s="159">
        <f>+Table1[[#This Row],[SUBTOTAL]]+Table1[[#This Row],[IVA]]-Table1[[#This Row],[RET IVA]]-Table1[[#This Row],[RET ISR]]-Table1[[#This Row],[TOTAL]]</f>
        <v>0</v>
      </c>
      <c r="AE3290" s="152"/>
      <c r="AF3290" s="153"/>
      <c r="AG3290" s="126" t="s">
        <v>3420</v>
      </c>
      <c r="AK3290" s="306" t="str">
        <f>IF(ISNUMBER(Table1[[#This Row],[FECHA DE RECIBIDO]]), Table1[[#This Row],[FECHA DE RECIBIDO]]-DATE(2023,8,30), "")</f>
        <v/>
      </c>
    </row>
    <row r="3291" spans="1:37" ht="15" customHeight="1">
      <c r="A3291" s="150" t="s">
        <v>4167</v>
      </c>
      <c r="B3291" s="151">
        <v>1166</v>
      </c>
      <c r="C3291" s="126" t="s">
        <v>1505</v>
      </c>
      <c r="D3291">
        <v>2245</v>
      </c>
      <c r="E3291" s="126" t="s">
        <v>3356</v>
      </c>
      <c r="F3291" s="122" t="s">
        <v>1607</v>
      </c>
      <c r="G3291" s="122" t="s">
        <v>134</v>
      </c>
      <c r="H3291">
        <v>173</v>
      </c>
      <c r="I3291" s="122" t="s">
        <v>1546</v>
      </c>
      <c r="J3291" s="307" t="s">
        <v>214</v>
      </c>
      <c r="K3291" s="127" t="s">
        <v>4112</v>
      </c>
      <c r="L3291" s="151" t="s">
        <v>1579</v>
      </c>
      <c r="M3291">
        <v>230</v>
      </c>
      <c r="N3291" s="123">
        <v>17</v>
      </c>
      <c r="O3291">
        <v>2158</v>
      </c>
      <c r="P3291" s="132" t="s">
        <v>77</v>
      </c>
      <c r="Q3291" s="131">
        <f>3096.38+6.9</f>
        <v>3103.28</v>
      </c>
      <c r="R3291" s="131">
        <v>49.3</v>
      </c>
      <c r="S3291" s="131">
        <v>6.9</v>
      </c>
      <c r="T3291" s="155"/>
      <c r="U3291" s="131"/>
      <c r="V3291" s="131">
        <v>3152.5800000000004</v>
      </c>
      <c r="W3291"/>
      <c r="X3291" s="151" t="s">
        <v>1644</v>
      </c>
      <c r="Y3291" s="135" t="s">
        <v>55</v>
      </c>
      <c r="Z3291" s="307">
        <v>236</v>
      </c>
      <c r="AB3291" t="str">
        <f>IF(Table1[[#This Row],[TIPO2]]="costo", VLOOKUP(Table1[[#This Row],[PARTIDA PRESUPUESTAL]],'Cost Report'!G:G,1,0),"Balance")</f>
        <v>2494-003</v>
      </c>
      <c r="AC3291" s="118"/>
      <c r="AD3291" s="159">
        <f>+Table1[[#This Row],[SUBTOTAL]]+Table1[[#This Row],[IVA]]-Table1[[#This Row],[RET IVA]]-Table1[[#This Row],[RET ISR]]-Table1[[#This Row],[TOTAL]]</f>
        <v>0</v>
      </c>
      <c r="AE3291" s="150"/>
      <c r="AF3291" s="151"/>
      <c r="AG3291" s="126" t="s">
        <v>3420</v>
      </c>
      <c r="AK3291" s="306" t="str">
        <f>IF(ISNUMBER(Table1[[#This Row],[FECHA DE RECIBIDO]]), Table1[[#This Row],[FECHA DE RECIBIDO]]-DATE(2023,8,30), "")</f>
        <v/>
      </c>
    </row>
    <row r="3292" spans="1:37" ht="15" customHeight="1">
      <c r="A3292" s="152" t="s">
        <v>4168</v>
      </c>
      <c r="B3292" s="153">
        <v>1167</v>
      </c>
      <c r="C3292" s="126" t="s">
        <v>1519</v>
      </c>
      <c r="D3292">
        <v>2246</v>
      </c>
      <c r="E3292" s="126" t="s">
        <v>1992</v>
      </c>
      <c r="F3292" s="125" t="s">
        <v>1602</v>
      </c>
      <c r="G3292" s="125" t="s">
        <v>1617</v>
      </c>
      <c r="H3292">
        <v>618</v>
      </c>
      <c r="I3292" s="125" t="s">
        <v>1546</v>
      </c>
      <c r="J3292" s="308" t="s">
        <v>214</v>
      </c>
      <c r="K3292" s="127" t="s">
        <v>4112</v>
      </c>
      <c r="L3292" s="153" t="s">
        <v>1579</v>
      </c>
      <c r="M3292">
        <v>873</v>
      </c>
      <c r="N3292" s="123">
        <v>17</v>
      </c>
      <c r="O3292">
        <v>2159</v>
      </c>
      <c r="P3292" s="132" t="s">
        <v>77</v>
      </c>
      <c r="Q3292" s="132">
        <v>3411.21</v>
      </c>
      <c r="R3292" s="132">
        <v>545.79</v>
      </c>
      <c r="S3292" s="132"/>
      <c r="T3292" s="156"/>
      <c r="U3292" s="132"/>
      <c r="V3292" s="132">
        <v>3957</v>
      </c>
      <c r="W3292"/>
      <c r="X3292" s="153" t="s">
        <v>1644</v>
      </c>
      <c r="Y3292" s="124" t="s">
        <v>55</v>
      </c>
      <c r="Z3292" s="308">
        <v>230</v>
      </c>
      <c r="AB3292" t="str">
        <f>IF(Table1[[#This Row],[TIPO2]]="costo", VLOOKUP(Table1[[#This Row],[PARTIDA PRESUPUESTAL]],'Cost Report'!G:G,1,0),"Balance")</f>
        <v>2494-031</v>
      </c>
      <c r="AC3292" s="118"/>
      <c r="AD3292" s="159">
        <f>+Table1[[#This Row],[SUBTOTAL]]+Table1[[#This Row],[IVA]]-Table1[[#This Row],[RET IVA]]-Table1[[#This Row],[RET ISR]]-Table1[[#This Row],[TOTAL]]</f>
        <v>0</v>
      </c>
      <c r="AE3292" s="152"/>
      <c r="AF3292" s="153"/>
      <c r="AG3292" s="126" t="s">
        <v>3420</v>
      </c>
      <c r="AK3292" s="306" t="str">
        <f>IF(ISNUMBER(Table1[[#This Row],[FECHA DE RECIBIDO]]), Table1[[#This Row],[FECHA DE RECIBIDO]]-DATE(2023,8,30), "")</f>
        <v/>
      </c>
    </row>
    <row r="3293" spans="1:37" ht="15" customHeight="1">
      <c r="A3293" s="150" t="s">
        <v>4168</v>
      </c>
      <c r="B3293" s="151">
        <v>1167</v>
      </c>
      <c r="C3293" s="126" t="s">
        <v>1519</v>
      </c>
      <c r="D3293">
        <v>2247</v>
      </c>
      <c r="E3293" s="126" t="s">
        <v>3179</v>
      </c>
      <c r="F3293" s="122" t="s">
        <v>1589</v>
      </c>
      <c r="G3293" s="122" t="s">
        <v>129</v>
      </c>
      <c r="H3293">
        <v>619</v>
      </c>
      <c r="I3293" s="122" t="s">
        <v>1546</v>
      </c>
      <c r="J3293" s="307" t="s">
        <v>214</v>
      </c>
      <c r="K3293" s="127" t="s">
        <v>4112</v>
      </c>
      <c r="L3293" s="151" t="s">
        <v>1579</v>
      </c>
      <c r="M3293">
        <v>874</v>
      </c>
      <c r="N3293" s="123">
        <v>17</v>
      </c>
      <c r="O3293">
        <v>2160</v>
      </c>
      <c r="P3293" s="132" t="s">
        <v>77</v>
      </c>
      <c r="Q3293" s="131">
        <v>1200</v>
      </c>
      <c r="R3293" s="131">
        <v>192</v>
      </c>
      <c r="S3293" s="131"/>
      <c r="T3293" s="155"/>
      <c r="U3293" s="131"/>
      <c r="V3293" s="131">
        <v>1392</v>
      </c>
      <c r="W3293"/>
      <c r="X3293" s="151" t="s">
        <v>1644</v>
      </c>
      <c r="Y3293" s="135" t="s">
        <v>55</v>
      </c>
      <c r="Z3293" s="307">
        <v>224</v>
      </c>
      <c r="AB3293" t="str">
        <f>IF(Table1[[#This Row],[TIPO2]]="costo", VLOOKUP(Table1[[#This Row],[PARTIDA PRESUPUESTAL]],'Cost Report'!G:G,1,0),"Balance")</f>
        <v>2494-031</v>
      </c>
      <c r="AC3293" s="118"/>
      <c r="AD3293" s="159">
        <f>+Table1[[#This Row],[SUBTOTAL]]+Table1[[#This Row],[IVA]]-Table1[[#This Row],[RET IVA]]-Table1[[#This Row],[RET ISR]]-Table1[[#This Row],[TOTAL]]</f>
        <v>0</v>
      </c>
      <c r="AE3293" s="150"/>
      <c r="AF3293" s="151"/>
      <c r="AG3293" s="126" t="s">
        <v>3420</v>
      </c>
      <c r="AK3293" s="306" t="str">
        <f>IF(ISNUMBER(Table1[[#This Row],[FECHA DE RECIBIDO]]), Table1[[#This Row],[FECHA DE RECIBIDO]]-DATE(2023,8,30), "")</f>
        <v/>
      </c>
    </row>
    <row r="3294" spans="1:37" ht="15" customHeight="1">
      <c r="A3294" s="152" t="s">
        <v>4168</v>
      </c>
      <c r="B3294" s="153">
        <v>1167</v>
      </c>
      <c r="C3294" s="126" t="s">
        <v>1519</v>
      </c>
      <c r="D3294">
        <v>2248</v>
      </c>
      <c r="E3294" s="126" t="s">
        <v>3179</v>
      </c>
      <c r="F3294" s="125" t="s">
        <v>1589</v>
      </c>
      <c r="G3294" s="125" t="s">
        <v>129</v>
      </c>
      <c r="H3294">
        <v>619</v>
      </c>
      <c r="I3294" s="125" t="s">
        <v>1546</v>
      </c>
      <c r="J3294" s="308" t="s">
        <v>214</v>
      </c>
      <c r="K3294" s="127" t="s">
        <v>4112</v>
      </c>
      <c r="L3294" s="153" t="s">
        <v>1579</v>
      </c>
      <c r="M3294">
        <v>874</v>
      </c>
      <c r="N3294" s="123">
        <v>17</v>
      </c>
      <c r="O3294">
        <v>2161</v>
      </c>
      <c r="P3294" s="132" t="s">
        <v>77</v>
      </c>
      <c r="Q3294" s="132">
        <v>881</v>
      </c>
      <c r="R3294" s="132">
        <v>140.96</v>
      </c>
      <c r="S3294" s="132"/>
      <c r="T3294" s="156"/>
      <c r="U3294" s="132"/>
      <c r="V3294" s="132">
        <v>1021.96</v>
      </c>
      <c r="W3294"/>
      <c r="X3294" s="153" t="s">
        <v>1644</v>
      </c>
      <c r="Y3294" s="124" t="s">
        <v>55</v>
      </c>
      <c r="Z3294" s="308">
        <v>224</v>
      </c>
      <c r="AB3294" t="str">
        <f>IF(Table1[[#This Row],[TIPO2]]="costo", VLOOKUP(Table1[[#This Row],[PARTIDA PRESUPUESTAL]],'Cost Report'!G:G,1,0),"Balance")</f>
        <v>2494-031</v>
      </c>
      <c r="AC3294" s="118"/>
      <c r="AD3294" s="159">
        <f>+Table1[[#This Row],[SUBTOTAL]]+Table1[[#This Row],[IVA]]-Table1[[#This Row],[RET IVA]]-Table1[[#This Row],[RET ISR]]-Table1[[#This Row],[TOTAL]]</f>
        <v>0</v>
      </c>
      <c r="AE3294" s="152"/>
      <c r="AF3294" s="153"/>
      <c r="AG3294" s="126" t="s">
        <v>3420</v>
      </c>
      <c r="AK3294" s="306" t="str">
        <f>IF(ISNUMBER(Table1[[#This Row],[FECHA DE RECIBIDO]]), Table1[[#This Row],[FECHA DE RECIBIDO]]-DATE(2023,8,30), "")</f>
        <v/>
      </c>
    </row>
    <row r="3295" spans="1:37" ht="15" customHeight="1">
      <c r="A3295" s="150" t="s">
        <v>4168</v>
      </c>
      <c r="B3295" s="151">
        <v>1167</v>
      </c>
      <c r="C3295" s="126" t="s">
        <v>1519</v>
      </c>
      <c r="D3295">
        <v>2249</v>
      </c>
      <c r="E3295" s="126" t="s">
        <v>2107</v>
      </c>
      <c r="F3295" s="122" t="s">
        <v>1589</v>
      </c>
      <c r="G3295" s="122" t="s">
        <v>129</v>
      </c>
      <c r="H3295">
        <v>620</v>
      </c>
      <c r="I3295" s="122" t="s">
        <v>1546</v>
      </c>
      <c r="J3295" s="307" t="s">
        <v>214</v>
      </c>
      <c r="K3295" s="127" t="s">
        <v>4112</v>
      </c>
      <c r="L3295" s="151" t="s">
        <v>1579</v>
      </c>
      <c r="M3295">
        <v>875</v>
      </c>
      <c r="N3295" s="123">
        <v>17</v>
      </c>
      <c r="O3295">
        <v>2162</v>
      </c>
      <c r="P3295" s="132" t="s">
        <v>77</v>
      </c>
      <c r="Q3295" s="131">
        <v>1150</v>
      </c>
      <c r="R3295" s="131">
        <v>184</v>
      </c>
      <c r="S3295" s="131"/>
      <c r="T3295" s="155"/>
      <c r="U3295" s="131"/>
      <c r="V3295" s="131">
        <v>1334</v>
      </c>
      <c r="W3295"/>
      <c r="X3295" s="151" t="s">
        <v>1644</v>
      </c>
      <c r="Y3295" s="135" t="s">
        <v>55</v>
      </c>
      <c r="Z3295" s="307">
        <v>231</v>
      </c>
      <c r="AB3295" t="str">
        <f>IF(Table1[[#This Row],[TIPO2]]="costo", VLOOKUP(Table1[[#This Row],[PARTIDA PRESUPUESTAL]],'Cost Report'!G:G,1,0),"Balance")</f>
        <v>2494-031</v>
      </c>
      <c r="AC3295" s="118"/>
      <c r="AD3295" s="159">
        <f>+Table1[[#This Row],[SUBTOTAL]]+Table1[[#This Row],[IVA]]-Table1[[#This Row],[RET IVA]]-Table1[[#This Row],[RET ISR]]-Table1[[#This Row],[TOTAL]]</f>
        <v>0</v>
      </c>
      <c r="AE3295" s="150"/>
      <c r="AF3295" s="151"/>
      <c r="AG3295" s="126" t="s">
        <v>3420</v>
      </c>
      <c r="AK3295" s="306" t="str">
        <f>IF(ISNUMBER(Table1[[#This Row],[FECHA DE RECIBIDO]]), Table1[[#This Row],[FECHA DE RECIBIDO]]-DATE(2023,8,30), "")</f>
        <v/>
      </c>
    </row>
    <row r="3296" spans="1:37" ht="15" customHeight="1">
      <c r="A3296" s="152" t="s">
        <v>4168</v>
      </c>
      <c r="B3296" s="153">
        <v>1167</v>
      </c>
      <c r="C3296" s="126" t="s">
        <v>1505</v>
      </c>
      <c r="D3296">
        <v>2250</v>
      </c>
      <c r="E3296" s="126" t="s">
        <v>1605</v>
      </c>
      <c r="F3296" s="125" t="s">
        <v>1589</v>
      </c>
      <c r="G3296" s="125" t="s">
        <v>129</v>
      </c>
      <c r="H3296">
        <v>621</v>
      </c>
      <c r="I3296" s="125" t="s">
        <v>1546</v>
      </c>
      <c r="J3296" s="308" t="s">
        <v>214</v>
      </c>
      <c r="K3296" s="127" t="s">
        <v>4112</v>
      </c>
      <c r="L3296" s="153" t="s">
        <v>1579</v>
      </c>
      <c r="M3296">
        <v>876</v>
      </c>
      <c r="N3296" s="123">
        <v>17</v>
      </c>
      <c r="O3296">
        <v>2163</v>
      </c>
      <c r="P3296" s="132" t="s">
        <v>77</v>
      </c>
      <c r="Q3296" s="132">
        <v>375</v>
      </c>
      <c r="R3296" s="132">
        <v>60</v>
      </c>
      <c r="S3296" s="132"/>
      <c r="T3296" s="156"/>
      <c r="U3296" s="132"/>
      <c r="V3296" s="132">
        <v>435</v>
      </c>
      <c r="W3296"/>
      <c r="X3296" s="153" t="s">
        <v>1644</v>
      </c>
      <c r="Y3296" s="124" t="s">
        <v>55</v>
      </c>
      <c r="Z3296" s="308">
        <v>232</v>
      </c>
      <c r="AB3296" t="str">
        <f>IF(Table1[[#This Row],[TIPO2]]="costo", VLOOKUP(Table1[[#This Row],[PARTIDA PRESUPUESTAL]],'Cost Report'!G:G,1,0),"Balance")</f>
        <v>2494-003</v>
      </c>
      <c r="AC3296" s="118"/>
      <c r="AD3296" s="159">
        <f>+Table1[[#This Row],[SUBTOTAL]]+Table1[[#This Row],[IVA]]-Table1[[#This Row],[RET IVA]]-Table1[[#This Row],[RET ISR]]-Table1[[#This Row],[TOTAL]]</f>
        <v>0</v>
      </c>
      <c r="AE3296" s="152"/>
      <c r="AF3296" s="153"/>
      <c r="AG3296" s="126" t="s">
        <v>3420</v>
      </c>
      <c r="AK3296" s="306" t="str">
        <f>IF(ISNUMBER(Table1[[#This Row],[FECHA DE RECIBIDO]]), Table1[[#This Row],[FECHA DE RECIBIDO]]-DATE(2023,8,30), "")</f>
        <v/>
      </c>
    </row>
    <row r="3297" spans="1:37" ht="15" customHeight="1">
      <c r="A3297" s="150" t="s">
        <v>4168</v>
      </c>
      <c r="B3297" s="151">
        <v>1167</v>
      </c>
      <c r="C3297" s="126" t="s">
        <v>1519</v>
      </c>
      <c r="D3297">
        <v>2251</v>
      </c>
      <c r="E3297" s="126" t="s">
        <v>2107</v>
      </c>
      <c r="F3297" s="122" t="s">
        <v>1589</v>
      </c>
      <c r="G3297" s="122" t="s">
        <v>129</v>
      </c>
      <c r="H3297">
        <v>622</v>
      </c>
      <c r="I3297" s="122" t="s">
        <v>1546</v>
      </c>
      <c r="J3297" s="307" t="s">
        <v>214</v>
      </c>
      <c r="K3297" s="127" t="s">
        <v>4112</v>
      </c>
      <c r="L3297" s="151" t="s">
        <v>1579</v>
      </c>
      <c r="M3297">
        <v>877</v>
      </c>
      <c r="N3297" s="123">
        <v>17</v>
      </c>
      <c r="O3297">
        <v>2164</v>
      </c>
      <c r="P3297" s="132" t="s">
        <v>77</v>
      </c>
      <c r="Q3297" s="131">
        <v>107.64</v>
      </c>
      <c r="R3297" s="131">
        <v>17.22</v>
      </c>
      <c r="S3297" s="131"/>
      <c r="T3297" s="155"/>
      <c r="U3297" s="131"/>
      <c r="V3297" s="131">
        <v>124.86</v>
      </c>
      <c r="W3297"/>
      <c r="X3297" s="151" t="s">
        <v>1644</v>
      </c>
      <c r="Y3297" s="135" t="s">
        <v>55</v>
      </c>
      <c r="Z3297" s="307">
        <v>224</v>
      </c>
      <c r="AB3297" t="str">
        <f>IF(Table1[[#This Row],[TIPO2]]="costo", VLOOKUP(Table1[[#This Row],[PARTIDA PRESUPUESTAL]],'Cost Report'!G:G,1,0),"Balance")</f>
        <v>2494-031</v>
      </c>
      <c r="AC3297" s="118"/>
      <c r="AD3297" s="159">
        <f>+Table1[[#This Row],[SUBTOTAL]]+Table1[[#This Row],[IVA]]-Table1[[#This Row],[RET IVA]]-Table1[[#This Row],[RET ISR]]-Table1[[#This Row],[TOTAL]]</f>
        <v>0</v>
      </c>
      <c r="AE3297" s="150"/>
      <c r="AF3297" s="151"/>
      <c r="AG3297" s="126" t="s">
        <v>3420</v>
      </c>
      <c r="AK3297" s="306" t="str">
        <f>IF(ISNUMBER(Table1[[#This Row],[FECHA DE RECIBIDO]]), Table1[[#This Row],[FECHA DE RECIBIDO]]-DATE(2023,8,30), "")</f>
        <v/>
      </c>
    </row>
    <row r="3298" spans="1:37" ht="15" customHeight="1">
      <c r="A3298" s="152" t="s">
        <v>4168</v>
      </c>
      <c r="B3298" s="153">
        <v>1167</v>
      </c>
      <c r="C3298" s="126" t="s">
        <v>1519</v>
      </c>
      <c r="D3298">
        <v>2252</v>
      </c>
      <c r="E3298" s="126" t="s">
        <v>3277</v>
      </c>
      <c r="F3298" s="125" t="s">
        <v>1589</v>
      </c>
      <c r="G3298" s="125" t="s">
        <v>129</v>
      </c>
      <c r="H3298">
        <v>241</v>
      </c>
      <c r="I3298" s="125" t="s">
        <v>1546</v>
      </c>
      <c r="J3298" s="308" t="s">
        <v>214</v>
      </c>
      <c r="K3298" s="127" t="s">
        <v>4112</v>
      </c>
      <c r="L3298" s="153" t="s">
        <v>1579</v>
      </c>
      <c r="M3298">
        <v>313</v>
      </c>
      <c r="N3298" s="123">
        <v>17</v>
      </c>
      <c r="O3298">
        <v>2165</v>
      </c>
      <c r="P3298" s="132" t="s">
        <v>77</v>
      </c>
      <c r="Q3298" s="132">
        <v>440</v>
      </c>
      <c r="R3298" s="132">
        <v>70.400000000000006</v>
      </c>
      <c r="S3298" s="132"/>
      <c r="T3298" s="156"/>
      <c r="U3298" s="132"/>
      <c r="V3298" s="132">
        <v>510.4</v>
      </c>
      <c r="W3298"/>
      <c r="X3298" s="153" t="s">
        <v>1644</v>
      </c>
      <c r="Y3298" s="124" t="s">
        <v>55</v>
      </c>
      <c r="Z3298" s="308">
        <v>232</v>
      </c>
      <c r="AB3298" t="str">
        <f>IF(Table1[[#This Row],[TIPO2]]="costo", VLOOKUP(Table1[[#This Row],[PARTIDA PRESUPUESTAL]],'Cost Report'!G:G,1,0),"Balance")</f>
        <v>2494-031</v>
      </c>
      <c r="AC3298" s="118"/>
      <c r="AD3298" s="159">
        <f>+Table1[[#This Row],[SUBTOTAL]]+Table1[[#This Row],[IVA]]-Table1[[#This Row],[RET IVA]]-Table1[[#This Row],[RET ISR]]-Table1[[#This Row],[TOTAL]]</f>
        <v>0</v>
      </c>
      <c r="AE3298" s="152"/>
      <c r="AF3298" s="153"/>
      <c r="AG3298" s="126" t="s">
        <v>3420</v>
      </c>
      <c r="AK3298" s="306" t="str">
        <f>IF(ISNUMBER(Table1[[#This Row],[FECHA DE RECIBIDO]]), Table1[[#This Row],[FECHA DE RECIBIDO]]-DATE(2023,8,30), "")</f>
        <v/>
      </c>
    </row>
    <row r="3299" spans="1:37" ht="15" customHeight="1">
      <c r="A3299" s="150" t="s">
        <v>4168</v>
      </c>
      <c r="B3299" s="151">
        <v>1167</v>
      </c>
      <c r="C3299" s="126" t="s">
        <v>2461</v>
      </c>
      <c r="D3299">
        <v>2253</v>
      </c>
      <c r="E3299" s="126" t="s">
        <v>3275</v>
      </c>
      <c r="F3299" s="122" t="s">
        <v>1589</v>
      </c>
      <c r="G3299" s="122" t="s">
        <v>129</v>
      </c>
      <c r="H3299">
        <v>623</v>
      </c>
      <c r="I3299" s="122" t="s">
        <v>1546</v>
      </c>
      <c r="J3299" s="307" t="s">
        <v>214</v>
      </c>
      <c r="K3299" s="127" t="s">
        <v>4112</v>
      </c>
      <c r="L3299" s="151" t="s">
        <v>1579</v>
      </c>
      <c r="M3299">
        <v>878</v>
      </c>
      <c r="N3299" s="123">
        <v>17</v>
      </c>
      <c r="O3299">
        <v>2166</v>
      </c>
      <c r="P3299" s="132" t="s">
        <v>77</v>
      </c>
      <c r="Q3299" s="131">
        <v>741.37</v>
      </c>
      <c r="R3299" s="131">
        <v>118.62</v>
      </c>
      <c r="S3299" s="131"/>
      <c r="T3299" s="155"/>
      <c r="U3299" s="131"/>
      <c r="V3299" s="131">
        <v>859.99</v>
      </c>
      <c r="W3299"/>
      <c r="X3299" s="151" t="s">
        <v>1644</v>
      </c>
      <c r="Y3299" s="135" t="s">
        <v>55</v>
      </c>
      <c r="Z3299" s="307">
        <v>232</v>
      </c>
      <c r="AB3299" t="str">
        <f>IF(Table1[[#This Row],[TIPO2]]="costo", VLOOKUP(Table1[[#This Row],[PARTIDA PRESUPUESTAL]],'Cost Report'!G:G,1,0),"Balance")</f>
        <v>2385-003</v>
      </c>
      <c r="AC3299" s="118"/>
      <c r="AD3299" s="159">
        <f>+Table1[[#This Row],[SUBTOTAL]]+Table1[[#This Row],[IVA]]-Table1[[#This Row],[RET IVA]]-Table1[[#This Row],[RET ISR]]-Table1[[#This Row],[TOTAL]]</f>
        <v>0</v>
      </c>
      <c r="AE3299" s="150"/>
      <c r="AF3299" s="151"/>
      <c r="AG3299" s="126" t="s">
        <v>3420</v>
      </c>
      <c r="AK3299" s="306" t="str">
        <f>IF(ISNUMBER(Table1[[#This Row],[FECHA DE RECIBIDO]]), Table1[[#This Row],[FECHA DE RECIBIDO]]-DATE(2023,8,30), "")</f>
        <v/>
      </c>
    </row>
    <row r="3300" spans="1:37" ht="15" customHeight="1">
      <c r="A3300" s="152" t="s">
        <v>4168</v>
      </c>
      <c r="B3300" s="153">
        <v>1167</v>
      </c>
      <c r="C3300" s="126" t="s">
        <v>2461</v>
      </c>
      <c r="D3300">
        <v>2254</v>
      </c>
      <c r="E3300" s="126" t="s">
        <v>1603</v>
      </c>
      <c r="F3300" s="125" t="s">
        <v>1607</v>
      </c>
      <c r="G3300" s="125" t="s">
        <v>134</v>
      </c>
      <c r="H3300">
        <v>610</v>
      </c>
      <c r="I3300" s="125" t="s">
        <v>1546</v>
      </c>
      <c r="J3300" s="308" t="s">
        <v>214</v>
      </c>
      <c r="K3300" s="127" t="s">
        <v>4112</v>
      </c>
      <c r="L3300" s="153" t="s">
        <v>1579</v>
      </c>
      <c r="M3300">
        <v>864</v>
      </c>
      <c r="N3300" s="123">
        <v>17</v>
      </c>
      <c r="O3300">
        <v>2167</v>
      </c>
      <c r="P3300" s="132" t="s">
        <v>77</v>
      </c>
      <c r="Q3300" s="132">
        <v>1557.76</v>
      </c>
      <c r="R3300" s="132">
        <v>249.24</v>
      </c>
      <c r="S3300" s="132"/>
      <c r="T3300" s="156"/>
      <c r="U3300" s="132"/>
      <c r="V3300" s="132">
        <v>1807</v>
      </c>
      <c r="W3300"/>
      <c r="X3300" s="153" t="s">
        <v>1644</v>
      </c>
      <c r="Y3300" s="124" t="s">
        <v>55</v>
      </c>
      <c r="Z3300" s="308">
        <v>229</v>
      </c>
      <c r="AB3300" t="str">
        <f>IF(Table1[[#This Row],[TIPO2]]="costo", VLOOKUP(Table1[[#This Row],[PARTIDA PRESUPUESTAL]],'Cost Report'!G:G,1,0),"Balance")</f>
        <v>2385-003</v>
      </c>
      <c r="AC3300" s="118"/>
      <c r="AD3300" s="159">
        <f>+Table1[[#This Row],[SUBTOTAL]]+Table1[[#This Row],[IVA]]-Table1[[#This Row],[RET IVA]]-Table1[[#This Row],[RET ISR]]-Table1[[#This Row],[TOTAL]]</f>
        <v>0</v>
      </c>
      <c r="AE3300" s="152"/>
      <c r="AF3300" s="153"/>
      <c r="AG3300" s="126" t="s">
        <v>3420</v>
      </c>
      <c r="AK3300" s="306" t="str">
        <f>IF(ISNUMBER(Table1[[#This Row],[FECHA DE RECIBIDO]]), Table1[[#This Row],[FECHA DE RECIBIDO]]-DATE(2023,8,30), "")</f>
        <v/>
      </c>
    </row>
    <row r="3301" spans="1:37" ht="15" customHeight="1">
      <c r="A3301" s="150" t="s">
        <v>4168</v>
      </c>
      <c r="B3301" s="151">
        <v>1167</v>
      </c>
      <c r="C3301" s="126" t="s">
        <v>2458</v>
      </c>
      <c r="D3301">
        <v>2255</v>
      </c>
      <c r="E3301" s="126" t="s">
        <v>3232</v>
      </c>
      <c r="F3301" s="122" t="s">
        <v>1589</v>
      </c>
      <c r="G3301" s="122" t="s">
        <v>129</v>
      </c>
      <c r="H3301">
        <v>211</v>
      </c>
      <c r="I3301" s="122" t="s">
        <v>1546</v>
      </c>
      <c r="J3301" s="307" t="s">
        <v>214</v>
      </c>
      <c r="K3301" s="127" t="s">
        <v>4112</v>
      </c>
      <c r="L3301" s="151" t="s">
        <v>1579</v>
      </c>
      <c r="M3301">
        <v>275</v>
      </c>
      <c r="N3301" s="123">
        <v>17</v>
      </c>
      <c r="O3301">
        <v>2168</v>
      </c>
      <c r="P3301" s="132" t="s">
        <v>77</v>
      </c>
      <c r="Q3301" s="131">
        <v>168.1</v>
      </c>
      <c r="R3301" s="131">
        <v>126.9</v>
      </c>
      <c r="S3301" s="131"/>
      <c r="T3301" s="155"/>
      <c r="U3301" s="131"/>
      <c r="V3301" s="131">
        <v>295</v>
      </c>
      <c r="W3301"/>
      <c r="X3301" s="151" t="s">
        <v>1644</v>
      </c>
      <c r="Y3301" s="135" t="s">
        <v>55</v>
      </c>
      <c r="Z3301" s="307">
        <v>229</v>
      </c>
      <c r="AB3301" t="str">
        <f>IF(Table1[[#This Row],[TIPO2]]="costo", VLOOKUP(Table1[[#This Row],[PARTIDA PRESUPUESTAL]],'Cost Report'!G:G,1,0),"Balance")</f>
        <v>2311-003</v>
      </c>
      <c r="AC3301" s="118"/>
      <c r="AD3301" s="159">
        <f>+Table1[[#This Row],[SUBTOTAL]]+Table1[[#This Row],[IVA]]-Table1[[#This Row],[RET IVA]]-Table1[[#This Row],[RET ISR]]-Table1[[#This Row],[TOTAL]]</f>
        <v>0</v>
      </c>
      <c r="AE3301" s="150"/>
      <c r="AF3301" s="151"/>
      <c r="AG3301" s="126" t="s">
        <v>3420</v>
      </c>
      <c r="AK3301" s="306" t="str">
        <f>IF(ISNUMBER(Table1[[#This Row],[FECHA DE RECIBIDO]]), Table1[[#This Row],[FECHA DE RECIBIDO]]-DATE(2023,8,30), "")</f>
        <v/>
      </c>
    </row>
    <row r="3302" spans="1:37" ht="15" customHeight="1">
      <c r="A3302" s="152" t="s">
        <v>4168</v>
      </c>
      <c r="B3302" s="153">
        <v>1167</v>
      </c>
      <c r="C3302" s="126" t="s">
        <v>2458</v>
      </c>
      <c r="D3302">
        <v>2256</v>
      </c>
      <c r="E3302" s="126" t="s">
        <v>1603</v>
      </c>
      <c r="F3302" s="125" t="s">
        <v>1607</v>
      </c>
      <c r="G3302" s="125" t="s">
        <v>134</v>
      </c>
      <c r="H3302">
        <v>99</v>
      </c>
      <c r="I3302" s="125" t="s">
        <v>1546</v>
      </c>
      <c r="J3302" s="308" t="s">
        <v>214</v>
      </c>
      <c r="K3302" s="127" t="s">
        <v>4112</v>
      </c>
      <c r="L3302" s="153" t="s">
        <v>1579</v>
      </c>
      <c r="M3302">
        <v>134</v>
      </c>
      <c r="N3302" s="123">
        <v>17</v>
      </c>
      <c r="O3302">
        <v>2169</v>
      </c>
      <c r="P3302" s="132" t="s">
        <v>77</v>
      </c>
      <c r="Q3302" s="132">
        <v>734.48</v>
      </c>
      <c r="R3302" s="132">
        <v>117.52</v>
      </c>
      <c r="S3302" s="132"/>
      <c r="T3302" s="156"/>
      <c r="U3302" s="132"/>
      <c r="V3302" s="132">
        <v>852</v>
      </c>
      <c r="W3302"/>
      <c r="X3302" s="153" t="s">
        <v>1644</v>
      </c>
      <c r="Y3302" s="124" t="s">
        <v>55</v>
      </c>
      <c r="Z3302" s="308">
        <v>230</v>
      </c>
      <c r="AB3302" t="str">
        <f>IF(Table1[[#This Row],[TIPO2]]="costo", VLOOKUP(Table1[[#This Row],[PARTIDA PRESUPUESTAL]],'Cost Report'!G:G,1,0),"Balance")</f>
        <v>2311-003</v>
      </c>
      <c r="AC3302" s="118"/>
      <c r="AD3302" s="159">
        <f>+Table1[[#This Row],[SUBTOTAL]]+Table1[[#This Row],[IVA]]-Table1[[#This Row],[RET IVA]]-Table1[[#This Row],[RET ISR]]-Table1[[#This Row],[TOTAL]]</f>
        <v>0</v>
      </c>
      <c r="AE3302" s="152"/>
      <c r="AF3302" s="153"/>
      <c r="AG3302" s="126" t="s">
        <v>3420</v>
      </c>
      <c r="AK3302" s="306" t="str">
        <f>IF(ISNUMBER(Table1[[#This Row],[FECHA DE RECIBIDO]]), Table1[[#This Row],[FECHA DE RECIBIDO]]-DATE(2023,8,30), "")</f>
        <v/>
      </c>
    </row>
    <row r="3303" spans="1:37" ht="15" customHeight="1">
      <c r="A3303" s="150" t="s">
        <v>4168</v>
      </c>
      <c r="B3303" s="151">
        <v>1167</v>
      </c>
      <c r="C3303" s="126" t="s">
        <v>2461</v>
      </c>
      <c r="D3303">
        <v>2257</v>
      </c>
      <c r="E3303" s="126" t="s">
        <v>4192</v>
      </c>
      <c r="F3303" s="122" t="s">
        <v>1589</v>
      </c>
      <c r="G3303" s="122" t="s">
        <v>129</v>
      </c>
      <c r="H3303">
        <v>624</v>
      </c>
      <c r="I3303" s="122" t="s">
        <v>1546</v>
      </c>
      <c r="J3303" s="307" t="s">
        <v>214</v>
      </c>
      <c r="K3303" s="127" t="s">
        <v>4112</v>
      </c>
      <c r="L3303" s="151" t="s">
        <v>1579</v>
      </c>
      <c r="M3303">
        <v>879</v>
      </c>
      <c r="N3303" s="123">
        <v>17</v>
      </c>
      <c r="O3303">
        <v>2170</v>
      </c>
      <c r="P3303" s="132" t="s">
        <v>77</v>
      </c>
      <c r="Q3303" s="131">
        <v>137.93</v>
      </c>
      <c r="R3303" s="131">
        <v>22.07</v>
      </c>
      <c r="S3303" s="131"/>
      <c r="T3303" s="155"/>
      <c r="U3303" s="131"/>
      <c r="V3303" s="131">
        <v>160</v>
      </c>
      <c r="W3303"/>
      <c r="X3303" s="151" t="s">
        <v>1644</v>
      </c>
      <c r="Y3303" s="135" t="s">
        <v>55</v>
      </c>
      <c r="Z3303" s="307">
        <v>231</v>
      </c>
      <c r="AB3303" t="str">
        <f>IF(Table1[[#This Row],[TIPO2]]="costo", VLOOKUP(Table1[[#This Row],[PARTIDA PRESUPUESTAL]],'Cost Report'!G:G,1,0),"Balance")</f>
        <v>2385-003</v>
      </c>
      <c r="AC3303" s="118"/>
      <c r="AD3303" s="159">
        <f>+Table1[[#This Row],[SUBTOTAL]]+Table1[[#This Row],[IVA]]-Table1[[#This Row],[RET IVA]]-Table1[[#This Row],[RET ISR]]-Table1[[#This Row],[TOTAL]]</f>
        <v>0</v>
      </c>
      <c r="AE3303" s="150"/>
      <c r="AF3303" s="151"/>
      <c r="AG3303" s="126" t="s">
        <v>3420</v>
      </c>
      <c r="AK3303" s="306" t="str">
        <f>IF(ISNUMBER(Table1[[#This Row],[FECHA DE RECIBIDO]]), Table1[[#This Row],[FECHA DE RECIBIDO]]-DATE(2023,8,30), "")</f>
        <v/>
      </c>
    </row>
    <row r="3304" spans="1:37" ht="15" customHeight="1">
      <c r="A3304" s="152" t="s">
        <v>4168</v>
      </c>
      <c r="B3304" s="153">
        <v>1167</v>
      </c>
      <c r="C3304" s="126" t="s">
        <v>1505</v>
      </c>
      <c r="D3304">
        <v>2258</v>
      </c>
      <c r="E3304" s="126" t="s">
        <v>2001</v>
      </c>
      <c r="F3304" s="125" t="s">
        <v>1593</v>
      </c>
      <c r="G3304" s="125" t="s">
        <v>109</v>
      </c>
      <c r="H3304">
        <v>247</v>
      </c>
      <c r="I3304" s="125" t="s">
        <v>1546</v>
      </c>
      <c r="J3304" s="308" t="s">
        <v>214</v>
      </c>
      <c r="K3304" s="127" t="s">
        <v>4112</v>
      </c>
      <c r="L3304" s="153" t="s">
        <v>1579</v>
      </c>
      <c r="M3304">
        <v>322</v>
      </c>
      <c r="N3304" s="123">
        <v>17</v>
      </c>
      <c r="O3304">
        <v>2171</v>
      </c>
      <c r="P3304" s="132" t="s">
        <v>77</v>
      </c>
      <c r="Q3304" s="132">
        <v>963.84</v>
      </c>
      <c r="R3304" s="132">
        <v>156.16</v>
      </c>
      <c r="S3304" s="132"/>
      <c r="T3304" s="156"/>
      <c r="U3304" s="132"/>
      <c r="V3304" s="132">
        <v>1120</v>
      </c>
      <c r="W3304"/>
      <c r="X3304" s="153" t="s">
        <v>1644</v>
      </c>
      <c r="Y3304" s="124" t="s">
        <v>55</v>
      </c>
      <c r="Z3304" s="308">
        <v>232</v>
      </c>
      <c r="AB3304" t="str">
        <f>IF(Table1[[#This Row],[TIPO2]]="costo", VLOOKUP(Table1[[#This Row],[PARTIDA PRESUPUESTAL]],'Cost Report'!G:G,1,0),"Balance")</f>
        <v>2494-003</v>
      </c>
      <c r="AC3304" s="118"/>
      <c r="AD3304" s="159">
        <f>+Table1[[#This Row],[SUBTOTAL]]+Table1[[#This Row],[IVA]]-Table1[[#This Row],[RET IVA]]-Table1[[#This Row],[RET ISR]]-Table1[[#This Row],[TOTAL]]</f>
        <v>0</v>
      </c>
      <c r="AE3304" s="152"/>
      <c r="AF3304" s="153"/>
      <c r="AG3304" s="126" t="s">
        <v>3420</v>
      </c>
      <c r="AK3304" s="306" t="str">
        <f>IF(ISNUMBER(Table1[[#This Row],[FECHA DE RECIBIDO]]), Table1[[#This Row],[FECHA DE RECIBIDO]]-DATE(2023,8,30), "")</f>
        <v/>
      </c>
    </row>
    <row r="3305" spans="1:37" ht="15" customHeight="1">
      <c r="A3305" s="150" t="s">
        <v>4168</v>
      </c>
      <c r="B3305" s="151">
        <v>1167</v>
      </c>
      <c r="C3305" s="126" t="s">
        <v>1505</v>
      </c>
      <c r="D3305">
        <v>2259</v>
      </c>
      <c r="E3305" s="126" t="s">
        <v>3932</v>
      </c>
      <c r="F3305" s="122" t="s">
        <v>1607</v>
      </c>
      <c r="G3305" s="122" t="s">
        <v>134</v>
      </c>
      <c r="H3305">
        <v>625</v>
      </c>
      <c r="I3305" s="122" t="s">
        <v>1546</v>
      </c>
      <c r="J3305" s="307" t="s">
        <v>214</v>
      </c>
      <c r="K3305" s="127" t="s">
        <v>4112</v>
      </c>
      <c r="L3305" s="151" t="s">
        <v>1579</v>
      </c>
      <c r="M3305">
        <v>880</v>
      </c>
      <c r="N3305" s="123">
        <v>17</v>
      </c>
      <c r="O3305">
        <v>2172</v>
      </c>
      <c r="P3305" s="132" t="s">
        <v>77</v>
      </c>
      <c r="Q3305" s="131">
        <v>1015</v>
      </c>
      <c r="R3305" s="131">
        <v>162.4</v>
      </c>
      <c r="S3305" s="131"/>
      <c r="T3305" s="155"/>
      <c r="U3305" s="131"/>
      <c r="V3305" s="131">
        <v>1177.4000000000001</v>
      </c>
      <c r="W3305"/>
      <c r="X3305" s="151" t="s">
        <v>1644</v>
      </c>
      <c r="Y3305" s="135" t="s">
        <v>55</v>
      </c>
      <c r="Z3305" s="307">
        <v>236</v>
      </c>
      <c r="AB3305" t="str">
        <f>IF(Table1[[#This Row],[TIPO2]]="costo", VLOOKUP(Table1[[#This Row],[PARTIDA PRESUPUESTAL]],'Cost Report'!G:G,1,0),"Balance")</f>
        <v>2494-003</v>
      </c>
      <c r="AC3305" s="118"/>
      <c r="AD3305" s="159">
        <f>+Table1[[#This Row],[SUBTOTAL]]+Table1[[#This Row],[IVA]]-Table1[[#This Row],[RET IVA]]-Table1[[#This Row],[RET ISR]]-Table1[[#This Row],[TOTAL]]</f>
        <v>0</v>
      </c>
      <c r="AE3305" s="150"/>
      <c r="AF3305" s="151"/>
      <c r="AG3305" s="126" t="s">
        <v>3420</v>
      </c>
      <c r="AK3305" s="306" t="str">
        <f>IF(ISNUMBER(Table1[[#This Row],[FECHA DE RECIBIDO]]), Table1[[#This Row],[FECHA DE RECIBIDO]]-DATE(2023,8,30), "")</f>
        <v/>
      </c>
    </row>
    <row r="3306" spans="1:37" ht="15" customHeight="1">
      <c r="A3306" s="152" t="s">
        <v>4168</v>
      </c>
      <c r="B3306" s="153">
        <v>1167</v>
      </c>
      <c r="C3306" s="126" t="s">
        <v>2461</v>
      </c>
      <c r="D3306">
        <v>2260</v>
      </c>
      <c r="E3306" s="126" t="s">
        <v>3363</v>
      </c>
      <c r="F3306" s="125" t="s">
        <v>1607</v>
      </c>
      <c r="G3306" s="125" t="s">
        <v>134</v>
      </c>
      <c r="H3306">
        <v>99</v>
      </c>
      <c r="I3306" s="125" t="s">
        <v>1546</v>
      </c>
      <c r="J3306" s="308" t="s">
        <v>214</v>
      </c>
      <c r="K3306" s="127" t="s">
        <v>4112</v>
      </c>
      <c r="L3306" s="153" t="s">
        <v>1579</v>
      </c>
      <c r="M3306">
        <v>134</v>
      </c>
      <c r="N3306" s="123">
        <v>17</v>
      </c>
      <c r="O3306">
        <v>2173</v>
      </c>
      <c r="P3306" s="132" t="s">
        <v>77</v>
      </c>
      <c r="Q3306" s="132">
        <v>2579.31</v>
      </c>
      <c r="R3306" s="132">
        <v>412.69</v>
      </c>
      <c r="S3306" s="132"/>
      <c r="T3306" s="156"/>
      <c r="U3306" s="132"/>
      <c r="V3306" s="132">
        <v>2992</v>
      </c>
      <c r="W3306"/>
      <c r="X3306" s="153" t="s">
        <v>1644</v>
      </c>
      <c r="Y3306" s="124" t="s">
        <v>55</v>
      </c>
      <c r="Z3306" s="308">
        <v>229</v>
      </c>
      <c r="AB3306" t="str">
        <f>IF(Table1[[#This Row],[TIPO2]]="costo", VLOOKUP(Table1[[#This Row],[PARTIDA PRESUPUESTAL]],'Cost Report'!G:G,1,0),"Balance")</f>
        <v>2385-003</v>
      </c>
      <c r="AC3306" s="118"/>
      <c r="AD3306" s="159">
        <f>+Table1[[#This Row],[SUBTOTAL]]+Table1[[#This Row],[IVA]]-Table1[[#This Row],[RET IVA]]-Table1[[#This Row],[RET ISR]]-Table1[[#This Row],[TOTAL]]</f>
        <v>0</v>
      </c>
      <c r="AE3306" s="152"/>
      <c r="AF3306" s="153"/>
      <c r="AG3306" s="126" t="s">
        <v>3420</v>
      </c>
      <c r="AK3306" s="306" t="str">
        <f>IF(ISNUMBER(Table1[[#This Row],[FECHA DE RECIBIDO]]), Table1[[#This Row],[FECHA DE RECIBIDO]]-DATE(2023,8,30), "")</f>
        <v/>
      </c>
    </row>
    <row r="3307" spans="1:37" ht="15" customHeight="1">
      <c r="A3307" s="150" t="s">
        <v>4168</v>
      </c>
      <c r="B3307" s="151">
        <v>1167</v>
      </c>
      <c r="C3307" s="126" t="s">
        <v>1505</v>
      </c>
      <c r="D3307">
        <v>2261</v>
      </c>
      <c r="E3307" s="126" t="s">
        <v>1596</v>
      </c>
      <c r="F3307" s="122" t="s">
        <v>1589</v>
      </c>
      <c r="G3307" s="122" t="s">
        <v>129</v>
      </c>
      <c r="H3307">
        <v>296</v>
      </c>
      <c r="I3307" s="122" t="s">
        <v>1546</v>
      </c>
      <c r="J3307" s="307" t="s">
        <v>214</v>
      </c>
      <c r="K3307" s="127" t="s">
        <v>4112</v>
      </c>
      <c r="L3307" s="151" t="s">
        <v>1579</v>
      </c>
      <c r="M3307">
        <v>390</v>
      </c>
      <c r="N3307" s="123">
        <v>17</v>
      </c>
      <c r="O3307">
        <v>2174</v>
      </c>
      <c r="P3307" s="132" t="s">
        <v>77</v>
      </c>
      <c r="Q3307" s="131">
        <v>1094.83</v>
      </c>
      <c r="R3307" s="131">
        <v>175.17</v>
      </c>
      <c r="S3307" s="131"/>
      <c r="T3307" s="155"/>
      <c r="U3307" s="131"/>
      <c r="V3307" s="131">
        <v>1270</v>
      </c>
      <c r="W3307"/>
      <c r="X3307" s="151" t="s">
        <v>1644</v>
      </c>
      <c r="Y3307" s="135" t="s">
        <v>55</v>
      </c>
      <c r="Z3307" s="307">
        <v>232</v>
      </c>
      <c r="AB3307" t="str">
        <f>IF(Table1[[#This Row],[TIPO2]]="costo", VLOOKUP(Table1[[#This Row],[PARTIDA PRESUPUESTAL]],'Cost Report'!G:G,1,0),"Balance")</f>
        <v>2494-003</v>
      </c>
      <c r="AC3307" s="118"/>
      <c r="AD3307" s="159">
        <f>+Table1[[#This Row],[SUBTOTAL]]+Table1[[#This Row],[IVA]]-Table1[[#This Row],[RET IVA]]-Table1[[#This Row],[RET ISR]]-Table1[[#This Row],[TOTAL]]</f>
        <v>0</v>
      </c>
      <c r="AE3307" s="150"/>
      <c r="AF3307" s="151"/>
      <c r="AG3307" s="126" t="s">
        <v>3420</v>
      </c>
      <c r="AK3307" s="306" t="str">
        <f>IF(ISNUMBER(Table1[[#This Row],[FECHA DE RECIBIDO]]), Table1[[#This Row],[FECHA DE RECIBIDO]]-DATE(2023,8,30), "")</f>
        <v/>
      </c>
    </row>
    <row r="3308" spans="1:37" ht="15" customHeight="1">
      <c r="A3308" s="152" t="s">
        <v>4168</v>
      </c>
      <c r="B3308" s="153">
        <v>1167</v>
      </c>
      <c r="C3308" s="126" t="s">
        <v>2458</v>
      </c>
      <c r="D3308">
        <v>2262</v>
      </c>
      <c r="E3308" s="126" t="s">
        <v>3232</v>
      </c>
      <c r="F3308" s="125" t="s">
        <v>1589</v>
      </c>
      <c r="G3308" s="125" t="s">
        <v>129</v>
      </c>
      <c r="H3308">
        <v>211</v>
      </c>
      <c r="I3308" s="125" t="s">
        <v>1546</v>
      </c>
      <c r="J3308" s="308" t="s">
        <v>214</v>
      </c>
      <c r="K3308" s="127" t="s">
        <v>4112</v>
      </c>
      <c r="L3308" s="153" t="s">
        <v>1579</v>
      </c>
      <c r="M3308">
        <v>275</v>
      </c>
      <c r="N3308" s="123">
        <v>17</v>
      </c>
      <c r="O3308">
        <v>2175</v>
      </c>
      <c r="P3308" s="132" t="s">
        <v>77</v>
      </c>
      <c r="Q3308" s="132">
        <v>3083.44</v>
      </c>
      <c r="R3308" s="132">
        <v>493.35</v>
      </c>
      <c r="S3308" s="132"/>
      <c r="T3308" s="156"/>
      <c r="U3308" s="132"/>
      <c r="V3308" s="132">
        <v>3576.79</v>
      </c>
      <c r="W3308"/>
      <c r="X3308" s="153" t="s">
        <v>1644</v>
      </c>
      <c r="Y3308" s="124" t="s">
        <v>55</v>
      </c>
      <c r="Z3308" s="308">
        <v>232</v>
      </c>
      <c r="AB3308" t="str">
        <f>IF(Table1[[#This Row],[TIPO2]]="costo", VLOOKUP(Table1[[#This Row],[PARTIDA PRESUPUESTAL]],'Cost Report'!G:G,1,0),"Balance")</f>
        <v>2311-003</v>
      </c>
      <c r="AC3308" s="118"/>
      <c r="AD3308" s="159">
        <f>+Table1[[#This Row],[SUBTOTAL]]+Table1[[#This Row],[IVA]]-Table1[[#This Row],[RET IVA]]-Table1[[#This Row],[RET ISR]]-Table1[[#This Row],[TOTAL]]</f>
        <v>0</v>
      </c>
      <c r="AE3308" s="152"/>
      <c r="AF3308" s="153"/>
      <c r="AG3308" s="126" t="s">
        <v>3420</v>
      </c>
      <c r="AK3308" s="306" t="str">
        <f>IF(ISNUMBER(Table1[[#This Row],[FECHA DE RECIBIDO]]), Table1[[#This Row],[FECHA DE RECIBIDO]]-DATE(2023,8,30), "")</f>
        <v/>
      </c>
    </row>
    <row r="3309" spans="1:37" ht="15" customHeight="1">
      <c r="A3309" s="150" t="s">
        <v>4168</v>
      </c>
      <c r="B3309" s="151">
        <v>1167</v>
      </c>
      <c r="C3309" s="126" t="s">
        <v>2461</v>
      </c>
      <c r="D3309">
        <v>2263</v>
      </c>
      <c r="E3309" s="126" t="s">
        <v>3232</v>
      </c>
      <c r="F3309" s="122" t="s">
        <v>1589</v>
      </c>
      <c r="G3309" s="122" t="s">
        <v>129</v>
      </c>
      <c r="H3309">
        <v>211</v>
      </c>
      <c r="I3309" s="122" t="s">
        <v>1546</v>
      </c>
      <c r="J3309" s="307" t="s">
        <v>214</v>
      </c>
      <c r="K3309" s="127" t="s">
        <v>4112</v>
      </c>
      <c r="L3309" s="151" t="s">
        <v>1579</v>
      </c>
      <c r="M3309">
        <v>275</v>
      </c>
      <c r="N3309" s="123">
        <v>17</v>
      </c>
      <c r="O3309">
        <v>2176</v>
      </c>
      <c r="P3309" s="132" t="s">
        <v>77</v>
      </c>
      <c r="Q3309" s="131">
        <v>455.17</v>
      </c>
      <c r="R3309" s="131">
        <v>72.83</v>
      </c>
      <c r="S3309" s="131"/>
      <c r="T3309" s="155"/>
      <c r="U3309" s="131"/>
      <c r="V3309" s="131">
        <v>528</v>
      </c>
      <c r="W3309"/>
      <c r="X3309" s="151" t="s">
        <v>1644</v>
      </c>
      <c r="Y3309" s="135" t="s">
        <v>55</v>
      </c>
      <c r="Z3309" s="307">
        <v>232</v>
      </c>
      <c r="AB3309" t="str">
        <f>IF(Table1[[#This Row],[TIPO2]]="costo", VLOOKUP(Table1[[#This Row],[PARTIDA PRESUPUESTAL]],'Cost Report'!G:G,1,0),"Balance")</f>
        <v>2385-003</v>
      </c>
      <c r="AC3309" s="118"/>
      <c r="AD3309" s="159">
        <f>+Table1[[#This Row],[SUBTOTAL]]+Table1[[#This Row],[IVA]]-Table1[[#This Row],[RET IVA]]-Table1[[#This Row],[RET ISR]]-Table1[[#This Row],[TOTAL]]</f>
        <v>0</v>
      </c>
      <c r="AE3309" s="150"/>
      <c r="AF3309" s="151"/>
      <c r="AG3309" s="126" t="s">
        <v>3420</v>
      </c>
      <c r="AK3309" s="306" t="str">
        <f>IF(ISNUMBER(Table1[[#This Row],[FECHA DE RECIBIDO]]), Table1[[#This Row],[FECHA DE RECIBIDO]]-DATE(2023,8,30), "")</f>
        <v/>
      </c>
    </row>
    <row r="3310" spans="1:37" ht="15" customHeight="1">
      <c r="A3310" s="152" t="s">
        <v>4168</v>
      </c>
      <c r="B3310" s="153">
        <v>1167</v>
      </c>
      <c r="C3310" s="126" t="s">
        <v>1505</v>
      </c>
      <c r="D3310">
        <v>2264</v>
      </c>
      <c r="E3310" s="126" t="s">
        <v>1598</v>
      </c>
      <c r="F3310" s="125" t="s">
        <v>1607</v>
      </c>
      <c r="G3310" s="125" t="s">
        <v>134</v>
      </c>
      <c r="H3310">
        <v>156</v>
      </c>
      <c r="I3310" s="125" t="s">
        <v>1546</v>
      </c>
      <c r="J3310" s="308" t="s">
        <v>214</v>
      </c>
      <c r="K3310" s="127" t="s">
        <v>4112</v>
      </c>
      <c r="L3310" s="153" t="s">
        <v>1579</v>
      </c>
      <c r="M3310">
        <v>207</v>
      </c>
      <c r="N3310" s="123">
        <v>17</v>
      </c>
      <c r="O3310">
        <v>2177</v>
      </c>
      <c r="P3310" s="132" t="s">
        <v>77</v>
      </c>
      <c r="Q3310" s="132">
        <v>7754.48</v>
      </c>
      <c r="R3310" s="132">
        <v>1240.71</v>
      </c>
      <c r="S3310" s="132"/>
      <c r="T3310" s="156"/>
      <c r="U3310" s="132"/>
      <c r="V3310" s="132">
        <v>8995.1899999999987</v>
      </c>
      <c r="W3310"/>
      <c r="X3310" s="153" t="s">
        <v>1644</v>
      </c>
      <c r="Y3310" s="124" t="s">
        <v>55</v>
      </c>
      <c r="Z3310" s="308">
        <v>230</v>
      </c>
      <c r="AB3310" t="str">
        <f>IF(Table1[[#This Row],[TIPO2]]="costo", VLOOKUP(Table1[[#This Row],[PARTIDA PRESUPUESTAL]],'Cost Report'!G:G,1,0),"Balance")</f>
        <v>2494-003</v>
      </c>
      <c r="AC3310" s="118"/>
      <c r="AD3310" s="159">
        <f>+Table1[[#This Row],[SUBTOTAL]]+Table1[[#This Row],[IVA]]-Table1[[#This Row],[RET IVA]]-Table1[[#This Row],[RET ISR]]-Table1[[#This Row],[TOTAL]]</f>
        <v>0</v>
      </c>
      <c r="AE3310" s="152"/>
      <c r="AF3310" s="153"/>
      <c r="AG3310" s="126" t="s">
        <v>3420</v>
      </c>
      <c r="AK3310" s="306" t="str">
        <f>IF(ISNUMBER(Table1[[#This Row],[FECHA DE RECIBIDO]]), Table1[[#This Row],[FECHA DE RECIBIDO]]-DATE(2023,8,30), "")</f>
        <v/>
      </c>
    </row>
    <row r="3311" spans="1:37" ht="15" customHeight="1">
      <c r="A3311" s="150" t="s">
        <v>4168</v>
      </c>
      <c r="B3311" s="151">
        <v>1167</v>
      </c>
      <c r="C3311" s="126" t="s">
        <v>1505</v>
      </c>
      <c r="D3311">
        <v>689</v>
      </c>
      <c r="E3311" s="126"/>
      <c r="F3311" s="122"/>
      <c r="G3311" s="122"/>
      <c r="H3311"/>
      <c r="I3311" s="122"/>
      <c r="J3311" s="307" t="s">
        <v>214</v>
      </c>
      <c r="K3311" s="127" t="s">
        <v>4112</v>
      </c>
      <c r="L3311" s="151" t="s">
        <v>1579</v>
      </c>
      <c r="M3311">
        <v>122</v>
      </c>
      <c r="N3311" s="123">
        <v>17</v>
      </c>
      <c r="O3311">
        <v>2178</v>
      </c>
      <c r="P3311" s="132" t="s">
        <v>77</v>
      </c>
      <c r="Q3311" s="131">
        <v>52</v>
      </c>
      <c r="R3311" s="131"/>
      <c r="S3311" s="131"/>
      <c r="T3311" s="155"/>
      <c r="U3311" s="131"/>
      <c r="V3311" s="131">
        <v>52</v>
      </c>
      <c r="W3311"/>
      <c r="X3311" s="151" t="s">
        <v>1644</v>
      </c>
      <c r="Y3311" s="135" t="s">
        <v>55</v>
      </c>
      <c r="Z3311" s="307">
        <v>229</v>
      </c>
      <c r="AB3311" t="str">
        <f>IF(Table1[[#This Row],[TIPO2]]="costo", VLOOKUP(Table1[[#This Row],[PARTIDA PRESUPUESTAL]],'Cost Report'!G:G,1,0),"Balance")</f>
        <v>2494-003</v>
      </c>
      <c r="AC3311" s="118"/>
      <c r="AD3311" s="159">
        <f>+Table1[[#This Row],[SUBTOTAL]]+Table1[[#This Row],[IVA]]-Table1[[#This Row],[RET IVA]]-Table1[[#This Row],[RET ISR]]-Table1[[#This Row],[TOTAL]]</f>
        <v>0</v>
      </c>
      <c r="AE3311" s="150"/>
      <c r="AF3311" s="151"/>
      <c r="AG3311" s="126" t="s">
        <v>3420</v>
      </c>
      <c r="AK3311" s="306" t="str">
        <f>IF(ISNUMBER(Table1[[#This Row],[FECHA DE RECIBIDO]]), Table1[[#This Row],[FECHA DE RECIBIDO]]-DATE(2023,8,30), "")</f>
        <v/>
      </c>
    </row>
    <row r="3312" spans="1:37" ht="15" customHeight="1">
      <c r="A3312" s="152" t="s">
        <v>4168</v>
      </c>
      <c r="B3312" s="153">
        <v>1167</v>
      </c>
      <c r="C3312" s="126" t="s">
        <v>1505</v>
      </c>
      <c r="D3312">
        <v>689</v>
      </c>
      <c r="E3312" s="126"/>
      <c r="F3312" s="125"/>
      <c r="G3312" s="125"/>
      <c r="H3312"/>
      <c r="I3312" s="125"/>
      <c r="J3312" s="308" t="s">
        <v>214</v>
      </c>
      <c r="K3312" s="127" t="s">
        <v>4112</v>
      </c>
      <c r="L3312" s="153" t="s">
        <v>1579</v>
      </c>
      <c r="M3312">
        <v>881</v>
      </c>
      <c r="N3312" s="123">
        <v>17</v>
      </c>
      <c r="O3312">
        <v>2179</v>
      </c>
      <c r="P3312" s="132" t="s">
        <v>77</v>
      </c>
      <c r="Q3312" s="132">
        <v>95</v>
      </c>
      <c r="R3312" s="132"/>
      <c r="S3312" s="132"/>
      <c r="T3312" s="156"/>
      <c r="U3312" s="132"/>
      <c r="V3312" s="132">
        <v>95</v>
      </c>
      <c r="W3312"/>
      <c r="X3312" s="153" t="s">
        <v>1644</v>
      </c>
      <c r="Y3312" s="124" t="s">
        <v>55</v>
      </c>
      <c r="Z3312" s="308">
        <v>231</v>
      </c>
      <c r="AB3312" t="str">
        <f>IF(Table1[[#This Row],[TIPO2]]="costo", VLOOKUP(Table1[[#This Row],[PARTIDA PRESUPUESTAL]],'Cost Report'!G:G,1,0),"Balance")</f>
        <v>2494-003</v>
      </c>
      <c r="AC3312" s="118"/>
      <c r="AD3312" s="159">
        <f>+Table1[[#This Row],[SUBTOTAL]]+Table1[[#This Row],[IVA]]-Table1[[#This Row],[RET IVA]]-Table1[[#This Row],[RET ISR]]-Table1[[#This Row],[TOTAL]]</f>
        <v>0</v>
      </c>
      <c r="AE3312" s="152"/>
      <c r="AF3312" s="153"/>
      <c r="AG3312" s="126" t="s">
        <v>3420</v>
      </c>
      <c r="AK3312" s="306" t="str">
        <f>IF(ISNUMBER(Table1[[#This Row],[FECHA DE RECIBIDO]]), Table1[[#This Row],[FECHA DE RECIBIDO]]-DATE(2023,8,30), "")</f>
        <v/>
      </c>
    </row>
    <row r="3313" spans="1:37" ht="15" customHeight="1">
      <c r="A3313" s="150" t="s">
        <v>4169</v>
      </c>
      <c r="B3313" s="151">
        <v>1168</v>
      </c>
      <c r="C3313" s="126" t="s">
        <v>1724</v>
      </c>
      <c r="D3313">
        <v>2265</v>
      </c>
      <c r="E3313" s="126" t="e">
        <v>#N/A</v>
      </c>
      <c r="F3313" s="122" t="e">
        <v>#N/A</v>
      </c>
      <c r="G3313" s="122" t="e">
        <v>#N/A</v>
      </c>
      <c r="H3313">
        <v>36</v>
      </c>
      <c r="I3313" s="122" t="e">
        <v>#N/A</v>
      </c>
      <c r="J3313" s="307" t="s">
        <v>214</v>
      </c>
      <c r="K3313" s="127" t="s">
        <v>4112</v>
      </c>
      <c r="L3313" s="151" t="s">
        <v>1579</v>
      </c>
      <c r="M3313">
        <v>882</v>
      </c>
      <c r="N3313" s="123">
        <v>17</v>
      </c>
      <c r="O3313">
        <v>2180</v>
      </c>
      <c r="P3313" s="132" t="s">
        <v>77</v>
      </c>
      <c r="Q3313" s="131">
        <v>6546.23</v>
      </c>
      <c r="R3313" s="131"/>
      <c r="S3313" s="131"/>
      <c r="T3313" s="155"/>
      <c r="U3313" s="131"/>
      <c r="V3313" s="131">
        <v>6546.23</v>
      </c>
      <c r="W3313"/>
      <c r="X3313" s="151" t="s">
        <v>1644</v>
      </c>
      <c r="Y3313" s="135" t="s">
        <v>55</v>
      </c>
      <c r="Z3313" s="307">
        <v>210</v>
      </c>
      <c r="AB3313" t="str">
        <f>IF(Table1[[#This Row],[TIPO2]]="costo", VLOOKUP(Table1[[#This Row],[PARTIDA PRESUPUESTAL]],'Cost Report'!G:G,1,0),"Balance")</f>
        <v>1641-008</v>
      </c>
      <c r="AC3313" s="118"/>
      <c r="AD3313" s="159">
        <f>+Table1[[#This Row],[SUBTOTAL]]+Table1[[#This Row],[IVA]]-Table1[[#This Row],[RET IVA]]-Table1[[#This Row],[RET ISR]]-Table1[[#This Row],[TOTAL]]</f>
        <v>0</v>
      </c>
      <c r="AE3313" s="150"/>
      <c r="AF3313" s="151"/>
      <c r="AG3313" s="126" t="s">
        <v>3420</v>
      </c>
      <c r="AK3313" s="306" t="str">
        <f>IF(ISNUMBER(Table1[[#This Row],[FECHA DE RECIBIDO]]), Table1[[#This Row],[FECHA DE RECIBIDO]]-DATE(2023,8,30), "")</f>
        <v/>
      </c>
    </row>
    <row r="3314" spans="1:37" ht="15" customHeight="1">
      <c r="A3314" s="152" t="s">
        <v>4169</v>
      </c>
      <c r="B3314" s="153">
        <v>1168</v>
      </c>
      <c r="C3314" s="126" t="s">
        <v>3415</v>
      </c>
      <c r="D3314">
        <v>2266</v>
      </c>
      <c r="E3314" s="126" t="s">
        <v>1623</v>
      </c>
      <c r="F3314" s="125" t="s">
        <v>1607</v>
      </c>
      <c r="G3314" s="125" t="s">
        <v>134</v>
      </c>
      <c r="H3314">
        <v>45</v>
      </c>
      <c r="I3314" s="125" t="s">
        <v>1546</v>
      </c>
      <c r="J3314" s="308" t="s">
        <v>214</v>
      </c>
      <c r="K3314" s="127" t="s">
        <v>4112</v>
      </c>
      <c r="L3314" s="153" t="s">
        <v>1579</v>
      </c>
      <c r="M3314">
        <v>56</v>
      </c>
      <c r="N3314" s="123">
        <v>17</v>
      </c>
      <c r="O3314">
        <v>2181</v>
      </c>
      <c r="P3314" s="132" t="s">
        <v>77</v>
      </c>
      <c r="Q3314" s="132">
        <v>862.07</v>
      </c>
      <c r="R3314" s="132">
        <v>137.93</v>
      </c>
      <c r="S3314" s="132"/>
      <c r="T3314" s="156"/>
      <c r="U3314" s="132"/>
      <c r="V3314" s="132">
        <v>1000</v>
      </c>
      <c r="W3314"/>
      <c r="X3314" s="153" t="s">
        <v>1644</v>
      </c>
      <c r="Y3314" s="124" t="s">
        <v>55</v>
      </c>
      <c r="Z3314" s="308">
        <v>233</v>
      </c>
      <c r="AB3314" t="str">
        <f>IF(Table1[[#This Row],[TIPO2]]="costo", VLOOKUP(Table1[[#This Row],[PARTIDA PRESUPUESTAL]],'Cost Report'!G:G,1,0),"Balance")</f>
        <v>3629-006</v>
      </c>
      <c r="AC3314" s="118"/>
      <c r="AD3314" s="159">
        <f>+Table1[[#This Row],[SUBTOTAL]]+Table1[[#This Row],[IVA]]-Table1[[#This Row],[RET IVA]]-Table1[[#This Row],[RET ISR]]-Table1[[#This Row],[TOTAL]]</f>
        <v>0</v>
      </c>
      <c r="AE3314" s="152"/>
      <c r="AF3314" s="153"/>
      <c r="AG3314" s="126" t="s">
        <v>3420</v>
      </c>
      <c r="AK3314" s="306" t="str">
        <f>IF(ISNUMBER(Table1[[#This Row],[FECHA DE RECIBIDO]]), Table1[[#This Row],[FECHA DE RECIBIDO]]-DATE(2023,8,30), "")</f>
        <v/>
      </c>
    </row>
    <row r="3315" spans="1:37" ht="15" customHeight="1">
      <c r="A3315" s="150" t="s">
        <v>4169</v>
      </c>
      <c r="B3315" s="151">
        <v>1168</v>
      </c>
      <c r="C3315" s="126" t="s">
        <v>3108</v>
      </c>
      <c r="D3315">
        <v>2267</v>
      </c>
      <c r="E3315" s="126" t="s">
        <v>1996</v>
      </c>
      <c r="F3315" s="122" t="s">
        <v>1607</v>
      </c>
      <c r="G3315" s="122" t="s">
        <v>134</v>
      </c>
      <c r="H3315">
        <v>91</v>
      </c>
      <c r="I3315" s="122" t="s">
        <v>1546</v>
      </c>
      <c r="J3315" s="307" t="s">
        <v>214</v>
      </c>
      <c r="K3315" s="127" t="s">
        <v>4112</v>
      </c>
      <c r="L3315" s="151" t="s">
        <v>1579</v>
      </c>
      <c r="M3315">
        <v>122</v>
      </c>
      <c r="N3315" s="123">
        <v>17</v>
      </c>
      <c r="O3315">
        <v>2182</v>
      </c>
      <c r="P3315" s="132" t="s">
        <v>77</v>
      </c>
      <c r="Q3315" s="131">
        <v>13.16</v>
      </c>
      <c r="R3315" s="131">
        <v>2.1</v>
      </c>
      <c r="S3315" s="131"/>
      <c r="T3315" s="155"/>
      <c r="U3315" s="131"/>
      <c r="V3315" s="131">
        <v>15.26</v>
      </c>
      <c r="W3315"/>
      <c r="X3315" s="151" t="s">
        <v>1644</v>
      </c>
      <c r="Y3315" s="135" t="s">
        <v>55</v>
      </c>
      <c r="Z3315" s="307">
        <v>237</v>
      </c>
      <c r="AB3315" t="str">
        <f>IF(Table1[[#This Row],[TIPO2]]="costo", VLOOKUP(Table1[[#This Row],[PARTIDA PRESUPUESTAL]],'Cost Report'!G:G,1,0),"Balance")</f>
        <v>7080-003</v>
      </c>
      <c r="AC3315" s="118"/>
      <c r="AD3315" s="159">
        <f>+Table1[[#This Row],[SUBTOTAL]]+Table1[[#This Row],[IVA]]-Table1[[#This Row],[RET IVA]]-Table1[[#This Row],[RET ISR]]-Table1[[#This Row],[TOTAL]]</f>
        <v>0</v>
      </c>
      <c r="AE3315" s="150"/>
      <c r="AF3315" s="151"/>
      <c r="AG3315" s="126" t="s">
        <v>3420</v>
      </c>
      <c r="AK3315" s="306" t="str">
        <f>IF(ISNUMBER(Table1[[#This Row],[FECHA DE RECIBIDO]]), Table1[[#This Row],[FECHA DE RECIBIDO]]-DATE(2023,8,30), "")</f>
        <v/>
      </c>
    </row>
    <row r="3316" spans="1:37" ht="15" customHeight="1">
      <c r="A3316" s="152" t="s">
        <v>4169</v>
      </c>
      <c r="B3316" s="153">
        <v>1168</v>
      </c>
      <c r="C3316" s="126" t="s">
        <v>3108</v>
      </c>
      <c r="D3316">
        <v>2268</v>
      </c>
      <c r="E3316" s="126" t="s">
        <v>3292</v>
      </c>
      <c r="F3316" s="125" t="s">
        <v>1607</v>
      </c>
      <c r="G3316" s="125" t="s">
        <v>134</v>
      </c>
      <c r="H3316">
        <v>57</v>
      </c>
      <c r="I3316" s="125" t="s">
        <v>1546</v>
      </c>
      <c r="J3316" s="308" t="s">
        <v>214</v>
      </c>
      <c r="K3316" s="127" t="s">
        <v>4112</v>
      </c>
      <c r="L3316" s="153" t="s">
        <v>1579</v>
      </c>
      <c r="M3316">
        <v>883</v>
      </c>
      <c r="N3316" s="123">
        <v>17</v>
      </c>
      <c r="O3316">
        <v>2183</v>
      </c>
      <c r="P3316" s="132" t="s">
        <v>77</v>
      </c>
      <c r="Q3316" s="132">
        <v>1680.17</v>
      </c>
      <c r="R3316" s="132">
        <v>268.83</v>
      </c>
      <c r="S3316" s="132"/>
      <c r="T3316" s="156"/>
      <c r="U3316" s="132"/>
      <c r="V3316" s="132">
        <v>1949</v>
      </c>
      <c r="W3316"/>
      <c r="X3316" s="153" t="s">
        <v>1644</v>
      </c>
      <c r="Y3316" s="124" t="s">
        <v>55</v>
      </c>
      <c r="Z3316" s="308">
        <v>237</v>
      </c>
      <c r="AB3316" t="str">
        <f>IF(Table1[[#This Row],[TIPO2]]="costo", VLOOKUP(Table1[[#This Row],[PARTIDA PRESUPUESTAL]],'Cost Report'!G:G,1,0),"Balance")</f>
        <v>7080-003</v>
      </c>
      <c r="AC3316" s="118"/>
      <c r="AD3316" s="159">
        <f>+Table1[[#This Row],[SUBTOTAL]]+Table1[[#This Row],[IVA]]-Table1[[#This Row],[RET IVA]]-Table1[[#This Row],[RET ISR]]-Table1[[#This Row],[TOTAL]]</f>
        <v>0</v>
      </c>
      <c r="AE3316" s="152"/>
      <c r="AF3316" s="153"/>
      <c r="AG3316" s="126" t="s">
        <v>3420</v>
      </c>
      <c r="AK3316" s="306" t="str">
        <f>IF(ISNUMBER(Table1[[#This Row],[FECHA DE RECIBIDO]]), Table1[[#This Row],[FECHA DE RECIBIDO]]-DATE(2023,8,30), "")</f>
        <v/>
      </c>
    </row>
    <row r="3317" spans="1:37" ht="15" customHeight="1">
      <c r="A3317" s="150" t="s">
        <v>4169</v>
      </c>
      <c r="B3317" s="151">
        <v>1168</v>
      </c>
      <c r="C3317" s="126" t="s">
        <v>977</v>
      </c>
      <c r="D3317">
        <v>2269</v>
      </c>
      <c r="E3317" s="126" t="s">
        <v>3382</v>
      </c>
      <c r="F3317" s="122" t="s">
        <v>1607</v>
      </c>
      <c r="G3317" s="122" t="s">
        <v>134</v>
      </c>
      <c r="H3317">
        <v>138</v>
      </c>
      <c r="I3317" s="122" t="s">
        <v>1546</v>
      </c>
      <c r="J3317" s="307" t="s">
        <v>214</v>
      </c>
      <c r="K3317" s="127" t="s">
        <v>4112</v>
      </c>
      <c r="L3317" s="151" t="s">
        <v>1579</v>
      </c>
      <c r="M3317">
        <v>180</v>
      </c>
      <c r="N3317" s="123">
        <v>17</v>
      </c>
      <c r="O3317">
        <v>2184</v>
      </c>
      <c r="P3317" s="132" t="s">
        <v>77</v>
      </c>
      <c r="Q3317" s="131">
        <v>730.17</v>
      </c>
      <c r="R3317" s="131">
        <v>116.83</v>
      </c>
      <c r="S3317" s="131"/>
      <c r="T3317" s="155"/>
      <c r="U3317" s="131"/>
      <c r="V3317" s="131">
        <v>847</v>
      </c>
      <c r="W3317"/>
      <c r="X3317" s="151" t="s">
        <v>1644</v>
      </c>
      <c r="Y3317" s="135" t="s">
        <v>55</v>
      </c>
      <c r="Z3317" s="307">
        <v>237</v>
      </c>
      <c r="AB3317" t="str">
        <f>IF(Table1[[#This Row],[TIPO2]]="costo", VLOOKUP(Table1[[#This Row],[PARTIDA PRESUPUESTAL]],'Cost Report'!G:G,1,0),"Balance")</f>
        <v>3410-012</v>
      </c>
      <c r="AC3317" s="118"/>
      <c r="AD3317" s="159">
        <f>+Table1[[#This Row],[SUBTOTAL]]+Table1[[#This Row],[IVA]]-Table1[[#This Row],[RET IVA]]-Table1[[#This Row],[RET ISR]]-Table1[[#This Row],[TOTAL]]</f>
        <v>0</v>
      </c>
      <c r="AE3317" s="150"/>
      <c r="AF3317" s="151"/>
      <c r="AG3317" s="126" t="s">
        <v>3420</v>
      </c>
      <c r="AK3317" s="306" t="str">
        <f>IF(ISNUMBER(Table1[[#This Row],[FECHA DE RECIBIDO]]), Table1[[#This Row],[FECHA DE RECIBIDO]]-DATE(2023,8,30), "")</f>
        <v/>
      </c>
    </row>
    <row r="3318" spans="1:37" ht="15" customHeight="1">
      <c r="A3318" s="152" t="s">
        <v>4169</v>
      </c>
      <c r="B3318" s="153">
        <v>1168</v>
      </c>
      <c r="C3318" s="126" t="s">
        <v>977</v>
      </c>
      <c r="D3318">
        <v>2270</v>
      </c>
      <c r="E3318" s="126" t="s">
        <v>3384</v>
      </c>
      <c r="F3318" s="125" t="s">
        <v>1607</v>
      </c>
      <c r="G3318" s="125" t="s">
        <v>134</v>
      </c>
      <c r="H3318">
        <v>319</v>
      </c>
      <c r="I3318" s="125" t="s">
        <v>1546</v>
      </c>
      <c r="J3318" s="308" t="s">
        <v>214</v>
      </c>
      <c r="K3318" s="127" t="s">
        <v>4112</v>
      </c>
      <c r="L3318" s="153" t="s">
        <v>1579</v>
      </c>
      <c r="M3318">
        <v>424</v>
      </c>
      <c r="N3318" s="123">
        <v>17</v>
      </c>
      <c r="O3318">
        <v>2185</v>
      </c>
      <c r="P3318" s="132" t="s">
        <v>77</v>
      </c>
      <c r="Q3318" s="132">
        <v>478.02</v>
      </c>
      <c r="R3318" s="132">
        <v>48.98</v>
      </c>
      <c r="S3318" s="132"/>
      <c r="T3318" s="156"/>
      <c r="U3318" s="132"/>
      <c r="V3318" s="132">
        <v>527</v>
      </c>
      <c r="W3318"/>
      <c r="X3318" s="153" t="s">
        <v>1644</v>
      </c>
      <c r="Y3318" s="124" t="s">
        <v>55</v>
      </c>
      <c r="Z3318" s="308">
        <v>237</v>
      </c>
      <c r="AB3318" t="str">
        <f>IF(Table1[[#This Row],[TIPO2]]="costo", VLOOKUP(Table1[[#This Row],[PARTIDA PRESUPUESTAL]],'Cost Report'!G:G,1,0),"Balance")</f>
        <v>3410-012</v>
      </c>
      <c r="AC3318" s="118"/>
      <c r="AD3318" s="159">
        <f>+Table1[[#This Row],[SUBTOTAL]]+Table1[[#This Row],[IVA]]-Table1[[#This Row],[RET IVA]]-Table1[[#This Row],[RET ISR]]-Table1[[#This Row],[TOTAL]]</f>
        <v>0</v>
      </c>
      <c r="AE3318" s="152"/>
      <c r="AF3318" s="153"/>
      <c r="AG3318" s="126" t="s">
        <v>3420</v>
      </c>
      <c r="AK3318" s="306" t="str">
        <f>IF(ISNUMBER(Table1[[#This Row],[FECHA DE RECIBIDO]]), Table1[[#This Row],[FECHA DE RECIBIDO]]-DATE(2023,8,30), "")</f>
        <v/>
      </c>
    </row>
    <row r="3319" spans="1:37" ht="15" customHeight="1">
      <c r="A3319" s="150" t="s">
        <v>4169</v>
      </c>
      <c r="B3319" s="151">
        <v>1168</v>
      </c>
      <c r="C3319" s="126" t="s">
        <v>3103</v>
      </c>
      <c r="D3319">
        <v>689</v>
      </c>
      <c r="E3319" s="126"/>
      <c r="F3319" s="122"/>
      <c r="G3319" s="122"/>
      <c r="H3319"/>
      <c r="I3319" s="122"/>
      <c r="J3319" s="307" t="s">
        <v>214</v>
      </c>
      <c r="K3319" s="127" t="s">
        <v>4112</v>
      </c>
      <c r="L3319" s="151" t="s">
        <v>1579</v>
      </c>
      <c r="M3319">
        <v>884</v>
      </c>
      <c r="N3319" s="123">
        <v>17</v>
      </c>
      <c r="O3319">
        <v>2186</v>
      </c>
      <c r="P3319" s="132" t="s">
        <v>77</v>
      </c>
      <c r="Q3319" s="131">
        <v>30.74</v>
      </c>
      <c r="R3319" s="131"/>
      <c r="S3319" s="131"/>
      <c r="T3319" s="155"/>
      <c r="U3319" s="131"/>
      <c r="V3319" s="131">
        <v>30.74</v>
      </c>
      <c r="W3319"/>
      <c r="X3319" s="151" t="s">
        <v>1644</v>
      </c>
      <c r="Y3319" s="135" t="s">
        <v>55</v>
      </c>
      <c r="Z3319" s="307">
        <v>233</v>
      </c>
      <c r="AB3319" t="str">
        <f>IF(Table1[[#This Row],[TIPO2]]="costo", VLOOKUP(Table1[[#This Row],[PARTIDA PRESUPUESTAL]],'Cost Report'!G:G,1,0),"Balance")</f>
        <v>7038-009</v>
      </c>
      <c r="AC3319" s="118"/>
      <c r="AD3319" s="159">
        <f>+Table1[[#This Row],[SUBTOTAL]]+Table1[[#This Row],[IVA]]-Table1[[#This Row],[RET IVA]]-Table1[[#This Row],[RET ISR]]-Table1[[#This Row],[TOTAL]]</f>
        <v>0</v>
      </c>
      <c r="AE3319" s="150"/>
      <c r="AF3319" s="151"/>
      <c r="AG3319" s="126" t="s">
        <v>3420</v>
      </c>
      <c r="AK3319" s="306" t="str">
        <f>IF(ISNUMBER(Table1[[#This Row],[FECHA DE RECIBIDO]]), Table1[[#This Row],[FECHA DE RECIBIDO]]-DATE(2023,8,30), "")</f>
        <v/>
      </c>
    </row>
    <row r="3320" spans="1:37" ht="15" customHeight="1">
      <c r="A3320" s="152" t="s">
        <v>4170</v>
      </c>
      <c r="B3320" s="153">
        <v>1169</v>
      </c>
      <c r="C3320" s="126" t="s">
        <v>978</v>
      </c>
      <c r="D3320">
        <v>2271</v>
      </c>
      <c r="E3320" s="126" t="s">
        <v>1996</v>
      </c>
      <c r="F3320" s="125" t="s">
        <v>1602</v>
      </c>
      <c r="G3320" s="125" t="s">
        <v>1617</v>
      </c>
      <c r="H3320">
        <v>134</v>
      </c>
      <c r="I3320" s="125" t="s">
        <v>1546</v>
      </c>
      <c r="J3320" s="308" t="s">
        <v>214</v>
      </c>
      <c r="K3320" s="127" t="s">
        <v>4112</v>
      </c>
      <c r="L3320" s="153" t="s">
        <v>1579</v>
      </c>
      <c r="M3320">
        <v>105</v>
      </c>
      <c r="N3320" s="123">
        <v>17</v>
      </c>
      <c r="O3320">
        <v>2187</v>
      </c>
      <c r="P3320" s="132" t="s">
        <v>77</v>
      </c>
      <c r="Q3320" s="132">
        <v>537.92999999999995</v>
      </c>
      <c r="R3320" s="132">
        <v>86.07</v>
      </c>
      <c r="S3320" s="132"/>
      <c r="T3320" s="156"/>
      <c r="U3320" s="132"/>
      <c r="V3320" s="132">
        <v>624</v>
      </c>
      <c r="W3320"/>
      <c r="X3320" s="153" t="s">
        <v>1644</v>
      </c>
      <c r="Y3320" s="124" t="s">
        <v>55</v>
      </c>
      <c r="Z3320" s="308">
        <v>229</v>
      </c>
      <c r="AB3320" t="str">
        <f>IF(Table1[[#This Row],[TIPO2]]="costo", VLOOKUP(Table1[[#This Row],[PARTIDA PRESUPUESTAL]],'Cost Report'!G:G,1,0),"Balance")</f>
        <v>3410-013</v>
      </c>
      <c r="AC3320" s="118"/>
      <c r="AD3320" s="159">
        <f>+Table1[[#This Row],[SUBTOTAL]]+Table1[[#This Row],[IVA]]-Table1[[#This Row],[RET IVA]]-Table1[[#This Row],[RET ISR]]-Table1[[#This Row],[TOTAL]]</f>
        <v>0</v>
      </c>
      <c r="AE3320" s="152"/>
      <c r="AF3320" s="153"/>
      <c r="AG3320" s="126" t="s">
        <v>3420</v>
      </c>
      <c r="AK3320" s="306" t="str">
        <f>IF(ISNUMBER(Table1[[#This Row],[FECHA DE RECIBIDO]]), Table1[[#This Row],[FECHA DE RECIBIDO]]-DATE(2023,8,30), "")</f>
        <v/>
      </c>
    </row>
    <row r="3321" spans="1:37" ht="15" customHeight="1">
      <c r="A3321" s="150" t="s">
        <v>4170</v>
      </c>
      <c r="B3321" s="151">
        <v>1169</v>
      </c>
      <c r="C3321" s="126" t="s">
        <v>2860</v>
      </c>
      <c r="D3321">
        <v>2272</v>
      </c>
      <c r="E3321" s="126" t="s">
        <v>3670</v>
      </c>
      <c r="F3321" s="122" t="s">
        <v>1607</v>
      </c>
      <c r="G3321" s="122" t="s">
        <v>134</v>
      </c>
      <c r="H3321">
        <v>319</v>
      </c>
      <c r="I3321" s="122" t="s">
        <v>1546</v>
      </c>
      <c r="J3321" s="307" t="s">
        <v>214</v>
      </c>
      <c r="K3321" s="127" t="s">
        <v>4112</v>
      </c>
      <c r="L3321" s="151" t="s">
        <v>1579</v>
      </c>
      <c r="M3321">
        <v>424</v>
      </c>
      <c r="N3321" s="123">
        <v>17</v>
      </c>
      <c r="O3321">
        <v>2188</v>
      </c>
      <c r="P3321" s="132" t="s">
        <v>77</v>
      </c>
      <c r="Q3321" s="131">
        <v>470.69</v>
      </c>
      <c r="R3321" s="131">
        <v>75.31</v>
      </c>
      <c r="S3321" s="131"/>
      <c r="T3321" s="155"/>
      <c r="U3321" s="131"/>
      <c r="V3321" s="131">
        <v>546</v>
      </c>
      <c r="W3321"/>
      <c r="X3321" s="151" t="s">
        <v>1644</v>
      </c>
      <c r="Y3321" s="135" t="s">
        <v>55</v>
      </c>
      <c r="Z3321" s="307">
        <v>229</v>
      </c>
      <c r="AB3321" t="str">
        <f>IF(Table1[[#This Row],[TIPO2]]="costo", VLOOKUP(Table1[[#This Row],[PARTIDA PRESUPUESTAL]],'Cost Report'!G:G,1,0),"Balance")</f>
        <v>3629-003</v>
      </c>
      <c r="AC3321" s="118"/>
      <c r="AD3321" s="159">
        <f>+Table1[[#This Row],[SUBTOTAL]]+Table1[[#This Row],[IVA]]-Table1[[#This Row],[RET IVA]]-Table1[[#This Row],[RET ISR]]-Table1[[#This Row],[TOTAL]]</f>
        <v>0</v>
      </c>
      <c r="AE3321" s="150"/>
      <c r="AF3321" s="151"/>
      <c r="AG3321" s="126" t="s">
        <v>3420</v>
      </c>
      <c r="AK3321" s="306" t="str">
        <f>IF(ISNUMBER(Table1[[#This Row],[FECHA DE RECIBIDO]]), Table1[[#This Row],[FECHA DE RECIBIDO]]-DATE(2023,8,30), "")</f>
        <v/>
      </c>
    </row>
    <row r="3322" spans="1:37" ht="15" customHeight="1">
      <c r="A3322" s="152" t="s">
        <v>4170</v>
      </c>
      <c r="B3322" s="153">
        <v>1169</v>
      </c>
      <c r="C3322" s="126" t="s">
        <v>2860</v>
      </c>
      <c r="D3322">
        <v>2273</v>
      </c>
      <c r="E3322" s="126" t="s">
        <v>1989</v>
      </c>
      <c r="F3322" s="125" t="s">
        <v>1607</v>
      </c>
      <c r="G3322" s="125" t="s">
        <v>134</v>
      </c>
      <c r="H3322">
        <v>436</v>
      </c>
      <c r="I3322" s="125" t="s">
        <v>1546</v>
      </c>
      <c r="J3322" s="308" t="s">
        <v>214</v>
      </c>
      <c r="K3322" s="127" t="s">
        <v>4112</v>
      </c>
      <c r="L3322" s="153" t="s">
        <v>1579</v>
      </c>
      <c r="M3322">
        <v>885</v>
      </c>
      <c r="N3322" s="123">
        <v>17</v>
      </c>
      <c r="O3322">
        <v>2188</v>
      </c>
      <c r="P3322" s="132" t="s">
        <v>77</v>
      </c>
      <c r="Q3322" s="132">
        <v>88.79</v>
      </c>
      <c r="R3322" s="132">
        <v>14.21</v>
      </c>
      <c r="S3322" s="132"/>
      <c r="T3322" s="156"/>
      <c r="U3322" s="132"/>
      <c r="V3322" s="132">
        <v>103</v>
      </c>
      <c r="W3322"/>
      <c r="X3322" s="153" t="s">
        <v>1644</v>
      </c>
      <c r="Y3322" s="124" t="s">
        <v>55</v>
      </c>
      <c r="Z3322" s="308">
        <v>229</v>
      </c>
      <c r="AB3322" t="str">
        <f>IF(Table1[[#This Row],[TIPO2]]="costo", VLOOKUP(Table1[[#This Row],[PARTIDA PRESUPUESTAL]],'Cost Report'!G:G,1,0),"Balance")</f>
        <v>3629-003</v>
      </c>
      <c r="AC3322" s="118"/>
      <c r="AD3322" s="159">
        <f>+Table1[[#This Row],[SUBTOTAL]]+Table1[[#This Row],[IVA]]-Table1[[#This Row],[RET IVA]]-Table1[[#This Row],[RET ISR]]-Table1[[#This Row],[TOTAL]]</f>
        <v>0</v>
      </c>
      <c r="AE3322" s="152"/>
      <c r="AF3322" s="153"/>
      <c r="AG3322" s="126" t="s">
        <v>3420</v>
      </c>
      <c r="AK3322" s="306" t="str">
        <f>IF(ISNUMBER(Table1[[#This Row],[FECHA DE RECIBIDO]]), Table1[[#This Row],[FECHA DE RECIBIDO]]-DATE(2023,8,30), "")</f>
        <v/>
      </c>
    </row>
    <row r="3323" spans="1:37" ht="15" customHeight="1">
      <c r="A3323" s="150" t="s">
        <v>4170</v>
      </c>
      <c r="B3323" s="151">
        <v>1169</v>
      </c>
      <c r="C3323" s="126" t="s">
        <v>3108</v>
      </c>
      <c r="D3323">
        <v>2274</v>
      </c>
      <c r="E3323" s="126" t="s">
        <v>1598</v>
      </c>
      <c r="F3323" s="122" t="s">
        <v>1607</v>
      </c>
      <c r="G3323" s="122" t="s">
        <v>134</v>
      </c>
      <c r="H3323">
        <v>626</v>
      </c>
      <c r="I3323" s="122" t="s">
        <v>1546</v>
      </c>
      <c r="J3323" s="307" t="s">
        <v>214</v>
      </c>
      <c r="K3323" s="127" t="s">
        <v>4112</v>
      </c>
      <c r="L3323" s="151" t="s">
        <v>1579</v>
      </c>
      <c r="M3323">
        <v>886</v>
      </c>
      <c r="N3323" s="123">
        <v>17</v>
      </c>
      <c r="O3323">
        <v>2189</v>
      </c>
      <c r="P3323" s="132" t="s">
        <v>77</v>
      </c>
      <c r="Q3323" s="131">
        <v>1293.0999999999999</v>
      </c>
      <c r="R3323" s="131">
        <v>206.9</v>
      </c>
      <c r="S3323" s="131"/>
      <c r="T3323" s="155"/>
      <c r="U3323" s="131"/>
      <c r="V3323" s="131">
        <v>1500</v>
      </c>
      <c r="W3323"/>
      <c r="X3323" s="151" t="s">
        <v>1644</v>
      </c>
      <c r="Y3323" s="135" t="s">
        <v>55</v>
      </c>
      <c r="Z3323" s="307">
        <v>231</v>
      </c>
      <c r="AB3323" t="str">
        <f>IF(Table1[[#This Row],[TIPO2]]="costo", VLOOKUP(Table1[[#This Row],[PARTIDA PRESUPUESTAL]],'Cost Report'!G:G,1,0),"Balance")</f>
        <v>7080-003</v>
      </c>
      <c r="AC3323" s="118"/>
      <c r="AD3323" s="159">
        <f>+Table1[[#This Row],[SUBTOTAL]]+Table1[[#This Row],[IVA]]-Table1[[#This Row],[RET IVA]]-Table1[[#This Row],[RET ISR]]-Table1[[#This Row],[TOTAL]]</f>
        <v>0</v>
      </c>
      <c r="AE3323" s="150"/>
      <c r="AF3323" s="151"/>
      <c r="AG3323" s="126" t="s">
        <v>3420</v>
      </c>
      <c r="AK3323" s="306" t="str">
        <f>IF(ISNUMBER(Table1[[#This Row],[FECHA DE RECIBIDO]]), Table1[[#This Row],[FECHA DE RECIBIDO]]-DATE(2023,8,30), "")</f>
        <v/>
      </c>
    </row>
    <row r="3324" spans="1:37" ht="15" customHeight="1">
      <c r="A3324" s="152" t="s">
        <v>4170</v>
      </c>
      <c r="B3324" s="153">
        <v>1169</v>
      </c>
      <c r="C3324" s="126" t="s">
        <v>2774</v>
      </c>
      <c r="D3324">
        <v>2275</v>
      </c>
      <c r="E3324" s="126" t="s">
        <v>1612</v>
      </c>
      <c r="F3324" s="125" t="s">
        <v>1607</v>
      </c>
      <c r="G3324" s="125" t="s">
        <v>134</v>
      </c>
      <c r="H3324">
        <v>627</v>
      </c>
      <c r="I3324" s="125" t="s">
        <v>1546</v>
      </c>
      <c r="J3324" s="308" t="s">
        <v>214</v>
      </c>
      <c r="K3324" s="127" t="s">
        <v>4112</v>
      </c>
      <c r="L3324" s="153" t="s">
        <v>1579</v>
      </c>
      <c r="M3324">
        <v>887</v>
      </c>
      <c r="N3324" s="123">
        <v>17</v>
      </c>
      <c r="O3324">
        <v>2190</v>
      </c>
      <c r="P3324" s="132" t="s">
        <v>77</v>
      </c>
      <c r="Q3324" s="132">
        <v>5222.41</v>
      </c>
      <c r="R3324" s="132">
        <v>835.59</v>
      </c>
      <c r="S3324" s="132"/>
      <c r="T3324" s="156"/>
      <c r="U3324" s="132"/>
      <c r="V3324" s="132">
        <v>6058</v>
      </c>
      <c r="W3324"/>
      <c r="X3324" s="153" t="s">
        <v>1644</v>
      </c>
      <c r="Y3324" s="124" t="s">
        <v>55</v>
      </c>
      <c r="Z3324" s="308">
        <v>231</v>
      </c>
      <c r="AB3324" t="str">
        <f>IF(Table1[[#This Row],[TIPO2]]="costo", VLOOKUP(Table1[[#This Row],[PARTIDA PRESUPUESTAL]],'Cost Report'!G:G,1,0),"Balance")</f>
        <v>3401-042</v>
      </c>
      <c r="AC3324" s="118"/>
      <c r="AD3324" s="159">
        <f>+Table1[[#This Row],[SUBTOTAL]]+Table1[[#This Row],[IVA]]-Table1[[#This Row],[RET IVA]]-Table1[[#This Row],[RET ISR]]-Table1[[#This Row],[TOTAL]]</f>
        <v>0</v>
      </c>
      <c r="AE3324" s="152"/>
      <c r="AF3324" s="153"/>
      <c r="AG3324" s="126" t="s">
        <v>3420</v>
      </c>
      <c r="AK3324" s="306" t="str">
        <f>IF(ISNUMBER(Table1[[#This Row],[FECHA DE RECIBIDO]]), Table1[[#This Row],[FECHA DE RECIBIDO]]-DATE(2023,8,30), "")</f>
        <v/>
      </c>
    </row>
    <row r="3325" spans="1:37" ht="15" customHeight="1">
      <c r="A3325" s="150" t="s">
        <v>4170</v>
      </c>
      <c r="B3325" s="151">
        <v>1169</v>
      </c>
      <c r="C3325" s="126" t="s">
        <v>2860</v>
      </c>
      <c r="D3325">
        <v>2276</v>
      </c>
      <c r="E3325" s="126" t="s">
        <v>1603</v>
      </c>
      <c r="F3325" s="122" t="s">
        <v>1607</v>
      </c>
      <c r="G3325" s="122" t="s">
        <v>134</v>
      </c>
      <c r="H3325">
        <v>43</v>
      </c>
      <c r="I3325" s="122" t="s">
        <v>1546</v>
      </c>
      <c r="J3325" s="307" t="s">
        <v>214</v>
      </c>
      <c r="K3325" s="127" t="s">
        <v>4112</v>
      </c>
      <c r="L3325" s="151" t="s">
        <v>1579</v>
      </c>
      <c r="M3325">
        <v>67</v>
      </c>
      <c r="N3325" s="123">
        <v>17</v>
      </c>
      <c r="O3325">
        <v>1517</v>
      </c>
      <c r="P3325" s="132" t="s">
        <v>77</v>
      </c>
      <c r="Q3325" s="131">
        <v>10.34</v>
      </c>
      <c r="R3325" s="131">
        <v>1.66</v>
      </c>
      <c r="S3325" s="131"/>
      <c r="T3325" s="155"/>
      <c r="U3325" s="131"/>
      <c r="V3325" s="131">
        <v>12</v>
      </c>
      <c r="W3325"/>
      <c r="X3325" s="151" t="s">
        <v>1644</v>
      </c>
      <c r="Y3325" s="135" t="s">
        <v>55</v>
      </c>
      <c r="Z3325" s="307">
        <v>233</v>
      </c>
      <c r="AB3325" t="str">
        <f>IF(Table1[[#This Row],[TIPO2]]="costo", VLOOKUP(Table1[[#This Row],[PARTIDA PRESUPUESTAL]],'Cost Report'!G:G,1,0),"Balance")</f>
        <v>3629-003</v>
      </c>
      <c r="AC3325" s="118"/>
      <c r="AD3325" s="159">
        <f>+Table1[[#This Row],[SUBTOTAL]]+Table1[[#This Row],[IVA]]-Table1[[#This Row],[RET IVA]]-Table1[[#This Row],[RET ISR]]-Table1[[#This Row],[TOTAL]]</f>
        <v>0</v>
      </c>
      <c r="AE3325" s="150"/>
      <c r="AF3325" s="151"/>
      <c r="AG3325" s="126" t="s">
        <v>3420</v>
      </c>
      <c r="AK3325" s="306" t="str">
        <f>IF(ISNUMBER(Table1[[#This Row],[FECHA DE RECIBIDO]]), Table1[[#This Row],[FECHA DE RECIBIDO]]-DATE(2023,8,30), "")</f>
        <v/>
      </c>
    </row>
    <row r="3326" spans="1:37" ht="15" customHeight="1">
      <c r="A3326" s="152" t="s">
        <v>4170</v>
      </c>
      <c r="B3326" s="153">
        <v>1169</v>
      </c>
      <c r="C3326" s="126" t="s">
        <v>2774</v>
      </c>
      <c r="D3326">
        <v>2277</v>
      </c>
      <c r="E3326" s="126" t="s">
        <v>1603</v>
      </c>
      <c r="F3326" s="125" t="s">
        <v>1607</v>
      </c>
      <c r="G3326" s="125" t="s">
        <v>134</v>
      </c>
      <c r="H3326">
        <v>43</v>
      </c>
      <c r="I3326" s="125" t="s">
        <v>1546</v>
      </c>
      <c r="J3326" s="308" t="s">
        <v>214</v>
      </c>
      <c r="K3326" s="127" t="s">
        <v>4112</v>
      </c>
      <c r="L3326" s="153" t="s">
        <v>1579</v>
      </c>
      <c r="M3326">
        <v>67</v>
      </c>
      <c r="N3326" s="123">
        <v>17</v>
      </c>
      <c r="O3326">
        <v>2191</v>
      </c>
      <c r="P3326" s="132" t="s">
        <v>77</v>
      </c>
      <c r="Q3326" s="132">
        <v>42</v>
      </c>
      <c r="R3326" s="132"/>
      <c r="S3326" s="132"/>
      <c r="T3326" s="156"/>
      <c r="U3326" s="132"/>
      <c r="V3326" s="132">
        <v>42</v>
      </c>
      <c r="W3326"/>
      <c r="X3326" s="153" t="s">
        <v>1644</v>
      </c>
      <c r="Y3326" s="124" t="s">
        <v>55</v>
      </c>
      <c r="Z3326" s="308">
        <v>233</v>
      </c>
      <c r="AB3326" t="str">
        <f>IF(Table1[[#This Row],[TIPO2]]="costo", VLOOKUP(Table1[[#This Row],[PARTIDA PRESUPUESTAL]],'Cost Report'!G:G,1,0),"Balance")</f>
        <v>3401-042</v>
      </c>
      <c r="AC3326" s="118"/>
      <c r="AD3326" s="159">
        <f>+Table1[[#This Row],[SUBTOTAL]]+Table1[[#This Row],[IVA]]-Table1[[#This Row],[RET IVA]]-Table1[[#This Row],[RET ISR]]-Table1[[#This Row],[TOTAL]]</f>
        <v>0</v>
      </c>
      <c r="AE3326" s="152"/>
      <c r="AF3326" s="153"/>
      <c r="AG3326" s="126" t="s">
        <v>3420</v>
      </c>
      <c r="AK3326" s="306" t="str">
        <f>IF(ISNUMBER(Table1[[#This Row],[FECHA DE RECIBIDO]]), Table1[[#This Row],[FECHA DE RECIBIDO]]-DATE(2023,8,30), "")</f>
        <v/>
      </c>
    </row>
    <row r="3327" spans="1:37" ht="15" customHeight="1">
      <c r="A3327" s="150" t="s">
        <v>4170</v>
      </c>
      <c r="B3327" s="151">
        <v>1169</v>
      </c>
      <c r="C3327" s="126" t="s">
        <v>2774</v>
      </c>
      <c r="D3327">
        <v>2278</v>
      </c>
      <c r="E3327" s="126" t="s">
        <v>1612</v>
      </c>
      <c r="F3327" s="122" t="s">
        <v>1607</v>
      </c>
      <c r="G3327" s="122" t="s">
        <v>134</v>
      </c>
      <c r="H3327">
        <v>43</v>
      </c>
      <c r="I3327" s="122" t="s">
        <v>1546</v>
      </c>
      <c r="J3327" s="307" t="s">
        <v>214</v>
      </c>
      <c r="K3327" s="127" t="s">
        <v>4112</v>
      </c>
      <c r="L3327" s="151" t="s">
        <v>1579</v>
      </c>
      <c r="M3327">
        <v>67</v>
      </c>
      <c r="N3327" s="123">
        <v>17</v>
      </c>
      <c r="O3327">
        <v>2192</v>
      </c>
      <c r="P3327" s="132" t="s">
        <v>77</v>
      </c>
      <c r="Q3327" s="131">
        <v>57</v>
      </c>
      <c r="R3327" s="131"/>
      <c r="S3327" s="131"/>
      <c r="T3327" s="155"/>
      <c r="U3327" s="131"/>
      <c r="V3327" s="131">
        <v>57</v>
      </c>
      <c r="W3327"/>
      <c r="X3327" s="151" t="s">
        <v>1644</v>
      </c>
      <c r="Y3327" s="135" t="s">
        <v>55</v>
      </c>
      <c r="Z3327" s="307">
        <v>233</v>
      </c>
      <c r="AB3327" t="str">
        <f>IF(Table1[[#This Row],[TIPO2]]="costo", VLOOKUP(Table1[[#This Row],[PARTIDA PRESUPUESTAL]],'Cost Report'!G:G,1,0),"Balance")</f>
        <v>3401-042</v>
      </c>
      <c r="AC3327" s="118"/>
      <c r="AD3327" s="159">
        <f>+Table1[[#This Row],[SUBTOTAL]]+Table1[[#This Row],[IVA]]-Table1[[#This Row],[RET IVA]]-Table1[[#This Row],[RET ISR]]-Table1[[#This Row],[TOTAL]]</f>
        <v>0</v>
      </c>
      <c r="AE3327" s="150"/>
      <c r="AF3327" s="151"/>
      <c r="AG3327" s="126" t="s">
        <v>3420</v>
      </c>
      <c r="AK3327" s="306" t="str">
        <f>IF(ISNUMBER(Table1[[#This Row],[FECHA DE RECIBIDO]]), Table1[[#This Row],[FECHA DE RECIBIDO]]-DATE(2023,8,30), "")</f>
        <v/>
      </c>
    </row>
    <row r="3328" spans="1:37" ht="15" customHeight="1">
      <c r="A3328" s="152" t="s">
        <v>4170</v>
      </c>
      <c r="B3328" s="153">
        <v>1169</v>
      </c>
      <c r="C3328" s="126" t="s">
        <v>1873</v>
      </c>
      <c r="D3328">
        <v>2279</v>
      </c>
      <c r="E3328" s="126" t="e">
        <v>#N/A</v>
      </c>
      <c r="F3328" s="125" t="e">
        <v>#N/A</v>
      </c>
      <c r="G3328" s="125" t="e">
        <v>#N/A</v>
      </c>
      <c r="H3328">
        <v>36</v>
      </c>
      <c r="I3328" s="125" t="e">
        <v>#N/A</v>
      </c>
      <c r="J3328" s="308" t="s">
        <v>214</v>
      </c>
      <c r="K3328" s="127" t="s">
        <v>4112</v>
      </c>
      <c r="L3328" s="153" t="s">
        <v>1579</v>
      </c>
      <c r="M3328">
        <v>69</v>
      </c>
      <c r="N3328" s="123">
        <v>17</v>
      </c>
      <c r="O3328">
        <v>2193</v>
      </c>
      <c r="P3328" s="132" t="s">
        <v>77</v>
      </c>
      <c r="Q3328" s="132">
        <v>91.98</v>
      </c>
      <c r="R3328" s="132">
        <v>5.52</v>
      </c>
      <c r="S3328" s="132"/>
      <c r="T3328" s="156"/>
      <c r="U3328" s="132"/>
      <c r="V3328" s="132">
        <v>97.5</v>
      </c>
      <c r="W3328"/>
      <c r="X3328" s="153" t="s">
        <v>1644</v>
      </c>
      <c r="Y3328" s="124" t="s">
        <v>55</v>
      </c>
      <c r="Z3328" s="308">
        <v>233</v>
      </c>
      <c r="AB3328" t="str">
        <f>IF(Table1[[#This Row],[TIPO2]]="costo", VLOOKUP(Table1[[#This Row],[PARTIDA PRESUPUESTAL]],'Cost Report'!G:G,1,0),"Balance")</f>
        <v>3442-015</v>
      </c>
      <c r="AC3328" s="118"/>
      <c r="AD3328" s="159">
        <f>+Table1[[#This Row],[SUBTOTAL]]+Table1[[#This Row],[IVA]]-Table1[[#This Row],[RET IVA]]-Table1[[#This Row],[RET ISR]]-Table1[[#This Row],[TOTAL]]</f>
        <v>0</v>
      </c>
      <c r="AE3328" s="152"/>
      <c r="AF3328" s="153"/>
      <c r="AG3328" s="126" t="s">
        <v>3420</v>
      </c>
      <c r="AK3328" s="306" t="str">
        <f>IF(ISNUMBER(Table1[[#This Row],[FECHA DE RECIBIDO]]), Table1[[#This Row],[FECHA DE RECIBIDO]]-DATE(2023,8,30), "")</f>
        <v/>
      </c>
    </row>
    <row r="3329" spans="1:37" ht="15" customHeight="1">
      <c r="A3329" s="150" t="s">
        <v>4170</v>
      </c>
      <c r="B3329" s="151">
        <v>1169</v>
      </c>
      <c r="C3329" s="126" t="s">
        <v>2774</v>
      </c>
      <c r="D3329">
        <v>2280</v>
      </c>
      <c r="E3329" s="126" t="s">
        <v>1645</v>
      </c>
      <c r="F3329" s="122" t="s">
        <v>1607</v>
      </c>
      <c r="G3329" s="122" t="s">
        <v>134</v>
      </c>
      <c r="H3329">
        <v>549</v>
      </c>
      <c r="I3329" s="122" t="s">
        <v>1546</v>
      </c>
      <c r="J3329" s="307" t="s">
        <v>214</v>
      </c>
      <c r="K3329" s="127" t="s">
        <v>4112</v>
      </c>
      <c r="L3329" s="151" t="s">
        <v>1579</v>
      </c>
      <c r="M3329">
        <v>814</v>
      </c>
      <c r="N3329" s="123">
        <v>17</v>
      </c>
      <c r="O3329">
        <v>2194</v>
      </c>
      <c r="P3329" s="132" t="s">
        <v>77</v>
      </c>
      <c r="Q3329" s="131">
        <v>193.96</v>
      </c>
      <c r="R3329" s="131">
        <v>31.05</v>
      </c>
      <c r="S3329" s="131"/>
      <c r="T3329" s="155"/>
      <c r="U3329" s="131"/>
      <c r="V3329" s="131">
        <v>225.01000000000002</v>
      </c>
      <c r="W3329"/>
      <c r="X3329" s="151" t="s">
        <v>1644</v>
      </c>
      <c r="Y3329" s="135" t="s">
        <v>55</v>
      </c>
      <c r="Z3329" s="307">
        <v>233</v>
      </c>
      <c r="AB3329" t="str">
        <f>IF(Table1[[#This Row],[TIPO2]]="costo", VLOOKUP(Table1[[#This Row],[PARTIDA PRESUPUESTAL]],'Cost Report'!G:G,1,0),"Balance")</f>
        <v>3401-042</v>
      </c>
      <c r="AC3329" s="118"/>
      <c r="AD3329" s="159">
        <f>+Table1[[#This Row],[SUBTOTAL]]+Table1[[#This Row],[IVA]]-Table1[[#This Row],[RET IVA]]-Table1[[#This Row],[RET ISR]]-Table1[[#This Row],[TOTAL]]</f>
        <v>0</v>
      </c>
      <c r="AE3329" s="150"/>
      <c r="AF3329" s="151"/>
      <c r="AG3329" s="126" t="s">
        <v>3420</v>
      </c>
      <c r="AK3329" s="306" t="str">
        <f>IF(ISNUMBER(Table1[[#This Row],[FECHA DE RECIBIDO]]), Table1[[#This Row],[FECHA DE RECIBIDO]]-DATE(2023,8,30), "")</f>
        <v/>
      </c>
    </row>
    <row r="3330" spans="1:37" ht="15" customHeight="1">
      <c r="A3330" s="152" t="s">
        <v>4170</v>
      </c>
      <c r="B3330" s="153">
        <v>1169</v>
      </c>
      <c r="C3330" s="126" t="s">
        <v>3108</v>
      </c>
      <c r="D3330">
        <v>2281</v>
      </c>
      <c r="E3330" s="126" t="s">
        <v>1603</v>
      </c>
      <c r="F3330" s="125" t="s">
        <v>1607</v>
      </c>
      <c r="G3330" s="125" t="s">
        <v>134</v>
      </c>
      <c r="H3330">
        <v>273</v>
      </c>
      <c r="I3330" s="125" t="s">
        <v>1546</v>
      </c>
      <c r="J3330" s="308" t="s">
        <v>214</v>
      </c>
      <c r="K3330" s="127" t="s">
        <v>4112</v>
      </c>
      <c r="L3330" s="153" t="s">
        <v>1579</v>
      </c>
      <c r="M3330">
        <v>364</v>
      </c>
      <c r="N3330" s="123">
        <v>17</v>
      </c>
      <c r="O3330">
        <v>2195</v>
      </c>
      <c r="P3330" s="132" t="s">
        <v>77</v>
      </c>
      <c r="Q3330" s="132">
        <v>1885.35</v>
      </c>
      <c r="R3330" s="132">
        <v>301.64999999999998</v>
      </c>
      <c r="S3330" s="132"/>
      <c r="T3330" s="156"/>
      <c r="U3330" s="132"/>
      <c r="V3330" s="132">
        <v>2187</v>
      </c>
      <c r="W3330"/>
      <c r="X3330" s="153" t="s">
        <v>1644</v>
      </c>
      <c r="Y3330" s="124" t="s">
        <v>55</v>
      </c>
      <c r="Z3330" s="308">
        <v>233</v>
      </c>
      <c r="AB3330" t="str">
        <f>IF(Table1[[#This Row],[TIPO2]]="costo", VLOOKUP(Table1[[#This Row],[PARTIDA PRESUPUESTAL]],'Cost Report'!G:G,1,0),"Balance")</f>
        <v>7080-003</v>
      </c>
      <c r="AC3330" s="118"/>
      <c r="AD3330" s="159">
        <f>+Table1[[#This Row],[SUBTOTAL]]+Table1[[#This Row],[IVA]]-Table1[[#This Row],[RET IVA]]-Table1[[#This Row],[RET ISR]]-Table1[[#This Row],[TOTAL]]</f>
        <v>0</v>
      </c>
      <c r="AE3330" s="152"/>
      <c r="AF3330" s="153"/>
      <c r="AG3330" s="126" t="s">
        <v>3420</v>
      </c>
      <c r="AK3330" s="306" t="str">
        <f>IF(ISNUMBER(Table1[[#This Row],[FECHA DE RECIBIDO]]), Table1[[#This Row],[FECHA DE RECIBIDO]]-DATE(2023,8,30), "")</f>
        <v/>
      </c>
    </row>
    <row r="3331" spans="1:37" ht="15" customHeight="1">
      <c r="A3331" s="150" t="s">
        <v>4170</v>
      </c>
      <c r="B3331" s="151">
        <v>1169</v>
      </c>
      <c r="C3331" s="126" t="s">
        <v>3108</v>
      </c>
      <c r="D3331">
        <v>2282</v>
      </c>
      <c r="E3331" s="126" t="s">
        <v>1603</v>
      </c>
      <c r="F3331" s="122" t="s">
        <v>1607</v>
      </c>
      <c r="G3331" s="122" t="s">
        <v>134</v>
      </c>
      <c r="H3331">
        <v>273</v>
      </c>
      <c r="I3331" s="122" t="s">
        <v>1546</v>
      </c>
      <c r="J3331" s="307" t="s">
        <v>214</v>
      </c>
      <c r="K3331" s="127" t="s">
        <v>4112</v>
      </c>
      <c r="L3331" s="151" t="s">
        <v>1579</v>
      </c>
      <c r="M3331">
        <v>364</v>
      </c>
      <c r="N3331" s="123">
        <v>17</v>
      </c>
      <c r="O3331">
        <v>2196</v>
      </c>
      <c r="P3331" s="132" t="s">
        <v>77</v>
      </c>
      <c r="Q3331" s="131">
        <v>646.38</v>
      </c>
      <c r="R3331" s="131">
        <v>103.42</v>
      </c>
      <c r="S3331" s="131"/>
      <c r="T3331" s="155"/>
      <c r="U3331" s="131"/>
      <c r="V3331" s="131">
        <v>749.8</v>
      </c>
      <c r="W3331"/>
      <c r="X3331" s="151" t="s">
        <v>1644</v>
      </c>
      <c r="Y3331" s="135" t="s">
        <v>55</v>
      </c>
      <c r="Z3331" s="307">
        <v>233</v>
      </c>
      <c r="AB3331" t="str">
        <f>IF(Table1[[#This Row],[TIPO2]]="costo", VLOOKUP(Table1[[#This Row],[PARTIDA PRESUPUESTAL]],'Cost Report'!G:G,1,0),"Balance")</f>
        <v>7080-003</v>
      </c>
      <c r="AC3331" s="118"/>
      <c r="AD3331" s="159">
        <f>+Table1[[#This Row],[SUBTOTAL]]+Table1[[#This Row],[IVA]]-Table1[[#This Row],[RET IVA]]-Table1[[#This Row],[RET ISR]]-Table1[[#This Row],[TOTAL]]</f>
        <v>0</v>
      </c>
      <c r="AE3331" s="150"/>
      <c r="AF3331" s="151"/>
      <c r="AG3331" s="126" t="s">
        <v>3420</v>
      </c>
      <c r="AK3331" s="306" t="str">
        <f>IF(ISNUMBER(Table1[[#This Row],[FECHA DE RECIBIDO]]), Table1[[#This Row],[FECHA DE RECIBIDO]]-DATE(2023,8,30), "")</f>
        <v/>
      </c>
    </row>
    <row r="3332" spans="1:37" ht="15" customHeight="1">
      <c r="A3332" s="152" t="s">
        <v>4170</v>
      </c>
      <c r="B3332" s="153">
        <v>1169</v>
      </c>
      <c r="C3332" s="126" t="s">
        <v>2774</v>
      </c>
      <c r="D3332">
        <v>2283</v>
      </c>
      <c r="E3332" s="126" t="s">
        <v>1603</v>
      </c>
      <c r="F3332" s="125" t="s">
        <v>1607</v>
      </c>
      <c r="G3332" s="125" t="s">
        <v>134</v>
      </c>
      <c r="H3332">
        <v>56</v>
      </c>
      <c r="I3332" s="125" t="s">
        <v>1546</v>
      </c>
      <c r="J3332" s="308" t="s">
        <v>214</v>
      </c>
      <c r="K3332" s="127" t="s">
        <v>4112</v>
      </c>
      <c r="L3332" s="153" t="s">
        <v>1579</v>
      </c>
      <c r="M3332">
        <v>184</v>
      </c>
      <c r="N3332" s="123">
        <v>17</v>
      </c>
      <c r="O3332">
        <v>2197</v>
      </c>
      <c r="P3332" s="132" t="s">
        <v>77</v>
      </c>
      <c r="Q3332" s="132">
        <v>401.15</v>
      </c>
      <c r="R3332" s="132">
        <v>32.25</v>
      </c>
      <c r="S3332" s="132"/>
      <c r="T3332" s="156"/>
      <c r="U3332" s="132"/>
      <c r="V3332" s="132">
        <v>433.4</v>
      </c>
      <c r="W3332"/>
      <c r="X3332" s="153" t="s">
        <v>1644</v>
      </c>
      <c r="Y3332" s="124" t="s">
        <v>55</v>
      </c>
      <c r="Z3332" s="308">
        <v>233</v>
      </c>
      <c r="AB3332" t="str">
        <f>IF(Table1[[#This Row],[TIPO2]]="costo", VLOOKUP(Table1[[#This Row],[PARTIDA PRESUPUESTAL]],'Cost Report'!G:G,1,0),"Balance")</f>
        <v>3401-042</v>
      </c>
      <c r="AC3332" s="118"/>
      <c r="AD3332" s="159">
        <f>+Table1[[#This Row],[SUBTOTAL]]+Table1[[#This Row],[IVA]]-Table1[[#This Row],[RET IVA]]-Table1[[#This Row],[RET ISR]]-Table1[[#This Row],[TOTAL]]</f>
        <v>0</v>
      </c>
      <c r="AE3332" s="152"/>
      <c r="AF3332" s="153"/>
      <c r="AG3332" s="126" t="s">
        <v>3420</v>
      </c>
      <c r="AK3332" s="306" t="str">
        <f>IF(ISNUMBER(Table1[[#This Row],[FECHA DE RECIBIDO]]), Table1[[#This Row],[FECHA DE RECIBIDO]]-DATE(2023,8,30), "")</f>
        <v/>
      </c>
    </row>
    <row r="3333" spans="1:37" ht="15" customHeight="1">
      <c r="A3333" s="150" t="s">
        <v>4170</v>
      </c>
      <c r="B3333" s="151">
        <v>1169</v>
      </c>
      <c r="C3333" s="126" t="s">
        <v>2860</v>
      </c>
      <c r="D3333">
        <v>2284</v>
      </c>
      <c r="E3333" s="126" t="s">
        <v>3794</v>
      </c>
      <c r="F3333" s="122" t="s">
        <v>1371</v>
      </c>
      <c r="G3333" s="122" t="s">
        <v>2065</v>
      </c>
      <c r="H3333">
        <v>576</v>
      </c>
      <c r="I3333" s="122" t="s">
        <v>1546</v>
      </c>
      <c r="J3333" s="307" t="s">
        <v>214</v>
      </c>
      <c r="K3333" s="127" t="s">
        <v>4112</v>
      </c>
      <c r="L3333" s="151" t="s">
        <v>1579</v>
      </c>
      <c r="M3333">
        <v>813</v>
      </c>
      <c r="N3333" s="123">
        <v>17</v>
      </c>
      <c r="O3333">
        <v>2188</v>
      </c>
      <c r="P3333" s="132" t="s">
        <v>77</v>
      </c>
      <c r="Q3333" s="131">
        <v>46.55</v>
      </c>
      <c r="R3333" s="131">
        <v>7.45</v>
      </c>
      <c r="S3333" s="131"/>
      <c r="T3333" s="155"/>
      <c r="U3333" s="131"/>
      <c r="V3333" s="131">
        <v>54</v>
      </c>
      <c r="W3333"/>
      <c r="X3333" s="151" t="s">
        <v>1644</v>
      </c>
      <c r="Y3333" s="135" t="s">
        <v>55</v>
      </c>
      <c r="Z3333" s="307">
        <v>233</v>
      </c>
      <c r="AB3333" t="str">
        <f>IF(Table1[[#This Row],[TIPO2]]="costo", VLOOKUP(Table1[[#This Row],[PARTIDA PRESUPUESTAL]],'Cost Report'!G:G,1,0),"Balance")</f>
        <v>3629-003</v>
      </c>
      <c r="AC3333" s="118"/>
      <c r="AD3333" s="159">
        <f>+Table1[[#This Row],[SUBTOTAL]]+Table1[[#This Row],[IVA]]-Table1[[#This Row],[RET IVA]]-Table1[[#This Row],[RET ISR]]-Table1[[#This Row],[TOTAL]]</f>
        <v>0</v>
      </c>
      <c r="AE3333" s="150"/>
      <c r="AF3333" s="151"/>
      <c r="AG3333" s="126" t="s">
        <v>3420</v>
      </c>
      <c r="AK3333" s="306" t="str">
        <f>IF(ISNUMBER(Table1[[#This Row],[FECHA DE RECIBIDO]]), Table1[[#This Row],[FECHA DE RECIBIDO]]-DATE(2023,8,30), "")</f>
        <v/>
      </c>
    </row>
    <row r="3334" spans="1:37" ht="15" customHeight="1">
      <c r="A3334" s="152" t="s">
        <v>4170</v>
      </c>
      <c r="B3334" s="153">
        <v>1169</v>
      </c>
      <c r="C3334" s="126" t="s">
        <v>2774</v>
      </c>
      <c r="D3334">
        <v>2285</v>
      </c>
      <c r="E3334" s="126" t="s">
        <v>1612</v>
      </c>
      <c r="F3334" s="125" t="s">
        <v>1607</v>
      </c>
      <c r="G3334" s="125" t="s">
        <v>134</v>
      </c>
      <c r="H3334">
        <v>628</v>
      </c>
      <c r="I3334" s="125" t="s">
        <v>1546</v>
      </c>
      <c r="J3334" s="308" t="s">
        <v>214</v>
      </c>
      <c r="K3334" s="127" t="s">
        <v>4112</v>
      </c>
      <c r="L3334" s="153" t="s">
        <v>1579</v>
      </c>
      <c r="M3334">
        <v>888</v>
      </c>
      <c r="N3334" s="123">
        <v>17</v>
      </c>
      <c r="O3334">
        <v>2198</v>
      </c>
      <c r="P3334" s="132" t="s">
        <v>77</v>
      </c>
      <c r="Q3334" s="132">
        <v>1198.28</v>
      </c>
      <c r="R3334" s="132">
        <v>191.72</v>
      </c>
      <c r="S3334" s="132"/>
      <c r="T3334" s="156"/>
      <c r="U3334" s="132"/>
      <c r="V3334" s="132">
        <v>1390</v>
      </c>
      <c r="W3334"/>
      <c r="X3334" s="153" t="s">
        <v>1644</v>
      </c>
      <c r="Y3334" s="124" t="s">
        <v>55</v>
      </c>
      <c r="Z3334" s="308">
        <v>236</v>
      </c>
      <c r="AB3334" t="str">
        <f>IF(Table1[[#This Row],[TIPO2]]="costo", VLOOKUP(Table1[[#This Row],[PARTIDA PRESUPUESTAL]],'Cost Report'!G:G,1,0),"Balance")</f>
        <v>3401-042</v>
      </c>
      <c r="AC3334" s="118"/>
      <c r="AD3334" s="159">
        <f>+Table1[[#This Row],[SUBTOTAL]]+Table1[[#This Row],[IVA]]-Table1[[#This Row],[RET IVA]]-Table1[[#This Row],[RET ISR]]-Table1[[#This Row],[TOTAL]]</f>
        <v>0</v>
      </c>
      <c r="AE3334" s="152"/>
      <c r="AF3334" s="153"/>
      <c r="AG3334" s="126" t="s">
        <v>3420</v>
      </c>
      <c r="AK3334" s="306" t="str">
        <f>IF(ISNUMBER(Table1[[#This Row],[FECHA DE RECIBIDO]]), Table1[[#This Row],[FECHA DE RECIBIDO]]-DATE(2023,8,30), "")</f>
        <v/>
      </c>
    </row>
    <row r="3335" spans="1:37" ht="15" customHeight="1">
      <c r="A3335" s="150" t="s">
        <v>4170</v>
      </c>
      <c r="B3335" s="151">
        <v>1169</v>
      </c>
      <c r="C3335" s="126" t="s">
        <v>2860</v>
      </c>
      <c r="D3335">
        <v>2286</v>
      </c>
      <c r="E3335" s="126" t="s">
        <v>3794</v>
      </c>
      <c r="F3335" s="122" t="s">
        <v>1371</v>
      </c>
      <c r="G3335" s="122" t="s">
        <v>2065</v>
      </c>
      <c r="H3335">
        <v>576</v>
      </c>
      <c r="I3335" s="122" t="s">
        <v>1546</v>
      </c>
      <c r="J3335" s="307" t="s">
        <v>214</v>
      </c>
      <c r="K3335" s="127" t="s">
        <v>4112</v>
      </c>
      <c r="L3335" s="151" t="s">
        <v>1579</v>
      </c>
      <c r="M3335">
        <v>813</v>
      </c>
      <c r="N3335" s="123">
        <v>17</v>
      </c>
      <c r="O3335">
        <v>2188</v>
      </c>
      <c r="P3335" s="132" t="s">
        <v>77</v>
      </c>
      <c r="Q3335" s="131">
        <v>46.55</v>
      </c>
      <c r="R3335" s="131">
        <v>7.45</v>
      </c>
      <c r="S3335" s="131"/>
      <c r="T3335" s="155"/>
      <c r="U3335" s="131"/>
      <c r="V3335" s="131">
        <v>54</v>
      </c>
      <c r="W3335"/>
      <c r="X3335" s="151" t="s">
        <v>1644</v>
      </c>
      <c r="Y3335" s="135" t="s">
        <v>55</v>
      </c>
      <c r="Z3335" s="307">
        <v>236</v>
      </c>
      <c r="AB3335" t="str">
        <f>IF(Table1[[#This Row],[TIPO2]]="costo", VLOOKUP(Table1[[#This Row],[PARTIDA PRESUPUESTAL]],'Cost Report'!G:G,1,0),"Balance")</f>
        <v>3629-003</v>
      </c>
      <c r="AC3335" s="118"/>
      <c r="AD3335" s="159">
        <f>+Table1[[#This Row],[SUBTOTAL]]+Table1[[#This Row],[IVA]]-Table1[[#This Row],[RET IVA]]-Table1[[#This Row],[RET ISR]]-Table1[[#This Row],[TOTAL]]</f>
        <v>0</v>
      </c>
      <c r="AE3335" s="150"/>
      <c r="AF3335" s="151"/>
      <c r="AG3335" s="126" t="s">
        <v>3420</v>
      </c>
      <c r="AK3335" s="306" t="str">
        <f>IF(ISNUMBER(Table1[[#This Row],[FECHA DE RECIBIDO]]), Table1[[#This Row],[FECHA DE RECIBIDO]]-DATE(2023,8,30), "")</f>
        <v/>
      </c>
    </row>
    <row r="3336" spans="1:37" ht="15" customHeight="1">
      <c r="A3336" s="152" t="s">
        <v>4170</v>
      </c>
      <c r="B3336" s="153">
        <v>1169</v>
      </c>
      <c r="C3336" s="126" t="s">
        <v>977</v>
      </c>
      <c r="D3336">
        <v>2287</v>
      </c>
      <c r="E3336" s="126" t="s">
        <v>3383</v>
      </c>
      <c r="F3336" s="125" t="s">
        <v>1607</v>
      </c>
      <c r="G3336" s="125" t="s">
        <v>134</v>
      </c>
      <c r="H3336">
        <v>319</v>
      </c>
      <c r="I3336" s="125" t="s">
        <v>1546</v>
      </c>
      <c r="J3336" s="308" t="s">
        <v>214</v>
      </c>
      <c r="K3336" s="127" t="s">
        <v>4112</v>
      </c>
      <c r="L3336" s="153" t="s">
        <v>1579</v>
      </c>
      <c r="M3336">
        <v>424</v>
      </c>
      <c r="N3336" s="123">
        <v>17</v>
      </c>
      <c r="O3336">
        <v>2199</v>
      </c>
      <c r="P3336" s="132" t="s">
        <v>77</v>
      </c>
      <c r="Q3336" s="132">
        <v>97.61</v>
      </c>
      <c r="R3336" s="132">
        <v>11.39</v>
      </c>
      <c r="S3336" s="132"/>
      <c r="T3336" s="156"/>
      <c r="U3336" s="132"/>
      <c r="V3336" s="132">
        <v>109</v>
      </c>
      <c r="W3336"/>
      <c r="X3336" s="153" t="s">
        <v>1644</v>
      </c>
      <c r="Y3336" s="124" t="s">
        <v>55</v>
      </c>
      <c r="Z3336" s="308">
        <v>236</v>
      </c>
      <c r="AB3336" t="str">
        <f>IF(Table1[[#This Row],[TIPO2]]="costo", VLOOKUP(Table1[[#This Row],[PARTIDA PRESUPUESTAL]],'Cost Report'!G:G,1,0),"Balance")</f>
        <v>3410-012</v>
      </c>
      <c r="AC3336" s="118"/>
      <c r="AD3336" s="159">
        <f>+Table1[[#This Row],[SUBTOTAL]]+Table1[[#This Row],[IVA]]-Table1[[#This Row],[RET IVA]]-Table1[[#This Row],[RET ISR]]-Table1[[#This Row],[TOTAL]]</f>
        <v>0</v>
      </c>
      <c r="AE3336" s="152"/>
      <c r="AF3336" s="153"/>
      <c r="AG3336" s="126" t="s">
        <v>3420</v>
      </c>
      <c r="AK3336" s="306" t="str">
        <f>IF(ISNUMBER(Table1[[#This Row],[FECHA DE RECIBIDO]]), Table1[[#This Row],[FECHA DE RECIBIDO]]-DATE(2023,8,30), "")</f>
        <v/>
      </c>
    </row>
    <row r="3337" spans="1:37" ht="15" customHeight="1">
      <c r="A3337" s="150" t="s">
        <v>4170</v>
      </c>
      <c r="B3337" s="151">
        <v>1169</v>
      </c>
      <c r="C3337" s="126" t="s">
        <v>3108</v>
      </c>
      <c r="D3337">
        <v>2288</v>
      </c>
      <c r="E3337" s="126" t="s">
        <v>1985</v>
      </c>
      <c r="F3337" s="122" t="s">
        <v>1589</v>
      </c>
      <c r="G3337" s="122" t="s">
        <v>129</v>
      </c>
      <c r="H3337">
        <v>629</v>
      </c>
      <c r="I3337" s="122" t="s">
        <v>1546</v>
      </c>
      <c r="J3337" s="307" t="s">
        <v>214</v>
      </c>
      <c r="K3337" s="127" t="s">
        <v>4112</v>
      </c>
      <c r="L3337" s="151" t="s">
        <v>1579</v>
      </c>
      <c r="M3337">
        <v>889</v>
      </c>
      <c r="N3337" s="123">
        <v>17</v>
      </c>
      <c r="O3337">
        <v>2200</v>
      </c>
      <c r="P3337" s="132" t="s">
        <v>77</v>
      </c>
      <c r="Q3337" s="131">
        <v>950</v>
      </c>
      <c r="R3337" s="131">
        <v>152</v>
      </c>
      <c r="S3337" s="131"/>
      <c r="T3337" s="155"/>
      <c r="U3337" s="131"/>
      <c r="V3337" s="131">
        <v>1102</v>
      </c>
      <c r="W3337"/>
      <c r="X3337" s="151" t="s">
        <v>1644</v>
      </c>
      <c r="Y3337" s="135" t="s">
        <v>55</v>
      </c>
      <c r="Z3337" s="307">
        <v>236</v>
      </c>
      <c r="AB3337" t="str">
        <f>IF(Table1[[#This Row],[TIPO2]]="costo", VLOOKUP(Table1[[#This Row],[PARTIDA PRESUPUESTAL]],'Cost Report'!G:G,1,0),"Balance")</f>
        <v>7080-003</v>
      </c>
      <c r="AC3337" s="118"/>
      <c r="AD3337" s="159">
        <f>+Table1[[#This Row],[SUBTOTAL]]+Table1[[#This Row],[IVA]]-Table1[[#This Row],[RET IVA]]-Table1[[#This Row],[RET ISR]]-Table1[[#This Row],[TOTAL]]</f>
        <v>0</v>
      </c>
      <c r="AE3337" s="150"/>
      <c r="AF3337" s="151"/>
      <c r="AG3337" s="126" t="s">
        <v>3420</v>
      </c>
      <c r="AK3337" s="306" t="str">
        <f>IF(ISNUMBER(Table1[[#This Row],[FECHA DE RECIBIDO]]), Table1[[#This Row],[FECHA DE RECIBIDO]]-DATE(2023,8,30), "")</f>
        <v/>
      </c>
    </row>
    <row r="3338" spans="1:37" ht="15" customHeight="1">
      <c r="A3338" s="152" t="s">
        <v>4170</v>
      </c>
      <c r="B3338" s="153">
        <v>1169</v>
      </c>
      <c r="C3338" s="126" t="s">
        <v>3108</v>
      </c>
      <c r="D3338">
        <v>2289</v>
      </c>
      <c r="E3338" s="126" t="s">
        <v>1603</v>
      </c>
      <c r="F3338" s="125" t="s">
        <v>1607</v>
      </c>
      <c r="G3338" s="125" t="s">
        <v>134</v>
      </c>
      <c r="H3338">
        <v>273</v>
      </c>
      <c r="I3338" s="125" t="s">
        <v>1546</v>
      </c>
      <c r="J3338" s="308" t="s">
        <v>214</v>
      </c>
      <c r="K3338" s="127" t="s">
        <v>4112</v>
      </c>
      <c r="L3338" s="153" t="s">
        <v>1579</v>
      </c>
      <c r="M3338">
        <v>364</v>
      </c>
      <c r="N3338" s="123">
        <v>17</v>
      </c>
      <c r="O3338">
        <v>2201</v>
      </c>
      <c r="P3338" s="132" t="s">
        <v>77</v>
      </c>
      <c r="Q3338" s="132">
        <v>1294.83</v>
      </c>
      <c r="R3338" s="132">
        <v>207.17</v>
      </c>
      <c r="S3338" s="132"/>
      <c r="T3338" s="156"/>
      <c r="U3338" s="132"/>
      <c r="V3338" s="132">
        <v>1502</v>
      </c>
      <c r="W3338"/>
      <c r="X3338" s="153" t="s">
        <v>1644</v>
      </c>
      <c r="Y3338" s="124" t="s">
        <v>55</v>
      </c>
      <c r="Z3338" s="308">
        <v>236</v>
      </c>
      <c r="AB3338" t="str">
        <f>IF(Table1[[#This Row],[TIPO2]]="costo", VLOOKUP(Table1[[#This Row],[PARTIDA PRESUPUESTAL]],'Cost Report'!G:G,1,0),"Balance")</f>
        <v>7080-003</v>
      </c>
      <c r="AC3338" s="118"/>
      <c r="AD3338" s="159">
        <f>+Table1[[#This Row],[SUBTOTAL]]+Table1[[#This Row],[IVA]]-Table1[[#This Row],[RET IVA]]-Table1[[#This Row],[RET ISR]]-Table1[[#This Row],[TOTAL]]</f>
        <v>0</v>
      </c>
      <c r="AE3338" s="152"/>
      <c r="AF3338" s="153"/>
      <c r="AG3338" s="126" t="s">
        <v>3420</v>
      </c>
      <c r="AK3338" s="306" t="str">
        <f>IF(ISNUMBER(Table1[[#This Row],[FECHA DE RECIBIDO]]), Table1[[#This Row],[FECHA DE RECIBIDO]]-DATE(2023,8,30), "")</f>
        <v/>
      </c>
    </row>
    <row r="3339" spans="1:37" ht="15" customHeight="1">
      <c r="A3339" s="150" t="s">
        <v>4170</v>
      </c>
      <c r="B3339" s="151">
        <v>1169</v>
      </c>
      <c r="C3339" s="126" t="s">
        <v>3108</v>
      </c>
      <c r="D3339">
        <v>2290</v>
      </c>
      <c r="E3339" s="126" t="s">
        <v>1603</v>
      </c>
      <c r="F3339" s="122" t="s">
        <v>1607</v>
      </c>
      <c r="G3339" s="122" t="s">
        <v>134</v>
      </c>
      <c r="H3339">
        <v>273</v>
      </c>
      <c r="I3339" s="122" t="s">
        <v>1546</v>
      </c>
      <c r="J3339" s="307" t="s">
        <v>214</v>
      </c>
      <c r="K3339" s="127" t="s">
        <v>4112</v>
      </c>
      <c r="L3339" s="151" t="s">
        <v>1579</v>
      </c>
      <c r="M3339">
        <v>364</v>
      </c>
      <c r="N3339" s="123">
        <v>17</v>
      </c>
      <c r="O3339">
        <v>2202</v>
      </c>
      <c r="P3339" s="132" t="s">
        <v>77</v>
      </c>
      <c r="Q3339" s="131">
        <v>706.03</v>
      </c>
      <c r="R3339" s="131">
        <v>112.97</v>
      </c>
      <c r="S3339" s="131"/>
      <c r="T3339" s="155"/>
      <c r="U3339" s="131"/>
      <c r="V3339" s="131">
        <v>819</v>
      </c>
      <c r="W3339"/>
      <c r="X3339" s="151" t="s">
        <v>1644</v>
      </c>
      <c r="Y3339" s="135" t="s">
        <v>55</v>
      </c>
      <c r="Z3339" s="307">
        <v>237</v>
      </c>
      <c r="AB3339" t="str">
        <f>IF(Table1[[#This Row],[TIPO2]]="costo", VLOOKUP(Table1[[#This Row],[PARTIDA PRESUPUESTAL]],'Cost Report'!G:G,1,0),"Balance")</f>
        <v>7080-003</v>
      </c>
      <c r="AC3339" s="118"/>
      <c r="AD3339" s="159">
        <f>+Table1[[#This Row],[SUBTOTAL]]+Table1[[#This Row],[IVA]]-Table1[[#This Row],[RET IVA]]-Table1[[#This Row],[RET ISR]]-Table1[[#This Row],[TOTAL]]</f>
        <v>0</v>
      </c>
      <c r="AE3339" s="150"/>
      <c r="AF3339" s="151"/>
      <c r="AG3339" s="126" t="s">
        <v>3420</v>
      </c>
      <c r="AK3339" s="306" t="str">
        <f>IF(ISNUMBER(Table1[[#This Row],[FECHA DE RECIBIDO]]), Table1[[#This Row],[FECHA DE RECIBIDO]]-DATE(2023,8,30), "")</f>
        <v/>
      </c>
    </row>
    <row r="3340" spans="1:37" ht="15" customHeight="1">
      <c r="A3340" s="152" t="s">
        <v>4170</v>
      </c>
      <c r="B3340" s="153">
        <v>1169</v>
      </c>
      <c r="C3340" s="126" t="s">
        <v>3415</v>
      </c>
      <c r="D3340">
        <v>2291</v>
      </c>
      <c r="E3340" s="126" t="s">
        <v>1623</v>
      </c>
      <c r="F3340" s="125" t="s">
        <v>1607</v>
      </c>
      <c r="G3340" s="125" t="s">
        <v>134</v>
      </c>
      <c r="H3340">
        <v>45</v>
      </c>
      <c r="I3340" s="125" t="s">
        <v>1546</v>
      </c>
      <c r="J3340" s="308" t="s">
        <v>214</v>
      </c>
      <c r="K3340" s="127" t="s">
        <v>4112</v>
      </c>
      <c r="L3340" s="153" t="s">
        <v>1579</v>
      </c>
      <c r="M3340">
        <v>56</v>
      </c>
      <c r="N3340" s="123">
        <v>17</v>
      </c>
      <c r="O3340">
        <v>2203</v>
      </c>
      <c r="P3340" s="132" t="s">
        <v>77</v>
      </c>
      <c r="Q3340" s="132">
        <v>1120.69</v>
      </c>
      <c r="R3340" s="132">
        <v>179.31</v>
      </c>
      <c r="S3340" s="132"/>
      <c r="T3340" s="156"/>
      <c r="U3340" s="132"/>
      <c r="V3340" s="132">
        <v>1300</v>
      </c>
      <c r="W3340"/>
      <c r="X3340" s="153" t="s">
        <v>1644</v>
      </c>
      <c r="Y3340" s="124" t="s">
        <v>55</v>
      </c>
      <c r="Z3340" s="308">
        <v>238</v>
      </c>
      <c r="AB3340" t="str">
        <f>IF(Table1[[#This Row],[TIPO2]]="costo", VLOOKUP(Table1[[#This Row],[PARTIDA PRESUPUESTAL]],'Cost Report'!G:G,1,0),"Balance")</f>
        <v>3629-006</v>
      </c>
      <c r="AC3340" s="118"/>
      <c r="AD3340" s="159">
        <f>+Table1[[#This Row],[SUBTOTAL]]+Table1[[#This Row],[IVA]]-Table1[[#This Row],[RET IVA]]-Table1[[#This Row],[RET ISR]]-Table1[[#This Row],[TOTAL]]</f>
        <v>0</v>
      </c>
      <c r="AE3340" s="152"/>
      <c r="AF3340" s="153"/>
      <c r="AG3340" s="126" t="s">
        <v>3420</v>
      </c>
      <c r="AK3340" s="306" t="str">
        <f>IF(ISNUMBER(Table1[[#This Row],[FECHA DE RECIBIDO]]), Table1[[#This Row],[FECHA DE RECIBIDO]]-DATE(2023,8,30), "")</f>
        <v/>
      </c>
    </row>
    <row r="3341" spans="1:37" ht="15" customHeight="1">
      <c r="A3341" s="150" t="s">
        <v>4170</v>
      </c>
      <c r="B3341" s="151">
        <v>1169</v>
      </c>
      <c r="C3341" s="126" t="s">
        <v>3415</v>
      </c>
      <c r="D3341">
        <v>2292</v>
      </c>
      <c r="E3341" s="126" t="s">
        <v>1623</v>
      </c>
      <c r="F3341" s="122" t="s">
        <v>1607</v>
      </c>
      <c r="G3341" s="122" t="s">
        <v>134</v>
      </c>
      <c r="H3341">
        <v>45</v>
      </c>
      <c r="I3341" s="122" t="s">
        <v>1546</v>
      </c>
      <c r="J3341" s="307" t="s">
        <v>214</v>
      </c>
      <c r="K3341" s="127" t="s">
        <v>4112</v>
      </c>
      <c r="L3341" s="151" t="s">
        <v>1579</v>
      </c>
      <c r="M3341">
        <v>56</v>
      </c>
      <c r="N3341" s="123">
        <v>17</v>
      </c>
      <c r="O3341">
        <v>2203</v>
      </c>
      <c r="P3341" s="132" t="s">
        <v>77</v>
      </c>
      <c r="Q3341" s="131">
        <v>1120.69</v>
      </c>
      <c r="R3341" s="131">
        <v>179.31</v>
      </c>
      <c r="S3341" s="131"/>
      <c r="T3341" s="155"/>
      <c r="U3341" s="131"/>
      <c r="V3341" s="131">
        <v>1300</v>
      </c>
      <c r="W3341"/>
      <c r="X3341" s="151" t="s">
        <v>1644</v>
      </c>
      <c r="Y3341" s="135" t="s">
        <v>55</v>
      </c>
      <c r="Z3341" s="307">
        <v>238</v>
      </c>
      <c r="AB3341" t="str">
        <f>IF(Table1[[#This Row],[TIPO2]]="costo", VLOOKUP(Table1[[#This Row],[PARTIDA PRESUPUESTAL]],'Cost Report'!G:G,1,0),"Balance")</f>
        <v>3629-006</v>
      </c>
      <c r="AC3341" s="118"/>
      <c r="AD3341" s="159">
        <f>+Table1[[#This Row],[SUBTOTAL]]+Table1[[#This Row],[IVA]]-Table1[[#This Row],[RET IVA]]-Table1[[#This Row],[RET ISR]]-Table1[[#This Row],[TOTAL]]</f>
        <v>0</v>
      </c>
      <c r="AE3341" s="150"/>
      <c r="AF3341" s="151"/>
      <c r="AG3341" s="126" t="s">
        <v>3420</v>
      </c>
      <c r="AK3341" s="306" t="str">
        <f>IF(ISNUMBER(Table1[[#This Row],[FECHA DE RECIBIDO]]), Table1[[#This Row],[FECHA DE RECIBIDO]]-DATE(2023,8,30), "")</f>
        <v/>
      </c>
    </row>
    <row r="3342" spans="1:37" ht="15" customHeight="1">
      <c r="A3342" s="152" t="s">
        <v>4170</v>
      </c>
      <c r="B3342" s="153">
        <v>1169</v>
      </c>
      <c r="C3342" s="126" t="s">
        <v>977</v>
      </c>
      <c r="D3342">
        <v>2293</v>
      </c>
      <c r="E3342" s="126" t="s">
        <v>3292</v>
      </c>
      <c r="F3342" s="125" t="s">
        <v>1589</v>
      </c>
      <c r="G3342" s="125" t="s">
        <v>129</v>
      </c>
      <c r="H3342">
        <v>630</v>
      </c>
      <c r="I3342" s="125" t="s">
        <v>1546</v>
      </c>
      <c r="J3342" s="308" t="s">
        <v>214</v>
      </c>
      <c r="K3342" s="127" t="s">
        <v>4112</v>
      </c>
      <c r="L3342" s="153" t="s">
        <v>1579</v>
      </c>
      <c r="M3342">
        <v>890</v>
      </c>
      <c r="N3342" s="123">
        <v>17</v>
      </c>
      <c r="O3342">
        <v>2204</v>
      </c>
      <c r="P3342" s="132" t="s">
        <v>77</v>
      </c>
      <c r="Q3342" s="132">
        <v>499.5</v>
      </c>
      <c r="R3342" s="132"/>
      <c r="S3342" s="132"/>
      <c r="T3342" s="156"/>
      <c r="U3342" s="132"/>
      <c r="V3342" s="132">
        <v>499.5</v>
      </c>
      <c r="W3342"/>
      <c r="X3342" s="153" t="s">
        <v>1644</v>
      </c>
      <c r="Y3342" s="124" t="s">
        <v>55</v>
      </c>
      <c r="Z3342" s="308">
        <v>240</v>
      </c>
      <c r="AB3342" t="str">
        <f>IF(Table1[[#This Row],[TIPO2]]="costo", VLOOKUP(Table1[[#This Row],[PARTIDA PRESUPUESTAL]],'Cost Report'!G:G,1,0),"Balance")</f>
        <v>3410-012</v>
      </c>
      <c r="AC3342" s="118"/>
      <c r="AD3342" s="159">
        <f>+Table1[[#This Row],[SUBTOTAL]]+Table1[[#This Row],[IVA]]-Table1[[#This Row],[RET IVA]]-Table1[[#This Row],[RET ISR]]-Table1[[#This Row],[TOTAL]]</f>
        <v>0</v>
      </c>
      <c r="AE3342" s="152"/>
      <c r="AF3342" s="153"/>
      <c r="AG3342" s="126" t="s">
        <v>3420</v>
      </c>
      <c r="AK3342" s="306" t="str">
        <f>IF(ISNUMBER(Table1[[#This Row],[FECHA DE RECIBIDO]]), Table1[[#This Row],[FECHA DE RECIBIDO]]-DATE(2023,8,30), "")</f>
        <v/>
      </c>
    </row>
    <row r="3343" spans="1:37" ht="15" customHeight="1">
      <c r="A3343" s="150" t="s">
        <v>4170</v>
      </c>
      <c r="B3343" s="151">
        <v>1169</v>
      </c>
      <c r="C3343" s="126" t="s">
        <v>2860</v>
      </c>
      <c r="D3343">
        <v>689</v>
      </c>
      <c r="E3343" s="126"/>
      <c r="F3343" s="122"/>
      <c r="G3343" s="122"/>
      <c r="H3343"/>
      <c r="I3343" s="122"/>
      <c r="J3343" s="307" t="s">
        <v>214</v>
      </c>
      <c r="K3343" s="127" t="s">
        <v>4112</v>
      </c>
      <c r="L3343" s="151" t="s">
        <v>1579</v>
      </c>
      <c r="M3343">
        <v>891</v>
      </c>
      <c r="N3343" s="123">
        <v>17</v>
      </c>
      <c r="O3343">
        <v>2205</v>
      </c>
      <c r="P3343" s="132" t="s">
        <v>77</v>
      </c>
      <c r="Q3343" s="131">
        <v>62</v>
      </c>
      <c r="R3343" s="131"/>
      <c r="S3343" s="131"/>
      <c r="T3343" s="155"/>
      <c r="U3343" s="131"/>
      <c r="V3343" s="131">
        <v>62</v>
      </c>
      <c r="W3343"/>
      <c r="X3343" s="151" t="s">
        <v>1644</v>
      </c>
      <c r="Y3343" s="135" t="s">
        <v>55</v>
      </c>
      <c r="Z3343" s="307">
        <v>222</v>
      </c>
      <c r="AB3343" t="str">
        <f>IF(Table1[[#This Row],[TIPO2]]="costo", VLOOKUP(Table1[[#This Row],[PARTIDA PRESUPUESTAL]],'Cost Report'!G:G,1,0),"Balance")</f>
        <v>3629-003</v>
      </c>
      <c r="AC3343" s="118"/>
      <c r="AD3343" s="159">
        <f>+Table1[[#This Row],[SUBTOTAL]]+Table1[[#This Row],[IVA]]-Table1[[#This Row],[RET IVA]]-Table1[[#This Row],[RET ISR]]-Table1[[#This Row],[TOTAL]]</f>
        <v>0</v>
      </c>
      <c r="AE3343" s="150"/>
      <c r="AF3343" s="151"/>
      <c r="AG3343" s="126" t="s">
        <v>3420</v>
      </c>
      <c r="AK3343" s="306" t="str">
        <f>IF(ISNUMBER(Table1[[#This Row],[FECHA DE RECIBIDO]]), Table1[[#This Row],[FECHA DE RECIBIDO]]-DATE(2023,8,30), "")</f>
        <v/>
      </c>
    </row>
    <row r="3344" spans="1:37" ht="15" customHeight="1">
      <c r="A3344" s="152" t="s">
        <v>4170</v>
      </c>
      <c r="B3344" s="153">
        <v>1169</v>
      </c>
      <c r="C3344" s="126" t="s">
        <v>2860</v>
      </c>
      <c r="D3344">
        <v>689</v>
      </c>
      <c r="E3344" s="126"/>
      <c r="F3344" s="125"/>
      <c r="G3344" s="125"/>
      <c r="H3344"/>
      <c r="I3344" s="125"/>
      <c r="J3344" s="308" t="s">
        <v>214</v>
      </c>
      <c r="K3344" s="127" t="s">
        <v>4112</v>
      </c>
      <c r="L3344" s="153" t="s">
        <v>1579</v>
      </c>
      <c r="M3344">
        <v>892</v>
      </c>
      <c r="N3344" s="123">
        <v>17</v>
      </c>
      <c r="O3344">
        <v>2205</v>
      </c>
      <c r="P3344" s="132" t="s">
        <v>77</v>
      </c>
      <c r="Q3344" s="132">
        <v>62</v>
      </c>
      <c r="R3344" s="132"/>
      <c r="S3344" s="132"/>
      <c r="T3344" s="156"/>
      <c r="U3344" s="132"/>
      <c r="V3344" s="132">
        <v>62</v>
      </c>
      <c r="W3344"/>
      <c r="X3344" s="153" t="s">
        <v>1644</v>
      </c>
      <c r="Y3344" s="124" t="s">
        <v>55</v>
      </c>
      <c r="Z3344" s="308">
        <v>222</v>
      </c>
      <c r="AB3344" t="str">
        <f>IF(Table1[[#This Row],[TIPO2]]="costo", VLOOKUP(Table1[[#This Row],[PARTIDA PRESUPUESTAL]],'Cost Report'!G:G,1,0),"Balance")</f>
        <v>3629-003</v>
      </c>
      <c r="AC3344" s="118"/>
      <c r="AD3344" s="159">
        <f>+Table1[[#This Row],[SUBTOTAL]]+Table1[[#This Row],[IVA]]-Table1[[#This Row],[RET IVA]]-Table1[[#This Row],[RET ISR]]-Table1[[#This Row],[TOTAL]]</f>
        <v>0</v>
      </c>
      <c r="AE3344" s="152"/>
      <c r="AF3344" s="153"/>
      <c r="AG3344" s="126" t="s">
        <v>3420</v>
      </c>
      <c r="AK3344" s="306" t="str">
        <f>IF(ISNUMBER(Table1[[#This Row],[FECHA DE RECIBIDO]]), Table1[[#This Row],[FECHA DE RECIBIDO]]-DATE(2023,8,30), "")</f>
        <v/>
      </c>
    </row>
    <row r="3345" spans="1:37" ht="15" customHeight="1">
      <c r="A3345" s="150" t="s">
        <v>4170</v>
      </c>
      <c r="B3345" s="151">
        <v>1169</v>
      </c>
      <c r="C3345" s="126" t="s">
        <v>2860</v>
      </c>
      <c r="D3345">
        <v>689</v>
      </c>
      <c r="E3345" s="126"/>
      <c r="F3345" s="122"/>
      <c r="G3345" s="122"/>
      <c r="H3345"/>
      <c r="I3345" s="122"/>
      <c r="J3345" s="307" t="s">
        <v>214</v>
      </c>
      <c r="K3345" s="127" t="s">
        <v>4112</v>
      </c>
      <c r="L3345" s="151" t="s">
        <v>1579</v>
      </c>
      <c r="M3345">
        <v>604</v>
      </c>
      <c r="N3345" s="123">
        <v>17</v>
      </c>
      <c r="O3345">
        <v>2205</v>
      </c>
      <c r="P3345" s="132" t="s">
        <v>77</v>
      </c>
      <c r="Q3345" s="131">
        <v>68</v>
      </c>
      <c r="R3345" s="131"/>
      <c r="S3345" s="131"/>
      <c r="T3345" s="155"/>
      <c r="U3345" s="131"/>
      <c r="V3345" s="131">
        <v>68</v>
      </c>
      <c r="W3345"/>
      <c r="X3345" s="151" t="s">
        <v>1644</v>
      </c>
      <c r="Y3345" s="135" t="s">
        <v>55</v>
      </c>
      <c r="Z3345" s="307">
        <v>222</v>
      </c>
      <c r="AB3345" t="str">
        <f>IF(Table1[[#This Row],[TIPO2]]="costo", VLOOKUP(Table1[[#This Row],[PARTIDA PRESUPUESTAL]],'Cost Report'!G:G,1,0),"Balance")</f>
        <v>3629-003</v>
      </c>
      <c r="AC3345" s="118"/>
      <c r="AD3345" s="159">
        <f>+Table1[[#This Row],[SUBTOTAL]]+Table1[[#This Row],[IVA]]-Table1[[#This Row],[RET IVA]]-Table1[[#This Row],[RET ISR]]-Table1[[#This Row],[TOTAL]]</f>
        <v>0</v>
      </c>
      <c r="AE3345" s="150"/>
      <c r="AF3345" s="151"/>
      <c r="AG3345" s="126" t="s">
        <v>3420</v>
      </c>
      <c r="AK3345" s="306" t="str">
        <f>IF(ISNUMBER(Table1[[#This Row],[FECHA DE RECIBIDO]]), Table1[[#This Row],[FECHA DE RECIBIDO]]-DATE(2023,8,30), "")</f>
        <v/>
      </c>
    </row>
    <row r="3346" spans="1:37" ht="15" customHeight="1">
      <c r="A3346" s="152" t="s">
        <v>4170</v>
      </c>
      <c r="B3346" s="153">
        <v>1169</v>
      </c>
      <c r="C3346" s="126" t="s">
        <v>2860</v>
      </c>
      <c r="D3346">
        <v>689</v>
      </c>
      <c r="E3346" s="126"/>
      <c r="F3346" s="125"/>
      <c r="G3346" s="125"/>
      <c r="H3346"/>
      <c r="I3346" s="125"/>
      <c r="J3346" s="308" t="s">
        <v>214</v>
      </c>
      <c r="K3346" s="127" t="s">
        <v>4112</v>
      </c>
      <c r="L3346" s="153" t="s">
        <v>1579</v>
      </c>
      <c r="M3346">
        <v>893</v>
      </c>
      <c r="N3346" s="123">
        <v>17</v>
      </c>
      <c r="O3346">
        <v>2205</v>
      </c>
      <c r="P3346" s="132" t="s">
        <v>77</v>
      </c>
      <c r="Q3346" s="132">
        <v>105</v>
      </c>
      <c r="R3346" s="132"/>
      <c r="S3346" s="132"/>
      <c r="T3346" s="156"/>
      <c r="U3346" s="132"/>
      <c r="V3346" s="132">
        <v>105</v>
      </c>
      <c r="W3346"/>
      <c r="X3346" s="153" t="s">
        <v>1644</v>
      </c>
      <c r="Y3346" s="124" t="s">
        <v>55</v>
      </c>
      <c r="Z3346" s="308">
        <v>222</v>
      </c>
      <c r="AB3346" t="str">
        <f>IF(Table1[[#This Row],[TIPO2]]="costo", VLOOKUP(Table1[[#This Row],[PARTIDA PRESUPUESTAL]],'Cost Report'!G:G,1,0),"Balance")</f>
        <v>3629-003</v>
      </c>
      <c r="AC3346" s="118"/>
      <c r="AD3346" s="159">
        <f>+Table1[[#This Row],[SUBTOTAL]]+Table1[[#This Row],[IVA]]-Table1[[#This Row],[RET IVA]]-Table1[[#This Row],[RET ISR]]-Table1[[#This Row],[TOTAL]]</f>
        <v>0</v>
      </c>
      <c r="AE3346" s="152"/>
      <c r="AF3346" s="153"/>
      <c r="AG3346" s="126" t="s">
        <v>3420</v>
      </c>
      <c r="AK3346" s="306" t="str">
        <f>IF(ISNUMBER(Table1[[#This Row],[FECHA DE RECIBIDO]]), Table1[[#This Row],[FECHA DE RECIBIDO]]-DATE(2023,8,30), "")</f>
        <v/>
      </c>
    </row>
    <row r="3347" spans="1:37" ht="15" customHeight="1">
      <c r="A3347" s="150" t="s">
        <v>4170</v>
      </c>
      <c r="B3347" s="151">
        <v>1169</v>
      </c>
      <c r="C3347" s="126" t="s">
        <v>2829</v>
      </c>
      <c r="D3347">
        <v>689</v>
      </c>
      <c r="E3347" s="126"/>
      <c r="F3347" s="122"/>
      <c r="G3347" s="122"/>
      <c r="H3347"/>
      <c r="I3347" s="122"/>
      <c r="J3347" s="307" t="s">
        <v>214</v>
      </c>
      <c r="K3347" s="127" t="s">
        <v>4112</v>
      </c>
      <c r="L3347" s="151" t="s">
        <v>1579</v>
      </c>
      <c r="M3347">
        <v>74</v>
      </c>
      <c r="N3347" s="123">
        <v>17</v>
      </c>
      <c r="O3347">
        <v>1993</v>
      </c>
      <c r="P3347" s="132" t="s">
        <v>77</v>
      </c>
      <c r="Q3347" s="131">
        <v>27</v>
      </c>
      <c r="R3347" s="131"/>
      <c r="S3347" s="131"/>
      <c r="T3347" s="155"/>
      <c r="U3347" s="131"/>
      <c r="V3347" s="131">
        <v>27</v>
      </c>
      <c r="W3347"/>
      <c r="X3347" s="151" t="s">
        <v>1644</v>
      </c>
      <c r="Y3347" s="135" t="s">
        <v>55</v>
      </c>
      <c r="Z3347" s="307">
        <v>231</v>
      </c>
      <c r="AB3347" t="str">
        <f>IF(Table1[[#This Row],[TIPO2]]="costo", VLOOKUP(Table1[[#This Row],[PARTIDA PRESUPUESTAL]],'Cost Report'!G:G,1,0),"Balance")</f>
        <v>3412-138</v>
      </c>
      <c r="AC3347" s="118"/>
      <c r="AD3347" s="159">
        <f>+Table1[[#This Row],[SUBTOTAL]]+Table1[[#This Row],[IVA]]-Table1[[#This Row],[RET IVA]]-Table1[[#This Row],[RET ISR]]-Table1[[#This Row],[TOTAL]]</f>
        <v>0</v>
      </c>
      <c r="AE3347" s="150"/>
      <c r="AF3347" s="151"/>
      <c r="AG3347" s="126" t="s">
        <v>3420</v>
      </c>
      <c r="AK3347" s="306" t="str">
        <f>IF(ISNUMBER(Table1[[#This Row],[FECHA DE RECIBIDO]]), Table1[[#This Row],[FECHA DE RECIBIDO]]-DATE(2023,8,30), "")</f>
        <v/>
      </c>
    </row>
    <row r="3348" spans="1:37" ht="15" customHeight="1">
      <c r="A3348" s="152" t="s">
        <v>4170</v>
      </c>
      <c r="B3348" s="153">
        <v>1169</v>
      </c>
      <c r="C3348" s="126" t="s">
        <v>2829</v>
      </c>
      <c r="D3348">
        <v>689</v>
      </c>
      <c r="E3348" s="126"/>
      <c r="F3348" s="125"/>
      <c r="G3348" s="125"/>
      <c r="H3348"/>
      <c r="I3348" s="125"/>
      <c r="J3348" s="308" t="s">
        <v>214</v>
      </c>
      <c r="K3348" s="127" t="s">
        <v>4112</v>
      </c>
      <c r="L3348" s="153" t="s">
        <v>1579</v>
      </c>
      <c r="M3348">
        <v>894</v>
      </c>
      <c r="N3348" s="123">
        <v>17</v>
      </c>
      <c r="O3348">
        <v>1212</v>
      </c>
      <c r="P3348" s="132" t="s">
        <v>77</v>
      </c>
      <c r="Q3348" s="132">
        <v>65</v>
      </c>
      <c r="R3348" s="132"/>
      <c r="S3348" s="132"/>
      <c r="T3348" s="156"/>
      <c r="U3348" s="132"/>
      <c r="V3348" s="132">
        <v>65</v>
      </c>
      <c r="W3348"/>
      <c r="X3348" s="153" t="s">
        <v>1644</v>
      </c>
      <c r="Y3348" s="124" t="s">
        <v>55</v>
      </c>
      <c r="Z3348" s="308">
        <v>231</v>
      </c>
      <c r="AB3348" t="str">
        <f>IF(Table1[[#This Row],[TIPO2]]="costo", VLOOKUP(Table1[[#This Row],[PARTIDA PRESUPUESTAL]],'Cost Report'!G:G,1,0),"Balance")</f>
        <v>3412-138</v>
      </c>
      <c r="AC3348" s="118"/>
      <c r="AD3348" s="159">
        <f>+Table1[[#This Row],[SUBTOTAL]]+Table1[[#This Row],[IVA]]-Table1[[#This Row],[RET IVA]]-Table1[[#This Row],[RET ISR]]-Table1[[#This Row],[TOTAL]]</f>
        <v>0</v>
      </c>
      <c r="AE3348" s="152"/>
      <c r="AF3348" s="153"/>
      <c r="AG3348" s="126" t="s">
        <v>3420</v>
      </c>
      <c r="AK3348" s="306" t="str">
        <f>IF(ISNUMBER(Table1[[#This Row],[FECHA DE RECIBIDO]]), Table1[[#This Row],[FECHA DE RECIBIDO]]-DATE(2023,8,30), "")</f>
        <v/>
      </c>
    </row>
    <row r="3349" spans="1:37" ht="15" customHeight="1">
      <c r="A3349" s="150" t="s">
        <v>4170</v>
      </c>
      <c r="B3349" s="151">
        <v>1169</v>
      </c>
      <c r="C3349" s="126" t="s">
        <v>2774</v>
      </c>
      <c r="D3349">
        <v>689</v>
      </c>
      <c r="E3349" s="126"/>
      <c r="F3349" s="122"/>
      <c r="G3349" s="122"/>
      <c r="H3349"/>
      <c r="I3349" s="122"/>
      <c r="J3349" s="307" t="s">
        <v>214</v>
      </c>
      <c r="K3349" s="127" t="s">
        <v>4112</v>
      </c>
      <c r="L3349" s="151" t="s">
        <v>1579</v>
      </c>
      <c r="M3349">
        <v>895</v>
      </c>
      <c r="N3349" s="123">
        <v>17</v>
      </c>
      <c r="O3349">
        <v>2206</v>
      </c>
      <c r="P3349" s="132" t="s">
        <v>77</v>
      </c>
      <c r="Q3349" s="131">
        <v>910</v>
      </c>
      <c r="R3349" s="131"/>
      <c r="S3349" s="131"/>
      <c r="T3349" s="155"/>
      <c r="U3349" s="131"/>
      <c r="V3349" s="131">
        <v>910</v>
      </c>
      <c r="W3349"/>
      <c r="X3349" s="151" t="s">
        <v>1644</v>
      </c>
      <c r="Y3349" s="135" t="s">
        <v>55</v>
      </c>
      <c r="Z3349" s="307">
        <v>231</v>
      </c>
      <c r="AB3349" t="str">
        <f>IF(Table1[[#This Row],[TIPO2]]="costo", VLOOKUP(Table1[[#This Row],[PARTIDA PRESUPUESTAL]],'Cost Report'!G:G,1,0),"Balance")</f>
        <v>3401-042</v>
      </c>
      <c r="AC3349" s="118"/>
      <c r="AD3349" s="159">
        <f>+Table1[[#This Row],[SUBTOTAL]]+Table1[[#This Row],[IVA]]-Table1[[#This Row],[RET IVA]]-Table1[[#This Row],[RET ISR]]-Table1[[#This Row],[TOTAL]]</f>
        <v>0</v>
      </c>
      <c r="AE3349" s="150"/>
      <c r="AF3349" s="151"/>
      <c r="AG3349" s="126" t="s">
        <v>3420</v>
      </c>
      <c r="AK3349" s="306" t="str">
        <f>IF(ISNUMBER(Table1[[#This Row],[FECHA DE RECIBIDO]]), Table1[[#This Row],[FECHA DE RECIBIDO]]-DATE(2023,8,30), "")</f>
        <v/>
      </c>
    </row>
    <row r="3350" spans="1:37" ht="15" customHeight="1">
      <c r="A3350" s="152" t="s">
        <v>4170</v>
      </c>
      <c r="B3350" s="153">
        <v>1169</v>
      </c>
      <c r="C3350" s="126" t="s">
        <v>2774</v>
      </c>
      <c r="D3350">
        <v>689</v>
      </c>
      <c r="E3350" s="126"/>
      <c r="F3350" s="125"/>
      <c r="G3350" s="125"/>
      <c r="H3350"/>
      <c r="I3350" s="125"/>
      <c r="J3350" s="308" t="s">
        <v>214</v>
      </c>
      <c r="K3350" s="127" t="s">
        <v>4112</v>
      </c>
      <c r="L3350" s="153" t="s">
        <v>1579</v>
      </c>
      <c r="M3350">
        <v>896</v>
      </c>
      <c r="N3350" s="123">
        <v>17</v>
      </c>
      <c r="O3350">
        <v>2206</v>
      </c>
      <c r="P3350" s="132" t="s">
        <v>77</v>
      </c>
      <c r="Q3350" s="132">
        <v>22.5</v>
      </c>
      <c r="R3350" s="132"/>
      <c r="S3350" s="132"/>
      <c r="T3350" s="156"/>
      <c r="U3350" s="132"/>
      <c r="V3350" s="132">
        <v>22.5</v>
      </c>
      <c r="W3350"/>
      <c r="X3350" s="153" t="s">
        <v>1644</v>
      </c>
      <c r="Y3350" s="124" t="s">
        <v>55</v>
      </c>
      <c r="Z3350" s="308">
        <v>232</v>
      </c>
      <c r="AB3350" t="str">
        <f>IF(Table1[[#This Row],[TIPO2]]="costo", VLOOKUP(Table1[[#This Row],[PARTIDA PRESUPUESTAL]],'Cost Report'!G:G,1,0),"Balance")</f>
        <v>3401-042</v>
      </c>
      <c r="AC3350" s="118"/>
      <c r="AD3350" s="159">
        <f>+Table1[[#This Row],[SUBTOTAL]]+Table1[[#This Row],[IVA]]-Table1[[#This Row],[RET IVA]]-Table1[[#This Row],[RET ISR]]-Table1[[#This Row],[TOTAL]]</f>
        <v>0</v>
      </c>
      <c r="AE3350" s="152"/>
      <c r="AF3350" s="153"/>
      <c r="AG3350" s="126" t="s">
        <v>3420</v>
      </c>
      <c r="AK3350" s="306" t="str">
        <f>IF(ISNUMBER(Table1[[#This Row],[FECHA DE RECIBIDO]]), Table1[[#This Row],[FECHA DE RECIBIDO]]-DATE(2023,8,30), "")</f>
        <v/>
      </c>
    </row>
    <row r="3351" spans="1:37" ht="15" customHeight="1">
      <c r="A3351" s="150" t="s">
        <v>4170</v>
      </c>
      <c r="B3351" s="151">
        <v>1169</v>
      </c>
      <c r="C3351" s="126" t="s">
        <v>2774</v>
      </c>
      <c r="D3351">
        <v>689</v>
      </c>
      <c r="E3351" s="126"/>
      <c r="F3351" s="122"/>
      <c r="G3351" s="122"/>
      <c r="H3351"/>
      <c r="I3351" s="122"/>
      <c r="J3351" s="307" t="s">
        <v>214</v>
      </c>
      <c r="K3351" s="127" t="s">
        <v>4112</v>
      </c>
      <c r="L3351" s="151" t="s">
        <v>1579</v>
      </c>
      <c r="M3351">
        <v>888</v>
      </c>
      <c r="N3351" s="123">
        <v>17</v>
      </c>
      <c r="O3351">
        <v>2206</v>
      </c>
      <c r="P3351" s="132" t="s">
        <v>77</v>
      </c>
      <c r="Q3351" s="131">
        <v>139</v>
      </c>
      <c r="R3351" s="131"/>
      <c r="S3351" s="131"/>
      <c r="T3351" s="155"/>
      <c r="U3351" s="131"/>
      <c r="V3351" s="131">
        <v>139</v>
      </c>
      <c r="W3351"/>
      <c r="X3351" s="151" t="s">
        <v>1644</v>
      </c>
      <c r="Y3351" s="135" t="s">
        <v>55</v>
      </c>
      <c r="Z3351" s="307">
        <v>234</v>
      </c>
      <c r="AB3351" t="str">
        <f>IF(Table1[[#This Row],[TIPO2]]="costo", VLOOKUP(Table1[[#This Row],[PARTIDA PRESUPUESTAL]],'Cost Report'!G:G,1,0),"Balance")</f>
        <v>3401-042</v>
      </c>
      <c r="AC3351" s="118"/>
      <c r="AD3351" s="159">
        <f>+Table1[[#This Row],[SUBTOTAL]]+Table1[[#This Row],[IVA]]-Table1[[#This Row],[RET IVA]]-Table1[[#This Row],[RET ISR]]-Table1[[#This Row],[TOTAL]]</f>
        <v>0</v>
      </c>
      <c r="AE3351" s="150"/>
      <c r="AF3351" s="151"/>
      <c r="AG3351" s="126" t="s">
        <v>3420</v>
      </c>
      <c r="AK3351" s="306" t="str">
        <f>IF(ISNUMBER(Table1[[#This Row],[FECHA DE RECIBIDO]]), Table1[[#This Row],[FECHA DE RECIBIDO]]-DATE(2023,8,30), "")</f>
        <v/>
      </c>
    </row>
    <row r="3352" spans="1:37" ht="15" customHeight="1">
      <c r="A3352" s="152" t="s">
        <v>4171</v>
      </c>
      <c r="B3352" s="153">
        <v>1170</v>
      </c>
      <c r="C3352" s="126" t="s">
        <v>1181</v>
      </c>
      <c r="D3352">
        <v>2294</v>
      </c>
      <c r="E3352" s="126" t="s">
        <v>4193</v>
      </c>
      <c r="F3352" s="125" t="s">
        <v>1607</v>
      </c>
      <c r="G3352" s="125" t="s">
        <v>134</v>
      </c>
      <c r="H3352">
        <v>631</v>
      </c>
      <c r="I3352" s="125" t="s">
        <v>1546</v>
      </c>
      <c r="J3352" s="308" t="s">
        <v>214</v>
      </c>
      <c r="K3352" s="127" t="s">
        <v>4112</v>
      </c>
      <c r="L3352" s="153" t="s">
        <v>1579</v>
      </c>
      <c r="M3352">
        <v>897</v>
      </c>
      <c r="N3352" s="123">
        <v>17</v>
      </c>
      <c r="O3352">
        <v>2207</v>
      </c>
      <c r="P3352" s="132" t="s">
        <v>77</v>
      </c>
      <c r="Q3352" s="132">
        <v>163.78</v>
      </c>
      <c r="R3352" s="132">
        <v>26.2</v>
      </c>
      <c r="S3352" s="132"/>
      <c r="T3352" s="156"/>
      <c r="U3352" s="132"/>
      <c r="V3352" s="132">
        <v>189.98</v>
      </c>
      <c r="W3352"/>
      <c r="X3352" s="153" t="s">
        <v>1644</v>
      </c>
      <c r="Y3352" s="124" t="s">
        <v>55</v>
      </c>
      <c r="Z3352" s="308">
        <v>238</v>
      </c>
      <c r="AB3352" t="str">
        <f>IF(Table1[[#This Row],[TIPO2]]="costo", VLOOKUP(Table1[[#This Row],[PARTIDA PRESUPUESTAL]],'Cost Report'!G:G,1,0),"Balance")</f>
        <v>3904-003</v>
      </c>
      <c r="AC3352" s="118"/>
      <c r="AD3352" s="159">
        <f>+Table1[[#This Row],[SUBTOTAL]]+Table1[[#This Row],[IVA]]-Table1[[#This Row],[RET IVA]]-Table1[[#This Row],[RET ISR]]-Table1[[#This Row],[TOTAL]]</f>
        <v>0</v>
      </c>
      <c r="AE3352" s="152"/>
      <c r="AF3352" s="153"/>
      <c r="AG3352" s="126" t="s">
        <v>3420</v>
      </c>
      <c r="AK3352" s="306" t="str">
        <f>IF(ISNUMBER(Table1[[#This Row],[FECHA DE RECIBIDO]]), Table1[[#This Row],[FECHA DE RECIBIDO]]-DATE(2023,8,30), "")</f>
        <v/>
      </c>
    </row>
    <row r="3353" spans="1:37" ht="15" customHeight="1">
      <c r="A3353" s="150" t="s">
        <v>4171</v>
      </c>
      <c r="B3353" s="151">
        <v>1170</v>
      </c>
      <c r="C3353" s="126" t="s">
        <v>1181</v>
      </c>
      <c r="D3353">
        <v>2295</v>
      </c>
      <c r="E3353" s="126" t="s">
        <v>3934</v>
      </c>
      <c r="F3353" s="122" t="s">
        <v>1384</v>
      </c>
      <c r="G3353" s="122" t="s">
        <v>1625</v>
      </c>
      <c r="H3353">
        <v>632</v>
      </c>
      <c r="I3353" s="122" t="s">
        <v>1546</v>
      </c>
      <c r="J3353" s="307" t="s">
        <v>214</v>
      </c>
      <c r="K3353" s="127" t="s">
        <v>4112</v>
      </c>
      <c r="L3353" s="151" t="s">
        <v>1579</v>
      </c>
      <c r="M3353">
        <v>898</v>
      </c>
      <c r="N3353" s="123">
        <v>17</v>
      </c>
      <c r="O3353">
        <v>2207</v>
      </c>
      <c r="P3353" s="132" t="s">
        <v>77</v>
      </c>
      <c r="Q3353" s="131">
        <v>128.22999999999999</v>
      </c>
      <c r="R3353" s="131">
        <v>20.52</v>
      </c>
      <c r="S3353" s="131"/>
      <c r="T3353" s="155"/>
      <c r="U3353" s="131"/>
      <c r="V3353" s="131">
        <v>148.75</v>
      </c>
      <c r="W3353"/>
      <c r="X3353" s="151" t="s">
        <v>1644</v>
      </c>
      <c r="Y3353" s="135" t="s">
        <v>55</v>
      </c>
      <c r="Z3353" s="307">
        <v>238</v>
      </c>
      <c r="AB3353" t="str">
        <f>IF(Table1[[#This Row],[TIPO2]]="costo", VLOOKUP(Table1[[#This Row],[PARTIDA PRESUPUESTAL]],'Cost Report'!G:G,1,0),"Balance")</f>
        <v>3904-003</v>
      </c>
      <c r="AC3353" s="118"/>
      <c r="AD3353" s="159">
        <f>+Table1[[#This Row],[SUBTOTAL]]+Table1[[#This Row],[IVA]]-Table1[[#This Row],[RET IVA]]-Table1[[#This Row],[RET ISR]]-Table1[[#This Row],[TOTAL]]</f>
        <v>0</v>
      </c>
      <c r="AE3353" s="150"/>
      <c r="AF3353" s="151"/>
      <c r="AG3353" s="126" t="s">
        <v>3420</v>
      </c>
      <c r="AK3353" s="306" t="str">
        <f>IF(ISNUMBER(Table1[[#This Row],[FECHA DE RECIBIDO]]), Table1[[#This Row],[FECHA DE RECIBIDO]]-DATE(2023,8,30), "")</f>
        <v/>
      </c>
    </row>
    <row r="3354" spans="1:37" ht="15" customHeight="1">
      <c r="A3354" s="152" t="s">
        <v>4171</v>
      </c>
      <c r="B3354" s="153">
        <v>1170</v>
      </c>
      <c r="C3354" s="126" t="s">
        <v>1181</v>
      </c>
      <c r="D3354">
        <v>2296</v>
      </c>
      <c r="E3354" s="126" t="s">
        <v>4194</v>
      </c>
      <c r="F3354" s="125" t="s">
        <v>1384</v>
      </c>
      <c r="G3354" s="125" t="s">
        <v>1625</v>
      </c>
      <c r="H3354">
        <v>633</v>
      </c>
      <c r="I3354" s="125" t="s">
        <v>1546</v>
      </c>
      <c r="J3354" s="308" t="s">
        <v>214</v>
      </c>
      <c r="K3354" s="127" t="s">
        <v>4112</v>
      </c>
      <c r="L3354" s="153" t="s">
        <v>1579</v>
      </c>
      <c r="M3354">
        <v>899</v>
      </c>
      <c r="N3354" s="123">
        <v>17</v>
      </c>
      <c r="O3354">
        <v>2208</v>
      </c>
      <c r="P3354" s="132" t="s">
        <v>77</v>
      </c>
      <c r="Q3354" s="132">
        <v>377.44</v>
      </c>
      <c r="R3354" s="132">
        <v>60.39</v>
      </c>
      <c r="S3354" s="132"/>
      <c r="T3354" s="156"/>
      <c r="U3354" s="132"/>
      <c r="V3354" s="132">
        <v>437.83</v>
      </c>
      <c r="W3354"/>
      <c r="X3354" s="153" t="s">
        <v>1644</v>
      </c>
      <c r="Y3354" s="124" t="s">
        <v>55</v>
      </c>
      <c r="Z3354" s="308">
        <v>238</v>
      </c>
      <c r="AB3354" t="str">
        <f>IF(Table1[[#This Row],[TIPO2]]="costo", VLOOKUP(Table1[[#This Row],[PARTIDA PRESUPUESTAL]],'Cost Report'!G:G,1,0),"Balance")</f>
        <v>3904-003</v>
      </c>
      <c r="AC3354" s="118"/>
      <c r="AD3354" s="159">
        <f>+Table1[[#This Row],[SUBTOTAL]]+Table1[[#This Row],[IVA]]-Table1[[#This Row],[RET IVA]]-Table1[[#This Row],[RET ISR]]-Table1[[#This Row],[TOTAL]]</f>
        <v>0</v>
      </c>
      <c r="AE3354" s="152"/>
      <c r="AF3354" s="153"/>
      <c r="AG3354" s="126" t="s">
        <v>3420</v>
      </c>
      <c r="AK3354" s="306" t="str">
        <f>IF(ISNUMBER(Table1[[#This Row],[FECHA DE RECIBIDO]]), Table1[[#This Row],[FECHA DE RECIBIDO]]-DATE(2023,8,30), "")</f>
        <v/>
      </c>
    </row>
    <row r="3355" spans="1:37" ht="15" customHeight="1">
      <c r="A3355" s="150" t="s">
        <v>4171</v>
      </c>
      <c r="B3355" s="151">
        <v>1170</v>
      </c>
      <c r="C3355" s="126" t="s">
        <v>1181</v>
      </c>
      <c r="D3355">
        <v>2297</v>
      </c>
      <c r="E3355" s="126" t="s">
        <v>1610</v>
      </c>
      <c r="F3355" s="122" t="s">
        <v>1384</v>
      </c>
      <c r="G3355" s="122" t="s">
        <v>1625</v>
      </c>
      <c r="H3355">
        <v>634</v>
      </c>
      <c r="I3355" s="122" t="s">
        <v>1546</v>
      </c>
      <c r="J3355" s="307" t="s">
        <v>214</v>
      </c>
      <c r="K3355" s="127" t="s">
        <v>4112</v>
      </c>
      <c r="L3355" s="151" t="s">
        <v>1579</v>
      </c>
      <c r="M3355">
        <v>900</v>
      </c>
      <c r="N3355" s="123">
        <v>17</v>
      </c>
      <c r="O3355">
        <v>2209</v>
      </c>
      <c r="P3355" s="132" t="s">
        <v>77</v>
      </c>
      <c r="Q3355" s="131">
        <v>74.78</v>
      </c>
      <c r="R3355" s="131">
        <v>11.96</v>
      </c>
      <c r="S3355" s="131"/>
      <c r="T3355" s="155"/>
      <c r="U3355" s="131"/>
      <c r="V3355" s="131">
        <v>86.740000000000009</v>
      </c>
      <c r="W3355"/>
      <c r="X3355" s="151" t="s">
        <v>1644</v>
      </c>
      <c r="Y3355" s="135" t="s">
        <v>55</v>
      </c>
      <c r="Z3355" s="307">
        <v>238</v>
      </c>
      <c r="AB3355" t="str">
        <f>IF(Table1[[#This Row],[TIPO2]]="costo", VLOOKUP(Table1[[#This Row],[PARTIDA PRESUPUESTAL]],'Cost Report'!G:G,1,0),"Balance")</f>
        <v>3904-003</v>
      </c>
      <c r="AC3355" s="118"/>
      <c r="AD3355" s="159">
        <f>+Table1[[#This Row],[SUBTOTAL]]+Table1[[#This Row],[IVA]]-Table1[[#This Row],[RET IVA]]-Table1[[#This Row],[RET ISR]]-Table1[[#This Row],[TOTAL]]</f>
        <v>0</v>
      </c>
      <c r="AE3355" s="150"/>
      <c r="AF3355" s="151"/>
      <c r="AG3355" s="126" t="s">
        <v>3420</v>
      </c>
      <c r="AK3355" s="306" t="str">
        <f>IF(ISNUMBER(Table1[[#This Row],[FECHA DE RECIBIDO]]), Table1[[#This Row],[FECHA DE RECIBIDO]]-DATE(2023,8,30), "")</f>
        <v/>
      </c>
    </row>
    <row r="3356" spans="1:37" ht="15" customHeight="1">
      <c r="A3356" s="152" t="s">
        <v>4171</v>
      </c>
      <c r="B3356" s="153">
        <v>1170</v>
      </c>
      <c r="C3356" s="126" t="s">
        <v>1181</v>
      </c>
      <c r="D3356">
        <v>2298</v>
      </c>
      <c r="E3356" s="126" t="s">
        <v>1895</v>
      </c>
      <c r="F3356" s="125" t="s">
        <v>1607</v>
      </c>
      <c r="G3356" s="125" t="s">
        <v>134</v>
      </c>
      <c r="H3356">
        <v>635</v>
      </c>
      <c r="I3356" s="125" t="s">
        <v>1546</v>
      </c>
      <c r="J3356" s="308" t="s">
        <v>214</v>
      </c>
      <c r="K3356" s="127" t="s">
        <v>4112</v>
      </c>
      <c r="L3356" s="153" t="s">
        <v>1579</v>
      </c>
      <c r="M3356">
        <v>901</v>
      </c>
      <c r="N3356" s="123">
        <v>17</v>
      </c>
      <c r="O3356">
        <v>2210</v>
      </c>
      <c r="P3356" s="132" t="s">
        <v>77</v>
      </c>
      <c r="Q3356" s="132">
        <v>28.88</v>
      </c>
      <c r="R3356" s="132">
        <v>4.62</v>
      </c>
      <c r="S3356" s="132"/>
      <c r="T3356" s="156"/>
      <c r="U3356" s="132"/>
      <c r="V3356" s="132">
        <v>33.5</v>
      </c>
      <c r="W3356"/>
      <c r="X3356" s="153" t="s">
        <v>1644</v>
      </c>
      <c r="Y3356" s="124" t="s">
        <v>55</v>
      </c>
      <c r="Z3356" s="308">
        <v>238</v>
      </c>
      <c r="AB3356" t="str">
        <f>IF(Table1[[#This Row],[TIPO2]]="costo", VLOOKUP(Table1[[#This Row],[PARTIDA PRESUPUESTAL]],'Cost Report'!G:G,1,0),"Balance")</f>
        <v>3904-003</v>
      </c>
      <c r="AC3356" s="118"/>
      <c r="AD3356" s="159">
        <f>+Table1[[#This Row],[SUBTOTAL]]+Table1[[#This Row],[IVA]]-Table1[[#This Row],[RET IVA]]-Table1[[#This Row],[RET ISR]]-Table1[[#This Row],[TOTAL]]</f>
        <v>0</v>
      </c>
      <c r="AE3356" s="152"/>
      <c r="AF3356" s="153"/>
      <c r="AG3356" s="126" t="s">
        <v>3420</v>
      </c>
      <c r="AK3356" s="306" t="str">
        <f>IF(ISNUMBER(Table1[[#This Row],[FECHA DE RECIBIDO]]), Table1[[#This Row],[FECHA DE RECIBIDO]]-DATE(2023,8,30), "")</f>
        <v/>
      </c>
    </row>
    <row r="3357" spans="1:37" ht="15" customHeight="1">
      <c r="A3357" s="150" t="s">
        <v>4171</v>
      </c>
      <c r="B3357" s="151">
        <v>1170</v>
      </c>
      <c r="C3357" s="126" t="s">
        <v>1181</v>
      </c>
      <c r="D3357">
        <v>2299</v>
      </c>
      <c r="E3357" s="126" t="s">
        <v>1895</v>
      </c>
      <c r="F3357" s="122" t="s">
        <v>1607</v>
      </c>
      <c r="G3357" s="122" t="s">
        <v>134</v>
      </c>
      <c r="H3357">
        <v>635</v>
      </c>
      <c r="I3357" s="122" t="s">
        <v>1546</v>
      </c>
      <c r="J3357" s="307" t="s">
        <v>214</v>
      </c>
      <c r="K3357" s="127" t="s">
        <v>4112</v>
      </c>
      <c r="L3357" s="151" t="s">
        <v>1579</v>
      </c>
      <c r="M3357">
        <v>901</v>
      </c>
      <c r="N3357" s="123">
        <v>17</v>
      </c>
      <c r="O3357">
        <v>2210</v>
      </c>
      <c r="P3357" s="132" t="s">
        <v>77</v>
      </c>
      <c r="Q3357" s="131">
        <v>28.88</v>
      </c>
      <c r="R3357" s="131">
        <v>4.62</v>
      </c>
      <c r="S3357" s="131"/>
      <c r="T3357" s="155"/>
      <c r="U3357" s="131"/>
      <c r="V3357" s="131">
        <v>33.5</v>
      </c>
      <c r="W3357"/>
      <c r="X3357" s="151" t="s">
        <v>1644</v>
      </c>
      <c r="Y3357" s="135" t="s">
        <v>55</v>
      </c>
      <c r="Z3357" s="307">
        <v>238</v>
      </c>
      <c r="AB3357" t="str">
        <f>IF(Table1[[#This Row],[TIPO2]]="costo", VLOOKUP(Table1[[#This Row],[PARTIDA PRESUPUESTAL]],'Cost Report'!G:G,1,0),"Balance")</f>
        <v>3904-003</v>
      </c>
      <c r="AC3357" s="118"/>
      <c r="AD3357" s="159">
        <f>+Table1[[#This Row],[SUBTOTAL]]+Table1[[#This Row],[IVA]]-Table1[[#This Row],[RET IVA]]-Table1[[#This Row],[RET ISR]]-Table1[[#This Row],[TOTAL]]</f>
        <v>0</v>
      </c>
      <c r="AE3357" s="150"/>
      <c r="AF3357" s="151"/>
      <c r="AG3357" s="126" t="s">
        <v>3420</v>
      </c>
      <c r="AK3357" s="306" t="str">
        <f>IF(ISNUMBER(Table1[[#This Row],[FECHA DE RECIBIDO]]), Table1[[#This Row],[FECHA DE RECIBIDO]]-DATE(2023,8,30), "")</f>
        <v/>
      </c>
    </row>
    <row r="3358" spans="1:37" ht="15" customHeight="1">
      <c r="A3358" s="152" t="s">
        <v>4171</v>
      </c>
      <c r="B3358" s="153">
        <v>1170</v>
      </c>
      <c r="C3358" s="126" t="s">
        <v>1181</v>
      </c>
      <c r="D3358">
        <v>2300</v>
      </c>
      <c r="E3358" s="126" t="s">
        <v>1895</v>
      </c>
      <c r="F3358" s="125" t="s">
        <v>1607</v>
      </c>
      <c r="G3358" s="125" t="s">
        <v>134</v>
      </c>
      <c r="H3358">
        <v>635</v>
      </c>
      <c r="I3358" s="125" t="s">
        <v>1546</v>
      </c>
      <c r="J3358" s="308" t="s">
        <v>214</v>
      </c>
      <c r="K3358" s="127" t="s">
        <v>4112</v>
      </c>
      <c r="L3358" s="153" t="s">
        <v>1579</v>
      </c>
      <c r="M3358">
        <v>901</v>
      </c>
      <c r="N3358" s="123">
        <v>17</v>
      </c>
      <c r="O3358">
        <v>2210</v>
      </c>
      <c r="P3358" s="132" t="s">
        <v>77</v>
      </c>
      <c r="Q3358" s="132">
        <v>46.72</v>
      </c>
      <c r="R3358" s="132">
        <v>7.48</v>
      </c>
      <c r="S3358" s="132"/>
      <c r="T3358" s="156"/>
      <c r="U3358" s="132"/>
      <c r="V3358" s="132">
        <v>54.2</v>
      </c>
      <c r="W3358"/>
      <c r="X3358" s="153" t="s">
        <v>1644</v>
      </c>
      <c r="Y3358" s="124" t="s">
        <v>55</v>
      </c>
      <c r="Z3358" s="308">
        <v>238</v>
      </c>
      <c r="AB3358" t="str">
        <f>IF(Table1[[#This Row],[TIPO2]]="costo", VLOOKUP(Table1[[#This Row],[PARTIDA PRESUPUESTAL]],'Cost Report'!G:G,1,0),"Balance")</f>
        <v>3904-003</v>
      </c>
      <c r="AC3358" s="118"/>
      <c r="AD3358" s="159">
        <f>+Table1[[#This Row],[SUBTOTAL]]+Table1[[#This Row],[IVA]]-Table1[[#This Row],[RET IVA]]-Table1[[#This Row],[RET ISR]]-Table1[[#This Row],[TOTAL]]</f>
        <v>0</v>
      </c>
      <c r="AE3358" s="152"/>
      <c r="AF3358" s="153"/>
      <c r="AG3358" s="126" t="s">
        <v>3420</v>
      </c>
      <c r="AK3358" s="306" t="str">
        <f>IF(ISNUMBER(Table1[[#This Row],[FECHA DE RECIBIDO]]), Table1[[#This Row],[FECHA DE RECIBIDO]]-DATE(2023,8,30), "")</f>
        <v/>
      </c>
    </row>
    <row r="3359" spans="1:37" ht="15" customHeight="1">
      <c r="A3359" s="150" t="s">
        <v>4171</v>
      </c>
      <c r="B3359" s="151">
        <v>1170</v>
      </c>
      <c r="C3359" s="126" t="s">
        <v>1181</v>
      </c>
      <c r="D3359">
        <v>2301</v>
      </c>
      <c r="E3359" s="126" t="s">
        <v>1895</v>
      </c>
      <c r="F3359" s="122" t="s">
        <v>1607</v>
      </c>
      <c r="G3359" s="122" t="s">
        <v>134</v>
      </c>
      <c r="H3359">
        <v>635</v>
      </c>
      <c r="I3359" s="122" t="s">
        <v>1546</v>
      </c>
      <c r="J3359" s="307" t="s">
        <v>214</v>
      </c>
      <c r="K3359" s="127" t="s">
        <v>4112</v>
      </c>
      <c r="L3359" s="151" t="s">
        <v>1579</v>
      </c>
      <c r="M3359">
        <v>901</v>
      </c>
      <c r="N3359" s="123">
        <v>17</v>
      </c>
      <c r="O3359">
        <v>2211</v>
      </c>
      <c r="P3359" s="132" t="s">
        <v>77</v>
      </c>
      <c r="Q3359" s="131">
        <v>49.84</v>
      </c>
      <c r="R3359" s="131">
        <v>7.98</v>
      </c>
      <c r="S3359" s="131"/>
      <c r="T3359" s="155"/>
      <c r="U3359" s="131"/>
      <c r="V3359" s="131">
        <v>57.820000000000007</v>
      </c>
      <c r="W3359"/>
      <c r="X3359" s="151" t="s">
        <v>1644</v>
      </c>
      <c r="Y3359" s="135" t="s">
        <v>55</v>
      </c>
      <c r="Z3359" s="307">
        <v>238</v>
      </c>
      <c r="AB3359" t="str">
        <f>IF(Table1[[#This Row],[TIPO2]]="costo", VLOOKUP(Table1[[#This Row],[PARTIDA PRESUPUESTAL]],'Cost Report'!G:G,1,0),"Balance")</f>
        <v>3904-003</v>
      </c>
      <c r="AC3359" s="118"/>
      <c r="AD3359" s="159">
        <f>+Table1[[#This Row],[SUBTOTAL]]+Table1[[#This Row],[IVA]]-Table1[[#This Row],[RET IVA]]-Table1[[#This Row],[RET ISR]]-Table1[[#This Row],[TOTAL]]</f>
        <v>0</v>
      </c>
      <c r="AE3359" s="150"/>
      <c r="AF3359" s="151"/>
      <c r="AG3359" s="126" t="s">
        <v>3420</v>
      </c>
      <c r="AK3359" s="306" t="str">
        <f>IF(ISNUMBER(Table1[[#This Row],[FECHA DE RECIBIDO]]), Table1[[#This Row],[FECHA DE RECIBIDO]]-DATE(2023,8,30), "")</f>
        <v/>
      </c>
    </row>
    <row r="3360" spans="1:37" ht="15" customHeight="1">
      <c r="A3360" s="152" t="s">
        <v>4171</v>
      </c>
      <c r="B3360" s="153">
        <v>1170</v>
      </c>
      <c r="C3360" s="126" t="s">
        <v>1181</v>
      </c>
      <c r="D3360">
        <v>2302</v>
      </c>
      <c r="E3360" s="126" t="s">
        <v>1895</v>
      </c>
      <c r="F3360" s="125" t="s">
        <v>1607</v>
      </c>
      <c r="G3360" s="125" t="s">
        <v>134</v>
      </c>
      <c r="H3360">
        <v>635</v>
      </c>
      <c r="I3360" s="125" t="s">
        <v>1546</v>
      </c>
      <c r="J3360" s="308" t="s">
        <v>214</v>
      </c>
      <c r="K3360" s="127" t="s">
        <v>4112</v>
      </c>
      <c r="L3360" s="153" t="s">
        <v>1579</v>
      </c>
      <c r="M3360">
        <v>901</v>
      </c>
      <c r="N3360" s="123">
        <v>17</v>
      </c>
      <c r="O3360">
        <v>2212</v>
      </c>
      <c r="P3360" s="132" t="s">
        <v>77</v>
      </c>
      <c r="Q3360" s="132">
        <v>51.67</v>
      </c>
      <c r="R3360" s="132">
        <v>8.27</v>
      </c>
      <c r="S3360" s="132"/>
      <c r="T3360" s="156"/>
      <c r="U3360" s="132"/>
      <c r="V3360" s="132">
        <v>59.94</v>
      </c>
      <c r="W3360"/>
      <c r="X3360" s="153" t="s">
        <v>1644</v>
      </c>
      <c r="Y3360" s="124" t="s">
        <v>55</v>
      </c>
      <c r="Z3360" s="308">
        <v>238</v>
      </c>
      <c r="AB3360" t="str">
        <f>IF(Table1[[#This Row],[TIPO2]]="costo", VLOOKUP(Table1[[#This Row],[PARTIDA PRESUPUESTAL]],'Cost Report'!G:G,1,0),"Balance")</f>
        <v>3904-003</v>
      </c>
      <c r="AC3360" s="118"/>
      <c r="AD3360" s="159">
        <f>+Table1[[#This Row],[SUBTOTAL]]+Table1[[#This Row],[IVA]]-Table1[[#This Row],[RET IVA]]-Table1[[#This Row],[RET ISR]]-Table1[[#This Row],[TOTAL]]</f>
        <v>0</v>
      </c>
      <c r="AE3360" s="152"/>
      <c r="AF3360" s="153"/>
      <c r="AG3360" s="126" t="s">
        <v>3420</v>
      </c>
      <c r="AK3360" s="306" t="str">
        <f>IF(ISNUMBER(Table1[[#This Row],[FECHA DE RECIBIDO]]), Table1[[#This Row],[FECHA DE RECIBIDO]]-DATE(2023,8,30), "")</f>
        <v/>
      </c>
    </row>
    <row r="3361" spans="1:37" ht="15" customHeight="1">
      <c r="A3361" s="150" t="s">
        <v>4171</v>
      </c>
      <c r="B3361" s="151">
        <v>1170</v>
      </c>
      <c r="C3361" s="126" t="s">
        <v>1181</v>
      </c>
      <c r="D3361">
        <v>2303</v>
      </c>
      <c r="E3361" s="126" t="s">
        <v>1895</v>
      </c>
      <c r="F3361" s="122" t="s">
        <v>1607</v>
      </c>
      <c r="G3361" s="122" t="s">
        <v>134</v>
      </c>
      <c r="H3361">
        <v>635</v>
      </c>
      <c r="I3361" s="122" t="s">
        <v>1546</v>
      </c>
      <c r="J3361" s="307" t="s">
        <v>214</v>
      </c>
      <c r="K3361" s="127" t="s">
        <v>4112</v>
      </c>
      <c r="L3361" s="151" t="s">
        <v>1579</v>
      </c>
      <c r="M3361">
        <v>901</v>
      </c>
      <c r="N3361" s="123">
        <v>17</v>
      </c>
      <c r="O3361">
        <v>2212</v>
      </c>
      <c r="P3361" s="132" t="s">
        <v>77</v>
      </c>
      <c r="Q3361" s="131">
        <v>60.28</v>
      </c>
      <c r="R3361" s="131">
        <v>9.64</v>
      </c>
      <c r="S3361" s="131"/>
      <c r="T3361" s="155"/>
      <c r="U3361" s="131"/>
      <c r="V3361" s="131">
        <v>69.92</v>
      </c>
      <c r="W3361"/>
      <c r="X3361" s="151" t="s">
        <v>1644</v>
      </c>
      <c r="Y3361" s="135" t="s">
        <v>55</v>
      </c>
      <c r="Z3361" s="307">
        <v>238</v>
      </c>
      <c r="AB3361" t="str">
        <f>IF(Table1[[#This Row],[TIPO2]]="costo", VLOOKUP(Table1[[#This Row],[PARTIDA PRESUPUESTAL]],'Cost Report'!G:G,1,0),"Balance")</f>
        <v>3904-003</v>
      </c>
      <c r="AC3361" s="118"/>
      <c r="AD3361" s="159">
        <f>+Table1[[#This Row],[SUBTOTAL]]+Table1[[#This Row],[IVA]]-Table1[[#This Row],[RET IVA]]-Table1[[#This Row],[RET ISR]]-Table1[[#This Row],[TOTAL]]</f>
        <v>0</v>
      </c>
      <c r="AE3361" s="150"/>
      <c r="AF3361" s="151"/>
      <c r="AG3361" s="126" t="s">
        <v>3420</v>
      </c>
      <c r="AK3361" s="306" t="str">
        <f>IF(ISNUMBER(Table1[[#This Row],[FECHA DE RECIBIDO]]), Table1[[#This Row],[FECHA DE RECIBIDO]]-DATE(2023,8,30), "")</f>
        <v/>
      </c>
    </row>
    <row r="3362" spans="1:37" ht="15" customHeight="1">
      <c r="A3362" s="152" t="s">
        <v>4171</v>
      </c>
      <c r="B3362" s="153">
        <v>1170</v>
      </c>
      <c r="C3362" s="126" t="s">
        <v>1181</v>
      </c>
      <c r="D3362">
        <v>2304</v>
      </c>
      <c r="E3362" s="126" t="s">
        <v>1895</v>
      </c>
      <c r="F3362" s="125" t="s">
        <v>1607</v>
      </c>
      <c r="G3362" s="125" t="s">
        <v>134</v>
      </c>
      <c r="H3362">
        <v>635</v>
      </c>
      <c r="I3362" s="125" t="s">
        <v>1546</v>
      </c>
      <c r="J3362" s="308" t="s">
        <v>214</v>
      </c>
      <c r="K3362" s="127" t="s">
        <v>4112</v>
      </c>
      <c r="L3362" s="153" t="s">
        <v>1579</v>
      </c>
      <c r="M3362">
        <v>901</v>
      </c>
      <c r="N3362" s="123">
        <v>17</v>
      </c>
      <c r="O3362">
        <v>2209</v>
      </c>
      <c r="P3362" s="132" t="s">
        <v>77</v>
      </c>
      <c r="Q3362" s="132">
        <v>77.53</v>
      </c>
      <c r="R3362" s="132">
        <v>12.41</v>
      </c>
      <c r="S3362" s="132"/>
      <c r="T3362" s="156"/>
      <c r="U3362" s="132"/>
      <c r="V3362" s="132">
        <v>89.94</v>
      </c>
      <c r="W3362"/>
      <c r="X3362" s="153" t="s">
        <v>1644</v>
      </c>
      <c r="Y3362" s="124" t="s">
        <v>55</v>
      </c>
      <c r="Z3362" s="308">
        <v>238</v>
      </c>
      <c r="AB3362" t="str">
        <f>IF(Table1[[#This Row],[TIPO2]]="costo", VLOOKUP(Table1[[#This Row],[PARTIDA PRESUPUESTAL]],'Cost Report'!G:G,1,0),"Balance")</f>
        <v>3904-003</v>
      </c>
      <c r="AC3362" s="118"/>
      <c r="AD3362" s="159">
        <f>+Table1[[#This Row],[SUBTOTAL]]+Table1[[#This Row],[IVA]]-Table1[[#This Row],[RET IVA]]-Table1[[#This Row],[RET ISR]]-Table1[[#This Row],[TOTAL]]</f>
        <v>0</v>
      </c>
      <c r="AE3362" s="152"/>
      <c r="AF3362" s="153"/>
      <c r="AG3362" s="126" t="s">
        <v>3420</v>
      </c>
      <c r="AK3362" s="306" t="str">
        <f>IF(ISNUMBER(Table1[[#This Row],[FECHA DE RECIBIDO]]), Table1[[#This Row],[FECHA DE RECIBIDO]]-DATE(2023,8,30), "")</f>
        <v/>
      </c>
    </row>
    <row r="3363" spans="1:37" ht="15" customHeight="1">
      <c r="A3363" s="150" t="s">
        <v>4171</v>
      </c>
      <c r="B3363" s="151">
        <v>1170</v>
      </c>
      <c r="C3363" s="126" t="s">
        <v>1181</v>
      </c>
      <c r="D3363">
        <v>2305</v>
      </c>
      <c r="E3363" s="126" t="s">
        <v>1895</v>
      </c>
      <c r="F3363" s="122" t="s">
        <v>1607</v>
      </c>
      <c r="G3363" s="122" t="s">
        <v>134</v>
      </c>
      <c r="H3363">
        <v>635</v>
      </c>
      <c r="I3363" s="122" t="s">
        <v>1546</v>
      </c>
      <c r="J3363" s="307" t="s">
        <v>214</v>
      </c>
      <c r="K3363" s="127" t="s">
        <v>4112</v>
      </c>
      <c r="L3363" s="151" t="s">
        <v>1579</v>
      </c>
      <c r="M3363">
        <v>901</v>
      </c>
      <c r="N3363" s="123">
        <v>17</v>
      </c>
      <c r="O3363">
        <v>2211</v>
      </c>
      <c r="P3363" s="132" t="s">
        <v>77</v>
      </c>
      <c r="Q3363" s="131">
        <v>97.49</v>
      </c>
      <c r="R3363" s="131">
        <v>15.6</v>
      </c>
      <c r="S3363" s="131"/>
      <c r="T3363" s="155"/>
      <c r="U3363" s="131"/>
      <c r="V3363" s="131">
        <v>113.08999999999999</v>
      </c>
      <c r="W3363"/>
      <c r="X3363" s="151" t="s">
        <v>1644</v>
      </c>
      <c r="Y3363" s="135" t="s">
        <v>55</v>
      </c>
      <c r="Z3363" s="307">
        <v>238</v>
      </c>
      <c r="AB3363" t="str">
        <f>IF(Table1[[#This Row],[TIPO2]]="costo", VLOOKUP(Table1[[#This Row],[PARTIDA PRESUPUESTAL]],'Cost Report'!G:G,1,0),"Balance")</f>
        <v>3904-003</v>
      </c>
      <c r="AC3363" s="118"/>
      <c r="AD3363" s="159">
        <f>+Table1[[#This Row],[SUBTOTAL]]+Table1[[#This Row],[IVA]]-Table1[[#This Row],[RET IVA]]-Table1[[#This Row],[RET ISR]]-Table1[[#This Row],[TOTAL]]</f>
        <v>0</v>
      </c>
      <c r="AE3363" s="150"/>
      <c r="AF3363" s="151"/>
      <c r="AG3363" s="126" t="s">
        <v>3420</v>
      </c>
      <c r="AK3363" s="306" t="str">
        <f>IF(ISNUMBER(Table1[[#This Row],[FECHA DE RECIBIDO]]), Table1[[#This Row],[FECHA DE RECIBIDO]]-DATE(2023,8,30), "")</f>
        <v/>
      </c>
    </row>
    <row r="3364" spans="1:37" ht="15" customHeight="1">
      <c r="A3364" s="152" t="s">
        <v>4171</v>
      </c>
      <c r="B3364" s="153">
        <v>1170</v>
      </c>
      <c r="C3364" s="126" t="s">
        <v>1181</v>
      </c>
      <c r="D3364">
        <v>2306</v>
      </c>
      <c r="E3364" s="126" t="s">
        <v>1895</v>
      </c>
      <c r="F3364" s="125" t="s">
        <v>1607</v>
      </c>
      <c r="G3364" s="125" t="s">
        <v>134</v>
      </c>
      <c r="H3364">
        <v>635</v>
      </c>
      <c r="I3364" s="125" t="s">
        <v>1546</v>
      </c>
      <c r="J3364" s="308" t="s">
        <v>214</v>
      </c>
      <c r="K3364" s="127" t="s">
        <v>4112</v>
      </c>
      <c r="L3364" s="153" t="s">
        <v>1579</v>
      </c>
      <c r="M3364">
        <v>901</v>
      </c>
      <c r="N3364" s="123">
        <v>17</v>
      </c>
      <c r="O3364">
        <v>2213</v>
      </c>
      <c r="P3364" s="132" t="s">
        <v>77</v>
      </c>
      <c r="Q3364" s="132">
        <v>117.04</v>
      </c>
      <c r="R3364" s="132">
        <v>18.73</v>
      </c>
      <c r="S3364" s="132"/>
      <c r="T3364" s="156"/>
      <c r="U3364" s="132"/>
      <c r="V3364" s="132">
        <v>135.77000000000001</v>
      </c>
      <c r="W3364"/>
      <c r="X3364" s="153" t="s">
        <v>1644</v>
      </c>
      <c r="Y3364" s="124" t="s">
        <v>55</v>
      </c>
      <c r="Z3364" s="308">
        <v>238</v>
      </c>
      <c r="AB3364" t="str">
        <f>IF(Table1[[#This Row],[TIPO2]]="costo", VLOOKUP(Table1[[#This Row],[PARTIDA PRESUPUESTAL]],'Cost Report'!G:G,1,0),"Balance")</f>
        <v>3904-003</v>
      </c>
      <c r="AC3364" s="118"/>
      <c r="AD3364" s="159">
        <f>+Table1[[#This Row],[SUBTOTAL]]+Table1[[#This Row],[IVA]]-Table1[[#This Row],[RET IVA]]-Table1[[#This Row],[RET ISR]]-Table1[[#This Row],[TOTAL]]</f>
        <v>0</v>
      </c>
      <c r="AE3364" s="152"/>
      <c r="AF3364" s="153"/>
      <c r="AG3364" s="126" t="s">
        <v>3420</v>
      </c>
      <c r="AK3364" s="306" t="str">
        <f>IF(ISNUMBER(Table1[[#This Row],[FECHA DE RECIBIDO]]), Table1[[#This Row],[FECHA DE RECIBIDO]]-DATE(2023,8,30), "")</f>
        <v/>
      </c>
    </row>
    <row r="3365" spans="1:37" ht="15" customHeight="1">
      <c r="A3365" s="150" t="s">
        <v>4171</v>
      </c>
      <c r="B3365" s="151">
        <v>1170</v>
      </c>
      <c r="C3365" s="126" t="s">
        <v>1181</v>
      </c>
      <c r="D3365">
        <v>2307</v>
      </c>
      <c r="E3365" s="126" t="s">
        <v>1895</v>
      </c>
      <c r="F3365" s="122" t="s">
        <v>1607</v>
      </c>
      <c r="G3365" s="122" t="s">
        <v>134</v>
      </c>
      <c r="H3365">
        <v>635</v>
      </c>
      <c r="I3365" s="122" t="s">
        <v>1546</v>
      </c>
      <c r="J3365" s="307" t="s">
        <v>214</v>
      </c>
      <c r="K3365" s="127" t="s">
        <v>4112</v>
      </c>
      <c r="L3365" s="151" t="s">
        <v>1579</v>
      </c>
      <c r="M3365">
        <v>901</v>
      </c>
      <c r="N3365" s="123">
        <v>17</v>
      </c>
      <c r="O3365">
        <v>2214</v>
      </c>
      <c r="P3365" s="132" t="s">
        <v>77</v>
      </c>
      <c r="Q3365" s="131">
        <v>129.30000000000001</v>
      </c>
      <c r="R3365" s="131">
        <v>20.69</v>
      </c>
      <c r="S3365" s="131"/>
      <c r="T3365" s="155"/>
      <c r="U3365" s="131"/>
      <c r="V3365" s="131">
        <v>149.99</v>
      </c>
      <c r="W3365"/>
      <c r="X3365" s="151" t="s">
        <v>1644</v>
      </c>
      <c r="Y3365" s="135" t="s">
        <v>55</v>
      </c>
      <c r="Z3365" s="307">
        <v>238</v>
      </c>
      <c r="AB3365" t="str">
        <f>IF(Table1[[#This Row],[TIPO2]]="costo", VLOOKUP(Table1[[#This Row],[PARTIDA PRESUPUESTAL]],'Cost Report'!G:G,1,0),"Balance")</f>
        <v>3904-003</v>
      </c>
      <c r="AC3365" s="118"/>
      <c r="AD3365" s="159">
        <f>+Table1[[#This Row],[SUBTOTAL]]+Table1[[#This Row],[IVA]]-Table1[[#This Row],[RET IVA]]-Table1[[#This Row],[RET ISR]]-Table1[[#This Row],[TOTAL]]</f>
        <v>0</v>
      </c>
      <c r="AE3365" s="150"/>
      <c r="AF3365" s="151"/>
      <c r="AG3365" s="126" t="s">
        <v>3420</v>
      </c>
      <c r="AK3365" s="306" t="str">
        <f>IF(ISNUMBER(Table1[[#This Row],[FECHA DE RECIBIDO]]), Table1[[#This Row],[FECHA DE RECIBIDO]]-DATE(2023,8,30), "")</f>
        <v/>
      </c>
    </row>
    <row r="3366" spans="1:37" ht="15" customHeight="1">
      <c r="A3366" s="152" t="s">
        <v>4171</v>
      </c>
      <c r="B3366" s="153">
        <v>1170</v>
      </c>
      <c r="C3366" s="126" t="s">
        <v>1181</v>
      </c>
      <c r="D3366">
        <v>2308</v>
      </c>
      <c r="E3366" s="126" t="s">
        <v>1895</v>
      </c>
      <c r="F3366" s="125" t="s">
        <v>1607</v>
      </c>
      <c r="G3366" s="125" t="s">
        <v>134</v>
      </c>
      <c r="H3366">
        <v>635</v>
      </c>
      <c r="I3366" s="125" t="s">
        <v>1546</v>
      </c>
      <c r="J3366" s="308" t="s">
        <v>214</v>
      </c>
      <c r="K3366" s="127" t="s">
        <v>4112</v>
      </c>
      <c r="L3366" s="153" t="s">
        <v>1579</v>
      </c>
      <c r="M3366">
        <v>901</v>
      </c>
      <c r="N3366" s="123">
        <v>17</v>
      </c>
      <c r="O3366">
        <v>2211</v>
      </c>
      <c r="P3366" s="132" t="s">
        <v>77</v>
      </c>
      <c r="Q3366" s="132">
        <v>150.16999999999999</v>
      </c>
      <c r="R3366" s="132">
        <v>24.03</v>
      </c>
      <c r="S3366" s="132"/>
      <c r="T3366" s="156"/>
      <c r="U3366" s="132"/>
      <c r="V3366" s="132">
        <v>174.2</v>
      </c>
      <c r="W3366"/>
      <c r="X3366" s="153" t="s">
        <v>1644</v>
      </c>
      <c r="Y3366" s="124" t="s">
        <v>55</v>
      </c>
      <c r="Z3366" s="308">
        <v>238</v>
      </c>
      <c r="AB3366" t="str">
        <f>IF(Table1[[#This Row],[TIPO2]]="costo", VLOOKUP(Table1[[#This Row],[PARTIDA PRESUPUESTAL]],'Cost Report'!G:G,1,0),"Balance")</f>
        <v>3904-003</v>
      </c>
      <c r="AC3366" s="118"/>
      <c r="AD3366" s="159">
        <f>+Table1[[#This Row],[SUBTOTAL]]+Table1[[#This Row],[IVA]]-Table1[[#This Row],[RET IVA]]-Table1[[#This Row],[RET ISR]]-Table1[[#This Row],[TOTAL]]</f>
        <v>0</v>
      </c>
      <c r="AE3366" s="152"/>
      <c r="AF3366" s="153"/>
      <c r="AG3366" s="126" t="s">
        <v>3420</v>
      </c>
      <c r="AK3366" s="306" t="str">
        <f>IF(ISNUMBER(Table1[[#This Row],[FECHA DE RECIBIDO]]), Table1[[#This Row],[FECHA DE RECIBIDO]]-DATE(2023,8,30), "")</f>
        <v/>
      </c>
    </row>
    <row r="3367" spans="1:37" ht="15" customHeight="1">
      <c r="A3367" s="150" t="s">
        <v>4171</v>
      </c>
      <c r="B3367" s="151">
        <v>1170</v>
      </c>
      <c r="C3367" s="126" t="s">
        <v>1181</v>
      </c>
      <c r="D3367">
        <v>2309</v>
      </c>
      <c r="E3367" s="126" t="s">
        <v>1895</v>
      </c>
      <c r="F3367" s="122" t="s">
        <v>1607</v>
      </c>
      <c r="G3367" s="122" t="s">
        <v>134</v>
      </c>
      <c r="H3367">
        <v>635</v>
      </c>
      <c r="I3367" s="122" t="s">
        <v>1546</v>
      </c>
      <c r="J3367" s="307" t="s">
        <v>214</v>
      </c>
      <c r="K3367" s="127" t="s">
        <v>4112</v>
      </c>
      <c r="L3367" s="151" t="s">
        <v>1579</v>
      </c>
      <c r="M3367">
        <v>901</v>
      </c>
      <c r="N3367" s="123">
        <v>17</v>
      </c>
      <c r="O3367">
        <v>2211</v>
      </c>
      <c r="P3367" s="132" t="s">
        <v>77</v>
      </c>
      <c r="Q3367" s="131">
        <v>155.11000000000001</v>
      </c>
      <c r="R3367" s="131">
        <v>24.82</v>
      </c>
      <c r="S3367" s="131"/>
      <c r="T3367" s="155"/>
      <c r="U3367" s="131"/>
      <c r="V3367" s="131">
        <v>179.93</v>
      </c>
      <c r="W3367"/>
      <c r="X3367" s="151" t="s">
        <v>1644</v>
      </c>
      <c r="Y3367" s="135" t="s">
        <v>55</v>
      </c>
      <c r="Z3367" s="307">
        <v>238</v>
      </c>
      <c r="AB3367" t="str">
        <f>IF(Table1[[#This Row],[TIPO2]]="costo", VLOOKUP(Table1[[#This Row],[PARTIDA PRESUPUESTAL]],'Cost Report'!G:G,1,0),"Balance")</f>
        <v>3904-003</v>
      </c>
      <c r="AC3367" s="118"/>
      <c r="AD3367" s="159">
        <f>+Table1[[#This Row],[SUBTOTAL]]+Table1[[#This Row],[IVA]]-Table1[[#This Row],[RET IVA]]-Table1[[#This Row],[RET ISR]]-Table1[[#This Row],[TOTAL]]</f>
        <v>0</v>
      </c>
      <c r="AE3367" s="150"/>
      <c r="AF3367" s="151"/>
      <c r="AG3367" s="126" t="s">
        <v>3420</v>
      </c>
      <c r="AK3367" s="306" t="str">
        <f>IF(ISNUMBER(Table1[[#This Row],[FECHA DE RECIBIDO]]), Table1[[#This Row],[FECHA DE RECIBIDO]]-DATE(2023,8,30), "")</f>
        <v/>
      </c>
    </row>
    <row r="3368" spans="1:37" ht="15" customHeight="1">
      <c r="A3368" s="152" t="s">
        <v>4171</v>
      </c>
      <c r="B3368" s="153">
        <v>1170</v>
      </c>
      <c r="C3368" s="126" t="s">
        <v>1181</v>
      </c>
      <c r="D3368">
        <v>2310</v>
      </c>
      <c r="E3368" s="126" t="s">
        <v>4195</v>
      </c>
      <c r="F3368" s="125" t="s">
        <v>1384</v>
      </c>
      <c r="G3368" s="125" t="s">
        <v>1625</v>
      </c>
      <c r="H3368">
        <v>636</v>
      </c>
      <c r="I3368" s="125" t="s">
        <v>1546</v>
      </c>
      <c r="J3368" s="308" t="s">
        <v>214</v>
      </c>
      <c r="K3368" s="127" t="s">
        <v>4112</v>
      </c>
      <c r="L3368" s="153" t="s">
        <v>1579</v>
      </c>
      <c r="M3368">
        <v>902</v>
      </c>
      <c r="N3368" s="123">
        <v>17</v>
      </c>
      <c r="O3368">
        <v>2208</v>
      </c>
      <c r="P3368" s="132" t="s">
        <v>77</v>
      </c>
      <c r="Q3368" s="132">
        <v>195.79</v>
      </c>
      <c r="R3368" s="132">
        <v>31.33</v>
      </c>
      <c r="S3368" s="132"/>
      <c r="T3368" s="156"/>
      <c r="U3368" s="132"/>
      <c r="V3368" s="132">
        <v>227.12</v>
      </c>
      <c r="W3368"/>
      <c r="X3368" s="153" t="s">
        <v>1644</v>
      </c>
      <c r="Y3368" s="124" t="s">
        <v>55</v>
      </c>
      <c r="Z3368" s="308">
        <v>238</v>
      </c>
      <c r="AB3368" t="str">
        <f>IF(Table1[[#This Row],[TIPO2]]="costo", VLOOKUP(Table1[[#This Row],[PARTIDA PRESUPUESTAL]],'Cost Report'!G:G,1,0),"Balance")</f>
        <v>3904-003</v>
      </c>
      <c r="AC3368" s="118"/>
      <c r="AD3368" s="159">
        <f>+Table1[[#This Row],[SUBTOTAL]]+Table1[[#This Row],[IVA]]-Table1[[#This Row],[RET IVA]]-Table1[[#This Row],[RET ISR]]-Table1[[#This Row],[TOTAL]]</f>
        <v>0</v>
      </c>
      <c r="AE3368" s="152"/>
      <c r="AF3368" s="153"/>
      <c r="AG3368" s="126" t="s">
        <v>3420</v>
      </c>
      <c r="AK3368" s="306" t="str">
        <f>IF(ISNUMBER(Table1[[#This Row],[FECHA DE RECIBIDO]]), Table1[[#This Row],[FECHA DE RECIBIDO]]-DATE(2023,8,30), "")</f>
        <v/>
      </c>
    </row>
    <row r="3369" spans="1:37" ht="15" customHeight="1">
      <c r="A3369" s="150" t="s">
        <v>4171</v>
      </c>
      <c r="B3369" s="151">
        <v>1170</v>
      </c>
      <c r="C3369" s="126" t="s">
        <v>1181</v>
      </c>
      <c r="D3369">
        <v>2311</v>
      </c>
      <c r="E3369" s="126" t="s">
        <v>4196</v>
      </c>
      <c r="F3369" s="122" t="s">
        <v>1384</v>
      </c>
      <c r="G3369" s="122" t="s">
        <v>1625</v>
      </c>
      <c r="H3369">
        <v>637</v>
      </c>
      <c r="I3369" s="122" t="s">
        <v>1546</v>
      </c>
      <c r="J3369" s="307" t="s">
        <v>214</v>
      </c>
      <c r="K3369" s="127" t="s">
        <v>4112</v>
      </c>
      <c r="L3369" s="151" t="s">
        <v>1579</v>
      </c>
      <c r="M3369">
        <v>903</v>
      </c>
      <c r="N3369" s="123">
        <v>17</v>
      </c>
      <c r="O3369">
        <v>2213</v>
      </c>
      <c r="P3369" s="132" t="s">
        <v>77</v>
      </c>
      <c r="Q3369" s="131">
        <v>94.79</v>
      </c>
      <c r="R3369" s="131">
        <v>15.17</v>
      </c>
      <c r="S3369" s="131"/>
      <c r="T3369" s="155"/>
      <c r="U3369" s="131"/>
      <c r="V3369" s="131">
        <v>109.96000000000001</v>
      </c>
      <c r="W3369"/>
      <c r="X3369" s="151" t="s">
        <v>1644</v>
      </c>
      <c r="Y3369" s="135" t="s">
        <v>55</v>
      </c>
      <c r="Z3369" s="307">
        <v>238</v>
      </c>
      <c r="AB3369" t="str">
        <f>IF(Table1[[#This Row],[TIPO2]]="costo", VLOOKUP(Table1[[#This Row],[PARTIDA PRESUPUESTAL]],'Cost Report'!G:G,1,0),"Balance")</f>
        <v>3904-003</v>
      </c>
      <c r="AC3369" s="118"/>
      <c r="AD3369" s="159">
        <f>+Table1[[#This Row],[SUBTOTAL]]+Table1[[#This Row],[IVA]]-Table1[[#This Row],[RET IVA]]-Table1[[#This Row],[RET ISR]]-Table1[[#This Row],[TOTAL]]</f>
        <v>0</v>
      </c>
      <c r="AE3369" s="150"/>
      <c r="AF3369" s="151"/>
      <c r="AG3369" s="126" t="s">
        <v>3420</v>
      </c>
      <c r="AK3369" s="306" t="str">
        <f>IF(ISNUMBER(Table1[[#This Row],[FECHA DE RECIBIDO]]), Table1[[#This Row],[FECHA DE RECIBIDO]]-DATE(2023,8,30), "")</f>
        <v/>
      </c>
    </row>
    <row r="3370" spans="1:37" ht="15" customHeight="1">
      <c r="A3370" s="152" t="s">
        <v>4171</v>
      </c>
      <c r="B3370" s="153">
        <v>1170</v>
      </c>
      <c r="C3370" s="126" t="s">
        <v>1181</v>
      </c>
      <c r="D3370">
        <v>2312</v>
      </c>
      <c r="E3370" s="126" t="s">
        <v>4197</v>
      </c>
      <c r="F3370" s="125" t="s">
        <v>1384</v>
      </c>
      <c r="G3370" s="125" t="s">
        <v>1625</v>
      </c>
      <c r="H3370">
        <v>638</v>
      </c>
      <c r="I3370" s="125" t="s">
        <v>1546</v>
      </c>
      <c r="J3370" s="308" t="s">
        <v>214</v>
      </c>
      <c r="K3370" s="127" t="s">
        <v>4112</v>
      </c>
      <c r="L3370" s="153" t="s">
        <v>1579</v>
      </c>
      <c r="M3370">
        <v>904</v>
      </c>
      <c r="N3370" s="123">
        <v>17</v>
      </c>
      <c r="O3370">
        <v>2208</v>
      </c>
      <c r="P3370" s="132" t="s">
        <v>77</v>
      </c>
      <c r="Q3370" s="132">
        <v>189.64</v>
      </c>
      <c r="R3370" s="132">
        <v>30.34</v>
      </c>
      <c r="S3370" s="132"/>
      <c r="T3370" s="156"/>
      <c r="U3370" s="132"/>
      <c r="V3370" s="132">
        <v>219.98</v>
      </c>
      <c r="W3370"/>
      <c r="X3370" s="153" t="s">
        <v>1644</v>
      </c>
      <c r="Y3370" s="124" t="s">
        <v>55</v>
      </c>
      <c r="Z3370" s="308">
        <v>238</v>
      </c>
      <c r="AB3370" t="str">
        <f>IF(Table1[[#This Row],[TIPO2]]="costo", VLOOKUP(Table1[[#This Row],[PARTIDA PRESUPUESTAL]],'Cost Report'!G:G,1,0),"Balance")</f>
        <v>3904-003</v>
      </c>
      <c r="AC3370" s="118"/>
      <c r="AD3370" s="159">
        <f>+Table1[[#This Row],[SUBTOTAL]]+Table1[[#This Row],[IVA]]-Table1[[#This Row],[RET IVA]]-Table1[[#This Row],[RET ISR]]-Table1[[#This Row],[TOTAL]]</f>
        <v>0</v>
      </c>
      <c r="AE3370" s="152"/>
      <c r="AF3370" s="153"/>
      <c r="AG3370" s="126" t="s">
        <v>3420</v>
      </c>
      <c r="AK3370" s="306" t="str">
        <f>IF(ISNUMBER(Table1[[#This Row],[FECHA DE RECIBIDO]]), Table1[[#This Row],[FECHA DE RECIBIDO]]-DATE(2023,8,30), "")</f>
        <v/>
      </c>
    </row>
    <row r="3371" spans="1:37" ht="15" customHeight="1">
      <c r="A3371" s="150" t="s">
        <v>4171</v>
      </c>
      <c r="B3371" s="151">
        <v>1170</v>
      </c>
      <c r="C3371" s="126" t="s">
        <v>1181</v>
      </c>
      <c r="D3371">
        <v>2313</v>
      </c>
      <c r="E3371" s="126" t="s">
        <v>4198</v>
      </c>
      <c r="F3371" s="122" t="s">
        <v>1384</v>
      </c>
      <c r="G3371" s="122" t="s">
        <v>1625</v>
      </c>
      <c r="H3371">
        <v>639</v>
      </c>
      <c r="I3371" s="122" t="s">
        <v>1546</v>
      </c>
      <c r="J3371" s="307" t="s">
        <v>214</v>
      </c>
      <c r="K3371" s="127" t="s">
        <v>4112</v>
      </c>
      <c r="L3371" s="151" t="s">
        <v>1579</v>
      </c>
      <c r="M3371">
        <v>905</v>
      </c>
      <c r="N3371" s="123">
        <v>17</v>
      </c>
      <c r="O3371">
        <v>2210</v>
      </c>
      <c r="P3371" s="132" t="s">
        <v>77</v>
      </c>
      <c r="Q3371" s="131">
        <v>37.54</v>
      </c>
      <c r="R3371" s="131">
        <v>6.01</v>
      </c>
      <c r="S3371" s="131"/>
      <c r="T3371" s="155"/>
      <c r="U3371" s="131"/>
      <c r="V3371" s="131">
        <v>43.55</v>
      </c>
      <c r="W3371"/>
      <c r="X3371" s="151" t="s">
        <v>1644</v>
      </c>
      <c r="Y3371" s="135" t="s">
        <v>55</v>
      </c>
      <c r="Z3371" s="307">
        <v>238</v>
      </c>
      <c r="AB3371" t="str">
        <f>IF(Table1[[#This Row],[TIPO2]]="costo", VLOOKUP(Table1[[#This Row],[PARTIDA PRESUPUESTAL]],'Cost Report'!G:G,1,0),"Balance")</f>
        <v>3904-003</v>
      </c>
      <c r="AC3371" s="118"/>
      <c r="AD3371" s="159">
        <f>+Table1[[#This Row],[SUBTOTAL]]+Table1[[#This Row],[IVA]]-Table1[[#This Row],[RET IVA]]-Table1[[#This Row],[RET ISR]]-Table1[[#This Row],[TOTAL]]</f>
        <v>0</v>
      </c>
      <c r="AE3371" s="150"/>
      <c r="AF3371" s="151"/>
      <c r="AG3371" s="126" t="s">
        <v>3420</v>
      </c>
      <c r="AK3371" s="306" t="str">
        <f>IF(ISNUMBER(Table1[[#This Row],[FECHA DE RECIBIDO]]), Table1[[#This Row],[FECHA DE RECIBIDO]]-DATE(2023,8,30), "")</f>
        <v/>
      </c>
    </row>
    <row r="3372" spans="1:37" ht="15" customHeight="1">
      <c r="A3372" s="152" t="s">
        <v>4171</v>
      </c>
      <c r="B3372" s="153">
        <v>1170</v>
      </c>
      <c r="C3372" s="126" t="s">
        <v>1181</v>
      </c>
      <c r="D3372">
        <v>2314</v>
      </c>
      <c r="E3372" s="126" t="s">
        <v>3784</v>
      </c>
      <c r="F3372" s="125" t="s">
        <v>1384</v>
      </c>
      <c r="G3372" s="125" t="s">
        <v>1625</v>
      </c>
      <c r="H3372">
        <v>640</v>
      </c>
      <c r="I3372" s="125" t="s">
        <v>1546</v>
      </c>
      <c r="J3372" s="308" t="s">
        <v>214</v>
      </c>
      <c r="K3372" s="127" t="s">
        <v>4112</v>
      </c>
      <c r="L3372" s="153" t="s">
        <v>1579</v>
      </c>
      <c r="M3372">
        <v>906</v>
      </c>
      <c r="N3372" s="123">
        <v>17</v>
      </c>
      <c r="O3372">
        <v>2208</v>
      </c>
      <c r="P3372" s="132" t="s">
        <v>77</v>
      </c>
      <c r="Q3372" s="132">
        <v>391.77</v>
      </c>
      <c r="R3372" s="132">
        <v>62.68</v>
      </c>
      <c r="S3372" s="132"/>
      <c r="T3372" s="156"/>
      <c r="U3372" s="132"/>
      <c r="V3372" s="132">
        <v>454.45</v>
      </c>
      <c r="W3372"/>
      <c r="X3372" s="153" t="s">
        <v>1644</v>
      </c>
      <c r="Y3372" s="124" t="s">
        <v>55</v>
      </c>
      <c r="Z3372" s="308">
        <v>238</v>
      </c>
      <c r="AB3372" t="str">
        <f>IF(Table1[[#This Row],[TIPO2]]="costo", VLOOKUP(Table1[[#This Row],[PARTIDA PRESUPUESTAL]],'Cost Report'!G:G,1,0),"Balance")</f>
        <v>3904-003</v>
      </c>
      <c r="AC3372" s="118"/>
      <c r="AD3372" s="159">
        <f>+Table1[[#This Row],[SUBTOTAL]]+Table1[[#This Row],[IVA]]-Table1[[#This Row],[RET IVA]]-Table1[[#This Row],[RET ISR]]-Table1[[#This Row],[TOTAL]]</f>
        <v>0</v>
      </c>
      <c r="AE3372" s="152"/>
      <c r="AF3372" s="153"/>
      <c r="AG3372" s="126" t="s">
        <v>3420</v>
      </c>
      <c r="AK3372" s="306" t="str">
        <f>IF(ISNUMBER(Table1[[#This Row],[FECHA DE RECIBIDO]]), Table1[[#This Row],[FECHA DE RECIBIDO]]-DATE(2023,8,30), "")</f>
        <v/>
      </c>
    </row>
    <row r="3373" spans="1:37" ht="15" customHeight="1">
      <c r="A3373" s="150" t="s">
        <v>4171</v>
      </c>
      <c r="B3373" s="151">
        <v>1170</v>
      </c>
      <c r="C3373" s="126" t="s">
        <v>1181</v>
      </c>
      <c r="D3373">
        <v>2315</v>
      </c>
      <c r="E3373" s="126" t="s">
        <v>4199</v>
      </c>
      <c r="F3373" s="122" t="s">
        <v>1384</v>
      </c>
      <c r="G3373" s="122" t="s">
        <v>1625</v>
      </c>
      <c r="H3373">
        <v>641</v>
      </c>
      <c r="I3373" s="122" t="s">
        <v>1546</v>
      </c>
      <c r="J3373" s="307" t="s">
        <v>214</v>
      </c>
      <c r="K3373" s="127" t="s">
        <v>4112</v>
      </c>
      <c r="L3373" s="151" t="s">
        <v>1579</v>
      </c>
      <c r="M3373">
        <v>907</v>
      </c>
      <c r="N3373" s="123">
        <v>17</v>
      </c>
      <c r="O3373">
        <v>2208</v>
      </c>
      <c r="P3373" s="132" t="s">
        <v>77</v>
      </c>
      <c r="Q3373" s="131">
        <v>306.14999999999998</v>
      </c>
      <c r="R3373" s="131">
        <v>48.98</v>
      </c>
      <c r="S3373" s="131"/>
      <c r="T3373" s="155"/>
      <c r="U3373" s="131"/>
      <c r="V3373" s="131">
        <v>355.13</v>
      </c>
      <c r="W3373"/>
      <c r="X3373" s="151" t="s">
        <v>1644</v>
      </c>
      <c r="Y3373" s="135" t="s">
        <v>55</v>
      </c>
      <c r="Z3373" s="307">
        <v>238</v>
      </c>
      <c r="AB3373" t="str">
        <f>IF(Table1[[#This Row],[TIPO2]]="costo", VLOOKUP(Table1[[#This Row],[PARTIDA PRESUPUESTAL]],'Cost Report'!G:G,1,0),"Balance")</f>
        <v>3904-003</v>
      </c>
      <c r="AC3373" s="118"/>
      <c r="AD3373" s="159">
        <f>+Table1[[#This Row],[SUBTOTAL]]+Table1[[#This Row],[IVA]]-Table1[[#This Row],[RET IVA]]-Table1[[#This Row],[RET ISR]]-Table1[[#This Row],[TOTAL]]</f>
        <v>0</v>
      </c>
      <c r="AE3373" s="150"/>
      <c r="AF3373" s="151"/>
      <c r="AG3373" s="126" t="s">
        <v>3420</v>
      </c>
      <c r="AK3373" s="306" t="str">
        <f>IF(ISNUMBER(Table1[[#This Row],[FECHA DE RECIBIDO]]), Table1[[#This Row],[FECHA DE RECIBIDO]]-DATE(2023,8,30), "")</f>
        <v/>
      </c>
    </row>
    <row r="3374" spans="1:37" ht="15" customHeight="1">
      <c r="A3374" s="152" t="s">
        <v>4171</v>
      </c>
      <c r="B3374" s="153">
        <v>1170</v>
      </c>
      <c r="C3374" s="126" t="s">
        <v>1181</v>
      </c>
      <c r="D3374">
        <v>2316</v>
      </c>
      <c r="E3374" s="126" t="s">
        <v>4076</v>
      </c>
      <c r="F3374" s="125" t="s">
        <v>1384</v>
      </c>
      <c r="G3374" s="125" t="s">
        <v>1625</v>
      </c>
      <c r="H3374">
        <v>642</v>
      </c>
      <c r="I3374" s="125" t="s">
        <v>1546</v>
      </c>
      <c r="J3374" s="308" t="s">
        <v>214</v>
      </c>
      <c r="K3374" s="127" t="s">
        <v>4112</v>
      </c>
      <c r="L3374" s="153" t="s">
        <v>1579</v>
      </c>
      <c r="M3374">
        <v>908</v>
      </c>
      <c r="N3374" s="123">
        <v>17</v>
      </c>
      <c r="O3374">
        <v>2211</v>
      </c>
      <c r="P3374" s="132" t="s">
        <v>77</v>
      </c>
      <c r="Q3374" s="132">
        <v>86.16</v>
      </c>
      <c r="R3374" s="132">
        <v>13.79</v>
      </c>
      <c r="S3374" s="132"/>
      <c r="T3374" s="156"/>
      <c r="U3374" s="132"/>
      <c r="V3374" s="132">
        <v>99.949999999999989</v>
      </c>
      <c r="W3374"/>
      <c r="X3374" s="153" t="s">
        <v>1644</v>
      </c>
      <c r="Y3374" s="124" t="s">
        <v>55</v>
      </c>
      <c r="Z3374" s="308">
        <v>238</v>
      </c>
      <c r="AB3374" t="str">
        <f>IF(Table1[[#This Row],[TIPO2]]="costo", VLOOKUP(Table1[[#This Row],[PARTIDA PRESUPUESTAL]],'Cost Report'!G:G,1,0),"Balance")</f>
        <v>3904-003</v>
      </c>
      <c r="AC3374" s="118"/>
      <c r="AD3374" s="159">
        <f>+Table1[[#This Row],[SUBTOTAL]]+Table1[[#This Row],[IVA]]-Table1[[#This Row],[RET IVA]]-Table1[[#This Row],[RET ISR]]-Table1[[#This Row],[TOTAL]]</f>
        <v>0</v>
      </c>
      <c r="AE3374" s="152"/>
      <c r="AF3374" s="153"/>
      <c r="AG3374" s="126" t="s">
        <v>3420</v>
      </c>
      <c r="AK3374" s="306" t="str">
        <f>IF(ISNUMBER(Table1[[#This Row],[FECHA DE RECIBIDO]]), Table1[[#This Row],[FECHA DE RECIBIDO]]-DATE(2023,8,30), "")</f>
        <v/>
      </c>
    </row>
    <row r="3375" spans="1:37" ht="15" customHeight="1">
      <c r="A3375" s="150" t="s">
        <v>4171</v>
      </c>
      <c r="B3375" s="151">
        <v>1170</v>
      </c>
      <c r="C3375" s="126" t="s">
        <v>1181</v>
      </c>
      <c r="D3375">
        <v>2317</v>
      </c>
      <c r="E3375" s="126" t="s">
        <v>4200</v>
      </c>
      <c r="F3375" s="122" t="s">
        <v>1384</v>
      </c>
      <c r="G3375" s="122" t="s">
        <v>1625</v>
      </c>
      <c r="H3375">
        <v>643</v>
      </c>
      <c r="I3375" s="122" t="s">
        <v>1546</v>
      </c>
      <c r="J3375" s="307" t="s">
        <v>214</v>
      </c>
      <c r="K3375" s="127" t="s">
        <v>4112</v>
      </c>
      <c r="L3375" s="151" t="s">
        <v>1579</v>
      </c>
      <c r="M3375">
        <v>909</v>
      </c>
      <c r="N3375" s="123">
        <v>17</v>
      </c>
      <c r="O3375">
        <v>2208</v>
      </c>
      <c r="P3375" s="132" t="s">
        <v>77</v>
      </c>
      <c r="Q3375" s="131">
        <v>189.65</v>
      </c>
      <c r="R3375" s="131">
        <v>30.34</v>
      </c>
      <c r="S3375" s="131"/>
      <c r="T3375" s="155"/>
      <c r="U3375" s="131"/>
      <c r="V3375" s="131">
        <v>219.99</v>
      </c>
      <c r="W3375"/>
      <c r="X3375" s="151" t="s">
        <v>1644</v>
      </c>
      <c r="Y3375" s="135" t="s">
        <v>55</v>
      </c>
      <c r="Z3375" s="307">
        <v>238</v>
      </c>
      <c r="AB3375" t="str">
        <f>IF(Table1[[#This Row],[TIPO2]]="costo", VLOOKUP(Table1[[#This Row],[PARTIDA PRESUPUESTAL]],'Cost Report'!G:G,1,0),"Balance")</f>
        <v>3904-003</v>
      </c>
      <c r="AC3375" s="118"/>
      <c r="AD3375" s="159">
        <f>+Table1[[#This Row],[SUBTOTAL]]+Table1[[#This Row],[IVA]]-Table1[[#This Row],[RET IVA]]-Table1[[#This Row],[RET ISR]]-Table1[[#This Row],[TOTAL]]</f>
        <v>0</v>
      </c>
      <c r="AE3375" s="150"/>
      <c r="AF3375" s="151"/>
      <c r="AG3375" s="126" t="s">
        <v>3420</v>
      </c>
      <c r="AK3375" s="306" t="str">
        <f>IF(ISNUMBER(Table1[[#This Row],[FECHA DE RECIBIDO]]), Table1[[#This Row],[FECHA DE RECIBIDO]]-DATE(2023,8,30), "")</f>
        <v/>
      </c>
    </row>
    <row r="3376" spans="1:37" ht="15" customHeight="1">
      <c r="A3376" s="152" t="s">
        <v>4171</v>
      </c>
      <c r="B3376" s="153">
        <v>1170</v>
      </c>
      <c r="C3376" s="126" t="s">
        <v>1181</v>
      </c>
      <c r="D3376">
        <v>2318</v>
      </c>
      <c r="E3376" s="126" t="s">
        <v>4201</v>
      </c>
      <c r="F3376" s="125" t="s">
        <v>1384</v>
      </c>
      <c r="G3376" s="125" t="s">
        <v>1625</v>
      </c>
      <c r="H3376">
        <v>644</v>
      </c>
      <c r="I3376" s="125" t="s">
        <v>1546</v>
      </c>
      <c r="J3376" s="308" t="s">
        <v>214</v>
      </c>
      <c r="K3376" s="127" t="s">
        <v>4112</v>
      </c>
      <c r="L3376" s="153" t="s">
        <v>1579</v>
      </c>
      <c r="M3376">
        <v>910</v>
      </c>
      <c r="N3376" s="123">
        <v>17</v>
      </c>
      <c r="O3376">
        <v>2211</v>
      </c>
      <c r="P3376" s="132" t="s">
        <v>77</v>
      </c>
      <c r="Q3376" s="132">
        <v>138.72999999999999</v>
      </c>
      <c r="R3376" s="132">
        <v>22.2</v>
      </c>
      <c r="S3376" s="132"/>
      <c r="T3376" s="156"/>
      <c r="U3376" s="132"/>
      <c r="V3376" s="132">
        <v>160.92999999999998</v>
      </c>
      <c r="W3376"/>
      <c r="X3376" s="153" t="s">
        <v>1644</v>
      </c>
      <c r="Y3376" s="124" t="s">
        <v>55</v>
      </c>
      <c r="Z3376" s="308">
        <v>238</v>
      </c>
      <c r="AB3376" t="str">
        <f>IF(Table1[[#This Row],[TIPO2]]="costo", VLOOKUP(Table1[[#This Row],[PARTIDA PRESUPUESTAL]],'Cost Report'!G:G,1,0),"Balance")</f>
        <v>3904-003</v>
      </c>
      <c r="AC3376" s="118"/>
      <c r="AD3376" s="159">
        <f>+Table1[[#This Row],[SUBTOTAL]]+Table1[[#This Row],[IVA]]-Table1[[#This Row],[RET IVA]]-Table1[[#This Row],[RET ISR]]-Table1[[#This Row],[TOTAL]]</f>
        <v>0</v>
      </c>
      <c r="AE3376" s="152"/>
      <c r="AF3376" s="153"/>
      <c r="AG3376" s="126" t="s">
        <v>3420</v>
      </c>
      <c r="AK3376" s="306" t="str">
        <f>IF(ISNUMBER(Table1[[#This Row],[FECHA DE RECIBIDO]]), Table1[[#This Row],[FECHA DE RECIBIDO]]-DATE(2023,8,30), "")</f>
        <v/>
      </c>
    </row>
    <row r="3377" spans="1:37" ht="15" customHeight="1">
      <c r="A3377" s="150" t="s">
        <v>4171</v>
      </c>
      <c r="B3377" s="151">
        <v>1170</v>
      </c>
      <c r="C3377" s="126" t="s">
        <v>1181</v>
      </c>
      <c r="D3377">
        <v>2319</v>
      </c>
      <c r="E3377" s="126" t="s">
        <v>3357</v>
      </c>
      <c r="F3377" s="122" t="s">
        <v>1384</v>
      </c>
      <c r="G3377" s="122" t="s">
        <v>1625</v>
      </c>
      <c r="H3377">
        <v>645</v>
      </c>
      <c r="I3377" s="122" t="s">
        <v>1546</v>
      </c>
      <c r="J3377" s="307" t="s">
        <v>214</v>
      </c>
      <c r="K3377" s="127" t="s">
        <v>4112</v>
      </c>
      <c r="L3377" s="151" t="s">
        <v>1579</v>
      </c>
      <c r="M3377">
        <v>911</v>
      </c>
      <c r="N3377" s="123">
        <v>17</v>
      </c>
      <c r="O3377">
        <v>2213</v>
      </c>
      <c r="P3377" s="132" t="s">
        <v>77</v>
      </c>
      <c r="Q3377" s="131">
        <v>126.12</v>
      </c>
      <c r="R3377" s="131">
        <v>20.18</v>
      </c>
      <c r="S3377" s="131"/>
      <c r="T3377" s="155"/>
      <c r="U3377" s="131"/>
      <c r="V3377" s="131">
        <v>146.30000000000001</v>
      </c>
      <c r="W3377"/>
      <c r="X3377" s="151" t="s">
        <v>1644</v>
      </c>
      <c r="Y3377" s="135" t="s">
        <v>55</v>
      </c>
      <c r="Z3377" s="307">
        <v>238</v>
      </c>
      <c r="AB3377" t="str">
        <f>IF(Table1[[#This Row],[TIPO2]]="costo", VLOOKUP(Table1[[#This Row],[PARTIDA PRESUPUESTAL]],'Cost Report'!G:G,1,0),"Balance")</f>
        <v>3904-003</v>
      </c>
      <c r="AC3377" s="118"/>
      <c r="AD3377" s="159">
        <f>+Table1[[#This Row],[SUBTOTAL]]+Table1[[#This Row],[IVA]]-Table1[[#This Row],[RET IVA]]-Table1[[#This Row],[RET ISR]]-Table1[[#This Row],[TOTAL]]</f>
        <v>0</v>
      </c>
      <c r="AE3377" s="150"/>
      <c r="AF3377" s="151"/>
      <c r="AG3377" s="126" t="s">
        <v>3420</v>
      </c>
      <c r="AK3377" s="306" t="str">
        <f>IF(ISNUMBER(Table1[[#This Row],[FECHA DE RECIBIDO]]), Table1[[#This Row],[FECHA DE RECIBIDO]]-DATE(2023,8,30), "")</f>
        <v/>
      </c>
    </row>
    <row r="3378" spans="1:37" ht="15" customHeight="1">
      <c r="A3378" s="152" t="s">
        <v>4171</v>
      </c>
      <c r="B3378" s="153">
        <v>1170</v>
      </c>
      <c r="C3378" s="126" t="s">
        <v>1181</v>
      </c>
      <c r="D3378">
        <v>2320</v>
      </c>
      <c r="E3378" s="126" t="s">
        <v>3789</v>
      </c>
      <c r="F3378" s="125" t="s">
        <v>1384</v>
      </c>
      <c r="G3378" s="125" t="s">
        <v>1625</v>
      </c>
      <c r="H3378">
        <v>646</v>
      </c>
      <c r="I3378" s="125" t="s">
        <v>1546</v>
      </c>
      <c r="J3378" s="308" t="s">
        <v>214</v>
      </c>
      <c r="K3378" s="127" t="s">
        <v>4112</v>
      </c>
      <c r="L3378" s="153" t="s">
        <v>1579</v>
      </c>
      <c r="M3378">
        <v>912</v>
      </c>
      <c r="N3378" s="123">
        <v>17</v>
      </c>
      <c r="O3378">
        <v>2212</v>
      </c>
      <c r="P3378" s="132" t="s">
        <v>77</v>
      </c>
      <c r="Q3378" s="132">
        <v>60.28</v>
      </c>
      <c r="R3378" s="132">
        <v>9.64</v>
      </c>
      <c r="S3378" s="132"/>
      <c r="T3378" s="156"/>
      <c r="U3378" s="132"/>
      <c r="V3378" s="132">
        <v>69.92</v>
      </c>
      <c r="W3378"/>
      <c r="X3378" s="153" t="s">
        <v>1644</v>
      </c>
      <c r="Y3378" s="124" t="s">
        <v>55</v>
      </c>
      <c r="Z3378" s="308">
        <v>238</v>
      </c>
      <c r="AB3378" t="str">
        <f>IF(Table1[[#This Row],[TIPO2]]="costo", VLOOKUP(Table1[[#This Row],[PARTIDA PRESUPUESTAL]],'Cost Report'!G:G,1,0),"Balance")</f>
        <v>3904-003</v>
      </c>
      <c r="AC3378" s="118"/>
      <c r="AD3378" s="159">
        <f>+Table1[[#This Row],[SUBTOTAL]]+Table1[[#This Row],[IVA]]-Table1[[#This Row],[RET IVA]]-Table1[[#This Row],[RET ISR]]-Table1[[#This Row],[TOTAL]]</f>
        <v>0</v>
      </c>
      <c r="AE3378" s="152"/>
      <c r="AF3378" s="153"/>
      <c r="AG3378" s="126" t="s">
        <v>3420</v>
      </c>
      <c r="AK3378" s="306" t="str">
        <f>IF(ISNUMBER(Table1[[#This Row],[FECHA DE RECIBIDO]]), Table1[[#This Row],[FECHA DE RECIBIDO]]-DATE(2023,8,30), "")</f>
        <v/>
      </c>
    </row>
    <row r="3379" spans="1:37" ht="15" customHeight="1">
      <c r="A3379" s="150" t="s">
        <v>4171</v>
      </c>
      <c r="B3379" s="151">
        <v>1170</v>
      </c>
      <c r="C3379" s="126" t="s">
        <v>1181</v>
      </c>
      <c r="D3379">
        <v>2321</v>
      </c>
      <c r="E3379" s="126" t="s">
        <v>3268</v>
      </c>
      <c r="F3379" s="122" t="s">
        <v>1384</v>
      </c>
      <c r="G3379" s="122" t="s">
        <v>1625</v>
      </c>
      <c r="H3379">
        <v>647</v>
      </c>
      <c r="I3379" s="122" t="s">
        <v>1546</v>
      </c>
      <c r="J3379" s="307" t="s">
        <v>214</v>
      </c>
      <c r="K3379" s="127" t="s">
        <v>4112</v>
      </c>
      <c r="L3379" s="151" t="s">
        <v>1579</v>
      </c>
      <c r="M3379">
        <v>913</v>
      </c>
      <c r="N3379" s="123">
        <v>17</v>
      </c>
      <c r="O3379">
        <v>2212</v>
      </c>
      <c r="P3379" s="132" t="s">
        <v>77</v>
      </c>
      <c r="Q3379" s="131">
        <v>86.17</v>
      </c>
      <c r="R3379" s="131">
        <v>13.79</v>
      </c>
      <c r="S3379" s="131"/>
      <c r="T3379" s="155"/>
      <c r="U3379" s="131"/>
      <c r="V3379" s="131">
        <v>99.960000000000008</v>
      </c>
      <c r="W3379"/>
      <c r="X3379" s="151" t="s">
        <v>1644</v>
      </c>
      <c r="Y3379" s="135" t="s">
        <v>55</v>
      </c>
      <c r="Z3379" s="307">
        <v>238</v>
      </c>
      <c r="AB3379" t="str">
        <f>IF(Table1[[#This Row],[TIPO2]]="costo", VLOOKUP(Table1[[#This Row],[PARTIDA PRESUPUESTAL]],'Cost Report'!G:G,1,0),"Balance")</f>
        <v>3904-003</v>
      </c>
      <c r="AC3379" s="118"/>
      <c r="AD3379" s="159">
        <f>+Table1[[#This Row],[SUBTOTAL]]+Table1[[#This Row],[IVA]]-Table1[[#This Row],[RET IVA]]-Table1[[#This Row],[RET ISR]]-Table1[[#This Row],[TOTAL]]</f>
        <v>0</v>
      </c>
      <c r="AE3379" s="150"/>
      <c r="AF3379" s="151"/>
      <c r="AG3379" s="126" t="s">
        <v>3420</v>
      </c>
      <c r="AK3379" s="306" t="str">
        <f>IF(ISNUMBER(Table1[[#This Row],[FECHA DE RECIBIDO]]), Table1[[#This Row],[FECHA DE RECIBIDO]]-DATE(2023,8,30), "")</f>
        <v/>
      </c>
    </row>
    <row r="3380" spans="1:37" ht="15" customHeight="1">
      <c r="A3380" s="152" t="s">
        <v>4171</v>
      </c>
      <c r="B3380" s="153">
        <v>1170</v>
      </c>
      <c r="C3380" s="126" t="s">
        <v>1181</v>
      </c>
      <c r="D3380">
        <v>2322</v>
      </c>
      <c r="E3380" s="126" t="s">
        <v>4202</v>
      </c>
      <c r="F3380" s="125" t="s">
        <v>1384</v>
      </c>
      <c r="G3380" s="125" t="s">
        <v>1625</v>
      </c>
      <c r="H3380">
        <v>648</v>
      </c>
      <c r="I3380" s="125" t="s">
        <v>1546</v>
      </c>
      <c r="J3380" s="308" t="s">
        <v>214</v>
      </c>
      <c r="K3380" s="127" t="s">
        <v>4112</v>
      </c>
      <c r="L3380" s="153" t="s">
        <v>1579</v>
      </c>
      <c r="M3380">
        <v>914</v>
      </c>
      <c r="N3380" s="123">
        <v>17</v>
      </c>
      <c r="O3380">
        <v>2209</v>
      </c>
      <c r="P3380" s="132" t="s">
        <v>77</v>
      </c>
      <c r="Q3380" s="132">
        <v>75.86</v>
      </c>
      <c r="R3380" s="132">
        <v>12.14</v>
      </c>
      <c r="S3380" s="132"/>
      <c r="T3380" s="156"/>
      <c r="U3380" s="132"/>
      <c r="V3380" s="132">
        <v>88</v>
      </c>
      <c r="W3380"/>
      <c r="X3380" s="153" t="s">
        <v>1644</v>
      </c>
      <c r="Y3380" s="124" t="s">
        <v>55</v>
      </c>
      <c r="Z3380" s="308">
        <v>238</v>
      </c>
      <c r="AB3380" t="str">
        <f>IF(Table1[[#This Row],[TIPO2]]="costo", VLOOKUP(Table1[[#This Row],[PARTIDA PRESUPUESTAL]],'Cost Report'!G:G,1,0),"Balance")</f>
        <v>3904-003</v>
      </c>
      <c r="AC3380" s="118"/>
      <c r="AD3380" s="159">
        <f>+Table1[[#This Row],[SUBTOTAL]]+Table1[[#This Row],[IVA]]-Table1[[#This Row],[RET IVA]]-Table1[[#This Row],[RET ISR]]-Table1[[#This Row],[TOTAL]]</f>
        <v>0</v>
      </c>
      <c r="AE3380" s="152"/>
      <c r="AF3380" s="153"/>
      <c r="AG3380" s="126" t="s">
        <v>3420</v>
      </c>
      <c r="AK3380" s="306" t="str">
        <f>IF(ISNUMBER(Table1[[#This Row],[FECHA DE RECIBIDO]]), Table1[[#This Row],[FECHA DE RECIBIDO]]-DATE(2023,8,30), "")</f>
        <v/>
      </c>
    </row>
    <row r="3381" spans="1:37" ht="15" customHeight="1">
      <c r="A3381" s="150" t="s">
        <v>4171</v>
      </c>
      <c r="B3381" s="151">
        <v>1170</v>
      </c>
      <c r="C3381" s="126" t="s">
        <v>1181</v>
      </c>
      <c r="D3381">
        <v>2323</v>
      </c>
      <c r="E3381" s="126" t="s">
        <v>4203</v>
      </c>
      <c r="F3381" s="122" t="s">
        <v>1384</v>
      </c>
      <c r="G3381" s="122" t="s">
        <v>1625</v>
      </c>
      <c r="H3381">
        <v>649</v>
      </c>
      <c r="I3381" s="122" t="s">
        <v>1546</v>
      </c>
      <c r="J3381" s="307" t="s">
        <v>214</v>
      </c>
      <c r="K3381" s="127" t="s">
        <v>4112</v>
      </c>
      <c r="L3381" s="151" t="s">
        <v>1579</v>
      </c>
      <c r="M3381">
        <v>915</v>
      </c>
      <c r="N3381" s="123">
        <v>17</v>
      </c>
      <c r="O3381">
        <v>2215</v>
      </c>
      <c r="P3381" s="132" t="s">
        <v>77</v>
      </c>
      <c r="Q3381" s="131">
        <v>109.34</v>
      </c>
      <c r="R3381" s="131">
        <v>17.489999999999998</v>
      </c>
      <c r="S3381" s="131"/>
      <c r="T3381" s="155"/>
      <c r="U3381" s="131"/>
      <c r="V3381" s="131">
        <v>126.83</v>
      </c>
      <c r="W3381"/>
      <c r="X3381" s="151" t="s">
        <v>1644</v>
      </c>
      <c r="Y3381" s="135" t="s">
        <v>55</v>
      </c>
      <c r="Z3381" s="307">
        <v>238</v>
      </c>
      <c r="AB3381" t="str">
        <f>IF(Table1[[#This Row],[TIPO2]]="costo", VLOOKUP(Table1[[#This Row],[PARTIDA PRESUPUESTAL]],'Cost Report'!G:G,1,0),"Balance")</f>
        <v>3904-003</v>
      </c>
      <c r="AC3381" s="118"/>
      <c r="AD3381" s="159">
        <f>+Table1[[#This Row],[SUBTOTAL]]+Table1[[#This Row],[IVA]]-Table1[[#This Row],[RET IVA]]-Table1[[#This Row],[RET ISR]]-Table1[[#This Row],[TOTAL]]</f>
        <v>0</v>
      </c>
      <c r="AE3381" s="150"/>
      <c r="AF3381" s="151"/>
      <c r="AG3381" s="126" t="s">
        <v>3420</v>
      </c>
      <c r="AK3381" s="306" t="str">
        <f>IF(ISNUMBER(Table1[[#This Row],[FECHA DE RECIBIDO]]), Table1[[#This Row],[FECHA DE RECIBIDO]]-DATE(2023,8,30), "")</f>
        <v/>
      </c>
    </row>
    <row r="3382" spans="1:37" ht="15" customHeight="1">
      <c r="A3382" s="152" t="s">
        <v>4171</v>
      </c>
      <c r="B3382" s="153">
        <v>1170</v>
      </c>
      <c r="C3382" s="126" t="s">
        <v>1181</v>
      </c>
      <c r="D3382">
        <v>2324</v>
      </c>
      <c r="E3382" s="126" t="s">
        <v>4204</v>
      </c>
      <c r="F3382" s="125" t="s">
        <v>1384</v>
      </c>
      <c r="G3382" s="125" t="s">
        <v>1625</v>
      </c>
      <c r="H3382">
        <v>650</v>
      </c>
      <c r="I3382" s="125" t="s">
        <v>1546</v>
      </c>
      <c r="J3382" s="308" t="s">
        <v>214</v>
      </c>
      <c r="K3382" s="127" t="s">
        <v>4112</v>
      </c>
      <c r="L3382" s="153" t="s">
        <v>1579</v>
      </c>
      <c r="M3382">
        <v>916</v>
      </c>
      <c r="N3382" s="123">
        <v>17</v>
      </c>
      <c r="O3382">
        <v>2216</v>
      </c>
      <c r="P3382" s="132" t="s">
        <v>77</v>
      </c>
      <c r="Q3382" s="132">
        <v>146.52000000000001</v>
      </c>
      <c r="R3382" s="132">
        <v>23.44</v>
      </c>
      <c r="S3382" s="132"/>
      <c r="T3382" s="156"/>
      <c r="U3382" s="132"/>
      <c r="V3382" s="132">
        <v>169.96</v>
      </c>
      <c r="W3382"/>
      <c r="X3382" s="153" t="s">
        <v>1644</v>
      </c>
      <c r="Y3382" s="124" t="s">
        <v>55</v>
      </c>
      <c r="Z3382" s="308">
        <v>238</v>
      </c>
      <c r="AB3382" t="str">
        <f>IF(Table1[[#This Row],[TIPO2]]="costo", VLOOKUP(Table1[[#This Row],[PARTIDA PRESUPUESTAL]],'Cost Report'!G:G,1,0),"Balance")</f>
        <v>3904-003</v>
      </c>
      <c r="AC3382" s="118"/>
      <c r="AD3382" s="159">
        <f>+Table1[[#This Row],[SUBTOTAL]]+Table1[[#This Row],[IVA]]-Table1[[#This Row],[RET IVA]]-Table1[[#This Row],[RET ISR]]-Table1[[#This Row],[TOTAL]]</f>
        <v>0</v>
      </c>
      <c r="AE3382" s="152"/>
      <c r="AF3382" s="153"/>
      <c r="AG3382" s="126" t="s">
        <v>3420</v>
      </c>
      <c r="AK3382" s="306" t="str">
        <f>IF(ISNUMBER(Table1[[#This Row],[FECHA DE RECIBIDO]]), Table1[[#This Row],[FECHA DE RECIBIDO]]-DATE(2023,8,30), "")</f>
        <v/>
      </c>
    </row>
    <row r="3383" spans="1:37" ht="15" customHeight="1">
      <c r="A3383" s="150" t="s">
        <v>4171</v>
      </c>
      <c r="B3383" s="151">
        <v>1170</v>
      </c>
      <c r="C3383" s="126" t="s">
        <v>1181</v>
      </c>
      <c r="D3383">
        <v>2325</v>
      </c>
      <c r="E3383" s="126" t="s">
        <v>3357</v>
      </c>
      <c r="F3383" s="122" t="s">
        <v>1384</v>
      </c>
      <c r="G3383" s="122" t="s">
        <v>1625</v>
      </c>
      <c r="H3383">
        <v>651</v>
      </c>
      <c r="I3383" s="122" t="s">
        <v>1546</v>
      </c>
      <c r="J3383" s="307" t="s">
        <v>214</v>
      </c>
      <c r="K3383" s="127" t="s">
        <v>4112</v>
      </c>
      <c r="L3383" s="151" t="s">
        <v>1579</v>
      </c>
      <c r="M3383">
        <v>917</v>
      </c>
      <c r="N3383" s="123">
        <v>17</v>
      </c>
      <c r="O3383">
        <v>2212</v>
      </c>
      <c r="P3383" s="132" t="s">
        <v>77</v>
      </c>
      <c r="Q3383" s="131">
        <v>43.02</v>
      </c>
      <c r="R3383" s="131">
        <v>6.88</v>
      </c>
      <c r="S3383" s="131"/>
      <c r="T3383" s="155"/>
      <c r="U3383" s="131"/>
      <c r="V3383" s="131">
        <v>49.900000000000006</v>
      </c>
      <c r="W3383"/>
      <c r="X3383" s="151" t="s">
        <v>1644</v>
      </c>
      <c r="Y3383" s="135" t="s">
        <v>55</v>
      </c>
      <c r="Z3383" s="307">
        <v>238</v>
      </c>
      <c r="AB3383" t="str">
        <f>IF(Table1[[#This Row],[TIPO2]]="costo", VLOOKUP(Table1[[#This Row],[PARTIDA PRESUPUESTAL]],'Cost Report'!G:G,1,0),"Balance")</f>
        <v>3904-003</v>
      </c>
      <c r="AC3383" s="118"/>
      <c r="AD3383" s="159">
        <f>+Table1[[#This Row],[SUBTOTAL]]+Table1[[#This Row],[IVA]]-Table1[[#This Row],[RET IVA]]-Table1[[#This Row],[RET ISR]]-Table1[[#This Row],[TOTAL]]</f>
        <v>0</v>
      </c>
      <c r="AE3383" s="150"/>
      <c r="AF3383" s="151"/>
      <c r="AG3383" s="126" t="s">
        <v>3420</v>
      </c>
      <c r="AK3383" s="306" t="str">
        <f>IF(ISNUMBER(Table1[[#This Row],[FECHA DE RECIBIDO]]), Table1[[#This Row],[FECHA DE RECIBIDO]]-DATE(2023,8,30), "")</f>
        <v/>
      </c>
    </row>
    <row r="3384" spans="1:37" ht="15" customHeight="1">
      <c r="A3384" s="152" t="s">
        <v>4171</v>
      </c>
      <c r="B3384" s="153">
        <v>1170</v>
      </c>
      <c r="C3384" s="126" t="s">
        <v>1181</v>
      </c>
      <c r="D3384">
        <v>2326</v>
      </c>
      <c r="E3384" s="126" t="s">
        <v>3357</v>
      </c>
      <c r="F3384" s="125" t="s">
        <v>1384</v>
      </c>
      <c r="G3384" s="125" t="s">
        <v>1625</v>
      </c>
      <c r="H3384">
        <v>651</v>
      </c>
      <c r="I3384" s="125" t="s">
        <v>1546</v>
      </c>
      <c r="J3384" s="308" t="s">
        <v>214</v>
      </c>
      <c r="K3384" s="127" t="s">
        <v>4112</v>
      </c>
      <c r="L3384" s="153" t="s">
        <v>1579</v>
      </c>
      <c r="M3384">
        <v>917</v>
      </c>
      <c r="N3384" s="123">
        <v>17</v>
      </c>
      <c r="O3384">
        <v>2213</v>
      </c>
      <c r="P3384" s="132" t="s">
        <v>77</v>
      </c>
      <c r="Q3384" s="132">
        <v>83.62</v>
      </c>
      <c r="R3384" s="132">
        <v>13.38</v>
      </c>
      <c r="S3384" s="132"/>
      <c r="T3384" s="156"/>
      <c r="U3384" s="132"/>
      <c r="V3384" s="132">
        <v>97</v>
      </c>
      <c r="W3384"/>
      <c r="X3384" s="153" t="s">
        <v>1644</v>
      </c>
      <c r="Y3384" s="124" t="s">
        <v>55</v>
      </c>
      <c r="Z3384" s="308">
        <v>238</v>
      </c>
      <c r="AB3384" t="str">
        <f>IF(Table1[[#This Row],[TIPO2]]="costo", VLOOKUP(Table1[[#This Row],[PARTIDA PRESUPUESTAL]],'Cost Report'!G:G,1,0),"Balance")</f>
        <v>3904-003</v>
      </c>
      <c r="AC3384" s="118"/>
      <c r="AD3384" s="159">
        <f>+Table1[[#This Row],[SUBTOTAL]]+Table1[[#This Row],[IVA]]-Table1[[#This Row],[RET IVA]]-Table1[[#This Row],[RET ISR]]-Table1[[#This Row],[TOTAL]]</f>
        <v>0</v>
      </c>
      <c r="AE3384" s="152"/>
      <c r="AF3384" s="153"/>
      <c r="AG3384" s="126" t="s">
        <v>3420</v>
      </c>
      <c r="AK3384" s="306" t="str">
        <f>IF(ISNUMBER(Table1[[#This Row],[FECHA DE RECIBIDO]]), Table1[[#This Row],[FECHA DE RECIBIDO]]-DATE(2023,8,30), "")</f>
        <v/>
      </c>
    </row>
    <row r="3385" spans="1:37" ht="15" customHeight="1">
      <c r="A3385" s="150" t="s">
        <v>4171</v>
      </c>
      <c r="B3385" s="151">
        <v>1170</v>
      </c>
      <c r="C3385" s="126" t="s">
        <v>1181</v>
      </c>
      <c r="D3385">
        <v>2327</v>
      </c>
      <c r="E3385" s="126" t="s">
        <v>1610</v>
      </c>
      <c r="F3385" s="122" t="s">
        <v>1384</v>
      </c>
      <c r="G3385" s="122" t="s">
        <v>1625</v>
      </c>
      <c r="H3385">
        <v>652</v>
      </c>
      <c r="I3385" s="122" t="s">
        <v>1546</v>
      </c>
      <c r="J3385" s="307" t="s">
        <v>214</v>
      </c>
      <c r="K3385" s="127" t="s">
        <v>4112</v>
      </c>
      <c r="L3385" s="151" t="s">
        <v>1579</v>
      </c>
      <c r="M3385">
        <v>918</v>
      </c>
      <c r="N3385" s="123">
        <v>17</v>
      </c>
      <c r="O3385">
        <v>2210</v>
      </c>
      <c r="P3385" s="132" t="s">
        <v>77</v>
      </c>
      <c r="Q3385" s="131">
        <v>51.67</v>
      </c>
      <c r="R3385" s="131">
        <v>8.27</v>
      </c>
      <c r="S3385" s="131"/>
      <c r="T3385" s="155"/>
      <c r="U3385" s="131"/>
      <c r="V3385" s="131">
        <v>59.94</v>
      </c>
      <c r="W3385"/>
      <c r="X3385" s="151" t="s">
        <v>1644</v>
      </c>
      <c r="Y3385" s="135" t="s">
        <v>55</v>
      </c>
      <c r="Z3385" s="307">
        <v>238</v>
      </c>
      <c r="AB3385" t="str">
        <f>IF(Table1[[#This Row],[TIPO2]]="costo", VLOOKUP(Table1[[#This Row],[PARTIDA PRESUPUESTAL]],'Cost Report'!G:G,1,0),"Balance")</f>
        <v>3904-003</v>
      </c>
      <c r="AC3385" s="118"/>
      <c r="AD3385" s="159">
        <f>+Table1[[#This Row],[SUBTOTAL]]+Table1[[#This Row],[IVA]]-Table1[[#This Row],[RET IVA]]-Table1[[#This Row],[RET ISR]]-Table1[[#This Row],[TOTAL]]</f>
        <v>0</v>
      </c>
      <c r="AE3385" s="150"/>
      <c r="AF3385" s="151"/>
      <c r="AG3385" s="126" t="s">
        <v>3420</v>
      </c>
      <c r="AK3385" s="306" t="str">
        <f>IF(ISNUMBER(Table1[[#This Row],[FECHA DE RECIBIDO]]), Table1[[#This Row],[FECHA DE RECIBIDO]]-DATE(2023,8,30), "")</f>
        <v/>
      </c>
    </row>
    <row r="3386" spans="1:37" ht="15" customHeight="1">
      <c r="A3386" s="152" t="s">
        <v>4172</v>
      </c>
      <c r="B3386" s="153">
        <v>1171</v>
      </c>
      <c r="C3386" s="126" t="s">
        <v>2616</v>
      </c>
      <c r="D3386">
        <v>2328</v>
      </c>
      <c r="E3386" s="126" t="s">
        <v>3356</v>
      </c>
      <c r="F3386" s="125" t="s">
        <v>1607</v>
      </c>
      <c r="G3386" s="125" t="s">
        <v>134</v>
      </c>
      <c r="H3386">
        <v>142</v>
      </c>
      <c r="I3386" s="125" t="s">
        <v>1546</v>
      </c>
      <c r="J3386" s="308" t="s">
        <v>214</v>
      </c>
      <c r="K3386" s="127" t="s">
        <v>4112</v>
      </c>
      <c r="L3386" s="153" t="s">
        <v>1579</v>
      </c>
      <c r="M3386">
        <v>185</v>
      </c>
      <c r="N3386" s="123">
        <v>17</v>
      </c>
      <c r="O3386">
        <v>2217</v>
      </c>
      <c r="P3386" s="132" t="s">
        <v>77</v>
      </c>
      <c r="Q3386" s="132">
        <v>128.44999999999999</v>
      </c>
      <c r="R3386" s="132">
        <v>20.55</v>
      </c>
      <c r="S3386" s="132"/>
      <c r="T3386" s="156"/>
      <c r="U3386" s="132"/>
      <c r="V3386" s="132">
        <v>149</v>
      </c>
      <c r="W3386"/>
      <c r="X3386" s="153" t="s">
        <v>1644</v>
      </c>
      <c r="Y3386" s="124" t="s">
        <v>55</v>
      </c>
      <c r="Z3386" s="308">
        <v>238</v>
      </c>
      <c r="AB3386" t="str">
        <f>IF(Table1[[#This Row],[TIPO2]]="costo", VLOOKUP(Table1[[#This Row],[PARTIDA PRESUPUESTAL]],'Cost Report'!G:G,1,0),"Balance")</f>
        <v>2808-003</v>
      </c>
      <c r="AC3386" s="118"/>
      <c r="AD3386" s="159">
        <f>+Table1[[#This Row],[SUBTOTAL]]+Table1[[#This Row],[IVA]]-Table1[[#This Row],[RET IVA]]-Table1[[#This Row],[RET ISR]]-Table1[[#This Row],[TOTAL]]</f>
        <v>0</v>
      </c>
      <c r="AE3386" s="152"/>
      <c r="AF3386" s="153"/>
      <c r="AG3386" s="126" t="s">
        <v>3420</v>
      </c>
      <c r="AK3386" s="306" t="str">
        <f>IF(ISNUMBER(Table1[[#This Row],[FECHA DE RECIBIDO]]), Table1[[#This Row],[FECHA DE RECIBIDO]]-DATE(2023,8,30), "")</f>
        <v/>
      </c>
    </row>
    <row r="3387" spans="1:37" ht="15" customHeight="1">
      <c r="A3387" s="150" t="s">
        <v>4172</v>
      </c>
      <c r="B3387" s="151">
        <v>1171</v>
      </c>
      <c r="C3387" s="126" t="s">
        <v>2616</v>
      </c>
      <c r="D3387">
        <v>2329</v>
      </c>
      <c r="E3387" s="126" t="s">
        <v>1603</v>
      </c>
      <c r="F3387" s="122" t="s">
        <v>1607</v>
      </c>
      <c r="G3387" s="122" t="s">
        <v>134</v>
      </c>
      <c r="H3387">
        <v>459</v>
      </c>
      <c r="I3387" s="122" t="s">
        <v>1546</v>
      </c>
      <c r="J3387" s="307" t="s">
        <v>214</v>
      </c>
      <c r="K3387" s="127" t="s">
        <v>4112</v>
      </c>
      <c r="L3387" s="151" t="s">
        <v>1579</v>
      </c>
      <c r="M3387">
        <v>635</v>
      </c>
      <c r="N3387" s="123">
        <v>17</v>
      </c>
      <c r="O3387">
        <v>2218</v>
      </c>
      <c r="P3387" s="132" t="s">
        <v>77</v>
      </c>
      <c r="Q3387" s="131">
        <v>138.79</v>
      </c>
      <c r="R3387" s="131">
        <v>22.21</v>
      </c>
      <c r="S3387" s="131"/>
      <c r="T3387" s="155"/>
      <c r="U3387" s="131"/>
      <c r="V3387" s="131">
        <v>161</v>
      </c>
      <c r="W3387"/>
      <c r="X3387" s="151" t="s">
        <v>1644</v>
      </c>
      <c r="Y3387" s="135" t="s">
        <v>55</v>
      </c>
      <c r="Z3387" s="307">
        <v>240</v>
      </c>
      <c r="AB3387" t="str">
        <f>IF(Table1[[#This Row],[TIPO2]]="costo", VLOOKUP(Table1[[#This Row],[PARTIDA PRESUPUESTAL]],'Cost Report'!G:G,1,0),"Balance")</f>
        <v>2808-003</v>
      </c>
      <c r="AC3387" s="118"/>
      <c r="AD3387" s="159">
        <f>+Table1[[#This Row],[SUBTOTAL]]+Table1[[#This Row],[IVA]]-Table1[[#This Row],[RET IVA]]-Table1[[#This Row],[RET ISR]]-Table1[[#This Row],[TOTAL]]</f>
        <v>0</v>
      </c>
      <c r="AE3387" s="150"/>
      <c r="AF3387" s="151"/>
      <c r="AG3387" s="126" t="s">
        <v>3420</v>
      </c>
      <c r="AK3387" s="306" t="str">
        <f>IF(ISNUMBER(Table1[[#This Row],[FECHA DE RECIBIDO]]), Table1[[#This Row],[FECHA DE RECIBIDO]]-DATE(2023,8,30), "")</f>
        <v/>
      </c>
    </row>
    <row r="3388" spans="1:37" ht="15" customHeight="1">
      <c r="A3388" s="152" t="s">
        <v>4172</v>
      </c>
      <c r="B3388" s="153">
        <v>1171</v>
      </c>
      <c r="C3388" s="126" t="s">
        <v>2616</v>
      </c>
      <c r="D3388">
        <v>2330</v>
      </c>
      <c r="E3388" s="126" t="s">
        <v>1603</v>
      </c>
      <c r="F3388" s="125" t="s">
        <v>1607</v>
      </c>
      <c r="G3388" s="125" t="s">
        <v>134</v>
      </c>
      <c r="H3388">
        <v>459</v>
      </c>
      <c r="I3388" s="125" t="s">
        <v>1546</v>
      </c>
      <c r="J3388" s="308" t="s">
        <v>214</v>
      </c>
      <c r="K3388" s="127" t="s">
        <v>4112</v>
      </c>
      <c r="L3388" s="153" t="s">
        <v>1579</v>
      </c>
      <c r="M3388">
        <v>635</v>
      </c>
      <c r="N3388" s="123">
        <v>17</v>
      </c>
      <c r="O3388">
        <v>2219</v>
      </c>
      <c r="P3388" s="132" t="s">
        <v>77</v>
      </c>
      <c r="Q3388" s="132">
        <v>35.340000000000003</v>
      </c>
      <c r="R3388" s="132">
        <v>5.65</v>
      </c>
      <c r="S3388" s="132"/>
      <c r="T3388" s="156"/>
      <c r="U3388" s="132"/>
      <c r="V3388" s="132">
        <v>40.99</v>
      </c>
      <c r="W3388"/>
      <c r="X3388" s="153" t="s">
        <v>1644</v>
      </c>
      <c r="Y3388" s="124" t="s">
        <v>55</v>
      </c>
      <c r="Z3388" s="308">
        <v>243</v>
      </c>
      <c r="AB3388" t="str">
        <f>IF(Table1[[#This Row],[TIPO2]]="costo", VLOOKUP(Table1[[#This Row],[PARTIDA PRESUPUESTAL]],'Cost Report'!G:G,1,0),"Balance")</f>
        <v>2808-003</v>
      </c>
      <c r="AC3388" s="118"/>
      <c r="AD3388" s="159">
        <f>+Table1[[#This Row],[SUBTOTAL]]+Table1[[#This Row],[IVA]]-Table1[[#This Row],[RET IVA]]-Table1[[#This Row],[RET ISR]]-Table1[[#This Row],[TOTAL]]</f>
        <v>0</v>
      </c>
      <c r="AE3388" s="152"/>
      <c r="AF3388" s="153"/>
      <c r="AG3388" s="126" t="s">
        <v>3420</v>
      </c>
      <c r="AK3388" s="306" t="str">
        <f>IF(ISNUMBER(Table1[[#This Row],[FECHA DE RECIBIDO]]), Table1[[#This Row],[FECHA DE RECIBIDO]]-DATE(2023,8,30), "")</f>
        <v/>
      </c>
    </row>
    <row r="3389" spans="1:37" ht="15" customHeight="1">
      <c r="A3389" s="150" t="s">
        <v>4172</v>
      </c>
      <c r="B3389" s="151">
        <v>1171</v>
      </c>
      <c r="C3389" s="126" t="s">
        <v>2616</v>
      </c>
      <c r="D3389">
        <v>2331</v>
      </c>
      <c r="E3389" s="126" t="s">
        <v>1598</v>
      </c>
      <c r="F3389" s="122" t="s">
        <v>1607</v>
      </c>
      <c r="G3389" s="122" t="s">
        <v>134</v>
      </c>
      <c r="H3389">
        <v>101</v>
      </c>
      <c r="I3389" s="122" t="s">
        <v>1546</v>
      </c>
      <c r="J3389" s="307" t="s">
        <v>214</v>
      </c>
      <c r="K3389" s="127" t="s">
        <v>4112</v>
      </c>
      <c r="L3389" s="151" t="s">
        <v>1579</v>
      </c>
      <c r="M3389">
        <v>136</v>
      </c>
      <c r="N3389" s="123">
        <v>17</v>
      </c>
      <c r="O3389">
        <v>2220</v>
      </c>
      <c r="P3389" s="132" t="s">
        <v>77</v>
      </c>
      <c r="Q3389" s="131">
        <v>602.59</v>
      </c>
      <c r="R3389" s="131">
        <v>96.41</v>
      </c>
      <c r="S3389" s="131"/>
      <c r="T3389" s="155"/>
      <c r="U3389" s="131"/>
      <c r="V3389" s="131">
        <v>699</v>
      </c>
      <c r="W3389"/>
      <c r="X3389" s="151" t="s">
        <v>1644</v>
      </c>
      <c r="Y3389" s="135" t="s">
        <v>55</v>
      </c>
      <c r="Z3389" s="307">
        <v>240</v>
      </c>
      <c r="AB3389" t="str">
        <f>IF(Table1[[#This Row],[TIPO2]]="costo", VLOOKUP(Table1[[#This Row],[PARTIDA PRESUPUESTAL]],'Cost Report'!G:G,1,0),"Balance")</f>
        <v>2808-003</v>
      </c>
      <c r="AC3389" s="118"/>
      <c r="AD3389" s="159">
        <f>+Table1[[#This Row],[SUBTOTAL]]+Table1[[#This Row],[IVA]]-Table1[[#This Row],[RET IVA]]-Table1[[#This Row],[RET ISR]]-Table1[[#This Row],[TOTAL]]</f>
        <v>0</v>
      </c>
      <c r="AE3389" s="150"/>
      <c r="AF3389" s="151"/>
      <c r="AG3389" s="126" t="s">
        <v>3420</v>
      </c>
      <c r="AK3389" s="306" t="str">
        <f>IF(ISNUMBER(Table1[[#This Row],[FECHA DE RECIBIDO]]), Table1[[#This Row],[FECHA DE RECIBIDO]]-DATE(2023,8,30), "")</f>
        <v/>
      </c>
    </row>
    <row r="3390" spans="1:37" ht="15" customHeight="1">
      <c r="A3390" s="152" t="s">
        <v>4172</v>
      </c>
      <c r="B3390" s="153">
        <v>1171</v>
      </c>
      <c r="C3390" s="126" t="s">
        <v>2616</v>
      </c>
      <c r="D3390">
        <v>2332</v>
      </c>
      <c r="E3390" s="126" t="s">
        <v>1609</v>
      </c>
      <c r="F3390" s="125" t="s">
        <v>1602</v>
      </c>
      <c r="G3390" s="125" t="s">
        <v>1617</v>
      </c>
      <c r="H3390">
        <v>225</v>
      </c>
      <c r="I3390" s="125" t="s">
        <v>1546</v>
      </c>
      <c r="J3390" s="308" t="s">
        <v>214</v>
      </c>
      <c r="K3390" s="127" t="s">
        <v>4112</v>
      </c>
      <c r="L3390" s="153" t="s">
        <v>1579</v>
      </c>
      <c r="M3390">
        <v>292</v>
      </c>
      <c r="N3390" s="123">
        <v>17</v>
      </c>
      <c r="O3390">
        <v>2221</v>
      </c>
      <c r="P3390" s="132" t="s">
        <v>77</v>
      </c>
      <c r="Q3390" s="132">
        <v>1993.29</v>
      </c>
      <c r="R3390" s="132">
        <v>318.93</v>
      </c>
      <c r="S3390" s="132"/>
      <c r="T3390" s="156"/>
      <c r="U3390" s="132">
        <v>212.62</v>
      </c>
      <c r="V3390" s="132">
        <v>2099.6</v>
      </c>
      <c r="W3390"/>
      <c r="X3390" s="153" t="s">
        <v>1644</v>
      </c>
      <c r="Y3390" s="124" t="s">
        <v>55</v>
      </c>
      <c r="Z3390" s="308">
        <v>239</v>
      </c>
      <c r="AB3390" t="str">
        <f>IF(Table1[[#This Row],[TIPO2]]="costo", VLOOKUP(Table1[[#This Row],[PARTIDA PRESUPUESTAL]],'Cost Report'!G:G,1,0),"Balance")</f>
        <v>2808-003</v>
      </c>
      <c r="AC3390" s="118"/>
      <c r="AD3390" s="159">
        <f>+Table1[[#This Row],[SUBTOTAL]]+Table1[[#This Row],[IVA]]-Table1[[#This Row],[RET IVA]]-Table1[[#This Row],[RET ISR]]-Table1[[#This Row],[TOTAL]]</f>
        <v>0</v>
      </c>
      <c r="AE3390" s="152"/>
      <c r="AF3390" s="153"/>
      <c r="AG3390" s="126" t="s">
        <v>3420</v>
      </c>
      <c r="AK3390" s="306" t="str">
        <f>IF(ISNUMBER(Table1[[#This Row],[FECHA DE RECIBIDO]]), Table1[[#This Row],[FECHA DE RECIBIDO]]-DATE(2023,8,30), "")</f>
        <v/>
      </c>
    </row>
    <row r="3391" spans="1:37" ht="15" customHeight="1">
      <c r="A3391" s="150" t="s">
        <v>4172</v>
      </c>
      <c r="B3391" s="151">
        <v>1171</v>
      </c>
      <c r="C3391" s="126" t="s">
        <v>2616</v>
      </c>
      <c r="D3391">
        <v>2333</v>
      </c>
      <c r="E3391" s="126" t="s">
        <v>1992</v>
      </c>
      <c r="F3391" s="122" t="s">
        <v>1589</v>
      </c>
      <c r="G3391" s="122" t="s">
        <v>129</v>
      </c>
      <c r="H3391">
        <v>226</v>
      </c>
      <c r="I3391" s="122" t="s">
        <v>1546</v>
      </c>
      <c r="J3391" s="307" t="s">
        <v>214</v>
      </c>
      <c r="K3391" s="127" t="s">
        <v>4112</v>
      </c>
      <c r="L3391" s="151" t="s">
        <v>1579</v>
      </c>
      <c r="M3391">
        <v>919</v>
      </c>
      <c r="N3391" s="123">
        <v>17</v>
      </c>
      <c r="O3391">
        <v>2222</v>
      </c>
      <c r="P3391" s="132" t="s">
        <v>77</v>
      </c>
      <c r="Q3391" s="131">
        <v>876.96</v>
      </c>
      <c r="R3391" s="131">
        <v>140.31</v>
      </c>
      <c r="S3391" s="131"/>
      <c r="T3391" s="155"/>
      <c r="U3391" s="131"/>
      <c r="V3391" s="131">
        <v>1017.27</v>
      </c>
      <c r="W3391"/>
      <c r="X3391" s="151" t="s">
        <v>1644</v>
      </c>
      <c r="Y3391" s="135" t="s">
        <v>55</v>
      </c>
      <c r="Z3391" s="307">
        <v>243</v>
      </c>
      <c r="AB3391" t="str">
        <f>IF(Table1[[#This Row],[TIPO2]]="costo", VLOOKUP(Table1[[#This Row],[PARTIDA PRESUPUESTAL]],'Cost Report'!G:G,1,0),"Balance")</f>
        <v>2808-003</v>
      </c>
      <c r="AC3391" s="118"/>
      <c r="AD3391" s="159">
        <f>+Table1[[#This Row],[SUBTOTAL]]+Table1[[#This Row],[IVA]]-Table1[[#This Row],[RET IVA]]-Table1[[#This Row],[RET ISR]]-Table1[[#This Row],[TOTAL]]</f>
        <v>0</v>
      </c>
      <c r="AE3391" s="150"/>
      <c r="AF3391" s="151"/>
      <c r="AG3391" s="126" t="s">
        <v>3420</v>
      </c>
      <c r="AK3391" s="306" t="str">
        <f>IF(ISNUMBER(Table1[[#This Row],[FECHA DE RECIBIDO]]), Table1[[#This Row],[FECHA DE RECIBIDO]]-DATE(2023,8,30), "")</f>
        <v/>
      </c>
    </row>
    <row r="3392" spans="1:37" ht="15" customHeight="1">
      <c r="A3392" s="152" t="s">
        <v>4172</v>
      </c>
      <c r="B3392" s="153">
        <v>1171</v>
      </c>
      <c r="C3392" s="126" t="s">
        <v>2616</v>
      </c>
      <c r="D3392">
        <v>2334</v>
      </c>
      <c r="E3392" s="126" t="s">
        <v>1603</v>
      </c>
      <c r="F3392" s="125" t="s">
        <v>1593</v>
      </c>
      <c r="G3392" s="125" t="s">
        <v>109</v>
      </c>
      <c r="H3392">
        <v>653</v>
      </c>
      <c r="I3392" s="125" t="s">
        <v>1546</v>
      </c>
      <c r="J3392" s="308" t="s">
        <v>214</v>
      </c>
      <c r="K3392" s="127" t="s">
        <v>4112</v>
      </c>
      <c r="L3392" s="153" t="s">
        <v>1579</v>
      </c>
      <c r="M3392">
        <v>920</v>
      </c>
      <c r="N3392" s="123">
        <v>17</v>
      </c>
      <c r="O3392">
        <v>2223</v>
      </c>
      <c r="P3392" s="132" t="s">
        <v>77</v>
      </c>
      <c r="Q3392" s="132">
        <v>418.3</v>
      </c>
      <c r="R3392" s="132">
        <v>66.930000000000007</v>
      </c>
      <c r="S3392" s="132"/>
      <c r="T3392" s="156"/>
      <c r="U3392" s="132">
        <v>5.23</v>
      </c>
      <c r="V3392" s="132">
        <v>480</v>
      </c>
      <c r="W3392"/>
      <c r="X3392" s="153" t="s">
        <v>1644</v>
      </c>
      <c r="Y3392" s="124" t="s">
        <v>55</v>
      </c>
      <c r="Z3392" s="308">
        <v>243</v>
      </c>
      <c r="AB3392" t="str">
        <f>IF(Table1[[#This Row],[TIPO2]]="costo", VLOOKUP(Table1[[#This Row],[PARTIDA PRESUPUESTAL]],'Cost Report'!G:G,1,0),"Balance")</f>
        <v>2808-003</v>
      </c>
      <c r="AC3392" s="118"/>
      <c r="AD3392" s="159">
        <f>+Table1[[#This Row],[SUBTOTAL]]+Table1[[#This Row],[IVA]]-Table1[[#This Row],[RET IVA]]-Table1[[#This Row],[RET ISR]]-Table1[[#This Row],[TOTAL]]</f>
        <v>0</v>
      </c>
      <c r="AE3392" s="152"/>
      <c r="AF3392" s="153"/>
      <c r="AG3392" s="126" t="s">
        <v>3420</v>
      </c>
      <c r="AK3392" s="306" t="str">
        <f>IF(ISNUMBER(Table1[[#This Row],[FECHA DE RECIBIDO]]), Table1[[#This Row],[FECHA DE RECIBIDO]]-DATE(2023,8,30), "")</f>
        <v/>
      </c>
    </row>
    <row r="3393" spans="1:37" ht="15" customHeight="1">
      <c r="A3393" s="150" t="s">
        <v>4172</v>
      </c>
      <c r="B3393" s="151">
        <v>1171</v>
      </c>
      <c r="C3393" s="126" t="s">
        <v>2616</v>
      </c>
      <c r="D3393">
        <v>2335</v>
      </c>
      <c r="E3393" s="126" t="s">
        <v>1598</v>
      </c>
      <c r="F3393" s="122" t="s">
        <v>1607</v>
      </c>
      <c r="G3393" s="122" t="s">
        <v>134</v>
      </c>
      <c r="H3393">
        <v>141</v>
      </c>
      <c r="I3393" s="122" t="s">
        <v>1546</v>
      </c>
      <c r="J3393" s="307" t="s">
        <v>214</v>
      </c>
      <c r="K3393" s="127" t="s">
        <v>4112</v>
      </c>
      <c r="L3393" s="151" t="s">
        <v>1579</v>
      </c>
      <c r="M3393">
        <v>296</v>
      </c>
      <c r="N3393" s="123">
        <v>17</v>
      </c>
      <c r="O3393">
        <v>2224</v>
      </c>
      <c r="P3393" s="132" t="s">
        <v>77</v>
      </c>
      <c r="Q3393" s="131">
        <v>1180.17</v>
      </c>
      <c r="R3393" s="131">
        <v>188.83</v>
      </c>
      <c r="S3393" s="131"/>
      <c r="T3393" s="155"/>
      <c r="U3393" s="131"/>
      <c r="V3393" s="131">
        <v>1369</v>
      </c>
      <c r="W3393"/>
      <c r="X3393" s="151" t="s">
        <v>1644</v>
      </c>
      <c r="Y3393" s="135" t="s">
        <v>55</v>
      </c>
      <c r="Z3393" s="307">
        <v>240</v>
      </c>
      <c r="AB3393" t="str">
        <f>IF(Table1[[#This Row],[TIPO2]]="costo", VLOOKUP(Table1[[#This Row],[PARTIDA PRESUPUESTAL]],'Cost Report'!G:G,1,0),"Balance")</f>
        <v>2808-003</v>
      </c>
      <c r="AC3393" s="118"/>
      <c r="AD3393" s="159">
        <f>+Table1[[#This Row],[SUBTOTAL]]+Table1[[#This Row],[IVA]]-Table1[[#This Row],[RET IVA]]-Table1[[#This Row],[RET ISR]]-Table1[[#This Row],[TOTAL]]</f>
        <v>0</v>
      </c>
      <c r="AE3393" s="150"/>
      <c r="AF3393" s="151"/>
      <c r="AG3393" s="126" t="s">
        <v>3420</v>
      </c>
      <c r="AK3393" s="306" t="str">
        <f>IF(ISNUMBER(Table1[[#This Row],[FECHA DE RECIBIDO]]), Table1[[#This Row],[FECHA DE RECIBIDO]]-DATE(2023,8,30), "")</f>
        <v/>
      </c>
    </row>
    <row r="3394" spans="1:37" ht="15" customHeight="1">
      <c r="A3394" s="152" t="s">
        <v>4172</v>
      </c>
      <c r="B3394" s="153">
        <v>1171</v>
      </c>
      <c r="C3394" s="126" t="s">
        <v>2616</v>
      </c>
      <c r="D3394">
        <v>2336</v>
      </c>
      <c r="E3394" s="126" t="s">
        <v>1603</v>
      </c>
      <c r="F3394" s="125" t="s">
        <v>1607</v>
      </c>
      <c r="G3394" s="125" t="s">
        <v>134</v>
      </c>
      <c r="H3394">
        <v>56</v>
      </c>
      <c r="I3394" s="125" t="s">
        <v>1546</v>
      </c>
      <c r="J3394" s="308" t="s">
        <v>214</v>
      </c>
      <c r="K3394" s="127" t="s">
        <v>4112</v>
      </c>
      <c r="L3394" s="153" t="s">
        <v>1579</v>
      </c>
      <c r="M3394">
        <v>184</v>
      </c>
      <c r="N3394" s="123">
        <v>17</v>
      </c>
      <c r="O3394">
        <v>2225</v>
      </c>
      <c r="P3394" s="132" t="s">
        <v>77</v>
      </c>
      <c r="Q3394" s="132">
        <v>204.31</v>
      </c>
      <c r="R3394" s="132">
        <v>32.69</v>
      </c>
      <c r="S3394" s="132"/>
      <c r="T3394" s="156"/>
      <c r="U3394" s="132"/>
      <c r="V3394" s="132">
        <v>237</v>
      </c>
      <c r="W3394"/>
      <c r="X3394" s="153" t="s">
        <v>1644</v>
      </c>
      <c r="Y3394" s="124" t="s">
        <v>55</v>
      </c>
      <c r="Z3394" s="308">
        <v>232</v>
      </c>
      <c r="AB3394" t="str">
        <f>IF(Table1[[#This Row],[TIPO2]]="costo", VLOOKUP(Table1[[#This Row],[PARTIDA PRESUPUESTAL]],'Cost Report'!G:G,1,0),"Balance")</f>
        <v>2808-003</v>
      </c>
      <c r="AC3394" s="118"/>
      <c r="AD3394" s="159">
        <f>+Table1[[#This Row],[SUBTOTAL]]+Table1[[#This Row],[IVA]]-Table1[[#This Row],[RET IVA]]-Table1[[#This Row],[RET ISR]]-Table1[[#This Row],[TOTAL]]</f>
        <v>0</v>
      </c>
      <c r="AE3394" s="152"/>
      <c r="AF3394" s="153"/>
      <c r="AG3394" s="126" t="s">
        <v>3420</v>
      </c>
      <c r="AK3394" s="306" t="str">
        <f>IF(ISNUMBER(Table1[[#This Row],[FECHA DE RECIBIDO]]), Table1[[#This Row],[FECHA DE RECIBIDO]]-DATE(2023,8,30), "")</f>
        <v/>
      </c>
    </row>
    <row r="3395" spans="1:37" ht="15" customHeight="1">
      <c r="A3395" s="150" t="s">
        <v>4173</v>
      </c>
      <c r="B3395" s="151">
        <v>1172</v>
      </c>
      <c r="C3395" s="126" t="s">
        <v>1505</v>
      </c>
      <c r="D3395">
        <v>2337</v>
      </c>
      <c r="E3395" s="126" t="s">
        <v>3237</v>
      </c>
      <c r="F3395" s="122" t="s">
        <v>1593</v>
      </c>
      <c r="G3395" s="122" t="s">
        <v>109</v>
      </c>
      <c r="H3395">
        <v>614</v>
      </c>
      <c r="I3395" s="122" t="s">
        <v>1546</v>
      </c>
      <c r="J3395" s="307" t="s">
        <v>214</v>
      </c>
      <c r="K3395" s="127" t="s">
        <v>4112</v>
      </c>
      <c r="L3395" s="151" t="s">
        <v>1579</v>
      </c>
      <c r="M3395">
        <v>869</v>
      </c>
      <c r="N3395" s="123">
        <v>17</v>
      </c>
      <c r="O3395">
        <v>2226</v>
      </c>
      <c r="P3395" s="132" t="s">
        <v>77</v>
      </c>
      <c r="Q3395" s="131">
        <v>1755.53</v>
      </c>
      <c r="R3395" s="131">
        <v>284.44</v>
      </c>
      <c r="S3395" s="131"/>
      <c r="T3395" s="155"/>
      <c r="U3395" s="131"/>
      <c r="V3395" s="131">
        <v>2039.97</v>
      </c>
      <c r="W3395"/>
      <c r="X3395" s="151" t="s">
        <v>1644</v>
      </c>
      <c r="Y3395" s="135" t="s">
        <v>55</v>
      </c>
      <c r="Z3395" s="307">
        <v>231</v>
      </c>
      <c r="AB3395" t="str">
        <f>IF(Table1[[#This Row],[TIPO2]]="costo", VLOOKUP(Table1[[#This Row],[PARTIDA PRESUPUESTAL]],'Cost Report'!G:G,1,0),"Balance")</f>
        <v>2494-003</v>
      </c>
      <c r="AC3395" s="118"/>
      <c r="AD3395" s="159">
        <f>+Table1[[#This Row],[SUBTOTAL]]+Table1[[#This Row],[IVA]]-Table1[[#This Row],[RET IVA]]-Table1[[#This Row],[RET ISR]]-Table1[[#This Row],[TOTAL]]</f>
        <v>0</v>
      </c>
      <c r="AE3395" s="150"/>
      <c r="AF3395" s="151"/>
      <c r="AG3395" s="126" t="s">
        <v>3420</v>
      </c>
      <c r="AK3395" s="306" t="str">
        <f>IF(ISNUMBER(Table1[[#This Row],[FECHA DE RECIBIDO]]), Table1[[#This Row],[FECHA DE RECIBIDO]]-DATE(2023,8,30), "")</f>
        <v/>
      </c>
    </row>
    <row r="3396" spans="1:37" ht="15" customHeight="1">
      <c r="A3396" s="152" t="s">
        <v>4173</v>
      </c>
      <c r="B3396" s="153">
        <v>1172</v>
      </c>
      <c r="C3396" s="126" t="s">
        <v>1505</v>
      </c>
      <c r="D3396">
        <v>2338</v>
      </c>
      <c r="E3396" s="126" t="s">
        <v>1603</v>
      </c>
      <c r="F3396" s="125" t="s">
        <v>1607</v>
      </c>
      <c r="G3396" s="125" t="s">
        <v>134</v>
      </c>
      <c r="H3396">
        <v>274</v>
      </c>
      <c r="I3396" s="125" t="s">
        <v>1546</v>
      </c>
      <c r="J3396" s="308" t="s">
        <v>214</v>
      </c>
      <c r="K3396" s="127" t="s">
        <v>4112</v>
      </c>
      <c r="L3396" s="153" t="s">
        <v>1579</v>
      </c>
      <c r="M3396">
        <v>365</v>
      </c>
      <c r="N3396" s="123">
        <v>17</v>
      </c>
      <c r="O3396">
        <v>2227</v>
      </c>
      <c r="P3396" s="132" t="s">
        <v>77</v>
      </c>
      <c r="Q3396" s="132">
        <v>110.34</v>
      </c>
      <c r="R3396" s="132">
        <v>17.66</v>
      </c>
      <c r="S3396" s="132"/>
      <c r="T3396" s="156"/>
      <c r="U3396" s="132"/>
      <c r="V3396" s="132">
        <v>128</v>
      </c>
      <c r="W3396"/>
      <c r="X3396" s="153" t="s">
        <v>1644</v>
      </c>
      <c r="Y3396" s="124" t="s">
        <v>55</v>
      </c>
      <c r="Z3396" s="308">
        <v>230</v>
      </c>
      <c r="AB3396" t="str">
        <f>IF(Table1[[#This Row],[TIPO2]]="costo", VLOOKUP(Table1[[#This Row],[PARTIDA PRESUPUESTAL]],'Cost Report'!G:G,1,0),"Balance")</f>
        <v>2494-003</v>
      </c>
      <c r="AC3396" s="118"/>
      <c r="AD3396" s="159">
        <f>+Table1[[#This Row],[SUBTOTAL]]+Table1[[#This Row],[IVA]]-Table1[[#This Row],[RET IVA]]-Table1[[#This Row],[RET ISR]]-Table1[[#This Row],[TOTAL]]</f>
        <v>0</v>
      </c>
      <c r="AE3396" s="152"/>
      <c r="AF3396" s="153"/>
      <c r="AG3396" s="126" t="s">
        <v>3420</v>
      </c>
      <c r="AK3396" s="306" t="str">
        <f>IF(ISNUMBER(Table1[[#This Row],[FECHA DE RECIBIDO]]), Table1[[#This Row],[FECHA DE RECIBIDO]]-DATE(2023,8,30), "")</f>
        <v/>
      </c>
    </row>
    <row r="3397" spans="1:37" ht="15" customHeight="1">
      <c r="A3397" s="150" t="s">
        <v>4173</v>
      </c>
      <c r="B3397" s="151">
        <v>1172</v>
      </c>
      <c r="C3397" s="126" t="s">
        <v>1505</v>
      </c>
      <c r="D3397">
        <v>2339</v>
      </c>
      <c r="E3397" s="126" t="s">
        <v>1614</v>
      </c>
      <c r="F3397" s="122" t="s">
        <v>1589</v>
      </c>
      <c r="G3397" s="122" t="s">
        <v>129</v>
      </c>
      <c r="H3397">
        <v>654</v>
      </c>
      <c r="I3397" s="122" t="s">
        <v>1546</v>
      </c>
      <c r="J3397" s="307" t="s">
        <v>214</v>
      </c>
      <c r="K3397" s="127" t="s">
        <v>4112</v>
      </c>
      <c r="L3397" s="151" t="s">
        <v>1579</v>
      </c>
      <c r="M3397">
        <v>921</v>
      </c>
      <c r="N3397" s="123">
        <v>17</v>
      </c>
      <c r="O3397">
        <v>2228</v>
      </c>
      <c r="P3397" s="132" t="s">
        <v>77</v>
      </c>
      <c r="Q3397" s="131">
        <v>6762.5</v>
      </c>
      <c r="R3397" s="131">
        <v>1082</v>
      </c>
      <c r="S3397" s="131"/>
      <c r="T3397" s="155"/>
      <c r="U3397" s="131"/>
      <c r="V3397" s="131">
        <v>7844.5</v>
      </c>
      <c r="W3397"/>
      <c r="X3397" s="151" t="s">
        <v>1644</v>
      </c>
      <c r="Y3397" s="135" t="s">
        <v>55</v>
      </c>
      <c r="Z3397" s="307">
        <v>237</v>
      </c>
      <c r="AB3397" t="str">
        <f>IF(Table1[[#This Row],[TIPO2]]="costo", VLOOKUP(Table1[[#This Row],[PARTIDA PRESUPUESTAL]],'Cost Report'!G:G,1,0),"Balance")</f>
        <v>2494-003</v>
      </c>
      <c r="AC3397" s="118"/>
      <c r="AD3397" s="159">
        <f>+Table1[[#This Row],[SUBTOTAL]]+Table1[[#This Row],[IVA]]-Table1[[#This Row],[RET IVA]]-Table1[[#This Row],[RET ISR]]-Table1[[#This Row],[TOTAL]]</f>
        <v>0</v>
      </c>
      <c r="AE3397" s="150"/>
      <c r="AF3397" s="151"/>
      <c r="AG3397" s="126" t="s">
        <v>3420</v>
      </c>
      <c r="AK3397" s="306" t="str">
        <f>IF(ISNUMBER(Table1[[#This Row],[FECHA DE RECIBIDO]]), Table1[[#This Row],[FECHA DE RECIBIDO]]-DATE(2023,8,30), "")</f>
        <v/>
      </c>
    </row>
    <row r="3398" spans="1:37" ht="15" customHeight="1">
      <c r="A3398" s="152" t="s">
        <v>4173</v>
      </c>
      <c r="B3398" s="153">
        <v>1172</v>
      </c>
      <c r="C3398" s="126" t="s">
        <v>1505</v>
      </c>
      <c r="D3398">
        <v>2340</v>
      </c>
      <c r="E3398" s="126" t="s">
        <v>1614</v>
      </c>
      <c r="F3398" s="125" t="s">
        <v>1589</v>
      </c>
      <c r="G3398" s="125" t="s">
        <v>129</v>
      </c>
      <c r="H3398">
        <v>654</v>
      </c>
      <c r="I3398" s="125" t="s">
        <v>1546</v>
      </c>
      <c r="J3398" s="308" t="s">
        <v>214</v>
      </c>
      <c r="K3398" s="127" t="s">
        <v>4112</v>
      </c>
      <c r="L3398" s="153" t="s">
        <v>1579</v>
      </c>
      <c r="M3398">
        <v>921</v>
      </c>
      <c r="N3398" s="123">
        <v>17</v>
      </c>
      <c r="O3398">
        <v>2229</v>
      </c>
      <c r="P3398" s="132" t="s">
        <v>77</v>
      </c>
      <c r="Q3398" s="132">
        <v>3300</v>
      </c>
      <c r="R3398" s="132">
        <v>528</v>
      </c>
      <c r="S3398" s="132"/>
      <c r="T3398" s="156"/>
      <c r="U3398" s="132"/>
      <c r="V3398" s="132">
        <v>3828</v>
      </c>
      <c r="W3398"/>
      <c r="X3398" s="153" t="s">
        <v>1644</v>
      </c>
      <c r="Y3398" s="124" t="s">
        <v>55</v>
      </c>
      <c r="Z3398" s="308">
        <v>237</v>
      </c>
      <c r="AB3398" t="str">
        <f>IF(Table1[[#This Row],[TIPO2]]="costo", VLOOKUP(Table1[[#This Row],[PARTIDA PRESUPUESTAL]],'Cost Report'!G:G,1,0),"Balance")</f>
        <v>2494-003</v>
      </c>
      <c r="AC3398" s="118"/>
      <c r="AD3398" s="159">
        <f>+Table1[[#This Row],[SUBTOTAL]]+Table1[[#This Row],[IVA]]-Table1[[#This Row],[RET IVA]]-Table1[[#This Row],[RET ISR]]-Table1[[#This Row],[TOTAL]]</f>
        <v>0</v>
      </c>
      <c r="AE3398" s="152"/>
      <c r="AF3398" s="153"/>
      <c r="AG3398" s="126" t="s">
        <v>3420</v>
      </c>
      <c r="AK3398" s="306" t="str">
        <f>IF(ISNUMBER(Table1[[#This Row],[FECHA DE RECIBIDO]]), Table1[[#This Row],[FECHA DE RECIBIDO]]-DATE(2023,8,30), "")</f>
        <v/>
      </c>
    </row>
    <row r="3399" spans="1:37" ht="15" customHeight="1">
      <c r="A3399" s="150" t="s">
        <v>4174</v>
      </c>
      <c r="B3399" s="151">
        <v>1173</v>
      </c>
      <c r="C3399" s="126" t="s">
        <v>1505</v>
      </c>
      <c r="D3399">
        <v>2341</v>
      </c>
      <c r="E3399" s="126" t="s">
        <v>1598</v>
      </c>
      <c r="F3399" s="122" t="s">
        <v>1607</v>
      </c>
      <c r="G3399" s="122" t="s">
        <v>134</v>
      </c>
      <c r="H3399">
        <v>156</v>
      </c>
      <c r="I3399" s="122" t="s">
        <v>1546</v>
      </c>
      <c r="J3399" s="307" t="s">
        <v>214</v>
      </c>
      <c r="K3399" s="127" t="s">
        <v>4112</v>
      </c>
      <c r="L3399" s="151" t="s">
        <v>1579</v>
      </c>
      <c r="M3399">
        <v>207</v>
      </c>
      <c r="N3399" s="123">
        <v>17</v>
      </c>
      <c r="O3399">
        <v>2230</v>
      </c>
      <c r="P3399" s="132" t="s">
        <v>77</v>
      </c>
      <c r="Q3399" s="131">
        <v>5861.34</v>
      </c>
      <c r="R3399" s="131">
        <v>937.81</v>
      </c>
      <c r="S3399" s="131"/>
      <c r="T3399" s="155"/>
      <c r="U3399" s="131"/>
      <c r="V3399" s="131">
        <v>6799.15</v>
      </c>
      <c r="W3399"/>
      <c r="X3399" s="151" t="s">
        <v>1644</v>
      </c>
      <c r="Y3399" s="135" t="s">
        <v>55</v>
      </c>
      <c r="Z3399" s="307">
        <v>230</v>
      </c>
      <c r="AB3399" t="str">
        <f>IF(Table1[[#This Row],[TIPO2]]="costo", VLOOKUP(Table1[[#This Row],[PARTIDA PRESUPUESTAL]],'Cost Report'!G:G,1,0),"Balance")</f>
        <v>2494-003</v>
      </c>
      <c r="AC3399" s="118"/>
      <c r="AD3399" s="159">
        <f>+Table1[[#This Row],[SUBTOTAL]]+Table1[[#This Row],[IVA]]-Table1[[#This Row],[RET IVA]]-Table1[[#This Row],[RET ISR]]-Table1[[#This Row],[TOTAL]]</f>
        <v>0</v>
      </c>
      <c r="AE3399" s="150"/>
      <c r="AF3399" s="151"/>
      <c r="AG3399" s="126" t="s">
        <v>3420</v>
      </c>
      <c r="AK3399" s="306" t="str">
        <f>IF(ISNUMBER(Table1[[#This Row],[FECHA DE RECIBIDO]]), Table1[[#This Row],[FECHA DE RECIBIDO]]-DATE(2023,8,30), "")</f>
        <v/>
      </c>
    </row>
    <row r="3400" spans="1:37" ht="15" customHeight="1">
      <c r="A3400" s="152" t="s">
        <v>4174</v>
      </c>
      <c r="B3400" s="153">
        <v>1173</v>
      </c>
      <c r="C3400" s="126" t="s">
        <v>2540</v>
      </c>
      <c r="D3400">
        <v>2342</v>
      </c>
      <c r="E3400" s="126" t="s">
        <v>4205</v>
      </c>
      <c r="F3400" s="125" t="s">
        <v>1607</v>
      </c>
      <c r="G3400" s="125" t="s">
        <v>134</v>
      </c>
      <c r="H3400">
        <v>139</v>
      </c>
      <c r="I3400" s="125" t="s">
        <v>1546</v>
      </c>
      <c r="J3400" s="308" t="s">
        <v>214</v>
      </c>
      <c r="K3400" s="127" t="s">
        <v>4112</v>
      </c>
      <c r="L3400" s="153" t="s">
        <v>1579</v>
      </c>
      <c r="M3400">
        <v>181</v>
      </c>
      <c r="N3400" s="123">
        <v>17</v>
      </c>
      <c r="O3400">
        <v>2231</v>
      </c>
      <c r="P3400" s="132" t="s">
        <v>77</v>
      </c>
      <c r="Q3400" s="132">
        <v>1089.6199999999999</v>
      </c>
      <c r="R3400" s="132">
        <v>174.34</v>
      </c>
      <c r="S3400" s="132"/>
      <c r="T3400" s="156"/>
      <c r="U3400" s="132"/>
      <c r="V3400" s="132">
        <v>1263.9599999999998</v>
      </c>
      <c r="W3400"/>
      <c r="X3400" s="153" t="s">
        <v>1644</v>
      </c>
      <c r="Y3400" s="124" t="s">
        <v>55</v>
      </c>
      <c r="Z3400" s="308">
        <v>233</v>
      </c>
      <c r="AB3400" t="str">
        <f>IF(Table1[[#This Row],[TIPO2]]="costo", VLOOKUP(Table1[[#This Row],[PARTIDA PRESUPUESTAL]],'Cost Report'!G:G,1,0),"Balance")</f>
        <v>2494-059</v>
      </c>
      <c r="AC3400" s="118"/>
      <c r="AD3400" s="159">
        <f>+Table1[[#This Row],[SUBTOTAL]]+Table1[[#This Row],[IVA]]-Table1[[#This Row],[RET IVA]]-Table1[[#This Row],[RET ISR]]-Table1[[#This Row],[TOTAL]]</f>
        <v>0</v>
      </c>
      <c r="AE3400" s="152"/>
      <c r="AF3400" s="153"/>
      <c r="AG3400" s="126" t="s">
        <v>3420</v>
      </c>
      <c r="AK3400" s="306" t="str">
        <f>IF(ISNUMBER(Table1[[#This Row],[FECHA DE RECIBIDO]]), Table1[[#This Row],[FECHA DE RECIBIDO]]-DATE(2023,8,30), "")</f>
        <v/>
      </c>
    </row>
    <row r="3401" spans="1:37" ht="15" customHeight="1">
      <c r="A3401" s="150" t="s">
        <v>4174</v>
      </c>
      <c r="B3401" s="151">
        <v>1173</v>
      </c>
      <c r="C3401" s="126" t="s">
        <v>1505</v>
      </c>
      <c r="D3401">
        <v>2343</v>
      </c>
      <c r="E3401" s="126" t="s">
        <v>2107</v>
      </c>
      <c r="F3401" s="122" t="s">
        <v>1589</v>
      </c>
      <c r="G3401" s="122" t="s">
        <v>129</v>
      </c>
      <c r="H3401">
        <v>620</v>
      </c>
      <c r="I3401" s="122" t="s">
        <v>1546</v>
      </c>
      <c r="J3401" s="307" t="s">
        <v>214</v>
      </c>
      <c r="K3401" s="127" t="s">
        <v>4112</v>
      </c>
      <c r="L3401" s="151" t="s">
        <v>1579</v>
      </c>
      <c r="M3401">
        <v>875</v>
      </c>
      <c r="N3401" s="123">
        <v>17</v>
      </c>
      <c r="O3401">
        <v>2232</v>
      </c>
      <c r="P3401" s="132" t="s">
        <v>77</v>
      </c>
      <c r="Q3401" s="131">
        <v>1950</v>
      </c>
      <c r="R3401" s="131">
        <v>312</v>
      </c>
      <c r="S3401" s="131"/>
      <c r="T3401" s="155"/>
      <c r="U3401" s="131"/>
      <c r="V3401" s="131">
        <v>2262</v>
      </c>
      <c r="W3401"/>
      <c r="X3401" s="151" t="s">
        <v>1644</v>
      </c>
      <c r="Y3401" s="135" t="s">
        <v>55</v>
      </c>
      <c r="Z3401" s="307">
        <v>237</v>
      </c>
      <c r="AB3401" t="str">
        <f>IF(Table1[[#This Row],[TIPO2]]="costo", VLOOKUP(Table1[[#This Row],[PARTIDA PRESUPUESTAL]],'Cost Report'!G:G,1,0),"Balance")</f>
        <v>2494-003</v>
      </c>
      <c r="AC3401" s="118"/>
      <c r="AD3401" s="159">
        <f>+Table1[[#This Row],[SUBTOTAL]]+Table1[[#This Row],[IVA]]-Table1[[#This Row],[RET IVA]]-Table1[[#This Row],[RET ISR]]-Table1[[#This Row],[TOTAL]]</f>
        <v>0</v>
      </c>
      <c r="AE3401" s="150"/>
      <c r="AF3401" s="151"/>
      <c r="AG3401" s="126" t="s">
        <v>3420</v>
      </c>
      <c r="AK3401" s="306" t="str">
        <f>IF(ISNUMBER(Table1[[#This Row],[FECHA DE RECIBIDO]]), Table1[[#This Row],[FECHA DE RECIBIDO]]-DATE(2023,8,30), "")</f>
        <v/>
      </c>
    </row>
    <row r="3402" spans="1:37" ht="15" customHeight="1">
      <c r="A3402" s="152" t="s">
        <v>4174</v>
      </c>
      <c r="B3402" s="153">
        <v>1173</v>
      </c>
      <c r="C3402" s="126" t="s">
        <v>2461</v>
      </c>
      <c r="D3402">
        <v>2344</v>
      </c>
      <c r="E3402" s="126" t="s">
        <v>1611</v>
      </c>
      <c r="F3402" s="125" t="s">
        <v>1607</v>
      </c>
      <c r="G3402" s="125" t="s">
        <v>134</v>
      </c>
      <c r="H3402">
        <v>474</v>
      </c>
      <c r="I3402" s="125" t="s">
        <v>1546</v>
      </c>
      <c r="J3402" s="308" t="s">
        <v>214</v>
      </c>
      <c r="K3402" s="127" t="s">
        <v>4112</v>
      </c>
      <c r="L3402" s="153" t="s">
        <v>1579</v>
      </c>
      <c r="M3402">
        <v>693</v>
      </c>
      <c r="N3402" s="123">
        <v>17</v>
      </c>
      <c r="O3402">
        <v>2233</v>
      </c>
      <c r="P3402" s="132" t="s">
        <v>77</v>
      </c>
      <c r="Q3402" s="132">
        <v>652.5</v>
      </c>
      <c r="R3402" s="132">
        <v>104.4</v>
      </c>
      <c r="S3402" s="132"/>
      <c r="T3402" s="156"/>
      <c r="U3402" s="132"/>
      <c r="V3402" s="132">
        <v>756.9</v>
      </c>
      <c r="W3402"/>
      <c r="X3402" s="153" t="s">
        <v>1644</v>
      </c>
      <c r="Y3402" s="124" t="s">
        <v>55</v>
      </c>
      <c r="Z3402" s="308">
        <v>218</v>
      </c>
      <c r="AB3402" t="str">
        <f>IF(Table1[[#This Row],[TIPO2]]="costo", VLOOKUP(Table1[[#This Row],[PARTIDA PRESUPUESTAL]],'Cost Report'!G:G,1,0),"Balance")</f>
        <v>2385-003</v>
      </c>
      <c r="AC3402" s="118"/>
      <c r="AD3402" s="159">
        <f>+Table1[[#This Row],[SUBTOTAL]]+Table1[[#This Row],[IVA]]-Table1[[#This Row],[RET IVA]]-Table1[[#This Row],[RET ISR]]-Table1[[#This Row],[TOTAL]]</f>
        <v>0</v>
      </c>
      <c r="AE3402" s="152"/>
      <c r="AF3402" s="153"/>
      <c r="AG3402" s="126" t="s">
        <v>3420</v>
      </c>
      <c r="AK3402" s="306" t="str">
        <f>IF(ISNUMBER(Table1[[#This Row],[FECHA DE RECIBIDO]]), Table1[[#This Row],[FECHA DE RECIBIDO]]-DATE(2023,8,30), "")</f>
        <v/>
      </c>
    </row>
    <row r="3403" spans="1:37" ht="15" customHeight="1">
      <c r="A3403" s="150" t="s">
        <v>4174</v>
      </c>
      <c r="B3403" s="151">
        <v>1173</v>
      </c>
      <c r="C3403" s="126" t="s">
        <v>1511</v>
      </c>
      <c r="D3403">
        <v>2345</v>
      </c>
      <c r="E3403" s="126" t="s">
        <v>1614</v>
      </c>
      <c r="F3403" s="122" t="s">
        <v>1607</v>
      </c>
      <c r="G3403" s="122" t="s">
        <v>134</v>
      </c>
      <c r="H3403">
        <v>172</v>
      </c>
      <c r="I3403" s="122" t="s">
        <v>1546</v>
      </c>
      <c r="J3403" s="307" t="s">
        <v>214</v>
      </c>
      <c r="K3403" s="127" t="s">
        <v>4112</v>
      </c>
      <c r="L3403" s="151" t="s">
        <v>1579</v>
      </c>
      <c r="M3403">
        <v>229</v>
      </c>
      <c r="N3403" s="123">
        <v>17</v>
      </c>
      <c r="O3403">
        <v>2234</v>
      </c>
      <c r="P3403" s="132" t="s">
        <v>77</v>
      </c>
      <c r="Q3403" s="131">
        <v>579.39</v>
      </c>
      <c r="R3403" s="131">
        <v>92.7</v>
      </c>
      <c r="S3403" s="131"/>
      <c r="T3403" s="155"/>
      <c r="U3403" s="131"/>
      <c r="V3403" s="131">
        <v>672.09</v>
      </c>
      <c r="W3403"/>
      <c r="X3403" s="151" t="s">
        <v>1644</v>
      </c>
      <c r="Y3403" s="135" t="s">
        <v>55</v>
      </c>
      <c r="Z3403" s="307">
        <v>236</v>
      </c>
      <c r="AB3403" t="str">
        <f>IF(Table1[[#This Row],[TIPO2]]="costo", VLOOKUP(Table1[[#This Row],[PARTIDA PRESUPUESTAL]],'Cost Report'!G:G,1,0),"Balance")</f>
        <v>2494-015</v>
      </c>
      <c r="AC3403" s="118"/>
      <c r="AD3403" s="159">
        <f>+Table1[[#This Row],[SUBTOTAL]]+Table1[[#This Row],[IVA]]-Table1[[#This Row],[RET IVA]]-Table1[[#This Row],[RET ISR]]-Table1[[#This Row],[TOTAL]]</f>
        <v>0</v>
      </c>
      <c r="AE3403" s="150"/>
      <c r="AF3403" s="151"/>
      <c r="AG3403" s="126" t="s">
        <v>3420</v>
      </c>
      <c r="AK3403" s="306" t="str">
        <f>IF(ISNUMBER(Table1[[#This Row],[FECHA DE RECIBIDO]]), Table1[[#This Row],[FECHA DE RECIBIDO]]-DATE(2023,8,30), "")</f>
        <v/>
      </c>
    </row>
    <row r="3404" spans="1:37" ht="15" customHeight="1">
      <c r="A3404" s="152" t="s">
        <v>4174</v>
      </c>
      <c r="B3404" s="153">
        <v>1173</v>
      </c>
      <c r="C3404" s="126" t="s">
        <v>1511</v>
      </c>
      <c r="D3404">
        <v>2346</v>
      </c>
      <c r="E3404" s="126" t="s">
        <v>1614</v>
      </c>
      <c r="F3404" s="125" t="s">
        <v>1607</v>
      </c>
      <c r="G3404" s="125" t="s">
        <v>134</v>
      </c>
      <c r="H3404">
        <v>172</v>
      </c>
      <c r="I3404" s="125" t="s">
        <v>1546</v>
      </c>
      <c r="J3404" s="308" t="s">
        <v>214</v>
      </c>
      <c r="K3404" s="127" t="s">
        <v>4112</v>
      </c>
      <c r="L3404" s="153" t="s">
        <v>1579</v>
      </c>
      <c r="M3404">
        <v>229</v>
      </c>
      <c r="N3404" s="123">
        <v>17</v>
      </c>
      <c r="O3404">
        <v>2235</v>
      </c>
      <c r="P3404" s="132" t="s">
        <v>77</v>
      </c>
      <c r="Q3404" s="132">
        <v>358</v>
      </c>
      <c r="R3404" s="132">
        <v>57.28</v>
      </c>
      <c r="S3404" s="132"/>
      <c r="T3404" s="156"/>
      <c r="U3404" s="132"/>
      <c r="V3404" s="132">
        <v>415.28</v>
      </c>
      <c r="W3404"/>
      <c r="X3404" s="153" t="s">
        <v>1644</v>
      </c>
      <c r="Y3404" s="124" t="s">
        <v>55</v>
      </c>
      <c r="Z3404" s="308">
        <v>236</v>
      </c>
      <c r="AB3404" t="str">
        <f>IF(Table1[[#This Row],[TIPO2]]="costo", VLOOKUP(Table1[[#This Row],[PARTIDA PRESUPUESTAL]],'Cost Report'!G:G,1,0),"Balance")</f>
        <v>2494-015</v>
      </c>
      <c r="AC3404" s="118"/>
      <c r="AD3404" s="159">
        <f>+Table1[[#This Row],[SUBTOTAL]]+Table1[[#This Row],[IVA]]-Table1[[#This Row],[RET IVA]]-Table1[[#This Row],[RET ISR]]-Table1[[#This Row],[TOTAL]]</f>
        <v>0</v>
      </c>
      <c r="AE3404" s="152"/>
      <c r="AF3404" s="153"/>
      <c r="AG3404" s="126" t="s">
        <v>3420</v>
      </c>
      <c r="AK3404" s="306" t="str">
        <f>IF(ISNUMBER(Table1[[#This Row],[FECHA DE RECIBIDO]]), Table1[[#This Row],[FECHA DE RECIBIDO]]-DATE(2023,8,30), "")</f>
        <v/>
      </c>
    </row>
    <row r="3405" spans="1:37" ht="15" customHeight="1">
      <c r="A3405" s="150" t="s">
        <v>4174</v>
      </c>
      <c r="B3405" s="151">
        <v>1173</v>
      </c>
      <c r="C3405" s="126" t="s">
        <v>2461</v>
      </c>
      <c r="D3405">
        <v>2347</v>
      </c>
      <c r="E3405" s="126" t="s">
        <v>3363</v>
      </c>
      <c r="F3405" s="122" t="s">
        <v>1607</v>
      </c>
      <c r="G3405" s="122" t="s">
        <v>134</v>
      </c>
      <c r="H3405">
        <v>99</v>
      </c>
      <c r="I3405" s="122" t="s">
        <v>1546</v>
      </c>
      <c r="J3405" s="307" t="s">
        <v>214</v>
      </c>
      <c r="K3405" s="127" t="s">
        <v>4112</v>
      </c>
      <c r="L3405" s="151" t="s">
        <v>1579</v>
      </c>
      <c r="M3405">
        <v>134</v>
      </c>
      <c r="N3405" s="123">
        <v>17</v>
      </c>
      <c r="O3405">
        <v>2236</v>
      </c>
      <c r="P3405" s="132" t="s">
        <v>77</v>
      </c>
      <c r="Q3405" s="131">
        <v>165.52</v>
      </c>
      <c r="R3405" s="131">
        <v>26.48</v>
      </c>
      <c r="S3405" s="131"/>
      <c r="T3405" s="155"/>
      <c r="U3405" s="131"/>
      <c r="V3405" s="131">
        <v>192</v>
      </c>
      <c r="W3405"/>
      <c r="X3405" s="151" t="s">
        <v>1644</v>
      </c>
      <c r="Y3405" s="135" t="s">
        <v>55</v>
      </c>
      <c r="Z3405" s="307">
        <v>236</v>
      </c>
      <c r="AB3405" t="str">
        <f>IF(Table1[[#This Row],[TIPO2]]="costo", VLOOKUP(Table1[[#This Row],[PARTIDA PRESUPUESTAL]],'Cost Report'!G:G,1,0),"Balance")</f>
        <v>2385-003</v>
      </c>
      <c r="AC3405" s="118"/>
      <c r="AD3405" s="159">
        <f>+Table1[[#This Row],[SUBTOTAL]]+Table1[[#This Row],[IVA]]-Table1[[#This Row],[RET IVA]]-Table1[[#This Row],[RET ISR]]-Table1[[#This Row],[TOTAL]]</f>
        <v>0</v>
      </c>
      <c r="AE3405" s="150"/>
      <c r="AF3405" s="151"/>
      <c r="AG3405" s="126" t="s">
        <v>3420</v>
      </c>
      <c r="AK3405" s="306" t="str">
        <f>IF(ISNUMBER(Table1[[#This Row],[FECHA DE RECIBIDO]]), Table1[[#This Row],[FECHA DE RECIBIDO]]-DATE(2023,8,30), "")</f>
        <v/>
      </c>
    </row>
    <row r="3406" spans="1:37" ht="15" customHeight="1">
      <c r="A3406" s="152" t="s">
        <v>4174</v>
      </c>
      <c r="B3406" s="153">
        <v>1173</v>
      </c>
      <c r="C3406" s="126" t="s">
        <v>2455</v>
      </c>
      <c r="D3406">
        <v>2348</v>
      </c>
      <c r="E3406" s="126" t="s">
        <v>1895</v>
      </c>
      <c r="F3406" s="125" t="s">
        <v>1607</v>
      </c>
      <c r="G3406" s="125" t="s">
        <v>134</v>
      </c>
      <c r="H3406">
        <v>635</v>
      </c>
      <c r="I3406" s="125" t="s">
        <v>1546</v>
      </c>
      <c r="J3406" s="308" t="s">
        <v>214</v>
      </c>
      <c r="K3406" s="127" t="s">
        <v>4112</v>
      </c>
      <c r="L3406" s="153" t="s">
        <v>1579</v>
      </c>
      <c r="M3406">
        <v>901</v>
      </c>
      <c r="N3406" s="123">
        <v>17</v>
      </c>
      <c r="O3406">
        <v>2237</v>
      </c>
      <c r="P3406" s="132" t="s">
        <v>77</v>
      </c>
      <c r="Q3406" s="132">
        <v>82.06</v>
      </c>
      <c r="R3406" s="132">
        <v>13.13</v>
      </c>
      <c r="S3406" s="132"/>
      <c r="T3406" s="156"/>
      <c r="U3406" s="132"/>
      <c r="V3406" s="132">
        <v>95.19</v>
      </c>
      <c r="W3406"/>
      <c r="X3406" s="153" t="s">
        <v>1644</v>
      </c>
      <c r="Y3406" s="124" t="s">
        <v>55</v>
      </c>
      <c r="Z3406" s="308">
        <v>223</v>
      </c>
      <c r="AB3406" t="str">
        <f>IF(Table1[[#This Row],[TIPO2]]="costo", VLOOKUP(Table1[[#This Row],[PARTIDA PRESUPUESTAL]],'Cost Report'!G:G,1,0),"Balance")</f>
        <v>2285-003</v>
      </c>
      <c r="AC3406" s="118"/>
      <c r="AD3406" s="159">
        <f>+Table1[[#This Row],[SUBTOTAL]]+Table1[[#This Row],[IVA]]-Table1[[#This Row],[RET IVA]]-Table1[[#This Row],[RET ISR]]-Table1[[#This Row],[TOTAL]]</f>
        <v>0</v>
      </c>
      <c r="AE3406" s="152"/>
      <c r="AF3406" s="153"/>
      <c r="AG3406" s="126" t="s">
        <v>3420</v>
      </c>
      <c r="AK3406" s="306" t="str">
        <f>IF(ISNUMBER(Table1[[#This Row],[FECHA DE RECIBIDO]]), Table1[[#This Row],[FECHA DE RECIBIDO]]-DATE(2023,8,30), "")</f>
        <v/>
      </c>
    </row>
    <row r="3407" spans="1:37" ht="15" customHeight="1">
      <c r="A3407" s="150" t="s">
        <v>4174</v>
      </c>
      <c r="B3407" s="151">
        <v>1173</v>
      </c>
      <c r="C3407" s="126" t="s">
        <v>2455</v>
      </c>
      <c r="D3407">
        <v>2349</v>
      </c>
      <c r="E3407" s="126" t="s">
        <v>4191</v>
      </c>
      <c r="F3407" s="122" t="s">
        <v>1384</v>
      </c>
      <c r="G3407" s="122" t="s">
        <v>1625</v>
      </c>
      <c r="H3407">
        <v>655</v>
      </c>
      <c r="I3407" s="122" t="s">
        <v>1546</v>
      </c>
      <c r="J3407" s="307" t="s">
        <v>214</v>
      </c>
      <c r="K3407" s="127" t="s">
        <v>4112</v>
      </c>
      <c r="L3407" s="151" t="s">
        <v>1579</v>
      </c>
      <c r="M3407">
        <v>922</v>
      </c>
      <c r="N3407" s="123">
        <v>17</v>
      </c>
      <c r="O3407">
        <v>2238</v>
      </c>
      <c r="P3407" s="132" t="s">
        <v>77</v>
      </c>
      <c r="Q3407" s="131">
        <v>86.12</v>
      </c>
      <c r="R3407" s="131">
        <v>13.78</v>
      </c>
      <c r="S3407" s="131"/>
      <c r="T3407" s="155"/>
      <c r="U3407" s="131"/>
      <c r="V3407" s="131">
        <v>99.9</v>
      </c>
      <c r="W3407"/>
      <c r="X3407" s="151" t="s">
        <v>1644</v>
      </c>
      <c r="Y3407" s="135" t="s">
        <v>55</v>
      </c>
      <c r="Z3407" s="307">
        <v>224</v>
      </c>
      <c r="AB3407" t="str">
        <f>IF(Table1[[#This Row],[TIPO2]]="costo", VLOOKUP(Table1[[#This Row],[PARTIDA PRESUPUESTAL]],'Cost Report'!G:G,1,0),"Balance")</f>
        <v>2285-003</v>
      </c>
      <c r="AC3407" s="118"/>
      <c r="AD3407" s="159">
        <f>+Table1[[#This Row],[SUBTOTAL]]+Table1[[#This Row],[IVA]]-Table1[[#This Row],[RET IVA]]-Table1[[#This Row],[RET ISR]]-Table1[[#This Row],[TOTAL]]</f>
        <v>0</v>
      </c>
      <c r="AE3407" s="150"/>
      <c r="AF3407" s="151"/>
      <c r="AG3407" s="126" t="s">
        <v>3420</v>
      </c>
      <c r="AK3407" s="306" t="str">
        <f>IF(ISNUMBER(Table1[[#This Row],[FECHA DE RECIBIDO]]), Table1[[#This Row],[FECHA DE RECIBIDO]]-DATE(2023,8,30), "")</f>
        <v/>
      </c>
    </row>
    <row r="3408" spans="1:37" ht="15" customHeight="1">
      <c r="A3408" s="152" t="s">
        <v>4174</v>
      </c>
      <c r="B3408" s="153">
        <v>1173</v>
      </c>
      <c r="C3408" s="126" t="s">
        <v>610</v>
      </c>
      <c r="D3408">
        <v>2350</v>
      </c>
      <c r="E3408" s="126" t="s">
        <v>3275</v>
      </c>
      <c r="F3408" s="125" t="s">
        <v>1607</v>
      </c>
      <c r="G3408" s="125" t="s">
        <v>134</v>
      </c>
      <c r="H3408">
        <v>57</v>
      </c>
      <c r="I3408" s="125" t="s">
        <v>1546</v>
      </c>
      <c r="J3408" s="308" t="s">
        <v>214</v>
      </c>
      <c r="K3408" s="127" t="s">
        <v>4112</v>
      </c>
      <c r="L3408" s="153" t="s">
        <v>1579</v>
      </c>
      <c r="M3408">
        <v>79</v>
      </c>
      <c r="N3408" s="123">
        <v>17</v>
      </c>
      <c r="O3408">
        <v>2239</v>
      </c>
      <c r="P3408" s="132" t="s">
        <v>77</v>
      </c>
      <c r="Q3408" s="132">
        <v>115.5</v>
      </c>
      <c r="R3408" s="132">
        <v>18.5</v>
      </c>
      <c r="S3408" s="132"/>
      <c r="T3408" s="156"/>
      <c r="U3408" s="132"/>
      <c r="V3408" s="132">
        <v>134</v>
      </c>
      <c r="W3408"/>
      <c r="X3408" s="153" t="s">
        <v>1644</v>
      </c>
      <c r="Y3408" s="124" t="s">
        <v>55</v>
      </c>
      <c r="Z3408" s="308">
        <v>237</v>
      </c>
      <c r="AB3408" t="str">
        <f>IF(Table1[[#This Row],[TIPO2]]="costo", VLOOKUP(Table1[[#This Row],[PARTIDA PRESUPUESTAL]],'Cost Report'!G:G,1,0),"Balance")</f>
        <v>2485-003</v>
      </c>
      <c r="AC3408" s="118"/>
      <c r="AD3408" s="159">
        <f>+Table1[[#This Row],[SUBTOTAL]]+Table1[[#This Row],[IVA]]-Table1[[#This Row],[RET IVA]]-Table1[[#This Row],[RET ISR]]-Table1[[#This Row],[TOTAL]]</f>
        <v>0</v>
      </c>
      <c r="AE3408" s="152"/>
      <c r="AF3408" s="153"/>
      <c r="AG3408" s="126" t="s">
        <v>3420</v>
      </c>
      <c r="AK3408" s="306" t="str">
        <f>IF(ISNUMBER(Table1[[#This Row],[FECHA DE RECIBIDO]]), Table1[[#This Row],[FECHA DE RECIBIDO]]-DATE(2023,8,30), "")</f>
        <v/>
      </c>
    </row>
    <row r="3409" spans="1:37" ht="15" customHeight="1">
      <c r="A3409" s="150" t="s">
        <v>4174</v>
      </c>
      <c r="B3409" s="151">
        <v>1173</v>
      </c>
      <c r="C3409" s="126" t="s">
        <v>2455</v>
      </c>
      <c r="D3409">
        <v>2351</v>
      </c>
      <c r="E3409" s="126" t="s">
        <v>3115</v>
      </c>
      <c r="F3409" s="122" t="s">
        <v>1382</v>
      </c>
      <c r="G3409" s="122" t="e">
        <v>#N/A</v>
      </c>
      <c r="H3409">
        <v>31</v>
      </c>
      <c r="I3409" s="122" t="s">
        <v>1546</v>
      </c>
      <c r="J3409" s="307" t="s">
        <v>214</v>
      </c>
      <c r="K3409" s="127" t="s">
        <v>4112</v>
      </c>
      <c r="L3409" s="151" t="s">
        <v>1579</v>
      </c>
      <c r="M3409">
        <v>69</v>
      </c>
      <c r="N3409" s="123">
        <v>17</v>
      </c>
      <c r="O3409">
        <v>2240</v>
      </c>
      <c r="P3409" s="132" t="s">
        <v>77</v>
      </c>
      <c r="Q3409" s="131">
        <v>54</v>
      </c>
      <c r="R3409" s="131"/>
      <c r="S3409" s="131"/>
      <c r="T3409" s="155"/>
      <c r="U3409" s="131"/>
      <c r="V3409" s="131">
        <v>54</v>
      </c>
      <c r="W3409"/>
      <c r="X3409" s="151" t="s">
        <v>1644</v>
      </c>
      <c r="Y3409" s="135" t="s">
        <v>55</v>
      </c>
      <c r="Z3409" s="307">
        <v>237</v>
      </c>
      <c r="AB3409" t="str">
        <f>IF(Table1[[#This Row],[TIPO2]]="costo", VLOOKUP(Table1[[#This Row],[PARTIDA PRESUPUESTAL]],'Cost Report'!G:G,1,0),"Balance")</f>
        <v>2285-003</v>
      </c>
      <c r="AC3409" s="118"/>
      <c r="AD3409" s="159">
        <f>+Table1[[#This Row],[SUBTOTAL]]+Table1[[#This Row],[IVA]]-Table1[[#This Row],[RET IVA]]-Table1[[#This Row],[RET ISR]]-Table1[[#This Row],[TOTAL]]</f>
        <v>0</v>
      </c>
      <c r="AE3409" s="150"/>
      <c r="AF3409" s="151"/>
      <c r="AG3409" s="126" t="s">
        <v>3420</v>
      </c>
      <c r="AK3409" s="306" t="str">
        <f>IF(ISNUMBER(Table1[[#This Row],[FECHA DE RECIBIDO]]), Table1[[#This Row],[FECHA DE RECIBIDO]]-DATE(2023,8,30), "")</f>
        <v/>
      </c>
    </row>
    <row r="3410" spans="1:37" ht="15" customHeight="1">
      <c r="A3410" s="152" t="s">
        <v>4174</v>
      </c>
      <c r="B3410" s="153">
        <v>1173</v>
      </c>
      <c r="C3410" s="126" t="s">
        <v>1511</v>
      </c>
      <c r="D3410">
        <v>2352</v>
      </c>
      <c r="E3410" s="126" t="s">
        <v>1614</v>
      </c>
      <c r="F3410" s="125" t="s">
        <v>1602</v>
      </c>
      <c r="G3410" s="125" t="s">
        <v>1617</v>
      </c>
      <c r="H3410">
        <v>238</v>
      </c>
      <c r="I3410" s="125" t="s">
        <v>1546</v>
      </c>
      <c r="J3410" s="308" t="s">
        <v>214</v>
      </c>
      <c r="K3410" s="127" t="s">
        <v>4112</v>
      </c>
      <c r="L3410" s="153" t="s">
        <v>1579</v>
      </c>
      <c r="M3410">
        <v>923</v>
      </c>
      <c r="N3410" s="123">
        <v>17</v>
      </c>
      <c r="O3410">
        <v>2241</v>
      </c>
      <c r="P3410" s="132" t="s">
        <v>77</v>
      </c>
      <c r="Q3410" s="132">
        <v>455</v>
      </c>
      <c r="R3410" s="132">
        <v>72.8</v>
      </c>
      <c r="S3410" s="132"/>
      <c r="T3410" s="156"/>
      <c r="U3410" s="132"/>
      <c r="V3410" s="132">
        <v>527.79999999999995</v>
      </c>
      <c r="W3410"/>
      <c r="X3410" s="153" t="s">
        <v>1644</v>
      </c>
      <c r="Y3410" s="124" t="s">
        <v>55</v>
      </c>
      <c r="Z3410" s="308">
        <v>236</v>
      </c>
      <c r="AB3410" t="str">
        <f>IF(Table1[[#This Row],[TIPO2]]="costo", VLOOKUP(Table1[[#This Row],[PARTIDA PRESUPUESTAL]],'Cost Report'!G:G,1,0),"Balance")</f>
        <v>2494-015</v>
      </c>
      <c r="AC3410" s="118"/>
      <c r="AD3410" s="159">
        <f>+Table1[[#This Row],[SUBTOTAL]]+Table1[[#This Row],[IVA]]-Table1[[#This Row],[RET IVA]]-Table1[[#This Row],[RET ISR]]-Table1[[#This Row],[TOTAL]]</f>
        <v>0</v>
      </c>
      <c r="AE3410" s="152"/>
      <c r="AF3410" s="153"/>
      <c r="AG3410" s="126" t="s">
        <v>3420</v>
      </c>
      <c r="AK3410" s="306" t="str">
        <f>IF(ISNUMBER(Table1[[#This Row],[FECHA DE RECIBIDO]]), Table1[[#This Row],[FECHA DE RECIBIDO]]-DATE(2023,8,30), "")</f>
        <v/>
      </c>
    </row>
    <row r="3411" spans="1:37" ht="15" customHeight="1">
      <c r="A3411" s="150" t="s">
        <v>4174</v>
      </c>
      <c r="B3411" s="151">
        <v>1173</v>
      </c>
      <c r="C3411" s="126" t="s">
        <v>1507</v>
      </c>
      <c r="D3411">
        <v>2353</v>
      </c>
      <c r="E3411" s="126" t="s">
        <v>3366</v>
      </c>
      <c r="F3411" s="122" t="s">
        <v>1589</v>
      </c>
      <c r="G3411" s="122" t="s">
        <v>129</v>
      </c>
      <c r="H3411">
        <v>293</v>
      </c>
      <c r="I3411" s="122" t="s">
        <v>1546</v>
      </c>
      <c r="J3411" s="307" t="s">
        <v>214</v>
      </c>
      <c r="K3411" s="127" t="s">
        <v>4112</v>
      </c>
      <c r="L3411" s="151" t="s">
        <v>1579</v>
      </c>
      <c r="M3411">
        <v>387</v>
      </c>
      <c r="N3411" s="123">
        <v>17</v>
      </c>
      <c r="O3411">
        <v>2242</v>
      </c>
      <c r="P3411" s="132" t="s">
        <v>77</v>
      </c>
      <c r="Q3411" s="131">
        <v>1300</v>
      </c>
      <c r="R3411" s="131"/>
      <c r="S3411" s="131"/>
      <c r="T3411" s="155"/>
      <c r="U3411" s="131"/>
      <c r="V3411" s="131">
        <v>1300</v>
      </c>
      <c r="W3411"/>
      <c r="X3411" s="151" t="s">
        <v>1644</v>
      </c>
      <c r="Y3411" s="135" t="s">
        <v>55</v>
      </c>
      <c r="Z3411" s="307">
        <v>239</v>
      </c>
      <c r="AB3411" t="str">
        <f>IF(Table1[[#This Row],[TIPO2]]="costo", VLOOKUP(Table1[[#This Row],[PARTIDA PRESUPUESTAL]],'Cost Report'!G:G,1,0),"Balance")</f>
        <v>2494-007</v>
      </c>
      <c r="AC3411" s="118"/>
      <c r="AD3411" s="159">
        <f>+Table1[[#This Row],[SUBTOTAL]]+Table1[[#This Row],[IVA]]-Table1[[#This Row],[RET IVA]]-Table1[[#This Row],[RET ISR]]-Table1[[#This Row],[TOTAL]]</f>
        <v>0</v>
      </c>
      <c r="AE3411" s="150"/>
      <c r="AF3411" s="151"/>
      <c r="AG3411" s="126" t="s">
        <v>3420</v>
      </c>
      <c r="AK3411" s="306" t="str">
        <f>IF(ISNUMBER(Table1[[#This Row],[FECHA DE RECIBIDO]]), Table1[[#This Row],[FECHA DE RECIBIDO]]-DATE(2023,8,30), "")</f>
        <v/>
      </c>
    </row>
    <row r="3412" spans="1:37" ht="15" customHeight="1">
      <c r="A3412" s="152" t="s">
        <v>4174</v>
      </c>
      <c r="B3412" s="153">
        <v>1173</v>
      </c>
      <c r="C3412" s="126" t="s">
        <v>1505</v>
      </c>
      <c r="D3412">
        <v>2354</v>
      </c>
      <c r="E3412" s="126" t="s">
        <v>1603</v>
      </c>
      <c r="F3412" s="125" t="s">
        <v>1589</v>
      </c>
      <c r="G3412" s="125" t="s">
        <v>129</v>
      </c>
      <c r="H3412">
        <v>429</v>
      </c>
      <c r="I3412" s="125" t="s">
        <v>1546</v>
      </c>
      <c r="J3412" s="308" t="s">
        <v>214</v>
      </c>
      <c r="K3412" s="127" t="s">
        <v>4112</v>
      </c>
      <c r="L3412" s="153" t="s">
        <v>1579</v>
      </c>
      <c r="M3412">
        <v>572</v>
      </c>
      <c r="N3412" s="123">
        <v>17</v>
      </c>
      <c r="O3412">
        <v>2243</v>
      </c>
      <c r="P3412" s="132" t="s">
        <v>77</v>
      </c>
      <c r="Q3412" s="132">
        <v>500</v>
      </c>
      <c r="R3412" s="132">
        <v>80</v>
      </c>
      <c r="S3412" s="132"/>
      <c r="T3412" s="156"/>
      <c r="U3412" s="132"/>
      <c r="V3412" s="132">
        <v>580</v>
      </c>
      <c r="W3412"/>
      <c r="X3412" s="153" t="s">
        <v>1644</v>
      </c>
      <c r="Y3412" s="124" t="s">
        <v>55</v>
      </c>
      <c r="Z3412" s="308">
        <v>239</v>
      </c>
      <c r="AB3412" t="str">
        <f>IF(Table1[[#This Row],[TIPO2]]="costo", VLOOKUP(Table1[[#This Row],[PARTIDA PRESUPUESTAL]],'Cost Report'!G:G,1,0),"Balance")</f>
        <v>2494-003</v>
      </c>
      <c r="AC3412" s="118"/>
      <c r="AD3412" s="159">
        <f>+Table1[[#This Row],[SUBTOTAL]]+Table1[[#This Row],[IVA]]-Table1[[#This Row],[RET IVA]]-Table1[[#This Row],[RET ISR]]-Table1[[#This Row],[TOTAL]]</f>
        <v>0</v>
      </c>
      <c r="AE3412" s="152"/>
      <c r="AF3412" s="153"/>
      <c r="AG3412" s="126" t="s">
        <v>3420</v>
      </c>
      <c r="AK3412" s="306" t="str">
        <f>IF(ISNUMBER(Table1[[#This Row],[FECHA DE RECIBIDO]]), Table1[[#This Row],[FECHA DE RECIBIDO]]-DATE(2023,8,30), "")</f>
        <v/>
      </c>
    </row>
    <row r="3413" spans="1:37" ht="15" customHeight="1">
      <c r="A3413" s="150" t="s">
        <v>4174</v>
      </c>
      <c r="B3413" s="151">
        <v>1173</v>
      </c>
      <c r="C3413" s="126" t="s">
        <v>2455</v>
      </c>
      <c r="D3413">
        <v>2355</v>
      </c>
      <c r="E3413" s="126" t="s">
        <v>4206</v>
      </c>
      <c r="F3413" s="122" t="s">
        <v>1384</v>
      </c>
      <c r="G3413" s="122" t="s">
        <v>1625</v>
      </c>
      <c r="H3413">
        <v>656</v>
      </c>
      <c r="I3413" s="122" t="s">
        <v>1546</v>
      </c>
      <c r="J3413" s="307" t="s">
        <v>214</v>
      </c>
      <c r="K3413" s="127" t="s">
        <v>4112</v>
      </c>
      <c r="L3413" s="151" t="s">
        <v>1579</v>
      </c>
      <c r="M3413">
        <v>924</v>
      </c>
      <c r="N3413" s="123">
        <v>17</v>
      </c>
      <c r="O3413">
        <v>2244</v>
      </c>
      <c r="P3413" s="132" t="s">
        <v>77</v>
      </c>
      <c r="Q3413" s="131">
        <v>103.38</v>
      </c>
      <c r="R3413" s="131">
        <v>16.54</v>
      </c>
      <c r="S3413" s="131"/>
      <c r="T3413" s="155"/>
      <c r="U3413" s="131"/>
      <c r="V3413" s="131">
        <v>119.91999999999999</v>
      </c>
      <c r="W3413"/>
      <c r="X3413" s="151" t="s">
        <v>1644</v>
      </c>
      <c r="Y3413" s="135" t="s">
        <v>55</v>
      </c>
      <c r="Z3413" s="307">
        <v>225</v>
      </c>
      <c r="AB3413" t="str">
        <f>IF(Table1[[#This Row],[TIPO2]]="costo", VLOOKUP(Table1[[#This Row],[PARTIDA PRESUPUESTAL]],'Cost Report'!G:G,1,0),"Balance")</f>
        <v>2285-003</v>
      </c>
      <c r="AC3413" s="118"/>
      <c r="AD3413" s="159">
        <f>+Table1[[#This Row],[SUBTOTAL]]+Table1[[#This Row],[IVA]]-Table1[[#This Row],[RET IVA]]-Table1[[#This Row],[RET ISR]]-Table1[[#This Row],[TOTAL]]</f>
        <v>0</v>
      </c>
      <c r="AE3413" s="150"/>
      <c r="AF3413" s="151"/>
      <c r="AG3413" s="126" t="s">
        <v>3420</v>
      </c>
      <c r="AK3413" s="306" t="str">
        <f>IF(ISNUMBER(Table1[[#This Row],[FECHA DE RECIBIDO]]), Table1[[#This Row],[FECHA DE RECIBIDO]]-DATE(2023,8,30), "")</f>
        <v/>
      </c>
    </row>
    <row r="3414" spans="1:37" ht="15" customHeight="1">
      <c r="A3414" s="152" t="s">
        <v>4174</v>
      </c>
      <c r="B3414" s="153">
        <v>1173</v>
      </c>
      <c r="C3414" s="126" t="s">
        <v>2455</v>
      </c>
      <c r="D3414">
        <v>2356</v>
      </c>
      <c r="E3414" s="126" t="s">
        <v>4207</v>
      </c>
      <c r="F3414" s="125" t="s">
        <v>1384</v>
      </c>
      <c r="G3414" s="125" t="s">
        <v>1625</v>
      </c>
      <c r="H3414">
        <v>657</v>
      </c>
      <c r="I3414" s="125" t="s">
        <v>1546</v>
      </c>
      <c r="J3414" s="308" t="s">
        <v>214</v>
      </c>
      <c r="K3414" s="127" t="s">
        <v>4112</v>
      </c>
      <c r="L3414" s="153" t="s">
        <v>1579</v>
      </c>
      <c r="M3414">
        <v>925</v>
      </c>
      <c r="N3414" s="123">
        <v>17</v>
      </c>
      <c r="O3414">
        <v>2245</v>
      </c>
      <c r="P3414" s="132" t="s">
        <v>77</v>
      </c>
      <c r="Q3414" s="132">
        <v>60.34</v>
      </c>
      <c r="R3414" s="132">
        <v>9.65</v>
      </c>
      <c r="S3414" s="132"/>
      <c r="T3414" s="156"/>
      <c r="U3414" s="132"/>
      <c r="V3414" s="132">
        <v>69.990000000000009</v>
      </c>
      <c r="W3414"/>
      <c r="X3414" s="153" t="s">
        <v>1644</v>
      </c>
      <c r="Y3414" s="124" t="s">
        <v>55</v>
      </c>
      <c r="Z3414" s="308">
        <v>226</v>
      </c>
      <c r="AB3414" t="str">
        <f>IF(Table1[[#This Row],[TIPO2]]="costo", VLOOKUP(Table1[[#This Row],[PARTIDA PRESUPUESTAL]],'Cost Report'!G:G,1,0),"Balance")</f>
        <v>2285-003</v>
      </c>
      <c r="AC3414" s="118"/>
      <c r="AD3414" s="159">
        <f>+Table1[[#This Row],[SUBTOTAL]]+Table1[[#This Row],[IVA]]-Table1[[#This Row],[RET IVA]]-Table1[[#This Row],[RET ISR]]-Table1[[#This Row],[TOTAL]]</f>
        <v>0</v>
      </c>
      <c r="AE3414" s="152"/>
      <c r="AF3414" s="153"/>
      <c r="AG3414" s="126" t="s">
        <v>3420</v>
      </c>
      <c r="AK3414" s="306" t="str">
        <f>IF(ISNUMBER(Table1[[#This Row],[FECHA DE RECIBIDO]]), Table1[[#This Row],[FECHA DE RECIBIDO]]-DATE(2023,8,30), "")</f>
        <v/>
      </c>
    </row>
    <row r="3415" spans="1:37" ht="15" customHeight="1">
      <c r="A3415" s="150" t="s">
        <v>4174</v>
      </c>
      <c r="B3415" s="151">
        <v>1173</v>
      </c>
      <c r="C3415" s="126" t="s">
        <v>2455</v>
      </c>
      <c r="D3415">
        <v>2357</v>
      </c>
      <c r="E3415" s="126" t="s">
        <v>1895</v>
      </c>
      <c r="F3415" s="122" t="s">
        <v>1607</v>
      </c>
      <c r="G3415" s="122" t="s">
        <v>134</v>
      </c>
      <c r="H3415">
        <v>635</v>
      </c>
      <c r="I3415" s="122" t="s">
        <v>1546</v>
      </c>
      <c r="J3415" s="307" t="s">
        <v>214</v>
      </c>
      <c r="K3415" s="127" t="s">
        <v>4112</v>
      </c>
      <c r="L3415" s="151" t="s">
        <v>1579</v>
      </c>
      <c r="M3415">
        <v>901</v>
      </c>
      <c r="N3415" s="123">
        <v>17</v>
      </c>
      <c r="O3415">
        <v>2246</v>
      </c>
      <c r="P3415" s="132" t="s">
        <v>77</v>
      </c>
      <c r="Q3415" s="131">
        <v>94.74</v>
      </c>
      <c r="R3415" s="131">
        <v>15.16</v>
      </c>
      <c r="S3415" s="131"/>
      <c r="T3415" s="155"/>
      <c r="U3415" s="131"/>
      <c r="V3415" s="131">
        <v>109.89999999999999</v>
      </c>
      <c r="W3415"/>
      <c r="X3415" s="151" t="s">
        <v>1644</v>
      </c>
      <c r="Y3415" s="135" t="s">
        <v>55</v>
      </c>
      <c r="Z3415" s="307">
        <v>226</v>
      </c>
      <c r="AB3415" t="str">
        <f>IF(Table1[[#This Row],[TIPO2]]="costo", VLOOKUP(Table1[[#This Row],[PARTIDA PRESUPUESTAL]],'Cost Report'!G:G,1,0),"Balance")</f>
        <v>2285-003</v>
      </c>
      <c r="AC3415" s="118"/>
      <c r="AD3415" s="159">
        <f>+Table1[[#This Row],[SUBTOTAL]]+Table1[[#This Row],[IVA]]-Table1[[#This Row],[RET IVA]]-Table1[[#This Row],[RET ISR]]-Table1[[#This Row],[TOTAL]]</f>
        <v>0</v>
      </c>
      <c r="AE3415" s="150"/>
      <c r="AF3415" s="151"/>
      <c r="AG3415" s="126" t="s">
        <v>3420</v>
      </c>
      <c r="AK3415" s="306" t="str">
        <f>IF(ISNUMBER(Table1[[#This Row],[FECHA DE RECIBIDO]]), Table1[[#This Row],[FECHA DE RECIBIDO]]-DATE(2023,8,30), "")</f>
        <v/>
      </c>
    </row>
    <row r="3416" spans="1:37" ht="15" customHeight="1">
      <c r="A3416" s="152" t="s">
        <v>4174</v>
      </c>
      <c r="B3416" s="153">
        <v>1173</v>
      </c>
      <c r="C3416" s="126" t="s">
        <v>2458</v>
      </c>
      <c r="D3416">
        <v>2358</v>
      </c>
      <c r="E3416" s="126" t="s">
        <v>3232</v>
      </c>
      <c r="F3416" s="125" t="s">
        <v>1589</v>
      </c>
      <c r="G3416" s="125" t="s">
        <v>129</v>
      </c>
      <c r="H3416">
        <v>211</v>
      </c>
      <c r="I3416" s="125" t="s">
        <v>1546</v>
      </c>
      <c r="J3416" s="308" t="s">
        <v>214</v>
      </c>
      <c r="K3416" s="127" t="s">
        <v>4112</v>
      </c>
      <c r="L3416" s="153" t="s">
        <v>1579</v>
      </c>
      <c r="M3416">
        <v>275</v>
      </c>
      <c r="N3416" s="123">
        <v>17</v>
      </c>
      <c r="O3416">
        <v>2247</v>
      </c>
      <c r="P3416" s="132" t="s">
        <v>77</v>
      </c>
      <c r="Q3416" s="132">
        <v>1130.17</v>
      </c>
      <c r="R3416" s="132">
        <v>180.83</v>
      </c>
      <c r="S3416" s="132"/>
      <c r="T3416" s="156"/>
      <c r="U3416" s="132"/>
      <c r="V3416" s="132">
        <v>1311</v>
      </c>
      <c r="W3416"/>
      <c r="X3416" s="153" t="s">
        <v>1644</v>
      </c>
      <c r="Y3416" s="124" t="s">
        <v>55</v>
      </c>
      <c r="Z3416" s="308">
        <v>233</v>
      </c>
      <c r="AB3416" t="str">
        <f>IF(Table1[[#This Row],[TIPO2]]="costo", VLOOKUP(Table1[[#This Row],[PARTIDA PRESUPUESTAL]],'Cost Report'!G:G,1,0),"Balance")</f>
        <v>2311-003</v>
      </c>
      <c r="AC3416" s="118"/>
      <c r="AD3416" s="159">
        <f>+Table1[[#This Row],[SUBTOTAL]]+Table1[[#This Row],[IVA]]-Table1[[#This Row],[RET IVA]]-Table1[[#This Row],[RET ISR]]-Table1[[#This Row],[TOTAL]]</f>
        <v>0</v>
      </c>
      <c r="AE3416" s="152"/>
      <c r="AF3416" s="153"/>
      <c r="AG3416" s="126" t="s">
        <v>3420</v>
      </c>
      <c r="AK3416" s="306" t="str">
        <f>IF(ISNUMBER(Table1[[#This Row],[FECHA DE RECIBIDO]]), Table1[[#This Row],[FECHA DE RECIBIDO]]-DATE(2023,8,30), "")</f>
        <v/>
      </c>
    </row>
    <row r="3417" spans="1:37" ht="15" customHeight="1">
      <c r="A3417" s="150" t="s">
        <v>4174</v>
      </c>
      <c r="B3417" s="151">
        <v>1173</v>
      </c>
      <c r="C3417" s="126" t="s">
        <v>1511</v>
      </c>
      <c r="D3417">
        <v>2359</v>
      </c>
      <c r="E3417" s="126" t="s">
        <v>2107</v>
      </c>
      <c r="F3417" s="122" t="s">
        <v>1593</v>
      </c>
      <c r="G3417" s="122" t="s">
        <v>109</v>
      </c>
      <c r="H3417">
        <v>271</v>
      </c>
      <c r="I3417" s="122" t="s">
        <v>1546</v>
      </c>
      <c r="J3417" s="307" t="s">
        <v>214</v>
      </c>
      <c r="K3417" s="127" t="s">
        <v>4112</v>
      </c>
      <c r="L3417" s="151" t="s">
        <v>1579</v>
      </c>
      <c r="M3417">
        <v>361</v>
      </c>
      <c r="N3417" s="123">
        <v>17</v>
      </c>
      <c r="O3417">
        <v>2248</v>
      </c>
      <c r="P3417" s="132" t="s">
        <v>77</v>
      </c>
      <c r="Q3417" s="131">
        <v>773.71</v>
      </c>
      <c r="R3417" s="131">
        <v>125.36</v>
      </c>
      <c r="S3417" s="131"/>
      <c r="T3417" s="155"/>
      <c r="U3417" s="131"/>
      <c r="V3417" s="131">
        <v>899.07</v>
      </c>
      <c r="W3417"/>
      <c r="X3417" s="151" t="s">
        <v>1644</v>
      </c>
      <c r="Y3417" s="135" t="s">
        <v>55</v>
      </c>
      <c r="Z3417" s="307">
        <v>238</v>
      </c>
      <c r="AB3417" t="str">
        <f>IF(Table1[[#This Row],[TIPO2]]="costo", VLOOKUP(Table1[[#This Row],[PARTIDA PRESUPUESTAL]],'Cost Report'!G:G,1,0),"Balance")</f>
        <v>2494-015</v>
      </c>
      <c r="AC3417" s="118"/>
      <c r="AD3417" s="159">
        <f>+Table1[[#This Row],[SUBTOTAL]]+Table1[[#This Row],[IVA]]-Table1[[#This Row],[RET IVA]]-Table1[[#This Row],[RET ISR]]-Table1[[#This Row],[TOTAL]]</f>
        <v>0</v>
      </c>
      <c r="AE3417" s="150"/>
      <c r="AF3417" s="151"/>
      <c r="AG3417" s="126" t="s">
        <v>3420</v>
      </c>
      <c r="AK3417" s="306" t="str">
        <f>IF(ISNUMBER(Table1[[#This Row],[FECHA DE RECIBIDO]]), Table1[[#This Row],[FECHA DE RECIBIDO]]-DATE(2023,8,30), "")</f>
        <v/>
      </c>
    </row>
    <row r="3418" spans="1:37" ht="15" customHeight="1">
      <c r="A3418" s="152" t="s">
        <v>4174</v>
      </c>
      <c r="B3418" s="153">
        <v>1173</v>
      </c>
      <c r="C3418" s="126" t="s">
        <v>2546</v>
      </c>
      <c r="D3418">
        <v>2360</v>
      </c>
      <c r="E3418" s="126" t="s">
        <v>3278</v>
      </c>
      <c r="F3418" s="125" t="s">
        <v>1607</v>
      </c>
      <c r="G3418" s="125" t="s">
        <v>134</v>
      </c>
      <c r="H3418">
        <v>56</v>
      </c>
      <c r="I3418" s="125" t="s">
        <v>1546</v>
      </c>
      <c r="J3418" s="308" t="s">
        <v>214</v>
      </c>
      <c r="K3418" s="127" t="s">
        <v>4112</v>
      </c>
      <c r="L3418" s="153" t="s">
        <v>1579</v>
      </c>
      <c r="M3418">
        <v>547</v>
      </c>
      <c r="N3418" s="123">
        <v>17</v>
      </c>
      <c r="O3418">
        <v>2249</v>
      </c>
      <c r="P3418" s="132" t="s">
        <v>77</v>
      </c>
      <c r="Q3418" s="132">
        <v>100.86</v>
      </c>
      <c r="R3418" s="132">
        <v>16.14</v>
      </c>
      <c r="S3418" s="132"/>
      <c r="T3418" s="156"/>
      <c r="U3418" s="132"/>
      <c r="V3418" s="132">
        <v>117</v>
      </c>
      <c r="W3418"/>
      <c r="X3418" s="153" t="s">
        <v>1644</v>
      </c>
      <c r="Y3418" s="124" t="s">
        <v>55</v>
      </c>
      <c r="Z3418" s="308">
        <v>238</v>
      </c>
      <c r="AB3418" t="str">
        <f>IF(Table1[[#This Row],[TIPO2]]="costo", VLOOKUP(Table1[[#This Row],[PARTIDA PRESUPUESTAL]],'Cost Report'!G:G,1,0),"Balance")</f>
        <v>2494-071</v>
      </c>
      <c r="AC3418" s="118"/>
      <c r="AD3418" s="159">
        <f>+Table1[[#This Row],[SUBTOTAL]]+Table1[[#This Row],[IVA]]-Table1[[#This Row],[RET IVA]]-Table1[[#This Row],[RET ISR]]-Table1[[#This Row],[TOTAL]]</f>
        <v>0</v>
      </c>
      <c r="AE3418" s="152"/>
      <c r="AF3418" s="153"/>
      <c r="AG3418" s="126" t="s">
        <v>3420</v>
      </c>
      <c r="AK3418" s="306" t="str">
        <f>IF(ISNUMBER(Table1[[#This Row],[FECHA DE RECIBIDO]]), Table1[[#This Row],[FECHA DE RECIBIDO]]-DATE(2023,8,30), "")</f>
        <v/>
      </c>
    </row>
    <row r="3419" spans="1:37" ht="15" customHeight="1">
      <c r="A3419" s="150" t="s">
        <v>4175</v>
      </c>
      <c r="B3419" s="151">
        <v>1174</v>
      </c>
      <c r="C3419" s="126" t="s">
        <v>1505</v>
      </c>
      <c r="D3419">
        <v>2361</v>
      </c>
      <c r="E3419" s="126" t="s">
        <v>3356</v>
      </c>
      <c r="F3419" s="122" t="s">
        <v>1607</v>
      </c>
      <c r="G3419" s="122" t="s">
        <v>134</v>
      </c>
      <c r="H3419">
        <v>173</v>
      </c>
      <c r="I3419" s="122" t="s">
        <v>1546</v>
      </c>
      <c r="J3419" s="307" t="s">
        <v>214</v>
      </c>
      <c r="K3419" s="127" t="s">
        <v>4112</v>
      </c>
      <c r="L3419" s="151" t="s">
        <v>1579</v>
      </c>
      <c r="M3419">
        <v>230</v>
      </c>
      <c r="N3419" s="123">
        <v>17</v>
      </c>
      <c r="O3419">
        <v>2250</v>
      </c>
      <c r="P3419" s="132" t="s">
        <v>77</v>
      </c>
      <c r="Q3419" s="131">
        <f>8253.31+55.82</f>
        <v>8309.1299999999992</v>
      </c>
      <c r="R3419" s="131">
        <v>616.6</v>
      </c>
      <c r="S3419" s="131">
        <v>55.82</v>
      </c>
      <c r="T3419" s="155"/>
      <c r="U3419" s="131"/>
      <c r="V3419" s="131">
        <v>8925.73</v>
      </c>
      <c r="W3419"/>
      <c r="X3419" s="151" t="s">
        <v>1644</v>
      </c>
      <c r="Y3419" s="135" t="s">
        <v>55</v>
      </c>
      <c r="Z3419" s="307">
        <v>238</v>
      </c>
      <c r="AB3419" t="str">
        <f>IF(Table1[[#This Row],[TIPO2]]="costo", VLOOKUP(Table1[[#This Row],[PARTIDA PRESUPUESTAL]],'Cost Report'!G:G,1,0),"Balance")</f>
        <v>2494-003</v>
      </c>
      <c r="AC3419" s="118"/>
      <c r="AD3419" s="159">
        <f>+Table1[[#This Row],[SUBTOTAL]]+Table1[[#This Row],[IVA]]-Table1[[#This Row],[RET IVA]]-Table1[[#This Row],[RET ISR]]-Table1[[#This Row],[TOTAL]]</f>
        <v>0</v>
      </c>
      <c r="AE3419" s="150"/>
      <c r="AF3419" s="151"/>
      <c r="AG3419" s="126" t="s">
        <v>3420</v>
      </c>
      <c r="AK3419" s="306" t="str">
        <f>IF(ISNUMBER(Table1[[#This Row],[FECHA DE RECIBIDO]]), Table1[[#This Row],[FECHA DE RECIBIDO]]-DATE(2023,8,30), "")</f>
        <v/>
      </c>
    </row>
    <row r="3420" spans="1:37" ht="15" customHeight="1">
      <c r="A3420" s="152" t="s">
        <v>4175</v>
      </c>
      <c r="B3420" s="153">
        <v>1174</v>
      </c>
      <c r="C3420" s="126" t="s">
        <v>1505</v>
      </c>
      <c r="D3420">
        <v>2362</v>
      </c>
      <c r="E3420" s="126" t="s">
        <v>3356</v>
      </c>
      <c r="F3420" s="125" t="s">
        <v>1607</v>
      </c>
      <c r="G3420" s="125" t="s">
        <v>134</v>
      </c>
      <c r="H3420">
        <v>609</v>
      </c>
      <c r="I3420" s="125" t="s">
        <v>1546</v>
      </c>
      <c r="J3420" s="308" t="s">
        <v>214</v>
      </c>
      <c r="K3420" s="127" t="s">
        <v>4112</v>
      </c>
      <c r="L3420" s="153" t="s">
        <v>1579</v>
      </c>
      <c r="M3420">
        <v>863</v>
      </c>
      <c r="N3420" s="123">
        <v>17</v>
      </c>
      <c r="O3420">
        <v>2251</v>
      </c>
      <c r="P3420" s="132" t="s">
        <v>77</v>
      </c>
      <c r="Q3420" s="132">
        <v>3332.76</v>
      </c>
      <c r="R3420" s="132">
        <v>533.24</v>
      </c>
      <c r="S3420" s="132"/>
      <c r="T3420" s="156"/>
      <c r="U3420" s="132"/>
      <c r="V3420" s="132">
        <v>3866</v>
      </c>
      <c r="W3420"/>
      <c r="X3420" s="153" t="s">
        <v>1644</v>
      </c>
      <c r="Y3420" s="124" t="s">
        <v>55</v>
      </c>
      <c r="Z3420" s="308">
        <v>238</v>
      </c>
      <c r="AB3420" t="str">
        <f>IF(Table1[[#This Row],[TIPO2]]="costo", VLOOKUP(Table1[[#This Row],[PARTIDA PRESUPUESTAL]],'Cost Report'!G:G,1,0),"Balance")</f>
        <v>2494-003</v>
      </c>
      <c r="AC3420" s="118"/>
      <c r="AD3420" s="159">
        <f>+Table1[[#This Row],[SUBTOTAL]]+Table1[[#This Row],[IVA]]-Table1[[#This Row],[RET IVA]]-Table1[[#This Row],[RET ISR]]-Table1[[#This Row],[TOTAL]]</f>
        <v>0</v>
      </c>
      <c r="AE3420" s="152"/>
      <c r="AF3420" s="153"/>
      <c r="AG3420" s="126" t="s">
        <v>3420</v>
      </c>
      <c r="AK3420" s="306" t="str">
        <f>IF(ISNUMBER(Table1[[#This Row],[FECHA DE RECIBIDO]]), Table1[[#This Row],[FECHA DE RECIBIDO]]-DATE(2023,8,30), "")</f>
        <v/>
      </c>
    </row>
    <row r="3421" spans="1:37" ht="15" customHeight="1">
      <c r="A3421" s="150" t="s">
        <v>4175</v>
      </c>
      <c r="B3421" s="151">
        <v>1174</v>
      </c>
      <c r="C3421" s="126" t="s">
        <v>1507</v>
      </c>
      <c r="D3421">
        <v>2363</v>
      </c>
      <c r="E3421" s="126" t="s">
        <v>1598</v>
      </c>
      <c r="F3421" s="122" t="s">
        <v>1607</v>
      </c>
      <c r="G3421" s="122" t="s">
        <v>134</v>
      </c>
      <c r="H3421">
        <v>156</v>
      </c>
      <c r="I3421" s="122" t="s">
        <v>1546</v>
      </c>
      <c r="J3421" s="307" t="s">
        <v>214</v>
      </c>
      <c r="K3421" s="127" t="s">
        <v>4112</v>
      </c>
      <c r="L3421" s="151" t="s">
        <v>1579</v>
      </c>
      <c r="M3421">
        <v>207</v>
      </c>
      <c r="N3421" s="123">
        <v>17</v>
      </c>
      <c r="O3421">
        <v>2252</v>
      </c>
      <c r="P3421" s="132" t="s">
        <v>77</v>
      </c>
      <c r="Q3421" s="131">
        <v>9051.1200000000008</v>
      </c>
      <c r="R3421" s="131">
        <v>1448.18</v>
      </c>
      <c r="S3421" s="131"/>
      <c r="T3421" s="155"/>
      <c r="U3421" s="131"/>
      <c r="V3421" s="131">
        <v>10499.300000000001</v>
      </c>
      <c r="W3421"/>
      <c r="X3421" s="151" t="s">
        <v>1644</v>
      </c>
      <c r="Y3421" s="135" t="s">
        <v>55</v>
      </c>
      <c r="Z3421" s="307">
        <v>230</v>
      </c>
      <c r="AB3421" t="str">
        <f>IF(Table1[[#This Row],[TIPO2]]="costo", VLOOKUP(Table1[[#This Row],[PARTIDA PRESUPUESTAL]],'Cost Report'!G:G,1,0),"Balance")</f>
        <v>2494-007</v>
      </c>
      <c r="AC3421" s="118"/>
      <c r="AD3421" s="159">
        <f>+Table1[[#This Row],[SUBTOTAL]]+Table1[[#This Row],[IVA]]-Table1[[#This Row],[RET IVA]]-Table1[[#This Row],[RET ISR]]-Table1[[#This Row],[TOTAL]]</f>
        <v>0</v>
      </c>
      <c r="AE3421" s="150"/>
      <c r="AF3421" s="151"/>
      <c r="AG3421" s="126" t="s">
        <v>3420</v>
      </c>
      <c r="AK3421" s="306" t="str">
        <f>IF(ISNUMBER(Table1[[#This Row],[FECHA DE RECIBIDO]]), Table1[[#This Row],[FECHA DE RECIBIDO]]-DATE(2023,8,30), "")</f>
        <v/>
      </c>
    </row>
    <row r="3422" spans="1:37" ht="15" customHeight="1">
      <c r="A3422" s="152" t="s">
        <v>4175</v>
      </c>
      <c r="B3422" s="153">
        <v>1174</v>
      </c>
      <c r="C3422" s="126" t="s">
        <v>1505</v>
      </c>
      <c r="D3422">
        <v>2364</v>
      </c>
      <c r="E3422" s="126" t="s">
        <v>1598</v>
      </c>
      <c r="F3422" s="125" t="s">
        <v>1607</v>
      </c>
      <c r="G3422" s="125" t="s">
        <v>134</v>
      </c>
      <c r="H3422">
        <v>156</v>
      </c>
      <c r="I3422" s="125" t="s">
        <v>1546</v>
      </c>
      <c r="J3422" s="308" t="s">
        <v>214</v>
      </c>
      <c r="K3422" s="127" t="s">
        <v>4112</v>
      </c>
      <c r="L3422" s="153" t="s">
        <v>1579</v>
      </c>
      <c r="M3422">
        <v>207</v>
      </c>
      <c r="N3422" s="123">
        <v>17</v>
      </c>
      <c r="O3422">
        <v>2253</v>
      </c>
      <c r="P3422" s="132" t="s">
        <v>77</v>
      </c>
      <c r="Q3422" s="132">
        <v>3447.93</v>
      </c>
      <c r="R3422" s="132">
        <v>551.66999999999996</v>
      </c>
      <c r="S3422" s="132"/>
      <c r="T3422" s="156"/>
      <c r="U3422" s="132"/>
      <c r="V3422" s="132">
        <v>3999.6</v>
      </c>
      <c r="W3422"/>
      <c r="X3422" s="153" t="s">
        <v>1644</v>
      </c>
      <c r="Y3422" s="124" t="s">
        <v>55</v>
      </c>
      <c r="Z3422" s="308">
        <v>230</v>
      </c>
      <c r="AB3422" t="str">
        <f>IF(Table1[[#This Row],[TIPO2]]="costo", VLOOKUP(Table1[[#This Row],[PARTIDA PRESUPUESTAL]],'Cost Report'!G:G,1,0),"Balance")</f>
        <v>2494-003</v>
      </c>
      <c r="AC3422" s="118"/>
      <c r="AD3422" s="159">
        <f>+Table1[[#This Row],[SUBTOTAL]]+Table1[[#This Row],[IVA]]-Table1[[#This Row],[RET IVA]]-Table1[[#This Row],[RET ISR]]-Table1[[#This Row],[TOTAL]]</f>
        <v>0</v>
      </c>
      <c r="AE3422" s="152"/>
      <c r="AF3422" s="153"/>
      <c r="AG3422" s="126" t="s">
        <v>3420</v>
      </c>
      <c r="AK3422" s="306" t="str">
        <f>IF(ISNUMBER(Table1[[#This Row],[FECHA DE RECIBIDO]]), Table1[[#This Row],[FECHA DE RECIBIDO]]-DATE(2023,8,30), "")</f>
        <v/>
      </c>
    </row>
    <row r="3423" spans="1:37" ht="15" customHeight="1">
      <c r="A3423" s="150" t="s">
        <v>4175</v>
      </c>
      <c r="B3423" s="151">
        <v>1174</v>
      </c>
      <c r="C3423" s="126" t="s">
        <v>1505</v>
      </c>
      <c r="D3423">
        <v>2365</v>
      </c>
      <c r="E3423" s="126" t="s">
        <v>1598</v>
      </c>
      <c r="F3423" s="122" t="s">
        <v>1607</v>
      </c>
      <c r="G3423" s="122" t="s">
        <v>134</v>
      </c>
      <c r="H3423">
        <v>101</v>
      </c>
      <c r="I3423" s="122" t="s">
        <v>1546</v>
      </c>
      <c r="J3423" s="307" t="s">
        <v>214</v>
      </c>
      <c r="K3423" s="127" t="s">
        <v>4112</v>
      </c>
      <c r="L3423" s="151" t="s">
        <v>1579</v>
      </c>
      <c r="M3423">
        <v>136</v>
      </c>
      <c r="N3423" s="123">
        <v>17</v>
      </c>
      <c r="O3423">
        <v>2254</v>
      </c>
      <c r="P3423" s="132" t="s">
        <v>77</v>
      </c>
      <c r="Q3423" s="131">
        <v>645.69000000000005</v>
      </c>
      <c r="R3423" s="131">
        <v>103.31</v>
      </c>
      <c r="S3423" s="131"/>
      <c r="T3423" s="155"/>
      <c r="U3423" s="131"/>
      <c r="V3423" s="131">
        <v>749</v>
      </c>
      <c r="W3423"/>
      <c r="X3423" s="151" t="s">
        <v>1644</v>
      </c>
      <c r="Y3423" s="135" t="s">
        <v>55</v>
      </c>
      <c r="Z3423" s="307">
        <v>238</v>
      </c>
      <c r="AB3423" t="str">
        <f>IF(Table1[[#This Row],[TIPO2]]="costo", VLOOKUP(Table1[[#This Row],[PARTIDA PRESUPUESTAL]],'Cost Report'!G:G,1,0),"Balance")</f>
        <v>2494-003</v>
      </c>
      <c r="AC3423" s="118"/>
      <c r="AD3423" s="159">
        <f>+Table1[[#This Row],[SUBTOTAL]]+Table1[[#This Row],[IVA]]-Table1[[#This Row],[RET IVA]]-Table1[[#This Row],[RET ISR]]-Table1[[#This Row],[TOTAL]]</f>
        <v>0</v>
      </c>
      <c r="AE3423" s="150"/>
      <c r="AF3423" s="151"/>
      <c r="AG3423" s="126" t="s">
        <v>3420</v>
      </c>
      <c r="AK3423" s="306" t="str">
        <f>IF(ISNUMBER(Table1[[#This Row],[FECHA DE RECIBIDO]]), Table1[[#This Row],[FECHA DE RECIBIDO]]-DATE(2023,8,30), "")</f>
        <v/>
      </c>
    </row>
    <row r="3424" spans="1:37" ht="15" customHeight="1">
      <c r="A3424" s="152" t="s">
        <v>4175</v>
      </c>
      <c r="B3424" s="153">
        <v>1174</v>
      </c>
      <c r="C3424" s="126" t="s">
        <v>1505</v>
      </c>
      <c r="D3424">
        <v>2366</v>
      </c>
      <c r="E3424" s="126" t="s">
        <v>1598</v>
      </c>
      <c r="F3424" s="125" t="s">
        <v>1607</v>
      </c>
      <c r="G3424" s="125" t="s">
        <v>134</v>
      </c>
      <c r="H3424">
        <v>97</v>
      </c>
      <c r="I3424" s="125" t="s">
        <v>1546</v>
      </c>
      <c r="J3424" s="308" t="s">
        <v>214</v>
      </c>
      <c r="K3424" s="127" t="s">
        <v>4112</v>
      </c>
      <c r="L3424" s="153" t="s">
        <v>1579</v>
      </c>
      <c r="M3424">
        <v>926</v>
      </c>
      <c r="N3424" s="123">
        <v>17</v>
      </c>
      <c r="O3424">
        <v>2255</v>
      </c>
      <c r="P3424" s="132" t="s">
        <v>77</v>
      </c>
      <c r="Q3424" s="132">
        <v>386.21</v>
      </c>
      <c r="R3424" s="132">
        <v>61.79</v>
      </c>
      <c r="S3424" s="132"/>
      <c r="T3424" s="156"/>
      <c r="U3424" s="132"/>
      <c r="V3424" s="132">
        <v>448</v>
      </c>
      <c r="W3424"/>
      <c r="X3424" s="153" t="s">
        <v>1644</v>
      </c>
      <c r="Y3424" s="124" t="s">
        <v>55</v>
      </c>
      <c r="Z3424" s="308">
        <v>238</v>
      </c>
      <c r="AB3424" t="str">
        <f>IF(Table1[[#This Row],[TIPO2]]="costo", VLOOKUP(Table1[[#This Row],[PARTIDA PRESUPUESTAL]],'Cost Report'!G:G,1,0),"Balance")</f>
        <v>2494-003</v>
      </c>
      <c r="AC3424" s="118"/>
      <c r="AD3424" s="159">
        <f>+Table1[[#This Row],[SUBTOTAL]]+Table1[[#This Row],[IVA]]-Table1[[#This Row],[RET IVA]]-Table1[[#This Row],[RET ISR]]-Table1[[#This Row],[TOTAL]]</f>
        <v>0</v>
      </c>
      <c r="AE3424" s="152"/>
      <c r="AF3424" s="153"/>
      <c r="AG3424" s="126" t="s">
        <v>3420</v>
      </c>
      <c r="AK3424" s="306" t="str">
        <f>IF(ISNUMBER(Table1[[#This Row],[FECHA DE RECIBIDO]]), Table1[[#This Row],[FECHA DE RECIBIDO]]-DATE(2023,8,30), "")</f>
        <v/>
      </c>
    </row>
    <row r="3425" spans="1:37" ht="15" customHeight="1">
      <c r="A3425" s="150" t="s">
        <v>4175</v>
      </c>
      <c r="B3425" s="151">
        <v>1174</v>
      </c>
      <c r="C3425" s="126" t="s">
        <v>1505</v>
      </c>
      <c r="D3425">
        <v>2367</v>
      </c>
      <c r="E3425" s="126" t="s">
        <v>3356</v>
      </c>
      <c r="F3425" s="122" t="s">
        <v>1607</v>
      </c>
      <c r="G3425" s="122" t="s">
        <v>134</v>
      </c>
      <c r="H3425">
        <v>177</v>
      </c>
      <c r="I3425" s="122" t="s">
        <v>1546</v>
      </c>
      <c r="J3425" s="307" t="s">
        <v>214</v>
      </c>
      <c r="K3425" s="127" t="s">
        <v>4112</v>
      </c>
      <c r="L3425" s="151" t="s">
        <v>1579</v>
      </c>
      <c r="M3425">
        <v>238</v>
      </c>
      <c r="N3425" s="123">
        <v>17</v>
      </c>
      <c r="O3425">
        <v>2256</v>
      </c>
      <c r="P3425" s="132" t="s">
        <v>77</v>
      </c>
      <c r="Q3425" s="131">
        <v>68.95</v>
      </c>
      <c r="R3425" s="131">
        <v>11.03</v>
      </c>
      <c r="S3425" s="131"/>
      <c r="T3425" s="155"/>
      <c r="U3425" s="131"/>
      <c r="V3425" s="131">
        <v>79.98</v>
      </c>
      <c r="W3425"/>
      <c r="X3425" s="151" t="s">
        <v>1644</v>
      </c>
      <c r="Y3425" s="135" t="s">
        <v>55</v>
      </c>
      <c r="Z3425" s="307">
        <v>238</v>
      </c>
      <c r="AB3425" t="str">
        <f>IF(Table1[[#This Row],[TIPO2]]="costo", VLOOKUP(Table1[[#This Row],[PARTIDA PRESUPUESTAL]],'Cost Report'!G:G,1,0),"Balance")</f>
        <v>2494-003</v>
      </c>
      <c r="AC3425" s="118"/>
      <c r="AD3425" s="159">
        <f>+Table1[[#This Row],[SUBTOTAL]]+Table1[[#This Row],[IVA]]-Table1[[#This Row],[RET IVA]]-Table1[[#This Row],[RET ISR]]-Table1[[#This Row],[TOTAL]]</f>
        <v>0</v>
      </c>
      <c r="AE3425" s="150"/>
      <c r="AF3425" s="151"/>
      <c r="AG3425" s="126" t="s">
        <v>3420</v>
      </c>
      <c r="AK3425" s="306" t="str">
        <f>IF(ISNUMBER(Table1[[#This Row],[FECHA DE RECIBIDO]]), Table1[[#This Row],[FECHA DE RECIBIDO]]-DATE(2023,8,30), "")</f>
        <v/>
      </c>
    </row>
    <row r="3426" spans="1:37" ht="15" customHeight="1">
      <c r="A3426" s="152" t="s">
        <v>4175</v>
      </c>
      <c r="B3426" s="153">
        <v>1174</v>
      </c>
      <c r="C3426" s="126" t="s">
        <v>1505</v>
      </c>
      <c r="D3426">
        <v>2368</v>
      </c>
      <c r="E3426" s="126" t="s">
        <v>1598</v>
      </c>
      <c r="F3426" s="125" t="s">
        <v>1607</v>
      </c>
      <c r="G3426" s="125" t="s">
        <v>134</v>
      </c>
      <c r="H3426">
        <v>156</v>
      </c>
      <c r="I3426" s="125" t="s">
        <v>1546</v>
      </c>
      <c r="J3426" s="308" t="s">
        <v>214</v>
      </c>
      <c r="K3426" s="127" t="s">
        <v>4112</v>
      </c>
      <c r="L3426" s="153" t="s">
        <v>1579</v>
      </c>
      <c r="M3426">
        <v>207</v>
      </c>
      <c r="N3426" s="123">
        <v>17</v>
      </c>
      <c r="O3426">
        <v>2257</v>
      </c>
      <c r="P3426" s="132" t="s">
        <v>77</v>
      </c>
      <c r="Q3426" s="132">
        <v>1318.23</v>
      </c>
      <c r="R3426" s="132">
        <v>210.92</v>
      </c>
      <c r="S3426" s="132"/>
      <c r="T3426" s="156"/>
      <c r="U3426" s="132"/>
      <c r="V3426" s="132">
        <v>1529.15</v>
      </c>
      <c r="W3426"/>
      <c r="X3426" s="153" t="s">
        <v>1644</v>
      </c>
      <c r="Y3426" s="124" t="s">
        <v>55</v>
      </c>
      <c r="Z3426" s="308">
        <v>231</v>
      </c>
      <c r="AB3426" t="str">
        <f>IF(Table1[[#This Row],[TIPO2]]="costo", VLOOKUP(Table1[[#This Row],[PARTIDA PRESUPUESTAL]],'Cost Report'!G:G,1,0),"Balance")</f>
        <v>2494-003</v>
      </c>
      <c r="AC3426" s="118"/>
      <c r="AD3426" s="159">
        <f>+Table1[[#This Row],[SUBTOTAL]]+Table1[[#This Row],[IVA]]-Table1[[#This Row],[RET IVA]]-Table1[[#This Row],[RET ISR]]-Table1[[#This Row],[TOTAL]]</f>
        <v>0</v>
      </c>
      <c r="AE3426" s="152"/>
      <c r="AF3426" s="153"/>
      <c r="AG3426" s="126" t="s">
        <v>3420</v>
      </c>
      <c r="AK3426" s="306" t="str">
        <f>IF(ISNUMBER(Table1[[#This Row],[FECHA DE RECIBIDO]]), Table1[[#This Row],[FECHA DE RECIBIDO]]-DATE(2023,8,30), "")</f>
        <v/>
      </c>
    </row>
    <row r="3427" spans="1:37" ht="15" customHeight="1">
      <c r="A3427" s="150" t="s">
        <v>4175</v>
      </c>
      <c r="B3427" s="151">
        <v>1174</v>
      </c>
      <c r="C3427" s="126" t="s">
        <v>1505</v>
      </c>
      <c r="D3427">
        <v>2369</v>
      </c>
      <c r="E3427" s="126" t="s">
        <v>1598</v>
      </c>
      <c r="F3427" s="122" t="s">
        <v>1607</v>
      </c>
      <c r="G3427" s="122" t="s">
        <v>134</v>
      </c>
      <c r="H3427">
        <v>658</v>
      </c>
      <c r="I3427" s="122" t="s">
        <v>1546</v>
      </c>
      <c r="J3427" s="307" t="s">
        <v>214</v>
      </c>
      <c r="K3427" s="127" t="s">
        <v>4112</v>
      </c>
      <c r="L3427" s="151" t="s">
        <v>1579</v>
      </c>
      <c r="M3427">
        <v>927</v>
      </c>
      <c r="N3427" s="123">
        <v>17</v>
      </c>
      <c r="O3427">
        <v>2258</v>
      </c>
      <c r="P3427" s="132" t="s">
        <v>77</v>
      </c>
      <c r="Q3427" s="131">
        <v>1283.6199999999999</v>
      </c>
      <c r="R3427" s="131">
        <v>205.38</v>
      </c>
      <c r="S3427" s="131"/>
      <c r="T3427" s="155"/>
      <c r="U3427" s="131"/>
      <c r="V3427" s="131">
        <v>1489</v>
      </c>
      <c r="W3427"/>
      <c r="X3427" s="151" t="s">
        <v>1644</v>
      </c>
      <c r="Y3427" s="135" t="s">
        <v>55</v>
      </c>
      <c r="Z3427" s="307">
        <v>231</v>
      </c>
      <c r="AB3427" t="str">
        <f>IF(Table1[[#This Row],[TIPO2]]="costo", VLOOKUP(Table1[[#This Row],[PARTIDA PRESUPUESTAL]],'Cost Report'!G:G,1,0),"Balance")</f>
        <v>2494-003</v>
      </c>
      <c r="AC3427" s="118"/>
      <c r="AD3427" s="159">
        <f>+Table1[[#This Row],[SUBTOTAL]]+Table1[[#This Row],[IVA]]-Table1[[#This Row],[RET IVA]]-Table1[[#This Row],[RET ISR]]-Table1[[#This Row],[TOTAL]]</f>
        <v>0</v>
      </c>
      <c r="AE3427" s="150"/>
      <c r="AF3427" s="151"/>
      <c r="AG3427" s="126" t="s">
        <v>3420</v>
      </c>
      <c r="AK3427" s="306" t="str">
        <f>IF(ISNUMBER(Table1[[#This Row],[FECHA DE RECIBIDO]]), Table1[[#This Row],[FECHA DE RECIBIDO]]-DATE(2023,8,30), "")</f>
        <v/>
      </c>
    </row>
    <row r="3428" spans="1:37" ht="15" customHeight="1">
      <c r="A3428" s="152" t="s">
        <v>4175</v>
      </c>
      <c r="B3428" s="153">
        <v>1174</v>
      </c>
      <c r="C3428" s="126" t="s">
        <v>1505</v>
      </c>
      <c r="D3428">
        <v>2370</v>
      </c>
      <c r="E3428" s="126" t="s">
        <v>1598</v>
      </c>
      <c r="F3428" s="125" t="s">
        <v>1607</v>
      </c>
      <c r="G3428" s="125" t="s">
        <v>134</v>
      </c>
      <c r="H3428">
        <v>156</v>
      </c>
      <c r="I3428" s="125" t="s">
        <v>1546</v>
      </c>
      <c r="J3428" s="308" t="s">
        <v>214</v>
      </c>
      <c r="K3428" s="127" t="s">
        <v>4112</v>
      </c>
      <c r="L3428" s="153" t="s">
        <v>1579</v>
      </c>
      <c r="M3428">
        <v>207</v>
      </c>
      <c r="N3428" s="123">
        <v>17</v>
      </c>
      <c r="O3428">
        <v>2259</v>
      </c>
      <c r="P3428" s="132" t="s">
        <v>77</v>
      </c>
      <c r="Q3428" s="132">
        <v>4322.41</v>
      </c>
      <c r="R3428" s="132">
        <v>691.59</v>
      </c>
      <c r="S3428" s="132"/>
      <c r="T3428" s="156"/>
      <c r="U3428" s="132"/>
      <c r="V3428" s="132">
        <v>5014</v>
      </c>
      <c r="W3428"/>
      <c r="X3428" s="153" t="s">
        <v>1644</v>
      </c>
      <c r="Y3428" s="124" t="s">
        <v>55</v>
      </c>
      <c r="Z3428" s="308">
        <v>231</v>
      </c>
      <c r="AB3428" t="str">
        <f>IF(Table1[[#This Row],[TIPO2]]="costo", VLOOKUP(Table1[[#This Row],[PARTIDA PRESUPUESTAL]],'Cost Report'!G:G,1,0),"Balance")</f>
        <v>2494-003</v>
      </c>
      <c r="AC3428" s="118"/>
      <c r="AD3428" s="159">
        <f>+Table1[[#This Row],[SUBTOTAL]]+Table1[[#This Row],[IVA]]-Table1[[#This Row],[RET IVA]]-Table1[[#This Row],[RET ISR]]-Table1[[#This Row],[TOTAL]]</f>
        <v>0</v>
      </c>
      <c r="AE3428" s="152"/>
      <c r="AF3428" s="153"/>
      <c r="AG3428" s="126" t="s">
        <v>3420</v>
      </c>
      <c r="AK3428" s="306" t="str">
        <f>IF(ISNUMBER(Table1[[#This Row],[FECHA DE RECIBIDO]]), Table1[[#This Row],[FECHA DE RECIBIDO]]-DATE(2023,8,30), "")</f>
        <v/>
      </c>
    </row>
    <row r="3429" spans="1:37" ht="15" customHeight="1">
      <c r="A3429" s="150" t="s">
        <v>4175</v>
      </c>
      <c r="B3429" s="151">
        <v>1174</v>
      </c>
      <c r="C3429" s="126" t="s">
        <v>2455</v>
      </c>
      <c r="D3429">
        <v>2371</v>
      </c>
      <c r="E3429" s="126" t="s">
        <v>1600</v>
      </c>
      <c r="F3429" s="122" t="s">
        <v>1607</v>
      </c>
      <c r="G3429" s="122" t="s">
        <v>134</v>
      </c>
      <c r="H3429">
        <v>275</v>
      </c>
      <c r="I3429" s="122" t="s">
        <v>1546</v>
      </c>
      <c r="J3429" s="307" t="s">
        <v>214</v>
      </c>
      <c r="K3429" s="127" t="s">
        <v>4112</v>
      </c>
      <c r="L3429" s="151" t="s">
        <v>1579</v>
      </c>
      <c r="M3429">
        <v>367</v>
      </c>
      <c r="N3429" s="123">
        <v>17</v>
      </c>
      <c r="O3429">
        <v>2260</v>
      </c>
      <c r="P3429" s="132" t="s">
        <v>77</v>
      </c>
      <c r="Q3429" s="131">
        <v>869.82</v>
      </c>
      <c r="R3429" s="131">
        <v>139.16999999999999</v>
      </c>
      <c r="S3429" s="131"/>
      <c r="T3429" s="155"/>
      <c r="U3429" s="131"/>
      <c r="V3429" s="131">
        <v>1008.99</v>
      </c>
      <c r="W3429"/>
      <c r="X3429" s="151" t="s">
        <v>1644</v>
      </c>
      <c r="Y3429" s="135" t="s">
        <v>55</v>
      </c>
      <c r="Z3429" s="307">
        <v>231</v>
      </c>
      <c r="AB3429" t="str">
        <f>IF(Table1[[#This Row],[TIPO2]]="costo", VLOOKUP(Table1[[#This Row],[PARTIDA PRESUPUESTAL]],'Cost Report'!G:G,1,0),"Balance")</f>
        <v>2285-003</v>
      </c>
      <c r="AC3429" s="118"/>
      <c r="AD3429" s="159">
        <f>+Table1[[#This Row],[SUBTOTAL]]+Table1[[#This Row],[IVA]]-Table1[[#This Row],[RET IVA]]-Table1[[#This Row],[RET ISR]]-Table1[[#This Row],[TOTAL]]</f>
        <v>0</v>
      </c>
      <c r="AE3429" s="150"/>
      <c r="AF3429" s="151"/>
      <c r="AG3429" s="126" t="s">
        <v>3420</v>
      </c>
      <c r="AK3429" s="306" t="str">
        <f>IF(ISNUMBER(Table1[[#This Row],[FECHA DE RECIBIDO]]), Table1[[#This Row],[FECHA DE RECIBIDO]]-DATE(2023,8,30), "")</f>
        <v/>
      </c>
    </row>
    <row r="3430" spans="1:37" ht="15" customHeight="1">
      <c r="A3430" s="152" t="s">
        <v>4175</v>
      </c>
      <c r="B3430" s="153">
        <v>1174</v>
      </c>
      <c r="C3430" s="126" t="s">
        <v>2455</v>
      </c>
      <c r="D3430">
        <v>2372</v>
      </c>
      <c r="E3430" s="126" t="s">
        <v>1997</v>
      </c>
      <c r="F3430" s="125" t="s">
        <v>1382</v>
      </c>
      <c r="G3430" s="125" t="e">
        <v>#N/A</v>
      </c>
      <c r="H3430">
        <v>31</v>
      </c>
      <c r="I3430" s="125" t="s">
        <v>1546</v>
      </c>
      <c r="J3430" s="308" t="s">
        <v>214</v>
      </c>
      <c r="K3430" s="127" t="s">
        <v>4112</v>
      </c>
      <c r="L3430" s="153" t="s">
        <v>1579</v>
      </c>
      <c r="M3430">
        <v>69</v>
      </c>
      <c r="N3430" s="123">
        <v>17</v>
      </c>
      <c r="O3430">
        <v>2261</v>
      </c>
      <c r="P3430" s="132" t="s">
        <v>77</v>
      </c>
      <c r="Q3430" s="132">
        <v>49</v>
      </c>
      <c r="R3430" s="132"/>
      <c r="S3430" s="132"/>
      <c r="T3430" s="156"/>
      <c r="U3430" s="132"/>
      <c r="V3430" s="132">
        <v>49</v>
      </c>
      <c r="W3430"/>
      <c r="X3430" s="153" t="s">
        <v>1644</v>
      </c>
      <c r="Y3430" s="124" t="s">
        <v>55</v>
      </c>
      <c r="Z3430" s="308">
        <v>238</v>
      </c>
      <c r="AB3430" t="str">
        <f>IF(Table1[[#This Row],[TIPO2]]="costo", VLOOKUP(Table1[[#This Row],[PARTIDA PRESUPUESTAL]],'Cost Report'!G:G,1,0),"Balance")</f>
        <v>2285-003</v>
      </c>
      <c r="AC3430" s="118"/>
      <c r="AD3430" s="159">
        <f>+Table1[[#This Row],[SUBTOTAL]]+Table1[[#This Row],[IVA]]-Table1[[#This Row],[RET IVA]]-Table1[[#This Row],[RET ISR]]-Table1[[#This Row],[TOTAL]]</f>
        <v>0</v>
      </c>
      <c r="AE3430" s="152"/>
      <c r="AF3430" s="153"/>
      <c r="AG3430" s="126" t="s">
        <v>3420</v>
      </c>
      <c r="AK3430" s="306" t="str">
        <f>IF(ISNUMBER(Table1[[#This Row],[FECHA DE RECIBIDO]]), Table1[[#This Row],[FECHA DE RECIBIDO]]-DATE(2023,8,30), "")</f>
        <v/>
      </c>
    </row>
    <row r="3431" spans="1:37" ht="15" customHeight="1">
      <c r="A3431" s="150" t="s">
        <v>4175</v>
      </c>
      <c r="B3431" s="151">
        <v>1174</v>
      </c>
      <c r="C3431" s="126" t="s">
        <v>1505</v>
      </c>
      <c r="D3431">
        <v>2373</v>
      </c>
      <c r="E3431" s="126" t="s">
        <v>1598</v>
      </c>
      <c r="F3431" s="122" t="s">
        <v>1607</v>
      </c>
      <c r="G3431" s="122" t="s">
        <v>134</v>
      </c>
      <c r="H3431">
        <v>156</v>
      </c>
      <c r="I3431" s="122" t="s">
        <v>1546</v>
      </c>
      <c r="J3431" s="307" t="s">
        <v>214</v>
      </c>
      <c r="K3431" s="127" t="s">
        <v>4112</v>
      </c>
      <c r="L3431" s="151" t="s">
        <v>1579</v>
      </c>
      <c r="M3431">
        <v>207</v>
      </c>
      <c r="N3431" s="123">
        <v>17</v>
      </c>
      <c r="O3431">
        <v>2262</v>
      </c>
      <c r="P3431" s="132" t="s">
        <v>77</v>
      </c>
      <c r="Q3431" s="131">
        <v>1757.16</v>
      </c>
      <c r="R3431" s="131">
        <v>281.14999999999998</v>
      </c>
      <c r="S3431" s="131"/>
      <c r="T3431" s="155"/>
      <c r="U3431" s="131"/>
      <c r="V3431" s="131">
        <v>2038.31</v>
      </c>
      <c r="W3431"/>
      <c r="X3431" s="151" t="s">
        <v>1644</v>
      </c>
      <c r="Y3431" s="135" t="s">
        <v>55</v>
      </c>
      <c r="Z3431" s="307">
        <v>233</v>
      </c>
      <c r="AB3431" t="str">
        <f>IF(Table1[[#This Row],[TIPO2]]="costo", VLOOKUP(Table1[[#This Row],[PARTIDA PRESUPUESTAL]],'Cost Report'!G:G,1,0),"Balance")</f>
        <v>2494-003</v>
      </c>
      <c r="AC3431" s="118"/>
      <c r="AD3431" s="159">
        <f>+Table1[[#This Row],[SUBTOTAL]]+Table1[[#This Row],[IVA]]-Table1[[#This Row],[RET IVA]]-Table1[[#This Row],[RET ISR]]-Table1[[#This Row],[TOTAL]]</f>
        <v>0</v>
      </c>
      <c r="AE3431" s="150"/>
      <c r="AF3431" s="151"/>
      <c r="AG3431" s="126" t="s">
        <v>3420</v>
      </c>
      <c r="AK3431" s="306" t="str">
        <f>IF(ISNUMBER(Table1[[#This Row],[FECHA DE RECIBIDO]]), Table1[[#This Row],[FECHA DE RECIBIDO]]-DATE(2023,8,30), "")</f>
        <v/>
      </c>
    </row>
    <row r="3432" spans="1:37" ht="15" customHeight="1">
      <c r="A3432" s="152" t="s">
        <v>4175</v>
      </c>
      <c r="B3432" s="153">
        <v>1174</v>
      </c>
      <c r="C3432" s="126" t="s">
        <v>610</v>
      </c>
      <c r="D3432">
        <v>2374</v>
      </c>
      <c r="E3432" s="126" t="s">
        <v>1603</v>
      </c>
      <c r="F3432" s="125" t="s">
        <v>1607</v>
      </c>
      <c r="G3432" s="125" t="s">
        <v>134</v>
      </c>
      <c r="H3432">
        <v>278</v>
      </c>
      <c r="I3432" s="125" t="s">
        <v>1546</v>
      </c>
      <c r="J3432" s="308" t="s">
        <v>214</v>
      </c>
      <c r="K3432" s="127" t="s">
        <v>4112</v>
      </c>
      <c r="L3432" s="153" t="s">
        <v>1579</v>
      </c>
      <c r="M3432">
        <v>370</v>
      </c>
      <c r="N3432" s="123">
        <v>17</v>
      </c>
      <c r="O3432">
        <v>2263</v>
      </c>
      <c r="P3432" s="132" t="s">
        <v>77</v>
      </c>
      <c r="Q3432" s="132">
        <v>477.59</v>
      </c>
      <c r="R3432" s="132">
        <v>76.41</v>
      </c>
      <c r="S3432" s="132"/>
      <c r="T3432" s="156"/>
      <c r="U3432" s="132"/>
      <c r="V3432" s="132">
        <v>554</v>
      </c>
      <c r="W3432"/>
      <c r="X3432" s="153" t="s">
        <v>1644</v>
      </c>
      <c r="Y3432" s="124" t="s">
        <v>55</v>
      </c>
      <c r="Z3432" s="308">
        <v>232</v>
      </c>
      <c r="AB3432" t="str">
        <f>IF(Table1[[#This Row],[TIPO2]]="costo", VLOOKUP(Table1[[#This Row],[PARTIDA PRESUPUESTAL]],'Cost Report'!G:G,1,0),"Balance")</f>
        <v>2485-003</v>
      </c>
      <c r="AC3432" s="118"/>
      <c r="AD3432" s="159">
        <f>+Table1[[#This Row],[SUBTOTAL]]+Table1[[#This Row],[IVA]]-Table1[[#This Row],[RET IVA]]-Table1[[#This Row],[RET ISR]]-Table1[[#This Row],[TOTAL]]</f>
        <v>0</v>
      </c>
      <c r="AE3432" s="152"/>
      <c r="AF3432" s="153"/>
      <c r="AG3432" s="126" t="s">
        <v>3420</v>
      </c>
      <c r="AK3432" s="306" t="str">
        <f>IF(ISNUMBER(Table1[[#This Row],[FECHA DE RECIBIDO]]), Table1[[#This Row],[FECHA DE RECIBIDO]]-DATE(2023,8,30), "")</f>
        <v/>
      </c>
    </row>
    <row r="3433" spans="1:37" ht="15" customHeight="1">
      <c r="A3433" s="150" t="s">
        <v>4175</v>
      </c>
      <c r="B3433" s="151">
        <v>1174</v>
      </c>
      <c r="C3433" s="126" t="s">
        <v>1505</v>
      </c>
      <c r="D3433">
        <v>2375</v>
      </c>
      <c r="E3433" s="126" t="s">
        <v>1987</v>
      </c>
      <c r="F3433" s="122" t="s">
        <v>1607</v>
      </c>
      <c r="G3433" s="122" t="s">
        <v>134</v>
      </c>
      <c r="H3433">
        <v>659</v>
      </c>
      <c r="I3433" s="122" t="s">
        <v>1546</v>
      </c>
      <c r="J3433" s="307" t="s">
        <v>214</v>
      </c>
      <c r="K3433" s="127" t="s">
        <v>4112</v>
      </c>
      <c r="L3433" s="151" t="s">
        <v>1579</v>
      </c>
      <c r="M3433">
        <v>928</v>
      </c>
      <c r="N3433" s="123">
        <v>17</v>
      </c>
      <c r="O3433">
        <v>2264</v>
      </c>
      <c r="P3433" s="132" t="s">
        <v>77</v>
      </c>
      <c r="Q3433" s="131">
        <v>521.80999999999995</v>
      </c>
      <c r="R3433" s="131">
        <v>83.49</v>
      </c>
      <c r="S3433" s="131"/>
      <c r="T3433" s="155"/>
      <c r="U3433" s="131"/>
      <c r="V3433" s="131">
        <v>605.29999999999995</v>
      </c>
      <c r="W3433"/>
      <c r="X3433" s="151" t="s">
        <v>1644</v>
      </c>
      <c r="Y3433" s="135" t="s">
        <v>55</v>
      </c>
      <c r="Z3433" s="307">
        <v>236</v>
      </c>
      <c r="AB3433" t="str">
        <f>IF(Table1[[#This Row],[TIPO2]]="costo", VLOOKUP(Table1[[#This Row],[PARTIDA PRESUPUESTAL]],'Cost Report'!G:G,1,0),"Balance")</f>
        <v>2494-003</v>
      </c>
      <c r="AC3433" s="118"/>
      <c r="AD3433" s="159">
        <f>+Table1[[#This Row],[SUBTOTAL]]+Table1[[#This Row],[IVA]]-Table1[[#This Row],[RET IVA]]-Table1[[#This Row],[RET ISR]]-Table1[[#This Row],[TOTAL]]</f>
        <v>0</v>
      </c>
      <c r="AE3433" s="150"/>
      <c r="AF3433" s="151"/>
      <c r="AG3433" s="126" t="s">
        <v>3420</v>
      </c>
      <c r="AK3433" s="306" t="str">
        <f>IF(ISNUMBER(Table1[[#This Row],[FECHA DE RECIBIDO]]), Table1[[#This Row],[FECHA DE RECIBIDO]]-DATE(2023,8,30), "")</f>
        <v/>
      </c>
    </row>
    <row r="3434" spans="1:37" ht="15" customHeight="1">
      <c r="A3434" s="152" t="s">
        <v>4175</v>
      </c>
      <c r="B3434" s="153">
        <v>1174</v>
      </c>
      <c r="C3434" s="126" t="s">
        <v>1507</v>
      </c>
      <c r="D3434">
        <v>2376</v>
      </c>
      <c r="E3434" s="126" t="s">
        <v>1603</v>
      </c>
      <c r="F3434" s="125" t="s">
        <v>1607</v>
      </c>
      <c r="G3434" s="125" t="s">
        <v>134</v>
      </c>
      <c r="H3434">
        <v>274</v>
      </c>
      <c r="I3434" s="125" t="s">
        <v>1546</v>
      </c>
      <c r="J3434" s="308" t="s">
        <v>214</v>
      </c>
      <c r="K3434" s="127" t="s">
        <v>4112</v>
      </c>
      <c r="L3434" s="153" t="s">
        <v>1579</v>
      </c>
      <c r="M3434">
        <v>365</v>
      </c>
      <c r="N3434" s="123">
        <v>17</v>
      </c>
      <c r="O3434">
        <v>2265</v>
      </c>
      <c r="P3434" s="132" t="s">
        <v>77</v>
      </c>
      <c r="Q3434" s="132">
        <v>2667.16</v>
      </c>
      <c r="R3434" s="132">
        <v>426.74</v>
      </c>
      <c r="S3434" s="132"/>
      <c r="T3434" s="156"/>
      <c r="U3434" s="132"/>
      <c r="V3434" s="132">
        <v>3093.8999999999996</v>
      </c>
      <c r="W3434"/>
      <c r="X3434" s="153" t="s">
        <v>1644</v>
      </c>
      <c r="Y3434" s="124" t="s">
        <v>55</v>
      </c>
      <c r="Z3434" s="308">
        <v>233</v>
      </c>
      <c r="AB3434" t="str">
        <f>IF(Table1[[#This Row],[TIPO2]]="costo", VLOOKUP(Table1[[#This Row],[PARTIDA PRESUPUESTAL]],'Cost Report'!G:G,1,0),"Balance")</f>
        <v>2494-007</v>
      </c>
      <c r="AC3434" s="118"/>
      <c r="AD3434" s="159">
        <f>+Table1[[#This Row],[SUBTOTAL]]+Table1[[#This Row],[IVA]]-Table1[[#This Row],[RET IVA]]-Table1[[#This Row],[RET ISR]]-Table1[[#This Row],[TOTAL]]</f>
        <v>0</v>
      </c>
      <c r="AE3434" s="152"/>
      <c r="AF3434" s="153"/>
      <c r="AG3434" s="126" t="s">
        <v>3420</v>
      </c>
      <c r="AK3434" s="306" t="str">
        <f>IF(ISNUMBER(Table1[[#This Row],[FECHA DE RECIBIDO]]), Table1[[#This Row],[FECHA DE RECIBIDO]]-DATE(2023,8,30), "")</f>
        <v/>
      </c>
    </row>
    <row r="3435" spans="1:37" ht="15" customHeight="1">
      <c r="A3435" s="150" t="s">
        <v>4175</v>
      </c>
      <c r="B3435" s="151">
        <v>1174</v>
      </c>
      <c r="C3435" s="126" t="s">
        <v>2546</v>
      </c>
      <c r="D3435">
        <v>2377</v>
      </c>
      <c r="E3435" s="126" t="s">
        <v>3662</v>
      </c>
      <c r="F3435" s="122" t="s">
        <v>1607</v>
      </c>
      <c r="G3435" s="122" t="s">
        <v>134</v>
      </c>
      <c r="H3435">
        <v>294</v>
      </c>
      <c r="I3435" s="122" t="s">
        <v>1546</v>
      </c>
      <c r="J3435" s="307" t="s">
        <v>214</v>
      </c>
      <c r="K3435" s="127" t="s">
        <v>4112</v>
      </c>
      <c r="L3435" s="151" t="s">
        <v>1579</v>
      </c>
      <c r="M3435">
        <v>388</v>
      </c>
      <c r="N3435" s="123">
        <v>17</v>
      </c>
      <c r="O3435">
        <v>2266</v>
      </c>
      <c r="P3435" s="132" t="s">
        <v>77</v>
      </c>
      <c r="Q3435" s="131">
        <v>431.76</v>
      </c>
      <c r="R3435" s="131">
        <v>69.08</v>
      </c>
      <c r="S3435" s="131"/>
      <c r="T3435" s="155"/>
      <c r="U3435" s="131"/>
      <c r="V3435" s="131">
        <v>500.84</v>
      </c>
      <c r="W3435"/>
      <c r="X3435" s="151" t="s">
        <v>1644</v>
      </c>
      <c r="Y3435" s="135" t="s">
        <v>55</v>
      </c>
      <c r="Z3435" s="307">
        <v>234</v>
      </c>
      <c r="AB3435" t="str">
        <f>IF(Table1[[#This Row],[TIPO2]]="costo", VLOOKUP(Table1[[#This Row],[PARTIDA PRESUPUESTAL]],'Cost Report'!G:G,1,0),"Balance")</f>
        <v>2494-071</v>
      </c>
      <c r="AC3435" s="118"/>
      <c r="AD3435" s="159">
        <f>+Table1[[#This Row],[SUBTOTAL]]+Table1[[#This Row],[IVA]]-Table1[[#This Row],[RET IVA]]-Table1[[#This Row],[RET ISR]]-Table1[[#This Row],[TOTAL]]</f>
        <v>0</v>
      </c>
      <c r="AE3435" s="150"/>
      <c r="AF3435" s="151"/>
      <c r="AG3435" s="126" t="s">
        <v>3420</v>
      </c>
      <c r="AK3435" s="306" t="str">
        <f>IF(ISNUMBER(Table1[[#This Row],[FECHA DE RECIBIDO]]), Table1[[#This Row],[FECHA DE RECIBIDO]]-DATE(2023,8,30), "")</f>
        <v/>
      </c>
    </row>
    <row r="3436" spans="1:37" ht="15" customHeight="1">
      <c r="A3436" s="152" t="s">
        <v>4175</v>
      </c>
      <c r="B3436" s="153">
        <v>1174</v>
      </c>
      <c r="C3436" s="126" t="s">
        <v>2455</v>
      </c>
      <c r="D3436">
        <v>2378</v>
      </c>
      <c r="E3436" s="126" t="s">
        <v>1605</v>
      </c>
      <c r="F3436" s="125" t="s">
        <v>1382</v>
      </c>
      <c r="G3436" s="125" t="e">
        <v>#N/A</v>
      </c>
      <c r="H3436">
        <v>31</v>
      </c>
      <c r="I3436" s="125" t="s">
        <v>1546</v>
      </c>
      <c r="J3436" s="308" t="s">
        <v>214</v>
      </c>
      <c r="K3436" s="127" t="s">
        <v>4112</v>
      </c>
      <c r="L3436" s="153" t="s">
        <v>1579</v>
      </c>
      <c r="M3436">
        <v>69</v>
      </c>
      <c r="N3436" s="123">
        <v>17</v>
      </c>
      <c r="O3436">
        <v>2267</v>
      </c>
      <c r="P3436" s="132" t="s">
        <v>77</v>
      </c>
      <c r="Q3436" s="132">
        <v>481.07</v>
      </c>
      <c r="R3436" s="132">
        <v>18.940000000000001</v>
      </c>
      <c r="S3436" s="132"/>
      <c r="T3436" s="156"/>
      <c r="U3436" s="132"/>
      <c r="V3436" s="132">
        <v>500.01</v>
      </c>
      <c r="W3436"/>
      <c r="X3436" s="153" t="s">
        <v>1644</v>
      </c>
      <c r="Y3436" s="124" t="s">
        <v>55</v>
      </c>
      <c r="Z3436" s="308">
        <v>239</v>
      </c>
      <c r="AB3436" t="str">
        <f>IF(Table1[[#This Row],[TIPO2]]="costo", VLOOKUP(Table1[[#This Row],[PARTIDA PRESUPUESTAL]],'Cost Report'!G:G,1,0),"Balance")</f>
        <v>2285-003</v>
      </c>
      <c r="AC3436" s="118"/>
      <c r="AD3436" s="159">
        <f>+Table1[[#This Row],[SUBTOTAL]]+Table1[[#This Row],[IVA]]-Table1[[#This Row],[RET IVA]]-Table1[[#This Row],[RET ISR]]-Table1[[#This Row],[TOTAL]]</f>
        <v>0</v>
      </c>
      <c r="AE3436" s="152"/>
      <c r="AF3436" s="153"/>
      <c r="AG3436" s="126" t="s">
        <v>3420</v>
      </c>
      <c r="AK3436" s="306" t="str">
        <f>IF(ISNUMBER(Table1[[#This Row],[FECHA DE RECIBIDO]]), Table1[[#This Row],[FECHA DE RECIBIDO]]-DATE(2023,8,30), "")</f>
        <v/>
      </c>
    </row>
    <row r="3437" spans="1:37" ht="15" customHeight="1">
      <c r="A3437" s="150" t="s">
        <v>4175</v>
      </c>
      <c r="B3437" s="151">
        <v>1174</v>
      </c>
      <c r="C3437" s="126" t="s">
        <v>610</v>
      </c>
      <c r="D3437">
        <v>2379</v>
      </c>
      <c r="E3437" s="126" t="s">
        <v>1603</v>
      </c>
      <c r="F3437" s="122" t="s">
        <v>1607</v>
      </c>
      <c r="G3437" s="122" t="s">
        <v>134</v>
      </c>
      <c r="H3437">
        <v>99</v>
      </c>
      <c r="I3437" s="122" t="s">
        <v>1546</v>
      </c>
      <c r="J3437" s="307" t="s">
        <v>214</v>
      </c>
      <c r="K3437" s="127" t="s">
        <v>4112</v>
      </c>
      <c r="L3437" s="151" t="s">
        <v>1579</v>
      </c>
      <c r="M3437">
        <v>134</v>
      </c>
      <c r="N3437" s="123">
        <v>17</v>
      </c>
      <c r="O3437">
        <v>2268</v>
      </c>
      <c r="P3437" s="132" t="s">
        <v>77</v>
      </c>
      <c r="Q3437" s="131">
        <v>111.21</v>
      </c>
      <c r="R3437" s="131">
        <v>17.79</v>
      </c>
      <c r="S3437" s="131"/>
      <c r="T3437" s="155"/>
      <c r="U3437" s="131"/>
      <c r="V3437" s="131">
        <v>129</v>
      </c>
      <c r="W3437"/>
      <c r="X3437" s="151" t="s">
        <v>1644</v>
      </c>
      <c r="Y3437" s="135" t="s">
        <v>55</v>
      </c>
      <c r="Z3437" s="307">
        <v>233</v>
      </c>
      <c r="AB3437" t="str">
        <f>IF(Table1[[#This Row],[TIPO2]]="costo", VLOOKUP(Table1[[#This Row],[PARTIDA PRESUPUESTAL]],'Cost Report'!G:G,1,0),"Balance")</f>
        <v>2485-003</v>
      </c>
      <c r="AC3437" s="118"/>
      <c r="AD3437" s="159">
        <f>+Table1[[#This Row],[SUBTOTAL]]+Table1[[#This Row],[IVA]]-Table1[[#This Row],[RET IVA]]-Table1[[#This Row],[RET ISR]]-Table1[[#This Row],[TOTAL]]</f>
        <v>0</v>
      </c>
      <c r="AE3437" s="150"/>
      <c r="AF3437" s="151"/>
      <c r="AG3437" s="126" t="s">
        <v>3420</v>
      </c>
      <c r="AK3437" s="306" t="str">
        <f>IF(ISNUMBER(Table1[[#This Row],[FECHA DE RECIBIDO]]), Table1[[#This Row],[FECHA DE RECIBIDO]]-DATE(2023,8,30), "")</f>
        <v/>
      </c>
    </row>
    <row r="3438" spans="1:37" ht="15" customHeight="1">
      <c r="A3438" s="152" t="s">
        <v>4175</v>
      </c>
      <c r="B3438" s="153">
        <v>1174</v>
      </c>
      <c r="C3438" s="126" t="s">
        <v>1507</v>
      </c>
      <c r="D3438">
        <v>2380</v>
      </c>
      <c r="E3438" s="126" t="s">
        <v>1647</v>
      </c>
      <c r="F3438" s="125" t="s">
        <v>1607</v>
      </c>
      <c r="G3438" s="125" t="s">
        <v>134</v>
      </c>
      <c r="H3438">
        <v>660</v>
      </c>
      <c r="I3438" s="125" t="s">
        <v>1546</v>
      </c>
      <c r="J3438" s="308" t="s">
        <v>214</v>
      </c>
      <c r="K3438" s="127" t="s">
        <v>4112</v>
      </c>
      <c r="L3438" s="153" t="s">
        <v>1579</v>
      </c>
      <c r="M3438">
        <v>929</v>
      </c>
      <c r="N3438" s="123">
        <v>17</v>
      </c>
      <c r="O3438">
        <v>2269</v>
      </c>
      <c r="P3438" s="132" t="s">
        <v>77</v>
      </c>
      <c r="Q3438" s="132">
        <v>1723.28</v>
      </c>
      <c r="R3438" s="132">
        <v>275.72000000000003</v>
      </c>
      <c r="S3438" s="132"/>
      <c r="T3438" s="156"/>
      <c r="U3438" s="132"/>
      <c r="V3438" s="132">
        <v>1999</v>
      </c>
      <c r="W3438"/>
      <c r="X3438" s="153" t="s">
        <v>1644</v>
      </c>
      <c r="Y3438" s="124" t="s">
        <v>55</v>
      </c>
      <c r="Z3438" s="308">
        <v>236</v>
      </c>
      <c r="AB3438" t="str">
        <f>IF(Table1[[#This Row],[TIPO2]]="costo", VLOOKUP(Table1[[#This Row],[PARTIDA PRESUPUESTAL]],'Cost Report'!G:G,1,0),"Balance")</f>
        <v>2494-007</v>
      </c>
      <c r="AC3438" s="118"/>
      <c r="AD3438" s="159">
        <f>+Table1[[#This Row],[SUBTOTAL]]+Table1[[#This Row],[IVA]]-Table1[[#This Row],[RET IVA]]-Table1[[#This Row],[RET ISR]]-Table1[[#This Row],[TOTAL]]</f>
        <v>0</v>
      </c>
      <c r="AE3438" s="152"/>
      <c r="AF3438" s="153"/>
      <c r="AG3438" s="126" t="s">
        <v>3420</v>
      </c>
      <c r="AK3438" s="306" t="str">
        <f>IF(ISNUMBER(Table1[[#This Row],[FECHA DE RECIBIDO]]), Table1[[#This Row],[FECHA DE RECIBIDO]]-DATE(2023,8,30), "")</f>
        <v/>
      </c>
    </row>
    <row r="3439" spans="1:37" ht="15" customHeight="1">
      <c r="A3439" s="150" t="s">
        <v>4175</v>
      </c>
      <c r="B3439" s="151">
        <v>1174</v>
      </c>
      <c r="C3439" s="126" t="s">
        <v>1505</v>
      </c>
      <c r="D3439">
        <v>689</v>
      </c>
      <c r="E3439" s="126"/>
      <c r="F3439" s="122"/>
      <c r="G3439" s="122"/>
      <c r="H3439"/>
      <c r="I3439" s="122"/>
      <c r="J3439" s="307" t="s">
        <v>214</v>
      </c>
      <c r="K3439" s="127" t="s">
        <v>4112</v>
      </c>
      <c r="L3439" s="151" t="s">
        <v>1579</v>
      </c>
      <c r="M3439">
        <v>514</v>
      </c>
      <c r="N3439" s="123">
        <v>17</v>
      </c>
      <c r="O3439">
        <v>2270</v>
      </c>
      <c r="P3439" s="132" t="s">
        <v>77</v>
      </c>
      <c r="Q3439" s="131">
        <v>169</v>
      </c>
      <c r="R3439" s="131"/>
      <c r="S3439" s="131"/>
      <c r="T3439" s="155"/>
      <c r="U3439" s="131"/>
      <c r="V3439" s="131">
        <v>169</v>
      </c>
      <c r="W3439"/>
      <c r="X3439" s="151" t="s">
        <v>1644</v>
      </c>
      <c r="Y3439" s="135" t="s">
        <v>55</v>
      </c>
      <c r="Z3439" s="307">
        <v>230</v>
      </c>
      <c r="AB3439" t="str">
        <f>IF(Table1[[#This Row],[TIPO2]]="costo", VLOOKUP(Table1[[#This Row],[PARTIDA PRESUPUESTAL]],'Cost Report'!G:G,1,0),"Balance")</f>
        <v>2494-003</v>
      </c>
      <c r="AC3439" s="118"/>
      <c r="AD3439" s="159">
        <f>+Table1[[#This Row],[SUBTOTAL]]+Table1[[#This Row],[IVA]]-Table1[[#This Row],[RET IVA]]-Table1[[#This Row],[RET ISR]]-Table1[[#This Row],[TOTAL]]</f>
        <v>0</v>
      </c>
      <c r="AE3439" s="150"/>
      <c r="AF3439" s="151"/>
      <c r="AG3439" s="126" t="s">
        <v>3420</v>
      </c>
      <c r="AK3439" s="306" t="str">
        <f>IF(ISNUMBER(Table1[[#This Row],[FECHA DE RECIBIDO]]), Table1[[#This Row],[FECHA DE RECIBIDO]]-DATE(2023,8,30), "")</f>
        <v/>
      </c>
    </row>
    <row r="3440" spans="1:37" ht="15" customHeight="1">
      <c r="A3440" s="152" t="s">
        <v>4175</v>
      </c>
      <c r="B3440" s="153">
        <v>1174</v>
      </c>
      <c r="C3440" s="126" t="s">
        <v>1505</v>
      </c>
      <c r="D3440">
        <v>689</v>
      </c>
      <c r="E3440" s="126"/>
      <c r="F3440" s="125"/>
      <c r="G3440" s="125"/>
      <c r="H3440"/>
      <c r="I3440" s="125"/>
      <c r="J3440" s="308" t="s">
        <v>214</v>
      </c>
      <c r="K3440" s="127" t="s">
        <v>4112</v>
      </c>
      <c r="L3440" s="153" t="s">
        <v>1579</v>
      </c>
      <c r="M3440">
        <v>930</v>
      </c>
      <c r="N3440" s="123">
        <v>17</v>
      </c>
      <c r="O3440">
        <v>2271</v>
      </c>
      <c r="P3440" s="132" t="s">
        <v>77</v>
      </c>
      <c r="Q3440" s="132">
        <v>45</v>
      </c>
      <c r="R3440" s="132"/>
      <c r="S3440" s="132"/>
      <c r="T3440" s="156"/>
      <c r="U3440" s="132"/>
      <c r="V3440" s="132">
        <v>45</v>
      </c>
      <c r="W3440"/>
      <c r="X3440" s="153" t="s">
        <v>1644</v>
      </c>
      <c r="Y3440" s="124" t="s">
        <v>55</v>
      </c>
      <c r="Z3440" s="308">
        <v>230</v>
      </c>
      <c r="AB3440" t="str">
        <f>IF(Table1[[#This Row],[TIPO2]]="costo", VLOOKUP(Table1[[#This Row],[PARTIDA PRESUPUESTAL]],'Cost Report'!G:G,1,0),"Balance")</f>
        <v>2494-003</v>
      </c>
      <c r="AC3440" s="118"/>
      <c r="AD3440" s="159">
        <f>+Table1[[#This Row],[SUBTOTAL]]+Table1[[#This Row],[IVA]]-Table1[[#This Row],[RET IVA]]-Table1[[#This Row],[RET ISR]]-Table1[[#This Row],[TOTAL]]</f>
        <v>0</v>
      </c>
      <c r="AE3440" s="152"/>
      <c r="AF3440" s="153"/>
      <c r="AG3440" s="126" t="s">
        <v>3420</v>
      </c>
      <c r="AK3440" s="306" t="str">
        <f>IF(ISNUMBER(Table1[[#This Row],[FECHA DE RECIBIDO]]), Table1[[#This Row],[FECHA DE RECIBIDO]]-DATE(2023,8,30), "")</f>
        <v/>
      </c>
    </row>
    <row r="3441" spans="1:37" ht="15" customHeight="1">
      <c r="A3441" s="150" t="s">
        <v>4176</v>
      </c>
      <c r="B3441" s="151">
        <v>1175</v>
      </c>
      <c r="C3441" s="126" t="s">
        <v>1513</v>
      </c>
      <c r="D3441">
        <v>2381</v>
      </c>
      <c r="E3441" s="126" t="s">
        <v>2107</v>
      </c>
      <c r="F3441" s="122" t="s">
        <v>1593</v>
      </c>
      <c r="G3441" s="122" t="s">
        <v>109</v>
      </c>
      <c r="H3441">
        <v>661</v>
      </c>
      <c r="I3441" s="122" t="s">
        <v>1546</v>
      </c>
      <c r="J3441" s="307" t="s">
        <v>214</v>
      </c>
      <c r="K3441" s="127" t="s">
        <v>4112</v>
      </c>
      <c r="L3441" s="151" t="s">
        <v>1579</v>
      </c>
      <c r="M3441">
        <v>931</v>
      </c>
      <c r="N3441" s="123">
        <v>17</v>
      </c>
      <c r="O3441">
        <v>2272</v>
      </c>
      <c r="P3441" s="132" t="s">
        <v>77</v>
      </c>
      <c r="Q3441" s="131">
        <v>482.88</v>
      </c>
      <c r="R3441" s="131">
        <v>78.239999999999995</v>
      </c>
      <c r="S3441" s="131"/>
      <c r="T3441" s="155"/>
      <c r="U3441" s="131"/>
      <c r="V3441" s="131">
        <v>561.12</v>
      </c>
      <c r="W3441"/>
      <c r="X3441" s="151" t="s">
        <v>1644</v>
      </c>
      <c r="Y3441" s="135" t="s">
        <v>55</v>
      </c>
      <c r="Z3441" s="307">
        <v>227</v>
      </c>
      <c r="AB3441" t="str">
        <f>IF(Table1[[#This Row],[TIPO2]]="costo", VLOOKUP(Table1[[#This Row],[PARTIDA PRESUPUESTAL]],'Cost Report'!G:G,1,0),"Balance")</f>
        <v>2494-019</v>
      </c>
      <c r="AC3441" s="118"/>
      <c r="AD3441" s="159">
        <f>+Table1[[#This Row],[SUBTOTAL]]+Table1[[#This Row],[IVA]]-Table1[[#This Row],[RET IVA]]-Table1[[#This Row],[RET ISR]]-Table1[[#This Row],[TOTAL]]</f>
        <v>0</v>
      </c>
      <c r="AE3441" s="150"/>
      <c r="AF3441" s="151"/>
      <c r="AG3441" s="126" t="s">
        <v>3420</v>
      </c>
      <c r="AK3441" s="306" t="str">
        <f>IF(ISNUMBER(Table1[[#This Row],[FECHA DE RECIBIDO]]), Table1[[#This Row],[FECHA DE RECIBIDO]]-DATE(2023,8,30), "")</f>
        <v/>
      </c>
    </row>
    <row r="3442" spans="1:37" ht="15" customHeight="1">
      <c r="A3442" s="152" t="s">
        <v>4176</v>
      </c>
      <c r="B3442" s="153">
        <v>1175</v>
      </c>
      <c r="C3442" s="126" t="s">
        <v>1513</v>
      </c>
      <c r="D3442">
        <v>2382</v>
      </c>
      <c r="E3442" s="126" t="s">
        <v>4208</v>
      </c>
      <c r="F3442" s="125" t="s">
        <v>1602</v>
      </c>
      <c r="G3442" s="125" t="s">
        <v>1617</v>
      </c>
      <c r="H3442">
        <v>662</v>
      </c>
      <c r="I3442" s="125" t="s">
        <v>1546</v>
      </c>
      <c r="J3442" s="308" t="s">
        <v>214</v>
      </c>
      <c r="K3442" s="127" t="s">
        <v>4112</v>
      </c>
      <c r="L3442" s="153" t="s">
        <v>1579</v>
      </c>
      <c r="M3442">
        <v>932</v>
      </c>
      <c r="N3442" s="123">
        <v>17</v>
      </c>
      <c r="O3442">
        <v>2273</v>
      </c>
      <c r="P3442" s="132" t="s">
        <v>77</v>
      </c>
      <c r="Q3442" s="132">
        <v>90</v>
      </c>
      <c r="R3442" s="132">
        <v>14.4</v>
      </c>
      <c r="S3442" s="132"/>
      <c r="T3442" s="156"/>
      <c r="U3442" s="132"/>
      <c r="V3442" s="132">
        <v>104.4</v>
      </c>
      <c r="W3442"/>
      <c r="X3442" s="153" t="s">
        <v>1644</v>
      </c>
      <c r="Y3442" s="124" t="s">
        <v>55</v>
      </c>
      <c r="Z3442" s="308">
        <v>224</v>
      </c>
      <c r="AB3442" t="str">
        <f>IF(Table1[[#This Row],[TIPO2]]="costo", VLOOKUP(Table1[[#This Row],[PARTIDA PRESUPUESTAL]],'Cost Report'!G:G,1,0),"Balance")</f>
        <v>2494-019</v>
      </c>
      <c r="AC3442" s="118"/>
      <c r="AD3442" s="159">
        <f>+Table1[[#This Row],[SUBTOTAL]]+Table1[[#This Row],[IVA]]-Table1[[#This Row],[RET IVA]]-Table1[[#This Row],[RET ISR]]-Table1[[#This Row],[TOTAL]]</f>
        <v>0</v>
      </c>
      <c r="AE3442" s="152"/>
      <c r="AF3442" s="153"/>
      <c r="AG3442" s="126" t="s">
        <v>3420</v>
      </c>
      <c r="AK3442" s="306" t="str">
        <f>IF(ISNUMBER(Table1[[#This Row],[FECHA DE RECIBIDO]]), Table1[[#This Row],[FECHA DE RECIBIDO]]-DATE(2023,8,30), "")</f>
        <v/>
      </c>
    </row>
    <row r="3443" spans="1:37" ht="15" customHeight="1">
      <c r="A3443" s="150" t="s">
        <v>4176</v>
      </c>
      <c r="B3443" s="151">
        <v>1175</v>
      </c>
      <c r="C3443" s="126" t="s">
        <v>2546</v>
      </c>
      <c r="D3443">
        <v>2383</v>
      </c>
      <c r="E3443" s="126" t="s">
        <v>3267</v>
      </c>
      <c r="F3443" s="122" t="s">
        <v>1607</v>
      </c>
      <c r="G3443" s="122" t="s">
        <v>134</v>
      </c>
      <c r="H3443">
        <v>41</v>
      </c>
      <c r="I3443" s="122" t="s">
        <v>1546</v>
      </c>
      <c r="J3443" s="307" t="s">
        <v>214</v>
      </c>
      <c r="K3443" s="127" t="s">
        <v>4112</v>
      </c>
      <c r="L3443" s="151" t="s">
        <v>1579</v>
      </c>
      <c r="M3443">
        <v>323</v>
      </c>
      <c r="N3443" s="123">
        <v>17</v>
      </c>
      <c r="O3443">
        <v>2274</v>
      </c>
      <c r="P3443" s="132" t="s">
        <v>77</v>
      </c>
      <c r="Q3443" s="131">
        <v>215.52</v>
      </c>
      <c r="R3443" s="131">
        <v>34.479999999999997</v>
      </c>
      <c r="S3443" s="131"/>
      <c r="T3443" s="155"/>
      <c r="U3443" s="131"/>
      <c r="V3443" s="131">
        <v>250</v>
      </c>
      <c r="W3443"/>
      <c r="X3443" s="151" t="s">
        <v>1644</v>
      </c>
      <c r="Y3443" s="135" t="s">
        <v>55</v>
      </c>
      <c r="Z3443" s="307">
        <v>239</v>
      </c>
      <c r="AB3443" t="str">
        <f>IF(Table1[[#This Row],[TIPO2]]="costo", VLOOKUP(Table1[[#This Row],[PARTIDA PRESUPUESTAL]],'Cost Report'!G:G,1,0),"Balance")</f>
        <v>2494-071</v>
      </c>
      <c r="AC3443" s="118"/>
      <c r="AD3443" s="159">
        <f>+Table1[[#This Row],[SUBTOTAL]]+Table1[[#This Row],[IVA]]-Table1[[#This Row],[RET IVA]]-Table1[[#This Row],[RET ISR]]-Table1[[#This Row],[TOTAL]]</f>
        <v>0</v>
      </c>
      <c r="AE3443" s="150"/>
      <c r="AF3443" s="151"/>
      <c r="AG3443" s="126" t="s">
        <v>3420</v>
      </c>
      <c r="AK3443" s="306" t="str">
        <f>IF(ISNUMBER(Table1[[#This Row],[FECHA DE RECIBIDO]]), Table1[[#This Row],[FECHA DE RECIBIDO]]-DATE(2023,8,30), "")</f>
        <v/>
      </c>
    </row>
    <row r="3444" spans="1:37" ht="15" customHeight="1">
      <c r="A3444" s="152" t="s">
        <v>4176</v>
      </c>
      <c r="B3444" s="153">
        <v>1175</v>
      </c>
      <c r="C3444" s="126" t="s">
        <v>1505</v>
      </c>
      <c r="D3444">
        <v>2384</v>
      </c>
      <c r="E3444" s="126" t="s">
        <v>1614</v>
      </c>
      <c r="F3444" s="125" t="s">
        <v>1607</v>
      </c>
      <c r="G3444" s="125" t="s">
        <v>134</v>
      </c>
      <c r="H3444">
        <v>172</v>
      </c>
      <c r="I3444" s="125" t="s">
        <v>1546</v>
      </c>
      <c r="J3444" s="308" t="s">
        <v>214</v>
      </c>
      <c r="K3444" s="127" t="s">
        <v>4112</v>
      </c>
      <c r="L3444" s="153" t="s">
        <v>1579</v>
      </c>
      <c r="M3444">
        <v>229</v>
      </c>
      <c r="N3444" s="123">
        <v>17</v>
      </c>
      <c r="O3444">
        <v>2275</v>
      </c>
      <c r="P3444" s="132" t="s">
        <v>77</v>
      </c>
      <c r="Q3444" s="132">
        <v>17.239999999999998</v>
      </c>
      <c r="R3444" s="132">
        <v>2.76</v>
      </c>
      <c r="S3444" s="132"/>
      <c r="T3444" s="156"/>
      <c r="U3444" s="132"/>
      <c r="V3444" s="132">
        <v>20</v>
      </c>
      <c r="W3444"/>
      <c r="X3444" s="153" t="s">
        <v>1644</v>
      </c>
      <c r="Y3444" s="124" t="s">
        <v>55</v>
      </c>
      <c r="Z3444" s="308">
        <v>224</v>
      </c>
      <c r="AB3444" t="str">
        <f>IF(Table1[[#This Row],[TIPO2]]="costo", VLOOKUP(Table1[[#This Row],[PARTIDA PRESUPUESTAL]],'Cost Report'!G:G,1,0),"Balance")</f>
        <v>2494-003</v>
      </c>
      <c r="AC3444" s="118"/>
      <c r="AD3444" s="159">
        <f>+Table1[[#This Row],[SUBTOTAL]]+Table1[[#This Row],[IVA]]-Table1[[#This Row],[RET IVA]]-Table1[[#This Row],[RET ISR]]-Table1[[#This Row],[TOTAL]]</f>
        <v>0</v>
      </c>
      <c r="AE3444" s="152"/>
      <c r="AF3444" s="153"/>
      <c r="AG3444" s="126" t="s">
        <v>3420</v>
      </c>
      <c r="AK3444" s="306" t="str">
        <f>IF(ISNUMBER(Table1[[#This Row],[FECHA DE RECIBIDO]]), Table1[[#This Row],[FECHA DE RECIBIDO]]-DATE(2023,8,30), "")</f>
        <v/>
      </c>
    </row>
    <row r="3445" spans="1:37" ht="15" customHeight="1">
      <c r="A3445" s="150" t="s">
        <v>4176</v>
      </c>
      <c r="B3445" s="151">
        <v>1175</v>
      </c>
      <c r="C3445" s="126" t="s">
        <v>2500</v>
      </c>
      <c r="D3445">
        <v>2385</v>
      </c>
      <c r="E3445" s="126" t="s">
        <v>3167</v>
      </c>
      <c r="F3445" s="122" t="s">
        <v>1593</v>
      </c>
      <c r="G3445" s="122" t="s">
        <v>109</v>
      </c>
      <c r="H3445">
        <v>663</v>
      </c>
      <c r="I3445" s="122" t="s">
        <v>1546</v>
      </c>
      <c r="J3445" s="307" t="s">
        <v>214</v>
      </c>
      <c r="K3445" s="127" t="s">
        <v>4112</v>
      </c>
      <c r="L3445" s="151" t="s">
        <v>1579</v>
      </c>
      <c r="M3445">
        <v>933</v>
      </c>
      <c r="N3445" s="123">
        <v>17</v>
      </c>
      <c r="O3445">
        <v>2276</v>
      </c>
      <c r="P3445" s="132" t="s">
        <v>77</v>
      </c>
      <c r="Q3445" s="131">
        <v>1030.52</v>
      </c>
      <c r="R3445" s="131">
        <v>164.88</v>
      </c>
      <c r="S3445" s="131"/>
      <c r="T3445" s="155"/>
      <c r="U3445" s="131"/>
      <c r="V3445" s="131">
        <v>1195.4000000000001</v>
      </c>
      <c r="W3445"/>
      <c r="X3445" s="151" t="s">
        <v>1644</v>
      </c>
      <c r="Y3445" s="135" t="s">
        <v>55</v>
      </c>
      <c r="Z3445" s="307">
        <v>243</v>
      </c>
      <c r="AB3445" t="str">
        <f>IF(Table1[[#This Row],[TIPO2]]="costo", VLOOKUP(Table1[[#This Row],[PARTIDA PRESUPUESTAL]],'Cost Report'!G:G,1,0),"Balance")</f>
        <v>2394-073</v>
      </c>
      <c r="AC3445" s="118"/>
      <c r="AD3445" s="159">
        <f>+Table1[[#This Row],[SUBTOTAL]]+Table1[[#This Row],[IVA]]-Table1[[#This Row],[RET IVA]]-Table1[[#This Row],[RET ISR]]-Table1[[#This Row],[TOTAL]]</f>
        <v>0</v>
      </c>
      <c r="AE3445" s="150"/>
      <c r="AF3445" s="151"/>
      <c r="AG3445" s="126" t="s">
        <v>3420</v>
      </c>
      <c r="AK3445" s="306" t="str">
        <f>IF(ISNUMBER(Table1[[#This Row],[FECHA DE RECIBIDO]]), Table1[[#This Row],[FECHA DE RECIBIDO]]-DATE(2023,8,30), "")</f>
        <v/>
      </c>
    </row>
    <row r="3446" spans="1:37" ht="15" customHeight="1">
      <c r="A3446" s="152" t="s">
        <v>4176</v>
      </c>
      <c r="B3446" s="153">
        <v>1175</v>
      </c>
      <c r="C3446" s="126" t="s">
        <v>2458</v>
      </c>
      <c r="D3446">
        <v>2386</v>
      </c>
      <c r="E3446" s="126" t="s">
        <v>3167</v>
      </c>
      <c r="F3446" s="125" t="s">
        <v>1593</v>
      </c>
      <c r="G3446" s="125" t="s">
        <v>109</v>
      </c>
      <c r="H3446">
        <v>663</v>
      </c>
      <c r="I3446" s="125" t="s">
        <v>1546</v>
      </c>
      <c r="J3446" s="308" t="s">
        <v>214</v>
      </c>
      <c r="K3446" s="127" t="s">
        <v>4112</v>
      </c>
      <c r="L3446" s="153" t="s">
        <v>1579</v>
      </c>
      <c r="M3446">
        <v>933</v>
      </c>
      <c r="N3446" s="123">
        <v>17</v>
      </c>
      <c r="O3446">
        <v>2277</v>
      </c>
      <c r="P3446" s="132" t="s">
        <v>77</v>
      </c>
      <c r="Q3446" s="132">
        <v>712.55</v>
      </c>
      <c r="R3446" s="132">
        <v>114.01</v>
      </c>
      <c r="S3446" s="132"/>
      <c r="T3446" s="156"/>
      <c r="U3446" s="132"/>
      <c r="V3446" s="132">
        <v>826.56</v>
      </c>
      <c r="W3446"/>
      <c r="X3446" s="153" t="s">
        <v>1644</v>
      </c>
      <c r="Y3446" s="124" t="s">
        <v>55</v>
      </c>
      <c r="Z3446" s="308">
        <v>243</v>
      </c>
      <c r="AB3446" t="str">
        <f>IF(Table1[[#This Row],[TIPO2]]="costo", VLOOKUP(Table1[[#This Row],[PARTIDA PRESUPUESTAL]],'Cost Report'!G:G,1,0),"Balance")</f>
        <v>2311-003</v>
      </c>
      <c r="AC3446" s="118"/>
      <c r="AD3446" s="159">
        <f>+Table1[[#This Row],[SUBTOTAL]]+Table1[[#This Row],[IVA]]-Table1[[#This Row],[RET IVA]]-Table1[[#This Row],[RET ISR]]-Table1[[#This Row],[TOTAL]]</f>
        <v>0</v>
      </c>
      <c r="AE3446" s="152"/>
      <c r="AF3446" s="153"/>
      <c r="AG3446" s="126" t="s">
        <v>3420</v>
      </c>
      <c r="AK3446" s="306" t="str">
        <f>IF(ISNUMBER(Table1[[#This Row],[FECHA DE RECIBIDO]]), Table1[[#This Row],[FECHA DE RECIBIDO]]-DATE(2023,8,30), "")</f>
        <v/>
      </c>
    </row>
    <row r="3447" spans="1:37" ht="15" customHeight="1">
      <c r="A3447" s="150" t="s">
        <v>4176</v>
      </c>
      <c r="B3447" s="151">
        <v>1175</v>
      </c>
      <c r="C3447" s="126" t="s">
        <v>1505</v>
      </c>
      <c r="D3447">
        <v>2387</v>
      </c>
      <c r="E3447" s="126" t="e">
        <v>#N/A</v>
      </c>
      <c r="F3447" s="122" t="e">
        <v>#N/A</v>
      </c>
      <c r="G3447" s="122" t="e">
        <v>#N/A</v>
      </c>
      <c r="H3447">
        <v>36</v>
      </c>
      <c r="I3447" s="122" t="e">
        <v>#N/A</v>
      </c>
      <c r="J3447" s="307" t="s">
        <v>214</v>
      </c>
      <c r="K3447" s="127" t="s">
        <v>4112</v>
      </c>
      <c r="L3447" s="151" t="s">
        <v>1579</v>
      </c>
      <c r="M3447">
        <v>193</v>
      </c>
      <c r="N3447" s="123">
        <v>17</v>
      </c>
      <c r="O3447">
        <v>2278</v>
      </c>
      <c r="P3447" s="132" t="s">
        <v>77</v>
      </c>
      <c r="Q3447" s="131">
        <v>14588.8</v>
      </c>
      <c r="R3447" s="131">
        <v>2334.1999999999998</v>
      </c>
      <c r="S3447" s="131"/>
      <c r="T3447" s="155"/>
      <c r="U3447" s="131"/>
      <c r="V3447" s="131">
        <v>16923</v>
      </c>
      <c r="W3447"/>
      <c r="X3447" s="151" t="s">
        <v>1644</v>
      </c>
      <c r="Y3447" s="135" t="s">
        <v>55</v>
      </c>
      <c r="Z3447" s="307">
        <v>243</v>
      </c>
      <c r="AB3447" t="str">
        <f>IF(Table1[[#This Row],[TIPO2]]="costo", VLOOKUP(Table1[[#This Row],[PARTIDA PRESUPUESTAL]],'Cost Report'!G:G,1,0),"Balance")</f>
        <v>2494-003</v>
      </c>
      <c r="AC3447" s="118"/>
      <c r="AD3447" s="159">
        <f>+Table1[[#This Row],[SUBTOTAL]]+Table1[[#This Row],[IVA]]-Table1[[#This Row],[RET IVA]]-Table1[[#This Row],[RET ISR]]-Table1[[#This Row],[TOTAL]]</f>
        <v>0</v>
      </c>
      <c r="AE3447" s="150"/>
      <c r="AF3447" s="151"/>
      <c r="AG3447" s="126" t="s">
        <v>3420</v>
      </c>
      <c r="AK3447" s="306" t="str">
        <f>IF(ISNUMBER(Table1[[#This Row],[FECHA DE RECIBIDO]]), Table1[[#This Row],[FECHA DE RECIBIDO]]-DATE(2023,8,30), "")</f>
        <v/>
      </c>
    </row>
    <row r="3448" spans="1:37" ht="15" customHeight="1">
      <c r="A3448" s="152" t="s">
        <v>4177</v>
      </c>
      <c r="B3448" s="153">
        <v>1176</v>
      </c>
      <c r="C3448" s="126" t="s">
        <v>1507</v>
      </c>
      <c r="D3448">
        <v>2388</v>
      </c>
      <c r="E3448" s="126" t="s">
        <v>4095</v>
      </c>
      <c r="F3448" s="125" t="s">
        <v>1607</v>
      </c>
      <c r="G3448" s="125" t="s">
        <v>134</v>
      </c>
      <c r="H3448">
        <v>554</v>
      </c>
      <c r="I3448" s="125" t="s">
        <v>1546</v>
      </c>
      <c r="J3448" s="308" t="s">
        <v>214</v>
      </c>
      <c r="K3448" s="127" t="s">
        <v>4112</v>
      </c>
      <c r="L3448" s="153" t="s">
        <v>1579</v>
      </c>
      <c r="M3448">
        <v>780</v>
      </c>
      <c r="N3448" s="123">
        <v>17</v>
      </c>
      <c r="O3448">
        <v>2279</v>
      </c>
      <c r="P3448" s="132" t="s">
        <v>77</v>
      </c>
      <c r="Q3448" s="132">
        <v>2668.96</v>
      </c>
      <c r="R3448" s="132">
        <v>427.03</v>
      </c>
      <c r="S3448" s="132"/>
      <c r="T3448" s="156"/>
      <c r="U3448" s="132"/>
      <c r="V3448" s="132">
        <v>3095.99</v>
      </c>
      <c r="W3448"/>
      <c r="X3448" s="153" t="s">
        <v>1644</v>
      </c>
      <c r="Y3448" s="124" t="s">
        <v>55</v>
      </c>
      <c r="Z3448" s="308">
        <v>234</v>
      </c>
      <c r="AB3448" t="str">
        <f>IF(Table1[[#This Row],[TIPO2]]="costo", VLOOKUP(Table1[[#This Row],[PARTIDA PRESUPUESTAL]],'Cost Report'!G:G,1,0),"Balance")</f>
        <v>2494-007</v>
      </c>
      <c r="AC3448" s="118"/>
      <c r="AD3448" s="159">
        <f>+Table1[[#This Row],[SUBTOTAL]]+Table1[[#This Row],[IVA]]-Table1[[#This Row],[RET IVA]]-Table1[[#This Row],[RET ISR]]-Table1[[#This Row],[TOTAL]]</f>
        <v>0</v>
      </c>
      <c r="AE3448" s="152"/>
      <c r="AF3448" s="153"/>
      <c r="AG3448" s="126" t="s">
        <v>3420</v>
      </c>
      <c r="AK3448" s="306" t="str">
        <f>IF(ISNUMBER(Table1[[#This Row],[FECHA DE RECIBIDO]]), Table1[[#This Row],[FECHA DE RECIBIDO]]-DATE(2023,8,30), "")</f>
        <v/>
      </c>
    </row>
    <row r="3449" spans="1:37" ht="15" customHeight="1">
      <c r="A3449" s="150" t="s">
        <v>4177</v>
      </c>
      <c r="B3449" s="151">
        <v>1176</v>
      </c>
      <c r="C3449" s="126" t="s">
        <v>1511</v>
      </c>
      <c r="D3449">
        <v>2389</v>
      </c>
      <c r="E3449" s="126" t="s">
        <v>3636</v>
      </c>
      <c r="F3449" s="122" t="s">
        <v>1607</v>
      </c>
      <c r="G3449" s="122" t="s">
        <v>134</v>
      </c>
      <c r="H3449">
        <v>326</v>
      </c>
      <c r="I3449" s="122" t="s">
        <v>1546</v>
      </c>
      <c r="J3449" s="307" t="s">
        <v>214</v>
      </c>
      <c r="K3449" s="127" t="s">
        <v>4112</v>
      </c>
      <c r="L3449" s="151" t="s">
        <v>1579</v>
      </c>
      <c r="M3449">
        <v>435</v>
      </c>
      <c r="N3449" s="123">
        <v>17</v>
      </c>
      <c r="O3449">
        <v>2280</v>
      </c>
      <c r="P3449" s="132" t="s">
        <v>77</v>
      </c>
      <c r="Q3449" s="131">
        <v>7155.17</v>
      </c>
      <c r="R3449" s="131">
        <v>1144.83</v>
      </c>
      <c r="S3449" s="131"/>
      <c r="T3449" s="155"/>
      <c r="U3449" s="131"/>
      <c r="V3449" s="131">
        <v>8300</v>
      </c>
      <c r="W3449"/>
      <c r="X3449" s="151" t="s">
        <v>1644</v>
      </c>
      <c r="Y3449" s="135" t="s">
        <v>55</v>
      </c>
      <c r="Z3449" s="307">
        <v>236</v>
      </c>
      <c r="AB3449" t="str">
        <f>IF(Table1[[#This Row],[TIPO2]]="costo", VLOOKUP(Table1[[#This Row],[PARTIDA PRESUPUESTAL]],'Cost Report'!G:G,1,0),"Balance")</f>
        <v>2494-015</v>
      </c>
      <c r="AC3449" s="118"/>
      <c r="AD3449" s="159">
        <f>+Table1[[#This Row],[SUBTOTAL]]+Table1[[#This Row],[IVA]]-Table1[[#This Row],[RET IVA]]-Table1[[#This Row],[RET ISR]]-Table1[[#This Row],[TOTAL]]</f>
        <v>0</v>
      </c>
      <c r="AE3449" s="150"/>
      <c r="AF3449" s="151"/>
      <c r="AG3449" s="126" t="s">
        <v>3420</v>
      </c>
      <c r="AK3449" s="306" t="str">
        <f>IF(ISNUMBER(Table1[[#This Row],[FECHA DE RECIBIDO]]), Table1[[#This Row],[FECHA DE RECIBIDO]]-DATE(2023,8,30), "")</f>
        <v/>
      </c>
    </row>
    <row r="3450" spans="1:37" ht="15" customHeight="1">
      <c r="A3450" s="152" t="s">
        <v>4177</v>
      </c>
      <c r="B3450" s="153">
        <v>1176</v>
      </c>
      <c r="C3450" s="126" t="s">
        <v>610</v>
      </c>
      <c r="D3450">
        <v>2390</v>
      </c>
      <c r="E3450" s="126" t="s">
        <v>3354</v>
      </c>
      <c r="F3450" s="125" t="s">
        <v>1589</v>
      </c>
      <c r="G3450" s="125" t="s">
        <v>129</v>
      </c>
      <c r="H3450">
        <v>664</v>
      </c>
      <c r="I3450" s="125" t="s">
        <v>1546</v>
      </c>
      <c r="J3450" s="308" t="s">
        <v>214</v>
      </c>
      <c r="K3450" s="127" t="s">
        <v>4112</v>
      </c>
      <c r="L3450" s="153" t="s">
        <v>1579</v>
      </c>
      <c r="M3450">
        <v>934</v>
      </c>
      <c r="N3450" s="123">
        <v>17</v>
      </c>
      <c r="O3450">
        <v>2281</v>
      </c>
      <c r="P3450" s="132" t="s">
        <v>77</v>
      </c>
      <c r="Q3450" s="132">
        <v>264.66000000000003</v>
      </c>
      <c r="R3450" s="132">
        <v>42.34</v>
      </c>
      <c r="S3450" s="132"/>
      <c r="T3450" s="156"/>
      <c r="U3450" s="132"/>
      <c r="V3450" s="132">
        <v>307</v>
      </c>
      <c r="W3450"/>
      <c r="X3450" s="153" t="s">
        <v>1644</v>
      </c>
      <c r="Y3450" s="124" t="s">
        <v>55</v>
      </c>
      <c r="Z3450" s="308">
        <v>236</v>
      </c>
      <c r="AB3450" t="str">
        <f>IF(Table1[[#This Row],[TIPO2]]="costo", VLOOKUP(Table1[[#This Row],[PARTIDA PRESUPUESTAL]],'Cost Report'!G:G,1,0),"Balance")</f>
        <v>2485-003</v>
      </c>
      <c r="AC3450" s="118"/>
      <c r="AD3450" s="159">
        <f>+Table1[[#This Row],[SUBTOTAL]]+Table1[[#This Row],[IVA]]-Table1[[#This Row],[RET IVA]]-Table1[[#This Row],[RET ISR]]-Table1[[#This Row],[TOTAL]]</f>
        <v>0</v>
      </c>
      <c r="AE3450" s="152"/>
      <c r="AF3450" s="153"/>
      <c r="AG3450" s="126" t="s">
        <v>3420</v>
      </c>
      <c r="AK3450" s="306" t="str">
        <f>IF(ISNUMBER(Table1[[#This Row],[FECHA DE RECIBIDO]]), Table1[[#This Row],[FECHA DE RECIBIDO]]-DATE(2023,8,30), "")</f>
        <v/>
      </c>
    </row>
    <row r="3451" spans="1:37" ht="15" customHeight="1">
      <c r="A3451" s="150" t="s">
        <v>4177</v>
      </c>
      <c r="B3451" s="151">
        <v>1176</v>
      </c>
      <c r="C3451" s="126" t="s">
        <v>610</v>
      </c>
      <c r="D3451">
        <v>2391</v>
      </c>
      <c r="E3451" s="126" t="s">
        <v>1994</v>
      </c>
      <c r="F3451" s="122" t="s">
        <v>1607</v>
      </c>
      <c r="G3451" s="122" t="s">
        <v>134</v>
      </c>
      <c r="H3451">
        <v>610</v>
      </c>
      <c r="I3451" s="122" t="s">
        <v>1546</v>
      </c>
      <c r="J3451" s="307" t="s">
        <v>214</v>
      </c>
      <c r="K3451" s="127" t="s">
        <v>4112</v>
      </c>
      <c r="L3451" s="151" t="s">
        <v>1579</v>
      </c>
      <c r="M3451">
        <v>864</v>
      </c>
      <c r="N3451" s="123">
        <v>17</v>
      </c>
      <c r="O3451">
        <v>2282</v>
      </c>
      <c r="P3451" s="132" t="s">
        <v>77</v>
      </c>
      <c r="Q3451" s="131">
        <v>64.66</v>
      </c>
      <c r="R3451" s="131">
        <v>10.35</v>
      </c>
      <c r="S3451" s="131"/>
      <c r="T3451" s="155"/>
      <c r="U3451" s="131"/>
      <c r="V3451" s="131">
        <v>75.009999999999991</v>
      </c>
      <c r="W3451"/>
      <c r="X3451" s="151" t="s">
        <v>1644</v>
      </c>
      <c r="Y3451" s="135" t="s">
        <v>55</v>
      </c>
      <c r="Z3451" s="307">
        <v>237</v>
      </c>
      <c r="AB3451" t="str">
        <f>IF(Table1[[#This Row],[TIPO2]]="costo", VLOOKUP(Table1[[#This Row],[PARTIDA PRESUPUESTAL]],'Cost Report'!G:G,1,0),"Balance")</f>
        <v>2485-003</v>
      </c>
      <c r="AC3451" s="118"/>
      <c r="AD3451" s="159">
        <f>+Table1[[#This Row],[SUBTOTAL]]+Table1[[#This Row],[IVA]]-Table1[[#This Row],[RET IVA]]-Table1[[#This Row],[RET ISR]]-Table1[[#This Row],[TOTAL]]</f>
        <v>0</v>
      </c>
      <c r="AE3451" s="150"/>
      <c r="AF3451" s="151"/>
      <c r="AG3451" s="126" t="s">
        <v>3420</v>
      </c>
      <c r="AK3451" s="306" t="str">
        <f>IF(ISNUMBER(Table1[[#This Row],[FECHA DE RECIBIDO]]), Table1[[#This Row],[FECHA DE RECIBIDO]]-DATE(2023,8,30), "")</f>
        <v/>
      </c>
    </row>
    <row r="3452" spans="1:37" ht="15" customHeight="1">
      <c r="A3452" s="152" t="s">
        <v>4177</v>
      </c>
      <c r="B3452" s="153">
        <v>1176</v>
      </c>
      <c r="C3452" s="126" t="s">
        <v>610</v>
      </c>
      <c r="D3452">
        <v>2392</v>
      </c>
      <c r="E3452" s="126" t="s">
        <v>1997</v>
      </c>
      <c r="F3452" s="125" t="s">
        <v>1607</v>
      </c>
      <c r="G3452" s="125" t="s">
        <v>134</v>
      </c>
      <c r="H3452">
        <v>665</v>
      </c>
      <c r="I3452" s="125" t="s">
        <v>1546</v>
      </c>
      <c r="J3452" s="308" t="s">
        <v>214</v>
      </c>
      <c r="K3452" s="127" t="s">
        <v>4112</v>
      </c>
      <c r="L3452" s="153" t="s">
        <v>1579</v>
      </c>
      <c r="M3452">
        <v>935</v>
      </c>
      <c r="N3452" s="123">
        <v>17</v>
      </c>
      <c r="O3452">
        <v>2283</v>
      </c>
      <c r="P3452" s="132" t="s">
        <v>77</v>
      </c>
      <c r="Q3452" s="132">
        <v>138.79</v>
      </c>
      <c r="R3452" s="132">
        <v>22.21</v>
      </c>
      <c r="S3452" s="132"/>
      <c r="T3452" s="156"/>
      <c r="U3452" s="132"/>
      <c r="V3452" s="132">
        <v>161</v>
      </c>
      <c r="W3452"/>
      <c r="X3452" s="153" t="s">
        <v>1644</v>
      </c>
      <c r="Y3452" s="124" t="s">
        <v>55</v>
      </c>
      <c r="Z3452" s="308">
        <v>237</v>
      </c>
      <c r="AB3452" t="str">
        <f>IF(Table1[[#This Row],[TIPO2]]="costo", VLOOKUP(Table1[[#This Row],[PARTIDA PRESUPUESTAL]],'Cost Report'!G:G,1,0),"Balance")</f>
        <v>2485-003</v>
      </c>
      <c r="AC3452" s="118"/>
      <c r="AD3452" s="159">
        <f>+Table1[[#This Row],[SUBTOTAL]]+Table1[[#This Row],[IVA]]-Table1[[#This Row],[RET IVA]]-Table1[[#This Row],[RET ISR]]-Table1[[#This Row],[TOTAL]]</f>
        <v>0</v>
      </c>
      <c r="AE3452" s="152"/>
      <c r="AF3452" s="153"/>
      <c r="AG3452" s="126" t="s">
        <v>3420</v>
      </c>
      <c r="AK3452" s="306" t="str">
        <f>IF(ISNUMBER(Table1[[#This Row],[FECHA DE RECIBIDO]]), Table1[[#This Row],[FECHA DE RECIBIDO]]-DATE(2023,8,30), "")</f>
        <v/>
      </c>
    </row>
    <row r="3453" spans="1:37" ht="15" customHeight="1">
      <c r="A3453" s="150" t="s">
        <v>4177</v>
      </c>
      <c r="B3453" s="151">
        <v>1176</v>
      </c>
      <c r="C3453" s="126" t="s">
        <v>610</v>
      </c>
      <c r="D3453">
        <v>2393</v>
      </c>
      <c r="E3453" s="126" t="s">
        <v>1609</v>
      </c>
      <c r="F3453" s="122" t="s">
        <v>1589</v>
      </c>
      <c r="G3453" s="122" t="s">
        <v>129</v>
      </c>
      <c r="H3453">
        <v>664</v>
      </c>
      <c r="I3453" s="122" t="s">
        <v>1546</v>
      </c>
      <c r="J3453" s="307" t="s">
        <v>214</v>
      </c>
      <c r="K3453" s="127" t="s">
        <v>4112</v>
      </c>
      <c r="L3453" s="151" t="s">
        <v>1579</v>
      </c>
      <c r="M3453">
        <v>934</v>
      </c>
      <c r="N3453" s="123">
        <v>17</v>
      </c>
      <c r="O3453">
        <v>2284</v>
      </c>
      <c r="P3453" s="132" t="s">
        <v>77</v>
      </c>
      <c r="Q3453" s="131">
        <v>234.49</v>
      </c>
      <c r="R3453" s="131">
        <v>37.51</v>
      </c>
      <c r="S3453" s="131"/>
      <c r="T3453" s="155"/>
      <c r="U3453" s="131"/>
      <c r="V3453" s="131">
        <v>272</v>
      </c>
      <c r="W3453"/>
      <c r="X3453" s="151" t="s">
        <v>1644</v>
      </c>
      <c r="Y3453" s="135" t="s">
        <v>55</v>
      </c>
      <c r="Z3453" s="307">
        <v>237</v>
      </c>
      <c r="AB3453" t="str">
        <f>IF(Table1[[#This Row],[TIPO2]]="costo", VLOOKUP(Table1[[#This Row],[PARTIDA PRESUPUESTAL]],'Cost Report'!G:G,1,0),"Balance")</f>
        <v>2485-003</v>
      </c>
      <c r="AC3453" s="118"/>
      <c r="AD3453" s="159">
        <f>+Table1[[#This Row],[SUBTOTAL]]+Table1[[#This Row],[IVA]]-Table1[[#This Row],[RET IVA]]-Table1[[#This Row],[RET ISR]]-Table1[[#This Row],[TOTAL]]</f>
        <v>0</v>
      </c>
      <c r="AE3453" s="150"/>
      <c r="AF3453" s="151"/>
      <c r="AG3453" s="126" t="s">
        <v>3420</v>
      </c>
      <c r="AK3453" s="306" t="str">
        <f>IF(ISNUMBER(Table1[[#This Row],[FECHA DE RECIBIDO]]), Table1[[#This Row],[FECHA DE RECIBIDO]]-DATE(2023,8,30), "")</f>
        <v/>
      </c>
    </row>
    <row r="3454" spans="1:37" ht="15" customHeight="1">
      <c r="A3454" s="152" t="s">
        <v>4177</v>
      </c>
      <c r="B3454" s="153">
        <v>1176</v>
      </c>
      <c r="C3454" s="126" t="s">
        <v>1507</v>
      </c>
      <c r="D3454">
        <v>2394</v>
      </c>
      <c r="E3454" s="126" t="s">
        <v>1603</v>
      </c>
      <c r="F3454" s="125" t="s">
        <v>1607</v>
      </c>
      <c r="G3454" s="125" t="s">
        <v>134</v>
      </c>
      <c r="H3454">
        <v>273</v>
      </c>
      <c r="I3454" s="125" t="s">
        <v>1546</v>
      </c>
      <c r="J3454" s="308" t="s">
        <v>214</v>
      </c>
      <c r="K3454" s="127" t="s">
        <v>4112</v>
      </c>
      <c r="L3454" s="153" t="s">
        <v>1579</v>
      </c>
      <c r="M3454">
        <v>364</v>
      </c>
      <c r="N3454" s="123">
        <v>17</v>
      </c>
      <c r="O3454">
        <v>2285</v>
      </c>
      <c r="P3454" s="132" t="s">
        <v>77</v>
      </c>
      <c r="Q3454" s="132">
        <v>215.52</v>
      </c>
      <c r="R3454" s="132">
        <v>34.479999999999997</v>
      </c>
      <c r="S3454" s="132"/>
      <c r="T3454" s="156"/>
      <c r="U3454" s="132"/>
      <c r="V3454" s="132">
        <v>250</v>
      </c>
      <c r="W3454"/>
      <c r="X3454" s="153" t="s">
        <v>1644</v>
      </c>
      <c r="Y3454" s="124" t="s">
        <v>55</v>
      </c>
      <c r="Z3454" s="308">
        <v>606</v>
      </c>
      <c r="AB3454" t="str">
        <f>IF(Table1[[#This Row],[TIPO2]]="costo", VLOOKUP(Table1[[#This Row],[PARTIDA PRESUPUESTAL]],'Cost Report'!G:G,1,0),"Balance")</f>
        <v>2494-007</v>
      </c>
      <c r="AC3454" s="118"/>
      <c r="AD3454" s="159">
        <f>+Table1[[#This Row],[SUBTOTAL]]+Table1[[#This Row],[IVA]]-Table1[[#This Row],[RET IVA]]-Table1[[#This Row],[RET ISR]]-Table1[[#This Row],[TOTAL]]</f>
        <v>0</v>
      </c>
      <c r="AE3454" s="152"/>
      <c r="AF3454" s="153"/>
      <c r="AG3454" s="126" t="s">
        <v>3420</v>
      </c>
      <c r="AK3454" s="306" t="str">
        <f>IF(ISNUMBER(Table1[[#This Row],[FECHA DE RECIBIDO]]), Table1[[#This Row],[FECHA DE RECIBIDO]]-DATE(2023,8,30), "")</f>
        <v/>
      </c>
    </row>
    <row r="3455" spans="1:37" ht="15" customHeight="1">
      <c r="A3455" s="150" t="s">
        <v>4177</v>
      </c>
      <c r="B3455" s="151">
        <v>1176</v>
      </c>
      <c r="C3455" s="126" t="s">
        <v>2565</v>
      </c>
      <c r="D3455">
        <v>2395</v>
      </c>
      <c r="E3455" s="126" t="s">
        <v>1994</v>
      </c>
      <c r="F3455" s="122" t="s">
        <v>1602</v>
      </c>
      <c r="G3455" s="122" t="s">
        <v>1617</v>
      </c>
      <c r="H3455">
        <v>616</v>
      </c>
      <c r="I3455" s="122" t="s">
        <v>1546</v>
      </c>
      <c r="J3455" s="307" t="s">
        <v>214</v>
      </c>
      <c r="K3455" s="127" t="s">
        <v>4112</v>
      </c>
      <c r="L3455" s="151" t="s">
        <v>1579</v>
      </c>
      <c r="M3455">
        <v>871</v>
      </c>
      <c r="N3455" s="123">
        <v>17</v>
      </c>
      <c r="O3455">
        <v>2286</v>
      </c>
      <c r="P3455" s="132" t="s">
        <v>77</v>
      </c>
      <c r="Q3455" s="131">
        <v>400</v>
      </c>
      <c r="R3455" s="131">
        <v>64</v>
      </c>
      <c r="S3455" s="131"/>
      <c r="T3455" s="155"/>
      <c r="U3455" s="131"/>
      <c r="V3455" s="131">
        <v>464</v>
      </c>
      <c r="W3455"/>
      <c r="X3455" s="151" t="s">
        <v>1644</v>
      </c>
      <c r="Y3455" s="135" t="s">
        <v>55</v>
      </c>
      <c r="Z3455" s="307">
        <v>237</v>
      </c>
      <c r="AB3455" t="str">
        <f>IF(Table1[[#This Row],[TIPO2]]="costo", VLOOKUP(Table1[[#This Row],[PARTIDA PRESUPUESTAL]],'Cost Report'!G:G,1,0),"Balance")</f>
        <v>2585-003</v>
      </c>
      <c r="AC3455" s="118"/>
      <c r="AD3455" s="159">
        <f>+Table1[[#This Row],[SUBTOTAL]]+Table1[[#This Row],[IVA]]-Table1[[#This Row],[RET IVA]]-Table1[[#This Row],[RET ISR]]-Table1[[#This Row],[TOTAL]]</f>
        <v>0</v>
      </c>
      <c r="AE3455" s="150"/>
      <c r="AF3455" s="151"/>
      <c r="AG3455" s="126" t="s">
        <v>3420</v>
      </c>
      <c r="AK3455" s="306" t="str">
        <f>IF(ISNUMBER(Table1[[#This Row],[FECHA DE RECIBIDO]]), Table1[[#This Row],[FECHA DE RECIBIDO]]-DATE(2023,8,30), "")</f>
        <v/>
      </c>
    </row>
    <row r="3456" spans="1:37" ht="15" customHeight="1">
      <c r="A3456" s="152" t="s">
        <v>4177</v>
      </c>
      <c r="B3456" s="153">
        <v>1176</v>
      </c>
      <c r="C3456" s="126" t="s">
        <v>2546</v>
      </c>
      <c r="D3456">
        <v>2396</v>
      </c>
      <c r="E3456" s="126" t="s">
        <v>3356</v>
      </c>
      <c r="F3456" s="125" t="s">
        <v>1607</v>
      </c>
      <c r="G3456" s="125" t="s">
        <v>134</v>
      </c>
      <c r="H3456">
        <v>156</v>
      </c>
      <c r="I3456" s="125" t="s">
        <v>1546</v>
      </c>
      <c r="J3456" s="308" t="s">
        <v>214</v>
      </c>
      <c r="K3456" s="127" t="s">
        <v>4112</v>
      </c>
      <c r="L3456" s="153" t="s">
        <v>1579</v>
      </c>
      <c r="M3456">
        <v>207</v>
      </c>
      <c r="N3456" s="123">
        <v>17</v>
      </c>
      <c r="O3456">
        <v>2287</v>
      </c>
      <c r="P3456" s="132" t="s">
        <v>77</v>
      </c>
      <c r="Q3456" s="132">
        <v>429.68</v>
      </c>
      <c r="R3456" s="132">
        <v>68.72</v>
      </c>
      <c r="S3456" s="132"/>
      <c r="T3456" s="156"/>
      <c r="U3456" s="132"/>
      <c r="V3456" s="132">
        <v>498.4</v>
      </c>
      <c r="W3456"/>
      <c r="X3456" s="153" t="s">
        <v>1644</v>
      </c>
      <c r="Y3456" s="124" t="s">
        <v>55</v>
      </c>
      <c r="Z3456" s="308">
        <v>606</v>
      </c>
      <c r="AB3456" t="str">
        <f>IF(Table1[[#This Row],[TIPO2]]="costo", VLOOKUP(Table1[[#This Row],[PARTIDA PRESUPUESTAL]],'Cost Report'!G:G,1,0),"Balance")</f>
        <v>2494-071</v>
      </c>
      <c r="AC3456" s="118"/>
      <c r="AD3456" s="159">
        <f>+Table1[[#This Row],[SUBTOTAL]]+Table1[[#This Row],[IVA]]-Table1[[#This Row],[RET IVA]]-Table1[[#This Row],[RET ISR]]-Table1[[#This Row],[TOTAL]]</f>
        <v>0</v>
      </c>
      <c r="AE3456" s="152"/>
      <c r="AF3456" s="153"/>
      <c r="AG3456" s="126" t="s">
        <v>3420</v>
      </c>
      <c r="AK3456" s="306" t="str">
        <f>IF(ISNUMBER(Table1[[#This Row],[FECHA DE RECIBIDO]]), Table1[[#This Row],[FECHA DE RECIBIDO]]-DATE(2023,8,30), "")</f>
        <v/>
      </c>
    </row>
    <row r="3457" spans="1:37" ht="15" customHeight="1">
      <c r="A3457" s="150" t="s">
        <v>4177</v>
      </c>
      <c r="B3457" s="151">
        <v>1176</v>
      </c>
      <c r="C3457" s="126" t="s">
        <v>1505</v>
      </c>
      <c r="D3457">
        <v>2397</v>
      </c>
      <c r="E3457" s="126" t="s">
        <v>1603</v>
      </c>
      <c r="F3457" s="122" t="s">
        <v>1607</v>
      </c>
      <c r="G3457" s="122" t="s">
        <v>134</v>
      </c>
      <c r="H3457">
        <v>99</v>
      </c>
      <c r="I3457" s="122" t="s">
        <v>1546</v>
      </c>
      <c r="J3457" s="307" t="s">
        <v>214</v>
      </c>
      <c r="K3457" s="127" t="s">
        <v>4112</v>
      </c>
      <c r="L3457" s="151" t="s">
        <v>1579</v>
      </c>
      <c r="M3457">
        <v>134</v>
      </c>
      <c r="N3457" s="123">
        <v>17</v>
      </c>
      <c r="O3457">
        <v>2288</v>
      </c>
      <c r="P3457" s="132" t="s">
        <v>77</v>
      </c>
      <c r="Q3457" s="131">
        <v>619.83000000000004</v>
      </c>
      <c r="R3457" s="131">
        <v>99.17</v>
      </c>
      <c r="S3457" s="131"/>
      <c r="T3457" s="155"/>
      <c r="U3457" s="131"/>
      <c r="V3457" s="131">
        <v>719</v>
      </c>
      <c r="W3457"/>
      <c r="X3457" s="151" t="s">
        <v>1644</v>
      </c>
      <c r="Y3457" s="135" t="s">
        <v>55</v>
      </c>
      <c r="Z3457" s="307">
        <v>232</v>
      </c>
      <c r="AB3457" t="str">
        <f>IF(Table1[[#This Row],[TIPO2]]="costo", VLOOKUP(Table1[[#This Row],[PARTIDA PRESUPUESTAL]],'Cost Report'!G:G,1,0),"Balance")</f>
        <v>2494-003</v>
      </c>
      <c r="AC3457" s="118"/>
      <c r="AD3457" s="159">
        <f>+Table1[[#This Row],[SUBTOTAL]]+Table1[[#This Row],[IVA]]-Table1[[#This Row],[RET IVA]]-Table1[[#This Row],[RET ISR]]-Table1[[#This Row],[TOTAL]]</f>
        <v>0</v>
      </c>
      <c r="AE3457" s="150"/>
      <c r="AF3457" s="151"/>
      <c r="AG3457" s="126" t="s">
        <v>3420</v>
      </c>
      <c r="AK3457" s="306" t="str">
        <f>IF(ISNUMBER(Table1[[#This Row],[FECHA DE RECIBIDO]]), Table1[[#This Row],[FECHA DE RECIBIDO]]-DATE(2023,8,30), "")</f>
        <v/>
      </c>
    </row>
    <row r="3458" spans="1:37" ht="15" customHeight="1">
      <c r="A3458" s="152" t="s">
        <v>4177</v>
      </c>
      <c r="B3458" s="153">
        <v>1176</v>
      </c>
      <c r="C3458" s="126" t="s">
        <v>610</v>
      </c>
      <c r="D3458">
        <v>2398</v>
      </c>
      <c r="E3458" s="126" t="s">
        <v>3354</v>
      </c>
      <c r="F3458" s="125" t="s">
        <v>1589</v>
      </c>
      <c r="G3458" s="125" t="s">
        <v>129</v>
      </c>
      <c r="H3458">
        <v>666</v>
      </c>
      <c r="I3458" s="125" t="s">
        <v>1546</v>
      </c>
      <c r="J3458" s="308" t="s">
        <v>214</v>
      </c>
      <c r="K3458" s="127" t="s">
        <v>4112</v>
      </c>
      <c r="L3458" s="153" t="s">
        <v>1579</v>
      </c>
      <c r="M3458">
        <v>936</v>
      </c>
      <c r="N3458" s="123">
        <v>17</v>
      </c>
      <c r="O3458">
        <v>2289</v>
      </c>
      <c r="P3458" s="132" t="s">
        <v>77</v>
      </c>
      <c r="Q3458" s="132">
        <v>969</v>
      </c>
      <c r="R3458" s="132">
        <v>155.04</v>
      </c>
      <c r="S3458" s="132"/>
      <c r="T3458" s="156"/>
      <c r="U3458" s="132"/>
      <c r="V3458" s="132">
        <v>1124.04</v>
      </c>
      <c r="W3458"/>
      <c r="X3458" s="153" t="s">
        <v>1644</v>
      </c>
      <c r="Y3458" s="124" t="s">
        <v>55</v>
      </c>
      <c r="Z3458" s="308">
        <v>232</v>
      </c>
      <c r="AB3458" t="str">
        <f>IF(Table1[[#This Row],[TIPO2]]="costo", VLOOKUP(Table1[[#This Row],[PARTIDA PRESUPUESTAL]],'Cost Report'!G:G,1,0),"Balance")</f>
        <v>2485-003</v>
      </c>
      <c r="AC3458" s="118"/>
      <c r="AD3458" s="159">
        <f>+Table1[[#This Row],[SUBTOTAL]]+Table1[[#This Row],[IVA]]-Table1[[#This Row],[RET IVA]]-Table1[[#This Row],[RET ISR]]-Table1[[#This Row],[TOTAL]]</f>
        <v>0</v>
      </c>
      <c r="AE3458" s="152"/>
      <c r="AF3458" s="153"/>
      <c r="AG3458" s="126" t="s">
        <v>3420</v>
      </c>
      <c r="AK3458" s="306" t="str">
        <f>IF(ISNUMBER(Table1[[#This Row],[FECHA DE RECIBIDO]]), Table1[[#This Row],[FECHA DE RECIBIDO]]-DATE(2023,8,30), "")</f>
        <v/>
      </c>
    </row>
    <row r="3459" spans="1:37" ht="15" customHeight="1">
      <c r="A3459" s="150" t="s">
        <v>4177</v>
      </c>
      <c r="B3459" s="151">
        <v>1176</v>
      </c>
      <c r="C3459" s="126" t="s">
        <v>610</v>
      </c>
      <c r="D3459">
        <v>2399</v>
      </c>
      <c r="E3459" s="126" t="s">
        <v>3354</v>
      </c>
      <c r="F3459" s="122" t="s">
        <v>1589</v>
      </c>
      <c r="G3459" s="122" t="s">
        <v>129</v>
      </c>
      <c r="H3459">
        <v>666</v>
      </c>
      <c r="I3459" s="122" t="s">
        <v>1546</v>
      </c>
      <c r="J3459" s="307" t="s">
        <v>214</v>
      </c>
      <c r="K3459" s="127" t="s">
        <v>4112</v>
      </c>
      <c r="L3459" s="151" t="s">
        <v>1579</v>
      </c>
      <c r="M3459">
        <v>936</v>
      </c>
      <c r="N3459" s="123">
        <v>17</v>
      </c>
      <c r="O3459">
        <v>2290</v>
      </c>
      <c r="P3459" s="132" t="s">
        <v>77</v>
      </c>
      <c r="Q3459" s="131">
        <v>693.6</v>
      </c>
      <c r="R3459" s="131">
        <v>110.98</v>
      </c>
      <c r="S3459" s="131"/>
      <c r="T3459" s="155"/>
      <c r="U3459" s="131"/>
      <c r="V3459" s="131">
        <v>804.58</v>
      </c>
      <c r="W3459"/>
      <c r="X3459" s="151" t="s">
        <v>1644</v>
      </c>
      <c r="Y3459" s="135" t="s">
        <v>55</v>
      </c>
      <c r="Z3459" s="307">
        <v>233</v>
      </c>
      <c r="AB3459" t="str">
        <f>IF(Table1[[#This Row],[TIPO2]]="costo", VLOOKUP(Table1[[#This Row],[PARTIDA PRESUPUESTAL]],'Cost Report'!G:G,1,0),"Balance")</f>
        <v>2485-003</v>
      </c>
      <c r="AC3459" s="118"/>
      <c r="AD3459" s="159">
        <f>+Table1[[#This Row],[SUBTOTAL]]+Table1[[#This Row],[IVA]]-Table1[[#This Row],[RET IVA]]-Table1[[#This Row],[RET ISR]]-Table1[[#This Row],[TOTAL]]</f>
        <v>0</v>
      </c>
      <c r="AE3459" s="150"/>
      <c r="AF3459" s="151"/>
      <c r="AG3459" s="126" t="s">
        <v>3420</v>
      </c>
      <c r="AK3459" s="306" t="str">
        <f>IF(ISNUMBER(Table1[[#This Row],[FECHA DE RECIBIDO]]), Table1[[#This Row],[FECHA DE RECIBIDO]]-DATE(2023,8,30), "")</f>
        <v/>
      </c>
    </row>
    <row r="3460" spans="1:37" ht="15" customHeight="1">
      <c r="A3460" s="152" t="s">
        <v>4177</v>
      </c>
      <c r="B3460" s="153">
        <v>1176</v>
      </c>
      <c r="C3460" s="126" t="s">
        <v>1505</v>
      </c>
      <c r="D3460">
        <v>2400</v>
      </c>
      <c r="E3460" s="126" t="s">
        <v>1614</v>
      </c>
      <c r="F3460" s="125" t="s">
        <v>1589</v>
      </c>
      <c r="G3460" s="125" t="s">
        <v>129</v>
      </c>
      <c r="H3460">
        <v>667</v>
      </c>
      <c r="I3460" s="125" t="s">
        <v>1546</v>
      </c>
      <c r="J3460" s="308" t="s">
        <v>214</v>
      </c>
      <c r="K3460" s="127" t="s">
        <v>4112</v>
      </c>
      <c r="L3460" s="153" t="s">
        <v>1579</v>
      </c>
      <c r="M3460">
        <v>937</v>
      </c>
      <c r="N3460" s="123">
        <v>17</v>
      </c>
      <c r="O3460">
        <v>2291</v>
      </c>
      <c r="P3460" s="132" t="s">
        <v>77</v>
      </c>
      <c r="Q3460" s="132">
        <v>566.38</v>
      </c>
      <c r="R3460" s="132">
        <v>90.62</v>
      </c>
      <c r="S3460" s="132"/>
      <c r="T3460" s="156"/>
      <c r="U3460" s="132"/>
      <c r="V3460" s="132">
        <v>657</v>
      </c>
      <c r="W3460"/>
      <c r="X3460" s="153" t="s">
        <v>1644</v>
      </c>
      <c r="Y3460" s="124" t="s">
        <v>55</v>
      </c>
      <c r="Z3460" s="308">
        <v>243</v>
      </c>
      <c r="AB3460" t="str">
        <f>IF(Table1[[#This Row],[TIPO2]]="costo", VLOOKUP(Table1[[#This Row],[PARTIDA PRESUPUESTAL]],'Cost Report'!G:G,1,0),"Balance")</f>
        <v>2494-003</v>
      </c>
      <c r="AC3460" s="118"/>
      <c r="AD3460" s="159">
        <f>+Table1[[#This Row],[SUBTOTAL]]+Table1[[#This Row],[IVA]]-Table1[[#This Row],[RET IVA]]-Table1[[#This Row],[RET ISR]]-Table1[[#This Row],[TOTAL]]</f>
        <v>0</v>
      </c>
      <c r="AE3460" s="152"/>
      <c r="AF3460" s="153"/>
      <c r="AG3460" s="126" t="s">
        <v>3420</v>
      </c>
      <c r="AK3460" s="306" t="str">
        <f>IF(ISNUMBER(Table1[[#This Row],[FECHA DE RECIBIDO]]), Table1[[#This Row],[FECHA DE RECIBIDO]]-DATE(2023,8,30), "")</f>
        <v/>
      </c>
    </row>
    <row r="3461" spans="1:37" ht="15" customHeight="1">
      <c r="A3461" s="150" t="s">
        <v>4177</v>
      </c>
      <c r="B3461" s="151">
        <v>1176</v>
      </c>
      <c r="C3461" s="126" t="s">
        <v>2566</v>
      </c>
      <c r="D3461">
        <v>2401</v>
      </c>
      <c r="E3461" s="126" t="s">
        <v>1999</v>
      </c>
      <c r="F3461" s="122" t="s">
        <v>1593</v>
      </c>
      <c r="G3461" s="122" t="s">
        <v>109</v>
      </c>
      <c r="H3461">
        <v>668</v>
      </c>
      <c r="I3461" s="122" t="s">
        <v>1546</v>
      </c>
      <c r="J3461" s="307" t="s">
        <v>214</v>
      </c>
      <c r="K3461" s="127" t="s">
        <v>4112</v>
      </c>
      <c r="L3461" s="151" t="s">
        <v>1579</v>
      </c>
      <c r="M3461">
        <v>938</v>
      </c>
      <c r="N3461" s="123">
        <v>17</v>
      </c>
      <c r="O3461">
        <v>2292</v>
      </c>
      <c r="P3461" s="132" t="s">
        <v>77</v>
      </c>
      <c r="Q3461" s="131">
        <v>1500</v>
      </c>
      <c r="R3461" s="131"/>
      <c r="S3461" s="131"/>
      <c r="T3461" s="155"/>
      <c r="U3461" s="131"/>
      <c r="V3461" s="131">
        <v>1500</v>
      </c>
      <c r="W3461"/>
      <c r="X3461" s="151" t="s">
        <v>1644</v>
      </c>
      <c r="Y3461" s="135" t="s">
        <v>55</v>
      </c>
      <c r="Z3461" s="307">
        <v>243</v>
      </c>
      <c r="AB3461" t="str">
        <f>IF(Table1[[#This Row],[TIPO2]]="costo", VLOOKUP(Table1[[#This Row],[PARTIDA PRESUPUESTAL]],'Cost Report'!G:G,1,0),"Balance")</f>
        <v>2594-003</v>
      </c>
      <c r="AC3461" s="118"/>
      <c r="AD3461" s="159">
        <f>+Table1[[#This Row],[SUBTOTAL]]+Table1[[#This Row],[IVA]]-Table1[[#This Row],[RET IVA]]-Table1[[#This Row],[RET ISR]]-Table1[[#This Row],[TOTAL]]</f>
        <v>0</v>
      </c>
      <c r="AE3461" s="150"/>
      <c r="AF3461" s="151"/>
      <c r="AG3461" s="126" t="s">
        <v>3420</v>
      </c>
      <c r="AK3461" s="306" t="str">
        <f>IF(ISNUMBER(Table1[[#This Row],[FECHA DE RECIBIDO]]), Table1[[#This Row],[FECHA DE RECIBIDO]]-DATE(2023,8,30), "")</f>
        <v/>
      </c>
    </row>
    <row r="3462" spans="1:37" ht="15" customHeight="1">
      <c r="A3462" s="152" t="s">
        <v>4178</v>
      </c>
      <c r="B3462" s="153">
        <v>1177</v>
      </c>
      <c r="C3462" s="126" t="s">
        <v>2596</v>
      </c>
      <c r="D3462">
        <v>2402</v>
      </c>
      <c r="E3462" s="126" t="s">
        <v>1615</v>
      </c>
      <c r="F3462" s="125" t="s">
        <v>1607</v>
      </c>
      <c r="G3462" s="125" t="s">
        <v>134</v>
      </c>
      <c r="H3462">
        <v>158</v>
      </c>
      <c r="I3462" s="125" t="s">
        <v>1546</v>
      </c>
      <c r="J3462" s="308" t="s">
        <v>214</v>
      </c>
      <c r="K3462" s="127" t="s">
        <v>4112</v>
      </c>
      <c r="L3462" s="153" t="s">
        <v>1579</v>
      </c>
      <c r="M3462">
        <v>211</v>
      </c>
      <c r="N3462" s="123">
        <v>17</v>
      </c>
      <c r="O3462">
        <v>2293</v>
      </c>
      <c r="P3462" s="132" t="s">
        <v>77</v>
      </c>
      <c r="Q3462" s="132">
        <v>2688.44</v>
      </c>
      <c r="R3462" s="132">
        <v>430.16</v>
      </c>
      <c r="S3462" s="132"/>
      <c r="T3462" s="156"/>
      <c r="U3462" s="132"/>
      <c r="V3462" s="132">
        <v>3118.6</v>
      </c>
      <c r="W3462"/>
      <c r="X3462" s="153" t="s">
        <v>1644</v>
      </c>
      <c r="Y3462" s="124" t="s">
        <v>55</v>
      </c>
      <c r="Z3462" s="308">
        <v>183</v>
      </c>
      <c r="AB3462" t="str">
        <f>IF(Table1[[#This Row],[TIPO2]]="costo", VLOOKUP(Table1[[#This Row],[PARTIDA PRESUPUESTAL]],'Cost Report'!G:G,1,0),"Balance")</f>
        <v>2794-003</v>
      </c>
      <c r="AC3462" s="118"/>
      <c r="AD3462" s="159">
        <f>+Table1[[#This Row],[SUBTOTAL]]+Table1[[#This Row],[IVA]]-Table1[[#This Row],[RET IVA]]-Table1[[#This Row],[RET ISR]]-Table1[[#This Row],[TOTAL]]</f>
        <v>0</v>
      </c>
      <c r="AE3462" s="152"/>
      <c r="AF3462" s="153"/>
      <c r="AG3462" s="126" t="s">
        <v>3420</v>
      </c>
      <c r="AK3462" s="306" t="str">
        <f>IF(ISNUMBER(Table1[[#This Row],[FECHA DE RECIBIDO]]), Table1[[#This Row],[FECHA DE RECIBIDO]]-DATE(2023,8,30), "")</f>
        <v/>
      </c>
    </row>
    <row r="3463" spans="1:37" ht="15" customHeight="1">
      <c r="A3463" s="150" t="s">
        <v>4178</v>
      </c>
      <c r="B3463" s="151">
        <v>1177</v>
      </c>
      <c r="C3463" s="126" t="s">
        <v>2596</v>
      </c>
      <c r="D3463">
        <v>2403</v>
      </c>
      <c r="E3463" s="126" t="s">
        <v>1615</v>
      </c>
      <c r="F3463" s="122" t="s">
        <v>1607</v>
      </c>
      <c r="G3463" s="122" t="s">
        <v>134</v>
      </c>
      <c r="H3463">
        <v>158</v>
      </c>
      <c r="I3463" s="122" t="s">
        <v>1546</v>
      </c>
      <c r="J3463" s="307" t="s">
        <v>214</v>
      </c>
      <c r="K3463" s="127" t="s">
        <v>4112</v>
      </c>
      <c r="L3463" s="151" t="s">
        <v>1579</v>
      </c>
      <c r="M3463">
        <v>211</v>
      </c>
      <c r="N3463" s="123">
        <v>17</v>
      </c>
      <c r="O3463">
        <v>457</v>
      </c>
      <c r="P3463" s="132" t="s">
        <v>77</v>
      </c>
      <c r="Q3463" s="131">
        <v>3023.45</v>
      </c>
      <c r="R3463" s="131">
        <v>483.75</v>
      </c>
      <c r="S3463" s="131"/>
      <c r="T3463" s="155"/>
      <c r="U3463" s="131"/>
      <c r="V3463" s="131">
        <v>3507.2</v>
      </c>
      <c r="W3463"/>
      <c r="X3463" s="151" t="s">
        <v>1644</v>
      </c>
      <c r="Y3463" s="135" t="s">
        <v>55</v>
      </c>
      <c r="Z3463" s="307">
        <v>183</v>
      </c>
      <c r="AB3463" t="str">
        <f>IF(Table1[[#This Row],[TIPO2]]="costo", VLOOKUP(Table1[[#This Row],[PARTIDA PRESUPUESTAL]],'Cost Report'!G:G,1,0),"Balance")</f>
        <v>2794-003</v>
      </c>
      <c r="AC3463" s="118"/>
      <c r="AD3463" s="159">
        <f>+Table1[[#This Row],[SUBTOTAL]]+Table1[[#This Row],[IVA]]-Table1[[#This Row],[RET IVA]]-Table1[[#This Row],[RET ISR]]-Table1[[#This Row],[TOTAL]]</f>
        <v>0</v>
      </c>
      <c r="AE3463" s="150"/>
      <c r="AF3463" s="151"/>
      <c r="AG3463" s="126" t="s">
        <v>3420</v>
      </c>
      <c r="AK3463" s="306" t="str">
        <f>IF(ISNUMBER(Table1[[#This Row],[FECHA DE RECIBIDO]]), Table1[[#This Row],[FECHA DE RECIBIDO]]-DATE(2023,8,30), "")</f>
        <v/>
      </c>
    </row>
    <row r="3464" spans="1:37" ht="15" customHeight="1">
      <c r="A3464" s="152" t="s">
        <v>4178</v>
      </c>
      <c r="B3464" s="153">
        <v>1177</v>
      </c>
      <c r="C3464" s="126" t="s">
        <v>2596</v>
      </c>
      <c r="D3464">
        <v>2404</v>
      </c>
      <c r="E3464" s="126" t="s">
        <v>1615</v>
      </c>
      <c r="F3464" s="125" t="s">
        <v>1607</v>
      </c>
      <c r="G3464" s="125" t="s">
        <v>134</v>
      </c>
      <c r="H3464">
        <v>158</v>
      </c>
      <c r="I3464" s="125" t="s">
        <v>1546</v>
      </c>
      <c r="J3464" s="308" t="s">
        <v>214</v>
      </c>
      <c r="K3464" s="127" t="s">
        <v>4112</v>
      </c>
      <c r="L3464" s="153" t="s">
        <v>1579</v>
      </c>
      <c r="M3464">
        <v>211</v>
      </c>
      <c r="N3464" s="123">
        <v>17</v>
      </c>
      <c r="O3464">
        <v>457</v>
      </c>
      <c r="P3464" s="132" t="s">
        <v>77</v>
      </c>
      <c r="Q3464" s="132">
        <v>3514.05</v>
      </c>
      <c r="R3464" s="132">
        <v>562.25</v>
      </c>
      <c r="S3464" s="132"/>
      <c r="T3464" s="156"/>
      <c r="U3464" s="132"/>
      <c r="V3464" s="132">
        <v>4076.3</v>
      </c>
      <c r="W3464"/>
      <c r="X3464" s="153" t="s">
        <v>1644</v>
      </c>
      <c r="Y3464" s="124" t="s">
        <v>55</v>
      </c>
      <c r="Z3464" s="308">
        <v>183</v>
      </c>
      <c r="AB3464" t="str">
        <f>IF(Table1[[#This Row],[TIPO2]]="costo", VLOOKUP(Table1[[#This Row],[PARTIDA PRESUPUESTAL]],'Cost Report'!G:G,1,0),"Balance")</f>
        <v>2794-003</v>
      </c>
      <c r="AC3464" s="118"/>
      <c r="AD3464" s="159">
        <f>+Table1[[#This Row],[SUBTOTAL]]+Table1[[#This Row],[IVA]]-Table1[[#This Row],[RET IVA]]-Table1[[#This Row],[RET ISR]]-Table1[[#This Row],[TOTAL]]</f>
        <v>0</v>
      </c>
      <c r="AE3464" s="152"/>
      <c r="AF3464" s="153"/>
      <c r="AG3464" s="126" t="s">
        <v>3420</v>
      </c>
      <c r="AK3464" s="306" t="str">
        <f>IF(ISNUMBER(Table1[[#This Row],[FECHA DE RECIBIDO]]), Table1[[#This Row],[FECHA DE RECIBIDO]]-DATE(2023,8,30), "")</f>
        <v/>
      </c>
    </row>
    <row r="3465" spans="1:37" ht="15" customHeight="1">
      <c r="A3465" s="150" t="s">
        <v>4178</v>
      </c>
      <c r="B3465" s="151">
        <v>1177</v>
      </c>
      <c r="C3465" s="126" t="s">
        <v>2596</v>
      </c>
      <c r="D3465">
        <v>2405</v>
      </c>
      <c r="E3465" s="126" t="s">
        <v>2004</v>
      </c>
      <c r="F3465" s="122" t="s">
        <v>1589</v>
      </c>
      <c r="G3465" s="122" t="s">
        <v>129</v>
      </c>
      <c r="H3465">
        <v>98</v>
      </c>
      <c r="I3465" s="122" t="s">
        <v>1546</v>
      </c>
      <c r="J3465" s="307" t="s">
        <v>214</v>
      </c>
      <c r="K3465" s="127" t="s">
        <v>4112</v>
      </c>
      <c r="L3465" s="151" t="s">
        <v>1579</v>
      </c>
      <c r="M3465">
        <v>939</v>
      </c>
      <c r="N3465" s="123">
        <v>17</v>
      </c>
      <c r="O3465">
        <v>2294</v>
      </c>
      <c r="P3465" s="132" t="s">
        <v>77</v>
      </c>
      <c r="Q3465" s="131">
        <v>905.17</v>
      </c>
      <c r="R3465" s="131">
        <v>144.83000000000001</v>
      </c>
      <c r="S3465" s="131"/>
      <c r="T3465" s="155"/>
      <c r="U3465" s="131"/>
      <c r="V3465" s="131">
        <v>1050</v>
      </c>
      <c r="W3465"/>
      <c r="X3465" s="151" t="s">
        <v>1644</v>
      </c>
      <c r="Y3465" s="135" t="s">
        <v>55</v>
      </c>
      <c r="Z3465" s="307">
        <v>182</v>
      </c>
      <c r="AB3465" t="str">
        <f>IF(Table1[[#This Row],[TIPO2]]="costo", VLOOKUP(Table1[[#This Row],[PARTIDA PRESUPUESTAL]],'Cost Report'!G:G,1,0),"Balance")</f>
        <v>2794-003</v>
      </c>
      <c r="AC3465" s="118"/>
      <c r="AD3465" s="159">
        <f>+Table1[[#This Row],[SUBTOTAL]]+Table1[[#This Row],[IVA]]-Table1[[#This Row],[RET IVA]]-Table1[[#This Row],[RET ISR]]-Table1[[#This Row],[TOTAL]]</f>
        <v>0</v>
      </c>
      <c r="AE3465" s="150"/>
      <c r="AF3465" s="151"/>
      <c r="AG3465" s="126" t="s">
        <v>3420</v>
      </c>
      <c r="AK3465" s="306" t="str">
        <f>IF(ISNUMBER(Table1[[#This Row],[FECHA DE RECIBIDO]]), Table1[[#This Row],[FECHA DE RECIBIDO]]-DATE(2023,8,30), "")</f>
        <v/>
      </c>
    </row>
    <row r="3466" spans="1:37" ht="15" customHeight="1">
      <c r="A3466" s="152" t="s">
        <v>4178</v>
      </c>
      <c r="B3466" s="153">
        <v>1177</v>
      </c>
      <c r="C3466" s="126" t="s">
        <v>2596</v>
      </c>
      <c r="D3466">
        <v>2406</v>
      </c>
      <c r="E3466" s="126" t="s">
        <v>2004</v>
      </c>
      <c r="F3466" s="125" t="s">
        <v>1607</v>
      </c>
      <c r="G3466" s="125" t="s">
        <v>134</v>
      </c>
      <c r="H3466">
        <v>96</v>
      </c>
      <c r="I3466" s="125" t="s">
        <v>1546</v>
      </c>
      <c r="J3466" s="308" t="s">
        <v>214</v>
      </c>
      <c r="K3466" s="127" t="s">
        <v>4112</v>
      </c>
      <c r="L3466" s="153" t="s">
        <v>1579</v>
      </c>
      <c r="M3466">
        <v>680</v>
      </c>
      <c r="N3466" s="123">
        <v>17</v>
      </c>
      <c r="O3466">
        <v>2295</v>
      </c>
      <c r="P3466" s="132" t="s">
        <v>77</v>
      </c>
      <c r="Q3466" s="132">
        <v>1289.6500000000001</v>
      </c>
      <c r="R3466" s="132">
        <v>206.34</v>
      </c>
      <c r="S3466" s="132"/>
      <c r="T3466" s="156"/>
      <c r="U3466" s="132"/>
      <c r="V3466" s="132">
        <v>1495.99</v>
      </c>
      <c r="W3466"/>
      <c r="X3466" s="153" t="s">
        <v>1644</v>
      </c>
      <c r="Y3466" s="124" t="s">
        <v>55</v>
      </c>
      <c r="Z3466" s="308">
        <v>183</v>
      </c>
      <c r="AB3466" t="str">
        <f>IF(Table1[[#This Row],[TIPO2]]="costo", VLOOKUP(Table1[[#This Row],[PARTIDA PRESUPUESTAL]],'Cost Report'!G:G,1,0),"Balance")</f>
        <v>2794-003</v>
      </c>
      <c r="AC3466" s="118"/>
      <c r="AD3466" s="159">
        <f>+Table1[[#This Row],[SUBTOTAL]]+Table1[[#This Row],[IVA]]-Table1[[#This Row],[RET IVA]]-Table1[[#This Row],[RET ISR]]-Table1[[#This Row],[TOTAL]]</f>
        <v>0</v>
      </c>
      <c r="AE3466" s="152"/>
      <c r="AF3466" s="153"/>
      <c r="AG3466" s="126" t="s">
        <v>3420</v>
      </c>
      <c r="AK3466" s="306" t="str">
        <f>IF(ISNUMBER(Table1[[#This Row],[FECHA DE RECIBIDO]]), Table1[[#This Row],[FECHA DE RECIBIDO]]-DATE(2023,8,30), "")</f>
        <v/>
      </c>
    </row>
    <row r="3467" spans="1:37" ht="15" customHeight="1">
      <c r="A3467" s="150" t="s">
        <v>4178</v>
      </c>
      <c r="B3467" s="151">
        <v>1177</v>
      </c>
      <c r="C3467" s="126" t="s">
        <v>2596</v>
      </c>
      <c r="D3467">
        <v>2407</v>
      </c>
      <c r="E3467" s="126" t="s">
        <v>2004</v>
      </c>
      <c r="F3467" s="122" t="s">
        <v>1607</v>
      </c>
      <c r="G3467" s="122" t="s">
        <v>134</v>
      </c>
      <c r="H3467">
        <v>96</v>
      </c>
      <c r="I3467" s="122" t="s">
        <v>1546</v>
      </c>
      <c r="J3467" s="307" t="s">
        <v>214</v>
      </c>
      <c r="K3467" s="127" t="s">
        <v>4112</v>
      </c>
      <c r="L3467" s="151" t="s">
        <v>1579</v>
      </c>
      <c r="M3467">
        <v>680</v>
      </c>
      <c r="N3467" s="123">
        <v>17</v>
      </c>
      <c r="O3467">
        <v>2296</v>
      </c>
      <c r="P3467" s="132" t="s">
        <v>77</v>
      </c>
      <c r="Q3467" s="131">
        <v>550.86</v>
      </c>
      <c r="R3467" s="131">
        <v>88.14</v>
      </c>
      <c r="S3467" s="131"/>
      <c r="T3467" s="155"/>
      <c r="U3467" s="131"/>
      <c r="V3467" s="131">
        <v>639</v>
      </c>
      <c r="W3467"/>
      <c r="X3467" s="151" t="s">
        <v>1644</v>
      </c>
      <c r="Y3467" s="135" t="s">
        <v>55</v>
      </c>
      <c r="Z3467" s="307">
        <v>210</v>
      </c>
      <c r="AB3467" t="str">
        <f>IF(Table1[[#This Row],[TIPO2]]="costo", VLOOKUP(Table1[[#This Row],[PARTIDA PRESUPUESTAL]],'Cost Report'!G:G,1,0),"Balance")</f>
        <v>2794-003</v>
      </c>
      <c r="AC3467" s="118"/>
      <c r="AD3467" s="159">
        <f>+Table1[[#This Row],[SUBTOTAL]]+Table1[[#This Row],[IVA]]-Table1[[#This Row],[RET IVA]]-Table1[[#This Row],[RET ISR]]-Table1[[#This Row],[TOTAL]]</f>
        <v>0</v>
      </c>
      <c r="AE3467" s="150"/>
      <c r="AF3467" s="151"/>
      <c r="AG3467" s="126" t="s">
        <v>3420</v>
      </c>
      <c r="AK3467" s="306" t="str">
        <f>IF(ISNUMBER(Table1[[#This Row],[FECHA DE RECIBIDO]]), Table1[[#This Row],[FECHA DE RECIBIDO]]-DATE(2023,8,30), "")</f>
        <v/>
      </c>
    </row>
    <row r="3468" spans="1:37" ht="15" customHeight="1">
      <c r="A3468" s="152" t="s">
        <v>4178</v>
      </c>
      <c r="B3468" s="153">
        <v>1177</v>
      </c>
      <c r="C3468" s="126" t="s">
        <v>2596</v>
      </c>
      <c r="D3468">
        <v>2408</v>
      </c>
      <c r="E3468" s="126" t="s">
        <v>2004</v>
      </c>
      <c r="F3468" s="125" t="s">
        <v>1607</v>
      </c>
      <c r="G3468" s="125" t="s">
        <v>134</v>
      </c>
      <c r="H3468">
        <v>96</v>
      </c>
      <c r="I3468" s="125" t="s">
        <v>1546</v>
      </c>
      <c r="J3468" s="308" t="s">
        <v>214</v>
      </c>
      <c r="K3468" s="127" t="s">
        <v>4112</v>
      </c>
      <c r="L3468" s="153" t="s">
        <v>1579</v>
      </c>
      <c r="M3468">
        <v>680</v>
      </c>
      <c r="N3468" s="123">
        <v>17</v>
      </c>
      <c r="O3468">
        <v>2297</v>
      </c>
      <c r="P3468" s="132" t="s">
        <v>77</v>
      </c>
      <c r="Q3468" s="132">
        <v>1637.07</v>
      </c>
      <c r="R3468" s="132">
        <v>261.93</v>
      </c>
      <c r="S3468" s="132"/>
      <c r="T3468" s="156"/>
      <c r="U3468" s="132"/>
      <c r="V3468" s="132">
        <v>1899</v>
      </c>
      <c r="W3468"/>
      <c r="X3468" s="153" t="s">
        <v>1644</v>
      </c>
      <c r="Y3468" s="124" t="s">
        <v>55</v>
      </c>
      <c r="Z3468" s="308">
        <v>210</v>
      </c>
      <c r="AB3468" t="str">
        <f>IF(Table1[[#This Row],[TIPO2]]="costo", VLOOKUP(Table1[[#This Row],[PARTIDA PRESUPUESTAL]],'Cost Report'!G:G,1,0),"Balance")</f>
        <v>2794-003</v>
      </c>
      <c r="AC3468" s="118"/>
      <c r="AD3468" s="159">
        <f>+Table1[[#This Row],[SUBTOTAL]]+Table1[[#This Row],[IVA]]-Table1[[#This Row],[RET IVA]]-Table1[[#This Row],[RET ISR]]-Table1[[#This Row],[TOTAL]]</f>
        <v>0</v>
      </c>
      <c r="AE3468" s="152"/>
      <c r="AF3468" s="153"/>
      <c r="AG3468" s="126" t="s">
        <v>3420</v>
      </c>
      <c r="AK3468" s="306" t="str">
        <f>IF(ISNUMBER(Table1[[#This Row],[FECHA DE RECIBIDO]]), Table1[[#This Row],[FECHA DE RECIBIDO]]-DATE(2023,8,30), "")</f>
        <v/>
      </c>
    </row>
    <row r="3469" spans="1:37" ht="15" customHeight="1">
      <c r="A3469" s="150" t="s">
        <v>4178</v>
      </c>
      <c r="B3469" s="151">
        <v>1177</v>
      </c>
      <c r="C3469" s="126" t="s">
        <v>2596</v>
      </c>
      <c r="D3469">
        <v>2409</v>
      </c>
      <c r="E3469" s="126" t="s">
        <v>2004</v>
      </c>
      <c r="F3469" s="122" t="s">
        <v>1607</v>
      </c>
      <c r="G3469" s="122" t="s">
        <v>134</v>
      </c>
      <c r="H3469">
        <v>96</v>
      </c>
      <c r="I3469" s="122" t="s">
        <v>1546</v>
      </c>
      <c r="J3469" s="307" t="s">
        <v>214</v>
      </c>
      <c r="K3469" s="127" t="s">
        <v>4112</v>
      </c>
      <c r="L3469" s="151" t="s">
        <v>1579</v>
      </c>
      <c r="M3469">
        <v>679</v>
      </c>
      <c r="N3469" s="123">
        <v>17</v>
      </c>
      <c r="O3469">
        <v>2298</v>
      </c>
      <c r="P3469" s="132" t="s">
        <v>77</v>
      </c>
      <c r="Q3469" s="131">
        <v>35.340000000000003</v>
      </c>
      <c r="R3469" s="131">
        <v>5.65</v>
      </c>
      <c r="S3469" s="131"/>
      <c r="T3469" s="155"/>
      <c r="U3469" s="131"/>
      <c r="V3469" s="131">
        <v>40.99</v>
      </c>
      <c r="W3469"/>
      <c r="X3469" s="151" t="s">
        <v>1644</v>
      </c>
      <c r="Y3469" s="135" t="s">
        <v>55</v>
      </c>
      <c r="Z3469" s="307">
        <v>210</v>
      </c>
      <c r="AB3469" t="str">
        <f>IF(Table1[[#This Row],[TIPO2]]="costo", VLOOKUP(Table1[[#This Row],[PARTIDA PRESUPUESTAL]],'Cost Report'!G:G,1,0),"Balance")</f>
        <v>2794-003</v>
      </c>
      <c r="AC3469" s="118"/>
      <c r="AD3469" s="159">
        <f>+Table1[[#This Row],[SUBTOTAL]]+Table1[[#This Row],[IVA]]-Table1[[#This Row],[RET IVA]]-Table1[[#This Row],[RET ISR]]-Table1[[#This Row],[TOTAL]]</f>
        <v>0</v>
      </c>
      <c r="AE3469" s="150"/>
      <c r="AF3469" s="151"/>
      <c r="AG3469" s="126" t="s">
        <v>3420</v>
      </c>
      <c r="AK3469" s="306" t="str">
        <f>IF(ISNUMBER(Table1[[#This Row],[FECHA DE RECIBIDO]]), Table1[[#This Row],[FECHA DE RECIBIDO]]-DATE(2023,8,30), "")</f>
        <v/>
      </c>
    </row>
    <row r="3470" spans="1:37" ht="15" customHeight="1">
      <c r="A3470" s="152"/>
      <c r="B3470" s="153"/>
      <c r="C3470" s="126" t="s">
        <v>71</v>
      </c>
      <c r="D3470"/>
      <c r="E3470" s="126"/>
      <c r="F3470" s="125"/>
      <c r="G3470" s="125"/>
      <c r="H3470"/>
      <c r="I3470" s="125"/>
      <c r="J3470" s="308" t="s">
        <v>214</v>
      </c>
      <c r="K3470" s="127" t="s">
        <v>4112</v>
      </c>
      <c r="L3470" s="153" t="s">
        <v>1643</v>
      </c>
      <c r="M3470">
        <v>940</v>
      </c>
      <c r="N3470" s="123"/>
      <c r="O3470">
        <v>1996</v>
      </c>
      <c r="P3470" s="131" t="s">
        <v>78</v>
      </c>
      <c r="Q3470" s="132">
        <v>-567400.26</v>
      </c>
      <c r="R3470" s="132"/>
      <c r="S3470" s="132"/>
      <c r="T3470" s="156"/>
      <c r="U3470" s="132"/>
      <c r="V3470" s="132">
        <f>+Table1[[#This Row],[SUBTOTAL]]</f>
        <v>-567400.26</v>
      </c>
      <c r="W3470"/>
      <c r="X3470" s="153"/>
      <c r="Y3470" s="124"/>
      <c r="Z3470" s="308">
        <v>212</v>
      </c>
      <c r="AB3470" t="s">
        <v>78</v>
      </c>
      <c r="AC3470" s="118"/>
      <c r="AD3470" s="159">
        <f>+Table1[[#This Row],[SUBTOTAL]]+Table1[[#This Row],[IVA]]-Table1[[#This Row],[RET IVA]]-Table1[[#This Row],[RET ISR]]-Table1[[#This Row],[TOTAL]]</f>
        <v>0</v>
      </c>
      <c r="AE3470" s="152"/>
      <c r="AF3470" s="153"/>
      <c r="AG3470" s="126" t="s">
        <v>3420</v>
      </c>
      <c r="AK3470" s="306" t="str">
        <f>IF(ISNUMBER(Table1[[#This Row],[FECHA DE RECIBIDO]]), Table1[[#This Row],[FECHA DE RECIBIDO]]-DATE(2023,8,30), "")</f>
        <v/>
      </c>
    </row>
    <row r="3471" spans="1:37" ht="16.05" customHeight="1">
      <c r="A3471" s="150" t="s">
        <v>3844</v>
      </c>
      <c r="B3471" s="151" t="s">
        <v>4179</v>
      </c>
      <c r="C3471" s="126" t="s">
        <v>69</v>
      </c>
      <c r="D3471"/>
      <c r="E3471" s="126" t="s">
        <v>1911</v>
      </c>
      <c r="F3471" s="122" t="s">
        <v>1911</v>
      </c>
      <c r="G3471" s="122" t="s">
        <v>1911</v>
      </c>
      <c r="H3471"/>
      <c r="I3471" s="122" t="s">
        <v>1911</v>
      </c>
      <c r="J3471" s="307" t="s">
        <v>214</v>
      </c>
      <c r="K3471" s="127" t="s">
        <v>4112</v>
      </c>
      <c r="L3471" s="151" t="s">
        <v>3306</v>
      </c>
      <c r="M3471">
        <v>702</v>
      </c>
      <c r="N3471" s="123">
        <v>24</v>
      </c>
      <c r="O3471">
        <v>2299</v>
      </c>
      <c r="P3471" s="131" t="s">
        <v>78</v>
      </c>
      <c r="Q3471" s="238">
        <v>-69600</v>
      </c>
      <c r="R3471" s="131" t="s">
        <v>4180</v>
      </c>
      <c r="S3471" s="131"/>
      <c r="T3471" s="155" t="s">
        <v>4180</v>
      </c>
      <c r="U3471" s="131" t="s">
        <v>4180</v>
      </c>
      <c r="V3471" s="131">
        <f>+Table1[[#This Row],[SUBTOTAL]]</f>
        <v>-69600</v>
      </c>
      <c r="W3471">
        <v>250</v>
      </c>
      <c r="X3471" s="151" t="s">
        <v>3817</v>
      </c>
      <c r="Y3471" s="135" t="s">
        <v>55</v>
      </c>
      <c r="Z3471" s="307" t="s">
        <v>214</v>
      </c>
      <c r="AB3471" t="str">
        <f>IF(Table1[[#This Row],[TIPO2]]="costo", VLOOKUP(Table1[[#This Row],[PARTIDA PRESUPUESTAL]],'Cost Report'!G:G,1,0),"Balance")</f>
        <v>Balance</v>
      </c>
      <c r="AC3471" s="118"/>
      <c r="AD3471" s="159" t="e">
        <f>+Table1[[#This Row],[SUBTOTAL]]+Table1[[#This Row],[IVA]]-Table1[[#This Row],[RET IVA]]-Table1[[#This Row],[RET ISR]]-Table1[[#This Row],[TOTAL]]</f>
        <v>#VALUE!</v>
      </c>
      <c r="AE3471" s="150"/>
      <c r="AF3471" s="151"/>
      <c r="AG3471" s="126"/>
      <c r="AK3471" s="306" t="str">
        <f>IF(ISNUMBER(Table1[[#This Row],[FECHA DE RECIBIDO]]), Table1[[#This Row],[FECHA DE RECIBIDO]]-DATE(2023,8,30), "")</f>
        <v/>
      </c>
    </row>
    <row r="3472" spans="1:37" ht="15" customHeight="1">
      <c r="A3472" s="152" t="s">
        <v>4181</v>
      </c>
      <c r="B3472" s="153">
        <v>816</v>
      </c>
      <c r="C3472" s="126" t="s">
        <v>2952</v>
      </c>
      <c r="D3472">
        <v>2410</v>
      </c>
      <c r="E3472" s="126" t="s">
        <v>1624</v>
      </c>
      <c r="F3472" s="125" t="s">
        <v>1607</v>
      </c>
      <c r="G3472" s="125" t="s">
        <v>134</v>
      </c>
      <c r="H3472">
        <v>46</v>
      </c>
      <c r="I3472" s="125" t="s">
        <v>1546</v>
      </c>
      <c r="J3472" s="308" t="s">
        <v>214</v>
      </c>
      <c r="K3472" s="127" t="s">
        <v>4112</v>
      </c>
      <c r="L3472" s="153" t="s">
        <v>1579</v>
      </c>
      <c r="M3472">
        <v>58</v>
      </c>
      <c r="N3472" s="123">
        <v>17</v>
      </c>
      <c r="O3472">
        <v>2300</v>
      </c>
      <c r="P3472" s="132" t="s">
        <v>77</v>
      </c>
      <c r="Q3472" s="132">
        <v>7775.69</v>
      </c>
      <c r="R3472" s="132">
        <v>1066.18</v>
      </c>
      <c r="S3472" s="132"/>
      <c r="T3472" s="156"/>
      <c r="U3472" s="132"/>
      <c r="V3472" s="132">
        <v>8841.869999999999</v>
      </c>
      <c r="W3472"/>
      <c r="X3472" s="153" t="s">
        <v>1701</v>
      </c>
      <c r="Y3472" s="124" t="s">
        <v>55</v>
      </c>
      <c r="Z3472" s="308">
        <v>244</v>
      </c>
      <c r="AB3472" t="str">
        <f>IF(Table1[[#This Row],[TIPO2]]="costo", VLOOKUP(Table1[[#This Row],[PARTIDA PRESUPUESTAL]],'Cost Report'!G:G,1,0),"Balance")</f>
        <v>3901-048</v>
      </c>
      <c r="AC3472" s="118"/>
      <c r="AD3472" s="159">
        <f>+Table1[[#This Row],[SUBTOTAL]]+Table1[[#This Row],[IVA]]-Table1[[#This Row],[RET IVA]]-Table1[[#This Row],[RET ISR]]-Table1[[#This Row],[TOTAL]]</f>
        <v>0</v>
      </c>
      <c r="AE3472" s="152"/>
      <c r="AF3472" s="153"/>
      <c r="AG3472" s="126"/>
      <c r="AK3472" s="306" t="str">
        <f>IF(ISNUMBER(Table1[[#This Row],[FECHA DE RECIBIDO]]), Table1[[#This Row],[FECHA DE RECIBIDO]]-DATE(2023,8,30), "")</f>
        <v/>
      </c>
    </row>
    <row r="3473" spans="1:37" ht="15" customHeight="1">
      <c r="A3473" s="150" t="s">
        <v>3815</v>
      </c>
      <c r="B3473" s="151">
        <v>817</v>
      </c>
      <c r="C3473" s="126" t="s">
        <v>978</v>
      </c>
      <c r="D3473">
        <v>2411</v>
      </c>
      <c r="E3473" s="126" t="s">
        <v>1984</v>
      </c>
      <c r="F3473" s="122" t="s">
        <v>1607</v>
      </c>
      <c r="G3473" s="122" t="s">
        <v>134</v>
      </c>
      <c r="H3473">
        <v>74</v>
      </c>
      <c r="I3473" s="122" t="s">
        <v>1546</v>
      </c>
      <c r="J3473" s="307" t="s">
        <v>214</v>
      </c>
      <c r="K3473" s="127" t="s">
        <v>4112</v>
      </c>
      <c r="L3473" s="151" t="s">
        <v>1579</v>
      </c>
      <c r="M3473">
        <v>941</v>
      </c>
      <c r="N3473" s="123">
        <v>17</v>
      </c>
      <c r="O3473">
        <v>2301</v>
      </c>
      <c r="P3473" s="132" t="s">
        <v>77</v>
      </c>
      <c r="Q3473" s="131">
        <v>16250</v>
      </c>
      <c r="R3473" s="131">
        <v>2600</v>
      </c>
      <c r="S3473" s="131"/>
      <c r="T3473" s="155"/>
      <c r="U3473" s="131"/>
      <c r="V3473" s="131">
        <v>18850</v>
      </c>
      <c r="W3473"/>
      <c r="X3473" s="151" t="s">
        <v>1701</v>
      </c>
      <c r="Y3473" s="135" t="s">
        <v>55</v>
      </c>
      <c r="Z3473" s="307">
        <v>244</v>
      </c>
      <c r="AB3473" t="str">
        <f>IF(Table1[[#This Row],[TIPO2]]="costo", VLOOKUP(Table1[[#This Row],[PARTIDA PRESUPUESTAL]],'Cost Report'!G:G,1,0),"Balance")</f>
        <v>3410-013</v>
      </c>
      <c r="AC3473" s="118"/>
      <c r="AD3473" s="159">
        <f>+Table1[[#This Row],[SUBTOTAL]]+Table1[[#This Row],[IVA]]-Table1[[#This Row],[RET IVA]]-Table1[[#This Row],[RET ISR]]-Table1[[#This Row],[TOTAL]]</f>
        <v>0</v>
      </c>
      <c r="AE3473" s="150"/>
      <c r="AF3473" s="151"/>
      <c r="AG3473" s="126"/>
      <c r="AK3473" s="306" t="str">
        <f>IF(ISNUMBER(Table1[[#This Row],[FECHA DE RECIBIDO]]), Table1[[#This Row],[FECHA DE RECIBIDO]]-DATE(2023,8,30), "")</f>
        <v/>
      </c>
    </row>
    <row r="3474" spans="1:37" ht="15" customHeight="1">
      <c r="A3474" s="152" t="s">
        <v>4145</v>
      </c>
      <c r="B3474" s="153">
        <v>1138</v>
      </c>
      <c r="C3474" s="126" t="s">
        <v>1015</v>
      </c>
      <c r="D3474">
        <v>2412</v>
      </c>
      <c r="E3474" s="126">
        <v>1219</v>
      </c>
      <c r="F3474" s="125">
        <v>601</v>
      </c>
      <c r="G3474" s="125" t="s">
        <v>134</v>
      </c>
      <c r="H3474">
        <v>669</v>
      </c>
      <c r="I3474" s="125" t="s">
        <v>1546</v>
      </c>
      <c r="J3474" s="308">
        <v>282.5176504629635</v>
      </c>
      <c r="K3474" s="127" t="s">
        <v>4112</v>
      </c>
      <c r="L3474" s="153" t="s">
        <v>3306</v>
      </c>
      <c r="M3474">
        <v>942</v>
      </c>
      <c r="N3474" s="123">
        <v>24</v>
      </c>
      <c r="O3474">
        <v>2302</v>
      </c>
      <c r="P3474" s="131" t="s">
        <v>77</v>
      </c>
      <c r="Q3474" s="132">
        <v>80000</v>
      </c>
      <c r="R3474" s="132">
        <v>12800</v>
      </c>
      <c r="S3474" s="132"/>
      <c r="T3474" s="156">
        <v>0</v>
      </c>
      <c r="U3474" s="132">
        <v>0</v>
      </c>
      <c r="V3474" s="132">
        <v>92800</v>
      </c>
      <c r="W3474">
        <v>340</v>
      </c>
      <c r="X3474" s="153" t="s">
        <v>195</v>
      </c>
      <c r="Y3474" s="124" t="s">
        <v>55</v>
      </c>
      <c r="Z3474" s="308">
        <v>244</v>
      </c>
      <c r="AB3474" t="str">
        <f>IF(Table1[[#This Row],[TIPO2]]="costo", VLOOKUP(Table1[[#This Row],[PARTIDA PRESUPUESTAL]],'Cost Report'!G:G,1,0),"Balance")</f>
        <v>3412-067</v>
      </c>
      <c r="AC3474" s="118"/>
      <c r="AD3474" s="159" t="s">
        <v>4182</v>
      </c>
      <c r="AE3474" s="152"/>
      <c r="AF3474" s="153"/>
      <c r="AG3474" s="126"/>
      <c r="AK3474" s="306">
        <f>IF(ISNUMBER(Table1[[#This Row],[FECHA DE RECIBIDO]]), Table1[[#This Row],[FECHA DE RECIBIDO]]-DATE(2023,8,30), "")</f>
        <v>-44885.482349537036</v>
      </c>
    </row>
    <row r="3475" spans="1:37" ht="15" customHeight="1">
      <c r="A3475" s="150" t="s">
        <v>3422</v>
      </c>
      <c r="B3475" s="151" t="s">
        <v>1576</v>
      </c>
      <c r="C3475" s="126" t="s">
        <v>74</v>
      </c>
      <c r="D3475">
        <v>2413</v>
      </c>
      <c r="E3475" s="126" t="s">
        <v>1577</v>
      </c>
      <c r="F3475" s="122">
        <v>616</v>
      </c>
      <c r="G3475" s="122" t="s">
        <v>1490</v>
      </c>
      <c r="H3475">
        <v>0</v>
      </c>
      <c r="I3475" s="122" t="s">
        <v>1546</v>
      </c>
      <c r="J3475" s="307">
        <v>247.54968750000262</v>
      </c>
      <c r="K3475" s="127" t="s">
        <v>4212</v>
      </c>
      <c r="L3475" s="151" t="s">
        <v>98</v>
      </c>
      <c r="M3475">
        <v>28</v>
      </c>
      <c r="N3475" s="123"/>
      <c r="O3475">
        <v>1425</v>
      </c>
      <c r="P3475" s="131" t="s">
        <v>78</v>
      </c>
      <c r="Q3475" s="131">
        <v>21622459.649999999</v>
      </c>
      <c r="R3475" s="131">
        <v>0</v>
      </c>
      <c r="S3475" s="131"/>
      <c r="T3475" s="155"/>
      <c r="U3475" s="131"/>
      <c r="V3475" s="131">
        <v>21622459.649999999</v>
      </c>
      <c r="W3475">
        <v>34</v>
      </c>
      <c r="X3475" s="151" t="s">
        <v>1576</v>
      </c>
      <c r="Y3475" s="135" t="s">
        <v>55</v>
      </c>
      <c r="Z3475" s="307">
        <v>250</v>
      </c>
      <c r="AB3475" t="str">
        <f>IF(Table1[[#This Row],[TIPO2]]="costo", VLOOKUP(Table1[[#This Row],[PARTIDA PRESUPUESTAL]],'Cost Report'!G:G,1,0),"Balance")</f>
        <v>Balance</v>
      </c>
      <c r="AC3475" s="118"/>
      <c r="AD3475" s="159">
        <f>+Table1[[#This Row],[SUBTOTAL]]+Table1[[#This Row],[IVA]]-Table1[[#This Row],[RET IVA]]-Table1[[#This Row],[RET ISR]]-Table1[[#This Row],[TOTAL]]</f>
        <v>0</v>
      </c>
      <c r="AE3475" s="150"/>
      <c r="AF3475" s="151"/>
      <c r="AG3475" s="126"/>
      <c r="AK3475" s="306">
        <f>IF(ISNUMBER(Table1[[#This Row],[FECHA DE RECIBIDO]]), Table1[[#This Row],[FECHA DE RECIBIDO]]-DATE(2023,8,30), "")</f>
        <v>-44920.450312499997</v>
      </c>
    </row>
    <row r="3476" spans="1:37" ht="15" customHeight="1">
      <c r="A3476" s="152" t="s">
        <v>4211</v>
      </c>
      <c r="B3476" s="153" t="s">
        <v>1576</v>
      </c>
      <c r="C3476" s="126" t="s">
        <v>75</v>
      </c>
      <c r="D3476">
        <v>2414</v>
      </c>
      <c r="E3476" s="126" t="s">
        <v>1577</v>
      </c>
      <c r="F3476" s="125">
        <v>616</v>
      </c>
      <c r="G3476" s="125" t="s">
        <v>1490</v>
      </c>
      <c r="H3476">
        <v>0</v>
      </c>
      <c r="I3476" s="125" t="s">
        <v>1546</v>
      </c>
      <c r="J3476" s="308">
        <v>247.55118055555795</v>
      </c>
      <c r="K3476" s="127" t="s">
        <v>4212</v>
      </c>
      <c r="L3476" s="153" t="s">
        <v>98</v>
      </c>
      <c r="M3476">
        <v>28</v>
      </c>
      <c r="N3476" s="123"/>
      <c r="O3476">
        <v>23</v>
      </c>
      <c r="P3476" s="131" t="s">
        <v>78</v>
      </c>
      <c r="Q3476" s="132">
        <v>3459593.54</v>
      </c>
      <c r="R3476" s="132">
        <v>0</v>
      </c>
      <c r="S3476" s="132"/>
      <c r="T3476" s="156"/>
      <c r="U3476" s="132"/>
      <c r="V3476" s="132">
        <v>3459593.54</v>
      </c>
      <c r="W3476">
        <v>34</v>
      </c>
      <c r="X3476" s="153" t="s">
        <v>1576</v>
      </c>
      <c r="Y3476" s="124" t="s">
        <v>55</v>
      </c>
      <c r="Z3476" s="308">
        <v>250</v>
      </c>
      <c r="AB3476" t="str">
        <f>IF(Table1[[#This Row],[TIPO2]]="costo", VLOOKUP(Table1[[#This Row],[PARTIDA PRESUPUESTAL]],'Cost Report'!G:G,1,0),"Balance")</f>
        <v>Balance</v>
      </c>
      <c r="AC3476" s="118"/>
      <c r="AD3476" s="159">
        <f>+Table1[[#This Row],[SUBTOTAL]]+Table1[[#This Row],[IVA]]-Table1[[#This Row],[RET IVA]]-Table1[[#This Row],[RET ISR]]-Table1[[#This Row],[TOTAL]]</f>
        <v>0</v>
      </c>
      <c r="AE3476" s="152"/>
      <c r="AF3476" s="153"/>
      <c r="AG3476" s="126"/>
      <c r="AK3476" s="306">
        <f>IF(ISNUMBER(Table1[[#This Row],[FECHA DE RECIBIDO]]), Table1[[#This Row],[FECHA DE RECIBIDO]]-DATE(2023,8,30), "")</f>
        <v>-44920.448819444442</v>
      </c>
    </row>
    <row r="3477" spans="1:37" ht="15" customHeight="1">
      <c r="A3477" s="150" t="s">
        <v>4213</v>
      </c>
      <c r="B3477" s="151">
        <v>1178</v>
      </c>
      <c r="C3477" s="126" t="s">
        <v>970</v>
      </c>
      <c r="D3477">
        <v>2415</v>
      </c>
      <c r="E3477" s="126" t="s">
        <v>1605</v>
      </c>
      <c r="F3477" s="122" t="s">
        <v>1607</v>
      </c>
      <c r="G3477" s="122" t="s">
        <v>134</v>
      </c>
      <c r="H3477">
        <v>84</v>
      </c>
      <c r="I3477" s="122" t="s">
        <v>1546</v>
      </c>
      <c r="J3477" s="307" t="s">
        <v>214</v>
      </c>
      <c r="K3477" s="127" t="s">
        <v>4212</v>
      </c>
      <c r="L3477" s="151" t="s">
        <v>3306</v>
      </c>
      <c r="M3477">
        <v>614</v>
      </c>
      <c r="N3477" s="123">
        <v>1</v>
      </c>
      <c r="O3477">
        <v>2303</v>
      </c>
      <c r="P3477" s="132" t="s">
        <v>77</v>
      </c>
      <c r="Q3477" s="131">
        <v>34489.29</v>
      </c>
      <c r="R3477" s="131">
        <v>5518.29</v>
      </c>
      <c r="S3477" s="131"/>
      <c r="T3477" s="155"/>
      <c r="U3477" s="131"/>
      <c r="V3477" s="131">
        <v>40007.58</v>
      </c>
      <c r="W3477">
        <v>56</v>
      </c>
      <c r="X3477" s="151" t="s">
        <v>1429</v>
      </c>
      <c r="Y3477" s="135" t="s">
        <v>55</v>
      </c>
      <c r="Z3477" s="307">
        <v>250</v>
      </c>
      <c r="AB3477" t="str">
        <f>IF(Table1[[#This Row],[TIPO2]]="costo", VLOOKUP(Table1[[#This Row],[PARTIDA PRESUPUESTAL]],'Cost Report'!G:G,1,0),"Balance")</f>
        <v>3410-003</v>
      </c>
      <c r="AC3477" s="118"/>
      <c r="AD3477" s="159">
        <f>+Table1[[#This Row],[SUBTOTAL]]+Table1[[#This Row],[IVA]]-Table1[[#This Row],[RET IVA]]-Table1[[#This Row],[RET ISR]]-Table1[[#This Row],[TOTAL]]</f>
        <v>0</v>
      </c>
      <c r="AE3477" s="150"/>
      <c r="AF3477" s="151"/>
      <c r="AG3477" s="126"/>
      <c r="AK3477" s="306" t="str">
        <f>IF(ISNUMBER(Table1[[#This Row],[FECHA DE RECIBIDO]]), Table1[[#This Row],[FECHA DE RECIBIDO]]-DATE(2023,8,30), "")</f>
        <v/>
      </c>
    </row>
    <row r="3478" spans="1:37" ht="15" customHeight="1">
      <c r="A3478" s="152" t="s">
        <v>4213</v>
      </c>
      <c r="B3478" s="153">
        <v>1178</v>
      </c>
      <c r="C3478" s="126" t="s">
        <v>970</v>
      </c>
      <c r="D3478">
        <v>2415</v>
      </c>
      <c r="E3478" s="126" t="s">
        <v>1605</v>
      </c>
      <c r="F3478" s="125" t="s">
        <v>1607</v>
      </c>
      <c r="G3478" s="125" t="s">
        <v>134</v>
      </c>
      <c r="H3478">
        <v>84</v>
      </c>
      <c r="I3478" s="125" t="s">
        <v>1546</v>
      </c>
      <c r="J3478" s="308" t="s">
        <v>214</v>
      </c>
      <c r="K3478" s="127" t="s">
        <v>4212</v>
      </c>
      <c r="L3478" s="153" t="s">
        <v>3306</v>
      </c>
      <c r="M3478">
        <v>614</v>
      </c>
      <c r="N3478" s="123">
        <v>1</v>
      </c>
      <c r="O3478">
        <v>2303</v>
      </c>
      <c r="P3478" s="132" t="s">
        <v>77</v>
      </c>
      <c r="Q3478" s="132">
        <v>34489.29</v>
      </c>
      <c r="R3478" s="132">
        <v>5518.28</v>
      </c>
      <c r="S3478" s="132"/>
      <c r="T3478" s="156"/>
      <c r="U3478" s="132"/>
      <c r="V3478" s="132">
        <v>40007.57</v>
      </c>
      <c r="W3478">
        <v>56</v>
      </c>
      <c r="X3478" s="153" t="s">
        <v>1429</v>
      </c>
      <c r="Y3478" s="124" t="s">
        <v>55</v>
      </c>
      <c r="Z3478" s="308">
        <v>250</v>
      </c>
      <c r="AB3478" t="str">
        <f>IF(Table1[[#This Row],[TIPO2]]="costo", VLOOKUP(Table1[[#This Row],[PARTIDA PRESUPUESTAL]],'Cost Report'!G:G,1,0),"Balance")</f>
        <v>3410-003</v>
      </c>
      <c r="AC3478" s="118"/>
      <c r="AD3478" s="159">
        <f>+Table1[[#This Row],[SUBTOTAL]]+Table1[[#This Row],[IVA]]-Table1[[#This Row],[RET IVA]]-Table1[[#This Row],[RET ISR]]-Table1[[#This Row],[TOTAL]]</f>
        <v>0</v>
      </c>
      <c r="AE3478" s="152"/>
      <c r="AF3478" s="153"/>
      <c r="AG3478" s="126"/>
      <c r="AK3478" s="306" t="str">
        <f>IF(ISNUMBER(Table1[[#This Row],[FECHA DE RECIBIDO]]), Table1[[#This Row],[FECHA DE RECIBIDO]]-DATE(2023,8,30), "")</f>
        <v/>
      </c>
    </row>
    <row r="3479" spans="1:37" ht="15" customHeight="1">
      <c r="A3479" s="150" t="s">
        <v>4213</v>
      </c>
      <c r="B3479" s="151">
        <v>1178</v>
      </c>
      <c r="C3479" s="126" t="s">
        <v>978</v>
      </c>
      <c r="D3479">
        <v>2415</v>
      </c>
      <c r="E3479" s="126" t="s">
        <v>1605</v>
      </c>
      <c r="F3479" s="122" t="s">
        <v>1607</v>
      </c>
      <c r="G3479" s="122" t="s">
        <v>134</v>
      </c>
      <c r="H3479">
        <v>84</v>
      </c>
      <c r="I3479" s="122" t="s">
        <v>1546</v>
      </c>
      <c r="J3479" s="307" t="s">
        <v>214</v>
      </c>
      <c r="K3479" s="127" t="s">
        <v>4212</v>
      </c>
      <c r="L3479" s="151" t="s">
        <v>3306</v>
      </c>
      <c r="M3479">
        <v>614</v>
      </c>
      <c r="N3479" s="123">
        <v>1</v>
      </c>
      <c r="O3479">
        <v>2303</v>
      </c>
      <c r="P3479" s="132" t="s">
        <v>77</v>
      </c>
      <c r="Q3479" s="131">
        <v>34489.29</v>
      </c>
      <c r="R3479" s="131">
        <v>5518.28</v>
      </c>
      <c r="S3479" s="131"/>
      <c r="T3479" s="155"/>
      <c r="U3479" s="131"/>
      <c r="V3479" s="131">
        <v>40007.57</v>
      </c>
      <c r="W3479">
        <v>56</v>
      </c>
      <c r="X3479" s="151" t="s">
        <v>1429</v>
      </c>
      <c r="Y3479" s="135" t="s">
        <v>55</v>
      </c>
      <c r="Z3479" s="307">
        <v>250</v>
      </c>
      <c r="AB3479" t="str">
        <f>IF(Table1[[#This Row],[TIPO2]]="costo", VLOOKUP(Table1[[#This Row],[PARTIDA PRESUPUESTAL]],'Cost Report'!G:G,1,0),"Balance")</f>
        <v>3410-013</v>
      </c>
      <c r="AC3479" s="118"/>
      <c r="AD3479" s="159">
        <f>+Table1[[#This Row],[SUBTOTAL]]+Table1[[#This Row],[IVA]]-Table1[[#This Row],[RET IVA]]-Table1[[#This Row],[RET ISR]]-Table1[[#This Row],[TOTAL]]</f>
        <v>0</v>
      </c>
      <c r="AE3479" s="150"/>
      <c r="AF3479" s="151"/>
      <c r="AG3479" s="126"/>
      <c r="AK3479" s="306" t="str">
        <f>IF(ISNUMBER(Table1[[#This Row],[FECHA DE RECIBIDO]]), Table1[[#This Row],[FECHA DE RECIBIDO]]-DATE(2023,8,30), "")</f>
        <v/>
      </c>
    </row>
    <row r="3480" spans="1:37" ht="15" customHeight="1">
      <c r="A3480" s="152" t="s">
        <v>4213</v>
      </c>
      <c r="B3480" s="153">
        <v>1178</v>
      </c>
      <c r="C3480" s="126" t="s">
        <v>972</v>
      </c>
      <c r="D3480">
        <v>2415</v>
      </c>
      <c r="E3480" s="126" t="s">
        <v>1605</v>
      </c>
      <c r="F3480" s="125" t="s">
        <v>1607</v>
      </c>
      <c r="G3480" s="125" t="s">
        <v>134</v>
      </c>
      <c r="H3480">
        <v>84</v>
      </c>
      <c r="I3480" s="125" t="s">
        <v>1546</v>
      </c>
      <c r="J3480" s="308" t="s">
        <v>214</v>
      </c>
      <c r="K3480" s="127" t="s">
        <v>4212</v>
      </c>
      <c r="L3480" s="153" t="s">
        <v>3306</v>
      </c>
      <c r="M3480">
        <v>614</v>
      </c>
      <c r="N3480" s="123">
        <v>1</v>
      </c>
      <c r="O3480">
        <v>2303</v>
      </c>
      <c r="P3480" s="132" t="s">
        <v>77</v>
      </c>
      <c r="Q3480" s="132">
        <v>34489.29</v>
      </c>
      <c r="R3480" s="132">
        <v>5518.28</v>
      </c>
      <c r="S3480" s="132"/>
      <c r="T3480" s="156"/>
      <c r="U3480" s="132"/>
      <c r="V3480" s="132">
        <v>40007.57</v>
      </c>
      <c r="W3480">
        <v>56</v>
      </c>
      <c r="X3480" s="153" t="s">
        <v>1429</v>
      </c>
      <c r="Y3480" s="124" t="s">
        <v>55</v>
      </c>
      <c r="Z3480" s="308">
        <v>250</v>
      </c>
      <c r="AB3480" t="str">
        <f>IF(Table1[[#This Row],[TIPO2]]="costo", VLOOKUP(Table1[[#This Row],[PARTIDA PRESUPUESTAL]],'Cost Report'!G:G,1,0),"Balance")</f>
        <v>3410-005</v>
      </c>
      <c r="AC3480" s="118"/>
      <c r="AD3480" s="159">
        <f>+Table1[[#This Row],[SUBTOTAL]]+Table1[[#This Row],[IVA]]-Table1[[#This Row],[RET IVA]]-Table1[[#This Row],[RET ISR]]-Table1[[#This Row],[TOTAL]]</f>
        <v>0</v>
      </c>
      <c r="AE3480" s="152"/>
      <c r="AF3480" s="153"/>
      <c r="AG3480" s="126"/>
      <c r="AK3480" s="306" t="str">
        <f>IF(ISNUMBER(Table1[[#This Row],[FECHA DE RECIBIDO]]), Table1[[#This Row],[FECHA DE RECIBIDO]]-DATE(2023,8,30), "")</f>
        <v/>
      </c>
    </row>
    <row r="3481" spans="1:37" ht="15" customHeight="1">
      <c r="A3481" s="150" t="s">
        <v>4213</v>
      </c>
      <c r="B3481" s="151">
        <v>1178</v>
      </c>
      <c r="C3481" s="126" t="s">
        <v>973</v>
      </c>
      <c r="D3481">
        <v>2415</v>
      </c>
      <c r="E3481" s="126" t="s">
        <v>1605</v>
      </c>
      <c r="F3481" s="122" t="s">
        <v>1607</v>
      </c>
      <c r="G3481" s="122" t="s">
        <v>134</v>
      </c>
      <c r="H3481">
        <v>84</v>
      </c>
      <c r="I3481" s="122" t="s">
        <v>1546</v>
      </c>
      <c r="J3481" s="307" t="s">
        <v>214</v>
      </c>
      <c r="K3481" s="127" t="s">
        <v>4212</v>
      </c>
      <c r="L3481" s="151" t="s">
        <v>3306</v>
      </c>
      <c r="M3481">
        <v>614</v>
      </c>
      <c r="N3481" s="123">
        <v>1</v>
      </c>
      <c r="O3481">
        <v>2303</v>
      </c>
      <c r="P3481" s="132" t="s">
        <v>77</v>
      </c>
      <c r="Q3481" s="131">
        <v>34489.29</v>
      </c>
      <c r="R3481" s="131">
        <v>5518.28</v>
      </c>
      <c r="S3481" s="131"/>
      <c r="T3481" s="155"/>
      <c r="U3481" s="131"/>
      <c r="V3481" s="131">
        <v>40007.57</v>
      </c>
      <c r="W3481">
        <v>56</v>
      </c>
      <c r="X3481" s="151" t="s">
        <v>1429</v>
      </c>
      <c r="Y3481" s="135" t="s">
        <v>55</v>
      </c>
      <c r="Z3481" s="307">
        <v>250</v>
      </c>
      <c r="AB3481" t="str">
        <f>IF(Table1[[#This Row],[TIPO2]]="costo", VLOOKUP(Table1[[#This Row],[PARTIDA PRESUPUESTAL]],'Cost Report'!G:G,1,0),"Balance")</f>
        <v>3410-006</v>
      </c>
      <c r="AC3481" s="118"/>
      <c r="AD3481" s="159">
        <f>+Table1[[#This Row],[SUBTOTAL]]+Table1[[#This Row],[IVA]]-Table1[[#This Row],[RET IVA]]-Table1[[#This Row],[RET ISR]]-Table1[[#This Row],[TOTAL]]</f>
        <v>0</v>
      </c>
      <c r="AE3481" s="150"/>
      <c r="AF3481" s="151"/>
      <c r="AG3481" s="126"/>
      <c r="AK3481" s="306" t="str">
        <f>IF(ISNUMBER(Table1[[#This Row],[FECHA DE RECIBIDO]]), Table1[[#This Row],[FECHA DE RECIBIDO]]-DATE(2023,8,30), "")</f>
        <v/>
      </c>
    </row>
    <row r="3482" spans="1:37" ht="15" customHeight="1">
      <c r="A3482" s="152" t="s">
        <v>4213</v>
      </c>
      <c r="B3482" s="153">
        <v>1178</v>
      </c>
      <c r="C3482" s="126" t="s">
        <v>974</v>
      </c>
      <c r="D3482">
        <v>2415</v>
      </c>
      <c r="E3482" s="126" t="s">
        <v>1605</v>
      </c>
      <c r="F3482" s="125" t="s">
        <v>1607</v>
      </c>
      <c r="G3482" s="125" t="s">
        <v>134</v>
      </c>
      <c r="H3482">
        <v>84</v>
      </c>
      <c r="I3482" s="125" t="s">
        <v>1546</v>
      </c>
      <c r="J3482" s="308" t="s">
        <v>214</v>
      </c>
      <c r="K3482" s="127" t="s">
        <v>4212</v>
      </c>
      <c r="L3482" s="153" t="s">
        <v>3306</v>
      </c>
      <c r="M3482">
        <v>614</v>
      </c>
      <c r="N3482" s="123">
        <v>1</v>
      </c>
      <c r="O3482">
        <v>2303</v>
      </c>
      <c r="P3482" s="132" t="s">
        <v>77</v>
      </c>
      <c r="Q3482" s="132">
        <v>34489.29</v>
      </c>
      <c r="R3482" s="132">
        <v>5518.28</v>
      </c>
      <c r="S3482" s="132"/>
      <c r="T3482" s="156"/>
      <c r="U3482" s="132"/>
      <c r="V3482" s="132">
        <v>40007.57</v>
      </c>
      <c r="W3482">
        <v>56</v>
      </c>
      <c r="X3482" s="153" t="s">
        <v>1429</v>
      </c>
      <c r="Y3482" s="124" t="s">
        <v>55</v>
      </c>
      <c r="Z3482" s="308">
        <v>250</v>
      </c>
      <c r="AB3482" t="str">
        <f>IF(Table1[[#This Row],[TIPO2]]="costo", VLOOKUP(Table1[[#This Row],[PARTIDA PRESUPUESTAL]],'Cost Report'!G:G,1,0),"Balance")</f>
        <v>3410-007</v>
      </c>
      <c r="AC3482" s="118"/>
      <c r="AD3482" s="159">
        <f>+Table1[[#This Row],[SUBTOTAL]]+Table1[[#This Row],[IVA]]-Table1[[#This Row],[RET IVA]]-Table1[[#This Row],[RET ISR]]-Table1[[#This Row],[TOTAL]]</f>
        <v>0</v>
      </c>
      <c r="AE3482" s="152"/>
      <c r="AF3482" s="153"/>
      <c r="AG3482" s="126"/>
      <c r="AK3482" s="306" t="str">
        <f>IF(ISNUMBER(Table1[[#This Row],[FECHA DE RECIBIDO]]), Table1[[#This Row],[FECHA DE RECIBIDO]]-DATE(2023,8,30), "")</f>
        <v/>
      </c>
    </row>
    <row r="3483" spans="1:37" ht="15" customHeight="1">
      <c r="A3483" s="150" t="s">
        <v>4213</v>
      </c>
      <c r="B3483" s="151">
        <v>1178</v>
      </c>
      <c r="C3483" s="126" t="s">
        <v>975</v>
      </c>
      <c r="D3483">
        <v>2415</v>
      </c>
      <c r="E3483" s="126" t="s">
        <v>1605</v>
      </c>
      <c r="F3483" s="122" t="s">
        <v>1607</v>
      </c>
      <c r="G3483" s="122" t="s">
        <v>134</v>
      </c>
      <c r="H3483">
        <v>84</v>
      </c>
      <c r="I3483" s="122" t="s">
        <v>1546</v>
      </c>
      <c r="J3483" s="307" t="s">
        <v>214</v>
      </c>
      <c r="K3483" s="127" t="s">
        <v>4212</v>
      </c>
      <c r="L3483" s="151" t="s">
        <v>3306</v>
      </c>
      <c r="M3483">
        <v>614</v>
      </c>
      <c r="N3483" s="123">
        <v>1</v>
      </c>
      <c r="O3483">
        <v>2303</v>
      </c>
      <c r="P3483" s="132" t="s">
        <v>77</v>
      </c>
      <c r="Q3483" s="131">
        <v>34489.29</v>
      </c>
      <c r="R3483" s="131">
        <v>5518.28</v>
      </c>
      <c r="S3483" s="131"/>
      <c r="T3483" s="155"/>
      <c r="U3483" s="131"/>
      <c r="V3483" s="131">
        <v>40007.57</v>
      </c>
      <c r="W3483">
        <v>56</v>
      </c>
      <c r="X3483" s="151" t="s">
        <v>1429</v>
      </c>
      <c r="Y3483" s="135" t="s">
        <v>55</v>
      </c>
      <c r="Z3483" s="307">
        <v>250</v>
      </c>
      <c r="AB3483" t="str">
        <f>IF(Table1[[#This Row],[TIPO2]]="costo", VLOOKUP(Table1[[#This Row],[PARTIDA PRESUPUESTAL]],'Cost Report'!G:G,1,0),"Balance")</f>
        <v>3410-008</v>
      </c>
      <c r="AC3483" s="118"/>
      <c r="AD3483" s="159">
        <f>+Table1[[#This Row],[SUBTOTAL]]+Table1[[#This Row],[IVA]]-Table1[[#This Row],[RET IVA]]-Table1[[#This Row],[RET ISR]]-Table1[[#This Row],[TOTAL]]</f>
        <v>0</v>
      </c>
      <c r="AE3483" s="150"/>
      <c r="AF3483" s="151"/>
      <c r="AG3483" s="126"/>
      <c r="AK3483" s="306" t="str">
        <f>IF(ISNUMBER(Table1[[#This Row],[FECHA DE RECIBIDO]]), Table1[[#This Row],[FECHA DE RECIBIDO]]-DATE(2023,8,30), "")</f>
        <v/>
      </c>
    </row>
    <row r="3484" spans="1:37" ht="15" customHeight="1">
      <c r="A3484" s="152" t="s">
        <v>4213</v>
      </c>
      <c r="B3484" s="153">
        <v>1178</v>
      </c>
      <c r="C3484" s="126" t="s">
        <v>2790</v>
      </c>
      <c r="D3484">
        <v>2415</v>
      </c>
      <c r="E3484" s="126" t="s">
        <v>1605</v>
      </c>
      <c r="F3484" s="125" t="s">
        <v>1607</v>
      </c>
      <c r="G3484" s="125" t="s">
        <v>134</v>
      </c>
      <c r="H3484">
        <v>84</v>
      </c>
      <c r="I3484" s="125" t="s">
        <v>1546</v>
      </c>
      <c r="J3484" s="308" t="s">
        <v>214</v>
      </c>
      <c r="K3484" s="127" t="s">
        <v>4212</v>
      </c>
      <c r="L3484" s="153" t="s">
        <v>3306</v>
      </c>
      <c r="M3484">
        <v>614</v>
      </c>
      <c r="N3484" s="123">
        <v>1</v>
      </c>
      <c r="O3484">
        <v>2303</v>
      </c>
      <c r="P3484" s="132" t="s">
        <v>77</v>
      </c>
      <c r="Q3484" s="132">
        <v>34489.29</v>
      </c>
      <c r="R3484" s="132">
        <v>5518.28</v>
      </c>
      <c r="S3484" s="132"/>
      <c r="T3484" s="156"/>
      <c r="U3484" s="132"/>
      <c r="V3484" s="132">
        <v>40007.57</v>
      </c>
      <c r="W3484">
        <v>56</v>
      </c>
      <c r="X3484" s="153" t="s">
        <v>1429</v>
      </c>
      <c r="Y3484" s="124" t="s">
        <v>55</v>
      </c>
      <c r="Z3484" s="308">
        <v>250</v>
      </c>
      <c r="AB3484" t="str">
        <f>IF(Table1[[#This Row],[TIPO2]]="costo", VLOOKUP(Table1[[#This Row],[PARTIDA PRESUPUESTAL]],'Cost Report'!G:G,1,0),"Balance")</f>
        <v>3410-018</v>
      </c>
      <c r="AC3484" s="118"/>
      <c r="AD3484" s="159">
        <f>+Table1[[#This Row],[SUBTOTAL]]+Table1[[#This Row],[IVA]]-Table1[[#This Row],[RET IVA]]-Table1[[#This Row],[RET ISR]]-Table1[[#This Row],[TOTAL]]</f>
        <v>0</v>
      </c>
      <c r="AE3484" s="152"/>
      <c r="AF3484" s="153"/>
      <c r="AG3484" s="126"/>
      <c r="AK3484" s="306" t="str">
        <f>IF(ISNUMBER(Table1[[#This Row],[FECHA DE RECIBIDO]]), Table1[[#This Row],[FECHA DE RECIBIDO]]-DATE(2023,8,30), "")</f>
        <v/>
      </c>
    </row>
    <row r="3485" spans="1:37" ht="15" customHeight="1">
      <c r="A3485" s="150" t="s">
        <v>4213</v>
      </c>
      <c r="B3485" s="151">
        <v>1178</v>
      </c>
      <c r="C3485" s="126" t="s">
        <v>978</v>
      </c>
      <c r="D3485">
        <v>2415</v>
      </c>
      <c r="E3485" s="126" t="s">
        <v>1605</v>
      </c>
      <c r="F3485" s="122" t="s">
        <v>1607</v>
      </c>
      <c r="G3485" s="122" t="s">
        <v>134</v>
      </c>
      <c r="H3485">
        <v>84</v>
      </c>
      <c r="I3485" s="122" t="s">
        <v>1546</v>
      </c>
      <c r="J3485" s="307" t="s">
        <v>214</v>
      </c>
      <c r="K3485" s="127" t="s">
        <v>4212</v>
      </c>
      <c r="L3485" s="151" t="s">
        <v>3306</v>
      </c>
      <c r="M3485">
        <v>614</v>
      </c>
      <c r="N3485" s="123">
        <v>1</v>
      </c>
      <c r="O3485">
        <v>2303</v>
      </c>
      <c r="P3485" s="132" t="s">
        <v>77</v>
      </c>
      <c r="Q3485" s="131">
        <v>34489.29</v>
      </c>
      <c r="R3485" s="131">
        <v>5518.28</v>
      </c>
      <c r="S3485" s="131"/>
      <c r="T3485" s="155"/>
      <c r="U3485" s="131"/>
      <c r="V3485" s="131">
        <v>40007.57</v>
      </c>
      <c r="W3485">
        <v>56</v>
      </c>
      <c r="X3485" s="151" t="s">
        <v>1429</v>
      </c>
      <c r="Y3485" s="135" t="s">
        <v>55</v>
      </c>
      <c r="Z3485" s="307">
        <v>250</v>
      </c>
      <c r="AB3485" t="str">
        <f>IF(Table1[[#This Row],[TIPO2]]="costo", VLOOKUP(Table1[[#This Row],[PARTIDA PRESUPUESTAL]],'Cost Report'!G:G,1,0),"Balance")</f>
        <v>3410-013</v>
      </c>
      <c r="AC3485" s="118"/>
      <c r="AD3485" s="159">
        <f>+Table1[[#This Row],[SUBTOTAL]]+Table1[[#This Row],[IVA]]-Table1[[#This Row],[RET IVA]]-Table1[[#This Row],[RET ISR]]-Table1[[#This Row],[TOTAL]]</f>
        <v>0</v>
      </c>
      <c r="AE3485" s="150"/>
      <c r="AF3485" s="151"/>
      <c r="AG3485" s="126"/>
      <c r="AK3485" s="306" t="str">
        <f>IF(ISNUMBER(Table1[[#This Row],[FECHA DE RECIBIDO]]), Table1[[#This Row],[FECHA DE RECIBIDO]]-DATE(2023,8,30), "")</f>
        <v/>
      </c>
    </row>
    <row r="3486" spans="1:37" ht="15" customHeight="1">
      <c r="A3486" s="152" t="s">
        <v>4214</v>
      </c>
      <c r="B3486" s="153">
        <v>1179</v>
      </c>
      <c r="C3486" s="126" t="s">
        <v>2722</v>
      </c>
      <c r="D3486">
        <v>2416</v>
      </c>
      <c r="E3486" s="126" t="s">
        <v>3273</v>
      </c>
      <c r="F3486" s="125" t="s">
        <v>1589</v>
      </c>
      <c r="G3486" s="125" t="s">
        <v>129</v>
      </c>
      <c r="H3486">
        <v>264</v>
      </c>
      <c r="I3486" s="125" t="s">
        <v>1546</v>
      </c>
      <c r="J3486" s="308" t="s">
        <v>214</v>
      </c>
      <c r="K3486" s="127" t="s">
        <v>4212</v>
      </c>
      <c r="L3486" s="153" t="s">
        <v>3306</v>
      </c>
      <c r="M3486">
        <v>351</v>
      </c>
      <c r="N3486" s="123">
        <v>1</v>
      </c>
      <c r="O3486">
        <v>2304</v>
      </c>
      <c r="P3486" s="132" t="s">
        <v>77</v>
      </c>
      <c r="Q3486" s="132">
        <v>40100</v>
      </c>
      <c r="R3486" s="132">
        <v>6416</v>
      </c>
      <c r="S3486" s="132"/>
      <c r="T3486" s="156">
        <v>4277.3500000000004</v>
      </c>
      <c r="U3486" s="132">
        <v>4010</v>
      </c>
      <c r="V3486" s="132">
        <v>38228.65</v>
      </c>
      <c r="W3486">
        <v>164</v>
      </c>
      <c r="X3486" s="153" t="s">
        <v>1429</v>
      </c>
      <c r="Y3486" s="124" t="s">
        <v>55</v>
      </c>
      <c r="Z3486" s="308">
        <v>250</v>
      </c>
      <c r="AB3486" t="str">
        <f>IF(Table1[[#This Row],[TIPO2]]="costo", VLOOKUP(Table1[[#This Row],[PARTIDA PRESUPUESTAL]],'Cost Report'!G:G,1,0),"Balance")</f>
        <v>3193-099</v>
      </c>
      <c r="AC3486" s="118"/>
      <c r="AD3486" s="159">
        <f>+Table1[[#This Row],[SUBTOTAL]]+Table1[[#This Row],[IVA]]-Table1[[#This Row],[RET IVA]]-Table1[[#This Row],[RET ISR]]-Table1[[#This Row],[TOTAL]]</f>
        <v>0</v>
      </c>
      <c r="AE3486" s="152"/>
      <c r="AF3486" s="153"/>
      <c r="AG3486" s="126"/>
      <c r="AK3486" s="306" t="str">
        <f>IF(ISNUMBER(Table1[[#This Row],[FECHA DE RECIBIDO]]), Table1[[#This Row],[FECHA DE RECIBIDO]]-DATE(2023,8,30), "")</f>
        <v/>
      </c>
    </row>
    <row r="3487" spans="1:37" ht="15" customHeight="1">
      <c r="A3487" s="150" t="s">
        <v>4214</v>
      </c>
      <c r="B3487" s="151">
        <v>1179</v>
      </c>
      <c r="C3487" s="126" t="s">
        <v>2724</v>
      </c>
      <c r="D3487">
        <v>2416</v>
      </c>
      <c r="E3487" s="126" t="s">
        <v>3273</v>
      </c>
      <c r="F3487" s="122" t="s">
        <v>1589</v>
      </c>
      <c r="G3487" s="122" t="s">
        <v>129</v>
      </c>
      <c r="H3487">
        <v>264</v>
      </c>
      <c r="I3487" s="122" t="s">
        <v>1546</v>
      </c>
      <c r="J3487" s="307" t="s">
        <v>214</v>
      </c>
      <c r="K3487" s="127" t="s">
        <v>4212</v>
      </c>
      <c r="L3487" s="151" t="s">
        <v>3306</v>
      </c>
      <c r="M3487">
        <v>351</v>
      </c>
      <c r="N3487" s="123">
        <v>1</v>
      </c>
      <c r="O3487">
        <v>2304</v>
      </c>
      <c r="P3487" s="132" t="s">
        <v>77</v>
      </c>
      <c r="Q3487" s="131">
        <v>49000</v>
      </c>
      <c r="R3487" s="131">
        <v>7840</v>
      </c>
      <c r="S3487" s="131"/>
      <c r="T3487" s="155">
        <v>5226.68</v>
      </c>
      <c r="U3487" s="131">
        <v>4900</v>
      </c>
      <c r="V3487" s="131">
        <v>46713.32</v>
      </c>
      <c r="W3487">
        <v>164</v>
      </c>
      <c r="X3487" s="151" t="s">
        <v>1429</v>
      </c>
      <c r="Y3487" s="135" t="s">
        <v>55</v>
      </c>
      <c r="Z3487" s="307">
        <v>250</v>
      </c>
      <c r="AB3487" t="str">
        <f>IF(Table1[[#This Row],[TIPO2]]="costo", VLOOKUP(Table1[[#This Row],[PARTIDA PRESUPUESTAL]],'Cost Report'!G:G,1,0),"Balance")</f>
        <v>3193-101</v>
      </c>
      <c r="AC3487" s="118"/>
      <c r="AD3487" s="159">
        <f>+Table1[[#This Row],[SUBTOTAL]]+Table1[[#This Row],[IVA]]-Table1[[#This Row],[RET IVA]]-Table1[[#This Row],[RET ISR]]-Table1[[#This Row],[TOTAL]]</f>
        <v>0</v>
      </c>
      <c r="AE3487" s="150"/>
      <c r="AF3487" s="151"/>
      <c r="AG3487" s="126"/>
      <c r="AK3487" s="306" t="str">
        <f>IF(ISNUMBER(Table1[[#This Row],[FECHA DE RECIBIDO]]), Table1[[#This Row],[FECHA DE RECIBIDO]]-DATE(2023,8,30), "")</f>
        <v/>
      </c>
    </row>
    <row r="3488" spans="1:37" ht="15" customHeight="1">
      <c r="A3488" s="152" t="s">
        <v>4214</v>
      </c>
      <c r="B3488" s="153">
        <v>1179</v>
      </c>
      <c r="C3488" s="126" t="s">
        <v>2726</v>
      </c>
      <c r="D3488">
        <v>2416</v>
      </c>
      <c r="E3488" s="126" t="s">
        <v>3273</v>
      </c>
      <c r="F3488" s="125" t="s">
        <v>1589</v>
      </c>
      <c r="G3488" s="125" t="s">
        <v>129</v>
      </c>
      <c r="H3488">
        <v>264</v>
      </c>
      <c r="I3488" s="125" t="s">
        <v>1546</v>
      </c>
      <c r="J3488" s="308" t="s">
        <v>214</v>
      </c>
      <c r="K3488" s="127" t="s">
        <v>4212</v>
      </c>
      <c r="L3488" s="153" t="s">
        <v>3306</v>
      </c>
      <c r="M3488">
        <v>351</v>
      </c>
      <c r="N3488" s="123">
        <v>1</v>
      </c>
      <c r="O3488">
        <v>2304</v>
      </c>
      <c r="P3488" s="132" t="s">
        <v>77</v>
      </c>
      <c r="Q3488" s="132">
        <v>52500</v>
      </c>
      <c r="R3488" s="132">
        <v>8400</v>
      </c>
      <c r="S3488" s="132"/>
      <c r="T3488" s="156">
        <v>5600.02</v>
      </c>
      <c r="U3488" s="132">
        <v>5250</v>
      </c>
      <c r="V3488" s="132">
        <v>50049.979999999996</v>
      </c>
      <c r="W3488">
        <v>164</v>
      </c>
      <c r="X3488" s="153" t="s">
        <v>1429</v>
      </c>
      <c r="Y3488" s="124" t="s">
        <v>55</v>
      </c>
      <c r="Z3488" s="308">
        <v>250</v>
      </c>
      <c r="AB3488" t="str">
        <f>IF(Table1[[#This Row],[TIPO2]]="costo", VLOOKUP(Table1[[#This Row],[PARTIDA PRESUPUESTAL]],'Cost Report'!G:G,1,0),"Balance")</f>
        <v>3193-103</v>
      </c>
      <c r="AC3488" s="118"/>
      <c r="AD3488" s="159">
        <f>+Table1[[#This Row],[SUBTOTAL]]+Table1[[#This Row],[IVA]]-Table1[[#This Row],[RET IVA]]-Table1[[#This Row],[RET ISR]]-Table1[[#This Row],[TOTAL]]</f>
        <v>0</v>
      </c>
      <c r="AE3488" s="152"/>
      <c r="AF3488" s="153"/>
      <c r="AG3488" s="126"/>
      <c r="AK3488" s="306" t="str">
        <f>IF(ISNUMBER(Table1[[#This Row],[FECHA DE RECIBIDO]]), Table1[[#This Row],[FECHA DE RECIBIDO]]-DATE(2023,8,30), "")</f>
        <v/>
      </c>
    </row>
    <row r="3489" spans="1:37" ht="15" customHeight="1">
      <c r="A3489" s="150" t="s">
        <v>4214</v>
      </c>
      <c r="B3489" s="151">
        <v>1179</v>
      </c>
      <c r="C3489" s="126" t="s">
        <v>2727</v>
      </c>
      <c r="D3489">
        <v>2416</v>
      </c>
      <c r="E3489" s="126" t="s">
        <v>3273</v>
      </c>
      <c r="F3489" s="122" t="s">
        <v>1589</v>
      </c>
      <c r="G3489" s="122" t="s">
        <v>129</v>
      </c>
      <c r="H3489">
        <v>264</v>
      </c>
      <c r="I3489" s="122" t="s">
        <v>1546</v>
      </c>
      <c r="J3489" s="307" t="s">
        <v>214</v>
      </c>
      <c r="K3489" s="127" t="s">
        <v>4212</v>
      </c>
      <c r="L3489" s="151" t="s">
        <v>3306</v>
      </c>
      <c r="M3489">
        <v>351</v>
      </c>
      <c r="N3489" s="123">
        <v>1</v>
      </c>
      <c r="O3489">
        <v>2304</v>
      </c>
      <c r="P3489" s="132" t="s">
        <v>77</v>
      </c>
      <c r="Q3489" s="131">
        <v>49000</v>
      </c>
      <c r="R3489" s="131">
        <v>7840</v>
      </c>
      <c r="S3489" s="131"/>
      <c r="T3489" s="155">
        <v>5226.68</v>
      </c>
      <c r="U3489" s="131">
        <v>4900</v>
      </c>
      <c r="V3489" s="131">
        <v>46713.32</v>
      </c>
      <c r="W3489">
        <v>164</v>
      </c>
      <c r="X3489" s="151" t="s">
        <v>1429</v>
      </c>
      <c r="Y3489" s="135" t="s">
        <v>55</v>
      </c>
      <c r="Z3489" s="307">
        <v>250</v>
      </c>
      <c r="AB3489" t="str">
        <f>IF(Table1[[#This Row],[TIPO2]]="costo", VLOOKUP(Table1[[#This Row],[PARTIDA PRESUPUESTAL]],'Cost Report'!G:G,1,0),"Balance")</f>
        <v>3193-104</v>
      </c>
      <c r="AC3489" s="118"/>
      <c r="AD3489" s="159">
        <f>+Table1[[#This Row],[SUBTOTAL]]+Table1[[#This Row],[IVA]]-Table1[[#This Row],[RET IVA]]-Table1[[#This Row],[RET ISR]]-Table1[[#This Row],[TOTAL]]</f>
        <v>0</v>
      </c>
      <c r="AE3489" s="150"/>
      <c r="AF3489" s="151"/>
      <c r="AG3489" s="126"/>
      <c r="AK3489" s="306" t="str">
        <f>IF(ISNUMBER(Table1[[#This Row],[FECHA DE RECIBIDO]]), Table1[[#This Row],[FECHA DE RECIBIDO]]-DATE(2023,8,30), "")</f>
        <v/>
      </c>
    </row>
    <row r="3490" spans="1:37" ht="15" customHeight="1">
      <c r="A3490" s="152" t="s">
        <v>4214</v>
      </c>
      <c r="B3490" s="153">
        <v>1179</v>
      </c>
      <c r="C3490" s="126" t="s">
        <v>2728</v>
      </c>
      <c r="D3490">
        <v>2416</v>
      </c>
      <c r="E3490" s="126" t="s">
        <v>3273</v>
      </c>
      <c r="F3490" s="125" t="s">
        <v>1589</v>
      </c>
      <c r="G3490" s="125" t="s">
        <v>129</v>
      </c>
      <c r="H3490">
        <v>264</v>
      </c>
      <c r="I3490" s="125" t="s">
        <v>1546</v>
      </c>
      <c r="J3490" s="308" t="s">
        <v>214</v>
      </c>
      <c r="K3490" s="127" t="s">
        <v>4212</v>
      </c>
      <c r="L3490" s="153" t="s">
        <v>3306</v>
      </c>
      <c r="M3490">
        <v>351</v>
      </c>
      <c r="N3490" s="123">
        <v>1</v>
      </c>
      <c r="O3490">
        <v>2304</v>
      </c>
      <c r="P3490" s="132" t="s">
        <v>77</v>
      </c>
      <c r="Q3490" s="132">
        <v>153500</v>
      </c>
      <c r="R3490" s="132">
        <v>24560</v>
      </c>
      <c r="S3490" s="132"/>
      <c r="T3490" s="156">
        <v>16373.38</v>
      </c>
      <c r="U3490" s="132">
        <v>15350</v>
      </c>
      <c r="V3490" s="132">
        <v>146336.62</v>
      </c>
      <c r="W3490">
        <v>164</v>
      </c>
      <c r="X3490" s="153" t="s">
        <v>1429</v>
      </c>
      <c r="Y3490" s="124" t="s">
        <v>55</v>
      </c>
      <c r="Z3490" s="308">
        <v>250</v>
      </c>
      <c r="AB3490" t="str">
        <f>IF(Table1[[#This Row],[TIPO2]]="costo", VLOOKUP(Table1[[#This Row],[PARTIDA PRESUPUESTAL]],'Cost Report'!G:G,1,0),"Balance")</f>
        <v>3193-105</v>
      </c>
      <c r="AC3490" s="118"/>
      <c r="AD3490" s="159">
        <f>+Table1[[#This Row],[SUBTOTAL]]+Table1[[#This Row],[IVA]]-Table1[[#This Row],[RET IVA]]-Table1[[#This Row],[RET ISR]]-Table1[[#This Row],[TOTAL]]</f>
        <v>0</v>
      </c>
      <c r="AE3490" s="152"/>
      <c r="AF3490" s="153"/>
      <c r="AG3490" s="126"/>
      <c r="AK3490" s="306" t="str">
        <f>IF(ISNUMBER(Table1[[#This Row],[FECHA DE RECIBIDO]]), Table1[[#This Row],[FECHA DE RECIBIDO]]-DATE(2023,8,30), "")</f>
        <v/>
      </c>
    </row>
    <row r="3491" spans="1:37" ht="15" customHeight="1">
      <c r="A3491" s="150" t="s">
        <v>4214</v>
      </c>
      <c r="B3491" s="151">
        <v>1179</v>
      </c>
      <c r="C3491" s="126" t="s">
        <v>2729</v>
      </c>
      <c r="D3491">
        <v>2416</v>
      </c>
      <c r="E3491" s="126" t="s">
        <v>3273</v>
      </c>
      <c r="F3491" s="122" t="s">
        <v>1589</v>
      </c>
      <c r="G3491" s="122" t="s">
        <v>129</v>
      </c>
      <c r="H3491">
        <v>264</v>
      </c>
      <c r="I3491" s="122" t="s">
        <v>1546</v>
      </c>
      <c r="J3491" s="307" t="s">
        <v>214</v>
      </c>
      <c r="K3491" s="127" t="s">
        <v>4212</v>
      </c>
      <c r="L3491" s="151" t="s">
        <v>3306</v>
      </c>
      <c r="M3491">
        <v>351</v>
      </c>
      <c r="N3491" s="123">
        <v>1</v>
      </c>
      <c r="O3491">
        <v>2304</v>
      </c>
      <c r="P3491" s="132" t="s">
        <v>77</v>
      </c>
      <c r="Q3491" s="131">
        <v>5000</v>
      </c>
      <c r="R3491" s="131">
        <v>800</v>
      </c>
      <c r="S3491" s="131"/>
      <c r="T3491" s="155">
        <v>533.34</v>
      </c>
      <c r="U3491" s="131">
        <v>500</v>
      </c>
      <c r="V3491" s="131">
        <v>4766.66</v>
      </c>
      <c r="W3491">
        <v>164</v>
      </c>
      <c r="X3491" s="151" t="s">
        <v>1429</v>
      </c>
      <c r="Y3491" s="135" t="s">
        <v>55</v>
      </c>
      <c r="Z3491" s="307">
        <v>250</v>
      </c>
      <c r="AB3491" t="str">
        <f>IF(Table1[[#This Row],[TIPO2]]="costo", VLOOKUP(Table1[[#This Row],[PARTIDA PRESUPUESTAL]],'Cost Report'!G:G,1,0),"Balance")</f>
        <v>3193-106</v>
      </c>
      <c r="AC3491" s="118"/>
      <c r="AD3491" s="159">
        <f>+Table1[[#This Row],[SUBTOTAL]]+Table1[[#This Row],[IVA]]-Table1[[#This Row],[RET IVA]]-Table1[[#This Row],[RET ISR]]-Table1[[#This Row],[TOTAL]]</f>
        <v>0</v>
      </c>
      <c r="AE3491" s="150"/>
      <c r="AF3491" s="151"/>
      <c r="AG3491" s="126"/>
      <c r="AK3491" s="306" t="str">
        <f>IF(ISNUMBER(Table1[[#This Row],[FECHA DE RECIBIDO]]), Table1[[#This Row],[FECHA DE RECIBIDO]]-DATE(2023,8,30), "")</f>
        <v/>
      </c>
    </row>
    <row r="3492" spans="1:37" ht="15" customHeight="1">
      <c r="A3492" s="152" t="s">
        <v>4214</v>
      </c>
      <c r="B3492" s="153">
        <v>1179</v>
      </c>
      <c r="C3492" s="126" t="s">
        <v>2730</v>
      </c>
      <c r="D3492">
        <v>2416</v>
      </c>
      <c r="E3492" s="126" t="s">
        <v>3273</v>
      </c>
      <c r="F3492" s="125" t="s">
        <v>1589</v>
      </c>
      <c r="G3492" s="125" t="s">
        <v>129</v>
      </c>
      <c r="H3492">
        <v>264</v>
      </c>
      <c r="I3492" s="125" t="s">
        <v>1546</v>
      </c>
      <c r="J3492" s="308" t="s">
        <v>214</v>
      </c>
      <c r="K3492" s="127" t="s">
        <v>4212</v>
      </c>
      <c r="L3492" s="153" t="s">
        <v>3306</v>
      </c>
      <c r="M3492">
        <v>351</v>
      </c>
      <c r="N3492" s="123">
        <v>1</v>
      </c>
      <c r="O3492">
        <v>2304</v>
      </c>
      <c r="P3492" s="132" t="s">
        <v>77</v>
      </c>
      <c r="Q3492" s="132">
        <v>63400</v>
      </c>
      <c r="R3492" s="132">
        <v>10144</v>
      </c>
      <c r="S3492" s="132"/>
      <c r="T3492" s="156">
        <v>6762.69</v>
      </c>
      <c r="U3492" s="132">
        <v>6340</v>
      </c>
      <c r="V3492" s="132">
        <v>60441.31</v>
      </c>
      <c r="W3492">
        <v>164</v>
      </c>
      <c r="X3492" s="153" t="s">
        <v>1429</v>
      </c>
      <c r="Y3492" s="124" t="s">
        <v>55</v>
      </c>
      <c r="Z3492" s="308">
        <v>250</v>
      </c>
      <c r="AB3492" t="str">
        <f>IF(Table1[[#This Row],[TIPO2]]="costo", VLOOKUP(Table1[[#This Row],[PARTIDA PRESUPUESTAL]],'Cost Report'!G:G,1,0),"Balance")</f>
        <v>3193-107</v>
      </c>
      <c r="AC3492" s="118"/>
      <c r="AD3492" s="159">
        <f>+Table1[[#This Row],[SUBTOTAL]]+Table1[[#This Row],[IVA]]-Table1[[#This Row],[RET IVA]]-Table1[[#This Row],[RET ISR]]-Table1[[#This Row],[TOTAL]]</f>
        <v>0</v>
      </c>
      <c r="AE3492" s="152"/>
      <c r="AF3492" s="153"/>
      <c r="AG3492" s="126"/>
      <c r="AK3492" s="306" t="str">
        <f>IF(ISNUMBER(Table1[[#This Row],[FECHA DE RECIBIDO]]), Table1[[#This Row],[FECHA DE RECIBIDO]]-DATE(2023,8,30), "")</f>
        <v/>
      </c>
    </row>
    <row r="3493" spans="1:37" ht="15" customHeight="1">
      <c r="A3493" s="150" t="s">
        <v>4215</v>
      </c>
      <c r="B3493" s="151">
        <v>1180</v>
      </c>
      <c r="C3493" s="126" t="s">
        <v>911</v>
      </c>
      <c r="D3493">
        <v>2417</v>
      </c>
      <c r="E3493" s="126" t="s">
        <v>3237</v>
      </c>
      <c r="F3493" s="122" t="s">
        <v>1607</v>
      </c>
      <c r="G3493" s="122" t="s">
        <v>134</v>
      </c>
      <c r="H3493">
        <v>213</v>
      </c>
      <c r="I3493" s="122" t="s">
        <v>1546</v>
      </c>
      <c r="J3493" s="307" t="s">
        <v>214</v>
      </c>
      <c r="K3493" s="127" t="s">
        <v>4212</v>
      </c>
      <c r="L3493" s="151" t="s">
        <v>3306</v>
      </c>
      <c r="M3493">
        <v>715</v>
      </c>
      <c r="N3493" s="123">
        <v>1</v>
      </c>
      <c r="O3493">
        <v>2305</v>
      </c>
      <c r="P3493" s="132" t="s">
        <v>77</v>
      </c>
      <c r="Q3493" s="131">
        <v>16000</v>
      </c>
      <c r="R3493" s="131">
        <v>2560</v>
      </c>
      <c r="S3493" s="131"/>
      <c r="T3493" s="155"/>
      <c r="U3493" s="131"/>
      <c r="V3493" s="131">
        <v>18560</v>
      </c>
      <c r="W3493">
        <v>134</v>
      </c>
      <c r="X3493" s="151" t="s">
        <v>2024</v>
      </c>
      <c r="Y3493" s="135" t="s">
        <v>55</v>
      </c>
      <c r="Z3493" s="307">
        <v>250</v>
      </c>
      <c r="AB3493" t="str">
        <f>IF(Table1[[#This Row],[TIPO2]]="costo", VLOOKUP(Table1[[#This Row],[PARTIDA PRESUPUESTAL]],'Cost Report'!G:G,1,0),"Balance")</f>
        <v>3201-004</v>
      </c>
      <c r="AC3493" s="118"/>
      <c r="AD3493" s="159">
        <f>+Table1[[#This Row],[SUBTOTAL]]+Table1[[#This Row],[IVA]]-Table1[[#This Row],[RET IVA]]-Table1[[#This Row],[RET ISR]]-Table1[[#This Row],[TOTAL]]</f>
        <v>0</v>
      </c>
      <c r="AE3493" s="150"/>
      <c r="AF3493" s="151"/>
      <c r="AG3493" s="126"/>
      <c r="AK3493" s="306" t="str">
        <f>IF(ISNUMBER(Table1[[#This Row],[FECHA DE RECIBIDO]]), Table1[[#This Row],[FECHA DE RECIBIDO]]-DATE(2023,8,30), "")</f>
        <v/>
      </c>
    </row>
    <row r="3494" spans="1:37" ht="15" customHeight="1">
      <c r="A3494" s="152"/>
      <c r="B3494" s="153">
        <v>1181</v>
      </c>
      <c r="C3494" s="126" t="s">
        <v>914</v>
      </c>
      <c r="D3494">
        <v>2418</v>
      </c>
      <c r="E3494" s="126" t="s">
        <v>3237</v>
      </c>
      <c r="F3494" s="125" t="s">
        <v>1607</v>
      </c>
      <c r="G3494" s="125" t="s">
        <v>134</v>
      </c>
      <c r="H3494">
        <v>213</v>
      </c>
      <c r="I3494" s="125" t="s">
        <v>1546</v>
      </c>
      <c r="J3494" s="308" t="s">
        <v>214</v>
      </c>
      <c r="K3494" s="127" t="s">
        <v>4212</v>
      </c>
      <c r="L3494" s="153" t="s">
        <v>3306</v>
      </c>
      <c r="M3494">
        <v>715</v>
      </c>
      <c r="N3494" s="123">
        <v>1</v>
      </c>
      <c r="O3494">
        <v>2306</v>
      </c>
      <c r="P3494" s="132" t="s">
        <v>77</v>
      </c>
      <c r="Q3494" s="132">
        <v>14000</v>
      </c>
      <c r="R3494" s="132">
        <v>2240</v>
      </c>
      <c r="S3494" s="132"/>
      <c r="T3494" s="156"/>
      <c r="U3494" s="132"/>
      <c r="V3494" s="132">
        <v>16240</v>
      </c>
      <c r="W3494">
        <v>134</v>
      </c>
      <c r="X3494" s="153" t="s">
        <v>2024</v>
      </c>
      <c r="Y3494" s="124" t="s">
        <v>55</v>
      </c>
      <c r="Z3494" s="308">
        <v>250</v>
      </c>
      <c r="AB3494" t="str">
        <f>IF(Table1[[#This Row],[TIPO2]]="costo", VLOOKUP(Table1[[#This Row],[PARTIDA PRESUPUESTAL]],'Cost Report'!G:G,1,0),"Balance")</f>
        <v>3201-007</v>
      </c>
      <c r="AC3494" s="118"/>
      <c r="AD3494" s="159">
        <f>+Table1[[#This Row],[SUBTOTAL]]+Table1[[#This Row],[IVA]]-Table1[[#This Row],[RET IVA]]-Table1[[#This Row],[RET ISR]]-Table1[[#This Row],[TOTAL]]</f>
        <v>0</v>
      </c>
      <c r="AE3494" s="152"/>
      <c r="AF3494" s="153"/>
      <c r="AG3494" s="126"/>
      <c r="AK3494" s="306" t="str">
        <f>IF(ISNUMBER(Table1[[#This Row],[FECHA DE RECIBIDO]]), Table1[[#This Row],[FECHA DE RECIBIDO]]-DATE(2023,8,30), "")</f>
        <v/>
      </c>
    </row>
    <row r="3495" spans="1:37" ht="15" customHeight="1">
      <c r="A3495" s="150"/>
      <c r="B3495" s="151">
        <v>1182</v>
      </c>
      <c r="C3495" s="126" t="s">
        <v>2738</v>
      </c>
      <c r="D3495">
        <v>2419</v>
      </c>
      <c r="E3495" s="126" t="s">
        <v>3237</v>
      </c>
      <c r="F3495" s="122" t="s">
        <v>1607</v>
      </c>
      <c r="G3495" s="122" t="s">
        <v>134</v>
      </c>
      <c r="H3495">
        <v>213</v>
      </c>
      <c r="I3495" s="122" t="s">
        <v>1546</v>
      </c>
      <c r="J3495" s="307" t="s">
        <v>214</v>
      </c>
      <c r="K3495" s="127" t="s">
        <v>4212</v>
      </c>
      <c r="L3495" s="151" t="s">
        <v>3306</v>
      </c>
      <c r="M3495">
        <v>715</v>
      </c>
      <c r="N3495" s="123">
        <v>1</v>
      </c>
      <c r="O3495">
        <v>2307</v>
      </c>
      <c r="P3495" s="132" t="s">
        <v>77</v>
      </c>
      <c r="Q3495" s="131">
        <v>14000</v>
      </c>
      <c r="R3495" s="131">
        <v>2240</v>
      </c>
      <c r="S3495" s="131"/>
      <c r="T3495" s="155"/>
      <c r="U3495" s="131"/>
      <c r="V3495" s="131">
        <v>16240</v>
      </c>
      <c r="W3495">
        <v>134</v>
      </c>
      <c r="X3495" s="151" t="s">
        <v>2024</v>
      </c>
      <c r="Y3495" s="135" t="s">
        <v>55</v>
      </c>
      <c r="Z3495" s="307">
        <v>250</v>
      </c>
      <c r="AB3495" t="str">
        <f>IF(Table1[[#This Row],[TIPO2]]="costo", VLOOKUP(Table1[[#This Row],[PARTIDA PRESUPUESTAL]],'Cost Report'!G:G,1,0),"Balance")</f>
        <v>3201-015</v>
      </c>
      <c r="AC3495" s="118"/>
      <c r="AD3495" s="159">
        <f>+Table1[[#This Row],[SUBTOTAL]]+Table1[[#This Row],[IVA]]-Table1[[#This Row],[RET IVA]]-Table1[[#This Row],[RET ISR]]-Table1[[#This Row],[TOTAL]]</f>
        <v>0</v>
      </c>
      <c r="AE3495" s="150"/>
      <c r="AF3495" s="151"/>
      <c r="AG3495" s="126"/>
      <c r="AK3495" s="306" t="str">
        <f>IF(ISNUMBER(Table1[[#This Row],[FECHA DE RECIBIDO]]), Table1[[#This Row],[FECHA DE RECIBIDO]]-DATE(2023,8,30), "")</f>
        <v/>
      </c>
    </row>
    <row r="3496" spans="1:37" ht="15" customHeight="1">
      <c r="A3496" s="152" t="s">
        <v>4216</v>
      </c>
      <c r="B3496" s="153">
        <v>1183</v>
      </c>
      <c r="C3496" s="126" t="s">
        <v>3412</v>
      </c>
      <c r="D3496">
        <v>2420</v>
      </c>
      <c r="E3496" s="126" t="s">
        <v>3636</v>
      </c>
      <c r="F3496" s="125" t="s">
        <v>1607</v>
      </c>
      <c r="G3496" s="125" t="s">
        <v>134</v>
      </c>
      <c r="H3496">
        <v>333</v>
      </c>
      <c r="I3496" s="125" t="s">
        <v>1546</v>
      </c>
      <c r="J3496" s="308" t="s">
        <v>214</v>
      </c>
      <c r="K3496" s="127" t="s">
        <v>4212</v>
      </c>
      <c r="L3496" s="153" t="s">
        <v>3306</v>
      </c>
      <c r="M3496">
        <v>447</v>
      </c>
      <c r="N3496" s="123">
        <v>1</v>
      </c>
      <c r="O3496">
        <v>2308</v>
      </c>
      <c r="P3496" s="132" t="s">
        <v>77</v>
      </c>
      <c r="Q3496" s="132">
        <v>25000</v>
      </c>
      <c r="R3496" s="132">
        <v>4000</v>
      </c>
      <c r="S3496" s="132"/>
      <c r="T3496" s="156"/>
      <c r="U3496" s="132"/>
      <c r="V3496" s="132">
        <v>29000</v>
      </c>
      <c r="W3496">
        <v>171</v>
      </c>
      <c r="X3496" s="153" t="s">
        <v>3683</v>
      </c>
      <c r="Y3496" s="124" t="s">
        <v>55</v>
      </c>
      <c r="Z3496" s="308">
        <v>250</v>
      </c>
      <c r="AB3496" t="str">
        <f>IF(Table1[[#This Row],[TIPO2]]="costo", VLOOKUP(Table1[[#This Row],[PARTIDA PRESUPUESTAL]],'Cost Report'!G:G,1,0),"Balance")</f>
        <v>3193-117</v>
      </c>
      <c r="AC3496" s="118"/>
      <c r="AD3496" s="159">
        <f>+Table1[[#This Row],[SUBTOTAL]]+Table1[[#This Row],[IVA]]-Table1[[#This Row],[RET IVA]]-Table1[[#This Row],[RET ISR]]-Table1[[#This Row],[TOTAL]]</f>
        <v>0</v>
      </c>
      <c r="AE3496" s="152"/>
      <c r="AF3496" s="153"/>
      <c r="AG3496" s="126"/>
      <c r="AK3496" s="306" t="str">
        <f>IF(ISNUMBER(Table1[[#This Row],[FECHA DE RECIBIDO]]), Table1[[#This Row],[FECHA DE RECIBIDO]]-DATE(2023,8,30), "")</f>
        <v/>
      </c>
    </row>
    <row r="3497" spans="1:37" ht="15" customHeight="1">
      <c r="A3497" s="150" t="s">
        <v>4217</v>
      </c>
      <c r="B3497" s="151">
        <v>1184</v>
      </c>
      <c r="C3497" s="126" t="s">
        <v>2734</v>
      </c>
      <c r="D3497">
        <v>2421</v>
      </c>
      <c r="E3497" s="126" t="s">
        <v>3268</v>
      </c>
      <c r="F3497" s="122" t="s">
        <v>1593</v>
      </c>
      <c r="G3497" s="122" t="s">
        <v>109</v>
      </c>
      <c r="H3497">
        <v>255</v>
      </c>
      <c r="I3497" s="122" t="s">
        <v>1546</v>
      </c>
      <c r="J3497" s="307" t="s">
        <v>214</v>
      </c>
      <c r="K3497" s="127" t="s">
        <v>4212</v>
      </c>
      <c r="L3497" s="151" t="s">
        <v>3306</v>
      </c>
      <c r="M3497">
        <v>338</v>
      </c>
      <c r="N3497" s="123">
        <v>1</v>
      </c>
      <c r="O3497">
        <v>2309</v>
      </c>
      <c r="P3497" s="132" t="s">
        <v>77</v>
      </c>
      <c r="Q3497" s="131">
        <v>286000</v>
      </c>
      <c r="R3497" s="131">
        <v>45760</v>
      </c>
      <c r="S3497" s="131"/>
      <c r="T3497" s="155">
        <v>30506.76</v>
      </c>
      <c r="U3497" s="131">
        <v>3575</v>
      </c>
      <c r="V3497" s="131">
        <f>+Table1[[#This Row],[SUBTOTAL]]+Table1[[#This Row],[IVA]]-Table1[[#This Row],[RET IVA]]-Table1[[#This Row],[RET ISR]]</f>
        <v>297678.24</v>
      </c>
      <c r="W3497">
        <v>205</v>
      </c>
      <c r="X3497" s="151" t="s">
        <v>2024</v>
      </c>
      <c r="Y3497" s="135" t="s">
        <v>55</v>
      </c>
      <c r="Z3497" s="307">
        <v>250</v>
      </c>
      <c r="AB3497" t="str">
        <f>IF(Table1[[#This Row],[TIPO2]]="costo", VLOOKUP(Table1[[#This Row],[PARTIDA PRESUPUESTAL]],'Cost Report'!G:G,1,0),"Balance")</f>
        <v>3193-115</v>
      </c>
      <c r="AC3497" s="118" t="s">
        <v>4316</v>
      </c>
      <c r="AD3497" s="159">
        <f>+Table1[[#This Row],[SUBTOTAL]]+Table1[[#This Row],[IVA]]-Table1[[#This Row],[RET IVA]]-Table1[[#This Row],[RET ISR]]-Table1[[#This Row],[TOTAL]]</f>
        <v>0</v>
      </c>
      <c r="AE3497" s="150"/>
      <c r="AF3497" s="151"/>
      <c r="AG3497" s="126"/>
      <c r="AK3497" s="306" t="str">
        <f>IF(ISNUMBER(Table1[[#This Row],[FECHA DE RECIBIDO]]), Table1[[#This Row],[FECHA DE RECIBIDO]]-DATE(2023,8,30), "")</f>
        <v/>
      </c>
    </row>
    <row r="3498" spans="1:37" ht="15" customHeight="1">
      <c r="A3498" s="152" t="s">
        <v>4218</v>
      </c>
      <c r="B3498" s="153">
        <v>1185</v>
      </c>
      <c r="C3498" s="126" t="s">
        <v>2734</v>
      </c>
      <c r="D3498">
        <v>2422</v>
      </c>
      <c r="E3498" s="126" t="s">
        <v>3268</v>
      </c>
      <c r="F3498" s="125" t="s">
        <v>1593</v>
      </c>
      <c r="G3498" s="125" t="s">
        <v>109</v>
      </c>
      <c r="H3498">
        <v>255</v>
      </c>
      <c r="I3498" s="125" t="s">
        <v>1546</v>
      </c>
      <c r="J3498" s="308" t="s">
        <v>214</v>
      </c>
      <c r="K3498" s="127" t="s">
        <v>4212</v>
      </c>
      <c r="L3498" s="153" t="s">
        <v>3306</v>
      </c>
      <c r="M3498">
        <v>338</v>
      </c>
      <c r="N3498" s="123">
        <v>1</v>
      </c>
      <c r="O3498">
        <v>2310</v>
      </c>
      <c r="P3498" s="132" t="s">
        <v>77</v>
      </c>
      <c r="Q3498" s="132">
        <v>12385.8</v>
      </c>
      <c r="R3498" s="132">
        <v>1981.73</v>
      </c>
      <c r="S3498" s="132"/>
      <c r="T3498" s="156">
        <v>1321.16</v>
      </c>
      <c r="U3498" s="132">
        <v>154.82</v>
      </c>
      <c r="V3498" s="132">
        <f>+Table1[[#This Row],[SUBTOTAL]]+Table1[[#This Row],[IVA]]-Table1[[#This Row],[RET IVA]]-Table1[[#This Row],[RET ISR]]</f>
        <v>12891.55</v>
      </c>
      <c r="W3498">
        <v>205</v>
      </c>
      <c r="X3498" s="153" t="s">
        <v>2024</v>
      </c>
      <c r="Y3498" s="124" t="s">
        <v>55</v>
      </c>
      <c r="Z3498" s="308">
        <v>250</v>
      </c>
      <c r="AB3498" t="str">
        <f>IF(Table1[[#This Row],[TIPO2]]="costo", VLOOKUP(Table1[[#This Row],[PARTIDA PRESUPUESTAL]],'Cost Report'!G:G,1,0),"Balance")</f>
        <v>3193-115</v>
      </c>
      <c r="AC3498" s="118" t="s">
        <v>4316</v>
      </c>
      <c r="AD3498" s="159">
        <f>+Table1[[#This Row],[SUBTOTAL]]+Table1[[#This Row],[IVA]]-Table1[[#This Row],[RET IVA]]-Table1[[#This Row],[RET ISR]]-Table1[[#This Row],[TOTAL]]</f>
        <v>0</v>
      </c>
      <c r="AE3498" s="152"/>
      <c r="AF3498" s="153"/>
      <c r="AG3498" s="126"/>
      <c r="AK3498" s="306" t="str">
        <f>IF(ISNUMBER(Table1[[#This Row],[FECHA DE RECIBIDO]]), Table1[[#This Row],[FECHA DE RECIBIDO]]-DATE(2023,8,30), "")</f>
        <v/>
      </c>
    </row>
    <row r="3499" spans="1:37" ht="15" customHeight="1">
      <c r="A3499" s="150" t="s">
        <v>4219</v>
      </c>
      <c r="B3499" s="151">
        <v>1186</v>
      </c>
      <c r="C3499" s="126" t="s">
        <v>2680</v>
      </c>
      <c r="D3499">
        <v>2423</v>
      </c>
      <c r="E3499" s="126" t="s">
        <v>1645</v>
      </c>
      <c r="F3499" s="122" t="s">
        <v>1593</v>
      </c>
      <c r="G3499" s="122" t="s">
        <v>109</v>
      </c>
      <c r="H3499">
        <v>336</v>
      </c>
      <c r="I3499" s="122" t="s">
        <v>1546</v>
      </c>
      <c r="J3499" s="307" t="s">
        <v>214</v>
      </c>
      <c r="K3499" s="127" t="s">
        <v>4212</v>
      </c>
      <c r="L3499" s="151" t="s">
        <v>3306</v>
      </c>
      <c r="M3499">
        <v>453</v>
      </c>
      <c r="N3499" s="123">
        <v>1</v>
      </c>
      <c r="O3499">
        <v>2311</v>
      </c>
      <c r="P3499" s="132" t="s">
        <v>77</v>
      </c>
      <c r="Q3499" s="131">
        <v>5770</v>
      </c>
      <c r="R3499" s="131">
        <v>923.2</v>
      </c>
      <c r="S3499" s="131"/>
      <c r="T3499" s="155">
        <v>615.47</v>
      </c>
      <c r="U3499" s="131">
        <v>72.13</v>
      </c>
      <c r="V3499" s="131">
        <f>+Table1[[#This Row],[SUBTOTAL]]+Table1[[#This Row],[IVA]]-Table1[[#This Row],[RET IVA]]-Table1[[#This Row],[RET ISR]]</f>
        <v>6005.5999999999995</v>
      </c>
      <c r="W3499">
        <v>174</v>
      </c>
      <c r="X3499" s="151" t="s">
        <v>1429</v>
      </c>
      <c r="Y3499" s="135" t="s">
        <v>55</v>
      </c>
      <c r="Z3499" s="307">
        <v>250</v>
      </c>
      <c r="AB3499" t="str">
        <f>IF(Table1[[#This Row],[TIPO2]]="costo", VLOOKUP(Table1[[#This Row],[PARTIDA PRESUPUESTAL]],'Cost Report'!G:G,1,0),"Balance")</f>
        <v>3110-003</v>
      </c>
      <c r="AC3499" s="118" t="s">
        <v>4316</v>
      </c>
      <c r="AD3499" s="159">
        <f>+Table1[[#This Row],[SUBTOTAL]]+Table1[[#This Row],[IVA]]-Table1[[#This Row],[RET IVA]]-Table1[[#This Row],[RET ISR]]-Table1[[#This Row],[TOTAL]]</f>
        <v>0</v>
      </c>
      <c r="AE3499" s="150"/>
      <c r="AF3499" s="151"/>
      <c r="AG3499" s="126"/>
      <c r="AK3499" s="306" t="str">
        <f>IF(ISNUMBER(Table1[[#This Row],[FECHA DE RECIBIDO]]), Table1[[#This Row],[FECHA DE RECIBIDO]]-DATE(2023,8,30), "")</f>
        <v/>
      </c>
    </row>
    <row r="3500" spans="1:37" ht="15" customHeight="1">
      <c r="A3500" s="152" t="s">
        <v>4220</v>
      </c>
      <c r="B3500" s="153">
        <v>1187</v>
      </c>
      <c r="C3500" s="126" t="s">
        <v>1849</v>
      </c>
      <c r="D3500">
        <v>2424</v>
      </c>
      <c r="E3500" s="126" t="s">
        <v>3636</v>
      </c>
      <c r="F3500" s="125" t="s">
        <v>1607</v>
      </c>
      <c r="G3500" s="125" t="s">
        <v>134</v>
      </c>
      <c r="H3500">
        <v>670</v>
      </c>
      <c r="I3500" s="125" t="s">
        <v>1546</v>
      </c>
      <c r="J3500" s="308" t="s">
        <v>214</v>
      </c>
      <c r="K3500" s="127" t="s">
        <v>4212</v>
      </c>
      <c r="L3500" s="153" t="s">
        <v>3306</v>
      </c>
      <c r="M3500">
        <v>943</v>
      </c>
      <c r="N3500" s="123">
        <v>1</v>
      </c>
      <c r="O3500">
        <v>2312</v>
      </c>
      <c r="P3500" s="132" t="s">
        <v>77</v>
      </c>
      <c r="Q3500" s="132">
        <v>19000</v>
      </c>
      <c r="R3500" s="132">
        <v>3040</v>
      </c>
      <c r="S3500" s="132"/>
      <c r="T3500" s="156"/>
      <c r="U3500" s="132"/>
      <c r="V3500" s="132">
        <v>22040</v>
      </c>
      <c r="W3500">
        <v>341</v>
      </c>
      <c r="X3500" s="153" t="s">
        <v>1429</v>
      </c>
      <c r="Y3500" s="124" t="s">
        <v>55</v>
      </c>
      <c r="Z3500" s="308">
        <v>250</v>
      </c>
      <c r="AB3500" t="str">
        <f>IF(Table1[[#This Row],[TIPO2]]="costo", VLOOKUP(Table1[[#This Row],[PARTIDA PRESUPUESTAL]],'Cost Report'!G:G,1,0),"Balance")</f>
        <v>3305-003</v>
      </c>
      <c r="AC3500" s="118"/>
      <c r="AD3500" s="159">
        <f>+Table1[[#This Row],[SUBTOTAL]]+Table1[[#This Row],[IVA]]-Table1[[#This Row],[RET IVA]]-Table1[[#This Row],[RET ISR]]-Table1[[#This Row],[TOTAL]]</f>
        <v>0</v>
      </c>
      <c r="AE3500" s="152"/>
      <c r="AF3500" s="153"/>
      <c r="AG3500" s="126"/>
      <c r="AK3500" s="306" t="str">
        <f>IF(ISNUMBER(Table1[[#This Row],[FECHA DE RECIBIDO]]), Table1[[#This Row],[FECHA DE RECIBIDO]]-DATE(2023,8,30), "")</f>
        <v/>
      </c>
    </row>
    <row r="3501" spans="1:37" ht="15" customHeight="1">
      <c r="A3501" s="150" t="s">
        <v>4220</v>
      </c>
      <c r="B3501" s="151">
        <v>1187</v>
      </c>
      <c r="C3501" s="126" t="s">
        <v>1850</v>
      </c>
      <c r="D3501">
        <v>2424</v>
      </c>
      <c r="E3501" s="126" t="s">
        <v>3636</v>
      </c>
      <c r="F3501" s="122" t="s">
        <v>1607</v>
      </c>
      <c r="G3501" s="122" t="s">
        <v>134</v>
      </c>
      <c r="H3501">
        <v>670</v>
      </c>
      <c r="I3501" s="122" t="s">
        <v>1546</v>
      </c>
      <c r="J3501" s="307" t="s">
        <v>214</v>
      </c>
      <c r="K3501" s="127" t="s">
        <v>4212</v>
      </c>
      <c r="L3501" s="151" t="s">
        <v>3306</v>
      </c>
      <c r="M3501">
        <v>943</v>
      </c>
      <c r="N3501" s="123">
        <v>1</v>
      </c>
      <c r="O3501">
        <v>2312</v>
      </c>
      <c r="P3501" s="132" t="s">
        <v>77</v>
      </c>
      <c r="Q3501" s="131">
        <v>20000</v>
      </c>
      <c r="R3501" s="131">
        <v>3200</v>
      </c>
      <c r="S3501" s="131"/>
      <c r="T3501" s="155"/>
      <c r="U3501" s="131"/>
      <c r="V3501" s="131">
        <v>23200</v>
      </c>
      <c r="W3501">
        <v>341</v>
      </c>
      <c r="X3501" s="151" t="s">
        <v>1429</v>
      </c>
      <c r="Y3501" s="135" t="s">
        <v>55</v>
      </c>
      <c r="Z3501" s="307">
        <v>250</v>
      </c>
      <c r="AB3501" t="str">
        <f>IF(Table1[[#This Row],[TIPO2]]="costo", VLOOKUP(Table1[[#This Row],[PARTIDA PRESUPUESTAL]],'Cost Report'!G:G,1,0),"Balance")</f>
        <v>3305-004</v>
      </c>
      <c r="AC3501" s="118"/>
      <c r="AD3501" s="159">
        <f>+Table1[[#This Row],[SUBTOTAL]]+Table1[[#This Row],[IVA]]-Table1[[#This Row],[RET IVA]]-Table1[[#This Row],[RET ISR]]-Table1[[#This Row],[TOTAL]]</f>
        <v>0</v>
      </c>
      <c r="AE3501" s="150"/>
      <c r="AF3501" s="151"/>
      <c r="AG3501" s="126"/>
      <c r="AK3501" s="306" t="str">
        <f>IF(ISNUMBER(Table1[[#This Row],[FECHA DE RECIBIDO]]), Table1[[#This Row],[FECHA DE RECIBIDO]]-DATE(2023,8,30), "")</f>
        <v/>
      </c>
    </row>
    <row r="3502" spans="1:37" ht="15" customHeight="1">
      <c r="A3502" s="152" t="s">
        <v>4220</v>
      </c>
      <c r="B3502" s="153">
        <v>1187</v>
      </c>
      <c r="C3502" s="126" t="s">
        <v>1851</v>
      </c>
      <c r="D3502">
        <v>2424</v>
      </c>
      <c r="E3502" s="126" t="s">
        <v>3636</v>
      </c>
      <c r="F3502" s="125" t="s">
        <v>1607</v>
      </c>
      <c r="G3502" s="125" t="s">
        <v>134</v>
      </c>
      <c r="H3502">
        <v>670</v>
      </c>
      <c r="I3502" s="125" t="s">
        <v>1546</v>
      </c>
      <c r="J3502" s="308" t="s">
        <v>214</v>
      </c>
      <c r="K3502" s="127" t="s">
        <v>4212</v>
      </c>
      <c r="L3502" s="153" t="s">
        <v>3306</v>
      </c>
      <c r="M3502">
        <v>943</v>
      </c>
      <c r="N3502" s="123">
        <v>1</v>
      </c>
      <c r="O3502">
        <v>2312</v>
      </c>
      <c r="P3502" s="132" t="s">
        <v>77</v>
      </c>
      <c r="Q3502" s="132">
        <v>4500</v>
      </c>
      <c r="R3502" s="132">
        <v>720</v>
      </c>
      <c r="S3502" s="132"/>
      <c r="T3502" s="156"/>
      <c r="U3502" s="132"/>
      <c r="V3502" s="132">
        <v>5220</v>
      </c>
      <c r="W3502">
        <v>341</v>
      </c>
      <c r="X3502" s="153" t="s">
        <v>1429</v>
      </c>
      <c r="Y3502" s="124" t="s">
        <v>55</v>
      </c>
      <c r="Z3502" s="308">
        <v>250</v>
      </c>
      <c r="AB3502" t="str">
        <f>IF(Table1[[#This Row],[TIPO2]]="costo", VLOOKUP(Table1[[#This Row],[PARTIDA PRESUPUESTAL]],'Cost Report'!G:G,1,0),"Balance")</f>
        <v>3305-005</v>
      </c>
      <c r="AC3502" s="118"/>
      <c r="AD3502" s="159">
        <f>+Table1[[#This Row],[SUBTOTAL]]+Table1[[#This Row],[IVA]]-Table1[[#This Row],[RET IVA]]-Table1[[#This Row],[RET ISR]]-Table1[[#This Row],[TOTAL]]</f>
        <v>0</v>
      </c>
      <c r="AE3502" s="152"/>
      <c r="AF3502" s="153"/>
      <c r="AG3502" s="126"/>
      <c r="AK3502" s="306" t="str">
        <f>IF(ISNUMBER(Table1[[#This Row],[FECHA DE RECIBIDO]]), Table1[[#This Row],[FECHA DE RECIBIDO]]-DATE(2023,8,30), "")</f>
        <v/>
      </c>
    </row>
    <row r="3503" spans="1:37" ht="15" customHeight="1">
      <c r="A3503" s="150" t="s">
        <v>4220</v>
      </c>
      <c r="B3503" s="151">
        <v>1187</v>
      </c>
      <c r="C3503" s="126" t="s">
        <v>1852</v>
      </c>
      <c r="D3503">
        <v>2424</v>
      </c>
      <c r="E3503" s="126" t="s">
        <v>3636</v>
      </c>
      <c r="F3503" s="122" t="s">
        <v>1607</v>
      </c>
      <c r="G3503" s="122" t="s">
        <v>134</v>
      </c>
      <c r="H3503">
        <v>670</v>
      </c>
      <c r="I3503" s="122" t="s">
        <v>1546</v>
      </c>
      <c r="J3503" s="307" t="s">
        <v>214</v>
      </c>
      <c r="K3503" s="127" t="s">
        <v>4212</v>
      </c>
      <c r="L3503" s="151" t="s">
        <v>3306</v>
      </c>
      <c r="M3503">
        <v>943</v>
      </c>
      <c r="N3503" s="123">
        <v>1</v>
      </c>
      <c r="O3503">
        <v>2312</v>
      </c>
      <c r="P3503" s="132" t="s">
        <v>77</v>
      </c>
      <c r="Q3503" s="131">
        <v>12000</v>
      </c>
      <c r="R3503" s="131">
        <v>1920</v>
      </c>
      <c r="S3503" s="131"/>
      <c r="T3503" s="155"/>
      <c r="U3503" s="131"/>
      <c r="V3503" s="131">
        <v>13920</v>
      </c>
      <c r="W3503">
        <v>341</v>
      </c>
      <c r="X3503" s="151" t="s">
        <v>1429</v>
      </c>
      <c r="Y3503" s="135" t="s">
        <v>55</v>
      </c>
      <c r="Z3503" s="307">
        <v>250</v>
      </c>
      <c r="AB3503" t="str">
        <f>IF(Table1[[#This Row],[TIPO2]]="costo", VLOOKUP(Table1[[#This Row],[PARTIDA PRESUPUESTAL]],'Cost Report'!G:G,1,0),"Balance")</f>
        <v>3305-006</v>
      </c>
      <c r="AC3503" s="118"/>
      <c r="AD3503" s="159">
        <f>+Table1[[#This Row],[SUBTOTAL]]+Table1[[#This Row],[IVA]]-Table1[[#This Row],[RET IVA]]-Table1[[#This Row],[RET ISR]]-Table1[[#This Row],[TOTAL]]</f>
        <v>0</v>
      </c>
      <c r="AE3503" s="150"/>
      <c r="AF3503" s="151"/>
      <c r="AG3503" s="126"/>
      <c r="AK3503" s="306" t="str">
        <f>IF(ISNUMBER(Table1[[#This Row],[FECHA DE RECIBIDO]]), Table1[[#This Row],[FECHA DE RECIBIDO]]-DATE(2023,8,30), "")</f>
        <v/>
      </c>
    </row>
    <row r="3504" spans="1:37" ht="15" customHeight="1">
      <c r="A3504" s="152" t="s">
        <v>4220</v>
      </c>
      <c r="B3504" s="153">
        <v>1187</v>
      </c>
      <c r="C3504" s="126" t="s">
        <v>2748</v>
      </c>
      <c r="D3504">
        <v>2424</v>
      </c>
      <c r="E3504" s="126" t="s">
        <v>3636</v>
      </c>
      <c r="F3504" s="125" t="s">
        <v>1607</v>
      </c>
      <c r="G3504" s="125" t="s">
        <v>134</v>
      </c>
      <c r="H3504">
        <v>670</v>
      </c>
      <c r="I3504" s="125" t="s">
        <v>1546</v>
      </c>
      <c r="J3504" s="308" t="s">
        <v>214</v>
      </c>
      <c r="K3504" s="127" t="s">
        <v>4212</v>
      </c>
      <c r="L3504" s="153" t="s">
        <v>3306</v>
      </c>
      <c r="M3504">
        <v>943</v>
      </c>
      <c r="N3504" s="123">
        <v>1</v>
      </c>
      <c r="O3504">
        <v>2312</v>
      </c>
      <c r="P3504" s="132" t="s">
        <v>77</v>
      </c>
      <c r="Q3504" s="132">
        <v>32000</v>
      </c>
      <c r="R3504" s="132">
        <v>5120</v>
      </c>
      <c r="S3504" s="132"/>
      <c r="T3504" s="156"/>
      <c r="U3504" s="132"/>
      <c r="V3504" s="132">
        <v>37120</v>
      </c>
      <c r="W3504">
        <v>341</v>
      </c>
      <c r="X3504" s="153" t="s">
        <v>1429</v>
      </c>
      <c r="Y3504" s="124" t="s">
        <v>55</v>
      </c>
      <c r="Z3504" s="308">
        <v>250</v>
      </c>
      <c r="AB3504" t="str">
        <f>IF(Table1[[#This Row],[TIPO2]]="costo", VLOOKUP(Table1[[#This Row],[PARTIDA PRESUPUESTAL]],'Cost Report'!G:G,1,0),"Balance")</f>
        <v>3305-011</v>
      </c>
      <c r="AC3504" s="118"/>
      <c r="AD3504" s="159">
        <f>+Table1[[#This Row],[SUBTOTAL]]+Table1[[#This Row],[IVA]]-Table1[[#This Row],[RET IVA]]-Table1[[#This Row],[RET ISR]]-Table1[[#This Row],[TOTAL]]</f>
        <v>0</v>
      </c>
      <c r="AE3504" s="152"/>
      <c r="AF3504" s="153"/>
      <c r="AG3504" s="126"/>
      <c r="AK3504" s="306" t="str">
        <f>IF(ISNUMBER(Table1[[#This Row],[FECHA DE RECIBIDO]]), Table1[[#This Row],[FECHA DE RECIBIDO]]-DATE(2023,8,30), "")</f>
        <v/>
      </c>
    </row>
    <row r="3505" spans="1:37" ht="15" customHeight="1">
      <c r="A3505" s="150" t="s">
        <v>4220</v>
      </c>
      <c r="B3505" s="151">
        <v>1187</v>
      </c>
      <c r="C3505" s="126" t="s">
        <v>1853</v>
      </c>
      <c r="D3505">
        <v>2424</v>
      </c>
      <c r="E3505" s="126" t="s">
        <v>3636</v>
      </c>
      <c r="F3505" s="122" t="s">
        <v>1607</v>
      </c>
      <c r="G3505" s="122" t="s">
        <v>134</v>
      </c>
      <c r="H3505">
        <v>670</v>
      </c>
      <c r="I3505" s="122" t="s">
        <v>1546</v>
      </c>
      <c r="J3505" s="307" t="s">
        <v>214</v>
      </c>
      <c r="K3505" s="127" t="s">
        <v>4212</v>
      </c>
      <c r="L3505" s="151" t="s">
        <v>3306</v>
      </c>
      <c r="M3505">
        <v>943</v>
      </c>
      <c r="N3505" s="123">
        <v>1</v>
      </c>
      <c r="O3505">
        <v>2312</v>
      </c>
      <c r="P3505" s="132" t="s">
        <v>77</v>
      </c>
      <c r="Q3505" s="131">
        <v>27900</v>
      </c>
      <c r="R3505" s="131">
        <v>4464</v>
      </c>
      <c r="S3505" s="131"/>
      <c r="T3505" s="155"/>
      <c r="U3505" s="131"/>
      <c r="V3505" s="131">
        <v>32364</v>
      </c>
      <c r="W3505">
        <v>341</v>
      </c>
      <c r="X3505" s="151" t="s">
        <v>1429</v>
      </c>
      <c r="Y3505" s="135" t="s">
        <v>55</v>
      </c>
      <c r="Z3505" s="307">
        <v>250</v>
      </c>
      <c r="AB3505" t="str">
        <f>IF(Table1[[#This Row],[TIPO2]]="costo", VLOOKUP(Table1[[#This Row],[PARTIDA PRESUPUESTAL]],'Cost Report'!G:G,1,0),"Balance")</f>
        <v>3305-007</v>
      </c>
      <c r="AC3505" s="118"/>
      <c r="AD3505" s="159">
        <f>+Table1[[#This Row],[SUBTOTAL]]+Table1[[#This Row],[IVA]]-Table1[[#This Row],[RET IVA]]-Table1[[#This Row],[RET ISR]]-Table1[[#This Row],[TOTAL]]</f>
        <v>0</v>
      </c>
      <c r="AE3505" s="150"/>
      <c r="AF3505" s="151"/>
      <c r="AG3505" s="126"/>
      <c r="AK3505" s="306" t="str">
        <f>IF(ISNUMBER(Table1[[#This Row],[FECHA DE RECIBIDO]]), Table1[[#This Row],[FECHA DE RECIBIDO]]-DATE(2023,8,30), "")</f>
        <v/>
      </c>
    </row>
    <row r="3506" spans="1:37" ht="15" customHeight="1">
      <c r="A3506" s="152" t="s">
        <v>4221</v>
      </c>
      <c r="B3506" s="153">
        <v>1188</v>
      </c>
      <c r="C3506" s="126" t="s">
        <v>647</v>
      </c>
      <c r="D3506">
        <v>2425</v>
      </c>
      <c r="E3506" s="126" t="s">
        <v>3636</v>
      </c>
      <c r="F3506" s="125" t="s">
        <v>1607</v>
      </c>
      <c r="G3506" s="125" t="s">
        <v>134</v>
      </c>
      <c r="H3506">
        <v>443</v>
      </c>
      <c r="I3506" s="125" t="s">
        <v>1546</v>
      </c>
      <c r="J3506" s="308" t="s">
        <v>214</v>
      </c>
      <c r="K3506" s="127" t="s">
        <v>4212</v>
      </c>
      <c r="L3506" s="153" t="s">
        <v>3306</v>
      </c>
      <c r="M3506">
        <v>612</v>
      </c>
      <c r="N3506" s="123">
        <v>1</v>
      </c>
      <c r="O3506">
        <v>2313</v>
      </c>
      <c r="P3506" s="132" t="s">
        <v>77</v>
      </c>
      <c r="Q3506" s="132">
        <v>10000</v>
      </c>
      <c r="R3506" s="132">
        <v>1600</v>
      </c>
      <c r="S3506" s="132"/>
      <c r="T3506" s="156"/>
      <c r="U3506" s="132"/>
      <c r="V3506" s="132">
        <v>11600</v>
      </c>
      <c r="W3506">
        <v>230</v>
      </c>
      <c r="X3506" s="153" t="s">
        <v>3796</v>
      </c>
      <c r="Y3506" s="124" t="s">
        <v>55</v>
      </c>
      <c r="Z3506" s="308">
        <v>250</v>
      </c>
      <c r="AB3506" t="str">
        <f>IF(Table1[[#This Row],[TIPO2]]="costo", VLOOKUP(Table1[[#This Row],[PARTIDA PRESUPUESTAL]],'Cost Report'!G:G,1,0),"Balance")</f>
        <v>2621-003</v>
      </c>
      <c r="AC3506" s="118"/>
      <c r="AD3506" s="159">
        <f>+Table1[[#This Row],[SUBTOTAL]]+Table1[[#This Row],[IVA]]-Table1[[#This Row],[RET IVA]]-Table1[[#This Row],[RET ISR]]-Table1[[#This Row],[TOTAL]]</f>
        <v>0</v>
      </c>
      <c r="AE3506" s="152"/>
      <c r="AF3506" s="153"/>
      <c r="AG3506" s="126"/>
      <c r="AK3506" s="306" t="str">
        <f>IF(ISNUMBER(Table1[[#This Row],[FECHA DE RECIBIDO]]), Table1[[#This Row],[FECHA DE RECIBIDO]]-DATE(2023,8,30), "")</f>
        <v/>
      </c>
    </row>
    <row r="3507" spans="1:37" ht="15" customHeight="1">
      <c r="A3507" s="150" t="s">
        <v>4221</v>
      </c>
      <c r="B3507" s="151">
        <v>1188</v>
      </c>
      <c r="C3507" s="126" t="s">
        <v>2577</v>
      </c>
      <c r="D3507">
        <v>2425</v>
      </c>
      <c r="E3507" s="126" t="s">
        <v>3636</v>
      </c>
      <c r="F3507" s="122" t="s">
        <v>1607</v>
      </c>
      <c r="G3507" s="122" t="s">
        <v>134</v>
      </c>
      <c r="H3507">
        <v>443</v>
      </c>
      <c r="I3507" s="122" t="s">
        <v>1546</v>
      </c>
      <c r="J3507" s="307" t="s">
        <v>214</v>
      </c>
      <c r="K3507" s="127" t="s">
        <v>4212</v>
      </c>
      <c r="L3507" s="151" t="s">
        <v>3306</v>
      </c>
      <c r="M3507">
        <v>612</v>
      </c>
      <c r="N3507" s="123">
        <v>1</v>
      </c>
      <c r="O3507">
        <v>2313</v>
      </c>
      <c r="P3507" s="132" t="s">
        <v>77</v>
      </c>
      <c r="Q3507" s="131">
        <v>10400</v>
      </c>
      <c r="R3507" s="131">
        <v>1664</v>
      </c>
      <c r="S3507" s="131"/>
      <c r="T3507" s="155"/>
      <c r="U3507" s="131"/>
      <c r="V3507" s="131">
        <v>12064</v>
      </c>
      <c r="W3507">
        <v>230</v>
      </c>
      <c r="X3507" s="151" t="s">
        <v>3796</v>
      </c>
      <c r="Y3507" s="135" t="s">
        <v>55</v>
      </c>
      <c r="Z3507" s="307">
        <v>250</v>
      </c>
      <c r="AB3507" t="str">
        <f>IF(Table1[[#This Row],[TIPO2]]="costo", VLOOKUP(Table1[[#This Row],[PARTIDA PRESUPUESTAL]],'Cost Report'!G:G,1,0),"Balance")</f>
        <v>2623-017</v>
      </c>
      <c r="AC3507" s="118"/>
      <c r="AD3507" s="159">
        <f>+Table1[[#This Row],[SUBTOTAL]]+Table1[[#This Row],[IVA]]-Table1[[#This Row],[RET IVA]]-Table1[[#This Row],[RET ISR]]-Table1[[#This Row],[TOTAL]]</f>
        <v>0</v>
      </c>
      <c r="AE3507" s="150"/>
      <c r="AF3507" s="151"/>
      <c r="AG3507" s="126"/>
      <c r="AK3507" s="306" t="str">
        <f>IF(ISNUMBER(Table1[[#This Row],[FECHA DE RECIBIDO]]), Table1[[#This Row],[FECHA DE RECIBIDO]]-DATE(2023,8,30), "")</f>
        <v/>
      </c>
    </row>
    <row r="3508" spans="1:37" ht="15" customHeight="1">
      <c r="A3508" s="152" t="s">
        <v>4221</v>
      </c>
      <c r="B3508" s="153">
        <v>1188</v>
      </c>
      <c r="C3508" s="126" t="s">
        <v>1756</v>
      </c>
      <c r="D3508">
        <v>2425</v>
      </c>
      <c r="E3508" s="126" t="s">
        <v>3636</v>
      </c>
      <c r="F3508" s="125" t="s">
        <v>1607</v>
      </c>
      <c r="G3508" s="125" t="s">
        <v>134</v>
      </c>
      <c r="H3508">
        <v>443</v>
      </c>
      <c r="I3508" s="125" t="s">
        <v>1546</v>
      </c>
      <c r="J3508" s="308" t="s">
        <v>214</v>
      </c>
      <c r="K3508" s="127" t="s">
        <v>4212</v>
      </c>
      <c r="L3508" s="153" t="s">
        <v>3306</v>
      </c>
      <c r="M3508">
        <v>612</v>
      </c>
      <c r="N3508" s="123">
        <v>1</v>
      </c>
      <c r="O3508">
        <v>2313</v>
      </c>
      <c r="P3508" s="132" t="s">
        <v>77</v>
      </c>
      <c r="Q3508" s="132">
        <v>1000</v>
      </c>
      <c r="R3508" s="132">
        <v>160</v>
      </c>
      <c r="S3508" s="132"/>
      <c r="T3508" s="156"/>
      <c r="U3508" s="132"/>
      <c r="V3508" s="132">
        <v>1160</v>
      </c>
      <c r="W3508">
        <v>230</v>
      </c>
      <c r="X3508" s="153" t="s">
        <v>3796</v>
      </c>
      <c r="Y3508" s="124" t="s">
        <v>55</v>
      </c>
      <c r="Z3508" s="308">
        <v>250</v>
      </c>
      <c r="AB3508" t="str">
        <f>IF(Table1[[#This Row],[TIPO2]]="costo", VLOOKUP(Table1[[#This Row],[PARTIDA PRESUPUESTAL]],'Cost Report'!G:G,1,0),"Balance")</f>
        <v>2623-012</v>
      </c>
      <c r="AC3508" s="118"/>
      <c r="AD3508" s="159">
        <f>+Table1[[#This Row],[SUBTOTAL]]+Table1[[#This Row],[IVA]]-Table1[[#This Row],[RET IVA]]-Table1[[#This Row],[RET ISR]]-Table1[[#This Row],[TOTAL]]</f>
        <v>0</v>
      </c>
      <c r="AE3508" s="152"/>
      <c r="AF3508" s="153"/>
      <c r="AG3508" s="126"/>
      <c r="AK3508" s="306" t="str">
        <f>IF(ISNUMBER(Table1[[#This Row],[FECHA DE RECIBIDO]]), Table1[[#This Row],[FECHA DE RECIBIDO]]-DATE(2023,8,30), "")</f>
        <v/>
      </c>
    </row>
    <row r="3509" spans="1:37" ht="15" customHeight="1">
      <c r="A3509" s="150" t="s">
        <v>4222</v>
      </c>
      <c r="B3509" s="151">
        <v>1189</v>
      </c>
      <c r="C3509" s="126" t="s">
        <v>2826</v>
      </c>
      <c r="D3509">
        <v>2426</v>
      </c>
      <c r="E3509" s="126" t="s">
        <v>3272</v>
      </c>
      <c r="F3509" s="122" t="s">
        <v>1589</v>
      </c>
      <c r="G3509" s="122" t="s">
        <v>129</v>
      </c>
      <c r="H3509">
        <v>583</v>
      </c>
      <c r="I3509" s="122" t="s">
        <v>1546</v>
      </c>
      <c r="J3509" s="307" t="s">
        <v>214</v>
      </c>
      <c r="K3509" s="127" t="s">
        <v>4212</v>
      </c>
      <c r="L3509" s="151" t="s">
        <v>3306</v>
      </c>
      <c r="M3509">
        <v>826</v>
      </c>
      <c r="N3509" s="123">
        <v>24</v>
      </c>
      <c r="O3509">
        <v>2314</v>
      </c>
      <c r="P3509" s="132" t="s">
        <v>77</v>
      </c>
      <c r="Q3509" s="131">
        <v>2007.01</v>
      </c>
      <c r="R3509" s="131">
        <v>321.12</v>
      </c>
      <c r="S3509" s="131"/>
      <c r="T3509" s="155">
        <v>214.08</v>
      </c>
      <c r="U3509" s="131">
        <v>200.7</v>
      </c>
      <c r="V3509" s="131">
        <v>1913.3500000000001</v>
      </c>
      <c r="W3509">
        <v>330</v>
      </c>
      <c r="X3509" s="151" t="s">
        <v>2035</v>
      </c>
      <c r="Y3509" s="135" t="s">
        <v>55</v>
      </c>
      <c r="Z3509" s="307">
        <v>250</v>
      </c>
      <c r="AB3509" t="str">
        <f>IF(Table1[[#This Row],[TIPO2]]="costo", VLOOKUP(Table1[[#This Row],[PARTIDA PRESUPUESTAL]],'Cost Report'!G:G,1,0),"Balance")</f>
        <v>3412-133</v>
      </c>
      <c r="AC3509" s="118"/>
      <c r="AD3509" s="159">
        <f>+Table1[[#This Row],[SUBTOTAL]]+Table1[[#This Row],[IVA]]-Table1[[#This Row],[RET IVA]]-Table1[[#This Row],[RET ISR]]-Table1[[#This Row],[TOTAL]]</f>
        <v>0</v>
      </c>
      <c r="AE3509" s="150"/>
      <c r="AF3509" s="151"/>
      <c r="AG3509" s="126"/>
      <c r="AK3509" s="306" t="str">
        <f>IF(ISNUMBER(Table1[[#This Row],[FECHA DE RECIBIDO]]), Table1[[#This Row],[FECHA DE RECIBIDO]]-DATE(2023,8,30), "")</f>
        <v/>
      </c>
    </row>
    <row r="3510" spans="1:37" ht="15" customHeight="1">
      <c r="A3510" s="152" t="s">
        <v>4223</v>
      </c>
      <c r="B3510" s="153">
        <v>1190</v>
      </c>
      <c r="C3510" s="126" t="s">
        <v>2458</v>
      </c>
      <c r="D3510">
        <v>2427</v>
      </c>
      <c r="E3510" s="126" t="s">
        <v>3833</v>
      </c>
      <c r="F3510" s="125" t="s">
        <v>1607</v>
      </c>
      <c r="G3510" s="125" t="s">
        <v>134</v>
      </c>
      <c r="H3510">
        <v>487</v>
      </c>
      <c r="I3510" s="125" t="s">
        <v>1546</v>
      </c>
      <c r="J3510" s="308" t="s">
        <v>214</v>
      </c>
      <c r="K3510" s="127" t="s">
        <v>4212</v>
      </c>
      <c r="L3510" s="153" t="s">
        <v>3306</v>
      </c>
      <c r="M3510">
        <v>709</v>
      </c>
      <c r="N3510" s="123">
        <v>51</v>
      </c>
      <c r="O3510">
        <v>2315</v>
      </c>
      <c r="P3510" s="132" t="s">
        <v>77</v>
      </c>
      <c r="Q3510" s="132">
        <v>9000</v>
      </c>
      <c r="R3510" s="132">
        <v>1440</v>
      </c>
      <c r="S3510" s="132"/>
      <c r="T3510" s="156">
        <v>0</v>
      </c>
      <c r="U3510" s="132">
        <v>0</v>
      </c>
      <c r="V3510" s="132">
        <v>10440</v>
      </c>
      <c r="W3510">
        <v>258</v>
      </c>
      <c r="X3510" s="153" t="s">
        <v>3759</v>
      </c>
      <c r="Y3510" s="124" t="s">
        <v>55</v>
      </c>
      <c r="Z3510" s="308">
        <v>250</v>
      </c>
      <c r="AB3510" t="str">
        <f>IF(Table1[[#This Row],[TIPO2]]="costo", VLOOKUP(Table1[[#This Row],[PARTIDA PRESUPUESTAL]],'Cost Report'!G:G,1,0),"Balance")</f>
        <v>2311-003</v>
      </c>
      <c r="AC3510" s="118"/>
      <c r="AD3510" s="159">
        <f>+Table1[[#This Row],[SUBTOTAL]]+Table1[[#This Row],[IVA]]-Table1[[#This Row],[RET IVA]]-Table1[[#This Row],[RET ISR]]-Table1[[#This Row],[TOTAL]]</f>
        <v>0</v>
      </c>
      <c r="AE3510" s="152"/>
      <c r="AF3510" s="153"/>
      <c r="AG3510" s="126"/>
      <c r="AK3510" s="306" t="str">
        <f>IF(ISNUMBER(Table1[[#This Row],[FECHA DE RECIBIDO]]), Table1[[#This Row],[FECHA DE RECIBIDO]]-DATE(2023,8,30), "")</f>
        <v/>
      </c>
    </row>
    <row r="3511" spans="1:37" ht="15" customHeight="1">
      <c r="A3511" s="150"/>
      <c r="B3511" s="151">
        <v>1191</v>
      </c>
      <c r="C3511" s="126" t="s">
        <v>2486</v>
      </c>
      <c r="D3511">
        <v>2428</v>
      </c>
      <c r="E3511" s="126" t="s">
        <v>3833</v>
      </c>
      <c r="F3511" s="122" t="s">
        <v>1607</v>
      </c>
      <c r="G3511" s="122" t="s">
        <v>134</v>
      </c>
      <c r="H3511">
        <v>487</v>
      </c>
      <c r="I3511" s="122" t="s">
        <v>1546</v>
      </c>
      <c r="J3511" s="307" t="s">
        <v>214</v>
      </c>
      <c r="K3511" s="127" t="s">
        <v>4212</v>
      </c>
      <c r="L3511" s="151" t="s">
        <v>3306</v>
      </c>
      <c r="M3511">
        <v>709</v>
      </c>
      <c r="N3511" s="123">
        <v>51</v>
      </c>
      <c r="O3511">
        <v>2316</v>
      </c>
      <c r="P3511" s="132" t="s">
        <v>77</v>
      </c>
      <c r="Q3511" s="131">
        <v>5400</v>
      </c>
      <c r="R3511" s="131">
        <v>864</v>
      </c>
      <c r="S3511" s="131"/>
      <c r="T3511" s="155">
        <v>0</v>
      </c>
      <c r="U3511" s="131">
        <v>0</v>
      </c>
      <c r="V3511" s="131">
        <v>6264</v>
      </c>
      <c r="W3511">
        <v>258</v>
      </c>
      <c r="X3511" s="151" t="s">
        <v>3759</v>
      </c>
      <c r="Y3511" s="135" t="s">
        <v>55</v>
      </c>
      <c r="Z3511" s="307">
        <v>250</v>
      </c>
      <c r="AB3511" t="str">
        <f>IF(Table1[[#This Row],[TIPO2]]="costo", VLOOKUP(Table1[[#This Row],[PARTIDA PRESUPUESTAL]],'Cost Report'!G:G,1,0),"Balance")</f>
        <v>2394-045</v>
      </c>
      <c r="AC3511" s="118"/>
      <c r="AD3511" s="159">
        <f>+Table1[[#This Row],[SUBTOTAL]]+Table1[[#This Row],[IVA]]-Table1[[#This Row],[RET IVA]]-Table1[[#This Row],[RET ISR]]-Table1[[#This Row],[TOTAL]]</f>
        <v>0</v>
      </c>
      <c r="AE3511" s="150"/>
      <c r="AF3511" s="151"/>
      <c r="AG3511" s="126"/>
      <c r="AK3511" s="306" t="str">
        <f>IF(ISNUMBER(Table1[[#This Row],[FECHA DE RECIBIDO]]), Table1[[#This Row],[FECHA DE RECIBIDO]]-DATE(2023,8,30), "")</f>
        <v/>
      </c>
    </row>
    <row r="3512" spans="1:37" ht="15" customHeight="1">
      <c r="A3512" s="152" t="s">
        <v>4224</v>
      </c>
      <c r="B3512" s="153">
        <v>1192</v>
      </c>
      <c r="C3512" s="126" t="s">
        <v>2486</v>
      </c>
      <c r="D3512">
        <v>2429</v>
      </c>
      <c r="E3512" s="126">
        <v>44630</v>
      </c>
      <c r="F3512" s="125" t="s">
        <v>1607</v>
      </c>
      <c r="G3512" s="125" t="s">
        <v>134</v>
      </c>
      <c r="H3512">
        <v>671</v>
      </c>
      <c r="I3512" s="125" t="s">
        <v>1546</v>
      </c>
      <c r="J3512" s="308">
        <v>222.5490972222251</v>
      </c>
      <c r="K3512" s="127" t="s">
        <v>4212</v>
      </c>
      <c r="L3512" s="153" t="s">
        <v>3306</v>
      </c>
      <c r="M3512">
        <v>944</v>
      </c>
      <c r="N3512" s="123">
        <v>51</v>
      </c>
      <c r="O3512">
        <v>2317</v>
      </c>
      <c r="P3512" s="132" t="s">
        <v>77</v>
      </c>
      <c r="Q3512" s="132">
        <v>9800</v>
      </c>
      <c r="R3512" s="132">
        <v>1568</v>
      </c>
      <c r="S3512" s="132"/>
      <c r="T3512" s="156">
        <v>0</v>
      </c>
      <c r="U3512" s="132">
        <v>0</v>
      </c>
      <c r="V3512" s="132">
        <v>11368</v>
      </c>
      <c r="W3512">
        <v>342</v>
      </c>
      <c r="X3512" s="153" t="s">
        <v>105</v>
      </c>
      <c r="Y3512" s="124" t="s">
        <v>55</v>
      </c>
      <c r="Z3512" s="308">
        <v>250</v>
      </c>
      <c r="AB3512" t="str">
        <f>IF(Table1[[#This Row],[TIPO2]]="costo", VLOOKUP(Table1[[#This Row],[PARTIDA PRESUPUESTAL]],'Cost Report'!G:G,1,0),"Balance")</f>
        <v>2394-045</v>
      </c>
      <c r="AC3512" s="118"/>
      <c r="AD3512" s="159">
        <f>+Table1[[#This Row],[SUBTOTAL]]+Table1[[#This Row],[IVA]]-Table1[[#This Row],[RET IVA]]-Table1[[#This Row],[RET ISR]]-Table1[[#This Row],[TOTAL]]</f>
        <v>0</v>
      </c>
      <c r="AE3512" s="152"/>
      <c r="AF3512" s="153"/>
      <c r="AG3512" s="126"/>
      <c r="AK3512" s="306">
        <f>IF(ISNUMBER(Table1[[#This Row],[FECHA DE RECIBIDO]]), Table1[[#This Row],[FECHA DE RECIBIDO]]-DATE(2023,8,30), "")</f>
        <v>-44945.450902777775</v>
      </c>
    </row>
    <row r="3513" spans="1:37" ht="15" customHeight="1">
      <c r="A3513" s="150" t="s">
        <v>4225</v>
      </c>
      <c r="B3513" s="151">
        <v>1193</v>
      </c>
      <c r="C3513" s="126" t="s">
        <v>1515</v>
      </c>
      <c r="D3513">
        <v>2430</v>
      </c>
      <c r="E3513" s="126" t="s">
        <v>3225</v>
      </c>
      <c r="F3513" s="122" t="s">
        <v>1589</v>
      </c>
      <c r="G3513" s="122" t="s">
        <v>129</v>
      </c>
      <c r="H3513">
        <v>485</v>
      </c>
      <c r="I3513" s="122" t="s">
        <v>1546</v>
      </c>
      <c r="J3513" s="307" t="s">
        <v>214</v>
      </c>
      <c r="K3513" s="127" t="s">
        <v>4212</v>
      </c>
      <c r="L3513" s="151" t="s">
        <v>3306</v>
      </c>
      <c r="M3513">
        <v>707</v>
      </c>
      <c r="N3513" s="123">
        <v>51</v>
      </c>
      <c r="O3513">
        <v>2318</v>
      </c>
      <c r="P3513" s="132" t="s">
        <v>77</v>
      </c>
      <c r="Q3513" s="131">
        <v>4000</v>
      </c>
      <c r="R3513" s="131">
        <v>640</v>
      </c>
      <c r="S3513" s="131"/>
      <c r="T3513" s="155">
        <v>0</v>
      </c>
      <c r="U3513" s="131">
        <v>0</v>
      </c>
      <c r="V3513" s="131">
        <v>4640</v>
      </c>
      <c r="W3513">
        <v>257</v>
      </c>
      <c r="X3513" s="151" t="s">
        <v>195</v>
      </c>
      <c r="Y3513" s="135" t="s">
        <v>55</v>
      </c>
      <c r="Z3513" s="307">
        <v>250</v>
      </c>
      <c r="AB3513" t="str">
        <f>IF(Table1[[#This Row],[TIPO2]]="costo", VLOOKUP(Table1[[#This Row],[PARTIDA PRESUPUESTAL]],'Cost Report'!G:G,1,0),"Balance")</f>
        <v>2494-023</v>
      </c>
      <c r="AC3513" s="118"/>
      <c r="AD3513" s="159">
        <f>+Table1[[#This Row],[SUBTOTAL]]+Table1[[#This Row],[IVA]]-Table1[[#This Row],[RET IVA]]-Table1[[#This Row],[RET ISR]]-Table1[[#This Row],[TOTAL]]</f>
        <v>0</v>
      </c>
      <c r="AE3513" s="150"/>
      <c r="AF3513" s="151"/>
      <c r="AG3513" s="126"/>
      <c r="AK3513" s="306" t="str">
        <f>IF(ISNUMBER(Table1[[#This Row],[FECHA DE RECIBIDO]]), Table1[[#This Row],[FECHA DE RECIBIDO]]-DATE(2023,8,30), "")</f>
        <v/>
      </c>
    </row>
    <row r="3514" spans="1:37" ht="15" customHeight="1">
      <c r="A3514" s="152" t="s">
        <v>4226</v>
      </c>
      <c r="B3514" s="153">
        <v>1194</v>
      </c>
      <c r="C3514" s="126" t="s">
        <v>2566</v>
      </c>
      <c r="D3514">
        <v>2431</v>
      </c>
      <c r="E3514" s="126" t="s">
        <v>1994</v>
      </c>
      <c r="F3514" s="125" t="s">
        <v>1593</v>
      </c>
      <c r="G3514" s="125" t="s">
        <v>109</v>
      </c>
      <c r="H3514">
        <v>107</v>
      </c>
      <c r="I3514" s="125" t="s">
        <v>1546</v>
      </c>
      <c r="J3514" s="308" t="s">
        <v>214</v>
      </c>
      <c r="K3514" s="127" t="s">
        <v>4212</v>
      </c>
      <c r="L3514" s="153" t="s">
        <v>3306</v>
      </c>
      <c r="M3514">
        <v>145</v>
      </c>
      <c r="N3514" s="123">
        <v>51</v>
      </c>
      <c r="O3514">
        <v>2319</v>
      </c>
      <c r="P3514" s="132" t="s">
        <v>77</v>
      </c>
      <c r="Q3514" s="132">
        <v>2200</v>
      </c>
      <c r="R3514" s="132">
        <v>352</v>
      </c>
      <c r="S3514" s="132"/>
      <c r="T3514" s="156">
        <v>234.66</v>
      </c>
      <c r="U3514" s="132">
        <v>27.5</v>
      </c>
      <c r="V3514" s="132">
        <v>2289.84</v>
      </c>
      <c r="W3514">
        <v>69</v>
      </c>
      <c r="X3514" s="153" t="s">
        <v>1430</v>
      </c>
      <c r="Y3514" s="124" t="s">
        <v>55</v>
      </c>
      <c r="Z3514" s="308">
        <v>250</v>
      </c>
      <c r="AB3514" t="str">
        <f>IF(Table1[[#This Row],[TIPO2]]="costo", VLOOKUP(Table1[[#This Row],[PARTIDA PRESUPUESTAL]],'Cost Report'!G:G,1,0),"Balance")</f>
        <v>2594-003</v>
      </c>
      <c r="AC3514" s="118"/>
      <c r="AD3514" s="159">
        <f>+Table1[[#This Row],[SUBTOTAL]]+Table1[[#This Row],[IVA]]-Table1[[#This Row],[RET IVA]]-Table1[[#This Row],[RET ISR]]-Table1[[#This Row],[TOTAL]]</f>
        <v>0</v>
      </c>
      <c r="AE3514" s="152"/>
      <c r="AF3514" s="153"/>
      <c r="AG3514" s="126"/>
      <c r="AK3514" s="306" t="str">
        <f>IF(ISNUMBER(Table1[[#This Row],[FECHA DE RECIBIDO]]), Table1[[#This Row],[FECHA DE RECIBIDO]]-DATE(2023,8,30), "")</f>
        <v/>
      </c>
    </row>
    <row r="3515" spans="1:37" ht="15" customHeight="1">
      <c r="A3515" s="150" t="s">
        <v>4227</v>
      </c>
      <c r="B3515" s="151">
        <v>1195</v>
      </c>
      <c r="C3515" s="126" t="s">
        <v>2454</v>
      </c>
      <c r="D3515">
        <v>2432</v>
      </c>
      <c r="E3515" s="126" t="s">
        <v>4228</v>
      </c>
      <c r="F3515" s="122" t="s">
        <v>1589</v>
      </c>
      <c r="G3515" s="122" t="s">
        <v>129</v>
      </c>
      <c r="H3515">
        <v>672</v>
      </c>
      <c r="I3515" s="122" t="s">
        <v>1546</v>
      </c>
      <c r="J3515" s="307" t="s">
        <v>214</v>
      </c>
      <c r="K3515" s="127" t="s">
        <v>4212</v>
      </c>
      <c r="L3515" s="151" t="s">
        <v>3306</v>
      </c>
      <c r="M3515">
        <v>945</v>
      </c>
      <c r="N3515" s="123">
        <v>51</v>
      </c>
      <c r="O3515">
        <v>2320</v>
      </c>
      <c r="P3515" s="132" t="s">
        <v>77</v>
      </c>
      <c r="Q3515" s="131">
        <v>5500</v>
      </c>
      <c r="R3515" s="131">
        <v>880</v>
      </c>
      <c r="S3515" s="131"/>
      <c r="T3515" s="155">
        <v>586.66999999999996</v>
      </c>
      <c r="U3515" s="131">
        <v>550</v>
      </c>
      <c r="V3515" s="131">
        <v>5243.33</v>
      </c>
      <c r="W3515">
        <v>343</v>
      </c>
      <c r="X3515" s="151" t="s">
        <v>2035</v>
      </c>
      <c r="Y3515" s="135" t="s">
        <v>55</v>
      </c>
      <c r="Z3515" s="307">
        <v>250</v>
      </c>
      <c r="AB3515" t="str">
        <f>IF(Table1[[#This Row],[TIPO2]]="costo", VLOOKUP(Table1[[#This Row],[PARTIDA PRESUPUESTAL]],'Cost Report'!G:G,1,0),"Balance")</f>
        <v>2213-004</v>
      </c>
      <c r="AC3515" s="118"/>
      <c r="AD3515" s="159">
        <f>+Table1[[#This Row],[SUBTOTAL]]+Table1[[#This Row],[IVA]]-Table1[[#This Row],[RET IVA]]-Table1[[#This Row],[RET ISR]]-Table1[[#This Row],[TOTAL]]</f>
        <v>0</v>
      </c>
      <c r="AE3515" s="150"/>
      <c r="AF3515" s="151"/>
      <c r="AG3515" s="126"/>
      <c r="AK3515" s="306" t="str">
        <f>IF(ISNUMBER(Table1[[#This Row],[FECHA DE RECIBIDO]]), Table1[[#This Row],[FECHA DE RECIBIDO]]-DATE(2023,8,30), "")</f>
        <v/>
      </c>
    </row>
    <row r="3516" spans="1:37" ht="15" customHeight="1">
      <c r="A3516" s="152" t="s">
        <v>4229</v>
      </c>
      <c r="B3516" s="153">
        <v>1196</v>
      </c>
      <c r="C3516" s="126" t="s">
        <v>2846</v>
      </c>
      <c r="D3516">
        <v>2433</v>
      </c>
      <c r="E3516" s="126" t="s">
        <v>4085</v>
      </c>
      <c r="F3516" s="125" t="s">
        <v>1593</v>
      </c>
      <c r="G3516" s="125" t="s">
        <v>109</v>
      </c>
      <c r="H3516">
        <v>546</v>
      </c>
      <c r="I3516" s="125" t="s">
        <v>1546</v>
      </c>
      <c r="J3516" s="308" t="s">
        <v>214</v>
      </c>
      <c r="K3516" s="127" t="s">
        <v>4212</v>
      </c>
      <c r="L3516" s="153" t="s">
        <v>3306</v>
      </c>
      <c r="M3516">
        <v>772</v>
      </c>
      <c r="N3516" s="123">
        <v>1</v>
      </c>
      <c r="O3516">
        <v>2321</v>
      </c>
      <c r="P3516" s="132" t="s">
        <v>77</v>
      </c>
      <c r="Q3516" s="132">
        <v>7500</v>
      </c>
      <c r="R3516" s="132">
        <v>1200</v>
      </c>
      <c r="S3516" s="132"/>
      <c r="T3516" s="156">
        <v>0</v>
      </c>
      <c r="U3516" s="132">
        <v>93.75</v>
      </c>
      <c r="V3516" s="132">
        <v>8606.25</v>
      </c>
      <c r="W3516">
        <v>318</v>
      </c>
      <c r="X3516" s="153" t="s">
        <v>2041</v>
      </c>
      <c r="Y3516" s="124" t="s">
        <v>55</v>
      </c>
      <c r="Z3516" s="308">
        <v>250</v>
      </c>
      <c r="AB3516" t="str">
        <f>IF(Table1[[#This Row],[TIPO2]]="costo", VLOOKUP(Table1[[#This Row],[PARTIDA PRESUPUESTAL]],'Cost Report'!G:G,1,0),"Balance")</f>
        <v>3480-003</v>
      </c>
      <c r="AC3516" s="118"/>
      <c r="AD3516" s="159">
        <f>+Table1[[#This Row],[SUBTOTAL]]+Table1[[#This Row],[IVA]]-Table1[[#This Row],[RET IVA]]-Table1[[#This Row],[RET ISR]]-Table1[[#This Row],[TOTAL]]</f>
        <v>0</v>
      </c>
      <c r="AE3516" s="152"/>
      <c r="AF3516" s="153"/>
      <c r="AG3516" s="126"/>
      <c r="AK3516" s="306" t="str">
        <f>IF(ISNUMBER(Table1[[#This Row],[FECHA DE RECIBIDO]]), Table1[[#This Row],[FECHA DE RECIBIDO]]-DATE(2023,8,30), "")</f>
        <v/>
      </c>
    </row>
    <row r="3517" spans="1:37" ht="15" customHeight="1">
      <c r="A3517" s="150"/>
      <c r="B3517" s="151">
        <v>1197</v>
      </c>
      <c r="C3517" s="126" t="s">
        <v>2848</v>
      </c>
      <c r="D3517">
        <v>2434</v>
      </c>
      <c r="E3517" s="126" t="s">
        <v>4085</v>
      </c>
      <c r="F3517" s="122" t="s">
        <v>1593</v>
      </c>
      <c r="G3517" s="122" t="s">
        <v>109</v>
      </c>
      <c r="H3517">
        <v>546</v>
      </c>
      <c r="I3517" s="122" t="s">
        <v>1546</v>
      </c>
      <c r="J3517" s="307" t="s">
        <v>214</v>
      </c>
      <c r="K3517" s="127" t="s">
        <v>4212</v>
      </c>
      <c r="L3517" s="151" t="s">
        <v>3306</v>
      </c>
      <c r="M3517">
        <v>772</v>
      </c>
      <c r="N3517" s="123">
        <v>1</v>
      </c>
      <c r="O3517">
        <v>2322</v>
      </c>
      <c r="P3517" s="132" t="s">
        <v>77</v>
      </c>
      <c r="Q3517" s="131">
        <v>7500</v>
      </c>
      <c r="R3517" s="131">
        <v>1200</v>
      </c>
      <c r="S3517" s="131"/>
      <c r="T3517" s="155">
        <v>0</v>
      </c>
      <c r="U3517" s="131">
        <v>93.75</v>
      </c>
      <c r="V3517" s="131">
        <v>8606.25</v>
      </c>
      <c r="W3517">
        <v>318</v>
      </c>
      <c r="X3517" s="151" t="s">
        <v>2041</v>
      </c>
      <c r="Y3517" s="135" t="s">
        <v>55</v>
      </c>
      <c r="Z3517" s="307">
        <v>250</v>
      </c>
      <c r="AB3517" t="str">
        <f>IF(Table1[[#This Row],[TIPO2]]="costo", VLOOKUP(Table1[[#This Row],[PARTIDA PRESUPUESTAL]],'Cost Report'!G:G,1,0),"Balance")</f>
        <v>3480-007</v>
      </c>
      <c r="AC3517" s="118"/>
      <c r="AD3517" s="159">
        <f>+Table1[[#This Row],[SUBTOTAL]]+Table1[[#This Row],[IVA]]-Table1[[#This Row],[RET IVA]]-Table1[[#This Row],[RET ISR]]-Table1[[#This Row],[TOTAL]]</f>
        <v>0</v>
      </c>
      <c r="AE3517" s="150"/>
      <c r="AF3517" s="151"/>
      <c r="AG3517" s="126"/>
      <c r="AK3517" s="306" t="str">
        <f>IF(ISNUMBER(Table1[[#This Row],[FECHA DE RECIBIDO]]), Table1[[#This Row],[FECHA DE RECIBIDO]]-DATE(2023,8,30), "")</f>
        <v/>
      </c>
    </row>
    <row r="3518" spans="1:37" ht="15" customHeight="1">
      <c r="A3518" s="152"/>
      <c r="B3518" s="153">
        <v>1197</v>
      </c>
      <c r="C3518" s="126" t="s">
        <v>400</v>
      </c>
      <c r="D3518">
        <v>2434</v>
      </c>
      <c r="E3518" s="126" t="s">
        <v>4085</v>
      </c>
      <c r="F3518" s="125" t="s">
        <v>1593</v>
      </c>
      <c r="G3518" s="125" t="s">
        <v>109</v>
      </c>
      <c r="H3518">
        <v>546</v>
      </c>
      <c r="I3518" s="125" t="s">
        <v>1546</v>
      </c>
      <c r="J3518" s="308" t="s">
        <v>214</v>
      </c>
      <c r="K3518" s="127" t="s">
        <v>4212</v>
      </c>
      <c r="L3518" s="153" t="s">
        <v>3306</v>
      </c>
      <c r="M3518">
        <v>772</v>
      </c>
      <c r="N3518" s="123">
        <v>1</v>
      </c>
      <c r="O3518">
        <v>2322</v>
      </c>
      <c r="P3518" s="132" t="s">
        <v>77</v>
      </c>
      <c r="Q3518" s="132">
        <v>5600</v>
      </c>
      <c r="R3518" s="132">
        <v>896</v>
      </c>
      <c r="S3518" s="132"/>
      <c r="T3518" s="156">
        <v>0</v>
      </c>
      <c r="U3518" s="132">
        <v>70</v>
      </c>
      <c r="V3518" s="132">
        <v>6426</v>
      </c>
      <c r="W3518">
        <v>318</v>
      </c>
      <c r="X3518" s="153" t="s">
        <v>2041</v>
      </c>
      <c r="Y3518" s="124" t="s">
        <v>55</v>
      </c>
      <c r="Z3518" s="308">
        <v>250</v>
      </c>
      <c r="AB3518" t="str">
        <f>IF(Table1[[#This Row],[TIPO2]]="costo", VLOOKUP(Table1[[#This Row],[PARTIDA PRESUPUESTAL]],'Cost Report'!G:G,1,0),"Balance")</f>
        <v>1621-004</v>
      </c>
      <c r="AC3518" s="118"/>
      <c r="AD3518" s="159">
        <f>+Table1[[#This Row],[SUBTOTAL]]+Table1[[#This Row],[IVA]]-Table1[[#This Row],[RET IVA]]-Table1[[#This Row],[RET ISR]]-Table1[[#This Row],[TOTAL]]</f>
        <v>0</v>
      </c>
      <c r="AE3518" s="152"/>
      <c r="AF3518" s="153"/>
      <c r="AG3518" s="126"/>
      <c r="AK3518" s="306" t="str">
        <f>IF(ISNUMBER(Table1[[#This Row],[FECHA DE RECIBIDO]]), Table1[[#This Row],[FECHA DE RECIBIDO]]-DATE(2023,8,30), "")</f>
        <v/>
      </c>
    </row>
    <row r="3519" spans="1:37" ht="15" customHeight="1">
      <c r="A3519" s="150"/>
      <c r="B3519" s="151">
        <v>1197</v>
      </c>
      <c r="C3519" s="126" t="s">
        <v>2939</v>
      </c>
      <c r="D3519">
        <v>2434</v>
      </c>
      <c r="E3519" s="126" t="s">
        <v>4085</v>
      </c>
      <c r="F3519" s="122" t="s">
        <v>1593</v>
      </c>
      <c r="G3519" s="122" t="s">
        <v>109</v>
      </c>
      <c r="H3519">
        <v>546</v>
      </c>
      <c r="I3519" s="122" t="s">
        <v>1546</v>
      </c>
      <c r="J3519" s="307" t="s">
        <v>214</v>
      </c>
      <c r="K3519" s="127" t="s">
        <v>4212</v>
      </c>
      <c r="L3519" s="151" t="s">
        <v>3306</v>
      </c>
      <c r="M3519">
        <v>772</v>
      </c>
      <c r="N3519" s="123">
        <v>1</v>
      </c>
      <c r="O3519">
        <v>2322</v>
      </c>
      <c r="P3519" s="132" t="s">
        <v>77</v>
      </c>
      <c r="Q3519" s="131">
        <v>5600</v>
      </c>
      <c r="R3519" s="131">
        <v>896</v>
      </c>
      <c r="S3519" s="131"/>
      <c r="T3519" s="155">
        <v>0</v>
      </c>
      <c r="U3519" s="131">
        <v>70</v>
      </c>
      <c r="V3519" s="131">
        <v>6426</v>
      </c>
      <c r="W3519">
        <v>318</v>
      </c>
      <c r="X3519" s="151" t="s">
        <v>2041</v>
      </c>
      <c r="Y3519" s="135" t="s">
        <v>55</v>
      </c>
      <c r="Z3519" s="307">
        <v>250</v>
      </c>
      <c r="AB3519" t="str">
        <f>IF(Table1[[#This Row],[TIPO2]]="costo", VLOOKUP(Table1[[#This Row],[PARTIDA PRESUPUESTAL]],'Cost Report'!G:G,1,0),"Balance")</f>
        <v>3716-003</v>
      </c>
      <c r="AC3519" s="118"/>
      <c r="AD3519" s="159">
        <f>+Table1[[#This Row],[SUBTOTAL]]+Table1[[#This Row],[IVA]]-Table1[[#This Row],[RET IVA]]-Table1[[#This Row],[RET ISR]]-Table1[[#This Row],[TOTAL]]</f>
        <v>0</v>
      </c>
      <c r="AE3519" s="150"/>
      <c r="AF3519" s="151"/>
      <c r="AG3519" s="126"/>
      <c r="AK3519" s="306" t="str">
        <f>IF(ISNUMBER(Table1[[#This Row],[FECHA DE RECIBIDO]]), Table1[[#This Row],[FECHA DE RECIBIDO]]-DATE(2023,8,30), "")</f>
        <v/>
      </c>
    </row>
    <row r="3520" spans="1:37" ht="15" customHeight="1">
      <c r="A3520" s="152" t="s">
        <v>4230</v>
      </c>
      <c r="B3520" s="153">
        <v>1198</v>
      </c>
      <c r="C3520" s="126" t="s">
        <v>304</v>
      </c>
      <c r="D3520">
        <v>2435</v>
      </c>
      <c r="E3520" s="126" t="s">
        <v>2010</v>
      </c>
      <c r="F3520" s="125" t="s">
        <v>1607</v>
      </c>
      <c r="G3520" s="125" t="s">
        <v>134</v>
      </c>
      <c r="H3520">
        <v>673</v>
      </c>
      <c r="I3520" s="125" t="s">
        <v>1546</v>
      </c>
      <c r="J3520" s="308" t="s">
        <v>214</v>
      </c>
      <c r="K3520" s="127" t="s">
        <v>4212</v>
      </c>
      <c r="L3520" s="153" t="s">
        <v>3306</v>
      </c>
      <c r="M3520">
        <v>946</v>
      </c>
      <c r="N3520" s="123">
        <v>1</v>
      </c>
      <c r="O3520">
        <v>2323</v>
      </c>
      <c r="P3520" s="132" t="s">
        <v>77</v>
      </c>
      <c r="Q3520" s="132">
        <v>50400</v>
      </c>
      <c r="R3520" s="132">
        <v>8064</v>
      </c>
      <c r="S3520" s="132"/>
      <c r="T3520" s="156">
        <v>0</v>
      </c>
      <c r="U3520" s="132">
        <v>0</v>
      </c>
      <c r="V3520" s="132">
        <v>58464</v>
      </c>
      <c r="W3520">
        <v>344</v>
      </c>
      <c r="X3520" s="153" t="s">
        <v>3817</v>
      </c>
      <c r="Y3520" s="124" t="s">
        <v>55</v>
      </c>
      <c r="Z3520" s="308">
        <v>250</v>
      </c>
      <c r="AB3520" t="str">
        <f>IF(Table1[[#This Row],[TIPO2]]="costo", VLOOKUP(Table1[[#This Row],[PARTIDA PRESUPUESTAL]],'Cost Report'!G:G,1,0),"Balance")</f>
        <v>1401-036</v>
      </c>
      <c r="AC3520" s="118"/>
      <c r="AD3520" s="159">
        <f>+Table1[[#This Row],[SUBTOTAL]]+Table1[[#This Row],[IVA]]-Table1[[#This Row],[RET IVA]]-Table1[[#This Row],[RET ISR]]-Table1[[#This Row],[TOTAL]]</f>
        <v>0</v>
      </c>
      <c r="AE3520" s="152"/>
      <c r="AF3520" s="153"/>
      <c r="AG3520" s="126"/>
      <c r="AK3520" s="306" t="str">
        <f>IF(ISNUMBER(Table1[[#This Row],[FECHA DE RECIBIDO]]), Table1[[#This Row],[FECHA DE RECIBIDO]]-DATE(2023,8,30), "")</f>
        <v/>
      </c>
    </row>
    <row r="3521" spans="1:37" ht="15" customHeight="1">
      <c r="A3521" s="150" t="s">
        <v>4231</v>
      </c>
      <c r="B3521" s="151">
        <v>1199</v>
      </c>
      <c r="C3521" s="126" t="s">
        <v>2826</v>
      </c>
      <c r="D3521">
        <v>2436</v>
      </c>
      <c r="E3521" s="126" t="s">
        <v>1613</v>
      </c>
      <c r="F3521" s="122" t="s">
        <v>1593</v>
      </c>
      <c r="G3521" s="122" t="s">
        <v>109</v>
      </c>
      <c r="H3521">
        <v>674</v>
      </c>
      <c r="I3521" s="122" t="s">
        <v>1546</v>
      </c>
      <c r="J3521" s="307" t="s">
        <v>214</v>
      </c>
      <c r="K3521" s="127" t="s">
        <v>4212</v>
      </c>
      <c r="L3521" s="151" t="s">
        <v>3306</v>
      </c>
      <c r="M3521">
        <v>947</v>
      </c>
      <c r="N3521" s="123">
        <v>24</v>
      </c>
      <c r="O3521">
        <v>2324</v>
      </c>
      <c r="P3521" s="132" t="s">
        <v>77</v>
      </c>
      <c r="Q3521" s="131">
        <v>7000</v>
      </c>
      <c r="R3521" s="131">
        <v>1120</v>
      </c>
      <c r="S3521" s="131"/>
      <c r="T3521" s="155">
        <v>0</v>
      </c>
      <c r="U3521" s="131">
        <v>87.5</v>
      </c>
      <c r="V3521" s="131">
        <v>8032.5</v>
      </c>
      <c r="W3521">
        <v>345</v>
      </c>
      <c r="X3521" s="151" t="s">
        <v>105</v>
      </c>
      <c r="Y3521" s="135" t="s">
        <v>55</v>
      </c>
      <c r="Z3521" s="307">
        <v>250</v>
      </c>
      <c r="AB3521" t="str">
        <f>IF(Table1[[#This Row],[TIPO2]]="costo", VLOOKUP(Table1[[#This Row],[PARTIDA PRESUPUESTAL]],'Cost Report'!G:G,1,0),"Balance")</f>
        <v>3412-133</v>
      </c>
      <c r="AC3521" s="118"/>
      <c r="AD3521" s="159">
        <f>+Table1[[#This Row],[SUBTOTAL]]+Table1[[#This Row],[IVA]]-Table1[[#This Row],[RET IVA]]-Table1[[#This Row],[RET ISR]]-Table1[[#This Row],[TOTAL]]</f>
        <v>0</v>
      </c>
      <c r="AE3521" s="150"/>
      <c r="AF3521" s="151"/>
      <c r="AG3521" s="126"/>
      <c r="AK3521" s="306" t="str">
        <f>IF(ISNUMBER(Table1[[#This Row],[FECHA DE RECIBIDO]]), Table1[[#This Row],[FECHA DE RECIBIDO]]-DATE(2023,8,30), "")</f>
        <v/>
      </c>
    </row>
    <row r="3522" spans="1:37" ht="15" customHeight="1">
      <c r="A3522" s="152" t="s">
        <v>4232</v>
      </c>
      <c r="B3522" s="153">
        <v>1200</v>
      </c>
      <c r="C3522" s="126" t="s">
        <v>3413</v>
      </c>
      <c r="D3522">
        <v>2437</v>
      </c>
      <c r="E3522" s="126" t="s">
        <v>2001</v>
      </c>
      <c r="F3522" s="125" t="s">
        <v>1607</v>
      </c>
      <c r="G3522" s="125" t="s">
        <v>134</v>
      </c>
      <c r="H3522">
        <v>23</v>
      </c>
      <c r="I3522" s="125" t="s">
        <v>1546</v>
      </c>
      <c r="J3522" s="308" t="s">
        <v>214</v>
      </c>
      <c r="K3522" s="127" t="s">
        <v>4212</v>
      </c>
      <c r="L3522" s="153" t="s">
        <v>3306</v>
      </c>
      <c r="M3522">
        <v>343</v>
      </c>
      <c r="N3522" s="123">
        <v>1</v>
      </c>
      <c r="O3522">
        <v>2325</v>
      </c>
      <c r="P3522" s="132" t="s">
        <v>77</v>
      </c>
      <c r="Q3522" s="132">
        <v>8000</v>
      </c>
      <c r="R3522" s="132">
        <v>1280</v>
      </c>
      <c r="S3522" s="132"/>
      <c r="T3522" s="156"/>
      <c r="U3522" s="132"/>
      <c r="V3522" s="132">
        <v>9280</v>
      </c>
      <c r="W3522">
        <v>25</v>
      </c>
      <c r="X3522" s="153" t="s">
        <v>2024</v>
      </c>
      <c r="Y3522" s="124" t="s">
        <v>55</v>
      </c>
      <c r="Z3522" s="308">
        <v>251</v>
      </c>
      <c r="AB3522" t="str">
        <f>IF(Table1[[#This Row],[TIPO2]]="costo", VLOOKUP(Table1[[#This Row],[PARTIDA PRESUPUESTAL]],'Cost Report'!G:G,1,0),"Balance")</f>
        <v>3683-202</v>
      </c>
      <c r="AC3522" s="118"/>
      <c r="AD3522" s="159">
        <f>+Table1[[#This Row],[SUBTOTAL]]+Table1[[#This Row],[IVA]]-Table1[[#This Row],[RET IVA]]-Table1[[#This Row],[RET ISR]]-Table1[[#This Row],[TOTAL]]</f>
        <v>0</v>
      </c>
      <c r="AE3522" s="152"/>
      <c r="AF3522" s="153"/>
      <c r="AG3522" s="126"/>
      <c r="AK3522" s="306" t="str">
        <f>IF(ISNUMBER(Table1[[#This Row],[FECHA DE RECIBIDO]]), Table1[[#This Row],[FECHA DE RECIBIDO]]-DATE(2023,8,30), "")</f>
        <v/>
      </c>
    </row>
    <row r="3523" spans="1:37" ht="15" customHeight="1">
      <c r="A3523" s="150"/>
      <c r="B3523" s="151">
        <v>1201</v>
      </c>
      <c r="C3523" s="126" t="s">
        <v>3413</v>
      </c>
      <c r="D3523">
        <v>2438</v>
      </c>
      <c r="E3523" s="126" t="s">
        <v>2001</v>
      </c>
      <c r="F3523" s="122" t="s">
        <v>1607</v>
      </c>
      <c r="G3523" s="122" t="s">
        <v>134</v>
      </c>
      <c r="H3523">
        <v>23</v>
      </c>
      <c r="I3523" s="122" t="s">
        <v>1546</v>
      </c>
      <c r="J3523" s="307" t="s">
        <v>214</v>
      </c>
      <c r="K3523" s="127" t="s">
        <v>4212</v>
      </c>
      <c r="L3523" s="151" t="s">
        <v>3306</v>
      </c>
      <c r="M3523">
        <v>343</v>
      </c>
      <c r="N3523" s="123">
        <v>1</v>
      </c>
      <c r="O3523">
        <v>2326</v>
      </c>
      <c r="P3523" s="132" t="s">
        <v>77</v>
      </c>
      <c r="Q3523" s="131">
        <v>24102</v>
      </c>
      <c r="R3523" s="131">
        <v>3856.32</v>
      </c>
      <c r="S3523" s="131"/>
      <c r="T3523" s="155"/>
      <c r="U3523" s="131"/>
      <c r="V3523" s="131">
        <v>27958.32</v>
      </c>
      <c r="W3523">
        <v>25</v>
      </c>
      <c r="X3523" s="151" t="s">
        <v>2024</v>
      </c>
      <c r="Y3523" s="135" t="s">
        <v>55</v>
      </c>
      <c r="Z3523" s="307">
        <v>251</v>
      </c>
      <c r="AB3523" t="str">
        <f>IF(Table1[[#This Row],[TIPO2]]="costo", VLOOKUP(Table1[[#This Row],[PARTIDA PRESUPUESTAL]],'Cost Report'!G:G,1,0),"Balance")</f>
        <v>3683-202</v>
      </c>
      <c r="AC3523" s="118"/>
      <c r="AD3523" s="159">
        <f>+Table1[[#This Row],[SUBTOTAL]]+Table1[[#This Row],[IVA]]-Table1[[#This Row],[RET IVA]]-Table1[[#This Row],[RET ISR]]-Table1[[#This Row],[TOTAL]]</f>
        <v>0</v>
      </c>
      <c r="AE3523" s="150"/>
      <c r="AF3523" s="151"/>
      <c r="AG3523" s="126"/>
      <c r="AK3523" s="306" t="str">
        <f>IF(ISNUMBER(Table1[[#This Row],[FECHA DE RECIBIDO]]), Table1[[#This Row],[FECHA DE RECIBIDO]]-DATE(2023,8,30), "")</f>
        <v/>
      </c>
    </row>
    <row r="3524" spans="1:37" ht="15" customHeight="1">
      <c r="A3524" s="152"/>
      <c r="B3524" s="153">
        <v>1202</v>
      </c>
      <c r="C3524" s="126" t="s">
        <v>3413</v>
      </c>
      <c r="D3524">
        <v>2439</v>
      </c>
      <c r="E3524" s="126" t="s">
        <v>2001</v>
      </c>
      <c r="F3524" s="125" t="s">
        <v>1607</v>
      </c>
      <c r="G3524" s="125" t="s">
        <v>134</v>
      </c>
      <c r="H3524">
        <v>23</v>
      </c>
      <c r="I3524" s="125" t="s">
        <v>1546</v>
      </c>
      <c r="J3524" s="308" t="s">
        <v>214</v>
      </c>
      <c r="K3524" s="127" t="s">
        <v>4212</v>
      </c>
      <c r="L3524" s="153" t="s">
        <v>3306</v>
      </c>
      <c r="M3524">
        <v>343</v>
      </c>
      <c r="N3524" s="123">
        <v>1</v>
      </c>
      <c r="O3524">
        <v>2326</v>
      </c>
      <c r="P3524" s="132" t="s">
        <v>77</v>
      </c>
      <c r="Q3524" s="132">
        <v>21798</v>
      </c>
      <c r="R3524" s="132">
        <v>3487.6800000000003</v>
      </c>
      <c r="S3524" s="132"/>
      <c r="T3524" s="156"/>
      <c r="U3524" s="132"/>
      <c r="V3524" s="132">
        <v>25285.68</v>
      </c>
      <c r="W3524">
        <v>25</v>
      </c>
      <c r="X3524" s="153" t="s">
        <v>2024</v>
      </c>
      <c r="Y3524" s="124" t="s">
        <v>55</v>
      </c>
      <c r="Z3524" s="308">
        <v>251</v>
      </c>
      <c r="AB3524" t="str">
        <f>IF(Table1[[#This Row],[TIPO2]]="costo", VLOOKUP(Table1[[#This Row],[PARTIDA PRESUPUESTAL]],'Cost Report'!G:G,1,0),"Balance")</f>
        <v>3683-202</v>
      </c>
      <c r="AC3524" s="118"/>
      <c r="AD3524" s="159">
        <f>+Table1[[#This Row],[SUBTOTAL]]+Table1[[#This Row],[IVA]]-Table1[[#This Row],[RET IVA]]-Table1[[#This Row],[RET ISR]]-Table1[[#This Row],[TOTAL]]</f>
        <v>0</v>
      </c>
      <c r="AE3524" s="152"/>
      <c r="AF3524" s="153"/>
      <c r="AG3524" s="126"/>
      <c r="AK3524" s="306" t="str">
        <f>IF(ISNUMBER(Table1[[#This Row],[FECHA DE RECIBIDO]]), Table1[[#This Row],[FECHA DE RECIBIDO]]-DATE(2023,8,30), "")</f>
        <v/>
      </c>
    </row>
    <row r="3525" spans="1:37" ht="15" customHeight="1">
      <c r="A3525" s="150"/>
      <c r="B3525" s="151">
        <v>1202</v>
      </c>
      <c r="C3525" s="126" t="s">
        <v>3798</v>
      </c>
      <c r="D3525">
        <v>2439</v>
      </c>
      <c r="E3525" s="126" t="s">
        <v>2001</v>
      </c>
      <c r="F3525" s="122" t="s">
        <v>1607</v>
      </c>
      <c r="G3525" s="122" t="s">
        <v>134</v>
      </c>
      <c r="H3525">
        <v>23</v>
      </c>
      <c r="I3525" s="122" t="s">
        <v>1546</v>
      </c>
      <c r="J3525" s="307" t="s">
        <v>214</v>
      </c>
      <c r="K3525" s="127" t="s">
        <v>4212</v>
      </c>
      <c r="L3525" s="151" t="s">
        <v>3306</v>
      </c>
      <c r="M3525">
        <v>343</v>
      </c>
      <c r="N3525" s="123">
        <v>1</v>
      </c>
      <c r="O3525">
        <v>2326</v>
      </c>
      <c r="P3525" s="132" t="s">
        <v>77</v>
      </c>
      <c r="Q3525" s="131">
        <v>19098</v>
      </c>
      <c r="R3525" s="131">
        <v>3055.68</v>
      </c>
      <c r="S3525" s="131"/>
      <c r="T3525" s="155"/>
      <c r="U3525" s="131"/>
      <c r="V3525" s="131">
        <v>22153.68</v>
      </c>
      <c r="W3525">
        <v>25</v>
      </c>
      <c r="X3525" s="151" t="s">
        <v>2024</v>
      </c>
      <c r="Y3525" s="135" t="s">
        <v>55</v>
      </c>
      <c r="Z3525" s="307">
        <v>251</v>
      </c>
      <c r="AB3525" t="str">
        <f>IF(Table1[[#This Row],[TIPO2]]="costo", VLOOKUP(Table1[[#This Row],[PARTIDA PRESUPUESTAL]],'Cost Report'!G:G,1,0),"Balance")</f>
        <v>3683-204</v>
      </c>
      <c r="AC3525" s="118"/>
      <c r="AD3525" s="159">
        <f>+Table1[[#This Row],[SUBTOTAL]]+Table1[[#This Row],[IVA]]-Table1[[#This Row],[RET IVA]]-Table1[[#This Row],[RET ISR]]-Table1[[#This Row],[TOTAL]]</f>
        <v>0</v>
      </c>
      <c r="AE3525" s="150"/>
      <c r="AF3525" s="151"/>
      <c r="AG3525" s="126"/>
      <c r="AK3525" s="306" t="str">
        <f>IF(ISNUMBER(Table1[[#This Row],[FECHA DE RECIBIDO]]), Table1[[#This Row],[FECHA DE RECIBIDO]]-DATE(2023,8,30), "")</f>
        <v/>
      </c>
    </row>
    <row r="3526" spans="1:37" ht="15" customHeight="1">
      <c r="A3526" s="152"/>
      <c r="B3526" s="153">
        <v>1203</v>
      </c>
      <c r="C3526" s="126" t="s">
        <v>3798</v>
      </c>
      <c r="D3526">
        <v>2440</v>
      </c>
      <c r="E3526" s="126" t="s">
        <v>2001</v>
      </c>
      <c r="F3526" s="125" t="s">
        <v>1607</v>
      </c>
      <c r="G3526" s="125" t="s">
        <v>134</v>
      </c>
      <c r="H3526">
        <v>23</v>
      </c>
      <c r="I3526" s="125" t="s">
        <v>1546</v>
      </c>
      <c r="J3526" s="308" t="s">
        <v>214</v>
      </c>
      <c r="K3526" s="127" t="s">
        <v>4212</v>
      </c>
      <c r="L3526" s="153" t="s">
        <v>3306</v>
      </c>
      <c r="M3526">
        <v>343</v>
      </c>
      <c r="N3526" s="123">
        <v>1</v>
      </c>
      <c r="O3526">
        <v>2327</v>
      </c>
      <c r="P3526" s="132" t="s">
        <v>77</v>
      </c>
      <c r="Q3526" s="132">
        <v>4200</v>
      </c>
      <c r="R3526" s="132">
        <v>672</v>
      </c>
      <c r="S3526" s="132"/>
      <c r="T3526" s="156"/>
      <c r="U3526" s="132"/>
      <c r="V3526" s="132">
        <v>4872</v>
      </c>
      <c r="W3526">
        <v>25</v>
      </c>
      <c r="X3526" s="153" t="s">
        <v>2024</v>
      </c>
      <c r="Y3526" s="124" t="s">
        <v>55</v>
      </c>
      <c r="Z3526" s="308">
        <v>251</v>
      </c>
      <c r="AB3526" t="str">
        <f>IF(Table1[[#This Row],[TIPO2]]="costo", VLOOKUP(Table1[[#This Row],[PARTIDA PRESUPUESTAL]],'Cost Report'!G:G,1,0),"Balance")</f>
        <v>3683-204</v>
      </c>
      <c r="AC3526" s="118"/>
      <c r="AD3526" s="159">
        <f>+Table1[[#This Row],[SUBTOTAL]]+Table1[[#This Row],[IVA]]-Table1[[#This Row],[RET IVA]]-Table1[[#This Row],[RET ISR]]-Table1[[#This Row],[TOTAL]]</f>
        <v>0</v>
      </c>
      <c r="AE3526" s="152"/>
      <c r="AF3526" s="153"/>
      <c r="AG3526" s="126"/>
      <c r="AK3526" s="306" t="str">
        <f>IF(ISNUMBER(Table1[[#This Row],[FECHA DE RECIBIDO]]), Table1[[#This Row],[FECHA DE RECIBIDO]]-DATE(2023,8,30), "")</f>
        <v/>
      </c>
    </row>
    <row r="3527" spans="1:37" ht="15" customHeight="1">
      <c r="A3527" s="150"/>
      <c r="B3527" s="151">
        <v>1204</v>
      </c>
      <c r="C3527" s="126" t="s">
        <v>3798</v>
      </c>
      <c r="D3527">
        <v>2441</v>
      </c>
      <c r="E3527" s="126" t="s">
        <v>2001</v>
      </c>
      <c r="F3527" s="122" t="s">
        <v>1607</v>
      </c>
      <c r="G3527" s="122" t="s">
        <v>134</v>
      </c>
      <c r="H3527">
        <v>23</v>
      </c>
      <c r="I3527" s="122" t="s">
        <v>1546</v>
      </c>
      <c r="J3527" s="307" t="s">
        <v>214</v>
      </c>
      <c r="K3527" s="127" t="s">
        <v>4212</v>
      </c>
      <c r="L3527" s="151" t="s">
        <v>3306</v>
      </c>
      <c r="M3527">
        <v>343</v>
      </c>
      <c r="N3527" s="123">
        <v>1</v>
      </c>
      <c r="O3527">
        <v>2328</v>
      </c>
      <c r="P3527" s="132" t="s">
        <v>77</v>
      </c>
      <c r="Q3527" s="131">
        <v>49700</v>
      </c>
      <c r="R3527" s="131">
        <v>7952</v>
      </c>
      <c r="S3527" s="131"/>
      <c r="T3527" s="155"/>
      <c r="U3527" s="131"/>
      <c r="V3527" s="131">
        <v>57652</v>
      </c>
      <c r="W3527">
        <v>25</v>
      </c>
      <c r="X3527" s="151" t="s">
        <v>2024</v>
      </c>
      <c r="Y3527" s="135" t="s">
        <v>55</v>
      </c>
      <c r="Z3527" s="307">
        <v>251</v>
      </c>
      <c r="AB3527" t="str">
        <f>IF(Table1[[#This Row],[TIPO2]]="costo", VLOOKUP(Table1[[#This Row],[PARTIDA PRESUPUESTAL]],'Cost Report'!G:G,1,0),"Balance")</f>
        <v>3683-204</v>
      </c>
      <c r="AC3527" s="118"/>
      <c r="AD3527" s="159">
        <f>+Table1[[#This Row],[SUBTOTAL]]+Table1[[#This Row],[IVA]]-Table1[[#This Row],[RET IVA]]-Table1[[#This Row],[RET ISR]]-Table1[[#This Row],[TOTAL]]</f>
        <v>0</v>
      </c>
      <c r="AE3527" s="150"/>
      <c r="AF3527" s="151"/>
      <c r="AG3527" s="126"/>
      <c r="AK3527" s="306" t="str">
        <f>IF(ISNUMBER(Table1[[#This Row],[FECHA DE RECIBIDO]]), Table1[[#This Row],[FECHA DE RECIBIDO]]-DATE(2023,8,30), "")</f>
        <v/>
      </c>
    </row>
    <row r="3528" spans="1:37" ht="15" customHeight="1">
      <c r="A3528" s="152" t="s">
        <v>4233</v>
      </c>
      <c r="B3528" s="153">
        <v>1205</v>
      </c>
      <c r="C3528" s="126" t="s">
        <v>2532</v>
      </c>
      <c r="D3528">
        <v>2442</v>
      </c>
      <c r="E3528" s="126" t="s">
        <v>3373</v>
      </c>
      <c r="F3528" s="125" t="s">
        <v>1593</v>
      </c>
      <c r="G3528" s="125" t="s">
        <v>109</v>
      </c>
      <c r="H3528">
        <v>675</v>
      </c>
      <c r="I3528" s="125" t="s">
        <v>1546</v>
      </c>
      <c r="J3528" s="308" t="s">
        <v>214</v>
      </c>
      <c r="K3528" s="127" t="s">
        <v>4212</v>
      </c>
      <c r="L3528" s="153" t="s">
        <v>3306</v>
      </c>
      <c r="M3528">
        <v>948</v>
      </c>
      <c r="N3528" s="123">
        <v>51</v>
      </c>
      <c r="O3528">
        <v>2329</v>
      </c>
      <c r="P3528" s="132" t="s">
        <v>77</v>
      </c>
      <c r="Q3528" s="132">
        <v>22700</v>
      </c>
      <c r="R3528" s="132">
        <v>3632</v>
      </c>
      <c r="S3528" s="132"/>
      <c r="T3528" s="156">
        <v>0</v>
      </c>
      <c r="U3528" s="132">
        <v>0</v>
      </c>
      <c r="V3528" s="132">
        <v>26332</v>
      </c>
      <c r="W3528">
        <v>346</v>
      </c>
      <c r="X3528" s="153" t="s">
        <v>105</v>
      </c>
      <c r="Y3528" s="124" t="s">
        <v>55</v>
      </c>
      <c r="Z3528" s="308">
        <v>251</v>
      </c>
      <c r="AB3528" t="str">
        <f>IF(Table1[[#This Row],[TIPO2]]="costo", VLOOKUP(Table1[[#This Row],[PARTIDA PRESUPUESTAL]],'Cost Report'!G:G,1,0),"Balance")</f>
        <v>2494-043</v>
      </c>
      <c r="AC3528" s="118"/>
      <c r="AD3528" s="159">
        <f>+Table1[[#This Row],[SUBTOTAL]]+Table1[[#This Row],[IVA]]-Table1[[#This Row],[RET IVA]]-Table1[[#This Row],[RET ISR]]-Table1[[#This Row],[TOTAL]]</f>
        <v>0</v>
      </c>
      <c r="AE3528" s="152"/>
      <c r="AF3528" s="153"/>
      <c r="AG3528" s="126"/>
      <c r="AK3528" s="306" t="str">
        <f>IF(ISNUMBER(Table1[[#This Row],[FECHA DE RECIBIDO]]), Table1[[#This Row],[FECHA DE RECIBIDO]]-DATE(2023,8,30), "")</f>
        <v/>
      </c>
    </row>
    <row r="3529" spans="1:37" ht="15" customHeight="1">
      <c r="A3529" s="150" t="s">
        <v>4234</v>
      </c>
      <c r="B3529" s="151">
        <v>1206</v>
      </c>
      <c r="C3529" s="126" t="s">
        <v>2566</v>
      </c>
      <c r="D3529">
        <v>2443</v>
      </c>
      <c r="E3529" s="126" t="s">
        <v>3235</v>
      </c>
      <c r="F3529" s="122" t="s">
        <v>1589</v>
      </c>
      <c r="G3529" s="122" t="s">
        <v>129</v>
      </c>
      <c r="H3529">
        <v>212</v>
      </c>
      <c r="I3529" s="122" t="s">
        <v>1546</v>
      </c>
      <c r="J3529" s="307" t="s">
        <v>214</v>
      </c>
      <c r="K3529" s="127" t="s">
        <v>4212</v>
      </c>
      <c r="L3529" s="151" t="s">
        <v>3306</v>
      </c>
      <c r="M3529">
        <v>277</v>
      </c>
      <c r="N3529" s="123">
        <v>51</v>
      </c>
      <c r="O3529">
        <v>2330</v>
      </c>
      <c r="P3529" s="132" t="s">
        <v>77</v>
      </c>
      <c r="Q3529" s="131">
        <v>1836.15</v>
      </c>
      <c r="R3529" s="131">
        <v>293.79000000000002</v>
      </c>
      <c r="S3529" s="131"/>
      <c r="T3529" s="155">
        <v>0</v>
      </c>
      <c r="U3529" s="131">
        <v>0</v>
      </c>
      <c r="V3529" s="131">
        <v>2129.94</v>
      </c>
      <c r="W3529">
        <v>162</v>
      </c>
      <c r="X3529" s="151" t="s">
        <v>2035</v>
      </c>
      <c r="Y3529" s="135" t="s">
        <v>55</v>
      </c>
      <c r="Z3529" s="307">
        <v>251</v>
      </c>
      <c r="AB3529" t="str">
        <f>IF(Table1[[#This Row],[TIPO2]]="costo", VLOOKUP(Table1[[#This Row],[PARTIDA PRESUPUESTAL]],'Cost Report'!G:G,1,0),"Balance")</f>
        <v>2594-003</v>
      </c>
      <c r="AC3529" s="118"/>
      <c r="AD3529" s="159">
        <f>+Table1[[#This Row],[SUBTOTAL]]+Table1[[#This Row],[IVA]]-Table1[[#This Row],[RET IVA]]-Table1[[#This Row],[RET ISR]]-Table1[[#This Row],[TOTAL]]</f>
        <v>0</v>
      </c>
      <c r="AE3529" s="150"/>
      <c r="AF3529" s="151"/>
      <c r="AG3529" s="126"/>
      <c r="AK3529" s="306" t="str">
        <f>IF(ISNUMBER(Table1[[#This Row],[FECHA DE RECIBIDO]]), Table1[[#This Row],[FECHA DE RECIBIDO]]-DATE(2023,8,30), "")</f>
        <v/>
      </c>
    </row>
    <row r="3530" spans="1:37" ht="15" customHeight="1">
      <c r="A3530" s="152" t="s">
        <v>4235</v>
      </c>
      <c r="B3530" s="153">
        <v>1207</v>
      </c>
      <c r="C3530" s="126" t="s">
        <v>2532</v>
      </c>
      <c r="D3530">
        <v>2444</v>
      </c>
      <c r="E3530" s="126" t="s">
        <v>1996</v>
      </c>
      <c r="F3530" s="125" t="s">
        <v>1589</v>
      </c>
      <c r="G3530" s="125" t="s">
        <v>129</v>
      </c>
      <c r="H3530">
        <v>126</v>
      </c>
      <c r="I3530" s="125" t="s">
        <v>1546</v>
      </c>
      <c r="J3530" s="308" t="s">
        <v>214</v>
      </c>
      <c r="K3530" s="127" t="s">
        <v>4212</v>
      </c>
      <c r="L3530" s="153" t="s">
        <v>3306</v>
      </c>
      <c r="M3530">
        <v>166</v>
      </c>
      <c r="N3530" s="123">
        <v>51</v>
      </c>
      <c r="O3530">
        <v>2331</v>
      </c>
      <c r="P3530" s="132" t="s">
        <v>77</v>
      </c>
      <c r="Q3530" s="132">
        <v>76686</v>
      </c>
      <c r="R3530" s="132">
        <v>12269.76</v>
      </c>
      <c r="S3530" s="132"/>
      <c r="T3530" s="156">
        <v>0</v>
      </c>
      <c r="U3530" s="132">
        <v>0</v>
      </c>
      <c r="V3530" s="132">
        <v>88955.76</v>
      </c>
      <c r="W3530">
        <v>89</v>
      </c>
      <c r="X3530" s="153" t="s">
        <v>3120</v>
      </c>
      <c r="Y3530" s="124" t="s">
        <v>55</v>
      </c>
      <c r="Z3530" s="308">
        <v>251</v>
      </c>
      <c r="AB3530" t="str">
        <f>IF(Table1[[#This Row],[TIPO2]]="costo", VLOOKUP(Table1[[#This Row],[PARTIDA PRESUPUESTAL]],'Cost Report'!G:G,1,0),"Balance")</f>
        <v>2494-043</v>
      </c>
      <c r="AC3530" s="118"/>
      <c r="AD3530" s="159">
        <f>+Table1[[#This Row],[SUBTOTAL]]+Table1[[#This Row],[IVA]]-Table1[[#This Row],[RET IVA]]-Table1[[#This Row],[RET ISR]]-Table1[[#This Row],[TOTAL]]</f>
        <v>0</v>
      </c>
      <c r="AE3530" s="152"/>
      <c r="AF3530" s="153"/>
      <c r="AG3530" s="126"/>
      <c r="AK3530" s="306" t="str">
        <f>IF(ISNUMBER(Table1[[#This Row],[FECHA DE RECIBIDO]]), Table1[[#This Row],[FECHA DE RECIBIDO]]-DATE(2023,8,30), "")</f>
        <v/>
      </c>
    </row>
    <row r="3531" spans="1:37" ht="15" customHeight="1">
      <c r="A3531" s="150" t="s">
        <v>4236</v>
      </c>
      <c r="B3531" s="151">
        <v>1208</v>
      </c>
      <c r="C3531" s="126" t="s">
        <v>253</v>
      </c>
      <c r="D3531">
        <v>2445</v>
      </c>
      <c r="E3531" s="126" t="s">
        <v>3354</v>
      </c>
      <c r="F3531" s="122" t="s">
        <v>1371</v>
      </c>
      <c r="G3531" s="122" t="s">
        <v>2065</v>
      </c>
      <c r="H3531">
        <v>454</v>
      </c>
      <c r="I3531" s="122" t="s">
        <v>1546</v>
      </c>
      <c r="J3531" s="307" t="s">
        <v>214</v>
      </c>
      <c r="K3531" s="127" t="s">
        <v>4212</v>
      </c>
      <c r="L3531" s="151" t="s">
        <v>3306</v>
      </c>
      <c r="M3531">
        <v>630</v>
      </c>
      <c r="N3531" s="123">
        <v>1</v>
      </c>
      <c r="O3531">
        <v>1480</v>
      </c>
      <c r="P3531" s="132" t="s">
        <v>77</v>
      </c>
      <c r="Q3531" s="131">
        <v>18174.580000000002</v>
      </c>
      <c r="R3531" s="131">
        <v>2326.35</v>
      </c>
      <c r="S3531" s="131"/>
      <c r="T3531" s="155">
        <v>0</v>
      </c>
      <c r="U3531" s="131">
        <v>0</v>
      </c>
      <c r="V3531" s="131">
        <v>20500.93</v>
      </c>
      <c r="W3531">
        <v>242</v>
      </c>
      <c r="X3531" s="151" t="s">
        <v>2035</v>
      </c>
      <c r="Y3531" s="135" t="s">
        <v>55</v>
      </c>
      <c r="Z3531" s="307">
        <v>251</v>
      </c>
      <c r="AB3531" t="str">
        <f>IF(Table1[[#This Row],[TIPO2]]="costo", VLOOKUP(Table1[[#This Row],[PARTIDA PRESUPUESTAL]],'Cost Report'!G:G,1,0),"Balance")</f>
        <v>1301-004</v>
      </c>
      <c r="AC3531" s="118"/>
      <c r="AD3531" s="159">
        <f>+Table1[[#This Row],[SUBTOTAL]]+Table1[[#This Row],[IVA]]-Table1[[#This Row],[RET IVA]]-Table1[[#This Row],[RET ISR]]-Table1[[#This Row],[TOTAL]]</f>
        <v>0</v>
      </c>
      <c r="AE3531" s="150"/>
      <c r="AF3531" s="151"/>
      <c r="AG3531" s="126"/>
      <c r="AK3531" s="306" t="str">
        <f>IF(ISNUMBER(Table1[[#This Row],[FECHA DE RECIBIDO]]), Table1[[#This Row],[FECHA DE RECIBIDO]]-DATE(2023,8,30), "")</f>
        <v/>
      </c>
    </row>
    <row r="3532" spans="1:37" ht="15" customHeight="1">
      <c r="A3532" s="152" t="s">
        <v>4236</v>
      </c>
      <c r="B3532" s="153">
        <v>1208</v>
      </c>
      <c r="C3532" s="126" t="s">
        <v>254</v>
      </c>
      <c r="D3532">
        <v>2445</v>
      </c>
      <c r="E3532" s="126" t="s">
        <v>3354</v>
      </c>
      <c r="F3532" s="125" t="s">
        <v>1371</v>
      </c>
      <c r="G3532" s="125" t="s">
        <v>2065</v>
      </c>
      <c r="H3532">
        <v>454</v>
      </c>
      <c r="I3532" s="125" t="s">
        <v>1546</v>
      </c>
      <c r="J3532" s="308" t="s">
        <v>214</v>
      </c>
      <c r="K3532" s="127" t="s">
        <v>4212</v>
      </c>
      <c r="L3532" s="153" t="s">
        <v>3306</v>
      </c>
      <c r="M3532">
        <v>630</v>
      </c>
      <c r="N3532" s="123">
        <v>1</v>
      </c>
      <c r="O3532">
        <v>1480</v>
      </c>
      <c r="P3532" s="132" t="s">
        <v>77</v>
      </c>
      <c r="Q3532" s="132">
        <v>3680.34</v>
      </c>
      <c r="R3532" s="132">
        <v>471.08</v>
      </c>
      <c r="S3532" s="132"/>
      <c r="T3532" s="156">
        <v>0</v>
      </c>
      <c r="U3532" s="132">
        <v>0</v>
      </c>
      <c r="V3532" s="132">
        <v>4151.42</v>
      </c>
      <c r="W3532">
        <v>242</v>
      </c>
      <c r="X3532" s="153" t="s">
        <v>2035</v>
      </c>
      <c r="Y3532" s="124" t="s">
        <v>55</v>
      </c>
      <c r="Z3532" s="308">
        <v>251</v>
      </c>
      <c r="AB3532" t="str">
        <f>IF(Table1[[#This Row],[TIPO2]]="costo", VLOOKUP(Table1[[#This Row],[PARTIDA PRESUPUESTAL]],'Cost Report'!G:G,1,0),"Balance")</f>
        <v>1301-005</v>
      </c>
      <c r="AC3532" s="118"/>
      <c r="AD3532" s="159">
        <f>+Table1[[#This Row],[SUBTOTAL]]+Table1[[#This Row],[IVA]]-Table1[[#This Row],[RET IVA]]-Table1[[#This Row],[RET ISR]]-Table1[[#This Row],[TOTAL]]</f>
        <v>0</v>
      </c>
      <c r="AE3532" s="152"/>
      <c r="AF3532" s="153"/>
      <c r="AG3532" s="126"/>
      <c r="AK3532" s="306" t="str">
        <f>IF(ISNUMBER(Table1[[#This Row],[FECHA DE RECIBIDO]]), Table1[[#This Row],[FECHA DE RECIBIDO]]-DATE(2023,8,30), "")</f>
        <v/>
      </c>
    </row>
    <row r="3533" spans="1:37" ht="15" customHeight="1">
      <c r="A3533" s="150" t="s">
        <v>4236</v>
      </c>
      <c r="B3533" s="151">
        <v>1208</v>
      </c>
      <c r="C3533" s="126" t="s">
        <v>255</v>
      </c>
      <c r="D3533">
        <v>2445</v>
      </c>
      <c r="E3533" s="126" t="s">
        <v>3354</v>
      </c>
      <c r="F3533" s="122" t="s">
        <v>1371</v>
      </c>
      <c r="G3533" s="122" t="s">
        <v>2065</v>
      </c>
      <c r="H3533">
        <v>454</v>
      </c>
      <c r="I3533" s="122" t="s">
        <v>1546</v>
      </c>
      <c r="J3533" s="307" t="s">
        <v>214</v>
      </c>
      <c r="K3533" s="127" t="s">
        <v>4212</v>
      </c>
      <c r="L3533" s="151" t="s">
        <v>3306</v>
      </c>
      <c r="M3533">
        <v>630</v>
      </c>
      <c r="N3533" s="123">
        <v>1</v>
      </c>
      <c r="O3533">
        <v>1480</v>
      </c>
      <c r="P3533" s="132" t="s">
        <v>77</v>
      </c>
      <c r="Q3533" s="131">
        <v>6882.6</v>
      </c>
      <c r="R3533" s="131">
        <v>880.97</v>
      </c>
      <c r="S3533" s="131"/>
      <c r="T3533" s="155">
        <v>0</v>
      </c>
      <c r="U3533" s="131">
        <v>0</v>
      </c>
      <c r="V3533" s="131">
        <v>7763.5700000000006</v>
      </c>
      <c r="W3533">
        <v>242</v>
      </c>
      <c r="X3533" s="151" t="s">
        <v>2035</v>
      </c>
      <c r="Y3533" s="135" t="s">
        <v>55</v>
      </c>
      <c r="Z3533" s="307">
        <v>251</v>
      </c>
      <c r="AB3533" t="str">
        <f>IF(Table1[[#This Row],[TIPO2]]="costo", VLOOKUP(Table1[[#This Row],[PARTIDA PRESUPUESTAL]],'Cost Report'!G:G,1,0),"Balance")</f>
        <v>1301-006</v>
      </c>
      <c r="AC3533" s="118"/>
      <c r="AD3533" s="159">
        <f>+Table1[[#This Row],[SUBTOTAL]]+Table1[[#This Row],[IVA]]-Table1[[#This Row],[RET IVA]]-Table1[[#This Row],[RET ISR]]-Table1[[#This Row],[TOTAL]]</f>
        <v>0</v>
      </c>
      <c r="AE3533" s="150"/>
      <c r="AF3533" s="151"/>
      <c r="AG3533" s="126"/>
      <c r="AK3533" s="306" t="str">
        <f>IF(ISNUMBER(Table1[[#This Row],[FECHA DE RECIBIDO]]), Table1[[#This Row],[FECHA DE RECIBIDO]]-DATE(2023,8,30), "")</f>
        <v/>
      </c>
    </row>
    <row r="3534" spans="1:37" ht="15" customHeight="1">
      <c r="A3534" s="152" t="s">
        <v>4236</v>
      </c>
      <c r="B3534" s="153">
        <v>1208</v>
      </c>
      <c r="C3534" s="126" t="s">
        <v>256</v>
      </c>
      <c r="D3534">
        <v>2445</v>
      </c>
      <c r="E3534" s="126" t="s">
        <v>3354</v>
      </c>
      <c r="F3534" s="125" t="s">
        <v>1371</v>
      </c>
      <c r="G3534" s="125" t="s">
        <v>2065</v>
      </c>
      <c r="H3534">
        <v>454</v>
      </c>
      <c r="I3534" s="125" t="s">
        <v>1546</v>
      </c>
      <c r="J3534" s="308" t="s">
        <v>214</v>
      </c>
      <c r="K3534" s="127" t="s">
        <v>4212</v>
      </c>
      <c r="L3534" s="153" t="s">
        <v>3306</v>
      </c>
      <c r="M3534">
        <v>630</v>
      </c>
      <c r="N3534" s="123">
        <v>1</v>
      </c>
      <c r="O3534">
        <v>1480</v>
      </c>
      <c r="P3534" s="132" t="s">
        <v>77</v>
      </c>
      <c r="Q3534" s="132">
        <v>1126.8900000000001</v>
      </c>
      <c r="R3534" s="132">
        <v>144.24</v>
      </c>
      <c r="S3534" s="132"/>
      <c r="T3534" s="156">
        <v>0</v>
      </c>
      <c r="U3534" s="132">
        <v>0</v>
      </c>
      <c r="V3534" s="132">
        <v>1271.1300000000001</v>
      </c>
      <c r="W3534">
        <v>242</v>
      </c>
      <c r="X3534" s="153" t="s">
        <v>2035</v>
      </c>
      <c r="Y3534" s="124" t="s">
        <v>55</v>
      </c>
      <c r="Z3534" s="308">
        <v>251</v>
      </c>
      <c r="AB3534" t="str">
        <f>IF(Table1[[#This Row],[TIPO2]]="costo", VLOOKUP(Table1[[#This Row],[PARTIDA PRESUPUESTAL]],'Cost Report'!G:G,1,0),"Balance")</f>
        <v>1301-007</v>
      </c>
      <c r="AC3534" s="118"/>
      <c r="AD3534" s="159">
        <f>+Table1[[#This Row],[SUBTOTAL]]+Table1[[#This Row],[IVA]]-Table1[[#This Row],[RET IVA]]-Table1[[#This Row],[RET ISR]]-Table1[[#This Row],[TOTAL]]</f>
        <v>0</v>
      </c>
      <c r="AE3534" s="152"/>
      <c r="AF3534" s="153"/>
      <c r="AG3534" s="126"/>
      <c r="AK3534" s="306" t="str">
        <f>IF(ISNUMBER(Table1[[#This Row],[FECHA DE RECIBIDO]]), Table1[[#This Row],[FECHA DE RECIBIDO]]-DATE(2023,8,30), "")</f>
        <v/>
      </c>
    </row>
    <row r="3535" spans="1:37" ht="15" customHeight="1">
      <c r="A3535" s="150" t="s">
        <v>4236</v>
      </c>
      <c r="B3535" s="151">
        <v>1208</v>
      </c>
      <c r="C3535" s="126" t="s">
        <v>259</v>
      </c>
      <c r="D3535">
        <v>2445</v>
      </c>
      <c r="E3535" s="126" t="s">
        <v>3354</v>
      </c>
      <c r="F3535" s="122" t="s">
        <v>1371</v>
      </c>
      <c r="G3535" s="122" t="s">
        <v>2065</v>
      </c>
      <c r="H3535">
        <v>454</v>
      </c>
      <c r="I3535" s="122" t="s">
        <v>1546</v>
      </c>
      <c r="J3535" s="307" t="s">
        <v>214</v>
      </c>
      <c r="K3535" s="127" t="s">
        <v>4212</v>
      </c>
      <c r="L3535" s="151" t="s">
        <v>3306</v>
      </c>
      <c r="M3535">
        <v>630</v>
      </c>
      <c r="N3535" s="123">
        <v>1</v>
      </c>
      <c r="O3535">
        <v>1480</v>
      </c>
      <c r="P3535" s="132" t="s">
        <v>77</v>
      </c>
      <c r="Q3535" s="131">
        <v>14970.54</v>
      </c>
      <c r="R3535" s="131">
        <v>1916.23</v>
      </c>
      <c r="S3535" s="131"/>
      <c r="T3535" s="155">
        <v>0</v>
      </c>
      <c r="U3535" s="131">
        <v>0</v>
      </c>
      <c r="V3535" s="131">
        <v>16886.77</v>
      </c>
      <c r="W3535">
        <v>242</v>
      </c>
      <c r="X3535" s="151" t="s">
        <v>2035</v>
      </c>
      <c r="Y3535" s="135" t="s">
        <v>55</v>
      </c>
      <c r="Z3535" s="307">
        <v>251</v>
      </c>
      <c r="AB3535" t="str">
        <f>IF(Table1[[#This Row],[TIPO2]]="costo", VLOOKUP(Table1[[#This Row],[PARTIDA PRESUPUESTAL]],'Cost Report'!G:G,1,0),"Balance")</f>
        <v>1301-012</v>
      </c>
      <c r="AC3535" s="118"/>
      <c r="AD3535" s="159">
        <f>+Table1[[#This Row],[SUBTOTAL]]+Table1[[#This Row],[IVA]]-Table1[[#This Row],[RET IVA]]-Table1[[#This Row],[RET ISR]]-Table1[[#This Row],[TOTAL]]</f>
        <v>0</v>
      </c>
      <c r="AE3535" s="150"/>
      <c r="AF3535" s="151"/>
      <c r="AG3535" s="126"/>
      <c r="AK3535" s="306" t="str">
        <f>IF(ISNUMBER(Table1[[#This Row],[FECHA DE RECIBIDO]]), Table1[[#This Row],[FECHA DE RECIBIDO]]-DATE(2023,8,30), "")</f>
        <v/>
      </c>
    </row>
    <row r="3536" spans="1:37" ht="15" customHeight="1">
      <c r="A3536" s="152" t="s">
        <v>4236</v>
      </c>
      <c r="B3536" s="153">
        <v>1208</v>
      </c>
      <c r="C3536" s="126" t="s">
        <v>260</v>
      </c>
      <c r="D3536">
        <v>2445</v>
      </c>
      <c r="E3536" s="126" t="s">
        <v>3354</v>
      </c>
      <c r="F3536" s="125" t="s">
        <v>1371</v>
      </c>
      <c r="G3536" s="125" t="s">
        <v>2065</v>
      </c>
      <c r="H3536">
        <v>454</v>
      </c>
      <c r="I3536" s="125" t="s">
        <v>1546</v>
      </c>
      <c r="J3536" s="308" t="s">
        <v>214</v>
      </c>
      <c r="K3536" s="127" t="s">
        <v>4212</v>
      </c>
      <c r="L3536" s="153" t="s">
        <v>3306</v>
      </c>
      <c r="M3536">
        <v>630</v>
      </c>
      <c r="N3536" s="123">
        <v>1</v>
      </c>
      <c r="O3536">
        <v>1480</v>
      </c>
      <c r="P3536" s="132" t="s">
        <v>77</v>
      </c>
      <c r="Q3536" s="132">
        <v>2495.09</v>
      </c>
      <c r="R3536" s="132">
        <v>319.37</v>
      </c>
      <c r="S3536" s="132"/>
      <c r="T3536" s="156">
        <v>0</v>
      </c>
      <c r="U3536" s="132">
        <v>0</v>
      </c>
      <c r="V3536" s="132">
        <v>2814.46</v>
      </c>
      <c r="W3536">
        <v>242</v>
      </c>
      <c r="X3536" s="153" t="s">
        <v>2035</v>
      </c>
      <c r="Y3536" s="124" t="s">
        <v>55</v>
      </c>
      <c r="Z3536" s="308">
        <v>251</v>
      </c>
      <c r="AB3536" t="str">
        <f>IF(Table1[[#This Row],[TIPO2]]="costo", VLOOKUP(Table1[[#This Row],[PARTIDA PRESUPUESTAL]],'Cost Report'!G:G,1,0),"Balance")</f>
        <v>1301-013</v>
      </c>
      <c r="AC3536" s="118"/>
      <c r="AD3536" s="159">
        <f>+Table1[[#This Row],[SUBTOTAL]]+Table1[[#This Row],[IVA]]-Table1[[#This Row],[RET IVA]]-Table1[[#This Row],[RET ISR]]-Table1[[#This Row],[TOTAL]]</f>
        <v>0</v>
      </c>
      <c r="AE3536" s="152"/>
      <c r="AF3536" s="153"/>
      <c r="AG3536" s="126"/>
      <c r="AK3536" s="306" t="str">
        <f>IF(ISNUMBER(Table1[[#This Row],[FECHA DE RECIBIDO]]), Table1[[#This Row],[FECHA DE RECIBIDO]]-DATE(2023,8,30), "")</f>
        <v/>
      </c>
    </row>
    <row r="3537" spans="1:37" ht="15" customHeight="1">
      <c r="A3537" s="150" t="s">
        <v>4236</v>
      </c>
      <c r="B3537" s="151">
        <v>1208</v>
      </c>
      <c r="C3537" s="126" t="s">
        <v>261</v>
      </c>
      <c r="D3537">
        <v>2445</v>
      </c>
      <c r="E3537" s="126" t="s">
        <v>3354</v>
      </c>
      <c r="F3537" s="122" t="s">
        <v>1371</v>
      </c>
      <c r="G3537" s="122" t="s">
        <v>2065</v>
      </c>
      <c r="H3537">
        <v>454</v>
      </c>
      <c r="I3537" s="122" t="s">
        <v>1546</v>
      </c>
      <c r="J3537" s="307" t="s">
        <v>214</v>
      </c>
      <c r="K3537" s="127" t="s">
        <v>4212</v>
      </c>
      <c r="L3537" s="151" t="s">
        <v>3306</v>
      </c>
      <c r="M3537">
        <v>630</v>
      </c>
      <c r="N3537" s="123">
        <v>1</v>
      </c>
      <c r="O3537">
        <v>1480</v>
      </c>
      <c r="P3537" s="132" t="s">
        <v>77</v>
      </c>
      <c r="Q3537" s="131">
        <v>16680</v>
      </c>
      <c r="R3537" s="131">
        <v>2135.04</v>
      </c>
      <c r="S3537" s="131"/>
      <c r="T3537" s="155">
        <v>0</v>
      </c>
      <c r="U3537" s="131">
        <v>0</v>
      </c>
      <c r="V3537" s="131">
        <v>18815.04</v>
      </c>
      <c r="W3537">
        <v>242</v>
      </c>
      <c r="X3537" s="151" t="s">
        <v>2035</v>
      </c>
      <c r="Y3537" s="135" t="s">
        <v>55</v>
      </c>
      <c r="Z3537" s="307">
        <v>251</v>
      </c>
      <c r="AB3537" t="str">
        <f>IF(Table1[[#This Row],[TIPO2]]="costo", VLOOKUP(Table1[[#This Row],[PARTIDA PRESUPUESTAL]],'Cost Report'!G:G,1,0),"Balance")</f>
        <v>1301-014</v>
      </c>
      <c r="AC3537" s="118"/>
      <c r="AD3537" s="159">
        <f>+Table1[[#This Row],[SUBTOTAL]]+Table1[[#This Row],[IVA]]-Table1[[#This Row],[RET IVA]]-Table1[[#This Row],[RET ISR]]-Table1[[#This Row],[TOTAL]]</f>
        <v>0</v>
      </c>
      <c r="AE3537" s="150"/>
      <c r="AF3537" s="151"/>
      <c r="AG3537" s="126"/>
      <c r="AK3537" s="306" t="str">
        <f>IF(ISNUMBER(Table1[[#This Row],[FECHA DE RECIBIDO]]), Table1[[#This Row],[FECHA DE RECIBIDO]]-DATE(2023,8,30), "")</f>
        <v/>
      </c>
    </row>
    <row r="3538" spans="1:37" ht="15" customHeight="1">
      <c r="A3538" s="152" t="s">
        <v>4236</v>
      </c>
      <c r="B3538" s="153">
        <v>1208</v>
      </c>
      <c r="C3538" s="126" t="s">
        <v>262</v>
      </c>
      <c r="D3538">
        <v>2445</v>
      </c>
      <c r="E3538" s="126" t="s">
        <v>3354</v>
      </c>
      <c r="F3538" s="125" t="s">
        <v>1371</v>
      </c>
      <c r="G3538" s="125" t="s">
        <v>2065</v>
      </c>
      <c r="H3538">
        <v>454</v>
      </c>
      <c r="I3538" s="125" t="s">
        <v>1546</v>
      </c>
      <c r="J3538" s="308" t="s">
        <v>214</v>
      </c>
      <c r="K3538" s="127" t="s">
        <v>4212</v>
      </c>
      <c r="L3538" s="153" t="s">
        <v>3306</v>
      </c>
      <c r="M3538">
        <v>630</v>
      </c>
      <c r="N3538" s="123">
        <v>1</v>
      </c>
      <c r="O3538">
        <v>1480</v>
      </c>
      <c r="P3538" s="132" t="s">
        <v>77</v>
      </c>
      <c r="Q3538" s="132">
        <v>2666.72</v>
      </c>
      <c r="R3538" s="132">
        <v>341.34</v>
      </c>
      <c r="S3538" s="132"/>
      <c r="T3538" s="156">
        <v>0</v>
      </c>
      <c r="U3538" s="132">
        <v>0</v>
      </c>
      <c r="V3538" s="132">
        <v>3008.06</v>
      </c>
      <c r="W3538">
        <v>242</v>
      </c>
      <c r="X3538" s="153" t="s">
        <v>2035</v>
      </c>
      <c r="Y3538" s="124" t="s">
        <v>55</v>
      </c>
      <c r="Z3538" s="308">
        <v>251</v>
      </c>
      <c r="AB3538" t="str">
        <f>IF(Table1[[#This Row],[TIPO2]]="costo", VLOOKUP(Table1[[#This Row],[PARTIDA PRESUPUESTAL]],'Cost Report'!G:G,1,0),"Balance")</f>
        <v>1301-015</v>
      </c>
      <c r="AC3538" s="118"/>
      <c r="AD3538" s="159">
        <f>+Table1[[#This Row],[SUBTOTAL]]+Table1[[#This Row],[IVA]]-Table1[[#This Row],[RET IVA]]-Table1[[#This Row],[RET ISR]]-Table1[[#This Row],[TOTAL]]</f>
        <v>0</v>
      </c>
      <c r="AE3538" s="152"/>
      <c r="AF3538" s="153"/>
      <c r="AG3538" s="126"/>
      <c r="AK3538" s="306" t="str">
        <f>IF(ISNUMBER(Table1[[#This Row],[FECHA DE RECIBIDO]]), Table1[[#This Row],[FECHA DE RECIBIDO]]-DATE(2023,8,30), "")</f>
        <v/>
      </c>
    </row>
    <row r="3539" spans="1:37" ht="15" customHeight="1">
      <c r="A3539" s="150" t="s">
        <v>4236</v>
      </c>
      <c r="B3539" s="151">
        <v>1208</v>
      </c>
      <c r="C3539" s="126" t="s">
        <v>273</v>
      </c>
      <c r="D3539">
        <v>2445</v>
      </c>
      <c r="E3539" s="126" t="s">
        <v>3354</v>
      </c>
      <c r="F3539" s="122" t="s">
        <v>1371</v>
      </c>
      <c r="G3539" s="122" t="s">
        <v>2065</v>
      </c>
      <c r="H3539">
        <v>454</v>
      </c>
      <c r="I3539" s="122" t="s">
        <v>1546</v>
      </c>
      <c r="J3539" s="307" t="s">
        <v>214</v>
      </c>
      <c r="K3539" s="127" t="s">
        <v>4212</v>
      </c>
      <c r="L3539" s="151" t="s">
        <v>3306</v>
      </c>
      <c r="M3539">
        <v>630</v>
      </c>
      <c r="N3539" s="123">
        <v>1</v>
      </c>
      <c r="O3539">
        <v>1480</v>
      </c>
      <c r="P3539" s="132" t="s">
        <v>77</v>
      </c>
      <c r="Q3539" s="131">
        <v>35876.449999999997</v>
      </c>
      <c r="R3539" s="131">
        <v>4592.1899999999996</v>
      </c>
      <c r="S3539" s="131"/>
      <c r="T3539" s="155">
        <v>0</v>
      </c>
      <c r="U3539" s="131">
        <v>0</v>
      </c>
      <c r="V3539" s="131">
        <v>40468.639999999999</v>
      </c>
      <c r="W3539">
        <v>242</v>
      </c>
      <c r="X3539" s="151" t="s">
        <v>2035</v>
      </c>
      <c r="Y3539" s="135" t="s">
        <v>55</v>
      </c>
      <c r="Z3539" s="307">
        <v>251</v>
      </c>
      <c r="AB3539" t="str">
        <f>IF(Table1[[#This Row],[TIPO2]]="costo", VLOOKUP(Table1[[#This Row],[PARTIDA PRESUPUESTAL]],'Cost Report'!G:G,1,0),"Balance")</f>
        <v>1302-005</v>
      </c>
      <c r="AC3539" s="118"/>
      <c r="AD3539" s="159">
        <f>+Table1[[#This Row],[SUBTOTAL]]+Table1[[#This Row],[IVA]]-Table1[[#This Row],[RET IVA]]-Table1[[#This Row],[RET ISR]]-Table1[[#This Row],[TOTAL]]</f>
        <v>0</v>
      </c>
      <c r="AE3539" s="150"/>
      <c r="AF3539" s="151"/>
      <c r="AG3539" s="126"/>
      <c r="AK3539" s="306" t="str">
        <f>IF(ISNUMBER(Table1[[#This Row],[FECHA DE RECIBIDO]]), Table1[[#This Row],[FECHA DE RECIBIDO]]-DATE(2023,8,30), "")</f>
        <v/>
      </c>
    </row>
    <row r="3540" spans="1:37" ht="15" customHeight="1">
      <c r="A3540" s="152" t="s">
        <v>4236</v>
      </c>
      <c r="B3540" s="153">
        <v>1208</v>
      </c>
      <c r="C3540" s="126" t="s">
        <v>274</v>
      </c>
      <c r="D3540">
        <v>2445</v>
      </c>
      <c r="E3540" s="126" t="s">
        <v>3354</v>
      </c>
      <c r="F3540" s="125" t="s">
        <v>1371</v>
      </c>
      <c r="G3540" s="125" t="s">
        <v>2065</v>
      </c>
      <c r="H3540">
        <v>454</v>
      </c>
      <c r="I3540" s="125" t="s">
        <v>1546</v>
      </c>
      <c r="J3540" s="308" t="s">
        <v>214</v>
      </c>
      <c r="K3540" s="127" t="s">
        <v>4212</v>
      </c>
      <c r="L3540" s="153" t="s">
        <v>3306</v>
      </c>
      <c r="M3540">
        <v>630</v>
      </c>
      <c r="N3540" s="123">
        <v>1</v>
      </c>
      <c r="O3540">
        <v>1480</v>
      </c>
      <c r="P3540" s="132" t="s">
        <v>77</v>
      </c>
      <c r="Q3540" s="132">
        <v>4990.18</v>
      </c>
      <c r="R3540" s="132">
        <v>638.74</v>
      </c>
      <c r="S3540" s="132"/>
      <c r="T3540" s="156">
        <v>0</v>
      </c>
      <c r="U3540" s="132">
        <v>0</v>
      </c>
      <c r="V3540" s="132">
        <v>5628.92</v>
      </c>
      <c r="W3540">
        <v>242</v>
      </c>
      <c r="X3540" s="153" t="s">
        <v>2035</v>
      </c>
      <c r="Y3540" s="124" t="s">
        <v>55</v>
      </c>
      <c r="Z3540" s="308">
        <v>251</v>
      </c>
      <c r="AB3540" t="str">
        <f>IF(Table1[[#This Row],[TIPO2]]="costo", VLOOKUP(Table1[[#This Row],[PARTIDA PRESUPUESTAL]],'Cost Report'!G:G,1,0),"Balance")</f>
        <v>1302-006</v>
      </c>
      <c r="AC3540" s="118"/>
      <c r="AD3540" s="159">
        <f>+Table1[[#This Row],[SUBTOTAL]]+Table1[[#This Row],[IVA]]-Table1[[#This Row],[RET IVA]]-Table1[[#This Row],[RET ISR]]-Table1[[#This Row],[TOTAL]]</f>
        <v>0</v>
      </c>
      <c r="AE3540" s="152"/>
      <c r="AF3540" s="153"/>
      <c r="AG3540" s="126"/>
      <c r="AK3540" s="306" t="str">
        <f>IF(ISNUMBER(Table1[[#This Row],[FECHA DE RECIBIDO]]), Table1[[#This Row],[FECHA DE RECIBIDO]]-DATE(2023,8,30), "")</f>
        <v/>
      </c>
    </row>
    <row r="3541" spans="1:37" ht="15" customHeight="1">
      <c r="A3541" s="150" t="s">
        <v>4236</v>
      </c>
      <c r="B3541" s="151">
        <v>1208</v>
      </c>
      <c r="C3541" s="126" t="s">
        <v>2160</v>
      </c>
      <c r="D3541">
        <v>2445</v>
      </c>
      <c r="E3541" s="126" t="s">
        <v>3354</v>
      </c>
      <c r="F3541" s="122" t="s">
        <v>1371</v>
      </c>
      <c r="G3541" s="122" t="s">
        <v>2065</v>
      </c>
      <c r="H3541">
        <v>454</v>
      </c>
      <c r="I3541" s="122" t="s">
        <v>1546</v>
      </c>
      <c r="J3541" s="307" t="s">
        <v>214</v>
      </c>
      <c r="K3541" s="127" t="s">
        <v>4212</v>
      </c>
      <c r="L3541" s="151" t="s">
        <v>3306</v>
      </c>
      <c r="M3541">
        <v>630</v>
      </c>
      <c r="N3541" s="123">
        <v>1</v>
      </c>
      <c r="O3541">
        <v>1480</v>
      </c>
      <c r="P3541" s="132" t="s">
        <v>77</v>
      </c>
      <c r="Q3541" s="131">
        <v>34550.85</v>
      </c>
      <c r="R3541" s="131">
        <v>4422.51</v>
      </c>
      <c r="S3541" s="131"/>
      <c r="T3541" s="155">
        <v>0</v>
      </c>
      <c r="U3541" s="131">
        <v>0</v>
      </c>
      <c r="V3541" s="131">
        <v>38973.360000000001</v>
      </c>
      <c r="W3541">
        <v>242</v>
      </c>
      <c r="X3541" s="151" t="s">
        <v>2035</v>
      </c>
      <c r="Y3541" s="135" t="s">
        <v>55</v>
      </c>
      <c r="Z3541" s="307">
        <v>251</v>
      </c>
      <c r="AB3541" t="str">
        <f>IF(Table1[[#This Row],[TIPO2]]="costo", VLOOKUP(Table1[[#This Row],[PARTIDA PRESUPUESTAL]],'Cost Report'!G:G,1,0),"Balance")</f>
        <v>1302-007</v>
      </c>
      <c r="AC3541" s="118"/>
      <c r="AD3541" s="159">
        <f>+Table1[[#This Row],[SUBTOTAL]]+Table1[[#This Row],[IVA]]-Table1[[#This Row],[RET IVA]]-Table1[[#This Row],[RET ISR]]-Table1[[#This Row],[TOTAL]]</f>
        <v>0</v>
      </c>
      <c r="AE3541" s="150"/>
      <c r="AF3541" s="151"/>
      <c r="AG3541" s="126"/>
      <c r="AK3541" s="306" t="str">
        <f>IF(ISNUMBER(Table1[[#This Row],[FECHA DE RECIBIDO]]), Table1[[#This Row],[FECHA DE RECIBIDO]]-DATE(2023,8,30), "")</f>
        <v/>
      </c>
    </row>
    <row r="3542" spans="1:37" ht="15" customHeight="1">
      <c r="A3542" s="152" t="s">
        <v>4236</v>
      </c>
      <c r="B3542" s="153">
        <v>1208</v>
      </c>
      <c r="C3542" s="126" t="s">
        <v>2161</v>
      </c>
      <c r="D3542">
        <v>2445</v>
      </c>
      <c r="E3542" s="126" t="s">
        <v>3354</v>
      </c>
      <c r="F3542" s="125" t="s">
        <v>1371</v>
      </c>
      <c r="G3542" s="125" t="s">
        <v>2065</v>
      </c>
      <c r="H3542">
        <v>454</v>
      </c>
      <c r="I3542" s="125" t="s">
        <v>1546</v>
      </c>
      <c r="J3542" s="308" t="s">
        <v>214</v>
      </c>
      <c r="K3542" s="127" t="s">
        <v>4212</v>
      </c>
      <c r="L3542" s="153" t="s">
        <v>3306</v>
      </c>
      <c r="M3542">
        <v>630</v>
      </c>
      <c r="N3542" s="123">
        <v>1</v>
      </c>
      <c r="O3542">
        <v>1480</v>
      </c>
      <c r="P3542" s="132" t="s">
        <v>77</v>
      </c>
      <c r="Q3542" s="132">
        <v>2666.72</v>
      </c>
      <c r="R3542" s="132">
        <v>341.34</v>
      </c>
      <c r="S3542" s="132"/>
      <c r="T3542" s="156">
        <v>0</v>
      </c>
      <c r="U3542" s="132">
        <v>0</v>
      </c>
      <c r="V3542" s="132">
        <v>3008.06</v>
      </c>
      <c r="W3542">
        <v>242</v>
      </c>
      <c r="X3542" s="153" t="s">
        <v>2035</v>
      </c>
      <c r="Y3542" s="124" t="s">
        <v>55</v>
      </c>
      <c r="Z3542" s="308">
        <v>251</v>
      </c>
      <c r="AB3542" t="str">
        <f>IF(Table1[[#This Row],[TIPO2]]="costo", VLOOKUP(Table1[[#This Row],[PARTIDA PRESUPUESTAL]],'Cost Report'!G:G,1,0),"Balance")</f>
        <v>1302-008</v>
      </c>
      <c r="AC3542" s="118"/>
      <c r="AD3542" s="159">
        <f>+Table1[[#This Row],[SUBTOTAL]]+Table1[[#This Row],[IVA]]-Table1[[#This Row],[RET IVA]]-Table1[[#This Row],[RET ISR]]-Table1[[#This Row],[TOTAL]]</f>
        <v>0</v>
      </c>
      <c r="AE3542" s="152"/>
      <c r="AF3542" s="153"/>
      <c r="AG3542" s="126"/>
      <c r="AK3542" s="306" t="str">
        <f>IF(ISNUMBER(Table1[[#This Row],[FECHA DE RECIBIDO]]), Table1[[#This Row],[FECHA DE RECIBIDO]]-DATE(2023,8,30), "")</f>
        <v/>
      </c>
    </row>
    <row r="3543" spans="1:37" ht="15" customHeight="1">
      <c r="A3543" s="150"/>
      <c r="B3543" s="151">
        <v>1209</v>
      </c>
      <c r="C3543" s="126" t="s">
        <v>279</v>
      </c>
      <c r="D3543">
        <v>2446</v>
      </c>
      <c r="E3543" s="126" t="s">
        <v>3354</v>
      </c>
      <c r="F3543" s="122" t="s">
        <v>1371</v>
      </c>
      <c r="G3543" s="122" t="s">
        <v>2065</v>
      </c>
      <c r="H3543">
        <v>454</v>
      </c>
      <c r="I3543" s="122" t="s">
        <v>1546</v>
      </c>
      <c r="J3543" s="307" t="s">
        <v>214</v>
      </c>
      <c r="K3543" s="127" t="s">
        <v>4212</v>
      </c>
      <c r="L3543" s="151" t="s">
        <v>3306</v>
      </c>
      <c r="M3543">
        <v>630</v>
      </c>
      <c r="N3543" s="123">
        <v>1</v>
      </c>
      <c r="O3543">
        <v>1481</v>
      </c>
      <c r="P3543" s="132" t="s">
        <v>77</v>
      </c>
      <c r="Q3543" s="131">
        <v>22082.04</v>
      </c>
      <c r="R3543" s="131">
        <v>2826.5</v>
      </c>
      <c r="S3543" s="131"/>
      <c r="T3543" s="155">
        <v>0</v>
      </c>
      <c r="U3543" s="131">
        <v>0</v>
      </c>
      <c r="V3543" s="131">
        <v>24908.54</v>
      </c>
      <c r="W3543">
        <v>242</v>
      </c>
      <c r="X3543" s="151" t="s">
        <v>2035</v>
      </c>
      <c r="Y3543" s="135" t="s">
        <v>55</v>
      </c>
      <c r="Z3543" s="307">
        <v>251</v>
      </c>
      <c r="AB3543" t="str">
        <f>IF(Table1[[#This Row],[TIPO2]]="costo", VLOOKUP(Table1[[#This Row],[PARTIDA PRESUPUESTAL]],'Cost Report'!G:G,1,0),"Balance")</f>
        <v>1401-003</v>
      </c>
      <c r="AC3543" s="118"/>
      <c r="AD3543" s="159">
        <f>+Table1[[#This Row],[SUBTOTAL]]+Table1[[#This Row],[IVA]]-Table1[[#This Row],[RET IVA]]-Table1[[#This Row],[RET ISR]]-Table1[[#This Row],[TOTAL]]</f>
        <v>0</v>
      </c>
      <c r="AE3543" s="150"/>
      <c r="AF3543" s="151"/>
      <c r="AG3543" s="126"/>
      <c r="AK3543" s="306" t="str">
        <f>IF(ISNUMBER(Table1[[#This Row],[FECHA DE RECIBIDO]]), Table1[[#This Row],[FECHA DE RECIBIDO]]-DATE(2023,8,30), "")</f>
        <v/>
      </c>
    </row>
    <row r="3544" spans="1:37" ht="15" customHeight="1">
      <c r="A3544" s="152"/>
      <c r="B3544" s="153">
        <v>1209</v>
      </c>
      <c r="C3544" s="126" t="s">
        <v>282</v>
      </c>
      <c r="D3544">
        <v>2446</v>
      </c>
      <c r="E3544" s="126" t="s">
        <v>3354</v>
      </c>
      <c r="F3544" s="125" t="s">
        <v>1371</v>
      </c>
      <c r="G3544" s="125" t="s">
        <v>2065</v>
      </c>
      <c r="H3544">
        <v>454</v>
      </c>
      <c r="I3544" s="125" t="s">
        <v>1546</v>
      </c>
      <c r="J3544" s="308" t="s">
        <v>214</v>
      </c>
      <c r="K3544" s="127" t="s">
        <v>4212</v>
      </c>
      <c r="L3544" s="153" t="s">
        <v>3306</v>
      </c>
      <c r="M3544">
        <v>630</v>
      </c>
      <c r="N3544" s="123">
        <v>1</v>
      </c>
      <c r="O3544">
        <v>1481</v>
      </c>
      <c r="P3544" s="132" t="s">
        <v>77</v>
      </c>
      <c r="Q3544" s="132">
        <v>7360.68</v>
      </c>
      <c r="R3544" s="132">
        <v>942.17</v>
      </c>
      <c r="S3544" s="132"/>
      <c r="T3544" s="156">
        <v>0</v>
      </c>
      <c r="U3544" s="132">
        <v>0</v>
      </c>
      <c r="V3544" s="132">
        <v>8302.85</v>
      </c>
      <c r="W3544">
        <v>242</v>
      </c>
      <c r="X3544" s="153" t="s">
        <v>2035</v>
      </c>
      <c r="Y3544" s="124" t="s">
        <v>55</v>
      </c>
      <c r="Z3544" s="308">
        <v>251</v>
      </c>
      <c r="AB3544" t="str">
        <f>IF(Table1[[#This Row],[TIPO2]]="costo", VLOOKUP(Table1[[#This Row],[PARTIDA PRESUPUESTAL]],'Cost Report'!G:G,1,0),"Balance")</f>
        <v>1401-006</v>
      </c>
      <c r="AC3544" s="118"/>
      <c r="AD3544" s="159">
        <f>+Table1[[#This Row],[SUBTOTAL]]+Table1[[#This Row],[IVA]]-Table1[[#This Row],[RET IVA]]-Table1[[#This Row],[RET ISR]]-Table1[[#This Row],[TOTAL]]</f>
        <v>0</v>
      </c>
      <c r="AE3544" s="152"/>
      <c r="AF3544" s="153"/>
      <c r="AG3544" s="126"/>
      <c r="AK3544" s="306" t="str">
        <f>IF(ISNUMBER(Table1[[#This Row],[FECHA DE RECIBIDO]]), Table1[[#This Row],[FECHA DE RECIBIDO]]-DATE(2023,8,30), "")</f>
        <v/>
      </c>
    </row>
    <row r="3545" spans="1:37" ht="15" customHeight="1">
      <c r="A3545" s="150"/>
      <c r="B3545" s="151">
        <v>1209</v>
      </c>
      <c r="C3545" s="126" t="s">
        <v>283</v>
      </c>
      <c r="D3545">
        <v>2446</v>
      </c>
      <c r="E3545" s="126" t="s">
        <v>3354</v>
      </c>
      <c r="F3545" s="122" t="s">
        <v>1371</v>
      </c>
      <c r="G3545" s="122" t="s">
        <v>2065</v>
      </c>
      <c r="H3545">
        <v>454</v>
      </c>
      <c r="I3545" s="122" t="s">
        <v>1546</v>
      </c>
      <c r="J3545" s="307" t="s">
        <v>214</v>
      </c>
      <c r="K3545" s="127" t="s">
        <v>4212</v>
      </c>
      <c r="L3545" s="151" t="s">
        <v>3306</v>
      </c>
      <c r="M3545">
        <v>630</v>
      </c>
      <c r="N3545" s="123">
        <v>1</v>
      </c>
      <c r="O3545">
        <v>1481</v>
      </c>
      <c r="P3545" s="132" t="s">
        <v>77</v>
      </c>
      <c r="Q3545" s="131">
        <v>17846.310000000001</v>
      </c>
      <c r="R3545" s="131">
        <v>2284.33</v>
      </c>
      <c r="S3545" s="131"/>
      <c r="T3545" s="155">
        <v>0</v>
      </c>
      <c r="U3545" s="131">
        <v>0</v>
      </c>
      <c r="V3545" s="131">
        <v>20130.64</v>
      </c>
      <c r="W3545">
        <v>242</v>
      </c>
      <c r="X3545" s="151" t="s">
        <v>2035</v>
      </c>
      <c r="Y3545" s="135" t="s">
        <v>55</v>
      </c>
      <c r="Z3545" s="307">
        <v>251</v>
      </c>
      <c r="AB3545" t="str">
        <f>IF(Table1[[#This Row],[TIPO2]]="costo", VLOOKUP(Table1[[#This Row],[PARTIDA PRESUPUESTAL]],'Cost Report'!G:G,1,0),"Balance")</f>
        <v>1401-007</v>
      </c>
      <c r="AC3545" s="118"/>
      <c r="AD3545" s="159">
        <f>+Table1[[#This Row],[SUBTOTAL]]+Table1[[#This Row],[IVA]]-Table1[[#This Row],[RET IVA]]-Table1[[#This Row],[RET ISR]]-Table1[[#This Row],[TOTAL]]</f>
        <v>0</v>
      </c>
      <c r="AE3545" s="150"/>
      <c r="AF3545" s="151"/>
      <c r="AG3545" s="126"/>
      <c r="AK3545" s="306" t="str">
        <f>IF(ISNUMBER(Table1[[#This Row],[FECHA DE RECIBIDO]]), Table1[[#This Row],[FECHA DE RECIBIDO]]-DATE(2023,8,30), "")</f>
        <v/>
      </c>
    </row>
    <row r="3546" spans="1:37" ht="15" customHeight="1">
      <c r="A3546" s="152"/>
      <c r="B3546" s="153">
        <v>1209</v>
      </c>
      <c r="C3546" s="126" t="s">
        <v>286</v>
      </c>
      <c r="D3546">
        <v>2446</v>
      </c>
      <c r="E3546" s="126" t="s">
        <v>3354</v>
      </c>
      <c r="F3546" s="125" t="s">
        <v>1371</v>
      </c>
      <c r="G3546" s="125" t="s">
        <v>2065</v>
      </c>
      <c r="H3546">
        <v>454</v>
      </c>
      <c r="I3546" s="125" t="s">
        <v>1546</v>
      </c>
      <c r="J3546" s="308" t="s">
        <v>214</v>
      </c>
      <c r="K3546" s="127" t="s">
        <v>4212</v>
      </c>
      <c r="L3546" s="153" t="s">
        <v>3306</v>
      </c>
      <c r="M3546">
        <v>630</v>
      </c>
      <c r="N3546" s="123">
        <v>1</v>
      </c>
      <c r="O3546">
        <v>1481</v>
      </c>
      <c r="P3546" s="132" t="s">
        <v>77</v>
      </c>
      <c r="Q3546" s="132">
        <v>25762.38</v>
      </c>
      <c r="R3546" s="132">
        <v>3297.58</v>
      </c>
      <c r="S3546" s="132"/>
      <c r="T3546" s="156">
        <v>0</v>
      </c>
      <c r="U3546" s="132">
        <v>0</v>
      </c>
      <c r="V3546" s="132">
        <v>29059.96</v>
      </c>
      <c r="W3546">
        <v>242</v>
      </c>
      <c r="X3546" s="153" t="s">
        <v>2035</v>
      </c>
      <c r="Y3546" s="124" t="s">
        <v>55</v>
      </c>
      <c r="Z3546" s="308">
        <v>251</v>
      </c>
      <c r="AB3546" t="str">
        <f>IF(Table1[[#This Row],[TIPO2]]="costo", VLOOKUP(Table1[[#This Row],[PARTIDA PRESUPUESTAL]],'Cost Report'!G:G,1,0),"Balance")</f>
        <v>1401-012</v>
      </c>
      <c r="AC3546" s="118"/>
      <c r="AD3546" s="159">
        <f>+Table1[[#This Row],[SUBTOTAL]]+Table1[[#This Row],[IVA]]-Table1[[#This Row],[RET IVA]]-Table1[[#This Row],[RET ISR]]-Table1[[#This Row],[TOTAL]]</f>
        <v>0</v>
      </c>
      <c r="AE3546" s="152"/>
      <c r="AF3546" s="153"/>
      <c r="AG3546" s="126"/>
      <c r="AK3546" s="306" t="str">
        <f>IF(ISNUMBER(Table1[[#This Row],[FECHA DE RECIBIDO]]), Table1[[#This Row],[FECHA DE RECIBIDO]]-DATE(2023,8,30), "")</f>
        <v/>
      </c>
    </row>
    <row r="3547" spans="1:37" ht="15" customHeight="1">
      <c r="A3547" s="150"/>
      <c r="B3547" s="151">
        <v>1209</v>
      </c>
      <c r="C3547" s="126" t="s">
        <v>289</v>
      </c>
      <c r="D3547">
        <v>2446</v>
      </c>
      <c r="E3547" s="126" t="s">
        <v>3354</v>
      </c>
      <c r="F3547" s="122" t="s">
        <v>1371</v>
      </c>
      <c r="G3547" s="122" t="s">
        <v>2065</v>
      </c>
      <c r="H3547">
        <v>454</v>
      </c>
      <c r="I3547" s="122" t="s">
        <v>1546</v>
      </c>
      <c r="J3547" s="307" t="s">
        <v>214</v>
      </c>
      <c r="K3547" s="127" t="s">
        <v>4212</v>
      </c>
      <c r="L3547" s="151" t="s">
        <v>3306</v>
      </c>
      <c r="M3547">
        <v>630</v>
      </c>
      <c r="N3547" s="123">
        <v>1</v>
      </c>
      <c r="O3547">
        <v>1481</v>
      </c>
      <c r="P3547" s="132" t="s">
        <v>77</v>
      </c>
      <c r="Q3547" s="131">
        <v>3680.34</v>
      </c>
      <c r="R3547" s="131">
        <v>471.08</v>
      </c>
      <c r="S3547" s="131"/>
      <c r="T3547" s="155">
        <v>0</v>
      </c>
      <c r="U3547" s="131">
        <v>0</v>
      </c>
      <c r="V3547" s="131">
        <v>4151.42</v>
      </c>
      <c r="W3547">
        <v>242</v>
      </c>
      <c r="X3547" s="151" t="s">
        <v>2035</v>
      </c>
      <c r="Y3547" s="135" t="s">
        <v>55</v>
      </c>
      <c r="Z3547" s="307">
        <v>251</v>
      </c>
      <c r="AB3547" t="str">
        <f>IF(Table1[[#This Row],[TIPO2]]="costo", VLOOKUP(Table1[[#This Row],[PARTIDA PRESUPUESTAL]],'Cost Report'!G:G,1,0),"Balance")</f>
        <v>1401-015</v>
      </c>
      <c r="AC3547" s="118"/>
      <c r="AD3547" s="159">
        <f>+Table1[[#This Row],[SUBTOTAL]]+Table1[[#This Row],[IVA]]-Table1[[#This Row],[RET IVA]]-Table1[[#This Row],[RET ISR]]-Table1[[#This Row],[TOTAL]]</f>
        <v>0</v>
      </c>
      <c r="AE3547" s="150"/>
      <c r="AF3547" s="151"/>
      <c r="AG3547" s="126"/>
      <c r="AK3547" s="306" t="str">
        <f>IF(ISNUMBER(Table1[[#This Row],[FECHA DE RECIBIDO]]), Table1[[#This Row],[FECHA DE RECIBIDO]]-DATE(2023,8,30), "")</f>
        <v/>
      </c>
    </row>
    <row r="3548" spans="1:37" ht="15" customHeight="1">
      <c r="A3548" s="152"/>
      <c r="B3548" s="153">
        <v>1209</v>
      </c>
      <c r="C3548" s="126" t="s">
        <v>290</v>
      </c>
      <c r="D3548">
        <v>2446</v>
      </c>
      <c r="E3548" s="126" t="s">
        <v>3354</v>
      </c>
      <c r="F3548" s="125" t="s">
        <v>1371</v>
      </c>
      <c r="G3548" s="125" t="s">
        <v>2065</v>
      </c>
      <c r="H3548">
        <v>454</v>
      </c>
      <c r="I3548" s="125" t="s">
        <v>1546</v>
      </c>
      <c r="J3548" s="308" t="s">
        <v>214</v>
      </c>
      <c r="K3548" s="127" t="s">
        <v>4212</v>
      </c>
      <c r="L3548" s="153" t="s">
        <v>3306</v>
      </c>
      <c r="M3548">
        <v>630</v>
      </c>
      <c r="N3548" s="123">
        <v>1</v>
      </c>
      <c r="O3548">
        <v>1481</v>
      </c>
      <c r="P3548" s="132" t="s">
        <v>77</v>
      </c>
      <c r="Q3548" s="132">
        <v>24205.34</v>
      </c>
      <c r="R3548" s="132">
        <v>3098.28</v>
      </c>
      <c r="S3548" s="132"/>
      <c r="T3548" s="156">
        <v>0</v>
      </c>
      <c r="U3548" s="132">
        <v>0</v>
      </c>
      <c r="V3548" s="132">
        <v>27303.62</v>
      </c>
      <c r="W3548">
        <v>242</v>
      </c>
      <c r="X3548" s="153" t="s">
        <v>2035</v>
      </c>
      <c r="Y3548" s="124" t="s">
        <v>55</v>
      </c>
      <c r="Z3548" s="308">
        <v>251</v>
      </c>
      <c r="AB3548" t="str">
        <f>IF(Table1[[#This Row],[TIPO2]]="costo", VLOOKUP(Table1[[#This Row],[PARTIDA PRESUPUESTAL]],'Cost Report'!G:G,1,0),"Balance")</f>
        <v>1401-016</v>
      </c>
      <c r="AC3548" s="118"/>
      <c r="AD3548" s="159">
        <f>+Table1[[#This Row],[SUBTOTAL]]+Table1[[#This Row],[IVA]]-Table1[[#This Row],[RET IVA]]-Table1[[#This Row],[RET ISR]]-Table1[[#This Row],[TOTAL]]</f>
        <v>0</v>
      </c>
      <c r="AE3548" s="152"/>
      <c r="AF3548" s="153"/>
      <c r="AG3548" s="126"/>
      <c r="AK3548" s="306" t="str">
        <f>IF(ISNUMBER(Table1[[#This Row],[FECHA DE RECIBIDO]]), Table1[[#This Row],[FECHA DE RECIBIDO]]-DATE(2023,8,30), "")</f>
        <v/>
      </c>
    </row>
    <row r="3549" spans="1:37" ht="15" customHeight="1">
      <c r="A3549" s="150"/>
      <c r="B3549" s="151">
        <v>1209</v>
      </c>
      <c r="C3549" s="126" t="s">
        <v>293</v>
      </c>
      <c r="D3549">
        <v>2446</v>
      </c>
      <c r="E3549" s="126" t="s">
        <v>3354</v>
      </c>
      <c r="F3549" s="122" t="s">
        <v>1371</v>
      </c>
      <c r="G3549" s="122" t="s">
        <v>2065</v>
      </c>
      <c r="H3549">
        <v>454</v>
      </c>
      <c r="I3549" s="122" t="s">
        <v>1546</v>
      </c>
      <c r="J3549" s="307" t="s">
        <v>214</v>
      </c>
      <c r="K3549" s="127" t="s">
        <v>4212</v>
      </c>
      <c r="L3549" s="151" t="s">
        <v>3306</v>
      </c>
      <c r="M3549">
        <v>630</v>
      </c>
      <c r="N3549" s="123">
        <v>1</v>
      </c>
      <c r="O3549">
        <v>1481</v>
      </c>
      <c r="P3549" s="132" t="s">
        <v>77</v>
      </c>
      <c r="Q3549" s="131">
        <v>22082.04</v>
      </c>
      <c r="R3549" s="131">
        <v>2826.5</v>
      </c>
      <c r="S3549" s="131"/>
      <c r="T3549" s="155">
        <v>0</v>
      </c>
      <c r="U3549" s="131">
        <v>0</v>
      </c>
      <c r="V3549" s="131">
        <v>24908.54</v>
      </c>
      <c r="W3549">
        <v>242</v>
      </c>
      <c r="X3549" s="151" t="s">
        <v>2035</v>
      </c>
      <c r="Y3549" s="135" t="s">
        <v>55</v>
      </c>
      <c r="Z3549" s="307">
        <v>251</v>
      </c>
      <c r="AB3549" t="str">
        <f>IF(Table1[[#This Row],[TIPO2]]="costo", VLOOKUP(Table1[[#This Row],[PARTIDA PRESUPUESTAL]],'Cost Report'!G:G,1,0),"Balance")</f>
        <v>1401-021</v>
      </c>
      <c r="AC3549" s="118"/>
      <c r="AD3549" s="159">
        <f>+Table1[[#This Row],[SUBTOTAL]]+Table1[[#This Row],[IVA]]-Table1[[#This Row],[RET IVA]]-Table1[[#This Row],[RET ISR]]-Table1[[#This Row],[TOTAL]]</f>
        <v>0</v>
      </c>
      <c r="AE3549" s="150"/>
      <c r="AF3549" s="151"/>
      <c r="AG3549" s="126"/>
      <c r="AK3549" s="306" t="str">
        <f>IF(ISNUMBER(Table1[[#This Row],[FECHA DE RECIBIDO]]), Table1[[#This Row],[FECHA DE RECIBIDO]]-DATE(2023,8,30), "")</f>
        <v/>
      </c>
    </row>
    <row r="3550" spans="1:37" ht="15" customHeight="1">
      <c r="A3550" s="152"/>
      <c r="B3550" s="153">
        <v>1209</v>
      </c>
      <c r="C3550" s="126" t="s">
        <v>296</v>
      </c>
      <c r="D3550">
        <v>2446</v>
      </c>
      <c r="E3550" s="126" t="s">
        <v>3354</v>
      </c>
      <c r="F3550" s="125" t="s">
        <v>1371</v>
      </c>
      <c r="G3550" s="125" t="s">
        <v>2065</v>
      </c>
      <c r="H3550">
        <v>454</v>
      </c>
      <c r="I3550" s="125" t="s">
        <v>1546</v>
      </c>
      <c r="J3550" s="308" t="s">
        <v>214</v>
      </c>
      <c r="K3550" s="127" t="s">
        <v>4212</v>
      </c>
      <c r="L3550" s="153" t="s">
        <v>3306</v>
      </c>
      <c r="M3550">
        <v>630</v>
      </c>
      <c r="N3550" s="123">
        <v>1</v>
      </c>
      <c r="O3550">
        <v>1481</v>
      </c>
      <c r="P3550" s="132" t="s">
        <v>77</v>
      </c>
      <c r="Q3550" s="132">
        <v>3680.34</v>
      </c>
      <c r="R3550" s="132">
        <v>471.08</v>
      </c>
      <c r="S3550" s="132"/>
      <c r="T3550" s="156">
        <v>0</v>
      </c>
      <c r="U3550" s="132">
        <v>0</v>
      </c>
      <c r="V3550" s="132">
        <v>4151.42</v>
      </c>
      <c r="W3550">
        <v>242</v>
      </c>
      <c r="X3550" s="153" t="s">
        <v>2035</v>
      </c>
      <c r="Y3550" s="124" t="s">
        <v>55</v>
      </c>
      <c r="Z3550" s="308">
        <v>251</v>
      </c>
      <c r="AB3550" t="str">
        <f>IF(Table1[[#This Row],[TIPO2]]="costo", VLOOKUP(Table1[[#This Row],[PARTIDA PRESUPUESTAL]],'Cost Report'!G:G,1,0),"Balance")</f>
        <v>1401-024</v>
      </c>
      <c r="AC3550" s="118"/>
      <c r="AD3550" s="159">
        <f>+Table1[[#This Row],[SUBTOTAL]]+Table1[[#This Row],[IVA]]-Table1[[#This Row],[RET IVA]]-Table1[[#This Row],[RET ISR]]-Table1[[#This Row],[TOTAL]]</f>
        <v>0</v>
      </c>
      <c r="AE3550" s="152"/>
      <c r="AF3550" s="153"/>
      <c r="AG3550" s="126"/>
      <c r="AK3550" s="306" t="str">
        <f>IF(ISNUMBER(Table1[[#This Row],[FECHA DE RECIBIDO]]), Table1[[#This Row],[FECHA DE RECIBIDO]]-DATE(2023,8,30), "")</f>
        <v/>
      </c>
    </row>
    <row r="3551" spans="1:37" ht="15" customHeight="1">
      <c r="A3551" s="150"/>
      <c r="B3551" s="151">
        <v>1209</v>
      </c>
      <c r="C3551" s="126" t="s">
        <v>297</v>
      </c>
      <c r="D3551">
        <v>2446</v>
      </c>
      <c r="E3551" s="126" t="s">
        <v>3354</v>
      </c>
      <c r="F3551" s="122" t="s">
        <v>1371</v>
      </c>
      <c r="G3551" s="122" t="s">
        <v>2065</v>
      </c>
      <c r="H3551">
        <v>454</v>
      </c>
      <c r="I3551" s="122" t="s">
        <v>1546</v>
      </c>
      <c r="J3551" s="307" t="s">
        <v>214</v>
      </c>
      <c r="K3551" s="127" t="s">
        <v>4212</v>
      </c>
      <c r="L3551" s="151" t="s">
        <v>3306</v>
      </c>
      <c r="M3551">
        <v>630</v>
      </c>
      <c r="N3551" s="123">
        <v>1</v>
      </c>
      <c r="O3551">
        <v>1481</v>
      </c>
      <c r="P3551" s="132" t="s">
        <v>77</v>
      </c>
      <c r="Q3551" s="131">
        <v>11487</v>
      </c>
      <c r="R3551" s="131">
        <v>1470.34</v>
      </c>
      <c r="S3551" s="131"/>
      <c r="T3551" s="155">
        <v>0</v>
      </c>
      <c r="U3551" s="131">
        <v>0</v>
      </c>
      <c r="V3551" s="131">
        <v>12957.34</v>
      </c>
      <c r="W3551">
        <v>242</v>
      </c>
      <c r="X3551" s="151" t="s">
        <v>2035</v>
      </c>
      <c r="Y3551" s="135" t="s">
        <v>55</v>
      </c>
      <c r="Z3551" s="307">
        <v>251</v>
      </c>
      <c r="AB3551" t="str">
        <f>IF(Table1[[#This Row],[TIPO2]]="costo", VLOOKUP(Table1[[#This Row],[PARTIDA PRESUPUESTAL]],'Cost Report'!G:G,1,0),"Balance")</f>
        <v>1401-025</v>
      </c>
      <c r="AC3551" s="118"/>
      <c r="AD3551" s="159">
        <f>+Table1[[#This Row],[SUBTOTAL]]+Table1[[#This Row],[IVA]]-Table1[[#This Row],[RET IVA]]-Table1[[#This Row],[RET ISR]]-Table1[[#This Row],[TOTAL]]</f>
        <v>0</v>
      </c>
      <c r="AE3551" s="150"/>
      <c r="AF3551" s="151"/>
      <c r="AG3551" s="126"/>
      <c r="AK3551" s="306" t="str">
        <f>IF(ISNUMBER(Table1[[#This Row],[FECHA DE RECIBIDO]]), Table1[[#This Row],[FECHA DE RECIBIDO]]-DATE(2023,8,30), "")</f>
        <v/>
      </c>
    </row>
    <row r="3552" spans="1:37" ht="15" customHeight="1">
      <c r="A3552" s="152"/>
      <c r="B3552" s="153">
        <v>1209</v>
      </c>
      <c r="C3552" s="126" t="s">
        <v>300</v>
      </c>
      <c r="D3552">
        <v>2446</v>
      </c>
      <c r="E3552" s="126" t="s">
        <v>3354</v>
      </c>
      <c r="F3552" s="125" t="s">
        <v>1371</v>
      </c>
      <c r="G3552" s="125" t="s">
        <v>2065</v>
      </c>
      <c r="H3552">
        <v>454</v>
      </c>
      <c r="I3552" s="125" t="s">
        <v>1546</v>
      </c>
      <c r="J3552" s="308" t="s">
        <v>214</v>
      </c>
      <c r="K3552" s="127" t="s">
        <v>4212</v>
      </c>
      <c r="L3552" s="153" t="s">
        <v>3306</v>
      </c>
      <c r="M3552">
        <v>630</v>
      </c>
      <c r="N3552" s="123">
        <v>1</v>
      </c>
      <c r="O3552">
        <v>1481</v>
      </c>
      <c r="P3552" s="132" t="s">
        <v>77</v>
      </c>
      <c r="Q3552" s="132">
        <v>22082.04</v>
      </c>
      <c r="R3552" s="132">
        <v>2826.5</v>
      </c>
      <c r="S3552" s="132"/>
      <c r="T3552" s="156">
        <v>0</v>
      </c>
      <c r="U3552" s="132">
        <v>0</v>
      </c>
      <c r="V3552" s="132">
        <v>24908.54</v>
      </c>
      <c r="W3552">
        <v>242</v>
      </c>
      <c r="X3552" s="153" t="s">
        <v>2035</v>
      </c>
      <c r="Y3552" s="124" t="s">
        <v>55</v>
      </c>
      <c r="Z3552" s="308">
        <v>251</v>
      </c>
      <c r="AB3552" t="str">
        <f>IF(Table1[[#This Row],[TIPO2]]="costo", VLOOKUP(Table1[[#This Row],[PARTIDA PRESUPUESTAL]],'Cost Report'!G:G,1,0),"Balance")</f>
        <v>1401-030</v>
      </c>
      <c r="AC3552" s="118"/>
      <c r="AD3552" s="159">
        <f>+Table1[[#This Row],[SUBTOTAL]]+Table1[[#This Row],[IVA]]-Table1[[#This Row],[RET IVA]]-Table1[[#This Row],[RET ISR]]-Table1[[#This Row],[TOTAL]]</f>
        <v>0</v>
      </c>
      <c r="AE3552" s="152"/>
      <c r="AF3552" s="153"/>
      <c r="AG3552" s="126"/>
      <c r="AK3552" s="306" t="str">
        <f>IF(ISNUMBER(Table1[[#This Row],[FECHA DE RECIBIDO]]), Table1[[#This Row],[FECHA DE RECIBIDO]]-DATE(2023,8,30), "")</f>
        <v/>
      </c>
    </row>
    <row r="3553" spans="1:37" ht="15" customHeight="1">
      <c r="A3553" s="150"/>
      <c r="B3553" s="151">
        <v>1209</v>
      </c>
      <c r="C3553" s="126" t="s">
        <v>301</v>
      </c>
      <c r="D3553">
        <v>2446</v>
      </c>
      <c r="E3553" s="126" t="s">
        <v>3354</v>
      </c>
      <c r="F3553" s="122" t="s">
        <v>1371</v>
      </c>
      <c r="G3553" s="122" t="s">
        <v>2065</v>
      </c>
      <c r="H3553">
        <v>454</v>
      </c>
      <c r="I3553" s="122" t="s">
        <v>1546</v>
      </c>
      <c r="J3553" s="307" t="s">
        <v>214</v>
      </c>
      <c r="K3553" s="127" t="s">
        <v>4212</v>
      </c>
      <c r="L3553" s="151" t="s">
        <v>3306</v>
      </c>
      <c r="M3553">
        <v>630</v>
      </c>
      <c r="N3553" s="123">
        <v>1</v>
      </c>
      <c r="O3553">
        <v>1481</v>
      </c>
      <c r="P3553" s="132" t="s">
        <v>77</v>
      </c>
      <c r="Q3553" s="131">
        <v>3680.34</v>
      </c>
      <c r="R3553" s="131">
        <v>471.08</v>
      </c>
      <c r="S3553" s="131"/>
      <c r="T3553" s="155">
        <v>0</v>
      </c>
      <c r="U3553" s="131">
        <v>0</v>
      </c>
      <c r="V3553" s="131">
        <v>4151.42</v>
      </c>
      <c r="W3553">
        <v>242</v>
      </c>
      <c r="X3553" s="151" t="s">
        <v>2035</v>
      </c>
      <c r="Y3553" s="135" t="s">
        <v>55</v>
      </c>
      <c r="Z3553" s="307">
        <v>251</v>
      </c>
      <c r="AB3553" t="str">
        <f>IF(Table1[[#This Row],[TIPO2]]="costo", VLOOKUP(Table1[[#This Row],[PARTIDA PRESUPUESTAL]],'Cost Report'!G:G,1,0),"Balance")</f>
        <v>1401-031</v>
      </c>
      <c r="AC3553" s="118"/>
      <c r="AD3553" s="159">
        <f>+Table1[[#This Row],[SUBTOTAL]]+Table1[[#This Row],[IVA]]-Table1[[#This Row],[RET IVA]]-Table1[[#This Row],[RET ISR]]-Table1[[#This Row],[TOTAL]]</f>
        <v>0</v>
      </c>
      <c r="AE3553" s="150"/>
      <c r="AF3553" s="151"/>
      <c r="AG3553" s="126"/>
      <c r="AK3553" s="306" t="str">
        <f>IF(ISNUMBER(Table1[[#This Row],[FECHA DE RECIBIDO]]), Table1[[#This Row],[FECHA DE RECIBIDO]]-DATE(2023,8,30), "")</f>
        <v/>
      </c>
    </row>
    <row r="3554" spans="1:37" ht="15" customHeight="1">
      <c r="A3554" s="152"/>
      <c r="B3554" s="153">
        <v>1209</v>
      </c>
      <c r="C3554" s="126" t="s">
        <v>302</v>
      </c>
      <c r="D3554">
        <v>2446</v>
      </c>
      <c r="E3554" s="126" t="s">
        <v>3354</v>
      </c>
      <c r="F3554" s="125" t="s">
        <v>1371</v>
      </c>
      <c r="G3554" s="125" t="s">
        <v>2065</v>
      </c>
      <c r="H3554">
        <v>454</v>
      </c>
      <c r="I3554" s="125" t="s">
        <v>1546</v>
      </c>
      <c r="J3554" s="308" t="s">
        <v>214</v>
      </c>
      <c r="K3554" s="127" t="s">
        <v>4212</v>
      </c>
      <c r="L3554" s="153" t="s">
        <v>3306</v>
      </c>
      <c r="M3554">
        <v>630</v>
      </c>
      <c r="N3554" s="123">
        <v>1</v>
      </c>
      <c r="O3554">
        <v>1481</v>
      </c>
      <c r="P3554" s="132" t="s">
        <v>77</v>
      </c>
      <c r="Q3554" s="132">
        <v>24615</v>
      </c>
      <c r="R3554" s="132">
        <v>3150.72</v>
      </c>
      <c r="S3554" s="132"/>
      <c r="T3554" s="156">
        <v>0</v>
      </c>
      <c r="U3554" s="132">
        <v>0</v>
      </c>
      <c r="V3554" s="132">
        <v>27765.72</v>
      </c>
      <c r="W3554">
        <v>242</v>
      </c>
      <c r="X3554" s="153" t="s">
        <v>2035</v>
      </c>
      <c r="Y3554" s="124" t="s">
        <v>55</v>
      </c>
      <c r="Z3554" s="308">
        <v>251</v>
      </c>
      <c r="AB3554" t="str">
        <f>IF(Table1[[#This Row],[TIPO2]]="costo", VLOOKUP(Table1[[#This Row],[PARTIDA PRESUPUESTAL]],'Cost Report'!G:G,1,0),"Balance")</f>
        <v>1401-032</v>
      </c>
      <c r="AC3554" s="118"/>
      <c r="AD3554" s="159">
        <f>+Table1[[#This Row],[SUBTOTAL]]+Table1[[#This Row],[IVA]]-Table1[[#This Row],[RET IVA]]-Table1[[#This Row],[RET ISR]]-Table1[[#This Row],[TOTAL]]</f>
        <v>0</v>
      </c>
      <c r="AE3554" s="152"/>
      <c r="AF3554" s="153"/>
      <c r="AG3554" s="126"/>
      <c r="AK3554" s="306" t="str">
        <f>IF(ISNUMBER(Table1[[#This Row],[FECHA DE RECIBIDO]]), Table1[[#This Row],[FECHA DE RECIBIDO]]-DATE(2023,8,30), "")</f>
        <v/>
      </c>
    </row>
    <row r="3555" spans="1:37" ht="15" customHeight="1">
      <c r="A3555" s="150"/>
      <c r="B3555" s="151">
        <v>1209</v>
      </c>
      <c r="C3555" s="126" t="s">
        <v>305</v>
      </c>
      <c r="D3555">
        <v>2446</v>
      </c>
      <c r="E3555" s="126" t="s">
        <v>3354</v>
      </c>
      <c r="F3555" s="122" t="s">
        <v>1371</v>
      </c>
      <c r="G3555" s="122" t="s">
        <v>2065</v>
      </c>
      <c r="H3555">
        <v>454</v>
      </c>
      <c r="I3555" s="122" t="s">
        <v>1546</v>
      </c>
      <c r="J3555" s="307" t="s">
        <v>214</v>
      </c>
      <c r="K3555" s="127" t="s">
        <v>4212</v>
      </c>
      <c r="L3555" s="151" t="s">
        <v>3306</v>
      </c>
      <c r="M3555">
        <v>630</v>
      </c>
      <c r="N3555" s="123">
        <v>1</v>
      </c>
      <c r="O3555">
        <v>1481</v>
      </c>
      <c r="P3555" s="132" t="s">
        <v>77</v>
      </c>
      <c r="Q3555" s="131">
        <v>22082.04</v>
      </c>
      <c r="R3555" s="131">
        <v>2826.5</v>
      </c>
      <c r="S3555" s="131"/>
      <c r="T3555" s="155">
        <v>0</v>
      </c>
      <c r="U3555" s="131">
        <v>0</v>
      </c>
      <c r="V3555" s="131">
        <v>24908.54</v>
      </c>
      <c r="W3555">
        <v>242</v>
      </c>
      <c r="X3555" s="151" t="s">
        <v>2035</v>
      </c>
      <c r="Y3555" s="135" t="s">
        <v>55</v>
      </c>
      <c r="Z3555" s="307">
        <v>251</v>
      </c>
      <c r="AB3555" t="str">
        <f>IF(Table1[[#This Row],[TIPO2]]="costo", VLOOKUP(Table1[[#This Row],[PARTIDA PRESUPUESTAL]],'Cost Report'!G:G,1,0),"Balance")</f>
        <v>1401-037</v>
      </c>
      <c r="AC3555" s="118"/>
      <c r="AD3555" s="159">
        <f>+Table1[[#This Row],[SUBTOTAL]]+Table1[[#This Row],[IVA]]-Table1[[#This Row],[RET IVA]]-Table1[[#This Row],[RET ISR]]-Table1[[#This Row],[TOTAL]]</f>
        <v>0</v>
      </c>
      <c r="AE3555" s="150"/>
      <c r="AF3555" s="151"/>
      <c r="AG3555" s="126"/>
      <c r="AK3555" s="306" t="str">
        <f>IF(ISNUMBER(Table1[[#This Row],[FECHA DE RECIBIDO]]), Table1[[#This Row],[FECHA DE RECIBIDO]]-DATE(2023,8,30), "")</f>
        <v/>
      </c>
    </row>
    <row r="3556" spans="1:37" ht="15" customHeight="1">
      <c r="A3556" s="152"/>
      <c r="B3556" s="153">
        <v>1209</v>
      </c>
      <c r="C3556" s="126" t="s">
        <v>306</v>
      </c>
      <c r="D3556">
        <v>2446</v>
      </c>
      <c r="E3556" s="126" t="s">
        <v>3354</v>
      </c>
      <c r="F3556" s="125" t="s">
        <v>1371</v>
      </c>
      <c r="G3556" s="125" t="s">
        <v>2065</v>
      </c>
      <c r="H3556">
        <v>454</v>
      </c>
      <c r="I3556" s="125" t="s">
        <v>1546</v>
      </c>
      <c r="J3556" s="308" t="s">
        <v>214</v>
      </c>
      <c r="K3556" s="127" t="s">
        <v>4212</v>
      </c>
      <c r="L3556" s="153" t="s">
        <v>3306</v>
      </c>
      <c r="M3556">
        <v>630</v>
      </c>
      <c r="N3556" s="123">
        <v>1</v>
      </c>
      <c r="O3556">
        <v>1481</v>
      </c>
      <c r="P3556" s="132" t="s">
        <v>77</v>
      </c>
      <c r="Q3556" s="132">
        <v>3680.34</v>
      </c>
      <c r="R3556" s="132">
        <v>471.08</v>
      </c>
      <c r="S3556" s="132"/>
      <c r="T3556" s="156">
        <v>0</v>
      </c>
      <c r="U3556" s="132">
        <v>0</v>
      </c>
      <c r="V3556" s="132">
        <v>4151.42</v>
      </c>
      <c r="W3556">
        <v>242</v>
      </c>
      <c r="X3556" s="153" t="s">
        <v>2035</v>
      </c>
      <c r="Y3556" s="124" t="s">
        <v>55</v>
      </c>
      <c r="Z3556" s="308">
        <v>251</v>
      </c>
      <c r="AB3556" t="str">
        <f>IF(Table1[[#This Row],[TIPO2]]="costo", VLOOKUP(Table1[[#This Row],[PARTIDA PRESUPUESTAL]],'Cost Report'!G:G,1,0),"Balance")</f>
        <v>1401-038</v>
      </c>
      <c r="AC3556" s="118"/>
      <c r="AD3556" s="159">
        <f>+Table1[[#This Row],[SUBTOTAL]]+Table1[[#This Row],[IVA]]-Table1[[#This Row],[RET IVA]]-Table1[[#This Row],[RET ISR]]-Table1[[#This Row],[TOTAL]]</f>
        <v>0</v>
      </c>
      <c r="AE3556" s="152"/>
      <c r="AF3556" s="153"/>
      <c r="AG3556" s="126"/>
      <c r="AK3556" s="306" t="str">
        <f>IF(ISNUMBER(Table1[[#This Row],[FECHA DE RECIBIDO]]), Table1[[#This Row],[FECHA DE RECIBIDO]]-DATE(2023,8,30), "")</f>
        <v/>
      </c>
    </row>
    <row r="3557" spans="1:37" ht="15" customHeight="1">
      <c r="A3557" s="150"/>
      <c r="B3557" s="151">
        <v>1209</v>
      </c>
      <c r="C3557" s="126" t="s">
        <v>307</v>
      </c>
      <c r="D3557">
        <v>2446</v>
      </c>
      <c r="E3557" s="126" t="s">
        <v>3354</v>
      </c>
      <c r="F3557" s="122" t="s">
        <v>1371</v>
      </c>
      <c r="G3557" s="122" t="s">
        <v>2065</v>
      </c>
      <c r="H3557">
        <v>454</v>
      </c>
      <c r="I3557" s="122" t="s">
        <v>1546</v>
      </c>
      <c r="J3557" s="307" t="s">
        <v>214</v>
      </c>
      <c r="K3557" s="127" t="s">
        <v>4212</v>
      </c>
      <c r="L3557" s="151" t="s">
        <v>3306</v>
      </c>
      <c r="M3557">
        <v>630</v>
      </c>
      <c r="N3557" s="123">
        <v>1</v>
      </c>
      <c r="O3557">
        <v>1481</v>
      </c>
      <c r="P3557" s="132" t="s">
        <v>77</v>
      </c>
      <c r="Q3557" s="131">
        <v>6974.42</v>
      </c>
      <c r="R3557" s="131">
        <v>892.73</v>
      </c>
      <c r="S3557" s="131"/>
      <c r="T3557" s="155">
        <v>0</v>
      </c>
      <c r="U3557" s="131">
        <v>0</v>
      </c>
      <c r="V3557" s="131">
        <v>7867.15</v>
      </c>
      <c r="W3557">
        <v>242</v>
      </c>
      <c r="X3557" s="151" t="s">
        <v>2035</v>
      </c>
      <c r="Y3557" s="135" t="s">
        <v>55</v>
      </c>
      <c r="Z3557" s="307">
        <v>251</v>
      </c>
      <c r="AB3557" t="str">
        <f>IF(Table1[[#This Row],[TIPO2]]="costo", VLOOKUP(Table1[[#This Row],[PARTIDA PRESUPUESTAL]],'Cost Report'!G:G,1,0),"Balance")</f>
        <v>1401-039</v>
      </c>
      <c r="AC3557" s="118"/>
      <c r="AD3557" s="159">
        <f>+Table1[[#This Row],[SUBTOTAL]]+Table1[[#This Row],[IVA]]-Table1[[#This Row],[RET IVA]]-Table1[[#This Row],[RET ISR]]-Table1[[#This Row],[TOTAL]]</f>
        <v>0</v>
      </c>
      <c r="AE3557" s="150"/>
      <c r="AF3557" s="151"/>
      <c r="AG3557" s="126"/>
      <c r="AK3557" s="306" t="str">
        <f>IF(ISNUMBER(Table1[[#This Row],[FECHA DE RECIBIDO]]), Table1[[#This Row],[FECHA DE RECIBIDO]]-DATE(2023,8,30), "")</f>
        <v/>
      </c>
    </row>
    <row r="3558" spans="1:37" ht="15" customHeight="1">
      <c r="A3558" s="152"/>
      <c r="B3558" s="153">
        <v>1209</v>
      </c>
      <c r="C3558" s="126" t="s">
        <v>2170</v>
      </c>
      <c r="D3558">
        <v>2446</v>
      </c>
      <c r="E3558" s="126" t="s">
        <v>3354</v>
      </c>
      <c r="F3558" s="125" t="s">
        <v>1371</v>
      </c>
      <c r="G3558" s="125" t="s">
        <v>2065</v>
      </c>
      <c r="H3558">
        <v>454</v>
      </c>
      <c r="I3558" s="125" t="s">
        <v>1546</v>
      </c>
      <c r="J3558" s="308" t="s">
        <v>214</v>
      </c>
      <c r="K3558" s="127" t="s">
        <v>4212</v>
      </c>
      <c r="L3558" s="153" t="s">
        <v>3306</v>
      </c>
      <c r="M3558">
        <v>630</v>
      </c>
      <c r="N3558" s="123">
        <v>1</v>
      </c>
      <c r="O3558">
        <v>1481</v>
      </c>
      <c r="P3558" s="132" t="s">
        <v>77</v>
      </c>
      <c r="Q3558" s="132">
        <v>55205.1</v>
      </c>
      <c r="R3558" s="132">
        <v>7066.25</v>
      </c>
      <c r="S3558" s="132"/>
      <c r="T3558" s="156">
        <v>0</v>
      </c>
      <c r="U3558" s="132">
        <v>0</v>
      </c>
      <c r="V3558" s="132">
        <v>62271.35</v>
      </c>
      <c r="W3558">
        <v>242</v>
      </c>
      <c r="X3558" s="153" t="s">
        <v>2035</v>
      </c>
      <c r="Y3558" s="124" t="s">
        <v>55</v>
      </c>
      <c r="Z3558" s="308">
        <v>251</v>
      </c>
      <c r="AB3558" t="str">
        <f>IF(Table1[[#This Row],[TIPO2]]="costo", VLOOKUP(Table1[[#This Row],[PARTIDA PRESUPUESTAL]],'Cost Report'!G:G,1,0),"Balance")</f>
        <v>1401-051</v>
      </c>
      <c r="AC3558" s="118"/>
      <c r="AD3558" s="159">
        <f>+Table1[[#This Row],[SUBTOTAL]]+Table1[[#This Row],[IVA]]-Table1[[#This Row],[RET IVA]]-Table1[[#This Row],[RET ISR]]-Table1[[#This Row],[TOTAL]]</f>
        <v>0</v>
      </c>
      <c r="AE3558" s="152"/>
      <c r="AF3558" s="153"/>
      <c r="AG3558" s="126"/>
      <c r="AK3558" s="306" t="str">
        <f>IF(ISNUMBER(Table1[[#This Row],[FECHA DE RECIBIDO]]), Table1[[#This Row],[FECHA DE RECIBIDO]]-DATE(2023,8,30), "")</f>
        <v/>
      </c>
    </row>
    <row r="3559" spans="1:37" ht="15" customHeight="1">
      <c r="A3559" s="150"/>
      <c r="B3559" s="151">
        <v>1209</v>
      </c>
      <c r="C3559" s="126" t="s">
        <v>2172</v>
      </c>
      <c r="D3559">
        <v>2446</v>
      </c>
      <c r="E3559" s="126" t="s">
        <v>3354</v>
      </c>
      <c r="F3559" s="122" t="s">
        <v>1371</v>
      </c>
      <c r="G3559" s="122" t="s">
        <v>2065</v>
      </c>
      <c r="H3559">
        <v>454</v>
      </c>
      <c r="I3559" s="122" t="s">
        <v>1546</v>
      </c>
      <c r="J3559" s="307" t="s">
        <v>214</v>
      </c>
      <c r="K3559" s="127" t="s">
        <v>4212</v>
      </c>
      <c r="L3559" s="151" t="s">
        <v>3306</v>
      </c>
      <c r="M3559">
        <v>630</v>
      </c>
      <c r="N3559" s="123">
        <v>1</v>
      </c>
      <c r="O3559">
        <v>1481</v>
      </c>
      <c r="P3559" s="132" t="s">
        <v>77</v>
      </c>
      <c r="Q3559" s="131">
        <v>33134.65</v>
      </c>
      <c r="R3559" s="131">
        <v>4241.24</v>
      </c>
      <c r="S3559" s="131"/>
      <c r="T3559" s="155">
        <v>0</v>
      </c>
      <c r="U3559" s="131">
        <v>0</v>
      </c>
      <c r="V3559" s="131">
        <v>37375.89</v>
      </c>
      <c r="W3559">
        <v>242</v>
      </c>
      <c r="X3559" s="151" t="s">
        <v>2035</v>
      </c>
      <c r="Y3559" s="135" t="s">
        <v>55</v>
      </c>
      <c r="Z3559" s="307">
        <v>251</v>
      </c>
      <c r="AB3559" t="str">
        <f>IF(Table1[[#This Row],[TIPO2]]="costo", VLOOKUP(Table1[[#This Row],[PARTIDA PRESUPUESTAL]],'Cost Report'!G:G,1,0),"Balance")</f>
        <v>1401-053</v>
      </c>
      <c r="AC3559" s="118"/>
      <c r="AD3559" s="159">
        <f>+Table1[[#This Row],[SUBTOTAL]]+Table1[[#This Row],[IVA]]-Table1[[#This Row],[RET IVA]]-Table1[[#This Row],[RET ISR]]-Table1[[#This Row],[TOTAL]]</f>
        <v>0</v>
      </c>
      <c r="AE3559" s="150"/>
      <c r="AF3559" s="151"/>
      <c r="AG3559" s="126"/>
      <c r="AK3559" s="306" t="str">
        <f>IF(ISNUMBER(Table1[[#This Row],[FECHA DE RECIBIDO]]), Table1[[#This Row],[FECHA DE RECIBIDO]]-DATE(2023,8,30), "")</f>
        <v/>
      </c>
    </row>
    <row r="3560" spans="1:37" ht="15" customHeight="1">
      <c r="A3560" s="152"/>
      <c r="B3560" s="153">
        <v>1209</v>
      </c>
      <c r="C3560" s="126" t="s">
        <v>2175</v>
      </c>
      <c r="D3560">
        <v>2446</v>
      </c>
      <c r="E3560" s="126" t="s">
        <v>3354</v>
      </c>
      <c r="F3560" s="125" t="s">
        <v>1371</v>
      </c>
      <c r="G3560" s="125" t="s">
        <v>2065</v>
      </c>
      <c r="H3560">
        <v>454</v>
      </c>
      <c r="I3560" s="125" t="s">
        <v>1546</v>
      </c>
      <c r="J3560" s="308" t="s">
        <v>214</v>
      </c>
      <c r="K3560" s="127" t="s">
        <v>4212</v>
      </c>
      <c r="L3560" s="153" t="s">
        <v>3306</v>
      </c>
      <c r="M3560">
        <v>630</v>
      </c>
      <c r="N3560" s="123">
        <v>1</v>
      </c>
      <c r="O3560">
        <v>1481</v>
      </c>
      <c r="P3560" s="132" t="s">
        <v>77</v>
      </c>
      <c r="Q3560" s="132">
        <v>33123.06</v>
      </c>
      <c r="R3560" s="132">
        <v>4239.75</v>
      </c>
      <c r="S3560" s="132"/>
      <c r="T3560" s="156">
        <v>0</v>
      </c>
      <c r="U3560" s="132">
        <v>0</v>
      </c>
      <c r="V3560" s="132">
        <v>37362.81</v>
      </c>
      <c r="W3560">
        <v>242</v>
      </c>
      <c r="X3560" s="153" t="s">
        <v>2035</v>
      </c>
      <c r="Y3560" s="124" t="s">
        <v>55</v>
      </c>
      <c r="Z3560" s="308">
        <v>251</v>
      </c>
      <c r="AB3560" t="str">
        <f>IF(Table1[[#This Row],[TIPO2]]="costo", VLOOKUP(Table1[[#This Row],[PARTIDA PRESUPUESTAL]],'Cost Report'!G:G,1,0),"Balance")</f>
        <v>1401-058</v>
      </c>
      <c r="AC3560" s="118"/>
      <c r="AD3560" s="159">
        <f>+Table1[[#This Row],[SUBTOTAL]]+Table1[[#This Row],[IVA]]-Table1[[#This Row],[RET IVA]]-Table1[[#This Row],[RET ISR]]-Table1[[#This Row],[TOTAL]]</f>
        <v>0</v>
      </c>
      <c r="AE3560" s="152"/>
      <c r="AF3560" s="153"/>
      <c r="AG3560" s="126"/>
      <c r="AK3560" s="306" t="str">
        <f>IF(ISNUMBER(Table1[[#This Row],[FECHA DE RECIBIDO]]), Table1[[#This Row],[FECHA DE RECIBIDO]]-DATE(2023,8,30), "")</f>
        <v/>
      </c>
    </row>
    <row r="3561" spans="1:37" ht="15" customHeight="1">
      <c r="A3561" s="150"/>
      <c r="B3561" s="151">
        <v>1209</v>
      </c>
      <c r="C3561" s="126" t="s">
        <v>2176</v>
      </c>
      <c r="D3561">
        <v>2446</v>
      </c>
      <c r="E3561" s="126" t="s">
        <v>3354</v>
      </c>
      <c r="F3561" s="122" t="s">
        <v>1371</v>
      </c>
      <c r="G3561" s="122" t="s">
        <v>2065</v>
      </c>
      <c r="H3561">
        <v>454</v>
      </c>
      <c r="I3561" s="122" t="s">
        <v>1546</v>
      </c>
      <c r="J3561" s="307" t="s">
        <v>214</v>
      </c>
      <c r="K3561" s="127" t="s">
        <v>4212</v>
      </c>
      <c r="L3561" s="151" t="s">
        <v>3306</v>
      </c>
      <c r="M3561">
        <v>630</v>
      </c>
      <c r="N3561" s="123">
        <v>1</v>
      </c>
      <c r="O3561">
        <v>1481</v>
      </c>
      <c r="P3561" s="132" t="s">
        <v>77</v>
      </c>
      <c r="Q3561" s="131">
        <v>3680.34</v>
      </c>
      <c r="R3561" s="131">
        <v>471.08</v>
      </c>
      <c r="S3561" s="131"/>
      <c r="T3561" s="155">
        <v>0</v>
      </c>
      <c r="U3561" s="131">
        <v>0</v>
      </c>
      <c r="V3561" s="131">
        <v>4151.42</v>
      </c>
      <c r="W3561">
        <v>242</v>
      </c>
      <c r="X3561" s="151" t="s">
        <v>2035</v>
      </c>
      <c r="Y3561" s="135" t="s">
        <v>55</v>
      </c>
      <c r="Z3561" s="307">
        <v>251</v>
      </c>
      <c r="AB3561" t="str">
        <f>IF(Table1[[#This Row],[TIPO2]]="costo", VLOOKUP(Table1[[#This Row],[PARTIDA PRESUPUESTAL]],'Cost Report'!G:G,1,0),"Balance")</f>
        <v>1401-059</v>
      </c>
      <c r="AC3561" s="118"/>
      <c r="AD3561" s="159">
        <f>+Table1[[#This Row],[SUBTOTAL]]+Table1[[#This Row],[IVA]]-Table1[[#This Row],[RET IVA]]-Table1[[#This Row],[RET ISR]]-Table1[[#This Row],[TOTAL]]</f>
        <v>0</v>
      </c>
      <c r="AE3561" s="150"/>
      <c r="AF3561" s="151"/>
      <c r="AG3561" s="126"/>
      <c r="AK3561" s="306" t="str">
        <f>IF(ISNUMBER(Table1[[#This Row],[FECHA DE RECIBIDO]]), Table1[[#This Row],[FECHA DE RECIBIDO]]-DATE(2023,8,30), "")</f>
        <v/>
      </c>
    </row>
    <row r="3562" spans="1:37" ht="15" customHeight="1">
      <c r="A3562" s="152"/>
      <c r="B3562" s="153">
        <v>1209</v>
      </c>
      <c r="C3562" s="126" t="s">
        <v>2177</v>
      </c>
      <c r="D3562">
        <v>2446</v>
      </c>
      <c r="E3562" s="126" t="s">
        <v>3354</v>
      </c>
      <c r="F3562" s="125" t="s">
        <v>1371</v>
      </c>
      <c r="G3562" s="125" t="s">
        <v>2065</v>
      </c>
      <c r="H3562">
        <v>454</v>
      </c>
      <c r="I3562" s="125" t="s">
        <v>1546</v>
      </c>
      <c r="J3562" s="308" t="s">
        <v>214</v>
      </c>
      <c r="K3562" s="127" t="s">
        <v>4212</v>
      </c>
      <c r="L3562" s="153" t="s">
        <v>3306</v>
      </c>
      <c r="M3562">
        <v>630</v>
      </c>
      <c r="N3562" s="123">
        <v>1</v>
      </c>
      <c r="O3562">
        <v>1481</v>
      </c>
      <c r="P3562" s="132" t="s">
        <v>77</v>
      </c>
      <c r="Q3562" s="132">
        <v>4102.6000000000004</v>
      </c>
      <c r="R3562" s="132">
        <v>525.13</v>
      </c>
      <c r="S3562" s="132"/>
      <c r="T3562" s="156">
        <v>0</v>
      </c>
      <c r="U3562" s="132">
        <v>0</v>
      </c>
      <c r="V3562" s="132">
        <v>4627.7300000000005</v>
      </c>
      <c r="W3562">
        <v>242</v>
      </c>
      <c r="X3562" s="153" t="s">
        <v>2035</v>
      </c>
      <c r="Y3562" s="124" t="s">
        <v>55</v>
      </c>
      <c r="Z3562" s="308">
        <v>251</v>
      </c>
      <c r="AB3562" t="str">
        <f>IF(Table1[[#This Row],[TIPO2]]="costo", VLOOKUP(Table1[[#This Row],[PARTIDA PRESUPUESTAL]],'Cost Report'!G:G,1,0),"Balance")</f>
        <v>1401-060</v>
      </c>
      <c r="AC3562" s="118"/>
      <c r="AD3562" s="159">
        <f>+Table1[[#This Row],[SUBTOTAL]]+Table1[[#This Row],[IVA]]-Table1[[#This Row],[RET IVA]]-Table1[[#This Row],[RET ISR]]-Table1[[#This Row],[TOTAL]]</f>
        <v>0</v>
      </c>
      <c r="AE3562" s="152"/>
      <c r="AF3562" s="153"/>
      <c r="AG3562" s="126"/>
      <c r="AK3562" s="306" t="str">
        <f>IF(ISNUMBER(Table1[[#This Row],[FECHA DE RECIBIDO]]), Table1[[#This Row],[FECHA DE RECIBIDO]]-DATE(2023,8,30), "")</f>
        <v/>
      </c>
    </row>
    <row r="3563" spans="1:37" ht="15" customHeight="1">
      <c r="A3563" s="150"/>
      <c r="B3563" s="151">
        <v>1209</v>
      </c>
      <c r="C3563" s="126" t="s">
        <v>2180</v>
      </c>
      <c r="D3563">
        <v>2446</v>
      </c>
      <c r="E3563" s="126" t="s">
        <v>3354</v>
      </c>
      <c r="F3563" s="122" t="s">
        <v>1371</v>
      </c>
      <c r="G3563" s="122" t="s">
        <v>2065</v>
      </c>
      <c r="H3563">
        <v>454</v>
      </c>
      <c r="I3563" s="122" t="s">
        <v>1546</v>
      </c>
      <c r="J3563" s="307" t="s">
        <v>214</v>
      </c>
      <c r="K3563" s="127" t="s">
        <v>4212</v>
      </c>
      <c r="L3563" s="151" t="s">
        <v>3306</v>
      </c>
      <c r="M3563">
        <v>630</v>
      </c>
      <c r="N3563" s="123">
        <v>1</v>
      </c>
      <c r="O3563">
        <v>1481</v>
      </c>
      <c r="P3563" s="132" t="s">
        <v>77</v>
      </c>
      <c r="Q3563" s="131">
        <v>25762.38</v>
      </c>
      <c r="R3563" s="131">
        <v>3297.58</v>
      </c>
      <c r="S3563" s="131"/>
      <c r="T3563" s="155">
        <v>0</v>
      </c>
      <c r="U3563" s="131">
        <v>0</v>
      </c>
      <c r="V3563" s="131">
        <v>29059.96</v>
      </c>
      <c r="W3563">
        <v>242</v>
      </c>
      <c r="X3563" s="151" t="s">
        <v>2035</v>
      </c>
      <c r="Y3563" s="135" t="s">
        <v>55</v>
      </c>
      <c r="Z3563" s="307">
        <v>251</v>
      </c>
      <c r="AB3563" t="str">
        <f>IF(Table1[[#This Row],[TIPO2]]="costo", VLOOKUP(Table1[[#This Row],[PARTIDA PRESUPUESTAL]],'Cost Report'!G:G,1,0),"Balance")</f>
        <v>1401-065</v>
      </c>
      <c r="AC3563" s="118"/>
      <c r="AD3563" s="159">
        <f>+Table1[[#This Row],[SUBTOTAL]]+Table1[[#This Row],[IVA]]-Table1[[#This Row],[RET IVA]]-Table1[[#This Row],[RET ISR]]-Table1[[#This Row],[TOTAL]]</f>
        <v>0</v>
      </c>
      <c r="AE3563" s="150"/>
      <c r="AF3563" s="151"/>
      <c r="AG3563" s="126"/>
      <c r="AK3563" s="306" t="str">
        <f>IF(ISNUMBER(Table1[[#This Row],[FECHA DE RECIBIDO]]), Table1[[#This Row],[FECHA DE RECIBIDO]]-DATE(2023,8,30), "")</f>
        <v/>
      </c>
    </row>
    <row r="3564" spans="1:37" ht="15" customHeight="1">
      <c r="A3564" s="152"/>
      <c r="B3564" s="153">
        <v>1209</v>
      </c>
      <c r="C3564" s="126" t="s">
        <v>2181</v>
      </c>
      <c r="D3564">
        <v>2446</v>
      </c>
      <c r="E3564" s="126" t="s">
        <v>3354</v>
      </c>
      <c r="F3564" s="125" t="s">
        <v>1371</v>
      </c>
      <c r="G3564" s="125" t="s">
        <v>2065</v>
      </c>
      <c r="H3564">
        <v>454</v>
      </c>
      <c r="I3564" s="125" t="s">
        <v>1546</v>
      </c>
      <c r="J3564" s="308" t="s">
        <v>214</v>
      </c>
      <c r="K3564" s="127" t="s">
        <v>4212</v>
      </c>
      <c r="L3564" s="153" t="s">
        <v>3306</v>
      </c>
      <c r="M3564">
        <v>630</v>
      </c>
      <c r="N3564" s="123">
        <v>1</v>
      </c>
      <c r="O3564">
        <v>1481</v>
      </c>
      <c r="P3564" s="132" t="s">
        <v>77</v>
      </c>
      <c r="Q3564" s="132">
        <v>3680.34</v>
      </c>
      <c r="R3564" s="132">
        <v>471.08</v>
      </c>
      <c r="S3564" s="132"/>
      <c r="T3564" s="156">
        <v>0</v>
      </c>
      <c r="U3564" s="132">
        <v>0</v>
      </c>
      <c r="V3564" s="132">
        <v>4151.42</v>
      </c>
      <c r="W3564">
        <v>242</v>
      </c>
      <c r="X3564" s="153" t="s">
        <v>2035</v>
      </c>
      <c r="Y3564" s="124" t="s">
        <v>55</v>
      </c>
      <c r="Z3564" s="308">
        <v>251</v>
      </c>
      <c r="AB3564" t="str">
        <f>IF(Table1[[#This Row],[TIPO2]]="costo", VLOOKUP(Table1[[#This Row],[PARTIDA PRESUPUESTAL]],'Cost Report'!G:G,1,0),"Balance")</f>
        <v>1401-066</v>
      </c>
      <c r="AC3564" s="118"/>
      <c r="AD3564" s="159">
        <f>+Table1[[#This Row],[SUBTOTAL]]+Table1[[#This Row],[IVA]]-Table1[[#This Row],[RET IVA]]-Table1[[#This Row],[RET ISR]]-Table1[[#This Row],[TOTAL]]</f>
        <v>0</v>
      </c>
      <c r="AE3564" s="152"/>
      <c r="AF3564" s="153"/>
      <c r="AG3564" s="126"/>
      <c r="AK3564" s="306" t="str">
        <f>IF(ISNUMBER(Table1[[#This Row],[FECHA DE RECIBIDO]]), Table1[[#This Row],[FECHA DE RECIBIDO]]-DATE(2023,8,30), "")</f>
        <v/>
      </c>
    </row>
    <row r="3565" spans="1:37" ht="15" customHeight="1">
      <c r="A3565" s="150"/>
      <c r="B3565" s="151">
        <v>1209</v>
      </c>
      <c r="C3565" s="126" t="s">
        <v>2182</v>
      </c>
      <c r="D3565">
        <v>2446</v>
      </c>
      <c r="E3565" s="126" t="s">
        <v>3354</v>
      </c>
      <c r="F3565" s="122" t="s">
        <v>1371</v>
      </c>
      <c r="G3565" s="122" t="s">
        <v>2065</v>
      </c>
      <c r="H3565">
        <v>454</v>
      </c>
      <c r="I3565" s="122" t="s">
        <v>1546</v>
      </c>
      <c r="J3565" s="307" t="s">
        <v>214</v>
      </c>
      <c r="K3565" s="127" t="s">
        <v>4212</v>
      </c>
      <c r="L3565" s="151" t="s">
        <v>3306</v>
      </c>
      <c r="M3565">
        <v>630</v>
      </c>
      <c r="N3565" s="123">
        <v>1</v>
      </c>
      <c r="O3565">
        <v>1481</v>
      </c>
      <c r="P3565" s="132" t="s">
        <v>77</v>
      </c>
      <c r="Q3565" s="131">
        <v>3282.08</v>
      </c>
      <c r="R3565" s="131">
        <v>420.11</v>
      </c>
      <c r="S3565" s="131"/>
      <c r="T3565" s="155">
        <v>0</v>
      </c>
      <c r="U3565" s="131">
        <v>0</v>
      </c>
      <c r="V3565" s="131">
        <v>3702.19</v>
      </c>
      <c r="W3565">
        <v>242</v>
      </c>
      <c r="X3565" s="151" t="s">
        <v>2035</v>
      </c>
      <c r="Y3565" s="135" t="s">
        <v>55</v>
      </c>
      <c r="Z3565" s="307">
        <v>251</v>
      </c>
      <c r="AB3565" t="str">
        <f>IF(Table1[[#This Row],[TIPO2]]="costo", VLOOKUP(Table1[[#This Row],[PARTIDA PRESUPUESTAL]],'Cost Report'!G:G,1,0),"Balance")</f>
        <v>1401-067</v>
      </c>
      <c r="AC3565" s="118"/>
      <c r="AD3565" s="159">
        <f>+Table1[[#This Row],[SUBTOTAL]]+Table1[[#This Row],[IVA]]-Table1[[#This Row],[RET IVA]]-Table1[[#This Row],[RET ISR]]-Table1[[#This Row],[TOTAL]]</f>
        <v>0</v>
      </c>
      <c r="AE3565" s="150"/>
      <c r="AF3565" s="151"/>
      <c r="AG3565" s="126"/>
      <c r="AK3565" s="306" t="str">
        <f>IF(ISNUMBER(Table1[[#This Row],[FECHA DE RECIBIDO]]), Table1[[#This Row],[FECHA DE RECIBIDO]]-DATE(2023,8,30), "")</f>
        <v/>
      </c>
    </row>
    <row r="3566" spans="1:37" ht="15" customHeight="1">
      <c r="A3566" s="152"/>
      <c r="B3566" s="153">
        <v>1209</v>
      </c>
      <c r="C3566" s="126" t="s">
        <v>2187</v>
      </c>
      <c r="D3566">
        <v>2446</v>
      </c>
      <c r="E3566" s="126" t="s">
        <v>3354</v>
      </c>
      <c r="F3566" s="125" t="s">
        <v>1371</v>
      </c>
      <c r="G3566" s="125" t="s">
        <v>2065</v>
      </c>
      <c r="H3566">
        <v>454</v>
      </c>
      <c r="I3566" s="125" t="s">
        <v>1546</v>
      </c>
      <c r="J3566" s="308" t="s">
        <v>214</v>
      </c>
      <c r="K3566" s="127" t="s">
        <v>4212</v>
      </c>
      <c r="L3566" s="153" t="s">
        <v>3306</v>
      </c>
      <c r="M3566">
        <v>630</v>
      </c>
      <c r="N3566" s="123">
        <v>1</v>
      </c>
      <c r="O3566">
        <v>1481</v>
      </c>
      <c r="P3566" s="132" t="s">
        <v>77</v>
      </c>
      <c r="Q3566" s="132">
        <v>44689.84</v>
      </c>
      <c r="R3566" s="132">
        <v>5720.3</v>
      </c>
      <c r="S3566" s="132"/>
      <c r="T3566" s="156">
        <v>0</v>
      </c>
      <c r="U3566" s="132">
        <v>0</v>
      </c>
      <c r="V3566" s="132">
        <v>50410.14</v>
      </c>
      <c r="W3566">
        <v>242</v>
      </c>
      <c r="X3566" s="153" t="s">
        <v>2035</v>
      </c>
      <c r="Y3566" s="124" t="s">
        <v>55</v>
      </c>
      <c r="Z3566" s="308">
        <v>251</v>
      </c>
      <c r="AB3566" t="str">
        <f>IF(Table1[[#This Row],[TIPO2]]="costo", VLOOKUP(Table1[[#This Row],[PARTIDA PRESUPUESTAL]],'Cost Report'!G:G,1,0),"Balance")</f>
        <v>1401-076</v>
      </c>
      <c r="AC3566" s="118"/>
      <c r="AD3566" s="159">
        <f>+Table1[[#This Row],[SUBTOTAL]]+Table1[[#This Row],[IVA]]-Table1[[#This Row],[RET IVA]]-Table1[[#This Row],[RET ISR]]-Table1[[#This Row],[TOTAL]]</f>
        <v>0</v>
      </c>
      <c r="AE3566" s="152"/>
      <c r="AF3566" s="153"/>
      <c r="AG3566" s="126"/>
      <c r="AK3566" s="306" t="str">
        <f>IF(ISNUMBER(Table1[[#This Row],[FECHA DE RECIBIDO]]), Table1[[#This Row],[FECHA DE RECIBIDO]]-DATE(2023,8,30), "")</f>
        <v/>
      </c>
    </row>
    <row r="3567" spans="1:37" ht="15" customHeight="1">
      <c r="A3567" s="150"/>
      <c r="B3567" s="151">
        <v>1209</v>
      </c>
      <c r="C3567" s="126" t="s">
        <v>2188</v>
      </c>
      <c r="D3567">
        <v>2446</v>
      </c>
      <c r="E3567" s="126" t="s">
        <v>3354</v>
      </c>
      <c r="F3567" s="122" t="s">
        <v>1371</v>
      </c>
      <c r="G3567" s="122" t="s">
        <v>2065</v>
      </c>
      <c r="H3567">
        <v>454</v>
      </c>
      <c r="I3567" s="122" t="s">
        <v>1546</v>
      </c>
      <c r="J3567" s="307" t="s">
        <v>214</v>
      </c>
      <c r="K3567" s="127" t="s">
        <v>4212</v>
      </c>
      <c r="L3567" s="151" t="s">
        <v>3306</v>
      </c>
      <c r="M3567">
        <v>630</v>
      </c>
      <c r="N3567" s="123">
        <v>1</v>
      </c>
      <c r="O3567">
        <v>1481</v>
      </c>
      <c r="P3567" s="132" t="s">
        <v>77</v>
      </c>
      <c r="Q3567" s="131">
        <v>7360.68</v>
      </c>
      <c r="R3567" s="131">
        <v>942.17</v>
      </c>
      <c r="S3567" s="131"/>
      <c r="T3567" s="155">
        <v>0</v>
      </c>
      <c r="U3567" s="131">
        <v>0</v>
      </c>
      <c r="V3567" s="131">
        <v>8302.85</v>
      </c>
      <c r="W3567">
        <v>242</v>
      </c>
      <c r="X3567" s="151" t="s">
        <v>2035</v>
      </c>
      <c r="Y3567" s="135" t="s">
        <v>55</v>
      </c>
      <c r="Z3567" s="307">
        <v>251</v>
      </c>
      <c r="AB3567" t="str">
        <f>IF(Table1[[#This Row],[TIPO2]]="costo", VLOOKUP(Table1[[#This Row],[PARTIDA PRESUPUESTAL]],'Cost Report'!G:G,1,0),"Balance")</f>
        <v>1401-077</v>
      </c>
      <c r="AC3567" s="118"/>
      <c r="AD3567" s="159">
        <f>+Table1[[#This Row],[SUBTOTAL]]+Table1[[#This Row],[IVA]]-Table1[[#This Row],[RET IVA]]-Table1[[#This Row],[RET ISR]]-Table1[[#This Row],[TOTAL]]</f>
        <v>0</v>
      </c>
      <c r="AE3567" s="150"/>
      <c r="AF3567" s="151"/>
      <c r="AG3567" s="126"/>
      <c r="AK3567" s="306" t="str">
        <f>IF(ISNUMBER(Table1[[#This Row],[FECHA DE RECIBIDO]]), Table1[[#This Row],[FECHA DE RECIBIDO]]-DATE(2023,8,30), "")</f>
        <v/>
      </c>
    </row>
    <row r="3568" spans="1:37" ht="15" customHeight="1">
      <c r="A3568" s="152"/>
      <c r="B3568" s="153">
        <v>1209</v>
      </c>
      <c r="C3568" s="126" t="s">
        <v>2189</v>
      </c>
      <c r="D3568">
        <v>2446</v>
      </c>
      <c r="E3568" s="126" t="s">
        <v>3354</v>
      </c>
      <c r="F3568" s="125" t="s">
        <v>1371</v>
      </c>
      <c r="G3568" s="125" t="s">
        <v>2065</v>
      </c>
      <c r="H3568">
        <v>454</v>
      </c>
      <c r="I3568" s="125" t="s">
        <v>1546</v>
      </c>
      <c r="J3568" s="308" t="s">
        <v>214</v>
      </c>
      <c r="K3568" s="127" t="s">
        <v>4212</v>
      </c>
      <c r="L3568" s="153" t="s">
        <v>3306</v>
      </c>
      <c r="M3568">
        <v>630</v>
      </c>
      <c r="N3568" s="123">
        <v>1</v>
      </c>
      <c r="O3568">
        <v>1481</v>
      </c>
      <c r="P3568" s="132" t="s">
        <v>77</v>
      </c>
      <c r="Q3568" s="132">
        <v>5743.64</v>
      </c>
      <c r="R3568" s="132">
        <v>735.19</v>
      </c>
      <c r="S3568" s="132"/>
      <c r="T3568" s="156">
        <v>0</v>
      </c>
      <c r="U3568" s="132">
        <v>0</v>
      </c>
      <c r="V3568" s="132">
        <v>6478.83</v>
      </c>
      <c r="W3568">
        <v>242</v>
      </c>
      <c r="X3568" s="153" t="s">
        <v>2035</v>
      </c>
      <c r="Y3568" s="124" t="s">
        <v>55</v>
      </c>
      <c r="Z3568" s="308">
        <v>251</v>
      </c>
      <c r="AB3568" t="str">
        <f>IF(Table1[[#This Row],[TIPO2]]="costo", VLOOKUP(Table1[[#This Row],[PARTIDA PRESUPUESTAL]],'Cost Report'!G:G,1,0),"Balance")</f>
        <v>1401-078</v>
      </c>
      <c r="AC3568" s="118"/>
      <c r="AD3568" s="159">
        <f>+Table1[[#This Row],[SUBTOTAL]]+Table1[[#This Row],[IVA]]-Table1[[#This Row],[RET IVA]]-Table1[[#This Row],[RET ISR]]-Table1[[#This Row],[TOTAL]]</f>
        <v>0</v>
      </c>
      <c r="AE3568" s="152"/>
      <c r="AF3568" s="153"/>
      <c r="AG3568" s="126"/>
      <c r="AK3568" s="306" t="str">
        <f>IF(ISNUMBER(Table1[[#This Row],[FECHA DE RECIBIDO]]), Table1[[#This Row],[FECHA DE RECIBIDO]]-DATE(2023,8,30), "")</f>
        <v/>
      </c>
    </row>
    <row r="3569" spans="1:37" ht="15" customHeight="1">
      <c r="A3569" s="150"/>
      <c r="B3569" s="151">
        <v>1209</v>
      </c>
      <c r="C3569" s="126" t="s">
        <v>313</v>
      </c>
      <c r="D3569">
        <v>2446</v>
      </c>
      <c r="E3569" s="126" t="s">
        <v>3354</v>
      </c>
      <c r="F3569" s="122" t="s">
        <v>1371</v>
      </c>
      <c r="G3569" s="122" t="s">
        <v>2065</v>
      </c>
      <c r="H3569">
        <v>454</v>
      </c>
      <c r="I3569" s="122" t="s">
        <v>1546</v>
      </c>
      <c r="J3569" s="307" t="s">
        <v>214</v>
      </c>
      <c r="K3569" s="127" t="s">
        <v>4212</v>
      </c>
      <c r="L3569" s="151" t="s">
        <v>3306</v>
      </c>
      <c r="M3569">
        <v>630</v>
      </c>
      <c r="N3569" s="123">
        <v>1</v>
      </c>
      <c r="O3569">
        <v>1481</v>
      </c>
      <c r="P3569" s="132" t="s">
        <v>77</v>
      </c>
      <c r="Q3569" s="131">
        <v>7360.68</v>
      </c>
      <c r="R3569" s="131">
        <v>942.17</v>
      </c>
      <c r="S3569" s="131"/>
      <c r="T3569" s="155">
        <v>0</v>
      </c>
      <c r="U3569" s="131">
        <v>0</v>
      </c>
      <c r="V3569" s="131">
        <v>8302.85</v>
      </c>
      <c r="W3569">
        <v>242</v>
      </c>
      <c r="X3569" s="151" t="s">
        <v>2035</v>
      </c>
      <c r="Y3569" s="135" t="s">
        <v>55</v>
      </c>
      <c r="Z3569" s="307">
        <v>251</v>
      </c>
      <c r="AB3569" t="str">
        <f>IF(Table1[[#This Row],[TIPO2]]="costo", VLOOKUP(Table1[[#This Row],[PARTIDA PRESUPUESTAL]],'Cost Report'!G:G,1,0),"Balance")</f>
        <v>1403-003</v>
      </c>
      <c r="AC3569" s="118"/>
      <c r="AD3569" s="159">
        <f>+Table1[[#This Row],[SUBTOTAL]]+Table1[[#This Row],[IVA]]-Table1[[#This Row],[RET IVA]]-Table1[[#This Row],[RET ISR]]-Table1[[#This Row],[TOTAL]]</f>
        <v>0</v>
      </c>
      <c r="AE3569" s="150"/>
      <c r="AF3569" s="151"/>
      <c r="AG3569" s="126"/>
      <c r="AK3569" s="306" t="str">
        <f>IF(ISNUMBER(Table1[[#This Row],[FECHA DE RECIBIDO]]), Table1[[#This Row],[FECHA DE RECIBIDO]]-DATE(2023,8,30), "")</f>
        <v/>
      </c>
    </row>
    <row r="3570" spans="1:37" ht="15" customHeight="1">
      <c r="A3570" s="152"/>
      <c r="B3570" s="153">
        <v>1209</v>
      </c>
      <c r="C3570" s="126" t="s">
        <v>328</v>
      </c>
      <c r="D3570">
        <v>2446</v>
      </c>
      <c r="E3570" s="126" t="s">
        <v>3354</v>
      </c>
      <c r="F3570" s="125" t="s">
        <v>1371</v>
      </c>
      <c r="G3570" s="125" t="s">
        <v>2065</v>
      </c>
      <c r="H3570">
        <v>454</v>
      </c>
      <c r="I3570" s="125" t="s">
        <v>1546</v>
      </c>
      <c r="J3570" s="308" t="s">
        <v>214</v>
      </c>
      <c r="K3570" s="127" t="s">
        <v>4212</v>
      </c>
      <c r="L3570" s="153" t="s">
        <v>3306</v>
      </c>
      <c r="M3570">
        <v>630</v>
      </c>
      <c r="N3570" s="123">
        <v>1</v>
      </c>
      <c r="O3570">
        <v>1481</v>
      </c>
      <c r="P3570" s="132" t="s">
        <v>77</v>
      </c>
      <c r="Q3570" s="132">
        <v>21980.2</v>
      </c>
      <c r="R3570" s="132">
        <v>2813.47</v>
      </c>
      <c r="S3570" s="132"/>
      <c r="T3570" s="156">
        <v>0</v>
      </c>
      <c r="U3570" s="132">
        <v>0</v>
      </c>
      <c r="V3570" s="132">
        <v>24793.670000000002</v>
      </c>
      <c r="W3570">
        <v>242</v>
      </c>
      <c r="X3570" s="153" t="s">
        <v>2035</v>
      </c>
      <c r="Y3570" s="124" t="s">
        <v>55</v>
      </c>
      <c r="Z3570" s="308">
        <v>251</v>
      </c>
      <c r="AB3570" t="str">
        <f>IF(Table1[[#This Row],[TIPO2]]="costo", VLOOKUP(Table1[[#This Row],[PARTIDA PRESUPUESTAL]],'Cost Report'!G:G,1,0),"Balance")</f>
        <v>1403-024</v>
      </c>
      <c r="AC3570" s="118"/>
      <c r="AD3570" s="159">
        <f>+Table1[[#This Row],[SUBTOTAL]]+Table1[[#This Row],[IVA]]-Table1[[#This Row],[RET IVA]]-Table1[[#This Row],[RET ISR]]-Table1[[#This Row],[TOTAL]]</f>
        <v>0</v>
      </c>
      <c r="AE3570" s="152"/>
      <c r="AF3570" s="153"/>
      <c r="AG3570" s="126"/>
      <c r="AK3570" s="306" t="str">
        <f>IF(ISNUMBER(Table1[[#This Row],[FECHA DE RECIBIDO]]), Table1[[#This Row],[FECHA DE RECIBIDO]]-DATE(2023,8,30), "")</f>
        <v/>
      </c>
    </row>
    <row r="3571" spans="1:37" ht="15" customHeight="1">
      <c r="A3571" s="150"/>
      <c r="B3571" s="151">
        <v>1209</v>
      </c>
      <c r="C3571" s="126" t="s">
        <v>330</v>
      </c>
      <c r="D3571">
        <v>2446</v>
      </c>
      <c r="E3571" s="126" t="s">
        <v>3354</v>
      </c>
      <c r="F3571" s="122" t="s">
        <v>1371</v>
      </c>
      <c r="G3571" s="122" t="s">
        <v>2065</v>
      </c>
      <c r="H3571">
        <v>454</v>
      </c>
      <c r="I3571" s="122" t="s">
        <v>1546</v>
      </c>
      <c r="J3571" s="307" t="s">
        <v>214</v>
      </c>
      <c r="K3571" s="127" t="s">
        <v>4212</v>
      </c>
      <c r="L3571" s="151" t="s">
        <v>3306</v>
      </c>
      <c r="M3571">
        <v>630</v>
      </c>
      <c r="N3571" s="123">
        <v>1</v>
      </c>
      <c r="O3571">
        <v>1481</v>
      </c>
      <c r="P3571" s="132" t="s">
        <v>77</v>
      </c>
      <c r="Q3571" s="131">
        <v>15691.51</v>
      </c>
      <c r="R3571" s="131">
        <v>2008.51</v>
      </c>
      <c r="S3571" s="131"/>
      <c r="T3571" s="155">
        <v>0</v>
      </c>
      <c r="U3571" s="131">
        <v>0</v>
      </c>
      <c r="V3571" s="131">
        <v>17700.02</v>
      </c>
      <c r="W3571">
        <v>242</v>
      </c>
      <c r="X3571" s="151" t="s">
        <v>2035</v>
      </c>
      <c r="Y3571" s="135" t="s">
        <v>55</v>
      </c>
      <c r="Z3571" s="307">
        <v>251</v>
      </c>
      <c r="AB3571" t="str">
        <f>IF(Table1[[#This Row],[TIPO2]]="costo", VLOOKUP(Table1[[#This Row],[PARTIDA PRESUPUESTAL]],'Cost Report'!G:G,1,0),"Balance")</f>
        <v>1403-026</v>
      </c>
      <c r="AC3571" s="118"/>
      <c r="AD3571" s="159">
        <f>+Table1[[#This Row],[SUBTOTAL]]+Table1[[#This Row],[IVA]]-Table1[[#This Row],[RET IVA]]-Table1[[#This Row],[RET ISR]]-Table1[[#This Row],[TOTAL]]</f>
        <v>0</v>
      </c>
      <c r="AE3571" s="150"/>
      <c r="AF3571" s="151"/>
      <c r="AG3571" s="126"/>
      <c r="AK3571" s="306" t="str">
        <f>IF(ISNUMBER(Table1[[#This Row],[FECHA DE RECIBIDO]]), Table1[[#This Row],[FECHA DE RECIBIDO]]-DATE(2023,8,30), "")</f>
        <v/>
      </c>
    </row>
    <row r="3572" spans="1:37" ht="15" customHeight="1">
      <c r="A3572" s="152"/>
      <c r="B3572" s="153">
        <v>1209</v>
      </c>
      <c r="C3572" s="126" t="s">
        <v>348</v>
      </c>
      <c r="D3572">
        <v>2446</v>
      </c>
      <c r="E3572" s="126" t="s">
        <v>3354</v>
      </c>
      <c r="F3572" s="125" t="s">
        <v>1371</v>
      </c>
      <c r="G3572" s="125" t="s">
        <v>2065</v>
      </c>
      <c r="H3572">
        <v>454</v>
      </c>
      <c r="I3572" s="125" t="s">
        <v>1546</v>
      </c>
      <c r="J3572" s="308" t="s">
        <v>214</v>
      </c>
      <c r="K3572" s="127" t="s">
        <v>4212</v>
      </c>
      <c r="L3572" s="153" t="s">
        <v>3306</v>
      </c>
      <c r="M3572">
        <v>630</v>
      </c>
      <c r="N3572" s="123">
        <v>1</v>
      </c>
      <c r="O3572">
        <v>1481</v>
      </c>
      <c r="P3572" s="132" t="s">
        <v>77</v>
      </c>
      <c r="Q3572" s="132">
        <v>7309.76</v>
      </c>
      <c r="R3572" s="132">
        <v>935.65</v>
      </c>
      <c r="S3572" s="132"/>
      <c r="T3572" s="156">
        <v>0</v>
      </c>
      <c r="U3572" s="132">
        <v>0</v>
      </c>
      <c r="V3572" s="132">
        <v>8245.41</v>
      </c>
      <c r="W3572">
        <v>242</v>
      </c>
      <c r="X3572" s="153" t="s">
        <v>2035</v>
      </c>
      <c r="Y3572" s="124" t="s">
        <v>55</v>
      </c>
      <c r="Z3572" s="308">
        <v>251</v>
      </c>
      <c r="AB3572" t="str">
        <f>IF(Table1[[#This Row],[TIPO2]]="costo", VLOOKUP(Table1[[#This Row],[PARTIDA PRESUPUESTAL]],'Cost Report'!G:G,1,0),"Balance")</f>
        <v>1403-052</v>
      </c>
      <c r="AC3572" s="118"/>
      <c r="AD3572" s="159">
        <f>+Table1[[#This Row],[SUBTOTAL]]+Table1[[#This Row],[IVA]]-Table1[[#This Row],[RET IVA]]-Table1[[#This Row],[RET ISR]]-Table1[[#This Row],[TOTAL]]</f>
        <v>0</v>
      </c>
      <c r="AE3572" s="152"/>
      <c r="AF3572" s="153"/>
      <c r="AG3572" s="126"/>
      <c r="AK3572" s="306" t="str">
        <f>IF(ISNUMBER(Table1[[#This Row],[FECHA DE RECIBIDO]]), Table1[[#This Row],[FECHA DE RECIBIDO]]-DATE(2023,8,30), "")</f>
        <v/>
      </c>
    </row>
    <row r="3573" spans="1:37" ht="15" customHeight="1">
      <c r="A3573" s="150"/>
      <c r="B3573" s="151">
        <v>1209</v>
      </c>
      <c r="C3573" s="126" t="s">
        <v>350</v>
      </c>
      <c r="D3573">
        <v>2446</v>
      </c>
      <c r="E3573" s="126" t="s">
        <v>3354</v>
      </c>
      <c r="F3573" s="122" t="s">
        <v>1371</v>
      </c>
      <c r="G3573" s="122" t="s">
        <v>2065</v>
      </c>
      <c r="H3573">
        <v>454</v>
      </c>
      <c r="I3573" s="122" t="s">
        <v>1546</v>
      </c>
      <c r="J3573" s="307" t="s">
        <v>214</v>
      </c>
      <c r="K3573" s="127" t="s">
        <v>4212</v>
      </c>
      <c r="L3573" s="151" t="s">
        <v>3306</v>
      </c>
      <c r="M3573">
        <v>630</v>
      </c>
      <c r="N3573" s="123">
        <v>1</v>
      </c>
      <c r="O3573">
        <v>1481</v>
      </c>
      <c r="P3573" s="132" t="s">
        <v>77</v>
      </c>
      <c r="Q3573" s="131">
        <v>4887.12</v>
      </c>
      <c r="R3573" s="131">
        <v>625.54999999999995</v>
      </c>
      <c r="S3573" s="131"/>
      <c r="T3573" s="155">
        <v>0</v>
      </c>
      <c r="U3573" s="131">
        <v>0</v>
      </c>
      <c r="V3573" s="131">
        <v>5512.67</v>
      </c>
      <c r="W3573">
        <v>242</v>
      </c>
      <c r="X3573" s="151" t="s">
        <v>2035</v>
      </c>
      <c r="Y3573" s="135" t="s">
        <v>55</v>
      </c>
      <c r="Z3573" s="307">
        <v>251</v>
      </c>
      <c r="AB3573" t="str">
        <f>IF(Table1[[#This Row],[TIPO2]]="costo", VLOOKUP(Table1[[#This Row],[PARTIDA PRESUPUESTAL]],'Cost Report'!G:G,1,0),"Balance")</f>
        <v>1403-054</v>
      </c>
      <c r="AC3573" s="118"/>
      <c r="AD3573" s="159">
        <f>+Table1[[#This Row],[SUBTOTAL]]+Table1[[#This Row],[IVA]]-Table1[[#This Row],[RET IVA]]-Table1[[#This Row],[RET ISR]]-Table1[[#This Row],[TOTAL]]</f>
        <v>0</v>
      </c>
      <c r="AE3573" s="150"/>
      <c r="AF3573" s="151"/>
      <c r="AG3573" s="126"/>
      <c r="AK3573" s="306" t="str">
        <f>IF(ISNUMBER(Table1[[#This Row],[FECHA DE RECIBIDO]]), Table1[[#This Row],[FECHA DE RECIBIDO]]-DATE(2023,8,30), "")</f>
        <v/>
      </c>
    </row>
    <row r="3574" spans="1:37" ht="15" customHeight="1">
      <c r="A3574" s="152"/>
      <c r="B3574" s="153">
        <v>1209</v>
      </c>
      <c r="C3574" s="126" t="s">
        <v>2192</v>
      </c>
      <c r="D3574">
        <v>2446</v>
      </c>
      <c r="E3574" s="126" t="s">
        <v>3354</v>
      </c>
      <c r="F3574" s="125" t="s">
        <v>1371</v>
      </c>
      <c r="G3574" s="125" t="s">
        <v>2065</v>
      </c>
      <c r="H3574">
        <v>454</v>
      </c>
      <c r="I3574" s="125" t="s">
        <v>1546</v>
      </c>
      <c r="J3574" s="308" t="s">
        <v>214</v>
      </c>
      <c r="K3574" s="127" t="s">
        <v>4212</v>
      </c>
      <c r="L3574" s="153" t="s">
        <v>3306</v>
      </c>
      <c r="M3574">
        <v>630</v>
      </c>
      <c r="N3574" s="123">
        <v>1</v>
      </c>
      <c r="O3574">
        <v>1481</v>
      </c>
      <c r="P3574" s="132" t="s">
        <v>77</v>
      </c>
      <c r="Q3574" s="132">
        <v>7360.68</v>
      </c>
      <c r="R3574" s="132">
        <v>942.17</v>
      </c>
      <c r="S3574" s="132"/>
      <c r="T3574" s="156">
        <v>0</v>
      </c>
      <c r="U3574" s="132">
        <v>0</v>
      </c>
      <c r="V3574" s="132">
        <v>8302.85</v>
      </c>
      <c r="W3574">
        <v>242</v>
      </c>
      <c r="X3574" s="153" t="s">
        <v>2035</v>
      </c>
      <c r="Y3574" s="124" t="s">
        <v>55</v>
      </c>
      <c r="Z3574" s="308">
        <v>251</v>
      </c>
      <c r="AB3574" t="str">
        <f>IF(Table1[[#This Row],[TIPO2]]="costo", VLOOKUP(Table1[[#This Row],[PARTIDA PRESUPUESTAL]],'Cost Report'!G:G,1,0),"Balance")</f>
        <v>1403-059</v>
      </c>
      <c r="AC3574" s="118"/>
      <c r="AD3574" s="159">
        <f>+Table1[[#This Row],[SUBTOTAL]]+Table1[[#This Row],[IVA]]-Table1[[#This Row],[RET IVA]]-Table1[[#This Row],[RET ISR]]-Table1[[#This Row],[TOTAL]]</f>
        <v>0</v>
      </c>
      <c r="AE3574" s="152"/>
      <c r="AF3574" s="153"/>
      <c r="AG3574" s="126"/>
      <c r="AK3574" s="306" t="str">
        <f>IF(ISNUMBER(Table1[[#This Row],[FECHA DE RECIBIDO]]), Table1[[#This Row],[FECHA DE RECIBIDO]]-DATE(2023,8,30), "")</f>
        <v/>
      </c>
    </row>
    <row r="3575" spans="1:37" ht="15" customHeight="1">
      <c r="A3575" s="150"/>
      <c r="B3575" s="151">
        <v>1209</v>
      </c>
      <c r="C3575" s="126" t="s">
        <v>2194</v>
      </c>
      <c r="D3575">
        <v>2446</v>
      </c>
      <c r="E3575" s="126" t="s">
        <v>3354</v>
      </c>
      <c r="F3575" s="122" t="s">
        <v>1371</v>
      </c>
      <c r="G3575" s="122" t="s">
        <v>2065</v>
      </c>
      <c r="H3575">
        <v>454</v>
      </c>
      <c r="I3575" s="122" t="s">
        <v>1546</v>
      </c>
      <c r="J3575" s="307" t="s">
        <v>214</v>
      </c>
      <c r="K3575" s="127" t="s">
        <v>4212</v>
      </c>
      <c r="L3575" s="151" t="s">
        <v>3306</v>
      </c>
      <c r="M3575">
        <v>630</v>
      </c>
      <c r="N3575" s="123">
        <v>1</v>
      </c>
      <c r="O3575">
        <v>1481</v>
      </c>
      <c r="P3575" s="132" t="s">
        <v>77</v>
      </c>
      <c r="Q3575" s="131">
        <v>16410</v>
      </c>
      <c r="R3575" s="131">
        <v>2100.48</v>
      </c>
      <c r="S3575" s="131"/>
      <c r="T3575" s="155">
        <v>0</v>
      </c>
      <c r="U3575" s="131">
        <v>0</v>
      </c>
      <c r="V3575" s="131">
        <v>18510.48</v>
      </c>
      <c r="W3575">
        <v>242</v>
      </c>
      <c r="X3575" s="151" t="s">
        <v>2035</v>
      </c>
      <c r="Y3575" s="135" t="s">
        <v>55</v>
      </c>
      <c r="Z3575" s="307">
        <v>251</v>
      </c>
      <c r="AB3575" t="str">
        <f>IF(Table1[[#This Row],[TIPO2]]="costo", VLOOKUP(Table1[[#This Row],[PARTIDA PRESUPUESTAL]],'Cost Report'!G:G,1,0),"Balance")</f>
        <v>1403-061</v>
      </c>
      <c r="AC3575" s="118"/>
      <c r="AD3575" s="159">
        <f>+Table1[[#This Row],[SUBTOTAL]]+Table1[[#This Row],[IVA]]-Table1[[#This Row],[RET IVA]]-Table1[[#This Row],[RET ISR]]-Table1[[#This Row],[TOTAL]]</f>
        <v>0</v>
      </c>
      <c r="AE3575" s="150"/>
      <c r="AF3575" s="151"/>
      <c r="AG3575" s="126"/>
      <c r="AK3575" s="306" t="str">
        <f>IF(ISNUMBER(Table1[[#This Row],[FECHA DE RECIBIDO]]), Table1[[#This Row],[FECHA DE RECIBIDO]]-DATE(2023,8,30), "")</f>
        <v/>
      </c>
    </row>
    <row r="3576" spans="1:37" ht="15" customHeight="1">
      <c r="A3576" s="152"/>
      <c r="B3576" s="153">
        <v>1209</v>
      </c>
      <c r="C3576" s="126" t="s">
        <v>2197</v>
      </c>
      <c r="D3576">
        <v>2446</v>
      </c>
      <c r="E3576" s="126" t="s">
        <v>3354</v>
      </c>
      <c r="F3576" s="125" t="s">
        <v>1371</v>
      </c>
      <c r="G3576" s="125" t="s">
        <v>2065</v>
      </c>
      <c r="H3576">
        <v>454</v>
      </c>
      <c r="I3576" s="125" t="s">
        <v>1546</v>
      </c>
      <c r="J3576" s="308" t="s">
        <v>214</v>
      </c>
      <c r="K3576" s="127" t="s">
        <v>4212</v>
      </c>
      <c r="L3576" s="153" t="s">
        <v>3306</v>
      </c>
      <c r="M3576">
        <v>630</v>
      </c>
      <c r="N3576" s="123">
        <v>1</v>
      </c>
      <c r="O3576">
        <v>1481</v>
      </c>
      <c r="P3576" s="132" t="s">
        <v>77</v>
      </c>
      <c r="Q3576" s="132">
        <v>7360.68</v>
      </c>
      <c r="R3576" s="132">
        <v>942.17</v>
      </c>
      <c r="S3576" s="132"/>
      <c r="T3576" s="156">
        <v>0</v>
      </c>
      <c r="U3576" s="132">
        <v>0</v>
      </c>
      <c r="V3576" s="132">
        <v>8302.85</v>
      </c>
      <c r="W3576">
        <v>242</v>
      </c>
      <c r="X3576" s="153" t="s">
        <v>2035</v>
      </c>
      <c r="Y3576" s="124" t="s">
        <v>55</v>
      </c>
      <c r="Z3576" s="308">
        <v>251</v>
      </c>
      <c r="AB3576" t="str">
        <f>IF(Table1[[#This Row],[TIPO2]]="costo", VLOOKUP(Table1[[#This Row],[PARTIDA PRESUPUESTAL]],'Cost Report'!G:G,1,0),"Balance")</f>
        <v>1403-066</v>
      </c>
      <c r="AC3576" s="118"/>
      <c r="AD3576" s="159">
        <f>+Table1[[#This Row],[SUBTOTAL]]+Table1[[#This Row],[IVA]]-Table1[[#This Row],[RET IVA]]-Table1[[#This Row],[RET ISR]]-Table1[[#This Row],[TOTAL]]</f>
        <v>0</v>
      </c>
      <c r="AE3576" s="152"/>
      <c r="AF3576" s="153"/>
      <c r="AG3576" s="126"/>
      <c r="AK3576" s="306" t="str">
        <f>IF(ISNUMBER(Table1[[#This Row],[FECHA DE RECIBIDO]]), Table1[[#This Row],[FECHA DE RECIBIDO]]-DATE(2023,8,30), "")</f>
        <v/>
      </c>
    </row>
    <row r="3577" spans="1:37" ht="15" customHeight="1">
      <c r="A3577" s="150"/>
      <c r="B3577" s="151">
        <v>1209</v>
      </c>
      <c r="C3577" s="126" t="s">
        <v>2199</v>
      </c>
      <c r="D3577">
        <v>2446</v>
      </c>
      <c r="E3577" s="126" t="s">
        <v>3354</v>
      </c>
      <c r="F3577" s="122" t="s">
        <v>1371</v>
      </c>
      <c r="G3577" s="122" t="s">
        <v>2065</v>
      </c>
      <c r="H3577">
        <v>454</v>
      </c>
      <c r="I3577" s="122" t="s">
        <v>1546</v>
      </c>
      <c r="J3577" s="307" t="s">
        <v>214</v>
      </c>
      <c r="K3577" s="127" t="s">
        <v>4212</v>
      </c>
      <c r="L3577" s="151" t="s">
        <v>3306</v>
      </c>
      <c r="M3577">
        <v>630</v>
      </c>
      <c r="N3577" s="123">
        <v>1</v>
      </c>
      <c r="O3577">
        <v>1481</v>
      </c>
      <c r="P3577" s="132" t="s">
        <v>77</v>
      </c>
      <c r="Q3577" s="131">
        <v>6153.9</v>
      </c>
      <c r="R3577" s="131">
        <v>787.7</v>
      </c>
      <c r="S3577" s="131"/>
      <c r="T3577" s="155">
        <v>0</v>
      </c>
      <c r="U3577" s="131">
        <v>0</v>
      </c>
      <c r="V3577" s="131">
        <v>6941.5999999999995</v>
      </c>
      <c r="W3577">
        <v>242</v>
      </c>
      <c r="X3577" s="151" t="s">
        <v>2035</v>
      </c>
      <c r="Y3577" s="135" t="s">
        <v>55</v>
      </c>
      <c r="Z3577" s="307">
        <v>251</v>
      </c>
      <c r="AB3577" t="str">
        <f>IF(Table1[[#This Row],[TIPO2]]="costo", VLOOKUP(Table1[[#This Row],[PARTIDA PRESUPUESTAL]],'Cost Report'!G:G,1,0),"Balance")</f>
        <v>1403-068</v>
      </c>
      <c r="AC3577" s="118"/>
      <c r="AD3577" s="159">
        <f>+Table1[[#This Row],[SUBTOTAL]]+Table1[[#This Row],[IVA]]-Table1[[#This Row],[RET IVA]]-Table1[[#This Row],[RET ISR]]-Table1[[#This Row],[TOTAL]]</f>
        <v>0</v>
      </c>
      <c r="AE3577" s="150"/>
      <c r="AF3577" s="151"/>
      <c r="AG3577" s="126"/>
      <c r="AK3577" s="306" t="str">
        <f>IF(ISNUMBER(Table1[[#This Row],[FECHA DE RECIBIDO]]), Table1[[#This Row],[FECHA DE RECIBIDO]]-DATE(2023,8,30), "")</f>
        <v/>
      </c>
    </row>
    <row r="3578" spans="1:37" ht="15" customHeight="1">
      <c r="A3578" s="152"/>
      <c r="B3578" s="153">
        <v>1209</v>
      </c>
      <c r="C3578" s="126" t="s">
        <v>1416</v>
      </c>
      <c r="D3578">
        <v>2446</v>
      </c>
      <c r="E3578" s="126" t="s">
        <v>3354</v>
      </c>
      <c r="F3578" s="125" t="s">
        <v>1371</v>
      </c>
      <c r="G3578" s="125" t="s">
        <v>2065</v>
      </c>
      <c r="H3578">
        <v>454</v>
      </c>
      <c r="I3578" s="125" t="s">
        <v>1546</v>
      </c>
      <c r="J3578" s="308" t="s">
        <v>214</v>
      </c>
      <c r="K3578" s="127" t="s">
        <v>4212</v>
      </c>
      <c r="L3578" s="153" t="s">
        <v>3306</v>
      </c>
      <c r="M3578">
        <v>630</v>
      </c>
      <c r="N3578" s="123">
        <v>1</v>
      </c>
      <c r="O3578">
        <v>1481</v>
      </c>
      <c r="P3578" s="132" t="s">
        <v>77</v>
      </c>
      <c r="Q3578" s="132">
        <v>14332.99</v>
      </c>
      <c r="R3578" s="132">
        <v>1834.62</v>
      </c>
      <c r="S3578" s="132"/>
      <c r="T3578" s="156">
        <v>0</v>
      </c>
      <c r="U3578" s="132">
        <v>0</v>
      </c>
      <c r="V3578" s="132">
        <v>16167.61</v>
      </c>
      <c r="W3578">
        <v>242</v>
      </c>
      <c r="X3578" s="153" t="s">
        <v>2035</v>
      </c>
      <c r="Y3578" s="124" t="s">
        <v>55</v>
      </c>
      <c r="Z3578" s="308">
        <v>251</v>
      </c>
      <c r="AB3578" t="str">
        <f>IF(Table1[[#This Row],[TIPO2]]="costo", VLOOKUP(Table1[[#This Row],[PARTIDA PRESUPUESTAL]],'Cost Report'!G:G,1,0),"Balance")</f>
        <v>1499-001</v>
      </c>
      <c r="AC3578" s="118"/>
      <c r="AD3578" s="159">
        <f>+Table1[[#This Row],[SUBTOTAL]]+Table1[[#This Row],[IVA]]-Table1[[#This Row],[RET IVA]]-Table1[[#This Row],[RET ISR]]-Table1[[#This Row],[TOTAL]]</f>
        <v>0</v>
      </c>
      <c r="AE3578" s="152"/>
      <c r="AF3578" s="153"/>
      <c r="AG3578" s="126"/>
      <c r="AK3578" s="306" t="str">
        <f>IF(ISNUMBER(Table1[[#This Row],[FECHA DE RECIBIDO]]), Table1[[#This Row],[FECHA DE RECIBIDO]]-DATE(2023,8,30), "")</f>
        <v/>
      </c>
    </row>
    <row r="3579" spans="1:37" ht="15" customHeight="1">
      <c r="A3579" s="150"/>
      <c r="B3579" s="151">
        <v>1209</v>
      </c>
      <c r="C3579" s="126" t="s">
        <v>2202</v>
      </c>
      <c r="D3579">
        <v>2446</v>
      </c>
      <c r="E3579" s="126" t="s">
        <v>3354</v>
      </c>
      <c r="F3579" s="122" t="s">
        <v>1371</v>
      </c>
      <c r="G3579" s="122" t="s">
        <v>2065</v>
      </c>
      <c r="H3579">
        <v>454</v>
      </c>
      <c r="I3579" s="122" t="s">
        <v>1546</v>
      </c>
      <c r="J3579" s="307" t="s">
        <v>214</v>
      </c>
      <c r="K3579" s="127" t="s">
        <v>4212</v>
      </c>
      <c r="L3579" s="151" t="s">
        <v>3306</v>
      </c>
      <c r="M3579">
        <v>630</v>
      </c>
      <c r="N3579" s="123">
        <v>1</v>
      </c>
      <c r="O3579">
        <v>1481</v>
      </c>
      <c r="P3579" s="132" t="s">
        <v>77</v>
      </c>
      <c r="Q3579" s="131">
        <v>3680.34</v>
      </c>
      <c r="R3579" s="131">
        <v>471.08</v>
      </c>
      <c r="S3579" s="131"/>
      <c r="T3579" s="155">
        <v>0</v>
      </c>
      <c r="U3579" s="131">
        <v>0</v>
      </c>
      <c r="V3579" s="131">
        <v>4151.42</v>
      </c>
      <c r="W3579">
        <v>242</v>
      </c>
      <c r="X3579" s="151" t="s">
        <v>2035</v>
      </c>
      <c r="Y3579" s="135" t="s">
        <v>55</v>
      </c>
      <c r="Z3579" s="307">
        <v>251</v>
      </c>
      <c r="AB3579" t="str">
        <f>IF(Table1[[#This Row],[TIPO2]]="costo", VLOOKUP(Table1[[#This Row],[PARTIDA PRESUPUESTAL]],'Cost Report'!G:G,1,0),"Balance")</f>
        <v>1403-073</v>
      </c>
      <c r="AC3579" s="118"/>
      <c r="AD3579" s="159">
        <f>+Table1[[#This Row],[SUBTOTAL]]+Table1[[#This Row],[IVA]]-Table1[[#This Row],[RET IVA]]-Table1[[#This Row],[RET ISR]]-Table1[[#This Row],[TOTAL]]</f>
        <v>0</v>
      </c>
      <c r="AE3579" s="150"/>
      <c r="AF3579" s="151"/>
      <c r="AG3579" s="126"/>
      <c r="AK3579" s="306" t="str">
        <f>IF(ISNUMBER(Table1[[#This Row],[FECHA DE RECIBIDO]]), Table1[[#This Row],[FECHA DE RECIBIDO]]-DATE(2023,8,30), "")</f>
        <v/>
      </c>
    </row>
    <row r="3580" spans="1:37" ht="15" customHeight="1">
      <c r="A3580" s="152"/>
      <c r="B3580" s="153">
        <v>1209</v>
      </c>
      <c r="C3580" s="126" t="s">
        <v>357</v>
      </c>
      <c r="D3580">
        <v>2446</v>
      </c>
      <c r="E3580" s="126" t="s">
        <v>3354</v>
      </c>
      <c r="F3580" s="125" t="s">
        <v>1371</v>
      </c>
      <c r="G3580" s="125" t="s">
        <v>2065</v>
      </c>
      <c r="H3580">
        <v>454</v>
      </c>
      <c r="I3580" s="125" t="s">
        <v>1546</v>
      </c>
      <c r="J3580" s="308" t="s">
        <v>214</v>
      </c>
      <c r="K3580" s="127" t="s">
        <v>4212</v>
      </c>
      <c r="L3580" s="153" t="s">
        <v>3306</v>
      </c>
      <c r="M3580">
        <v>630</v>
      </c>
      <c r="N3580" s="123">
        <v>1</v>
      </c>
      <c r="O3580">
        <v>1481</v>
      </c>
      <c r="P3580" s="132" t="s">
        <v>77</v>
      </c>
      <c r="Q3580" s="132">
        <v>17911.490000000002</v>
      </c>
      <c r="R3580" s="132">
        <v>2292.67</v>
      </c>
      <c r="S3580" s="132"/>
      <c r="T3580" s="156">
        <v>0</v>
      </c>
      <c r="U3580" s="132">
        <v>0</v>
      </c>
      <c r="V3580" s="132">
        <v>20204.160000000003</v>
      </c>
      <c r="W3580">
        <v>242</v>
      </c>
      <c r="X3580" s="153" t="s">
        <v>2035</v>
      </c>
      <c r="Y3580" s="124" t="s">
        <v>55</v>
      </c>
      <c r="Z3580" s="308">
        <v>251</v>
      </c>
      <c r="AB3580" t="str">
        <f>IF(Table1[[#This Row],[TIPO2]]="costo", VLOOKUP(Table1[[#This Row],[PARTIDA PRESUPUESTAL]],'Cost Report'!G:G,1,0),"Balance")</f>
        <v>1404-006</v>
      </c>
      <c r="AC3580" s="118"/>
      <c r="AD3580" s="159">
        <f>+Table1[[#This Row],[SUBTOTAL]]+Table1[[#This Row],[IVA]]-Table1[[#This Row],[RET IVA]]-Table1[[#This Row],[RET ISR]]-Table1[[#This Row],[TOTAL]]</f>
        <v>0</v>
      </c>
      <c r="AE3580" s="152"/>
      <c r="AF3580" s="153"/>
      <c r="AG3580" s="126"/>
      <c r="AK3580" s="306" t="str">
        <f>IF(ISNUMBER(Table1[[#This Row],[FECHA DE RECIBIDO]]), Table1[[#This Row],[FECHA DE RECIBIDO]]-DATE(2023,8,30), "")</f>
        <v/>
      </c>
    </row>
    <row r="3581" spans="1:37" ht="15" customHeight="1">
      <c r="A3581" s="150"/>
      <c r="B3581" s="151">
        <v>1209</v>
      </c>
      <c r="C3581" s="126" t="s">
        <v>2219</v>
      </c>
      <c r="D3581">
        <v>2446</v>
      </c>
      <c r="E3581" s="126" t="s">
        <v>3354</v>
      </c>
      <c r="F3581" s="122" t="s">
        <v>1371</v>
      </c>
      <c r="G3581" s="122" t="s">
        <v>2065</v>
      </c>
      <c r="H3581">
        <v>454</v>
      </c>
      <c r="I3581" s="122" t="s">
        <v>1546</v>
      </c>
      <c r="J3581" s="307" t="s">
        <v>214</v>
      </c>
      <c r="K3581" s="127" t="s">
        <v>4212</v>
      </c>
      <c r="L3581" s="151" t="s">
        <v>3306</v>
      </c>
      <c r="M3581">
        <v>630</v>
      </c>
      <c r="N3581" s="123">
        <v>1</v>
      </c>
      <c r="O3581">
        <v>1481</v>
      </c>
      <c r="P3581" s="132" t="s">
        <v>77</v>
      </c>
      <c r="Q3581" s="131">
        <v>1711.01</v>
      </c>
      <c r="R3581" s="131">
        <v>219.01</v>
      </c>
      <c r="S3581" s="131"/>
      <c r="T3581" s="155">
        <v>0</v>
      </c>
      <c r="U3581" s="131">
        <v>0</v>
      </c>
      <c r="V3581" s="131">
        <v>1930.02</v>
      </c>
      <c r="W3581">
        <v>242</v>
      </c>
      <c r="X3581" s="151" t="s">
        <v>2035</v>
      </c>
      <c r="Y3581" s="135" t="s">
        <v>55</v>
      </c>
      <c r="Z3581" s="307">
        <v>251</v>
      </c>
      <c r="AB3581" t="str">
        <f>IF(Table1[[#This Row],[TIPO2]]="costo", VLOOKUP(Table1[[#This Row],[PARTIDA PRESUPUESTAL]],'Cost Report'!G:G,1,0),"Balance")</f>
        <v>1406-004</v>
      </c>
      <c r="AC3581" s="118"/>
      <c r="AD3581" s="159">
        <f>+Table1[[#This Row],[SUBTOTAL]]+Table1[[#This Row],[IVA]]-Table1[[#This Row],[RET IVA]]-Table1[[#This Row],[RET ISR]]-Table1[[#This Row],[TOTAL]]</f>
        <v>0</v>
      </c>
      <c r="AE3581" s="150"/>
      <c r="AF3581" s="151"/>
      <c r="AG3581" s="126"/>
      <c r="AK3581" s="306" t="str">
        <f>IF(ISNUMBER(Table1[[#This Row],[FECHA DE RECIBIDO]]), Table1[[#This Row],[FECHA DE RECIBIDO]]-DATE(2023,8,30), "")</f>
        <v/>
      </c>
    </row>
    <row r="3582" spans="1:37" ht="15" customHeight="1">
      <c r="A3582" s="152"/>
      <c r="B3582" s="153">
        <v>1209</v>
      </c>
      <c r="C3582" s="126" t="s">
        <v>2220</v>
      </c>
      <c r="D3582">
        <v>2446</v>
      </c>
      <c r="E3582" s="126" t="s">
        <v>3354</v>
      </c>
      <c r="F3582" s="125" t="s">
        <v>1371</v>
      </c>
      <c r="G3582" s="125" t="s">
        <v>2065</v>
      </c>
      <c r="H3582">
        <v>454</v>
      </c>
      <c r="I3582" s="125" t="s">
        <v>1546</v>
      </c>
      <c r="J3582" s="308" t="s">
        <v>214</v>
      </c>
      <c r="K3582" s="127" t="s">
        <v>4212</v>
      </c>
      <c r="L3582" s="153" t="s">
        <v>3306</v>
      </c>
      <c r="M3582">
        <v>630</v>
      </c>
      <c r="N3582" s="123">
        <v>1</v>
      </c>
      <c r="O3582">
        <v>1481</v>
      </c>
      <c r="P3582" s="132" t="s">
        <v>77</v>
      </c>
      <c r="Q3582" s="132">
        <v>10266.06</v>
      </c>
      <c r="R3582" s="132">
        <v>1314.06</v>
      </c>
      <c r="S3582" s="132"/>
      <c r="T3582" s="156">
        <v>0</v>
      </c>
      <c r="U3582" s="132">
        <v>0</v>
      </c>
      <c r="V3582" s="132">
        <v>11580.119999999999</v>
      </c>
      <c r="W3582">
        <v>242</v>
      </c>
      <c r="X3582" s="153" t="s">
        <v>2035</v>
      </c>
      <c r="Y3582" s="124" t="s">
        <v>55</v>
      </c>
      <c r="Z3582" s="308">
        <v>251</v>
      </c>
      <c r="AB3582" t="str">
        <f>IF(Table1[[#This Row],[TIPO2]]="costo", VLOOKUP(Table1[[#This Row],[PARTIDA PRESUPUESTAL]],'Cost Report'!G:G,1,0),"Balance")</f>
        <v>1406-005</v>
      </c>
      <c r="AC3582" s="118"/>
      <c r="AD3582" s="159">
        <f>+Table1[[#This Row],[SUBTOTAL]]+Table1[[#This Row],[IVA]]-Table1[[#This Row],[RET IVA]]-Table1[[#This Row],[RET ISR]]-Table1[[#This Row],[TOTAL]]</f>
        <v>0</v>
      </c>
      <c r="AE3582" s="152"/>
      <c r="AF3582" s="153"/>
      <c r="AG3582" s="126"/>
      <c r="AK3582" s="306" t="str">
        <f>IF(ISNUMBER(Table1[[#This Row],[FECHA DE RECIBIDO]]), Table1[[#This Row],[FECHA DE RECIBIDO]]-DATE(2023,8,30), "")</f>
        <v/>
      </c>
    </row>
    <row r="3583" spans="1:37" ht="15" customHeight="1">
      <c r="A3583" s="150"/>
      <c r="B3583" s="151">
        <v>1209</v>
      </c>
      <c r="C3583" s="126" t="s">
        <v>2221</v>
      </c>
      <c r="D3583">
        <v>2446</v>
      </c>
      <c r="E3583" s="126" t="s">
        <v>3354</v>
      </c>
      <c r="F3583" s="122" t="s">
        <v>1371</v>
      </c>
      <c r="G3583" s="122" t="s">
        <v>2065</v>
      </c>
      <c r="H3583">
        <v>454</v>
      </c>
      <c r="I3583" s="122" t="s">
        <v>1546</v>
      </c>
      <c r="J3583" s="307" t="s">
        <v>214</v>
      </c>
      <c r="K3583" s="127" t="s">
        <v>4212</v>
      </c>
      <c r="L3583" s="151" t="s">
        <v>3306</v>
      </c>
      <c r="M3583">
        <v>630</v>
      </c>
      <c r="N3583" s="123">
        <v>1</v>
      </c>
      <c r="O3583">
        <v>1481</v>
      </c>
      <c r="P3583" s="132" t="s">
        <v>77</v>
      </c>
      <c r="Q3583" s="131">
        <v>14868.36</v>
      </c>
      <c r="R3583" s="131">
        <v>1903.15</v>
      </c>
      <c r="S3583" s="131"/>
      <c r="T3583" s="155">
        <v>0</v>
      </c>
      <c r="U3583" s="131">
        <v>0</v>
      </c>
      <c r="V3583" s="131">
        <v>16771.510000000002</v>
      </c>
      <c r="W3583">
        <v>242</v>
      </c>
      <c r="X3583" s="151" t="s">
        <v>2035</v>
      </c>
      <c r="Y3583" s="135" t="s">
        <v>55</v>
      </c>
      <c r="Z3583" s="307">
        <v>251</v>
      </c>
      <c r="AB3583" t="str">
        <f>IF(Table1[[#This Row],[TIPO2]]="costo", VLOOKUP(Table1[[#This Row],[PARTIDA PRESUPUESTAL]],'Cost Report'!G:G,1,0),"Balance")</f>
        <v>1406-006</v>
      </c>
      <c r="AC3583" s="118"/>
      <c r="AD3583" s="159">
        <f>+Table1[[#This Row],[SUBTOTAL]]+Table1[[#This Row],[IVA]]-Table1[[#This Row],[RET IVA]]-Table1[[#This Row],[RET ISR]]-Table1[[#This Row],[TOTAL]]</f>
        <v>0</v>
      </c>
      <c r="AE3583" s="150"/>
      <c r="AF3583" s="151"/>
      <c r="AG3583" s="126"/>
      <c r="AK3583" s="306" t="str">
        <f>IF(ISNUMBER(Table1[[#This Row],[FECHA DE RECIBIDO]]), Table1[[#This Row],[FECHA DE RECIBIDO]]-DATE(2023,8,30), "")</f>
        <v/>
      </c>
    </row>
    <row r="3584" spans="1:37" ht="15" customHeight="1">
      <c r="A3584" s="152"/>
      <c r="B3584" s="153">
        <v>1209</v>
      </c>
      <c r="C3584" s="126" t="s">
        <v>369</v>
      </c>
      <c r="D3584">
        <v>2446</v>
      </c>
      <c r="E3584" s="126" t="s">
        <v>3354</v>
      </c>
      <c r="F3584" s="125" t="s">
        <v>1371</v>
      </c>
      <c r="G3584" s="125" t="s">
        <v>2065</v>
      </c>
      <c r="H3584">
        <v>454</v>
      </c>
      <c r="I3584" s="125" t="s">
        <v>1546</v>
      </c>
      <c r="J3584" s="308" t="s">
        <v>214</v>
      </c>
      <c r="K3584" s="127" t="s">
        <v>4212</v>
      </c>
      <c r="L3584" s="153" t="s">
        <v>3306</v>
      </c>
      <c r="M3584">
        <v>630</v>
      </c>
      <c r="N3584" s="123">
        <v>1</v>
      </c>
      <c r="O3584">
        <v>1481</v>
      </c>
      <c r="P3584" s="132" t="s">
        <v>77</v>
      </c>
      <c r="Q3584" s="132">
        <v>14721.36</v>
      </c>
      <c r="R3584" s="132">
        <v>1884.33</v>
      </c>
      <c r="S3584" s="132"/>
      <c r="T3584" s="156">
        <v>0</v>
      </c>
      <c r="U3584" s="132">
        <v>0</v>
      </c>
      <c r="V3584" s="132">
        <v>16605.690000000002</v>
      </c>
      <c r="W3584">
        <v>242</v>
      </c>
      <c r="X3584" s="153" t="s">
        <v>2035</v>
      </c>
      <c r="Y3584" s="124" t="s">
        <v>55</v>
      </c>
      <c r="Z3584" s="308">
        <v>251</v>
      </c>
      <c r="AB3584" t="str">
        <f>IF(Table1[[#This Row],[TIPO2]]="costo", VLOOKUP(Table1[[#This Row],[PARTIDA PRESUPUESTAL]],'Cost Report'!G:G,1,0),"Balance")</f>
        <v>1410-009</v>
      </c>
      <c r="AC3584" s="118"/>
      <c r="AD3584" s="159">
        <f>+Table1[[#This Row],[SUBTOTAL]]+Table1[[#This Row],[IVA]]-Table1[[#This Row],[RET IVA]]-Table1[[#This Row],[RET ISR]]-Table1[[#This Row],[TOTAL]]</f>
        <v>0</v>
      </c>
      <c r="AE3584" s="152"/>
      <c r="AF3584" s="153"/>
      <c r="AG3584" s="126"/>
      <c r="AK3584" s="306" t="str">
        <f>IF(ISNUMBER(Table1[[#This Row],[FECHA DE RECIBIDO]]), Table1[[#This Row],[FECHA DE RECIBIDO]]-DATE(2023,8,30), "")</f>
        <v/>
      </c>
    </row>
    <row r="3585" spans="1:37" ht="15" customHeight="1">
      <c r="A3585" s="150"/>
      <c r="B3585" s="151">
        <v>1209</v>
      </c>
      <c r="C3585" s="126" t="s">
        <v>370</v>
      </c>
      <c r="D3585">
        <v>2446</v>
      </c>
      <c r="E3585" s="126" t="s">
        <v>3354</v>
      </c>
      <c r="F3585" s="122" t="s">
        <v>1371</v>
      </c>
      <c r="G3585" s="122" t="s">
        <v>2065</v>
      </c>
      <c r="H3585">
        <v>454</v>
      </c>
      <c r="I3585" s="122" t="s">
        <v>1546</v>
      </c>
      <c r="J3585" s="307" t="s">
        <v>214</v>
      </c>
      <c r="K3585" s="127" t="s">
        <v>4212</v>
      </c>
      <c r="L3585" s="151" t="s">
        <v>3306</v>
      </c>
      <c r="M3585">
        <v>630</v>
      </c>
      <c r="N3585" s="123">
        <v>1</v>
      </c>
      <c r="O3585">
        <v>1481</v>
      </c>
      <c r="P3585" s="132" t="s">
        <v>77</v>
      </c>
      <c r="Q3585" s="131">
        <v>10712.69</v>
      </c>
      <c r="R3585" s="131">
        <v>1371.22</v>
      </c>
      <c r="S3585" s="131"/>
      <c r="T3585" s="155">
        <v>0</v>
      </c>
      <c r="U3585" s="131">
        <v>0</v>
      </c>
      <c r="V3585" s="131">
        <v>12083.91</v>
      </c>
      <c r="W3585">
        <v>242</v>
      </c>
      <c r="X3585" s="151" t="s">
        <v>2035</v>
      </c>
      <c r="Y3585" s="135" t="s">
        <v>55</v>
      </c>
      <c r="Z3585" s="307">
        <v>251</v>
      </c>
      <c r="AB3585" t="str">
        <f>IF(Table1[[#This Row],[TIPO2]]="costo", VLOOKUP(Table1[[#This Row],[PARTIDA PRESUPUESTAL]],'Cost Report'!G:G,1,0),"Balance")</f>
        <v>1410-010</v>
      </c>
      <c r="AC3585" s="118"/>
      <c r="AD3585" s="159">
        <f>+Table1[[#This Row],[SUBTOTAL]]+Table1[[#This Row],[IVA]]-Table1[[#This Row],[RET IVA]]-Table1[[#This Row],[RET ISR]]-Table1[[#This Row],[TOTAL]]</f>
        <v>0</v>
      </c>
      <c r="AE3585" s="150"/>
      <c r="AF3585" s="151"/>
      <c r="AG3585" s="126"/>
      <c r="AK3585" s="306" t="str">
        <f>IF(ISNUMBER(Table1[[#This Row],[FECHA DE RECIBIDO]]), Table1[[#This Row],[FECHA DE RECIBIDO]]-DATE(2023,8,30), "")</f>
        <v/>
      </c>
    </row>
    <row r="3586" spans="1:37" ht="15" customHeight="1">
      <c r="A3586" s="152"/>
      <c r="B3586" s="153">
        <v>1209</v>
      </c>
      <c r="C3586" s="126" t="s">
        <v>1416</v>
      </c>
      <c r="D3586">
        <v>2446</v>
      </c>
      <c r="E3586" s="126" t="s">
        <v>3354</v>
      </c>
      <c r="F3586" s="125" t="s">
        <v>1371</v>
      </c>
      <c r="G3586" s="125" t="s">
        <v>2065</v>
      </c>
      <c r="H3586">
        <v>454</v>
      </c>
      <c r="I3586" s="125" t="s">
        <v>1546</v>
      </c>
      <c r="J3586" s="308" t="s">
        <v>214</v>
      </c>
      <c r="K3586" s="127" t="s">
        <v>4212</v>
      </c>
      <c r="L3586" s="153" t="s">
        <v>3306</v>
      </c>
      <c r="M3586">
        <v>630</v>
      </c>
      <c r="N3586" s="123">
        <v>1</v>
      </c>
      <c r="O3586">
        <v>1481</v>
      </c>
      <c r="P3586" s="132" t="s">
        <v>77</v>
      </c>
      <c r="Q3586" s="132">
        <v>288344.98</v>
      </c>
      <c r="R3586" s="132">
        <v>36860.460000000006</v>
      </c>
      <c r="S3586" s="132"/>
      <c r="T3586" s="156">
        <v>0</v>
      </c>
      <c r="U3586" s="132">
        <v>0</v>
      </c>
      <c r="V3586" s="132">
        <v>325205.44</v>
      </c>
      <c r="W3586">
        <v>242</v>
      </c>
      <c r="X3586" s="153" t="s">
        <v>2035</v>
      </c>
      <c r="Y3586" s="124" t="s">
        <v>55</v>
      </c>
      <c r="Z3586" s="308">
        <v>251</v>
      </c>
      <c r="AB3586" t="str">
        <f>IF(Table1[[#This Row],[TIPO2]]="costo", VLOOKUP(Table1[[#This Row],[PARTIDA PRESUPUESTAL]],'Cost Report'!G:G,1,0),"Balance")</f>
        <v>1499-001</v>
      </c>
      <c r="AC3586" s="118"/>
      <c r="AD3586" s="159">
        <f>+Table1[[#This Row],[SUBTOTAL]]+Table1[[#This Row],[IVA]]-Table1[[#This Row],[RET IVA]]-Table1[[#This Row],[RET ISR]]-Table1[[#This Row],[TOTAL]]</f>
        <v>0</v>
      </c>
      <c r="AE3586" s="152"/>
      <c r="AF3586" s="153"/>
      <c r="AG3586" s="126"/>
      <c r="AK3586" s="306" t="str">
        <f>IF(ISNUMBER(Table1[[#This Row],[FECHA DE RECIBIDO]]), Table1[[#This Row],[FECHA DE RECIBIDO]]-DATE(2023,8,30), "")</f>
        <v/>
      </c>
    </row>
    <row r="3587" spans="1:37" ht="15" customHeight="1">
      <c r="A3587" s="150" t="s">
        <v>4237</v>
      </c>
      <c r="B3587" s="151">
        <v>1210</v>
      </c>
      <c r="C3587" s="126" t="s">
        <v>1005</v>
      </c>
      <c r="D3587">
        <v>2447</v>
      </c>
      <c r="E3587" s="126" t="s">
        <v>3267</v>
      </c>
      <c r="F3587" s="122" t="s">
        <v>1593</v>
      </c>
      <c r="G3587" s="122" t="s">
        <v>109</v>
      </c>
      <c r="H3587">
        <v>676</v>
      </c>
      <c r="I3587" s="122" t="s">
        <v>1546</v>
      </c>
      <c r="J3587" s="307" t="s">
        <v>214</v>
      </c>
      <c r="K3587" s="127" t="s">
        <v>4212</v>
      </c>
      <c r="L3587" s="151" t="s">
        <v>3306</v>
      </c>
      <c r="M3587">
        <v>949</v>
      </c>
      <c r="N3587" s="123">
        <v>24</v>
      </c>
      <c r="O3587">
        <v>2332</v>
      </c>
      <c r="P3587" s="132" t="s">
        <v>77</v>
      </c>
      <c r="Q3587" s="131">
        <v>15000</v>
      </c>
      <c r="R3587" s="131">
        <v>2400</v>
      </c>
      <c r="S3587" s="131"/>
      <c r="T3587" s="155">
        <v>1600.01</v>
      </c>
      <c r="U3587" s="131">
        <v>187.5</v>
      </c>
      <c r="V3587" s="131">
        <v>15612.49</v>
      </c>
      <c r="W3587">
        <v>347</v>
      </c>
      <c r="X3587" s="151" t="s">
        <v>105</v>
      </c>
      <c r="Y3587" s="135" t="s">
        <v>55</v>
      </c>
      <c r="Z3587" s="307">
        <v>251</v>
      </c>
      <c r="AB3587" t="str">
        <f>IF(Table1[[#This Row],[TIPO2]]="costo", VLOOKUP(Table1[[#This Row],[PARTIDA PRESUPUESTAL]],'Cost Report'!G:G,1,0),"Balance")</f>
        <v>3412-047</v>
      </c>
      <c r="AC3587" s="118"/>
      <c r="AD3587" s="159">
        <f>+Table1[[#This Row],[SUBTOTAL]]+Table1[[#This Row],[IVA]]-Table1[[#This Row],[RET IVA]]-Table1[[#This Row],[RET ISR]]-Table1[[#This Row],[TOTAL]]</f>
        <v>0</v>
      </c>
      <c r="AE3587" s="150"/>
      <c r="AF3587" s="151"/>
      <c r="AG3587" s="126"/>
      <c r="AK3587" s="306" t="str">
        <f>IF(ISNUMBER(Table1[[#This Row],[FECHA DE RECIBIDO]]), Table1[[#This Row],[FECHA DE RECIBIDO]]-DATE(2023,8,30), "")</f>
        <v/>
      </c>
    </row>
    <row r="3588" spans="1:37" ht="15" customHeight="1">
      <c r="A3588" s="152" t="s">
        <v>4238</v>
      </c>
      <c r="B3588" s="153">
        <v>1211</v>
      </c>
      <c r="C3588" s="126" t="s">
        <v>1007</v>
      </c>
      <c r="D3588">
        <v>2448</v>
      </c>
      <c r="E3588" s="126" t="s">
        <v>3267</v>
      </c>
      <c r="F3588" s="125" t="s">
        <v>1593</v>
      </c>
      <c r="G3588" s="125" t="s">
        <v>109</v>
      </c>
      <c r="H3588">
        <v>676</v>
      </c>
      <c r="I3588" s="125" t="s">
        <v>1546</v>
      </c>
      <c r="J3588" s="308" t="s">
        <v>214</v>
      </c>
      <c r="K3588" s="127" t="s">
        <v>4212</v>
      </c>
      <c r="L3588" s="153" t="s">
        <v>3306</v>
      </c>
      <c r="M3588">
        <v>949</v>
      </c>
      <c r="N3588" s="123">
        <v>24</v>
      </c>
      <c r="O3588">
        <v>2333</v>
      </c>
      <c r="P3588" s="132" t="s">
        <v>77</v>
      </c>
      <c r="Q3588" s="132">
        <v>15000</v>
      </c>
      <c r="R3588" s="132">
        <v>2400</v>
      </c>
      <c r="S3588" s="132"/>
      <c r="T3588" s="156">
        <v>1600.01</v>
      </c>
      <c r="U3588" s="132">
        <v>187.5</v>
      </c>
      <c r="V3588" s="132">
        <v>15612.49</v>
      </c>
      <c r="W3588">
        <v>347</v>
      </c>
      <c r="X3588" s="153" t="s">
        <v>105</v>
      </c>
      <c r="Y3588" s="124" t="s">
        <v>55</v>
      </c>
      <c r="Z3588" s="308">
        <v>251</v>
      </c>
      <c r="AB3588" t="str">
        <f>IF(Table1[[#This Row],[TIPO2]]="costo", VLOOKUP(Table1[[#This Row],[PARTIDA PRESUPUESTAL]],'Cost Report'!G:G,1,0),"Balance")</f>
        <v>3412-051</v>
      </c>
      <c r="AC3588" s="118"/>
      <c r="AD3588" s="159">
        <f>+Table1[[#This Row],[SUBTOTAL]]+Table1[[#This Row],[IVA]]-Table1[[#This Row],[RET IVA]]-Table1[[#This Row],[RET ISR]]-Table1[[#This Row],[TOTAL]]</f>
        <v>0</v>
      </c>
      <c r="AE3588" s="152"/>
      <c r="AF3588" s="153"/>
      <c r="AG3588" s="126"/>
      <c r="AK3588" s="306" t="str">
        <f>IF(ISNUMBER(Table1[[#This Row],[FECHA DE RECIBIDO]]), Table1[[#This Row],[FECHA DE RECIBIDO]]-DATE(2023,8,30), "")</f>
        <v/>
      </c>
    </row>
    <row r="3589" spans="1:37" ht="15" customHeight="1">
      <c r="A3589" s="150" t="s">
        <v>4239</v>
      </c>
      <c r="B3589" s="151">
        <v>1212</v>
      </c>
      <c r="C3589" s="126" t="s">
        <v>963</v>
      </c>
      <c r="D3589">
        <v>2449</v>
      </c>
      <c r="E3589" s="126" t="s">
        <v>1614</v>
      </c>
      <c r="F3589" s="122" t="s">
        <v>1602</v>
      </c>
      <c r="G3589" s="122" t="s">
        <v>1617</v>
      </c>
      <c r="H3589">
        <v>492</v>
      </c>
      <c r="I3589" s="122" t="s">
        <v>1546</v>
      </c>
      <c r="J3589" s="307" t="s">
        <v>214</v>
      </c>
      <c r="K3589" s="127" t="s">
        <v>4212</v>
      </c>
      <c r="L3589" s="151" t="s">
        <v>3306</v>
      </c>
      <c r="M3589">
        <v>716</v>
      </c>
      <c r="N3589" s="123">
        <v>1</v>
      </c>
      <c r="O3589">
        <v>2334</v>
      </c>
      <c r="P3589" s="132" t="s">
        <v>77</v>
      </c>
      <c r="Q3589" s="131">
        <v>14175</v>
      </c>
      <c r="R3589" s="131">
        <v>2268</v>
      </c>
      <c r="S3589" s="131"/>
      <c r="T3589" s="155">
        <v>1512.01</v>
      </c>
      <c r="U3589" s="131">
        <v>1417.5</v>
      </c>
      <c r="V3589" s="131">
        <v>13513.49</v>
      </c>
      <c r="W3589">
        <v>264</v>
      </c>
      <c r="X3589" s="151" t="s">
        <v>1431</v>
      </c>
      <c r="Y3589" s="135" t="s">
        <v>55</v>
      </c>
      <c r="Z3589" s="307">
        <v>252</v>
      </c>
      <c r="AB3589" t="str">
        <f>IF(Table1[[#This Row],[TIPO2]]="costo", VLOOKUP(Table1[[#This Row],[PARTIDA PRESUPUESTAL]],'Cost Report'!G:G,1,0),"Balance")</f>
        <v>3407-005</v>
      </c>
      <c r="AC3589" s="118"/>
      <c r="AD3589" s="159">
        <f>+Table1[[#This Row],[SUBTOTAL]]+Table1[[#This Row],[IVA]]-Table1[[#This Row],[RET IVA]]-Table1[[#This Row],[RET ISR]]-Table1[[#This Row],[TOTAL]]</f>
        <v>0</v>
      </c>
      <c r="AE3589" s="150"/>
      <c r="AF3589" s="151"/>
      <c r="AG3589" s="126"/>
      <c r="AK3589" s="306" t="str">
        <f>IF(ISNUMBER(Table1[[#This Row],[FECHA DE RECIBIDO]]), Table1[[#This Row],[FECHA DE RECIBIDO]]-DATE(2023,8,30), "")</f>
        <v/>
      </c>
    </row>
    <row r="3590" spans="1:37" ht="15" customHeight="1">
      <c r="A3590" s="152"/>
      <c r="B3590" s="153">
        <v>1213</v>
      </c>
      <c r="C3590" s="126" t="s">
        <v>2786</v>
      </c>
      <c r="D3590">
        <v>2450</v>
      </c>
      <c r="E3590" s="126" t="s">
        <v>1614</v>
      </c>
      <c r="F3590" s="125" t="s">
        <v>1602</v>
      </c>
      <c r="G3590" s="125" t="s">
        <v>1617</v>
      </c>
      <c r="H3590">
        <v>492</v>
      </c>
      <c r="I3590" s="125" t="s">
        <v>1546</v>
      </c>
      <c r="J3590" s="308" t="s">
        <v>214</v>
      </c>
      <c r="K3590" s="127" t="s">
        <v>4212</v>
      </c>
      <c r="L3590" s="153" t="s">
        <v>3306</v>
      </c>
      <c r="M3590">
        <v>716</v>
      </c>
      <c r="N3590" s="123">
        <v>1</v>
      </c>
      <c r="O3590">
        <v>2335</v>
      </c>
      <c r="P3590" s="132" t="s">
        <v>77</v>
      </c>
      <c r="Q3590" s="132">
        <v>7500</v>
      </c>
      <c r="R3590" s="132">
        <v>1200</v>
      </c>
      <c r="S3590" s="132"/>
      <c r="T3590" s="156">
        <v>800</v>
      </c>
      <c r="U3590" s="132">
        <v>750</v>
      </c>
      <c r="V3590" s="132">
        <v>7150</v>
      </c>
      <c r="W3590">
        <v>264</v>
      </c>
      <c r="X3590" s="153" t="s">
        <v>1431</v>
      </c>
      <c r="Y3590" s="124" t="s">
        <v>55</v>
      </c>
      <c r="Z3590" s="308">
        <v>252</v>
      </c>
      <c r="AB3590" t="str">
        <f>IF(Table1[[#This Row],[TIPO2]]="costo", VLOOKUP(Table1[[#This Row],[PARTIDA PRESUPUESTAL]],'Cost Report'!G:G,1,0),"Balance")</f>
        <v>3407-011</v>
      </c>
      <c r="AC3590" s="118"/>
      <c r="AD3590" s="159">
        <f>+Table1[[#This Row],[SUBTOTAL]]+Table1[[#This Row],[IVA]]-Table1[[#This Row],[RET IVA]]-Table1[[#This Row],[RET ISR]]-Table1[[#This Row],[TOTAL]]</f>
        <v>0</v>
      </c>
      <c r="AE3590" s="152"/>
      <c r="AF3590" s="153"/>
      <c r="AG3590" s="126"/>
      <c r="AK3590" s="306" t="str">
        <f>IF(ISNUMBER(Table1[[#This Row],[FECHA DE RECIBIDO]]), Table1[[#This Row],[FECHA DE RECIBIDO]]-DATE(2023,8,30), "")</f>
        <v/>
      </c>
    </row>
    <row r="3591" spans="1:37" ht="15" customHeight="1">
      <c r="A3591" s="150"/>
      <c r="B3591" s="151">
        <v>1214</v>
      </c>
      <c r="C3591" s="126" t="s">
        <v>963</v>
      </c>
      <c r="D3591">
        <v>2451</v>
      </c>
      <c r="E3591" s="126" t="s">
        <v>1614</v>
      </c>
      <c r="F3591" s="122" t="s">
        <v>1602</v>
      </c>
      <c r="G3591" s="122" t="s">
        <v>1617</v>
      </c>
      <c r="H3591">
        <v>492</v>
      </c>
      <c r="I3591" s="122" t="s">
        <v>1546</v>
      </c>
      <c r="J3591" s="307" t="s">
        <v>214</v>
      </c>
      <c r="K3591" s="127" t="s">
        <v>4212</v>
      </c>
      <c r="L3591" s="151" t="s">
        <v>3306</v>
      </c>
      <c r="M3591">
        <v>716</v>
      </c>
      <c r="N3591" s="123">
        <v>1</v>
      </c>
      <c r="O3591">
        <v>2336</v>
      </c>
      <c r="P3591" s="132" t="s">
        <v>77</v>
      </c>
      <c r="Q3591" s="131">
        <v>14175</v>
      </c>
      <c r="R3591" s="131">
        <v>2268</v>
      </c>
      <c r="S3591" s="131"/>
      <c r="T3591" s="155">
        <v>1512</v>
      </c>
      <c r="U3591" s="131">
        <v>1417.5</v>
      </c>
      <c r="V3591" s="131">
        <v>13513.5</v>
      </c>
      <c r="W3591">
        <v>264</v>
      </c>
      <c r="X3591" s="151" t="s">
        <v>1431</v>
      </c>
      <c r="Y3591" s="135" t="s">
        <v>55</v>
      </c>
      <c r="Z3591" s="307">
        <v>252</v>
      </c>
      <c r="AB3591" t="str">
        <f>IF(Table1[[#This Row],[TIPO2]]="costo", VLOOKUP(Table1[[#This Row],[PARTIDA PRESUPUESTAL]],'Cost Report'!G:G,1,0),"Balance")</f>
        <v>3407-005</v>
      </c>
      <c r="AC3591" s="118"/>
      <c r="AD3591" s="159">
        <f>+Table1[[#This Row],[SUBTOTAL]]+Table1[[#This Row],[IVA]]-Table1[[#This Row],[RET IVA]]-Table1[[#This Row],[RET ISR]]-Table1[[#This Row],[TOTAL]]</f>
        <v>0</v>
      </c>
      <c r="AE3591" s="150"/>
      <c r="AF3591" s="151"/>
      <c r="AG3591" s="126"/>
      <c r="AK3591" s="306" t="str">
        <f>IF(ISNUMBER(Table1[[#This Row],[FECHA DE RECIBIDO]]), Table1[[#This Row],[FECHA DE RECIBIDO]]-DATE(2023,8,30), "")</f>
        <v/>
      </c>
    </row>
    <row r="3592" spans="1:37" ht="15" customHeight="1">
      <c r="A3592" s="152" t="s">
        <v>4240</v>
      </c>
      <c r="B3592" s="153">
        <v>1215</v>
      </c>
      <c r="C3592" s="126" t="s">
        <v>2956</v>
      </c>
      <c r="D3592">
        <v>2452</v>
      </c>
      <c r="E3592" s="126" t="s">
        <v>1985</v>
      </c>
      <c r="F3592" s="125" t="s">
        <v>1607</v>
      </c>
      <c r="G3592" s="125" t="s">
        <v>134</v>
      </c>
      <c r="H3592">
        <v>47</v>
      </c>
      <c r="I3592" s="125" t="s">
        <v>1546</v>
      </c>
      <c r="J3592" s="308" t="s">
        <v>214</v>
      </c>
      <c r="K3592" s="127" t="s">
        <v>4212</v>
      </c>
      <c r="L3592" s="153" t="s">
        <v>3306</v>
      </c>
      <c r="M3592">
        <v>448</v>
      </c>
      <c r="N3592" s="123">
        <v>1</v>
      </c>
      <c r="O3592">
        <v>2337</v>
      </c>
      <c r="P3592" s="132" t="s">
        <v>77</v>
      </c>
      <c r="Q3592" s="132">
        <v>74117.399999999994</v>
      </c>
      <c r="R3592" s="132">
        <v>11858.78</v>
      </c>
      <c r="S3592" s="132"/>
      <c r="T3592" s="156"/>
      <c r="U3592" s="132"/>
      <c r="V3592" s="132">
        <v>85976.18</v>
      </c>
      <c r="W3592">
        <v>36</v>
      </c>
      <c r="X3592" s="153" t="s">
        <v>1430</v>
      </c>
      <c r="Y3592" s="124" t="s">
        <v>55</v>
      </c>
      <c r="Z3592" s="308">
        <v>252</v>
      </c>
      <c r="AB3592" t="str">
        <f>IF(Table1[[#This Row],[TIPO2]]="costo", VLOOKUP(Table1[[#This Row],[PARTIDA PRESUPUESTAL]],'Cost Report'!G:G,1,0),"Balance")</f>
        <v>3902-032</v>
      </c>
      <c r="AC3592" s="118"/>
      <c r="AD3592" s="159">
        <f>+Table1[[#This Row],[SUBTOTAL]]+Table1[[#This Row],[IVA]]-Table1[[#This Row],[RET IVA]]-Table1[[#This Row],[RET ISR]]-Table1[[#This Row],[TOTAL]]</f>
        <v>0</v>
      </c>
      <c r="AE3592" s="152"/>
      <c r="AF3592" s="153"/>
      <c r="AG3592" s="126"/>
      <c r="AK3592" s="306" t="str">
        <f>IF(ISNUMBER(Table1[[#This Row],[FECHA DE RECIBIDO]]), Table1[[#This Row],[FECHA DE RECIBIDO]]-DATE(2023,8,30), "")</f>
        <v/>
      </c>
    </row>
    <row r="3593" spans="1:37" ht="15" customHeight="1">
      <c r="A3593" s="150" t="s">
        <v>4240</v>
      </c>
      <c r="B3593" s="151">
        <v>1215</v>
      </c>
      <c r="C3593" s="126" t="s">
        <v>2956</v>
      </c>
      <c r="D3593">
        <v>2452</v>
      </c>
      <c r="E3593" s="126" t="s">
        <v>1985</v>
      </c>
      <c r="F3593" s="122" t="s">
        <v>1607</v>
      </c>
      <c r="G3593" s="122" t="s">
        <v>134</v>
      </c>
      <c r="H3593">
        <v>47</v>
      </c>
      <c r="I3593" s="122" t="s">
        <v>1546</v>
      </c>
      <c r="J3593" s="307" t="s">
        <v>214</v>
      </c>
      <c r="K3593" s="127" t="s">
        <v>4212</v>
      </c>
      <c r="L3593" s="151" t="s">
        <v>3306</v>
      </c>
      <c r="M3593">
        <v>448</v>
      </c>
      <c r="N3593" s="123">
        <v>1</v>
      </c>
      <c r="O3593">
        <v>2337</v>
      </c>
      <c r="P3593" s="132" t="s">
        <v>77</v>
      </c>
      <c r="Q3593" s="131">
        <v>140609.91</v>
      </c>
      <c r="R3593" s="131">
        <v>22497.59</v>
      </c>
      <c r="S3593" s="131"/>
      <c r="T3593" s="155"/>
      <c r="U3593" s="131"/>
      <c r="V3593" s="131">
        <v>163107.5</v>
      </c>
      <c r="W3593">
        <v>36</v>
      </c>
      <c r="X3593" s="151" t="s">
        <v>1430</v>
      </c>
      <c r="Y3593" s="135" t="s">
        <v>55</v>
      </c>
      <c r="Z3593" s="307">
        <v>252</v>
      </c>
      <c r="AB3593" t="str">
        <f>IF(Table1[[#This Row],[TIPO2]]="costo", VLOOKUP(Table1[[#This Row],[PARTIDA PRESUPUESTAL]],'Cost Report'!G:G,1,0),"Balance")</f>
        <v>3902-032</v>
      </c>
      <c r="AC3593" s="118"/>
      <c r="AD3593" s="159">
        <f>+Table1[[#This Row],[SUBTOTAL]]+Table1[[#This Row],[IVA]]-Table1[[#This Row],[RET IVA]]-Table1[[#This Row],[RET ISR]]-Table1[[#This Row],[TOTAL]]</f>
        <v>0</v>
      </c>
      <c r="AE3593" s="150"/>
      <c r="AF3593" s="151"/>
      <c r="AG3593" s="126"/>
      <c r="AK3593" s="306" t="str">
        <f>IF(ISNUMBER(Table1[[#This Row],[FECHA DE RECIBIDO]]), Table1[[#This Row],[FECHA DE RECIBIDO]]-DATE(2023,8,30), "")</f>
        <v/>
      </c>
    </row>
    <row r="3594" spans="1:37" ht="15" customHeight="1">
      <c r="A3594" s="152" t="s">
        <v>4240</v>
      </c>
      <c r="B3594" s="153">
        <v>1215</v>
      </c>
      <c r="C3594" s="126" t="s">
        <v>2956</v>
      </c>
      <c r="D3594">
        <v>2452</v>
      </c>
      <c r="E3594" s="126" t="s">
        <v>1985</v>
      </c>
      <c r="F3594" s="125" t="s">
        <v>1607</v>
      </c>
      <c r="G3594" s="125" t="s">
        <v>134</v>
      </c>
      <c r="H3594">
        <v>47</v>
      </c>
      <c r="I3594" s="125" t="s">
        <v>1546</v>
      </c>
      <c r="J3594" s="308" t="s">
        <v>214</v>
      </c>
      <c r="K3594" s="127" t="s">
        <v>4212</v>
      </c>
      <c r="L3594" s="153" t="s">
        <v>3306</v>
      </c>
      <c r="M3594">
        <v>448</v>
      </c>
      <c r="N3594" s="123">
        <v>1</v>
      </c>
      <c r="O3594">
        <v>2337</v>
      </c>
      <c r="P3594" s="132" t="s">
        <v>77</v>
      </c>
      <c r="Q3594" s="132">
        <v>1096.22</v>
      </c>
      <c r="R3594" s="132">
        <v>175.4</v>
      </c>
      <c r="S3594" s="132"/>
      <c r="T3594" s="156"/>
      <c r="U3594" s="132"/>
      <c r="V3594" s="132">
        <v>1271.6200000000001</v>
      </c>
      <c r="W3594">
        <v>36</v>
      </c>
      <c r="X3594" s="153" t="s">
        <v>1430</v>
      </c>
      <c r="Y3594" s="124" t="s">
        <v>55</v>
      </c>
      <c r="Z3594" s="308">
        <v>252</v>
      </c>
      <c r="AB3594" t="str">
        <f>IF(Table1[[#This Row],[TIPO2]]="costo", VLOOKUP(Table1[[#This Row],[PARTIDA PRESUPUESTAL]],'Cost Report'!G:G,1,0),"Balance")</f>
        <v>3902-032</v>
      </c>
      <c r="AC3594" s="118"/>
      <c r="AD3594" s="159">
        <f>+Table1[[#This Row],[SUBTOTAL]]+Table1[[#This Row],[IVA]]-Table1[[#This Row],[RET IVA]]-Table1[[#This Row],[RET ISR]]-Table1[[#This Row],[TOTAL]]</f>
        <v>0</v>
      </c>
      <c r="AE3594" s="152"/>
      <c r="AF3594" s="153"/>
      <c r="AG3594" s="126"/>
      <c r="AK3594" s="306" t="str">
        <f>IF(ISNUMBER(Table1[[#This Row],[FECHA DE RECIBIDO]]), Table1[[#This Row],[FECHA DE RECIBIDO]]-DATE(2023,8,30), "")</f>
        <v/>
      </c>
    </row>
    <row r="3595" spans="1:37" ht="15" customHeight="1">
      <c r="A3595" s="150" t="s">
        <v>4240</v>
      </c>
      <c r="B3595" s="151">
        <v>1215</v>
      </c>
      <c r="C3595" s="126" t="s">
        <v>1417</v>
      </c>
      <c r="D3595">
        <v>2452</v>
      </c>
      <c r="E3595" s="126" t="s">
        <v>1985</v>
      </c>
      <c r="F3595" s="122" t="s">
        <v>1607</v>
      </c>
      <c r="G3595" s="122" t="s">
        <v>134</v>
      </c>
      <c r="H3595">
        <v>47</v>
      </c>
      <c r="I3595" s="122" t="s">
        <v>1546</v>
      </c>
      <c r="J3595" s="307" t="s">
        <v>214</v>
      </c>
      <c r="K3595" s="127" t="s">
        <v>4212</v>
      </c>
      <c r="L3595" s="151" t="s">
        <v>3306</v>
      </c>
      <c r="M3595">
        <v>448</v>
      </c>
      <c r="N3595" s="123">
        <v>1</v>
      </c>
      <c r="O3595">
        <v>2337</v>
      </c>
      <c r="P3595" s="132" t="s">
        <v>77</v>
      </c>
      <c r="Q3595" s="131">
        <v>6474.7</v>
      </c>
      <c r="R3595" s="131"/>
      <c r="S3595" s="131"/>
      <c r="T3595" s="155"/>
      <c r="U3595" s="131"/>
      <c r="V3595" s="131">
        <v>6474.7</v>
      </c>
      <c r="W3595">
        <v>36</v>
      </c>
      <c r="X3595" s="151" t="s">
        <v>1430</v>
      </c>
      <c r="Y3595" s="135" t="s">
        <v>55</v>
      </c>
      <c r="Z3595" s="307">
        <v>252</v>
      </c>
      <c r="AB3595" t="str">
        <f>IF(Table1[[#This Row],[TIPO2]]="costo", VLOOKUP(Table1[[#This Row],[PARTIDA PRESUPUESTAL]],'Cost Report'!G:G,1,0),"Balance")</f>
        <v>3999-001</v>
      </c>
      <c r="AC3595" s="118"/>
      <c r="AD3595" s="159">
        <f>+Table1[[#This Row],[SUBTOTAL]]+Table1[[#This Row],[IVA]]-Table1[[#This Row],[RET IVA]]-Table1[[#This Row],[RET ISR]]-Table1[[#This Row],[TOTAL]]</f>
        <v>0</v>
      </c>
      <c r="AE3595" s="150"/>
      <c r="AF3595" s="151"/>
      <c r="AG3595" s="126"/>
      <c r="AK3595" s="306" t="str">
        <f>IF(ISNUMBER(Table1[[#This Row],[FECHA DE RECIBIDO]]), Table1[[#This Row],[FECHA DE RECIBIDO]]-DATE(2023,8,30), "")</f>
        <v/>
      </c>
    </row>
    <row r="3596" spans="1:37" ht="15" customHeight="1">
      <c r="A3596" s="152" t="s">
        <v>4241</v>
      </c>
      <c r="B3596" s="153">
        <v>1216</v>
      </c>
      <c r="C3596" s="126" t="s">
        <v>2532</v>
      </c>
      <c r="D3596">
        <v>2453</v>
      </c>
      <c r="E3596" s="126" t="s">
        <v>4242</v>
      </c>
      <c r="F3596" s="125" t="s">
        <v>1589</v>
      </c>
      <c r="G3596" s="125" t="s">
        <v>129</v>
      </c>
      <c r="H3596">
        <v>677</v>
      </c>
      <c r="I3596" s="125" t="s">
        <v>1546</v>
      </c>
      <c r="J3596" s="308" t="s">
        <v>214</v>
      </c>
      <c r="K3596" s="127" t="s">
        <v>4212</v>
      </c>
      <c r="L3596" s="153" t="s">
        <v>3306</v>
      </c>
      <c r="M3596">
        <v>950</v>
      </c>
      <c r="N3596" s="123">
        <v>51</v>
      </c>
      <c r="O3596">
        <v>2338</v>
      </c>
      <c r="P3596" s="132" t="s">
        <v>77</v>
      </c>
      <c r="Q3596" s="132">
        <v>7894.96</v>
      </c>
      <c r="R3596" s="132">
        <v>1263.19</v>
      </c>
      <c r="S3596" s="132"/>
      <c r="T3596" s="156">
        <v>842.13</v>
      </c>
      <c r="U3596" s="132">
        <v>0</v>
      </c>
      <c r="V3596" s="132">
        <v>8316.02</v>
      </c>
      <c r="W3596">
        <v>348</v>
      </c>
      <c r="X3596" s="153" t="s">
        <v>2035</v>
      </c>
      <c r="Y3596" s="124" t="s">
        <v>55</v>
      </c>
      <c r="Z3596" s="308">
        <v>252</v>
      </c>
      <c r="AB3596" t="str">
        <f>IF(Table1[[#This Row],[TIPO2]]="costo", VLOOKUP(Table1[[#This Row],[PARTIDA PRESUPUESTAL]],'Cost Report'!G:G,1,0),"Balance")</f>
        <v>2494-043</v>
      </c>
      <c r="AC3596" s="118"/>
      <c r="AD3596" s="159">
        <f>+Table1[[#This Row],[SUBTOTAL]]+Table1[[#This Row],[IVA]]-Table1[[#This Row],[RET IVA]]-Table1[[#This Row],[RET ISR]]-Table1[[#This Row],[TOTAL]]</f>
        <v>0</v>
      </c>
      <c r="AE3596" s="152"/>
      <c r="AF3596" s="153"/>
      <c r="AG3596" s="126"/>
      <c r="AK3596" s="306" t="str">
        <f>IF(ISNUMBER(Table1[[#This Row],[FECHA DE RECIBIDO]]), Table1[[#This Row],[FECHA DE RECIBIDO]]-DATE(2023,8,30), "")</f>
        <v/>
      </c>
    </row>
    <row r="3597" spans="1:37" ht="15" customHeight="1">
      <c r="A3597" s="150" t="s">
        <v>4243</v>
      </c>
      <c r="B3597" s="151">
        <v>1217</v>
      </c>
      <c r="C3597" s="126" t="s">
        <v>2184</v>
      </c>
      <c r="D3597">
        <v>2454</v>
      </c>
      <c r="E3597" s="126" t="s">
        <v>3122</v>
      </c>
      <c r="F3597" s="122" t="s">
        <v>1607</v>
      </c>
      <c r="G3597" s="122" t="s">
        <v>134</v>
      </c>
      <c r="H3597">
        <v>186</v>
      </c>
      <c r="I3597" s="122" t="s">
        <v>1546</v>
      </c>
      <c r="J3597" s="307" t="s">
        <v>214</v>
      </c>
      <c r="K3597" s="127" t="s">
        <v>4212</v>
      </c>
      <c r="L3597" s="151" t="s">
        <v>3306</v>
      </c>
      <c r="M3597">
        <v>251</v>
      </c>
      <c r="N3597" s="123">
        <v>1</v>
      </c>
      <c r="O3597">
        <v>2339</v>
      </c>
      <c r="P3597" s="132" t="s">
        <v>77</v>
      </c>
      <c r="Q3597" s="131">
        <v>339362.5</v>
      </c>
      <c r="R3597" s="131">
        <v>54298</v>
      </c>
      <c r="S3597" s="131"/>
      <c r="T3597" s="155">
        <v>0</v>
      </c>
      <c r="U3597" s="131">
        <v>0</v>
      </c>
      <c r="V3597" s="131">
        <v>393660.5</v>
      </c>
      <c r="W3597">
        <v>107</v>
      </c>
      <c r="X3597" s="151" t="s">
        <v>195</v>
      </c>
      <c r="Y3597" s="135" t="s">
        <v>55</v>
      </c>
      <c r="Z3597" s="307">
        <v>252</v>
      </c>
      <c r="AB3597" t="str">
        <f>IF(Table1[[#This Row],[TIPO2]]="costo", VLOOKUP(Table1[[#This Row],[PARTIDA PRESUPUESTAL]],'Cost Report'!G:G,1,0),"Balance")</f>
        <v>1401-071</v>
      </c>
      <c r="AC3597" s="118"/>
      <c r="AD3597" s="159">
        <f>+Table1[[#This Row],[SUBTOTAL]]+Table1[[#This Row],[IVA]]-Table1[[#This Row],[RET IVA]]-Table1[[#This Row],[RET ISR]]-Table1[[#This Row],[TOTAL]]</f>
        <v>0</v>
      </c>
      <c r="AE3597" s="150"/>
      <c r="AF3597" s="151"/>
      <c r="AG3597" s="126"/>
      <c r="AK3597" s="306" t="str">
        <f>IF(ISNUMBER(Table1[[#This Row],[FECHA DE RECIBIDO]]), Table1[[#This Row],[FECHA DE RECIBIDO]]-DATE(2023,8,30), "")</f>
        <v/>
      </c>
    </row>
    <row r="3598" spans="1:37" ht="15" customHeight="1">
      <c r="A3598" s="152" t="s">
        <v>4244</v>
      </c>
      <c r="B3598" s="153">
        <v>1218</v>
      </c>
      <c r="C3598" s="126" t="s">
        <v>469</v>
      </c>
      <c r="D3598">
        <v>2455</v>
      </c>
      <c r="E3598" s="126" t="s">
        <v>1605</v>
      </c>
      <c r="F3598" s="125" t="s">
        <v>1607</v>
      </c>
      <c r="G3598" s="125" t="s">
        <v>134</v>
      </c>
      <c r="H3598">
        <v>5</v>
      </c>
      <c r="I3598" s="125" t="s">
        <v>1546</v>
      </c>
      <c r="J3598" s="308" t="s">
        <v>214</v>
      </c>
      <c r="K3598" s="127" t="s">
        <v>4212</v>
      </c>
      <c r="L3598" s="153" t="s">
        <v>3306</v>
      </c>
      <c r="M3598">
        <v>5</v>
      </c>
      <c r="N3598" s="123">
        <v>0</v>
      </c>
      <c r="O3598">
        <v>2340</v>
      </c>
      <c r="P3598" s="132" t="s">
        <v>77</v>
      </c>
      <c r="Q3598" s="132">
        <v>46000</v>
      </c>
      <c r="R3598" s="132">
        <v>7360</v>
      </c>
      <c r="S3598" s="132"/>
      <c r="T3598" s="156">
        <v>0</v>
      </c>
      <c r="U3598" s="132">
        <v>0</v>
      </c>
      <c r="V3598" s="132">
        <v>53360</v>
      </c>
      <c r="W3598">
        <v>4</v>
      </c>
      <c r="X3598" s="153" t="s">
        <v>1472</v>
      </c>
      <c r="Y3598" s="124" t="s">
        <v>55</v>
      </c>
      <c r="Z3598" s="308">
        <v>252</v>
      </c>
      <c r="AB3598" t="str">
        <f>IF(Table1[[#This Row],[TIPO2]]="costo", VLOOKUP(Table1[[#This Row],[PARTIDA PRESUPUESTAL]],'Cost Report'!G:G,1,0),"Balance")</f>
        <v>2010-012</v>
      </c>
      <c r="AC3598" s="118"/>
      <c r="AD3598" s="159">
        <f>+Table1[[#This Row],[SUBTOTAL]]+Table1[[#This Row],[IVA]]-Table1[[#This Row],[RET IVA]]-Table1[[#This Row],[RET ISR]]-Table1[[#This Row],[TOTAL]]</f>
        <v>0</v>
      </c>
      <c r="AE3598" s="152"/>
      <c r="AF3598" s="153"/>
      <c r="AG3598" s="126"/>
      <c r="AK3598" s="306" t="str">
        <f>IF(ISNUMBER(Table1[[#This Row],[FECHA DE RECIBIDO]]), Table1[[#This Row],[FECHA DE RECIBIDO]]-DATE(2023,8,30), "")</f>
        <v/>
      </c>
    </row>
    <row r="3599" spans="1:37" ht="15" customHeight="1">
      <c r="A3599" s="150" t="s">
        <v>4244</v>
      </c>
      <c r="B3599" s="151">
        <v>1218</v>
      </c>
      <c r="C3599" s="126" t="s">
        <v>2395</v>
      </c>
      <c r="D3599">
        <v>2455</v>
      </c>
      <c r="E3599" s="126" t="s">
        <v>1605</v>
      </c>
      <c r="F3599" s="122" t="s">
        <v>1607</v>
      </c>
      <c r="G3599" s="122" t="s">
        <v>134</v>
      </c>
      <c r="H3599">
        <v>5</v>
      </c>
      <c r="I3599" s="122" t="s">
        <v>1546</v>
      </c>
      <c r="J3599" s="307" t="s">
        <v>214</v>
      </c>
      <c r="K3599" s="127" t="s">
        <v>4212</v>
      </c>
      <c r="L3599" s="151" t="s">
        <v>3306</v>
      </c>
      <c r="M3599">
        <v>5</v>
      </c>
      <c r="N3599" s="123">
        <v>0</v>
      </c>
      <c r="O3599">
        <v>2340</v>
      </c>
      <c r="P3599" s="132" t="s">
        <v>77</v>
      </c>
      <c r="Q3599" s="131">
        <v>24000</v>
      </c>
      <c r="R3599" s="131">
        <v>3840</v>
      </c>
      <c r="S3599" s="131"/>
      <c r="T3599" s="155">
        <v>0</v>
      </c>
      <c r="U3599" s="131">
        <v>0</v>
      </c>
      <c r="V3599" s="131">
        <v>27840</v>
      </c>
      <c r="W3599">
        <v>4</v>
      </c>
      <c r="X3599" s="151" t="s">
        <v>1472</v>
      </c>
      <c r="Y3599" s="135" t="s">
        <v>55</v>
      </c>
      <c r="Z3599" s="307">
        <v>252</v>
      </c>
      <c r="AB3599" t="str">
        <f>IF(Table1[[#This Row],[TIPO2]]="costo", VLOOKUP(Table1[[#This Row],[PARTIDA PRESUPUESTAL]],'Cost Report'!G:G,1,0),"Balance")</f>
        <v>2011-005</v>
      </c>
      <c r="AC3599" s="118"/>
      <c r="AD3599" s="159">
        <f>+Table1[[#This Row],[SUBTOTAL]]+Table1[[#This Row],[IVA]]-Table1[[#This Row],[RET IVA]]-Table1[[#This Row],[RET ISR]]-Table1[[#This Row],[TOTAL]]</f>
        <v>0</v>
      </c>
      <c r="AE3599" s="150"/>
      <c r="AF3599" s="151"/>
      <c r="AG3599" s="126"/>
      <c r="AK3599" s="306" t="str">
        <f>IF(ISNUMBER(Table1[[#This Row],[FECHA DE RECIBIDO]]), Table1[[#This Row],[FECHA DE RECIBIDO]]-DATE(2023,8,30), "")</f>
        <v/>
      </c>
    </row>
    <row r="3600" spans="1:37" ht="15" customHeight="1">
      <c r="A3600" s="152" t="s">
        <v>4244</v>
      </c>
      <c r="B3600" s="153">
        <v>1218</v>
      </c>
      <c r="C3600" s="126" t="s">
        <v>2401</v>
      </c>
      <c r="D3600">
        <v>2455</v>
      </c>
      <c r="E3600" s="126" t="s">
        <v>1605</v>
      </c>
      <c r="F3600" s="125" t="s">
        <v>1607</v>
      </c>
      <c r="G3600" s="125" t="s">
        <v>134</v>
      </c>
      <c r="H3600">
        <v>5</v>
      </c>
      <c r="I3600" s="125" t="s">
        <v>1546</v>
      </c>
      <c r="J3600" s="308" t="s">
        <v>214</v>
      </c>
      <c r="K3600" s="127" t="s">
        <v>4212</v>
      </c>
      <c r="L3600" s="153" t="s">
        <v>3306</v>
      </c>
      <c r="M3600">
        <v>5</v>
      </c>
      <c r="N3600" s="123">
        <v>0</v>
      </c>
      <c r="O3600">
        <v>2340</v>
      </c>
      <c r="P3600" s="132" t="s">
        <v>77</v>
      </c>
      <c r="Q3600" s="132">
        <v>20000</v>
      </c>
      <c r="R3600" s="132">
        <v>3200</v>
      </c>
      <c r="S3600" s="132"/>
      <c r="T3600" s="156">
        <v>0</v>
      </c>
      <c r="U3600" s="132">
        <v>0</v>
      </c>
      <c r="V3600" s="132">
        <v>23200</v>
      </c>
      <c r="W3600">
        <v>4</v>
      </c>
      <c r="X3600" s="153" t="s">
        <v>1472</v>
      </c>
      <c r="Y3600" s="124" t="s">
        <v>55</v>
      </c>
      <c r="Z3600" s="308">
        <v>252</v>
      </c>
      <c r="AB3600" t="str">
        <f>IF(Table1[[#This Row],[TIPO2]]="costo", VLOOKUP(Table1[[#This Row],[PARTIDA PRESUPUESTAL]],'Cost Report'!G:G,1,0),"Balance")</f>
        <v>2011-013</v>
      </c>
      <c r="AC3600" s="118"/>
      <c r="AD3600" s="159">
        <f>+Table1[[#This Row],[SUBTOTAL]]+Table1[[#This Row],[IVA]]-Table1[[#This Row],[RET IVA]]-Table1[[#This Row],[RET ISR]]-Table1[[#This Row],[TOTAL]]</f>
        <v>0</v>
      </c>
      <c r="AE3600" s="152"/>
      <c r="AF3600" s="153"/>
      <c r="AG3600" s="126"/>
      <c r="AK3600" s="306" t="str">
        <f>IF(ISNUMBER(Table1[[#This Row],[FECHA DE RECIBIDO]]), Table1[[#This Row],[FECHA DE RECIBIDO]]-DATE(2023,8,30), "")</f>
        <v/>
      </c>
    </row>
    <row r="3601" spans="1:37" ht="15" customHeight="1">
      <c r="A3601" s="150"/>
      <c r="B3601" s="151">
        <v>1219</v>
      </c>
      <c r="C3601" s="126" t="s">
        <v>2407</v>
      </c>
      <c r="D3601">
        <v>2456</v>
      </c>
      <c r="E3601" s="126" t="s">
        <v>1629</v>
      </c>
      <c r="F3601" s="122" t="s">
        <v>1607</v>
      </c>
      <c r="G3601" s="122" t="s">
        <v>134</v>
      </c>
      <c r="H3601">
        <v>5</v>
      </c>
      <c r="I3601" s="122" t="s">
        <v>1546</v>
      </c>
      <c r="J3601" s="307" t="s">
        <v>214</v>
      </c>
      <c r="K3601" s="127" t="s">
        <v>4212</v>
      </c>
      <c r="L3601" s="151" t="s">
        <v>3306</v>
      </c>
      <c r="M3601">
        <v>5</v>
      </c>
      <c r="N3601" s="123">
        <v>0</v>
      </c>
      <c r="O3601">
        <v>2341</v>
      </c>
      <c r="P3601" s="132" t="s">
        <v>77</v>
      </c>
      <c r="Q3601" s="131">
        <v>11000</v>
      </c>
      <c r="R3601" s="131">
        <v>1760</v>
      </c>
      <c r="S3601" s="131"/>
      <c r="T3601" s="155">
        <v>0</v>
      </c>
      <c r="U3601" s="131">
        <v>0</v>
      </c>
      <c r="V3601" s="131">
        <v>12760</v>
      </c>
      <c r="W3601">
        <v>4</v>
      </c>
      <c r="X3601" s="151" t="s">
        <v>1472</v>
      </c>
      <c r="Y3601" s="135" t="s">
        <v>55</v>
      </c>
      <c r="Z3601" s="307">
        <v>252</v>
      </c>
      <c r="AB3601" t="str">
        <f>IF(Table1[[#This Row],[TIPO2]]="costo", VLOOKUP(Table1[[#This Row],[PARTIDA PRESUPUESTAL]],'Cost Report'!G:G,1,0),"Balance")</f>
        <v>2011-021</v>
      </c>
      <c r="AC3601" s="118"/>
      <c r="AD3601" s="159">
        <f>+Table1[[#This Row],[SUBTOTAL]]+Table1[[#This Row],[IVA]]-Table1[[#This Row],[RET IVA]]-Table1[[#This Row],[RET ISR]]-Table1[[#This Row],[TOTAL]]</f>
        <v>0</v>
      </c>
      <c r="AE3601" s="150"/>
      <c r="AF3601" s="151"/>
      <c r="AG3601" s="126"/>
      <c r="AK3601" s="306" t="str">
        <f>IF(ISNUMBER(Table1[[#This Row],[FECHA DE RECIBIDO]]), Table1[[#This Row],[FECHA DE RECIBIDO]]-DATE(2023,8,30), "")</f>
        <v/>
      </c>
    </row>
    <row r="3602" spans="1:37" ht="15" customHeight="1">
      <c r="A3602" s="152"/>
      <c r="B3602" s="153">
        <v>1220</v>
      </c>
      <c r="C3602" s="126" t="s">
        <v>3088</v>
      </c>
      <c r="D3602">
        <v>2457</v>
      </c>
      <c r="E3602" s="126" t="s">
        <v>1605</v>
      </c>
      <c r="F3602" s="125" t="s">
        <v>1607</v>
      </c>
      <c r="G3602" s="125" t="s">
        <v>134</v>
      </c>
      <c r="H3602">
        <v>5</v>
      </c>
      <c r="I3602" s="125" t="s">
        <v>1546</v>
      </c>
      <c r="J3602" s="308" t="s">
        <v>214</v>
      </c>
      <c r="K3602" s="127" t="s">
        <v>4212</v>
      </c>
      <c r="L3602" s="153" t="s">
        <v>3306</v>
      </c>
      <c r="M3602">
        <v>5</v>
      </c>
      <c r="N3602" s="123">
        <v>0</v>
      </c>
      <c r="O3602">
        <v>2342</v>
      </c>
      <c r="P3602" s="132" t="s">
        <v>77</v>
      </c>
      <c r="Q3602" s="132">
        <v>11000</v>
      </c>
      <c r="R3602" s="132">
        <v>1760</v>
      </c>
      <c r="S3602" s="132"/>
      <c r="T3602" s="156">
        <v>0</v>
      </c>
      <c r="U3602" s="132">
        <v>0</v>
      </c>
      <c r="V3602" s="132">
        <v>12760</v>
      </c>
      <c r="W3602">
        <v>4</v>
      </c>
      <c r="X3602" s="153" t="s">
        <v>1472</v>
      </c>
      <c r="Y3602" s="124" t="s">
        <v>55</v>
      </c>
      <c r="Z3602" s="308">
        <v>252</v>
      </c>
      <c r="AB3602" t="str">
        <f>IF(Table1[[#This Row],[TIPO2]]="costo", VLOOKUP(Table1[[#This Row],[PARTIDA PRESUPUESTAL]],'Cost Report'!G:G,1,0),"Balance")</f>
        <v>7001-005</v>
      </c>
      <c r="AC3602" s="118"/>
      <c r="AD3602" s="159">
        <f>+Table1[[#This Row],[SUBTOTAL]]+Table1[[#This Row],[IVA]]-Table1[[#This Row],[RET IVA]]-Table1[[#This Row],[RET ISR]]-Table1[[#This Row],[TOTAL]]</f>
        <v>0</v>
      </c>
      <c r="AE3602" s="152"/>
      <c r="AF3602" s="153"/>
      <c r="AG3602" s="126"/>
      <c r="AK3602" s="306" t="str">
        <f>IF(ISNUMBER(Table1[[#This Row],[FECHA DE RECIBIDO]]), Table1[[#This Row],[FECHA DE RECIBIDO]]-DATE(2023,8,30), "")</f>
        <v/>
      </c>
    </row>
    <row r="3603" spans="1:37" ht="15" customHeight="1">
      <c r="A3603" s="150" t="s">
        <v>4245</v>
      </c>
      <c r="B3603" s="151">
        <v>1221</v>
      </c>
      <c r="C3603" s="126" t="s">
        <v>1013</v>
      </c>
      <c r="D3603"/>
      <c r="E3603" s="126" t="s">
        <v>1911</v>
      </c>
      <c r="F3603" s="122" t="s">
        <v>1911</v>
      </c>
      <c r="G3603" s="122" t="s">
        <v>1911</v>
      </c>
      <c r="H3603"/>
      <c r="I3603" s="122" t="s">
        <v>1911</v>
      </c>
      <c r="J3603" s="307" t="s">
        <v>214</v>
      </c>
      <c r="K3603" s="127" t="s">
        <v>4212</v>
      </c>
      <c r="L3603" s="151" t="s">
        <v>3306</v>
      </c>
      <c r="M3603">
        <v>951</v>
      </c>
      <c r="N3603" s="123">
        <v>24</v>
      </c>
      <c r="O3603">
        <v>2343</v>
      </c>
      <c r="P3603" s="132" t="s">
        <v>77</v>
      </c>
      <c r="Q3603" s="131">
        <v>51750</v>
      </c>
      <c r="R3603" s="131">
        <v>0</v>
      </c>
      <c r="S3603" s="131"/>
      <c r="T3603" s="155">
        <v>0</v>
      </c>
      <c r="U3603" s="131">
        <v>0</v>
      </c>
      <c r="V3603" s="131">
        <v>51750</v>
      </c>
      <c r="W3603">
        <v>349</v>
      </c>
      <c r="X3603" s="151" t="s">
        <v>1703</v>
      </c>
      <c r="Y3603" s="135" t="s">
        <v>55</v>
      </c>
      <c r="Z3603" s="307">
        <v>252</v>
      </c>
      <c r="AB3603" t="str">
        <f>IF(Table1[[#This Row],[TIPO2]]="costo", VLOOKUP(Table1[[#This Row],[PARTIDA PRESUPUESTAL]],'Cost Report'!G:G,1,0),"Balance")</f>
        <v>3412-063</v>
      </c>
      <c r="AC3603" s="118"/>
      <c r="AD3603" s="159">
        <f>+Table1[[#This Row],[SUBTOTAL]]+Table1[[#This Row],[IVA]]-Table1[[#This Row],[RET IVA]]-Table1[[#This Row],[RET ISR]]-Table1[[#This Row],[TOTAL]]</f>
        <v>0</v>
      </c>
      <c r="AE3603" s="150"/>
      <c r="AF3603" s="151"/>
      <c r="AG3603" s="126"/>
      <c r="AK3603" s="306" t="str">
        <f>IF(ISNUMBER(Table1[[#This Row],[FECHA DE RECIBIDO]]), Table1[[#This Row],[FECHA DE RECIBIDO]]-DATE(2023,8,30), "")</f>
        <v/>
      </c>
    </row>
    <row r="3604" spans="1:37" ht="15" customHeight="1">
      <c r="A3604" s="152" t="s">
        <v>4246</v>
      </c>
      <c r="B3604" s="153">
        <v>1222</v>
      </c>
      <c r="C3604" s="126" t="s">
        <v>1035</v>
      </c>
      <c r="D3604">
        <v>2458</v>
      </c>
      <c r="E3604" s="126" t="s">
        <v>2001</v>
      </c>
      <c r="F3604" s="125" t="s">
        <v>1607</v>
      </c>
      <c r="G3604" s="125" t="s">
        <v>134</v>
      </c>
      <c r="H3604">
        <v>23</v>
      </c>
      <c r="I3604" s="125" t="s">
        <v>1546</v>
      </c>
      <c r="J3604" s="308" t="s">
        <v>214</v>
      </c>
      <c r="K3604" s="127" t="s">
        <v>4212</v>
      </c>
      <c r="L3604" s="153" t="s">
        <v>3306</v>
      </c>
      <c r="M3604">
        <v>343</v>
      </c>
      <c r="N3604" s="123">
        <v>1</v>
      </c>
      <c r="O3604">
        <v>2344</v>
      </c>
      <c r="P3604" s="132" t="s">
        <v>77</v>
      </c>
      <c r="Q3604" s="132">
        <v>6625.91</v>
      </c>
      <c r="R3604" s="132">
        <v>1060.1456000000001</v>
      </c>
      <c r="S3604" s="132"/>
      <c r="T3604" s="156"/>
      <c r="U3604" s="132"/>
      <c r="V3604" s="132">
        <v>7686.0555999999997</v>
      </c>
      <c r="W3604">
        <v>25</v>
      </c>
      <c r="X3604" s="153" t="s">
        <v>2024</v>
      </c>
      <c r="Y3604" s="124" t="s">
        <v>55</v>
      </c>
      <c r="Z3604" s="308">
        <v>252</v>
      </c>
      <c r="AB3604" t="str">
        <f>IF(Table1[[#This Row],[TIPO2]]="costo", VLOOKUP(Table1[[#This Row],[PARTIDA PRESUPUESTAL]],'Cost Report'!G:G,1,0),"Balance")</f>
        <v>3683-006</v>
      </c>
      <c r="AC3604" s="118"/>
      <c r="AD3604" s="159">
        <f>+Table1[[#This Row],[SUBTOTAL]]+Table1[[#This Row],[IVA]]-Table1[[#This Row],[RET IVA]]-Table1[[#This Row],[RET ISR]]-Table1[[#This Row],[TOTAL]]</f>
        <v>0</v>
      </c>
      <c r="AE3604" s="152"/>
      <c r="AF3604" s="153"/>
      <c r="AG3604" s="126"/>
      <c r="AK3604" s="306" t="str">
        <f>IF(ISNUMBER(Table1[[#This Row],[FECHA DE RECIBIDO]]), Table1[[#This Row],[FECHA DE RECIBIDO]]-DATE(2023,8,30), "")</f>
        <v/>
      </c>
    </row>
    <row r="3605" spans="1:37" ht="15" customHeight="1">
      <c r="A3605" s="150" t="s">
        <v>4246</v>
      </c>
      <c r="B3605" s="151">
        <v>1222</v>
      </c>
      <c r="C3605" s="126" t="s">
        <v>1039</v>
      </c>
      <c r="D3605">
        <v>2458</v>
      </c>
      <c r="E3605" s="126" t="s">
        <v>2001</v>
      </c>
      <c r="F3605" s="122" t="s">
        <v>1607</v>
      </c>
      <c r="G3605" s="122" t="s">
        <v>134</v>
      </c>
      <c r="H3605">
        <v>23</v>
      </c>
      <c r="I3605" s="122" t="s">
        <v>1546</v>
      </c>
      <c r="J3605" s="307" t="s">
        <v>214</v>
      </c>
      <c r="K3605" s="127" t="s">
        <v>4212</v>
      </c>
      <c r="L3605" s="151" t="s">
        <v>3306</v>
      </c>
      <c r="M3605">
        <v>343</v>
      </c>
      <c r="N3605" s="123">
        <v>1</v>
      </c>
      <c r="O3605">
        <v>2344</v>
      </c>
      <c r="P3605" s="132" t="s">
        <v>77</v>
      </c>
      <c r="Q3605" s="131">
        <v>6909.5</v>
      </c>
      <c r="R3605" s="131">
        <v>1105.52</v>
      </c>
      <c r="S3605" s="131"/>
      <c r="T3605" s="155"/>
      <c r="U3605" s="131"/>
      <c r="V3605" s="131">
        <v>8015.02</v>
      </c>
      <c r="W3605">
        <v>25</v>
      </c>
      <c r="X3605" s="151" t="s">
        <v>2024</v>
      </c>
      <c r="Y3605" s="135" t="s">
        <v>55</v>
      </c>
      <c r="Z3605" s="307">
        <v>252</v>
      </c>
      <c r="AB3605" t="str">
        <f>IF(Table1[[#This Row],[TIPO2]]="costo", VLOOKUP(Table1[[#This Row],[PARTIDA PRESUPUESTAL]],'Cost Report'!G:G,1,0),"Balance")</f>
        <v>3683-012</v>
      </c>
      <c r="AC3605" s="118"/>
      <c r="AD3605" s="159">
        <f>+Table1[[#This Row],[SUBTOTAL]]+Table1[[#This Row],[IVA]]-Table1[[#This Row],[RET IVA]]-Table1[[#This Row],[RET ISR]]-Table1[[#This Row],[TOTAL]]</f>
        <v>0</v>
      </c>
      <c r="AE3605" s="150"/>
      <c r="AF3605" s="151"/>
      <c r="AG3605" s="126"/>
      <c r="AK3605" s="306" t="str">
        <f>IF(ISNUMBER(Table1[[#This Row],[FECHA DE RECIBIDO]]), Table1[[#This Row],[FECHA DE RECIBIDO]]-DATE(2023,8,30), "")</f>
        <v/>
      </c>
    </row>
    <row r="3606" spans="1:37" ht="15" customHeight="1">
      <c r="A3606" s="152" t="s">
        <v>4246</v>
      </c>
      <c r="B3606" s="153">
        <v>1222</v>
      </c>
      <c r="C3606" s="126" t="s">
        <v>1043</v>
      </c>
      <c r="D3606">
        <v>2458</v>
      </c>
      <c r="E3606" s="126" t="s">
        <v>2001</v>
      </c>
      <c r="F3606" s="125" t="s">
        <v>1607</v>
      </c>
      <c r="G3606" s="125" t="s">
        <v>134</v>
      </c>
      <c r="H3606">
        <v>23</v>
      </c>
      <c r="I3606" s="125" t="s">
        <v>1546</v>
      </c>
      <c r="J3606" s="308" t="s">
        <v>214</v>
      </c>
      <c r="K3606" s="127" t="s">
        <v>4212</v>
      </c>
      <c r="L3606" s="153" t="s">
        <v>3306</v>
      </c>
      <c r="M3606">
        <v>343</v>
      </c>
      <c r="N3606" s="123">
        <v>1</v>
      </c>
      <c r="O3606">
        <v>2344</v>
      </c>
      <c r="P3606" s="132" t="s">
        <v>77</v>
      </c>
      <c r="Q3606" s="132">
        <v>10151.56</v>
      </c>
      <c r="R3606" s="132">
        <v>1624.2495999999999</v>
      </c>
      <c r="S3606" s="132"/>
      <c r="T3606" s="156"/>
      <c r="U3606" s="132"/>
      <c r="V3606" s="132">
        <v>11775.809599999999</v>
      </c>
      <c r="W3606">
        <v>25</v>
      </c>
      <c r="X3606" s="153" t="s">
        <v>2024</v>
      </c>
      <c r="Y3606" s="124" t="s">
        <v>55</v>
      </c>
      <c r="Z3606" s="308">
        <v>252</v>
      </c>
      <c r="AB3606" t="str">
        <f>IF(Table1[[#This Row],[TIPO2]]="costo", VLOOKUP(Table1[[#This Row],[PARTIDA PRESUPUESTAL]],'Cost Report'!G:G,1,0),"Balance")</f>
        <v>3683-018</v>
      </c>
      <c r="AC3606" s="118"/>
      <c r="AD3606" s="159">
        <f>+Table1[[#This Row],[SUBTOTAL]]+Table1[[#This Row],[IVA]]-Table1[[#This Row],[RET IVA]]-Table1[[#This Row],[RET ISR]]-Table1[[#This Row],[TOTAL]]</f>
        <v>0</v>
      </c>
      <c r="AE3606" s="152"/>
      <c r="AF3606" s="153"/>
      <c r="AG3606" s="126"/>
      <c r="AK3606" s="306" t="str">
        <f>IF(ISNUMBER(Table1[[#This Row],[FECHA DE RECIBIDO]]), Table1[[#This Row],[FECHA DE RECIBIDO]]-DATE(2023,8,30), "")</f>
        <v/>
      </c>
    </row>
    <row r="3607" spans="1:37" ht="15" customHeight="1">
      <c r="A3607" s="150" t="s">
        <v>4246</v>
      </c>
      <c r="B3607" s="151">
        <v>1222</v>
      </c>
      <c r="C3607" s="126" t="s">
        <v>1047</v>
      </c>
      <c r="D3607">
        <v>2458</v>
      </c>
      <c r="E3607" s="126" t="s">
        <v>2001</v>
      </c>
      <c r="F3607" s="122" t="s">
        <v>1607</v>
      </c>
      <c r="G3607" s="122" t="s">
        <v>134</v>
      </c>
      <c r="H3607">
        <v>23</v>
      </c>
      <c r="I3607" s="122" t="s">
        <v>1546</v>
      </c>
      <c r="J3607" s="307" t="s">
        <v>214</v>
      </c>
      <c r="K3607" s="127" t="s">
        <v>4212</v>
      </c>
      <c r="L3607" s="151" t="s">
        <v>3306</v>
      </c>
      <c r="M3607">
        <v>343</v>
      </c>
      <c r="N3607" s="123">
        <v>1</v>
      </c>
      <c r="O3607">
        <v>2344</v>
      </c>
      <c r="P3607" s="132" t="s">
        <v>77</v>
      </c>
      <c r="Q3607" s="131">
        <v>4962.99</v>
      </c>
      <c r="R3607" s="131">
        <v>794.07839999999999</v>
      </c>
      <c r="S3607" s="131"/>
      <c r="T3607" s="155"/>
      <c r="U3607" s="131"/>
      <c r="V3607" s="131">
        <v>5757.0684000000001</v>
      </c>
      <c r="W3607">
        <v>25</v>
      </c>
      <c r="X3607" s="151" t="s">
        <v>2024</v>
      </c>
      <c r="Y3607" s="135" t="s">
        <v>55</v>
      </c>
      <c r="Z3607" s="307">
        <v>252</v>
      </c>
      <c r="AB3607" t="str">
        <f>IF(Table1[[#This Row],[TIPO2]]="costo", VLOOKUP(Table1[[#This Row],[PARTIDA PRESUPUESTAL]],'Cost Report'!G:G,1,0),"Balance")</f>
        <v>3683-024</v>
      </c>
      <c r="AC3607" s="118"/>
      <c r="AD3607" s="159">
        <f>+Table1[[#This Row],[SUBTOTAL]]+Table1[[#This Row],[IVA]]-Table1[[#This Row],[RET IVA]]-Table1[[#This Row],[RET ISR]]-Table1[[#This Row],[TOTAL]]</f>
        <v>0</v>
      </c>
      <c r="AE3607" s="150"/>
      <c r="AF3607" s="151"/>
      <c r="AG3607" s="126"/>
      <c r="AK3607" s="306" t="str">
        <f>IF(ISNUMBER(Table1[[#This Row],[FECHA DE RECIBIDO]]), Table1[[#This Row],[FECHA DE RECIBIDO]]-DATE(2023,8,30), "")</f>
        <v/>
      </c>
    </row>
    <row r="3608" spans="1:37" ht="15" customHeight="1">
      <c r="A3608" s="152" t="s">
        <v>4246</v>
      </c>
      <c r="B3608" s="153">
        <v>1222</v>
      </c>
      <c r="C3608" s="126" t="s">
        <v>1051</v>
      </c>
      <c r="D3608">
        <v>2458</v>
      </c>
      <c r="E3608" s="126" t="s">
        <v>2001</v>
      </c>
      <c r="F3608" s="125" t="s">
        <v>1607</v>
      </c>
      <c r="G3608" s="125" t="s">
        <v>134</v>
      </c>
      <c r="H3608">
        <v>23</v>
      </c>
      <c r="I3608" s="125" t="s">
        <v>1546</v>
      </c>
      <c r="J3608" s="308" t="s">
        <v>214</v>
      </c>
      <c r="K3608" s="127" t="s">
        <v>4212</v>
      </c>
      <c r="L3608" s="153" t="s">
        <v>3306</v>
      </c>
      <c r="M3608">
        <v>343</v>
      </c>
      <c r="N3608" s="123">
        <v>1</v>
      </c>
      <c r="O3608">
        <v>2344</v>
      </c>
      <c r="P3608" s="132" t="s">
        <v>77</v>
      </c>
      <c r="Q3608" s="132">
        <v>4668.57</v>
      </c>
      <c r="R3608" s="132">
        <v>746.97119999999995</v>
      </c>
      <c r="S3608" s="132"/>
      <c r="T3608" s="156"/>
      <c r="U3608" s="132"/>
      <c r="V3608" s="132">
        <v>5415.5411999999997</v>
      </c>
      <c r="W3608">
        <v>25</v>
      </c>
      <c r="X3608" s="153" t="s">
        <v>2024</v>
      </c>
      <c r="Y3608" s="124" t="s">
        <v>55</v>
      </c>
      <c r="Z3608" s="308">
        <v>252</v>
      </c>
      <c r="AB3608" t="str">
        <f>IF(Table1[[#This Row],[TIPO2]]="costo", VLOOKUP(Table1[[#This Row],[PARTIDA PRESUPUESTAL]],'Cost Report'!G:G,1,0),"Balance")</f>
        <v>3683-030</v>
      </c>
      <c r="AC3608" s="118"/>
      <c r="AD3608" s="159">
        <f>+Table1[[#This Row],[SUBTOTAL]]+Table1[[#This Row],[IVA]]-Table1[[#This Row],[RET IVA]]-Table1[[#This Row],[RET ISR]]-Table1[[#This Row],[TOTAL]]</f>
        <v>0</v>
      </c>
      <c r="AE3608" s="152"/>
      <c r="AF3608" s="153"/>
      <c r="AG3608" s="126"/>
      <c r="AK3608" s="306" t="str">
        <f>IF(ISNUMBER(Table1[[#This Row],[FECHA DE RECIBIDO]]), Table1[[#This Row],[FECHA DE RECIBIDO]]-DATE(2023,8,30), "")</f>
        <v/>
      </c>
    </row>
    <row r="3609" spans="1:37" ht="15" customHeight="1">
      <c r="A3609" s="150" t="s">
        <v>4246</v>
      </c>
      <c r="B3609" s="151">
        <v>1222</v>
      </c>
      <c r="C3609" s="126" t="s">
        <v>2897</v>
      </c>
      <c r="D3609">
        <v>2458</v>
      </c>
      <c r="E3609" s="126" t="s">
        <v>2001</v>
      </c>
      <c r="F3609" s="122" t="s">
        <v>1607</v>
      </c>
      <c r="G3609" s="122" t="s">
        <v>134</v>
      </c>
      <c r="H3609">
        <v>23</v>
      </c>
      <c r="I3609" s="122" t="s">
        <v>1546</v>
      </c>
      <c r="J3609" s="307" t="s">
        <v>214</v>
      </c>
      <c r="K3609" s="127" t="s">
        <v>4212</v>
      </c>
      <c r="L3609" s="151" t="s">
        <v>3306</v>
      </c>
      <c r="M3609">
        <v>343</v>
      </c>
      <c r="N3609" s="123">
        <v>1</v>
      </c>
      <c r="O3609">
        <v>2344</v>
      </c>
      <c r="P3609" s="132" t="s">
        <v>77</v>
      </c>
      <c r="Q3609" s="131">
        <v>2271.9</v>
      </c>
      <c r="R3609" s="131">
        <v>363.50400000000002</v>
      </c>
      <c r="S3609" s="131"/>
      <c r="T3609" s="155"/>
      <c r="U3609" s="131"/>
      <c r="V3609" s="131">
        <v>2635.404</v>
      </c>
      <c r="W3609">
        <v>25</v>
      </c>
      <c r="X3609" s="151" t="s">
        <v>2024</v>
      </c>
      <c r="Y3609" s="135" t="s">
        <v>55</v>
      </c>
      <c r="Z3609" s="307">
        <v>252</v>
      </c>
      <c r="AB3609" t="str">
        <f>IF(Table1[[#This Row],[TIPO2]]="costo", VLOOKUP(Table1[[#This Row],[PARTIDA PRESUPUESTAL]],'Cost Report'!G:G,1,0),"Balance")</f>
        <v>3683-138</v>
      </c>
      <c r="AC3609" s="118"/>
      <c r="AD3609" s="159">
        <f>+Table1[[#This Row],[SUBTOTAL]]+Table1[[#This Row],[IVA]]-Table1[[#This Row],[RET IVA]]-Table1[[#This Row],[RET ISR]]-Table1[[#This Row],[TOTAL]]</f>
        <v>0</v>
      </c>
      <c r="AE3609" s="150"/>
      <c r="AF3609" s="151"/>
      <c r="AG3609" s="126"/>
      <c r="AK3609" s="306" t="str">
        <f>IF(ISNUMBER(Table1[[#This Row],[FECHA DE RECIBIDO]]), Table1[[#This Row],[FECHA DE RECIBIDO]]-DATE(2023,8,30), "")</f>
        <v/>
      </c>
    </row>
    <row r="3610" spans="1:37" ht="15" customHeight="1">
      <c r="A3610" s="152" t="s">
        <v>4246</v>
      </c>
      <c r="B3610" s="153">
        <v>1222</v>
      </c>
      <c r="C3610" s="126" t="s">
        <v>1059</v>
      </c>
      <c r="D3610">
        <v>2458</v>
      </c>
      <c r="E3610" s="126" t="s">
        <v>2001</v>
      </c>
      <c r="F3610" s="125" t="s">
        <v>1607</v>
      </c>
      <c r="G3610" s="125" t="s">
        <v>134</v>
      </c>
      <c r="H3610">
        <v>23</v>
      </c>
      <c r="I3610" s="125" t="s">
        <v>1546</v>
      </c>
      <c r="J3610" s="308" t="s">
        <v>214</v>
      </c>
      <c r="K3610" s="127" t="s">
        <v>4212</v>
      </c>
      <c r="L3610" s="153" t="s">
        <v>3306</v>
      </c>
      <c r="M3610">
        <v>343</v>
      </c>
      <c r="N3610" s="123">
        <v>1</v>
      </c>
      <c r="O3610">
        <v>2344</v>
      </c>
      <c r="P3610" s="132" t="s">
        <v>77</v>
      </c>
      <c r="Q3610" s="132">
        <v>4668.57</v>
      </c>
      <c r="R3610" s="132">
        <v>746.97119999999995</v>
      </c>
      <c r="S3610" s="132"/>
      <c r="T3610" s="156"/>
      <c r="U3610" s="132"/>
      <c r="V3610" s="132">
        <v>5415.5411999999997</v>
      </c>
      <c r="W3610">
        <v>25</v>
      </c>
      <c r="X3610" s="153" t="s">
        <v>2024</v>
      </c>
      <c r="Y3610" s="124" t="s">
        <v>55</v>
      </c>
      <c r="Z3610" s="308">
        <v>252</v>
      </c>
      <c r="AB3610" t="str">
        <f>IF(Table1[[#This Row],[TIPO2]]="costo", VLOOKUP(Table1[[#This Row],[PARTIDA PRESUPUESTAL]],'Cost Report'!G:G,1,0),"Balance")</f>
        <v>3683-042</v>
      </c>
      <c r="AC3610" s="118"/>
      <c r="AD3610" s="159">
        <f>+Table1[[#This Row],[SUBTOTAL]]+Table1[[#This Row],[IVA]]-Table1[[#This Row],[RET IVA]]-Table1[[#This Row],[RET ISR]]-Table1[[#This Row],[TOTAL]]</f>
        <v>0</v>
      </c>
      <c r="AE3610" s="152"/>
      <c r="AF3610" s="153"/>
      <c r="AG3610" s="126"/>
      <c r="AK3610" s="306" t="str">
        <f>IF(ISNUMBER(Table1[[#This Row],[FECHA DE RECIBIDO]]), Table1[[#This Row],[FECHA DE RECIBIDO]]-DATE(2023,8,30), "")</f>
        <v/>
      </c>
    </row>
    <row r="3611" spans="1:37" ht="15" customHeight="1">
      <c r="A3611" s="150" t="s">
        <v>4246</v>
      </c>
      <c r="B3611" s="151">
        <v>1222</v>
      </c>
      <c r="C3611" s="126" t="s">
        <v>1063</v>
      </c>
      <c r="D3611">
        <v>2458</v>
      </c>
      <c r="E3611" s="126" t="s">
        <v>2001</v>
      </c>
      <c r="F3611" s="122" t="s">
        <v>1607</v>
      </c>
      <c r="G3611" s="122" t="s">
        <v>134</v>
      </c>
      <c r="H3611">
        <v>23</v>
      </c>
      <c r="I3611" s="122" t="s">
        <v>1546</v>
      </c>
      <c r="J3611" s="307" t="s">
        <v>214</v>
      </c>
      <c r="K3611" s="127" t="s">
        <v>4212</v>
      </c>
      <c r="L3611" s="151" t="s">
        <v>3306</v>
      </c>
      <c r="M3611">
        <v>343</v>
      </c>
      <c r="N3611" s="123">
        <v>1</v>
      </c>
      <c r="O3611">
        <v>2344</v>
      </c>
      <c r="P3611" s="132" t="s">
        <v>77</v>
      </c>
      <c r="Q3611" s="131">
        <v>4962.99</v>
      </c>
      <c r="R3611" s="131">
        <v>794.07839999999999</v>
      </c>
      <c r="S3611" s="131"/>
      <c r="T3611" s="155"/>
      <c r="U3611" s="131"/>
      <c r="V3611" s="131">
        <v>5757.0684000000001</v>
      </c>
      <c r="W3611">
        <v>25</v>
      </c>
      <c r="X3611" s="151" t="s">
        <v>2024</v>
      </c>
      <c r="Y3611" s="135" t="s">
        <v>55</v>
      </c>
      <c r="Z3611" s="307">
        <v>252</v>
      </c>
      <c r="AB3611" t="str">
        <f>IF(Table1[[#This Row],[TIPO2]]="costo", VLOOKUP(Table1[[#This Row],[PARTIDA PRESUPUESTAL]],'Cost Report'!G:G,1,0),"Balance")</f>
        <v>3683-048</v>
      </c>
      <c r="AC3611" s="118"/>
      <c r="AD3611" s="159">
        <f>+Table1[[#This Row],[SUBTOTAL]]+Table1[[#This Row],[IVA]]-Table1[[#This Row],[RET IVA]]-Table1[[#This Row],[RET ISR]]-Table1[[#This Row],[TOTAL]]</f>
        <v>0</v>
      </c>
      <c r="AE3611" s="150"/>
      <c r="AF3611" s="151"/>
      <c r="AG3611" s="126"/>
      <c r="AK3611" s="306" t="str">
        <f>IF(ISNUMBER(Table1[[#This Row],[FECHA DE RECIBIDO]]), Table1[[#This Row],[FECHA DE RECIBIDO]]-DATE(2023,8,30), "")</f>
        <v/>
      </c>
    </row>
    <row r="3612" spans="1:37" ht="15" customHeight="1">
      <c r="A3612" s="152" t="s">
        <v>4246</v>
      </c>
      <c r="B3612" s="153">
        <v>1222</v>
      </c>
      <c r="C3612" s="126" t="s">
        <v>1067</v>
      </c>
      <c r="D3612">
        <v>2458</v>
      </c>
      <c r="E3612" s="126" t="s">
        <v>2001</v>
      </c>
      <c r="F3612" s="125" t="s">
        <v>1607</v>
      </c>
      <c r="G3612" s="125" t="s">
        <v>134</v>
      </c>
      <c r="H3612">
        <v>23</v>
      </c>
      <c r="I3612" s="125" t="s">
        <v>1546</v>
      </c>
      <c r="J3612" s="308" t="s">
        <v>214</v>
      </c>
      <c r="K3612" s="127" t="s">
        <v>4212</v>
      </c>
      <c r="L3612" s="153" t="s">
        <v>3306</v>
      </c>
      <c r="M3612">
        <v>343</v>
      </c>
      <c r="N3612" s="123">
        <v>1</v>
      </c>
      <c r="O3612">
        <v>2344</v>
      </c>
      <c r="P3612" s="132" t="s">
        <v>77</v>
      </c>
      <c r="Q3612" s="132">
        <v>4755.03</v>
      </c>
      <c r="R3612" s="132">
        <v>760.8048</v>
      </c>
      <c r="S3612" s="132"/>
      <c r="T3612" s="156"/>
      <c r="U3612" s="132"/>
      <c r="V3612" s="132">
        <v>5515.8347999999996</v>
      </c>
      <c r="W3612">
        <v>25</v>
      </c>
      <c r="X3612" s="153" t="s">
        <v>2024</v>
      </c>
      <c r="Y3612" s="124" t="s">
        <v>55</v>
      </c>
      <c r="Z3612" s="308">
        <v>252</v>
      </c>
      <c r="AB3612" t="str">
        <f>IF(Table1[[#This Row],[TIPO2]]="costo", VLOOKUP(Table1[[#This Row],[PARTIDA PRESUPUESTAL]],'Cost Report'!G:G,1,0),"Balance")</f>
        <v>3683-054</v>
      </c>
      <c r="AC3612" s="118"/>
      <c r="AD3612" s="159">
        <f>+Table1[[#This Row],[SUBTOTAL]]+Table1[[#This Row],[IVA]]-Table1[[#This Row],[RET IVA]]-Table1[[#This Row],[RET ISR]]-Table1[[#This Row],[TOTAL]]</f>
        <v>0</v>
      </c>
      <c r="AE3612" s="152"/>
      <c r="AF3612" s="153"/>
      <c r="AG3612" s="126"/>
      <c r="AK3612" s="306" t="str">
        <f>IF(ISNUMBER(Table1[[#This Row],[FECHA DE RECIBIDO]]), Table1[[#This Row],[FECHA DE RECIBIDO]]-DATE(2023,8,30), "")</f>
        <v/>
      </c>
    </row>
    <row r="3613" spans="1:37" ht="15" customHeight="1">
      <c r="A3613" s="150" t="s">
        <v>4246</v>
      </c>
      <c r="B3613" s="151">
        <v>1222</v>
      </c>
      <c r="C3613" s="126" t="s">
        <v>1071</v>
      </c>
      <c r="D3613">
        <v>2458</v>
      </c>
      <c r="E3613" s="126" t="s">
        <v>2001</v>
      </c>
      <c r="F3613" s="122" t="s">
        <v>1607</v>
      </c>
      <c r="G3613" s="122" t="s">
        <v>134</v>
      </c>
      <c r="H3613">
        <v>23</v>
      </c>
      <c r="I3613" s="122" t="s">
        <v>1546</v>
      </c>
      <c r="J3613" s="307" t="s">
        <v>214</v>
      </c>
      <c r="K3613" s="127" t="s">
        <v>4212</v>
      </c>
      <c r="L3613" s="151" t="s">
        <v>3306</v>
      </c>
      <c r="M3613">
        <v>343</v>
      </c>
      <c r="N3613" s="123">
        <v>1</v>
      </c>
      <c r="O3613">
        <v>2344</v>
      </c>
      <c r="P3613" s="132" t="s">
        <v>77</v>
      </c>
      <c r="Q3613" s="131">
        <v>3383.85</v>
      </c>
      <c r="R3613" s="131">
        <v>541.41599999999994</v>
      </c>
      <c r="S3613" s="131"/>
      <c r="T3613" s="155"/>
      <c r="U3613" s="131"/>
      <c r="V3613" s="131">
        <v>3925.2659999999996</v>
      </c>
      <c r="W3613">
        <v>25</v>
      </c>
      <c r="X3613" s="151" t="s">
        <v>2024</v>
      </c>
      <c r="Y3613" s="135" t="s">
        <v>55</v>
      </c>
      <c r="Z3613" s="307">
        <v>252</v>
      </c>
      <c r="AB3613" t="str">
        <f>IF(Table1[[#This Row],[TIPO2]]="costo", VLOOKUP(Table1[[#This Row],[PARTIDA PRESUPUESTAL]],'Cost Report'!G:G,1,0),"Balance")</f>
        <v>3683-060</v>
      </c>
      <c r="AC3613" s="118"/>
      <c r="AD3613" s="159">
        <f>+Table1[[#This Row],[SUBTOTAL]]+Table1[[#This Row],[IVA]]-Table1[[#This Row],[RET IVA]]-Table1[[#This Row],[RET ISR]]-Table1[[#This Row],[TOTAL]]</f>
        <v>0</v>
      </c>
      <c r="AE3613" s="150"/>
      <c r="AF3613" s="151"/>
      <c r="AG3613" s="126"/>
      <c r="AK3613" s="306" t="str">
        <f>IF(ISNUMBER(Table1[[#This Row],[FECHA DE RECIBIDO]]), Table1[[#This Row],[FECHA DE RECIBIDO]]-DATE(2023,8,30), "")</f>
        <v/>
      </c>
    </row>
    <row r="3614" spans="1:37" ht="15" customHeight="1">
      <c r="A3614" s="152" t="s">
        <v>4246</v>
      </c>
      <c r="B3614" s="153">
        <v>1222</v>
      </c>
      <c r="C3614" s="126" t="s">
        <v>1075</v>
      </c>
      <c r="D3614">
        <v>2458</v>
      </c>
      <c r="E3614" s="126" t="s">
        <v>2001</v>
      </c>
      <c r="F3614" s="125" t="s">
        <v>1607</v>
      </c>
      <c r="G3614" s="125" t="s">
        <v>134</v>
      </c>
      <c r="H3614">
        <v>23</v>
      </c>
      <c r="I3614" s="125" t="s">
        <v>1546</v>
      </c>
      <c r="J3614" s="308" t="s">
        <v>214</v>
      </c>
      <c r="K3614" s="127" t="s">
        <v>4212</v>
      </c>
      <c r="L3614" s="153" t="s">
        <v>3306</v>
      </c>
      <c r="M3614">
        <v>343</v>
      </c>
      <c r="N3614" s="123">
        <v>1</v>
      </c>
      <c r="O3614">
        <v>2344</v>
      </c>
      <c r="P3614" s="132" t="s">
        <v>77</v>
      </c>
      <c r="Q3614" s="132">
        <v>3383.85</v>
      </c>
      <c r="R3614" s="132">
        <v>541.41599999999994</v>
      </c>
      <c r="S3614" s="132"/>
      <c r="T3614" s="156"/>
      <c r="U3614" s="132"/>
      <c r="V3614" s="132">
        <v>3925.2659999999996</v>
      </c>
      <c r="W3614">
        <v>25</v>
      </c>
      <c r="X3614" s="153" t="s">
        <v>2024</v>
      </c>
      <c r="Y3614" s="124" t="s">
        <v>55</v>
      </c>
      <c r="Z3614" s="308">
        <v>252</v>
      </c>
      <c r="AB3614" t="str">
        <f>IF(Table1[[#This Row],[TIPO2]]="costo", VLOOKUP(Table1[[#This Row],[PARTIDA PRESUPUESTAL]],'Cost Report'!G:G,1,0),"Balance")</f>
        <v>3683-066</v>
      </c>
      <c r="AC3614" s="118"/>
      <c r="AD3614" s="159">
        <f>+Table1[[#This Row],[SUBTOTAL]]+Table1[[#This Row],[IVA]]-Table1[[#This Row],[RET IVA]]-Table1[[#This Row],[RET ISR]]-Table1[[#This Row],[TOTAL]]</f>
        <v>0</v>
      </c>
      <c r="AE3614" s="152"/>
      <c r="AF3614" s="153"/>
      <c r="AG3614" s="126"/>
      <c r="AK3614" s="306" t="str">
        <f>IF(ISNUMBER(Table1[[#This Row],[FECHA DE RECIBIDO]]), Table1[[#This Row],[FECHA DE RECIBIDO]]-DATE(2023,8,30), "")</f>
        <v/>
      </c>
    </row>
    <row r="3615" spans="1:37" ht="15" customHeight="1">
      <c r="A3615" s="150" t="s">
        <v>4246</v>
      </c>
      <c r="B3615" s="151">
        <v>1222</v>
      </c>
      <c r="C3615" s="126" t="s">
        <v>1079</v>
      </c>
      <c r="D3615">
        <v>2458</v>
      </c>
      <c r="E3615" s="126" t="s">
        <v>2001</v>
      </c>
      <c r="F3615" s="122" t="s">
        <v>1607</v>
      </c>
      <c r="G3615" s="122" t="s">
        <v>134</v>
      </c>
      <c r="H3615">
        <v>23</v>
      </c>
      <c r="I3615" s="122" t="s">
        <v>1546</v>
      </c>
      <c r="J3615" s="307" t="s">
        <v>214</v>
      </c>
      <c r="K3615" s="127" t="s">
        <v>4212</v>
      </c>
      <c r="L3615" s="151" t="s">
        <v>3306</v>
      </c>
      <c r="M3615">
        <v>343</v>
      </c>
      <c r="N3615" s="123">
        <v>1</v>
      </c>
      <c r="O3615">
        <v>2344</v>
      </c>
      <c r="P3615" s="132" t="s">
        <v>77</v>
      </c>
      <c r="Q3615" s="131">
        <v>3383.85</v>
      </c>
      <c r="R3615" s="131">
        <v>541.41599999999994</v>
      </c>
      <c r="S3615" s="131"/>
      <c r="T3615" s="155"/>
      <c r="U3615" s="131"/>
      <c r="V3615" s="131">
        <v>3925.2659999999996</v>
      </c>
      <c r="W3615">
        <v>25</v>
      </c>
      <c r="X3615" s="151" t="s">
        <v>2024</v>
      </c>
      <c r="Y3615" s="135" t="s">
        <v>55</v>
      </c>
      <c r="Z3615" s="307">
        <v>252</v>
      </c>
      <c r="AB3615" t="str">
        <f>IF(Table1[[#This Row],[TIPO2]]="costo", VLOOKUP(Table1[[#This Row],[PARTIDA PRESUPUESTAL]],'Cost Report'!G:G,1,0),"Balance")</f>
        <v>3683-072</v>
      </c>
      <c r="AC3615" s="118"/>
      <c r="AD3615" s="159">
        <f>+Table1[[#This Row],[SUBTOTAL]]+Table1[[#This Row],[IVA]]-Table1[[#This Row],[RET IVA]]-Table1[[#This Row],[RET ISR]]-Table1[[#This Row],[TOTAL]]</f>
        <v>0</v>
      </c>
      <c r="AE3615" s="150"/>
      <c r="AF3615" s="151"/>
      <c r="AG3615" s="126"/>
      <c r="AK3615" s="306" t="str">
        <f>IF(ISNUMBER(Table1[[#This Row],[FECHA DE RECIBIDO]]), Table1[[#This Row],[FECHA DE RECIBIDO]]-DATE(2023,8,30), "")</f>
        <v/>
      </c>
    </row>
    <row r="3616" spans="1:37" ht="15" customHeight="1">
      <c r="A3616" s="152" t="s">
        <v>4246</v>
      </c>
      <c r="B3616" s="153">
        <v>1222</v>
      </c>
      <c r="C3616" s="126" t="s">
        <v>1083</v>
      </c>
      <c r="D3616">
        <v>2458</v>
      </c>
      <c r="E3616" s="126" t="s">
        <v>2001</v>
      </c>
      <c r="F3616" s="125" t="s">
        <v>1607</v>
      </c>
      <c r="G3616" s="125" t="s">
        <v>134</v>
      </c>
      <c r="H3616">
        <v>23</v>
      </c>
      <c r="I3616" s="125" t="s">
        <v>1546</v>
      </c>
      <c r="J3616" s="308" t="s">
        <v>214</v>
      </c>
      <c r="K3616" s="127" t="s">
        <v>4212</v>
      </c>
      <c r="L3616" s="153" t="s">
        <v>3306</v>
      </c>
      <c r="M3616">
        <v>343</v>
      </c>
      <c r="N3616" s="123">
        <v>1</v>
      </c>
      <c r="O3616">
        <v>2344</v>
      </c>
      <c r="P3616" s="132" t="s">
        <v>77</v>
      </c>
      <c r="Q3616" s="132">
        <v>3383.85</v>
      </c>
      <c r="R3616" s="132">
        <v>541.41599999999994</v>
      </c>
      <c r="S3616" s="132"/>
      <c r="T3616" s="156"/>
      <c r="U3616" s="132"/>
      <c r="V3616" s="132">
        <v>3925.2659999999996</v>
      </c>
      <c r="W3616">
        <v>25</v>
      </c>
      <c r="X3616" s="153" t="s">
        <v>2024</v>
      </c>
      <c r="Y3616" s="124" t="s">
        <v>55</v>
      </c>
      <c r="Z3616" s="308">
        <v>252</v>
      </c>
      <c r="AB3616" t="str">
        <f>IF(Table1[[#This Row],[TIPO2]]="costo", VLOOKUP(Table1[[#This Row],[PARTIDA PRESUPUESTAL]],'Cost Report'!G:G,1,0),"Balance")</f>
        <v>3683-078</v>
      </c>
      <c r="AC3616" s="118"/>
      <c r="AD3616" s="159">
        <f>+Table1[[#This Row],[SUBTOTAL]]+Table1[[#This Row],[IVA]]-Table1[[#This Row],[RET IVA]]-Table1[[#This Row],[RET ISR]]-Table1[[#This Row],[TOTAL]]</f>
        <v>0</v>
      </c>
      <c r="AE3616" s="152"/>
      <c r="AF3616" s="153"/>
      <c r="AG3616" s="126"/>
      <c r="AK3616" s="306" t="str">
        <f>IF(ISNUMBER(Table1[[#This Row],[FECHA DE RECIBIDO]]), Table1[[#This Row],[FECHA DE RECIBIDO]]-DATE(2023,8,30), "")</f>
        <v/>
      </c>
    </row>
    <row r="3617" spans="1:37" ht="15" customHeight="1">
      <c r="A3617" s="150" t="s">
        <v>4246</v>
      </c>
      <c r="B3617" s="151">
        <v>1222</v>
      </c>
      <c r="C3617" s="126" t="s">
        <v>1087</v>
      </c>
      <c r="D3617">
        <v>2458</v>
      </c>
      <c r="E3617" s="126" t="s">
        <v>2001</v>
      </c>
      <c r="F3617" s="122" t="s">
        <v>1607</v>
      </c>
      <c r="G3617" s="122" t="s">
        <v>134</v>
      </c>
      <c r="H3617">
        <v>23</v>
      </c>
      <c r="I3617" s="122" t="s">
        <v>1546</v>
      </c>
      <c r="J3617" s="307" t="s">
        <v>214</v>
      </c>
      <c r="K3617" s="127" t="s">
        <v>4212</v>
      </c>
      <c r="L3617" s="151" t="s">
        <v>3306</v>
      </c>
      <c r="M3617">
        <v>343</v>
      </c>
      <c r="N3617" s="123">
        <v>1</v>
      </c>
      <c r="O3617">
        <v>2344</v>
      </c>
      <c r="P3617" s="132" t="s">
        <v>77</v>
      </c>
      <c r="Q3617" s="131">
        <v>4962.99</v>
      </c>
      <c r="R3617" s="131">
        <v>794.07839999999999</v>
      </c>
      <c r="S3617" s="131"/>
      <c r="T3617" s="155"/>
      <c r="U3617" s="131"/>
      <c r="V3617" s="131">
        <v>5757.0684000000001</v>
      </c>
      <c r="W3617">
        <v>25</v>
      </c>
      <c r="X3617" s="151" t="s">
        <v>2024</v>
      </c>
      <c r="Y3617" s="135" t="s">
        <v>55</v>
      </c>
      <c r="Z3617" s="307">
        <v>252</v>
      </c>
      <c r="AB3617" t="str">
        <f>IF(Table1[[#This Row],[TIPO2]]="costo", VLOOKUP(Table1[[#This Row],[PARTIDA PRESUPUESTAL]],'Cost Report'!G:G,1,0),"Balance")</f>
        <v>3683-084</v>
      </c>
      <c r="AC3617" s="118"/>
      <c r="AD3617" s="159">
        <f>+Table1[[#This Row],[SUBTOTAL]]+Table1[[#This Row],[IVA]]-Table1[[#This Row],[RET IVA]]-Table1[[#This Row],[RET ISR]]-Table1[[#This Row],[TOTAL]]</f>
        <v>0</v>
      </c>
      <c r="AE3617" s="150"/>
      <c r="AF3617" s="151"/>
      <c r="AG3617" s="126"/>
      <c r="AK3617" s="306" t="str">
        <f>IF(ISNUMBER(Table1[[#This Row],[FECHA DE RECIBIDO]]), Table1[[#This Row],[FECHA DE RECIBIDO]]-DATE(2023,8,30), "")</f>
        <v/>
      </c>
    </row>
    <row r="3618" spans="1:37" ht="15" customHeight="1">
      <c r="A3618" s="152" t="s">
        <v>4246</v>
      </c>
      <c r="B3618" s="153">
        <v>1222</v>
      </c>
      <c r="C3618" s="126" t="s">
        <v>1091</v>
      </c>
      <c r="D3618">
        <v>2458</v>
      </c>
      <c r="E3618" s="126" t="s">
        <v>2001</v>
      </c>
      <c r="F3618" s="125" t="s">
        <v>1607</v>
      </c>
      <c r="G3618" s="125" t="s">
        <v>134</v>
      </c>
      <c r="H3618">
        <v>23</v>
      </c>
      <c r="I3618" s="125" t="s">
        <v>1546</v>
      </c>
      <c r="J3618" s="308" t="s">
        <v>214</v>
      </c>
      <c r="K3618" s="127" t="s">
        <v>4212</v>
      </c>
      <c r="L3618" s="153" t="s">
        <v>3306</v>
      </c>
      <c r="M3618">
        <v>343</v>
      </c>
      <c r="N3618" s="123">
        <v>1</v>
      </c>
      <c r="O3618">
        <v>2344</v>
      </c>
      <c r="P3618" s="132" t="s">
        <v>77</v>
      </c>
      <c r="Q3618" s="132">
        <v>3383.85</v>
      </c>
      <c r="R3618" s="132">
        <v>541.41599999999994</v>
      </c>
      <c r="S3618" s="132"/>
      <c r="T3618" s="156"/>
      <c r="U3618" s="132"/>
      <c r="V3618" s="132">
        <v>3925.2659999999996</v>
      </c>
      <c r="W3618">
        <v>25</v>
      </c>
      <c r="X3618" s="153" t="s">
        <v>2024</v>
      </c>
      <c r="Y3618" s="124" t="s">
        <v>55</v>
      </c>
      <c r="Z3618" s="308">
        <v>252</v>
      </c>
      <c r="AB3618" t="str">
        <f>IF(Table1[[#This Row],[TIPO2]]="costo", VLOOKUP(Table1[[#This Row],[PARTIDA PRESUPUESTAL]],'Cost Report'!G:G,1,0),"Balance")</f>
        <v>3683-090</v>
      </c>
      <c r="AC3618" s="118"/>
      <c r="AD3618" s="159">
        <f>+Table1[[#This Row],[SUBTOTAL]]+Table1[[#This Row],[IVA]]-Table1[[#This Row],[RET IVA]]-Table1[[#This Row],[RET ISR]]-Table1[[#This Row],[TOTAL]]</f>
        <v>0</v>
      </c>
      <c r="AE3618" s="152"/>
      <c r="AF3618" s="153"/>
      <c r="AG3618" s="126"/>
      <c r="AK3618" s="306" t="str">
        <f>IF(ISNUMBER(Table1[[#This Row],[FECHA DE RECIBIDO]]), Table1[[#This Row],[FECHA DE RECIBIDO]]-DATE(2023,8,30), "")</f>
        <v/>
      </c>
    </row>
    <row r="3619" spans="1:37" ht="15" customHeight="1">
      <c r="A3619" s="150" t="s">
        <v>4246</v>
      </c>
      <c r="B3619" s="151">
        <v>1222</v>
      </c>
      <c r="C3619" s="126" t="s">
        <v>1095</v>
      </c>
      <c r="D3619">
        <v>2458</v>
      </c>
      <c r="E3619" s="126" t="s">
        <v>2001</v>
      </c>
      <c r="F3619" s="122" t="s">
        <v>1607</v>
      </c>
      <c r="G3619" s="122" t="s">
        <v>134</v>
      </c>
      <c r="H3619">
        <v>23</v>
      </c>
      <c r="I3619" s="122" t="s">
        <v>1546</v>
      </c>
      <c r="J3619" s="307" t="s">
        <v>214</v>
      </c>
      <c r="K3619" s="127" t="s">
        <v>4212</v>
      </c>
      <c r="L3619" s="151" t="s">
        <v>3306</v>
      </c>
      <c r="M3619">
        <v>343</v>
      </c>
      <c r="N3619" s="123">
        <v>1</v>
      </c>
      <c r="O3619">
        <v>2344</v>
      </c>
      <c r="P3619" s="132" t="s">
        <v>77</v>
      </c>
      <c r="Q3619" s="131">
        <v>4962.99</v>
      </c>
      <c r="R3619" s="131">
        <v>794.07839999999999</v>
      </c>
      <c r="S3619" s="131"/>
      <c r="T3619" s="155"/>
      <c r="U3619" s="131"/>
      <c r="V3619" s="131">
        <v>5757.0684000000001</v>
      </c>
      <c r="W3619">
        <v>25</v>
      </c>
      <c r="X3619" s="151" t="s">
        <v>2024</v>
      </c>
      <c r="Y3619" s="135" t="s">
        <v>55</v>
      </c>
      <c r="Z3619" s="307">
        <v>252</v>
      </c>
      <c r="AB3619" t="str">
        <f>IF(Table1[[#This Row],[TIPO2]]="costo", VLOOKUP(Table1[[#This Row],[PARTIDA PRESUPUESTAL]],'Cost Report'!G:G,1,0),"Balance")</f>
        <v>3683-096</v>
      </c>
      <c r="AC3619" s="118"/>
      <c r="AD3619" s="159">
        <f>+Table1[[#This Row],[SUBTOTAL]]+Table1[[#This Row],[IVA]]-Table1[[#This Row],[RET IVA]]-Table1[[#This Row],[RET ISR]]-Table1[[#This Row],[TOTAL]]</f>
        <v>0</v>
      </c>
      <c r="AE3619" s="150"/>
      <c r="AF3619" s="151"/>
      <c r="AG3619" s="126"/>
      <c r="AK3619" s="306" t="str">
        <f>IF(ISNUMBER(Table1[[#This Row],[FECHA DE RECIBIDO]]), Table1[[#This Row],[FECHA DE RECIBIDO]]-DATE(2023,8,30), "")</f>
        <v/>
      </c>
    </row>
    <row r="3620" spans="1:37" ht="15" customHeight="1">
      <c r="A3620" s="152" t="s">
        <v>4246</v>
      </c>
      <c r="B3620" s="153">
        <v>1222</v>
      </c>
      <c r="C3620" s="126" t="s">
        <v>1098</v>
      </c>
      <c r="D3620">
        <v>2458</v>
      </c>
      <c r="E3620" s="126" t="s">
        <v>2001</v>
      </c>
      <c r="F3620" s="125" t="s">
        <v>1607</v>
      </c>
      <c r="G3620" s="125" t="s">
        <v>134</v>
      </c>
      <c r="H3620">
        <v>23</v>
      </c>
      <c r="I3620" s="125" t="s">
        <v>1546</v>
      </c>
      <c r="J3620" s="308" t="s">
        <v>214</v>
      </c>
      <c r="K3620" s="127" t="s">
        <v>4212</v>
      </c>
      <c r="L3620" s="153" t="s">
        <v>3306</v>
      </c>
      <c r="M3620">
        <v>343</v>
      </c>
      <c r="N3620" s="123">
        <v>1</v>
      </c>
      <c r="O3620">
        <v>2344</v>
      </c>
      <c r="P3620" s="132" t="s">
        <v>77</v>
      </c>
      <c r="Q3620" s="132">
        <v>4650.41</v>
      </c>
      <c r="R3620" s="132">
        <v>744.06560000000002</v>
      </c>
      <c r="S3620" s="132"/>
      <c r="T3620" s="156"/>
      <c r="U3620" s="132"/>
      <c r="V3620" s="132">
        <v>5394.4755999999998</v>
      </c>
      <c r="W3620">
        <v>25</v>
      </c>
      <c r="X3620" s="153" t="s">
        <v>2024</v>
      </c>
      <c r="Y3620" s="124" t="s">
        <v>55</v>
      </c>
      <c r="Z3620" s="308">
        <v>252</v>
      </c>
      <c r="AB3620" t="str">
        <f>IF(Table1[[#This Row],[TIPO2]]="costo", VLOOKUP(Table1[[#This Row],[PARTIDA PRESUPUESTAL]],'Cost Report'!G:G,1,0),"Balance")</f>
        <v>3683-101</v>
      </c>
      <c r="AC3620" s="118"/>
      <c r="AD3620" s="159">
        <f>+Table1[[#This Row],[SUBTOTAL]]+Table1[[#This Row],[IVA]]-Table1[[#This Row],[RET IVA]]-Table1[[#This Row],[RET ISR]]-Table1[[#This Row],[TOTAL]]</f>
        <v>0</v>
      </c>
      <c r="AE3620" s="152"/>
      <c r="AF3620" s="153"/>
      <c r="AG3620" s="126"/>
      <c r="AK3620" s="306" t="str">
        <f>IF(ISNUMBER(Table1[[#This Row],[FECHA DE RECIBIDO]]), Table1[[#This Row],[FECHA DE RECIBIDO]]-DATE(2023,8,30), "")</f>
        <v/>
      </c>
    </row>
    <row r="3621" spans="1:37" ht="15" customHeight="1">
      <c r="A3621" s="150" t="s">
        <v>4246</v>
      </c>
      <c r="B3621" s="151">
        <v>1222</v>
      </c>
      <c r="C3621" s="126" t="s">
        <v>1100</v>
      </c>
      <c r="D3621">
        <v>2458</v>
      </c>
      <c r="E3621" s="126" t="s">
        <v>2001</v>
      </c>
      <c r="F3621" s="122" t="s">
        <v>1607</v>
      </c>
      <c r="G3621" s="122" t="s">
        <v>134</v>
      </c>
      <c r="H3621">
        <v>23</v>
      </c>
      <c r="I3621" s="122" t="s">
        <v>1546</v>
      </c>
      <c r="J3621" s="307" t="s">
        <v>214</v>
      </c>
      <c r="K3621" s="127" t="s">
        <v>4212</v>
      </c>
      <c r="L3621" s="151" t="s">
        <v>3306</v>
      </c>
      <c r="M3621">
        <v>343</v>
      </c>
      <c r="N3621" s="123">
        <v>1</v>
      </c>
      <c r="O3621">
        <v>2344</v>
      </c>
      <c r="P3621" s="132" t="s">
        <v>77</v>
      </c>
      <c r="Q3621" s="131">
        <v>5787.18</v>
      </c>
      <c r="R3621" s="131">
        <v>925.94880000000012</v>
      </c>
      <c r="S3621" s="131"/>
      <c r="T3621" s="155"/>
      <c r="U3621" s="131"/>
      <c r="V3621" s="131">
        <v>6713.1288000000004</v>
      </c>
      <c r="W3621">
        <v>25</v>
      </c>
      <c r="X3621" s="151" t="s">
        <v>2024</v>
      </c>
      <c r="Y3621" s="135" t="s">
        <v>55</v>
      </c>
      <c r="Z3621" s="307">
        <v>252</v>
      </c>
      <c r="AB3621" t="str">
        <f>IF(Table1[[#This Row],[TIPO2]]="costo", VLOOKUP(Table1[[#This Row],[PARTIDA PRESUPUESTAL]],'Cost Report'!G:G,1,0),"Balance")</f>
        <v>3683-105</v>
      </c>
      <c r="AC3621" s="118"/>
      <c r="AD3621" s="159">
        <f>+Table1[[#This Row],[SUBTOTAL]]+Table1[[#This Row],[IVA]]-Table1[[#This Row],[RET IVA]]-Table1[[#This Row],[RET ISR]]-Table1[[#This Row],[TOTAL]]</f>
        <v>0</v>
      </c>
      <c r="AE3621" s="150"/>
      <c r="AF3621" s="151"/>
      <c r="AG3621" s="126"/>
      <c r="AK3621" s="306" t="str">
        <f>IF(ISNUMBER(Table1[[#This Row],[FECHA DE RECIBIDO]]), Table1[[#This Row],[FECHA DE RECIBIDO]]-DATE(2023,8,30), "")</f>
        <v/>
      </c>
    </row>
    <row r="3622" spans="1:37" ht="15" customHeight="1">
      <c r="A3622" s="152" t="s">
        <v>4246</v>
      </c>
      <c r="B3622" s="153">
        <v>1222</v>
      </c>
      <c r="C3622" s="126" t="s">
        <v>2880</v>
      </c>
      <c r="D3622">
        <v>2458</v>
      </c>
      <c r="E3622" s="126" t="s">
        <v>2001</v>
      </c>
      <c r="F3622" s="125" t="s">
        <v>1607</v>
      </c>
      <c r="G3622" s="125" t="s">
        <v>134</v>
      </c>
      <c r="H3622">
        <v>23</v>
      </c>
      <c r="I3622" s="125" t="s">
        <v>1546</v>
      </c>
      <c r="J3622" s="308" t="s">
        <v>214</v>
      </c>
      <c r="K3622" s="127" t="s">
        <v>4212</v>
      </c>
      <c r="L3622" s="153" t="s">
        <v>3306</v>
      </c>
      <c r="M3622">
        <v>343</v>
      </c>
      <c r="N3622" s="123">
        <v>1</v>
      </c>
      <c r="O3622">
        <v>2344</v>
      </c>
      <c r="P3622" s="132" t="s">
        <v>77</v>
      </c>
      <c r="Q3622" s="132">
        <v>11839.03</v>
      </c>
      <c r="R3622" s="132">
        <v>1894.2448000000002</v>
      </c>
      <c r="S3622" s="132"/>
      <c r="T3622" s="156"/>
      <c r="U3622" s="132"/>
      <c r="V3622" s="132">
        <v>13733.274800000001</v>
      </c>
      <c r="W3622">
        <v>25</v>
      </c>
      <c r="X3622" s="153" t="s">
        <v>2024</v>
      </c>
      <c r="Y3622" s="124" t="s">
        <v>55</v>
      </c>
      <c r="Z3622" s="308">
        <v>252</v>
      </c>
      <c r="AB3622" t="str">
        <f>IF(Table1[[#This Row],[TIPO2]]="costo", VLOOKUP(Table1[[#This Row],[PARTIDA PRESUPUESTAL]],'Cost Report'!G:G,1,0),"Balance")</f>
        <v>3683-109</v>
      </c>
      <c r="AC3622" s="118"/>
      <c r="AD3622" s="159">
        <f>+Table1[[#This Row],[SUBTOTAL]]+Table1[[#This Row],[IVA]]-Table1[[#This Row],[RET IVA]]-Table1[[#This Row],[RET ISR]]-Table1[[#This Row],[TOTAL]]</f>
        <v>0</v>
      </c>
      <c r="AE3622" s="152"/>
      <c r="AF3622" s="153"/>
      <c r="AG3622" s="126"/>
      <c r="AK3622" s="306" t="str">
        <f>IF(ISNUMBER(Table1[[#This Row],[FECHA DE RECIBIDO]]), Table1[[#This Row],[FECHA DE RECIBIDO]]-DATE(2023,8,30), "")</f>
        <v/>
      </c>
    </row>
    <row r="3623" spans="1:37" ht="15" customHeight="1">
      <c r="A3623" s="150" t="s">
        <v>4246</v>
      </c>
      <c r="B3623" s="151">
        <v>1222</v>
      </c>
      <c r="C3623" s="126" t="s">
        <v>2882</v>
      </c>
      <c r="D3623">
        <v>2458</v>
      </c>
      <c r="E3623" s="126" t="s">
        <v>2001</v>
      </c>
      <c r="F3623" s="122" t="s">
        <v>1607</v>
      </c>
      <c r="G3623" s="122" t="s">
        <v>134</v>
      </c>
      <c r="H3623">
        <v>23</v>
      </c>
      <c r="I3623" s="122" t="s">
        <v>1546</v>
      </c>
      <c r="J3623" s="307" t="s">
        <v>214</v>
      </c>
      <c r="K3623" s="127" t="s">
        <v>4212</v>
      </c>
      <c r="L3623" s="151" t="s">
        <v>3306</v>
      </c>
      <c r="M3623">
        <v>343</v>
      </c>
      <c r="N3623" s="123">
        <v>1</v>
      </c>
      <c r="O3623">
        <v>2344</v>
      </c>
      <c r="P3623" s="132" t="s">
        <v>77</v>
      </c>
      <c r="Q3623" s="131">
        <v>1287.68</v>
      </c>
      <c r="R3623" s="131">
        <v>206.02880000000002</v>
      </c>
      <c r="S3623" s="131"/>
      <c r="T3623" s="155"/>
      <c r="U3623" s="131"/>
      <c r="V3623" s="131">
        <v>1493.7088000000001</v>
      </c>
      <c r="W3623">
        <v>25</v>
      </c>
      <c r="X3623" s="151" t="s">
        <v>2024</v>
      </c>
      <c r="Y3623" s="135" t="s">
        <v>55</v>
      </c>
      <c r="Z3623" s="307">
        <v>252</v>
      </c>
      <c r="AB3623" t="str">
        <f>IF(Table1[[#This Row],[TIPO2]]="costo", VLOOKUP(Table1[[#This Row],[PARTIDA PRESUPUESTAL]],'Cost Report'!G:G,1,0),"Balance")</f>
        <v>3683-113</v>
      </c>
      <c r="AC3623" s="118"/>
      <c r="AD3623" s="159">
        <f>+Table1[[#This Row],[SUBTOTAL]]+Table1[[#This Row],[IVA]]-Table1[[#This Row],[RET IVA]]-Table1[[#This Row],[RET ISR]]-Table1[[#This Row],[TOTAL]]</f>
        <v>0</v>
      </c>
      <c r="AE3623" s="150"/>
      <c r="AF3623" s="151"/>
      <c r="AG3623" s="126"/>
      <c r="AK3623" s="306" t="str">
        <f>IF(ISNUMBER(Table1[[#This Row],[FECHA DE RECIBIDO]]), Table1[[#This Row],[FECHA DE RECIBIDO]]-DATE(2023,8,30), "")</f>
        <v/>
      </c>
    </row>
    <row r="3624" spans="1:37" ht="15" customHeight="1">
      <c r="A3624" s="152" t="s">
        <v>4246</v>
      </c>
      <c r="B3624" s="153">
        <v>1222</v>
      </c>
      <c r="C3624" s="126" t="s">
        <v>2909</v>
      </c>
      <c r="D3624">
        <v>2458</v>
      </c>
      <c r="E3624" s="126" t="s">
        <v>2001</v>
      </c>
      <c r="F3624" s="125" t="s">
        <v>1607</v>
      </c>
      <c r="G3624" s="125" t="s">
        <v>134</v>
      </c>
      <c r="H3624">
        <v>23</v>
      </c>
      <c r="I3624" s="125" t="s">
        <v>1546</v>
      </c>
      <c r="J3624" s="308" t="s">
        <v>214</v>
      </c>
      <c r="K3624" s="127" t="s">
        <v>4212</v>
      </c>
      <c r="L3624" s="153" t="s">
        <v>3306</v>
      </c>
      <c r="M3624">
        <v>343</v>
      </c>
      <c r="N3624" s="123">
        <v>1</v>
      </c>
      <c r="O3624">
        <v>2344</v>
      </c>
      <c r="P3624" s="132" t="s">
        <v>77</v>
      </c>
      <c r="Q3624" s="132">
        <v>11080.7</v>
      </c>
      <c r="R3624" s="132">
        <v>1772.9120000000003</v>
      </c>
      <c r="S3624" s="132"/>
      <c r="T3624" s="156"/>
      <c r="U3624" s="132"/>
      <c r="V3624" s="132">
        <v>12853.612000000001</v>
      </c>
      <c r="W3624">
        <v>25</v>
      </c>
      <c r="X3624" s="153" t="s">
        <v>2024</v>
      </c>
      <c r="Y3624" s="124" t="s">
        <v>55</v>
      </c>
      <c r="Z3624" s="308">
        <v>252</v>
      </c>
      <c r="AB3624" t="str">
        <f>IF(Table1[[#This Row],[TIPO2]]="costo", VLOOKUP(Table1[[#This Row],[PARTIDA PRESUPUESTAL]],'Cost Report'!G:G,1,0),"Balance")</f>
        <v>3683-158</v>
      </c>
      <c r="AC3624" s="118"/>
      <c r="AD3624" s="159">
        <f>+Table1[[#This Row],[SUBTOTAL]]+Table1[[#This Row],[IVA]]-Table1[[#This Row],[RET IVA]]-Table1[[#This Row],[RET ISR]]-Table1[[#This Row],[TOTAL]]</f>
        <v>0</v>
      </c>
      <c r="AE3624" s="152"/>
      <c r="AF3624" s="153"/>
      <c r="AG3624" s="126"/>
      <c r="AK3624" s="306" t="str">
        <f>IF(ISNUMBER(Table1[[#This Row],[FECHA DE RECIBIDO]]), Table1[[#This Row],[FECHA DE RECIBIDO]]-DATE(2023,8,30), "")</f>
        <v/>
      </c>
    </row>
    <row r="3625" spans="1:37" ht="15" customHeight="1">
      <c r="A3625" s="150" t="s">
        <v>4246</v>
      </c>
      <c r="B3625" s="151">
        <v>1222</v>
      </c>
      <c r="C3625" s="126" t="s">
        <v>2916</v>
      </c>
      <c r="D3625">
        <v>2458</v>
      </c>
      <c r="E3625" s="126" t="s">
        <v>2001</v>
      </c>
      <c r="F3625" s="122" t="s">
        <v>1607</v>
      </c>
      <c r="G3625" s="122" t="s">
        <v>134</v>
      </c>
      <c r="H3625">
        <v>23</v>
      </c>
      <c r="I3625" s="122" t="s">
        <v>1546</v>
      </c>
      <c r="J3625" s="307" t="s">
        <v>214</v>
      </c>
      <c r="K3625" s="127" t="s">
        <v>4212</v>
      </c>
      <c r="L3625" s="151" t="s">
        <v>3306</v>
      </c>
      <c r="M3625">
        <v>343</v>
      </c>
      <c r="N3625" s="123">
        <v>1</v>
      </c>
      <c r="O3625">
        <v>2344</v>
      </c>
      <c r="P3625" s="132" t="s">
        <v>77</v>
      </c>
      <c r="Q3625" s="131">
        <v>3604.05</v>
      </c>
      <c r="R3625" s="131">
        <v>576.64800000000002</v>
      </c>
      <c r="S3625" s="131"/>
      <c r="T3625" s="155"/>
      <c r="U3625" s="131"/>
      <c r="V3625" s="131">
        <v>4180.6980000000003</v>
      </c>
      <c r="W3625">
        <v>25</v>
      </c>
      <c r="X3625" s="151" t="s">
        <v>2024</v>
      </c>
      <c r="Y3625" s="135" t="s">
        <v>55</v>
      </c>
      <c r="Z3625" s="307">
        <v>252</v>
      </c>
      <c r="AB3625" t="str">
        <f>IF(Table1[[#This Row],[TIPO2]]="costo", VLOOKUP(Table1[[#This Row],[PARTIDA PRESUPUESTAL]],'Cost Report'!G:G,1,0),"Balance")</f>
        <v>3683-171</v>
      </c>
      <c r="AC3625" s="118"/>
      <c r="AD3625" s="159">
        <f>+Table1[[#This Row],[SUBTOTAL]]+Table1[[#This Row],[IVA]]-Table1[[#This Row],[RET IVA]]-Table1[[#This Row],[RET ISR]]-Table1[[#This Row],[TOTAL]]</f>
        <v>0</v>
      </c>
      <c r="AE3625" s="150"/>
      <c r="AF3625" s="151"/>
      <c r="AG3625" s="126"/>
      <c r="AK3625" s="306" t="str">
        <f>IF(ISNUMBER(Table1[[#This Row],[FECHA DE RECIBIDO]]), Table1[[#This Row],[FECHA DE RECIBIDO]]-DATE(2023,8,30), "")</f>
        <v/>
      </c>
    </row>
    <row r="3626" spans="1:37" ht="15" customHeight="1">
      <c r="A3626" s="152" t="s">
        <v>4246</v>
      </c>
      <c r="B3626" s="153">
        <v>1222</v>
      </c>
      <c r="C3626" s="126" t="s">
        <v>2907</v>
      </c>
      <c r="D3626">
        <v>2458</v>
      </c>
      <c r="E3626" s="126" t="s">
        <v>2001</v>
      </c>
      <c r="F3626" s="125" t="s">
        <v>1607</v>
      </c>
      <c r="G3626" s="125" t="s">
        <v>134</v>
      </c>
      <c r="H3626">
        <v>23</v>
      </c>
      <c r="I3626" s="125" t="s">
        <v>1546</v>
      </c>
      <c r="J3626" s="308" t="s">
        <v>214</v>
      </c>
      <c r="K3626" s="127" t="s">
        <v>4212</v>
      </c>
      <c r="L3626" s="153" t="s">
        <v>3306</v>
      </c>
      <c r="M3626">
        <v>343</v>
      </c>
      <c r="N3626" s="123">
        <v>1</v>
      </c>
      <c r="O3626">
        <v>2344</v>
      </c>
      <c r="P3626" s="132" t="s">
        <v>77</v>
      </c>
      <c r="Q3626" s="132">
        <v>1978.7</v>
      </c>
      <c r="R3626" s="132">
        <v>316.59200000000004</v>
      </c>
      <c r="S3626" s="132"/>
      <c r="T3626" s="156"/>
      <c r="U3626" s="132"/>
      <c r="V3626" s="132">
        <v>2295.2919999999999</v>
      </c>
      <c r="W3626">
        <v>25</v>
      </c>
      <c r="X3626" s="153" t="s">
        <v>2024</v>
      </c>
      <c r="Y3626" s="124" t="s">
        <v>55</v>
      </c>
      <c r="Z3626" s="308">
        <v>252</v>
      </c>
      <c r="AB3626" t="str">
        <f>IF(Table1[[#This Row],[TIPO2]]="costo", VLOOKUP(Table1[[#This Row],[PARTIDA PRESUPUESTAL]],'Cost Report'!G:G,1,0),"Balance")</f>
        <v>3683-154</v>
      </c>
      <c r="AC3626" s="118"/>
      <c r="AD3626" s="159">
        <f>+Table1[[#This Row],[SUBTOTAL]]+Table1[[#This Row],[IVA]]-Table1[[#This Row],[RET IVA]]-Table1[[#This Row],[RET ISR]]-Table1[[#This Row],[TOTAL]]</f>
        <v>0</v>
      </c>
      <c r="AE3626" s="152"/>
      <c r="AF3626" s="153"/>
      <c r="AG3626" s="126"/>
      <c r="AK3626" s="306" t="str">
        <f>IF(ISNUMBER(Table1[[#This Row],[FECHA DE RECIBIDO]]), Table1[[#This Row],[FECHA DE RECIBIDO]]-DATE(2023,8,30), "")</f>
        <v/>
      </c>
    </row>
    <row r="3627" spans="1:37" ht="15" customHeight="1">
      <c r="A3627" s="150" t="s">
        <v>4247</v>
      </c>
      <c r="B3627" s="151">
        <v>1223</v>
      </c>
      <c r="C3627" s="126" t="s">
        <v>1756</v>
      </c>
      <c r="D3627">
        <v>2459</v>
      </c>
      <c r="E3627" s="126" t="s">
        <v>3636</v>
      </c>
      <c r="F3627" s="122" t="s">
        <v>1607</v>
      </c>
      <c r="G3627" s="122" t="s">
        <v>134</v>
      </c>
      <c r="H3627">
        <v>443</v>
      </c>
      <c r="I3627" s="122" t="s">
        <v>1546</v>
      </c>
      <c r="J3627" s="307" t="s">
        <v>214</v>
      </c>
      <c r="K3627" s="127" t="s">
        <v>4212</v>
      </c>
      <c r="L3627" s="151" t="s">
        <v>3306</v>
      </c>
      <c r="M3627">
        <v>612</v>
      </c>
      <c r="N3627" s="123">
        <v>1</v>
      </c>
      <c r="O3627">
        <v>2345</v>
      </c>
      <c r="P3627" s="132" t="s">
        <v>77</v>
      </c>
      <c r="Q3627" s="131">
        <v>5250</v>
      </c>
      <c r="R3627" s="131">
        <v>840</v>
      </c>
      <c r="S3627" s="131"/>
      <c r="T3627" s="155"/>
      <c r="U3627" s="131"/>
      <c r="V3627" s="131">
        <v>6090</v>
      </c>
      <c r="W3627">
        <v>230</v>
      </c>
      <c r="X3627" s="151" t="s">
        <v>3796</v>
      </c>
      <c r="Y3627" s="135" t="s">
        <v>55</v>
      </c>
      <c r="Z3627" s="307">
        <v>253</v>
      </c>
      <c r="AB3627" t="str">
        <f>IF(Table1[[#This Row],[TIPO2]]="costo", VLOOKUP(Table1[[#This Row],[PARTIDA PRESUPUESTAL]],'Cost Report'!G:G,1,0),"Balance")</f>
        <v>2623-012</v>
      </c>
      <c r="AC3627" s="118"/>
      <c r="AD3627" s="159">
        <f>+Table1[[#This Row],[SUBTOTAL]]+Table1[[#This Row],[IVA]]-Table1[[#This Row],[RET IVA]]-Table1[[#This Row],[RET ISR]]-Table1[[#This Row],[TOTAL]]</f>
        <v>0</v>
      </c>
      <c r="AE3627" s="150"/>
      <c r="AF3627" s="151"/>
      <c r="AG3627" s="126"/>
      <c r="AK3627" s="306" t="str">
        <f>IF(ISNUMBER(Table1[[#This Row],[FECHA DE RECIBIDO]]), Table1[[#This Row],[FECHA DE RECIBIDO]]-DATE(2023,8,30), "")</f>
        <v/>
      </c>
    </row>
    <row r="3628" spans="1:37" ht="15" customHeight="1">
      <c r="A3628" s="152" t="s">
        <v>4247</v>
      </c>
      <c r="B3628" s="153">
        <v>1223</v>
      </c>
      <c r="C3628" s="126" t="s">
        <v>2576</v>
      </c>
      <c r="D3628">
        <v>2459</v>
      </c>
      <c r="E3628" s="126" t="s">
        <v>3636</v>
      </c>
      <c r="F3628" s="125" t="s">
        <v>1607</v>
      </c>
      <c r="G3628" s="125" t="s">
        <v>134</v>
      </c>
      <c r="H3628">
        <v>443</v>
      </c>
      <c r="I3628" s="125" t="s">
        <v>1546</v>
      </c>
      <c r="J3628" s="308" t="s">
        <v>214</v>
      </c>
      <c r="K3628" s="127" t="s">
        <v>4212</v>
      </c>
      <c r="L3628" s="153" t="s">
        <v>3306</v>
      </c>
      <c r="M3628">
        <v>612</v>
      </c>
      <c r="N3628" s="123">
        <v>1</v>
      </c>
      <c r="O3628">
        <v>2345</v>
      </c>
      <c r="P3628" s="132" t="s">
        <v>77</v>
      </c>
      <c r="Q3628" s="132">
        <v>5200</v>
      </c>
      <c r="R3628" s="132">
        <v>832</v>
      </c>
      <c r="S3628" s="132"/>
      <c r="T3628" s="156"/>
      <c r="U3628" s="132"/>
      <c r="V3628" s="132">
        <v>6032</v>
      </c>
      <c r="W3628">
        <v>230</v>
      </c>
      <c r="X3628" s="153" t="s">
        <v>3796</v>
      </c>
      <c r="Y3628" s="124" t="s">
        <v>55</v>
      </c>
      <c r="Z3628" s="308">
        <v>254</v>
      </c>
      <c r="AB3628" t="str">
        <f>IF(Table1[[#This Row],[TIPO2]]="costo", VLOOKUP(Table1[[#This Row],[PARTIDA PRESUPUESTAL]],'Cost Report'!G:G,1,0),"Balance")</f>
        <v>2623-016</v>
      </c>
      <c r="AC3628" s="118"/>
      <c r="AD3628" s="159">
        <f>+Table1[[#This Row],[SUBTOTAL]]+Table1[[#This Row],[IVA]]-Table1[[#This Row],[RET IVA]]-Table1[[#This Row],[RET ISR]]-Table1[[#This Row],[TOTAL]]</f>
        <v>0</v>
      </c>
      <c r="AE3628" s="152"/>
      <c r="AF3628" s="153"/>
      <c r="AG3628" s="126"/>
      <c r="AK3628" s="306" t="str">
        <f>IF(ISNUMBER(Table1[[#This Row],[FECHA DE RECIBIDO]]), Table1[[#This Row],[FECHA DE RECIBIDO]]-DATE(2023,8,30), "")</f>
        <v/>
      </c>
    </row>
    <row r="3629" spans="1:37" ht="15" customHeight="1">
      <c r="A3629" s="150" t="s">
        <v>4247</v>
      </c>
      <c r="B3629" s="151">
        <v>1223</v>
      </c>
      <c r="C3629" s="126" t="s">
        <v>1753</v>
      </c>
      <c r="D3629">
        <v>2459</v>
      </c>
      <c r="E3629" s="126" t="s">
        <v>3636</v>
      </c>
      <c r="F3629" s="122" t="s">
        <v>1607</v>
      </c>
      <c r="G3629" s="122" t="s">
        <v>134</v>
      </c>
      <c r="H3629">
        <v>443</v>
      </c>
      <c r="I3629" s="122" t="s">
        <v>1546</v>
      </c>
      <c r="J3629" s="307" t="s">
        <v>214</v>
      </c>
      <c r="K3629" s="127" t="s">
        <v>4212</v>
      </c>
      <c r="L3629" s="151" t="s">
        <v>3306</v>
      </c>
      <c r="M3629">
        <v>612</v>
      </c>
      <c r="N3629" s="123">
        <v>1</v>
      </c>
      <c r="O3629">
        <v>2345</v>
      </c>
      <c r="P3629" s="132" t="s">
        <v>77</v>
      </c>
      <c r="Q3629" s="131">
        <v>11000</v>
      </c>
      <c r="R3629" s="131">
        <v>1760</v>
      </c>
      <c r="S3629" s="131"/>
      <c r="T3629" s="155"/>
      <c r="U3629" s="131"/>
      <c r="V3629" s="131">
        <v>12760</v>
      </c>
      <c r="W3629">
        <v>230</v>
      </c>
      <c r="X3629" s="151" t="s">
        <v>3796</v>
      </c>
      <c r="Y3629" s="135" t="s">
        <v>55</v>
      </c>
      <c r="Z3629" s="307">
        <v>254</v>
      </c>
      <c r="AB3629" t="str">
        <f>IF(Table1[[#This Row],[TIPO2]]="costo", VLOOKUP(Table1[[#This Row],[PARTIDA PRESUPUESTAL]],'Cost Report'!G:G,1,0),"Balance")</f>
        <v>2623-007</v>
      </c>
      <c r="AC3629" s="118"/>
      <c r="AD3629" s="159">
        <f>+Table1[[#This Row],[SUBTOTAL]]+Table1[[#This Row],[IVA]]-Table1[[#This Row],[RET IVA]]-Table1[[#This Row],[RET ISR]]-Table1[[#This Row],[TOTAL]]</f>
        <v>0</v>
      </c>
      <c r="AE3629" s="150"/>
      <c r="AF3629" s="151"/>
      <c r="AG3629" s="126"/>
      <c r="AK3629" s="306" t="str">
        <f>IF(ISNUMBER(Table1[[#This Row],[FECHA DE RECIBIDO]]), Table1[[#This Row],[FECHA DE RECIBIDO]]-DATE(2023,8,30), "")</f>
        <v/>
      </c>
    </row>
    <row r="3630" spans="1:37" ht="15" customHeight="1">
      <c r="A3630" s="152" t="s">
        <v>4248</v>
      </c>
      <c r="B3630" s="153">
        <v>1224</v>
      </c>
      <c r="C3630" s="126" t="s">
        <v>1853</v>
      </c>
      <c r="D3630">
        <v>2460</v>
      </c>
      <c r="E3630" s="126" t="s">
        <v>3636</v>
      </c>
      <c r="F3630" s="125" t="s">
        <v>1607</v>
      </c>
      <c r="G3630" s="125" t="s">
        <v>134</v>
      </c>
      <c r="H3630">
        <v>670</v>
      </c>
      <c r="I3630" s="125" t="s">
        <v>1546</v>
      </c>
      <c r="J3630" s="308" t="s">
        <v>214</v>
      </c>
      <c r="K3630" s="127" t="s">
        <v>4212</v>
      </c>
      <c r="L3630" s="153" t="s">
        <v>3306</v>
      </c>
      <c r="M3630">
        <v>943</v>
      </c>
      <c r="N3630" s="123">
        <v>1</v>
      </c>
      <c r="O3630">
        <v>2346</v>
      </c>
      <c r="P3630" s="132" t="s">
        <v>77</v>
      </c>
      <c r="Q3630" s="132">
        <v>150000</v>
      </c>
      <c r="R3630" s="132">
        <v>24000</v>
      </c>
      <c r="S3630" s="132"/>
      <c r="T3630" s="156"/>
      <c r="U3630" s="132"/>
      <c r="V3630" s="132">
        <v>174000</v>
      </c>
      <c r="W3630">
        <v>341</v>
      </c>
      <c r="X3630" s="153" t="s">
        <v>1429</v>
      </c>
      <c r="Y3630" s="124" t="s">
        <v>55</v>
      </c>
      <c r="Z3630" s="308">
        <v>254</v>
      </c>
      <c r="AB3630" t="str">
        <f>IF(Table1[[#This Row],[TIPO2]]="costo", VLOOKUP(Table1[[#This Row],[PARTIDA PRESUPUESTAL]],'Cost Report'!G:G,1,0),"Balance")</f>
        <v>3305-007</v>
      </c>
      <c r="AC3630" s="118"/>
      <c r="AD3630" s="159">
        <f>+Table1[[#This Row],[SUBTOTAL]]+Table1[[#This Row],[IVA]]-Table1[[#This Row],[RET IVA]]-Table1[[#This Row],[RET ISR]]-Table1[[#This Row],[TOTAL]]</f>
        <v>0</v>
      </c>
      <c r="AE3630" s="152"/>
      <c r="AF3630" s="153"/>
      <c r="AG3630" s="126"/>
      <c r="AK3630" s="306" t="str">
        <f>IF(ISNUMBER(Table1[[#This Row],[FECHA DE RECIBIDO]]), Table1[[#This Row],[FECHA DE RECIBIDO]]-DATE(2023,8,30), "")</f>
        <v/>
      </c>
    </row>
    <row r="3631" spans="1:37" ht="15" customHeight="1">
      <c r="A3631" s="150" t="s">
        <v>4249</v>
      </c>
      <c r="B3631" s="151">
        <v>1225</v>
      </c>
      <c r="C3631" s="126" t="s">
        <v>2715</v>
      </c>
      <c r="D3631">
        <v>2461</v>
      </c>
      <c r="E3631" s="126" t="s">
        <v>4185</v>
      </c>
      <c r="F3631" s="122" t="s">
        <v>1593</v>
      </c>
      <c r="G3631" s="122" t="s">
        <v>109</v>
      </c>
      <c r="H3631">
        <v>588</v>
      </c>
      <c r="I3631" s="122" t="s">
        <v>1546</v>
      </c>
      <c r="J3631" s="307" t="s">
        <v>214</v>
      </c>
      <c r="K3631" s="127" t="s">
        <v>4212</v>
      </c>
      <c r="L3631" s="151" t="s">
        <v>3306</v>
      </c>
      <c r="M3631">
        <v>952</v>
      </c>
      <c r="N3631" s="123">
        <v>1</v>
      </c>
      <c r="O3631">
        <v>2347</v>
      </c>
      <c r="P3631" s="132" t="s">
        <v>77</v>
      </c>
      <c r="Q3631" s="131">
        <v>67000</v>
      </c>
      <c r="R3631" s="131">
        <v>10720</v>
      </c>
      <c r="S3631" s="131"/>
      <c r="T3631" s="155"/>
      <c r="U3631" s="131"/>
      <c r="V3631" s="131">
        <v>77720</v>
      </c>
      <c r="W3631">
        <v>335</v>
      </c>
      <c r="X3631" s="151" t="s">
        <v>1430</v>
      </c>
      <c r="Y3631" s="135" t="s">
        <v>55</v>
      </c>
      <c r="Z3631" s="307">
        <v>254</v>
      </c>
      <c r="AB3631" t="str">
        <f>IF(Table1[[#This Row],[TIPO2]]="costo", VLOOKUP(Table1[[#This Row],[PARTIDA PRESUPUESTAL]],'Cost Report'!G:G,1,0),"Balance")</f>
        <v>3192-015</v>
      </c>
      <c r="AC3631" s="118"/>
      <c r="AD3631" s="159">
        <f>+Table1[[#This Row],[SUBTOTAL]]+Table1[[#This Row],[IVA]]-Table1[[#This Row],[RET IVA]]-Table1[[#This Row],[RET ISR]]-Table1[[#This Row],[TOTAL]]</f>
        <v>0</v>
      </c>
      <c r="AE3631" s="150"/>
      <c r="AF3631" s="151"/>
      <c r="AG3631" s="126"/>
      <c r="AK3631" s="306" t="str">
        <f>IF(ISNUMBER(Table1[[#This Row],[FECHA DE RECIBIDO]]), Table1[[#This Row],[FECHA DE RECIBIDO]]-DATE(2023,8,30), "")</f>
        <v/>
      </c>
    </row>
    <row r="3632" spans="1:37" ht="15" customHeight="1">
      <c r="A3632" s="152"/>
      <c r="B3632" s="153">
        <v>1226</v>
      </c>
      <c r="C3632" s="126" t="s">
        <v>2715</v>
      </c>
      <c r="D3632">
        <v>2462</v>
      </c>
      <c r="E3632" s="126" t="s">
        <v>4185</v>
      </c>
      <c r="F3632" s="125" t="s">
        <v>1593</v>
      </c>
      <c r="G3632" s="125" t="s">
        <v>109</v>
      </c>
      <c r="H3632">
        <v>588</v>
      </c>
      <c r="I3632" s="125" t="s">
        <v>1546</v>
      </c>
      <c r="J3632" s="308" t="s">
        <v>214</v>
      </c>
      <c r="K3632" s="127" t="s">
        <v>4212</v>
      </c>
      <c r="L3632" s="153" t="s">
        <v>3306</v>
      </c>
      <c r="M3632">
        <v>952</v>
      </c>
      <c r="N3632" s="123">
        <v>1</v>
      </c>
      <c r="O3632">
        <v>2348</v>
      </c>
      <c r="P3632" s="132" t="s">
        <v>77</v>
      </c>
      <c r="Q3632" s="132">
        <v>67000</v>
      </c>
      <c r="R3632" s="132">
        <v>10720</v>
      </c>
      <c r="S3632" s="132"/>
      <c r="T3632" s="156"/>
      <c r="U3632" s="132"/>
      <c r="V3632" s="132">
        <v>77720</v>
      </c>
      <c r="W3632">
        <v>335</v>
      </c>
      <c r="X3632" s="153" t="s">
        <v>1430</v>
      </c>
      <c r="Y3632" s="124" t="s">
        <v>55</v>
      </c>
      <c r="Z3632" s="308">
        <v>254</v>
      </c>
      <c r="AB3632" t="str">
        <f>IF(Table1[[#This Row],[TIPO2]]="costo", VLOOKUP(Table1[[#This Row],[PARTIDA PRESUPUESTAL]],'Cost Report'!G:G,1,0),"Balance")</f>
        <v>3192-015</v>
      </c>
      <c r="AC3632" s="118"/>
      <c r="AD3632" s="159">
        <f>+Table1[[#This Row],[SUBTOTAL]]+Table1[[#This Row],[IVA]]-Table1[[#This Row],[RET IVA]]-Table1[[#This Row],[RET ISR]]-Table1[[#This Row],[TOTAL]]</f>
        <v>0</v>
      </c>
      <c r="AE3632" s="152"/>
      <c r="AF3632" s="153"/>
      <c r="AG3632" s="126"/>
      <c r="AK3632" s="306" t="str">
        <f>IF(ISNUMBER(Table1[[#This Row],[FECHA DE RECIBIDO]]), Table1[[#This Row],[FECHA DE RECIBIDO]]-DATE(2023,8,30), "")</f>
        <v/>
      </c>
    </row>
    <row r="3633" spans="1:37" ht="15" customHeight="1">
      <c r="A3633" s="150" t="s">
        <v>4250</v>
      </c>
      <c r="B3633" s="151">
        <v>1227</v>
      </c>
      <c r="C3633" s="126" t="s">
        <v>911</v>
      </c>
      <c r="D3633">
        <v>2463</v>
      </c>
      <c r="E3633" s="126" t="s">
        <v>3237</v>
      </c>
      <c r="F3633" s="122" t="s">
        <v>1607</v>
      </c>
      <c r="G3633" s="122" t="s">
        <v>134</v>
      </c>
      <c r="H3633">
        <v>213</v>
      </c>
      <c r="I3633" s="122" t="s">
        <v>1546</v>
      </c>
      <c r="J3633" s="307" t="s">
        <v>214</v>
      </c>
      <c r="K3633" s="127" t="s">
        <v>4212</v>
      </c>
      <c r="L3633" s="151" t="s">
        <v>3306</v>
      </c>
      <c r="M3633">
        <v>715</v>
      </c>
      <c r="N3633" s="123">
        <v>1</v>
      </c>
      <c r="O3633">
        <v>2349</v>
      </c>
      <c r="P3633" s="132" t="s">
        <v>77</v>
      </c>
      <c r="Q3633" s="131">
        <v>16000</v>
      </c>
      <c r="R3633" s="131">
        <v>2560</v>
      </c>
      <c r="S3633" s="131"/>
      <c r="T3633" s="155"/>
      <c r="U3633" s="131"/>
      <c r="V3633" s="131">
        <v>18560</v>
      </c>
      <c r="W3633">
        <v>134</v>
      </c>
      <c r="X3633" s="151" t="s">
        <v>2024</v>
      </c>
      <c r="Y3633" s="135" t="s">
        <v>55</v>
      </c>
      <c r="Z3633" s="307">
        <v>254</v>
      </c>
      <c r="AB3633" t="str">
        <f>IF(Table1[[#This Row],[TIPO2]]="costo", VLOOKUP(Table1[[#This Row],[PARTIDA PRESUPUESTAL]],'Cost Report'!G:G,1,0),"Balance")</f>
        <v>3201-004</v>
      </c>
      <c r="AC3633" s="118"/>
      <c r="AD3633" s="159">
        <f>+Table1[[#This Row],[SUBTOTAL]]+Table1[[#This Row],[IVA]]-Table1[[#This Row],[RET IVA]]-Table1[[#This Row],[RET ISR]]-Table1[[#This Row],[TOTAL]]</f>
        <v>0</v>
      </c>
      <c r="AE3633" s="150"/>
      <c r="AF3633" s="151"/>
      <c r="AG3633" s="126"/>
      <c r="AK3633" s="306" t="str">
        <f>IF(ISNUMBER(Table1[[#This Row],[FECHA DE RECIBIDO]]), Table1[[#This Row],[FECHA DE RECIBIDO]]-DATE(2023,8,30), "")</f>
        <v/>
      </c>
    </row>
    <row r="3634" spans="1:37" ht="15" customHeight="1">
      <c r="A3634" s="152"/>
      <c r="B3634" s="153">
        <v>1228</v>
      </c>
      <c r="C3634" s="126" t="s">
        <v>914</v>
      </c>
      <c r="D3634">
        <v>2464</v>
      </c>
      <c r="E3634" s="126" t="s">
        <v>3237</v>
      </c>
      <c r="F3634" s="125" t="s">
        <v>1607</v>
      </c>
      <c r="G3634" s="125" t="s">
        <v>134</v>
      </c>
      <c r="H3634">
        <v>213</v>
      </c>
      <c r="I3634" s="125" t="s">
        <v>1546</v>
      </c>
      <c r="J3634" s="308" t="s">
        <v>214</v>
      </c>
      <c r="K3634" s="127" t="s">
        <v>4212</v>
      </c>
      <c r="L3634" s="153" t="s">
        <v>3306</v>
      </c>
      <c r="M3634">
        <v>715</v>
      </c>
      <c r="N3634" s="123">
        <v>1</v>
      </c>
      <c r="O3634">
        <v>2350</v>
      </c>
      <c r="P3634" s="132" t="s">
        <v>77</v>
      </c>
      <c r="Q3634" s="132">
        <v>14000</v>
      </c>
      <c r="R3634" s="132">
        <v>2240</v>
      </c>
      <c r="S3634" s="132"/>
      <c r="T3634" s="156"/>
      <c r="U3634" s="132"/>
      <c r="V3634" s="132">
        <v>16240</v>
      </c>
      <c r="W3634">
        <v>134</v>
      </c>
      <c r="X3634" s="153" t="s">
        <v>2024</v>
      </c>
      <c r="Y3634" s="124" t="s">
        <v>55</v>
      </c>
      <c r="Z3634" s="308">
        <v>254</v>
      </c>
      <c r="AB3634" t="str">
        <f>IF(Table1[[#This Row],[TIPO2]]="costo", VLOOKUP(Table1[[#This Row],[PARTIDA PRESUPUESTAL]],'Cost Report'!G:G,1,0),"Balance")</f>
        <v>3201-007</v>
      </c>
      <c r="AC3634" s="118"/>
      <c r="AD3634" s="159">
        <f>+Table1[[#This Row],[SUBTOTAL]]+Table1[[#This Row],[IVA]]-Table1[[#This Row],[RET IVA]]-Table1[[#This Row],[RET ISR]]-Table1[[#This Row],[TOTAL]]</f>
        <v>0</v>
      </c>
      <c r="AE3634" s="152"/>
      <c r="AF3634" s="153"/>
      <c r="AG3634" s="126"/>
      <c r="AK3634" s="306" t="str">
        <f>IF(ISNUMBER(Table1[[#This Row],[FECHA DE RECIBIDO]]), Table1[[#This Row],[FECHA DE RECIBIDO]]-DATE(2023,8,30), "")</f>
        <v/>
      </c>
    </row>
    <row r="3635" spans="1:37" ht="15" customHeight="1">
      <c r="A3635" s="150"/>
      <c r="B3635" s="151">
        <v>1229</v>
      </c>
      <c r="C3635" s="126" t="s">
        <v>2738</v>
      </c>
      <c r="D3635">
        <v>2465</v>
      </c>
      <c r="E3635" s="126" t="s">
        <v>3237</v>
      </c>
      <c r="F3635" s="122" t="s">
        <v>1607</v>
      </c>
      <c r="G3635" s="122" t="s">
        <v>134</v>
      </c>
      <c r="H3635">
        <v>213</v>
      </c>
      <c r="I3635" s="122" t="s">
        <v>1546</v>
      </c>
      <c r="J3635" s="307" t="s">
        <v>214</v>
      </c>
      <c r="K3635" s="127" t="s">
        <v>4212</v>
      </c>
      <c r="L3635" s="151" t="s">
        <v>3306</v>
      </c>
      <c r="M3635">
        <v>715</v>
      </c>
      <c r="N3635" s="123">
        <v>1</v>
      </c>
      <c r="O3635">
        <v>2351</v>
      </c>
      <c r="P3635" s="132" t="s">
        <v>77</v>
      </c>
      <c r="Q3635" s="131">
        <v>14000</v>
      </c>
      <c r="R3635" s="131">
        <v>2240</v>
      </c>
      <c r="S3635" s="131"/>
      <c r="T3635" s="155"/>
      <c r="U3635" s="131"/>
      <c r="V3635" s="131">
        <v>16240</v>
      </c>
      <c r="W3635">
        <v>134</v>
      </c>
      <c r="X3635" s="151" t="s">
        <v>2024</v>
      </c>
      <c r="Y3635" s="135" t="s">
        <v>55</v>
      </c>
      <c r="Z3635" s="307">
        <v>254</v>
      </c>
      <c r="AB3635" t="str">
        <f>IF(Table1[[#This Row],[TIPO2]]="costo", VLOOKUP(Table1[[#This Row],[PARTIDA PRESUPUESTAL]],'Cost Report'!G:G,1,0),"Balance")</f>
        <v>3201-015</v>
      </c>
      <c r="AC3635" s="118"/>
      <c r="AD3635" s="159">
        <f>+Table1[[#This Row],[SUBTOTAL]]+Table1[[#This Row],[IVA]]-Table1[[#This Row],[RET IVA]]-Table1[[#This Row],[RET ISR]]-Table1[[#This Row],[TOTAL]]</f>
        <v>0</v>
      </c>
      <c r="AE3635" s="150"/>
      <c r="AF3635" s="151"/>
      <c r="AG3635" s="126"/>
      <c r="AK3635" s="306" t="str">
        <f>IF(ISNUMBER(Table1[[#This Row],[FECHA DE RECIBIDO]]), Table1[[#This Row],[FECHA DE RECIBIDO]]-DATE(2023,8,30), "")</f>
        <v/>
      </c>
    </row>
    <row r="3636" spans="1:37" ht="15" customHeight="1">
      <c r="A3636" s="152" t="s">
        <v>4251</v>
      </c>
      <c r="B3636" s="153">
        <v>1230</v>
      </c>
      <c r="C3636" s="126" t="s">
        <v>970</v>
      </c>
      <c r="D3636">
        <v>2466</v>
      </c>
      <c r="E3636" s="126" t="s">
        <v>1605</v>
      </c>
      <c r="F3636" s="125" t="s">
        <v>1607</v>
      </c>
      <c r="G3636" s="125" t="s">
        <v>134</v>
      </c>
      <c r="H3636">
        <v>84</v>
      </c>
      <c r="I3636" s="125" t="s">
        <v>1546</v>
      </c>
      <c r="J3636" s="308" t="s">
        <v>214</v>
      </c>
      <c r="K3636" s="127" t="s">
        <v>4212</v>
      </c>
      <c r="L3636" s="153" t="s">
        <v>3306</v>
      </c>
      <c r="M3636">
        <v>614</v>
      </c>
      <c r="N3636" s="123">
        <v>1</v>
      </c>
      <c r="O3636">
        <v>2352</v>
      </c>
      <c r="P3636" s="132" t="s">
        <v>77</v>
      </c>
      <c r="Q3636" s="132">
        <v>34489.29</v>
      </c>
      <c r="R3636" s="132">
        <v>5518.29</v>
      </c>
      <c r="S3636" s="132"/>
      <c r="T3636" s="156"/>
      <c r="U3636" s="132"/>
      <c r="V3636" s="132">
        <v>40007.58</v>
      </c>
      <c r="W3636">
        <v>56</v>
      </c>
      <c r="X3636" s="153" t="s">
        <v>1429</v>
      </c>
      <c r="Y3636" s="124" t="s">
        <v>55</v>
      </c>
      <c r="Z3636" s="308">
        <v>254</v>
      </c>
      <c r="AB3636" t="str">
        <f>IF(Table1[[#This Row],[TIPO2]]="costo", VLOOKUP(Table1[[#This Row],[PARTIDA PRESUPUESTAL]],'Cost Report'!G:G,1,0),"Balance")</f>
        <v>3410-003</v>
      </c>
      <c r="AC3636" s="118"/>
      <c r="AD3636" s="159">
        <f>+Table1[[#This Row],[SUBTOTAL]]+Table1[[#This Row],[IVA]]-Table1[[#This Row],[RET IVA]]-Table1[[#This Row],[RET ISR]]-Table1[[#This Row],[TOTAL]]</f>
        <v>0</v>
      </c>
      <c r="AE3636" s="152"/>
      <c r="AF3636" s="153"/>
      <c r="AG3636" s="126"/>
      <c r="AK3636" s="306" t="str">
        <f>IF(ISNUMBER(Table1[[#This Row],[FECHA DE RECIBIDO]]), Table1[[#This Row],[FECHA DE RECIBIDO]]-DATE(2023,8,30), "")</f>
        <v/>
      </c>
    </row>
    <row r="3637" spans="1:37" ht="15" customHeight="1">
      <c r="A3637" s="150" t="s">
        <v>4251</v>
      </c>
      <c r="B3637" s="151">
        <v>1230</v>
      </c>
      <c r="C3637" s="126" t="s">
        <v>970</v>
      </c>
      <c r="D3637">
        <v>2466</v>
      </c>
      <c r="E3637" s="126" t="s">
        <v>1605</v>
      </c>
      <c r="F3637" s="122" t="s">
        <v>1607</v>
      </c>
      <c r="G3637" s="122" t="s">
        <v>134</v>
      </c>
      <c r="H3637">
        <v>84</v>
      </c>
      <c r="I3637" s="122" t="s">
        <v>1546</v>
      </c>
      <c r="J3637" s="307" t="s">
        <v>214</v>
      </c>
      <c r="K3637" s="127" t="s">
        <v>4212</v>
      </c>
      <c r="L3637" s="151" t="s">
        <v>3306</v>
      </c>
      <c r="M3637">
        <v>614</v>
      </c>
      <c r="N3637" s="123">
        <v>1</v>
      </c>
      <c r="O3637">
        <v>2352</v>
      </c>
      <c r="P3637" s="132" t="s">
        <v>77</v>
      </c>
      <c r="Q3637" s="131">
        <v>34489.279999999999</v>
      </c>
      <c r="R3637" s="131">
        <v>5518.29</v>
      </c>
      <c r="S3637" s="131"/>
      <c r="T3637" s="155"/>
      <c r="U3637" s="131"/>
      <c r="V3637" s="131">
        <v>40007.57</v>
      </c>
      <c r="W3637">
        <v>56</v>
      </c>
      <c r="X3637" s="151" t="s">
        <v>1429</v>
      </c>
      <c r="Y3637" s="135" t="s">
        <v>55</v>
      </c>
      <c r="Z3637" s="307">
        <v>254</v>
      </c>
      <c r="AB3637" t="str">
        <f>IF(Table1[[#This Row],[TIPO2]]="costo", VLOOKUP(Table1[[#This Row],[PARTIDA PRESUPUESTAL]],'Cost Report'!G:G,1,0),"Balance")</f>
        <v>3410-003</v>
      </c>
      <c r="AC3637" s="118"/>
      <c r="AD3637" s="159">
        <f>+Table1[[#This Row],[SUBTOTAL]]+Table1[[#This Row],[IVA]]-Table1[[#This Row],[RET IVA]]-Table1[[#This Row],[RET ISR]]-Table1[[#This Row],[TOTAL]]</f>
        <v>0</v>
      </c>
      <c r="AE3637" s="150"/>
      <c r="AF3637" s="151"/>
      <c r="AG3637" s="126"/>
      <c r="AK3637" s="306" t="str">
        <f>IF(ISNUMBER(Table1[[#This Row],[FECHA DE RECIBIDO]]), Table1[[#This Row],[FECHA DE RECIBIDO]]-DATE(2023,8,30), "")</f>
        <v/>
      </c>
    </row>
    <row r="3638" spans="1:37" ht="15" customHeight="1">
      <c r="A3638" s="152" t="s">
        <v>4251</v>
      </c>
      <c r="B3638" s="153">
        <v>1230</v>
      </c>
      <c r="C3638" s="126" t="s">
        <v>978</v>
      </c>
      <c r="D3638">
        <v>2466</v>
      </c>
      <c r="E3638" s="126" t="s">
        <v>1605</v>
      </c>
      <c r="F3638" s="125" t="s">
        <v>1607</v>
      </c>
      <c r="G3638" s="125" t="s">
        <v>134</v>
      </c>
      <c r="H3638">
        <v>84</v>
      </c>
      <c r="I3638" s="125" t="s">
        <v>1546</v>
      </c>
      <c r="J3638" s="308" t="s">
        <v>214</v>
      </c>
      <c r="K3638" s="127" t="s">
        <v>4212</v>
      </c>
      <c r="L3638" s="153" t="s">
        <v>3306</v>
      </c>
      <c r="M3638">
        <v>614</v>
      </c>
      <c r="N3638" s="123">
        <v>1</v>
      </c>
      <c r="O3638">
        <v>2352</v>
      </c>
      <c r="P3638" s="132" t="s">
        <v>77</v>
      </c>
      <c r="Q3638" s="132">
        <v>34489.279999999999</v>
      </c>
      <c r="R3638" s="132">
        <v>5518.29</v>
      </c>
      <c r="S3638" s="132"/>
      <c r="T3638" s="156"/>
      <c r="U3638" s="132"/>
      <c r="V3638" s="132">
        <v>40007.57</v>
      </c>
      <c r="W3638">
        <v>56</v>
      </c>
      <c r="X3638" s="153" t="s">
        <v>1429</v>
      </c>
      <c r="Y3638" s="124" t="s">
        <v>55</v>
      </c>
      <c r="Z3638" s="308">
        <v>254</v>
      </c>
      <c r="AB3638" t="str">
        <f>IF(Table1[[#This Row],[TIPO2]]="costo", VLOOKUP(Table1[[#This Row],[PARTIDA PRESUPUESTAL]],'Cost Report'!G:G,1,0),"Balance")</f>
        <v>3410-013</v>
      </c>
      <c r="AC3638" s="118"/>
      <c r="AD3638" s="159">
        <f>+Table1[[#This Row],[SUBTOTAL]]+Table1[[#This Row],[IVA]]-Table1[[#This Row],[RET IVA]]-Table1[[#This Row],[RET ISR]]-Table1[[#This Row],[TOTAL]]</f>
        <v>0</v>
      </c>
      <c r="AE3638" s="152"/>
      <c r="AF3638" s="153"/>
      <c r="AG3638" s="126"/>
      <c r="AK3638" s="306" t="str">
        <f>IF(ISNUMBER(Table1[[#This Row],[FECHA DE RECIBIDO]]), Table1[[#This Row],[FECHA DE RECIBIDO]]-DATE(2023,8,30), "")</f>
        <v/>
      </c>
    </row>
    <row r="3639" spans="1:37" ht="15" customHeight="1">
      <c r="A3639" s="150" t="s">
        <v>4251</v>
      </c>
      <c r="B3639" s="151">
        <v>1230</v>
      </c>
      <c r="C3639" s="126" t="s">
        <v>972</v>
      </c>
      <c r="D3639">
        <v>2466</v>
      </c>
      <c r="E3639" s="126" t="s">
        <v>1605</v>
      </c>
      <c r="F3639" s="122" t="s">
        <v>1607</v>
      </c>
      <c r="G3639" s="122" t="s">
        <v>134</v>
      </c>
      <c r="H3639">
        <v>84</v>
      </c>
      <c r="I3639" s="122" t="s">
        <v>1546</v>
      </c>
      <c r="J3639" s="307" t="s">
        <v>214</v>
      </c>
      <c r="K3639" s="127" t="s">
        <v>4212</v>
      </c>
      <c r="L3639" s="151" t="s">
        <v>3306</v>
      </c>
      <c r="M3639">
        <v>614</v>
      </c>
      <c r="N3639" s="123">
        <v>1</v>
      </c>
      <c r="O3639">
        <v>2352</v>
      </c>
      <c r="P3639" s="132" t="s">
        <v>77</v>
      </c>
      <c r="Q3639" s="131">
        <v>34489.279999999999</v>
      </c>
      <c r="R3639" s="131">
        <v>5518.29</v>
      </c>
      <c r="S3639" s="131"/>
      <c r="T3639" s="155"/>
      <c r="U3639" s="131"/>
      <c r="V3639" s="131">
        <v>40007.57</v>
      </c>
      <c r="W3639">
        <v>56</v>
      </c>
      <c r="X3639" s="151" t="s">
        <v>1429</v>
      </c>
      <c r="Y3639" s="135" t="s">
        <v>55</v>
      </c>
      <c r="Z3639" s="307">
        <v>254</v>
      </c>
      <c r="AB3639" t="str">
        <f>IF(Table1[[#This Row],[TIPO2]]="costo", VLOOKUP(Table1[[#This Row],[PARTIDA PRESUPUESTAL]],'Cost Report'!G:G,1,0),"Balance")</f>
        <v>3410-005</v>
      </c>
      <c r="AC3639" s="118"/>
      <c r="AD3639" s="159">
        <f>+Table1[[#This Row],[SUBTOTAL]]+Table1[[#This Row],[IVA]]-Table1[[#This Row],[RET IVA]]-Table1[[#This Row],[RET ISR]]-Table1[[#This Row],[TOTAL]]</f>
        <v>0</v>
      </c>
      <c r="AE3639" s="150"/>
      <c r="AF3639" s="151"/>
      <c r="AG3639" s="126"/>
      <c r="AK3639" s="306" t="str">
        <f>IF(ISNUMBER(Table1[[#This Row],[FECHA DE RECIBIDO]]), Table1[[#This Row],[FECHA DE RECIBIDO]]-DATE(2023,8,30), "")</f>
        <v/>
      </c>
    </row>
    <row r="3640" spans="1:37" ht="15" customHeight="1">
      <c r="A3640" s="152" t="s">
        <v>4251</v>
      </c>
      <c r="B3640" s="153">
        <v>1230</v>
      </c>
      <c r="C3640" s="126" t="s">
        <v>973</v>
      </c>
      <c r="D3640">
        <v>2466</v>
      </c>
      <c r="E3640" s="126" t="s">
        <v>1605</v>
      </c>
      <c r="F3640" s="125" t="s">
        <v>1607</v>
      </c>
      <c r="G3640" s="125" t="s">
        <v>134</v>
      </c>
      <c r="H3640">
        <v>84</v>
      </c>
      <c r="I3640" s="125" t="s">
        <v>1546</v>
      </c>
      <c r="J3640" s="308" t="s">
        <v>214</v>
      </c>
      <c r="K3640" s="127" t="s">
        <v>4212</v>
      </c>
      <c r="L3640" s="153" t="s">
        <v>3306</v>
      </c>
      <c r="M3640">
        <v>614</v>
      </c>
      <c r="N3640" s="123">
        <v>1</v>
      </c>
      <c r="O3640">
        <v>2352</v>
      </c>
      <c r="P3640" s="132" t="s">
        <v>77</v>
      </c>
      <c r="Q3640" s="132">
        <v>34489.279999999999</v>
      </c>
      <c r="R3640" s="132">
        <v>5518.29</v>
      </c>
      <c r="S3640" s="132"/>
      <c r="T3640" s="156"/>
      <c r="U3640" s="132"/>
      <c r="V3640" s="132">
        <v>40007.57</v>
      </c>
      <c r="W3640">
        <v>56</v>
      </c>
      <c r="X3640" s="153" t="s">
        <v>1429</v>
      </c>
      <c r="Y3640" s="124" t="s">
        <v>55</v>
      </c>
      <c r="Z3640" s="308">
        <v>254</v>
      </c>
      <c r="AB3640" t="str">
        <f>IF(Table1[[#This Row],[TIPO2]]="costo", VLOOKUP(Table1[[#This Row],[PARTIDA PRESUPUESTAL]],'Cost Report'!G:G,1,0),"Balance")</f>
        <v>3410-006</v>
      </c>
      <c r="AC3640" s="118"/>
      <c r="AD3640" s="159">
        <f>+Table1[[#This Row],[SUBTOTAL]]+Table1[[#This Row],[IVA]]-Table1[[#This Row],[RET IVA]]-Table1[[#This Row],[RET ISR]]-Table1[[#This Row],[TOTAL]]</f>
        <v>0</v>
      </c>
      <c r="AE3640" s="152"/>
      <c r="AF3640" s="153"/>
      <c r="AG3640" s="126"/>
      <c r="AK3640" s="306" t="str">
        <f>IF(ISNUMBER(Table1[[#This Row],[FECHA DE RECIBIDO]]), Table1[[#This Row],[FECHA DE RECIBIDO]]-DATE(2023,8,30), "")</f>
        <v/>
      </c>
    </row>
    <row r="3641" spans="1:37" ht="15" customHeight="1">
      <c r="A3641" s="150" t="s">
        <v>4251</v>
      </c>
      <c r="B3641" s="151">
        <v>1230</v>
      </c>
      <c r="C3641" s="126" t="s">
        <v>974</v>
      </c>
      <c r="D3641">
        <v>2466</v>
      </c>
      <c r="E3641" s="126" t="s">
        <v>1605</v>
      </c>
      <c r="F3641" s="122" t="s">
        <v>1607</v>
      </c>
      <c r="G3641" s="122" t="s">
        <v>134</v>
      </c>
      <c r="H3641">
        <v>84</v>
      </c>
      <c r="I3641" s="122" t="s">
        <v>1546</v>
      </c>
      <c r="J3641" s="307" t="s">
        <v>214</v>
      </c>
      <c r="K3641" s="127" t="s">
        <v>4212</v>
      </c>
      <c r="L3641" s="151" t="s">
        <v>3306</v>
      </c>
      <c r="M3641">
        <v>614</v>
      </c>
      <c r="N3641" s="123">
        <v>1</v>
      </c>
      <c r="O3641">
        <v>2352</v>
      </c>
      <c r="P3641" s="132" t="s">
        <v>77</v>
      </c>
      <c r="Q3641" s="131">
        <v>34489.279999999999</v>
      </c>
      <c r="R3641" s="131">
        <v>5518.29</v>
      </c>
      <c r="S3641" s="131"/>
      <c r="T3641" s="155"/>
      <c r="U3641" s="131"/>
      <c r="V3641" s="131">
        <v>40007.57</v>
      </c>
      <c r="W3641">
        <v>56</v>
      </c>
      <c r="X3641" s="151" t="s">
        <v>1429</v>
      </c>
      <c r="Y3641" s="135" t="s">
        <v>55</v>
      </c>
      <c r="Z3641" s="307">
        <v>254</v>
      </c>
      <c r="AB3641" t="str">
        <f>IF(Table1[[#This Row],[TIPO2]]="costo", VLOOKUP(Table1[[#This Row],[PARTIDA PRESUPUESTAL]],'Cost Report'!G:G,1,0),"Balance")</f>
        <v>3410-007</v>
      </c>
      <c r="AC3641" s="118"/>
      <c r="AD3641" s="159">
        <f>+Table1[[#This Row],[SUBTOTAL]]+Table1[[#This Row],[IVA]]-Table1[[#This Row],[RET IVA]]-Table1[[#This Row],[RET ISR]]-Table1[[#This Row],[TOTAL]]</f>
        <v>0</v>
      </c>
      <c r="AE3641" s="150"/>
      <c r="AF3641" s="151"/>
      <c r="AG3641" s="126"/>
      <c r="AK3641" s="306" t="str">
        <f>IF(ISNUMBER(Table1[[#This Row],[FECHA DE RECIBIDO]]), Table1[[#This Row],[FECHA DE RECIBIDO]]-DATE(2023,8,30), "")</f>
        <v/>
      </c>
    </row>
    <row r="3642" spans="1:37" ht="15" customHeight="1">
      <c r="A3642" s="152" t="s">
        <v>4251</v>
      </c>
      <c r="B3642" s="153">
        <v>1230</v>
      </c>
      <c r="C3642" s="126" t="s">
        <v>975</v>
      </c>
      <c r="D3642">
        <v>2466</v>
      </c>
      <c r="E3642" s="126" t="s">
        <v>1605</v>
      </c>
      <c r="F3642" s="125" t="s">
        <v>1607</v>
      </c>
      <c r="G3642" s="125" t="s">
        <v>134</v>
      </c>
      <c r="H3642">
        <v>84</v>
      </c>
      <c r="I3642" s="125" t="s">
        <v>1546</v>
      </c>
      <c r="J3642" s="308" t="s">
        <v>214</v>
      </c>
      <c r="K3642" s="127" t="s">
        <v>4212</v>
      </c>
      <c r="L3642" s="153" t="s">
        <v>3306</v>
      </c>
      <c r="M3642">
        <v>614</v>
      </c>
      <c r="N3642" s="123">
        <v>1</v>
      </c>
      <c r="O3642">
        <v>2352</v>
      </c>
      <c r="P3642" s="132" t="s">
        <v>77</v>
      </c>
      <c r="Q3642" s="132">
        <v>34489.279999999999</v>
      </c>
      <c r="R3642" s="132">
        <v>5518.29</v>
      </c>
      <c r="S3642" s="132"/>
      <c r="T3642" s="156"/>
      <c r="U3642" s="132"/>
      <c r="V3642" s="132">
        <v>40007.57</v>
      </c>
      <c r="W3642">
        <v>56</v>
      </c>
      <c r="X3642" s="153" t="s">
        <v>1429</v>
      </c>
      <c r="Y3642" s="124" t="s">
        <v>55</v>
      </c>
      <c r="Z3642" s="308">
        <v>254</v>
      </c>
      <c r="AB3642" t="str">
        <f>IF(Table1[[#This Row],[TIPO2]]="costo", VLOOKUP(Table1[[#This Row],[PARTIDA PRESUPUESTAL]],'Cost Report'!G:G,1,0),"Balance")</f>
        <v>3410-008</v>
      </c>
      <c r="AC3642" s="118"/>
      <c r="AD3642" s="159">
        <f>+Table1[[#This Row],[SUBTOTAL]]+Table1[[#This Row],[IVA]]-Table1[[#This Row],[RET IVA]]-Table1[[#This Row],[RET ISR]]-Table1[[#This Row],[TOTAL]]</f>
        <v>0</v>
      </c>
      <c r="AE3642" s="152"/>
      <c r="AF3642" s="153"/>
      <c r="AG3642" s="126"/>
      <c r="AK3642" s="306" t="str">
        <f>IF(ISNUMBER(Table1[[#This Row],[FECHA DE RECIBIDO]]), Table1[[#This Row],[FECHA DE RECIBIDO]]-DATE(2023,8,30), "")</f>
        <v/>
      </c>
    </row>
    <row r="3643" spans="1:37" ht="15" customHeight="1">
      <c r="A3643" s="150" t="s">
        <v>4251</v>
      </c>
      <c r="B3643" s="151">
        <v>1230</v>
      </c>
      <c r="C3643" s="126" t="s">
        <v>2790</v>
      </c>
      <c r="D3643">
        <v>2466</v>
      </c>
      <c r="E3643" s="126" t="s">
        <v>1605</v>
      </c>
      <c r="F3643" s="122" t="s">
        <v>1607</v>
      </c>
      <c r="G3643" s="122" t="s">
        <v>134</v>
      </c>
      <c r="H3643">
        <v>84</v>
      </c>
      <c r="I3643" s="122" t="s">
        <v>1546</v>
      </c>
      <c r="J3643" s="307" t="s">
        <v>214</v>
      </c>
      <c r="K3643" s="127" t="s">
        <v>4212</v>
      </c>
      <c r="L3643" s="151" t="s">
        <v>3306</v>
      </c>
      <c r="M3643">
        <v>614</v>
      </c>
      <c r="N3643" s="123">
        <v>1</v>
      </c>
      <c r="O3643">
        <v>2352</v>
      </c>
      <c r="P3643" s="132" t="s">
        <v>77</v>
      </c>
      <c r="Q3643" s="131">
        <v>34489.279999999999</v>
      </c>
      <c r="R3643" s="131">
        <v>5518.29</v>
      </c>
      <c r="S3643" s="131"/>
      <c r="T3643" s="155"/>
      <c r="U3643" s="131"/>
      <c r="V3643" s="131">
        <v>40007.57</v>
      </c>
      <c r="W3643">
        <v>56</v>
      </c>
      <c r="X3643" s="151" t="s">
        <v>1429</v>
      </c>
      <c r="Y3643" s="135" t="s">
        <v>55</v>
      </c>
      <c r="Z3643" s="307">
        <v>254</v>
      </c>
      <c r="AB3643" t="str">
        <f>IF(Table1[[#This Row],[TIPO2]]="costo", VLOOKUP(Table1[[#This Row],[PARTIDA PRESUPUESTAL]],'Cost Report'!G:G,1,0),"Balance")</f>
        <v>3410-018</v>
      </c>
      <c r="AC3643" s="118"/>
      <c r="AD3643" s="159">
        <f>+Table1[[#This Row],[SUBTOTAL]]+Table1[[#This Row],[IVA]]-Table1[[#This Row],[RET IVA]]-Table1[[#This Row],[RET ISR]]-Table1[[#This Row],[TOTAL]]</f>
        <v>0</v>
      </c>
      <c r="AE3643" s="150"/>
      <c r="AF3643" s="151"/>
      <c r="AG3643" s="126"/>
      <c r="AK3643" s="306" t="str">
        <f>IF(ISNUMBER(Table1[[#This Row],[FECHA DE RECIBIDO]]), Table1[[#This Row],[FECHA DE RECIBIDO]]-DATE(2023,8,30), "")</f>
        <v/>
      </c>
    </row>
    <row r="3644" spans="1:37" ht="15" customHeight="1">
      <c r="A3644" s="152" t="s">
        <v>4251</v>
      </c>
      <c r="B3644" s="153">
        <v>1230</v>
      </c>
      <c r="C3644" s="126" t="s">
        <v>978</v>
      </c>
      <c r="D3644">
        <v>2466</v>
      </c>
      <c r="E3644" s="126" t="s">
        <v>1605</v>
      </c>
      <c r="F3644" s="125" t="s">
        <v>1607</v>
      </c>
      <c r="G3644" s="125" t="s">
        <v>134</v>
      </c>
      <c r="H3644">
        <v>84</v>
      </c>
      <c r="I3644" s="125" t="s">
        <v>1546</v>
      </c>
      <c r="J3644" s="308" t="s">
        <v>214</v>
      </c>
      <c r="K3644" s="127" t="s">
        <v>4212</v>
      </c>
      <c r="L3644" s="153" t="s">
        <v>3306</v>
      </c>
      <c r="M3644">
        <v>614</v>
      </c>
      <c r="N3644" s="123">
        <v>1</v>
      </c>
      <c r="O3644">
        <v>2352</v>
      </c>
      <c r="P3644" s="132" t="s">
        <v>77</v>
      </c>
      <c r="Q3644" s="132">
        <v>34489.279999999999</v>
      </c>
      <c r="R3644" s="132">
        <v>5518.29</v>
      </c>
      <c r="S3644" s="132"/>
      <c r="T3644" s="156"/>
      <c r="U3644" s="132"/>
      <c r="V3644" s="132">
        <v>40007.57</v>
      </c>
      <c r="W3644">
        <v>56</v>
      </c>
      <c r="X3644" s="153" t="s">
        <v>1429</v>
      </c>
      <c r="Y3644" s="124" t="s">
        <v>55</v>
      </c>
      <c r="Z3644" s="308">
        <v>254</v>
      </c>
      <c r="AB3644" t="str">
        <f>IF(Table1[[#This Row],[TIPO2]]="costo", VLOOKUP(Table1[[#This Row],[PARTIDA PRESUPUESTAL]],'Cost Report'!G:G,1,0),"Balance")</f>
        <v>3410-013</v>
      </c>
      <c r="AC3644" s="118"/>
      <c r="AD3644" s="159">
        <f>+Table1[[#This Row],[SUBTOTAL]]+Table1[[#This Row],[IVA]]-Table1[[#This Row],[RET IVA]]-Table1[[#This Row],[RET ISR]]-Table1[[#This Row],[TOTAL]]</f>
        <v>0</v>
      </c>
      <c r="AE3644" s="152"/>
      <c r="AF3644" s="153"/>
      <c r="AG3644" s="126"/>
      <c r="AK3644" s="306" t="str">
        <f>IF(ISNUMBER(Table1[[#This Row],[FECHA DE RECIBIDO]]), Table1[[#This Row],[FECHA DE RECIBIDO]]-DATE(2023,8,30), "")</f>
        <v/>
      </c>
    </row>
    <row r="3645" spans="1:37" ht="15" customHeight="1">
      <c r="A3645" s="150" t="s">
        <v>4252</v>
      </c>
      <c r="B3645" s="151">
        <v>1231</v>
      </c>
      <c r="C3645" s="126" t="s">
        <v>970</v>
      </c>
      <c r="D3645">
        <v>2467</v>
      </c>
      <c r="E3645" s="126" t="s">
        <v>1645</v>
      </c>
      <c r="F3645" s="122" t="s">
        <v>1593</v>
      </c>
      <c r="G3645" s="122" t="s">
        <v>109</v>
      </c>
      <c r="H3645">
        <v>336</v>
      </c>
      <c r="I3645" s="122" t="s">
        <v>1546</v>
      </c>
      <c r="J3645" s="307" t="s">
        <v>214</v>
      </c>
      <c r="K3645" s="127" t="s">
        <v>4212</v>
      </c>
      <c r="L3645" s="151" t="s">
        <v>3306</v>
      </c>
      <c r="M3645">
        <v>453</v>
      </c>
      <c r="N3645" s="123">
        <v>1</v>
      </c>
      <c r="O3645">
        <v>2353</v>
      </c>
      <c r="P3645" s="132" t="s">
        <v>77</v>
      </c>
      <c r="Q3645" s="131">
        <v>5770</v>
      </c>
      <c r="R3645" s="131">
        <v>923.2</v>
      </c>
      <c r="S3645" s="131"/>
      <c r="T3645" s="155">
        <v>615.47</v>
      </c>
      <c r="U3645" s="131">
        <v>72.13</v>
      </c>
      <c r="V3645" s="131">
        <v>6005.5999999999995</v>
      </c>
      <c r="W3645">
        <v>174</v>
      </c>
      <c r="X3645" s="151" t="s">
        <v>1429</v>
      </c>
      <c r="Y3645" s="135" t="s">
        <v>55</v>
      </c>
      <c r="Z3645" s="307">
        <v>254</v>
      </c>
      <c r="AB3645" t="str">
        <f>IF(Table1[[#This Row],[TIPO2]]="costo", VLOOKUP(Table1[[#This Row],[PARTIDA PRESUPUESTAL]],'Cost Report'!G:G,1,0),"Balance")</f>
        <v>3410-003</v>
      </c>
      <c r="AC3645" s="118"/>
      <c r="AD3645" s="159">
        <f>+Table1[[#This Row],[SUBTOTAL]]+Table1[[#This Row],[IVA]]-Table1[[#This Row],[RET IVA]]-Table1[[#This Row],[RET ISR]]-Table1[[#This Row],[TOTAL]]</f>
        <v>0</v>
      </c>
      <c r="AE3645" s="150"/>
      <c r="AF3645" s="151"/>
      <c r="AG3645" s="126"/>
      <c r="AK3645" s="306" t="str">
        <f>IF(ISNUMBER(Table1[[#This Row],[FECHA DE RECIBIDO]]), Table1[[#This Row],[FECHA DE RECIBIDO]]-DATE(2023,8,30), "")</f>
        <v/>
      </c>
    </row>
    <row r="3646" spans="1:37" ht="15" customHeight="1">
      <c r="A3646" s="152" t="s">
        <v>4253</v>
      </c>
      <c r="B3646" s="153">
        <v>1232</v>
      </c>
      <c r="C3646" s="126" t="s">
        <v>1142</v>
      </c>
      <c r="D3646">
        <v>2468</v>
      </c>
      <c r="E3646" s="126" t="s">
        <v>1603</v>
      </c>
      <c r="F3646" s="125" t="s">
        <v>1607</v>
      </c>
      <c r="G3646" s="125" t="s">
        <v>134</v>
      </c>
      <c r="H3646">
        <v>24</v>
      </c>
      <c r="I3646" s="125" t="s">
        <v>1546</v>
      </c>
      <c r="J3646" s="308" t="s">
        <v>214</v>
      </c>
      <c r="K3646" s="127" t="s">
        <v>4212</v>
      </c>
      <c r="L3646" s="153" t="s">
        <v>3306</v>
      </c>
      <c r="M3646">
        <v>620</v>
      </c>
      <c r="N3646" s="123">
        <v>1</v>
      </c>
      <c r="O3646">
        <v>1461</v>
      </c>
      <c r="P3646" s="132" t="s">
        <v>77</v>
      </c>
      <c r="Q3646" s="132">
        <v>532314.02</v>
      </c>
      <c r="R3646" s="132">
        <v>85170.240000000005</v>
      </c>
      <c r="S3646" s="132"/>
      <c r="T3646" s="156"/>
      <c r="U3646" s="132"/>
      <c r="V3646" s="132">
        <v>617484.26</v>
      </c>
      <c r="W3646">
        <v>26</v>
      </c>
      <c r="X3646" s="153" t="s">
        <v>1430</v>
      </c>
      <c r="Y3646" s="124" t="s">
        <v>55</v>
      </c>
      <c r="Z3646" s="308">
        <v>254</v>
      </c>
      <c r="AB3646" t="str">
        <f>IF(Table1[[#This Row],[TIPO2]]="costo", VLOOKUP(Table1[[#This Row],[PARTIDA PRESUPUESTAL]],'Cost Report'!G:G,1,0),"Balance")</f>
        <v>3902-008</v>
      </c>
      <c r="AC3646" s="118"/>
      <c r="AD3646" s="159">
        <f>+Table1[[#This Row],[SUBTOTAL]]+Table1[[#This Row],[IVA]]-Table1[[#This Row],[RET IVA]]-Table1[[#This Row],[RET ISR]]-Table1[[#This Row],[TOTAL]]</f>
        <v>0</v>
      </c>
      <c r="AE3646" s="152"/>
      <c r="AF3646" s="153"/>
      <c r="AG3646" s="126"/>
      <c r="AK3646" s="306" t="str">
        <f>IF(ISNUMBER(Table1[[#This Row],[FECHA DE RECIBIDO]]), Table1[[#This Row],[FECHA DE RECIBIDO]]-DATE(2023,8,30), "")</f>
        <v/>
      </c>
    </row>
    <row r="3647" spans="1:37" ht="15" customHeight="1">
      <c r="A3647" s="150" t="s">
        <v>4253</v>
      </c>
      <c r="B3647" s="151">
        <v>1232</v>
      </c>
      <c r="C3647" s="126" t="s">
        <v>1142</v>
      </c>
      <c r="D3647">
        <v>2468</v>
      </c>
      <c r="E3647" s="126" t="s">
        <v>1603</v>
      </c>
      <c r="F3647" s="122" t="s">
        <v>1607</v>
      </c>
      <c r="G3647" s="122" t="s">
        <v>134</v>
      </c>
      <c r="H3647">
        <v>24</v>
      </c>
      <c r="I3647" s="122" t="s">
        <v>1546</v>
      </c>
      <c r="J3647" s="307" t="s">
        <v>214</v>
      </c>
      <c r="K3647" s="127" t="s">
        <v>4212</v>
      </c>
      <c r="L3647" s="151" t="s">
        <v>3306</v>
      </c>
      <c r="M3647">
        <v>620</v>
      </c>
      <c r="N3647" s="123">
        <v>1</v>
      </c>
      <c r="O3647">
        <v>1461</v>
      </c>
      <c r="P3647" s="132" t="s">
        <v>77</v>
      </c>
      <c r="Q3647" s="131">
        <v>31500</v>
      </c>
      <c r="R3647" s="131">
        <v>5040</v>
      </c>
      <c r="S3647" s="131"/>
      <c r="T3647" s="155"/>
      <c r="U3647" s="131"/>
      <c r="V3647" s="131">
        <v>36540</v>
      </c>
      <c r="W3647">
        <v>26</v>
      </c>
      <c r="X3647" s="151" t="s">
        <v>1430</v>
      </c>
      <c r="Y3647" s="135" t="s">
        <v>55</v>
      </c>
      <c r="Z3647" s="307">
        <v>254</v>
      </c>
      <c r="AB3647" t="str">
        <f>IF(Table1[[#This Row],[TIPO2]]="costo", VLOOKUP(Table1[[#This Row],[PARTIDA PRESUPUESTAL]],'Cost Report'!G:G,1,0),"Balance")</f>
        <v>3902-008</v>
      </c>
      <c r="AC3647" s="118"/>
      <c r="AD3647" s="159">
        <f>+Table1[[#This Row],[SUBTOTAL]]+Table1[[#This Row],[IVA]]-Table1[[#This Row],[RET IVA]]-Table1[[#This Row],[RET ISR]]-Table1[[#This Row],[TOTAL]]</f>
        <v>0</v>
      </c>
      <c r="AE3647" s="150"/>
      <c r="AF3647" s="151"/>
      <c r="AG3647" s="126"/>
      <c r="AK3647" s="306" t="str">
        <f>IF(ISNUMBER(Table1[[#This Row],[FECHA DE RECIBIDO]]), Table1[[#This Row],[FECHA DE RECIBIDO]]-DATE(2023,8,30), "")</f>
        <v/>
      </c>
    </row>
    <row r="3648" spans="1:37" ht="15" customHeight="1">
      <c r="A3648" s="152" t="s">
        <v>4253</v>
      </c>
      <c r="B3648" s="153">
        <v>1232</v>
      </c>
      <c r="C3648" s="126" t="s">
        <v>1146</v>
      </c>
      <c r="D3648">
        <v>2468</v>
      </c>
      <c r="E3648" s="126" t="s">
        <v>1603</v>
      </c>
      <c r="F3648" s="125" t="s">
        <v>1607</v>
      </c>
      <c r="G3648" s="125" t="s">
        <v>134</v>
      </c>
      <c r="H3648">
        <v>24</v>
      </c>
      <c r="I3648" s="125" t="s">
        <v>1546</v>
      </c>
      <c r="J3648" s="308" t="s">
        <v>214</v>
      </c>
      <c r="K3648" s="127" t="s">
        <v>4212</v>
      </c>
      <c r="L3648" s="153" t="s">
        <v>3306</v>
      </c>
      <c r="M3648">
        <v>620</v>
      </c>
      <c r="N3648" s="123">
        <v>1</v>
      </c>
      <c r="O3648">
        <v>1461</v>
      </c>
      <c r="P3648" s="132" t="s">
        <v>77</v>
      </c>
      <c r="Q3648" s="132">
        <v>199952.14</v>
      </c>
      <c r="R3648" s="132">
        <v>31992.34</v>
      </c>
      <c r="S3648" s="132"/>
      <c r="T3648" s="156"/>
      <c r="U3648" s="132"/>
      <c r="V3648" s="132">
        <v>231944.48</v>
      </c>
      <c r="W3648">
        <v>26</v>
      </c>
      <c r="X3648" s="153" t="s">
        <v>1430</v>
      </c>
      <c r="Y3648" s="124" t="s">
        <v>55</v>
      </c>
      <c r="Z3648" s="308">
        <v>254</v>
      </c>
      <c r="AB3648" t="str">
        <f>IF(Table1[[#This Row],[TIPO2]]="costo", VLOOKUP(Table1[[#This Row],[PARTIDA PRESUPUESTAL]],'Cost Report'!G:G,1,0),"Balance")</f>
        <v>3902-014</v>
      </c>
      <c r="AC3648" s="118"/>
      <c r="AD3648" s="159">
        <f>+Table1[[#This Row],[SUBTOTAL]]+Table1[[#This Row],[IVA]]-Table1[[#This Row],[RET IVA]]-Table1[[#This Row],[RET ISR]]-Table1[[#This Row],[TOTAL]]</f>
        <v>0</v>
      </c>
      <c r="AE3648" s="152"/>
      <c r="AF3648" s="153"/>
      <c r="AG3648" s="126"/>
      <c r="AK3648" s="306" t="str">
        <f>IF(ISNUMBER(Table1[[#This Row],[FECHA DE RECIBIDO]]), Table1[[#This Row],[FECHA DE RECIBIDO]]-DATE(2023,8,30), "")</f>
        <v/>
      </c>
    </row>
    <row r="3649" spans="1:37" ht="15" customHeight="1">
      <c r="A3649" s="150" t="s">
        <v>4254</v>
      </c>
      <c r="B3649" s="151">
        <v>1233</v>
      </c>
      <c r="C3649" s="126" t="s">
        <v>1164</v>
      </c>
      <c r="D3649">
        <v>2469</v>
      </c>
      <c r="E3649" s="126" t="s">
        <v>1603</v>
      </c>
      <c r="F3649" s="122" t="s">
        <v>1607</v>
      </c>
      <c r="G3649" s="122" t="s">
        <v>134</v>
      </c>
      <c r="H3649">
        <v>24</v>
      </c>
      <c r="I3649" s="122" t="s">
        <v>1546</v>
      </c>
      <c r="J3649" s="307" t="s">
        <v>214</v>
      </c>
      <c r="K3649" s="127" t="s">
        <v>4212</v>
      </c>
      <c r="L3649" s="151" t="s">
        <v>3306</v>
      </c>
      <c r="M3649">
        <v>620</v>
      </c>
      <c r="N3649" s="123">
        <v>1</v>
      </c>
      <c r="O3649">
        <v>1461</v>
      </c>
      <c r="P3649" s="132" t="s">
        <v>77</v>
      </c>
      <c r="Q3649" s="131">
        <v>16900.919999999998</v>
      </c>
      <c r="R3649" s="131">
        <v>2704.15</v>
      </c>
      <c r="S3649" s="131"/>
      <c r="T3649" s="155"/>
      <c r="U3649" s="131"/>
      <c r="V3649" s="131">
        <v>19605.07</v>
      </c>
      <c r="W3649">
        <v>26</v>
      </c>
      <c r="X3649" s="151" t="s">
        <v>1430</v>
      </c>
      <c r="Y3649" s="135" t="s">
        <v>55</v>
      </c>
      <c r="Z3649" s="307">
        <v>254</v>
      </c>
      <c r="AB3649" t="str">
        <f>IF(Table1[[#This Row],[TIPO2]]="costo", VLOOKUP(Table1[[#This Row],[PARTIDA PRESUPUESTAL]],'Cost Report'!G:G,1,0),"Balance")</f>
        <v>3903-011</v>
      </c>
      <c r="AC3649" s="118"/>
      <c r="AD3649" s="159">
        <f>+Table1[[#This Row],[SUBTOTAL]]+Table1[[#This Row],[IVA]]-Table1[[#This Row],[RET IVA]]-Table1[[#This Row],[RET ISR]]-Table1[[#This Row],[TOTAL]]</f>
        <v>0</v>
      </c>
      <c r="AE3649" s="150"/>
      <c r="AF3649" s="151"/>
      <c r="AG3649" s="126"/>
      <c r="AK3649" s="306" t="str">
        <f>IF(ISNUMBER(Table1[[#This Row],[FECHA DE RECIBIDO]]), Table1[[#This Row],[FECHA DE RECIBIDO]]-DATE(2023,8,30), "")</f>
        <v/>
      </c>
    </row>
    <row r="3650" spans="1:37" ht="15" customHeight="1">
      <c r="A3650" s="152" t="s">
        <v>4254</v>
      </c>
      <c r="B3650" s="153">
        <v>1233</v>
      </c>
      <c r="C3650" s="126" t="s">
        <v>1168</v>
      </c>
      <c r="D3650">
        <v>2469</v>
      </c>
      <c r="E3650" s="126" t="s">
        <v>1603</v>
      </c>
      <c r="F3650" s="125" t="s">
        <v>1607</v>
      </c>
      <c r="G3650" s="125" t="s">
        <v>134</v>
      </c>
      <c r="H3650">
        <v>24</v>
      </c>
      <c r="I3650" s="125" t="s">
        <v>1546</v>
      </c>
      <c r="J3650" s="308" t="s">
        <v>214</v>
      </c>
      <c r="K3650" s="127" t="s">
        <v>4212</v>
      </c>
      <c r="L3650" s="153" t="s">
        <v>3306</v>
      </c>
      <c r="M3650">
        <v>620</v>
      </c>
      <c r="N3650" s="123">
        <v>1</v>
      </c>
      <c r="O3650">
        <v>1461</v>
      </c>
      <c r="P3650" s="132" t="s">
        <v>77</v>
      </c>
      <c r="Q3650" s="132">
        <v>41801.760000000002</v>
      </c>
      <c r="R3650" s="132">
        <v>6688.28</v>
      </c>
      <c r="S3650" s="132"/>
      <c r="T3650" s="156"/>
      <c r="U3650" s="132"/>
      <c r="V3650" s="132">
        <v>48490.04</v>
      </c>
      <c r="W3650">
        <v>26</v>
      </c>
      <c r="X3650" s="153" t="s">
        <v>1430</v>
      </c>
      <c r="Y3650" s="124" t="s">
        <v>55</v>
      </c>
      <c r="Z3650" s="308">
        <v>254</v>
      </c>
      <c r="AB3650" t="str">
        <f>IF(Table1[[#This Row],[TIPO2]]="costo", VLOOKUP(Table1[[#This Row],[PARTIDA PRESUPUESTAL]],'Cost Report'!G:G,1,0),"Balance")</f>
        <v>3903-017</v>
      </c>
      <c r="AC3650" s="118"/>
      <c r="AD3650" s="159">
        <f>+Table1[[#This Row],[SUBTOTAL]]+Table1[[#This Row],[IVA]]-Table1[[#This Row],[RET IVA]]-Table1[[#This Row],[RET ISR]]-Table1[[#This Row],[TOTAL]]</f>
        <v>0</v>
      </c>
      <c r="AE3650" s="152"/>
      <c r="AF3650" s="153"/>
      <c r="AG3650" s="126"/>
      <c r="AK3650" s="306" t="str">
        <f>IF(ISNUMBER(Table1[[#This Row],[FECHA DE RECIBIDO]]), Table1[[#This Row],[FECHA DE RECIBIDO]]-DATE(2023,8,30), "")</f>
        <v/>
      </c>
    </row>
    <row r="3651" spans="1:37" ht="15" customHeight="1">
      <c r="A3651" s="150" t="s">
        <v>4254</v>
      </c>
      <c r="B3651" s="151">
        <v>1233</v>
      </c>
      <c r="C3651" s="126" t="s">
        <v>1172</v>
      </c>
      <c r="D3651">
        <v>2469</v>
      </c>
      <c r="E3651" s="126" t="s">
        <v>1603</v>
      </c>
      <c r="F3651" s="122" t="s">
        <v>1607</v>
      </c>
      <c r="G3651" s="122" t="s">
        <v>134</v>
      </c>
      <c r="H3651">
        <v>24</v>
      </c>
      <c r="I3651" s="122" t="s">
        <v>1546</v>
      </c>
      <c r="J3651" s="307" t="s">
        <v>214</v>
      </c>
      <c r="K3651" s="127" t="s">
        <v>4212</v>
      </c>
      <c r="L3651" s="151" t="s">
        <v>3306</v>
      </c>
      <c r="M3651">
        <v>620</v>
      </c>
      <c r="N3651" s="123">
        <v>1</v>
      </c>
      <c r="O3651">
        <v>1461</v>
      </c>
      <c r="P3651" s="132" t="s">
        <v>77</v>
      </c>
      <c r="Q3651" s="131">
        <v>5805.8</v>
      </c>
      <c r="R3651" s="131">
        <v>928.93</v>
      </c>
      <c r="S3651" s="131"/>
      <c r="T3651" s="155"/>
      <c r="U3651" s="131"/>
      <c r="V3651" s="131">
        <v>6734.7300000000005</v>
      </c>
      <c r="W3651">
        <v>26</v>
      </c>
      <c r="X3651" s="151" t="s">
        <v>1430</v>
      </c>
      <c r="Y3651" s="135" t="s">
        <v>55</v>
      </c>
      <c r="Z3651" s="307">
        <v>254</v>
      </c>
      <c r="AB3651" t="str">
        <f>IF(Table1[[#This Row],[TIPO2]]="costo", VLOOKUP(Table1[[#This Row],[PARTIDA PRESUPUESTAL]],'Cost Report'!G:G,1,0),"Balance")</f>
        <v>3903-023</v>
      </c>
      <c r="AC3651" s="118"/>
      <c r="AD3651" s="159">
        <f>+Table1[[#This Row],[SUBTOTAL]]+Table1[[#This Row],[IVA]]-Table1[[#This Row],[RET IVA]]-Table1[[#This Row],[RET ISR]]-Table1[[#This Row],[TOTAL]]</f>
        <v>0</v>
      </c>
      <c r="AE3651" s="150"/>
      <c r="AF3651" s="151"/>
      <c r="AG3651" s="126"/>
      <c r="AK3651" s="306" t="str">
        <f>IF(ISNUMBER(Table1[[#This Row],[FECHA DE RECIBIDO]]), Table1[[#This Row],[FECHA DE RECIBIDO]]-DATE(2023,8,30), "")</f>
        <v/>
      </c>
    </row>
    <row r="3652" spans="1:37" ht="15" customHeight="1">
      <c r="A3652" s="152" t="s">
        <v>4254</v>
      </c>
      <c r="B3652" s="153">
        <v>1233</v>
      </c>
      <c r="C3652" s="126" t="s">
        <v>2976</v>
      </c>
      <c r="D3652">
        <v>2469</v>
      </c>
      <c r="E3652" s="126" t="s">
        <v>1603</v>
      </c>
      <c r="F3652" s="125" t="s">
        <v>1607</v>
      </c>
      <c r="G3652" s="125" t="s">
        <v>134</v>
      </c>
      <c r="H3652">
        <v>24</v>
      </c>
      <c r="I3652" s="125" t="s">
        <v>1546</v>
      </c>
      <c r="J3652" s="308" t="s">
        <v>214</v>
      </c>
      <c r="K3652" s="127" t="s">
        <v>4212</v>
      </c>
      <c r="L3652" s="153" t="s">
        <v>3306</v>
      </c>
      <c r="M3652">
        <v>620</v>
      </c>
      <c r="N3652" s="123">
        <v>1</v>
      </c>
      <c r="O3652">
        <v>1461</v>
      </c>
      <c r="P3652" s="132" t="s">
        <v>77</v>
      </c>
      <c r="Q3652" s="132">
        <v>23223.200000000001</v>
      </c>
      <c r="R3652" s="132">
        <v>3715.71</v>
      </c>
      <c r="S3652" s="132"/>
      <c r="T3652" s="156"/>
      <c r="U3652" s="132"/>
      <c r="V3652" s="132">
        <v>26938.91</v>
      </c>
      <c r="W3652">
        <v>26</v>
      </c>
      <c r="X3652" s="153" t="s">
        <v>1430</v>
      </c>
      <c r="Y3652" s="124" t="s">
        <v>55</v>
      </c>
      <c r="Z3652" s="308">
        <v>254</v>
      </c>
      <c r="AB3652" t="str">
        <f>IF(Table1[[#This Row],[TIPO2]]="costo", VLOOKUP(Table1[[#This Row],[PARTIDA PRESUPUESTAL]],'Cost Report'!G:G,1,0),"Balance")</f>
        <v>3903-034</v>
      </c>
      <c r="AC3652" s="118"/>
      <c r="AD3652" s="159">
        <f>+Table1[[#This Row],[SUBTOTAL]]+Table1[[#This Row],[IVA]]-Table1[[#This Row],[RET IVA]]-Table1[[#This Row],[RET ISR]]-Table1[[#This Row],[TOTAL]]</f>
        <v>0</v>
      </c>
      <c r="AE3652" s="152"/>
      <c r="AF3652" s="153"/>
      <c r="AG3652" s="126"/>
      <c r="AK3652" s="306" t="str">
        <f>IF(ISNUMBER(Table1[[#This Row],[FECHA DE RECIBIDO]]), Table1[[#This Row],[FECHA DE RECIBIDO]]-DATE(2023,8,30), "")</f>
        <v/>
      </c>
    </row>
    <row r="3653" spans="1:37" ht="15" customHeight="1">
      <c r="A3653" s="150" t="s">
        <v>4254</v>
      </c>
      <c r="B3653" s="151">
        <v>1233</v>
      </c>
      <c r="C3653" s="126" t="s">
        <v>2977</v>
      </c>
      <c r="D3653">
        <v>2469</v>
      </c>
      <c r="E3653" s="126" t="s">
        <v>1603</v>
      </c>
      <c r="F3653" s="122" t="s">
        <v>1607</v>
      </c>
      <c r="G3653" s="122" t="s">
        <v>134</v>
      </c>
      <c r="H3653">
        <v>24</v>
      </c>
      <c r="I3653" s="122" t="s">
        <v>1546</v>
      </c>
      <c r="J3653" s="307" t="s">
        <v>214</v>
      </c>
      <c r="K3653" s="127" t="s">
        <v>4212</v>
      </c>
      <c r="L3653" s="151" t="s">
        <v>3306</v>
      </c>
      <c r="M3653">
        <v>620</v>
      </c>
      <c r="N3653" s="123">
        <v>1</v>
      </c>
      <c r="O3653">
        <v>1461</v>
      </c>
      <c r="P3653" s="132" t="s">
        <v>77</v>
      </c>
      <c r="Q3653" s="131">
        <v>15924.48</v>
      </c>
      <c r="R3653" s="131">
        <v>2547.92</v>
      </c>
      <c r="S3653" s="131"/>
      <c r="T3653" s="155"/>
      <c r="U3653" s="131"/>
      <c r="V3653" s="131">
        <v>18472.400000000001</v>
      </c>
      <c r="W3653">
        <v>26</v>
      </c>
      <c r="X3653" s="151" t="s">
        <v>1430</v>
      </c>
      <c r="Y3653" s="135" t="s">
        <v>55</v>
      </c>
      <c r="Z3653" s="307">
        <v>254</v>
      </c>
      <c r="AB3653" t="str">
        <f>IF(Table1[[#This Row],[TIPO2]]="costo", VLOOKUP(Table1[[#This Row],[PARTIDA PRESUPUESTAL]],'Cost Report'!G:G,1,0),"Balance")</f>
        <v>3903-035</v>
      </c>
      <c r="AC3653" s="118"/>
      <c r="AD3653" s="159">
        <f>+Table1[[#This Row],[SUBTOTAL]]+Table1[[#This Row],[IVA]]-Table1[[#This Row],[RET IVA]]-Table1[[#This Row],[RET ISR]]-Table1[[#This Row],[TOTAL]]</f>
        <v>0</v>
      </c>
      <c r="AE3653" s="150"/>
      <c r="AF3653" s="151"/>
      <c r="AG3653" s="126"/>
      <c r="AK3653" s="306" t="str">
        <f>IF(ISNUMBER(Table1[[#This Row],[FECHA DE RECIBIDO]]), Table1[[#This Row],[FECHA DE RECIBIDO]]-DATE(2023,8,30), "")</f>
        <v/>
      </c>
    </row>
    <row r="3654" spans="1:37" ht="15" customHeight="1">
      <c r="A3654" s="152" t="s">
        <v>4254</v>
      </c>
      <c r="B3654" s="153">
        <v>1233</v>
      </c>
      <c r="C3654" s="126" t="s">
        <v>2980</v>
      </c>
      <c r="D3654">
        <v>2469</v>
      </c>
      <c r="E3654" s="126" t="s">
        <v>1603</v>
      </c>
      <c r="F3654" s="125" t="s">
        <v>1607</v>
      </c>
      <c r="G3654" s="125" t="s">
        <v>134</v>
      </c>
      <c r="H3654">
        <v>24</v>
      </c>
      <c r="I3654" s="125" t="s">
        <v>1546</v>
      </c>
      <c r="J3654" s="308" t="s">
        <v>214</v>
      </c>
      <c r="K3654" s="127" t="s">
        <v>4212</v>
      </c>
      <c r="L3654" s="153" t="s">
        <v>3306</v>
      </c>
      <c r="M3654">
        <v>620</v>
      </c>
      <c r="N3654" s="123">
        <v>1</v>
      </c>
      <c r="O3654">
        <v>1461</v>
      </c>
      <c r="P3654" s="132" t="s">
        <v>77</v>
      </c>
      <c r="Q3654" s="132">
        <v>28297.26</v>
      </c>
      <c r="R3654" s="132">
        <v>4527.5600000000004</v>
      </c>
      <c r="S3654" s="132"/>
      <c r="T3654" s="156"/>
      <c r="U3654" s="132"/>
      <c r="V3654" s="132">
        <v>32824.82</v>
      </c>
      <c r="W3654">
        <v>26</v>
      </c>
      <c r="X3654" s="153" t="s">
        <v>1430</v>
      </c>
      <c r="Y3654" s="124" t="s">
        <v>55</v>
      </c>
      <c r="Z3654" s="308">
        <v>254</v>
      </c>
      <c r="AB3654" t="str">
        <f>IF(Table1[[#This Row],[TIPO2]]="costo", VLOOKUP(Table1[[#This Row],[PARTIDA PRESUPUESTAL]],'Cost Report'!G:G,1,0),"Balance")</f>
        <v>3903-040</v>
      </c>
      <c r="AC3654" s="118"/>
      <c r="AD3654" s="159">
        <f>+Table1[[#This Row],[SUBTOTAL]]+Table1[[#This Row],[IVA]]-Table1[[#This Row],[RET IVA]]-Table1[[#This Row],[RET ISR]]-Table1[[#This Row],[TOTAL]]</f>
        <v>0</v>
      </c>
      <c r="AE3654" s="152"/>
      <c r="AF3654" s="153"/>
      <c r="AG3654" s="126"/>
      <c r="AK3654" s="306" t="str">
        <f>IF(ISNUMBER(Table1[[#This Row],[FECHA DE RECIBIDO]]), Table1[[#This Row],[FECHA DE RECIBIDO]]-DATE(2023,8,30), "")</f>
        <v/>
      </c>
    </row>
    <row r="3655" spans="1:37" ht="15" customHeight="1">
      <c r="A3655" s="150" t="s">
        <v>4254</v>
      </c>
      <c r="B3655" s="151">
        <v>1233</v>
      </c>
      <c r="C3655" s="126" t="s">
        <v>2981</v>
      </c>
      <c r="D3655">
        <v>2469</v>
      </c>
      <c r="E3655" s="126" t="s">
        <v>1603</v>
      </c>
      <c r="F3655" s="122" t="s">
        <v>1607</v>
      </c>
      <c r="G3655" s="122" t="s">
        <v>134</v>
      </c>
      <c r="H3655">
        <v>24</v>
      </c>
      <c r="I3655" s="122" t="s">
        <v>1546</v>
      </c>
      <c r="J3655" s="307" t="s">
        <v>214</v>
      </c>
      <c r="K3655" s="127" t="s">
        <v>4212</v>
      </c>
      <c r="L3655" s="151" t="s">
        <v>3306</v>
      </c>
      <c r="M3655">
        <v>620</v>
      </c>
      <c r="N3655" s="123">
        <v>1</v>
      </c>
      <c r="O3655">
        <v>1461</v>
      </c>
      <c r="P3655" s="132" t="s">
        <v>77</v>
      </c>
      <c r="Q3655" s="131">
        <v>59716.800000000003</v>
      </c>
      <c r="R3655" s="131">
        <v>9554.69</v>
      </c>
      <c r="S3655" s="131"/>
      <c r="T3655" s="155"/>
      <c r="U3655" s="131"/>
      <c r="V3655" s="131">
        <v>69271.490000000005</v>
      </c>
      <c r="W3655">
        <v>26</v>
      </c>
      <c r="X3655" s="151" t="s">
        <v>1430</v>
      </c>
      <c r="Y3655" s="135" t="s">
        <v>55</v>
      </c>
      <c r="Z3655" s="307">
        <v>254</v>
      </c>
      <c r="AB3655" t="str">
        <f>IF(Table1[[#This Row],[TIPO2]]="costo", VLOOKUP(Table1[[#This Row],[PARTIDA PRESUPUESTAL]],'Cost Report'!G:G,1,0),"Balance")</f>
        <v>3903-041</v>
      </c>
      <c r="AC3655" s="118"/>
      <c r="AD3655" s="159">
        <f>+Table1[[#This Row],[SUBTOTAL]]+Table1[[#This Row],[IVA]]-Table1[[#This Row],[RET IVA]]-Table1[[#This Row],[RET ISR]]-Table1[[#This Row],[TOTAL]]</f>
        <v>0</v>
      </c>
      <c r="AE3655" s="150"/>
      <c r="AF3655" s="151"/>
      <c r="AG3655" s="126"/>
      <c r="AK3655" s="306" t="str">
        <f>IF(ISNUMBER(Table1[[#This Row],[FECHA DE RECIBIDO]]), Table1[[#This Row],[FECHA DE RECIBIDO]]-DATE(2023,8,30), "")</f>
        <v/>
      </c>
    </row>
    <row r="3656" spans="1:37" ht="15" customHeight="1">
      <c r="A3656" s="152" t="s">
        <v>4254</v>
      </c>
      <c r="B3656" s="153">
        <v>1233</v>
      </c>
      <c r="C3656" s="126" t="s">
        <v>2982</v>
      </c>
      <c r="D3656">
        <v>2469</v>
      </c>
      <c r="E3656" s="126" t="s">
        <v>1603</v>
      </c>
      <c r="F3656" s="125" t="s">
        <v>1607</v>
      </c>
      <c r="G3656" s="125" t="s">
        <v>134</v>
      </c>
      <c r="H3656">
        <v>24</v>
      </c>
      <c r="I3656" s="125" t="s">
        <v>1546</v>
      </c>
      <c r="J3656" s="308" t="s">
        <v>214</v>
      </c>
      <c r="K3656" s="127" t="s">
        <v>4212</v>
      </c>
      <c r="L3656" s="153" t="s">
        <v>3306</v>
      </c>
      <c r="M3656">
        <v>620</v>
      </c>
      <c r="N3656" s="123">
        <v>1</v>
      </c>
      <c r="O3656">
        <v>1461</v>
      </c>
      <c r="P3656" s="132" t="s">
        <v>77</v>
      </c>
      <c r="Q3656" s="132">
        <v>9716.7999999999993</v>
      </c>
      <c r="R3656" s="132">
        <v>1554.69</v>
      </c>
      <c r="S3656" s="132"/>
      <c r="T3656" s="156"/>
      <c r="U3656" s="132"/>
      <c r="V3656" s="132">
        <v>11271.49</v>
      </c>
      <c r="W3656">
        <v>26</v>
      </c>
      <c r="X3656" s="153" t="s">
        <v>1430</v>
      </c>
      <c r="Y3656" s="124" t="s">
        <v>55</v>
      </c>
      <c r="Z3656" s="308">
        <v>254</v>
      </c>
      <c r="AB3656" t="str">
        <f>IF(Table1[[#This Row],[TIPO2]]="costo", VLOOKUP(Table1[[#This Row],[PARTIDA PRESUPUESTAL]],'Cost Report'!G:G,1,0),"Balance")</f>
        <v>3903-042</v>
      </c>
      <c r="AC3656" s="118"/>
      <c r="AD3656" s="159">
        <f>+Table1[[#This Row],[SUBTOTAL]]+Table1[[#This Row],[IVA]]-Table1[[#This Row],[RET IVA]]-Table1[[#This Row],[RET ISR]]-Table1[[#This Row],[TOTAL]]</f>
        <v>0</v>
      </c>
      <c r="AE3656" s="152"/>
      <c r="AF3656" s="153"/>
      <c r="AG3656" s="126"/>
      <c r="AK3656" s="306" t="str">
        <f>IF(ISNUMBER(Table1[[#This Row],[FECHA DE RECIBIDO]]), Table1[[#This Row],[FECHA DE RECIBIDO]]-DATE(2023,8,30), "")</f>
        <v/>
      </c>
    </row>
    <row r="3657" spans="1:37" ht="15" customHeight="1">
      <c r="A3657" s="150" t="s">
        <v>4254</v>
      </c>
      <c r="B3657" s="151">
        <v>1233</v>
      </c>
      <c r="C3657" s="126" t="s">
        <v>2984</v>
      </c>
      <c r="D3657">
        <v>2469</v>
      </c>
      <c r="E3657" s="126" t="s">
        <v>1603</v>
      </c>
      <c r="F3657" s="122" t="s">
        <v>1607</v>
      </c>
      <c r="G3657" s="122" t="s">
        <v>134</v>
      </c>
      <c r="H3657">
        <v>24</v>
      </c>
      <c r="I3657" s="122" t="s">
        <v>1546</v>
      </c>
      <c r="J3657" s="307" t="s">
        <v>214</v>
      </c>
      <c r="K3657" s="127" t="s">
        <v>4212</v>
      </c>
      <c r="L3657" s="151" t="s">
        <v>3306</v>
      </c>
      <c r="M3657">
        <v>620</v>
      </c>
      <c r="N3657" s="123">
        <v>1</v>
      </c>
      <c r="O3657">
        <v>1461</v>
      </c>
      <c r="P3657" s="132" t="s">
        <v>77</v>
      </c>
      <c r="Q3657" s="131">
        <v>8294</v>
      </c>
      <c r="R3657" s="131">
        <v>1327.04</v>
      </c>
      <c r="S3657" s="131"/>
      <c r="T3657" s="155"/>
      <c r="U3657" s="131"/>
      <c r="V3657" s="131">
        <v>9621.0400000000009</v>
      </c>
      <c r="W3657">
        <v>26</v>
      </c>
      <c r="X3657" s="151" t="s">
        <v>1430</v>
      </c>
      <c r="Y3657" s="135" t="s">
        <v>55</v>
      </c>
      <c r="Z3657" s="307">
        <v>254</v>
      </c>
      <c r="AB3657" t="str">
        <f>IF(Table1[[#This Row],[TIPO2]]="costo", VLOOKUP(Table1[[#This Row],[PARTIDA PRESUPUESTAL]],'Cost Report'!G:G,1,0),"Balance")</f>
        <v>3903-046</v>
      </c>
      <c r="AC3657" s="118"/>
      <c r="AD3657" s="159">
        <f>+Table1[[#This Row],[SUBTOTAL]]+Table1[[#This Row],[IVA]]-Table1[[#This Row],[RET IVA]]-Table1[[#This Row],[RET ISR]]-Table1[[#This Row],[TOTAL]]</f>
        <v>0</v>
      </c>
      <c r="AE3657" s="150"/>
      <c r="AF3657" s="151"/>
      <c r="AG3657" s="126"/>
      <c r="AK3657" s="306" t="str">
        <f>IF(ISNUMBER(Table1[[#This Row],[FECHA DE RECIBIDO]]), Table1[[#This Row],[FECHA DE RECIBIDO]]-DATE(2023,8,30), "")</f>
        <v/>
      </c>
    </row>
    <row r="3658" spans="1:37" ht="15" customHeight="1">
      <c r="A3658" s="152" t="s">
        <v>4254</v>
      </c>
      <c r="B3658" s="153">
        <v>1233</v>
      </c>
      <c r="C3658" s="126" t="s">
        <v>2985</v>
      </c>
      <c r="D3658">
        <v>2469</v>
      </c>
      <c r="E3658" s="126" t="s">
        <v>1603</v>
      </c>
      <c r="F3658" s="125" t="s">
        <v>1607</v>
      </c>
      <c r="G3658" s="125" t="s">
        <v>134</v>
      </c>
      <c r="H3658">
        <v>24</v>
      </c>
      <c r="I3658" s="125" t="s">
        <v>1546</v>
      </c>
      <c r="J3658" s="308" t="s">
        <v>214</v>
      </c>
      <c r="K3658" s="127" t="s">
        <v>4212</v>
      </c>
      <c r="L3658" s="153" t="s">
        <v>3306</v>
      </c>
      <c r="M3658">
        <v>620</v>
      </c>
      <c r="N3658" s="123">
        <v>1</v>
      </c>
      <c r="O3658">
        <v>1461</v>
      </c>
      <c r="P3658" s="132" t="s">
        <v>77</v>
      </c>
      <c r="Q3658" s="132">
        <v>8294</v>
      </c>
      <c r="R3658" s="132">
        <v>1327.04</v>
      </c>
      <c r="S3658" s="132"/>
      <c r="T3658" s="156"/>
      <c r="U3658" s="132"/>
      <c r="V3658" s="132">
        <v>9621.0400000000009</v>
      </c>
      <c r="W3658">
        <v>26</v>
      </c>
      <c r="X3658" s="153" t="s">
        <v>1430</v>
      </c>
      <c r="Y3658" s="124" t="s">
        <v>55</v>
      </c>
      <c r="Z3658" s="308">
        <v>254</v>
      </c>
      <c r="AB3658" t="str">
        <f>IF(Table1[[#This Row],[TIPO2]]="costo", VLOOKUP(Table1[[#This Row],[PARTIDA PRESUPUESTAL]],'Cost Report'!G:G,1,0),"Balance")</f>
        <v>3903-047</v>
      </c>
      <c r="AC3658" s="118"/>
      <c r="AD3658" s="159">
        <f>+Table1[[#This Row],[SUBTOTAL]]+Table1[[#This Row],[IVA]]-Table1[[#This Row],[RET IVA]]-Table1[[#This Row],[RET ISR]]-Table1[[#This Row],[TOTAL]]</f>
        <v>0</v>
      </c>
      <c r="AE3658" s="152"/>
      <c r="AF3658" s="153"/>
      <c r="AG3658" s="126"/>
      <c r="AK3658" s="306" t="str">
        <f>IF(ISNUMBER(Table1[[#This Row],[FECHA DE RECIBIDO]]), Table1[[#This Row],[FECHA DE RECIBIDO]]-DATE(2023,8,30), "")</f>
        <v/>
      </c>
    </row>
    <row r="3659" spans="1:37" ht="15" customHeight="1">
      <c r="A3659" s="150" t="s">
        <v>4254</v>
      </c>
      <c r="B3659" s="151">
        <v>1233</v>
      </c>
      <c r="C3659" s="126" t="s">
        <v>2986</v>
      </c>
      <c r="D3659">
        <v>2469</v>
      </c>
      <c r="E3659" s="126" t="s">
        <v>1603</v>
      </c>
      <c r="F3659" s="122" t="s">
        <v>1607</v>
      </c>
      <c r="G3659" s="122" t="s">
        <v>134</v>
      </c>
      <c r="H3659">
        <v>24</v>
      </c>
      <c r="I3659" s="122" t="s">
        <v>1546</v>
      </c>
      <c r="J3659" s="307" t="s">
        <v>214</v>
      </c>
      <c r="K3659" s="127" t="s">
        <v>4212</v>
      </c>
      <c r="L3659" s="151" t="s">
        <v>3306</v>
      </c>
      <c r="M3659">
        <v>620</v>
      </c>
      <c r="N3659" s="123">
        <v>1</v>
      </c>
      <c r="O3659">
        <v>1461</v>
      </c>
      <c r="P3659" s="132" t="s">
        <v>77</v>
      </c>
      <c r="Q3659" s="131">
        <v>8294</v>
      </c>
      <c r="R3659" s="131">
        <v>1327.04</v>
      </c>
      <c r="S3659" s="131"/>
      <c r="T3659" s="155"/>
      <c r="U3659" s="131"/>
      <c r="V3659" s="131">
        <v>9621.0400000000009</v>
      </c>
      <c r="W3659">
        <v>26</v>
      </c>
      <c r="X3659" s="151" t="s">
        <v>1430</v>
      </c>
      <c r="Y3659" s="135" t="s">
        <v>55</v>
      </c>
      <c r="Z3659" s="307">
        <v>254</v>
      </c>
      <c r="AB3659" t="str">
        <f>IF(Table1[[#This Row],[TIPO2]]="costo", VLOOKUP(Table1[[#This Row],[PARTIDA PRESUPUESTAL]],'Cost Report'!G:G,1,0),"Balance")</f>
        <v>3903-048</v>
      </c>
      <c r="AC3659" s="118"/>
      <c r="AD3659" s="159">
        <f>+Table1[[#This Row],[SUBTOTAL]]+Table1[[#This Row],[IVA]]-Table1[[#This Row],[RET IVA]]-Table1[[#This Row],[RET ISR]]-Table1[[#This Row],[TOTAL]]</f>
        <v>0</v>
      </c>
      <c r="AE3659" s="150"/>
      <c r="AF3659" s="151"/>
      <c r="AG3659" s="126"/>
      <c r="AK3659" s="306" t="str">
        <f>IF(ISNUMBER(Table1[[#This Row],[FECHA DE RECIBIDO]]), Table1[[#This Row],[FECHA DE RECIBIDO]]-DATE(2023,8,30), "")</f>
        <v/>
      </c>
    </row>
    <row r="3660" spans="1:37" ht="15" customHeight="1">
      <c r="A3660" s="152" t="s">
        <v>4254</v>
      </c>
      <c r="B3660" s="153">
        <v>1233</v>
      </c>
      <c r="C3660" s="126" t="s">
        <v>2986</v>
      </c>
      <c r="D3660">
        <v>2469</v>
      </c>
      <c r="E3660" s="126" t="s">
        <v>1603</v>
      </c>
      <c r="F3660" s="125" t="s">
        <v>1607</v>
      </c>
      <c r="G3660" s="125" t="s">
        <v>134</v>
      </c>
      <c r="H3660">
        <v>24</v>
      </c>
      <c r="I3660" s="125" t="s">
        <v>1546</v>
      </c>
      <c r="J3660" s="308" t="s">
        <v>214</v>
      </c>
      <c r="K3660" s="127" t="s">
        <v>4212</v>
      </c>
      <c r="L3660" s="153" t="s">
        <v>3306</v>
      </c>
      <c r="M3660">
        <v>620</v>
      </c>
      <c r="N3660" s="123">
        <v>1</v>
      </c>
      <c r="O3660">
        <v>1461</v>
      </c>
      <c r="P3660" s="132" t="s">
        <v>77</v>
      </c>
      <c r="Q3660" s="132">
        <v>23730.98</v>
      </c>
      <c r="R3660" s="132">
        <v>3796.96</v>
      </c>
      <c r="S3660" s="132"/>
      <c r="T3660" s="156"/>
      <c r="U3660" s="132"/>
      <c r="V3660" s="132">
        <v>27527.94</v>
      </c>
      <c r="W3660">
        <v>26</v>
      </c>
      <c r="X3660" s="153" t="s">
        <v>1430</v>
      </c>
      <c r="Y3660" s="124" t="s">
        <v>55</v>
      </c>
      <c r="Z3660" s="308">
        <v>254</v>
      </c>
      <c r="AB3660" t="str">
        <f>IF(Table1[[#This Row],[TIPO2]]="costo", VLOOKUP(Table1[[#This Row],[PARTIDA PRESUPUESTAL]],'Cost Report'!G:G,1,0),"Balance")</f>
        <v>3903-048</v>
      </c>
      <c r="AC3660" s="118"/>
      <c r="AD3660" s="159">
        <f>+Table1[[#This Row],[SUBTOTAL]]+Table1[[#This Row],[IVA]]-Table1[[#This Row],[RET IVA]]-Table1[[#This Row],[RET ISR]]-Table1[[#This Row],[TOTAL]]</f>
        <v>0</v>
      </c>
      <c r="AE3660" s="152"/>
      <c r="AF3660" s="153"/>
      <c r="AG3660" s="126"/>
      <c r="AK3660" s="306" t="str">
        <f>IF(ISNUMBER(Table1[[#This Row],[FECHA DE RECIBIDO]]), Table1[[#This Row],[FECHA DE RECIBIDO]]-DATE(2023,8,30), "")</f>
        <v/>
      </c>
    </row>
    <row r="3661" spans="1:37" ht="15" customHeight="1">
      <c r="A3661" s="150" t="s">
        <v>4255</v>
      </c>
      <c r="B3661" s="151">
        <v>1234</v>
      </c>
      <c r="C3661" s="126" t="s">
        <v>2486</v>
      </c>
      <c r="D3661">
        <v>2470</v>
      </c>
      <c r="E3661" s="126" t="s">
        <v>3833</v>
      </c>
      <c r="F3661" s="122" t="s">
        <v>1607</v>
      </c>
      <c r="G3661" s="122" t="s">
        <v>134</v>
      </c>
      <c r="H3661">
        <v>487</v>
      </c>
      <c r="I3661" s="122" t="s">
        <v>1546</v>
      </c>
      <c r="J3661" s="307" t="s">
        <v>214</v>
      </c>
      <c r="K3661" s="127" t="s">
        <v>4212</v>
      </c>
      <c r="L3661" s="151" t="s">
        <v>3306</v>
      </c>
      <c r="M3661">
        <v>709</v>
      </c>
      <c r="N3661" s="123">
        <v>1</v>
      </c>
      <c r="O3661">
        <v>2354</v>
      </c>
      <c r="P3661" s="132" t="s">
        <v>77</v>
      </c>
      <c r="Q3661" s="131">
        <v>5400</v>
      </c>
      <c r="R3661" s="131">
        <v>864</v>
      </c>
      <c r="S3661" s="131"/>
      <c r="T3661" s="155">
        <v>0</v>
      </c>
      <c r="U3661" s="131">
        <v>0</v>
      </c>
      <c r="V3661" s="131">
        <v>6264</v>
      </c>
      <c r="W3661">
        <v>258</v>
      </c>
      <c r="X3661" s="151" t="s">
        <v>3759</v>
      </c>
      <c r="Y3661" s="135" t="s">
        <v>55</v>
      </c>
      <c r="Z3661" s="307">
        <v>254</v>
      </c>
      <c r="AB3661" t="str">
        <f>IF(Table1[[#This Row],[TIPO2]]="costo", VLOOKUP(Table1[[#This Row],[PARTIDA PRESUPUESTAL]],'Cost Report'!G:G,1,0),"Balance")</f>
        <v>2394-045</v>
      </c>
      <c r="AC3661" s="118"/>
      <c r="AD3661" s="159">
        <f>+Table1[[#This Row],[SUBTOTAL]]+Table1[[#This Row],[IVA]]-Table1[[#This Row],[RET IVA]]-Table1[[#This Row],[RET ISR]]-Table1[[#This Row],[TOTAL]]</f>
        <v>0</v>
      </c>
      <c r="AE3661" s="150"/>
      <c r="AF3661" s="151"/>
      <c r="AG3661" s="126"/>
      <c r="AK3661" s="306" t="str">
        <f>IF(ISNUMBER(Table1[[#This Row],[FECHA DE RECIBIDO]]), Table1[[#This Row],[FECHA DE RECIBIDO]]-DATE(2023,8,30), "")</f>
        <v/>
      </c>
    </row>
    <row r="3662" spans="1:37" ht="15" customHeight="1">
      <c r="A3662" s="152" t="s">
        <v>4256</v>
      </c>
      <c r="B3662" s="153">
        <v>1235</v>
      </c>
      <c r="C3662" s="126" t="s">
        <v>2540</v>
      </c>
      <c r="D3662">
        <v>2471</v>
      </c>
      <c r="E3662" s="126" t="s">
        <v>4257</v>
      </c>
      <c r="F3662" s="125" t="s">
        <v>1607</v>
      </c>
      <c r="G3662" s="125" t="s">
        <v>134</v>
      </c>
      <c r="H3662">
        <v>678</v>
      </c>
      <c r="I3662" s="125" t="s">
        <v>1546</v>
      </c>
      <c r="J3662" s="308" t="s">
        <v>214</v>
      </c>
      <c r="K3662" s="127" t="s">
        <v>4212</v>
      </c>
      <c r="L3662" s="153" t="s">
        <v>3306</v>
      </c>
      <c r="M3662">
        <v>953</v>
      </c>
      <c r="N3662" s="123">
        <v>1</v>
      </c>
      <c r="O3662">
        <v>2355</v>
      </c>
      <c r="P3662" s="132" t="s">
        <v>77</v>
      </c>
      <c r="Q3662" s="132">
        <v>12400</v>
      </c>
      <c r="R3662" s="132">
        <v>1984</v>
      </c>
      <c r="S3662" s="132"/>
      <c r="T3662" s="156">
        <v>0</v>
      </c>
      <c r="U3662" s="132">
        <v>0</v>
      </c>
      <c r="V3662" s="132">
        <v>14384</v>
      </c>
      <c r="W3662">
        <v>350</v>
      </c>
      <c r="X3662" s="153" t="s">
        <v>2035</v>
      </c>
      <c r="Y3662" s="124" t="s">
        <v>55</v>
      </c>
      <c r="Z3662" s="308">
        <v>254</v>
      </c>
      <c r="AB3662" t="str">
        <f>IF(Table1[[#This Row],[TIPO2]]="costo", VLOOKUP(Table1[[#This Row],[PARTIDA PRESUPUESTAL]],'Cost Report'!G:G,1,0),"Balance")</f>
        <v>2494-059</v>
      </c>
      <c r="AC3662" s="118"/>
      <c r="AD3662" s="159">
        <f>+Table1[[#This Row],[SUBTOTAL]]+Table1[[#This Row],[IVA]]-Table1[[#This Row],[RET IVA]]-Table1[[#This Row],[RET ISR]]-Table1[[#This Row],[TOTAL]]</f>
        <v>0</v>
      </c>
      <c r="AE3662" s="152"/>
      <c r="AF3662" s="153"/>
      <c r="AG3662" s="126"/>
      <c r="AK3662" s="306" t="str">
        <f>IF(ISNUMBER(Table1[[#This Row],[FECHA DE RECIBIDO]]), Table1[[#This Row],[FECHA DE RECIBIDO]]-DATE(2023,8,30), "")</f>
        <v/>
      </c>
    </row>
    <row r="3663" spans="1:37" ht="15" customHeight="1">
      <c r="A3663" s="150" t="s">
        <v>4258</v>
      </c>
      <c r="B3663" s="151">
        <v>1236</v>
      </c>
      <c r="C3663" s="126" t="s">
        <v>2530</v>
      </c>
      <c r="D3663">
        <v>2472</v>
      </c>
      <c r="E3663" s="126" t="s">
        <v>3354</v>
      </c>
      <c r="F3663" s="122" t="s">
        <v>1589</v>
      </c>
      <c r="G3663" s="122" t="s">
        <v>129</v>
      </c>
      <c r="H3663">
        <v>382</v>
      </c>
      <c r="I3663" s="122" t="s">
        <v>1546</v>
      </c>
      <c r="J3663" s="307" t="s">
        <v>214</v>
      </c>
      <c r="K3663" s="127" t="s">
        <v>4212</v>
      </c>
      <c r="L3663" s="151" t="s">
        <v>3306</v>
      </c>
      <c r="M3663">
        <v>504</v>
      </c>
      <c r="N3663" s="123">
        <v>1</v>
      </c>
      <c r="O3663">
        <v>2356</v>
      </c>
      <c r="P3663" s="132" t="s">
        <v>77</v>
      </c>
      <c r="Q3663" s="131">
        <v>12041</v>
      </c>
      <c r="R3663" s="131">
        <v>1926.56</v>
      </c>
      <c r="S3663" s="131"/>
      <c r="T3663" s="155">
        <v>0</v>
      </c>
      <c r="U3663" s="131">
        <v>0</v>
      </c>
      <c r="V3663" s="131">
        <v>13967.56</v>
      </c>
      <c r="W3663">
        <v>222</v>
      </c>
      <c r="X3663" s="151" t="s">
        <v>195</v>
      </c>
      <c r="Y3663" s="135" t="s">
        <v>55</v>
      </c>
      <c r="Z3663" s="307">
        <v>254</v>
      </c>
      <c r="AB3663" t="str">
        <f>IF(Table1[[#This Row],[TIPO2]]="costo", VLOOKUP(Table1[[#This Row],[PARTIDA PRESUPUESTAL]],'Cost Report'!G:G,1,0),"Balance")</f>
        <v>2494-039</v>
      </c>
      <c r="AC3663" s="118"/>
      <c r="AD3663" s="159">
        <f>+Table1[[#This Row],[SUBTOTAL]]+Table1[[#This Row],[IVA]]-Table1[[#This Row],[RET IVA]]-Table1[[#This Row],[RET ISR]]-Table1[[#This Row],[TOTAL]]</f>
        <v>0</v>
      </c>
      <c r="AE3663" s="150"/>
      <c r="AF3663" s="151"/>
      <c r="AG3663" s="126"/>
      <c r="AK3663" s="306" t="str">
        <f>IF(ISNUMBER(Table1[[#This Row],[FECHA DE RECIBIDO]]), Table1[[#This Row],[FECHA DE RECIBIDO]]-DATE(2023,8,30), "")</f>
        <v/>
      </c>
    </row>
    <row r="3664" spans="1:37" ht="15" customHeight="1">
      <c r="A3664" s="152" t="s">
        <v>4259</v>
      </c>
      <c r="B3664" s="153">
        <v>1237</v>
      </c>
      <c r="C3664" s="126" t="s">
        <v>2540</v>
      </c>
      <c r="D3664">
        <v>2473</v>
      </c>
      <c r="E3664" s="126" t="s">
        <v>1603</v>
      </c>
      <c r="F3664" s="125" t="s">
        <v>1607</v>
      </c>
      <c r="G3664" s="125" t="s">
        <v>134</v>
      </c>
      <c r="H3664">
        <v>449</v>
      </c>
      <c r="I3664" s="125" t="s">
        <v>1546</v>
      </c>
      <c r="J3664" s="308" t="s">
        <v>214</v>
      </c>
      <c r="K3664" s="127" t="s">
        <v>4212</v>
      </c>
      <c r="L3664" s="153" t="s">
        <v>3306</v>
      </c>
      <c r="M3664">
        <v>623</v>
      </c>
      <c r="N3664" s="123">
        <v>1</v>
      </c>
      <c r="O3664">
        <v>2357</v>
      </c>
      <c r="P3664" s="132" t="s">
        <v>77</v>
      </c>
      <c r="Q3664" s="132">
        <v>955</v>
      </c>
      <c r="R3664" s="132">
        <v>152.80000000000001</v>
      </c>
      <c r="S3664" s="132"/>
      <c r="T3664" s="156">
        <v>0</v>
      </c>
      <c r="U3664" s="132">
        <v>0</v>
      </c>
      <c r="V3664" s="132">
        <v>1107.8</v>
      </c>
      <c r="W3664">
        <v>235</v>
      </c>
      <c r="X3664" s="153" t="s">
        <v>195</v>
      </c>
      <c r="Y3664" s="124" t="s">
        <v>55</v>
      </c>
      <c r="Z3664" s="308">
        <v>254</v>
      </c>
      <c r="AB3664" t="str">
        <f>IF(Table1[[#This Row],[TIPO2]]="costo", VLOOKUP(Table1[[#This Row],[PARTIDA PRESUPUESTAL]],'Cost Report'!G:G,1,0),"Balance")</f>
        <v>2494-059</v>
      </c>
      <c r="AC3664" s="118"/>
      <c r="AD3664" s="159">
        <f>+Table1[[#This Row],[SUBTOTAL]]+Table1[[#This Row],[IVA]]-Table1[[#This Row],[RET IVA]]-Table1[[#This Row],[RET ISR]]-Table1[[#This Row],[TOTAL]]</f>
        <v>0</v>
      </c>
      <c r="AE3664" s="152"/>
      <c r="AF3664" s="153"/>
      <c r="AG3664" s="126"/>
      <c r="AK3664" s="306" t="str">
        <f>IF(ISNUMBER(Table1[[#This Row],[FECHA DE RECIBIDO]]), Table1[[#This Row],[FECHA DE RECIBIDO]]-DATE(2023,8,30), "")</f>
        <v/>
      </c>
    </row>
    <row r="3665" spans="1:37" ht="15" customHeight="1">
      <c r="A3665" s="150"/>
      <c r="B3665" s="151">
        <v>1238</v>
      </c>
      <c r="C3665" s="126" t="s">
        <v>2546</v>
      </c>
      <c r="D3665">
        <v>2474</v>
      </c>
      <c r="E3665" s="126" t="s">
        <v>1603</v>
      </c>
      <c r="F3665" s="122" t="s">
        <v>1607</v>
      </c>
      <c r="G3665" s="122" t="s">
        <v>134</v>
      </c>
      <c r="H3665">
        <v>449</v>
      </c>
      <c r="I3665" s="122" t="s">
        <v>1546</v>
      </c>
      <c r="J3665" s="307" t="s">
        <v>214</v>
      </c>
      <c r="K3665" s="127" t="s">
        <v>4212</v>
      </c>
      <c r="L3665" s="151" t="s">
        <v>3306</v>
      </c>
      <c r="M3665">
        <v>623</v>
      </c>
      <c r="N3665" s="123">
        <v>1</v>
      </c>
      <c r="O3665">
        <v>2358</v>
      </c>
      <c r="P3665" s="132" t="s">
        <v>77</v>
      </c>
      <c r="Q3665" s="131">
        <v>6180.6</v>
      </c>
      <c r="R3665" s="131">
        <v>988.9</v>
      </c>
      <c r="S3665" s="131"/>
      <c r="T3665" s="155">
        <v>0</v>
      </c>
      <c r="U3665" s="131">
        <v>0</v>
      </c>
      <c r="V3665" s="131">
        <v>7169.5</v>
      </c>
      <c r="W3665">
        <v>235</v>
      </c>
      <c r="X3665" s="151" t="s">
        <v>195</v>
      </c>
      <c r="Y3665" s="135" t="s">
        <v>55</v>
      </c>
      <c r="Z3665" s="307">
        <v>254</v>
      </c>
      <c r="AB3665" t="str">
        <f>IF(Table1[[#This Row],[TIPO2]]="costo", VLOOKUP(Table1[[#This Row],[PARTIDA PRESUPUESTAL]],'Cost Report'!G:G,1,0),"Balance")</f>
        <v>2494-071</v>
      </c>
      <c r="AC3665" s="118"/>
      <c r="AD3665" s="159">
        <f>+Table1[[#This Row],[SUBTOTAL]]+Table1[[#This Row],[IVA]]-Table1[[#This Row],[RET IVA]]-Table1[[#This Row],[RET ISR]]-Table1[[#This Row],[TOTAL]]</f>
        <v>0</v>
      </c>
      <c r="AE3665" s="150"/>
      <c r="AF3665" s="151"/>
      <c r="AG3665" s="126"/>
      <c r="AK3665" s="306" t="str">
        <f>IF(ISNUMBER(Table1[[#This Row],[FECHA DE RECIBIDO]]), Table1[[#This Row],[FECHA DE RECIBIDO]]-DATE(2023,8,30), "")</f>
        <v/>
      </c>
    </row>
    <row r="3666" spans="1:37" ht="15" customHeight="1">
      <c r="A3666" s="152" t="s">
        <v>4260</v>
      </c>
      <c r="B3666" s="153">
        <v>1239</v>
      </c>
      <c r="C3666" s="126" t="s">
        <v>2532</v>
      </c>
      <c r="D3666">
        <v>2475</v>
      </c>
      <c r="E3666" s="126" t="s">
        <v>3235</v>
      </c>
      <c r="F3666" s="125" t="s">
        <v>1589</v>
      </c>
      <c r="G3666" s="125" t="s">
        <v>129</v>
      </c>
      <c r="H3666">
        <v>212</v>
      </c>
      <c r="I3666" s="125" t="s">
        <v>1546</v>
      </c>
      <c r="J3666" s="308" t="s">
        <v>214</v>
      </c>
      <c r="K3666" s="127" t="s">
        <v>4212</v>
      </c>
      <c r="L3666" s="153" t="s">
        <v>3306</v>
      </c>
      <c r="M3666">
        <v>277</v>
      </c>
      <c r="N3666" s="123">
        <v>1</v>
      </c>
      <c r="O3666">
        <v>2359</v>
      </c>
      <c r="P3666" s="132" t="s">
        <v>77</v>
      </c>
      <c r="Q3666" s="132">
        <v>2510.13</v>
      </c>
      <c r="R3666" s="132">
        <v>401.61</v>
      </c>
      <c r="S3666" s="132"/>
      <c r="T3666" s="156">
        <v>0</v>
      </c>
      <c r="U3666" s="132">
        <v>0</v>
      </c>
      <c r="V3666" s="132">
        <v>2911.7400000000002</v>
      </c>
      <c r="W3666">
        <v>133</v>
      </c>
      <c r="X3666" s="153" t="s">
        <v>2035</v>
      </c>
      <c r="Y3666" s="124" t="s">
        <v>55</v>
      </c>
      <c r="Z3666" s="308">
        <v>254</v>
      </c>
      <c r="AB3666" t="str">
        <f>IF(Table1[[#This Row],[TIPO2]]="costo", VLOOKUP(Table1[[#This Row],[PARTIDA PRESUPUESTAL]],'Cost Report'!G:G,1,0),"Balance")</f>
        <v>2494-043</v>
      </c>
      <c r="AC3666" s="118"/>
      <c r="AD3666" s="159">
        <f>+Table1[[#This Row],[SUBTOTAL]]+Table1[[#This Row],[IVA]]-Table1[[#This Row],[RET IVA]]-Table1[[#This Row],[RET ISR]]-Table1[[#This Row],[TOTAL]]</f>
        <v>0</v>
      </c>
      <c r="AE3666" s="152"/>
      <c r="AF3666" s="153"/>
      <c r="AG3666" s="126"/>
      <c r="AK3666" s="306" t="str">
        <f>IF(ISNUMBER(Table1[[#This Row],[FECHA DE RECIBIDO]]), Table1[[#This Row],[FECHA DE RECIBIDO]]-DATE(2023,8,30), "")</f>
        <v/>
      </c>
    </row>
    <row r="3667" spans="1:37" ht="15" customHeight="1">
      <c r="A3667" s="150" t="s">
        <v>4261</v>
      </c>
      <c r="B3667" s="151">
        <v>1240</v>
      </c>
      <c r="C3667" s="126" t="s">
        <v>2532</v>
      </c>
      <c r="D3667">
        <v>2476</v>
      </c>
      <c r="E3667" s="126" t="s">
        <v>4257</v>
      </c>
      <c r="F3667" s="122" t="s">
        <v>1607</v>
      </c>
      <c r="G3667" s="122" t="s">
        <v>134</v>
      </c>
      <c r="H3667">
        <v>678</v>
      </c>
      <c r="I3667" s="122" t="s">
        <v>1546</v>
      </c>
      <c r="J3667" s="307">
        <v>250.64302083333314</v>
      </c>
      <c r="K3667" s="127" t="s">
        <v>4212</v>
      </c>
      <c r="L3667" s="151" t="s">
        <v>3306</v>
      </c>
      <c r="M3667">
        <v>953</v>
      </c>
      <c r="N3667" s="123">
        <v>1</v>
      </c>
      <c r="O3667">
        <v>2360</v>
      </c>
      <c r="P3667" s="132" t="s">
        <v>77</v>
      </c>
      <c r="Q3667" s="131">
        <v>12420</v>
      </c>
      <c r="R3667" s="131">
        <v>1987.2</v>
      </c>
      <c r="S3667" s="131"/>
      <c r="T3667" s="155">
        <v>0</v>
      </c>
      <c r="U3667" s="131">
        <v>0</v>
      </c>
      <c r="V3667" s="131">
        <v>14407.2</v>
      </c>
      <c r="W3667">
        <v>350</v>
      </c>
      <c r="X3667" s="151" t="s">
        <v>2035</v>
      </c>
      <c r="Y3667" s="135" t="s">
        <v>55</v>
      </c>
      <c r="Z3667" s="307">
        <v>254</v>
      </c>
      <c r="AB3667" t="str">
        <f>IF(Table1[[#This Row],[TIPO2]]="costo", VLOOKUP(Table1[[#This Row],[PARTIDA PRESUPUESTAL]],'Cost Report'!G:G,1,0),"Balance")</f>
        <v>2494-043</v>
      </c>
      <c r="AC3667" s="118"/>
      <c r="AD3667" s="159">
        <f>+Table1[[#This Row],[SUBTOTAL]]+Table1[[#This Row],[IVA]]-Table1[[#This Row],[RET IVA]]-Table1[[#This Row],[RET ISR]]-Table1[[#This Row],[TOTAL]]</f>
        <v>0</v>
      </c>
      <c r="AE3667" s="150"/>
      <c r="AF3667" s="151"/>
      <c r="AG3667" s="126"/>
      <c r="AK3667" s="306">
        <f>IF(ISNUMBER(Table1[[#This Row],[FECHA DE RECIBIDO]]), Table1[[#This Row],[FECHA DE RECIBIDO]]-DATE(2023,8,30), "")</f>
        <v>-44917.356979166667</v>
      </c>
    </row>
    <row r="3668" spans="1:37" ht="15" customHeight="1">
      <c r="A3668" s="152" t="s">
        <v>4262</v>
      </c>
      <c r="B3668" s="153">
        <v>1241</v>
      </c>
      <c r="C3668" s="126" t="s">
        <v>2546</v>
      </c>
      <c r="D3668">
        <v>2477</v>
      </c>
      <c r="E3668" s="126" t="s">
        <v>3354</v>
      </c>
      <c r="F3668" s="125" t="s">
        <v>1589</v>
      </c>
      <c r="G3668" s="125" t="s">
        <v>129</v>
      </c>
      <c r="H3668">
        <v>382</v>
      </c>
      <c r="I3668" s="125" t="s">
        <v>1546</v>
      </c>
      <c r="J3668" s="308" t="s">
        <v>214</v>
      </c>
      <c r="K3668" s="127" t="s">
        <v>4212</v>
      </c>
      <c r="L3668" s="153" t="s">
        <v>3306</v>
      </c>
      <c r="M3668">
        <v>504</v>
      </c>
      <c r="N3668" s="123">
        <v>1</v>
      </c>
      <c r="O3668">
        <v>2361</v>
      </c>
      <c r="P3668" s="132" t="s">
        <v>77</v>
      </c>
      <c r="Q3668" s="132">
        <v>510</v>
      </c>
      <c r="R3668" s="132">
        <v>81.599999999999994</v>
      </c>
      <c r="S3668" s="132"/>
      <c r="T3668" s="156">
        <v>0</v>
      </c>
      <c r="U3668" s="132">
        <v>0</v>
      </c>
      <c r="V3668" s="132">
        <v>591.6</v>
      </c>
      <c r="W3668">
        <v>222</v>
      </c>
      <c r="X3668" s="153" t="s">
        <v>195</v>
      </c>
      <c r="Y3668" s="124" t="s">
        <v>55</v>
      </c>
      <c r="Z3668" s="308">
        <v>254</v>
      </c>
      <c r="AB3668" t="str">
        <f>IF(Table1[[#This Row],[TIPO2]]="costo", VLOOKUP(Table1[[#This Row],[PARTIDA PRESUPUESTAL]],'Cost Report'!G:G,1,0),"Balance")</f>
        <v>2494-071</v>
      </c>
      <c r="AC3668" s="118"/>
      <c r="AD3668" s="159">
        <f>+Table1[[#This Row],[SUBTOTAL]]+Table1[[#This Row],[IVA]]-Table1[[#This Row],[RET IVA]]-Table1[[#This Row],[RET ISR]]-Table1[[#This Row],[TOTAL]]</f>
        <v>0</v>
      </c>
      <c r="AE3668" s="152"/>
      <c r="AF3668" s="153"/>
      <c r="AG3668" s="126"/>
      <c r="AK3668" s="306" t="str">
        <f>IF(ISNUMBER(Table1[[#This Row],[FECHA DE RECIBIDO]]), Table1[[#This Row],[FECHA DE RECIBIDO]]-DATE(2023,8,30), "")</f>
        <v/>
      </c>
    </row>
    <row r="3669" spans="1:37" ht="15" customHeight="1">
      <c r="A3669" s="150"/>
      <c r="B3669" s="151">
        <v>1242</v>
      </c>
      <c r="C3669" s="126" t="s">
        <v>1515</v>
      </c>
      <c r="D3669">
        <v>2478</v>
      </c>
      <c r="E3669" s="126" t="s">
        <v>3354</v>
      </c>
      <c r="F3669" s="122" t="s">
        <v>1589</v>
      </c>
      <c r="G3669" s="122" t="s">
        <v>129</v>
      </c>
      <c r="H3669">
        <v>382</v>
      </c>
      <c r="I3669" s="122" t="s">
        <v>1546</v>
      </c>
      <c r="J3669" s="307" t="s">
        <v>214</v>
      </c>
      <c r="K3669" s="127" t="s">
        <v>4212</v>
      </c>
      <c r="L3669" s="151" t="s">
        <v>3306</v>
      </c>
      <c r="M3669">
        <v>504</v>
      </c>
      <c r="N3669" s="123">
        <v>1</v>
      </c>
      <c r="O3669">
        <v>2362</v>
      </c>
      <c r="P3669" s="132" t="s">
        <v>77</v>
      </c>
      <c r="Q3669" s="131">
        <v>2835</v>
      </c>
      <c r="R3669" s="131">
        <v>453.6</v>
      </c>
      <c r="S3669" s="131"/>
      <c r="T3669" s="155">
        <v>0</v>
      </c>
      <c r="U3669" s="131">
        <v>0</v>
      </c>
      <c r="V3669" s="131">
        <v>3288.6</v>
      </c>
      <c r="W3669">
        <v>222</v>
      </c>
      <c r="X3669" s="151" t="s">
        <v>195</v>
      </c>
      <c r="Y3669" s="135" t="s">
        <v>55</v>
      </c>
      <c r="Z3669" s="307">
        <v>254</v>
      </c>
      <c r="AB3669" t="str">
        <f>IF(Table1[[#This Row],[TIPO2]]="costo", VLOOKUP(Table1[[#This Row],[PARTIDA PRESUPUESTAL]],'Cost Report'!G:G,1,0),"Balance")</f>
        <v>2494-023</v>
      </c>
      <c r="AC3669" s="118"/>
      <c r="AD3669" s="159">
        <f>+Table1[[#This Row],[SUBTOTAL]]+Table1[[#This Row],[IVA]]-Table1[[#This Row],[RET IVA]]-Table1[[#This Row],[RET ISR]]-Table1[[#This Row],[TOTAL]]</f>
        <v>0</v>
      </c>
      <c r="AE3669" s="150"/>
      <c r="AF3669" s="151"/>
      <c r="AG3669" s="126"/>
      <c r="AK3669" s="306" t="str">
        <f>IF(ISNUMBER(Table1[[#This Row],[FECHA DE RECIBIDO]]), Table1[[#This Row],[FECHA DE RECIBIDO]]-DATE(2023,8,30), "")</f>
        <v/>
      </c>
    </row>
    <row r="3670" spans="1:37" ht="15" customHeight="1">
      <c r="A3670" s="152"/>
      <c r="B3670" s="153">
        <v>1243</v>
      </c>
      <c r="C3670" s="126" t="s">
        <v>2546</v>
      </c>
      <c r="D3670">
        <v>2479</v>
      </c>
      <c r="E3670" s="126" t="s">
        <v>3354</v>
      </c>
      <c r="F3670" s="125" t="s">
        <v>1589</v>
      </c>
      <c r="G3670" s="125" t="s">
        <v>129</v>
      </c>
      <c r="H3670">
        <v>382</v>
      </c>
      <c r="I3670" s="125" t="s">
        <v>1546</v>
      </c>
      <c r="J3670" s="308" t="s">
        <v>214</v>
      </c>
      <c r="K3670" s="127" t="s">
        <v>4212</v>
      </c>
      <c r="L3670" s="153" t="s">
        <v>3306</v>
      </c>
      <c r="M3670">
        <v>504</v>
      </c>
      <c r="N3670" s="123">
        <v>1</v>
      </c>
      <c r="O3670">
        <v>2363</v>
      </c>
      <c r="P3670" s="132" t="s">
        <v>77</v>
      </c>
      <c r="Q3670" s="132">
        <v>1970</v>
      </c>
      <c r="R3670" s="132">
        <v>315.2</v>
      </c>
      <c r="S3670" s="132"/>
      <c r="T3670" s="156">
        <v>0</v>
      </c>
      <c r="U3670" s="132">
        <v>0</v>
      </c>
      <c r="V3670" s="132">
        <v>2285.1999999999998</v>
      </c>
      <c r="W3670">
        <v>222</v>
      </c>
      <c r="X3670" s="153" t="s">
        <v>195</v>
      </c>
      <c r="Y3670" s="124" t="s">
        <v>55</v>
      </c>
      <c r="Z3670" s="308">
        <v>254</v>
      </c>
      <c r="AB3670" t="str">
        <f>IF(Table1[[#This Row],[TIPO2]]="costo", VLOOKUP(Table1[[#This Row],[PARTIDA PRESUPUESTAL]],'Cost Report'!G:G,1,0),"Balance")</f>
        <v>2494-071</v>
      </c>
      <c r="AC3670" s="118"/>
      <c r="AD3670" s="159">
        <f>+Table1[[#This Row],[SUBTOTAL]]+Table1[[#This Row],[IVA]]-Table1[[#This Row],[RET IVA]]-Table1[[#This Row],[RET ISR]]-Table1[[#This Row],[TOTAL]]</f>
        <v>0</v>
      </c>
      <c r="AE3670" s="152"/>
      <c r="AF3670" s="153"/>
      <c r="AG3670" s="126"/>
      <c r="AK3670" s="306" t="str">
        <f>IF(ISNUMBER(Table1[[#This Row],[FECHA DE RECIBIDO]]), Table1[[#This Row],[FECHA DE RECIBIDO]]-DATE(2023,8,30), "")</f>
        <v/>
      </c>
    </row>
    <row r="3671" spans="1:37" ht="15" customHeight="1">
      <c r="A3671" s="150"/>
      <c r="B3671" s="151">
        <v>1244</v>
      </c>
      <c r="C3671" s="126" t="s">
        <v>2546</v>
      </c>
      <c r="D3671">
        <v>2480</v>
      </c>
      <c r="E3671" s="126" t="s">
        <v>3354</v>
      </c>
      <c r="F3671" s="122" t="s">
        <v>1589</v>
      </c>
      <c r="G3671" s="122" t="s">
        <v>129</v>
      </c>
      <c r="H3671">
        <v>382</v>
      </c>
      <c r="I3671" s="122" t="s">
        <v>1546</v>
      </c>
      <c r="J3671" s="307" t="s">
        <v>214</v>
      </c>
      <c r="K3671" s="127" t="s">
        <v>4212</v>
      </c>
      <c r="L3671" s="151" t="s">
        <v>3306</v>
      </c>
      <c r="M3671">
        <v>504</v>
      </c>
      <c r="N3671" s="123">
        <v>1</v>
      </c>
      <c r="O3671">
        <v>2364</v>
      </c>
      <c r="P3671" s="132" t="s">
        <v>77</v>
      </c>
      <c r="Q3671" s="131">
        <v>330</v>
      </c>
      <c r="R3671" s="131">
        <v>52.8</v>
      </c>
      <c r="S3671" s="131"/>
      <c r="T3671" s="155">
        <v>0</v>
      </c>
      <c r="U3671" s="131">
        <v>0</v>
      </c>
      <c r="V3671" s="131">
        <v>382.8</v>
      </c>
      <c r="W3671">
        <v>222</v>
      </c>
      <c r="X3671" s="151" t="s">
        <v>195</v>
      </c>
      <c r="Y3671" s="135" t="s">
        <v>55</v>
      </c>
      <c r="Z3671" s="307">
        <v>254</v>
      </c>
      <c r="AB3671" t="str">
        <f>IF(Table1[[#This Row],[TIPO2]]="costo", VLOOKUP(Table1[[#This Row],[PARTIDA PRESUPUESTAL]],'Cost Report'!G:G,1,0),"Balance")</f>
        <v>2494-071</v>
      </c>
      <c r="AC3671" s="118"/>
      <c r="AD3671" s="159">
        <f>+Table1[[#This Row],[SUBTOTAL]]+Table1[[#This Row],[IVA]]-Table1[[#This Row],[RET IVA]]-Table1[[#This Row],[RET ISR]]-Table1[[#This Row],[TOTAL]]</f>
        <v>0</v>
      </c>
      <c r="AE3671" s="150"/>
      <c r="AF3671" s="151"/>
      <c r="AG3671" s="126"/>
      <c r="AK3671" s="306" t="str">
        <f>IF(ISNUMBER(Table1[[#This Row],[FECHA DE RECIBIDO]]), Table1[[#This Row],[FECHA DE RECIBIDO]]-DATE(2023,8,30), "")</f>
        <v/>
      </c>
    </row>
    <row r="3672" spans="1:37" ht="15" customHeight="1">
      <c r="A3672" s="152"/>
      <c r="B3672" s="153">
        <v>1245</v>
      </c>
      <c r="C3672" s="126" t="s">
        <v>2534</v>
      </c>
      <c r="D3672">
        <v>2481</v>
      </c>
      <c r="E3672" s="126" t="s">
        <v>3354</v>
      </c>
      <c r="F3672" s="125" t="s">
        <v>1589</v>
      </c>
      <c r="G3672" s="125" t="s">
        <v>129</v>
      </c>
      <c r="H3672">
        <v>382</v>
      </c>
      <c r="I3672" s="125" t="s">
        <v>1546</v>
      </c>
      <c r="J3672" s="308" t="s">
        <v>214</v>
      </c>
      <c r="K3672" s="127" t="s">
        <v>4212</v>
      </c>
      <c r="L3672" s="153" t="s">
        <v>3306</v>
      </c>
      <c r="M3672">
        <v>504</v>
      </c>
      <c r="N3672" s="123">
        <v>1</v>
      </c>
      <c r="O3672">
        <v>2365</v>
      </c>
      <c r="P3672" s="132" t="s">
        <v>77</v>
      </c>
      <c r="Q3672" s="132">
        <v>670</v>
      </c>
      <c r="R3672" s="132">
        <v>107.2</v>
      </c>
      <c r="S3672" s="132"/>
      <c r="T3672" s="156">
        <v>0</v>
      </c>
      <c r="U3672" s="132">
        <v>0</v>
      </c>
      <c r="V3672" s="132">
        <v>777.2</v>
      </c>
      <c r="W3672">
        <v>222</v>
      </c>
      <c r="X3672" s="153" t="s">
        <v>195</v>
      </c>
      <c r="Y3672" s="124" t="s">
        <v>55</v>
      </c>
      <c r="Z3672" s="308">
        <v>254</v>
      </c>
      <c r="AB3672" t="str">
        <f>IF(Table1[[#This Row],[TIPO2]]="costo", VLOOKUP(Table1[[#This Row],[PARTIDA PRESUPUESTAL]],'Cost Report'!G:G,1,0),"Balance")</f>
        <v>2494-047</v>
      </c>
      <c r="AC3672" s="118"/>
      <c r="AD3672" s="159">
        <f>+Table1[[#This Row],[SUBTOTAL]]+Table1[[#This Row],[IVA]]-Table1[[#This Row],[RET IVA]]-Table1[[#This Row],[RET ISR]]-Table1[[#This Row],[TOTAL]]</f>
        <v>0</v>
      </c>
      <c r="AE3672" s="152"/>
      <c r="AF3672" s="153"/>
      <c r="AG3672" s="126"/>
      <c r="AK3672" s="306" t="str">
        <f>IF(ISNUMBER(Table1[[#This Row],[FECHA DE RECIBIDO]]), Table1[[#This Row],[FECHA DE RECIBIDO]]-DATE(2023,8,30), "")</f>
        <v/>
      </c>
    </row>
    <row r="3673" spans="1:37" ht="15" customHeight="1">
      <c r="A3673" s="150" t="s">
        <v>4263</v>
      </c>
      <c r="B3673" s="151">
        <v>1246</v>
      </c>
      <c r="C3673" s="126" t="s">
        <v>2556</v>
      </c>
      <c r="D3673">
        <v>2482</v>
      </c>
      <c r="E3673" s="126" t="s">
        <v>1603</v>
      </c>
      <c r="F3673" s="122" t="s">
        <v>1607</v>
      </c>
      <c r="G3673" s="122" t="s">
        <v>134</v>
      </c>
      <c r="H3673">
        <v>449</v>
      </c>
      <c r="I3673" s="122" t="s">
        <v>1546</v>
      </c>
      <c r="J3673" s="307" t="s">
        <v>214</v>
      </c>
      <c r="K3673" s="127" t="s">
        <v>4212</v>
      </c>
      <c r="L3673" s="151" t="s">
        <v>3306</v>
      </c>
      <c r="M3673">
        <v>623</v>
      </c>
      <c r="N3673" s="123">
        <v>1</v>
      </c>
      <c r="O3673">
        <v>2366</v>
      </c>
      <c r="P3673" s="132" t="s">
        <v>77</v>
      </c>
      <c r="Q3673" s="131">
        <v>1450</v>
      </c>
      <c r="R3673" s="131">
        <v>232</v>
      </c>
      <c r="S3673" s="131"/>
      <c r="T3673" s="155">
        <v>0</v>
      </c>
      <c r="U3673" s="131">
        <v>0</v>
      </c>
      <c r="V3673" s="131">
        <v>1682</v>
      </c>
      <c r="W3673">
        <v>235</v>
      </c>
      <c r="X3673" s="151" t="s">
        <v>195</v>
      </c>
      <c r="Y3673" s="135" t="s">
        <v>55</v>
      </c>
      <c r="Z3673" s="307">
        <v>254</v>
      </c>
      <c r="AB3673" t="str">
        <f>IF(Table1[[#This Row],[TIPO2]]="costo", VLOOKUP(Table1[[#This Row],[PARTIDA PRESUPUESTAL]],'Cost Report'!G:G,1,0),"Balance")</f>
        <v>2498-003</v>
      </c>
      <c r="AC3673" s="118"/>
      <c r="AD3673" s="159">
        <f>+Table1[[#This Row],[SUBTOTAL]]+Table1[[#This Row],[IVA]]-Table1[[#This Row],[RET IVA]]-Table1[[#This Row],[RET ISR]]-Table1[[#This Row],[TOTAL]]</f>
        <v>0</v>
      </c>
      <c r="AE3673" s="150"/>
      <c r="AF3673" s="151"/>
      <c r="AG3673" s="126"/>
      <c r="AK3673" s="306" t="str">
        <f>IF(ISNUMBER(Table1[[#This Row],[FECHA DE RECIBIDO]]), Table1[[#This Row],[FECHA DE RECIBIDO]]-DATE(2023,8,30), "")</f>
        <v/>
      </c>
    </row>
    <row r="3674" spans="1:37" ht="15" customHeight="1">
      <c r="A3674" s="152" t="s">
        <v>4264</v>
      </c>
      <c r="B3674" s="153">
        <v>1247</v>
      </c>
      <c r="C3674" s="126" t="s">
        <v>1011</v>
      </c>
      <c r="D3674">
        <v>2483</v>
      </c>
      <c r="E3674" s="126" t="s">
        <v>1598</v>
      </c>
      <c r="F3674" s="125" t="s">
        <v>1607</v>
      </c>
      <c r="G3674" s="125" t="s">
        <v>134</v>
      </c>
      <c r="H3674">
        <v>679</v>
      </c>
      <c r="I3674" s="125" t="s">
        <v>1546</v>
      </c>
      <c r="J3674" s="308" t="s">
        <v>214</v>
      </c>
      <c r="K3674" s="127" t="s">
        <v>4212</v>
      </c>
      <c r="L3674" s="153" t="s">
        <v>3306</v>
      </c>
      <c r="M3674">
        <v>954</v>
      </c>
      <c r="N3674" s="123">
        <v>1</v>
      </c>
      <c r="O3674">
        <v>2367</v>
      </c>
      <c r="P3674" s="132" t="s">
        <v>77</v>
      </c>
      <c r="Q3674" s="132">
        <v>45000</v>
      </c>
      <c r="R3674" s="132">
        <v>7200</v>
      </c>
      <c r="S3674" s="132"/>
      <c r="T3674" s="156">
        <v>0</v>
      </c>
      <c r="U3674" s="132">
        <v>0</v>
      </c>
      <c r="V3674" s="132">
        <v>52200</v>
      </c>
      <c r="W3674">
        <v>351</v>
      </c>
      <c r="X3674" s="153" t="s">
        <v>3817</v>
      </c>
      <c r="Y3674" s="124" t="s">
        <v>55</v>
      </c>
      <c r="Z3674" s="308">
        <v>254</v>
      </c>
      <c r="AB3674" t="str">
        <f>IF(Table1[[#This Row],[TIPO2]]="costo", VLOOKUP(Table1[[#This Row],[PARTIDA PRESUPUESTAL]],'Cost Report'!G:G,1,0),"Balance")</f>
        <v>3412-059</v>
      </c>
      <c r="AC3674" s="118"/>
      <c r="AD3674" s="159">
        <f>+Table1[[#This Row],[SUBTOTAL]]+Table1[[#This Row],[IVA]]-Table1[[#This Row],[RET IVA]]-Table1[[#This Row],[RET ISR]]-Table1[[#This Row],[TOTAL]]</f>
        <v>0</v>
      </c>
      <c r="AE3674" s="152"/>
      <c r="AF3674" s="153"/>
      <c r="AG3674" s="126"/>
      <c r="AK3674" s="306" t="str">
        <f>IF(ISNUMBER(Table1[[#This Row],[FECHA DE RECIBIDO]]), Table1[[#This Row],[FECHA DE RECIBIDO]]-DATE(2023,8,30), "")</f>
        <v/>
      </c>
    </row>
    <row r="3675" spans="1:37" ht="15" customHeight="1">
      <c r="A3675" s="150" t="s">
        <v>4265</v>
      </c>
      <c r="B3675" s="151">
        <v>1248</v>
      </c>
      <c r="C3675" s="126" t="s">
        <v>2826</v>
      </c>
      <c r="D3675">
        <v>2484</v>
      </c>
      <c r="E3675" s="126" t="s">
        <v>1613</v>
      </c>
      <c r="F3675" s="122" t="s">
        <v>1593</v>
      </c>
      <c r="G3675" s="122" t="s">
        <v>109</v>
      </c>
      <c r="H3675">
        <v>674</v>
      </c>
      <c r="I3675" s="122" t="s">
        <v>1546</v>
      </c>
      <c r="J3675" s="307" t="s">
        <v>214</v>
      </c>
      <c r="K3675" s="127" t="s">
        <v>4212</v>
      </c>
      <c r="L3675" s="151" t="s">
        <v>3306</v>
      </c>
      <c r="M3675">
        <v>947</v>
      </c>
      <c r="N3675" s="123">
        <v>1</v>
      </c>
      <c r="O3675">
        <v>2368</v>
      </c>
      <c r="P3675" s="132" t="s">
        <v>77</v>
      </c>
      <c r="Q3675" s="131">
        <v>4500</v>
      </c>
      <c r="R3675" s="131">
        <v>720</v>
      </c>
      <c r="S3675" s="131"/>
      <c r="T3675" s="155">
        <v>0</v>
      </c>
      <c r="U3675" s="131">
        <v>56.25</v>
      </c>
      <c r="V3675" s="131">
        <v>5163.75</v>
      </c>
      <c r="W3675">
        <v>345</v>
      </c>
      <c r="X3675" s="151" t="s">
        <v>105</v>
      </c>
      <c r="Y3675" s="135" t="s">
        <v>55</v>
      </c>
      <c r="Z3675" s="307">
        <v>254</v>
      </c>
      <c r="AB3675" t="str">
        <f>IF(Table1[[#This Row],[TIPO2]]="costo", VLOOKUP(Table1[[#This Row],[PARTIDA PRESUPUESTAL]],'Cost Report'!G:G,1,0),"Balance")</f>
        <v>3412-133</v>
      </c>
      <c r="AC3675" s="118"/>
      <c r="AD3675" s="159">
        <f>+Table1[[#This Row],[SUBTOTAL]]+Table1[[#This Row],[IVA]]-Table1[[#This Row],[RET IVA]]-Table1[[#This Row],[RET ISR]]-Table1[[#This Row],[TOTAL]]</f>
        <v>0</v>
      </c>
      <c r="AE3675" s="150"/>
      <c r="AF3675" s="151"/>
      <c r="AG3675" s="126"/>
      <c r="AK3675" s="306" t="str">
        <f>IF(ISNUMBER(Table1[[#This Row],[FECHA DE RECIBIDO]]), Table1[[#This Row],[FECHA DE RECIBIDO]]-DATE(2023,8,30), "")</f>
        <v/>
      </c>
    </row>
    <row r="3676" spans="1:37" ht="15" customHeight="1">
      <c r="A3676" s="152" t="s">
        <v>4266</v>
      </c>
      <c r="B3676" s="153">
        <v>1249</v>
      </c>
      <c r="C3676" s="126" t="s">
        <v>2808</v>
      </c>
      <c r="D3676">
        <v>2485</v>
      </c>
      <c r="E3676" s="126" t="s">
        <v>4267</v>
      </c>
      <c r="F3676" s="125" t="s">
        <v>1607</v>
      </c>
      <c r="G3676" s="125" t="s">
        <v>134</v>
      </c>
      <c r="H3676">
        <v>680</v>
      </c>
      <c r="I3676" s="125" t="s">
        <v>1546</v>
      </c>
      <c r="J3676" s="308" t="s">
        <v>214</v>
      </c>
      <c r="K3676" s="127" t="s">
        <v>4212</v>
      </c>
      <c r="L3676" s="153" t="s">
        <v>3306</v>
      </c>
      <c r="M3676">
        <v>955</v>
      </c>
      <c r="N3676" s="123">
        <v>1</v>
      </c>
      <c r="O3676">
        <v>2369</v>
      </c>
      <c r="P3676" s="132" t="s">
        <v>77</v>
      </c>
      <c r="Q3676" s="132">
        <v>50000</v>
      </c>
      <c r="R3676" s="132">
        <v>8000</v>
      </c>
      <c r="S3676" s="132"/>
      <c r="T3676" s="156">
        <v>0</v>
      </c>
      <c r="U3676" s="132">
        <v>0</v>
      </c>
      <c r="V3676" s="132">
        <v>58000</v>
      </c>
      <c r="W3676">
        <v>352</v>
      </c>
      <c r="X3676" s="153" t="s">
        <v>3120</v>
      </c>
      <c r="Y3676" s="124" t="s">
        <v>55</v>
      </c>
      <c r="Z3676" s="308">
        <v>254</v>
      </c>
      <c r="AB3676" t="str">
        <f>IF(Table1[[#This Row],[TIPO2]]="costo", VLOOKUP(Table1[[#This Row],[PARTIDA PRESUPUESTAL]],'Cost Report'!G:G,1,0),"Balance")</f>
        <v>3412-099</v>
      </c>
      <c r="AC3676" s="118"/>
      <c r="AD3676" s="159">
        <f>+Table1[[#This Row],[SUBTOTAL]]+Table1[[#This Row],[IVA]]-Table1[[#This Row],[RET IVA]]-Table1[[#This Row],[RET ISR]]-Table1[[#This Row],[TOTAL]]</f>
        <v>0</v>
      </c>
      <c r="AE3676" s="152"/>
      <c r="AF3676" s="153"/>
      <c r="AG3676" s="126"/>
      <c r="AK3676" s="306" t="str">
        <f>IF(ISNUMBER(Table1[[#This Row],[FECHA DE RECIBIDO]]), Table1[[#This Row],[FECHA DE RECIBIDO]]-DATE(2023,8,30), "")</f>
        <v/>
      </c>
    </row>
    <row r="3677" spans="1:37" ht="15" customHeight="1">
      <c r="A3677" s="150" t="s">
        <v>4268</v>
      </c>
      <c r="B3677" s="151">
        <v>1250</v>
      </c>
      <c r="C3677" s="126" t="s">
        <v>2826</v>
      </c>
      <c r="D3677">
        <v>2486</v>
      </c>
      <c r="E3677" s="126" t="s">
        <v>1603</v>
      </c>
      <c r="F3677" s="122" t="s">
        <v>1607</v>
      </c>
      <c r="G3677" s="122" t="s">
        <v>134</v>
      </c>
      <c r="H3677">
        <v>681</v>
      </c>
      <c r="I3677" s="122" t="s">
        <v>1546</v>
      </c>
      <c r="J3677" s="307" t="s">
        <v>214</v>
      </c>
      <c r="K3677" s="127" t="s">
        <v>4212</v>
      </c>
      <c r="L3677" s="151" t="s">
        <v>3306</v>
      </c>
      <c r="M3677">
        <v>956</v>
      </c>
      <c r="N3677" s="123">
        <v>1</v>
      </c>
      <c r="O3677">
        <v>2370</v>
      </c>
      <c r="P3677" s="132" t="s">
        <v>77</v>
      </c>
      <c r="Q3677" s="131">
        <v>6600</v>
      </c>
      <c r="R3677" s="131">
        <v>1056</v>
      </c>
      <c r="S3677" s="131"/>
      <c r="T3677" s="155">
        <v>0</v>
      </c>
      <c r="U3677" s="131">
        <v>0</v>
      </c>
      <c r="V3677" s="131">
        <v>7656</v>
      </c>
      <c r="W3677">
        <v>353</v>
      </c>
      <c r="X3677" s="151" t="s">
        <v>2035</v>
      </c>
      <c r="Y3677" s="135" t="s">
        <v>55</v>
      </c>
      <c r="Z3677" s="307">
        <v>254</v>
      </c>
      <c r="AB3677" t="str">
        <f>IF(Table1[[#This Row],[TIPO2]]="costo", VLOOKUP(Table1[[#This Row],[PARTIDA PRESUPUESTAL]],'Cost Report'!G:G,1,0),"Balance")</f>
        <v>3412-133</v>
      </c>
      <c r="AC3677" s="118"/>
      <c r="AD3677" s="159">
        <f>+Table1[[#This Row],[SUBTOTAL]]+Table1[[#This Row],[IVA]]-Table1[[#This Row],[RET IVA]]-Table1[[#This Row],[RET ISR]]-Table1[[#This Row],[TOTAL]]</f>
        <v>0</v>
      </c>
      <c r="AE3677" s="150"/>
      <c r="AF3677" s="151"/>
      <c r="AG3677" s="126"/>
      <c r="AK3677" s="306" t="str">
        <f>IF(ISNUMBER(Table1[[#This Row],[FECHA DE RECIBIDO]]), Table1[[#This Row],[FECHA DE RECIBIDO]]-DATE(2023,8,30), "")</f>
        <v/>
      </c>
    </row>
    <row r="3678" spans="1:37" ht="15" customHeight="1">
      <c r="A3678" s="152" t="s">
        <v>4269</v>
      </c>
      <c r="B3678" s="153">
        <v>1251</v>
      </c>
      <c r="C3678" s="126" t="s">
        <v>963</v>
      </c>
      <c r="D3678">
        <v>2487</v>
      </c>
      <c r="E3678" s="126" t="s">
        <v>1614</v>
      </c>
      <c r="F3678" s="125" t="s">
        <v>1602</v>
      </c>
      <c r="G3678" s="125" t="s">
        <v>1617</v>
      </c>
      <c r="H3678">
        <v>492</v>
      </c>
      <c r="I3678" s="125" t="s">
        <v>1546</v>
      </c>
      <c r="J3678" s="308" t="s">
        <v>214</v>
      </c>
      <c r="K3678" s="127" t="s">
        <v>4212</v>
      </c>
      <c r="L3678" s="153" t="s">
        <v>3306</v>
      </c>
      <c r="M3678">
        <v>957</v>
      </c>
      <c r="N3678" s="123">
        <v>1</v>
      </c>
      <c r="O3678">
        <v>2371</v>
      </c>
      <c r="P3678" s="132" t="s">
        <v>77</v>
      </c>
      <c r="Q3678" s="132">
        <v>13150</v>
      </c>
      <c r="R3678" s="132">
        <v>2104</v>
      </c>
      <c r="S3678" s="132"/>
      <c r="T3678" s="156">
        <v>1402.67</v>
      </c>
      <c r="U3678" s="132">
        <v>1315</v>
      </c>
      <c r="V3678" s="132">
        <v>12536.33</v>
      </c>
      <c r="W3678">
        <v>353</v>
      </c>
      <c r="X3678" s="153" t="s">
        <v>2035</v>
      </c>
      <c r="Y3678" s="124" t="s">
        <v>55</v>
      </c>
      <c r="Z3678" s="308">
        <v>254</v>
      </c>
      <c r="AB3678" t="str">
        <f>IF(Table1[[#This Row],[TIPO2]]="costo", VLOOKUP(Table1[[#This Row],[PARTIDA PRESUPUESTAL]],'Cost Report'!G:G,1,0),"Balance")</f>
        <v>3407-005</v>
      </c>
      <c r="AC3678" s="118"/>
      <c r="AD3678" s="159">
        <f>+Table1[[#This Row],[SUBTOTAL]]+Table1[[#This Row],[IVA]]-Table1[[#This Row],[RET IVA]]-Table1[[#This Row],[RET ISR]]-Table1[[#This Row],[TOTAL]]</f>
        <v>0</v>
      </c>
      <c r="AE3678" s="152"/>
      <c r="AF3678" s="153"/>
      <c r="AG3678" s="126"/>
      <c r="AK3678" s="306" t="str">
        <f>IF(ISNUMBER(Table1[[#This Row],[FECHA DE RECIBIDO]]), Table1[[#This Row],[FECHA DE RECIBIDO]]-DATE(2023,8,30), "")</f>
        <v/>
      </c>
    </row>
    <row r="3679" spans="1:37" ht="15" customHeight="1">
      <c r="A3679" s="150"/>
      <c r="B3679" s="151">
        <v>1252</v>
      </c>
      <c r="C3679" s="126" t="s">
        <v>2786</v>
      </c>
      <c r="D3679">
        <v>2488</v>
      </c>
      <c r="E3679" s="126" t="s">
        <v>1614</v>
      </c>
      <c r="F3679" s="122" t="s">
        <v>1602</v>
      </c>
      <c r="G3679" s="122" t="s">
        <v>1617</v>
      </c>
      <c r="H3679">
        <v>492</v>
      </c>
      <c r="I3679" s="122" t="s">
        <v>1546</v>
      </c>
      <c r="J3679" s="307" t="s">
        <v>214</v>
      </c>
      <c r="K3679" s="127" t="s">
        <v>4212</v>
      </c>
      <c r="L3679" s="151" t="s">
        <v>3306</v>
      </c>
      <c r="M3679">
        <v>957</v>
      </c>
      <c r="N3679" s="123">
        <v>1</v>
      </c>
      <c r="O3679">
        <v>2372</v>
      </c>
      <c r="P3679" s="132" t="s">
        <v>77</v>
      </c>
      <c r="Q3679" s="131">
        <v>6000</v>
      </c>
      <c r="R3679" s="131">
        <v>960</v>
      </c>
      <c r="S3679" s="131"/>
      <c r="T3679" s="155">
        <v>640</v>
      </c>
      <c r="U3679" s="131">
        <v>600</v>
      </c>
      <c r="V3679" s="131">
        <v>5720</v>
      </c>
      <c r="W3679">
        <v>353</v>
      </c>
      <c r="X3679" s="151" t="s">
        <v>2035</v>
      </c>
      <c r="Y3679" s="135" t="s">
        <v>55</v>
      </c>
      <c r="Z3679" s="307">
        <v>254</v>
      </c>
      <c r="AB3679" t="str">
        <f>IF(Table1[[#This Row],[TIPO2]]="costo", VLOOKUP(Table1[[#This Row],[PARTIDA PRESUPUESTAL]],'Cost Report'!G:G,1,0),"Balance")</f>
        <v>3407-011</v>
      </c>
      <c r="AC3679" s="118"/>
      <c r="AD3679" s="159">
        <f>+Table1[[#This Row],[SUBTOTAL]]+Table1[[#This Row],[IVA]]-Table1[[#This Row],[RET IVA]]-Table1[[#This Row],[RET ISR]]-Table1[[#This Row],[TOTAL]]</f>
        <v>0</v>
      </c>
      <c r="AE3679" s="150"/>
      <c r="AF3679" s="151"/>
      <c r="AG3679" s="126"/>
      <c r="AK3679" s="306" t="str">
        <f>IF(ISNUMBER(Table1[[#This Row],[FECHA DE RECIBIDO]]), Table1[[#This Row],[FECHA DE RECIBIDO]]-DATE(2023,8,30), "")</f>
        <v/>
      </c>
    </row>
    <row r="3680" spans="1:37" ht="15" customHeight="1">
      <c r="A3680" s="152" t="s">
        <v>4270</v>
      </c>
      <c r="B3680" s="153">
        <v>1253</v>
      </c>
      <c r="C3680" s="126" t="s">
        <v>3104</v>
      </c>
      <c r="D3680">
        <v>2489</v>
      </c>
      <c r="E3680" s="126" t="s">
        <v>1613</v>
      </c>
      <c r="F3680" s="125" t="s">
        <v>1589</v>
      </c>
      <c r="G3680" s="125" t="s">
        <v>129</v>
      </c>
      <c r="H3680">
        <v>682</v>
      </c>
      <c r="I3680" s="125" t="s">
        <v>1546</v>
      </c>
      <c r="J3680" s="308" t="s">
        <v>214</v>
      </c>
      <c r="K3680" s="127" t="s">
        <v>4212</v>
      </c>
      <c r="L3680" s="153" t="s">
        <v>3306</v>
      </c>
      <c r="M3680">
        <v>958</v>
      </c>
      <c r="N3680" s="123">
        <v>1</v>
      </c>
      <c r="O3680">
        <v>2373</v>
      </c>
      <c r="P3680" s="132" t="s">
        <v>77</v>
      </c>
      <c r="Q3680" s="132">
        <v>28680</v>
      </c>
      <c r="R3680" s="132">
        <v>4588.8</v>
      </c>
      <c r="S3680" s="132"/>
      <c r="T3680" s="156"/>
      <c r="U3680" s="132"/>
      <c r="V3680" s="132">
        <v>33268.800000000003</v>
      </c>
      <c r="W3680">
        <v>353</v>
      </c>
      <c r="X3680" s="153" t="s">
        <v>2035</v>
      </c>
      <c r="Y3680" s="124" t="s">
        <v>55</v>
      </c>
      <c r="Z3680" s="308">
        <v>254</v>
      </c>
      <c r="AB3680" t="str">
        <f>IF(Table1[[#This Row],[TIPO2]]="costo", VLOOKUP(Table1[[#This Row],[PARTIDA PRESUPUESTAL]],'Cost Report'!G:G,1,0),"Balance")</f>
        <v>7050-004</v>
      </c>
      <c r="AC3680" s="118"/>
      <c r="AD3680" s="159">
        <f>+Table1[[#This Row],[SUBTOTAL]]+Table1[[#This Row],[IVA]]-Table1[[#This Row],[RET IVA]]-Table1[[#This Row],[RET ISR]]-Table1[[#This Row],[TOTAL]]</f>
        <v>0</v>
      </c>
      <c r="AE3680" s="152"/>
      <c r="AF3680" s="153"/>
      <c r="AG3680" s="126"/>
      <c r="AK3680" s="306" t="str">
        <f>IF(ISNUMBER(Table1[[#This Row],[FECHA DE RECIBIDO]]), Table1[[#This Row],[FECHA DE RECIBIDO]]-DATE(2023,8,30), "")</f>
        <v/>
      </c>
    </row>
    <row r="3681" spans="1:37" ht="15" customHeight="1">
      <c r="A3681" s="150" t="s">
        <v>4271</v>
      </c>
      <c r="B3681" s="151">
        <v>1254</v>
      </c>
      <c r="C3681" s="126" t="s">
        <v>2956</v>
      </c>
      <c r="D3681">
        <v>2490</v>
      </c>
      <c r="E3681" s="126" t="s">
        <v>1985</v>
      </c>
      <c r="F3681" s="122" t="s">
        <v>1607</v>
      </c>
      <c r="G3681" s="122" t="s">
        <v>134</v>
      </c>
      <c r="H3681">
        <v>47</v>
      </c>
      <c r="I3681" s="122" t="s">
        <v>1546</v>
      </c>
      <c r="J3681" s="307" t="s">
        <v>214</v>
      </c>
      <c r="K3681" s="127" t="s">
        <v>4212</v>
      </c>
      <c r="L3681" s="151" t="s">
        <v>3306</v>
      </c>
      <c r="M3681">
        <v>448</v>
      </c>
      <c r="N3681" s="123">
        <v>1</v>
      </c>
      <c r="O3681">
        <v>2374</v>
      </c>
      <c r="P3681" s="132" t="s">
        <v>77</v>
      </c>
      <c r="Q3681" s="131">
        <v>203791.06</v>
      </c>
      <c r="R3681" s="131">
        <v>32606.57</v>
      </c>
      <c r="S3681" s="131"/>
      <c r="T3681" s="155"/>
      <c r="U3681" s="131"/>
      <c r="V3681" s="131">
        <v>236397.63</v>
      </c>
      <c r="W3681">
        <v>353</v>
      </c>
      <c r="X3681" s="151" t="s">
        <v>2035</v>
      </c>
      <c r="Y3681" s="135" t="s">
        <v>55</v>
      </c>
      <c r="Z3681" s="307">
        <v>254</v>
      </c>
      <c r="AB3681" t="str">
        <f>IF(Table1[[#This Row],[TIPO2]]="costo", VLOOKUP(Table1[[#This Row],[PARTIDA PRESUPUESTAL]],'Cost Report'!G:G,1,0),"Balance")</f>
        <v>3902-032</v>
      </c>
      <c r="AC3681" s="118"/>
      <c r="AD3681" s="159">
        <f>+Table1[[#This Row],[SUBTOTAL]]+Table1[[#This Row],[IVA]]-Table1[[#This Row],[RET IVA]]-Table1[[#This Row],[RET ISR]]-Table1[[#This Row],[TOTAL]]</f>
        <v>0</v>
      </c>
      <c r="AE3681" s="150"/>
      <c r="AF3681" s="151"/>
      <c r="AG3681" s="126"/>
      <c r="AK3681" s="306" t="str">
        <f>IF(ISNUMBER(Table1[[#This Row],[FECHA DE RECIBIDO]]), Table1[[#This Row],[FECHA DE RECIBIDO]]-DATE(2023,8,30), "")</f>
        <v/>
      </c>
    </row>
    <row r="3682" spans="1:37" ht="15" customHeight="1">
      <c r="A3682" s="152" t="s">
        <v>4271</v>
      </c>
      <c r="B3682" s="153">
        <v>1254</v>
      </c>
      <c r="C3682" s="126" t="s">
        <v>2960</v>
      </c>
      <c r="D3682">
        <v>2490</v>
      </c>
      <c r="E3682" s="126" t="s">
        <v>1985</v>
      </c>
      <c r="F3682" s="125" t="s">
        <v>1607</v>
      </c>
      <c r="G3682" s="125" t="s">
        <v>134</v>
      </c>
      <c r="H3682">
        <v>47</v>
      </c>
      <c r="I3682" s="125" t="s">
        <v>1546</v>
      </c>
      <c r="J3682" s="308" t="s">
        <v>214</v>
      </c>
      <c r="K3682" s="127" t="s">
        <v>4212</v>
      </c>
      <c r="L3682" s="153" t="s">
        <v>3306</v>
      </c>
      <c r="M3682">
        <v>448</v>
      </c>
      <c r="N3682" s="123">
        <v>1</v>
      </c>
      <c r="O3682">
        <v>2374</v>
      </c>
      <c r="P3682" s="132" t="s">
        <v>77</v>
      </c>
      <c r="Q3682" s="132">
        <v>19020.7</v>
      </c>
      <c r="R3682" s="132">
        <v>3043.31</v>
      </c>
      <c r="S3682" s="132"/>
      <c r="T3682" s="156"/>
      <c r="U3682" s="132"/>
      <c r="V3682" s="132">
        <v>22064.010000000002</v>
      </c>
      <c r="W3682">
        <v>353</v>
      </c>
      <c r="X3682" s="153" t="s">
        <v>2035</v>
      </c>
      <c r="Y3682" s="124" t="s">
        <v>55</v>
      </c>
      <c r="Z3682" s="308">
        <v>254</v>
      </c>
      <c r="AB3682" t="str">
        <f>IF(Table1[[#This Row],[TIPO2]]="costo", VLOOKUP(Table1[[#This Row],[PARTIDA PRESUPUESTAL]],'Cost Report'!G:G,1,0),"Balance")</f>
        <v>3902-038</v>
      </c>
      <c r="AC3682" s="118"/>
      <c r="AD3682" s="159">
        <f>+Table1[[#This Row],[SUBTOTAL]]+Table1[[#This Row],[IVA]]-Table1[[#This Row],[RET IVA]]-Table1[[#This Row],[RET ISR]]-Table1[[#This Row],[TOTAL]]</f>
        <v>0</v>
      </c>
      <c r="AE3682" s="152"/>
      <c r="AF3682" s="153"/>
      <c r="AG3682" s="126"/>
      <c r="AK3682" s="306" t="str">
        <f>IF(ISNUMBER(Table1[[#This Row],[FECHA DE RECIBIDO]]), Table1[[#This Row],[FECHA DE RECIBIDO]]-DATE(2023,8,30), "")</f>
        <v/>
      </c>
    </row>
    <row r="3683" spans="1:37" ht="15" customHeight="1">
      <c r="A3683" s="150" t="s">
        <v>4271</v>
      </c>
      <c r="B3683" s="151">
        <v>1254</v>
      </c>
      <c r="C3683" s="126" t="s">
        <v>1417</v>
      </c>
      <c r="D3683">
        <v>2490</v>
      </c>
      <c r="E3683" s="126" t="s">
        <v>1985</v>
      </c>
      <c r="F3683" s="122" t="s">
        <v>1607</v>
      </c>
      <c r="G3683" s="122" t="s">
        <v>134</v>
      </c>
      <c r="H3683">
        <v>47</v>
      </c>
      <c r="I3683" s="122" t="s">
        <v>1546</v>
      </c>
      <c r="J3683" s="307" t="s">
        <v>214</v>
      </c>
      <c r="K3683" s="127" t="s">
        <v>4212</v>
      </c>
      <c r="L3683" s="151" t="s">
        <v>3306</v>
      </c>
      <c r="M3683">
        <v>448</v>
      </c>
      <c r="N3683" s="123">
        <v>1</v>
      </c>
      <c r="O3683">
        <v>2374</v>
      </c>
      <c r="P3683" s="132" t="s">
        <v>77</v>
      </c>
      <c r="Q3683" s="131">
        <v>6684.36</v>
      </c>
      <c r="R3683" s="131"/>
      <c r="S3683" s="131"/>
      <c r="T3683" s="155"/>
      <c r="U3683" s="131"/>
      <c r="V3683" s="131">
        <v>6684.36</v>
      </c>
      <c r="W3683">
        <v>353</v>
      </c>
      <c r="X3683" s="151" t="s">
        <v>2035</v>
      </c>
      <c r="Y3683" s="135" t="s">
        <v>55</v>
      </c>
      <c r="Z3683" s="307">
        <v>254</v>
      </c>
      <c r="AB3683" t="str">
        <f>IF(Table1[[#This Row],[TIPO2]]="costo", VLOOKUP(Table1[[#This Row],[PARTIDA PRESUPUESTAL]],'Cost Report'!G:G,1,0),"Balance")</f>
        <v>3999-001</v>
      </c>
      <c r="AC3683" s="118"/>
      <c r="AD3683" s="159">
        <f>+Table1[[#This Row],[SUBTOTAL]]+Table1[[#This Row],[IVA]]-Table1[[#This Row],[RET IVA]]-Table1[[#This Row],[RET ISR]]-Table1[[#This Row],[TOTAL]]</f>
        <v>0</v>
      </c>
      <c r="AE3683" s="150"/>
      <c r="AF3683" s="151"/>
      <c r="AG3683" s="126"/>
      <c r="AK3683" s="306" t="str">
        <f>IF(ISNUMBER(Table1[[#This Row],[FECHA DE RECIBIDO]]), Table1[[#This Row],[FECHA DE RECIBIDO]]-DATE(2023,8,30), "")</f>
        <v/>
      </c>
    </row>
    <row r="3684" spans="1:37" ht="15" customHeight="1">
      <c r="A3684" s="152" t="s">
        <v>4272</v>
      </c>
      <c r="B3684" s="153">
        <v>1255</v>
      </c>
      <c r="C3684" s="126" t="s">
        <v>2864</v>
      </c>
      <c r="D3684">
        <v>2491</v>
      </c>
      <c r="E3684" s="126" t="s">
        <v>2001</v>
      </c>
      <c r="F3684" s="125" t="s">
        <v>1607</v>
      </c>
      <c r="G3684" s="125" t="s">
        <v>134</v>
      </c>
      <c r="H3684">
        <v>23</v>
      </c>
      <c r="I3684" s="125" t="s">
        <v>1546</v>
      </c>
      <c r="J3684" s="308" t="s">
        <v>214</v>
      </c>
      <c r="K3684" s="127" t="s">
        <v>4212</v>
      </c>
      <c r="L3684" s="153" t="s">
        <v>3306</v>
      </c>
      <c r="M3684">
        <v>343</v>
      </c>
      <c r="N3684" s="123">
        <v>1</v>
      </c>
      <c r="O3684">
        <v>2375</v>
      </c>
      <c r="P3684" s="132" t="s">
        <v>77</v>
      </c>
      <c r="Q3684" s="132">
        <v>1800</v>
      </c>
      <c r="R3684" s="132">
        <v>288</v>
      </c>
      <c r="S3684" s="132"/>
      <c r="T3684" s="156"/>
      <c r="U3684" s="132"/>
      <c r="V3684" s="132">
        <v>2088</v>
      </c>
      <c r="W3684">
        <v>353</v>
      </c>
      <c r="X3684" s="153" t="s">
        <v>2035</v>
      </c>
      <c r="Y3684" s="124" t="s">
        <v>55</v>
      </c>
      <c r="Z3684" s="308">
        <v>254</v>
      </c>
      <c r="AB3684" t="str">
        <f>IF(Table1[[#This Row],[TIPO2]]="costo", VLOOKUP(Table1[[#This Row],[PARTIDA PRESUPUESTAL]],'Cost Report'!G:G,1,0),"Balance")</f>
        <v>3632-003</v>
      </c>
      <c r="AC3684" s="118"/>
      <c r="AD3684" s="159">
        <f>+Table1[[#This Row],[SUBTOTAL]]+Table1[[#This Row],[IVA]]-Table1[[#This Row],[RET IVA]]-Table1[[#This Row],[RET ISR]]-Table1[[#This Row],[TOTAL]]</f>
        <v>0</v>
      </c>
      <c r="AE3684" s="152"/>
      <c r="AF3684" s="153"/>
      <c r="AG3684" s="126"/>
      <c r="AK3684" s="306" t="str">
        <f>IF(ISNUMBER(Table1[[#This Row],[FECHA DE RECIBIDO]]), Table1[[#This Row],[FECHA DE RECIBIDO]]-DATE(2023,8,30), "")</f>
        <v/>
      </c>
    </row>
    <row r="3685" spans="1:37" ht="15" customHeight="1">
      <c r="A3685" s="150"/>
      <c r="B3685" s="151">
        <v>1256</v>
      </c>
      <c r="C3685" s="126" t="s">
        <v>2864</v>
      </c>
      <c r="D3685">
        <v>2492</v>
      </c>
      <c r="E3685" s="126" t="s">
        <v>2001</v>
      </c>
      <c r="F3685" s="122" t="s">
        <v>1607</v>
      </c>
      <c r="G3685" s="122" t="s">
        <v>134</v>
      </c>
      <c r="H3685">
        <v>23</v>
      </c>
      <c r="I3685" s="122" t="s">
        <v>1546</v>
      </c>
      <c r="J3685" s="307" t="s">
        <v>214</v>
      </c>
      <c r="K3685" s="127" t="s">
        <v>4212</v>
      </c>
      <c r="L3685" s="151" t="s">
        <v>3306</v>
      </c>
      <c r="M3685">
        <v>343</v>
      </c>
      <c r="N3685" s="123">
        <v>1</v>
      </c>
      <c r="O3685">
        <v>2376</v>
      </c>
      <c r="P3685" s="132" t="s">
        <v>77</v>
      </c>
      <c r="Q3685" s="131">
        <v>5972.36</v>
      </c>
      <c r="R3685" s="131">
        <v>955.57759999999996</v>
      </c>
      <c r="S3685" s="131"/>
      <c r="T3685" s="155"/>
      <c r="U3685" s="131"/>
      <c r="V3685" s="131">
        <v>6927.9375999999993</v>
      </c>
      <c r="W3685">
        <v>353</v>
      </c>
      <c r="X3685" s="151" t="s">
        <v>2035</v>
      </c>
      <c r="Y3685" s="135" t="s">
        <v>55</v>
      </c>
      <c r="Z3685" s="307">
        <v>254</v>
      </c>
      <c r="AB3685" t="str">
        <f>IF(Table1[[#This Row],[TIPO2]]="costo", VLOOKUP(Table1[[#This Row],[PARTIDA PRESUPUESTAL]],'Cost Report'!G:G,1,0),"Balance")</f>
        <v>3632-003</v>
      </c>
      <c r="AC3685" s="118"/>
      <c r="AD3685" s="159">
        <f>+Table1[[#This Row],[SUBTOTAL]]+Table1[[#This Row],[IVA]]-Table1[[#This Row],[RET IVA]]-Table1[[#This Row],[RET ISR]]-Table1[[#This Row],[TOTAL]]</f>
        <v>0</v>
      </c>
      <c r="AE3685" s="150"/>
      <c r="AF3685" s="151"/>
      <c r="AG3685" s="126"/>
      <c r="AK3685" s="306" t="str">
        <f>IF(ISNUMBER(Table1[[#This Row],[FECHA DE RECIBIDO]]), Table1[[#This Row],[FECHA DE RECIBIDO]]-DATE(2023,8,30), "")</f>
        <v/>
      </c>
    </row>
    <row r="3686" spans="1:37" ht="15" customHeight="1">
      <c r="A3686" s="152"/>
      <c r="B3686" s="153">
        <v>1257</v>
      </c>
      <c r="C3686" s="126" t="s">
        <v>2864</v>
      </c>
      <c r="D3686">
        <v>2493</v>
      </c>
      <c r="E3686" s="126" t="s">
        <v>2001</v>
      </c>
      <c r="F3686" s="125" t="s">
        <v>1607</v>
      </c>
      <c r="G3686" s="125" t="s">
        <v>134</v>
      </c>
      <c r="H3686">
        <v>23</v>
      </c>
      <c r="I3686" s="125" t="s">
        <v>1546</v>
      </c>
      <c r="J3686" s="308" t="s">
        <v>214</v>
      </c>
      <c r="K3686" s="127" t="s">
        <v>4212</v>
      </c>
      <c r="L3686" s="153" t="s">
        <v>3306</v>
      </c>
      <c r="M3686">
        <v>343</v>
      </c>
      <c r="N3686" s="123">
        <v>1</v>
      </c>
      <c r="O3686">
        <v>2377</v>
      </c>
      <c r="P3686" s="132" t="s">
        <v>77</v>
      </c>
      <c r="Q3686" s="132">
        <v>32561</v>
      </c>
      <c r="R3686" s="132">
        <v>5209.76</v>
      </c>
      <c r="S3686" s="132"/>
      <c r="T3686" s="156"/>
      <c r="U3686" s="132"/>
      <c r="V3686" s="132">
        <v>37770.76</v>
      </c>
      <c r="W3686">
        <v>353</v>
      </c>
      <c r="X3686" s="153" t="s">
        <v>2035</v>
      </c>
      <c r="Y3686" s="124" t="s">
        <v>55</v>
      </c>
      <c r="Z3686" s="308">
        <v>254</v>
      </c>
      <c r="AB3686" t="str">
        <f>IF(Table1[[#This Row],[TIPO2]]="costo", VLOOKUP(Table1[[#This Row],[PARTIDA PRESUPUESTAL]],'Cost Report'!G:G,1,0),"Balance")</f>
        <v>3632-003</v>
      </c>
      <c r="AC3686" s="118"/>
      <c r="AD3686" s="159">
        <f>+Table1[[#This Row],[SUBTOTAL]]+Table1[[#This Row],[IVA]]-Table1[[#This Row],[RET IVA]]-Table1[[#This Row],[RET ISR]]-Table1[[#This Row],[TOTAL]]</f>
        <v>0</v>
      </c>
      <c r="AE3686" s="152"/>
      <c r="AF3686" s="153"/>
      <c r="AG3686" s="126"/>
      <c r="AK3686" s="306" t="str">
        <f>IF(ISNUMBER(Table1[[#This Row],[FECHA DE RECIBIDO]]), Table1[[#This Row],[FECHA DE RECIBIDO]]-DATE(2023,8,30), "")</f>
        <v/>
      </c>
    </row>
    <row r="3687" spans="1:37" ht="15" customHeight="1">
      <c r="A3687" s="150"/>
      <c r="B3687" s="151">
        <v>1257</v>
      </c>
      <c r="C3687" s="126" t="s">
        <v>2836</v>
      </c>
      <c r="D3687">
        <v>2493</v>
      </c>
      <c r="E3687" s="126" t="s">
        <v>2001</v>
      </c>
      <c r="F3687" s="122" t="s">
        <v>1607</v>
      </c>
      <c r="G3687" s="122" t="s">
        <v>134</v>
      </c>
      <c r="H3687">
        <v>23</v>
      </c>
      <c r="I3687" s="122" t="s">
        <v>1546</v>
      </c>
      <c r="J3687" s="307" t="s">
        <v>214</v>
      </c>
      <c r="K3687" s="127" t="s">
        <v>4212</v>
      </c>
      <c r="L3687" s="151" t="s">
        <v>3306</v>
      </c>
      <c r="M3687">
        <v>343</v>
      </c>
      <c r="N3687" s="123">
        <v>1</v>
      </c>
      <c r="O3687">
        <v>2377</v>
      </c>
      <c r="P3687" s="132" t="s">
        <v>77</v>
      </c>
      <c r="Q3687" s="131">
        <v>1972.32</v>
      </c>
      <c r="R3687" s="131">
        <v>315.57119999999998</v>
      </c>
      <c r="S3687" s="131"/>
      <c r="T3687" s="155"/>
      <c r="U3687" s="131"/>
      <c r="V3687" s="131">
        <v>2287.8912</v>
      </c>
      <c r="W3687">
        <v>353</v>
      </c>
      <c r="X3687" s="151" t="s">
        <v>2035</v>
      </c>
      <c r="Y3687" s="135" t="s">
        <v>55</v>
      </c>
      <c r="Z3687" s="307">
        <v>254</v>
      </c>
      <c r="AB3687" t="str">
        <f>IF(Table1[[#This Row],[TIPO2]]="costo", VLOOKUP(Table1[[#This Row],[PARTIDA PRESUPUESTAL]],'Cost Report'!G:G,1,0),"Balance")</f>
        <v>3442-025</v>
      </c>
      <c r="AC3687" s="118"/>
      <c r="AD3687" s="159">
        <f>+Table1[[#This Row],[SUBTOTAL]]+Table1[[#This Row],[IVA]]-Table1[[#This Row],[RET IVA]]-Table1[[#This Row],[RET ISR]]-Table1[[#This Row],[TOTAL]]</f>
        <v>0</v>
      </c>
      <c r="AE3687" s="150"/>
      <c r="AF3687" s="151"/>
      <c r="AG3687" s="126"/>
      <c r="AK3687" s="306" t="str">
        <f>IF(ISNUMBER(Table1[[#This Row],[FECHA DE RECIBIDO]]), Table1[[#This Row],[FECHA DE RECIBIDO]]-DATE(2023,8,30), "")</f>
        <v/>
      </c>
    </row>
    <row r="3688" spans="1:37" ht="15" customHeight="1">
      <c r="A3688" s="152"/>
      <c r="B3688" s="153">
        <v>1258</v>
      </c>
      <c r="C3688" s="126" t="s">
        <v>2836</v>
      </c>
      <c r="D3688">
        <v>2494</v>
      </c>
      <c r="E3688" s="126" t="s">
        <v>2001</v>
      </c>
      <c r="F3688" s="125" t="s">
        <v>1607</v>
      </c>
      <c r="G3688" s="125" t="s">
        <v>134</v>
      </c>
      <c r="H3688">
        <v>23</v>
      </c>
      <c r="I3688" s="125" t="s">
        <v>1546</v>
      </c>
      <c r="J3688" s="308" t="s">
        <v>214</v>
      </c>
      <c r="K3688" s="127" t="s">
        <v>4212</v>
      </c>
      <c r="L3688" s="153" t="s">
        <v>3306</v>
      </c>
      <c r="M3688">
        <v>343</v>
      </c>
      <c r="N3688" s="123">
        <v>1</v>
      </c>
      <c r="O3688">
        <v>2378</v>
      </c>
      <c r="P3688" s="132" t="s">
        <v>77</v>
      </c>
      <c r="Q3688" s="132">
        <v>16987.68</v>
      </c>
      <c r="R3688" s="132">
        <v>2718.0288</v>
      </c>
      <c r="S3688" s="132"/>
      <c r="T3688" s="156"/>
      <c r="U3688" s="132"/>
      <c r="V3688" s="132">
        <v>19705.7088</v>
      </c>
      <c r="W3688">
        <v>353</v>
      </c>
      <c r="X3688" s="153" t="s">
        <v>2035</v>
      </c>
      <c r="Y3688" s="124" t="s">
        <v>55</v>
      </c>
      <c r="Z3688" s="308">
        <v>254</v>
      </c>
      <c r="AB3688" t="str">
        <f>IF(Table1[[#This Row],[TIPO2]]="costo", VLOOKUP(Table1[[#This Row],[PARTIDA PRESUPUESTAL]],'Cost Report'!G:G,1,0),"Balance")</f>
        <v>3442-025</v>
      </c>
      <c r="AC3688" s="118"/>
      <c r="AD3688" s="159">
        <f>+Table1[[#This Row],[SUBTOTAL]]+Table1[[#This Row],[IVA]]-Table1[[#This Row],[RET IVA]]-Table1[[#This Row],[RET ISR]]-Table1[[#This Row],[TOTAL]]</f>
        <v>0</v>
      </c>
      <c r="AE3688" s="152"/>
      <c r="AF3688" s="153"/>
      <c r="AG3688" s="126"/>
      <c r="AK3688" s="306" t="str">
        <f>IF(ISNUMBER(Table1[[#This Row],[FECHA DE RECIBIDO]]), Table1[[#This Row],[FECHA DE RECIBIDO]]-DATE(2023,8,30), "")</f>
        <v/>
      </c>
    </row>
    <row r="3689" spans="1:37" ht="15" customHeight="1">
      <c r="A3689" s="150"/>
      <c r="B3689" s="151">
        <v>1258</v>
      </c>
      <c r="C3689" s="126" t="s">
        <v>2864</v>
      </c>
      <c r="D3689">
        <v>2494</v>
      </c>
      <c r="E3689" s="126" t="s">
        <v>2001</v>
      </c>
      <c r="F3689" s="122" t="s">
        <v>1607</v>
      </c>
      <c r="G3689" s="122" t="s">
        <v>134</v>
      </c>
      <c r="H3689">
        <v>23</v>
      </c>
      <c r="I3689" s="122" t="s">
        <v>1546</v>
      </c>
      <c r="J3689" s="307" t="s">
        <v>214</v>
      </c>
      <c r="K3689" s="127" t="s">
        <v>4212</v>
      </c>
      <c r="L3689" s="151" t="s">
        <v>3306</v>
      </c>
      <c r="M3689">
        <v>343</v>
      </c>
      <c r="N3689" s="123">
        <v>1</v>
      </c>
      <c r="O3689">
        <v>2378</v>
      </c>
      <c r="P3689" s="132" t="s">
        <v>77</v>
      </c>
      <c r="Q3689" s="131">
        <v>172.32</v>
      </c>
      <c r="R3689" s="131">
        <v>27.571200000000001</v>
      </c>
      <c r="S3689" s="131"/>
      <c r="T3689" s="155"/>
      <c r="U3689" s="131"/>
      <c r="V3689" s="131">
        <v>199.8912</v>
      </c>
      <c r="W3689">
        <v>353</v>
      </c>
      <c r="X3689" s="151" t="s">
        <v>2035</v>
      </c>
      <c r="Y3689" s="135" t="s">
        <v>55</v>
      </c>
      <c r="Z3689" s="307">
        <v>254</v>
      </c>
      <c r="AB3689" t="str">
        <f>IF(Table1[[#This Row],[TIPO2]]="costo", VLOOKUP(Table1[[#This Row],[PARTIDA PRESUPUESTAL]],'Cost Report'!G:G,1,0),"Balance")</f>
        <v>3632-003</v>
      </c>
      <c r="AC3689" s="118"/>
      <c r="AD3689" s="159">
        <f>+Table1[[#This Row],[SUBTOTAL]]+Table1[[#This Row],[IVA]]-Table1[[#This Row],[RET IVA]]-Table1[[#This Row],[RET ISR]]-Table1[[#This Row],[TOTAL]]</f>
        <v>0</v>
      </c>
      <c r="AE3689" s="150"/>
      <c r="AF3689" s="151"/>
      <c r="AG3689" s="126"/>
      <c r="AK3689" s="306" t="str">
        <f>IF(ISNUMBER(Table1[[#This Row],[FECHA DE RECIBIDO]]), Table1[[#This Row],[FECHA DE RECIBIDO]]-DATE(2023,8,30), "")</f>
        <v/>
      </c>
    </row>
    <row r="3690" spans="1:37" ht="15" customHeight="1">
      <c r="A3690" s="152"/>
      <c r="B3690" s="153">
        <v>1259</v>
      </c>
      <c r="C3690" s="126" t="s">
        <v>2991</v>
      </c>
      <c r="D3690">
        <v>2495</v>
      </c>
      <c r="E3690" s="126" t="s">
        <v>2001</v>
      </c>
      <c r="F3690" s="125" t="s">
        <v>1607</v>
      </c>
      <c r="G3690" s="125" t="s">
        <v>134</v>
      </c>
      <c r="H3690">
        <v>23</v>
      </c>
      <c r="I3690" s="125" t="s">
        <v>1546</v>
      </c>
      <c r="J3690" s="308" t="s">
        <v>214</v>
      </c>
      <c r="K3690" s="127" t="s">
        <v>4212</v>
      </c>
      <c r="L3690" s="153" t="s">
        <v>3306</v>
      </c>
      <c r="M3690">
        <v>343</v>
      </c>
      <c r="N3690" s="123">
        <v>1</v>
      </c>
      <c r="O3690">
        <v>2379</v>
      </c>
      <c r="P3690" s="132" t="s">
        <v>77</v>
      </c>
      <c r="Q3690" s="132">
        <v>1269.52</v>
      </c>
      <c r="R3690" s="132">
        <v>203.1232</v>
      </c>
      <c r="S3690" s="132"/>
      <c r="T3690" s="156"/>
      <c r="U3690" s="132"/>
      <c r="V3690" s="132">
        <v>1472.6432</v>
      </c>
      <c r="W3690">
        <v>353</v>
      </c>
      <c r="X3690" s="153" t="s">
        <v>2035</v>
      </c>
      <c r="Y3690" s="124" t="s">
        <v>55</v>
      </c>
      <c r="Z3690" s="308">
        <v>254</v>
      </c>
      <c r="AB3690" t="str">
        <f>IF(Table1[[#This Row],[TIPO2]]="costo", VLOOKUP(Table1[[#This Row],[PARTIDA PRESUPUESTAL]],'Cost Report'!G:G,1,0),"Balance")</f>
        <v>3936-003</v>
      </c>
      <c r="AC3690" s="118"/>
      <c r="AD3690" s="159">
        <f>+Table1[[#This Row],[SUBTOTAL]]+Table1[[#This Row],[IVA]]-Table1[[#This Row],[RET IVA]]-Table1[[#This Row],[RET ISR]]-Table1[[#This Row],[TOTAL]]</f>
        <v>0</v>
      </c>
      <c r="AE3690" s="152"/>
      <c r="AF3690" s="153"/>
      <c r="AG3690" s="126"/>
      <c r="AK3690" s="306" t="str">
        <f>IF(ISNUMBER(Table1[[#This Row],[FECHA DE RECIBIDO]]), Table1[[#This Row],[FECHA DE RECIBIDO]]-DATE(2023,8,30), "")</f>
        <v/>
      </c>
    </row>
    <row r="3691" spans="1:37" ht="15" customHeight="1">
      <c r="A3691" s="150"/>
      <c r="B3691" s="151">
        <v>1260</v>
      </c>
      <c r="C3691" s="126" t="s">
        <v>2864</v>
      </c>
      <c r="D3691">
        <v>2496</v>
      </c>
      <c r="E3691" s="126" t="s">
        <v>2001</v>
      </c>
      <c r="F3691" s="122" t="s">
        <v>1607</v>
      </c>
      <c r="G3691" s="122" t="s">
        <v>134</v>
      </c>
      <c r="H3691">
        <v>23</v>
      </c>
      <c r="I3691" s="122" t="s">
        <v>1546</v>
      </c>
      <c r="J3691" s="307" t="s">
        <v>214</v>
      </c>
      <c r="K3691" s="127" t="s">
        <v>4212</v>
      </c>
      <c r="L3691" s="151" t="s">
        <v>3306</v>
      </c>
      <c r="M3691">
        <v>343</v>
      </c>
      <c r="N3691" s="123">
        <v>1</v>
      </c>
      <c r="O3691">
        <v>2380</v>
      </c>
      <c r="P3691" s="132" t="s">
        <v>77</v>
      </c>
      <c r="Q3691" s="131">
        <v>6259.02</v>
      </c>
      <c r="R3691" s="131">
        <v>1001.4432</v>
      </c>
      <c r="S3691" s="131"/>
      <c r="T3691" s="155"/>
      <c r="U3691" s="131"/>
      <c r="V3691" s="131">
        <v>7260.4632000000001</v>
      </c>
      <c r="W3691">
        <v>353</v>
      </c>
      <c r="X3691" s="151" t="s">
        <v>2035</v>
      </c>
      <c r="Y3691" s="135" t="s">
        <v>55</v>
      </c>
      <c r="Z3691" s="307">
        <v>254</v>
      </c>
      <c r="AB3691" t="str">
        <f>IF(Table1[[#This Row],[TIPO2]]="costo", VLOOKUP(Table1[[#This Row],[PARTIDA PRESUPUESTAL]],'Cost Report'!G:G,1,0),"Balance")</f>
        <v>3632-003</v>
      </c>
      <c r="AC3691" s="118"/>
      <c r="AD3691" s="159">
        <f>+Table1[[#This Row],[SUBTOTAL]]+Table1[[#This Row],[IVA]]-Table1[[#This Row],[RET IVA]]-Table1[[#This Row],[RET ISR]]-Table1[[#This Row],[TOTAL]]</f>
        <v>0</v>
      </c>
      <c r="AE3691" s="150"/>
      <c r="AF3691" s="151"/>
      <c r="AG3691" s="126"/>
      <c r="AK3691" s="306" t="str">
        <f>IF(ISNUMBER(Table1[[#This Row],[FECHA DE RECIBIDO]]), Table1[[#This Row],[FECHA DE RECIBIDO]]-DATE(2023,8,30), "")</f>
        <v/>
      </c>
    </row>
    <row r="3692" spans="1:37" ht="15" customHeight="1">
      <c r="A3692" s="152"/>
      <c r="B3692" s="153">
        <v>1260</v>
      </c>
      <c r="C3692" s="126" t="s">
        <v>2870</v>
      </c>
      <c r="D3692">
        <v>2496</v>
      </c>
      <c r="E3692" s="126" t="s">
        <v>2001</v>
      </c>
      <c r="F3692" s="125" t="s">
        <v>1607</v>
      </c>
      <c r="G3692" s="125" t="s">
        <v>134</v>
      </c>
      <c r="H3692">
        <v>23</v>
      </c>
      <c r="I3692" s="125" t="s">
        <v>1546</v>
      </c>
      <c r="J3692" s="308" t="s">
        <v>214</v>
      </c>
      <c r="K3692" s="127" t="s">
        <v>4212</v>
      </c>
      <c r="L3692" s="153" t="s">
        <v>3306</v>
      </c>
      <c r="M3692">
        <v>343</v>
      </c>
      <c r="N3692" s="123">
        <v>1</v>
      </c>
      <c r="O3692">
        <v>2380</v>
      </c>
      <c r="P3692" s="132" t="s">
        <v>77</v>
      </c>
      <c r="Q3692" s="132">
        <v>6003.1</v>
      </c>
      <c r="R3692" s="132">
        <v>960.49600000000009</v>
      </c>
      <c r="S3692" s="132"/>
      <c r="T3692" s="156"/>
      <c r="U3692" s="132"/>
      <c r="V3692" s="132">
        <v>6963.5960000000005</v>
      </c>
      <c r="W3692">
        <v>353</v>
      </c>
      <c r="X3692" s="153" t="s">
        <v>2035</v>
      </c>
      <c r="Y3692" s="124" t="s">
        <v>55</v>
      </c>
      <c r="Z3692" s="308">
        <v>254</v>
      </c>
      <c r="AB3692" t="str">
        <f>IF(Table1[[#This Row],[TIPO2]]="costo", VLOOKUP(Table1[[#This Row],[PARTIDA PRESUPUESTAL]],'Cost Report'!G:G,1,0),"Balance")</f>
        <v>3632-013</v>
      </c>
      <c r="AC3692" s="118"/>
      <c r="AD3692" s="159">
        <f>+Table1[[#This Row],[SUBTOTAL]]+Table1[[#This Row],[IVA]]-Table1[[#This Row],[RET IVA]]-Table1[[#This Row],[RET ISR]]-Table1[[#This Row],[TOTAL]]</f>
        <v>0</v>
      </c>
      <c r="AE3692" s="152"/>
      <c r="AF3692" s="153"/>
      <c r="AG3692" s="126"/>
      <c r="AK3692" s="306" t="str">
        <f>IF(ISNUMBER(Table1[[#This Row],[FECHA DE RECIBIDO]]), Table1[[#This Row],[FECHA DE RECIBIDO]]-DATE(2023,8,30), "")</f>
        <v/>
      </c>
    </row>
    <row r="3693" spans="1:37" ht="15" customHeight="1">
      <c r="A3693" s="150"/>
      <c r="B3693" s="151">
        <v>1260</v>
      </c>
      <c r="C3693" s="126" t="s">
        <v>2867</v>
      </c>
      <c r="D3693">
        <v>2496</v>
      </c>
      <c r="E3693" s="126" t="s">
        <v>2001</v>
      </c>
      <c r="F3693" s="122" t="s">
        <v>1607</v>
      </c>
      <c r="G3693" s="122" t="s">
        <v>134</v>
      </c>
      <c r="H3693">
        <v>23</v>
      </c>
      <c r="I3693" s="122" t="s">
        <v>1546</v>
      </c>
      <c r="J3693" s="307" t="s">
        <v>214</v>
      </c>
      <c r="K3693" s="127" t="s">
        <v>4212</v>
      </c>
      <c r="L3693" s="151" t="s">
        <v>3306</v>
      </c>
      <c r="M3693">
        <v>343</v>
      </c>
      <c r="N3693" s="123">
        <v>1</v>
      </c>
      <c r="O3693">
        <v>2380</v>
      </c>
      <c r="P3693" s="132" t="s">
        <v>77</v>
      </c>
      <c r="Q3693" s="131">
        <v>1538.52</v>
      </c>
      <c r="R3693" s="131">
        <v>246.16319999999999</v>
      </c>
      <c r="S3693" s="131"/>
      <c r="T3693" s="155"/>
      <c r="U3693" s="131"/>
      <c r="V3693" s="131">
        <v>1784.6831999999999</v>
      </c>
      <c r="W3693">
        <v>353</v>
      </c>
      <c r="X3693" s="151" t="s">
        <v>2035</v>
      </c>
      <c r="Y3693" s="135" t="s">
        <v>55</v>
      </c>
      <c r="Z3693" s="307">
        <v>254</v>
      </c>
      <c r="AB3693" t="str">
        <f>IF(Table1[[#This Row],[TIPO2]]="costo", VLOOKUP(Table1[[#This Row],[PARTIDA PRESUPUESTAL]],'Cost Report'!G:G,1,0),"Balance")</f>
        <v>3632-008</v>
      </c>
      <c r="AC3693" s="118"/>
      <c r="AD3693" s="159">
        <f>+Table1[[#This Row],[SUBTOTAL]]+Table1[[#This Row],[IVA]]-Table1[[#This Row],[RET IVA]]-Table1[[#This Row],[RET ISR]]-Table1[[#This Row],[TOTAL]]</f>
        <v>0</v>
      </c>
      <c r="AE3693" s="150"/>
      <c r="AF3693" s="151"/>
      <c r="AG3693" s="126"/>
      <c r="AK3693" s="306" t="str">
        <f>IF(ISNUMBER(Table1[[#This Row],[FECHA DE RECIBIDO]]), Table1[[#This Row],[FECHA DE RECIBIDO]]-DATE(2023,8,30), "")</f>
        <v/>
      </c>
    </row>
    <row r="3694" spans="1:37" ht="15" customHeight="1">
      <c r="A3694" s="152"/>
      <c r="B3694" s="153">
        <v>1260</v>
      </c>
      <c r="C3694" s="126" t="s">
        <v>2870</v>
      </c>
      <c r="D3694">
        <v>2496</v>
      </c>
      <c r="E3694" s="126" t="s">
        <v>2001</v>
      </c>
      <c r="F3694" s="125" t="s">
        <v>1607</v>
      </c>
      <c r="G3694" s="125" t="s">
        <v>134</v>
      </c>
      <c r="H3694">
        <v>23</v>
      </c>
      <c r="I3694" s="125" t="s">
        <v>1546</v>
      </c>
      <c r="J3694" s="308" t="s">
        <v>214</v>
      </c>
      <c r="K3694" s="127" t="s">
        <v>4212</v>
      </c>
      <c r="L3694" s="153" t="s">
        <v>3306</v>
      </c>
      <c r="M3694">
        <v>343</v>
      </c>
      <c r="N3694" s="123">
        <v>1</v>
      </c>
      <c r="O3694">
        <v>2380</v>
      </c>
      <c r="P3694" s="132" t="s">
        <v>77</v>
      </c>
      <c r="Q3694" s="132">
        <v>1715.17</v>
      </c>
      <c r="R3694" s="132">
        <v>274.42720000000003</v>
      </c>
      <c r="S3694" s="132"/>
      <c r="T3694" s="156"/>
      <c r="U3694" s="132"/>
      <c r="V3694" s="132">
        <v>1989.5972000000002</v>
      </c>
      <c r="W3694">
        <v>353</v>
      </c>
      <c r="X3694" s="153" t="s">
        <v>2035</v>
      </c>
      <c r="Y3694" s="124" t="s">
        <v>55</v>
      </c>
      <c r="Z3694" s="308">
        <v>254</v>
      </c>
      <c r="AB3694" t="str">
        <f>IF(Table1[[#This Row],[TIPO2]]="costo", VLOOKUP(Table1[[#This Row],[PARTIDA PRESUPUESTAL]],'Cost Report'!G:G,1,0),"Balance")</f>
        <v>3632-013</v>
      </c>
      <c r="AC3694" s="118"/>
      <c r="AD3694" s="159">
        <f>+Table1[[#This Row],[SUBTOTAL]]+Table1[[#This Row],[IVA]]-Table1[[#This Row],[RET IVA]]-Table1[[#This Row],[RET ISR]]-Table1[[#This Row],[TOTAL]]</f>
        <v>0</v>
      </c>
      <c r="AE3694" s="152"/>
      <c r="AF3694" s="153"/>
      <c r="AG3694" s="126"/>
      <c r="AK3694" s="306" t="str">
        <f>IF(ISNUMBER(Table1[[#This Row],[FECHA DE RECIBIDO]]), Table1[[#This Row],[FECHA DE RECIBIDO]]-DATE(2023,8,30), "")</f>
        <v/>
      </c>
    </row>
    <row r="3695" spans="1:37" ht="15" customHeight="1">
      <c r="A3695" s="150"/>
      <c r="B3695" s="151">
        <v>1260</v>
      </c>
      <c r="C3695" s="126" t="s">
        <v>2864</v>
      </c>
      <c r="D3695">
        <v>2496</v>
      </c>
      <c r="E3695" s="126" t="s">
        <v>2001</v>
      </c>
      <c r="F3695" s="122" t="s">
        <v>1607</v>
      </c>
      <c r="G3695" s="122" t="s">
        <v>134</v>
      </c>
      <c r="H3695">
        <v>23</v>
      </c>
      <c r="I3695" s="122" t="s">
        <v>1546</v>
      </c>
      <c r="J3695" s="307" t="s">
        <v>214</v>
      </c>
      <c r="K3695" s="127" t="s">
        <v>4212</v>
      </c>
      <c r="L3695" s="151" t="s">
        <v>3306</v>
      </c>
      <c r="M3695">
        <v>343</v>
      </c>
      <c r="N3695" s="123">
        <v>1</v>
      </c>
      <c r="O3695">
        <v>2380</v>
      </c>
      <c r="P3695" s="132" t="s">
        <v>77</v>
      </c>
      <c r="Q3695" s="131">
        <v>3274.23</v>
      </c>
      <c r="R3695" s="131">
        <v>523.8768</v>
      </c>
      <c r="S3695" s="131"/>
      <c r="T3695" s="155"/>
      <c r="U3695" s="131"/>
      <c r="V3695" s="131">
        <v>3798.1068</v>
      </c>
      <c r="W3695">
        <v>353</v>
      </c>
      <c r="X3695" s="151" t="s">
        <v>2035</v>
      </c>
      <c r="Y3695" s="135" t="s">
        <v>55</v>
      </c>
      <c r="Z3695" s="307">
        <v>254</v>
      </c>
      <c r="AB3695" t="str">
        <f>IF(Table1[[#This Row],[TIPO2]]="costo", VLOOKUP(Table1[[#This Row],[PARTIDA PRESUPUESTAL]],'Cost Report'!G:G,1,0),"Balance")</f>
        <v>3632-003</v>
      </c>
      <c r="AC3695" s="118"/>
      <c r="AD3695" s="159">
        <f>+Table1[[#This Row],[SUBTOTAL]]+Table1[[#This Row],[IVA]]-Table1[[#This Row],[RET IVA]]-Table1[[#This Row],[RET ISR]]-Table1[[#This Row],[TOTAL]]</f>
        <v>0</v>
      </c>
      <c r="AE3695" s="150"/>
      <c r="AF3695" s="151"/>
      <c r="AG3695" s="126"/>
      <c r="AK3695" s="306" t="str">
        <f>IF(ISNUMBER(Table1[[#This Row],[FECHA DE RECIBIDO]]), Table1[[#This Row],[FECHA DE RECIBIDO]]-DATE(2023,8,30), "")</f>
        <v/>
      </c>
    </row>
    <row r="3696" spans="1:37" ht="15" customHeight="1">
      <c r="A3696" s="152"/>
      <c r="B3696" s="153">
        <v>1260</v>
      </c>
      <c r="C3696" s="126" t="s">
        <v>2864</v>
      </c>
      <c r="D3696">
        <v>2496</v>
      </c>
      <c r="E3696" s="126" t="s">
        <v>2001</v>
      </c>
      <c r="F3696" s="125" t="s">
        <v>1607</v>
      </c>
      <c r="G3696" s="125" t="s">
        <v>134</v>
      </c>
      <c r="H3696">
        <v>23</v>
      </c>
      <c r="I3696" s="125" t="s">
        <v>1546</v>
      </c>
      <c r="J3696" s="308" t="s">
        <v>214</v>
      </c>
      <c r="K3696" s="127" t="s">
        <v>4212</v>
      </c>
      <c r="L3696" s="153" t="s">
        <v>3306</v>
      </c>
      <c r="M3696">
        <v>343</v>
      </c>
      <c r="N3696" s="123">
        <v>1</v>
      </c>
      <c r="O3696">
        <v>2380</v>
      </c>
      <c r="P3696" s="132" t="s">
        <v>77</v>
      </c>
      <c r="Q3696" s="132">
        <v>2727.8</v>
      </c>
      <c r="R3696" s="132">
        <v>436.44800000000004</v>
      </c>
      <c r="S3696" s="132"/>
      <c r="T3696" s="156"/>
      <c r="U3696" s="132"/>
      <c r="V3696" s="132">
        <v>3164.248</v>
      </c>
      <c r="W3696">
        <v>353</v>
      </c>
      <c r="X3696" s="153" t="s">
        <v>2035</v>
      </c>
      <c r="Y3696" s="124" t="s">
        <v>55</v>
      </c>
      <c r="Z3696" s="308">
        <v>254</v>
      </c>
      <c r="AB3696" t="str">
        <f>IF(Table1[[#This Row],[TIPO2]]="costo", VLOOKUP(Table1[[#This Row],[PARTIDA PRESUPUESTAL]],'Cost Report'!G:G,1,0),"Balance")</f>
        <v>3632-003</v>
      </c>
      <c r="AC3696" s="118"/>
      <c r="AD3696" s="159">
        <f>+Table1[[#This Row],[SUBTOTAL]]+Table1[[#This Row],[IVA]]-Table1[[#This Row],[RET IVA]]-Table1[[#This Row],[RET ISR]]-Table1[[#This Row],[TOTAL]]</f>
        <v>0</v>
      </c>
      <c r="AE3696" s="152"/>
      <c r="AF3696" s="153"/>
      <c r="AG3696" s="126"/>
      <c r="AK3696" s="306" t="str">
        <f>IF(ISNUMBER(Table1[[#This Row],[FECHA DE RECIBIDO]]), Table1[[#This Row],[FECHA DE RECIBIDO]]-DATE(2023,8,30), "")</f>
        <v/>
      </c>
    </row>
    <row r="3697" spans="1:37" ht="15" customHeight="1">
      <c r="A3697" s="150"/>
      <c r="B3697" s="151">
        <v>1260</v>
      </c>
      <c r="C3697" s="126" t="s">
        <v>2836</v>
      </c>
      <c r="D3697">
        <v>2496</v>
      </c>
      <c r="E3697" s="126" t="s">
        <v>2001</v>
      </c>
      <c r="F3697" s="122" t="s">
        <v>1607</v>
      </c>
      <c r="G3697" s="122" t="s">
        <v>134</v>
      </c>
      <c r="H3697">
        <v>23</v>
      </c>
      <c r="I3697" s="122" t="s">
        <v>1546</v>
      </c>
      <c r="J3697" s="307" t="s">
        <v>214</v>
      </c>
      <c r="K3697" s="127" t="s">
        <v>4212</v>
      </c>
      <c r="L3697" s="151" t="s">
        <v>3306</v>
      </c>
      <c r="M3697">
        <v>343</v>
      </c>
      <c r="N3697" s="123">
        <v>1</v>
      </c>
      <c r="O3697">
        <v>2380</v>
      </c>
      <c r="P3697" s="132" t="s">
        <v>77</v>
      </c>
      <c r="Q3697" s="131">
        <v>3267.97</v>
      </c>
      <c r="R3697" s="131">
        <v>522.87519999999995</v>
      </c>
      <c r="S3697" s="131"/>
      <c r="T3697" s="155"/>
      <c r="U3697" s="131"/>
      <c r="V3697" s="131">
        <v>3790.8451999999997</v>
      </c>
      <c r="W3697">
        <v>353</v>
      </c>
      <c r="X3697" s="151" t="s">
        <v>2035</v>
      </c>
      <c r="Y3697" s="135" t="s">
        <v>55</v>
      </c>
      <c r="Z3697" s="307">
        <v>254</v>
      </c>
      <c r="AB3697" t="str">
        <f>IF(Table1[[#This Row],[TIPO2]]="costo", VLOOKUP(Table1[[#This Row],[PARTIDA PRESUPUESTAL]],'Cost Report'!G:G,1,0),"Balance")</f>
        <v>3442-025</v>
      </c>
      <c r="AC3697" s="118"/>
      <c r="AD3697" s="159">
        <f>+Table1[[#This Row],[SUBTOTAL]]+Table1[[#This Row],[IVA]]-Table1[[#This Row],[RET IVA]]-Table1[[#This Row],[RET ISR]]-Table1[[#This Row],[TOTAL]]</f>
        <v>0</v>
      </c>
      <c r="AE3697" s="150"/>
      <c r="AF3697" s="151"/>
      <c r="AG3697" s="126"/>
      <c r="AK3697" s="306" t="str">
        <f>IF(ISNUMBER(Table1[[#This Row],[FECHA DE RECIBIDO]]), Table1[[#This Row],[FECHA DE RECIBIDO]]-DATE(2023,8,30), "")</f>
        <v/>
      </c>
    </row>
    <row r="3698" spans="1:37" ht="15" customHeight="1">
      <c r="A3698" s="152"/>
      <c r="B3698" s="153">
        <v>1260</v>
      </c>
      <c r="C3698" s="126" t="s">
        <v>2838</v>
      </c>
      <c r="D3698">
        <v>2496</v>
      </c>
      <c r="E3698" s="126" t="s">
        <v>2001</v>
      </c>
      <c r="F3698" s="125" t="s">
        <v>1607</v>
      </c>
      <c r="G3698" s="125" t="s">
        <v>134</v>
      </c>
      <c r="H3698">
        <v>23</v>
      </c>
      <c r="I3698" s="125" t="s">
        <v>1546</v>
      </c>
      <c r="J3698" s="308" t="s">
        <v>214</v>
      </c>
      <c r="K3698" s="127" t="s">
        <v>4212</v>
      </c>
      <c r="L3698" s="153" t="s">
        <v>3306</v>
      </c>
      <c r="M3698">
        <v>343</v>
      </c>
      <c r="N3698" s="123">
        <v>1</v>
      </c>
      <c r="O3698">
        <v>2380</v>
      </c>
      <c r="P3698" s="132" t="s">
        <v>77</v>
      </c>
      <c r="Q3698" s="132">
        <v>466.53</v>
      </c>
      <c r="R3698" s="132">
        <v>74.644800000000004</v>
      </c>
      <c r="S3698" s="132"/>
      <c r="T3698" s="156"/>
      <c r="U3698" s="132"/>
      <c r="V3698" s="132">
        <v>541.1748</v>
      </c>
      <c r="W3698">
        <v>353</v>
      </c>
      <c r="X3698" s="153" t="s">
        <v>2035</v>
      </c>
      <c r="Y3698" s="124" t="s">
        <v>55</v>
      </c>
      <c r="Z3698" s="308">
        <v>254</v>
      </c>
      <c r="AB3698" t="str">
        <f>IF(Table1[[#This Row],[TIPO2]]="costo", VLOOKUP(Table1[[#This Row],[PARTIDA PRESUPUESTAL]],'Cost Report'!G:G,1,0),"Balance")</f>
        <v>3442-029</v>
      </c>
      <c r="AC3698" s="118"/>
      <c r="AD3698" s="159">
        <f>+Table1[[#This Row],[SUBTOTAL]]+Table1[[#This Row],[IVA]]-Table1[[#This Row],[RET IVA]]-Table1[[#This Row],[RET ISR]]-Table1[[#This Row],[TOTAL]]</f>
        <v>0</v>
      </c>
      <c r="AE3698" s="152"/>
      <c r="AF3698" s="153"/>
      <c r="AG3698" s="126"/>
      <c r="AK3698" s="306" t="str">
        <f>IF(ISNUMBER(Table1[[#This Row],[FECHA DE RECIBIDO]]), Table1[[#This Row],[FECHA DE RECIBIDO]]-DATE(2023,8,30), "")</f>
        <v/>
      </c>
    </row>
    <row r="3699" spans="1:37" ht="15" customHeight="1">
      <c r="A3699" s="150"/>
      <c r="B3699" s="151">
        <v>1260</v>
      </c>
      <c r="C3699" s="126" t="s">
        <v>2860</v>
      </c>
      <c r="D3699">
        <v>2496</v>
      </c>
      <c r="E3699" s="126" t="s">
        <v>2001</v>
      </c>
      <c r="F3699" s="122" t="s">
        <v>1607</v>
      </c>
      <c r="G3699" s="122" t="s">
        <v>134</v>
      </c>
      <c r="H3699">
        <v>23</v>
      </c>
      <c r="I3699" s="122" t="s">
        <v>1546</v>
      </c>
      <c r="J3699" s="307" t="s">
        <v>214</v>
      </c>
      <c r="K3699" s="127" t="s">
        <v>4212</v>
      </c>
      <c r="L3699" s="151" t="s">
        <v>3306</v>
      </c>
      <c r="M3699">
        <v>343</v>
      </c>
      <c r="N3699" s="123">
        <v>1</v>
      </c>
      <c r="O3699">
        <v>2380</v>
      </c>
      <c r="P3699" s="132" t="s">
        <v>77</v>
      </c>
      <c r="Q3699" s="131">
        <v>1528.06</v>
      </c>
      <c r="R3699" s="131">
        <v>244.4896</v>
      </c>
      <c r="S3699" s="131"/>
      <c r="T3699" s="155"/>
      <c r="U3699" s="131"/>
      <c r="V3699" s="131">
        <v>1772.5495999999998</v>
      </c>
      <c r="W3699">
        <v>353</v>
      </c>
      <c r="X3699" s="151" t="s">
        <v>2035</v>
      </c>
      <c r="Y3699" s="135" t="s">
        <v>55</v>
      </c>
      <c r="Z3699" s="307">
        <v>254</v>
      </c>
      <c r="AB3699" t="str">
        <f>IF(Table1[[#This Row],[TIPO2]]="costo", VLOOKUP(Table1[[#This Row],[PARTIDA PRESUPUESTAL]],'Cost Report'!G:G,1,0),"Balance")</f>
        <v>3629-003</v>
      </c>
      <c r="AC3699" s="118"/>
      <c r="AD3699" s="159">
        <f>+Table1[[#This Row],[SUBTOTAL]]+Table1[[#This Row],[IVA]]-Table1[[#This Row],[RET IVA]]-Table1[[#This Row],[RET ISR]]-Table1[[#This Row],[TOTAL]]</f>
        <v>0</v>
      </c>
      <c r="AE3699" s="150"/>
      <c r="AF3699" s="151"/>
      <c r="AG3699" s="126"/>
      <c r="AK3699" s="306" t="str">
        <f>IF(ISNUMBER(Table1[[#This Row],[FECHA DE RECIBIDO]]), Table1[[#This Row],[FECHA DE RECIBIDO]]-DATE(2023,8,30), "")</f>
        <v/>
      </c>
    </row>
    <row r="3700" spans="1:37" ht="15" customHeight="1">
      <c r="A3700" s="152"/>
      <c r="B3700" s="153">
        <v>1260</v>
      </c>
      <c r="C3700" s="126" t="s">
        <v>2861</v>
      </c>
      <c r="D3700">
        <v>2496</v>
      </c>
      <c r="E3700" s="126" t="s">
        <v>2001</v>
      </c>
      <c r="F3700" s="125" t="s">
        <v>1607</v>
      </c>
      <c r="G3700" s="125" t="s">
        <v>134</v>
      </c>
      <c r="H3700">
        <v>23</v>
      </c>
      <c r="I3700" s="125" t="s">
        <v>1546</v>
      </c>
      <c r="J3700" s="308" t="s">
        <v>214</v>
      </c>
      <c r="K3700" s="127" t="s">
        <v>4212</v>
      </c>
      <c r="L3700" s="153" t="s">
        <v>3306</v>
      </c>
      <c r="M3700">
        <v>343</v>
      </c>
      <c r="N3700" s="123">
        <v>1</v>
      </c>
      <c r="O3700">
        <v>2380</v>
      </c>
      <c r="P3700" s="132" t="s">
        <v>77</v>
      </c>
      <c r="Q3700" s="132">
        <v>1311.21</v>
      </c>
      <c r="R3700" s="132">
        <v>209.7936</v>
      </c>
      <c r="S3700" s="132"/>
      <c r="T3700" s="156"/>
      <c r="U3700" s="132"/>
      <c r="V3700" s="132">
        <v>1521.0036</v>
      </c>
      <c r="W3700">
        <v>353</v>
      </c>
      <c r="X3700" s="153" t="s">
        <v>2035</v>
      </c>
      <c r="Y3700" s="124" t="s">
        <v>55</v>
      </c>
      <c r="Z3700" s="308">
        <v>254</v>
      </c>
      <c r="AB3700" t="str">
        <f>IF(Table1[[#This Row],[TIPO2]]="costo", VLOOKUP(Table1[[#This Row],[PARTIDA PRESUPUESTAL]],'Cost Report'!G:G,1,0),"Balance")</f>
        <v>3629-004</v>
      </c>
      <c r="AC3700" s="118"/>
      <c r="AD3700" s="159">
        <f>+Table1[[#This Row],[SUBTOTAL]]+Table1[[#This Row],[IVA]]-Table1[[#This Row],[RET IVA]]-Table1[[#This Row],[RET ISR]]-Table1[[#This Row],[TOTAL]]</f>
        <v>0</v>
      </c>
      <c r="AE3700" s="152"/>
      <c r="AF3700" s="153"/>
      <c r="AG3700" s="126"/>
      <c r="AK3700" s="306" t="str">
        <f>IF(ISNUMBER(Table1[[#This Row],[FECHA DE RECIBIDO]]), Table1[[#This Row],[FECHA DE RECIBIDO]]-DATE(2023,8,30), "")</f>
        <v/>
      </c>
    </row>
    <row r="3701" spans="1:37" ht="15" customHeight="1">
      <c r="A3701" s="150"/>
      <c r="B3701" s="151">
        <v>1260</v>
      </c>
      <c r="C3701" s="126" t="s">
        <v>2829</v>
      </c>
      <c r="D3701">
        <v>2496</v>
      </c>
      <c r="E3701" s="126" t="s">
        <v>2001</v>
      </c>
      <c r="F3701" s="122" t="s">
        <v>1607</v>
      </c>
      <c r="G3701" s="122" t="s">
        <v>134</v>
      </c>
      <c r="H3701">
        <v>23</v>
      </c>
      <c r="I3701" s="122" t="s">
        <v>1546</v>
      </c>
      <c r="J3701" s="307" t="s">
        <v>214</v>
      </c>
      <c r="K3701" s="127" t="s">
        <v>4212</v>
      </c>
      <c r="L3701" s="151" t="s">
        <v>3306</v>
      </c>
      <c r="M3701">
        <v>343</v>
      </c>
      <c r="N3701" s="123">
        <v>1</v>
      </c>
      <c r="O3701">
        <v>2380</v>
      </c>
      <c r="P3701" s="132" t="s">
        <v>77</v>
      </c>
      <c r="Q3701" s="131">
        <v>944.53</v>
      </c>
      <c r="R3701" s="131">
        <v>151.12479999999999</v>
      </c>
      <c r="S3701" s="131"/>
      <c r="T3701" s="155"/>
      <c r="U3701" s="131"/>
      <c r="V3701" s="131">
        <v>1095.6548</v>
      </c>
      <c r="W3701">
        <v>353</v>
      </c>
      <c r="X3701" s="151" t="s">
        <v>2035</v>
      </c>
      <c r="Y3701" s="135" t="s">
        <v>55</v>
      </c>
      <c r="Z3701" s="307">
        <v>254</v>
      </c>
      <c r="AB3701" t="str">
        <f>IF(Table1[[#This Row],[TIPO2]]="costo", VLOOKUP(Table1[[#This Row],[PARTIDA PRESUPUESTAL]],'Cost Report'!G:G,1,0),"Balance")</f>
        <v>3412-138</v>
      </c>
      <c r="AC3701" s="118"/>
      <c r="AD3701" s="159">
        <f>+Table1[[#This Row],[SUBTOTAL]]+Table1[[#This Row],[IVA]]-Table1[[#This Row],[RET IVA]]-Table1[[#This Row],[RET ISR]]-Table1[[#This Row],[TOTAL]]</f>
        <v>0</v>
      </c>
      <c r="AE3701" s="150"/>
      <c r="AF3701" s="151"/>
      <c r="AG3701" s="126"/>
      <c r="AK3701" s="306" t="str">
        <f>IF(ISNUMBER(Table1[[#This Row],[FECHA DE RECIBIDO]]), Table1[[#This Row],[FECHA DE RECIBIDO]]-DATE(2023,8,30), "")</f>
        <v/>
      </c>
    </row>
    <row r="3702" spans="1:37" ht="15" customHeight="1">
      <c r="A3702" s="152"/>
      <c r="B3702" s="153">
        <v>1260</v>
      </c>
      <c r="C3702" s="126" t="s">
        <v>1068</v>
      </c>
      <c r="D3702">
        <v>2496</v>
      </c>
      <c r="E3702" s="126" t="s">
        <v>2001</v>
      </c>
      <c r="F3702" s="125" t="s">
        <v>1607</v>
      </c>
      <c r="G3702" s="125" t="s">
        <v>134</v>
      </c>
      <c r="H3702">
        <v>23</v>
      </c>
      <c r="I3702" s="125" t="s">
        <v>1546</v>
      </c>
      <c r="J3702" s="308" t="s">
        <v>214</v>
      </c>
      <c r="K3702" s="127" t="s">
        <v>4212</v>
      </c>
      <c r="L3702" s="153" t="s">
        <v>3306</v>
      </c>
      <c r="M3702">
        <v>343</v>
      </c>
      <c r="N3702" s="123">
        <v>1</v>
      </c>
      <c r="O3702">
        <v>2380</v>
      </c>
      <c r="P3702" s="132" t="s">
        <v>77</v>
      </c>
      <c r="Q3702" s="132">
        <v>952.87</v>
      </c>
      <c r="R3702" s="132">
        <v>152.45920000000001</v>
      </c>
      <c r="S3702" s="132"/>
      <c r="T3702" s="156"/>
      <c r="U3702" s="132"/>
      <c r="V3702" s="132">
        <v>1105.3292000000001</v>
      </c>
      <c r="W3702">
        <v>353</v>
      </c>
      <c r="X3702" s="153" t="s">
        <v>2035</v>
      </c>
      <c r="Y3702" s="124" t="s">
        <v>55</v>
      </c>
      <c r="Z3702" s="308">
        <v>254</v>
      </c>
      <c r="AB3702" t="str">
        <f>IF(Table1[[#This Row],[TIPO2]]="costo", VLOOKUP(Table1[[#This Row],[PARTIDA PRESUPUESTAL]],'Cost Report'!G:G,1,0),"Balance")</f>
        <v>3683-055</v>
      </c>
      <c r="AC3702" s="118"/>
      <c r="AD3702" s="159">
        <f>+Table1[[#This Row],[SUBTOTAL]]+Table1[[#This Row],[IVA]]-Table1[[#This Row],[RET IVA]]-Table1[[#This Row],[RET ISR]]-Table1[[#This Row],[TOTAL]]</f>
        <v>0</v>
      </c>
      <c r="AE3702" s="152"/>
      <c r="AF3702" s="153"/>
      <c r="AG3702" s="126"/>
      <c r="AK3702" s="306" t="str">
        <f>IF(ISNUMBER(Table1[[#This Row],[FECHA DE RECIBIDO]]), Table1[[#This Row],[FECHA DE RECIBIDO]]-DATE(2023,8,30), "")</f>
        <v/>
      </c>
    </row>
    <row r="3703" spans="1:37" ht="15" customHeight="1">
      <c r="A3703" s="150"/>
      <c r="B3703" s="151">
        <v>1260</v>
      </c>
      <c r="C3703" s="126" t="s">
        <v>2992</v>
      </c>
      <c r="D3703">
        <v>2496</v>
      </c>
      <c r="E3703" s="126" t="s">
        <v>2001</v>
      </c>
      <c r="F3703" s="122" t="s">
        <v>1607</v>
      </c>
      <c r="G3703" s="122" t="s">
        <v>134</v>
      </c>
      <c r="H3703">
        <v>23</v>
      </c>
      <c r="I3703" s="122" t="s">
        <v>1546</v>
      </c>
      <c r="J3703" s="307" t="s">
        <v>214</v>
      </c>
      <c r="K3703" s="127" t="s">
        <v>4212</v>
      </c>
      <c r="L3703" s="151" t="s">
        <v>3306</v>
      </c>
      <c r="M3703">
        <v>343</v>
      </c>
      <c r="N3703" s="123">
        <v>1</v>
      </c>
      <c r="O3703">
        <v>2380</v>
      </c>
      <c r="P3703" s="132" t="s">
        <v>77</v>
      </c>
      <c r="Q3703" s="131">
        <v>1215.8699999999999</v>
      </c>
      <c r="R3703" s="131">
        <v>194.53919999999999</v>
      </c>
      <c r="S3703" s="131"/>
      <c r="T3703" s="155"/>
      <c r="U3703" s="131"/>
      <c r="V3703" s="131">
        <v>1410.4091999999998</v>
      </c>
      <c r="W3703">
        <v>353</v>
      </c>
      <c r="X3703" s="151" t="s">
        <v>2035</v>
      </c>
      <c r="Y3703" s="135" t="s">
        <v>55</v>
      </c>
      <c r="Z3703" s="307">
        <v>254</v>
      </c>
      <c r="AB3703" t="str">
        <f>IF(Table1[[#This Row],[TIPO2]]="costo", VLOOKUP(Table1[[#This Row],[PARTIDA PRESUPUESTAL]],'Cost Report'!G:G,1,0),"Balance")</f>
        <v>3936-004</v>
      </c>
      <c r="AC3703" s="118"/>
      <c r="AD3703" s="159">
        <f>+Table1[[#This Row],[SUBTOTAL]]+Table1[[#This Row],[IVA]]-Table1[[#This Row],[RET IVA]]-Table1[[#This Row],[RET ISR]]-Table1[[#This Row],[TOTAL]]</f>
        <v>0</v>
      </c>
      <c r="AE3703" s="150"/>
      <c r="AF3703" s="151"/>
      <c r="AG3703" s="126"/>
      <c r="AK3703" s="306" t="str">
        <f>IF(ISNUMBER(Table1[[#This Row],[FECHA DE RECIBIDO]]), Table1[[#This Row],[FECHA DE RECIBIDO]]-DATE(2023,8,30), "")</f>
        <v/>
      </c>
    </row>
    <row r="3704" spans="1:37" ht="15" customHeight="1">
      <c r="A3704" s="152"/>
      <c r="B3704" s="153">
        <v>1260</v>
      </c>
      <c r="C3704" s="126" t="s">
        <v>2994</v>
      </c>
      <c r="D3704">
        <v>2496</v>
      </c>
      <c r="E3704" s="126" t="s">
        <v>2001</v>
      </c>
      <c r="F3704" s="125" t="s">
        <v>1607</v>
      </c>
      <c r="G3704" s="125" t="s">
        <v>134</v>
      </c>
      <c r="H3704">
        <v>23</v>
      </c>
      <c r="I3704" s="125" t="s">
        <v>1546</v>
      </c>
      <c r="J3704" s="308" t="s">
        <v>214</v>
      </c>
      <c r="K3704" s="127" t="s">
        <v>4212</v>
      </c>
      <c r="L3704" s="153" t="s">
        <v>3306</v>
      </c>
      <c r="M3704">
        <v>343</v>
      </c>
      <c r="N3704" s="123">
        <v>1</v>
      </c>
      <c r="O3704">
        <v>2380</v>
      </c>
      <c r="P3704" s="132" t="s">
        <v>77</v>
      </c>
      <c r="Q3704" s="132">
        <v>125.78</v>
      </c>
      <c r="R3704" s="132">
        <v>20.1248</v>
      </c>
      <c r="S3704" s="132"/>
      <c r="T3704" s="156"/>
      <c r="U3704" s="132"/>
      <c r="V3704" s="132">
        <v>145.90479999999999</v>
      </c>
      <c r="W3704">
        <v>353</v>
      </c>
      <c r="X3704" s="153" t="s">
        <v>2035</v>
      </c>
      <c r="Y3704" s="124" t="s">
        <v>55</v>
      </c>
      <c r="Z3704" s="308">
        <v>254</v>
      </c>
      <c r="AB3704" t="str">
        <f>IF(Table1[[#This Row],[TIPO2]]="costo", VLOOKUP(Table1[[#This Row],[PARTIDA PRESUPUESTAL]],'Cost Report'!G:G,1,0),"Balance")</f>
        <v>3936-008</v>
      </c>
      <c r="AC3704" s="118"/>
      <c r="AD3704" s="159">
        <f>+Table1[[#This Row],[SUBTOTAL]]+Table1[[#This Row],[IVA]]-Table1[[#This Row],[RET IVA]]-Table1[[#This Row],[RET ISR]]-Table1[[#This Row],[TOTAL]]</f>
        <v>0</v>
      </c>
      <c r="AE3704" s="152"/>
      <c r="AF3704" s="153"/>
      <c r="AG3704" s="126"/>
      <c r="AK3704" s="306" t="str">
        <f>IF(ISNUMBER(Table1[[#This Row],[FECHA DE RECIBIDO]]), Table1[[#This Row],[FECHA DE RECIBIDO]]-DATE(2023,8,30), "")</f>
        <v/>
      </c>
    </row>
    <row r="3705" spans="1:37" ht="15" customHeight="1">
      <c r="A3705" s="150"/>
      <c r="B3705" s="151">
        <v>1260</v>
      </c>
      <c r="C3705" s="126" t="s">
        <v>2995</v>
      </c>
      <c r="D3705">
        <v>2496</v>
      </c>
      <c r="E3705" s="126" t="s">
        <v>2001</v>
      </c>
      <c r="F3705" s="122" t="s">
        <v>1607</v>
      </c>
      <c r="G3705" s="122" t="s">
        <v>134</v>
      </c>
      <c r="H3705">
        <v>23</v>
      </c>
      <c r="I3705" s="122" t="s">
        <v>1546</v>
      </c>
      <c r="J3705" s="307" t="s">
        <v>214</v>
      </c>
      <c r="K3705" s="127" t="s">
        <v>4212</v>
      </c>
      <c r="L3705" s="151" t="s">
        <v>3306</v>
      </c>
      <c r="M3705">
        <v>343</v>
      </c>
      <c r="N3705" s="123">
        <v>1</v>
      </c>
      <c r="O3705">
        <v>2380</v>
      </c>
      <c r="P3705" s="132" t="s">
        <v>77</v>
      </c>
      <c r="Q3705" s="131">
        <v>628.9</v>
      </c>
      <c r="R3705" s="131">
        <v>100.624</v>
      </c>
      <c r="S3705" s="131"/>
      <c r="T3705" s="155"/>
      <c r="U3705" s="131"/>
      <c r="V3705" s="131">
        <v>729.524</v>
      </c>
      <c r="W3705">
        <v>353</v>
      </c>
      <c r="X3705" s="151" t="s">
        <v>2035</v>
      </c>
      <c r="Y3705" s="135" t="s">
        <v>55</v>
      </c>
      <c r="Z3705" s="307">
        <v>254</v>
      </c>
      <c r="AB3705" t="str">
        <f>IF(Table1[[#This Row],[TIPO2]]="costo", VLOOKUP(Table1[[#This Row],[PARTIDA PRESUPUESTAL]],'Cost Report'!G:G,1,0),"Balance")</f>
        <v>3936-009</v>
      </c>
      <c r="AC3705" s="118"/>
      <c r="AD3705" s="159">
        <f>+Table1[[#This Row],[SUBTOTAL]]+Table1[[#This Row],[IVA]]-Table1[[#This Row],[RET IVA]]-Table1[[#This Row],[RET ISR]]-Table1[[#This Row],[TOTAL]]</f>
        <v>0</v>
      </c>
      <c r="AE3705" s="150"/>
      <c r="AF3705" s="151"/>
      <c r="AG3705" s="126"/>
      <c r="AK3705" s="306" t="str">
        <f>IF(ISNUMBER(Table1[[#This Row],[FECHA DE RECIBIDO]]), Table1[[#This Row],[FECHA DE RECIBIDO]]-DATE(2023,8,30), "")</f>
        <v/>
      </c>
    </row>
    <row r="3706" spans="1:37" ht="15" customHeight="1">
      <c r="A3706" s="152"/>
      <c r="B3706" s="153">
        <v>1260</v>
      </c>
      <c r="C3706" s="126" t="s">
        <v>2991</v>
      </c>
      <c r="D3706">
        <v>2496</v>
      </c>
      <c r="E3706" s="126" t="s">
        <v>2001</v>
      </c>
      <c r="F3706" s="125" t="s">
        <v>1607</v>
      </c>
      <c r="G3706" s="125" t="s">
        <v>134</v>
      </c>
      <c r="H3706">
        <v>23</v>
      </c>
      <c r="I3706" s="125" t="s">
        <v>1546</v>
      </c>
      <c r="J3706" s="308" t="s">
        <v>214</v>
      </c>
      <c r="K3706" s="127" t="s">
        <v>4212</v>
      </c>
      <c r="L3706" s="153" t="s">
        <v>3306</v>
      </c>
      <c r="M3706">
        <v>343</v>
      </c>
      <c r="N3706" s="123">
        <v>1</v>
      </c>
      <c r="O3706">
        <v>2380</v>
      </c>
      <c r="P3706" s="132" t="s">
        <v>77</v>
      </c>
      <c r="Q3706" s="132">
        <v>180.44</v>
      </c>
      <c r="R3706" s="132">
        <v>28.8704</v>
      </c>
      <c r="S3706" s="132"/>
      <c r="T3706" s="156"/>
      <c r="U3706" s="132"/>
      <c r="V3706" s="132">
        <v>209.31039999999999</v>
      </c>
      <c r="W3706">
        <v>353</v>
      </c>
      <c r="X3706" s="153" t="s">
        <v>2035</v>
      </c>
      <c r="Y3706" s="124" t="s">
        <v>55</v>
      </c>
      <c r="Z3706" s="308">
        <v>254</v>
      </c>
      <c r="AB3706" t="str">
        <f>IF(Table1[[#This Row],[TIPO2]]="costo", VLOOKUP(Table1[[#This Row],[PARTIDA PRESUPUESTAL]],'Cost Report'!G:G,1,0),"Balance")</f>
        <v>3936-003</v>
      </c>
      <c r="AC3706" s="118"/>
      <c r="AD3706" s="159">
        <f>+Table1[[#This Row],[SUBTOTAL]]+Table1[[#This Row],[IVA]]-Table1[[#This Row],[RET IVA]]-Table1[[#This Row],[RET ISR]]-Table1[[#This Row],[TOTAL]]</f>
        <v>0</v>
      </c>
      <c r="AE3706" s="152"/>
      <c r="AF3706" s="153"/>
      <c r="AG3706" s="126"/>
      <c r="AK3706" s="306" t="str">
        <f>IF(ISNUMBER(Table1[[#This Row],[FECHA DE RECIBIDO]]), Table1[[#This Row],[FECHA DE RECIBIDO]]-DATE(2023,8,30), "")</f>
        <v/>
      </c>
    </row>
    <row r="3707" spans="1:37" ht="15" customHeight="1">
      <c r="A3707" s="150"/>
      <c r="B3707" s="151">
        <v>1260</v>
      </c>
      <c r="C3707" s="126" t="s">
        <v>2992</v>
      </c>
      <c r="D3707">
        <v>2496</v>
      </c>
      <c r="E3707" s="126" t="s">
        <v>2001</v>
      </c>
      <c r="F3707" s="122" t="s">
        <v>1607</v>
      </c>
      <c r="G3707" s="122" t="s">
        <v>134</v>
      </c>
      <c r="H3707">
        <v>23</v>
      </c>
      <c r="I3707" s="122" t="s">
        <v>1546</v>
      </c>
      <c r="J3707" s="307" t="s">
        <v>214</v>
      </c>
      <c r="K3707" s="127" t="s">
        <v>4212</v>
      </c>
      <c r="L3707" s="151" t="s">
        <v>3306</v>
      </c>
      <c r="M3707">
        <v>343</v>
      </c>
      <c r="N3707" s="123">
        <v>1</v>
      </c>
      <c r="O3707">
        <v>2380</v>
      </c>
      <c r="P3707" s="132" t="s">
        <v>77</v>
      </c>
      <c r="Q3707" s="131">
        <v>180.44</v>
      </c>
      <c r="R3707" s="131">
        <v>28.8704</v>
      </c>
      <c r="S3707" s="131"/>
      <c r="T3707" s="155"/>
      <c r="U3707" s="131"/>
      <c r="V3707" s="131">
        <v>209.31039999999999</v>
      </c>
      <c r="W3707">
        <v>353</v>
      </c>
      <c r="X3707" s="151" t="s">
        <v>2035</v>
      </c>
      <c r="Y3707" s="135" t="s">
        <v>55</v>
      </c>
      <c r="Z3707" s="307">
        <v>254</v>
      </c>
      <c r="AB3707" t="str">
        <f>IF(Table1[[#This Row],[TIPO2]]="costo", VLOOKUP(Table1[[#This Row],[PARTIDA PRESUPUESTAL]],'Cost Report'!G:G,1,0),"Balance")</f>
        <v>3936-004</v>
      </c>
      <c r="AC3707" s="118"/>
      <c r="AD3707" s="159">
        <f>+Table1[[#This Row],[SUBTOTAL]]+Table1[[#This Row],[IVA]]-Table1[[#This Row],[RET IVA]]-Table1[[#This Row],[RET ISR]]-Table1[[#This Row],[TOTAL]]</f>
        <v>0</v>
      </c>
      <c r="AE3707" s="150"/>
      <c r="AF3707" s="151"/>
      <c r="AG3707" s="126"/>
      <c r="AK3707" s="306" t="str">
        <f>IF(ISNUMBER(Table1[[#This Row],[FECHA DE RECIBIDO]]), Table1[[#This Row],[FECHA DE RECIBIDO]]-DATE(2023,8,30), "")</f>
        <v/>
      </c>
    </row>
    <row r="3708" spans="1:37" ht="15" customHeight="1">
      <c r="A3708" s="152"/>
      <c r="B3708" s="153">
        <v>1260</v>
      </c>
      <c r="C3708" s="126" t="s">
        <v>2991</v>
      </c>
      <c r="D3708">
        <v>2496</v>
      </c>
      <c r="E3708" s="126" t="s">
        <v>2001</v>
      </c>
      <c r="F3708" s="125" t="s">
        <v>1607</v>
      </c>
      <c r="G3708" s="125" t="s">
        <v>134</v>
      </c>
      <c r="H3708">
        <v>23</v>
      </c>
      <c r="I3708" s="125" t="s">
        <v>1546</v>
      </c>
      <c r="J3708" s="308" t="s">
        <v>214</v>
      </c>
      <c r="K3708" s="127" t="s">
        <v>4212</v>
      </c>
      <c r="L3708" s="153" t="s">
        <v>3306</v>
      </c>
      <c r="M3708">
        <v>343</v>
      </c>
      <c r="N3708" s="123">
        <v>1</v>
      </c>
      <c r="O3708">
        <v>2380</v>
      </c>
      <c r="P3708" s="132" t="s">
        <v>77</v>
      </c>
      <c r="Q3708" s="132">
        <v>120.29</v>
      </c>
      <c r="R3708" s="132">
        <v>19.246400000000001</v>
      </c>
      <c r="S3708" s="132"/>
      <c r="T3708" s="156"/>
      <c r="U3708" s="132"/>
      <c r="V3708" s="132">
        <v>139.53640000000001</v>
      </c>
      <c r="W3708">
        <v>353</v>
      </c>
      <c r="X3708" s="153" t="s">
        <v>2035</v>
      </c>
      <c r="Y3708" s="124" t="s">
        <v>55</v>
      </c>
      <c r="Z3708" s="308">
        <v>254</v>
      </c>
      <c r="AB3708" t="str">
        <f>IF(Table1[[#This Row],[TIPO2]]="costo", VLOOKUP(Table1[[#This Row],[PARTIDA PRESUPUESTAL]],'Cost Report'!G:G,1,0),"Balance")</f>
        <v>3936-003</v>
      </c>
      <c r="AC3708" s="118"/>
      <c r="AD3708" s="159">
        <f>+Table1[[#This Row],[SUBTOTAL]]+Table1[[#This Row],[IVA]]-Table1[[#This Row],[RET IVA]]-Table1[[#This Row],[RET ISR]]-Table1[[#This Row],[TOTAL]]</f>
        <v>0</v>
      </c>
      <c r="AE3708" s="152"/>
      <c r="AF3708" s="153"/>
      <c r="AG3708" s="126"/>
      <c r="AK3708" s="306" t="str">
        <f>IF(ISNUMBER(Table1[[#This Row],[FECHA DE RECIBIDO]]), Table1[[#This Row],[FECHA DE RECIBIDO]]-DATE(2023,8,30), "")</f>
        <v/>
      </c>
    </row>
    <row r="3709" spans="1:37" ht="15" customHeight="1">
      <c r="A3709" s="150"/>
      <c r="B3709" s="151">
        <v>1260</v>
      </c>
      <c r="C3709" s="126" t="s">
        <v>2991</v>
      </c>
      <c r="D3709">
        <v>2496</v>
      </c>
      <c r="E3709" s="126" t="s">
        <v>2001</v>
      </c>
      <c r="F3709" s="122" t="s">
        <v>1607</v>
      </c>
      <c r="G3709" s="122" t="s">
        <v>134</v>
      </c>
      <c r="H3709">
        <v>23</v>
      </c>
      <c r="I3709" s="122" t="s">
        <v>1546</v>
      </c>
      <c r="J3709" s="307" t="s">
        <v>214</v>
      </c>
      <c r="K3709" s="127" t="s">
        <v>4212</v>
      </c>
      <c r="L3709" s="151" t="s">
        <v>3306</v>
      </c>
      <c r="M3709">
        <v>343</v>
      </c>
      <c r="N3709" s="123">
        <v>1</v>
      </c>
      <c r="O3709">
        <v>2380</v>
      </c>
      <c r="P3709" s="132" t="s">
        <v>77</v>
      </c>
      <c r="Q3709" s="131">
        <v>120.29</v>
      </c>
      <c r="R3709" s="131">
        <v>19.246400000000001</v>
      </c>
      <c r="S3709" s="131"/>
      <c r="T3709" s="155"/>
      <c r="U3709" s="131"/>
      <c r="V3709" s="131">
        <v>139.53640000000001</v>
      </c>
      <c r="W3709">
        <v>353</v>
      </c>
      <c r="X3709" s="151" t="s">
        <v>2035</v>
      </c>
      <c r="Y3709" s="135" t="s">
        <v>55</v>
      </c>
      <c r="Z3709" s="307">
        <v>254</v>
      </c>
      <c r="AB3709" t="str">
        <f>IF(Table1[[#This Row],[TIPO2]]="costo", VLOOKUP(Table1[[#This Row],[PARTIDA PRESUPUESTAL]],'Cost Report'!G:G,1,0),"Balance")</f>
        <v>3936-003</v>
      </c>
      <c r="AC3709" s="118"/>
      <c r="AD3709" s="159">
        <f>+Table1[[#This Row],[SUBTOTAL]]+Table1[[#This Row],[IVA]]-Table1[[#This Row],[RET IVA]]-Table1[[#This Row],[RET ISR]]-Table1[[#This Row],[TOTAL]]</f>
        <v>0</v>
      </c>
      <c r="AE3709" s="150"/>
      <c r="AF3709" s="151"/>
      <c r="AG3709" s="126"/>
      <c r="AK3709" s="306" t="str">
        <f>IF(ISNUMBER(Table1[[#This Row],[FECHA DE RECIBIDO]]), Table1[[#This Row],[FECHA DE RECIBIDO]]-DATE(2023,8,30), "")</f>
        <v/>
      </c>
    </row>
    <row r="3710" spans="1:37" ht="15" customHeight="1">
      <c r="A3710" s="152"/>
      <c r="B3710" s="153">
        <v>1261</v>
      </c>
      <c r="C3710" s="126" t="s">
        <v>2864</v>
      </c>
      <c r="D3710">
        <v>2497</v>
      </c>
      <c r="E3710" s="126" t="s">
        <v>2001</v>
      </c>
      <c r="F3710" s="125" t="s">
        <v>1607</v>
      </c>
      <c r="G3710" s="125" t="s">
        <v>134</v>
      </c>
      <c r="H3710">
        <v>23</v>
      </c>
      <c r="I3710" s="125" t="s">
        <v>1546</v>
      </c>
      <c r="J3710" s="308" t="s">
        <v>214</v>
      </c>
      <c r="K3710" s="127" t="s">
        <v>4212</v>
      </c>
      <c r="L3710" s="153" t="s">
        <v>3306</v>
      </c>
      <c r="M3710">
        <v>343</v>
      </c>
      <c r="N3710" s="123">
        <v>1</v>
      </c>
      <c r="O3710">
        <v>2381</v>
      </c>
      <c r="P3710" s="132" t="s">
        <v>77</v>
      </c>
      <c r="Q3710" s="132">
        <v>48562.34</v>
      </c>
      <c r="R3710" s="132">
        <v>7769.9743999999992</v>
      </c>
      <c r="S3710" s="132"/>
      <c r="T3710" s="156"/>
      <c r="U3710" s="132"/>
      <c r="V3710" s="132">
        <v>56332.314399999996</v>
      </c>
      <c r="W3710">
        <v>353</v>
      </c>
      <c r="X3710" s="153" t="s">
        <v>2035</v>
      </c>
      <c r="Y3710" s="124" t="s">
        <v>55</v>
      </c>
      <c r="Z3710" s="308">
        <v>254</v>
      </c>
      <c r="AB3710" t="str">
        <f>IF(Table1[[#This Row],[TIPO2]]="costo", VLOOKUP(Table1[[#This Row],[PARTIDA PRESUPUESTAL]],'Cost Report'!G:G,1,0),"Balance")</f>
        <v>3632-003</v>
      </c>
      <c r="AC3710" s="118"/>
      <c r="AD3710" s="159">
        <f>+Table1[[#This Row],[SUBTOTAL]]+Table1[[#This Row],[IVA]]-Table1[[#This Row],[RET IVA]]-Table1[[#This Row],[RET ISR]]-Table1[[#This Row],[TOTAL]]</f>
        <v>0</v>
      </c>
      <c r="AE3710" s="152"/>
      <c r="AF3710" s="153"/>
      <c r="AG3710" s="126"/>
      <c r="AK3710" s="306" t="str">
        <f>IF(ISNUMBER(Table1[[#This Row],[FECHA DE RECIBIDO]]), Table1[[#This Row],[FECHA DE RECIBIDO]]-DATE(2023,8,30), "")</f>
        <v/>
      </c>
    </row>
    <row r="3711" spans="1:37" ht="15" customHeight="1">
      <c r="A3711" s="150"/>
      <c r="B3711" s="151">
        <v>1261</v>
      </c>
      <c r="C3711" s="126" t="s">
        <v>2870</v>
      </c>
      <c r="D3711">
        <v>2497</v>
      </c>
      <c r="E3711" s="126" t="s">
        <v>2001</v>
      </c>
      <c r="F3711" s="122" t="s">
        <v>1607</v>
      </c>
      <c r="G3711" s="122" t="s">
        <v>134</v>
      </c>
      <c r="H3711">
        <v>23</v>
      </c>
      <c r="I3711" s="122" t="s">
        <v>1546</v>
      </c>
      <c r="J3711" s="307" t="s">
        <v>214</v>
      </c>
      <c r="K3711" s="127" t="s">
        <v>4212</v>
      </c>
      <c r="L3711" s="151" t="s">
        <v>3306</v>
      </c>
      <c r="M3711">
        <v>343</v>
      </c>
      <c r="N3711" s="123">
        <v>1</v>
      </c>
      <c r="O3711">
        <v>2381</v>
      </c>
      <c r="P3711" s="132" t="s">
        <v>77</v>
      </c>
      <c r="Q3711" s="131">
        <v>46576.68</v>
      </c>
      <c r="R3711" s="131">
        <v>7452.2687999999998</v>
      </c>
      <c r="S3711" s="131"/>
      <c r="T3711" s="155"/>
      <c r="U3711" s="131"/>
      <c r="V3711" s="131">
        <v>54028.948799999998</v>
      </c>
      <c r="W3711">
        <v>353</v>
      </c>
      <c r="X3711" s="151" t="s">
        <v>2035</v>
      </c>
      <c r="Y3711" s="135" t="s">
        <v>55</v>
      </c>
      <c r="Z3711" s="307">
        <v>254</v>
      </c>
      <c r="AB3711" t="str">
        <f>IF(Table1[[#This Row],[TIPO2]]="costo", VLOOKUP(Table1[[#This Row],[PARTIDA PRESUPUESTAL]],'Cost Report'!G:G,1,0),"Balance")</f>
        <v>3632-013</v>
      </c>
      <c r="AC3711" s="118"/>
      <c r="AD3711" s="159">
        <f>+Table1[[#This Row],[SUBTOTAL]]+Table1[[#This Row],[IVA]]-Table1[[#This Row],[RET IVA]]-Table1[[#This Row],[RET ISR]]-Table1[[#This Row],[TOTAL]]</f>
        <v>0</v>
      </c>
      <c r="AE3711" s="150"/>
      <c r="AF3711" s="151"/>
      <c r="AG3711" s="126"/>
      <c r="AK3711" s="306" t="str">
        <f>IF(ISNUMBER(Table1[[#This Row],[FECHA DE RECIBIDO]]), Table1[[#This Row],[FECHA DE RECIBIDO]]-DATE(2023,8,30), "")</f>
        <v/>
      </c>
    </row>
    <row r="3712" spans="1:37" ht="15" customHeight="1">
      <c r="A3712" s="152"/>
      <c r="B3712" s="153">
        <v>1261</v>
      </c>
      <c r="C3712" s="126" t="s">
        <v>2867</v>
      </c>
      <c r="D3712">
        <v>2497</v>
      </c>
      <c r="E3712" s="126" t="s">
        <v>2001</v>
      </c>
      <c r="F3712" s="125" t="s">
        <v>1607</v>
      </c>
      <c r="G3712" s="125" t="s">
        <v>134</v>
      </c>
      <c r="H3712">
        <v>23</v>
      </c>
      <c r="I3712" s="125" t="s">
        <v>1546</v>
      </c>
      <c r="J3712" s="308" t="s">
        <v>214</v>
      </c>
      <c r="K3712" s="127" t="s">
        <v>4212</v>
      </c>
      <c r="L3712" s="153" t="s">
        <v>3306</v>
      </c>
      <c r="M3712">
        <v>343</v>
      </c>
      <c r="N3712" s="123">
        <v>1</v>
      </c>
      <c r="O3712">
        <v>2381</v>
      </c>
      <c r="P3712" s="132" t="s">
        <v>77</v>
      </c>
      <c r="Q3712" s="132">
        <v>11937.04</v>
      </c>
      <c r="R3712" s="132">
        <v>1909.9264000000003</v>
      </c>
      <c r="S3712" s="132"/>
      <c r="T3712" s="156"/>
      <c r="U3712" s="132"/>
      <c r="V3712" s="132">
        <v>13846.966400000001</v>
      </c>
      <c r="W3712">
        <v>353</v>
      </c>
      <c r="X3712" s="153" t="s">
        <v>2035</v>
      </c>
      <c r="Y3712" s="124" t="s">
        <v>55</v>
      </c>
      <c r="Z3712" s="308">
        <v>254</v>
      </c>
      <c r="AB3712" t="str">
        <f>IF(Table1[[#This Row],[TIPO2]]="costo", VLOOKUP(Table1[[#This Row],[PARTIDA PRESUPUESTAL]],'Cost Report'!G:G,1,0),"Balance")</f>
        <v>3632-008</v>
      </c>
      <c r="AC3712" s="118"/>
      <c r="AD3712" s="159">
        <f>+Table1[[#This Row],[SUBTOTAL]]+Table1[[#This Row],[IVA]]-Table1[[#This Row],[RET IVA]]-Table1[[#This Row],[RET ISR]]-Table1[[#This Row],[TOTAL]]</f>
        <v>0</v>
      </c>
      <c r="AE3712" s="152"/>
      <c r="AF3712" s="153"/>
      <c r="AG3712" s="126"/>
      <c r="AK3712" s="306" t="str">
        <f>IF(ISNUMBER(Table1[[#This Row],[FECHA DE RECIBIDO]]), Table1[[#This Row],[FECHA DE RECIBIDO]]-DATE(2023,8,30), "")</f>
        <v/>
      </c>
    </row>
    <row r="3713" spans="1:37" ht="15" customHeight="1">
      <c r="A3713" s="150"/>
      <c r="B3713" s="151">
        <v>1261</v>
      </c>
      <c r="C3713" s="126" t="s">
        <v>2870</v>
      </c>
      <c r="D3713">
        <v>2497</v>
      </c>
      <c r="E3713" s="126" t="s">
        <v>2001</v>
      </c>
      <c r="F3713" s="122" t="s">
        <v>1607</v>
      </c>
      <c r="G3713" s="122" t="s">
        <v>134</v>
      </c>
      <c r="H3713">
        <v>23</v>
      </c>
      <c r="I3713" s="122" t="s">
        <v>1546</v>
      </c>
      <c r="J3713" s="307" t="s">
        <v>214</v>
      </c>
      <c r="K3713" s="127" t="s">
        <v>4212</v>
      </c>
      <c r="L3713" s="151" t="s">
        <v>3306</v>
      </c>
      <c r="M3713">
        <v>343</v>
      </c>
      <c r="N3713" s="123">
        <v>1</v>
      </c>
      <c r="O3713">
        <v>2381</v>
      </c>
      <c r="P3713" s="132" t="s">
        <v>77</v>
      </c>
      <c r="Q3713" s="131">
        <v>13307.62</v>
      </c>
      <c r="R3713" s="131">
        <v>2129.2192</v>
      </c>
      <c r="S3713" s="131"/>
      <c r="T3713" s="155"/>
      <c r="U3713" s="131"/>
      <c r="V3713" s="131">
        <v>15436.8392</v>
      </c>
      <c r="W3713">
        <v>353</v>
      </c>
      <c r="X3713" s="151" t="s">
        <v>2035</v>
      </c>
      <c r="Y3713" s="135" t="s">
        <v>55</v>
      </c>
      <c r="Z3713" s="307">
        <v>254</v>
      </c>
      <c r="AB3713" t="str">
        <f>IF(Table1[[#This Row],[TIPO2]]="costo", VLOOKUP(Table1[[#This Row],[PARTIDA PRESUPUESTAL]],'Cost Report'!G:G,1,0),"Balance")</f>
        <v>3632-013</v>
      </c>
      <c r="AC3713" s="118"/>
      <c r="AD3713" s="159">
        <f>+Table1[[#This Row],[SUBTOTAL]]+Table1[[#This Row],[IVA]]-Table1[[#This Row],[RET IVA]]-Table1[[#This Row],[RET ISR]]-Table1[[#This Row],[TOTAL]]</f>
        <v>0</v>
      </c>
      <c r="AE3713" s="150"/>
      <c r="AF3713" s="151"/>
      <c r="AG3713" s="126"/>
      <c r="AK3713" s="306" t="str">
        <f>IF(ISNUMBER(Table1[[#This Row],[FECHA DE RECIBIDO]]), Table1[[#This Row],[FECHA DE RECIBIDO]]-DATE(2023,8,30), "")</f>
        <v/>
      </c>
    </row>
    <row r="3714" spans="1:37" ht="15" customHeight="1">
      <c r="A3714" s="152"/>
      <c r="B3714" s="153">
        <v>1261</v>
      </c>
      <c r="C3714" s="126" t="s">
        <v>2864</v>
      </c>
      <c r="D3714">
        <v>2497</v>
      </c>
      <c r="E3714" s="126" t="s">
        <v>2001</v>
      </c>
      <c r="F3714" s="125" t="s">
        <v>1607</v>
      </c>
      <c r="G3714" s="125" t="s">
        <v>134</v>
      </c>
      <c r="H3714">
        <v>23</v>
      </c>
      <c r="I3714" s="125" t="s">
        <v>1546</v>
      </c>
      <c r="J3714" s="308" t="s">
        <v>214</v>
      </c>
      <c r="K3714" s="127" t="s">
        <v>4212</v>
      </c>
      <c r="L3714" s="153" t="s">
        <v>3306</v>
      </c>
      <c r="M3714">
        <v>343</v>
      </c>
      <c r="N3714" s="123">
        <v>1</v>
      </c>
      <c r="O3714">
        <v>2381</v>
      </c>
      <c r="P3714" s="132" t="s">
        <v>77</v>
      </c>
      <c r="Q3714" s="132">
        <v>25404</v>
      </c>
      <c r="R3714" s="132">
        <v>4064.64</v>
      </c>
      <c r="S3714" s="132"/>
      <c r="T3714" s="156"/>
      <c r="U3714" s="132"/>
      <c r="V3714" s="132">
        <v>29468.639999999999</v>
      </c>
      <c r="W3714">
        <v>353</v>
      </c>
      <c r="X3714" s="153" t="s">
        <v>2035</v>
      </c>
      <c r="Y3714" s="124" t="s">
        <v>55</v>
      </c>
      <c r="Z3714" s="308">
        <v>254</v>
      </c>
      <c r="AB3714" t="str">
        <f>IF(Table1[[#This Row],[TIPO2]]="costo", VLOOKUP(Table1[[#This Row],[PARTIDA PRESUPUESTAL]],'Cost Report'!G:G,1,0),"Balance")</f>
        <v>3632-003</v>
      </c>
      <c r="AC3714" s="118"/>
      <c r="AD3714" s="159">
        <f>+Table1[[#This Row],[SUBTOTAL]]+Table1[[#This Row],[IVA]]-Table1[[#This Row],[RET IVA]]-Table1[[#This Row],[RET ISR]]-Table1[[#This Row],[TOTAL]]</f>
        <v>0</v>
      </c>
      <c r="AE3714" s="152"/>
      <c r="AF3714" s="153"/>
      <c r="AG3714" s="126"/>
      <c r="AK3714" s="306" t="str">
        <f>IF(ISNUMBER(Table1[[#This Row],[FECHA DE RECIBIDO]]), Table1[[#This Row],[FECHA DE RECIBIDO]]-DATE(2023,8,30), "")</f>
        <v/>
      </c>
    </row>
    <row r="3715" spans="1:37" ht="15" customHeight="1">
      <c r="A3715" s="150"/>
      <c r="B3715" s="151">
        <v>1261</v>
      </c>
      <c r="C3715" s="126" t="s">
        <v>2867</v>
      </c>
      <c r="D3715">
        <v>2497</v>
      </c>
      <c r="E3715" s="126" t="s">
        <v>2001</v>
      </c>
      <c r="F3715" s="122" t="s">
        <v>1607</v>
      </c>
      <c r="G3715" s="122" t="s">
        <v>134</v>
      </c>
      <c r="H3715">
        <v>23</v>
      </c>
      <c r="I3715" s="122" t="s">
        <v>1546</v>
      </c>
      <c r="J3715" s="307" t="s">
        <v>214</v>
      </c>
      <c r="K3715" s="127" t="s">
        <v>4212</v>
      </c>
      <c r="L3715" s="151" t="s">
        <v>3306</v>
      </c>
      <c r="M3715">
        <v>343</v>
      </c>
      <c r="N3715" s="123">
        <v>1</v>
      </c>
      <c r="O3715">
        <v>2381</v>
      </c>
      <c r="P3715" s="132" t="s">
        <v>77</v>
      </c>
      <c r="Q3715" s="131">
        <v>21164.41</v>
      </c>
      <c r="R3715" s="131">
        <v>3386.3056000000001</v>
      </c>
      <c r="S3715" s="131"/>
      <c r="T3715" s="155"/>
      <c r="U3715" s="131"/>
      <c r="V3715" s="131">
        <v>24550.7156</v>
      </c>
      <c r="W3715">
        <v>353</v>
      </c>
      <c r="X3715" s="151" t="s">
        <v>2035</v>
      </c>
      <c r="Y3715" s="135" t="s">
        <v>55</v>
      </c>
      <c r="Z3715" s="307">
        <v>254</v>
      </c>
      <c r="AB3715" t="str">
        <f>IF(Table1[[#This Row],[TIPO2]]="costo", VLOOKUP(Table1[[#This Row],[PARTIDA PRESUPUESTAL]],'Cost Report'!G:G,1,0),"Balance")</f>
        <v>3632-008</v>
      </c>
      <c r="AC3715" s="118"/>
      <c r="AD3715" s="159">
        <f>+Table1[[#This Row],[SUBTOTAL]]+Table1[[#This Row],[IVA]]-Table1[[#This Row],[RET IVA]]-Table1[[#This Row],[RET ISR]]-Table1[[#This Row],[TOTAL]]</f>
        <v>0</v>
      </c>
      <c r="AE3715" s="150"/>
      <c r="AF3715" s="151"/>
      <c r="AG3715" s="126"/>
      <c r="AK3715" s="306" t="str">
        <f>IF(ISNUMBER(Table1[[#This Row],[FECHA DE RECIBIDO]]), Table1[[#This Row],[FECHA DE RECIBIDO]]-DATE(2023,8,30), "")</f>
        <v/>
      </c>
    </row>
    <row r="3716" spans="1:37" ht="15" customHeight="1">
      <c r="A3716" s="152"/>
      <c r="B3716" s="153">
        <v>1261</v>
      </c>
      <c r="C3716" s="126" t="s">
        <v>2836</v>
      </c>
      <c r="D3716">
        <v>2497</v>
      </c>
      <c r="E3716" s="126" t="s">
        <v>2001</v>
      </c>
      <c r="F3716" s="125" t="s">
        <v>1607</v>
      </c>
      <c r="G3716" s="125" t="s">
        <v>134</v>
      </c>
      <c r="H3716">
        <v>23</v>
      </c>
      <c r="I3716" s="125" t="s">
        <v>1546</v>
      </c>
      <c r="J3716" s="308" t="s">
        <v>214</v>
      </c>
      <c r="K3716" s="127" t="s">
        <v>4212</v>
      </c>
      <c r="L3716" s="153" t="s">
        <v>3306</v>
      </c>
      <c r="M3716">
        <v>343</v>
      </c>
      <c r="N3716" s="123">
        <v>1</v>
      </c>
      <c r="O3716">
        <v>2381</v>
      </c>
      <c r="P3716" s="132" t="s">
        <v>77</v>
      </c>
      <c r="Q3716" s="132">
        <v>25355.46</v>
      </c>
      <c r="R3716" s="132">
        <v>4056.8735999999999</v>
      </c>
      <c r="S3716" s="132"/>
      <c r="T3716" s="156"/>
      <c r="U3716" s="132"/>
      <c r="V3716" s="132">
        <v>29412.333599999998</v>
      </c>
      <c r="W3716">
        <v>353</v>
      </c>
      <c r="X3716" s="153" t="s">
        <v>2035</v>
      </c>
      <c r="Y3716" s="124" t="s">
        <v>55</v>
      </c>
      <c r="Z3716" s="308">
        <v>254</v>
      </c>
      <c r="AB3716" t="str">
        <f>IF(Table1[[#This Row],[TIPO2]]="costo", VLOOKUP(Table1[[#This Row],[PARTIDA PRESUPUESTAL]],'Cost Report'!G:G,1,0),"Balance")</f>
        <v>3442-025</v>
      </c>
      <c r="AC3716" s="118"/>
      <c r="AD3716" s="159">
        <f>+Table1[[#This Row],[SUBTOTAL]]+Table1[[#This Row],[IVA]]-Table1[[#This Row],[RET IVA]]-Table1[[#This Row],[RET ISR]]-Table1[[#This Row],[TOTAL]]</f>
        <v>0</v>
      </c>
      <c r="AE3716" s="152"/>
      <c r="AF3716" s="153"/>
      <c r="AG3716" s="126"/>
      <c r="AK3716" s="306" t="str">
        <f>IF(ISNUMBER(Table1[[#This Row],[FECHA DE RECIBIDO]]), Table1[[#This Row],[FECHA DE RECIBIDO]]-DATE(2023,8,30), "")</f>
        <v/>
      </c>
    </row>
    <row r="3717" spans="1:37" ht="15" customHeight="1">
      <c r="A3717" s="150"/>
      <c r="B3717" s="151">
        <v>1261</v>
      </c>
      <c r="C3717" s="126" t="s">
        <v>2838</v>
      </c>
      <c r="D3717">
        <v>2497</v>
      </c>
      <c r="E3717" s="126" t="s">
        <v>2001</v>
      </c>
      <c r="F3717" s="122" t="s">
        <v>1607</v>
      </c>
      <c r="G3717" s="122" t="s">
        <v>134</v>
      </c>
      <c r="H3717">
        <v>23</v>
      </c>
      <c r="I3717" s="122" t="s">
        <v>1546</v>
      </c>
      <c r="J3717" s="307" t="s">
        <v>214</v>
      </c>
      <c r="K3717" s="127" t="s">
        <v>4212</v>
      </c>
      <c r="L3717" s="151" t="s">
        <v>3306</v>
      </c>
      <c r="M3717">
        <v>343</v>
      </c>
      <c r="N3717" s="123">
        <v>1</v>
      </c>
      <c r="O3717">
        <v>2381</v>
      </c>
      <c r="P3717" s="132" t="s">
        <v>77</v>
      </c>
      <c r="Q3717" s="131">
        <v>3619.67</v>
      </c>
      <c r="R3717" s="131">
        <v>579.1472</v>
      </c>
      <c r="S3717" s="131"/>
      <c r="T3717" s="155"/>
      <c r="U3717" s="131"/>
      <c r="V3717" s="131">
        <v>4198.8172000000004</v>
      </c>
      <c r="W3717">
        <v>353</v>
      </c>
      <c r="X3717" s="151" t="s">
        <v>2035</v>
      </c>
      <c r="Y3717" s="135" t="s">
        <v>55</v>
      </c>
      <c r="Z3717" s="307">
        <v>254</v>
      </c>
      <c r="AB3717" t="str">
        <f>IF(Table1[[#This Row],[TIPO2]]="costo", VLOOKUP(Table1[[#This Row],[PARTIDA PRESUPUESTAL]],'Cost Report'!G:G,1,0),"Balance")</f>
        <v>3442-029</v>
      </c>
      <c r="AC3717" s="118"/>
      <c r="AD3717" s="159">
        <f>+Table1[[#This Row],[SUBTOTAL]]+Table1[[#This Row],[IVA]]-Table1[[#This Row],[RET IVA]]-Table1[[#This Row],[RET ISR]]-Table1[[#This Row],[TOTAL]]</f>
        <v>0</v>
      </c>
      <c r="AE3717" s="150"/>
      <c r="AF3717" s="151"/>
      <c r="AG3717" s="126"/>
      <c r="AK3717" s="306" t="str">
        <f>IF(ISNUMBER(Table1[[#This Row],[FECHA DE RECIBIDO]]), Table1[[#This Row],[FECHA DE RECIBIDO]]-DATE(2023,8,30), "")</f>
        <v/>
      </c>
    </row>
    <row r="3718" spans="1:37" ht="15" customHeight="1">
      <c r="A3718" s="152"/>
      <c r="B3718" s="153">
        <v>1261</v>
      </c>
      <c r="C3718" s="126" t="s">
        <v>2860</v>
      </c>
      <c r="D3718">
        <v>2497</v>
      </c>
      <c r="E3718" s="126" t="s">
        <v>2001</v>
      </c>
      <c r="F3718" s="125" t="s">
        <v>1607</v>
      </c>
      <c r="G3718" s="125" t="s">
        <v>134</v>
      </c>
      <c r="H3718">
        <v>23</v>
      </c>
      <c r="I3718" s="125" t="s">
        <v>1546</v>
      </c>
      <c r="J3718" s="308" t="s">
        <v>214</v>
      </c>
      <c r="K3718" s="127" t="s">
        <v>4212</v>
      </c>
      <c r="L3718" s="153" t="s">
        <v>3306</v>
      </c>
      <c r="M3718">
        <v>343</v>
      </c>
      <c r="N3718" s="123">
        <v>1</v>
      </c>
      <c r="O3718">
        <v>2381</v>
      </c>
      <c r="P3718" s="132" t="s">
        <v>77</v>
      </c>
      <c r="Q3718" s="132">
        <v>11855.87</v>
      </c>
      <c r="R3718" s="132">
        <v>1896.9392000000003</v>
      </c>
      <c r="S3718" s="132"/>
      <c r="T3718" s="156"/>
      <c r="U3718" s="132"/>
      <c r="V3718" s="132">
        <v>13752.809200000002</v>
      </c>
      <c r="W3718">
        <v>353</v>
      </c>
      <c r="X3718" s="153" t="s">
        <v>2035</v>
      </c>
      <c r="Y3718" s="124" t="s">
        <v>55</v>
      </c>
      <c r="Z3718" s="308">
        <v>254</v>
      </c>
      <c r="AB3718" t="str">
        <f>IF(Table1[[#This Row],[TIPO2]]="costo", VLOOKUP(Table1[[#This Row],[PARTIDA PRESUPUESTAL]],'Cost Report'!G:G,1,0),"Balance")</f>
        <v>3629-003</v>
      </c>
      <c r="AC3718" s="118"/>
      <c r="AD3718" s="159">
        <f>+Table1[[#This Row],[SUBTOTAL]]+Table1[[#This Row],[IVA]]-Table1[[#This Row],[RET IVA]]-Table1[[#This Row],[RET ISR]]-Table1[[#This Row],[TOTAL]]</f>
        <v>0</v>
      </c>
      <c r="AE3718" s="152"/>
      <c r="AF3718" s="153"/>
      <c r="AG3718" s="126"/>
      <c r="AK3718" s="306" t="str">
        <f>IF(ISNUMBER(Table1[[#This Row],[FECHA DE RECIBIDO]]), Table1[[#This Row],[FECHA DE RECIBIDO]]-DATE(2023,8,30), "")</f>
        <v/>
      </c>
    </row>
    <row r="3719" spans="1:37" ht="15" customHeight="1">
      <c r="A3719" s="150"/>
      <c r="B3719" s="151">
        <v>1261</v>
      </c>
      <c r="C3719" s="126" t="s">
        <v>2861</v>
      </c>
      <c r="D3719">
        <v>2497</v>
      </c>
      <c r="E3719" s="126" t="s">
        <v>2001</v>
      </c>
      <c r="F3719" s="122" t="s">
        <v>1607</v>
      </c>
      <c r="G3719" s="122" t="s">
        <v>134</v>
      </c>
      <c r="H3719">
        <v>23</v>
      </c>
      <c r="I3719" s="122" t="s">
        <v>1546</v>
      </c>
      <c r="J3719" s="307" t="s">
        <v>214</v>
      </c>
      <c r="K3719" s="127" t="s">
        <v>4212</v>
      </c>
      <c r="L3719" s="151" t="s">
        <v>3306</v>
      </c>
      <c r="M3719">
        <v>343</v>
      </c>
      <c r="N3719" s="123">
        <v>1</v>
      </c>
      <c r="O3719">
        <v>2381</v>
      </c>
      <c r="P3719" s="132" t="s">
        <v>77</v>
      </c>
      <c r="Q3719" s="131">
        <v>10173.379999999999</v>
      </c>
      <c r="R3719" s="131">
        <v>1627.7407999999998</v>
      </c>
      <c r="S3719" s="131"/>
      <c r="T3719" s="155"/>
      <c r="U3719" s="131"/>
      <c r="V3719" s="131">
        <v>11801.120799999999</v>
      </c>
      <c r="W3719">
        <v>353</v>
      </c>
      <c r="X3719" s="151" t="s">
        <v>2035</v>
      </c>
      <c r="Y3719" s="135" t="s">
        <v>55</v>
      </c>
      <c r="Z3719" s="307">
        <v>254</v>
      </c>
      <c r="AB3719" t="str">
        <f>IF(Table1[[#This Row],[TIPO2]]="costo", VLOOKUP(Table1[[#This Row],[PARTIDA PRESUPUESTAL]],'Cost Report'!G:G,1,0),"Balance")</f>
        <v>3629-004</v>
      </c>
      <c r="AC3719" s="118"/>
      <c r="AD3719" s="159">
        <f>+Table1[[#This Row],[SUBTOTAL]]+Table1[[#This Row],[IVA]]-Table1[[#This Row],[RET IVA]]-Table1[[#This Row],[RET ISR]]-Table1[[#This Row],[TOTAL]]</f>
        <v>0</v>
      </c>
      <c r="AE3719" s="150"/>
      <c r="AF3719" s="151"/>
      <c r="AG3719" s="126"/>
      <c r="AK3719" s="306" t="str">
        <f>IF(ISNUMBER(Table1[[#This Row],[FECHA DE RECIBIDO]]), Table1[[#This Row],[FECHA DE RECIBIDO]]-DATE(2023,8,30), "")</f>
        <v/>
      </c>
    </row>
    <row r="3720" spans="1:37" ht="15" customHeight="1">
      <c r="A3720" s="152"/>
      <c r="B3720" s="153">
        <v>1261</v>
      </c>
      <c r="C3720" s="126" t="s">
        <v>1066</v>
      </c>
      <c r="D3720">
        <v>2497</v>
      </c>
      <c r="E3720" s="126" t="s">
        <v>2001</v>
      </c>
      <c r="F3720" s="125" t="s">
        <v>1607</v>
      </c>
      <c r="G3720" s="125" t="s">
        <v>134</v>
      </c>
      <c r="H3720">
        <v>23</v>
      </c>
      <c r="I3720" s="125" t="s">
        <v>1546</v>
      </c>
      <c r="J3720" s="308" t="s">
        <v>214</v>
      </c>
      <c r="K3720" s="127" t="s">
        <v>4212</v>
      </c>
      <c r="L3720" s="153" t="s">
        <v>3306</v>
      </c>
      <c r="M3720">
        <v>343</v>
      </c>
      <c r="N3720" s="123">
        <v>1</v>
      </c>
      <c r="O3720">
        <v>2381</v>
      </c>
      <c r="P3720" s="132" t="s">
        <v>77</v>
      </c>
      <c r="Q3720" s="132">
        <v>7328.36</v>
      </c>
      <c r="R3720" s="132">
        <v>1172.5375999999999</v>
      </c>
      <c r="S3720" s="132"/>
      <c r="T3720" s="156"/>
      <c r="U3720" s="132"/>
      <c r="V3720" s="132">
        <v>8500.8976000000002</v>
      </c>
      <c r="W3720">
        <v>353</v>
      </c>
      <c r="X3720" s="153" t="s">
        <v>2035</v>
      </c>
      <c r="Y3720" s="124" t="s">
        <v>55</v>
      </c>
      <c r="Z3720" s="308">
        <v>254</v>
      </c>
      <c r="AB3720" t="str">
        <f>IF(Table1[[#This Row],[TIPO2]]="costo", VLOOKUP(Table1[[#This Row],[PARTIDA PRESUPUESTAL]],'Cost Report'!G:G,1,0),"Balance")</f>
        <v>3683-053</v>
      </c>
      <c r="AC3720" s="118"/>
      <c r="AD3720" s="159">
        <f>+Table1[[#This Row],[SUBTOTAL]]+Table1[[#This Row],[IVA]]-Table1[[#This Row],[RET IVA]]-Table1[[#This Row],[RET ISR]]-Table1[[#This Row],[TOTAL]]</f>
        <v>0</v>
      </c>
      <c r="AE3720" s="152"/>
      <c r="AF3720" s="153"/>
      <c r="AG3720" s="126"/>
      <c r="AK3720" s="306" t="str">
        <f>IF(ISNUMBER(Table1[[#This Row],[FECHA DE RECIBIDO]]), Table1[[#This Row],[FECHA DE RECIBIDO]]-DATE(2023,8,30), "")</f>
        <v/>
      </c>
    </row>
    <row r="3721" spans="1:37" ht="15" customHeight="1">
      <c r="A3721" s="150"/>
      <c r="B3721" s="151">
        <v>1261</v>
      </c>
      <c r="C3721" s="126" t="s">
        <v>1068</v>
      </c>
      <c r="D3721">
        <v>2497</v>
      </c>
      <c r="E3721" s="126" t="s">
        <v>2001</v>
      </c>
      <c r="F3721" s="122" t="s">
        <v>1607</v>
      </c>
      <c r="G3721" s="122" t="s">
        <v>134</v>
      </c>
      <c r="H3721">
        <v>23</v>
      </c>
      <c r="I3721" s="122" t="s">
        <v>1546</v>
      </c>
      <c r="J3721" s="307" t="s">
        <v>214</v>
      </c>
      <c r="K3721" s="127" t="s">
        <v>4212</v>
      </c>
      <c r="L3721" s="151" t="s">
        <v>3306</v>
      </c>
      <c r="M3721">
        <v>343</v>
      </c>
      <c r="N3721" s="123">
        <v>1</v>
      </c>
      <c r="O3721">
        <v>2381</v>
      </c>
      <c r="P3721" s="132" t="s">
        <v>77</v>
      </c>
      <c r="Q3721" s="131">
        <v>7393.12</v>
      </c>
      <c r="R3721" s="131">
        <v>1182.8992000000001</v>
      </c>
      <c r="S3721" s="131"/>
      <c r="T3721" s="155"/>
      <c r="U3721" s="131"/>
      <c r="V3721" s="131">
        <v>8576.0192000000006</v>
      </c>
      <c r="W3721">
        <v>353</v>
      </c>
      <c r="X3721" s="151" t="s">
        <v>2035</v>
      </c>
      <c r="Y3721" s="135" t="s">
        <v>55</v>
      </c>
      <c r="Z3721" s="307">
        <v>254</v>
      </c>
      <c r="AB3721" t="str">
        <f>IF(Table1[[#This Row],[TIPO2]]="costo", VLOOKUP(Table1[[#This Row],[PARTIDA PRESUPUESTAL]],'Cost Report'!G:G,1,0),"Balance")</f>
        <v>3683-055</v>
      </c>
      <c r="AC3721" s="118"/>
      <c r="AD3721" s="159">
        <f>+Table1[[#This Row],[SUBTOTAL]]+Table1[[#This Row],[IVA]]-Table1[[#This Row],[RET IVA]]-Table1[[#This Row],[RET ISR]]-Table1[[#This Row],[TOTAL]]</f>
        <v>0</v>
      </c>
      <c r="AE3721" s="150"/>
      <c r="AF3721" s="151"/>
      <c r="AG3721" s="126"/>
      <c r="AK3721" s="306" t="str">
        <f>IF(ISNUMBER(Table1[[#This Row],[FECHA DE RECIBIDO]]), Table1[[#This Row],[FECHA DE RECIBIDO]]-DATE(2023,8,30), "")</f>
        <v/>
      </c>
    </row>
    <row r="3722" spans="1:37" ht="15" customHeight="1">
      <c r="A3722" s="152"/>
      <c r="B3722" s="153">
        <v>1261</v>
      </c>
      <c r="C3722" s="126" t="s">
        <v>2992</v>
      </c>
      <c r="D3722">
        <v>2497</v>
      </c>
      <c r="E3722" s="126" t="s">
        <v>2001</v>
      </c>
      <c r="F3722" s="125" t="s">
        <v>1607</v>
      </c>
      <c r="G3722" s="125" t="s">
        <v>134</v>
      </c>
      <c r="H3722">
        <v>23</v>
      </c>
      <c r="I3722" s="125" t="s">
        <v>1546</v>
      </c>
      <c r="J3722" s="308" t="s">
        <v>214</v>
      </c>
      <c r="K3722" s="127" t="s">
        <v>4212</v>
      </c>
      <c r="L3722" s="153" t="s">
        <v>3306</v>
      </c>
      <c r="M3722">
        <v>343</v>
      </c>
      <c r="N3722" s="123">
        <v>1</v>
      </c>
      <c r="O3722">
        <v>2381</v>
      </c>
      <c r="P3722" s="132" t="s">
        <v>77</v>
      </c>
      <c r="Q3722" s="132">
        <v>9433.6299999999992</v>
      </c>
      <c r="R3722" s="132">
        <v>1509.3807999999999</v>
      </c>
      <c r="S3722" s="132"/>
      <c r="T3722" s="156"/>
      <c r="U3722" s="132"/>
      <c r="V3722" s="132">
        <v>10943.0108</v>
      </c>
      <c r="W3722">
        <v>353</v>
      </c>
      <c r="X3722" s="153" t="s">
        <v>2035</v>
      </c>
      <c r="Y3722" s="124" t="s">
        <v>55</v>
      </c>
      <c r="Z3722" s="308">
        <v>254</v>
      </c>
      <c r="AB3722" t="str">
        <f>IF(Table1[[#This Row],[TIPO2]]="costo", VLOOKUP(Table1[[#This Row],[PARTIDA PRESUPUESTAL]],'Cost Report'!G:G,1,0),"Balance")</f>
        <v>3936-004</v>
      </c>
      <c r="AC3722" s="118"/>
      <c r="AD3722" s="159">
        <f>+Table1[[#This Row],[SUBTOTAL]]+Table1[[#This Row],[IVA]]-Table1[[#This Row],[RET IVA]]-Table1[[#This Row],[RET ISR]]-Table1[[#This Row],[TOTAL]]</f>
        <v>0</v>
      </c>
      <c r="AE3722" s="152"/>
      <c r="AF3722" s="153"/>
      <c r="AG3722" s="126"/>
      <c r="AK3722" s="306" t="str">
        <f>IF(ISNUMBER(Table1[[#This Row],[FECHA DE RECIBIDO]]), Table1[[#This Row],[FECHA DE RECIBIDO]]-DATE(2023,8,30), "")</f>
        <v/>
      </c>
    </row>
    <row r="3723" spans="1:37" ht="15" customHeight="1">
      <c r="A3723" s="150"/>
      <c r="B3723" s="151">
        <v>1261</v>
      </c>
      <c r="C3723" s="126" t="s">
        <v>2994</v>
      </c>
      <c r="D3723">
        <v>2497</v>
      </c>
      <c r="E3723" s="126" t="s">
        <v>2001</v>
      </c>
      <c r="F3723" s="122" t="s">
        <v>1607</v>
      </c>
      <c r="G3723" s="122" t="s">
        <v>134</v>
      </c>
      <c r="H3723">
        <v>23</v>
      </c>
      <c r="I3723" s="122" t="s">
        <v>1546</v>
      </c>
      <c r="J3723" s="307" t="s">
        <v>214</v>
      </c>
      <c r="K3723" s="127" t="s">
        <v>4212</v>
      </c>
      <c r="L3723" s="151" t="s">
        <v>3306</v>
      </c>
      <c r="M3723">
        <v>343</v>
      </c>
      <c r="N3723" s="123">
        <v>1</v>
      </c>
      <c r="O3723">
        <v>2381</v>
      </c>
      <c r="P3723" s="132" t="s">
        <v>77</v>
      </c>
      <c r="Q3723" s="131">
        <v>975.89</v>
      </c>
      <c r="R3723" s="131">
        <v>156.14240000000001</v>
      </c>
      <c r="S3723" s="131"/>
      <c r="T3723" s="155"/>
      <c r="U3723" s="131"/>
      <c r="V3723" s="131">
        <v>1132.0324000000001</v>
      </c>
      <c r="W3723">
        <v>353</v>
      </c>
      <c r="X3723" s="151" t="s">
        <v>2035</v>
      </c>
      <c r="Y3723" s="135" t="s">
        <v>55</v>
      </c>
      <c r="Z3723" s="307">
        <v>254</v>
      </c>
      <c r="AB3723" t="str">
        <f>IF(Table1[[#This Row],[TIPO2]]="costo", VLOOKUP(Table1[[#This Row],[PARTIDA PRESUPUESTAL]],'Cost Report'!G:G,1,0),"Balance")</f>
        <v>3936-008</v>
      </c>
      <c r="AC3723" s="118"/>
      <c r="AD3723" s="159">
        <f>+Table1[[#This Row],[SUBTOTAL]]+Table1[[#This Row],[IVA]]-Table1[[#This Row],[RET IVA]]-Table1[[#This Row],[RET ISR]]-Table1[[#This Row],[TOTAL]]</f>
        <v>0</v>
      </c>
      <c r="AE3723" s="150"/>
      <c r="AF3723" s="151"/>
      <c r="AG3723" s="126"/>
      <c r="AK3723" s="306" t="str">
        <f>IF(ISNUMBER(Table1[[#This Row],[FECHA DE RECIBIDO]]), Table1[[#This Row],[FECHA DE RECIBIDO]]-DATE(2023,8,30), "")</f>
        <v/>
      </c>
    </row>
    <row r="3724" spans="1:37" ht="15" customHeight="1">
      <c r="A3724" s="152"/>
      <c r="B3724" s="153">
        <v>1261</v>
      </c>
      <c r="C3724" s="126" t="s">
        <v>2995</v>
      </c>
      <c r="D3724">
        <v>2497</v>
      </c>
      <c r="E3724" s="126" t="s">
        <v>2001</v>
      </c>
      <c r="F3724" s="125" t="s">
        <v>1607</v>
      </c>
      <c r="G3724" s="125" t="s">
        <v>134</v>
      </c>
      <c r="H3724">
        <v>23</v>
      </c>
      <c r="I3724" s="125" t="s">
        <v>1546</v>
      </c>
      <c r="J3724" s="308" t="s">
        <v>214</v>
      </c>
      <c r="K3724" s="127" t="s">
        <v>4212</v>
      </c>
      <c r="L3724" s="153" t="s">
        <v>3306</v>
      </c>
      <c r="M3724">
        <v>343</v>
      </c>
      <c r="N3724" s="123">
        <v>1</v>
      </c>
      <c r="O3724">
        <v>2381</v>
      </c>
      <c r="P3724" s="132" t="s">
        <v>77</v>
      </c>
      <c r="Q3724" s="132">
        <v>4879.46</v>
      </c>
      <c r="R3724" s="132">
        <v>780.71360000000004</v>
      </c>
      <c r="S3724" s="132"/>
      <c r="T3724" s="156"/>
      <c r="U3724" s="132"/>
      <c r="V3724" s="132">
        <v>5660.1736000000001</v>
      </c>
      <c r="W3724">
        <v>353</v>
      </c>
      <c r="X3724" s="153" t="s">
        <v>2035</v>
      </c>
      <c r="Y3724" s="124" t="s">
        <v>55</v>
      </c>
      <c r="Z3724" s="308">
        <v>254</v>
      </c>
      <c r="AB3724" t="str">
        <f>IF(Table1[[#This Row],[TIPO2]]="costo", VLOOKUP(Table1[[#This Row],[PARTIDA PRESUPUESTAL]],'Cost Report'!G:G,1,0),"Balance")</f>
        <v>3936-009</v>
      </c>
      <c r="AC3724" s="118"/>
      <c r="AD3724" s="159">
        <f>+Table1[[#This Row],[SUBTOTAL]]+Table1[[#This Row],[IVA]]-Table1[[#This Row],[RET IVA]]-Table1[[#This Row],[RET ISR]]-Table1[[#This Row],[TOTAL]]</f>
        <v>0</v>
      </c>
      <c r="AE3724" s="152"/>
      <c r="AF3724" s="153"/>
      <c r="AG3724" s="126"/>
      <c r="AK3724" s="306" t="str">
        <f>IF(ISNUMBER(Table1[[#This Row],[FECHA DE RECIBIDO]]), Table1[[#This Row],[FECHA DE RECIBIDO]]-DATE(2023,8,30), "")</f>
        <v/>
      </c>
    </row>
    <row r="3725" spans="1:37" ht="15" customHeight="1">
      <c r="A3725" s="150"/>
      <c r="B3725" s="151">
        <v>1261</v>
      </c>
      <c r="C3725" s="126" t="s">
        <v>2991</v>
      </c>
      <c r="D3725">
        <v>2497</v>
      </c>
      <c r="E3725" s="126" t="s">
        <v>2001</v>
      </c>
      <c r="F3725" s="122" t="s">
        <v>1607</v>
      </c>
      <c r="G3725" s="122" t="s">
        <v>134</v>
      </c>
      <c r="H3725">
        <v>23</v>
      </c>
      <c r="I3725" s="122" t="s">
        <v>1546</v>
      </c>
      <c r="J3725" s="307" t="s">
        <v>214</v>
      </c>
      <c r="K3725" s="127" t="s">
        <v>4212</v>
      </c>
      <c r="L3725" s="151" t="s">
        <v>3306</v>
      </c>
      <c r="M3725">
        <v>343</v>
      </c>
      <c r="N3725" s="123">
        <v>1</v>
      </c>
      <c r="O3725">
        <v>2381</v>
      </c>
      <c r="P3725" s="132" t="s">
        <v>77</v>
      </c>
      <c r="Q3725" s="131">
        <v>1399.96</v>
      </c>
      <c r="R3725" s="131">
        <v>223.99360000000001</v>
      </c>
      <c r="S3725" s="131"/>
      <c r="T3725" s="155"/>
      <c r="U3725" s="131"/>
      <c r="V3725" s="131">
        <v>1623.9536000000001</v>
      </c>
      <c r="W3725">
        <v>353</v>
      </c>
      <c r="X3725" s="151" t="s">
        <v>2035</v>
      </c>
      <c r="Y3725" s="135" t="s">
        <v>55</v>
      </c>
      <c r="Z3725" s="307">
        <v>254</v>
      </c>
      <c r="AB3725" t="str">
        <f>IF(Table1[[#This Row],[TIPO2]]="costo", VLOOKUP(Table1[[#This Row],[PARTIDA PRESUPUESTAL]],'Cost Report'!G:G,1,0),"Balance")</f>
        <v>3936-003</v>
      </c>
      <c r="AC3725" s="118"/>
      <c r="AD3725" s="159">
        <f>+Table1[[#This Row],[SUBTOTAL]]+Table1[[#This Row],[IVA]]-Table1[[#This Row],[RET IVA]]-Table1[[#This Row],[RET ISR]]-Table1[[#This Row],[TOTAL]]</f>
        <v>0</v>
      </c>
      <c r="AE3725" s="150"/>
      <c r="AF3725" s="151"/>
      <c r="AG3725" s="126"/>
      <c r="AK3725" s="306" t="str">
        <f>IF(ISNUMBER(Table1[[#This Row],[FECHA DE RECIBIDO]]), Table1[[#This Row],[FECHA DE RECIBIDO]]-DATE(2023,8,30), "")</f>
        <v/>
      </c>
    </row>
    <row r="3726" spans="1:37" ht="15" customHeight="1">
      <c r="A3726" s="152"/>
      <c r="B3726" s="153">
        <v>1261</v>
      </c>
      <c r="C3726" s="126" t="s">
        <v>2992</v>
      </c>
      <c r="D3726">
        <v>2497</v>
      </c>
      <c r="E3726" s="126" t="s">
        <v>2001</v>
      </c>
      <c r="F3726" s="125" t="s">
        <v>1607</v>
      </c>
      <c r="G3726" s="125" t="s">
        <v>134</v>
      </c>
      <c r="H3726">
        <v>23</v>
      </c>
      <c r="I3726" s="125" t="s">
        <v>1546</v>
      </c>
      <c r="J3726" s="308" t="s">
        <v>214</v>
      </c>
      <c r="K3726" s="127" t="s">
        <v>4212</v>
      </c>
      <c r="L3726" s="153" t="s">
        <v>3306</v>
      </c>
      <c r="M3726">
        <v>343</v>
      </c>
      <c r="N3726" s="123">
        <v>1</v>
      </c>
      <c r="O3726">
        <v>2381</v>
      </c>
      <c r="P3726" s="132" t="s">
        <v>77</v>
      </c>
      <c r="Q3726" s="132">
        <v>1399.96</v>
      </c>
      <c r="R3726" s="132">
        <v>223.99360000000001</v>
      </c>
      <c r="S3726" s="132"/>
      <c r="T3726" s="156"/>
      <c r="U3726" s="132"/>
      <c r="V3726" s="132">
        <v>1623.9536000000001</v>
      </c>
      <c r="W3726">
        <v>353</v>
      </c>
      <c r="X3726" s="153" t="s">
        <v>2035</v>
      </c>
      <c r="Y3726" s="124" t="s">
        <v>55</v>
      </c>
      <c r="Z3726" s="308">
        <v>254</v>
      </c>
      <c r="AB3726" t="str">
        <f>IF(Table1[[#This Row],[TIPO2]]="costo", VLOOKUP(Table1[[#This Row],[PARTIDA PRESUPUESTAL]],'Cost Report'!G:G,1,0),"Balance")</f>
        <v>3936-004</v>
      </c>
      <c r="AC3726" s="118"/>
      <c r="AD3726" s="159">
        <f>+Table1[[#This Row],[SUBTOTAL]]+Table1[[#This Row],[IVA]]-Table1[[#This Row],[RET IVA]]-Table1[[#This Row],[RET ISR]]-Table1[[#This Row],[TOTAL]]</f>
        <v>0</v>
      </c>
      <c r="AE3726" s="152"/>
      <c r="AF3726" s="153"/>
      <c r="AG3726" s="126"/>
      <c r="AK3726" s="306" t="str">
        <f>IF(ISNUMBER(Table1[[#This Row],[FECHA DE RECIBIDO]]), Table1[[#This Row],[FECHA DE RECIBIDO]]-DATE(2023,8,30), "")</f>
        <v/>
      </c>
    </row>
    <row r="3727" spans="1:37" ht="15" customHeight="1">
      <c r="A3727" s="150"/>
      <c r="B3727" s="151">
        <v>1261</v>
      </c>
      <c r="C3727" s="126" t="s">
        <v>2991</v>
      </c>
      <c r="D3727">
        <v>2497</v>
      </c>
      <c r="E3727" s="126" t="s">
        <v>2001</v>
      </c>
      <c r="F3727" s="122" t="s">
        <v>1607</v>
      </c>
      <c r="G3727" s="122" t="s">
        <v>134</v>
      </c>
      <c r="H3727">
        <v>23</v>
      </c>
      <c r="I3727" s="122" t="s">
        <v>1546</v>
      </c>
      <c r="J3727" s="307" t="s">
        <v>214</v>
      </c>
      <c r="K3727" s="127" t="s">
        <v>4212</v>
      </c>
      <c r="L3727" s="151" t="s">
        <v>3306</v>
      </c>
      <c r="M3727">
        <v>343</v>
      </c>
      <c r="N3727" s="123">
        <v>1</v>
      </c>
      <c r="O3727">
        <v>2381</v>
      </c>
      <c r="P3727" s="132" t="s">
        <v>77</v>
      </c>
      <c r="Q3727" s="131">
        <v>933.31</v>
      </c>
      <c r="R3727" s="131">
        <v>149.3296</v>
      </c>
      <c r="S3727" s="131"/>
      <c r="T3727" s="155"/>
      <c r="U3727" s="131"/>
      <c r="V3727" s="131">
        <v>1082.6396</v>
      </c>
      <c r="W3727">
        <v>353</v>
      </c>
      <c r="X3727" s="151" t="s">
        <v>2035</v>
      </c>
      <c r="Y3727" s="135" t="s">
        <v>55</v>
      </c>
      <c r="Z3727" s="307">
        <v>254</v>
      </c>
      <c r="AB3727" t="str">
        <f>IF(Table1[[#This Row],[TIPO2]]="costo", VLOOKUP(Table1[[#This Row],[PARTIDA PRESUPUESTAL]],'Cost Report'!G:G,1,0),"Balance")</f>
        <v>3936-003</v>
      </c>
      <c r="AC3727" s="118"/>
      <c r="AD3727" s="159">
        <f>+Table1[[#This Row],[SUBTOTAL]]+Table1[[#This Row],[IVA]]-Table1[[#This Row],[RET IVA]]-Table1[[#This Row],[RET ISR]]-Table1[[#This Row],[TOTAL]]</f>
        <v>0</v>
      </c>
      <c r="AE3727" s="150"/>
      <c r="AF3727" s="151"/>
      <c r="AG3727" s="126"/>
      <c r="AK3727" s="306" t="str">
        <f>IF(ISNUMBER(Table1[[#This Row],[FECHA DE RECIBIDO]]), Table1[[#This Row],[FECHA DE RECIBIDO]]-DATE(2023,8,30), "")</f>
        <v/>
      </c>
    </row>
    <row r="3728" spans="1:37" ht="15" customHeight="1">
      <c r="A3728" s="152"/>
      <c r="B3728" s="153">
        <v>1261</v>
      </c>
      <c r="C3728" s="126" t="s">
        <v>2991</v>
      </c>
      <c r="D3728">
        <v>2497</v>
      </c>
      <c r="E3728" s="126" t="s">
        <v>2001</v>
      </c>
      <c r="F3728" s="125" t="s">
        <v>1607</v>
      </c>
      <c r="G3728" s="125" t="s">
        <v>134</v>
      </c>
      <c r="H3728">
        <v>23</v>
      </c>
      <c r="I3728" s="125" t="s">
        <v>1546</v>
      </c>
      <c r="J3728" s="308" t="s">
        <v>214</v>
      </c>
      <c r="K3728" s="127" t="s">
        <v>4212</v>
      </c>
      <c r="L3728" s="153" t="s">
        <v>3306</v>
      </c>
      <c r="M3728">
        <v>343</v>
      </c>
      <c r="N3728" s="123">
        <v>1</v>
      </c>
      <c r="O3728">
        <v>2381</v>
      </c>
      <c r="P3728" s="132" t="s">
        <v>77</v>
      </c>
      <c r="Q3728" s="132">
        <v>933.31</v>
      </c>
      <c r="R3728" s="132">
        <v>149.3296</v>
      </c>
      <c r="S3728" s="132"/>
      <c r="T3728" s="156"/>
      <c r="U3728" s="132"/>
      <c r="V3728" s="132">
        <v>1082.6396</v>
      </c>
      <c r="W3728">
        <v>353</v>
      </c>
      <c r="X3728" s="153" t="s">
        <v>2035</v>
      </c>
      <c r="Y3728" s="124" t="s">
        <v>55</v>
      </c>
      <c r="Z3728" s="308">
        <v>254</v>
      </c>
      <c r="AB3728" t="str">
        <f>IF(Table1[[#This Row],[TIPO2]]="costo", VLOOKUP(Table1[[#This Row],[PARTIDA PRESUPUESTAL]],'Cost Report'!G:G,1,0),"Balance")</f>
        <v>3936-003</v>
      </c>
      <c r="AC3728" s="118"/>
      <c r="AD3728" s="159">
        <f>+Table1[[#This Row],[SUBTOTAL]]+Table1[[#This Row],[IVA]]-Table1[[#This Row],[RET IVA]]-Table1[[#This Row],[RET ISR]]-Table1[[#This Row],[TOTAL]]</f>
        <v>0</v>
      </c>
      <c r="AE3728" s="152"/>
      <c r="AF3728" s="153"/>
      <c r="AG3728" s="126"/>
      <c r="AK3728" s="306" t="str">
        <f>IF(ISNUMBER(Table1[[#This Row],[FECHA DE RECIBIDO]]), Table1[[#This Row],[FECHA DE RECIBIDO]]-DATE(2023,8,30), "")</f>
        <v/>
      </c>
    </row>
    <row r="3729" spans="1:37" ht="15" customHeight="1">
      <c r="A3729" s="150" t="s">
        <v>4273</v>
      </c>
      <c r="B3729" s="151">
        <v>1262</v>
      </c>
      <c r="C3729" s="126" t="s">
        <v>1035</v>
      </c>
      <c r="D3729">
        <v>2498</v>
      </c>
      <c r="E3729" s="126" t="s">
        <v>2001</v>
      </c>
      <c r="F3729" s="122" t="s">
        <v>1607</v>
      </c>
      <c r="G3729" s="122" t="s">
        <v>134</v>
      </c>
      <c r="H3729">
        <v>23</v>
      </c>
      <c r="I3729" s="122" t="s">
        <v>1546</v>
      </c>
      <c r="J3729" s="307" t="s">
        <v>214</v>
      </c>
      <c r="K3729" s="127" t="s">
        <v>4212</v>
      </c>
      <c r="L3729" s="151" t="s">
        <v>3306</v>
      </c>
      <c r="M3729">
        <v>343</v>
      </c>
      <c r="N3729" s="123">
        <v>1</v>
      </c>
      <c r="O3729">
        <v>2382</v>
      </c>
      <c r="P3729" s="132" t="s">
        <v>77</v>
      </c>
      <c r="Q3729" s="131">
        <v>3135.59</v>
      </c>
      <c r="R3729" s="131">
        <v>501.69440000000003</v>
      </c>
      <c r="S3729" s="131"/>
      <c r="T3729" s="155"/>
      <c r="U3729" s="131"/>
      <c r="V3729" s="131">
        <v>3637.2844</v>
      </c>
      <c r="W3729">
        <v>353</v>
      </c>
      <c r="X3729" s="151" t="s">
        <v>2035</v>
      </c>
      <c r="Y3729" s="135" t="s">
        <v>55</v>
      </c>
      <c r="Z3729" s="307">
        <v>254</v>
      </c>
      <c r="AB3729" t="str">
        <f>IF(Table1[[#This Row],[TIPO2]]="costo", VLOOKUP(Table1[[#This Row],[PARTIDA PRESUPUESTAL]],'Cost Report'!G:G,1,0),"Balance")</f>
        <v>3683-006</v>
      </c>
      <c r="AC3729" s="118"/>
      <c r="AD3729" s="159">
        <f>+Table1[[#This Row],[SUBTOTAL]]+Table1[[#This Row],[IVA]]-Table1[[#This Row],[RET IVA]]-Table1[[#This Row],[RET ISR]]-Table1[[#This Row],[TOTAL]]</f>
        <v>0</v>
      </c>
      <c r="AE3729" s="150"/>
      <c r="AF3729" s="151"/>
      <c r="AG3729" s="126"/>
      <c r="AK3729" s="306" t="str">
        <f>IF(ISNUMBER(Table1[[#This Row],[FECHA DE RECIBIDO]]), Table1[[#This Row],[FECHA DE RECIBIDO]]-DATE(2023,8,30), "")</f>
        <v/>
      </c>
    </row>
    <row r="3730" spans="1:37" ht="15" customHeight="1">
      <c r="A3730" s="152" t="s">
        <v>4273</v>
      </c>
      <c r="B3730" s="153">
        <v>1262</v>
      </c>
      <c r="C3730" s="126" t="s">
        <v>1039</v>
      </c>
      <c r="D3730">
        <v>2498</v>
      </c>
      <c r="E3730" s="126" t="s">
        <v>2001</v>
      </c>
      <c r="F3730" s="125" t="s">
        <v>1607</v>
      </c>
      <c r="G3730" s="125" t="s">
        <v>134</v>
      </c>
      <c r="H3730">
        <v>23</v>
      </c>
      <c r="I3730" s="125" t="s">
        <v>1546</v>
      </c>
      <c r="J3730" s="308" t="s">
        <v>214</v>
      </c>
      <c r="K3730" s="127" t="s">
        <v>4212</v>
      </c>
      <c r="L3730" s="153" t="s">
        <v>3306</v>
      </c>
      <c r="M3730">
        <v>343</v>
      </c>
      <c r="N3730" s="123">
        <v>1</v>
      </c>
      <c r="O3730">
        <v>2382</v>
      </c>
      <c r="P3730" s="132" t="s">
        <v>77</v>
      </c>
      <c r="Q3730" s="132">
        <v>3269.79</v>
      </c>
      <c r="R3730" s="132">
        <v>523.16639999999995</v>
      </c>
      <c r="S3730" s="132"/>
      <c r="T3730" s="156"/>
      <c r="U3730" s="132"/>
      <c r="V3730" s="132">
        <v>3792.9564</v>
      </c>
      <c r="W3730">
        <v>353</v>
      </c>
      <c r="X3730" s="153" t="s">
        <v>2035</v>
      </c>
      <c r="Y3730" s="124" t="s">
        <v>55</v>
      </c>
      <c r="Z3730" s="308">
        <v>254</v>
      </c>
      <c r="AB3730" t="str">
        <f>IF(Table1[[#This Row],[TIPO2]]="costo", VLOOKUP(Table1[[#This Row],[PARTIDA PRESUPUESTAL]],'Cost Report'!G:G,1,0),"Balance")</f>
        <v>3683-012</v>
      </c>
      <c r="AC3730" s="118"/>
      <c r="AD3730" s="159">
        <f>+Table1[[#This Row],[SUBTOTAL]]+Table1[[#This Row],[IVA]]-Table1[[#This Row],[RET IVA]]-Table1[[#This Row],[RET ISR]]-Table1[[#This Row],[TOTAL]]</f>
        <v>0</v>
      </c>
      <c r="AE3730" s="152"/>
      <c r="AF3730" s="153"/>
      <c r="AG3730" s="126"/>
      <c r="AK3730" s="306" t="str">
        <f>IF(ISNUMBER(Table1[[#This Row],[FECHA DE RECIBIDO]]), Table1[[#This Row],[FECHA DE RECIBIDO]]-DATE(2023,8,30), "")</f>
        <v/>
      </c>
    </row>
    <row r="3731" spans="1:37" ht="15" customHeight="1">
      <c r="A3731" s="150" t="s">
        <v>4273</v>
      </c>
      <c r="B3731" s="151">
        <v>1262</v>
      </c>
      <c r="C3731" s="126" t="s">
        <v>1043</v>
      </c>
      <c r="D3731">
        <v>2498</v>
      </c>
      <c r="E3731" s="126" t="s">
        <v>2001</v>
      </c>
      <c r="F3731" s="122" t="s">
        <v>1607</v>
      </c>
      <c r="G3731" s="122" t="s">
        <v>134</v>
      </c>
      <c r="H3731">
        <v>23</v>
      </c>
      <c r="I3731" s="122" t="s">
        <v>1546</v>
      </c>
      <c r="J3731" s="307" t="s">
        <v>214</v>
      </c>
      <c r="K3731" s="127" t="s">
        <v>4212</v>
      </c>
      <c r="L3731" s="151" t="s">
        <v>3306</v>
      </c>
      <c r="M3731">
        <v>343</v>
      </c>
      <c r="N3731" s="123">
        <v>1</v>
      </c>
      <c r="O3731">
        <v>2382</v>
      </c>
      <c r="P3731" s="132" t="s">
        <v>77</v>
      </c>
      <c r="Q3731" s="131">
        <v>4804.03</v>
      </c>
      <c r="R3731" s="131">
        <v>768.64480000000003</v>
      </c>
      <c r="S3731" s="131"/>
      <c r="T3731" s="155"/>
      <c r="U3731" s="131"/>
      <c r="V3731" s="131">
        <v>5572.6747999999998</v>
      </c>
      <c r="W3731">
        <v>353</v>
      </c>
      <c r="X3731" s="151" t="s">
        <v>2035</v>
      </c>
      <c r="Y3731" s="135" t="s">
        <v>55</v>
      </c>
      <c r="Z3731" s="307">
        <v>254</v>
      </c>
      <c r="AB3731" t="str">
        <f>IF(Table1[[#This Row],[TIPO2]]="costo", VLOOKUP(Table1[[#This Row],[PARTIDA PRESUPUESTAL]],'Cost Report'!G:G,1,0),"Balance")</f>
        <v>3683-018</v>
      </c>
      <c r="AC3731" s="118"/>
      <c r="AD3731" s="159">
        <f>+Table1[[#This Row],[SUBTOTAL]]+Table1[[#This Row],[IVA]]-Table1[[#This Row],[RET IVA]]-Table1[[#This Row],[RET ISR]]-Table1[[#This Row],[TOTAL]]</f>
        <v>0</v>
      </c>
      <c r="AE3731" s="150"/>
      <c r="AF3731" s="151"/>
      <c r="AG3731" s="126"/>
      <c r="AK3731" s="306" t="str">
        <f>IF(ISNUMBER(Table1[[#This Row],[FECHA DE RECIBIDO]]), Table1[[#This Row],[FECHA DE RECIBIDO]]-DATE(2023,8,30), "")</f>
        <v/>
      </c>
    </row>
    <row r="3732" spans="1:37" ht="15" customHeight="1">
      <c r="A3732" s="152" t="s">
        <v>4273</v>
      </c>
      <c r="B3732" s="153">
        <v>1262</v>
      </c>
      <c r="C3732" s="126" t="s">
        <v>1047</v>
      </c>
      <c r="D3732">
        <v>2498</v>
      </c>
      <c r="E3732" s="126" t="s">
        <v>2001</v>
      </c>
      <c r="F3732" s="125" t="s">
        <v>1607</v>
      </c>
      <c r="G3732" s="125" t="s">
        <v>134</v>
      </c>
      <c r="H3732">
        <v>23</v>
      </c>
      <c r="I3732" s="125" t="s">
        <v>1546</v>
      </c>
      <c r="J3732" s="308" t="s">
        <v>214</v>
      </c>
      <c r="K3732" s="127" t="s">
        <v>4212</v>
      </c>
      <c r="L3732" s="153" t="s">
        <v>3306</v>
      </c>
      <c r="M3732">
        <v>343</v>
      </c>
      <c r="N3732" s="123">
        <v>1</v>
      </c>
      <c r="O3732">
        <v>2382</v>
      </c>
      <c r="P3732" s="132" t="s">
        <v>77</v>
      </c>
      <c r="Q3732" s="132">
        <v>2348.64</v>
      </c>
      <c r="R3732" s="132">
        <v>375.7824</v>
      </c>
      <c r="S3732" s="132"/>
      <c r="T3732" s="156"/>
      <c r="U3732" s="132"/>
      <c r="V3732" s="132">
        <v>2724.4223999999999</v>
      </c>
      <c r="W3732">
        <v>353</v>
      </c>
      <c r="X3732" s="153" t="s">
        <v>2035</v>
      </c>
      <c r="Y3732" s="124" t="s">
        <v>55</v>
      </c>
      <c r="Z3732" s="308">
        <v>254</v>
      </c>
      <c r="AB3732" t="str">
        <f>IF(Table1[[#This Row],[TIPO2]]="costo", VLOOKUP(Table1[[#This Row],[PARTIDA PRESUPUESTAL]],'Cost Report'!G:G,1,0),"Balance")</f>
        <v>3683-024</v>
      </c>
      <c r="AC3732" s="118"/>
      <c r="AD3732" s="159">
        <f>+Table1[[#This Row],[SUBTOTAL]]+Table1[[#This Row],[IVA]]-Table1[[#This Row],[RET IVA]]-Table1[[#This Row],[RET ISR]]-Table1[[#This Row],[TOTAL]]</f>
        <v>0</v>
      </c>
      <c r="AE3732" s="152"/>
      <c r="AF3732" s="153"/>
      <c r="AG3732" s="126"/>
      <c r="AK3732" s="306" t="str">
        <f>IF(ISNUMBER(Table1[[#This Row],[FECHA DE RECIBIDO]]), Table1[[#This Row],[FECHA DE RECIBIDO]]-DATE(2023,8,30), "")</f>
        <v/>
      </c>
    </row>
    <row r="3733" spans="1:37" ht="15" customHeight="1">
      <c r="A3733" s="150" t="s">
        <v>4273</v>
      </c>
      <c r="B3733" s="151">
        <v>1262</v>
      </c>
      <c r="C3733" s="126" t="s">
        <v>1051</v>
      </c>
      <c r="D3733">
        <v>2498</v>
      </c>
      <c r="E3733" s="126" t="s">
        <v>2001</v>
      </c>
      <c r="F3733" s="122" t="s">
        <v>1607</v>
      </c>
      <c r="G3733" s="122" t="s">
        <v>134</v>
      </c>
      <c r="H3733">
        <v>23</v>
      </c>
      <c r="I3733" s="122" t="s">
        <v>1546</v>
      </c>
      <c r="J3733" s="307" t="s">
        <v>214</v>
      </c>
      <c r="K3733" s="127" t="s">
        <v>4212</v>
      </c>
      <c r="L3733" s="151" t="s">
        <v>3306</v>
      </c>
      <c r="M3733">
        <v>343</v>
      </c>
      <c r="N3733" s="123">
        <v>1</v>
      </c>
      <c r="O3733">
        <v>2382</v>
      </c>
      <c r="P3733" s="132" t="s">
        <v>77</v>
      </c>
      <c r="Q3733" s="131">
        <v>2209.31</v>
      </c>
      <c r="R3733" s="131">
        <v>353.4896</v>
      </c>
      <c r="S3733" s="131"/>
      <c r="T3733" s="155"/>
      <c r="U3733" s="131"/>
      <c r="V3733" s="131">
        <v>2562.7995999999998</v>
      </c>
      <c r="W3733">
        <v>353</v>
      </c>
      <c r="X3733" s="151" t="s">
        <v>2035</v>
      </c>
      <c r="Y3733" s="135" t="s">
        <v>55</v>
      </c>
      <c r="Z3733" s="307">
        <v>254</v>
      </c>
      <c r="AB3733" t="str">
        <f>IF(Table1[[#This Row],[TIPO2]]="costo", VLOOKUP(Table1[[#This Row],[PARTIDA PRESUPUESTAL]],'Cost Report'!G:G,1,0),"Balance")</f>
        <v>3683-030</v>
      </c>
      <c r="AC3733" s="118"/>
      <c r="AD3733" s="159">
        <f>+Table1[[#This Row],[SUBTOTAL]]+Table1[[#This Row],[IVA]]-Table1[[#This Row],[RET IVA]]-Table1[[#This Row],[RET ISR]]-Table1[[#This Row],[TOTAL]]</f>
        <v>0</v>
      </c>
      <c r="AE3733" s="150"/>
      <c r="AF3733" s="151"/>
      <c r="AG3733" s="126"/>
      <c r="AK3733" s="306" t="str">
        <f>IF(ISNUMBER(Table1[[#This Row],[FECHA DE RECIBIDO]]), Table1[[#This Row],[FECHA DE RECIBIDO]]-DATE(2023,8,30), "")</f>
        <v/>
      </c>
    </row>
    <row r="3734" spans="1:37" ht="15" customHeight="1">
      <c r="A3734" s="152" t="s">
        <v>4273</v>
      </c>
      <c r="B3734" s="153">
        <v>1262</v>
      </c>
      <c r="C3734" s="126" t="s">
        <v>2897</v>
      </c>
      <c r="D3734">
        <v>2498</v>
      </c>
      <c r="E3734" s="126" t="s">
        <v>2001</v>
      </c>
      <c r="F3734" s="125" t="s">
        <v>1607</v>
      </c>
      <c r="G3734" s="125" t="s">
        <v>134</v>
      </c>
      <c r="H3734">
        <v>23</v>
      </c>
      <c r="I3734" s="125" t="s">
        <v>1546</v>
      </c>
      <c r="J3734" s="308" t="s">
        <v>214</v>
      </c>
      <c r="K3734" s="127" t="s">
        <v>4212</v>
      </c>
      <c r="L3734" s="153" t="s">
        <v>3306</v>
      </c>
      <c r="M3734">
        <v>343</v>
      </c>
      <c r="N3734" s="123">
        <v>1</v>
      </c>
      <c r="O3734">
        <v>2382</v>
      </c>
      <c r="P3734" s="132" t="s">
        <v>77</v>
      </c>
      <c r="Q3734" s="132">
        <v>1075.1300000000001</v>
      </c>
      <c r="R3734" s="132">
        <v>172.02080000000001</v>
      </c>
      <c r="S3734" s="132"/>
      <c r="T3734" s="156"/>
      <c r="U3734" s="132"/>
      <c r="V3734" s="132">
        <v>1247.1508000000001</v>
      </c>
      <c r="W3734">
        <v>353</v>
      </c>
      <c r="X3734" s="153" t="s">
        <v>2035</v>
      </c>
      <c r="Y3734" s="124" t="s">
        <v>55</v>
      </c>
      <c r="Z3734" s="308">
        <v>254</v>
      </c>
      <c r="AB3734" t="str">
        <f>IF(Table1[[#This Row],[TIPO2]]="costo", VLOOKUP(Table1[[#This Row],[PARTIDA PRESUPUESTAL]],'Cost Report'!G:G,1,0),"Balance")</f>
        <v>3683-138</v>
      </c>
      <c r="AC3734" s="118"/>
      <c r="AD3734" s="159">
        <f>+Table1[[#This Row],[SUBTOTAL]]+Table1[[#This Row],[IVA]]-Table1[[#This Row],[RET IVA]]-Table1[[#This Row],[RET ISR]]-Table1[[#This Row],[TOTAL]]</f>
        <v>0</v>
      </c>
      <c r="AE3734" s="152"/>
      <c r="AF3734" s="153"/>
      <c r="AG3734" s="126"/>
      <c r="AK3734" s="306" t="str">
        <f>IF(ISNUMBER(Table1[[#This Row],[FECHA DE RECIBIDO]]), Table1[[#This Row],[FECHA DE RECIBIDO]]-DATE(2023,8,30), "")</f>
        <v/>
      </c>
    </row>
    <row r="3735" spans="1:37" ht="15" customHeight="1">
      <c r="A3735" s="150" t="s">
        <v>4273</v>
      </c>
      <c r="B3735" s="151">
        <v>1262</v>
      </c>
      <c r="C3735" s="126" t="s">
        <v>1059</v>
      </c>
      <c r="D3735">
        <v>2498</v>
      </c>
      <c r="E3735" s="126" t="s">
        <v>2001</v>
      </c>
      <c r="F3735" s="122" t="s">
        <v>1607</v>
      </c>
      <c r="G3735" s="122" t="s">
        <v>134</v>
      </c>
      <c r="H3735">
        <v>23</v>
      </c>
      <c r="I3735" s="122" t="s">
        <v>1546</v>
      </c>
      <c r="J3735" s="307" t="s">
        <v>214</v>
      </c>
      <c r="K3735" s="127" t="s">
        <v>4212</v>
      </c>
      <c r="L3735" s="151" t="s">
        <v>3306</v>
      </c>
      <c r="M3735">
        <v>343</v>
      </c>
      <c r="N3735" s="123">
        <v>1</v>
      </c>
      <c r="O3735">
        <v>2382</v>
      </c>
      <c r="P3735" s="132" t="s">
        <v>77</v>
      </c>
      <c r="Q3735" s="131">
        <v>2209.31</v>
      </c>
      <c r="R3735" s="131">
        <v>353.4896</v>
      </c>
      <c r="S3735" s="131"/>
      <c r="T3735" s="155"/>
      <c r="U3735" s="131"/>
      <c r="V3735" s="131">
        <v>2562.7995999999998</v>
      </c>
      <c r="W3735">
        <v>353</v>
      </c>
      <c r="X3735" s="151" t="s">
        <v>2035</v>
      </c>
      <c r="Y3735" s="135" t="s">
        <v>55</v>
      </c>
      <c r="Z3735" s="307">
        <v>254</v>
      </c>
      <c r="AB3735" t="str">
        <f>IF(Table1[[#This Row],[TIPO2]]="costo", VLOOKUP(Table1[[#This Row],[PARTIDA PRESUPUESTAL]],'Cost Report'!G:G,1,0),"Balance")</f>
        <v>3683-042</v>
      </c>
      <c r="AC3735" s="118"/>
      <c r="AD3735" s="159">
        <f>+Table1[[#This Row],[SUBTOTAL]]+Table1[[#This Row],[IVA]]-Table1[[#This Row],[RET IVA]]-Table1[[#This Row],[RET ISR]]-Table1[[#This Row],[TOTAL]]</f>
        <v>0</v>
      </c>
      <c r="AE3735" s="150"/>
      <c r="AF3735" s="151"/>
      <c r="AG3735" s="126"/>
      <c r="AK3735" s="306" t="str">
        <f>IF(ISNUMBER(Table1[[#This Row],[FECHA DE RECIBIDO]]), Table1[[#This Row],[FECHA DE RECIBIDO]]-DATE(2023,8,30), "")</f>
        <v/>
      </c>
    </row>
    <row r="3736" spans="1:37" ht="15" customHeight="1">
      <c r="A3736" s="152" t="s">
        <v>4273</v>
      </c>
      <c r="B3736" s="153">
        <v>1262</v>
      </c>
      <c r="C3736" s="126" t="s">
        <v>1063</v>
      </c>
      <c r="D3736">
        <v>2498</v>
      </c>
      <c r="E3736" s="126" t="s">
        <v>2001</v>
      </c>
      <c r="F3736" s="125" t="s">
        <v>1607</v>
      </c>
      <c r="G3736" s="125" t="s">
        <v>134</v>
      </c>
      <c r="H3736">
        <v>23</v>
      </c>
      <c r="I3736" s="125" t="s">
        <v>1546</v>
      </c>
      <c r="J3736" s="308" t="s">
        <v>214</v>
      </c>
      <c r="K3736" s="127" t="s">
        <v>4212</v>
      </c>
      <c r="L3736" s="153" t="s">
        <v>3306</v>
      </c>
      <c r="M3736">
        <v>343</v>
      </c>
      <c r="N3736" s="123">
        <v>1</v>
      </c>
      <c r="O3736">
        <v>2382</v>
      </c>
      <c r="P3736" s="132" t="s">
        <v>77</v>
      </c>
      <c r="Q3736" s="132">
        <v>2348.64</v>
      </c>
      <c r="R3736" s="132">
        <v>375.7824</v>
      </c>
      <c r="S3736" s="132"/>
      <c r="T3736" s="156"/>
      <c r="U3736" s="132"/>
      <c r="V3736" s="132">
        <v>2724.4223999999999</v>
      </c>
      <c r="W3736">
        <v>353</v>
      </c>
      <c r="X3736" s="153" t="s">
        <v>2035</v>
      </c>
      <c r="Y3736" s="124" t="s">
        <v>55</v>
      </c>
      <c r="Z3736" s="308">
        <v>254</v>
      </c>
      <c r="AB3736" t="str">
        <f>IF(Table1[[#This Row],[TIPO2]]="costo", VLOOKUP(Table1[[#This Row],[PARTIDA PRESUPUESTAL]],'Cost Report'!G:G,1,0),"Balance")</f>
        <v>3683-048</v>
      </c>
      <c r="AC3736" s="118"/>
      <c r="AD3736" s="159">
        <f>+Table1[[#This Row],[SUBTOTAL]]+Table1[[#This Row],[IVA]]-Table1[[#This Row],[RET IVA]]-Table1[[#This Row],[RET ISR]]-Table1[[#This Row],[TOTAL]]</f>
        <v>0</v>
      </c>
      <c r="AE3736" s="152"/>
      <c r="AF3736" s="153"/>
      <c r="AG3736" s="126"/>
      <c r="AK3736" s="306" t="str">
        <f>IF(ISNUMBER(Table1[[#This Row],[FECHA DE RECIBIDO]]), Table1[[#This Row],[FECHA DE RECIBIDO]]-DATE(2023,8,30), "")</f>
        <v/>
      </c>
    </row>
    <row r="3737" spans="1:37" ht="15" customHeight="1">
      <c r="A3737" s="150" t="s">
        <v>4273</v>
      </c>
      <c r="B3737" s="151">
        <v>1262</v>
      </c>
      <c r="C3737" s="126" t="s">
        <v>1067</v>
      </c>
      <c r="D3737">
        <v>2498</v>
      </c>
      <c r="E3737" s="126" t="s">
        <v>2001</v>
      </c>
      <c r="F3737" s="122" t="s">
        <v>1607</v>
      </c>
      <c r="G3737" s="122" t="s">
        <v>134</v>
      </c>
      <c r="H3737">
        <v>23</v>
      </c>
      <c r="I3737" s="122" t="s">
        <v>1546</v>
      </c>
      <c r="J3737" s="307" t="s">
        <v>214</v>
      </c>
      <c r="K3737" s="127" t="s">
        <v>4212</v>
      </c>
      <c r="L3737" s="151" t="s">
        <v>3306</v>
      </c>
      <c r="M3737">
        <v>343</v>
      </c>
      <c r="N3737" s="123">
        <v>1</v>
      </c>
      <c r="O3737">
        <v>2382</v>
      </c>
      <c r="P3737" s="132" t="s">
        <v>77</v>
      </c>
      <c r="Q3737" s="131">
        <v>2250.2199999999998</v>
      </c>
      <c r="R3737" s="131">
        <v>360.03519999999997</v>
      </c>
      <c r="S3737" s="131"/>
      <c r="T3737" s="155"/>
      <c r="U3737" s="131"/>
      <c r="V3737" s="131">
        <v>2610.2551999999996</v>
      </c>
      <c r="W3737">
        <v>353</v>
      </c>
      <c r="X3737" s="151" t="s">
        <v>2035</v>
      </c>
      <c r="Y3737" s="135" t="s">
        <v>55</v>
      </c>
      <c r="Z3737" s="307">
        <v>254</v>
      </c>
      <c r="AB3737" t="str">
        <f>IF(Table1[[#This Row],[TIPO2]]="costo", VLOOKUP(Table1[[#This Row],[PARTIDA PRESUPUESTAL]],'Cost Report'!G:G,1,0),"Balance")</f>
        <v>3683-054</v>
      </c>
      <c r="AC3737" s="118"/>
      <c r="AD3737" s="159">
        <f>+Table1[[#This Row],[SUBTOTAL]]+Table1[[#This Row],[IVA]]-Table1[[#This Row],[RET IVA]]-Table1[[#This Row],[RET ISR]]-Table1[[#This Row],[TOTAL]]</f>
        <v>0</v>
      </c>
      <c r="AE3737" s="150"/>
      <c r="AF3737" s="151"/>
      <c r="AG3737" s="126"/>
      <c r="AK3737" s="306" t="str">
        <f>IF(ISNUMBER(Table1[[#This Row],[FECHA DE RECIBIDO]]), Table1[[#This Row],[FECHA DE RECIBIDO]]-DATE(2023,8,30), "")</f>
        <v/>
      </c>
    </row>
    <row r="3738" spans="1:37" ht="15" customHeight="1">
      <c r="A3738" s="152" t="s">
        <v>4273</v>
      </c>
      <c r="B3738" s="153">
        <v>1262</v>
      </c>
      <c r="C3738" s="126" t="s">
        <v>1071</v>
      </c>
      <c r="D3738">
        <v>2498</v>
      </c>
      <c r="E3738" s="126" t="s">
        <v>2001</v>
      </c>
      <c r="F3738" s="125" t="s">
        <v>1607</v>
      </c>
      <c r="G3738" s="125" t="s">
        <v>134</v>
      </c>
      <c r="H3738">
        <v>23</v>
      </c>
      <c r="I3738" s="125" t="s">
        <v>1546</v>
      </c>
      <c r="J3738" s="308" t="s">
        <v>214</v>
      </c>
      <c r="K3738" s="127" t="s">
        <v>4212</v>
      </c>
      <c r="L3738" s="153" t="s">
        <v>3306</v>
      </c>
      <c r="M3738">
        <v>343</v>
      </c>
      <c r="N3738" s="123">
        <v>1</v>
      </c>
      <c r="O3738">
        <v>2382</v>
      </c>
      <c r="P3738" s="132" t="s">
        <v>77</v>
      </c>
      <c r="Q3738" s="132">
        <v>1601.34</v>
      </c>
      <c r="R3738" s="132">
        <v>256.21440000000001</v>
      </c>
      <c r="S3738" s="132"/>
      <c r="T3738" s="156"/>
      <c r="U3738" s="132"/>
      <c r="V3738" s="132">
        <v>1857.5544</v>
      </c>
      <c r="W3738">
        <v>353</v>
      </c>
      <c r="X3738" s="153" t="s">
        <v>2035</v>
      </c>
      <c r="Y3738" s="124" t="s">
        <v>55</v>
      </c>
      <c r="Z3738" s="308">
        <v>254</v>
      </c>
      <c r="AB3738" t="str">
        <f>IF(Table1[[#This Row],[TIPO2]]="costo", VLOOKUP(Table1[[#This Row],[PARTIDA PRESUPUESTAL]],'Cost Report'!G:G,1,0),"Balance")</f>
        <v>3683-060</v>
      </c>
      <c r="AC3738" s="118"/>
      <c r="AD3738" s="159">
        <f>+Table1[[#This Row],[SUBTOTAL]]+Table1[[#This Row],[IVA]]-Table1[[#This Row],[RET IVA]]-Table1[[#This Row],[RET ISR]]-Table1[[#This Row],[TOTAL]]</f>
        <v>0</v>
      </c>
      <c r="AE3738" s="152"/>
      <c r="AF3738" s="153"/>
      <c r="AG3738" s="126"/>
      <c r="AK3738" s="306" t="str">
        <f>IF(ISNUMBER(Table1[[#This Row],[FECHA DE RECIBIDO]]), Table1[[#This Row],[FECHA DE RECIBIDO]]-DATE(2023,8,30), "")</f>
        <v/>
      </c>
    </row>
    <row r="3739" spans="1:37" ht="15" customHeight="1">
      <c r="A3739" s="150" t="s">
        <v>4273</v>
      </c>
      <c r="B3739" s="151">
        <v>1262</v>
      </c>
      <c r="C3739" s="126" t="s">
        <v>1075</v>
      </c>
      <c r="D3739">
        <v>2498</v>
      </c>
      <c r="E3739" s="126" t="s">
        <v>2001</v>
      </c>
      <c r="F3739" s="122" t="s">
        <v>1607</v>
      </c>
      <c r="G3739" s="122" t="s">
        <v>134</v>
      </c>
      <c r="H3739">
        <v>23</v>
      </c>
      <c r="I3739" s="122" t="s">
        <v>1546</v>
      </c>
      <c r="J3739" s="307" t="s">
        <v>214</v>
      </c>
      <c r="K3739" s="127" t="s">
        <v>4212</v>
      </c>
      <c r="L3739" s="151" t="s">
        <v>3306</v>
      </c>
      <c r="M3739">
        <v>343</v>
      </c>
      <c r="N3739" s="123">
        <v>1</v>
      </c>
      <c r="O3739">
        <v>2382</v>
      </c>
      <c r="P3739" s="132" t="s">
        <v>77</v>
      </c>
      <c r="Q3739" s="131">
        <v>1601.34</v>
      </c>
      <c r="R3739" s="131">
        <v>256.21440000000001</v>
      </c>
      <c r="S3739" s="131"/>
      <c r="T3739" s="155"/>
      <c r="U3739" s="131"/>
      <c r="V3739" s="131">
        <v>1857.5544</v>
      </c>
      <c r="W3739">
        <v>353</v>
      </c>
      <c r="X3739" s="151" t="s">
        <v>2035</v>
      </c>
      <c r="Y3739" s="135" t="s">
        <v>55</v>
      </c>
      <c r="Z3739" s="307">
        <v>254</v>
      </c>
      <c r="AB3739" t="str">
        <f>IF(Table1[[#This Row],[TIPO2]]="costo", VLOOKUP(Table1[[#This Row],[PARTIDA PRESUPUESTAL]],'Cost Report'!G:G,1,0),"Balance")</f>
        <v>3683-066</v>
      </c>
      <c r="AC3739" s="118"/>
      <c r="AD3739" s="159">
        <f>+Table1[[#This Row],[SUBTOTAL]]+Table1[[#This Row],[IVA]]-Table1[[#This Row],[RET IVA]]-Table1[[#This Row],[RET ISR]]-Table1[[#This Row],[TOTAL]]</f>
        <v>0</v>
      </c>
      <c r="AE3739" s="150"/>
      <c r="AF3739" s="151"/>
      <c r="AG3739" s="126"/>
      <c r="AK3739" s="306" t="str">
        <f>IF(ISNUMBER(Table1[[#This Row],[FECHA DE RECIBIDO]]), Table1[[#This Row],[FECHA DE RECIBIDO]]-DATE(2023,8,30), "")</f>
        <v/>
      </c>
    </row>
    <row r="3740" spans="1:37" ht="15" customHeight="1">
      <c r="A3740" s="152" t="s">
        <v>4273</v>
      </c>
      <c r="B3740" s="153">
        <v>1262</v>
      </c>
      <c r="C3740" s="126" t="s">
        <v>1079</v>
      </c>
      <c r="D3740">
        <v>2498</v>
      </c>
      <c r="E3740" s="126" t="s">
        <v>2001</v>
      </c>
      <c r="F3740" s="125" t="s">
        <v>1607</v>
      </c>
      <c r="G3740" s="125" t="s">
        <v>134</v>
      </c>
      <c r="H3740">
        <v>23</v>
      </c>
      <c r="I3740" s="125" t="s">
        <v>1546</v>
      </c>
      <c r="J3740" s="308" t="s">
        <v>214</v>
      </c>
      <c r="K3740" s="127" t="s">
        <v>4212</v>
      </c>
      <c r="L3740" s="153" t="s">
        <v>3306</v>
      </c>
      <c r="M3740">
        <v>343</v>
      </c>
      <c r="N3740" s="123">
        <v>1</v>
      </c>
      <c r="O3740">
        <v>2382</v>
      </c>
      <c r="P3740" s="132" t="s">
        <v>77</v>
      </c>
      <c r="Q3740" s="132">
        <v>1601.34</v>
      </c>
      <c r="R3740" s="132">
        <v>256.21440000000001</v>
      </c>
      <c r="S3740" s="132"/>
      <c r="T3740" s="156"/>
      <c r="U3740" s="132"/>
      <c r="V3740" s="132">
        <v>1857.5544</v>
      </c>
      <c r="W3740">
        <v>353</v>
      </c>
      <c r="X3740" s="153" t="s">
        <v>2035</v>
      </c>
      <c r="Y3740" s="124" t="s">
        <v>55</v>
      </c>
      <c r="Z3740" s="308">
        <v>254</v>
      </c>
      <c r="AB3740" t="str">
        <f>IF(Table1[[#This Row],[TIPO2]]="costo", VLOOKUP(Table1[[#This Row],[PARTIDA PRESUPUESTAL]],'Cost Report'!G:G,1,0),"Balance")</f>
        <v>3683-072</v>
      </c>
      <c r="AC3740" s="118"/>
      <c r="AD3740" s="159">
        <f>+Table1[[#This Row],[SUBTOTAL]]+Table1[[#This Row],[IVA]]-Table1[[#This Row],[RET IVA]]-Table1[[#This Row],[RET ISR]]-Table1[[#This Row],[TOTAL]]</f>
        <v>0</v>
      </c>
      <c r="AE3740" s="152"/>
      <c r="AF3740" s="153"/>
      <c r="AG3740" s="126"/>
      <c r="AK3740" s="306" t="str">
        <f>IF(ISNUMBER(Table1[[#This Row],[FECHA DE RECIBIDO]]), Table1[[#This Row],[FECHA DE RECIBIDO]]-DATE(2023,8,30), "")</f>
        <v/>
      </c>
    </row>
    <row r="3741" spans="1:37" ht="15" customHeight="1">
      <c r="A3741" s="150" t="s">
        <v>4273</v>
      </c>
      <c r="B3741" s="151">
        <v>1262</v>
      </c>
      <c r="C3741" s="126" t="s">
        <v>1083</v>
      </c>
      <c r="D3741">
        <v>2498</v>
      </c>
      <c r="E3741" s="126" t="s">
        <v>2001</v>
      </c>
      <c r="F3741" s="122" t="s">
        <v>1607</v>
      </c>
      <c r="G3741" s="122" t="s">
        <v>134</v>
      </c>
      <c r="H3741">
        <v>23</v>
      </c>
      <c r="I3741" s="122" t="s">
        <v>1546</v>
      </c>
      <c r="J3741" s="307" t="s">
        <v>214</v>
      </c>
      <c r="K3741" s="127" t="s">
        <v>4212</v>
      </c>
      <c r="L3741" s="151" t="s">
        <v>3306</v>
      </c>
      <c r="M3741">
        <v>343</v>
      </c>
      <c r="N3741" s="123">
        <v>1</v>
      </c>
      <c r="O3741">
        <v>2382</v>
      </c>
      <c r="P3741" s="132" t="s">
        <v>77</v>
      </c>
      <c r="Q3741" s="131">
        <v>1601.34</v>
      </c>
      <c r="R3741" s="131">
        <v>256.21440000000001</v>
      </c>
      <c r="S3741" s="131"/>
      <c r="T3741" s="155"/>
      <c r="U3741" s="131"/>
      <c r="V3741" s="131">
        <v>1857.5544</v>
      </c>
      <c r="W3741">
        <v>353</v>
      </c>
      <c r="X3741" s="151" t="s">
        <v>2035</v>
      </c>
      <c r="Y3741" s="135" t="s">
        <v>55</v>
      </c>
      <c r="Z3741" s="307">
        <v>254</v>
      </c>
      <c r="AB3741" t="str">
        <f>IF(Table1[[#This Row],[TIPO2]]="costo", VLOOKUP(Table1[[#This Row],[PARTIDA PRESUPUESTAL]],'Cost Report'!G:G,1,0),"Balance")</f>
        <v>3683-078</v>
      </c>
      <c r="AC3741" s="118"/>
      <c r="AD3741" s="159">
        <f>+Table1[[#This Row],[SUBTOTAL]]+Table1[[#This Row],[IVA]]-Table1[[#This Row],[RET IVA]]-Table1[[#This Row],[RET ISR]]-Table1[[#This Row],[TOTAL]]</f>
        <v>0</v>
      </c>
      <c r="AE3741" s="150"/>
      <c r="AF3741" s="151"/>
      <c r="AG3741" s="126"/>
      <c r="AK3741" s="306" t="str">
        <f>IF(ISNUMBER(Table1[[#This Row],[FECHA DE RECIBIDO]]), Table1[[#This Row],[FECHA DE RECIBIDO]]-DATE(2023,8,30), "")</f>
        <v/>
      </c>
    </row>
    <row r="3742" spans="1:37" ht="15" customHeight="1">
      <c r="A3742" s="152" t="s">
        <v>4273</v>
      </c>
      <c r="B3742" s="153">
        <v>1262</v>
      </c>
      <c r="C3742" s="126" t="s">
        <v>1087</v>
      </c>
      <c r="D3742">
        <v>2498</v>
      </c>
      <c r="E3742" s="126" t="s">
        <v>2001</v>
      </c>
      <c r="F3742" s="125" t="s">
        <v>1607</v>
      </c>
      <c r="G3742" s="125" t="s">
        <v>134</v>
      </c>
      <c r="H3742">
        <v>23</v>
      </c>
      <c r="I3742" s="125" t="s">
        <v>1546</v>
      </c>
      <c r="J3742" s="308" t="s">
        <v>214</v>
      </c>
      <c r="K3742" s="127" t="s">
        <v>4212</v>
      </c>
      <c r="L3742" s="153" t="s">
        <v>3306</v>
      </c>
      <c r="M3742">
        <v>343</v>
      </c>
      <c r="N3742" s="123">
        <v>1</v>
      </c>
      <c r="O3742">
        <v>2382</v>
      </c>
      <c r="P3742" s="132" t="s">
        <v>77</v>
      </c>
      <c r="Q3742" s="132">
        <v>2348.64</v>
      </c>
      <c r="R3742" s="132">
        <v>375.7824</v>
      </c>
      <c r="S3742" s="132"/>
      <c r="T3742" s="156"/>
      <c r="U3742" s="132"/>
      <c r="V3742" s="132">
        <v>2724.4223999999999</v>
      </c>
      <c r="W3742">
        <v>353</v>
      </c>
      <c r="X3742" s="153" t="s">
        <v>2035</v>
      </c>
      <c r="Y3742" s="124" t="s">
        <v>55</v>
      </c>
      <c r="Z3742" s="308">
        <v>254</v>
      </c>
      <c r="AB3742" t="str">
        <f>IF(Table1[[#This Row],[TIPO2]]="costo", VLOOKUP(Table1[[#This Row],[PARTIDA PRESUPUESTAL]],'Cost Report'!G:G,1,0),"Balance")</f>
        <v>3683-084</v>
      </c>
      <c r="AC3742" s="118"/>
      <c r="AD3742" s="159">
        <f>+Table1[[#This Row],[SUBTOTAL]]+Table1[[#This Row],[IVA]]-Table1[[#This Row],[RET IVA]]-Table1[[#This Row],[RET ISR]]-Table1[[#This Row],[TOTAL]]</f>
        <v>0</v>
      </c>
      <c r="AE3742" s="152"/>
      <c r="AF3742" s="153"/>
      <c r="AG3742" s="126"/>
      <c r="AK3742" s="306" t="str">
        <f>IF(ISNUMBER(Table1[[#This Row],[FECHA DE RECIBIDO]]), Table1[[#This Row],[FECHA DE RECIBIDO]]-DATE(2023,8,30), "")</f>
        <v/>
      </c>
    </row>
    <row r="3743" spans="1:37" ht="15" customHeight="1">
      <c r="A3743" s="150" t="s">
        <v>4273</v>
      </c>
      <c r="B3743" s="151">
        <v>1262</v>
      </c>
      <c r="C3743" s="126" t="s">
        <v>1091</v>
      </c>
      <c r="D3743">
        <v>2498</v>
      </c>
      <c r="E3743" s="126" t="s">
        <v>2001</v>
      </c>
      <c r="F3743" s="122" t="s">
        <v>1607</v>
      </c>
      <c r="G3743" s="122" t="s">
        <v>134</v>
      </c>
      <c r="H3743">
        <v>23</v>
      </c>
      <c r="I3743" s="122" t="s">
        <v>1546</v>
      </c>
      <c r="J3743" s="307" t="s">
        <v>214</v>
      </c>
      <c r="K3743" s="127" t="s">
        <v>4212</v>
      </c>
      <c r="L3743" s="151" t="s">
        <v>3306</v>
      </c>
      <c r="M3743">
        <v>343</v>
      </c>
      <c r="N3743" s="123">
        <v>1</v>
      </c>
      <c r="O3743">
        <v>2382</v>
      </c>
      <c r="P3743" s="132" t="s">
        <v>77</v>
      </c>
      <c r="Q3743" s="131">
        <v>1601.34</v>
      </c>
      <c r="R3743" s="131">
        <v>256.21440000000001</v>
      </c>
      <c r="S3743" s="131"/>
      <c r="T3743" s="155"/>
      <c r="U3743" s="131"/>
      <c r="V3743" s="131">
        <v>1857.5544</v>
      </c>
      <c r="W3743">
        <v>353</v>
      </c>
      <c r="X3743" s="151" t="s">
        <v>2035</v>
      </c>
      <c r="Y3743" s="135" t="s">
        <v>55</v>
      </c>
      <c r="Z3743" s="307">
        <v>254</v>
      </c>
      <c r="AB3743" t="str">
        <f>IF(Table1[[#This Row],[TIPO2]]="costo", VLOOKUP(Table1[[#This Row],[PARTIDA PRESUPUESTAL]],'Cost Report'!G:G,1,0),"Balance")</f>
        <v>3683-090</v>
      </c>
      <c r="AC3743" s="118"/>
      <c r="AD3743" s="159">
        <f>+Table1[[#This Row],[SUBTOTAL]]+Table1[[#This Row],[IVA]]-Table1[[#This Row],[RET IVA]]-Table1[[#This Row],[RET ISR]]-Table1[[#This Row],[TOTAL]]</f>
        <v>0</v>
      </c>
      <c r="AE3743" s="150"/>
      <c r="AF3743" s="151"/>
      <c r="AG3743" s="126"/>
      <c r="AK3743" s="306" t="str">
        <f>IF(ISNUMBER(Table1[[#This Row],[FECHA DE RECIBIDO]]), Table1[[#This Row],[FECHA DE RECIBIDO]]-DATE(2023,8,30), "")</f>
        <v/>
      </c>
    </row>
    <row r="3744" spans="1:37" ht="15" customHeight="1">
      <c r="A3744" s="152" t="s">
        <v>4273</v>
      </c>
      <c r="B3744" s="153">
        <v>1262</v>
      </c>
      <c r="C3744" s="126" t="s">
        <v>1095</v>
      </c>
      <c r="D3744">
        <v>2498</v>
      </c>
      <c r="E3744" s="126" t="s">
        <v>2001</v>
      </c>
      <c r="F3744" s="125" t="s">
        <v>1607</v>
      </c>
      <c r="G3744" s="125" t="s">
        <v>134</v>
      </c>
      <c r="H3744">
        <v>23</v>
      </c>
      <c r="I3744" s="125" t="s">
        <v>1546</v>
      </c>
      <c r="J3744" s="308" t="s">
        <v>214</v>
      </c>
      <c r="K3744" s="127" t="s">
        <v>4212</v>
      </c>
      <c r="L3744" s="153" t="s">
        <v>3306</v>
      </c>
      <c r="M3744">
        <v>343</v>
      </c>
      <c r="N3744" s="123">
        <v>1</v>
      </c>
      <c r="O3744">
        <v>2382</v>
      </c>
      <c r="P3744" s="132" t="s">
        <v>77</v>
      </c>
      <c r="Q3744" s="132">
        <v>2348.64</v>
      </c>
      <c r="R3744" s="132">
        <v>375.7824</v>
      </c>
      <c r="S3744" s="132"/>
      <c r="T3744" s="156"/>
      <c r="U3744" s="132"/>
      <c r="V3744" s="132">
        <v>2724.4223999999999</v>
      </c>
      <c r="W3744">
        <v>353</v>
      </c>
      <c r="X3744" s="153" t="s">
        <v>2035</v>
      </c>
      <c r="Y3744" s="124" t="s">
        <v>55</v>
      </c>
      <c r="Z3744" s="308">
        <v>254</v>
      </c>
      <c r="AB3744" t="str">
        <f>IF(Table1[[#This Row],[TIPO2]]="costo", VLOOKUP(Table1[[#This Row],[PARTIDA PRESUPUESTAL]],'Cost Report'!G:G,1,0),"Balance")</f>
        <v>3683-096</v>
      </c>
      <c r="AC3744" s="118"/>
      <c r="AD3744" s="159">
        <f>+Table1[[#This Row],[SUBTOTAL]]+Table1[[#This Row],[IVA]]-Table1[[#This Row],[RET IVA]]-Table1[[#This Row],[RET ISR]]-Table1[[#This Row],[TOTAL]]</f>
        <v>0</v>
      </c>
      <c r="AE3744" s="152"/>
      <c r="AF3744" s="153"/>
      <c r="AG3744" s="126"/>
      <c r="AK3744" s="306" t="str">
        <f>IF(ISNUMBER(Table1[[#This Row],[FECHA DE RECIBIDO]]), Table1[[#This Row],[FECHA DE RECIBIDO]]-DATE(2023,8,30), "")</f>
        <v/>
      </c>
    </row>
    <row r="3745" spans="1:37" ht="15" customHeight="1">
      <c r="A3745" s="150" t="s">
        <v>4273</v>
      </c>
      <c r="B3745" s="151">
        <v>1262</v>
      </c>
      <c r="C3745" s="126" t="s">
        <v>1098</v>
      </c>
      <c r="D3745">
        <v>2498</v>
      </c>
      <c r="E3745" s="126" t="s">
        <v>2001</v>
      </c>
      <c r="F3745" s="122" t="s">
        <v>1607</v>
      </c>
      <c r="G3745" s="122" t="s">
        <v>134</v>
      </c>
      <c r="H3745">
        <v>23</v>
      </c>
      <c r="I3745" s="122" t="s">
        <v>1546</v>
      </c>
      <c r="J3745" s="307" t="s">
        <v>214</v>
      </c>
      <c r="K3745" s="127" t="s">
        <v>4212</v>
      </c>
      <c r="L3745" s="151" t="s">
        <v>3306</v>
      </c>
      <c r="M3745">
        <v>343</v>
      </c>
      <c r="N3745" s="123">
        <v>1</v>
      </c>
      <c r="O3745">
        <v>2382</v>
      </c>
      <c r="P3745" s="132" t="s">
        <v>77</v>
      </c>
      <c r="Q3745" s="131">
        <v>2200.7199999999998</v>
      </c>
      <c r="R3745" s="131">
        <v>352.11519999999996</v>
      </c>
      <c r="S3745" s="131"/>
      <c r="T3745" s="155"/>
      <c r="U3745" s="131"/>
      <c r="V3745" s="131">
        <v>2552.8351999999995</v>
      </c>
      <c r="W3745">
        <v>353</v>
      </c>
      <c r="X3745" s="151" t="s">
        <v>2035</v>
      </c>
      <c r="Y3745" s="135" t="s">
        <v>55</v>
      </c>
      <c r="Z3745" s="307">
        <v>254</v>
      </c>
      <c r="AB3745" t="str">
        <f>IF(Table1[[#This Row],[TIPO2]]="costo", VLOOKUP(Table1[[#This Row],[PARTIDA PRESUPUESTAL]],'Cost Report'!G:G,1,0),"Balance")</f>
        <v>3683-101</v>
      </c>
      <c r="AC3745" s="118"/>
      <c r="AD3745" s="159">
        <f>+Table1[[#This Row],[SUBTOTAL]]+Table1[[#This Row],[IVA]]-Table1[[#This Row],[RET IVA]]-Table1[[#This Row],[RET ISR]]-Table1[[#This Row],[TOTAL]]</f>
        <v>0</v>
      </c>
      <c r="AE3745" s="150"/>
      <c r="AF3745" s="151"/>
      <c r="AG3745" s="126"/>
      <c r="AK3745" s="306" t="str">
        <f>IF(ISNUMBER(Table1[[#This Row],[FECHA DE RECIBIDO]]), Table1[[#This Row],[FECHA DE RECIBIDO]]-DATE(2023,8,30), "")</f>
        <v/>
      </c>
    </row>
    <row r="3746" spans="1:37" ht="15" customHeight="1">
      <c r="A3746" s="152" t="s">
        <v>4273</v>
      </c>
      <c r="B3746" s="153">
        <v>1262</v>
      </c>
      <c r="C3746" s="126" t="s">
        <v>1100</v>
      </c>
      <c r="D3746">
        <v>2498</v>
      </c>
      <c r="E3746" s="126" t="s">
        <v>2001</v>
      </c>
      <c r="F3746" s="125" t="s">
        <v>1607</v>
      </c>
      <c r="G3746" s="125" t="s">
        <v>134</v>
      </c>
      <c r="H3746">
        <v>23</v>
      </c>
      <c r="I3746" s="125" t="s">
        <v>1546</v>
      </c>
      <c r="J3746" s="308" t="s">
        <v>214</v>
      </c>
      <c r="K3746" s="127" t="s">
        <v>4212</v>
      </c>
      <c r="L3746" s="153" t="s">
        <v>3306</v>
      </c>
      <c r="M3746">
        <v>343</v>
      </c>
      <c r="N3746" s="123">
        <v>1</v>
      </c>
      <c r="O3746">
        <v>2382</v>
      </c>
      <c r="P3746" s="132" t="s">
        <v>77</v>
      </c>
      <c r="Q3746" s="132">
        <v>2738.67</v>
      </c>
      <c r="R3746" s="132">
        <v>438.18720000000002</v>
      </c>
      <c r="S3746" s="132"/>
      <c r="T3746" s="156"/>
      <c r="U3746" s="132"/>
      <c r="V3746" s="132">
        <v>3176.8571999999999</v>
      </c>
      <c r="W3746">
        <v>353</v>
      </c>
      <c r="X3746" s="153" t="s">
        <v>2035</v>
      </c>
      <c r="Y3746" s="124" t="s">
        <v>55</v>
      </c>
      <c r="Z3746" s="308">
        <v>254</v>
      </c>
      <c r="AB3746" t="str">
        <f>IF(Table1[[#This Row],[TIPO2]]="costo", VLOOKUP(Table1[[#This Row],[PARTIDA PRESUPUESTAL]],'Cost Report'!G:G,1,0),"Balance")</f>
        <v>3683-105</v>
      </c>
      <c r="AC3746" s="118"/>
      <c r="AD3746" s="159">
        <f>+Table1[[#This Row],[SUBTOTAL]]+Table1[[#This Row],[IVA]]-Table1[[#This Row],[RET IVA]]-Table1[[#This Row],[RET ISR]]-Table1[[#This Row],[TOTAL]]</f>
        <v>0</v>
      </c>
      <c r="AE3746" s="152"/>
      <c r="AF3746" s="153"/>
      <c r="AG3746" s="126"/>
      <c r="AK3746" s="306" t="str">
        <f>IF(ISNUMBER(Table1[[#This Row],[FECHA DE RECIBIDO]]), Table1[[#This Row],[FECHA DE RECIBIDO]]-DATE(2023,8,30), "")</f>
        <v/>
      </c>
    </row>
    <row r="3747" spans="1:37" ht="15" customHeight="1">
      <c r="A3747" s="150" t="s">
        <v>4273</v>
      </c>
      <c r="B3747" s="151">
        <v>1262</v>
      </c>
      <c r="C3747" s="126" t="s">
        <v>2880</v>
      </c>
      <c r="D3747">
        <v>2498</v>
      </c>
      <c r="E3747" s="126" t="s">
        <v>2001</v>
      </c>
      <c r="F3747" s="122" t="s">
        <v>1607</v>
      </c>
      <c r="G3747" s="122" t="s">
        <v>134</v>
      </c>
      <c r="H3747">
        <v>23</v>
      </c>
      <c r="I3747" s="122" t="s">
        <v>1546</v>
      </c>
      <c r="J3747" s="307" t="s">
        <v>214</v>
      </c>
      <c r="K3747" s="127" t="s">
        <v>4212</v>
      </c>
      <c r="L3747" s="151" t="s">
        <v>3306</v>
      </c>
      <c r="M3747">
        <v>343</v>
      </c>
      <c r="N3747" s="123">
        <v>1</v>
      </c>
      <c r="O3747">
        <v>2382</v>
      </c>
      <c r="P3747" s="132" t="s">
        <v>77</v>
      </c>
      <c r="Q3747" s="131">
        <v>5602.59</v>
      </c>
      <c r="R3747" s="131">
        <v>896.4144</v>
      </c>
      <c r="S3747" s="131"/>
      <c r="T3747" s="155"/>
      <c r="U3747" s="131"/>
      <c r="V3747" s="131">
        <v>6499.0043999999998</v>
      </c>
      <c r="W3747">
        <v>353</v>
      </c>
      <c r="X3747" s="151" t="s">
        <v>2035</v>
      </c>
      <c r="Y3747" s="135" t="s">
        <v>55</v>
      </c>
      <c r="Z3747" s="307">
        <v>254</v>
      </c>
      <c r="AB3747" t="str">
        <f>IF(Table1[[#This Row],[TIPO2]]="costo", VLOOKUP(Table1[[#This Row],[PARTIDA PRESUPUESTAL]],'Cost Report'!G:G,1,0),"Balance")</f>
        <v>3683-109</v>
      </c>
      <c r="AC3747" s="118"/>
      <c r="AD3747" s="159">
        <f>+Table1[[#This Row],[SUBTOTAL]]+Table1[[#This Row],[IVA]]-Table1[[#This Row],[RET IVA]]-Table1[[#This Row],[RET ISR]]-Table1[[#This Row],[TOTAL]]</f>
        <v>0</v>
      </c>
      <c r="AE3747" s="150"/>
      <c r="AF3747" s="151"/>
      <c r="AG3747" s="126"/>
      <c r="AK3747" s="306" t="str">
        <f>IF(ISNUMBER(Table1[[#This Row],[FECHA DE RECIBIDO]]), Table1[[#This Row],[FECHA DE RECIBIDO]]-DATE(2023,8,30), "")</f>
        <v/>
      </c>
    </row>
    <row r="3748" spans="1:37" ht="15" customHeight="1">
      <c r="A3748" s="152" t="s">
        <v>4273</v>
      </c>
      <c r="B3748" s="153">
        <v>1262</v>
      </c>
      <c r="C3748" s="126" t="s">
        <v>2882</v>
      </c>
      <c r="D3748">
        <v>2498</v>
      </c>
      <c r="E3748" s="126" t="s">
        <v>2001</v>
      </c>
      <c r="F3748" s="125" t="s">
        <v>1607</v>
      </c>
      <c r="G3748" s="125" t="s">
        <v>134</v>
      </c>
      <c r="H3748">
        <v>23</v>
      </c>
      <c r="I3748" s="125" t="s">
        <v>1546</v>
      </c>
      <c r="J3748" s="308" t="s">
        <v>214</v>
      </c>
      <c r="K3748" s="127" t="s">
        <v>4212</v>
      </c>
      <c r="L3748" s="153" t="s">
        <v>3306</v>
      </c>
      <c r="M3748">
        <v>343</v>
      </c>
      <c r="N3748" s="123">
        <v>1</v>
      </c>
      <c r="O3748">
        <v>2382</v>
      </c>
      <c r="P3748" s="132" t="s">
        <v>77</v>
      </c>
      <c r="Q3748" s="132">
        <v>609.37</v>
      </c>
      <c r="R3748" s="132">
        <v>97.499200000000002</v>
      </c>
      <c r="S3748" s="132"/>
      <c r="T3748" s="156"/>
      <c r="U3748" s="132"/>
      <c r="V3748" s="132">
        <v>706.86919999999998</v>
      </c>
      <c r="W3748">
        <v>353</v>
      </c>
      <c r="X3748" s="153" t="s">
        <v>2035</v>
      </c>
      <c r="Y3748" s="124" t="s">
        <v>55</v>
      </c>
      <c r="Z3748" s="308">
        <v>254</v>
      </c>
      <c r="AB3748" t="str">
        <f>IF(Table1[[#This Row],[TIPO2]]="costo", VLOOKUP(Table1[[#This Row],[PARTIDA PRESUPUESTAL]],'Cost Report'!G:G,1,0),"Balance")</f>
        <v>3683-113</v>
      </c>
      <c r="AC3748" s="118"/>
      <c r="AD3748" s="159">
        <f>+Table1[[#This Row],[SUBTOTAL]]+Table1[[#This Row],[IVA]]-Table1[[#This Row],[RET IVA]]-Table1[[#This Row],[RET ISR]]-Table1[[#This Row],[TOTAL]]</f>
        <v>0</v>
      </c>
      <c r="AE3748" s="152"/>
      <c r="AF3748" s="153"/>
      <c r="AG3748" s="126"/>
      <c r="AK3748" s="306" t="str">
        <f>IF(ISNUMBER(Table1[[#This Row],[FECHA DE RECIBIDO]]), Table1[[#This Row],[FECHA DE RECIBIDO]]-DATE(2023,8,30), "")</f>
        <v/>
      </c>
    </row>
    <row r="3749" spans="1:37" ht="15" customHeight="1">
      <c r="A3749" s="150" t="s">
        <v>4273</v>
      </c>
      <c r="B3749" s="151">
        <v>1262</v>
      </c>
      <c r="C3749" s="126" t="s">
        <v>2909</v>
      </c>
      <c r="D3749">
        <v>2498</v>
      </c>
      <c r="E3749" s="126" t="s">
        <v>2001</v>
      </c>
      <c r="F3749" s="122" t="s">
        <v>1607</v>
      </c>
      <c r="G3749" s="122" t="s">
        <v>134</v>
      </c>
      <c r="H3749">
        <v>23</v>
      </c>
      <c r="I3749" s="122" t="s">
        <v>1546</v>
      </c>
      <c r="J3749" s="307" t="s">
        <v>214</v>
      </c>
      <c r="K3749" s="127" t="s">
        <v>4212</v>
      </c>
      <c r="L3749" s="151" t="s">
        <v>3306</v>
      </c>
      <c r="M3749">
        <v>343</v>
      </c>
      <c r="N3749" s="123">
        <v>1</v>
      </c>
      <c r="O3749">
        <v>2382</v>
      </c>
      <c r="P3749" s="132" t="s">
        <v>77</v>
      </c>
      <c r="Q3749" s="131">
        <v>5243.72</v>
      </c>
      <c r="R3749" s="131">
        <v>838.99520000000007</v>
      </c>
      <c r="S3749" s="131"/>
      <c r="T3749" s="155"/>
      <c r="U3749" s="131"/>
      <c r="V3749" s="131">
        <v>6082.7152000000006</v>
      </c>
      <c r="W3749">
        <v>353</v>
      </c>
      <c r="X3749" s="151" t="s">
        <v>2035</v>
      </c>
      <c r="Y3749" s="135" t="s">
        <v>55</v>
      </c>
      <c r="Z3749" s="307">
        <v>254</v>
      </c>
      <c r="AB3749" t="str">
        <f>IF(Table1[[#This Row],[TIPO2]]="costo", VLOOKUP(Table1[[#This Row],[PARTIDA PRESUPUESTAL]],'Cost Report'!G:G,1,0),"Balance")</f>
        <v>3683-158</v>
      </c>
      <c r="AC3749" s="118"/>
      <c r="AD3749" s="159">
        <f>+Table1[[#This Row],[SUBTOTAL]]+Table1[[#This Row],[IVA]]-Table1[[#This Row],[RET IVA]]-Table1[[#This Row],[RET ISR]]-Table1[[#This Row],[TOTAL]]</f>
        <v>0</v>
      </c>
      <c r="AE3749" s="150"/>
      <c r="AF3749" s="151"/>
      <c r="AG3749" s="126"/>
      <c r="AK3749" s="306" t="str">
        <f>IF(ISNUMBER(Table1[[#This Row],[FECHA DE RECIBIDO]]), Table1[[#This Row],[FECHA DE RECIBIDO]]-DATE(2023,8,30), "")</f>
        <v/>
      </c>
    </row>
    <row r="3750" spans="1:37" ht="15" customHeight="1">
      <c r="A3750" s="152" t="s">
        <v>4273</v>
      </c>
      <c r="B3750" s="153">
        <v>1262</v>
      </c>
      <c r="C3750" s="126" t="s">
        <v>2916</v>
      </c>
      <c r="D3750">
        <v>2498</v>
      </c>
      <c r="E3750" s="126" t="s">
        <v>2001</v>
      </c>
      <c r="F3750" s="125" t="s">
        <v>1607</v>
      </c>
      <c r="G3750" s="125" t="s">
        <v>134</v>
      </c>
      <c r="H3750">
        <v>23</v>
      </c>
      <c r="I3750" s="125" t="s">
        <v>1546</v>
      </c>
      <c r="J3750" s="308" t="s">
        <v>214</v>
      </c>
      <c r="K3750" s="127" t="s">
        <v>4212</v>
      </c>
      <c r="L3750" s="153" t="s">
        <v>3306</v>
      </c>
      <c r="M3750">
        <v>343</v>
      </c>
      <c r="N3750" s="123">
        <v>1</v>
      </c>
      <c r="O3750">
        <v>2382</v>
      </c>
      <c r="P3750" s="132" t="s">
        <v>77</v>
      </c>
      <c r="Q3750" s="132">
        <v>1705.55</v>
      </c>
      <c r="R3750" s="132">
        <v>272.88799999999998</v>
      </c>
      <c r="S3750" s="132"/>
      <c r="T3750" s="156"/>
      <c r="U3750" s="132"/>
      <c r="V3750" s="132">
        <v>1978.4379999999999</v>
      </c>
      <c r="W3750">
        <v>353</v>
      </c>
      <c r="X3750" s="153" t="s">
        <v>2035</v>
      </c>
      <c r="Y3750" s="124" t="s">
        <v>55</v>
      </c>
      <c r="Z3750" s="308">
        <v>254</v>
      </c>
      <c r="AB3750" t="str">
        <f>IF(Table1[[#This Row],[TIPO2]]="costo", VLOOKUP(Table1[[#This Row],[PARTIDA PRESUPUESTAL]],'Cost Report'!G:G,1,0),"Balance")</f>
        <v>3683-171</v>
      </c>
      <c r="AC3750" s="118"/>
      <c r="AD3750" s="159">
        <f>+Table1[[#This Row],[SUBTOTAL]]+Table1[[#This Row],[IVA]]-Table1[[#This Row],[RET IVA]]-Table1[[#This Row],[RET ISR]]-Table1[[#This Row],[TOTAL]]</f>
        <v>0</v>
      </c>
      <c r="AE3750" s="152"/>
      <c r="AF3750" s="153"/>
      <c r="AG3750" s="126"/>
      <c r="AK3750" s="306" t="str">
        <f>IF(ISNUMBER(Table1[[#This Row],[FECHA DE RECIBIDO]]), Table1[[#This Row],[FECHA DE RECIBIDO]]-DATE(2023,8,30), "")</f>
        <v/>
      </c>
    </row>
    <row r="3751" spans="1:37" ht="15" customHeight="1">
      <c r="A3751" s="150" t="s">
        <v>4273</v>
      </c>
      <c r="B3751" s="151">
        <v>1262</v>
      </c>
      <c r="C3751" s="126" t="s">
        <v>2907</v>
      </c>
      <c r="D3751">
        <v>2498</v>
      </c>
      <c r="E3751" s="126" t="s">
        <v>2001</v>
      </c>
      <c r="F3751" s="122" t="s">
        <v>1607</v>
      </c>
      <c r="G3751" s="122" t="s">
        <v>134</v>
      </c>
      <c r="H3751">
        <v>23</v>
      </c>
      <c r="I3751" s="122" t="s">
        <v>1546</v>
      </c>
      <c r="J3751" s="307" t="s">
        <v>214</v>
      </c>
      <c r="K3751" s="127" t="s">
        <v>4212</v>
      </c>
      <c r="L3751" s="151" t="s">
        <v>3306</v>
      </c>
      <c r="M3751">
        <v>343</v>
      </c>
      <c r="N3751" s="123">
        <v>1</v>
      </c>
      <c r="O3751">
        <v>2382</v>
      </c>
      <c r="P3751" s="132" t="s">
        <v>77</v>
      </c>
      <c r="Q3751" s="131">
        <v>936.38</v>
      </c>
      <c r="R3751" s="131">
        <v>149.82079999999999</v>
      </c>
      <c r="S3751" s="131"/>
      <c r="T3751" s="155"/>
      <c r="U3751" s="131"/>
      <c r="V3751" s="131">
        <v>1086.2008000000001</v>
      </c>
      <c r="W3751">
        <v>353</v>
      </c>
      <c r="X3751" s="151" t="s">
        <v>2035</v>
      </c>
      <c r="Y3751" s="135" t="s">
        <v>55</v>
      </c>
      <c r="Z3751" s="307">
        <v>254</v>
      </c>
      <c r="AB3751" t="str">
        <f>IF(Table1[[#This Row],[TIPO2]]="costo", VLOOKUP(Table1[[#This Row],[PARTIDA PRESUPUESTAL]],'Cost Report'!G:G,1,0),"Balance")</f>
        <v>3683-154</v>
      </c>
      <c r="AC3751" s="118"/>
      <c r="AD3751" s="159">
        <f>+Table1[[#This Row],[SUBTOTAL]]+Table1[[#This Row],[IVA]]-Table1[[#This Row],[RET IVA]]-Table1[[#This Row],[RET ISR]]-Table1[[#This Row],[TOTAL]]</f>
        <v>0</v>
      </c>
      <c r="AE3751" s="150"/>
      <c r="AF3751" s="151"/>
      <c r="AG3751" s="126"/>
      <c r="AK3751" s="306" t="str">
        <f>IF(ISNUMBER(Table1[[#This Row],[FECHA DE RECIBIDO]]), Table1[[#This Row],[FECHA DE RECIBIDO]]-DATE(2023,8,30), "")</f>
        <v/>
      </c>
    </row>
    <row r="3752" spans="1:37" ht="15" customHeight="1">
      <c r="A3752" s="152"/>
      <c r="B3752" s="153">
        <v>1263</v>
      </c>
      <c r="C3752" s="126" t="s">
        <v>2864</v>
      </c>
      <c r="D3752">
        <v>2499</v>
      </c>
      <c r="E3752" s="126" t="s">
        <v>2001</v>
      </c>
      <c r="F3752" s="125" t="s">
        <v>1607</v>
      </c>
      <c r="G3752" s="125" t="s">
        <v>134</v>
      </c>
      <c r="H3752">
        <v>23</v>
      </c>
      <c r="I3752" s="125" t="s">
        <v>1546</v>
      </c>
      <c r="J3752" s="308" t="s">
        <v>214</v>
      </c>
      <c r="K3752" s="127" t="s">
        <v>4212</v>
      </c>
      <c r="L3752" s="153" t="s">
        <v>3306</v>
      </c>
      <c r="M3752">
        <v>343</v>
      </c>
      <c r="N3752" s="123">
        <v>1</v>
      </c>
      <c r="O3752">
        <v>2383</v>
      </c>
      <c r="P3752" s="132" t="s">
        <v>77</v>
      </c>
      <c r="Q3752" s="132">
        <v>23066.76</v>
      </c>
      <c r="R3752" s="132">
        <v>3690.68</v>
      </c>
      <c r="S3752" s="132"/>
      <c r="T3752" s="156"/>
      <c r="U3752" s="132"/>
      <c r="V3752" s="132">
        <v>26757.439999999999</v>
      </c>
      <c r="W3752">
        <v>353</v>
      </c>
      <c r="X3752" s="153" t="s">
        <v>2035</v>
      </c>
      <c r="Y3752" s="124" t="s">
        <v>55</v>
      </c>
      <c r="Z3752" s="308">
        <v>254</v>
      </c>
      <c r="AB3752" t="str">
        <f>IF(Table1[[#This Row],[TIPO2]]="costo", VLOOKUP(Table1[[#This Row],[PARTIDA PRESUPUESTAL]],'Cost Report'!G:G,1,0),"Balance")</f>
        <v>3632-003</v>
      </c>
      <c r="AC3752" s="118"/>
      <c r="AD3752" s="159">
        <f>+Table1[[#This Row],[SUBTOTAL]]+Table1[[#This Row],[IVA]]-Table1[[#This Row],[RET IVA]]-Table1[[#This Row],[RET ISR]]-Table1[[#This Row],[TOTAL]]</f>
        <v>0</v>
      </c>
      <c r="AE3752" s="152"/>
      <c r="AF3752" s="153"/>
      <c r="AG3752" s="126"/>
      <c r="AK3752" s="306" t="str">
        <f>IF(ISNUMBER(Table1[[#This Row],[FECHA DE RECIBIDO]]), Table1[[#This Row],[FECHA DE RECIBIDO]]-DATE(2023,8,30), "")</f>
        <v/>
      </c>
    </row>
    <row r="3753" spans="1:37" ht="15" customHeight="1">
      <c r="A3753" s="150"/>
      <c r="B3753" s="151">
        <v>1264</v>
      </c>
      <c r="C3753" s="126" t="s">
        <v>2838</v>
      </c>
      <c r="D3753">
        <v>2500</v>
      </c>
      <c r="E3753" s="126" t="s">
        <v>2001</v>
      </c>
      <c r="F3753" s="122" t="s">
        <v>1607</v>
      </c>
      <c r="G3753" s="122" t="s">
        <v>134</v>
      </c>
      <c r="H3753">
        <v>23</v>
      </c>
      <c r="I3753" s="122" t="s">
        <v>1546</v>
      </c>
      <c r="J3753" s="307" t="s">
        <v>214</v>
      </c>
      <c r="K3753" s="127" t="s">
        <v>4212</v>
      </c>
      <c r="L3753" s="151" t="s">
        <v>3306</v>
      </c>
      <c r="M3753">
        <v>343</v>
      </c>
      <c r="N3753" s="123">
        <v>1</v>
      </c>
      <c r="O3753">
        <v>2384</v>
      </c>
      <c r="P3753" s="132" t="s">
        <v>77</v>
      </c>
      <c r="Q3753" s="131">
        <v>7200</v>
      </c>
      <c r="R3753" s="131">
        <v>1152</v>
      </c>
      <c r="S3753" s="131"/>
      <c r="T3753" s="155"/>
      <c r="U3753" s="131"/>
      <c r="V3753" s="131">
        <v>8352</v>
      </c>
      <c r="W3753">
        <v>353</v>
      </c>
      <c r="X3753" s="151" t="s">
        <v>2035</v>
      </c>
      <c r="Y3753" s="135" t="s">
        <v>55</v>
      </c>
      <c r="Z3753" s="307">
        <v>254</v>
      </c>
      <c r="AB3753" t="str">
        <f>IF(Table1[[#This Row],[TIPO2]]="costo", VLOOKUP(Table1[[#This Row],[PARTIDA PRESUPUESTAL]],'Cost Report'!G:G,1,0),"Balance")</f>
        <v>3442-029</v>
      </c>
      <c r="AC3753" s="118"/>
      <c r="AD3753" s="159">
        <f>+Table1[[#This Row],[SUBTOTAL]]+Table1[[#This Row],[IVA]]-Table1[[#This Row],[RET IVA]]-Table1[[#This Row],[RET ISR]]-Table1[[#This Row],[TOTAL]]</f>
        <v>0</v>
      </c>
      <c r="AE3753" s="150"/>
      <c r="AF3753" s="151"/>
      <c r="AG3753" s="126"/>
      <c r="AK3753" s="306" t="str">
        <f>IF(ISNUMBER(Table1[[#This Row],[FECHA DE RECIBIDO]]), Table1[[#This Row],[FECHA DE RECIBIDO]]-DATE(2023,8,30), "")</f>
        <v/>
      </c>
    </row>
    <row r="3754" spans="1:37" ht="15" customHeight="1">
      <c r="A3754" s="152"/>
      <c r="B3754" s="153">
        <v>1265</v>
      </c>
      <c r="C3754" s="126" t="s">
        <v>2994</v>
      </c>
      <c r="D3754">
        <v>2501</v>
      </c>
      <c r="E3754" s="126" t="s">
        <v>2001</v>
      </c>
      <c r="F3754" s="125" t="s">
        <v>1607</v>
      </c>
      <c r="G3754" s="125" t="s">
        <v>134</v>
      </c>
      <c r="H3754">
        <v>23</v>
      </c>
      <c r="I3754" s="125" t="s">
        <v>1546</v>
      </c>
      <c r="J3754" s="308" t="s">
        <v>214</v>
      </c>
      <c r="K3754" s="127" t="s">
        <v>4212</v>
      </c>
      <c r="L3754" s="153" t="s">
        <v>3306</v>
      </c>
      <c r="M3754">
        <v>343</v>
      </c>
      <c r="N3754" s="123">
        <v>1</v>
      </c>
      <c r="O3754">
        <v>2385</v>
      </c>
      <c r="P3754" s="132" t="s">
        <v>77</v>
      </c>
      <c r="Q3754" s="132">
        <v>10598.51</v>
      </c>
      <c r="R3754" s="132">
        <v>1695.76</v>
      </c>
      <c r="S3754" s="132"/>
      <c r="T3754" s="156"/>
      <c r="U3754" s="132"/>
      <c r="V3754" s="132">
        <v>12294.27</v>
      </c>
      <c r="W3754">
        <v>353</v>
      </c>
      <c r="X3754" s="153" t="s">
        <v>2035</v>
      </c>
      <c r="Y3754" s="124" t="s">
        <v>55</v>
      </c>
      <c r="Z3754" s="308">
        <v>254</v>
      </c>
      <c r="AB3754" t="str">
        <f>IF(Table1[[#This Row],[TIPO2]]="costo", VLOOKUP(Table1[[#This Row],[PARTIDA PRESUPUESTAL]],'Cost Report'!G:G,1,0),"Balance")</f>
        <v>3936-008</v>
      </c>
      <c r="AC3754" s="118"/>
      <c r="AD3754" s="159">
        <f>+Table1[[#This Row],[SUBTOTAL]]+Table1[[#This Row],[IVA]]-Table1[[#This Row],[RET IVA]]-Table1[[#This Row],[RET ISR]]-Table1[[#This Row],[TOTAL]]</f>
        <v>0</v>
      </c>
      <c r="AE3754" s="152"/>
      <c r="AF3754" s="153"/>
      <c r="AG3754" s="126"/>
      <c r="AK3754" s="306" t="str">
        <f>IF(ISNUMBER(Table1[[#This Row],[FECHA DE RECIBIDO]]), Table1[[#This Row],[FECHA DE RECIBIDO]]-DATE(2023,8,30), "")</f>
        <v/>
      </c>
    </row>
    <row r="3755" spans="1:37" ht="15" customHeight="1">
      <c r="A3755" s="150" t="s">
        <v>4274</v>
      </c>
      <c r="B3755" s="151">
        <v>1266</v>
      </c>
      <c r="C3755" s="126" t="s">
        <v>2838</v>
      </c>
      <c r="D3755">
        <v>2502</v>
      </c>
      <c r="E3755" s="126" t="s">
        <v>2001</v>
      </c>
      <c r="F3755" s="122" t="s">
        <v>1607</v>
      </c>
      <c r="G3755" s="122" t="s">
        <v>134</v>
      </c>
      <c r="H3755">
        <v>23</v>
      </c>
      <c r="I3755" s="122" t="s">
        <v>1546</v>
      </c>
      <c r="J3755" s="307" t="s">
        <v>214</v>
      </c>
      <c r="K3755" s="127" t="s">
        <v>4212</v>
      </c>
      <c r="L3755" s="151" t="s">
        <v>3306</v>
      </c>
      <c r="M3755">
        <v>343</v>
      </c>
      <c r="N3755" s="123">
        <v>1</v>
      </c>
      <c r="O3755">
        <v>2386</v>
      </c>
      <c r="P3755" s="132" t="s">
        <v>77</v>
      </c>
      <c r="Q3755" s="131">
        <v>480</v>
      </c>
      <c r="R3755" s="131">
        <v>76.8</v>
      </c>
      <c r="S3755" s="131"/>
      <c r="T3755" s="155"/>
      <c r="U3755" s="131"/>
      <c r="V3755" s="131">
        <v>556.79999999999995</v>
      </c>
      <c r="W3755">
        <v>353</v>
      </c>
      <c r="X3755" s="151" t="s">
        <v>2035</v>
      </c>
      <c r="Y3755" s="135" t="s">
        <v>55</v>
      </c>
      <c r="Z3755" s="307">
        <v>254</v>
      </c>
      <c r="AB3755" t="str">
        <f>IF(Table1[[#This Row],[TIPO2]]="costo", VLOOKUP(Table1[[#This Row],[PARTIDA PRESUPUESTAL]],'Cost Report'!G:G,1,0),"Balance")</f>
        <v>3442-029</v>
      </c>
      <c r="AC3755" s="118"/>
      <c r="AD3755" s="159">
        <f>+Table1[[#This Row],[SUBTOTAL]]+Table1[[#This Row],[IVA]]-Table1[[#This Row],[RET IVA]]-Table1[[#This Row],[RET ISR]]-Table1[[#This Row],[TOTAL]]</f>
        <v>0</v>
      </c>
      <c r="AE3755" s="150"/>
      <c r="AF3755" s="151"/>
      <c r="AG3755" s="126"/>
      <c r="AK3755" s="306" t="str">
        <f>IF(ISNUMBER(Table1[[#This Row],[FECHA DE RECIBIDO]]), Table1[[#This Row],[FECHA DE RECIBIDO]]-DATE(2023,8,30), "")</f>
        <v/>
      </c>
    </row>
    <row r="3756" spans="1:37" ht="15" customHeight="1">
      <c r="A3756" s="152"/>
      <c r="B3756" s="153">
        <v>1267</v>
      </c>
      <c r="C3756" s="126" t="s">
        <v>2867</v>
      </c>
      <c r="D3756">
        <v>2503</v>
      </c>
      <c r="E3756" s="126" t="s">
        <v>2001</v>
      </c>
      <c r="F3756" s="125" t="s">
        <v>1607</v>
      </c>
      <c r="G3756" s="125" t="s">
        <v>134</v>
      </c>
      <c r="H3756">
        <v>23</v>
      </c>
      <c r="I3756" s="125" t="s">
        <v>1546</v>
      </c>
      <c r="J3756" s="308" t="s">
        <v>214</v>
      </c>
      <c r="K3756" s="127" t="s">
        <v>4212</v>
      </c>
      <c r="L3756" s="153" t="s">
        <v>3306</v>
      </c>
      <c r="M3756">
        <v>343</v>
      </c>
      <c r="N3756" s="123">
        <v>1</v>
      </c>
      <c r="O3756">
        <v>2387</v>
      </c>
      <c r="P3756" s="132" t="s">
        <v>77</v>
      </c>
      <c r="Q3756" s="132">
        <v>2427</v>
      </c>
      <c r="R3756" s="132">
        <v>388.32</v>
      </c>
      <c r="S3756" s="132"/>
      <c r="T3756" s="156"/>
      <c r="U3756" s="132"/>
      <c r="V3756" s="132">
        <v>2815.32</v>
      </c>
      <c r="W3756">
        <v>353</v>
      </c>
      <c r="X3756" s="153" t="s">
        <v>2035</v>
      </c>
      <c r="Y3756" s="124" t="s">
        <v>55</v>
      </c>
      <c r="Z3756" s="308">
        <v>254</v>
      </c>
      <c r="AB3756" t="str">
        <f>IF(Table1[[#This Row],[TIPO2]]="costo", VLOOKUP(Table1[[#This Row],[PARTIDA PRESUPUESTAL]],'Cost Report'!G:G,1,0),"Balance")</f>
        <v>3632-008</v>
      </c>
      <c r="AC3756" s="118"/>
      <c r="AD3756" s="159">
        <f>+Table1[[#This Row],[SUBTOTAL]]+Table1[[#This Row],[IVA]]-Table1[[#This Row],[RET IVA]]-Table1[[#This Row],[RET ISR]]-Table1[[#This Row],[TOTAL]]</f>
        <v>0</v>
      </c>
      <c r="AE3756" s="152"/>
      <c r="AF3756" s="153"/>
      <c r="AG3756" s="126"/>
      <c r="AK3756" s="306" t="str">
        <f>IF(ISNUMBER(Table1[[#This Row],[FECHA DE RECIBIDO]]), Table1[[#This Row],[FECHA DE RECIBIDO]]-DATE(2023,8,30), "")</f>
        <v/>
      </c>
    </row>
    <row r="3757" spans="1:37" ht="15" customHeight="1">
      <c r="A3757" s="150"/>
      <c r="B3757" s="151">
        <v>1268</v>
      </c>
      <c r="C3757" s="126" t="s">
        <v>2838</v>
      </c>
      <c r="D3757">
        <v>2504</v>
      </c>
      <c r="E3757" s="126" t="s">
        <v>2001</v>
      </c>
      <c r="F3757" s="122" t="s">
        <v>1607</v>
      </c>
      <c r="G3757" s="122" t="s">
        <v>134</v>
      </c>
      <c r="H3757">
        <v>23</v>
      </c>
      <c r="I3757" s="122" t="s">
        <v>1546</v>
      </c>
      <c r="J3757" s="307" t="s">
        <v>214</v>
      </c>
      <c r="K3757" s="127" t="s">
        <v>4212</v>
      </c>
      <c r="L3757" s="151" t="s">
        <v>3306</v>
      </c>
      <c r="M3757">
        <v>343</v>
      </c>
      <c r="N3757" s="123">
        <v>1</v>
      </c>
      <c r="O3757">
        <v>2388</v>
      </c>
      <c r="P3757" s="132" t="s">
        <v>77</v>
      </c>
      <c r="Q3757" s="131">
        <v>7020</v>
      </c>
      <c r="R3757" s="131">
        <v>1123.2</v>
      </c>
      <c r="S3757" s="131"/>
      <c r="T3757" s="155"/>
      <c r="U3757" s="131"/>
      <c r="V3757" s="131">
        <v>8143.2</v>
      </c>
      <c r="W3757">
        <v>353</v>
      </c>
      <c r="X3757" s="151" t="s">
        <v>2035</v>
      </c>
      <c r="Y3757" s="135" t="s">
        <v>55</v>
      </c>
      <c r="Z3757" s="307">
        <v>254</v>
      </c>
      <c r="AB3757" t="str">
        <f>IF(Table1[[#This Row],[TIPO2]]="costo", VLOOKUP(Table1[[#This Row],[PARTIDA PRESUPUESTAL]],'Cost Report'!G:G,1,0),"Balance")</f>
        <v>3442-029</v>
      </c>
      <c r="AC3757" s="118"/>
      <c r="AD3757" s="159">
        <f>+Table1[[#This Row],[SUBTOTAL]]+Table1[[#This Row],[IVA]]-Table1[[#This Row],[RET IVA]]-Table1[[#This Row],[RET ISR]]-Table1[[#This Row],[TOTAL]]</f>
        <v>0</v>
      </c>
      <c r="AE3757" s="150"/>
      <c r="AF3757" s="151"/>
      <c r="AG3757" s="126"/>
      <c r="AK3757" s="306" t="str">
        <f>IF(ISNUMBER(Table1[[#This Row],[FECHA DE RECIBIDO]]), Table1[[#This Row],[FECHA DE RECIBIDO]]-DATE(2023,8,30), "")</f>
        <v/>
      </c>
    </row>
    <row r="3758" spans="1:37" ht="15" customHeight="1">
      <c r="A3758" s="152"/>
      <c r="B3758" s="153">
        <v>1269</v>
      </c>
      <c r="C3758" s="126" t="s">
        <v>1035</v>
      </c>
      <c r="D3758">
        <v>2505</v>
      </c>
      <c r="E3758" s="126" t="s">
        <v>2001</v>
      </c>
      <c r="F3758" s="125" t="s">
        <v>1607</v>
      </c>
      <c r="G3758" s="125" t="s">
        <v>134</v>
      </c>
      <c r="H3758">
        <v>23</v>
      </c>
      <c r="I3758" s="125" t="s">
        <v>1546</v>
      </c>
      <c r="J3758" s="308" t="s">
        <v>214</v>
      </c>
      <c r="K3758" s="127" t="s">
        <v>4212</v>
      </c>
      <c r="L3758" s="153" t="s">
        <v>3306</v>
      </c>
      <c r="M3758">
        <v>343</v>
      </c>
      <c r="N3758" s="123">
        <v>1</v>
      </c>
      <c r="O3758">
        <v>2389</v>
      </c>
      <c r="P3758" s="132" t="s">
        <v>77</v>
      </c>
      <c r="Q3758" s="132">
        <v>1056.67</v>
      </c>
      <c r="R3758" s="132">
        <v>169.06720000000001</v>
      </c>
      <c r="S3758" s="132"/>
      <c r="T3758" s="156"/>
      <c r="U3758" s="132"/>
      <c r="V3758" s="132">
        <v>1225.7372</v>
      </c>
      <c r="W3758">
        <v>353</v>
      </c>
      <c r="X3758" s="153" t="s">
        <v>2035</v>
      </c>
      <c r="Y3758" s="124" t="s">
        <v>55</v>
      </c>
      <c r="Z3758" s="308">
        <v>254</v>
      </c>
      <c r="AB3758" t="str">
        <f>IF(Table1[[#This Row],[TIPO2]]="costo", VLOOKUP(Table1[[#This Row],[PARTIDA PRESUPUESTAL]],'Cost Report'!G:G,1,0),"Balance")</f>
        <v>3683-006</v>
      </c>
      <c r="AC3758" s="118"/>
      <c r="AD3758" s="159">
        <f>+Table1[[#This Row],[SUBTOTAL]]+Table1[[#This Row],[IVA]]-Table1[[#This Row],[RET IVA]]-Table1[[#This Row],[RET ISR]]-Table1[[#This Row],[TOTAL]]</f>
        <v>0</v>
      </c>
      <c r="AE3758" s="152"/>
      <c r="AF3758" s="153"/>
      <c r="AG3758" s="126"/>
      <c r="AK3758" s="306" t="str">
        <f>IF(ISNUMBER(Table1[[#This Row],[FECHA DE RECIBIDO]]), Table1[[#This Row],[FECHA DE RECIBIDO]]-DATE(2023,8,30), "")</f>
        <v/>
      </c>
    </row>
    <row r="3759" spans="1:37" ht="15" customHeight="1">
      <c r="A3759" s="150"/>
      <c r="B3759" s="151">
        <v>1269</v>
      </c>
      <c r="C3759" s="126" t="s">
        <v>1039</v>
      </c>
      <c r="D3759">
        <v>2505</v>
      </c>
      <c r="E3759" s="126" t="s">
        <v>2001</v>
      </c>
      <c r="F3759" s="122" t="s">
        <v>1607</v>
      </c>
      <c r="G3759" s="122" t="s">
        <v>134</v>
      </c>
      <c r="H3759">
        <v>23</v>
      </c>
      <c r="I3759" s="122" t="s">
        <v>1546</v>
      </c>
      <c r="J3759" s="307" t="s">
        <v>214</v>
      </c>
      <c r="K3759" s="127" t="s">
        <v>4212</v>
      </c>
      <c r="L3759" s="151" t="s">
        <v>3306</v>
      </c>
      <c r="M3759">
        <v>343</v>
      </c>
      <c r="N3759" s="123">
        <v>1</v>
      </c>
      <c r="O3759">
        <v>2389</v>
      </c>
      <c r="P3759" s="132" t="s">
        <v>77</v>
      </c>
      <c r="Q3759" s="131">
        <v>1101.9000000000001</v>
      </c>
      <c r="R3759" s="131">
        <v>176.30400000000003</v>
      </c>
      <c r="S3759" s="131"/>
      <c r="T3759" s="155"/>
      <c r="U3759" s="131"/>
      <c r="V3759" s="131">
        <v>1278.2040000000002</v>
      </c>
      <c r="W3759">
        <v>353</v>
      </c>
      <c r="X3759" s="151" t="s">
        <v>2035</v>
      </c>
      <c r="Y3759" s="135" t="s">
        <v>55</v>
      </c>
      <c r="Z3759" s="307">
        <v>254</v>
      </c>
      <c r="AB3759" t="str">
        <f>IF(Table1[[#This Row],[TIPO2]]="costo", VLOOKUP(Table1[[#This Row],[PARTIDA PRESUPUESTAL]],'Cost Report'!G:G,1,0),"Balance")</f>
        <v>3683-012</v>
      </c>
      <c r="AC3759" s="118"/>
      <c r="AD3759" s="159">
        <f>+Table1[[#This Row],[SUBTOTAL]]+Table1[[#This Row],[IVA]]-Table1[[#This Row],[RET IVA]]-Table1[[#This Row],[RET ISR]]-Table1[[#This Row],[TOTAL]]</f>
        <v>0</v>
      </c>
      <c r="AE3759" s="150"/>
      <c r="AF3759" s="151"/>
      <c r="AG3759" s="126"/>
      <c r="AK3759" s="306" t="str">
        <f>IF(ISNUMBER(Table1[[#This Row],[FECHA DE RECIBIDO]]), Table1[[#This Row],[FECHA DE RECIBIDO]]-DATE(2023,8,30), "")</f>
        <v/>
      </c>
    </row>
    <row r="3760" spans="1:37" ht="15" customHeight="1">
      <c r="A3760" s="152"/>
      <c r="B3760" s="153">
        <v>1269</v>
      </c>
      <c r="C3760" s="126" t="s">
        <v>1043</v>
      </c>
      <c r="D3760">
        <v>2505</v>
      </c>
      <c r="E3760" s="126" t="s">
        <v>2001</v>
      </c>
      <c r="F3760" s="125" t="s">
        <v>1607</v>
      </c>
      <c r="G3760" s="125" t="s">
        <v>134</v>
      </c>
      <c r="H3760">
        <v>23</v>
      </c>
      <c r="I3760" s="125" t="s">
        <v>1546</v>
      </c>
      <c r="J3760" s="308" t="s">
        <v>214</v>
      </c>
      <c r="K3760" s="127" t="s">
        <v>4212</v>
      </c>
      <c r="L3760" s="153" t="s">
        <v>3306</v>
      </c>
      <c r="M3760">
        <v>343</v>
      </c>
      <c r="N3760" s="123">
        <v>1</v>
      </c>
      <c r="O3760">
        <v>2389</v>
      </c>
      <c r="P3760" s="132" t="s">
        <v>77</v>
      </c>
      <c r="Q3760" s="132">
        <v>1618.93</v>
      </c>
      <c r="R3760" s="132">
        <v>259.02879999999999</v>
      </c>
      <c r="S3760" s="132"/>
      <c r="T3760" s="156"/>
      <c r="U3760" s="132"/>
      <c r="V3760" s="132">
        <v>1877.9588000000001</v>
      </c>
      <c r="W3760">
        <v>353</v>
      </c>
      <c r="X3760" s="153" t="s">
        <v>2035</v>
      </c>
      <c r="Y3760" s="124" t="s">
        <v>55</v>
      </c>
      <c r="Z3760" s="308">
        <v>254</v>
      </c>
      <c r="AB3760" t="str">
        <f>IF(Table1[[#This Row],[TIPO2]]="costo", VLOOKUP(Table1[[#This Row],[PARTIDA PRESUPUESTAL]],'Cost Report'!G:G,1,0),"Balance")</f>
        <v>3683-018</v>
      </c>
      <c r="AC3760" s="118"/>
      <c r="AD3760" s="159">
        <f>+Table1[[#This Row],[SUBTOTAL]]+Table1[[#This Row],[IVA]]-Table1[[#This Row],[RET IVA]]-Table1[[#This Row],[RET ISR]]-Table1[[#This Row],[TOTAL]]</f>
        <v>0</v>
      </c>
      <c r="AE3760" s="152"/>
      <c r="AF3760" s="153"/>
      <c r="AG3760" s="126"/>
      <c r="AK3760" s="306" t="str">
        <f>IF(ISNUMBER(Table1[[#This Row],[FECHA DE RECIBIDO]]), Table1[[#This Row],[FECHA DE RECIBIDO]]-DATE(2023,8,30), "")</f>
        <v/>
      </c>
    </row>
    <row r="3761" spans="1:37" ht="15" customHeight="1">
      <c r="A3761" s="150"/>
      <c r="B3761" s="151">
        <v>1269</v>
      </c>
      <c r="C3761" s="126" t="s">
        <v>1047</v>
      </c>
      <c r="D3761">
        <v>2505</v>
      </c>
      <c r="E3761" s="126" t="s">
        <v>2001</v>
      </c>
      <c r="F3761" s="122" t="s">
        <v>1607</v>
      </c>
      <c r="G3761" s="122" t="s">
        <v>134</v>
      </c>
      <c r="H3761">
        <v>23</v>
      </c>
      <c r="I3761" s="122" t="s">
        <v>1546</v>
      </c>
      <c r="J3761" s="307" t="s">
        <v>214</v>
      </c>
      <c r="K3761" s="127" t="s">
        <v>4212</v>
      </c>
      <c r="L3761" s="151" t="s">
        <v>3306</v>
      </c>
      <c r="M3761">
        <v>343</v>
      </c>
      <c r="N3761" s="123">
        <v>1</v>
      </c>
      <c r="O3761">
        <v>2389</v>
      </c>
      <c r="P3761" s="132" t="s">
        <v>77</v>
      </c>
      <c r="Q3761" s="131">
        <v>791.48</v>
      </c>
      <c r="R3761" s="131">
        <v>126.63680000000001</v>
      </c>
      <c r="S3761" s="131"/>
      <c r="T3761" s="155"/>
      <c r="U3761" s="131"/>
      <c r="V3761" s="131">
        <v>918.11680000000001</v>
      </c>
      <c r="W3761">
        <v>353</v>
      </c>
      <c r="X3761" s="151" t="s">
        <v>2035</v>
      </c>
      <c r="Y3761" s="135" t="s">
        <v>55</v>
      </c>
      <c r="Z3761" s="307">
        <v>254</v>
      </c>
      <c r="AB3761" t="str">
        <f>IF(Table1[[#This Row],[TIPO2]]="costo", VLOOKUP(Table1[[#This Row],[PARTIDA PRESUPUESTAL]],'Cost Report'!G:G,1,0),"Balance")</f>
        <v>3683-024</v>
      </c>
      <c r="AC3761" s="118"/>
      <c r="AD3761" s="159">
        <f>+Table1[[#This Row],[SUBTOTAL]]+Table1[[#This Row],[IVA]]-Table1[[#This Row],[RET IVA]]-Table1[[#This Row],[RET ISR]]-Table1[[#This Row],[TOTAL]]</f>
        <v>0</v>
      </c>
      <c r="AE3761" s="150"/>
      <c r="AF3761" s="151"/>
      <c r="AG3761" s="126"/>
      <c r="AK3761" s="306" t="str">
        <f>IF(ISNUMBER(Table1[[#This Row],[FECHA DE RECIBIDO]]), Table1[[#This Row],[FECHA DE RECIBIDO]]-DATE(2023,8,30), "")</f>
        <v/>
      </c>
    </row>
    <row r="3762" spans="1:37" ht="15" customHeight="1">
      <c r="A3762" s="152"/>
      <c r="B3762" s="153">
        <v>1269</v>
      </c>
      <c r="C3762" s="126" t="s">
        <v>1051</v>
      </c>
      <c r="D3762">
        <v>2505</v>
      </c>
      <c r="E3762" s="126" t="s">
        <v>2001</v>
      </c>
      <c r="F3762" s="125" t="s">
        <v>1607</v>
      </c>
      <c r="G3762" s="125" t="s">
        <v>134</v>
      </c>
      <c r="H3762">
        <v>23</v>
      </c>
      <c r="I3762" s="125" t="s">
        <v>1546</v>
      </c>
      <c r="J3762" s="308" t="s">
        <v>214</v>
      </c>
      <c r="K3762" s="127" t="s">
        <v>4212</v>
      </c>
      <c r="L3762" s="153" t="s">
        <v>3306</v>
      </c>
      <c r="M3762">
        <v>343</v>
      </c>
      <c r="N3762" s="123">
        <v>1</v>
      </c>
      <c r="O3762">
        <v>2389</v>
      </c>
      <c r="P3762" s="132" t="s">
        <v>77</v>
      </c>
      <c r="Q3762" s="132">
        <v>744.52</v>
      </c>
      <c r="R3762" s="132">
        <v>119.1232</v>
      </c>
      <c r="S3762" s="132"/>
      <c r="T3762" s="156"/>
      <c r="U3762" s="132"/>
      <c r="V3762" s="132">
        <v>863.64319999999998</v>
      </c>
      <c r="W3762">
        <v>353</v>
      </c>
      <c r="X3762" s="153" t="s">
        <v>2035</v>
      </c>
      <c r="Y3762" s="124" t="s">
        <v>55</v>
      </c>
      <c r="Z3762" s="308">
        <v>254</v>
      </c>
      <c r="AB3762" t="str">
        <f>IF(Table1[[#This Row],[TIPO2]]="costo", VLOOKUP(Table1[[#This Row],[PARTIDA PRESUPUESTAL]],'Cost Report'!G:G,1,0),"Balance")</f>
        <v>3683-030</v>
      </c>
      <c r="AC3762" s="118"/>
      <c r="AD3762" s="159">
        <f>+Table1[[#This Row],[SUBTOTAL]]+Table1[[#This Row],[IVA]]-Table1[[#This Row],[RET IVA]]-Table1[[#This Row],[RET ISR]]-Table1[[#This Row],[TOTAL]]</f>
        <v>0</v>
      </c>
      <c r="AE3762" s="152"/>
      <c r="AF3762" s="153"/>
      <c r="AG3762" s="126"/>
      <c r="AK3762" s="306" t="str">
        <f>IF(ISNUMBER(Table1[[#This Row],[FECHA DE RECIBIDO]]), Table1[[#This Row],[FECHA DE RECIBIDO]]-DATE(2023,8,30), "")</f>
        <v/>
      </c>
    </row>
    <row r="3763" spans="1:37" ht="15" customHeight="1">
      <c r="A3763" s="150"/>
      <c r="B3763" s="151">
        <v>1269</v>
      </c>
      <c r="C3763" s="126" t="s">
        <v>2897</v>
      </c>
      <c r="D3763">
        <v>2505</v>
      </c>
      <c r="E3763" s="126" t="s">
        <v>2001</v>
      </c>
      <c r="F3763" s="122" t="s">
        <v>1607</v>
      </c>
      <c r="G3763" s="122" t="s">
        <v>134</v>
      </c>
      <c r="H3763">
        <v>23</v>
      </c>
      <c r="I3763" s="122" t="s">
        <v>1546</v>
      </c>
      <c r="J3763" s="307" t="s">
        <v>214</v>
      </c>
      <c r="K3763" s="127" t="s">
        <v>4212</v>
      </c>
      <c r="L3763" s="151" t="s">
        <v>3306</v>
      </c>
      <c r="M3763">
        <v>343</v>
      </c>
      <c r="N3763" s="123">
        <v>1</v>
      </c>
      <c r="O3763">
        <v>2389</v>
      </c>
      <c r="P3763" s="132" t="s">
        <v>77</v>
      </c>
      <c r="Q3763" s="131">
        <v>362.31</v>
      </c>
      <c r="R3763" s="131">
        <v>57.9696</v>
      </c>
      <c r="S3763" s="131"/>
      <c r="T3763" s="155"/>
      <c r="U3763" s="131"/>
      <c r="V3763" s="131">
        <v>420.27960000000002</v>
      </c>
      <c r="W3763">
        <v>353</v>
      </c>
      <c r="X3763" s="151" t="s">
        <v>2035</v>
      </c>
      <c r="Y3763" s="135" t="s">
        <v>55</v>
      </c>
      <c r="Z3763" s="307">
        <v>254</v>
      </c>
      <c r="AB3763" t="str">
        <f>IF(Table1[[#This Row],[TIPO2]]="costo", VLOOKUP(Table1[[#This Row],[PARTIDA PRESUPUESTAL]],'Cost Report'!G:G,1,0),"Balance")</f>
        <v>3683-138</v>
      </c>
      <c r="AC3763" s="118"/>
      <c r="AD3763" s="159">
        <f>+Table1[[#This Row],[SUBTOTAL]]+Table1[[#This Row],[IVA]]-Table1[[#This Row],[RET IVA]]-Table1[[#This Row],[RET ISR]]-Table1[[#This Row],[TOTAL]]</f>
        <v>0</v>
      </c>
      <c r="AE3763" s="150"/>
      <c r="AF3763" s="151"/>
      <c r="AG3763" s="126"/>
      <c r="AK3763" s="306" t="str">
        <f>IF(ISNUMBER(Table1[[#This Row],[FECHA DE RECIBIDO]]), Table1[[#This Row],[FECHA DE RECIBIDO]]-DATE(2023,8,30), "")</f>
        <v/>
      </c>
    </row>
    <row r="3764" spans="1:37" ht="15" customHeight="1">
      <c r="A3764" s="152"/>
      <c r="B3764" s="153">
        <v>1269</v>
      </c>
      <c r="C3764" s="126" t="s">
        <v>1059</v>
      </c>
      <c r="D3764">
        <v>2505</v>
      </c>
      <c r="E3764" s="126" t="s">
        <v>2001</v>
      </c>
      <c r="F3764" s="125" t="s">
        <v>1607</v>
      </c>
      <c r="G3764" s="125" t="s">
        <v>134</v>
      </c>
      <c r="H3764">
        <v>23</v>
      </c>
      <c r="I3764" s="125" t="s">
        <v>1546</v>
      </c>
      <c r="J3764" s="308" t="s">
        <v>214</v>
      </c>
      <c r="K3764" s="127" t="s">
        <v>4212</v>
      </c>
      <c r="L3764" s="153" t="s">
        <v>3306</v>
      </c>
      <c r="M3764">
        <v>343</v>
      </c>
      <c r="N3764" s="123">
        <v>1</v>
      </c>
      <c r="O3764">
        <v>2389</v>
      </c>
      <c r="P3764" s="132" t="s">
        <v>77</v>
      </c>
      <c r="Q3764" s="132">
        <v>744.52</v>
      </c>
      <c r="R3764" s="132">
        <v>119.1232</v>
      </c>
      <c r="S3764" s="132"/>
      <c r="T3764" s="156"/>
      <c r="U3764" s="132"/>
      <c r="V3764" s="132">
        <v>863.64319999999998</v>
      </c>
      <c r="W3764">
        <v>353</v>
      </c>
      <c r="X3764" s="153" t="s">
        <v>2035</v>
      </c>
      <c r="Y3764" s="124" t="s">
        <v>55</v>
      </c>
      <c r="Z3764" s="308">
        <v>254</v>
      </c>
      <c r="AB3764" t="str">
        <f>IF(Table1[[#This Row],[TIPO2]]="costo", VLOOKUP(Table1[[#This Row],[PARTIDA PRESUPUESTAL]],'Cost Report'!G:G,1,0),"Balance")</f>
        <v>3683-042</v>
      </c>
      <c r="AC3764" s="118"/>
      <c r="AD3764" s="159">
        <f>+Table1[[#This Row],[SUBTOTAL]]+Table1[[#This Row],[IVA]]-Table1[[#This Row],[RET IVA]]-Table1[[#This Row],[RET ISR]]-Table1[[#This Row],[TOTAL]]</f>
        <v>0</v>
      </c>
      <c r="AE3764" s="152"/>
      <c r="AF3764" s="153"/>
      <c r="AG3764" s="126"/>
      <c r="AK3764" s="306" t="str">
        <f>IF(ISNUMBER(Table1[[#This Row],[FECHA DE RECIBIDO]]), Table1[[#This Row],[FECHA DE RECIBIDO]]-DATE(2023,8,30), "")</f>
        <v/>
      </c>
    </row>
    <row r="3765" spans="1:37" ht="15" customHeight="1">
      <c r="A3765" s="150"/>
      <c r="B3765" s="151">
        <v>1269</v>
      </c>
      <c r="C3765" s="126" t="s">
        <v>1063</v>
      </c>
      <c r="D3765">
        <v>2505</v>
      </c>
      <c r="E3765" s="126" t="s">
        <v>2001</v>
      </c>
      <c r="F3765" s="122" t="s">
        <v>1607</v>
      </c>
      <c r="G3765" s="122" t="s">
        <v>134</v>
      </c>
      <c r="H3765">
        <v>23</v>
      </c>
      <c r="I3765" s="122" t="s">
        <v>1546</v>
      </c>
      <c r="J3765" s="307" t="s">
        <v>214</v>
      </c>
      <c r="K3765" s="127" t="s">
        <v>4212</v>
      </c>
      <c r="L3765" s="151" t="s">
        <v>3306</v>
      </c>
      <c r="M3765">
        <v>343</v>
      </c>
      <c r="N3765" s="123">
        <v>1</v>
      </c>
      <c r="O3765">
        <v>2389</v>
      </c>
      <c r="P3765" s="132" t="s">
        <v>77</v>
      </c>
      <c r="Q3765" s="131">
        <v>791.48</v>
      </c>
      <c r="R3765" s="131">
        <v>126.63680000000001</v>
      </c>
      <c r="S3765" s="131"/>
      <c r="T3765" s="155"/>
      <c r="U3765" s="131"/>
      <c r="V3765" s="131">
        <v>918.11680000000001</v>
      </c>
      <c r="W3765">
        <v>353</v>
      </c>
      <c r="X3765" s="151" t="s">
        <v>2035</v>
      </c>
      <c r="Y3765" s="135" t="s">
        <v>55</v>
      </c>
      <c r="Z3765" s="307">
        <v>254</v>
      </c>
      <c r="AB3765" t="str">
        <f>IF(Table1[[#This Row],[TIPO2]]="costo", VLOOKUP(Table1[[#This Row],[PARTIDA PRESUPUESTAL]],'Cost Report'!G:G,1,0),"Balance")</f>
        <v>3683-048</v>
      </c>
      <c r="AC3765" s="118"/>
      <c r="AD3765" s="159">
        <f>+Table1[[#This Row],[SUBTOTAL]]+Table1[[#This Row],[IVA]]-Table1[[#This Row],[RET IVA]]-Table1[[#This Row],[RET ISR]]-Table1[[#This Row],[TOTAL]]</f>
        <v>0</v>
      </c>
      <c r="AE3765" s="150"/>
      <c r="AF3765" s="151"/>
      <c r="AG3765" s="126"/>
      <c r="AK3765" s="306" t="str">
        <f>IF(ISNUMBER(Table1[[#This Row],[FECHA DE RECIBIDO]]), Table1[[#This Row],[FECHA DE RECIBIDO]]-DATE(2023,8,30), "")</f>
        <v/>
      </c>
    </row>
    <row r="3766" spans="1:37" ht="15" customHeight="1">
      <c r="A3766" s="152"/>
      <c r="B3766" s="153">
        <v>1269</v>
      </c>
      <c r="C3766" s="126" t="s">
        <v>1067</v>
      </c>
      <c r="D3766">
        <v>2505</v>
      </c>
      <c r="E3766" s="126" t="s">
        <v>2001</v>
      </c>
      <c r="F3766" s="125" t="s">
        <v>1607</v>
      </c>
      <c r="G3766" s="125" t="s">
        <v>134</v>
      </c>
      <c r="H3766">
        <v>23</v>
      </c>
      <c r="I3766" s="125" t="s">
        <v>1546</v>
      </c>
      <c r="J3766" s="308" t="s">
        <v>214</v>
      </c>
      <c r="K3766" s="127" t="s">
        <v>4212</v>
      </c>
      <c r="L3766" s="153" t="s">
        <v>3306</v>
      </c>
      <c r="M3766">
        <v>343</v>
      </c>
      <c r="N3766" s="123">
        <v>1</v>
      </c>
      <c r="O3766">
        <v>2389</v>
      </c>
      <c r="P3766" s="132" t="s">
        <v>77</v>
      </c>
      <c r="Q3766" s="132">
        <v>758.31</v>
      </c>
      <c r="R3766" s="132">
        <v>121.3296</v>
      </c>
      <c r="S3766" s="132"/>
      <c r="T3766" s="156"/>
      <c r="U3766" s="132"/>
      <c r="V3766" s="132">
        <v>879.63959999999997</v>
      </c>
      <c r="W3766">
        <v>353</v>
      </c>
      <c r="X3766" s="153" t="s">
        <v>2035</v>
      </c>
      <c r="Y3766" s="124" t="s">
        <v>55</v>
      </c>
      <c r="Z3766" s="308">
        <v>254</v>
      </c>
      <c r="AB3766" t="str">
        <f>IF(Table1[[#This Row],[TIPO2]]="costo", VLOOKUP(Table1[[#This Row],[PARTIDA PRESUPUESTAL]],'Cost Report'!G:G,1,0),"Balance")</f>
        <v>3683-054</v>
      </c>
      <c r="AC3766" s="118"/>
      <c r="AD3766" s="159">
        <f>+Table1[[#This Row],[SUBTOTAL]]+Table1[[#This Row],[IVA]]-Table1[[#This Row],[RET IVA]]-Table1[[#This Row],[RET ISR]]-Table1[[#This Row],[TOTAL]]</f>
        <v>0</v>
      </c>
      <c r="AE3766" s="152"/>
      <c r="AF3766" s="153"/>
      <c r="AG3766" s="126"/>
      <c r="AK3766" s="306" t="str">
        <f>IF(ISNUMBER(Table1[[#This Row],[FECHA DE RECIBIDO]]), Table1[[#This Row],[FECHA DE RECIBIDO]]-DATE(2023,8,30), "")</f>
        <v/>
      </c>
    </row>
    <row r="3767" spans="1:37" ht="15" customHeight="1">
      <c r="A3767" s="150"/>
      <c r="B3767" s="151">
        <v>1269</v>
      </c>
      <c r="C3767" s="126" t="s">
        <v>1071</v>
      </c>
      <c r="D3767">
        <v>2505</v>
      </c>
      <c r="E3767" s="126" t="s">
        <v>2001</v>
      </c>
      <c r="F3767" s="122" t="s">
        <v>1607</v>
      </c>
      <c r="G3767" s="122" t="s">
        <v>134</v>
      </c>
      <c r="H3767">
        <v>23</v>
      </c>
      <c r="I3767" s="122" t="s">
        <v>1546</v>
      </c>
      <c r="J3767" s="307" t="s">
        <v>214</v>
      </c>
      <c r="K3767" s="127" t="s">
        <v>4212</v>
      </c>
      <c r="L3767" s="151" t="s">
        <v>3306</v>
      </c>
      <c r="M3767">
        <v>343</v>
      </c>
      <c r="N3767" s="123">
        <v>1</v>
      </c>
      <c r="O3767">
        <v>2389</v>
      </c>
      <c r="P3767" s="132" t="s">
        <v>77</v>
      </c>
      <c r="Q3767" s="131">
        <v>539.64</v>
      </c>
      <c r="R3767" s="131">
        <v>86.342399999999998</v>
      </c>
      <c r="S3767" s="131"/>
      <c r="T3767" s="155"/>
      <c r="U3767" s="131"/>
      <c r="V3767" s="131">
        <v>625.98239999999998</v>
      </c>
      <c r="W3767">
        <v>353</v>
      </c>
      <c r="X3767" s="151" t="s">
        <v>2035</v>
      </c>
      <c r="Y3767" s="135" t="s">
        <v>55</v>
      </c>
      <c r="Z3767" s="307">
        <v>254</v>
      </c>
      <c r="AB3767" t="str">
        <f>IF(Table1[[#This Row],[TIPO2]]="costo", VLOOKUP(Table1[[#This Row],[PARTIDA PRESUPUESTAL]],'Cost Report'!G:G,1,0),"Balance")</f>
        <v>3683-060</v>
      </c>
      <c r="AC3767" s="118"/>
      <c r="AD3767" s="159">
        <f>+Table1[[#This Row],[SUBTOTAL]]+Table1[[#This Row],[IVA]]-Table1[[#This Row],[RET IVA]]-Table1[[#This Row],[RET ISR]]-Table1[[#This Row],[TOTAL]]</f>
        <v>0</v>
      </c>
      <c r="AE3767" s="150"/>
      <c r="AF3767" s="151"/>
      <c r="AG3767" s="126"/>
      <c r="AK3767" s="306" t="str">
        <f>IF(ISNUMBER(Table1[[#This Row],[FECHA DE RECIBIDO]]), Table1[[#This Row],[FECHA DE RECIBIDO]]-DATE(2023,8,30), "")</f>
        <v/>
      </c>
    </row>
    <row r="3768" spans="1:37" ht="15" customHeight="1">
      <c r="A3768" s="152"/>
      <c r="B3768" s="153">
        <v>1269</v>
      </c>
      <c r="C3768" s="126" t="s">
        <v>1075</v>
      </c>
      <c r="D3768">
        <v>2505</v>
      </c>
      <c r="E3768" s="126" t="s">
        <v>2001</v>
      </c>
      <c r="F3768" s="125" t="s">
        <v>1607</v>
      </c>
      <c r="G3768" s="125" t="s">
        <v>134</v>
      </c>
      <c r="H3768">
        <v>23</v>
      </c>
      <c r="I3768" s="125" t="s">
        <v>1546</v>
      </c>
      <c r="J3768" s="308" t="s">
        <v>214</v>
      </c>
      <c r="K3768" s="127" t="s">
        <v>4212</v>
      </c>
      <c r="L3768" s="153" t="s">
        <v>3306</v>
      </c>
      <c r="M3768">
        <v>343</v>
      </c>
      <c r="N3768" s="123">
        <v>1</v>
      </c>
      <c r="O3768">
        <v>2389</v>
      </c>
      <c r="P3768" s="132" t="s">
        <v>77</v>
      </c>
      <c r="Q3768" s="132">
        <v>539.64</v>
      </c>
      <c r="R3768" s="132">
        <v>86.342399999999998</v>
      </c>
      <c r="S3768" s="132"/>
      <c r="T3768" s="156"/>
      <c r="U3768" s="132"/>
      <c r="V3768" s="132">
        <v>625.98239999999998</v>
      </c>
      <c r="W3768">
        <v>353</v>
      </c>
      <c r="X3768" s="153" t="s">
        <v>2035</v>
      </c>
      <c r="Y3768" s="124" t="s">
        <v>55</v>
      </c>
      <c r="Z3768" s="308">
        <v>254</v>
      </c>
      <c r="AB3768" t="str">
        <f>IF(Table1[[#This Row],[TIPO2]]="costo", VLOOKUP(Table1[[#This Row],[PARTIDA PRESUPUESTAL]],'Cost Report'!G:G,1,0),"Balance")</f>
        <v>3683-066</v>
      </c>
      <c r="AC3768" s="118"/>
      <c r="AD3768" s="159">
        <f>+Table1[[#This Row],[SUBTOTAL]]+Table1[[#This Row],[IVA]]-Table1[[#This Row],[RET IVA]]-Table1[[#This Row],[RET ISR]]-Table1[[#This Row],[TOTAL]]</f>
        <v>0</v>
      </c>
      <c r="AE3768" s="152"/>
      <c r="AF3768" s="153"/>
      <c r="AG3768" s="126"/>
      <c r="AK3768" s="306" t="str">
        <f>IF(ISNUMBER(Table1[[#This Row],[FECHA DE RECIBIDO]]), Table1[[#This Row],[FECHA DE RECIBIDO]]-DATE(2023,8,30), "")</f>
        <v/>
      </c>
    </row>
    <row r="3769" spans="1:37" ht="15" customHeight="1">
      <c r="A3769" s="150"/>
      <c r="B3769" s="151">
        <v>1269</v>
      </c>
      <c r="C3769" s="126" t="s">
        <v>1079</v>
      </c>
      <c r="D3769">
        <v>2505</v>
      </c>
      <c r="E3769" s="126" t="s">
        <v>2001</v>
      </c>
      <c r="F3769" s="122" t="s">
        <v>1607</v>
      </c>
      <c r="G3769" s="122" t="s">
        <v>134</v>
      </c>
      <c r="H3769">
        <v>23</v>
      </c>
      <c r="I3769" s="122" t="s">
        <v>1546</v>
      </c>
      <c r="J3769" s="307" t="s">
        <v>214</v>
      </c>
      <c r="K3769" s="127" t="s">
        <v>4212</v>
      </c>
      <c r="L3769" s="151" t="s">
        <v>3306</v>
      </c>
      <c r="M3769">
        <v>343</v>
      </c>
      <c r="N3769" s="123">
        <v>1</v>
      </c>
      <c r="O3769">
        <v>2389</v>
      </c>
      <c r="P3769" s="132" t="s">
        <v>77</v>
      </c>
      <c r="Q3769" s="131">
        <v>539.64</v>
      </c>
      <c r="R3769" s="131">
        <v>86.342399999999998</v>
      </c>
      <c r="S3769" s="131"/>
      <c r="T3769" s="155"/>
      <c r="U3769" s="131"/>
      <c r="V3769" s="131">
        <v>625.98239999999998</v>
      </c>
      <c r="W3769">
        <v>353</v>
      </c>
      <c r="X3769" s="151" t="s">
        <v>2035</v>
      </c>
      <c r="Y3769" s="135" t="s">
        <v>55</v>
      </c>
      <c r="Z3769" s="307">
        <v>254</v>
      </c>
      <c r="AB3769" t="str">
        <f>IF(Table1[[#This Row],[TIPO2]]="costo", VLOOKUP(Table1[[#This Row],[PARTIDA PRESUPUESTAL]],'Cost Report'!G:G,1,0),"Balance")</f>
        <v>3683-072</v>
      </c>
      <c r="AC3769" s="118"/>
      <c r="AD3769" s="159">
        <f>+Table1[[#This Row],[SUBTOTAL]]+Table1[[#This Row],[IVA]]-Table1[[#This Row],[RET IVA]]-Table1[[#This Row],[RET ISR]]-Table1[[#This Row],[TOTAL]]</f>
        <v>0</v>
      </c>
      <c r="AE3769" s="150"/>
      <c r="AF3769" s="151"/>
      <c r="AG3769" s="126"/>
      <c r="AK3769" s="306" t="str">
        <f>IF(ISNUMBER(Table1[[#This Row],[FECHA DE RECIBIDO]]), Table1[[#This Row],[FECHA DE RECIBIDO]]-DATE(2023,8,30), "")</f>
        <v/>
      </c>
    </row>
    <row r="3770" spans="1:37" ht="15" customHeight="1">
      <c r="A3770" s="152"/>
      <c r="B3770" s="153">
        <v>1269</v>
      </c>
      <c r="C3770" s="126" t="s">
        <v>1083</v>
      </c>
      <c r="D3770">
        <v>2505</v>
      </c>
      <c r="E3770" s="126" t="s">
        <v>2001</v>
      </c>
      <c r="F3770" s="125" t="s">
        <v>1607</v>
      </c>
      <c r="G3770" s="125" t="s">
        <v>134</v>
      </c>
      <c r="H3770">
        <v>23</v>
      </c>
      <c r="I3770" s="125" t="s">
        <v>1546</v>
      </c>
      <c r="J3770" s="308" t="s">
        <v>214</v>
      </c>
      <c r="K3770" s="127" t="s">
        <v>4212</v>
      </c>
      <c r="L3770" s="153" t="s">
        <v>3306</v>
      </c>
      <c r="M3770">
        <v>343</v>
      </c>
      <c r="N3770" s="123">
        <v>1</v>
      </c>
      <c r="O3770">
        <v>2389</v>
      </c>
      <c r="P3770" s="132" t="s">
        <v>77</v>
      </c>
      <c r="Q3770" s="132">
        <v>539.64</v>
      </c>
      <c r="R3770" s="132">
        <v>86.342399999999998</v>
      </c>
      <c r="S3770" s="132"/>
      <c r="T3770" s="156"/>
      <c r="U3770" s="132"/>
      <c r="V3770" s="132">
        <v>625.98239999999998</v>
      </c>
      <c r="W3770">
        <v>353</v>
      </c>
      <c r="X3770" s="153" t="s">
        <v>2035</v>
      </c>
      <c r="Y3770" s="124" t="s">
        <v>55</v>
      </c>
      <c r="Z3770" s="308">
        <v>254</v>
      </c>
      <c r="AB3770" t="str">
        <f>IF(Table1[[#This Row],[TIPO2]]="costo", VLOOKUP(Table1[[#This Row],[PARTIDA PRESUPUESTAL]],'Cost Report'!G:G,1,0),"Balance")</f>
        <v>3683-078</v>
      </c>
      <c r="AC3770" s="118"/>
      <c r="AD3770" s="159">
        <f>+Table1[[#This Row],[SUBTOTAL]]+Table1[[#This Row],[IVA]]-Table1[[#This Row],[RET IVA]]-Table1[[#This Row],[RET ISR]]-Table1[[#This Row],[TOTAL]]</f>
        <v>0</v>
      </c>
      <c r="AE3770" s="152"/>
      <c r="AF3770" s="153"/>
      <c r="AG3770" s="126"/>
      <c r="AK3770" s="306" t="str">
        <f>IF(ISNUMBER(Table1[[#This Row],[FECHA DE RECIBIDO]]), Table1[[#This Row],[FECHA DE RECIBIDO]]-DATE(2023,8,30), "")</f>
        <v/>
      </c>
    </row>
    <row r="3771" spans="1:37" ht="15" customHeight="1">
      <c r="A3771" s="150"/>
      <c r="B3771" s="151">
        <v>1269</v>
      </c>
      <c r="C3771" s="126" t="s">
        <v>1087</v>
      </c>
      <c r="D3771">
        <v>2505</v>
      </c>
      <c r="E3771" s="126" t="s">
        <v>2001</v>
      </c>
      <c r="F3771" s="122" t="s">
        <v>1607</v>
      </c>
      <c r="G3771" s="122" t="s">
        <v>134</v>
      </c>
      <c r="H3771">
        <v>23</v>
      </c>
      <c r="I3771" s="122" t="s">
        <v>1546</v>
      </c>
      <c r="J3771" s="307" t="s">
        <v>214</v>
      </c>
      <c r="K3771" s="127" t="s">
        <v>4212</v>
      </c>
      <c r="L3771" s="151" t="s">
        <v>3306</v>
      </c>
      <c r="M3771">
        <v>343</v>
      </c>
      <c r="N3771" s="123">
        <v>1</v>
      </c>
      <c r="O3771">
        <v>2389</v>
      </c>
      <c r="P3771" s="132" t="s">
        <v>77</v>
      </c>
      <c r="Q3771" s="131">
        <v>791.48</v>
      </c>
      <c r="R3771" s="131">
        <v>126.63680000000001</v>
      </c>
      <c r="S3771" s="131"/>
      <c r="T3771" s="155"/>
      <c r="U3771" s="131"/>
      <c r="V3771" s="131">
        <v>918.11680000000001</v>
      </c>
      <c r="W3771">
        <v>353</v>
      </c>
      <c r="X3771" s="151" t="s">
        <v>2035</v>
      </c>
      <c r="Y3771" s="135" t="s">
        <v>55</v>
      </c>
      <c r="Z3771" s="307">
        <v>254</v>
      </c>
      <c r="AB3771" t="str">
        <f>IF(Table1[[#This Row],[TIPO2]]="costo", VLOOKUP(Table1[[#This Row],[PARTIDA PRESUPUESTAL]],'Cost Report'!G:G,1,0),"Balance")</f>
        <v>3683-084</v>
      </c>
      <c r="AC3771" s="118"/>
      <c r="AD3771" s="159">
        <f>+Table1[[#This Row],[SUBTOTAL]]+Table1[[#This Row],[IVA]]-Table1[[#This Row],[RET IVA]]-Table1[[#This Row],[RET ISR]]-Table1[[#This Row],[TOTAL]]</f>
        <v>0</v>
      </c>
      <c r="AE3771" s="150"/>
      <c r="AF3771" s="151"/>
      <c r="AG3771" s="126"/>
      <c r="AK3771" s="306" t="str">
        <f>IF(ISNUMBER(Table1[[#This Row],[FECHA DE RECIBIDO]]), Table1[[#This Row],[FECHA DE RECIBIDO]]-DATE(2023,8,30), "")</f>
        <v/>
      </c>
    </row>
    <row r="3772" spans="1:37" ht="15" customHeight="1">
      <c r="A3772" s="152"/>
      <c r="B3772" s="153">
        <v>1269</v>
      </c>
      <c r="C3772" s="126" t="s">
        <v>1091</v>
      </c>
      <c r="D3772">
        <v>2505</v>
      </c>
      <c r="E3772" s="126" t="s">
        <v>2001</v>
      </c>
      <c r="F3772" s="125" t="s">
        <v>1607</v>
      </c>
      <c r="G3772" s="125" t="s">
        <v>134</v>
      </c>
      <c r="H3772">
        <v>23</v>
      </c>
      <c r="I3772" s="125" t="s">
        <v>1546</v>
      </c>
      <c r="J3772" s="308" t="s">
        <v>214</v>
      </c>
      <c r="K3772" s="127" t="s">
        <v>4212</v>
      </c>
      <c r="L3772" s="153" t="s">
        <v>3306</v>
      </c>
      <c r="M3772">
        <v>343</v>
      </c>
      <c r="N3772" s="123">
        <v>1</v>
      </c>
      <c r="O3772">
        <v>2389</v>
      </c>
      <c r="P3772" s="132" t="s">
        <v>77</v>
      </c>
      <c r="Q3772" s="132">
        <v>539.64</v>
      </c>
      <c r="R3772" s="132">
        <v>86.342399999999998</v>
      </c>
      <c r="S3772" s="132"/>
      <c r="T3772" s="156"/>
      <c r="U3772" s="132"/>
      <c r="V3772" s="132">
        <v>625.98239999999998</v>
      </c>
      <c r="W3772">
        <v>353</v>
      </c>
      <c r="X3772" s="153" t="s">
        <v>2035</v>
      </c>
      <c r="Y3772" s="124" t="s">
        <v>55</v>
      </c>
      <c r="Z3772" s="308">
        <v>254</v>
      </c>
      <c r="AB3772" t="str">
        <f>IF(Table1[[#This Row],[TIPO2]]="costo", VLOOKUP(Table1[[#This Row],[PARTIDA PRESUPUESTAL]],'Cost Report'!G:G,1,0),"Balance")</f>
        <v>3683-090</v>
      </c>
      <c r="AC3772" s="118"/>
      <c r="AD3772" s="159">
        <f>+Table1[[#This Row],[SUBTOTAL]]+Table1[[#This Row],[IVA]]-Table1[[#This Row],[RET IVA]]-Table1[[#This Row],[RET ISR]]-Table1[[#This Row],[TOTAL]]</f>
        <v>0</v>
      </c>
      <c r="AE3772" s="152"/>
      <c r="AF3772" s="153"/>
      <c r="AG3772" s="126"/>
      <c r="AK3772" s="306" t="str">
        <f>IF(ISNUMBER(Table1[[#This Row],[FECHA DE RECIBIDO]]), Table1[[#This Row],[FECHA DE RECIBIDO]]-DATE(2023,8,30), "")</f>
        <v/>
      </c>
    </row>
    <row r="3773" spans="1:37" ht="15" customHeight="1">
      <c r="A3773" s="150"/>
      <c r="B3773" s="151">
        <v>1269</v>
      </c>
      <c r="C3773" s="126" t="s">
        <v>1095</v>
      </c>
      <c r="D3773">
        <v>2505</v>
      </c>
      <c r="E3773" s="126" t="s">
        <v>2001</v>
      </c>
      <c r="F3773" s="122" t="s">
        <v>1607</v>
      </c>
      <c r="G3773" s="122" t="s">
        <v>134</v>
      </c>
      <c r="H3773">
        <v>23</v>
      </c>
      <c r="I3773" s="122" t="s">
        <v>1546</v>
      </c>
      <c r="J3773" s="307" t="s">
        <v>214</v>
      </c>
      <c r="K3773" s="127" t="s">
        <v>4212</v>
      </c>
      <c r="L3773" s="151" t="s">
        <v>3306</v>
      </c>
      <c r="M3773">
        <v>343</v>
      </c>
      <c r="N3773" s="123">
        <v>1</v>
      </c>
      <c r="O3773">
        <v>2389</v>
      </c>
      <c r="P3773" s="132" t="s">
        <v>77</v>
      </c>
      <c r="Q3773" s="131">
        <v>791.48</v>
      </c>
      <c r="R3773" s="131">
        <v>126.63680000000001</v>
      </c>
      <c r="S3773" s="131"/>
      <c r="T3773" s="155"/>
      <c r="U3773" s="131"/>
      <c r="V3773" s="131">
        <v>918.11680000000001</v>
      </c>
      <c r="W3773">
        <v>353</v>
      </c>
      <c r="X3773" s="151" t="s">
        <v>2035</v>
      </c>
      <c r="Y3773" s="135" t="s">
        <v>55</v>
      </c>
      <c r="Z3773" s="307">
        <v>254</v>
      </c>
      <c r="AB3773" t="str">
        <f>IF(Table1[[#This Row],[TIPO2]]="costo", VLOOKUP(Table1[[#This Row],[PARTIDA PRESUPUESTAL]],'Cost Report'!G:G,1,0),"Balance")</f>
        <v>3683-096</v>
      </c>
      <c r="AC3773" s="118"/>
      <c r="AD3773" s="159">
        <f>+Table1[[#This Row],[SUBTOTAL]]+Table1[[#This Row],[IVA]]-Table1[[#This Row],[RET IVA]]-Table1[[#This Row],[RET ISR]]-Table1[[#This Row],[TOTAL]]</f>
        <v>0</v>
      </c>
      <c r="AE3773" s="150"/>
      <c r="AF3773" s="151"/>
      <c r="AG3773" s="126"/>
      <c r="AK3773" s="306" t="str">
        <f>IF(ISNUMBER(Table1[[#This Row],[FECHA DE RECIBIDO]]), Table1[[#This Row],[FECHA DE RECIBIDO]]-DATE(2023,8,30), "")</f>
        <v/>
      </c>
    </row>
    <row r="3774" spans="1:37" ht="15" customHeight="1">
      <c r="A3774" s="152"/>
      <c r="B3774" s="153">
        <v>1269</v>
      </c>
      <c r="C3774" s="126" t="s">
        <v>1098</v>
      </c>
      <c r="D3774">
        <v>2505</v>
      </c>
      <c r="E3774" s="126" t="s">
        <v>2001</v>
      </c>
      <c r="F3774" s="125" t="s">
        <v>1607</v>
      </c>
      <c r="G3774" s="125" t="s">
        <v>134</v>
      </c>
      <c r="H3774">
        <v>23</v>
      </c>
      <c r="I3774" s="125" t="s">
        <v>1546</v>
      </c>
      <c r="J3774" s="308" t="s">
        <v>214</v>
      </c>
      <c r="K3774" s="127" t="s">
        <v>4212</v>
      </c>
      <c r="L3774" s="153" t="s">
        <v>3306</v>
      </c>
      <c r="M3774">
        <v>343</v>
      </c>
      <c r="N3774" s="123">
        <v>1</v>
      </c>
      <c r="O3774">
        <v>2389</v>
      </c>
      <c r="P3774" s="132" t="s">
        <v>77</v>
      </c>
      <c r="Q3774" s="132">
        <v>741.63</v>
      </c>
      <c r="R3774" s="132">
        <v>118.66079999999999</v>
      </c>
      <c r="S3774" s="132"/>
      <c r="T3774" s="156"/>
      <c r="U3774" s="132"/>
      <c r="V3774" s="132">
        <v>860.29079999999999</v>
      </c>
      <c r="W3774">
        <v>353</v>
      </c>
      <c r="X3774" s="153" t="s">
        <v>2035</v>
      </c>
      <c r="Y3774" s="124" t="s">
        <v>55</v>
      </c>
      <c r="Z3774" s="308">
        <v>254</v>
      </c>
      <c r="AB3774" t="str">
        <f>IF(Table1[[#This Row],[TIPO2]]="costo", VLOOKUP(Table1[[#This Row],[PARTIDA PRESUPUESTAL]],'Cost Report'!G:G,1,0),"Balance")</f>
        <v>3683-101</v>
      </c>
      <c r="AC3774" s="118"/>
      <c r="AD3774" s="159">
        <f>+Table1[[#This Row],[SUBTOTAL]]+Table1[[#This Row],[IVA]]-Table1[[#This Row],[RET IVA]]-Table1[[#This Row],[RET ISR]]-Table1[[#This Row],[TOTAL]]</f>
        <v>0</v>
      </c>
      <c r="AE3774" s="152"/>
      <c r="AF3774" s="153"/>
      <c r="AG3774" s="126"/>
      <c r="AK3774" s="306" t="str">
        <f>IF(ISNUMBER(Table1[[#This Row],[FECHA DE RECIBIDO]]), Table1[[#This Row],[FECHA DE RECIBIDO]]-DATE(2023,8,30), "")</f>
        <v/>
      </c>
    </row>
    <row r="3775" spans="1:37" ht="15" customHeight="1">
      <c r="A3775" s="150"/>
      <c r="B3775" s="151">
        <v>1269</v>
      </c>
      <c r="C3775" s="126" t="s">
        <v>1100</v>
      </c>
      <c r="D3775">
        <v>2505</v>
      </c>
      <c r="E3775" s="126" t="s">
        <v>2001</v>
      </c>
      <c r="F3775" s="122" t="s">
        <v>1607</v>
      </c>
      <c r="G3775" s="122" t="s">
        <v>134</v>
      </c>
      <c r="H3775">
        <v>23</v>
      </c>
      <c r="I3775" s="122" t="s">
        <v>1546</v>
      </c>
      <c r="J3775" s="307" t="s">
        <v>214</v>
      </c>
      <c r="K3775" s="127" t="s">
        <v>4212</v>
      </c>
      <c r="L3775" s="151" t="s">
        <v>3306</v>
      </c>
      <c r="M3775">
        <v>343</v>
      </c>
      <c r="N3775" s="123">
        <v>1</v>
      </c>
      <c r="O3775">
        <v>2389</v>
      </c>
      <c r="P3775" s="132" t="s">
        <v>77</v>
      </c>
      <c r="Q3775" s="131">
        <v>922.91</v>
      </c>
      <c r="R3775" s="131">
        <v>147.66560000000001</v>
      </c>
      <c r="S3775" s="131"/>
      <c r="T3775" s="155"/>
      <c r="U3775" s="131"/>
      <c r="V3775" s="131">
        <v>1070.5755999999999</v>
      </c>
      <c r="W3775">
        <v>353</v>
      </c>
      <c r="X3775" s="151" t="s">
        <v>2035</v>
      </c>
      <c r="Y3775" s="135" t="s">
        <v>55</v>
      </c>
      <c r="Z3775" s="307">
        <v>254</v>
      </c>
      <c r="AB3775" t="str">
        <f>IF(Table1[[#This Row],[TIPO2]]="costo", VLOOKUP(Table1[[#This Row],[PARTIDA PRESUPUESTAL]],'Cost Report'!G:G,1,0),"Balance")</f>
        <v>3683-105</v>
      </c>
      <c r="AC3775" s="118"/>
      <c r="AD3775" s="159">
        <f>+Table1[[#This Row],[SUBTOTAL]]+Table1[[#This Row],[IVA]]-Table1[[#This Row],[RET IVA]]-Table1[[#This Row],[RET ISR]]-Table1[[#This Row],[TOTAL]]</f>
        <v>0</v>
      </c>
      <c r="AE3775" s="150"/>
      <c r="AF3775" s="151"/>
      <c r="AG3775" s="126"/>
      <c r="AK3775" s="306" t="str">
        <f>IF(ISNUMBER(Table1[[#This Row],[FECHA DE RECIBIDO]]), Table1[[#This Row],[FECHA DE RECIBIDO]]-DATE(2023,8,30), "")</f>
        <v/>
      </c>
    </row>
    <row r="3776" spans="1:37" ht="15" customHeight="1">
      <c r="A3776" s="152"/>
      <c r="B3776" s="153">
        <v>1269</v>
      </c>
      <c r="C3776" s="126" t="s">
        <v>2880</v>
      </c>
      <c r="D3776">
        <v>2505</v>
      </c>
      <c r="E3776" s="126" t="s">
        <v>2001</v>
      </c>
      <c r="F3776" s="125" t="s">
        <v>1607</v>
      </c>
      <c r="G3776" s="125" t="s">
        <v>134</v>
      </c>
      <c r="H3776">
        <v>23</v>
      </c>
      <c r="I3776" s="125" t="s">
        <v>1546</v>
      </c>
      <c r="J3776" s="308" t="s">
        <v>214</v>
      </c>
      <c r="K3776" s="127" t="s">
        <v>4212</v>
      </c>
      <c r="L3776" s="153" t="s">
        <v>3306</v>
      </c>
      <c r="M3776">
        <v>343</v>
      </c>
      <c r="N3776" s="123">
        <v>1</v>
      </c>
      <c r="O3776">
        <v>2389</v>
      </c>
      <c r="P3776" s="132" t="s">
        <v>77</v>
      </c>
      <c r="Q3776" s="132">
        <v>1888.04</v>
      </c>
      <c r="R3776" s="132">
        <v>302.08640000000003</v>
      </c>
      <c r="S3776" s="132"/>
      <c r="T3776" s="156"/>
      <c r="U3776" s="132"/>
      <c r="V3776" s="132">
        <v>2190.1264000000001</v>
      </c>
      <c r="W3776">
        <v>353</v>
      </c>
      <c r="X3776" s="153" t="s">
        <v>2035</v>
      </c>
      <c r="Y3776" s="124" t="s">
        <v>55</v>
      </c>
      <c r="Z3776" s="308">
        <v>254</v>
      </c>
      <c r="AB3776" t="str">
        <f>IF(Table1[[#This Row],[TIPO2]]="costo", VLOOKUP(Table1[[#This Row],[PARTIDA PRESUPUESTAL]],'Cost Report'!G:G,1,0),"Balance")</f>
        <v>3683-109</v>
      </c>
      <c r="AC3776" s="118"/>
      <c r="AD3776" s="159">
        <f>+Table1[[#This Row],[SUBTOTAL]]+Table1[[#This Row],[IVA]]-Table1[[#This Row],[RET IVA]]-Table1[[#This Row],[RET ISR]]-Table1[[#This Row],[TOTAL]]</f>
        <v>0</v>
      </c>
      <c r="AE3776" s="152"/>
      <c r="AF3776" s="153"/>
      <c r="AG3776" s="126"/>
      <c r="AK3776" s="306" t="str">
        <f>IF(ISNUMBER(Table1[[#This Row],[FECHA DE RECIBIDO]]), Table1[[#This Row],[FECHA DE RECIBIDO]]-DATE(2023,8,30), "")</f>
        <v/>
      </c>
    </row>
    <row r="3777" spans="1:37" ht="15" customHeight="1">
      <c r="A3777" s="150"/>
      <c r="B3777" s="151">
        <v>1269</v>
      </c>
      <c r="C3777" s="126" t="s">
        <v>2882</v>
      </c>
      <c r="D3777">
        <v>2505</v>
      </c>
      <c r="E3777" s="126" t="s">
        <v>2001</v>
      </c>
      <c r="F3777" s="122" t="s">
        <v>1607</v>
      </c>
      <c r="G3777" s="122" t="s">
        <v>134</v>
      </c>
      <c r="H3777">
        <v>23</v>
      </c>
      <c r="I3777" s="122" t="s">
        <v>1546</v>
      </c>
      <c r="J3777" s="307" t="s">
        <v>214</v>
      </c>
      <c r="K3777" s="127" t="s">
        <v>4212</v>
      </c>
      <c r="L3777" s="151" t="s">
        <v>3306</v>
      </c>
      <c r="M3777">
        <v>343</v>
      </c>
      <c r="N3777" s="123">
        <v>1</v>
      </c>
      <c r="O3777">
        <v>2389</v>
      </c>
      <c r="P3777" s="132" t="s">
        <v>77</v>
      </c>
      <c r="Q3777" s="131">
        <v>205.35</v>
      </c>
      <c r="R3777" s="131">
        <v>32.856000000000002</v>
      </c>
      <c r="S3777" s="131"/>
      <c r="T3777" s="155"/>
      <c r="U3777" s="131"/>
      <c r="V3777" s="131">
        <v>238.20599999999999</v>
      </c>
      <c r="W3777">
        <v>353</v>
      </c>
      <c r="X3777" s="151" t="s">
        <v>2035</v>
      </c>
      <c r="Y3777" s="135" t="s">
        <v>55</v>
      </c>
      <c r="Z3777" s="307">
        <v>254</v>
      </c>
      <c r="AB3777" t="str">
        <f>IF(Table1[[#This Row],[TIPO2]]="costo", VLOOKUP(Table1[[#This Row],[PARTIDA PRESUPUESTAL]],'Cost Report'!G:G,1,0),"Balance")</f>
        <v>3683-113</v>
      </c>
      <c r="AC3777" s="118"/>
      <c r="AD3777" s="159">
        <f>+Table1[[#This Row],[SUBTOTAL]]+Table1[[#This Row],[IVA]]-Table1[[#This Row],[RET IVA]]-Table1[[#This Row],[RET ISR]]-Table1[[#This Row],[TOTAL]]</f>
        <v>0</v>
      </c>
      <c r="AE3777" s="150"/>
      <c r="AF3777" s="151"/>
      <c r="AG3777" s="126"/>
      <c r="AK3777" s="306" t="str">
        <f>IF(ISNUMBER(Table1[[#This Row],[FECHA DE RECIBIDO]]), Table1[[#This Row],[FECHA DE RECIBIDO]]-DATE(2023,8,30), "")</f>
        <v/>
      </c>
    </row>
    <row r="3778" spans="1:37" ht="15" customHeight="1">
      <c r="A3778" s="152"/>
      <c r="B3778" s="153">
        <v>1269</v>
      </c>
      <c r="C3778" s="126" t="s">
        <v>2909</v>
      </c>
      <c r="D3778">
        <v>2505</v>
      </c>
      <c r="E3778" s="126" t="s">
        <v>2001</v>
      </c>
      <c r="F3778" s="125" t="s">
        <v>1607</v>
      </c>
      <c r="G3778" s="125" t="s">
        <v>134</v>
      </c>
      <c r="H3778">
        <v>23</v>
      </c>
      <c r="I3778" s="125" t="s">
        <v>1546</v>
      </c>
      <c r="J3778" s="308" t="s">
        <v>214</v>
      </c>
      <c r="K3778" s="127" t="s">
        <v>4212</v>
      </c>
      <c r="L3778" s="153" t="s">
        <v>3306</v>
      </c>
      <c r="M3778">
        <v>343</v>
      </c>
      <c r="N3778" s="123">
        <v>1</v>
      </c>
      <c r="O3778">
        <v>2389</v>
      </c>
      <c r="P3778" s="132" t="s">
        <v>77</v>
      </c>
      <c r="Q3778" s="132">
        <v>1767.1</v>
      </c>
      <c r="R3778" s="132">
        <v>282.73599999999999</v>
      </c>
      <c r="S3778" s="132"/>
      <c r="T3778" s="156"/>
      <c r="U3778" s="132"/>
      <c r="V3778" s="132">
        <v>2049.8359999999998</v>
      </c>
      <c r="W3778">
        <v>353</v>
      </c>
      <c r="X3778" s="153" t="s">
        <v>2035</v>
      </c>
      <c r="Y3778" s="124" t="s">
        <v>55</v>
      </c>
      <c r="Z3778" s="308">
        <v>254</v>
      </c>
      <c r="AB3778" t="str">
        <f>IF(Table1[[#This Row],[TIPO2]]="costo", VLOOKUP(Table1[[#This Row],[PARTIDA PRESUPUESTAL]],'Cost Report'!G:G,1,0),"Balance")</f>
        <v>3683-158</v>
      </c>
      <c r="AC3778" s="118"/>
      <c r="AD3778" s="159">
        <f>+Table1[[#This Row],[SUBTOTAL]]+Table1[[#This Row],[IVA]]-Table1[[#This Row],[RET IVA]]-Table1[[#This Row],[RET ISR]]-Table1[[#This Row],[TOTAL]]</f>
        <v>0</v>
      </c>
      <c r="AE3778" s="152"/>
      <c r="AF3778" s="153"/>
      <c r="AG3778" s="126"/>
      <c r="AK3778" s="306" t="str">
        <f>IF(ISNUMBER(Table1[[#This Row],[FECHA DE RECIBIDO]]), Table1[[#This Row],[FECHA DE RECIBIDO]]-DATE(2023,8,30), "")</f>
        <v/>
      </c>
    </row>
    <row r="3779" spans="1:37" ht="15" customHeight="1">
      <c r="A3779" s="150"/>
      <c r="B3779" s="151">
        <v>1269</v>
      </c>
      <c r="C3779" s="126" t="s">
        <v>2916</v>
      </c>
      <c r="D3779">
        <v>2505</v>
      </c>
      <c r="E3779" s="126" t="s">
        <v>2001</v>
      </c>
      <c r="F3779" s="122" t="s">
        <v>1607</v>
      </c>
      <c r="G3779" s="122" t="s">
        <v>134</v>
      </c>
      <c r="H3779">
        <v>23</v>
      </c>
      <c r="I3779" s="122" t="s">
        <v>1546</v>
      </c>
      <c r="J3779" s="307" t="s">
        <v>214</v>
      </c>
      <c r="K3779" s="127" t="s">
        <v>4212</v>
      </c>
      <c r="L3779" s="151" t="s">
        <v>3306</v>
      </c>
      <c r="M3779">
        <v>343</v>
      </c>
      <c r="N3779" s="123">
        <v>1</v>
      </c>
      <c r="O3779">
        <v>2389</v>
      </c>
      <c r="P3779" s="132" t="s">
        <v>77</v>
      </c>
      <c r="Q3779" s="131">
        <v>574.76</v>
      </c>
      <c r="R3779" s="131">
        <v>91.961600000000004</v>
      </c>
      <c r="S3779" s="131"/>
      <c r="T3779" s="155"/>
      <c r="U3779" s="131"/>
      <c r="V3779" s="131">
        <v>666.72159999999997</v>
      </c>
      <c r="W3779">
        <v>353</v>
      </c>
      <c r="X3779" s="151" t="s">
        <v>2035</v>
      </c>
      <c r="Y3779" s="135" t="s">
        <v>55</v>
      </c>
      <c r="Z3779" s="307">
        <v>254</v>
      </c>
      <c r="AB3779" t="str">
        <f>IF(Table1[[#This Row],[TIPO2]]="costo", VLOOKUP(Table1[[#This Row],[PARTIDA PRESUPUESTAL]],'Cost Report'!G:G,1,0),"Balance")</f>
        <v>3683-171</v>
      </c>
      <c r="AC3779" s="118"/>
      <c r="AD3779" s="159">
        <f>+Table1[[#This Row],[SUBTOTAL]]+Table1[[#This Row],[IVA]]-Table1[[#This Row],[RET IVA]]-Table1[[#This Row],[RET ISR]]-Table1[[#This Row],[TOTAL]]</f>
        <v>0</v>
      </c>
      <c r="AE3779" s="150"/>
      <c r="AF3779" s="151"/>
      <c r="AG3779" s="126"/>
      <c r="AK3779" s="306" t="str">
        <f>IF(ISNUMBER(Table1[[#This Row],[FECHA DE RECIBIDO]]), Table1[[#This Row],[FECHA DE RECIBIDO]]-DATE(2023,8,30), "")</f>
        <v/>
      </c>
    </row>
    <row r="3780" spans="1:37" ht="15" customHeight="1">
      <c r="A3780" s="152"/>
      <c r="B3780" s="153">
        <v>1269</v>
      </c>
      <c r="C3780" s="126" t="s">
        <v>2907</v>
      </c>
      <c r="D3780">
        <v>2505</v>
      </c>
      <c r="E3780" s="126" t="s">
        <v>2001</v>
      </c>
      <c r="F3780" s="125" t="s">
        <v>1607</v>
      </c>
      <c r="G3780" s="125" t="s">
        <v>134</v>
      </c>
      <c r="H3780">
        <v>23</v>
      </c>
      <c r="I3780" s="125" t="s">
        <v>1546</v>
      </c>
      <c r="J3780" s="308" t="s">
        <v>214</v>
      </c>
      <c r="K3780" s="127" t="s">
        <v>4212</v>
      </c>
      <c r="L3780" s="153" t="s">
        <v>3306</v>
      </c>
      <c r="M3780">
        <v>343</v>
      </c>
      <c r="N3780" s="123">
        <v>1</v>
      </c>
      <c r="O3780">
        <v>2389</v>
      </c>
      <c r="P3780" s="132" t="s">
        <v>77</v>
      </c>
      <c r="Q3780" s="132">
        <v>315.55</v>
      </c>
      <c r="R3780" s="132">
        <v>50.488</v>
      </c>
      <c r="S3780" s="132"/>
      <c r="T3780" s="156"/>
      <c r="U3780" s="132"/>
      <c r="V3780" s="132">
        <v>366.03800000000001</v>
      </c>
      <c r="W3780">
        <v>353</v>
      </c>
      <c r="X3780" s="153" t="s">
        <v>2035</v>
      </c>
      <c r="Y3780" s="124" t="s">
        <v>55</v>
      </c>
      <c r="Z3780" s="308">
        <v>254</v>
      </c>
      <c r="AB3780" t="str">
        <f>IF(Table1[[#This Row],[TIPO2]]="costo", VLOOKUP(Table1[[#This Row],[PARTIDA PRESUPUESTAL]],'Cost Report'!G:G,1,0),"Balance")</f>
        <v>3683-154</v>
      </c>
      <c r="AC3780" s="118"/>
      <c r="AD3780" s="159">
        <f>+Table1[[#This Row],[SUBTOTAL]]+Table1[[#This Row],[IVA]]-Table1[[#This Row],[RET IVA]]-Table1[[#This Row],[RET ISR]]-Table1[[#This Row],[TOTAL]]</f>
        <v>0</v>
      </c>
      <c r="AE3780" s="152"/>
      <c r="AF3780" s="153"/>
      <c r="AG3780" s="126"/>
      <c r="AK3780" s="306" t="str">
        <f>IF(ISNUMBER(Table1[[#This Row],[FECHA DE RECIBIDO]]), Table1[[#This Row],[FECHA DE RECIBIDO]]-DATE(2023,8,30), "")</f>
        <v/>
      </c>
    </row>
    <row r="3781" spans="1:37" ht="15" customHeight="1">
      <c r="A3781" s="150"/>
      <c r="B3781" s="151">
        <v>1270</v>
      </c>
      <c r="C3781" s="126" t="s">
        <v>2867</v>
      </c>
      <c r="D3781">
        <v>2506</v>
      </c>
      <c r="E3781" s="126" t="s">
        <v>2001</v>
      </c>
      <c r="F3781" s="122" t="s">
        <v>1607</v>
      </c>
      <c r="G3781" s="122" t="s">
        <v>134</v>
      </c>
      <c r="H3781">
        <v>23</v>
      </c>
      <c r="I3781" s="122" t="s">
        <v>1546</v>
      </c>
      <c r="J3781" s="307" t="s">
        <v>214</v>
      </c>
      <c r="K3781" s="127" t="s">
        <v>4212</v>
      </c>
      <c r="L3781" s="151" t="s">
        <v>3306</v>
      </c>
      <c r="M3781">
        <v>343</v>
      </c>
      <c r="N3781" s="123">
        <v>1</v>
      </c>
      <c r="O3781">
        <v>2390</v>
      </c>
      <c r="P3781" s="132" t="s">
        <v>77</v>
      </c>
      <c r="Q3781" s="131">
        <v>15216.5</v>
      </c>
      <c r="R3781" s="131">
        <v>2434.64</v>
      </c>
      <c r="S3781" s="131"/>
      <c r="T3781" s="155"/>
      <c r="U3781" s="131"/>
      <c r="V3781" s="131">
        <v>17651.14</v>
      </c>
      <c r="W3781">
        <v>353</v>
      </c>
      <c r="X3781" s="151" t="s">
        <v>2035</v>
      </c>
      <c r="Y3781" s="135" t="s">
        <v>55</v>
      </c>
      <c r="Z3781" s="307">
        <v>254</v>
      </c>
      <c r="AB3781" t="str">
        <f>IF(Table1[[#This Row],[TIPO2]]="costo", VLOOKUP(Table1[[#This Row],[PARTIDA PRESUPUESTAL]],'Cost Report'!G:G,1,0),"Balance")</f>
        <v>3632-008</v>
      </c>
      <c r="AC3781" s="118"/>
      <c r="AD3781" s="159">
        <f>+Table1[[#This Row],[SUBTOTAL]]+Table1[[#This Row],[IVA]]-Table1[[#This Row],[RET IVA]]-Table1[[#This Row],[RET ISR]]-Table1[[#This Row],[TOTAL]]</f>
        <v>0</v>
      </c>
      <c r="AE3781" s="150"/>
      <c r="AF3781" s="151"/>
      <c r="AG3781" s="126"/>
      <c r="AK3781" s="306" t="str">
        <f>IF(ISNUMBER(Table1[[#This Row],[FECHA DE RECIBIDO]]), Table1[[#This Row],[FECHA DE RECIBIDO]]-DATE(2023,8,30), "")</f>
        <v/>
      </c>
    </row>
    <row r="3782" spans="1:37" ht="15" customHeight="1">
      <c r="A3782" s="152" t="s">
        <v>4275</v>
      </c>
      <c r="B3782" s="153">
        <v>1271</v>
      </c>
      <c r="C3782" s="126" t="s">
        <v>1035</v>
      </c>
      <c r="D3782">
        <v>2507</v>
      </c>
      <c r="E3782" s="126" t="s">
        <v>2001</v>
      </c>
      <c r="F3782" s="125" t="s">
        <v>1607</v>
      </c>
      <c r="G3782" s="125" t="s">
        <v>134</v>
      </c>
      <c r="H3782">
        <v>23</v>
      </c>
      <c r="I3782" s="125" t="s">
        <v>1546</v>
      </c>
      <c r="J3782" s="308" t="s">
        <v>214</v>
      </c>
      <c r="K3782" s="127" t="s">
        <v>4212</v>
      </c>
      <c r="L3782" s="153" t="s">
        <v>3306</v>
      </c>
      <c r="M3782">
        <v>343</v>
      </c>
      <c r="N3782" s="123">
        <v>1</v>
      </c>
      <c r="O3782">
        <v>2391</v>
      </c>
      <c r="P3782" s="132" t="s">
        <v>77</v>
      </c>
      <c r="Q3782" s="132">
        <v>1886.91</v>
      </c>
      <c r="R3782" s="132">
        <v>301.90559999999999</v>
      </c>
      <c r="S3782" s="132"/>
      <c r="T3782" s="156"/>
      <c r="U3782" s="132"/>
      <c r="V3782" s="132">
        <v>2188.8155999999999</v>
      </c>
      <c r="W3782">
        <v>353</v>
      </c>
      <c r="X3782" s="153" t="s">
        <v>2035</v>
      </c>
      <c r="Y3782" s="124" t="s">
        <v>55</v>
      </c>
      <c r="Z3782" s="308">
        <v>254</v>
      </c>
      <c r="AB3782" t="str">
        <f>IF(Table1[[#This Row],[TIPO2]]="costo", VLOOKUP(Table1[[#This Row],[PARTIDA PRESUPUESTAL]],'Cost Report'!G:G,1,0),"Balance")</f>
        <v>3683-006</v>
      </c>
      <c r="AC3782" s="118"/>
      <c r="AD3782" s="159">
        <f>+Table1[[#This Row],[SUBTOTAL]]+Table1[[#This Row],[IVA]]-Table1[[#This Row],[RET IVA]]-Table1[[#This Row],[RET ISR]]-Table1[[#This Row],[TOTAL]]</f>
        <v>0</v>
      </c>
      <c r="AE3782" s="152"/>
      <c r="AF3782" s="153"/>
      <c r="AG3782" s="126"/>
      <c r="AK3782" s="306" t="str">
        <f>IF(ISNUMBER(Table1[[#This Row],[FECHA DE RECIBIDO]]), Table1[[#This Row],[FECHA DE RECIBIDO]]-DATE(2023,8,30), "")</f>
        <v/>
      </c>
    </row>
    <row r="3783" spans="1:37" ht="15" customHeight="1">
      <c r="A3783" s="150" t="s">
        <v>4275</v>
      </c>
      <c r="B3783" s="151">
        <v>1271</v>
      </c>
      <c r="C3783" s="126" t="s">
        <v>1039</v>
      </c>
      <c r="D3783">
        <v>2507</v>
      </c>
      <c r="E3783" s="126" t="s">
        <v>2001</v>
      </c>
      <c r="F3783" s="122" t="s">
        <v>1607</v>
      </c>
      <c r="G3783" s="122" t="s">
        <v>134</v>
      </c>
      <c r="H3783">
        <v>23</v>
      </c>
      <c r="I3783" s="122" t="s">
        <v>1546</v>
      </c>
      <c r="J3783" s="307" t="s">
        <v>214</v>
      </c>
      <c r="K3783" s="127" t="s">
        <v>4212</v>
      </c>
      <c r="L3783" s="151" t="s">
        <v>3306</v>
      </c>
      <c r="M3783">
        <v>343</v>
      </c>
      <c r="N3783" s="123">
        <v>1</v>
      </c>
      <c r="O3783">
        <v>2391</v>
      </c>
      <c r="P3783" s="132" t="s">
        <v>77</v>
      </c>
      <c r="Q3783" s="131">
        <v>1967.68</v>
      </c>
      <c r="R3783" s="131">
        <v>314.8288</v>
      </c>
      <c r="S3783" s="131"/>
      <c r="T3783" s="155"/>
      <c r="U3783" s="131"/>
      <c r="V3783" s="131">
        <v>2282.5088000000001</v>
      </c>
      <c r="W3783">
        <v>353</v>
      </c>
      <c r="X3783" s="151" t="s">
        <v>2035</v>
      </c>
      <c r="Y3783" s="135" t="s">
        <v>55</v>
      </c>
      <c r="Z3783" s="307">
        <v>254</v>
      </c>
      <c r="AB3783" t="str">
        <f>IF(Table1[[#This Row],[TIPO2]]="costo", VLOOKUP(Table1[[#This Row],[PARTIDA PRESUPUESTAL]],'Cost Report'!G:G,1,0),"Balance")</f>
        <v>3683-012</v>
      </c>
      <c r="AC3783" s="118"/>
      <c r="AD3783" s="159">
        <f>+Table1[[#This Row],[SUBTOTAL]]+Table1[[#This Row],[IVA]]-Table1[[#This Row],[RET IVA]]-Table1[[#This Row],[RET ISR]]-Table1[[#This Row],[TOTAL]]</f>
        <v>0</v>
      </c>
      <c r="AE3783" s="150"/>
      <c r="AF3783" s="151"/>
      <c r="AG3783" s="126"/>
      <c r="AK3783" s="306" t="str">
        <f>IF(ISNUMBER(Table1[[#This Row],[FECHA DE RECIBIDO]]), Table1[[#This Row],[FECHA DE RECIBIDO]]-DATE(2023,8,30), "")</f>
        <v/>
      </c>
    </row>
    <row r="3784" spans="1:37" ht="15" customHeight="1">
      <c r="A3784" s="152" t="s">
        <v>4275</v>
      </c>
      <c r="B3784" s="153">
        <v>1271</v>
      </c>
      <c r="C3784" s="126" t="s">
        <v>1043</v>
      </c>
      <c r="D3784">
        <v>2507</v>
      </c>
      <c r="E3784" s="126" t="s">
        <v>2001</v>
      </c>
      <c r="F3784" s="125" t="s">
        <v>1607</v>
      </c>
      <c r="G3784" s="125" t="s">
        <v>134</v>
      </c>
      <c r="H3784">
        <v>23</v>
      </c>
      <c r="I3784" s="125" t="s">
        <v>1546</v>
      </c>
      <c r="J3784" s="308" t="s">
        <v>214</v>
      </c>
      <c r="K3784" s="127" t="s">
        <v>4212</v>
      </c>
      <c r="L3784" s="153" t="s">
        <v>3306</v>
      </c>
      <c r="M3784">
        <v>343</v>
      </c>
      <c r="N3784" s="123">
        <v>1</v>
      </c>
      <c r="O3784">
        <v>2391</v>
      </c>
      <c r="P3784" s="132" t="s">
        <v>77</v>
      </c>
      <c r="Q3784" s="132">
        <v>2890.95</v>
      </c>
      <c r="R3784" s="132">
        <v>462.55199999999996</v>
      </c>
      <c r="S3784" s="132"/>
      <c r="T3784" s="156"/>
      <c r="U3784" s="132"/>
      <c r="V3784" s="132">
        <v>3353.502</v>
      </c>
      <c r="W3784">
        <v>353</v>
      </c>
      <c r="X3784" s="153" t="s">
        <v>2035</v>
      </c>
      <c r="Y3784" s="124" t="s">
        <v>55</v>
      </c>
      <c r="Z3784" s="308">
        <v>254</v>
      </c>
      <c r="AB3784" t="str">
        <f>IF(Table1[[#This Row],[TIPO2]]="costo", VLOOKUP(Table1[[#This Row],[PARTIDA PRESUPUESTAL]],'Cost Report'!G:G,1,0),"Balance")</f>
        <v>3683-018</v>
      </c>
      <c r="AC3784" s="118"/>
      <c r="AD3784" s="159">
        <f>+Table1[[#This Row],[SUBTOTAL]]+Table1[[#This Row],[IVA]]-Table1[[#This Row],[RET IVA]]-Table1[[#This Row],[RET ISR]]-Table1[[#This Row],[TOTAL]]</f>
        <v>0</v>
      </c>
      <c r="AE3784" s="152"/>
      <c r="AF3784" s="153"/>
      <c r="AG3784" s="126"/>
      <c r="AK3784" s="306" t="str">
        <f>IF(ISNUMBER(Table1[[#This Row],[FECHA DE RECIBIDO]]), Table1[[#This Row],[FECHA DE RECIBIDO]]-DATE(2023,8,30), "")</f>
        <v/>
      </c>
    </row>
    <row r="3785" spans="1:37" ht="15" customHeight="1">
      <c r="A3785" s="150" t="s">
        <v>4275</v>
      </c>
      <c r="B3785" s="151">
        <v>1271</v>
      </c>
      <c r="C3785" s="126" t="s">
        <v>1047</v>
      </c>
      <c r="D3785">
        <v>2507</v>
      </c>
      <c r="E3785" s="126" t="s">
        <v>2001</v>
      </c>
      <c r="F3785" s="122" t="s">
        <v>1607</v>
      </c>
      <c r="G3785" s="122" t="s">
        <v>134</v>
      </c>
      <c r="H3785">
        <v>23</v>
      </c>
      <c r="I3785" s="122" t="s">
        <v>1546</v>
      </c>
      <c r="J3785" s="307" t="s">
        <v>214</v>
      </c>
      <c r="K3785" s="127" t="s">
        <v>4212</v>
      </c>
      <c r="L3785" s="151" t="s">
        <v>3306</v>
      </c>
      <c r="M3785">
        <v>343</v>
      </c>
      <c r="N3785" s="123">
        <v>1</v>
      </c>
      <c r="O3785">
        <v>2391</v>
      </c>
      <c r="P3785" s="132" t="s">
        <v>77</v>
      </c>
      <c r="Q3785" s="131">
        <v>1413.35</v>
      </c>
      <c r="R3785" s="131">
        <v>226.136</v>
      </c>
      <c r="S3785" s="131"/>
      <c r="T3785" s="155"/>
      <c r="U3785" s="131"/>
      <c r="V3785" s="131">
        <v>1639.4859999999999</v>
      </c>
      <c r="W3785">
        <v>353</v>
      </c>
      <c r="X3785" s="151" t="s">
        <v>2035</v>
      </c>
      <c r="Y3785" s="135" t="s">
        <v>55</v>
      </c>
      <c r="Z3785" s="307">
        <v>254</v>
      </c>
      <c r="AB3785" t="str">
        <f>IF(Table1[[#This Row],[TIPO2]]="costo", VLOOKUP(Table1[[#This Row],[PARTIDA PRESUPUESTAL]],'Cost Report'!G:G,1,0),"Balance")</f>
        <v>3683-024</v>
      </c>
      <c r="AC3785" s="118"/>
      <c r="AD3785" s="159">
        <f>+Table1[[#This Row],[SUBTOTAL]]+Table1[[#This Row],[IVA]]-Table1[[#This Row],[RET IVA]]-Table1[[#This Row],[RET ISR]]-Table1[[#This Row],[TOTAL]]</f>
        <v>0</v>
      </c>
      <c r="AE3785" s="150"/>
      <c r="AF3785" s="151"/>
      <c r="AG3785" s="126"/>
      <c r="AK3785" s="306" t="str">
        <f>IF(ISNUMBER(Table1[[#This Row],[FECHA DE RECIBIDO]]), Table1[[#This Row],[FECHA DE RECIBIDO]]-DATE(2023,8,30), "")</f>
        <v/>
      </c>
    </row>
    <row r="3786" spans="1:37" ht="15" customHeight="1">
      <c r="A3786" s="152" t="s">
        <v>4275</v>
      </c>
      <c r="B3786" s="153">
        <v>1271</v>
      </c>
      <c r="C3786" s="126" t="s">
        <v>1051</v>
      </c>
      <c r="D3786">
        <v>2507</v>
      </c>
      <c r="E3786" s="126" t="s">
        <v>2001</v>
      </c>
      <c r="F3786" s="125" t="s">
        <v>1607</v>
      </c>
      <c r="G3786" s="125" t="s">
        <v>134</v>
      </c>
      <c r="H3786">
        <v>23</v>
      </c>
      <c r="I3786" s="125" t="s">
        <v>1546</v>
      </c>
      <c r="J3786" s="308" t="s">
        <v>214</v>
      </c>
      <c r="K3786" s="127" t="s">
        <v>4212</v>
      </c>
      <c r="L3786" s="153" t="s">
        <v>3306</v>
      </c>
      <c r="M3786">
        <v>343</v>
      </c>
      <c r="N3786" s="123">
        <v>1</v>
      </c>
      <c r="O3786">
        <v>2391</v>
      </c>
      <c r="P3786" s="132" t="s">
        <v>77</v>
      </c>
      <c r="Q3786" s="132">
        <v>1329.51</v>
      </c>
      <c r="R3786" s="132">
        <v>212.7216</v>
      </c>
      <c r="S3786" s="132"/>
      <c r="T3786" s="156"/>
      <c r="U3786" s="132"/>
      <c r="V3786" s="132">
        <v>1542.2316000000001</v>
      </c>
      <c r="W3786">
        <v>353</v>
      </c>
      <c r="X3786" s="153" t="s">
        <v>2035</v>
      </c>
      <c r="Y3786" s="124" t="s">
        <v>55</v>
      </c>
      <c r="Z3786" s="308">
        <v>254</v>
      </c>
      <c r="AB3786" t="str">
        <f>IF(Table1[[#This Row],[TIPO2]]="costo", VLOOKUP(Table1[[#This Row],[PARTIDA PRESUPUESTAL]],'Cost Report'!G:G,1,0),"Balance")</f>
        <v>3683-030</v>
      </c>
      <c r="AC3786" s="118"/>
      <c r="AD3786" s="159">
        <f>+Table1[[#This Row],[SUBTOTAL]]+Table1[[#This Row],[IVA]]-Table1[[#This Row],[RET IVA]]-Table1[[#This Row],[RET ISR]]-Table1[[#This Row],[TOTAL]]</f>
        <v>0</v>
      </c>
      <c r="AE3786" s="152"/>
      <c r="AF3786" s="153"/>
      <c r="AG3786" s="126"/>
      <c r="AK3786" s="306" t="str">
        <f>IF(ISNUMBER(Table1[[#This Row],[FECHA DE RECIBIDO]]), Table1[[#This Row],[FECHA DE RECIBIDO]]-DATE(2023,8,30), "")</f>
        <v/>
      </c>
    </row>
    <row r="3787" spans="1:37" ht="15" customHeight="1">
      <c r="A3787" s="150" t="s">
        <v>4275</v>
      </c>
      <c r="B3787" s="151">
        <v>1271</v>
      </c>
      <c r="C3787" s="126" t="s">
        <v>2897</v>
      </c>
      <c r="D3787">
        <v>2507</v>
      </c>
      <c r="E3787" s="126" t="s">
        <v>2001</v>
      </c>
      <c r="F3787" s="122" t="s">
        <v>1607</v>
      </c>
      <c r="G3787" s="122" t="s">
        <v>134</v>
      </c>
      <c r="H3787">
        <v>23</v>
      </c>
      <c r="I3787" s="122" t="s">
        <v>1546</v>
      </c>
      <c r="J3787" s="307" t="s">
        <v>214</v>
      </c>
      <c r="K3787" s="127" t="s">
        <v>4212</v>
      </c>
      <c r="L3787" s="151" t="s">
        <v>3306</v>
      </c>
      <c r="M3787">
        <v>343</v>
      </c>
      <c r="N3787" s="123">
        <v>1</v>
      </c>
      <c r="O3787">
        <v>2391</v>
      </c>
      <c r="P3787" s="132" t="s">
        <v>77</v>
      </c>
      <c r="Q3787" s="131">
        <v>646.99</v>
      </c>
      <c r="R3787" s="131">
        <v>103.5184</v>
      </c>
      <c r="S3787" s="131"/>
      <c r="T3787" s="155"/>
      <c r="U3787" s="131"/>
      <c r="V3787" s="131">
        <v>750.50840000000005</v>
      </c>
      <c r="W3787">
        <v>353</v>
      </c>
      <c r="X3787" s="151" t="s">
        <v>2035</v>
      </c>
      <c r="Y3787" s="135" t="s">
        <v>55</v>
      </c>
      <c r="Z3787" s="307">
        <v>254</v>
      </c>
      <c r="AB3787" t="str">
        <f>IF(Table1[[#This Row],[TIPO2]]="costo", VLOOKUP(Table1[[#This Row],[PARTIDA PRESUPUESTAL]],'Cost Report'!G:G,1,0),"Balance")</f>
        <v>3683-138</v>
      </c>
      <c r="AC3787" s="118"/>
      <c r="AD3787" s="159">
        <f>+Table1[[#This Row],[SUBTOTAL]]+Table1[[#This Row],[IVA]]-Table1[[#This Row],[RET IVA]]-Table1[[#This Row],[RET ISR]]-Table1[[#This Row],[TOTAL]]</f>
        <v>0</v>
      </c>
      <c r="AE3787" s="150"/>
      <c r="AF3787" s="151"/>
      <c r="AG3787" s="126"/>
      <c r="AK3787" s="306" t="str">
        <f>IF(ISNUMBER(Table1[[#This Row],[FECHA DE RECIBIDO]]), Table1[[#This Row],[FECHA DE RECIBIDO]]-DATE(2023,8,30), "")</f>
        <v/>
      </c>
    </row>
    <row r="3788" spans="1:37" ht="15" customHeight="1">
      <c r="A3788" s="152" t="s">
        <v>4275</v>
      </c>
      <c r="B3788" s="153">
        <v>1271</v>
      </c>
      <c r="C3788" s="126" t="s">
        <v>1059</v>
      </c>
      <c r="D3788">
        <v>2507</v>
      </c>
      <c r="E3788" s="126" t="s">
        <v>2001</v>
      </c>
      <c r="F3788" s="125" t="s">
        <v>1607</v>
      </c>
      <c r="G3788" s="125" t="s">
        <v>134</v>
      </c>
      <c r="H3788">
        <v>23</v>
      </c>
      <c r="I3788" s="125" t="s">
        <v>1546</v>
      </c>
      <c r="J3788" s="308" t="s">
        <v>214</v>
      </c>
      <c r="K3788" s="127" t="s">
        <v>4212</v>
      </c>
      <c r="L3788" s="153" t="s">
        <v>3306</v>
      </c>
      <c r="M3788">
        <v>343</v>
      </c>
      <c r="N3788" s="123">
        <v>1</v>
      </c>
      <c r="O3788">
        <v>2391</v>
      </c>
      <c r="P3788" s="132" t="s">
        <v>77</v>
      </c>
      <c r="Q3788" s="132">
        <v>1329.51</v>
      </c>
      <c r="R3788" s="132">
        <v>212.7216</v>
      </c>
      <c r="S3788" s="132"/>
      <c r="T3788" s="156"/>
      <c r="U3788" s="132"/>
      <c r="V3788" s="132">
        <v>1542.2316000000001</v>
      </c>
      <c r="W3788">
        <v>353</v>
      </c>
      <c r="X3788" s="153" t="s">
        <v>2035</v>
      </c>
      <c r="Y3788" s="124" t="s">
        <v>55</v>
      </c>
      <c r="Z3788" s="308">
        <v>254</v>
      </c>
      <c r="AB3788" t="str">
        <f>IF(Table1[[#This Row],[TIPO2]]="costo", VLOOKUP(Table1[[#This Row],[PARTIDA PRESUPUESTAL]],'Cost Report'!G:G,1,0),"Balance")</f>
        <v>3683-042</v>
      </c>
      <c r="AC3788" s="118"/>
      <c r="AD3788" s="159">
        <f>+Table1[[#This Row],[SUBTOTAL]]+Table1[[#This Row],[IVA]]-Table1[[#This Row],[RET IVA]]-Table1[[#This Row],[RET ISR]]-Table1[[#This Row],[TOTAL]]</f>
        <v>0</v>
      </c>
      <c r="AE3788" s="152"/>
      <c r="AF3788" s="153"/>
      <c r="AG3788" s="126"/>
      <c r="AK3788" s="306" t="str">
        <f>IF(ISNUMBER(Table1[[#This Row],[FECHA DE RECIBIDO]]), Table1[[#This Row],[FECHA DE RECIBIDO]]-DATE(2023,8,30), "")</f>
        <v/>
      </c>
    </row>
    <row r="3789" spans="1:37" ht="15" customHeight="1">
      <c r="A3789" s="150" t="s">
        <v>4275</v>
      </c>
      <c r="B3789" s="151">
        <v>1271</v>
      </c>
      <c r="C3789" s="126" t="s">
        <v>1063</v>
      </c>
      <c r="D3789">
        <v>2507</v>
      </c>
      <c r="E3789" s="126" t="s">
        <v>2001</v>
      </c>
      <c r="F3789" s="122" t="s">
        <v>1607</v>
      </c>
      <c r="G3789" s="122" t="s">
        <v>134</v>
      </c>
      <c r="H3789">
        <v>23</v>
      </c>
      <c r="I3789" s="122" t="s">
        <v>1546</v>
      </c>
      <c r="J3789" s="307" t="s">
        <v>214</v>
      </c>
      <c r="K3789" s="127" t="s">
        <v>4212</v>
      </c>
      <c r="L3789" s="151" t="s">
        <v>3306</v>
      </c>
      <c r="M3789">
        <v>343</v>
      </c>
      <c r="N3789" s="123">
        <v>1</v>
      </c>
      <c r="O3789">
        <v>2391</v>
      </c>
      <c r="P3789" s="132" t="s">
        <v>77</v>
      </c>
      <c r="Q3789" s="131">
        <v>1413.35</v>
      </c>
      <c r="R3789" s="131">
        <v>226.136</v>
      </c>
      <c r="S3789" s="131"/>
      <c r="T3789" s="155"/>
      <c r="U3789" s="131"/>
      <c r="V3789" s="131">
        <v>1639.4859999999999</v>
      </c>
      <c r="W3789">
        <v>353</v>
      </c>
      <c r="X3789" s="151" t="s">
        <v>2035</v>
      </c>
      <c r="Y3789" s="135" t="s">
        <v>55</v>
      </c>
      <c r="Z3789" s="307">
        <v>254</v>
      </c>
      <c r="AB3789" t="str">
        <f>IF(Table1[[#This Row],[TIPO2]]="costo", VLOOKUP(Table1[[#This Row],[PARTIDA PRESUPUESTAL]],'Cost Report'!G:G,1,0),"Balance")</f>
        <v>3683-048</v>
      </c>
      <c r="AC3789" s="118"/>
      <c r="AD3789" s="159">
        <f>+Table1[[#This Row],[SUBTOTAL]]+Table1[[#This Row],[IVA]]-Table1[[#This Row],[RET IVA]]-Table1[[#This Row],[RET ISR]]-Table1[[#This Row],[TOTAL]]</f>
        <v>0</v>
      </c>
      <c r="AE3789" s="150"/>
      <c r="AF3789" s="151"/>
      <c r="AG3789" s="126"/>
      <c r="AK3789" s="306" t="str">
        <f>IF(ISNUMBER(Table1[[#This Row],[FECHA DE RECIBIDO]]), Table1[[#This Row],[FECHA DE RECIBIDO]]-DATE(2023,8,30), "")</f>
        <v/>
      </c>
    </row>
    <row r="3790" spans="1:37" ht="15" customHeight="1">
      <c r="A3790" s="152" t="s">
        <v>4275</v>
      </c>
      <c r="B3790" s="153">
        <v>1271</v>
      </c>
      <c r="C3790" s="126" t="s">
        <v>1067</v>
      </c>
      <c r="D3790">
        <v>2507</v>
      </c>
      <c r="E3790" s="126" t="s">
        <v>2001</v>
      </c>
      <c r="F3790" s="125" t="s">
        <v>1607</v>
      </c>
      <c r="G3790" s="125" t="s">
        <v>134</v>
      </c>
      <c r="H3790">
        <v>23</v>
      </c>
      <c r="I3790" s="125" t="s">
        <v>1546</v>
      </c>
      <c r="J3790" s="308" t="s">
        <v>214</v>
      </c>
      <c r="K3790" s="127" t="s">
        <v>4212</v>
      </c>
      <c r="L3790" s="153" t="s">
        <v>3306</v>
      </c>
      <c r="M3790">
        <v>343</v>
      </c>
      <c r="N3790" s="123">
        <v>1</v>
      </c>
      <c r="O3790">
        <v>2391</v>
      </c>
      <c r="P3790" s="132" t="s">
        <v>77</v>
      </c>
      <c r="Q3790" s="132">
        <v>1354.13</v>
      </c>
      <c r="R3790" s="132">
        <v>216.66080000000002</v>
      </c>
      <c r="S3790" s="132"/>
      <c r="T3790" s="156"/>
      <c r="U3790" s="132"/>
      <c r="V3790" s="132">
        <v>1570.7908000000002</v>
      </c>
      <c r="W3790">
        <v>353</v>
      </c>
      <c r="X3790" s="153" t="s">
        <v>2035</v>
      </c>
      <c r="Y3790" s="124" t="s">
        <v>55</v>
      </c>
      <c r="Z3790" s="308">
        <v>254</v>
      </c>
      <c r="AB3790" t="str">
        <f>IF(Table1[[#This Row],[TIPO2]]="costo", VLOOKUP(Table1[[#This Row],[PARTIDA PRESUPUESTAL]],'Cost Report'!G:G,1,0),"Balance")</f>
        <v>3683-054</v>
      </c>
      <c r="AC3790" s="118"/>
      <c r="AD3790" s="159">
        <f>+Table1[[#This Row],[SUBTOTAL]]+Table1[[#This Row],[IVA]]-Table1[[#This Row],[RET IVA]]-Table1[[#This Row],[RET ISR]]-Table1[[#This Row],[TOTAL]]</f>
        <v>0</v>
      </c>
      <c r="AE3790" s="152"/>
      <c r="AF3790" s="153"/>
      <c r="AG3790" s="126"/>
      <c r="AK3790" s="306" t="str">
        <f>IF(ISNUMBER(Table1[[#This Row],[FECHA DE RECIBIDO]]), Table1[[#This Row],[FECHA DE RECIBIDO]]-DATE(2023,8,30), "")</f>
        <v/>
      </c>
    </row>
    <row r="3791" spans="1:37" ht="15" customHeight="1">
      <c r="A3791" s="150" t="s">
        <v>4275</v>
      </c>
      <c r="B3791" s="151">
        <v>1271</v>
      </c>
      <c r="C3791" s="126" t="s">
        <v>1071</v>
      </c>
      <c r="D3791">
        <v>2507</v>
      </c>
      <c r="E3791" s="126" t="s">
        <v>2001</v>
      </c>
      <c r="F3791" s="122" t="s">
        <v>1607</v>
      </c>
      <c r="G3791" s="122" t="s">
        <v>134</v>
      </c>
      <c r="H3791">
        <v>23</v>
      </c>
      <c r="I3791" s="122" t="s">
        <v>1546</v>
      </c>
      <c r="J3791" s="307" t="s">
        <v>214</v>
      </c>
      <c r="K3791" s="127" t="s">
        <v>4212</v>
      </c>
      <c r="L3791" s="151" t="s">
        <v>3306</v>
      </c>
      <c r="M3791">
        <v>343</v>
      </c>
      <c r="N3791" s="123">
        <v>1</v>
      </c>
      <c r="O3791">
        <v>2391</v>
      </c>
      <c r="P3791" s="132" t="s">
        <v>77</v>
      </c>
      <c r="Q3791" s="131">
        <v>963.65</v>
      </c>
      <c r="R3791" s="131">
        <v>154.184</v>
      </c>
      <c r="S3791" s="131"/>
      <c r="T3791" s="155"/>
      <c r="U3791" s="131"/>
      <c r="V3791" s="131">
        <v>1117.8340000000001</v>
      </c>
      <c r="W3791">
        <v>353</v>
      </c>
      <c r="X3791" s="151" t="s">
        <v>2035</v>
      </c>
      <c r="Y3791" s="135" t="s">
        <v>55</v>
      </c>
      <c r="Z3791" s="307">
        <v>254</v>
      </c>
      <c r="AB3791" t="str">
        <f>IF(Table1[[#This Row],[TIPO2]]="costo", VLOOKUP(Table1[[#This Row],[PARTIDA PRESUPUESTAL]],'Cost Report'!G:G,1,0),"Balance")</f>
        <v>3683-060</v>
      </c>
      <c r="AC3791" s="118"/>
      <c r="AD3791" s="159">
        <f>+Table1[[#This Row],[SUBTOTAL]]+Table1[[#This Row],[IVA]]-Table1[[#This Row],[RET IVA]]-Table1[[#This Row],[RET ISR]]-Table1[[#This Row],[TOTAL]]</f>
        <v>0</v>
      </c>
      <c r="AE3791" s="150"/>
      <c r="AF3791" s="151"/>
      <c r="AG3791" s="126"/>
      <c r="AK3791" s="306" t="str">
        <f>IF(ISNUMBER(Table1[[#This Row],[FECHA DE RECIBIDO]]), Table1[[#This Row],[FECHA DE RECIBIDO]]-DATE(2023,8,30), "")</f>
        <v/>
      </c>
    </row>
    <row r="3792" spans="1:37" ht="15" customHeight="1">
      <c r="A3792" s="152" t="s">
        <v>4275</v>
      </c>
      <c r="B3792" s="153">
        <v>1271</v>
      </c>
      <c r="C3792" s="126" t="s">
        <v>1075</v>
      </c>
      <c r="D3792">
        <v>2507</v>
      </c>
      <c r="E3792" s="126" t="s">
        <v>2001</v>
      </c>
      <c r="F3792" s="125" t="s">
        <v>1607</v>
      </c>
      <c r="G3792" s="125" t="s">
        <v>134</v>
      </c>
      <c r="H3792">
        <v>23</v>
      </c>
      <c r="I3792" s="125" t="s">
        <v>1546</v>
      </c>
      <c r="J3792" s="308" t="s">
        <v>214</v>
      </c>
      <c r="K3792" s="127" t="s">
        <v>4212</v>
      </c>
      <c r="L3792" s="153" t="s">
        <v>3306</v>
      </c>
      <c r="M3792">
        <v>343</v>
      </c>
      <c r="N3792" s="123">
        <v>1</v>
      </c>
      <c r="O3792">
        <v>2391</v>
      </c>
      <c r="P3792" s="132" t="s">
        <v>77</v>
      </c>
      <c r="Q3792" s="132">
        <v>963.65</v>
      </c>
      <c r="R3792" s="132">
        <v>154.184</v>
      </c>
      <c r="S3792" s="132"/>
      <c r="T3792" s="156"/>
      <c r="U3792" s="132"/>
      <c r="V3792" s="132">
        <v>1117.8340000000001</v>
      </c>
      <c r="W3792">
        <v>353</v>
      </c>
      <c r="X3792" s="153" t="s">
        <v>2035</v>
      </c>
      <c r="Y3792" s="124" t="s">
        <v>55</v>
      </c>
      <c r="Z3792" s="308">
        <v>254</v>
      </c>
      <c r="AB3792" t="str">
        <f>IF(Table1[[#This Row],[TIPO2]]="costo", VLOOKUP(Table1[[#This Row],[PARTIDA PRESUPUESTAL]],'Cost Report'!G:G,1,0),"Balance")</f>
        <v>3683-066</v>
      </c>
      <c r="AC3792" s="118"/>
      <c r="AD3792" s="159">
        <f>+Table1[[#This Row],[SUBTOTAL]]+Table1[[#This Row],[IVA]]-Table1[[#This Row],[RET IVA]]-Table1[[#This Row],[RET ISR]]-Table1[[#This Row],[TOTAL]]</f>
        <v>0</v>
      </c>
      <c r="AE3792" s="152"/>
      <c r="AF3792" s="153"/>
      <c r="AG3792" s="126"/>
      <c r="AK3792" s="306" t="str">
        <f>IF(ISNUMBER(Table1[[#This Row],[FECHA DE RECIBIDO]]), Table1[[#This Row],[FECHA DE RECIBIDO]]-DATE(2023,8,30), "")</f>
        <v/>
      </c>
    </row>
    <row r="3793" spans="1:37" ht="15" customHeight="1">
      <c r="A3793" s="150" t="s">
        <v>4275</v>
      </c>
      <c r="B3793" s="151">
        <v>1271</v>
      </c>
      <c r="C3793" s="126" t="s">
        <v>1079</v>
      </c>
      <c r="D3793">
        <v>2507</v>
      </c>
      <c r="E3793" s="126" t="s">
        <v>2001</v>
      </c>
      <c r="F3793" s="122" t="s">
        <v>1607</v>
      </c>
      <c r="G3793" s="122" t="s">
        <v>134</v>
      </c>
      <c r="H3793">
        <v>23</v>
      </c>
      <c r="I3793" s="122" t="s">
        <v>1546</v>
      </c>
      <c r="J3793" s="307" t="s">
        <v>214</v>
      </c>
      <c r="K3793" s="127" t="s">
        <v>4212</v>
      </c>
      <c r="L3793" s="151" t="s">
        <v>3306</v>
      </c>
      <c r="M3793">
        <v>343</v>
      </c>
      <c r="N3793" s="123">
        <v>1</v>
      </c>
      <c r="O3793">
        <v>2391</v>
      </c>
      <c r="P3793" s="132" t="s">
        <v>77</v>
      </c>
      <c r="Q3793" s="131">
        <v>963.65</v>
      </c>
      <c r="R3793" s="131">
        <v>154.184</v>
      </c>
      <c r="S3793" s="131"/>
      <c r="T3793" s="155"/>
      <c r="U3793" s="131"/>
      <c r="V3793" s="131">
        <v>1117.8340000000001</v>
      </c>
      <c r="W3793">
        <v>353</v>
      </c>
      <c r="X3793" s="151" t="s">
        <v>2035</v>
      </c>
      <c r="Y3793" s="135" t="s">
        <v>55</v>
      </c>
      <c r="Z3793" s="307">
        <v>254</v>
      </c>
      <c r="AB3793" t="str">
        <f>IF(Table1[[#This Row],[TIPO2]]="costo", VLOOKUP(Table1[[#This Row],[PARTIDA PRESUPUESTAL]],'Cost Report'!G:G,1,0),"Balance")</f>
        <v>3683-072</v>
      </c>
      <c r="AC3793" s="118"/>
      <c r="AD3793" s="159">
        <f>+Table1[[#This Row],[SUBTOTAL]]+Table1[[#This Row],[IVA]]-Table1[[#This Row],[RET IVA]]-Table1[[#This Row],[RET ISR]]-Table1[[#This Row],[TOTAL]]</f>
        <v>0</v>
      </c>
      <c r="AE3793" s="150"/>
      <c r="AF3793" s="151"/>
      <c r="AG3793" s="126"/>
      <c r="AK3793" s="306" t="str">
        <f>IF(ISNUMBER(Table1[[#This Row],[FECHA DE RECIBIDO]]), Table1[[#This Row],[FECHA DE RECIBIDO]]-DATE(2023,8,30), "")</f>
        <v/>
      </c>
    </row>
    <row r="3794" spans="1:37" ht="15" customHeight="1">
      <c r="A3794" s="152" t="s">
        <v>4275</v>
      </c>
      <c r="B3794" s="153">
        <v>1271</v>
      </c>
      <c r="C3794" s="126" t="s">
        <v>1083</v>
      </c>
      <c r="D3794">
        <v>2507</v>
      </c>
      <c r="E3794" s="126" t="s">
        <v>2001</v>
      </c>
      <c r="F3794" s="125" t="s">
        <v>1607</v>
      </c>
      <c r="G3794" s="125" t="s">
        <v>134</v>
      </c>
      <c r="H3794">
        <v>23</v>
      </c>
      <c r="I3794" s="125" t="s">
        <v>1546</v>
      </c>
      <c r="J3794" s="308" t="s">
        <v>214</v>
      </c>
      <c r="K3794" s="127" t="s">
        <v>4212</v>
      </c>
      <c r="L3794" s="153" t="s">
        <v>3306</v>
      </c>
      <c r="M3794">
        <v>343</v>
      </c>
      <c r="N3794" s="123">
        <v>1</v>
      </c>
      <c r="O3794">
        <v>2391</v>
      </c>
      <c r="P3794" s="132" t="s">
        <v>77</v>
      </c>
      <c r="Q3794" s="132">
        <v>963.65</v>
      </c>
      <c r="R3794" s="132">
        <v>154.184</v>
      </c>
      <c r="S3794" s="132"/>
      <c r="T3794" s="156"/>
      <c r="U3794" s="132"/>
      <c r="V3794" s="132">
        <v>1117.8340000000001</v>
      </c>
      <c r="W3794">
        <v>353</v>
      </c>
      <c r="X3794" s="153" t="s">
        <v>2035</v>
      </c>
      <c r="Y3794" s="124" t="s">
        <v>55</v>
      </c>
      <c r="Z3794" s="308">
        <v>254</v>
      </c>
      <c r="AB3794" t="str">
        <f>IF(Table1[[#This Row],[TIPO2]]="costo", VLOOKUP(Table1[[#This Row],[PARTIDA PRESUPUESTAL]],'Cost Report'!G:G,1,0),"Balance")</f>
        <v>3683-078</v>
      </c>
      <c r="AC3794" s="118"/>
      <c r="AD3794" s="159">
        <f>+Table1[[#This Row],[SUBTOTAL]]+Table1[[#This Row],[IVA]]-Table1[[#This Row],[RET IVA]]-Table1[[#This Row],[RET ISR]]-Table1[[#This Row],[TOTAL]]</f>
        <v>0</v>
      </c>
      <c r="AE3794" s="152"/>
      <c r="AF3794" s="153"/>
      <c r="AG3794" s="126"/>
      <c r="AK3794" s="306" t="str">
        <f>IF(ISNUMBER(Table1[[#This Row],[FECHA DE RECIBIDO]]), Table1[[#This Row],[FECHA DE RECIBIDO]]-DATE(2023,8,30), "")</f>
        <v/>
      </c>
    </row>
    <row r="3795" spans="1:37" ht="15" customHeight="1">
      <c r="A3795" s="150" t="s">
        <v>4275</v>
      </c>
      <c r="B3795" s="151">
        <v>1271</v>
      </c>
      <c r="C3795" s="126" t="s">
        <v>1087</v>
      </c>
      <c r="D3795">
        <v>2507</v>
      </c>
      <c r="E3795" s="126" t="s">
        <v>2001</v>
      </c>
      <c r="F3795" s="122" t="s">
        <v>1607</v>
      </c>
      <c r="G3795" s="122" t="s">
        <v>134</v>
      </c>
      <c r="H3795">
        <v>23</v>
      </c>
      <c r="I3795" s="122" t="s">
        <v>1546</v>
      </c>
      <c r="J3795" s="307" t="s">
        <v>214</v>
      </c>
      <c r="K3795" s="127" t="s">
        <v>4212</v>
      </c>
      <c r="L3795" s="151" t="s">
        <v>3306</v>
      </c>
      <c r="M3795">
        <v>343</v>
      </c>
      <c r="N3795" s="123">
        <v>1</v>
      </c>
      <c r="O3795">
        <v>2391</v>
      </c>
      <c r="P3795" s="132" t="s">
        <v>77</v>
      </c>
      <c r="Q3795" s="131">
        <v>1413.35</v>
      </c>
      <c r="R3795" s="131">
        <v>226.136</v>
      </c>
      <c r="S3795" s="131"/>
      <c r="T3795" s="155"/>
      <c r="U3795" s="131"/>
      <c r="V3795" s="131">
        <v>1639.4859999999999</v>
      </c>
      <c r="W3795">
        <v>353</v>
      </c>
      <c r="X3795" s="151" t="s">
        <v>2035</v>
      </c>
      <c r="Y3795" s="135" t="s">
        <v>55</v>
      </c>
      <c r="Z3795" s="307">
        <v>254</v>
      </c>
      <c r="AB3795" t="str">
        <f>IF(Table1[[#This Row],[TIPO2]]="costo", VLOOKUP(Table1[[#This Row],[PARTIDA PRESUPUESTAL]],'Cost Report'!G:G,1,0),"Balance")</f>
        <v>3683-084</v>
      </c>
      <c r="AC3795" s="118"/>
      <c r="AD3795" s="159">
        <f>+Table1[[#This Row],[SUBTOTAL]]+Table1[[#This Row],[IVA]]-Table1[[#This Row],[RET IVA]]-Table1[[#This Row],[RET ISR]]-Table1[[#This Row],[TOTAL]]</f>
        <v>0</v>
      </c>
      <c r="AE3795" s="150"/>
      <c r="AF3795" s="151"/>
      <c r="AG3795" s="126"/>
      <c r="AK3795" s="306" t="str">
        <f>IF(ISNUMBER(Table1[[#This Row],[FECHA DE RECIBIDO]]), Table1[[#This Row],[FECHA DE RECIBIDO]]-DATE(2023,8,30), "")</f>
        <v/>
      </c>
    </row>
    <row r="3796" spans="1:37" ht="15" customHeight="1">
      <c r="A3796" s="152" t="s">
        <v>4275</v>
      </c>
      <c r="B3796" s="153">
        <v>1271</v>
      </c>
      <c r="C3796" s="126" t="s">
        <v>1091</v>
      </c>
      <c r="D3796">
        <v>2507</v>
      </c>
      <c r="E3796" s="126" t="s">
        <v>2001</v>
      </c>
      <c r="F3796" s="125" t="s">
        <v>1607</v>
      </c>
      <c r="G3796" s="125" t="s">
        <v>134</v>
      </c>
      <c r="H3796">
        <v>23</v>
      </c>
      <c r="I3796" s="125" t="s">
        <v>1546</v>
      </c>
      <c r="J3796" s="308" t="s">
        <v>214</v>
      </c>
      <c r="K3796" s="127" t="s">
        <v>4212</v>
      </c>
      <c r="L3796" s="153" t="s">
        <v>3306</v>
      </c>
      <c r="M3796">
        <v>343</v>
      </c>
      <c r="N3796" s="123">
        <v>1</v>
      </c>
      <c r="O3796">
        <v>2391</v>
      </c>
      <c r="P3796" s="132" t="s">
        <v>77</v>
      </c>
      <c r="Q3796" s="132">
        <v>963.65</v>
      </c>
      <c r="R3796" s="132">
        <v>154.184</v>
      </c>
      <c r="S3796" s="132"/>
      <c r="T3796" s="156"/>
      <c r="U3796" s="132"/>
      <c r="V3796" s="132">
        <v>1117.8340000000001</v>
      </c>
      <c r="W3796">
        <v>353</v>
      </c>
      <c r="X3796" s="153" t="s">
        <v>2035</v>
      </c>
      <c r="Y3796" s="124" t="s">
        <v>55</v>
      </c>
      <c r="Z3796" s="308">
        <v>254</v>
      </c>
      <c r="AB3796" t="str">
        <f>IF(Table1[[#This Row],[TIPO2]]="costo", VLOOKUP(Table1[[#This Row],[PARTIDA PRESUPUESTAL]],'Cost Report'!G:G,1,0),"Balance")</f>
        <v>3683-090</v>
      </c>
      <c r="AC3796" s="118"/>
      <c r="AD3796" s="159">
        <f>+Table1[[#This Row],[SUBTOTAL]]+Table1[[#This Row],[IVA]]-Table1[[#This Row],[RET IVA]]-Table1[[#This Row],[RET ISR]]-Table1[[#This Row],[TOTAL]]</f>
        <v>0</v>
      </c>
      <c r="AE3796" s="152"/>
      <c r="AF3796" s="153"/>
      <c r="AG3796" s="126"/>
      <c r="AK3796" s="306" t="str">
        <f>IF(ISNUMBER(Table1[[#This Row],[FECHA DE RECIBIDO]]), Table1[[#This Row],[FECHA DE RECIBIDO]]-DATE(2023,8,30), "")</f>
        <v/>
      </c>
    </row>
    <row r="3797" spans="1:37" ht="15" customHeight="1">
      <c r="A3797" s="150" t="s">
        <v>4275</v>
      </c>
      <c r="B3797" s="151">
        <v>1271</v>
      </c>
      <c r="C3797" s="126" t="s">
        <v>1095</v>
      </c>
      <c r="D3797">
        <v>2507</v>
      </c>
      <c r="E3797" s="126" t="s">
        <v>2001</v>
      </c>
      <c r="F3797" s="122" t="s">
        <v>1607</v>
      </c>
      <c r="G3797" s="122" t="s">
        <v>134</v>
      </c>
      <c r="H3797">
        <v>23</v>
      </c>
      <c r="I3797" s="122" t="s">
        <v>1546</v>
      </c>
      <c r="J3797" s="307" t="s">
        <v>214</v>
      </c>
      <c r="K3797" s="127" t="s">
        <v>4212</v>
      </c>
      <c r="L3797" s="151" t="s">
        <v>3306</v>
      </c>
      <c r="M3797">
        <v>343</v>
      </c>
      <c r="N3797" s="123">
        <v>1</v>
      </c>
      <c r="O3797">
        <v>2391</v>
      </c>
      <c r="P3797" s="132" t="s">
        <v>77</v>
      </c>
      <c r="Q3797" s="131">
        <v>1413.35</v>
      </c>
      <c r="R3797" s="131">
        <v>226.136</v>
      </c>
      <c r="S3797" s="131"/>
      <c r="T3797" s="155"/>
      <c r="U3797" s="131"/>
      <c r="V3797" s="131">
        <v>1639.4859999999999</v>
      </c>
      <c r="W3797">
        <v>353</v>
      </c>
      <c r="X3797" s="151" t="s">
        <v>2035</v>
      </c>
      <c r="Y3797" s="135" t="s">
        <v>55</v>
      </c>
      <c r="Z3797" s="307">
        <v>254</v>
      </c>
      <c r="AB3797" t="str">
        <f>IF(Table1[[#This Row],[TIPO2]]="costo", VLOOKUP(Table1[[#This Row],[PARTIDA PRESUPUESTAL]],'Cost Report'!G:G,1,0),"Balance")</f>
        <v>3683-096</v>
      </c>
      <c r="AC3797" s="118"/>
      <c r="AD3797" s="159">
        <f>+Table1[[#This Row],[SUBTOTAL]]+Table1[[#This Row],[IVA]]-Table1[[#This Row],[RET IVA]]-Table1[[#This Row],[RET ISR]]-Table1[[#This Row],[TOTAL]]</f>
        <v>0</v>
      </c>
      <c r="AE3797" s="150"/>
      <c r="AF3797" s="151"/>
      <c r="AG3797" s="126"/>
      <c r="AK3797" s="306" t="str">
        <f>IF(ISNUMBER(Table1[[#This Row],[FECHA DE RECIBIDO]]), Table1[[#This Row],[FECHA DE RECIBIDO]]-DATE(2023,8,30), "")</f>
        <v/>
      </c>
    </row>
    <row r="3798" spans="1:37" ht="15" customHeight="1">
      <c r="A3798" s="152" t="s">
        <v>4275</v>
      </c>
      <c r="B3798" s="153">
        <v>1271</v>
      </c>
      <c r="C3798" s="126" t="s">
        <v>1098</v>
      </c>
      <c r="D3798">
        <v>2507</v>
      </c>
      <c r="E3798" s="126" t="s">
        <v>2001</v>
      </c>
      <c r="F3798" s="125" t="s">
        <v>1607</v>
      </c>
      <c r="G3798" s="125" t="s">
        <v>134</v>
      </c>
      <c r="H3798">
        <v>23</v>
      </c>
      <c r="I3798" s="125" t="s">
        <v>1546</v>
      </c>
      <c r="J3798" s="308" t="s">
        <v>214</v>
      </c>
      <c r="K3798" s="127" t="s">
        <v>4212</v>
      </c>
      <c r="L3798" s="153" t="s">
        <v>3306</v>
      </c>
      <c r="M3798">
        <v>343</v>
      </c>
      <c r="N3798" s="123">
        <v>1</v>
      </c>
      <c r="O3798">
        <v>2391</v>
      </c>
      <c r="P3798" s="132" t="s">
        <v>77</v>
      </c>
      <c r="Q3798" s="132">
        <v>1324.34</v>
      </c>
      <c r="R3798" s="132">
        <v>211.89439999999999</v>
      </c>
      <c r="S3798" s="132"/>
      <c r="T3798" s="156"/>
      <c r="U3798" s="132"/>
      <c r="V3798" s="132">
        <v>1536.2343999999998</v>
      </c>
      <c r="W3798">
        <v>353</v>
      </c>
      <c r="X3798" s="153" t="s">
        <v>2035</v>
      </c>
      <c r="Y3798" s="124" t="s">
        <v>55</v>
      </c>
      <c r="Z3798" s="308">
        <v>254</v>
      </c>
      <c r="AB3798" t="str">
        <f>IF(Table1[[#This Row],[TIPO2]]="costo", VLOOKUP(Table1[[#This Row],[PARTIDA PRESUPUESTAL]],'Cost Report'!G:G,1,0),"Balance")</f>
        <v>3683-101</v>
      </c>
      <c r="AC3798" s="118"/>
      <c r="AD3798" s="159">
        <f>+Table1[[#This Row],[SUBTOTAL]]+Table1[[#This Row],[IVA]]-Table1[[#This Row],[RET IVA]]-Table1[[#This Row],[RET ISR]]-Table1[[#This Row],[TOTAL]]</f>
        <v>0</v>
      </c>
      <c r="AE3798" s="152"/>
      <c r="AF3798" s="153"/>
      <c r="AG3798" s="126"/>
      <c r="AK3798" s="306" t="str">
        <f>IF(ISNUMBER(Table1[[#This Row],[FECHA DE RECIBIDO]]), Table1[[#This Row],[FECHA DE RECIBIDO]]-DATE(2023,8,30), "")</f>
        <v/>
      </c>
    </row>
    <row r="3799" spans="1:37" ht="15" customHeight="1">
      <c r="A3799" s="150" t="s">
        <v>4275</v>
      </c>
      <c r="B3799" s="151">
        <v>1271</v>
      </c>
      <c r="C3799" s="126" t="s">
        <v>1100</v>
      </c>
      <c r="D3799">
        <v>2507</v>
      </c>
      <c r="E3799" s="126" t="s">
        <v>2001</v>
      </c>
      <c r="F3799" s="122" t="s">
        <v>1607</v>
      </c>
      <c r="G3799" s="122" t="s">
        <v>134</v>
      </c>
      <c r="H3799">
        <v>23</v>
      </c>
      <c r="I3799" s="122" t="s">
        <v>1546</v>
      </c>
      <c r="J3799" s="307" t="s">
        <v>214</v>
      </c>
      <c r="K3799" s="127" t="s">
        <v>4212</v>
      </c>
      <c r="L3799" s="151" t="s">
        <v>3306</v>
      </c>
      <c r="M3799">
        <v>343</v>
      </c>
      <c r="N3799" s="123">
        <v>1</v>
      </c>
      <c r="O3799">
        <v>2391</v>
      </c>
      <c r="P3799" s="132" t="s">
        <v>77</v>
      </c>
      <c r="Q3799" s="131">
        <v>1648.06</v>
      </c>
      <c r="R3799" s="131">
        <v>263.68959999999998</v>
      </c>
      <c r="S3799" s="131"/>
      <c r="T3799" s="155"/>
      <c r="U3799" s="131"/>
      <c r="V3799" s="131">
        <v>1911.7495999999999</v>
      </c>
      <c r="W3799">
        <v>353</v>
      </c>
      <c r="X3799" s="151" t="s">
        <v>2035</v>
      </c>
      <c r="Y3799" s="135" t="s">
        <v>55</v>
      </c>
      <c r="Z3799" s="307">
        <v>254</v>
      </c>
      <c r="AB3799" t="str">
        <f>IF(Table1[[#This Row],[TIPO2]]="costo", VLOOKUP(Table1[[#This Row],[PARTIDA PRESUPUESTAL]],'Cost Report'!G:G,1,0),"Balance")</f>
        <v>3683-105</v>
      </c>
      <c r="AC3799" s="118"/>
      <c r="AD3799" s="159">
        <f>+Table1[[#This Row],[SUBTOTAL]]+Table1[[#This Row],[IVA]]-Table1[[#This Row],[RET IVA]]-Table1[[#This Row],[RET ISR]]-Table1[[#This Row],[TOTAL]]</f>
        <v>0</v>
      </c>
      <c r="AE3799" s="150"/>
      <c r="AF3799" s="151"/>
      <c r="AG3799" s="126"/>
      <c r="AK3799" s="306" t="str">
        <f>IF(ISNUMBER(Table1[[#This Row],[FECHA DE RECIBIDO]]), Table1[[#This Row],[FECHA DE RECIBIDO]]-DATE(2023,8,30), "")</f>
        <v/>
      </c>
    </row>
    <row r="3800" spans="1:37" ht="15" customHeight="1">
      <c r="A3800" s="152" t="s">
        <v>4275</v>
      </c>
      <c r="B3800" s="153">
        <v>1271</v>
      </c>
      <c r="C3800" s="126" t="s">
        <v>2880</v>
      </c>
      <c r="D3800">
        <v>2507</v>
      </c>
      <c r="E3800" s="126" t="s">
        <v>2001</v>
      </c>
      <c r="F3800" s="125" t="s">
        <v>1607</v>
      </c>
      <c r="G3800" s="125" t="s">
        <v>134</v>
      </c>
      <c r="H3800">
        <v>23</v>
      </c>
      <c r="I3800" s="125" t="s">
        <v>1546</v>
      </c>
      <c r="J3800" s="308" t="s">
        <v>214</v>
      </c>
      <c r="K3800" s="127" t="s">
        <v>4212</v>
      </c>
      <c r="L3800" s="153" t="s">
        <v>3306</v>
      </c>
      <c r="M3800">
        <v>343</v>
      </c>
      <c r="N3800" s="123">
        <v>1</v>
      </c>
      <c r="O3800">
        <v>2391</v>
      </c>
      <c r="P3800" s="132" t="s">
        <v>77</v>
      </c>
      <c r="Q3800" s="132">
        <v>3371.5</v>
      </c>
      <c r="R3800" s="132">
        <v>539.44000000000005</v>
      </c>
      <c r="S3800" s="132"/>
      <c r="T3800" s="156"/>
      <c r="U3800" s="132"/>
      <c r="V3800" s="132">
        <v>3910.94</v>
      </c>
      <c r="W3800">
        <v>353</v>
      </c>
      <c r="X3800" s="153" t="s">
        <v>2035</v>
      </c>
      <c r="Y3800" s="124" t="s">
        <v>55</v>
      </c>
      <c r="Z3800" s="308">
        <v>254</v>
      </c>
      <c r="AB3800" t="str">
        <f>IF(Table1[[#This Row],[TIPO2]]="costo", VLOOKUP(Table1[[#This Row],[PARTIDA PRESUPUESTAL]],'Cost Report'!G:G,1,0),"Balance")</f>
        <v>3683-109</v>
      </c>
      <c r="AC3800" s="118"/>
      <c r="AD3800" s="159">
        <f>+Table1[[#This Row],[SUBTOTAL]]+Table1[[#This Row],[IVA]]-Table1[[#This Row],[RET IVA]]-Table1[[#This Row],[RET ISR]]-Table1[[#This Row],[TOTAL]]</f>
        <v>0</v>
      </c>
      <c r="AE3800" s="152"/>
      <c r="AF3800" s="153"/>
      <c r="AG3800" s="126"/>
      <c r="AK3800" s="306" t="str">
        <f>IF(ISNUMBER(Table1[[#This Row],[FECHA DE RECIBIDO]]), Table1[[#This Row],[FECHA DE RECIBIDO]]-DATE(2023,8,30), "")</f>
        <v/>
      </c>
    </row>
    <row r="3801" spans="1:37" ht="15" customHeight="1">
      <c r="A3801" s="150" t="s">
        <v>4275</v>
      </c>
      <c r="B3801" s="151">
        <v>1271</v>
      </c>
      <c r="C3801" s="126" t="s">
        <v>2882</v>
      </c>
      <c r="D3801">
        <v>2507</v>
      </c>
      <c r="E3801" s="126" t="s">
        <v>2001</v>
      </c>
      <c r="F3801" s="122" t="s">
        <v>1607</v>
      </c>
      <c r="G3801" s="122" t="s">
        <v>134</v>
      </c>
      <c r="H3801">
        <v>23</v>
      </c>
      <c r="I3801" s="122" t="s">
        <v>1546</v>
      </c>
      <c r="J3801" s="307" t="s">
        <v>214</v>
      </c>
      <c r="K3801" s="127" t="s">
        <v>4212</v>
      </c>
      <c r="L3801" s="151" t="s">
        <v>3306</v>
      </c>
      <c r="M3801">
        <v>343</v>
      </c>
      <c r="N3801" s="123">
        <v>1</v>
      </c>
      <c r="O3801">
        <v>2391</v>
      </c>
      <c r="P3801" s="132" t="s">
        <v>77</v>
      </c>
      <c r="Q3801" s="131">
        <v>366.7</v>
      </c>
      <c r="R3801" s="131">
        <v>58.671999999999997</v>
      </c>
      <c r="S3801" s="131"/>
      <c r="T3801" s="155"/>
      <c r="U3801" s="131"/>
      <c r="V3801" s="131">
        <v>425.37199999999996</v>
      </c>
      <c r="W3801">
        <v>353</v>
      </c>
      <c r="X3801" s="151" t="s">
        <v>2035</v>
      </c>
      <c r="Y3801" s="135" t="s">
        <v>55</v>
      </c>
      <c r="Z3801" s="307">
        <v>254</v>
      </c>
      <c r="AB3801" t="str">
        <f>IF(Table1[[#This Row],[TIPO2]]="costo", VLOOKUP(Table1[[#This Row],[PARTIDA PRESUPUESTAL]],'Cost Report'!G:G,1,0),"Balance")</f>
        <v>3683-113</v>
      </c>
      <c r="AC3801" s="118"/>
      <c r="AD3801" s="159">
        <f>+Table1[[#This Row],[SUBTOTAL]]+Table1[[#This Row],[IVA]]-Table1[[#This Row],[RET IVA]]-Table1[[#This Row],[RET ISR]]-Table1[[#This Row],[TOTAL]]</f>
        <v>0</v>
      </c>
      <c r="AE3801" s="150"/>
      <c r="AF3801" s="151"/>
      <c r="AG3801" s="126"/>
      <c r="AK3801" s="306" t="str">
        <f>IF(ISNUMBER(Table1[[#This Row],[FECHA DE RECIBIDO]]), Table1[[#This Row],[FECHA DE RECIBIDO]]-DATE(2023,8,30), "")</f>
        <v/>
      </c>
    </row>
    <row r="3802" spans="1:37" ht="15" customHeight="1">
      <c r="A3802" s="152" t="s">
        <v>4275</v>
      </c>
      <c r="B3802" s="153">
        <v>1271</v>
      </c>
      <c r="C3802" s="126" t="s">
        <v>2909</v>
      </c>
      <c r="D3802">
        <v>2507</v>
      </c>
      <c r="E3802" s="126" t="s">
        <v>2001</v>
      </c>
      <c r="F3802" s="125" t="s">
        <v>1607</v>
      </c>
      <c r="G3802" s="125" t="s">
        <v>134</v>
      </c>
      <c r="H3802">
        <v>23</v>
      </c>
      <c r="I3802" s="125" t="s">
        <v>1546</v>
      </c>
      <c r="J3802" s="308" t="s">
        <v>214</v>
      </c>
      <c r="K3802" s="127" t="s">
        <v>4212</v>
      </c>
      <c r="L3802" s="153" t="s">
        <v>3306</v>
      </c>
      <c r="M3802">
        <v>343</v>
      </c>
      <c r="N3802" s="123">
        <v>1</v>
      </c>
      <c r="O3802">
        <v>2391</v>
      </c>
      <c r="P3802" s="132" t="s">
        <v>77</v>
      </c>
      <c r="Q3802" s="132">
        <v>3155.54</v>
      </c>
      <c r="R3802" s="132">
        <v>504.88639999999998</v>
      </c>
      <c r="S3802" s="132"/>
      <c r="T3802" s="156"/>
      <c r="U3802" s="132"/>
      <c r="V3802" s="132">
        <v>3660.4263999999998</v>
      </c>
      <c r="W3802">
        <v>353</v>
      </c>
      <c r="X3802" s="153" t="s">
        <v>2035</v>
      </c>
      <c r="Y3802" s="124" t="s">
        <v>55</v>
      </c>
      <c r="Z3802" s="308">
        <v>254</v>
      </c>
      <c r="AB3802" t="str">
        <f>IF(Table1[[#This Row],[TIPO2]]="costo", VLOOKUP(Table1[[#This Row],[PARTIDA PRESUPUESTAL]],'Cost Report'!G:G,1,0),"Balance")</f>
        <v>3683-158</v>
      </c>
      <c r="AC3802" s="118"/>
      <c r="AD3802" s="159">
        <f>+Table1[[#This Row],[SUBTOTAL]]+Table1[[#This Row],[IVA]]-Table1[[#This Row],[RET IVA]]-Table1[[#This Row],[RET ISR]]-Table1[[#This Row],[TOTAL]]</f>
        <v>0</v>
      </c>
      <c r="AE3802" s="152"/>
      <c r="AF3802" s="153"/>
      <c r="AG3802" s="126"/>
      <c r="AK3802" s="306" t="str">
        <f>IF(ISNUMBER(Table1[[#This Row],[FECHA DE RECIBIDO]]), Table1[[#This Row],[FECHA DE RECIBIDO]]-DATE(2023,8,30), "")</f>
        <v/>
      </c>
    </row>
    <row r="3803" spans="1:37" ht="15" customHeight="1">
      <c r="A3803" s="150" t="s">
        <v>4275</v>
      </c>
      <c r="B3803" s="151">
        <v>1271</v>
      </c>
      <c r="C3803" s="126" t="s">
        <v>2916</v>
      </c>
      <c r="D3803">
        <v>2507</v>
      </c>
      <c r="E3803" s="126" t="s">
        <v>2001</v>
      </c>
      <c r="F3803" s="122" t="s">
        <v>1607</v>
      </c>
      <c r="G3803" s="122" t="s">
        <v>134</v>
      </c>
      <c r="H3803">
        <v>23</v>
      </c>
      <c r="I3803" s="122" t="s">
        <v>1546</v>
      </c>
      <c r="J3803" s="307" t="s">
        <v>214</v>
      </c>
      <c r="K3803" s="127" t="s">
        <v>4212</v>
      </c>
      <c r="L3803" s="151" t="s">
        <v>3306</v>
      </c>
      <c r="M3803">
        <v>343</v>
      </c>
      <c r="N3803" s="123">
        <v>1</v>
      </c>
      <c r="O3803">
        <v>2391</v>
      </c>
      <c r="P3803" s="132" t="s">
        <v>77</v>
      </c>
      <c r="Q3803" s="131">
        <v>1026.3599999999999</v>
      </c>
      <c r="R3803" s="131">
        <v>164.21759999999998</v>
      </c>
      <c r="S3803" s="131"/>
      <c r="T3803" s="155"/>
      <c r="U3803" s="131"/>
      <c r="V3803" s="131">
        <v>1190.5775999999998</v>
      </c>
      <c r="W3803">
        <v>353</v>
      </c>
      <c r="X3803" s="151" t="s">
        <v>2035</v>
      </c>
      <c r="Y3803" s="135" t="s">
        <v>55</v>
      </c>
      <c r="Z3803" s="307">
        <v>254</v>
      </c>
      <c r="AB3803" t="str">
        <f>IF(Table1[[#This Row],[TIPO2]]="costo", VLOOKUP(Table1[[#This Row],[PARTIDA PRESUPUESTAL]],'Cost Report'!G:G,1,0),"Balance")</f>
        <v>3683-171</v>
      </c>
      <c r="AC3803" s="118"/>
      <c r="AD3803" s="159">
        <f>+Table1[[#This Row],[SUBTOTAL]]+Table1[[#This Row],[IVA]]-Table1[[#This Row],[RET IVA]]-Table1[[#This Row],[RET ISR]]-Table1[[#This Row],[TOTAL]]</f>
        <v>0</v>
      </c>
      <c r="AE3803" s="150"/>
      <c r="AF3803" s="151"/>
      <c r="AG3803" s="126"/>
      <c r="AK3803" s="306" t="str">
        <f>IF(ISNUMBER(Table1[[#This Row],[FECHA DE RECIBIDO]]), Table1[[#This Row],[FECHA DE RECIBIDO]]-DATE(2023,8,30), "")</f>
        <v/>
      </c>
    </row>
    <row r="3804" spans="1:37" ht="15" customHeight="1">
      <c r="A3804" s="152" t="s">
        <v>4275</v>
      </c>
      <c r="B3804" s="153">
        <v>1271</v>
      </c>
      <c r="C3804" s="126" t="s">
        <v>2907</v>
      </c>
      <c r="D3804">
        <v>2507</v>
      </c>
      <c r="E3804" s="126" t="s">
        <v>2001</v>
      </c>
      <c r="F3804" s="125" t="s">
        <v>1607</v>
      </c>
      <c r="G3804" s="125" t="s">
        <v>134</v>
      </c>
      <c r="H3804">
        <v>23</v>
      </c>
      <c r="I3804" s="125" t="s">
        <v>1546</v>
      </c>
      <c r="J3804" s="308" t="s">
        <v>214</v>
      </c>
      <c r="K3804" s="127" t="s">
        <v>4212</v>
      </c>
      <c r="L3804" s="153" t="s">
        <v>3306</v>
      </c>
      <c r="M3804">
        <v>343</v>
      </c>
      <c r="N3804" s="123">
        <v>1</v>
      </c>
      <c r="O3804">
        <v>2391</v>
      </c>
      <c r="P3804" s="132" t="s">
        <v>77</v>
      </c>
      <c r="Q3804" s="132">
        <v>563.49</v>
      </c>
      <c r="R3804" s="132">
        <v>90.1584</v>
      </c>
      <c r="S3804" s="132"/>
      <c r="T3804" s="156"/>
      <c r="U3804" s="132"/>
      <c r="V3804" s="132">
        <v>653.64840000000004</v>
      </c>
      <c r="W3804">
        <v>353</v>
      </c>
      <c r="X3804" s="153" t="s">
        <v>2035</v>
      </c>
      <c r="Y3804" s="124" t="s">
        <v>55</v>
      </c>
      <c r="Z3804" s="308">
        <v>254</v>
      </c>
      <c r="AB3804" t="str">
        <f>IF(Table1[[#This Row],[TIPO2]]="costo", VLOOKUP(Table1[[#This Row],[PARTIDA PRESUPUESTAL]],'Cost Report'!G:G,1,0),"Balance")</f>
        <v>3683-154</v>
      </c>
      <c r="AC3804" s="118"/>
      <c r="AD3804" s="159">
        <f>+Table1[[#This Row],[SUBTOTAL]]+Table1[[#This Row],[IVA]]-Table1[[#This Row],[RET IVA]]-Table1[[#This Row],[RET ISR]]-Table1[[#This Row],[TOTAL]]</f>
        <v>0</v>
      </c>
      <c r="AE3804" s="152"/>
      <c r="AF3804" s="153"/>
      <c r="AG3804" s="126"/>
      <c r="AK3804" s="306" t="str">
        <f>IF(ISNUMBER(Table1[[#This Row],[FECHA DE RECIBIDO]]), Table1[[#This Row],[FECHA DE RECIBIDO]]-DATE(2023,8,30), "")</f>
        <v/>
      </c>
    </row>
    <row r="3805" spans="1:37" ht="15" customHeight="1">
      <c r="A3805" s="150"/>
      <c r="B3805" s="151">
        <v>1272</v>
      </c>
      <c r="C3805" s="126" t="s">
        <v>2864</v>
      </c>
      <c r="D3805">
        <v>2508</v>
      </c>
      <c r="E3805" s="126" t="s">
        <v>2001</v>
      </c>
      <c r="F3805" s="122" t="s">
        <v>1607</v>
      </c>
      <c r="G3805" s="122" t="s">
        <v>134</v>
      </c>
      <c r="H3805">
        <v>23</v>
      </c>
      <c r="I3805" s="122" t="s">
        <v>1546</v>
      </c>
      <c r="J3805" s="307" t="s">
        <v>214</v>
      </c>
      <c r="K3805" s="127" t="s">
        <v>4212</v>
      </c>
      <c r="L3805" s="151" t="s">
        <v>3306</v>
      </c>
      <c r="M3805">
        <v>343</v>
      </c>
      <c r="N3805" s="123">
        <v>1</v>
      </c>
      <c r="O3805">
        <v>2392</v>
      </c>
      <c r="P3805" s="132" t="s">
        <v>77</v>
      </c>
      <c r="Q3805" s="131">
        <v>2097.33</v>
      </c>
      <c r="R3805" s="131">
        <v>335.57</v>
      </c>
      <c r="S3805" s="131"/>
      <c r="T3805" s="155"/>
      <c r="U3805" s="131"/>
      <c r="V3805" s="131">
        <v>2432.9</v>
      </c>
      <c r="W3805">
        <v>353</v>
      </c>
      <c r="X3805" s="151" t="s">
        <v>2035</v>
      </c>
      <c r="Y3805" s="135" t="s">
        <v>55</v>
      </c>
      <c r="Z3805" s="307">
        <v>254</v>
      </c>
      <c r="AB3805" t="str">
        <f>IF(Table1[[#This Row],[TIPO2]]="costo", VLOOKUP(Table1[[#This Row],[PARTIDA PRESUPUESTAL]],'Cost Report'!G:G,1,0),"Balance")</f>
        <v>3632-003</v>
      </c>
      <c r="AC3805" s="118"/>
      <c r="AD3805" s="159">
        <f>+Table1[[#This Row],[SUBTOTAL]]+Table1[[#This Row],[IVA]]-Table1[[#This Row],[RET IVA]]-Table1[[#This Row],[RET ISR]]-Table1[[#This Row],[TOTAL]]</f>
        <v>0</v>
      </c>
      <c r="AE3805" s="150"/>
      <c r="AF3805" s="151"/>
      <c r="AG3805" s="126"/>
      <c r="AK3805" s="306" t="str">
        <f>IF(ISNUMBER(Table1[[#This Row],[FECHA DE RECIBIDO]]), Table1[[#This Row],[FECHA DE RECIBIDO]]-DATE(2023,8,30), "")</f>
        <v/>
      </c>
    </row>
    <row r="3806" spans="1:37" ht="15" customHeight="1">
      <c r="A3806" s="152"/>
      <c r="B3806" s="153">
        <v>1273</v>
      </c>
      <c r="C3806" s="126" t="s">
        <v>2836</v>
      </c>
      <c r="D3806">
        <v>2509</v>
      </c>
      <c r="E3806" s="126" t="s">
        <v>2001</v>
      </c>
      <c r="F3806" s="125" t="s">
        <v>1607</v>
      </c>
      <c r="G3806" s="125" t="s">
        <v>134</v>
      </c>
      <c r="H3806">
        <v>23</v>
      </c>
      <c r="I3806" s="125" t="s">
        <v>1546</v>
      </c>
      <c r="J3806" s="308" t="s">
        <v>214</v>
      </c>
      <c r="K3806" s="127" t="s">
        <v>4212</v>
      </c>
      <c r="L3806" s="153" t="s">
        <v>3306</v>
      </c>
      <c r="M3806">
        <v>343</v>
      </c>
      <c r="N3806" s="123">
        <v>1</v>
      </c>
      <c r="O3806">
        <v>2393</v>
      </c>
      <c r="P3806" s="132" t="s">
        <v>77</v>
      </c>
      <c r="Q3806" s="132">
        <v>960</v>
      </c>
      <c r="R3806" s="132">
        <v>153.6</v>
      </c>
      <c r="S3806" s="132"/>
      <c r="T3806" s="156"/>
      <c r="U3806" s="132"/>
      <c r="V3806" s="132">
        <v>1113.5999999999999</v>
      </c>
      <c r="W3806">
        <v>353</v>
      </c>
      <c r="X3806" s="153" t="s">
        <v>2035</v>
      </c>
      <c r="Y3806" s="124" t="s">
        <v>55</v>
      </c>
      <c r="Z3806" s="308">
        <v>254</v>
      </c>
      <c r="AB3806" t="str">
        <f>IF(Table1[[#This Row],[TIPO2]]="costo", VLOOKUP(Table1[[#This Row],[PARTIDA PRESUPUESTAL]],'Cost Report'!G:G,1,0),"Balance")</f>
        <v>3442-025</v>
      </c>
      <c r="AC3806" s="118"/>
      <c r="AD3806" s="159">
        <f>+Table1[[#This Row],[SUBTOTAL]]+Table1[[#This Row],[IVA]]-Table1[[#This Row],[RET IVA]]-Table1[[#This Row],[RET ISR]]-Table1[[#This Row],[TOTAL]]</f>
        <v>0</v>
      </c>
      <c r="AE3806" s="152"/>
      <c r="AF3806" s="153"/>
      <c r="AG3806" s="126"/>
      <c r="AK3806" s="306" t="str">
        <f>IF(ISNUMBER(Table1[[#This Row],[FECHA DE RECIBIDO]]), Table1[[#This Row],[FECHA DE RECIBIDO]]-DATE(2023,8,30), "")</f>
        <v/>
      </c>
    </row>
    <row r="3807" spans="1:37" ht="15" customHeight="1">
      <c r="A3807" s="150" t="s">
        <v>4276</v>
      </c>
      <c r="B3807" s="151">
        <v>1274</v>
      </c>
      <c r="C3807" s="126" t="s">
        <v>1728</v>
      </c>
      <c r="D3807">
        <v>2510</v>
      </c>
      <c r="E3807" s="126" t="s">
        <v>1985</v>
      </c>
      <c r="F3807" s="122" t="s">
        <v>1593</v>
      </c>
      <c r="G3807" s="122" t="s">
        <v>109</v>
      </c>
      <c r="H3807">
        <v>265</v>
      </c>
      <c r="I3807" s="122" t="s">
        <v>1546</v>
      </c>
      <c r="J3807" s="307" t="s">
        <v>214</v>
      </c>
      <c r="K3807" s="127" t="s">
        <v>4212</v>
      </c>
      <c r="L3807" s="151" t="s">
        <v>3306</v>
      </c>
      <c r="M3807">
        <v>959</v>
      </c>
      <c r="N3807" s="123">
        <v>1</v>
      </c>
      <c r="O3807">
        <v>2394</v>
      </c>
      <c r="P3807" s="132" t="s">
        <v>77</v>
      </c>
      <c r="Q3807" s="131">
        <v>303467</v>
      </c>
      <c r="R3807" s="131">
        <v>48554.720000000001</v>
      </c>
      <c r="S3807" s="131"/>
      <c r="T3807" s="155"/>
      <c r="U3807" s="131"/>
      <c r="V3807" s="131">
        <v>352021.72</v>
      </c>
      <c r="W3807">
        <v>353</v>
      </c>
      <c r="X3807" s="151" t="s">
        <v>2035</v>
      </c>
      <c r="Y3807" s="135" t="s">
        <v>55</v>
      </c>
      <c r="Z3807" s="307">
        <v>254</v>
      </c>
      <c r="AB3807" t="str">
        <f>IF(Table1[[#This Row],[TIPO2]]="costo", VLOOKUP(Table1[[#This Row],[PARTIDA PRESUPUESTAL]],'Cost Report'!G:G,1,0),"Balance")</f>
        <v>2103-004</v>
      </c>
      <c r="AC3807" s="118"/>
      <c r="AD3807" s="159">
        <f>+Table1[[#This Row],[SUBTOTAL]]+Table1[[#This Row],[IVA]]-Table1[[#This Row],[RET IVA]]-Table1[[#This Row],[RET ISR]]-Table1[[#This Row],[TOTAL]]</f>
        <v>0</v>
      </c>
      <c r="AE3807" s="150"/>
      <c r="AF3807" s="151"/>
      <c r="AG3807" s="126"/>
      <c r="AK3807" s="306" t="str">
        <f>IF(ISNUMBER(Table1[[#This Row],[FECHA DE RECIBIDO]]), Table1[[#This Row],[FECHA DE RECIBIDO]]-DATE(2023,8,30), "")</f>
        <v/>
      </c>
    </row>
    <row r="3808" spans="1:37" ht="15" customHeight="1">
      <c r="A3808" s="152" t="s">
        <v>4178</v>
      </c>
      <c r="B3808" s="153">
        <v>1275</v>
      </c>
      <c r="C3808" s="126" t="s">
        <v>1515</v>
      </c>
      <c r="D3808">
        <v>2511</v>
      </c>
      <c r="E3808" s="126" t="s">
        <v>1608</v>
      </c>
      <c r="F3808" s="125" t="s">
        <v>1607</v>
      </c>
      <c r="G3808" s="125" t="s">
        <v>134</v>
      </c>
      <c r="H3808">
        <v>57</v>
      </c>
      <c r="I3808" s="125" t="s">
        <v>1546</v>
      </c>
      <c r="J3808" s="308" t="s">
        <v>214</v>
      </c>
      <c r="K3808" s="127" t="s">
        <v>4212</v>
      </c>
      <c r="L3808" s="153" t="s">
        <v>1579</v>
      </c>
      <c r="M3808">
        <v>79</v>
      </c>
      <c r="N3808" s="123">
        <v>17</v>
      </c>
      <c r="O3808">
        <v>2395</v>
      </c>
      <c r="P3808" s="132" t="s">
        <v>77</v>
      </c>
      <c r="Q3808" s="132">
        <v>1165.19</v>
      </c>
      <c r="R3808" s="132">
        <v>186.41</v>
      </c>
      <c r="S3808" s="132"/>
      <c r="T3808" s="156"/>
      <c r="U3808" s="132"/>
      <c r="V3808" s="132">
        <v>1351.6000000000001</v>
      </c>
      <c r="W3808"/>
      <c r="X3808" s="153" t="s">
        <v>3451</v>
      </c>
      <c r="Y3808" s="124" t="s">
        <v>55</v>
      </c>
      <c r="Z3808" s="308">
        <v>234</v>
      </c>
      <c r="AB3808" t="str">
        <f>IF(Table1[[#This Row],[TIPO2]]="costo", VLOOKUP(Table1[[#This Row],[PARTIDA PRESUPUESTAL]],'Cost Report'!G:G,1,0),"Balance")</f>
        <v>2494-023</v>
      </c>
      <c r="AC3808" s="118"/>
      <c r="AD3808" s="159">
        <f>+Table1[[#This Row],[SUBTOTAL]]+Table1[[#This Row],[IVA]]-Table1[[#This Row],[RET IVA]]-Table1[[#This Row],[RET ISR]]-Table1[[#This Row],[TOTAL]]</f>
        <v>0</v>
      </c>
      <c r="AE3808" s="152"/>
      <c r="AF3808" s="153"/>
      <c r="AG3808" s="126" t="s">
        <v>3420</v>
      </c>
      <c r="AK3808" s="306" t="str">
        <f>IF(ISNUMBER(Table1[[#This Row],[FECHA DE RECIBIDO]]), Table1[[#This Row],[FECHA DE RECIBIDO]]-DATE(2023,8,30), "")</f>
        <v/>
      </c>
    </row>
    <row r="3809" spans="1:37" ht="15" customHeight="1">
      <c r="A3809" s="150" t="s">
        <v>4178</v>
      </c>
      <c r="B3809" s="151">
        <v>1275</v>
      </c>
      <c r="C3809" s="126" t="s">
        <v>1515</v>
      </c>
      <c r="D3809">
        <v>2512</v>
      </c>
      <c r="E3809" s="126" t="s">
        <v>1608</v>
      </c>
      <c r="F3809" s="122" t="s">
        <v>1607</v>
      </c>
      <c r="G3809" s="122" t="s">
        <v>134</v>
      </c>
      <c r="H3809">
        <v>57</v>
      </c>
      <c r="I3809" s="122" t="s">
        <v>1546</v>
      </c>
      <c r="J3809" s="307" t="s">
        <v>214</v>
      </c>
      <c r="K3809" s="127" t="s">
        <v>4212</v>
      </c>
      <c r="L3809" s="151" t="s">
        <v>1579</v>
      </c>
      <c r="M3809">
        <v>79</v>
      </c>
      <c r="N3809" s="123">
        <v>17</v>
      </c>
      <c r="O3809">
        <v>2396</v>
      </c>
      <c r="P3809" s="132" t="s">
        <v>77</v>
      </c>
      <c r="Q3809" s="131">
        <v>701.97</v>
      </c>
      <c r="R3809" s="131">
        <v>112.33</v>
      </c>
      <c r="S3809" s="131"/>
      <c r="T3809" s="155"/>
      <c r="U3809" s="131"/>
      <c r="V3809" s="131">
        <v>814.30000000000007</v>
      </c>
      <c r="W3809"/>
      <c r="X3809" s="151" t="s">
        <v>3451</v>
      </c>
      <c r="Y3809" s="135" t="s">
        <v>55</v>
      </c>
      <c r="Z3809" s="307">
        <v>233</v>
      </c>
      <c r="AB3809" t="str">
        <f>IF(Table1[[#This Row],[TIPO2]]="costo", VLOOKUP(Table1[[#This Row],[PARTIDA PRESUPUESTAL]],'Cost Report'!G:G,1,0),"Balance")</f>
        <v>2494-023</v>
      </c>
      <c r="AC3809" s="118"/>
      <c r="AD3809" s="159">
        <f>+Table1[[#This Row],[SUBTOTAL]]+Table1[[#This Row],[IVA]]-Table1[[#This Row],[RET IVA]]-Table1[[#This Row],[RET ISR]]-Table1[[#This Row],[TOTAL]]</f>
        <v>0</v>
      </c>
      <c r="AE3809" s="150"/>
      <c r="AF3809" s="151"/>
      <c r="AG3809" s="126" t="s">
        <v>3420</v>
      </c>
      <c r="AK3809" s="306" t="str">
        <f>IF(ISNUMBER(Table1[[#This Row],[FECHA DE RECIBIDO]]), Table1[[#This Row],[FECHA DE RECIBIDO]]-DATE(2023,8,30), "")</f>
        <v/>
      </c>
    </row>
    <row r="3810" spans="1:37" ht="15" customHeight="1">
      <c r="A3810" s="152" t="s">
        <v>4178</v>
      </c>
      <c r="B3810" s="153">
        <v>1275</v>
      </c>
      <c r="C3810" s="126" t="s">
        <v>2455</v>
      </c>
      <c r="D3810">
        <v>689</v>
      </c>
      <c r="E3810" s="126"/>
      <c r="F3810" s="125"/>
      <c r="G3810" s="125"/>
      <c r="H3810"/>
      <c r="I3810" s="125"/>
      <c r="J3810" s="308" t="s">
        <v>214</v>
      </c>
      <c r="K3810" s="127" t="s">
        <v>4212</v>
      </c>
      <c r="L3810" s="153" t="s">
        <v>1579</v>
      </c>
      <c r="M3810">
        <v>69</v>
      </c>
      <c r="N3810" s="123">
        <v>17</v>
      </c>
      <c r="O3810">
        <v>2397</v>
      </c>
      <c r="P3810" s="132" t="s">
        <v>77</v>
      </c>
      <c r="Q3810" s="132">
        <v>100</v>
      </c>
      <c r="R3810" s="132"/>
      <c r="S3810" s="132"/>
      <c r="T3810" s="156"/>
      <c r="U3810" s="132"/>
      <c r="V3810" s="132">
        <v>100</v>
      </c>
      <c r="W3810"/>
      <c r="X3810" s="153" t="s">
        <v>3451</v>
      </c>
      <c r="Y3810" s="124" t="s">
        <v>55</v>
      </c>
      <c r="Z3810" s="308">
        <v>233</v>
      </c>
      <c r="AB3810" t="str">
        <f>IF(Table1[[#This Row],[TIPO2]]="costo", VLOOKUP(Table1[[#This Row],[PARTIDA PRESUPUESTAL]],'Cost Report'!G:G,1,0),"Balance")</f>
        <v>2285-003</v>
      </c>
      <c r="AC3810" s="118"/>
      <c r="AD3810" s="159">
        <f>+Table1[[#This Row],[SUBTOTAL]]+Table1[[#This Row],[IVA]]-Table1[[#This Row],[RET IVA]]-Table1[[#This Row],[RET ISR]]-Table1[[#This Row],[TOTAL]]</f>
        <v>0</v>
      </c>
      <c r="AE3810" s="152"/>
      <c r="AF3810" s="153"/>
      <c r="AG3810" s="126" t="s">
        <v>3420</v>
      </c>
      <c r="AK3810" s="306" t="str">
        <f>IF(ISNUMBER(Table1[[#This Row],[FECHA DE RECIBIDO]]), Table1[[#This Row],[FECHA DE RECIBIDO]]-DATE(2023,8,30), "")</f>
        <v/>
      </c>
    </row>
    <row r="3811" spans="1:37" ht="15" customHeight="1">
      <c r="A3811" s="150" t="s">
        <v>4277</v>
      </c>
      <c r="B3811" s="151">
        <v>1276</v>
      </c>
      <c r="C3811" s="126" t="s">
        <v>2566</v>
      </c>
      <c r="D3811">
        <v>2513</v>
      </c>
      <c r="E3811" s="126" t="s">
        <v>3664</v>
      </c>
      <c r="F3811" s="122" t="s">
        <v>1589</v>
      </c>
      <c r="G3811" s="122" t="s">
        <v>129</v>
      </c>
      <c r="H3811">
        <v>683</v>
      </c>
      <c r="I3811" s="122" t="s">
        <v>1546</v>
      </c>
      <c r="J3811" s="307" t="s">
        <v>214</v>
      </c>
      <c r="K3811" s="127" t="s">
        <v>4212</v>
      </c>
      <c r="L3811" s="151" t="s">
        <v>1579</v>
      </c>
      <c r="M3811">
        <v>960</v>
      </c>
      <c r="N3811" s="123">
        <v>17</v>
      </c>
      <c r="O3811">
        <v>2398</v>
      </c>
      <c r="P3811" s="132" t="s">
        <v>77</v>
      </c>
      <c r="Q3811" s="131">
        <v>1212.93</v>
      </c>
      <c r="R3811" s="131">
        <v>194.07</v>
      </c>
      <c r="S3811" s="131"/>
      <c r="T3811" s="155"/>
      <c r="U3811" s="131"/>
      <c r="V3811" s="131">
        <v>1407</v>
      </c>
      <c r="W3811"/>
      <c r="X3811" s="151" t="s">
        <v>3451</v>
      </c>
      <c r="Y3811" s="135" t="s">
        <v>55</v>
      </c>
      <c r="Z3811" s="307">
        <v>237</v>
      </c>
      <c r="AB3811" t="str">
        <f>IF(Table1[[#This Row],[TIPO2]]="costo", VLOOKUP(Table1[[#This Row],[PARTIDA PRESUPUESTAL]],'Cost Report'!G:G,1,0),"Balance")</f>
        <v>2594-003</v>
      </c>
      <c r="AC3811" s="118"/>
      <c r="AD3811" s="159">
        <f>+Table1[[#This Row],[SUBTOTAL]]+Table1[[#This Row],[IVA]]-Table1[[#This Row],[RET IVA]]-Table1[[#This Row],[RET ISR]]-Table1[[#This Row],[TOTAL]]</f>
        <v>0</v>
      </c>
      <c r="AE3811" s="150"/>
      <c r="AF3811" s="151"/>
      <c r="AG3811" s="126" t="s">
        <v>3420</v>
      </c>
      <c r="AK3811" s="306" t="str">
        <f>IF(ISNUMBER(Table1[[#This Row],[FECHA DE RECIBIDO]]), Table1[[#This Row],[FECHA DE RECIBIDO]]-DATE(2023,8,30), "")</f>
        <v/>
      </c>
    </row>
    <row r="3812" spans="1:37" ht="15" customHeight="1">
      <c r="A3812" s="152" t="s">
        <v>4277</v>
      </c>
      <c r="B3812" s="153">
        <v>1276</v>
      </c>
      <c r="C3812" s="126" t="s">
        <v>610</v>
      </c>
      <c r="D3812">
        <v>2514</v>
      </c>
      <c r="E3812" s="126" t="s">
        <v>1614</v>
      </c>
      <c r="F3812" s="125" t="s">
        <v>1607</v>
      </c>
      <c r="G3812" s="125" t="s">
        <v>134</v>
      </c>
      <c r="H3812">
        <v>172</v>
      </c>
      <c r="I3812" s="125" t="s">
        <v>1546</v>
      </c>
      <c r="J3812" s="308" t="s">
        <v>214</v>
      </c>
      <c r="K3812" s="127" t="s">
        <v>4212</v>
      </c>
      <c r="L3812" s="153" t="s">
        <v>1579</v>
      </c>
      <c r="M3812">
        <v>229</v>
      </c>
      <c r="N3812" s="123">
        <v>17</v>
      </c>
      <c r="O3812">
        <v>2399</v>
      </c>
      <c r="P3812" s="132" t="s">
        <v>77</v>
      </c>
      <c r="Q3812" s="132">
        <v>264.88</v>
      </c>
      <c r="R3812" s="132">
        <v>42.38</v>
      </c>
      <c r="S3812" s="132"/>
      <c r="T3812" s="156"/>
      <c r="U3812" s="132"/>
      <c r="V3812" s="132">
        <v>307.26</v>
      </c>
      <c r="W3812"/>
      <c r="X3812" s="153" t="s">
        <v>3451</v>
      </c>
      <c r="Y3812" s="124" t="s">
        <v>55</v>
      </c>
      <c r="Z3812" s="308">
        <v>239</v>
      </c>
      <c r="AB3812" t="str">
        <f>IF(Table1[[#This Row],[TIPO2]]="costo", VLOOKUP(Table1[[#This Row],[PARTIDA PRESUPUESTAL]],'Cost Report'!G:G,1,0),"Balance")</f>
        <v>2485-003</v>
      </c>
      <c r="AC3812" s="118"/>
      <c r="AD3812" s="159">
        <f>+Table1[[#This Row],[SUBTOTAL]]+Table1[[#This Row],[IVA]]-Table1[[#This Row],[RET IVA]]-Table1[[#This Row],[RET ISR]]-Table1[[#This Row],[TOTAL]]</f>
        <v>0</v>
      </c>
      <c r="AE3812" s="152"/>
      <c r="AF3812" s="153"/>
      <c r="AG3812" s="126" t="s">
        <v>3420</v>
      </c>
      <c r="AK3812" s="306" t="str">
        <f>IF(ISNUMBER(Table1[[#This Row],[FECHA DE RECIBIDO]]), Table1[[#This Row],[FECHA DE RECIBIDO]]-DATE(2023,8,30), "")</f>
        <v/>
      </c>
    </row>
    <row r="3813" spans="1:37" ht="15" customHeight="1">
      <c r="A3813" s="150" t="s">
        <v>4277</v>
      </c>
      <c r="B3813" s="151">
        <v>1276</v>
      </c>
      <c r="C3813" s="126" t="s">
        <v>1517</v>
      </c>
      <c r="D3813">
        <v>2515</v>
      </c>
      <c r="E3813" s="126" t="s">
        <v>3352</v>
      </c>
      <c r="F3813" s="122" t="s">
        <v>1607</v>
      </c>
      <c r="G3813" s="122" t="s">
        <v>134</v>
      </c>
      <c r="H3813">
        <v>569</v>
      </c>
      <c r="I3813" s="122" t="s">
        <v>1546</v>
      </c>
      <c r="J3813" s="307" t="s">
        <v>214</v>
      </c>
      <c r="K3813" s="127" t="s">
        <v>4212</v>
      </c>
      <c r="L3813" s="151" t="s">
        <v>1579</v>
      </c>
      <c r="M3813">
        <v>798</v>
      </c>
      <c r="N3813" s="123">
        <v>17</v>
      </c>
      <c r="O3813">
        <v>2400</v>
      </c>
      <c r="P3813" s="132" t="s">
        <v>77</v>
      </c>
      <c r="Q3813" s="131">
        <v>778.8</v>
      </c>
      <c r="R3813" s="131">
        <v>124.61</v>
      </c>
      <c r="S3813" s="131"/>
      <c r="T3813" s="155"/>
      <c r="U3813" s="131"/>
      <c r="V3813" s="131">
        <v>903.41</v>
      </c>
      <c r="W3813"/>
      <c r="X3813" s="151" t="s">
        <v>3451</v>
      </c>
      <c r="Y3813" s="135" t="s">
        <v>55</v>
      </c>
      <c r="Z3813" s="307">
        <v>244</v>
      </c>
      <c r="AB3813" t="str">
        <f>IF(Table1[[#This Row],[TIPO2]]="costo", VLOOKUP(Table1[[#This Row],[PARTIDA PRESUPUESTAL]],'Cost Report'!G:G,1,0),"Balance")</f>
        <v>2494-027</v>
      </c>
      <c r="AC3813" s="118"/>
      <c r="AD3813" s="159">
        <f>+Table1[[#This Row],[SUBTOTAL]]+Table1[[#This Row],[IVA]]-Table1[[#This Row],[RET IVA]]-Table1[[#This Row],[RET ISR]]-Table1[[#This Row],[TOTAL]]</f>
        <v>0</v>
      </c>
      <c r="AE3813" s="150"/>
      <c r="AF3813" s="151"/>
      <c r="AG3813" s="126" t="s">
        <v>3420</v>
      </c>
      <c r="AK3813" s="306" t="str">
        <f>IF(ISNUMBER(Table1[[#This Row],[FECHA DE RECIBIDO]]), Table1[[#This Row],[FECHA DE RECIBIDO]]-DATE(2023,8,30), "")</f>
        <v/>
      </c>
    </row>
    <row r="3814" spans="1:37" ht="15" customHeight="1">
      <c r="A3814" s="152" t="s">
        <v>4277</v>
      </c>
      <c r="B3814" s="153">
        <v>1276</v>
      </c>
      <c r="C3814" s="126" t="s">
        <v>2546</v>
      </c>
      <c r="D3814">
        <v>2516</v>
      </c>
      <c r="E3814" s="126" t="s">
        <v>3283</v>
      </c>
      <c r="F3814" s="125" t="s">
        <v>1607</v>
      </c>
      <c r="G3814" s="125" t="s">
        <v>134</v>
      </c>
      <c r="H3814">
        <v>684</v>
      </c>
      <c r="I3814" s="125" t="s">
        <v>1546</v>
      </c>
      <c r="J3814" s="308" t="s">
        <v>214</v>
      </c>
      <c r="K3814" s="127" t="s">
        <v>4212</v>
      </c>
      <c r="L3814" s="153" t="s">
        <v>1579</v>
      </c>
      <c r="M3814">
        <v>961</v>
      </c>
      <c r="N3814" s="123">
        <v>17</v>
      </c>
      <c r="O3814">
        <v>2401</v>
      </c>
      <c r="P3814" s="132" t="s">
        <v>77</v>
      </c>
      <c r="Q3814" s="132">
        <v>325</v>
      </c>
      <c r="R3814" s="132">
        <v>52</v>
      </c>
      <c r="S3814" s="132"/>
      <c r="T3814" s="156"/>
      <c r="U3814" s="132"/>
      <c r="V3814" s="132">
        <v>377</v>
      </c>
      <c r="W3814"/>
      <c r="X3814" s="153" t="s">
        <v>3451</v>
      </c>
      <c r="Y3814" s="124" t="s">
        <v>55</v>
      </c>
      <c r="Z3814" s="308">
        <v>241</v>
      </c>
      <c r="AB3814" t="str">
        <f>IF(Table1[[#This Row],[TIPO2]]="costo", VLOOKUP(Table1[[#This Row],[PARTIDA PRESUPUESTAL]],'Cost Report'!G:G,1,0),"Balance")</f>
        <v>2494-071</v>
      </c>
      <c r="AC3814" s="118"/>
      <c r="AD3814" s="159">
        <f>+Table1[[#This Row],[SUBTOTAL]]+Table1[[#This Row],[IVA]]-Table1[[#This Row],[RET IVA]]-Table1[[#This Row],[RET ISR]]-Table1[[#This Row],[TOTAL]]</f>
        <v>0</v>
      </c>
      <c r="AE3814" s="152"/>
      <c r="AF3814" s="153"/>
      <c r="AG3814" s="126" t="s">
        <v>3420</v>
      </c>
      <c r="AK3814" s="306" t="str">
        <f>IF(ISNUMBER(Table1[[#This Row],[FECHA DE RECIBIDO]]), Table1[[#This Row],[FECHA DE RECIBIDO]]-DATE(2023,8,30), "")</f>
        <v/>
      </c>
    </row>
    <row r="3815" spans="1:37" ht="15" customHeight="1">
      <c r="A3815" s="150" t="s">
        <v>4277</v>
      </c>
      <c r="B3815" s="151">
        <v>1276</v>
      </c>
      <c r="C3815" s="126" t="s">
        <v>2546</v>
      </c>
      <c r="D3815">
        <v>2517</v>
      </c>
      <c r="E3815" s="126" t="s">
        <v>1603</v>
      </c>
      <c r="F3815" s="122" t="s">
        <v>1607</v>
      </c>
      <c r="G3815" s="122" t="s">
        <v>134</v>
      </c>
      <c r="H3815">
        <v>274</v>
      </c>
      <c r="I3815" s="122" t="s">
        <v>1546</v>
      </c>
      <c r="J3815" s="307" t="s">
        <v>214</v>
      </c>
      <c r="K3815" s="127" t="s">
        <v>4212</v>
      </c>
      <c r="L3815" s="151" t="s">
        <v>1579</v>
      </c>
      <c r="M3815">
        <v>365</v>
      </c>
      <c r="N3815" s="123">
        <v>17</v>
      </c>
      <c r="O3815">
        <v>2402</v>
      </c>
      <c r="P3815" s="132" t="s">
        <v>77</v>
      </c>
      <c r="Q3815" s="131">
        <v>65.95</v>
      </c>
      <c r="R3815" s="131">
        <v>10.55</v>
      </c>
      <c r="S3815" s="131"/>
      <c r="T3815" s="155"/>
      <c r="U3815" s="131"/>
      <c r="V3815" s="131">
        <v>76.5</v>
      </c>
      <c r="W3815"/>
      <c r="X3815" s="151" t="s">
        <v>3451</v>
      </c>
      <c r="Y3815" s="135" t="s">
        <v>55</v>
      </c>
      <c r="Z3815" s="307">
        <v>241</v>
      </c>
      <c r="AB3815" t="str">
        <f>IF(Table1[[#This Row],[TIPO2]]="costo", VLOOKUP(Table1[[#This Row],[PARTIDA PRESUPUESTAL]],'Cost Report'!G:G,1,0),"Balance")</f>
        <v>2494-071</v>
      </c>
      <c r="AC3815" s="118"/>
      <c r="AD3815" s="159">
        <f>+Table1[[#This Row],[SUBTOTAL]]+Table1[[#This Row],[IVA]]-Table1[[#This Row],[RET IVA]]-Table1[[#This Row],[RET ISR]]-Table1[[#This Row],[TOTAL]]</f>
        <v>0</v>
      </c>
      <c r="AE3815" s="150"/>
      <c r="AF3815" s="151"/>
      <c r="AG3815" s="126" t="s">
        <v>3420</v>
      </c>
      <c r="AK3815" s="306" t="str">
        <f>IF(ISNUMBER(Table1[[#This Row],[FECHA DE RECIBIDO]]), Table1[[#This Row],[FECHA DE RECIBIDO]]-DATE(2023,8,30), "")</f>
        <v/>
      </c>
    </row>
    <row r="3816" spans="1:37" ht="15" customHeight="1">
      <c r="A3816" s="152" t="s">
        <v>4277</v>
      </c>
      <c r="B3816" s="153">
        <v>1276</v>
      </c>
      <c r="C3816" s="126" t="s">
        <v>2534</v>
      </c>
      <c r="D3816">
        <v>2518</v>
      </c>
      <c r="E3816" s="126" t="s">
        <v>3373</v>
      </c>
      <c r="F3816" s="125" t="s">
        <v>1607</v>
      </c>
      <c r="G3816" s="125" t="s">
        <v>134</v>
      </c>
      <c r="H3816">
        <v>249</v>
      </c>
      <c r="I3816" s="125" t="s">
        <v>1546</v>
      </c>
      <c r="J3816" s="308" t="s">
        <v>214</v>
      </c>
      <c r="K3816" s="127" t="s">
        <v>4212</v>
      </c>
      <c r="L3816" s="153" t="s">
        <v>1579</v>
      </c>
      <c r="M3816">
        <v>326</v>
      </c>
      <c r="N3816" s="123">
        <v>17</v>
      </c>
      <c r="O3816">
        <v>2403</v>
      </c>
      <c r="P3816" s="132" t="s">
        <v>77</v>
      </c>
      <c r="Q3816" s="132">
        <v>2658.71</v>
      </c>
      <c r="R3816" s="132">
        <v>425.39</v>
      </c>
      <c r="S3816" s="132"/>
      <c r="T3816" s="156"/>
      <c r="U3816" s="132"/>
      <c r="V3816" s="132">
        <v>3084.1</v>
      </c>
      <c r="W3816"/>
      <c r="X3816" s="153" t="s">
        <v>3451</v>
      </c>
      <c r="Y3816" s="124" t="s">
        <v>55</v>
      </c>
      <c r="Z3816" s="308">
        <v>244</v>
      </c>
      <c r="AB3816" t="str">
        <f>IF(Table1[[#This Row],[TIPO2]]="costo", VLOOKUP(Table1[[#This Row],[PARTIDA PRESUPUESTAL]],'Cost Report'!G:G,1,0),"Balance")</f>
        <v>2494-047</v>
      </c>
      <c r="AC3816" s="118"/>
      <c r="AD3816" s="159">
        <f>+Table1[[#This Row],[SUBTOTAL]]+Table1[[#This Row],[IVA]]-Table1[[#This Row],[RET IVA]]-Table1[[#This Row],[RET ISR]]-Table1[[#This Row],[TOTAL]]</f>
        <v>0</v>
      </c>
      <c r="AE3816" s="152"/>
      <c r="AF3816" s="153"/>
      <c r="AG3816" s="126" t="s">
        <v>3420</v>
      </c>
      <c r="AK3816" s="306" t="str">
        <f>IF(ISNUMBER(Table1[[#This Row],[FECHA DE RECIBIDO]]), Table1[[#This Row],[FECHA DE RECIBIDO]]-DATE(2023,8,30), "")</f>
        <v/>
      </c>
    </row>
    <row r="3817" spans="1:37" ht="15" customHeight="1">
      <c r="A3817" s="150" t="s">
        <v>4277</v>
      </c>
      <c r="B3817" s="151">
        <v>1276</v>
      </c>
      <c r="C3817" s="126" t="s">
        <v>2542</v>
      </c>
      <c r="D3817">
        <v>2519</v>
      </c>
      <c r="E3817" s="126" t="s">
        <v>3373</v>
      </c>
      <c r="F3817" s="122" t="s">
        <v>1607</v>
      </c>
      <c r="G3817" s="122" t="s">
        <v>134</v>
      </c>
      <c r="H3817">
        <v>249</v>
      </c>
      <c r="I3817" s="122" t="s">
        <v>1546</v>
      </c>
      <c r="J3817" s="307" t="s">
        <v>214</v>
      </c>
      <c r="K3817" s="127" t="s">
        <v>4212</v>
      </c>
      <c r="L3817" s="151" t="s">
        <v>1579</v>
      </c>
      <c r="M3817">
        <v>326</v>
      </c>
      <c r="N3817" s="123">
        <v>17</v>
      </c>
      <c r="O3817">
        <v>2404</v>
      </c>
      <c r="P3817" s="132" t="s">
        <v>77</v>
      </c>
      <c r="Q3817" s="131">
        <v>1822.41</v>
      </c>
      <c r="R3817" s="131">
        <v>291.58999999999997</v>
      </c>
      <c r="S3817" s="131"/>
      <c r="T3817" s="155"/>
      <c r="U3817" s="131"/>
      <c r="V3817" s="131">
        <v>2114</v>
      </c>
      <c r="W3817"/>
      <c r="X3817" s="151" t="s">
        <v>3451</v>
      </c>
      <c r="Y3817" s="135" t="s">
        <v>55</v>
      </c>
      <c r="Z3817" s="307">
        <v>244</v>
      </c>
      <c r="AB3817" t="str">
        <f>IF(Table1[[#This Row],[TIPO2]]="costo", VLOOKUP(Table1[[#This Row],[PARTIDA PRESUPUESTAL]],'Cost Report'!G:G,1,0),"Balance")</f>
        <v>2494-063</v>
      </c>
      <c r="AC3817" s="118"/>
      <c r="AD3817" s="159">
        <f>+Table1[[#This Row],[SUBTOTAL]]+Table1[[#This Row],[IVA]]-Table1[[#This Row],[RET IVA]]-Table1[[#This Row],[RET ISR]]-Table1[[#This Row],[TOTAL]]</f>
        <v>0</v>
      </c>
      <c r="AE3817" s="150"/>
      <c r="AF3817" s="151"/>
      <c r="AG3817" s="126" t="s">
        <v>3420</v>
      </c>
      <c r="AK3817" s="306" t="str">
        <f>IF(ISNUMBER(Table1[[#This Row],[FECHA DE RECIBIDO]]), Table1[[#This Row],[FECHA DE RECIBIDO]]-DATE(2023,8,30), "")</f>
        <v/>
      </c>
    </row>
    <row r="3818" spans="1:37" ht="15" customHeight="1">
      <c r="A3818" s="152" t="s">
        <v>4277</v>
      </c>
      <c r="B3818" s="153">
        <v>1276</v>
      </c>
      <c r="C3818" s="126" t="s">
        <v>2542</v>
      </c>
      <c r="D3818">
        <v>689</v>
      </c>
      <c r="E3818" s="126"/>
      <c r="F3818" s="125"/>
      <c r="G3818" s="125"/>
      <c r="H3818"/>
      <c r="I3818" s="125"/>
      <c r="J3818" s="308" t="s">
        <v>214</v>
      </c>
      <c r="K3818" s="127" t="s">
        <v>4212</v>
      </c>
      <c r="L3818" s="153" t="s">
        <v>1579</v>
      </c>
      <c r="M3818">
        <v>122</v>
      </c>
      <c r="N3818" s="123">
        <v>17</v>
      </c>
      <c r="O3818">
        <v>2405</v>
      </c>
      <c r="P3818" s="132" t="s">
        <v>77</v>
      </c>
      <c r="Q3818" s="132">
        <v>149.5</v>
      </c>
      <c r="R3818" s="132"/>
      <c r="S3818" s="132"/>
      <c r="T3818" s="156"/>
      <c r="U3818" s="132"/>
      <c r="V3818" s="132">
        <v>149.5</v>
      </c>
      <c r="W3818"/>
      <c r="X3818" s="153" t="s">
        <v>3451</v>
      </c>
      <c r="Y3818" s="124" t="s">
        <v>55</v>
      </c>
      <c r="Z3818" s="308">
        <v>243</v>
      </c>
      <c r="AB3818" t="str">
        <f>IF(Table1[[#This Row],[TIPO2]]="costo", VLOOKUP(Table1[[#This Row],[PARTIDA PRESUPUESTAL]],'Cost Report'!G:G,1,0),"Balance")</f>
        <v>2494-063</v>
      </c>
      <c r="AC3818" s="118"/>
      <c r="AD3818" s="159">
        <f>+Table1[[#This Row],[SUBTOTAL]]+Table1[[#This Row],[IVA]]-Table1[[#This Row],[RET IVA]]-Table1[[#This Row],[RET ISR]]-Table1[[#This Row],[TOTAL]]</f>
        <v>0</v>
      </c>
      <c r="AE3818" s="152"/>
      <c r="AF3818" s="153"/>
      <c r="AG3818" s="126" t="s">
        <v>3420</v>
      </c>
      <c r="AK3818" s="306" t="str">
        <f>IF(ISNUMBER(Table1[[#This Row],[FECHA DE RECIBIDO]]), Table1[[#This Row],[FECHA DE RECIBIDO]]-DATE(2023,8,30), "")</f>
        <v/>
      </c>
    </row>
    <row r="3819" spans="1:37" ht="15" customHeight="1">
      <c r="A3819" s="150" t="s">
        <v>4278</v>
      </c>
      <c r="B3819" s="151">
        <v>1277</v>
      </c>
      <c r="C3819" s="126" t="s">
        <v>1505</v>
      </c>
      <c r="D3819">
        <v>2520</v>
      </c>
      <c r="E3819" s="126" t="s">
        <v>3133</v>
      </c>
      <c r="F3819" s="122" t="s">
        <v>1589</v>
      </c>
      <c r="G3819" s="122" t="s">
        <v>129</v>
      </c>
      <c r="H3819">
        <v>685</v>
      </c>
      <c r="I3819" s="122" t="s">
        <v>1546</v>
      </c>
      <c r="J3819" s="307" t="s">
        <v>214</v>
      </c>
      <c r="K3819" s="127" t="s">
        <v>4212</v>
      </c>
      <c r="L3819" s="151" t="s">
        <v>1579</v>
      </c>
      <c r="M3819">
        <v>962</v>
      </c>
      <c r="N3819" s="123">
        <v>17</v>
      </c>
      <c r="O3819">
        <v>2406</v>
      </c>
      <c r="P3819" s="132" t="s">
        <v>77</v>
      </c>
      <c r="Q3819" s="131">
        <v>1300</v>
      </c>
      <c r="R3819" s="131">
        <v>208</v>
      </c>
      <c r="S3819" s="131"/>
      <c r="T3819" s="155"/>
      <c r="U3819" s="131"/>
      <c r="V3819" s="131">
        <v>1508</v>
      </c>
      <c r="W3819"/>
      <c r="X3819" s="151" t="s">
        <v>3451</v>
      </c>
      <c r="Y3819" s="135" t="s">
        <v>55</v>
      </c>
      <c r="Z3819" s="307">
        <v>241</v>
      </c>
      <c r="AB3819" t="str">
        <f>IF(Table1[[#This Row],[TIPO2]]="costo", VLOOKUP(Table1[[#This Row],[PARTIDA PRESUPUESTAL]],'Cost Report'!G:G,1,0),"Balance")</f>
        <v>2494-003</v>
      </c>
      <c r="AC3819" s="118"/>
      <c r="AD3819" s="159">
        <f>+Table1[[#This Row],[SUBTOTAL]]+Table1[[#This Row],[IVA]]-Table1[[#This Row],[RET IVA]]-Table1[[#This Row],[RET ISR]]-Table1[[#This Row],[TOTAL]]</f>
        <v>0</v>
      </c>
      <c r="AE3819" s="150"/>
      <c r="AF3819" s="151"/>
      <c r="AG3819" s="126" t="s">
        <v>3420</v>
      </c>
      <c r="AK3819" s="306" t="str">
        <f>IF(ISNUMBER(Table1[[#This Row],[FECHA DE RECIBIDO]]), Table1[[#This Row],[FECHA DE RECIBIDO]]-DATE(2023,8,30), "")</f>
        <v/>
      </c>
    </row>
    <row r="3820" spans="1:37" ht="15" customHeight="1">
      <c r="A3820" s="152" t="s">
        <v>4278</v>
      </c>
      <c r="B3820" s="153">
        <v>1277</v>
      </c>
      <c r="C3820" s="126" t="s">
        <v>1505</v>
      </c>
      <c r="D3820">
        <v>2521</v>
      </c>
      <c r="E3820" s="126" t="s">
        <v>3133</v>
      </c>
      <c r="F3820" s="125" t="s">
        <v>1589</v>
      </c>
      <c r="G3820" s="125" t="s">
        <v>129</v>
      </c>
      <c r="H3820">
        <v>685</v>
      </c>
      <c r="I3820" s="125" t="s">
        <v>1546</v>
      </c>
      <c r="J3820" s="308" t="s">
        <v>214</v>
      </c>
      <c r="K3820" s="127" t="s">
        <v>4212</v>
      </c>
      <c r="L3820" s="153" t="s">
        <v>1579</v>
      </c>
      <c r="M3820">
        <v>962</v>
      </c>
      <c r="N3820" s="123">
        <v>17</v>
      </c>
      <c r="O3820">
        <v>2407</v>
      </c>
      <c r="P3820" s="132" t="s">
        <v>77</v>
      </c>
      <c r="Q3820" s="132">
        <v>1100</v>
      </c>
      <c r="R3820" s="132">
        <v>176</v>
      </c>
      <c r="S3820" s="132"/>
      <c r="T3820" s="156"/>
      <c r="U3820" s="132"/>
      <c r="V3820" s="132">
        <v>1276</v>
      </c>
      <c r="W3820"/>
      <c r="X3820" s="153" t="s">
        <v>3451</v>
      </c>
      <c r="Y3820" s="124" t="s">
        <v>55</v>
      </c>
      <c r="Z3820" s="308">
        <v>241</v>
      </c>
      <c r="AB3820" t="str">
        <f>IF(Table1[[#This Row],[TIPO2]]="costo", VLOOKUP(Table1[[#This Row],[PARTIDA PRESUPUESTAL]],'Cost Report'!G:G,1,0),"Balance")</f>
        <v>2494-003</v>
      </c>
      <c r="AC3820" s="118"/>
      <c r="AD3820" s="159">
        <f>+Table1[[#This Row],[SUBTOTAL]]+Table1[[#This Row],[IVA]]-Table1[[#This Row],[RET IVA]]-Table1[[#This Row],[RET ISR]]-Table1[[#This Row],[TOTAL]]</f>
        <v>0</v>
      </c>
      <c r="AE3820" s="152"/>
      <c r="AF3820" s="153"/>
      <c r="AG3820" s="126" t="s">
        <v>3420</v>
      </c>
      <c r="AK3820" s="306" t="str">
        <f>IF(ISNUMBER(Table1[[#This Row],[FECHA DE RECIBIDO]]), Table1[[#This Row],[FECHA DE RECIBIDO]]-DATE(2023,8,30), "")</f>
        <v/>
      </c>
    </row>
    <row r="3821" spans="1:37" ht="15" customHeight="1">
      <c r="A3821" s="150" t="s">
        <v>4278</v>
      </c>
      <c r="B3821" s="151">
        <v>1277</v>
      </c>
      <c r="C3821" s="126" t="s">
        <v>2455</v>
      </c>
      <c r="D3821">
        <v>2522</v>
      </c>
      <c r="E3821" s="126" t="s">
        <v>4279</v>
      </c>
      <c r="F3821" s="122" t="s">
        <v>1384</v>
      </c>
      <c r="G3821" s="122" t="s">
        <v>1625</v>
      </c>
      <c r="H3821">
        <v>686</v>
      </c>
      <c r="I3821" s="122" t="s">
        <v>1546</v>
      </c>
      <c r="J3821" s="307" t="s">
        <v>214</v>
      </c>
      <c r="K3821" s="127" t="s">
        <v>4212</v>
      </c>
      <c r="L3821" s="151" t="s">
        <v>1579</v>
      </c>
      <c r="M3821">
        <v>963</v>
      </c>
      <c r="N3821" s="123">
        <v>17</v>
      </c>
      <c r="O3821">
        <v>2408</v>
      </c>
      <c r="P3821" s="132" t="s">
        <v>77</v>
      </c>
      <c r="Q3821" s="131">
        <v>94.75</v>
      </c>
      <c r="R3821" s="131">
        <v>15.16</v>
      </c>
      <c r="S3821" s="131"/>
      <c r="T3821" s="155"/>
      <c r="U3821" s="131"/>
      <c r="V3821" s="131">
        <v>109.91</v>
      </c>
      <c r="W3821"/>
      <c r="X3821" s="151" t="s">
        <v>3451</v>
      </c>
      <c r="Y3821" s="135" t="s">
        <v>55</v>
      </c>
      <c r="Z3821" s="307">
        <v>226</v>
      </c>
      <c r="AB3821" t="str">
        <f>IF(Table1[[#This Row],[TIPO2]]="costo", VLOOKUP(Table1[[#This Row],[PARTIDA PRESUPUESTAL]],'Cost Report'!G:G,1,0),"Balance")</f>
        <v>2285-003</v>
      </c>
      <c r="AC3821" s="118"/>
      <c r="AD3821" s="159">
        <f>+Table1[[#This Row],[SUBTOTAL]]+Table1[[#This Row],[IVA]]-Table1[[#This Row],[RET IVA]]-Table1[[#This Row],[RET ISR]]-Table1[[#This Row],[TOTAL]]</f>
        <v>0</v>
      </c>
      <c r="AE3821" s="150"/>
      <c r="AF3821" s="151"/>
      <c r="AG3821" s="126" t="s">
        <v>3420</v>
      </c>
      <c r="AK3821" s="306" t="str">
        <f>IF(ISNUMBER(Table1[[#This Row],[FECHA DE RECIBIDO]]), Table1[[#This Row],[FECHA DE RECIBIDO]]-DATE(2023,8,30), "")</f>
        <v/>
      </c>
    </row>
    <row r="3822" spans="1:37" ht="15" customHeight="1">
      <c r="A3822" s="152" t="s">
        <v>4278</v>
      </c>
      <c r="B3822" s="153">
        <v>1277</v>
      </c>
      <c r="C3822" s="126" t="s">
        <v>2455</v>
      </c>
      <c r="D3822">
        <v>2523</v>
      </c>
      <c r="E3822" s="126" t="s">
        <v>4280</v>
      </c>
      <c r="F3822" s="125" t="s">
        <v>1384</v>
      </c>
      <c r="G3822" s="125" t="s">
        <v>1625</v>
      </c>
      <c r="H3822">
        <v>687</v>
      </c>
      <c r="I3822" s="125" t="s">
        <v>1546</v>
      </c>
      <c r="J3822" s="308" t="s">
        <v>214</v>
      </c>
      <c r="K3822" s="127" t="s">
        <v>4212</v>
      </c>
      <c r="L3822" s="153" t="s">
        <v>1579</v>
      </c>
      <c r="M3822">
        <v>964</v>
      </c>
      <c r="N3822" s="123">
        <v>17</v>
      </c>
      <c r="O3822">
        <v>2409</v>
      </c>
      <c r="P3822" s="132" t="s">
        <v>77</v>
      </c>
      <c r="Q3822" s="132">
        <v>94.78</v>
      </c>
      <c r="R3822" s="132">
        <v>15.17</v>
      </c>
      <c r="S3822" s="132"/>
      <c r="T3822" s="156"/>
      <c r="U3822" s="132"/>
      <c r="V3822" s="132">
        <v>109.95</v>
      </c>
      <c r="W3822"/>
      <c r="X3822" s="153" t="s">
        <v>3451</v>
      </c>
      <c r="Y3822" s="124" t="s">
        <v>55</v>
      </c>
      <c r="Z3822" s="308">
        <v>230</v>
      </c>
      <c r="AB3822" t="str">
        <f>IF(Table1[[#This Row],[TIPO2]]="costo", VLOOKUP(Table1[[#This Row],[PARTIDA PRESUPUESTAL]],'Cost Report'!G:G,1,0),"Balance")</f>
        <v>2285-003</v>
      </c>
      <c r="AC3822" s="118"/>
      <c r="AD3822" s="159">
        <f>+Table1[[#This Row],[SUBTOTAL]]+Table1[[#This Row],[IVA]]-Table1[[#This Row],[RET IVA]]-Table1[[#This Row],[RET ISR]]-Table1[[#This Row],[TOTAL]]</f>
        <v>0</v>
      </c>
      <c r="AE3822" s="152"/>
      <c r="AF3822" s="153"/>
      <c r="AG3822" s="126" t="s">
        <v>3420</v>
      </c>
      <c r="AK3822" s="306" t="str">
        <f>IF(ISNUMBER(Table1[[#This Row],[FECHA DE RECIBIDO]]), Table1[[#This Row],[FECHA DE RECIBIDO]]-DATE(2023,8,30), "")</f>
        <v/>
      </c>
    </row>
    <row r="3823" spans="1:37" ht="15" customHeight="1">
      <c r="A3823" s="150" t="s">
        <v>4278</v>
      </c>
      <c r="B3823" s="151">
        <v>1277</v>
      </c>
      <c r="C3823" s="126" t="s">
        <v>2455</v>
      </c>
      <c r="D3823">
        <v>2524</v>
      </c>
      <c r="E3823" s="126" t="s">
        <v>4281</v>
      </c>
      <c r="F3823" s="122" t="s">
        <v>1384</v>
      </c>
      <c r="G3823" s="122" t="s">
        <v>1625</v>
      </c>
      <c r="H3823">
        <v>688</v>
      </c>
      <c r="I3823" s="122" t="s">
        <v>1546</v>
      </c>
      <c r="J3823" s="307" t="s">
        <v>214</v>
      </c>
      <c r="K3823" s="127" t="s">
        <v>4212</v>
      </c>
      <c r="L3823" s="151" t="s">
        <v>1579</v>
      </c>
      <c r="M3823">
        <v>965</v>
      </c>
      <c r="N3823" s="123">
        <v>17</v>
      </c>
      <c r="O3823">
        <v>2410</v>
      </c>
      <c r="P3823" s="132" t="s">
        <v>77</v>
      </c>
      <c r="Q3823" s="131">
        <v>97.62</v>
      </c>
      <c r="R3823" s="131">
        <v>15.62</v>
      </c>
      <c r="S3823" s="131"/>
      <c r="T3823" s="155"/>
      <c r="U3823" s="131"/>
      <c r="V3823" s="131">
        <v>113.24000000000001</v>
      </c>
      <c r="W3823"/>
      <c r="X3823" s="151" t="s">
        <v>3451</v>
      </c>
      <c r="Y3823" s="135" t="s">
        <v>55</v>
      </c>
      <c r="Z3823" s="307">
        <v>231</v>
      </c>
      <c r="AB3823" t="str">
        <f>IF(Table1[[#This Row],[TIPO2]]="costo", VLOOKUP(Table1[[#This Row],[PARTIDA PRESUPUESTAL]],'Cost Report'!G:G,1,0),"Balance")</f>
        <v>2285-003</v>
      </c>
      <c r="AC3823" s="118"/>
      <c r="AD3823" s="159">
        <f>+Table1[[#This Row],[SUBTOTAL]]+Table1[[#This Row],[IVA]]-Table1[[#This Row],[RET IVA]]-Table1[[#This Row],[RET ISR]]-Table1[[#This Row],[TOTAL]]</f>
        <v>0</v>
      </c>
      <c r="AE3823" s="150"/>
      <c r="AF3823" s="151"/>
      <c r="AG3823" s="126" t="s">
        <v>3420</v>
      </c>
      <c r="AK3823" s="306" t="str">
        <f>IF(ISNUMBER(Table1[[#This Row],[FECHA DE RECIBIDO]]), Table1[[#This Row],[FECHA DE RECIBIDO]]-DATE(2023,8,30), "")</f>
        <v/>
      </c>
    </row>
    <row r="3824" spans="1:37" ht="15" customHeight="1">
      <c r="A3824" s="152" t="s">
        <v>4278</v>
      </c>
      <c r="B3824" s="153">
        <v>1277</v>
      </c>
      <c r="C3824" s="126" t="s">
        <v>2455</v>
      </c>
      <c r="D3824">
        <v>2525</v>
      </c>
      <c r="E3824" s="126" t="s">
        <v>3672</v>
      </c>
      <c r="F3824" s="125" t="s">
        <v>1384</v>
      </c>
      <c r="G3824" s="125" t="s">
        <v>1625</v>
      </c>
      <c r="H3824">
        <v>689</v>
      </c>
      <c r="I3824" s="125" t="s">
        <v>1546</v>
      </c>
      <c r="J3824" s="308" t="s">
        <v>214</v>
      </c>
      <c r="K3824" s="127" t="s">
        <v>4212</v>
      </c>
      <c r="L3824" s="153" t="s">
        <v>1579</v>
      </c>
      <c r="M3824">
        <v>966</v>
      </c>
      <c r="N3824" s="123">
        <v>17</v>
      </c>
      <c r="O3824">
        <v>2411</v>
      </c>
      <c r="P3824" s="132" t="s">
        <v>77</v>
      </c>
      <c r="Q3824" s="132">
        <v>10.34</v>
      </c>
      <c r="R3824" s="132">
        <v>1.66</v>
      </c>
      <c r="S3824" s="132"/>
      <c r="T3824" s="156"/>
      <c r="U3824" s="132"/>
      <c r="V3824" s="132">
        <v>12</v>
      </c>
      <c r="W3824"/>
      <c r="X3824" s="153" t="s">
        <v>3451</v>
      </c>
      <c r="Y3824" s="124" t="s">
        <v>55</v>
      </c>
      <c r="Z3824" s="308">
        <v>231</v>
      </c>
      <c r="AB3824" t="str">
        <f>IF(Table1[[#This Row],[TIPO2]]="costo", VLOOKUP(Table1[[#This Row],[PARTIDA PRESUPUESTAL]],'Cost Report'!G:G,1,0),"Balance")</f>
        <v>2285-003</v>
      </c>
      <c r="AC3824" s="118"/>
      <c r="AD3824" s="159">
        <f>+Table1[[#This Row],[SUBTOTAL]]+Table1[[#This Row],[IVA]]-Table1[[#This Row],[RET IVA]]-Table1[[#This Row],[RET ISR]]-Table1[[#This Row],[TOTAL]]</f>
        <v>0</v>
      </c>
      <c r="AE3824" s="152"/>
      <c r="AF3824" s="153"/>
      <c r="AG3824" s="126" t="s">
        <v>3420</v>
      </c>
      <c r="AK3824" s="306" t="str">
        <f>IF(ISNUMBER(Table1[[#This Row],[FECHA DE RECIBIDO]]), Table1[[#This Row],[FECHA DE RECIBIDO]]-DATE(2023,8,30), "")</f>
        <v/>
      </c>
    </row>
    <row r="3825" spans="1:37" ht="15" customHeight="1">
      <c r="A3825" s="150" t="s">
        <v>4278</v>
      </c>
      <c r="B3825" s="151">
        <v>1277</v>
      </c>
      <c r="C3825" s="126" t="s">
        <v>2455</v>
      </c>
      <c r="D3825">
        <v>2526</v>
      </c>
      <c r="E3825" s="126" t="s">
        <v>4282</v>
      </c>
      <c r="F3825" s="122" t="s">
        <v>1384</v>
      </c>
      <c r="G3825" s="122" t="s">
        <v>1625</v>
      </c>
      <c r="H3825">
        <v>690</v>
      </c>
      <c r="I3825" s="122" t="s">
        <v>1546</v>
      </c>
      <c r="J3825" s="307" t="s">
        <v>214</v>
      </c>
      <c r="K3825" s="127" t="s">
        <v>4212</v>
      </c>
      <c r="L3825" s="151" t="s">
        <v>1579</v>
      </c>
      <c r="M3825">
        <v>967</v>
      </c>
      <c r="N3825" s="123">
        <v>17</v>
      </c>
      <c r="O3825">
        <v>2412</v>
      </c>
      <c r="P3825" s="132" t="s">
        <v>77</v>
      </c>
      <c r="Q3825" s="131">
        <v>60.01</v>
      </c>
      <c r="R3825" s="131">
        <v>9.6</v>
      </c>
      <c r="S3825" s="131"/>
      <c r="T3825" s="155"/>
      <c r="U3825" s="131"/>
      <c r="V3825" s="131">
        <v>69.61</v>
      </c>
      <c r="W3825"/>
      <c r="X3825" s="151" t="s">
        <v>3451</v>
      </c>
      <c r="Y3825" s="135" t="s">
        <v>55</v>
      </c>
      <c r="Z3825" s="307">
        <v>231</v>
      </c>
      <c r="AB3825" t="str">
        <f>IF(Table1[[#This Row],[TIPO2]]="costo", VLOOKUP(Table1[[#This Row],[PARTIDA PRESUPUESTAL]],'Cost Report'!G:G,1,0),"Balance")</f>
        <v>2285-003</v>
      </c>
      <c r="AC3825" s="118"/>
      <c r="AD3825" s="159">
        <f>+Table1[[#This Row],[SUBTOTAL]]+Table1[[#This Row],[IVA]]-Table1[[#This Row],[RET IVA]]-Table1[[#This Row],[RET ISR]]-Table1[[#This Row],[TOTAL]]</f>
        <v>0</v>
      </c>
      <c r="AE3825" s="150"/>
      <c r="AF3825" s="151"/>
      <c r="AG3825" s="126" t="s">
        <v>3420</v>
      </c>
      <c r="AK3825" s="306" t="str">
        <f>IF(ISNUMBER(Table1[[#This Row],[FECHA DE RECIBIDO]]), Table1[[#This Row],[FECHA DE RECIBIDO]]-DATE(2023,8,30), "")</f>
        <v/>
      </c>
    </row>
    <row r="3826" spans="1:37" ht="15" customHeight="1">
      <c r="A3826" s="152" t="s">
        <v>4278</v>
      </c>
      <c r="B3826" s="153">
        <v>1277</v>
      </c>
      <c r="C3826" s="126" t="s">
        <v>2455</v>
      </c>
      <c r="D3826">
        <v>2527</v>
      </c>
      <c r="E3826" s="126" t="s">
        <v>4283</v>
      </c>
      <c r="F3826" s="125" t="s">
        <v>1384</v>
      </c>
      <c r="G3826" s="125" t="s">
        <v>1625</v>
      </c>
      <c r="H3826">
        <v>691</v>
      </c>
      <c r="I3826" s="125" t="s">
        <v>1546</v>
      </c>
      <c r="J3826" s="308" t="s">
        <v>214</v>
      </c>
      <c r="K3826" s="127" t="s">
        <v>4212</v>
      </c>
      <c r="L3826" s="153" t="s">
        <v>1579</v>
      </c>
      <c r="M3826">
        <v>968</v>
      </c>
      <c r="N3826" s="123">
        <v>17</v>
      </c>
      <c r="O3826">
        <v>2413</v>
      </c>
      <c r="P3826" s="132" t="s">
        <v>77</v>
      </c>
      <c r="Q3826" s="132">
        <v>94.77</v>
      </c>
      <c r="R3826" s="132">
        <v>15.16</v>
      </c>
      <c r="S3826" s="132"/>
      <c r="T3826" s="156"/>
      <c r="U3826" s="132"/>
      <c r="V3826" s="132">
        <v>109.92999999999999</v>
      </c>
      <c r="W3826"/>
      <c r="X3826" s="153" t="s">
        <v>3451</v>
      </c>
      <c r="Y3826" s="124" t="s">
        <v>55</v>
      </c>
      <c r="Z3826" s="308">
        <v>234</v>
      </c>
      <c r="AB3826" t="str">
        <f>IF(Table1[[#This Row],[TIPO2]]="costo", VLOOKUP(Table1[[#This Row],[PARTIDA PRESUPUESTAL]],'Cost Report'!G:G,1,0),"Balance")</f>
        <v>2285-003</v>
      </c>
      <c r="AC3826" s="118"/>
      <c r="AD3826" s="159">
        <f>+Table1[[#This Row],[SUBTOTAL]]+Table1[[#This Row],[IVA]]-Table1[[#This Row],[RET IVA]]-Table1[[#This Row],[RET ISR]]-Table1[[#This Row],[TOTAL]]</f>
        <v>0</v>
      </c>
      <c r="AE3826" s="152"/>
      <c r="AF3826" s="153"/>
      <c r="AG3826" s="126" t="s">
        <v>3420</v>
      </c>
      <c r="AK3826" s="306" t="str">
        <f>IF(ISNUMBER(Table1[[#This Row],[FECHA DE RECIBIDO]]), Table1[[#This Row],[FECHA DE RECIBIDO]]-DATE(2023,8,30), "")</f>
        <v/>
      </c>
    </row>
    <row r="3827" spans="1:37" ht="15" customHeight="1">
      <c r="A3827" s="150" t="s">
        <v>4278</v>
      </c>
      <c r="B3827" s="151">
        <v>1277</v>
      </c>
      <c r="C3827" s="126" t="s">
        <v>2455</v>
      </c>
      <c r="D3827">
        <v>2528</v>
      </c>
      <c r="E3827" s="126" t="s">
        <v>4203</v>
      </c>
      <c r="F3827" s="122" t="s">
        <v>1384</v>
      </c>
      <c r="G3827" s="122" t="s">
        <v>1625</v>
      </c>
      <c r="H3827">
        <v>692</v>
      </c>
      <c r="I3827" s="122" t="s">
        <v>1546</v>
      </c>
      <c r="J3827" s="307" t="s">
        <v>214</v>
      </c>
      <c r="K3827" s="127" t="s">
        <v>4212</v>
      </c>
      <c r="L3827" s="151" t="s">
        <v>1579</v>
      </c>
      <c r="M3827">
        <v>969</v>
      </c>
      <c r="N3827" s="123">
        <v>17</v>
      </c>
      <c r="O3827">
        <v>2414</v>
      </c>
      <c r="P3827" s="132" t="s">
        <v>77</v>
      </c>
      <c r="Q3827" s="131">
        <v>94.79</v>
      </c>
      <c r="R3827" s="131">
        <v>15.17</v>
      </c>
      <c r="S3827" s="131"/>
      <c r="T3827" s="155"/>
      <c r="U3827" s="131"/>
      <c r="V3827" s="131">
        <v>109.96000000000001</v>
      </c>
      <c r="W3827"/>
      <c r="X3827" s="151" t="s">
        <v>3451</v>
      </c>
      <c r="Y3827" s="135" t="s">
        <v>55</v>
      </c>
      <c r="Z3827" s="307">
        <v>233</v>
      </c>
      <c r="AB3827" t="str">
        <f>IF(Table1[[#This Row],[TIPO2]]="costo", VLOOKUP(Table1[[#This Row],[PARTIDA PRESUPUESTAL]],'Cost Report'!G:G,1,0),"Balance")</f>
        <v>2285-003</v>
      </c>
      <c r="AC3827" s="118"/>
      <c r="AD3827" s="159">
        <f>+Table1[[#This Row],[SUBTOTAL]]+Table1[[#This Row],[IVA]]-Table1[[#This Row],[RET IVA]]-Table1[[#This Row],[RET ISR]]-Table1[[#This Row],[TOTAL]]</f>
        <v>0</v>
      </c>
      <c r="AE3827" s="150"/>
      <c r="AF3827" s="151"/>
      <c r="AG3827" s="126" t="s">
        <v>3420</v>
      </c>
      <c r="AK3827" s="306" t="str">
        <f>IF(ISNUMBER(Table1[[#This Row],[FECHA DE RECIBIDO]]), Table1[[#This Row],[FECHA DE RECIBIDO]]-DATE(2023,8,30), "")</f>
        <v/>
      </c>
    </row>
    <row r="3828" spans="1:37" ht="15" customHeight="1">
      <c r="A3828" s="152" t="s">
        <v>4278</v>
      </c>
      <c r="B3828" s="153">
        <v>1277</v>
      </c>
      <c r="C3828" s="126" t="s">
        <v>2455</v>
      </c>
      <c r="D3828">
        <v>2529</v>
      </c>
      <c r="E3828" s="126" t="s">
        <v>4284</v>
      </c>
      <c r="F3828" s="125" t="s">
        <v>1384</v>
      </c>
      <c r="G3828" s="125" t="s">
        <v>1625</v>
      </c>
      <c r="H3828">
        <v>693</v>
      </c>
      <c r="I3828" s="125" t="s">
        <v>1546</v>
      </c>
      <c r="J3828" s="308" t="s">
        <v>214</v>
      </c>
      <c r="K3828" s="127" t="s">
        <v>4212</v>
      </c>
      <c r="L3828" s="153" t="s">
        <v>1579</v>
      </c>
      <c r="M3828">
        <v>970</v>
      </c>
      <c r="N3828" s="123">
        <v>17</v>
      </c>
      <c r="O3828">
        <v>2415</v>
      </c>
      <c r="P3828" s="132" t="s">
        <v>77</v>
      </c>
      <c r="Q3828" s="132">
        <v>75.900000000000006</v>
      </c>
      <c r="R3828" s="132">
        <v>12.14</v>
      </c>
      <c r="S3828" s="132"/>
      <c r="T3828" s="156"/>
      <c r="U3828" s="132"/>
      <c r="V3828" s="132">
        <v>88.04</v>
      </c>
      <c r="W3828"/>
      <c r="X3828" s="153" t="s">
        <v>3451</v>
      </c>
      <c r="Y3828" s="124" t="s">
        <v>55</v>
      </c>
      <c r="Z3828" s="308">
        <v>234</v>
      </c>
      <c r="AB3828" t="str">
        <f>IF(Table1[[#This Row],[TIPO2]]="costo", VLOOKUP(Table1[[#This Row],[PARTIDA PRESUPUESTAL]],'Cost Report'!G:G,1,0),"Balance")</f>
        <v>2285-003</v>
      </c>
      <c r="AC3828" s="118"/>
      <c r="AD3828" s="159">
        <f>+Table1[[#This Row],[SUBTOTAL]]+Table1[[#This Row],[IVA]]-Table1[[#This Row],[RET IVA]]-Table1[[#This Row],[RET ISR]]-Table1[[#This Row],[TOTAL]]</f>
        <v>0</v>
      </c>
      <c r="AE3828" s="152"/>
      <c r="AF3828" s="153"/>
      <c r="AG3828" s="126" t="s">
        <v>3420</v>
      </c>
      <c r="AK3828" s="306" t="str">
        <f>IF(ISNUMBER(Table1[[#This Row],[FECHA DE RECIBIDO]]), Table1[[#This Row],[FECHA DE RECIBIDO]]-DATE(2023,8,30), "")</f>
        <v/>
      </c>
    </row>
    <row r="3829" spans="1:37" ht="15" customHeight="1">
      <c r="A3829" s="150" t="s">
        <v>4278</v>
      </c>
      <c r="B3829" s="151">
        <v>1277</v>
      </c>
      <c r="C3829" s="126" t="s">
        <v>2455</v>
      </c>
      <c r="D3829">
        <v>2530</v>
      </c>
      <c r="E3829" s="126" t="s">
        <v>4285</v>
      </c>
      <c r="F3829" s="122" t="s">
        <v>1384</v>
      </c>
      <c r="G3829" s="122" t="s">
        <v>1625</v>
      </c>
      <c r="H3829">
        <v>694</v>
      </c>
      <c r="I3829" s="122" t="s">
        <v>1546</v>
      </c>
      <c r="J3829" s="307" t="s">
        <v>214</v>
      </c>
      <c r="K3829" s="127" t="s">
        <v>4212</v>
      </c>
      <c r="L3829" s="151" t="s">
        <v>1579</v>
      </c>
      <c r="M3829">
        <v>971</v>
      </c>
      <c r="N3829" s="123">
        <v>17</v>
      </c>
      <c r="O3829">
        <v>2416</v>
      </c>
      <c r="P3829" s="132" t="s">
        <v>77</v>
      </c>
      <c r="Q3829" s="131">
        <v>30.65</v>
      </c>
      <c r="R3829" s="131">
        <v>4.9000000000000004</v>
      </c>
      <c r="S3829" s="131"/>
      <c r="T3829" s="155"/>
      <c r="U3829" s="131"/>
      <c r="V3829" s="131">
        <v>35.549999999999997</v>
      </c>
      <c r="W3829"/>
      <c r="X3829" s="151" t="s">
        <v>3451</v>
      </c>
      <c r="Y3829" s="135" t="s">
        <v>55</v>
      </c>
      <c r="Z3829" s="307">
        <v>234</v>
      </c>
      <c r="AB3829" t="str">
        <f>IF(Table1[[#This Row],[TIPO2]]="costo", VLOOKUP(Table1[[#This Row],[PARTIDA PRESUPUESTAL]],'Cost Report'!G:G,1,0),"Balance")</f>
        <v>2285-003</v>
      </c>
      <c r="AC3829" s="118"/>
      <c r="AD3829" s="159">
        <f>+Table1[[#This Row],[SUBTOTAL]]+Table1[[#This Row],[IVA]]-Table1[[#This Row],[RET IVA]]-Table1[[#This Row],[RET ISR]]-Table1[[#This Row],[TOTAL]]</f>
        <v>0</v>
      </c>
      <c r="AE3829" s="150"/>
      <c r="AF3829" s="151"/>
      <c r="AG3829" s="126" t="s">
        <v>3420</v>
      </c>
      <c r="AK3829" s="306" t="str">
        <f>IF(ISNUMBER(Table1[[#This Row],[FECHA DE RECIBIDO]]), Table1[[#This Row],[FECHA DE RECIBIDO]]-DATE(2023,8,30), "")</f>
        <v/>
      </c>
    </row>
    <row r="3830" spans="1:37" ht="15" customHeight="1">
      <c r="A3830" s="152" t="s">
        <v>4278</v>
      </c>
      <c r="B3830" s="153">
        <v>1277</v>
      </c>
      <c r="C3830" s="126" t="s">
        <v>2455</v>
      </c>
      <c r="D3830">
        <v>2531</v>
      </c>
      <c r="E3830" s="126" t="s">
        <v>4286</v>
      </c>
      <c r="F3830" s="125" t="s">
        <v>1384</v>
      </c>
      <c r="G3830" s="125" t="s">
        <v>1625</v>
      </c>
      <c r="H3830">
        <v>695</v>
      </c>
      <c r="I3830" s="125" t="s">
        <v>1546</v>
      </c>
      <c r="J3830" s="308" t="s">
        <v>214</v>
      </c>
      <c r="K3830" s="127" t="s">
        <v>4212</v>
      </c>
      <c r="L3830" s="153" t="s">
        <v>1579</v>
      </c>
      <c r="M3830">
        <v>972</v>
      </c>
      <c r="N3830" s="123">
        <v>17</v>
      </c>
      <c r="O3830">
        <v>2417</v>
      </c>
      <c r="P3830" s="132" t="s">
        <v>77</v>
      </c>
      <c r="Q3830" s="132">
        <v>86.16</v>
      </c>
      <c r="R3830" s="132">
        <v>13.79</v>
      </c>
      <c r="S3830" s="132"/>
      <c r="T3830" s="156"/>
      <c r="U3830" s="132"/>
      <c r="V3830" s="132">
        <v>99.949999999999989</v>
      </c>
      <c r="W3830"/>
      <c r="X3830" s="153" t="s">
        <v>3451</v>
      </c>
      <c r="Y3830" s="124" t="s">
        <v>55</v>
      </c>
      <c r="Z3830" s="308">
        <v>234</v>
      </c>
      <c r="AB3830" t="str">
        <f>IF(Table1[[#This Row],[TIPO2]]="costo", VLOOKUP(Table1[[#This Row],[PARTIDA PRESUPUESTAL]],'Cost Report'!G:G,1,0),"Balance")</f>
        <v>2285-003</v>
      </c>
      <c r="AC3830" s="118"/>
      <c r="AD3830" s="159">
        <f>+Table1[[#This Row],[SUBTOTAL]]+Table1[[#This Row],[IVA]]-Table1[[#This Row],[RET IVA]]-Table1[[#This Row],[RET ISR]]-Table1[[#This Row],[TOTAL]]</f>
        <v>0</v>
      </c>
      <c r="AE3830" s="152"/>
      <c r="AF3830" s="153"/>
      <c r="AG3830" s="126" t="s">
        <v>3420</v>
      </c>
      <c r="AK3830" s="306" t="str">
        <f>IF(ISNUMBER(Table1[[#This Row],[FECHA DE RECIBIDO]]), Table1[[#This Row],[FECHA DE RECIBIDO]]-DATE(2023,8,30), "")</f>
        <v/>
      </c>
    </row>
    <row r="3831" spans="1:37" ht="15" customHeight="1">
      <c r="A3831" s="150" t="s">
        <v>4278</v>
      </c>
      <c r="B3831" s="151">
        <v>1277</v>
      </c>
      <c r="C3831" s="126" t="s">
        <v>2455</v>
      </c>
      <c r="D3831">
        <v>2532</v>
      </c>
      <c r="E3831" s="126" t="s">
        <v>1597</v>
      </c>
      <c r="F3831" s="122" t="s">
        <v>1384</v>
      </c>
      <c r="G3831" s="122" t="s">
        <v>1625</v>
      </c>
      <c r="H3831">
        <v>696</v>
      </c>
      <c r="I3831" s="122" t="s">
        <v>1546</v>
      </c>
      <c r="J3831" s="307" t="s">
        <v>214</v>
      </c>
      <c r="K3831" s="127" t="s">
        <v>4212</v>
      </c>
      <c r="L3831" s="151" t="s">
        <v>1579</v>
      </c>
      <c r="M3831">
        <v>973</v>
      </c>
      <c r="N3831" s="123">
        <v>17</v>
      </c>
      <c r="O3831">
        <v>2418</v>
      </c>
      <c r="P3831" s="132" t="s">
        <v>77</v>
      </c>
      <c r="Q3831" s="131">
        <v>77.5</v>
      </c>
      <c r="R3831" s="131">
        <v>12.4</v>
      </c>
      <c r="S3831" s="131"/>
      <c r="T3831" s="155"/>
      <c r="U3831" s="131"/>
      <c r="V3831" s="131">
        <v>89.9</v>
      </c>
      <c r="W3831"/>
      <c r="X3831" s="151" t="s">
        <v>3451</v>
      </c>
      <c r="Y3831" s="135" t="s">
        <v>55</v>
      </c>
      <c r="Z3831" s="307">
        <v>236</v>
      </c>
      <c r="AB3831" t="str">
        <f>IF(Table1[[#This Row],[TIPO2]]="costo", VLOOKUP(Table1[[#This Row],[PARTIDA PRESUPUESTAL]],'Cost Report'!G:G,1,0),"Balance")</f>
        <v>2285-003</v>
      </c>
      <c r="AC3831" s="118"/>
      <c r="AD3831" s="159">
        <f>+Table1[[#This Row],[SUBTOTAL]]+Table1[[#This Row],[IVA]]-Table1[[#This Row],[RET IVA]]-Table1[[#This Row],[RET ISR]]-Table1[[#This Row],[TOTAL]]</f>
        <v>0</v>
      </c>
      <c r="AE3831" s="150"/>
      <c r="AF3831" s="151"/>
      <c r="AG3831" s="126" t="s">
        <v>3420</v>
      </c>
      <c r="AK3831" s="306" t="str">
        <f>IF(ISNUMBER(Table1[[#This Row],[FECHA DE RECIBIDO]]), Table1[[#This Row],[FECHA DE RECIBIDO]]-DATE(2023,8,30), "")</f>
        <v/>
      </c>
    </row>
    <row r="3832" spans="1:37" ht="15" customHeight="1">
      <c r="A3832" s="152" t="s">
        <v>4278</v>
      </c>
      <c r="B3832" s="153">
        <v>1277</v>
      </c>
      <c r="C3832" s="126" t="s">
        <v>2455</v>
      </c>
      <c r="D3832">
        <v>2533</v>
      </c>
      <c r="E3832" s="126" t="s">
        <v>1997</v>
      </c>
      <c r="F3832" s="125" t="s">
        <v>1384</v>
      </c>
      <c r="G3832" s="125" t="s">
        <v>1625</v>
      </c>
      <c r="H3832">
        <v>697</v>
      </c>
      <c r="I3832" s="125" t="s">
        <v>1546</v>
      </c>
      <c r="J3832" s="308" t="s">
        <v>214</v>
      </c>
      <c r="K3832" s="127" t="s">
        <v>4212</v>
      </c>
      <c r="L3832" s="153" t="s">
        <v>1579</v>
      </c>
      <c r="M3832">
        <v>974</v>
      </c>
      <c r="N3832" s="123">
        <v>17</v>
      </c>
      <c r="O3832">
        <v>2419</v>
      </c>
      <c r="P3832" s="132" t="s">
        <v>77</v>
      </c>
      <c r="Q3832" s="132">
        <v>86.2</v>
      </c>
      <c r="R3832" s="132">
        <v>13.79</v>
      </c>
      <c r="S3832" s="132"/>
      <c r="T3832" s="156"/>
      <c r="U3832" s="132"/>
      <c r="V3832" s="132">
        <v>99.990000000000009</v>
      </c>
      <c r="W3832"/>
      <c r="X3832" s="153" t="s">
        <v>3451</v>
      </c>
      <c r="Y3832" s="124" t="s">
        <v>55</v>
      </c>
      <c r="Z3832" s="308">
        <v>237</v>
      </c>
      <c r="AB3832" t="str">
        <f>IF(Table1[[#This Row],[TIPO2]]="costo", VLOOKUP(Table1[[#This Row],[PARTIDA PRESUPUESTAL]],'Cost Report'!G:G,1,0),"Balance")</f>
        <v>2285-003</v>
      </c>
      <c r="AC3832" s="118"/>
      <c r="AD3832" s="159">
        <f>+Table1[[#This Row],[SUBTOTAL]]+Table1[[#This Row],[IVA]]-Table1[[#This Row],[RET IVA]]-Table1[[#This Row],[RET ISR]]-Table1[[#This Row],[TOTAL]]</f>
        <v>0</v>
      </c>
      <c r="AE3832" s="152"/>
      <c r="AF3832" s="153"/>
      <c r="AG3832" s="126" t="s">
        <v>3420</v>
      </c>
      <c r="AK3832" s="306" t="str">
        <f>IF(ISNUMBER(Table1[[#This Row],[FECHA DE RECIBIDO]]), Table1[[#This Row],[FECHA DE RECIBIDO]]-DATE(2023,8,30), "")</f>
        <v/>
      </c>
    </row>
    <row r="3833" spans="1:37" ht="15" customHeight="1">
      <c r="A3833" s="150" t="s">
        <v>4278</v>
      </c>
      <c r="B3833" s="151">
        <v>1277</v>
      </c>
      <c r="C3833" s="126" t="s">
        <v>2455</v>
      </c>
      <c r="D3833">
        <v>2534</v>
      </c>
      <c r="E3833" s="126" t="s">
        <v>4287</v>
      </c>
      <c r="F3833" s="122" t="s">
        <v>1384</v>
      </c>
      <c r="G3833" s="122" t="s">
        <v>1625</v>
      </c>
      <c r="H3833">
        <v>698</v>
      </c>
      <c r="I3833" s="122" t="s">
        <v>1546</v>
      </c>
      <c r="J3833" s="307" t="s">
        <v>214</v>
      </c>
      <c r="K3833" s="127" t="s">
        <v>4212</v>
      </c>
      <c r="L3833" s="151" t="s">
        <v>1579</v>
      </c>
      <c r="M3833">
        <v>975</v>
      </c>
      <c r="N3833" s="123">
        <v>17</v>
      </c>
      <c r="O3833">
        <v>2420</v>
      </c>
      <c r="P3833" s="132" t="s">
        <v>77</v>
      </c>
      <c r="Q3833" s="131">
        <v>77.510000000000005</v>
      </c>
      <c r="R3833" s="131">
        <v>12.4</v>
      </c>
      <c r="S3833" s="131"/>
      <c r="T3833" s="155"/>
      <c r="U3833" s="131"/>
      <c r="V3833" s="131">
        <v>89.910000000000011</v>
      </c>
      <c r="W3833"/>
      <c r="X3833" s="151" t="s">
        <v>3451</v>
      </c>
      <c r="Y3833" s="135" t="s">
        <v>55</v>
      </c>
      <c r="Z3833" s="307">
        <v>238</v>
      </c>
      <c r="AB3833" t="str">
        <f>IF(Table1[[#This Row],[TIPO2]]="costo", VLOOKUP(Table1[[#This Row],[PARTIDA PRESUPUESTAL]],'Cost Report'!G:G,1,0),"Balance")</f>
        <v>2285-003</v>
      </c>
      <c r="AC3833" s="118"/>
      <c r="AD3833" s="159">
        <f>+Table1[[#This Row],[SUBTOTAL]]+Table1[[#This Row],[IVA]]-Table1[[#This Row],[RET IVA]]-Table1[[#This Row],[RET ISR]]-Table1[[#This Row],[TOTAL]]</f>
        <v>0</v>
      </c>
      <c r="AE3833" s="150"/>
      <c r="AF3833" s="151"/>
      <c r="AG3833" s="126" t="s">
        <v>3420</v>
      </c>
      <c r="AK3833" s="306" t="str">
        <f>IF(ISNUMBER(Table1[[#This Row],[FECHA DE RECIBIDO]]), Table1[[#This Row],[FECHA DE RECIBIDO]]-DATE(2023,8,30), "")</f>
        <v/>
      </c>
    </row>
    <row r="3834" spans="1:37" ht="15" customHeight="1">
      <c r="A3834" s="152" t="s">
        <v>4278</v>
      </c>
      <c r="B3834" s="153">
        <v>1277</v>
      </c>
      <c r="C3834" s="126" t="s">
        <v>2455</v>
      </c>
      <c r="D3834">
        <v>2535</v>
      </c>
      <c r="E3834" s="126" t="s">
        <v>4197</v>
      </c>
      <c r="F3834" s="125" t="s">
        <v>1384</v>
      </c>
      <c r="G3834" s="125" t="s">
        <v>1625</v>
      </c>
      <c r="H3834">
        <v>699</v>
      </c>
      <c r="I3834" s="125" t="s">
        <v>1546</v>
      </c>
      <c r="J3834" s="308" t="s">
        <v>214</v>
      </c>
      <c r="K3834" s="127" t="s">
        <v>4212</v>
      </c>
      <c r="L3834" s="153" t="s">
        <v>1579</v>
      </c>
      <c r="M3834">
        <v>976</v>
      </c>
      <c r="N3834" s="123">
        <v>17</v>
      </c>
      <c r="O3834">
        <v>2244</v>
      </c>
      <c r="P3834" s="132" t="s">
        <v>77</v>
      </c>
      <c r="Q3834" s="132">
        <v>94.74</v>
      </c>
      <c r="R3834" s="132">
        <v>15.16</v>
      </c>
      <c r="S3834" s="132"/>
      <c r="T3834" s="156"/>
      <c r="U3834" s="132"/>
      <c r="V3834" s="132">
        <v>109.89999999999999</v>
      </c>
      <c r="W3834"/>
      <c r="X3834" s="153" t="s">
        <v>3451</v>
      </c>
      <c r="Y3834" s="124" t="s">
        <v>55</v>
      </c>
      <c r="Z3834" s="308">
        <v>238</v>
      </c>
      <c r="AB3834" t="str">
        <f>IF(Table1[[#This Row],[TIPO2]]="costo", VLOOKUP(Table1[[#This Row],[PARTIDA PRESUPUESTAL]],'Cost Report'!G:G,1,0),"Balance")</f>
        <v>2285-003</v>
      </c>
      <c r="AC3834" s="118"/>
      <c r="AD3834" s="159">
        <f>+Table1[[#This Row],[SUBTOTAL]]+Table1[[#This Row],[IVA]]-Table1[[#This Row],[RET IVA]]-Table1[[#This Row],[RET ISR]]-Table1[[#This Row],[TOTAL]]</f>
        <v>0</v>
      </c>
      <c r="AE3834" s="152"/>
      <c r="AF3834" s="153"/>
      <c r="AG3834" s="126" t="s">
        <v>3420</v>
      </c>
      <c r="AK3834" s="306" t="str">
        <f>IF(ISNUMBER(Table1[[#This Row],[FECHA DE RECIBIDO]]), Table1[[#This Row],[FECHA DE RECIBIDO]]-DATE(2023,8,30), "")</f>
        <v/>
      </c>
    </row>
    <row r="3835" spans="1:37" ht="15" customHeight="1">
      <c r="A3835" s="150" t="s">
        <v>4278</v>
      </c>
      <c r="B3835" s="151">
        <v>1277</v>
      </c>
      <c r="C3835" s="126" t="s">
        <v>2455</v>
      </c>
      <c r="D3835">
        <v>2536</v>
      </c>
      <c r="E3835" s="126" t="s">
        <v>3283</v>
      </c>
      <c r="F3835" s="122" t="s">
        <v>1384</v>
      </c>
      <c r="G3835" s="122" t="s">
        <v>1625</v>
      </c>
      <c r="H3835">
        <v>700</v>
      </c>
      <c r="I3835" s="122" t="s">
        <v>1546</v>
      </c>
      <c r="J3835" s="307" t="s">
        <v>214</v>
      </c>
      <c r="K3835" s="127" t="s">
        <v>4212</v>
      </c>
      <c r="L3835" s="151" t="s">
        <v>1579</v>
      </c>
      <c r="M3835">
        <v>977</v>
      </c>
      <c r="N3835" s="123">
        <v>17</v>
      </c>
      <c r="O3835">
        <v>2246</v>
      </c>
      <c r="P3835" s="132" t="s">
        <v>77</v>
      </c>
      <c r="Q3835" s="131">
        <v>103.4</v>
      </c>
      <c r="R3835" s="131">
        <v>16.54</v>
      </c>
      <c r="S3835" s="131"/>
      <c r="T3835" s="155"/>
      <c r="U3835" s="131"/>
      <c r="V3835" s="131">
        <v>119.94</v>
      </c>
      <c r="W3835"/>
      <c r="X3835" s="151" t="s">
        <v>3451</v>
      </c>
      <c r="Y3835" s="135" t="s">
        <v>55</v>
      </c>
      <c r="Z3835" s="307">
        <v>238</v>
      </c>
      <c r="AB3835" t="str">
        <f>IF(Table1[[#This Row],[TIPO2]]="costo", VLOOKUP(Table1[[#This Row],[PARTIDA PRESUPUESTAL]],'Cost Report'!G:G,1,0),"Balance")</f>
        <v>2285-003</v>
      </c>
      <c r="AC3835" s="118"/>
      <c r="AD3835" s="159">
        <f>+Table1[[#This Row],[SUBTOTAL]]+Table1[[#This Row],[IVA]]-Table1[[#This Row],[RET IVA]]-Table1[[#This Row],[RET ISR]]-Table1[[#This Row],[TOTAL]]</f>
        <v>0</v>
      </c>
      <c r="AE3835" s="150"/>
      <c r="AF3835" s="151"/>
      <c r="AG3835" s="126" t="s">
        <v>3420</v>
      </c>
      <c r="AK3835" s="306" t="str">
        <f>IF(ISNUMBER(Table1[[#This Row],[FECHA DE RECIBIDO]]), Table1[[#This Row],[FECHA DE RECIBIDO]]-DATE(2023,8,30), "")</f>
        <v/>
      </c>
    </row>
    <row r="3836" spans="1:37" ht="15" customHeight="1">
      <c r="A3836" s="152" t="s">
        <v>4278</v>
      </c>
      <c r="B3836" s="153">
        <v>1277</v>
      </c>
      <c r="C3836" s="126" t="s">
        <v>2455</v>
      </c>
      <c r="D3836">
        <v>2537</v>
      </c>
      <c r="E3836" s="126" t="s">
        <v>4282</v>
      </c>
      <c r="F3836" s="125" t="s">
        <v>1384</v>
      </c>
      <c r="G3836" s="125" t="s">
        <v>1625</v>
      </c>
      <c r="H3836">
        <v>701</v>
      </c>
      <c r="I3836" s="125" t="s">
        <v>1546</v>
      </c>
      <c r="J3836" s="308" t="s">
        <v>214</v>
      </c>
      <c r="K3836" s="127" t="s">
        <v>4212</v>
      </c>
      <c r="L3836" s="153" t="s">
        <v>1579</v>
      </c>
      <c r="M3836">
        <v>978</v>
      </c>
      <c r="N3836" s="123">
        <v>17</v>
      </c>
      <c r="O3836">
        <v>2421</v>
      </c>
      <c r="P3836" s="132" t="s">
        <v>77</v>
      </c>
      <c r="Q3836" s="132">
        <v>94.78</v>
      </c>
      <c r="R3836" s="132">
        <v>15.16</v>
      </c>
      <c r="S3836" s="132"/>
      <c r="T3836" s="156"/>
      <c r="U3836" s="132"/>
      <c r="V3836" s="132">
        <v>109.94</v>
      </c>
      <c r="W3836"/>
      <c r="X3836" s="153" t="s">
        <v>3451</v>
      </c>
      <c r="Y3836" s="124" t="s">
        <v>55</v>
      </c>
      <c r="Z3836" s="308">
        <v>239</v>
      </c>
      <c r="AB3836" t="str">
        <f>IF(Table1[[#This Row],[TIPO2]]="costo", VLOOKUP(Table1[[#This Row],[PARTIDA PRESUPUESTAL]],'Cost Report'!G:G,1,0),"Balance")</f>
        <v>2285-003</v>
      </c>
      <c r="AC3836" s="118"/>
      <c r="AD3836" s="159">
        <f>+Table1[[#This Row],[SUBTOTAL]]+Table1[[#This Row],[IVA]]-Table1[[#This Row],[RET IVA]]-Table1[[#This Row],[RET ISR]]-Table1[[#This Row],[TOTAL]]</f>
        <v>0</v>
      </c>
      <c r="AE3836" s="152"/>
      <c r="AF3836" s="153"/>
      <c r="AG3836" s="126" t="s">
        <v>3420</v>
      </c>
      <c r="AK3836" s="306" t="str">
        <f>IF(ISNUMBER(Table1[[#This Row],[FECHA DE RECIBIDO]]), Table1[[#This Row],[FECHA DE RECIBIDO]]-DATE(2023,8,30), "")</f>
        <v/>
      </c>
    </row>
    <row r="3837" spans="1:37" ht="15" customHeight="1">
      <c r="A3837" s="150" t="s">
        <v>4278</v>
      </c>
      <c r="B3837" s="151">
        <v>1277</v>
      </c>
      <c r="C3837" s="126" t="s">
        <v>2461</v>
      </c>
      <c r="D3837">
        <v>2538</v>
      </c>
      <c r="E3837" s="126" t="s">
        <v>3225</v>
      </c>
      <c r="F3837" s="122" t="s">
        <v>1593</v>
      </c>
      <c r="G3837" s="122" t="s">
        <v>109</v>
      </c>
      <c r="H3837">
        <v>702</v>
      </c>
      <c r="I3837" s="122" t="s">
        <v>1546</v>
      </c>
      <c r="J3837" s="307" t="s">
        <v>214</v>
      </c>
      <c r="K3837" s="127" t="s">
        <v>4212</v>
      </c>
      <c r="L3837" s="151" t="s">
        <v>1579</v>
      </c>
      <c r="M3837">
        <v>979</v>
      </c>
      <c r="N3837" s="123">
        <v>17</v>
      </c>
      <c r="O3837">
        <v>2422</v>
      </c>
      <c r="P3837" s="132" t="s">
        <v>77</v>
      </c>
      <c r="Q3837" s="131">
        <v>158.99</v>
      </c>
      <c r="R3837" s="131">
        <v>25.76</v>
      </c>
      <c r="S3837" s="131"/>
      <c r="T3837" s="155"/>
      <c r="U3837" s="131"/>
      <c r="V3837" s="131">
        <v>184.75</v>
      </c>
      <c r="W3837"/>
      <c r="X3837" s="151" t="s">
        <v>3451</v>
      </c>
      <c r="Y3837" s="135" t="s">
        <v>55</v>
      </c>
      <c r="Z3837" s="307">
        <v>234</v>
      </c>
      <c r="AB3837" t="str">
        <f>IF(Table1[[#This Row],[TIPO2]]="costo", VLOOKUP(Table1[[#This Row],[PARTIDA PRESUPUESTAL]],'Cost Report'!G:G,1,0),"Balance")</f>
        <v>2385-003</v>
      </c>
      <c r="AC3837" s="118"/>
      <c r="AD3837" s="159">
        <f>+Table1[[#This Row],[SUBTOTAL]]+Table1[[#This Row],[IVA]]-Table1[[#This Row],[RET IVA]]-Table1[[#This Row],[RET ISR]]-Table1[[#This Row],[TOTAL]]</f>
        <v>0</v>
      </c>
      <c r="AE3837" s="150"/>
      <c r="AF3837" s="151"/>
      <c r="AG3837" s="126" t="s">
        <v>3420</v>
      </c>
      <c r="AK3837" s="306" t="str">
        <f>IF(ISNUMBER(Table1[[#This Row],[FECHA DE RECIBIDO]]), Table1[[#This Row],[FECHA DE RECIBIDO]]-DATE(2023,8,30), "")</f>
        <v/>
      </c>
    </row>
    <row r="3838" spans="1:37" ht="15" customHeight="1">
      <c r="A3838" s="152" t="s">
        <v>4278</v>
      </c>
      <c r="B3838" s="153">
        <v>1277</v>
      </c>
      <c r="C3838" s="126" t="s">
        <v>1505</v>
      </c>
      <c r="D3838">
        <v>2539</v>
      </c>
      <c r="E3838" s="126" t="s">
        <v>1614</v>
      </c>
      <c r="F3838" s="125" t="s">
        <v>1602</v>
      </c>
      <c r="G3838" s="125" t="s">
        <v>1617</v>
      </c>
      <c r="H3838">
        <v>703</v>
      </c>
      <c r="I3838" s="125" t="s">
        <v>1546</v>
      </c>
      <c r="J3838" s="308" t="s">
        <v>214</v>
      </c>
      <c r="K3838" s="127" t="s">
        <v>4212</v>
      </c>
      <c r="L3838" s="153" t="s">
        <v>1579</v>
      </c>
      <c r="M3838">
        <v>980</v>
      </c>
      <c r="N3838" s="123">
        <v>17</v>
      </c>
      <c r="O3838">
        <v>2423</v>
      </c>
      <c r="P3838" s="132" t="s">
        <v>77</v>
      </c>
      <c r="Q3838" s="132">
        <v>300</v>
      </c>
      <c r="R3838" s="132">
        <v>48</v>
      </c>
      <c r="S3838" s="132"/>
      <c r="T3838" s="156"/>
      <c r="U3838" s="132"/>
      <c r="V3838" s="132">
        <v>348</v>
      </c>
      <c r="W3838"/>
      <c r="X3838" s="153" t="s">
        <v>3451</v>
      </c>
      <c r="Y3838" s="124" t="s">
        <v>55</v>
      </c>
      <c r="Z3838" s="308">
        <v>243</v>
      </c>
      <c r="AB3838" t="str">
        <f>IF(Table1[[#This Row],[TIPO2]]="costo", VLOOKUP(Table1[[#This Row],[PARTIDA PRESUPUESTAL]],'Cost Report'!G:G,1,0),"Balance")</f>
        <v>2494-003</v>
      </c>
      <c r="AC3838" s="118"/>
      <c r="AD3838" s="159">
        <f>+Table1[[#This Row],[SUBTOTAL]]+Table1[[#This Row],[IVA]]-Table1[[#This Row],[RET IVA]]-Table1[[#This Row],[RET ISR]]-Table1[[#This Row],[TOTAL]]</f>
        <v>0</v>
      </c>
      <c r="AE3838" s="152"/>
      <c r="AF3838" s="153"/>
      <c r="AG3838" s="126" t="s">
        <v>3420</v>
      </c>
      <c r="AK3838" s="306" t="str">
        <f>IF(ISNUMBER(Table1[[#This Row],[FECHA DE RECIBIDO]]), Table1[[#This Row],[FECHA DE RECIBIDO]]-DATE(2023,8,30), "")</f>
        <v/>
      </c>
    </row>
    <row r="3839" spans="1:37" ht="15" customHeight="1">
      <c r="A3839" s="150" t="s">
        <v>4288</v>
      </c>
      <c r="B3839" s="151">
        <v>1278</v>
      </c>
      <c r="C3839" s="126" t="s">
        <v>1505</v>
      </c>
      <c r="D3839">
        <v>2540</v>
      </c>
      <c r="E3839" s="126" t="s">
        <v>2107</v>
      </c>
      <c r="F3839" s="122" t="s">
        <v>1589</v>
      </c>
      <c r="G3839" s="122" t="s">
        <v>129</v>
      </c>
      <c r="H3839">
        <v>620</v>
      </c>
      <c r="I3839" s="122" t="s">
        <v>1546</v>
      </c>
      <c r="J3839" s="307" t="s">
        <v>214</v>
      </c>
      <c r="K3839" s="127" t="s">
        <v>4212</v>
      </c>
      <c r="L3839" s="151" t="s">
        <v>1579</v>
      </c>
      <c r="M3839">
        <v>875</v>
      </c>
      <c r="N3839" s="123">
        <v>17</v>
      </c>
      <c r="O3839">
        <v>2424</v>
      </c>
      <c r="P3839" s="132" t="s">
        <v>77</v>
      </c>
      <c r="Q3839" s="131">
        <v>450</v>
      </c>
      <c r="R3839" s="131">
        <v>72</v>
      </c>
      <c r="S3839" s="131"/>
      <c r="T3839" s="155"/>
      <c r="U3839" s="131"/>
      <c r="V3839" s="131">
        <v>522</v>
      </c>
      <c r="W3839"/>
      <c r="X3839" s="151" t="s">
        <v>3451</v>
      </c>
      <c r="Y3839" s="135" t="s">
        <v>55</v>
      </c>
      <c r="Z3839" s="307">
        <v>244</v>
      </c>
      <c r="AB3839" t="str">
        <f>IF(Table1[[#This Row],[TIPO2]]="costo", VLOOKUP(Table1[[#This Row],[PARTIDA PRESUPUESTAL]],'Cost Report'!G:G,1,0),"Balance")</f>
        <v>2494-003</v>
      </c>
      <c r="AC3839" s="118"/>
      <c r="AD3839" s="159">
        <f>+Table1[[#This Row],[SUBTOTAL]]+Table1[[#This Row],[IVA]]-Table1[[#This Row],[RET IVA]]-Table1[[#This Row],[RET ISR]]-Table1[[#This Row],[TOTAL]]</f>
        <v>0</v>
      </c>
      <c r="AE3839" s="150"/>
      <c r="AF3839" s="151"/>
      <c r="AG3839" s="126" t="s">
        <v>3420</v>
      </c>
      <c r="AK3839" s="306" t="str">
        <f>IF(ISNUMBER(Table1[[#This Row],[FECHA DE RECIBIDO]]), Table1[[#This Row],[FECHA DE RECIBIDO]]-DATE(2023,8,30), "")</f>
        <v/>
      </c>
    </row>
    <row r="3840" spans="1:37" ht="15" customHeight="1">
      <c r="A3840" s="152" t="s">
        <v>4288</v>
      </c>
      <c r="B3840" s="153">
        <v>1278</v>
      </c>
      <c r="C3840" s="126" t="s">
        <v>2461</v>
      </c>
      <c r="D3840">
        <v>2541</v>
      </c>
      <c r="E3840" s="126" t="s">
        <v>3363</v>
      </c>
      <c r="F3840" s="125" t="s">
        <v>1607</v>
      </c>
      <c r="G3840" s="125" t="s">
        <v>134</v>
      </c>
      <c r="H3840">
        <v>99</v>
      </c>
      <c r="I3840" s="125" t="s">
        <v>1546</v>
      </c>
      <c r="J3840" s="308" t="s">
        <v>214</v>
      </c>
      <c r="K3840" s="127" t="s">
        <v>4212</v>
      </c>
      <c r="L3840" s="153" t="s">
        <v>1579</v>
      </c>
      <c r="M3840">
        <v>134</v>
      </c>
      <c r="N3840" s="123">
        <v>17</v>
      </c>
      <c r="O3840">
        <v>2425</v>
      </c>
      <c r="P3840" s="132" t="s">
        <v>77</v>
      </c>
      <c r="Q3840" s="132">
        <v>432.76</v>
      </c>
      <c r="R3840" s="132">
        <v>69.239999999999995</v>
      </c>
      <c r="S3840" s="132"/>
      <c r="T3840" s="156"/>
      <c r="U3840" s="132"/>
      <c r="V3840" s="132">
        <v>502</v>
      </c>
      <c r="W3840"/>
      <c r="X3840" s="153" t="s">
        <v>3451</v>
      </c>
      <c r="Y3840" s="124" t="s">
        <v>55</v>
      </c>
      <c r="Z3840" s="308">
        <v>224</v>
      </c>
      <c r="AB3840" t="str">
        <f>IF(Table1[[#This Row],[TIPO2]]="costo", VLOOKUP(Table1[[#This Row],[PARTIDA PRESUPUESTAL]],'Cost Report'!G:G,1,0),"Balance")</f>
        <v>2385-003</v>
      </c>
      <c r="AC3840" s="118"/>
      <c r="AD3840" s="159">
        <f>+Table1[[#This Row],[SUBTOTAL]]+Table1[[#This Row],[IVA]]-Table1[[#This Row],[RET IVA]]-Table1[[#This Row],[RET ISR]]-Table1[[#This Row],[TOTAL]]</f>
        <v>0</v>
      </c>
      <c r="AE3840" s="152"/>
      <c r="AF3840" s="153"/>
      <c r="AG3840" s="126" t="s">
        <v>3420</v>
      </c>
      <c r="AK3840" s="306" t="str">
        <f>IF(ISNUMBER(Table1[[#This Row],[FECHA DE RECIBIDO]]), Table1[[#This Row],[FECHA DE RECIBIDO]]-DATE(2023,8,30), "")</f>
        <v/>
      </c>
    </row>
    <row r="3841" spans="1:37" ht="15" customHeight="1">
      <c r="A3841" s="150" t="s">
        <v>4288</v>
      </c>
      <c r="B3841" s="151">
        <v>1278</v>
      </c>
      <c r="C3841" s="126" t="s">
        <v>2546</v>
      </c>
      <c r="D3841">
        <v>2542</v>
      </c>
      <c r="E3841" s="126" t="s">
        <v>3363</v>
      </c>
      <c r="F3841" s="122" t="s">
        <v>1607</v>
      </c>
      <c r="G3841" s="122" t="s">
        <v>134</v>
      </c>
      <c r="H3841">
        <v>99</v>
      </c>
      <c r="I3841" s="122" t="s">
        <v>1546</v>
      </c>
      <c r="J3841" s="307" t="s">
        <v>214</v>
      </c>
      <c r="K3841" s="127" t="s">
        <v>4212</v>
      </c>
      <c r="L3841" s="151" t="s">
        <v>1579</v>
      </c>
      <c r="M3841">
        <v>134</v>
      </c>
      <c r="N3841" s="123">
        <v>17</v>
      </c>
      <c r="O3841">
        <v>2426</v>
      </c>
      <c r="P3841" s="132" t="s">
        <v>77</v>
      </c>
      <c r="Q3841" s="131">
        <v>5335.35</v>
      </c>
      <c r="R3841" s="131">
        <v>853.66</v>
      </c>
      <c r="S3841" s="131"/>
      <c r="T3841" s="155"/>
      <c r="U3841" s="131"/>
      <c r="V3841" s="131">
        <v>6189.01</v>
      </c>
      <c r="W3841"/>
      <c r="X3841" s="151" t="s">
        <v>3451</v>
      </c>
      <c r="Y3841" s="135" t="s">
        <v>55</v>
      </c>
      <c r="Z3841" s="307">
        <v>234</v>
      </c>
      <c r="AB3841" t="str">
        <f>IF(Table1[[#This Row],[TIPO2]]="costo", VLOOKUP(Table1[[#This Row],[PARTIDA PRESUPUESTAL]],'Cost Report'!G:G,1,0),"Balance")</f>
        <v>2494-071</v>
      </c>
      <c r="AC3841" s="118"/>
      <c r="AD3841" s="159">
        <f>+Table1[[#This Row],[SUBTOTAL]]+Table1[[#This Row],[IVA]]-Table1[[#This Row],[RET IVA]]-Table1[[#This Row],[RET ISR]]-Table1[[#This Row],[TOTAL]]</f>
        <v>0</v>
      </c>
      <c r="AE3841" s="150"/>
      <c r="AF3841" s="151"/>
      <c r="AG3841" s="126" t="s">
        <v>3420</v>
      </c>
      <c r="AK3841" s="306" t="str">
        <f>IF(ISNUMBER(Table1[[#This Row],[FECHA DE RECIBIDO]]), Table1[[#This Row],[FECHA DE RECIBIDO]]-DATE(2023,8,30), "")</f>
        <v/>
      </c>
    </row>
    <row r="3842" spans="1:37" ht="15" customHeight="1">
      <c r="A3842" s="152" t="s">
        <v>4288</v>
      </c>
      <c r="B3842" s="153">
        <v>1278</v>
      </c>
      <c r="C3842" s="126" t="s">
        <v>610</v>
      </c>
      <c r="D3842">
        <v>2543</v>
      </c>
      <c r="E3842" s="126" t="s">
        <v>3275</v>
      </c>
      <c r="F3842" s="125" t="s">
        <v>1607</v>
      </c>
      <c r="G3842" s="125" t="s">
        <v>134</v>
      </c>
      <c r="H3842">
        <v>139</v>
      </c>
      <c r="I3842" s="125" t="s">
        <v>1546</v>
      </c>
      <c r="J3842" s="308" t="s">
        <v>214</v>
      </c>
      <c r="K3842" s="127" t="s">
        <v>4212</v>
      </c>
      <c r="L3842" s="153" t="s">
        <v>1579</v>
      </c>
      <c r="M3842">
        <v>181</v>
      </c>
      <c r="N3842" s="123">
        <v>17</v>
      </c>
      <c r="O3842">
        <v>2427</v>
      </c>
      <c r="P3842" s="132" t="s">
        <v>77</v>
      </c>
      <c r="Q3842" s="132">
        <v>628.58000000000004</v>
      </c>
      <c r="R3842" s="132">
        <v>100.57</v>
      </c>
      <c r="S3842" s="132"/>
      <c r="T3842" s="156"/>
      <c r="U3842" s="132"/>
      <c r="V3842" s="132">
        <v>729.15000000000009</v>
      </c>
      <c r="W3842"/>
      <c r="X3842" s="153" t="s">
        <v>3451</v>
      </c>
      <c r="Y3842" s="124" t="s">
        <v>55</v>
      </c>
      <c r="Z3842" s="308">
        <v>236</v>
      </c>
      <c r="AB3842" t="str">
        <f>IF(Table1[[#This Row],[TIPO2]]="costo", VLOOKUP(Table1[[#This Row],[PARTIDA PRESUPUESTAL]],'Cost Report'!G:G,1,0),"Balance")</f>
        <v>2485-003</v>
      </c>
      <c r="AC3842" s="118"/>
      <c r="AD3842" s="159">
        <f>+Table1[[#This Row],[SUBTOTAL]]+Table1[[#This Row],[IVA]]-Table1[[#This Row],[RET IVA]]-Table1[[#This Row],[RET ISR]]-Table1[[#This Row],[TOTAL]]</f>
        <v>0</v>
      </c>
      <c r="AE3842" s="152"/>
      <c r="AF3842" s="153"/>
      <c r="AG3842" s="126" t="s">
        <v>3420</v>
      </c>
      <c r="AK3842" s="306" t="str">
        <f>IF(ISNUMBER(Table1[[#This Row],[FECHA DE RECIBIDO]]), Table1[[#This Row],[FECHA DE RECIBIDO]]-DATE(2023,8,30), "")</f>
        <v/>
      </c>
    </row>
    <row r="3843" spans="1:37" ht="15" customHeight="1">
      <c r="A3843" s="150" t="s">
        <v>4288</v>
      </c>
      <c r="B3843" s="151">
        <v>1278</v>
      </c>
      <c r="C3843" s="126" t="s">
        <v>610</v>
      </c>
      <c r="D3843">
        <v>2544</v>
      </c>
      <c r="E3843" s="126" t="s">
        <v>3278</v>
      </c>
      <c r="F3843" s="122" t="s">
        <v>1607</v>
      </c>
      <c r="G3843" s="122" t="s">
        <v>134</v>
      </c>
      <c r="H3843">
        <v>56</v>
      </c>
      <c r="I3843" s="122" t="s">
        <v>1546</v>
      </c>
      <c r="J3843" s="307" t="s">
        <v>214</v>
      </c>
      <c r="K3843" s="127" t="s">
        <v>4212</v>
      </c>
      <c r="L3843" s="151" t="s">
        <v>1579</v>
      </c>
      <c r="M3843">
        <v>547</v>
      </c>
      <c r="N3843" s="123">
        <v>17</v>
      </c>
      <c r="O3843">
        <v>2428</v>
      </c>
      <c r="P3843" s="132" t="s">
        <v>77</v>
      </c>
      <c r="Q3843" s="131">
        <v>1694.83</v>
      </c>
      <c r="R3843" s="131">
        <v>271.17</v>
      </c>
      <c r="S3843" s="131"/>
      <c r="T3843" s="155"/>
      <c r="U3843" s="131"/>
      <c r="V3843" s="131">
        <v>1966</v>
      </c>
      <c r="W3843"/>
      <c r="X3843" s="151" t="s">
        <v>3451</v>
      </c>
      <c r="Y3843" s="135" t="s">
        <v>55</v>
      </c>
      <c r="Z3843" s="307">
        <v>238</v>
      </c>
      <c r="AB3843" t="str">
        <f>IF(Table1[[#This Row],[TIPO2]]="costo", VLOOKUP(Table1[[#This Row],[PARTIDA PRESUPUESTAL]],'Cost Report'!G:G,1,0),"Balance")</f>
        <v>2485-003</v>
      </c>
      <c r="AC3843" s="118"/>
      <c r="AD3843" s="159">
        <f>+Table1[[#This Row],[SUBTOTAL]]+Table1[[#This Row],[IVA]]-Table1[[#This Row],[RET IVA]]-Table1[[#This Row],[RET ISR]]-Table1[[#This Row],[TOTAL]]</f>
        <v>0</v>
      </c>
      <c r="AE3843" s="150"/>
      <c r="AF3843" s="151"/>
      <c r="AG3843" s="126" t="s">
        <v>3420</v>
      </c>
      <c r="AK3843" s="306" t="str">
        <f>IF(ISNUMBER(Table1[[#This Row],[FECHA DE RECIBIDO]]), Table1[[#This Row],[FECHA DE RECIBIDO]]-DATE(2023,8,30), "")</f>
        <v/>
      </c>
    </row>
    <row r="3844" spans="1:37" ht="15" customHeight="1">
      <c r="A3844" s="152" t="s">
        <v>4288</v>
      </c>
      <c r="B3844" s="153">
        <v>1278</v>
      </c>
      <c r="C3844" s="126" t="s">
        <v>1511</v>
      </c>
      <c r="D3844">
        <v>2545</v>
      </c>
      <c r="E3844" s="126" t="s">
        <v>3278</v>
      </c>
      <c r="F3844" s="125" t="s">
        <v>1607</v>
      </c>
      <c r="G3844" s="125" t="s">
        <v>134</v>
      </c>
      <c r="H3844">
        <v>56</v>
      </c>
      <c r="I3844" s="125" t="s">
        <v>1546</v>
      </c>
      <c r="J3844" s="308" t="s">
        <v>214</v>
      </c>
      <c r="K3844" s="127" t="s">
        <v>4212</v>
      </c>
      <c r="L3844" s="153" t="s">
        <v>1579</v>
      </c>
      <c r="M3844">
        <v>547</v>
      </c>
      <c r="N3844" s="123">
        <v>17</v>
      </c>
      <c r="O3844">
        <v>2429</v>
      </c>
      <c r="P3844" s="132" t="s">
        <v>77</v>
      </c>
      <c r="Q3844" s="132">
        <v>232.35</v>
      </c>
      <c r="R3844" s="132"/>
      <c r="S3844" s="132"/>
      <c r="T3844" s="156"/>
      <c r="U3844" s="132"/>
      <c r="V3844" s="132">
        <v>232.35</v>
      </c>
      <c r="W3844"/>
      <c r="X3844" s="153" t="s">
        <v>3451</v>
      </c>
      <c r="Y3844" s="124" t="s">
        <v>55</v>
      </c>
      <c r="Z3844" s="308">
        <v>238</v>
      </c>
      <c r="AB3844" t="str">
        <f>IF(Table1[[#This Row],[TIPO2]]="costo", VLOOKUP(Table1[[#This Row],[PARTIDA PRESUPUESTAL]],'Cost Report'!G:G,1,0),"Balance")</f>
        <v>2494-015</v>
      </c>
      <c r="AC3844" s="118"/>
      <c r="AD3844" s="159">
        <f>+Table1[[#This Row],[SUBTOTAL]]+Table1[[#This Row],[IVA]]-Table1[[#This Row],[RET IVA]]-Table1[[#This Row],[RET ISR]]-Table1[[#This Row],[TOTAL]]</f>
        <v>0</v>
      </c>
      <c r="AE3844" s="152"/>
      <c r="AF3844" s="153"/>
      <c r="AG3844" s="126" t="s">
        <v>3420</v>
      </c>
      <c r="AK3844" s="306" t="str">
        <f>IF(ISNUMBER(Table1[[#This Row],[FECHA DE RECIBIDO]]), Table1[[#This Row],[FECHA DE RECIBIDO]]-DATE(2023,8,30), "")</f>
        <v/>
      </c>
    </row>
    <row r="3845" spans="1:37" ht="15" customHeight="1">
      <c r="A3845" s="150" t="s">
        <v>4288</v>
      </c>
      <c r="B3845" s="151">
        <v>1278</v>
      </c>
      <c r="C3845" s="126" t="s">
        <v>610</v>
      </c>
      <c r="D3845">
        <v>2546</v>
      </c>
      <c r="E3845" s="126" t="s">
        <v>1603</v>
      </c>
      <c r="F3845" s="122" t="s">
        <v>1607</v>
      </c>
      <c r="G3845" s="122" t="s">
        <v>134</v>
      </c>
      <c r="H3845">
        <v>99</v>
      </c>
      <c r="I3845" s="122" t="s">
        <v>1546</v>
      </c>
      <c r="J3845" s="307" t="s">
        <v>214</v>
      </c>
      <c r="K3845" s="127" t="s">
        <v>4212</v>
      </c>
      <c r="L3845" s="151" t="s">
        <v>1579</v>
      </c>
      <c r="M3845">
        <v>134</v>
      </c>
      <c r="N3845" s="123">
        <v>17</v>
      </c>
      <c r="O3845">
        <v>2430</v>
      </c>
      <c r="P3845" s="132" t="s">
        <v>77</v>
      </c>
      <c r="Q3845" s="131">
        <v>222.41</v>
      </c>
      <c r="R3845" s="131">
        <v>35.590000000000003</v>
      </c>
      <c r="S3845" s="131"/>
      <c r="T3845" s="155"/>
      <c r="U3845" s="131"/>
      <c r="V3845" s="131">
        <v>258</v>
      </c>
      <c r="W3845"/>
      <c r="X3845" s="151" t="s">
        <v>3451</v>
      </c>
      <c r="Y3845" s="135" t="s">
        <v>55</v>
      </c>
      <c r="Z3845" s="307">
        <v>232</v>
      </c>
      <c r="AB3845" t="str">
        <f>IF(Table1[[#This Row],[TIPO2]]="costo", VLOOKUP(Table1[[#This Row],[PARTIDA PRESUPUESTAL]],'Cost Report'!G:G,1,0),"Balance")</f>
        <v>2485-003</v>
      </c>
      <c r="AC3845" s="118"/>
      <c r="AD3845" s="159">
        <f>+Table1[[#This Row],[SUBTOTAL]]+Table1[[#This Row],[IVA]]-Table1[[#This Row],[RET IVA]]-Table1[[#This Row],[RET ISR]]-Table1[[#This Row],[TOTAL]]</f>
        <v>0</v>
      </c>
      <c r="AE3845" s="150"/>
      <c r="AF3845" s="151"/>
      <c r="AG3845" s="126" t="s">
        <v>3420</v>
      </c>
      <c r="AK3845" s="306" t="str">
        <f>IF(ISNUMBER(Table1[[#This Row],[FECHA DE RECIBIDO]]), Table1[[#This Row],[FECHA DE RECIBIDO]]-DATE(2023,8,30), "")</f>
        <v/>
      </c>
    </row>
    <row r="3846" spans="1:37" ht="15" customHeight="1">
      <c r="A3846" s="152" t="s">
        <v>4288</v>
      </c>
      <c r="B3846" s="153">
        <v>1278</v>
      </c>
      <c r="C3846" s="126" t="s">
        <v>2461</v>
      </c>
      <c r="D3846">
        <v>2547</v>
      </c>
      <c r="E3846" s="126" t="s">
        <v>3272</v>
      </c>
      <c r="F3846" s="125" t="s">
        <v>1607</v>
      </c>
      <c r="G3846" s="125" t="s">
        <v>134</v>
      </c>
      <c r="H3846">
        <v>286</v>
      </c>
      <c r="I3846" s="125" t="s">
        <v>1546</v>
      </c>
      <c r="J3846" s="308" t="s">
        <v>214</v>
      </c>
      <c r="K3846" s="127" t="s">
        <v>4212</v>
      </c>
      <c r="L3846" s="153" t="s">
        <v>1579</v>
      </c>
      <c r="M3846">
        <v>380</v>
      </c>
      <c r="N3846" s="123">
        <v>17</v>
      </c>
      <c r="O3846">
        <v>2431</v>
      </c>
      <c r="P3846" s="132" t="s">
        <v>77</v>
      </c>
      <c r="Q3846" s="132">
        <v>255.18</v>
      </c>
      <c r="R3846" s="132">
        <v>40.83</v>
      </c>
      <c r="S3846" s="132"/>
      <c r="T3846" s="156"/>
      <c r="U3846" s="132"/>
      <c r="V3846" s="132">
        <v>296.01</v>
      </c>
      <c r="W3846"/>
      <c r="X3846" s="153" t="s">
        <v>3451</v>
      </c>
      <c r="Y3846" s="124" t="s">
        <v>55</v>
      </c>
      <c r="Z3846" s="308">
        <v>244</v>
      </c>
      <c r="AB3846" t="str">
        <f>IF(Table1[[#This Row],[TIPO2]]="costo", VLOOKUP(Table1[[#This Row],[PARTIDA PRESUPUESTAL]],'Cost Report'!G:G,1,0),"Balance")</f>
        <v>2385-003</v>
      </c>
      <c r="AC3846" s="118"/>
      <c r="AD3846" s="159">
        <f>+Table1[[#This Row],[SUBTOTAL]]+Table1[[#This Row],[IVA]]-Table1[[#This Row],[RET IVA]]-Table1[[#This Row],[RET ISR]]-Table1[[#This Row],[TOTAL]]</f>
        <v>0</v>
      </c>
      <c r="AE3846" s="152"/>
      <c r="AF3846" s="153"/>
      <c r="AG3846" s="126" t="s">
        <v>3420</v>
      </c>
      <c r="AK3846" s="306" t="str">
        <f>IF(ISNUMBER(Table1[[#This Row],[FECHA DE RECIBIDO]]), Table1[[#This Row],[FECHA DE RECIBIDO]]-DATE(2023,8,30), "")</f>
        <v/>
      </c>
    </row>
    <row r="3847" spans="1:37" ht="15" customHeight="1">
      <c r="A3847" s="150" t="s">
        <v>4288</v>
      </c>
      <c r="B3847" s="151">
        <v>1278</v>
      </c>
      <c r="C3847" s="126" t="s">
        <v>1515</v>
      </c>
      <c r="D3847">
        <v>2548</v>
      </c>
      <c r="E3847" s="126" t="s">
        <v>1614</v>
      </c>
      <c r="F3847" s="122" t="s">
        <v>1607</v>
      </c>
      <c r="G3847" s="122" t="s">
        <v>134</v>
      </c>
      <c r="H3847">
        <v>172</v>
      </c>
      <c r="I3847" s="122" t="s">
        <v>1546</v>
      </c>
      <c r="J3847" s="307" t="s">
        <v>214</v>
      </c>
      <c r="K3847" s="127" t="s">
        <v>4212</v>
      </c>
      <c r="L3847" s="151" t="s">
        <v>1579</v>
      </c>
      <c r="M3847">
        <v>229</v>
      </c>
      <c r="N3847" s="123">
        <v>17</v>
      </c>
      <c r="O3847">
        <v>2432</v>
      </c>
      <c r="P3847" s="132" t="s">
        <v>77</v>
      </c>
      <c r="Q3847" s="131">
        <v>508.26</v>
      </c>
      <c r="R3847" s="131">
        <v>81.319999999999993</v>
      </c>
      <c r="S3847" s="131"/>
      <c r="T3847" s="155"/>
      <c r="U3847" s="131"/>
      <c r="V3847" s="131">
        <v>589.57999999999993</v>
      </c>
      <c r="W3847"/>
      <c r="X3847" s="151" t="s">
        <v>3451</v>
      </c>
      <c r="Y3847" s="135" t="s">
        <v>55</v>
      </c>
      <c r="Z3847" s="307">
        <v>237</v>
      </c>
      <c r="AB3847" t="str">
        <f>IF(Table1[[#This Row],[TIPO2]]="costo", VLOOKUP(Table1[[#This Row],[PARTIDA PRESUPUESTAL]],'Cost Report'!G:G,1,0),"Balance")</f>
        <v>2494-023</v>
      </c>
      <c r="AC3847" s="118"/>
      <c r="AD3847" s="159">
        <f>+Table1[[#This Row],[SUBTOTAL]]+Table1[[#This Row],[IVA]]-Table1[[#This Row],[RET IVA]]-Table1[[#This Row],[RET ISR]]-Table1[[#This Row],[TOTAL]]</f>
        <v>0</v>
      </c>
      <c r="AE3847" s="150"/>
      <c r="AF3847" s="151"/>
      <c r="AG3847" s="126" t="s">
        <v>3420</v>
      </c>
      <c r="AK3847" s="306" t="str">
        <f>IF(ISNUMBER(Table1[[#This Row],[FECHA DE RECIBIDO]]), Table1[[#This Row],[FECHA DE RECIBIDO]]-DATE(2023,8,30), "")</f>
        <v/>
      </c>
    </row>
    <row r="3848" spans="1:37" ht="15" customHeight="1">
      <c r="A3848" s="152" t="s">
        <v>4288</v>
      </c>
      <c r="B3848" s="153">
        <v>1278</v>
      </c>
      <c r="C3848" s="126" t="s">
        <v>1511</v>
      </c>
      <c r="D3848">
        <v>2549</v>
      </c>
      <c r="E3848" s="126" t="s">
        <v>2107</v>
      </c>
      <c r="F3848" s="125" t="s">
        <v>1593</v>
      </c>
      <c r="G3848" s="125" t="s">
        <v>109</v>
      </c>
      <c r="H3848">
        <v>271</v>
      </c>
      <c r="I3848" s="125" t="s">
        <v>1546</v>
      </c>
      <c r="J3848" s="308" t="s">
        <v>214</v>
      </c>
      <c r="K3848" s="127" t="s">
        <v>4212</v>
      </c>
      <c r="L3848" s="153" t="s">
        <v>1579</v>
      </c>
      <c r="M3848">
        <v>361</v>
      </c>
      <c r="N3848" s="123">
        <v>17</v>
      </c>
      <c r="O3848">
        <v>2433</v>
      </c>
      <c r="P3848" s="132" t="s">
        <v>77</v>
      </c>
      <c r="Q3848" s="132">
        <v>2176.5500000000002</v>
      </c>
      <c r="R3848" s="132">
        <v>352.66</v>
      </c>
      <c r="S3848" s="132"/>
      <c r="T3848" s="156"/>
      <c r="U3848" s="132"/>
      <c r="V3848" s="132">
        <v>2529.21</v>
      </c>
      <c r="W3848"/>
      <c r="X3848" s="153" t="s">
        <v>3451</v>
      </c>
      <c r="Y3848" s="124" t="s">
        <v>55</v>
      </c>
      <c r="Z3848" s="308">
        <v>238</v>
      </c>
      <c r="AB3848" t="str">
        <f>IF(Table1[[#This Row],[TIPO2]]="costo", VLOOKUP(Table1[[#This Row],[PARTIDA PRESUPUESTAL]],'Cost Report'!G:G,1,0),"Balance")</f>
        <v>2494-015</v>
      </c>
      <c r="AC3848" s="118"/>
      <c r="AD3848" s="159">
        <f>+Table1[[#This Row],[SUBTOTAL]]+Table1[[#This Row],[IVA]]-Table1[[#This Row],[RET IVA]]-Table1[[#This Row],[RET ISR]]-Table1[[#This Row],[TOTAL]]</f>
        <v>0</v>
      </c>
      <c r="AE3848" s="152"/>
      <c r="AF3848" s="153"/>
      <c r="AG3848" s="126" t="s">
        <v>3420</v>
      </c>
      <c r="AK3848" s="306" t="str">
        <f>IF(ISNUMBER(Table1[[#This Row],[FECHA DE RECIBIDO]]), Table1[[#This Row],[FECHA DE RECIBIDO]]-DATE(2023,8,30), "")</f>
        <v/>
      </c>
    </row>
    <row r="3849" spans="1:37" ht="15" customHeight="1">
      <c r="A3849" s="150" t="s">
        <v>4288</v>
      </c>
      <c r="B3849" s="151">
        <v>1278</v>
      </c>
      <c r="C3849" s="126" t="s">
        <v>1511</v>
      </c>
      <c r="D3849">
        <v>2550</v>
      </c>
      <c r="E3849" s="126" t="s">
        <v>1992</v>
      </c>
      <c r="F3849" s="122" t="s">
        <v>1593</v>
      </c>
      <c r="G3849" s="122" t="s">
        <v>109</v>
      </c>
      <c r="H3849">
        <v>704</v>
      </c>
      <c r="I3849" s="122" t="s">
        <v>1546</v>
      </c>
      <c r="J3849" s="307" t="s">
        <v>214</v>
      </c>
      <c r="K3849" s="127" t="s">
        <v>4212</v>
      </c>
      <c r="L3849" s="151" t="s">
        <v>1579</v>
      </c>
      <c r="M3849">
        <v>981</v>
      </c>
      <c r="N3849" s="123">
        <v>17</v>
      </c>
      <c r="O3849">
        <v>2434</v>
      </c>
      <c r="P3849" s="132" t="s">
        <v>77</v>
      </c>
      <c r="Q3849" s="131">
        <v>933.18</v>
      </c>
      <c r="R3849" s="131">
        <v>151.19999999999999</v>
      </c>
      <c r="S3849" s="131"/>
      <c r="T3849" s="155"/>
      <c r="U3849" s="131"/>
      <c r="V3849" s="131">
        <v>1084.3799999999999</v>
      </c>
      <c r="W3849"/>
      <c r="X3849" s="151" t="s">
        <v>3451</v>
      </c>
      <c r="Y3849" s="135" t="s">
        <v>55</v>
      </c>
      <c r="Z3849" s="307">
        <v>238</v>
      </c>
      <c r="AB3849" t="str">
        <f>IF(Table1[[#This Row],[TIPO2]]="costo", VLOOKUP(Table1[[#This Row],[PARTIDA PRESUPUESTAL]],'Cost Report'!G:G,1,0),"Balance")</f>
        <v>2494-015</v>
      </c>
      <c r="AC3849" s="118"/>
      <c r="AD3849" s="159">
        <f>+Table1[[#This Row],[SUBTOTAL]]+Table1[[#This Row],[IVA]]-Table1[[#This Row],[RET IVA]]-Table1[[#This Row],[RET ISR]]-Table1[[#This Row],[TOTAL]]</f>
        <v>0</v>
      </c>
      <c r="AE3849" s="150"/>
      <c r="AF3849" s="151"/>
      <c r="AG3849" s="126" t="s">
        <v>3420</v>
      </c>
      <c r="AK3849" s="306" t="str">
        <f>IF(ISNUMBER(Table1[[#This Row],[FECHA DE RECIBIDO]]), Table1[[#This Row],[FECHA DE RECIBIDO]]-DATE(2023,8,30), "")</f>
        <v/>
      </c>
    </row>
    <row r="3850" spans="1:37" ht="15" customHeight="1">
      <c r="A3850" s="152" t="s">
        <v>4288</v>
      </c>
      <c r="B3850" s="153">
        <v>1278</v>
      </c>
      <c r="C3850" s="126" t="s">
        <v>1511</v>
      </c>
      <c r="D3850">
        <v>2551</v>
      </c>
      <c r="E3850" s="126" t="s">
        <v>2107</v>
      </c>
      <c r="F3850" s="125" t="s">
        <v>1602</v>
      </c>
      <c r="G3850" s="125" t="s">
        <v>1617</v>
      </c>
      <c r="H3850">
        <v>270</v>
      </c>
      <c r="I3850" s="125" t="s">
        <v>1546</v>
      </c>
      <c r="J3850" s="308" t="s">
        <v>214</v>
      </c>
      <c r="K3850" s="127" t="s">
        <v>4212</v>
      </c>
      <c r="L3850" s="153" t="s">
        <v>1579</v>
      </c>
      <c r="M3850">
        <v>360</v>
      </c>
      <c r="N3850" s="123">
        <v>17</v>
      </c>
      <c r="O3850">
        <v>2435</v>
      </c>
      <c r="P3850" s="132" t="s">
        <v>77</v>
      </c>
      <c r="Q3850" s="132">
        <v>350</v>
      </c>
      <c r="R3850" s="132">
        <v>56</v>
      </c>
      <c r="S3850" s="132"/>
      <c r="T3850" s="156"/>
      <c r="U3850" s="132"/>
      <c r="V3850" s="132">
        <v>406</v>
      </c>
      <c r="W3850"/>
      <c r="X3850" s="153" t="s">
        <v>3451</v>
      </c>
      <c r="Y3850" s="124" t="s">
        <v>55</v>
      </c>
      <c r="Z3850" s="308">
        <v>239</v>
      </c>
      <c r="AB3850" t="str">
        <f>IF(Table1[[#This Row],[TIPO2]]="costo", VLOOKUP(Table1[[#This Row],[PARTIDA PRESUPUESTAL]],'Cost Report'!G:G,1,0),"Balance")</f>
        <v>2494-015</v>
      </c>
      <c r="AC3850" s="118"/>
      <c r="AD3850" s="159">
        <f>+Table1[[#This Row],[SUBTOTAL]]+Table1[[#This Row],[IVA]]-Table1[[#This Row],[RET IVA]]-Table1[[#This Row],[RET ISR]]-Table1[[#This Row],[TOTAL]]</f>
        <v>0</v>
      </c>
      <c r="AE3850" s="152"/>
      <c r="AF3850" s="153"/>
      <c r="AG3850" s="126" t="s">
        <v>3420</v>
      </c>
      <c r="AK3850" s="306" t="str">
        <f>IF(ISNUMBER(Table1[[#This Row],[FECHA DE RECIBIDO]]), Table1[[#This Row],[FECHA DE RECIBIDO]]-DATE(2023,8,30), "")</f>
        <v/>
      </c>
    </row>
    <row r="3851" spans="1:37" ht="15" customHeight="1">
      <c r="A3851" s="150" t="s">
        <v>4288</v>
      </c>
      <c r="B3851" s="151">
        <v>1278</v>
      </c>
      <c r="C3851" s="126" t="s">
        <v>1505</v>
      </c>
      <c r="D3851">
        <v>2552</v>
      </c>
      <c r="E3851" s="126" t="s">
        <v>2107</v>
      </c>
      <c r="F3851" s="122" t="s">
        <v>1589</v>
      </c>
      <c r="G3851" s="122" t="s">
        <v>129</v>
      </c>
      <c r="H3851">
        <v>705</v>
      </c>
      <c r="I3851" s="122" t="s">
        <v>1546</v>
      </c>
      <c r="J3851" s="307" t="s">
        <v>214</v>
      </c>
      <c r="K3851" s="127" t="s">
        <v>4212</v>
      </c>
      <c r="L3851" s="151" t="s">
        <v>1579</v>
      </c>
      <c r="M3851">
        <v>982</v>
      </c>
      <c r="N3851" s="123">
        <v>17</v>
      </c>
      <c r="O3851">
        <v>2436</v>
      </c>
      <c r="P3851" s="132" t="s">
        <v>77</v>
      </c>
      <c r="Q3851" s="131">
        <v>241.4</v>
      </c>
      <c r="R3851" s="131">
        <v>38.619999999999997</v>
      </c>
      <c r="S3851" s="131"/>
      <c r="T3851" s="155"/>
      <c r="U3851" s="131"/>
      <c r="V3851" s="131">
        <v>280.02</v>
      </c>
      <c r="W3851"/>
      <c r="X3851" s="151" t="s">
        <v>3451</v>
      </c>
      <c r="Y3851" s="135" t="s">
        <v>55</v>
      </c>
      <c r="Z3851" s="307">
        <v>238</v>
      </c>
      <c r="AB3851" t="str">
        <f>IF(Table1[[#This Row],[TIPO2]]="costo", VLOOKUP(Table1[[#This Row],[PARTIDA PRESUPUESTAL]],'Cost Report'!G:G,1,0),"Balance")</f>
        <v>2494-003</v>
      </c>
      <c r="AC3851" s="118"/>
      <c r="AD3851" s="159">
        <f>+Table1[[#This Row],[SUBTOTAL]]+Table1[[#This Row],[IVA]]-Table1[[#This Row],[RET IVA]]-Table1[[#This Row],[RET ISR]]-Table1[[#This Row],[TOTAL]]</f>
        <v>0</v>
      </c>
      <c r="AE3851" s="150"/>
      <c r="AF3851" s="151"/>
      <c r="AG3851" s="126" t="s">
        <v>3420</v>
      </c>
      <c r="AK3851" s="306" t="str">
        <f>IF(ISNUMBER(Table1[[#This Row],[FECHA DE RECIBIDO]]), Table1[[#This Row],[FECHA DE RECIBIDO]]-DATE(2023,8,30), "")</f>
        <v/>
      </c>
    </row>
    <row r="3852" spans="1:37" ht="15" customHeight="1">
      <c r="A3852" s="152" t="s">
        <v>4288</v>
      </c>
      <c r="B3852" s="153">
        <v>1278</v>
      </c>
      <c r="C3852" s="126" t="s">
        <v>2455</v>
      </c>
      <c r="D3852">
        <v>2553</v>
      </c>
      <c r="E3852" s="126" t="s">
        <v>3115</v>
      </c>
      <c r="F3852" s="125" t="s">
        <v>1382</v>
      </c>
      <c r="G3852" s="125" t="e">
        <v>#N/A</v>
      </c>
      <c r="H3852">
        <v>31</v>
      </c>
      <c r="I3852" s="125" t="s">
        <v>1546</v>
      </c>
      <c r="J3852" s="308" t="s">
        <v>214</v>
      </c>
      <c r="K3852" s="127" t="s">
        <v>4212</v>
      </c>
      <c r="L3852" s="153" t="s">
        <v>1579</v>
      </c>
      <c r="M3852">
        <v>69</v>
      </c>
      <c r="N3852" s="123">
        <v>17</v>
      </c>
      <c r="O3852">
        <v>2437</v>
      </c>
      <c r="P3852" s="132" t="s">
        <v>77</v>
      </c>
      <c r="Q3852" s="132">
        <v>126.02</v>
      </c>
      <c r="R3852" s="132">
        <v>4.4800000000000004</v>
      </c>
      <c r="S3852" s="132"/>
      <c r="T3852" s="156"/>
      <c r="U3852" s="132"/>
      <c r="V3852" s="132">
        <v>130.5</v>
      </c>
      <c r="W3852"/>
      <c r="X3852" s="153" t="s">
        <v>3451</v>
      </c>
      <c r="Y3852" s="124" t="s">
        <v>55</v>
      </c>
      <c r="Z3852" s="308">
        <v>244</v>
      </c>
      <c r="AB3852" t="str">
        <f>IF(Table1[[#This Row],[TIPO2]]="costo", VLOOKUP(Table1[[#This Row],[PARTIDA PRESUPUESTAL]],'Cost Report'!G:G,1,0),"Balance")</f>
        <v>2285-003</v>
      </c>
      <c r="AC3852" s="118"/>
      <c r="AD3852" s="159">
        <f>+Table1[[#This Row],[SUBTOTAL]]+Table1[[#This Row],[IVA]]-Table1[[#This Row],[RET IVA]]-Table1[[#This Row],[RET ISR]]-Table1[[#This Row],[TOTAL]]</f>
        <v>0</v>
      </c>
      <c r="AE3852" s="152"/>
      <c r="AF3852" s="153"/>
      <c r="AG3852" s="126" t="s">
        <v>3420</v>
      </c>
      <c r="AK3852" s="306" t="str">
        <f>IF(ISNUMBER(Table1[[#This Row],[FECHA DE RECIBIDO]]), Table1[[#This Row],[FECHA DE RECIBIDO]]-DATE(2023,8,30), "")</f>
        <v/>
      </c>
    </row>
    <row r="3853" spans="1:37" ht="15" customHeight="1">
      <c r="A3853" s="150" t="s">
        <v>4288</v>
      </c>
      <c r="B3853" s="151">
        <v>1278</v>
      </c>
      <c r="C3853" s="126" t="s">
        <v>2455</v>
      </c>
      <c r="D3853">
        <v>2554</v>
      </c>
      <c r="E3853" s="126" t="s">
        <v>3115</v>
      </c>
      <c r="F3853" s="122" t="s">
        <v>1382</v>
      </c>
      <c r="G3853" s="122" t="e">
        <v>#N/A</v>
      </c>
      <c r="H3853">
        <v>31</v>
      </c>
      <c r="I3853" s="122" t="s">
        <v>1546</v>
      </c>
      <c r="J3853" s="307" t="s">
        <v>214</v>
      </c>
      <c r="K3853" s="127" t="s">
        <v>4212</v>
      </c>
      <c r="L3853" s="151" t="s">
        <v>1579</v>
      </c>
      <c r="M3853">
        <v>69</v>
      </c>
      <c r="N3853" s="123">
        <v>17</v>
      </c>
      <c r="O3853">
        <v>2438</v>
      </c>
      <c r="P3853" s="132" t="s">
        <v>77</v>
      </c>
      <c r="Q3853" s="131">
        <v>145.69</v>
      </c>
      <c r="R3853" s="131">
        <v>23.31</v>
      </c>
      <c r="S3853" s="131"/>
      <c r="T3853" s="155"/>
      <c r="U3853" s="131"/>
      <c r="V3853" s="131">
        <v>169</v>
      </c>
      <c r="W3853"/>
      <c r="X3853" s="151" t="s">
        <v>3451</v>
      </c>
      <c r="Y3853" s="135" t="s">
        <v>55</v>
      </c>
      <c r="Z3853" s="307">
        <v>244</v>
      </c>
      <c r="AB3853" t="str">
        <f>IF(Table1[[#This Row],[TIPO2]]="costo", VLOOKUP(Table1[[#This Row],[PARTIDA PRESUPUESTAL]],'Cost Report'!G:G,1,0),"Balance")</f>
        <v>2285-003</v>
      </c>
      <c r="AC3853" s="118"/>
      <c r="AD3853" s="159">
        <f>+Table1[[#This Row],[SUBTOTAL]]+Table1[[#This Row],[IVA]]-Table1[[#This Row],[RET IVA]]-Table1[[#This Row],[RET ISR]]-Table1[[#This Row],[TOTAL]]</f>
        <v>0</v>
      </c>
      <c r="AE3853" s="150"/>
      <c r="AF3853" s="151"/>
      <c r="AG3853" s="126" t="s">
        <v>3420</v>
      </c>
      <c r="AK3853" s="306" t="str">
        <f>IF(ISNUMBER(Table1[[#This Row],[FECHA DE RECIBIDO]]), Table1[[#This Row],[FECHA DE RECIBIDO]]-DATE(2023,8,30), "")</f>
        <v/>
      </c>
    </row>
    <row r="3854" spans="1:37" ht="15" customHeight="1">
      <c r="A3854" s="152" t="s">
        <v>4288</v>
      </c>
      <c r="B3854" s="153">
        <v>1278</v>
      </c>
      <c r="C3854" s="126" t="s">
        <v>610</v>
      </c>
      <c r="D3854">
        <v>2555</v>
      </c>
      <c r="E3854" s="126" t="s">
        <v>4289</v>
      </c>
      <c r="F3854" s="125" t="s">
        <v>1593</v>
      </c>
      <c r="G3854" s="125" t="s">
        <v>109</v>
      </c>
      <c r="H3854">
        <v>706</v>
      </c>
      <c r="I3854" s="125" t="s">
        <v>1546</v>
      </c>
      <c r="J3854" s="308" t="s">
        <v>214</v>
      </c>
      <c r="K3854" s="127" t="s">
        <v>4212</v>
      </c>
      <c r="L3854" s="153" t="s">
        <v>1579</v>
      </c>
      <c r="M3854">
        <v>983</v>
      </c>
      <c r="N3854" s="123">
        <v>17</v>
      </c>
      <c r="O3854">
        <v>2439</v>
      </c>
      <c r="P3854" s="132" t="s">
        <v>77</v>
      </c>
      <c r="Q3854" s="132">
        <v>2549.96</v>
      </c>
      <c r="R3854" s="132">
        <v>407.99</v>
      </c>
      <c r="S3854" s="132"/>
      <c r="T3854" s="156"/>
      <c r="U3854" s="132"/>
      <c r="V3854" s="132">
        <v>2957.95</v>
      </c>
      <c r="W3854"/>
      <c r="X3854" s="153" t="s">
        <v>3451</v>
      </c>
      <c r="Y3854" s="124" t="s">
        <v>55</v>
      </c>
      <c r="Z3854" s="308">
        <v>240</v>
      </c>
      <c r="AB3854" t="str">
        <f>IF(Table1[[#This Row],[TIPO2]]="costo", VLOOKUP(Table1[[#This Row],[PARTIDA PRESUPUESTAL]],'Cost Report'!G:G,1,0),"Balance")</f>
        <v>2485-003</v>
      </c>
      <c r="AC3854" s="118"/>
      <c r="AD3854" s="159">
        <f>+Table1[[#This Row],[SUBTOTAL]]+Table1[[#This Row],[IVA]]-Table1[[#This Row],[RET IVA]]-Table1[[#This Row],[RET ISR]]-Table1[[#This Row],[TOTAL]]</f>
        <v>0</v>
      </c>
      <c r="AE3854" s="152"/>
      <c r="AF3854" s="153"/>
      <c r="AG3854" s="126" t="s">
        <v>3420</v>
      </c>
      <c r="AK3854" s="306" t="str">
        <f>IF(ISNUMBER(Table1[[#This Row],[FECHA DE RECIBIDO]]), Table1[[#This Row],[FECHA DE RECIBIDO]]-DATE(2023,8,30), "")</f>
        <v/>
      </c>
    </row>
    <row r="3855" spans="1:37" ht="15" customHeight="1">
      <c r="A3855" s="150" t="s">
        <v>4288</v>
      </c>
      <c r="B3855" s="151">
        <v>1278</v>
      </c>
      <c r="C3855" s="126" t="s">
        <v>610</v>
      </c>
      <c r="D3855">
        <v>2556</v>
      </c>
      <c r="E3855" s="126" t="s">
        <v>4289</v>
      </c>
      <c r="F3855" s="122" t="s">
        <v>1593</v>
      </c>
      <c r="G3855" s="122" t="s">
        <v>109</v>
      </c>
      <c r="H3855">
        <v>706</v>
      </c>
      <c r="I3855" s="122" t="s">
        <v>1546</v>
      </c>
      <c r="J3855" s="307" t="s">
        <v>214</v>
      </c>
      <c r="K3855" s="127" t="s">
        <v>4212</v>
      </c>
      <c r="L3855" s="151" t="s">
        <v>1579</v>
      </c>
      <c r="M3855">
        <v>983</v>
      </c>
      <c r="N3855" s="123">
        <v>17</v>
      </c>
      <c r="O3855">
        <v>2440</v>
      </c>
      <c r="P3855" s="132" t="s">
        <v>77</v>
      </c>
      <c r="Q3855" s="131">
        <v>1100.01</v>
      </c>
      <c r="R3855" s="131">
        <v>175.99</v>
      </c>
      <c r="S3855" s="131"/>
      <c r="T3855" s="155"/>
      <c r="U3855" s="131"/>
      <c r="V3855" s="131">
        <v>1276</v>
      </c>
      <c r="W3855"/>
      <c r="X3855" s="151" t="s">
        <v>3451</v>
      </c>
      <c r="Y3855" s="135" t="s">
        <v>55</v>
      </c>
      <c r="Z3855" s="307">
        <v>240</v>
      </c>
      <c r="AB3855" t="str">
        <f>IF(Table1[[#This Row],[TIPO2]]="costo", VLOOKUP(Table1[[#This Row],[PARTIDA PRESUPUESTAL]],'Cost Report'!G:G,1,0),"Balance")</f>
        <v>2485-003</v>
      </c>
      <c r="AC3855" s="118"/>
      <c r="AD3855" s="159">
        <f>+Table1[[#This Row],[SUBTOTAL]]+Table1[[#This Row],[IVA]]-Table1[[#This Row],[RET IVA]]-Table1[[#This Row],[RET ISR]]-Table1[[#This Row],[TOTAL]]</f>
        <v>0</v>
      </c>
      <c r="AE3855" s="150"/>
      <c r="AF3855" s="151"/>
      <c r="AG3855" s="126" t="s">
        <v>3420</v>
      </c>
      <c r="AK3855" s="306" t="str">
        <f>IF(ISNUMBER(Table1[[#This Row],[FECHA DE RECIBIDO]]), Table1[[#This Row],[FECHA DE RECIBIDO]]-DATE(2023,8,30), "")</f>
        <v/>
      </c>
    </row>
    <row r="3856" spans="1:37" ht="15" customHeight="1">
      <c r="A3856" s="152" t="s">
        <v>4288</v>
      </c>
      <c r="B3856" s="153">
        <v>1278</v>
      </c>
      <c r="C3856" s="126" t="s">
        <v>610</v>
      </c>
      <c r="D3856">
        <v>2557</v>
      </c>
      <c r="E3856" s="126" t="s">
        <v>1603</v>
      </c>
      <c r="F3856" s="125" t="s">
        <v>1607</v>
      </c>
      <c r="G3856" s="125" t="s">
        <v>134</v>
      </c>
      <c r="H3856">
        <v>99</v>
      </c>
      <c r="I3856" s="125" t="s">
        <v>1546</v>
      </c>
      <c r="J3856" s="308" t="s">
        <v>214</v>
      </c>
      <c r="K3856" s="127" t="s">
        <v>4212</v>
      </c>
      <c r="L3856" s="153" t="s">
        <v>1579</v>
      </c>
      <c r="M3856">
        <v>134</v>
      </c>
      <c r="N3856" s="123">
        <v>17</v>
      </c>
      <c r="O3856">
        <v>2441</v>
      </c>
      <c r="P3856" s="132" t="s">
        <v>77</v>
      </c>
      <c r="Q3856" s="132">
        <v>438.57</v>
      </c>
      <c r="R3856" s="132">
        <v>63.93</v>
      </c>
      <c r="S3856" s="132"/>
      <c r="T3856" s="156"/>
      <c r="U3856" s="132"/>
      <c r="V3856" s="132">
        <v>502.5</v>
      </c>
      <c r="W3856"/>
      <c r="X3856" s="153" t="s">
        <v>3451</v>
      </c>
      <c r="Y3856" s="124" t="s">
        <v>55</v>
      </c>
      <c r="Z3856" s="308">
        <v>240</v>
      </c>
      <c r="AB3856" t="str">
        <f>IF(Table1[[#This Row],[TIPO2]]="costo", VLOOKUP(Table1[[#This Row],[PARTIDA PRESUPUESTAL]],'Cost Report'!G:G,1,0),"Balance")</f>
        <v>2485-003</v>
      </c>
      <c r="AC3856" s="118"/>
      <c r="AD3856" s="159">
        <f>+Table1[[#This Row],[SUBTOTAL]]+Table1[[#This Row],[IVA]]-Table1[[#This Row],[RET IVA]]-Table1[[#This Row],[RET ISR]]-Table1[[#This Row],[TOTAL]]</f>
        <v>0</v>
      </c>
      <c r="AE3856" s="152"/>
      <c r="AF3856" s="153"/>
      <c r="AG3856" s="126" t="s">
        <v>3420</v>
      </c>
      <c r="AK3856" s="306" t="str">
        <f>IF(ISNUMBER(Table1[[#This Row],[FECHA DE RECIBIDO]]), Table1[[#This Row],[FECHA DE RECIBIDO]]-DATE(2023,8,30), "")</f>
        <v/>
      </c>
    </row>
    <row r="3857" spans="1:37" ht="15" customHeight="1">
      <c r="A3857" s="150" t="s">
        <v>4288</v>
      </c>
      <c r="B3857" s="151">
        <v>1278</v>
      </c>
      <c r="C3857" s="126" t="s">
        <v>1517</v>
      </c>
      <c r="D3857">
        <v>2558</v>
      </c>
      <c r="E3857" s="126" t="s">
        <v>3352</v>
      </c>
      <c r="F3857" s="122" t="s">
        <v>1607</v>
      </c>
      <c r="G3857" s="122" t="s">
        <v>134</v>
      </c>
      <c r="H3857">
        <v>56</v>
      </c>
      <c r="I3857" s="122" t="s">
        <v>1546</v>
      </c>
      <c r="J3857" s="307" t="s">
        <v>214</v>
      </c>
      <c r="K3857" s="127" t="s">
        <v>4212</v>
      </c>
      <c r="L3857" s="151" t="s">
        <v>1579</v>
      </c>
      <c r="M3857">
        <v>547</v>
      </c>
      <c r="N3857" s="123">
        <v>17</v>
      </c>
      <c r="O3857">
        <v>2442</v>
      </c>
      <c r="P3857" s="132" t="s">
        <v>77</v>
      </c>
      <c r="Q3857" s="131">
        <v>561.03</v>
      </c>
      <c r="R3857" s="131">
        <v>89.77</v>
      </c>
      <c r="S3857" s="131"/>
      <c r="T3857" s="155"/>
      <c r="U3857" s="131"/>
      <c r="V3857" s="131">
        <v>650.79999999999995</v>
      </c>
      <c r="W3857"/>
      <c r="X3857" s="151" t="s">
        <v>3451</v>
      </c>
      <c r="Y3857" s="135" t="s">
        <v>55</v>
      </c>
      <c r="Z3857" s="307">
        <v>239</v>
      </c>
      <c r="AB3857" t="str">
        <f>IF(Table1[[#This Row],[TIPO2]]="costo", VLOOKUP(Table1[[#This Row],[PARTIDA PRESUPUESTAL]],'Cost Report'!G:G,1,0),"Balance")</f>
        <v>2494-027</v>
      </c>
      <c r="AC3857" s="118"/>
      <c r="AD3857" s="159">
        <f>+Table1[[#This Row],[SUBTOTAL]]+Table1[[#This Row],[IVA]]-Table1[[#This Row],[RET IVA]]-Table1[[#This Row],[RET ISR]]-Table1[[#This Row],[TOTAL]]</f>
        <v>0</v>
      </c>
      <c r="AE3857" s="150"/>
      <c r="AF3857" s="151"/>
      <c r="AG3857" s="126" t="s">
        <v>3420</v>
      </c>
      <c r="AK3857" s="306" t="str">
        <f>IF(ISNUMBER(Table1[[#This Row],[FECHA DE RECIBIDO]]), Table1[[#This Row],[FECHA DE RECIBIDO]]-DATE(2023,8,30), "")</f>
        <v/>
      </c>
    </row>
    <row r="3858" spans="1:37" ht="15" customHeight="1">
      <c r="A3858" s="152" t="s">
        <v>4288</v>
      </c>
      <c r="B3858" s="153">
        <v>1278</v>
      </c>
      <c r="C3858" s="126" t="s">
        <v>610</v>
      </c>
      <c r="D3858">
        <v>2559</v>
      </c>
      <c r="E3858" s="126" t="s">
        <v>4289</v>
      </c>
      <c r="F3858" s="125" t="s">
        <v>1593</v>
      </c>
      <c r="G3858" s="125" t="s">
        <v>109</v>
      </c>
      <c r="H3858">
        <v>706</v>
      </c>
      <c r="I3858" s="125" t="s">
        <v>1546</v>
      </c>
      <c r="J3858" s="308" t="s">
        <v>214</v>
      </c>
      <c r="K3858" s="127" t="s">
        <v>4212</v>
      </c>
      <c r="L3858" s="153" t="s">
        <v>1579</v>
      </c>
      <c r="M3858">
        <v>983</v>
      </c>
      <c r="N3858" s="123">
        <v>17</v>
      </c>
      <c r="O3858">
        <v>2443</v>
      </c>
      <c r="P3858" s="132" t="s">
        <v>77</v>
      </c>
      <c r="Q3858" s="132">
        <v>1127.6400000000001</v>
      </c>
      <c r="R3858" s="132">
        <v>180.44</v>
      </c>
      <c r="S3858" s="132"/>
      <c r="T3858" s="156"/>
      <c r="U3858" s="132"/>
      <c r="V3858" s="132">
        <v>1308.0800000000002</v>
      </c>
      <c r="W3858"/>
      <c r="X3858" s="153" t="s">
        <v>3451</v>
      </c>
      <c r="Y3858" s="124" t="s">
        <v>55</v>
      </c>
      <c r="Z3858" s="308">
        <v>240</v>
      </c>
      <c r="AB3858" t="str">
        <f>IF(Table1[[#This Row],[TIPO2]]="costo", VLOOKUP(Table1[[#This Row],[PARTIDA PRESUPUESTAL]],'Cost Report'!G:G,1,0),"Balance")</f>
        <v>2485-003</v>
      </c>
      <c r="AC3858" s="118"/>
      <c r="AD3858" s="159">
        <f>+Table1[[#This Row],[SUBTOTAL]]+Table1[[#This Row],[IVA]]-Table1[[#This Row],[RET IVA]]-Table1[[#This Row],[RET ISR]]-Table1[[#This Row],[TOTAL]]</f>
        <v>0</v>
      </c>
      <c r="AE3858" s="152"/>
      <c r="AF3858" s="153"/>
      <c r="AG3858" s="126" t="s">
        <v>3420</v>
      </c>
      <c r="AK3858" s="306" t="str">
        <f>IF(ISNUMBER(Table1[[#This Row],[FECHA DE RECIBIDO]]), Table1[[#This Row],[FECHA DE RECIBIDO]]-DATE(2023,8,30), "")</f>
        <v/>
      </c>
    </row>
    <row r="3859" spans="1:37" ht="15" customHeight="1">
      <c r="A3859" s="150" t="s">
        <v>4288</v>
      </c>
      <c r="B3859" s="151">
        <v>1278</v>
      </c>
      <c r="C3859" s="126" t="s">
        <v>1505</v>
      </c>
      <c r="D3859">
        <v>2250</v>
      </c>
      <c r="E3859" s="126" t="s">
        <v>1605</v>
      </c>
      <c r="F3859" s="122" t="s">
        <v>1589</v>
      </c>
      <c r="G3859" s="122" t="s">
        <v>129</v>
      </c>
      <c r="H3859">
        <v>621</v>
      </c>
      <c r="I3859" s="122" t="s">
        <v>1546</v>
      </c>
      <c r="J3859" s="307" t="s">
        <v>214</v>
      </c>
      <c r="K3859" s="127" t="s">
        <v>4212</v>
      </c>
      <c r="L3859" s="151" t="s">
        <v>1579</v>
      </c>
      <c r="M3859">
        <v>876</v>
      </c>
      <c r="N3859" s="123">
        <v>17</v>
      </c>
      <c r="O3859">
        <v>2163</v>
      </c>
      <c r="P3859" s="132" t="s">
        <v>77</v>
      </c>
      <c r="Q3859" s="131">
        <v>375</v>
      </c>
      <c r="R3859" s="131">
        <v>60</v>
      </c>
      <c r="S3859" s="131"/>
      <c r="T3859" s="155"/>
      <c r="U3859" s="131"/>
      <c r="V3859" s="131">
        <v>435</v>
      </c>
      <c r="W3859"/>
      <c r="X3859" s="151" t="s">
        <v>3451</v>
      </c>
      <c r="Y3859" s="135" t="s">
        <v>55</v>
      </c>
      <c r="Z3859" s="307">
        <v>232</v>
      </c>
      <c r="AB3859" t="str">
        <f>IF(Table1[[#This Row],[TIPO2]]="costo", VLOOKUP(Table1[[#This Row],[PARTIDA PRESUPUESTAL]],'Cost Report'!G:G,1,0),"Balance")</f>
        <v>2494-003</v>
      </c>
      <c r="AC3859" s="118"/>
      <c r="AD3859" s="159">
        <f>+Table1[[#This Row],[SUBTOTAL]]+Table1[[#This Row],[IVA]]-Table1[[#This Row],[RET IVA]]-Table1[[#This Row],[RET ISR]]-Table1[[#This Row],[TOTAL]]</f>
        <v>0</v>
      </c>
      <c r="AE3859" s="150"/>
      <c r="AF3859" s="151"/>
      <c r="AG3859" s="126" t="s">
        <v>3420</v>
      </c>
      <c r="AK3859" s="306" t="str">
        <f>IF(ISNUMBER(Table1[[#This Row],[FECHA DE RECIBIDO]]), Table1[[#This Row],[FECHA DE RECIBIDO]]-DATE(2023,8,30), "")</f>
        <v/>
      </c>
    </row>
    <row r="3860" spans="1:37" ht="15" customHeight="1">
      <c r="A3860" s="152" t="s">
        <v>4288</v>
      </c>
      <c r="B3860" s="153">
        <v>1278</v>
      </c>
      <c r="C3860" s="126" t="s">
        <v>2455</v>
      </c>
      <c r="D3860">
        <v>689</v>
      </c>
      <c r="E3860" s="126"/>
      <c r="F3860" s="125"/>
      <c r="G3860" s="125"/>
      <c r="H3860"/>
      <c r="I3860" s="125"/>
      <c r="J3860" s="308" t="s">
        <v>214</v>
      </c>
      <c r="K3860" s="127" t="s">
        <v>4212</v>
      </c>
      <c r="L3860" s="153" t="s">
        <v>1579</v>
      </c>
      <c r="M3860">
        <v>375</v>
      </c>
      <c r="N3860" s="123">
        <v>17</v>
      </c>
      <c r="O3860">
        <v>522</v>
      </c>
      <c r="P3860" s="132" t="s">
        <v>77</v>
      </c>
      <c r="Q3860" s="132">
        <v>29.5</v>
      </c>
      <c r="R3860" s="132"/>
      <c r="S3860" s="132"/>
      <c r="T3860" s="156"/>
      <c r="U3860" s="132"/>
      <c r="V3860" s="132">
        <v>29.5</v>
      </c>
      <c r="W3860"/>
      <c r="X3860" s="153" t="s">
        <v>3451</v>
      </c>
      <c r="Y3860" s="124" t="s">
        <v>55</v>
      </c>
      <c r="Z3860" s="308">
        <v>238</v>
      </c>
      <c r="AB3860" t="str">
        <f>IF(Table1[[#This Row],[TIPO2]]="costo", VLOOKUP(Table1[[#This Row],[PARTIDA PRESUPUESTAL]],'Cost Report'!G:G,1,0),"Balance")</f>
        <v>2285-003</v>
      </c>
      <c r="AC3860" s="118"/>
      <c r="AD3860" s="159">
        <f>+Table1[[#This Row],[SUBTOTAL]]+Table1[[#This Row],[IVA]]-Table1[[#This Row],[RET IVA]]-Table1[[#This Row],[RET ISR]]-Table1[[#This Row],[TOTAL]]</f>
        <v>0</v>
      </c>
      <c r="AE3860" s="152"/>
      <c r="AF3860" s="153"/>
      <c r="AG3860" s="126" t="s">
        <v>3420</v>
      </c>
      <c r="AK3860" s="306" t="str">
        <f>IF(ISNUMBER(Table1[[#This Row],[FECHA DE RECIBIDO]]), Table1[[#This Row],[FECHA DE RECIBIDO]]-DATE(2023,8,30), "")</f>
        <v/>
      </c>
    </row>
    <row r="3861" spans="1:37" ht="15" customHeight="1">
      <c r="A3861" s="150" t="s">
        <v>4288</v>
      </c>
      <c r="B3861" s="151">
        <v>1278</v>
      </c>
      <c r="C3861" s="126" t="s">
        <v>2455</v>
      </c>
      <c r="D3861">
        <v>689</v>
      </c>
      <c r="E3861" s="126"/>
      <c r="F3861" s="122"/>
      <c r="G3861" s="122"/>
      <c r="H3861"/>
      <c r="I3861" s="122"/>
      <c r="J3861" s="307" t="s">
        <v>214</v>
      </c>
      <c r="K3861" s="127" t="s">
        <v>4212</v>
      </c>
      <c r="L3861" s="151" t="s">
        <v>1579</v>
      </c>
      <c r="M3861">
        <v>984</v>
      </c>
      <c r="N3861" s="123">
        <v>17</v>
      </c>
      <c r="O3861">
        <v>2444</v>
      </c>
      <c r="P3861" s="132" t="s">
        <v>77</v>
      </c>
      <c r="Q3861" s="131">
        <v>24</v>
      </c>
      <c r="R3861" s="131"/>
      <c r="S3861" s="131"/>
      <c r="T3861" s="155"/>
      <c r="U3861" s="131"/>
      <c r="V3861" s="131">
        <v>24</v>
      </c>
      <c r="W3861"/>
      <c r="X3861" s="151" t="s">
        <v>3451</v>
      </c>
      <c r="Y3861" s="135" t="s">
        <v>55</v>
      </c>
      <c r="Z3861" s="307">
        <v>239</v>
      </c>
      <c r="AB3861" t="str">
        <f>IF(Table1[[#This Row],[TIPO2]]="costo", VLOOKUP(Table1[[#This Row],[PARTIDA PRESUPUESTAL]],'Cost Report'!G:G,1,0),"Balance")</f>
        <v>2285-003</v>
      </c>
      <c r="AC3861" s="118"/>
      <c r="AD3861" s="159">
        <f>+Table1[[#This Row],[SUBTOTAL]]+Table1[[#This Row],[IVA]]-Table1[[#This Row],[RET IVA]]-Table1[[#This Row],[RET ISR]]-Table1[[#This Row],[TOTAL]]</f>
        <v>0</v>
      </c>
      <c r="AE3861" s="150"/>
      <c r="AF3861" s="151"/>
      <c r="AG3861" s="126" t="s">
        <v>3420</v>
      </c>
      <c r="AK3861" s="306" t="str">
        <f>IF(ISNUMBER(Table1[[#This Row],[FECHA DE RECIBIDO]]), Table1[[#This Row],[FECHA DE RECIBIDO]]-DATE(2023,8,30), "")</f>
        <v/>
      </c>
    </row>
    <row r="3862" spans="1:37" ht="15" customHeight="1">
      <c r="A3862" s="152" t="s">
        <v>4290</v>
      </c>
      <c r="B3862" s="153">
        <v>1279</v>
      </c>
      <c r="C3862" s="126" t="s">
        <v>2566</v>
      </c>
      <c r="D3862">
        <v>2560</v>
      </c>
      <c r="E3862" s="126" t="s">
        <v>3378</v>
      </c>
      <c r="F3862" s="125" t="s">
        <v>1589</v>
      </c>
      <c r="G3862" s="125" t="s">
        <v>129</v>
      </c>
      <c r="H3862">
        <v>707</v>
      </c>
      <c r="I3862" s="125" t="s">
        <v>1546</v>
      </c>
      <c r="J3862" s="308" t="s">
        <v>214</v>
      </c>
      <c r="K3862" s="127" t="s">
        <v>4212</v>
      </c>
      <c r="L3862" s="153" t="s">
        <v>1579</v>
      </c>
      <c r="M3862">
        <v>985</v>
      </c>
      <c r="N3862" s="123">
        <v>17</v>
      </c>
      <c r="O3862">
        <v>2445</v>
      </c>
      <c r="P3862" s="132" t="s">
        <v>77</v>
      </c>
      <c r="Q3862" s="132">
        <v>1600</v>
      </c>
      <c r="R3862" s="132"/>
      <c r="S3862" s="132"/>
      <c r="T3862" s="156"/>
      <c r="U3862" s="132"/>
      <c r="V3862" s="132">
        <v>1600</v>
      </c>
      <c r="W3862"/>
      <c r="X3862" s="153" t="s">
        <v>3451</v>
      </c>
      <c r="Y3862" s="124" t="s">
        <v>55</v>
      </c>
      <c r="Z3862" s="308">
        <v>604</v>
      </c>
      <c r="AB3862" t="str">
        <f>IF(Table1[[#This Row],[TIPO2]]="costo", VLOOKUP(Table1[[#This Row],[PARTIDA PRESUPUESTAL]],'Cost Report'!G:G,1,0),"Balance")</f>
        <v>2594-003</v>
      </c>
      <c r="AC3862" s="118"/>
      <c r="AD3862" s="159">
        <f>+Table1[[#This Row],[SUBTOTAL]]+Table1[[#This Row],[IVA]]-Table1[[#This Row],[RET IVA]]-Table1[[#This Row],[RET ISR]]-Table1[[#This Row],[TOTAL]]</f>
        <v>0</v>
      </c>
      <c r="AE3862" s="152"/>
      <c r="AF3862" s="153"/>
      <c r="AG3862" s="126" t="s">
        <v>3420</v>
      </c>
      <c r="AK3862" s="306" t="str">
        <f>IF(ISNUMBER(Table1[[#This Row],[FECHA DE RECIBIDO]]), Table1[[#This Row],[FECHA DE RECIBIDO]]-DATE(2023,8,30), "")</f>
        <v/>
      </c>
    </row>
    <row r="3863" spans="1:37" ht="15" customHeight="1">
      <c r="A3863" s="150" t="s">
        <v>4290</v>
      </c>
      <c r="B3863" s="151">
        <v>1279</v>
      </c>
      <c r="C3863" s="126" t="s">
        <v>2566</v>
      </c>
      <c r="D3863">
        <v>2561</v>
      </c>
      <c r="E3863" s="126" t="s">
        <v>3378</v>
      </c>
      <c r="F3863" s="122" t="s">
        <v>1589</v>
      </c>
      <c r="G3863" s="122" t="s">
        <v>129</v>
      </c>
      <c r="H3863">
        <v>708</v>
      </c>
      <c r="I3863" s="122" t="s">
        <v>1546</v>
      </c>
      <c r="J3863" s="307" t="s">
        <v>214</v>
      </c>
      <c r="K3863" s="127" t="s">
        <v>4212</v>
      </c>
      <c r="L3863" s="151" t="s">
        <v>1579</v>
      </c>
      <c r="M3863">
        <v>986</v>
      </c>
      <c r="N3863" s="123">
        <v>17</v>
      </c>
      <c r="O3863">
        <v>2446</v>
      </c>
      <c r="P3863" s="132" t="s">
        <v>77</v>
      </c>
      <c r="Q3863" s="131">
        <v>195</v>
      </c>
      <c r="R3863" s="131"/>
      <c r="S3863" s="131"/>
      <c r="T3863" s="155"/>
      <c r="U3863" s="131"/>
      <c r="V3863" s="131">
        <v>195</v>
      </c>
      <c r="W3863"/>
      <c r="X3863" s="151" t="s">
        <v>3451</v>
      </c>
      <c r="Y3863" s="135" t="s">
        <v>55</v>
      </c>
      <c r="Z3863" s="307">
        <v>604</v>
      </c>
      <c r="AB3863" t="str">
        <f>IF(Table1[[#This Row],[TIPO2]]="costo", VLOOKUP(Table1[[#This Row],[PARTIDA PRESUPUESTAL]],'Cost Report'!G:G,1,0),"Balance")</f>
        <v>2594-003</v>
      </c>
      <c r="AC3863" s="118"/>
      <c r="AD3863" s="159">
        <f>+Table1[[#This Row],[SUBTOTAL]]+Table1[[#This Row],[IVA]]-Table1[[#This Row],[RET IVA]]-Table1[[#This Row],[RET ISR]]-Table1[[#This Row],[TOTAL]]</f>
        <v>0</v>
      </c>
      <c r="AE3863" s="150"/>
      <c r="AF3863" s="151"/>
      <c r="AG3863" s="126" t="s">
        <v>3420</v>
      </c>
      <c r="AK3863" s="306" t="str">
        <f>IF(ISNUMBER(Table1[[#This Row],[FECHA DE RECIBIDO]]), Table1[[#This Row],[FECHA DE RECIBIDO]]-DATE(2023,8,30), "")</f>
        <v/>
      </c>
    </row>
    <row r="3864" spans="1:37" ht="15" customHeight="1">
      <c r="A3864" s="152" t="s">
        <v>4290</v>
      </c>
      <c r="B3864" s="153">
        <v>1279</v>
      </c>
      <c r="C3864" s="126" t="s">
        <v>2566</v>
      </c>
      <c r="D3864">
        <v>2562</v>
      </c>
      <c r="E3864" s="126" t="s">
        <v>3378</v>
      </c>
      <c r="F3864" s="125" t="s">
        <v>1589</v>
      </c>
      <c r="G3864" s="125" t="s">
        <v>129</v>
      </c>
      <c r="H3864">
        <v>707</v>
      </c>
      <c r="I3864" s="125" t="s">
        <v>1546</v>
      </c>
      <c r="J3864" s="308" t="s">
        <v>214</v>
      </c>
      <c r="K3864" s="127" t="s">
        <v>4212</v>
      </c>
      <c r="L3864" s="153" t="s">
        <v>1579</v>
      </c>
      <c r="M3864">
        <v>985</v>
      </c>
      <c r="N3864" s="123">
        <v>17</v>
      </c>
      <c r="O3864">
        <v>2447</v>
      </c>
      <c r="P3864" s="132" t="s">
        <v>77</v>
      </c>
      <c r="Q3864" s="132">
        <v>870</v>
      </c>
      <c r="R3864" s="132"/>
      <c r="S3864" s="132"/>
      <c r="T3864" s="156"/>
      <c r="U3864" s="132"/>
      <c r="V3864" s="132">
        <v>870</v>
      </c>
      <c r="W3864"/>
      <c r="X3864" s="153" t="s">
        <v>3451</v>
      </c>
      <c r="Y3864" s="124" t="s">
        <v>55</v>
      </c>
      <c r="Z3864" s="308">
        <v>604</v>
      </c>
      <c r="AB3864" t="str">
        <f>IF(Table1[[#This Row],[TIPO2]]="costo", VLOOKUP(Table1[[#This Row],[PARTIDA PRESUPUESTAL]],'Cost Report'!G:G,1,0),"Balance")</f>
        <v>2594-003</v>
      </c>
      <c r="AC3864" s="118"/>
      <c r="AD3864" s="159">
        <f>+Table1[[#This Row],[SUBTOTAL]]+Table1[[#This Row],[IVA]]-Table1[[#This Row],[RET IVA]]-Table1[[#This Row],[RET ISR]]-Table1[[#This Row],[TOTAL]]</f>
        <v>0</v>
      </c>
      <c r="AE3864" s="152"/>
      <c r="AF3864" s="153"/>
      <c r="AG3864" s="126" t="s">
        <v>3420</v>
      </c>
      <c r="AK3864" s="306" t="str">
        <f>IF(ISNUMBER(Table1[[#This Row],[FECHA DE RECIBIDO]]), Table1[[#This Row],[FECHA DE RECIBIDO]]-DATE(2023,8,30), "")</f>
        <v/>
      </c>
    </row>
    <row r="3865" spans="1:37" ht="15" customHeight="1">
      <c r="A3865" s="150" t="s">
        <v>4290</v>
      </c>
      <c r="B3865" s="151">
        <v>1279</v>
      </c>
      <c r="C3865" s="126" t="s">
        <v>2546</v>
      </c>
      <c r="D3865">
        <v>2563</v>
      </c>
      <c r="E3865" s="126" t="s">
        <v>1609</v>
      </c>
      <c r="F3865" s="122" t="s">
        <v>1589</v>
      </c>
      <c r="G3865" s="122" t="s">
        <v>129</v>
      </c>
      <c r="H3865">
        <v>384</v>
      </c>
      <c r="I3865" s="122" t="s">
        <v>1546</v>
      </c>
      <c r="J3865" s="307" t="s">
        <v>214</v>
      </c>
      <c r="K3865" s="127" t="s">
        <v>4212</v>
      </c>
      <c r="L3865" s="151" t="s">
        <v>1579</v>
      </c>
      <c r="M3865">
        <v>506</v>
      </c>
      <c r="N3865" s="123">
        <v>17</v>
      </c>
      <c r="O3865">
        <v>2448</v>
      </c>
      <c r="P3865" s="132" t="s">
        <v>77</v>
      </c>
      <c r="Q3865" s="131">
        <v>1293.0999999999999</v>
      </c>
      <c r="R3865" s="131">
        <v>206.9</v>
      </c>
      <c r="S3865" s="131"/>
      <c r="T3865" s="155"/>
      <c r="U3865" s="131"/>
      <c r="V3865" s="131">
        <v>1500</v>
      </c>
      <c r="W3865"/>
      <c r="X3865" s="151" t="s">
        <v>3451</v>
      </c>
      <c r="Y3865" s="135" t="s">
        <v>55</v>
      </c>
      <c r="Z3865" s="307">
        <v>243</v>
      </c>
      <c r="AB3865" t="str">
        <f>IF(Table1[[#This Row],[TIPO2]]="costo", VLOOKUP(Table1[[#This Row],[PARTIDA PRESUPUESTAL]],'Cost Report'!G:G,1,0),"Balance")</f>
        <v>2494-071</v>
      </c>
      <c r="AC3865" s="118"/>
      <c r="AD3865" s="159">
        <f>+Table1[[#This Row],[SUBTOTAL]]+Table1[[#This Row],[IVA]]-Table1[[#This Row],[RET IVA]]-Table1[[#This Row],[RET ISR]]-Table1[[#This Row],[TOTAL]]</f>
        <v>0</v>
      </c>
      <c r="AE3865" s="150"/>
      <c r="AF3865" s="151"/>
      <c r="AG3865" s="126" t="s">
        <v>3420</v>
      </c>
      <c r="AK3865" s="306" t="str">
        <f>IF(ISNUMBER(Table1[[#This Row],[FECHA DE RECIBIDO]]), Table1[[#This Row],[FECHA DE RECIBIDO]]-DATE(2023,8,30), "")</f>
        <v/>
      </c>
    </row>
    <row r="3866" spans="1:37" ht="15" customHeight="1">
      <c r="A3866" s="152" t="s">
        <v>4290</v>
      </c>
      <c r="B3866" s="153">
        <v>1279</v>
      </c>
      <c r="C3866" s="126" t="s">
        <v>2546</v>
      </c>
      <c r="D3866">
        <v>2564</v>
      </c>
      <c r="E3866" s="126" t="s">
        <v>3278</v>
      </c>
      <c r="F3866" s="125" t="s">
        <v>1607</v>
      </c>
      <c r="G3866" s="125" t="s">
        <v>134</v>
      </c>
      <c r="H3866">
        <v>56</v>
      </c>
      <c r="I3866" s="125" t="s">
        <v>1546</v>
      </c>
      <c r="J3866" s="308" t="s">
        <v>214</v>
      </c>
      <c r="K3866" s="127" t="s">
        <v>4212</v>
      </c>
      <c r="L3866" s="153" t="s">
        <v>1579</v>
      </c>
      <c r="M3866">
        <v>78</v>
      </c>
      <c r="N3866" s="123">
        <v>17</v>
      </c>
      <c r="O3866">
        <v>2449</v>
      </c>
      <c r="P3866" s="132" t="s">
        <v>77</v>
      </c>
      <c r="Q3866" s="132">
        <v>292.23</v>
      </c>
      <c r="R3866" s="132">
        <v>46.76</v>
      </c>
      <c r="S3866" s="132"/>
      <c r="T3866" s="156"/>
      <c r="U3866" s="132"/>
      <c r="V3866" s="132">
        <v>338.99</v>
      </c>
      <c r="W3866"/>
      <c r="X3866" s="153" t="s">
        <v>3451</v>
      </c>
      <c r="Y3866" s="124" t="s">
        <v>55</v>
      </c>
      <c r="Z3866" s="308">
        <v>240</v>
      </c>
      <c r="AB3866" t="str">
        <f>IF(Table1[[#This Row],[TIPO2]]="costo", VLOOKUP(Table1[[#This Row],[PARTIDA PRESUPUESTAL]],'Cost Report'!G:G,1,0),"Balance")</f>
        <v>2494-071</v>
      </c>
      <c r="AC3866" s="118"/>
      <c r="AD3866" s="159">
        <f>+Table1[[#This Row],[SUBTOTAL]]+Table1[[#This Row],[IVA]]-Table1[[#This Row],[RET IVA]]-Table1[[#This Row],[RET ISR]]-Table1[[#This Row],[TOTAL]]</f>
        <v>0</v>
      </c>
      <c r="AE3866" s="152"/>
      <c r="AF3866" s="153"/>
      <c r="AG3866" s="126" t="s">
        <v>3420</v>
      </c>
      <c r="AK3866" s="306" t="str">
        <f>IF(ISNUMBER(Table1[[#This Row],[FECHA DE RECIBIDO]]), Table1[[#This Row],[FECHA DE RECIBIDO]]-DATE(2023,8,30), "")</f>
        <v/>
      </c>
    </row>
    <row r="3867" spans="1:37" ht="15" customHeight="1">
      <c r="A3867" s="150" t="s">
        <v>4290</v>
      </c>
      <c r="B3867" s="151">
        <v>1279</v>
      </c>
      <c r="C3867" s="126" t="s">
        <v>2455</v>
      </c>
      <c r="D3867">
        <v>2565</v>
      </c>
      <c r="E3867" s="126" t="s">
        <v>3278</v>
      </c>
      <c r="F3867" s="122" t="s">
        <v>1607</v>
      </c>
      <c r="G3867" s="122" t="s">
        <v>134</v>
      </c>
      <c r="H3867">
        <v>56</v>
      </c>
      <c r="I3867" s="122" t="s">
        <v>1546</v>
      </c>
      <c r="J3867" s="307" t="s">
        <v>214</v>
      </c>
      <c r="K3867" s="127" t="s">
        <v>4212</v>
      </c>
      <c r="L3867" s="151" t="s">
        <v>1579</v>
      </c>
      <c r="M3867">
        <v>78</v>
      </c>
      <c r="N3867" s="123">
        <v>17</v>
      </c>
      <c r="O3867">
        <v>2450</v>
      </c>
      <c r="P3867" s="132" t="s">
        <v>77</v>
      </c>
      <c r="Q3867" s="131">
        <v>346.36</v>
      </c>
      <c r="R3867" s="131">
        <v>20.14</v>
      </c>
      <c r="S3867" s="131"/>
      <c r="T3867" s="155"/>
      <c r="U3867" s="131"/>
      <c r="V3867" s="131">
        <v>366.5</v>
      </c>
      <c r="W3867"/>
      <c r="X3867" s="151" t="s">
        <v>3451</v>
      </c>
      <c r="Y3867" s="135" t="s">
        <v>55</v>
      </c>
      <c r="Z3867" s="307">
        <v>240</v>
      </c>
      <c r="AB3867" t="str">
        <f>IF(Table1[[#This Row],[TIPO2]]="costo", VLOOKUP(Table1[[#This Row],[PARTIDA PRESUPUESTAL]],'Cost Report'!G:G,1,0),"Balance")</f>
        <v>2285-003</v>
      </c>
      <c r="AC3867" s="118"/>
      <c r="AD3867" s="159">
        <f>+Table1[[#This Row],[SUBTOTAL]]+Table1[[#This Row],[IVA]]-Table1[[#This Row],[RET IVA]]-Table1[[#This Row],[RET ISR]]-Table1[[#This Row],[TOTAL]]</f>
        <v>0</v>
      </c>
      <c r="AE3867" s="150"/>
      <c r="AF3867" s="151"/>
      <c r="AG3867" s="126" t="s">
        <v>3420</v>
      </c>
      <c r="AK3867" s="306" t="str">
        <f>IF(ISNUMBER(Table1[[#This Row],[FECHA DE RECIBIDO]]), Table1[[#This Row],[FECHA DE RECIBIDO]]-DATE(2023,8,30), "")</f>
        <v/>
      </c>
    </row>
    <row r="3868" spans="1:37" ht="15" customHeight="1">
      <c r="A3868" s="152" t="s">
        <v>4290</v>
      </c>
      <c r="B3868" s="153">
        <v>1279</v>
      </c>
      <c r="C3868" s="126" t="s">
        <v>2546</v>
      </c>
      <c r="D3868">
        <v>2566</v>
      </c>
      <c r="E3868" s="126" t="s">
        <v>1605</v>
      </c>
      <c r="F3868" s="125" t="s">
        <v>1593</v>
      </c>
      <c r="G3868" s="125" t="s">
        <v>109</v>
      </c>
      <c r="H3868">
        <v>709</v>
      </c>
      <c r="I3868" s="125" t="s">
        <v>1546</v>
      </c>
      <c r="J3868" s="308" t="s">
        <v>214</v>
      </c>
      <c r="K3868" s="127" t="s">
        <v>4212</v>
      </c>
      <c r="L3868" s="153" t="s">
        <v>1579</v>
      </c>
      <c r="M3868">
        <v>987</v>
      </c>
      <c r="N3868" s="123">
        <v>17</v>
      </c>
      <c r="O3868">
        <v>2451</v>
      </c>
      <c r="P3868" s="132" t="s">
        <v>77</v>
      </c>
      <c r="Q3868" s="132">
        <v>707.05</v>
      </c>
      <c r="R3868" s="132">
        <v>114.56</v>
      </c>
      <c r="S3868" s="132"/>
      <c r="T3868" s="156"/>
      <c r="U3868" s="132"/>
      <c r="V3868" s="132">
        <v>821.6099999999999</v>
      </c>
      <c r="W3868"/>
      <c r="X3868" s="153" t="s">
        <v>3451</v>
      </c>
      <c r="Y3868" s="124" t="s">
        <v>55</v>
      </c>
      <c r="Z3868" s="308">
        <v>244</v>
      </c>
      <c r="AB3868" t="str">
        <f>IF(Table1[[#This Row],[TIPO2]]="costo", VLOOKUP(Table1[[#This Row],[PARTIDA PRESUPUESTAL]],'Cost Report'!G:G,1,0),"Balance")</f>
        <v>2494-071</v>
      </c>
      <c r="AC3868" s="118"/>
      <c r="AD3868" s="159">
        <f>+Table1[[#This Row],[SUBTOTAL]]+Table1[[#This Row],[IVA]]-Table1[[#This Row],[RET IVA]]-Table1[[#This Row],[RET ISR]]-Table1[[#This Row],[TOTAL]]</f>
        <v>0</v>
      </c>
      <c r="AE3868" s="152"/>
      <c r="AF3868" s="153"/>
      <c r="AG3868" s="126" t="s">
        <v>3420</v>
      </c>
      <c r="AK3868" s="306" t="str">
        <f>IF(ISNUMBER(Table1[[#This Row],[FECHA DE RECIBIDO]]), Table1[[#This Row],[FECHA DE RECIBIDO]]-DATE(2023,8,30), "")</f>
        <v/>
      </c>
    </row>
    <row r="3869" spans="1:37" ht="15" customHeight="1">
      <c r="A3869" s="150" t="s">
        <v>4290</v>
      </c>
      <c r="B3869" s="151">
        <v>1279</v>
      </c>
      <c r="C3869" s="126" t="s">
        <v>2546</v>
      </c>
      <c r="D3869">
        <v>2567</v>
      </c>
      <c r="E3869" s="126" t="s">
        <v>1605</v>
      </c>
      <c r="F3869" s="122" t="s">
        <v>1593</v>
      </c>
      <c r="G3869" s="122" t="s">
        <v>109</v>
      </c>
      <c r="H3869">
        <v>709</v>
      </c>
      <c r="I3869" s="122" t="s">
        <v>1546</v>
      </c>
      <c r="J3869" s="307" t="s">
        <v>214</v>
      </c>
      <c r="K3869" s="127" t="s">
        <v>4212</v>
      </c>
      <c r="L3869" s="151" t="s">
        <v>1579</v>
      </c>
      <c r="M3869">
        <v>987</v>
      </c>
      <c r="N3869" s="123">
        <v>17</v>
      </c>
      <c r="O3869">
        <v>2452</v>
      </c>
      <c r="P3869" s="132" t="s">
        <v>77</v>
      </c>
      <c r="Q3869" s="131">
        <v>1494</v>
      </c>
      <c r="R3869" s="131">
        <v>239.04</v>
      </c>
      <c r="S3869" s="131"/>
      <c r="T3869" s="155"/>
      <c r="U3869" s="131">
        <v>18.68</v>
      </c>
      <c r="V3869" s="131">
        <v>1714.36</v>
      </c>
      <c r="W3869"/>
      <c r="X3869" s="151" t="s">
        <v>3451</v>
      </c>
      <c r="Y3869" s="135" t="s">
        <v>55</v>
      </c>
      <c r="Z3869" s="307">
        <v>244</v>
      </c>
      <c r="AB3869" t="str">
        <f>IF(Table1[[#This Row],[TIPO2]]="costo", VLOOKUP(Table1[[#This Row],[PARTIDA PRESUPUESTAL]],'Cost Report'!G:G,1,0),"Balance")</f>
        <v>2494-071</v>
      </c>
      <c r="AC3869" s="118"/>
      <c r="AD3869" s="159">
        <f>+Table1[[#This Row],[SUBTOTAL]]+Table1[[#This Row],[IVA]]-Table1[[#This Row],[RET IVA]]-Table1[[#This Row],[RET ISR]]-Table1[[#This Row],[TOTAL]]</f>
        <v>0</v>
      </c>
      <c r="AE3869" s="150"/>
      <c r="AF3869" s="151"/>
      <c r="AG3869" s="126" t="s">
        <v>3420</v>
      </c>
      <c r="AK3869" s="306" t="str">
        <f>IF(ISNUMBER(Table1[[#This Row],[FECHA DE RECIBIDO]]), Table1[[#This Row],[FECHA DE RECIBIDO]]-DATE(2023,8,30), "")</f>
        <v/>
      </c>
    </row>
    <row r="3870" spans="1:37" ht="15" customHeight="1">
      <c r="A3870" s="152" t="s">
        <v>4290</v>
      </c>
      <c r="B3870" s="153">
        <v>1279</v>
      </c>
      <c r="C3870" s="126" t="s">
        <v>2546</v>
      </c>
      <c r="D3870">
        <v>2568</v>
      </c>
      <c r="E3870" s="126" t="s">
        <v>1605</v>
      </c>
      <c r="F3870" s="125" t="s">
        <v>1602</v>
      </c>
      <c r="G3870" s="125" t="s">
        <v>1617</v>
      </c>
      <c r="H3870">
        <v>710</v>
      </c>
      <c r="I3870" s="125" t="s">
        <v>1546</v>
      </c>
      <c r="J3870" s="308" t="s">
        <v>214</v>
      </c>
      <c r="K3870" s="127" t="s">
        <v>4212</v>
      </c>
      <c r="L3870" s="153" t="s">
        <v>1579</v>
      </c>
      <c r="M3870">
        <v>988</v>
      </c>
      <c r="N3870" s="123">
        <v>17</v>
      </c>
      <c r="O3870">
        <v>2453</v>
      </c>
      <c r="P3870" s="132" t="s">
        <v>77</v>
      </c>
      <c r="Q3870" s="132">
        <v>1200</v>
      </c>
      <c r="R3870" s="132">
        <v>192</v>
      </c>
      <c r="S3870" s="132"/>
      <c r="T3870" s="156"/>
      <c r="U3870" s="132"/>
      <c r="V3870" s="132">
        <v>1392</v>
      </c>
      <c r="W3870"/>
      <c r="X3870" s="153" t="s">
        <v>3451</v>
      </c>
      <c r="Y3870" s="124" t="s">
        <v>55</v>
      </c>
      <c r="Z3870" s="308">
        <v>244</v>
      </c>
      <c r="AB3870" t="str">
        <f>IF(Table1[[#This Row],[TIPO2]]="costo", VLOOKUP(Table1[[#This Row],[PARTIDA PRESUPUESTAL]],'Cost Report'!G:G,1,0),"Balance")</f>
        <v>2494-071</v>
      </c>
      <c r="AC3870" s="118"/>
      <c r="AD3870" s="159">
        <f>+Table1[[#This Row],[SUBTOTAL]]+Table1[[#This Row],[IVA]]-Table1[[#This Row],[RET IVA]]-Table1[[#This Row],[RET ISR]]-Table1[[#This Row],[TOTAL]]</f>
        <v>0</v>
      </c>
      <c r="AE3870" s="152"/>
      <c r="AF3870" s="153"/>
      <c r="AG3870" s="126" t="s">
        <v>3420</v>
      </c>
      <c r="AK3870" s="306" t="str">
        <f>IF(ISNUMBER(Table1[[#This Row],[FECHA DE RECIBIDO]]), Table1[[#This Row],[FECHA DE RECIBIDO]]-DATE(2023,8,30), "")</f>
        <v/>
      </c>
    </row>
    <row r="3871" spans="1:37" ht="15" customHeight="1">
      <c r="A3871" s="150" t="s">
        <v>4290</v>
      </c>
      <c r="B3871" s="151">
        <v>1279</v>
      </c>
      <c r="C3871" s="126" t="s">
        <v>2546</v>
      </c>
      <c r="D3871">
        <v>2569</v>
      </c>
      <c r="E3871" s="126" t="s">
        <v>1605</v>
      </c>
      <c r="F3871" s="122" t="s">
        <v>1602</v>
      </c>
      <c r="G3871" s="122" t="s">
        <v>1617</v>
      </c>
      <c r="H3871">
        <v>710</v>
      </c>
      <c r="I3871" s="122" t="s">
        <v>1546</v>
      </c>
      <c r="J3871" s="307" t="s">
        <v>214</v>
      </c>
      <c r="K3871" s="127" t="s">
        <v>4212</v>
      </c>
      <c r="L3871" s="151" t="s">
        <v>1579</v>
      </c>
      <c r="M3871">
        <v>988</v>
      </c>
      <c r="N3871" s="123">
        <v>17</v>
      </c>
      <c r="O3871">
        <v>2454</v>
      </c>
      <c r="P3871" s="132" t="s">
        <v>77</v>
      </c>
      <c r="Q3871" s="131">
        <v>1600</v>
      </c>
      <c r="R3871" s="131">
        <v>256</v>
      </c>
      <c r="S3871" s="131"/>
      <c r="T3871" s="155"/>
      <c r="U3871" s="131"/>
      <c r="V3871" s="131">
        <v>1856</v>
      </c>
      <c r="W3871"/>
      <c r="X3871" s="151" t="s">
        <v>3451</v>
      </c>
      <c r="Y3871" s="135" t="s">
        <v>55</v>
      </c>
      <c r="Z3871" s="307">
        <v>244</v>
      </c>
      <c r="AB3871" t="str">
        <f>IF(Table1[[#This Row],[TIPO2]]="costo", VLOOKUP(Table1[[#This Row],[PARTIDA PRESUPUESTAL]],'Cost Report'!G:G,1,0),"Balance")</f>
        <v>2494-071</v>
      </c>
      <c r="AC3871" s="118"/>
      <c r="AD3871" s="159">
        <f>+Table1[[#This Row],[SUBTOTAL]]+Table1[[#This Row],[IVA]]-Table1[[#This Row],[RET IVA]]-Table1[[#This Row],[RET ISR]]-Table1[[#This Row],[TOTAL]]</f>
        <v>0</v>
      </c>
      <c r="AE3871" s="150"/>
      <c r="AF3871" s="151"/>
      <c r="AG3871" s="126" t="s">
        <v>3420</v>
      </c>
      <c r="AK3871" s="306" t="str">
        <f>IF(ISNUMBER(Table1[[#This Row],[FECHA DE RECIBIDO]]), Table1[[#This Row],[FECHA DE RECIBIDO]]-DATE(2023,8,30), "")</f>
        <v/>
      </c>
    </row>
    <row r="3872" spans="1:37" ht="15" customHeight="1">
      <c r="A3872" s="152" t="s">
        <v>4290</v>
      </c>
      <c r="B3872" s="153">
        <v>1279</v>
      </c>
      <c r="C3872" s="126" t="s">
        <v>2546</v>
      </c>
      <c r="D3872">
        <v>2570</v>
      </c>
      <c r="E3872" s="126" t="s">
        <v>1605</v>
      </c>
      <c r="F3872" s="125" t="s">
        <v>1602</v>
      </c>
      <c r="G3872" s="125" t="s">
        <v>1617</v>
      </c>
      <c r="H3872">
        <v>710</v>
      </c>
      <c r="I3872" s="125" t="s">
        <v>1546</v>
      </c>
      <c r="J3872" s="308" t="s">
        <v>214</v>
      </c>
      <c r="K3872" s="127" t="s">
        <v>4212</v>
      </c>
      <c r="L3872" s="153" t="s">
        <v>1579</v>
      </c>
      <c r="M3872">
        <v>988</v>
      </c>
      <c r="N3872" s="123">
        <v>17</v>
      </c>
      <c r="O3872">
        <v>2455</v>
      </c>
      <c r="P3872" s="132" t="s">
        <v>77</v>
      </c>
      <c r="Q3872" s="132">
        <v>1200</v>
      </c>
      <c r="R3872" s="132">
        <v>192</v>
      </c>
      <c r="S3872" s="132"/>
      <c r="T3872" s="156"/>
      <c r="U3872" s="132"/>
      <c r="V3872" s="132">
        <v>1392</v>
      </c>
      <c r="W3872"/>
      <c r="X3872" s="153" t="s">
        <v>3451</v>
      </c>
      <c r="Y3872" s="124" t="s">
        <v>55</v>
      </c>
      <c r="Z3872" s="308">
        <v>244</v>
      </c>
      <c r="AB3872" t="str">
        <f>IF(Table1[[#This Row],[TIPO2]]="costo", VLOOKUP(Table1[[#This Row],[PARTIDA PRESUPUESTAL]],'Cost Report'!G:G,1,0),"Balance")</f>
        <v>2494-071</v>
      </c>
      <c r="AC3872" s="118"/>
      <c r="AD3872" s="159">
        <f>+Table1[[#This Row],[SUBTOTAL]]+Table1[[#This Row],[IVA]]-Table1[[#This Row],[RET IVA]]-Table1[[#This Row],[RET ISR]]-Table1[[#This Row],[TOTAL]]</f>
        <v>0</v>
      </c>
      <c r="AE3872" s="152"/>
      <c r="AF3872" s="153"/>
      <c r="AG3872" s="126" t="s">
        <v>3420</v>
      </c>
      <c r="AK3872" s="306" t="str">
        <f>IF(ISNUMBER(Table1[[#This Row],[FECHA DE RECIBIDO]]), Table1[[#This Row],[FECHA DE RECIBIDO]]-DATE(2023,8,30), "")</f>
        <v/>
      </c>
    </row>
    <row r="3873" spans="1:37" ht="15" customHeight="1">
      <c r="A3873" s="150" t="s">
        <v>4290</v>
      </c>
      <c r="B3873" s="151">
        <v>1279</v>
      </c>
      <c r="C3873" s="126" t="s">
        <v>2566</v>
      </c>
      <c r="D3873">
        <v>2571</v>
      </c>
      <c r="E3873" s="126" t="s">
        <v>1605</v>
      </c>
      <c r="F3873" s="122" t="s">
        <v>1602</v>
      </c>
      <c r="G3873" s="122" t="s">
        <v>1617</v>
      </c>
      <c r="H3873">
        <v>711</v>
      </c>
      <c r="I3873" s="122" t="s">
        <v>1546</v>
      </c>
      <c r="J3873" s="307" t="s">
        <v>214</v>
      </c>
      <c r="K3873" s="127" t="s">
        <v>4212</v>
      </c>
      <c r="L3873" s="151" t="s">
        <v>1579</v>
      </c>
      <c r="M3873">
        <v>989</v>
      </c>
      <c r="N3873" s="123">
        <v>17</v>
      </c>
      <c r="O3873">
        <v>2456</v>
      </c>
      <c r="P3873" s="132" t="s">
        <v>77</v>
      </c>
      <c r="Q3873" s="131">
        <v>680</v>
      </c>
      <c r="R3873" s="131"/>
      <c r="S3873" s="131"/>
      <c r="T3873" s="155"/>
      <c r="U3873" s="131"/>
      <c r="V3873" s="131">
        <v>680</v>
      </c>
      <c r="W3873"/>
      <c r="X3873" s="151" t="s">
        <v>3451</v>
      </c>
      <c r="Y3873" s="135" t="s">
        <v>55</v>
      </c>
      <c r="Z3873" s="307">
        <v>244</v>
      </c>
      <c r="AB3873" t="str">
        <f>IF(Table1[[#This Row],[TIPO2]]="costo", VLOOKUP(Table1[[#This Row],[PARTIDA PRESUPUESTAL]],'Cost Report'!G:G,1,0),"Balance")</f>
        <v>2594-003</v>
      </c>
      <c r="AC3873" s="118"/>
      <c r="AD3873" s="159">
        <f>+Table1[[#This Row],[SUBTOTAL]]+Table1[[#This Row],[IVA]]-Table1[[#This Row],[RET IVA]]-Table1[[#This Row],[RET ISR]]-Table1[[#This Row],[TOTAL]]</f>
        <v>0</v>
      </c>
      <c r="AE3873" s="150"/>
      <c r="AF3873" s="151"/>
      <c r="AG3873" s="126" t="s">
        <v>3420</v>
      </c>
      <c r="AK3873" s="306" t="str">
        <f>IF(ISNUMBER(Table1[[#This Row],[FECHA DE RECIBIDO]]), Table1[[#This Row],[FECHA DE RECIBIDO]]-DATE(2023,8,30), "")</f>
        <v/>
      </c>
    </row>
    <row r="3874" spans="1:37" ht="15" customHeight="1">
      <c r="A3874" s="152" t="s">
        <v>4290</v>
      </c>
      <c r="B3874" s="153">
        <v>1279</v>
      </c>
      <c r="C3874" s="126" t="s">
        <v>2566</v>
      </c>
      <c r="D3874">
        <v>2572</v>
      </c>
      <c r="E3874" s="126" t="s">
        <v>3378</v>
      </c>
      <c r="F3874" s="125" t="s">
        <v>1593</v>
      </c>
      <c r="G3874" s="125" t="s">
        <v>109</v>
      </c>
      <c r="H3874">
        <v>712</v>
      </c>
      <c r="I3874" s="125" t="s">
        <v>1546</v>
      </c>
      <c r="J3874" s="308" t="s">
        <v>214</v>
      </c>
      <c r="K3874" s="127" t="s">
        <v>4212</v>
      </c>
      <c r="L3874" s="153" t="s">
        <v>1579</v>
      </c>
      <c r="M3874">
        <v>990</v>
      </c>
      <c r="N3874" s="123">
        <v>17</v>
      </c>
      <c r="O3874">
        <v>2457</v>
      </c>
      <c r="P3874" s="132" t="s">
        <v>77</v>
      </c>
      <c r="Q3874" s="132">
        <v>980</v>
      </c>
      <c r="R3874" s="132"/>
      <c r="S3874" s="132"/>
      <c r="T3874" s="156"/>
      <c r="U3874" s="132"/>
      <c r="V3874" s="132">
        <v>980</v>
      </c>
      <c r="W3874"/>
      <c r="X3874" s="153" t="s">
        <v>3451</v>
      </c>
      <c r="Y3874" s="124" t="s">
        <v>55</v>
      </c>
      <c r="Z3874" s="308">
        <v>245</v>
      </c>
      <c r="AB3874" t="str">
        <f>IF(Table1[[#This Row],[TIPO2]]="costo", VLOOKUP(Table1[[#This Row],[PARTIDA PRESUPUESTAL]],'Cost Report'!G:G,1,0),"Balance")</f>
        <v>2594-003</v>
      </c>
      <c r="AC3874" s="118"/>
      <c r="AD3874" s="159">
        <f>+Table1[[#This Row],[SUBTOTAL]]+Table1[[#This Row],[IVA]]-Table1[[#This Row],[RET IVA]]-Table1[[#This Row],[RET ISR]]-Table1[[#This Row],[TOTAL]]</f>
        <v>0</v>
      </c>
      <c r="AE3874" s="152"/>
      <c r="AF3874" s="153"/>
      <c r="AG3874" s="126" t="s">
        <v>3420</v>
      </c>
      <c r="AK3874" s="306" t="str">
        <f>IF(ISNUMBER(Table1[[#This Row],[FECHA DE RECIBIDO]]), Table1[[#This Row],[FECHA DE RECIBIDO]]-DATE(2023,8,30), "")</f>
        <v/>
      </c>
    </row>
    <row r="3875" spans="1:37" ht="15" customHeight="1">
      <c r="A3875" s="150" t="s">
        <v>4290</v>
      </c>
      <c r="B3875" s="151">
        <v>1279</v>
      </c>
      <c r="C3875" s="126" t="s">
        <v>2534</v>
      </c>
      <c r="D3875">
        <v>2573</v>
      </c>
      <c r="E3875" s="126" t="s">
        <v>1598</v>
      </c>
      <c r="F3875" s="122" t="s">
        <v>1607</v>
      </c>
      <c r="G3875" s="122" t="s">
        <v>134</v>
      </c>
      <c r="H3875">
        <v>41</v>
      </c>
      <c r="I3875" s="122" t="s">
        <v>1546</v>
      </c>
      <c r="J3875" s="307" t="s">
        <v>214</v>
      </c>
      <c r="K3875" s="127" t="s">
        <v>4212</v>
      </c>
      <c r="L3875" s="151" t="s">
        <v>1579</v>
      </c>
      <c r="M3875">
        <v>323</v>
      </c>
      <c r="N3875" s="123">
        <v>17</v>
      </c>
      <c r="O3875">
        <v>2458</v>
      </c>
      <c r="P3875" s="132" t="s">
        <v>77</v>
      </c>
      <c r="Q3875" s="131">
        <v>155.16999999999999</v>
      </c>
      <c r="R3875" s="131">
        <v>24.83</v>
      </c>
      <c r="S3875" s="131"/>
      <c r="T3875" s="155"/>
      <c r="U3875" s="131"/>
      <c r="V3875" s="131">
        <v>180</v>
      </c>
      <c r="W3875"/>
      <c r="X3875" s="151" t="s">
        <v>3451</v>
      </c>
      <c r="Y3875" s="135" t="s">
        <v>55</v>
      </c>
      <c r="Z3875" s="307">
        <v>245</v>
      </c>
      <c r="AB3875" t="str">
        <f>IF(Table1[[#This Row],[TIPO2]]="costo", VLOOKUP(Table1[[#This Row],[PARTIDA PRESUPUESTAL]],'Cost Report'!G:G,1,0),"Balance")</f>
        <v>2494-047</v>
      </c>
      <c r="AC3875" s="118"/>
      <c r="AD3875" s="159">
        <f>+Table1[[#This Row],[SUBTOTAL]]+Table1[[#This Row],[IVA]]-Table1[[#This Row],[RET IVA]]-Table1[[#This Row],[RET ISR]]-Table1[[#This Row],[TOTAL]]</f>
        <v>0</v>
      </c>
      <c r="AE3875" s="150"/>
      <c r="AF3875" s="151"/>
      <c r="AG3875" s="126" t="s">
        <v>3420</v>
      </c>
      <c r="AK3875" s="306" t="str">
        <f>IF(ISNUMBER(Table1[[#This Row],[FECHA DE RECIBIDO]]), Table1[[#This Row],[FECHA DE RECIBIDO]]-DATE(2023,8,30), "")</f>
        <v/>
      </c>
    </row>
    <row r="3876" spans="1:37" ht="15" customHeight="1">
      <c r="A3876" s="152" t="s">
        <v>4290</v>
      </c>
      <c r="B3876" s="153">
        <v>1279</v>
      </c>
      <c r="C3876" s="126" t="s">
        <v>2534</v>
      </c>
      <c r="D3876">
        <v>2574</v>
      </c>
      <c r="E3876" s="126" t="s">
        <v>1603</v>
      </c>
      <c r="F3876" s="125" t="s">
        <v>1607</v>
      </c>
      <c r="G3876" s="125" t="s">
        <v>134</v>
      </c>
      <c r="H3876">
        <v>273</v>
      </c>
      <c r="I3876" s="125" t="s">
        <v>1546</v>
      </c>
      <c r="J3876" s="308" t="s">
        <v>214</v>
      </c>
      <c r="K3876" s="127" t="s">
        <v>4212</v>
      </c>
      <c r="L3876" s="153" t="s">
        <v>1579</v>
      </c>
      <c r="M3876">
        <v>364</v>
      </c>
      <c r="N3876" s="123">
        <v>17</v>
      </c>
      <c r="O3876">
        <v>2459</v>
      </c>
      <c r="P3876" s="132" t="s">
        <v>77</v>
      </c>
      <c r="Q3876" s="132">
        <v>1908.28</v>
      </c>
      <c r="R3876" s="132">
        <v>305.32</v>
      </c>
      <c r="S3876" s="132"/>
      <c r="T3876" s="156"/>
      <c r="U3876" s="132"/>
      <c r="V3876" s="132">
        <v>2213.6</v>
      </c>
      <c r="W3876"/>
      <c r="X3876" s="153" t="s">
        <v>3451</v>
      </c>
      <c r="Y3876" s="124" t="s">
        <v>55</v>
      </c>
      <c r="Z3876" s="308">
        <v>245</v>
      </c>
      <c r="AB3876" t="str">
        <f>IF(Table1[[#This Row],[TIPO2]]="costo", VLOOKUP(Table1[[#This Row],[PARTIDA PRESUPUESTAL]],'Cost Report'!G:G,1,0),"Balance")</f>
        <v>2494-047</v>
      </c>
      <c r="AC3876" s="118"/>
      <c r="AD3876" s="159">
        <f>+Table1[[#This Row],[SUBTOTAL]]+Table1[[#This Row],[IVA]]-Table1[[#This Row],[RET IVA]]-Table1[[#This Row],[RET ISR]]-Table1[[#This Row],[TOTAL]]</f>
        <v>0</v>
      </c>
      <c r="AE3876" s="152"/>
      <c r="AF3876" s="153"/>
      <c r="AG3876" s="126" t="s">
        <v>3420</v>
      </c>
      <c r="AK3876" s="306" t="str">
        <f>IF(ISNUMBER(Table1[[#This Row],[FECHA DE RECIBIDO]]), Table1[[#This Row],[FECHA DE RECIBIDO]]-DATE(2023,8,30), "")</f>
        <v/>
      </c>
    </row>
    <row r="3877" spans="1:37" ht="15" customHeight="1">
      <c r="A3877" s="150" t="s">
        <v>4290</v>
      </c>
      <c r="B3877" s="151">
        <v>1279</v>
      </c>
      <c r="C3877" s="126" t="s">
        <v>610</v>
      </c>
      <c r="D3877">
        <v>2575</v>
      </c>
      <c r="E3877" s="126" t="s">
        <v>3292</v>
      </c>
      <c r="F3877" s="122" t="s">
        <v>1607</v>
      </c>
      <c r="G3877" s="122" t="s">
        <v>134</v>
      </c>
      <c r="H3877">
        <v>57</v>
      </c>
      <c r="I3877" s="122" t="s">
        <v>1546</v>
      </c>
      <c r="J3877" s="307" t="s">
        <v>214</v>
      </c>
      <c r="K3877" s="127" t="s">
        <v>4212</v>
      </c>
      <c r="L3877" s="151" t="s">
        <v>1579</v>
      </c>
      <c r="M3877">
        <v>79</v>
      </c>
      <c r="N3877" s="123">
        <v>17</v>
      </c>
      <c r="O3877">
        <v>2460</v>
      </c>
      <c r="P3877" s="132" t="s">
        <v>77</v>
      </c>
      <c r="Q3877" s="131">
        <v>32.76</v>
      </c>
      <c r="R3877" s="131">
        <v>5.24</v>
      </c>
      <c r="S3877" s="131"/>
      <c r="T3877" s="155"/>
      <c r="U3877" s="131"/>
      <c r="V3877" s="131">
        <v>38</v>
      </c>
      <c r="W3877"/>
      <c r="X3877" s="151" t="s">
        <v>3451</v>
      </c>
      <c r="Y3877" s="135" t="s">
        <v>55</v>
      </c>
      <c r="Z3877" s="307">
        <v>245</v>
      </c>
      <c r="AB3877" t="str">
        <f>IF(Table1[[#This Row],[TIPO2]]="costo", VLOOKUP(Table1[[#This Row],[PARTIDA PRESUPUESTAL]],'Cost Report'!G:G,1,0),"Balance")</f>
        <v>2485-003</v>
      </c>
      <c r="AC3877" s="118"/>
      <c r="AD3877" s="159">
        <f>+Table1[[#This Row],[SUBTOTAL]]+Table1[[#This Row],[IVA]]-Table1[[#This Row],[RET IVA]]-Table1[[#This Row],[RET ISR]]-Table1[[#This Row],[TOTAL]]</f>
        <v>0</v>
      </c>
      <c r="AE3877" s="150"/>
      <c r="AF3877" s="151"/>
      <c r="AG3877" s="126" t="s">
        <v>3420</v>
      </c>
      <c r="AK3877" s="306" t="str">
        <f>IF(ISNUMBER(Table1[[#This Row],[FECHA DE RECIBIDO]]), Table1[[#This Row],[FECHA DE RECIBIDO]]-DATE(2023,8,30), "")</f>
        <v/>
      </c>
    </row>
    <row r="3878" spans="1:37" ht="15" customHeight="1">
      <c r="A3878" s="152" t="s">
        <v>4290</v>
      </c>
      <c r="B3878" s="153">
        <v>1279</v>
      </c>
      <c r="C3878" s="126" t="s">
        <v>610</v>
      </c>
      <c r="D3878">
        <v>2576</v>
      </c>
      <c r="E3878" s="126" t="s">
        <v>1603</v>
      </c>
      <c r="F3878" s="125" t="s">
        <v>1607</v>
      </c>
      <c r="G3878" s="125" t="s">
        <v>134</v>
      </c>
      <c r="H3878">
        <v>273</v>
      </c>
      <c r="I3878" s="125" t="s">
        <v>1546</v>
      </c>
      <c r="J3878" s="308" t="s">
        <v>214</v>
      </c>
      <c r="K3878" s="127" t="s">
        <v>4212</v>
      </c>
      <c r="L3878" s="153" t="s">
        <v>1579</v>
      </c>
      <c r="M3878">
        <v>364</v>
      </c>
      <c r="N3878" s="123">
        <v>17</v>
      </c>
      <c r="O3878">
        <v>2461</v>
      </c>
      <c r="P3878" s="132" t="s">
        <v>77</v>
      </c>
      <c r="Q3878" s="132">
        <v>113.79</v>
      </c>
      <c r="R3878" s="132">
        <v>18.21</v>
      </c>
      <c r="S3878" s="132"/>
      <c r="T3878" s="156"/>
      <c r="U3878" s="132"/>
      <c r="V3878" s="132">
        <v>132</v>
      </c>
      <c r="W3878"/>
      <c r="X3878" s="153" t="s">
        <v>3451</v>
      </c>
      <c r="Y3878" s="124" t="s">
        <v>55</v>
      </c>
      <c r="Z3878" s="308">
        <v>245</v>
      </c>
      <c r="AB3878" t="str">
        <f>IF(Table1[[#This Row],[TIPO2]]="costo", VLOOKUP(Table1[[#This Row],[PARTIDA PRESUPUESTAL]],'Cost Report'!G:G,1,0),"Balance")</f>
        <v>2485-003</v>
      </c>
      <c r="AC3878" s="118"/>
      <c r="AD3878" s="159">
        <f>+Table1[[#This Row],[SUBTOTAL]]+Table1[[#This Row],[IVA]]-Table1[[#This Row],[RET IVA]]-Table1[[#This Row],[RET ISR]]-Table1[[#This Row],[TOTAL]]</f>
        <v>0</v>
      </c>
      <c r="AE3878" s="152"/>
      <c r="AF3878" s="153"/>
      <c r="AG3878" s="126" t="s">
        <v>3420</v>
      </c>
      <c r="AK3878" s="306" t="str">
        <f>IF(ISNUMBER(Table1[[#This Row],[FECHA DE RECIBIDO]]), Table1[[#This Row],[FECHA DE RECIBIDO]]-DATE(2023,8,30), "")</f>
        <v/>
      </c>
    </row>
    <row r="3879" spans="1:37" ht="15" customHeight="1">
      <c r="A3879" s="150" t="s">
        <v>4290</v>
      </c>
      <c r="B3879" s="151">
        <v>1279</v>
      </c>
      <c r="C3879" s="126" t="s">
        <v>2534</v>
      </c>
      <c r="D3879">
        <v>2577</v>
      </c>
      <c r="E3879" s="126" t="s">
        <v>3976</v>
      </c>
      <c r="F3879" s="122" t="s">
        <v>1607</v>
      </c>
      <c r="G3879" s="122" t="s">
        <v>134</v>
      </c>
      <c r="H3879">
        <v>273</v>
      </c>
      <c r="I3879" s="122" t="s">
        <v>1546</v>
      </c>
      <c r="J3879" s="307" t="s">
        <v>214</v>
      </c>
      <c r="K3879" s="127" t="s">
        <v>4212</v>
      </c>
      <c r="L3879" s="151" t="s">
        <v>1579</v>
      </c>
      <c r="M3879">
        <v>364</v>
      </c>
      <c r="N3879" s="123">
        <v>17</v>
      </c>
      <c r="O3879">
        <v>2462</v>
      </c>
      <c r="P3879" s="132" t="s">
        <v>77</v>
      </c>
      <c r="Q3879" s="131">
        <v>1587.84</v>
      </c>
      <c r="R3879" s="131">
        <v>254.06</v>
      </c>
      <c r="S3879" s="131"/>
      <c r="T3879" s="155"/>
      <c r="U3879" s="131"/>
      <c r="V3879" s="131">
        <v>1841.8999999999999</v>
      </c>
      <c r="W3879"/>
      <c r="X3879" s="151" t="s">
        <v>3451</v>
      </c>
      <c r="Y3879" s="135" t="s">
        <v>55</v>
      </c>
      <c r="Z3879" s="307">
        <v>245</v>
      </c>
      <c r="AB3879" t="str">
        <f>IF(Table1[[#This Row],[TIPO2]]="costo", VLOOKUP(Table1[[#This Row],[PARTIDA PRESUPUESTAL]],'Cost Report'!G:G,1,0),"Balance")</f>
        <v>2494-047</v>
      </c>
      <c r="AC3879" s="118"/>
      <c r="AD3879" s="159">
        <f>+Table1[[#This Row],[SUBTOTAL]]+Table1[[#This Row],[IVA]]-Table1[[#This Row],[RET IVA]]-Table1[[#This Row],[RET ISR]]-Table1[[#This Row],[TOTAL]]</f>
        <v>0</v>
      </c>
      <c r="AE3879" s="150"/>
      <c r="AF3879" s="151"/>
      <c r="AG3879" s="126" t="s">
        <v>3420</v>
      </c>
      <c r="AK3879" s="306" t="str">
        <f>IF(ISNUMBER(Table1[[#This Row],[FECHA DE RECIBIDO]]), Table1[[#This Row],[FECHA DE RECIBIDO]]-DATE(2023,8,30), "")</f>
        <v/>
      </c>
    </row>
    <row r="3880" spans="1:37" ht="15" customHeight="1">
      <c r="A3880" s="152" t="s">
        <v>4290</v>
      </c>
      <c r="B3880" s="153">
        <v>1279</v>
      </c>
      <c r="C3880" s="126" t="s">
        <v>2546</v>
      </c>
      <c r="D3880">
        <v>2578</v>
      </c>
      <c r="E3880" s="126" t="s">
        <v>1614</v>
      </c>
      <c r="F3880" s="125" t="s">
        <v>1607</v>
      </c>
      <c r="G3880" s="125" t="s">
        <v>134</v>
      </c>
      <c r="H3880">
        <v>713</v>
      </c>
      <c r="I3880" s="125" t="s">
        <v>1546</v>
      </c>
      <c r="J3880" s="308" t="s">
        <v>214</v>
      </c>
      <c r="K3880" s="127" t="s">
        <v>4212</v>
      </c>
      <c r="L3880" s="153" t="s">
        <v>1579</v>
      </c>
      <c r="M3880">
        <v>991</v>
      </c>
      <c r="N3880" s="123">
        <v>17</v>
      </c>
      <c r="O3880">
        <v>2463</v>
      </c>
      <c r="P3880" s="132" t="s">
        <v>77</v>
      </c>
      <c r="Q3880" s="132">
        <v>646.54999999999995</v>
      </c>
      <c r="R3880" s="132">
        <v>103.45</v>
      </c>
      <c r="S3880" s="132"/>
      <c r="T3880" s="156"/>
      <c r="U3880" s="132"/>
      <c r="V3880" s="132">
        <v>750</v>
      </c>
      <c r="W3880"/>
      <c r="X3880" s="153" t="s">
        <v>3451</v>
      </c>
      <c r="Y3880" s="124" t="s">
        <v>55</v>
      </c>
      <c r="Z3880" s="308">
        <v>246</v>
      </c>
      <c r="AB3880" t="str">
        <f>IF(Table1[[#This Row],[TIPO2]]="costo", VLOOKUP(Table1[[#This Row],[PARTIDA PRESUPUESTAL]],'Cost Report'!G:G,1,0),"Balance")</f>
        <v>2494-071</v>
      </c>
      <c r="AC3880" s="118"/>
      <c r="AD3880" s="159">
        <f>+Table1[[#This Row],[SUBTOTAL]]+Table1[[#This Row],[IVA]]-Table1[[#This Row],[RET IVA]]-Table1[[#This Row],[RET ISR]]-Table1[[#This Row],[TOTAL]]</f>
        <v>0</v>
      </c>
      <c r="AE3880" s="152"/>
      <c r="AF3880" s="153"/>
      <c r="AG3880" s="126" t="s">
        <v>3420</v>
      </c>
      <c r="AK3880" s="306" t="str">
        <f>IF(ISNUMBER(Table1[[#This Row],[FECHA DE RECIBIDO]]), Table1[[#This Row],[FECHA DE RECIBIDO]]-DATE(2023,8,30), "")</f>
        <v/>
      </c>
    </row>
    <row r="3881" spans="1:37" ht="15" customHeight="1">
      <c r="A3881" s="150" t="s">
        <v>4290</v>
      </c>
      <c r="B3881" s="151">
        <v>1279</v>
      </c>
      <c r="C3881" s="126" t="s">
        <v>2546</v>
      </c>
      <c r="D3881">
        <v>2579</v>
      </c>
      <c r="E3881" s="126" t="s">
        <v>3292</v>
      </c>
      <c r="F3881" s="122" t="s">
        <v>1607</v>
      </c>
      <c r="G3881" s="122" t="s">
        <v>134</v>
      </c>
      <c r="H3881">
        <v>57</v>
      </c>
      <c r="I3881" s="122" t="s">
        <v>1546</v>
      </c>
      <c r="J3881" s="307" t="s">
        <v>214</v>
      </c>
      <c r="K3881" s="127" t="s">
        <v>4212</v>
      </c>
      <c r="L3881" s="151" t="s">
        <v>1579</v>
      </c>
      <c r="M3881">
        <v>79</v>
      </c>
      <c r="N3881" s="123">
        <v>17</v>
      </c>
      <c r="O3881">
        <v>2464</v>
      </c>
      <c r="P3881" s="132" t="s">
        <v>77</v>
      </c>
      <c r="Q3881" s="131">
        <v>475.85</v>
      </c>
      <c r="R3881" s="131">
        <v>76.150000000000006</v>
      </c>
      <c r="S3881" s="131"/>
      <c r="T3881" s="155"/>
      <c r="U3881" s="131"/>
      <c r="V3881" s="131">
        <v>552</v>
      </c>
      <c r="W3881"/>
      <c r="X3881" s="151" t="s">
        <v>3451</v>
      </c>
      <c r="Y3881" s="135" t="s">
        <v>55</v>
      </c>
      <c r="Z3881" s="307">
        <v>245</v>
      </c>
      <c r="AB3881" t="str">
        <f>IF(Table1[[#This Row],[TIPO2]]="costo", VLOOKUP(Table1[[#This Row],[PARTIDA PRESUPUESTAL]],'Cost Report'!G:G,1,0),"Balance")</f>
        <v>2494-071</v>
      </c>
      <c r="AC3881" s="118"/>
      <c r="AD3881" s="159">
        <f>+Table1[[#This Row],[SUBTOTAL]]+Table1[[#This Row],[IVA]]-Table1[[#This Row],[RET IVA]]-Table1[[#This Row],[RET ISR]]-Table1[[#This Row],[TOTAL]]</f>
        <v>0</v>
      </c>
      <c r="AE3881" s="150"/>
      <c r="AF3881" s="151"/>
      <c r="AG3881" s="126" t="s">
        <v>3420</v>
      </c>
      <c r="AK3881" s="306" t="str">
        <f>IF(ISNUMBER(Table1[[#This Row],[FECHA DE RECIBIDO]]), Table1[[#This Row],[FECHA DE RECIBIDO]]-DATE(2023,8,30), "")</f>
        <v/>
      </c>
    </row>
    <row r="3882" spans="1:37" ht="15" customHeight="1">
      <c r="A3882" s="152" t="s">
        <v>4290</v>
      </c>
      <c r="B3882" s="153">
        <v>1279</v>
      </c>
      <c r="C3882" s="126" t="s">
        <v>2455</v>
      </c>
      <c r="D3882">
        <v>689</v>
      </c>
      <c r="E3882" s="126"/>
      <c r="F3882" s="125"/>
      <c r="G3882" s="125"/>
      <c r="H3882"/>
      <c r="I3882" s="125"/>
      <c r="J3882" s="308" t="s">
        <v>214</v>
      </c>
      <c r="K3882" s="127" t="s">
        <v>4212</v>
      </c>
      <c r="L3882" s="153" t="s">
        <v>1579</v>
      </c>
      <c r="M3882">
        <v>375</v>
      </c>
      <c r="N3882" s="123">
        <v>17</v>
      </c>
      <c r="O3882">
        <v>522</v>
      </c>
      <c r="P3882" s="132" t="s">
        <v>77</v>
      </c>
      <c r="Q3882" s="132">
        <v>29.5</v>
      </c>
      <c r="R3882" s="132">
        <v>4.72</v>
      </c>
      <c r="S3882" s="132"/>
      <c r="T3882" s="156"/>
      <c r="U3882" s="132"/>
      <c r="V3882" s="132">
        <v>34.22</v>
      </c>
      <c r="W3882"/>
      <c r="X3882" s="153" t="s">
        <v>3451</v>
      </c>
      <c r="Y3882" s="124" t="s">
        <v>55</v>
      </c>
      <c r="Z3882" s="308">
        <v>238</v>
      </c>
      <c r="AB3882" t="str">
        <f>IF(Table1[[#This Row],[TIPO2]]="costo", VLOOKUP(Table1[[#This Row],[PARTIDA PRESUPUESTAL]],'Cost Report'!G:G,1,0),"Balance")</f>
        <v>2285-003</v>
      </c>
      <c r="AC3882" s="118"/>
      <c r="AD3882" s="159">
        <f>+Table1[[#This Row],[SUBTOTAL]]+Table1[[#This Row],[IVA]]-Table1[[#This Row],[RET IVA]]-Table1[[#This Row],[RET ISR]]-Table1[[#This Row],[TOTAL]]</f>
        <v>0</v>
      </c>
      <c r="AE3882" s="152"/>
      <c r="AF3882" s="153"/>
      <c r="AG3882" s="126" t="s">
        <v>3420</v>
      </c>
      <c r="AK3882" s="306" t="str">
        <f>IF(ISNUMBER(Table1[[#This Row],[FECHA DE RECIBIDO]]), Table1[[#This Row],[FECHA DE RECIBIDO]]-DATE(2023,8,30), "")</f>
        <v/>
      </c>
    </row>
    <row r="3883" spans="1:37" ht="15" customHeight="1">
      <c r="A3883" s="150" t="s">
        <v>4290</v>
      </c>
      <c r="B3883" s="151">
        <v>1279</v>
      </c>
      <c r="C3883" s="126" t="s">
        <v>2565</v>
      </c>
      <c r="D3883">
        <v>689</v>
      </c>
      <c r="E3883" s="126"/>
      <c r="F3883" s="122"/>
      <c r="G3883" s="122"/>
      <c r="H3883"/>
      <c r="I3883" s="122"/>
      <c r="J3883" s="307" t="s">
        <v>214</v>
      </c>
      <c r="K3883" s="127" t="s">
        <v>4212</v>
      </c>
      <c r="L3883" s="151" t="s">
        <v>1579</v>
      </c>
      <c r="M3883">
        <v>992</v>
      </c>
      <c r="N3883" s="123">
        <v>17</v>
      </c>
      <c r="O3883">
        <v>2465</v>
      </c>
      <c r="P3883" s="132" t="s">
        <v>77</v>
      </c>
      <c r="Q3883" s="131">
        <v>120</v>
      </c>
      <c r="R3883" s="131"/>
      <c r="S3883" s="131"/>
      <c r="T3883" s="155"/>
      <c r="U3883" s="131"/>
      <c r="V3883" s="131">
        <v>120</v>
      </c>
      <c r="W3883"/>
      <c r="X3883" s="151" t="s">
        <v>3451</v>
      </c>
      <c r="Y3883" s="135" t="s">
        <v>55</v>
      </c>
      <c r="Z3883" s="307">
        <v>238</v>
      </c>
      <c r="AB3883" t="str">
        <f>IF(Table1[[#This Row],[TIPO2]]="costo", VLOOKUP(Table1[[#This Row],[PARTIDA PRESUPUESTAL]],'Cost Report'!G:G,1,0),"Balance")</f>
        <v>2585-003</v>
      </c>
      <c r="AC3883" s="118"/>
      <c r="AD3883" s="159">
        <f>+Table1[[#This Row],[SUBTOTAL]]+Table1[[#This Row],[IVA]]-Table1[[#This Row],[RET IVA]]-Table1[[#This Row],[RET ISR]]-Table1[[#This Row],[TOTAL]]</f>
        <v>0</v>
      </c>
      <c r="AE3883" s="150"/>
      <c r="AF3883" s="151"/>
      <c r="AG3883" s="126" t="s">
        <v>3420</v>
      </c>
      <c r="AK3883" s="306" t="str">
        <f>IF(ISNUMBER(Table1[[#This Row],[FECHA DE RECIBIDO]]), Table1[[#This Row],[FECHA DE RECIBIDO]]-DATE(2023,8,30), "")</f>
        <v/>
      </c>
    </row>
    <row r="3884" spans="1:37" ht="15" customHeight="1">
      <c r="A3884" s="152" t="s">
        <v>4290</v>
      </c>
      <c r="B3884" s="153">
        <v>1279</v>
      </c>
      <c r="C3884" s="126" t="s">
        <v>2455</v>
      </c>
      <c r="D3884">
        <v>689</v>
      </c>
      <c r="E3884" s="126"/>
      <c r="F3884" s="125"/>
      <c r="G3884" s="125"/>
      <c r="H3884"/>
      <c r="I3884" s="125"/>
      <c r="J3884" s="308" t="s">
        <v>214</v>
      </c>
      <c r="K3884" s="127" t="s">
        <v>4212</v>
      </c>
      <c r="L3884" s="153" t="s">
        <v>1579</v>
      </c>
      <c r="M3884">
        <v>993</v>
      </c>
      <c r="N3884" s="123">
        <v>17</v>
      </c>
      <c r="O3884">
        <v>522</v>
      </c>
      <c r="P3884" s="132" t="s">
        <v>77</v>
      </c>
      <c r="Q3884" s="132">
        <v>30.89</v>
      </c>
      <c r="R3884" s="132">
        <v>4.95</v>
      </c>
      <c r="S3884" s="132"/>
      <c r="T3884" s="156"/>
      <c r="U3884" s="132"/>
      <c r="V3884" s="132">
        <v>35.840000000000003</v>
      </c>
      <c r="W3884"/>
      <c r="X3884" s="153" t="s">
        <v>3451</v>
      </c>
      <c r="Y3884" s="124" t="s">
        <v>55</v>
      </c>
      <c r="Z3884" s="308">
        <v>241</v>
      </c>
      <c r="AB3884" t="str">
        <f>IF(Table1[[#This Row],[TIPO2]]="costo", VLOOKUP(Table1[[#This Row],[PARTIDA PRESUPUESTAL]],'Cost Report'!G:G,1,0),"Balance")</f>
        <v>2285-003</v>
      </c>
      <c r="AC3884" s="118"/>
      <c r="AD3884" s="159">
        <f>+Table1[[#This Row],[SUBTOTAL]]+Table1[[#This Row],[IVA]]-Table1[[#This Row],[RET IVA]]-Table1[[#This Row],[RET ISR]]-Table1[[#This Row],[TOTAL]]</f>
        <v>0</v>
      </c>
      <c r="AE3884" s="152"/>
      <c r="AF3884" s="153"/>
      <c r="AG3884" s="126" t="s">
        <v>3420</v>
      </c>
      <c r="AK3884" s="306" t="str">
        <f>IF(ISNUMBER(Table1[[#This Row],[FECHA DE RECIBIDO]]), Table1[[#This Row],[FECHA DE RECIBIDO]]-DATE(2023,8,30), "")</f>
        <v/>
      </c>
    </row>
    <row r="3885" spans="1:37" ht="15" customHeight="1">
      <c r="A3885" s="150" t="s">
        <v>4290</v>
      </c>
      <c r="B3885" s="151">
        <v>1279</v>
      </c>
      <c r="C3885" s="126" t="s">
        <v>2455</v>
      </c>
      <c r="D3885">
        <v>689</v>
      </c>
      <c r="E3885" s="126"/>
      <c r="F3885" s="122"/>
      <c r="G3885" s="122"/>
      <c r="H3885"/>
      <c r="I3885" s="122"/>
      <c r="J3885" s="307" t="s">
        <v>214</v>
      </c>
      <c r="K3885" s="127" t="s">
        <v>4212</v>
      </c>
      <c r="L3885" s="151" t="s">
        <v>1579</v>
      </c>
      <c r="M3885">
        <v>522</v>
      </c>
      <c r="N3885" s="123">
        <v>17</v>
      </c>
      <c r="O3885">
        <v>2466</v>
      </c>
      <c r="P3885" s="132" t="s">
        <v>77</v>
      </c>
      <c r="Q3885" s="131">
        <v>90</v>
      </c>
      <c r="R3885" s="131"/>
      <c r="S3885" s="131"/>
      <c r="T3885" s="155"/>
      <c r="U3885" s="131"/>
      <c r="V3885" s="131">
        <v>90</v>
      </c>
      <c r="W3885"/>
      <c r="X3885" s="151" t="s">
        <v>3451</v>
      </c>
      <c r="Y3885" s="135" t="s">
        <v>55</v>
      </c>
      <c r="Z3885" s="307">
        <v>245</v>
      </c>
      <c r="AB3885" t="str">
        <f>IF(Table1[[#This Row],[TIPO2]]="costo", VLOOKUP(Table1[[#This Row],[PARTIDA PRESUPUESTAL]],'Cost Report'!G:G,1,0),"Balance")</f>
        <v>2285-003</v>
      </c>
      <c r="AC3885" s="118"/>
      <c r="AD3885" s="159">
        <f>+Table1[[#This Row],[SUBTOTAL]]+Table1[[#This Row],[IVA]]-Table1[[#This Row],[RET IVA]]-Table1[[#This Row],[RET ISR]]-Table1[[#This Row],[TOTAL]]</f>
        <v>0</v>
      </c>
      <c r="AE3885" s="150"/>
      <c r="AF3885" s="151"/>
      <c r="AG3885" s="126" t="s">
        <v>3420</v>
      </c>
      <c r="AK3885" s="306" t="str">
        <f>IF(ISNUMBER(Table1[[#This Row],[FECHA DE RECIBIDO]]), Table1[[#This Row],[FECHA DE RECIBIDO]]-DATE(2023,8,30), "")</f>
        <v/>
      </c>
    </row>
    <row r="3886" spans="1:37" ht="15" customHeight="1">
      <c r="A3886" s="152" t="s">
        <v>4291</v>
      </c>
      <c r="B3886" s="153">
        <v>1280</v>
      </c>
      <c r="C3886" s="126" t="s">
        <v>2953</v>
      </c>
      <c r="D3886">
        <v>2580</v>
      </c>
      <c r="E3886" s="126" t="s">
        <v>2075</v>
      </c>
      <c r="F3886" s="125" t="s">
        <v>2062</v>
      </c>
      <c r="G3886" s="125" t="e">
        <v>#N/A</v>
      </c>
      <c r="H3886">
        <v>146</v>
      </c>
      <c r="I3886" s="125" t="s">
        <v>1546</v>
      </c>
      <c r="J3886" s="308" t="s">
        <v>214</v>
      </c>
      <c r="K3886" s="127" t="s">
        <v>4212</v>
      </c>
      <c r="L3886" s="153" t="s">
        <v>1579</v>
      </c>
      <c r="M3886">
        <v>560</v>
      </c>
      <c r="N3886" s="123">
        <v>17</v>
      </c>
      <c r="O3886">
        <v>2467</v>
      </c>
      <c r="P3886" s="132" t="s">
        <v>77</v>
      </c>
      <c r="Q3886" s="132">
        <v>892.24</v>
      </c>
      <c r="R3886" s="132">
        <v>142.76</v>
      </c>
      <c r="S3886" s="132"/>
      <c r="T3886" s="156"/>
      <c r="U3886" s="132"/>
      <c r="V3886" s="132">
        <v>1035</v>
      </c>
      <c r="W3886"/>
      <c r="X3886" s="153" t="s">
        <v>3451</v>
      </c>
      <c r="Y3886" s="124" t="s">
        <v>55</v>
      </c>
      <c r="Z3886" s="308" t="s">
        <v>214</v>
      </c>
      <c r="AB3886" t="str">
        <f>IF(Table1[[#This Row],[TIPO2]]="costo", VLOOKUP(Table1[[#This Row],[PARTIDA PRESUPUESTAL]],'Cost Report'!G:G,1,0),"Balance")</f>
        <v>3901-049</v>
      </c>
      <c r="AC3886" s="118"/>
      <c r="AD3886" s="159">
        <f>+Table1[[#This Row],[SUBTOTAL]]+Table1[[#This Row],[IVA]]-Table1[[#This Row],[RET IVA]]-Table1[[#This Row],[RET ISR]]-Table1[[#This Row],[TOTAL]]</f>
        <v>0</v>
      </c>
      <c r="AE3886" s="152"/>
      <c r="AF3886" s="153"/>
      <c r="AG3886" s="126" t="s">
        <v>3420</v>
      </c>
      <c r="AK3886" s="306" t="str">
        <f>IF(ISNUMBER(Table1[[#This Row],[FECHA DE RECIBIDO]]), Table1[[#This Row],[FECHA DE RECIBIDO]]-DATE(2023,8,30), "")</f>
        <v/>
      </c>
    </row>
    <row r="3887" spans="1:37" ht="15" customHeight="1">
      <c r="A3887" s="150" t="s">
        <v>4291</v>
      </c>
      <c r="B3887" s="151">
        <v>1280</v>
      </c>
      <c r="C3887" s="126" t="s">
        <v>2953</v>
      </c>
      <c r="D3887">
        <v>2581</v>
      </c>
      <c r="E3887" s="126" t="s">
        <v>2075</v>
      </c>
      <c r="F3887" s="122" t="s">
        <v>2062</v>
      </c>
      <c r="G3887" s="122" t="e">
        <v>#N/A</v>
      </c>
      <c r="H3887">
        <v>146</v>
      </c>
      <c r="I3887" s="122" t="s">
        <v>1546</v>
      </c>
      <c r="J3887" s="307" t="s">
        <v>214</v>
      </c>
      <c r="K3887" s="127" t="s">
        <v>4212</v>
      </c>
      <c r="L3887" s="151" t="s">
        <v>1579</v>
      </c>
      <c r="M3887">
        <v>560</v>
      </c>
      <c r="N3887" s="123">
        <v>17</v>
      </c>
      <c r="O3887">
        <v>2468</v>
      </c>
      <c r="P3887" s="132" t="s">
        <v>77</v>
      </c>
      <c r="Q3887" s="131">
        <v>991.38</v>
      </c>
      <c r="R3887" s="131">
        <v>158.62</v>
      </c>
      <c r="S3887" s="131"/>
      <c r="T3887" s="155"/>
      <c r="U3887" s="131"/>
      <c r="V3887" s="131">
        <v>1150</v>
      </c>
      <c r="W3887"/>
      <c r="X3887" s="151" t="s">
        <v>3451</v>
      </c>
      <c r="Y3887" s="135" t="s">
        <v>55</v>
      </c>
      <c r="Z3887" s="307" t="s">
        <v>214</v>
      </c>
      <c r="AB3887" t="str">
        <f>IF(Table1[[#This Row],[TIPO2]]="costo", VLOOKUP(Table1[[#This Row],[PARTIDA PRESUPUESTAL]],'Cost Report'!G:G,1,0),"Balance")</f>
        <v>3901-049</v>
      </c>
      <c r="AC3887" s="118"/>
      <c r="AD3887" s="159">
        <f>+Table1[[#This Row],[SUBTOTAL]]+Table1[[#This Row],[IVA]]-Table1[[#This Row],[RET IVA]]-Table1[[#This Row],[RET ISR]]-Table1[[#This Row],[TOTAL]]</f>
        <v>0</v>
      </c>
      <c r="AE3887" s="150"/>
      <c r="AF3887" s="151"/>
      <c r="AG3887" s="126" t="s">
        <v>3420</v>
      </c>
      <c r="AK3887" s="306" t="str">
        <f>IF(ISNUMBER(Table1[[#This Row],[FECHA DE RECIBIDO]]), Table1[[#This Row],[FECHA DE RECIBIDO]]-DATE(2023,8,30), "")</f>
        <v/>
      </c>
    </row>
    <row r="3888" spans="1:37" ht="15" customHeight="1">
      <c r="A3888" s="152" t="s">
        <v>4291</v>
      </c>
      <c r="B3888" s="153">
        <v>1280</v>
      </c>
      <c r="C3888" s="126" t="s">
        <v>2953</v>
      </c>
      <c r="D3888">
        <v>2582</v>
      </c>
      <c r="E3888" s="126" t="s">
        <v>1624</v>
      </c>
      <c r="F3888" s="125" t="s">
        <v>1607</v>
      </c>
      <c r="G3888" s="125" t="s">
        <v>134</v>
      </c>
      <c r="H3888">
        <v>46</v>
      </c>
      <c r="I3888" s="125" t="s">
        <v>1546</v>
      </c>
      <c r="J3888" s="308" t="s">
        <v>214</v>
      </c>
      <c r="K3888" s="127" t="s">
        <v>4212</v>
      </c>
      <c r="L3888" s="153" t="s">
        <v>1579</v>
      </c>
      <c r="M3888">
        <v>58</v>
      </c>
      <c r="N3888" s="123">
        <v>17</v>
      </c>
      <c r="O3888">
        <v>2054</v>
      </c>
      <c r="P3888" s="132" t="s">
        <v>77</v>
      </c>
      <c r="Q3888" s="132">
        <v>1859.38</v>
      </c>
      <c r="R3888" s="132">
        <v>201.5</v>
      </c>
      <c r="S3888" s="132"/>
      <c r="T3888" s="156"/>
      <c r="U3888" s="132"/>
      <c r="V3888" s="132">
        <v>2060.88</v>
      </c>
      <c r="W3888"/>
      <c r="X3888" s="153" t="s">
        <v>3451</v>
      </c>
      <c r="Y3888" s="124" t="s">
        <v>55</v>
      </c>
      <c r="Z3888" s="308" t="s">
        <v>214</v>
      </c>
      <c r="AB3888" t="str">
        <f>IF(Table1[[#This Row],[TIPO2]]="costo", VLOOKUP(Table1[[#This Row],[PARTIDA PRESUPUESTAL]],'Cost Report'!G:G,1,0),"Balance")</f>
        <v>3901-049</v>
      </c>
      <c r="AC3888" s="118"/>
      <c r="AD3888" s="159">
        <f>+Table1[[#This Row],[SUBTOTAL]]+Table1[[#This Row],[IVA]]-Table1[[#This Row],[RET IVA]]-Table1[[#This Row],[RET ISR]]-Table1[[#This Row],[TOTAL]]</f>
        <v>0</v>
      </c>
      <c r="AE3888" s="152"/>
      <c r="AF3888" s="153"/>
      <c r="AG3888" s="126" t="s">
        <v>3420</v>
      </c>
      <c r="AK3888" s="306" t="str">
        <f>IF(ISNUMBER(Table1[[#This Row],[FECHA DE RECIBIDO]]), Table1[[#This Row],[FECHA DE RECIBIDO]]-DATE(2023,8,30), "")</f>
        <v/>
      </c>
    </row>
    <row r="3889" spans="1:37" ht="15" customHeight="1">
      <c r="A3889" s="150" t="s">
        <v>4291</v>
      </c>
      <c r="B3889" s="151">
        <v>1280</v>
      </c>
      <c r="C3889" s="126" t="s">
        <v>2342</v>
      </c>
      <c r="D3889">
        <v>2583</v>
      </c>
      <c r="E3889" s="126" t="s">
        <v>2067</v>
      </c>
      <c r="F3889" s="122" t="s">
        <v>1607</v>
      </c>
      <c r="G3889" s="122" t="s">
        <v>134</v>
      </c>
      <c r="H3889">
        <v>136</v>
      </c>
      <c r="I3889" s="122" t="s">
        <v>1546</v>
      </c>
      <c r="J3889" s="307" t="s">
        <v>214</v>
      </c>
      <c r="K3889" s="127" t="s">
        <v>4212</v>
      </c>
      <c r="L3889" s="151" t="s">
        <v>1579</v>
      </c>
      <c r="M3889">
        <v>178</v>
      </c>
      <c r="N3889" s="123">
        <v>17</v>
      </c>
      <c r="O3889">
        <v>2469</v>
      </c>
      <c r="P3889" s="132" t="s">
        <v>77</v>
      </c>
      <c r="Q3889" s="131">
        <v>9070.41</v>
      </c>
      <c r="R3889" s="131">
        <v>1275.5899999999999</v>
      </c>
      <c r="S3889" s="131"/>
      <c r="T3889" s="155"/>
      <c r="U3889" s="131"/>
      <c r="V3889" s="131">
        <v>10346</v>
      </c>
      <c r="W3889"/>
      <c r="X3889" s="151" t="s">
        <v>3451</v>
      </c>
      <c r="Y3889" s="135" t="s">
        <v>55</v>
      </c>
      <c r="Z3889" s="307" t="s">
        <v>214</v>
      </c>
      <c r="AB3889" t="str">
        <f>IF(Table1[[#This Row],[TIPO2]]="costo", VLOOKUP(Table1[[#This Row],[PARTIDA PRESUPUESTAL]],'Cost Report'!G:G,1,0),"Balance")</f>
        <v>1630-020</v>
      </c>
      <c r="AC3889" s="118"/>
      <c r="AD3889" s="159">
        <f>+Table1[[#This Row],[SUBTOTAL]]+Table1[[#This Row],[IVA]]-Table1[[#This Row],[RET IVA]]-Table1[[#This Row],[RET ISR]]-Table1[[#This Row],[TOTAL]]</f>
        <v>0</v>
      </c>
      <c r="AE3889" s="150"/>
      <c r="AF3889" s="151"/>
      <c r="AG3889" s="126" t="s">
        <v>3420</v>
      </c>
      <c r="AK3889" s="306" t="str">
        <f>IF(ISNUMBER(Table1[[#This Row],[FECHA DE RECIBIDO]]), Table1[[#This Row],[FECHA DE RECIBIDO]]-DATE(2023,8,30), "")</f>
        <v/>
      </c>
    </row>
    <row r="3890" spans="1:37" ht="15" customHeight="1">
      <c r="A3890" s="152" t="s">
        <v>4291</v>
      </c>
      <c r="B3890" s="153">
        <v>1280</v>
      </c>
      <c r="C3890" s="126" t="s">
        <v>2953</v>
      </c>
      <c r="D3890">
        <v>2584</v>
      </c>
      <c r="E3890" s="126" t="s">
        <v>2067</v>
      </c>
      <c r="F3890" s="125" t="s">
        <v>1607</v>
      </c>
      <c r="G3890" s="125" t="s">
        <v>134</v>
      </c>
      <c r="H3890">
        <v>136</v>
      </c>
      <c r="I3890" s="125" t="s">
        <v>1546</v>
      </c>
      <c r="J3890" s="308" t="s">
        <v>214</v>
      </c>
      <c r="K3890" s="127" t="s">
        <v>4212</v>
      </c>
      <c r="L3890" s="153" t="s">
        <v>1579</v>
      </c>
      <c r="M3890">
        <v>178</v>
      </c>
      <c r="N3890" s="123">
        <v>17</v>
      </c>
      <c r="O3890">
        <v>2470</v>
      </c>
      <c r="P3890" s="132" t="s">
        <v>77</v>
      </c>
      <c r="Q3890" s="132">
        <v>259.48</v>
      </c>
      <c r="R3890" s="132">
        <v>41.52</v>
      </c>
      <c r="S3890" s="132"/>
      <c r="T3890" s="156"/>
      <c r="U3890" s="132"/>
      <c r="V3890" s="132">
        <v>301</v>
      </c>
      <c r="W3890"/>
      <c r="X3890" s="153" t="s">
        <v>3451</v>
      </c>
      <c r="Y3890" s="124" t="s">
        <v>55</v>
      </c>
      <c r="Z3890" s="308" t="s">
        <v>214</v>
      </c>
      <c r="AB3890" t="str">
        <f>IF(Table1[[#This Row],[TIPO2]]="costo", VLOOKUP(Table1[[#This Row],[PARTIDA PRESUPUESTAL]],'Cost Report'!G:G,1,0),"Balance")</f>
        <v>3901-049</v>
      </c>
      <c r="AC3890" s="118"/>
      <c r="AD3890" s="159">
        <f>+Table1[[#This Row],[SUBTOTAL]]+Table1[[#This Row],[IVA]]-Table1[[#This Row],[RET IVA]]-Table1[[#This Row],[RET ISR]]-Table1[[#This Row],[TOTAL]]</f>
        <v>0</v>
      </c>
      <c r="AE3890" s="152"/>
      <c r="AF3890" s="153"/>
      <c r="AG3890" s="126" t="s">
        <v>3420</v>
      </c>
      <c r="AK3890" s="306" t="str">
        <f>IF(ISNUMBER(Table1[[#This Row],[FECHA DE RECIBIDO]]), Table1[[#This Row],[FECHA DE RECIBIDO]]-DATE(2023,8,30), "")</f>
        <v/>
      </c>
    </row>
    <row r="3891" spans="1:37" ht="15" customHeight="1">
      <c r="A3891" s="150" t="s">
        <v>4291</v>
      </c>
      <c r="B3891" s="151">
        <v>1280</v>
      </c>
      <c r="C3891" s="126" t="s">
        <v>2953</v>
      </c>
      <c r="D3891">
        <v>2585</v>
      </c>
      <c r="E3891" s="126" t="s">
        <v>1624</v>
      </c>
      <c r="F3891" s="122" t="s">
        <v>1607</v>
      </c>
      <c r="G3891" s="122" t="s">
        <v>134</v>
      </c>
      <c r="H3891">
        <v>46</v>
      </c>
      <c r="I3891" s="122" t="s">
        <v>1546</v>
      </c>
      <c r="J3891" s="307" t="s">
        <v>214</v>
      </c>
      <c r="K3891" s="127" t="s">
        <v>4212</v>
      </c>
      <c r="L3891" s="151" t="s">
        <v>1579</v>
      </c>
      <c r="M3891">
        <v>58</v>
      </c>
      <c r="N3891" s="123">
        <v>17</v>
      </c>
      <c r="O3891">
        <v>2471</v>
      </c>
      <c r="P3891" s="132" t="s">
        <v>77</v>
      </c>
      <c r="Q3891" s="131">
        <v>1319.13</v>
      </c>
      <c r="R3891" s="131">
        <v>129.12</v>
      </c>
      <c r="S3891" s="131"/>
      <c r="T3891" s="155"/>
      <c r="U3891" s="131"/>
      <c r="V3891" s="131">
        <v>1448.25</v>
      </c>
      <c r="W3891"/>
      <c r="X3891" s="151" t="s">
        <v>3451</v>
      </c>
      <c r="Y3891" s="135" t="s">
        <v>55</v>
      </c>
      <c r="Z3891" s="307" t="s">
        <v>214</v>
      </c>
      <c r="AB3891" t="str">
        <f>IF(Table1[[#This Row],[TIPO2]]="costo", VLOOKUP(Table1[[#This Row],[PARTIDA PRESUPUESTAL]],'Cost Report'!G:G,1,0),"Balance")</f>
        <v>3901-049</v>
      </c>
      <c r="AC3891" s="118"/>
      <c r="AD3891" s="159">
        <f>+Table1[[#This Row],[SUBTOTAL]]+Table1[[#This Row],[IVA]]-Table1[[#This Row],[RET IVA]]-Table1[[#This Row],[RET ISR]]-Table1[[#This Row],[TOTAL]]</f>
        <v>0</v>
      </c>
      <c r="AE3891" s="150"/>
      <c r="AF3891" s="151"/>
      <c r="AG3891" s="126" t="s">
        <v>3420</v>
      </c>
      <c r="AK3891" s="306" t="str">
        <f>IF(ISNUMBER(Table1[[#This Row],[FECHA DE RECIBIDO]]), Table1[[#This Row],[FECHA DE RECIBIDO]]-DATE(2023,8,30), "")</f>
        <v/>
      </c>
    </row>
    <row r="3892" spans="1:37" ht="15" customHeight="1">
      <c r="A3892" s="152" t="s">
        <v>4291</v>
      </c>
      <c r="B3892" s="153">
        <v>1280</v>
      </c>
      <c r="C3892" s="126" t="s">
        <v>2953</v>
      </c>
      <c r="D3892">
        <v>2586</v>
      </c>
      <c r="E3892" s="126" t="s">
        <v>1624</v>
      </c>
      <c r="F3892" s="125" t="s">
        <v>1607</v>
      </c>
      <c r="G3892" s="125" t="s">
        <v>134</v>
      </c>
      <c r="H3892">
        <v>46</v>
      </c>
      <c r="I3892" s="125" t="s">
        <v>1546</v>
      </c>
      <c r="J3892" s="308" t="s">
        <v>214</v>
      </c>
      <c r="K3892" s="127" t="s">
        <v>4212</v>
      </c>
      <c r="L3892" s="153" t="s">
        <v>1579</v>
      </c>
      <c r="M3892">
        <v>58</v>
      </c>
      <c r="N3892" s="123">
        <v>17</v>
      </c>
      <c r="O3892">
        <v>2472</v>
      </c>
      <c r="P3892" s="132" t="s">
        <v>77</v>
      </c>
      <c r="Q3892" s="132">
        <v>114.83</v>
      </c>
      <c r="R3892" s="132">
        <v>4.32</v>
      </c>
      <c r="S3892" s="132"/>
      <c r="T3892" s="156"/>
      <c r="U3892" s="132"/>
      <c r="V3892" s="132">
        <v>119.15</v>
      </c>
      <c r="W3892"/>
      <c r="X3892" s="153" t="s">
        <v>3451</v>
      </c>
      <c r="Y3892" s="124" t="s">
        <v>55</v>
      </c>
      <c r="Z3892" s="308" t="s">
        <v>214</v>
      </c>
      <c r="AB3892" t="str">
        <f>IF(Table1[[#This Row],[TIPO2]]="costo", VLOOKUP(Table1[[#This Row],[PARTIDA PRESUPUESTAL]],'Cost Report'!G:G,1,0),"Balance")</f>
        <v>3901-049</v>
      </c>
      <c r="AC3892" s="118"/>
      <c r="AD3892" s="159">
        <f>+Table1[[#This Row],[SUBTOTAL]]+Table1[[#This Row],[IVA]]-Table1[[#This Row],[RET IVA]]-Table1[[#This Row],[RET ISR]]-Table1[[#This Row],[TOTAL]]</f>
        <v>0</v>
      </c>
      <c r="AE3892" s="152"/>
      <c r="AF3892" s="153"/>
      <c r="AG3892" s="126" t="s">
        <v>3420</v>
      </c>
      <c r="AK3892" s="306" t="str">
        <f>IF(ISNUMBER(Table1[[#This Row],[FECHA DE RECIBIDO]]), Table1[[#This Row],[FECHA DE RECIBIDO]]-DATE(2023,8,30), "")</f>
        <v/>
      </c>
    </row>
    <row r="3893" spans="1:37" ht="15" customHeight="1">
      <c r="A3893" s="150" t="s">
        <v>4291</v>
      </c>
      <c r="B3893" s="151">
        <v>1280</v>
      </c>
      <c r="C3893" s="126" t="s">
        <v>2953</v>
      </c>
      <c r="D3893">
        <v>2587</v>
      </c>
      <c r="E3893" s="126" t="s">
        <v>1624</v>
      </c>
      <c r="F3893" s="122" t="s">
        <v>1607</v>
      </c>
      <c r="G3893" s="122" t="s">
        <v>134</v>
      </c>
      <c r="H3893">
        <v>46</v>
      </c>
      <c r="I3893" s="122" t="s">
        <v>1546</v>
      </c>
      <c r="J3893" s="307" t="s">
        <v>214</v>
      </c>
      <c r="K3893" s="127" t="s">
        <v>4212</v>
      </c>
      <c r="L3893" s="151" t="s">
        <v>1579</v>
      </c>
      <c r="M3893">
        <v>58</v>
      </c>
      <c r="N3893" s="123">
        <v>17</v>
      </c>
      <c r="O3893">
        <v>2473</v>
      </c>
      <c r="P3893" s="132" t="s">
        <v>77</v>
      </c>
      <c r="Q3893" s="131">
        <v>60.34</v>
      </c>
      <c r="R3893" s="131">
        <v>9.65</v>
      </c>
      <c r="S3893" s="131"/>
      <c r="T3893" s="155"/>
      <c r="U3893" s="131"/>
      <c r="V3893" s="131">
        <v>69.990000000000009</v>
      </c>
      <c r="W3893"/>
      <c r="X3893" s="151" t="s">
        <v>3451</v>
      </c>
      <c r="Y3893" s="135" t="s">
        <v>55</v>
      </c>
      <c r="Z3893" s="307" t="s">
        <v>214</v>
      </c>
      <c r="AB3893" t="str">
        <f>IF(Table1[[#This Row],[TIPO2]]="costo", VLOOKUP(Table1[[#This Row],[PARTIDA PRESUPUESTAL]],'Cost Report'!G:G,1,0),"Balance")</f>
        <v>3901-049</v>
      </c>
      <c r="AC3893" s="118"/>
      <c r="AD3893" s="159">
        <f>+Table1[[#This Row],[SUBTOTAL]]+Table1[[#This Row],[IVA]]-Table1[[#This Row],[RET IVA]]-Table1[[#This Row],[RET ISR]]-Table1[[#This Row],[TOTAL]]</f>
        <v>0</v>
      </c>
      <c r="AE3893" s="150"/>
      <c r="AF3893" s="151"/>
      <c r="AG3893" s="126" t="s">
        <v>3420</v>
      </c>
      <c r="AK3893" s="306" t="str">
        <f>IF(ISNUMBER(Table1[[#This Row],[FECHA DE RECIBIDO]]), Table1[[#This Row],[FECHA DE RECIBIDO]]-DATE(2023,8,30), "")</f>
        <v/>
      </c>
    </row>
    <row r="3894" spans="1:37" ht="15" customHeight="1">
      <c r="A3894" s="152" t="s">
        <v>4291</v>
      </c>
      <c r="B3894" s="153">
        <v>1280</v>
      </c>
      <c r="C3894" s="126" t="s">
        <v>2953</v>
      </c>
      <c r="D3894">
        <v>2588</v>
      </c>
      <c r="E3894" s="126" t="s">
        <v>1624</v>
      </c>
      <c r="F3894" s="125" t="s">
        <v>1607</v>
      </c>
      <c r="G3894" s="125" t="s">
        <v>134</v>
      </c>
      <c r="H3894">
        <v>46</v>
      </c>
      <c r="I3894" s="125" t="s">
        <v>1546</v>
      </c>
      <c r="J3894" s="308" t="s">
        <v>214</v>
      </c>
      <c r="K3894" s="127" t="s">
        <v>4212</v>
      </c>
      <c r="L3894" s="153" t="s">
        <v>1579</v>
      </c>
      <c r="M3894">
        <v>58</v>
      </c>
      <c r="N3894" s="123">
        <v>17</v>
      </c>
      <c r="O3894">
        <v>2474</v>
      </c>
      <c r="P3894" s="132" t="s">
        <v>77</v>
      </c>
      <c r="Q3894" s="132">
        <v>2077.9299999999998</v>
      </c>
      <c r="R3894" s="132">
        <v>236.47</v>
      </c>
      <c r="S3894" s="132"/>
      <c r="T3894" s="156"/>
      <c r="U3894" s="132"/>
      <c r="V3894" s="132">
        <v>2314.3999999999996</v>
      </c>
      <c r="W3894"/>
      <c r="X3894" s="153" t="s">
        <v>3451</v>
      </c>
      <c r="Y3894" s="124" t="s">
        <v>55</v>
      </c>
      <c r="Z3894" s="308" t="s">
        <v>214</v>
      </c>
      <c r="AB3894" t="str">
        <f>IF(Table1[[#This Row],[TIPO2]]="costo", VLOOKUP(Table1[[#This Row],[PARTIDA PRESUPUESTAL]],'Cost Report'!G:G,1,0),"Balance")</f>
        <v>3901-049</v>
      </c>
      <c r="AC3894" s="118"/>
      <c r="AD3894" s="159">
        <f>+Table1[[#This Row],[SUBTOTAL]]+Table1[[#This Row],[IVA]]-Table1[[#This Row],[RET IVA]]-Table1[[#This Row],[RET ISR]]-Table1[[#This Row],[TOTAL]]</f>
        <v>0</v>
      </c>
      <c r="AE3894" s="152"/>
      <c r="AF3894" s="153"/>
      <c r="AG3894" s="126" t="s">
        <v>3420</v>
      </c>
      <c r="AK3894" s="306" t="str">
        <f>IF(ISNUMBER(Table1[[#This Row],[FECHA DE RECIBIDO]]), Table1[[#This Row],[FECHA DE RECIBIDO]]-DATE(2023,8,30), "")</f>
        <v/>
      </c>
    </row>
    <row r="3895" spans="1:37" ht="15" customHeight="1">
      <c r="A3895" s="150" t="s">
        <v>4291</v>
      </c>
      <c r="B3895" s="151">
        <v>1280</v>
      </c>
      <c r="C3895" s="126" t="s">
        <v>2953</v>
      </c>
      <c r="D3895">
        <v>2589</v>
      </c>
      <c r="E3895" s="126" t="s">
        <v>1624</v>
      </c>
      <c r="F3895" s="122" t="s">
        <v>1607</v>
      </c>
      <c r="G3895" s="122" t="s">
        <v>134</v>
      </c>
      <c r="H3895">
        <v>46</v>
      </c>
      <c r="I3895" s="122" t="s">
        <v>1546</v>
      </c>
      <c r="J3895" s="307" t="s">
        <v>214</v>
      </c>
      <c r="K3895" s="127" t="s">
        <v>4212</v>
      </c>
      <c r="L3895" s="151" t="s">
        <v>1579</v>
      </c>
      <c r="M3895">
        <v>58</v>
      </c>
      <c r="N3895" s="123">
        <v>17</v>
      </c>
      <c r="O3895">
        <v>2063</v>
      </c>
      <c r="P3895" s="132" t="s">
        <v>77</v>
      </c>
      <c r="Q3895" s="131">
        <v>1461.07</v>
      </c>
      <c r="R3895" s="131">
        <v>151.83000000000001</v>
      </c>
      <c r="S3895" s="131"/>
      <c r="T3895" s="155"/>
      <c r="U3895" s="131"/>
      <c r="V3895" s="131">
        <v>1612.8999999999999</v>
      </c>
      <c r="W3895"/>
      <c r="X3895" s="151" t="s">
        <v>3451</v>
      </c>
      <c r="Y3895" s="135" t="s">
        <v>55</v>
      </c>
      <c r="Z3895" s="307">
        <v>128</v>
      </c>
      <c r="AB3895" t="str">
        <f>IF(Table1[[#This Row],[TIPO2]]="costo", VLOOKUP(Table1[[#This Row],[PARTIDA PRESUPUESTAL]],'Cost Report'!G:G,1,0),"Balance")</f>
        <v>3901-049</v>
      </c>
      <c r="AC3895" s="118"/>
      <c r="AD3895" s="159">
        <f>+Table1[[#This Row],[SUBTOTAL]]+Table1[[#This Row],[IVA]]-Table1[[#This Row],[RET IVA]]-Table1[[#This Row],[RET ISR]]-Table1[[#This Row],[TOTAL]]</f>
        <v>0</v>
      </c>
      <c r="AE3895" s="150"/>
      <c r="AF3895" s="151"/>
      <c r="AG3895" s="126" t="s">
        <v>3420</v>
      </c>
      <c r="AK3895" s="306" t="str">
        <f>IF(ISNUMBER(Table1[[#This Row],[FECHA DE RECIBIDO]]), Table1[[#This Row],[FECHA DE RECIBIDO]]-DATE(2023,8,30), "")</f>
        <v/>
      </c>
    </row>
    <row r="3896" spans="1:37" ht="15" customHeight="1">
      <c r="A3896" s="152" t="s">
        <v>4291</v>
      </c>
      <c r="B3896" s="153">
        <v>1280</v>
      </c>
      <c r="C3896" s="126" t="s">
        <v>1770</v>
      </c>
      <c r="D3896">
        <v>2590</v>
      </c>
      <c r="E3896" s="126" t="s">
        <v>1624</v>
      </c>
      <c r="F3896" s="125" t="s">
        <v>1607</v>
      </c>
      <c r="G3896" s="125" t="s">
        <v>134</v>
      </c>
      <c r="H3896">
        <v>46</v>
      </c>
      <c r="I3896" s="125" t="s">
        <v>1546</v>
      </c>
      <c r="J3896" s="308" t="s">
        <v>214</v>
      </c>
      <c r="K3896" s="127" t="s">
        <v>4212</v>
      </c>
      <c r="L3896" s="153" t="s">
        <v>1579</v>
      </c>
      <c r="M3896">
        <v>58</v>
      </c>
      <c r="N3896" s="123">
        <v>17</v>
      </c>
      <c r="O3896">
        <v>2475</v>
      </c>
      <c r="P3896" s="132" t="s">
        <v>77</v>
      </c>
      <c r="Q3896" s="132">
        <v>9740.0499999999993</v>
      </c>
      <c r="R3896" s="132">
        <v>1024.5899999999999</v>
      </c>
      <c r="S3896" s="132"/>
      <c r="T3896" s="156"/>
      <c r="U3896" s="132"/>
      <c r="V3896" s="132">
        <v>10764.64</v>
      </c>
      <c r="W3896"/>
      <c r="X3896" s="153" t="s">
        <v>3451</v>
      </c>
      <c r="Y3896" s="124" t="s">
        <v>55</v>
      </c>
      <c r="Z3896" s="308">
        <v>128</v>
      </c>
      <c r="AB3896" t="str">
        <f>IF(Table1[[#This Row],[TIPO2]]="costo", VLOOKUP(Table1[[#This Row],[PARTIDA PRESUPUESTAL]],'Cost Report'!G:G,1,0),"Balance")</f>
        <v>3901-038</v>
      </c>
      <c r="AC3896" s="118"/>
      <c r="AD3896" s="159">
        <f>+Table1[[#This Row],[SUBTOTAL]]+Table1[[#This Row],[IVA]]-Table1[[#This Row],[RET IVA]]-Table1[[#This Row],[RET ISR]]-Table1[[#This Row],[TOTAL]]</f>
        <v>0</v>
      </c>
      <c r="AE3896" s="152"/>
      <c r="AF3896" s="153"/>
      <c r="AG3896" s="126" t="s">
        <v>3420</v>
      </c>
      <c r="AK3896" s="306" t="str">
        <f>IF(ISNUMBER(Table1[[#This Row],[FECHA DE RECIBIDO]]), Table1[[#This Row],[FECHA DE RECIBIDO]]-DATE(2023,8,30), "")</f>
        <v/>
      </c>
    </row>
    <row r="3897" spans="1:37" ht="15" customHeight="1">
      <c r="A3897" s="150" t="s">
        <v>4291</v>
      </c>
      <c r="B3897" s="151">
        <v>1280</v>
      </c>
      <c r="C3897" s="126" t="s">
        <v>2953</v>
      </c>
      <c r="D3897">
        <v>2591</v>
      </c>
      <c r="E3897" s="126" t="s">
        <v>1624</v>
      </c>
      <c r="F3897" s="122" t="s">
        <v>1607</v>
      </c>
      <c r="G3897" s="122" t="s">
        <v>134</v>
      </c>
      <c r="H3897">
        <v>46</v>
      </c>
      <c r="I3897" s="122" t="s">
        <v>1546</v>
      </c>
      <c r="J3897" s="307" t="s">
        <v>214</v>
      </c>
      <c r="K3897" s="127" t="s">
        <v>4212</v>
      </c>
      <c r="L3897" s="151" t="s">
        <v>1579</v>
      </c>
      <c r="M3897">
        <v>58</v>
      </c>
      <c r="N3897" s="123">
        <v>17</v>
      </c>
      <c r="O3897">
        <v>2476</v>
      </c>
      <c r="P3897" s="132" t="s">
        <v>77</v>
      </c>
      <c r="Q3897" s="131">
        <v>3335.81</v>
      </c>
      <c r="R3897" s="131">
        <v>355.79</v>
      </c>
      <c r="S3897" s="131"/>
      <c r="T3897" s="155"/>
      <c r="U3897" s="131"/>
      <c r="V3897" s="131">
        <v>3691.6</v>
      </c>
      <c r="W3897"/>
      <c r="X3897" s="151" t="s">
        <v>3451</v>
      </c>
      <c r="Y3897" s="135" t="s">
        <v>55</v>
      </c>
      <c r="Z3897" s="307">
        <v>128</v>
      </c>
      <c r="AB3897" t="str">
        <f>IF(Table1[[#This Row],[TIPO2]]="costo", VLOOKUP(Table1[[#This Row],[PARTIDA PRESUPUESTAL]],'Cost Report'!G:G,1,0),"Balance")</f>
        <v>3901-049</v>
      </c>
      <c r="AC3897" s="118"/>
      <c r="AD3897" s="159">
        <f>+Table1[[#This Row],[SUBTOTAL]]+Table1[[#This Row],[IVA]]-Table1[[#This Row],[RET IVA]]-Table1[[#This Row],[RET ISR]]-Table1[[#This Row],[TOTAL]]</f>
        <v>0</v>
      </c>
      <c r="AE3897" s="150"/>
      <c r="AF3897" s="151"/>
      <c r="AG3897" s="126" t="s">
        <v>3420</v>
      </c>
      <c r="AK3897" s="306" t="str">
        <f>IF(ISNUMBER(Table1[[#This Row],[FECHA DE RECIBIDO]]), Table1[[#This Row],[FECHA DE RECIBIDO]]-DATE(2023,8,30), "")</f>
        <v/>
      </c>
    </row>
    <row r="3898" spans="1:37" ht="15" customHeight="1">
      <c r="A3898" s="152" t="s">
        <v>4292</v>
      </c>
      <c r="B3898" s="153">
        <v>1281</v>
      </c>
      <c r="C3898" s="126" t="s">
        <v>2596</v>
      </c>
      <c r="D3898">
        <v>2592</v>
      </c>
      <c r="E3898" s="126" t="e">
        <v>#N/A</v>
      </c>
      <c r="F3898" s="125" t="e">
        <v>#N/A</v>
      </c>
      <c r="G3898" s="125" t="e">
        <v>#N/A</v>
      </c>
      <c r="H3898">
        <v>36</v>
      </c>
      <c r="I3898" s="125" t="e">
        <v>#N/A</v>
      </c>
      <c r="J3898" s="308" t="s">
        <v>214</v>
      </c>
      <c r="K3898" s="127" t="s">
        <v>4212</v>
      </c>
      <c r="L3898" s="153" t="s">
        <v>1579</v>
      </c>
      <c r="M3898">
        <v>522</v>
      </c>
      <c r="N3898" s="123">
        <v>17</v>
      </c>
      <c r="O3898">
        <v>905</v>
      </c>
      <c r="P3898" s="132" t="s">
        <v>77</v>
      </c>
      <c r="Q3898" s="132">
        <v>25.86</v>
      </c>
      <c r="R3898" s="132">
        <v>4.1399999999999997</v>
      </c>
      <c r="S3898" s="132"/>
      <c r="T3898" s="156"/>
      <c r="U3898" s="132"/>
      <c r="V3898" s="132">
        <v>30</v>
      </c>
      <c r="W3898"/>
      <c r="X3898" s="153" t="s">
        <v>3451</v>
      </c>
      <c r="Y3898" s="124" t="s">
        <v>55</v>
      </c>
      <c r="Z3898" s="308">
        <v>230</v>
      </c>
      <c r="AB3898" t="str">
        <f>IF(Table1[[#This Row],[TIPO2]]="costo", VLOOKUP(Table1[[#This Row],[PARTIDA PRESUPUESTAL]],'Cost Report'!G:G,1,0),"Balance")</f>
        <v>2794-003</v>
      </c>
      <c r="AC3898" s="118"/>
      <c r="AD3898" s="159">
        <f>+Table1[[#This Row],[SUBTOTAL]]+Table1[[#This Row],[IVA]]-Table1[[#This Row],[RET IVA]]-Table1[[#This Row],[RET ISR]]-Table1[[#This Row],[TOTAL]]</f>
        <v>0</v>
      </c>
      <c r="AE3898" s="152"/>
      <c r="AF3898" s="153"/>
      <c r="AG3898" s="126" t="s">
        <v>3420</v>
      </c>
      <c r="AK3898" s="306" t="str">
        <f>IF(ISNUMBER(Table1[[#This Row],[FECHA DE RECIBIDO]]), Table1[[#This Row],[FECHA DE RECIBIDO]]-DATE(2023,8,30), "")</f>
        <v/>
      </c>
    </row>
    <row r="3899" spans="1:37" ht="15" customHeight="1">
      <c r="A3899" s="150" t="s">
        <v>4292</v>
      </c>
      <c r="B3899" s="151">
        <v>1281</v>
      </c>
      <c r="C3899" s="126" t="s">
        <v>2596</v>
      </c>
      <c r="D3899">
        <v>2593</v>
      </c>
      <c r="E3899" s="126" t="s">
        <v>3356</v>
      </c>
      <c r="F3899" s="122" t="s">
        <v>1607</v>
      </c>
      <c r="G3899" s="122" t="s">
        <v>134</v>
      </c>
      <c r="H3899">
        <v>177</v>
      </c>
      <c r="I3899" s="122" t="s">
        <v>1546</v>
      </c>
      <c r="J3899" s="307" t="s">
        <v>214</v>
      </c>
      <c r="K3899" s="127" t="s">
        <v>4212</v>
      </c>
      <c r="L3899" s="151" t="s">
        <v>1579</v>
      </c>
      <c r="M3899">
        <v>238</v>
      </c>
      <c r="N3899" s="123">
        <v>17</v>
      </c>
      <c r="O3899">
        <v>1340</v>
      </c>
      <c r="P3899" s="132" t="s">
        <v>77</v>
      </c>
      <c r="Q3899" s="131">
        <v>60.28</v>
      </c>
      <c r="R3899" s="131">
        <v>9.65</v>
      </c>
      <c r="S3899" s="131"/>
      <c r="T3899" s="155"/>
      <c r="U3899" s="131"/>
      <c r="V3899" s="131">
        <v>69.930000000000007</v>
      </c>
      <c r="W3899"/>
      <c r="X3899" s="151" t="s">
        <v>3451</v>
      </c>
      <c r="Y3899" s="135" t="s">
        <v>55</v>
      </c>
      <c r="Z3899" s="307">
        <v>233</v>
      </c>
      <c r="AB3899" t="str">
        <f>IF(Table1[[#This Row],[TIPO2]]="costo", VLOOKUP(Table1[[#This Row],[PARTIDA PRESUPUESTAL]],'Cost Report'!G:G,1,0),"Balance")</f>
        <v>2794-003</v>
      </c>
      <c r="AC3899" s="118"/>
      <c r="AD3899" s="159">
        <f>+Table1[[#This Row],[SUBTOTAL]]+Table1[[#This Row],[IVA]]-Table1[[#This Row],[RET IVA]]-Table1[[#This Row],[RET ISR]]-Table1[[#This Row],[TOTAL]]</f>
        <v>0</v>
      </c>
      <c r="AE3899" s="150"/>
      <c r="AF3899" s="151"/>
      <c r="AG3899" s="126" t="s">
        <v>3420</v>
      </c>
      <c r="AK3899" s="306" t="str">
        <f>IF(ISNUMBER(Table1[[#This Row],[FECHA DE RECIBIDO]]), Table1[[#This Row],[FECHA DE RECIBIDO]]-DATE(2023,8,30), "")</f>
        <v/>
      </c>
    </row>
    <row r="3900" spans="1:37" ht="15" customHeight="1">
      <c r="A3900" s="152" t="s">
        <v>4292</v>
      </c>
      <c r="B3900" s="153">
        <v>1281</v>
      </c>
      <c r="C3900" s="126" t="s">
        <v>2596</v>
      </c>
      <c r="D3900">
        <v>2594</v>
      </c>
      <c r="E3900" s="126" t="s">
        <v>3794</v>
      </c>
      <c r="F3900" s="125" t="s">
        <v>1607</v>
      </c>
      <c r="G3900" s="125" t="s">
        <v>134</v>
      </c>
      <c r="H3900">
        <v>669</v>
      </c>
      <c r="I3900" s="125" t="s">
        <v>1546</v>
      </c>
      <c r="J3900" s="308" t="s">
        <v>214</v>
      </c>
      <c r="K3900" s="127" t="s">
        <v>4212</v>
      </c>
      <c r="L3900" s="153" t="s">
        <v>1579</v>
      </c>
      <c r="M3900">
        <v>994</v>
      </c>
      <c r="N3900" s="123">
        <v>17</v>
      </c>
      <c r="O3900">
        <v>905</v>
      </c>
      <c r="P3900" s="132" t="s">
        <v>77</v>
      </c>
      <c r="Q3900" s="132">
        <v>8.6199999999999992</v>
      </c>
      <c r="R3900" s="132">
        <v>1.37</v>
      </c>
      <c r="S3900" s="132"/>
      <c r="T3900" s="156"/>
      <c r="U3900" s="132"/>
      <c r="V3900" s="132">
        <v>9.9899999999999984</v>
      </c>
      <c r="W3900"/>
      <c r="X3900" s="153" t="s">
        <v>3451</v>
      </c>
      <c r="Y3900" s="124" t="s">
        <v>55</v>
      </c>
      <c r="Z3900" s="308">
        <v>233</v>
      </c>
      <c r="AB3900" t="str">
        <f>IF(Table1[[#This Row],[TIPO2]]="costo", VLOOKUP(Table1[[#This Row],[PARTIDA PRESUPUESTAL]],'Cost Report'!G:G,1,0),"Balance")</f>
        <v>2794-003</v>
      </c>
      <c r="AC3900" s="118"/>
      <c r="AD3900" s="159">
        <f>+Table1[[#This Row],[SUBTOTAL]]+Table1[[#This Row],[IVA]]-Table1[[#This Row],[RET IVA]]-Table1[[#This Row],[RET ISR]]-Table1[[#This Row],[TOTAL]]</f>
        <v>0</v>
      </c>
      <c r="AE3900" s="152"/>
      <c r="AF3900" s="153"/>
      <c r="AG3900" s="126" t="s">
        <v>3420</v>
      </c>
      <c r="AK3900" s="306" t="str">
        <f>IF(ISNUMBER(Table1[[#This Row],[FECHA DE RECIBIDO]]), Table1[[#This Row],[FECHA DE RECIBIDO]]-DATE(2023,8,30), "")</f>
        <v/>
      </c>
    </row>
    <row r="3901" spans="1:37" ht="15" customHeight="1">
      <c r="A3901" s="150" t="s">
        <v>4292</v>
      </c>
      <c r="B3901" s="151">
        <v>1281</v>
      </c>
      <c r="C3901" s="126" t="s">
        <v>2596</v>
      </c>
      <c r="D3901">
        <v>2595</v>
      </c>
      <c r="E3901" s="126" t="s">
        <v>4102</v>
      </c>
      <c r="F3901" s="122" t="s">
        <v>1607</v>
      </c>
      <c r="G3901" s="122" t="s">
        <v>134</v>
      </c>
      <c r="H3901">
        <v>150</v>
      </c>
      <c r="I3901" s="122" t="s">
        <v>1546</v>
      </c>
      <c r="J3901" s="307" t="s">
        <v>214</v>
      </c>
      <c r="K3901" s="127" t="s">
        <v>4212</v>
      </c>
      <c r="L3901" s="151" t="s">
        <v>1579</v>
      </c>
      <c r="M3901">
        <v>208</v>
      </c>
      <c r="N3901" s="123">
        <v>17</v>
      </c>
      <c r="O3901">
        <v>1959</v>
      </c>
      <c r="P3901" s="132" t="s">
        <v>77</v>
      </c>
      <c r="Q3901" s="131">
        <v>687.94</v>
      </c>
      <c r="R3901" s="131">
        <v>110.08</v>
      </c>
      <c r="S3901" s="131"/>
      <c r="T3901" s="155"/>
      <c r="U3901" s="131"/>
      <c r="V3901" s="131">
        <v>798.0200000000001</v>
      </c>
      <c r="W3901"/>
      <c r="X3901" s="151" t="s">
        <v>3451</v>
      </c>
      <c r="Y3901" s="135" t="s">
        <v>55</v>
      </c>
      <c r="Z3901" s="307">
        <v>234</v>
      </c>
      <c r="AB3901" t="str">
        <f>IF(Table1[[#This Row],[TIPO2]]="costo", VLOOKUP(Table1[[#This Row],[PARTIDA PRESUPUESTAL]],'Cost Report'!G:G,1,0),"Balance")</f>
        <v>2794-003</v>
      </c>
      <c r="AC3901" s="118"/>
      <c r="AD3901" s="159">
        <f>+Table1[[#This Row],[SUBTOTAL]]+Table1[[#This Row],[IVA]]-Table1[[#This Row],[RET IVA]]-Table1[[#This Row],[RET ISR]]-Table1[[#This Row],[TOTAL]]</f>
        <v>0</v>
      </c>
      <c r="AE3901" s="150"/>
      <c r="AF3901" s="151"/>
      <c r="AG3901" s="126" t="s">
        <v>3420</v>
      </c>
      <c r="AK3901" s="306" t="str">
        <f>IF(ISNUMBER(Table1[[#This Row],[FECHA DE RECIBIDO]]), Table1[[#This Row],[FECHA DE RECIBIDO]]-DATE(2023,8,30), "")</f>
        <v/>
      </c>
    </row>
    <row r="3902" spans="1:37" ht="15" customHeight="1">
      <c r="A3902" s="152" t="s">
        <v>4292</v>
      </c>
      <c r="B3902" s="153">
        <v>1281</v>
      </c>
      <c r="C3902" s="126" t="s">
        <v>2596</v>
      </c>
      <c r="D3902">
        <v>2596</v>
      </c>
      <c r="E3902" s="126" t="e">
        <v>#N/A</v>
      </c>
      <c r="F3902" s="125" t="e">
        <v>#N/A</v>
      </c>
      <c r="G3902" s="125" t="e">
        <v>#N/A</v>
      </c>
      <c r="H3902">
        <v>36</v>
      </c>
      <c r="I3902" s="125" t="e">
        <v>#N/A</v>
      </c>
      <c r="J3902" s="308" t="s">
        <v>214</v>
      </c>
      <c r="K3902" s="127" t="s">
        <v>4212</v>
      </c>
      <c r="L3902" s="153" t="s">
        <v>1579</v>
      </c>
      <c r="M3902">
        <v>522</v>
      </c>
      <c r="N3902" s="123">
        <v>17</v>
      </c>
      <c r="O3902">
        <v>905</v>
      </c>
      <c r="P3902" s="132" t="s">
        <v>77</v>
      </c>
      <c r="Q3902" s="132">
        <v>25.86</v>
      </c>
      <c r="R3902" s="132">
        <v>4.1399999999999997</v>
      </c>
      <c r="S3902" s="132"/>
      <c r="T3902" s="156"/>
      <c r="U3902" s="132"/>
      <c r="V3902" s="132">
        <v>30</v>
      </c>
      <c r="W3902"/>
      <c r="X3902" s="153" t="s">
        <v>3451</v>
      </c>
      <c r="Y3902" s="124" t="s">
        <v>55</v>
      </c>
      <c r="Z3902" s="308">
        <v>234</v>
      </c>
      <c r="AB3902" t="str">
        <f>IF(Table1[[#This Row],[TIPO2]]="costo", VLOOKUP(Table1[[#This Row],[PARTIDA PRESUPUESTAL]],'Cost Report'!G:G,1,0),"Balance")</f>
        <v>2794-003</v>
      </c>
      <c r="AC3902" s="118"/>
      <c r="AD3902" s="159">
        <f>+Table1[[#This Row],[SUBTOTAL]]+Table1[[#This Row],[IVA]]-Table1[[#This Row],[RET IVA]]-Table1[[#This Row],[RET ISR]]-Table1[[#This Row],[TOTAL]]</f>
        <v>0</v>
      </c>
      <c r="AE3902" s="152"/>
      <c r="AF3902" s="153"/>
      <c r="AG3902" s="126" t="s">
        <v>3420</v>
      </c>
      <c r="AK3902" s="306" t="str">
        <f>IF(ISNUMBER(Table1[[#This Row],[FECHA DE RECIBIDO]]), Table1[[#This Row],[FECHA DE RECIBIDO]]-DATE(2023,8,30), "")</f>
        <v/>
      </c>
    </row>
    <row r="3903" spans="1:37" ht="15" customHeight="1">
      <c r="A3903" s="150" t="s">
        <v>4292</v>
      </c>
      <c r="B3903" s="151">
        <v>1281</v>
      </c>
      <c r="C3903" s="126" t="s">
        <v>2596</v>
      </c>
      <c r="D3903">
        <v>2597</v>
      </c>
      <c r="E3903" s="126" t="s">
        <v>2109</v>
      </c>
      <c r="F3903" s="122" t="s">
        <v>1607</v>
      </c>
      <c r="G3903" s="122" t="s">
        <v>134</v>
      </c>
      <c r="H3903">
        <v>595</v>
      </c>
      <c r="I3903" s="122" t="s">
        <v>1546</v>
      </c>
      <c r="J3903" s="307" t="s">
        <v>214</v>
      </c>
      <c r="K3903" s="127" t="s">
        <v>4212</v>
      </c>
      <c r="L3903" s="151" t="s">
        <v>1579</v>
      </c>
      <c r="M3903">
        <v>842</v>
      </c>
      <c r="N3903" s="123">
        <v>17</v>
      </c>
      <c r="O3903">
        <v>905</v>
      </c>
      <c r="P3903" s="132" t="s">
        <v>77</v>
      </c>
      <c r="Q3903" s="131">
        <v>146.54</v>
      </c>
      <c r="R3903" s="131">
        <v>23.46</v>
      </c>
      <c r="S3903" s="131"/>
      <c r="T3903" s="155"/>
      <c r="U3903" s="131"/>
      <c r="V3903" s="131">
        <v>170</v>
      </c>
      <c r="W3903"/>
      <c r="X3903" s="151" t="s">
        <v>3451</v>
      </c>
      <c r="Y3903" s="135" t="s">
        <v>55</v>
      </c>
      <c r="Z3903" s="307">
        <v>243</v>
      </c>
      <c r="AB3903" t="str">
        <f>IF(Table1[[#This Row],[TIPO2]]="costo", VLOOKUP(Table1[[#This Row],[PARTIDA PRESUPUESTAL]],'Cost Report'!G:G,1,0),"Balance")</f>
        <v>2794-003</v>
      </c>
      <c r="AC3903" s="118"/>
      <c r="AD3903" s="159">
        <f>+Table1[[#This Row],[SUBTOTAL]]+Table1[[#This Row],[IVA]]-Table1[[#This Row],[RET IVA]]-Table1[[#This Row],[RET ISR]]-Table1[[#This Row],[TOTAL]]</f>
        <v>0</v>
      </c>
      <c r="AE3903" s="150"/>
      <c r="AF3903" s="151"/>
      <c r="AG3903" s="126" t="s">
        <v>3420</v>
      </c>
      <c r="AK3903" s="306" t="str">
        <f>IF(ISNUMBER(Table1[[#This Row],[FECHA DE RECIBIDO]]), Table1[[#This Row],[FECHA DE RECIBIDO]]-DATE(2023,8,30), "")</f>
        <v/>
      </c>
    </row>
    <row r="3904" spans="1:37" ht="15" customHeight="1">
      <c r="A3904" s="152" t="s">
        <v>4292</v>
      </c>
      <c r="B3904" s="153">
        <v>1281</v>
      </c>
      <c r="C3904" s="126" t="s">
        <v>2596</v>
      </c>
      <c r="D3904">
        <v>2598</v>
      </c>
      <c r="E3904" s="126" t="e">
        <v>#N/A</v>
      </c>
      <c r="F3904" s="125" t="e">
        <v>#N/A</v>
      </c>
      <c r="G3904" s="125" t="e">
        <v>#N/A</v>
      </c>
      <c r="H3904">
        <v>36</v>
      </c>
      <c r="I3904" s="125" t="e">
        <v>#N/A</v>
      </c>
      <c r="J3904" s="308" t="s">
        <v>214</v>
      </c>
      <c r="K3904" s="127" t="s">
        <v>4212</v>
      </c>
      <c r="L3904" s="153" t="s">
        <v>1579</v>
      </c>
      <c r="M3904">
        <v>522</v>
      </c>
      <c r="N3904" s="123">
        <v>17</v>
      </c>
      <c r="O3904">
        <v>905</v>
      </c>
      <c r="P3904" s="132" t="s">
        <v>77</v>
      </c>
      <c r="Q3904" s="132">
        <v>103.45</v>
      </c>
      <c r="R3904" s="132">
        <v>16.55</v>
      </c>
      <c r="S3904" s="132"/>
      <c r="T3904" s="156"/>
      <c r="U3904" s="132"/>
      <c r="V3904" s="132">
        <v>120</v>
      </c>
      <c r="W3904"/>
      <c r="X3904" s="153" t="s">
        <v>3451</v>
      </c>
      <c r="Y3904" s="124" t="s">
        <v>55</v>
      </c>
      <c r="Z3904" s="308">
        <v>243</v>
      </c>
      <c r="AB3904" t="str">
        <f>IF(Table1[[#This Row],[TIPO2]]="costo", VLOOKUP(Table1[[#This Row],[PARTIDA PRESUPUESTAL]],'Cost Report'!G:G,1,0),"Balance")</f>
        <v>2794-003</v>
      </c>
      <c r="AC3904" s="118"/>
      <c r="AD3904" s="159">
        <f>+Table1[[#This Row],[SUBTOTAL]]+Table1[[#This Row],[IVA]]-Table1[[#This Row],[RET IVA]]-Table1[[#This Row],[RET ISR]]-Table1[[#This Row],[TOTAL]]</f>
        <v>0</v>
      </c>
      <c r="AE3904" s="152"/>
      <c r="AF3904" s="153"/>
      <c r="AG3904" s="126" t="s">
        <v>3420</v>
      </c>
      <c r="AK3904" s="306" t="str">
        <f>IF(ISNUMBER(Table1[[#This Row],[FECHA DE RECIBIDO]]), Table1[[#This Row],[FECHA DE RECIBIDO]]-DATE(2023,8,30), "")</f>
        <v/>
      </c>
    </row>
    <row r="3905" spans="1:37" ht="15" customHeight="1">
      <c r="A3905" s="150" t="s">
        <v>4292</v>
      </c>
      <c r="B3905" s="151">
        <v>1281</v>
      </c>
      <c r="C3905" s="126" t="s">
        <v>2596</v>
      </c>
      <c r="D3905">
        <v>2599</v>
      </c>
      <c r="E3905" s="126" t="s">
        <v>1598</v>
      </c>
      <c r="F3905" s="122" t="s">
        <v>1607</v>
      </c>
      <c r="G3905" s="122" t="s">
        <v>134</v>
      </c>
      <c r="H3905">
        <v>393</v>
      </c>
      <c r="I3905" s="122" t="s">
        <v>1546</v>
      </c>
      <c r="J3905" s="307" t="s">
        <v>214</v>
      </c>
      <c r="K3905" s="127" t="s">
        <v>4212</v>
      </c>
      <c r="L3905" s="151" t="s">
        <v>1579</v>
      </c>
      <c r="M3905">
        <v>522</v>
      </c>
      <c r="N3905" s="123">
        <v>17</v>
      </c>
      <c r="O3905">
        <v>905</v>
      </c>
      <c r="P3905" s="132" t="s">
        <v>77</v>
      </c>
      <c r="Q3905" s="131">
        <v>181.03</v>
      </c>
      <c r="R3905" s="131">
        <v>28.97</v>
      </c>
      <c r="S3905" s="131"/>
      <c r="T3905" s="155"/>
      <c r="U3905" s="131"/>
      <c r="V3905" s="131">
        <v>210</v>
      </c>
      <c r="W3905"/>
      <c r="X3905" s="151" t="s">
        <v>3451</v>
      </c>
      <c r="Y3905" s="135" t="s">
        <v>55</v>
      </c>
      <c r="Z3905" s="307">
        <v>244</v>
      </c>
      <c r="AB3905" t="str">
        <f>IF(Table1[[#This Row],[TIPO2]]="costo", VLOOKUP(Table1[[#This Row],[PARTIDA PRESUPUESTAL]],'Cost Report'!G:G,1,0),"Balance")</f>
        <v>2794-003</v>
      </c>
      <c r="AC3905" s="118"/>
      <c r="AD3905" s="159">
        <f>+Table1[[#This Row],[SUBTOTAL]]+Table1[[#This Row],[IVA]]-Table1[[#This Row],[RET IVA]]-Table1[[#This Row],[RET ISR]]-Table1[[#This Row],[TOTAL]]</f>
        <v>0</v>
      </c>
      <c r="AE3905" s="150"/>
      <c r="AF3905" s="151"/>
      <c r="AG3905" s="126" t="s">
        <v>3420</v>
      </c>
      <c r="AK3905" s="306" t="str">
        <f>IF(ISNUMBER(Table1[[#This Row],[FECHA DE RECIBIDO]]), Table1[[#This Row],[FECHA DE RECIBIDO]]-DATE(2023,8,30), "")</f>
        <v/>
      </c>
    </row>
    <row r="3906" spans="1:37" ht="15" customHeight="1">
      <c r="A3906" s="152" t="s">
        <v>4292</v>
      </c>
      <c r="B3906" s="153">
        <v>1281</v>
      </c>
      <c r="C3906" s="126" t="s">
        <v>2596</v>
      </c>
      <c r="D3906">
        <v>2600</v>
      </c>
      <c r="E3906" s="126" t="s">
        <v>4102</v>
      </c>
      <c r="F3906" s="125" t="s">
        <v>1607</v>
      </c>
      <c r="G3906" s="125" t="s">
        <v>134</v>
      </c>
      <c r="H3906">
        <v>600</v>
      </c>
      <c r="I3906" s="125" t="s">
        <v>1546</v>
      </c>
      <c r="J3906" s="308" t="s">
        <v>214</v>
      </c>
      <c r="K3906" s="127" t="s">
        <v>4212</v>
      </c>
      <c r="L3906" s="153" t="s">
        <v>1579</v>
      </c>
      <c r="M3906">
        <v>854</v>
      </c>
      <c r="N3906" s="123">
        <v>17</v>
      </c>
      <c r="O3906">
        <v>1965</v>
      </c>
      <c r="P3906" s="132" t="s">
        <v>77</v>
      </c>
      <c r="Q3906" s="132">
        <v>370.43</v>
      </c>
      <c r="R3906" s="132">
        <v>59.28</v>
      </c>
      <c r="S3906" s="132"/>
      <c r="T3906" s="156"/>
      <c r="U3906" s="132"/>
      <c r="V3906" s="132">
        <v>429.71000000000004</v>
      </c>
      <c r="W3906"/>
      <c r="X3906" s="153" t="s">
        <v>3451</v>
      </c>
      <c r="Y3906" s="124" t="s">
        <v>55</v>
      </c>
      <c r="Z3906" s="308">
        <v>244</v>
      </c>
      <c r="AB3906" t="str">
        <f>IF(Table1[[#This Row],[TIPO2]]="costo", VLOOKUP(Table1[[#This Row],[PARTIDA PRESUPUESTAL]],'Cost Report'!G:G,1,0),"Balance")</f>
        <v>2794-003</v>
      </c>
      <c r="AC3906" s="118"/>
      <c r="AD3906" s="159">
        <f>+Table1[[#This Row],[SUBTOTAL]]+Table1[[#This Row],[IVA]]-Table1[[#This Row],[RET IVA]]-Table1[[#This Row],[RET ISR]]-Table1[[#This Row],[TOTAL]]</f>
        <v>0</v>
      </c>
      <c r="AE3906" s="152"/>
      <c r="AF3906" s="153"/>
      <c r="AG3906" s="126" t="s">
        <v>3420</v>
      </c>
      <c r="AK3906" s="306" t="str">
        <f>IF(ISNUMBER(Table1[[#This Row],[FECHA DE RECIBIDO]]), Table1[[#This Row],[FECHA DE RECIBIDO]]-DATE(2023,8,30), "")</f>
        <v/>
      </c>
    </row>
    <row r="3907" spans="1:37" ht="15" customHeight="1">
      <c r="A3907" s="150" t="s">
        <v>4292</v>
      </c>
      <c r="B3907" s="151">
        <v>1281</v>
      </c>
      <c r="C3907" s="126" t="s">
        <v>2596</v>
      </c>
      <c r="D3907">
        <v>2601</v>
      </c>
      <c r="E3907" s="126" t="s">
        <v>2008</v>
      </c>
      <c r="F3907" s="122" t="s">
        <v>1607</v>
      </c>
      <c r="G3907" s="122" t="s">
        <v>134</v>
      </c>
      <c r="H3907">
        <v>100</v>
      </c>
      <c r="I3907" s="122" t="s">
        <v>1546</v>
      </c>
      <c r="J3907" s="307" t="s">
        <v>214</v>
      </c>
      <c r="K3907" s="127" t="s">
        <v>4212</v>
      </c>
      <c r="L3907" s="151" t="s">
        <v>1579</v>
      </c>
      <c r="M3907">
        <v>135</v>
      </c>
      <c r="N3907" s="123">
        <v>17</v>
      </c>
      <c r="O3907">
        <v>1965</v>
      </c>
      <c r="P3907" s="132" t="s">
        <v>77</v>
      </c>
      <c r="Q3907" s="131">
        <v>764.65</v>
      </c>
      <c r="R3907" s="131">
        <v>122.35</v>
      </c>
      <c r="S3907" s="131"/>
      <c r="T3907" s="155"/>
      <c r="U3907" s="131"/>
      <c r="V3907" s="131">
        <v>887</v>
      </c>
      <c r="W3907"/>
      <c r="X3907" s="151" t="s">
        <v>3451</v>
      </c>
      <c r="Y3907" s="135" t="s">
        <v>55</v>
      </c>
      <c r="Z3907" s="307">
        <v>244</v>
      </c>
      <c r="AB3907" t="str">
        <f>IF(Table1[[#This Row],[TIPO2]]="costo", VLOOKUP(Table1[[#This Row],[PARTIDA PRESUPUESTAL]],'Cost Report'!G:G,1,0),"Balance")</f>
        <v>2794-003</v>
      </c>
      <c r="AC3907" s="118"/>
      <c r="AD3907" s="159">
        <f>+Table1[[#This Row],[SUBTOTAL]]+Table1[[#This Row],[IVA]]-Table1[[#This Row],[RET IVA]]-Table1[[#This Row],[RET ISR]]-Table1[[#This Row],[TOTAL]]</f>
        <v>0</v>
      </c>
      <c r="AE3907" s="150"/>
      <c r="AF3907" s="151"/>
      <c r="AG3907" s="126" t="s">
        <v>3420</v>
      </c>
      <c r="AK3907" s="306" t="str">
        <f>IF(ISNUMBER(Table1[[#This Row],[FECHA DE RECIBIDO]]), Table1[[#This Row],[FECHA DE RECIBIDO]]-DATE(2023,8,30), "")</f>
        <v/>
      </c>
    </row>
    <row r="3908" spans="1:37" ht="15" customHeight="1">
      <c r="A3908" s="152" t="s">
        <v>4292</v>
      </c>
      <c r="B3908" s="153">
        <v>1281</v>
      </c>
      <c r="C3908" s="126" t="s">
        <v>2596</v>
      </c>
      <c r="D3908">
        <v>2602</v>
      </c>
      <c r="E3908" s="126" t="s">
        <v>2008</v>
      </c>
      <c r="F3908" s="125" t="s">
        <v>1607</v>
      </c>
      <c r="G3908" s="125" t="s">
        <v>134</v>
      </c>
      <c r="H3908">
        <v>100</v>
      </c>
      <c r="I3908" s="125" t="s">
        <v>1546</v>
      </c>
      <c r="J3908" s="308" t="s">
        <v>214</v>
      </c>
      <c r="K3908" s="127" t="s">
        <v>4212</v>
      </c>
      <c r="L3908" s="153" t="s">
        <v>1579</v>
      </c>
      <c r="M3908">
        <v>135</v>
      </c>
      <c r="N3908" s="123">
        <v>17</v>
      </c>
      <c r="O3908">
        <v>1965</v>
      </c>
      <c r="P3908" s="132" t="s">
        <v>77</v>
      </c>
      <c r="Q3908" s="132">
        <v>257.76</v>
      </c>
      <c r="R3908" s="132">
        <v>41.24</v>
      </c>
      <c r="S3908" s="132"/>
      <c r="T3908" s="156"/>
      <c r="U3908" s="132"/>
      <c r="V3908" s="132">
        <v>299</v>
      </c>
      <c r="W3908"/>
      <c r="X3908" s="153" t="s">
        <v>3451</v>
      </c>
      <c r="Y3908" s="124" t="s">
        <v>55</v>
      </c>
      <c r="Z3908" s="308">
        <v>244</v>
      </c>
      <c r="AB3908" t="str">
        <f>IF(Table1[[#This Row],[TIPO2]]="costo", VLOOKUP(Table1[[#This Row],[PARTIDA PRESUPUESTAL]],'Cost Report'!G:G,1,0),"Balance")</f>
        <v>2794-003</v>
      </c>
      <c r="AC3908" s="118"/>
      <c r="AD3908" s="159">
        <f>+Table1[[#This Row],[SUBTOTAL]]+Table1[[#This Row],[IVA]]-Table1[[#This Row],[RET IVA]]-Table1[[#This Row],[RET ISR]]-Table1[[#This Row],[TOTAL]]</f>
        <v>0</v>
      </c>
      <c r="AE3908" s="152"/>
      <c r="AF3908" s="153"/>
      <c r="AG3908" s="126" t="s">
        <v>3420</v>
      </c>
      <c r="AK3908" s="306" t="str">
        <f>IF(ISNUMBER(Table1[[#This Row],[FECHA DE RECIBIDO]]), Table1[[#This Row],[FECHA DE RECIBIDO]]-DATE(2023,8,30), "")</f>
        <v/>
      </c>
    </row>
    <row r="3909" spans="1:37" ht="15" customHeight="1">
      <c r="A3909" s="150" t="s">
        <v>4292</v>
      </c>
      <c r="B3909" s="151">
        <v>1281</v>
      </c>
      <c r="C3909" s="126" t="s">
        <v>2596</v>
      </c>
      <c r="D3909">
        <v>2603</v>
      </c>
      <c r="E3909" s="126" t="s">
        <v>4102</v>
      </c>
      <c r="F3909" s="122" t="s">
        <v>1607</v>
      </c>
      <c r="G3909" s="122" t="s">
        <v>134</v>
      </c>
      <c r="H3909">
        <v>601</v>
      </c>
      <c r="I3909" s="122" t="s">
        <v>1546</v>
      </c>
      <c r="J3909" s="307" t="s">
        <v>214</v>
      </c>
      <c r="K3909" s="127" t="s">
        <v>4212</v>
      </c>
      <c r="L3909" s="151" t="s">
        <v>1579</v>
      </c>
      <c r="M3909">
        <v>802</v>
      </c>
      <c r="N3909" s="123">
        <v>17</v>
      </c>
      <c r="O3909">
        <v>1965</v>
      </c>
      <c r="P3909" s="132" t="s">
        <v>77</v>
      </c>
      <c r="Q3909" s="131">
        <v>111.21</v>
      </c>
      <c r="R3909" s="131">
        <v>17.79</v>
      </c>
      <c r="S3909" s="131"/>
      <c r="T3909" s="155"/>
      <c r="U3909" s="131"/>
      <c r="V3909" s="131">
        <v>129</v>
      </c>
      <c r="W3909"/>
      <c r="X3909" s="151" t="s">
        <v>3451</v>
      </c>
      <c r="Y3909" s="135" t="s">
        <v>55</v>
      </c>
      <c r="Z3909" s="307">
        <v>244</v>
      </c>
      <c r="AB3909" t="str">
        <f>IF(Table1[[#This Row],[TIPO2]]="costo", VLOOKUP(Table1[[#This Row],[PARTIDA PRESUPUESTAL]],'Cost Report'!G:G,1,0),"Balance")</f>
        <v>2794-003</v>
      </c>
      <c r="AC3909" s="118"/>
      <c r="AD3909" s="159">
        <f>+Table1[[#This Row],[SUBTOTAL]]+Table1[[#This Row],[IVA]]-Table1[[#This Row],[RET IVA]]-Table1[[#This Row],[RET ISR]]-Table1[[#This Row],[TOTAL]]</f>
        <v>0</v>
      </c>
      <c r="AE3909" s="150"/>
      <c r="AF3909" s="151"/>
      <c r="AG3909" s="126" t="s">
        <v>3420</v>
      </c>
      <c r="AK3909" s="306" t="str">
        <f>IF(ISNUMBER(Table1[[#This Row],[FECHA DE RECIBIDO]]), Table1[[#This Row],[FECHA DE RECIBIDO]]-DATE(2023,8,30), "")</f>
        <v/>
      </c>
    </row>
    <row r="3910" spans="1:37" ht="15" customHeight="1">
      <c r="A3910" s="152" t="s">
        <v>4293</v>
      </c>
      <c r="B3910" s="153">
        <v>1282</v>
      </c>
      <c r="C3910" s="126" t="s">
        <v>2596</v>
      </c>
      <c r="D3910">
        <v>2604</v>
      </c>
      <c r="E3910" s="126" t="s">
        <v>2008</v>
      </c>
      <c r="F3910" s="125" t="s">
        <v>1607</v>
      </c>
      <c r="G3910" s="125" t="s">
        <v>134</v>
      </c>
      <c r="H3910">
        <v>100</v>
      </c>
      <c r="I3910" s="125" t="s">
        <v>1546</v>
      </c>
      <c r="J3910" s="308" t="s">
        <v>214</v>
      </c>
      <c r="K3910" s="127" t="s">
        <v>4212</v>
      </c>
      <c r="L3910" s="153" t="s">
        <v>1579</v>
      </c>
      <c r="M3910">
        <v>135</v>
      </c>
      <c r="N3910" s="123">
        <v>17</v>
      </c>
      <c r="O3910">
        <v>1948</v>
      </c>
      <c r="P3910" s="132" t="s">
        <v>77</v>
      </c>
      <c r="Q3910" s="132">
        <v>343.97</v>
      </c>
      <c r="R3910" s="132">
        <v>55.03</v>
      </c>
      <c r="S3910" s="132"/>
      <c r="T3910" s="156"/>
      <c r="U3910" s="132"/>
      <c r="V3910" s="132">
        <v>399</v>
      </c>
      <c r="W3910"/>
      <c r="X3910" s="153" t="s">
        <v>3451</v>
      </c>
      <c r="Y3910" s="124" t="s">
        <v>55</v>
      </c>
      <c r="Z3910" s="308">
        <v>244</v>
      </c>
      <c r="AB3910" t="str">
        <f>IF(Table1[[#This Row],[TIPO2]]="costo", VLOOKUP(Table1[[#This Row],[PARTIDA PRESUPUESTAL]],'Cost Report'!G:G,1,0),"Balance")</f>
        <v>2794-003</v>
      </c>
      <c r="AC3910" s="118"/>
      <c r="AD3910" s="159">
        <f>+Table1[[#This Row],[SUBTOTAL]]+Table1[[#This Row],[IVA]]-Table1[[#This Row],[RET IVA]]-Table1[[#This Row],[RET ISR]]-Table1[[#This Row],[TOTAL]]</f>
        <v>0</v>
      </c>
      <c r="AE3910" s="152"/>
      <c r="AF3910" s="153"/>
      <c r="AG3910" s="126" t="s">
        <v>3420</v>
      </c>
      <c r="AK3910" s="306" t="str">
        <f>IF(ISNUMBER(Table1[[#This Row],[FECHA DE RECIBIDO]]), Table1[[#This Row],[FECHA DE RECIBIDO]]-DATE(2023,8,30), "")</f>
        <v/>
      </c>
    </row>
    <row r="3911" spans="1:37" ht="15" customHeight="1">
      <c r="A3911" s="150" t="s">
        <v>4293</v>
      </c>
      <c r="B3911" s="151">
        <v>1282</v>
      </c>
      <c r="C3911" s="126" t="s">
        <v>2596</v>
      </c>
      <c r="D3911">
        <v>2605</v>
      </c>
      <c r="E3911" s="126" t="s">
        <v>2008</v>
      </c>
      <c r="F3911" s="122" t="s">
        <v>1607</v>
      </c>
      <c r="G3911" s="122" t="s">
        <v>134</v>
      </c>
      <c r="H3911">
        <v>102</v>
      </c>
      <c r="I3911" s="122" t="s">
        <v>1546</v>
      </c>
      <c r="J3911" s="307" t="s">
        <v>214</v>
      </c>
      <c r="K3911" s="127" t="s">
        <v>4212</v>
      </c>
      <c r="L3911" s="151" t="s">
        <v>1579</v>
      </c>
      <c r="M3911">
        <v>995</v>
      </c>
      <c r="N3911" s="123">
        <v>17</v>
      </c>
      <c r="O3911">
        <v>2477</v>
      </c>
      <c r="P3911" s="132" t="s">
        <v>77</v>
      </c>
      <c r="Q3911" s="131">
        <v>2626.73</v>
      </c>
      <c r="R3911" s="131">
        <v>420.27</v>
      </c>
      <c r="S3911" s="131"/>
      <c r="T3911" s="155"/>
      <c r="U3911" s="131"/>
      <c r="V3911" s="131">
        <v>3047</v>
      </c>
      <c r="W3911"/>
      <c r="X3911" s="151" t="s">
        <v>3451</v>
      </c>
      <c r="Y3911" s="135" t="s">
        <v>55</v>
      </c>
      <c r="Z3911" s="307">
        <v>244</v>
      </c>
      <c r="AB3911" t="str">
        <f>IF(Table1[[#This Row],[TIPO2]]="costo", VLOOKUP(Table1[[#This Row],[PARTIDA PRESUPUESTAL]],'Cost Report'!G:G,1,0),"Balance")</f>
        <v>2794-003</v>
      </c>
      <c r="AC3911" s="118"/>
      <c r="AD3911" s="159">
        <f>+Table1[[#This Row],[SUBTOTAL]]+Table1[[#This Row],[IVA]]-Table1[[#This Row],[RET IVA]]-Table1[[#This Row],[RET ISR]]-Table1[[#This Row],[TOTAL]]</f>
        <v>0</v>
      </c>
      <c r="AE3911" s="150"/>
      <c r="AF3911" s="151"/>
      <c r="AG3911" s="126" t="s">
        <v>3420</v>
      </c>
      <c r="AK3911" s="306" t="str">
        <f>IF(ISNUMBER(Table1[[#This Row],[FECHA DE RECIBIDO]]), Table1[[#This Row],[FECHA DE RECIBIDO]]-DATE(2023,8,30), "")</f>
        <v/>
      </c>
    </row>
    <row r="3912" spans="1:37" ht="15" customHeight="1">
      <c r="A3912" s="152" t="s">
        <v>4293</v>
      </c>
      <c r="B3912" s="153">
        <v>1282</v>
      </c>
      <c r="C3912" s="126" t="s">
        <v>2596</v>
      </c>
      <c r="D3912">
        <v>2606</v>
      </c>
      <c r="E3912" s="126" t="s">
        <v>3275</v>
      </c>
      <c r="F3912" s="125" t="s">
        <v>1607</v>
      </c>
      <c r="G3912" s="125" t="s">
        <v>134</v>
      </c>
      <c r="H3912">
        <v>177</v>
      </c>
      <c r="I3912" s="125" t="s">
        <v>1546</v>
      </c>
      <c r="J3912" s="308" t="s">
        <v>214</v>
      </c>
      <c r="K3912" s="127" t="s">
        <v>4212</v>
      </c>
      <c r="L3912" s="153" t="s">
        <v>1579</v>
      </c>
      <c r="M3912">
        <v>238</v>
      </c>
      <c r="N3912" s="123">
        <v>17</v>
      </c>
      <c r="O3912">
        <v>2478</v>
      </c>
      <c r="P3912" s="132" t="s">
        <v>77</v>
      </c>
      <c r="Q3912" s="132">
        <v>297.27</v>
      </c>
      <c r="R3912" s="132">
        <v>47.56</v>
      </c>
      <c r="S3912" s="132"/>
      <c r="T3912" s="156"/>
      <c r="U3912" s="132"/>
      <c r="V3912" s="132">
        <v>344.83</v>
      </c>
      <c r="W3912"/>
      <c r="X3912" s="153" t="s">
        <v>3451</v>
      </c>
      <c r="Y3912" s="124" t="s">
        <v>55</v>
      </c>
      <c r="Z3912" s="308">
        <v>244</v>
      </c>
      <c r="AB3912" t="str">
        <f>IF(Table1[[#This Row],[TIPO2]]="costo", VLOOKUP(Table1[[#This Row],[PARTIDA PRESUPUESTAL]],'Cost Report'!G:G,1,0),"Balance")</f>
        <v>2794-003</v>
      </c>
      <c r="AC3912" s="118"/>
      <c r="AD3912" s="159">
        <f>+Table1[[#This Row],[SUBTOTAL]]+Table1[[#This Row],[IVA]]-Table1[[#This Row],[RET IVA]]-Table1[[#This Row],[RET ISR]]-Table1[[#This Row],[TOTAL]]</f>
        <v>0</v>
      </c>
      <c r="AE3912" s="152"/>
      <c r="AF3912" s="153"/>
      <c r="AG3912" s="126" t="s">
        <v>3420</v>
      </c>
      <c r="AK3912" s="306" t="str">
        <f>IF(ISNUMBER(Table1[[#This Row],[FECHA DE RECIBIDO]]), Table1[[#This Row],[FECHA DE RECIBIDO]]-DATE(2023,8,30), "")</f>
        <v/>
      </c>
    </row>
    <row r="3913" spans="1:37" ht="15" customHeight="1">
      <c r="A3913" s="150" t="s">
        <v>4294</v>
      </c>
      <c r="B3913" s="151">
        <v>1283</v>
      </c>
      <c r="C3913" s="126" t="s">
        <v>2596</v>
      </c>
      <c r="D3913">
        <v>2607</v>
      </c>
      <c r="E3913" s="126" t="s">
        <v>1603</v>
      </c>
      <c r="F3913" s="122" t="s">
        <v>1589</v>
      </c>
      <c r="G3913" s="122" t="s">
        <v>129</v>
      </c>
      <c r="H3913">
        <v>593</v>
      </c>
      <c r="I3913" s="122" t="s">
        <v>1546</v>
      </c>
      <c r="J3913" s="307" t="s">
        <v>214</v>
      </c>
      <c r="K3913" s="127" t="s">
        <v>4212</v>
      </c>
      <c r="L3913" s="151" t="s">
        <v>1579</v>
      </c>
      <c r="M3913">
        <v>571</v>
      </c>
      <c r="N3913" s="123">
        <v>17</v>
      </c>
      <c r="O3913">
        <v>1364</v>
      </c>
      <c r="P3913" s="132" t="s">
        <v>77</v>
      </c>
      <c r="Q3913" s="131">
        <v>603.48</v>
      </c>
      <c r="R3913" s="131">
        <v>96.57</v>
      </c>
      <c r="S3913" s="131"/>
      <c r="T3913" s="155"/>
      <c r="U3913" s="131"/>
      <c r="V3913" s="131">
        <v>700.05</v>
      </c>
      <c r="W3913"/>
      <c r="X3913" s="151" t="s">
        <v>3451</v>
      </c>
      <c r="Y3913" s="135" t="s">
        <v>55</v>
      </c>
      <c r="Z3913" s="307">
        <v>243</v>
      </c>
      <c r="AB3913" t="str">
        <f>IF(Table1[[#This Row],[TIPO2]]="costo", VLOOKUP(Table1[[#This Row],[PARTIDA PRESUPUESTAL]],'Cost Report'!G:G,1,0),"Balance")</f>
        <v>2794-003</v>
      </c>
      <c r="AC3913" s="118"/>
      <c r="AD3913" s="159">
        <f>+Table1[[#This Row],[SUBTOTAL]]+Table1[[#This Row],[IVA]]-Table1[[#This Row],[RET IVA]]-Table1[[#This Row],[RET ISR]]-Table1[[#This Row],[TOTAL]]</f>
        <v>0</v>
      </c>
      <c r="AE3913" s="150"/>
      <c r="AF3913" s="151"/>
      <c r="AG3913" s="126" t="s">
        <v>3420</v>
      </c>
      <c r="AK3913" s="306" t="str">
        <f>IF(ISNUMBER(Table1[[#This Row],[FECHA DE RECIBIDO]]), Table1[[#This Row],[FECHA DE RECIBIDO]]-DATE(2023,8,30), "")</f>
        <v/>
      </c>
    </row>
    <row r="3914" spans="1:37" ht="15" customHeight="1">
      <c r="A3914" s="152" t="s">
        <v>4294</v>
      </c>
      <c r="B3914" s="153">
        <v>1283</v>
      </c>
      <c r="C3914" s="126" t="s">
        <v>2596</v>
      </c>
      <c r="D3914">
        <v>2608</v>
      </c>
      <c r="E3914" s="126" t="s">
        <v>1645</v>
      </c>
      <c r="F3914" s="125" t="s">
        <v>1589</v>
      </c>
      <c r="G3914" s="125" t="s">
        <v>129</v>
      </c>
      <c r="H3914">
        <v>714</v>
      </c>
      <c r="I3914" s="125" t="s">
        <v>1546</v>
      </c>
      <c r="J3914" s="308" t="s">
        <v>214</v>
      </c>
      <c r="K3914" s="127" t="s">
        <v>4212</v>
      </c>
      <c r="L3914" s="153" t="s">
        <v>1579</v>
      </c>
      <c r="M3914">
        <v>996</v>
      </c>
      <c r="N3914" s="123">
        <v>17</v>
      </c>
      <c r="O3914">
        <v>2479</v>
      </c>
      <c r="P3914" s="132" t="s">
        <v>77</v>
      </c>
      <c r="Q3914" s="132">
        <v>1070.8800000000001</v>
      </c>
      <c r="R3914" s="132">
        <v>171.34</v>
      </c>
      <c r="S3914" s="132"/>
      <c r="T3914" s="156"/>
      <c r="U3914" s="132"/>
      <c r="V3914" s="132">
        <v>1242.22</v>
      </c>
      <c r="W3914"/>
      <c r="X3914" s="153" t="s">
        <v>3451</v>
      </c>
      <c r="Y3914" s="124" t="s">
        <v>55</v>
      </c>
      <c r="Z3914" s="308">
        <v>244</v>
      </c>
      <c r="AB3914" t="str">
        <f>IF(Table1[[#This Row],[TIPO2]]="costo", VLOOKUP(Table1[[#This Row],[PARTIDA PRESUPUESTAL]],'Cost Report'!G:G,1,0),"Balance")</f>
        <v>2794-003</v>
      </c>
      <c r="AC3914" s="118"/>
      <c r="AD3914" s="159">
        <f>+Table1[[#This Row],[SUBTOTAL]]+Table1[[#This Row],[IVA]]-Table1[[#This Row],[RET IVA]]-Table1[[#This Row],[RET ISR]]-Table1[[#This Row],[TOTAL]]</f>
        <v>0</v>
      </c>
      <c r="AE3914" s="152"/>
      <c r="AF3914" s="153"/>
      <c r="AG3914" s="126" t="s">
        <v>3420</v>
      </c>
      <c r="AK3914" s="306" t="str">
        <f>IF(ISNUMBER(Table1[[#This Row],[FECHA DE RECIBIDO]]), Table1[[#This Row],[FECHA DE RECIBIDO]]-DATE(2023,8,30), "")</f>
        <v/>
      </c>
    </row>
    <row r="3915" spans="1:37" ht="15" customHeight="1">
      <c r="A3915" s="150" t="s">
        <v>4294</v>
      </c>
      <c r="B3915" s="151">
        <v>1283</v>
      </c>
      <c r="C3915" s="126" t="s">
        <v>2596</v>
      </c>
      <c r="D3915">
        <v>2609</v>
      </c>
      <c r="E3915" s="126" t="s">
        <v>1993</v>
      </c>
      <c r="F3915" s="122" t="s">
        <v>1607</v>
      </c>
      <c r="G3915" s="122" t="s">
        <v>134</v>
      </c>
      <c r="H3915">
        <v>153</v>
      </c>
      <c r="I3915" s="122" t="s">
        <v>1546</v>
      </c>
      <c r="J3915" s="307" t="s">
        <v>214</v>
      </c>
      <c r="K3915" s="127" t="s">
        <v>4212</v>
      </c>
      <c r="L3915" s="151" t="s">
        <v>1579</v>
      </c>
      <c r="M3915">
        <v>204</v>
      </c>
      <c r="N3915" s="123">
        <v>17</v>
      </c>
      <c r="O3915">
        <v>2480</v>
      </c>
      <c r="P3915" s="132" t="s">
        <v>77</v>
      </c>
      <c r="Q3915" s="131">
        <v>430.17</v>
      </c>
      <c r="R3915" s="131">
        <v>68.83</v>
      </c>
      <c r="S3915" s="131"/>
      <c r="T3915" s="155"/>
      <c r="U3915" s="131"/>
      <c r="V3915" s="131">
        <v>499</v>
      </c>
      <c r="W3915"/>
      <c r="X3915" s="151" t="s">
        <v>3451</v>
      </c>
      <c r="Y3915" s="135" t="s">
        <v>55</v>
      </c>
      <c r="Z3915" s="307">
        <v>245</v>
      </c>
      <c r="AB3915" t="str">
        <f>IF(Table1[[#This Row],[TIPO2]]="costo", VLOOKUP(Table1[[#This Row],[PARTIDA PRESUPUESTAL]],'Cost Report'!G:G,1,0),"Balance")</f>
        <v>2794-003</v>
      </c>
      <c r="AC3915" s="118"/>
      <c r="AD3915" s="159">
        <f>+Table1[[#This Row],[SUBTOTAL]]+Table1[[#This Row],[IVA]]-Table1[[#This Row],[RET IVA]]-Table1[[#This Row],[RET ISR]]-Table1[[#This Row],[TOTAL]]</f>
        <v>0</v>
      </c>
      <c r="AE3915" s="150"/>
      <c r="AF3915" s="151"/>
      <c r="AG3915" s="126" t="s">
        <v>3420</v>
      </c>
      <c r="AK3915" s="306" t="str">
        <f>IF(ISNUMBER(Table1[[#This Row],[FECHA DE RECIBIDO]]), Table1[[#This Row],[FECHA DE RECIBIDO]]-DATE(2023,8,30), "")</f>
        <v/>
      </c>
    </row>
    <row r="3916" spans="1:37" ht="15" customHeight="1">
      <c r="A3916" s="152" t="s">
        <v>4294</v>
      </c>
      <c r="B3916" s="153">
        <v>1283</v>
      </c>
      <c r="C3916" s="126" t="s">
        <v>2596</v>
      </c>
      <c r="D3916">
        <v>2610</v>
      </c>
      <c r="E3916" s="126" t="s">
        <v>1603</v>
      </c>
      <c r="F3916" s="125" t="s">
        <v>1589</v>
      </c>
      <c r="G3916" s="125" t="s">
        <v>129</v>
      </c>
      <c r="H3916">
        <v>593</v>
      </c>
      <c r="I3916" s="125" t="s">
        <v>1546</v>
      </c>
      <c r="J3916" s="308" t="s">
        <v>214</v>
      </c>
      <c r="K3916" s="127" t="s">
        <v>4212</v>
      </c>
      <c r="L3916" s="153" t="s">
        <v>1579</v>
      </c>
      <c r="M3916">
        <v>571</v>
      </c>
      <c r="N3916" s="123">
        <v>17</v>
      </c>
      <c r="O3916">
        <v>1364</v>
      </c>
      <c r="P3916" s="132" t="s">
        <v>77</v>
      </c>
      <c r="Q3916" s="132">
        <v>150.87</v>
      </c>
      <c r="R3916" s="132">
        <v>24.14</v>
      </c>
      <c r="S3916" s="132"/>
      <c r="T3916" s="156"/>
      <c r="U3916" s="132"/>
      <c r="V3916" s="132">
        <v>175.01</v>
      </c>
      <c r="W3916"/>
      <c r="X3916" s="153" t="s">
        <v>3451</v>
      </c>
      <c r="Y3916" s="124" t="s">
        <v>55</v>
      </c>
      <c r="Z3916" s="308">
        <v>246</v>
      </c>
      <c r="AB3916" t="str">
        <f>IF(Table1[[#This Row],[TIPO2]]="costo", VLOOKUP(Table1[[#This Row],[PARTIDA PRESUPUESTAL]],'Cost Report'!G:G,1,0),"Balance")</f>
        <v>2794-003</v>
      </c>
      <c r="AC3916" s="118"/>
      <c r="AD3916" s="159">
        <f>+Table1[[#This Row],[SUBTOTAL]]+Table1[[#This Row],[IVA]]-Table1[[#This Row],[RET IVA]]-Table1[[#This Row],[RET ISR]]-Table1[[#This Row],[TOTAL]]</f>
        <v>0</v>
      </c>
      <c r="AE3916" s="152"/>
      <c r="AF3916" s="153"/>
      <c r="AG3916" s="126" t="s">
        <v>3420</v>
      </c>
      <c r="AK3916" s="306" t="str">
        <f>IF(ISNUMBER(Table1[[#This Row],[FECHA DE RECIBIDO]]), Table1[[#This Row],[FECHA DE RECIBIDO]]-DATE(2023,8,30), "")</f>
        <v/>
      </c>
    </row>
    <row r="3917" spans="1:37" ht="15" customHeight="1">
      <c r="A3917" s="150" t="s">
        <v>4294</v>
      </c>
      <c r="B3917" s="151">
        <v>1283</v>
      </c>
      <c r="C3917" s="126" t="s">
        <v>2596</v>
      </c>
      <c r="D3917">
        <v>2611</v>
      </c>
      <c r="E3917" s="126" t="s">
        <v>3275</v>
      </c>
      <c r="F3917" s="122" t="s">
        <v>1607</v>
      </c>
      <c r="G3917" s="122" t="s">
        <v>134</v>
      </c>
      <c r="H3917">
        <v>156</v>
      </c>
      <c r="I3917" s="122" t="s">
        <v>1546</v>
      </c>
      <c r="J3917" s="307" t="s">
        <v>214</v>
      </c>
      <c r="K3917" s="127" t="s">
        <v>4212</v>
      </c>
      <c r="L3917" s="151" t="s">
        <v>1579</v>
      </c>
      <c r="M3917">
        <v>207</v>
      </c>
      <c r="N3917" s="123">
        <v>17</v>
      </c>
      <c r="O3917">
        <v>1960</v>
      </c>
      <c r="P3917" s="132" t="s">
        <v>77</v>
      </c>
      <c r="Q3917" s="131">
        <v>2015</v>
      </c>
      <c r="R3917" s="131">
        <v>322.39999999999998</v>
      </c>
      <c r="S3917" s="131"/>
      <c r="T3917" s="155"/>
      <c r="U3917" s="131"/>
      <c r="V3917" s="131">
        <v>2337.4</v>
      </c>
      <c r="W3917"/>
      <c r="X3917" s="151" t="s">
        <v>3451</v>
      </c>
      <c r="Y3917" s="135" t="s">
        <v>55</v>
      </c>
      <c r="Z3917" s="307">
        <v>246</v>
      </c>
      <c r="AB3917" t="str">
        <f>IF(Table1[[#This Row],[TIPO2]]="costo", VLOOKUP(Table1[[#This Row],[PARTIDA PRESUPUESTAL]],'Cost Report'!G:G,1,0),"Balance")</f>
        <v>2794-003</v>
      </c>
      <c r="AC3917" s="118"/>
      <c r="AD3917" s="159">
        <f>+Table1[[#This Row],[SUBTOTAL]]+Table1[[#This Row],[IVA]]-Table1[[#This Row],[RET IVA]]-Table1[[#This Row],[RET ISR]]-Table1[[#This Row],[TOTAL]]</f>
        <v>0</v>
      </c>
      <c r="AE3917" s="150"/>
      <c r="AF3917" s="151"/>
      <c r="AG3917" s="126" t="s">
        <v>3420</v>
      </c>
      <c r="AK3917" s="306" t="str">
        <f>IF(ISNUMBER(Table1[[#This Row],[FECHA DE RECIBIDO]]), Table1[[#This Row],[FECHA DE RECIBIDO]]-DATE(2023,8,30), "")</f>
        <v/>
      </c>
    </row>
    <row r="3918" spans="1:37" ht="15" customHeight="1">
      <c r="A3918" s="152" t="s">
        <v>4294</v>
      </c>
      <c r="B3918" s="153">
        <v>1283</v>
      </c>
      <c r="C3918" s="126" t="s">
        <v>2596</v>
      </c>
      <c r="D3918">
        <v>2612</v>
      </c>
      <c r="E3918" s="126" t="s">
        <v>3275</v>
      </c>
      <c r="F3918" s="125" t="s">
        <v>1607</v>
      </c>
      <c r="G3918" s="125" t="s">
        <v>134</v>
      </c>
      <c r="H3918">
        <v>156</v>
      </c>
      <c r="I3918" s="125" t="s">
        <v>1546</v>
      </c>
      <c r="J3918" s="308" t="s">
        <v>214</v>
      </c>
      <c r="K3918" s="127" t="s">
        <v>4212</v>
      </c>
      <c r="L3918" s="153" t="s">
        <v>1579</v>
      </c>
      <c r="M3918">
        <v>207</v>
      </c>
      <c r="N3918" s="123">
        <v>17</v>
      </c>
      <c r="O3918">
        <v>1960</v>
      </c>
      <c r="P3918" s="132" t="s">
        <v>77</v>
      </c>
      <c r="Q3918" s="132">
        <v>1515.18</v>
      </c>
      <c r="R3918" s="132">
        <v>242.42</v>
      </c>
      <c r="S3918" s="132"/>
      <c r="T3918" s="156"/>
      <c r="U3918" s="132"/>
      <c r="V3918" s="132">
        <v>1757.6000000000001</v>
      </c>
      <c r="W3918"/>
      <c r="X3918" s="153" t="s">
        <v>3451</v>
      </c>
      <c r="Y3918" s="124" t="s">
        <v>55</v>
      </c>
      <c r="Z3918" s="308">
        <v>246</v>
      </c>
      <c r="AB3918" t="str">
        <f>IF(Table1[[#This Row],[TIPO2]]="costo", VLOOKUP(Table1[[#This Row],[PARTIDA PRESUPUESTAL]],'Cost Report'!G:G,1,0),"Balance")</f>
        <v>2794-003</v>
      </c>
      <c r="AC3918" s="118"/>
      <c r="AD3918" s="159">
        <f>+Table1[[#This Row],[SUBTOTAL]]+Table1[[#This Row],[IVA]]-Table1[[#This Row],[RET IVA]]-Table1[[#This Row],[RET ISR]]-Table1[[#This Row],[TOTAL]]</f>
        <v>0</v>
      </c>
      <c r="AE3918" s="152"/>
      <c r="AF3918" s="153"/>
      <c r="AG3918" s="126" t="s">
        <v>3420</v>
      </c>
      <c r="AK3918" s="306" t="str">
        <f>IF(ISNUMBER(Table1[[#This Row],[FECHA DE RECIBIDO]]), Table1[[#This Row],[FECHA DE RECIBIDO]]-DATE(2023,8,30), "")</f>
        <v/>
      </c>
    </row>
    <row r="3919" spans="1:37" ht="15" customHeight="1">
      <c r="A3919" s="150" t="s">
        <v>4294</v>
      </c>
      <c r="B3919" s="151">
        <v>1283</v>
      </c>
      <c r="C3919" s="126" t="s">
        <v>2596</v>
      </c>
      <c r="D3919">
        <v>2613</v>
      </c>
      <c r="E3919" s="126" t="s">
        <v>3275</v>
      </c>
      <c r="F3919" s="122" t="s">
        <v>1607</v>
      </c>
      <c r="G3919" s="122" t="s">
        <v>134</v>
      </c>
      <c r="H3919">
        <v>97</v>
      </c>
      <c r="I3919" s="122" t="s">
        <v>1546</v>
      </c>
      <c r="J3919" s="307" t="s">
        <v>214</v>
      </c>
      <c r="K3919" s="127" t="s">
        <v>4212</v>
      </c>
      <c r="L3919" s="151" t="s">
        <v>1579</v>
      </c>
      <c r="M3919">
        <v>193</v>
      </c>
      <c r="N3919" s="123">
        <v>17</v>
      </c>
      <c r="O3919">
        <v>2481</v>
      </c>
      <c r="P3919" s="132" t="s">
        <v>77</v>
      </c>
      <c r="Q3919" s="131">
        <v>249.14</v>
      </c>
      <c r="R3919" s="131">
        <v>39.86</v>
      </c>
      <c r="S3919" s="131"/>
      <c r="T3919" s="155"/>
      <c r="U3919" s="131"/>
      <c r="V3919" s="131">
        <v>289</v>
      </c>
      <c r="W3919"/>
      <c r="X3919" s="151" t="s">
        <v>3451</v>
      </c>
      <c r="Y3919" s="135" t="s">
        <v>55</v>
      </c>
      <c r="Z3919" s="307">
        <v>246</v>
      </c>
      <c r="AB3919" t="str">
        <f>IF(Table1[[#This Row],[TIPO2]]="costo", VLOOKUP(Table1[[#This Row],[PARTIDA PRESUPUESTAL]],'Cost Report'!G:G,1,0),"Balance")</f>
        <v>2794-003</v>
      </c>
      <c r="AC3919" s="118"/>
      <c r="AD3919" s="159">
        <f>+Table1[[#This Row],[SUBTOTAL]]+Table1[[#This Row],[IVA]]-Table1[[#This Row],[RET IVA]]-Table1[[#This Row],[RET ISR]]-Table1[[#This Row],[TOTAL]]</f>
        <v>0</v>
      </c>
      <c r="AE3919" s="150"/>
      <c r="AF3919" s="151"/>
      <c r="AG3919" s="126" t="s">
        <v>3420</v>
      </c>
      <c r="AK3919" s="306" t="str">
        <f>IF(ISNUMBER(Table1[[#This Row],[FECHA DE RECIBIDO]]), Table1[[#This Row],[FECHA DE RECIBIDO]]-DATE(2023,8,30), "")</f>
        <v/>
      </c>
    </row>
    <row r="3920" spans="1:37" ht="15" customHeight="1">
      <c r="A3920" s="152" t="s">
        <v>4294</v>
      </c>
      <c r="B3920" s="153">
        <v>1283</v>
      </c>
      <c r="C3920" s="126" t="s">
        <v>2596</v>
      </c>
      <c r="D3920">
        <v>2614</v>
      </c>
      <c r="E3920" s="126" t="s">
        <v>3275</v>
      </c>
      <c r="F3920" s="125" t="s">
        <v>1607</v>
      </c>
      <c r="G3920" s="125" t="s">
        <v>134</v>
      </c>
      <c r="H3920">
        <v>41</v>
      </c>
      <c r="I3920" s="125" t="s">
        <v>1546</v>
      </c>
      <c r="J3920" s="308" t="s">
        <v>214</v>
      </c>
      <c r="K3920" s="127" t="s">
        <v>4212</v>
      </c>
      <c r="L3920" s="153" t="s">
        <v>1579</v>
      </c>
      <c r="M3920">
        <v>323</v>
      </c>
      <c r="N3920" s="123">
        <v>17</v>
      </c>
      <c r="O3920">
        <v>2479</v>
      </c>
      <c r="P3920" s="132" t="s">
        <v>77</v>
      </c>
      <c r="Q3920" s="132">
        <v>1031.03</v>
      </c>
      <c r="R3920" s="132">
        <v>164.97</v>
      </c>
      <c r="S3920" s="132"/>
      <c r="T3920" s="156"/>
      <c r="U3920" s="132"/>
      <c r="V3920" s="132">
        <v>1196</v>
      </c>
      <c r="W3920"/>
      <c r="X3920" s="153" t="s">
        <v>3451</v>
      </c>
      <c r="Y3920" s="124" t="s">
        <v>55</v>
      </c>
      <c r="Z3920" s="308">
        <v>246</v>
      </c>
      <c r="AB3920" t="str">
        <f>IF(Table1[[#This Row],[TIPO2]]="costo", VLOOKUP(Table1[[#This Row],[PARTIDA PRESUPUESTAL]],'Cost Report'!G:G,1,0),"Balance")</f>
        <v>2794-003</v>
      </c>
      <c r="AC3920" s="118"/>
      <c r="AD3920" s="159">
        <f>+Table1[[#This Row],[SUBTOTAL]]+Table1[[#This Row],[IVA]]-Table1[[#This Row],[RET IVA]]-Table1[[#This Row],[RET ISR]]-Table1[[#This Row],[TOTAL]]</f>
        <v>0</v>
      </c>
      <c r="AE3920" s="152"/>
      <c r="AF3920" s="153"/>
      <c r="AG3920" s="126" t="s">
        <v>3420</v>
      </c>
      <c r="AK3920" s="306" t="str">
        <f>IF(ISNUMBER(Table1[[#This Row],[FECHA DE RECIBIDO]]), Table1[[#This Row],[FECHA DE RECIBIDO]]-DATE(2023,8,30), "")</f>
        <v/>
      </c>
    </row>
    <row r="3921" spans="1:37" ht="15" customHeight="1">
      <c r="A3921" s="150" t="s">
        <v>4294</v>
      </c>
      <c r="B3921" s="151">
        <v>1283</v>
      </c>
      <c r="C3921" s="126" t="s">
        <v>2596</v>
      </c>
      <c r="D3921">
        <v>2615</v>
      </c>
      <c r="E3921" s="126" t="s">
        <v>1997</v>
      </c>
      <c r="F3921" s="122" t="s">
        <v>1607</v>
      </c>
      <c r="G3921" s="122" t="s">
        <v>134</v>
      </c>
      <c r="H3921">
        <v>57</v>
      </c>
      <c r="I3921" s="122" t="s">
        <v>1546</v>
      </c>
      <c r="J3921" s="307" t="s">
        <v>214</v>
      </c>
      <c r="K3921" s="127" t="s">
        <v>4212</v>
      </c>
      <c r="L3921" s="151" t="s">
        <v>1579</v>
      </c>
      <c r="M3921">
        <v>79</v>
      </c>
      <c r="N3921" s="123">
        <v>17</v>
      </c>
      <c r="O3921">
        <v>1340</v>
      </c>
      <c r="P3921" s="132" t="s">
        <v>77</v>
      </c>
      <c r="Q3921" s="131">
        <v>408.45</v>
      </c>
      <c r="R3921" s="131">
        <v>65.349999999999994</v>
      </c>
      <c r="S3921" s="131"/>
      <c r="T3921" s="155"/>
      <c r="U3921" s="131"/>
      <c r="V3921" s="131">
        <v>473.79999999999995</v>
      </c>
      <c r="W3921"/>
      <c r="X3921" s="151" t="s">
        <v>3451</v>
      </c>
      <c r="Y3921" s="135" t="s">
        <v>55</v>
      </c>
      <c r="Z3921" s="307">
        <v>246</v>
      </c>
      <c r="AB3921" t="str">
        <f>IF(Table1[[#This Row],[TIPO2]]="costo", VLOOKUP(Table1[[#This Row],[PARTIDA PRESUPUESTAL]],'Cost Report'!G:G,1,0),"Balance")</f>
        <v>2794-003</v>
      </c>
      <c r="AC3921" s="118"/>
      <c r="AD3921" s="159">
        <f>+Table1[[#This Row],[SUBTOTAL]]+Table1[[#This Row],[IVA]]-Table1[[#This Row],[RET IVA]]-Table1[[#This Row],[RET ISR]]-Table1[[#This Row],[TOTAL]]</f>
        <v>0</v>
      </c>
      <c r="AE3921" s="150"/>
      <c r="AF3921" s="151"/>
      <c r="AG3921" s="126" t="s">
        <v>3420</v>
      </c>
      <c r="AK3921" s="306" t="str">
        <f>IF(ISNUMBER(Table1[[#This Row],[FECHA DE RECIBIDO]]), Table1[[#This Row],[FECHA DE RECIBIDO]]-DATE(2023,8,30), "")</f>
        <v/>
      </c>
    </row>
    <row r="3922" spans="1:37" ht="15" customHeight="1">
      <c r="A3922" s="152" t="s">
        <v>4294</v>
      </c>
      <c r="B3922" s="153">
        <v>1283</v>
      </c>
      <c r="C3922" s="126" t="s">
        <v>2596</v>
      </c>
      <c r="D3922">
        <v>2616</v>
      </c>
      <c r="E3922" s="126" t="s">
        <v>1598</v>
      </c>
      <c r="F3922" s="125" t="s">
        <v>1607</v>
      </c>
      <c r="G3922" s="125" t="s">
        <v>134</v>
      </c>
      <c r="H3922">
        <v>393</v>
      </c>
      <c r="I3922" s="125" t="s">
        <v>1546</v>
      </c>
      <c r="J3922" s="308" t="s">
        <v>214</v>
      </c>
      <c r="K3922" s="127" t="s">
        <v>4212</v>
      </c>
      <c r="L3922" s="153" t="s">
        <v>1579</v>
      </c>
      <c r="M3922">
        <v>522</v>
      </c>
      <c r="N3922" s="123">
        <v>17</v>
      </c>
      <c r="O3922">
        <v>905</v>
      </c>
      <c r="P3922" s="132" t="s">
        <v>77</v>
      </c>
      <c r="Q3922" s="132">
        <v>25.86</v>
      </c>
      <c r="R3922" s="132">
        <v>4.1399999999999997</v>
      </c>
      <c r="S3922" s="132"/>
      <c r="T3922" s="156"/>
      <c r="U3922" s="132"/>
      <c r="V3922" s="132">
        <v>30</v>
      </c>
      <c r="W3922"/>
      <c r="X3922" s="153" t="s">
        <v>3451</v>
      </c>
      <c r="Y3922" s="124" t="s">
        <v>55</v>
      </c>
      <c r="Z3922" s="308">
        <v>247</v>
      </c>
      <c r="AB3922" t="str">
        <f>IF(Table1[[#This Row],[TIPO2]]="costo", VLOOKUP(Table1[[#This Row],[PARTIDA PRESUPUESTAL]],'Cost Report'!G:G,1,0),"Balance")</f>
        <v>2794-003</v>
      </c>
      <c r="AC3922" s="118"/>
      <c r="AD3922" s="159">
        <f>+Table1[[#This Row],[SUBTOTAL]]+Table1[[#This Row],[IVA]]-Table1[[#This Row],[RET IVA]]-Table1[[#This Row],[RET ISR]]-Table1[[#This Row],[TOTAL]]</f>
        <v>0</v>
      </c>
      <c r="AE3922" s="152"/>
      <c r="AF3922" s="153"/>
      <c r="AG3922" s="126" t="s">
        <v>3420</v>
      </c>
      <c r="AK3922" s="306" t="str">
        <f>IF(ISNUMBER(Table1[[#This Row],[FECHA DE RECIBIDO]]), Table1[[#This Row],[FECHA DE RECIBIDO]]-DATE(2023,8,30), "")</f>
        <v/>
      </c>
    </row>
    <row r="3923" spans="1:37" ht="15" customHeight="1">
      <c r="A3923" s="150" t="s">
        <v>4294</v>
      </c>
      <c r="B3923" s="151">
        <v>1283</v>
      </c>
      <c r="C3923" s="126" t="s">
        <v>2596</v>
      </c>
      <c r="D3923">
        <v>2617</v>
      </c>
      <c r="E3923" s="126" t="s">
        <v>2082</v>
      </c>
      <c r="F3923" s="122" t="s">
        <v>1382</v>
      </c>
      <c r="G3923" s="122" t="e">
        <v>#N/A</v>
      </c>
      <c r="H3923">
        <v>715</v>
      </c>
      <c r="I3923" s="122" t="s">
        <v>1546</v>
      </c>
      <c r="J3923" s="307" t="s">
        <v>214</v>
      </c>
      <c r="K3923" s="127" t="s">
        <v>4212</v>
      </c>
      <c r="L3923" s="151" t="s">
        <v>1579</v>
      </c>
      <c r="M3923">
        <v>997</v>
      </c>
      <c r="N3923" s="123">
        <v>17</v>
      </c>
      <c r="O3923">
        <v>2482</v>
      </c>
      <c r="P3923" s="132" t="s">
        <v>77</v>
      </c>
      <c r="Q3923" s="131">
        <v>3767.24</v>
      </c>
      <c r="R3923" s="131">
        <v>602.76</v>
      </c>
      <c r="S3923" s="131"/>
      <c r="T3923" s="155"/>
      <c r="U3923" s="131"/>
      <c r="V3923" s="131">
        <v>4370</v>
      </c>
      <c r="W3923"/>
      <c r="X3923" s="151" t="s">
        <v>3451</v>
      </c>
      <c r="Y3923" s="135" t="s">
        <v>55</v>
      </c>
      <c r="Z3923" s="307">
        <v>247</v>
      </c>
      <c r="AB3923" t="str">
        <f>IF(Table1[[#This Row],[TIPO2]]="costo", VLOOKUP(Table1[[#This Row],[PARTIDA PRESUPUESTAL]],'Cost Report'!G:G,1,0),"Balance")</f>
        <v>2794-003</v>
      </c>
      <c r="AC3923" s="118"/>
      <c r="AD3923" s="159">
        <f>+Table1[[#This Row],[SUBTOTAL]]+Table1[[#This Row],[IVA]]-Table1[[#This Row],[RET IVA]]-Table1[[#This Row],[RET ISR]]-Table1[[#This Row],[TOTAL]]</f>
        <v>0</v>
      </c>
      <c r="AE3923" s="150"/>
      <c r="AF3923" s="151"/>
      <c r="AG3923" s="126" t="s">
        <v>3420</v>
      </c>
      <c r="AK3923" s="306" t="str">
        <f>IF(ISNUMBER(Table1[[#This Row],[FECHA DE RECIBIDO]]), Table1[[#This Row],[FECHA DE RECIBIDO]]-DATE(2023,8,30), "")</f>
        <v/>
      </c>
    </row>
    <row r="3924" spans="1:37" ht="15" customHeight="1">
      <c r="A3924" s="152" t="s">
        <v>4294</v>
      </c>
      <c r="B3924" s="153">
        <v>1283</v>
      </c>
      <c r="C3924" s="126" t="s">
        <v>2596</v>
      </c>
      <c r="D3924">
        <v>2618</v>
      </c>
      <c r="E3924" s="126" t="s">
        <v>1993</v>
      </c>
      <c r="F3924" s="125" t="s">
        <v>1607</v>
      </c>
      <c r="G3924" s="125" t="s">
        <v>134</v>
      </c>
      <c r="H3924">
        <v>153</v>
      </c>
      <c r="I3924" s="125" t="s">
        <v>1546</v>
      </c>
      <c r="J3924" s="308" t="s">
        <v>214</v>
      </c>
      <c r="K3924" s="127" t="s">
        <v>4212</v>
      </c>
      <c r="L3924" s="153" t="s">
        <v>1579</v>
      </c>
      <c r="M3924">
        <v>204</v>
      </c>
      <c r="N3924" s="123">
        <v>17</v>
      </c>
      <c r="O3924">
        <v>2483</v>
      </c>
      <c r="P3924" s="132" t="s">
        <v>77</v>
      </c>
      <c r="Q3924" s="132">
        <v>1779.3</v>
      </c>
      <c r="R3924" s="132">
        <v>284.7</v>
      </c>
      <c r="S3924" s="132"/>
      <c r="T3924" s="156"/>
      <c r="U3924" s="132"/>
      <c r="V3924" s="132">
        <v>2064</v>
      </c>
      <c r="W3924"/>
      <c r="X3924" s="153" t="s">
        <v>3451</v>
      </c>
      <c r="Y3924" s="124" t="s">
        <v>55</v>
      </c>
      <c r="Z3924" s="308">
        <v>247</v>
      </c>
      <c r="AB3924" t="str">
        <f>IF(Table1[[#This Row],[TIPO2]]="costo", VLOOKUP(Table1[[#This Row],[PARTIDA PRESUPUESTAL]],'Cost Report'!G:G,1,0),"Balance")</f>
        <v>2794-003</v>
      </c>
      <c r="AC3924" s="118"/>
      <c r="AD3924" s="159">
        <f>+Table1[[#This Row],[SUBTOTAL]]+Table1[[#This Row],[IVA]]-Table1[[#This Row],[RET IVA]]-Table1[[#This Row],[RET ISR]]-Table1[[#This Row],[TOTAL]]</f>
        <v>0</v>
      </c>
      <c r="AE3924" s="152"/>
      <c r="AF3924" s="153"/>
      <c r="AG3924" s="126" t="s">
        <v>3420</v>
      </c>
      <c r="AK3924" s="306" t="str">
        <f>IF(ISNUMBER(Table1[[#This Row],[FECHA DE RECIBIDO]]), Table1[[#This Row],[FECHA DE RECIBIDO]]-DATE(2023,8,30), "")</f>
        <v/>
      </c>
    </row>
    <row r="3925" spans="1:37" ht="15" customHeight="1">
      <c r="A3925" s="150" t="s">
        <v>4294</v>
      </c>
      <c r="B3925" s="151">
        <v>1283</v>
      </c>
      <c r="C3925" s="126" t="s">
        <v>2596</v>
      </c>
      <c r="D3925">
        <v>2619</v>
      </c>
      <c r="E3925" s="126" t="s">
        <v>2008</v>
      </c>
      <c r="F3925" s="122" t="s">
        <v>1607</v>
      </c>
      <c r="G3925" s="122" t="s">
        <v>134</v>
      </c>
      <c r="H3925">
        <v>102</v>
      </c>
      <c r="I3925" s="122" t="s">
        <v>1546</v>
      </c>
      <c r="J3925" s="307" t="s">
        <v>214</v>
      </c>
      <c r="K3925" s="127" t="s">
        <v>4212</v>
      </c>
      <c r="L3925" s="151" t="s">
        <v>1579</v>
      </c>
      <c r="M3925">
        <v>137</v>
      </c>
      <c r="N3925" s="123">
        <v>17</v>
      </c>
      <c r="O3925">
        <v>2484</v>
      </c>
      <c r="P3925" s="132" t="s">
        <v>77</v>
      </c>
      <c r="Q3925" s="131">
        <v>10251.73</v>
      </c>
      <c r="R3925" s="131">
        <v>1640.27</v>
      </c>
      <c r="S3925" s="131"/>
      <c r="T3925" s="155"/>
      <c r="U3925" s="131"/>
      <c r="V3925" s="131">
        <v>11892</v>
      </c>
      <c r="W3925"/>
      <c r="X3925" s="151" t="s">
        <v>3451</v>
      </c>
      <c r="Y3925" s="135" t="s">
        <v>55</v>
      </c>
      <c r="Z3925" s="307">
        <v>250</v>
      </c>
      <c r="AB3925" t="str">
        <f>IF(Table1[[#This Row],[TIPO2]]="costo", VLOOKUP(Table1[[#This Row],[PARTIDA PRESUPUESTAL]],'Cost Report'!G:G,1,0),"Balance")</f>
        <v>2794-003</v>
      </c>
      <c r="AC3925" s="118"/>
      <c r="AD3925" s="159">
        <f>+Table1[[#This Row],[SUBTOTAL]]+Table1[[#This Row],[IVA]]-Table1[[#This Row],[RET IVA]]-Table1[[#This Row],[RET ISR]]-Table1[[#This Row],[TOTAL]]</f>
        <v>0</v>
      </c>
      <c r="AE3925" s="150"/>
      <c r="AF3925" s="151"/>
      <c r="AG3925" s="126" t="s">
        <v>3420</v>
      </c>
      <c r="AK3925" s="306" t="str">
        <f>IF(ISNUMBER(Table1[[#This Row],[FECHA DE RECIBIDO]]), Table1[[#This Row],[FECHA DE RECIBIDO]]-DATE(2023,8,30), "")</f>
        <v/>
      </c>
    </row>
    <row r="3926" spans="1:37" ht="15" customHeight="1">
      <c r="A3926" s="152" t="s">
        <v>4294</v>
      </c>
      <c r="B3926" s="153">
        <v>1283</v>
      </c>
      <c r="C3926" s="126" t="s">
        <v>2596</v>
      </c>
      <c r="D3926">
        <v>2620</v>
      </c>
      <c r="E3926" s="126" t="s">
        <v>1598</v>
      </c>
      <c r="F3926" s="125" t="s">
        <v>1607</v>
      </c>
      <c r="G3926" s="125" t="s">
        <v>134</v>
      </c>
      <c r="H3926">
        <v>97</v>
      </c>
      <c r="I3926" s="125" t="s">
        <v>1546</v>
      </c>
      <c r="J3926" s="308" t="s">
        <v>214</v>
      </c>
      <c r="K3926" s="127" t="s">
        <v>4212</v>
      </c>
      <c r="L3926" s="153" t="s">
        <v>1579</v>
      </c>
      <c r="M3926">
        <v>193</v>
      </c>
      <c r="N3926" s="123">
        <v>17</v>
      </c>
      <c r="O3926">
        <v>2485</v>
      </c>
      <c r="P3926" s="132" t="s">
        <v>77</v>
      </c>
      <c r="Q3926" s="132">
        <v>334.75</v>
      </c>
      <c r="R3926" s="132">
        <v>53.55</v>
      </c>
      <c r="S3926" s="132"/>
      <c r="T3926" s="156"/>
      <c r="U3926" s="132"/>
      <c r="V3926" s="132">
        <v>388.3</v>
      </c>
      <c r="W3926"/>
      <c r="X3926" s="153" t="s">
        <v>3451</v>
      </c>
      <c r="Y3926" s="124" t="s">
        <v>55</v>
      </c>
      <c r="Z3926" s="308">
        <v>250</v>
      </c>
      <c r="AB3926" t="str">
        <f>IF(Table1[[#This Row],[TIPO2]]="costo", VLOOKUP(Table1[[#This Row],[PARTIDA PRESUPUESTAL]],'Cost Report'!G:G,1,0),"Balance")</f>
        <v>2794-003</v>
      </c>
      <c r="AC3926" s="118"/>
      <c r="AD3926" s="159">
        <f>+Table1[[#This Row],[SUBTOTAL]]+Table1[[#This Row],[IVA]]-Table1[[#This Row],[RET IVA]]-Table1[[#This Row],[RET ISR]]-Table1[[#This Row],[TOTAL]]</f>
        <v>0</v>
      </c>
      <c r="AE3926" s="152"/>
      <c r="AF3926" s="153"/>
      <c r="AG3926" s="126" t="s">
        <v>3420</v>
      </c>
      <c r="AK3926" s="306" t="str">
        <f>IF(ISNUMBER(Table1[[#This Row],[FECHA DE RECIBIDO]]), Table1[[#This Row],[FECHA DE RECIBIDO]]-DATE(2023,8,30), "")</f>
        <v/>
      </c>
    </row>
    <row r="3927" spans="1:37" ht="15" customHeight="1">
      <c r="A3927" s="150" t="s">
        <v>4294</v>
      </c>
      <c r="B3927" s="151">
        <v>1283</v>
      </c>
      <c r="C3927" s="126" t="s">
        <v>2596</v>
      </c>
      <c r="D3927">
        <v>2621</v>
      </c>
      <c r="E3927" s="126" t="s">
        <v>1598</v>
      </c>
      <c r="F3927" s="122" t="s">
        <v>1607</v>
      </c>
      <c r="G3927" s="122" t="s">
        <v>134</v>
      </c>
      <c r="H3927">
        <v>97</v>
      </c>
      <c r="I3927" s="122" t="s">
        <v>1546</v>
      </c>
      <c r="J3927" s="307" t="s">
        <v>214</v>
      </c>
      <c r="K3927" s="127" t="s">
        <v>4212</v>
      </c>
      <c r="L3927" s="151" t="s">
        <v>1579</v>
      </c>
      <c r="M3927">
        <v>193</v>
      </c>
      <c r="N3927" s="123">
        <v>17</v>
      </c>
      <c r="O3927">
        <v>2486</v>
      </c>
      <c r="P3927" s="132" t="s">
        <v>77</v>
      </c>
      <c r="Q3927" s="131">
        <v>650.16999999999996</v>
      </c>
      <c r="R3927" s="131">
        <v>104.03</v>
      </c>
      <c r="S3927" s="131"/>
      <c r="T3927" s="155"/>
      <c r="U3927" s="131"/>
      <c r="V3927" s="131">
        <v>754.19999999999993</v>
      </c>
      <c r="W3927"/>
      <c r="X3927" s="151" t="s">
        <v>3451</v>
      </c>
      <c r="Y3927" s="135" t="s">
        <v>55</v>
      </c>
      <c r="Z3927" s="307">
        <v>250</v>
      </c>
      <c r="AB3927" t="str">
        <f>IF(Table1[[#This Row],[TIPO2]]="costo", VLOOKUP(Table1[[#This Row],[PARTIDA PRESUPUESTAL]],'Cost Report'!G:G,1,0),"Balance")</f>
        <v>2794-003</v>
      </c>
      <c r="AC3927" s="118"/>
      <c r="AD3927" s="159">
        <f>+Table1[[#This Row],[SUBTOTAL]]+Table1[[#This Row],[IVA]]-Table1[[#This Row],[RET IVA]]-Table1[[#This Row],[RET ISR]]-Table1[[#This Row],[TOTAL]]</f>
        <v>0</v>
      </c>
      <c r="AE3927" s="150"/>
      <c r="AF3927" s="151"/>
      <c r="AG3927" s="126" t="s">
        <v>3420</v>
      </c>
      <c r="AK3927" s="306" t="str">
        <f>IF(ISNUMBER(Table1[[#This Row],[FECHA DE RECIBIDO]]), Table1[[#This Row],[FECHA DE RECIBIDO]]-DATE(2023,8,30), "")</f>
        <v/>
      </c>
    </row>
    <row r="3928" spans="1:37" ht="15" customHeight="1">
      <c r="A3928" s="152" t="s">
        <v>4294</v>
      </c>
      <c r="B3928" s="153">
        <v>1283</v>
      </c>
      <c r="C3928" s="126" t="s">
        <v>2596</v>
      </c>
      <c r="D3928">
        <v>2622</v>
      </c>
      <c r="E3928" s="126" t="s">
        <v>1598</v>
      </c>
      <c r="F3928" s="125" t="s">
        <v>1607</v>
      </c>
      <c r="G3928" s="125" t="s">
        <v>134</v>
      </c>
      <c r="H3928">
        <v>97</v>
      </c>
      <c r="I3928" s="125" t="s">
        <v>1546</v>
      </c>
      <c r="J3928" s="308" t="s">
        <v>214</v>
      </c>
      <c r="K3928" s="127" t="s">
        <v>4212</v>
      </c>
      <c r="L3928" s="153" t="s">
        <v>1579</v>
      </c>
      <c r="M3928">
        <v>193</v>
      </c>
      <c r="N3928" s="123">
        <v>17</v>
      </c>
      <c r="O3928">
        <v>2485</v>
      </c>
      <c r="P3928" s="132" t="s">
        <v>77</v>
      </c>
      <c r="Q3928" s="132">
        <v>369.83</v>
      </c>
      <c r="R3928" s="132">
        <v>59.17</v>
      </c>
      <c r="S3928" s="132"/>
      <c r="T3928" s="156"/>
      <c r="U3928" s="132"/>
      <c r="V3928" s="132">
        <v>429</v>
      </c>
      <c r="W3928"/>
      <c r="X3928" s="153" t="s">
        <v>3451</v>
      </c>
      <c r="Y3928" s="124" t="s">
        <v>55</v>
      </c>
      <c r="Z3928" s="308">
        <v>250</v>
      </c>
      <c r="AB3928" t="str">
        <f>IF(Table1[[#This Row],[TIPO2]]="costo", VLOOKUP(Table1[[#This Row],[PARTIDA PRESUPUESTAL]],'Cost Report'!G:G,1,0),"Balance")</f>
        <v>2794-003</v>
      </c>
      <c r="AC3928" s="118"/>
      <c r="AD3928" s="159">
        <f>+Table1[[#This Row],[SUBTOTAL]]+Table1[[#This Row],[IVA]]-Table1[[#This Row],[RET IVA]]-Table1[[#This Row],[RET ISR]]-Table1[[#This Row],[TOTAL]]</f>
        <v>0</v>
      </c>
      <c r="AE3928" s="152"/>
      <c r="AF3928" s="153"/>
      <c r="AG3928" s="126" t="s">
        <v>3420</v>
      </c>
      <c r="AK3928" s="306" t="str">
        <f>IF(ISNUMBER(Table1[[#This Row],[FECHA DE RECIBIDO]]), Table1[[#This Row],[FECHA DE RECIBIDO]]-DATE(2023,8,30), "")</f>
        <v/>
      </c>
    </row>
    <row r="3929" spans="1:37" ht="15" customHeight="1">
      <c r="A3929" s="150" t="s">
        <v>4295</v>
      </c>
      <c r="B3929" s="151">
        <v>1284</v>
      </c>
      <c r="C3929" s="126" t="s">
        <v>2546</v>
      </c>
      <c r="D3929">
        <v>2623</v>
      </c>
      <c r="E3929" s="126" t="s">
        <v>1609</v>
      </c>
      <c r="F3929" s="122" t="s">
        <v>1589</v>
      </c>
      <c r="G3929" s="122" t="s">
        <v>129</v>
      </c>
      <c r="H3929">
        <v>716</v>
      </c>
      <c r="I3929" s="122" t="s">
        <v>1546</v>
      </c>
      <c r="J3929" s="307" t="s">
        <v>214</v>
      </c>
      <c r="K3929" s="127" t="s">
        <v>4212</v>
      </c>
      <c r="L3929" s="151" t="s">
        <v>1579</v>
      </c>
      <c r="M3929">
        <v>998</v>
      </c>
      <c r="N3929" s="123">
        <v>17</v>
      </c>
      <c r="O3929">
        <v>2487</v>
      </c>
      <c r="P3929" s="132" t="s">
        <v>77</v>
      </c>
      <c r="Q3929" s="131">
        <v>100</v>
      </c>
      <c r="R3929" s="131">
        <v>16</v>
      </c>
      <c r="S3929" s="131"/>
      <c r="T3929" s="155"/>
      <c r="U3929" s="131"/>
      <c r="V3929" s="131">
        <v>116</v>
      </c>
      <c r="W3929"/>
      <c r="X3929" s="151" t="s">
        <v>3451</v>
      </c>
      <c r="Y3929" s="135" t="s">
        <v>55</v>
      </c>
      <c r="Z3929" s="307">
        <v>234</v>
      </c>
      <c r="AB3929" t="str">
        <f>IF(Table1[[#This Row],[TIPO2]]="costo", VLOOKUP(Table1[[#This Row],[PARTIDA PRESUPUESTAL]],'Cost Report'!G:G,1,0),"Balance")</f>
        <v>2494-071</v>
      </c>
      <c r="AC3929" s="118"/>
      <c r="AD3929" s="159">
        <f>+Table1[[#This Row],[SUBTOTAL]]+Table1[[#This Row],[IVA]]-Table1[[#This Row],[RET IVA]]-Table1[[#This Row],[RET ISR]]-Table1[[#This Row],[TOTAL]]</f>
        <v>0</v>
      </c>
      <c r="AE3929" s="150"/>
      <c r="AF3929" s="151"/>
      <c r="AG3929" s="126" t="s">
        <v>3420</v>
      </c>
      <c r="AK3929" s="306" t="str">
        <f>IF(ISNUMBER(Table1[[#This Row],[FECHA DE RECIBIDO]]), Table1[[#This Row],[FECHA DE RECIBIDO]]-DATE(2023,8,30), "")</f>
        <v/>
      </c>
    </row>
    <row r="3930" spans="1:37" ht="15" customHeight="1">
      <c r="A3930" s="152" t="s">
        <v>4295</v>
      </c>
      <c r="B3930" s="153">
        <v>1284</v>
      </c>
      <c r="C3930" s="126" t="s">
        <v>2546</v>
      </c>
      <c r="D3930">
        <v>2624</v>
      </c>
      <c r="E3930" s="126" t="s">
        <v>1596</v>
      </c>
      <c r="F3930" s="125" t="s">
        <v>1602</v>
      </c>
      <c r="G3930" s="125" t="s">
        <v>1617</v>
      </c>
      <c r="H3930">
        <v>717</v>
      </c>
      <c r="I3930" s="125" t="s">
        <v>1546</v>
      </c>
      <c r="J3930" s="308" t="s">
        <v>214</v>
      </c>
      <c r="K3930" s="127" t="s">
        <v>4212</v>
      </c>
      <c r="L3930" s="153" t="s">
        <v>1579</v>
      </c>
      <c r="M3930">
        <v>999</v>
      </c>
      <c r="N3930" s="123">
        <v>17</v>
      </c>
      <c r="O3930">
        <v>2488</v>
      </c>
      <c r="P3930" s="132" t="s">
        <v>77</v>
      </c>
      <c r="Q3930" s="132">
        <v>720</v>
      </c>
      <c r="R3930" s="132">
        <v>115.2</v>
      </c>
      <c r="S3930" s="132"/>
      <c r="T3930" s="156"/>
      <c r="U3930" s="132"/>
      <c r="V3930" s="132">
        <v>835.2</v>
      </c>
      <c r="W3930"/>
      <c r="X3930" s="153" t="s">
        <v>3451</v>
      </c>
      <c r="Y3930" s="124" t="s">
        <v>55</v>
      </c>
      <c r="Z3930" s="308">
        <v>238</v>
      </c>
      <c r="AB3930" t="str">
        <f>IF(Table1[[#This Row],[TIPO2]]="costo", VLOOKUP(Table1[[#This Row],[PARTIDA PRESUPUESTAL]],'Cost Report'!G:G,1,0),"Balance")</f>
        <v>2494-071</v>
      </c>
      <c r="AC3930" s="118"/>
      <c r="AD3930" s="159">
        <f>+Table1[[#This Row],[SUBTOTAL]]+Table1[[#This Row],[IVA]]-Table1[[#This Row],[RET IVA]]-Table1[[#This Row],[RET ISR]]-Table1[[#This Row],[TOTAL]]</f>
        <v>0</v>
      </c>
      <c r="AE3930" s="152"/>
      <c r="AF3930" s="153"/>
      <c r="AG3930" s="126" t="s">
        <v>3420</v>
      </c>
      <c r="AK3930" s="306" t="str">
        <f>IF(ISNUMBER(Table1[[#This Row],[FECHA DE RECIBIDO]]), Table1[[#This Row],[FECHA DE RECIBIDO]]-DATE(2023,8,30), "")</f>
        <v/>
      </c>
    </row>
    <row r="3931" spans="1:37" ht="15" customHeight="1">
      <c r="A3931" s="150" t="s">
        <v>4295</v>
      </c>
      <c r="B3931" s="151">
        <v>1284</v>
      </c>
      <c r="C3931" s="126" t="s">
        <v>610</v>
      </c>
      <c r="D3931">
        <v>2625</v>
      </c>
      <c r="E3931" s="126" t="s">
        <v>1997</v>
      </c>
      <c r="F3931" s="122" t="s">
        <v>1589</v>
      </c>
      <c r="G3931" s="122" t="s">
        <v>129</v>
      </c>
      <c r="H3931">
        <v>718</v>
      </c>
      <c r="I3931" s="122" t="s">
        <v>1546</v>
      </c>
      <c r="J3931" s="307" t="s">
        <v>214</v>
      </c>
      <c r="K3931" s="127" t="s">
        <v>4212</v>
      </c>
      <c r="L3931" s="151" t="s">
        <v>1579</v>
      </c>
      <c r="M3931">
        <v>1000</v>
      </c>
      <c r="N3931" s="123">
        <v>17</v>
      </c>
      <c r="O3931">
        <v>2489</v>
      </c>
      <c r="P3931" s="132" t="s">
        <v>77</v>
      </c>
      <c r="Q3931" s="131">
        <v>398.28</v>
      </c>
      <c r="R3931" s="131">
        <v>63.72</v>
      </c>
      <c r="S3931" s="131"/>
      <c r="T3931" s="155"/>
      <c r="U3931" s="131"/>
      <c r="V3931" s="131">
        <v>462</v>
      </c>
      <c r="W3931"/>
      <c r="X3931" s="151" t="s">
        <v>3451</v>
      </c>
      <c r="Y3931" s="135" t="s">
        <v>55</v>
      </c>
      <c r="Z3931" s="307">
        <v>234</v>
      </c>
      <c r="AB3931" t="str">
        <f>IF(Table1[[#This Row],[TIPO2]]="costo", VLOOKUP(Table1[[#This Row],[PARTIDA PRESUPUESTAL]],'Cost Report'!G:G,1,0),"Balance")</f>
        <v>2485-003</v>
      </c>
      <c r="AC3931" s="118"/>
      <c r="AD3931" s="159">
        <f>+Table1[[#This Row],[SUBTOTAL]]+Table1[[#This Row],[IVA]]-Table1[[#This Row],[RET IVA]]-Table1[[#This Row],[RET ISR]]-Table1[[#This Row],[TOTAL]]</f>
        <v>0</v>
      </c>
      <c r="AE3931" s="150"/>
      <c r="AF3931" s="151"/>
      <c r="AG3931" s="126" t="s">
        <v>3420</v>
      </c>
      <c r="AK3931" s="306" t="str">
        <f>IF(ISNUMBER(Table1[[#This Row],[FECHA DE RECIBIDO]]), Table1[[#This Row],[FECHA DE RECIBIDO]]-DATE(2023,8,30), "")</f>
        <v/>
      </c>
    </row>
    <row r="3932" spans="1:37" ht="15" customHeight="1">
      <c r="A3932" s="152" t="s">
        <v>4295</v>
      </c>
      <c r="B3932" s="153">
        <v>1284</v>
      </c>
      <c r="C3932" s="126" t="s">
        <v>2458</v>
      </c>
      <c r="D3932">
        <v>2626</v>
      </c>
      <c r="E3932" s="126" t="s">
        <v>1997</v>
      </c>
      <c r="F3932" s="125" t="s">
        <v>1589</v>
      </c>
      <c r="G3932" s="125" t="s">
        <v>129</v>
      </c>
      <c r="H3932">
        <v>718</v>
      </c>
      <c r="I3932" s="125" t="s">
        <v>1546</v>
      </c>
      <c r="J3932" s="308" t="s">
        <v>214</v>
      </c>
      <c r="K3932" s="127" t="s">
        <v>4212</v>
      </c>
      <c r="L3932" s="153" t="s">
        <v>1579</v>
      </c>
      <c r="M3932">
        <v>1000</v>
      </c>
      <c r="N3932" s="123">
        <v>17</v>
      </c>
      <c r="O3932">
        <v>2490</v>
      </c>
      <c r="P3932" s="132" t="s">
        <v>77</v>
      </c>
      <c r="Q3932" s="132">
        <v>1377.58</v>
      </c>
      <c r="R3932" s="132">
        <v>220.4</v>
      </c>
      <c r="S3932" s="132"/>
      <c r="T3932" s="156"/>
      <c r="U3932" s="132"/>
      <c r="V3932" s="132">
        <v>1597.98</v>
      </c>
      <c r="W3932"/>
      <c r="X3932" s="153" t="s">
        <v>3451</v>
      </c>
      <c r="Y3932" s="124" t="s">
        <v>55</v>
      </c>
      <c r="Z3932" s="308">
        <v>233</v>
      </c>
      <c r="AB3932" t="str">
        <f>IF(Table1[[#This Row],[TIPO2]]="costo", VLOOKUP(Table1[[#This Row],[PARTIDA PRESUPUESTAL]],'Cost Report'!G:G,1,0),"Balance")</f>
        <v>2311-003</v>
      </c>
      <c r="AC3932" s="118"/>
      <c r="AD3932" s="159">
        <f>+Table1[[#This Row],[SUBTOTAL]]+Table1[[#This Row],[IVA]]-Table1[[#This Row],[RET IVA]]-Table1[[#This Row],[RET ISR]]-Table1[[#This Row],[TOTAL]]</f>
        <v>0</v>
      </c>
      <c r="AE3932" s="152"/>
      <c r="AF3932" s="153"/>
      <c r="AG3932" s="126" t="s">
        <v>3420</v>
      </c>
      <c r="AK3932" s="306" t="str">
        <f>IF(ISNUMBER(Table1[[#This Row],[FECHA DE RECIBIDO]]), Table1[[#This Row],[FECHA DE RECIBIDO]]-DATE(2023,8,30), "")</f>
        <v/>
      </c>
    </row>
    <row r="3933" spans="1:37" ht="15" customHeight="1">
      <c r="A3933" s="150" t="s">
        <v>4295</v>
      </c>
      <c r="B3933" s="151">
        <v>1284</v>
      </c>
      <c r="C3933" s="126" t="s">
        <v>2455</v>
      </c>
      <c r="D3933">
        <v>2627</v>
      </c>
      <c r="E3933" s="126" t="s">
        <v>1997</v>
      </c>
      <c r="F3933" s="122" t="s">
        <v>1382</v>
      </c>
      <c r="G3933" s="122" t="e">
        <v>#N/A</v>
      </c>
      <c r="H3933">
        <v>31</v>
      </c>
      <c r="I3933" s="122" t="s">
        <v>1546</v>
      </c>
      <c r="J3933" s="307" t="s">
        <v>214</v>
      </c>
      <c r="K3933" s="127" t="s">
        <v>4212</v>
      </c>
      <c r="L3933" s="151" t="s">
        <v>1579</v>
      </c>
      <c r="M3933">
        <v>69</v>
      </c>
      <c r="N3933" s="123">
        <v>17</v>
      </c>
      <c r="O3933">
        <v>2491</v>
      </c>
      <c r="P3933" s="132" t="s">
        <v>77</v>
      </c>
      <c r="Q3933" s="131">
        <v>54</v>
      </c>
      <c r="R3933" s="131"/>
      <c r="S3933" s="131"/>
      <c r="T3933" s="155"/>
      <c r="U3933" s="131"/>
      <c r="V3933" s="131">
        <v>54</v>
      </c>
      <c r="W3933"/>
      <c r="X3933" s="151" t="s">
        <v>3451</v>
      </c>
      <c r="Y3933" s="135" t="s">
        <v>55</v>
      </c>
      <c r="Z3933" s="307">
        <v>244</v>
      </c>
      <c r="AB3933" t="str">
        <f>IF(Table1[[#This Row],[TIPO2]]="costo", VLOOKUP(Table1[[#This Row],[PARTIDA PRESUPUESTAL]],'Cost Report'!G:G,1,0),"Balance")</f>
        <v>2285-003</v>
      </c>
      <c r="AC3933" s="118"/>
      <c r="AD3933" s="159">
        <f>+Table1[[#This Row],[SUBTOTAL]]+Table1[[#This Row],[IVA]]-Table1[[#This Row],[RET IVA]]-Table1[[#This Row],[RET ISR]]-Table1[[#This Row],[TOTAL]]</f>
        <v>0</v>
      </c>
      <c r="AE3933" s="150"/>
      <c r="AF3933" s="151"/>
      <c r="AG3933" s="126" t="s">
        <v>3420</v>
      </c>
      <c r="AK3933" s="306" t="str">
        <f>IF(ISNUMBER(Table1[[#This Row],[FECHA DE RECIBIDO]]), Table1[[#This Row],[FECHA DE RECIBIDO]]-DATE(2023,8,30), "")</f>
        <v/>
      </c>
    </row>
    <row r="3934" spans="1:37" ht="15" customHeight="1">
      <c r="A3934" s="152" t="s">
        <v>4295</v>
      </c>
      <c r="B3934" s="153">
        <v>1284</v>
      </c>
      <c r="C3934" s="126" t="s">
        <v>2566</v>
      </c>
      <c r="D3934">
        <v>2628</v>
      </c>
      <c r="E3934" s="126" t="s">
        <v>4296</v>
      </c>
      <c r="F3934" s="125" t="s">
        <v>1607</v>
      </c>
      <c r="G3934" s="125" t="s">
        <v>134</v>
      </c>
      <c r="H3934">
        <v>156</v>
      </c>
      <c r="I3934" s="125" t="s">
        <v>1546</v>
      </c>
      <c r="J3934" s="308" t="s">
        <v>214</v>
      </c>
      <c r="K3934" s="127" t="s">
        <v>4212</v>
      </c>
      <c r="L3934" s="153" t="s">
        <v>1579</v>
      </c>
      <c r="M3934">
        <v>207</v>
      </c>
      <c r="N3934" s="123">
        <v>17</v>
      </c>
      <c r="O3934">
        <v>2492</v>
      </c>
      <c r="P3934" s="132" t="s">
        <v>77</v>
      </c>
      <c r="Q3934" s="132">
        <v>964.91</v>
      </c>
      <c r="R3934" s="132">
        <v>154.38999999999999</v>
      </c>
      <c r="S3934" s="132"/>
      <c r="T3934" s="156"/>
      <c r="U3934" s="132"/>
      <c r="V3934" s="132">
        <v>1119.3</v>
      </c>
      <c r="W3934"/>
      <c r="X3934" s="153" t="s">
        <v>3451</v>
      </c>
      <c r="Y3934" s="124" t="s">
        <v>55</v>
      </c>
      <c r="Z3934" s="308">
        <v>244</v>
      </c>
      <c r="AB3934" t="str">
        <f>IF(Table1[[#This Row],[TIPO2]]="costo", VLOOKUP(Table1[[#This Row],[PARTIDA PRESUPUESTAL]],'Cost Report'!G:G,1,0),"Balance")</f>
        <v>2594-003</v>
      </c>
      <c r="AC3934" s="118"/>
      <c r="AD3934" s="159">
        <f>+Table1[[#This Row],[SUBTOTAL]]+Table1[[#This Row],[IVA]]-Table1[[#This Row],[RET IVA]]-Table1[[#This Row],[RET ISR]]-Table1[[#This Row],[TOTAL]]</f>
        <v>0</v>
      </c>
      <c r="AE3934" s="152"/>
      <c r="AF3934" s="153"/>
      <c r="AG3934" s="126" t="s">
        <v>3420</v>
      </c>
      <c r="AK3934" s="306" t="str">
        <f>IF(ISNUMBER(Table1[[#This Row],[FECHA DE RECIBIDO]]), Table1[[#This Row],[FECHA DE RECIBIDO]]-DATE(2023,8,30), "")</f>
        <v/>
      </c>
    </row>
    <row r="3935" spans="1:37" ht="15" customHeight="1">
      <c r="A3935" s="150" t="s">
        <v>4295</v>
      </c>
      <c r="B3935" s="151">
        <v>1284</v>
      </c>
      <c r="C3935" s="126" t="s">
        <v>2566</v>
      </c>
      <c r="D3935">
        <v>2629</v>
      </c>
      <c r="E3935" s="126" t="s">
        <v>3292</v>
      </c>
      <c r="F3935" s="122" t="s">
        <v>1607</v>
      </c>
      <c r="G3935" s="122" t="s">
        <v>134</v>
      </c>
      <c r="H3935">
        <v>719</v>
      </c>
      <c r="I3935" s="122" t="s">
        <v>1546</v>
      </c>
      <c r="J3935" s="307" t="s">
        <v>214</v>
      </c>
      <c r="K3935" s="127" t="s">
        <v>4212</v>
      </c>
      <c r="L3935" s="151" t="s">
        <v>1579</v>
      </c>
      <c r="M3935">
        <v>1001</v>
      </c>
      <c r="N3935" s="123">
        <v>17</v>
      </c>
      <c r="O3935">
        <v>2493</v>
      </c>
      <c r="P3935" s="132" t="s">
        <v>77</v>
      </c>
      <c r="Q3935" s="131">
        <v>396.55</v>
      </c>
      <c r="R3935" s="131">
        <v>63.45</v>
      </c>
      <c r="S3935" s="131"/>
      <c r="T3935" s="155"/>
      <c r="U3935" s="131"/>
      <c r="V3935" s="131">
        <v>460</v>
      </c>
      <c r="W3935"/>
      <c r="X3935" s="151" t="s">
        <v>3451</v>
      </c>
      <c r="Y3935" s="135" t="s">
        <v>55</v>
      </c>
      <c r="Z3935" s="307">
        <v>251</v>
      </c>
      <c r="AB3935" t="str">
        <f>IF(Table1[[#This Row],[TIPO2]]="costo", VLOOKUP(Table1[[#This Row],[PARTIDA PRESUPUESTAL]],'Cost Report'!G:G,1,0),"Balance")</f>
        <v>2594-003</v>
      </c>
      <c r="AC3935" s="118"/>
      <c r="AD3935" s="159">
        <f>+Table1[[#This Row],[SUBTOTAL]]+Table1[[#This Row],[IVA]]-Table1[[#This Row],[RET IVA]]-Table1[[#This Row],[RET ISR]]-Table1[[#This Row],[TOTAL]]</f>
        <v>0</v>
      </c>
      <c r="AE3935" s="150"/>
      <c r="AF3935" s="151"/>
      <c r="AG3935" s="126" t="s">
        <v>3420</v>
      </c>
      <c r="AK3935" s="306" t="str">
        <f>IF(ISNUMBER(Table1[[#This Row],[FECHA DE RECIBIDO]]), Table1[[#This Row],[FECHA DE RECIBIDO]]-DATE(2023,8,30), "")</f>
        <v/>
      </c>
    </row>
    <row r="3936" spans="1:37" ht="15" customHeight="1">
      <c r="A3936" s="152" t="s">
        <v>4295</v>
      </c>
      <c r="B3936" s="153">
        <v>1284</v>
      </c>
      <c r="C3936" s="126" t="s">
        <v>2546</v>
      </c>
      <c r="D3936">
        <v>2630</v>
      </c>
      <c r="E3936" s="126" t="s">
        <v>1993</v>
      </c>
      <c r="F3936" s="125" t="s">
        <v>1607</v>
      </c>
      <c r="G3936" s="125" t="s">
        <v>134</v>
      </c>
      <c r="H3936">
        <v>173</v>
      </c>
      <c r="I3936" s="125" t="s">
        <v>1546</v>
      </c>
      <c r="J3936" s="308" t="s">
        <v>214</v>
      </c>
      <c r="K3936" s="127" t="s">
        <v>4212</v>
      </c>
      <c r="L3936" s="153" t="s">
        <v>1579</v>
      </c>
      <c r="M3936">
        <v>230</v>
      </c>
      <c r="N3936" s="123">
        <v>17</v>
      </c>
      <c r="O3936">
        <v>2494</v>
      </c>
      <c r="P3936" s="132" t="s">
        <v>77</v>
      </c>
      <c r="Q3936" s="132">
        <v>4432.68</v>
      </c>
      <c r="R3936" s="132">
        <v>532.96</v>
      </c>
      <c r="S3936" s="132"/>
      <c r="T3936" s="156"/>
      <c r="U3936" s="132"/>
      <c r="V3936" s="132">
        <v>4965.6400000000003</v>
      </c>
      <c r="W3936"/>
      <c r="X3936" s="153" t="s">
        <v>3451</v>
      </c>
      <c r="Y3936" s="124" t="s">
        <v>55</v>
      </c>
      <c r="Z3936" s="308">
        <v>250</v>
      </c>
      <c r="AB3936" t="str">
        <f>IF(Table1[[#This Row],[TIPO2]]="costo", VLOOKUP(Table1[[#This Row],[PARTIDA PRESUPUESTAL]],'Cost Report'!G:G,1,0),"Balance")</f>
        <v>2494-071</v>
      </c>
      <c r="AC3936" s="118"/>
      <c r="AD3936" s="159">
        <f>+Table1[[#This Row],[SUBTOTAL]]+Table1[[#This Row],[IVA]]-Table1[[#This Row],[RET IVA]]-Table1[[#This Row],[RET ISR]]-Table1[[#This Row],[TOTAL]]</f>
        <v>0</v>
      </c>
      <c r="AE3936" s="152"/>
      <c r="AF3936" s="153"/>
      <c r="AG3936" s="126" t="s">
        <v>3420</v>
      </c>
      <c r="AK3936" s="306" t="str">
        <f>IF(ISNUMBER(Table1[[#This Row],[FECHA DE RECIBIDO]]), Table1[[#This Row],[FECHA DE RECIBIDO]]-DATE(2023,8,30), "")</f>
        <v/>
      </c>
    </row>
    <row r="3937" spans="1:37" ht="15" customHeight="1">
      <c r="A3937" s="150" t="s">
        <v>4295</v>
      </c>
      <c r="B3937" s="151">
        <v>1284</v>
      </c>
      <c r="C3937" s="126" t="s">
        <v>2546</v>
      </c>
      <c r="D3937">
        <v>2631</v>
      </c>
      <c r="E3937" s="126" t="s">
        <v>1993</v>
      </c>
      <c r="F3937" s="122" t="s">
        <v>1607</v>
      </c>
      <c r="G3937" s="122" t="s">
        <v>134</v>
      </c>
      <c r="H3937">
        <v>173</v>
      </c>
      <c r="I3937" s="122" t="s">
        <v>1546</v>
      </c>
      <c r="J3937" s="307" t="s">
        <v>214</v>
      </c>
      <c r="K3937" s="127" t="s">
        <v>4212</v>
      </c>
      <c r="L3937" s="151" t="s">
        <v>1579</v>
      </c>
      <c r="M3937">
        <v>230</v>
      </c>
      <c r="N3937" s="123">
        <v>17</v>
      </c>
      <c r="O3937">
        <v>2495</v>
      </c>
      <c r="P3937" s="132" t="s">
        <v>77</v>
      </c>
      <c r="Q3937" s="131">
        <v>557.74</v>
      </c>
      <c r="R3937" s="131"/>
      <c r="S3937" s="131"/>
      <c r="T3937" s="155"/>
      <c r="U3937" s="131"/>
      <c r="V3937" s="131">
        <v>557.74</v>
      </c>
      <c r="W3937"/>
      <c r="X3937" s="151" t="s">
        <v>3451</v>
      </c>
      <c r="Y3937" s="135" t="s">
        <v>55</v>
      </c>
      <c r="Z3937" s="307">
        <v>250</v>
      </c>
      <c r="AB3937" t="str">
        <f>IF(Table1[[#This Row],[TIPO2]]="costo", VLOOKUP(Table1[[#This Row],[PARTIDA PRESUPUESTAL]],'Cost Report'!G:G,1,0),"Balance")</f>
        <v>2494-071</v>
      </c>
      <c r="AC3937" s="118"/>
      <c r="AD3937" s="159">
        <f>+Table1[[#This Row],[SUBTOTAL]]+Table1[[#This Row],[IVA]]-Table1[[#This Row],[RET IVA]]-Table1[[#This Row],[RET ISR]]-Table1[[#This Row],[TOTAL]]</f>
        <v>0</v>
      </c>
      <c r="AE3937" s="150"/>
      <c r="AF3937" s="151"/>
      <c r="AG3937" s="126" t="s">
        <v>3420</v>
      </c>
      <c r="AK3937" s="306" t="str">
        <f>IF(ISNUMBER(Table1[[#This Row],[FECHA DE RECIBIDO]]), Table1[[#This Row],[FECHA DE RECIBIDO]]-DATE(2023,8,30), "")</f>
        <v/>
      </c>
    </row>
    <row r="3938" spans="1:37" ht="15" customHeight="1">
      <c r="A3938" s="152" t="s">
        <v>4295</v>
      </c>
      <c r="B3938" s="153">
        <v>1284</v>
      </c>
      <c r="C3938" s="126" t="s">
        <v>2546</v>
      </c>
      <c r="D3938">
        <v>2632</v>
      </c>
      <c r="E3938" s="126" t="s">
        <v>3283</v>
      </c>
      <c r="F3938" s="125" t="s">
        <v>1607</v>
      </c>
      <c r="G3938" s="125" t="s">
        <v>134</v>
      </c>
      <c r="H3938">
        <v>177</v>
      </c>
      <c r="I3938" s="125" t="s">
        <v>1546</v>
      </c>
      <c r="J3938" s="308" t="s">
        <v>214</v>
      </c>
      <c r="K3938" s="127" t="s">
        <v>4212</v>
      </c>
      <c r="L3938" s="153" t="s">
        <v>1579</v>
      </c>
      <c r="M3938">
        <v>238</v>
      </c>
      <c r="N3938" s="123">
        <v>17</v>
      </c>
      <c r="O3938">
        <v>2496</v>
      </c>
      <c r="P3938" s="132" t="s">
        <v>77</v>
      </c>
      <c r="Q3938" s="132">
        <v>715.41</v>
      </c>
      <c r="R3938" s="132">
        <v>114.46</v>
      </c>
      <c r="S3938" s="132"/>
      <c r="T3938" s="156"/>
      <c r="U3938" s="132"/>
      <c r="V3938" s="132">
        <v>829.87</v>
      </c>
      <c r="W3938"/>
      <c r="X3938" s="153" t="s">
        <v>3451</v>
      </c>
      <c r="Y3938" s="124" t="s">
        <v>55</v>
      </c>
      <c r="Z3938" s="308">
        <v>250</v>
      </c>
      <c r="AB3938" t="str">
        <f>IF(Table1[[#This Row],[TIPO2]]="costo", VLOOKUP(Table1[[#This Row],[PARTIDA PRESUPUESTAL]],'Cost Report'!G:G,1,0),"Balance")</f>
        <v>2494-071</v>
      </c>
      <c r="AC3938" s="118"/>
      <c r="AD3938" s="159">
        <f>+Table1[[#This Row],[SUBTOTAL]]+Table1[[#This Row],[IVA]]-Table1[[#This Row],[RET IVA]]-Table1[[#This Row],[RET ISR]]-Table1[[#This Row],[TOTAL]]</f>
        <v>0</v>
      </c>
      <c r="AE3938" s="152"/>
      <c r="AF3938" s="153"/>
      <c r="AG3938" s="126" t="s">
        <v>3420</v>
      </c>
      <c r="AK3938" s="306" t="str">
        <f>IF(ISNUMBER(Table1[[#This Row],[FECHA DE RECIBIDO]]), Table1[[#This Row],[FECHA DE RECIBIDO]]-DATE(2023,8,30), "")</f>
        <v/>
      </c>
    </row>
    <row r="3939" spans="1:37" ht="15" customHeight="1">
      <c r="A3939" s="150" t="s">
        <v>4295</v>
      </c>
      <c r="B3939" s="151">
        <v>1284</v>
      </c>
      <c r="C3939" s="126" t="s">
        <v>2455</v>
      </c>
      <c r="D3939">
        <v>689</v>
      </c>
      <c r="E3939" s="126"/>
      <c r="F3939" s="122"/>
      <c r="G3939" s="122"/>
      <c r="H3939"/>
      <c r="I3939" s="122"/>
      <c r="J3939" s="307" t="s">
        <v>214</v>
      </c>
      <c r="K3939" s="127" t="s">
        <v>4212</v>
      </c>
      <c r="L3939" s="151" t="s">
        <v>1579</v>
      </c>
      <c r="M3939">
        <v>696</v>
      </c>
      <c r="N3939" s="123">
        <v>17</v>
      </c>
      <c r="O3939">
        <v>522</v>
      </c>
      <c r="P3939" s="132" t="s">
        <v>77</v>
      </c>
      <c r="Q3939" s="131">
        <v>29.5</v>
      </c>
      <c r="R3939" s="131"/>
      <c r="S3939" s="131"/>
      <c r="T3939" s="155"/>
      <c r="U3939" s="131"/>
      <c r="V3939" s="131">
        <v>29.5</v>
      </c>
      <c r="W3939"/>
      <c r="X3939" s="151" t="s">
        <v>3451</v>
      </c>
      <c r="Y3939" s="135" t="s">
        <v>55</v>
      </c>
      <c r="Z3939" s="307">
        <v>233</v>
      </c>
      <c r="AB3939" t="str">
        <f>IF(Table1[[#This Row],[TIPO2]]="costo", VLOOKUP(Table1[[#This Row],[PARTIDA PRESUPUESTAL]],'Cost Report'!G:G,1,0),"Balance")</f>
        <v>2285-003</v>
      </c>
      <c r="AC3939" s="118"/>
      <c r="AD3939" s="159">
        <f>+Table1[[#This Row],[SUBTOTAL]]+Table1[[#This Row],[IVA]]-Table1[[#This Row],[RET IVA]]-Table1[[#This Row],[RET ISR]]-Table1[[#This Row],[TOTAL]]</f>
        <v>0</v>
      </c>
      <c r="AE3939" s="150"/>
      <c r="AF3939" s="151"/>
      <c r="AG3939" s="126" t="s">
        <v>3420</v>
      </c>
      <c r="AK3939" s="306" t="str">
        <f>IF(ISNUMBER(Table1[[#This Row],[FECHA DE RECIBIDO]]), Table1[[#This Row],[FECHA DE RECIBIDO]]-DATE(2023,8,30), "")</f>
        <v/>
      </c>
    </row>
    <row r="3940" spans="1:37" ht="15" customHeight="1">
      <c r="A3940" s="152" t="s">
        <v>4295</v>
      </c>
      <c r="B3940" s="153">
        <v>1284</v>
      </c>
      <c r="C3940" s="126" t="s">
        <v>2455</v>
      </c>
      <c r="D3940">
        <v>689</v>
      </c>
      <c r="E3940" s="126"/>
      <c r="F3940" s="125"/>
      <c r="G3940" s="125"/>
      <c r="H3940"/>
      <c r="I3940" s="125"/>
      <c r="J3940" s="308" t="s">
        <v>214</v>
      </c>
      <c r="K3940" s="127" t="s">
        <v>4212</v>
      </c>
      <c r="L3940" s="153" t="s">
        <v>1579</v>
      </c>
      <c r="M3940">
        <v>1002</v>
      </c>
      <c r="N3940" s="123">
        <v>17</v>
      </c>
      <c r="O3940">
        <v>2497</v>
      </c>
      <c r="P3940" s="132" t="s">
        <v>77</v>
      </c>
      <c r="Q3940" s="132">
        <v>20</v>
      </c>
      <c r="R3940" s="132"/>
      <c r="S3940" s="132"/>
      <c r="T3940" s="156"/>
      <c r="U3940" s="132"/>
      <c r="V3940" s="132">
        <v>20</v>
      </c>
      <c r="W3940"/>
      <c r="X3940" s="153" t="s">
        <v>3451</v>
      </c>
      <c r="Y3940" s="124" t="s">
        <v>55</v>
      </c>
      <c r="Z3940" s="308">
        <v>247</v>
      </c>
      <c r="AB3940" t="str">
        <f>IF(Table1[[#This Row],[TIPO2]]="costo", VLOOKUP(Table1[[#This Row],[PARTIDA PRESUPUESTAL]],'Cost Report'!G:G,1,0),"Balance")</f>
        <v>2285-003</v>
      </c>
      <c r="AC3940" s="118"/>
      <c r="AD3940" s="159">
        <f>+Table1[[#This Row],[SUBTOTAL]]+Table1[[#This Row],[IVA]]-Table1[[#This Row],[RET IVA]]-Table1[[#This Row],[RET ISR]]-Table1[[#This Row],[TOTAL]]</f>
        <v>0</v>
      </c>
      <c r="AE3940" s="152"/>
      <c r="AF3940" s="153"/>
      <c r="AG3940" s="126" t="s">
        <v>3420</v>
      </c>
      <c r="AK3940" s="306" t="str">
        <f>IF(ISNUMBER(Table1[[#This Row],[FECHA DE RECIBIDO]]), Table1[[#This Row],[FECHA DE RECIBIDO]]-DATE(2023,8,30), "")</f>
        <v/>
      </c>
    </row>
    <row r="3941" spans="1:37" ht="15" customHeight="1">
      <c r="A3941" s="150" t="s">
        <v>4297</v>
      </c>
      <c r="B3941" s="151">
        <v>1285</v>
      </c>
      <c r="C3941" s="126" t="s">
        <v>2546</v>
      </c>
      <c r="D3941">
        <v>2633</v>
      </c>
      <c r="E3941" s="126" t="s">
        <v>3267</v>
      </c>
      <c r="F3941" s="122" t="s">
        <v>1589</v>
      </c>
      <c r="G3941" s="122" t="s">
        <v>129</v>
      </c>
      <c r="H3941">
        <v>720</v>
      </c>
      <c r="I3941" s="122" t="s">
        <v>1546</v>
      </c>
      <c r="J3941" s="307" t="s">
        <v>214</v>
      </c>
      <c r="K3941" s="127" t="s">
        <v>4212</v>
      </c>
      <c r="L3941" s="151" t="s">
        <v>1579</v>
      </c>
      <c r="M3941">
        <v>1003</v>
      </c>
      <c r="N3941" s="123">
        <v>17</v>
      </c>
      <c r="O3941">
        <v>2498</v>
      </c>
      <c r="P3941" s="132" t="s">
        <v>77</v>
      </c>
      <c r="Q3941" s="131">
        <v>389</v>
      </c>
      <c r="R3941" s="131"/>
      <c r="S3941" s="131"/>
      <c r="T3941" s="155"/>
      <c r="U3941" s="131"/>
      <c r="V3941" s="131">
        <v>389</v>
      </c>
      <c r="W3941"/>
      <c r="X3941" s="151" t="s">
        <v>3451</v>
      </c>
      <c r="Y3941" s="135" t="s">
        <v>55</v>
      </c>
      <c r="Z3941" s="307">
        <v>244</v>
      </c>
      <c r="AB3941" t="str">
        <f>IF(Table1[[#This Row],[TIPO2]]="costo", VLOOKUP(Table1[[#This Row],[PARTIDA PRESUPUESTAL]],'Cost Report'!G:G,1,0),"Balance")</f>
        <v>2494-071</v>
      </c>
      <c r="AC3941" s="118"/>
      <c r="AD3941" s="159">
        <f>+Table1[[#This Row],[SUBTOTAL]]+Table1[[#This Row],[IVA]]-Table1[[#This Row],[RET IVA]]-Table1[[#This Row],[RET ISR]]-Table1[[#This Row],[TOTAL]]</f>
        <v>0</v>
      </c>
      <c r="AE3941" s="150"/>
      <c r="AF3941" s="151"/>
      <c r="AG3941" s="126" t="s">
        <v>3420</v>
      </c>
      <c r="AK3941" s="306" t="str">
        <f>IF(ISNUMBER(Table1[[#This Row],[FECHA DE RECIBIDO]]), Table1[[#This Row],[FECHA DE RECIBIDO]]-DATE(2023,8,30), "")</f>
        <v/>
      </c>
    </row>
    <row r="3942" spans="1:37" ht="15" customHeight="1">
      <c r="A3942" s="152" t="s">
        <v>4297</v>
      </c>
      <c r="B3942" s="153">
        <v>1285</v>
      </c>
      <c r="C3942" s="126" t="s">
        <v>1505</v>
      </c>
      <c r="D3942">
        <v>2634</v>
      </c>
      <c r="E3942" s="126" t="s">
        <v>3356</v>
      </c>
      <c r="F3942" s="125" t="s">
        <v>1607</v>
      </c>
      <c r="G3942" s="125" t="s">
        <v>134</v>
      </c>
      <c r="H3942">
        <v>177</v>
      </c>
      <c r="I3942" s="125" t="s">
        <v>1546</v>
      </c>
      <c r="J3942" s="308" t="s">
        <v>214</v>
      </c>
      <c r="K3942" s="127" t="s">
        <v>4212</v>
      </c>
      <c r="L3942" s="153" t="s">
        <v>1579</v>
      </c>
      <c r="M3942">
        <v>238</v>
      </c>
      <c r="N3942" s="123">
        <v>17</v>
      </c>
      <c r="O3942">
        <v>2499</v>
      </c>
      <c r="P3942" s="132" t="s">
        <v>77</v>
      </c>
      <c r="Q3942" s="132">
        <v>60.34</v>
      </c>
      <c r="R3942" s="132">
        <v>9.65</v>
      </c>
      <c r="S3942" s="132"/>
      <c r="T3942" s="156"/>
      <c r="U3942" s="132"/>
      <c r="V3942" s="132">
        <v>69.990000000000009</v>
      </c>
      <c r="W3942"/>
      <c r="X3942" s="153" t="s">
        <v>3451</v>
      </c>
      <c r="Y3942" s="124" t="s">
        <v>55</v>
      </c>
      <c r="Z3942" s="308">
        <v>240</v>
      </c>
      <c r="AB3942" t="str">
        <f>IF(Table1[[#This Row],[TIPO2]]="costo", VLOOKUP(Table1[[#This Row],[PARTIDA PRESUPUESTAL]],'Cost Report'!G:G,1,0),"Balance")</f>
        <v>2494-003</v>
      </c>
      <c r="AC3942" s="118"/>
      <c r="AD3942" s="159">
        <f>+Table1[[#This Row],[SUBTOTAL]]+Table1[[#This Row],[IVA]]-Table1[[#This Row],[RET IVA]]-Table1[[#This Row],[RET ISR]]-Table1[[#This Row],[TOTAL]]</f>
        <v>0</v>
      </c>
      <c r="AE3942" s="152"/>
      <c r="AF3942" s="153"/>
      <c r="AG3942" s="126" t="s">
        <v>3420</v>
      </c>
      <c r="AK3942" s="306" t="str">
        <f>IF(ISNUMBER(Table1[[#This Row],[FECHA DE RECIBIDO]]), Table1[[#This Row],[FECHA DE RECIBIDO]]-DATE(2023,8,30), "")</f>
        <v/>
      </c>
    </row>
    <row r="3943" spans="1:37" ht="15" customHeight="1">
      <c r="A3943" s="150" t="s">
        <v>4297</v>
      </c>
      <c r="B3943" s="151">
        <v>1285</v>
      </c>
      <c r="C3943" s="126" t="s">
        <v>2458</v>
      </c>
      <c r="D3943">
        <v>2635</v>
      </c>
      <c r="E3943" s="126" t="s">
        <v>1613</v>
      </c>
      <c r="F3943" s="122" t="s">
        <v>1607</v>
      </c>
      <c r="G3943" s="122" t="s">
        <v>134</v>
      </c>
      <c r="H3943">
        <v>721</v>
      </c>
      <c r="I3943" s="122" t="s">
        <v>1546</v>
      </c>
      <c r="J3943" s="307" t="s">
        <v>214</v>
      </c>
      <c r="K3943" s="127" t="s">
        <v>4212</v>
      </c>
      <c r="L3943" s="151" t="s">
        <v>1579</v>
      </c>
      <c r="M3943">
        <v>1004</v>
      </c>
      <c r="N3943" s="123">
        <v>17</v>
      </c>
      <c r="O3943">
        <v>2500</v>
      </c>
      <c r="P3943" s="132" t="s">
        <v>77</v>
      </c>
      <c r="Q3943" s="131">
        <v>3164.66</v>
      </c>
      <c r="R3943" s="131">
        <v>506.34</v>
      </c>
      <c r="S3943" s="131"/>
      <c r="T3943" s="155"/>
      <c r="U3943" s="131"/>
      <c r="V3943" s="131">
        <v>3671</v>
      </c>
      <c r="W3943"/>
      <c r="X3943" s="151" t="s">
        <v>3451</v>
      </c>
      <c r="Y3943" s="135" t="s">
        <v>55</v>
      </c>
      <c r="Z3943" s="307">
        <v>244</v>
      </c>
      <c r="AB3943" t="str">
        <f>IF(Table1[[#This Row],[TIPO2]]="costo", VLOOKUP(Table1[[#This Row],[PARTIDA PRESUPUESTAL]],'Cost Report'!G:G,1,0),"Balance")</f>
        <v>2311-003</v>
      </c>
      <c r="AC3943" s="118"/>
      <c r="AD3943" s="159">
        <f>+Table1[[#This Row],[SUBTOTAL]]+Table1[[#This Row],[IVA]]-Table1[[#This Row],[RET IVA]]-Table1[[#This Row],[RET ISR]]-Table1[[#This Row],[TOTAL]]</f>
        <v>0</v>
      </c>
      <c r="AE3943" s="150"/>
      <c r="AF3943" s="151"/>
      <c r="AG3943" s="126" t="s">
        <v>3420</v>
      </c>
      <c r="AK3943" s="306" t="str">
        <f>IF(ISNUMBER(Table1[[#This Row],[FECHA DE RECIBIDO]]), Table1[[#This Row],[FECHA DE RECIBIDO]]-DATE(2023,8,30), "")</f>
        <v/>
      </c>
    </row>
    <row r="3944" spans="1:37" ht="15" customHeight="1">
      <c r="A3944" s="152" t="s">
        <v>4297</v>
      </c>
      <c r="B3944" s="153">
        <v>1285</v>
      </c>
      <c r="C3944" s="126" t="s">
        <v>2542</v>
      </c>
      <c r="D3944">
        <v>2636</v>
      </c>
      <c r="E3944" s="126" t="s">
        <v>1613</v>
      </c>
      <c r="F3944" s="125" t="s">
        <v>1589</v>
      </c>
      <c r="G3944" s="125" t="s">
        <v>129</v>
      </c>
      <c r="H3944">
        <v>722</v>
      </c>
      <c r="I3944" s="125" t="s">
        <v>1546</v>
      </c>
      <c r="J3944" s="308" t="s">
        <v>214</v>
      </c>
      <c r="K3944" s="127" t="s">
        <v>4212</v>
      </c>
      <c r="L3944" s="153" t="s">
        <v>1579</v>
      </c>
      <c r="M3944">
        <v>1005</v>
      </c>
      <c r="N3944" s="123">
        <v>17</v>
      </c>
      <c r="O3944">
        <v>2501</v>
      </c>
      <c r="P3944" s="132" t="s">
        <v>77</v>
      </c>
      <c r="Q3944" s="132">
        <v>5058.62</v>
      </c>
      <c r="R3944" s="132">
        <v>809.38</v>
      </c>
      <c r="S3944" s="132"/>
      <c r="T3944" s="156"/>
      <c r="U3944" s="132"/>
      <c r="V3944" s="132">
        <v>5868</v>
      </c>
      <c r="W3944"/>
      <c r="X3944" s="153" t="s">
        <v>3451</v>
      </c>
      <c r="Y3944" s="124" t="s">
        <v>55</v>
      </c>
      <c r="Z3944" s="308">
        <v>244</v>
      </c>
      <c r="AB3944" t="str">
        <f>IF(Table1[[#This Row],[TIPO2]]="costo", VLOOKUP(Table1[[#This Row],[PARTIDA PRESUPUESTAL]],'Cost Report'!G:G,1,0),"Balance")</f>
        <v>2494-063</v>
      </c>
      <c r="AC3944" s="118"/>
      <c r="AD3944" s="159">
        <f>+Table1[[#This Row],[SUBTOTAL]]+Table1[[#This Row],[IVA]]-Table1[[#This Row],[RET IVA]]-Table1[[#This Row],[RET ISR]]-Table1[[#This Row],[TOTAL]]</f>
        <v>0</v>
      </c>
      <c r="AE3944" s="152"/>
      <c r="AF3944" s="153"/>
      <c r="AG3944" s="126" t="s">
        <v>3420</v>
      </c>
      <c r="AK3944" s="306" t="str">
        <f>IF(ISNUMBER(Table1[[#This Row],[FECHA DE RECIBIDO]]), Table1[[#This Row],[FECHA DE RECIBIDO]]-DATE(2023,8,30), "")</f>
        <v/>
      </c>
    </row>
    <row r="3945" spans="1:37" ht="15" customHeight="1">
      <c r="A3945" s="150" t="s">
        <v>4297</v>
      </c>
      <c r="B3945" s="151">
        <v>1285</v>
      </c>
      <c r="C3945" s="126" t="s">
        <v>2542</v>
      </c>
      <c r="D3945">
        <v>2637</v>
      </c>
      <c r="E3945" s="126" t="s">
        <v>1613</v>
      </c>
      <c r="F3945" s="122" t="s">
        <v>1607</v>
      </c>
      <c r="G3945" s="122" t="s">
        <v>134</v>
      </c>
      <c r="H3945">
        <v>723</v>
      </c>
      <c r="I3945" s="122" t="s">
        <v>1546</v>
      </c>
      <c r="J3945" s="307" t="s">
        <v>214</v>
      </c>
      <c r="K3945" s="127" t="s">
        <v>4212</v>
      </c>
      <c r="L3945" s="151" t="s">
        <v>1579</v>
      </c>
      <c r="M3945">
        <v>1006</v>
      </c>
      <c r="N3945" s="123">
        <v>17</v>
      </c>
      <c r="O3945">
        <v>2501</v>
      </c>
      <c r="P3945" s="132" t="s">
        <v>77</v>
      </c>
      <c r="Q3945" s="131">
        <v>6524.14</v>
      </c>
      <c r="R3945" s="131">
        <v>1043.8599999999999</v>
      </c>
      <c r="S3945" s="131"/>
      <c r="T3945" s="155"/>
      <c r="U3945" s="131"/>
      <c r="V3945" s="131">
        <v>7568</v>
      </c>
      <c r="W3945"/>
      <c r="X3945" s="151" t="s">
        <v>3451</v>
      </c>
      <c r="Y3945" s="135" t="s">
        <v>55</v>
      </c>
      <c r="Z3945" s="307">
        <v>244</v>
      </c>
      <c r="AB3945" t="str">
        <f>IF(Table1[[#This Row],[TIPO2]]="costo", VLOOKUP(Table1[[#This Row],[PARTIDA PRESUPUESTAL]],'Cost Report'!G:G,1,0),"Balance")</f>
        <v>2494-063</v>
      </c>
      <c r="AC3945" s="118"/>
      <c r="AD3945" s="159">
        <f>+Table1[[#This Row],[SUBTOTAL]]+Table1[[#This Row],[IVA]]-Table1[[#This Row],[RET IVA]]-Table1[[#This Row],[RET ISR]]-Table1[[#This Row],[TOTAL]]</f>
        <v>0</v>
      </c>
      <c r="AE3945" s="150"/>
      <c r="AF3945" s="151"/>
      <c r="AG3945" s="126" t="s">
        <v>3420</v>
      </c>
      <c r="AK3945" s="306" t="str">
        <f>IF(ISNUMBER(Table1[[#This Row],[FECHA DE RECIBIDO]]), Table1[[#This Row],[FECHA DE RECIBIDO]]-DATE(2023,8,30), "")</f>
        <v/>
      </c>
    </row>
    <row r="3946" spans="1:37" ht="15" customHeight="1">
      <c r="A3946" s="152" t="s">
        <v>4297</v>
      </c>
      <c r="B3946" s="153">
        <v>1285</v>
      </c>
      <c r="C3946" s="126" t="s">
        <v>2532</v>
      </c>
      <c r="D3946">
        <v>2638</v>
      </c>
      <c r="E3946" s="126" t="s">
        <v>4298</v>
      </c>
      <c r="F3946" s="125" t="s">
        <v>1593</v>
      </c>
      <c r="G3946" s="125" t="s">
        <v>109</v>
      </c>
      <c r="H3946">
        <v>724</v>
      </c>
      <c r="I3946" s="125" t="s">
        <v>1546</v>
      </c>
      <c r="J3946" s="308" t="s">
        <v>214</v>
      </c>
      <c r="K3946" s="127" t="s">
        <v>4212</v>
      </c>
      <c r="L3946" s="153" t="s">
        <v>1579</v>
      </c>
      <c r="M3946">
        <v>1007</v>
      </c>
      <c r="N3946" s="123">
        <v>17</v>
      </c>
      <c r="O3946">
        <v>2502</v>
      </c>
      <c r="P3946" s="132" t="s">
        <v>77</v>
      </c>
      <c r="Q3946" s="132">
        <v>18750</v>
      </c>
      <c r="R3946" s="132"/>
      <c r="S3946" s="132"/>
      <c r="T3946" s="156"/>
      <c r="U3946" s="132"/>
      <c r="V3946" s="132">
        <v>18750</v>
      </c>
      <c r="W3946"/>
      <c r="X3946" s="153" t="s">
        <v>3451</v>
      </c>
      <c r="Y3946" s="124" t="s">
        <v>55</v>
      </c>
      <c r="Z3946" s="308">
        <v>251</v>
      </c>
      <c r="AB3946" t="str">
        <f>IF(Table1[[#This Row],[TIPO2]]="costo", VLOOKUP(Table1[[#This Row],[PARTIDA PRESUPUESTAL]],'Cost Report'!G:G,1,0),"Balance")</f>
        <v>2494-043</v>
      </c>
      <c r="AC3946" s="118"/>
      <c r="AD3946" s="159">
        <f>+Table1[[#This Row],[SUBTOTAL]]+Table1[[#This Row],[IVA]]-Table1[[#This Row],[RET IVA]]-Table1[[#This Row],[RET ISR]]-Table1[[#This Row],[TOTAL]]</f>
        <v>0</v>
      </c>
      <c r="AE3946" s="152"/>
      <c r="AF3946" s="153"/>
      <c r="AG3946" s="126" t="s">
        <v>3420</v>
      </c>
      <c r="AK3946" s="306" t="str">
        <f>IF(ISNUMBER(Table1[[#This Row],[FECHA DE RECIBIDO]]), Table1[[#This Row],[FECHA DE RECIBIDO]]-DATE(2023,8,30), "")</f>
        <v/>
      </c>
    </row>
    <row r="3947" spans="1:37" ht="15" customHeight="1">
      <c r="A3947" s="150" t="s">
        <v>4297</v>
      </c>
      <c r="B3947" s="151">
        <v>1285</v>
      </c>
      <c r="C3947" s="126" t="s">
        <v>2461</v>
      </c>
      <c r="D3947">
        <v>2639</v>
      </c>
      <c r="E3947" s="126" t="s">
        <v>3833</v>
      </c>
      <c r="F3947" s="122" t="s">
        <v>1607</v>
      </c>
      <c r="G3947" s="122" t="s">
        <v>134</v>
      </c>
      <c r="H3947">
        <v>725</v>
      </c>
      <c r="I3947" s="122" t="s">
        <v>1546</v>
      </c>
      <c r="J3947" s="307" t="s">
        <v>214</v>
      </c>
      <c r="K3947" s="127" t="s">
        <v>4212</v>
      </c>
      <c r="L3947" s="151" t="s">
        <v>1579</v>
      </c>
      <c r="M3947">
        <v>1008</v>
      </c>
      <c r="N3947" s="123">
        <v>17</v>
      </c>
      <c r="O3947">
        <v>2503</v>
      </c>
      <c r="P3947" s="132" t="s">
        <v>77</v>
      </c>
      <c r="Q3947" s="131">
        <v>351.64</v>
      </c>
      <c r="R3947" s="131">
        <v>56.26</v>
      </c>
      <c r="S3947" s="131"/>
      <c r="T3947" s="155"/>
      <c r="U3947" s="131"/>
      <c r="V3947" s="131">
        <v>407.9</v>
      </c>
      <c r="W3947"/>
      <c r="X3947" s="151" t="s">
        <v>3451</v>
      </c>
      <c r="Y3947" s="135" t="s">
        <v>55</v>
      </c>
      <c r="Z3947" s="307">
        <v>250</v>
      </c>
      <c r="AB3947" t="str">
        <f>IF(Table1[[#This Row],[TIPO2]]="costo", VLOOKUP(Table1[[#This Row],[PARTIDA PRESUPUESTAL]],'Cost Report'!G:G,1,0),"Balance")</f>
        <v>2385-003</v>
      </c>
      <c r="AC3947" s="118"/>
      <c r="AD3947" s="159">
        <f>+Table1[[#This Row],[SUBTOTAL]]+Table1[[#This Row],[IVA]]-Table1[[#This Row],[RET IVA]]-Table1[[#This Row],[RET ISR]]-Table1[[#This Row],[TOTAL]]</f>
        <v>0</v>
      </c>
      <c r="AE3947" s="150"/>
      <c r="AF3947" s="151"/>
      <c r="AG3947" s="126" t="s">
        <v>3420</v>
      </c>
      <c r="AK3947" s="306" t="str">
        <f>IF(ISNUMBER(Table1[[#This Row],[FECHA DE RECIBIDO]]), Table1[[#This Row],[FECHA DE RECIBIDO]]-DATE(2023,8,30), "")</f>
        <v/>
      </c>
    </row>
    <row r="3948" spans="1:37" ht="15" customHeight="1">
      <c r="A3948" s="152" t="s">
        <v>4299</v>
      </c>
      <c r="B3948" s="153">
        <v>1286</v>
      </c>
      <c r="C3948" s="126" t="s">
        <v>610</v>
      </c>
      <c r="D3948">
        <v>2640</v>
      </c>
      <c r="E3948" s="126" t="e">
        <v>#N/A</v>
      </c>
      <c r="F3948" s="125" t="e">
        <v>#N/A</v>
      </c>
      <c r="G3948" s="125" t="e">
        <v>#N/A</v>
      </c>
      <c r="H3948">
        <v>36</v>
      </c>
      <c r="I3948" s="125" t="e">
        <v>#N/A</v>
      </c>
      <c r="J3948" s="308" t="s">
        <v>214</v>
      </c>
      <c r="K3948" s="127" t="s">
        <v>4212</v>
      </c>
      <c r="L3948" s="153" t="s">
        <v>1579</v>
      </c>
      <c r="M3948">
        <v>310</v>
      </c>
      <c r="N3948" s="123">
        <v>17</v>
      </c>
      <c r="O3948">
        <v>2504</v>
      </c>
      <c r="P3948" s="132" t="s">
        <v>77</v>
      </c>
      <c r="Q3948" s="132">
        <v>1090</v>
      </c>
      <c r="R3948" s="132">
        <v>174.4</v>
      </c>
      <c r="S3948" s="132"/>
      <c r="T3948" s="156"/>
      <c r="U3948" s="132"/>
      <c r="V3948" s="132">
        <v>1264.4000000000001</v>
      </c>
      <c r="W3948"/>
      <c r="X3948" s="153" t="s">
        <v>3451</v>
      </c>
      <c r="Y3948" s="124" t="s">
        <v>55</v>
      </c>
      <c r="Z3948" s="308">
        <v>241</v>
      </c>
      <c r="AB3948" t="str">
        <f>IF(Table1[[#This Row],[TIPO2]]="costo", VLOOKUP(Table1[[#This Row],[PARTIDA PRESUPUESTAL]],'Cost Report'!G:G,1,0),"Balance")</f>
        <v>2485-003</v>
      </c>
      <c r="AC3948" s="118"/>
      <c r="AD3948" s="159">
        <f>+Table1[[#This Row],[SUBTOTAL]]+Table1[[#This Row],[IVA]]-Table1[[#This Row],[RET IVA]]-Table1[[#This Row],[RET ISR]]-Table1[[#This Row],[TOTAL]]</f>
        <v>0</v>
      </c>
      <c r="AE3948" s="152"/>
      <c r="AF3948" s="153"/>
      <c r="AG3948" s="126" t="s">
        <v>3420</v>
      </c>
      <c r="AK3948" s="306" t="str">
        <f>IF(ISNUMBER(Table1[[#This Row],[FECHA DE RECIBIDO]]), Table1[[#This Row],[FECHA DE RECIBIDO]]-DATE(2023,8,30), "")</f>
        <v/>
      </c>
    </row>
    <row r="3949" spans="1:37" ht="15" customHeight="1">
      <c r="A3949" s="150" t="s">
        <v>4299</v>
      </c>
      <c r="B3949" s="151">
        <v>1286</v>
      </c>
      <c r="C3949" s="126" t="s">
        <v>610</v>
      </c>
      <c r="D3949">
        <v>2641</v>
      </c>
      <c r="E3949" s="126" t="e">
        <v>#N/A</v>
      </c>
      <c r="F3949" s="122" t="e">
        <v>#N/A</v>
      </c>
      <c r="G3949" s="122" t="e">
        <v>#N/A</v>
      </c>
      <c r="H3949">
        <v>36</v>
      </c>
      <c r="I3949" s="122" t="e">
        <v>#N/A</v>
      </c>
      <c r="J3949" s="307" t="s">
        <v>214</v>
      </c>
      <c r="K3949" s="127" t="s">
        <v>4212</v>
      </c>
      <c r="L3949" s="151" t="s">
        <v>1579</v>
      </c>
      <c r="M3949">
        <v>310</v>
      </c>
      <c r="N3949" s="123">
        <v>17</v>
      </c>
      <c r="O3949">
        <v>2505</v>
      </c>
      <c r="P3949" s="132" t="s">
        <v>77</v>
      </c>
      <c r="Q3949" s="131">
        <v>1050</v>
      </c>
      <c r="R3949" s="131">
        <v>168</v>
      </c>
      <c r="S3949" s="131"/>
      <c r="T3949" s="155"/>
      <c r="U3949" s="131"/>
      <c r="V3949" s="131">
        <v>1218</v>
      </c>
      <c r="W3949"/>
      <c r="X3949" s="151" t="s">
        <v>3451</v>
      </c>
      <c r="Y3949" s="135" t="s">
        <v>55</v>
      </c>
      <c r="Z3949" s="307">
        <v>241</v>
      </c>
      <c r="AB3949" t="str">
        <f>IF(Table1[[#This Row],[TIPO2]]="costo", VLOOKUP(Table1[[#This Row],[PARTIDA PRESUPUESTAL]],'Cost Report'!G:G,1,0),"Balance")</f>
        <v>2485-003</v>
      </c>
      <c r="AC3949" s="118"/>
      <c r="AD3949" s="159">
        <f>+Table1[[#This Row],[SUBTOTAL]]+Table1[[#This Row],[IVA]]-Table1[[#This Row],[RET IVA]]-Table1[[#This Row],[RET ISR]]-Table1[[#This Row],[TOTAL]]</f>
        <v>0</v>
      </c>
      <c r="AE3949" s="150"/>
      <c r="AF3949" s="151"/>
      <c r="AG3949" s="126" t="s">
        <v>3420</v>
      </c>
      <c r="AK3949" s="306" t="str">
        <f>IF(ISNUMBER(Table1[[#This Row],[FECHA DE RECIBIDO]]), Table1[[#This Row],[FECHA DE RECIBIDO]]-DATE(2023,8,30), "")</f>
        <v/>
      </c>
    </row>
    <row r="3950" spans="1:37" ht="15" customHeight="1">
      <c r="A3950" s="152" t="s">
        <v>4299</v>
      </c>
      <c r="B3950" s="153">
        <v>1286</v>
      </c>
      <c r="C3950" s="126" t="s">
        <v>610</v>
      </c>
      <c r="D3950">
        <v>2642</v>
      </c>
      <c r="E3950" s="126" t="s">
        <v>4289</v>
      </c>
      <c r="F3950" s="125" t="s">
        <v>1593</v>
      </c>
      <c r="G3950" s="125" t="s">
        <v>109</v>
      </c>
      <c r="H3950">
        <v>706</v>
      </c>
      <c r="I3950" s="125" t="s">
        <v>1546</v>
      </c>
      <c r="J3950" s="308" t="s">
        <v>214</v>
      </c>
      <c r="K3950" s="127" t="s">
        <v>4212</v>
      </c>
      <c r="L3950" s="153" t="s">
        <v>1579</v>
      </c>
      <c r="M3950">
        <v>983</v>
      </c>
      <c r="N3950" s="123">
        <v>17</v>
      </c>
      <c r="O3950">
        <v>2506</v>
      </c>
      <c r="P3950" s="132" t="s">
        <v>77</v>
      </c>
      <c r="Q3950" s="132">
        <v>2017.2</v>
      </c>
      <c r="R3950" s="132">
        <v>322.75</v>
      </c>
      <c r="S3950" s="132"/>
      <c r="T3950" s="156"/>
      <c r="U3950" s="132"/>
      <c r="V3950" s="132">
        <v>2339.9499999999998</v>
      </c>
      <c r="W3950"/>
      <c r="X3950" s="153" t="s">
        <v>3451</v>
      </c>
      <c r="Y3950" s="124" t="s">
        <v>55</v>
      </c>
      <c r="Z3950" s="308">
        <v>240</v>
      </c>
      <c r="AB3950" t="str">
        <f>IF(Table1[[#This Row],[TIPO2]]="costo", VLOOKUP(Table1[[#This Row],[PARTIDA PRESUPUESTAL]],'Cost Report'!G:G,1,0),"Balance")</f>
        <v>2485-003</v>
      </c>
      <c r="AC3950" s="118"/>
      <c r="AD3950" s="159">
        <f>+Table1[[#This Row],[SUBTOTAL]]+Table1[[#This Row],[IVA]]-Table1[[#This Row],[RET IVA]]-Table1[[#This Row],[RET ISR]]-Table1[[#This Row],[TOTAL]]</f>
        <v>0</v>
      </c>
      <c r="AE3950" s="152"/>
      <c r="AF3950" s="153"/>
      <c r="AG3950" s="126" t="s">
        <v>3420</v>
      </c>
      <c r="AK3950" s="306" t="str">
        <f>IF(ISNUMBER(Table1[[#This Row],[FECHA DE RECIBIDO]]), Table1[[#This Row],[FECHA DE RECIBIDO]]-DATE(2023,8,30), "")</f>
        <v/>
      </c>
    </row>
    <row r="3951" spans="1:37" ht="15" customHeight="1">
      <c r="A3951" s="150" t="s">
        <v>4299</v>
      </c>
      <c r="B3951" s="151">
        <v>1286</v>
      </c>
      <c r="C3951" s="126" t="s">
        <v>2565</v>
      </c>
      <c r="D3951">
        <v>2643</v>
      </c>
      <c r="E3951" s="126" t="s">
        <v>4203</v>
      </c>
      <c r="F3951" s="122" t="s">
        <v>1607</v>
      </c>
      <c r="G3951" s="122" t="s">
        <v>134</v>
      </c>
      <c r="H3951">
        <v>57</v>
      </c>
      <c r="I3951" s="122" t="s">
        <v>1546</v>
      </c>
      <c r="J3951" s="307" t="s">
        <v>214</v>
      </c>
      <c r="K3951" s="127" t="s">
        <v>4212</v>
      </c>
      <c r="L3951" s="151" t="s">
        <v>1579</v>
      </c>
      <c r="M3951">
        <v>79</v>
      </c>
      <c r="N3951" s="123">
        <v>17</v>
      </c>
      <c r="O3951">
        <v>2507</v>
      </c>
      <c r="P3951" s="132" t="s">
        <v>77</v>
      </c>
      <c r="Q3951" s="131">
        <v>430.17</v>
      </c>
      <c r="R3951" s="131">
        <v>68.83</v>
      </c>
      <c r="S3951" s="131"/>
      <c r="T3951" s="155"/>
      <c r="U3951" s="131"/>
      <c r="V3951" s="131">
        <v>499</v>
      </c>
      <c r="W3951"/>
      <c r="X3951" s="151" t="s">
        <v>3451</v>
      </c>
      <c r="Y3951" s="135" t="s">
        <v>55</v>
      </c>
      <c r="Z3951" s="307">
        <v>238</v>
      </c>
      <c r="AB3951" t="str">
        <f>IF(Table1[[#This Row],[TIPO2]]="costo", VLOOKUP(Table1[[#This Row],[PARTIDA PRESUPUESTAL]],'Cost Report'!G:G,1,0),"Balance")</f>
        <v>2585-003</v>
      </c>
      <c r="AC3951" s="118"/>
      <c r="AD3951" s="159">
        <f>+Table1[[#This Row],[SUBTOTAL]]+Table1[[#This Row],[IVA]]-Table1[[#This Row],[RET IVA]]-Table1[[#This Row],[RET ISR]]-Table1[[#This Row],[TOTAL]]</f>
        <v>0</v>
      </c>
      <c r="AE3951" s="150"/>
      <c r="AF3951" s="151"/>
      <c r="AG3951" s="126" t="s">
        <v>3420</v>
      </c>
      <c r="AK3951" s="306" t="str">
        <f>IF(ISNUMBER(Table1[[#This Row],[FECHA DE RECIBIDO]]), Table1[[#This Row],[FECHA DE RECIBIDO]]-DATE(2023,8,30), "")</f>
        <v/>
      </c>
    </row>
    <row r="3952" spans="1:37" ht="15" customHeight="1">
      <c r="A3952" s="152" t="s">
        <v>4299</v>
      </c>
      <c r="B3952" s="153">
        <v>1286</v>
      </c>
      <c r="C3952" s="126" t="s">
        <v>610</v>
      </c>
      <c r="D3952">
        <v>2644</v>
      </c>
      <c r="E3952" s="126" t="s">
        <v>1614</v>
      </c>
      <c r="F3952" s="125" t="s">
        <v>1607</v>
      </c>
      <c r="G3952" s="125" t="s">
        <v>134</v>
      </c>
      <c r="H3952">
        <v>172</v>
      </c>
      <c r="I3952" s="125" t="s">
        <v>1546</v>
      </c>
      <c r="J3952" s="308" t="s">
        <v>214</v>
      </c>
      <c r="K3952" s="127" t="s">
        <v>4212</v>
      </c>
      <c r="L3952" s="153" t="s">
        <v>1579</v>
      </c>
      <c r="M3952">
        <v>229</v>
      </c>
      <c r="N3952" s="123">
        <v>17</v>
      </c>
      <c r="O3952">
        <v>2508</v>
      </c>
      <c r="P3952" s="132" t="s">
        <v>77</v>
      </c>
      <c r="Q3952" s="132">
        <v>229.2</v>
      </c>
      <c r="R3952" s="132">
        <v>36.67</v>
      </c>
      <c r="S3952" s="132"/>
      <c r="T3952" s="156"/>
      <c r="U3952" s="132"/>
      <c r="V3952" s="132">
        <v>265.87</v>
      </c>
      <c r="W3952"/>
      <c r="X3952" s="153" t="s">
        <v>3451</v>
      </c>
      <c r="Y3952" s="124" t="s">
        <v>55</v>
      </c>
      <c r="Z3952" s="308">
        <v>240</v>
      </c>
      <c r="AB3952" t="str">
        <f>IF(Table1[[#This Row],[TIPO2]]="costo", VLOOKUP(Table1[[#This Row],[PARTIDA PRESUPUESTAL]],'Cost Report'!G:G,1,0),"Balance")</f>
        <v>2485-003</v>
      </c>
      <c r="AC3952" s="118"/>
      <c r="AD3952" s="159">
        <f>+Table1[[#This Row],[SUBTOTAL]]+Table1[[#This Row],[IVA]]-Table1[[#This Row],[RET IVA]]-Table1[[#This Row],[RET ISR]]-Table1[[#This Row],[TOTAL]]</f>
        <v>0</v>
      </c>
      <c r="AE3952" s="152"/>
      <c r="AF3952" s="153"/>
      <c r="AG3952" s="126" t="s">
        <v>3420</v>
      </c>
      <c r="AK3952" s="306" t="str">
        <f>IF(ISNUMBER(Table1[[#This Row],[FECHA DE RECIBIDO]]), Table1[[#This Row],[FECHA DE RECIBIDO]]-DATE(2023,8,30), "")</f>
        <v/>
      </c>
    </row>
    <row r="3953" spans="1:37" ht="15" customHeight="1">
      <c r="A3953" s="150" t="s">
        <v>4299</v>
      </c>
      <c r="B3953" s="151">
        <v>1286</v>
      </c>
      <c r="C3953" s="126" t="s">
        <v>2458</v>
      </c>
      <c r="D3953">
        <v>2645</v>
      </c>
      <c r="E3953" s="126" t="s">
        <v>3232</v>
      </c>
      <c r="F3953" s="122" t="s">
        <v>1589</v>
      </c>
      <c r="G3953" s="122" t="s">
        <v>129</v>
      </c>
      <c r="H3953">
        <v>211</v>
      </c>
      <c r="I3953" s="122" t="s">
        <v>1546</v>
      </c>
      <c r="J3953" s="307" t="s">
        <v>214</v>
      </c>
      <c r="K3953" s="127" t="s">
        <v>4212</v>
      </c>
      <c r="L3953" s="151" t="s">
        <v>1579</v>
      </c>
      <c r="M3953">
        <v>275</v>
      </c>
      <c r="N3953" s="123">
        <v>17</v>
      </c>
      <c r="O3953">
        <v>2509</v>
      </c>
      <c r="P3953" s="132" t="s">
        <v>77</v>
      </c>
      <c r="Q3953" s="131">
        <v>1350</v>
      </c>
      <c r="R3953" s="131">
        <v>216</v>
      </c>
      <c r="S3953" s="131"/>
      <c r="T3953" s="155"/>
      <c r="U3953" s="131"/>
      <c r="V3953" s="131">
        <v>1566</v>
      </c>
      <c r="W3953"/>
      <c r="X3953" s="151" t="s">
        <v>3451</v>
      </c>
      <c r="Y3953" s="135" t="s">
        <v>55</v>
      </c>
      <c r="Z3953" s="307">
        <v>244</v>
      </c>
      <c r="AB3953" t="str">
        <f>IF(Table1[[#This Row],[TIPO2]]="costo", VLOOKUP(Table1[[#This Row],[PARTIDA PRESUPUESTAL]],'Cost Report'!G:G,1,0),"Balance")</f>
        <v>2311-003</v>
      </c>
      <c r="AC3953" s="118"/>
      <c r="AD3953" s="159">
        <f>+Table1[[#This Row],[SUBTOTAL]]+Table1[[#This Row],[IVA]]-Table1[[#This Row],[RET IVA]]-Table1[[#This Row],[RET ISR]]-Table1[[#This Row],[TOTAL]]</f>
        <v>0</v>
      </c>
      <c r="AE3953" s="150"/>
      <c r="AF3953" s="151"/>
      <c r="AG3953" s="126" t="s">
        <v>3420</v>
      </c>
      <c r="AK3953" s="306" t="str">
        <f>IF(ISNUMBER(Table1[[#This Row],[FECHA DE RECIBIDO]]), Table1[[#This Row],[FECHA DE RECIBIDO]]-DATE(2023,8,30), "")</f>
        <v/>
      </c>
    </row>
    <row r="3954" spans="1:37" ht="15" customHeight="1">
      <c r="A3954" s="152" t="s">
        <v>4299</v>
      </c>
      <c r="B3954" s="153">
        <v>1286</v>
      </c>
      <c r="C3954" s="126" t="s">
        <v>2546</v>
      </c>
      <c r="D3954">
        <v>2646</v>
      </c>
      <c r="E3954" s="126" t="s">
        <v>1613</v>
      </c>
      <c r="F3954" s="125" t="s">
        <v>1593</v>
      </c>
      <c r="G3954" s="125" t="s">
        <v>109</v>
      </c>
      <c r="H3954">
        <v>726</v>
      </c>
      <c r="I3954" s="125" t="s">
        <v>1546</v>
      </c>
      <c r="J3954" s="308" t="s">
        <v>214</v>
      </c>
      <c r="K3954" s="127" t="s">
        <v>4212</v>
      </c>
      <c r="L3954" s="153" t="s">
        <v>1579</v>
      </c>
      <c r="M3954">
        <v>1009</v>
      </c>
      <c r="N3954" s="123">
        <v>17</v>
      </c>
      <c r="O3954">
        <v>2510</v>
      </c>
      <c r="P3954" s="132" t="s">
        <v>77</v>
      </c>
      <c r="Q3954" s="132">
        <v>14657.95</v>
      </c>
      <c r="R3954" s="132">
        <v>2345.27</v>
      </c>
      <c r="S3954" s="132"/>
      <c r="T3954" s="156"/>
      <c r="U3954" s="132">
        <v>183.22</v>
      </c>
      <c r="V3954" s="132">
        <v>16820</v>
      </c>
      <c r="W3954"/>
      <c r="X3954" s="153" t="s">
        <v>3451</v>
      </c>
      <c r="Y3954" s="124" t="s">
        <v>55</v>
      </c>
      <c r="Z3954" s="308">
        <v>244</v>
      </c>
      <c r="AB3954" t="str">
        <f>IF(Table1[[#This Row],[TIPO2]]="costo", VLOOKUP(Table1[[#This Row],[PARTIDA PRESUPUESTAL]],'Cost Report'!G:G,1,0),"Balance")</f>
        <v>2494-071</v>
      </c>
      <c r="AC3954" s="118"/>
      <c r="AD3954" s="159">
        <f>+Table1[[#This Row],[SUBTOTAL]]+Table1[[#This Row],[IVA]]-Table1[[#This Row],[RET IVA]]-Table1[[#This Row],[RET ISR]]-Table1[[#This Row],[TOTAL]]</f>
        <v>0</v>
      </c>
      <c r="AE3954" s="152"/>
      <c r="AF3954" s="153"/>
      <c r="AG3954" s="126" t="s">
        <v>3420</v>
      </c>
      <c r="AK3954" s="306" t="str">
        <f>IF(ISNUMBER(Table1[[#This Row],[FECHA DE RECIBIDO]]), Table1[[#This Row],[FECHA DE RECIBIDO]]-DATE(2023,8,30), "")</f>
        <v/>
      </c>
    </row>
    <row r="3955" spans="1:37" ht="15" customHeight="1">
      <c r="A3955" s="150" t="s">
        <v>4299</v>
      </c>
      <c r="B3955" s="151">
        <v>1286</v>
      </c>
      <c r="C3955" s="126" t="s">
        <v>2546</v>
      </c>
      <c r="D3955">
        <v>2647</v>
      </c>
      <c r="E3955" s="126" t="s">
        <v>1614</v>
      </c>
      <c r="F3955" s="122" t="s">
        <v>1607</v>
      </c>
      <c r="G3955" s="122" t="s">
        <v>134</v>
      </c>
      <c r="H3955">
        <v>713</v>
      </c>
      <c r="I3955" s="122" t="s">
        <v>1546</v>
      </c>
      <c r="J3955" s="307" t="s">
        <v>214</v>
      </c>
      <c r="K3955" s="127" t="s">
        <v>4212</v>
      </c>
      <c r="L3955" s="151" t="s">
        <v>1579</v>
      </c>
      <c r="M3955">
        <v>991</v>
      </c>
      <c r="N3955" s="123">
        <v>17</v>
      </c>
      <c r="O3955">
        <v>2511</v>
      </c>
      <c r="P3955" s="132" t="s">
        <v>77</v>
      </c>
      <c r="Q3955" s="131">
        <v>300</v>
      </c>
      <c r="R3955" s="131">
        <v>48</v>
      </c>
      <c r="S3955" s="131"/>
      <c r="T3955" s="155"/>
      <c r="U3955" s="131"/>
      <c r="V3955" s="131">
        <v>348</v>
      </c>
      <c r="W3955"/>
      <c r="X3955" s="151" t="s">
        <v>3451</v>
      </c>
      <c r="Y3955" s="135" t="s">
        <v>55</v>
      </c>
      <c r="Z3955" s="307">
        <v>246</v>
      </c>
      <c r="AB3955" t="str">
        <f>IF(Table1[[#This Row],[TIPO2]]="costo", VLOOKUP(Table1[[#This Row],[PARTIDA PRESUPUESTAL]],'Cost Report'!G:G,1,0),"Balance")</f>
        <v>2494-071</v>
      </c>
      <c r="AC3955" s="118"/>
      <c r="AD3955" s="159">
        <f>+Table1[[#This Row],[SUBTOTAL]]+Table1[[#This Row],[IVA]]-Table1[[#This Row],[RET IVA]]-Table1[[#This Row],[RET ISR]]-Table1[[#This Row],[TOTAL]]</f>
        <v>0</v>
      </c>
      <c r="AE3955" s="150"/>
      <c r="AF3955" s="151"/>
      <c r="AG3955" s="126" t="s">
        <v>3420</v>
      </c>
      <c r="AK3955" s="306" t="str">
        <f>IF(ISNUMBER(Table1[[#This Row],[FECHA DE RECIBIDO]]), Table1[[#This Row],[FECHA DE RECIBIDO]]-DATE(2023,8,30), "")</f>
        <v/>
      </c>
    </row>
    <row r="3956" spans="1:37" ht="15" customHeight="1">
      <c r="A3956" s="152" t="s">
        <v>4299</v>
      </c>
      <c r="B3956" s="153">
        <v>1286</v>
      </c>
      <c r="C3956" s="126" t="s">
        <v>1511</v>
      </c>
      <c r="D3956">
        <v>2648</v>
      </c>
      <c r="E3956" s="126" t="s">
        <v>2107</v>
      </c>
      <c r="F3956" s="125" t="s">
        <v>1607</v>
      </c>
      <c r="G3956" s="125" t="s">
        <v>134</v>
      </c>
      <c r="H3956">
        <v>727</v>
      </c>
      <c r="I3956" s="125" t="s">
        <v>1546</v>
      </c>
      <c r="J3956" s="308" t="s">
        <v>214</v>
      </c>
      <c r="K3956" s="127" t="s">
        <v>4212</v>
      </c>
      <c r="L3956" s="153" t="s">
        <v>1579</v>
      </c>
      <c r="M3956">
        <v>1010</v>
      </c>
      <c r="N3956" s="123">
        <v>17</v>
      </c>
      <c r="O3956">
        <v>2512</v>
      </c>
      <c r="P3956" s="132" t="s">
        <v>77</v>
      </c>
      <c r="Q3956" s="132">
        <v>180</v>
      </c>
      <c r="R3956" s="132">
        <v>28.8</v>
      </c>
      <c r="S3956" s="132"/>
      <c r="T3956" s="156"/>
      <c r="U3956" s="132"/>
      <c r="V3956" s="132">
        <v>208.8</v>
      </c>
      <c r="W3956"/>
      <c r="X3956" s="153" t="s">
        <v>3451</v>
      </c>
      <c r="Y3956" s="124" t="s">
        <v>55</v>
      </c>
      <c r="Z3956" s="308">
        <v>247</v>
      </c>
      <c r="AB3956" t="str">
        <f>IF(Table1[[#This Row],[TIPO2]]="costo", VLOOKUP(Table1[[#This Row],[PARTIDA PRESUPUESTAL]],'Cost Report'!G:G,1,0),"Balance")</f>
        <v>2494-015</v>
      </c>
      <c r="AC3956" s="118"/>
      <c r="AD3956" s="159">
        <f>+Table1[[#This Row],[SUBTOTAL]]+Table1[[#This Row],[IVA]]-Table1[[#This Row],[RET IVA]]-Table1[[#This Row],[RET ISR]]-Table1[[#This Row],[TOTAL]]</f>
        <v>0</v>
      </c>
      <c r="AE3956" s="152"/>
      <c r="AF3956" s="153"/>
      <c r="AG3956" s="126" t="s">
        <v>3420</v>
      </c>
      <c r="AK3956" s="306" t="str">
        <f>IF(ISNUMBER(Table1[[#This Row],[FECHA DE RECIBIDO]]), Table1[[#This Row],[FECHA DE RECIBIDO]]-DATE(2023,8,30), "")</f>
        <v/>
      </c>
    </row>
    <row r="3957" spans="1:37" ht="15" customHeight="1">
      <c r="A3957" s="150" t="s">
        <v>4299</v>
      </c>
      <c r="B3957" s="151">
        <v>1286</v>
      </c>
      <c r="C3957" s="126" t="s">
        <v>610</v>
      </c>
      <c r="D3957">
        <v>2649</v>
      </c>
      <c r="E3957" s="126" t="s">
        <v>1609</v>
      </c>
      <c r="F3957" s="122" t="s">
        <v>1607</v>
      </c>
      <c r="G3957" s="122" t="s">
        <v>134</v>
      </c>
      <c r="H3957">
        <v>728</v>
      </c>
      <c r="I3957" s="122" t="s">
        <v>1546</v>
      </c>
      <c r="J3957" s="307" t="s">
        <v>214</v>
      </c>
      <c r="K3957" s="127" t="s">
        <v>4212</v>
      </c>
      <c r="L3957" s="151" t="s">
        <v>1579</v>
      </c>
      <c r="M3957">
        <v>1011</v>
      </c>
      <c r="N3957" s="123">
        <v>17</v>
      </c>
      <c r="O3957">
        <v>2513</v>
      </c>
      <c r="P3957" s="132" t="s">
        <v>77</v>
      </c>
      <c r="Q3957" s="131">
        <v>120</v>
      </c>
      <c r="R3957" s="131">
        <v>19.2</v>
      </c>
      <c r="S3957" s="131"/>
      <c r="T3957" s="155"/>
      <c r="U3957" s="131"/>
      <c r="V3957" s="131">
        <v>139.19999999999999</v>
      </c>
      <c r="W3957"/>
      <c r="X3957" s="151" t="s">
        <v>3451</v>
      </c>
      <c r="Y3957" s="135" t="s">
        <v>55</v>
      </c>
      <c r="Z3957" s="307">
        <v>239</v>
      </c>
      <c r="AB3957" t="str">
        <f>IF(Table1[[#This Row],[TIPO2]]="costo", VLOOKUP(Table1[[#This Row],[PARTIDA PRESUPUESTAL]],'Cost Report'!G:G,1,0),"Balance")</f>
        <v>2485-003</v>
      </c>
      <c r="AC3957" s="118"/>
      <c r="AD3957" s="159">
        <f>+Table1[[#This Row],[SUBTOTAL]]+Table1[[#This Row],[IVA]]-Table1[[#This Row],[RET IVA]]-Table1[[#This Row],[RET ISR]]-Table1[[#This Row],[TOTAL]]</f>
        <v>0</v>
      </c>
      <c r="AE3957" s="150"/>
      <c r="AF3957" s="151"/>
      <c r="AG3957" s="126" t="s">
        <v>3420</v>
      </c>
      <c r="AK3957" s="306" t="str">
        <f>IF(ISNUMBER(Table1[[#This Row],[FECHA DE RECIBIDO]]), Table1[[#This Row],[FECHA DE RECIBIDO]]-DATE(2023,8,30), "")</f>
        <v/>
      </c>
    </row>
    <row r="3958" spans="1:37" ht="15" customHeight="1">
      <c r="A3958" s="152" t="s">
        <v>4299</v>
      </c>
      <c r="B3958" s="153">
        <v>1286</v>
      </c>
      <c r="C3958" s="126" t="s">
        <v>1511</v>
      </c>
      <c r="D3958">
        <v>2650</v>
      </c>
      <c r="E3958" s="126" t="s">
        <v>1992</v>
      </c>
      <c r="F3958" s="125" t="s">
        <v>1602</v>
      </c>
      <c r="G3958" s="125" t="s">
        <v>1617</v>
      </c>
      <c r="H3958">
        <v>618</v>
      </c>
      <c r="I3958" s="125" t="s">
        <v>1546</v>
      </c>
      <c r="J3958" s="308" t="s">
        <v>214</v>
      </c>
      <c r="K3958" s="127" t="s">
        <v>4212</v>
      </c>
      <c r="L3958" s="153" t="s">
        <v>1579</v>
      </c>
      <c r="M3958">
        <v>873</v>
      </c>
      <c r="N3958" s="123">
        <v>17</v>
      </c>
      <c r="O3958">
        <v>2514</v>
      </c>
      <c r="P3958" s="132" t="s">
        <v>77</v>
      </c>
      <c r="Q3958" s="132">
        <v>375.44</v>
      </c>
      <c r="R3958" s="132">
        <v>60.07</v>
      </c>
      <c r="S3958" s="132"/>
      <c r="T3958" s="156"/>
      <c r="U3958" s="132"/>
      <c r="V3958" s="132">
        <v>435.51</v>
      </c>
      <c r="W3958"/>
      <c r="X3958" s="153" t="s">
        <v>3451</v>
      </c>
      <c r="Y3958" s="124" t="s">
        <v>55</v>
      </c>
      <c r="Z3958" s="308">
        <v>247</v>
      </c>
      <c r="AB3958" t="str">
        <f>IF(Table1[[#This Row],[TIPO2]]="costo", VLOOKUP(Table1[[#This Row],[PARTIDA PRESUPUESTAL]],'Cost Report'!G:G,1,0),"Balance")</f>
        <v>2494-015</v>
      </c>
      <c r="AC3958" s="118"/>
      <c r="AD3958" s="159">
        <f>+Table1[[#This Row],[SUBTOTAL]]+Table1[[#This Row],[IVA]]-Table1[[#This Row],[RET IVA]]-Table1[[#This Row],[RET ISR]]-Table1[[#This Row],[TOTAL]]</f>
        <v>0</v>
      </c>
      <c r="AE3958" s="152"/>
      <c r="AF3958" s="153"/>
      <c r="AG3958" s="126" t="s">
        <v>3420</v>
      </c>
      <c r="AK3958" s="306" t="str">
        <f>IF(ISNUMBER(Table1[[#This Row],[FECHA DE RECIBIDO]]), Table1[[#This Row],[FECHA DE RECIBIDO]]-DATE(2023,8,30), "")</f>
        <v/>
      </c>
    </row>
    <row r="3959" spans="1:37" ht="15" customHeight="1">
      <c r="A3959" s="150" t="s">
        <v>4299</v>
      </c>
      <c r="B3959" s="151">
        <v>1286</v>
      </c>
      <c r="C3959" s="126" t="s">
        <v>2458</v>
      </c>
      <c r="D3959">
        <v>2651</v>
      </c>
      <c r="E3959" s="126" t="s">
        <v>1603</v>
      </c>
      <c r="F3959" s="122" t="s">
        <v>1607</v>
      </c>
      <c r="G3959" s="122" t="s">
        <v>134</v>
      </c>
      <c r="H3959">
        <v>610</v>
      </c>
      <c r="I3959" s="122" t="s">
        <v>1546</v>
      </c>
      <c r="J3959" s="307" t="s">
        <v>214</v>
      </c>
      <c r="K3959" s="127" t="s">
        <v>4212</v>
      </c>
      <c r="L3959" s="151" t="s">
        <v>1579</v>
      </c>
      <c r="M3959">
        <v>864</v>
      </c>
      <c r="N3959" s="123">
        <v>17</v>
      </c>
      <c r="O3959">
        <v>2515</v>
      </c>
      <c r="P3959" s="132" t="s">
        <v>77</v>
      </c>
      <c r="Q3959" s="131">
        <v>1107.33</v>
      </c>
      <c r="R3959" s="131">
        <v>177.17</v>
      </c>
      <c r="S3959" s="131"/>
      <c r="T3959" s="155"/>
      <c r="U3959" s="131"/>
      <c r="V3959" s="131">
        <v>1284.5</v>
      </c>
      <c r="W3959"/>
      <c r="X3959" s="151" t="s">
        <v>3451</v>
      </c>
      <c r="Y3959" s="135" t="s">
        <v>55</v>
      </c>
      <c r="Z3959" s="307">
        <v>246</v>
      </c>
      <c r="AB3959" t="str">
        <f>IF(Table1[[#This Row],[TIPO2]]="costo", VLOOKUP(Table1[[#This Row],[PARTIDA PRESUPUESTAL]],'Cost Report'!G:G,1,0),"Balance")</f>
        <v>2311-003</v>
      </c>
      <c r="AC3959" s="118"/>
      <c r="AD3959" s="159">
        <f>+Table1[[#This Row],[SUBTOTAL]]+Table1[[#This Row],[IVA]]-Table1[[#This Row],[RET IVA]]-Table1[[#This Row],[RET ISR]]-Table1[[#This Row],[TOTAL]]</f>
        <v>0</v>
      </c>
      <c r="AE3959" s="150"/>
      <c r="AF3959" s="151"/>
      <c r="AG3959" s="126" t="s">
        <v>3420</v>
      </c>
      <c r="AK3959" s="306" t="str">
        <f>IF(ISNUMBER(Table1[[#This Row],[FECHA DE RECIBIDO]]), Table1[[#This Row],[FECHA DE RECIBIDO]]-DATE(2023,8,30), "")</f>
        <v/>
      </c>
    </row>
    <row r="3960" spans="1:37" ht="15" customHeight="1">
      <c r="A3960" s="152" t="s">
        <v>4299</v>
      </c>
      <c r="B3960" s="153">
        <v>1286</v>
      </c>
      <c r="C3960" s="126" t="s">
        <v>2532</v>
      </c>
      <c r="D3960">
        <v>2652</v>
      </c>
      <c r="E3960" s="126" t="s">
        <v>3272</v>
      </c>
      <c r="F3960" s="125" t="s">
        <v>1607</v>
      </c>
      <c r="G3960" s="125" t="s">
        <v>134</v>
      </c>
      <c r="H3960">
        <v>286</v>
      </c>
      <c r="I3960" s="125" t="s">
        <v>1546</v>
      </c>
      <c r="J3960" s="308" t="s">
        <v>214</v>
      </c>
      <c r="K3960" s="127" t="s">
        <v>4212</v>
      </c>
      <c r="L3960" s="153" t="s">
        <v>1579</v>
      </c>
      <c r="M3960">
        <v>380</v>
      </c>
      <c r="N3960" s="123">
        <v>17</v>
      </c>
      <c r="O3960">
        <v>2516</v>
      </c>
      <c r="P3960" s="132" t="s">
        <v>77</v>
      </c>
      <c r="Q3960" s="132">
        <v>687.6</v>
      </c>
      <c r="R3960" s="132">
        <v>110.01</v>
      </c>
      <c r="S3960" s="132"/>
      <c r="T3960" s="156"/>
      <c r="U3960" s="132"/>
      <c r="V3960" s="132">
        <v>797.61</v>
      </c>
      <c r="W3960"/>
      <c r="X3960" s="153" t="s">
        <v>3451</v>
      </c>
      <c r="Y3960" s="124" t="s">
        <v>55</v>
      </c>
      <c r="Z3960" s="308">
        <v>250</v>
      </c>
      <c r="AB3960" t="str">
        <f>IF(Table1[[#This Row],[TIPO2]]="costo", VLOOKUP(Table1[[#This Row],[PARTIDA PRESUPUESTAL]],'Cost Report'!G:G,1,0),"Balance")</f>
        <v>2494-043</v>
      </c>
      <c r="AC3960" s="118"/>
      <c r="AD3960" s="159">
        <f>+Table1[[#This Row],[SUBTOTAL]]+Table1[[#This Row],[IVA]]-Table1[[#This Row],[RET IVA]]-Table1[[#This Row],[RET ISR]]-Table1[[#This Row],[TOTAL]]</f>
        <v>0</v>
      </c>
      <c r="AE3960" s="152"/>
      <c r="AF3960" s="153"/>
      <c r="AG3960" s="126" t="s">
        <v>3420</v>
      </c>
      <c r="AK3960" s="306" t="str">
        <f>IF(ISNUMBER(Table1[[#This Row],[FECHA DE RECIBIDO]]), Table1[[#This Row],[FECHA DE RECIBIDO]]-DATE(2023,8,30), "")</f>
        <v/>
      </c>
    </row>
    <row r="3961" spans="1:37" ht="15" customHeight="1">
      <c r="A3961" s="150" t="s">
        <v>4299</v>
      </c>
      <c r="B3961" s="151">
        <v>1286</v>
      </c>
      <c r="C3961" s="126" t="s">
        <v>2461</v>
      </c>
      <c r="D3961">
        <v>2653</v>
      </c>
      <c r="E3961" s="126" t="s">
        <v>3272</v>
      </c>
      <c r="F3961" s="122" t="s">
        <v>1607</v>
      </c>
      <c r="G3961" s="122" t="s">
        <v>134</v>
      </c>
      <c r="H3961">
        <v>99</v>
      </c>
      <c r="I3961" s="122" t="s">
        <v>1546</v>
      </c>
      <c r="J3961" s="307" t="s">
        <v>214</v>
      </c>
      <c r="K3961" s="127" t="s">
        <v>4212</v>
      </c>
      <c r="L3961" s="151" t="s">
        <v>1579</v>
      </c>
      <c r="M3961">
        <v>134</v>
      </c>
      <c r="N3961" s="123">
        <v>17</v>
      </c>
      <c r="O3961">
        <v>2517</v>
      </c>
      <c r="P3961" s="132" t="s">
        <v>77</v>
      </c>
      <c r="Q3961" s="131">
        <v>2034.49</v>
      </c>
      <c r="R3961" s="131">
        <v>325.52</v>
      </c>
      <c r="S3961" s="131"/>
      <c r="T3961" s="155"/>
      <c r="U3961" s="131"/>
      <c r="V3961" s="131">
        <v>2360.0100000000002</v>
      </c>
      <c r="W3961"/>
      <c r="X3961" s="151" t="s">
        <v>3451</v>
      </c>
      <c r="Y3961" s="135" t="s">
        <v>55</v>
      </c>
      <c r="Z3961" s="307">
        <v>250</v>
      </c>
      <c r="AB3961" t="str">
        <f>IF(Table1[[#This Row],[TIPO2]]="costo", VLOOKUP(Table1[[#This Row],[PARTIDA PRESUPUESTAL]],'Cost Report'!G:G,1,0),"Balance")</f>
        <v>2385-003</v>
      </c>
      <c r="AC3961" s="118"/>
      <c r="AD3961" s="159">
        <f>+Table1[[#This Row],[SUBTOTAL]]+Table1[[#This Row],[IVA]]-Table1[[#This Row],[RET IVA]]-Table1[[#This Row],[RET ISR]]-Table1[[#This Row],[TOTAL]]</f>
        <v>0</v>
      </c>
      <c r="AE3961" s="150"/>
      <c r="AF3961" s="151"/>
      <c r="AG3961" s="126" t="s">
        <v>3420</v>
      </c>
      <c r="AK3961" s="306" t="str">
        <f>IF(ISNUMBER(Table1[[#This Row],[FECHA DE RECIBIDO]]), Table1[[#This Row],[FECHA DE RECIBIDO]]-DATE(2023,8,30), "")</f>
        <v/>
      </c>
    </row>
    <row r="3962" spans="1:37" ht="15" customHeight="1">
      <c r="A3962" s="152" t="s">
        <v>4299</v>
      </c>
      <c r="B3962" s="153">
        <v>1286</v>
      </c>
      <c r="C3962" s="126" t="s">
        <v>2532</v>
      </c>
      <c r="D3962">
        <v>2654</v>
      </c>
      <c r="E3962" s="126" t="s">
        <v>3272</v>
      </c>
      <c r="F3962" s="125" t="s">
        <v>1607</v>
      </c>
      <c r="G3962" s="125" t="s">
        <v>134</v>
      </c>
      <c r="H3962">
        <v>286</v>
      </c>
      <c r="I3962" s="125" t="s">
        <v>1546</v>
      </c>
      <c r="J3962" s="308" t="s">
        <v>214</v>
      </c>
      <c r="K3962" s="127" t="s">
        <v>4212</v>
      </c>
      <c r="L3962" s="153" t="s">
        <v>1579</v>
      </c>
      <c r="M3962">
        <v>380</v>
      </c>
      <c r="N3962" s="123">
        <v>17</v>
      </c>
      <c r="O3962">
        <v>2518</v>
      </c>
      <c r="P3962" s="132" t="s">
        <v>77</v>
      </c>
      <c r="Q3962" s="132">
        <v>2849.7</v>
      </c>
      <c r="R3962" s="132">
        <v>455.95</v>
      </c>
      <c r="S3962" s="132"/>
      <c r="T3962" s="156"/>
      <c r="U3962" s="132"/>
      <c r="V3962" s="132">
        <v>3305.6499999999996</v>
      </c>
      <c r="W3962"/>
      <c r="X3962" s="153" t="s">
        <v>3451</v>
      </c>
      <c r="Y3962" s="124" t="s">
        <v>55</v>
      </c>
      <c r="Z3962" s="308">
        <v>250</v>
      </c>
      <c r="AB3962" t="str">
        <f>IF(Table1[[#This Row],[TIPO2]]="costo", VLOOKUP(Table1[[#This Row],[PARTIDA PRESUPUESTAL]],'Cost Report'!G:G,1,0),"Balance")</f>
        <v>2494-043</v>
      </c>
      <c r="AC3962" s="118"/>
      <c r="AD3962" s="159">
        <f>+Table1[[#This Row],[SUBTOTAL]]+Table1[[#This Row],[IVA]]-Table1[[#This Row],[RET IVA]]-Table1[[#This Row],[RET ISR]]-Table1[[#This Row],[TOTAL]]</f>
        <v>0</v>
      </c>
      <c r="AE3962" s="152"/>
      <c r="AF3962" s="153"/>
      <c r="AG3962" s="126" t="s">
        <v>3420</v>
      </c>
      <c r="AK3962" s="306" t="str">
        <f>IF(ISNUMBER(Table1[[#This Row],[FECHA DE RECIBIDO]]), Table1[[#This Row],[FECHA DE RECIBIDO]]-DATE(2023,8,30), "")</f>
        <v/>
      </c>
    </row>
    <row r="3963" spans="1:37" ht="15" customHeight="1">
      <c r="A3963" s="150" t="s">
        <v>4300</v>
      </c>
      <c r="B3963" s="151">
        <v>1287</v>
      </c>
      <c r="C3963" s="126" t="s">
        <v>2566</v>
      </c>
      <c r="D3963">
        <v>2655</v>
      </c>
      <c r="E3963" s="126" t="s">
        <v>3373</v>
      </c>
      <c r="F3963" s="122" t="s">
        <v>1593</v>
      </c>
      <c r="G3963" s="122" t="s">
        <v>109</v>
      </c>
      <c r="H3963">
        <v>305</v>
      </c>
      <c r="I3963" s="122" t="s">
        <v>1546</v>
      </c>
      <c r="J3963" s="307" t="s">
        <v>214</v>
      </c>
      <c r="K3963" s="127" t="s">
        <v>4212</v>
      </c>
      <c r="L3963" s="151" t="s">
        <v>1579</v>
      </c>
      <c r="M3963">
        <v>410</v>
      </c>
      <c r="N3963" s="123">
        <v>17</v>
      </c>
      <c r="O3963">
        <v>2519</v>
      </c>
      <c r="P3963" s="132" t="s">
        <v>77</v>
      </c>
      <c r="Q3963" s="131">
        <v>165.58</v>
      </c>
      <c r="R3963" s="131">
        <v>26.49</v>
      </c>
      <c r="S3963" s="131"/>
      <c r="T3963" s="155"/>
      <c r="U3963" s="131">
        <v>2.0699999999999998</v>
      </c>
      <c r="V3963" s="131">
        <v>190.00000000000003</v>
      </c>
      <c r="W3963"/>
      <c r="X3963" s="151" t="s">
        <v>3451</v>
      </c>
      <c r="Y3963" s="135" t="s">
        <v>55</v>
      </c>
      <c r="Z3963" s="307">
        <v>243</v>
      </c>
      <c r="AB3963" t="str">
        <f>IF(Table1[[#This Row],[TIPO2]]="costo", VLOOKUP(Table1[[#This Row],[PARTIDA PRESUPUESTAL]],'Cost Report'!G:G,1,0),"Balance")</f>
        <v>2594-003</v>
      </c>
      <c r="AC3963" s="118"/>
      <c r="AD3963" s="159">
        <f>+Table1[[#This Row],[SUBTOTAL]]+Table1[[#This Row],[IVA]]-Table1[[#This Row],[RET IVA]]-Table1[[#This Row],[RET ISR]]-Table1[[#This Row],[TOTAL]]</f>
        <v>0</v>
      </c>
      <c r="AE3963" s="150"/>
      <c r="AF3963" s="151"/>
      <c r="AG3963" s="126" t="s">
        <v>3420</v>
      </c>
      <c r="AK3963" s="306" t="str">
        <f>IF(ISNUMBER(Table1[[#This Row],[FECHA DE RECIBIDO]]), Table1[[#This Row],[FECHA DE RECIBIDO]]-DATE(2023,8,30), "")</f>
        <v/>
      </c>
    </row>
    <row r="3964" spans="1:37" ht="15" customHeight="1">
      <c r="A3964" s="152" t="s">
        <v>4300</v>
      </c>
      <c r="B3964" s="153">
        <v>1287</v>
      </c>
      <c r="C3964" s="126" t="s">
        <v>2566</v>
      </c>
      <c r="D3964">
        <v>2656</v>
      </c>
      <c r="E3964" s="126" t="s">
        <v>3373</v>
      </c>
      <c r="F3964" s="125" t="s">
        <v>1593</v>
      </c>
      <c r="G3964" s="125" t="s">
        <v>109</v>
      </c>
      <c r="H3964">
        <v>305</v>
      </c>
      <c r="I3964" s="125" t="s">
        <v>1546</v>
      </c>
      <c r="J3964" s="308" t="s">
        <v>214</v>
      </c>
      <c r="K3964" s="127" t="s">
        <v>4212</v>
      </c>
      <c r="L3964" s="153" t="s">
        <v>1579</v>
      </c>
      <c r="M3964">
        <v>410</v>
      </c>
      <c r="N3964" s="123">
        <v>17</v>
      </c>
      <c r="O3964">
        <v>2520</v>
      </c>
      <c r="P3964" s="132" t="s">
        <v>77</v>
      </c>
      <c r="Q3964" s="132">
        <v>1472.77</v>
      </c>
      <c r="R3964" s="132">
        <v>235.64</v>
      </c>
      <c r="S3964" s="132"/>
      <c r="T3964" s="156"/>
      <c r="U3964" s="132">
        <v>18.41</v>
      </c>
      <c r="V3964" s="132">
        <v>1689.9999999999998</v>
      </c>
      <c r="W3964"/>
      <c r="X3964" s="153" t="s">
        <v>3451</v>
      </c>
      <c r="Y3964" s="124" t="s">
        <v>55</v>
      </c>
      <c r="Z3964" s="308">
        <v>243</v>
      </c>
      <c r="AB3964" t="str">
        <f>IF(Table1[[#This Row],[TIPO2]]="costo", VLOOKUP(Table1[[#This Row],[PARTIDA PRESUPUESTAL]],'Cost Report'!G:G,1,0),"Balance")</f>
        <v>2594-003</v>
      </c>
      <c r="AC3964" s="118"/>
      <c r="AD3964" s="159">
        <f>+Table1[[#This Row],[SUBTOTAL]]+Table1[[#This Row],[IVA]]-Table1[[#This Row],[RET IVA]]-Table1[[#This Row],[RET ISR]]-Table1[[#This Row],[TOTAL]]</f>
        <v>0</v>
      </c>
      <c r="AE3964" s="152"/>
      <c r="AF3964" s="153"/>
      <c r="AG3964" s="126" t="s">
        <v>3420</v>
      </c>
      <c r="AK3964" s="306" t="str">
        <f>IF(ISNUMBER(Table1[[#This Row],[FECHA DE RECIBIDO]]), Table1[[#This Row],[FECHA DE RECIBIDO]]-DATE(2023,8,30), "")</f>
        <v/>
      </c>
    </row>
    <row r="3965" spans="1:37" ht="15" customHeight="1">
      <c r="A3965" s="150" t="s">
        <v>4300</v>
      </c>
      <c r="B3965" s="151">
        <v>1287</v>
      </c>
      <c r="C3965" s="126" t="s">
        <v>2565</v>
      </c>
      <c r="D3965">
        <v>2657</v>
      </c>
      <c r="E3965" s="126" t="s">
        <v>3272</v>
      </c>
      <c r="F3965" s="122" t="s">
        <v>1607</v>
      </c>
      <c r="G3965" s="122" t="s">
        <v>134</v>
      </c>
      <c r="H3965">
        <v>99</v>
      </c>
      <c r="I3965" s="122" t="s">
        <v>1546</v>
      </c>
      <c r="J3965" s="307" t="s">
        <v>214</v>
      </c>
      <c r="K3965" s="127" t="s">
        <v>4212</v>
      </c>
      <c r="L3965" s="151" t="s">
        <v>1579</v>
      </c>
      <c r="M3965">
        <v>134</v>
      </c>
      <c r="N3965" s="123">
        <v>17</v>
      </c>
      <c r="O3965">
        <v>2521</v>
      </c>
      <c r="P3965" s="132" t="s">
        <v>77</v>
      </c>
      <c r="Q3965" s="131">
        <v>1652.76</v>
      </c>
      <c r="R3965" s="131">
        <v>264.44</v>
      </c>
      <c r="S3965" s="131"/>
      <c r="T3965" s="155"/>
      <c r="U3965" s="131"/>
      <c r="V3965" s="131">
        <v>1917.2</v>
      </c>
      <c r="W3965"/>
      <c r="X3965" s="151" t="s">
        <v>3451</v>
      </c>
      <c r="Y3965" s="135" t="s">
        <v>55</v>
      </c>
      <c r="Z3965" s="307">
        <v>218</v>
      </c>
      <c r="AB3965" t="str">
        <f>IF(Table1[[#This Row],[TIPO2]]="costo", VLOOKUP(Table1[[#This Row],[PARTIDA PRESUPUESTAL]],'Cost Report'!G:G,1,0),"Balance")</f>
        <v>2585-003</v>
      </c>
      <c r="AC3965" s="118"/>
      <c r="AD3965" s="159">
        <f>+Table1[[#This Row],[SUBTOTAL]]+Table1[[#This Row],[IVA]]-Table1[[#This Row],[RET IVA]]-Table1[[#This Row],[RET ISR]]-Table1[[#This Row],[TOTAL]]</f>
        <v>0</v>
      </c>
      <c r="AE3965" s="150"/>
      <c r="AF3965" s="151"/>
      <c r="AG3965" s="126" t="s">
        <v>3420</v>
      </c>
      <c r="AK3965" s="306" t="str">
        <f>IF(ISNUMBER(Table1[[#This Row],[FECHA DE RECIBIDO]]), Table1[[#This Row],[FECHA DE RECIBIDO]]-DATE(2023,8,30), "")</f>
        <v/>
      </c>
    </row>
    <row r="3966" spans="1:37" ht="15" customHeight="1">
      <c r="A3966" s="152" t="s">
        <v>4300</v>
      </c>
      <c r="B3966" s="153">
        <v>1287</v>
      </c>
      <c r="C3966" s="126" t="s">
        <v>2566</v>
      </c>
      <c r="D3966">
        <v>2658</v>
      </c>
      <c r="E3966" s="126" t="s">
        <v>3283</v>
      </c>
      <c r="F3966" s="125" t="s">
        <v>1607</v>
      </c>
      <c r="G3966" s="125" t="s">
        <v>134</v>
      </c>
      <c r="H3966">
        <v>729</v>
      </c>
      <c r="I3966" s="125" t="s">
        <v>1546</v>
      </c>
      <c r="J3966" s="308" t="s">
        <v>214</v>
      </c>
      <c r="K3966" s="127" t="s">
        <v>4212</v>
      </c>
      <c r="L3966" s="153" t="s">
        <v>1579</v>
      </c>
      <c r="M3966">
        <v>1012</v>
      </c>
      <c r="N3966" s="123">
        <v>17</v>
      </c>
      <c r="O3966">
        <v>2522</v>
      </c>
      <c r="P3966" s="132" t="s">
        <v>77</v>
      </c>
      <c r="Q3966" s="132">
        <v>865.09</v>
      </c>
      <c r="R3966" s="132">
        <v>138.41</v>
      </c>
      <c r="S3966" s="132"/>
      <c r="T3966" s="156"/>
      <c r="U3966" s="132"/>
      <c r="V3966" s="132">
        <v>1003.5</v>
      </c>
      <c r="W3966"/>
      <c r="X3966" s="153" t="s">
        <v>3451</v>
      </c>
      <c r="Y3966" s="124" t="s">
        <v>55</v>
      </c>
      <c r="Z3966" s="308">
        <v>218</v>
      </c>
      <c r="AB3966" t="str">
        <f>IF(Table1[[#This Row],[TIPO2]]="costo", VLOOKUP(Table1[[#This Row],[PARTIDA PRESUPUESTAL]],'Cost Report'!G:G,1,0),"Balance")</f>
        <v>2594-003</v>
      </c>
      <c r="AC3966" s="118"/>
      <c r="AD3966" s="159">
        <f>+Table1[[#This Row],[SUBTOTAL]]+Table1[[#This Row],[IVA]]-Table1[[#This Row],[RET IVA]]-Table1[[#This Row],[RET ISR]]-Table1[[#This Row],[TOTAL]]</f>
        <v>0</v>
      </c>
      <c r="AE3966" s="152"/>
      <c r="AF3966" s="153"/>
      <c r="AG3966" s="126" t="s">
        <v>3420</v>
      </c>
      <c r="AK3966" s="306" t="str">
        <f>IF(ISNUMBER(Table1[[#This Row],[FECHA DE RECIBIDO]]), Table1[[#This Row],[FECHA DE RECIBIDO]]-DATE(2023,8,30), "")</f>
        <v/>
      </c>
    </row>
    <row r="3967" spans="1:37" ht="15" customHeight="1">
      <c r="A3967" s="150" t="s">
        <v>4300</v>
      </c>
      <c r="B3967" s="151">
        <v>1287</v>
      </c>
      <c r="C3967" s="126" t="s">
        <v>2565</v>
      </c>
      <c r="D3967">
        <v>2659</v>
      </c>
      <c r="E3967" s="126" t="s">
        <v>3356</v>
      </c>
      <c r="F3967" s="122" t="s">
        <v>1607</v>
      </c>
      <c r="G3967" s="122" t="s">
        <v>134</v>
      </c>
      <c r="H3967">
        <v>173</v>
      </c>
      <c r="I3967" s="122" t="s">
        <v>1546</v>
      </c>
      <c r="J3967" s="307" t="s">
        <v>214</v>
      </c>
      <c r="K3967" s="127" t="s">
        <v>4212</v>
      </c>
      <c r="L3967" s="151" t="s">
        <v>1579</v>
      </c>
      <c r="M3967">
        <v>230</v>
      </c>
      <c r="N3967" s="123">
        <v>17</v>
      </c>
      <c r="O3967">
        <v>2523</v>
      </c>
      <c r="P3967" s="132" t="s">
        <v>77</v>
      </c>
      <c r="Q3967" s="131">
        <v>1354.03</v>
      </c>
      <c r="R3967" s="131">
        <v>2.61</v>
      </c>
      <c r="S3967" s="131"/>
      <c r="T3967" s="155"/>
      <c r="U3967" s="131"/>
      <c r="V3967" s="131">
        <v>1356.6399999999999</v>
      </c>
      <c r="W3967"/>
      <c r="X3967" s="151" t="s">
        <v>3451</v>
      </c>
      <c r="Y3967" s="135" t="s">
        <v>55</v>
      </c>
      <c r="Z3967" s="307">
        <v>218</v>
      </c>
      <c r="AB3967" t="str">
        <f>IF(Table1[[#This Row],[TIPO2]]="costo", VLOOKUP(Table1[[#This Row],[PARTIDA PRESUPUESTAL]],'Cost Report'!G:G,1,0),"Balance")</f>
        <v>2585-003</v>
      </c>
      <c r="AC3967" s="118"/>
      <c r="AD3967" s="159">
        <f>+Table1[[#This Row],[SUBTOTAL]]+Table1[[#This Row],[IVA]]-Table1[[#This Row],[RET IVA]]-Table1[[#This Row],[RET ISR]]-Table1[[#This Row],[TOTAL]]</f>
        <v>0</v>
      </c>
      <c r="AE3967" s="150"/>
      <c r="AF3967" s="151"/>
      <c r="AG3967" s="126" t="s">
        <v>3420</v>
      </c>
      <c r="AK3967" s="306" t="str">
        <f>IF(ISNUMBER(Table1[[#This Row],[FECHA DE RECIBIDO]]), Table1[[#This Row],[FECHA DE RECIBIDO]]-DATE(2023,8,30), "")</f>
        <v/>
      </c>
    </row>
    <row r="3968" spans="1:37" ht="15" customHeight="1">
      <c r="A3968" s="152" t="s">
        <v>4300</v>
      </c>
      <c r="B3968" s="153">
        <v>1287</v>
      </c>
      <c r="C3968" s="126" t="s">
        <v>2565</v>
      </c>
      <c r="D3968">
        <v>2660</v>
      </c>
      <c r="E3968" s="126" t="s">
        <v>1596</v>
      </c>
      <c r="F3968" s="125" t="s">
        <v>1602</v>
      </c>
      <c r="G3968" s="125" t="s">
        <v>1617</v>
      </c>
      <c r="H3968">
        <v>730</v>
      </c>
      <c r="I3968" s="125" t="s">
        <v>1546</v>
      </c>
      <c r="J3968" s="308" t="s">
        <v>214</v>
      </c>
      <c r="K3968" s="127" t="s">
        <v>4212</v>
      </c>
      <c r="L3968" s="153" t="s">
        <v>1579</v>
      </c>
      <c r="M3968">
        <v>1013</v>
      </c>
      <c r="N3968" s="123">
        <v>17</v>
      </c>
      <c r="O3968">
        <v>2524</v>
      </c>
      <c r="P3968" s="132" t="s">
        <v>77</v>
      </c>
      <c r="Q3968" s="132">
        <f>1900.12+121.66</f>
        <v>2021.78</v>
      </c>
      <c r="R3968" s="132">
        <v>60.68</v>
      </c>
      <c r="S3968" s="132">
        <v>121.66</v>
      </c>
      <c r="T3968" s="156"/>
      <c r="U3968" s="132"/>
      <c r="V3968" s="132">
        <v>2082.46</v>
      </c>
      <c r="W3968"/>
      <c r="X3968" s="153" t="s">
        <v>3451</v>
      </c>
      <c r="Y3968" s="124" t="s">
        <v>55</v>
      </c>
      <c r="Z3968" s="308">
        <v>218</v>
      </c>
      <c r="AB3968" t="str">
        <f>IF(Table1[[#This Row],[TIPO2]]="costo", VLOOKUP(Table1[[#This Row],[PARTIDA PRESUPUESTAL]],'Cost Report'!G:G,1,0),"Balance")</f>
        <v>2585-003</v>
      </c>
      <c r="AC3968" s="118"/>
      <c r="AD3968" s="159">
        <f>+Table1[[#This Row],[SUBTOTAL]]+Table1[[#This Row],[IVA]]-Table1[[#This Row],[RET IVA]]-Table1[[#This Row],[RET ISR]]-Table1[[#This Row],[TOTAL]]</f>
        <v>0</v>
      </c>
      <c r="AE3968" s="152"/>
      <c r="AF3968" s="153"/>
      <c r="AG3968" s="126" t="s">
        <v>3420</v>
      </c>
      <c r="AK3968" s="306" t="str">
        <f>IF(ISNUMBER(Table1[[#This Row],[FECHA DE RECIBIDO]]), Table1[[#This Row],[FECHA DE RECIBIDO]]-DATE(2023,8,30), "")</f>
        <v/>
      </c>
    </row>
    <row r="3969" spans="1:37" ht="15" customHeight="1">
      <c r="A3969" s="150" t="s">
        <v>4300</v>
      </c>
      <c r="B3969" s="151">
        <v>1287</v>
      </c>
      <c r="C3969" s="126" t="s">
        <v>2565</v>
      </c>
      <c r="D3969">
        <v>2661</v>
      </c>
      <c r="E3969" s="126" t="s">
        <v>1646</v>
      </c>
      <c r="F3969" s="122" t="s">
        <v>1607</v>
      </c>
      <c r="G3969" s="122" t="s">
        <v>134</v>
      </c>
      <c r="H3969">
        <v>731</v>
      </c>
      <c r="I3969" s="122" t="s">
        <v>1546</v>
      </c>
      <c r="J3969" s="307" t="s">
        <v>214</v>
      </c>
      <c r="K3969" s="127" t="s">
        <v>4212</v>
      </c>
      <c r="L3969" s="151" t="s">
        <v>1579</v>
      </c>
      <c r="M3969">
        <v>1014</v>
      </c>
      <c r="N3969" s="123">
        <v>17</v>
      </c>
      <c r="O3969">
        <v>2525</v>
      </c>
      <c r="P3969" s="132" t="s">
        <v>77</v>
      </c>
      <c r="Q3969" s="131">
        <v>77.59</v>
      </c>
      <c r="R3969" s="131">
        <v>12.41</v>
      </c>
      <c r="S3969" s="131"/>
      <c r="T3969" s="155"/>
      <c r="U3969" s="131"/>
      <c r="V3969" s="131">
        <v>90</v>
      </c>
      <c r="W3969"/>
      <c r="X3969" s="151" t="s">
        <v>3451</v>
      </c>
      <c r="Y3969" s="135" t="s">
        <v>55</v>
      </c>
      <c r="Z3969" s="307">
        <v>219</v>
      </c>
      <c r="AB3969" t="str">
        <f>IF(Table1[[#This Row],[TIPO2]]="costo", VLOOKUP(Table1[[#This Row],[PARTIDA PRESUPUESTAL]],'Cost Report'!G:G,1,0),"Balance")</f>
        <v>2585-003</v>
      </c>
      <c r="AC3969" s="118"/>
      <c r="AD3969" s="159">
        <f>+Table1[[#This Row],[SUBTOTAL]]+Table1[[#This Row],[IVA]]-Table1[[#This Row],[RET IVA]]-Table1[[#This Row],[RET ISR]]-Table1[[#This Row],[TOTAL]]</f>
        <v>0</v>
      </c>
      <c r="AE3969" s="150"/>
      <c r="AF3969" s="151"/>
      <c r="AG3969" s="126" t="s">
        <v>3420</v>
      </c>
      <c r="AK3969" s="306" t="str">
        <f>IF(ISNUMBER(Table1[[#This Row],[FECHA DE RECIBIDO]]), Table1[[#This Row],[FECHA DE RECIBIDO]]-DATE(2023,8,30), "")</f>
        <v/>
      </c>
    </row>
    <row r="3970" spans="1:37" ht="15" customHeight="1">
      <c r="A3970" s="152" t="s">
        <v>4300</v>
      </c>
      <c r="B3970" s="153">
        <v>1287</v>
      </c>
      <c r="C3970" s="126" t="s">
        <v>2565</v>
      </c>
      <c r="D3970">
        <v>2662</v>
      </c>
      <c r="E3970" s="126" t="s">
        <v>4301</v>
      </c>
      <c r="F3970" s="125" t="s">
        <v>1607</v>
      </c>
      <c r="G3970" s="125" t="s">
        <v>134</v>
      </c>
      <c r="H3970">
        <v>41</v>
      </c>
      <c r="I3970" s="125" t="s">
        <v>1546</v>
      </c>
      <c r="J3970" s="308" t="s">
        <v>214</v>
      </c>
      <c r="K3970" s="127" t="s">
        <v>4212</v>
      </c>
      <c r="L3970" s="153" t="s">
        <v>1579</v>
      </c>
      <c r="M3970">
        <v>323</v>
      </c>
      <c r="N3970" s="123">
        <v>17</v>
      </c>
      <c r="O3970">
        <v>2526</v>
      </c>
      <c r="P3970" s="132" t="s">
        <v>77</v>
      </c>
      <c r="Q3970" s="132">
        <v>1585.65</v>
      </c>
      <c r="R3970" s="132">
        <v>253.7</v>
      </c>
      <c r="S3970" s="132"/>
      <c r="T3970" s="156"/>
      <c r="U3970" s="132"/>
      <c r="V3970" s="132">
        <v>1839.3500000000001</v>
      </c>
      <c r="W3970"/>
      <c r="X3970" s="153" t="s">
        <v>3451</v>
      </c>
      <c r="Y3970" s="124" t="s">
        <v>55</v>
      </c>
      <c r="Z3970" s="308">
        <v>242</v>
      </c>
      <c r="AB3970" t="str">
        <f>IF(Table1[[#This Row],[TIPO2]]="costo", VLOOKUP(Table1[[#This Row],[PARTIDA PRESUPUESTAL]],'Cost Report'!G:G,1,0),"Balance")</f>
        <v>2585-003</v>
      </c>
      <c r="AC3970" s="118"/>
      <c r="AD3970" s="159">
        <f>+Table1[[#This Row],[SUBTOTAL]]+Table1[[#This Row],[IVA]]-Table1[[#This Row],[RET IVA]]-Table1[[#This Row],[RET ISR]]-Table1[[#This Row],[TOTAL]]</f>
        <v>0</v>
      </c>
      <c r="AE3970" s="152"/>
      <c r="AF3970" s="153"/>
      <c r="AG3970" s="126" t="s">
        <v>3420</v>
      </c>
      <c r="AK3970" s="306" t="str">
        <f>IF(ISNUMBER(Table1[[#This Row],[FECHA DE RECIBIDO]]), Table1[[#This Row],[FECHA DE RECIBIDO]]-DATE(2023,8,30), "")</f>
        <v/>
      </c>
    </row>
    <row r="3971" spans="1:37" ht="15" customHeight="1">
      <c r="A3971" s="150" t="s">
        <v>4300</v>
      </c>
      <c r="B3971" s="151">
        <v>1287</v>
      </c>
      <c r="C3971" s="126" t="s">
        <v>2565</v>
      </c>
      <c r="D3971">
        <v>2663</v>
      </c>
      <c r="E3971" s="126" t="s">
        <v>3667</v>
      </c>
      <c r="F3971" s="122" t="s">
        <v>1607</v>
      </c>
      <c r="G3971" s="122" t="s">
        <v>134</v>
      </c>
      <c r="H3971">
        <v>41</v>
      </c>
      <c r="I3971" s="122" t="s">
        <v>1546</v>
      </c>
      <c r="J3971" s="307" t="s">
        <v>214</v>
      </c>
      <c r="K3971" s="127" t="s">
        <v>4212</v>
      </c>
      <c r="L3971" s="151" t="s">
        <v>1579</v>
      </c>
      <c r="M3971">
        <v>323</v>
      </c>
      <c r="N3971" s="123">
        <v>17</v>
      </c>
      <c r="O3971">
        <v>2527</v>
      </c>
      <c r="P3971" s="132" t="s">
        <v>77</v>
      </c>
      <c r="Q3971" s="131">
        <v>812.95</v>
      </c>
      <c r="R3971" s="131">
        <v>35.03</v>
      </c>
      <c r="S3971" s="131"/>
      <c r="T3971" s="155"/>
      <c r="U3971" s="131"/>
      <c r="V3971" s="131">
        <v>847.98</v>
      </c>
      <c r="W3971"/>
      <c r="X3971" s="151" t="s">
        <v>3451</v>
      </c>
      <c r="Y3971" s="135" t="s">
        <v>55</v>
      </c>
      <c r="Z3971" s="307">
        <v>219</v>
      </c>
      <c r="AB3971" t="str">
        <f>IF(Table1[[#This Row],[TIPO2]]="costo", VLOOKUP(Table1[[#This Row],[PARTIDA PRESUPUESTAL]],'Cost Report'!G:G,1,0),"Balance")</f>
        <v>2585-003</v>
      </c>
      <c r="AC3971" s="118"/>
      <c r="AD3971" s="159">
        <f>+Table1[[#This Row],[SUBTOTAL]]+Table1[[#This Row],[IVA]]-Table1[[#This Row],[RET IVA]]-Table1[[#This Row],[RET ISR]]-Table1[[#This Row],[TOTAL]]</f>
        <v>0</v>
      </c>
      <c r="AE3971" s="150"/>
      <c r="AF3971" s="151"/>
      <c r="AG3971" s="126" t="s">
        <v>3420</v>
      </c>
      <c r="AK3971" s="306" t="str">
        <f>IF(ISNUMBER(Table1[[#This Row],[FECHA DE RECIBIDO]]), Table1[[#This Row],[FECHA DE RECIBIDO]]-DATE(2023,8,30), "")</f>
        <v/>
      </c>
    </row>
    <row r="3972" spans="1:37" ht="15" customHeight="1">
      <c r="A3972" s="152" t="s">
        <v>4300</v>
      </c>
      <c r="B3972" s="153">
        <v>1287</v>
      </c>
      <c r="C3972" s="126" t="s">
        <v>2566</v>
      </c>
      <c r="D3972">
        <v>2664</v>
      </c>
      <c r="E3972" s="126" t="s">
        <v>1596</v>
      </c>
      <c r="F3972" s="125" t="s">
        <v>1589</v>
      </c>
      <c r="G3972" s="125" t="s">
        <v>129</v>
      </c>
      <c r="H3972">
        <v>296</v>
      </c>
      <c r="I3972" s="125" t="s">
        <v>1546</v>
      </c>
      <c r="J3972" s="308" t="s">
        <v>214</v>
      </c>
      <c r="K3972" s="127" t="s">
        <v>4212</v>
      </c>
      <c r="L3972" s="153" t="s">
        <v>1579</v>
      </c>
      <c r="M3972">
        <v>1015</v>
      </c>
      <c r="N3972" s="123">
        <v>17</v>
      </c>
      <c r="O3972">
        <v>2528</v>
      </c>
      <c r="P3972" s="132" t="s">
        <v>77</v>
      </c>
      <c r="Q3972" s="132">
        <v>137.07</v>
      </c>
      <c r="R3972" s="132">
        <v>21.93</v>
      </c>
      <c r="S3972" s="132"/>
      <c r="T3972" s="156"/>
      <c r="U3972" s="132"/>
      <c r="V3972" s="132">
        <v>159</v>
      </c>
      <c r="W3972"/>
      <c r="X3972" s="153" t="s">
        <v>3451</v>
      </c>
      <c r="Y3972" s="124" t="s">
        <v>55</v>
      </c>
      <c r="Z3972" s="308">
        <v>223</v>
      </c>
      <c r="AB3972" t="str">
        <f>IF(Table1[[#This Row],[TIPO2]]="costo", VLOOKUP(Table1[[#This Row],[PARTIDA PRESUPUESTAL]],'Cost Report'!G:G,1,0),"Balance")</f>
        <v>2594-003</v>
      </c>
      <c r="AC3972" s="118"/>
      <c r="AD3972" s="159">
        <f>+Table1[[#This Row],[SUBTOTAL]]+Table1[[#This Row],[IVA]]-Table1[[#This Row],[RET IVA]]-Table1[[#This Row],[RET ISR]]-Table1[[#This Row],[TOTAL]]</f>
        <v>0</v>
      </c>
      <c r="AE3972" s="152"/>
      <c r="AF3972" s="153"/>
      <c r="AG3972" s="126" t="s">
        <v>3420</v>
      </c>
      <c r="AK3972" s="306" t="str">
        <f>IF(ISNUMBER(Table1[[#This Row],[FECHA DE RECIBIDO]]), Table1[[#This Row],[FECHA DE RECIBIDO]]-DATE(2023,8,30), "")</f>
        <v/>
      </c>
    </row>
    <row r="3973" spans="1:37" ht="15" customHeight="1">
      <c r="A3973" s="150" t="s">
        <v>4300</v>
      </c>
      <c r="B3973" s="151">
        <v>1287</v>
      </c>
      <c r="C3973" s="126" t="s">
        <v>2565</v>
      </c>
      <c r="D3973">
        <v>2665</v>
      </c>
      <c r="E3973" s="126" t="s">
        <v>3278</v>
      </c>
      <c r="F3973" s="122" t="s">
        <v>1607</v>
      </c>
      <c r="G3973" s="122" t="s">
        <v>134</v>
      </c>
      <c r="H3973">
        <v>56</v>
      </c>
      <c r="I3973" s="122" t="s">
        <v>1546</v>
      </c>
      <c r="J3973" s="307" t="s">
        <v>214</v>
      </c>
      <c r="K3973" s="127" t="s">
        <v>4212</v>
      </c>
      <c r="L3973" s="151" t="s">
        <v>1579</v>
      </c>
      <c r="M3973">
        <v>78</v>
      </c>
      <c r="N3973" s="123">
        <v>17</v>
      </c>
      <c r="O3973">
        <v>2529</v>
      </c>
      <c r="P3973" s="132" t="s">
        <v>77</v>
      </c>
      <c r="Q3973" s="131">
        <v>85.72</v>
      </c>
      <c r="R3973" s="131"/>
      <c r="S3973" s="131"/>
      <c r="T3973" s="155"/>
      <c r="U3973" s="131"/>
      <c r="V3973" s="131">
        <v>85.72</v>
      </c>
      <c r="W3973"/>
      <c r="X3973" s="151" t="s">
        <v>3451</v>
      </c>
      <c r="Y3973" s="135" t="s">
        <v>55</v>
      </c>
      <c r="Z3973" s="307">
        <v>243</v>
      </c>
      <c r="AB3973" t="str">
        <f>IF(Table1[[#This Row],[TIPO2]]="costo", VLOOKUP(Table1[[#This Row],[PARTIDA PRESUPUESTAL]],'Cost Report'!G:G,1,0),"Balance")</f>
        <v>2585-003</v>
      </c>
      <c r="AC3973" s="118"/>
      <c r="AD3973" s="159">
        <f>+Table1[[#This Row],[SUBTOTAL]]+Table1[[#This Row],[IVA]]-Table1[[#This Row],[RET IVA]]-Table1[[#This Row],[RET ISR]]-Table1[[#This Row],[TOTAL]]</f>
        <v>0</v>
      </c>
      <c r="AE3973" s="150"/>
      <c r="AF3973" s="151"/>
      <c r="AG3973" s="126" t="s">
        <v>3420</v>
      </c>
      <c r="AK3973" s="306" t="str">
        <f>IF(ISNUMBER(Table1[[#This Row],[FECHA DE RECIBIDO]]), Table1[[#This Row],[FECHA DE RECIBIDO]]-DATE(2023,8,30), "")</f>
        <v/>
      </c>
    </row>
    <row r="3974" spans="1:37" ht="15" customHeight="1">
      <c r="A3974" s="152" t="s">
        <v>4300</v>
      </c>
      <c r="B3974" s="153">
        <v>1287</v>
      </c>
      <c r="C3974" s="126" t="s">
        <v>2565</v>
      </c>
      <c r="D3974">
        <v>2666</v>
      </c>
      <c r="E3974" s="126" t="s">
        <v>3354</v>
      </c>
      <c r="F3974" s="125" t="s">
        <v>1607</v>
      </c>
      <c r="G3974" s="125" t="s">
        <v>134</v>
      </c>
      <c r="H3974">
        <v>56</v>
      </c>
      <c r="I3974" s="125" t="s">
        <v>1546</v>
      </c>
      <c r="J3974" s="308" t="s">
        <v>214</v>
      </c>
      <c r="K3974" s="127" t="s">
        <v>4212</v>
      </c>
      <c r="L3974" s="153" t="s">
        <v>1579</v>
      </c>
      <c r="M3974">
        <v>78</v>
      </c>
      <c r="N3974" s="123">
        <v>17</v>
      </c>
      <c r="O3974">
        <v>2530</v>
      </c>
      <c r="P3974" s="132" t="s">
        <v>77</v>
      </c>
      <c r="Q3974" s="132">
        <v>237.22</v>
      </c>
      <c r="R3974" s="132"/>
      <c r="S3974" s="132"/>
      <c r="T3974" s="156"/>
      <c r="U3974" s="132"/>
      <c r="V3974" s="132">
        <v>237.22</v>
      </c>
      <c r="W3974"/>
      <c r="X3974" s="153" t="s">
        <v>3451</v>
      </c>
      <c r="Y3974" s="124" t="s">
        <v>55</v>
      </c>
      <c r="Z3974" s="308">
        <v>243</v>
      </c>
      <c r="AB3974" t="str">
        <f>IF(Table1[[#This Row],[TIPO2]]="costo", VLOOKUP(Table1[[#This Row],[PARTIDA PRESUPUESTAL]],'Cost Report'!G:G,1,0),"Balance")</f>
        <v>2585-003</v>
      </c>
      <c r="AC3974" s="118"/>
      <c r="AD3974" s="159">
        <f>+Table1[[#This Row],[SUBTOTAL]]+Table1[[#This Row],[IVA]]-Table1[[#This Row],[RET IVA]]-Table1[[#This Row],[RET ISR]]-Table1[[#This Row],[TOTAL]]</f>
        <v>0</v>
      </c>
      <c r="AE3974" s="152"/>
      <c r="AF3974" s="153"/>
      <c r="AG3974" s="126" t="s">
        <v>3420</v>
      </c>
      <c r="AK3974" s="306" t="str">
        <f>IF(ISNUMBER(Table1[[#This Row],[FECHA DE RECIBIDO]]), Table1[[#This Row],[FECHA DE RECIBIDO]]-DATE(2023,8,30), "")</f>
        <v/>
      </c>
    </row>
    <row r="3975" spans="1:37" ht="15" customHeight="1">
      <c r="A3975" s="150" t="s">
        <v>4300</v>
      </c>
      <c r="B3975" s="151">
        <v>1287</v>
      </c>
      <c r="C3975" s="126" t="s">
        <v>2566</v>
      </c>
      <c r="D3975">
        <v>2667</v>
      </c>
      <c r="E3975" s="126" t="s">
        <v>1596</v>
      </c>
      <c r="F3975" s="122" t="s">
        <v>1607</v>
      </c>
      <c r="G3975" s="122" t="s">
        <v>134</v>
      </c>
      <c r="H3975">
        <v>401</v>
      </c>
      <c r="I3975" s="122" t="s">
        <v>1546</v>
      </c>
      <c r="J3975" s="307" t="s">
        <v>214</v>
      </c>
      <c r="K3975" s="127" t="s">
        <v>4212</v>
      </c>
      <c r="L3975" s="151" t="s">
        <v>1579</v>
      </c>
      <c r="M3975">
        <v>533</v>
      </c>
      <c r="N3975" s="123">
        <v>17</v>
      </c>
      <c r="O3975">
        <v>2531</v>
      </c>
      <c r="P3975" s="132" t="s">
        <v>77</v>
      </c>
      <c r="Q3975" s="131">
        <v>189.66</v>
      </c>
      <c r="R3975" s="131">
        <v>30.34</v>
      </c>
      <c r="S3975" s="131"/>
      <c r="T3975" s="155"/>
      <c r="U3975" s="131"/>
      <c r="V3975" s="131">
        <v>220</v>
      </c>
      <c r="W3975"/>
      <c r="X3975" s="151" t="s">
        <v>3451</v>
      </c>
      <c r="Y3975" s="135" t="s">
        <v>55</v>
      </c>
      <c r="Z3975" s="307">
        <v>223</v>
      </c>
      <c r="AB3975" t="str">
        <f>IF(Table1[[#This Row],[TIPO2]]="costo", VLOOKUP(Table1[[#This Row],[PARTIDA PRESUPUESTAL]],'Cost Report'!G:G,1,0),"Balance")</f>
        <v>2594-003</v>
      </c>
      <c r="AC3975" s="118"/>
      <c r="AD3975" s="159">
        <f>+Table1[[#This Row],[SUBTOTAL]]+Table1[[#This Row],[IVA]]-Table1[[#This Row],[RET IVA]]-Table1[[#This Row],[RET ISR]]-Table1[[#This Row],[TOTAL]]</f>
        <v>0</v>
      </c>
      <c r="AE3975" s="150"/>
      <c r="AF3975" s="151"/>
      <c r="AG3975" s="126" t="s">
        <v>3420</v>
      </c>
      <c r="AK3975" s="306" t="str">
        <f>IF(ISNUMBER(Table1[[#This Row],[FECHA DE RECIBIDO]]), Table1[[#This Row],[FECHA DE RECIBIDO]]-DATE(2023,8,30), "")</f>
        <v/>
      </c>
    </row>
    <row r="3976" spans="1:37" ht="15" customHeight="1">
      <c r="A3976" s="152" t="s">
        <v>4300</v>
      </c>
      <c r="B3976" s="153">
        <v>1287</v>
      </c>
      <c r="C3976" s="126" t="s">
        <v>2565</v>
      </c>
      <c r="D3976">
        <v>2668</v>
      </c>
      <c r="E3976" s="126" t="s">
        <v>1613</v>
      </c>
      <c r="F3976" s="125" t="s">
        <v>1593</v>
      </c>
      <c r="G3976" s="125" t="s">
        <v>109</v>
      </c>
      <c r="H3976">
        <v>732</v>
      </c>
      <c r="I3976" s="125" t="s">
        <v>1546</v>
      </c>
      <c r="J3976" s="308" t="s">
        <v>214</v>
      </c>
      <c r="K3976" s="127" t="s">
        <v>4212</v>
      </c>
      <c r="L3976" s="153" t="s">
        <v>1579</v>
      </c>
      <c r="M3976">
        <v>1016</v>
      </c>
      <c r="N3976" s="123">
        <v>17</v>
      </c>
      <c r="O3976">
        <v>2532</v>
      </c>
      <c r="P3976" s="132" t="s">
        <v>77</v>
      </c>
      <c r="Q3976" s="132">
        <v>5156</v>
      </c>
      <c r="R3976" s="132">
        <v>824.96</v>
      </c>
      <c r="S3976" s="132"/>
      <c r="T3976" s="156"/>
      <c r="U3976" s="132">
        <v>64.45</v>
      </c>
      <c r="V3976" s="132">
        <v>5916.51</v>
      </c>
      <c r="W3976"/>
      <c r="X3976" s="153" t="s">
        <v>3451</v>
      </c>
      <c r="Y3976" s="124" t="s">
        <v>55</v>
      </c>
      <c r="Z3976" s="308">
        <v>225</v>
      </c>
      <c r="AB3976" t="str">
        <f>IF(Table1[[#This Row],[TIPO2]]="costo", VLOOKUP(Table1[[#This Row],[PARTIDA PRESUPUESTAL]],'Cost Report'!G:G,1,0),"Balance")</f>
        <v>2585-003</v>
      </c>
      <c r="AC3976" s="118"/>
      <c r="AD3976" s="159">
        <f>+Table1[[#This Row],[SUBTOTAL]]+Table1[[#This Row],[IVA]]-Table1[[#This Row],[RET IVA]]-Table1[[#This Row],[RET ISR]]-Table1[[#This Row],[TOTAL]]</f>
        <v>0</v>
      </c>
      <c r="AE3976" s="152"/>
      <c r="AF3976" s="153"/>
      <c r="AG3976" s="126" t="s">
        <v>3420</v>
      </c>
      <c r="AK3976" s="306" t="str">
        <f>IF(ISNUMBER(Table1[[#This Row],[FECHA DE RECIBIDO]]), Table1[[#This Row],[FECHA DE RECIBIDO]]-DATE(2023,8,30), "")</f>
        <v/>
      </c>
    </row>
    <row r="3977" spans="1:37" ht="15" customHeight="1">
      <c r="A3977" s="150" t="s">
        <v>4300</v>
      </c>
      <c r="B3977" s="151">
        <v>1287</v>
      </c>
      <c r="C3977" s="126" t="s">
        <v>1505</v>
      </c>
      <c r="D3977">
        <v>2669</v>
      </c>
      <c r="E3977" s="126" t="s">
        <v>1596</v>
      </c>
      <c r="F3977" s="122" t="s">
        <v>1589</v>
      </c>
      <c r="G3977" s="122" t="s">
        <v>129</v>
      </c>
      <c r="H3977">
        <v>733</v>
      </c>
      <c r="I3977" s="122" t="s">
        <v>1546</v>
      </c>
      <c r="J3977" s="307" t="s">
        <v>214</v>
      </c>
      <c r="K3977" s="127" t="s">
        <v>4212</v>
      </c>
      <c r="L3977" s="151" t="s">
        <v>1579</v>
      </c>
      <c r="M3977">
        <v>1017</v>
      </c>
      <c r="N3977" s="123">
        <v>17</v>
      </c>
      <c r="O3977">
        <v>2533</v>
      </c>
      <c r="P3977" s="132" t="s">
        <v>77</v>
      </c>
      <c r="Q3977" s="131">
        <v>1396.55</v>
      </c>
      <c r="R3977" s="131">
        <v>223.45</v>
      </c>
      <c r="S3977" s="131"/>
      <c r="T3977" s="155"/>
      <c r="U3977" s="131"/>
      <c r="V3977" s="131">
        <v>1620</v>
      </c>
      <c r="W3977"/>
      <c r="X3977" s="151" t="s">
        <v>3451</v>
      </c>
      <c r="Y3977" s="135" t="s">
        <v>55</v>
      </c>
      <c r="Z3977" s="307">
        <v>225</v>
      </c>
      <c r="AB3977" t="str">
        <f>IF(Table1[[#This Row],[TIPO2]]="costo", VLOOKUP(Table1[[#This Row],[PARTIDA PRESUPUESTAL]],'Cost Report'!G:G,1,0),"Balance")</f>
        <v>2494-003</v>
      </c>
      <c r="AC3977" s="118"/>
      <c r="AD3977" s="159">
        <f>+Table1[[#This Row],[SUBTOTAL]]+Table1[[#This Row],[IVA]]-Table1[[#This Row],[RET IVA]]-Table1[[#This Row],[RET ISR]]-Table1[[#This Row],[TOTAL]]</f>
        <v>0</v>
      </c>
      <c r="AE3977" s="150"/>
      <c r="AF3977" s="151"/>
      <c r="AG3977" s="126" t="s">
        <v>3420</v>
      </c>
      <c r="AK3977" s="306" t="str">
        <f>IF(ISNUMBER(Table1[[#This Row],[FECHA DE RECIBIDO]]), Table1[[#This Row],[FECHA DE RECIBIDO]]-DATE(2023,8,30), "")</f>
        <v/>
      </c>
    </row>
    <row r="3978" spans="1:37" ht="15" customHeight="1">
      <c r="A3978" s="152" t="s">
        <v>4300</v>
      </c>
      <c r="B3978" s="153">
        <v>1287</v>
      </c>
      <c r="C3978" s="126" t="s">
        <v>2565</v>
      </c>
      <c r="D3978">
        <v>2670</v>
      </c>
      <c r="E3978" s="126" t="s">
        <v>1600</v>
      </c>
      <c r="F3978" s="125" t="s">
        <v>1607</v>
      </c>
      <c r="G3978" s="125" t="s">
        <v>134</v>
      </c>
      <c r="H3978">
        <v>41</v>
      </c>
      <c r="I3978" s="125" t="s">
        <v>1546</v>
      </c>
      <c r="J3978" s="308" t="s">
        <v>214</v>
      </c>
      <c r="K3978" s="127" t="s">
        <v>4212</v>
      </c>
      <c r="L3978" s="153" t="s">
        <v>1579</v>
      </c>
      <c r="M3978">
        <v>323</v>
      </c>
      <c r="N3978" s="123">
        <v>17</v>
      </c>
      <c r="O3978">
        <v>2534</v>
      </c>
      <c r="P3978" s="132" t="s">
        <v>77</v>
      </c>
      <c r="Q3978" s="132">
        <v>377.01</v>
      </c>
      <c r="R3978" s="132"/>
      <c r="S3978" s="132"/>
      <c r="T3978" s="156"/>
      <c r="U3978" s="132"/>
      <c r="V3978" s="132">
        <v>377.01</v>
      </c>
      <c r="W3978"/>
      <c r="X3978" s="153" t="s">
        <v>3451</v>
      </c>
      <c r="Y3978" s="124" t="s">
        <v>55</v>
      </c>
      <c r="Z3978" s="308">
        <v>242</v>
      </c>
      <c r="AB3978" t="str">
        <f>IF(Table1[[#This Row],[TIPO2]]="costo", VLOOKUP(Table1[[#This Row],[PARTIDA PRESUPUESTAL]],'Cost Report'!G:G,1,0),"Balance")</f>
        <v>2585-003</v>
      </c>
      <c r="AC3978" s="118"/>
      <c r="AD3978" s="159">
        <f>+Table1[[#This Row],[SUBTOTAL]]+Table1[[#This Row],[IVA]]-Table1[[#This Row],[RET IVA]]-Table1[[#This Row],[RET ISR]]-Table1[[#This Row],[TOTAL]]</f>
        <v>0</v>
      </c>
      <c r="AE3978" s="152"/>
      <c r="AF3978" s="153"/>
      <c r="AG3978" s="126" t="s">
        <v>3420</v>
      </c>
      <c r="AK3978" s="306" t="str">
        <f>IF(ISNUMBER(Table1[[#This Row],[FECHA DE RECIBIDO]]), Table1[[#This Row],[FECHA DE RECIBIDO]]-DATE(2023,8,30), "")</f>
        <v/>
      </c>
    </row>
    <row r="3979" spans="1:37" ht="15" customHeight="1">
      <c r="A3979" s="150" t="s">
        <v>4300</v>
      </c>
      <c r="B3979" s="151">
        <v>1287</v>
      </c>
      <c r="C3979" s="126" t="s">
        <v>2566</v>
      </c>
      <c r="D3979">
        <v>2671</v>
      </c>
      <c r="E3979" s="126" t="s">
        <v>1600</v>
      </c>
      <c r="F3979" s="122" t="s">
        <v>1607</v>
      </c>
      <c r="G3979" s="122" t="s">
        <v>134</v>
      </c>
      <c r="H3979">
        <v>41</v>
      </c>
      <c r="I3979" s="122" t="s">
        <v>1546</v>
      </c>
      <c r="J3979" s="307" t="s">
        <v>214</v>
      </c>
      <c r="K3979" s="127" t="s">
        <v>4212</v>
      </c>
      <c r="L3979" s="151" t="s">
        <v>1579</v>
      </c>
      <c r="M3979">
        <v>323</v>
      </c>
      <c r="N3979" s="123">
        <v>17</v>
      </c>
      <c r="O3979">
        <v>2535</v>
      </c>
      <c r="P3979" s="132" t="s">
        <v>77</v>
      </c>
      <c r="Q3979" s="131">
        <v>525</v>
      </c>
      <c r="R3979" s="131">
        <v>84</v>
      </c>
      <c r="S3979" s="131"/>
      <c r="T3979" s="155"/>
      <c r="U3979" s="131"/>
      <c r="V3979" s="131">
        <v>609</v>
      </c>
      <c r="W3979"/>
      <c r="X3979" s="151" t="s">
        <v>3451</v>
      </c>
      <c r="Y3979" s="135" t="s">
        <v>55</v>
      </c>
      <c r="Z3979" s="307">
        <v>242</v>
      </c>
      <c r="AB3979" t="str">
        <f>IF(Table1[[#This Row],[TIPO2]]="costo", VLOOKUP(Table1[[#This Row],[PARTIDA PRESUPUESTAL]],'Cost Report'!G:G,1,0),"Balance")</f>
        <v>2594-003</v>
      </c>
      <c r="AC3979" s="118"/>
      <c r="AD3979" s="159">
        <f>+Table1[[#This Row],[SUBTOTAL]]+Table1[[#This Row],[IVA]]-Table1[[#This Row],[RET IVA]]-Table1[[#This Row],[RET ISR]]-Table1[[#This Row],[TOTAL]]</f>
        <v>0</v>
      </c>
      <c r="AE3979" s="150"/>
      <c r="AF3979" s="151"/>
      <c r="AG3979" s="126" t="s">
        <v>3420</v>
      </c>
      <c r="AK3979" s="306" t="str">
        <f>IF(ISNUMBER(Table1[[#This Row],[FECHA DE RECIBIDO]]), Table1[[#This Row],[FECHA DE RECIBIDO]]-DATE(2023,8,30), "")</f>
        <v/>
      </c>
    </row>
    <row r="3980" spans="1:37" ht="15" customHeight="1">
      <c r="A3980" s="152" t="s">
        <v>4300</v>
      </c>
      <c r="B3980" s="153">
        <v>1287</v>
      </c>
      <c r="C3980" s="126" t="s">
        <v>2566</v>
      </c>
      <c r="D3980">
        <v>2672</v>
      </c>
      <c r="E3980" s="126" t="s">
        <v>3275</v>
      </c>
      <c r="F3980" s="125" t="s">
        <v>1607</v>
      </c>
      <c r="G3980" s="125" t="s">
        <v>134</v>
      </c>
      <c r="H3980">
        <v>139</v>
      </c>
      <c r="I3980" s="125" t="s">
        <v>1546</v>
      </c>
      <c r="J3980" s="308" t="s">
        <v>214</v>
      </c>
      <c r="K3980" s="127" t="s">
        <v>4212</v>
      </c>
      <c r="L3980" s="153" t="s">
        <v>1579</v>
      </c>
      <c r="M3980">
        <v>181</v>
      </c>
      <c r="N3980" s="123">
        <v>17</v>
      </c>
      <c r="O3980">
        <v>2536</v>
      </c>
      <c r="P3980" s="132" t="s">
        <v>77</v>
      </c>
      <c r="Q3980" s="132">
        <v>1015.59</v>
      </c>
      <c r="R3980" s="132">
        <v>162.49</v>
      </c>
      <c r="S3980" s="132"/>
      <c r="T3980" s="156"/>
      <c r="U3980" s="132"/>
      <c r="V3980" s="132">
        <v>1178.08</v>
      </c>
      <c r="W3980"/>
      <c r="X3980" s="153" t="s">
        <v>3451</v>
      </c>
      <c r="Y3980" s="124" t="s">
        <v>55</v>
      </c>
      <c r="Z3980" s="308">
        <v>224</v>
      </c>
      <c r="AB3980" t="str">
        <f>IF(Table1[[#This Row],[TIPO2]]="costo", VLOOKUP(Table1[[#This Row],[PARTIDA PRESUPUESTAL]],'Cost Report'!G:G,1,0),"Balance")</f>
        <v>2594-003</v>
      </c>
      <c r="AC3980" s="118"/>
      <c r="AD3980" s="159">
        <f>+Table1[[#This Row],[SUBTOTAL]]+Table1[[#This Row],[IVA]]-Table1[[#This Row],[RET IVA]]-Table1[[#This Row],[RET ISR]]-Table1[[#This Row],[TOTAL]]</f>
        <v>0</v>
      </c>
      <c r="AE3980" s="152"/>
      <c r="AF3980" s="153"/>
      <c r="AG3980" s="126" t="s">
        <v>3420</v>
      </c>
      <c r="AK3980" s="306" t="str">
        <f>IF(ISNUMBER(Table1[[#This Row],[FECHA DE RECIBIDO]]), Table1[[#This Row],[FECHA DE RECIBIDO]]-DATE(2023,8,30), "")</f>
        <v/>
      </c>
    </row>
    <row r="3981" spans="1:37" ht="15" customHeight="1">
      <c r="A3981" s="150" t="s">
        <v>4300</v>
      </c>
      <c r="B3981" s="151">
        <v>1287</v>
      </c>
      <c r="C3981" s="126" t="s">
        <v>2566</v>
      </c>
      <c r="D3981">
        <v>2673</v>
      </c>
      <c r="E3981" s="126" t="s">
        <v>3275</v>
      </c>
      <c r="F3981" s="122" t="s">
        <v>1607</v>
      </c>
      <c r="G3981" s="122" t="s">
        <v>134</v>
      </c>
      <c r="H3981">
        <v>139</v>
      </c>
      <c r="I3981" s="122" t="s">
        <v>1546</v>
      </c>
      <c r="J3981" s="307" t="s">
        <v>214</v>
      </c>
      <c r="K3981" s="127" t="s">
        <v>4212</v>
      </c>
      <c r="L3981" s="151" t="s">
        <v>1579</v>
      </c>
      <c r="M3981">
        <v>181</v>
      </c>
      <c r="N3981" s="123">
        <v>17</v>
      </c>
      <c r="O3981">
        <v>2537</v>
      </c>
      <c r="P3981" s="132" t="s">
        <v>77</v>
      </c>
      <c r="Q3981" s="131">
        <v>897.2</v>
      </c>
      <c r="R3981" s="131">
        <v>143.55000000000001</v>
      </c>
      <c r="S3981" s="131"/>
      <c r="T3981" s="155"/>
      <c r="U3981" s="131"/>
      <c r="V3981" s="131">
        <v>1040.75</v>
      </c>
      <c r="W3981"/>
      <c r="X3981" s="151" t="s">
        <v>3451</v>
      </c>
      <c r="Y3981" s="135" t="s">
        <v>55</v>
      </c>
      <c r="Z3981" s="307">
        <v>225</v>
      </c>
      <c r="AB3981" t="str">
        <f>IF(Table1[[#This Row],[TIPO2]]="costo", VLOOKUP(Table1[[#This Row],[PARTIDA PRESUPUESTAL]],'Cost Report'!G:G,1,0),"Balance")</f>
        <v>2594-003</v>
      </c>
      <c r="AC3981" s="118"/>
      <c r="AD3981" s="159">
        <f>+Table1[[#This Row],[SUBTOTAL]]+Table1[[#This Row],[IVA]]-Table1[[#This Row],[RET IVA]]-Table1[[#This Row],[RET ISR]]-Table1[[#This Row],[TOTAL]]</f>
        <v>0</v>
      </c>
      <c r="AE3981" s="150"/>
      <c r="AF3981" s="151"/>
      <c r="AG3981" s="126" t="s">
        <v>3420</v>
      </c>
      <c r="AK3981" s="306" t="str">
        <f>IF(ISNUMBER(Table1[[#This Row],[FECHA DE RECIBIDO]]), Table1[[#This Row],[FECHA DE RECIBIDO]]-DATE(2023,8,30), "")</f>
        <v/>
      </c>
    </row>
    <row r="3982" spans="1:37" ht="15" customHeight="1">
      <c r="A3982" s="152" t="s">
        <v>4302</v>
      </c>
      <c r="B3982" s="153">
        <v>1288</v>
      </c>
      <c r="C3982" s="126" t="s">
        <v>2565</v>
      </c>
      <c r="D3982">
        <v>2674</v>
      </c>
      <c r="E3982" s="126" t="s">
        <v>3976</v>
      </c>
      <c r="F3982" s="125" t="s">
        <v>1607</v>
      </c>
      <c r="G3982" s="125" t="s">
        <v>134</v>
      </c>
      <c r="H3982">
        <v>273</v>
      </c>
      <c r="I3982" s="125" t="s">
        <v>1546</v>
      </c>
      <c r="J3982" s="308" t="s">
        <v>214</v>
      </c>
      <c r="K3982" s="127" t="s">
        <v>4212</v>
      </c>
      <c r="L3982" s="153" t="s">
        <v>1579</v>
      </c>
      <c r="M3982">
        <v>364</v>
      </c>
      <c r="N3982" s="123">
        <v>17</v>
      </c>
      <c r="O3982">
        <v>2538</v>
      </c>
      <c r="P3982" s="132" t="s">
        <v>77</v>
      </c>
      <c r="Q3982" s="132">
        <v>1403.19</v>
      </c>
      <c r="R3982" s="132">
        <v>224.51</v>
      </c>
      <c r="S3982" s="132"/>
      <c r="T3982" s="156"/>
      <c r="U3982" s="132"/>
      <c r="V3982" s="132">
        <v>1627.7</v>
      </c>
      <c r="W3982"/>
      <c r="X3982" s="153" t="s">
        <v>3451</v>
      </c>
      <c r="Y3982" s="124" t="s">
        <v>55</v>
      </c>
      <c r="Z3982" s="308">
        <v>242</v>
      </c>
      <c r="AB3982" t="str">
        <f>IF(Table1[[#This Row],[TIPO2]]="costo", VLOOKUP(Table1[[#This Row],[PARTIDA PRESUPUESTAL]],'Cost Report'!G:G,1,0),"Balance")</f>
        <v>2585-003</v>
      </c>
      <c r="AC3982" s="118"/>
      <c r="AD3982" s="159">
        <f>+Table1[[#This Row],[SUBTOTAL]]+Table1[[#This Row],[IVA]]-Table1[[#This Row],[RET IVA]]-Table1[[#This Row],[RET ISR]]-Table1[[#This Row],[TOTAL]]</f>
        <v>0</v>
      </c>
      <c r="AE3982" s="152"/>
      <c r="AF3982" s="153"/>
      <c r="AG3982" s="126" t="s">
        <v>3420</v>
      </c>
      <c r="AK3982" s="306" t="str">
        <f>IF(ISNUMBER(Table1[[#This Row],[FECHA DE RECIBIDO]]), Table1[[#This Row],[FECHA DE RECIBIDO]]-DATE(2023,8,30), "")</f>
        <v/>
      </c>
    </row>
    <row r="3983" spans="1:37" ht="15" customHeight="1">
      <c r="A3983" s="150" t="s">
        <v>4302</v>
      </c>
      <c r="B3983" s="151">
        <v>1288</v>
      </c>
      <c r="C3983" s="126" t="s">
        <v>2566</v>
      </c>
      <c r="D3983">
        <v>2675</v>
      </c>
      <c r="E3983" s="126" t="s">
        <v>3275</v>
      </c>
      <c r="F3983" s="122" t="s">
        <v>1607</v>
      </c>
      <c r="G3983" s="122" t="s">
        <v>134</v>
      </c>
      <c r="H3983">
        <v>139</v>
      </c>
      <c r="I3983" s="122" t="s">
        <v>1546</v>
      </c>
      <c r="J3983" s="307" t="s">
        <v>214</v>
      </c>
      <c r="K3983" s="127" t="s">
        <v>4212</v>
      </c>
      <c r="L3983" s="151" t="s">
        <v>1579</v>
      </c>
      <c r="M3983">
        <v>181</v>
      </c>
      <c r="N3983" s="123">
        <v>17</v>
      </c>
      <c r="O3983">
        <v>2539</v>
      </c>
      <c r="P3983" s="132" t="s">
        <v>77</v>
      </c>
      <c r="Q3983" s="131">
        <v>1245.8599999999999</v>
      </c>
      <c r="R3983" s="131">
        <v>199.34</v>
      </c>
      <c r="S3983" s="131"/>
      <c r="T3983" s="155"/>
      <c r="U3983" s="131"/>
      <c r="V3983" s="131">
        <v>1445.1999999999998</v>
      </c>
      <c r="W3983"/>
      <c r="X3983" s="151" t="s">
        <v>3451</v>
      </c>
      <c r="Y3983" s="135" t="s">
        <v>55</v>
      </c>
      <c r="Z3983" s="307">
        <v>251</v>
      </c>
      <c r="AB3983" t="str">
        <f>IF(Table1[[#This Row],[TIPO2]]="costo", VLOOKUP(Table1[[#This Row],[PARTIDA PRESUPUESTAL]],'Cost Report'!G:G,1,0),"Balance")</f>
        <v>2594-003</v>
      </c>
      <c r="AC3983" s="118"/>
      <c r="AD3983" s="159">
        <f>+Table1[[#This Row],[SUBTOTAL]]+Table1[[#This Row],[IVA]]-Table1[[#This Row],[RET IVA]]-Table1[[#This Row],[RET ISR]]-Table1[[#This Row],[TOTAL]]</f>
        <v>0</v>
      </c>
      <c r="AE3983" s="150"/>
      <c r="AF3983" s="151"/>
      <c r="AG3983" s="126" t="s">
        <v>3420</v>
      </c>
      <c r="AK3983" s="306" t="str">
        <f>IF(ISNUMBER(Table1[[#This Row],[FECHA DE RECIBIDO]]), Table1[[#This Row],[FECHA DE RECIBIDO]]-DATE(2023,8,30), "")</f>
        <v/>
      </c>
    </row>
    <row r="3984" spans="1:37" ht="15" customHeight="1">
      <c r="A3984" s="152" t="s">
        <v>4302</v>
      </c>
      <c r="B3984" s="153">
        <v>1288</v>
      </c>
      <c r="C3984" s="126" t="s">
        <v>2565</v>
      </c>
      <c r="D3984">
        <v>2676</v>
      </c>
      <c r="E3984" s="126" t="s">
        <v>1992</v>
      </c>
      <c r="F3984" s="125" t="s">
        <v>1607</v>
      </c>
      <c r="G3984" s="125" t="s">
        <v>134</v>
      </c>
      <c r="H3984">
        <v>91</v>
      </c>
      <c r="I3984" s="125" t="s">
        <v>1546</v>
      </c>
      <c r="J3984" s="308" t="s">
        <v>214</v>
      </c>
      <c r="K3984" s="127" t="s">
        <v>4212</v>
      </c>
      <c r="L3984" s="153" t="s">
        <v>1579</v>
      </c>
      <c r="M3984">
        <v>122</v>
      </c>
      <c r="N3984" s="123">
        <v>17</v>
      </c>
      <c r="O3984">
        <v>2540</v>
      </c>
      <c r="P3984" s="132" t="s">
        <v>77</v>
      </c>
      <c r="Q3984" s="132">
        <v>165</v>
      </c>
      <c r="R3984" s="132"/>
      <c r="S3984" s="132"/>
      <c r="T3984" s="156"/>
      <c r="U3984" s="132"/>
      <c r="V3984" s="132">
        <v>165</v>
      </c>
      <c r="W3984"/>
      <c r="X3984" s="153" t="s">
        <v>3451</v>
      </c>
      <c r="Y3984" s="124" t="s">
        <v>55</v>
      </c>
      <c r="Z3984" s="308">
        <v>242</v>
      </c>
      <c r="AB3984" t="str">
        <f>IF(Table1[[#This Row],[TIPO2]]="costo", VLOOKUP(Table1[[#This Row],[PARTIDA PRESUPUESTAL]],'Cost Report'!G:G,1,0),"Balance")</f>
        <v>2585-003</v>
      </c>
      <c r="AC3984" s="118"/>
      <c r="AD3984" s="159">
        <f>+Table1[[#This Row],[SUBTOTAL]]+Table1[[#This Row],[IVA]]-Table1[[#This Row],[RET IVA]]-Table1[[#This Row],[RET ISR]]-Table1[[#This Row],[TOTAL]]</f>
        <v>0</v>
      </c>
      <c r="AE3984" s="152"/>
      <c r="AF3984" s="153"/>
      <c r="AG3984" s="126" t="s">
        <v>3420</v>
      </c>
      <c r="AK3984" s="306" t="str">
        <f>IF(ISNUMBER(Table1[[#This Row],[FECHA DE RECIBIDO]]), Table1[[#This Row],[FECHA DE RECIBIDO]]-DATE(2023,8,30), "")</f>
        <v/>
      </c>
    </row>
    <row r="3985" spans="1:37" ht="15" customHeight="1">
      <c r="A3985" s="150" t="s">
        <v>4302</v>
      </c>
      <c r="B3985" s="151">
        <v>1288</v>
      </c>
      <c r="C3985" s="126" t="s">
        <v>2565</v>
      </c>
      <c r="D3985">
        <v>2677</v>
      </c>
      <c r="E3985" s="126" t="s">
        <v>3670</v>
      </c>
      <c r="F3985" s="122" t="s">
        <v>1382</v>
      </c>
      <c r="G3985" s="122" t="e">
        <v>#N/A</v>
      </c>
      <c r="H3985">
        <v>31</v>
      </c>
      <c r="I3985" s="122" t="s">
        <v>1546</v>
      </c>
      <c r="J3985" s="307" t="s">
        <v>214</v>
      </c>
      <c r="K3985" s="127" t="s">
        <v>4212</v>
      </c>
      <c r="L3985" s="151" t="s">
        <v>1579</v>
      </c>
      <c r="M3985">
        <v>69</v>
      </c>
      <c r="N3985" s="123">
        <v>17</v>
      </c>
      <c r="O3985">
        <v>2541</v>
      </c>
      <c r="P3985" s="132" t="s">
        <v>77</v>
      </c>
      <c r="Q3985" s="131">
        <v>120</v>
      </c>
      <c r="R3985" s="131"/>
      <c r="S3985" s="131"/>
      <c r="T3985" s="155"/>
      <c r="U3985" s="131"/>
      <c r="V3985" s="131">
        <v>120</v>
      </c>
      <c r="W3985"/>
      <c r="X3985" s="151" t="s">
        <v>3451</v>
      </c>
      <c r="Y3985" s="135" t="s">
        <v>55</v>
      </c>
      <c r="Z3985" s="307">
        <v>242</v>
      </c>
      <c r="AB3985" t="str">
        <f>IF(Table1[[#This Row],[TIPO2]]="costo", VLOOKUP(Table1[[#This Row],[PARTIDA PRESUPUESTAL]],'Cost Report'!G:G,1,0),"Balance")</f>
        <v>2585-003</v>
      </c>
      <c r="AC3985" s="118"/>
      <c r="AD3985" s="159">
        <f>+Table1[[#This Row],[SUBTOTAL]]+Table1[[#This Row],[IVA]]-Table1[[#This Row],[RET IVA]]-Table1[[#This Row],[RET ISR]]-Table1[[#This Row],[TOTAL]]</f>
        <v>0</v>
      </c>
      <c r="AE3985" s="150"/>
      <c r="AF3985" s="151"/>
      <c r="AG3985" s="126" t="s">
        <v>3420</v>
      </c>
      <c r="AK3985" s="306" t="str">
        <f>IF(ISNUMBER(Table1[[#This Row],[FECHA DE RECIBIDO]]), Table1[[#This Row],[FECHA DE RECIBIDO]]-DATE(2023,8,30), "")</f>
        <v/>
      </c>
    </row>
    <row r="3986" spans="1:37" ht="15" customHeight="1">
      <c r="A3986" s="152" t="s">
        <v>4302</v>
      </c>
      <c r="B3986" s="153">
        <v>1288</v>
      </c>
      <c r="C3986" s="126" t="s">
        <v>2565</v>
      </c>
      <c r="D3986">
        <v>2678</v>
      </c>
      <c r="E3986" s="126" t="s">
        <v>1600</v>
      </c>
      <c r="F3986" s="125" t="s">
        <v>1607</v>
      </c>
      <c r="G3986" s="125" t="s">
        <v>134</v>
      </c>
      <c r="H3986">
        <v>41</v>
      </c>
      <c r="I3986" s="125" t="s">
        <v>1546</v>
      </c>
      <c r="J3986" s="308" t="s">
        <v>214</v>
      </c>
      <c r="K3986" s="127" t="s">
        <v>4212</v>
      </c>
      <c r="L3986" s="153" t="s">
        <v>1579</v>
      </c>
      <c r="M3986">
        <v>323</v>
      </c>
      <c r="N3986" s="123">
        <v>17</v>
      </c>
      <c r="O3986">
        <v>2542</v>
      </c>
      <c r="P3986" s="132" t="s">
        <v>77</v>
      </c>
      <c r="Q3986" s="132">
        <v>548.41</v>
      </c>
      <c r="R3986" s="132">
        <v>83.59</v>
      </c>
      <c r="S3986" s="132"/>
      <c r="T3986" s="156"/>
      <c r="U3986" s="132"/>
      <c r="V3986" s="132">
        <v>632</v>
      </c>
      <c r="W3986"/>
      <c r="X3986" s="153" t="s">
        <v>3451</v>
      </c>
      <c r="Y3986" s="124" t="s">
        <v>55</v>
      </c>
      <c r="Z3986" s="308">
        <v>242</v>
      </c>
      <c r="AB3986" t="str">
        <f>IF(Table1[[#This Row],[TIPO2]]="costo", VLOOKUP(Table1[[#This Row],[PARTIDA PRESUPUESTAL]],'Cost Report'!G:G,1,0),"Balance")</f>
        <v>2585-003</v>
      </c>
      <c r="AC3986" s="118"/>
      <c r="AD3986" s="159">
        <f>+Table1[[#This Row],[SUBTOTAL]]+Table1[[#This Row],[IVA]]-Table1[[#This Row],[RET IVA]]-Table1[[#This Row],[RET ISR]]-Table1[[#This Row],[TOTAL]]</f>
        <v>0</v>
      </c>
      <c r="AE3986" s="152"/>
      <c r="AF3986" s="153"/>
      <c r="AG3986" s="126" t="s">
        <v>3420</v>
      </c>
      <c r="AK3986" s="306" t="str">
        <f>IF(ISNUMBER(Table1[[#This Row],[FECHA DE RECIBIDO]]), Table1[[#This Row],[FECHA DE RECIBIDO]]-DATE(2023,8,30), "")</f>
        <v/>
      </c>
    </row>
    <row r="3987" spans="1:37" ht="15" customHeight="1">
      <c r="A3987" s="150" t="s">
        <v>4302</v>
      </c>
      <c r="B3987" s="151">
        <v>1288</v>
      </c>
      <c r="C3987" s="126" t="s">
        <v>2565</v>
      </c>
      <c r="D3987">
        <v>2679</v>
      </c>
      <c r="E3987" s="126" t="s">
        <v>1614</v>
      </c>
      <c r="F3987" s="122" t="s">
        <v>1382</v>
      </c>
      <c r="G3987" s="122" t="e">
        <v>#N/A</v>
      </c>
      <c r="H3987">
        <v>31</v>
      </c>
      <c r="I3987" s="122" t="s">
        <v>1546</v>
      </c>
      <c r="J3987" s="307" t="s">
        <v>214</v>
      </c>
      <c r="K3987" s="127" t="s">
        <v>4212</v>
      </c>
      <c r="L3987" s="151" t="s">
        <v>1579</v>
      </c>
      <c r="M3987">
        <v>69</v>
      </c>
      <c r="N3987" s="123">
        <v>17</v>
      </c>
      <c r="O3987">
        <v>2543</v>
      </c>
      <c r="P3987" s="132" t="s">
        <v>77</v>
      </c>
      <c r="Q3987" s="131">
        <v>25</v>
      </c>
      <c r="R3987" s="131"/>
      <c r="S3987" s="131"/>
      <c r="T3987" s="155"/>
      <c r="U3987" s="131"/>
      <c r="V3987" s="131">
        <v>25</v>
      </c>
      <c r="W3987"/>
      <c r="X3987" s="151" t="s">
        <v>3451</v>
      </c>
      <c r="Y3987" s="135" t="s">
        <v>55</v>
      </c>
      <c r="Z3987" s="307">
        <v>232</v>
      </c>
      <c r="AB3987" t="str">
        <f>IF(Table1[[#This Row],[TIPO2]]="costo", VLOOKUP(Table1[[#This Row],[PARTIDA PRESUPUESTAL]],'Cost Report'!G:G,1,0),"Balance")</f>
        <v>2585-003</v>
      </c>
      <c r="AC3987" s="118"/>
      <c r="AD3987" s="159">
        <f>+Table1[[#This Row],[SUBTOTAL]]+Table1[[#This Row],[IVA]]-Table1[[#This Row],[RET IVA]]-Table1[[#This Row],[RET ISR]]-Table1[[#This Row],[TOTAL]]</f>
        <v>0</v>
      </c>
      <c r="AE3987" s="150"/>
      <c r="AF3987" s="151"/>
      <c r="AG3987" s="126" t="s">
        <v>3420</v>
      </c>
      <c r="AK3987" s="306" t="str">
        <f>IF(ISNUMBER(Table1[[#This Row],[FECHA DE RECIBIDO]]), Table1[[#This Row],[FECHA DE RECIBIDO]]-DATE(2023,8,30), "")</f>
        <v/>
      </c>
    </row>
    <row r="3988" spans="1:37" ht="15" customHeight="1">
      <c r="A3988" s="152" t="s">
        <v>4302</v>
      </c>
      <c r="B3988" s="153">
        <v>1288</v>
      </c>
      <c r="C3988" s="126" t="s">
        <v>2565</v>
      </c>
      <c r="D3988">
        <v>2680</v>
      </c>
      <c r="E3988" s="126" t="s">
        <v>4303</v>
      </c>
      <c r="F3988" s="125" t="s">
        <v>1382</v>
      </c>
      <c r="G3988" s="125" t="e">
        <v>#N/A</v>
      </c>
      <c r="H3988">
        <v>31</v>
      </c>
      <c r="I3988" s="125" t="s">
        <v>1546</v>
      </c>
      <c r="J3988" s="308" t="s">
        <v>214</v>
      </c>
      <c r="K3988" s="127" t="s">
        <v>4212</v>
      </c>
      <c r="L3988" s="153" t="s">
        <v>1579</v>
      </c>
      <c r="M3988">
        <v>69</v>
      </c>
      <c r="N3988" s="123">
        <v>17</v>
      </c>
      <c r="O3988">
        <v>2544</v>
      </c>
      <c r="P3988" s="132" t="s">
        <v>77</v>
      </c>
      <c r="Q3988" s="132">
        <v>298.27999999999997</v>
      </c>
      <c r="R3988" s="132">
        <v>47.72</v>
      </c>
      <c r="S3988" s="132"/>
      <c r="T3988" s="156"/>
      <c r="U3988" s="132"/>
      <c r="V3988" s="132">
        <v>346</v>
      </c>
      <c r="W3988"/>
      <c r="X3988" s="153" t="s">
        <v>3451</v>
      </c>
      <c r="Y3988" s="124" t="s">
        <v>55</v>
      </c>
      <c r="Z3988" s="308">
        <v>242</v>
      </c>
      <c r="AB3988" t="str">
        <f>IF(Table1[[#This Row],[TIPO2]]="costo", VLOOKUP(Table1[[#This Row],[PARTIDA PRESUPUESTAL]],'Cost Report'!G:G,1,0),"Balance")</f>
        <v>2585-003</v>
      </c>
      <c r="AC3988" s="118"/>
      <c r="AD3988" s="159">
        <f>+Table1[[#This Row],[SUBTOTAL]]+Table1[[#This Row],[IVA]]-Table1[[#This Row],[RET IVA]]-Table1[[#This Row],[RET ISR]]-Table1[[#This Row],[TOTAL]]</f>
        <v>0</v>
      </c>
      <c r="AE3988" s="152"/>
      <c r="AF3988" s="153"/>
      <c r="AG3988" s="126" t="s">
        <v>3420</v>
      </c>
      <c r="AK3988" s="306" t="str">
        <f>IF(ISNUMBER(Table1[[#This Row],[FECHA DE RECIBIDO]]), Table1[[#This Row],[FECHA DE RECIBIDO]]-DATE(2023,8,30), "")</f>
        <v/>
      </c>
    </row>
    <row r="3989" spans="1:37" ht="15" customHeight="1">
      <c r="A3989" s="150" t="s">
        <v>4302</v>
      </c>
      <c r="B3989" s="151">
        <v>1288</v>
      </c>
      <c r="C3989" s="126" t="s">
        <v>2565</v>
      </c>
      <c r="D3989">
        <v>2681</v>
      </c>
      <c r="E3989" s="126" t="s">
        <v>1613</v>
      </c>
      <c r="F3989" s="122" t="s">
        <v>1382</v>
      </c>
      <c r="G3989" s="122" t="e">
        <v>#N/A</v>
      </c>
      <c r="H3989">
        <v>31</v>
      </c>
      <c r="I3989" s="122" t="s">
        <v>1546</v>
      </c>
      <c r="J3989" s="307" t="s">
        <v>214</v>
      </c>
      <c r="K3989" s="127" t="s">
        <v>4212</v>
      </c>
      <c r="L3989" s="151" t="s">
        <v>1579</v>
      </c>
      <c r="M3989">
        <v>69</v>
      </c>
      <c r="N3989" s="123">
        <v>17</v>
      </c>
      <c r="O3989">
        <v>2545</v>
      </c>
      <c r="P3989" s="132" t="s">
        <v>77</v>
      </c>
      <c r="Q3989" s="131">
        <v>120</v>
      </c>
      <c r="R3989" s="131"/>
      <c r="S3989" s="131"/>
      <c r="T3989" s="155"/>
      <c r="U3989" s="131"/>
      <c r="V3989" s="131">
        <v>120</v>
      </c>
      <c r="W3989"/>
      <c r="X3989" s="151" t="s">
        <v>3451</v>
      </c>
      <c r="Y3989" s="135" t="s">
        <v>55</v>
      </c>
      <c r="Z3989" s="307">
        <v>242</v>
      </c>
      <c r="AB3989" t="str">
        <f>IF(Table1[[#This Row],[TIPO2]]="costo", VLOOKUP(Table1[[#This Row],[PARTIDA PRESUPUESTAL]],'Cost Report'!G:G,1,0),"Balance")</f>
        <v>2585-003</v>
      </c>
      <c r="AC3989" s="118"/>
      <c r="AD3989" s="159">
        <f>+Table1[[#This Row],[SUBTOTAL]]+Table1[[#This Row],[IVA]]-Table1[[#This Row],[RET IVA]]-Table1[[#This Row],[RET ISR]]-Table1[[#This Row],[TOTAL]]</f>
        <v>0</v>
      </c>
      <c r="AE3989" s="150"/>
      <c r="AF3989" s="151"/>
      <c r="AG3989" s="126" t="s">
        <v>3420</v>
      </c>
      <c r="AK3989" s="306" t="str">
        <f>IF(ISNUMBER(Table1[[#This Row],[FECHA DE RECIBIDO]]), Table1[[#This Row],[FECHA DE RECIBIDO]]-DATE(2023,8,30), "")</f>
        <v/>
      </c>
    </row>
    <row r="3990" spans="1:37" ht="15" customHeight="1">
      <c r="A3990" s="152" t="s">
        <v>4302</v>
      </c>
      <c r="B3990" s="153">
        <v>1288</v>
      </c>
      <c r="C3990" s="126" t="s">
        <v>2566</v>
      </c>
      <c r="D3990">
        <v>2682</v>
      </c>
      <c r="E3990" s="126" t="s">
        <v>1985</v>
      </c>
      <c r="F3990" s="125" t="s">
        <v>4304</v>
      </c>
      <c r="G3990" s="125" t="s">
        <v>4305</v>
      </c>
      <c r="H3990">
        <v>734</v>
      </c>
      <c r="I3990" s="125" t="s">
        <v>1546</v>
      </c>
      <c r="J3990" s="308" t="s">
        <v>214</v>
      </c>
      <c r="K3990" s="127" t="s">
        <v>4212</v>
      </c>
      <c r="L3990" s="153" t="s">
        <v>1579</v>
      </c>
      <c r="M3990">
        <v>1018</v>
      </c>
      <c r="N3990" s="123">
        <v>17</v>
      </c>
      <c r="O3990">
        <v>2546</v>
      </c>
      <c r="P3990" s="132" t="s">
        <v>77</v>
      </c>
      <c r="Q3990" s="132">
        <v>265</v>
      </c>
      <c r="R3990" s="132"/>
      <c r="S3990" s="132"/>
      <c r="T3990" s="156"/>
      <c r="U3990" s="132"/>
      <c r="V3990" s="132">
        <v>265</v>
      </c>
      <c r="W3990"/>
      <c r="X3990" s="153" t="s">
        <v>3451</v>
      </c>
      <c r="Y3990" s="124" t="s">
        <v>55</v>
      </c>
      <c r="Z3990" s="308">
        <v>227</v>
      </c>
      <c r="AB3990" t="str">
        <f>IF(Table1[[#This Row],[TIPO2]]="costo", VLOOKUP(Table1[[#This Row],[PARTIDA PRESUPUESTAL]],'Cost Report'!G:G,1,0),"Balance")</f>
        <v>2594-003</v>
      </c>
      <c r="AC3990" s="118"/>
      <c r="AD3990" s="159">
        <f>+Table1[[#This Row],[SUBTOTAL]]+Table1[[#This Row],[IVA]]-Table1[[#This Row],[RET IVA]]-Table1[[#This Row],[RET ISR]]-Table1[[#This Row],[TOTAL]]</f>
        <v>0</v>
      </c>
      <c r="AE3990" s="152"/>
      <c r="AF3990" s="153"/>
      <c r="AG3990" s="126" t="s">
        <v>3420</v>
      </c>
      <c r="AK3990" s="306" t="str">
        <f>IF(ISNUMBER(Table1[[#This Row],[FECHA DE RECIBIDO]]), Table1[[#This Row],[FECHA DE RECIBIDO]]-DATE(2023,8,30), "")</f>
        <v/>
      </c>
    </row>
    <row r="3991" spans="1:37" ht="15" customHeight="1">
      <c r="A3991" s="150" t="s">
        <v>4302</v>
      </c>
      <c r="B3991" s="151">
        <v>1288</v>
      </c>
      <c r="C3991" s="126" t="s">
        <v>2565</v>
      </c>
      <c r="D3991">
        <v>2683</v>
      </c>
      <c r="E3991" s="126" t="s">
        <v>3378</v>
      </c>
      <c r="F3991" s="122" t="s">
        <v>1607</v>
      </c>
      <c r="G3991" s="122" t="s">
        <v>134</v>
      </c>
      <c r="H3991">
        <v>91</v>
      </c>
      <c r="I3991" s="122" t="s">
        <v>1546</v>
      </c>
      <c r="J3991" s="307" t="s">
        <v>214</v>
      </c>
      <c r="K3991" s="127" t="s">
        <v>4212</v>
      </c>
      <c r="L3991" s="151" t="s">
        <v>1579</v>
      </c>
      <c r="M3991">
        <v>122</v>
      </c>
      <c r="N3991" s="123">
        <v>17</v>
      </c>
      <c r="O3991">
        <v>2547</v>
      </c>
      <c r="P3991" s="132" t="s">
        <v>77</v>
      </c>
      <c r="Q3991" s="131">
        <v>27.5</v>
      </c>
      <c r="R3991" s="131"/>
      <c r="S3991" s="131"/>
      <c r="T3991" s="155"/>
      <c r="U3991" s="131"/>
      <c r="V3991" s="131">
        <v>27.5</v>
      </c>
      <c r="W3991"/>
      <c r="X3991" s="151" t="s">
        <v>3451</v>
      </c>
      <c r="Y3991" s="135" t="s">
        <v>55</v>
      </c>
      <c r="Z3991" s="307">
        <v>242</v>
      </c>
      <c r="AB3991" t="str">
        <f>IF(Table1[[#This Row],[TIPO2]]="costo", VLOOKUP(Table1[[#This Row],[PARTIDA PRESUPUESTAL]],'Cost Report'!G:G,1,0),"Balance")</f>
        <v>2585-003</v>
      </c>
      <c r="AC3991" s="118"/>
      <c r="AD3991" s="159">
        <f>+Table1[[#This Row],[SUBTOTAL]]+Table1[[#This Row],[IVA]]-Table1[[#This Row],[RET IVA]]-Table1[[#This Row],[RET ISR]]-Table1[[#This Row],[TOTAL]]</f>
        <v>0</v>
      </c>
      <c r="AE3991" s="150"/>
      <c r="AF3991" s="151"/>
      <c r="AG3991" s="126" t="s">
        <v>3420</v>
      </c>
      <c r="AK3991" s="306" t="str">
        <f>IF(ISNUMBER(Table1[[#This Row],[FECHA DE RECIBIDO]]), Table1[[#This Row],[FECHA DE RECIBIDO]]-DATE(2023,8,30), "")</f>
        <v/>
      </c>
    </row>
    <row r="3992" spans="1:37" ht="15" customHeight="1">
      <c r="A3992" s="152" t="s">
        <v>4302</v>
      </c>
      <c r="B3992" s="153">
        <v>1288</v>
      </c>
      <c r="C3992" s="126" t="s">
        <v>2565</v>
      </c>
      <c r="D3992">
        <v>2684</v>
      </c>
      <c r="E3992" s="126" t="s">
        <v>3275</v>
      </c>
      <c r="F3992" s="125" t="s">
        <v>1607</v>
      </c>
      <c r="G3992" s="125" t="s">
        <v>134</v>
      </c>
      <c r="H3992">
        <v>177</v>
      </c>
      <c r="I3992" s="125" t="s">
        <v>1546</v>
      </c>
      <c r="J3992" s="308" t="s">
        <v>214</v>
      </c>
      <c r="K3992" s="127" t="s">
        <v>4212</v>
      </c>
      <c r="L3992" s="153" t="s">
        <v>1579</v>
      </c>
      <c r="M3992">
        <v>238</v>
      </c>
      <c r="N3992" s="123">
        <v>17</v>
      </c>
      <c r="O3992">
        <v>2548</v>
      </c>
      <c r="P3992" s="132" t="s">
        <v>77</v>
      </c>
      <c r="Q3992" s="132">
        <v>643.80999999999995</v>
      </c>
      <c r="R3992" s="132">
        <v>103.01</v>
      </c>
      <c r="S3992" s="132"/>
      <c r="T3992" s="156"/>
      <c r="U3992" s="132"/>
      <c r="V3992" s="132">
        <v>746.81999999999994</v>
      </c>
      <c r="W3992"/>
      <c r="X3992" s="153" t="s">
        <v>3451</v>
      </c>
      <c r="Y3992" s="124" t="s">
        <v>55</v>
      </c>
      <c r="Z3992" s="308">
        <v>227</v>
      </c>
      <c r="AB3992" t="str">
        <f>IF(Table1[[#This Row],[TIPO2]]="costo", VLOOKUP(Table1[[#This Row],[PARTIDA PRESUPUESTAL]],'Cost Report'!G:G,1,0),"Balance")</f>
        <v>2585-003</v>
      </c>
      <c r="AC3992" s="118"/>
      <c r="AD3992" s="159">
        <f>+Table1[[#This Row],[SUBTOTAL]]+Table1[[#This Row],[IVA]]-Table1[[#This Row],[RET IVA]]-Table1[[#This Row],[RET ISR]]-Table1[[#This Row],[TOTAL]]</f>
        <v>0</v>
      </c>
      <c r="AE3992" s="152"/>
      <c r="AF3992" s="153"/>
      <c r="AG3992" s="126" t="s">
        <v>3420</v>
      </c>
      <c r="AK3992" s="306" t="str">
        <f>IF(ISNUMBER(Table1[[#This Row],[FECHA DE RECIBIDO]]), Table1[[#This Row],[FECHA DE RECIBIDO]]-DATE(2023,8,30), "")</f>
        <v/>
      </c>
    </row>
    <row r="3993" spans="1:37" ht="15" customHeight="1">
      <c r="A3993" s="150" t="s">
        <v>4302</v>
      </c>
      <c r="B3993" s="151">
        <v>1288</v>
      </c>
      <c r="C3993" s="126" t="s">
        <v>2565</v>
      </c>
      <c r="D3993">
        <v>2685</v>
      </c>
      <c r="E3993" s="126" t="s">
        <v>3363</v>
      </c>
      <c r="F3993" s="122" t="s">
        <v>1607</v>
      </c>
      <c r="G3993" s="122" t="s">
        <v>134</v>
      </c>
      <c r="H3993">
        <v>99</v>
      </c>
      <c r="I3993" s="122" t="s">
        <v>1546</v>
      </c>
      <c r="J3993" s="307" t="s">
        <v>214</v>
      </c>
      <c r="K3993" s="127" t="s">
        <v>4212</v>
      </c>
      <c r="L3993" s="151" t="s">
        <v>1579</v>
      </c>
      <c r="M3993">
        <v>134</v>
      </c>
      <c r="N3993" s="123">
        <v>17</v>
      </c>
      <c r="O3993">
        <v>2549</v>
      </c>
      <c r="P3993" s="132" t="s">
        <v>77</v>
      </c>
      <c r="Q3993" s="131">
        <v>486.72</v>
      </c>
      <c r="R3993" s="131">
        <v>77.88</v>
      </c>
      <c r="S3993" s="131"/>
      <c r="T3993" s="155"/>
      <c r="U3993" s="131"/>
      <c r="V3993" s="131">
        <v>564.6</v>
      </c>
      <c r="W3993"/>
      <c r="X3993" s="151" t="s">
        <v>3451</v>
      </c>
      <c r="Y3993" s="135" t="s">
        <v>55</v>
      </c>
      <c r="Z3993" s="307">
        <v>227</v>
      </c>
      <c r="AB3993" t="str">
        <f>IF(Table1[[#This Row],[TIPO2]]="costo", VLOOKUP(Table1[[#This Row],[PARTIDA PRESUPUESTAL]],'Cost Report'!G:G,1,0),"Balance")</f>
        <v>2585-003</v>
      </c>
      <c r="AC3993" s="118"/>
      <c r="AD3993" s="159">
        <f>+Table1[[#This Row],[SUBTOTAL]]+Table1[[#This Row],[IVA]]-Table1[[#This Row],[RET IVA]]-Table1[[#This Row],[RET ISR]]-Table1[[#This Row],[TOTAL]]</f>
        <v>0</v>
      </c>
      <c r="AE3993" s="150"/>
      <c r="AF3993" s="151"/>
      <c r="AG3993" s="126" t="s">
        <v>3420</v>
      </c>
      <c r="AK3993" s="306" t="str">
        <f>IF(ISNUMBER(Table1[[#This Row],[FECHA DE RECIBIDO]]), Table1[[#This Row],[FECHA DE RECIBIDO]]-DATE(2023,8,30), "")</f>
        <v/>
      </c>
    </row>
    <row r="3994" spans="1:37" ht="15" customHeight="1">
      <c r="A3994" s="152" t="s">
        <v>4302</v>
      </c>
      <c r="B3994" s="153">
        <v>1288</v>
      </c>
      <c r="C3994" s="126" t="s">
        <v>2566</v>
      </c>
      <c r="D3994">
        <v>2686</v>
      </c>
      <c r="E3994" s="126" t="s">
        <v>3275</v>
      </c>
      <c r="F3994" s="125" t="s">
        <v>1607</v>
      </c>
      <c r="G3994" s="125" t="s">
        <v>134</v>
      </c>
      <c r="H3994">
        <v>139</v>
      </c>
      <c r="I3994" s="125" t="s">
        <v>1546</v>
      </c>
      <c r="J3994" s="308" t="s">
        <v>214</v>
      </c>
      <c r="K3994" s="127" t="s">
        <v>4212</v>
      </c>
      <c r="L3994" s="153" t="s">
        <v>1579</v>
      </c>
      <c r="M3994">
        <v>181</v>
      </c>
      <c r="N3994" s="123">
        <v>17</v>
      </c>
      <c r="O3994">
        <v>2550</v>
      </c>
      <c r="P3994" s="132" t="s">
        <v>77</v>
      </c>
      <c r="Q3994" s="132">
        <v>369.18</v>
      </c>
      <c r="R3994" s="132">
        <v>59.07</v>
      </c>
      <c r="S3994" s="132"/>
      <c r="T3994" s="156"/>
      <c r="U3994" s="132"/>
      <c r="V3994" s="132">
        <v>428.25</v>
      </c>
      <c r="W3994"/>
      <c r="X3994" s="153" t="s">
        <v>3451</v>
      </c>
      <c r="Y3994" s="124" t="s">
        <v>55</v>
      </c>
      <c r="Z3994" s="308">
        <v>227</v>
      </c>
      <c r="AB3994" t="str">
        <f>IF(Table1[[#This Row],[TIPO2]]="costo", VLOOKUP(Table1[[#This Row],[PARTIDA PRESUPUESTAL]],'Cost Report'!G:G,1,0),"Balance")</f>
        <v>2594-003</v>
      </c>
      <c r="AC3994" s="118"/>
      <c r="AD3994" s="159">
        <f>+Table1[[#This Row],[SUBTOTAL]]+Table1[[#This Row],[IVA]]-Table1[[#This Row],[RET IVA]]-Table1[[#This Row],[RET ISR]]-Table1[[#This Row],[TOTAL]]</f>
        <v>0</v>
      </c>
      <c r="AE3994" s="152"/>
      <c r="AF3994" s="153"/>
      <c r="AG3994" s="126" t="s">
        <v>3420</v>
      </c>
      <c r="AK3994" s="306" t="str">
        <f>IF(ISNUMBER(Table1[[#This Row],[FECHA DE RECIBIDO]]), Table1[[#This Row],[FECHA DE RECIBIDO]]-DATE(2023,8,30), "")</f>
        <v/>
      </c>
    </row>
    <row r="3995" spans="1:37" ht="15" customHeight="1">
      <c r="A3995" s="150" t="s">
        <v>4302</v>
      </c>
      <c r="B3995" s="151">
        <v>1288</v>
      </c>
      <c r="C3995" s="126" t="s">
        <v>2566</v>
      </c>
      <c r="D3995">
        <v>2687</v>
      </c>
      <c r="E3995" s="126" t="s">
        <v>3275</v>
      </c>
      <c r="F3995" s="122" t="s">
        <v>1607</v>
      </c>
      <c r="G3995" s="122" t="s">
        <v>134</v>
      </c>
      <c r="H3995">
        <v>41</v>
      </c>
      <c r="I3995" s="122" t="s">
        <v>1546</v>
      </c>
      <c r="J3995" s="307" t="s">
        <v>214</v>
      </c>
      <c r="K3995" s="127" t="s">
        <v>4212</v>
      </c>
      <c r="L3995" s="151" t="s">
        <v>1579</v>
      </c>
      <c r="M3995">
        <v>323</v>
      </c>
      <c r="N3995" s="123">
        <v>17</v>
      </c>
      <c r="O3995">
        <v>2551</v>
      </c>
      <c r="P3995" s="132" t="s">
        <v>77</v>
      </c>
      <c r="Q3995" s="131">
        <v>964.66</v>
      </c>
      <c r="R3995" s="131">
        <v>154.34</v>
      </c>
      <c r="S3995" s="131"/>
      <c r="T3995" s="155"/>
      <c r="U3995" s="131"/>
      <c r="V3995" s="131">
        <v>1119</v>
      </c>
      <c r="W3995"/>
      <c r="X3995" s="151" t="s">
        <v>3451</v>
      </c>
      <c r="Y3995" s="135" t="s">
        <v>55</v>
      </c>
      <c r="Z3995" s="307">
        <v>242</v>
      </c>
      <c r="AB3995" t="str">
        <f>IF(Table1[[#This Row],[TIPO2]]="costo", VLOOKUP(Table1[[#This Row],[PARTIDA PRESUPUESTAL]],'Cost Report'!G:G,1,0),"Balance")</f>
        <v>2594-003</v>
      </c>
      <c r="AC3995" s="118"/>
      <c r="AD3995" s="159">
        <f>+Table1[[#This Row],[SUBTOTAL]]+Table1[[#This Row],[IVA]]-Table1[[#This Row],[RET IVA]]-Table1[[#This Row],[RET ISR]]-Table1[[#This Row],[TOTAL]]</f>
        <v>0</v>
      </c>
      <c r="AE3995" s="150"/>
      <c r="AF3995" s="151"/>
      <c r="AG3995" s="126" t="s">
        <v>3420</v>
      </c>
      <c r="AK3995" s="306" t="str">
        <f>IF(ISNUMBER(Table1[[#This Row],[FECHA DE RECIBIDO]]), Table1[[#This Row],[FECHA DE RECIBIDO]]-DATE(2023,8,30), "")</f>
        <v/>
      </c>
    </row>
    <row r="3996" spans="1:37" ht="15" customHeight="1">
      <c r="A3996" s="152" t="s">
        <v>4302</v>
      </c>
      <c r="B3996" s="153">
        <v>1288</v>
      </c>
      <c r="C3996" s="126" t="s">
        <v>2565</v>
      </c>
      <c r="D3996">
        <v>2688</v>
      </c>
      <c r="E3996" s="126" t="s">
        <v>3275</v>
      </c>
      <c r="F3996" s="125" t="s">
        <v>1607</v>
      </c>
      <c r="G3996" s="125" t="s">
        <v>134</v>
      </c>
      <c r="H3996">
        <v>41</v>
      </c>
      <c r="I3996" s="125" t="s">
        <v>1546</v>
      </c>
      <c r="J3996" s="308" t="s">
        <v>214</v>
      </c>
      <c r="K3996" s="127" t="s">
        <v>4212</v>
      </c>
      <c r="L3996" s="153" t="s">
        <v>1579</v>
      </c>
      <c r="M3996">
        <v>323</v>
      </c>
      <c r="N3996" s="123">
        <v>17</v>
      </c>
      <c r="O3996">
        <v>2552</v>
      </c>
      <c r="P3996" s="132" t="s">
        <v>77</v>
      </c>
      <c r="Q3996" s="132">
        <v>182.76</v>
      </c>
      <c r="R3996" s="132">
        <v>29.24</v>
      </c>
      <c r="S3996" s="132"/>
      <c r="T3996" s="156"/>
      <c r="U3996" s="132"/>
      <c r="V3996" s="132">
        <v>212</v>
      </c>
      <c r="W3996"/>
      <c r="X3996" s="153" t="s">
        <v>3451</v>
      </c>
      <c r="Y3996" s="124" t="s">
        <v>55</v>
      </c>
      <c r="Z3996" s="308">
        <v>242</v>
      </c>
      <c r="AB3996" t="str">
        <f>IF(Table1[[#This Row],[TIPO2]]="costo", VLOOKUP(Table1[[#This Row],[PARTIDA PRESUPUESTAL]],'Cost Report'!G:G,1,0),"Balance")</f>
        <v>2585-003</v>
      </c>
      <c r="AC3996" s="118"/>
      <c r="AD3996" s="159">
        <f>+Table1[[#This Row],[SUBTOTAL]]+Table1[[#This Row],[IVA]]-Table1[[#This Row],[RET IVA]]-Table1[[#This Row],[RET ISR]]-Table1[[#This Row],[TOTAL]]</f>
        <v>0</v>
      </c>
      <c r="AE3996" s="152"/>
      <c r="AF3996" s="153"/>
      <c r="AG3996" s="126" t="s">
        <v>3420</v>
      </c>
      <c r="AK3996" s="306" t="str">
        <f>IF(ISNUMBER(Table1[[#This Row],[FECHA DE RECIBIDO]]), Table1[[#This Row],[FECHA DE RECIBIDO]]-DATE(2023,8,30), "")</f>
        <v/>
      </c>
    </row>
    <row r="3997" spans="1:37" ht="15" customHeight="1">
      <c r="A3997" s="150" t="s">
        <v>4302</v>
      </c>
      <c r="B3997" s="151">
        <v>1288</v>
      </c>
      <c r="C3997" s="126" t="s">
        <v>2565</v>
      </c>
      <c r="D3997">
        <v>2689</v>
      </c>
      <c r="E3997" s="126" t="s">
        <v>3275</v>
      </c>
      <c r="F3997" s="122" t="s">
        <v>1607</v>
      </c>
      <c r="G3997" s="122" t="s">
        <v>134</v>
      </c>
      <c r="H3997">
        <v>57</v>
      </c>
      <c r="I3997" s="122" t="s">
        <v>1546</v>
      </c>
      <c r="J3997" s="307" t="s">
        <v>214</v>
      </c>
      <c r="K3997" s="127" t="s">
        <v>4212</v>
      </c>
      <c r="L3997" s="151" t="s">
        <v>1579</v>
      </c>
      <c r="M3997">
        <v>79</v>
      </c>
      <c r="N3997" s="123">
        <v>17</v>
      </c>
      <c r="O3997">
        <v>2553</v>
      </c>
      <c r="P3997" s="132" t="s">
        <v>77</v>
      </c>
      <c r="Q3997" s="131">
        <v>1312.36</v>
      </c>
      <c r="R3997" s="131">
        <v>209.99</v>
      </c>
      <c r="S3997" s="131"/>
      <c r="T3997" s="155"/>
      <c r="U3997" s="131"/>
      <c r="V3997" s="131">
        <v>1522.35</v>
      </c>
      <c r="W3997"/>
      <c r="X3997" s="151" t="s">
        <v>3451</v>
      </c>
      <c r="Y3997" s="135" t="s">
        <v>55</v>
      </c>
      <c r="Z3997" s="307">
        <v>227</v>
      </c>
      <c r="AB3997" t="str">
        <f>IF(Table1[[#This Row],[TIPO2]]="costo", VLOOKUP(Table1[[#This Row],[PARTIDA PRESUPUESTAL]],'Cost Report'!G:G,1,0),"Balance")</f>
        <v>2585-003</v>
      </c>
      <c r="AC3997" s="118"/>
      <c r="AD3997" s="159">
        <f>+Table1[[#This Row],[SUBTOTAL]]+Table1[[#This Row],[IVA]]-Table1[[#This Row],[RET IVA]]-Table1[[#This Row],[RET ISR]]-Table1[[#This Row],[TOTAL]]</f>
        <v>0</v>
      </c>
      <c r="AE3997" s="150"/>
      <c r="AF3997" s="151"/>
      <c r="AG3997" s="126" t="s">
        <v>3420</v>
      </c>
      <c r="AK3997" s="306" t="str">
        <f>IF(ISNUMBER(Table1[[#This Row],[FECHA DE RECIBIDO]]), Table1[[#This Row],[FECHA DE RECIBIDO]]-DATE(2023,8,30), "")</f>
        <v/>
      </c>
    </row>
    <row r="3998" spans="1:37" ht="15" customHeight="1">
      <c r="A3998" s="152" t="s">
        <v>4302</v>
      </c>
      <c r="B3998" s="153">
        <v>1288</v>
      </c>
      <c r="C3998" s="126" t="s">
        <v>1505</v>
      </c>
      <c r="D3998">
        <v>2690</v>
      </c>
      <c r="E3998" s="126" t="s">
        <v>1596</v>
      </c>
      <c r="F3998" s="125" t="s">
        <v>1607</v>
      </c>
      <c r="G3998" s="125" t="s">
        <v>134</v>
      </c>
      <c r="H3998">
        <v>156</v>
      </c>
      <c r="I3998" s="125" t="s">
        <v>1546</v>
      </c>
      <c r="J3998" s="308" t="s">
        <v>214</v>
      </c>
      <c r="K3998" s="127" t="s">
        <v>4212</v>
      </c>
      <c r="L3998" s="153" t="s">
        <v>1579</v>
      </c>
      <c r="M3998">
        <v>207</v>
      </c>
      <c r="N3998" s="123">
        <v>17</v>
      </c>
      <c r="O3998">
        <v>2554</v>
      </c>
      <c r="P3998" s="132" t="s">
        <v>77</v>
      </c>
      <c r="Q3998" s="132">
        <v>822.55</v>
      </c>
      <c r="R3998" s="132">
        <v>131.6</v>
      </c>
      <c r="S3998" s="132"/>
      <c r="T3998" s="156"/>
      <c r="U3998" s="132"/>
      <c r="V3998" s="132">
        <v>954.15</v>
      </c>
      <c r="W3998"/>
      <c r="X3998" s="153" t="s">
        <v>3451</v>
      </c>
      <c r="Y3998" s="124" t="s">
        <v>55</v>
      </c>
      <c r="Z3998" s="308">
        <v>232</v>
      </c>
      <c r="AB3998" t="str">
        <f>IF(Table1[[#This Row],[TIPO2]]="costo", VLOOKUP(Table1[[#This Row],[PARTIDA PRESUPUESTAL]],'Cost Report'!G:G,1,0),"Balance")</f>
        <v>2494-003</v>
      </c>
      <c r="AC3998" s="118"/>
      <c r="AD3998" s="159">
        <f>+Table1[[#This Row],[SUBTOTAL]]+Table1[[#This Row],[IVA]]-Table1[[#This Row],[RET IVA]]-Table1[[#This Row],[RET ISR]]-Table1[[#This Row],[TOTAL]]</f>
        <v>0</v>
      </c>
      <c r="AE3998" s="152"/>
      <c r="AF3998" s="153"/>
      <c r="AG3998" s="126" t="s">
        <v>3420</v>
      </c>
      <c r="AK3998" s="306" t="str">
        <f>IF(ISNUMBER(Table1[[#This Row],[FECHA DE RECIBIDO]]), Table1[[#This Row],[FECHA DE RECIBIDO]]-DATE(2023,8,30), "")</f>
        <v/>
      </c>
    </row>
    <row r="3999" spans="1:37" ht="15" customHeight="1">
      <c r="A3999" s="150" t="s">
        <v>4302</v>
      </c>
      <c r="B3999" s="151">
        <v>1288</v>
      </c>
      <c r="C3999" s="126" t="s">
        <v>2565</v>
      </c>
      <c r="D3999">
        <v>2691</v>
      </c>
      <c r="E3999" s="126" t="s">
        <v>1596</v>
      </c>
      <c r="F3999" s="122" t="s">
        <v>1593</v>
      </c>
      <c r="G3999" s="122" t="s">
        <v>109</v>
      </c>
      <c r="H3999">
        <v>735</v>
      </c>
      <c r="I3999" s="122" t="s">
        <v>1546</v>
      </c>
      <c r="J3999" s="307" t="s">
        <v>214</v>
      </c>
      <c r="K3999" s="127" t="s">
        <v>4212</v>
      </c>
      <c r="L3999" s="151" t="s">
        <v>1579</v>
      </c>
      <c r="M3999">
        <v>1019</v>
      </c>
      <c r="N3999" s="123">
        <v>17</v>
      </c>
      <c r="O3999">
        <v>2555</v>
      </c>
      <c r="P3999" s="132" t="s">
        <v>77</v>
      </c>
      <c r="Q3999" s="131">
        <v>452.95</v>
      </c>
      <c r="R3999" s="131">
        <v>72.47</v>
      </c>
      <c r="S3999" s="131"/>
      <c r="T3999" s="155"/>
      <c r="U3999" s="131">
        <v>5.66</v>
      </c>
      <c r="V3999" s="131">
        <v>519.76</v>
      </c>
      <c r="W3999"/>
      <c r="X3999" s="151" t="s">
        <v>3451</v>
      </c>
      <c r="Y3999" s="135" t="s">
        <v>55</v>
      </c>
      <c r="Z3999" s="307">
        <v>238</v>
      </c>
      <c r="AB3999" t="str">
        <f>IF(Table1[[#This Row],[TIPO2]]="costo", VLOOKUP(Table1[[#This Row],[PARTIDA PRESUPUESTAL]],'Cost Report'!G:G,1,0),"Balance")</f>
        <v>2585-003</v>
      </c>
      <c r="AC3999" s="118"/>
      <c r="AD3999" s="159">
        <f>+Table1[[#This Row],[SUBTOTAL]]+Table1[[#This Row],[IVA]]-Table1[[#This Row],[RET IVA]]-Table1[[#This Row],[RET ISR]]-Table1[[#This Row],[TOTAL]]</f>
        <v>0</v>
      </c>
      <c r="AE3999" s="150"/>
      <c r="AF3999" s="151"/>
      <c r="AG3999" s="126" t="s">
        <v>3420</v>
      </c>
      <c r="AK3999" s="306" t="str">
        <f>IF(ISNUMBER(Table1[[#This Row],[FECHA DE RECIBIDO]]), Table1[[#This Row],[FECHA DE RECIBIDO]]-DATE(2023,8,30), "")</f>
        <v/>
      </c>
    </row>
    <row r="4000" spans="1:37" ht="15" customHeight="1">
      <c r="A4000" s="152" t="s">
        <v>4302</v>
      </c>
      <c r="B4000" s="153">
        <v>1288</v>
      </c>
      <c r="C4000" s="126" t="s">
        <v>2565</v>
      </c>
      <c r="D4000">
        <v>2692</v>
      </c>
      <c r="E4000" s="126" t="s">
        <v>1596</v>
      </c>
      <c r="F4000" s="125" t="s">
        <v>1607</v>
      </c>
      <c r="G4000" s="125" t="s">
        <v>134</v>
      </c>
      <c r="H4000">
        <v>43</v>
      </c>
      <c r="I4000" s="125" t="s">
        <v>1546</v>
      </c>
      <c r="J4000" s="308" t="s">
        <v>214</v>
      </c>
      <c r="K4000" s="127" t="s">
        <v>4212</v>
      </c>
      <c r="L4000" s="153" t="s">
        <v>1579</v>
      </c>
      <c r="M4000">
        <v>67</v>
      </c>
      <c r="N4000" s="123">
        <v>17</v>
      </c>
      <c r="O4000">
        <v>2556</v>
      </c>
      <c r="P4000" s="132" t="s">
        <v>77</v>
      </c>
      <c r="Q4000" s="132">
        <v>86.21</v>
      </c>
      <c r="R4000" s="132">
        <v>13.79</v>
      </c>
      <c r="S4000" s="132"/>
      <c r="T4000" s="156"/>
      <c r="U4000" s="132"/>
      <c r="V4000" s="132">
        <v>100</v>
      </c>
      <c r="W4000"/>
      <c r="X4000" s="153" t="s">
        <v>3451</v>
      </c>
      <c r="Y4000" s="124" t="s">
        <v>55</v>
      </c>
      <c r="Z4000" s="308">
        <v>243</v>
      </c>
      <c r="AB4000" t="str">
        <f>IF(Table1[[#This Row],[TIPO2]]="costo", VLOOKUP(Table1[[#This Row],[PARTIDA PRESUPUESTAL]],'Cost Report'!G:G,1,0),"Balance")</f>
        <v>2585-003</v>
      </c>
      <c r="AC4000" s="118"/>
      <c r="AD4000" s="159">
        <f>+Table1[[#This Row],[SUBTOTAL]]+Table1[[#This Row],[IVA]]-Table1[[#This Row],[RET IVA]]-Table1[[#This Row],[RET ISR]]-Table1[[#This Row],[TOTAL]]</f>
        <v>0</v>
      </c>
      <c r="AE4000" s="152"/>
      <c r="AF4000" s="153"/>
      <c r="AG4000" s="126" t="s">
        <v>3420</v>
      </c>
      <c r="AK4000" s="306" t="str">
        <f>IF(ISNUMBER(Table1[[#This Row],[FECHA DE RECIBIDO]]), Table1[[#This Row],[FECHA DE RECIBIDO]]-DATE(2023,8,30), "")</f>
        <v/>
      </c>
    </row>
    <row r="4001" spans="1:37" ht="15" customHeight="1">
      <c r="A4001" s="150" t="s">
        <v>4302</v>
      </c>
      <c r="B4001" s="151">
        <v>1288</v>
      </c>
      <c r="C4001" s="126" t="s">
        <v>2565</v>
      </c>
      <c r="D4001">
        <v>2693</v>
      </c>
      <c r="E4001" s="126" t="s">
        <v>1596</v>
      </c>
      <c r="F4001" s="122" t="s">
        <v>1607</v>
      </c>
      <c r="G4001" s="122" t="s">
        <v>134</v>
      </c>
      <c r="H4001">
        <v>43</v>
      </c>
      <c r="I4001" s="122" t="s">
        <v>1546</v>
      </c>
      <c r="J4001" s="307" t="s">
        <v>214</v>
      </c>
      <c r="K4001" s="127" t="s">
        <v>4212</v>
      </c>
      <c r="L4001" s="151" t="s">
        <v>1579</v>
      </c>
      <c r="M4001">
        <v>67</v>
      </c>
      <c r="N4001" s="123">
        <v>17</v>
      </c>
      <c r="O4001">
        <v>2557</v>
      </c>
      <c r="P4001" s="132" t="s">
        <v>77</v>
      </c>
      <c r="Q4001" s="131">
        <v>86.21</v>
      </c>
      <c r="R4001" s="131">
        <v>13.79</v>
      </c>
      <c r="S4001" s="131"/>
      <c r="T4001" s="155"/>
      <c r="U4001" s="131"/>
      <c r="V4001" s="131">
        <v>100</v>
      </c>
      <c r="W4001"/>
      <c r="X4001" s="151" t="s">
        <v>3451</v>
      </c>
      <c r="Y4001" s="135" t="s">
        <v>55</v>
      </c>
      <c r="Z4001" s="307">
        <v>243</v>
      </c>
      <c r="AB4001" t="str">
        <f>IF(Table1[[#This Row],[TIPO2]]="costo", VLOOKUP(Table1[[#This Row],[PARTIDA PRESUPUESTAL]],'Cost Report'!G:G,1,0),"Balance")</f>
        <v>2585-003</v>
      </c>
      <c r="AC4001" s="118"/>
      <c r="AD4001" s="159">
        <f>+Table1[[#This Row],[SUBTOTAL]]+Table1[[#This Row],[IVA]]-Table1[[#This Row],[RET IVA]]-Table1[[#This Row],[RET ISR]]-Table1[[#This Row],[TOTAL]]</f>
        <v>0</v>
      </c>
      <c r="AE4001" s="150"/>
      <c r="AF4001" s="151"/>
      <c r="AG4001" s="126" t="s">
        <v>3420</v>
      </c>
      <c r="AK4001" s="306" t="str">
        <f>IF(ISNUMBER(Table1[[#This Row],[FECHA DE RECIBIDO]]), Table1[[#This Row],[FECHA DE RECIBIDO]]-DATE(2023,8,30), "")</f>
        <v/>
      </c>
    </row>
    <row r="4002" spans="1:37" ht="15" customHeight="1">
      <c r="A4002" s="152" t="s">
        <v>4302</v>
      </c>
      <c r="B4002" s="153">
        <v>1288</v>
      </c>
      <c r="C4002" s="126" t="s">
        <v>2565</v>
      </c>
      <c r="D4002">
        <v>689</v>
      </c>
      <c r="E4002" s="126"/>
      <c r="F4002" s="125"/>
      <c r="G4002" s="125"/>
      <c r="H4002"/>
      <c r="I4002" s="125"/>
      <c r="J4002" s="308" t="s">
        <v>214</v>
      </c>
      <c r="K4002" s="127" t="s">
        <v>4212</v>
      </c>
      <c r="L4002" s="153" t="s">
        <v>1579</v>
      </c>
      <c r="M4002">
        <v>1020</v>
      </c>
      <c r="N4002" s="123">
        <v>17</v>
      </c>
      <c r="O4002">
        <v>2558</v>
      </c>
      <c r="P4002" s="132" t="s">
        <v>77</v>
      </c>
      <c r="Q4002" s="132">
        <v>45</v>
      </c>
      <c r="R4002" s="132"/>
      <c r="S4002" s="132"/>
      <c r="T4002" s="156"/>
      <c r="U4002" s="132"/>
      <c r="V4002" s="132">
        <v>45</v>
      </c>
      <c r="W4002"/>
      <c r="X4002" s="153" t="s">
        <v>3451</v>
      </c>
      <c r="Y4002" s="124" t="s">
        <v>55</v>
      </c>
      <c r="Z4002" s="308">
        <v>223</v>
      </c>
      <c r="AB4002" t="str">
        <f>IF(Table1[[#This Row],[TIPO2]]="costo", VLOOKUP(Table1[[#This Row],[PARTIDA PRESUPUESTAL]],'Cost Report'!G:G,1,0),"Balance")</f>
        <v>2585-003</v>
      </c>
      <c r="AC4002" s="118"/>
      <c r="AD4002" s="159">
        <f>+Table1[[#This Row],[SUBTOTAL]]+Table1[[#This Row],[IVA]]-Table1[[#This Row],[RET IVA]]-Table1[[#This Row],[RET ISR]]-Table1[[#This Row],[TOTAL]]</f>
        <v>0</v>
      </c>
      <c r="AE4002" s="152"/>
      <c r="AF4002" s="153"/>
      <c r="AG4002" s="126" t="s">
        <v>3420</v>
      </c>
      <c r="AK4002" s="306" t="str">
        <f>IF(ISNUMBER(Table1[[#This Row],[FECHA DE RECIBIDO]]), Table1[[#This Row],[FECHA DE RECIBIDO]]-DATE(2023,8,30), "")</f>
        <v/>
      </c>
    </row>
    <row r="4003" spans="1:37" ht="15" customHeight="1">
      <c r="A4003" s="150" t="s">
        <v>4302</v>
      </c>
      <c r="B4003" s="151">
        <v>1288</v>
      </c>
      <c r="C4003" s="126" t="s">
        <v>2565</v>
      </c>
      <c r="D4003">
        <v>689</v>
      </c>
      <c r="E4003" s="126"/>
      <c r="F4003" s="122"/>
      <c r="G4003" s="122"/>
      <c r="H4003"/>
      <c r="I4003" s="122"/>
      <c r="J4003" s="307" t="s">
        <v>214</v>
      </c>
      <c r="K4003" s="127" t="s">
        <v>4212</v>
      </c>
      <c r="L4003" s="151" t="s">
        <v>1579</v>
      </c>
      <c r="M4003">
        <v>1021</v>
      </c>
      <c r="N4003" s="123">
        <v>17</v>
      </c>
      <c r="O4003">
        <v>905</v>
      </c>
      <c r="P4003" s="132" t="s">
        <v>77</v>
      </c>
      <c r="Q4003" s="131">
        <v>5</v>
      </c>
      <c r="R4003" s="131"/>
      <c r="S4003" s="131"/>
      <c r="T4003" s="155"/>
      <c r="U4003" s="131"/>
      <c r="V4003" s="131">
        <v>5</v>
      </c>
      <c r="W4003"/>
      <c r="X4003" s="151" t="s">
        <v>3451</v>
      </c>
      <c r="Y4003" s="135" t="s">
        <v>55</v>
      </c>
      <c r="Z4003" s="307">
        <v>225</v>
      </c>
      <c r="AB4003" t="str">
        <f>IF(Table1[[#This Row],[TIPO2]]="costo", VLOOKUP(Table1[[#This Row],[PARTIDA PRESUPUESTAL]],'Cost Report'!G:G,1,0),"Balance")</f>
        <v>2585-003</v>
      </c>
      <c r="AC4003" s="118"/>
      <c r="AD4003" s="159">
        <f>+Table1[[#This Row],[SUBTOTAL]]+Table1[[#This Row],[IVA]]-Table1[[#This Row],[RET IVA]]-Table1[[#This Row],[RET ISR]]-Table1[[#This Row],[TOTAL]]</f>
        <v>0</v>
      </c>
      <c r="AE4003" s="150"/>
      <c r="AF4003" s="151"/>
      <c r="AG4003" s="126" t="s">
        <v>3420</v>
      </c>
      <c r="AK4003" s="306" t="str">
        <f>IF(ISNUMBER(Table1[[#This Row],[FECHA DE RECIBIDO]]), Table1[[#This Row],[FECHA DE RECIBIDO]]-DATE(2023,8,30), "")</f>
        <v/>
      </c>
    </row>
    <row r="4004" spans="1:37" ht="15" customHeight="1">
      <c r="A4004" s="152" t="s">
        <v>4302</v>
      </c>
      <c r="B4004" s="153">
        <v>1288</v>
      </c>
      <c r="C4004" s="126" t="s">
        <v>2565</v>
      </c>
      <c r="D4004">
        <v>689</v>
      </c>
      <c r="E4004" s="126"/>
      <c r="F4004" s="125"/>
      <c r="G4004" s="125"/>
      <c r="H4004"/>
      <c r="I4004" s="125"/>
      <c r="J4004" s="308" t="s">
        <v>214</v>
      </c>
      <c r="K4004" s="127" t="s">
        <v>4212</v>
      </c>
      <c r="L4004" s="153" t="s">
        <v>1579</v>
      </c>
      <c r="M4004">
        <v>1022</v>
      </c>
      <c r="N4004" s="123">
        <v>17</v>
      </c>
      <c r="O4004">
        <v>2559</v>
      </c>
      <c r="P4004" s="132" t="s">
        <v>77</v>
      </c>
      <c r="Q4004" s="132">
        <v>12</v>
      </c>
      <c r="R4004" s="132"/>
      <c r="S4004" s="132"/>
      <c r="T4004" s="156"/>
      <c r="U4004" s="132"/>
      <c r="V4004" s="132">
        <v>12</v>
      </c>
      <c r="W4004"/>
      <c r="X4004" s="153" t="s">
        <v>3451</v>
      </c>
      <c r="Y4004" s="124" t="s">
        <v>55</v>
      </c>
      <c r="Z4004" s="308">
        <v>229</v>
      </c>
      <c r="AB4004" t="str">
        <f>IF(Table1[[#This Row],[TIPO2]]="costo", VLOOKUP(Table1[[#This Row],[PARTIDA PRESUPUESTAL]],'Cost Report'!G:G,1,0),"Balance")</f>
        <v>2585-003</v>
      </c>
      <c r="AC4004" s="118"/>
      <c r="AD4004" s="159">
        <f>+Table1[[#This Row],[SUBTOTAL]]+Table1[[#This Row],[IVA]]-Table1[[#This Row],[RET IVA]]-Table1[[#This Row],[RET ISR]]-Table1[[#This Row],[TOTAL]]</f>
        <v>0</v>
      </c>
      <c r="AE4004" s="152"/>
      <c r="AF4004" s="153"/>
      <c r="AG4004" s="126" t="s">
        <v>3420</v>
      </c>
      <c r="AK4004" s="306" t="str">
        <f>IF(ISNUMBER(Table1[[#This Row],[FECHA DE RECIBIDO]]), Table1[[#This Row],[FECHA DE RECIBIDO]]-DATE(2023,8,30), "")</f>
        <v/>
      </c>
    </row>
    <row r="4005" spans="1:37" ht="15" customHeight="1">
      <c r="A4005" s="150" t="s">
        <v>4302</v>
      </c>
      <c r="B4005" s="151">
        <v>1288</v>
      </c>
      <c r="C4005" s="126" t="s">
        <v>2566</v>
      </c>
      <c r="D4005">
        <v>689</v>
      </c>
      <c r="E4005" s="126"/>
      <c r="F4005" s="122"/>
      <c r="G4005" s="122"/>
      <c r="H4005"/>
      <c r="I4005" s="122"/>
      <c r="J4005" s="307" t="s">
        <v>214</v>
      </c>
      <c r="K4005" s="127" t="s">
        <v>4212</v>
      </c>
      <c r="L4005" s="151" t="s">
        <v>1579</v>
      </c>
      <c r="M4005">
        <v>1023</v>
      </c>
      <c r="N4005" s="123">
        <v>17</v>
      </c>
      <c r="O4005">
        <v>2560</v>
      </c>
      <c r="P4005" s="132" t="s">
        <v>77</v>
      </c>
      <c r="Q4005" s="131">
        <v>82</v>
      </c>
      <c r="R4005" s="131"/>
      <c r="S4005" s="131"/>
      <c r="T4005" s="155"/>
      <c r="U4005" s="131"/>
      <c r="V4005" s="131">
        <v>82</v>
      </c>
      <c r="W4005"/>
      <c r="X4005" s="151" t="s">
        <v>3451</v>
      </c>
      <c r="Y4005" s="135" t="s">
        <v>55</v>
      </c>
      <c r="Z4005" s="307">
        <v>229</v>
      </c>
      <c r="AB4005" t="str">
        <f>IF(Table1[[#This Row],[TIPO2]]="costo", VLOOKUP(Table1[[#This Row],[PARTIDA PRESUPUESTAL]],'Cost Report'!G:G,1,0),"Balance")</f>
        <v>2594-003</v>
      </c>
      <c r="AC4005" s="118"/>
      <c r="AD4005" s="159">
        <f>+Table1[[#This Row],[SUBTOTAL]]+Table1[[#This Row],[IVA]]-Table1[[#This Row],[RET IVA]]-Table1[[#This Row],[RET ISR]]-Table1[[#This Row],[TOTAL]]</f>
        <v>0</v>
      </c>
      <c r="AE4005" s="150"/>
      <c r="AF4005" s="151"/>
      <c r="AG4005" s="126" t="s">
        <v>3420</v>
      </c>
      <c r="AK4005" s="306" t="str">
        <f>IF(ISNUMBER(Table1[[#This Row],[FECHA DE RECIBIDO]]), Table1[[#This Row],[FECHA DE RECIBIDO]]-DATE(2023,8,30), "")</f>
        <v/>
      </c>
    </row>
    <row r="4006" spans="1:37" ht="15" customHeight="1">
      <c r="A4006" s="152" t="s">
        <v>4302</v>
      </c>
      <c r="B4006" s="153">
        <v>1288</v>
      </c>
      <c r="C4006" s="126" t="s">
        <v>2565</v>
      </c>
      <c r="D4006">
        <v>689</v>
      </c>
      <c r="E4006" s="126"/>
      <c r="F4006" s="125"/>
      <c r="G4006" s="125"/>
      <c r="H4006"/>
      <c r="I4006" s="125"/>
      <c r="J4006" s="308" t="s">
        <v>214</v>
      </c>
      <c r="K4006" s="127" t="s">
        <v>4212</v>
      </c>
      <c r="L4006" s="153" t="s">
        <v>1579</v>
      </c>
      <c r="M4006">
        <v>1022</v>
      </c>
      <c r="N4006" s="123">
        <v>17</v>
      </c>
      <c r="O4006">
        <v>2559</v>
      </c>
      <c r="P4006" s="132" t="s">
        <v>77</v>
      </c>
      <c r="Q4006" s="132">
        <v>30</v>
      </c>
      <c r="R4006" s="132"/>
      <c r="S4006" s="132"/>
      <c r="T4006" s="156"/>
      <c r="U4006" s="132"/>
      <c r="V4006" s="132">
        <v>30</v>
      </c>
      <c r="W4006"/>
      <c r="X4006" s="153" t="s">
        <v>3451</v>
      </c>
      <c r="Y4006" s="124" t="s">
        <v>55</v>
      </c>
      <c r="Z4006" s="308">
        <v>229</v>
      </c>
      <c r="AB4006" t="str">
        <f>IF(Table1[[#This Row],[TIPO2]]="costo", VLOOKUP(Table1[[#This Row],[PARTIDA PRESUPUESTAL]],'Cost Report'!G:G,1,0),"Balance")</f>
        <v>2585-003</v>
      </c>
      <c r="AC4006" s="118"/>
      <c r="AD4006" s="159">
        <f>+Table1[[#This Row],[SUBTOTAL]]+Table1[[#This Row],[IVA]]-Table1[[#This Row],[RET IVA]]-Table1[[#This Row],[RET ISR]]-Table1[[#This Row],[TOTAL]]</f>
        <v>0</v>
      </c>
      <c r="AE4006" s="152"/>
      <c r="AF4006" s="153"/>
      <c r="AG4006" s="126" t="s">
        <v>3420</v>
      </c>
      <c r="AK4006" s="306" t="str">
        <f>IF(ISNUMBER(Table1[[#This Row],[FECHA DE RECIBIDO]]), Table1[[#This Row],[FECHA DE RECIBIDO]]-DATE(2023,8,30), "")</f>
        <v/>
      </c>
    </row>
    <row r="4007" spans="1:37" ht="15" customHeight="1">
      <c r="A4007" s="150" t="s">
        <v>4302</v>
      </c>
      <c r="B4007" s="151">
        <v>1288</v>
      </c>
      <c r="C4007" s="126" t="s">
        <v>2565</v>
      </c>
      <c r="D4007">
        <v>689</v>
      </c>
      <c r="E4007" s="126"/>
      <c r="F4007" s="122"/>
      <c r="G4007" s="122"/>
      <c r="H4007"/>
      <c r="I4007" s="122"/>
      <c r="J4007" s="307" t="s">
        <v>214</v>
      </c>
      <c r="K4007" s="127" t="s">
        <v>4212</v>
      </c>
      <c r="L4007" s="151" t="s">
        <v>1579</v>
      </c>
      <c r="M4007">
        <v>1024</v>
      </c>
      <c r="N4007" s="123">
        <v>17</v>
      </c>
      <c r="O4007">
        <v>2497</v>
      </c>
      <c r="P4007" s="132" t="s">
        <v>77</v>
      </c>
      <c r="Q4007" s="131">
        <v>10</v>
      </c>
      <c r="R4007" s="131"/>
      <c r="S4007" s="131"/>
      <c r="T4007" s="155"/>
      <c r="U4007" s="131"/>
      <c r="V4007" s="131">
        <v>10</v>
      </c>
      <c r="W4007"/>
      <c r="X4007" s="151" t="s">
        <v>3451</v>
      </c>
      <c r="Y4007" s="135" t="s">
        <v>55</v>
      </c>
      <c r="Z4007" s="307">
        <v>229</v>
      </c>
      <c r="AB4007" t="str">
        <f>IF(Table1[[#This Row],[TIPO2]]="costo", VLOOKUP(Table1[[#This Row],[PARTIDA PRESUPUESTAL]],'Cost Report'!G:G,1,0),"Balance")</f>
        <v>2585-003</v>
      </c>
      <c r="AC4007" s="118"/>
      <c r="AD4007" s="159">
        <f>+Table1[[#This Row],[SUBTOTAL]]+Table1[[#This Row],[IVA]]-Table1[[#This Row],[RET IVA]]-Table1[[#This Row],[RET ISR]]-Table1[[#This Row],[TOTAL]]</f>
        <v>0</v>
      </c>
      <c r="AE4007" s="150"/>
      <c r="AF4007" s="151"/>
      <c r="AG4007" s="126" t="s">
        <v>3420</v>
      </c>
      <c r="AK4007" s="306" t="str">
        <f>IF(ISNUMBER(Table1[[#This Row],[FECHA DE RECIBIDO]]), Table1[[#This Row],[FECHA DE RECIBIDO]]-DATE(2023,8,30), "")</f>
        <v/>
      </c>
    </row>
    <row r="4008" spans="1:37" ht="15" customHeight="1">
      <c r="A4008" s="152" t="s">
        <v>4302</v>
      </c>
      <c r="B4008" s="153">
        <v>1288</v>
      </c>
      <c r="C4008" s="126" t="s">
        <v>2565</v>
      </c>
      <c r="D4008">
        <v>689</v>
      </c>
      <c r="E4008" s="126"/>
      <c r="F4008" s="125"/>
      <c r="G4008" s="125"/>
      <c r="H4008"/>
      <c r="I4008" s="125"/>
      <c r="J4008" s="308" t="s">
        <v>214</v>
      </c>
      <c r="K4008" s="127" t="s">
        <v>4212</v>
      </c>
      <c r="L4008" s="153" t="s">
        <v>1579</v>
      </c>
      <c r="M4008">
        <v>1025</v>
      </c>
      <c r="N4008" s="123">
        <v>17</v>
      </c>
      <c r="O4008">
        <v>2561</v>
      </c>
      <c r="P4008" s="132" t="s">
        <v>77</v>
      </c>
      <c r="Q4008" s="132">
        <v>239.99</v>
      </c>
      <c r="R4008" s="132"/>
      <c r="S4008" s="132"/>
      <c r="T4008" s="156"/>
      <c r="U4008" s="132"/>
      <c r="V4008" s="132">
        <v>239.99</v>
      </c>
      <c r="W4008"/>
      <c r="X4008" s="153" t="s">
        <v>3451</v>
      </c>
      <c r="Y4008" s="124" t="s">
        <v>55</v>
      </c>
      <c r="Z4008" s="308">
        <v>219</v>
      </c>
      <c r="AB4008" t="str">
        <f>IF(Table1[[#This Row],[TIPO2]]="costo", VLOOKUP(Table1[[#This Row],[PARTIDA PRESUPUESTAL]],'Cost Report'!G:G,1,0),"Balance")</f>
        <v>2585-003</v>
      </c>
      <c r="AC4008" s="118"/>
      <c r="AD4008" s="159">
        <f>+Table1[[#This Row],[SUBTOTAL]]+Table1[[#This Row],[IVA]]-Table1[[#This Row],[RET IVA]]-Table1[[#This Row],[RET ISR]]-Table1[[#This Row],[TOTAL]]</f>
        <v>0</v>
      </c>
      <c r="AE4008" s="152"/>
      <c r="AF4008" s="153"/>
      <c r="AG4008" s="126" t="s">
        <v>3420</v>
      </c>
      <c r="AK4008" s="306" t="str">
        <f>IF(ISNUMBER(Table1[[#This Row],[FECHA DE RECIBIDO]]), Table1[[#This Row],[FECHA DE RECIBIDO]]-DATE(2023,8,30), "")</f>
        <v/>
      </c>
    </row>
    <row r="4009" spans="1:37" ht="15" customHeight="1">
      <c r="A4009" s="150" t="s">
        <v>4302</v>
      </c>
      <c r="B4009" s="151">
        <v>1288</v>
      </c>
      <c r="C4009" s="126" t="s">
        <v>2565</v>
      </c>
      <c r="D4009">
        <v>689</v>
      </c>
      <c r="E4009" s="126"/>
      <c r="F4009" s="122"/>
      <c r="G4009" s="122"/>
      <c r="H4009"/>
      <c r="I4009" s="122"/>
      <c r="J4009" s="307" t="s">
        <v>214</v>
      </c>
      <c r="K4009" s="127" t="s">
        <v>4212</v>
      </c>
      <c r="L4009" s="151" t="s">
        <v>1579</v>
      </c>
      <c r="M4009">
        <v>1024</v>
      </c>
      <c r="N4009" s="123">
        <v>17</v>
      </c>
      <c r="O4009">
        <v>2497</v>
      </c>
      <c r="P4009" s="132" t="s">
        <v>77</v>
      </c>
      <c r="Q4009" s="131">
        <v>10</v>
      </c>
      <c r="R4009" s="131"/>
      <c r="S4009" s="131"/>
      <c r="T4009" s="155"/>
      <c r="U4009" s="131"/>
      <c r="V4009" s="131">
        <v>10</v>
      </c>
      <c r="W4009"/>
      <c r="X4009" s="151" t="s">
        <v>3451</v>
      </c>
      <c r="Y4009" s="135" t="s">
        <v>55</v>
      </c>
      <c r="Z4009" s="307">
        <v>235</v>
      </c>
      <c r="AB4009" t="str">
        <f>IF(Table1[[#This Row],[TIPO2]]="costo", VLOOKUP(Table1[[#This Row],[PARTIDA PRESUPUESTAL]],'Cost Report'!G:G,1,0),"Balance")</f>
        <v>2585-003</v>
      </c>
      <c r="AC4009" s="118"/>
      <c r="AD4009" s="159">
        <f>+Table1[[#This Row],[SUBTOTAL]]+Table1[[#This Row],[IVA]]-Table1[[#This Row],[RET IVA]]-Table1[[#This Row],[RET ISR]]-Table1[[#This Row],[TOTAL]]</f>
        <v>0</v>
      </c>
      <c r="AE4009" s="150"/>
      <c r="AF4009" s="151"/>
      <c r="AG4009" s="126" t="s">
        <v>3420</v>
      </c>
      <c r="AK4009" s="306" t="str">
        <f>IF(ISNUMBER(Table1[[#This Row],[FECHA DE RECIBIDO]]), Table1[[#This Row],[FECHA DE RECIBIDO]]-DATE(2023,8,30), "")</f>
        <v/>
      </c>
    </row>
    <row r="4010" spans="1:37" ht="15" customHeight="1">
      <c r="A4010" s="152" t="s">
        <v>4302</v>
      </c>
      <c r="B4010" s="153">
        <v>1288</v>
      </c>
      <c r="C4010" s="126" t="s">
        <v>2565</v>
      </c>
      <c r="D4010">
        <v>689</v>
      </c>
      <c r="E4010" s="126"/>
      <c r="F4010" s="125"/>
      <c r="G4010" s="125"/>
      <c r="H4010"/>
      <c r="I4010" s="125"/>
      <c r="J4010" s="308" t="s">
        <v>214</v>
      </c>
      <c r="K4010" s="127" t="s">
        <v>4212</v>
      </c>
      <c r="L4010" s="153" t="s">
        <v>1579</v>
      </c>
      <c r="M4010">
        <v>1024</v>
      </c>
      <c r="N4010" s="123">
        <v>17</v>
      </c>
      <c r="O4010">
        <v>2497</v>
      </c>
      <c r="P4010" s="132" t="s">
        <v>77</v>
      </c>
      <c r="Q4010" s="132">
        <v>10</v>
      </c>
      <c r="R4010" s="132"/>
      <c r="S4010" s="132"/>
      <c r="T4010" s="156"/>
      <c r="U4010" s="132"/>
      <c r="V4010" s="132">
        <v>10</v>
      </c>
      <c r="W4010"/>
      <c r="X4010" s="153" t="s">
        <v>3451</v>
      </c>
      <c r="Y4010" s="124" t="s">
        <v>55</v>
      </c>
      <c r="Z4010" s="308">
        <v>236</v>
      </c>
      <c r="AB4010" t="str">
        <f>IF(Table1[[#This Row],[TIPO2]]="costo", VLOOKUP(Table1[[#This Row],[PARTIDA PRESUPUESTAL]],'Cost Report'!G:G,1,0),"Balance")</f>
        <v>2585-003</v>
      </c>
      <c r="AC4010" s="118"/>
      <c r="AD4010" s="159">
        <f>+Table1[[#This Row],[SUBTOTAL]]+Table1[[#This Row],[IVA]]-Table1[[#This Row],[RET IVA]]-Table1[[#This Row],[RET ISR]]-Table1[[#This Row],[TOTAL]]</f>
        <v>0</v>
      </c>
      <c r="AE4010" s="152"/>
      <c r="AF4010" s="153"/>
      <c r="AG4010" s="126" t="s">
        <v>3420</v>
      </c>
      <c r="AK4010" s="306" t="str">
        <f>IF(ISNUMBER(Table1[[#This Row],[FECHA DE RECIBIDO]]), Table1[[#This Row],[FECHA DE RECIBIDO]]-DATE(2023,8,30), "")</f>
        <v/>
      </c>
    </row>
    <row r="4011" spans="1:37" ht="15" customHeight="1">
      <c r="A4011" s="150" t="s">
        <v>4302</v>
      </c>
      <c r="B4011" s="151">
        <v>1288</v>
      </c>
      <c r="C4011" s="126" t="s">
        <v>2566</v>
      </c>
      <c r="D4011">
        <v>689</v>
      </c>
      <c r="E4011" s="126"/>
      <c r="F4011" s="122"/>
      <c r="G4011" s="122"/>
      <c r="H4011"/>
      <c r="I4011" s="122"/>
      <c r="J4011" s="307" t="s">
        <v>214</v>
      </c>
      <c r="K4011" s="127" t="s">
        <v>4212</v>
      </c>
      <c r="L4011" s="151" t="s">
        <v>1579</v>
      </c>
      <c r="M4011">
        <v>1026</v>
      </c>
      <c r="N4011" s="123">
        <v>17</v>
      </c>
      <c r="O4011">
        <v>2562</v>
      </c>
      <c r="P4011" s="132" t="s">
        <v>77</v>
      </c>
      <c r="Q4011" s="131">
        <v>405</v>
      </c>
      <c r="R4011" s="131"/>
      <c r="S4011" s="131"/>
      <c r="T4011" s="155"/>
      <c r="U4011" s="131"/>
      <c r="V4011" s="131">
        <v>405</v>
      </c>
      <c r="W4011"/>
      <c r="X4011" s="151" t="s">
        <v>3451</v>
      </c>
      <c r="Y4011" s="135" t="s">
        <v>55</v>
      </c>
      <c r="Z4011" s="307">
        <v>238</v>
      </c>
      <c r="AB4011" t="str">
        <f>IF(Table1[[#This Row],[TIPO2]]="costo", VLOOKUP(Table1[[#This Row],[PARTIDA PRESUPUESTAL]],'Cost Report'!G:G,1,0),"Balance")</f>
        <v>2594-003</v>
      </c>
      <c r="AC4011" s="118"/>
      <c r="AD4011" s="159">
        <f>+Table1[[#This Row],[SUBTOTAL]]+Table1[[#This Row],[IVA]]-Table1[[#This Row],[RET IVA]]-Table1[[#This Row],[RET ISR]]-Table1[[#This Row],[TOTAL]]</f>
        <v>0</v>
      </c>
      <c r="AE4011" s="150"/>
      <c r="AF4011" s="151"/>
      <c r="AG4011" s="126" t="s">
        <v>3420</v>
      </c>
      <c r="AK4011" s="306" t="str">
        <f>IF(ISNUMBER(Table1[[#This Row],[FECHA DE RECIBIDO]]), Table1[[#This Row],[FECHA DE RECIBIDO]]-DATE(2023,8,30), "")</f>
        <v/>
      </c>
    </row>
    <row r="4012" spans="1:37" ht="15" customHeight="1">
      <c r="A4012" s="152" t="s">
        <v>4302</v>
      </c>
      <c r="B4012" s="153">
        <v>1288</v>
      </c>
      <c r="C4012" s="126" t="s">
        <v>2566</v>
      </c>
      <c r="D4012">
        <v>689</v>
      </c>
      <c r="E4012" s="126"/>
      <c r="F4012" s="125"/>
      <c r="G4012" s="125"/>
      <c r="H4012"/>
      <c r="I4012" s="125"/>
      <c r="J4012" s="308" t="s">
        <v>214</v>
      </c>
      <c r="K4012" s="127" t="s">
        <v>4212</v>
      </c>
      <c r="L4012" s="153" t="s">
        <v>1579</v>
      </c>
      <c r="M4012">
        <v>1027</v>
      </c>
      <c r="N4012" s="123">
        <v>17</v>
      </c>
      <c r="O4012">
        <v>2562</v>
      </c>
      <c r="P4012" s="132" t="s">
        <v>77</v>
      </c>
      <c r="Q4012" s="132">
        <v>273</v>
      </c>
      <c r="R4012" s="132"/>
      <c r="S4012" s="132"/>
      <c r="T4012" s="156"/>
      <c r="U4012" s="132"/>
      <c r="V4012" s="132">
        <v>273</v>
      </c>
      <c r="W4012"/>
      <c r="X4012" s="153" t="s">
        <v>3451</v>
      </c>
      <c r="Y4012" s="124" t="s">
        <v>55</v>
      </c>
      <c r="Z4012" s="308">
        <v>238</v>
      </c>
      <c r="AB4012" t="str">
        <f>IF(Table1[[#This Row],[TIPO2]]="costo", VLOOKUP(Table1[[#This Row],[PARTIDA PRESUPUESTAL]],'Cost Report'!G:G,1,0),"Balance")</f>
        <v>2594-003</v>
      </c>
      <c r="AC4012" s="118"/>
      <c r="AD4012" s="159">
        <f>+Table1[[#This Row],[SUBTOTAL]]+Table1[[#This Row],[IVA]]-Table1[[#This Row],[RET IVA]]-Table1[[#This Row],[RET ISR]]-Table1[[#This Row],[TOTAL]]</f>
        <v>0</v>
      </c>
      <c r="AE4012" s="152"/>
      <c r="AF4012" s="153"/>
      <c r="AG4012" s="126" t="s">
        <v>3420</v>
      </c>
      <c r="AK4012" s="306" t="str">
        <f>IF(ISNUMBER(Table1[[#This Row],[FECHA DE RECIBIDO]]), Table1[[#This Row],[FECHA DE RECIBIDO]]-DATE(2023,8,30), "")</f>
        <v/>
      </c>
    </row>
    <row r="4013" spans="1:37" ht="15" customHeight="1">
      <c r="A4013" s="150" t="s">
        <v>4302</v>
      </c>
      <c r="B4013" s="151">
        <v>1288</v>
      </c>
      <c r="C4013" s="126" t="s">
        <v>2566</v>
      </c>
      <c r="D4013">
        <v>689</v>
      </c>
      <c r="E4013" s="126"/>
      <c r="F4013" s="122"/>
      <c r="G4013" s="122"/>
      <c r="H4013"/>
      <c r="I4013" s="122"/>
      <c r="J4013" s="307" t="s">
        <v>214</v>
      </c>
      <c r="K4013" s="127" t="s">
        <v>4212</v>
      </c>
      <c r="L4013" s="151" t="s">
        <v>1579</v>
      </c>
      <c r="M4013">
        <v>1028</v>
      </c>
      <c r="N4013" s="123">
        <v>17</v>
      </c>
      <c r="O4013">
        <v>2563</v>
      </c>
      <c r="P4013" s="132" t="s">
        <v>77</v>
      </c>
      <c r="Q4013" s="131">
        <v>350</v>
      </c>
      <c r="R4013" s="131"/>
      <c r="S4013" s="131"/>
      <c r="T4013" s="155"/>
      <c r="U4013" s="131"/>
      <c r="V4013" s="131">
        <v>350</v>
      </c>
      <c r="W4013"/>
      <c r="X4013" s="151" t="s">
        <v>3451</v>
      </c>
      <c r="Y4013" s="135" t="s">
        <v>55</v>
      </c>
      <c r="Z4013" s="307">
        <v>238</v>
      </c>
      <c r="AB4013" t="str">
        <f>IF(Table1[[#This Row],[TIPO2]]="costo", VLOOKUP(Table1[[#This Row],[PARTIDA PRESUPUESTAL]],'Cost Report'!G:G,1,0),"Balance")</f>
        <v>2594-003</v>
      </c>
      <c r="AC4013" s="118"/>
      <c r="AD4013" s="159">
        <f>+Table1[[#This Row],[SUBTOTAL]]+Table1[[#This Row],[IVA]]-Table1[[#This Row],[RET IVA]]-Table1[[#This Row],[RET ISR]]-Table1[[#This Row],[TOTAL]]</f>
        <v>0</v>
      </c>
      <c r="AE4013" s="150"/>
      <c r="AF4013" s="151"/>
      <c r="AG4013" s="126" t="s">
        <v>3420</v>
      </c>
      <c r="AK4013" s="306" t="str">
        <f>IF(ISNUMBER(Table1[[#This Row],[FECHA DE RECIBIDO]]), Table1[[#This Row],[FECHA DE RECIBIDO]]-DATE(2023,8,30), "")</f>
        <v/>
      </c>
    </row>
    <row r="4014" spans="1:37" ht="15" customHeight="1">
      <c r="A4014" s="152" t="s">
        <v>4302</v>
      </c>
      <c r="B4014" s="153">
        <v>1288</v>
      </c>
      <c r="C4014" s="126" t="s">
        <v>2565</v>
      </c>
      <c r="D4014">
        <v>689</v>
      </c>
      <c r="E4014" s="126"/>
      <c r="F4014" s="125"/>
      <c r="G4014" s="125"/>
      <c r="H4014"/>
      <c r="I4014" s="125"/>
      <c r="J4014" s="308" t="s">
        <v>214</v>
      </c>
      <c r="K4014" s="127" t="s">
        <v>4212</v>
      </c>
      <c r="L4014" s="153" t="s">
        <v>1579</v>
      </c>
      <c r="M4014">
        <v>1029</v>
      </c>
      <c r="N4014" s="123">
        <v>17</v>
      </c>
      <c r="O4014">
        <v>2497</v>
      </c>
      <c r="P4014" s="132" t="s">
        <v>77</v>
      </c>
      <c r="Q4014" s="132">
        <v>15</v>
      </c>
      <c r="R4014" s="132"/>
      <c r="S4014" s="132"/>
      <c r="T4014" s="156"/>
      <c r="U4014" s="132"/>
      <c r="V4014" s="132">
        <v>15</v>
      </c>
      <c r="W4014"/>
      <c r="X4014" s="153" t="s">
        <v>3451</v>
      </c>
      <c r="Y4014" s="124" t="s">
        <v>55</v>
      </c>
      <c r="Z4014" s="308">
        <v>242</v>
      </c>
      <c r="AB4014" t="str">
        <f>IF(Table1[[#This Row],[TIPO2]]="costo", VLOOKUP(Table1[[#This Row],[PARTIDA PRESUPUESTAL]],'Cost Report'!G:G,1,0),"Balance")</f>
        <v>2585-003</v>
      </c>
      <c r="AC4014" s="118"/>
      <c r="AD4014" s="159">
        <f>+Table1[[#This Row],[SUBTOTAL]]+Table1[[#This Row],[IVA]]-Table1[[#This Row],[RET IVA]]-Table1[[#This Row],[RET ISR]]-Table1[[#This Row],[TOTAL]]</f>
        <v>0</v>
      </c>
      <c r="AE4014" s="152"/>
      <c r="AF4014" s="153"/>
      <c r="AG4014" s="126" t="s">
        <v>3420</v>
      </c>
      <c r="AK4014" s="306" t="str">
        <f>IF(ISNUMBER(Table1[[#This Row],[FECHA DE RECIBIDO]]), Table1[[#This Row],[FECHA DE RECIBIDO]]-DATE(2023,8,30), "")</f>
        <v/>
      </c>
    </row>
    <row r="4015" spans="1:37" ht="15" customHeight="1">
      <c r="A4015" s="150" t="s">
        <v>4302</v>
      </c>
      <c r="B4015" s="151">
        <v>1288</v>
      </c>
      <c r="C4015" s="126" t="s">
        <v>2565</v>
      </c>
      <c r="D4015">
        <v>689</v>
      </c>
      <c r="E4015" s="126"/>
      <c r="F4015" s="122"/>
      <c r="G4015" s="122"/>
      <c r="H4015"/>
      <c r="I4015" s="122"/>
      <c r="J4015" s="307" t="s">
        <v>214</v>
      </c>
      <c r="K4015" s="127" t="s">
        <v>4212</v>
      </c>
      <c r="L4015" s="151" t="s">
        <v>1579</v>
      </c>
      <c r="M4015">
        <v>1030</v>
      </c>
      <c r="N4015" s="123">
        <v>17</v>
      </c>
      <c r="O4015">
        <v>905</v>
      </c>
      <c r="P4015" s="132" t="s">
        <v>77</v>
      </c>
      <c r="Q4015" s="131">
        <v>27</v>
      </c>
      <c r="R4015" s="131"/>
      <c r="S4015" s="131"/>
      <c r="T4015" s="155"/>
      <c r="U4015" s="131"/>
      <c r="V4015" s="131">
        <v>27</v>
      </c>
      <c r="W4015"/>
      <c r="X4015" s="151" t="s">
        <v>3451</v>
      </c>
      <c r="Y4015" s="135" t="s">
        <v>55</v>
      </c>
      <c r="Z4015" s="307">
        <v>230</v>
      </c>
      <c r="AB4015" t="str">
        <f>IF(Table1[[#This Row],[TIPO2]]="costo", VLOOKUP(Table1[[#This Row],[PARTIDA PRESUPUESTAL]],'Cost Report'!G:G,1,0),"Balance")</f>
        <v>2585-003</v>
      </c>
      <c r="AC4015" s="118"/>
      <c r="AD4015" s="159">
        <f>+Table1[[#This Row],[SUBTOTAL]]+Table1[[#This Row],[IVA]]-Table1[[#This Row],[RET IVA]]-Table1[[#This Row],[RET ISR]]-Table1[[#This Row],[TOTAL]]</f>
        <v>0</v>
      </c>
      <c r="AE4015" s="150"/>
      <c r="AF4015" s="151"/>
      <c r="AG4015" s="126" t="s">
        <v>3420</v>
      </c>
      <c r="AK4015" s="306" t="str">
        <f>IF(ISNUMBER(Table1[[#This Row],[FECHA DE RECIBIDO]]), Table1[[#This Row],[FECHA DE RECIBIDO]]-DATE(2023,8,30), "")</f>
        <v/>
      </c>
    </row>
    <row r="4016" spans="1:37" ht="15" customHeight="1">
      <c r="A4016" s="152" t="s">
        <v>4302</v>
      </c>
      <c r="B4016" s="153">
        <v>1288</v>
      </c>
      <c r="C4016" s="126" t="s">
        <v>2565</v>
      </c>
      <c r="D4016">
        <v>689</v>
      </c>
      <c r="E4016" s="126"/>
      <c r="F4016" s="125"/>
      <c r="G4016" s="125"/>
      <c r="H4016"/>
      <c r="I4016" s="125"/>
      <c r="J4016" s="308" t="s">
        <v>214</v>
      </c>
      <c r="K4016" s="127" t="s">
        <v>4212</v>
      </c>
      <c r="L4016" s="153" t="s">
        <v>1579</v>
      </c>
      <c r="M4016">
        <v>402</v>
      </c>
      <c r="N4016" s="123">
        <v>17</v>
      </c>
      <c r="O4016">
        <v>905</v>
      </c>
      <c r="P4016" s="132" t="s">
        <v>77</v>
      </c>
      <c r="Q4016" s="132">
        <v>35</v>
      </c>
      <c r="R4016" s="132"/>
      <c r="S4016" s="132"/>
      <c r="T4016" s="156"/>
      <c r="U4016" s="132"/>
      <c r="V4016" s="132">
        <v>35</v>
      </c>
      <c r="W4016"/>
      <c r="X4016" s="153" t="s">
        <v>3451</v>
      </c>
      <c r="Y4016" s="124" t="s">
        <v>55</v>
      </c>
      <c r="Z4016" s="308">
        <v>231</v>
      </c>
      <c r="AB4016" t="str">
        <f>IF(Table1[[#This Row],[TIPO2]]="costo", VLOOKUP(Table1[[#This Row],[PARTIDA PRESUPUESTAL]],'Cost Report'!G:G,1,0),"Balance")</f>
        <v>2585-003</v>
      </c>
      <c r="AC4016" s="118"/>
      <c r="AD4016" s="159">
        <f>+Table1[[#This Row],[SUBTOTAL]]+Table1[[#This Row],[IVA]]-Table1[[#This Row],[RET IVA]]-Table1[[#This Row],[RET ISR]]-Table1[[#This Row],[TOTAL]]</f>
        <v>0</v>
      </c>
      <c r="AE4016" s="152"/>
      <c r="AF4016" s="153"/>
      <c r="AG4016" s="126" t="s">
        <v>3420</v>
      </c>
      <c r="AK4016" s="306" t="str">
        <f>IF(ISNUMBER(Table1[[#This Row],[FECHA DE RECIBIDO]]), Table1[[#This Row],[FECHA DE RECIBIDO]]-DATE(2023,8,30), "")</f>
        <v/>
      </c>
    </row>
    <row r="4017" spans="1:37" ht="15" customHeight="1">
      <c r="A4017" s="150" t="s">
        <v>4306</v>
      </c>
      <c r="B4017" s="151">
        <v>1289</v>
      </c>
      <c r="C4017" s="126" t="s">
        <v>2566</v>
      </c>
      <c r="D4017">
        <v>2694</v>
      </c>
      <c r="E4017" s="126" t="s">
        <v>1992</v>
      </c>
      <c r="F4017" s="122" t="s">
        <v>1589</v>
      </c>
      <c r="G4017" s="122" t="s">
        <v>129</v>
      </c>
      <c r="H4017">
        <v>736</v>
      </c>
      <c r="I4017" s="122" t="s">
        <v>1546</v>
      </c>
      <c r="J4017" s="307" t="s">
        <v>214</v>
      </c>
      <c r="K4017" s="127" t="s">
        <v>4212</v>
      </c>
      <c r="L4017" s="151" t="s">
        <v>1579</v>
      </c>
      <c r="M4017">
        <v>1031</v>
      </c>
      <c r="N4017" s="123">
        <v>17</v>
      </c>
      <c r="O4017">
        <v>2564</v>
      </c>
      <c r="P4017" s="132" t="s">
        <v>77</v>
      </c>
      <c r="Q4017" s="131">
        <v>392.51</v>
      </c>
      <c r="R4017" s="131">
        <v>62.8</v>
      </c>
      <c r="S4017" s="131"/>
      <c r="T4017" s="155"/>
      <c r="U4017" s="131"/>
      <c r="V4017" s="131">
        <v>455.31</v>
      </c>
      <c r="W4017"/>
      <c r="X4017" s="151" t="s">
        <v>3451</v>
      </c>
      <c r="Y4017" s="135" t="s">
        <v>55</v>
      </c>
      <c r="Z4017" s="307">
        <v>229</v>
      </c>
      <c r="AB4017" t="str">
        <f>IF(Table1[[#This Row],[TIPO2]]="costo", VLOOKUP(Table1[[#This Row],[PARTIDA PRESUPUESTAL]],'Cost Report'!G:G,1,0),"Balance")</f>
        <v>2594-003</v>
      </c>
      <c r="AC4017" s="118"/>
      <c r="AD4017" s="159">
        <f>+Table1[[#This Row],[SUBTOTAL]]+Table1[[#This Row],[IVA]]-Table1[[#This Row],[RET IVA]]-Table1[[#This Row],[RET ISR]]-Table1[[#This Row],[TOTAL]]</f>
        <v>0</v>
      </c>
      <c r="AE4017" s="150"/>
      <c r="AF4017" s="151"/>
      <c r="AG4017" s="126" t="s">
        <v>3420</v>
      </c>
      <c r="AK4017" s="306" t="str">
        <f>IF(ISNUMBER(Table1[[#This Row],[FECHA DE RECIBIDO]]), Table1[[#This Row],[FECHA DE RECIBIDO]]-DATE(2023,8,30), "")</f>
        <v/>
      </c>
    </row>
    <row r="4018" spans="1:37" ht="15" customHeight="1">
      <c r="A4018" s="152" t="s">
        <v>4306</v>
      </c>
      <c r="B4018" s="153">
        <v>1289</v>
      </c>
      <c r="C4018" s="126" t="s">
        <v>2565</v>
      </c>
      <c r="D4018">
        <v>2695</v>
      </c>
      <c r="E4018" s="126" t="s">
        <v>1600</v>
      </c>
      <c r="F4018" s="125" t="s">
        <v>1607</v>
      </c>
      <c r="G4018" s="125" t="s">
        <v>134</v>
      </c>
      <c r="H4018">
        <v>41</v>
      </c>
      <c r="I4018" s="125" t="s">
        <v>1546</v>
      </c>
      <c r="J4018" s="308" t="s">
        <v>214</v>
      </c>
      <c r="K4018" s="127" t="s">
        <v>4212</v>
      </c>
      <c r="L4018" s="153" t="s">
        <v>1579</v>
      </c>
      <c r="M4018">
        <v>323</v>
      </c>
      <c r="N4018" s="123">
        <v>17</v>
      </c>
      <c r="O4018">
        <v>2565</v>
      </c>
      <c r="P4018" s="132" t="s">
        <v>77</v>
      </c>
      <c r="Q4018" s="132">
        <v>2422.7399999999998</v>
      </c>
      <c r="R4018" s="132">
        <v>157.52000000000001</v>
      </c>
      <c r="S4018" s="132"/>
      <c r="T4018" s="156"/>
      <c r="U4018" s="132"/>
      <c r="V4018" s="132">
        <v>2580.2599999999998</v>
      </c>
      <c r="W4018"/>
      <c r="X4018" s="153" t="s">
        <v>3451</v>
      </c>
      <c r="Y4018" s="124" t="s">
        <v>55</v>
      </c>
      <c r="Z4018" s="308">
        <v>243</v>
      </c>
      <c r="AB4018" t="str">
        <f>IF(Table1[[#This Row],[TIPO2]]="costo", VLOOKUP(Table1[[#This Row],[PARTIDA PRESUPUESTAL]],'Cost Report'!G:G,1,0),"Balance")</f>
        <v>2585-003</v>
      </c>
      <c r="AC4018" s="118"/>
      <c r="AD4018" s="159">
        <f>+Table1[[#This Row],[SUBTOTAL]]+Table1[[#This Row],[IVA]]-Table1[[#This Row],[RET IVA]]-Table1[[#This Row],[RET ISR]]-Table1[[#This Row],[TOTAL]]</f>
        <v>0</v>
      </c>
      <c r="AE4018" s="152"/>
      <c r="AF4018" s="153"/>
      <c r="AG4018" s="126" t="s">
        <v>3420</v>
      </c>
      <c r="AK4018" s="306" t="str">
        <f>IF(ISNUMBER(Table1[[#This Row],[FECHA DE RECIBIDO]]), Table1[[#This Row],[FECHA DE RECIBIDO]]-DATE(2023,8,30), "")</f>
        <v/>
      </c>
    </row>
    <row r="4019" spans="1:37" ht="15" customHeight="1">
      <c r="A4019" s="150" t="s">
        <v>4306</v>
      </c>
      <c r="B4019" s="151">
        <v>1289</v>
      </c>
      <c r="C4019" s="126" t="s">
        <v>2565</v>
      </c>
      <c r="D4019">
        <v>2696</v>
      </c>
      <c r="E4019" s="126" t="s">
        <v>3356</v>
      </c>
      <c r="F4019" s="122" t="s">
        <v>1607</v>
      </c>
      <c r="G4019" s="122" t="s">
        <v>134</v>
      </c>
      <c r="H4019">
        <v>91</v>
      </c>
      <c r="I4019" s="122" t="s">
        <v>1546</v>
      </c>
      <c r="J4019" s="307" t="s">
        <v>214</v>
      </c>
      <c r="K4019" s="127" t="s">
        <v>4212</v>
      </c>
      <c r="L4019" s="151" t="s">
        <v>1579</v>
      </c>
      <c r="M4019">
        <v>122</v>
      </c>
      <c r="N4019" s="123">
        <v>17</v>
      </c>
      <c r="O4019">
        <v>2566</v>
      </c>
      <c r="P4019" s="132" t="s">
        <v>77</v>
      </c>
      <c r="Q4019" s="131">
        <v>70.5</v>
      </c>
      <c r="R4019" s="131"/>
      <c r="S4019" s="131"/>
      <c r="T4019" s="155"/>
      <c r="U4019" s="131"/>
      <c r="V4019" s="131">
        <v>70.5</v>
      </c>
      <c r="W4019"/>
      <c r="X4019" s="151" t="s">
        <v>3451</v>
      </c>
      <c r="Y4019" s="135" t="s">
        <v>55</v>
      </c>
      <c r="Z4019" s="307">
        <v>243</v>
      </c>
      <c r="AB4019" t="str">
        <f>IF(Table1[[#This Row],[TIPO2]]="costo", VLOOKUP(Table1[[#This Row],[PARTIDA PRESUPUESTAL]],'Cost Report'!G:G,1,0),"Balance")</f>
        <v>2585-003</v>
      </c>
      <c r="AC4019" s="118"/>
      <c r="AD4019" s="159">
        <f>+Table1[[#This Row],[SUBTOTAL]]+Table1[[#This Row],[IVA]]-Table1[[#This Row],[RET IVA]]-Table1[[#This Row],[RET ISR]]-Table1[[#This Row],[TOTAL]]</f>
        <v>0</v>
      </c>
      <c r="AE4019" s="150"/>
      <c r="AF4019" s="151"/>
      <c r="AG4019" s="126" t="s">
        <v>3420</v>
      </c>
      <c r="AK4019" s="306" t="str">
        <f>IF(ISNUMBER(Table1[[#This Row],[FECHA DE RECIBIDO]]), Table1[[#This Row],[FECHA DE RECIBIDO]]-DATE(2023,8,30), "")</f>
        <v/>
      </c>
    </row>
    <row r="4020" spans="1:37" ht="15" customHeight="1">
      <c r="A4020" s="152" t="s">
        <v>4306</v>
      </c>
      <c r="B4020" s="153">
        <v>1289</v>
      </c>
      <c r="C4020" s="126" t="s">
        <v>2566</v>
      </c>
      <c r="D4020">
        <v>2697</v>
      </c>
      <c r="E4020" s="126" t="s">
        <v>1600</v>
      </c>
      <c r="F4020" s="125" t="s">
        <v>1607</v>
      </c>
      <c r="G4020" s="125" t="s">
        <v>134</v>
      </c>
      <c r="H4020">
        <v>41</v>
      </c>
      <c r="I4020" s="125" t="s">
        <v>1546</v>
      </c>
      <c r="J4020" s="308" t="s">
        <v>214</v>
      </c>
      <c r="K4020" s="127" t="s">
        <v>4212</v>
      </c>
      <c r="L4020" s="153" t="s">
        <v>1579</v>
      </c>
      <c r="M4020">
        <v>323</v>
      </c>
      <c r="N4020" s="123">
        <v>17</v>
      </c>
      <c r="O4020">
        <v>2567</v>
      </c>
      <c r="P4020" s="132" t="s">
        <v>77</v>
      </c>
      <c r="Q4020" s="132">
        <v>271.55</v>
      </c>
      <c r="R4020" s="132">
        <v>43.45</v>
      </c>
      <c r="S4020" s="132"/>
      <c r="T4020" s="156"/>
      <c r="U4020" s="132"/>
      <c r="V4020" s="132">
        <v>315</v>
      </c>
      <c r="W4020"/>
      <c r="X4020" s="153" t="s">
        <v>3451</v>
      </c>
      <c r="Y4020" s="124" t="s">
        <v>55</v>
      </c>
      <c r="Z4020" s="308">
        <v>243</v>
      </c>
      <c r="AB4020" t="str">
        <f>IF(Table1[[#This Row],[TIPO2]]="costo", VLOOKUP(Table1[[#This Row],[PARTIDA PRESUPUESTAL]],'Cost Report'!G:G,1,0),"Balance")</f>
        <v>2594-003</v>
      </c>
      <c r="AC4020" s="118"/>
      <c r="AD4020" s="159">
        <f>+Table1[[#This Row],[SUBTOTAL]]+Table1[[#This Row],[IVA]]-Table1[[#This Row],[RET IVA]]-Table1[[#This Row],[RET ISR]]-Table1[[#This Row],[TOTAL]]</f>
        <v>0</v>
      </c>
      <c r="AE4020" s="152"/>
      <c r="AF4020" s="153"/>
      <c r="AG4020" s="126" t="s">
        <v>3420</v>
      </c>
      <c r="AK4020" s="306" t="str">
        <f>IF(ISNUMBER(Table1[[#This Row],[FECHA DE RECIBIDO]]), Table1[[#This Row],[FECHA DE RECIBIDO]]-DATE(2023,8,30), "")</f>
        <v/>
      </c>
    </row>
    <row r="4021" spans="1:37" ht="15" customHeight="1">
      <c r="A4021" s="150" t="s">
        <v>4306</v>
      </c>
      <c r="B4021" s="151">
        <v>1289</v>
      </c>
      <c r="C4021" s="126" t="s">
        <v>2565</v>
      </c>
      <c r="D4021">
        <v>2698</v>
      </c>
      <c r="E4021" s="126" t="s">
        <v>1600</v>
      </c>
      <c r="F4021" s="122" t="s">
        <v>1607</v>
      </c>
      <c r="G4021" s="122" t="s">
        <v>134</v>
      </c>
      <c r="H4021">
        <v>41</v>
      </c>
      <c r="I4021" s="122" t="s">
        <v>1546</v>
      </c>
      <c r="J4021" s="307" t="s">
        <v>214</v>
      </c>
      <c r="K4021" s="127" t="s">
        <v>4212</v>
      </c>
      <c r="L4021" s="151" t="s">
        <v>1579</v>
      </c>
      <c r="M4021">
        <v>323</v>
      </c>
      <c r="N4021" s="123">
        <v>17</v>
      </c>
      <c r="O4021">
        <v>2568</v>
      </c>
      <c r="P4021" s="132" t="s">
        <v>77</v>
      </c>
      <c r="Q4021" s="131">
        <v>885.35</v>
      </c>
      <c r="R4021" s="131"/>
      <c r="S4021" s="131"/>
      <c r="T4021" s="155"/>
      <c r="U4021" s="131"/>
      <c r="V4021" s="131">
        <v>885.35</v>
      </c>
      <c r="W4021"/>
      <c r="X4021" s="151" t="s">
        <v>3451</v>
      </c>
      <c r="Y4021" s="135" t="s">
        <v>55</v>
      </c>
      <c r="Z4021" s="307">
        <v>243</v>
      </c>
      <c r="AB4021" t="str">
        <f>IF(Table1[[#This Row],[TIPO2]]="costo", VLOOKUP(Table1[[#This Row],[PARTIDA PRESUPUESTAL]],'Cost Report'!G:G,1,0),"Balance")</f>
        <v>2585-003</v>
      </c>
      <c r="AC4021" s="118"/>
      <c r="AD4021" s="159">
        <f>+Table1[[#This Row],[SUBTOTAL]]+Table1[[#This Row],[IVA]]-Table1[[#This Row],[RET IVA]]-Table1[[#This Row],[RET ISR]]-Table1[[#This Row],[TOTAL]]</f>
        <v>0</v>
      </c>
      <c r="AE4021" s="150"/>
      <c r="AF4021" s="151"/>
      <c r="AG4021" s="126" t="s">
        <v>3420</v>
      </c>
      <c r="AK4021" s="306" t="str">
        <f>IF(ISNUMBER(Table1[[#This Row],[FECHA DE RECIBIDO]]), Table1[[#This Row],[FECHA DE RECIBIDO]]-DATE(2023,8,30), "")</f>
        <v/>
      </c>
    </row>
    <row r="4022" spans="1:37" ht="15" customHeight="1">
      <c r="A4022" s="152" t="s">
        <v>4306</v>
      </c>
      <c r="B4022" s="153">
        <v>1289</v>
      </c>
      <c r="C4022" s="126" t="s">
        <v>2565</v>
      </c>
      <c r="D4022">
        <v>2699</v>
      </c>
      <c r="E4022" s="126" t="s">
        <v>1608</v>
      </c>
      <c r="F4022" s="125" t="s">
        <v>1382</v>
      </c>
      <c r="G4022" s="125" t="e">
        <v>#N/A</v>
      </c>
      <c r="H4022">
        <v>31</v>
      </c>
      <c r="I4022" s="125" t="s">
        <v>1546</v>
      </c>
      <c r="J4022" s="308" t="s">
        <v>214</v>
      </c>
      <c r="K4022" s="127" t="s">
        <v>4212</v>
      </c>
      <c r="L4022" s="153" t="s">
        <v>1579</v>
      </c>
      <c r="M4022">
        <v>69</v>
      </c>
      <c r="N4022" s="123">
        <v>17</v>
      </c>
      <c r="O4022">
        <v>2569</v>
      </c>
      <c r="P4022" s="132" t="s">
        <v>77</v>
      </c>
      <c r="Q4022" s="132">
        <v>297.8</v>
      </c>
      <c r="R4022" s="132"/>
      <c r="S4022" s="132"/>
      <c r="T4022" s="156"/>
      <c r="U4022" s="132"/>
      <c r="V4022" s="132">
        <v>297.8</v>
      </c>
      <c r="W4022"/>
      <c r="X4022" s="153" t="s">
        <v>3451</v>
      </c>
      <c r="Y4022" s="124" t="s">
        <v>55</v>
      </c>
      <c r="Z4022" s="308">
        <v>243</v>
      </c>
      <c r="AB4022" t="str">
        <f>IF(Table1[[#This Row],[TIPO2]]="costo", VLOOKUP(Table1[[#This Row],[PARTIDA PRESUPUESTAL]],'Cost Report'!G:G,1,0),"Balance")</f>
        <v>2585-003</v>
      </c>
      <c r="AC4022" s="118"/>
      <c r="AD4022" s="159">
        <f>+Table1[[#This Row],[SUBTOTAL]]+Table1[[#This Row],[IVA]]-Table1[[#This Row],[RET IVA]]-Table1[[#This Row],[RET ISR]]-Table1[[#This Row],[TOTAL]]</f>
        <v>0</v>
      </c>
      <c r="AE4022" s="152"/>
      <c r="AF4022" s="153"/>
      <c r="AG4022" s="126" t="s">
        <v>3420</v>
      </c>
      <c r="AK4022" s="306" t="str">
        <f>IF(ISNUMBER(Table1[[#This Row],[FECHA DE RECIBIDO]]), Table1[[#This Row],[FECHA DE RECIBIDO]]-DATE(2023,8,30), "")</f>
        <v/>
      </c>
    </row>
    <row r="4023" spans="1:37" ht="15" customHeight="1">
      <c r="A4023" s="150" t="s">
        <v>4306</v>
      </c>
      <c r="B4023" s="151">
        <v>1289</v>
      </c>
      <c r="C4023" s="126" t="s">
        <v>2566</v>
      </c>
      <c r="D4023">
        <v>2700</v>
      </c>
      <c r="E4023" s="126" t="s">
        <v>3292</v>
      </c>
      <c r="F4023" s="122" t="s">
        <v>1607</v>
      </c>
      <c r="G4023" s="122" t="s">
        <v>134</v>
      </c>
      <c r="H4023">
        <v>57</v>
      </c>
      <c r="I4023" s="122" t="s">
        <v>1546</v>
      </c>
      <c r="J4023" s="307" t="s">
        <v>214</v>
      </c>
      <c r="K4023" s="127" t="s">
        <v>4212</v>
      </c>
      <c r="L4023" s="151" t="s">
        <v>1579</v>
      </c>
      <c r="M4023">
        <v>79</v>
      </c>
      <c r="N4023" s="123">
        <v>17</v>
      </c>
      <c r="O4023">
        <v>2570</v>
      </c>
      <c r="P4023" s="132" t="s">
        <v>77</v>
      </c>
      <c r="Q4023" s="131">
        <v>453.44</v>
      </c>
      <c r="R4023" s="131">
        <v>72.56</v>
      </c>
      <c r="S4023" s="131"/>
      <c r="T4023" s="155"/>
      <c r="U4023" s="131"/>
      <c r="V4023" s="131">
        <v>526</v>
      </c>
      <c r="W4023"/>
      <c r="X4023" s="151" t="s">
        <v>3451</v>
      </c>
      <c r="Y4023" s="135" t="s">
        <v>55</v>
      </c>
      <c r="Z4023" s="307">
        <v>235</v>
      </c>
      <c r="AB4023" t="str">
        <f>IF(Table1[[#This Row],[TIPO2]]="costo", VLOOKUP(Table1[[#This Row],[PARTIDA PRESUPUESTAL]],'Cost Report'!G:G,1,0),"Balance")</f>
        <v>2594-003</v>
      </c>
      <c r="AC4023" s="118"/>
      <c r="AD4023" s="159">
        <f>+Table1[[#This Row],[SUBTOTAL]]+Table1[[#This Row],[IVA]]-Table1[[#This Row],[RET IVA]]-Table1[[#This Row],[RET ISR]]-Table1[[#This Row],[TOTAL]]</f>
        <v>0</v>
      </c>
      <c r="AE4023" s="150"/>
      <c r="AF4023" s="151"/>
      <c r="AG4023" s="126" t="s">
        <v>3420</v>
      </c>
      <c r="AK4023" s="306" t="str">
        <f>IF(ISNUMBER(Table1[[#This Row],[FECHA DE RECIBIDO]]), Table1[[#This Row],[FECHA DE RECIBIDO]]-DATE(2023,8,30), "")</f>
        <v/>
      </c>
    </row>
    <row r="4024" spans="1:37" ht="15" customHeight="1">
      <c r="A4024" s="152" t="s">
        <v>4306</v>
      </c>
      <c r="B4024" s="153">
        <v>1289</v>
      </c>
      <c r="C4024" s="126" t="s">
        <v>2565</v>
      </c>
      <c r="D4024">
        <v>2701</v>
      </c>
      <c r="E4024" s="126" t="s">
        <v>3292</v>
      </c>
      <c r="F4024" s="125" t="s">
        <v>1607</v>
      </c>
      <c r="G4024" s="125" t="s">
        <v>134</v>
      </c>
      <c r="H4024">
        <v>57</v>
      </c>
      <c r="I4024" s="125" t="s">
        <v>1546</v>
      </c>
      <c r="J4024" s="308" t="s">
        <v>214</v>
      </c>
      <c r="K4024" s="127" t="s">
        <v>4212</v>
      </c>
      <c r="L4024" s="153" t="s">
        <v>1579</v>
      </c>
      <c r="M4024">
        <v>79</v>
      </c>
      <c r="N4024" s="123">
        <v>17</v>
      </c>
      <c r="O4024">
        <v>2571</v>
      </c>
      <c r="P4024" s="132" t="s">
        <v>77</v>
      </c>
      <c r="Q4024" s="132">
        <v>1182.75</v>
      </c>
      <c r="R4024" s="132">
        <v>189.25</v>
      </c>
      <c r="S4024" s="132"/>
      <c r="T4024" s="156"/>
      <c r="U4024" s="132"/>
      <c r="V4024" s="132">
        <v>1372</v>
      </c>
      <c r="W4024"/>
      <c r="X4024" s="153" t="s">
        <v>3451</v>
      </c>
      <c r="Y4024" s="124" t="s">
        <v>55</v>
      </c>
      <c r="Z4024" s="308">
        <v>235</v>
      </c>
      <c r="AB4024" t="str">
        <f>IF(Table1[[#This Row],[TIPO2]]="costo", VLOOKUP(Table1[[#This Row],[PARTIDA PRESUPUESTAL]],'Cost Report'!G:G,1,0),"Balance")</f>
        <v>2585-003</v>
      </c>
      <c r="AC4024" s="118"/>
      <c r="AD4024" s="159">
        <f>+Table1[[#This Row],[SUBTOTAL]]+Table1[[#This Row],[IVA]]-Table1[[#This Row],[RET IVA]]-Table1[[#This Row],[RET ISR]]-Table1[[#This Row],[TOTAL]]</f>
        <v>0</v>
      </c>
      <c r="AE4024" s="152"/>
      <c r="AF4024" s="153"/>
      <c r="AG4024" s="126" t="s">
        <v>3420</v>
      </c>
      <c r="AK4024" s="306" t="str">
        <f>IF(ISNUMBER(Table1[[#This Row],[FECHA DE RECIBIDO]]), Table1[[#This Row],[FECHA DE RECIBIDO]]-DATE(2023,8,30), "")</f>
        <v/>
      </c>
    </row>
    <row r="4025" spans="1:37" ht="15" customHeight="1">
      <c r="A4025" s="150" t="s">
        <v>4306</v>
      </c>
      <c r="B4025" s="151">
        <v>1289</v>
      </c>
      <c r="C4025" s="126" t="s">
        <v>2565</v>
      </c>
      <c r="D4025">
        <v>2702</v>
      </c>
      <c r="E4025" s="126" t="s">
        <v>3292</v>
      </c>
      <c r="F4025" s="122" t="s">
        <v>1607</v>
      </c>
      <c r="G4025" s="122" t="s">
        <v>134</v>
      </c>
      <c r="H4025">
        <v>57</v>
      </c>
      <c r="I4025" s="122" t="s">
        <v>1546</v>
      </c>
      <c r="J4025" s="307" t="s">
        <v>214</v>
      </c>
      <c r="K4025" s="127" t="s">
        <v>4212</v>
      </c>
      <c r="L4025" s="151" t="s">
        <v>1579</v>
      </c>
      <c r="M4025">
        <v>79</v>
      </c>
      <c r="N4025" s="123">
        <v>17</v>
      </c>
      <c r="O4025">
        <v>2572</v>
      </c>
      <c r="P4025" s="132" t="s">
        <v>77</v>
      </c>
      <c r="Q4025" s="131">
        <v>841.2</v>
      </c>
      <c r="R4025" s="131">
        <v>134.6</v>
      </c>
      <c r="S4025" s="131"/>
      <c r="T4025" s="155"/>
      <c r="U4025" s="131"/>
      <c r="V4025" s="131">
        <v>975.80000000000007</v>
      </c>
      <c r="W4025"/>
      <c r="X4025" s="151" t="s">
        <v>3451</v>
      </c>
      <c r="Y4025" s="135" t="s">
        <v>55</v>
      </c>
      <c r="Z4025" s="307">
        <v>236</v>
      </c>
      <c r="AB4025" t="str">
        <f>IF(Table1[[#This Row],[TIPO2]]="costo", VLOOKUP(Table1[[#This Row],[PARTIDA PRESUPUESTAL]],'Cost Report'!G:G,1,0),"Balance")</f>
        <v>2585-003</v>
      </c>
      <c r="AC4025" s="118"/>
      <c r="AD4025" s="159">
        <f>+Table1[[#This Row],[SUBTOTAL]]+Table1[[#This Row],[IVA]]-Table1[[#This Row],[RET IVA]]-Table1[[#This Row],[RET ISR]]-Table1[[#This Row],[TOTAL]]</f>
        <v>0</v>
      </c>
      <c r="AE4025" s="150"/>
      <c r="AF4025" s="151"/>
      <c r="AG4025" s="126" t="s">
        <v>3420</v>
      </c>
      <c r="AK4025" s="306" t="str">
        <f>IF(ISNUMBER(Table1[[#This Row],[FECHA DE RECIBIDO]]), Table1[[#This Row],[FECHA DE RECIBIDO]]-DATE(2023,8,30), "")</f>
        <v/>
      </c>
    </row>
    <row r="4026" spans="1:37" ht="15" customHeight="1">
      <c r="A4026" s="152" t="s">
        <v>4306</v>
      </c>
      <c r="B4026" s="153">
        <v>1289</v>
      </c>
      <c r="C4026" s="126" t="s">
        <v>2566</v>
      </c>
      <c r="D4026">
        <v>2703</v>
      </c>
      <c r="E4026" s="126" t="s">
        <v>1600</v>
      </c>
      <c r="F4026" s="125" t="s">
        <v>1607</v>
      </c>
      <c r="G4026" s="125" t="s">
        <v>134</v>
      </c>
      <c r="H4026">
        <v>41</v>
      </c>
      <c r="I4026" s="125" t="s">
        <v>1546</v>
      </c>
      <c r="J4026" s="308" t="s">
        <v>214</v>
      </c>
      <c r="K4026" s="127" t="s">
        <v>4212</v>
      </c>
      <c r="L4026" s="153" t="s">
        <v>1579</v>
      </c>
      <c r="M4026">
        <v>323</v>
      </c>
      <c r="N4026" s="123">
        <v>17</v>
      </c>
      <c r="O4026">
        <v>2573</v>
      </c>
      <c r="P4026" s="132" t="s">
        <v>77</v>
      </c>
      <c r="Q4026" s="132">
        <v>295.69</v>
      </c>
      <c r="R4026" s="132">
        <v>47.31</v>
      </c>
      <c r="S4026" s="132"/>
      <c r="T4026" s="156"/>
      <c r="U4026" s="132"/>
      <c r="V4026" s="132">
        <v>343</v>
      </c>
      <c r="W4026"/>
      <c r="X4026" s="153" t="s">
        <v>3451</v>
      </c>
      <c r="Y4026" s="124" t="s">
        <v>55</v>
      </c>
      <c r="Z4026" s="308">
        <v>243</v>
      </c>
      <c r="AB4026" t="str">
        <f>IF(Table1[[#This Row],[TIPO2]]="costo", VLOOKUP(Table1[[#This Row],[PARTIDA PRESUPUESTAL]],'Cost Report'!G:G,1,0),"Balance")</f>
        <v>2594-003</v>
      </c>
      <c r="AC4026" s="118"/>
      <c r="AD4026" s="159">
        <f>+Table1[[#This Row],[SUBTOTAL]]+Table1[[#This Row],[IVA]]-Table1[[#This Row],[RET IVA]]-Table1[[#This Row],[RET ISR]]-Table1[[#This Row],[TOTAL]]</f>
        <v>0</v>
      </c>
      <c r="AE4026" s="152"/>
      <c r="AF4026" s="153"/>
      <c r="AG4026" s="126" t="s">
        <v>3420</v>
      </c>
      <c r="AK4026" s="306" t="str">
        <f>IF(ISNUMBER(Table1[[#This Row],[FECHA DE RECIBIDO]]), Table1[[#This Row],[FECHA DE RECIBIDO]]-DATE(2023,8,30), "")</f>
        <v/>
      </c>
    </row>
    <row r="4027" spans="1:37" ht="15" customHeight="1">
      <c r="A4027" s="150" t="s">
        <v>4306</v>
      </c>
      <c r="B4027" s="151">
        <v>1289</v>
      </c>
      <c r="C4027" s="126" t="s">
        <v>2565</v>
      </c>
      <c r="D4027">
        <v>2704</v>
      </c>
      <c r="E4027" s="126" t="s">
        <v>1600</v>
      </c>
      <c r="F4027" s="122" t="s">
        <v>1607</v>
      </c>
      <c r="G4027" s="122" t="s">
        <v>134</v>
      </c>
      <c r="H4027">
        <v>41</v>
      </c>
      <c r="I4027" s="122" t="s">
        <v>1546</v>
      </c>
      <c r="J4027" s="307" t="s">
        <v>214</v>
      </c>
      <c r="K4027" s="127" t="s">
        <v>4212</v>
      </c>
      <c r="L4027" s="151" t="s">
        <v>1579</v>
      </c>
      <c r="M4027">
        <v>323</v>
      </c>
      <c r="N4027" s="123">
        <v>17</v>
      </c>
      <c r="O4027">
        <v>2574</v>
      </c>
      <c r="P4027" s="132" t="s">
        <v>77</v>
      </c>
      <c r="Q4027" s="131">
        <v>1376</v>
      </c>
      <c r="R4027" s="131"/>
      <c r="S4027" s="131"/>
      <c r="T4027" s="155"/>
      <c r="U4027" s="131"/>
      <c r="V4027" s="131">
        <v>1376</v>
      </c>
      <c r="W4027"/>
      <c r="X4027" s="151" t="s">
        <v>3451</v>
      </c>
      <c r="Y4027" s="135" t="s">
        <v>55</v>
      </c>
      <c r="Z4027" s="307">
        <v>243</v>
      </c>
      <c r="AB4027" t="str">
        <f>IF(Table1[[#This Row],[TIPO2]]="costo", VLOOKUP(Table1[[#This Row],[PARTIDA PRESUPUESTAL]],'Cost Report'!G:G,1,0),"Balance")</f>
        <v>2585-003</v>
      </c>
      <c r="AC4027" s="118"/>
      <c r="AD4027" s="159">
        <f>+Table1[[#This Row],[SUBTOTAL]]+Table1[[#This Row],[IVA]]-Table1[[#This Row],[RET IVA]]-Table1[[#This Row],[RET ISR]]-Table1[[#This Row],[TOTAL]]</f>
        <v>0</v>
      </c>
      <c r="AE4027" s="150"/>
      <c r="AF4027" s="151"/>
      <c r="AG4027" s="126" t="s">
        <v>3420</v>
      </c>
      <c r="AK4027" s="306" t="str">
        <f>IF(ISNUMBER(Table1[[#This Row],[FECHA DE RECIBIDO]]), Table1[[#This Row],[FECHA DE RECIBIDO]]-DATE(2023,8,30), "")</f>
        <v/>
      </c>
    </row>
    <row r="4028" spans="1:37" ht="15" customHeight="1">
      <c r="A4028" s="152" t="s">
        <v>4306</v>
      </c>
      <c r="B4028" s="153">
        <v>1289</v>
      </c>
      <c r="C4028" s="126" t="s">
        <v>2566</v>
      </c>
      <c r="D4028">
        <v>2705</v>
      </c>
      <c r="E4028" s="126" t="s">
        <v>3378</v>
      </c>
      <c r="F4028" s="125" t="s">
        <v>1607</v>
      </c>
      <c r="G4028" s="125" t="s">
        <v>134</v>
      </c>
      <c r="H4028">
        <v>57</v>
      </c>
      <c r="I4028" s="125" t="s">
        <v>1546</v>
      </c>
      <c r="J4028" s="308" t="s">
        <v>214</v>
      </c>
      <c r="K4028" s="127" t="s">
        <v>4212</v>
      </c>
      <c r="L4028" s="153" t="s">
        <v>1579</v>
      </c>
      <c r="M4028">
        <v>79</v>
      </c>
      <c r="N4028" s="123">
        <v>17</v>
      </c>
      <c r="O4028">
        <v>2575</v>
      </c>
      <c r="P4028" s="132" t="s">
        <v>77</v>
      </c>
      <c r="Q4028" s="132">
        <v>2890.51</v>
      </c>
      <c r="R4028" s="132">
        <v>462.49</v>
      </c>
      <c r="S4028" s="132"/>
      <c r="T4028" s="156"/>
      <c r="U4028" s="132"/>
      <c r="V4028" s="132">
        <v>3353</v>
      </c>
      <c r="W4028"/>
      <c r="X4028" s="153" t="s">
        <v>3451</v>
      </c>
      <c r="Y4028" s="124" t="s">
        <v>55</v>
      </c>
      <c r="Z4028" s="308">
        <v>238</v>
      </c>
      <c r="AB4028" t="str">
        <f>IF(Table1[[#This Row],[TIPO2]]="costo", VLOOKUP(Table1[[#This Row],[PARTIDA PRESUPUESTAL]],'Cost Report'!G:G,1,0),"Balance")</f>
        <v>2594-003</v>
      </c>
      <c r="AC4028" s="118"/>
      <c r="AD4028" s="159">
        <f>+Table1[[#This Row],[SUBTOTAL]]+Table1[[#This Row],[IVA]]-Table1[[#This Row],[RET IVA]]-Table1[[#This Row],[RET ISR]]-Table1[[#This Row],[TOTAL]]</f>
        <v>0</v>
      </c>
      <c r="AE4028" s="152"/>
      <c r="AF4028" s="153"/>
      <c r="AG4028" s="126" t="s">
        <v>3420</v>
      </c>
      <c r="AK4028" s="306" t="str">
        <f>IF(ISNUMBER(Table1[[#This Row],[FECHA DE RECIBIDO]]), Table1[[#This Row],[FECHA DE RECIBIDO]]-DATE(2023,8,30), "")</f>
        <v/>
      </c>
    </row>
    <row r="4029" spans="1:37" ht="15" customHeight="1">
      <c r="A4029" s="150" t="s">
        <v>4306</v>
      </c>
      <c r="B4029" s="151">
        <v>1289</v>
      </c>
      <c r="C4029" s="126" t="s">
        <v>2566</v>
      </c>
      <c r="D4029">
        <v>2706</v>
      </c>
      <c r="E4029" s="126" t="s">
        <v>1596</v>
      </c>
      <c r="F4029" s="122" t="s">
        <v>1589</v>
      </c>
      <c r="G4029" s="122" t="s">
        <v>129</v>
      </c>
      <c r="H4029">
        <v>737</v>
      </c>
      <c r="I4029" s="122" t="s">
        <v>1546</v>
      </c>
      <c r="J4029" s="307" t="s">
        <v>214</v>
      </c>
      <c r="K4029" s="127" t="s">
        <v>4212</v>
      </c>
      <c r="L4029" s="151" t="s">
        <v>1579</v>
      </c>
      <c r="M4029">
        <v>1032</v>
      </c>
      <c r="N4029" s="123">
        <v>17</v>
      </c>
      <c r="O4029">
        <v>2576</v>
      </c>
      <c r="P4029" s="132" t="s">
        <v>77</v>
      </c>
      <c r="Q4029" s="131">
        <v>1534.48</v>
      </c>
      <c r="R4029" s="131">
        <v>245.52</v>
      </c>
      <c r="S4029" s="131"/>
      <c r="T4029" s="155"/>
      <c r="U4029" s="131"/>
      <c r="V4029" s="131">
        <v>1780</v>
      </c>
      <c r="W4029"/>
      <c r="X4029" s="151" t="s">
        <v>3451</v>
      </c>
      <c r="Y4029" s="135" t="s">
        <v>55</v>
      </c>
      <c r="Z4029" s="307">
        <v>243</v>
      </c>
      <c r="AB4029" t="str">
        <f>IF(Table1[[#This Row],[TIPO2]]="costo", VLOOKUP(Table1[[#This Row],[PARTIDA PRESUPUESTAL]],'Cost Report'!G:G,1,0),"Balance")</f>
        <v>2594-003</v>
      </c>
      <c r="AC4029" s="118"/>
      <c r="AD4029" s="159">
        <f>+Table1[[#This Row],[SUBTOTAL]]+Table1[[#This Row],[IVA]]-Table1[[#This Row],[RET IVA]]-Table1[[#This Row],[RET ISR]]-Table1[[#This Row],[TOTAL]]</f>
        <v>0</v>
      </c>
      <c r="AE4029" s="150"/>
      <c r="AF4029" s="151"/>
      <c r="AG4029" s="126" t="s">
        <v>3420</v>
      </c>
      <c r="AK4029" s="306" t="str">
        <f>IF(ISNUMBER(Table1[[#This Row],[FECHA DE RECIBIDO]]), Table1[[#This Row],[FECHA DE RECIBIDO]]-DATE(2023,8,30), "")</f>
        <v/>
      </c>
    </row>
    <row r="4030" spans="1:37" ht="15" customHeight="1">
      <c r="A4030" s="152" t="s">
        <v>4306</v>
      </c>
      <c r="B4030" s="153">
        <v>1289</v>
      </c>
      <c r="C4030" s="126" t="s">
        <v>2566</v>
      </c>
      <c r="D4030">
        <v>2707</v>
      </c>
      <c r="E4030" s="126" t="s">
        <v>3292</v>
      </c>
      <c r="F4030" s="125" t="s">
        <v>1607</v>
      </c>
      <c r="G4030" s="125" t="s">
        <v>134</v>
      </c>
      <c r="H4030">
        <v>57</v>
      </c>
      <c r="I4030" s="125" t="s">
        <v>1546</v>
      </c>
      <c r="J4030" s="308" t="s">
        <v>214</v>
      </c>
      <c r="K4030" s="127" t="s">
        <v>4212</v>
      </c>
      <c r="L4030" s="153" t="s">
        <v>1579</v>
      </c>
      <c r="M4030">
        <v>79</v>
      </c>
      <c r="N4030" s="123">
        <v>17</v>
      </c>
      <c r="O4030">
        <v>2577</v>
      </c>
      <c r="P4030" s="132" t="s">
        <v>77</v>
      </c>
      <c r="Q4030" s="132">
        <v>2085.96</v>
      </c>
      <c r="R4030" s="132">
        <v>333.74</v>
      </c>
      <c r="S4030" s="132"/>
      <c r="T4030" s="156"/>
      <c r="U4030" s="132"/>
      <c r="V4030" s="132">
        <v>2419.6999999999998</v>
      </c>
      <c r="W4030"/>
      <c r="X4030" s="153" t="s">
        <v>3451</v>
      </c>
      <c r="Y4030" s="124" t="s">
        <v>55</v>
      </c>
      <c r="Z4030" s="308">
        <v>239</v>
      </c>
      <c r="AB4030" t="str">
        <f>IF(Table1[[#This Row],[TIPO2]]="costo", VLOOKUP(Table1[[#This Row],[PARTIDA PRESUPUESTAL]],'Cost Report'!G:G,1,0),"Balance")</f>
        <v>2594-003</v>
      </c>
      <c r="AC4030" s="118"/>
      <c r="AD4030" s="159">
        <f>+Table1[[#This Row],[SUBTOTAL]]+Table1[[#This Row],[IVA]]-Table1[[#This Row],[RET IVA]]-Table1[[#This Row],[RET ISR]]-Table1[[#This Row],[TOTAL]]</f>
        <v>0</v>
      </c>
      <c r="AE4030" s="152"/>
      <c r="AF4030" s="153"/>
      <c r="AG4030" s="126" t="s">
        <v>3420</v>
      </c>
      <c r="AK4030" s="306" t="str">
        <f>IF(ISNUMBER(Table1[[#This Row],[FECHA DE RECIBIDO]]), Table1[[#This Row],[FECHA DE RECIBIDO]]-DATE(2023,8,30), "")</f>
        <v/>
      </c>
    </row>
    <row r="4031" spans="1:37" ht="15" customHeight="1">
      <c r="A4031" s="150" t="s">
        <v>4306</v>
      </c>
      <c r="B4031" s="151">
        <v>1289</v>
      </c>
      <c r="C4031" s="126" t="s">
        <v>2565</v>
      </c>
      <c r="D4031">
        <v>2708</v>
      </c>
      <c r="E4031" s="126" t="s">
        <v>1614</v>
      </c>
      <c r="F4031" s="122" t="s">
        <v>1607</v>
      </c>
      <c r="G4031" s="122" t="s">
        <v>134</v>
      </c>
      <c r="H4031">
        <v>738</v>
      </c>
      <c r="I4031" s="122" t="s">
        <v>1546</v>
      </c>
      <c r="J4031" s="307" t="s">
        <v>214</v>
      </c>
      <c r="K4031" s="127" t="s">
        <v>4212</v>
      </c>
      <c r="L4031" s="151" t="s">
        <v>1579</v>
      </c>
      <c r="M4031">
        <v>1033</v>
      </c>
      <c r="N4031" s="123">
        <v>17</v>
      </c>
      <c r="O4031">
        <v>2578</v>
      </c>
      <c r="P4031" s="132" t="s">
        <v>77</v>
      </c>
      <c r="Q4031" s="131">
        <v>8.6199999999999992</v>
      </c>
      <c r="R4031" s="131">
        <v>1.38</v>
      </c>
      <c r="S4031" s="131"/>
      <c r="T4031" s="155"/>
      <c r="U4031" s="131"/>
      <c r="V4031" s="131">
        <v>10</v>
      </c>
      <c r="W4031"/>
      <c r="X4031" s="151" t="s">
        <v>3451</v>
      </c>
      <c r="Y4031" s="135" t="s">
        <v>55</v>
      </c>
      <c r="Z4031" s="307">
        <v>243</v>
      </c>
      <c r="AB4031" t="str">
        <f>IF(Table1[[#This Row],[TIPO2]]="costo", VLOOKUP(Table1[[#This Row],[PARTIDA PRESUPUESTAL]],'Cost Report'!G:G,1,0),"Balance")</f>
        <v>2585-003</v>
      </c>
      <c r="AC4031" s="118"/>
      <c r="AD4031" s="159">
        <f>+Table1[[#This Row],[SUBTOTAL]]+Table1[[#This Row],[IVA]]-Table1[[#This Row],[RET IVA]]-Table1[[#This Row],[RET ISR]]-Table1[[#This Row],[TOTAL]]</f>
        <v>0</v>
      </c>
      <c r="AE4031" s="150"/>
      <c r="AF4031" s="151"/>
      <c r="AG4031" s="126" t="s">
        <v>3420</v>
      </c>
      <c r="AK4031" s="306" t="str">
        <f>IF(ISNUMBER(Table1[[#This Row],[FECHA DE RECIBIDO]]), Table1[[#This Row],[FECHA DE RECIBIDO]]-DATE(2023,8,30), "")</f>
        <v/>
      </c>
    </row>
    <row r="4032" spans="1:37" ht="15" customHeight="1">
      <c r="A4032" s="152" t="s">
        <v>4306</v>
      </c>
      <c r="B4032" s="153">
        <v>1289</v>
      </c>
      <c r="C4032" s="126" t="s">
        <v>2565</v>
      </c>
      <c r="D4032">
        <v>2709</v>
      </c>
      <c r="E4032" s="126" t="s">
        <v>1645</v>
      </c>
      <c r="F4032" s="125" t="s">
        <v>1607</v>
      </c>
      <c r="G4032" s="125" t="s">
        <v>134</v>
      </c>
      <c r="H4032">
        <v>549</v>
      </c>
      <c r="I4032" s="125" t="s">
        <v>1546</v>
      </c>
      <c r="J4032" s="308" t="s">
        <v>214</v>
      </c>
      <c r="K4032" s="127" t="s">
        <v>4212</v>
      </c>
      <c r="L4032" s="153" t="s">
        <v>1579</v>
      </c>
      <c r="M4032">
        <v>814</v>
      </c>
      <c r="N4032" s="123">
        <v>17</v>
      </c>
      <c r="O4032">
        <v>2579</v>
      </c>
      <c r="P4032" s="132" t="s">
        <v>77</v>
      </c>
      <c r="Q4032" s="132">
        <v>372.4</v>
      </c>
      <c r="R4032" s="132">
        <v>59.59</v>
      </c>
      <c r="S4032" s="132"/>
      <c r="T4032" s="156"/>
      <c r="U4032" s="132"/>
      <c r="V4032" s="132">
        <v>431.99</v>
      </c>
      <c r="W4032"/>
      <c r="X4032" s="153" t="s">
        <v>3451</v>
      </c>
      <c r="Y4032" s="124" t="s">
        <v>55</v>
      </c>
      <c r="Z4032" s="308">
        <v>243</v>
      </c>
      <c r="AB4032" t="str">
        <f>IF(Table1[[#This Row],[TIPO2]]="costo", VLOOKUP(Table1[[#This Row],[PARTIDA PRESUPUESTAL]],'Cost Report'!G:G,1,0),"Balance")</f>
        <v>2585-003</v>
      </c>
      <c r="AC4032" s="118"/>
      <c r="AD4032" s="159">
        <f>+Table1[[#This Row],[SUBTOTAL]]+Table1[[#This Row],[IVA]]-Table1[[#This Row],[RET IVA]]-Table1[[#This Row],[RET ISR]]-Table1[[#This Row],[TOTAL]]</f>
        <v>0</v>
      </c>
      <c r="AE4032" s="152"/>
      <c r="AF4032" s="153"/>
      <c r="AG4032" s="126" t="s">
        <v>3420</v>
      </c>
      <c r="AK4032" s="306" t="str">
        <f>IF(ISNUMBER(Table1[[#This Row],[FECHA DE RECIBIDO]]), Table1[[#This Row],[FECHA DE RECIBIDO]]-DATE(2023,8,30), "")</f>
        <v/>
      </c>
    </row>
    <row r="4033" spans="1:37" ht="15" customHeight="1">
      <c r="A4033" s="150" t="s">
        <v>4306</v>
      </c>
      <c r="B4033" s="151">
        <v>1289</v>
      </c>
      <c r="C4033" s="126" t="s">
        <v>2565</v>
      </c>
      <c r="D4033">
        <v>2710</v>
      </c>
      <c r="E4033" s="126" t="s">
        <v>1608</v>
      </c>
      <c r="F4033" s="122" t="s">
        <v>1382</v>
      </c>
      <c r="G4033" s="122" t="e">
        <v>#N/A</v>
      </c>
      <c r="H4033">
        <v>31</v>
      </c>
      <c r="I4033" s="122" t="s">
        <v>1546</v>
      </c>
      <c r="J4033" s="307" t="s">
        <v>214</v>
      </c>
      <c r="K4033" s="127" t="s">
        <v>4212</v>
      </c>
      <c r="L4033" s="151" t="s">
        <v>1579</v>
      </c>
      <c r="M4033">
        <v>69</v>
      </c>
      <c r="N4033" s="123">
        <v>17</v>
      </c>
      <c r="O4033">
        <v>2580</v>
      </c>
      <c r="P4033" s="132" t="s">
        <v>77</v>
      </c>
      <c r="Q4033" s="131">
        <v>62</v>
      </c>
      <c r="R4033" s="131"/>
      <c r="S4033" s="131"/>
      <c r="T4033" s="155"/>
      <c r="U4033" s="131"/>
      <c r="V4033" s="131">
        <v>62</v>
      </c>
      <c r="W4033"/>
      <c r="X4033" s="151" t="s">
        <v>3451</v>
      </c>
      <c r="Y4033" s="135" t="s">
        <v>55</v>
      </c>
      <c r="Z4033" s="307">
        <v>243</v>
      </c>
      <c r="AB4033" t="str">
        <f>IF(Table1[[#This Row],[TIPO2]]="costo", VLOOKUP(Table1[[#This Row],[PARTIDA PRESUPUESTAL]],'Cost Report'!G:G,1,0),"Balance")</f>
        <v>2585-003</v>
      </c>
      <c r="AC4033" s="118"/>
      <c r="AD4033" s="159">
        <f>+Table1[[#This Row],[SUBTOTAL]]+Table1[[#This Row],[IVA]]-Table1[[#This Row],[RET IVA]]-Table1[[#This Row],[RET ISR]]-Table1[[#This Row],[TOTAL]]</f>
        <v>0</v>
      </c>
      <c r="AE4033" s="150"/>
      <c r="AF4033" s="151"/>
      <c r="AG4033" s="126" t="s">
        <v>3420</v>
      </c>
      <c r="AK4033" s="306" t="str">
        <f>IF(ISNUMBER(Table1[[#This Row],[FECHA DE RECIBIDO]]), Table1[[#This Row],[FECHA DE RECIBIDO]]-DATE(2023,8,30), "")</f>
        <v/>
      </c>
    </row>
    <row r="4034" spans="1:37" ht="15" customHeight="1">
      <c r="A4034" s="152" t="s">
        <v>4306</v>
      </c>
      <c r="B4034" s="153">
        <v>1289</v>
      </c>
      <c r="C4034" s="126" t="s">
        <v>2566</v>
      </c>
      <c r="D4034">
        <v>2711</v>
      </c>
      <c r="E4034" s="126" t="s">
        <v>1596</v>
      </c>
      <c r="F4034" s="125" t="s">
        <v>1607</v>
      </c>
      <c r="G4034" s="125" t="s">
        <v>134</v>
      </c>
      <c r="H4034">
        <v>139</v>
      </c>
      <c r="I4034" s="125" t="s">
        <v>1546</v>
      </c>
      <c r="J4034" s="308" t="s">
        <v>214</v>
      </c>
      <c r="K4034" s="127" t="s">
        <v>4212</v>
      </c>
      <c r="L4034" s="153" t="s">
        <v>1579</v>
      </c>
      <c r="M4034">
        <v>181</v>
      </c>
      <c r="N4034" s="123">
        <v>17</v>
      </c>
      <c r="O4034">
        <v>2581</v>
      </c>
      <c r="P4034" s="132" t="s">
        <v>77</v>
      </c>
      <c r="Q4034" s="132">
        <v>151.03</v>
      </c>
      <c r="R4034" s="132">
        <v>24.17</v>
      </c>
      <c r="S4034" s="132"/>
      <c r="T4034" s="156"/>
      <c r="U4034" s="132"/>
      <c r="V4034" s="132">
        <v>175.2</v>
      </c>
      <c r="W4034"/>
      <c r="X4034" s="153" t="s">
        <v>3451</v>
      </c>
      <c r="Y4034" s="124" t="s">
        <v>55</v>
      </c>
      <c r="Z4034" s="308">
        <v>222</v>
      </c>
      <c r="AB4034" t="str">
        <f>IF(Table1[[#This Row],[TIPO2]]="costo", VLOOKUP(Table1[[#This Row],[PARTIDA PRESUPUESTAL]],'Cost Report'!G:G,1,0),"Balance")</f>
        <v>2594-003</v>
      </c>
      <c r="AC4034" s="118"/>
      <c r="AD4034" s="159">
        <f>+Table1[[#This Row],[SUBTOTAL]]+Table1[[#This Row],[IVA]]-Table1[[#This Row],[RET IVA]]-Table1[[#This Row],[RET ISR]]-Table1[[#This Row],[TOTAL]]</f>
        <v>0</v>
      </c>
      <c r="AE4034" s="152"/>
      <c r="AF4034" s="153"/>
      <c r="AG4034" s="126" t="s">
        <v>3420</v>
      </c>
      <c r="AK4034" s="306" t="str">
        <f>IF(ISNUMBER(Table1[[#This Row],[FECHA DE RECIBIDO]]), Table1[[#This Row],[FECHA DE RECIBIDO]]-DATE(2023,8,30), "")</f>
        <v/>
      </c>
    </row>
    <row r="4035" spans="1:37" ht="15" customHeight="1">
      <c r="A4035" s="150" t="s">
        <v>4306</v>
      </c>
      <c r="B4035" s="151">
        <v>1289</v>
      </c>
      <c r="C4035" s="126" t="s">
        <v>2565</v>
      </c>
      <c r="D4035">
        <v>2712</v>
      </c>
      <c r="E4035" s="126" t="s">
        <v>1608</v>
      </c>
      <c r="F4035" s="122" t="s">
        <v>1382</v>
      </c>
      <c r="G4035" s="122" t="e">
        <v>#N/A</v>
      </c>
      <c r="H4035">
        <v>31</v>
      </c>
      <c r="I4035" s="122" t="s">
        <v>1546</v>
      </c>
      <c r="J4035" s="307" t="s">
        <v>214</v>
      </c>
      <c r="K4035" s="127" t="s">
        <v>4212</v>
      </c>
      <c r="L4035" s="151" t="s">
        <v>1579</v>
      </c>
      <c r="M4035">
        <v>69</v>
      </c>
      <c r="N4035" s="123">
        <v>17</v>
      </c>
      <c r="O4035">
        <v>2582</v>
      </c>
      <c r="P4035" s="132" t="s">
        <v>77</v>
      </c>
      <c r="Q4035" s="131">
        <v>132.76</v>
      </c>
      <c r="R4035" s="131">
        <v>21.24</v>
      </c>
      <c r="S4035" s="131"/>
      <c r="T4035" s="155"/>
      <c r="U4035" s="131"/>
      <c r="V4035" s="131">
        <v>154</v>
      </c>
      <c r="W4035"/>
      <c r="X4035" s="151" t="s">
        <v>3451</v>
      </c>
      <c r="Y4035" s="135" t="s">
        <v>55</v>
      </c>
      <c r="Z4035" s="307">
        <v>244</v>
      </c>
      <c r="AB4035" t="str">
        <f>IF(Table1[[#This Row],[TIPO2]]="costo", VLOOKUP(Table1[[#This Row],[PARTIDA PRESUPUESTAL]],'Cost Report'!G:G,1,0),"Balance")</f>
        <v>2585-003</v>
      </c>
      <c r="AC4035" s="118"/>
      <c r="AD4035" s="159">
        <f>+Table1[[#This Row],[SUBTOTAL]]+Table1[[#This Row],[IVA]]-Table1[[#This Row],[RET IVA]]-Table1[[#This Row],[RET ISR]]-Table1[[#This Row],[TOTAL]]</f>
        <v>0</v>
      </c>
      <c r="AE4035" s="150"/>
      <c r="AF4035" s="151"/>
      <c r="AG4035" s="126" t="s">
        <v>3420</v>
      </c>
      <c r="AK4035" s="306" t="str">
        <f>IF(ISNUMBER(Table1[[#This Row],[FECHA DE RECIBIDO]]), Table1[[#This Row],[FECHA DE RECIBIDO]]-DATE(2023,8,30), "")</f>
        <v/>
      </c>
    </row>
    <row r="4036" spans="1:37" ht="15" customHeight="1">
      <c r="A4036" s="152" t="s">
        <v>4306</v>
      </c>
      <c r="B4036" s="153">
        <v>1289</v>
      </c>
      <c r="C4036" s="126" t="s">
        <v>2565</v>
      </c>
      <c r="D4036">
        <v>2713</v>
      </c>
      <c r="E4036" s="126" t="s">
        <v>1608</v>
      </c>
      <c r="F4036" s="125" t="s">
        <v>1382</v>
      </c>
      <c r="G4036" s="125" t="e">
        <v>#N/A</v>
      </c>
      <c r="H4036">
        <v>31</v>
      </c>
      <c r="I4036" s="125" t="s">
        <v>1546</v>
      </c>
      <c r="J4036" s="308" t="s">
        <v>214</v>
      </c>
      <c r="K4036" s="127" t="s">
        <v>4212</v>
      </c>
      <c r="L4036" s="153" t="s">
        <v>1579</v>
      </c>
      <c r="M4036">
        <v>69</v>
      </c>
      <c r="N4036" s="123">
        <v>17</v>
      </c>
      <c r="O4036">
        <v>2582</v>
      </c>
      <c r="P4036" s="132" t="s">
        <v>77</v>
      </c>
      <c r="Q4036" s="132">
        <v>37.93</v>
      </c>
      <c r="R4036" s="132">
        <v>6.07</v>
      </c>
      <c r="S4036" s="132"/>
      <c r="T4036" s="156"/>
      <c r="U4036" s="132"/>
      <c r="V4036" s="132">
        <v>44</v>
      </c>
      <c r="W4036"/>
      <c r="X4036" s="153" t="s">
        <v>3451</v>
      </c>
      <c r="Y4036" s="124" t="s">
        <v>55</v>
      </c>
      <c r="Z4036" s="308">
        <v>244</v>
      </c>
      <c r="AB4036" t="str">
        <f>IF(Table1[[#This Row],[TIPO2]]="costo", VLOOKUP(Table1[[#This Row],[PARTIDA PRESUPUESTAL]],'Cost Report'!G:G,1,0),"Balance")</f>
        <v>2585-003</v>
      </c>
      <c r="AC4036" s="118"/>
      <c r="AD4036" s="159">
        <f>+Table1[[#This Row],[SUBTOTAL]]+Table1[[#This Row],[IVA]]-Table1[[#This Row],[RET IVA]]-Table1[[#This Row],[RET ISR]]-Table1[[#This Row],[TOTAL]]</f>
        <v>0</v>
      </c>
      <c r="AE4036" s="152"/>
      <c r="AF4036" s="153"/>
      <c r="AG4036" s="126" t="s">
        <v>3420</v>
      </c>
      <c r="AK4036" s="306" t="str">
        <f>IF(ISNUMBER(Table1[[#This Row],[FECHA DE RECIBIDO]]), Table1[[#This Row],[FECHA DE RECIBIDO]]-DATE(2023,8,30), "")</f>
        <v/>
      </c>
    </row>
    <row r="4037" spans="1:37" ht="15" customHeight="1">
      <c r="A4037" s="150" t="s">
        <v>4307</v>
      </c>
      <c r="B4037" s="151">
        <v>1290</v>
      </c>
      <c r="C4037" s="126" t="s">
        <v>2565</v>
      </c>
      <c r="D4037">
        <v>2714</v>
      </c>
      <c r="E4037" s="126" t="s">
        <v>3292</v>
      </c>
      <c r="F4037" s="122" t="s">
        <v>1607</v>
      </c>
      <c r="G4037" s="122" t="s">
        <v>134</v>
      </c>
      <c r="H4037">
        <v>312</v>
      </c>
      <c r="I4037" s="122" t="s">
        <v>1546</v>
      </c>
      <c r="J4037" s="307" t="s">
        <v>214</v>
      </c>
      <c r="K4037" s="127" t="s">
        <v>4212</v>
      </c>
      <c r="L4037" s="151" t="s">
        <v>1579</v>
      </c>
      <c r="M4037">
        <v>417</v>
      </c>
      <c r="N4037" s="123">
        <v>17</v>
      </c>
      <c r="O4037">
        <v>2583</v>
      </c>
      <c r="P4037" s="132" t="s">
        <v>77</v>
      </c>
      <c r="Q4037" s="131">
        <v>316.2</v>
      </c>
      <c r="R4037" s="131">
        <v>23.85</v>
      </c>
      <c r="S4037" s="131"/>
      <c r="T4037" s="155"/>
      <c r="U4037" s="131"/>
      <c r="V4037" s="131">
        <v>340.05</v>
      </c>
      <c r="W4037"/>
      <c r="X4037" s="151" t="s">
        <v>3451</v>
      </c>
      <c r="Y4037" s="135" t="s">
        <v>55</v>
      </c>
      <c r="Z4037" s="307">
        <v>243</v>
      </c>
      <c r="AB4037" t="str">
        <f>IF(Table1[[#This Row],[TIPO2]]="costo", VLOOKUP(Table1[[#This Row],[PARTIDA PRESUPUESTAL]],'Cost Report'!G:G,1,0),"Balance")</f>
        <v>2585-003</v>
      </c>
      <c r="AC4037" s="118"/>
      <c r="AD4037" s="159">
        <f>+Table1[[#This Row],[SUBTOTAL]]+Table1[[#This Row],[IVA]]-Table1[[#This Row],[RET IVA]]-Table1[[#This Row],[RET ISR]]-Table1[[#This Row],[TOTAL]]</f>
        <v>0</v>
      </c>
      <c r="AE4037" s="150"/>
      <c r="AF4037" s="151"/>
      <c r="AG4037" s="126" t="s">
        <v>3420</v>
      </c>
      <c r="AK4037" s="306" t="str">
        <f>IF(ISNUMBER(Table1[[#This Row],[FECHA DE RECIBIDO]]), Table1[[#This Row],[FECHA DE RECIBIDO]]-DATE(2023,8,30), "")</f>
        <v/>
      </c>
    </row>
    <row r="4038" spans="1:37" ht="15" customHeight="1">
      <c r="A4038" s="152" t="s">
        <v>4307</v>
      </c>
      <c r="B4038" s="153">
        <v>1290</v>
      </c>
      <c r="C4038" s="126" t="s">
        <v>2566</v>
      </c>
      <c r="D4038">
        <v>2715</v>
      </c>
      <c r="E4038" s="126" t="s">
        <v>3264</v>
      </c>
      <c r="F4038" s="125" t="s">
        <v>1607</v>
      </c>
      <c r="G4038" s="125" t="s">
        <v>134</v>
      </c>
      <c r="H4038">
        <v>41</v>
      </c>
      <c r="I4038" s="125" t="s">
        <v>1546</v>
      </c>
      <c r="J4038" s="308" t="s">
        <v>214</v>
      </c>
      <c r="K4038" s="127" t="s">
        <v>4212</v>
      </c>
      <c r="L4038" s="153" t="s">
        <v>1579</v>
      </c>
      <c r="M4038">
        <v>323</v>
      </c>
      <c r="N4038" s="123">
        <v>17</v>
      </c>
      <c r="O4038">
        <v>2584</v>
      </c>
      <c r="P4038" s="132" t="s">
        <v>77</v>
      </c>
      <c r="Q4038" s="132">
        <v>84.05</v>
      </c>
      <c r="R4038" s="132">
        <v>13.45</v>
      </c>
      <c r="S4038" s="132"/>
      <c r="T4038" s="156"/>
      <c r="U4038" s="132"/>
      <c r="V4038" s="132">
        <v>97.5</v>
      </c>
      <c r="W4038"/>
      <c r="X4038" s="153" t="s">
        <v>3451</v>
      </c>
      <c r="Y4038" s="124" t="s">
        <v>55</v>
      </c>
      <c r="Z4038" s="308">
        <v>243</v>
      </c>
      <c r="AB4038" t="str">
        <f>IF(Table1[[#This Row],[TIPO2]]="costo", VLOOKUP(Table1[[#This Row],[PARTIDA PRESUPUESTAL]],'Cost Report'!G:G,1,0),"Balance")</f>
        <v>2594-003</v>
      </c>
      <c r="AC4038" s="118"/>
      <c r="AD4038" s="159">
        <f>+Table1[[#This Row],[SUBTOTAL]]+Table1[[#This Row],[IVA]]-Table1[[#This Row],[RET IVA]]-Table1[[#This Row],[RET ISR]]-Table1[[#This Row],[TOTAL]]</f>
        <v>0</v>
      </c>
      <c r="AE4038" s="152"/>
      <c r="AF4038" s="153"/>
      <c r="AG4038" s="126" t="s">
        <v>3420</v>
      </c>
      <c r="AK4038" s="306" t="str">
        <f>IF(ISNUMBER(Table1[[#This Row],[FECHA DE RECIBIDO]]), Table1[[#This Row],[FECHA DE RECIBIDO]]-DATE(2023,8,30), "")</f>
        <v/>
      </c>
    </row>
    <row r="4039" spans="1:37" ht="15" customHeight="1">
      <c r="A4039" s="150" t="s">
        <v>4307</v>
      </c>
      <c r="B4039" s="151">
        <v>1290</v>
      </c>
      <c r="C4039" s="126" t="s">
        <v>2566</v>
      </c>
      <c r="D4039">
        <v>2716</v>
      </c>
      <c r="E4039" s="126" t="s">
        <v>3264</v>
      </c>
      <c r="F4039" s="122" t="s">
        <v>1607</v>
      </c>
      <c r="G4039" s="122" t="s">
        <v>134</v>
      </c>
      <c r="H4039">
        <v>156</v>
      </c>
      <c r="I4039" s="122" t="s">
        <v>1546</v>
      </c>
      <c r="J4039" s="307" t="s">
        <v>214</v>
      </c>
      <c r="K4039" s="127" t="s">
        <v>4212</v>
      </c>
      <c r="L4039" s="151" t="s">
        <v>1579</v>
      </c>
      <c r="M4039">
        <v>207</v>
      </c>
      <c r="N4039" s="123">
        <v>17</v>
      </c>
      <c r="O4039">
        <v>2585</v>
      </c>
      <c r="P4039" s="132" t="s">
        <v>77</v>
      </c>
      <c r="Q4039" s="131">
        <v>235.35</v>
      </c>
      <c r="R4039" s="131">
        <v>37.65</v>
      </c>
      <c r="S4039" s="131"/>
      <c r="T4039" s="155"/>
      <c r="U4039" s="131"/>
      <c r="V4039" s="131">
        <v>273</v>
      </c>
      <c r="W4039"/>
      <c r="X4039" s="151" t="s">
        <v>3451</v>
      </c>
      <c r="Y4039" s="135" t="s">
        <v>55</v>
      </c>
      <c r="Z4039" s="307">
        <v>244</v>
      </c>
      <c r="AB4039" t="str">
        <f>IF(Table1[[#This Row],[TIPO2]]="costo", VLOOKUP(Table1[[#This Row],[PARTIDA PRESUPUESTAL]],'Cost Report'!G:G,1,0),"Balance")</f>
        <v>2594-003</v>
      </c>
      <c r="AC4039" s="118"/>
      <c r="AD4039" s="159">
        <f>+Table1[[#This Row],[SUBTOTAL]]+Table1[[#This Row],[IVA]]-Table1[[#This Row],[RET IVA]]-Table1[[#This Row],[RET ISR]]-Table1[[#This Row],[TOTAL]]</f>
        <v>0</v>
      </c>
      <c r="AE4039" s="150"/>
      <c r="AF4039" s="151"/>
      <c r="AG4039" s="126" t="s">
        <v>3420</v>
      </c>
      <c r="AK4039" s="306" t="str">
        <f>IF(ISNUMBER(Table1[[#This Row],[FECHA DE RECIBIDO]]), Table1[[#This Row],[FECHA DE RECIBIDO]]-DATE(2023,8,30), "")</f>
        <v/>
      </c>
    </row>
    <row r="4040" spans="1:37" ht="15" customHeight="1">
      <c r="A4040" s="152" t="s">
        <v>4307</v>
      </c>
      <c r="B4040" s="153">
        <v>1290</v>
      </c>
      <c r="C4040" s="126" t="s">
        <v>2565</v>
      </c>
      <c r="D4040">
        <v>2717</v>
      </c>
      <c r="E4040" s="126" t="s">
        <v>1603</v>
      </c>
      <c r="F4040" s="125" t="s">
        <v>1607</v>
      </c>
      <c r="G4040" s="125" t="s">
        <v>134</v>
      </c>
      <c r="H4040">
        <v>739</v>
      </c>
      <c r="I4040" s="125" t="s">
        <v>1546</v>
      </c>
      <c r="J4040" s="308" t="s">
        <v>214</v>
      </c>
      <c r="K4040" s="127" t="s">
        <v>4212</v>
      </c>
      <c r="L4040" s="153" t="s">
        <v>1579</v>
      </c>
      <c r="M4040">
        <v>1034</v>
      </c>
      <c r="N4040" s="123">
        <v>17</v>
      </c>
      <c r="O4040">
        <v>2586</v>
      </c>
      <c r="P4040" s="132" t="s">
        <v>77</v>
      </c>
      <c r="Q4040" s="132">
        <v>695.7</v>
      </c>
      <c r="R4040" s="132">
        <v>111.31</v>
      </c>
      <c r="S4040" s="132"/>
      <c r="T4040" s="156"/>
      <c r="U4040" s="132"/>
      <c r="V4040" s="132">
        <v>807.01</v>
      </c>
      <c r="W4040"/>
      <c r="X4040" s="153" t="s">
        <v>3451</v>
      </c>
      <c r="Y4040" s="124" t="s">
        <v>55</v>
      </c>
      <c r="Z4040" s="308">
        <v>237</v>
      </c>
      <c r="AB4040" t="str">
        <f>IF(Table1[[#This Row],[TIPO2]]="costo", VLOOKUP(Table1[[#This Row],[PARTIDA PRESUPUESTAL]],'Cost Report'!G:G,1,0),"Balance")</f>
        <v>2585-003</v>
      </c>
      <c r="AC4040" s="118"/>
      <c r="AD4040" s="159">
        <f>+Table1[[#This Row],[SUBTOTAL]]+Table1[[#This Row],[IVA]]-Table1[[#This Row],[RET IVA]]-Table1[[#This Row],[RET ISR]]-Table1[[#This Row],[TOTAL]]</f>
        <v>0</v>
      </c>
      <c r="AE4040" s="152"/>
      <c r="AF4040" s="153"/>
      <c r="AG4040" s="126" t="s">
        <v>3420</v>
      </c>
      <c r="AK4040" s="306" t="str">
        <f>IF(ISNUMBER(Table1[[#This Row],[FECHA DE RECIBIDO]]), Table1[[#This Row],[FECHA DE RECIBIDO]]-DATE(2023,8,30), "")</f>
        <v/>
      </c>
    </row>
    <row r="4041" spans="1:37" ht="15" customHeight="1">
      <c r="A4041" s="150" t="s">
        <v>4307</v>
      </c>
      <c r="B4041" s="151">
        <v>1290</v>
      </c>
      <c r="C4041" s="126" t="s">
        <v>2566</v>
      </c>
      <c r="D4041">
        <v>2718</v>
      </c>
      <c r="E4041" s="126" t="s">
        <v>4308</v>
      </c>
      <c r="F4041" s="122" t="s">
        <v>1607</v>
      </c>
      <c r="G4041" s="122" t="s">
        <v>134</v>
      </c>
      <c r="H4041">
        <v>739</v>
      </c>
      <c r="I4041" s="122" t="s">
        <v>1546</v>
      </c>
      <c r="J4041" s="307" t="s">
        <v>214</v>
      </c>
      <c r="K4041" s="127" t="s">
        <v>4212</v>
      </c>
      <c r="L4041" s="151" t="s">
        <v>1579</v>
      </c>
      <c r="M4041">
        <v>1034</v>
      </c>
      <c r="N4041" s="123">
        <v>17</v>
      </c>
      <c r="O4041">
        <v>2587</v>
      </c>
      <c r="P4041" s="132" t="s">
        <v>77</v>
      </c>
      <c r="Q4041" s="131">
        <v>909.49</v>
      </c>
      <c r="R4041" s="131">
        <v>145.52000000000001</v>
      </c>
      <c r="S4041" s="131"/>
      <c r="T4041" s="155"/>
      <c r="U4041" s="131"/>
      <c r="V4041" s="131">
        <v>1055.01</v>
      </c>
      <c r="W4041"/>
      <c r="X4041" s="151" t="s">
        <v>3451</v>
      </c>
      <c r="Y4041" s="135" t="s">
        <v>55</v>
      </c>
      <c r="Z4041" s="307">
        <v>237</v>
      </c>
      <c r="AB4041" t="str">
        <f>IF(Table1[[#This Row],[TIPO2]]="costo", VLOOKUP(Table1[[#This Row],[PARTIDA PRESUPUESTAL]],'Cost Report'!G:G,1,0),"Balance")</f>
        <v>2594-003</v>
      </c>
      <c r="AC4041" s="118"/>
      <c r="AD4041" s="159">
        <f>+Table1[[#This Row],[SUBTOTAL]]+Table1[[#This Row],[IVA]]-Table1[[#This Row],[RET IVA]]-Table1[[#This Row],[RET ISR]]-Table1[[#This Row],[TOTAL]]</f>
        <v>0</v>
      </c>
      <c r="AE4041" s="150"/>
      <c r="AF4041" s="151"/>
      <c r="AG4041" s="126" t="s">
        <v>3420</v>
      </c>
      <c r="AK4041" s="306" t="str">
        <f>IF(ISNUMBER(Table1[[#This Row],[FECHA DE RECIBIDO]]), Table1[[#This Row],[FECHA DE RECIBIDO]]-DATE(2023,8,30), "")</f>
        <v/>
      </c>
    </row>
    <row r="4042" spans="1:37" ht="15" customHeight="1">
      <c r="A4042" s="152" t="s">
        <v>4307</v>
      </c>
      <c r="B4042" s="153">
        <v>1290</v>
      </c>
      <c r="C4042" s="126" t="s">
        <v>2565</v>
      </c>
      <c r="D4042">
        <v>2719</v>
      </c>
      <c r="E4042" s="126" t="s">
        <v>3185</v>
      </c>
      <c r="F4042" s="125" t="s">
        <v>1382</v>
      </c>
      <c r="G4042" s="125" t="e">
        <v>#N/A</v>
      </c>
      <c r="H4042">
        <v>31</v>
      </c>
      <c r="I4042" s="125" t="s">
        <v>1546</v>
      </c>
      <c r="J4042" s="308" t="s">
        <v>214</v>
      </c>
      <c r="K4042" s="127" t="s">
        <v>4212</v>
      </c>
      <c r="L4042" s="153" t="s">
        <v>1579</v>
      </c>
      <c r="M4042">
        <v>69</v>
      </c>
      <c r="N4042" s="123">
        <v>17</v>
      </c>
      <c r="O4042">
        <v>2588</v>
      </c>
      <c r="P4042" s="132" t="s">
        <v>77</v>
      </c>
      <c r="Q4042" s="132">
        <v>40</v>
      </c>
      <c r="R4042" s="132"/>
      <c r="S4042" s="132"/>
      <c r="T4042" s="156"/>
      <c r="U4042" s="132"/>
      <c r="V4042" s="132">
        <v>40</v>
      </c>
      <c r="W4042"/>
      <c r="X4042" s="153" t="s">
        <v>3451</v>
      </c>
      <c r="Y4042" s="124" t="s">
        <v>55</v>
      </c>
      <c r="Z4042" s="308">
        <v>243</v>
      </c>
      <c r="AB4042" t="str">
        <f>IF(Table1[[#This Row],[TIPO2]]="costo", VLOOKUP(Table1[[#This Row],[PARTIDA PRESUPUESTAL]],'Cost Report'!G:G,1,0),"Balance")</f>
        <v>2585-003</v>
      </c>
      <c r="AC4042" s="118"/>
      <c r="AD4042" s="159">
        <f>+Table1[[#This Row],[SUBTOTAL]]+Table1[[#This Row],[IVA]]-Table1[[#This Row],[RET IVA]]-Table1[[#This Row],[RET ISR]]-Table1[[#This Row],[TOTAL]]</f>
        <v>0</v>
      </c>
      <c r="AE4042" s="152"/>
      <c r="AF4042" s="153"/>
      <c r="AG4042" s="126" t="s">
        <v>3420</v>
      </c>
      <c r="AK4042" s="306" t="str">
        <f>IF(ISNUMBER(Table1[[#This Row],[FECHA DE RECIBIDO]]), Table1[[#This Row],[FECHA DE RECIBIDO]]-DATE(2023,8,30), "")</f>
        <v/>
      </c>
    </row>
    <row r="4043" spans="1:37" ht="15" customHeight="1">
      <c r="A4043" s="150" t="s">
        <v>4307</v>
      </c>
      <c r="B4043" s="151">
        <v>1290</v>
      </c>
      <c r="C4043" s="126" t="s">
        <v>2565</v>
      </c>
      <c r="D4043">
        <v>2720</v>
      </c>
      <c r="E4043" s="126" t="s">
        <v>1645</v>
      </c>
      <c r="F4043" s="122" t="s">
        <v>1382</v>
      </c>
      <c r="G4043" s="122" t="e">
        <v>#N/A</v>
      </c>
      <c r="H4043">
        <v>31</v>
      </c>
      <c r="I4043" s="122" t="s">
        <v>1546</v>
      </c>
      <c r="J4043" s="307" t="s">
        <v>214</v>
      </c>
      <c r="K4043" s="127" t="s">
        <v>4212</v>
      </c>
      <c r="L4043" s="151" t="s">
        <v>1579</v>
      </c>
      <c r="M4043">
        <v>69</v>
      </c>
      <c r="N4043" s="123">
        <v>17</v>
      </c>
      <c r="O4043">
        <v>2589</v>
      </c>
      <c r="P4043" s="132" t="s">
        <v>77</v>
      </c>
      <c r="Q4043" s="131">
        <v>86.21</v>
      </c>
      <c r="R4043" s="131">
        <v>13.79</v>
      </c>
      <c r="S4043" s="131"/>
      <c r="T4043" s="155"/>
      <c r="U4043" s="131"/>
      <c r="V4043" s="131">
        <v>100</v>
      </c>
      <c r="W4043"/>
      <c r="X4043" s="151" t="s">
        <v>3451</v>
      </c>
      <c r="Y4043" s="135" t="s">
        <v>55</v>
      </c>
      <c r="Z4043" s="307">
        <v>243</v>
      </c>
      <c r="AB4043" t="str">
        <f>IF(Table1[[#This Row],[TIPO2]]="costo", VLOOKUP(Table1[[#This Row],[PARTIDA PRESUPUESTAL]],'Cost Report'!G:G,1,0),"Balance")</f>
        <v>2585-003</v>
      </c>
      <c r="AC4043" s="118"/>
      <c r="AD4043" s="159">
        <f>+Table1[[#This Row],[SUBTOTAL]]+Table1[[#This Row],[IVA]]-Table1[[#This Row],[RET IVA]]-Table1[[#This Row],[RET ISR]]-Table1[[#This Row],[TOTAL]]</f>
        <v>0</v>
      </c>
      <c r="AE4043" s="150"/>
      <c r="AF4043" s="151"/>
      <c r="AG4043" s="126" t="s">
        <v>3420</v>
      </c>
      <c r="AK4043" s="306" t="str">
        <f>IF(ISNUMBER(Table1[[#This Row],[FECHA DE RECIBIDO]]), Table1[[#This Row],[FECHA DE RECIBIDO]]-DATE(2023,8,30), "")</f>
        <v/>
      </c>
    </row>
    <row r="4044" spans="1:37" ht="15" customHeight="1">
      <c r="A4044" s="152" t="s">
        <v>4307</v>
      </c>
      <c r="B4044" s="153">
        <v>1290</v>
      </c>
      <c r="C4044" s="126" t="s">
        <v>2565</v>
      </c>
      <c r="D4044">
        <v>2721</v>
      </c>
      <c r="E4044" s="126" t="s">
        <v>3292</v>
      </c>
      <c r="F4044" s="125" t="s">
        <v>1607</v>
      </c>
      <c r="G4044" s="125" t="s">
        <v>134</v>
      </c>
      <c r="H4044">
        <v>312</v>
      </c>
      <c r="I4044" s="125" t="s">
        <v>1546</v>
      </c>
      <c r="J4044" s="308" t="s">
        <v>214</v>
      </c>
      <c r="K4044" s="127" t="s">
        <v>4212</v>
      </c>
      <c r="L4044" s="153" t="s">
        <v>1579</v>
      </c>
      <c r="M4044">
        <v>417</v>
      </c>
      <c r="N4044" s="123">
        <v>17</v>
      </c>
      <c r="O4044">
        <v>2590</v>
      </c>
      <c r="P4044" s="132" t="s">
        <v>77</v>
      </c>
      <c r="Q4044" s="132">
        <v>1024.7</v>
      </c>
      <c r="R4044" s="132">
        <v>25.56</v>
      </c>
      <c r="S4044" s="132"/>
      <c r="T4044" s="156"/>
      <c r="U4044" s="132"/>
      <c r="V4044" s="132">
        <v>1050.26</v>
      </c>
      <c r="W4044"/>
      <c r="X4044" s="153" t="s">
        <v>3451</v>
      </c>
      <c r="Y4044" s="124" t="s">
        <v>55</v>
      </c>
      <c r="Z4044" s="308">
        <v>243</v>
      </c>
      <c r="AB4044" t="str">
        <f>IF(Table1[[#This Row],[TIPO2]]="costo", VLOOKUP(Table1[[#This Row],[PARTIDA PRESUPUESTAL]],'Cost Report'!G:G,1,0),"Balance")</f>
        <v>2585-003</v>
      </c>
      <c r="AC4044" s="118"/>
      <c r="AD4044" s="159">
        <f>+Table1[[#This Row],[SUBTOTAL]]+Table1[[#This Row],[IVA]]-Table1[[#This Row],[RET IVA]]-Table1[[#This Row],[RET ISR]]-Table1[[#This Row],[TOTAL]]</f>
        <v>0</v>
      </c>
      <c r="AE4044" s="152"/>
      <c r="AF4044" s="153"/>
      <c r="AG4044" s="126" t="s">
        <v>3420</v>
      </c>
      <c r="AK4044" s="306" t="str">
        <f>IF(ISNUMBER(Table1[[#This Row],[FECHA DE RECIBIDO]]), Table1[[#This Row],[FECHA DE RECIBIDO]]-DATE(2023,8,30), "")</f>
        <v/>
      </c>
    </row>
    <row r="4045" spans="1:37" ht="15" customHeight="1">
      <c r="A4045" s="150" t="s">
        <v>4307</v>
      </c>
      <c r="B4045" s="151">
        <v>1290</v>
      </c>
      <c r="C4045" s="126" t="s">
        <v>2565</v>
      </c>
      <c r="D4045">
        <v>2722</v>
      </c>
      <c r="E4045" s="126" t="s">
        <v>3292</v>
      </c>
      <c r="F4045" s="122" t="s">
        <v>1607</v>
      </c>
      <c r="G4045" s="122" t="s">
        <v>134</v>
      </c>
      <c r="H4045">
        <v>312</v>
      </c>
      <c r="I4045" s="122" t="s">
        <v>1546</v>
      </c>
      <c r="J4045" s="307" t="s">
        <v>214</v>
      </c>
      <c r="K4045" s="127" t="s">
        <v>4212</v>
      </c>
      <c r="L4045" s="151" t="s">
        <v>1579</v>
      </c>
      <c r="M4045">
        <v>417</v>
      </c>
      <c r="N4045" s="123">
        <v>17</v>
      </c>
      <c r="O4045">
        <v>2591</v>
      </c>
      <c r="P4045" s="132" t="s">
        <v>77</v>
      </c>
      <c r="Q4045" s="131">
        <v>107.7</v>
      </c>
      <c r="R4045" s="131"/>
      <c r="S4045" s="131"/>
      <c r="T4045" s="155"/>
      <c r="U4045" s="131"/>
      <c r="V4045" s="131">
        <v>107.7</v>
      </c>
      <c r="W4045"/>
      <c r="X4045" s="151" t="s">
        <v>3451</v>
      </c>
      <c r="Y4045" s="135" t="s">
        <v>55</v>
      </c>
      <c r="Z4045" s="307">
        <v>243</v>
      </c>
      <c r="AB4045" t="str">
        <f>IF(Table1[[#This Row],[TIPO2]]="costo", VLOOKUP(Table1[[#This Row],[PARTIDA PRESUPUESTAL]],'Cost Report'!G:G,1,0),"Balance")</f>
        <v>2585-003</v>
      </c>
      <c r="AC4045" s="118"/>
      <c r="AD4045" s="159">
        <f>+Table1[[#This Row],[SUBTOTAL]]+Table1[[#This Row],[IVA]]-Table1[[#This Row],[RET IVA]]-Table1[[#This Row],[RET ISR]]-Table1[[#This Row],[TOTAL]]</f>
        <v>0</v>
      </c>
      <c r="AE4045" s="150"/>
      <c r="AF4045" s="151"/>
      <c r="AG4045" s="126" t="s">
        <v>3420</v>
      </c>
      <c r="AK4045" s="306" t="str">
        <f>IF(ISNUMBER(Table1[[#This Row],[FECHA DE RECIBIDO]]), Table1[[#This Row],[FECHA DE RECIBIDO]]-DATE(2023,8,30), "")</f>
        <v/>
      </c>
    </row>
    <row r="4046" spans="1:37" ht="15" customHeight="1">
      <c r="A4046" s="152" t="s">
        <v>4307</v>
      </c>
      <c r="B4046" s="153">
        <v>1290</v>
      </c>
      <c r="C4046" s="126" t="s">
        <v>2565</v>
      </c>
      <c r="D4046">
        <v>2723</v>
      </c>
      <c r="E4046" s="126" t="s">
        <v>3135</v>
      </c>
      <c r="F4046" s="125" t="s">
        <v>1593</v>
      </c>
      <c r="G4046" s="125" t="s">
        <v>109</v>
      </c>
      <c r="H4046">
        <v>243</v>
      </c>
      <c r="I4046" s="125" t="s">
        <v>1546</v>
      </c>
      <c r="J4046" s="308" t="s">
        <v>214</v>
      </c>
      <c r="K4046" s="127" t="s">
        <v>4212</v>
      </c>
      <c r="L4046" s="153" t="s">
        <v>1579</v>
      </c>
      <c r="M4046">
        <v>318</v>
      </c>
      <c r="N4046" s="123">
        <v>17</v>
      </c>
      <c r="O4046">
        <v>2592</v>
      </c>
      <c r="P4046" s="132" t="s">
        <v>77</v>
      </c>
      <c r="Q4046" s="132">
        <v>1478.09</v>
      </c>
      <c r="R4046" s="132">
        <v>239.49</v>
      </c>
      <c r="S4046" s="132"/>
      <c r="T4046" s="156"/>
      <c r="U4046" s="132"/>
      <c r="V4046" s="132">
        <v>1717.58</v>
      </c>
      <c r="W4046"/>
      <c r="X4046" s="153" t="s">
        <v>3451</v>
      </c>
      <c r="Y4046" s="124" t="s">
        <v>55</v>
      </c>
      <c r="Z4046" s="308">
        <v>223</v>
      </c>
      <c r="AB4046" t="str">
        <f>IF(Table1[[#This Row],[TIPO2]]="costo", VLOOKUP(Table1[[#This Row],[PARTIDA PRESUPUESTAL]],'Cost Report'!G:G,1,0),"Balance")</f>
        <v>2585-003</v>
      </c>
      <c r="AC4046" s="118"/>
      <c r="AD4046" s="159">
        <f>+Table1[[#This Row],[SUBTOTAL]]+Table1[[#This Row],[IVA]]-Table1[[#This Row],[RET IVA]]-Table1[[#This Row],[RET ISR]]-Table1[[#This Row],[TOTAL]]</f>
        <v>0</v>
      </c>
      <c r="AE4046" s="152"/>
      <c r="AF4046" s="153"/>
      <c r="AG4046" s="126" t="s">
        <v>3420</v>
      </c>
      <c r="AK4046" s="306" t="str">
        <f>IF(ISNUMBER(Table1[[#This Row],[FECHA DE RECIBIDO]]), Table1[[#This Row],[FECHA DE RECIBIDO]]-DATE(2023,8,30), "")</f>
        <v/>
      </c>
    </row>
    <row r="4047" spans="1:37" ht="15" customHeight="1">
      <c r="A4047" s="150" t="s">
        <v>4307</v>
      </c>
      <c r="B4047" s="151">
        <v>1290</v>
      </c>
      <c r="C4047" s="126" t="s">
        <v>2565</v>
      </c>
      <c r="D4047">
        <v>2724</v>
      </c>
      <c r="E4047" s="126" t="s">
        <v>1646</v>
      </c>
      <c r="F4047" s="122" t="s">
        <v>1607</v>
      </c>
      <c r="G4047" s="122" t="s">
        <v>134</v>
      </c>
      <c r="H4047">
        <v>740</v>
      </c>
      <c r="I4047" s="122" t="s">
        <v>1546</v>
      </c>
      <c r="J4047" s="307" t="s">
        <v>214</v>
      </c>
      <c r="K4047" s="127" t="s">
        <v>4212</v>
      </c>
      <c r="L4047" s="151" t="s">
        <v>1579</v>
      </c>
      <c r="M4047">
        <v>1035</v>
      </c>
      <c r="N4047" s="123">
        <v>17</v>
      </c>
      <c r="O4047">
        <v>2593</v>
      </c>
      <c r="P4047" s="132" t="s">
        <v>77</v>
      </c>
      <c r="Q4047" s="131">
        <v>3448.28</v>
      </c>
      <c r="R4047" s="131">
        <v>551.72</v>
      </c>
      <c r="S4047" s="131"/>
      <c r="T4047" s="155"/>
      <c r="U4047" s="131"/>
      <c r="V4047" s="131">
        <v>4000</v>
      </c>
      <c r="W4047"/>
      <c r="X4047" s="151" t="s">
        <v>3451</v>
      </c>
      <c r="Y4047" s="135" t="s">
        <v>55</v>
      </c>
      <c r="Z4047" s="307">
        <v>222</v>
      </c>
      <c r="AB4047" t="str">
        <f>IF(Table1[[#This Row],[TIPO2]]="costo", VLOOKUP(Table1[[#This Row],[PARTIDA PRESUPUESTAL]],'Cost Report'!G:G,1,0),"Balance")</f>
        <v>2585-003</v>
      </c>
      <c r="AC4047" s="118"/>
      <c r="AD4047" s="159">
        <f>+Table1[[#This Row],[SUBTOTAL]]+Table1[[#This Row],[IVA]]-Table1[[#This Row],[RET IVA]]-Table1[[#This Row],[RET ISR]]-Table1[[#This Row],[TOTAL]]</f>
        <v>0</v>
      </c>
      <c r="AE4047" s="150"/>
      <c r="AF4047" s="151"/>
      <c r="AG4047" s="126" t="s">
        <v>3420</v>
      </c>
      <c r="AK4047" s="306" t="str">
        <f>IF(ISNUMBER(Table1[[#This Row],[FECHA DE RECIBIDO]]), Table1[[#This Row],[FECHA DE RECIBIDO]]-DATE(2023,8,30), "")</f>
        <v/>
      </c>
    </row>
    <row r="4048" spans="1:37" ht="15" customHeight="1">
      <c r="A4048" s="152" t="s">
        <v>4307</v>
      </c>
      <c r="B4048" s="153">
        <v>1290</v>
      </c>
      <c r="C4048" s="126" t="s">
        <v>2566</v>
      </c>
      <c r="D4048">
        <v>2725</v>
      </c>
      <c r="E4048" s="126" t="s">
        <v>1600</v>
      </c>
      <c r="F4048" s="125" t="s">
        <v>1607</v>
      </c>
      <c r="G4048" s="125" t="s">
        <v>134</v>
      </c>
      <c r="H4048">
        <v>741</v>
      </c>
      <c r="I4048" s="125" t="s">
        <v>1546</v>
      </c>
      <c r="J4048" s="308" t="s">
        <v>214</v>
      </c>
      <c r="K4048" s="127" t="s">
        <v>4212</v>
      </c>
      <c r="L4048" s="153" t="s">
        <v>1579</v>
      </c>
      <c r="M4048">
        <v>1036</v>
      </c>
      <c r="N4048" s="123">
        <v>17</v>
      </c>
      <c r="O4048">
        <v>2594</v>
      </c>
      <c r="P4048" s="132" t="s">
        <v>77</v>
      </c>
      <c r="Q4048" s="132">
        <v>85.35</v>
      </c>
      <c r="R4048" s="132">
        <v>13.66</v>
      </c>
      <c r="S4048" s="132"/>
      <c r="T4048" s="156"/>
      <c r="U4048" s="132"/>
      <c r="V4048" s="132">
        <v>99.009999999999991</v>
      </c>
      <c r="W4048"/>
      <c r="X4048" s="153" t="s">
        <v>3451</v>
      </c>
      <c r="Y4048" s="124" t="s">
        <v>55</v>
      </c>
      <c r="Z4048" s="308">
        <v>231</v>
      </c>
      <c r="AB4048" t="str">
        <f>IF(Table1[[#This Row],[TIPO2]]="costo", VLOOKUP(Table1[[#This Row],[PARTIDA PRESUPUESTAL]],'Cost Report'!G:G,1,0),"Balance")</f>
        <v>2594-003</v>
      </c>
      <c r="AC4048" s="118"/>
      <c r="AD4048" s="159">
        <f>+Table1[[#This Row],[SUBTOTAL]]+Table1[[#This Row],[IVA]]-Table1[[#This Row],[RET IVA]]-Table1[[#This Row],[RET ISR]]-Table1[[#This Row],[TOTAL]]</f>
        <v>0</v>
      </c>
      <c r="AE4048" s="152"/>
      <c r="AF4048" s="153"/>
      <c r="AG4048" s="126" t="s">
        <v>3420</v>
      </c>
      <c r="AK4048" s="306" t="str">
        <f>IF(ISNUMBER(Table1[[#This Row],[FECHA DE RECIBIDO]]), Table1[[#This Row],[FECHA DE RECIBIDO]]-DATE(2023,8,30), "")</f>
        <v/>
      </c>
    </row>
    <row r="4049" spans="1:37" ht="15" customHeight="1">
      <c r="A4049" s="150" t="s">
        <v>4307</v>
      </c>
      <c r="B4049" s="151">
        <v>1290</v>
      </c>
      <c r="C4049" s="126" t="s">
        <v>2566</v>
      </c>
      <c r="D4049">
        <v>2726</v>
      </c>
      <c r="E4049" s="126" t="s">
        <v>1600</v>
      </c>
      <c r="F4049" s="122" t="s">
        <v>1607</v>
      </c>
      <c r="G4049" s="122" t="s">
        <v>134</v>
      </c>
      <c r="H4049">
        <v>741</v>
      </c>
      <c r="I4049" s="122" t="s">
        <v>1546</v>
      </c>
      <c r="J4049" s="307" t="s">
        <v>214</v>
      </c>
      <c r="K4049" s="127" t="s">
        <v>4212</v>
      </c>
      <c r="L4049" s="151" t="s">
        <v>1579</v>
      </c>
      <c r="M4049">
        <v>1036</v>
      </c>
      <c r="N4049" s="123">
        <v>17</v>
      </c>
      <c r="O4049">
        <v>2594</v>
      </c>
      <c r="P4049" s="132" t="s">
        <v>77</v>
      </c>
      <c r="Q4049" s="131">
        <v>214.66</v>
      </c>
      <c r="R4049" s="131">
        <v>34.35</v>
      </c>
      <c r="S4049" s="131"/>
      <c r="T4049" s="155"/>
      <c r="U4049" s="131"/>
      <c r="V4049" s="131">
        <v>249.01</v>
      </c>
      <c r="W4049"/>
      <c r="X4049" s="151" t="s">
        <v>3451</v>
      </c>
      <c r="Y4049" s="135" t="s">
        <v>55</v>
      </c>
      <c r="Z4049" s="307">
        <v>231</v>
      </c>
      <c r="AB4049" t="str">
        <f>IF(Table1[[#This Row],[TIPO2]]="costo", VLOOKUP(Table1[[#This Row],[PARTIDA PRESUPUESTAL]],'Cost Report'!G:G,1,0),"Balance")</f>
        <v>2594-003</v>
      </c>
      <c r="AC4049" s="118"/>
      <c r="AD4049" s="159">
        <f>+Table1[[#This Row],[SUBTOTAL]]+Table1[[#This Row],[IVA]]-Table1[[#This Row],[RET IVA]]-Table1[[#This Row],[RET ISR]]-Table1[[#This Row],[TOTAL]]</f>
        <v>0</v>
      </c>
      <c r="AE4049" s="150"/>
      <c r="AF4049" s="151"/>
      <c r="AG4049" s="126" t="s">
        <v>3420</v>
      </c>
      <c r="AK4049" s="306" t="str">
        <f>IF(ISNUMBER(Table1[[#This Row],[FECHA DE RECIBIDO]]), Table1[[#This Row],[FECHA DE RECIBIDO]]-DATE(2023,8,30), "")</f>
        <v/>
      </c>
    </row>
    <row r="4050" spans="1:37" ht="15" customHeight="1">
      <c r="A4050" s="152" t="s">
        <v>4307</v>
      </c>
      <c r="B4050" s="153">
        <v>1290</v>
      </c>
      <c r="C4050" s="126" t="s">
        <v>2566</v>
      </c>
      <c r="D4050">
        <v>2727</v>
      </c>
      <c r="E4050" s="126" t="s">
        <v>3264</v>
      </c>
      <c r="F4050" s="125" t="s">
        <v>1607</v>
      </c>
      <c r="G4050" s="125" t="s">
        <v>134</v>
      </c>
      <c r="H4050">
        <v>156</v>
      </c>
      <c r="I4050" s="125" t="s">
        <v>1546</v>
      </c>
      <c r="J4050" s="308" t="s">
        <v>214</v>
      </c>
      <c r="K4050" s="127" t="s">
        <v>4212</v>
      </c>
      <c r="L4050" s="153" t="s">
        <v>1579</v>
      </c>
      <c r="M4050">
        <v>207</v>
      </c>
      <c r="N4050" s="123">
        <v>17</v>
      </c>
      <c r="O4050">
        <v>2595</v>
      </c>
      <c r="P4050" s="132" t="s">
        <v>77</v>
      </c>
      <c r="Q4050" s="132">
        <v>5748.53</v>
      </c>
      <c r="R4050" s="132">
        <v>919.77</v>
      </c>
      <c r="S4050" s="132"/>
      <c r="T4050" s="156"/>
      <c r="U4050" s="132"/>
      <c r="V4050" s="132">
        <v>6668.2999999999993</v>
      </c>
      <c r="W4050"/>
      <c r="X4050" s="153" t="s">
        <v>3451</v>
      </c>
      <c r="Y4050" s="124" t="s">
        <v>55</v>
      </c>
      <c r="Z4050" s="308">
        <v>231</v>
      </c>
      <c r="AB4050" t="str">
        <f>IF(Table1[[#This Row],[TIPO2]]="costo", VLOOKUP(Table1[[#This Row],[PARTIDA PRESUPUESTAL]],'Cost Report'!G:G,1,0),"Balance")</f>
        <v>2594-003</v>
      </c>
      <c r="AC4050" s="118"/>
      <c r="AD4050" s="159">
        <f>+Table1[[#This Row],[SUBTOTAL]]+Table1[[#This Row],[IVA]]-Table1[[#This Row],[RET IVA]]-Table1[[#This Row],[RET ISR]]-Table1[[#This Row],[TOTAL]]</f>
        <v>0</v>
      </c>
      <c r="AE4050" s="152"/>
      <c r="AF4050" s="153"/>
      <c r="AG4050" s="126" t="s">
        <v>3420</v>
      </c>
      <c r="AK4050" s="306" t="str">
        <f>IF(ISNUMBER(Table1[[#This Row],[FECHA DE RECIBIDO]]), Table1[[#This Row],[FECHA DE RECIBIDO]]-DATE(2023,8,30), "")</f>
        <v/>
      </c>
    </row>
    <row r="4051" spans="1:37" ht="15" customHeight="1">
      <c r="A4051" s="150" t="s">
        <v>4307</v>
      </c>
      <c r="B4051" s="151">
        <v>1290</v>
      </c>
      <c r="C4051" s="126" t="s">
        <v>2566</v>
      </c>
      <c r="D4051">
        <v>2728</v>
      </c>
      <c r="E4051" s="126" t="s">
        <v>1999</v>
      </c>
      <c r="F4051" s="122" t="s">
        <v>1607</v>
      </c>
      <c r="G4051" s="122" t="s">
        <v>134</v>
      </c>
      <c r="H4051">
        <v>742</v>
      </c>
      <c r="I4051" s="122" t="s">
        <v>1546</v>
      </c>
      <c r="J4051" s="307" t="s">
        <v>214</v>
      </c>
      <c r="K4051" s="127" t="s">
        <v>4212</v>
      </c>
      <c r="L4051" s="151" t="s">
        <v>1579</v>
      </c>
      <c r="M4051">
        <v>1037</v>
      </c>
      <c r="N4051" s="123">
        <v>17</v>
      </c>
      <c r="O4051">
        <v>2596</v>
      </c>
      <c r="P4051" s="132" t="s">
        <v>77</v>
      </c>
      <c r="Q4051" s="131">
        <v>3318.36</v>
      </c>
      <c r="R4051" s="131">
        <v>530.94000000000005</v>
      </c>
      <c r="S4051" s="131"/>
      <c r="T4051" s="155"/>
      <c r="U4051" s="131"/>
      <c r="V4051" s="131">
        <v>3849.3</v>
      </c>
      <c r="W4051"/>
      <c r="X4051" s="151" t="s">
        <v>3451</v>
      </c>
      <c r="Y4051" s="135" t="s">
        <v>55</v>
      </c>
      <c r="Z4051" s="307">
        <v>231</v>
      </c>
      <c r="AB4051" t="str">
        <f>IF(Table1[[#This Row],[TIPO2]]="costo", VLOOKUP(Table1[[#This Row],[PARTIDA PRESUPUESTAL]],'Cost Report'!G:G,1,0),"Balance")</f>
        <v>2594-003</v>
      </c>
      <c r="AC4051" s="118"/>
      <c r="AD4051" s="159">
        <f>+Table1[[#This Row],[SUBTOTAL]]+Table1[[#This Row],[IVA]]-Table1[[#This Row],[RET IVA]]-Table1[[#This Row],[RET ISR]]-Table1[[#This Row],[TOTAL]]</f>
        <v>0</v>
      </c>
      <c r="AE4051" s="150"/>
      <c r="AF4051" s="151"/>
      <c r="AG4051" s="126" t="s">
        <v>3420</v>
      </c>
      <c r="AK4051" s="306" t="str">
        <f>IF(ISNUMBER(Table1[[#This Row],[FECHA DE RECIBIDO]]), Table1[[#This Row],[FECHA DE RECIBIDO]]-DATE(2023,8,30), "")</f>
        <v/>
      </c>
    </row>
    <row r="4052" spans="1:37" ht="15" customHeight="1">
      <c r="A4052" s="152" t="s">
        <v>4309</v>
      </c>
      <c r="B4052" s="153">
        <v>1291</v>
      </c>
      <c r="C4052" s="126" t="s">
        <v>4210</v>
      </c>
      <c r="D4052">
        <v>2729</v>
      </c>
      <c r="E4052" s="126" t="s">
        <v>3672</v>
      </c>
      <c r="F4052" s="125" t="s">
        <v>1607</v>
      </c>
      <c r="G4052" s="125" t="s">
        <v>134</v>
      </c>
      <c r="H4052">
        <v>421</v>
      </c>
      <c r="I4052" s="125" t="s">
        <v>1546</v>
      </c>
      <c r="J4052" s="308" t="s">
        <v>214</v>
      </c>
      <c r="K4052" s="127" t="s">
        <v>4212</v>
      </c>
      <c r="L4052" s="153" t="s">
        <v>1579</v>
      </c>
      <c r="M4052">
        <v>561</v>
      </c>
      <c r="N4052" s="123">
        <v>17</v>
      </c>
      <c r="O4052">
        <v>2597</v>
      </c>
      <c r="P4052" s="132" t="s">
        <v>77</v>
      </c>
      <c r="Q4052" s="132">
        <v>1120.69</v>
      </c>
      <c r="R4052" s="132">
        <v>179.31</v>
      </c>
      <c r="S4052" s="132"/>
      <c r="T4052" s="156"/>
      <c r="U4052" s="132"/>
      <c r="V4052" s="132">
        <v>1300</v>
      </c>
      <c r="W4052"/>
      <c r="X4052" s="153" t="s">
        <v>3451</v>
      </c>
      <c r="Y4052" s="124" t="s">
        <v>55</v>
      </c>
      <c r="Z4052" s="308">
        <v>401</v>
      </c>
      <c r="AB4052" t="str">
        <f>IF(Table1[[#This Row],[TIPO2]]="costo", VLOOKUP(Table1[[#This Row],[PARTIDA PRESUPUESTAL]],'Cost Report'!G:G,1,0),"Balance")</f>
        <v>3901-051</v>
      </c>
      <c r="AC4052" s="118"/>
      <c r="AD4052" s="159">
        <f>+Table1[[#This Row],[SUBTOTAL]]+Table1[[#This Row],[IVA]]-Table1[[#This Row],[RET IVA]]-Table1[[#This Row],[RET ISR]]-Table1[[#This Row],[TOTAL]]</f>
        <v>0</v>
      </c>
      <c r="AE4052" s="152"/>
      <c r="AF4052" s="153"/>
      <c r="AG4052" s="126" t="s">
        <v>3420</v>
      </c>
      <c r="AK4052" s="306" t="str">
        <f>IF(ISNUMBER(Table1[[#This Row],[FECHA DE RECIBIDO]]), Table1[[#This Row],[FECHA DE RECIBIDO]]-DATE(2023,8,30), "")</f>
        <v/>
      </c>
    </row>
    <row r="4053" spans="1:37" ht="15" customHeight="1">
      <c r="A4053" s="150" t="s">
        <v>4309</v>
      </c>
      <c r="B4053" s="151">
        <v>1291</v>
      </c>
      <c r="C4053" s="126" t="s">
        <v>2339</v>
      </c>
      <c r="D4053">
        <v>2730</v>
      </c>
      <c r="E4053" s="126" t="s">
        <v>1624</v>
      </c>
      <c r="F4053" s="122" t="s">
        <v>1607</v>
      </c>
      <c r="G4053" s="122" t="s">
        <v>134</v>
      </c>
      <c r="H4053">
        <v>46</v>
      </c>
      <c r="I4053" s="122" t="s">
        <v>1546</v>
      </c>
      <c r="J4053" s="307" t="s">
        <v>214</v>
      </c>
      <c r="K4053" s="127" t="s">
        <v>4212</v>
      </c>
      <c r="L4053" s="151" t="s">
        <v>1579</v>
      </c>
      <c r="M4053">
        <v>58</v>
      </c>
      <c r="N4053" s="123">
        <v>17</v>
      </c>
      <c r="O4053">
        <v>2598</v>
      </c>
      <c r="P4053" s="132" t="s">
        <v>77</v>
      </c>
      <c r="Q4053" s="131">
        <v>38.229999999999997</v>
      </c>
      <c r="R4053" s="131">
        <v>6.12</v>
      </c>
      <c r="S4053" s="131"/>
      <c r="T4053" s="155"/>
      <c r="U4053" s="131"/>
      <c r="V4053" s="131">
        <v>44.349999999999994</v>
      </c>
      <c r="W4053"/>
      <c r="X4053" s="151" t="s">
        <v>3451</v>
      </c>
      <c r="Y4053" s="135" t="s">
        <v>55</v>
      </c>
      <c r="Z4053" s="307">
        <v>188</v>
      </c>
      <c r="AB4053" t="str">
        <f>IF(Table1[[#This Row],[TIPO2]]="costo", VLOOKUP(Table1[[#This Row],[PARTIDA PRESUPUESTAL]],'Cost Report'!G:G,1,0),"Balance")</f>
        <v>1630-015</v>
      </c>
      <c r="AC4053" s="118"/>
      <c r="AD4053" s="159">
        <f>+Table1[[#This Row],[SUBTOTAL]]+Table1[[#This Row],[IVA]]-Table1[[#This Row],[RET IVA]]-Table1[[#This Row],[RET ISR]]-Table1[[#This Row],[TOTAL]]</f>
        <v>0</v>
      </c>
      <c r="AE4053" s="150"/>
      <c r="AF4053" s="151"/>
      <c r="AG4053" s="126" t="s">
        <v>3420</v>
      </c>
      <c r="AK4053" s="306" t="str">
        <f>IF(ISNUMBER(Table1[[#This Row],[FECHA DE RECIBIDO]]), Table1[[#This Row],[FECHA DE RECIBIDO]]-DATE(2023,8,30), "")</f>
        <v/>
      </c>
    </row>
    <row r="4054" spans="1:37" ht="15" customHeight="1">
      <c r="A4054" s="152" t="s">
        <v>4309</v>
      </c>
      <c r="B4054" s="153">
        <v>1291</v>
      </c>
      <c r="C4054" s="126" t="s">
        <v>4210</v>
      </c>
      <c r="D4054">
        <v>2731</v>
      </c>
      <c r="E4054" s="126" t="s">
        <v>2075</v>
      </c>
      <c r="F4054" s="125" t="s">
        <v>2062</v>
      </c>
      <c r="G4054" s="125" t="e">
        <v>#N/A</v>
      </c>
      <c r="H4054">
        <v>146</v>
      </c>
      <c r="I4054" s="125" t="s">
        <v>1546</v>
      </c>
      <c r="J4054" s="308" t="s">
        <v>214</v>
      </c>
      <c r="K4054" s="127" t="s">
        <v>4212</v>
      </c>
      <c r="L4054" s="153" t="s">
        <v>1579</v>
      </c>
      <c r="M4054">
        <v>560</v>
      </c>
      <c r="N4054" s="123">
        <v>17</v>
      </c>
      <c r="O4054">
        <v>2597</v>
      </c>
      <c r="P4054" s="132" t="s">
        <v>77</v>
      </c>
      <c r="Q4054" s="132">
        <v>818.53</v>
      </c>
      <c r="R4054" s="132">
        <v>130.97</v>
      </c>
      <c r="S4054" s="132"/>
      <c r="T4054" s="156"/>
      <c r="U4054" s="132"/>
      <c r="V4054" s="132">
        <v>949.5</v>
      </c>
      <c r="W4054"/>
      <c r="X4054" s="153" t="s">
        <v>3451</v>
      </c>
      <c r="Y4054" s="124" t="s">
        <v>55</v>
      </c>
      <c r="Z4054" s="308">
        <v>219</v>
      </c>
      <c r="AB4054" t="str">
        <f>IF(Table1[[#This Row],[TIPO2]]="costo", VLOOKUP(Table1[[#This Row],[PARTIDA PRESUPUESTAL]],'Cost Report'!G:G,1,0),"Balance")</f>
        <v>3901-051</v>
      </c>
      <c r="AC4054" s="118"/>
      <c r="AD4054" s="159">
        <f>+Table1[[#This Row],[SUBTOTAL]]+Table1[[#This Row],[IVA]]-Table1[[#This Row],[RET IVA]]-Table1[[#This Row],[RET ISR]]-Table1[[#This Row],[TOTAL]]</f>
        <v>0</v>
      </c>
      <c r="AE4054" s="152"/>
      <c r="AF4054" s="153"/>
      <c r="AG4054" s="126" t="s">
        <v>3420</v>
      </c>
      <c r="AK4054" s="306" t="str">
        <f>IF(ISNUMBER(Table1[[#This Row],[FECHA DE RECIBIDO]]), Table1[[#This Row],[FECHA DE RECIBIDO]]-DATE(2023,8,30), "")</f>
        <v/>
      </c>
    </row>
    <row r="4055" spans="1:37" ht="15" customHeight="1">
      <c r="A4055" s="150" t="s">
        <v>4309</v>
      </c>
      <c r="B4055" s="151">
        <v>1291</v>
      </c>
      <c r="C4055" s="126" t="s">
        <v>4210</v>
      </c>
      <c r="D4055">
        <v>2732</v>
      </c>
      <c r="E4055" s="126" t="s">
        <v>2075</v>
      </c>
      <c r="F4055" s="122" t="s">
        <v>2062</v>
      </c>
      <c r="G4055" s="122" t="e">
        <v>#N/A</v>
      </c>
      <c r="H4055">
        <v>146</v>
      </c>
      <c r="I4055" s="122" t="s">
        <v>1546</v>
      </c>
      <c r="J4055" s="307" t="s">
        <v>214</v>
      </c>
      <c r="K4055" s="127" t="s">
        <v>4212</v>
      </c>
      <c r="L4055" s="151" t="s">
        <v>1579</v>
      </c>
      <c r="M4055">
        <v>560</v>
      </c>
      <c r="N4055" s="123">
        <v>17</v>
      </c>
      <c r="O4055">
        <v>2599</v>
      </c>
      <c r="P4055" s="132" t="s">
        <v>77</v>
      </c>
      <c r="Q4055" s="131">
        <v>818.53</v>
      </c>
      <c r="R4055" s="131">
        <v>130.97</v>
      </c>
      <c r="S4055" s="131"/>
      <c r="T4055" s="155"/>
      <c r="U4055" s="131"/>
      <c r="V4055" s="131">
        <v>949.5</v>
      </c>
      <c r="W4055"/>
      <c r="X4055" s="151" t="s">
        <v>3451</v>
      </c>
      <c r="Y4055" s="135" t="s">
        <v>55</v>
      </c>
      <c r="Z4055" s="307">
        <v>219</v>
      </c>
      <c r="AB4055" t="str">
        <f>IF(Table1[[#This Row],[TIPO2]]="costo", VLOOKUP(Table1[[#This Row],[PARTIDA PRESUPUESTAL]],'Cost Report'!G:G,1,0),"Balance")</f>
        <v>3901-051</v>
      </c>
      <c r="AC4055" s="118"/>
      <c r="AD4055" s="159">
        <f>+Table1[[#This Row],[SUBTOTAL]]+Table1[[#This Row],[IVA]]-Table1[[#This Row],[RET IVA]]-Table1[[#This Row],[RET ISR]]-Table1[[#This Row],[TOTAL]]</f>
        <v>0</v>
      </c>
      <c r="AE4055" s="150"/>
      <c r="AF4055" s="151"/>
      <c r="AG4055" s="126" t="s">
        <v>3420</v>
      </c>
      <c r="AK4055" s="306" t="str">
        <f>IF(ISNUMBER(Table1[[#This Row],[FECHA DE RECIBIDO]]), Table1[[#This Row],[FECHA DE RECIBIDO]]-DATE(2023,8,30), "")</f>
        <v/>
      </c>
    </row>
    <row r="4056" spans="1:37" ht="15" customHeight="1">
      <c r="A4056" s="152" t="s">
        <v>4309</v>
      </c>
      <c r="B4056" s="153">
        <v>1291</v>
      </c>
      <c r="C4056" s="126" t="s">
        <v>2953</v>
      </c>
      <c r="D4056">
        <v>2733</v>
      </c>
      <c r="E4056" s="126" t="s">
        <v>1624</v>
      </c>
      <c r="F4056" s="125" t="s">
        <v>1607</v>
      </c>
      <c r="G4056" s="125" t="s">
        <v>134</v>
      </c>
      <c r="H4056">
        <v>46</v>
      </c>
      <c r="I4056" s="125" t="s">
        <v>1546</v>
      </c>
      <c r="J4056" s="308" t="s">
        <v>214</v>
      </c>
      <c r="K4056" s="127" t="s">
        <v>4212</v>
      </c>
      <c r="L4056" s="153" t="s">
        <v>1579</v>
      </c>
      <c r="M4056">
        <v>58</v>
      </c>
      <c r="N4056" s="123">
        <v>17</v>
      </c>
      <c r="O4056">
        <v>2600</v>
      </c>
      <c r="P4056" s="132" t="s">
        <v>77</v>
      </c>
      <c r="Q4056" s="132">
        <v>200.96</v>
      </c>
      <c r="R4056" s="132">
        <v>32.15</v>
      </c>
      <c r="S4056" s="132"/>
      <c r="T4056" s="156"/>
      <c r="U4056" s="132"/>
      <c r="V4056" s="132">
        <v>233.11</v>
      </c>
      <c r="W4056"/>
      <c r="X4056" s="153" t="s">
        <v>3451</v>
      </c>
      <c r="Y4056" s="124" t="s">
        <v>55</v>
      </c>
      <c r="Z4056" s="308">
        <v>280</v>
      </c>
      <c r="AB4056" t="str">
        <f>IF(Table1[[#This Row],[TIPO2]]="costo", VLOOKUP(Table1[[#This Row],[PARTIDA PRESUPUESTAL]],'Cost Report'!G:G,1,0),"Balance")</f>
        <v>3901-049</v>
      </c>
      <c r="AC4056" s="118"/>
      <c r="AD4056" s="159">
        <f>+Table1[[#This Row],[SUBTOTAL]]+Table1[[#This Row],[IVA]]-Table1[[#This Row],[RET IVA]]-Table1[[#This Row],[RET ISR]]-Table1[[#This Row],[TOTAL]]</f>
        <v>0</v>
      </c>
      <c r="AE4056" s="152"/>
      <c r="AF4056" s="153"/>
      <c r="AG4056" s="126" t="s">
        <v>3420</v>
      </c>
      <c r="AK4056" s="306" t="str">
        <f>IF(ISNUMBER(Table1[[#This Row],[FECHA DE RECIBIDO]]), Table1[[#This Row],[FECHA DE RECIBIDO]]-DATE(2023,8,30), "")</f>
        <v/>
      </c>
    </row>
    <row r="4057" spans="1:37" ht="15" customHeight="1">
      <c r="A4057" s="150" t="s">
        <v>4309</v>
      </c>
      <c r="B4057" s="151">
        <v>1291</v>
      </c>
      <c r="C4057" s="126" t="s">
        <v>2953</v>
      </c>
      <c r="D4057">
        <v>2734</v>
      </c>
      <c r="E4057" s="126" t="s">
        <v>1624</v>
      </c>
      <c r="F4057" s="122" t="s">
        <v>1607</v>
      </c>
      <c r="G4057" s="122" t="s">
        <v>134</v>
      </c>
      <c r="H4057">
        <v>46</v>
      </c>
      <c r="I4057" s="122" t="s">
        <v>1546</v>
      </c>
      <c r="J4057" s="307" t="s">
        <v>214</v>
      </c>
      <c r="K4057" s="127" t="s">
        <v>4212</v>
      </c>
      <c r="L4057" s="151" t="s">
        <v>1579</v>
      </c>
      <c r="M4057">
        <v>58</v>
      </c>
      <c r="N4057" s="123">
        <v>17</v>
      </c>
      <c r="O4057">
        <v>2048</v>
      </c>
      <c r="P4057" s="132" t="s">
        <v>77</v>
      </c>
      <c r="Q4057" s="131">
        <v>2882.12</v>
      </c>
      <c r="R4057" s="131">
        <v>365.14</v>
      </c>
      <c r="S4057" s="131"/>
      <c r="T4057" s="155"/>
      <c r="U4057" s="131"/>
      <c r="V4057" s="131">
        <v>3247.2599999999998</v>
      </c>
      <c r="W4057"/>
      <c r="X4057" s="151" t="s">
        <v>3451</v>
      </c>
      <c r="Y4057" s="135" t="s">
        <v>55</v>
      </c>
      <c r="Z4057" s="307">
        <v>280</v>
      </c>
      <c r="AB4057" t="str">
        <f>IF(Table1[[#This Row],[TIPO2]]="costo", VLOOKUP(Table1[[#This Row],[PARTIDA PRESUPUESTAL]],'Cost Report'!G:G,1,0),"Balance")</f>
        <v>3901-049</v>
      </c>
      <c r="AC4057" s="118"/>
      <c r="AD4057" s="159">
        <f>+Table1[[#This Row],[SUBTOTAL]]+Table1[[#This Row],[IVA]]-Table1[[#This Row],[RET IVA]]-Table1[[#This Row],[RET ISR]]-Table1[[#This Row],[TOTAL]]</f>
        <v>0</v>
      </c>
      <c r="AE4057" s="150"/>
      <c r="AF4057" s="151"/>
      <c r="AG4057" s="126" t="s">
        <v>3420</v>
      </c>
      <c r="AK4057" s="306" t="str">
        <f>IF(ISNUMBER(Table1[[#This Row],[FECHA DE RECIBIDO]]), Table1[[#This Row],[FECHA DE RECIBIDO]]-DATE(2023,8,30), "")</f>
        <v/>
      </c>
    </row>
    <row r="4058" spans="1:37" ht="15" customHeight="1">
      <c r="A4058" s="152" t="s">
        <v>4309</v>
      </c>
      <c r="B4058" s="153">
        <v>1291</v>
      </c>
      <c r="C4058" s="126" t="s">
        <v>2953</v>
      </c>
      <c r="D4058">
        <v>2735</v>
      </c>
      <c r="E4058" s="126" t="s">
        <v>1624</v>
      </c>
      <c r="F4058" s="125" t="s">
        <v>1607</v>
      </c>
      <c r="G4058" s="125" t="s">
        <v>134</v>
      </c>
      <c r="H4058">
        <v>46</v>
      </c>
      <c r="I4058" s="125" t="s">
        <v>1546</v>
      </c>
      <c r="J4058" s="308" t="s">
        <v>214</v>
      </c>
      <c r="K4058" s="127" t="s">
        <v>4212</v>
      </c>
      <c r="L4058" s="153" t="s">
        <v>1579</v>
      </c>
      <c r="M4058">
        <v>58</v>
      </c>
      <c r="N4058" s="123">
        <v>17</v>
      </c>
      <c r="O4058">
        <v>2601</v>
      </c>
      <c r="P4058" s="132" t="s">
        <v>77</v>
      </c>
      <c r="Q4058" s="132">
        <v>2005.15</v>
      </c>
      <c r="R4058" s="132">
        <v>225.02</v>
      </c>
      <c r="S4058" s="132"/>
      <c r="T4058" s="156"/>
      <c r="U4058" s="132"/>
      <c r="V4058" s="132">
        <v>2230.17</v>
      </c>
      <c r="W4058"/>
      <c r="X4058" s="153" t="s">
        <v>3451</v>
      </c>
      <c r="Y4058" s="124" t="s">
        <v>55</v>
      </c>
      <c r="Z4058" s="308">
        <v>280</v>
      </c>
      <c r="AB4058" t="str">
        <f>IF(Table1[[#This Row],[TIPO2]]="costo", VLOOKUP(Table1[[#This Row],[PARTIDA PRESUPUESTAL]],'Cost Report'!G:G,1,0),"Balance")</f>
        <v>3901-049</v>
      </c>
      <c r="AC4058" s="118"/>
      <c r="AD4058" s="159">
        <f>+Table1[[#This Row],[SUBTOTAL]]+Table1[[#This Row],[IVA]]-Table1[[#This Row],[RET IVA]]-Table1[[#This Row],[RET ISR]]-Table1[[#This Row],[TOTAL]]</f>
        <v>0</v>
      </c>
      <c r="AE4058" s="152"/>
      <c r="AF4058" s="153"/>
      <c r="AG4058" s="126" t="s">
        <v>3420</v>
      </c>
      <c r="AK4058" s="306" t="str">
        <f>IF(ISNUMBER(Table1[[#This Row],[FECHA DE RECIBIDO]]), Table1[[#This Row],[FECHA DE RECIBIDO]]-DATE(2023,8,30), "")</f>
        <v/>
      </c>
    </row>
    <row r="4059" spans="1:37" ht="15" customHeight="1">
      <c r="A4059" s="150" t="s">
        <v>4309</v>
      </c>
      <c r="B4059" s="151">
        <v>1291</v>
      </c>
      <c r="C4059" s="126" t="s">
        <v>2352</v>
      </c>
      <c r="D4059">
        <v>2736</v>
      </c>
      <c r="E4059" s="126" t="s">
        <v>2067</v>
      </c>
      <c r="F4059" s="122" t="s">
        <v>1607</v>
      </c>
      <c r="G4059" s="122" t="s">
        <v>134</v>
      </c>
      <c r="H4059">
        <v>136</v>
      </c>
      <c r="I4059" s="122" t="s">
        <v>1546</v>
      </c>
      <c r="J4059" s="307" t="s">
        <v>214</v>
      </c>
      <c r="K4059" s="127" t="s">
        <v>4212</v>
      </c>
      <c r="L4059" s="151" t="s">
        <v>1579</v>
      </c>
      <c r="M4059">
        <v>178</v>
      </c>
      <c r="N4059" s="123">
        <v>17</v>
      </c>
      <c r="O4059">
        <v>2602</v>
      </c>
      <c r="P4059" s="132" t="s">
        <v>77</v>
      </c>
      <c r="Q4059" s="131">
        <v>4677.17</v>
      </c>
      <c r="R4059" s="131">
        <v>572.83000000000004</v>
      </c>
      <c r="S4059" s="131"/>
      <c r="T4059" s="155"/>
      <c r="U4059" s="131"/>
      <c r="V4059" s="131">
        <v>5250</v>
      </c>
      <c r="W4059"/>
      <c r="X4059" s="151" t="s">
        <v>3451</v>
      </c>
      <c r="Y4059" s="135" t="s">
        <v>55</v>
      </c>
      <c r="Z4059" s="307">
        <v>341</v>
      </c>
      <c r="AB4059" t="str">
        <f>IF(Table1[[#This Row],[TIPO2]]="costo", VLOOKUP(Table1[[#This Row],[PARTIDA PRESUPUESTAL]],'Cost Report'!G:G,1,0),"Balance")</f>
        <v>1640-009</v>
      </c>
      <c r="AC4059" s="118"/>
      <c r="AD4059" s="159">
        <f>+Table1[[#This Row],[SUBTOTAL]]+Table1[[#This Row],[IVA]]-Table1[[#This Row],[RET IVA]]-Table1[[#This Row],[RET ISR]]-Table1[[#This Row],[TOTAL]]</f>
        <v>0</v>
      </c>
      <c r="AE4059" s="150"/>
      <c r="AF4059" s="151"/>
      <c r="AG4059" s="126" t="s">
        <v>3420</v>
      </c>
      <c r="AK4059" s="306" t="str">
        <f>IF(ISNUMBER(Table1[[#This Row],[FECHA DE RECIBIDO]]), Table1[[#This Row],[FECHA DE RECIBIDO]]-DATE(2023,8,30), "")</f>
        <v/>
      </c>
    </row>
    <row r="4060" spans="1:37" ht="15" customHeight="1">
      <c r="A4060" s="152" t="s">
        <v>4309</v>
      </c>
      <c r="B4060" s="153">
        <v>1291</v>
      </c>
      <c r="C4060" s="126" t="s">
        <v>1771</v>
      </c>
      <c r="D4060">
        <v>2737</v>
      </c>
      <c r="E4060" s="126" t="s">
        <v>1624</v>
      </c>
      <c r="F4060" s="125" t="s">
        <v>1607</v>
      </c>
      <c r="G4060" s="125" t="s">
        <v>134</v>
      </c>
      <c r="H4060">
        <v>46</v>
      </c>
      <c r="I4060" s="125" t="s">
        <v>1546</v>
      </c>
      <c r="J4060" s="308" t="s">
        <v>214</v>
      </c>
      <c r="K4060" s="127" t="s">
        <v>4212</v>
      </c>
      <c r="L4060" s="153" t="s">
        <v>1579</v>
      </c>
      <c r="M4060">
        <v>58</v>
      </c>
      <c r="N4060" s="123">
        <v>17</v>
      </c>
      <c r="O4060">
        <v>2603</v>
      </c>
      <c r="P4060" s="132" t="s">
        <v>77</v>
      </c>
      <c r="Q4060" s="132">
        <v>5853.34</v>
      </c>
      <c r="R4060" s="132">
        <v>744.92</v>
      </c>
      <c r="S4060" s="132"/>
      <c r="T4060" s="156"/>
      <c r="U4060" s="132"/>
      <c r="V4060" s="132">
        <v>6598.26</v>
      </c>
      <c r="W4060"/>
      <c r="X4060" s="153" t="s">
        <v>3451</v>
      </c>
      <c r="Y4060" s="124" t="s">
        <v>55</v>
      </c>
      <c r="Z4060" s="308">
        <v>341</v>
      </c>
      <c r="AB4060" t="str">
        <f>IF(Table1[[#This Row],[TIPO2]]="costo", VLOOKUP(Table1[[#This Row],[PARTIDA PRESUPUESTAL]],'Cost Report'!G:G,1,0),"Balance")</f>
        <v>3901-039</v>
      </c>
      <c r="AC4060" s="118"/>
      <c r="AD4060" s="159">
        <f>+Table1[[#This Row],[SUBTOTAL]]+Table1[[#This Row],[IVA]]-Table1[[#This Row],[RET IVA]]-Table1[[#This Row],[RET ISR]]-Table1[[#This Row],[TOTAL]]</f>
        <v>0</v>
      </c>
      <c r="AE4060" s="152"/>
      <c r="AF4060" s="153"/>
      <c r="AG4060" s="126" t="s">
        <v>3420</v>
      </c>
      <c r="AK4060" s="306" t="str">
        <f>IF(ISNUMBER(Table1[[#This Row],[FECHA DE RECIBIDO]]), Table1[[#This Row],[FECHA DE RECIBIDO]]-DATE(2023,8,30), "")</f>
        <v/>
      </c>
    </row>
    <row r="4061" spans="1:37" ht="15" customHeight="1">
      <c r="A4061" s="150" t="s">
        <v>4309</v>
      </c>
      <c r="B4061" s="151">
        <v>1291</v>
      </c>
      <c r="C4061" s="126" t="s">
        <v>4210</v>
      </c>
      <c r="D4061">
        <v>2738</v>
      </c>
      <c r="E4061" s="126" t="s">
        <v>2075</v>
      </c>
      <c r="F4061" s="122" t="s">
        <v>2062</v>
      </c>
      <c r="G4061" s="122" t="e">
        <v>#N/A</v>
      </c>
      <c r="H4061">
        <v>146</v>
      </c>
      <c r="I4061" s="122" t="s">
        <v>1546</v>
      </c>
      <c r="J4061" s="307" t="s">
        <v>214</v>
      </c>
      <c r="K4061" s="127" t="s">
        <v>4212</v>
      </c>
      <c r="L4061" s="151" t="s">
        <v>1579</v>
      </c>
      <c r="M4061">
        <v>560</v>
      </c>
      <c r="N4061" s="123">
        <v>17</v>
      </c>
      <c r="O4061">
        <v>2604</v>
      </c>
      <c r="P4061" s="132" t="s">
        <v>77</v>
      </c>
      <c r="Q4061" s="131">
        <v>1066.81</v>
      </c>
      <c r="R4061" s="131">
        <v>170.69</v>
      </c>
      <c r="S4061" s="131"/>
      <c r="T4061" s="155"/>
      <c r="U4061" s="131"/>
      <c r="V4061" s="131">
        <v>1237.5</v>
      </c>
      <c r="W4061"/>
      <c r="X4061" s="151" t="s">
        <v>3451</v>
      </c>
      <c r="Y4061" s="135" t="s">
        <v>55</v>
      </c>
      <c r="Z4061" s="307">
        <v>341</v>
      </c>
      <c r="AB4061" t="str">
        <f>IF(Table1[[#This Row],[TIPO2]]="costo", VLOOKUP(Table1[[#This Row],[PARTIDA PRESUPUESTAL]],'Cost Report'!G:G,1,0),"Balance")</f>
        <v>3901-051</v>
      </c>
      <c r="AC4061" s="118"/>
      <c r="AD4061" s="159">
        <f>+Table1[[#This Row],[SUBTOTAL]]+Table1[[#This Row],[IVA]]-Table1[[#This Row],[RET IVA]]-Table1[[#This Row],[RET ISR]]-Table1[[#This Row],[TOTAL]]</f>
        <v>0</v>
      </c>
      <c r="AE4061" s="150"/>
      <c r="AF4061" s="151"/>
      <c r="AG4061" s="126" t="s">
        <v>3420</v>
      </c>
      <c r="AK4061" s="306" t="str">
        <f>IF(ISNUMBER(Table1[[#This Row],[FECHA DE RECIBIDO]]), Table1[[#This Row],[FECHA DE RECIBIDO]]-DATE(2023,8,30), "")</f>
        <v/>
      </c>
    </row>
    <row r="4062" spans="1:37" ht="15" customHeight="1">
      <c r="A4062" s="152" t="s">
        <v>4309</v>
      </c>
      <c r="B4062" s="153">
        <v>1291</v>
      </c>
      <c r="C4062" s="126" t="s">
        <v>396</v>
      </c>
      <c r="D4062">
        <v>2739</v>
      </c>
      <c r="E4062" s="126" t="s">
        <v>2067</v>
      </c>
      <c r="F4062" s="125" t="s">
        <v>1607</v>
      </c>
      <c r="G4062" s="125" t="s">
        <v>134</v>
      </c>
      <c r="H4062">
        <v>136</v>
      </c>
      <c r="I4062" s="125" t="s">
        <v>1546</v>
      </c>
      <c r="J4062" s="308" t="s">
        <v>214</v>
      </c>
      <c r="K4062" s="127" t="s">
        <v>4212</v>
      </c>
      <c r="L4062" s="153" t="s">
        <v>1579</v>
      </c>
      <c r="M4062">
        <v>178</v>
      </c>
      <c r="N4062" s="123">
        <v>17</v>
      </c>
      <c r="O4062">
        <v>2605</v>
      </c>
      <c r="P4062" s="132" t="s">
        <v>77</v>
      </c>
      <c r="Q4062" s="132">
        <v>9628.14</v>
      </c>
      <c r="R4062" s="132">
        <v>1447.86</v>
      </c>
      <c r="S4062" s="132"/>
      <c r="T4062" s="156"/>
      <c r="U4062" s="132"/>
      <c r="V4062" s="132">
        <v>11076</v>
      </c>
      <c r="W4062"/>
      <c r="X4062" s="153" t="s">
        <v>3451</v>
      </c>
      <c r="Y4062" s="124" t="s">
        <v>55</v>
      </c>
      <c r="Z4062" s="308">
        <v>372</v>
      </c>
      <c r="AB4062" t="str">
        <f>IF(Table1[[#This Row],[TIPO2]]="costo", VLOOKUP(Table1[[#This Row],[PARTIDA PRESUPUESTAL]],'Cost Report'!G:G,1,0),"Balance")</f>
        <v>1620-004</v>
      </c>
      <c r="AC4062" s="118"/>
      <c r="AD4062" s="159">
        <f>+Table1[[#This Row],[SUBTOTAL]]+Table1[[#This Row],[IVA]]-Table1[[#This Row],[RET IVA]]-Table1[[#This Row],[RET ISR]]-Table1[[#This Row],[TOTAL]]</f>
        <v>0</v>
      </c>
      <c r="AE4062" s="152"/>
      <c r="AF4062" s="153"/>
      <c r="AG4062" s="126" t="s">
        <v>3420</v>
      </c>
      <c r="AK4062" s="306" t="str">
        <f>IF(ISNUMBER(Table1[[#This Row],[FECHA DE RECIBIDO]]), Table1[[#This Row],[FECHA DE RECIBIDO]]-DATE(2023,8,30), "")</f>
        <v/>
      </c>
    </row>
    <row r="4063" spans="1:37" ht="15" customHeight="1">
      <c r="A4063" s="150" t="s">
        <v>4310</v>
      </c>
      <c r="B4063" s="151">
        <v>1292</v>
      </c>
      <c r="C4063" s="126" t="s">
        <v>2774</v>
      </c>
      <c r="D4063">
        <v>2740</v>
      </c>
      <c r="E4063" s="126" t="s">
        <v>4311</v>
      </c>
      <c r="F4063" s="122" t="s">
        <v>1607</v>
      </c>
      <c r="G4063" s="122" t="s">
        <v>134</v>
      </c>
      <c r="H4063">
        <v>32</v>
      </c>
      <c r="I4063" s="122" t="s">
        <v>1546</v>
      </c>
      <c r="J4063" s="307" t="s">
        <v>214</v>
      </c>
      <c r="K4063" s="127" t="s">
        <v>4212</v>
      </c>
      <c r="L4063" s="151" t="s">
        <v>1579</v>
      </c>
      <c r="M4063">
        <v>120</v>
      </c>
      <c r="N4063" s="123">
        <v>17</v>
      </c>
      <c r="O4063">
        <v>2606</v>
      </c>
      <c r="P4063" s="132" t="s">
        <v>77</v>
      </c>
      <c r="Q4063" s="131">
        <v>168.97</v>
      </c>
      <c r="R4063" s="131">
        <v>27.03</v>
      </c>
      <c r="S4063" s="131"/>
      <c r="T4063" s="155"/>
      <c r="U4063" s="131"/>
      <c r="V4063" s="131">
        <v>196</v>
      </c>
      <c r="W4063"/>
      <c r="X4063" s="151" t="s">
        <v>3451</v>
      </c>
      <c r="Y4063" s="135" t="s">
        <v>55</v>
      </c>
      <c r="Z4063" s="307">
        <v>214</v>
      </c>
      <c r="AB4063" t="str">
        <f>IF(Table1[[#This Row],[TIPO2]]="costo", VLOOKUP(Table1[[#This Row],[PARTIDA PRESUPUESTAL]],'Cost Report'!G:G,1,0),"Balance")</f>
        <v>3401-042</v>
      </c>
      <c r="AC4063" s="118"/>
      <c r="AD4063" s="159">
        <f>+Table1[[#This Row],[SUBTOTAL]]+Table1[[#This Row],[IVA]]-Table1[[#This Row],[RET IVA]]-Table1[[#This Row],[RET ISR]]-Table1[[#This Row],[TOTAL]]</f>
        <v>0</v>
      </c>
      <c r="AE4063" s="150"/>
      <c r="AF4063" s="151"/>
      <c r="AG4063" s="126" t="s">
        <v>3420</v>
      </c>
      <c r="AK4063" s="306" t="str">
        <f>IF(ISNUMBER(Table1[[#This Row],[FECHA DE RECIBIDO]]), Table1[[#This Row],[FECHA DE RECIBIDO]]-DATE(2023,8,30), "")</f>
        <v/>
      </c>
    </row>
    <row r="4064" spans="1:37" ht="15" customHeight="1">
      <c r="A4064" s="152" t="s">
        <v>4310</v>
      </c>
      <c r="B4064" s="153">
        <v>1292</v>
      </c>
      <c r="C4064" s="126" t="s">
        <v>2774</v>
      </c>
      <c r="D4064">
        <v>2741</v>
      </c>
      <c r="E4064" s="126" t="s">
        <v>1646</v>
      </c>
      <c r="F4064" s="125" t="s">
        <v>1607</v>
      </c>
      <c r="G4064" s="125" t="s">
        <v>134</v>
      </c>
      <c r="H4064">
        <v>32</v>
      </c>
      <c r="I4064" s="125" t="s">
        <v>1546</v>
      </c>
      <c r="J4064" s="308" t="s">
        <v>214</v>
      </c>
      <c r="K4064" s="127" t="s">
        <v>4212</v>
      </c>
      <c r="L4064" s="153" t="s">
        <v>1579</v>
      </c>
      <c r="M4064">
        <v>120</v>
      </c>
      <c r="N4064" s="123">
        <v>17</v>
      </c>
      <c r="O4064">
        <v>2606</v>
      </c>
      <c r="P4064" s="132" t="s">
        <v>77</v>
      </c>
      <c r="Q4064" s="132">
        <v>130.16999999999999</v>
      </c>
      <c r="R4064" s="132">
        <v>20.83</v>
      </c>
      <c r="S4064" s="132"/>
      <c r="T4064" s="156"/>
      <c r="U4064" s="132"/>
      <c r="V4064" s="132">
        <v>151</v>
      </c>
      <c r="W4064"/>
      <c r="X4064" s="153" t="s">
        <v>3451</v>
      </c>
      <c r="Y4064" s="124" t="s">
        <v>55</v>
      </c>
      <c r="Z4064" s="308">
        <v>214</v>
      </c>
      <c r="AB4064" t="str">
        <f>IF(Table1[[#This Row],[TIPO2]]="costo", VLOOKUP(Table1[[#This Row],[PARTIDA PRESUPUESTAL]],'Cost Report'!G:G,1,0),"Balance")</f>
        <v>3401-042</v>
      </c>
      <c r="AC4064" s="118"/>
      <c r="AD4064" s="159">
        <f>+Table1[[#This Row],[SUBTOTAL]]+Table1[[#This Row],[IVA]]-Table1[[#This Row],[RET IVA]]-Table1[[#This Row],[RET ISR]]-Table1[[#This Row],[TOTAL]]</f>
        <v>0</v>
      </c>
      <c r="AE4064" s="152"/>
      <c r="AF4064" s="153"/>
      <c r="AG4064" s="126" t="s">
        <v>3420</v>
      </c>
      <c r="AK4064" s="306" t="str">
        <f>IF(ISNUMBER(Table1[[#This Row],[FECHA DE RECIBIDO]]), Table1[[#This Row],[FECHA DE RECIBIDO]]-DATE(2023,8,30), "")</f>
        <v/>
      </c>
    </row>
    <row r="4065" spans="1:37" ht="15" customHeight="1">
      <c r="A4065" s="150" t="s">
        <v>4310</v>
      </c>
      <c r="B4065" s="151">
        <v>1292</v>
      </c>
      <c r="C4065" s="126" t="s">
        <v>2774</v>
      </c>
      <c r="D4065">
        <v>2742</v>
      </c>
      <c r="E4065" s="126" t="s">
        <v>3292</v>
      </c>
      <c r="F4065" s="122" t="s">
        <v>1607</v>
      </c>
      <c r="G4065" s="122" t="s">
        <v>134</v>
      </c>
      <c r="H4065">
        <v>743</v>
      </c>
      <c r="I4065" s="122" t="s">
        <v>1546</v>
      </c>
      <c r="J4065" s="307" t="s">
        <v>214</v>
      </c>
      <c r="K4065" s="127" t="s">
        <v>4212</v>
      </c>
      <c r="L4065" s="151" t="s">
        <v>1579</v>
      </c>
      <c r="M4065">
        <v>1038</v>
      </c>
      <c r="N4065" s="123">
        <v>17</v>
      </c>
      <c r="O4065">
        <v>1395</v>
      </c>
      <c r="P4065" s="132" t="s">
        <v>77</v>
      </c>
      <c r="Q4065" s="131">
        <v>232.75</v>
      </c>
      <c r="R4065" s="131">
        <v>37.24</v>
      </c>
      <c r="S4065" s="131"/>
      <c r="T4065" s="155"/>
      <c r="U4065" s="131"/>
      <c r="V4065" s="131">
        <v>269.99</v>
      </c>
      <c r="W4065"/>
      <c r="X4065" s="151" t="s">
        <v>3451</v>
      </c>
      <c r="Y4065" s="135" t="s">
        <v>55</v>
      </c>
      <c r="Z4065" s="307">
        <v>216</v>
      </c>
      <c r="AB4065" t="str">
        <f>IF(Table1[[#This Row],[TIPO2]]="costo", VLOOKUP(Table1[[#This Row],[PARTIDA PRESUPUESTAL]],'Cost Report'!G:G,1,0),"Balance")</f>
        <v>3401-042</v>
      </c>
      <c r="AC4065" s="118"/>
      <c r="AD4065" s="159">
        <f>+Table1[[#This Row],[SUBTOTAL]]+Table1[[#This Row],[IVA]]-Table1[[#This Row],[RET IVA]]-Table1[[#This Row],[RET ISR]]-Table1[[#This Row],[TOTAL]]</f>
        <v>0</v>
      </c>
      <c r="AE4065" s="150"/>
      <c r="AF4065" s="151"/>
      <c r="AG4065" s="126" t="s">
        <v>3420</v>
      </c>
      <c r="AK4065" s="306" t="str">
        <f>IF(ISNUMBER(Table1[[#This Row],[FECHA DE RECIBIDO]]), Table1[[#This Row],[FECHA DE RECIBIDO]]-DATE(2023,8,30), "")</f>
        <v/>
      </c>
    </row>
    <row r="4066" spans="1:37" ht="15" customHeight="1">
      <c r="A4066" s="152" t="s">
        <v>4310</v>
      </c>
      <c r="B4066" s="153">
        <v>1292</v>
      </c>
      <c r="C4066" s="126" t="s">
        <v>2774</v>
      </c>
      <c r="D4066">
        <v>2743</v>
      </c>
      <c r="E4066" s="126" t="s">
        <v>1645</v>
      </c>
      <c r="F4066" s="125" t="s">
        <v>1589</v>
      </c>
      <c r="G4066" s="125" t="s">
        <v>129</v>
      </c>
      <c r="H4066">
        <v>744</v>
      </c>
      <c r="I4066" s="125" t="s">
        <v>1546</v>
      </c>
      <c r="J4066" s="308" t="s">
        <v>214</v>
      </c>
      <c r="K4066" s="127" t="s">
        <v>4212</v>
      </c>
      <c r="L4066" s="153" t="s">
        <v>1579</v>
      </c>
      <c r="M4066">
        <v>1039</v>
      </c>
      <c r="N4066" s="123">
        <v>17</v>
      </c>
      <c r="O4066">
        <v>2607</v>
      </c>
      <c r="P4066" s="132" t="s">
        <v>77</v>
      </c>
      <c r="Q4066" s="132">
        <v>202.59</v>
      </c>
      <c r="R4066" s="132">
        <v>32.409999999999997</v>
      </c>
      <c r="S4066" s="132"/>
      <c r="T4066" s="156"/>
      <c r="U4066" s="132"/>
      <c r="V4066" s="132">
        <v>235</v>
      </c>
      <c r="W4066"/>
      <c r="X4066" s="153" t="s">
        <v>3451</v>
      </c>
      <c r="Y4066" s="124" t="s">
        <v>55</v>
      </c>
      <c r="Z4066" s="308">
        <v>219</v>
      </c>
      <c r="AB4066" t="str">
        <f>IF(Table1[[#This Row],[TIPO2]]="costo", VLOOKUP(Table1[[#This Row],[PARTIDA PRESUPUESTAL]],'Cost Report'!G:G,1,0),"Balance")</f>
        <v>3401-042</v>
      </c>
      <c r="AC4066" s="118"/>
      <c r="AD4066" s="159">
        <f>+Table1[[#This Row],[SUBTOTAL]]+Table1[[#This Row],[IVA]]-Table1[[#This Row],[RET IVA]]-Table1[[#This Row],[RET ISR]]-Table1[[#This Row],[TOTAL]]</f>
        <v>0</v>
      </c>
      <c r="AE4066" s="152"/>
      <c r="AF4066" s="153"/>
      <c r="AG4066" s="126" t="s">
        <v>3420</v>
      </c>
      <c r="AK4066" s="306" t="str">
        <f>IF(ISNUMBER(Table1[[#This Row],[FECHA DE RECIBIDO]]), Table1[[#This Row],[FECHA DE RECIBIDO]]-DATE(2023,8,30), "")</f>
        <v/>
      </c>
    </row>
    <row r="4067" spans="1:37" ht="15" customHeight="1">
      <c r="A4067" s="150" t="s">
        <v>4310</v>
      </c>
      <c r="B4067" s="151">
        <v>1292</v>
      </c>
      <c r="C4067" s="126" t="s">
        <v>2829</v>
      </c>
      <c r="D4067">
        <v>2744</v>
      </c>
      <c r="E4067" s="126" t="s">
        <v>1992</v>
      </c>
      <c r="F4067" s="122" t="s">
        <v>1593</v>
      </c>
      <c r="G4067" s="122" t="s">
        <v>109</v>
      </c>
      <c r="H4067">
        <v>745</v>
      </c>
      <c r="I4067" s="122" t="s">
        <v>1546</v>
      </c>
      <c r="J4067" s="307" t="s">
        <v>214</v>
      </c>
      <c r="K4067" s="127" t="s">
        <v>4212</v>
      </c>
      <c r="L4067" s="151" t="s">
        <v>1579</v>
      </c>
      <c r="M4067">
        <v>1040</v>
      </c>
      <c r="N4067" s="123">
        <v>17</v>
      </c>
      <c r="O4067">
        <v>2608</v>
      </c>
      <c r="P4067" s="132" t="s">
        <v>77</v>
      </c>
      <c r="Q4067" s="131">
        <v>1978.9</v>
      </c>
      <c r="R4067" s="131">
        <v>316.62</v>
      </c>
      <c r="S4067" s="131"/>
      <c r="T4067" s="155"/>
      <c r="U4067" s="131">
        <v>24.74</v>
      </c>
      <c r="V4067" s="131">
        <v>2270.7800000000002</v>
      </c>
      <c r="W4067"/>
      <c r="X4067" s="151" t="s">
        <v>3451</v>
      </c>
      <c r="Y4067" s="135" t="s">
        <v>55</v>
      </c>
      <c r="Z4067" s="307">
        <v>220</v>
      </c>
      <c r="AB4067" t="str">
        <f>IF(Table1[[#This Row],[TIPO2]]="costo", VLOOKUP(Table1[[#This Row],[PARTIDA PRESUPUESTAL]],'Cost Report'!G:G,1,0),"Balance")</f>
        <v>3412-138</v>
      </c>
      <c r="AC4067" s="118"/>
      <c r="AD4067" s="159">
        <f>+Table1[[#This Row],[SUBTOTAL]]+Table1[[#This Row],[IVA]]-Table1[[#This Row],[RET IVA]]-Table1[[#This Row],[RET ISR]]-Table1[[#This Row],[TOTAL]]</f>
        <v>0</v>
      </c>
      <c r="AE4067" s="150"/>
      <c r="AF4067" s="151"/>
      <c r="AG4067" s="126" t="s">
        <v>3420</v>
      </c>
      <c r="AK4067" s="306" t="str">
        <f>IF(ISNUMBER(Table1[[#This Row],[FECHA DE RECIBIDO]]), Table1[[#This Row],[FECHA DE RECIBIDO]]-DATE(2023,8,30), "")</f>
        <v/>
      </c>
    </row>
    <row r="4068" spans="1:37" ht="15" customHeight="1">
      <c r="A4068" s="152" t="s">
        <v>4310</v>
      </c>
      <c r="B4068" s="153">
        <v>1292</v>
      </c>
      <c r="C4068" s="126" t="s">
        <v>2829</v>
      </c>
      <c r="D4068">
        <v>2745</v>
      </c>
      <c r="E4068" s="126" t="s">
        <v>1992</v>
      </c>
      <c r="F4068" s="125" t="s">
        <v>1593</v>
      </c>
      <c r="G4068" s="125" t="s">
        <v>109</v>
      </c>
      <c r="H4068">
        <v>745</v>
      </c>
      <c r="I4068" s="125" t="s">
        <v>1546</v>
      </c>
      <c r="J4068" s="308" t="s">
        <v>214</v>
      </c>
      <c r="K4068" s="127" t="s">
        <v>4212</v>
      </c>
      <c r="L4068" s="153" t="s">
        <v>1579</v>
      </c>
      <c r="M4068">
        <v>1040</v>
      </c>
      <c r="N4068" s="123">
        <v>17</v>
      </c>
      <c r="O4068">
        <v>2609</v>
      </c>
      <c r="P4068" s="132" t="s">
        <v>77</v>
      </c>
      <c r="Q4068" s="132">
        <v>808.72</v>
      </c>
      <c r="R4068" s="132">
        <v>129.4</v>
      </c>
      <c r="S4068" s="132"/>
      <c r="T4068" s="156"/>
      <c r="U4068" s="132">
        <v>10.11</v>
      </c>
      <c r="V4068" s="132">
        <v>928.01</v>
      </c>
      <c r="W4068"/>
      <c r="X4068" s="153" t="s">
        <v>3451</v>
      </c>
      <c r="Y4068" s="124" t="s">
        <v>55</v>
      </c>
      <c r="Z4068" s="308">
        <v>222</v>
      </c>
      <c r="AB4068" t="str">
        <f>IF(Table1[[#This Row],[TIPO2]]="costo", VLOOKUP(Table1[[#This Row],[PARTIDA PRESUPUESTAL]],'Cost Report'!G:G,1,0),"Balance")</f>
        <v>3412-138</v>
      </c>
      <c r="AC4068" s="118"/>
      <c r="AD4068" s="159">
        <f>+Table1[[#This Row],[SUBTOTAL]]+Table1[[#This Row],[IVA]]-Table1[[#This Row],[RET IVA]]-Table1[[#This Row],[RET ISR]]-Table1[[#This Row],[TOTAL]]</f>
        <v>0</v>
      </c>
      <c r="AE4068" s="152"/>
      <c r="AF4068" s="153"/>
      <c r="AG4068" s="126" t="s">
        <v>3420</v>
      </c>
      <c r="AK4068" s="306" t="str">
        <f>IF(ISNUMBER(Table1[[#This Row],[FECHA DE RECIBIDO]]), Table1[[#This Row],[FECHA DE RECIBIDO]]-DATE(2023,8,30), "")</f>
        <v/>
      </c>
    </row>
    <row r="4069" spans="1:37" ht="15" customHeight="1">
      <c r="A4069" s="150" t="s">
        <v>4310</v>
      </c>
      <c r="B4069" s="151">
        <v>1292</v>
      </c>
      <c r="C4069" s="126" t="s">
        <v>2774</v>
      </c>
      <c r="D4069">
        <v>2746</v>
      </c>
      <c r="E4069" s="126" t="s">
        <v>1992</v>
      </c>
      <c r="F4069" s="122" t="s">
        <v>1593</v>
      </c>
      <c r="G4069" s="122" t="s">
        <v>109</v>
      </c>
      <c r="H4069">
        <v>745</v>
      </c>
      <c r="I4069" s="122" t="s">
        <v>1546</v>
      </c>
      <c r="J4069" s="307" t="s">
        <v>214</v>
      </c>
      <c r="K4069" s="127" t="s">
        <v>4212</v>
      </c>
      <c r="L4069" s="151" t="s">
        <v>1579</v>
      </c>
      <c r="M4069">
        <v>1040</v>
      </c>
      <c r="N4069" s="123">
        <v>17</v>
      </c>
      <c r="O4069">
        <v>2610</v>
      </c>
      <c r="P4069" s="132" t="s">
        <v>77</v>
      </c>
      <c r="Q4069" s="131">
        <v>47.93</v>
      </c>
      <c r="R4069" s="131">
        <v>7.67</v>
      </c>
      <c r="S4069" s="131"/>
      <c r="T4069" s="155"/>
      <c r="U4069" s="131">
        <v>0.6</v>
      </c>
      <c r="V4069" s="131">
        <v>55</v>
      </c>
      <c r="W4069"/>
      <c r="X4069" s="151" t="s">
        <v>3451</v>
      </c>
      <c r="Y4069" s="135" t="s">
        <v>55</v>
      </c>
      <c r="Z4069" s="307">
        <v>222</v>
      </c>
      <c r="AB4069" t="str">
        <f>IF(Table1[[#This Row],[TIPO2]]="costo", VLOOKUP(Table1[[#This Row],[PARTIDA PRESUPUESTAL]],'Cost Report'!G:G,1,0),"Balance")</f>
        <v>3401-042</v>
      </c>
      <c r="AC4069" s="118"/>
      <c r="AD4069" s="159">
        <f>+Table1[[#This Row],[SUBTOTAL]]+Table1[[#This Row],[IVA]]-Table1[[#This Row],[RET IVA]]-Table1[[#This Row],[RET ISR]]-Table1[[#This Row],[TOTAL]]</f>
        <v>0</v>
      </c>
      <c r="AE4069" s="150"/>
      <c r="AF4069" s="151"/>
      <c r="AG4069" s="126" t="s">
        <v>3420</v>
      </c>
      <c r="AK4069" s="306" t="str">
        <f>IF(ISNUMBER(Table1[[#This Row],[FECHA DE RECIBIDO]]), Table1[[#This Row],[FECHA DE RECIBIDO]]-DATE(2023,8,30), "")</f>
        <v/>
      </c>
    </row>
    <row r="4070" spans="1:37" ht="15" customHeight="1">
      <c r="A4070" s="152" t="s">
        <v>4310</v>
      </c>
      <c r="B4070" s="153">
        <v>1292</v>
      </c>
      <c r="C4070" s="126" t="s">
        <v>2829</v>
      </c>
      <c r="D4070">
        <v>2747</v>
      </c>
      <c r="E4070" s="126" t="s">
        <v>1992</v>
      </c>
      <c r="F4070" s="125" t="s">
        <v>1593</v>
      </c>
      <c r="G4070" s="125" t="s">
        <v>109</v>
      </c>
      <c r="H4070">
        <v>745</v>
      </c>
      <c r="I4070" s="125" t="s">
        <v>1546</v>
      </c>
      <c r="J4070" s="308" t="s">
        <v>214</v>
      </c>
      <c r="K4070" s="127" t="s">
        <v>4212</v>
      </c>
      <c r="L4070" s="153" t="s">
        <v>1579</v>
      </c>
      <c r="M4070">
        <v>1040</v>
      </c>
      <c r="N4070" s="123">
        <v>17</v>
      </c>
      <c r="O4070">
        <v>2611</v>
      </c>
      <c r="P4070" s="132" t="s">
        <v>77</v>
      </c>
      <c r="Q4070" s="132">
        <v>1506.96</v>
      </c>
      <c r="R4070" s="132">
        <v>241.11</v>
      </c>
      <c r="S4070" s="132"/>
      <c r="T4070" s="156"/>
      <c r="U4070" s="132">
        <v>18.850000000000001</v>
      </c>
      <c r="V4070" s="132">
        <v>1729.2200000000003</v>
      </c>
      <c r="W4070"/>
      <c r="X4070" s="153" t="s">
        <v>3451</v>
      </c>
      <c r="Y4070" s="124" t="s">
        <v>55</v>
      </c>
      <c r="Z4070" s="308">
        <v>222</v>
      </c>
      <c r="AB4070" t="str">
        <f>IF(Table1[[#This Row],[TIPO2]]="costo", VLOOKUP(Table1[[#This Row],[PARTIDA PRESUPUESTAL]],'Cost Report'!G:G,1,0),"Balance")</f>
        <v>3412-138</v>
      </c>
      <c r="AC4070" s="118"/>
      <c r="AD4070" s="159">
        <f>+Table1[[#This Row],[SUBTOTAL]]+Table1[[#This Row],[IVA]]-Table1[[#This Row],[RET IVA]]-Table1[[#This Row],[RET ISR]]-Table1[[#This Row],[TOTAL]]</f>
        <v>0</v>
      </c>
      <c r="AE4070" s="152"/>
      <c r="AF4070" s="153"/>
      <c r="AG4070" s="126" t="s">
        <v>3420</v>
      </c>
      <c r="AK4070" s="306" t="str">
        <f>IF(ISNUMBER(Table1[[#This Row],[FECHA DE RECIBIDO]]), Table1[[#This Row],[FECHA DE RECIBIDO]]-DATE(2023,8,30), "")</f>
        <v/>
      </c>
    </row>
    <row r="4071" spans="1:37" ht="15" customHeight="1">
      <c r="A4071" s="150" t="s">
        <v>4310</v>
      </c>
      <c r="B4071" s="151">
        <v>1292</v>
      </c>
      <c r="C4071" s="126" t="s">
        <v>2851</v>
      </c>
      <c r="D4071">
        <v>2748</v>
      </c>
      <c r="E4071" s="126" t="s">
        <v>3275</v>
      </c>
      <c r="F4071" s="122" t="s">
        <v>1593</v>
      </c>
      <c r="G4071" s="122" t="s">
        <v>109</v>
      </c>
      <c r="H4071">
        <v>746</v>
      </c>
      <c r="I4071" s="122" t="s">
        <v>1546</v>
      </c>
      <c r="J4071" s="307" t="s">
        <v>214</v>
      </c>
      <c r="K4071" s="127" t="s">
        <v>4212</v>
      </c>
      <c r="L4071" s="151" t="s">
        <v>1579</v>
      </c>
      <c r="M4071">
        <v>1041</v>
      </c>
      <c r="N4071" s="123">
        <v>17</v>
      </c>
      <c r="O4071">
        <v>2612</v>
      </c>
      <c r="P4071" s="132" t="s">
        <v>77</v>
      </c>
      <c r="Q4071" s="131">
        <v>827.59</v>
      </c>
      <c r="R4071" s="131">
        <v>132.41</v>
      </c>
      <c r="S4071" s="131"/>
      <c r="T4071" s="155"/>
      <c r="U4071" s="131"/>
      <c r="V4071" s="131">
        <v>960</v>
      </c>
      <c r="W4071"/>
      <c r="X4071" s="151" t="s">
        <v>3451</v>
      </c>
      <c r="Y4071" s="135" t="s">
        <v>55</v>
      </c>
      <c r="Z4071" s="307">
        <v>222</v>
      </c>
      <c r="AB4071" t="str">
        <f>IF(Table1[[#This Row],[TIPO2]]="costo", VLOOKUP(Table1[[#This Row],[PARTIDA PRESUPUESTAL]],'Cost Report'!G:G,1,0),"Balance")</f>
        <v>3485-003</v>
      </c>
      <c r="AC4071" s="118"/>
      <c r="AD4071" s="159">
        <f>+Table1[[#This Row],[SUBTOTAL]]+Table1[[#This Row],[IVA]]-Table1[[#This Row],[RET IVA]]-Table1[[#This Row],[RET ISR]]-Table1[[#This Row],[TOTAL]]</f>
        <v>0</v>
      </c>
      <c r="AE4071" s="150"/>
      <c r="AF4071" s="151"/>
      <c r="AG4071" s="126" t="s">
        <v>3420</v>
      </c>
      <c r="AK4071" s="306" t="str">
        <f>IF(ISNUMBER(Table1[[#This Row],[FECHA DE RECIBIDO]]), Table1[[#This Row],[FECHA DE RECIBIDO]]-DATE(2023,8,30), "")</f>
        <v/>
      </c>
    </row>
    <row r="4072" spans="1:37" ht="15" customHeight="1">
      <c r="A4072" s="152" t="s">
        <v>4310</v>
      </c>
      <c r="B4072" s="153">
        <v>1292</v>
      </c>
      <c r="C4072" s="126" t="s">
        <v>2774</v>
      </c>
      <c r="D4072">
        <v>2749</v>
      </c>
      <c r="E4072" s="126" t="e">
        <v>#N/A</v>
      </c>
      <c r="F4072" s="125" t="e">
        <v>#N/A</v>
      </c>
      <c r="G4072" s="125" t="e">
        <v>#N/A</v>
      </c>
      <c r="H4072">
        <v>36</v>
      </c>
      <c r="I4072" s="125" t="e">
        <v>#N/A</v>
      </c>
      <c r="J4072" s="308" t="s">
        <v>214</v>
      </c>
      <c r="K4072" s="127" t="s">
        <v>4212</v>
      </c>
      <c r="L4072" s="153" t="s">
        <v>1579</v>
      </c>
      <c r="M4072">
        <v>573</v>
      </c>
      <c r="N4072" s="123">
        <v>17</v>
      </c>
      <c r="O4072">
        <v>2613</v>
      </c>
      <c r="P4072" s="132" t="s">
        <v>77</v>
      </c>
      <c r="Q4072" s="132">
        <v>737.07</v>
      </c>
      <c r="R4072" s="132">
        <v>117.93</v>
      </c>
      <c r="S4072" s="132"/>
      <c r="T4072" s="156"/>
      <c r="U4072" s="132"/>
      <c r="V4072" s="132">
        <v>855</v>
      </c>
      <c r="W4072"/>
      <c r="X4072" s="153" t="s">
        <v>3451</v>
      </c>
      <c r="Y4072" s="124" t="s">
        <v>55</v>
      </c>
      <c r="Z4072" s="308">
        <v>225</v>
      </c>
      <c r="AB4072" t="str">
        <f>IF(Table1[[#This Row],[TIPO2]]="costo", VLOOKUP(Table1[[#This Row],[PARTIDA PRESUPUESTAL]],'Cost Report'!G:G,1,0),"Balance")</f>
        <v>3401-042</v>
      </c>
      <c r="AC4072" s="118"/>
      <c r="AD4072" s="159">
        <f>+Table1[[#This Row],[SUBTOTAL]]+Table1[[#This Row],[IVA]]-Table1[[#This Row],[RET IVA]]-Table1[[#This Row],[RET ISR]]-Table1[[#This Row],[TOTAL]]</f>
        <v>0</v>
      </c>
      <c r="AE4072" s="152"/>
      <c r="AF4072" s="153"/>
      <c r="AG4072" s="126" t="s">
        <v>3420</v>
      </c>
      <c r="AK4072" s="306" t="str">
        <f>IF(ISNUMBER(Table1[[#This Row],[FECHA DE RECIBIDO]]), Table1[[#This Row],[FECHA DE RECIBIDO]]-DATE(2023,8,30), "")</f>
        <v/>
      </c>
    </row>
    <row r="4073" spans="1:37" ht="15" customHeight="1">
      <c r="A4073" s="150" t="s">
        <v>4310</v>
      </c>
      <c r="B4073" s="151">
        <v>1292</v>
      </c>
      <c r="C4073" s="126" t="s">
        <v>2774</v>
      </c>
      <c r="D4073">
        <v>2750</v>
      </c>
      <c r="E4073" s="126" t="s">
        <v>3356</v>
      </c>
      <c r="F4073" s="122" t="s">
        <v>1589</v>
      </c>
      <c r="G4073" s="122" t="s">
        <v>129</v>
      </c>
      <c r="H4073">
        <v>747</v>
      </c>
      <c r="I4073" s="122" t="s">
        <v>1546</v>
      </c>
      <c r="J4073" s="307" t="s">
        <v>214</v>
      </c>
      <c r="K4073" s="127" t="s">
        <v>4212</v>
      </c>
      <c r="L4073" s="151" t="s">
        <v>1579</v>
      </c>
      <c r="M4073">
        <v>1042</v>
      </c>
      <c r="N4073" s="123">
        <v>17</v>
      </c>
      <c r="O4073">
        <v>2614</v>
      </c>
      <c r="P4073" s="132" t="s">
        <v>77</v>
      </c>
      <c r="Q4073" s="131">
        <v>192.24</v>
      </c>
      <c r="R4073" s="131">
        <v>30.76</v>
      </c>
      <c r="S4073" s="131"/>
      <c r="T4073" s="155"/>
      <c r="U4073" s="131"/>
      <c r="V4073" s="131">
        <v>223</v>
      </c>
      <c r="W4073"/>
      <c r="X4073" s="151" t="s">
        <v>3451</v>
      </c>
      <c r="Y4073" s="135" t="s">
        <v>55</v>
      </c>
      <c r="Z4073" s="307">
        <v>229</v>
      </c>
      <c r="AB4073" t="str">
        <f>IF(Table1[[#This Row],[TIPO2]]="costo", VLOOKUP(Table1[[#This Row],[PARTIDA PRESUPUESTAL]],'Cost Report'!G:G,1,0),"Balance")</f>
        <v>3401-042</v>
      </c>
      <c r="AC4073" s="118"/>
      <c r="AD4073" s="159">
        <f>+Table1[[#This Row],[SUBTOTAL]]+Table1[[#This Row],[IVA]]-Table1[[#This Row],[RET IVA]]-Table1[[#This Row],[RET ISR]]-Table1[[#This Row],[TOTAL]]</f>
        <v>0</v>
      </c>
      <c r="AE4073" s="150"/>
      <c r="AF4073" s="151"/>
      <c r="AG4073" s="126" t="s">
        <v>3420</v>
      </c>
      <c r="AK4073" s="306" t="str">
        <f>IF(ISNUMBER(Table1[[#This Row],[FECHA DE RECIBIDO]]), Table1[[#This Row],[FECHA DE RECIBIDO]]-DATE(2023,8,30), "")</f>
        <v/>
      </c>
    </row>
    <row r="4074" spans="1:37" ht="15" customHeight="1">
      <c r="A4074" s="152" t="s">
        <v>4310</v>
      </c>
      <c r="B4074" s="153">
        <v>1292</v>
      </c>
      <c r="C4074" s="126" t="s">
        <v>2774</v>
      </c>
      <c r="D4074">
        <v>2751</v>
      </c>
      <c r="E4074" s="126" t="s">
        <v>1988</v>
      </c>
      <c r="F4074" s="125" t="s">
        <v>1589</v>
      </c>
      <c r="G4074" s="125" t="s">
        <v>129</v>
      </c>
      <c r="H4074">
        <v>87</v>
      </c>
      <c r="I4074" s="125" t="s">
        <v>1546</v>
      </c>
      <c r="J4074" s="308" t="s">
        <v>214</v>
      </c>
      <c r="K4074" s="127" t="s">
        <v>4212</v>
      </c>
      <c r="L4074" s="153" t="s">
        <v>1579</v>
      </c>
      <c r="M4074">
        <v>117</v>
      </c>
      <c r="N4074" s="123">
        <v>17</v>
      </c>
      <c r="O4074">
        <v>1391</v>
      </c>
      <c r="P4074" s="132" t="s">
        <v>77</v>
      </c>
      <c r="Q4074" s="132">
        <v>165.51</v>
      </c>
      <c r="R4074" s="132">
        <v>26.49</v>
      </c>
      <c r="S4074" s="132"/>
      <c r="T4074" s="156"/>
      <c r="U4074" s="132"/>
      <c r="V4074" s="132">
        <v>192</v>
      </c>
      <c r="W4074"/>
      <c r="X4074" s="153" t="s">
        <v>3451</v>
      </c>
      <c r="Y4074" s="124" t="s">
        <v>55</v>
      </c>
      <c r="Z4074" s="308">
        <v>229</v>
      </c>
      <c r="AB4074" t="str">
        <f>IF(Table1[[#This Row],[TIPO2]]="costo", VLOOKUP(Table1[[#This Row],[PARTIDA PRESUPUESTAL]],'Cost Report'!G:G,1,0),"Balance")</f>
        <v>3401-042</v>
      </c>
      <c r="AC4074" s="118"/>
      <c r="AD4074" s="159">
        <f>+Table1[[#This Row],[SUBTOTAL]]+Table1[[#This Row],[IVA]]-Table1[[#This Row],[RET IVA]]-Table1[[#This Row],[RET ISR]]-Table1[[#This Row],[TOTAL]]</f>
        <v>0</v>
      </c>
      <c r="AE4074" s="152"/>
      <c r="AF4074" s="153"/>
      <c r="AG4074" s="126" t="s">
        <v>3420</v>
      </c>
      <c r="AK4074" s="306" t="str">
        <f>IF(ISNUMBER(Table1[[#This Row],[FECHA DE RECIBIDO]]), Table1[[#This Row],[FECHA DE RECIBIDO]]-DATE(2023,8,30), "")</f>
        <v/>
      </c>
    </row>
    <row r="4075" spans="1:37" ht="15" customHeight="1">
      <c r="A4075" s="150" t="s">
        <v>4310</v>
      </c>
      <c r="B4075" s="151">
        <v>1292</v>
      </c>
      <c r="C4075" s="126" t="s">
        <v>2774</v>
      </c>
      <c r="D4075">
        <v>2752</v>
      </c>
      <c r="E4075" s="126" t="s">
        <v>1989</v>
      </c>
      <c r="F4075" s="122" t="s">
        <v>1607</v>
      </c>
      <c r="G4075" s="122" t="s">
        <v>134</v>
      </c>
      <c r="H4075">
        <v>77</v>
      </c>
      <c r="I4075" s="122" t="s">
        <v>1546</v>
      </c>
      <c r="J4075" s="307" t="s">
        <v>214</v>
      </c>
      <c r="K4075" s="127" t="s">
        <v>4212</v>
      </c>
      <c r="L4075" s="151" t="s">
        <v>1579</v>
      </c>
      <c r="M4075">
        <v>1043</v>
      </c>
      <c r="N4075" s="123">
        <v>17</v>
      </c>
      <c r="O4075">
        <v>2615</v>
      </c>
      <c r="P4075" s="132" t="s">
        <v>77</v>
      </c>
      <c r="Q4075" s="131">
        <v>95.69</v>
      </c>
      <c r="R4075" s="131">
        <v>15.31</v>
      </c>
      <c r="S4075" s="131"/>
      <c r="T4075" s="155"/>
      <c r="U4075" s="131"/>
      <c r="V4075" s="131">
        <v>111</v>
      </c>
      <c r="W4075"/>
      <c r="X4075" s="151" t="s">
        <v>3451</v>
      </c>
      <c r="Y4075" s="135" t="s">
        <v>55</v>
      </c>
      <c r="Z4075" s="307">
        <v>230</v>
      </c>
      <c r="AB4075" t="str">
        <f>IF(Table1[[#This Row],[TIPO2]]="costo", VLOOKUP(Table1[[#This Row],[PARTIDA PRESUPUESTAL]],'Cost Report'!G:G,1,0),"Balance")</f>
        <v>3401-042</v>
      </c>
      <c r="AC4075" s="118"/>
      <c r="AD4075" s="159">
        <f>+Table1[[#This Row],[SUBTOTAL]]+Table1[[#This Row],[IVA]]-Table1[[#This Row],[RET IVA]]-Table1[[#This Row],[RET ISR]]-Table1[[#This Row],[TOTAL]]</f>
        <v>0</v>
      </c>
      <c r="AE4075" s="150"/>
      <c r="AF4075" s="151"/>
      <c r="AG4075" s="126" t="s">
        <v>3420</v>
      </c>
      <c r="AK4075" s="306" t="str">
        <f>IF(ISNUMBER(Table1[[#This Row],[FECHA DE RECIBIDO]]), Table1[[#This Row],[FECHA DE RECIBIDO]]-DATE(2023,8,30), "")</f>
        <v/>
      </c>
    </row>
    <row r="4076" spans="1:37" ht="15" customHeight="1">
      <c r="A4076" s="152" t="s">
        <v>4310</v>
      </c>
      <c r="B4076" s="153">
        <v>1292</v>
      </c>
      <c r="C4076" s="126" t="s">
        <v>2774</v>
      </c>
      <c r="D4076">
        <v>2753</v>
      </c>
      <c r="E4076" s="126" t="s">
        <v>1600</v>
      </c>
      <c r="F4076" s="125" t="s">
        <v>1607</v>
      </c>
      <c r="G4076" s="125" t="s">
        <v>134</v>
      </c>
      <c r="H4076">
        <v>748</v>
      </c>
      <c r="I4076" s="125" t="s">
        <v>1546</v>
      </c>
      <c r="J4076" s="308" t="s">
        <v>214</v>
      </c>
      <c r="K4076" s="127" t="s">
        <v>4212</v>
      </c>
      <c r="L4076" s="153" t="s">
        <v>1579</v>
      </c>
      <c r="M4076">
        <v>1044</v>
      </c>
      <c r="N4076" s="123">
        <v>17</v>
      </c>
      <c r="O4076">
        <v>2616</v>
      </c>
      <c r="P4076" s="132" t="s">
        <v>77</v>
      </c>
      <c r="Q4076" s="132">
        <v>551.72</v>
      </c>
      <c r="R4076" s="132">
        <v>88.28</v>
      </c>
      <c r="S4076" s="132"/>
      <c r="T4076" s="156"/>
      <c r="U4076" s="132"/>
      <c r="V4076" s="132">
        <v>640</v>
      </c>
      <c r="W4076"/>
      <c r="X4076" s="153" t="s">
        <v>3451</v>
      </c>
      <c r="Y4076" s="124" t="s">
        <v>55</v>
      </c>
      <c r="Z4076" s="308">
        <v>230</v>
      </c>
      <c r="AB4076" t="str">
        <f>IF(Table1[[#This Row],[TIPO2]]="costo", VLOOKUP(Table1[[#This Row],[PARTIDA PRESUPUESTAL]],'Cost Report'!G:G,1,0),"Balance")</f>
        <v>3401-042</v>
      </c>
      <c r="AC4076" s="118"/>
      <c r="AD4076" s="159">
        <f>+Table1[[#This Row],[SUBTOTAL]]+Table1[[#This Row],[IVA]]-Table1[[#This Row],[RET IVA]]-Table1[[#This Row],[RET ISR]]-Table1[[#This Row],[TOTAL]]</f>
        <v>0</v>
      </c>
      <c r="AE4076" s="152"/>
      <c r="AF4076" s="153"/>
      <c r="AG4076" s="126" t="s">
        <v>3420</v>
      </c>
      <c r="AK4076" s="306" t="str">
        <f>IF(ISNUMBER(Table1[[#This Row],[FECHA DE RECIBIDO]]), Table1[[#This Row],[FECHA DE RECIBIDO]]-DATE(2023,8,30), "")</f>
        <v/>
      </c>
    </row>
    <row r="4077" spans="1:37" ht="15" customHeight="1">
      <c r="A4077" s="150" t="s">
        <v>4310</v>
      </c>
      <c r="B4077" s="151">
        <v>1292</v>
      </c>
      <c r="C4077" s="126" t="s">
        <v>2829</v>
      </c>
      <c r="D4077">
        <v>2754</v>
      </c>
      <c r="E4077" s="126" t="s">
        <v>1596</v>
      </c>
      <c r="F4077" s="122" t="s">
        <v>1371</v>
      </c>
      <c r="G4077" s="122" t="s">
        <v>2065</v>
      </c>
      <c r="H4077">
        <v>435</v>
      </c>
      <c r="I4077" s="122" t="s">
        <v>1546</v>
      </c>
      <c r="J4077" s="307" t="s">
        <v>214</v>
      </c>
      <c r="K4077" s="127" t="s">
        <v>4212</v>
      </c>
      <c r="L4077" s="151" t="s">
        <v>1579</v>
      </c>
      <c r="M4077">
        <v>579</v>
      </c>
      <c r="N4077" s="123">
        <v>17</v>
      </c>
      <c r="O4077">
        <v>2617</v>
      </c>
      <c r="P4077" s="132" t="s">
        <v>77</v>
      </c>
      <c r="Q4077" s="131">
        <v>1336.21</v>
      </c>
      <c r="R4077" s="131">
        <v>213.79</v>
      </c>
      <c r="S4077" s="131"/>
      <c r="T4077" s="155"/>
      <c r="U4077" s="131"/>
      <c r="V4077" s="131">
        <v>1550</v>
      </c>
      <c r="W4077"/>
      <c r="X4077" s="151" t="s">
        <v>3451</v>
      </c>
      <c r="Y4077" s="135" t="s">
        <v>55</v>
      </c>
      <c r="Z4077" s="307">
        <v>230</v>
      </c>
      <c r="AB4077" t="str">
        <f>IF(Table1[[#This Row],[TIPO2]]="costo", VLOOKUP(Table1[[#This Row],[PARTIDA PRESUPUESTAL]],'Cost Report'!G:G,1,0),"Balance")</f>
        <v>3412-138</v>
      </c>
      <c r="AC4077" s="118"/>
      <c r="AD4077" s="159">
        <f>+Table1[[#This Row],[SUBTOTAL]]+Table1[[#This Row],[IVA]]-Table1[[#This Row],[RET IVA]]-Table1[[#This Row],[RET ISR]]-Table1[[#This Row],[TOTAL]]</f>
        <v>0</v>
      </c>
      <c r="AE4077" s="150"/>
      <c r="AF4077" s="151"/>
      <c r="AG4077" s="126" t="s">
        <v>3420</v>
      </c>
      <c r="AK4077" s="306" t="str">
        <f>IF(ISNUMBER(Table1[[#This Row],[FECHA DE RECIBIDO]]), Table1[[#This Row],[FECHA DE RECIBIDO]]-DATE(2023,8,30), "")</f>
        <v/>
      </c>
    </row>
    <row r="4078" spans="1:37" ht="15" customHeight="1">
      <c r="A4078" s="152" t="s">
        <v>4310</v>
      </c>
      <c r="B4078" s="153">
        <v>1292</v>
      </c>
      <c r="C4078" s="126" t="s">
        <v>2829</v>
      </c>
      <c r="D4078">
        <v>2755</v>
      </c>
      <c r="E4078" s="126" t="s">
        <v>1596</v>
      </c>
      <c r="F4078" s="125" t="s">
        <v>1371</v>
      </c>
      <c r="G4078" s="125" t="s">
        <v>2065</v>
      </c>
      <c r="H4078">
        <v>435</v>
      </c>
      <c r="I4078" s="125" t="s">
        <v>1546</v>
      </c>
      <c r="J4078" s="308" t="s">
        <v>214</v>
      </c>
      <c r="K4078" s="127" t="s">
        <v>4212</v>
      </c>
      <c r="L4078" s="153" t="s">
        <v>1579</v>
      </c>
      <c r="M4078">
        <v>579</v>
      </c>
      <c r="N4078" s="123">
        <v>17</v>
      </c>
      <c r="O4078">
        <v>2618</v>
      </c>
      <c r="P4078" s="132" t="s">
        <v>77</v>
      </c>
      <c r="Q4078" s="132">
        <v>1336.21</v>
      </c>
      <c r="R4078" s="132">
        <v>213.79</v>
      </c>
      <c r="S4078" s="132"/>
      <c r="T4078" s="156"/>
      <c r="U4078" s="132"/>
      <c r="V4078" s="132">
        <v>1550</v>
      </c>
      <c r="W4078"/>
      <c r="X4078" s="153" t="s">
        <v>3451</v>
      </c>
      <c r="Y4078" s="124" t="s">
        <v>55</v>
      </c>
      <c r="Z4078" s="308">
        <v>230</v>
      </c>
      <c r="AB4078" t="str">
        <f>IF(Table1[[#This Row],[TIPO2]]="costo", VLOOKUP(Table1[[#This Row],[PARTIDA PRESUPUESTAL]],'Cost Report'!G:G,1,0),"Balance")</f>
        <v>3412-138</v>
      </c>
      <c r="AC4078" s="118"/>
      <c r="AD4078" s="159">
        <f>+Table1[[#This Row],[SUBTOTAL]]+Table1[[#This Row],[IVA]]-Table1[[#This Row],[RET IVA]]-Table1[[#This Row],[RET ISR]]-Table1[[#This Row],[TOTAL]]</f>
        <v>0</v>
      </c>
      <c r="AE4078" s="152"/>
      <c r="AF4078" s="153"/>
      <c r="AG4078" s="126" t="s">
        <v>3420</v>
      </c>
      <c r="AK4078" s="306" t="str">
        <f>IF(ISNUMBER(Table1[[#This Row],[FECHA DE RECIBIDO]]), Table1[[#This Row],[FECHA DE RECIBIDO]]-DATE(2023,8,30), "")</f>
        <v/>
      </c>
    </row>
    <row r="4079" spans="1:37" ht="15" customHeight="1">
      <c r="A4079" s="150" t="s">
        <v>4310</v>
      </c>
      <c r="B4079" s="151">
        <v>1292</v>
      </c>
      <c r="C4079" s="126" t="s">
        <v>2829</v>
      </c>
      <c r="D4079">
        <v>2756</v>
      </c>
      <c r="E4079" s="126" t="s">
        <v>1596</v>
      </c>
      <c r="F4079" s="122" t="s">
        <v>1371</v>
      </c>
      <c r="G4079" s="122" t="s">
        <v>2065</v>
      </c>
      <c r="H4079">
        <v>435</v>
      </c>
      <c r="I4079" s="122" t="s">
        <v>1546</v>
      </c>
      <c r="J4079" s="307" t="s">
        <v>214</v>
      </c>
      <c r="K4079" s="127" t="s">
        <v>4212</v>
      </c>
      <c r="L4079" s="151" t="s">
        <v>1579</v>
      </c>
      <c r="M4079">
        <v>579</v>
      </c>
      <c r="N4079" s="123">
        <v>17</v>
      </c>
      <c r="O4079">
        <v>2619</v>
      </c>
      <c r="P4079" s="132" t="s">
        <v>77</v>
      </c>
      <c r="Q4079" s="131">
        <v>1336.21</v>
      </c>
      <c r="R4079" s="131">
        <v>213.79</v>
      </c>
      <c r="S4079" s="131"/>
      <c r="T4079" s="155"/>
      <c r="U4079" s="131"/>
      <c r="V4079" s="131">
        <v>1550</v>
      </c>
      <c r="W4079"/>
      <c r="X4079" s="151" t="s">
        <v>3451</v>
      </c>
      <c r="Y4079" s="135" t="s">
        <v>55</v>
      </c>
      <c r="Z4079" s="307">
        <v>230</v>
      </c>
      <c r="AB4079" t="str">
        <f>IF(Table1[[#This Row],[TIPO2]]="costo", VLOOKUP(Table1[[#This Row],[PARTIDA PRESUPUESTAL]],'Cost Report'!G:G,1,0),"Balance")</f>
        <v>3412-138</v>
      </c>
      <c r="AC4079" s="118"/>
      <c r="AD4079" s="159">
        <f>+Table1[[#This Row],[SUBTOTAL]]+Table1[[#This Row],[IVA]]-Table1[[#This Row],[RET IVA]]-Table1[[#This Row],[RET ISR]]-Table1[[#This Row],[TOTAL]]</f>
        <v>0</v>
      </c>
      <c r="AE4079" s="150"/>
      <c r="AF4079" s="151"/>
      <c r="AG4079" s="126" t="s">
        <v>3420</v>
      </c>
      <c r="AK4079" s="306" t="str">
        <f>IF(ISNUMBER(Table1[[#This Row],[FECHA DE RECIBIDO]]), Table1[[#This Row],[FECHA DE RECIBIDO]]-DATE(2023,8,30), "")</f>
        <v/>
      </c>
    </row>
    <row r="4080" spans="1:37" ht="15" customHeight="1">
      <c r="A4080" s="152" t="s">
        <v>4310</v>
      </c>
      <c r="B4080" s="153">
        <v>1292</v>
      </c>
      <c r="C4080" s="126" t="s">
        <v>2829</v>
      </c>
      <c r="D4080">
        <v>2757</v>
      </c>
      <c r="E4080" s="126" t="s">
        <v>1596</v>
      </c>
      <c r="F4080" s="125" t="s">
        <v>1589</v>
      </c>
      <c r="G4080" s="125" t="s">
        <v>129</v>
      </c>
      <c r="H4080">
        <v>749</v>
      </c>
      <c r="I4080" s="125" t="s">
        <v>1546</v>
      </c>
      <c r="J4080" s="308" t="s">
        <v>214</v>
      </c>
      <c r="K4080" s="127" t="s">
        <v>4212</v>
      </c>
      <c r="L4080" s="153" t="s">
        <v>1579</v>
      </c>
      <c r="M4080">
        <v>1045</v>
      </c>
      <c r="N4080" s="123">
        <v>17</v>
      </c>
      <c r="O4080">
        <v>2620</v>
      </c>
      <c r="P4080" s="132" t="s">
        <v>77</v>
      </c>
      <c r="Q4080" s="132">
        <v>125</v>
      </c>
      <c r="R4080" s="132">
        <v>20</v>
      </c>
      <c r="S4080" s="132"/>
      <c r="T4080" s="156"/>
      <c r="U4080" s="132"/>
      <c r="V4080" s="132">
        <v>145</v>
      </c>
      <c r="W4080"/>
      <c r="X4080" s="153" t="s">
        <v>3451</v>
      </c>
      <c r="Y4080" s="124" t="s">
        <v>55</v>
      </c>
      <c r="Z4080" s="308">
        <v>230</v>
      </c>
      <c r="AB4080" t="str">
        <f>IF(Table1[[#This Row],[TIPO2]]="costo", VLOOKUP(Table1[[#This Row],[PARTIDA PRESUPUESTAL]],'Cost Report'!G:G,1,0),"Balance")</f>
        <v>3412-138</v>
      </c>
      <c r="AC4080" s="118"/>
      <c r="AD4080" s="159">
        <f>+Table1[[#This Row],[SUBTOTAL]]+Table1[[#This Row],[IVA]]-Table1[[#This Row],[RET IVA]]-Table1[[#This Row],[RET ISR]]-Table1[[#This Row],[TOTAL]]</f>
        <v>0</v>
      </c>
      <c r="AE4080" s="152"/>
      <c r="AF4080" s="153"/>
      <c r="AG4080" s="126" t="s">
        <v>3420</v>
      </c>
      <c r="AK4080" s="306" t="str">
        <f>IF(ISNUMBER(Table1[[#This Row],[FECHA DE RECIBIDO]]), Table1[[#This Row],[FECHA DE RECIBIDO]]-DATE(2023,8,30), "")</f>
        <v/>
      </c>
    </row>
    <row r="4081" spans="1:37" ht="15" customHeight="1">
      <c r="A4081" s="150" t="s">
        <v>4310</v>
      </c>
      <c r="B4081" s="151">
        <v>1292</v>
      </c>
      <c r="C4081" s="126" t="s">
        <v>2851</v>
      </c>
      <c r="D4081">
        <v>2758</v>
      </c>
      <c r="E4081" s="126" t="s">
        <v>3356</v>
      </c>
      <c r="F4081" s="122" t="s">
        <v>1607</v>
      </c>
      <c r="G4081" s="122" t="s">
        <v>134</v>
      </c>
      <c r="H4081">
        <v>91</v>
      </c>
      <c r="I4081" s="122" t="s">
        <v>1546</v>
      </c>
      <c r="J4081" s="307" t="s">
        <v>214</v>
      </c>
      <c r="K4081" s="127" t="s">
        <v>4212</v>
      </c>
      <c r="L4081" s="151" t="s">
        <v>1579</v>
      </c>
      <c r="M4081">
        <v>122</v>
      </c>
      <c r="N4081" s="123">
        <v>17</v>
      </c>
      <c r="O4081">
        <v>2621</v>
      </c>
      <c r="P4081" s="132" t="s">
        <v>77</v>
      </c>
      <c r="Q4081" s="131">
        <v>96.47</v>
      </c>
      <c r="R4081" s="131">
        <v>15.43</v>
      </c>
      <c r="S4081" s="131"/>
      <c r="T4081" s="155"/>
      <c r="U4081" s="131"/>
      <c r="V4081" s="131">
        <v>111.9</v>
      </c>
      <c r="W4081"/>
      <c r="X4081" s="151" t="s">
        <v>3451</v>
      </c>
      <c r="Y4081" s="135" t="s">
        <v>55</v>
      </c>
      <c r="Z4081" s="307">
        <v>230</v>
      </c>
      <c r="AB4081" t="str">
        <f>IF(Table1[[#This Row],[TIPO2]]="costo", VLOOKUP(Table1[[#This Row],[PARTIDA PRESUPUESTAL]],'Cost Report'!G:G,1,0),"Balance")</f>
        <v>3485-003</v>
      </c>
      <c r="AC4081" s="118"/>
      <c r="AD4081" s="159">
        <f>+Table1[[#This Row],[SUBTOTAL]]+Table1[[#This Row],[IVA]]-Table1[[#This Row],[RET IVA]]-Table1[[#This Row],[RET ISR]]-Table1[[#This Row],[TOTAL]]</f>
        <v>0</v>
      </c>
      <c r="AE4081" s="150"/>
      <c r="AF4081" s="151"/>
      <c r="AG4081" s="126" t="s">
        <v>3420</v>
      </c>
      <c r="AK4081" s="306" t="str">
        <f>IF(ISNUMBER(Table1[[#This Row],[FECHA DE RECIBIDO]]), Table1[[#This Row],[FECHA DE RECIBIDO]]-DATE(2023,8,30), "")</f>
        <v/>
      </c>
    </row>
    <row r="4082" spans="1:37" ht="15" customHeight="1">
      <c r="A4082" s="152" t="s">
        <v>4310</v>
      </c>
      <c r="B4082" s="153">
        <v>1292</v>
      </c>
      <c r="C4082" s="126" t="s">
        <v>2774</v>
      </c>
      <c r="D4082">
        <v>2759</v>
      </c>
      <c r="E4082" s="126" t="s">
        <v>3356</v>
      </c>
      <c r="F4082" s="125" t="s">
        <v>1607</v>
      </c>
      <c r="G4082" s="125" t="s">
        <v>134</v>
      </c>
      <c r="H4082"/>
      <c r="I4082" s="125"/>
      <c r="J4082" s="308" t="s">
        <v>214</v>
      </c>
      <c r="K4082" s="127" t="s">
        <v>4212</v>
      </c>
      <c r="L4082" s="153" t="s">
        <v>1579</v>
      </c>
      <c r="M4082">
        <v>122</v>
      </c>
      <c r="N4082" s="123">
        <v>17</v>
      </c>
      <c r="O4082">
        <v>2622</v>
      </c>
      <c r="P4082" s="132" t="s">
        <v>77</v>
      </c>
      <c r="Q4082" s="132">
        <v>148.24</v>
      </c>
      <c r="R4082" s="132">
        <v>5.66</v>
      </c>
      <c r="S4082" s="132"/>
      <c r="T4082" s="156"/>
      <c r="U4082" s="132"/>
      <c r="V4082" s="132">
        <v>153.9</v>
      </c>
      <c r="W4082"/>
      <c r="X4082" s="153" t="s">
        <v>3451</v>
      </c>
      <c r="Y4082" s="124" t="s">
        <v>55</v>
      </c>
      <c r="Z4082" s="308">
        <v>230</v>
      </c>
      <c r="AB4082" t="str">
        <f>IF(Table1[[#This Row],[TIPO2]]="costo", VLOOKUP(Table1[[#This Row],[PARTIDA PRESUPUESTAL]],'Cost Report'!G:G,1,0),"Balance")</f>
        <v>3401-042</v>
      </c>
      <c r="AC4082" s="118"/>
      <c r="AD4082" s="159">
        <f>+Table1[[#This Row],[SUBTOTAL]]+Table1[[#This Row],[IVA]]-Table1[[#This Row],[RET IVA]]-Table1[[#This Row],[RET ISR]]-Table1[[#This Row],[TOTAL]]</f>
        <v>0</v>
      </c>
      <c r="AE4082" s="152"/>
      <c r="AF4082" s="153"/>
      <c r="AG4082" s="126" t="s">
        <v>3420</v>
      </c>
      <c r="AK4082" s="306" t="str">
        <f>IF(ISNUMBER(Table1[[#This Row],[FECHA DE RECIBIDO]]), Table1[[#This Row],[FECHA DE RECIBIDO]]-DATE(2023,8,30), "")</f>
        <v/>
      </c>
    </row>
    <row r="4083" spans="1:37" ht="15" customHeight="1">
      <c r="A4083" s="150" t="s">
        <v>4310</v>
      </c>
      <c r="B4083" s="151">
        <v>1292</v>
      </c>
      <c r="C4083" s="126" t="s">
        <v>2774</v>
      </c>
      <c r="D4083">
        <v>689</v>
      </c>
      <c r="E4083" s="126"/>
      <c r="F4083" s="122"/>
      <c r="G4083" s="122"/>
      <c r="H4083"/>
      <c r="I4083" s="122"/>
      <c r="J4083" s="307" t="s">
        <v>214</v>
      </c>
      <c r="K4083" s="127" t="s">
        <v>4212</v>
      </c>
      <c r="L4083" s="151" t="s">
        <v>1579</v>
      </c>
      <c r="M4083">
        <v>586</v>
      </c>
      <c r="N4083" s="123">
        <v>17</v>
      </c>
      <c r="O4083">
        <v>2623</v>
      </c>
      <c r="P4083" s="132" t="s">
        <v>77</v>
      </c>
      <c r="Q4083" s="131">
        <v>30</v>
      </c>
      <c r="R4083" s="131"/>
      <c r="S4083" s="131"/>
      <c r="T4083" s="155"/>
      <c r="U4083" s="131"/>
      <c r="V4083" s="131">
        <v>30</v>
      </c>
      <c r="W4083"/>
      <c r="X4083" s="151" t="s">
        <v>3451</v>
      </c>
      <c r="Y4083" s="135" t="s">
        <v>55</v>
      </c>
      <c r="Z4083" s="307">
        <v>217</v>
      </c>
      <c r="AB4083" t="str">
        <f>IF(Table1[[#This Row],[TIPO2]]="costo", VLOOKUP(Table1[[#This Row],[PARTIDA PRESUPUESTAL]],'Cost Report'!G:G,1,0),"Balance")</f>
        <v>3401-042</v>
      </c>
      <c r="AC4083" s="118"/>
      <c r="AD4083" s="159">
        <f>+Table1[[#This Row],[SUBTOTAL]]+Table1[[#This Row],[IVA]]-Table1[[#This Row],[RET IVA]]-Table1[[#This Row],[RET ISR]]-Table1[[#This Row],[TOTAL]]</f>
        <v>0</v>
      </c>
      <c r="AE4083" s="150"/>
      <c r="AF4083" s="151"/>
      <c r="AG4083" s="126" t="s">
        <v>3420</v>
      </c>
      <c r="AK4083" s="306" t="str">
        <f>IF(ISNUMBER(Table1[[#This Row],[FECHA DE RECIBIDO]]), Table1[[#This Row],[FECHA DE RECIBIDO]]-DATE(2023,8,30), "")</f>
        <v/>
      </c>
    </row>
    <row r="4084" spans="1:37" ht="15" customHeight="1">
      <c r="A4084" s="152" t="s">
        <v>4310</v>
      </c>
      <c r="B4084" s="153">
        <v>1292</v>
      </c>
      <c r="C4084" s="126" t="s">
        <v>2774</v>
      </c>
      <c r="D4084">
        <v>689</v>
      </c>
      <c r="E4084" s="126"/>
      <c r="F4084" s="125"/>
      <c r="G4084" s="125"/>
      <c r="H4084"/>
      <c r="I4084" s="125"/>
      <c r="J4084" s="308" t="s">
        <v>214</v>
      </c>
      <c r="K4084" s="127" t="s">
        <v>4212</v>
      </c>
      <c r="L4084" s="153" t="s">
        <v>1579</v>
      </c>
      <c r="M4084">
        <v>1046</v>
      </c>
      <c r="N4084" s="123">
        <v>17</v>
      </c>
      <c r="O4084">
        <v>2624</v>
      </c>
      <c r="P4084" s="132" t="s">
        <v>77</v>
      </c>
      <c r="Q4084" s="132">
        <v>73.900000000000006</v>
      </c>
      <c r="R4084" s="132"/>
      <c r="S4084" s="132"/>
      <c r="T4084" s="156"/>
      <c r="U4084" s="132"/>
      <c r="V4084" s="132">
        <v>73.900000000000006</v>
      </c>
      <c r="W4084"/>
      <c r="X4084" s="153" t="s">
        <v>3451</v>
      </c>
      <c r="Y4084" s="124" t="s">
        <v>55</v>
      </c>
      <c r="Z4084" s="308">
        <v>219</v>
      </c>
      <c r="AB4084" t="str">
        <f>IF(Table1[[#This Row],[TIPO2]]="costo", VLOOKUP(Table1[[#This Row],[PARTIDA PRESUPUESTAL]],'Cost Report'!G:G,1,0),"Balance")</f>
        <v>3401-042</v>
      </c>
      <c r="AC4084" s="118"/>
      <c r="AD4084" s="159">
        <f>+Table1[[#This Row],[SUBTOTAL]]+Table1[[#This Row],[IVA]]-Table1[[#This Row],[RET IVA]]-Table1[[#This Row],[RET ISR]]-Table1[[#This Row],[TOTAL]]</f>
        <v>0</v>
      </c>
      <c r="AE4084" s="152"/>
      <c r="AF4084" s="153"/>
      <c r="AG4084" s="126" t="s">
        <v>3420</v>
      </c>
      <c r="AK4084" s="306" t="str">
        <f>IF(ISNUMBER(Table1[[#This Row],[FECHA DE RECIBIDO]]), Table1[[#This Row],[FECHA DE RECIBIDO]]-DATE(2023,8,30), "")</f>
        <v/>
      </c>
    </row>
    <row r="4085" spans="1:37" ht="15" customHeight="1">
      <c r="A4085" s="150" t="s">
        <v>4310</v>
      </c>
      <c r="B4085" s="151">
        <v>1292</v>
      </c>
      <c r="C4085" s="126" t="s">
        <v>2774</v>
      </c>
      <c r="D4085">
        <v>689</v>
      </c>
      <c r="E4085" s="126"/>
      <c r="F4085" s="122"/>
      <c r="G4085" s="122"/>
      <c r="H4085"/>
      <c r="I4085" s="122"/>
      <c r="J4085" s="307" t="s">
        <v>214</v>
      </c>
      <c r="K4085" s="127" t="s">
        <v>4212</v>
      </c>
      <c r="L4085" s="151" t="s">
        <v>1579</v>
      </c>
      <c r="M4085">
        <v>1047</v>
      </c>
      <c r="N4085" s="123">
        <v>17</v>
      </c>
      <c r="O4085">
        <v>2625</v>
      </c>
      <c r="P4085" s="132" t="s">
        <v>77</v>
      </c>
      <c r="Q4085" s="131">
        <v>408</v>
      </c>
      <c r="R4085" s="131"/>
      <c r="S4085" s="131"/>
      <c r="T4085" s="155"/>
      <c r="U4085" s="131"/>
      <c r="V4085" s="131">
        <v>408</v>
      </c>
      <c r="W4085"/>
      <c r="X4085" s="151" t="s">
        <v>3451</v>
      </c>
      <c r="Y4085" s="135" t="s">
        <v>55</v>
      </c>
      <c r="Z4085" s="307">
        <v>219</v>
      </c>
      <c r="AB4085" t="str">
        <f>IF(Table1[[#This Row],[TIPO2]]="costo", VLOOKUP(Table1[[#This Row],[PARTIDA PRESUPUESTAL]],'Cost Report'!G:G,1,0),"Balance")</f>
        <v>3401-042</v>
      </c>
      <c r="AC4085" s="118"/>
      <c r="AD4085" s="159">
        <f>+Table1[[#This Row],[SUBTOTAL]]+Table1[[#This Row],[IVA]]-Table1[[#This Row],[RET IVA]]-Table1[[#This Row],[RET ISR]]-Table1[[#This Row],[TOTAL]]</f>
        <v>0</v>
      </c>
      <c r="AE4085" s="150"/>
      <c r="AF4085" s="151"/>
      <c r="AG4085" s="126" t="s">
        <v>3420</v>
      </c>
      <c r="AK4085" s="306" t="str">
        <f>IF(ISNUMBER(Table1[[#This Row],[FECHA DE RECIBIDO]]), Table1[[#This Row],[FECHA DE RECIBIDO]]-DATE(2023,8,30), "")</f>
        <v/>
      </c>
    </row>
    <row r="4086" spans="1:37" ht="15" customHeight="1">
      <c r="A4086" s="152" t="s">
        <v>4310</v>
      </c>
      <c r="B4086" s="153">
        <v>1292</v>
      </c>
      <c r="C4086" s="126" t="s">
        <v>2774</v>
      </c>
      <c r="D4086">
        <v>689</v>
      </c>
      <c r="E4086" s="126"/>
      <c r="F4086" s="125"/>
      <c r="G4086" s="125"/>
      <c r="H4086"/>
      <c r="I4086" s="125"/>
      <c r="J4086" s="308" t="s">
        <v>214</v>
      </c>
      <c r="K4086" s="127" t="s">
        <v>4212</v>
      </c>
      <c r="L4086" s="153" t="s">
        <v>1579</v>
      </c>
      <c r="M4086">
        <v>1046</v>
      </c>
      <c r="N4086" s="123">
        <v>17</v>
      </c>
      <c r="O4086">
        <v>277</v>
      </c>
      <c r="P4086" s="132" t="s">
        <v>77</v>
      </c>
      <c r="Q4086" s="132">
        <v>30.9</v>
      </c>
      <c r="R4086" s="132"/>
      <c r="S4086" s="132"/>
      <c r="T4086" s="156"/>
      <c r="U4086" s="132"/>
      <c r="V4086" s="132">
        <v>30.9</v>
      </c>
      <c r="W4086"/>
      <c r="X4086" s="153" t="s">
        <v>3451</v>
      </c>
      <c r="Y4086" s="124" t="s">
        <v>55</v>
      </c>
      <c r="Z4086" s="308">
        <v>220</v>
      </c>
      <c r="AB4086" t="str">
        <f>IF(Table1[[#This Row],[TIPO2]]="costo", VLOOKUP(Table1[[#This Row],[PARTIDA PRESUPUESTAL]],'Cost Report'!G:G,1,0),"Balance")</f>
        <v>3401-042</v>
      </c>
      <c r="AC4086" s="118"/>
      <c r="AD4086" s="159">
        <f>+Table1[[#This Row],[SUBTOTAL]]+Table1[[#This Row],[IVA]]-Table1[[#This Row],[RET IVA]]-Table1[[#This Row],[RET ISR]]-Table1[[#This Row],[TOTAL]]</f>
        <v>0</v>
      </c>
      <c r="AE4086" s="152"/>
      <c r="AF4086" s="153"/>
      <c r="AG4086" s="126" t="s">
        <v>3420</v>
      </c>
      <c r="AK4086" s="306" t="str">
        <f>IF(ISNUMBER(Table1[[#This Row],[FECHA DE RECIBIDO]]), Table1[[#This Row],[FECHA DE RECIBIDO]]-DATE(2023,8,30), "")</f>
        <v/>
      </c>
    </row>
    <row r="4087" spans="1:37" ht="15" customHeight="1">
      <c r="A4087" s="150" t="s">
        <v>4310</v>
      </c>
      <c r="B4087" s="151">
        <v>1292</v>
      </c>
      <c r="C4087" s="126" t="s">
        <v>2774</v>
      </c>
      <c r="D4087">
        <v>689</v>
      </c>
      <c r="E4087" s="126"/>
      <c r="F4087" s="122"/>
      <c r="G4087" s="122"/>
      <c r="H4087"/>
      <c r="I4087" s="122"/>
      <c r="J4087" s="307" t="s">
        <v>214</v>
      </c>
      <c r="K4087" s="127" t="s">
        <v>4212</v>
      </c>
      <c r="L4087" s="151" t="s">
        <v>1579</v>
      </c>
      <c r="M4087">
        <v>586</v>
      </c>
      <c r="N4087" s="123">
        <v>17</v>
      </c>
      <c r="O4087">
        <v>2623</v>
      </c>
      <c r="P4087" s="132" t="s">
        <v>77</v>
      </c>
      <c r="Q4087" s="131">
        <v>64</v>
      </c>
      <c r="R4087" s="131"/>
      <c r="S4087" s="131"/>
      <c r="T4087" s="155"/>
      <c r="U4087" s="131"/>
      <c r="V4087" s="131">
        <v>64</v>
      </c>
      <c r="W4087"/>
      <c r="X4087" s="151" t="s">
        <v>3451</v>
      </c>
      <c r="Y4087" s="135" t="s">
        <v>55</v>
      </c>
      <c r="Z4087" s="307">
        <v>221</v>
      </c>
      <c r="AB4087" t="str">
        <f>IF(Table1[[#This Row],[TIPO2]]="costo", VLOOKUP(Table1[[#This Row],[PARTIDA PRESUPUESTAL]],'Cost Report'!G:G,1,0),"Balance")</f>
        <v>3401-042</v>
      </c>
      <c r="AC4087" s="118"/>
      <c r="AD4087" s="159">
        <f>+Table1[[#This Row],[SUBTOTAL]]+Table1[[#This Row],[IVA]]-Table1[[#This Row],[RET IVA]]-Table1[[#This Row],[RET ISR]]-Table1[[#This Row],[TOTAL]]</f>
        <v>0</v>
      </c>
      <c r="AE4087" s="150"/>
      <c r="AF4087" s="151"/>
      <c r="AG4087" s="126" t="s">
        <v>3420</v>
      </c>
      <c r="AK4087" s="306" t="str">
        <f>IF(ISNUMBER(Table1[[#This Row],[FECHA DE RECIBIDO]]), Table1[[#This Row],[FECHA DE RECIBIDO]]-DATE(2023,8,30), "")</f>
        <v/>
      </c>
    </row>
    <row r="4088" spans="1:37" ht="15" customHeight="1">
      <c r="A4088" s="152" t="s">
        <v>4310</v>
      </c>
      <c r="B4088" s="153">
        <v>1292</v>
      </c>
      <c r="C4088" s="126" t="s">
        <v>2774</v>
      </c>
      <c r="D4088">
        <v>689</v>
      </c>
      <c r="E4088" s="126"/>
      <c r="F4088" s="125"/>
      <c r="G4088" s="125"/>
      <c r="H4088"/>
      <c r="I4088" s="125"/>
      <c r="J4088" s="308" t="s">
        <v>214</v>
      </c>
      <c r="K4088" s="127" t="s">
        <v>4212</v>
      </c>
      <c r="L4088" s="153" t="s">
        <v>1579</v>
      </c>
      <c r="M4088">
        <v>586</v>
      </c>
      <c r="N4088" s="123">
        <v>17</v>
      </c>
      <c r="O4088">
        <v>2626</v>
      </c>
      <c r="P4088" s="132" t="s">
        <v>77</v>
      </c>
      <c r="Q4088" s="132">
        <v>56</v>
      </c>
      <c r="R4088" s="132"/>
      <c r="S4088" s="132" t="s">
        <v>1576</v>
      </c>
      <c r="T4088" s="156"/>
      <c r="U4088" s="132"/>
      <c r="V4088" s="132">
        <v>56</v>
      </c>
      <c r="W4088"/>
      <c r="X4088" s="153" t="s">
        <v>3451</v>
      </c>
      <c r="Y4088" s="124" t="s">
        <v>55</v>
      </c>
      <c r="Z4088" s="308">
        <v>221</v>
      </c>
      <c r="AB4088" t="str">
        <f>IF(Table1[[#This Row],[TIPO2]]="costo", VLOOKUP(Table1[[#This Row],[PARTIDA PRESUPUESTAL]],'Cost Report'!G:G,1,0),"Balance")</f>
        <v>3401-042</v>
      </c>
      <c r="AC4088" s="118"/>
      <c r="AD4088" s="159">
        <f>+Table1[[#This Row],[SUBTOTAL]]+Table1[[#This Row],[IVA]]-Table1[[#This Row],[RET IVA]]-Table1[[#This Row],[RET ISR]]-Table1[[#This Row],[TOTAL]]</f>
        <v>0</v>
      </c>
      <c r="AE4088" s="152"/>
      <c r="AF4088" s="153"/>
      <c r="AG4088" s="126" t="s">
        <v>3420</v>
      </c>
      <c r="AK4088" s="306" t="str">
        <f>IF(ISNUMBER(Table1[[#This Row],[FECHA DE RECIBIDO]]), Table1[[#This Row],[FECHA DE RECIBIDO]]-DATE(2023,8,30), "")</f>
        <v/>
      </c>
    </row>
    <row r="4089" spans="1:37" ht="15" customHeight="1">
      <c r="A4089" s="150" t="s">
        <v>4310</v>
      </c>
      <c r="B4089" s="151">
        <v>1292</v>
      </c>
      <c r="C4089" s="126" t="s">
        <v>2774</v>
      </c>
      <c r="D4089">
        <v>689</v>
      </c>
      <c r="E4089" s="126"/>
      <c r="F4089" s="122"/>
      <c r="G4089" s="122"/>
      <c r="H4089"/>
      <c r="I4089" s="122"/>
      <c r="J4089" s="307" t="s">
        <v>214</v>
      </c>
      <c r="K4089" s="127" t="s">
        <v>4212</v>
      </c>
      <c r="L4089" s="151" t="s">
        <v>1579</v>
      </c>
      <c r="M4089">
        <v>1048</v>
      </c>
      <c r="N4089" s="123">
        <v>17</v>
      </c>
      <c r="O4089">
        <v>2627</v>
      </c>
      <c r="P4089" s="132" t="s">
        <v>77</v>
      </c>
      <c r="Q4089" s="131">
        <v>60</v>
      </c>
      <c r="R4089" s="131"/>
      <c r="S4089" s="131"/>
      <c r="T4089" s="155"/>
      <c r="U4089" s="131"/>
      <c r="V4089" s="131">
        <v>60</v>
      </c>
      <c r="W4089"/>
      <c r="X4089" s="151" t="s">
        <v>3451</v>
      </c>
      <c r="Y4089" s="135" t="s">
        <v>55</v>
      </c>
      <c r="Z4089" s="307">
        <v>222</v>
      </c>
      <c r="AB4089" t="str">
        <f>IF(Table1[[#This Row],[TIPO2]]="costo", VLOOKUP(Table1[[#This Row],[PARTIDA PRESUPUESTAL]],'Cost Report'!G:G,1,0),"Balance")</f>
        <v>3401-042</v>
      </c>
      <c r="AC4089" s="118"/>
      <c r="AD4089" s="159">
        <f>+Table1[[#This Row],[SUBTOTAL]]+Table1[[#This Row],[IVA]]-Table1[[#This Row],[RET IVA]]-Table1[[#This Row],[RET ISR]]-Table1[[#This Row],[TOTAL]]</f>
        <v>0</v>
      </c>
      <c r="AE4089" s="150"/>
      <c r="AF4089" s="151"/>
      <c r="AG4089" s="126" t="s">
        <v>3420</v>
      </c>
      <c r="AK4089" s="306" t="str">
        <f>IF(ISNUMBER(Table1[[#This Row],[FECHA DE RECIBIDO]]), Table1[[#This Row],[FECHA DE RECIBIDO]]-DATE(2023,8,30), "")</f>
        <v/>
      </c>
    </row>
    <row r="4090" spans="1:37" ht="15" customHeight="1">
      <c r="A4090" s="152" t="s">
        <v>4310</v>
      </c>
      <c r="B4090" s="153">
        <v>1292</v>
      </c>
      <c r="C4090" s="126" t="s">
        <v>2774</v>
      </c>
      <c r="D4090">
        <v>689</v>
      </c>
      <c r="E4090" s="126"/>
      <c r="F4090" s="125"/>
      <c r="G4090" s="125"/>
      <c r="H4090"/>
      <c r="I4090" s="125"/>
      <c r="J4090" s="308" t="s">
        <v>214</v>
      </c>
      <c r="K4090" s="127" t="s">
        <v>4212</v>
      </c>
      <c r="L4090" s="153" t="s">
        <v>1579</v>
      </c>
      <c r="M4090">
        <v>1049</v>
      </c>
      <c r="N4090" s="123">
        <v>17</v>
      </c>
      <c r="O4090">
        <v>2628</v>
      </c>
      <c r="P4090" s="132" t="s">
        <v>77</v>
      </c>
      <c r="Q4090" s="132">
        <v>35</v>
      </c>
      <c r="R4090" s="132"/>
      <c r="S4090" s="132"/>
      <c r="T4090" s="156"/>
      <c r="U4090" s="132"/>
      <c r="V4090" s="132">
        <v>35</v>
      </c>
      <c r="W4090"/>
      <c r="X4090" s="153" t="s">
        <v>3451</v>
      </c>
      <c r="Y4090" s="124" t="s">
        <v>55</v>
      </c>
      <c r="Z4090" s="308">
        <v>223</v>
      </c>
      <c r="AB4090" t="str">
        <f>IF(Table1[[#This Row],[TIPO2]]="costo", VLOOKUP(Table1[[#This Row],[PARTIDA PRESUPUESTAL]],'Cost Report'!G:G,1,0),"Balance")</f>
        <v>3401-042</v>
      </c>
      <c r="AC4090" s="118"/>
      <c r="AD4090" s="159">
        <f>+Table1[[#This Row],[SUBTOTAL]]+Table1[[#This Row],[IVA]]-Table1[[#This Row],[RET IVA]]-Table1[[#This Row],[RET ISR]]-Table1[[#This Row],[TOTAL]]</f>
        <v>0</v>
      </c>
      <c r="AE4090" s="152"/>
      <c r="AF4090" s="153"/>
      <c r="AG4090" s="126" t="s">
        <v>3420</v>
      </c>
      <c r="AK4090" s="306" t="str">
        <f>IF(ISNUMBER(Table1[[#This Row],[FECHA DE RECIBIDO]]), Table1[[#This Row],[FECHA DE RECIBIDO]]-DATE(2023,8,30), "")</f>
        <v/>
      </c>
    </row>
    <row r="4091" spans="1:37" ht="15" customHeight="1">
      <c r="A4091" s="150" t="s">
        <v>4310</v>
      </c>
      <c r="B4091" s="151">
        <v>1292</v>
      </c>
      <c r="C4091" s="126" t="s">
        <v>2829</v>
      </c>
      <c r="D4091">
        <v>689</v>
      </c>
      <c r="E4091" s="126"/>
      <c r="F4091" s="122"/>
      <c r="G4091" s="122"/>
      <c r="H4091"/>
      <c r="I4091" s="122"/>
      <c r="J4091" s="307" t="s">
        <v>214</v>
      </c>
      <c r="K4091" s="127" t="s">
        <v>4212</v>
      </c>
      <c r="L4091" s="151" t="s">
        <v>1579</v>
      </c>
      <c r="M4091">
        <v>1050</v>
      </c>
      <c r="N4091" s="123">
        <v>17</v>
      </c>
      <c r="O4091">
        <v>2629</v>
      </c>
      <c r="P4091" s="132" t="s">
        <v>77</v>
      </c>
      <c r="Q4091" s="131">
        <v>1800</v>
      </c>
      <c r="R4091" s="131"/>
      <c r="S4091" s="131"/>
      <c r="T4091" s="155"/>
      <c r="U4091" s="131"/>
      <c r="V4091" s="131">
        <v>1800</v>
      </c>
      <c r="W4091"/>
      <c r="X4091" s="151" t="s">
        <v>3451</v>
      </c>
      <c r="Y4091" s="135" t="s">
        <v>55</v>
      </c>
      <c r="Z4091" s="307">
        <v>223</v>
      </c>
      <c r="AA4091" t="s">
        <v>4316</v>
      </c>
      <c r="AB4091" t="str">
        <f>IF(Table1[[#This Row],[TIPO2]]="costo", VLOOKUP(Table1[[#This Row],[PARTIDA PRESUPUESTAL]],'Cost Report'!G:G,1,0),"Balance")</f>
        <v>3412-138</v>
      </c>
      <c r="AC4091" s="118"/>
      <c r="AD4091" s="159">
        <f>+Table1[[#This Row],[SUBTOTAL]]+Table1[[#This Row],[IVA]]-Table1[[#This Row],[RET IVA]]-Table1[[#This Row],[RET ISR]]-Table1[[#This Row],[TOTAL]]</f>
        <v>0</v>
      </c>
      <c r="AE4091" s="150"/>
      <c r="AF4091" s="151"/>
      <c r="AG4091" s="126" t="s">
        <v>3420</v>
      </c>
      <c r="AK4091" s="306" t="str">
        <f>IF(ISNUMBER(Table1[[#This Row],[FECHA DE RECIBIDO]]), Table1[[#This Row],[FECHA DE RECIBIDO]]-DATE(2023,8,30), "")</f>
        <v/>
      </c>
    </row>
    <row r="4092" spans="1:37" ht="15" customHeight="1">
      <c r="A4092" s="152" t="s">
        <v>4312</v>
      </c>
      <c r="B4092" s="153">
        <v>1293</v>
      </c>
      <c r="C4092" s="126" t="s">
        <v>2774</v>
      </c>
      <c r="D4092">
        <v>2760</v>
      </c>
      <c r="E4092" s="126" t="s">
        <v>3356</v>
      </c>
      <c r="F4092" s="125" t="s">
        <v>1607</v>
      </c>
      <c r="G4092" s="125" t="s">
        <v>134</v>
      </c>
      <c r="H4092">
        <v>91</v>
      </c>
      <c r="I4092" s="125" t="s">
        <v>1546</v>
      </c>
      <c r="J4092" s="308" t="s">
        <v>214</v>
      </c>
      <c r="K4092" s="127" t="s">
        <v>4212</v>
      </c>
      <c r="L4092" s="153" t="s">
        <v>1579</v>
      </c>
      <c r="M4092">
        <v>122</v>
      </c>
      <c r="N4092" s="123">
        <v>17</v>
      </c>
      <c r="O4092">
        <v>2630</v>
      </c>
      <c r="P4092" s="132" t="s">
        <v>77</v>
      </c>
      <c r="Q4092" s="132">
        <v>143.96</v>
      </c>
      <c r="R4092" s="132">
        <v>23.04</v>
      </c>
      <c r="S4092" s="132"/>
      <c r="T4092" s="156"/>
      <c r="U4092" s="132"/>
      <c r="V4092" s="132">
        <v>167</v>
      </c>
      <c r="W4092"/>
      <c r="X4092" s="153" t="s">
        <v>3451</v>
      </c>
      <c r="Y4092" s="124" t="s">
        <v>55</v>
      </c>
      <c r="Z4092" s="308">
        <v>230</v>
      </c>
      <c r="AB4092" t="str">
        <f>IF(Table1[[#This Row],[TIPO2]]="costo", VLOOKUP(Table1[[#This Row],[PARTIDA PRESUPUESTAL]],'Cost Report'!G:G,1,0),"Balance")</f>
        <v>3401-042</v>
      </c>
      <c r="AC4092" s="118"/>
      <c r="AD4092" s="159">
        <f>+Table1[[#This Row],[SUBTOTAL]]+Table1[[#This Row],[IVA]]-Table1[[#This Row],[RET IVA]]-Table1[[#This Row],[RET ISR]]-Table1[[#This Row],[TOTAL]]</f>
        <v>0</v>
      </c>
      <c r="AE4092" s="152"/>
      <c r="AF4092" s="153"/>
      <c r="AG4092" s="126" t="s">
        <v>3420</v>
      </c>
      <c r="AK4092" s="306" t="str">
        <f>IF(ISNUMBER(Table1[[#This Row],[FECHA DE RECIBIDO]]), Table1[[#This Row],[FECHA DE RECIBIDO]]-DATE(2023,8,30), "")</f>
        <v/>
      </c>
    </row>
    <row r="4093" spans="1:37" ht="15" customHeight="1">
      <c r="A4093" s="150" t="s">
        <v>4312</v>
      </c>
      <c r="B4093" s="151">
        <v>1293</v>
      </c>
      <c r="C4093" s="126" t="s">
        <v>2774</v>
      </c>
      <c r="D4093">
        <v>2761</v>
      </c>
      <c r="E4093" s="126" t="s">
        <v>3356</v>
      </c>
      <c r="F4093" s="122" t="s">
        <v>1607</v>
      </c>
      <c r="G4093" s="122" t="s">
        <v>134</v>
      </c>
      <c r="H4093">
        <v>91</v>
      </c>
      <c r="I4093" s="122" t="s">
        <v>1546</v>
      </c>
      <c r="J4093" s="307" t="s">
        <v>214</v>
      </c>
      <c r="K4093" s="127" t="s">
        <v>4212</v>
      </c>
      <c r="L4093" s="151" t="s">
        <v>1579</v>
      </c>
      <c r="M4093">
        <v>122</v>
      </c>
      <c r="N4093" s="123">
        <v>17</v>
      </c>
      <c r="O4093">
        <v>283</v>
      </c>
      <c r="P4093" s="132" t="s">
        <v>77</v>
      </c>
      <c r="Q4093" s="131">
        <v>82.82</v>
      </c>
      <c r="R4093" s="131">
        <v>5.98</v>
      </c>
      <c r="S4093" s="131"/>
      <c r="T4093" s="155"/>
      <c r="U4093" s="131"/>
      <c r="V4093" s="131">
        <v>88.8</v>
      </c>
      <c r="W4093"/>
      <c r="X4093" s="151" t="s">
        <v>3451</v>
      </c>
      <c r="Y4093" s="135" t="s">
        <v>55</v>
      </c>
      <c r="Z4093" s="307">
        <v>230</v>
      </c>
      <c r="AB4093" t="str">
        <f>IF(Table1[[#This Row],[TIPO2]]="costo", VLOOKUP(Table1[[#This Row],[PARTIDA PRESUPUESTAL]],'Cost Report'!G:G,1,0),"Balance")</f>
        <v>3401-042</v>
      </c>
      <c r="AC4093" s="118"/>
      <c r="AD4093" s="159">
        <f>+Table1[[#This Row],[SUBTOTAL]]+Table1[[#This Row],[IVA]]-Table1[[#This Row],[RET IVA]]-Table1[[#This Row],[RET ISR]]-Table1[[#This Row],[TOTAL]]</f>
        <v>0</v>
      </c>
      <c r="AE4093" s="150"/>
      <c r="AF4093" s="151"/>
      <c r="AG4093" s="126" t="s">
        <v>3420</v>
      </c>
      <c r="AK4093" s="306" t="str">
        <f>IF(ISNUMBER(Table1[[#This Row],[FECHA DE RECIBIDO]]), Table1[[#This Row],[FECHA DE RECIBIDO]]-DATE(2023,8,30), "")</f>
        <v/>
      </c>
    </row>
    <row r="4094" spans="1:37" ht="15" customHeight="1">
      <c r="A4094" s="152" t="s">
        <v>4312</v>
      </c>
      <c r="B4094" s="153">
        <v>1293</v>
      </c>
      <c r="C4094" s="126" t="s">
        <v>2774</v>
      </c>
      <c r="D4094">
        <v>2762</v>
      </c>
      <c r="E4094" s="126" t="s">
        <v>3356</v>
      </c>
      <c r="F4094" s="125" t="s">
        <v>1607</v>
      </c>
      <c r="G4094" s="125" t="s">
        <v>134</v>
      </c>
      <c r="H4094">
        <v>750</v>
      </c>
      <c r="I4094" s="125" t="s">
        <v>1546</v>
      </c>
      <c r="J4094" s="308" t="s">
        <v>214</v>
      </c>
      <c r="K4094" s="127" t="s">
        <v>4212</v>
      </c>
      <c r="L4094" s="153" t="s">
        <v>1579</v>
      </c>
      <c r="M4094">
        <v>1051</v>
      </c>
      <c r="N4094" s="123">
        <v>17</v>
      </c>
      <c r="O4094">
        <v>279</v>
      </c>
      <c r="P4094" s="132" t="s">
        <v>77</v>
      </c>
      <c r="Q4094" s="132">
        <v>214.66</v>
      </c>
      <c r="R4094" s="132">
        <v>34.35</v>
      </c>
      <c r="S4094" s="132"/>
      <c r="T4094" s="156"/>
      <c r="U4094" s="132"/>
      <c r="V4094" s="132">
        <v>249.01</v>
      </c>
      <c r="W4094"/>
      <c r="X4094" s="153" t="s">
        <v>3451</v>
      </c>
      <c r="Y4094" s="124" t="s">
        <v>55</v>
      </c>
      <c r="Z4094" s="308">
        <v>230</v>
      </c>
      <c r="AB4094" t="str">
        <f>IF(Table1[[#This Row],[TIPO2]]="costo", VLOOKUP(Table1[[#This Row],[PARTIDA PRESUPUESTAL]],'Cost Report'!G:G,1,0),"Balance")</f>
        <v>3401-042</v>
      </c>
      <c r="AC4094" s="118"/>
      <c r="AD4094" s="159">
        <f>+Table1[[#This Row],[SUBTOTAL]]+Table1[[#This Row],[IVA]]-Table1[[#This Row],[RET IVA]]-Table1[[#This Row],[RET ISR]]-Table1[[#This Row],[TOTAL]]</f>
        <v>0</v>
      </c>
      <c r="AE4094" s="152"/>
      <c r="AF4094" s="153"/>
      <c r="AG4094" s="126" t="s">
        <v>3420</v>
      </c>
      <c r="AK4094" s="306" t="str">
        <f>IF(ISNUMBER(Table1[[#This Row],[FECHA DE RECIBIDO]]), Table1[[#This Row],[FECHA DE RECIBIDO]]-DATE(2023,8,30), "")</f>
        <v/>
      </c>
    </row>
    <row r="4095" spans="1:37" ht="15" customHeight="1">
      <c r="A4095" s="150" t="s">
        <v>4312</v>
      </c>
      <c r="B4095" s="151">
        <v>1293</v>
      </c>
      <c r="C4095" s="126" t="s">
        <v>2774</v>
      </c>
      <c r="D4095">
        <v>2763</v>
      </c>
      <c r="E4095" s="126" t="s">
        <v>1993</v>
      </c>
      <c r="F4095" s="122" t="s">
        <v>1607</v>
      </c>
      <c r="G4095" s="122" t="s">
        <v>134</v>
      </c>
      <c r="H4095">
        <v>32</v>
      </c>
      <c r="I4095" s="122" t="s">
        <v>1546</v>
      </c>
      <c r="J4095" s="307" t="s">
        <v>214</v>
      </c>
      <c r="K4095" s="127" t="s">
        <v>4212</v>
      </c>
      <c r="L4095" s="151" t="s">
        <v>1579</v>
      </c>
      <c r="M4095">
        <v>120</v>
      </c>
      <c r="N4095" s="123">
        <v>17</v>
      </c>
      <c r="O4095">
        <v>2631</v>
      </c>
      <c r="P4095" s="132" t="s">
        <v>77</v>
      </c>
      <c r="Q4095" s="131">
        <v>162.07</v>
      </c>
      <c r="R4095" s="131">
        <v>25.93</v>
      </c>
      <c r="S4095" s="131"/>
      <c r="T4095" s="155"/>
      <c r="U4095" s="131"/>
      <c r="V4095" s="131">
        <v>188</v>
      </c>
      <c r="W4095"/>
      <c r="X4095" s="151" t="s">
        <v>3451</v>
      </c>
      <c r="Y4095" s="135" t="s">
        <v>55</v>
      </c>
      <c r="Z4095" s="307">
        <v>230</v>
      </c>
      <c r="AB4095" t="str">
        <f>IF(Table1[[#This Row],[TIPO2]]="costo", VLOOKUP(Table1[[#This Row],[PARTIDA PRESUPUESTAL]],'Cost Report'!G:G,1,0),"Balance")</f>
        <v>3401-042</v>
      </c>
      <c r="AC4095" s="118"/>
      <c r="AD4095" s="159">
        <f>+Table1[[#This Row],[SUBTOTAL]]+Table1[[#This Row],[IVA]]-Table1[[#This Row],[RET IVA]]-Table1[[#This Row],[RET ISR]]-Table1[[#This Row],[TOTAL]]</f>
        <v>0</v>
      </c>
      <c r="AE4095" s="150"/>
      <c r="AF4095" s="151"/>
      <c r="AG4095" s="126" t="s">
        <v>3420</v>
      </c>
      <c r="AK4095" s="306" t="str">
        <f>IF(ISNUMBER(Table1[[#This Row],[FECHA DE RECIBIDO]]), Table1[[#This Row],[FECHA DE RECIBIDO]]-DATE(2023,8,30), "")</f>
        <v/>
      </c>
    </row>
    <row r="4096" spans="1:37" ht="15" customHeight="1">
      <c r="A4096" s="152" t="s">
        <v>4312</v>
      </c>
      <c r="B4096" s="153">
        <v>1293</v>
      </c>
      <c r="C4096" s="126" t="s">
        <v>2774</v>
      </c>
      <c r="D4096">
        <v>2764</v>
      </c>
      <c r="E4096" s="126" t="s">
        <v>1611</v>
      </c>
      <c r="F4096" s="125" t="s">
        <v>1607</v>
      </c>
      <c r="G4096" s="125" t="s">
        <v>134</v>
      </c>
      <c r="H4096">
        <v>32</v>
      </c>
      <c r="I4096" s="125" t="s">
        <v>1546</v>
      </c>
      <c r="J4096" s="308" t="s">
        <v>214</v>
      </c>
      <c r="K4096" s="127" t="s">
        <v>4212</v>
      </c>
      <c r="L4096" s="153" t="s">
        <v>1579</v>
      </c>
      <c r="M4096">
        <v>120</v>
      </c>
      <c r="N4096" s="123">
        <v>17</v>
      </c>
      <c r="O4096">
        <v>2632</v>
      </c>
      <c r="P4096" s="132" t="s">
        <v>77</v>
      </c>
      <c r="Q4096" s="132">
        <v>109.48</v>
      </c>
      <c r="R4096" s="132">
        <v>17.52</v>
      </c>
      <c r="S4096" s="132"/>
      <c r="T4096" s="156"/>
      <c r="U4096" s="132"/>
      <c r="V4096" s="132">
        <v>127</v>
      </c>
      <c r="W4096"/>
      <c r="X4096" s="153" t="s">
        <v>3451</v>
      </c>
      <c r="Y4096" s="124" t="s">
        <v>55</v>
      </c>
      <c r="Z4096" s="308">
        <v>230</v>
      </c>
      <c r="AB4096" t="str">
        <f>IF(Table1[[#This Row],[TIPO2]]="costo", VLOOKUP(Table1[[#This Row],[PARTIDA PRESUPUESTAL]],'Cost Report'!G:G,1,0),"Balance")</f>
        <v>3401-042</v>
      </c>
      <c r="AC4096" s="118"/>
      <c r="AD4096" s="159">
        <f>+Table1[[#This Row],[SUBTOTAL]]+Table1[[#This Row],[IVA]]-Table1[[#This Row],[RET IVA]]-Table1[[#This Row],[RET ISR]]-Table1[[#This Row],[TOTAL]]</f>
        <v>0</v>
      </c>
      <c r="AE4096" s="152"/>
      <c r="AF4096" s="153"/>
      <c r="AG4096" s="126" t="s">
        <v>3420</v>
      </c>
      <c r="AK4096" s="306" t="str">
        <f>IF(ISNUMBER(Table1[[#This Row],[FECHA DE RECIBIDO]]), Table1[[#This Row],[FECHA DE RECIBIDO]]-DATE(2023,8,30), "")</f>
        <v/>
      </c>
    </row>
    <row r="4097" spans="1:37" ht="15" customHeight="1">
      <c r="A4097" s="150" t="s">
        <v>4312</v>
      </c>
      <c r="B4097" s="151">
        <v>1293</v>
      </c>
      <c r="C4097" s="126" t="s">
        <v>2774</v>
      </c>
      <c r="D4097">
        <v>2765</v>
      </c>
      <c r="E4097" s="126" t="s">
        <v>1609</v>
      </c>
      <c r="F4097" s="122" t="s">
        <v>1607</v>
      </c>
      <c r="G4097" s="122" t="s">
        <v>134</v>
      </c>
      <c r="H4097">
        <v>32</v>
      </c>
      <c r="I4097" s="122" t="s">
        <v>1546</v>
      </c>
      <c r="J4097" s="307" t="s">
        <v>214</v>
      </c>
      <c r="K4097" s="127" t="s">
        <v>4212</v>
      </c>
      <c r="L4097" s="151" t="s">
        <v>1579</v>
      </c>
      <c r="M4097">
        <v>120</v>
      </c>
      <c r="N4097" s="123">
        <v>17</v>
      </c>
      <c r="O4097">
        <v>2633</v>
      </c>
      <c r="P4097" s="132" t="s">
        <v>77</v>
      </c>
      <c r="Q4097" s="131">
        <v>192.24</v>
      </c>
      <c r="R4097" s="131">
        <v>30.76</v>
      </c>
      <c r="S4097" s="131"/>
      <c r="T4097" s="155"/>
      <c r="U4097" s="131"/>
      <c r="V4097" s="131">
        <v>223</v>
      </c>
      <c r="W4097"/>
      <c r="X4097" s="151" t="s">
        <v>3451</v>
      </c>
      <c r="Y4097" s="135" t="s">
        <v>55</v>
      </c>
      <c r="Z4097" s="307">
        <v>230</v>
      </c>
      <c r="AB4097" t="str">
        <f>IF(Table1[[#This Row],[TIPO2]]="costo", VLOOKUP(Table1[[#This Row],[PARTIDA PRESUPUESTAL]],'Cost Report'!G:G,1,0),"Balance")</f>
        <v>3401-042</v>
      </c>
      <c r="AC4097" s="118"/>
      <c r="AD4097" s="159">
        <f>+Table1[[#This Row],[SUBTOTAL]]+Table1[[#This Row],[IVA]]-Table1[[#This Row],[RET IVA]]-Table1[[#This Row],[RET ISR]]-Table1[[#This Row],[TOTAL]]</f>
        <v>0</v>
      </c>
      <c r="AE4097" s="150"/>
      <c r="AF4097" s="151"/>
      <c r="AG4097" s="126" t="s">
        <v>3420</v>
      </c>
      <c r="AK4097" s="306" t="str">
        <f>IF(ISNUMBER(Table1[[#This Row],[FECHA DE RECIBIDO]]), Table1[[#This Row],[FECHA DE RECIBIDO]]-DATE(2023,8,30), "")</f>
        <v/>
      </c>
    </row>
    <row r="4098" spans="1:37" ht="15" customHeight="1">
      <c r="A4098" s="152" t="s">
        <v>4312</v>
      </c>
      <c r="B4098" s="153">
        <v>1293</v>
      </c>
      <c r="C4098" s="126" t="s">
        <v>2774</v>
      </c>
      <c r="D4098">
        <v>2766</v>
      </c>
      <c r="E4098" s="126" t="s">
        <v>1611</v>
      </c>
      <c r="F4098" s="125" t="s">
        <v>1607</v>
      </c>
      <c r="G4098" s="125" t="s">
        <v>134</v>
      </c>
      <c r="H4098">
        <v>32</v>
      </c>
      <c r="I4098" s="125" t="s">
        <v>1546</v>
      </c>
      <c r="J4098" s="308" t="s">
        <v>214</v>
      </c>
      <c r="K4098" s="127" t="s">
        <v>4212</v>
      </c>
      <c r="L4098" s="153" t="s">
        <v>1579</v>
      </c>
      <c r="M4098">
        <v>120</v>
      </c>
      <c r="N4098" s="123">
        <v>17</v>
      </c>
      <c r="O4098">
        <v>2634</v>
      </c>
      <c r="P4098" s="132" t="s">
        <v>77</v>
      </c>
      <c r="Q4098" s="132">
        <v>205.17</v>
      </c>
      <c r="R4098" s="132">
        <v>32.83</v>
      </c>
      <c r="S4098" s="132"/>
      <c r="T4098" s="156"/>
      <c r="U4098" s="132"/>
      <c r="V4098" s="132">
        <v>238</v>
      </c>
      <c r="W4098"/>
      <c r="X4098" s="153" t="s">
        <v>3451</v>
      </c>
      <c r="Y4098" s="124" t="s">
        <v>55</v>
      </c>
      <c r="Z4098" s="308">
        <v>230</v>
      </c>
      <c r="AB4098" t="str">
        <f>IF(Table1[[#This Row],[TIPO2]]="costo", VLOOKUP(Table1[[#This Row],[PARTIDA PRESUPUESTAL]],'Cost Report'!G:G,1,0),"Balance")</f>
        <v>3401-042</v>
      </c>
      <c r="AC4098" s="118"/>
      <c r="AD4098" s="159">
        <f>+Table1[[#This Row],[SUBTOTAL]]+Table1[[#This Row],[IVA]]-Table1[[#This Row],[RET IVA]]-Table1[[#This Row],[RET ISR]]-Table1[[#This Row],[TOTAL]]</f>
        <v>0</v>
      </c>
      <c r="AE4098" s="152"/>
      <c r="AF4098" s="153"/>
      <c r="AG4098" s="126" t="s">
        <v>3420</v>
      </c>
      <c r="AK4098" s="306" t="str">
        <f>IF(ISNUMBER(Table1[[#This Row],[FECHA DE RECIBIDO]]), Table1[[#This Row],[FECHA DE RECIBIDO]]-DATE(2023,8,30), "")</f>
        <v/>
      </c>
    </row>
    <row r="4099" spans="1:37" ht="15" customHeight="1">
      <c r="A4099" s="150" t="s">
        <v>4312</v>
      </c>
      <c r="B4099" s="151">
        <v>1293</v>
      </c>
      <c r="C4099" s="126" t="s">
        <v>1181</v>
      </c>
      <c r="D4099">
        <v>2767</v>
      </c>
      <c r="E4099" s="126" t="s">
        <v>4313</v>
      </c>
      <c r="F4099" s="122" t="s">
        <v>1384</v>
      </c>
      <c r="G4099" s="122" t="s">
        <v>1625</v>
      </c>
      <c r="H4099">
        <v>751</v>
      </c>
      <c r="I4099" s="122" t="s">
        <v>1546</v>
      </c>
      <c r="J4099" s="307" t="s">
        <v>214</v>
      </c>
      <c r="K4099" s="127" t="s">
        <v>4212</v>
      </c>
      <c r="L4099" s="151" t="s">
        <v>1579</v>
      </c>
      <c r="M4099">
        <v>1052</v>
      </c>
      <c r="N4099" s="123">
        <v>17</v>
      </c>
      <c r="O4099">
        <v>2635</v>
      </c>
      <c r="P4099" s="132" t="s">
        <v>77</v>
      </c>
      <c r="Q4099" s="131">
        <v>63.1</v>
      </c>
      <c r="R4099" s="131">
        <v>10.1</v>
      </c>
      <c r="S4099" s="131"/>
      <c r="T4099" s="155"/>
      <c r="U4099" s="131"/>
      <c r="V4099" s="131">
        <v>73.2</v>
      </c>
      <c r="W4099"/>
      <c r="X4099" s="151" t="s">
        <v>3451</v>
      </c>
      <c r="Y4099" s="135" t="s">
        <v>55</v>
      </c>
      <c r="Z4099" s="307">
        <v>231</v>
      </c>
      <c r="AB4099" t="str">
        <f>IF(Table1[[#This Row],[TIPO2]]="costo", VLOOKUP(Table1[[#This Row],[PARTIDA PRESUPUESTAL]],'Cost Report'!G:G,1,0),"Balance")</f>
        <v>3904-003</v>
      </c>
      <c r="AC4099" s="118"/>
      <c r="AD4099" s="159">
        <f>+Table1[[#This Row],[SUBTOTAL]]+Table1[[#This Row],[IVA]]-Table1[[#This Row],[RET IVA]]-Table1[[#This Row],[RET ISR]]-Table1[[#This Row],[TOTAL]]</f>
        <v>0</v>
      </c>
      <c r="AE4099" s="150"/>
      <c r="AF4099" s="151"/>
      <c r="AG4099" s="126" t="s">
        <v>3420</v>
      </c>
      <c r="AK4099" s="306" t="str">
        <f>IF(ISNUMBER(Table1[[#This Row],[FECHA DE RECIBIDO]]), Table1[[#This Row],[FECHA DE RECIBIDO]]-DATE(2023,8,30), "")</f>
        <v/>
      </c>
    </row>
    <row r="4100" spans="1:37" ht="15" customHeight="1">
      <c r="A4100" s="152" t="s">
        <v>4312</v>
      </c>
      <c r="B4100" s="153">
        <v>1293</v>
      </c>
      <c r="C4100" s="126" t="s">
        <v>1181</v>
      </c>
      <c r="D4100">
        <v>2768</v>
      </c>
      <c r="E4100" s="126" t="s">
        <v>1895</v>
      </c>
      <c r="F4100" s="125" t="s">
        <v>1607</v>
      </c>
      <c r="G4100" s="125" t="s">
        <v>134</v>
      </c>
      <c r="H4100">
        <v>635</v>
      </c>
      <c r="I4100" s="125" t="s">
        <v>1546</v>
      </c>
      <c r="J4100" s="308" t="s">
        <v>214</v>
      </c>
      <c r="K4100" s="127" t="s">
        <v>4212</v>
      </c>
      <c r="L4100" s="153" t="s">
        <v>1579</v>
      </c>
      <c r="M4100">
        <v>901</v>
      </c>
      <c r="N4100" s="123">
        <v>17</v>
      </c>
      <c r="O4100">
        <v>2636</v>
      </c>
      <c r="P4100" s="132" t="s">
        <v>77</v>
      </c>
      <c r="Q4100" s="132">
        <v>60.36</v>
      </c>
      <c r="R4100" s="132">
        <v>9.66</v>
      </c>
      <c r="S4100" s="132"/>
      <c r="T4100" s="156"/>
      <c r="U4100" s="132"/>
      <c r="V4100" s="132">
        <v>70.02</v>
      </c>
      <c r="W4100"/>
      <c r="X4100" s="153" t="s">
        <v>3451</v>
      </c>
      <c r="Y4100" s="124" t="s">
        <v>55</v>
      </c>
      <c r="Z4100" s="308">
        <v>231</v>
      </c>
      <c r="AB4100" t="str">
        <f>IF(Table1[[#This Row],[TIPO2]]="costo", VLOOKUP(Table1[[#This Row],[PARTIDA PRESUPUESTAL]],'Cost Report'!G:G,1,0),"Balance")</f>
        <v>3904-003</v>
      </c>
      <c r="AC4100" s="118"/>
      <c r="AD4100" s="159">
        <f>+Table1[[#This Row],[SUBTOTAL]]+Table1[[#This Row],[IVA]]-Table1[[#This Row],[RET IVA]]-Table1[[#This Row],[RET ISR]]-Table1[[#This Row],[TOTAL]]</f>
        <v>0</v>
      </c>
      <c r="AE4100" s="152"/>
      <c r="AF4100" s="153"/>
      <c r="AG4100" s="126" t="s">
        <v>3420</v>
      </c>
      <c r="AK4100" s="306" t="str">
        <f>IF(ISNUMBER(Table1[[#This Row],[FECHA DE RECIBIDO]]), Table1[[#This Row],[FECHA DE RECIBIDO]]-DATE(2023,8,30), "")</f>
        <v/>
      </c>
    </row>
    <row r="4101" spans="1:37" ht="15" customHeight="1">
      <c r="A4101" s="150" t="s">
        <v>4312</v>
      </c>
      <c r="B4101" s="151">
        <v>1293</v>
      </c>
      <c r="C4101" s="126" t="s">
        <v>2829</v>
      </c>
      <c r="D4101">
        <v>2769</v>
      </c>
      <c r="E4101" s="126" t="s">
        <v>1596</v>
      </c>
      <c r="F4101" s="122" t="s">
        <v>1371</v>
      </c>
      <c r="G4101" s="122" t="s">
        <v>2065</v>
      </c>
      <c r="H4101">
        <v>435</v>
      </c>
      <c r="I4101" s="122" t="s">
        <v>1546</v>
      </c>
      <c r="J4101" s="307" t="s">
        <v>214</v>
      </c>
      <c r="K4101" s="127" t="s">
        <v>4212</v>
      </c>
      <c r="L4101" s="151" t="s">
        <v>1579</v>
      </c>
      <c r="M4101">
        <v>579</v>
      </c>
      <c r="N4101" s="123">
        <v>17</v>
      </c>
      <c r="O4101">
        <v>2637</v>
      </c>
      <c r="P4101" s="132" t="s">
        <v>77</v>
      </c>
      <c r="Q4101" s="131">
        <v>1422.41</v>
      </c>
      <c r="R4101" s="131">
        <v>227.59</v>
      </c>
      <c r="S4101" s="131"/>
      <c r="T4101" s="155"/>
      <c r="U4101" s="131"/>
      <c r="V4101" s="131">
        <v>1650</v>
      </c>
      <c r="W4101"/>
      <c r="X4101" s="151" t="s">
        <v>3451</v>
      </c>
      <c r="Y4101" s="135" t="s">
        <v>55</v>
      </c>
      <c r="Z4101" s="307">
        <v>231</v>
      </c>
      <c r="AB4101" t="str">
        <f>IF(Table1[[#This Row],[TIPO2]]="costo", VLOOKUP(Table1[[#This Row],[PARTIDA PRESUPUESTAL]],'Cost Report'!G:G,1,0),"Balance")</f>
        <v>3412-138</v>
      </c>
      <c r="AC4101" s="118"/>
      <c r="AD4101" s="159">
        <f>+Table1[[#This Row],[SUBTOTAL]]+Table1[[#This Row],[IVA]]-Table1[[#This Row],[RET IVA]]-Table1[[#This Row],[RET ISR]]-Table1[[#This Row],[TOTAL]]</f>
        <v>0</v>
      </c>
      <c r="AE4101" s="150"/>
      <c r="AF4101" s="151"/>
      <c r="AG4101" s="126" t="s">
        <v>3420</v>
      </c>
      <c r="AK4101" s="306" t="str">
        <f>IF(ISNUMBER(Table1[[#This Row],[FECHA DE RECIBIDO]]), Table1[[#This Row],[FECHA DE RECIBIDO]]-DATE(2023,8,30), "")</f>
        <v/>
      </c>
    </row>
    <row r="4102" spans="1:37" ht="15" customHeight="1">
      <c r="A4102" s="152" t="s">
        <v>4312</v>
      </c>
      <c r="B4102" s="153">
        <v>1293</v>
      </c>
      <c r="C4102" s="126" t="s">
        <v>2829</v>
      </c>
      <c r="D4102">
        <v>2770</v>
      </c>
      <c r="E4102" s="126" t="s">
        <v>1596</v>
      </c>
      <c r="F4102" s="125" t="s">
        <v>1371</v>
      </c>
      <c r="G4102" s="125" t="s">
        <v>2065</v>
      </c>
      <c r="H4102">
        <v>435</v>
      </c>
      <c r="I4102" s="125" t="s">
        <v>1546</v>
      </c>
      <c r="J4102" s="308" t="s">
        <v>214</v>
      </c>
      <c r="K4102" s="127" t="s">
        <v>4212</v>
      </c>
      <c r="L4102" s="153" t="s">
        <v>1579</v>
      </c>
      <c r="M4102">
        <v>579</v>
      </c>
      <c r="N4102" s="123">
        <v>17</v>
      </c>
      <c r="O4102">
        <v>2638</v>
      </c>
      <c r="P4102" s="132" t="s">
        <v>77</v>
      </c>
      <c r="Q4102" s="132">
        <v>1422.41</v>
      </c>
      <c r="R4102" s="132">
        <v>227.59</v>
      </c>
      <c r="S4102" s="132"/>
      <c r="T4102" s="156"/>
      <c r="U4102" s="132"/>
      <c r="V4102" s="132">
        <v>1650</v>
      </c>
      <c r="W4102"/>
      <c r="X4102" s="153" t="s">
        <v>3451</v>
      </c>
      <c r="Y4102" s="124" t="s">
        <v>55</v>
      </c>
      <c r="Z4102" s="308">
        <v>231</v>
      </c>
      <c r="AB4102" t="str">
        <f>IF(Table1[[#This Row],[TIPO2]]="costo", VLOOKUP(Table1[[#This Row],[PARTIDA PRESUPUESTAL]],'Cost Report'!G:G,1,0),"Balance")</f>
        <v>3412-138</v>
      </c>
      <c r="AC4102" s="118"/>
      <c r="AD4102" s="159">
        <f>+Table1[[#This Row],[SUBTOTAL]]+Table1[[#This Row],[IVA]]-Table1[[#This Row],[RET IVA]]-Table1[[#This Row],[RET ISR]]-Table1[[#This Row],[TOTAL]]</f>
        <v>0</v>
      </c>
      <c r="AE4102" s="152"/>
      <c r="AF4102" s="153"/>
      <c r="AG4102" s="126" t="s">
        <v>3420</v>
      </c>
      <c r="AK4102" s="306" t="str">
        <f>IF(ISNUMBER(Table1[[#This Row],[FECHA DE RECIBIDO]]), Table1[[#This Row],[FECHA DE RECIBIDO]]-DATE(2023,8,30), "")</f>
        <v/>
      </c>
    </row>
    <row r="4103" spans="1:37" ht="15" customHeight="1">
      <c r="A4103" s="150" t="s">
        <v>4312</v>
      </c>
      <c r="B4103" s="151">
        <v>1293</v>
      </c>
      <c r="C4103" s="126" t="s">
        <v>2829</v>
      </c>
      <c r="D4103">
        <v>2771</v>
      </c>
      <c r="E4103" s="126" t="s">
        <v>1596</v>
      </c>
      <c r="F4103" s="122" t="s">
        <v>1371</v>
      </c>
      <c r="G4103" s="122" t="s">
        <v>2065</v>
      </c>
      <c r="H4103">
        <v>435</v>
      </c>
      <c r="I4103" s="122" t="s">
        <v>1546</v>
      </c>
      <c r="J4103" s="307" t="s">
        <v>214</v>
      </c>
      <c r="K4103" s="127" t="s">
        <v>4212</v>
      </c>
      <c r="L4103" s="151" t="s">
        <v>1579</v>
      </c>
      <c r="M4103">
        <v>579</v>
      </c>
      <c r="N4103" s="123">
        <v>17</v>
      </c>
      <c r="O4103">
        <v>2639</v>
      </c>
      <c r="P4103" s="132" t="s">
        <v>77</v>
      </c>
      <c r="Q4103" s="131">
        <v>1422.41</v>
      </c>
      <c r="R4103" s="131">
        <v>227.59</v>
      </c>
      <c r="S4103" s="131"/>
      <c r="T4103" s="155"/>
      <c r="U4103" s="131"/>
      <c r="V4103" s="131">
        <v>1650</v>
      </c>
      <c r="W4103"/>
      <c r="X4103" s="151" t="s">
        <v>3451</v>
      </c>
      <c r="Y4103" s="135" t="s">
        <v>55</v>
      </c>
      <c r="Z4103" s="307">
        <v>231</v>
      </c>
      <c r="AB4103" t="str">
        <f>IF(Table1[[#This Row],[TIPO2]]="costo", VLOOKUP(Table1[[#This Row],[PARTIDA PRESUPUESTAL]],'Cost Report'!G:G,1,0),"Balance")</f>
        <v>3412-138</v>
      </c>
      <c r="AC4103" s="118"/>
      <c r="AD4103" s="159">
        <f>+Table1[[#This Row],[SUBTOTAL]]+Table1[[#This Row],[IVA]]-Table1[[#This Row],[RET IVA]]-Table1[[#This Row],[RET ISR]]-Table1[[#This Row],[TOTAL]]</f>
        <v>0</v>
      </c>
      <c r="AE4103" s="150"/>
      <c r="AF4103" s="151"/>
      <c r="AG4103" s="126" t="s">
        <v>3420</v>
      </c>
      <c r="AK4103" s="306" t="str">
        <f>IF(ISNUMBER(Table1[[#This Row],[FECHA DE RECIBIDO]]), Table1[[#This Row],[FECHA DE RECIBIDO]]-DATE(2023,8,30), "")</f>
        <v/>
      </c>
    </row>
    <row r="4104" spans="1:37" ht="15" customHeight="1">
      <c r="A4104" s="152" t="s">
        <v>4312</v>
      </c>
      <c r="B4104" s="153">
        <v>1293</v>
      </c>
      <c r="C4104" s="126" t="s">
        <v>2774</v>
      </c>
      <c r="D4104">
        <v>2772</v>
      </c>
      <c r="E4104" s="126" t="s">
        <v>4314</v>
      </c>
      <c r="F4104" s="125" t="s">
        <v>1607</v>
      </c>
      <c r="G4104" s="125" t="s">
        <v>134</v>
      </c>
      <c r="H4104">
        <v>752</v>
      </c>
      <c r="I4104" s="125" t="s">
        <v>1546</v>
      </c>
      <c r="J4104" s="308" t="s">
        <v>214</v>
      </c>
      <c r="K4104" s="127" t="s">
        <v>4212</v>
      </c>
      <c r="L4104" s="153" t="s">
        <v>1579</v>
      </c>
      <c r="M4104">
        <v>1053</v>
      </c>
      <c r="N4104" s="123">
        <v>17</v>
      </c>
      <c r="O4104">
        <v>2640</v>
      </c>
      <c r="P4104" s="132" t="s">
        <v>77</v>
      </c>
      <c r="Q4104" s="132">
        <v>20.69</v>
      </c>
      <c r="R4104" s="132">
        <v>3.31</v>
      </c>
      <c r="S4104" s="132"/>
      <c r="T4104" s="156"/>
      <c r="U4104" s="132"/>
      <c r="V4104" s="132">
        <v>24</v>
      </c>
      <c r="W4104"/>
      <c r="X4104" s="153" t="s">
        <v>3451</v>
      </c>
      <c r="Y4104" s="124" t="s">
        <v>55</v>
      </c>
      <c r="Z4104" s="308">
        <v>231</v>
      </c>
      <c r="AB4104" t="str">
        <f>IF(Table1[[#This Row],[TIPO2]]="costo", VLOOKUP(Table1[[#This Row],[PARTIDA PRESUPUESTAL]],'Cost Report'!G:G,1,0),"Balance")</f>
        <v>3401-042</v>
      </c>
      <c r="AC4104" s="118"/>
      <c r="AD4104" s="159">
        <f>+Table1[[#This Row],[SUBTOTAL]]+Table1[[#This Row],[IVA]]-Table1[[#This Row],[RET IVA]]-Table1[[#This Row],[RET ISR]]-Table1[[#This Row],[TOTAL]]</f>
        <v>0</v>
      </c>
      <c r="AE4104" s="152"/>
      <c r="AF4104" s="153"/>
      <c r="AG4104" s="126" t="s">
        <v>3420</v>
      </c>
      <c r="AK4104" s="306" t="str">
        <f>IF(ISNUMBER(Table1[[#This Row],[FECHA DE RECIBIDO]]), Table1[[#This Row],[FECHA DE RECIBIDO]]-DATE(2023,8,30), "")</f>
        <v/>
      </c>
    </row>
    <row r="4105" spans="1:37" ht="15" customHeight="1">
      <c r="A4105" s="150" t="s">
        <v>4312</v>
      </c>
      <c r="B4105" s="151">
        <v>1293</v>
      </c>
      <c r="C4105" s="126" t="s">
        <v>1181</v>
      </c>
      <c r="D4105">
        <v>2773</v>
      </c>
      <c r="E4105" s="126" t="s">
        <v>1895</v>
      </c>
      <c r="F4105" s="122" t="s">
        <v>1607</v>
      </c>
      <c r="G4105" s="122" t="s">
        <v>134</v>
      </c>
      <c r="H4105">
        <v>635</v>
      </c>
      <c r="I4105" s="122" t="s">
        <v>1546</v>
      </c>
      <c r="J4105" s="307" t="s">
        <v>214</v>
      </c>
      <c r="K4105" s="127" t="s">
        <v>4212</v>
      </c>
      <c r="L4105" s="151" t="s">
        <v>1579</v>
      </c>
      <c r="M4105">
        <v>901</v>
      </c>
      <c r="N4105" s="123">
        <v>17</v>
      </c>
      <c r="O4105">
        <v>2636</v>
      </c>
      <c r="P4105" s="132" t="s">
        <v>77</v>
      </c>
      <c r="Q4105" s="131">
        <v>37.799999999999997</v>
      </c>
      <c r="R4105" s="131">
        <v>6.05</v>
      </c>
      <c r="S4105" s="131"/>
      <c r="T4105" s="155"/>
      <c r="U4105" s="131"/>
      <c r="V4105" s="131">
        <v>43.849999999999994</v>
      </c>
      <c r="W4105"/>
      <c r="X4105" s="151" t="s">
        <v>3451</v>
      </c>
      <c r="Y4105" s="135" t="s">
        <v>55</v>
      </c>
      <c r="Z4105" s="307">
        <v>231</v>
      </c>
      <c r="AB4105" t="str">
        <f>IF(Table1[[#This Row],[TIPO2]]="costo", VLOOKUP(Table1[[#This Row],[PARTIDA PRESUPUESTAL]],'Cost Report'!G:G,1,0),"Balance")</f>
        <v>3904-003</v>
      </c>
      <c r="AC4105" s="118"/>
      <c r="AD4105" s="159">
        <f>+Table1[[#This Row],[SUBTOTAL]]+Table1[[#This Row],[IVA]]-Table1[[#This Row],[RET IVA]]-Table1[[#This Row],[RET ISR]]-Table1[[#This Row],[TOTAL]]</f>
        <v>0</v>
      </c>
      <c r="AE4105" s="150"/>
      <c r="AF4105" s="151"/>
      <c r="AG4105" s="126" t="s">
        <v>3420</v>
      </c>
      <c r="AK4105" s="306" t="str">
        <f>IF(ISNUMBER(Table1[[#This Row],[FECHA DE RECIBIDO]]), Table1[[#This Row],[FECHA DE RECIBIDO]]-DATE(2023,8,30), "")</f>
        <v/>
      </c>
    </row>
    <row r="4106" spans="1:37" ht="15" customHeight="1">
      <c r="A4106" s="152" t="s">
        <v>4312</v>
      </c>
      <c r="B4106" s="153">
        <v>1293</v>
      </c>
      <c r="C4106" s="126" t="s">
        <v>2774</v>
      </c>
      <c r="D4106">
        <v>2774</v>
      </c>
      <c r="E4106" s="126" t="s">
        <v>1645</v>
      </c>
      <c r="F4106" s="125" t="s">
        <v>1589</v>
      </c>
      <c r="G4106" s="125" t="s">
        <v>129</v>
      </c>
      <c r="H4106">
        <v>744</v>
      </c>
      <c r="I4106" s="125" t="s">
        <v>1546</v>
      </c>
      <c r="J4106" s="308" t="s">
        <v>214</v>
      </c>
      <c r="K4106" s="127" t="s">
        <v>4212</v>
      </c>
      <c r="L4106" s="153" t="s">
        <v>1579</v>
      </c>
      <c r="M4106">
        <v>1039</v>
      </c>
      <c r="N4106" s="123">
        <v>17</v>
      </c>
      <c r="O4106">
        <v>2641</v>
      </c>
      <c r="P4106" s="132" t="s">
        <v>77</v>
      </c>
      <c r="Q4106" s="132">
        <v>148.28</v>
      </c>
      <c r="R4106" s="132">
        <v>23.72</v>
      </c>
      <c r="S4106" s="132"/>
      <c r="T4106" s="156"/>
      <c r="U4106" s="132"/>
      <c r="V4106" s="132">
        <v>172</v>
      </c>
      <c r="W4106"/>
      <c r="X4106" s="153" t="s">
        <v>3451</v>
      </c>
      <c r="Y4106" s="124" t="s">
        <v>55</v>
      </c>
      <c r="Z4106" s="308">
        <v>233</v>
      </c>
      <c r="AB4106" t="str">
        <f>IF(Table1[[#This Row],[TIPO2]]="costo", VLOOKUP(Table1[[#This Row],[PARTIDA PRESUPUESTAL]],'Cost Report'!G:G,1,0),"Balance")</f>
        <v>3401-042</v>
      </c>
      <c r="AC4106" s="118"/>
      <c r="AD4106" s="159">
        <f>+Table1[[#This Row],[SUBTOTAL]]+Table1[[#This Row],[IVA]]-Table1[[#This Row],[RET IVA]]-Table1[[#This Row],[RET ISR]]-Table1[[#This Row],[TOTAL]]</f>
        <v>0</v>
      </c>
      <c r="AE4106" s="152"/>
      <c r="AF4106" s="153"/>
      <c r="AG4106" s="126" t="s">
        <v>3420</v>
      </c>
      <c r="AK4106" s="306" t="str">
        <f>IF(ISNUMBER(Table1[[#This Row],[FECHA DE RECIBIDO]]), Table1[[#This Row],[FECHA DE RECIBIDO]]-DATE(2023,8,30), "")</f>
        <v/>
      </c>
    </row>
    <row r="4107" spans="1:37" ht="15" customHeight="1">
      <c r="A4107" s="150" t="s">
        <v>4312</v>
      </c>
      <c r="B4107" s="151">
        <v>1293</v>
      </c>
      <c r="C4107" s="126" t="s">
        <v>2851</v>
      </c>
      <c r="D4107">
        <v>2775</v>
      </c>
      <c r="E4107" s="126" t="s">
        <v>4315</v>
      </c>
      <c r="F4107" s="122" t="s">
        <v>1589</v>
      </c>
      <c r="G4107" s="122" t="s">
        <v>129</v>
      </c>
      <c r="H4107">
        <v>753</v>
      </c>
      <c r="I4107" s="122" t="s">
        <v>1546</v>
      </c>
      <c r="J4107" s="307" t="s">
        <v>214</v>
      </c>
      <c r="K4107" s="127" t="s">
        <v>4212</v>
      </c>
      <c r="L4107" s="151" t="s">
        <v>1579</v>
      </c>
      <c r="M4107">
        <v>1054</v>
      </c>
      <c r="N4107" s="123">
        <v>17</v>
      </c>
      <c r="O4107">
        <v>2642</v>
      </c>
      <c r="P4107" s="132" t="s">
        <v>77</v>
      </c>
      <c r="Q4107" s="131">
        <v>142.24</v>
      </c>
      <c r="R4107" s="131">
        <v>22.76</v>
      </c>
      <c r="S4107" s="131"/>
      <c r="T4107" s="155"/>
      <c r="U4107" s="131"/>
      <c r="V4107" s="131">
        <v>165</v>
      </c>
      <c r="W4107"/>
      <c r="X4107" s="151" t="s">
        <v>3451</v>
      </c>
      <c r="Y4107" s="135" t="s">
        <v>55</v>
      </c>
      <c r="Z4107" s="307">
        <v>236</v>
      </c>
      <c r="AB4107" t="str">
        <f>IF(Table1[[#This Row],[TIPO2]]="costo", VLOOKUP(Table1[[#This Row],[PARTIDA PRESUPUESTAL]],'Cost Report'!G:G,1,0),"Balance")</f>
        <v>3485-003</v>
      </c>
      <c r="AC4107" s="118"/>
      <c r="AD4107" s="159">
        <f>+Table1[[#This Row],[SUBTOTAL]]+Table1[[#This Row],[IVA]]-Table1[[#This Row],[RET IVA]]-Table1[[#This Row],[RET ISR]]-Table1[[#This Row],[TOTAL]]</f>
        <v>0</v>
      </c>
      <c r="AE4107" s="150"/>
      <c r="AF4107" s="151"/>
      <c r="AG4107" s="126" t="s">
        <v>3420</v>
      </c>
      <c r="AK4107" s="306" t="str">
        <f>IF(ISNUMBER(Table1[[#This Row],[FECHA DE RECIBIDO]]), Table1[[#This Row],[FECHA DE RECIBIDO]]-DATE(2023,8,30), "")</f>
        <v/>
      </c>
    </row>
    <row r="4108" spans="1:37" ht="15" customHeight="1">
      <c r="A4108" s="152" t="s">
        <v>4312</v>
      </c>
      <c r="B4108" s="153">
        <v>1293</v>
      </c>
      <c r="C4108" s="126" t="s">
        <v>2826</v>
      </c>
      <c r="D4108">
        <v>2776</v>
      </c>
      <c r="E4108" s="126" t="s">
        <v>1596</v>
      </c>
      <c r="F4108" s="125" t="s">
        <v>1607</v>
      </c>
      <c r="G4108" s="125" t="s">
        <v>134</v>
      </c>
      <c r="H4108">
        <v>754</v>
      </c>
      <c r="I4108" s="125" t="s">
        <v>1546</v>
      </c>
      <c r="J4108" s="308" t="s">
        <v>214</v>
      </c>
      <c r="K4108" s="127" t="s">
        <v>4212</v>
      </c>
      <c r="L4108" s="153" t="s">
        <v>1579</v>
      </c>
      <c r="M4108">
        <v>1055</v>
      </c>
      <c r="N4108" s="123"/>
      <c r="O4108">
        <v>2643</v>
      </c>
      <c r="P4108" s="132" t="s">
        <v>77</v>
      </c>
      <c r="Q4108" s="132">
        <f>2205.88+66.18</f>
        <v>2272.06</v>
      </c>
      <c r="R4108" s="132">
        <v>352.94</v>
      </c>
      <c r="S4108" s="132">
        <v>66.180000000000007</v>
      </c>
      <c r="T4108" s="156"/>
      <c r="U4108" s="132"/>
      <c r="V4108" s="132">
        <v>2625</v>
      </c>
      <c r="W4108"/>
      <c r="X4108" s="153" t="s">
        <v>3451</v>
      </c>
      <c r="Y4108" s="124" t="s">
        <v>55</v>
      </c>
      <c r="Z4108" s="308">
        <v>236</v>
      </c>
      <c r="AB4108" t="str">
        <f>IF(Table1[[#This Row],[TIPO2]]="costo", VLOOKUP(Table1[[#This Row],[PARTIDA PRESUPUESTAL]],'Cost Report'!G:G,1,0),"Balance")</f>
        <v>3412-133</v>
      </c>
      <c r="AC4108" s="118"/>
      <c r="AD4108" s="159">
        <f>+Table1[[#This Row],[SUBTOTAL]]+Table1[[#This Row],[IVA]]-Table1[[#This Row],[RET IVA]]-Table1[[#This Row],[RET ISR]]-Table1[[#This Row],[TOTAL]]</f>
        <v>0</v>
      </c>
      <c r="AE4108" s="152"/>
      <c r="AF4108" s="153"/>
      <c r="AG4108" s="126" t="s">
        <v>3420</v>
      </c>
      <c r="AK4108" s="306" t="str">
        <f>IF(ISNUMBER(Table1[[#This Row],[FECHA DE RECIBIDO]]), Table1[[#This Row],[FECHA DE RECIBIDO]]-DATE(2023,8,30), "")</f>
        <v/>
      </c>
    </row>
    <row r="4109" spans="1:37" ht="15" customHeight="1">
      <c r="A4109" s="150" t="s">
        <v>4312</v>
      </c>
      <c r="B4109" s="151">
        <v>1293</v>
      </c>
      <c r="C4109" s="126" t="s">
        <v>2826</v>
      </c>
      <c r="D4109">
        <v>2777</v>
      </c>
      <c r="E4109" s="126" t="s">
        <v>1596</v>
      </c>
      <c r="F4109" s="122" t="s">
        <v>1607</v>
      </c>
      <c r="G4109" s="122" t="s">
        <v>134</v>
      </c>
      <c r="H4109">
        <v>754</v>
      </c>
      <c r="I4109" s="122" t="s">
        <v>1546</v>
      </c>
      <c r="J4109" s="307" t="s">
        <v>214</v>
      </c>
      <c r="K4109" s="127" t="s">
        <v>4212</v>
      </c>
      <c r="L4109" s="151" t="s">
        <v>1579</v>
      </c>
      <c r="M4109">
        <v>1055</v>
      </c>
      <c r="N4109" s="123"/>
      <c r="O4109">
        <v>2643</v>
      </c>
      <c r="P4109" s="132" t="s">
        <v>77</v>
      </c>
      <c r="Q4109" s="131">
        <f>2521.01+75.63</f>
        <v>2596.6400000000003</v>
      </c>
      <c r="R4109" s="131">
        <v>403.36</v>
      </c>
      <c r="S4109" s="131">
        <v>75.63</v>
      </c>
      <c r="T4109" s="155"/>
      <c r="U4109" s="131"/>
      <c r="V4109" s="131">
        <v>3000.0000000000005</v>
      </c>
      <c r="W4109"/>
      <c r="X4109" s="151" t="s">
        <v>3451</v>
      </c>
      <c r="Y4109" s="135" t="s">
        <v>55</v>
      </c>
      <c r="Z4109" s="307">
        <v>236</v>
      </c>
      <c r="AB4109" t="str">
        <f>IF(Table1[[#This Row],[TIPO2]]="costo", VLOOKUP(Table1[[#This Row],[PARTIDA PRESUPUESTAL]],'Cost Report'!G:G,1,0),"Balance")</f>
        <v>3412-133</v>
      </c>
      <c r="AC4109" s="118"/>
      <c r="AD4109" s="159">
        <f>+Table1[[#This Row],[SUBTOTAL]]+Table1[[#This Row],[IVA]]-Table1[[#This Row],[RET IVA]]-Table1[[#This Row],[RET ISR]]-Table1[[#This Row],[TOTAL]]</f>
        <v>0</v>
      </c>
      <c r="AE4109" s="150"/>
      <c r="AF4109" s="151"/>
      <c r="AG4109" s="126" t="s">
        <v>3420</v>
      </c>
      <c r="AK4109" s="306" t="str">
        <f>IF(ISNUMBER(Table1[[#This Row],[FECHA DE RECIBIDO]]), Table1[[#This Row],[FECHA DE RECIBIDO]]-DATE(2023,8,30), "")</f>
        <v/>
      </c>
    </row>
    <row r="4110" spans="1:37" ht="15" customHeight="1">
      <c r="A4110" s="152" t="s">
        <v>4312</v>
      </c>
      <c r="B4110" s="153">
        <v>1293</v>
      </c>
      <c r="C4110" s="126" t="s">
        <v>2774</v>
      </c>
      <c r="D4110">
        <v>2778</v>
      </c>
      <c r="E4110" s="126" t="s">
        <v>1614</v>
      </c>
      <c r="F4110" s="125" t="s">
        <v>1384</v>
      </c>
      <c r="G4110" s="125" t="s">
        <v>1625</v>
      </c>
      <c r="H4110">
        <v>755</v>
      </c>
      <c r="I4110" s="125" t="s">
        <v>1546</v>
      </c>
      <c r="J4110" s="308" t="s">
        <v>214</v>
      </c>
      <c r="K4110" s="127" t="s">
        <v>4212</v>
      </c>
      <c r="L4110" s="153" t="s">
        <v>1579</v>
      </c>
      <c r="M4110">
        <v>1056</v>
      </c>
      <c r="N4110" s="123"/>
      <c r="O4110">
        <v>2636</v>
      </c>
      <c r="P4110" s="132" t="s">
        <v>77</v>
      </c>
      <c r="Q4110" s="132">
        <v>34.49</v>
      </c>
      <c r="R4110" s="132">
        <v>5.52</v>
      </c>
      <c r="S4110" s="132"/>
      <c r="T4110" s="156"/>
      <c r="U4110" s="132"/>
      <c r="V4110" s="132">
        <v>40.010000000000005</v>
      </c>
      <c r="W4110"/>
      <c r="X4110" s="153" t="s">
        <v>3451</v>
      </c>
      <c r="Y4110" s="124" t="s">
        <v>55</v>
      </c>
      <c r="Z4110" s="308">
        <v>244</v>
      </c>
      <c r="AB4110" t="str">
        <f>IF(Table1[[#This Row],[TIPO2]]="costo", VLOOKUP(Table1[[#This Row],[PARTIDA PRESUPUESTAL]],'Cost Report'!G:G,1,0),"Balance")</f>
        <v>3401-042</v>
      </c>
      <c r="AC4110" s="118"/>
      <c r="AD4110" s="159">
        <f>+Table1[[#This Row],[SUBTOTAL]]+Table1[[#This Row],[IVA]]-Table1[[#This Row],[RET IVA]]-Table1[[#This Row],[RET ISR]]-Table1[[#This Row],[TOTAL]]</f>
        <v>0</v>
      </c>
      <c r="AE4110" s="152"/>
      <c r="AF4110" s="153"/>
      <c r="AG4110" s="126" t="s">
        <v>3420</v>
      </c>
      <c r="AK4110" s="306" t="str">
        <f>IF(ISNUMBER(Table1[[#This Row],[FECHA DE RECIBIDO]]), Table1[[#This Row],[FECHA DE RECIBIDO]]-DATE(2023,8,30), "")</f>
        <v/>
      </c>
    </row>
    <row r="4111" spans="1:37">
      <c r="A4111" s="150"/>
      <c r="B4111" s="151"/>
      <c r="C4111" s="126" t="s">
        <v>71</v>
      </c>
      <c r="D4111"/>
      <c r="E4111" s="126"/>
      <c r="F4111" s="122"/>
      <c r="G4111" s="122"/>
      <c r="H4111"/>
      <c r="I4111" s="122"/>
      <c r="J4111" s="307" t="s">
        <v>214</v>
      </c>
      <c r="K4111" s="127" t="s">
        <v>4212</v>
      </c>
      <c r="L4111" s="151" t="s">
        <v>1643</v>
      </c>
      <c r="M4111">
        <v>1057</v>
      </c>
      <c r="N4111" s="123"/>
      <c r="O4111">
        <v>2644</v>
      </c>
      <c r="P4111" s="131" t="s">
        <v>78</v>
      </c>
      <c r="Q4111" s="131">
        <v>-344473.21</v>
      </c>
      <c r="R4111" s="131"/>
      <c r="S4111" s="131"/>
      <c r="T4111" s="155">
        <v>0</v>
      </c>
      <c r="U4111" s="131"/>
      <c r="V4111" s="131">
        <f>+Table1[[#This Row],[SUBTOTAL]]</f>
        <v>-344473.21</v>
      </c>
      <c r="W4111"/>
      <c r="X4111" s="151"/>
      <c r="Y4111" s="135"/>
      <c r="Z4111" s="307">
        <v>212</v>
      </c>
      <c r="AB4111" t="s">
        <v>78</v>
      </c>
      <c r="AC4111" s="118"/>
      <c r="AD4111" s="159">
        <v>0</v>
      </c>
      <c r="AE4111" s="150"/>
      <c r="AF4111" s="151"/>
      <c r="AG4111" s="126" t="s">
        <v>3420</v>
      </c>
      <c r="AK4111" s="306" t="str">
        <f>IF(ISNUMBER(Table1[[#This Row],[FECHA DE RECIBIDO]]), Table1[[#This Row],[FECHA DE RECIBIDO]]-DATE(2023,8,30), "")</f>
        <v/>
      </c>
    </row>
    <row r="4112" spans="1:37">
      <c r="A4112" s="152"/>
      <c r="B4112" s="153"/>
      <c r="C4112" s="126" t="s">
        <v>3102</v>
      </c>
      <c r="D4112"/>
      <c r="E4112" s="126"/>
      <c r="F4112" s="125"/>
      <c r="G4112" s="125"/>
      <c r="H4112"/>
      <c r="I4112" s="125"/>
      <c r="J4112" s="308" t="s">
        <v>214</v>
      </c>
      <c r="K4112" s="127" t="s">
        <v>4212</v>
      </c>
      <c r="L4112" s="153" t="s">
        <v>4317</v>
      </c>
      <c r="M4112">
        <v>7</v>
      </c>
      <c r="N4112" s="123"/>
      <c r="O4112">
        <v>2645</v>
      </c>
      <c r="P4112" s="132" t="s">
        <v>77</v>
      </c>
      <c r="Q4112" s="132">
        <v>510</v>
      </c>
      <c r="R4112" s="132">
        <f>+Table1[[#This Row],[SUBTOTAL]]*0.16</f>
        <v>81.600000000000009</v>
      </c>
      <c r="S4112" s="132"/>
      <c r="T4112" s="156">
        <v>0</v>
      </c>
      <c r="U4112" s="132"/>
      <c r="V4112" s="132">
        <f>+Table1[[#This Row],[SUBTOTAL]]+Table1[[#This Row],[IVA]]-Table1[[#This Row],[RET IVA]]-Table1[[#This Row],[RET ISR]]</f>
        <v>591.6</v>
      </c>
      <c r="W4112"/>
      <c r="X4112" s="153"/>
      <c r="Y4112" s="124"/>
      <c r="Z4112" s="308" t="s">
        <v>214</v>
      </c>
      <c r="AB4112" t="str">
        <f>IF(Table1[[#This Row],[TIPO2]]="costo", VLOOKUP(Table1[[#This Row],[PARTIDA PRESUPUESTAL]],'Cost Report'!G:G,1,0),"Balance")</f>
        <v>7038-008</v>
      </c>
      <c r="AC4112" s="118"/>
      <c r="AD4112" s="159">
        <f>+Table1[[#This Row],[SUBTOTAL]]+Table1[[#This Row],[IVA]]-Table1[[#This Row],[RET IVA]]-Table1[[#This Row],[RET ISR]]-Table1[[#This Row],[TOTAL]]</f>
        <v>0</v>
      </c>
      <c r="AE4112" s="152"/>
      <c r="AF4112" s="153"/>
      <c r="AG4112" s="126"/>
      <c r="AK4112" s="306" t="str">
        <f>IF(ISNUMBER(Table1[[#This Row],[FECHA DE RECIBIDO]]), Table1[[#This Row],[FECHA DE RECIBIDO]]-DATE(2023,8,30), "")</f>
        <v/>
      </c>
    </row>
    <row r="4113" spans="1:37" ht="16.05" customHeight="1">
      <c r="A4113" s="150" t="s">
        <v>4319</v>
      </c>
      <c r="B4113" s="151">
        <v>1294</v>
      </c>
      <c r="C4113" s="126" t="s">
        <v>292</v>
      </c>
      <c r="D4113"/>
      <c r="E4113" s="126" t="s">
        <v>1911</v>
      </c>
      <c r="F4113" s="122" t="s">
        <v>1911</v>
      </c>
      <c r="G4113" s="122" t="s">
        <v>1911</v>
      </c>
      <c r="H4113"/>
      <c r="I4113" s="122" t="s">
        <v>1911</v>
      </c>
      <c r="J4113" s="307" t="s">
        <v>214</v>
      </c>
      <c r="K4113" s="127" t="s">
        <v>4625</v>
      </c>
      <c r="L4113" s="151" t="s">
        <v>3306</v>
      </c>
      <c r="M4113">
        <v>1058</v>
      </c>
      <c r="N4113" s="123">
        <v>1</v>
      </c>
      <c r="O4113">
        <v>2646</v>
      </c>
      <c r="P4113" s="132" t="s">
        <v>77</v>
      </c>
      <c r="Q4113" s="131">
        <v>36747.9</v>
      </c>
      <c r="R4113" s="131">
        <v>0</v>
      </c>
      <c r="S4113" s="131"/>
      <c r="T4113" s="155">
        <v>0</v>
      </c>
      <c r="U4113" s="131">
        <v>0</v>
      </c>
      <c r="V4113" s="131">
        <v>36750</v>
      </c>
      <c r="W4113">
        <v>354</v>
      </c>
      <c r="X4113" s="151" t="s">
        <v>4320</v>
      </c>
      <c r="Y4113" s="135" t="s">
        <v>55</v>
      </c>
      <c r="Z4113" s="307">
        <v>257</v>
      </c>
      <c r="AB4113" t="str">
        <f>IF(Table1[[#This Row],[TIPO2]]="costo", VLOOKUP(Table1[[#This Row],[PARTIDA PRESUPUESTAL]],'Cost Report'!G:G,1,0),"Balance")</f>
        <v>1401-020</v>
      </c>
      <c r="AC4113" s="118"/>
      <c r="AD4113" s="159">
        <f>+Table1[[#This Row],[SUBTOTAL]]+Table1[[#This Row],[IVA]]-Table1[[#This Row],[RET IVA]]-Table1[[#This Row],[RET ISR]]-Table1[[#This Row],[TOTAL]]</f>
        <v>-2.0999999999985448</v>
      </c>
      <c r="AE4113" s="150"/>
      <c r="AF4113" s="151"/>
      <c r="AG4113" s="126"/>
      <c r="AK4113" s="306" t="str">
        <f>IF(ISNUMBER(Table1[[#This Row],[FECHA DE RECIBIDO]]), Table1[[#This Row],[FECHA DE RECIBIDO]]-DATE(2023,8,30), "")</f>
        <v/>
      </c>
    </row>
    <row r="4114" spans="1:37" ht="16.05" customHeight="1">
      <c r="A4114" s="152"/>
      <c r="B4114" s="153">
        <v>1295</v>
      </c>
      <c r="C4114" s="126" t="s">
        <v>299</v>
      </c>
      <c r="D4114"/>
      <c r="E4114" s="126" t="s">
        <v>1911</v>
      </c>
      <c r="F4114" s="125" t="s">
        <v>1911</v>
      </c>
      <c r="G4114" s="125" t="s">
        <v>1911</v>
      </c>
      <c r="H4114"/>
      <c r="I4114" s="125" t="s">
        <v>1911</v>
      </c>
      <c r="J4114" s="308" t="s">
        <v>214</v>
      </c>
      <c r="K4114" s="127" t="s">
        <v>4625</v>
      </c>
      <c r="L4114" s="153" t="s">
        <v>3306</v>
      </c>
      <c r="M4114">
        <v>1058</v>
      </c>
      <c r="N4114" s="123">
        <v>1</v>
      </c>
      <c r="O4114">
        <v>2647</v>
      </c>
      <c r="P4114" s="132" t="s">
        <v>77</v>
      </c>
      <c r="Q4114" s="132">
        <v>50393.7</v>
      </c>
      <c r="R4114" s="132">
        <v>0</v>
      </c>
      <c r="S4114" s="132"/>
      <c r="T4114" s="156">
        <v>0</v>
      </c>
      <c r="U4114" s="132">
        <v>0</v>
      </c>
      <c r="V4114" s="132">
        <v>50400</v>
      </c>
      <c r="W4114">
        <v>354</v>
      </c>
      <c r="X4114" s="153" t="s">
        <v>4320</v>
      </c>
      <c r="Y4114" s="124" t="s">
        <v>55</v>
      </c>
      <c r="Z4114" s="308">
        <v>257</v>
      </c>
      <c r="AB4114" t="str">
        <f>IF(Table1[[#This Row],[TIPO2]]="costo", VLOOKUP(Table1[[#This Row],[PARTIDA PRESUPUESTAL]],'Cost Report'!G:G,1,0),"Balance")</f>
        <v>1401-029</v>
      </c>
      <c r="AC4114" s="118"/>
      <c r="AD4114" s="159">
        <f>+Table1[[#This Row],[SUBTOTAL]]+Table1[[#This Row],[IVA]]-Table1[[#This Row],[RET IVA]]-Table1[[#This Row],[RET ISR]]-Table1[[#This Row],[TOTAL]]</f>
        <v>-6.3000000000029104</v>
      </c>
      <c r="AE4114" s="152"/>
      <c r="AF4114" s="153"/>
      <c r="AG4114" s="126"/>
      <c r="AK4114" s="306" t="str">
        <f>IF(ISNUMBER(Table1[[#This Row],[FECHA DE RECIBIDO]]), Table1[[#This Row],[FECHA DE RECIBIDO]]-DATE(2023,8,30), "")</f>
        <v/>
      </c>
    </row>
    <row r="4115" spans="1:37" ht="16.05" customHeight="1">
      <c r="A4115" s="150" t="s">
        <v>4321</v>
      </c>
      <c r="B4115" s="151">
        <v>1296</v>
      </c>
      <c r="C4115" s="126" t="s">
        <v>2536</v>
      </c>
      <c r="D4115">
        <v>2779</v>
      </c>
      <c r="E4115" s="126" t="s">
        <v>4076</v>
      </c>
      <c r="F4115" s="122" t="s">
        <v>1607</v>
      </c>
      <c r="G4115" s="122" t="s">
        <v>134</v>
      </c>
      <c r="H4115">
        <v>541</v>
      </c>
      <c r="I4115" s="122" t="s">
        <v>1546</v>
      </c>
      <c r="J4115" s="307" t="s">
        <v>214</v>
      </c>
      <c r="K4115" s="127" t="s">
        <v>4625</v>
      </c>
      <c r="L4115" s="151" t="s">
        <v>3306</v>
      </c>
      <c r="M4115">
        <v>766</v>
      </c>
      <c r="N4115" s="123">
        <v>51</v>
      </c>
      <c r="O4115">
        <v>2648</v>
      </c>
      <c r="P4115" s="132" t="s">
        <v>77</v>
      </c>
      <c r="Q4115" s="131">
        <v>2500</v>
      </c>
      <c r="R4115" s="131">
        <v>400</v>
      </c>
      <c r="S4115" s="131"/>
      <c r="T4115" s="155">
        <v>0</v>
      </c>
      <c r="U4115" s="131">
        <v>0</v>
      </c>
      <c r="V4115" s="131">
        <v>2900</v>
      </c>
      <c r="W4115">
        <v>313</v>
      </c>
      <c r="X4115" s="151" t="s">
        <v>2035</v>
      </c>
      <c r="Y4115" s="135" t="s">
        <v>55</v>
      </c>
      <c r="Z4115" s="307">
        <v>257</v>
      </c>
      <c r="AB4115" t="str">
        <f>IF(Table1[[#This Row],[TIPO2]]="costo", VLOOKUP(Table1[[#This Row],[PARTIDA PRESUPUESTAL]],'Cost Report'!G:G,1,0),"Balance")</f>
        <v>2494-051</v>
      </c>
      <c r="AC4115" s="118"/>
      <c r="AD4115" s="159">
        <f>+Table1[[#This Row],[SUBTOTAL]]+Table1[[#This Row],[IVA]]-Table1[[#This Row],[RET IVA]]-Table1[[#This Row],[RET ISR]]-Table1[[#This Row],[TOTAL]]</f>
        <v>0</v>
      </c>
      <c r="AE4115" s="150"/>
      <c r="AF4115" s="151"/>
      <c r="AG4115" s="126"/>
      <c r="AK4115" s="306" t="str">
        <f>IF(ISNUMBER(Table1[[#This Row],[FECHA DE RECIBIDO]]), Table1[[#This Row],[FECHA DE RECIBIDO]]-DATE(2023,8,30), "")</f>
        <v/>
      </c>
    </row>
    <row r="4116" spans="1:37" ht="16.05" customHeight="1">
      <c r="A4116" s="152" t="s">
        <v>4322</v>
      </c>
      <c r="B4116" s="153">
        <v>1297</v>
      </c>
      <c r="C4116" s="126" t="s">
        <v>2459</v>
      </c>
      <c r="D4116">
        <v>2780</v>
      </c>
      <c r="E4116" s="126" t="s">
        <v>1611</v>
      </c>
      <c r="F4116" s="125" t="s">
        <v>1607</v>
      </c>
      <c r="G4116" s="125" t="s">
        <v>134</v>
      </c>
      <c r="H4116">
        <v>756</v>
      </c>
      <c r="I4116" s="125" t="s">
        <v>1546</v>
      </c>
      <c r="J4116" s="308" t="s">
        <v>214</v>
      </c>
      <c r="K4116" s="127" t="s">
        <v>4625</v>
      </c>
      <c r="L4116" s="153" t="s">
        <v>3306</v>
      </c>
      <c r="M4116">
        <v>1059</v>
      </c>
      <c r="N4116" s="123">
        <v>51</v>
      </c>
      <c r="O4116">
        <v>2649</v>
      </c>
      <c r="P4116" s="132" t="s">
        <v>77</v>
      </c>
      <c r="Q4116" s="132">
        <v>1130</v>
      </c>
      <c r="R4116" s="132">
        <v>180.8</v>
      </c>
      <c r="S4116" s="132"/>
      <c r="T4116" s="156">
        <v>0</v>
      </c>
      <c r="U4116" s="132">
        <v>0</v>
      </c>
      <c r="V4116" s="132">
        <v>1310.8</v>
      </c>
      <c r="W4116">
        <v>355</v>
      </c>
      <c r="X4116" s="153" t="s">
        <v>195</v>
      </c>
      <c r="Y4116" s="124" t="s">
        <v>55</v>
      </c>
      <c r="Z4116" s="308">
        <v>257</v>
      </c>
      <c r="AB4116" t="str">
        <f>IF(Table1[[#This Row],[TIPO2]]="costo", VLOOKUP(Table1[[#This Row],[PARTIDA PRESUPUESTAL]],'Cost Report'!G:G,1,0),"Balance")</f>
        <v>2311-004</v>
      </c>
      <c r="AC4116" s="118"/>
      <c r="AD4116" s="159">
        <f>+Table1[[#This Row],[SUBTOTAL]]+Table1[[#This Row],[IVA]]-Table1[[#This Row],[RET IVA]]-Table1[[#This Row],[RET ISR]]-Table1[[#This Row],[TOTAL]]</f>
        <v>0</v>
      </c>
      <c r="AE4116" s="152"/>
      <c r="AF4116" s="153"/>
      <c r="AG4116" s="126"/>
      <c r="AK4116" s="306" t="str">
        <f>IF(ISNUMBER(Table1[[#This Row],[FECHA DE RECIBIDO]]), Table1[[#This Row],[FECHA DE RECIBIDO]]-DATE(2023,8,30), "")</f>
        <v/>
      </c>
    </row>
    <row r="4117" spans="1:37" ht="16.05" customHeight="1">
      <c r="A4117" s="150" t="s">
        <v>4323</v>
      </c>
      <c r="B4117" s="151">
        <v>1298</v>
      </c>
      <c r="C4117" s="126" t="s">
        <v>1505</v>
      </c>
      <c r="D4117">
        <v>2781</v>
      </c>
      <c r="E4117" s="126" t="s">
        <v>1645</v>
      </c>
      <c r="F4117" s="122" t="s">
        <v>1593</v>
      </c>
      <c r="G4117" s="122" t="s">
        <v>109</v>
      </c>
      <c r="H4117">
        <v>757</v>
      </c>
      <c r="I4117" s="122" t="s">
        <v>1546</v>
      </c>
      <c r="J4117" s="307" t="s">
        <v>214</v>
      </c>
      <c r="K4117" s="127" t="s">
        <v>4625</v>
      </c>
      <c r="L4117" s="151" t="s">
        <v>3306</v>
      </c>
      <c r="M4117">
        <v>1060</v>
      </c>
      <c r="N4117" s="123">
        <v>51</v>
      </c>
      <c r="O4117">
        <v>2650</v>
      </c>
      <c r="P4117" s="132" t="s">
        <v>77</v>
      </c>
      <c r="Q4117" s="131">
        <v>13500</v>
      </c>
      <c r="R4117" s="131">
        <v>2160</v>
      </c>
      <c r="S4117" s="131"/>
      <c r="T4117" s="155">
        <v>1440</v>
      </c>
      <c r="U4117" s="131">
        <v>168.75</v>
      </c>
      <c r="V4117" s="131">
        <v>14051.25</v>
      </c>
      <c r="W4117">
        <v>356</v>
      </c>
      <c r="X4117" s="151" t="s">
        <v>2041</v>
      </c>
      <c r="Y4117" s="135" t="s">
        <v>55</v>
      </c>
      <c r="Z4117" s="307">
        <v>257</v>
      </c>
      <c r="AB4117" t="str">
        <f>IF(Table1[[#This Row],[TIPO2]]="costo", VLOOKUP(Table1[[#This Row],[PARTIDA PRESUPUESTAL]],'Cost Report'!G:G,1,0),"Balance")</f>
        <v>2494-003</v>
      </c>
      <c r="AC4117" s="118"/>
      <c r="AD4117" s="159">
        <f>+Table1[[#This Row],[SUBTOTAL]]+Table1[[#This Row],[IVA]]-Table1[[#This Row],[RET IVA]]-Table1[[#This Row],[RET ISR]]-Table1[[#This Row],[TOTAL]]</f>
        <v>0</v>
      </c>
      <c r="AE4117" s="150"/>
      <c r="AF4117" s="151"/>
      <c r="AG4117" s="126"/>
      <c r="AK4117" s="306" t="str">
        <f>IF(ISNUMBER(Table1[[#This Row],[FECHA DE RECIBIDO]]), Table1[[#This Row],[FECHA DE RECIBIDO]]-DATE(2023,8,30), "")</f>
        <v/>
      </c>
    </row>
    <row r="4118" spans="1:37" ht="16.05" customHeight="1">
      <c r="A4118" s="152" t="s">
        <v>4324</v>
      </c>
      <c r="B4118" s="153">
        <v>1299</v>
      </c>
      <c r="C4118" s="126" t="s">
        <v>2530</v>
      </c>
      <c r="D4118">
        <v>2782</v>
      </c>
      <c r="E4118" s="126" t="s">
        <v>3373</v>
      </c>
      <c r="F4118" s="125" t="s">
        <v>1607</v>
      </c>
      <c r="G4118" s="125" t="s">
        <v>134</v>
      </c>
      <c r="H4118">
        <v>488</v>
      </c>
      <c r="I4118" s="125" t="s">
        <v>1546</v>
      </c>
      <c r="J4118" s="308" t="s">
        <v>214</v>
      </c>
      <c r="K4118" s="127" t="s">
        <v>4625</v>
      </c>
      <c r="L4118" s="153" t="s">
        <v>3306</v>
      </c>
      <c r="M4118">
        <v>829</v>
      </c>
      <c r="N4118" s="123">
        <v>51</v>
      </c>
      <c r="O4118">
        <v>2651</v>
      </c>
      <c r="P4118" s="132" t="s">
        <v>77</v>
      </c>
      <c r="Q4118" s="132">
        <v>1000</v>
      </c>
      <c r="R4118" s="132">
        <v>160</v>
      </c>
      <c r="S4118" s="132"/>
      <c r="T4118" s="156">
        <v>0</v>
      </c>
      <c r="U4118" s="132">
        <v>0</v>
      </c>
      <c r="V4118" s="132">
        <v>1160</v>
      </c>
      <c r="W4118">
        <v>259</v>
      </c>
      <c r="X4118" s="153" t="s">
        <v>1912</v>
      </c>
      <c r="Y4118" s="124" t="s">
        <v>55</v>
      </c>
      <c r="Z4118" s="308">
        <v>257</v>
      </c>
      <c r="AB4118" t="str">
        <f>IF(Table1[[#This Row],[TIPO2]]="costo", VLOOKUP(Table1[[#This Row],[PARTIDA PRESUPUESTAL]],'Cost Report'!G:G,1,0),"Balance")</f>
        <v>2494-039</v>
      </c>
      <c r="AC4118" s="118"/>
      <c r="AD4118" s="159">
        <f>+Table1[[#This Row],[SUBTOTAL]]+Table1[[#This Row],[IVA]]-Table1[[#This Row],[RET IVA]]-Table1[[#This Row],[RET ISR]]-Table1[[#This Row],[TOTAL]]</f>
        <v>0</v>
      </c>
      <c r="AE4118" s="152"/>
      <c r="AF4118" s="153"/>
      <c r="AG4118" s="126"/>
      <c r="AK4118" s="306" t="str">
        <f>IF(ISNUMBER(Table1[[#This Row],[FECHA DE RECIBIDO]]), Table1[[#This Row],[FECHA DE RECIBIDO]]-DATE(2023,8,30), "")</f>
        <v/>
      </c>
    </row>
    <row r="4119" spans="1:37" ht="16.05" customHeight="1">
      <c r="A4119" s="150" t="s">
        <v>4325</v>
      </c>
      <c r="B4119" s="151">
        <v>1300</v>
      </c>
      <c r="C4119" s="126" t="s">
        <v>2532</v>
      </c>
      <c r="D4119">
        <v>2783</v>
      </c>
      <c r="E4119" s="126" t="s">
        <v>3262</v>
      </c>
      <c r="F4119" s="122" t="s">
        <v>1589</v>
      </c>
      <c r="G4119" s="122" t="s">
        <v>129</v>
      </c>
      <c r="H4119">
        <v>450</v>
      </c>
      <c r="I4119" s="122" t="s">
        <v>1546</v>
      </c>
      <c r="J4119" s="307" t="s">
        <v>214</v>
      </c>
      <c r="K4119" s="127" t="s">
        <v>4625</v>
      </c>
      <c r="L4119" s="151" t="s">
        <v>3306</v>
      </c>
      <c r="M4119">
        <v>624</v>
      </c>
      <c r="N4119" s="123">
        <v>51</v>
      </c>
      <c r="O4119">
        <v>2652</v>
      </c>
      <c r="P4119" s="132" t="s">
        <v>77</v>
      </c>
      <c r="Q4119" s="131">
        <v>1048.96</v>
      </c>
      <c r="R4119" s="131">
        <v>167.83</v>
      </c>
      <c r="S4119" s="131"/>
      <c r="T4119" s="155">
        <v>111.89</v>
      </c>
      <c r="U4119" s="131">
        <v>104.9</v>
      </c>
      <c r="V4119" s="131">
        <v>999.99999999999989</v>
      </c>
      <c r="W4119">
        <v>236</v>
      </c>
      <c r="X4119" s="151" t="s">
        <v>2035</v>
      </c>
      <c r="Y4119" s="135" t="s">
        <v>55</v>
      </c>
      <c r="Z4119" s="307">
        <v>257</v>
      </c>
      <c r="AB4119" t="str">
        <f>IF(Table1[[#This Row],[TIPO2]]="costo", VLOOKUP(Table1[[#This Row],[PARTIDA PRESUPUESTAL]],'Cost Report'!G:G,1,0),"Balance")</f>
        <v>2494-043</v>
      </c>
      <c r="AC4119" s="118"/>
      <c r="AD4119" s="159">
        <f>+Table1[[#This Row],[SUBTOTAL]]+Table1[[#This Row],[IVA]]-Table1[[#This Row],[RET IVA]]-Table1[[#This Row],[RET ISR]]-Table1[[#This Row],[TOTAL]]</f>
        <v>0</v>
      </c>
      <c r="AE4119" s="150"/>
      <c r="AF4119" s="151"/>
      <c r="AG4119" s="126"/>
      <c r="AK4119" s="306" t="str">
        <f>IF(ISNUMBER(Table1[[#This Row],[FECHA DE RECIBIDO]]), Table1[[#This Row],[FECHA DE RECIBIDO]]-DATE(2023,8,30), "")</f>
        <v/>
      </c>
    </row>
    <row r="4120" spans="1:37" ht="16.05" customHeight="1">
      <c r="A4120" s="152" t="s">
        <v>4326</v>
      </c>
      <c r="B4120" s="153">
        <v>1301</v>
      </c>
      <c r="C4120" s="126" t="s">
        <v>2852</v>
      </c>
      <c r="D4120">
        <v>2784</v>
      </c>
      <c r="E4120" s="126" t="s">
        <v>3267</v>
      </c>
      <c r="F4120" s="125" t="s">
        <v>1607</v>
      </c>
      <c r="G4120" s="125" t="s">
        <v>134</v>
      </c>
      <c r="H4120">
        <v>259</v>
      </c>
      <c r="I4120" s="125" t="s">
        <v>1546</v>
      </c>
      <c r="J4120" s="308" t="s">
        <v>214</v>
      </c>
      <c r="K4120" s="127" t="s">
        <v>4625</v>
      </c>
      <c r="L4120" s="153" t="s">
        <v>3306</v>
      </c>
      <c r="M4120">
        <v>502</v>
      </c>
      <c r="N4120" s="123">
        <v>24</v>
      </c>
      <c r="O4120">
        <v>2653</v>
      </c>
      <c r="P4120" s="132" t="s">
        <v>77</v>
      </c>
      <c r="Q4120" s="132">
        <v>4500</v>
      </c>
      <c r="R4120" s="132">
        <v>720</v>
      </c>
      <c r="S4120" s="132"/>
      <c r="T4120" s="156">
        <v>0</v>
      </c>
      <c r="U4120" s="132">
        <v>0</v>
      </c>
      <c r="V4120" s="132">
        <v>5220</v>
      </c>
      <c r="W4120">
        <v>158</v>
      </c>
      <c r="X4120" s="153" t="s">
        <v>2035</v>
      </c>
      <c r="Y4120" s="124" t="s">
        <v>55</v>
      </c>
      <c r="Z4120" s="308">
        <v>257</v>
      </c>
      <c r="AB4120" t="str">
        <f>IF(Table1[[#This Row],[TIPO2]]="costo", VLOOKUP(Table1[[#This Row],[PARTIDA PRESUPUESTAL]],'Cost Report'!G:G,1,0),"Balance")</f>
        <v>3498-003</v>
      </c>
      <c r="AC4120" s="118"/>
      <c r="AD4120" s="159">
        <f>+Table1[[#This Row],[SUBTOTAL]]+Table1[[#This Row],[IVA]]-Table1[[#This Row],[RET IVA]]-Table1[[#This Row],[RET ISR]]-Table1[[#This Row],[TOTAL]]</f>
        <v>0</v>
      </c>
      <c r="AE4120" s="152"/>
      <c r="AF4120" s="153"/>
      <c r="AG4120" s="126"/>
      <c r="AK4120" s="306" t="str">
        <f>IF(ISNUMBER(Table1[[#This Row],[FECHA DE RECIBIDO]]), Table1[[#This Row],[FECHA DE RECIBIDO]]-DATE(2023,8,30), "")</f>
        <v/>
      </c>
    </row>
    <row r="4121" spans="1:37" ht="16.05" customHeight="1">
      <c r="A4121" s="150" t="s">
        <v>4327</v>
      </c>
      <c r="B4121" s="151">
        <v>1302</v>
      </c>
      <c r="C4121" s="126" t="s">
        <v>2162</v>
      </c>
      <c r="D4121">
        <v>2785</v>
      </c>
      <c r="E4121" s="126" t="s">
        <v>4328</v>
      </c>
      <c r="F4121" s="122" t="s">
        <v>1589</v>
      </c>
      <c r="G4121" s="122" t="s">
        <v>129</v>
      </c>
      <c r="H4121">
        <v>758</v>
      </c>
      <c r="I4121" s="122" t="s">
        <v>1546</v>
      </c>
      <c r="J4121" s="307" t="s">
        <v>214</v>
      </c>
      <c r="K4121" s="127" t="s">
        <v>4625</v>
      </c>
      <c r="L4121" s="151" t="s">
        <v>3306</v>
      </c>
      <c r="M4121">
        <v>1061</v>
      </c>
      <c r="N4121" s="123">
        <v>1</v>
      </c>
      <c r="O4121">
        <v>2654</v>
      </c>
      <c r="P4121" s="132" t="s">
        <v>77</v>
      </c>
      <c r="Q4121" s="131">
        <v>79000</v>
      </c>
      <c r="R4121" s="131">
        <v>12640</v>
      </c>
      <c r="S4121" s="131"/>
      <c r="T4121" s="155">
        <v>8426.69</v>
      </c>
      <c r="U4121" s="131">
        <v>7900</v>
      </c>
      <c r="V4121" s="131">
        <v>75313.31</v>
      </c>
      <c r="W4121">
        <v>357</v>
      </c>
      <c r="X4121" s="151" t="s">
        <v>2041</v>
      </c>
      <c r="Y4121" s="135" t="s">
        <v>55</v>
      </c>
      <c r="Z4121" s="307">
        <v>257</v>
      </c>
      <c r="AB4121" t="str">
        <f>IF(Table1[[#This Row],[TIPO2]]="costo", VLOOKUP(Table1[[#This Row],[PARTIDA PRESUPUESTAL]],'Cost Report'!G:G,1,0),"Balance")</f>
        <v>1320-003</v>
      </c>
      <c r="AC4121" s="118"/>
      <c r="AD4121" s="159">
        <f>+Table1[[#This Row],[SUBTOTAL]]+Table1[[#This Row],[IVA]]-Table1[[#This Row],[RET IVA]]-Table1[[#This Row],[RET ISR]]-Table1[[#This Row],[TOTAL]]</f>
        <v>0</v>
      </c>
      <c r="AE4121" s="150"/>
      <c r="AF4121" s="151"/>
      <c r="AG4121" s="126"/>
      <c r="AK4121" s="306" t="str">
        <f>IF(ISNUMBER(Table1[[#This Row],[FECHA DE RECIBIDO]]), Table1[[#This Row],[FECHA DE RECIBIDO]]-DATE(2023,8,30), "")</f>
        <v/>
      </c>
    </row>
    <row r="4122" spans="1:37" ht="16.05" customHeight="1">
      <c r="A4122" s="152" t="s">
        <v>4329</v>
      </c>
      <c r="B4122" s="153">
        <v>1303</v>
      </c>
      <c r="C4122" s="126" t="s">
        <v>2846</v>
      </c>
      <c r="D4122">
        <v>2786</v>
      </c>
      <c r="E4122" s="126" t="s">
        <v>4085</v>
      </c>
      <c r="F4122" s="125" t="s">
        <v>1593</v>
      </c>
      <c r="G4122" s="125" t="s">
        <v>109</v>
      </c>
      <c r="H4122">
        <v>546</v>
      </c>
      <c r="I4122" s="125" t="s">
        <v>1546</v>
      </c>
      <c r="J4122" s="308" t="s">
        <v>214</v>
      </c>
      <c r="K4122" s="127" t="s">
        <v>4625</v>
      </c>
      <c r="L4122" s="153" t="s">
        <v>3306</v>
      </c>
      <c r="M4122">
        <v>772</v>
      </c>
      <c r="N4122" s="123">
        <v>1</v>
      </c>
      <c r="O4122">
        <v>2655</v>
      </c>
      <c r="P4122" s="132" t="s">
        <v>77</v>
      </c>
      <c r="Q4122" s="132">
        <v>7500</v>
      </c>
      <c r="R4122" s="132">
        <v>1200</v>
      </c>
      <c r="S4122" s="132"/>
      <c r="T4122" s="156">
        <v>0</v>
      </c>
      <c r="U4122" s="132">
        <v>93.75</v>
      </c>
      <c r="V4122" s="132">
        <v>8606.25</v>
      </c>
      <c r="W4122">
        <v>318</v>
      </c>
      <c r="X4122" s="153" t="s">
        <v>2041</v>
      </c>
      <c r="Y4122" s="124" t="s">
        <v>55</v>
      </c>
      <c r="Z4122" s="308">
        <v>257</v>
      </c>
      <c r="AB4122" t="str">
        <f>IF(Table1[[#This Row],[TIPO2]]="costo", VLOOKUP(Table1[[#This Row],[PARTIDA PRESUPUESTAL]],'Cost Report'!G:G,1,0),"Balance")</f>
        <v>3480-003</v>
      </c>
      <c r="AC4122" s="118"/>
      <c r="AD4122" s="159">
        <f>+Table1[[#This Row],[SUBTOTAL]]+Table1[[#This Row],[IVA]]-Table1[[#This Row],[RET IVA]]-Table1[[#This Row],[RET ISR]]-Table1[[#This Row],[TOTAL]]</f>
        <v>0</v>
      </c>
      <c r="AE4122" s="152"/>
      <c r="AF4122" s="153"/>
      <c r="AG4122" s="126"/>
      <c r="AK4122" s="306" t="str">
        <f>IF(ISNUMBER(Table1[[#This Row],[FECHA DE RECIBIDO]]), Table1[[#This Row],[FECHA DE RECIBIDO]]-DATE(2023,8,30), "")</f>
        <v/>
      </c>
    </row>
    <row r="4123" spans="1:37" ht="16.05" customHeight="1">
      <c r="A4123" s="152" t="s">
        <v>4329</v>
      </c>
      <c r="B4123" s="153">
        <v>1303</v>
      </c>
      <c r="C4123" s="126" t="s">
        <v>2848</v>
      </c>
      <c r="D4123">
        <v>2786</v>
      </c>
      <c r="E4123" s="126" t="s">
        <v>4085</v>
      </c>
      <c r="F4123" s="122" t="s">
        <v>1593</v>
      </c>
      <c r="G4123" s="122" t="s">
        <v>109</v>
      </c>
      <c r="H4123">
        <v>546</v>
      </c>
      <c r="I4123" s="122" t="s">
        <v>1546</v>
      </c>
      <c r="J4123" s="307" t="s">
        <v>214</v>
      </c>
      <c r="K4123" s="127" t="s">
        <v>4625</v>
      </c>
      <c r="L4123" s="151" t="s">
        <v>3306</v>
      </c>
      <c r="M4123">
        <v>772</v>
      </c>
      <c r="N4123" s="123">
        <v>1</v>
      </c>
      <c r="O4123">
        <v>2655</v>
      </c>
      <c r="P4123" s="132" t="s">
        <v>77</v>
      </c>
      <c r="Q4123" s="131">
        <v>7500</v>
      </c>
      <c r="R4123" s="131">
        <v>1200</v>
      </c>
      <c r="S4123" s="131"/>
      <c r="T4123" s="155">
        <v>0</v>
      </c>
      <c r="U4123" s="131">
        <v>93.75</v>
      </c>
      <c r="V4123" s="131">
        <v>8606.25</v>
      </c>
      <c r="W4123">
        <v>318</v>
      </c>
      <c r="X4123" s="151" t="s">
        <v>2041</v>
      </c>
      <c r="Y4123" s="135" t="s">
        <v>55</v>
      </c>
      <c r="Z4123" s="307">
        <v>257</v>
      </c>
      <c r="AB4123" t="str">
        <f>IF(Table1[[#This Row],[TIPO2]]="costo", VLOOKUP(Table1[[#This Row],[PARTIDA PRESUPUESTAL]],'Cost Report'!G:G,1,0),"Balance")</f>
        <v>3480-007</v>
      </c>
      <c r="AC4123" s="118"/>
      <c r="AD4123" s="159">
        <f>+Table1[[#This Row],[SUBTOTAL]]+Table1[[#This Row],[IVA]]-Table1[[#This Row],[RET IVA]]-Table1[[#This Row],[RET ISR]]-Table1[[#This Row],[TOTAL]]</f>
        <v>0</v>
      </c>
      <c r="AE4123" s="150"/>
      <c r="AF4123" s="151"/>
      <c r="AG4123" s="126"/>
      <c r="AK4123" s="306" t="str">
        <f>IF(ISNUMBER(Table1[[#This Row],[FECHA DE RECIBIDO]]), Table1[[#This Row],[FECHA DE RECIBIDO]]-DATE(2023,8,30), "")</f>
        <v/>
      </c>
    </row>
    <row r="4124" spans="1:37" ht="16.05" customHeight="1">
      <c r="A4124" s="152"/>
      <c r="B4124" s="153">
        <v>1304</v>
      </c>
      <c r="C4124" s="126" t="s">
        <v>1722</v>
      </c>
      <c r="D4124">
        <v>2787</v>
      </c>
      <c r="E4124" s="126" t="s">
        <v>4085</v>
      </c>
      <c r="F4124" s="125" t="s">
        <v>1593</v>
      </c>
      <c r="G4124" s="125" t="s">
        <v>109</v>
      </c>
      <c r="H4124">
        <v>546</v>
      </c>
      <c r="I4124" s="125" t="s">
        <v>1546</v>
      </c>
      <c r="J4124" s="308" t="s">
        <v>214</v>
      </c>
      <c r="K4124" s="127" t="s">
        <v>4625</v>
      </c>
      <c r="L4124" s="153" t="s">
        <v>3306</v>
      </c>
      <c r="M4124">
        <v>772</v>
      </c>
      <c r="N4124" s="123">
        <v>1</v>
      </c>
      <c r="O4124">
        <v>2656</v>
      </c>
      <c r="P4124" s="132" t="s">
        <v>77</v>
      </c>
      <c r="Q4124" s="132">
        <v>6400</v>
      </c>
      <c r="R4124" s="132">
        <v>1024</v>
      </c>
      <c r="S4124" s="132"/>
      <c r="T4124" s="156">
        <v>0</v>
      </c>
      <c r="U4124" s="132">
        <v>80</v>
      </c>
      <c r="V4124" s="132">
        <v>7344</v>
      </c>
      <c r="W4124">
        <v>318</v>
      </c>
      <c r="X4124" s="153" t="s">
        <v>2041</v>
      </c>
      <c r="Y4124" s="124" t="s">
        <v>55</v>
      </c>
      <c r="Z4124" s="308">
        <v>257</v>
      </c>
      <c r="AB4124" t="str">
        <f>IF(Table1[[#This Row],[TIPO2]]="costo", VLOOKUP(Table1[[#This Row],[PARTIDA PRESUPUESTAL]],'Cost Report'!G:G,1,0),"Balance")</f>
        <v>1641-004</v>
      </c>
      <c r="AC4124" s="118"/>
      <c r="AD4124" s="159">
        <f>+Table1[[#This Row],[SUBTOTAL]]+Table1[[#This Row],[IVA]]-Table1[[#This Row],[RET IVA]]-Table1[[#This Row],[RET ISR]]-Table1[[#This Row],[TOTAL]]</f>
        <v>0</v>
      </c>
      <c r="AE4124" s="152"/>
      <c r="AF4124" s="153"/>
      <c r="AG4124" s="126"/>
      <c r="AK4124" s="306" t="str">
        <f>IF(ISNUMBER(Table1[[#This Row],[FECHA DE RECIBIDO]]), Table1[[#This Row],[FECHA DE RECIBIDO]]-DATE(2023,8,30), "")</f>
        <v/>
      </c>
    </row>
    <row r="4125" spans="1:37" ht="16.05" customHeight="1">
      <c r="A4125" s="152"/>
      <c r="B4125" s="153">
        <v>1304</v>
      </c>
      <c r="C4125" s="126" t="s">
        <v>2939</v>
      </c>
      <c r="D4125">
        <v>2787</v>
      </c>
      <c r="E4125" s="126" t="s">
        <v>4085</v>
      </c>
      <c r="F4125" s="122" t="s">
        <v>1593</v>
      </c>
      <c r="G4125" s="122" t="s">
        <v>109</v>
      </c>
      <c r="H4125">
        <v>546</v>
      </c>
      <c r="I4125" s="122" t="s">
        <v>1546</v>
      </c>
      <c r="J4125" s="307" t="s">
        <v>214</v>
      </c>
      <c r="K4125" s="127" t="s">
        <v>4625</v>
      </c>
      <c r="L4125" s="151" t="s">
        <v>3306</v>
      </c>
      <c r="M4125">
        <v>772</v>
      </c>
      <c r="N4125" s="123">
        <v>1</v>
      </c>
      <c r="O4125">
        <v>2656</v>
      </c>
      <c r="P4125" s="132" t="s">
        <v>77</v>
      </c>
      <c r="Q4125" s="131">
        <v>1600</v>
      </c>
      <c r="R4125" s="131">
        <v>256</v>
      </c>
      <c r="S4125" s="131"/>
      <c r="T4125" s="155">
        <v>0</v>
      </c>
      <c r="U4125" s="131">
        <v>20</v>
      </c>
      <c r="V4125" s="131">
        <v>1836</v>
      </c>
      <c r="W4125">
        <v>318</v>
      </c>
      <c r="X4125" s="151" t="s">
        <v>2041</v>
      </c>
      <c r="Y4125" s="135" t="s">
        <v>55</v>
      </c>
      <c r="Z4125" s="307">
        <v>257</v>
      </c>
      <c r="AB4125" t="str">
        <f>IF(Table1[[#This Row],[TIPO2]]="costo", VLOOKUP(Table1[[#This Row],[PARTIDA PRESUPUESTAL]],'Cost Report'!G:G,1,0),"Balance")</f>
        <v>3716-003</v>
      </c>
      <c r="AC4125" s="118"/>
      <c r="AD4125" s="159">
        <f>+Table1[[#This Row],[SUBTOTAL]]+Table1[[#This Row],[IVA]]-Table1[[#This Row],[RET IVA]]-Table1[[#This Row],[RET ISR]]-Table1[[#This Row],[TOTAL]]</f>
        <v>0</v>
      </c>
      <c r="AE4125" s="150"/>
      <c r="AF4125" s="151"/>
      <c r="AG4125" s="126"/>
      <c r="AK4125" s="306" t="str">
        <f>IF(ISNUMBER(Table1[[#This Row],[FECHA DE RECIBIDO]]), Table1[[#This Row],[FECHA DE RECIBIDO]]-DATE(2023,8,30), "")</f>
        <v/>
      </c>
    </row>
    <row r="4126" spans="1:37" ht="16.05" customHeight="1">
      <c r="A4126" s="152"/>
      <c r="B4126" s="153">
        <v>1304</v>
      </c>
      <c r="C4126" s="126" t="s">
        <v>2852</v>
      </c>
      <c r="D4126">
        <v>2787</v>
      </c>
      <c r="E4126" s="126" t="s">
        <v>4085</v>
      </c>
      <c r="F4126" s="125" t="s">
        <v>1593</v>
      </c>
      <c r="G4126" s="125" t="s">
        <v>109</v>
      </c>
      <c r="H4126">
        <v>546</v>
      </c>
      <c r="I4126" s="125" t="s">
        <v>1546</v>
      </c>
      <c r="J4126" s="308" t="s">
        <v>214</v>
      </c>
      <c r="K4126" s="127" t="s">
        <v>4625</v>
      </c>
      <c r="L4126" s="153" t="s">
        <v>3306</v>
      </c>
      <c r="M4126">
        <v>772</v>
      </c>
      <c r="N4126" s="123">
        <v>1</v>
      </c>
      <c r="O4126">
        <v>2656</v>
      </c>
      <c r="P4126" s="132" t="s">
        <v>77</v>
      </c>
      <c r="Q4126" s="132">
        <v>18900</v>
      </c>
      <c r="R4126" s="132">
        <v>3024</v>
      </c>
      <c r="S4126" s="132"/>
      <c r="T4126" s="156">
        <v>0</v>
      </c>
      <c r="U4126" s="132">
        <v>236.25</v>
      </c>
      <c r="V4126" s="132">
        <v>21687.75</v>
      </c>
      <c r="W4126">
        <v>318</v>
      </c>
      <c r="X4126" s="153" t="s">
        <v>2041</v>
      </c>
      <c r="Y4126" s="124" t="s">
        <v>55</v>
      </c>
      <c r="Z4126" s="308">
        <v>257</v>
      </c>
      <c r="AB4126" t="str">
        <f>IF(Table1[[#This Row],[TIPO2]]="costo", VLOOKUP(Table1[[#This Row],[PARTIDA PRESUPUESTAL]],'Cost Report'!G:G,1,0),"Balance")</f>
        <v>3498-003</v>
      </c>
      <c r="AC4126" s="118"/>
      <c r="AD4126" s="159">
        <f>+Table1[[#This Row],[SUBTOTAL]]+Table1[[#This Row],[IVA]]-Table1[[#This Row],[RET IVA]]-Table1[[#This Row],[RET ISR]]-Table1[[#This Row],[TOTAL]]</f>
        <v>0</v>
      </c>
      <c r="AE4126" s="152"/>
      <c r="AF4126" s="153"/>
      <c r="AG4126" s="126"/>
      <c r="AK4126" s="306" t="str">
        <f>IF(ISNUMBER(Table1[[#This Row],[FECHA DE RECIBIDO]]), Table1[[#This Row],[FECHA DE RECIBIDO]]-DATE(2023,8,30), "")</f>
        <v/>
      </c>
    </row>
    <row r="4127" spans="1:37" ht="16.05" customHeight="1">
      <c r="A4127" s="150" t="s">
        <v>4330</v>
      </c>
      <c r="B4127" s="151">
        <v>1305</v>
      </c>
      <c r="C4127" s="126" t="s">
        <v>2851</v>
      </c>
      <c r="D4127">
        <v>2788</v>
      </c>
      <c r="E4127" s="126" t="s">
        <v>4331</v>
      </c>
      <c r="F4127" s="122" t="s">
        <v>1589</v>
      </c>
      <c r="G4127" s="122" t="s">
        <v>129</v>
      </c>
      <c r="H4127">
        <v>759</v>
      </c>
      <c r="I4127" s="122" t="s">
        <v>1546</v>
      </c>
      <c r="J4127" s="307" t="s">
        <v>214</v>
      </c>
      <c r="K4127" s="127" t="s">
        <v>4625</v>
      </c>
      <c r="L4127" s="151" t="s">
        <v>3306</v>
      </c>
      <c r="M4127">
        <v>1062</v>
      </c>
      <c r="N4127" s="123">
        <v>1</v>
      </c>
      <c r="O4127">
        <v>2657</v>
      </c>
      <c r="P4127" s="132" t="s">
        <v>77</v>
      </c>
      <c r="Q4127" s="131">
        <v>16084.03</v>
      </c>
      <c r="R4127" s="131">
        <v>2573.46</v>
      </c>
      <c r="S4127" s="131"/>
      <c r="T4127" s="155">
        <v>0</v>
      </c>
      <c r="U4127" s="131">
        <v>0</v>
      </c>
      <c r="V4127" s="131">
        <v>18657.490000000002</v>
      </c>
      <c r="W4127">
        <v>358</v>
      </c>
      <c r="X4127" s="151" t="s">
        <v>2035</v>
      </c>
      <c r="Y4127" s="135" t="s">
        <v>55</v>
      </c>
      <c r="Z4127" s="307">
        <v>257</v>
      </c>
      <c r="AB4127" t="str">
        <f>IF(Table1[[#This Row],[TIPO2]]="costo", VLOOKUP(Table1[[#This Row],[PARTIDA PRESUPUESTAL]],'Cost Report'!G:G,1,0),"Balance")</f>
        <v>3485-003</v>
      </c>
      <c r="AC4127" s="118"/>
      <c r="AD4127" s="159">
        <f>+Table1[[#This Row],[SUBTOTAL]]+Table1[[#This Row],[IVA]]-Table1[[#This Row],[RET IVA]]-Table1[[#This Row],[RET ISR]]-Table1[[#This Row],[TOTAL]]</f>
        <v>0</v>
      </c>
      <c r="AE4127" s="150"/>
      <c r="AF4127" s="151"/>
      <c r="AG4127" s="126"/>
      <c r="AK4127" s="306" t="str">
        <f>IF(ISNUMBER(Table1[[#This Row],[FECHA DE RECIBIDO]]), Table1[[#This Row],[FECHA DE RECIBIDO]]-DATE(2023,8,30), "")</f>
        <v/>
      </c>
    </row>
    <row r="4128" spans="1:37" ht="16.05" customHeight="1">
      <c r="A4128" s="152" t="s">
        <v>4332</v>
      </c>
      <c r="B4128" s="153">
        <v>1306</v>
      </c>
      <c r="C4128" s="126" t="s">
        <v>2824</v>
      </c>
      <c r="D4128">
        <v>2789</v>
      </c>
      <c r="E4128" s="126">
        <v>44610</v>
      </c>
      <c r="F4128" s="125">
        <v>601</v>
      </c>
      <c r="G4128" s="125" t="s">
        <v>134</v>
      </c>
      <c r="H4128">
        <v>760</v>
      </c>
      <c r="I4128" s="125" t="s">
        <v>1546</v>
      </c>
      <c r="J4128" s="308">
        <v>254.50434027778101</v>
      </c>
      <c r="K4128" s="127" t="s">
        <v>4625</v>
      </c>
      <c r="L4128" s="153" t="s">
        <v>3306</v>
      </c>
      <c r="M4128">
        <v>1063</v>
      </c>
      <c r="N4128" s="123">
        <v>24</v>
      </c>
      <c r="O4128">
        <v>2658</v>
      </c>
      <c r="P4128" s="132" t="s">
        <v>77</v>
      </c>
      <c r="Q4128" s="132">
        <v>15000</v>
      </c>
      <c r="R4128" s="132">
        <v>2400</v>
      </c>
      <c r="S4128" s="132"/>
      <c r="T4128" s="156">
        <v>0</v>
      </c>
      <c r="U4128" s="132">
        <v>0</v>
      </c>
      <c r="V4128" s="132">
        <v>17400</v>
      </c>
      <c r="W4128">
        <v>359</v>
      </c>
      <c r="X4128" s="153" t="s">
        <v>1912</v>
      </c>
      <c r="Y4128" s="124" t="s">
        <v>55</v>
      </c>
      <c r="Z4128" s="308">
        <v>257</v>
      </c>
      <c r="AB4128" t="str">
        <f>IF(Table1[[#This Row],[TIPO2]]="costo", VLOOKUP(Table1[[#This Row],[PARTIDA PRESUPUESTAL]],'Cost Report'!G:G,1,0),"Balance")</f>
        <v>3412-131</v>
      </c>
      <c r="AC4128" s="118"/>
      <c r="AD4128" s="159">
        <f>+Table1[[#This Row],[SUBTOTAL]]+Table1[[#This Row],[IVA]]-Table1[[#This Row],[RET IVA]]-Table1[[#This Row],[RET ISR]]-Table1[[#This Row],[TOTAL]]</f>
        <v>0</v>
      </c>
      <c r="AE4128" s="152"/>
      <c r="AF4128" s="153"/>
      <c r="AG4128" s="126"/>
      <c r="AK4128" s="306">
        <f>IF(ISNUMBER(Table1[[#This Row],[FECHA DE RECIBIDO]]), Table1[[#This Row],[FECHA DE RECIBIDO]]-DATE(2023,8,30), "")</f>
        <v>-44913.495659722219</v>
      </c>
    </row>
    <row r="4129" spans="1:37" ht="16.05" customHeight="1">
      <c r="A4129" s="150" t="s">
        <v>4333</v>
      </c>
      <c r="B4129" s="151">
        <v>1307</v>
      </c>
      <c r="C4129" s="126" t="s">
        <v>475</v>
      </c>
      <c r="D4129">
        <v>2790</v>
      </c>
      <c r="E4129" s="126" t="s">
        <v>1588</v>
      </c>
      <c r="F4129" s="122" t="s">
        <v>1589</v>
      </c>
      <c r="G4129" s="122" t="s">
        <v>129</v>
      </c>
      <c r="H4129">
        <v>15</v>
      </c>
      <c r="I4129" s="122" t="s">
        <v>1546</v>
      </c>
      <c r="J4129" s="307" t="s">
        <v>214</v>
      </c>
      <c r="K4129" s="127" t="s">
        <v>4625</v>
      </c>
      <c r="L4129" s="151" t="s">
        <v>110</v>
      </c>
      <c r="M4129">
        <v>19</v>
      </c>
      <c r="N4129" s="123">
        <v>1</v>
      </c>
      <c r="O4129">
        <v>2659</v>
      </c>
      <c r="P4129" s="132" t="s">
        <v>77</v>
      </c>
      <c r="Q4129" s="131">
        <v>37800</v>
      </c>
      <c r="R4129" s="131">
        <v>6048</v>
      </c>
      <c r="S4129" s="131"/>
      <c r="T4129" s="155">
        <v>4032.02</v>
      </c>
      <c r="U4129" s="131">
        <v>3780</v>
      </c>
      <c r="V4129" s="131">
        <v>36035.980000000003</v>
      </c>
      <c r="W4129">
        <v>15</v>
      </c>
      <c r="X4129" s="151" t="s">
        <v>1429</v>
      </c>
      <c r="Y4129" s="135" t="s">
        <v>55</v>
      </c>
      <c r="Z4129" s="307">
        <v>257</v>
      </c>
      <c r="AB4129" t="str">
        <f>IF(Table1[[#This Row],[TIPO2]]="costo", VLOOKUP(Table1[[#This Row],[PARTIDA PRESUPUESTAL]],'Cost Report'!G:G,1,0),"Balance")</f>
        <v>2013-005</v>
      </c>
      <c r="AC4129" s="118"/>
      <c r="AD4129" s="159">
        <f>+Table1[[#This Row],[SUBTOTAL]]+Table1[[#This Row],[IVA]]-Table1[[#This Row],[RET IVA]]-Table1[[#This Row],[RET ISR]]-Table1[[#This Row],[TOTAL]]</f>
        <v>0</v>
      </c>
      <c r="AE4129" s="150"/>
      <c r="AF4129" s="151"/>
      <c r="AG4129" s="126"/>
      <c r="AK4129" s="306" t="str">
        <f>IF(ISNUMBER(Table1[[#This Row],[FECHA DE RECIBIDO]]), Table1[[#This Row],[FECHA DE RECIBIDO]]-DATE(2023,8,30), "")</f>
        <v/>
      </c>
    </row>
    <row r="4130" spans="1:37" ht="16.05" customHeight="1">
      <c r="A4130" s="152" t="s">
        <v>4334</v>
      </c>
      <c r="B4130" s="153">
        <v>1308</v>
      </c>
      <c r="C4130" s="126" t="s">
        <v>239</v>
      </c>
      <c r="D4130">
        <v>2791</v>
      </c>
      <c r="E4130" s="126" t="s">
        <v>1887</v>
      </c>
      <c r="F4130" s="125" t="s">
        <v>1593</v>
      </c>
      <c r="G4130" s="125" t="s">
        <v>109</v>
      </c>
      <c r="H4130">
        <v>10</v>
      </c>
      <c r="I4130" s="125" t="s">
        <v>1546</v>
      </c>
      <c r="J4130" s="308" t="s">
        <v>214</v>
      </c>
      <c r="K4130" s="127" t="s">
        <v>4625</v>
      </c>
      <c r="L4130" s="153" t="s">
        <v>110</v>
      </c>
      <c r="M4130">
        <v>13</v>
      </c>
      <c r="N4130" s="123">
        <v>20</v>
      </c>
      <c r="O4130">
        <v>2660</v>
      </c>
      <c r="P4130" s="132" t="s">
        <v>77</v>
      </c>
      <c r="Q4130" s="132">
        <v>67000</v>
      </c>
      <c r="R4130" s="132">
        <v>10720</v>
      </c>
      <c r="S4130" s="132"/>
      <c r="T4130" s="156">
        <v>7146.68</v>
      </c>
      <c r="U4130" s="132">
        <v>837.5</v>
      </c>
      <c r="V4130" s="132">
        <v>69735.820000000007</v>
      </c>
      <c r="W4130">
        <v>9</v>
      </c>
      <c r="X4130" s="153" t="s">
        <v>1429</v>
      </c>
      <c r="Y4130" s="124" t="s">
        <v>55</v>
      </c>
      <c r="Z4130" s="308">
        <v>257</v>
      </c>
      <c r="AB4130" t="str">
        <f>IF(Table1[[#This Row],[TIPO2]]="costo", VLOOKUP(Table1[[#This Row],[PARTIDA PRESUPUESTAL]],'Cost Report'!G:G,1,0),"Balance")</f>
        <v>1202-005</v>
      </c>
      <c r="AC4130" s="118"/>
      <c r="AD4130" s="159">
        <f>+Table1[[#This Row],[SUBTOTAL]]+Table1[[#This Row],[IVA]]-Table1[[#This Row],[RET IVA]]-Table1[[#This Row],[RET ISR]]-Table1[[#This Row],[TOTAL]]</f>
        <v>0</v>
      </c>
      <c r="AE4130" s="152"/>
      <c r="AF4130" s="153"/>
      <c r="AG4130" s="126"/>
      <c r="AK4130" s="306" t="str">
        <f>IF(ISNUMBER(Table1[[#This Row],[FECHA DE RECIBIDO]]), Table1[[#This Row],[FECHA DE RECIBIDO]]-DATE(2023,8,30), "")</f>
        <v/>
      </c>
    </row>
    <row r="4131" spans="1:37" ht="16.05" customHeight="1">
      <c r="A4131" s="150" t="s">
        <v>4335</v>
      </c>
      <c r="B4131" s="151">
        <v>1309</v>
      </c>
      <c r="C4131" s="126" t="s">
        <v>239</v>
      </c>
      <c r="D4131">
        <v>2792</v>
      </c>
      <c r="E4131" s="126" t="s">
        <v>1887</v>
      </c>
      <c r="F4131" s="122" t="s">
        <v>1593</v>
      </c>
      <c r="G4131" s="122" t="s">
        <v>109</v>
      </c>
      <c r="H4131">
        <v>10</v>
      </c>
      <c r="I4131" s="122" t="s">
        <v>1546</v>
      </c>
      <c r="J4131" s="307" t="s">
        <v>214</v>
      </c>
      <c r="K4131" s="127" t="s">
        <v>4625</v>
      </c>
      <c r="L4131" s="151" t="s">
        <v>110</v>
      </c>
      <c r="M4131">
        <v>13</v>
      </c>
      <c r="N4131" s="123">
        <v>20</v>
      </c>
      <c r="O4131">
        <v>2661</v>
      </c>
      <c r="P4131" s="132" t="s">
        <v>77</v>
      </c>
      <c r="Q4131" s="131">
        <v>67000</v>
      </c>
      <c r="R4131" s="131">
        <v>10720</v>
      </c>
      <c r="S4131" s="131"/>
      <c r="T4131" s="155">
        <v>7146.68</v>
      </c>
      <c r="U4131" s="131">
        <v>837.5</v>
      </c>
      <c r="V4131" s="131">
        <v>69735.820000000007</v>
      </c>
      <c r="W4131">
        <v>9</v>
      </c>
      <c r="X4131" s="151" t="s">
        <v>1429</v>
      </c>
      <c r="Y4131" s="135" t="s">
        <v>55</v>
      </c>
      <c r="Z4131" s="307">
        <v>257</v>
      </c>
      <c r="AB4131" t="str">
        <f>IF(Table1[[#This Row],[TIPO2]]="costo", VLOOKUP(Table1[[#This Row],[PARTIDA PRESUPUESTAL]],'Cost Report'!G:G,1,0),"Balance")</f>
        <v>1202-005</v>
      </c>
      <c r="AC4131" s="118"/>
      <c r="AD4131" s="159">
        <f>+Table1[[#This Row],[SUBTOTAL]]+Table1[[#This Row],[IVA]]-Table1[[#This Row],[RET IVA]]-Table1[[#This Row],[RET ISR]]-Table1[[#This Row],[TOTAL]]</f>
        <v>0</v>
      </c>
      <c r="AE4131" s="150"/>
      <c r="AF4131" s="151"/>
      <c r="AG4131" s="126"/>
      <c r="AK4131" s="306" t="str">
        <f>IF(ISNUMBER(Table1[[#This Row],[FECHA DE RECIBIDO]]), Table1[[#This Row],[FECHA DE RECIBIDO]]-DATE(2023,8,30), "")</f>
        <v/>
      </c>
    </row>
    <row r="4132" spans="1:37" ht="16.05" customHeight="1">
      <c r="A4132" s="152" t="s">
        <v>4336</v>
      </c>
      <c r="B4132" s="153">
        <v>1310</v>
      </c>
      <c r="C4132" s="126" t="s">
        <v>243</v>
      </c>
      <c r="D4132">
        <v>2793</v>
      </c>
      <c r="E4132" s="126" t="s">
        <v>1590</v>
      </c>
      <c r="F4132" s="125" t="s">
        <v>1589</v>
      </c>
      <c r="G4132" s="125" t="s">
        <v>129</v>
      </c>
      <c r="H4132">
        <v>16</v>
      </c>
      <c r="I4132" s="125" t="s">
        <v>1546</v>
      </c>
      <c r="J4132" s="308" t="s">
        <v>214</v>
      </c>
      <c r="K4132" s="127" t="s">
        <v>4625</v>
      </c>
      <c r="L4132" s="153" t="s">
        <v>110</v>
      </c>
      <c r="M4132">
        <v>21</v>
      </c>
      <c r="N4132" s="123">
        <v>2</v>
      </c>
      <c r="O4132">
        <v>2662</v>
      </c>
      <c r="P4132" s="132" t="s">
        <v>77</v>
      </c>
      <c r="Q4132" s="132">
        <v>42000</v>
      </c>
      <c r="R4132" s="132">
        <v>6720</v>
      </c>
      <c r="S4132" s="132"/>
      <c r="T4132" s="156">
        <v>4480.01</v>
      </c>
      <c r="U4132" s="132">
        <v>4200</v>
      </c>
      <c r="V4132" s="132">
        <v>40039.99</v>
      </c>
      <c r="W4132">
        <v>16</v>
      </c>
      <c r="X4132" s="153" t="s">
        <v>1429</v>
      </c>
      <c r="Y4132" s="124" t="s">
        <v>55</v>
      </c>
      <c r="Z4132" s="308">
        <v>257</v>
      </c>
      <c r="AB4132" t="str">
        <f>IF(Table1[[#This Row],[TIPO2]]="costo", VLOOKUP(Table1[[#This Row],[PARTIDA PRESUPUESTAL]],'Cost Report'!G:G,1,0),"Balance")</f>
        <v>1204-005</v>
      </c>
      <c r="AC4132" s="118"/>
      <c r="AD4132" s="159">
        <f>+Table1[[#This Row],[SUBTOTAL]]+Table1[[#This Row],[IVA]]-Table1[[#This Row],[RET IVA]]-Table1[[#This Row],[RET ISR]]-Table1[[#This Row],[TOTAL]]</f>
        <v>0</v>
      </c>
      <c r="AE4132" s="152"/>
      <c r="AF4132" s="153"/>
      <c r="AG4132" s="126"/>
      <c r="AK4132" s="306" t="str">
        <f>IF(ISNUMBER(Table1[[#This Row],[FECHA DE RECIBIDO]]), Table1[[#This Row],[FECHA DE RECIBIDO]]-DATE(2023,8,30), "")</f>
        <v/>
      </c>
    </row>
    <row r="4133" spans="1:37" ht="16.05" customHeight="1">
      <c r="A4133" s="150" t="s">
        <v>4337</v>
      </c>
      <c r="B4133" s="151">
        <v>1311</v>
      </c>
      <c r="C4133" s="126" t="s">
        <v>243</v>
      </c>
      <c r="D4133">
        <v>2794</v>
      </c>
      <c r="E4133" s="126" t="s">
        <v>1590</v>
      </c>
      <c r="F4133" s="122" t="s">
        <v>1589</v>
      </c>
      <c r="G4133" s="122" t="s">
        <v>129</v>
      </c>
      <c r="H4133">
        <v>16</v>
      </c>
      <c r="I4133" s="122" t="s">
        <v>1546</v>
      </c>
      <c r="J4133" s="307" t="s">
        <v>214</v>
      </c>
      <c r="K4133" s="127" t="s">
        <v>4625</v>
      </c>
      <c r="L4133" s="151" t="s">
        <v>110</v>
      </c>
      <c r="M4133">
        <v>21</v>
      </c>
      <c r="N4133" s="123">
        <v>2</v>
      </c>
      <c r="O4133">
        <v>2663</v>
      </c>
      <c r="P4133" s="132" t="s">
        <v>77</v>
      </c>
      <c r="Q4133" s="131">
        <v>42000</v>
      </c>
      <c r="R4133" s="131">
        <v>6720</v>
      </c>
      <c r="S4133" s="131"/>
      <c r="T4133" s="155">
        <v>4480.01</v>
      </c>
      <c r="U4133" s="131">
        <v>4200</v>
      </c>
      <c r="V4133" s="131">
        <v>40039.99</v>
      </c>
      <c r="W4133">
        <v>16</v>
      </c>
      <c r="X4133" s="151" t="s">
        <v>1429</v>
      </c>
      <c r="Y4133" s="135" t="s">
        <v>55</v>
      </c>
      <c r="Z4133" s="307">
        <v>257</v>
      </c>
      <c r="AB4133" t="str">
        <f>IF(Table1[[#This Row],[TIPO2]]="costo", VLOOKUP(Table1[[#This Row],[PARTIDA PRESUPUESTAL]],'Cost Report'!G:G,1,0),"Balance")</f>
        <v>1204-005</v>
      </c>
      <c r="AC4133" s="118"/>
      <c r="AD4133" s="159">
        <f>+Table1[[#This Row],[SUBTOTAL]]+Table1[[#This Row],[IVA]]-Table1[[#This Row],[RET IVA]]-Table1[[#This Row],[RET ISR]]-Table1[[#This Row],[TOTAL]]</f>
        <v>0</v>
      </c>
      <c r="AE4133" s="150"/>
      <c r="AF4133" s="151"/>
      <c r="AG4133" s="126"/>
      <c r="AK4133" s="306" t="str">
        <f>IF(ISNUMBER(Table1[[#This Row],[FECHA DE RECIBIDO]]), Table1[[#This Row],[FECHA DE RECIBIDO]]-DATE(2023,8,30), "")</f>
        <v/>
      </c>
    </row>
    <row r="4134" spans="1:37" ht="16.05" customHeight="1">
      <c r="A4134" s="152" t="s">
        <v>4338</v>
      </c>
      <c r="B4134" s="153">
        <v>1312</v>
      </c>
      <c r="C4134" s="126" t="s">
        <v>435</v>
      </c>
      <c r="D4134">
        <v>2795</v>
      </c>
      <c r="E4134" s="126" t="s">
        <v>1591</v>
      </c>
      <c r="F4134" s="125" t="s">
        <v>1589</v>
      </c>
      <c r="G4134" s="125" t="s">
        <v>129</v>
      </c>
      <c r="H4134">
        <v>17</v>
      </c>
      <c r="I4134" s="125" t="s">
        <v>1546</v>
      </c>
      <c r="J4134" s="308" t="s">
        <v>214</v>
      </c>
      <c r="K4134" s="127" t="s">
        <v>4625</v>
      </c>
      <c r="L4134" s="153" t="s">
        <v>110</v>
      </c>
      <c r="M4134">
        <v>22</v>
      </c>
      <c r="N4134" s="123">
        <v>3</v>
      </c>
      <c r="O4134">
        <v>2664</v>
      </c>
      <c r="P4134" s="132" t="s">
        <v>77</v>
      </c>
      <c r="Q4134" s="132">
        <v>40000</v>
      </c>
      <c r="R4134" s="132">
        <v>6400</v>
      </c>
      <c r="S4134" s="132"/>
      <c r="T4134" s="156">
        <v>4266.68</v>
      </c>
      <c r="U4134" s="132">
        <v>4000</v>
      </c>
      <c r="V4134" s="132">
        <v>38133.32</v>
      </c>
      <c r="W4134">
        <v>17</v>
      </c>
      <c r="X4134" s="153" t="s">
        <v>1430</v>
      </c>
      <c r="Y4134" s="124" t="s">
        <v>55</v>
      </c>
      <c r="Z4134" s="308">
        <v>257</v>
      </c>
      <c r="AB4134" t="str">
        <f>IF(Table1[[#This Row],[TIPO2]]="costo", VLOOKUP(Table1[[#This Row],[PARTIDA PRESUPUESTAL]],'Cost Report'!G:G,1,0),"Balance")</f>
        <v>2001-005</v>
      </c>
      <c r="AC4134" s="118"/>
      <c r="AD4134" s="159">
        <f>+Table1[[#This Row],[SUBTOTAL]]+Table1[[#This Row],[IVA]]-Table1[[#This Row],[RET IVA]]-Table1[[#This Row],[RET ISR]]-Table1[[#This Row],[TOTAL]]</f>
        <v>0</v>
      </c>
      <c r="AE4134" s="152"/>
      <c r="AF4134" s="153"/>
      <c r="AG4134" s="126"/>
      <c r="AK4134" s="306" t="str">
        <f>IF(ISNUMBER(Table1[[#This Row],[FECHA DE RECIBIDO]]), Table1[[#This Row],[FECHA DE RECIBIDO]]-DATE(2023,8,30), "")</f>
        <v/>
      </c>
    </row>
    <row r="4135" spans="1:37" ht="16.05" customHeight="1">
      <c r="A4135" s="150" t="s">
        <v>4339</v>
      </c>
      <c r="B4135" s="151">
        <v>1313</v>
      </c>
      <c r="C4135" s="126" t="s">
        <v>2143</v>
      </c>
      <c r="D4135">
        <v>2796</v>
      </c>
      <c r="E4135" s="126" t="s">
        <v>1592</v>
      </c>
      <c r="F4135" s="122" t="s">
        <v>1593</v>
      </c>
      <c r="G4135" s="122" t="s">
        <v>109</v>
      </c>
      <c r="H4135">
        <v>18</v>
      </c>
      <c r="I4135" s="122" t="s">
        <v>1546</v>
      </c>
      <c r="J4135" s="307" t="s">
        <v>214</v>
      </c>
      <c r="K4135" s="127" t="s">
        <v>4625</v>
      </c>
      <c r="L4135" s="151" t="s">
        <v>110</v>
      </c>
      <c r="M4135">
        <v>23</v>
      </c>
      <c r="N4135" s="123">
        <v>4</v>
      </c>
      <c r="O4135">
        <v>2665</v>
      </c>
      <c r="P4135" s="132" t="s">
        <v>77</v>
      </c>
      <c r="Q4135" s="131">
        <v>20000</v>
      </c>
      <c r="R4135" s="131">
        <v>3200</v>
      </c>
      <c r="S4135" s="131"/>
      <c r="T4135" s="155">
        <v>2133.34</v>
      </c>
      <c r="U4135" s="131">
        <v>250</v>
      </c>
      <c r="V4135" s="131">
        <v>20816.66</v>
      </c>
      <c r="W4135">
        <v>18</v>
      </c>
      <c r="X4135" s="151" t="s">
        <v>1429</v>
      </c>
      <c r="Y4135" s="135" t="s">
        <v>55</v>
      </c>
      <c r="Z4135" s="307">
        <v>257</v>
      </c>
      <c r="AB4135" t="str">
        <f>IF(Table1[[#This Row],[TIPO2]]="costo", VLOOKUP(Table1[[#This Row],[PARTIDA PRESUPUESTAL]],'Cost Report'!G:G,1,0),"Balance")</f>
        <v>1222-009</v>
      </c>
      <c r="AC4135" s="118"/>
      <c r="AD4135" s="159">
        <f>+Table1[[#This Row],[SUBTOTAL]]+Table1[[#This Row],[IVA]]-Table1[[#This Row],[RET IVA]]-Table1[[#This Row],[RET ISR]]-Table1[[#This Row],[TOTAL]]</f>
        <v>0</v>
      </c>
      <c r="AE4135" s="150"/>
      <c r="AF4135" s="151"/>
      <c r="AG4135" s="126"/>
      <c r="AK4135" s="306" t="str">
        <f>IF(ISNUMBER(Table1[[#This Row],[FECHA DE RECIBIDO]]), Table1[[#This Row],[FECHA DE RECIBIDO]]-DATE(2023,8,30), "")</f>
        <v/>
      </c>
    </row>
    <row r="4136" spans="1:37" ht="16.05" customHeight="1">
      <c r="A4136" s="152" t="s">
        <v>4340</v>
      </c>
      <c r="B4136" s="153">
        <v>1314</v>
      </c>
      <c r="C4136" s="126" t="s">
        <v>478</v>
      </c>
      <c r="D4136">
        <v>2797</v>
      </c>
      <c r="E4136" s="126" t="s">
        <v>1594</v>
      </c>
      <c r="F4136" s="125" t="s">
        <v>1593</v>
      </c>
      <c r="G4136" s="125" t="s">
        <v>109</v>
      </c>
      <c r="H4136">
        <v>21</v>
      </c>
      <c r="I4136" s="125" t="s">
        <v>1546</v>
      </c>
      <c r="J4136" s="308" t="s">
        <v>214</v>
      </c>
      <c r="K4136" s="127" t="s">
        <v>4625</v>
      </c>
      <c r="L4136" s="153" t="s">
        <v>110</v>
      </c>
      <c r="M4136">
        <v>27</v>
      </c>
      <c r="N4136" s="123">
        <v>5</v>
      </c>
      <c r="O4136">
        <v>2666</v>
      </c>
      <c r="P4136" s="132" t="s">
        <v>77</v>
      </c>
      <c r="Q4136" s="132">
        <v>16000</v>
      </c>
      <c r="R4136" s="132">
        <v>2560</v>
      </c>
      <c r="S4136" s="132"/>
      <c r="T4136" s="156">
        <v>1706.66</v>
      </c>
      <c r="U4136" s="132">
        <v>200</v>
      </c>
      <c r="V4136" s="132">
        <v>16653.34</v>
      </c>
      <c r="W4136">
        <v>21</v>
      </c>
      <c r="X4136" s="153" t="s">
        <v>1431</v>
      </c>
      <c r="Y4136" s="124" t="s">
        <v>55</v>
      </c>
      <c r="Z4136" s="308">
        <v>257</v>
      </c>
      <c r="AB4136" t="str">
        <f>IF(Table1[[#This Row],[TIPO2]]="costo", VLOOKUP(Table1[[#This Row],[PARTIDA PRESUPUESTAL]],'Cost Report'!G:G,1,0),"Balance")</f>
        <v>2014-004</v>
      </c>
      <c r="AC4136" s="118"/>
      <c r="AD4136" s="159">
        <f>+Table1[[#This Row],[SUBTOTAL]]+Table1[[#This Row],[IVA]]-Table1[[#This Row],[RET IVA]]-Table1[[#This Row],[RET ISR]]-Table1[[#This Row],[TOTAL]]</f>
        <v>0</v>
      </c>
      <c r="AE4136" s="152"/>
      <c r="AF4136" s="153"/>
      <c r="AG4136" s="126"/>
      <c r="AK4136" s="306" t="str">
        <f>IF(ISNUMBER(Table1[[#This Row],[FECHA DE RECIBIDO]]), Table1[[#This Row],[FECHA DE RECIBIDO]]-DATE(2023,8,30), "")</f>
        <v/>
      </c>
    </row>
    <row r="4137" spans="1:37" ht="16.05" customHeight="1">
      <c r="A4137" s="150" t="s">
        <v>4341</v>
      </c>
      <c r="B4137" s="151">
        <v>1315</v>
      </c>
      <c r="C4137" s="126" t="s">
        <v>491</v>
      </c>
      <c r="D4137">
        <v>2798</v>
      </c>
      <c r="E4137" s="126" t="s">
        <v>2010</v>
      </c>
      <c r="F4137" s="122" t="s">
        <v>1589</v>
      </c>
      <c r="G4137" s="122" t="s">
        <v>129</v>
      </c>
      <c r="H4137">
        <v>60</v>
      </c>
      <c r="I4137" s="122" t="s">
        <v>1546</v>
      </c>
      <c r="J4137" s="307" t="s">
        <v>214</v>
      </c>
      <c r="K4137" s="127" t="s">
        <v>4625</v>
      </c>
      <c r="L4137" s="151" t="s">
        <v>110</v>
      </c>
      <c r="M4137">
        <v>83</v>
      </c>
      <c r="N4137" s="123">
        <v>19</v>
      </c>
      <c r="O4137">
        <v>2667</v>
      </c>
      <c r="P4137" s="132" t="s">
        <v>77</v>
      </c>
      <c r="Q4137" s="131">
        <v>37800</v>
      </c>
      <c r="R4137" s="131">
        <v>6048</v>
      </c>
      <c r="S4137" s="131"/>
      <c r="T4137" s="155">
        <v>4032.02</v>
      </c>
      <c r="U4137" s="131">
        <v>3780</v>
      </c>
      <c r="V4137" s="131">
        <v>36035.980000000003</v>
      </c>
      <c r="W4137">
        <v>42</v>
      </c>
      <c r="X4137" s="151" t="s">
        <v>1430</v>
      </c>
      <c r="Y4137" s="135" t="s">
        <v>55</v>
      </c>
      <c r="Z4137" s="307">
        <v>257</v>
      </c>
      <c r="AB4137" t="str">
        <f>IF(Table1[[#This Row],[TIPO2]]="costo", VLOOKUP(Table1[[#This Row],[PARTIDA PRESUPUESTAL]],'Cost Report'!G:G,1,0),"Balance")</f>
        <v>2020-004</v>
      </c>
      <c r="AC4137" s="118"/>
      <c r="AD4137" s="159">
        <f>+Table1[[#This Row],[SUBTOTAL]]+Table1[[#This Row],[IVA]]-Table1[[#This Row],[RET IVA]]-Table1[[#This Row],[RET ISR]]-Table1[[#This Row],[TOTAL]]</f>
        <v>0</v>
      </c>
      <c r="AE4137" s="150"/>
      <c r="AF4137" s="151"/>
      <c r="AG4137" s="126"/>
      <c r="AK4137" s="306" t="str">
        <f>IF(ISNUMBER(Table1[[#This Row],[FECHA DE RECIBIDO]]), Table1[[#This Row],[FECHA DE RECIBIDO]]-DATE(2023,8,30), "")</f>
        <v/>
      </c>
    </row>
    <row r="4138" spans="1:37" ht="16.05" customHeight="1">
      <c r="A4138" s="152" t="s">
        <v>4342</v>
      </c>
      <c r="B4138" s="153">
        <v>1316</v>
      </c>
      <c r="C4138" s="126" t="s">
        <v>246</v>
      </c>
      <c r="D4138">
        <v>2799</v>
      </c>
      <c r="E4138" s="126" t="s">
        <v>1595</v>
      </c>
      <c r="F4138" s="125" t="s">
        <v>1589</v>
      </c>
      <c r="G4138" s="125" t="s">
        <v>129</v>
      </c>
      <c r="H4138">
        <v>104</v>
      </c>
      <c r="I4138" s="125" t="s">
        <v>1546</v>
      </c>
      <c r="J4138" s="308" t="s">
        <v>214</v>
      </c>
      <c r="K4138" s="127" t="s">
        <v>4625</v>
      </c>
      <c r="L4138" s="153" t="s">
        <v>110</v>
      </c>
      <c r="M4138">
        <v>142</v>
      </c>
      <c r="N4138" s="123">
        <v>34</v>
      </c>
      <c r="O4138">
        <v>2668</v>
      </c>
      <c r="P4138" s="132" t="s">
        <v>77</v>
      </c>
      <c r="Q4138" s="132">
        <v>21000</v>
      </c>
      <c r="R4138" s="132">
        <v>3360</v>
      </c>
      <c r="S4138" s="132"/>
      <c r="T4138" s="156">
        <v>2239.9899999999998</v>
      </c>
      <c r="U4138" s="132">
        <v>2100</v>
      </c>
      <c r="V4138" s="132">
        <v>20020.010000000002</v>
      </c>
      <c r="W4138">
        <v>66</v>
      </c>
      <c r="X4138" s="153" t="s">
        <v>1429</v>
      </c>
      <c r="Y4138" s="124" t="s">
        <v>55</v>
      </c>
      <c r="Z4138" s="308">
        <v>257</v>
      </c>
      <c r="AB4138" t="str">
        <f>IF(Table1[[#This Row],[TIPO2]]="costo", VLOOKUP(Table1[[#This Row],[PARTIDA PRESUPUESTAL]],'Cost Report'!G:G,1,0),"Balance")</f>
        <v>1222-004</v>
      </c>
      <c r="AC4138" s="118"/>
      <c r="AD4138" s="159">
        <f>+Table1[[#This Row],[SUBTOTAL]]+Table1[[#This Row],[IVA]]-Table1[[#This Row],[RET IVA]]-Table1[[#This Row],[RET ISR]]-Table1[[#This Row],[TOTAL]]</f>
        <v>0</v>
      </c>
      <c r="AE4138" s="152"/>
      <c r="AF4138" s="153"/>
      <c r="AG4138" s="126"/>
      <c r="AK4138" s="306" t="str">
        <f>IF(ISNUMBER(Table1[[#This Row],[FECHA DE RECIBIDO]]), Table1[[#This Row],[FECHA DE RECIBIDO]]-DATE(2023,8,30), "")</f>
        <v/>
      </c>
    </row>
    <row r="4139" spans="1:37" ht="16.05" customHeight="1">
      <c r="A4139" s="150" t="s">
        <v>4343</v>
      </c>
      <c r="B4139" s="151">
        <v>1317</v>
      </c>
      <c r="C4139" s="126" t="s">
        <v>246</v>
      </c>
      <c r="D4139">
        <v>2800</v>
      </c>
      <c r="E4139" s="126" t="s">
        <v>1595</v>
      </c>
      <c r="F4139" s="122" t="s">
        <v>1589</v>
      </c>
      <c r="G4139" s="122" t="s">
        <v>129</v>
      </c>
      <c r="H4139">
        <v>104</v>
      </c>
      <c r="I4139" s="122" t="s">
        <v>1546</v>
      </c>
      <c r="J4139" s="307" t="s">
        <v>214</v>
      </c>
      <c r="K4139" s="127" t="s">
        <v>4625</v>
      </c>
      <c r="L4139" s="151" t="s">
        <v>110</v>
      </c>
      <c r="M4139">
        <v>142</v>
      </c>
      <c r="N4139" s="123">
        <v>34</v>
      </c>
      <c r="O4139">
        <v>2669</v>
      </c>
      <c r="P4139" s="132" t="s">
        <v>77</v>
      </c>
      <c r="Q4139" s="131">
        <v>21000</v>
      </c>
      <c r="R4139" s="131">
        <v>3360</v>
      </c>
      <c r="S4139" s="131"/>
      <c r="T4139" s="155">
        <v>2240.0100000000002</v>
      </c>
      <c r="U4139" s="131">
        <v>2100</v>
      </c>
      <c r="V4139" s="131">
        <v>20019.989999999998</v>
      </c>
      <c r="W4139">
        <v>66</v>
      </c>
      <c r="X4139" s="151" t="s">
        <v>1429</v>
      </c>
      <c r="Y4139" s="135" t="s">
        <v>55</v>
      </c>
      <c r="Z4139" s="307">
        <v>257</v>
      </c>
      <c r="AB4139" t="str">
        <f>IF(Table1[[#This Row],[TIPO2]]="costo", VLOOKUP(Table1[[#This Row],[PARTIDA PRESUPUESTAL]],'Cost Report'!G:G,1,0),"Balance")</f>
        <v>1222-004</v>
      </c>
      <c r="AC4139" s="118"/>
      <c r="AD4139" s="159">
        <f>+Table1[[#This Row],[SUBTOTAL]]+Table1[[#This Row],[IVA]]-Table1[[#This Row],[RET IVA]]-Table1[[#This Row],[RET ISR]]-Table1[[#This Row],[TOTAL]]</f>
        <v>0</v>
      </c>
      <c r="AE4139" s="150"/>
      <c r="AF4139" s="151"/>
      <c r="AG4139" s="126"/>
      <c r="AK4139" s="306" t="str">
        <f>IF(ISNUMBER(Table1[[#This Row],[FECHA DE RECIBIDO]]), Table1[[#This Row],[FECHA DE RECIBIDO]]-DATE(2023,8,30), "")</f>
        <v/>
      </c>
    </row>
    <row r="4140" spans="1:37" ht="16.05" customHeight="1">
      <c r="A4140" s="152" t="s">
        <v>4344</v>
      </c>
      <c r="B4140" s="153">
        <v>1318</v>
      </c>
      <c r="C4140" s="126" t="s">
        <v>523</v>
      </c>
      <c r="D4140">
        <v>2801</v>
      </c>
      <c r="E4140" s="126" t="s">
        <v>3165</v>
      </c>
      <c r="F4140" s="125" t="s">
        <v>1589</v>
      </c>
      <c r="G4140" s="125" t="s">
        <v>129</v>
      </c>
      <c r="H4140">
        <v>198</v>
      </c>
      <c r="I4140" s="125" t="s">
        <v>1546</v>
      </c>
      <c r="J4140" s="308" t="s">
        <v>214</v>
      </c>
      <c r="K4140" s="127" t="s">
        <v>4625</v>
      </c>
      <c r="L4140" s="153" t="s">
        <v>110</v>
      </c>
      <c r="M4140">
        <v>263</v>
      </c>
      <c r="N4140" s="123">
        <v>63</v>
      </c>
      <c r="O4140">
        <v>2670</v>
      </c>
      <c r="P4140" s="132" t="s">
        <v>77</v>
      </c>
      <c r="Q4140" s="132">
        <v>16000</v>
      </c>
      <c r="R4140" s="132">
        <v>2560</v>
      </c>
      <c r="S4140" s="132"/>
      <c r="T4140" s="156">
        <v>1706.66</v>
      </c>
      <c r="U4140" s="132">
        <v>1600</v>
      </c>
      <c r="V4140" s="132">
        <v>15253.34</v>
      </c>
      <c r="W4140">
        <v>119</v>
      </c>
      <c r="X4140" s="153" t="s">
        <v>1429</v>
      </c>
      <c r="Y4140" s="124" t="s">
        <v>55</v>
      </c>
      <c r="Z4140" s="308">
        <v>257</v>
      </c>
      <c r="AB4140" t="str">
        <f>IF(Table1[[#This Row],[TIPO2]]="costo", VLOOKUP(Table1[[#This Row],[PARTIDA PRESUPUESTAL]],'Cost Report'!G:G,1,0),"Balance")</f>
        <v>2045-004</v>
      </c>
      <c r="AC4140" s="118"/>
      <c r="AD4140" s="159">
        <f>+Table1[[#This Row],[SUBTOTAL]]+Table1[[#This Row],[IVA]]-Table1[[#This Row],[RET IVA]]-Table1[[#This Row],[RET ISR]]-Table1[[#This Row],[TOTAL]]</f>
        <v>0</v>
      </c>
      <c r="AE4140" s="152"/>
      <c r="AF4140" s="153"/>
      <c r="AG4140" s="126"/>
      <c r="AK4140" s="306" t="str">
        <f>IF(ISNUMBER(Table1[[#This Row],[FECHA DE RECIBIDO]]), Table1[[#This Row],[FECHA DE RECIBIDO]]-DATE(2023,8,30), "")</f>
        <v/>
      </c>
    </row>
    <row r="4141" spans="1:37" ht="16.05" customHeight="1">
      <c r="A4141" s="150" t="s">
        <v>4345</v>
      </c>
      <c r="B4141" s="151">
        <v>1319</v>
      </c>
      <c r="C4141" s="126" t="s">
        <v>495</v>
      </c>
      <c r="D4141">
        <v>2802</v>
      </c>
      <c r="E4141" s="126" t="s">
        <v>3167</v>
      </c>
      <c r="F4141" s="122" t="s">
        <v>1593</v>
      </c>
      <c r="G4141" s="122" t="s">
        <v>109</v>
      </c>
      <c r="H4141">
        <v>199</v>
      </c>
      <c r="I4141" s="122" t="s">
        <v>1546</v>
      </c>
      <c r="J4141" s="307" t="s">
        <v>214</v>
      </c>
      <c r="K4141" s="127" t="s">
        <v>4625</v>
      </c>
      <c r="L4141" s="151" t="s">
        <v>110</v>
      </c>
      <c r="M4141">
        <v>264</v>
      </c>
      <c r="N4141" s="123">
        <v>64</v>
      </c>
      <c r="O4141">
        <v>2671</v>
      </c>
      <c r="P4141" s="132" t="s">
        <v>77</v>
      </c>
      <c r="Q4141" s="131">
        <v>18000</v>
      </c>
      <c r="R4141" s="131">
        <v>2880</v>
      </c>
      <c r="S4141" s="131"/>
      <c r="T4141" s="155">
        <v>1920</v>
      </c>
      <c r="U4141" s="131">
        <v>225</v>
      </c>
      <c r="V4141" s="131">
        <v>18735</v>
      </c>
      <c r="W4141">
        <v>120</v>
      </c>
      <c r="X4141" s="151" t="s">
        <v>1429</v>
      </c>
      <c r="Y4141" s="135" t="s">
        <v>55</v>
      </c>
      <c r="Z4141" s="307">
        <v>257</v>
      </c>
      <c r="AB4141" t="str">
        <f>IF(Table1[[#This Row],[TIPO2]]="costo", VLOOKUP(Table1[[#This Row],[PARTIDA PRESUPUESTAL]],'Cost Report'!G:G,1,0),"Balance")</f>
        <v>2020-010</v>
      </c>
      <c r="AC4141" s="118"/>
      <c r="AD4141" s="159">
        <f>+Table1[[#This Row],[SUBTOTAL]]+Table1[[#This Row],[IVA]]-Table1[[#This Row],[RET IVA]]-Table1[[#This Row],[RET ISR]]-Table1[[#This Row],[TOTAL]]</f>
        <v>0</v>
      </c>
      <c r="AE4141" s="150"/>
      <c r="AF4141" s="151"/>
      <c r="AG4141" s="126"/>
      <c r="AK4141" s="306" t="str">
        <f>IF(ISNUMBER(Table1[[#This Row],[FECHA DE RECIBIDO]]), Table1[[#This Row],[FECHA DE RECIBIDO]]-DATE(2023,8,30), "")</f>
        <v/>
      </c>
    </row>
    <row r="4142" spans="1:37" ht="16.05" customHeight="1">
      <c r="A4142" s="152" t="s">
        <v>4346</v>
      </c>
      <c r="B4142" s="153">
        <v>1320</v>
      </c>
      <c r="C4142" s="126" t="s">
        <v>485</v>
      </c>
      <c r="D4142">
        <v>2803</v>
      </c>
      <c r="E4142" s="126" t="s">
        <v>3169</v>
      </c>
      <c r="F4142" s="125" t="s">
        <v>1593</v>
      </c>
      <c r="G4142" s="125" t="s">
        <v>109</v>
      </c>
      <c r="H4142">
        <v>200</v>
      </c>
      <c r="I4142" s="125" t="s">
        <v>1546</v>
      </c>
      <c r="J4142" s="308" t="s">
        <v>214</v>
      </c>
      <c r="K4142" s="127" t="s">
        <v>4625</v>
      </c>
      <c r="L4142" s="153" t="s">
        <v>110</v>
      </c>
      <c r="M4142">
        <v>265</v>
      </c>
      <c r="N4142" s="123">
        <v>65</v>
      </c>
      <c r="O4142">
        <v>2672</v>
      </c>
      <c r="P4142" s="132" t="s">
        <v>77</v>
      </c>
      <c r="Q4142" s="132">
        <v>12400</v>
      </c>
      <c r="R4142" s="132">
        <v>1984</v>
      </c>
      <c r="S4142" s="132"/>
      <c r="T4142" s="156">
        <v>1322.68</v>
      </c>
      <c r="U4142" s="132">
        <v>155</v>
      </c>
      <c r="V4142" s="132">
        <v>12906.32</v>
      </c>
      <c r="W4142">
        <v>121</v>
      </c>
      <c r="X4142" s="153" t="s">
        <v>1429</v>
      </c>
      <c r="Y4142" s="124" t="s">
        <v>55</v>
      </c>
      <c r="Z4142" s="308">
        <v>257</v>
      </c>
      <c r="AB4142" t="str">
        <f>IF(Table1[[#This Row],[TIPO2]]="costo", VLOOKUP(Table1[[#This Row],[PARTIDA PRESUPUESTAL]],'Cost Report'!G:G,1,0),"Balance")</f>
        <v>2019-004</v>
      </c>
      <c r="AC4142" s="118"/>
      <c r="AD4142" s="159">
        <f>+Table1[[#This Row],[SUBTOTAL]]+Table1[[#This Row],[IVA]]-Table1[[#This Row],[RET IVA]]-Table1[[#This Row],[RET ISR]]-Table1[[#This Row],[TOTAL]]</f>
        <v>0</v>
      </c>
      <c r="AE4142" s="152"/>
      <c r="AF4142" s="153"/>
      <c r="AG4142" s="126"/>
      <c r="AK4142" s="306" t="str">
        <f>IF(ISNUMBER(Table1[[#This Row],[FECHA DE RECIBIDO]]), Table1[[#This Row],[FECHA DE RECIBIDO]]-DATE(2023,8,30), "")</f>
        <v/>
      </c>
    </row>
    <row r="4143" spans="1:37" ht="16.05" customHeight="1">
      <c r="A4143" s="150" t="s">
        <v>4347</v>
      </c>
      <c r="B4143" s="151">
        <v>1321</v>
      </c>
      <c r="C4143" s="126" t="s">
        <v>2891</v>
      </c>
      <c r="D4143">
        <v>2804</v>
      </c>
      <c r="E4143" s="126" t="s">
        <v>3171</v>
      </c>
      <c r="F4143" s="122" t="s">
        <v>1602</v>
      </c>
      <c r="G4143" s="122" t="s">
        <v>1617</v>
      </c>
      <c r="H4143">
        <v>201</v>
      </c>
      <c r="I4143" s="122" t="s">
        <v>1546</v>
      </c>
      <c r="J4143" s="307" t="s">
        <v>214</v>
      </c>
      <c r="K4143" s="127" t="s">
        <v>4625</v>
      </c>
      <c r="L4143" s="151" t="s">
        <v>110</v>
      </c>
      <c r="M4143">
        <v>266</v>
      </c>
      <c r="N4143" s="123">
        <v>66</v>
      </c>
      <c r="O4143">
        <v>2673</v>
      </c>
      <c r="P4143" s="132" t="s">
        <v>77</v>
      </c>
      <c r="Q4143" s="131">
        <v>5000</v>
      </c>
      <c r="R4143" s="131">
        <v>800</v>
      </c>
      <c r="S4143" s="131"/>
      <c r="T4143" s="155">
        <v>533.34</v>
      </c>
      <c r="U4143" s="131">
        <v>0</v>
      </c>
      <c r="V4143" s="131">
        <v>5266.66</v>
      </c>
      <c r="W4143">
        <v>122</v>
      </c>
      <c r="X4143" s="151" t="s">
        <v>1434</v>
      </c>
      <c r="Y4143" s="135" t="s">
        <v>55</v>
      </c>
      <c r="Z4143" s="307">
        <v>257</v>
      </c>
      <c r="AB4143" t="str">
        <f>IF(Table1[[#This Row],[TIPO2]]="costo", VLOOKUP(Table1[[#This Row],[PARTIDA PRESUPUESTAL]],'Cost Report'!G:G,1,0),"Balance")</f>
        <v>3683-128</v>
      </c>
      <c r="AC4143" s="118"/>
      <c r="AD4143" s="159">
        <f>+Table1[[#This Row],[SUBTOTAL]]+Table1[[#This Row],[IVA]]-Table1[[#This Row],[RET IVA]]-Table1[[#This Row],[RET ISR]]-Table1[[#This Row],[TOTAL]]</f>
        <v>0</v>
      </c>
      <c r="AE4143" s="150"/>
      <c r="AF4143" s="151"/>
      <c r="AG4143" s="126"/>
      <c r="AK4143" s="306" t="str">
        <f>IF(ISNUMBER(Table1[[#This Row],[FECHA DE RECIBIDO]]), Table1[[#This Row],[FECHA DE RECIBIDO]]-DATE(2023,8,30), "")</f>
        <v/>
      </c>
    </row>
    <row r="4144" spans="1:37" ht="16.05" customHeight="1">
      <c r="A4144" s="152" t="s">
        <v>4348</v>
      </c>
      <c r="B4144" s="153">
        <v>1322</v>
      </c>
      <c r="C4144" s="126" t="s">
        <v>499</v>
      </c>
      <c r="D4144">
        <v>2805</v>
      </c>
      <c r="E4144" s="126" t="s">
        <v>1646</v>
      </c>
      <c r="F4144" s="125" t="s">
        <v>1593</v>
      </c>
      <c r="G4144" s="125" t="s">
        <v>109</v>
      </c>
      <c r="H4144">
        <v>342</v>
      </c>
      <c r="I4144" s="125" t="s">
        <v>1546</v>
      </c>
      <c r="J4144" s="308" t="s">
        <v>214</v>
      </c>
      <c r="K4144" s="127" t="s">
        <v>4625</v>
      </c>
      <c r="L4144" s="153" t="s">
        <v>110</v>
      </c>
      <c r="M4144">
        <v>459</v>
      </c>
      <c r="N4144" s="123">
        <v>84</v>
      </c>
      <c r="O4144">
        <v>2674</v>
      </c>
      <c r="P4144" s="132" t="s">
        <v>77</v>
      </c>
      <c r="Q4144" s="132">
        <v>14000</v>
      </c>
      <c r="R4144" s="132">
        <v>2240</v>
      </c>
      <c r="S4144" s="132"/>
      <c r="T4144" s="156">
        <v>1493.34</v>
      </c>
      <c r="U4144" s="132">
        <v>175</v>
      </c>
      <c r="V4144" s="132">
        <v>14571.66</v>
      </c>
      <c r="W4144">
        <v>179</v>
      </c>
      <c r="X4144" s="153" t="s">
        <v>1429</v>
      </c>
      <c r="Y4144" s="124" t="s">
        <v>55</v>
      </c>
      <c r="Z4144" s="308">
        <v>257</v>
      </c>
      <c r="AB4144" t="str">
        <f>IF(Table1[[#This Row],[TIPO2]]="costo", VLOOKUP(Table1[[#This Row],[PARTIDA PRESUPUESTAL]],'Cost Report'!G:G,1,0),"Balance")</f>
        <v>2020-016</v>
      </c>
      <c r="AC4144" s="118"/>
      <c r="AD4144" s="159">
        <f>+Table1[[#This Row],[SUBTOTAL]]+Table1[[#This Row],[IVA]]-Table1[[#This Row],[RET IVA]]-Table1[[#This Row],[RET ISR]]-Table1[[#This Row],[TOTAL]]</f>
        <v>0</v>
      </c>
      <c r="AE4144" s="152"/>
      <c r="AF4144" s="153"/>
      <c r="AG4144" s="126"/>
      <c r="AK4144" s="306" t="str">
        <f>IF(ISNUMBER(Table1[[#This Row],[FECHA DE RECIBIDO]]), Table1[[#This Row],[FECHA DE RECIBIDO]]-DATE(2023,8,30), "")</f>
        <v/>
      </c>
    </row>
    <row r="4145" spans="1:37" ht="16.05" customHeight="1">
      <c r="A4145" s="150" t="s">
        <v>4349</v>
      </c>
      <c r="B4145" s="151">
        <v>1323</v>
      </c>
      <c r="C4145" s="126" t="s">
        <v>2424</v>
      </c>
      <c r="D4145">
        <v>2806</v>
      </c>
      <c r="E4145" s="126" t="s">
        <v>1997</v>
      </c>
      <c r="F4145" s="122" t="s">
        <v>1589</v>
      </c>
      <c r="G4145" s="122" t="s">
        <v>129</v>
      </c>
      <c r="H4145">
        <v>494</v>
      </c>
      <c r="I4145" s="122" t="s">
        <v>1546</v>
      </c>
      <c r="J4145" s="307" t="s">
        <v>214</v>
      </c>
      <c r="K4145" s="127" t="s">
        <v>4625</v>
      </c>
      <c r="L4145" s="151" t="s">
        <v>110</v>
      </c>
      <c r="M4145">
        <v>718</v>
      </c>
      <c r="N4145" s="123">
        <v>123</v>
      </c>
      <c r="O4145">
        <v>2675</v>
      </c>
      <c r="P4145" s="132" t="s">
        <v>77</v>
      </c>
      <c r="Q4145" s="131">
        <v>12400</v>
      </c>
      <c r="R4145" s="131">
        <v>1984</v>
      </c>
      <c r="S4145" s="131"/>
      <c r="T4145" s="155">
        <v>1322.68</v>
      </c>
      <c r="U4145" s="131">
        <v>1240</v>
      </c>
      <c r="V4145" s="131">
        <v>11821.32</v>
      </c>
      <c r="W4145">
        <v>266</v>
      </c>
      <c r="X4145" s="151" t="s">
        <v>1429</v>
      </c>
      <c r="Y4145" s="135" t="s">
        <v>55</v>
      </c>
      <c r="Z4145" s="307">
        <v>257</v>
      </c>
      <c r="AB4145" t="str">
        <f>IF(Table1[[#This Row],[TIPO2]]="costo", VLOOKUP(Table1[[#This Row],[PARTIDA PRESUPUESTAL]],'Cost Report'!G:G,1,0),"Balance")</f>
        <v>2019-010</v>
      </c>
      <c r="AC4145" s="118"/>
      <c r="AD4145" s="159">
        <f>+Table1[[#This Row],[SUBTOTAL]]+Table1[[#This Row],[IVA]]-Table1[[#This Row],[RET IVA]]-Table1[[#This Row],[RET ISR]]-Table1[[#This Row],[TOTAL]]</f>
        <v>0</v>
      </c>
      <c r="AE4145" s="150"/>
      <c r="AF4145" s="151"/>
      <c r="AG4145" s="126"/>
      <c r="AK4145" s="306" t="str">
        <f>IF(ISNUMBER(Table1[[#This Row],[FECHA DE RECIBIDO]]), Table1[[#This Row],[FECHA DE RECIBIDO]]-DATE(2023,8,30), "")</f>
        <v/>
      </c>
    </row>
    <row r="4146" spans="1:37" ht="16.05" customHeight="1">
      <c r="A4146" s="152" t="s">
        <v>4350</v>
      </c>
      <c r="B4146" s="153">
        <v>1324</v>
      </c>
      <c r="C4146" s="126" t="s">
        <v>2373</v>
      </c>
      <c r="D4146">
        <v>2807</v>
      </c>
      <c r="E4146" s="126" t="s">
        <v>1599</v>
      </c>
      <c r="F4146" s="125" t="s">
        <v>1589</v>
      </c>
      <c r="G4146" s="125" t="s">
        <v>129</v>
      </c>
      <c r="H4146">
        <v>495</v>
      </c>
      <c r="I4146" s="125" t="s">
        <v>1546</v>
      </c>
      <c r="J4146" s="308" t="s">
        <v>214</v>
      </c>
      <c r="K4146" s="127" t="s">
        <v>4625</v>
      </c>
      <c r="L4146" s="153" t="s">
        <v>110</v>
      </c>
      <c r="M4146">
        <v>719</v>
      </c>
      <c r="N4146" s="123">
        <v>124</v>
      </c>
      <c r="O4146">
        <v>2676</v>
      </c>
      <c r="P4146" s="132" t="s">
        <v>77</v>
      </c>
      <c r="Q4146" s="132">
        <v>20000</v>
      </c>
      <c r="R4146" s="132">
        <v>3200</v>
      </c>
      <c r="S4146" s="132"/>
      <c r="T4146" s="156">
        <v>2133.34</v>
      </c>
      <c r="U4146" s="132">
        <v>2000</v>
      </c>
      <c r="V4146" s="132">
        <v>19066.66</v>
      </c>
      <c r="W4146">
        <v>267</v>
      </c>
      <c r="X4146" s="153" t="s">
        <v>2024</v>
      </c>
      <c r="Y4146" s="124" t="s">
        <v>55</v>
      </c>
      <c r="Z4146" s="308">
        <v>257</v>
      </c>
      <c r="AB4146" t="str">
        <f>IF(Table1[[#This Row],[TIPO2]]="costo", VLOOKUP(Table1[[#This Row],[PARTIDA PRESUPUESTAL]],'Cost Report'!G:G,1,0),"Balance")</f>
        <v>2001-011</v>
      </c>
      <c r="AC4146" s="118"/>
      <c r="AD4146" s="159">
        <f>+Table1[[#This Row],[SUBTOTAL]]+Table1[[#This Row],[IVA]]-Table1[[#This Row],[RET IVA]]-Table1[[#This Row],[RET ISR]]-Table1[[#This Row],[TOTAL]]</f>
        <v>0</v>
      </c>
      <c r="AE4146" s="152"/>
      <c r="AF4146" s="153"/>
      <c r="AG4146" s="126"/>
      <c r="AK4146" s="306" t="str">
        <f>IF(ISNUMBER(Table1[[#This Row],[FECHA DE RECIBIDO]]), Table1[[#This Row],[FECHA DE RECIBIDO]]-DATE(2023,8,30), "")</f>
        <v/>
      </c>
    </row>
    <row r="4147" spans="1:37" ht="16.05" customHeight="1">
      <c r="A4147" s="150" t="s">
        <v>4351</v>
      </c>
      <c r="B4147" s="151">
        <v>1325</v>
      </c>
      <c r="C4147" s="126" t="s">
        <v>2374</v>
      </c>
      <c r="D4147">
        <v>2808</v>
      </c>
      <c r="E4147" s="126" t="s">
        <v>1599</v>
      </c>
      <c r="F4147" s="122" t="s">
        <v>1589</v>
      </c>
      <c r="G4147" s="122" t="s">
        <v>129</v>
      </c>
      <c r="H4147">
        <v>495</v>
      </c>
      <c r="I4147" s="122" t="s">
        <v>1546</v>
      </c>
      <c r="J4147" s="307" t="s">
        <v>214</v>
      </c>
      <c r="K4147" s="127" t="s">
        <v>4625</v>
      </c>
      <c r="L4147" s="151" t="s">
        <v>110</v>
      </c>
      <c r="M4147">
        <v>719</v>
      </c>
      <c r="N4147" s="123">
        <v>124</v>
      </c>
      <c r="O4147">
        <v>2677</v>
      </c>
      <c r="P4147" s="132" t="s">
        <v>77</v>
      </c>
      <c r="Q4147" s="131">
        <v>20000</v>
      </c>
      <c r="R4147" s="131">
        <v>3200</v>
      </c>
      <c r="S4147" s="131"/>
      <c r="T4147" s="155">
        <v>2133.34</v>
      </c>
      <c r="U4147" s="131">
        <v>2000</v>
      </c>
      <c r="V4147" s="131">
        <v>19066.66</v>
      </c>
      <c r="W4147">
        <v>267</v>
      </c>
      <c r="X4147" s="151" t="s">
        <v>2024</v>
      </c>
      <c r="Y4147" s="135" t="s">
        <v>55</v>
      </c>
      <c r="Z4147" s="307">
        <v>257</v>
      </c>
      <c r="AB4147" t="str">
        <f>IF(Table1[[#This Row],[TIPO2]]="costo", VLOOKUP(Table1[[#This Row],[PARTIDA PRESUPUESTAL]],'Cost Report'!G:G,1,0),"Balance")</f>
        <v>2001-012</v>
      </c>
      <c r="AC4147" s="118"/>
      <c r="AD4147" s="159">
        <f>+Table1[[#This Row],[SUBTOTAL]]+Table1[[#This Row],[IVA]]-Table1[[#This Row],[RET IVA]]-Table1[[#This Row],[RET ISR]]-Table1[[#This Row],[TOTAL]]</f>
        <v>0</v>
      </c>
      <c r="AE4147" s="150"/>
      <c r="AF4147" s="151"/>
      <c r="AG4147" s="126"/>
      <c r="AK4147" s="306" t="str">
        <f>IF(ISNUMBER(Table1[[#This Row],[FECHA DE RECIBIDO]]), Table1[[#This Row],[FECHA DE RECIBIDO]]-DATE(2023,8,30), "")</f>
        <v/>
      </c>
    </row>
    <row r="4148" spans="1:37" ht="16.05" customHeight="1">
      <c r="A4148" s="152" t="s">
        <v>4352</v>
      </c>
      <c r="B4148" s="153">
        <v>1326</v>
      </c>
      <c r="C4148" s="126" t="s">
        <v>509</v>
      </c>
      <c r="D4148">
        <v>2809</v>
      </c>
      <c r="E4148" s="126" t="s">
        <v>3880</v>
      </c>
      <c r="F4148" s="125" t="s">
        <v>1589</v>
      </c>
      <c r="G4148" s="125" t="s">
        <v>129</v>
      </c>
      <c r="H4148">
        <v>496</v>
      </c>
      <c r="I4148" s="125" t="s">
        <v>1546</v>
      </c>
      <c r="J4148" s="308" t="s">
        <v>214</v>
      </c>
      <c r="K4148" s="127" t="s">
        <v>4625</v>
      </c>
      <c r="L4148" s="153" t="s">
        <v>110</v>
      </c>
      <c r="M4148">
        <v>720</v>
      </c>
      <c r="N4148" s="123">
        <v>125</v>
      </c>
      <c r="O4148">
        <v>2678</v>
      </c>
      <c r="P4148" s="132" t="s">
        <v>77</v>
      </c>
      <c r="Q4148" s="132">
        <v>7000</v>
      </c>
      <c r="R4148" s="132">
        <v>1120</v>
      </c>
      <c r="S4148" s="132"/>
      <c r="T4148" s="156">
        <v>746.67</v>
      </c>
      <c r="U4148" s="132">
        <v>700</v>
      </c>
      <c r="V4148" s="132">
        <v>6673.33</v>
      </c>
      <c r="W4148">
        <v>268</v>
      </c>
      <c r="X4148" s="153" t="s">
        <v>1430</v>
      </c>
      <c r="Y4148" s="124" t="s">
        <v>55</v>
      </c>
      <c r="Z4148" s="308">
        <v>257</v>
      </c>
      <c r="AB4148" t="str">
        <f>IF(Table1[[#This Row],[TIPO2]]="costo", VLOOKUP(Table1[[#This Row],[PARTIDA PRESUPUESTAL]],'Cost Report'!G:G,1,0),"Balance")</f>
        <v>2020-032</v>
      </c>
      <c r="AC4148" s="118"/>
      <c r="AD4148" s="159">
        <f>+Table1[[#This Row],[SUBTOTAL]]+Table1[[#This Row],[IVA]]-Table1[[#This Row],[RET IVA]]-Table1[[#This Row],[RET ISR]]-Table1[[#This Row],[TOTAL]]</f>
        <v>0</v>
      </c>
      <c r="AE4148" s="152"/>
      <c r="AF4148" s="153"/>
      <c r="AG4148" s="126"/>
      <c r="AK4148" s="306" t="str">
        <f>IF(ISNUMBER(Table1[[#This Row],[FECHA DE RECIBIDO]]), Table1[[#This Row],[FECHA DE RECIBIDO]]-DATE(2023,8,30), "")</f>
        <v/>
      </c>
    </row>
    <row r="4149" spans="1:37" ht="16.05" customHeight="1">
      <c r="A4149" s="150" t="s">
        <v>4353</v>
      </c>
      <c r="B4149" s="151">
        <v>1327</v>
      </c>
      <c r="C4149" s="126" t="s">
        <v>510</v>
      </c>
      <c r="D4149">
        <v>2810</v>
      </c>
      <c r="E4149" s="126" t="s">
        <v>3880</v>
      </c>
      <c r="F4149" s="122" t="s">
        <v>1589</v>
      </c>
      <c r="G4149" s="122" t="s">
        <v>129</v>
      </c>
      <c r="H4149">
        <v>496</v>
      </c>
      <c r="I4149" s="122" t="s">
        <v>1546</v>
      </c>
      <c r="J4149" s="307" t="s">
        <v>214</v>
      </c>
      <c r="K4149" s="127" t="s">
        <v>4625</v>
      </c>
      <c r="L4149" s="151" t="s">
        <v>110</v>
      </c>
      <c r="M4149">
        <v>720</v>
      </c>
      <c r="N4149" s="123">
        <v>125</v>
      </c>
      <c r="O4149">
        <v>2679</v>
      </c>
      <c r="P4149" s="132" t="s">
        <v>77</v>
      </c>
      <c r="Q4149" s="131">
        <v>3500</v>
      </c>
      <c r="R4149" s="131">
        <v>560</v>
      </c>
      <c r="S4149" s="131"/>
      <c r="T4149" s="155">
        <v>373.33</v>
      </c>
      <c r="U4149" s="131">
        <v>350</v>
      </c>
      <c r="V4149" s="131">
        <v>3336.67</v>
      </c>
      <c r="W4149">
        <v>268</v>
      </c>
      <c r="X4149" s="151" t="s">
        <v>1430</v>
      </c>
      <c r="Y4149" s="135" t="s">
        <v>55</v>
      </c>
      <c r="Z4149" s="307">
        <v>257</v>
      </c>
      <c r="AB4149" t="str">
        <f>IF(Table1[[#This Row],[TIPO2]]="costo", VLOOKUP(Table1[[#This Row],[PARTIDA PRESUPUESTAL]],'Cost Report'!G:G,1,0),"Balance")</f>
        <v>2020-033</v>
      </c>
      <c r="AC4149" s="118"/>
      <c r="AD4149" s="159">
        <f>+Table1[[#This Row],[SUBTOTAL]]+Table1[[#This Row],[IVA]]-Table1[[#This Row],[RET IVA]]-Table1[[#This Row],[RET ISR]]-Table1[[#This Row],[TOTAL]]</f>
        <v>0</v>
      </c>
      <c r="AE4149" s="150"/>
      <c r="AF4149" s="151"/>
      <c r="AG4149" s="126"/>
      <c r="AK4149" s="306" t="str">
        <f>IF(ISNUMBER(Table1[[#This Row],[FECHA DE RECIBIDO]]), Table1[[#This Row],[FECHA DE RECIBIDO]]-DATE(2023,8,30), "")</f>
        <v/>
      </c>
    </row>
    <row r="4150" spans="1:37" ht="16.05" customHeight="1">
      <c r="A4150" s="152" t="s">
        <v>4354</v>
      </c>
      <c r="B4150" s="153">
        <v>1328</v>
      </c>
      <c r="C4150" s="126" t="s">
        <v>2439</v>
      </c>
      <c r="D4150">
        <v>2811</v>
      </c>
      <c r="E4150" s="126" t="s">
        <v>4355</v>
      </c>
      <c r="F4150" s="125" t="s">
        <v>1589</v>
      </c>
      <c r="G4150" s="125" t="s">
        <v>129</v>
      </c>
      <c r="H4150">
        <v>761</v>
      </c>
      <c r="I4150" s="125" t="s">
        <v>1546</v>
      </c>
      <c r="J4150" s="308" t="s">
        <v>214</v>
      </c>
      <c r="K4150" s="127" t="s">
        <v>4625</v>
      </c>
      <c r="L4150" s="153" t="s">
        <v>110</v>
      </c>
      <c r="M4150">
        <v>1064</v>
      </c>
      <c r="N4150" s="123">
        <v>173</v>
      </c>
      <c r="O4150">
        <v>2680</v>
      </c>
      <c r="P4150" s="132" t="s">
        <v>77</v>
      </c>
      <c r="Q4150" s="132">
        <v>37500</v>
      </c>
      <c r="R4150" s="132">
        <v>6000</v>
      </c>
      <c r="S4150" s="132"/>
      <c r="T4150" s="156">
        <v>4000</v>
      </c>
      <c r="U4150" s="132">
        <v>3750</v>
      </c>
      <c r="V4150" s="132">
        <v>35750</v>
      </c>
      <c r="W4150">
        <v>360</v>
      </c>
      <c r="X4150" s="153" t="s">
        <v>1431</v>
      </c>
      <c r="Y4150" s="124" t="s">
        <v>55</v>
      </c>
      <c r="Z4150" s="308">
        <v>257</v>
      </c>
      <c r="AB4150" t="str">
        <f>IF(Table1[[#This Row],[TIPO2]]="costo", VLOOKUP(Table1[[#This Row],[PARTIDA PRESUPUESTAL]],'Cost Report'!G:G,1,0),"Balance")</f>
        <v>2045-009</v>
      </c>
      <c r="AC4150" s="118"/>
      <c r="AD4150" s="159">
        <f>+Table1[[#This Row],[SUBTOTAL]]+Table1[[#This Row],[IVA]]-Table1[[#This Row],[RET IVA]]-Table1[[#This Row],[RET ISR]]-Table1[[#This Row],[TOTAL]]</f>
        <v>0</v>
      </c>
      <c r="AE4150" s="152"/>
      <c r="AF4150" s="153"/>
      <c r="AG4150" s="126"/>
      <c r="AK4150" s="306" t="str">
        <f>IF(ISNUMBER(Table1[[#This Row],[FECHA DE RECIBIDO]]), Table1[[#This Row],[FECHA DE RECIBIDO]]-DATE(2023,8,30), "")</f>
        <v/>
      </c>
    </row>
    <row r="4151" spans="1:37" ht="16.05" customHeight="1">
      <c r="A4151" s="150" t="s">
        <v>4356</v>
      </c>
      <c r="B4151" s="151">
        <v>1329</v>
      </c>
      <c r="C4151" s="126" t="s">
        <v>2378</v>
      </c>
      <c r="D4151">
        <v>2812</v>
      </c>
      <c r="E4151" s="126" t="s">
        <v>1595</v>
      </c>
      <c r="F4151" s="122" t="s">
        <v>1589</v>
      </c>
      <c r="G4151" s="122" t="s">
        <v>129</v>
      </c>
      <c r="H4151">
        <v>7</v>
      </c>
      <c r="I4151" s="122" t="s">
        <v>1546</v>
      </c>
      <c r="J4151" s="307" t="s">
        <v>214</v>
      </c>
      <c r="K4151" s="127" t="s">
        <v>4625</v>
      </c>
      <c r="L4151" s="151" t="s">
        <v>110</v>
      </c>
      <c r="M4151">
        <v>24</v>
      </c>
      <c r="N4151" s="123">
        <v>6</v>
      </c>
      <c r="O4151">
        <v>2681</v>
      </c>
      <c r="P4151" s="132" t="s">
        <v>77</v>
      </c>
      <c r="Q4151" s="131">
        <v>52500</v>
      </c>
      <c r="R4151" s="131">
        <v>8400</v>
      </c>
      <c r="S4151" s="131"/>
      <c r="T4151" s="155">
        <v>5600.02</v>
      </c>
      <c r="U4151" s="131">
        <v>5250</v>
      </c>
      <c r="V4151" s="131">
        <v>50049.979999999996</v>
      </c>
      <c r="W4151">
        <v>7</v>
      </c>
      <c r="X4151" s="151" t="s">
        <v>1431</v>
      </c>
      <c r="Y4151" s="135" t="s">
        <v>55</v>
      </c>
      <c r="Z4151" s="307">
        <v>257</v>
      </c>
      <c r="AB4151" t="str">
        <f>IF(Table1[[#This Row],[TIPO2]]="costo", VLOOKUP(Table1[[#This Row],[PARTIDA PRESUPUESTAL]],'Cost Report'!G:G,1,0),"Balance")</f>
        <v>2004-005</v>
      </c>
      <c r="AC4151" s="118"/>
      <c r="AD4151" s="159">
        <f>+Table1[[#This Row],[SUBTOTAL]]+Table1[[#This Row],[IVA]]-Table1[[#This Row],[RET IVA]]-Table1[[#This Row],[RET ISR]]-Table1[[#This Row],[TOTAL]]</f>
        <v>0</v>
      </c>
      <c r="AE4151" s="150"/>
      <c r="AF4151" s="151"/>
      <c r="AG4151" s="126"/>
      <c r="AK4151" s="306" t="str">
        <f>IF(ISNUMBER(Table1[[#This Row],[FECHA DE RECIBIDO]]), Table1[[#This Row],[FECHA DE RECIBIDO]]-DATE(2023,8,30), "")</f>
        <v/>
      </c>
    </row>
    <row r="4152" spans="1:37" ht="16.05" customHeight="1">
      <c r="A4152" s="152" t="s">
        <v>4357</v>
      </c>
      <c r="B4152" s="153">
        <v>1330</v>
      </c>
      <c r="C4152" s="126" t="s">
        <v>448</v>
      </c>
      <c r="D4152">
        <v>2813</v>
      </c>
      <c r="E4152" s="126" t="s">
        <v>1577</v>
      </c>
      <c r="F4152" s="125" t="s">
        <v>1593</v>
      </c>
      <c r="G4152" s="125" t="s">
        <v>109</v>
      </c>
      <c r="H4152">
        <v>19</v>
      </c>
      <c r="I4152" s="125" t="s">
        <v>1546</v>
      </c>
      <c r="J4152" s="308" t="s">
        <v>214</v>
      </c>
      <c r="K4152" s="127" t="s">
        <v>4625</v>
      </c>
      <c r="L4152" s="153" t="s">
        <v>110</v>
      </c>
      <c r="M4152">
        <v>25</v>
      </c>
      <c r="N4152" s="123">
        <v>7</v>
      </c>
      <c r="O4152">
        <v>2682</v>
      </c>
      <c r="P4152" s="132" t="s">
        <v>77</v>
      </c>
      <c r="Q4152" s="132">
        <v>31500</v>
      </c>
      <c r="R4152" s="132">
        <v>5040</v>
      </c>
      <c r="S4152" s="132"/>
      <c r="T4152" s="156">
        <v>3360.1</v>
      </c>
      <c r="U4152" s="132">
        <v>393.76</v>
      </c>
      <c r="V4152" s="132">
        <v>32786.14</v>
      </c>
      <c r="W4152">
        <v>19</v>
      </c>
      <c r="X4152" s="153" t="s">
        <v>1429</v>
      </c>
      <c r="Y4152" s="124" t="s">
        <v>55</v>
      </c>
      <c r="Z4152" s="308">
        <v>257</v>
      </c>
      <c r="AB4152" t="str">
        <f>IF(Table1[[#This Row],[TIPO2]]="costo", VLOOKUP(Table1[[#This Row],[PARTIDA PRESUPUESTAL]],'Cost Report'!G:G,1,0),"Balance")</f>
        <v>2005-005</v>
      </c>
      <c r="AC4152" s="118"/>
      <c r="AD4152" s="159">
        <f>+Table1[[#This Row],[SUBTOTAL]]+Table1[[#This Row],[IVA]]-Table1[[#This Row],[RET IVA]]-Table1[[#This Row],[RET ISR]]-Table1[[#This Row],[TOTAL]]</f>
        <v>0</v>
      </c>
      <c r="AE4152" s="152"/>
      <c r="AF4152" s="153"/>
      <c r="AG4152" s="126"/>
      <c r="AK4152" s="306" t="str">
        <f>IF(ISNUMBER(Table1[[#This Row],[FECHA DE RECIBIDO]]), Table1[[#This Row],[FECHA DE RECIBIDO]]-DATE(2023,8,30), "")</f>
        <v/>
      </c>
    </row>
    <row r="4153" spans="1:37" ht="16.05" customHeight="1">
      <c r="A4153" s="150" t="s">
        <v>4358</v>
      </c>
      <c r="B4153" s="151">
        <v>1331</v>
      </c>
      <c r="C4153" s="126" t="s">
        <v>441</v>
      </c>
      <c r="D4153">
        <v>2814</v>
      </c>
      <c r="E4153" s="126" t="s">
        <v>1889</v>
      </c>
      <c r="F4153" s="122" t="s">
        <v>1589</v>
      </c>
      <c r="G4153" s="122" t="s">
        <v>129</v>
      </c>
      <c r="H4153">
        <v>62</v>
      </c>
      <c r="I4153" s="122" t="s">
        <v>1546</v>
      </c>
      <c r="J4153" s="307" t="s">
        <v>214</v>
      </c>
      <c r="K4153" s="127" t="s">
        <v>4625</v>
      </c>
      <c r="L4153" s="151" t="s">
        <v>110</v>
      </c>
      <c r="M4153">
        <v>85</v>
      </c>
      <c r="N4153" s="123">
        <v>22</v>
      </c>
      <c r="O4153">
        <v>2683</v>
      </c>
      <c r="P4153" s="132" t="s">
        <v>77</v>
      </c>
      <c r="Q4153" s="131">
        <v>52500</v>
      </c>
      <c r="R4153" s="131">
        <v>8400</v>
      </c>
      <c r="S4153" s="131"/>
      <c r="T4153" s="155">
        <v>5600.02</v>
      </c>
      <c r="U4153" s="131">
        <v>5250</v>
      </c>
      <c r="V4153" s="131">
        <v>50049.979999999996</v>
      </c>
      <c r="W4153">
        <v>44</v>
      </c>
      <c r="X4153" s="151" t="s">
        <v>1434</v>
      </c>
      <c r="Y4153" s="135" t="s">
        <v>55</v>
      </c>
      <c r="Z4153" s="307">
        <v>257</v>
      </c>
      <c r="AB4153" t="str">
        <f>IF(Table1[[#This Row],[TIPO2]]="costo", VLOOKUP(Table1[[#This Row],[PARTIDA PRESUPUESTAL]],'Cost Report'!G:G,1,0),"Balance")</f>
        <v>2003-004</v>
      </c>
      <c r="AC4153" s="118"/>
      <c r="AD4153" s="159">
        <f>+Table1[[#This Row],[SUBTOTAL]]+Table1[[#This Row],[IVA]]-Table1[[#This Row],[RET IVA]]-Table1[[#This Row],[RET ISR]]-Table1[[#This Row],[TOTAL]]</f>
        <v>0</v>
      </c>
      <c r="AE4153" s="150"/>
      <c r="AF4153" s="151"/>
      <c r="AG4153" s="126"/>
      <c r="AK4153" s="306" t="str">
        <f>IF(ISNUMBER(Table1[[#This Row],[FECHA DE RECIBIDO]]), Table1[[#This Row],[FECHA DE RECIBIDO]]-DATE(2023,8,30), "")</f>
        <v/>
      </c>
    </row>
    <row r="4154" spans="1:37" ht="16.05" customHeight="1">
      <c r="A4154" s="152" t="s">
        <v>4359</v>
      </c>
      <c r="B4154" s="153">
        <v>1332</v>
      </c>
      <c r="C4154" s="126" t="s">
        <v>441</v>
      </c>
      <c r="D4154">
        <v>2815</v>
      </c>
      <c r="E4154" s="126" t="s">
        <v>1889</v>
      </c>
      <c r="F4154" s="125" t="s">
        <v>1589</v>
      </c>
      <c r="G4154" s="125" t="s">
        <v>129</v>
      </c>
      <c r="H4154">
        <v>62</v>
      </c>
      <c r="I4154" s="125" t="s">
        <v>1546</v>
      </c>
      <c r="J4154" s="308" t="s">
        <v>214</v>
      </c>
      <c r="K4154" s="127" t="s">
        <v>4625</v>
      </c>
      <c r="L4154" s="153" t="s">
        <v>110</v>
      </c>
      <c r="M4154">
        <v>85</v>
      </c>
      <c r="N4154" s="123">
        <v>22</v>
      </c>
      <c r="O4154">
        <v>2684</v>
      </c>
      <c r="P4154" s="132" t="s">
        <v>77</v>
      </c>
      <c r="Q4154" s="132">
        <v>43750</v>
      </c>
      <c r="R4154" s="132">
        <v>7000</v>
      </c>
      <c r="S4154" s="132"/>
      <c r="T4154" s="156">
        <v>4666.68</v>
      </c>
      <c r="U4154" s="132">
        <v>4375</v>
      </c>
      <c r="V4154" s="132">
        <v>41708.32</v>
      </c>
      <c r="W4154">
        <v>44</v>
      </c>
      <c r="X4154" s="153" t="s">
        <v>1434</v>
      </c>
      <c r="Y4154" s="124" t="s">
        <v>55</v>
      </c>
      <c r="Z4154" s="308">
        <v>257</v>
      </c>
      <c r="AB4154" t="str">
        <f>IF(Table1[[#This Row],[TIPO2]]="costo", VLOOKUP(Table1[[#This Row],[PARTIDA PRESUPUESTAL]],'Cost Report'!G:G,1,0),"Balance")</f>
        <v>2003-004</v>
      </c>
      <c r="AC4154" s="118"/>
      <c r="AD4154" s="159">
        <f>+Table1[[#This Row],[SUBTOTAL]]+Table1[[#This Row],[IVA]]-Table1[[#This Row],[RET IVA]]-Table1[[#This Row],[RET ISR]]-Table1[[#This Row],[TOTAL]]</f>
        <v>0</v>
      </c>
      <c r="AE4154" s="152"/>
      <c r="AF4154" s="153"/>
      <c r="AG4154" s="126"/>
      <c r="AK4154" s="306" t="str">
        <f>IF(ISNUMBER(Table1[[#This Row],[FECHA DE RECIBIDO]]), Table1[[#This Row],[FECHA DE RECIBIDO]]-DATE(2023,8,30), "")</f>
        <v/>
      </c>
    </row>
    <row r="4155" spans="1:37" ht="16.05" customHeight="1">
      <c r="A4155" s="150" t="s">
        <v>4360</v>
      </c>
      <c r="B4155" s="151">
        <v>1333</v>
      </c>
      <c r="C4155" s="126" t="s">
        <v>451</v>
      </c>
      <c r="D4155">
        <v>2816</v>
      </c>
      <c r="E4155" s="126" t="s">
        <v>1890</v>
      </c>
      <c r="F4155" s="122" t="s">
        <v>1593</v>
      </c>
      <c r="G4155" s="122" t="s">
        <v>109</v>
      </c>
      <c r="H4155">
        <v>63</v>
      </c>
      <c r="I4155" s="122" t="s">
        <v>1546</v>
      </c>
      <c r="J4155" s="307" t="s">
        <v>214</v>
      </c>
      <c r="K4155" s="127" t="s">
        <v>4625</v>
      </c>
      <c r="L4155" s="151" t="s">
        <v>110</v>
      </c>
      <c r="M4155">
        <v>86</v>
      </c>
      <c r="N4155" s="123">
        <v>23</v>
      </c>
      <c r="O4155">
        <v>2685</v>
      </c>
      <c r="P4155" s="132" t="s">
        <v>77</v>
      </c>
      <c r="Q4155" s="131">
        <v>25000</v>
      </c>
      <c r="R4155" s="131">
        <v>4000</v>
      </c>
      <c r="S4155" s="131"/>
      <c r="T4155" s="155">
        <v>2666.67</v>
      </c>
      <c r="U4155" s="131">
        <v>312.5</v>
      </c>
      <c r="V4155" s="131">
        <v>26020.83</v>
      </c>
      <c r="W4155">
        <v>45</v>
      </c>
      <c r="X4155" s="151" t="s">
        <v>1429</v>
      </c>
      <c r="Y4155" s="135" t="s">
        <v>55</v>
      </c>
      <c r="Z4155" s="307">
        <v>257</v>
      </c>
      <c r="AB4155" t="str">
        <f>IF(Table1[[#This Row],[TIPO2]]="costo", VLOOKUP(Table1[[#This Row],[PARTIDA PRESUPUESTAL]],'Cost Report'!G:G,1,0),"Balance")</f>
        <v>2005-010</v>
      </c>
      <c r="AC4155" s="118"/>
      <c r="AD4155" s="159">
        <f>+Table1[[#This Row],[SUBTOTAL]]+Table1[[#This Row],[IVA]]-Table1[[#This Row],[RET IVA]]-Table1[[#This Row],[RET ISR]]-Table1[[#This Row],[TOTAL]]</f>
        <v>0</v>
      </c>
      <c r="AE4155" s="150"/>
      <c r="AF4155" s="151"/>
      <c r="AG4155" s="126"/>
      <c r="AK4155" s="306" t="str">
        <f>IF(ISNUMBER(Table1[[#This Row],[FECHA DE RECIBIDO]]), Table1[[#This Row],[FECHA DE RECIBIDO]]-DATE(2023,8,30), "")</f>
        <v/>
      </c>
    </row>
    <row r="4156" spans="1:37" ht="16.05" customHeight="1">
      <c r="A4156" s="152" t="s">
        <v>4361</v>
      </c>
      <c r="B4156" s="153">
        <v>1334</v>
      </c>
      <c r="C4156" s="126" t="s">
        <v>2377</v>
      </c>
      <c r="D4156">
        <v>2817</v>
      </c>
      <c r="E4156" s="126" t="s">
        <v>2012</v>
      </c>
      <c r="F4156" s="125" t="s">
        <v>1589</v>
      </c>
      <c r="G4156" s="125" t="s">
        <v>129</v>
      </c>
      <c r="H4156">
        <v>105</v>
      </c>
      <c r="I4156" s="125" t="s">
        <v>1546</v>
      </c>
      <c r="J4156" s="308" t="s">
        <v>214</v>
      </c>
      <c r="K4156" s="127" t="s">
        <v>4625</v>
      </c>
      <c r="L4156" s="153" t="s">
        <v>110</v>
      </c>
      <c r="M4156">
        <v>143</v>
      </c>
      <c r="N4156" s="123">
        <v>35</v>
      </c>
      <c r="O4156">
        <v>2686</v>
      </c>
      <c r="P4156" s="132" t="s">
        <v>77</v>
      </c>
      <c r="Q4156" s="132">
        <v>100000</v>
      </c>
      <c r="R4156" s="132">
        <v>16000</v>
      </c>
      <c r="S4156" s="132"/>
      <c r="T4156" s="156">
        <v>10666.68</v>
      </c>
      <c r="U4156" s="132">
        <v>10000</v>
      </c>
      <c r="V4156" s="132">
        <v>95333.32</v>
      </c>
      <c r="W4156">
        <v>67</v>
      </c>
      <c r="X4156" s="153" t="s">
        <v>1431</v>
      </c>
      <c r="Y4156" s="124" t="s">
        <v>55</v>
      </c>
      <c r="Z4156" s="308">
        <v>257</v>
      </c>
      <c r="AB4156" t="str">
        <f>IF(Table1[[#This Row],[TIPO2]]="costo", VLOOKUP(Table1[[#This Row],[PARTIDA PRESUPUESTAL]],'Cost Report'!G:G,1,0),"Balance")</f>
        <v>2003-014</v>
      </c>
      <c r="AC4156" s="118"/>
      <c r="AD4156" s="159">
        <f>+Table1[[#This Row],[SUBTOTAL]]+Table1[[#This Row],[IVA]]-Table1[[#This Row],[RET IVA]]-Table1[[#This Row],[RET ISR]]-Table1[[#This Row],[TOTAL]]</f>
        <v>0</v>
      </c>
      <c r="AE4156" s="152"/>
      <c r="AF4156" s="153"/>
      <c r="AG4156" s="126"/>
      <c r="AK4156" s="306" t="str">
        <f>IF(ISNUMBER(Table1[[#This Row],[FECHA DE RECIBIDO]]), Table1[[#This Row],[FECHA DE RECIBIDO]]-DATE(2023,8,30), "")</f>
        <v/>
      </c>
    </row>
    <row r="4157" spans="1:37" ht="16.05" customHeight="1">
      <c r="A4157" s="150" t="s">
        <v>4362</v>
      </c>
      <c r="B4157" s="151">
        <v>1335</v>
      </c>
      <c r="C4157" s="126" t="s">
        <v>2380</v>
      </c>
      <c r="D4157">
        <v>2818</v>
      </c>
      <c r="E4157" s="126" t="s">
        <v>1622</v>
      </c>
      <c r="F4157" s="122" t="s">
        <v>1589</v>
      </c>
      <c r="G4157" s="122" t="s">
        <v>129</v>
      </c>
      <c r="H4157">
        <v>106</v>
      </c>
      <c r="I4157" s="122" t="s">
        <v>1546</v>
      </c>
      <c r="J4157" s="307" t="s">
        <v>214</v>
      </c>
      <c r="K4157" s="127" t="s">
        <v>4625</v>
      </c>
      <c r="L4157" s="151" t="s">
        <v>110</v>
      </c>
      <c r="M4157">
        <v>144</v>
      </c>
      <c r="N4157" s="123">
        <v>36</v>
      </c>
      <c r="O4157">
        <v>2687</v>
      </c>
      <c r="P4157" s="132" t="s">
        <v>77</v>
      </c>
      <c r="Q4157" s="131">
        <v>30000</v>
      </c>
      <c r="R4157" s="131">
        <v>4800</v>
      </c>
      <c r="S4157" s="131"/>
      <c r="T4157" s="155">
        <v>3200</v>
      </c>
      <c r="U4157" s="131">
        <v>3000</v>
      </c>
      <c r="V4157" s="131">
        <v>28600</v>
      </c>
      <c r="W4157">
        <v>68</v>
      </c>
      <c r="X4157" s="151" t="s">
        <v>1429</v>
      </c>
      <c r="Y4157" s="135" t="s">
        <v>55</v>
      </c>
      <c r="Z4157" s="307">
        <v>257</v>
      </c>
      <c r="AB4157" t="str">
        <f>IF(Table1[[#This Row],[TIPO2]]="costo", VLOOKUP(Table1[[#This Row],[PARTIDA PRESUPUESTAL]],'Cost Report'!G:G,1,0),"Balance")</f>
        <v>2005-015</v>
      </c>
      <c r="AC4157" s="118"/>
      <c r="AD4157" s="159">
        <f>+Table1[[#This Row],[SUBTOTAL]]+Table1[[#This Row],[IVA]]-Table1[[#This Row],[RET IVA]]-Table1[[#This Row],[RET ISR]]-Table1[[#This Row],[TOTAL]]</f>
        <v>0</v>
      </c>
      <c r="AE4157" s="150"/>
      <c r="AF4157" s="151"/>
      <c r="AG4157" s="126"/>
      <c r="AK4157" s="306" t="str">
        <f>IF(ISNUMBER(Table1[[#This Row],[FECHA DE RECIBIDO]]), Table1[[#This Row],[FECHA DE RECIBIDO]]-DATE(2023,8,30), "")</f>
        <v/>
      </c>
    </row>
    <row r="4158" spans="1:37" ht="16.05" customHeight="1">
      <c r="A4158" s="152" t="s">
        <v>4363</v>
      </c>
      <c r="B4158" s="153">
        <v>1336</v>
      </c>
      <c r="C4158" s="126" t="s">
        <v>252</v>
      </c>
      <c r="D4158">
        <v>2819</v>
      </c>
      <c r="E4158" s="126" t="s">
        <v>3181</v>
      </c>
      <c r="F4158" s="125" t="s">
        <v>1589</v>
      </c>
      <c r="G4158" s="125" t="s">
        <v>129</v>
      </c>
      <c r="H4158">
        <v>203</v>
      </c>
      <c r="I4158" s="125" t="s">
        <v>1546</v>
      </c>
      <c r="J4158" s="308" t="s">
        <v>214</v>
      </c>
      <c r="K4158" s="127" t="s">
        <v>4625</v>
      </c>
      <c r="L4158" s="153" t="s">
        <v>110</v>
      </c>
      <c r="M4158">
        <v>268</v>
      </c>
      <c r="N4158" s="123">
        <v>68</v>
      </c>
      <c r="O4158">
        <v>2688</v>
      </c>
      <c r="P4158" s="132" t="s">
        <v>77</v>
      </c>
      <c r="Q4158" s="132">
        <v>21666.66</v>
      </c>
      <c r="R4158" s="132">
        <v>3466.67</v>
      </c>
      <c r="S4158" s="132"/>
      <c r="T4158" s="156">
        <v>2311.12</v>
      </c>
      <c r="U4158" s="132">
        <v>2166.67</v>
      </c>
      <c r="V4158" s="132">
        <v>20655.54</v>
      </c>
      <c r="W4158">
        <v>124</v>
      </c>
      <c r="X4158" s="153" t="s">
        <v>1434</v>
      </c>
      <c r="Y4158" s="124" t="s">
        <v>55</v>
      </c>
      <c r="Z4158" s="308">
        <v>257</v>
      </c>
      <c r="AB4158" t="str">
        <f>IF(Table1[[#This Row],[TIPO2]]="costo", VLOOKUP(Table1[[#This Row],[PARTIDA PRESUPUESTAL]],'Cost Report'!G:G,1,0),"Balance")</f>
        <v>1301-003</v>
      </c>
      <c r="AC4158" s="118"/>
      <c r="AD4158" s="159">
        <f>+Table1[[#This Row],[SUBTOTAL]]+Table1[[#This Row],[IVA]]-Table1[[#This Row],[RET IVA]]-Table1[[#This Row],[RET ISR]]-Table1[[#This Row],[TOTAL]]</f>
        <v>0</v>
      </c>
      <c r="AE4158" s="152"/>
      <c r="AF4158" s="153"/>
      <c r="AG4158" s="126"/>
      <c r="AK4158" s="306" t="str">
        <f>IF(ISNUMBER(Table1[[#This Row],[FECHA DE RECIBIDO]]), Table1[[#This Row],[FECHA DE RECIBIDO]]-DATE(2023,8,30), "")</f>
        <v/>
      </c>
    </row>
    <row r="4159" spans="1:37" ht="16.05" customHeight="1">
      <c r="A4159" s="150" t="s">
        <v>4364</v>
      </c>
      <c r="B4159" s="151">
        <v>1337</v>
      </c>
      <c r="C4159" s="126" t="s">
        <v>460</v>
      </c>
      <c r="D4159">
        <v>2820</v>
      </c>
      <c r="E4159" s="126" t="s">
        <v>3640</v>
      </c>
      <c r="F4159" s="122" t="s">
        <v>1602</v>
      </c>
      <c r="G4159" s="122" t="s">
        <v>1617</v>
      </c>
      <c r="H4159">
        <v>343</v>
      </c>
      <c r="I4159" s="122" t="s">
        <v>1546</v>
      </c>
      <c r="J4159" s="307" t="s">
        <v>214</v>
      </c>
      <c r="K4159" s="127" t="s">
        <v>4625</v>
      </c>
      <c r="L4159" s="151" t="s">
        <v>110</v>
      </c>
      <c r="M4159">
        <v>460</v>
      </c>
      <c r="N4159" s="123">
        <v>85</v>
      </c>
      <c r="O4159">
        <v>2689</v>
      </c>
      <c r="P4159" s="132" t="s">
        <v>77</v>
      </c>
      <c r="Q4159" s="131">
        <v>17000</v>
      </c>
      <c r="R4159" s="131">
        <v>2720</v>
      </c>
      <c r="S4159" s="131"/>
      <c r="T4159" s="155">
        <v>1813.34</v>
      </c>
      <c r="U4159" s="131">
        <v>0</v>
      </c>
      <c r="V4159" s="131">
        <v>17906.66</v>
      </c>
      <c r="W4159">
        <v>180</v>
      </c>
      <c r="X4159" s="151" t="s">
        <v>1429</v>
      </c>
      <c r="Y4159" s="135" t="s">
        <v>55</v>
      </c>
      <c r="Z4159" s="307">
        <v>257</v>
      </c>
      <c r="AB4159" t="str">
        <f>IF(Table1[[#This Row],[TIPO2]]="costo", VLOOKUP(Table1[[#This Row],[PARTIDA PRESUPUESTAL]],'Cost Report'!G:G,1,0),"Balance")</f>
        <v>2009-004</v>
      </c>
      <c r="AC4159" s="118"/>
      <c r="AD4159" s="159">
        <f>+Table1[[#This Row],[SUBTOTAL]]+Table1[[#This Row],[IVA]]-Table1[[#This Row],[RET IVA]]-Table1[[#This Row],[RET ISR]]-Table1[[#This Row],[TOTAL]]</f>
        <v>0</v>
      </c>
      <c r="AE4159" s="150"/>
      <c r="AF4159" s="151"/>
      <c r="AG4159" s="126"/>
      <c r="AK4159" s="306" t="str">
        <f>IF(ISNUMBER(Table1[[#This Row],[FECHA DE RECIBIDO]]), Table1[[#This Row],[FECHA DE RECIBIDO]]-DATE(2023,8,30), "")</f>
        <v/>
      </c>
    </row>
    <row r="4160" spans="1:37" ht="16.05" customHeight="1">
      <c r="A4160" s="152" t="s">
        <v>4365</v>
      </c>
      <c r="B4160" s="153">
        <v>1338</v>
      </c>
      <c r="C4160" s="126" t="s">
        <v>460</v>
      </c>
      <c r="D4160">
        <v>2821</v>
      </c>
      <c r="E4160" s="126" t="s">
        <v>3640</v>
      </c>
      <c r="F4160" s="125" t="s">
        <v>1602</v>
      </c>
      <c r="G4160" s="125" t="s">
        <v>1617</v>
      </c>
      <c r="H4160">
        <v>343</v>
      </c>
      <c r="I4160" s="125" t="s">
        <v>1546</v>
      </c>
      <c r="J4160" s="308" t="s">
        <v>214</v>
      </c>
      <c r="K4160" s="127" t="s">
        <v>4625</v>
      </c>
      <c r="L4160" s="153" t="s">
        <v>110</v>
      </c>
      <c r="M4160">
        <v>460</v>
      </c>
      <c r="N4160" s="123">
        <v>85</v>
      </c>
      <c r="O4160">
        <v>2690</v>
      </c>
      <c r="P4160" s="132" t="s">
        <v>77</v>
      </c>
      <c r="Q4160" s="132">
        <v>17000</v>
      </c>
      <c r="R4160" s="132">
        <v>2720</v>
      </c>
      <c r="S4160" s="132"/>
      <c r="T4160" s="156">
        <v>1813.34</v>
      </c>
      <c r="U4160" s="132">
        <v>0</v>
      </c>
      <c r="V4160" s="132">
        <v>17906.66</v>
      </c>
      <c r="W4160">
        <v>180</v>
      </c>
      <c r="X4160" s="153" t="s">
        <v>1429</v>
      </c>
      <c r="Y4160" s="124" t="s">
        <v>55</v>
      </c>
      <c r="Z4160" s="308">
        <v>257</v>
      </c>
      <c r="AB4160" t="str">
        <f>IF(Table1[[#This Row],[TIPO2]]="costo", VLOOKUP(Table1[[#This Row],[PARTIDA PRESUPUESTAL]],'Cost Report'!G:G,1,0),"Balance")</f>
        <v>2009-004</v>
      </c>
      <c r="AC4160" s="118"/>
      <c r="AD4160" s="159">
        <f>+Table1[[#This Row],[SUBTOTAL]]+Table1[[#This Row],[IVA]]-Table1[[#This Row],[RET IVA]]-Table1[[#This Row],[RET ISR]]-Table1[[#This Row],[TOTAL]]</f>
        <v>0</v>
      </c>
      <c r="AE4160" s="152"/>
      <c r="AF4160" s="153"/>
      <c r="AG4160" s="126"/>
      <c r="AK4160" s="306" t="str">
        <f>IF(ISNUMBER(Table1[[#This Row],[FECHA DE RECIBIDO]]), Table1[[#This Row],[FECHA DE RECIBIDO]]-DATE(2023,8,30), "")</f>
        <v/>
      </c>
    </row>
    <row r="4161" spans="1:37" ht="16.05" customHeight="1">
      <c r="A4161" s="150" t="s">
        <v>4366</v>
      </c>
      <c r="B4161" s="151">
        <v>1339</v>
      </c>
      <c r="C4161" s="126" t="s">
        <v>264</v>
      </c>
      <c r="D4161">
        <v>2822</v>
      </c>
      <c r="E4161" s="126" t="s">
        <v>3895</v>
      </c>
      <c r="F4161" s="122" t="s">
        <v>1589</v>
      </c>
      <c r="G4161" s="122" t="s">
        <v>129</v>
      </c>
      <c r="H4161">
        <v>498</v>
      </c>
      <c r="I4161" s="122" t="s">
        <v>1546</v>
      </c>
      <c r="J4161" s="307" t="s">
        <v>214</v>
      </c>
      <c r="K4161" s="127" t="s">
        <v>4625</v>
      </c>
      <c r="L4161" s="151" t="s">
        <v>110</v>
      </c>
      <c r="M4161">
        <v>722</v>
      </c>
      <c r="N4161" s="123">
        <v>127</v>
      </c>
      <c r="O4161">
        <v>2691</v>
      </c>
      <c r="P4161" s="132" t="s">
        <v>77</v>
      </c>
      <c r="Q4161" s="131">
        <v>138600</v>
      </c>
      <c r="R4161" s="131">
        <v>22176</v>
      </c>
      <c r="S4161" s="131"/>
      <c r="T4161" s="155">
        <v>14784.05</v>
      </c>
      <c r="U4161" s="131">
        <v>13860</v>
      </c>
      <c r="V4161" s="131">
        <v>132131.95000000001</v>
      </c>
      <c r="W4161">
        <v>270</v>
      </c>
      <c r="X4161" s="151" t="s">
        <v>1431</v>
      </c>
      <c r="Y4161" s="135" t="s">
        <v>55</v>
      </c>
      <c r="Z4161" s="307">
        <v>257</v>
      </c>
      <c r="AB4161" t="str">
        <f>IF(Table1[[#This Row],[TIPO2]]="costo", VLOOKUP(Table1[[#This Row],[PARTIDA PRESUPUESTAL]],'Cost Report'!G:G,1,0),"Balance")</f>
        <v>1301-019</v>
      </c>
      <c r="AC4161" s="118"/>
      <c r="AD4161" s="159">
        <f>+Table1[[#This Row],[SUBTOTAL]]+Table1[[#This Row],[IVA]]-Table1[[#This Row],[RET IVA]]-Table1[[#This Row],[RET ISR]]-Table1[[#This Row],[TOTAL]]</f>
        <v>0</v>
      </c>
      <c r="AE4161" s="150"/>
      <c r="AF4161" s="151"/>
      <c r="AG4161" s="126"/>
      <c r="AK4161" s="306" t="str">
        <f>IF(ISNUMBER(Table1[[#This Row],[FECHA DE RECIBIDO]]), Table1[[#This Row],[FECHA DE RECIBIDO]]-DATE(2023,8,30), "")</f>
        <v/>
      </c>
    </row>
    <row r="4162" spans="1:37" ht="16.05" customHeight="1">
      <c r="A4162" s="152" t="s">
        <v>4367</v>
      </c>
      <c r="B4162" s="153">
        <v>1340</v>
      </c>
      <c r="C4162" s="126" t="s">
        <v>1725</v>
      </c>
      <c r="D4162">
        <v>2823</v>
      </c>
      <c r="E4162" s="126" t="s">
        <v>1610</v>
      </c>
      <c r="F4162" s="125" t="s">
        <v>1593</v>
      </c>
      <c r="G4162" s="125" t="s">
        <v>109</v>
      </c>
      <c r="H4162">
        <v>762</v>
      </c>
      <c r="I4162" s="125" t="s">
        <v>1546</v>
      </c>
      <c r="J4162" s="308" t="s">
        <v>214</v>
      </c>
      <c r="K4162" s="127" t="s">
        <v>4625</v>
      </c>
      <c r="L4162" s="153" t="s">
        <v>110</v>
      </c>
      <c r="M4162">
        <v>1065</v>
      </c>
      <c r="N4162" s="123">
        <v>174</v>
      </c>
      <c r="O4162">
        <v>2692</v>
      </c>
      <c r="P4162" s="132" t="s">
        <v>77</v>
      </c>
      <c r="Q4162" s="132">
        <v>2800</v>
      </c>
      <c r="R4162" s="132">
        <v>448</v>
      </c>
      <c r="S4162" s="132"/>
      <c r="T4162" s="156">
        <v>298.67</v>
      </c>
      <c r="U4162" s="132">
        <v>35</v>
      </c>
      <c r="V4162" s="132">
        <v>2914.33</v>
      </c>
      <c r="W4162">
        <v>361</v>
      </c>
      <c r="X4162" s="153" t="s">
        <v>1429</v>
      </c>
      <c r="Y4162" s="124" t="s">
        <v>55</v>
      </c>
      <c r="Z4162" s="308">
        <v>257</v>
      </c>
      <c r="AB4162" t="str">
        <f>IF(Table1[[#This Row],[TIPO2]]="costo", VLOOKUP(Table1[[#This Row],[PARTIDA PRESUPUESTAL]],'Cost Report'!G:G,1,0),"Balance")</f>
        <v>2009-009</v>
      </c>
      <c r="AC4162" s="118"/>
      <c r="AD4162" s="159">
        <f>+Table1[[#This Row],[SUBTOTAL]]+Table1[[#This Row],[IVA]]-Table1[[#This Row],[RET IVA]]-Table1[[#This Row],[RET ISR]]-Table1[[#This Row],[TOTAL]]</f>
        <v>0</v>
      </c>
      <c r="AE4162" s="152"/>
      <c r="AF4162" s="153"/>
      <c r="AG4162" s="126"/>
      <c r="AK4162" s="306" t="str">
        <f>IF(ISNUMBER(Table1[[#This Row],[FECHA DE RECIBIDO]]), Table1[[#This Row],[FECHA DE RECIBIDO]]-DATE(2023,8,30), "")</f>
        <v/>
      </c>
    </row>
    <row r="4163" spans="1:37" ht="16.05" customHeight="1">
      <c r="A4163" s="150" t="s">
        <v>4368</v>
      </c>
      <c r="B4163" s="151">
        <v>1341</v>
      </c>
      <c r="C4163" s="126" t="s">
        <v>3402</v>
      </c>
      <c r="D4163">
        <v>2824</v>
      </c>
      <c r="E4163" s="126" t="s">
        <v>1997</v>
      </c>
      <c r="F4163" s="122" t="s">
        <v>1593</v>
      </c>
      <c r="G4163" s="122" t="s">
        <v>109</v>
      </c>
      <c r="H4163">
        <v>763</v>
      </c>
      <c r="I4163" s="122" t="s">
        <v>1546</v>
      </c>
      <c r="J4163" s="307" t="s">
        <v>214</v>
      </c>
      <c r="K4163" s="127" t="s">
        <v>4625</v>
      </c>
      <c r="L4163" s="151" t="s">
        <v>110</v>
      </c>
      <c r="M4163">
        <v>1066</v>
      </c>
      <c r="N4163" s="123">
        <v>175</v>
      </c>
      <c r="O4163">
        <v>2693</v>
      </c>
      <c r="P4163" s="132" t="s">
        <v>77</v>
      </c>
      <c r="Q4163" s="131">
        <v>5000</v>
      </c>
      <c r="R4163" s="131">
        <v>800</v>
      </c>
      <c r="S4163" s="131"/>
      <c r="T4163" s="155">
        <v>533.34</v>
      </c>
      <c r="U4163" s="131">
        <v>62.5</v>
      </c>
      <c r="V4163" s="131">
        <v>5204.16</v>
      </c>
      <c r="W4163">
        <v>362</v>
      </c>
      <c r="X4163" s="151" t="s">
        <v>1897</v>
      </c>
      <c r="Y4163" s="135" t="s">
        <v>55</v>
      </c>
      <c r="Z4163" s="307">
        <v>257</v>
      </c>
      <c r="AB4163" t="str">
        <f>IF(Table1[[#This Row],[TIPO2]]="costo", VLOOKUP(Table1[[#This Row],[PARTIDA PRESUPUESTAL]],'Cost Report'!G:G,1,0),"Balance")</f>
        <v>2006-011</v>
      </c>
      <c r="AC4163" s="118"/>
      <c r="AD4163" s="159">
        <f>+Table1[[#This Row],[SUBTOTAL]]+Table1[[#This Row],[IVA]]-Table1[[#This Row],[RET IVA]]-Table1[[#This Row],[RET ISR]]-Table1[[#This Row],[TOTAL]]</f>
        <v>0</v>
      </c>
      <c r="AE4163" s="150"/>
      <c r="AF4163" s="151"/>
      <c r="AG4163" s="126"/>
      <c r="AK4163" s="306" t="str">
        <f>IF(ISNUMBER(Table1[[#This Row],[FECHA DE RECIBIDO]]), Table1[[#This Row],[FECHA DE RECIBIDO]]-DATE(2023,8,30), "")</f>
        <v/>
      </c>
    </row>
    <row r="4164" spans="1:37" ht="16.05" customHeight="1">
      <c r="A4164" s="152" t="s">
        <v>4369</v>
      </c>
      <c r="B4164" s="153">
        <v>1342</v>
      </c>
      <c r="C4164" s="126" t="s">
        <v>1800</v>
      </c>
      <c r="D4164">
        <v>2825</v>
      </c>
      <c r="E4164" s="126" t="s">
        <v>4370</v>
      </c>
      <c r="F4164" s="125" t="s">
        <v>1589</v>
      </c>
      <c r="G4164" s="125" t="s">
        <v>129</v>
      </c>
      <c r="H4164">
        <v>764</v>
      </c>
      <c r="I4164" s="125" t="s">
        <v>1546</v>
      </c>
      <c r="J4164" s="308" t="s">
        <v>214</v>
      </c>
      <c r="K4164" s="127" t="s">
        <v>4625</v>
      </c>
      <c r="L4164" s="153" t="s">
        <v>110</v>
      </c>
      <c r="M4164">
        <v>1067</v>
      </c>
      <c r="N4164" s="123">
        <v>176</v>
      </c>
      <c r="O4164">
        <v>2694</v>
      </c>
      <c r="P4164" s="132" t="s">
        <v>77</v>
      </c>
      <c r="Q4164" s="132">
        <v>4167</v>
      </c>
      <c r="R4164" s="132">
        <v>666.72</v>
      </c>
      <c r="S4164" s="132"/>
      <c r="T4164" s="156">
        <v>444.48</v>
      </c>
      <c r="U4164" s="132">
        <v>416.7</v>
      </c>
      <c r="V4164" s="132">
        <v>3972.54</v>
      </c>
      <c r="W4164">
        <v>363</v>
      </c>
      <c r="X4164" s="153" t="s">
        <v>1429</v>
      </c>
      <c r="Y4164" s="124" t="s">
        <v>55</v>
      </c>
      <c r="Z4164" s="308">
        <v>257</v>
      </c>
      <c r="AB4164" t="str">
        <f>IF(Table1[[#This Row],[TIPO2]]="costo", VLOOKUP(Table1[[#This Row],[PARTIDA PRESUPUESTAL]],'Cost Report'!G:G,1,0),"Balance")</f>
        <v>2003-009</v>
      </c>
      <c r="AC4164" s="118"/>
      <c r="AD4164" s="159">
        <f>+Table1[[#This Row],[SUBTOTAL]]+Table1[[#This Row],[IVA]]-Table1[[#This Row],[RET IVA]]-Table1[[#This Row],[RET ISR]]-Table1[[#This Row],[TOTAL]]</f>
        <v>0</v>
      </c>
      <c r="AE4164" s="152"/>
      <c r="AF4164" s="153"/>
      <c r="AG4164" s="126"/>
      <c r="AK4164" s="306" t="str">
        <f>IF(ISNUMBER(Table1[[#This Row],[FECHA DE RECIBIDO]]), Table1[[#This Row],[FECHA DE RECIBIDO]]-DATE(2023,8,30), "")</f>
        <v/>
      </c>
    </row>
    <row r="4165" spans="1:37" ht="16.05" customHeight="1">
      <c r="A4165" s="150" t="s">
        <v>4371</v>
      </c>
      <c r="B4165" s="151">
        <v>1343</v>
      </c>
      <c r="C4165" s="126" t="s">
        <v>1799</v>
      </c>
      <c r="D4165">
        <v>2826</v>
      </c>
      <c r="E4165" s="126" t="s">
        <v>4372</v>
      </c>
      <c r="F4165" s="122" t="s">
        <v>1589</v>
      </c>
      <c r="G4165" s="122" t="s">
        <v>129</v>
      </c>
      <c r="H4165">
        <v>765</v>
      </c>
      <c r="I4165" s="122" t="s">
        <v>1546</v>
      </c>
      <c r="J4165" s="307" t="s">
        <v>214</v>
      </c>
      <c r="K4165" s="127" t="s">
        <v>4625</v>
      </c>
      <c r="L4165" s="151" t="s">
        <v>110</v>
      </c>
      <c r="M4165">
        <v>1068</v>
      </c>
      <c r="N4165" s="123">
        <v>177</v>
      </c>
      <c r="O4165">
        <v>2695</v>
      </c>
      <c r="P4165" s="132" t="s">
        <v>77</v>
      </c>
      <c r="Q4165" s="131">
        <v>25000</v>
      </c>
      <c r="R4165" s="131">
        <v>4000</v>
      </c>
      <c r="S4165" s="131"/>
      <c r="T4165" s="155">
        <v>2666.67</v>
      </c>
      <c r="U4165" s="131">
        <v>2500</v>
      </c>
      <c r="V4165" s="131">
        <v>23833.33</v>
      </c>
      <c r="W4165">
        <v>364</v>
      </c>
      <c r="X4165" s="151" t="s">
        <v>1429</v>
      </c>
      <c r="Y4165" s="135" t="s">
        <v>55</v>
      </c>
      <c r="Z4165" s="307">
        <v>257</v>
      </c>
      <c r="AB4165" t="str">
        <f>IF(Table1[[#This Row],[TIPO2]]="costo", VLOOKUP(Table1[[#This Row],[PARTIDA PRESUPUESTAL]],'Cost Report'!G:G,1,0),"Balance")</f>
        <v>2003-008</v>
      </c>
      <c r="AC4165" s="118"/>
      <c r="AD4165" s="159">
        <f>+Table1[[#This Row],[SUBTOTAL]]+Table1[[#This Row],[IVA]]-Table1[[#This Row],[RET IVA]]-Table1[[#This Row],[RET ISR]]-Table1[[#This Row],[TOTAL]]</f>
        <v>0</v>
      </c>
      <c r="AE4165" s="150"/>
      <c r="AF4165" s="151"/>
      <c r="AG4165" s="126"/>
      <c r="AK4165" s="306" t="str">
        <f>IF(ISNUMBER(Table1[[#This Row],[FECHA DE RECIBIDO]]), Table1[[#This Row],[FECHA DE RECIBIDO]]-DATE(2023,8,30), "")</f>
        <v/>
      </c>
    </row>
    <row r="4166" spans="1:37" ht="16.05" customHeight="1">
      <c r="A4166" s="152" t="s">
        <v>4373</v>
      </c>
      <c r="B4166" s="153">
        <v>1344</v>
      </c>
      <c r="C4166" s="126" t="s">
        <v>1800</v>
      </c>
      <c r="D4166">
        <v>2827</v>
      </c>
      <c r="E4166" s="126" t="s">
        <v>4372</v>
      </c>
      <c r="F4166" s="125" t="s">
        <v>1589</v>
      </c>
      <c r="G4166" s="125" t="s">
        <v>129</v>
      </c>
      <c r="H4166">
        <v>765</v>
      </c>
      <c r="I4166" s="125" t="s">
        <v>1546</v>
      </c>
      <c r="J4166" s="308" t="s">
        <v>214</v>
      </c>
      <c r="K4166" s="127" t="s">
        <v>4625</v>
      </c>
      <c r="L4166" s="153" t="s">
        <v>110</v>
      </c>
      <c r="M4166">
        <v>1068</v>
      </c>
      <c r="N4166" s="123">
        <v>177</v>
      </c>
      <c r="O4166">
        <v>2696</v>
      </c>
      <c r="P4166" s="132" t="s">
        <v>77</v>
      </c>
      <c r="Q4166" s="132">
        <v>50000</v>
      </c>
      <c r="R4166" s="132">
        <v>8000</v>
      </c>
      <c r="S4166" s="132"/>
      <c r="T4166" s="156">
        <v>5333.34</v>
      </c>
      <c r="U4166" s="132">
        <v>5000</v>
      </c>
      <c r="V4166" s="132">
        <v>47666.66</v>
      </c>
      <c r="W4166">
        <v>364</v>
      </c>
      <c r="X4166" s="153" t="s">
        <v>1429</v>
      </c>
      <c r="Y4166" s="124" t="s">
        <v>55</v>
      </c>
      <c r="Z4166" s="308">
        <v>257</v>
      </c>
      <c r="AB4166" t="str">
        <f>IF(Table1[[#This Row],[TIPO2]]="costo", VLOOKUP(Table1[[#This Row],[PARTIDA PRESUPUESTAL]],'Cost Report'!G:G,1,0),"Balance")</f>
        <v>2003-009</v>
      </c>
      <c r="AC4166" s="118"/>
      <c r="AD4166" s="159">
        <f>+Table1[[#This Row],[SUBTOTAL]]+Table1[[#This Row],[IVA]]-Table1[[#This Row],[RET IVA]]-Table1[[#This Row],[RET ISR]]-Table1[[#This Row],[TOTAL]]</f>
        <v>0</v>
      </c>
      <c r="AE4166" s="152"/>
      <c r="AF4166" s="153"/>
      <c r="AG4166" s="126"/>
      <c r="AK4166" s="306" t="str">
        <f>IF(ISNUMBER(Table1[[#This Row],[FECHA DE RECIBIDO]]), Table1[[#This Row],[FECHA DE RECIBIDO]]-DATE(2023,8,30), "")</f>
        <v/>
      </c>
    </row>
    <row r="4167" spans="1:37" ht="16.05" customHeight="1">
      <c r="A4167" s="150" t="s">
        <v>4374</v>
      </c>
      <c r="B4167" s="151">
        <v>1345</v>
      </c>
      <c r="C4167" s="126" t="s">
        <v>945</v>
      </c>
      <c r="D4167">
        <v>2828</v>
      </c>
      <c r="E4167" s="126" t="s">
        <v>1597</v>
      </c>
      <c r="F4167" s="122" t="s">
        <v>1589</v>
      </c>
      <c r="G4167" s="122" t="s">
        <v>129</v>
      </c>
      <c r="H4167">
        <v>8</v>
      </c>
      <c r="I4167" s="122" t="s">
        <v>1546</v>
      </c>
      <c r="J4167" s="307" t="s">
        <v>214</v>
      </c>
      <c r="K4167" s="127" t="s">
        <v>4625</v>
      </c>
      <c r="L4167" s="151" t="s">
        <v>110</v>
      </c>
      <c r="M4167">
        <v>11</v>
      </c>
      <c r="N4167" s="123">
        <v>9</v>
      </c>
      <c r="O4167">
        <v>2697</v>
      </c>
      <c r="P4167" s="132" t="s">
        <v>77</v>
      </c>
      <c r="Q4167" s="131">
        <v>42000</v>
      </c>
      <c r="R4167" s="131">
        <v>6720</v>
      </c>
      <c r="S4167" s="131"/>
      <c r="T4167" s="155">
        <v>4480.0200000000004</v>
      </c>
      <c r="U4167" s="131">
        <v>4200</v>
      </c>
      <c r="V4167" s="131">
        <v>40039.979999999996</v>
      </c>
      <c r="W4167">
        <v>6</v>
      </c>
      <c r="X4167" s="151" t="s">
        <v>1430</v>
      </c>
      <c r="Y4167" s="135" t="s">
        <v>55</v>
      </c>
      <c r="Z4167" s="307">
        <v>257</v>
      </c>
      <c r="AB4167" t="str">
        <f>IF(Table1[[#This Row],[TIPO2]]="costo", VLOOKUP(Table1[[#This Row],[PARTIDA PRESUPUESTAL]],'Cost Report'!G:G,1,0),"Balance")</f>
        <v>3402-005</v>
      </c>
      <c r="AC4167" s="118"/>
      <c r="AD4167" s="159">
        <f>+Table1[[#This Row],[SUBTOTAL]]+Table1[[#This Row],[IVA]]-Table1[[#This Row],[RET IVA]]-Table1[[#This Row],[RET ISR]]-Table1[[#This Row],[TOTAL]]</f>
        <v>0</v>
      </c>
      <c r="AE4167" s="150"/>
      <c r="AF4167" s="151"/>
      <c r="AG4167" s="126"/>
      <c r="AK4167" s="306" t="str">
        <f>IF(ISNUMBER(Table1[[#This Row],[FECHA DE RECIBIDO]]), Table1[[#This Row],[FECHA DE RECIBIDO]]-DATE(2023,8,30), "")</f>
        <v/>
      </c>
    </row>
    <row r="4168" spans="1:37" ht="16.05" customHeight="1">
      <c r="A4168" s="152" t="s">
        <v>4375</v>
      </c>
      <c r="B4168" s="153">
        <v>1346</v>
      </c>
      <c r="C4168" s="126" t="s">
        <v>953</v>
      </c>
      <c r="D4168">
        <v>2829</v>
      </c>
      <c r="E4168" s="126" t="s">
        <v>1596</v>
      </c>
      <c r="F4168" s="125" t="s">
        <v>1593</v>
      </c>
      <c r="G4168" s="125" t="s">
        <v>109</v>
      </c>
      <c r="H4168">
        <v>11</v>
      </c>
      <c r="I4168" s="125" t="s">
        <v>1546</v>
      </c>
      <c r="J4168" s="308" t="s">
        <v>214</v>
      </c>
      <c r="K4168" s="127" t="s">
        <v>4625</v>
      </c>
      <c r="L4168" s="153" t="s">
        <v>110</v>
      </c>
      <c r="M4168">
        <v>14</v>
      </c>
      <c r="N4168" s="123">
        <v>8</v>
      </c>
      <c r="O4168">
        <v>2698</v>
      </c>
      <c r="P4168" s="132" t="s">
        <v>77</v>
      </c>
      <c r="Q4168" s="132">
        <v>21000</v>
      </c>
      <c r="R4168" s="132">
        <v>3360</v>
      </c>
      <c r="S4168" s="132"/>
      <c r="T4168" s="156">
        <v>2239.98</v>
      </c>
      <c r="U4168" s="132">
        <v>262.5</v>
      </c>
      <c r="V4168" s="132">
        <v>21857.52</v>
      </c>
      <c r="W4168">
        <v>10</v>
      </c>
      <c r="X4168" s="153" t="s">
        <v>1432</v>
      </c>
      <c r="Y4168" s="124" t="s">
        <v>55</v>
      </c>
      <c r="Z4168" s="308">
        <v>257</v>
      </c>
      <c r="AB4168" t="str">
        <f>IF(Table1[[#This Row],[TIPO2]]="costo", VLOOKUP(Table1[[#This Row],[PARTIDA PRESUPUESTAL]],'Cost Report'!G:G,1,0),"Balance")</f>
        <v>3403-011</v>
      </c>
      <c r="AC4168" s="118"/>
      <c r="AD4168" s="159">
        <f>+Table1[[#This Row],[SUBTOTAL]]+Table1[[#This Row],[IVA]]-Table1[[#This Row],[RET IVA]]-Table1[[#This Row],[RET ISR]]-Table1[[#This Row],[TOTAL]]</f>
        <v>0</v>
      </c>
      <c r="AE4168" s="152"/>
      <c r="AF4168" s="153"/>
      <c r="AG4168" s="126"/>
      <c r="AK4168" s="306" t="str">
        <f>IF(ISNUMBER(Table1[[#This Row],[FECHA DE RECIBIDO]]), Table1[[#This Row],[FECHA DE RECIBIDO]]-DATE(2023,8,30), "")</f>
        <v/>
      </c>
    </row>
    <row r="4169" spans="1:37" ht="16.05" customHeight="1">
      <c r="A4169" s="150" t="s">
        <v>4376</v>
      </c>
      <c r="B4169" s="151">
        <v>1347</v>
      </c>
      <c r="C4169" s="126" t="s">
        <v>956</v>
      </c>
      <c r="D4169">
        <v>2830</v>
      </c>
      <c r="E4169" s="126" t="s">
        <v>1598</v>
      </c>
      <c r="F4169" s="122" t="s">
        <v>1593</v>
      </c>
      <c r="G4169" s="122" t="s">
        <v>109</v>
      </c>
      <c r="H4169">
        <v>25</v>
      </c>
      <c r="I4169" s="122" t="s">
        <v>1546</v>
      </c>
      <c r="J4169" s="307" t="s">
        <v>214</v>
      </c>
      <c r="K4169" s="127" t="s">
        <v>4625</v>
      </c>
      <c r="L4169" s="151" t="s">
        <v>110</v>
      </c>
      <c r="M4169">
        <v>34</v>
      </c>
      <c r="N4169" s="123">
        <v>10</v>
      </c>
      <c r="O4169">
        <v>2699</v>
      </c>
      <c r="P4169" s="132" t="s">
        <v>77</v>
      </c>
      <c r="Q4169" s="131">
        <v>21000</v>
      </c>
      <c r="R4169" s="131">
        <v>3360</v>
      </c>
      <c r="S4169" s="131"/>
      <c r="T4169" s="155">
        <v>2240</v>
      </c>
      <c r="U4169" s="131">
        <v>262.5</v>
      </c>
      <c r="V4169" s="131">
        <v>21857.5</v>
      </c>
      <c r="W4169">
        <v>27</v>
      </c>
      <c r="X4169" s="151" t="s">
        <v>1429</v>
      </c>
      <c r="Y4169" s="135" t="s">
        <v>55</v>
      </c>
      <c r="Z4169" s="307">
        <v>257</v>
      </c>
      <c r="AB4169" t="str">
        <f>IF(Table1[[#This Row],[TIPO2]]="costo", VLOOKUP(Table1[[#This Row],[PARTIDA PRESUPUESTAL]],'Cost Report'!G:G,1,0),"Balance")</f>
        <v>3403-016</v>
      </c>
      <c r="AC4169" s="118"/>
      <c r="AD4169" s="159">
        <f>+Table1[[#This Row],[SUBTOTAL]]+Table1[[#This Row],[IVA]]-Table1[[#This Row],[RET IVA]]-Table1[[#This Row],[RET ISR]]-Table1[[#This Row],[TOTAL]]</f>
        <v>0</v>
      </c>
      <c r="AE4169" s="150"/>
      <c r="AF4169" s="151"/>
      <c r="AG4169" s="126"/>
      <c r="AK4169" s="306" t="str">
        <f>IF(ISNUMBER(Table1[[#This Row],[FECHA DE RECIBIDO]]), Table1[[#This Row],[FECHA DE RECIBIDO]]-DATE(2023,8,30), "")</f>
        <v/>
      </c>
    </row>
    <row r="4170" spans="1:37" ht="16.05" customHeight="1">
      <c r="A4170" s="152" t="s">
        <v>4377</v>
      </c>
      <c r="B4170" s="153">
        <v>1348</v>
      </c>
      <c r="C4170" s="126" t="s">
        <v>2777</v>
      </c>
      <c r="D4170">
        <v>2831</v>
      </c>
      <c r="E4170" s="126" t="s">
        <v>3278</v>
      </c>
      <c r="F4170" s="125" t="s">
        <v>1593</v>
      </c>
      <c r="G4170" s="125" t="s">
        <v>109</v>
      </c>
      <c r="H4170">
        <v>346</v>
      </c>
      <c r="I4170" s="125" t="s">
        <v>1546</v>
      </c>
      <c r="J4170" s="308" t="s">
        <v>214</v>
      </c>
      <c r="K4170" s="127" t="s">
        <v>4625</v>
      </c>
      <c r="L4170" s="153" t="s">
        <v>110</v>
      </c>
      <c r="M4170">
        <v>463</v>
      </c>
      <c r="N4170" s="123">
        <v>88</v>
      </c>
      <c r="O4170">
        <v>2700</v>
      </c>
      <c r="P4170" s="132" t="s">
        <v>77</v>
      </c>
      <c r="Q4170" s="132">
        <v>16000</v>
      </c>
      <c r="R4170" s="132">
        <v>2560</v>
      </c>
      <c r="S4170" s="132"/>
      <c r="T4170" s="156">
        <v>1706.68</v>
      </c>
      <c r="U4170" s="132">
        <v>200</v>
      </c>
      <c r="V4170" s="132">
        <v>16653.32</v>
      </c>
      <c r="W4170">
        <v>183</v>
      </c>
      <c r="X4170" s="153" t="s">
        <v>1431</v>
      </c>
      <c r="Y4170" s="124" t="s">
        <v>55</v>
      </c>
      <c r="Z4170" s="308">
        <v>257</v>
      </c>
      <c r="AB4170" t="str">
        <f>IF(Table1[[#This Row],[TIPO2]]="costo", VLOOKUP(Table1[[#This Row],[PARTIDA PRESUPUESTAL]],'Cost Report'!G:G,1,0),"Balance")</f>
        <v>3403-025</v>
      </c>
      <c r="AC4170" s="118"/>
      <c r="AD4170" s="159">
        <f>+Table1[[#This Row],[SUBTOTAL]]+Table1[[#This Row],[IVA]]-Table1[[#This Row],[RET IVA]]-Table1[[#This Row],[RET ISR]]-Table1[[#This Row],[TOTAL]]</f>
        <v>0</v>
      </c>
      <c r="AE4170" s="152"/>
      <c r="AF4170" s="153"/>
      <c r="AG4170" s="126"/>
      <c r="AK4170" s="306" t="str">
        <f>IF(ISNUMBER(Table1[[#This Row],[FECHA DE RECIBIDO]]), Table1[[#This Row],[FECHA DE RECIBIDO]]-DATE(2023,8,30), "")</f>
        <v/>
      </c>
    </row>
    <row r="4171" spans="1:37" ht="16.05" customHeight="1">
      <c r="A4171" s="150" t="s">
        <v>4378</v>
      </c>
      <c r="B4171" s="151">
        <v>1349</v>
      </c>
      <c r="C4171" s="126" t="s">
        <v>2777</v>
      </c>
      <c r="D4171">
        <v>2832</v>
      </c>
      <c r="E4171" s="126" t="s">
        <v>3278</v>
      </c>
      <c r="F4171" s="122" t="s">
        <v>1593</v>
      </c>
      <c r="G4171" s="122" t="s">
        <v>109</v>
      </c>
      <c r="H4171">
        <v>346</v>
      </c>
      <c r="I4171" s="122" t="s">
        <v>1546</v>
      </c>
      <c r="J4171" s="307" t="s">
        <v>214</v>
      </c>
      <c r="K4171" s="127" t="s">
        <v>4625</v>
      </c>
      <c r="L4171" s="151" t="s">
        <v>110</v>
      </c>
      <c r="M4171">
        <v>463</v>
      </c>
      <c r="N4171" s="123">
        <v>88</v>
      </c>
      <c r="O4171">
        <v>2701</v>
      </c>
      <c r="P4171" s="132" t="s">
        <v>77</v>
      </c>
      <c r="Q4171" s="131">
        <v>16000</v>
      </c>
      <c r="R4171" s="131">
        <v>2560</v>
      </c>
      <c r="S4171" s="131"/>
      <c r="T4171" s="155">
        <v>1706.68</v>
      </c>
      <c r="U4171" s="131">
        <v>200</v>
      </c>
      <c r="V4171" s="131">
        <v>16653.32</v>
      </c>
      <c r="W4171">
        <v>183</v>
      </c>
      <c r="X4171" s="151" t="s">
        <v>1431</v>
      </c>
      <c r="Y4171" s="135" t="s">
        <v>55</v>
      </c>
      <c r="Z4171" s="307">
        <v>257</v>
      </c>
      <c r="AB4171" t="str">
        <f>IF(Table1[[#This Row],[TIPO2]]="costo", VLOOKUP(Table1[[#This Row],[PARTIDA PRESUPUESTAL]],'Cost Report'!G:G,1,0),"Balance")</f>
        <v>3403-025</v>
      </c>
      <c r="AC4171" s="118"/>
      <c r="AD4171" s="159">
        <f>+Table1[[#This Row],[SUBTOTAL]]+Table1[[#This Row],[IVA]]-Table1[[#This Row],[RET IVA]]-Table1[[#This Row],[RET ISR]]-Table1[[#This Row],[TOTAL]]</f>
        <v>0</v>
      </c>
      <c r="AE4171" s="150"/>
      <c r="AF4171" s="151"/>
      <c r="AG4171" s="126"/>
      <c r="AK4171" s="306" t="str">
        <f>IF(ISNUMBER(Table1[[#This Row],[FECHA DE RECIBIDO]]), Table1[[#This Row],[FECHA DE RECIBIDO]]-DATE(2023,8,30), "")</f>
        <v/>
      </c>
    </row>
    <row r="4172" spans="1:37" ht="16.05" customHeight="1">
      <c r="A4172" s="152" t="s">
        <v>4379</v>
      </c>
      <c r="B4172" s="153">
        <v>1350</v>
      </c>
      <c r="C4172" s="126" t="s">
        <v>2784</v>
      </c>
      <c r="D4172">
        <v>2833</v>
      </c>
      <c r="E4172" s="126" t="s">
        <v>3901</v>
      </c>
      <c r="F4172" s="125" t="s">
        <v>1589</v>
      </c>
      <c r="G4172" s="125" t="s">
        <v>129</v>
      </c>
      <c r="H4172">
        <v>499</v>
      </c>
      <c r="I4172" s="125" t="s">
        <v>1546</v>
      </c>
      <c r="J4172" s="308" t="s">
        <v>214</v>
      </c>
      <c r="K4172" s="127" t="s">
        <v>4625</v>
      </c>
      <c r="L4172" s="153" t="s">
        <v>110</v>
      </c>
      <c r="M4172">
        <v>723</v>
      </c>
      <c r="N4172" s="123">
        <v>128</v>
      </c>
      <c r="O4172">
        <v>2702</v>
      </c>
      <c r="P4172" s="132" t="s">
        <v>77</v>
      </c>
      <c r="Q4172" s="132">
        <v>8500</v>
      </c>
      <c r="R4172" s="132">
        <v>1360</v>
      </c>
      <c r="S4172" s="132"/>
      <c r="T4172" s="156">
        <v>906.67</v>
      </c>
      <c r="U4172" s="132">
        <v>850</v>
      </c>
      <c r="V4172" s="132">
        <v>8103.33</v>
      </c>
      <c r="W4172">
        <v>271</v>
      </c>
      <c r="X4172" s="153" t="s">
        <v>1429</v>
      </c>
      <c r="Y4172" s="124" t="s">
        <v>55</v>
      </c>
      <c r="Z4172" s="308">
        <v>257</v>
      </c>
      <c r="AB4172" t="str">
        <f>IF(Table1[[#This Row],[TIPO2]]="costo", VLOOKUP(Table1[[#This Row],[PARTIDA PRESUPUESTAL]],'Cost Report'!G:G,1,0),"Balance")</f>
        <v>3403-038</v>
      </c>
      <c r="AC4172" s="118"/>
      <c r="AD4172" s="159">
        <f>+Table1[[#This Row],[SUBTOTAL]]+Table1[[#This Row],[IVA]]-Table1[[#This Row],[RET IVA]]-Table1[[#This Row],[RET ISR]]-Table1[[#This Row],[TOTAL]]</f>
        <v>0</v>
      </c>
      <c r="AE4172" s="152"/>
      <c r="AF4172" s="153"/>
      <c r="AG4172" s="126"/>
      <c r="AK4172" s="306" t="str">
        <f>IF(ISNUMBER(Table1[[#This Row],[FECHA DE RECIBIDO]]), Table1[[#This Row],[FECHA DE RECIBIDO]]-DATE(2023,8,30), "")</f>
        <v/>
      </c>
    </row>
    <row r="4173" spans="1:37" ht="16.05" customHeight="1">
      <c r="A4173" s="150" t="s">
        <v>4380</v>
      </c>
      <c r="B4173" s="151">
        <v>1351</v>
      </c>
      <c r="C4173" s="126" t="s">
        <v>537</v>
      </c>
      <c r="D4173">
        <v>2834</v>
      </c>
      <c r="E4173" s="126" t="s">
        <v>1599</v>
      </c>
      <c r="F4173" s="122" t="s">
        <v>1589</v>
      </c>
      <c r="G4173" s="122" t="s">
        <v>129</v>
      </c>
      <c r="H4173">
        <v>20</v>
      </c>
      <c r="I4173" s="122" t="s">
        <v>1546</v>
      </c>
      <c r="J4173" s="307" t="s">
        <v>214</v>
      </c>
      <c r="K4173" s="127" t="s">
        <v>4625</v>
      </c>
      <c r="L4173" s="151" t="s">
        <v>110</v>
      </c>
      <c r="M4173">
        <v>26</v>
      </c>
      <c r="N4173" s="123">
        <v>11</v>
      </c>
      <c r="O4173">
        <v>2703</v>
      </c>
      <c r="P4173" s="132" t="s">
        <v>77</v>
      </c>
      <c r="Q4173" s="131">
        <v>64680</v>
      </c>
      <c r="R4173" s="131">
        <v>10348.799999999999</v>
      </c>
      <c r="S4173" s="131"/>
      <c r="T4173" s="155">
        <v>6899.22</v>
      </c>
      <c r="U4173" s="131">
        <v>6468</v>
      </c>
      <c r="V4173" s="131">
        <v>61661.58</v>
      </c>
      <c r="W4173">
        <v>20</v>
      </c>
      <c r="X4173" s="151" t="s">
        <v>1434</v>
      </c>
      <c r="Y4173" s="135" t="s">
        <v>55</v>
      </c>
      <c r="Z4173" s="307">
        <v>257</v>
      </c>
      <c r="AB4173" t="str">
        <f>IF(Table1[[#This Row],[TIPO2]]="costo", VLOOKUP(Table1[[#This Row],[PARTIDA PRESUPUESTAL]],'Cost Report'!G:G,1,0),"Balance")</f>
        <v>2201-005</v>
      </c>
      <c r="AC4173" s="118"/>
      <c r="AD4173" s="159">
        <f>+Table1[[#This Row],[SUBTOTAL]]+Table1[[#This Row],[IVA]]-Table1[[#This Row],[RET IVA]]-Table1[[#This Row],[RET ISR]]-Table1[[#This Row],[TOTAL]]</f>
        <v>0</v>
      </c>
      <c r="AE4173" s="150"/>
      <c r="AF4173" s="151"/>
      <c r="AG4173" s="126"/>
      <c r="AK4173" s="306" t="str">
        <f>IF(ISNUMBER(Table1[[#This Row],[FECHA DE RECIBIDO]]), Table1[[#This Row],[FECHA DE RECIBIDO]]-DATE(2023,8,30), "")</f>
        <v/>
      </c>
    </row>
    <row r="4174" spans="1:37" ht="16.05" customHeight="1">
      <c r="A4174" s="152" t="s">
        <v>4381</v>
      </c>
      <c r="B4174" s="153">
        <v>1352</v>
      </c>
      <c r="C4174" s="126" t="s">
        <v>549</v>
      </c>
      <c r="D4174">
        <v>2835</v>
      </c>
      <c r="E4174" s="126" t="s">
        <v>1603</v>
      </c>
      <c r="F4174" s="125" t="s">
        <v>1589</v>
      </c>
      <c r="G4174" s="125" t="s">
        <v>129</v>
      </c>
      <c r="H4174">
        <v>28</v>
      </c>
      <c r="I4174" s="125" t="s">
        <v>1546</v>
      </c>
      <c r="J4174" s="308" t="s">
        <v>214</v>
      </c>
      <c r="K4174" s="127" t="s">
        <v>4625</v>
      </c>
      <c r="L4174" s="153" t="s">
        <v>110</v>
      </c>
      <c r="M4174">
        <v>37</v>
      </c>
      <c r="N4174" s="123">
        <v>14</v>
      </c>
      <c r="O4174">
        <v>2704</v>
      </c>
      <c r="P4174" s="132" t="s">
        <v>77</v>
      </c>
      <c r="Q4174" s="132">
        <v>31500</v>
      </c>
      <c r="R4174" s="132">
        <v>5040</v>
      </c>
      <c r="S4174" s="132"/>
      <c r="T4174" s="156">
        <v>3360.02</v>
      </c>
      <c r="U4174" s="132">
        <v>3150</v>
      </c>
      <c r="V4174" s="132">
        <v>30029.980000000003</v>
      </c>
      <c r="W4174">
        <v>30</v>
      </c>
      <c r="X4174" s="153" t="s">
        <v>1432</v>
      </c>
      <c r="Y4174" s="124" t="s">
        <v>55</v>
      </c>
      <c r="Z4174" s="308">
        <v>257</v>
      </c>
      <c r="AB4174" t="str">
        <f>IF(Table1[[#This Row],[TIPO2]]="costo", VLOOKUP(Table1[[#This Row],[PARTIDA PRESUPUESTAL]],'Cost Report'!G:G,1,0),"Balance")</f>
        <v>2206-004</v>
      </c>
      <c r="AC4174" s="118"/>
      <c r="AD4174" s="159">
        <f>+Table1[[#This Row],[SUBTOTAL]]+Table1[[#This Row],[IVA]]-Table1[[#This Row],[RET IVA]]-Table1[[#This Row],[RET ISR]]-Table1[[#This Row],[TOTAL]]</f>
        <v>0</v>
      </c>
      <c r="AE4174" s="152"/>
      <c r="AF4174" s="153"/>
      <c r="AG4174" s="126"/>
      <c r="AK4174" s="306" t="str">
        <f>IF(ISNUMBER(Table1[[#This Row],[FECHA DE RECIBIDO]]), Table1[[#This Row],[FECHA DE RECIBIDO]]-DATE(2023,8,30), "")</f>
        <v/>
      </c>
    </row>
    <row r="4175" spans="1:37" ht="16.05" customHeight="1">
      <c r="A4175" s="150" t="s">
        <v>4382</v>
      </c>
      <c r="B4175" s="151">
        <v>1353</v>
      </c>
      <c r="C4175" s="126" t="s">
        <v>576</v>
      </c>
      <c r="D4175">
        <v>2836</v>
      </c>
      <c r="E4175" s="126" t="s">
        <v>1893</v>
      </c>
      <c r="F4175" s="122" t="s">
        <v>1593</v>
      </c>
      <c r="G4175" s="122" t="s">
        <v>109</v>
      </c>
      <c r="H4175">
        <v>66</v>
      </c>
      <c r="I4175" s="122" t="s">
        <v>1546</v>
      </c>
      <c r="J4175" s="307" t="s">
        <v>214</v>
      </c>
      <c r="K4175" s="127" t="s">
        <v>4625</v>
      </c>
      <c r="L4175" s="151" t="s">
        <v>110</v>
      </c>
      <c r="M4175">
        <v>89</v>
      </c>
      <c r="N4175" s="123">
        <v>26</v>
      </c>
      <c r="O4175">
        <v>2705</v>
      </c>
      <c r="P4175" s="132" t="s">
        <v>77</v>
      </c>
      <c r="Q4175" s="131">
        <v>35700</v>
      </c>
      <c r="R4175" s="131">
        <v>5712</v>
      </c>
      <c r="S4175" s="131"/>
      <c r="T4175" s="155">
        <v>3808.02</v>
      </c>
      <c r="U4175" s="131">
        <v>446.26</v>
      </c>
      <c r="V4175" s="131">
        <v>37157.72</v>
      </c>
      <c r="W4175">
        <v>48</v>
      </c>
      <c r="X4175" s="151" t="s">
        <v>1430</v>
      </c>
      <c r="Y4175" s="135" t="s">
        <v>55</v>
      </c>
      <c r="Z4175" s="307">
        <v>257</v>
      </c>
      <c r="AB4175" t="str">
        <f>IF(Table1[[#This Row],[TIPO2]]="costo", VLOOKUP(Table1[[#This Row],[PARTIDA PRESUPUESTAL]],'Cost Report'!G:G,1,0),"Balance")</f>
        <v>2401-004</v>
      </c>
      <c r="AC4175" s="118"/>
      <c r="AD4175" s="159">
        <f>+Table1[[#This Row],[SUBTOTAL]]+Table1[[#This Row],[IVA]]-Table1[[#This Row],[RET IVA]]-Table1[[#This Row],[RET ISR]]-Table1[[#This Row],[TOTAL]]</f>
        <v>0</v>
      </c>
      <c r="AE4175" s="150"/>
      <c r="AF4175" s="151"/>
      <c r="AG4175" s="126"/>
      <c r="AK4175" s="306" t="str">
        <f>IF(ISNUMBER(Table1[[#This Row],[FECHA DE RECIBIDO]]), Table1[[#This Row],[FECHA DE RECIBIDO]]-DATE(2023,8,30), "")</f>
        <v/>
      </c>
    </row>
    <row r="4176" spans="1:37" ht="16.05" customHeight="1">
      <c r="A4176" s="152" t="s">
        <v>4383</v>
      </c>
      <c r="B4176" s="153">
        <v>1354</v>
      </c>
      <c r="C4176" s="126" t="s">
        <v>576</v>
      </c>
      <c r="D4176">
        <v>2837</v>
      </c>
      <c r="E4176" s="126" t="s">
        <v>1893</v>
      </c>
      <c r="F4176" s="125" t="s">
        <v>1593</v>
      </c>
      <c r="G4176" s="125" t="s">
        <v>109</v>
      </c>
      <c r="H4176">
        <v>66</v>
      </c>
      <c r="I4176" s="125" t="s">
        <v>1546</v>
      </c>
      <c r="J4176" s="308" t="s">
        <v>214</v>
      </c>
      <c r="K4176" s="127" t="s">
        <v>4625</v>
      </c>
      <c r="L4176" s="153" t="s">
        <v>110</v>
      </c>
      <c r="M4176">
        <v>89</v>
      </c>
      <c r="N4176" s="123">
        <v>26</v>
      </c>
      <c r="O4176">
        <v>2706</v>
      </c>
      <c r="P4176" s="132" t="s">
        <v>77</v>
      </c>
      <c r="Q4176" s="132">
        <v>35700</v>
      </c>
      <c r="R4176" s="132">
        <v>5712</v>
      </c>
      <c r="S4176" s="132"/>
      <c r="T4176" s="156">
        <v>3808.02</v>
      </c>
      <c r="U4176" s="132">
        <v>446.26</v>
      </c>
      <c r="V4176" s="132">
        <v>37157.72</v>
      </c>
      <c r="W4176">
        <v>48</v>
      </c>
      <c r="X4176" s="153" t="s">
        <v>1430</v>
      </c>
      <c r="Y4176" s="124" t="s">
        <v>55</v>
      </c>
      <c r="Z4176" s="308">
        <v>257</v>
      </c>
      <c r="AB4176" t="str">
        <f>IF(Table1[[#This Row],[TIPO2]]="costo", VLOOKUP(Table1[[#This Row],[PARTIDA PRESUPUESTAL]],'Cost Report'!G:G,1,0),"Balance")</f>
        <v>2401-004</v>
      </c>
      <c r="AC4176" s="118"/>
      <c r="AD4176" s="159">
        <f>+Table1[[#This Row],[SUBTOTAL]]+Table1[[#This Row],[IVA]]-Table1[[#This Row],[RET IVA]]-Table1[[#This Row],[RET ISR]]-Table1[[#This Row],[TOTAL]]</f>
        <v>0</v>
      </c>
      <c r="AE4176" s="152"/>
      <c r="AF4176" s="153"/>
      <c r="AG4176" s="126"/>
      <c r="AK4176" s="306" t="str">
        <f>IF(ISNUMBER(Table1[[#This Row],[FECHA DE RECIBIDO]]), Table1[[#This Row],[FECHA DE RECIBIDO]]-DATE(2023,8,30), "")</f>
        <v/>
      </c>
    </row>
    <row r="4177" spans="1:37" ht="16.05" customHeight="1">
      <c r="A4177" s="150" t="s">
        <v>4384</v>
      </c>
      <c r="B4177" s="151">
        <v>1355</v>
      </c>
      <c r="C4177" s="126" t="s">
        <v>625</v>
      </c>
      <c r="D4177">
        <v>2838</v>
      </c>
      <c r="E4177" s="126" t="s">
        <v>1994</v>
      </c>
      <c r="F4177" s="122" t="s">
        <v>1593</v>
      </c>
      <c r="G4177" s="122" t="s">
        <v>109</v>
      </c>
      <c r="H4177">
        <v>107</v>
      </c>
      <c r="I4177" s="122" t="s">
        <v>1546</v>
      </c>
      <c r="J4177" s="307" t="s">
        <v>214</v>
      </c>
      <c r="K4177" s="127" t="s">
        <v>4625</v>
      </c>
      <c r="L4177" s="151" t="s">
        <v>110</v>
      </c>
      <c r="M4177">
        <v>145</v>
      </c>
      <c r="N4177" s="123">
        <v>37</v>
      </c>
      <c r="O4177">
        <v>2707</v>
      </c>
      <c r="P4177" s="132" t="s">
        <v>77</v>
      </c>
      <c r="Q4177" s="131">
        <v>68000</v>
      </c>
      <c r="R4177" s="131">
        <v>10880</v>
      </c>
      <c r="S4177" s="131"/>
      <c r="T4177" s="155">
        <v>7253.32</v>
      </c>
      <c r="U4177" s="131">
        <v>850</v>
      </c>
      <c r="V4177" s="131">
        <v>70776.679999999993</v>
      </c>
      <c r="W4177">
        <v>69</v>
      </c>
      <c r="X4177" s="151" t="s">
        <v>1430</v>
      </c>
      <c r="Y4177" s="135" t="s">
        <v>55</v>
      </c>
      <c r="Z4177" s="307">
        <v>257</v>
      </c>
      <c r="AB4177" t="str">
        <f>IF(Table1[[#This Row],[TIPO2]]="costo", VLOOKUP(Table1[[#This Row],[PARTIDA PRESUPUESTAL]],'Cost Report'!G:G,1,0),"Balance")</f>
        <v>2501-004</v>
      </c>
      <c r="AC4177" s="118"/>
      <c r="AD4177" s="159">
        <f>+Table1[[#This Row],[SUBTOTAL]]+Table1[[#This Row],[IVA]]-Table1[[#This Row],[RET IVA]]-Table1[[#This Row],[RET ISR]]-Table1[[#This Row],[TOTAL]]</f>
        <v>0</v>
      </c>
      <c r="AE4177" s="150"/>
      <c r="AF4177" s="151"/>
      <c r="AG4177" s="126"/>
      <c r="AK4177" s="306" t="str">
        <f>IF(ISNUMBER(Table1[[#This Row],[FECHA DE RECIBIDO]]), Table1[[#This Row],[FECHA DE RECIBIDO]]-DATE(2023,8,30), "")</f>
        <v/>
      </c>
    </row>
    <row r="4178" spans="1:37" ht="16.05" customHeight="1">
      <c r="A4178" s="152" t="s">
        <v>4385</v>
      </c>
      <c r="B4178" s="153">
        <v>1356</v>
      </c>
      <c r="C4178" s="126" t="s">
        <v>635</v>
      </c>
      <c r="D4178">
        <v>2839</v>
      </c>
      <c r="E4178" s="126" t="s">
        <v>2013</v>
      </c>
      <c r="F4178" s="125" t="s">
        <v>1589</v>
      </c>
      <c r="G4178" s="125" t="s">
        <v>129</v>
      </c>
      <c r="H4178">
        <v>108</v>
      </c>
      <c r="I4178" s="125" t="s">
        <v>1546</v>
      </c>
      <c r="J4178" s="308" t="s">
        <v>214</v>
      </c>
      <c r="K4178" s="127" t="s">
        <v>4625</v>
      </c>
      <c r="L4178" s="153" t="s">
        <v>110</v>
      </c>
      <c r="M4178">
        <v>146</v>
      </c>
      <c r="N4178" s="123">
        <v>38</v>
      </c>
      <c r="O4178">
        <v>2708</v>
      </c>
      <c r="P4178" s="132" t="s">
        <v>77</v>
      </c>
      <c r="Q4178" s="132">
        <v>12500</v>
      </c>
      <c r="R4178" s="132">
        <v>2000</v>
      </c>
      <c r="S4178" s="132"/>
      <c r="T4178" s="156">
        <v>1333.34</v>
      </c>
      <c r="U4178" s="132">
        <v>1250</v>
      </c>
      <c r="V4178" s="132">
        <v>11916.66</v>
      </c>
      <c r="W4178">
        <v>70</v>
      </c>
      <c r="X4178" s="153" t="s">
        <v>1429</v>
      </c>
      <c r="Y4178" s="124" t="s">
        <v>55</v>
      </c>
      <c r="Z4178" s="308">
        <v>257</v>
      </c>
      <c r="AB4178" t="str">
        <f>IF(Table1[[#This Row],[TIPO2]]="costo", VLOOKUP(Table1[[#This Row],[PARTIDA PRESUPUESTAL]],'Cost Report'!G:G,1,0),"Balance")</f>
        <v>2508-003</v>
      </c>
      <c r="AC4178" s="118"/>
      <c r="AD4178" s="159">
        <f>+Table1[[#This Row],[SUBTOTAL]]+Table1[[#This Row],[IVA]]-Table1[[#This Row],[RET IVA]]-Table1[[#This Row],[RET ISR]]-Table1[[#This Row],[TOTAL]]</f>
        <v>0</v>
      </c>
      <c r="AE4178" s="152"/>
      <c r="AF4178" s="153"/>
      <c r="AG4178" s="126"/>
      <c r="AK4178" s="306" t="str">
        <f>IF(ISNUMBER(Table1[[#This Row],[FECHA DE RECIBIDO]]), Table1[[#This Row],[FECHA DE RECIBIDO]]-DATE(2023,8,30), "")</f>
        <v/>
      </c>
    </row>
    <row r="4179" spans="1:37" ht="16.05" customHeight="1">
      <c r="A4179" s="150" t="s">
        <v>4386</v>
      </c>
      <c r="B4179" s="151">
        <v>1357</v>
      </c>
      <c r="C4179" s="126" t="s">
        <v>2452</v>
      </c>
      <c r="D4179">
        <v>2840</v>
      </c>
      <c r="E4179" s="126" t="s">
        <v>1613</v>
      </c>
      <c r="F4179" s="122" t="s">
        <v>1593</v>
      </c>
      <c r="G4179" s="122" t="s">
        <v>109</v>
      </c>
      <c r="H4179">
        <v>110</v>
      </c>
      <c r="I4179" s="122" t="s">
        <v>1546</v>
      </c>
      <c r="J4179" s="307" t="s">
        <v>214</v>
      </c>
      <c r="K4179" s="127" t="s">
        <v>4625</v>
      </c>
      <c r="L4179" s="151" t="s">
        <v>110</v>
      </c>
      <c r="M4179">
        <v>148</v>
      </c>
      <c r="N4179" s="123">
        <v>40</v>
      </c>
      <c r="O4179">
        <v>2709</v>
      </c>
      <c r="P4179" s="132" t="s">
        <v>77</v>
      </c>
      <c r="Q4179" s="131">
        <v>14000</v>
      </c>
      <c r="R4179" s="131">
        <v>2240</v>
      </c>
      <c r="S4179" s="131"/>
      <c r="T4179" s="155">
        <v>1493.34</v>
      </c>
      <c r="U4179" s="131">
        <v>175</v>
      </c>
      <c r="V4179" s="131">
        <v>14571.66</v>
      </c>
      <c r="W4179">
        <v>72</v>
      </c>
      <c r="X4179" s="151" t="s">
        <v>1429</v>
      </c>
      <c r="Y4179" s="135" t="s">
        <v>55</v>
      </c>
      <c r="Z4179" s="307">
        <v>257</v>
      </c>
      <c r="AB4179" t="str">
        <f>IF(Table1[[#This Row],[TIPO2]]="costo", VLOOKUP(Table1[[#This Row],[PARTIDA PRESUPUESTAL]],'Cost Report'!G:G,1,0),"Balance")</f>
        <v>2206-016</v>
      </c>
      <c r="AC4179" s="118"/>
      <c r="AD4179" s="159">
        <f>+Table1[[#This Row],[SUBTOTAL]]+Table1[[#This Row],[IVA]]-Table1[[#This Row],[RET IVA]]-Table1[[#This Row],[RET ISR]]-Table1[[#This Row],[TOTAL]]</f>
        <v>0</v>
      </c>
      <c r="AE4179" s="150"/>
      <c r="AF4179" s="151"/>
      <c r="AG4179" s="126"/>
      <c r="AK4179" s="306" t="str">
        <f>IF(ISNUMBER(Table1[[#This Row],[FECHA DE RECIBIDO]]), Table1[[#This Row],[FECHA DE RECIBIDO]]-DATE(2023,8,30), "")</f>
        <v/>
      </c>
    </row>
    <row r="4180" spans="1:37" ht="16.05" customHeight="1">
      <c r="A4180" s="152" t="s">
        <v>4387</v>
      </c>
      <c r="B4180" s="153">
        <v>1358</v>
      </c>
      <c r="C4180" s="126" t="s">
        <v>583</v>
      </c>
      <c r="D4180">
        <v>2841</v>
      </c>
      <c r="E4180" s="126" t="s">
        <v>2014</v>
      </c>
      <c r="F4180" s="125" t="s">
        <v>1589</v>
      </c>
      <c r="G4180" s="125" t="s">
        <v>129</v>
      </c>
      <c r="H4180">
        <v>111</v>
      </c>
      <c r="I4180" s="125" t="s">
        <v>1546</v>
      </c>
      <c r="J4180" s="308" t="s">
        <v>214</v>
      </c>
      <c r="K4180" s="127" t="s">
        <v>4625</v>
      </c>
      <c r="L4180" s="153" t="s">
        <v>110</v>
      </c>
      <c r="M4180">
        <v>149</v>
      </c>
      <c r="N4180" s="123">
        <v>41</v>
      </c>
      <c r="O4180">
        <v>2710</v>
      </c>
      <c r="P4180" s="132" t="s">
        <v>77</v>
      </c>
      <c r="Q4180" s="132">
        <v>17850</v>
      </c>
      <c r="R4180" s="132">
        <v>2856</v>
      </c>
      <c r="S4180" s="132"/>
      <c r="T4180" s="156">
        <v>1904</v>
      </c>
      <c r="U4180" s="132">
        <v>1785</v>
      </c>
      <c r="V4180" s="132">
        <v>17017</v>
      </c>
      <c r="W4180">
        <v>73</v>
      </c>
      <c r="X4180" s="153" t="s">
        <v>1430</v>
      </c>
      <c r="Y4180" s="124" t="s">
        <v>55</v>
      </c>
      <c r="Z4180" s="308">
        <v>257</v>
      </c>
      <c r="AB4180" t="str">
        <f>IF(Table1[[#This Row],[TIPO2]]="costo", VLOOKUP(Table1[[#This Row],[PARTIDA PRESUPUESTAL]],'Cost Report'!G:G,1,0),"Balance")</f>
        <v>2401-015</v>
      </c>
      <c r="AC4180" s="118"/>
      <c r="AD4180" s="159">
        <f>+Table1[[#This Row],[SUBTOTAL]]+Table1[[#This Row],[IVA]]-Table1[[#This Row],[RET IVA]]-Table1[[#This Row],[RET ISR]]-Table1[[#This Row],[TOTAL]]</f>
        <v>0</v>
      </c>
      <c r="AE4180" s="152"/>
      <c r="AF4180" s="153"/>
      <c r="AG4180" s="126"/>
      <c r="AK4180" s="306" t="str">
        <f>IF(ISNUMBER(Table1[[#This Row],[FECHA DE RECIBIDO]]), Table1[[#This Row],[FECHA DE RECIBIDO]]-DATE(2023,8,30), "")</f>
        <v/>
      </c>
    </row>
    <row r="4181" spans="1:37" ht="16.05" customHeight="1">
      <c r="A4181" s="150" t="s">
        <v>4388</v>
      </c>
      <c r="B4181" s="151">
        <v>1359</v>
      </c>
      <c r="C4181" s="126" t="s">
        <v>2527</v>
      </c>
      <c r="D4181">
        <v>2842</v>
      </c>
      <c r="E4181" s="126" t="s">
        <v>2015</v>
      </c>
      <c r="F4181" s="122" t="s">
        <v>1593</v>
      </c>
      <c r="G4181" s="122" t="s">
        <v>109</v>
      </c>
      <c r="H4181">
        <v>112</v>
      </c>
      <c r="I4181" s="122" t="s">
        <v>1546</v>
      </c>
      <c r="J4181" s="307" t="s">
        <v>214</v>
      </c>
      <c r="K4181" s="127" t="s">
        <v>4625</v>
      </c>
      <c r="L4181" s="151" t="s">
        <v>110</v>
      </c>
      <c r="M4181">
        <v>150</v>
      </c>
      <c r="N4181" s="123">
        <v>42</v>
      </c>
      <c r="O4181">
        <v>2711</v>
      </c>
      <c r="P4181" s="132" t="s">
        <v>77</v>
      </c>
      <c r="Q4181" s="131">
        <v>15000</v>
      </c>
      <c r="R4181" s="131">
        <v>2400</v>
      </c>
      <c r="S4181" s="131"/>
      <c r="T4181" s="155">
        <v>1600</v>
      </c>
      <c r="U4181" s="131">
        <v>187.5</v>
      </c>
      <c r="V4181" s="131">
        <v>15612.5</v>
      </c>
      <c r="W4181">
        <v>74</v>
      </c>
      <c r="X4181" s="151" t="s">
        <v>1429</v>
      </c>
      <c r="Y4181" s="135" t="s">
        <v>55</v>
      </c>
      <c r="Z4181" s="307">
        <v>257</v>
      </c>
      <c r="AB4181" t="str">
        <f>IF(Table1[[#This Row],[TIPO2]]="costo", VLOOKUP(Table1[[#This Row],[PARTIDA PRESUPUESTAL]],'Cost Report'!G:G,1,0),"Balance")</f>
        <v>2405-025</v>
      </c>
      <c r="AC4181" s="118"/>
      <c r="AD4181" s="159">
        <f>+Table1[[#This Row],[SUBTOTAL]]+Table1[[#This Row],[IVA]]-Table1[[#This Row],[RET IVA]]-Table1[[#This Row],[RET ISR]]-Table1[[#This Row],[TOTAL]]</f>
        <v>0</v>
      </c>
      <c r="AE4181" s="150"/>
      <c r="AF4181" s="151"/>
      <c r="AG4181" s="126"/>
      <c r="AK4181" s="306" t="str">
        <f>IF(ISNUMBER(Table1[[#This Row],[FECHA DE RECIBIDO]]), Table1[[#This Row],[FECHA DE RECIBIDO]]-DATE(2023,8,30), "")</f>
        <v/>
      </c>
    </row>
    <row r="4182" spans="1:37" ht="16.05" customHeight="1">
      <c r="A4182" s="152" t="s">
        <v>4389</v>
      </c>
      <c r="B4182" s="153">
        <v>1360</v>
      </c>
      <c r="C4182" s="126" t="s">
        <v>2527</v>
      </c>
      <c r="D4182">
        <v>2843</v>
      </c>
      <c r="E4182" s="126" t="s">
        <v>2015</v>
      </c>
      <c r="F4182" s="125" t="s">
        <v>1593</v>
      </c>
      <c r="G4182" s="125" t="s">
        <v>109</v>
      </c>
      <c r="H4182">
        <v>112</v>
      </c>
      <c r="I4182" s="125" t="s">
        <v>1546</v>
      </c>
      <c r="J4182" s="308" t="s">
        <v>214</v>
      </c>
      <c r="K4182" s="127" t="s">
        <v>4625</v>
      </c>
      <c r="L4182" s="153" t="s">
        <v>110</v>
      </c>
      <c r="M4182">
        <v>150</v>
      </c>
      <c r="N4182" s="123">
        <v>42</v>
      </c>
      <c r="O4182">
        <v>2712</v>
      </c>
      <c r="P4182" s="132" t="s">
        <v>77</v>
      </c>
      <c r="Q4182" s="132">
        <v>5000</v>
      </c>
      <c r="R4182" s="132">
        <v>800</v>
      </c>
      <c r="S4182" s="132"/>
      <c r="T4182" s="156">
        <v>533.35</v>
      </c>
      <c r="U4182" s="132">
        <v>62.5</v>
      </c>
      <c r="V4182" s="132">
        <v>5204.1499999999996</v>
      </c>
      <c r="W4182">
        <v>74</v>
      </c>
      <c r="X4182" s="153" t="s">
        <v>1429</v>
      </c>
      <c r="Y4182" s="124" t="s">
        <v>55</v>
      </c>
      <c r="Z4182" s="308">
        <v>257</v>
      </c>
      <c r="AB4182" t="str">
        <f>IF(Table1[[#This Row],[TIPO2]]="costo", VLOOKUP(Table1[[#This Row],[PARTIDA PRESUPUESTAL]],'Cost Report'!G:G,1,0),"Balance")</f>
        <v>2405-025</v>
      </c>
      <c r="AC4182" s="118"/>
      <c r="AD4182" s="159">
        <f>+Table1[[#This Row],[SUBTOTAL]]+Table1[[#This Row],[IVA]]-Table1[[#This Row],[RET IVA]]-Table1[[#This Row],[RET ISR]]-Table1[[#This Row],[TOTAL]]</f>
        <v>0</v>
      </c>
      <c r="AE4182" s="152"/>
      <c r="AF4182" s="153"/>
      <c r="AG4182" s="126"/>
      <c r="AK4182" s="306" t="str">
        <f>IF(ISNUMBER(Table1[[#This Row],[FECHA DE RECIBIDO]]), Table1[[#This Row],[FECHA DE RECIBIDO]]-DATE(2023,8,30), "")</f>
        <v/>
      </c>
    </row>
    <row r="4183" spans="1:37" ht="16.05" customHeight="1">
      <c r="A4183" s="150" t="s">
        <v>4390</v>
      </c>
      <c r="B4183" s="151">
        <v>1361</v>
      </c>
      <c r="C4183" s="126" t="s">
        <v>553</v>
      </c>
      <c r="D4183">
        <v>2844</v>
      </c>
      <c r="E4183" s="126" t="s">
        <v>1614</v>
      </c>
      <c r="F4183" s="122" t="s">
        <v>1593</v>
      </c>
      <c r="G4183" s="122" t="s">
        <v>109</v>
      </c>
      <c r="H4183">
        <v>114</v>
      </c>
      <c r="I4183" s="122" t="s">
        <v>1546</v>
      </c>
      <c r="J4183" s="307" t="s">
        <v>214</v>
      </c>
      <c r="K4183" s="127" t="s">
        <v>4625</v>
      </c>
      <c r="L4183" s="151" t="s">
        <v>110</v>
      </c>
      <c r="M4183">
        <v>152</v>
      </c>
      <c r="N4183" s="123">
        <v>44</v>
      </c>
      <c r="O4183">
        <v>2713</v>
      </c>
      <c r="P4183" s="132" t="s">
        <v>77</v>
      </c>
      <c r="Q4183" s="131">
        <v>15400</v>
      </c>
      <c r="R4183" s="131">
        <v>2464</v>
      </c>
      <c r="S4183" s="131"/>
      <c r="T4183" s="155">
        <v>1642.68</v>
      </c>
      <c r="U4183" s="131">
        <v>192.5</v>
      </c>
      <c r="V4183" s="131">
        <v>16028.82</v>
      </c>
      <c r="W4183">
        <v>76</v>
      </c>
      <c r="X4183" s="151" t="s">
        <v>1429</v>
      </c>
      <c r="Y4183" s="135" t="s">
        <v>55</v>
      </c>
      <c r="Z4183" s="307">
        <v>257</v>
      </c>
      <c r="AB4183" t="str">
        <f>IF(Table1[[#This Row],[TIPO2]]="costo", VLOOKUP(Table1[[#This Row],[PARTIDA PRESUPUESTAL]],'Cost Report'!G:G,1,0),"Balance")</f>
        <v>2206-010</v>
      </c>
      <c r="AC4183" s="118"/>
      <c r="AD4183" s="159">
        <f>+Table1[[#This Row],[SUBTOTAL]]+Table1[[#This Row],[IVA]]-Table1[[#This Row],[RET IVA]]-Table1[[#This Row],[RET ISR]]-Table1[[#This Row],[TOTAL]]</f>
        <v>0</v>
      </c>
      <c r="AE4183" s="150"/>
      <c r="AF4183" s="151"/>
      <c r="AG4183" s="126"/>
      <c r="AK4183" s="306" t="str">
        <f>IF(ISNUMBER(Table1[[#This Row],[FECHA DE RECIBIDO]]), Table1[[#This Row],[FECHA DE RECIBIDO]]-DATE(2023,8,30), "")</f>
        <v/>
      </c>
    </row>
    <row r="4184" spans="1:37" ht="16.05" customHeight="1">
      <c r="A4184" s="152" t="s">
        <v>4391</v>
      </c>
      <c r="B4184" s="153">
        <v>1362</v>
      </c>
      <c r="C4184" s="126" t="s">
        <v>2550</v>
      </c>
      <c r="D4184">
        <v>2845</v>
      </c>
      <c r="E4184" s="126" t="s">
        <v>3135</v>
      </c>
      <c r="F4184" s="125" t="s">
        <v>1593</v>
      </c>
      <c r="G4184" s="125" t="s">
        <v>109</v>
      </c>
      <c r="H4184">
        <v>188</v>
      </c>
      <c r="I4184" s="125" t="s">
        <v>1546</v>
      </c>
      <c r="J4184" s="308" t="s">
        <v>214</v>
      </c>
      <c r="K4184" s="127" t="s">
        <v>4625</v>
      </c>
      <c r="L4184" s="153" t="s">
        <v>110</v>
      </c>
      <c r="M4184">
        <v>253</v>
      </c>
      <c r="N4184" s="123">
        <v>53</v>
      </c>
      <c r="O4184">
        <v>2714</v>
      </c>
      <c r="P4184" s="132" t="s">
        <v>77</v>
      </c>
      <c r="Q4184" s="132">
        <v>12600</v>
      </c>
      <c r="R4184" s="132">
        <v>2016</v>
      </c>
      <c r="S4184" s="132"/>
      <c r="T4184" s="156">
        <v>1344</v>
      </c>
      <c r="U4184" s="132">
        <v>157.5</v>
      </c>
      <c r="V4184" s="132">
        <v>13114.5</v>
      </c>
      <c r="W4184">
        <v>109</v>
      </c>
      <c r="X4184" s="153" t="s">
        <v>1429</v>
      </c>
      <c r="Y4184" s="124" t="s">
        <v>55</v>
      </c>
      <c r="Z4184" s="308">
        <v>257</v>
      </c>
      <c r="AB4184" t="str">
        <f>IF(Table1[[#This Row],[TIPO2]]="costo", VLOOKUP(Table1[[#This Row],[PARTIDA PRESUPUESTAL]],'Cost Report'!G:G,1,0),"Balance")</f>
        <v>2495-012</v>
      </c>
      <c r="AC4184" s="118"/>
      <c r="AD4184" s="159">
        <f>+Table1[[#This Row],[SUBTOTAL]]+Table1[[#This Row],[IVA]]-Table1[[#This Row],[RET IVA]]-Table1[[#This Row],[RET ISR]]-Table1[[#This Row],[TOTAL]]</f>
        <v>0</v>
      </c>
      <c r="AE4184" s="152"/>
      <c r="AF4184" s="153"/>
      <c r="AG4184" s="126"/>
      <c r="AK4184" s="306" t="str">
        <f>IF(ISNUMBER(Table1[[#This Row],[FECHA DE RECIBIDO]]), Table1[[#This Row],[FECHA DE RECIBIDO]]-DATE(2023,8,30), "")</f>
        <v/>
      </c>
    </row>
    <row r="4185" spans="1:37" ht="16.05" customHeight="1">
      <c r="A4185" s="150" t="s">
        <v>4392</v>
      </c>
      <c r="B4185" s="151">
        <v>1363</v>
      </c>
      <c r="C4185" s="126" t="s">
        <v>1500</v>
      </c>
      <c r="D4185">
        <v>2846</v>
      </c>
      <c r="E4185" s="126" t="s">
        <v>3139</v>
      </c>
      <c r="F4185" s="122" t="s">
        <v>1593</v>
      </c>
      <c r="G4185" s="122" t="s">
        <v>109</v>
      </c>
      <c r="H4185">
        <v>190</v>
      </c>
      <c r="I4185" s="122" t="s">
        <v>1546</v>
      </c>
      <c r="J4185" s="307" t="s">
        <v>214</v>
      </c>
      <c r="K4185" s="127" t="s">
        <v>4625</v>
      </c>
      <c r="L4185" s="151" t="s">
        <v>110</v>
      </c>
      <c r="M4185">
        <v>255</v>
      </c>
      <c r="N4185" s="123">
        <v>55</v>
      </c>
      <c r="O4185">
        <v>2715</v>
      </c>
      <c r="P4185" s="132" t="s">
        <v>77</v>
      </c>
      <c r="Q4185" s="131">
        <v>16800</v>
      </c>
      <c r="R4185" s="131">
        <v>2688</v>
      </c>
      <c r="S4185" s="131"/>
      <c r="T4185" s="155">
        <v>1792</v>
      </c>
      <c r="U4185" s="131">
        <v>210</v>
      </c>
      <c r="V4185" s="131">
        <v>17486</v>
      </c>
      <c r="W4185">
        <v>111</v>
      </c>
      <c r="X4185" s="151" t="s">
        <v>1429</v>
      </c>
      <c r="Y4185" s="135" t="s">
        <v>55</v>
      </c>
      <c r="Z4185" s="307">
        <v>257</v>
      </c>
      <c r="AB4185" t="str">
        <f>IF(Table1[[#This Row],[TIPO2]]="costo", VLOOKUP(Table1[[#This Row],[PARTIDA PRESUPUESTAL]],'Cost Report'!G:G,1,0),"Balance")</f>
        <v>2402-004</v>
      </c>
      <c r="AC4185" s="118"/>
      <c r="AD4185" s="159">
        <f>+Table1[[#This Row],[SUBTOTAL]]+Table1[[#This Row],[IVA]]-Table1[[#This Row],[RET IVA]]-Table1[[#This Row],[RET ISR]]-Table1[[#This Row],[TOTAL]]</f>
        <v>0</v>
      </c>
      <c r="AE4185" s="150"/>
      <c r="AF4185" s="151"/>
      <c r="AG4185" s="126"/>
      <c r="AK4185" s="306" t="str">
        <f>IF(ISNUMBER(Table1[[#This Row],[FECHA DE RECIBIDO]]), Table1[[#This Row],[FECHA DE RECIBIDO]]-DATE(2023,8,30), "")</f>
        <v/>
      </c>
    </row>
    <row r="4186" spans="1:37" ht="16.05" customHeight="1">
      <c r="A4186" s="152" t="s">
        <v>4393</v>
      </c>
      <c r="B4186" s="153">
        <v>1364</v>
      </c>
      <c r="C4186" s="126" t="s">
        <v>631</v>
      </c>
      <c r="D4186">
        <v>2847</v>
      </c>
      <c r="E4186" s="126" t="s">
        <v>3141</v>
      </c>
      <c r="F4186" s="125" t="s">
        <v>1589</v>
      </c>
      <c r="G4186" s="125" t="s">
        <v>129</v>
      </c>
      <c r="H4186">
        <v>191</v>
      </c>
      <c r="I4186" s="125" t="s">
        <v>1546</v>
      </c>
      <c r="J4186" s="308" t="s">
        <v>214</v>
      </c>
      <c r="K4186" s="127" t="s">
        <v>4625</v>
      </c>
      <c r="L4186" s="153" t="s">
        <v>110</v>
      </c>
      <c r="M4186">
        <v>256</v>
      </c>
      <c r="N4186" s="123">
        <v>56</v>
      </c>
      <c r="O4186">
        <v>2716</v>
      </c>
      <c r="P4186" s="132" t="s">
        <v>77</v>
      </c>
      <c r="Q4186" s="132">
        <v>48000</v>
      </c>
      <c r="R4186" s="132">
        <v>7680</v>
      </c>
      <c r="S4186" s="132"/>
      <c r="T4186" s="156">
        <v>5120.0200000000004</v>
      </c>
      <c r="U4186" s="132">
        <v>4800</v>
      </c>
      <c r="V4186" s="132">
        <v>45759.979999999996</v>
      </c>
      <c r="W4186">
        <v>112</v>
      </c>
      <c r="X4186" s="153" t="s">
        <v>1429</v>
      </c>
      <c r="Y4186" s="124" t="s">
        <v>55</v>
      </c>
      <c r="Z4186" s="308">
        <v>257</v>
      </c>
      <c r="AB4186" t="str">
        <f>IF(Table1[[#This Row],[TIPO2]]="costo", VLOOKUP(Table1[[#This Row],[PARTIDA PRESUPUESTAL]],'Cost Report'!G:G,1,0),"Balance")</f>
        <v>2502-004</v>
      </c>
      <c r="AC4186" s="118"/>
      <c r="AD4186" s="159">
        <f>+Table1[[#This Row],[SUBTOTAL]]+Table1[[#This Row],[IVA]]-Table1[[#This Row],[RET IVA]]-Table1[[#This Row],[RET ISR]]-Table1[[#This Row],[TOTAL]]</f>
        <v>0</v>
      </c>
      <c r="AE4186" s="152"/>
      <c r="AF4186" s="153"/>
      <c r="AG4186" s="126"/>
      <c r="AK4186" s="306" t="str">
        <f>IF(ISNUMBER(Table1[[#This Row],[FECHA DE RECIBIDO]]), Table1[[#This Row],[FECHA DE RECIBIDO]]-DATE(2023,8,30), "")</f>
        <v/>
      </c>
    </row>
    <row r="4187" spans="1:37" ht="16.05" customHeight="1">
      <c r="A4187" s="150" t="s">
        <v>4394</v>
      </c>
      <c r="B4187" s="151">
        <v>1365</v>
      </c>
      <c r="C4187" s="126" t="s">
        <v>566</v>
      </c>
      <c r="D4187">
        <v>2848</v>
      </c>
      <c r="E4187" s="126" t="s">
        <v>1614</v>
      </c>
      <c r="F4187" s="122" t="s">
        <v>1593</v>
      </c>
      <c r="G4187" s="122" t="s">
        <v>109</v>
      </c>
      <c r="H4187">
        <v>339</v>
      </c>
      <c r="I4187" s="122" t="s">
        <v>1546</v>
      </c>
      <c r="J4187" s="307" t="s">
        <v>214</v>
      </c>
      <c r="K4187" s="127" t="s">
        <v>4625</v>
      </c>
      <c r="L4187" s="151" t="s">
        <v>110</v>
      </c>
      <c r="M4187">
        <v>456</v>
      </c>
      <c r="N4187" s="123">
        <v>81</v>
      </c>
      <c r="O4187">
        <v>2717</v>
      </c>
      <c r="P4187" s="132" t="s">
        <v>77</v>
      </c>
      <c r="Q4187" s="131">
        <v>12600</v>
      </c>
      <c r="R4187" s="131">
        <v>2016</v>
      </c>
      <c r="S4187" s="131"/>
      <c r="T4187" s="155">
        <v>1344</v>
      </c>
      <c r="U4187" s="131">
        <v>157.5</v>
      </c>
      <c r="V4187" s="131">
        <v>13114.5</v>
      </c>
      <c r="W4187">
        <v>176</v>
      </c>
      <c r="X4187" s="151" t="s">
        <v>1429</v>
      </c>
      <c r="Y4187" s="135" t="s">
        <v>55</v>
      </c>
      <c r="Z4187" s="307">
        <v>257</v>
      </c>
      <c r="AB4187" t="str">
        <f>IF(Table1[[#This Row],[TIPO2]]="costo", VLOOKUP(Table1[[#This Row],[PARTIDA PRESUPUESTAL]],'Cost Report'!G:G,1,0),"Balance")</f>
        <v>2310-010</v>
      </c>
      <c r="AC4187" s="118"/>
      <c r="AD4187" s="159">
        <f>+Table1[[#This Row],[SUBTOTAL]]+Table1[[#This Row],[IVA]]-Table1[[#This Row],[RET IVA]]-Table1[[#This Row],[RET ISR]]-Table1[[#This Row],[TOTAL]]</f>
        <v>0</v>
      </c>
      <c r="AE4187" s="150"/>
      <c r="AF4187" s="151"/>
      <c r="AG4187" s="126"/>
      <c r="AK4187" s="306" t="str">
        <f>IF(ISNUMBER(Table1[[#This Row],[FECHA DE RECIBIDO]]), Table1[[#This Row],[FECHA DE RECIBIDO]]-DATE(2023,8,30), "")</f>
        <v/>
      </c>
    </row>
    <row r="4188" spans="1:37" ht="16.05" customHeight="1">
      <c r="A4188" s="152" t="s">
        <v>4395</v>
      </c>
      <c r="B4188" s="153">
        <v>1366</v>
      </c>
      <c r="C4188" s="126" t="s">
        <v>513</v>
      </c>
      <c r="D4188">
        <v>2849</v>
      </c>
      <c r="E4188" s="126" t="s">
        <v>3639</v>
      </c>
      <c r="F4188" s="125" t="s">
        <v>1593</v>
      </c>
      <c r="G4188" s="125" t="s">
        <v>109</v>
      </c>
      <c r="H4188">
        <v>340</v>
      </c>
      <c r="I4188" s="125" t="s">
        <v>1546</v>
      </c>
      <c r="J4188" s="308" t="s">
        <v>214</v>
      </c>
      <c r="K4188" s="127" t="s">
        <v>4625</v>
      </c>
      <c r="L4188" s="153" t="s">
        <v>110</v>
      </c>
      <c r="M4188">
        <v>457</v>
      </c>
      <c r="N4188" s="123">
        <v>82</v>
      </c>
      <c r="O4188">
        <v>2718</v>
      </c>
      <c r="P4188" s="132" t="s">
        <v>77</v>
      </c>
      <c r="Q4188" s="132">
        <v>7000</v>
      </c>
      <c r="R4188" s="132">
        <v>1120</v>
      </c>
      <c r="S4188" s="132"/>
      <c r="T4188" s="156">
        <v>746.67</v>
      </c>
      <c r="U4188" s="132">
        <v>87.5</v>
      </c>
      <c r="V4188" s="132">
        <v>7285.83</v>
      </c>
      <c r="W4188">
        <v>177</v>
      </c>
      <c r="X4188" s="153" t="s">
        <v>1429</v>
      </c>
      <c r="Y4188" s="124" t="s">
        <v>55</v>
      </c>
      <c r="Z4188" s="308">
        <v>257</v>
      </c>
      <c r="AB4188" t="str">
        <f>IF(Table1[[#This Row],[TIPO2]]="costo", VLOOKUP(Table1[[#This Row],[PARTIDA PRESUPUESTAL]],'Cost Report'!G:G,1,0),"Balance")</f>
        <v>2020-038</v>
      </c>
      <c r="AC4188" s="118"/>
      <c r="AD4188" s="159">
        <f>+Table1[[#This Row],[SUBTOTAL]]+Table1[[#This Row],[IVA]]-Table1[[#This Row],[RET IVA]]-Table1[[#This Row],[RET ISR]]-Table1[[#This Row],[TOTAL]]</f>
        <v>0</v>
      </c>
      <c r="AE4188" s="152"/>
      <c r="AF4188" s="153"/>
      <c r="AG4188" s="126"/>
      <c r="AK4188" s="306" t="str">
        <f>IF(ISNUMBER(Table1[[#This Row],[FECHA DE RECIBIDO]]), Table1[[#This Row],[FECHA DE RECIBIDO]]-DATE(2023,8,30), "")</f>
        <v/>
      </c>
    </row>
    <row r="4189" spans="1:37" ht="16.05" customHeight="1">
      <c r="A4189" s="150" t="s">
        <v>4396</v>
      </c>
      <c r="B4189" s="151">
        <v>1367</v>
      </c>
      <c r="C4189" s="126" t="s">
        <v>513</v>
      </c>
      <c r="D4189">
        <v>2850</v>
      </c>
      <c r="E4189" s="126" t="s">
        <v>3639</v>
      </c>
      <c r="F4189" s="122" t="s">
        <v>1593</v>
      </c>
      <c r="G4189" s="122" t="s">
        <v>109</v>
      </c>
      <c r="H4189">
        <v>340</v>
      </c>
      <c r="I4189" s="122" t="s">
        <v>1546</v>
      </c>
      <c r="J4189" s="307" t="s">
        <v>214</v>
      </c>
      <c r="K4189" s="127" t="s">
        <v>4625</v>
      </c>
      <c r="L4189" s="151" t="s">
        <v>110</v>
      </c>
      <c r="M4189">
        <v>457</v>
      </c>
      <c r="N4189" s="123">
        <v>82</v>
      </c>
      <c r="O4189">
        <v>2719</v>
      </c>
      <c r="P4189" s="132" t="s">
        <v>77</v>
      </c>
      <c r="Q4189" s="131">
        <v>7000</v>
      </c>
      <c r="R4189" s="131">
        <v>1120</v>
      </c>
      <c r="S4189" s="131"/>
      <c r="T4189" s="155">
        <v>746.67</v>
      </c>
      <c r="U4189" s="131">
        <v>87.5</v>
      </c>
      <c r="V4189" s="131">
        <v>7285.83</v>
      </c>
      <c r="W4189">
        <v>177</v>
      </c>
      <c r="X4189" s="151" t="s">
        <v>1429</v>
      </c>
      <c r="Y4189" s="135" t="s">
        <v>55</v>
      </c>
      <c r="Z4189" s="307">
        <v>257</v>
      </c>
      <c r="AB4189" t="str">
        <f>IF(Table1[[#This Row],[TIPO2]]="costo", VLOOKUP(Table1[[#This Row],[PARTIDA PRESUPUESTAL]],'Cost Report'!G:G,1,0),"Balance")</f>
        <v>2020-038</v>
      </c>
      <c r="AC4189" s="118"/>
      <c r="AD4189" s="159">
        <f>+Table1[[#This Row],[SUBTOTAL]]+Table1[[#This Row],[IVA]]-Table1[[#This Row],[RET IVA]]-Table1[[#This Row],[RET ISR]]-Table1[[#This Row],[TOTAL]]</f>
        <v>0</v>
      </c>
      <c r="AE4189" s="150"/>
      <c r="AF4189" s="151"/>
      <c r="AG4189" s="126"/>
      <c r="AK4189" s="306" t="str">
        <f>IF(ISNUMBER(Table1[[#This Row],[FECHA DE RECIBIDO]]), Table1[[#This Row],[FECHA DE RECIBIDO]]-DATE(2023,8,30), "")</f>
        <v/>
      </c>
    </row>
    <row r="4190" spans="1:37" ht="16.05" customHeight="1">
      <c r="A4190" s="152" t="s">
        <v>4397</v>
      </c>
      <c r="B4190" s="153">
        <v>1368</v>
      </c>
      <c r="C4190" s="126" t="s">
        <v>1809</v>
      </c>
      <c r="D4190">
        <v>2851</v>
      </c>
      <c r="E4190" s="126" t="s">
        <v>3354</v>
      </c>
      <c r="F4190" s="125" t="s">
        <v>1589</v>
      </c>
      <c r="G4190" s="125" t="s">
        <v>129</v>
      </c>
      <c r="H4190">
        <v>348</v>
      </c>
      <c r="I4190" s="125" t="s">
        <v>1546</v>
      </c>
      <c r="J4190" s="308" t="s">
        <v>214</v>
      </c>
      <c r="K4190" s="127" t="s">
        <v>4625</v>
      </c>
      <c r="L4190" s="153" t="s">
        <v>110</v>
      </c>
      <c r="M4190">
        <v>465</v>
      </c>
      <c r="N4190" s="123">
        <v>90</v>
      </c>
      <c r="O4190">
        <v>2720</v>
      </c>
      <c r="P4190" s="132" t="s">
        <v>77</v>
      </c>
      <c r="Q4190" s="132">
        <v>16800</v>
      </c>
      <c r="R4190" s="132">
        <v>2688</v>
      </c>
      <c r="S4190" s="132"/>
      <c r="T4190" s="156">
        <v>1792</v>
      </c>
      <c r="U4190" s="132">
        <v>1680</v>
      </c>
      <c r="V4190" s="132">
        <v>16016</v>
      </c>
      <c r="W4190">
        <v>185</v>
      </c>
      <c r="X4190" s="153" t="s">
        <v>1433</v>
      </c>
      <c r="Y4190" s="124" t="s">
        <v>55</v>
      </c>
      <c r="Z4190" s="308">
        <v>257</v>
      </c>
      <c r="AB4190" t="str">
        <f>IF(Table1[[#This Row],[TIPO2]]="costo", VLOOKUP(Table1[[#This Row],[PARTIDA PRESUPUESTAL]],'Cost Report'!G:G,1,0),"Balance")</f>
        <v>2405-009</v>
      </c>
      <c r="AC4190" s="118"/>
      <c r="AD4190" s="159">
        <f>+Table1[[#This Row],[SUBTOTAL]]+Table1[[#This Row],[IVA]]-Table1[[#This Row],[RET IVA]]-Table1[[#This Row],[RET ISR]]-Table1[[#This Row],[TOTAL]]</f>
        <v>0</v>
      </c>
      <c r="AE4190" s="152"/>
      <c r="AF4190" s="153"/>
      <c r="AG4190" s="126"/>
      <c r="AK4190" s="306" t="str">
        <f>IF(ISNUMBER(Table1[[#This Row],[FECHA DE RECIBIDO]]), Table1[[#This Row],[FECHA DE RECIBIDO]]-DATE(2023,8,30), "")</f>
        <v/>
      </c>
    </row>
    <row r="4191" spans="1:37" ht="16.05" customHeight="1">
      <c r="A4191" s="150" t="s">
        <v>4398</v>
      </c>
      <c r="B4191" s="151">
        <v>1369</v>
      </c>
      <c r="C4191" s="126" t="s">
        <v>1806</v>
      </c>
      <c r="D4191">
        <v>2852</v>
      </c>
      <c r="E4191" s="126" t="s">
        <v>1997</v>
      </c>
      <c r="F4191" s="122" t="s">
        <v>1593</v>
      </c>
      <c r="G4191" s="122" t="s">
        <v>109</v>
      </c>
      <c r="H4191">
        <v>341</v>
      </c>
      <c r="I4191" s="122" t="s">
        <v>1546</v>
      </c>
      <c r="J4191" s="307" t="s">
        <v>214</v>
      </c>
      <c r="K4191" s="127" t="s">
        <v>4625</v>
      </c>
      <c r="L4191" s="151" t="s">
        <v>110</v>
      </c>
      <c r="M4191">
        <v>458</v>
      </c>
      <c r="N4191" s="123">
        <v>83</v>
      </c>
      <c r="O4191">
        <v>2721</v>
      </c>
      <c r="P4191" s="132" t="s">
        <v>77</v>
      </c>
      <c r="Q4191" s="131">
        <v>20580</v>
      </c>
      <c r="R4191" s="131">
        <v>3292.8</v>
      </c>
      <c r="S4191" s="131"/>
      <c r="T4191" s="155">
        <v>2195.1999999999998</v>
      </c>
      <c r="U4191" s="131">
        <v>257.26</v>
      </c>
      <c r="V4191" s="131">
        <v>21420.34</v>
      </c>
      <c r="W4191">
        <v>178</v>
      </c>
      <c r="X4191" s="151" t="s">
        <v>2024</v>
      </c>
      <c r="Y4191" s="135" t="s">
        <v>55</v>
      </c>
      <c r="Z4191" s="307">
        <v>257</v>
      </c>
      <c r="AB4191" t="str">
        <f>IF(Table1[[#This Row],[TIPO2]]="costo", VLOOKUP(Table1[[#This Row],[PARTIDA PRESUPUESTAL]],'Cost Report'!G:G,1,0),"Balance")</f>
        <v>2405-004</v>
      </c>
      <c r="AC4191" s="118"/>
      <c r="AD4191" s="159">
        <f>+Table1[[#This Row],[SUBTOTAL]]+Table1[[#This Row],[IVA]]-Table1[[#This Row],[RET IVA]]-Table1[[#This Row],[RET ISR]]-Table1[[#This Row],[TOTAL]]</f>
        <v>0</v>
      </c>
      <c r="AE4191" s="150"/>
      <c r="AF4191" s="151"/>
      <c r="AG4191" s="126"/>
      <c r="AK4191" s="306" t="str">
        <f>IF(ISNUMBER(Table1[[#This Row],[FECHA DE RECIBIDO]]), Table1[[#This Row],[FECHA DE RECIBIDO]]-DATE(2023,8,30), "")</f>
        <v/>
      </c>
    </row>
    <row r="4192" spans="1:37" ht="16.05" customHeight="1">
      <c r="A4192" s="152" t="s">
        <v>4399</v>
      </c>
      <c r="B4192" s="153">
        <v>1370</v>
      </c>
      <c r="C4192" s="126" t="s">
        <v>2527</v>
      </c>
      <c r="D4192">
        <v>2853</v>
      </c>
      <c r="E4192" s="126" t="s">
        <v>3929</v>
      </c>
      <c r="F4192" s="125" t="s">
        <v>1593</v>
      </c>
      <c r="G4192" s="125" t="s">
        <v>109</v>
      </c>
      <c r="H4192">
        <v>502</v>
      </c>
      <c r="I4192" s="125" t="s">
        <v>1546</v>
      </c>
      <c r="J4192" s="308" t="s">
        <v>214</v>
      </c>
      <c r="K4192" s="127" t="s">
        <v>4625</v>
      </c>
      <c r="L4192" s="153" t="s">
        <v>110</v>
      </c>
      <c r="M4192">
        <v>726</v>
      </c>
      <c r="N4192" s="123">
        <v>131</v>
      </c>
      <c r="O4192">
        <v>2722</v>
      </c>
      <c r="P4192" s="132" t="s">
        <v>77</v>
      </c>
      <c r="Q4192" s="132">
        <v>2940</v>
      </c>
      <c r="R4192" s="132">
        <v>470.4</v>
      </c>
      <c r="S4192" s="132"/>
      <c r="T4192" s="156">
        <v>313.7</v>
      </c>
      <c r="U4192" s="132">
        <v>36.76</v>
      </c>
      <c r="V4192" s="132">
        <v>3059.94</v>
      </c>
      <c r="W4192">
        <v>274</v>
      </c>
      <c r="X4192" s="153" t="s">
        <v>1430</v>
      </c>
      <c r="Y4192" s="124" t="s">
        <v>55</v>
      </c>
      <c r="Z4192" s="308">
        <v>257</v>
      </c>
      <c r="AB4192" t="str">
        <f>IF(Table1[[#This Row],[TIPO2]]="costo", VLOOKUP(Table1[[#This Row],[PARTIDA PRESUPUESTAL]],'Cost Report'!G:G,1,0),"Balance")</f>
        <v>2405-025</v>
      </c>
      <c r="AC4192" s="118"/>
      <c r="AD4192" s="159">
        <f>+Table1[[#This Row],[SUBTOTAL]]+Table1[[#This Row],[IVA]]-Table1[[#This Row],[RET IVA]]-Table1[[#This Row],[RET ISR]]-Table1[[#This Row],[TOTAL]]</f>
        <v>0</v>
      </c>
      <c r="AE4192" s="152"/>
      <c r="AF4192" s="153"/>
      <c r="AG4192" s="126"/>
      <c r="AK4192" s="306" t="str">
        <f>IF(ISNUMBER(Table1[[#This Row],[FECHA DE RECIBIDO]]), Table1[[#This Row],[FECHA DE RECIBIDO]]-DATE(2023,8,30), "")</f>
        <v/>
      </c>
    </row>
    <row r="4193" spans="1:37" ht="16.05" customHeight="1">
      <c r="A4193" s="150" t="s">
        <v>4400</v>
      </c>
      <c r="B4193" s="151">
        <v>1371</v>
      </c>
      <c r="C4193" s="126" t="s">
        <v>2507</v>
      </c>
      <c r="D4193">
        <v>2854</v>
      </c>
      <c r="E4193" s="126" t="s">
        <v>3932</v>
      </c>
      <c r="F4193" s="122" t="s">
        <v>1589</v>
      </c>
      <c r="G4193" s="122" t="s">
        <v>129</v>
      </c>
      <c r="H4193">
        <v>504</v>
      </c>
      <c r="I4193" s="122" t="s">
        <v>1546</v>
      </c>
      <c r="J4193" s="307" t="s">
        <v>214</v>
      </c>
      <c r="K4193" s="127" t="s">
        <v>4625</v>
      </c>
      <c r="L4193" s="151" t="s">
        <v>110</v>
      </c>
      <c r="M4193">
        <v>728</v>
      </c>
      <c r="N4193" s="123">
        <v>133</v>
      </c>
      <c r="O4193">
        <v>2723</v>
      </c>
      <c r="P4193" s="132" t="s">
        <v>77</v>
      </c>
      <c r="Q4193" s="131">
        <v>17000</v>
      </c>
      <c r="R4193" s="131">
        <v>2720</v>
      </c>
      <c r="S4193" s="131"/>
      <c r="T4193" s="155">
        <v>1813.34</v>
      </c>
      <c r="U4193" s="131">
        <v>1700</v>
      </c>
      <c r="V4193" s="131">
        <v>16206.66</v>
      </c>
      <c r="W4193">
        <v>276</v>
      </c>
      <c r="X4193" s="151" t="s">
        <v>1431</v>
      </c>
      <c r="Y4193" s="135" t="s">
        <v>55</v>
      </c>
      <c r="Z4193" s="307">
        <v>257</v>
      </c>
      <c r="AB4193" t="str">
        <f>IF(Table1[[#This Row],[TIPO2]]="costo", VLOOKUP(Table1[[#This Row],[PARTIDA PRESUPUESTAL]],'Cost Report'!G:G,1,0),"Balance")</f>
        <v>2401-038</v>
      </c>
      <c r="AC4193" s="118"/>
      <c r="AD4193" s="159">
        <f>+Table1[[#This Row],[SUBTOTAL]]+Table1[[#This Row],[IVA]]-Table1[[#This Row],[RET IVA]]-Table1[[#This Row],[RET ISR]]-Table1[[#This Row],[TOTAL]]</f>
        <v>0</v>
      </c>
      <c r="AE4193" s="150"/>
      <c r="AF4193" s="151"/>
      <c r="AG4193" s="126"/>
      <c r="AK4193" s="306" t="str">
        <f>IF(ISNUMBER(Table1[[#This Row],[FECHA DE RECIBIDO]]), Table1[[#This Row],[FECHA DE RECIBIDO]]-DATE(2023,8,30), "")</f>
        <v/>
      </c>
    </row>
    <row r="4194" spans="1:37" ht="16.05" customHeight="1">
      <c r="A4194" s="152" t="s">
        <v>4401</v>
      </c>
      <c r="B4194" s="153">
        <v>1372</v>
      </c>
      <c r="C4194" s="126" t="s">
        <v>2508</v>
      </c>
      <c r="D4194">
        <v>2855</v>
      </c>
      <c r="E4194" s="126" t="s">
        <v>3932</v>
      </c>
      <c r="F4194" s="125" t="s">
        <v>1589</v>
      </c>
      <c r="G4194" s="125" t="s">
        <v>129</v>
      </c>
      <c r="H4194">
        <v>504</v>
      </c>
      <c r="I4194" s="125" t="s">
        <v>1546</v>
      </c>
      <c r="J4194" s="308" t="s">
        <v>214</v>
      </c>
      <c r="K4194" s="127" t="s">
        <v>4625</v>
      </c>
      <c r="L4194" s="153" t="s">
        <v>110</v>
      </c>
      <c r="M4194">
        <v>728</v>
      </c>
      <c r="N4194" s="123">
        <v>133</v>
      </c>
      <c r="O4194">
        <v>2724</v>
      </c>
      <c r="P4194" s="132" t="s">
        <v>77</v>
      </c>
      <c r="Q4194" s="132">
        <v>8500</v>
      </c>
      <c r="R4194" s="132">
        <v>1360</v>
      </c>
      <c r="S4194" s="132"/>
      <c r="T4194" s="156">
        <v>906.67</v>
      </c>
      <c r="U4194" s="132">
        <v>850</v>
      </c>
      <c r="V4194" s="132">
        <v>8103.33</v>
      </c>
      <c r="W4194">
        <v>276</v>
      </c>
      <c r="X4194" s="153" t="s">
        <v>1431</v>
      </c>
      <c r="Y4194" s="124" t="s">
        <v>55</v>
      </c>
      <c r="Z4194" s="308">
        <v>257</v>
      </c>
      <c r="AB4194" t="str">
        <f>IF(Table1[[#This Row],[TIPO2]]="costo", VLOOKUP(Table1[[#This Row],[PARTIDA PRESUPUESTAL]],'Cost Report'!G:G,1,0),"Balance")</f>
        <v>2401-039</v>
      </c>
      <c r="AC4194" s="118"/>
      <c r="AD4194" s="159">
        <f>+Table1[[#This Row],[SUBTOTAL]]+Table1[[#This Row],[IVA]]-Table1[[#This Row],[RET IVA]]-Table1[[#This Row],[RET ISR]]-Table1[[#This Row],[TOTAL]]</f>
        <v>0</v>
      </c>
      <c r="AE4194" s="152"/>
      <c r="AF4194" s="153"/>
      <c r="AG4194" s="126"/>
      <c r="AK4194" s="306" t="str">
        <f>IF(ISNUMBER(Table1[[#This Row],[FECHA DE RECIBIDO]]), Table1[[#This Row],[FECHA DE RECIBIDO]]-DATE(2023,8,30), "")</f>
        <v/>
      </c>
    </row>
    <row r="4195" spans="1:37" ht="16.05" customHeight="1">
      <c r="A4195" s="150" t="s">
        <v>4402</v>
      </c>
      <c r="B4195" s="151">
        <v>1373</v>
      </c>
      <c r="C4195" s="126" t="s">
        <v>2511</v>
      </c>
      <c r="D4195">
        <v>2856</v>
      </c>
      <c r="E4195" s="126" t="s">
        <v>3941</v>
      </c>
      <c r="F4195" s="122" t="s">
        <v>1593</v>
      </c>
      <c r="G4195" s="122" t="s">
        <v>109</v>
      </c>
      <c r="H4195">
        <v>508</v>
      </c>
      <c r="I4195" s="122" t="s">
        <v>1546</v>
      </c>
      <c r="J4195" s="307" t="s">
        <v>214</v>
      </c>
      <c r="K4195" s="127" t="s">
        <v>4625</v>
      </c>
      <c r="L4195" s="151" t="s">
        <v>110</v>
      </c>
      <c r="M4195">
        <v>732</v>
      </c>
      <c r="N4195" s="123">
        <v>138</v>
      </c>
      <c r="O4195">
        <v>2725</v>
      </c>
      <c r="P4195" s="132" t="s">
        <v>77</v>
      </c>
      <c r="Q4195" s="131">
        <v>8500</v>
      </c>
      <c r="R4195" s="131">
        <v>1360</v>
      </c>
      <c r="S4195" s="131"/>
      <c r="T4195" s="155">
        <v>906.67</v>
      </c>
      <c r="U4195" s="131">
        <v>106.25</v>
      </c>
      <c r="V4195" s="131">
        <v>8847.08</v>
      </c>
      <c r="W4195">
        <v>280</v>
      </c>
      <c r="X4195" s="151" t="s">
        <v>1429</v>
      </c>
      <c r="Y4195" s="135" t="s">
        <v>55</v>
      </c>
      <c r="Z4195" s="307">
        <v>257</v>
      </c>
      <c r="AB4195" t="str">
        <f>IF(Table1[[#This Row],[TIPO2]]="costo", VLOOKUP(Table1[[#This Row],[PARTIDA PRESUPUESTAL]],'Cost Report'!G:G,1,0),"Balance")</f>
        <v>2401-044</v>
      </c>
      <c r="AC4195" s="118"/>
      <c r="AD4195" s="159">
        <f>+Table1[[#This Row],[SUBTOTAL]]+Table1[[#This Row],[IVA]]-Table1[[#This Row],[RET IVA]]-Table1[[#This Row],[RET ISR]]-Table1[[#This Row],[TOTAL]]</f>
        <v>0</v>
      </c>
      <c r="AE4195" s="150"/>
      <c r="AF4195" s="151"/>
      <c r="AG4195" s="126"/>
      <c r="AK4195" s="306" t="str">
        <f>IF(ISNUMBER(Table1[[#This Row],[FECHA DE RECIBIDO]]), Table1[[#This Row],[FECHA DE RECIBIDO]]-DATE(2023,8,30), "")</f>
        <v/>
      </c>
    </row>
    <row r="4196" spans="1:37" ht="16.05" customHeight="1">
      <c r="A4196" s="152" t="s">
        <v>4403</v>
      </c>
      <c r="B4196" s="153">
        <v>1374</v>
      </c>
      <c r="C4196" s="126" t="s">
        <v>2512</v>
      </c>
      <c r="D4196">
        <v>2857</v>
      </c>
      <c r="E4196" s="126" t="s">
        <v>3941</v>
      </c>
      <c r="F4196" s="125" t="s">
        <v>1593</v>
      </c>
      <c r="G4196" s="125" t="s">
        <v>109</v>
      </c>
      <c r="H4196">
        <v>508</v>
      </c>
      <c r="I4196" s="125" t="s">
        <v>1546</v>
      </c>
      <c r="J4196" s="308" t="s">
        <v>214</v>
      </c>
      <c r="K4196" s="127" t="s">
        <v>4625</v>
      </c>
      <c r="L4196" s="153" t="s">
        <v>110</v>
      </c>
      <c r="M4196">
        <v>732</v>
      </c>
      <c r="N4196" s="123">
        <v>138</v>
      </c>
      <c r="O4196">
        <v>2726</v>
      </c>
      <c r="P4196" s="132" t="s">
        <v>77</v>
      </c>
      <c r="Q4196" s="132">
        <v>8500</v>
      </c>
      <c r="R4196" s="132">
        <v>1360</v>
      </c>
      <c r="S4196" s="132"/>
      <c r="T4196" s="156">
        <v>906.67</v>
      </c>
      <c r="U4196" s="132">
        <v>106.25</v>
      </c>
      <c r="V4196" s="132">
        <v>8847.08</v>
      </c>
      <c r="W4196">
        <v>280</v>
      </c>
      <c r="X4196" s="153" t="s">
        <v>1429</v>
      </c>
      <c r="Y4196" s="124" t="s">
        <v>55</v>
      </c>
      <c r="Z4196" s="308">
        <v>257</v>
      </c>
      <c r="AB4196" t="str">
        <f>IF(Table1[[#This Row],[TIPO2]]="costo", VLOOKUP(Table1[[#This Row],[PARTIDA PRESUPUESTAL]],'Cost Report'!G:G,1,0),"Balance")</f>
        <v>2401-045</v>
      </c>
      <c r="AC4196" s="118"/>
      <c r="AD4196" s="159">
        <f>+Table1[[#This Row],[SUBTOTAL]]+Table1[[#This Row],[IVA]]-Table1[[#This Row],[RET IVA]]-Table1[[#This Row],[RET ISR]]-Table1[[#This Row],[TOTAL]]</f>
        <v>0</v>
      </c>
      <c r="AE4196" s="152"/>
      <c r="AF4196" s="153"/>
      <c r="AG4196" s="126"/>
      <c r="AK4196" s="306" t="str">
        <f>IF(ISNUMBER(Table1[[#This Row],[FECHA DE RECIBIDO]]), Table1[[#This Row],[FECHA DE RECIBIDO]]-DATE(2023,8,30), "")</f>
        <v/>
      </c>
    </row>
    <row r="4197" spans="1:37" ht="16.05" customHeight="1">
      <c r="A4197" s="150" t="s">
        <v>4404</v>
      </c>
      <c r="B4197" s="151">
        <v>1375</v>
      </c>
      <c r="C4197" s="126" t="s">
        <v>2527</v>
      </c>
      <c r="D4197">
        <v>2858</v>
      </c>
      <c r="E4197" s="126" t="s">
        <v>1990</v>
      </c>
      <c r="F4197" s="122" t="s">
        <v>1589</v>
      </c>
      <c r="G4197" s="122" t="s">
        <v>129</v>
      </c>
      <c r="H4197">
        <v>509</v>
      </c>
      <c r="I4197" s="122" t="s">
        <v>1546</v>
      </c>
      <c r="J4197" s="307" t="s">
        <v>214</v>
      </c>
      <c r="K4197" s="127" t="s">
        <v>4625</v>
      </c>
      <c r="L4197" s="151" t="s">
        <v>110</v>
      </c>
      <c r="M4197">
        <v>733</v>
      </c>
      <c r="N4197" s="123">
        <v>139</v>
      </c>
      <c r="O4197">
        <v>2727</v>
      </c>
      <c r="P4197" s="132" t="s">
        <v>77</v>
      </c>
      <c r="Q4197" s="131">
        <v>19600</v>
      </c>
      <c r="R4197" s="131">
        <v>3136</v>
      </c>
      <c r="S4197" s="131"/>
      <c r="T4197" s="155">
        <v>2090.6799999999998</v>
      </c>
      <c r="U4197" s="131">
        <v>1960</v>
      </c>
      <c r="V4197" s="131">
        <v>18685.32</v>
      </c>
      <c r="W4197">
        <v>281</v>
      </c>
      <c r="X4197" s="151" t="s">
        <v>1430</v>
      </c>
      <c r="Y4197" s="135" t="s">
        <v>55</v>
      </c>
      <c r="Z4197" s="307">
        <v>257</v>
      </c>
      <c r="AB4197" t="str">
        <f>IF(Table1[[#This Row],[TIPO2]]="costo", VLOOKUP(Table1[[#This Row],[PARTIDA PRESUPUESTAL]],'Cost Report'!G:G,1,0),"Balance")</f>
        <v>2405-025</v>
      </c>
      <c r="AC4197" s="118"/>
      <c r="AD4197" s="159">
        <f>+Table1[[#This Row],[SUBTOTAL]]+Table1[[#This Row],[IVA]]-Table1[[#This Row],[RET IVA]]-Table1[[#This Row],[RET ISR]]-Table1[[#This Row],[TOTAL]]</f>
        <v>0</v>
      </c>
      <c r="AE4197" s="150"/>
      <c r="AF4197" s="151"/>
      <c r="AG4197" s="126"/>
      <c r="AK4197" s="306" t="str">
        <f>IF(ISNUMBER(Table1[[#This Row],[FECHA DE RECIBIDO]]), Table1[[#This Row],[FECHA DE RECIBIDO]]-DATE(2023,8,30), "")</f>
        <v/>
      </c>
    </row>
    <row r="4198" spans="1:37" ht="16.05" customHeight="1">
      <c r="A4198" s="152" t="s">
        <v>4405</v>
      </c>
      <c r="B4198" s="153">
        <v>1376</v>
      </c>
      <c r="C4198" s="126" t="s">
        <v>2524</v>
      </c>
      <c r="D4198">
        <v>2859</v>
      </c>
      <c r="E4198" s="126" t="s">
        <v>3948</v>
      </c>
      <c r="F4198" s="125" t="s">
        <v>1593</v>
      </c>
      <c r="G4198" s="125" t="s">
        <v>109</v>
      </c>
      <c r="H4198">
        <v>511</v>
      </c>
      <c r="I4198" s="125" t="s">
        <v>1546</v>
      </c>
      <c r="J4198" s="308" t="s">
        <v>214</v>
      </c>
      <c r="K4198" s="127" t="s">
        <v>4625</v>
      </c>
      <c r="L4198" s="153" t="s">
        <v>110</v>
      </c>
      <c r="M4198">
        <v>735</v>
      </c>
      <c r="N4198" s="123">
        <v>141</v>
      </c>
      <c r="O4198">
        <v>2728</v>
      </c>
      <c r="P4198" s="132" t="s">
        <v>77</v>
      </c>
      <c r="Q4198" s="132">
        <v>15000</v>
      </c>
      <c r="R4198" s="132">
        <v>2400</v>
      </c>
      <c r="S4198" s="132"/>
      <c r="T4198" s="156">
        <v>1600.02</v>
      </c>
      <c r="U4198" s="132">
        <v>187.5</v>
      </c>
      <c r="V4198" s="132">
        <v>15612.48</v>
      </c>
      <c r="W4198">
        <v>283</v>
      </c>
      <c r="X4198" s="153" t="s">
        <v>1431</v>
      </c>
      <c r="Y4198" s="124" t="s">
        <v>55</v>
      </c>
      <c r="Z4198" s="308">
        <v>257</v>
      </c>
      <c r="AB4198" t="str">
        <f>IF(Table1[[#This Row],[TIPO2]]="costo", VLOOKUP(Table1[[#This Row],[PARTIDA PRESUPUESTAL]],'Cost Report'!G:G,1,0),"Balance")</f>
        <v>2405-020</v>
      </c>
      <c r="AC4198" s="118"/>
      <c r="AD4198" s="159">
        <f>+Table1[[#This Row],[SUBTOTAL]]+Table1[[#This Row],[IVA]]-Table1[[#This Row],[RET IVA]]-Table1[[#This Row],[RET ISR]]-Table1[[#This Row],[TOTAL]]</f>
        <v>0</v>
      </c>
      <c r="AE4198" s="152"/>
      <c r="AF4198" s="153"/>
      <c r="AG4198" s="126"/>
      <c r="AK4198" s="306" t="str">
        <f>IF(ISNUMBER(Table1[[#This Row],[FECHA DE RECIBIDO]]), Table1[[#This Row],[FECHA DE RECIBIDO]]-DATE(2023,8,30), "")</f>
        <v/>
      </c>
    </row>
    <row r="4199" spans="1:37" ht="16.05" customHeight="1">
      <c r="A4199" s="150" t="s">
        <v>4406</v>
      </c>
      <c r="B4199" s="151">
        <v>1377</v>
      </c>
      <c r="C4199" s="126" t="s">
        <v>2516</v>
      </c>
      <c r="D4199">
        <v>2860</v>
      </c>
      <c r="E4199" s="126" t="s">
        <v>3953</v>
      </c>
      <c r="F4199" s="122" t="s">
        <v>1593</v>
      </c>
      <c r="G4199" s="122" t="s">
        <v>109</v>
      </c>
      <c r="H4199">
        <v>513</v>
      </c>
      <c r="I4199" s="122" t="s">
        <v>1546</v>
      </c>
      <c r="J4199" s="307" t="s">
        <v>214</v>
      </c>
      <c r="K4199" s="127" t="s">
        <v>4625</v>
      </c>
      <c r="L4199" s="151" t="s">
        <v>110</v>
      </c>
      <c r="M4199">
        <v>737</v>
      </c>
      <c r="N4199" s="123">
        <v>143</v>
      </c>
      <c r="O4199">
        <v>2729</v>
      </c>
      <c r="P4199" s="132" t="s">
        <v>77</v>
      </c>
      <c r="Q4199" s="131">
        <v>7500</v>
      </c>
      <c r="R4199" s="131">
        <v>1200</v>
      </c>
      <c r="S4199" s="131"/>
      <c r="T4199" s="155">
        <v>800</v>
      </c>
      <c r="U4199" s="131">
        <v>93.75</v>
      </c>
      <c r="V4199" s="131">
        <v>7806.25</v>
      </c>
      <c r="W4199">
        <v>285</v>
      </c>
      <c r="X4199" s="151" t="s">
        <v>1431</v>
      </c>
      <c r="Y4199" s="135" t="s">
        <v>55</v>
      </c>
      <c r="Z4199" s="307">
        <v>257</v>
      </c>
      <c r="AB4199" t="str">
        <f>IF(Table1[[#This Row],[TIPO2]]="costo", VLOOKUP(Table1[[#This Row],[PARTIDA PRESUPUESTAL]],'Cost Report'!G:G,1,0),"Balance")</f>
        <v>2403-027</v>
      </c>
      <c r="AC4199" s="118"/>
      <c r="AD4199" s="159">
        <f>+Table1[[#This Row],[SUBTOTAL]]+Table1[[#This Row],[IVA]]-Table1[[#This Row],[RET IVA]]-Table1[[#This Row],[RET ISR]]-Table1[[#This Row],[TOTAL]]</f>
        <v>0</v>
      </c>
      <c r="AE4199" s="150"/>
      <c r="AF4199" s="151"/>
      <c r="AG4199" s="126"/>
      <c r="AK4199" s="306" t="str">
        <f>IF(ISNUMBER(Table1[[#This Row],[FECHA DE RECIBIDO]]), Table1[[#This Row],[FECHA DE RECIBIDO]]-DATE(2023,8,30), "")</f>
        <v/>
      </c>
    </row>
    <row r="4200" spans="1:37" ht="16.05" customHeight="1">
      <c r="A4200" s="152" t="s">
        <v>4407</v>
      </c>
      <c r="B4200" s="153">
        <v>1378</v>
      </c>
      <c r="C4200" s="126" t="s">
        <v>2517</v>
      </c>
      <c r="D4200">
        <v>2861</v>
      </c>
      <c r="E4200" s="126" t="s">
        <v>3953</v>
      </c>
      <c r="F4200" s="125" t="s">
        <v>1593</v>
      </c>
      <c r="G4200" s="125" t="s">
        <v>109</v>
      </c>
      <c r="H4200">
        <v>513</v>
      </c>
      <c r="I4200" s="125" t="s">
        <v>1546</v>
      </c>
      <c r="J4200" s="308" t="s">
        <v>214</v>
      </c>
      <c r="K4200" s="127" t="s">
        <v>4625</v>
      </c>
      <c r="L4200" s="153" t="s">
        <v>110</v>
      </c>
      <c r="M4200">
        <v>737</v>
      </c>
      <c r="N4200" s="123">
        <v>143</v>
      </c>
      <c r="O4200">
        <v>2730</v>
      </c>
      <c r="P4200" s="132" t="s">
        <v>77</v>
      </c>
      <c r="Q4200" s="132">
        <v>7500</v>
      </c>
      <c r="R4200" s="132">
        <v>1200</v>
      </c>
      <c r="S4200" s="132"/>
      <c r="T4200" s="156">
        <v>800</v>
      </c>
      <c r="U4200" s="132">
        <v>93.75</v>
      </c>
      <c r="V4200" s="132">
        <v>7806.25</v>
      </c>
      <c r="W4200">
        <v>285</v>
      </c>
      <c r="X4200" s="153" t="s">
        <v>1431</v>
      </c>
      <c r="Y4200" s="124" t="s">
        <v>55</v>
      </c>
      <c r="Z4200" s="308">
        <v>257</v>
      </c>
      <c r="AB4200" t="str">
        <f>IF(Table1[[#This Row],[TIPO2]]="costo", VLOOKUP(Table1[[#This Row],[PARTIDA PRESUPUESTAL]],'Cost Report'!G:G,1,0),"Balance")</f>
        <v>2403-028</v>
      </c>
      <c r="AC4200" s="118"/>
      <c r="AD4200" s="159">
        <f>+Table1[[#This Row],[SUBTOTAL]]+Table1[[#This Row],[IVA]]-Table1[[#This Row],[RET IVA]]-Table1[[#This Row],[RET ISR]]-Table1[[#This Row],[TOTAL]]</f>
        <v>0</v>
      </c>
      <c r="AE4200" s="152"/>
      <c r="AF4200" s="153"/>
      <c r="AG4200" s="126"/>
      <c r="AK4200" s="306" t="str">
        <f>IF(ISNUMBER(Table1[[#This Row],[FECHA DE RECIBIDO]]), Table1[[#This Row],[FECHA DE RECIBIDO]]-DATE(2023,8,30), "")</f>
        <v/>
      </c>
    </row>
    <row r="4201" spans="1:37" ht="16.05" customHeight="1">
      <c r="A4201" s="150" t="s">
        <v>4408</v>
      </c>
      <c r="B4201" s="151">
        <v>1379</v>
      </c>
      <c r="C4201" s="126" t="s">
        <v>2594</v>
      </c>
      <c r="D4201">
        <v>2862</v>
      </c>
      <c r="E4201" s="126" t="s">
        <v>4409</v>
      </c>
      <c r="F4201" s="122" t="s">
        <v>1593</v>
      </c>
      <c r="G4201" s="122" t="s">
        <v>109</v>
      </c>
      <c r="H4201">
        <v>766</v>
      </c>
      <c r="I4201" s="122" t="s">
        <v>1546</v>
      </c>
      <c r="J4201" s="307" t="s">
        <v>214</v>
      </c>
      <c r="K4201" s="127" t="s">
        <v>4625</v>
      </c>
      <c r="L4201" s="151" t="s">
        <v>110</v>
      </c>
      <c r="M4201">
        <v>1069</v>
      </c>
      <c r="N4201" s="123">
        <v>178</v>
      </c>
      <c r="O4201">
        <v>2731</v>
      </c>
      <c r="P4201" s="132" t="s">
        <v>77</v>
      </c>
      <c r="Q4201" s="131">
        <v>16320</v>
      </c>
      <c r="R4201" s="131">
        <v>2611.1999999999998</v>
      </c>
      <c r="S4201" s="131"/>
      <c r="T4201" s="155">
        <v>1740.8</v>
      </c>
      <c r="U4201" s="131">
        <v>204</v>
      </c>
      <c r="V4201" s="131">
        <v>16986.400000000001</v>
      </c>
      <c r="W4201">
        <v>365</v>
      </c>
      <c r="X4201" s="151" t="s">
        <v>1429</v>
      </c>
      <c r="Y4201" s="135" t="s">
        <v>55</v>
      </c>
      <c r="Z4201" s="307">
        <v>257</v>
      </c>
      <c r="AB4201" t="str">
        <f>IF(Table1[[#This Row],[TIPO2]]="costo", VLOOKUP(Table1[[#This Row],[PARTIDA PRESUPUESTAL]],'Cost Report'!G:G,1,0),"Balance")</f>
        <v>2707-025</v>
      </c>
      <c r="AC4201" s="118"/>
      <c r="AD4201" s="159">
        <f>+Table1[[#This Row],[SUBTOTAL]]+Table1[[#This Row],[IVA]]-Table1[[#This Row],[RET IVA]]-Table1[[#This Row],[RET ISR]]-Table1[[#This Row],[TOTAL]]</f>
        <v>0</v>
      </c>
      <c r="AE4201" s="150"/>
      <c r="AF4201" s="151"/>
      <c r="AG4201" s="126"/>
      <c r="AK4201" s="306" t="str">
        <f>IF(ISNUMBER(Table1[[#This Row],[FECHA DE RECIBIDO]]), Table1[[#This Row],[FECHA DE RECIBIDO]]-DATE(2023,8,30), "")</f>
        <v/>
      </c>
    </row>
    <row r="4202" spans="1:37" ht="16.05" customHeight="1">
      <c r="A4202" s="152" t="s">
        <v>4410</v>
      </c>
      <c r="B4202" s="153">
        <v>1380</v>
      </c>
      <c r="C4202" s="126" t="s">
        <v>1817</v>
      </c>
      <c r="D4202">
        <v>2863</v>
      </c>
      <c r="E4202" s="126" t="s">
        <v>1577</v>
      </c>
      <c r="F4202" s="125" t="s">
        <v>1589</v>
      </c>
      <c r="G4202" s="125" t="s">
        <v>129</v>
      </c>
      <c r="H4202">
        <v>29</v>
      </c>
      <c r="I4202" s="125" t="s">
        <v>1546</v>
      </c>
      <c r="J4202" s="308" t="s">
        <v>214</v>
      </c>
      <c r="K4202" s="127" t="s">
        <v>4625</v>
      </c>
      <c r="L4202" s="153" t="s">
        <v>110</v>
      </c>
      <c r="M4202">
        <v>38</v>
      </c>
      <c r="N4202" s="123">
        <v>16</v>
      </c>
      <c r="O4202">
        <v>2732</v>
      </c>
      <c r="P4202" s="132" t="s">
        <v>77</v>
      </c>
      <c r="Q4202" s="132">
        <v>28000</v>
      </c>
      <c r="R4202" s="132">
        <v>4480</v>
      </c>
      <c r="S4202" s="132"/>
      <c r="T4202" s="156">
        <v>2986.68</v>
      </c>
      <c r="U4202" s="132">
        <v>2800</v>
      </c>
      <c r="V4202" s="132">
        <v>26693.32</v>
      </c>
      <c r="W4202">
        <v>31</v>
      </c>
      <c r="X4202" s="153" t="s">
        <v>1429</v>
      </c>
      <c r="Y4202" s="124" t="s">
        <v>55</v>
      </c>
      <c r="Z4202" s="308">
        <v>257</v>
      </c>
      <c r="AB4202" t="str">
        <f>IF(Table1[[#This Row],[TIPO2]]="costo", VLOOKUP(Table1[[#This Row],[PARTIDA PRESUPUESTAL]],'Cost Report'!G:G,1,0),"Balance")</f>
        <v>2705-004</v>
      </c>
      <c r="AC4202" s="118"/>
      <c r="AD4202" s="159">
        <f>+Table1[[#This Row],[SUBTOTAL]]+Table1[[#This Row],[IVA]]-Table1[[#This Row],[RET IVA]]-Table1[[#This Row],[RET ISR]]-Table1[[#This Row],[TOTAL]]</f>
        <v>0</v>
      </c>
      <c r="AE4202" s="152"/>
      <c r="AF4202" s="153"/>
      <c r="AG4202" s="126"/>
      <c r="AK4202" s="306" t="str">
        <f>IF(ISNUMBER(Table1[[#This Row],[FECHA DE RECIBIDO]]), Table1[[#This Row],[FECHA DE RECIBIDO]]-DATE(2023,8,30), "")</f>
        <v/>
      </c>
    </row>
    <row r="4203" spans="1:37" ht="16.05" customHeight="1">
      <c r="A4203" s="150" t="s">
        <v>4411</v>
      </c>
      <c r="B4203" s="151">
        <v>1381</v>
      </c>
      <c r="C4203" s="126" t="s">
        <v>658</v>
      </c>
      <c r="D4203">
        <v>2864</v>
      </c>
      <c r="E4203" s="126" t="s">
        <v>1894</v>
      </c>
      <c r="F4203" s="122" t="s">
        <v>1593</v>
      </c>
      <c r="G4203" s="122" t="s">
        <v>109</v>
      </c>
      <c r="H4203">
        <v>67</v>
      </c>
      <c r="I4203" s="122" t="s">
        <v>1546</v>
      </c>
      <c r="J4203" s="307" t="s">
        <v>214</v>
      </c>
      <c r="K4203" s="127" t="s">
        <v>4625</v>
      </c>
      <c r="L4203" s="151" t="s">
        <v>110</v>
      </c>
      <c r="M4203">
        <v>90</v>
      </c>
      <c r="N4203" s="123">
        <v>27</v>
      </c>
      <c r="O4203">
        <v>2733</v>
      </c>
      <c r="P4203" s="132" t="s">
        <v>77</v>
      </c>
      <c r="Q4203" s="131">
        <v>20000</v>
      </c>
      <c r="R4203" s="131">
        <v>3200</v>
      </c>
      <c r="S4203" s="131"/>
      <c r="T4203" s="155">
        <v>2133.34</v>
      </c>
      <c r="U4203" s="131">
        <v>250</v>
      </c>
      <c r="V4203" s="131">
        <v>20816.66</v>
      </c>
      <c r="W4203">
        <v>49</v>
      </c>
      <c r="X4203" s="151" t="s">
        <v>1430</v>
      </c>
      <c r="Y4203" s="135" t="s">
        <v>55</v>
      </c>
      <c r="Z4203" s="307">
        <v>257</v>
      </c>
      <c r="AB4203" t="str">
        <f>IF(Table1[[#This Row],[TIPO2]]="costo", VLOOKUP(Table1[[#This Row],[PARTIDA PRESUPUESTAL]],'Cost Report'!G:G,1,0),"Balance")</f>
        <v>2703-004</v>
      </c>
      <c r="AC4203" s="118"/>
      <c r="AD4203" s="159">
        <f>+Table1[[#This Row],[SUBTOTAL]]+Table1[[#This Row],[IVA]]-Table1[[#This Row],[RET IVA]]-Table1[[#This Row],[RET ISR]]-Table1[[#This Row],[TOTAL]]</f>
        <v>0</v>
      </c>
      <c r="AE4203" s="150"/>
      <c r="AF4203" s="151"/>
      <c r="AG4203" s="126"/>
      <c r="AK4203" s="306" t="str">
        <f>IF(ISNUMBER(Table1[[#This Row],[FECHA DE RECIBIDO]]), Table1[[#This Row],[FECHA DE RECIBIDO]]-DATE(2023,8,30), "")</f>
        <v/>
      </c>
    </row>
    <row r="4204" spans="1:37" ht="16.05" customHeight="1">
      <c r="A4204" s="152" t="s">
        <v>4412</v>
      </c>
      <c r="B4204" s="153">
        <v>1382</v>
      </c>
      <c r="C4204" s="126" t="s">
        <v>2599</v>
      </c>
      <c r="D4204">
        <v>2865</v>
      </c>
      <c r="E4204" s="126" t="s">
        <v>1577</v>
      </c>
      <c r="F4204" s="125" t="s">
        <v>1589</v>
      </c>
      <c r="G4204" s="125" t="s">
        <v>129</v>
      </c>
      <c r="H4204">
        <v>68</v>
      </c>
      <c r="I4204" s="125" t="s">
        <v>1546</v>
      </c>
      <c r="J4204" s="308" t="s">
        <v>214</v>
      </c>
      <c r="K4204" s="127" t="s">
        <v>4625</v>
      </c>
      <c r="L4204" s="153" t="s">
        <v>110</v>
      </c>
      <c r="M4204">
        <v>91</v>
      </c>
      <c r="N4204" s="123">
        <v>28</v>
      </c>
      <c r="O4204">
        <v>2734</v>
      </c>
      <c r="P4204" s="132" t="s">
        <v>77</v>
      </c>
      <c r="Q4204" s="132">
        <v>18000</v>
      </c>
      <c r="R4204" s="132">
        <v>2880</v>
      </c>
      <c r="S4204" s="132"/>
      <c r="T4204" s="156">
        <v>1920</v>
      </c>
      <c r="U4204" s="132">
        <v>1800</v>
      </c>
      <c r="V4204" s="132">
        <v>17160</v>
      </c>
      <c r="W4204">
        <v>50</v>
      </c>
      <c r="X4204" s="153" t="s">
        <v>1434</v>
      </c>
      <c r="Y4204" s="124" t="s">
        <v>55</v>
      </c>
      <c r="Z4204" s="308">
        <v>257</v>
      </c>
      <c r="AB4204" t="str">
        <f>IF(Table1[[#This Row],[TIPO2]]="costo", VLOOKUP(Table1[[#This Row],[PARTIDA PRESUPUESTAL]],'Cost Report'!G:G,1,0),"Balance")</f>
        <v>2795-012</v>
      </c>
      <c r="AC4204" s="118"/>
      <c r="AD4204" s="159">
        <f>+Table1[[#This Row],[SUBTOTAL]]+Table1[[#This Row],[IVA]]-Table1[[#This Row],[RET IVA]]-Table1[[#This Row],[RET ISR]]-Table1[[#This Row],[TOTAL]]</f>
        <v>0</v>
      </c>
      <c r="AE4204" s="152"/>
      <c r="AF4204" s="153"/>
      <c r="AG4204" s="126"/>
      <c r="AK4204" s="306" t="str">
        <f>IF(ISNUMBER(Table1[[#This Row],[FECHA DE RECIBIDO]]), Table1[[#This Row],[FECHA DE RECIBIDO]]-DATE(2023,8,30), "")</f>
        <v/>
      </c>
    </row>
    <row r="4205" spans="1:37" ht="16.05" customHeight="1">
      <c r="A4205" s="150" t="s">
        <v>4413</v>
      </c>
      <c r="B4205" s="151">
        <v>1383</v>
      </c>
      <c r="C4205" s="126" t="s">
        <v>654</v>
      </c>
      <c r="D4205">
        <v>2866</v>
      </c>
      <c r="E4205" s="126" t="s">
        <v>1895</v>
      </c>
      <c r="F4205" s="122" t="s">
        <v>1589</v>
      </c>
      <c r="G4205" s="122" t="s">
        <v>129</v>
      </c>
      <c r="H4205">
        <v>69</v>
      </c>
      <c r="I4205" s="122" t="s">
        <v>1546</v>
      </c>
      <c r="J4205" s="307" t="s">
        <v>214</v>
      </c>
      <c r="K4205" s="127" t="s">
        <v>4625</v>
      </c>
      <c r="L4205" s="151" t="s">
        <v>110</v>
      </c>
      <c r="M4205">
        <v>92</v>
      </c>
      <c r="N4205" s="123">
        <v>29</v>
      </c>
      <c r="O4205">
        <v>2735</v>
      </c>
      <c r="P4205" s="132" t="s">
        <v>77</v>
      </c>
      <c r="Q4205" s="131">
        <v>45000</v>
      </c>
      <c r="R4205" s="131">
        <v>7200</v>
      </c>
      <c r="S4205" s="131"/>
      <c r="T4205" s="155">
        <v>4800.0200000000004</v>
      </c>
      <c r="U4205" s="131">
        <v>4500</v>
      </c>
      <c r="V4205" s="131">
        <v>42899.979999999996</v>
      </c>
      <c r="W4205">
        <v>51</v>
      </c>
      <c r="X4205" s="151" t="s">
        <v>1434</v>
      </c>
      <c r="Y4205" s="135" t="s">
        <v>55</v>
      </c>
      <c r="Z4205" s="307">
        <v>257</v>
      </c>
      <c r="AB4205" t="str">
        <f>IF(Table1[[#This Row],[TIPO2]]="costo", VLOOKUP(Table1[[#This Row],[PARTIDA PRESUPUESTAL]],'Cost Report'!G:G,1,0),"Balance")</f>
        <v>2701-004</v>
      </c>
      <c r="AC4205" s="118"/>
      <c r="AD4205" s="159">
        <f>+Table1[[#This Row],[SUBTOTAL]]+Table1[[#This Row],[IVA]]-Table1[[#This Row],[RET IVA]]-Table1[[#This Row],[RET ISR]]-Table1[[#This Row],[TOTAL]]</f>
        <v>0</v>
      </c>
      <c r="AE4205" s="150"/>
      <c r="AF4205" s="151"/>
      <c r="AG4205" s="126"/>
      <c r="AK4205" s="306" t="str">
        <f>IF(ISNUMBER(Table1[[#This Row],[FECHA DE RECIBIDO]]), Table1[[#This Row],[FECHA DE RECIBIDO]]-DATE(2023,8,30), "")</f>
        <v/>
      </c>
    </row>
    <row r="4206" spans="1:37" ht="16.05" customHeight="1">
      <c r="A4206" s="152" t="s">
        <v>4414</v>
      </c>
      <c r="B4206" s="153">
        <v>1384</v>
      </c>
      <c r="C4206" s="126" t="s">
        <v>654</v>
      </c>
      <c r="D4206">
        <v>2867</v>
      </c>
      <c r="E4206" s="126" t="s">
        <v>1895</v>
      </c>
      <c r="F4206" s="125" t="s">
        <v>1589</v>
      </c>
      <c r="G4206" s="125" t="s">
        <v>129</v>
      </c>
      <c r="H4206">
        <v>69</v>
      </c>
      <c r="I4206" s="125" t="s">
        <v>1546</v>
      </c>
      <c r="J4206" s="308" t="s">
        <v>214</v>
      </c>
      <c r="K4206" s="127" t="s">
        <v>4625</v>
      </c>
      <c r="L4206" s="153" t="s">
        <v>110</v>
      </c>
      <c r="M4206">
        <v>92</v>
      </c>
      <c r="N4206" s="123">
        <v>29</v>
      </c>
      <c r="O4206">
        <v>2736</v>
      </c>
      <c r="P4206" s="132" t="s">
        <v>77</v>
      </c>
      <c r="Q4206" s="132">
        <v>45000</v>
      </c>
      <c r="R4206" s="132">
        <v>7200</v>
      </c>
      <c r="S4206" s="132"/>
      <c r="T4206" s="156">
        <v>4800.0200000000004</v>
      </c>
      <c r="U4206" s="132">
        <v>4500</v>
      </c>
      <c r="V4206" s="132">
        <v>42899.979999999996</v>
      </c>
      <c r="W4206">
        <v>51</v>
      </c>
      <c r="X4206" s="153" t="s">
        <v>1434</v>
      </c>
      <c r="Y4206" s="124" t="s">
        <v>55</v>
      </c>
      <c r="Z4206" s="308">
        <v>257</v>
      </c>
      <c r="AB4206" t="str">
        <f>IF(Table1[[#This Row],[TIPO2]]="costo", VLOOKUP(Table1[[#This Row],[PARTIDA PRESUPUESTAL]],'Cost Report'!G:G,1,0),"Balance")</f>
        <v>2701-004</v>
      </c>
      <c r="AC4206" s="118"/>
      <c r="AD4206" s="159">
        <f>+Table1[[#This Row],[SUBTOTAL]]+Table1[[#This Row],[IVA]]-Table1[[#This Row],[RET IVA]]-Table1[[#This Row],[RET ISR]]-Table1[[#This Row],[TOTAL]]</f>
        <v>0</v>
      </c>
      <c r="AE4206" s="152"/>
      <c r="AF4206" s="153"/>
      <c r="AG4206" s="126"/>
      <c r="AK4206" s="306" t="str">
        <f>IF(ISNUMBER(Table1[[#This Row],[FECHA DE RECIBIDO]]), Table1[[#This Row],[FECHA DE RECIBIDO]]-DATE(2023,8,30), "")</f>
        <v/>
      </c>
    </row>
    <row r="4207" spans="1:37" ht="16.05" customHeight="1">
      <c r="A4207" s="150" t="s">
        <v>4415</v>
      </c>
      <c r="B4207" s="151">
        <v>1385</v>
      </c>
      <c r="C4207" s="126" t="s">
        <v>662</v>
      </c>
      <c r="D4207">
        <v>2868</v>
      </c>
      <c r="E4207" s="126" t="s">
        <v>3214</v>
      </c>
      <c r="F4207" s="122" t="s">
        <v>1589</v>
      </c>
      <c r="G4207" s="122" t="s">
        <v>129</v>
      </c>
      <c r="H4207">
        <v>204</v>
      </c>
      <c r="I4207" s="122" t="s">
        <v>1546</v>
      </c>
      <c r="J4207" s="307" t="s">
        <v>214</v>
      </c>
      <c r="K4207" s="127" t="s">
        <v>4625</v>
      </c>
      <c r="L4207" s="151" t="s">
        <v>110</v>
      </c>
      <c r="M4207">
        <v>269</v>
      </c>
      <c r="N4207" s="123">
        <v>69</v>
      </c>
      <c r="O4207">
        <v>2737</v>
      </c>
      <c r="P4207" s="132" t="s">
        <v>77</v>
      </c>
      <c r="Q4207" s="131">
        <v>15000</v>
      </c>
      <c r="R4207" s="131">
        <v>2400</v>
      </c>
      <c r="S4207" s="131"/>
      <c r="T4207" s="155">
        <v>1600</v>
      </c>
      <c r="U4207" s="131">
        <v>1500</v>
      </c>
      <c r="V4207" s="131">
        <v>14300</v>
      </c>
      <c r="W4207">
        <v>125</v>
      </c>
      <c r="X4207" s="151" t="s">
        <v>1434</v>
      </c>
      <c r="Y4207" s="135" t="s">
        <v>55</v>
      </c>
      <c r="Z4207" s="307">
        <v>257</v>
      </c>
      <c r="AB4207" t="str">
        <f>IF(Table1[[#This Row],[TIPO2]]="costo", VLOOKUP(Table1[[#This Row],[PARTIDA PRESUPUESTAL]],'Cost Report'!G:G,1,0),"Balance")</f>
        <v>2707-004</v>
      </c>
      <c r="AC4207" s="118"/>
      <c r="AD4207" s="159">
        <f>+Table1[[#This Row],[SUBTOTAL]]+Table1[[#This Row],[IVA]]-Table1[[#This Row],[RET IVA]]-Table1[[#This Row],[RET ISR]]-Table1[[#This Row],[TOTAL]]</f>
        <v>0</v>
      </c>
      <c r="AE4207" s="150"/>
      <c r="AF4207" s="151"/>
      <c r="AG4207" s="126"/>
      <c r="AK4207" s="306" t="str">
        <f>IF(ISNUMBER(Table1[[#This Row],[FECHA DE RECIBIDO]]), Table1[[#This Row],[FECHA DE RECIBIDO]]-DATE(2023,8,30), "")</f>
        <v/>
      </c>
    </row>
    <row r="4208" spans="1:37" ht="16.05" customHeight="1">
      <c r="A4208" s="152" t="s">
        <v>4416</v>
      </c>
      <c r="B4208" s="153">
        <v>1386</v>
      </c>
      <c r="C4208" s="126" t="s">
        <v>1526</v>
      </c>
      <c r="D4208">
        <v>2869</v>
      </c>
      <c r="E4208" s="126" t="s">
        <v>2012</v>
      </c>
      <c r="F4208" s="125" t="s">
        <v>1589</v>
      </c>
      <c r="G4208" s="125" t="s">
        <v>129</v>
      </c>
      <c r="H4208">
        <v>205</v>
      </c>
      <c r="I4208" s="125" t="s">
        <v>1546</v>
      </c>
      <c r="J4208" s="308" t="s">
        <v>214</v>
      </c>
      <c r="K4208" s="127" t="s">
        <v>4625</v>
      </c>
      <c r="L4208" s="153" t="s">
        <v>110</v>
      </c>
      <c r="M4208">
        <v>270</v>
      </c>
      <c r="N4208" s="123">
        <v>70</v>
      </c>
      <c r="O4208">
        <v>2738</v>
      </c>
      <c r="P4208" s="132" t="s">
        <v>77</v>
      </c>
      <c r="Q4208" s="132">
        <v>16000</v>
      </c>
      <c r="R4208" s="132">
        <v>2560</v>
      </c>
      <c r="S4208" s="132"/>
      <c r="T4208" s="156">
        <v>1706.68</v>
      </c>
      <c r="U4208" s="132">
        <v>1600</v>
      </c>
      <c r="V4208" s="132">
        <v>15253.32</v>
      </c>
      <c r="W4208">
        <v>126</v>
      </c>
      <c r="X4208" s="153" t="s">
        <v>1434</v>
      </c>
      <c r="Y4208" s="124" t="s">
        <v>55</v>
      </c>
      <c r="Z4208" s="308">
        <v>257</v>
      </c>
      <c r="AB4208" t="str">
        <f>IF(Table1[[#This Row],[TIPO2]]="costo", VLOOKUP(Table1[[#This Row],[PARTIDA PRESUPUESTAL]],'Cost Report'!G:G,1,0),"Balance")</f>
        <v>2706-004</v>
      </c>
      <c r="AC4208" s="118"/>
      <c r="AD4208" s="159">
        <f>+Table1[[#This Row],[SUBTOTAL]]+Table1[[#This Row],[IVA]]-Table1[[#This Row],[RET IVA]]-Table1[[#This Row],[RET ISR]]-Table1[[#This Row],[TOTAL]]</f>
        <v>0</v>
      </c>
      <c r="AE4208" s="152"/>
      <c r="AF4208" s="153"/>
      <c r="AG4208" s="126"/>
      <c r="AK4208" s="306" t="str">
        <f>IF(ISNUMBER(Table1[[#This Row],[FECHA DE RECIBIDO]]), Table1[[#This Row],[FECHA DE RECIBIDO]]-DATE(2023,8,30), "")</f>
        <v/>
      </c>
    </row>
    <row r="4209" spans="1:37" ht="16.05" customHeight="1">
      <c r="A4209" s="150" t="s">
        <v>4417</v>
      </c>
      <c r="B4209" s="151">
        <v>1387</v>
      </c>
      <c r="C4209" s="126" t="s">
        <v>2591</v>
      </c>
      <c r="D4209">
        <v>2870</v>
      </c>
      <c r="E4209" s="126" t="s">
        <v>1613</v>
      </c>
      <c r="F4209" s="122" t="s">
        <v>1593</v>
      </c>
      <c r="G4209" s="122" t="s">
        <v>109</v>
      </c>
      <c r="H4209">
        <v>515</v>
      </c>
      <c r="I4209" s="122" t="s">
        <v>1546</v>
      </c>
      <c r="J4209" s="307" t="s">
        <v>214</v>
      </c>
      <c r="K4209" s="127" t="s">
        <v>4625</v>
      </c>
      <c r="L4209" s="151" t="s">
        <v>110</v>
      </c>
      <c r="M4209">
        <v>739</v>
      </c>
      <c r="N4209" s="123">
        <v>145</v>
      </c>
      <c r="O4209">
        <v>2739</v>
      </c>
      <c r="P4209" s="132" t="s">
        <v>77</v>
      </c>
      <c r="Q4209" s="131">
        <v>7500</v>
      </c>
      <c r="R4209" s="131">
        <v>1200</v>
      </c>
      <c r="S4209" s="131"/>
      <c r="T4209" s="155">
        <v>800</v>
      </c>
      <c r="U4209" s="131">
        <v>93.75</v>
      </c>
      <c r="V4209" s="131">
        <v>7806.25</v>
      </c>
      <c r="W4209">
        <v>287</v>
      </c>
      <c r="X4209" s="151" t="s">
        <v>1429</v>
      </c>
      <c r="Y4209" s="135" t="s">
        <v>55</v>
      </c>
      <c r="Z4209" s="307">
        <v>257</v>
      </c>
      <c r="AB4209" t="str">
        <f>IF(Table1[[#This Row],[TIPO2]]="costo", VLOOKUP(Table1[[#This Row],[PARTIDA PRESUPUESTAL]],'Cost Report'!G:G,1,0),"Balance")</f>
        <v>2707-020</v>
      </c>
      <c r="AC4209" s="118"/>
      <c r="AD4209" s="159">
        <f>+Table1[[#This Row],[SUBTOTAL]]+Table1[[#This Row],[IVA]]-Table1[[#This Row],[RET IVA]]-Table1[[#This Row],[RET ISR]]-Table1[[#This Row],[TOTAL]]</f>
        <v>0</v>
      </c>
      <c r="AE4209" s="150"/>
      <c r="AF4209" s="151"/>
      <c r="AG4209" s="126"/>
      <c r="AK4209" s="306" t="str">
        <f>IF(ISNUMBER(Table1[[#This Row],[FECHA DE RECIBIDO]]), Table1[[#This Row],[FECHA DE RECIBIDO]]-DATE(2023,8,30), "")</f>
        <v/>
      </c>
    </row>
    <row r="4210" spans="1:37" ht="16.05" customHeight="1">
      <c r="A4210" s="152" t="s">
        <v>4418</v>
      </c>
      <c r="B4210" s="153">
        <v>1388</v>
      </c>
      <c r="C4210" s="126" t="s">
        <v>2592</v>
      </c>
      <c r="D4210">
        <v>2871</v>
      </c>
      <c r="E4210" s="126" t="s">
        <v>1613</v>
      </c>
      <c r="F4210" s="125" t="s">
        <v>1593</v>
      </c>
      <c r="G4210" s="125" t="s">
        <v>109</v>
      </c>
      <c r="H4210">
        <v>515</v>
      </c>
      <c r="I4210" s="125" t="s">
        <v>1546</v>
      </c>
      <c r="J4210" s="308" t="s">
        <v>214</v>
      </c>
      <c r="K4210" s="127" t="s">
        <v>4625</v>
      </c>
      <c r="L4210" s="153" t="s">
        <v>110</v>
      </c>
      <c r="M4210">
        <v>739</v>
      </c>
      <c r="N4210" s="123">
        <v>145</v>
      </c>
      <c r="O4210">
        <v>2740</v>
      </c>
      <c r="P4210" s="132" t="s">
        <v>77</v>
      </c>
      <c r="Q4210" s="132">
        <v>7500</v>
      </c>
      <c r="R4210" s="132">
        <v>1200</v>
      </c>
      <c r="S4210" s="132"/>
      <c r="T4210" s="156">
        <v>800</v>
      </c>
      <c r="U4210" s="132">
        <v>93.75</v>
      </c>
      <c r="V4210" s="132">
        <v>7806.25</v>
      </c>
      <c r="W4210">
        <v>287</v>
      </c>
      <c r="X4210" s="153" t="s">
        <v>1429</v>
      </c>
      <c r="Y4210" s="124" t="s">
        <v>55</v>
      </c>
      <c r="Z4210" s="308">
        <v>257</v>
      </c>
      <c r="AB4210" t="str">
        <f>IF(Table1[[#This Row],[TIPO2]]="costo", VLOOKUP(Table1[[#This Row],[PARTIDA PRESUPUESTAL]],'Cost Report'!G:G,1,0),"Balance")</f>
        <v>2707-021</v>
      </c>
      <c r="AC4210" s="118"/>
      <c r="AD4210" s="159">
        <f>+Table1[[#This Row],[SUBTOTAL]]+Table1[[#This Row],[IVA]]-Table1[[#This Row],[RET IVA]]-Table1[[#This Row],[RET ISR]]-Table1[[#This Row],[TOTAL]]</f>
        <v>0</v>
      </c>
      <c r="AE4210" s="152"/>
      <c r="AF4210" s="153"/>
      <c r="AG4210" s="126"/>
      <c r="AK4210" s="306" t="str">
        <f>IF(ISNUMBER(Table1[[#This Row],[FECHA DE RECIBIDO]]), Table1[[#This Row],[FECHA DE RECIBIDO]]-DATE(2023,8,30), "")</f>
        <v/>
      </c>
    </row>
    <row r="4211" spans="1:37" ht="16.05" customHeight="1">
      <c r="A4211" s="150" t="s">
        <v>4419</v>
      </c>
      <c r="B4211" s="151">
        <v>1389</v>
      </c>
      <c r="C4211" s="126" t="s">
        <v>2587</v>
      </c>
      <c r="D4211">
        <v>2872</v>
      </c>
      <c r="E4211" s="126" t="s">
        <v>3966</v>
      </c>
      <c r="F4211" s="122" t="s">
        <v>1593</v>
      </c>
      <c r="G4211" s="122" t="s">
        <v>109</v>
      </c>
      <c r="H4211">
        <v>516</v>
      </c>
      <c r="I4211" s="122" t="s">
        <v>1546</v>
      </c>
      <c r="J4211" s="307" t="s">
        <v>214</v>
      </c>
      <c r="K4211" s="127" t="s">
        <v>4625</v>
      </c>
      <c r="L4211" s="151" t="s">
        <v>110</v>
      </c>
      <c r="M4211">
        <v>740</v>
      </c>
      <c r="N4211" s="123">
        <v>146</v>
      </c>
      <c r="O4211">
        <v>2741</v>
      </c>
      <c r="P4211" s="132" t="s">
        <v>77</v>
      </c>
      <c r="Q4211" s="131">
        <v>8000</v>
      </c>
      <c r="R4211" s="131">
        <v>1280</v>
      </c>
      <c r="S4211" s="131"/>
      <c r="T4211" s="155">
        <v>853.34</v>
      </c>
      <c r="U4211" s="131">
        <v>100</v>
      </c>
      <c r="V4211" s="131">
        <v>8326.66</v>
      </c>
      <c r="W4211">
        <v>288</v>
      </c>
      <c r="X4211" s="151" t="s">
        <v>1429</v>
      </c>
      <c r="Y4211" s="135" t="s">
        <v>55</v>
      </c>
      <c r="Z4211" s="307">
        <v>257</v>
      </c>
      <c r="AB4211" t="str">
        <f>IF(Table1[[#This Row],[TIPO2]]="costo", VLOOKUP(Table1[[#This Row],[PARTIDA PRESUPUESTAL]],'Cost Report'!G:G,1,0),"Balance")</f>
        <v>2706-010</v>
      </c>
      <c r="AC4211" s="118"/>
      <c r="AD4211" s="159">
        <f>+Table1[[#This Row],[SUBTOTAL]]+Table1[[#This Row],[IVA]]-Table1[[#This Row],[RET IVA]]-Table1[[#This Row],[RET ISR]]-Table1[[#This Row],[TOTAL]]</f>
        <v>0</v>
      </c>
      <c r="AE4211" s="150"/>
      <c r="AF4211" s="151"/>
      <c r="AG4211" s="126"/>
      <c r="AK4211" s="306" t="str">
        <f>IF(ISNUMBER(Table1[[#This Row],[FECHA DE RECIBIDO]]), Table1[[#This Row],[FECHA DE RECIBIDO]]-DATE(2023,8,30), "")</f>
        <v/>
      </c>
    </row>
    <row r="4212" spans="1:37" ht="16.05" customHeight="1">
      <c r="A4212" s="152" t="s">
        <v>4420</v>
      </c>
      <c r="B4212" s="153">
        <v>1390</v>
      </c>
      <c r="C4212" s="126" t="s">
        <v>2594</v>
      </c>
      <c r="D4212">
        <v>2873</v>
      </c>
      <c r="E4212" s="126" t="s">
        <v>4421</v>
      </c>
      <c r="F4212" s="125" t="s">
        <v>1593</v>
      </c>
      <c r="G4212" s="125" t="s">
        <v>109</v>
      </c>
      <c r="H4212">
        <v>767</v>
      </c>
      <c r="I4212" s="125" t="s">
        <v>1546</v>
      </c>
      <c r="J4212" s="308" t="s">
        <v>214</v>
      </c>
      <c r="K4212" s="127" t="s">
        <v>4625</v>
      </c>
      <c r="L4212" s="153" t="s">
        <v>110</v>
      </c>
      <c r="M4212">
        <v>1070</v>
      </c>
      <c r="N4212" s="123">
        <v>179</v>
      </c>
      <c r="O4212">
        <v>2742</v>
      </c>
      <c r="P4212" s="132" t="s">
        <v>77</v>
      </c>
      <c r="Q4212" s="132">
        <v>4500</v>
      </c>
      <c r="R4212" s="132">
        <v>720</v>
      </c>
      <c r="S4212" s="132"/>
      <c r="T4212" s="156">
        <v>480</v>
      </c>
      <c r="U4212" s="132">
        <v>56.25</v>
      </c>
      <c r="V4212" s="132">
        <v>4683.75</v>
      </c>
      <c r="W4212">
        <v>366</v>
      </c>
      <c r="X4212" s="153" t="s">
        <v>1434</v>
      </c>
      <c r="Y4212" s="124" t="s">
        <v>55</v>
      </c>
      <c r="Z4212" s="308">
        <v>257</v>
      </c>
      <c r="AB4212" t="str">
        <f>IF(Table1[[#This Row],[TIPO2]]="costo", VLOOKUP(Table1[[#This Row],[PARTIDA PRESUPUESTAL]],'Cost Report'!G:G,1,0),"Balance")</f>
        <v>2707-025</v>
      </c>
      <c r="AC4212" s="118"/>
      <c r="AD4212" s="159">
        <f>+Table1[[#This Row],[SUBTOTAL]]+Table1[[#This Row],[IVA]]-Table1[[#This Row],[RET IVA]]-Table1[[#This Row],[RET ISR]]-Table1[[#This Row],[TOTAL]]</f>
        <v>0</v>
      </c>
      <c r="AE4212" s="152"/>
      <c r="AF4212" s="153"/>
      <c r="AG4212" s="126"/>
      <c r="AK4212" s="306" t="str">
        <f>IF(ISNUMBER(Table1[[#This Row],[FECHA DE RECIBIDO]]), Table1[[#This Row],[FECHA DE RECIBIDO]]-DATE(2023,8,30), "")</f>
        <v/>
      </c>
    </row>
    <row r="4213" spans="1:37" ht="16.05" customHeight="1">
      <c r="A4213" s="150" t="s">
        <v>4422</v>
      </c>
      <c r="B4213" s="151">
        <v>1391</v>
      </c>
      <c r="C4213" s="126" t="s">
        <v>2594</v>
      </c>
      <c r="D4213">
        <v>2874</v>
      </c>
      <c r="E4213" s="126" t="s">
        <v>4423</v>
      </c>
      <c r="F4213" s="122" t="s">
        <v>1593</v>
      </c>
      <c r="G4213" s="122" t="s">
        <v>109</v>
      </c>
      <c r="H4213">
        <v>768</v>
      </c>
      <c r="I4213" s="122" t="s">
        <v>1546</v>
      </c>
      <c r="J4213" s="307" t="s">
        <v>214</v>
      </c>
      <c r="K4213" s="127" t="s">
        <v>4625</v>
      </c>
      <c r="L4213" s="151" t="s">
        <v>110</v>
      </c>
      <c r="M4213">
        <v>1071</v>
      </c>
      <c r="N4213" s="123">
        <v>180</v>
      </c>
      <c r="O4213">
        <v>2743</v>
      </c>
      <c r="P4213" s="132" t="s">
        <v>77</v>
      </c>
      <c r="Q4213" s="131">
        <v>3000</v>
      </c>
      <c r="R4213" s="131">
        <v>480</v>
      </c>
      <c r="S4213" s="131"/>
      <c r="T4213" s="155">
        <v>320</v>
      </c>
      <c r="U4213" s="131">
        <v>37.5</v>
      </c>
      <c r="V4213" s="131">
        <v>3122.5</v>
      </c>
      <c r="W4213">
        <v>367</v>
      </c>
      <c r="X4213" s="151" t="s">
        <v>1431</v>
      </c>
      <c r="Y4213" s="135" t="s">
        <v>55</v>
      </c>
      <c r="Z4213" s="307">
        <v>257</v>
      </c>
      <c r="AB4213" t="str">
        <f>IF(Table1[[#This Row],[TIPO2]]="costo", VLOOKUP(Table1[[#This Row],[PARTIDA PRESUPUESTAL]],'Cost Report'!G:G,1,0),"Balance")</f>
        <v>2707-025</v>
      </c>
      <c r="AC4213" s="118"/>
      <c r="AD4213" s="159">
        <f>+Table1[[#This Row],[SUBTOTAL]]+Table1[[#This Row],[IVA]]-Table1[[#This Row],[RET IVA]]-Table1[[#This Row],[RET ISR]]-Table1[[#This Row],[TOTAL]]</f>
        <v>0</v>
      </c>
      <c r="AE4213" s="150"/>
      <c r="AF4213" s="151"/>
      <c r="AG4213" s="126"/>
      <c r="AK4213" s="306" t="str">
        <f>IF(ISNUMBER(Table1[[#This Row],[FECHA DE RECIBIDO]]), Table1[[#This Row],[FECHA DE RECIBIDO]]-DATE(2023,8,30), "")</f>
        <v/>
      </c>
    </row>
    <row r="4214" spans="1:37" ht="16.05" customHeight="1">
      <c r="A4214" s="152" t="s">
        <v>4424</v>
      </c>
      <c r="B4214" s="153">
        <v>1392</v>
      </c>
      <c r="C4214" s="126" t="s">
        <v>2594</v>
      </c>
      <c r="D4214">
        <v>2875</v>
      </c>
      <c r="E4214" s="126" t="s">
        <v>3366</v>
      </c>
      <c r="F4214" s="125" t="s">
        <v>1589</v>
      </c>
      <c r="G4214" s="125" t="s">
        <v>129</v>
      </c>
      <c r="H4214">
        <v>769</v>
      </c>
      <c r="I4214" s="125" t="s">
        <v>1546</v>
      </c>
      <c r="J4214" s="308" t="s">
        <v>214</v>
      </c>
      <c r="K4214" s="127" t="s">
        <v>4625</v>
      </c>
      <c r="L4214" s="153" t="s">
        <v>110</v>
      </c>
      <c r="M4214">
        <v>1072</v>
      </c>
      <c r="N4214" s="123">
        <v>181</v>
      </c>
      <c r="O4214">
        <v>2744</v>
      </c>
      <c r="P4214" s="132" t="s">
        <v>77</v>
      </c>
      <c r="Q4214" s="132">
        <v>3000</v>
      </c>
      <c r="R4214" s="132">
        <v>480</v>
      </c>
      <c r="S4214" s="132"/>
      <c r="T4214" s="156">
        <v>320.01</v>
      </c>
      <c r="U4214" s="132">
        <v>300</v>
      </c>
      <c r="V4214" s="132">
        <v>2859.99</v>
      </c>
      <c r="W4214">
        <v>368</v>
      </c>
      <c r="X4214" s="153" t="s">
        <v>1430</v>
      </c>
      <c r="Y4214" s="124" t="s">
        <v>55</v>
      </c>
      <c r="Z4214" s="308">
        <v>257</v>
      </c>
      <c r="AB4214" t="str">
        <f>IF(Table1[[#This Row],[TIPO2]]="costo", VLOOKUP(Table1[[#This Row],[PARTIDA PRESUPUESTAL]],'Cost Report'!G:G,1,0),"Balance")</f>
        <v>2707-025</v>
      </c>
      <c r="AC4214" s="118"/>
      <c r="AD4214" s="159">
        <f>+Table1[[#This Row],[SUBTOTAL]]+Table1[[#This Row],[IVA]]-Table1[[#This Row],[RET IVA]]-Table1[[#This Row],[RET ISR]]-Table1[[#This Row],[TOTAL]]</f>
        <v>0</v>
      </c>
      <c r="AE4214" s="152"/>
      <c r="AF4214" s="153"/>
      <c r="AG4214" s="126"/>
      <c r="AK4214" s="306" t="str">
        <f>IF(ISNUMBER(Table1[[#This Row],[FECHA DE RECIBIDO]]), Table1[[#This Row],[FECHA DE RECIBIDO]]-DATE(2023,8,30), "")</f>
        <v/>
      </c>
    </row>
    <row r="4215" spans="1:37" ht="16.05" customHeight="1">
      <c r="A4215" s="150" t="s">
        <v>4425</v>
      </c>
      <c r="B4215" s="151">
        <v>1393</v>
      </c>
      <c r="C4215" s="126" t="s">
        <v>667</v>
      </c>
      <c r="D4215">
        <v>2876</v>
      </c>
      <c r="E4215" s="126" t="s">
        <v>3366</v>
      </c>
      <c r="F4215" s="122" t="s">
        <v>1589</v>
      </c>
      <c r="G4215" s="122" t="s">
        <v>129</v>
      </c>
      <c r="H4215">
        <v>769</v>
      </c>
      <c r="I4215" s="122" t="s">
        <v>1546</v>
      </c>
      <c r="J4215" s="307" t="s">
        <v>214</v>
      </c>
      <c r="K4215" s="127" t="s">
        <v>4625</v>
      </c>
      <c r="L4215" s="151" t="s">
        <v>110</v>
      </c>
      <c r="M4215">
        <v>1072</v>
      </c>
      <c r="N4215" s="123">
        <v>181</v>
      </c>
      <c r="O4215">
        <v>2745</v>
      </c>
      <c r="P4215" s="132" t="s">
        <v>77</v>
      </c>
      <c r="Q4215" s="131">
        <v>10000</v>
      </c>
      <c r="R4215" s="131">
        <v>1600</v>
      </c>
      <c r="S4215" s="131"/>
      <c r="T4215" s="155">
        <v>1066.7</v>
      </c>
      <c r="U4215" s="131">
        <v>1000</v>
      </c>
      <c r="V4215" s="131">
        <v>9533.2999999999993</v>
      </c>
      <c r="W4215">
        <v>368</v>
      </c>
      <c r="X4215" s="151" t="s">
        <v>1430</v>
      </c>
      <c r="Y4215" s="135" t="s">
        <v>55</v>
      </c>
      <c r="Z4215" s="307">
        <v>257</v>
      </c>
      <c r="AB4215" t="str">
        <f>IF(Table1[[#This Row],[TIPO2]]="costo", VLOOKUP(Table1[[#This Row],[PARTIDA PRESUPUESTAL]],'Cost Report'!G:G,1,0),"Balance")</f>
        <v>2707-013</v>
      </c>
      <c r="AC4215" s="118"/>
      <c r="AD4215" s="159">
        <f>+Table1[[#This Row],[SUBTOTAL]]+Table1[[#This Row],[IVA]]-Table1[[#This Row],[RET IVA]]-Table1[[#This Row],[RET ISR]]-Table1[[#This Row],[TOTAL]]</f>
        <v>0</v>
      </c>
      <c r="AE4215" s="150"/>
      <c r="AF4215" s="151"/>
      <c r="AG4215" s="126"/>
      <c r="AK4215" s="306" t="str">
        <f>IF(ISNUMBER(Table1[[#This Row],[FECHA DE RECIBIDO]]), Table1[[#This Row],[FECHA DE RECIBIDO]]-DATE(2023,8,30), "")</f>
        <v/>
      </c>
    </row>
    <row r="4216" spans="1:37" ht="16.05" customHeight="1">
      <c r="A4216" s="152" t="s">
        <v>4426</v>
      </c>
      <c r="B4216" s="153">
        <v>1394</v>
      </c>
      <c r="C4216" s="126" t="s">
        <v>668</v>
      </c>
      <c r="D4216">
        <v>2877</v>
      </c>
      <c r="E4216" s="126" t="s">
        <v>3366</v>
      </c>
      <c r="F4216" s="125" t="s">
        <v>1589</v>
      </c>
      <c r="G4216" s="125" t="s">
        <v>129</v>
      </c>
      <c r="H4216">
        <v>769</v>
      </c>
      <c r="I4216" s="125" t="s">
        <v>1546</v>
      </c>
      <c r="J4216" s="308" t="s">
        <v>214</v>
      </c>
      <c r="K4216" s="127" t="s">
        <v>4625</v>
      </c>
      <c r="L4216" s="153" t="s">
        <v>110</v>
      </c>
      <c r="M4216">
        <v>1072</v>
      </c>
      <c r="N4216" s="123">
        <v>181</v>
      </c>
      <c r="O4216">
        <v>2746</v>
      </c>
      <c r="P4216" s="132" t="s">
        <v>77</v>
      </c>
      <c r="Q4216" s="132">
        <v>10000</v>
      </c>
      <c r="R4216" s="132">
        <v>1600</v>
      </c>
      <c r="S4216" s="132"/>
      <c r="T4216" s="156">
        <v>1066.7</v>
      </c>
      <c r="U4216" s="132">
        <v>1000</v>
      </c>
      <c r="V4216" s="132">
        <v>9533.2999999999993</v>
      </c>
      <c r="W4216">
        <v>368</v>
      </c>
      <c r="X4216" s="153" t="s">
        <v>1430</v>
      </c>
      <c r="Y4216" s="124" t="s">
        <v>55</v>
      </c>
      <c r="Z4216" s="308">
        <v>257</v>
      </c>
      <c r="AB4216" t="str">
        <f>IF(Table1[[#This Row],[TIPO2]]="costo", VLOOKUP(Table1[[#This Row],[PARTIDA PRESUPUESTAL]],'Cost Report'!G:G,1,0),"Balance")</f>
        <v>2707-014</v>
      </c>
      <c r="AC4216" s="118"/>
      <c r="AD4216" s="159">
        <f>+Table1[[#This Row],[SUBTOTAL]]+Table1[[#This Row],[IVA]]-Table1[[#This Row],[RET IVA]]-Table1[[#This Row],[RET ISR]]-Table1[[#This Row],[TOTAL]]</f>
        <v>0</v>
      </c>
      <c r="AE4216" s="152"/>
      <c r="AF4216" s="153"/>
      <c r="AG4216" s="126"/>
      <c r="AK4216" s="306" t="str">
        <f>IF(ISNUMBER(Table1[[#This Row],[FECHA DE RECIBIDO]]), Table1[[#This Row],[FECHA DE RECIBIDO]]-DATE(2023,8,30), "")</f>
        <v/>
      </c>
    </row>
    <row r="4217" spans="1:37" ht="16.05" customHeight="1">
      <c r="A4217" s="150" t="s">
        <v>4427</v>
      </c>
      <c r="B4217" s="151">
        <v>1395</v>
      </c>
      <c r="C4217" s="126" t="s">
        <v>669</v>
      </c>
      <c r="D4217">
        <v>2878</v>
      </c>
      <c r="E4217" s="126" t="s">
        <v>3366</v>
      </c>
      <c r="F4217" s="122" t="s">
        <v>1589</v>
      </c>
      <c r="G4217" s="122" t="s">
        <v>129</v>
      </c>
      <c r="H4217">
        <v>769</v>
      </c>
      <c r="I4217" s="122" t="s">
        <v>1546</v>
      </c>
      <c r="J4217" s="307" t="s">
        <v>214</v>
      </c>
      <c r="K4217" s="127" t="s">
        <v>4625</v>
      </c>
      <c r="L4217" s="151" t="s">
        <v>110</v>
      </c>
      <c r="M4217">
        <v>1072</v>
      </c>
      <c r="N4217" s="123">
        <v>181</v>
      </c>
      <c r="O4217">
        <v>2747</v>
      </c>
      <c r="P4217" s="132" t="s">
        <v>77</v>
      </c>
      <c r="Q4217" s="131">
        <v>10000</v>
      </c>
      <c r="R4217" s="131">
        <v>1600</v>
      </c>
      <c r="S4217" s="131"/>
      <c r="T4217" s="155">
        <v>1066.7</v>
      </c>
      <c r="U4217" s="131">
        <v>1000</v>
      </c>
      <c r="V4217" s="131">
        <v>9533.2999999999993</v>
      </c>
      <c r="W4217">
        <v>368</v>
      </c>
      <c r="X4217" s="151" t="s">
        <v>1430</v>
      </c>
      <c r="Y4217" s="135" t="s">
        <v>55</v>
      </c>
      <c r="Z4217" s="307">
        <v>257</v>
      </c>
      <c r="AB4217" t="str">
        <f>IF(Table1[[#This Row],[TIPO2]]="costo", VLOOKUP(Table1[[#This Row],[PARTIDA PRESUPUESTAL]],'Cost Report'!G:G,1,0),"Balance")</f>
        <v>2707-015</v>
      </c>
      <c r="AC4217" s="118"/>
      <c r="AD4217" s="159">
        <f>+Table1[[#This Row],[SUBTOTAL]]+Table1[[#This Row],[IVA]]-Table1[[#This Row],[RET IVA]]-Table1[[#This Row],[RET ISR]]-Table1[[#This Row],[TOTAL]]</f>
        <v>0</v>
      </c>
      <c r="AE4217" s="150"/>
      <c r="AF4217" s="151"/>
      <c r="AG4217" s="126"/>
      <c r="AK4217" s="306" t="str">
        <f>IF(ISNUMBER(Table1[[#This Row],[FECHA DE RECIBIDO]]), Table1[[#This Row],[FECHA DE RECIBIDO]]-DATE(2023,8,30), "")</f>
        <v/>
      </c>
    </row>
    <row r="4218" spans="1:37" ht="16.05" customHeight="1">
      <c r="A4218" s="152" t="s">
        <v>4428</v>
      </c>
      <c r="B4218" s="153">
        <v>1396</v>
      </c>
      <c r="C4218" s="126" t="s">
        <v>381</v>
      </c>
      <c r="D4218">
        <v>2879</v>
      </c>
      <c r="E4218" s="126" t="s">
        <v>3217</v>
      </c>
      <c r="F4218" s="125" t="s">
        <v>1593</v>
      </c>
      <c r="G4218" s="125" t="s">
        <v>109</v>
      </c>
      <c r="H4218">
        <v>206</v>
      </c>
      <c r="I4218" s="125" t="s">
        <v>1546</v>
      </c>
      <c r="J4218" s="308" t="s">
        <v>214</v>
      </c>
      <c r="K4218" s="127" t="s">
        <v>4625</v>
      </c>
      <c r="L4218" s="153" t="s">
        <v>110</v>
      </c>
      <c r="M4218">
        <v>271</v>
      </c>
      <c r="N4218" s="123">
        <v>71</v>
      </c>
      <c r="O4218">
        <v>2748</v>
      </c>
      <c r="P4218" s="132" t="s">
        <v>77</v>
      </c>
      <c r="Q4218" s="132">
        <v>40000</v>
      </c>
      <c r="R4218" s="132">
        <v>6400</v>
      </c>
      <c r="S4218" s="132"/>
      <c r="T4218" s="156">
        <v>4266.68</v>
      </c>
      <c r="U4218" s="132">
        <v>500</v>
      </c>
      <c r="V4218" s="132">
        <v>41633.32</v>
      </c>
      <c r="W4218">
        <v>127</v>
      </c>
      <c r="X4218" s="153" t="s">
        <v>1431</v>
      </c>
      <c r="Y4218" s="124" t="s">
        <v>55</v>
      </c>
      <c r="Z4218" s="308">
        <v>257</v>
      </c>
      <c r="AB4218" t="str">
        <f>IF(Table1[[#This Row],[TIPO2]]="costo", VLOOKUP(Table1[[#This Row],[PARTIDA PRESUPUESTAL]],'Cost Report'!G:G,1,0),"Balance")</f>
        <v>1413-004</v>
      </c>
      <c r="AC4218" s="118"/>
      <c r="AD4218" s="159">
        <f>+Table1[[#This Row],[SUBTOTAL]]+Table1[[#This Row],[IVA]]-Table1[[#This Row],[RET IVA]]-Table1[[#This Row],[RET ISR]]-Table1[[#This Row],[TOTAL]]</f>
        <v>0</v>
      </c>
      <c r="AE4218" s="152"/>
      <c r="AF4218" s="153"/>
      <c r="AG4218" s="126"/>
      <c r="AK4218" s="306" t="str">
        <f>IF(ISNUMBER(Table1[[#This Row],[FECHA DE RECIBIDO]]), Table1[[#This Row],[FECHA DE RECIBIDO]]-DATE(2023,8,30), "")</f>
        <v/>
      </c>
    </row>
    <row r="4219" spans="1:37" ht="16.05" customHeight="1">
      <c r="A4219" s="150" t="s">
        <v>4429</v>
      </c>
      <c r="B4219" s="151">
        <v>1397</v>
      </c>
      <c r="C4219" s="126" t="s">
        <v>3011</v>
      </c>
      <c r="D4219">
        <v>2880</v>
      </c>
      <c r="E4219" s="126" t="s">
        <v>2018</v>
      </c>
      <c r="F4219" s="122" t="s">
        <v>1593</v>
      </c>
      <c r="G4219" s="122" t="s">
        <v>109</v>
      </c>
      <c r="H4219">
        <v>116</v>
      </c>
      <c r="I4219" s="122" t="s">
        <v>1546</v>
      </c>
      <c r="J4219" s="307" t="s">
        <v>214</v>
      </c>
      <c r="K4219" s="127" t="s">
        <v>4625</v>
      </c>
      <c r="L4219" s="151" t="s">
        <v>110</v>
      </c>
      <c r="M4219">
        <v>154</v>
      </c>
      <c r="N4219" s="123">
        <v>46</v>
      </c>
      <c r="O4219">
        <v>2749</v>
      </c>
      <c r="P4219" s="132" t="s">
        <v>77</v>
      </c>
      <c r="Q4219" s="131">
        <v>44000</v>
      </c>
      <c r="R4219" s="131">
        <v>7040</v>
      </c>
      <c r="S4219" s="131"/>
      <c r="T4219" s="155">
        <v>4693.34</v>
      </c>
      <c r="U4219" s="131">
        <v>550</v>
      </c>
      <c r="V4219" s="131">
        <v>45796.66</v>
      </c>
      <c r="W4219">
        <v>78</v>
      </c>
      <c r="X4219" s="151" t="s">
        <v>1430</v>
      </c>
      <c r="Y4219" s="135" t="s">
        <v>55</v>
      </c>
      <c r="Z4219" s="307">
        <v>257</v>
      </c>
      <c r="AB4219" t="str">
        <f>IF(Table1[[#This Row],[TIPO2]]="costo", VLOOKUP(Table1[[#This Row],[PARTIDA PRESUPUESTAL]],'Cost Report'!G:G,1,0),"Balance")</f>
        <v>5009-005</v>
      </c>
      <c r="AC4219" s="118"/>
      <c r="AD4219" s="159">
        <f>+Table1[[#This Row],[SUBTOTAL]]+Table1[[#This Row],[IVA]]-Table1[[#This Row],[RET IVA]]-Table1[[#This Row],[RET ISR]]-Table1[[#This Row],[TOTAL]]</f>
        <v>0</v>
      </c>
      <c r="AE4219" s="150"/>
      <c r="AF4219" s="151"/>
      <c r="AG4219" s="126"/>
      <c r="AK4219" s="306" t="str">
        <f>IF(ISNUMBER(Table1[[#This Row],[FECHA DE RECIBIDO]]), Table1[[#This Row],[FECHA DE RECIBIDO]]-DATE(2023,8,30), "")</f>
        <v/>
      </c>
    </row>
    <row r="4220" spans="1:37" ht="16.05" customHeight="1">
      <c r="A4220" s="152" t="s">
        <v>4430</v>
      </c>
      <c r="B4220" s="153">
        <v>1398</v>
      </c>
      <c r="C4220" s="126" t="s">
        <v>3012</v>
      </c>
      <c r="D4220">
        <v>2881</v>
      </c>
      <c r="E4220" s="126" t="s">
        <v>3220</v>
      </c>
      <c r="F4220" s="125" t="s">
        <v>1589</v>
      </c>
      <c r="G4220" s="125" t="s">
        <v>129</v>
      </c>
      <c r="H4220">
        <v>207</v>
      </c>
      <c r="I4220" s="125" t="s">
        <v>1546</v>
      </c>
      <c r="J4220" s="308" t="s">
        <v>214</v>
      </c>
      <c r="K4220" s="127" t="s">
        <v>4625</v>
      </c>
      <c r="L4220" s="153" t="s">
        <v>110</v>
      </c>
      <c r="M4220">
        <v>272</v>
      </c>
      <c r="N4220" s="123">
        <v>72</v>
      </c>
      <c r="O4220">
        <v>2750</v>
      </c>
      <c r="P4220" s="132" t="s">
        <v>77</v>
      </c>
      <c r="Q4220" s="132">
        <v>44000</v>
      </c>
      <c r="R4220" s="132">
        <v>7040</v>
      </c>
      <c r="S4220" s="132"/>
      <c r="T4220" s="156">
        <v>4693.3599999999997</v>
      </c>
      <c r="U4220" s="132">
        <v>4400</v>
      </c>
      <c r="V4220" s="132">
        <v>41946.64</v>
      </c>
      <c r="W4220">
        <v>128</v>
      </c>
      <c r="X4220" s="153" t="s">
        <v>1431</v>
      </c>
      <c r="Y4220" s="124" t="s">
        <v>55</v>
      </c>
      <c r="Z4220" s="308">
        <v>257</v>
      </c>
      <c r="AB4220" t="str">
        <f>IF(Table1[[#This Row],[TIPO2]]="costo", VLOOKUP(Table1[[#This Row],[PARTIDA PRESUPUESTAL]],'Cost Report'!G:G,1,0),"Balance")</f>
        <v>5010-005</v>
      </c>
      <c r="AC4220" s="118"/>
      <c r="AD4220" s="159">
        <f>+Table1[[#This Row],[SUBTOTAL]]+Table1[[#This Row],[IVA]]-Table1[[#This Row],[RET IVA]]-Table1[[#This Row],[RET ISR]]-Table1[[#This Row],[TOTAL]]</f>
        <v>0</v>
      </c>
      <c r="AE4220" s="152"/>
      <c r="AF4220" s="153"/>
      <c r="AG4220" s="126"/>
      <c r="AK4220" s="306" t="str">
        <f>IF(ISNUMBER(Table1[[#This Row],[FECHA DE RECIBIDO]]), Table1[[#This Row],[FECHA DE RECIBIDO]]-DATE(2023,8,30), "")</f>
        <v/>
      </c>
    </row>
    <row r="4221" spans="1:37" ht="16.05" customHeight="1">
      <c r="A4221" s="150" t="s">
        <v>4431</v>
      </c>
      <c r="B4221" s="151">
        <v>1399</v>
      </c>
      <c r="C4221" s="126" t="s">
        <v>2603</v>
      </c>
      <c r="D4221">
        <v>2882</v>
      </c>
      <c r="E4221" s="126" t="s">
        <v>2019</v>
      </c>
      <c r="F4221" s="122" t="s">
        <v>1602</v>
      </c>
      <c r="G4221" s="122" t="s">
        <v>1617</v>
      </c>
      <c r="H4221">
        <v>117</v>
      </c>
      <c r="I4221" s="122" t="s">
        <v>1546</v>
      </c>
      <c r="J4221" s="307" t="s">
        <v>214</v>
      </c>
      <c r="K4221" s="127" t="s">
        <v>4625</v>
      </c>
      <c r="L4221" s="151" t="s">
        <v>110</v>
      </c>
      <c r="M4221">
        <v>155</v>
      </c>
      <c r="N4221" s="123">
        <v>47</v>
      </c>
      <c r="O4221">
        <v>2751</v>
      </c>
      <c r="P4221" s="132" t="s">
        <v>77</v>
      </c>
      <c r="Q4221" s="131">
        <v>24600</v>
      </c>
      <c r="R4221" s="131">
        <v>3936</v>
      </c>
      <c r="S4221" s="131"/>
      <c r="T4221" s="155">
        <v>2624.01</v>
      </c>
      <c r="U4221" s="131">
        <v>0</v>
      </c>
      <c r="V4221" s="131">
        <v>25911.989999999998</v>
      </c>
      <c r="W4221">
        <v>79</v>
      </c>
      <c r="X4221" s="151" t="s">
        <v>1429</v>
      </c>
      <c r="Y4221" s="135" t="s">
        <v>55</v>
      </c>
      <c r="Z4221" s="307">
        <v>257</v>
      </c>
      <c r="AB4221" t="str">
        <f>IF(Table1[[#This Row],[TIPO2]]="costo", VLOOKUP(Table1[[#This Row],[PARTIDA PRESUPUESTAL]],'Cost Report'!G:G,1,0),"Balance")</f>
        <v>2801-010</v>
      </c>
      <c r="AC4221" s="118"/>
      <c r="AD4221" s="159">
        <f>+Table1[[#This Row],[SUBTOTAL]]+Table1[[#This Row],[IVA]]-Table1[[#This Row],[RET IVA]]-Table1[[#This Row],[RET ISR]]-Table1[[#This Row],[TOTAL]]</f>
        <v>0</v>
      </c>
      <c r="AE4221" s="150"/>
      <c r="AF4221" s="151"/>
      <c r="AG4221" s="126"/>
      <c r="AK4221" s="306" t="str">
        <f>IF(ISNUMBER(Table1[[#This Row],[FECHA DE RECIBIDO]]), Table1[[#This Row],[FECHA DE RECIBIDO]]-DATE(2023,8,30), "")</f>
        <v/>
      </c>
    </row>
    <row r="4222" spans="1:37" ht="16.05" customHeight="1">
      <c r="A4222" s="152" t="s">
        <v>4432</v>
      </c>
      <c r="B4222" s="153">
        <v>1400</v>
      </c>
      <c r="C4222" s="126" t="s">
        <v>695</v>
      </c>
      <c r="D4222">
        <v>2883</v>
      </c>
      <c r="E4222" s="126" t="s">
        <v>2020</v>
      </c>
      <c r="F4222" s="125" t="s">
        <v>1602</v>
      </c>
      <c r="G4222" s="125" t="s">
        <v>1617</v>
      </c>
      <c r="H4222">
        <v>118</v>
      </c>
      <c r="I4222" s="125" t="s">
        <v>1546</v>
      </c>
      <c r="J4222" s="308" t="s">
        <v>214</v>
      </c>
      <c r="K4222" s="127" t="s">
        <v>4625</v>
      </c>
      <c r="L4222" s="153" t="s">
        <v>110</v>
      </c>
      <c r="M4222">
        <v>156</v>
      </c>
      <c r="N4222" s="123">
        <v>48</v>
      </c>
      <c r="O4222">
        <v>2752</v>
      </c>
      <c r="P4222" s="132" t="s">
        <v>77</v>
      </c>
      <c r="Q4222" s="132">
        <v>24000</v>
      </c>
      <c r="R4222" s="132">
        <v>3840</v>
      </c>
      <c r="S4222" s="132"/>
      <c r="T4222" s="156">
        <v>2560</v>
      </c>
      <c r="U4222" s="132">
        <v>0</v>
      </c>
      <c r="V4222" s="132">
        <v>25280</v>
      </c>
      <c r="W4222">
        <v>80</v>
      </c>
      <c r="X4222" s="153" t="s">
        <v>1429</v>
      </c>
      <c r="Y4222" s="124" t="s">
        <v>55</v>
      </c>
      <c r="Z4222" s="308">
        <v>257</v>
      </c>
      <c r="AB4222" t="str">
        <f>IF(Table1[[#This Row],[TIPO2]]="costo", VLOOKUP(Table1[[#This Row],[PARTIDA PRESUPUESTAL]],'Cost Report'!G:G,1,0),"Balance")</f>
        <v>2804-004</v>
      </c>
      <c r="AC4222" s="118"/>
      <c r="AD4222" s="159">
        <f>+Table1[[#This Row],[SUBTOTAL]]+Table1[[#This Row],[IVA]]-Table1[[#This Row],[RET IVA]]-Table1[[#This Row],[RET ISR]]-Table1[[#This Row],[TOTAL]]</f>
        <v>0</v>
      </c>
      <c r="AE4222" s="152"/>
      <c r="AF4222" s="153"/>
      <c r="AG4222" s="126"/>
      <c r="AK4222" s="306" t="str">
        <f>IF(ISNUMBER(Table1[[#This Row],[FECHA DE RECIBIDO]]), Table1[[#This Row],[FECHA DE RECIBIDO]]-DATE(2023,8,30), "")</f>
        <v/>
      </c>
    </row>
    <row r="4223" spans="1:37" ht="16.05" customHeight="1">
      <c r="A4223" s="150" t="s">
        <v>4433</v>
      </c>
      <c r="B4223" s="151">
        <v>1401</v>
      </c>
      <c r="C4223" s="126" t="s">
        <v>691</v>
      </c>
      <c r="D4223">
        <v>2884</v>
      </c>
      <c r="E4223" s="126" t="s">
        <v>3225</v>
      </c>
      <c r="F4223" s="122" t="s">
        <v>1593</v>
      </c>
      <c r="G4223" s="122" t="s">
        <v>109</v>
      </c>
      <c r="H4223">
        <v>208</v>
      </c>
      <c r="I4223" s="122" t="s">
        <v>1546</v>
      </c>
      <c r="J4223" s="307" t="s">
        <v>214</v>
      </c>
      <c r="K4223" s="127" t="s">
        <v>4625</v>
      </c>
      <c r="L4223" s="151" t="s">
        <v>110</v>
      </c>
      <c r="M4223">
        <v>273</v>
      </c>
      <c r="N4223" s="123">
        <v>73</v>
      </c>
      <c r="O4223">
        <v>2753</v>
      </c>
      <c r="P4223" s="132" t="s">
        <v>77</v>
      </c>
      <c r="Q4223" s="131">
        <v>10100</v>
      </c>
      <c r="R4223" s="131">
        <v>1616</v>
      </c>
      <c r="S4223" s="131"/>
      <c r="T4223" s="155">
        <v>1077.3399999999999</v>
      </c>
      <c r="U4223" s="131">
        <v>126.25</v>
      </c>
      <c r="V4223" s="131">
        <v>10512.41</v>
      </c>
      <c r="W4223">
        <v>129</v>
      </c>
      <c r="X4223" s="151" t="s">
        <v>1430</v>
      </c>
      <c r="Y4223" s="135" t="s">
        <v>55</v>
      </c>
      <c r="Z4223" s="307">
        <v>257</v>
      </c>
      <c r="AB4223" t="str">
        <f>IF(Table1[[#This Row],[TIPO2]]="costo", VLOOKUP(Table1[[#This Row],[PARTIDA PRESUPUESTAL]],'Cost Report'!G:G,1,0),"Balance")</f>
        <v>2802-010</v>
      </c>
      <c r="AC4223" s="118"/>
      <c r="AD4223" s="159">
        <f>+Table1[[#This Row],[SUBTOTAL]]+Table1[[#This Row],[IVA]]-Table1[[#This Row],[RET IVA]]-Table1[[#This Row],[RET ISR]]-Table1[[#This Row],[TOTAL]]</f>
        <v>0</v>
      </c>
      <c r="AE4223" s="150"/>
      <c r="AF4223" s="151"/>
      <c r="AG4223" s="126"/>
      <c r="AK4223" s="306" t="str">
        <f>IF(ISNUMBER(Table1[[#This Row],[FECHA DE RECIBIDO]]), Table1[[#This Row],[FECHA DE RECIBIDO]]-DATE(2023,8,30), "")</f>
        <v/>
      </c>
    </row>
    <row r="4224" spans="1:37" ht="16.05" customHeight="1">
      <c r="A4224" s="152" t="s">
        <v>4434</v>
      </c>
      <c r="B4224" s="153">
        <v>1402</v>
      </c>
      <c r="C4224" s="126" t="s">
        <v>691</v>
      </c>
      <c r="D4224">
        <v>2885</v>
      </c>
      <c r="E4224" s="126" t="s">
        <v>3225</v>
      </c>
      <c r="F4224" s="125" t="s">
        <v>1593</v>
      </c>
      <c r="G4224" s="125" t="s">
        <v>109</v>
      </c>
      <c r="H4224">
        <v>208</v>
      </c>
      <c r="I4224" s="125" t="s">
        <v>1546</v>
      </c>
      <c r="J4224" s="308" t="s">
        <v>214</v>
      </c>
      <c r="K4224" s="127" t="s">
        <v>4625</v>
      </c>
      <c r="L4224" s="153" t="s">
        <v>110</v>
      </c>
      <c r="M4224">
        <v>273</v>
      </c>
      <c r="N4224" s="123">
        <v>73</v>
      </c>
      <c r="O4224">
        <v>2754</v>
      </c>
      <c r="P4224" s="132" t="s">
        <v>77</v>
      </c>
      <c r="Q4224" s="132">
        <v>10300</v>
      </c>
      <c r="R4224" s="132">
        <v>1648</v>
      </c>
      <c r="S4224" s="132"/>
      <c r="T4224" s="156">
        <v>1098.67</v>
      </c>
      <c r="U4224" s="132">
        <v>128.75</v>
      </c>
      <c r="V4224" s="132">
        <v>10720.58</v>
      </c>
      <c r="W4224">
        <v>129</v>
      </c>
      <c r="X4224" s="153" t="s">
        <v>1430</v>
      </c>
      <c r="Y4224" s="124" t="s">
        <v>55</v>
      </c>
      <c r="Z4224" s="308">
        <v>257</v>
      </c>
      <c r="AB4224" t="str">
        <f>IF(Table1[[#This Row],[TIPO2]]="costo", VLOOKUP(Table1[[#This Row],[PARTIDA PRESUPUESTAL]],'Cost Report'!G:G,1,0),"Balance")</f>
        <v>2802-010</v>
      </c>
      <c r="AC4224" s="118"/>
      <c r="AD4224" s="159">
        <f>+Table1[[#This Row],[SUBTOTAL]]+Table1[[#This Row],[IVA]]-Table1[[#This Row],[RET IVA]]-Table1[[#This Row],[RET ISR]]-Table1[[#This Row],[TOTAL]]</f>
        <v>0</v>
      </c>
      <c r="AE4224" s="152"/>
      <c r="AF4224" s="153"/>
      <c r="AG4224" s="126"/>
      <c r="AK4224" s="306" t="str">
        <f>IF(ISNUMBER(Table1[[#This Row],[FECHA DE RECIBIDO]]), Table1[[#This Row],[FECHA DE RECIBIDO]]-DATE(2023,8,30), "")</f>
        <v/>
      </c>
    </row>
    <row r="4225" spans="1:37" ht="16.05" customHeight="1">
      <c r="A4225" s="150" t="s">
        <v>4435</v>
      </c>
      <c r="B4225" s="151">
        <v>1403</v>
      </c>
      <c r="C4225" s="126" t="s">
        <v>691</v>
      </c>
      <c r="D4225">
        <v>2886</v>
      </c>
      <c r="E4225" s="126" t="s">
        <v>3225</v>
      </c>
      <c r="F4225" s="122" t="s">
        <v>1593</v>
      </c>
      <c r="G4225" s="122" t="s">
        <v>109</v>
      </c>
      <c r="H4225">
        <v>208</v>
      </c>
      <c r="I4225" s="122" t="s">
        <v>1546</v>
      </c>
      <c r="J4225" s="307" t="s">
        <v>214</v>
      </c>
      <c r="K4225" s="127" t="s">
        <v>4625</v>
      </c>
      <c r="L4225" s="151" t="s">
        <v>110</v>
      </c>
      <c r="M4225">
        <v>273</v>
      </c>
      <c r="N4225" s="123">
        <v>73</v>
      </c>
      <c r="O4225">
        <v>2755</v>
      </c>
      <c r="P4225" s="132" t="s">
        <v>77</v>
      </c>
      <c r="Q4225" s="131">
        <v>10300</v>
      </c>
      <c r="R4225" s="131">
        <v>1648</v>
      </c>
      <c r="S4225" s="131"/>
      <c r="T4225" s="155">
        <v>1098.67</v>
      </c>
      <c r="U4225" s="131">
        <v>128.75</v>
      </c>
      <c r="V4225" s="131">
        <v>10720.58</v>
      </c>
      <c r="W4225">
        <v>129</v>
      </c>
      <c r="X4225" s="151" t="s">
        <v>1430</v>
      </c>
      <c r="Y4225" s="135" t="s">
        <v>55</v>
      </c>
      <c r="Z4225" s="307">
        <v>257</v>
      </c>
      <c r="AB4225" t="str">
        <f>IF(Table1[[#This Row],[TIPO2]]="costo", VLOOKUP(Table1[[#This Row],[PARTIDA PRESUPUESTAL]],'Cost Report'!G:G,1,0),"Balance")</f>
        <v>2802-010</v>
      </c>
      <c r="AC4225" s="118"/>
      <c r="AD4225" s="159">
        <f>+Table1[[#This Row],[SUBTOTAL]]+Table1[[#This Row],[IVA]]-Table1[[#This Row],[RET IVA]]-Table1[[#This Row],[RET ISR]]-Table1[[#This Row],[TOTAL]]</f>
        <v>0</v>
      </c>
      <c r="AE4225" s="150"/>
      <c r="AF4225" s="151"/>
      <c r="AG4225" s="126"/>
      <c r="AK4225" s="306" t="str">
        <f>IF(ISNUMBER(Table1[[#This Row],[FECHA DE RECIBIDO]]), Table1[[#This Row],[FECHA DE RECIBIDO]]-DATE(2023,8,30), "")</f>
        <v/>
      </c>
    </row>
    <row r="4226" spans="1:37" ht="16.05" customHeight="1">
      <c r="A4226" s="152" t="s">
        <v>4436</v>
      </c>
      <c r="B4226" s="153">
        <v>1404</v>
      </c>
      <c r="C4226" s="126" t="s">
        <v>691</v>
      </c>
      <c r="D4226">
        <v>2887</v>
      </c>
      <c r="E4226" s="126" t="s">
        <v>3225</v>
      </c>
      <c r="F4226" s="125" t="s">
        <v>1593</v>
      </c>
      <c r="G4226" s="125" t="s">
        <v>109</v>
      </c>
      <c r="H4226">
        <v>208</v>
      </c>
      <c r="I4226" s="125" t="s">
        <v>1546</v>
      </c>
      <c r="J4226" s="308" t="s">
        <v>214</v>
      </c>
      <c r="K4226" s="127" t="s">
        <v>4625</v>
      </c>
      <c r="L4226" s="153" t="s">
        <v>110</v>
      </c>
      <c r="M4226">
        <v>273</v>
      </c>
      <c r="N4226" s="123">
        <v>73</v>
      </c>
      <c r="O4226">
        <v>2756</v>
      </c>
      <c r="P4226" s="132" t="s">
        <v>77</v>
      </c>
      <c r="Q4226" s="132">
        <v>10300</v>
      </c>
      <c r="R4226" s="132">
        <v>1648</v>
      </c>
      <c r="S4226" s="132"/>
      <c r="T4226" s="156">
        <v>1098.67</v>
      </c>
      <c r="U4226" s="132">
        <v>128.75</v>
      </c>
      <c r="V4226" s="132">
        <v>10720.58</v>
      </c>
      <c r="W4226">
        <v>129</v>
      </c>
      <c r="X4226" s="153" t="s">
        <v>1430</v>
      </c>
      <c r="Y4226" s="124" t="s">
        <v>55</v>
      </c>
      <c r="Z4226" s="308">
        <v>257</v>
      </c>
      <c r="AB4226" t="str">
        <f>IF(Table1[[#This Row],[TIPO2]]="costo", VLOOKUP(Table1[[#This Row],[PARTIDA PRESUPUESTAL]],'Cost Report'!G:G,1,0),"Balance")</f>
        <v>2802-010</v>
      </c>
      <c r="AC4226" s="118"/>
      <c r="AD4226" s="159">
        <f>+Table1[[#This Row],[SUBTOTAL]]+Table1[[#This Row],[IVA]]-Table1[[#This Row],[RET IVA]]-Table1[[#This Row],[RET ISR]]-Table1[[#This Row],[TOTAL]]</f>
        <v>0</v>
      </c>
      <c r="AE4226" s="152"/>
      <c r="AF4226" s="153"/>
      <c r="AG4226" s="126"/>
      <c r="AK4226" s="306" t="str">
        <f>IF(ISNUMBER(Table1[[#This Row],[FECHA DE RECIBIDO]]), Table1[[#This Row],[FECHA DE RECIBIDO]]-DATE(2023,8,30), "")</f>
        <v/>
      </c>
    </row>
    <row r="4227" spans="1:37" ht="16.05" customHeight="1">
      <c r="A4227" s="150" t="s">
        <v>4437</v>
      </c>
      <c r="B4227" s="151">
        <v>1405</v>
      </c>
      <c r="C4227" s="126" t="s">
        <v>2613</v>
      </c>
      <c r="D4227">
        <v>2888</v>
      </c>
      <c r="E4227" s="126" t="s">
        <v>3277</v>
      </c>
      <c r="F4227" s="122" t="s">
        <v>1593</v>
      </c>
      <c r="G4227" s="122" t="s">
        <v>109</v>
      </c>
      <c r="H4227">
        <v>519</v>
      </c>
      <c r="I4227" s="122" t="s">
        <v>1546</v>
      </c>
      <c r="J4227" s="307" t="s">
        <v>214</v>
      </c>
      <c r="K4227" s="127" t="s">
        <v>4625</v>
      </c>
      <c r="L4227" s="151" t="s">
        <v>110</v>
      </c>
      <c r="M4227">
        <v>743</v>
      </c>
      <c r="N4227" s="123">
        <v>149</v>
      </c>
      <c r="O4227">
        <v>2757</v>
      </c>
      <c r="P4227" s="132" t="s">
        <v>77</v>
      </c>
      <c r="Q4227" s="131">
        <v>8000</v>
      </c>
      <c r="R4227" s="131">
        <v>1280</v>
      </c>
      <c r="S4227" s="131"/>
      <c r="T4227" s="155">
        <v>853.34</v>
      </c>
      <c r="U4227" s="131">
        <v>100</v>
      </c>
      <c r="V4227" s="131">
        <v>8326.66</v>
      </c>
      <c r="W4227">
        <v>291</v>
      </c>
      <c r="X4227" s="151" t="s">
        <v>1429</v>
      </c>
      <c r="Y4227" s="135" t="s">
        <v>55</v>
      </c>
      <c r="Z4227" s="307">
        <v>257</v>
      </c>
      <c r="AB4227" t="str">
        <f>IF(Table1[[#This Row],[TIPO2]]="costo", VLOOKUP(Table1[[#This Row],[PARTIDA PRESUPUESTAL]],'Cost Report'!G:G,1,0),"Balance")</f>
        <v>2805-015</v>
      </c>
      <c r="AC4227" s="118"/>
      <c r="AD4227" s="159">
        <f>+Table1[[#This Row],[SUBTOTAL]]+Table1[[#This Row],[IVA]]-Table1[[#This Row],[RET IVA]]-Table1[[#This Row],[RET ISR]]-Table1[[#This Row],[TOTAL]]</f>
        <v>0</v>
      </c>
      <c r="AE4227" s="150"/>
      <c r="AF4227" s="151"/>
      <c r="AG4227" s="126"/>
      <c r="AK4227" s="306" t="str">
        <f>IF(ISNUMBER(Table1[[#This Row],[FECHA DE RECIBIDO]]), Table1[[#This Row],[FECHA DE RECIBIDO]]-DATE(2023,8,30), "")</f>
        <v/>
      </c>
    </row>
    <row r="4228" spans="1:37" ht="16.05" customHeight="1">
      <c r="A4228" s="152" t="s">
        <v>4438</v>
      </c>
      <c r="B4228" s="153">
        <v>1406</v>
      </c>
      <c r="C4228" s="126" t="s">
        <v>703</v>
      </c>
      <c r="D4228">
        <v>2889</v>
      </c>
      <c r="E4228" s="126" t="s">
        <v>3984</v>
      </c>
      <c r="F4228" s="125" t="s">
        <v>1589</v>
      </c>
      <c r="G4228" s="125" t="s">
        <v>129</v>
      </c>
      <c r="H4228">
        <v>520</v>
      </c>
      <c r="I4228" s="125" t="s">
        <v>1546</v>
      </c>
      <c r="J4228" s="308" t="s">
        <v>214</v>
      </c>
      <c r="K4228" s="127" t="s">
        <v>4625</v>
      </c>
      <c r="L4228" s="153" t="s">
        <v>110</v>
      </c>
      <c r="M4228">
        <v>744</v>
      </c>
      <c r="N4228" s="123">
        <v>150</v>
      </c>
      <c r="O4228">
        <v>2758</v>
      </c>
      <c r="P4228" s="132" t="s">
        <v>77</v>
      </c>
      <c r="Q4228" s="132">
        <v>8000</v>
      </c>
      <c r="R4228" s="132">
        <v>1280</v>
      </c>
      <c r="S4228" s="132"/>
      <c r="T4228" s="156">
        <v>853.34</v>
      </c>
      <c r="U4228" s="132">
        <v>800</v>
      </c>
      <c r="V4228" s="132">
        <v>7626.66</v>
      </c>
      <c r="W4228">
        <v>292</v>
      </c>
      <c r="X4228" s="153" t="s">
        <v>1430</v>
      </c>
      <c r="Y4228" s="124" t="s">
        <v>55</v>
      </c>
      <c r="Z4228" s="308">
        <v>257</v>
      </c>
      <c r="AB4228" t="str">
        <f>IF(Table1[[#This Row],[TIPO2]]="costo", VLOOKUP(Table1[[#This Row],[PARTIDA PRESUPUESTAL]],'Cost Report'!G:G,1,0),"Balance")</f>
        <v>2805-010</v>
      </c>
      <c r="AC4228" s="118"/>
      <c r="AD4228" s="159">
        <f>+Table1[[#This Row],[SUBTOTAL]]+Table1[[#This Row],[IVA]]-Table1[[#This Row],[RET IVA]]-Table1[[#This Row],[RET ISR]]-Table1[[#This Row],[TOTAL]]</f>
        <v>0</v>
      </c>
      <c r="AE4228" s="152"/>
      <c r="AF4228" s="153"/>
      <c r="AG4228" s="126"/>
      <c r="AK4228" s="306" t="str">
        <f>IF(ISNUMBER(Table1[[#This Row],[FECHA DE RECIBIDO]]), Table1[[#This Row],[FECHA DE RECIBIDO]]-DATE(2023,8,30), "")</f>
        <v/>
      </c>
    </row>
    <row r="4229" spans="1:37" ht="16.05" customHeight="1">
      <c r="A4229" s="150" t="s">
        <v>4439</v>
      </c>
      <c r="B4229" s="151">
        <v>1407</v>
      </c>
      <c r="C4229" s="126" t="s">
        <v>1859</v>
      </c>
      <c r="D4229">
        <v>2890</v>
      </c>
      <c r="E4229" s="126" t="s">
        <v>3227</v>
      </c>
      <c r="F4229" s="122" t="s">
        <v>1589</v>
      </c>
      <c r="G4229" s="122" t="s">
        <v>129</v>
      </c>
      <c r="H4229">
        <v>209</v>
      </c>
      <c r="I4229" s="122" t="s">
        <v>1546</v>
      </c>
      <c r="J4229" s="307" t="s">
        <v>214</v>
      </c>
      <c r="K4229" s="127" t="s">
        <v>4625</v>
      </c>
      <c r="L4229" s="151" t="s">
        <v>110</v>
      </c>
      <c r="M4229">
        <v>274</v>
      </c>
      <c r="N4229" s="123">
        <v>74</v>
      </c>
      <c r="O4229">
        <v>2759</v>
      </c>
      <c r="P4229" s="132" t="s">
        <v>77</v>
      </c>
      <c r="Q4229" s="131">
        <v>24000</v>
      </c>
      <c r="R4229" s="131">
        <v>0</v>
      </c>
      <c r="S4229" s="131"/>
      <c r="T4229" s="155">
        <v>0</v>
      </c>
      <c r="U4229" s="131">
        <v>2400</v>
      </c>
      <c r="V4229" s="131">
        <v>21600</v>
      </c>
      <c r="W4229">
        <v>130</v>
      </c>
      <c r="X4229" s="151" t="s">
        <v>1434</v>
      </c>
      <c r="Y4229" s="135" t="s">
        <v>55</v>
      </c>
      <c r="Z4229" s="307">
        <v>257</v>
      </c>
      <c r="AB4229" t="str">
        <f>IF(Table1[[#This Row],[TIPO2]]="costo", VLOOKUP(Table1[[#This Row],[PARTIDA PRESUPUESTAL]],'Cost Report'!G:G,1,0),"Balance")</f>
        <v>3416-004</v>
      </c>
      <c r="AC4229" s="118"/>
      <c r="AD4229" s="159">
        <f>+Table1[[#This Row],[SUBTOTAL]]+Table1[[#This Row],[IVA]]-Table1[[#This Row],[RET IVA]]-Table1[[#This Row],[RET ISR]]-Table1[[#This Row],[TOTAL]]</f>
        <v>0</v>
      </c>
      <c r="AE4229" s="150"/>
      <c r="AF4229" s="151"/>
      <c r="AG4229" s="126"/>
      <c r="AK4229" s="306" t="str">
        <f>IF(ISNUMBER(Table1[[#This Row],[FECHA DE RECIBIDO]]), Table1[[#This Row],[FECHA DE RECIBIDO]]-DATE(2023,8,30), "")</f>
        <v/>
      </c>
    </row>
    <row r="4230" spans="1:37" ht="16.05" customHeight="1">
      <c r="A4230" s="152" t="s">
        <v>4440</v>
      </c>
      <c r="B4230" s="153">
        <v>1408</v>
      </c>
      <c r="C4230" s="126" t="s">
        <v>1863</v>
      </c>
      <c r="D4230">
        <v>2891</v>
      </c>
      <c r="E4230" s="126" t="s">
        <v>1995</v>
      </c>
      <c r="F4230" s="125" t="s">
        <v>1589</v>
      </c>
      <c r="G4230" s="125" t="s">
        <v>129</v>
      </c>
      <c r="H4230">
        <v>770</v>
      </c>
      <c r="I4230" s="125" t="s">
        <v>1546</v>
      </c>
      <c r="J4230" s="308" t="s">
        <v>214</v>
      </c>
      <c r="K4230" s="127" t="s">
        <v>4625</v>
      </c>
      <c r="L4230" s="153" t="s">
        <v>110</v>
      </c>
      <c r="M4230">
        <v>1073</v>
      </c>
      <c r="N4230" s="123">
        <v>182</v>
      </c>
      <c r="O4230">
        <v>2760</v>
      </c>
      <c r="P4230" s="132" t="s">
        <v>77</v>
      </c>
      <c r="Q4230" s="132">
        <v>12000</v>
      </c>
      <c r="R4230" s="132">
        <v>0</v>
      </c>
      <c r="S4230" s="132"/>
      <c r="T4230" s="156">
        <v>0</v>
      </c>
      <c r="U4230" s="132">
        <v>1200</v>
      </c>
      <c r="V4230" s="132">
        <v>10800</v>
      </c>
      <c r="W4230">
        <v>369</v>
      </c>
      <c r="X4230" s="153" t="s">
        <v>2024</v>
      </c>
      <c r="Y4230" s="124" t="s">
        <v>55</v>
      </c>
      <c r="Z4230" s="308">
        <v>257</v>
      </c>
      <c r="AB4230" t="str">
        <f>IF(Table1[[#This Row],[TIPO2]]="costo", VLOOKUP(Table1[[#This Row],[PARTIDA PRESUPUESTAL]],'Cost Report'!G:G,1,0),"Balance")</f>
        <v>3416-010</v>
      </c>
      <c r="AC4230" s="118"/>
      <c r="AD4230" s="159">
        <f>+Table1[[#This Row],[SUBTOTAL]]+Table1[[#This Row],[IVA]]-Table1[[#This Row],[RET IVA]]-Table1[[#This Row],[RET ISR]]-Table1[[#This Row],[TOTAL]]</f>
        <v>0</v>
      </c>
      <c r="AE4230" s="152"/>
      <c r="AF4230" s="153"/>
      <c r="AG4230" s="126"/>
      <c r="AK4230" s="306" t="str">
        <f>IF(ISNUMBER(Table1[[#This Row],[FECHA DE RECIBIDO]]), Table1[[#This Row],[FECHA DE RECIBIDO]]-DATE(2023,8,30), "")</f>
        <v/>
      </c>
    </row>
    <row r="4231" spans="1:37" ht="16.05" customHeight="1">
      <c r="A4231" s="150" t="s">
        <v>4441</v>
      </c>
      <c r="B4231" s="151">
        <v>1409</v>
      </c>
      <c r="C4231" s="126" t="s">
        <v>1863</v>
      </c>
      <c r="D4231">
        <v>2892</v>
      </c>
      <c r="E4231" s="126" t="s">
        <v>1995</v>
      </c>
      <c r="F4231" s="122" t="s">
        <v>1589</v>
      </c>
      <c r="G4231" s="122" t="s">
        <v>129</v>
      </c>
      <c r="H4231">
        <v>770</v>
      </c>
      <c r="I4231" s="122" t="s">
        <v>1546</v>
      </c>
      <c r="J4231" s="307" t="s">
        <v>214</v>
      </c>
      <c r="K4231" s="127" t="s">
        <v>4625</v>
      </c>
      <c r="L4231" s="151" t="s">
        <v>110</v>
      </c>
      <c r="M4231">
        <v>1073</v>
      </c>
      <c r="N4231" s="123">
        <v>182</v>
      </c>
      <c r="O4231">
        <v>2761</v>
      </c>
      <c r="P4231" s="132" t="s">
        <v>77</v>
      </c>
      <c r="Q4231" s="131">
        <v>12000</v>
      </c>
      <c r="R4231" s="131">
        <v>0</v>
      </c>
      <c r="S4231" s="131"/>
      <c r="T4231" s="155">
        <v>0</v>
      </c>
      <c r="U4231" s="131">
        <v>1200</v>
      </c>
      <c r="V4231" s="131">
        <v>10800</v>
      </c>
      <c r="W4231">
        <v>369</v>
      </c>
      <c r="X4231" s="151" t="s">
        <v>2024</v>
      </c>
      <c r="Y4231" s="135" t="s">
        <v>55</v>
      </c>
      <c r="Z4231" s="307">
        <v>257</v>
      </c>
      <c r="AB4231" t="str">
        <f>IF(Table1[[#This Row],[TIPO2]]="costo", VLOOKUP(Table1[[#This Row],[PARTIDA PRESUPUESTAL]],'Cost Report'!G:G,1,0),"Balance")</f>
        <v>3416-010</v>
      </c>
      <c r="AC4231" s="118"/>
      <c r="AD4231" s="159">
        <f>+Table1[[#This Row],[SUBTOTAL]]+Table1[[#This Row],[IVA]]-Table1[[#This Row],[RET IVA]]-Table1[[#This Row],[RET ISR]]-Table1[[#This Row],[TOTAL]]</f>
        <v>0</v>
      </c>
      <c r="AE4231" s="150"/>
      <c r="AF4231" s="151"/>
      <c r="AG4231" s="126"/>
      <c r="AK4231" s="306" t="str">
        <f>IF(ISNUMBER(Table1[[#This Row],[FECHA DE RECIBIDO]]), Table1[[#This Row],[FECHA DE RECIBIDO]]-DATE(2023,8,30), "")</f>
        <v/>
      </c>
    </row>
    <row r="4232" spans="1:37" ht="16.05" customHeight="1">
      <c r="A4232" s="152" t="s">
        <v>4442</v>
      </c>
      <c r="B4232" s="153">
        <v>1410</v>
      </c>
      <c r="C4232" s="126" t="s">
        <v>793</v>
      </c>
      <c r="D4232">
        <v>2893</v>
      </c>
      <c r="E4232" s="126" t="s">
        <v>2017</v>
      </c>
      <c r="F4232" s="125" t="s">
        <v>1593</v>
      </c>
      <c r="G4232" s="125" t="s">
        <v>109</v>
      </c>
      <c r="H4232">
        <v>115</v>
      </c>
      <c r="I4232" s="125" t="s">
        <v>1546</v>
      </c>
      <c r="J4232" s="308" t="s">
        <v>214</v>
      </c>
      <c r="K4232" s="127" t="s">
        <v>4625</v>
      </c>
      <c r="L4232" s="153" t="s">
        <v>110</v>
      </c>
      <c r="M4232">
        <v>153</v>
      </c>
      <c r="N4232" s="123">
        <v>45</v>
      </c>
      <c r="O4232">
        <v>2762</v>
      </c>
      <c r="P4232" s="132" t="s">
        <v>77</v>
      </c>
      <c r="Q4232" s="132">
        <v>84000</v>
      </c>
      <c r="R4232" s="132">
        <v>13440</v>
      </c>
      <c r="S4232" s="132"/>
      <c r="T4232" s="156">
        <v>8960.02</v>
      </c>
      <c r="U4232" s="132">
        <v>1050</v>
      </c>
      <c r="V4232" s="132">
        <v>87429.98</v>
      </c>
      <c r="W4232">
        <v>77</v>
      </c>
      <c r="X4232" s="153" t="s">
        <v>1431</v>
      </c>
      <c r="Y4232" s="124" t="s">
        <v>55</v>
      </c>
      <c r="Z4232" s="308">
        <v>257</v>
      </c>
      <c r="AB4232" t="str">
        <f>IF(Table1[[#This Row],[TIPO2]]="costo", VLOOKUP(Table1[[#This Row],[PARTIDA PRESUPUESTAL]],'Cost Report'!G:G,1,0),"Balance")</f>
        <v>3101-004</v>
      </c>
      <c r="AC4232" s="118"/>
      <c r="AD4232" s="159">
        <f>+Table1[[#This Row],[SUBTOTAL]]+Table1[[#This Row],[IVA]]-Table1[[#This Row],[RET IVA]]-Table1[[#This Row],[RET ISR]]-Table1[[#This Row],[TOTAL]]</f>
        <v>0</v>
      </c>
      <c r="AE4232" s="152"/>
      <c r="AF4232" s="153"/>
      <c r="AG4232" s="126"/>
      <c r="AK4232" s="306" t="str">
        <f>IF(ISNUMBER(Table1[[#This Row],[FECHA DE RECIBIDO]]), Table1[[#This Row],[FECHA DE RECIBIDO]]-DATE(2023,8,30), "")</f>
        <v/>
      </c>
    </row>
    <row r="4233" spans="1:37" ht="16.05" customHeight="1">
      <c r="A4233" s="150" t="s">
        <v>4443</v>
      </c>
      <c r="B4233" s="151">
        <v>1411</v>
      </c>
      <c r="C4233" s="126" t="s">
        <v>794</v>
      </c>
      <c r="D4233">
        <v>2894</v>
      </c>
      <c r="E4233" s="126" t="s">
        <v>2017</v>
      </c>
      <c r="F4233" s="122" t="s">
        <v>1593</v>
      </c>
      <c r="G4233" s="122" t="s">
        <v>109</v>
      </c>
      <c r="H4233">
        <v>115</v>
      </c>
      <c r="I4233" s="122" t="s">
        <v>1546</v>
      </c>
      <c r="J4233" s="307" t="s">
        <v>214</v>
      </c>
      <c r="K4233" s="127" t="s">
        <v>4625</v>
      </c>
      <c r="L4233" s="151" t="s">
        <v>110</v>
      </c>
      <c r="M4233">
        <v>153</v>
      </c>
      <c r="N4233" s="123">
        <v>45</v>
      </c>
      <c r="O4233">
        <v>2763</v>
      </c>
      <c r="P4233" s="132" t="s">
        <v>77</v>
      </c>
      <c r="Q4233" s="131">
        <v>105000</v>
      </c>
      <c r="R4233" s="131">
        <v>16800</v>
      </c>
      <c r="S4233" s="131"/>
      <c r="T4233" s="155">
        <v>11200.04</v>
      </c>
      <c r="U4233" s="131">
        <v>1312.5</v>
      </c>
      <c r="V4233" s="131">
        <v>109287.45999999999</v>
      </c>
      <c r="W4233">
        <v>77</v>
      </c>
      <c r="X4233" s="151" t="s">
        <v>1431</v>
      </c>
      <c r="Y4233" s="135" t="s">
        <v>55</v>
      </c>
      <c r="Z4233" s="307">
        <v>257</v>
      </c>
      <c r="AB4233" t="str">
        <f>IF(Table1[[#This Row],[TIPO2]]="costo", VLOOKUP(Table1[[#This Row],[PARTIDA PRESUPUESTAL]],'Cost Report'!G:G,1,0),"Balance")</f>
        <v>3101-005</v>
      </c>
      <c r="AC4233" s="118"/>
      <c r="AD4233" s="159">
        <f>+Table1[[#This Row],[SUBTOTAL]]+Table1[[#This Row],[IVA]]-Table1[[#This Row],[RET IVA]]-Table1[[#This Row],[RET ISR]]-Table1[[#This Row],[TOTAL]]</f>
        <v>0</v>
      </c>
      <c r="AE4233" s="150"/>
      <c r="AF4233" s="151"/>
      <c r="AG4233" s="126"/>
      <c r="AK4233" s="306" t="str">
        <f>IF(ISNUMBER(Table1[[#This Row],[FECHA DE RECIBIDO]]), Table1[[#This Row],[FECHA DE RECIBIDO]]-DATE(2023,8,30), "")</f>
        <v/>
      </c>
    </row>
    <row r="4234" spans="1:37" ht="16.05" customHeight="1">
      <c r="A4234" s="152" t="s">
        <v>4444</v>
      </c>
      <c r="B4234" s="153">
        <v>1412</v>
      </c>
      <c r="C4234" s="126" t="s">
        <v>809</v>
      </c>
      <c r="D4234">
        <v>2895</v>
      </c>
      <c r="E4234" s="126" t="s">
        <v>3273</v>
      </c>
      <c r="F4234" s="125" t="s">
        <v>1589</v>
      </c>
      <c r="G4234" s="125" t="s">
        <v>129</v>
      </c>
      <c r="H4234">
        <v>350</v>
      </c>
      <c r="I4234" s="125" t="s">
        <v>1546</v>
      </c>
      <c r="J4234" s="308" t="s">
        <v>214</v>
      </c>
      <c r="K4234" s="127" t="s">
        <v>4625</v>
      </c>
      <c r="L4234" s="153" t="s">
        <v>110</v>
      </c>
      <c r="M4234">
        <v>467</v>
      </c>
      <c r="N4234" s="123">
        <v>92</v>
      </c>
      <c r="O4234">
        <v>2764</v>
      </c>
      <c r="P4234" s="132" t="s">
        <v>77</v>
      </c>
      <c r="Q4234" s="132">
        <v>43000</v>
      </c>
      <c r="R4234" s="132">
        <v>6880</v>
      </c>
      <c r="S4234" s="132"/>
      <c r="T4234" s="156">
        <v>4586.68</v>
      </c>
      <c r="U4234" s="132">
        <v>4300</v>
      </c>
      <c r="V4234" s="132">
        <v>40993.32</v>
      </c>
      <c r="W4234">
        <v>187</v>
      </c>
      <c r="X4234" s="153" t="s">
        <v>1429</v>
      </c>
      <c r="Y4234" s="124" t="s">
        <v>55</v>
      </c>
      <c r="Z4234" s="308">
        <v>257</v>
      </c>
      <c r="AB4234" t="str">
        <f>IF(Table1[[#This Row],[TIPO2]]="costo", VLOOKUP(Table1[[#This Row],[PARTIDA PRESUPUESTAL]],'Cost Report'!G:G,1,0),"Balance")</f>
        <v>3104-004</v>
      </c>
      <c r="AC4234" s="118"/>
      <c r="AD4234" s="159">
        <f>+Table1[[#This Row],[SUBTOTAL]]+Table1[[#This Row],[IVA]]-Table1[[#This Row],[RET IVA]]-Table1[[#This Row],[RET ISR]]-Table1[[#This Row],[TOTAL]]</f>
        <v>0</v>
      </c>
      <c r="AE4234" s="152"/>
      <c r="AF4234" s="153"/>
      <c r="AG4234" s="126"/>
      <c r="AK4234" s="306" t="str">
        <f>IF(ISNUMBER(Table1[[#This Row],[FECHA DE RECIBIDO]]), Table1[[#This Row],[FECHA DE RECIBIDO]]-DATE(2023,8,30), "")</f>
        <v/>
      </c>
    </row>
    <row r="4235" spans="1:37" ht="16.05" customHeight="1">
      <c r="A4235" s="150" t="s">
        <v>4445</v>
      </c>
      <c r="B4235" s="151">
        <v>1413</v>
      </c>
      <c r="C4235" s="126" t="s">
        <v>803</v>
      </c>
      <c r="D4235">
        <v>2896</v>
      </c>
      <c r="E4235" s="126" t="s">
        <v>3643</v>
      </c>
      <c r="F4235" s="122" t="s">
        <v>1589</v>
      </c>
      <c r="G4235" s="122" t="s">
        <v>129</v>
      </c>
      <c r="H4235">
        <v>351</v>
      </c>
      <c r="I4235" s="122" t="s">
        <v>1546</v>
      </c>
      <c r="J4235" s="307" t="s">
        <v>214</v>
      </c>
      <c r="K4235" s="127" t="s">
        <v>4625</v>
      </c>
      <c r="L4235" s="151" t="s">
        <v>110</v>
      </c>
      <c r="M4235">
        <v>468</v>
      </c>
      <c r="N4235" s="123">
        <v>93</v>
      </c>
      <c r="O4235">
        <v>2765</v>
      </c>
      <c r="P4235" s="132" t="s">
        <v>77</v>
      </c>
      <c r="Q4235" s="131">
        <v>52500</v>
      </c>
      <c r="R4235" s="131">
        <v>8400</v>
      </c>
      <c r="S4235" s="131"/>
      <c r="T4235" s="155">
        <v>5600.02</v>
      </c>
      <c r="U4235" s="131">
        <v>5250</v>
      </c>
      <c r="V4235" s="131">
        <v>50049.979999999996</v>
      </c>
      <c r="W4235">
        <v>188</v>
      </c>
      <c r="X4235" s="151" t="s">
        <v>1429</v>
      </c>
      <c r="Y4235" s="135" t="s">
        <v>55</v>
      </c>
      <c r="Z4235" s="307">
        <v>257</v>
      </c>
      <c r="AB4235" t="str">
        <f>IF(Table1[[#This Row],[TIPO2]]="costo", VLOOKUP(Table1[[#This Row],[PARTIDA PRESUPUESTAL]],'Cost Report'!G:G,1,0),"Balance")</f>
        <v>3102-010</v>
      </c>
      <c r="AC4235" s="118"/>
      <c r="AD4235" s="159">
        <f>+Table1[[#This Row],[SUBTOTAL]]+Table1[[#This Row],[IVA]]-Table1[[#This Row],[RET IVA]]-Table1[[#This Row],[RET ISR]]-Table1[[#This Row],[TOTAL]]</f>
        <v>0</v>
      </c>
      <c r="AE4235" s="150"/>
      <c r="AF4235" s="151"/>
      <c r="AG4235" s="126"/>
      <c r="AK4235" s="306" t="str">
        <f>IF(ISNUMBER(Table1[[#This Row],[FECHA DE RECIBIDO]]), Table1[[#This Row],[FECHA DE RECIBIDO]]-DATE(2023,8,30), "")</f>
        <v/>
      </c>
    </row>
    <row r="4236" spans="1:37" ht="16.05" customHeight="1">
      <c r="A4236" s="152" t="s">
        <v>4446</v>
      </c>
      <c r="B4236" s="153">
        <v>1414</v>
      </c>
      <c r="C4236" s="126" t="s">
        <v>817</v>
      </c>
      <c r="D4236">
        <v>2897</v>
      </c>
      <c r="E4236" s="126" t="s">
        <v>2005</v>
      </c>
      <c r="F4236" s="125" t="s">
        <v>1589</v>
      </c>
      <c r="G4236" s="125" t="s">
        <v>129</v>
      </c>
      <c r="H4236">
        <v>353</v>
      </c>
      <c r="I4236" s="125" t="s">
        <v>1546</v>
      </c>
      <c r="J4236" s="308" t="s">
        <v>214</v>
      </c>
      <c r="K4236" s="127" t="s">
        <v>4625</v>
      </c>
      <c r="L4236" s="153" t="s">
        <v>110</v>
      </c>
      <c r="M4236">
        <v>470</v>
      </c>
      <c r="N4236" s="123">
        <v>95</v>
      </c>
      <c r="O4236">
        <v>2766</v>
      </c>
      <c r="P4236" s="132" t="s">
        <v>77</v>
      </c>
      <c r="Q4236" s="132">
        <v>40000</v>
      </c>
      <c r="R4236" s="132">
        <v>6400</v>
      </c>
      <c r="S4236" s="132"/>
      <c r="T4236" s="156">
        <v>4266.68</v>
      </c>
      <c r="U4236" s="132">
        <v>4000</v>
      </c>
      <c r="V4236" s="132">
        <v>38133.32</v>
      </c>
      <c r="W4236">
        <v>190</v>
      </c>
      <c r="X4236" s="153" t="s">
        <v>1429</v>
      </c>
      <c r="Y4236" s="124" t="s">
        <v>55</v>
      </c>
      <c r="Z4236" s="308">
        <v>257</v>
      </c>
      <c r="AB4236" t="str">
        <f>IF(Table1[[#This Row],[TIPO2]]="costo", VLOOKUP(Table1[[#This Row],[PARTIDA PRESUPUESTAL]],'Cost Report'!G:G,1,0),"Balance")</f>
        <v>3109-004</v>
      </c>
      <c r="AC4236" s="118"/>
      <c r="AD4236" s="159">
        <f>+Table1[[#This Row],[SUBTOTAL]]+Table1[[#This Row],[IVA]]-Table1[[#This Row],[RET IVA]]-Table1[[#This Row],[RET ISR]]-Table1[[#This Row],[TOTAL]]</f>
        <v>0</v>
      </c>
      <c r="AE4236" s="152"/>
      <c r="AF4236" s="153"/>
      <c r="AG4236" s="126"/>
      <c r="AK4236" s="306" t="str">
        <f>IF(ISNUMBER(Table1[[#This Row],[FECHA DE RECIBIDO]]), Table1[[#This Row],[FECHA DE RECIBIDO]]-DATE(2023,8,30), "")</f>
        <v/>
      </c>
    </row>
    <row r="4237" spans="1:37" ht="16.05" customHeight="1">
      <c r="A4237" s="150" t="s">
        <v>4447</v>
      </c>
      <c r="B4237" s="151">
        <v>1415</v>
      </c>
      <c r="C4237" s="126" t="s">
        <v>1827</v>
      </c>
      <c r="D4237">
        <v>2898</v>
      </c>
      <c r="E4237" s="126" t="s">
        <v>3646</v>
      </c>
      <c r="F4237" s="122" t="s">
        <v>1589</v>
      </c>
      <c r="G4237" s="122" t="s">
        <v>129</v>
      </c>
      <c r="H4237">
        <v>356</v>
      </c>
      <c r="I4237" s="122" t="s">
        <v>1546</v>
      </c>
      <c r="J4237" s="307" t="s">
        <v>214</v>
      </c>
      <c r="K4237" s="127" t="s">
        <v>4625</v>
      </c>
      <c r="L4237" s="151" t="s">
        <v>110</v>
      </c>
      <c r="M4237">
        <v>473</v>
      </c>
      <c r="N4237" s="123">
        <v>98</v>
      </c>
      <c r="O4237">
        <v>2767</v>
      </c>
      <c r="P4237" s="132" t="s">
        <v>77</v>
      </c>
      <c r="Q4237" s="131">
        <v>34500</v>
      </c>
      <c r="R4237" s="131">
        <v>5520</v>
      </c>
      <c r="S4237" s="131"/>
      <c r="T4237" s="155">
        <v>3680.02</v>
      </c>
      <c r="U4237" s="131">
        <v>3450</v>
      </c>
      <c r="V4237" s="131">
        <v>32889.980000000003</v>
      </c>
      <c r="W4237">
        <v>193</v>
      </c>
      <c r="X4237" s="151" t="s">
        <v>1431</v>
      </c>
      <c r="Y4237" s="135" t="s">
        <v>55</v>
      </c>
      <c r="Z4237" s="307">
        <v>257</v>
      </c>
      <c r="AB4237" t="str">
        <f>IF(Table1[[#This Row],[TIPO2]]="costo", VLOOKUP(Table1[[#This Row],[PARTIDA PRESUPUESTAL]],'Cost Report'!G:G,1,0),"Balance")</f>
        <v>3145-004</v>
      </c>
      <c r="AC4237" s="118"/>
      <c r="AD4237" s="159">
        <f>+Table1[[#This Row],[SUBTOTAL]]+Table1[[#This Row],[IVA]]-Table1[[#This Row],[RET IVA]]-Table1[[#This Row],[RET ISR]]-Table1[[#This Row],[TOTAL]]</f>
        <v>0</v>
      </c>
      <c r="AE4237" s="150"/>
      <c r="AF4237" s="151"/>
      <c r="AG4237" s="126"/>
      <c r="AK4237" s="306" t="str">
        <f>IF(ISNUMBER(Table1[[#This Row],[FECHA DE RECIBIDO]]), Table1[[#This Row],[FECHA DE RECIBIDO]]-DATE(2023,8,30), "")</f>
        <v/>
      </c>
    </row>
    <row r="4238" spans="1:37" ht="16.05" customHeight="1">
      <c r="A4238" s="152" t="s">
        <v>4448</v>
      </c>
      <c r="B4238" s="153">
        <v>1416</v>
      </c>
      <c r="C4238" s="126" t="s">
        <v>799</v>
      </c>
      <c r="D4238">
        <v>2899</v>
      </c>
      <c r="E4238" s="126" t="s">
        <v>3273</v>
      </c>
      <c r="F4238" s="125" t="s">
        <v>1589</v>
      </c>
      <c r="G4238" s="125" t="s">
        <v>129</v>
      </c>
      <c r="H4238">
        <v>264</v>
      </c>
      <c r="I4238" s="125" t="s">
        <v>1546</v>
      </c>
      <c r="J4238" s="308" t="s">
        <v>214</v>
      </c>
      <c r="K4238" s="127" t="s">
        <v>4625</v>
      </c>
      <c r="L4238" s="153" t="s">
        <v>110</v>
      </c>
      <c r="M4238">
        <v>475</v>
      </c>
      <c r="N4238" s="123">
        <v>1</v>
      </c>
      <c r="O4238">
        <v>2768</v>
      </c>
      <c r="P4238" s="132" t="s">
        <v>77</v>
      </c>
      <c r="Q4238" s="132">
        <v>52000</v>
      </c>
      <c r="R4238" s="132">
        <v>8320</v>
      </c>
      <c r="S4238" s="132"/>
      <c r="T4238" s="156">
        <v>5546.68</v>
      </c>
      <c r="U4238" s="132">
        <v>5200</v>
      </c>
      <c r="V4238" s="132">
        <v>49573.32</v>
      </c>
      <c r="W4238">
        <v>164</v>
      </c>
      <c r="X4238" s="153" t="s">
        <v>1429</v>
      </c>
      <c r="Y4238" s="124" t="s">
        <v>55</v>
      </c>
      <c r="Z4238" s="308">
        <v>257</v>
      </c>
      <c r="AB4238" t="str">
        <f>IF(Table1[[#This Row],[TIPO2]]="costo", VLOOKUP(Table1[[#This Row],[PARTIDA PRESUPUESTAL]],'Cost Report'!G:G,1,0),"Balance")</f>
        <v>3102-004</v>
      </c>
      <c r="AC4238" s="118"/>
      <c r="AD4238" s="159">
        <f>+Table1[[#This Row],[SUBTOTAL]]+Table1[[#This Row],[IVA]]-Table1[[#This Row],[RET IVA]]-Table1[[#This Row],[RET ISR]]-Table1[[#This Row],[TOTAL]]</f>
        <v>0</v>
      </c>
      <c r="AE4238" s="152"/>
      <c r="AF4238" s="153"/>
      <c r="AG4238" s="126"/>
      <c r="AK4238" s="306" t="str">
        <f>IF(ISNUMBER(Table1[[#This Row],[FECHA DE RECIBIDO]]), Table1[[#This Row],[FECHA DE RECIBIDO]]-DATE(2023,8,30), "")</f>
        <v/>
      </c>
    </row>
    <row r="4239" spans="1:37" ht="16.05" customHeight="1">
      <c r="A4239" s="150" t="s">
        <v>4449</v>
      </c>
      <c r="B4239" s="151">
        <v>1417</v>
      </c>
      <c r="C4239" s="126" t="s">
        <v>1841</v>
      </c>
      <c r="D4239">
        <v>2900</v>
      </c>
      <c r="E4239" s="126" t="s">
        <v>3648</v>
      </c>
      <c r="F4239" s="122" t="s">
        <v>1593</v>
      </c>
      <c r="G4239" s="122" t="s">
        <v>109</v>
      </c>
      <c r="H4239">
        <v>358</v>
      </c>
      <c r="I4239" s="122" t="s">
        <v>1546</v>
      </c>
      <c r="J4239" s="307" t="s">
        <v>214</v>
      </c>
      <c r="K4239" s="127" t="s">
        <v>4625</v>
      </c>
      <c r="L4239" s="151" t="s">
        <v>110</v>
      </c>
      <c r="M4239">
        <v>476</v>
      </c>
      <c r="N4239" s="123">
        <v>100</v>
      </c>
      <c r="O4239">
        <v>2769</v>
      </c>
      <c r="P4239" s="132" t="s">
        <v>77</v>
      </c>
      <c r="Q4239" s="131">
        <v>30000</v>
      </c>
      <c r="R4239" s="131">
        <v>4800</v>
      </c>
      <c r="S4239" s="131"/>
      <c r="T4239" s="155">
        <v>3200</v>
      </c>
      <c r="U4239" s="131">
        <v>375</v>
      </c>
      <c r="V4239" s="131">
        <v>31225</v>
      </c>
      <c r="W4239">
        <v>195</v>
      </c>
      <c r="X4239" s="151" t="s">
        <v>1429</v>
      </c>
      <c r="Y4239" s="135" t="s">
        <v>55</v>
      </c>
      <c r="Z4239" s="307">
        <v>257</v>
      </c>
      <c r="AB4239" t="str">
        <f>IF(Table1[[#This Row],[TIPO2]]="costo", VLOOKUP(Table1[[#This Row],[PARTIDA PRESUPUESTAL]],'Cost Report'!G:G,1,0),"Balance")</f>
        <v>3145-026</v>
      </c>
      <c r="AC4239" s="118"/>
      <c r="AD4239" s="159">
        <f>+Table1[[#This Row],[SUBTOTAL]]+Table1[[#This Row],[IVA]]-Table1[[#This Row],[RET IVA]]-Table1[[#This Row],[RET ISR]]-Table1[[#This Row],[TOTAL]]</f>
        <v>0</v>
      </c>
      <c r="AE4239" s="150"/>
      <c r="AF4239" s="151"/>
      <c r="AG4239" s="126"/>
      <c r="AK4239" s="306" t="str">
        <f>IF(ISNUMBER(Table1[[#This Row],[FECHA DE RECIBIDO]]), Table1[[#This Row],[FECHA DE RECIBIDO]]-DATE(2023,8,30), "")</f>
        <v/>
      </c>
    </row>
    <row r="4240" spans="1:37" ht="16.05" customHeight="1">
      <c r="A4240" s="152" t="s">
        <v>4450</v>
      </c>
      <c r="B4240" s="153">
        <v>1418</v>
      </c>
      <c r="C4240" s="126" t="s">
        <v>1831</v>
      </c>
      <c r="D4240">
        <v>2901</v>
      </c>
      <c r="E4240" s="126" t="s">
        <v>3371</v>
      </c>
      <c r="F4240" s="125" t="s">
        <v>1589</v>
      </c>
      <c r="G4240" s="125" t="s">
        <v>129</v>
      </c>
      <c r="H4240">
        <v>522</v>
      </c>
      <c r="I4240" s="125" t="s">
        <v>1546</v>
      </c>
      <c r="J4240" s="308" t="s">
        <v>214</v>
      </c>
      <c r="K4240" s="127" t="s">
        <v>4625</v>
      </c>
      <c r="L4240" s="153" t="s">
        <v>110</v>
      </c>
      <c r="M4240">
        <v>746</v>
      </c>
      <c r="N4240" s="123">
        <v>152</v>
      </c>
      <c r="O4240">
        <v>2770</v>
      </c>
      <c r="P4240" s="132" t="s">
        <v>77</v>
      </c>
      <c r="Q4240" s="132">
        <v>34500</v>
      </c>
      <c r="R4240" s="132">
        <v>5520</v>
      </c>
      <c r="S4240" s="132"/>
      <c r="T4240" s="156">
        <v>3680.02</v>
      </c>
      <c r="U4240" s="132">
        <v>3450</v>
      </c>
      <c r="V4240" s="132">
        <v>32889.980000000003</v>
      </c>
      <c r="W4240">
        <v>294</v>
      </c>
      <c r="X4240" s="153" t="s">
        <v>1429</v>
      </c>
      <c r="Y4240" s="124" t="s">
        <v>55</v>
      </c>
      <c r="Z4240" s="308">
        <v>257</v>
      </c>
      <c r="AB4240" t="str">
        <f>IF(Table1[[#This Row],[TIPO2]]="costo", VLOOKUP(Table1[[#This Row],[PARTIDA PRESUPUESTAL]],'Cost Report'!G:G,1,0),"Balance")</f>
        <v>3145-010</v>
      </c>
      <c r="AC4240" s="118"/>
      <c r="AD4240" s="159">
        <f>+Table1[[#This Row],[SUBTOTAL]]+Table1[[#This Row],[IVA]]-Table1[[#This Row],[RET IVA]]-Table1[[#This Row],[RET ISR]]-Table1[[#This Row],[TOTAL]]</f>
        <v>0</v>
      </c>
      <c r="AE4240" s="152"/>
      <c r="AF4240" s="153"/>
      <c r="AG4240" s="126"/>
      <c r="AK4240" s="306" t="str">
        <f>IF(ISNUMBER(Table1[[#This Row],[FECHA DE RECIBIDO]]), Table1[[#This Row],[FECHA DE RECIBIDO]]-DATE(2023,8,30), "")</f>
        <v/>
      </c>
    </row>
    <row r="4241" spans="1:37" ht="16.05" customHeight="1">
      <c r="A4241" s="150" t="s">
        <v>4451</v>
      </c>
      <c r="B4241" s="151">
        <v>1419</v>
      </c>
      <c r="C4241" s="126" t="s">
        <v>1831</v>
      </c>
      <c r="D4241">
        <v>2902</v>
      </c>
      <c r="E4241" s="126" t="s">
        <v>3371</v>
      </c>
      <c r="F4241" s="122" t="s">
        <v>1589</v>
      </c>
      <c r="G4241" s="122" t="s">
        <v>129</v>
      </c>
      <c r="H4241">
        <v>522</v>
      </c>
      <c r="I4241" s="122" t="s">
        <v>1546</v>
      </c>
      <c r="J4241" s="307" t="s">
        <v>214</v>
      </c>
      <c r="K4241" s="127" t="s">
        <v>4625</v>
      </c>
      <c r="L4241" s="151" t="s">
        <v>110</v>
      </c>
      <c r="M4241">
        <v>746</v>
      </c>
      <c r="N4241" s="123">
        <v>152</v>
      </c>
      <c r="O4241">
        <v>2771</v>
      </c>
      <c r="P4241" s="132" t="s">
        <v>77</v>
      </c>
      <c r="Q4241" s="131">
        <v>34500</v>
      </c>
      <c r="R4241" s="131">
        <v>5520</v>
      </c>
      <c r="S4241" s="131"/>
      <c r="T4241" s="155">
        <v>3680.02</v>
      </c>
      <c r="U4241" s="131">
        <v>3450</v>
      </c>
      <c r="V4241" s="131">
        <v>32889.980000000003</v>
      </c>
      <c r="W4241">
        <v>294</v>
      </c>
      <c r="X4241" s="151" t="s">
        <v>1429</v>
      </c>
      <c r="Y4241" s="135" t="s">
        <v>55</v>
      </c>
      <c r="Z4241" s="307">
        <v>257</v>
      </c>
      <c r="AB4241" t="str">
        <f>IF(Table1[[#This Row],[TIPO2]]="costo", VLOOKUP(Table1[[#This Row],[PARTIDA PRESUPUESTAL]],'Cost Report'!G:G,1,0),"Balance")</f>
        <v>3145-010</v>
      </c>
      <c r="AC4241" s="118"/>
      <c r="AD4241" s="159">
        <f>+Table1[[#This Row],[SUBTOTAL]]+Table1[[#This Row],[IVA]]-Table1[[#This Row],[RET IVA]]-Table1[[#This Row],[RET ISR]]-Table1[[#This Row],[TOTAL]]</f>
        <v>0</v>
      </c>
      <c r="AE4241" s="150"/>
      <c r="AF4241" s="151"/>
      <c r="AG4241" s="126"/>
      <c r="AK4241" s="306" t="str">
        <f>IF(ISNUMBER(Table1[[#This Row],[FECHA DE RECIBIDO]]), Table1[[#This Row],[FECHA DE RECIBIDO]]-DATE(2023,8,30), "")</f>
        <v/>
      </c>
    </row>
    <row r="4242" spans="1:37" ht="16.05" customHeight="1">
      <c r="A4242" s="152" t="s">
        <v>4452</v>
      </c>
      <c r="B4242" s="153">
        <v>1420</v>
      </c>
      <c r="C4242" s="126" t="s">
        <v>1820</v>
      </c>
      <c r="D4242">
        <v>2903</v>
      </c>
      <c r="E4242" s="126" t="s">
        <v>4003</v>
      </c>
      <c r="F4242" s="125" t="s">
        <v>1589</v>
      </c>
      <c r="G4242" s="125" t="s">
        <v>129</v>
      </c>
      <c r="H4242">
        <v>523</v>
      </c>
      <c r="I4242" s="125" t="s">
        <v>1546</v>
      </c>
      <c r="J4242" s="308" t="s">
        <v>214</v>
      </c>
      <c r="K4242" s="127" t="s">
        <v>4625</v>
      </c>
      <c r="L4242" s="153" t="s">
        <v>110</v>
      </c>
      <c r="M4242">
        <v>747</v>
      </c>
      <c r="N4242" s="123">
        <v>153</v>
      </c>
      <c r="O4242">
        <v>2772</v>
      </c>
      <c r="P4242" s="132" t="s">
        <v>77</v>
      </c>
      <c r="Q4242" s="132">
        <v>13000</v>
      </c>
      <c r="R4242" s="132">
        <v>2080</v>
      </c>
      <c r="S4242" s="132"/>
      <c r="T4242" s="156">
        <v>1386.67</v>
      </c>
      <c r="U4242" s="132">
        <v>1300</v>
      </c>
      <c r="V4242" s="132">
        <v>12393.33</v>
      </c>
      <c r="W4242">
        <v>295</v>
      </c>
      <c r="X4242" s="153" t="s">
        <v>1434</v>
      </c>
      <c r="Y4242" s="124" t="s">
        <v>55</v>
      </c>
      <c r="Z4242" s="308">
        <v>257</v>
      </c>
      <c r="AB4242" t="str">
        <f>IF(Table1[[#This Row],[TIPO2]]="costo", VLOOKUP(Table1[[#This Row],[PARTIDA PRESUPUESTAL]],'Cost Report'!G:G,1,0),"Balance")</f>
        <v>3102-015</v>
      </c>
      <c r="AC4242" s="118"/>
      <c r="AD4242" s="159">
        <f>+Table1[[#This Row],[SUBTOTAL]]+Table1[[#This Row],[IVA]]-Table1[[#This Row],[RET IVA]]-Table1[[#This Row],[RET ISR]]-Table1[[#This Row],[TOTAL]]</f>
        <v>0</v>
      </c>
      <c r="AE4242" s="152"/>
      <c r="AF4242" s="153"/>
      <c r="AG4242" s="126"/>
      <c r="AK4242" s="306" t="str">
        <f>IF(ISNUMBER(Table1[[#This Row],[FECHA DE RECIBIDO]]), Table1[[#This Row],[FECHA DE RECIBIDO]]-DATE(2023,8,30), "")</f>
        <v/>
      </c>
    </row>
    <row r="4243" spans="1:37" ht="16.05" customHeight="1">
      <c r="A4243" s="150" t="s">
        <v>4453</v>
      </c>
      <c r="B4243" s="151">
        <v>1421</v>
      </c>
      <c r="C4243" s="126" t="s">
        <v>1821</v>
      </c>
      <c r="D4243">
        <v>2904</v>
      </c>
      <c r="E4243" s="126" t="s">
        <v>4003</v>
      </c>
      <c r="F4243" s="122" t="s">
        <v>1589</v>
      </c>
      <c r="G4243" s="122" t="s">
        <v>129</v>
      </c>
      <c r="H4243">
        <v>523</v>
      </c>
      <c r="I4243" s="122" t="s">
        <v>1546</v>
      </c>
      <c r="J4243" s="307" t="s">
        <v>214</v>
      </c>
      <c r="K4243" s="127" t="s">
        <v>4625</v>
      </c>
      <c r="L4243" s="151" t="s">
        <v>110</v>
      </c>
      <c r="M4243">
        <v>747</v>
      </c>
      <c r="N4243" s="123">
        <v>153</v>
      </c>
      <c r="O4243">
        <v>2773</v>
      </c>
      <c r="P4243" s="132" t="s">
        <v>77</v>
      </c>
      <c r="Q4243" s="131">
        <v>52000</v>
      </c>
      <c r="R4243" s="131">
        <v>8320</v>
      </c>
      <c r="S4243" s="131"/>
      <c r="T4243" s="155">
        <v>5546.68</v>
      </c>
      <c r="U4243" s="131">
        <v>5200</v>
      </c>
      <c r="V4243" s="131">
        <v>49573.32</v>
      </c>
      <c r="W4243">
        <v>295</v>
      </c>
      <c r="X4243" s="151" t="s">
        <v>1434</v>
      </c>
      <c r="Y4243" s="135" t="s">
        <v>55</v>
      </c>
      <c r="Z4243" s="307">
        <v>257</v>
      </c>
      <c r="AB4243" t="str">
        <f>IF(Table1[[#This Row],[TIPO2]]="costo", VLOOKUP(Table1[[#This Row],[PARTIDA PRESUPUESTAL]],'Cost Report'!G:G,1,0),"Balance")</f>
        <v>3102-016</v>
      </c>
      <c r="AC4243" s="118"/>
      <c r="AD4243" s="159">
        <f>+Table1[[#This Row],[SUBTOTAL]]+Table1[[#This Row],[IVA]]-Table1[[#This Row],[RET IVA]]-Table1[[#This Row],[RET ISR]]-Table1[[#This Row],[TOTAL]]</f>
        <v>0</v>
      </c>
      <c r="AE4243" s="150"/>
      <c r="AF4243" s="151"/>
      <c r="AG4243" s="126"/>
      <c r="AK4243" s="306" t="str">
        <f>IF(ISNUMBER(Table1[[#This Row],[FECHA DE RECIBIDO]]), Table1[[#This Row],[FECHA DE RECIBIDO]]-DATE(2023,8,30), "")</f>
        <v/>
      </c>
    </row>
    <row r="4244" spans="1:37" ht="16.05" customHeight="1">
      <c r="A4244" s="152" t="s">
        <v>4454</v>
      </c>
      <c r="B4244" s="153">
        <v>1422</v>
      </c>
      <c r="C4244" s="126" t="s">
        <v>811</v>
      </c>
      <c r="D4244">
        <v>2905</v>
      </c>
      <c r="E4244" s="126" t="s">
        <v>3185</v>
      </c>
      <c r="F4244" s="125" t="s">
        <v>1593</v>
      </c>
      <c r="G4244" s="125" t="s">
        <v>109</v>
      </c>
      <c r="H4244">
        <v>771</v>
      </c>
      <c r="I4244" s="125" t="s">
        <v>1546</v>
      </c>
      <c r="J4244" s="308" t="s">
        <v>214</v>
      </c>
      <c r="K4244" s="127" t="s">
        <v>4625</v>
      </c>
      <c r="L4244" s="153" t="s">
        <v>110</v>
      </c>
      <c r="M4244">
        <v>1074</v>
      </c>
      <c r="N4244" s="123">
        <v>183</v>
      </c>
      <c r="O4244">
        <v>2774</v>
      </c>
      <c r="P4244" s="132" t="s">
        <v>77</v>
      </c>
      <c r="Q4244" s="132">
        <v>3583.33</v>
      </c>
      <c r="R4244" s="132">
        <v>573.33000000000004</v>
      </c>
      <c r="S4244" s="132"/>
      <c r="T4244" s="156">
        <v>382.22</v>
      </c>
      <c r="U4244" s="132">
        <v>44.79</v>
      </c>
      <c r="V4244" s="132">
        <v>3729.6499999999996</v>
      </c>
      <c r="W4244">
        <v>370</v>
      </c>
      <c r="X4244" s="153" t="s">
        <v>2024</v>
      </c>
      <c r="Y4244" s="124" t="s">
        <v>55</v>
      </c>
      <c r="Z4244" s="308">
        <v>257</v>
      </c>
      <c r="AB4244" t="str">
        <f>IF(Table1[[#This Row],[TIPO2]]="costo", VLOOKUP(Table1[[#This Row],[PARTIDA PRESUPUESTAL]],'Cost Report'!G:G,1,0),"Balance")</f>
        <v>3104-008</v>
      </c>
      <c r="AC4244" s="118"/>
      <c r="AD4244" s="159">
        <f>+Table1[[#This Row],[SUBTOTAL]]+Table1[[#This Row],[IVA]]-Table1[[#This Row],[RET IVA]]-Table1[[#This Row],[RET ISR]]-Table1[[#This Row],[TOTAL]]</f>
        <v>0</v>
      </c>
      <c r="AE4244" s="152"/>
      <c r="AF4244" s="153"/>
      <c r="AG4244" s="126"/>
      <c r="AK4244" s="306" t="str">
        <f>IF(ISNUMBER(Table1[[#This Row],[FECHA DE RECIBIDO]]), Table1[[#This Row],[FECHA DE RECIBIDO]]-DATE(2023,8,30), "")</f>
        <v/>
      </c>
    </row>
    <row r="4245" spans="1:37" ht="16.05" customHeight="1">
      <c r="A4245" s="150" t="s">
        <v>4455</v>
      </c>
      <c r="B4245" s="151">
        <v>1423</v>
      </c>
      <c r="C4245" s="126" t="s">
        <v>812</v>
      </c>
      <c r="D4245">
        <v>2906</v>
      </c>
      <c r="E4245" s="126" t="s">
        <v>3185</v>
      </c>
      <c r="F4245" s="122" t="s">
        <v>1593</v>
      </c>
      <c r="G4245" s="122" t="s">
        <v>109</v>
      </c>
      <c r="H4245">
        <v>771</v>
      </c>
      <c r="I4245" s="122" t="s">
        <v>1546</v>
      </c>
      <c r="J4245" s="307" t="s">
        <v>214</v>
      </c>
      <c r="K4245" s="127" t="s">
        <v>4625</v>
      </c>
      <c r="L4245" s="151" t="s">
        <v>110</v>
      </c>
      <c r="M4245">
        <v>1074</v>
      </c>
      <c r="N4245" s="123">
        <v>183</v>
      </c>
      <c r="O4245">
        <v>2775</v>
      </c>
      <c r="P4245" s="132" t="s">
        <v>77</v>
      </c>
      <c r="Q4245" s="131">
        <v>43000</v>
      </c>
      <c r="R4245" s="131">
        <v>6880</v>
      </c>
      <c r="S4245" s="131"/>
      <c r="T4245" s="155">
        <v>4586.68</v>
      </c>
      <c r="U4245" s="131">
        <v>537.5</v>
      </c>
      <c r="V4245" s="131">
        <v>44755.82</v>
      </c>
      <c r="W4245">
        <v>370</v>
      </c>
      <c r="X4245" s="151" t="s">
        <v>2024</v>
      </c>
      <c r="Y4245" s="135" t="s">
        <v>55</v>
      </c>
      <c r="Z4245" s="307">
        <v>257</v>
      </c>
      <c r="AB4245" t="str">
        <f>IF(Table1[[#This Row],[TIPO2]]="costo", VLOOKUP(Table1[[#This Row],[PARTIDA PRESUPUESTAL]],'Cost Report'!G:G,1,0),"Balance")</f>
        <v>3104-009</v>
      </c>
      <c r="AC4245" s="118"/>
      <c r="AD4245" s="159">
        <f>+Table1[[#This Row],[SUBTOTAL]]+Table1[[#This Row],[IVA]]-Table1[[#This Row],[RET IVA]]-Table1[[#This Row],[RET ISR]]-Table1[[#This Row],[TOTAL]]</f>
        <v>0</v>
      </c>
      <c r="AE4245" s="150"/>
      <c r="AF4245" s="151"/>
      <c r="AG4245" s="126"/>
      <c r="AK4245" s="306" t="str">
        <f>IF(ISNUMBER(Table1[[#This Row],[FECHA DE RECIBIDO]]), Table1[[#This Row],[FECHA DE RECIBIDO]]-DATE(2023,8,30), "")</f>
        <v/>
      </c>
    </row>
    <row r="4246" spans="1:37" ht="16.05" customHeight="1">
      <c r="A4246" s="152" t="s">
        <v>4456</v>
      </c>
      <c r="B4246" s="153">
        <v>1424</v>
      </c>
      <c r="C4246" s="126" t="s">
        <v>812</v>
      </c>
      <c r="D4246">
        <v>2907</v>
      </c>
      <c r="E4246" s="126" t="s">
        <v>3185</v>
      </c>
      <c r="F4246" s="125" t="s">
        <v>1593</v>
      </c>
      <c r="G4246" s="125" t="s">
        <v>109</v>
      </c>
      <c r="H4246">
        <v>771</v>
      </c>
      <c r="I4246" s="125" t="s">
        <v>1546</v>
      </c>
      <c r="J4246" s="308" t="s">
        <v>214</v>
      </c>
      <c r="K4246" s="127" t="s">
        <v>4625</v>
      </c>
      <c r="L4246" s="153" t="s">
        <v>110</v>
      </c>
      <c r="M4246">
        <v>1074</v>
      </c>
      <c r="N4246" s="123">
        <v>183</v>
      </c>
      <c r="O4246">
        <v>2776</v>
      </c>
      <c r="P4246" s="132" t="s">
        <v>77</v>
      </c>
      <c r="Q4246" s="132">
        <v>43000</v>
      </c>
      <c r="R4246" s="132">
        <v>6880</v>
      </c>
      <c r="S4246" s="132"/>
      <c r="T4246" s="156">
        <v>4586.68</v>
      </c>
      <c r="U4246" s="132">
        <v>537.5</v>
      </c>
      <c r="V4246" s="132">
        <v>44755.82</v>
      </c>
      <c r="W4246">
        <v>370</v>
      </c>
      <c r="X4246" s="153" t="s">
        <v>2024</v>
      </c>
      <c r="Y4246" s="124" t="s">
        <v>55</v>
      </c>
      <c r="Z4246" s="308">
        <v>257</v>
      </c>
      <c r="AB4246" t="str">
        <f>IF(Table1[[#This Row],[TIPO2]]="costo", VLOOKUP(Table1[[#This Row],[PARTIDA PRESUPUESTAL]],'Cost Report'!G:G,1,0),"Balance")</f>
        <v>3104-009</v>
      </c>
      <c r="AC4246" s="118"/>
      <c r="AD4246" s="159">
        <f>+Table1[[#This Row],[SUBTOTAL]]+Table1[[#This Row],[IVA]]-Table1[[#This Row],[RET IVA]]-Table1[[#This Row],[RET ISR]]-Table1[[#This Row],[TOTAL]]</f>
        <v>0</v>
      </c>
      <c r="AE4246" s="152"/>
      <c r="AF4246" s="153"/>
      <c r="AG4246" s="126"/>
      <c r="AK4246" s="306" t="str">
        <f>IF(ISNUMBER(Table1[[#This Row],[FECHA DE RECIBIDO]]), Table1[[#This Row],[FECHA DE RECIBIDO]]-DATE(2023,8,30), "")</f>
        <v/>
      </c>
    </row>
    <row r="4247" spans="1:37" ht="16.05" customHeight="1">
      <c r="A4247" s="150" t="s">
        <v>4457</v>
      </c>
      <c r="B4247" s="151">
        <v>1425</v>
      </c>
      <c r="C4247" s="126" t="s">
        <v>812</v>
      </c>
      <c r="D4247">
        <v>2908</v>
      </c>
      <c r="E4247" s="126" t="s">
        <v>3185</v>
      </c>
      <c r="F4247" s="122" t="s">
        <v>1593</v>
      </c>
      <c r="G4247" s="122" t="s">
        <v>109</v>
      </c>
      <c r="H4247">
        <v>771</v>
      </c>
      <c r="I4247" s="122" t="s">
        <v>1546</v>
      </c>
      <c r="J4247" s="307" t="s">
        <v>214</v>
      </c>
      <c r="K4247" s="127" t="s">
        <v>4625</v>
      </c>
      <c r="L4247" s="151" t="s">
        <v>110</v>
      </c>
      <c r="M4247">
        <v>1074</v>
      </c>
      <c r="N4247" s="123">
        <v>183</v>
      </c>
      <c r="O4247">
        <v>2777</v>
      </c>
      <c r="P4247" s="132" t="s">
        <v>77</v>
      </c>
      <c r="Q4247" s="131">
        <v>43000</v>
      </c>
      <c r="R4247" s="131">
        <v>6880</v>
      </c>
      <c r="S4247" s="131"/>
      <c r="T4247" s="155">
        <v>4586.68</v>
      </c>
      <c r="U4247" s="131">
        <v>537.5</v>
      </c>
      <c r="V4247" s="131">
        <v>44755.82</v>
      </c>
      <c r="W4247">
        <v>370</v>
      </c>
      <c r="X4247" s="151" t="s">
        <v>2024</v>
      </c>
      <c r="Y4247" s="135" t="s">
        <v>55</v>
      </c>
      <c r="Z4247" s="307">
        <v>257</v>
      </c>
      <c r="AB4247" t="str">
        <f>IF(Table1[[#This Row],[TIPO2]]="costo", VLOOKUP(Table1[[#This Row],[PARTIDA PRESUPUESTAL]],'Cost Report'!G:G,1,0),"Balance")</f>
        <v>3104-009</v>
      </c>
      <c r="AC4247" s="118"/>
      <c r="AD4247" s="159">
        <f>+Table1[[#This Row],[SUBTOTAL]]+Table1[[#This Row],[IVA]]-Table1[[#This Row],[RET IVA]]-Table1[[#This Row],[RET ISR]]-Table1[[#This Row],[TOTAL]]</f>
        <v>0</v>
      </c>
      <c r="AE4247" s="150"/>
      <c r="AF4247" s="151"/>
      <c r="AG4247" s="126"/>
      <c r="AK4247" s="306" t="str">
        <f>IF(ISNUMBER(Table1[[#This Row],[FECHA DE RECIBIDO]]), Table1[[#This Row],[FECHA DE RECIBIDO]]-DATE(2023,8,30), "")</f>
        <v/>
      </c>
    </row>
    <row r="4248" spans="1:37" ht="16.05" customHeight="1">
      <c r="A4248" s="152" t="s">
        <v>4458</v>
      </c>
      <c r="B4248" s="153">
        <v>1426</v>
      </c>
      <c r="C4248" s="126" t="s">
        <v>1822</v>
      </c>
      <c r="D4248">
        <v>2909</v>
      </c>
      <c r="E4248" s="126" t="s">
        <v>1614</v>
      </c>
      <c r="F4248" s="125" t="s">
        <v>1602</v>
      </c>
      <c r="G4248" s="125" t="s">
        <v>1617</v>
      </c>
      <c r="H4248">
        <v>525</v>
      </c>
      <c r="I4248" s="125" t="s">
        <v>1546</v>
      </c>
      <c r="J4248" s="308" t="s">
        <v>214</v>
      </c>
      <c r="K4248" s="127" t="s">
        <v>4625</v>
      </c>
      <c r="L4248" s="153" t="s">
        <v>110</v>
      </c>
      <c r="M4248">
        <v>749</v>
      </c>
      <c r="N4248" s="123">
        <v>155</v>
      </c>
      <c r="O4248">
        <v>2778</v>
      </c>
      <c r="P4248" s="132" t="s">
        <v>77</v>
      </c>
      <c r="Q4248" s="132">
        <v>10750</v>
      </c>
      <c r="R4248" s="132">
        <v>1720</v>
      </c>
      <c r="S4248" s="132"/>
      <c r="T4248" s="156">
        <v>1146.67</v>
      </c>
      <c r="U4248" s="132">
        <v>0</v>
      </c>
      <c r="V4248" s="132">
        <v>11323.33</v>
      </c>
      <c r="W4248">
        <v>297</v>
      </c>
      <c r="X4248" s="153" t="s">
        <v>1430</v>
      </c>
      <c r="Y4248" s="124" t="s">
        <v>55</v>
      </c>
      <c r="Z4248" s="308">
        <v>257</v>
      </c>
      <c r="AB4248" t="str">
        <f>IF(Table1[[#This Row],[TIPO2]]="costo", VLOOKUP(Table1[[#This Row],[PARTIDA PRESUPUESTAL]],'Cost Report'!G:G,1,0),"Balance")</f>
        <v>3104-013</v>
      </c>
      <c r="AC4248" s="118"/>
      <c r="AD4248" s="159">
        <f>+Table1[[#This Row],[SUBTOTAL]]+Table1[[#This Row],[IVA]]-Table1[[#This Row],[RET IVA]]-Table1[[#This Row],[RET ISR]]-Table1[[#This Row],[TOTAL]]</f>
        <v>0</v>
      </c>
      <c r="AE4248" s="152"/>
      <c r="AF4248" s="153"/>
      <c r="AG4248" s="126"/>
      <c r="AK4248" s="306" t="str">
        <f>IF(ISNUMBER(Table1[[#This Row],[FECHA DE RECIBIDO]]), Table1[[#This Row],[FECHA DE RECIBIDO]]-DATE(2023,8,30), "")</f>
        <v/>
      </c>
    </row>
    <row r="4249" spans="1:37" ht="16.05" customHeight="1">
      <c r="A4249" s="150" t="s">
        <v>4459</v>
      </c>
      <c r="B4249" s="151">
        <v>1427</v>
      </c>
      <c r="C4249" s="126" t="s">
        <v>1823</v>
      </c>
      <c r="D4249">
        <v>2910</v>
      </c>
      <c r="E4249" s="126" t="s">
        <v>1614</v>
      </c>
      <c r="F4249" s="122" t="s">
        <v>1602</v>
      </c>
      <c r="G4249" s="122" t="s">
        <v>1617</v>
      </c>
      <c r="H4249">
        <v>525</v>
      </c>
      <c r="I4249" s="122" t="s">
        <v>1546</v>
      </c>
      <c r="J4249" s="307" t="s">
        <v>214</v>
      </c>
      <c r="K4249" s="127" t="s">
        <v>4625</v>
      </c>
      <c r="L4249" s="151" t="s">
        <v>110</v>
      </c>
      <c r="M4249">
        <v>749</v>
      </c>
      <c r="N4249" s="123">
        <v>155</v>
      </c>
      <c r="O4249">
        <v>2779</v>
      </c>
      <c r="P4249" s="132" t="s">
        <v>77</v>
      </c>
      <c r="Q4249" s="131">
        <v>21500</v>
      </c>
      <c r="R4249" s="131">
        <v>3440</v>
      </c>
      <c r="S4249" s="131"/>
      <c r="T4249" s="155">
        <v>2293.34</v>
      </c>
      <c r="U4249" s="131">
        <v>0</v>
      </c>
      <c r="V4249" s="131">
        <v>22646.66</v>
      </c>
      <c r="W4249">
        <v>297</v>
      </c>
      <c r="X4249" s="151" t="s">
        <v>1430</v>
      </c>
      <c r="Y4249" s="135" t="s">
        <v>55</v>
      </c>
      <c r="Z4249" s="307">
        <v>257</v>
      </c>
      <c r="AB4249" t="str">
        <f>IF(Table1[[#This Row],[TIPO2]]="costo", VLOOKUP(Table1[[#This Row],[PARTIDA PRESUPUESTAL]],'Cost Report'!G:G,1,0),"Balance")</f>
        <v>3104-014</v>
      </c>
      <c r="AC4249" s="118"/>
      <c r="AD4249" s="159">
        <f>+Table1[[#This Row],[SUBTOTAL]]+Table1[[#This Row],[IVA]]-Table1[[#This Row],[RET IVA]]-Table1[[#This Row],[RET ISR]]-Table1[[#This Row],[TOTAL]]</f>
        <v>0</v>
      </c>
      <c r="AE4249" s="150"/>
      <c r="AF4249" s="151"/>
      <c r="AG4249" s="126"/>
      <c r="AK4249" s="306" t="str">
        <f>IF(ISNUMBER(Table1[[#This Row],[FECHA DE RECIBIDO]]), Table1[[#This Row],[FECHA DE RECIBIDO]]-DATE(2023,8,30), "")</f>
        <v/>
      </c>
    </row>
    <row r="4250" spans="1:37" ht="16.05" customHeight="1">
      <c r="A4250" s="152" t="s">
        <v>4460</v>
      </c>
      <c r="B4250" s="153">
        <v>1428</v>
      </c>
      <c r="C4250" s="126" t="s">
        <v>2661</v>
      </c>
      <c r="D4250">
        <v>2911</v>
      </c>
      <c r="E4250" s="126" t="s">
        <v>3115</v>
      </c>
      <c r="F4250" s="125" t="s">
        <v>1593</v>
      </c>
      <c r="G4250" s="125" t="s">
        <v>109</v>
      </c>
      <c r="H4250">
        <v>526</v>
      </c>
      <c r="I4250" s="125" t="s">
        <v>1546</v>
      </c>
      <c r="J4250" s="308" t="s">
        <v>214</v>
      </c>
      <c r="K4250" s="127" t="s">
        <v>4625</v>
      </c>
      <c r="L4250" s="153" t="s">
        <v>110</v>
      </c>
      <c r="M4250">
        <v>750</v>
      </c>
      <c r="N4250" s="123">
        <v>156</v>
      </c>
      <c r="O4250">
        <v>2780</v>
      </c>
      <c r="P4250" s="132" t="s">
        <v>77</v>
      </c>
      <c r="Q4250" s="132">
        <v>4375</v>
      </c>
      <c r="R4250" s="132">
        <v>700</v>
      </c>
      <c r="S4250" s="132"/>
      <c r="T4250" s="156">
        <v>466.66</v>
      </c>
      <c r="U4250" s="132">
        <v>54.68</v>
      </c>
      <c r="V4250" s="132">
        <v>4553.66</v>
      </c>
      <c r="W4250">
        <v>298</v>
      </c>
      <c r="X4250" s="153" t="s">
        <v>1431</v>
      </c>
      <c r="Y4250" s="124" t="s">
        <v>55</v>
      </c>
      <c r="Z4250" s="308">
        <v>257</v>
      </c>
      <c r="AB4250" t="str">
        <f>IF(Table1[[#This Row],[TIPO2]]="costo", VLOOKUP(Table1[[#This Row],[PARTIDA PRESUPUESTAL]],'Cost Report'!G:G,1,0),"Balance")</f>
        <v>3102-020</v>
      </c>
      <c r="AC4250" s="118"/>
      <c r="AD4250" s="159">
        <f>+Table1[[#This Row],[SUBTOTAL]]+Table1[[#This Row],[IVA]]-Table1[[#This Row],[RET IVA]]-Table1[[#This Row],[RET ISR]]-Table1[[#This Row],[TOTAL]]</f>
        <v>0</v>
      </c>
      <c r="AE4250" s="152"/>
      <c r="AF4250" s="153"/>
      <c r="AG4250" s="126"/>
      <c r="AK4250" s="306" t="str">
        <f>IF(ISNUMBER(Table1[[#This Row],[FECHA DE RECIBIDO]]), Table1[[#This Row],[FECHA DE RECIBIDO]]-DATE(2023,8,30), "")</f>
        <v/>
      </c>
    </row>
    <row r="4251" spans="1:37" ht="16.05" customHeight="1">
      <c r="A4251" s="150" t="s">
        <v>4461</v>
      </c>
      <c r="B4251" s="151">
        <v>1429</v>
      </c>
      <c r="C4251" s="126" t="s">
        <v>2662</v>
      </c>
      <c r="D4251">
        <v>2912</v>
      </c>
      <c r="E4251" s="126" t="s">
        <v>3115</v>
      </c>
      <c r="F4251" s="122" t="s">
        <v>1593</v>
      </c>
      <c r="G4251" s="122" t="s">
        <v>109</v>
      </c>
      <c r="H4251">
        <v>526</v>
      </c>
      <c r="I4251" s="122" t="s">
        <v>1546</v>
      </c>
      <c r="J4251" s="307" t="s">
        <v>214</v>
      </c>
      <c r="K4251" s="127" t="s">
        <v>4625</v>
      </c>
      <c r="L4251" s="151" t="s">
        <v>110</v>
      </c>
      <c r="M4251">
        <v>750</v>
      </c>
      <c r="N4251" s="123">
        <v>156</v>
      </c>
      <c r="O4251">
        <v>2781</v>
      </c>
      <c r="P4251" s="132" t="s">
        <v>77</v>
      </c>
      <c r="Q4251" s="131">
        <v>52500</v>
      </c>
      <c r="R4251" s="131">
        <v>8400</v>
      </c>
      <c r="S4251" s="131"/>
      <c r="T4251" s="155">
        <v>5600</v>
      </c>
      <c r="U4251" s="131">
        <v>656.24</v>
      </c>
      <c r="V4251" s="131">
        <v>54643.76</v>
      </c>
      <c r="W4251">
        <v>298</v>
      </c>
      <c r="X4251" s="151" t="s">
        <v>1431</v>
      </c>
      <c r="Y4251" s="135" t="s">
        <v>55</v>
      </c>
      <c r="Z4251" s="307">
        <v>257</v>
      </c>
      <c r="AB4251" t="str">
        <f>IF(Table1[[#This Row],[TIPO2]]="costo", VLOOKUP(Table1[[#This Row],[PARTIDA PRESUPUESTAL]],'Cost Report'!G:G,1,0),"Balance")</f>
        <v>3102-021</v>
      </c>
      <c r="AC4251" s="118"/>
      <c r="AD4251" s="159">
        <f>+Table1[[#This Row],[SUBTOTAL]]+Table1[[#This Row],[IVA]]-Table1[[#This Row],[RET IVA]]-Table1[[#This Row],[RET ISR]]-Table1[[#This Row],[TOTAL]]</f>
        <v>0</v>
      </c>
      <c r="AE4251" s="150"/>
      <c r="AF4251" s="151"/>
      <c r="AG4251" s="126"/>
      <c r="AK4251" s="306" t="str">
        <f>IF(ISNUMBER(Table1[[#This Row],[FECHA DE RECIBIDO]]), Table1[[#This Row],[FECHA DE RECIBIDO]]-DATE(2023,8,30), "")</f>
        <v/>
      </c>
    </row>
    <row r="4252" spans="1:37" ht="16.05" customHeight="1">
      <c r="A4252" s="152" t="s">
        <v>4462</v>
      </c>
      <c r="B4252" s="153">
        <v>1430</v>
      </c>
      <c r="C4252" s="126" t="s">
        <v>2685</v>
      </c>
      <c r="D4252">
        <v>2913</v>
      </c>
      <c r="E4252" s="126" t="s">
        <v>4463</v>
      </c>
      <c r="F4252" s="125" t="s">
        <v>1589</v>
      </c>
      <c r="G4252" s="125" t="s">
        <v>129</v>
      </c>
      <c r="H4252">
        <v>772</v>
      </c>
      <c r="I4252" s="125" t="s">
        <v>1546</v>
      </c>
      <c r="J4252" s="308" t="s">
        <v>214</v>
      </c>
      <c r="K4252" s="127" t="s">
        <v>4625</v>
      </c>
      <c r="L4252" s="153" t="s">
        <v>110</v>
      </c>
      <c r="M4252">
        <v>1075</v>
      </c>
      <c r="N4252" s="123">
        <v>184</v>
      </c>
      <c r="O4252">
        <v>2782</v>
      </c>
      <c r="P4252" s="132" t="s">
        <v>77</v>
      </c>
      <c r="Q4252" s="132">
        <v>17250</v>
      </c>
      <c r="R4252" s="132">
        <v>2760</v>
      </c>
      <c r="S4252" s="132"/>
      <c r="T4252" s="156">
        <v>1840.01</v>
      </c>
      <c r="U4252" s="132">
        <v>1725</v>
      </c>
      <c r="V4252" s="132">
        <v>16444.990000000002</v>
      </c>
      <c r="W4252">
        <v>371</v>
      </c>
      <c r="X4252" s="153" t="s">
        <v>3684</v>
      </c>
      <c r="Y4252" s="124" t="s">
        <v>55</v>
      </c>
      <c r="Z4252" s="308">
        <v>257</v>
      </c>
      <c r="AB4252" t="str">
        <f>IF(Table1[[#This Row],[TIPO2]]="costo", VLOOKUP(Table1[[#This Row],[PARTIDA PRESUPUESTAL]],'Cost Report'!G:G,1,0),"Balance")</f>
        <v>3145-040</v>
      </c>
      <c r="AC4252" s="118"/>
      <c r="AD4252" s="159">
        <f>+Table1[[#This Row],[SUBTOTAL]]+Table1[[#This Row],[IVA]]-Table1[[#This Row],[RET IVA]]-Table1[[#This Row],[RET ISR]]-Table1[[#This Row],[TOTAL]]</f>
        <v>0</v>
      </c>
      <c r="AE4252" s="152"/>
      <c r="AF4252" s="153"/>
      <c r="AG4252" s="126"/>
      <c r="AK4252" s="306" t="str">
        <f>IF(ISNUMBER(Table1[[#This Row],[FECHA DE RECIBIDO]]), Table1[[#This Row],[FECHA DE RECIBIDO]]-DATE(2023,8,30), "")</f>
        <v/>
      </c>
    </row>
    <row r="4253" spans="1:37" ht="16.05" customHeight="1">
      <c r="A4253" s="150" t="s">
        <v>4464</v>
      </c>
      <c r="B4253" s="151">
        <v>1431</v>
      </c>
      <c r="C4253" s="126" t="s">
        <v>3408</v>
      </c>
      <c r="D4253">
        <v>2914</v>
      </c>
      <c r="E4253" s="126" t="s">
        <v>4465</v>
      </c>
      <c r="F4253" s="122" t="s">
        <v>1589</v>
      </c>
      <c r="G4253" s="122" t="s">
        <v>129</v>
      </c>
      <c r="H4253">
        <v>773</v>
      </c>
      <c r="I4253" s="122" t="s">
        <v>1546</v>
      </c>
      <c r="J4253" s="307" t="s">
        <v>214</v>
      </c>
      <c r="K4253" s="127" t="s">
        <v>4625</v>
      </c>
      <c r="L4253" s="151" t="s">
        <v>110</v>
      </c>
      <c r="M4253">
        <v>1076</v>
      </c>
      <c r="N4253" s="123">
        <v>185</v>
      </c>
      <c r="O4253">
        <v>2783</v>
      </c>
      <c r="P4253" s="132" t="s">
        <v>77</v>
      </c>
      <c r="Q4253" s="131">
        <v>17250</v>
      </c>
      <c r="R4253" s="131">
        <v>2760</v>
      </c>
      <c r="S4253" s="131"/>
      <c r="T4253" s="155">
        <v>1840.01</v>
      </c>
      <c r="U4253" s="131">
        <v>1725</v>
      </c>
      <c r="V4253" s="131">
        <v>16444.990000000002</v>
      </c>
      <c r="W4253">
        <v>372</v>
      </c>
      <c r="X4253" s="151" t="s">
        <v>1429</v>
      </c>
      <c r="Y4253" s="135" t="s">
        <v>55</v>
      </c>
      <c r="Z4253" s="307">
        <v>257</v>
      </c>
      <c r="AB4253" t="str">
        <f>IF(Table1[[#This Row],[TIPO2]]="costo", VLOOKUP(Table1[[#This Row],[PARTIDA PRESUPUESTAL]],'Cost Report'!G:G,1,0),"Balance")</f>
        <v>3145-066</v>
      </c>
      <c r="AC4253" s="118"/>
      <c r="AD4253" s="159">
        <f>+Table1[[#This Row],[SUBTOTAL]]+Table1[[#This Row],[IVA]]-Table1[[#This Row],[RET IVA]]-Table1[[#This Row],[RET ISR]]-Table1[[#This Row],[TOTAL]]</f>
        <v>0</v>
      </c>
      <c r="AE4253" s="150"/>
      <c r="AF4253" s="151"/>
      <c r="AG4253" s="126"/>
      <c r="AK4253" s="306" t="str">
        <f>IF(ISNUMBER(Table1[[#This Row],[FECHA DE RECIBIDO]]), Table1[[#This Row],[FECHA DE RECIBIDO]]-DATE(2023,8,30), "")</f>
        <v/>
      </c>
    </row>
    <row r="4254" spans="1:37" ht="16.05" customHeight="1">
      <c r="A4254" s="152" t="s">
        <v>4466</v>
      </c>
      <c r="B4254" s="153">
        <v>1432</v>
      </c>
      <c r="C4254" s="126" t="s">
        <v>2688</v>
      </c>
      <c r="D4254">
        <v>2915</v>
      </c>
      <c r="E4254" s="126" t="s">
        <v>4465</v>
      </c>
      <c r="F4254" s="125" t="s">
        <v>1589</v>
      </c>
      <c r="G4254" s="125" t="s">
        <v>129</v>
      </c>
      <c r="H4254">
        <v>773</v>
      </c>
      <c r="I4254" s="125" t="s">
        <v>1546</v>
      </c>
      <c r="J4254" s="308" t="s">
        <v>214</v>
      </c>
      <c r="K4254" s="127" t="s">
        <v>4625</v>
      </c>
      <c r="L4254" s="153" t="s">
        <v>110</v>
      </c>
      <c r="M4254">
        <v>1076</v>
      </c>
      <c r="N4254" s="123">
        <v>185</v>
      </c>
      <c r="O4254">
        <v>2784</v>
      </c>
      <c r="P4254" s="132" t="s">
        <v>77</v>
      </c>
      <c r="Q4254" s="132">
        <v>11500</v>
      </c>
      <c r="R4254" s="132">
        <v>1840</v>
      </c>
      <c r="S4254" s="132"/>
      <c r="T4254" s="156">
        <v>1226.67</v>
      </c>
      <c r="U4254" s="132">
        <v>1150</v>
      </c>
      <c r="V4254" s="132">
        <v>10963.33</v>
      </c>
      <c r="W4254">
        <v>372</v>
      </c>
      <c r="X4254" s="153" t="s">
        <v>1429</v>
      </c>
      <c r="Y4254" s="124" t="s">
        <v>55</v>
      </c>
      <c r="Z4254" s="308">
        <v>257</v>
      </c>
      <c r="AB4254" t="str">
        <f>IF(Table1[[#This Row],[TIPO2]]="costo", VLOOKUP(Table1[[#This Row],[PARTIDA PRESUPUESTAL]],'Cost Report'!G:G,1,0),"Balance")</f>
        <v>3145-045</v>
      </c>
      <c r="AC4254" s="118"/>
      <c r="AD4254" s="159">
        <f>+Table1[[#This Row],[SUBTOTAL]]+Table1[[#This Row],[IVA]]-Table1[[#This Row],[RET IVA]]-Table1[[#This Row],[RET ISR]]-Table1[[#This Row],[TOTAL]]</f>
        <v>0</v>
      </c>
      <c r="AE4254" s="152"/>
      <c r="AF4254" s="153"/>
      <c r="AG4254" s="126"/>
      <c r="AK4254" s="306" t="str">
        <f>IF(ISNUMBER(Table1[[#This Row],[FECHA DE RECIBIDO]]), Table1[[#This Row],[FECHA DE RECIBIDO]]-DATE(2023,8,30), "")</f>
        <v/>
      </c>
    </row>
    <row r="4255" spans="1:37" ht="16.05" customHeight="1">
      <c r="A4255" s="150" t="s">
        <v>4467</v>
      </c>
      <c r="B4255" s="151">
        <v>1433</v>
      </c>
      <c r="C4255" s="126" t="s">
        <v>2689</v>
      </c>
      <c r="D4255">
        <v>2916</v>
      </c>
      <c r="E4255" s="126" t="s">
        <v>4465</v>
      </c>
      <c r="F4255" s="122" t="s">
        <v>1589</v>
      </c>
      <c r="G4255" s="122" t="s">
        <v>129</v>
      </c>
      <c r="H4255">
        <v>773</v>
      </c>
      <c r="I4255" s="122" t="s">
        <v>1546</v>
      </c>
      <c r="J4255" s="307" t="s">
        <v>214</v>
      </c>
      <c r="K4255" s="127" t="s">
        <v>4625</v>
      </c>
      <c r="L4255" s="151" t="s">
        <v>110</v>
      </c>
      <c r="M4255">
        <v>1076</v>
      </c>
      <c r="N4255" s="123">
        <v>185</v>
      </c>
      <c r="O4255">
        <v>2785</v>
      </c>
      <c r="P4255" s="132" t="s">
        <v>77</v>
      </c>
      <c r="Q4255" s="131">
        <v>34500</v>
      </c>
      <c r="R4255" s="131">
        <v>5520</v>
      </c>
      <c r="S4255" s="131"/>
      <c r="T4255" s="155">
        <v>3680.02</v>
      </c>
      <c r="U4255" s="131">
        <v>3450</v>
      </c>
      <c r="V4255" s="131">
        <v>32889.980000000003</v>
      </c>
      <c r="W4255">
        <v>372</v>
      </c>
      <c r="X4255" s="151" t="s">
        <v>1429</v>
      </c>
      <c r="Y4255" s="135" t="s">
        <v>55</v>
      </c>
      <c r="Z4255" s="307">
        <v>257</v>
      </c>
      <c r="AB4255" t="str">
        <f>IF(Table1[[#This Row],[TIPO2]]="costo", VLOOKUP(Table1[[#This Row],[PARTIDA PRESUPUESTAL]],'Cost Report'!G:G,1,0),"Balance")</f>
        <v>3145-046</v>
      </c>
      <c r="AC4255" s="118"/>
      <c r="AD4255" s="159">
        <f>+Table1[[#This Row],[SUBTOTAL]]+Table1[[#This Row],[IVA]]-Table1[[#This Row],[RET IVA]]-Table1[[#This Row],[RET ISR]]-Table1[[#This Row],[TOTAL]]</f>
        <v>0</v>
      </c>
      <c r="AE4255" s="150"/>
      <c r="AF4255" s="151"/>
      <c r="AG4255" s="126"/>
      <c r="AK4255" s="306" t="str">
        <f>IF(ISNUMBER(Table1[[#This Row],[FECHA DE RECIBIDO]]), Table1[[#This Row],[FECHA DE RECIBIDO]]-DATE(2023,8,30), "")</f>
        <v/>
      </c>
    </row>
    <row r="4256" spans="1:37" ht="16.05" customHeight="1">
      <c r="A4256" s="152" t="s">
        <v>4468</v>
      </c>
      <c r="B4256" s="153">
        <v>1434</v>
      </c>
      <c r="C4256" s="126" t="s">
        <v>3407</v>
      </c>
      <c r="D4256">
        <v>2917</v>
      </c>
      <c r="E4256" s="126" t="s">
        <v>4469</v>
      </c>
      <c r="F4256" s="125" t="s">
        <v>1593</v>
      </c>
      <c r="G4256" s="125" t="s">
        <v>109</v>
      </c>
      <c r="H4256">
        <v>774</v>
      </c>
      <c r="I4256" s="125" t="s">
        <v>1546</v>
      </c>
      <c r="J4256" s="308" t="s">
        <v>214</v>
      </c>
      <c r="K4256" s="127" t="s">
        <v>4625</v>
      </c>
      <c r="L4256" s="153" t="s">
        <v>110</v>
      </c>
      <c r="M4256">
        <v>1077</v>
      </c>
      <c r="N4256" s="123">
        <v>186</v>
      </c>
      <c r="O4256">
        <v>2786</v>
      </c>
      <c r="P4256" s="132" t="s">
        <v>77</v>
      </c>
      <c r="Q4256" s="132">
        <v>20000</v>
      </c>
      <c r="R4256" s="132">
        <v>3200</v>
      </c>
      <c r="S4256" s="132"/>
      <c r="T4256" s="156">
        <v>2133.34</v>
      </c>
      <c r="U4256" s="132">
        <v>250</v>
      </c>
      <c r="V4256" s="132">
        <v>20816.66</v>
      </c>
      <c r="W4256">
        <v>373</v>
      </c>
      <c r="X4256" s="153" t="s">
        <v>1434</v>
      </c>
      <c r="Y4256" s="124" t="s">
        <v>55</v>
      </c>
      <c r="Z4256" s="308">
        <v>257</v>
      </c>
      <c r="AB4256" t="str">
        <f>IF(Table1[[#This Row],[TIPO2]]="costo", VLOOKUP(Table1[[#This Row],[PARTIDA PRESUPUESTAL]],'Cost Report'!G:G,1,0),"Balance")</f>
        <v>3109-010</v>
      </c>
      <c r="AC4256" s="118"/>
      <c r="AD4256" s="159">
        <f>+Table1[[#This Row],[SUBTOTAL]]+Table1[[#This Row],[IVA]]-Table1[[#This Row],[RET IVA]]-Table1[[#This Row],[RET ISR]]-Table1[[#This Row],[TOTAL]]</f>
        <v>0</v>
      </c>
      <c r="AE4256" s="152"/>
      <c r="AF4256" s="153"/>
      <c r="AG4256" s="126"/>
      <c r="AK4256" s="306" t="str">
        <f>IF(ISNUMBER(Table1[[#This Row],[FECHA DE RECIBIDO]]), Table1[[#This Row],[FECHA DE RECIBIDO]]-DATE(2023,8,30), "")</f>
        <v/>
      </c>
    </row>
    <row r="4257" spans="1:37" ht="16.05" customHeight="1">
      <c r="A4257" s="150" t="s">
        <v>4470</v>
      </c>
      <c r="B4257" s="151">
        <v>1435</v>
      </c>
      <c r="C4257" s="126" t="s">
        <v>819</v>
      </c>
      <c r="D4257">
        <v>2918</v>
      </c>
      <c r="E4257" s="126" t="s">
        <v>4469</v>
      </c>
      <c r="F4257" s="122" t="s">
        <v>1593</v>
      </c>
      <c r="G4257" s="122" t="s">
        <v>109</v>
      </c>
      <c r="H4257">
        <v>774</v>
      </c>
      <c r="I4257" s="122" t="s">
        <v>1546</v>
      </c>
      <c r="J4257" s="307" t="s">
        <v>214</v>
      </c>
      <c r="K4257" s="127" t="s">
        <v>4625</v>
      </c>
      <c r="L4257" s="151" t="s">
        <v>110</v>
      </c>
      <c r="M4257">
        <v>1077</v>
      </c>
      <c r="N4257" s="123">
        <v>186</v>
      </c>
      <c r="O4257">
        <v>2787</v>
      </c>
      <c r="P4257" s="132" t="s">
        <v>77</v>
      </c>
      <c r="Q4257" s="131">
        <v>3333</v>
      </c>
      <c r="R4257" s="131">
        <v>533.28</v>
      </c>
      <c r="S4257" s="131"/>
      <c r="T4257" s="155">
        <v>355.52</v>
      </c>
      <c r="U4257" s="131">
        <v>41.66</v>
      </c>
      <c r="V4257" s="131">
        <v>3469.1</v>
      </c>
      <c r="W4257">
        <v>373</v>
      </c>
      <c r="X4257" s="151" t="s">
        <v>1434</v>
      </c>
      <c r="Y4257" s="135" t="s">
        <v>55</v>
      </c>
      <c r="Z4257" s="307">
        <v>257</v>
      </c>
      <c r="AB4257" t="str">
        <f>IF(Table1[[#This Row],[TIPO2]]="costo", VLOOKUP(Table1[[#This Row],[PARTIDA PRESUPUESTAL]],'Cost Report'!G:G,1,0),"Balance")</f>
        <v>3109-008</v>
      </c>
      <c r="AC4257" s="118"/>
      <c r="AD4257" s="159">
        <f>+Table1[[#This Row],[SUBTOTAL]]+Table1[[#This Row],[IVA]]-Table1[[#This Row],[RET IVA]]-Table1[[#This Row],[RET ISR]]-Table1[[#This Row],[TOTAL]]</f>
        <v>0</v>
      </c>
      <c r="AE4257" s="150"/>
      <c r="AF4257" s="151"/>
      <c r="AG4257" s="126"/>
      <c r="AK4257" s="306" t="str">
        <f>IF(ISNUMBER(Table1[[#This Row],[FECHA DE RECIBIDO]]), Table1[[#This Row],[FECHA DE RECIBIDO]]-DATE(2023,8,30), "")</f>
        <v/>
      </c>
    </row>
    <row r="4258" spans="1:37" ht="16.05" customHeight="1">
      <c r="A4258" s="152" t="s">
        <v>4471</v>
      </c>
      <c r="B4258" s="153">
        <v>1436</v>
      </c>
      <c r="C4258" s="126" t="s">
        <v>819</v>
      </c>
      <c r="D4258">
        <v>2919</v>
      </c>
      <c r="E4258" s="126" t="s">
        <v>4469</v>
      </c>
      <c r="F4258" s="125" t="s">
        <v>1593</v>
      </c>
      <c r="G4258" s="125" t="s">
        <v>109</v>
      </c>
      <c r="H4258">
        <v>774</v>
      </c>
      <c r="I4258" s="125" t="s">
        <v>1546</v>
      </c>
      <c r="J4258" s="308" t="s">
        <v>214</v>
      </c>
      <c r="K4258" s="127" t="s">
        <v>4625</v>
      </c>
      <c r="L4258" s="153" t="s">
        <v>110</v>
      </c>
      <c r="M4258">
        <v>1077</v>
      </c>
      <c r="N4258" s="123">
        <v>186</v>
      </c>
      <c r="O4258">
        <v>2788</v>
      </c>
      <c r="P4258" s="132" t="s">
        <v>77</v>
      </c>
      <c r="Q4258" s="132">
        <v>40000</v>
      </c>
      <c r="R4258" s="132">
        <v>6400</v>
      </c>
      <c r="S4258" s="132"/>
      <c r="T4258" s="156">
        <v>4266.68</v>
      </c>
      <c r="U4258" s="132">
        <v>500</v>
      </c>
      <c r="V4258" s="132">
        <v>41633.32</v>
      </c>
      <c r="W4258">
        <v>373</v>
      </c>
      <c r="X4258" s="153" t="s">
        <v>1434</v>
      </c>
      <c r="Y4258" s="124" t="s">
        <v>55</v>
      </c>
      <c r="Z4258" s="308">
        <v>257</v>
      </c>
      <c r="AB4258" t="str">
        <f>IF(Table1[[#This Row],[TIPO2]]="costo", VLOOKUP(Table1[[#This Row],[PARTIDA PRESUPUESTAL]],'Cost Report'!G:G,1,0),"Balance")</f>
        <v>3109-008</v>
      </c>
      <c r="AC4258" s="118"/>
      <c r="AD4258" s="159">
        <f>+Table1[[#This Row],[SUBTOTAL]]+Table1[[#This Row],[IVA]]-Table1[[#This Row],[RET IVA]]-Table1[[#This Row],[RET ISR]]-Table1[[#This Row],[TOTAL]]</f>
        <v>0</v>
      </c>
      <c r="AE4258" s="152"/>
      <c r="AF4258" s="153"/>
      <c r="AG4258" s="126"/>
      <c r="AK4258" s="306" t="str">
        <f>IF(ISNUMBER(Table1[[#This Row],[FECHA DE RECIBIDO]]), Table1[[#This Row],[FECHA DE RECIBIDO]]-DATE(2023,8,30), "")</f>
        <v/>
      </c>
    </row>
    <row r="4259" spans="1:37" ht="16.05" customHeight="1">
      <c r="A4259" s="150" t="s">
        <v>4472</v>
      </c>
      <c r="B4259" s="151">
        <v>1437</v>
      </c>
      <c r="C4259" s="126" t="s">
        <v>2658</v>
      </c>
      <c r="D4259">
        <v>2920</v>
      </c>
      <c r="E4259" s="126" t="s">
        <v>3292</v>
      </c>
      <c r="F4259" s="122" t="s">
        <v>1589</v>
      </c>
      <c r="G4259" s="122" t="s">
        <v>129</v>
      </c>
      <c r="H4259">
        <v>775</v>
      </c>
      <c r="I4259" s="122" t="s">
        <v>1546</v>
      </c>
      <c r="J4259" s="307" t="s">
        <v>214</v>
      </c>
      <c r="K4259" s="127" t="s">
        <v>4625</v>
      </c>
      <c r="L4259" s="151" t="s">
        <v>110</v>
      </c>
      <c r="M4259">
        <v>1078</v>
      </c>
      <c r="N4259" s="123">
        <v>187</v>
      </c>
      <c r="O4259">
        <v>2789</v>
      </c>
      <c r="P4259" s="132" t="s">
        <v>77</v>
      </c>
      <c r="Q4259" s="131">
        <v>35000</v>
      </c>
      <c r="R4259" s="131">
        <v>5600</v>
      </c>
      <c r="S4259" s="131"/>
      <c r="T4259" s="155">
        <v>3733.34</v>
      </c>
      <c r="U4259" s="131">
        <v>3500</v>
      </c>
      <c r="V4259" s="131">
        <v>33366.660000000003</v>
      </c>
      <c r="W4259">
        <v>374</v>
      </c>
      <c r="X4259" s="151" t="s">
        <v>1429</v>
      </c>
      <c r="Y4259" s="135" t="s">
        <v>55</v>
      </c>
      <c r="Z4259" s="307">
        <v>257</v>
      </c>
      <c r="AB4259" t="str">
        <f>IF(Table1[[#This Row],[TIPO2]]="costo", VLOOKUP(Table1[[#This Row],[PARTIDA PRESUPUESTAL]],'Cost Report'!G:G,1,0),"Balance")</f>
        <v>3101-010</v>
      </c>
      <c r="AC4259" s="118"/>
      <c r="AD4259" s="159">
        <f>+Table1[[#This Row],[SUBTOTAL]]+Table1[[#This Row],[IVA]]-Table1[[#This Row],[RET IVA]]-Table1[[#This Row],[RET ISR]]-Table1[[#This Row],[TOTAL]]</f>
        <v>0</v>
      </c>
      <c r="AE4259" s="150"/>
      <c r="AF4259" s="151"/>
      <c r="AG4259" s="126"/>
      <c r="AK4259" s="306" t="str">
        <f>IF(ISNUMBER(Table1[[#This Row],[FECHA DE RECIBIDO]]), Table1[[#This Row],[FECHA DE RECIBIDO]]-DATE(2023,8,30), "")</f>
        <v/>
      </c>
    </row>
    <row r="4260" spans="1:37" ht="16.05" customHeight="1">
      <c r="A4260" s="152"/>
      <c r="B4260" s="153">
        <v>1437</v>
      </c>
      <c r="C4260" s="126" t="s">
        <v>3408</v>
      </c>
      <c r="D4260">
        <v>2920</v>
      </c>
      <c r="E4260" s="126" t="s">
        <v>3292</v>
      </c>
      <c r="F4260" s="125" t="s">
        <v>1589</v>
      </c>
      <c r="G4260" s="125" t="s">
        <v>129</v>
      </c>
      <c r="H4260">
        <v>775</v>
      </c>
      <c r="I4260" s="125" t="s">
        <v>1546</v>
      </c>
      <c r="J4260" s="308" t="s">
        <v>214</v>
      </c>
      <c r="K4260" s="127" t="s">
        <v>4625</v>
      </c>
      <c r="L4260" s="153" t="s">
        <v>110</v>
      </c>
      <c r="M4260">
        <v>1078</v>
      </c>
      <c r="N4260" s="123">
        <v>187</v>
      </c>
      <c r="O4260">
        <v>2789</v>
      </c>
      <c r="P4260" s="132" t="s">
        <v>77</v>
      </c>
      <c r="Q4260" s="132">
        <v>17499.990000000002</v>
      </c>
      <c r="R4260" s="132">
        <v>2799.99</v>
      </c>
      <c r="S4260" s="132"/>
      <c r="T4260" s="156">
        <v>1866.66</v>
      </c>
      <c r="U4260" s="132">
        <v>1749.99</v>
      </c>
      <c r="V4260" s="132">
        <v>16683.330000000002</v>
      </c>
      <c r="W4260">
        <v>374</v>
      </c>
      <c r="X4260" s="153" t="s">
        <v>1429</v>
      </c>
      <c r="Y4260" s="124" t="s">
        <v>55</v>
      </c>
      <c r="Z4260" s="308">
        <v>257</v>
      </c>
      <c r="AB4260" t="str">
        <f>IF(Table1[[#This Row],[TIPO2]]="costo", VLOOKUP(Table1[[#This Row],[PARTIDA PRESUPUESTAL]],'Cost Report'!G:G,1,0),"Balance")</f>
        <v>3145-066</v>
      </c>
      <c r="AC4260" s="118"/>
      <c r="AD4260" s="159">
        <f>+Table1[[#This Row],[SUBTOTAL]]+Table1[[#This Row],[IVA]]-Table1[[#This Row],[RET IVA]]-Table1[[#This Row],[RET ISR]]-Table1[[#This Row],[TOTAL]]</f>
        <v>0</v>
      </c>
      <c r="AE4260" s="152"/>
      <c r="AF4260" s="153"/>
      <c r="AG4260" s="126"/>
      <c r="AK4260" s="306" t="str">
        <f>IF(ISNUMBER(Table1[[#This Row],[FECHA DE RECIBIDO]]), Table1[[#This Row],[FECHA DE RECIBIDO]]-DATE(2023,8,30), "")</f>
        <v/>
      </c>
    </row>
    <row r="4261" spans="1:37" ht="16.05" customHeight="1">
      <c r="A4261" s="150" t="s">
        <v>4473</v>
      </c>
      <c r="B4261" s="151">
        <v>1438</v>
      </c>
      <c r="C4261" s="126" t="s">
        <v>2659</v>
      </c>
      <c r="D4261">
        <v>2921</v>
      </c>
      <c r="E4261" s="126" t="s">
        <v>3292</v>
      </c>
      <c r="F4261" s="122" t="s">
        <v>1589</v>
      </c>
      <c r="G4261" s="122" t="s">
        <v>129</v>
      </c>
      <c r="H4261">
        <v>775</v>
      </c>
      <c r="I4261" s="122" t="s">
        <v>1546</v>
      </c>
      <c r="J4261" s="307" t="s">
        <v>214</v>
      </c>
      <c r="K4261" s="127" t="s">
        <v>4625</v>
      </c>
      <c r="L4261" s="151" t="s">
        <v>110</v>
      </c>
      <c r="M4261">
        <v>1078</v>
      </c>
      <c r="N4261" s="123">
        <v>187</v>
      </c>
      <c r="O4261">
        <v>2790</v>
      </c>
      <c r="P4261" s="132" t="s">
        <v>77</v>
      </c>
      <c r="Q4261" s="131">
        <v>70000</v>
      </c>
      <c r="R4261" s="131">
        <v>11200</v>
      </c>
      <c r="S4261" s="131"/>
      <c r="T4261" s="155">
        <v>7466.69</v>
      </c>
      <c r="U4261" s="131">
        <v>7000</v>
      </c>
      <c r="V4261" s="131">
        <v>66733.31</v>
      </c>
      <c r="W4261">
        <v>374</v>
      </c>
      <c r="X4261" s="151" t="s">
        <v>1429</v>
      </c>
      <c r="Y4261" s="135" t="s">
        <v>55</v>
      </c>
      <c r="Z4261" s="307">
        <v>257</v>
      </c>
      <c r="AB4261" t="str">
        <f>IF(Table1[[#This Row],[TIPO2]]="costo", VLOOKUP(Table1[[#This Row],[PARTIDA PRESUPUESTAL]],'Cost Report'!G:G,1,0),"Balance")</f>
        <v>3101-011</v>
      </c>
      <c r="AC4261" s="118"/>
      <c r="AD4261" s="159">
        <f>+Table1[[#This Row],[SUBTOTAL]]+Table1[[#This Row],[IVA]]-Table1[[#This Row],[RET IVA]]-Table1[[#This Row],[RET ISR]]-Table1[[#This Row],[TOTAL]]</f>
        <v>0</v>
      </c>
      <c r="AE4261" s="150"/>
      <c r="AF4261" s="151"/>
      <c r="AG4261" s="126"/>
      <c r="AK4261" s="306" t="str">
        <f>IF(ISNUMBER(Table1[[#This Row],[FECHA DE RECIBIDO]]), Table1[[#This Row],[FECHA DE RECIBIDO]]-DATE(2023,8,30), "")</f>
        <v/>
      </c>
    </row>
    <row r="4262" spans="1:37" ht="16.05" customHeight="1">
      <c r="A4262" s="152"/>
      <c r="B4262" s="153">
        <v>1438</v>
      </c>
      <c r="C4262" s="126" t="s">
        <v>2658</v>
      </c>
      <c r="D4262">
        <v>2921</v>
      </c>
      <c r="E4262" s="126" t="s">
        <v>3292</v>
      </c>
      <c r="F4262" s="125" t="s">
        <v>1589</v>
      </c>
      <c r="G4262" s="125" t="s">
        <v>129</v>
      </c>
      <c r="H4262">
        <v>775</v>
      </c>
      <c r="I4262" s="125" t="s">
        <v>1546</v>
      </c>
      <c r="J4262" s="308" t="s">
        <v>214</v>
      </c>
      <c r="K4262" s="127" t="s">
        <v>4625</v>
      </c>
      <c r="L4262" s="153" t="s">
        <v>110</v>
      </c>
      <c r="M4262">
        <v>1078</v>
      </c>
      <c r="N4262" s="123">
        <v>187</v>
      </c>
      <c r="O4262">
        <v>2790</v>
      </c>
      <c r="P4262" s="132" t="s">
        <v>77</v>
      </c>
      <c r="Q4262" s="132">
        <v>17500</v>
      </c>
      <c r="R4262" s="132">
        <v>2800</v>
      </c>
      <c r="S4262" s="132"/>
      <c r="T4262" s="156">
        <v>1866.66</v>
      </c>
      <c r="U4262" s="132">
        <v>1750</v>
      </c>
      <c r="V4262" s="132">
        <v>16683.34</v>
      </c>
      <c r="W4262">
        <v>374</v>
      </c>
      <c r="X4262" s="153" t="s">
        <v>1429</v>
      </c>
      <c r="Y4262" s="124" t="s">
        <v>55</v>
      </c>
      <c r="Z4262" s="308">
        <v>257</v>
      </c>
      <c r="AB4262" t="str">
        <f>IF(Table1[[#This Row],[TIPO2]]="costo", VLOOKUP(Table1[[#This Row],[PARTIDA PRESUPUESTAL]],'Cost Report'!G:G,1,0),"Balance")</f>
        <v>3101-010</v>
      </c>
      <c r="AC4262" s="118"/>
      <c r="AD4262" s="159">
        <f>+Table1[[#This Row],[SUBTOTAL]]+Table1[[#This Row],[IVA]]-Table1[[#This Row],[RET IVA]]-Table1[[#This Row],[RET ISR]]-Table1[[#This Row],[TOTAL]]</f>
        <v>0</v>
      </c>
      <c r="AE4262" s="152"/>
      <c r="AF4262" s="153"/>
      <c r="AG4262" s="126"/>
      <c r="AK4262" s="306" t="str">
        <f>IF(ISNUMBER(Table1[[#This Row],[FECHA DE RECIBIDO]]), Table1[[#This Row],[FECHA DE RECIBIDO]]-DATE(2023,8,30), "")</f>
        <v/>
      </c>
    </row>
    <row r="4263" spans="1:37" ht="16.05" customHeight="1">
      <c r="A4263" s="150" t="s">
        <v>4474</v>
      </c>
      <c r="B4263" s="151">
        <v>1439</v>
      </c>
      <c r="C4263" s="126" t="s">
        <v>3406</v>
      </c>
      <c r="D4263">
        <v>2922</v>
      </c>
      <c r="E4263" s="126" t="s">
        <v>1595</v>
      </c>
      <c r="F4263" s="122" t="s">
        <v>1589</v>
      </c>
      <c r="G4263" s="122" t="s">
        <v>129</v>
      </c>
      <c r="H4263">
        <v>776</v>
      </c>
      <c r="I4263" s="122" t="s">
        <v>1546</v>
      </c>
      <c r="J4263" s="307" t="s">
        <v>214</v>
      </c>
      <c r="K4263" s="127" t="s">
        <v>4625</v>
      </c>
      <c r="L4263" s="151" t="s">
        <v>110</v>
      </c>
      <c r="M4263">
        <v>1079</v>
      </c>
      <c r="N4263" s="123">
        <v>188</v>
      </c>
      <c r="O4263">
        <v>2791</v>
      </c>
      <c r="P4263" s="132" t="s">
        <v>77</v>
      </c>
      <c r="Q4263" s="131">
        <v>7520</v>
      </c>
      <c r="R4263" s="131">
        <v>1203.2</v>
      </c>
      <c r="S4263" s="131"/>
      <c r="T4263" s="155">
        <v>802.14</v>
      </c>
      <c r="U4263" s="131">
        <v>752</v>
      </c>
      <c r="V4263" s="131">
        <v>7169.06</v>
      </c>
      <c r="W4263">
        <v>375</v>
      </c>
      <c r="X4263" s="151" t="s">
        <v>1429</v>
      </c>
      <c r="Y4263" s="135" t="s">
        <v>55</v>
      </c>
      <c r="Z4263" s="307">
        <v>257</v>
      </c>
      <c r="AB4263" t="str">
        <f>IF(Table1[[#This Row],[TIPO2]]="costo", VLOOKUP(Table1[[#This Row],[PARTIDA PRESUPUESTAL]],'Cost Report'!G:G,1,0),"Balance")</f>
        <v>3101-013</v>
      </c>
      <c r="AC4263" s="118"/>
      <c r="AD4263" s="159">
        <f>+Table1[[#This Row],[SUBTOTAL]]+Table1[[#This Row],[IVA]]-Table1[[#This Row],[RET IVA]]-Table1[[#This Row],[RET ISR]]-Table1[[#This Row],[TOTAL]]</f>
        <v>0</v>
      </c>
      <c r="AE4263" s="150"/>
      <c r="AF4263" s="151"/>
      <c r="AG4263" s="126"/>
      <c r="AK4263" s="306" t="str">
        <f>IF(ISNUMBER(Table1[[#This Row],[FECHA DE RECIBIDO]]), Table1[[#This Row],[FECHA DE RECIBIDO]]-DATE(2023,8,30), "")</f>
        <v/>
      </c>
    </row>
    <row r="4264" spans="1:37" ht="16.05" customHeight="1">
      <c r="A4264" s="152" t="s">
        <v>4475</v>
      </c>
      <c r="B4264" s="153">
        <v>1440</v>
      </c>
      <c r="C4264" s="126" t="s">
        <v>912</v>
      </c>
      <c r="D4264">
        <v>2923</v>
      </c>
      <c r="E4264" s="126" t="s">
        <v>3649</v>
      </c>
      <c r="F4264" s="125" t="s">
        <v>1589</v>
      </c>
      <c r="G4264" s="125" t="s">
        <v>129</v>
      </c>
      <c r="H4264">
        <v>359</v>
      </c>
      <c r="I4264" s="125" t="s">
        <v>1546</v>
      </c>
      <c r="J4264" s="308" t="s">
        <v>214</v>
      </c>
      <c r="K4264" s="127" t="s">
        <v>4625</v>
      </c>
      <c r="L4264" s="153" t="s">
        <v>110</v>
      </c>
      <c r="M4264">
        <v>477</v>
      </c>
      <c r="N4264" s="123">
        <v>101</v>
      </c>
      <c r="O4264">
        <v>2792</v>
      </c>
      <c r="P4264" s="132" t="s">
        <v>77</v>
      </c>
      <c r="Q4264" s="132">
        <v>12000</v>
      </c>
      <c r="R4264" s="132">
        <v>1920</v>
      </c>
      <c r="S4264" s="132"/>
      <c r="T4264" s="156">
        <v>1280</v>
      </c>
      <c r="U4264" s="132">
        <v>1200</v>
      </c>
      <c r="V4264" s="132">
        <v>11440</v>
      </c>
      <c r="W4264">
        <v>196</v>
      </c>
      <c r="X4264" s="153" t="s">
        <v>1429</v>
      </c>
      <c r="Y4264" s="124" t="s">
        <v>55</v>
      </c>
      <c r="Z4264" s="308">
        <v>257</v>
      </c>
      <c r="AB4264" t="str">
        <f>IF(Table1[[#This Row],[TIPO2]]="costo", VLOOKUP(Table1[[#This Row],[PARTIDA PRESUPUESTAL]],'Cost Report'!G:G,1,0),"Balance")</f>
        <v>3201-005</v>
      </c>
      <c r="AC4264" s="118"/>
      <c r="AD4264" s="159">
        <f>+Table1[[#This Row],[SUBTOTAL]]+Table1[[#This Row],[IVA]]-Table1[[#This Row],[RET IVA]]-Table1[[#This Row],[RET ISR]]-Table1[[#This Row],[TOTAL]]</f>
        <v>0</v>
      </c>
      <c r="AE4264" s="152"/>
      <c r="AF4264" s="153"/>
      <c r="AG4264" s="126"/>
      <c r="AK4264" s="306" t="str">
        <f>IF(ISNUMBER(Table1[[#This Row],[FECHA DE RECIBIDO]]), Table1[[#This Row],[FECHA DE RECIBIDO]]-DATE(2023,8,30), "")</f>
        <v/>
      </c>
    </row>
    <row r="4265" spans="1:37" ht="16.05" customHeight="1">
      <c r="A4265" s="150" t="s">
        <v>4476</v>
      </c>
      <c r="B4265" s="151">
        <v>1441</v>
      </c>
      <c r="C4265" s="126" t="s">
        <v>913</v>
      </c>
      <c r="D4265">
        <v>2924</v>
      </c>
      <c r="E4265" s="126" t="s">
        <v>3649</v>
      </c>
      <c r="F4265" s="122" t="s">
        <v>1589</v>
      </c>
      <c r="G4265" s="122" t="s">
        <v>129</v>
      </c>
      <c r="H4265">
        <v>359</v>
      </c>
      <c r="I4265" s="122" t="s">
        <v>1546</v>
      </c>
      <c r="J4265" s="307" t="s">
        <v>214</v>
      </c>
      <c r="K4265" s="127" t="s">
        <v>4625</v>
      </c>
      <c r="L4265" s="151" t="s">
        <v>110</v>
      </c>
      <c r="M4265">
        <v>477</v>
      </c>
      <c r="N4265" s="123">
        <v>101</v>
      </c>
      <c r="O4265">
        <v>2793</v>
      </c>
      <c r="P4265" s="132" t="s">
        <v>77</v>
      </c>
      <c r="Q4265" s="131">
        <v>9000</v>
      </c>
      <c r="R4265" s="131">
        <v>1440</v>
      </c>
      <c r="S4265" s="131"/>
      <c r="T4265" s="155">
        <v>960</v>
      </c>
      <c r="U4265" s="131">
        <v>900</v>
      </c>
      <c r="V4265" s="131">
        <v>8580</v>
      </c>
      <c r="W4265">
        <v>196</v>
      </c>
      <c r="X4265" s="151" t="s">
        <v>1429</v>
      </c>
      <c r="Y4265" s="135" t="s">
        <v>55</v>
      </c>
      <c r="Z4265" s="307">
        <v>257</v>
      </c>
      <c r="AB4265" t="str">
        <f>IF(Table1[[#This Row],[TIPO2]]="costo", VLOOKUP(Table1[[#This Row],[PARTIDA PRESUPUESTAL]],'Cost Report'!G:G,1,0),"Balance")</f>
        <v>3201-006</v>
      </c>
      <c r="AC4265" s="118"/>
      <c r="AD4265" s="159">
        <f>+Table1[[#This Row],[SUBTOTAL]]+Table1[[#This Row],[IVA]]-Table1[[#This Row],[RET IVA]]-Table1[[#This Row],[RET ISR]]-Table1[[#This Row],[TOTAL]]</f>
        <v>0</v>
      </c>
      <c r="AE4265" s="150"/>
      <c r="AF4265" s="151"/>
      <c r="AG4265" s="126"/>
      <c r="AK4265" s="306" t="str">
        <f>IF(ISNUMBER(Table1[[#This Row],[FECHA DE RECIBIDO]]), Table1[[#This Row],[FECHA DE RECIBIDO]]-DATE(2023,8,30), "")</f>
        <v/>
      </c>
    </row>
    <row r="4266" spans="1:37" ht="16.05" customHeight="1">
      <c r="A4266" s="152" t="s">
        <v>4477</v>
      </c>
      <c r="B4266" s="153">
        <v>1442</v>
      </c>
      <c r="C4266" s="126" t="s">
        <v>913</v>
      </c>
      <c r="D4266">
        <v>2925</v>
      </c>
      <c r="E4266" s="126" t="s">
        <v>2001</v>
      </c>
      <c r="F4266" s="125" t="s">
        <v>1589</v>
      </c>
      <c r="G4266" s="125" t="s">
        <v>129</v>
      </c>
      <c r="H4266">
        <v>360</v>
      </c>
      <c r="I4266" s="125" t="s">
        <v>1546</v>
      </c>
      <c r="J4266" s="308" t="s">
        <v>214</v>
      </c>
      <c r="K4266" s="127" t="s">
        <v>4625</v>
      </c>
      <c r="L4266" s="153" t="s">
        <v>110</v>
      </c>
      <c r="M4266">
        <v>478</v>
      </c>
      <c r="N4266" s="123">
        <v>102</v>
      </c>
      <c r="O4266">
        <v>2794</v>
      </c>
      <c r="P4266" s="132" t="s">
        <v>77</v>
      </c>
      <c r="Q4266" s="132">
        <v>9000</v>
      </c>
      <c r="R4266" s="132">
        <v>1440</v>
      </c>
      <c r="S4266" s="132"/>
      <c r="T4266" s="156">
        <v>960</v>
      </c>
      <c r="U4266" s="132">
        <v>900</v>
      </c>
      <c r="V4266" s="132">
        <v>8580</v>
      </c>
      <c r="W4266">
        <v>197</v>
      </c>
      <c r="X4266" s="153" t="s">
        <v>1431</v>
      </c>
      <c r="Y4266" s="124" t="s">
        <v>55</v>
      </c>
      <c r="Z4266" s="308">
        <v>257</v>
      </c>
      <c r="AB4266" t="str">
        <f>IF(Table1[[#This Row],[TIPO2]]="costo", VLOOKUP(Table1[[#This Row],[PARTIDA PRESUPUESTAL]],'Cost Report'!G:G,1,0),"Balance")</f>
        <v>3201-006</v>
      </c>
      <c r="AC4266" s="118"/>
      <c r="AD4266" s="159">
        <f>+Table1[[#This Row],[SUBTOTAL]]+Table1[[#This Row],[IVA]]-Table1[[#This Row],[RET IVA]]-Table1[[#This Row],[RET ISR]]-Table1[[#This Row],[TOTAL]]</f>
        <v>0</v>
      </c>
      <c r="AE4266" s="152"/>
      <c r="AF4266" s="153"/>
      <c r="AG4266" s="126"/>
      <c r="AK4266" s="306" t="str">
        <f>IF(ISNUMBER(Table1[[#This Row],[FECHA DE RECIBIDO]]), Table1[[#This Row],[FECHA DE RECIBIDO]]-DATE(2023,8,30), "")</f>
        <v/>
      </c>
    </row>
    <row r="4267" spans="1:37" ht="16.05" customHeight="1">
      <c r="A4267" s="150" t="s">
        <v>4478</v>
      </c>
      <c r="B4267" s="151">
        <v>1443</v>
      </c>
      <c r="C4267" s="126" t="s">
        <v>913</v>
      </c>
      <c r="D4267">
        <v>2926</v>
      </c>
      <c r="E4267" s="126" t="s">
        <v>2001</v>
      </c>
      <c r="F4267" s="122" t="s">
        <v>1589</v>
      </c>
      <c r="G4267" s="122" t="s">
        <v>129</v>
      </c>
      <c r="H4267">
        <v>360</v>
      </c>
      <c r="I4267" s="122" t="s">
        <v>1546</v>
      </c>
      <c r="J4267" s="307" t="s">
        <v>214</v>
      </c>
      <c r="K4267" s="127" t="s">
        <v>4625</v>
      </c>
      <c r="L4267" s="151" t="s">
        <v>110</v>
      </c>
      <c r="M4267">
        <v>478</v>
      </c>
      <c r="N4267" s="123">
        <v>102</v>
      </c>
      <c r="O4267">
        <v>2795</v>
      </c>
      <c r="P4267" s="132" t="s">
        <v>77</v>
      </c>
      <c r="Q4267" s="131">
        <v>9000</v>
      </c>
      <c r="R4267" s="131">
        <v>1440</v>
      </c>
      <c r="S4267" s="131"/>
      <c r="T4267" s="155">
        <v>960</v>
      </c>
      <c r="U4267" s="131">
        <v>900</v>
      </c>
      <c r="V4267" s="131">
        <v>8580</v>
      </c>
      <c r="W4267">
        <v>197</v>
      </c>
      <c r="X4267" s="151" t="s">
        <v>1431</v>
      </c>
      <c r="Y4267" s="135" t="s">
        <v>55</v>
      </c>
      <c r="Z4267" s="307">
        <v>257</v>
      </c>
      <c r="AB4267" t="str">
        <f>IF(Table1[[#This Row],[TIPO2]]="costo", VLOOKUP(Table1[[#This Row],[PARTIDA PRESUPUESTAL]],'Cost Report'!G:G,1,0),"Balance")</f>
        <v>3201-006</v>
      </c>
      <c r="AC4267" s="118"/>
      <c r="AD4267" s="159">
        <f>+Table1[[#This Row],[SUBTOTAL]]+Table1[[#This Row],[IVA]]-Table1[[#This Row],[RET IVA]]-Table1[[#This Row],[RET ISR]]-Table1[[#This Row],[TOTAL]]</f>
        <v>0</v>
      </c>
      <c r="AE4267" s="150"/>
      <c r="AF4267" s="151"/>
      <c r="AG4267" s="126"/>
      <c r="AK4267" s="306" t="str">
        <f>IF(ISNUMBER(Table1[[#This Row],[FECHA DE RECIBIDO]]), Table1[[#This Row],[FECHA DE RECIBIDO]]-DATE(2023,8,30), "")</f>
        <v/>
      </c>
    </row>
    <row r="4268" spans="1:37" ht="16.05" customHeight="1">
      <c r="A4268" s="152" t="s">
        <v>4479</v>
      </c>
      <c r="B4268" s="153">
        <v>1444</v>
      </c>
      <c r="C4268" s="126" t="s">
        <v>2736</v>
      </c>
      <c r="D4268">
        <v>2927</v>
      </c>
      <c r="E4268" s="126" t="s">
        <v>1614</v>
      </c>
      <c r="F4268" s="125" t="s">
        <v>1593</v>
      </c>
      <c r="G4268" s="125" t="s">
        <v>109</v>
      </c>
      <c r="H4268">
        <v>527</v>
      </c>
      <c r="I4268" s="125" t="s">
        <v>1546</v>
      </c>
      <c r="J4268" s="308" t="s">
        <v>214</v>
      </c>
      <c r="K4268" s="127" t="s">
        <v>4625</v>
      </c>
      <c r="L4268" s="153" t="s">
        <v>110</v>
      </c>
      <c r="M4268">
        <v>751</v>
      </c>
      <c r="N4268" s="123">
        <v>157</v>
      </c>
      <c r="O4268">
        <v>2796</v>
      </c>
      <c r="P4268" s="132" t="s">
        <v>77</v>
      </c>
      <c r="Q4268" s="132">
        <v>24000</v>
      </c>
      <c r="R4268" s="132">
        <v>3840</v>
      </c>
      <c r="S4268" s="132"/>
      <c r="T4268" s="156">
        <v>2560.08</v>
      </c>
      <c r="U4268" s="132">
        <v>300</v>
      </c>
      <c r="V4268" s="132">
        <v>24979.919999999998</v>
      </c>
      <c r="W4268">
        <v>299</v>
      </c>
      <c r="X4268" s="153" t="s">
        <v>1429</v>
      </c>
      <c r="Y4268" s="124" t="s">
        <v>55</v>
      </c>
      <c r="Z4268" s="308">
        <v>257</v>
      </c>
      <c r="AB4268" t="str">
        <f>IF(Table1[[#This Row],[TIPO2]]="costo", VLOOKUP(Table1[[#This Row],[PARTIDA PRESUPUESTAL]],'Cost Report'!G:G,1,0),"Balance")</f>
        <v>3201-013</v>
      </c>
      <c r="AC4268" s="118"/>
      <c r="AD4268" s="159">
        <f>+Table1[[#This Row],[SUBTOTAL]]+Table1[[#This Row],[IVA]]-Table1[[#This Row],[RET IVA]]-Table1[[#This Row],[RET ISR]]-Table1[[#This Row],[TOTAL]]</f>
        <v>0</v>
      </c>
      <c r="AE4268" s="152"/>
      <c r="AF4268" s="153"/>
      <c r="AG4268" s="126"/>
      <c r="AK4268" s="306" t="str">
        <f>IF(ISNUMBER(Table1[[#This Row],[FECHA DE RECIBIDO]]), Table1[[#This Row],[FECHA DE RECIBIDO]]-DATE(2023,8,30), "")</f>
        <v/>
      </c>
    </row>
    <row r="4269" spans="1:37" ht="16.05" customHeight="1">
      <c r="A4269" s="150" t="s">
        <v>4480</v>
      </c>
      <c r="B4269" s="151">
        <v>1445</v>
      </c>
      <c r="C4269" s="126" t="s">
        <v>716</v>
      </c>
      <c r="D4269">
        <v>2928</v>
      </c>
      <c r="E4269" s="126" t="s">
        <v>3650</v>
      </c>
      <c r="F4269" s="122" t="s">
        <v>1593</v>
      </c>
      <c r="G4269" s="122" t="s">
        <v>109</v>
      </c>
      <c r="H4269">
        <v>362</v>
      </c>
      <c r="I4269" s="122" t="s">
        <v>1546</v>
      </c>
      <c r="J4269" s="307" t="s">
        <v>214</v>
      </c>
      <c r="K4269" s="127" t="s">
        <v>4625</v>
      </c>
      <c r="L4269" s="151" t="s">
        <v>110</v>
      </c>
      <c r="M4269">
        <v>480</v>
      </c>
      <c r="N4269" s="123">
        <v>104</v>
      </c>
      <c r="O4269">
        <v>2797</v>
      </c>
      <c r="P4269" s="132" t="s">
        <v>77</v>
      </c>
      <c r="Q4269" s="131">
        <v>28629.599999999999</v>
      </c>
      <c r="R4269" s="131">
        <v>4580.74</v>
      </c>
      <c r="S4269" s="131"/>
      <c r="T4269" s="155">
        <v>3053.84</v>
      </c>
      <c r="U4269" s="131">
        <v>357.88</v>
      </c>
      <c r="V4269" s="131">
        <v>29798.619999999995</v>
      </c>
      <c r="W4269">
        <v>199</v>
      </c>
      <c r="X4269" s="151" t="s">
        <v>1434</v>
      </c>
      <c r="Y4269" s="135" t="s">
        <v>55</v>
      </c>
      <c r="Z4269" s="307">
        <v>257</v>
      </c>
      <c r="AB4269" t="str">
        <f>IF(Table1[[#This Row],[TIPO2]]="costo", VLOOKUP(Table1[[#This Row],[PARTIDA PRESUPUESTAL]],'Cost Report'!G:G,1,0),"Balance")</f>
        <v>2902-010</v>
      </c>
      <c r="AC4269" s="118"/>
      <c r="AD4269" s="159">
        <f>+Table1[[#This Row],[SUBTOTAL]]+Table1[[#This Row],[IVA]]-Table1[[#This Row],[RET IVA]]-Table1[[#This Row],[RET ISR]]-Table1[[#This Row],[TOTAL]]</f>
        <v>0</v>
      </c>
      <c r="AE4269" s="150"/>
      <c r="AF4269" s="151"/>
      <c r="AG4269" s="126"/>
      <c r="AK4269" s="306" t="str">
        <f>IF(ISNUMBER(Table1[[#This Row],[FECHA DE RECIBIDO]]), Table1[[#This Row],[FECHA DE RECIBIDO]]-DATE(2023,8,30), "")</f>
        <v/>
      </c>
    </row>
    <row r="4270" spans="1:37" ht="16.05" customHeight="1">
      <c r="A4270" s="152" t="s">
        <v>4481</v>
      </c>
      <c r="B4270" s="153">
        <v>1446</v>
      </c>
      <c r="C4270" s="126" t="s">
        <v>720</v>
      </c>
      <c r="D4270">
        <v>2929</v>
      </c>
      <c r="E4270" s="126" t="s">
        <v>3651</v>
      </c>
      <c r="F4270" s="125" t="s">
        <v>1589</v>
      </c>
      <c r="G4270" s="125" t="s">
        <v>129</v>
      </c>
      <c r="H4270">
        <v>363</v>
      </c>
      <c r="I4270" s="125" t="s">
        <v>1546</v>
      </c>
      <c r="J4270" s="308" t="s">
        <v>214</v>
      </c>
      <c r="K4270" s="127" t="s">
        <v>4625</v>
      </c>
      <c r="L4270" s="153" t="s">
        <v>110</v>
      </c>
      <c r="M4270">
        <v>481</v>
      </c>
      <c r="N4270" s="123">
        <v>105</v>
      </c>
      <c r="O4270">
        <v>2798</v>
      </c>
      <c r="P4270" s="132" t="s">
        <v>77</v>
      </c>
      <c r="Q4270" s="132">
        <v>28625.040000000001</v>
      </c>
      <c r="R4270" s="132">
        <v>4580</v>
      </c>
      <c r="S4270" s="132"/>
      <c r="T4270" s="156">
        <v>3053.34</v>
      </c>
      <c r="U4270" s="132">
        <v>2862.5</v>
      </c>
      <c r="V4270" s="132">
        <v>27289.200000000001</v>
      </c>
      <c r="W4270">
        <v>200</v>
      </c>
      <c r="X4270" s="153" t="s">
        <v>1434</v>
      </c>
      <c r="Y4270" s="124" t="s">
        <v>55</v>
      </c>
      <c r="Z4270" s="308">
        <v>257</v>
      </c>
      <c r="AB4270" t="str">
        <f>IF(Table1[[#This Row],[TIPO2]]="costo", VLOOKUP(Table1[[#This Row],[PARTIDA PRESUPUESTAL]],'Cost Report'!G:G,1,0),"Balance")</f>
        <v>2902-016</v>
      </c>
      <c r="AC4270" s="118"/>
      <c r="AD4270" s="159">
        <f>+Table1[[#This Row],[SUBTOTAL]]+Table1[[#This Row],[IVA]]-Table1[[#This Row],[RET IVA]]-Table1[[#This Row],[RET ISR]]-Table1[[#This Row],[TOTAL]]</f>
        <v>0</v>
      </c>
      <c r="AE4270" s="152"/>
      <c r="AF4270" s="153"/>
      <c r="AG4270" s="126"/>
      <c r="AK4270" s="306" t="str">
        <f>IF(ISNUMBER(Table1[[#This Row],[FECHA DE RECIBIDO]]), Table1[[#This Row],[FECHA DE RECIBIDO]]-DATE(2023,8,30), "")</f>
        <v/>
      </c>
    </row>
    <row r="4271" spans="1:37" ht="16.05" customHeight="1">
      <c r="A4271" s="150" t="s">
        <v>4482</v>
      </c>
      <c r="B4271" s="151">
        <v>1447</v>
      </c>
      <c r="C4271" s="126" t="s">
        <v>712</v>
      </c>
      <c r="D4271">
        <v>2930</v>
      </c>
      <c r="E4271" s="126" t="s">
        <v>3137</v>
      </c>
      <c r="F4271" s="122" t="s">
        <v>1593</v>
      </c>
      <c r="G4271" s="122" t="s">
        <v>109</v>
      </c>
      <c r="H4271">
        <v>364</v>
      </c>
      <c r="I4271" s="122" t="s">
        <v>1546</v>
      </c>
      <c r="J4271" s="307" t="s">
        <v>214</v>
      </c>
      <c r="K4271" s="127" t="s">
        <v>4625</v>
      </c>
      <c r="L4271" s="151" t="s">
        <v>110</v>
      </c>
      <c r="M4271">
        <v>482</v>
      </c>
      <c r="N4271" s="123">
        <v>106</v>
      </c>
      <c r="O4271">
        <v>2799</v>
      </c>
      <c r="P4271" s="132" t="s">
        <v>77</v>
      </c>
      <c r="Q4271" s="131">
        <v>28629.599999999999</v>
      </c>
      <c r="R4271" s="131">
        <v>4580.74</v>
      </c>
      <c r="S4271" s="131"/>
      <c r="T4271" s="155">
        <v>3053.84</v>
      </c>
      <c r="U4271" s="131">
        <v>357.88</v>
      </c>
      <c r="V4271" s="131">
        <v>29798.619999999995</v>
      </c>
      <c r="W4271">
        <v>201</v>
      </c>
      <c r="X4271" s="151" t="s">
        <v>1434</v>
      </c>
      <c r="Y4271" s="135" t="s">
        <v>55</v>
      </c>
      <c r="Z4271" s="307">
        <v>257</v>
      </c>
      <c r="AB4271" t="str">
        <f>IF(Table1[[#This Row],[TIPO2]]="costo", VLOOKUP(Table1[[#This Row],[PARTIDA PRESUPUESTAL]],'Cost Report'!G:G,1,0),"Balance")</f>
        <v>2902-004</v>
      </c>
      <c r="AC4271" s="118"/>
      <c r="AD4271" s="159">
        <f>+Table1[[#This Row],[SUBTOTAL]]+Table1[[#This Row],[IVA]]-Table1[[#This Row],[RET IVA]]-Table1[[#This Row],[RET ISR]]-Table1[[#This Row],[TOTAL]]</f>
        <v>0</v>
      </c>
      <c r="AE4271" s="150"/>
      <c r="AF4271" s="151"/>
      <c r="AG4271" s="126"/>
      <c r="AK4271" s="306" t="str">
        <f>IF(ISNUMBER(Table1[[#This Row],[FECHA DE RECIBIDO]]), Table1[[#This Row],[FECHA DE RECIBIDO]]-DATE(2023,8,30), "")</f>
        <v/>
      </c>
    </row>
    <row r="4272" spans="1:37" ht="16.05" customHeight="1">
      <c r="A4272" s="152" t="s">
        <v>4483</v>
      </c>
      <c r="B4272" s="153">
        <v>1448</v>
      </c>
      <c r="C4272" s="126" t="s">
        <v>740</v>
      </c>
      <c r="D4272">
        <v>2931</v>
      </c>
      <c r="E4272" s="126" t="s">
        <v>3652</v>
      </c>
      <c r="F4272" s="125" t="s">
        <v>1593</v>
      </c>
      <c r="G4272" s="125" t="s">
        <v>109</v>
      </c>
      <c r="H4272">
        <v>365</v>
      </c>
      <c r="I4272" s="125" t="s">
        <v>1546</v>
      </c>
      <c r="J4272" s="308" t="s">
        <v>214</v>
      </c>
      <c r="K4272" s="127" t="s">
        <v>4625</v>
      </c>
      <c r="L4272" s="153" t="s">
        <v>110</v>
      </c>
      <c r="M4272">
        <v>483</v>
      </c>
      <c r="N4272" s="123">
        <v>107</v>
      </c>
      <c r="O4272">
        <v>2800</v>
      </c>
      <c r="P4272" s="132" t="s">
        <v>77</v>
      </c>
      <c r="Q4272" s="132">
        <v>28629.599999999999</v>
      </c>
      <c r="R4272" s="132">
        <v>4580.72</v>
      </c>
      <c r="S4272" s="132"/>
      <c r="T4272" s="156">
        <v>3053.82</v>
      </c>
      <c r="U4272" s="132">
        <v>357.86</v>
      </c>
      <c r="V4272" s="132">
        <v>29798.639999999999</v>
      </c>
      <c r="W4272">
        <v>202</v>
      </c>
      <c r="X4272" s="153" t="s">
        <v>3684</v>
      </c>
      <c r="Y4272" s="124" t="s">
        <v>55</v>
      </c>
      <c r="Z4272" s="308">
        <v>257</v>
      </c>
      <c r="AB4272" t="str">
        <f>IF(Table1[[#This Row],[TIPO2]]="costo", VLOOKUP(Table1[[#This Row],[PARTIDA PRESUPUESTAL]],'Cost Report'!G:G,1,0),"Balance")</f>
        <v>3002-004</v>
      </c>
      <c r="AC4272" s="118"/>
      <c r="AD4272" s="159">
        <f>+Table1[[#This Row],[SUBTOTAL]]+Table1[[#This Row],[IVA]]-Table1[[#This Row],[RET IVA]]-Table1[[#This Row],[RET ISR]]-Table1[[#This Row],[TOTAL]]</f>
        <v>0</v>
      </c>
      <c r="AE4272" s="152"/>
      <c r="AF4272" s="153"/>
      <c r="AG4272" s="126"/>
      <c r="AK4272" s="306" t="str">
        <f>IF(ISNUMBER(Table1[[#This Row],[FECHA DE RECIBIDO]]), Table1[[#This Row],[FECHA DE RECIBIDO]]-DATE(2023,8,30), "")</f>
        <v/>
      </c>
    </row>
    <row r="4273" spans="1:37" ht="16.05" customHeight="1">
      <c r="A4273" s="150" t="s">
        <v>4484</v>
      </c>
      <c r="B4273" s="151">
        <v>1449</v>
      </c>
      <c r="C4273" s="126" t="s">
        <v>748</v>
      </c>
      <c r="D4273">
        <v>2932</v>
      </c>
      <c r="E4273" s="126" t="s">
        <v>1997</v>
      </c>
      <c r="F4273" s="122" t="s">
        <v>1593</v>
      </c>
      <c r="G4273" s="122" t="s">
        <v>109</v>
      </c>
      <c r="H4273">
        <v>366</v>
      </c>
      <c r="I4273" s="122" t="s">
        <v>1546</v>
      </c>
      <c r="J4273" s="307" t="s">
        <v>214</v>
      </c>
      <c r="K4273" s="127" t="s">
        <v>4625</v>
      </c>
      <c r="L4273" s="151" t="s">
        <v>110</v>
      </c>
      <c r="M4273">
        <v>484</v>
      </c>
      <c r="N4273" s="123">
        <v>108</v>
      </c>
      <c r="O4273">
        <v>2801</v>
      </c>
      <c r="P4273" s="132" t="s">
        <v>77</v>
      </c>
      <c r="Q4273" s="131">
        <v>28629.599999999999</v>
      </c>
      <c r="R4273" s="131">
        <v>4580.74</v>
      </c>
      <c r="S4273" s="131"/>
      <c r="T4273" s="155">
        <v>3053.84</v>
      </c>
      <c r="U4273" s="131">
        <v>357.88</v>
      </c>
      <c r="V4273" s="131">
        <v>29798.619999999995</v>
      </c>
      <c r="W4273">
        <v>203</v>
      </c>
      <c r="X4273" s="151" t="s">
        <v>1434</v>
      </c>
      <c r="Y4273" s="135" t="s">
        <v>55</v>
      </c>
      <c r="Z4273" s="307">
        <v>257</v>
      </c>
      <c r="AB4273" t="str">
        <f>IF(Table1[[#This Row],[TIPO2]]="costo", VLOOKUP(Table1[[#This Row],[PARTIDA PRESUPUESTAL]],'Cost Report'!G:G,1,0),"Balance")</f>
        <v>3002-016</v>
      </c>
      <c r="AC4273" s="118"/>
      <c r="AD4273" s="159">
        <f>+Table1[[#This Row],[SUBTOTAL]]+Table1[[#This Row],[IVA]]-Table1[[#This Row],[RET IVA]]-Table1[[#This Row],[RET ISR]]-Table1[[#This Row],[TOTAL]]</f>
        <v>0</v>
      </c>
      <c r="AE4273" s="150"/>
      <c r="AF4273" s="151"/>
      <c r="AG4273" s="126"/>
      <c r="AK4273" s="306" t="str">
        <f>IF(ISNUMBER(Table1[[#This Row],[FECHA DE RECIBIDO]]), Table1[[#This Row],[FECHA DE RECIBIDO]]-DATE(2023,8,30), "")</f>
        <v/>
      </c>
    </row>
    <row r="4274" spans="1:37" ht="16.05" customHeight="1">
      <c r="A4274" s="152" t="s">
        <v>4485</v>
      </c>
      <c r="B4274" s="153">
        <v>1450</v>
      </c>
      <c r="C4274" s="126" t="s">
        <v>2629</v>
      </c>
      <c r="D4274">
        <v>2933</v>
      </c>
      <c r="E4274" s="126" t="s">
        <v>3373</v>
      </c>
      <c r="F4274" s="125" t="s">
        <v>1593</v>
      </c>
      <c r="G4274" s="125" t="s">
        <v>109</v>
      </c>
      <c r="H4274">
        <v>367</v>
      </c>
      <c r="I4274" s="125" t="s">
        <v>1546</v>
      </c>
      <c r="J4274" s="308" t="s">
        <v>214</v>
      </c>
      <c r="K4274" s="127" t="s">
        <v>4625</v>
      </c>
      <c r="L4274" s="153" t="s">
        <v>110</v>
      </c>
      <c r="M4274">
        <v>485</v>
      </c>
      <c r="N4274" s="123">
        <v>109</v>
      </c>
      <c r="O4274">
        <v>2802</v>
      </c>
      <c r="P4274" s="132" t="s">
        <v>77</v>
      </c>
      <c r="Q4274" s="132">
        <v>17622.150000000001</v>
      </c>
      <c r="R4274" s="132">
        <v>2819.54</v>
      </c>
      <c r="S4274" s="132"/>
      <c r="T4274" s="156">
        <v>1879.7</v>
      </c>
      <c r="U4274" s="132">
        <v>220.27</v>
      </c>
      <c r="V4274" s="132">
        <v>18341.72</v>
      </c>
      <c r="W4274">
        <v>204</v>
      </c>
      <c r="X4274" s="153" t="s">
        <v>3684</v>
      </c>
      <c r="Y4274" s="124" t="s">
        <v>55</v>
      </c>
      <c r="Z4274" s="308">
        <v>257</v>
      </c>
      <c r="AB4274" t="str">
        <f>IF(Table1[[#This Row],[TIPO2]]="costo", VLOOKUP(Table1[[#This Row],[PARTIDA PRESUPUESTAL]],'Cost Report'!G:G,1,0),"Balance")</f>
        <v>3001-010</v>
      </c>
      <c r="AC4274" s="118"/>
      <c r="AD4274" s="159">
        <f>+Table1[[#This Row],[SUBTOTAL]]+Table1[[#This Row],[IVA]]-Table1[[#This Row],[RET IVA]]-Table1[[#This Row],[RET ISR]]-Table1[[#This Row],[TOTAL]]</f>
        <v>0</v>
      </c>
      <c r="AE4274" s="152"/>
      <c r="AF4274" s="153"/>
      <c r="AG4274" s="126"/>
      <c r="AK4274" s="306" t="str">
        <f>IF(ISNUMBER(Table1[[#This Row],[FECHA DE RECIBIDO]]), Table1[[#This Row],[FECHA DE RECIBIDO]]-DATE(2023,8,30), "")</f>
        <v/>
      </c>
    </row>
    <row r="4275" spans="1:37" ht="16.05" customHeight="1">
      <c r="A4275" s="150" t="s">
        <v>4486</v>
      </c>
      <c r="B4275" s="151">
        <v>1451</v>
      </c>
      <c r="C4275" s="126" t="s">
        <v>2629</v>
      </c>
      <c r="D4275">
        <v>2934</v>
      </c>
      <c r="E4275" s="126" t="s">
        <v>3373</v>
      </c>
      <c r="F4275" s="122" t="s">
        <v>1593</v>
      </c>
      <c r="G4275" s="122" t="s">
        <v>109</v>
      </c>
      <c r="H4275">
        <v>367</v>
      </c>
      <c r="I4275" s="122" t="s">
        <v>1546</v>
      </c>
      <c r="J4275" s="307" t="s">
        <v>214</v>
      </c>
      <c r="K4275" s="127" t="s">
        <v>4625</v>
      </c>
      <c r="L4275" s="151" t="s">
        <v>110</v>
      </c>
      <c r="M4275">
        <v>485</v>
      </c>
      <c r="N4275" s="123">
        <v>109</v>
      </c>
      <c r="O4275">
        <v>2803</v>
      </c>
      <c r="P4275" s="132" t="s">
        <v>77</v>
      </c>
      <c r="Q4275" s="131">
        <v>3307.35</v>
      </c>
      <c r="R4275" s="131">
        <v>529.16999999999996</v>
      </c>
      <c r="S4275" s="131"/>
      <c r="T4275" s="155">
        <v>352.78</v>
      </c>
      <c r="U4275" s="131">
        <v>41.34</v>
      </c>
      <c r="V4275" s="131">
        <v>3442.3999999999996</v>
      </c>
      <c r="W4275">
        <v>204</v>
      </c>
      <c r="X4275" s="151" t="s">
        <v>3684</v>
      </c>
      <c r="Y4275" s="135" t="s">
        <v>55</v>
      </c>
      <c r="Z4275" s="307">
        <v>257</v>
      </c>
      <c r="AB4275" t="str">
        <f>IF(Table1[[#This Row],[TIPO2]]="costo", VLOOKUP(Table1[[#This Row],[PARTIDA PRESUPUESTAL]],'Cost Report'!G:G,1,0),"Balance")</f>
        <v>3001-010</v>
      </c>
      <c r="AC4275" s="118"/>
      <c r="AD4275" s="159">
        <f>+Table1[[#This Row],[SUBTOTAL]]+Table1[[#This Row],[IVA]]-Table1[[#This Row],[RET IVA]]-Table1[[#This Row],[RET ISR]]-Table1[[#This Row],[TOTAL]]</f>
        <v>0</v>
      </c>
      <c r="AE4275" s="150"/>
      <c r="AF4275" s="151"/>
      <c r="AG4275" s="126"/>
      <c r="AK4275" s="306" t="str">
        <f>IF(ISNUMBER(Table1[[#This Row],[FECHA DE RECIBIDO]]), Table1[[#This Row],[FECHA DE RECIBIDO]]-DATE(2023,8,30), "")</f>
        <v/>
      </c>
    </row>
    <row r="4276" spans="1:37" ht="16.05" customHeight="1">
      <c r="A4276" s="152" t="s">
        <v>4487</v>
      </c>
      <c r="B4276" s="153">
        <v>1452</v>
      </c>
      <c r="C4276" s="126" t="s">
        <v>744</v>
      </c>
      <c r="D4276">
        <v>2935</v>
      </c>
      <c r="E4276" s="126" t="s">
        <v>3373</v>
      </c>
      <c r="F4276" s="125" t="s">
        <v>1593</v>
      </c>
      <c r="G4276" s="125" t="s">
        <v>109</v>
      </c>
      <c r="H4276">
        <v>367</v>
      </c>
      <c r="I4276" s="125" t="s">
        <v>1546</v>
      </c>
      <c r="J4276" s="308" t="s">
        <v>214</v>
      </c>
      <c r="K4276" s="127" t="s">
        <v>4625</v>
      </c>
      <c r="L4276" s="153" t="s">
        <v>110</v>
      </c>
      <c r="M4276">
        <v>485</v>
      </c>
      <c r="N4276" s="123">
        <v>109</v>
      </c>
      <c r="O4276">
        <v>2804</v>
      </c>
      <c r="P4276" s="132" t="s">
        <v>77</v>
      </c>
      <c r="Q4276" s="132">
        <v>14314.8</v>
      </c>
      <c r="R4276" s="132">
        <v>2290.36</v>
      </c>
      <c r="S4276" s="132"/>
      <c r="T4276" s="156">
        <v>1526.91</v>
      </c>
      <c r="U4276" s="132">
        <v>178.93</v>
      </c>
      <c r="V4276" s="132">
        <v>14899.32</v>
      </c>
      <c r="W4276">
        <v>204</v>
      </c>
      <c r="X4276" s="153" t="s">
        <v>3684</v>
      </c>
      <c r="Y4276" s="124" t="s">
        <v>55</v>
      </c>
      <c r="Z4276" s="308">
        <v>257</v>
      </c>
      <c r="AB4276" t="str">
        <f>IF(Table1[[#This Row],[TIPO2]]="costo", VLOOKUP(Table1[[#This Row],[PARTIDA PRESUPUESTAL]],'Cost Report'!G:G,1,0),"Balance")</f>
        <v>3002-010</v>
      </c>
      <c r="AC4276" s="118"/>
      <c r="AD4276" s="159">
        <f>+Table1[[#This Row],[SUBTOTAL]]+Table1[[#This Row],[IVA]]-Table1[[#This Row],[RET IVA]]-Table1[[#This Row],[RET ISR]]-Table1[[#This Row],[TOTAL]]</f>
        <v>0</v>
      </c>
      <c r="AE4276" s="152"/>
      <c r="AF4276" s="153"/>
      <c r="AG4276" s="126"/>
      <c r="AK4276" s="306" t="str">
        <f>IF(ISNUMBER(Table1[[#This Row],[FECHA DE RECIBIDO]]), Table1[[#This Row],[FECHA DE RECIBIDO]]-DATE(2023,8,30), "")</f>
        <v/>
      </c>
    </row>
    <row r="4277" spans="1:37" ht="16.05" customHeight="1">
      <c r="A4277" s="150" t="s">
        <v>4488</v>
      </c>
      <c r="B4277" s="151">
        <v>1453</v>
      </c>
      <c r="C4277" s="126" t="s">
        <v>734</v>
      </c>
      <c r="D4277">
        <v>2936</v>
      </c>
      <c r="E4277" s="126" t="s">
        <v>3268</v>
      </c>
      <c r="F4277" s="122" t="s">
        <v>1593</v>
      </c>
      <c r="G4277" s="122" t="s">
        <v>109</v>
      </c>
      <c r="H4277">
        <v>255</v>
      </c>
      <c r="I4277" s="122" t="s">
        <v>1546</v>
      </c>
      <c r="J4277" s="307" t="s">
        <v>214</v>
      </c>
      <c r="K4277" s="127" t="s">
        <v>4625</v>
      </c>
      <c r="L4277" s="151" t="s">
        <v>110</v>
      </c>
      <c r="M4277">
        <v>486</v>
      </c>
      <c r="N4277" s="123">
        <v>1</v>
      </c>
      <c r="O4277">
        <v>2805</v>
      </c>
      <c r="P4277" s="132" t="s">
        <v>77</v>
      </c>
      <c r="Q4277" s="131">
        <v>35243.379999999997</v>
      </c>
      <c r="R4277" s="131">
        <v>5638.94</v>
      </c>
      <c r="S4277" s="131"/>
      <c r="T4277" s="155">
        <v>3759.3</v>
      </c>
      <c r="U4277" s="131">
        <v>440.55</v>
      </c>
      <c r="V4277" s="131">
        <v>36682.469999999994</v>
      </c>
      <c r="W4277">
        <v>205</v>
      </c>
      <c r="X4277" s="151" t="s">
        <v>2024</v>
      </c>
      <c r="Y4277" s="135" t="s">
        <v>55</v>
      </c>
      <c r="Z4277" s="307">
        <v>257</v>
      </c>
      <c r="AB4277" t="str">
        <f>IF(Table1[[#This Row],[TIPO2]]="costo", VLOOKUP(Table1[[#This Row],[PARTIDA PRESUPUESTAL]],'Cost Report'!G:G,1,0),"Balance")</f>
        <v>3001-004</v>
      </c>
      <c r="AC4277" s="118"/>
      <c r="AD4277" s="159">
        <f>+Table1[[#This Row],[SUBTOTAL]]+Table1[[#This Row],[IVA]]-Table1[[#This Row],[RET IVA]]-Table1[[#This Row],[RET ISR]]-Table1[[#This Row],[TOTAL]]</f>
        <v>0</v>
      </c>
      <c r="AE4277" s="150"/>
      <c r="AF4277" s="151"/>
      <c r="AG4277" s="126"/>
      <c r="AK4277" s="306" t="str">
        <f>IF(ISNUMBER(Table1[[#This Row],[FECHA DE RECIBIDO]]), Table1[[#This Row],[FECHA DE RECIBIDO]]-DATE(2023,8,30), "")</f>
        <v/>
      </c>
    </row>
    <row r="4278" spans="1:37" ht="16.05" customHeight="1">
      <c r="A4278" s="152" t="s">
        <v>4489</v>
      </c>
      <c r="B4278" s="153">
        <v>1454</v>
      </c>
      <c r="C4278" s="126" t="s">
        <v>752</v>
      </c>
      <c r="D4278">
        <v>2937</v>
      </c>
      <c r="E4278" s="126" t="s">
        <v>3275</v>
      </c>
      <c r="F4278" s="125" t="s">
        <v>1589</v>
      </c>
      <c r="G4278" s="125" t="s">
        <v>129</v>
      </c>
      <c r="H4278">
        <v>777</v>
      </c>
      <c r="I4278" s="125" t="s">
        <v>1546</v>
      </c>
      <c r="J4278" s="308" t="s">
        <v>214</v>
      </c>
      <c r="K4278" s="127" t="s">
        <v>4625</v>
      </c>
      <c r="L4278" s="153" t="s">
        <v>110</v>
      </c>
      <c r="M4278">
        <v>1080</v>
      </c>
      <c r="N4278" s="123">
        <v>189</v>
      </c>
      <c r="O4278">
        <v>2806</v>
      </c>
      <c r="P4278" s="132" t="s">
        <v>77</v>
      </c>
      <c r="Q4278" s="132">
        <v>28629.599999999999</v>
      </c>
      <c r="R4278" s="132">
        <v>4580.74</v>
      </c>
      <c r="S4278" s="132"/>
      <c r="T4278" s="156">
        <v>3053.84</v>
      </c>
      <c r="U4278" s="132">
        <v>2862.96</v>
      </c>
      <c r="V4278" s="132">
        <v>27293.539999999997</v>
      </c>
      <c r="W4278">
        <v>376</v>
      </c>
      <c r="X4278" s="153" t="s">
        <v>3684</v>
      </c>
      <c r="Y4278" s="124" t="s">
        <v>55</v>
      </c>
      <c r="Z4278" s="308">
        <v>257</v>
      </c>
      <c r="AB4278" t="str">
        <f>IF(Table1[[#This Row],[TIPO2]]="costo", VLOOKUP(Table1[[#This Row],[PARTIDA PRESUPUESTAL]],'Cost Report'!G:G,1,0),"Balance")</f>
        <v>3002-022</v>
      </c>
      <c r="AC4278" s="118"/>
      <c r="AD4278" s="159">
        <f>+Table1[[#This Row],[SUBTOTAL]]+Table1[[#This Row],[IVA]]-Table1[[#This Row],[RET IVA]]-Table1[[#This Row],[RET ISR]]-Table1[[#This Row],[TOTAL]]</f>
        <v>0</v>
      </c>
      <c r="AE4278" s="152"/>
      <c r="AF4278" s="153"/>
      <c r="AG4278" s="126"/>
      <c r="AK4278" s="306" t="str">
        <f>IF(ISNUMBER(Table1[[#This Row],[FECHA DE RECIBIDO]]), Table1[[#This Row],[FECHA DE RECIBIDO]]-DATE(2023,8,30), "")</f>
        <v/>
      </c>
    </row>
    <row r="4279" spans="1:37" ht="16.05" customHeight="1">
      <c r="A4279" s="150" t="s">
        <v>4490</v>
      </c>
      <c r="B4279" s="151">
        <v>1455</v>
      </c>
      <c r="C4279" s="126" t="s">
        <v>2633</v>
      </c>
      <c r="D4279">
        <v>2938</v>
      </c>
      <c r="E4279" s="126" t="s">
        <v>4491</v>
      </c>
      <c r="F4279" s="122" t="s">
        <v>1589</v>
      </c>
      <c r="G4279" s="122" t="s">
        <v>129</v>
      </c>
      <c r="H4279">
        <v>778</v>
      </c>
      <c r="I4279" s="122" t="s">
        <v>1546</v>
      </c>
      <c r="J4279" s="307" t="s">
        <v>214</v>
      </c>
      <c r="K4279" s="127" t="s">
        <v>4625</v>
      </c>
      <c r="L4279" s="151" t="s">
        <v>110</v>
      </c>
      <c r="M4279">
        <v>1081</v>
      </c>
      <c r="N4279" s="123">
        <v>190</v>
      </c>
      <c r="O4279">
        <v>2807</v>
      </c>
      <c r="P4279" s="132" t="s">
        <v>77</v>
      </c>
      <c r="Q4279" s="131">
        <v>31020.17</v>
      </c>
      <c r="R4279" s="131">
        <v>4963.2299999999996</v>
      </c>
      <c r="S4279" s="131"/>
      <c r="T4279" s="155">
        <v>3308.83</v>
      </c>
      <c r="U4279" s="131">
        <v>3102.02</v>
      </c>
      <c r="V4279" s="131">
        <v>29572.549999999992</v>
      </c>
      <c r="W4279">
        <v>377</v>
      </c>
      <c r="X4279" s="151" t="s">
        <v>1430</v>
      </c>
      <c r="Y4279" s="135" t="s">
        <v>55</v>
      </c>
      <c r="Z4279" s="307">
        <v>257</v>
      </c>
      <c r="AB4279" t="str">
        <f>IF(Table1[[#This Row],[TIPO2]]="costo", VLOOKUP(Table1[[#This Row],[PARTIDA PRESUPUESTAL]],'Cost Report'!G:G,1,0),"Balance")</f>
        <v>3002-028</v>
      </c>
      <c r="AC4279" s="118"/>
      <c r="AD4279" s="159">
        <f>+Table1[[#This Row],[SUBTOTAL]]+Table1[[#This Row],[IVA]]-Table1[[#This Row],[RET IVA]]-Table1[[#This Row],[RET ISR]]-Table1[[#This Row],[TOTAL]]</f>
        <v>0</v>
      </c>
      <c r="AE4279" s="150"/>
      <c r="AF4279" s="151"/>
      <c r="AG4279" s="126"/>
      <c r="AK4279" s="306" t="str">
        <f>IF(ISNUMBER(Table1[[#This Row],[FECHA DE RECIBIDO]]), Table1[[#This Row],[FECHA DE RECIBIDO]]-DATE(2023,8,30), "")</f>
        <v/>
      </c>
    </row>
    <row r="4280" spans="1:37" ht="16.05" customHeight="1">
      <c r="A4280" s="152" t="s">
        <v>4492</v>
      </c>
      <c r="B4280" s="153">
        <v>1456</v>
      </c>
      <c r="C4280" s="126" t="s">
        <v>2637</v>
      </c>
      <c r="D4280">
        <v>2939</v>
      </c>
      <c r="E4280" s="126" t="s">
        <v>4493</v>
      </c>
      <c r="F4280" s="125" t="s">
        <v>1602</v>
      </c>
      <c r="G4280" s="125" t="s">
        <v>1617</v>
      </c>
      <c r="H4280">
        <v>779</v>
      </c>
      <c r="I4280" s="125" t="s">
        <v>1546</v>
      </c>
      <c r="J4280" s="308" t="s">
        <v>214</v>
      </c>
      <c r="K4280" s="127" t="s">
        <v>4625</v>
      </c>
      <c r="L4280" s="153" t="s">
        <v>110</v>
      </c>
      <c r="M4280">
        <v>1082</v>
      </c>
      <c r="N4280" s="123">
        <v>191</v>
      </c>
      <c r="O4280">
        <v>2808</v>
      </c>
      <c r="P4280" s="132" t="s">
        <v>77</v>
      </c>
      <c r="Q4280" s="132">
        <v>14317</v>
      </c>
      <c r="R4280" s="132">
        <v>2290.7199999999998</v>
      </c>
      <c r="S4280" s="132"/>
      <c r="T4280" s="156">
        <v>1527.15</v>
      </c>
      <c r="U4280" s="132">
        <v>0</v>
      </c>
      <c r="V4280" s="132">
        <v>15080.570000000002</v>
      </c>
      <c r="W4280">
        <v>378</v>
      </c>
      <c r="X4280" s="153" t="s">
        <v>2024</v>
      </c>
      <c r="Y4280" s="124" t="s">
        <v>55</v>
      </c>
      <c r="Z4280" s="308">
        <v>257</v>
      </c>
      <c r="AB4280" t="str">
        <f>IF(Table1[[#This Row],[TIPO2]]="costo", VLOOKUP(Table1[[#This Row],[PARTIDA PRESUPUESTAL]],'Cost Report'!G:G,1,0),"Balance")</f>
        <v>3002-034</v>
      </c>
      <c r="AC4280" s="118"/>
      <c r="AD4280" s="159">
        <f>+Table1[[#This Row],[SUBTOTAL]]+Table1[[#This Row],[IVA]]-Table1[[#This Row],[RET IVA]]-Table1[[#This Row],[RET ISR]]-Table1[[#This Row],[TOTAL]]</f>
        <v>0</v>
      </c>
      <c r="AE4280" s="152"/>
      <c r="AF4280" s="153"/>
      <c r="AG4280" s="126"/>
      <c r="AK4280" s="306" t="str">
        <f>IF(ISNUMBER(Table1[[#This Row],[FECHA DE RECIBIDO]]), Table1[[#This Row],[FECHA DE RECIBIDO]]-DATE(2023,8,30), "")</f>
        <v/>
      </c>
    </row>
    <row r="4281" spans="1:37" ht="16.05" customHeight="1">
      <c r="A4281" s="150" t="s">
        <v>4494</v>
      </c>
      <c r="B4281" s="151">
        <v>1457</v>
      </c>
      <c r="C4281" s="126" t="s">
        <v>2637</v>
      </c>
      <c r="D4281">
        <v>2940</v>
      </c>
      <c r="E4281" s="126" t="s">
        <v>4493</v>
      </c>
      <c r="F4281" s="122" t="s">
        <v>1602</v>
      </c>
      <c r="G4281" s="122" t="s">
        <v>1617</v>
      </c>
      <c r="H4281">
        <v>779</v>
      </c>
      <c r="I4281" s="122" t="s">
        <v>1546</v>
      </c>
      <c r="J4281" s="307" t="s">
        <v>214</v>
      </c>
      <c r="K4281" s="127" t="s">
        <v>4625</v>
      </c>
      <c r="L4281" s="151" t="s">
        <v>110</v>
      </c>
      <c r="M4281">
        <v>1082</v>
      </c>
      <c r="N4281" s="123">
        <v>191</v>
      </c>
      <c r="O4281">
        <v>2809</v>
      </c>
      <c r="P4281" s="132" t="s">
        <v>77</v>
      </c>
      <c r="Q4281" s="131">
        <v>14317</v>
      </c>
      <c r="R4281" s="131">
        <v>2290.7199999999998</v>
      </c>
      <c r="S4281" s="131"/>
      <c r="T4281" s="155">
        <v>1527.15</v>
      </c>
      <c r="U4281" s="131">
        <v>0</v>
      </c>
      <c r="V4281" s="131">
        <v>15080.570000000002</v>
      </c>
      <c r="W4281">
        <v>378</v>
      </c>
      <c r="X4281" s="151" t="s">
        <v>2024</v>
      </c>
      <c r="Y4281" s="135" t="s">
        <v>55</v>
      </c>
      <c r="Z4281" s="307">
        <v>257</v>
      </c>
      <c r="AB4281" t="str">
        <f>IF(Table1[[#This Row],[TIPO2]]="costo", VLOOKUP(Table1[[#This Row],[PARTIDA PRESUPUESTAL]],'Cost Report'!G:G,1,0),"Balance")</f>
        <v>3002-034</v>
      </c>
      <c r="AC4281" s="118"/>
      <c r="AD4281" s="159">
        <f>+Table1[[#This Row],[SUBTOTAL]]+Table1[[#This Row],[IVA]]-Table1[[#This Row],[RET IVA]]-Table1[[#This Row],[RET ISR]]-Table1[[#This Row],[TOTAL]]</f>
        <v>0</v>
      </c>
      <c r="AE4281" s="150"/>
      <c r="AF4281" s="151"/>
      <c r="AG4281" s="126"/>
      <c r="AK4281" s="306" t="str">
        <f>IF(ISNUMBER(Table1[[#This Row],[FECHA DE RECIBIDO]]), Table1[[#This Row],[FECHA DE RECIBIDO]]-DATE(2023,8,30), "")</f>
        <v/>
      </c>
    </row>
    <row r="4282" spans="1:37" ht="16.05" customHeight="1">
      <c r="A4282" s="152" t="s">
        <v>4495</v>
      </c>
      <c r="B4282" s="153">
        <v>1458</v>
      </c>
      <c r="C4282" s="126" t="s">
        <v>752</v>
      </c>
      <c r="D4282">
        <v>2941</v>
      </c>
      <c r="E4282" s="126" t="s">
        <v>3932</v>
      </c>
      <c r="F4282" s="125" t="s">
        <v>1589</v>
      </c>
      <c r="G4282" s="125" t="s">
        <v>129</v>
      </c>
      <c r="H4282">
        <v>780</v>
      </c>
      <c r="I4282" s="125" t="s">
        <v>1546</v>
      </c>
      <c r="J4282" s="308" t="s">
        <v>214</v>
      </c>
      <c r="K4282" s="127" t="s">
        <v>4625</v>
      </c>
      <c r="L4282" s="153" t="s">
        <v>110</v>
      </c>
      <c r="M4282">
        <v>1083</v>
      </c>
      <c r="N4282" s="123">
        <v>192</v>
      </c>
      <c r="O4282">
        <v>2810</v>
      </c>
      <c r="P4282" s="132" t="s">
        <v>77</v>
      </c>
      <c r="Q4282" s="132">
        <v>28634</v>
      </c>
      <c r="R4282" s="132">
        <v>4581.4399999999996</v>
      </c>
      <c r="S4282" s="132"/>
      <c r="T4282" s="156">
        <v>3054.3</v>
      </c>
      <c r="U4282" s="132">
        <v>2863.4</v>
      </c>
      <c r="V4282" s="132">
        <v>27297.74</v>
      </c>
      <c r="W4282">
        <v>379</v>
      </c>
      <c r="X4282" s="153" t="s">
        <v>1429</v>
      </c>
      <c r="Y4282" s="124" t="s">
        <v>55</v>
      </c>
      <c r="Z4282" s="308">
        <v>257</v>
      </c>
      <c r="AB4282" t="str">
        <f>IF(Table1[[#This Row],[TIPO2]]="costo", VLOOKUP(Table1[[#This Row],[PARTIDA PRESUPUESTAL]],'Cost Report'!G:G,1,0),"Balance")</f>
        <v>3002-022</v>
      </c>
      <c r="AC4282" s="118"/>
      <c r="AD4282" s="159">
        <f>+Table1[[#This Row],[SUBTOTAL]]+Table1[[#This Row],[IVA]]-Table1[[#This Row],[RET IVA]]-Table1[[#This Row],[RET ISR]]-Table1[[#This Row],[TOTAL]]</f>
        <v>0</v>
      </c>
      <c r="AE4282" s="152"/>
      <c r="AF4282" s="153"/>
      <c r="AG4282" s="126"/>
      <c r="AK4282" s="306" t="str">
        <f>IF(ISNUMBER(Table1[[#This Row],[FECHA DE RECIBIDO]]), Table1[[#This Row],[FECHA DE RECIBIDO]]-DATE(2023,8,30), "")</f>
        <v/>
      </c>
    </row>
    <row r="4283" spans="1:37" ht="16.05" customHeight="1">
      <c r="A4283" s="150" t="s">
        <v>4496</v>
      </c>
      <c r="B4283" s="151">
        <v>1459</v>
      </c>
      <c r="C4283" s="126" t="s">
        <v>2633</v>
      </c>
      <c r="D4283">
        <v>2942</v>
      </c>
      <c r="E4283" s="126" t="s">
        <v>3843</v>
      </c>
      <c r="F4283" s="122" t="s">
        <v>1593</v>
      </c>
      <c r="G4283" s="122" t="s">
        <v>109</v>
      </c>
      <c r="H4283">
        <v>781</v>
      </c>
      <c r="I4283" s="122" t="s">
        <v>1546</v>
      </c>
      <c r="J4283" s="307" t="s">
        <v>214</v>
      </c>
      <c r="K4283" s="127" t="s">
        <v>4625</v>
      </c>
      <c r="L4283" s="151" t="s">
        <v>110</v>
      </c>
      <c r="M4283">
        <v>1084</v>
      </c>
      <c r="N4283" s="123">
        <v>193</v>
      </c>
      <c r="O4283">
        <v>2811</v>
      </c>
      <c r="P4283" s="132" t="s">
        <v>77</v>
      </c>
      <c r="Q4283" s="131">
        <v>2385.8000000000002</v>
      </c>
      <c r="R4283" s="131">
        <v>381.73</v>
      </c>
      <c r="S4283" s="131"/>
      <c r="T4283" s="155">
        <v>254.49</v>
      </c>
      <c r="U4283" s="131">
        <v>29.82</v>
      </c>
      <c r="V4283" s="131">
        <v>2483.2199999999998</v>
      </c>
      <c r="W4283">
        <v>380</v>
      </c>
      <c r="X4283" s="151" t="s">
        <v>1434</v>
      </c>
      <c r="Y4283" s="135" t="s">
        <v>55</v>
      </c>
      <c r="Z4283" s="307">
        <v>257</v>
      </c>
      <c r="AB4283" t="str">
        <f>IF(Table1[[#This Row],[TIPO2]]="costo", VLOOKUP(Table1[[#This Row],[PARTIDA PRESUPUESTAL]],'Cost Report'!G:G,1,0),"Balance")</f>
        <v>3002-028</v>
      </c>
      <c r="AC4283" s="118"/>
      <c r="AD4283" s="159">
        <f>+Table1[[#This Row],[SUBTOTAL]]+Table1[[#This Row],[IVA]]-Table1[[#This Row],[RET IVA]]-Table1[[#This Row],[RET ISR]]-Table1[[#This Row],[TOTAL]]</f>
        <v>0</v>
      </c>
      <c r="AE4283" s="150"/>
      <c r="AF4283" s="151"/>
      <c r="AG4283" s="126"/>
      <c r="AK4283" s="306" t="str">
        <f>IF(ISNUMBER(Table1[[#This Row],[FECHA DE RECIBIDO]]), Table1[[#This Row],[FECHA DE RECIBIDO]]-DATE(2023,8,30), "")</f>
        <v/>
      </c>
    </row>
    <row r="4284" spans="1:37" ht="16.05" customHeight="1">
      <c r="A4284" s="152" t="s">
        <v>4497</v>
      </c>
      <c r="B4284" s="153">
        <v>1460</v>
      </c>
      <c r="C4284" s="126" t="s">
        <v>757</v>
      </c>
      <c r="D4284">
        <v>2943</v>
      </c>
      <c r="E4284" s="126" t="s">
        <v>3653</v>
      </c>
      <c r="F4284" s="125" t="s">
        <v>1589</v>
      </c>
      <c r="G4284" s="125" t="s">
        <v>129</v>
      </c>
      <c r="H4284">
        <v>369</v>
      </c>
      <c r="I4284" s="125" t="s">
        <v>1546</v>
      </c>
      <c r="J4284" s="308" t="s">
        <v>214</v>
      </c>
      <c r="K4284" s="127" t="s">
        <v>4625</v>
      </c>
      <c r="L4284" s="153" t="s">
        <v>110</v>
      </c>
      <c r="M4284">
        <v>488</v>
      </c>
      <c r="N4284" s="123">
        <v>111</v>
      </c>
      <c r="O4284">
        <v>2812</v>
      </c>
      <c r="P4284" s="132" t="s">
        <v>77</v>
      </c>
      <c r="Q4284" s="132">
        <v>24140</v>
      </c>
      <c r="R4284" s="132">
        <v>3862.4</v>
      </c>
      <c r="S4284" s="132"/>
      <c r="T4284" s="156">
        <v>2574.94</v>
      </c>
      <c r="U4284" s="132">
        <v>2414</v>
      </c>
      <c r="V4284" s="132">
        <v>23013.460000000003</v>
      </c>
      <c r="W4284">
        <v>207</v>
      </c>
      <c r="X4284" s="153" t="s">
        <v>1433</v>
      </c>
      <c r="Y4284" s="124" t="s">
        <v>55</v>
      </c>
      <c r="Z4284" s="308">
        <v>257</v>
      </c>
      <c r="AB4284" t="str">
        <f>IF(Table1[[#This Row],[TIPO2]]="costo", VLOOKUP(Table1[[#This Row],[PARTIDA PRESUPUESTAL]],'Cost Report'!G:G,1,0),"Balance")</f>
        <v>3003-004</v>
      </c>
      <c r="AC4284" s="118"/>
      <c r="AD4284" s="159">
        <f>+Table1[[#This Row],[SUBTOTAL]]+Table1[[#This Row],[IVA]]-Table1[[#This Row],[RET IVA]]-Table1[[#This Row],[RET ISR]]-Table1[[#This Row],[TOTAL]]</f>
        <v>0</v>
      </c>
      <c r="AE4284" s="152"/>
      <c r="AF4284" s="153"/>
      <c r="AG4284" s="126"/>
      <c r="AK4284" s="306" t="str">
        <f>IF(ISNUMBER(Table1[[#This Row],[FECHA DE RECIBIDO]]), Table1[[#This Row],[FECHA DE RECIBIDO]]-DATE(2023,8,30), "")</f>
        <v/>
      </c>
    </row>
    <row r="4285" spans="1:37" ht="16.05" customHeight="1">
      <c r="A4285" s="150" t="s">
        <v>4498</v>
      </c>
      <c r="B4285" s="151">
        <v>1461</v>
      </c>
      <c r="C4285" s="126" t="s">
        <v>761</v>
      </c>
      <c r="D4285">
        <v>2944</v>
      </c>
      <c r="E4285" s="126" t="s">
        <v>3654</v>
      </c>
      <c r="F4285" s="122" t="s">
        <v>1593</v>
      </c>
      <c r="G4285" s="122" t="s">
        <v>109</v>
      </c>
      <c r="H4285">
        <v>370</v>
      </c>
      <c r="I4285" s="122" t="s">
        <v>1546</v>
      </c>
      <c r="J4285" s="307" t="s">
        <v>214</v>
      </c>
      <c r="K4285" s="127" t="s">
        <v>4625</v>
      </c>
      <c r="L4285" s="151" t="s">
        <v>110</v>
      </c>
      <c r="M4285">
        <v>489</v>
      </c>
      <c r="N4285" s="123">
        <v>112</v>
      </c>
      <c r="O4285">
        <v>2813</v>
      </c>
      <c r="P4285" s="132" t="s">
        <v>77</v>
      </c>
      <c r="Q4285" s="131">
        <v>19550</v>
      </c>
      <c r="R4285" s="131">
        <v>3128</v>
      </c>
      <c r="S4285" s="131"/>
      <c r="T4285" s="155">
        <v>2085.3200000000002</v>
      </c>
      <c r="U4285" s="131">
        <v>244.38</v>
      </c>
      <c r="V4285" s="131">
        <v>20348.3</v>
      </c>
      <c r="W4285">
        <v>208</v>
      </c>
      <c r="X4285" s="151" t="s">
        <v>1431</v>
      </c>
      <c r="Y4285" s="135" t="s">
        <v>55</v>
      </c>
      <c r="Z4285" s="307">
        <v>257</v>
      </c>
      <c r="AB4285" t="str">
        <f>IF(Table1[[#This Row],[TIPO2]]="costo", VLOOKUP(Table1[[#This Row],[PARTIDA PRESUPUESTAL]],'Cost Report'!G:G,1,0),"Balance")</f>
        <v>3003-010</v>
      </c>
      <c r="AC4285" s="118"/>
      <c r="AD4285" s="159">
        <f>+Table1[[#This Row],[SUBTOTAL]]+Table1[[#This Row],[IVA]]-Table1[[#This Row],[RET IVA]]-Table1[[#This Row],[RET ISR]]-Table1[[#This Row],[TOTAL]]</f>
        <v>0</v>
      </c>
      <c r="AE4285" s="150"/>
      <c r="AF4285" s="151"/>
      <c r="AG4285" s="126"/>
      <c r="AK4285" s="306" t="str">
        <f>IF(ISNUMBER(Table1[[#This Row],[FECHA DE RECIBIDO]]), Table1[[#This Row],[FECHA DE RECIBIDO]]-DATE(2023,8,30), "")</f>
        <v/>
      </c>
    </row>
    <row r="4286" spans="1:37" ht="16.05" customHeight="1">
      <c r="A4286" s="152" t="s">
        <v>4499</v>
      </c>
      <c r="B4286" s="153">
        <v>1462</v>
      </c>
      <c r="C4286" s="126" t="s">
        <v>769</v>
      </c>
      <c r="D4286">
        <v>2945</v>
      </c>
      <c r="E4286" s="126" t="s">
        <v>3655</v>
      </c>
      <c r="F4286" s="125" t="s">
        <v>1593</v>
      </c>
      <c r="G4286" s="125" t="s">
        <v>109</v>
      </c>
      <c r="H4286">
        <v>371</v>
      </c>
      <c r="I4286" s="125" t="s">
        <v>1546</v>
      </c>
      <c r="J4286" s="308" t="s">
        <v>214</v>
      </c>
      <c r="K4286" s="127" t="s">
        <v>4625</v>
      </c>
      <c r="L4286" s="153" t="s">
        <v>110</v>
      </c>
      <c r="M4286">
        <v>490</v>
      </c>
      <c r="N4286" s="123">
        <v>113</v>
      </c>
      <c r="O4286">
        <v>2814</v>
      </c>
      <c r="P4286" s="132" t="s">
        <v>77</v>
      </c>
      <c r="Q4286" s="132">
        <v>20700</v>
      </c>
      <c r="R4286" s="132">
        <v>3312</v>
      </c>
      <c r="S4286" s="132"/>
      <c r="T4286" s="156">
        <v>2207.98</v>
      </c>
      <c r="U4286" s="132">
        <v>258.76</v>
      </c>
      <c r="V4286" s="132">
        <v>21545.260000000002</v>
      </c>
      <c r="W4286">
        <v>209</v>
      </c>
      <c r="X4286" s="153" t="s">
        <v>1429</v>
      </c>
      <c r="Y4286" s="124" t="s">
        <v>55</v>
      </c>
      <c r="Z4286" s="308">
        <v>257</v>
      </c>
      <c r="AB4286" t="str">
        <f>IF(Table1[[#This Row],[TIPO2]]="costo", VLOOKUP(Table1[[#This Row],[PARTIDA PRESUPUESTAL]],'Cost Report'!G:G,1,0),"Balance")</f>
        <v>3003-022</v>
      </c>
      <c r="AC4286" s="118"/>
      <c r="AD4286" s="159">
        <f>+Table1[[#This Row],[SUBTOTAL]]+Table1[[#This Row],[IVA]]-Table1[[#This Row],[RET IVA]]-Table1[[#This Row],[RET ISR]]-Table1[[#This Row],[TOTAL]]</f>
        <v>0</v>
      </c>
      <c r="AE4286" s="152"/>
      <c r="AF4286" s="153"/>
      <c r="AG4286" s="126"/>
      <c r="AK4286" s="306" t="str">
        <f>IF(ISNUMBER(Table1[[#This Row],[FECHA DE RECIBIDO]]), Table1[[#This Row],[FECHA DE RECIBIDO]]-DATE(2023,8,30), "")</f>
        <v/>
      </c>
    </row>
    <row r="4287" spans="1:37" ht="16.05" customHeight="1">
      <c r="A4287" s="150" t="s">
        <v>4500</v>
      </c>
      <c r="B4287" s="151">
        <v>1463</v>
      </c>
      <c r="C4287" s="126" t="s">
        <v>765</v>
      </c>
      <c r="D4287">
        <v>2946</v>
      </c>
      <c r="E4287" s="126" t="s">
        <v>3782</v>
      </c>
      <c r="F4287" s="122" t="s">
        <v>1593</v>
      </c>
      <c r="G4287" s="122" t="s">
        <v>109</v>
      </c>
      <c r="H4287">
        <v>441</v>
      </c>
      <c r="I4287" s="122" t="s">
        <v>1546</v>
      </c>
      <c r="J4287" s="307" t="s">
        <v>214</v>
      </c>
      <c r="K4287" s="127" t="s">
        <v>4625</v>
      </c>
      <c r="L4287" s="151" t="s">
        <v>110</v>
      </c>
      <c r="M4287">
        <v>610</v>
      </c>
      <c r="N4287" s="123">
        <v>119</v>
      </c>
      <c r="O4287">
        <v>2815</v>
      </c>
      <c r="P4287" s="132" t="s">
        <v>77</v>
      </c>
      <c r="Q4287" s="131">
        <v>20700</v>
      </c>
      <c r="R4287" s="131">
        <v>3312</v>
      </c>
      <c r="S4287" s="131"/>
      <c r="T4287" s="155">
        <v>2208</v>
      </c>
      <c r="U4287" s="131">
        <v>258.76</v>
      </c>
      <c r="V4287" s="131">
        <v>21545.24</v>
      </c>
      <c r="W4287">
        <v>228</v>
      </c>
      <c r="X4287" s="151" t="s">
        <v>1429</v>
      </c>
      <c r="Y4287" s="135" t="s">
        <v>55</v>
      </c>
      <c r="Z4287" s="307">
        <v>257</v>
      </c>
      <c r="AB4287" t="str">
        <f>IF(Table1[[#This Row],[TIPO2]]="costo", VLOOKUP(Table1[[#This Row],[PARTIDA PRESUPUESTAL]],'Cost Report'!G:G,1,0),"Balance")</f>
        <v>3003-016</v>
      </c>
      <c r="AC4287" s="118"/>
      <c r="AD4287" s="159">
        <f>+Table1[[#This Row],[SUBTOTAL]]+Table1[[#This Row],[IVA]]-Table1[[#This Row],[RET IVA]]-Table1[[#This Row],[RET ISR]]-Table1[[#This Row],[TOTAL]]</f>
        <v>0</v>
      </c>
      <c r="AE4287" s="150"/>
      <c r="AF4287" s="151"/>
      <c r="AG4287" s="126"/>
      <c r="AK4287" s="306" t="str">
        <f>IF(ISNUMBER(Table1[[#This Row],[FECHA DE RECIBIDO]]), Table1[[#This Row],[FECHA DE RECIBIDO]]-DATE(2023,8,30), "")</f>
        <v/>
      </c>
    </row>
    <row r="4288" spans="1:37" ht="16.05" customHeight="1">
      <c r="A4288" s="152" t="s">
        <v>4501</v>
      </c>
      <c r="B4288" s="153">
        <v>1464</v>
      </c>
      <c r="C4288" s="126" t="s">
        <v>2643</v>
      </c>
      <c r="D4288">
        <v>2947</v>
      </c>
      <c r="E4288" s="126" t="s">
        <v>4502</v>
      </c>
      <c r="F4288" s="125" t="s">
        <v>1602</v>
      </c>
      <c r="G4288" s="125" t="s">
        <v>1617</v>
      </c>
      <c r="H4288">
        <v>782</v>
      </c>
      <c r="I4288" s="125" t="s">
        <v>1546</v>
      </c>
      <c r="J4288" s="308" t="s">
        <v>214</v>
      </c>
      <c r="K4288" s="127" t="s">
        <v>4625</v>
      </c>
      <c r="L4288" s="153" t="s">
        <v>110</v>
      </c>
      <c r="M4288">
        <v>1085</v>
      </c>
      <c r="N4288" s="123">
        <v>194</v>
      </c>
      <c r="O4288">
        <v>2816</v>
      </c>
      <c r="P4288" s="132" t="s">
        <v>77</v>
      </c>
      <c r="Q4288" s="132">
        <v>6900</v>
      </c>
      <c r="R4288" s="132">
        <v>1104</v>
      </c>
      <c r="S4288" s="132"/>
      <c r="T4288" s="156">
        <v>736</v>
      </c>
      <c r="U4288" s="132">
        <v>0</v>
      </c>
      <c r="V4288" s="132">
        <v>7268</v>
      </c>
      <c r="W4288">
        <v>381</v>
      </c>
      <c r="X4288" s="153" t="s">
        <v>1434</v>
      </c>
      <c r="Y4288" s="124" t="s">
        <v>55</v>
      </c>
      <c r="Z4288" s="308">
        <v>257</v>
      </c>
      <c r="AB4288" t="str">
        <f>IF(Table1[[#This Row],[TIPO2]]="costo", VLOOKUP(Table1[[#This Row],[PARTIDA PRESUPUESTAL]],'Cost Report'!G:G,1,0),"Balance")</f>
        <v>3003-039</v>
      </c>
      <c r="AC4288" s="118"/>
      <c r="AD4288" s="159">
        <f>+Table1[[#This Row],[SUBTOTAL]]+Table1[[#This Row],[IVA]]-Table1[[#This Row],[RET IVA]]-Table1[[#This Row],[RET ISR]]-Table1[[#This Row],[TOTAL]]</f>
        <v>0</v>
      </c>
      <c r="AE4288" s="152"/>
      <c r="AF4288" s="153"/>
      <c r="AG4288" s="126"/>
      <c r="AK4288" s="306" t="str">
        <f>IF(ISNUMBER(Table1[[#This Row],[FECHA DE RECIBIDO]]), Table1[[#This Row],[FECHA DE RECIBIDO]]-DATE(2023,8,30), "")</f>
        <v/>
      </c>
    </row>
    <row r="4289" spans="1:37" ht="16.05" customHeight="1">
      <c r="A4289" s="150" t="s">
        <v>4503</v>
      </c>
      <c r="B4289" s="151">
        <v>1465</v>
      </c>
      <c r="C4289" s="126" t="s">
        <v>2644</v>
      </c>
      <c r="D4289">
        <v>2948</v>
      </c>
      <c r="E4289" s="126" t="s">
        <v>4502</v>
      </c>
      <c r="F4289" s="122" t="s">
        <v>1602</v>
      </c>
      <c r="G4289" s="122" t="s">
        <v>1617</v>
      </c>
      <c r="H4289">
        <v>782</v>
      </c>
      <c r="I4289" s="122" t="s">
        <v>1546</v>
      </c>
      <c r="J4289" s="307" t="s">
        <v>214</v>
      </c>
      <c r="K4289" s="127" t="s">
        <v>4625</v>
      </c>
      <c r="L4289" s="151" t="s">
        <v>110</v>
      </c>
      <c r="M4289">
        <v>1085</v>
      </c>
      <c r="N4289" s="123">
        <v>194</v>
      </c>
      <c r="O4289">
        <v>2817</v>
      </c>
      <c r="P4289" s="132" t="s">
        <v>77</v>
      </c>
      <c r="Q4289" s="131">
        <v>20700</v>
      </c>
      <c r="R4289" s="131">
        <v>3312</v>
      </c>
      <c r="S4289" s="131"/>
      <c r="T4289" s="155">
        <v>2208</v>
      </c>
      <c r="U4289" s="131">
        <v>0</v>
      </c>
      <c r="V4289" s="131">
        <v>21804</v>
      </c>
      <c r="W4289">
        <v>381</v>
      </c>
      <c r="X4289" s="151" t="s">
        <v>1434</v>
      </c>
      <c r="Y4289" s="135" t="s">
        <v>55</v>
      </c>
      <c r="Z4289" s="307">
        <v>257</v>
      </c>
      <c r="AB4289" t="str">
        <f>IF(Table1[[#This Row],[TIPO2]]="costo", VLOOKUP(Table1[[#This Row],[PARTIDA PRESUPUESTAL]],'Cost Report'!G:G,1,0),"Balance")</f>
        <v>3003-040</v>
      </c>
      <c r="AC4289" s="118"/>
      <c r="AD4289" s="159">
        <f>+Table1[[#This Row],[SUBTOTAL]]+Table1[[#This Row],[IVA]]-Table1[[#This Row],[RET IVA]]-Table1[[#This Row],[RET ISR]]-Table1[[#This Row],[TOTAL]]</f>
        <v>0</v>
      </c>
      <c r="AE4289" s="150"/>
      <c r="AF4289" s="151"/>
      <c r="AG4289" s="126"/>
      <c r="AK4289" s="306" t="str">
        <f>IF(ISNUMBER(Table1[[#This Row],[FECHA DE RECIBIDO]]), Table1[[#This Row],[FECHA DE RECIBIDO]]-DATE(2023,8,30), "")</f>
        <v/>
      </c>
    </row>
    <row r="4290" spans="1:37" ht="16.05" customHeight="1">
      <c r="A4290" s="152" t="s">
        <v>4504</v>
      </c>
      <c r="B4290" s="153">
        <v>1466</v>
      </c>
      <c r="C4290" s="126" t="s">
        <v>1027</v>
      </c>
      <c r="D4290">
        <v>2949</v>
      </c>
      <c r="E4290" s="126" t="s">
        <v>3656</v>
      </c>
      <c r="F4290" s="125" t="s">
        <v>1589</v>
      </c>
      <c r="G4290" s="125" t="s">
        <v>129</v>
      </c>
      <c r="H4290">
        <v>372</v>
      </c>
      <c r="I4290" s="125" t="s">
        <v>1546</v>
      </c>
      <c r="J4290" s="308" t="s">
        <v>214</v>
      </c>
      <c r="K4290" s="127" t="s">
        <v>4625</v>
      </c>
      <c r="L4290" s="153" t="s">
        <v>110</v>
      </c>
      <c r="M4290">
        <v>491</v>
      </c>
      <c r="N4290" s="123">
        <v>114</v>
      </c>
      <c r="O4290">
        <v>2818</v>
      </c>
      <c r="P4290" s="132" t="s">
        <v>77</v>
      </c>
      <c r="Q4290" s="132">
        <v>8000</v>
      </c>
      <c r="R4290" s="132">
        <v>1280</v>
      </c>
      <c r="S4290" s="132"/>
      <c r="T4290" s="156">
        <v>853.34</v>
      </c>
      <c r="U4290" s="132">
        <v>800</v>
      </c>
      <c r="V4290" s="132">
        <v>7626.66</v>
      </c>
      <c r="W4290">
        <v>210</v>
      </c>
      <c r="X4290" s="153" t="s">
        <v>3684</v>
      </c>
      <c r="Y4290" s="124" t="s">
        <v>55</v>
      </c>
      <c r="Z4290" s="308">
        <v>257</v>
      </c>
      <c r="AB4290" t="str">
        <f>IF(Table1[[#This Row],[TIPO2]]="costo", VLOOKUP(Table1[[#This Row],[PARTIDA PRESUPUESTAL]],'Cost Report'!G:G,1,0),"Balance")</f>
        <v>3601-004</v>
      </c>
      <c r="AC4290" s="118"/>
      <c r="AD4290" s="159">
        <f>+Table1[[#This Row],[SUBTOTAL]]+Table1[[#This Row],[IVA]]-Table1[[#This Row],[RET IVA]]-Table1[[#This Row],[RET ISR]]-Table1[[#This Row],[TOTAL]]</f>
        <v>0</v>
      </c>
      <c r="AE4290" s="152"/>
      <c r="AF4290" s="153"/>
      <c r="AG4290" s="126"/>
      <c r="AK4290" s="306" t="str">
        <f>IF(ISNUMBER(Table1[[#This Row],[FECHA DE RECIBIDO]]), Table1[[#This Row],[FECHA DE RECIBIDO]]-DATE(2023,8,30), "")</f>
        <v/>
      </c>
    </row>
    <row r="4291" spans="1:37" ht="16.05" customHeight="1">
      <c r="A4291" s="150" t="s">
        <v>4505</v>
      </c>
      <c r="B4291" s="151">
        <v>1467</v>
      </c>
      <c r="C4291" s="126" t="s">
        <v>1027</v>
      </c>
      <c r="D4291">
        <v>2950</v>
      </c>
      <c r="E4291" s="126" t="s">
        <v>3656</v>
      </c>
      <c r="F4291" s="122" t="s">
        <v>1589</v>
      </c>
      <c r="G4291" s="122" t="s">
        <v>129</v>
      </c>
      <c r="H4291">
        <v>372</v>
      </c>
      <c r="I4291" s="122" t="s">
        <v>1546</v>
      </c>
      <c r="J4291" s="307" t="s">
        <v>214</v>
      </c>
      <c r="K4291" s="127" t="s">
        <v>4625</v>
      </c>
      <c r="L4291" s="151" t="s">
        <v>110</v>
      </c>
      <c r="M4291">
        <v>491</v>
      </c>
      <c r="N4291" s="123">
        <v>114</v>
      </c>
      <c r="O4291">
        <v>2819</v>
      </c>
      <c r="P4291" s="132" t="s">
        <v>77</v>
      </c>
      <c r="Q4291" s="131">
        <v>8000</v>
      </c>
      <c r="R4291" s="131">
        <v>1280</v>
      </c>
      <c r="S4291" s="131"/>
      <c r="T4291" s="155">
        <v>853.34</v>
      </c>
      <c r="U4291" s="131">
        <v>800</v>
      </c>
      <c r="V4291" s="131">
        <v>7626.66</v>
      </c>
      <c r="W4291">
        <v>210</v>
      </c>
      <c r="X4291" s="151" t="s">
        <v>3684</v>
      </c>
      <c r="Y4291" s="135" t="s">
        <v>55</v>
      </c>
      <c r="Z4291" s="307">
        <v>257</v>
      </c>
      <c r="AB4291" t="str">
        <f>IF(Table1[[#This Row],[TIPO2]]="costo", VLOOKUP(Table1[[#This Row],[PARTIDA PRESUPUESTAL]],'Cost Report'!G:G,1,0),"Balance")</f>
        <v>3601-004</v>
      </c>
      <c r="AC4291" s="118"/>
      <c r="AD4291" s="159">
        <f>+Table1[[#This Row],[SUBTOTAL]]+Table1[[#This Row],[IVA]]-Table1[[#This Row],[RET IVA]]-Table1[[#This Row],[RET ISR]]-Table1[[#This Row],[TOTAL]]</f>
        <v>0</v>
      </c>
      <c r="AE4291" s="150"/>
      <c r="AF4291" s="151"/>
      <c r="AG4291" s="126"/>
      <c r="AK4291" s="306" t="str">
        <f>IF(ISNUMBER(Table1[[#This Row],[FECHA DE RECIBIDO]]), Table1[[#This Row],[FECHA DE RECIBIDO]]-DATE(2023,8,30), "")</f>
        <v/>
      </c>
    </row>
    <row r="4292" spans="1:37" ht="16.05" customHeight="1">
      <c r="A4292" s="152" t="s">
        <v>4506</v>
      </c>
      <c r="B4292" s="153">
        <v>1468</v>
      </c>
      <c r="C4292" s="126" t="s">
        <v>299</v>
      </c>
      <c r="D4292">
        <v>2951</v>
      </c>
      <c r="E4292" s="126" t="s">
        <v>2005</v>
      </c>
      <c r="F4292" s="125" t="s">
        <v>1589</v>
      </c>
      <c r="G4292" s="125" t="s">
        <v>129</v>
      </c>
      <c r="H4292">
        <v>373</v>
      </c>
      <c r="I4292" s="125" t="s">
        <v>1546</v>
      </c>
      <c r="J4292" s="308" t="s">
        <v>214</v>
      </c>
      <c r="K4292" s="127" t="s">
        <v>4625</v>
      </c>
      <c r="L4292" s="153" t="s">
        <v>110</v>
      </c>
      <c r="M4292">
        <v>492</v>
      </c>
      <c r="N4292" s="123">
        <v>115</v>
      </c>
      <c r="O4292">
        <v>2820</v>
      </c>
      <c r="P4292" s="132" t="s">
        <v>77</v>
      </c>
      <c r="Q4292" s="132">
        <v>80640</v>
      </c>
      <c r="R4292" s="132">
        <v>12902.44</v>
      </c>
      <c r="S4292" s="132"/>
      <c r="T4292" s="156">
        <v>8601.6299999999992</v>
      </c>
      <c r="U4292" s="132">
        <v>8064</v>
      </c>
      <c r="V4292" s="132">
        <v>76876.81</v>
      </c>
      <c r="W4292">
        <v>211</v>
      </c>
      <c r="X4292" s="153" t="s">
        <v>1429</v>
      </c>
      <c r="Y4292" s="124" t="s">
        <v>55</v>
      </c>
      <c r="Z4292" s="308">
        <v>257</v>
      </c>
      <c r="AB4292" t="str">
        <f>IF(Table1[[#This Row],[TIPO2]]="costo", VLOOKUP(Table1[[#This Row],[PARTIDA PRESUPUESTAL]],'Cost Report'!G:G,1,0),"Balance")</f>
        <v>1401-029</v>
      </c>
      <c r="AC4292" s="118"/>
      <c r="AD4292" s="159">
        <f>+Table1[[#This Row],[SUBTOTAL]]+Table1[[#This Row],[IVA]]-Table1[[#This Row],[RET IVA]]-Table1[[#This Row],[RET ISR]]-Table1[[#This Row],[TOTAL]]</f>
        <v>0</v>
      </c>
      <c r="AE4292" s="152"/>
      <c r="AF4292" s="153"/>
      <c r="AG4292" s="126"/>
      <c r="AK4292" s="306" t="str">
        <f>IF(ISNUMBER(Table1[[#This Row],[FECHA DE RECIBIDO]]), Table1[[#This Row],[FECHA DE RECIBIDO]]-DATE(2023,8,30), "")</f>
        <v/>
      </c>
    </row>
    <row r="4293" spans="1:37" ht="16.05" customHeight="1">
      <c r="A4293" s="150" t="s">
        <v>4507</v>
      </c>
      <c r="B4293" s="151">
        <v>1469</v>
      </c>
      <c r="C4293" s="126" t="s">
        <v>278</v>
      </c>
      <c r="D4293">
        <v>2952</v>
      </c>
      <c r="E4293" s="126" t="s">
        <v>3657</v>
      </c>
      <c r="F4293" s="122" t="s">
        <v>1589</v>
      </c>
      <c r="G4293" s="122" t="s">
        <v>129</v>
      </c>
      <c r="H4293">
        <v>374</v>
      </c>
      <c r="I4293" s="122" t="s">
        <v>1546</v>
      </c>
      <c r="J4293" s="307" t="s">
        <v>214</v>
      </c>
      <c r="K4293" s="127" t="s">
        <v>4625</v>
      </c>
      <c r="L4293" s="151" t="s">
        <v>110</v>
      </c>
      <c r="M4293">
        <v>493</v>
      </c>
      <c r="N4293" s="123">
        <v>116</v>
      </c>
      <c r="O4293">
        <v>1833</v>
      </c>
      <c r="P4293" s="132" t="s">
        <v>77</v>
      </c>
      <c r="Q4293" s="131">
        <v>443520</v>
      </c>
      <c r="R4293" s="131">
        <v>70963.199999999997</v>
      </c>
      <c r="S4293" s="131"/>
      <c r="T4293" s="155">
        <v>47308.95</v>
      </c>
      <c r="U4293" s="131">
        <v>44352</v>
      </c>
      <c r="V4293" s="131">
        <v>422822.25</v>
      </c>
      <c r="W4293">
        <v>212</v>
      </c>
      <c r="X4293" s="151" t="s">
        <v>1430</v>
      </c>
      <c r="Y4293" s="135" t="s">
        <v>55</v>
      </c>
      <c r="Z4293" s="307">
        <v>257</v>
      </c>
      <c r="AB4293" t="str">
        <f>IF(Table1[[#This Row],[TIPO2]]="costo", VLOOKUP(Table1[[#This Row],[PARTIDA PRESUPUESTAL]],'Cost Report'!G:G,1,0),"Balance")</f>
        <v>1401-002</v>
      </c>
      <c r="AC4293" s="118"/>
      <c r="AD4293" s="159">
        <f>+Table1[[#This Row],[SUBTOTAL]]+Table1[[#This Row],[IVA]]-Table1[[#This Row],[RET IVA]]-Table1[[#This Row],[RET ISR]]-Table1[[#This Row],[TOTAL]]</f>
        <v>0</v>
      </c>
      <c r="AE4293" s="150"/>
      <c r="AF4293" s="151"/>
      <c r="AG4293" s="126"/>
      <c r="AK4293" s="306" t="str">
        <f>IF(ISNUMBER(Table1[[#This Row],[FECHA DE RECIBIDO]]), Table1[[#This Row],[FECHA DE RECIBIDO]]-DATE(2023,8,30), "")</f>
        <v/>
      </c>
    </row>
    <row r="4294" spans="1:37" ht="16.05" customHeight="1">
      <c r="A4294" s="152" t="s">
        <v>4508</v>
      </c>
      <c r="B4294" s="153">
        <v>1470</v>
      </c>
      <c r="C4294" s="126" t="s">
        <v>327</v>
      </c>
      <c r="D4294">
        <v>2953</v>
      </c>
      <c r="E4294" s="126" t="s">
        <v>3784</v>
      </c>
      <c r="F4294" s="125" t="s">
        <v>1593</v>
      </c>
      <c r="G4294" s="125" t="s">
        <v>109</v>
      </c>
      <c r="H4294">
        <v>530</v>
      </c>
      <c r="I4294" s="125" t="s">
        <v>1546</v>
      </c>
      <c r="J4294" s="308" t="s">
        <v>214</v>
      </c>
      <c r="K4294" s="127" t="s">
        <v>4625</v>
      </c>
      <c r="L4294" s="153" t="s">
        <v>110</v>
      </c>
      <c r="M4294">
        <v>754</v>
      </c>
      <c r="N4294" s="123">
        <v>160</v>
      </c>
      <c r="O4294">
        <v>2821</v>
      </c>
      <c r="P4294" s="132" t="s">
        <v>77</v>
      </c>
      <c r="Q4294" s="132">
        <v>18900</v>
      </c>
      <c r="R4294" s="132">
        <v>3024</v>
      </c>
      <c r="S4294" s="132"/>
      <c r="T4294" s="156">
        <v>2016.01</v>
      </c>
      <c r="U4294" s="132">
        <v>236.25</v>
      </c>
      <c r="V4294" s="132">
        <v>19671.740000000002</v>
      </c>
      <c r="W4294">
        <v>302</v>
      </c>
      <c r="X4294" s="153" t="s">
        <v>1429</v>
      </c>
      <c r="Y4294" s="124" t="s">
        <v>55</v>
      </c>
      <c r="Z4294" s="308">
        <v>257</v>
      </c>
      <c r="AB4294" t="str">
        <f>IF(Table1[[#This Row],[TIPO2]]="costo", VLOOKUP(Table1[[#This Row],[PARTIDA PRESUPUESTAL]],'Cost Report'!G:G,1,0),"Balance")</f>
        <v>1403-023</v>
      </c>
      <c r="AC4294" s="118"/>
      <c r="AD4294" s="159">
        <f>+Table1[[#This Row],[SUBTOTAL]]+Table1[[#This Row],[IVA]]-Table1[[#This Row],[RET IVA]]-Table1[[#This Row],[RET ISR]]-Table1[[#This Row],[TOTAL]]</f>
        <v>0</v>
      </c>
      <c r="AE4294" s="152"/>
      <c r="AF4294" s="153"/>
      <c r="AG4294" s="126"/>
      <c r="AK4294" s="306" t="str">
        <f>IF(ISNUMBER(Table1[[#This Row],[FECHA DE RECIBIDO]]), Table1[[#This Row],[FECHA DE RECIBIDO]]-DATE(2023,8,30), "")</f>
        <v/>
      </c>
    </row>
    <row r="4295" spans="1:37" ht="16.05" customHeight="1">
      <c r="A4295" s="150" t="s">
        <v>4509</v>
      </c>
      <c r="B4295" s="151">
        <v>1471</v>
      </c>
      <c r="C4295" s="126" t="s">
        <v>312</v>
      </c>
      <c r="D4295">
        <v>2954</v>
      </c>
      <c r="E4295" s="126" t="s">
        <v>1645</v>
      </c>
      <c r="F4295" s="122" t="s">
        <v>1589</v>
      </c>
      <c r="G4295" s="122" t="s">
        <v>129</v>
      </c>
      <c r="H4295">
        <v>531</v>
      </c>
      <c r="I4295" s="122" t="s">
        <v>1546</v>
      </c>
      <c r="J4295" s="307" t="s">
        <v>214</v>
      </c>
      <c r="K4295" s="127" t="s">
        <v>4625</v>
      </c>
      <c r="L4295" s="151" t="s">
        <v>110</v>
      </c>
      <c r="M4295">
        <v>755</v>
      </c>
      <c r="N4295" s="123">
        <v>161</v>
      </c>
      <c r="O4295">
        <v>2822</v>
      </c>
      <c r="P4295" s="132" t="s">
        <v>77</v>
      </c>
      <c r="Q4295" s="131">
        <v>94500</v>
      </c>
      <c r="R4295" s="131">
        <v>15120</v>
      </c>
      <c r="S4295" s="131"/>
      <c r="T4295" s="155">
        <v>10080.030000000001</v>
      </c>
      <c r="U4295" s="131">
        <v>9450</v>
      </c>
      <c r="V4295" s="131">
        <v>90089.97</v>
      </c>
      <c r="W4295">
        <v>303</v>
      </c>
      <c r="X4295" s="151" t="s">
        <v>1430</v>
      </c>
      <c r="Y4295" s="135" t="s">
        <v>55</v>
      </c>
      <c r="Z4295" s="307">
        <v>257</v>
      </c>
      <c r="AB4295" t="str">
        <f>IF(Table1[[#This Row],[TIPO2]]="costo", VLOOKUP(Table1[[#This Row],[PARTIDA PRESUPUESTAL]],'Cost Report'!G:G,1,0),"Balance")</f>
        <v>1403-002</v>
      </c>
      <c r="AC4295" s="118"/>
      <c r="AD4295" s="159">
        <f>+Table1[[#This Row],[SUBTOTAL]]+Table1[[#This Row],[IVA]]-Table1[[#This Row],[RET IVA]]-Table1[[#This Row],[RET ISR]]-Table1[[#This Row],[TOTAL]]</f>
        <v>0</v>
      </c>
      <c r="AE4295" s="150"/>
      <c r="AF4295" s="151"/>
      <c r="AG4295" s="126"/>
      <c r="AK4295" s="306" t="str">
        <f>IF(ISNUMBER(Table1[[#This Row],[FECHA DE RECIBIDO]]), Table1[[#This Row],[FECHA DE RECIBIDO]]-DATE(2023,8,30), "")</f>
        <v/>
      </c>
    </row>
    <row r="4296" spans="1:37" ht="16.05" customHeight="1">
      <c r="A4296" s="152" t="s">
        <v>4510</v>
      </c>
      <c r="B4296" s="153">
        <v>1472</v>
      </c>
      <c r="C4296" s="126" t="s">
        <v>292</v>
      </c>
      <c r="D4296">
        <v>2955</v>
      </c>
      <c r="E4296" s="126" t="s">
        <v>3369</v>
      </c>
      <c r="F4296" s="125" t="s">
        <v>1589</v>
      </c>
      <c r="G4296" s="125" t="s">
        <v>129</v>
      </c>
      <c r="H4296">
        <v>532</v>
      </c>
      <c r="I4296" s="125" t="s">
        <v>1546</v>
      </c>
      <c r="J4296" s="308" t="s">
        <v>214</v>
      </c>
      <c r="K4296" s="127" t="s">
        <v>4625</v>
      </c>
      <c r="L4296" s="153" t="s">
        <v>110</v>
      </c>
      <c r="M4296">
        <v>756</v>
      </c>
      <c r="N4296" s="123">
        <v>162</v>
      </c>
      <c r="O4296">
        <v>2823</v>
      </c>
      <c r="P4296" s="132" t="s">
        <v>77</v>
      </c>
      <c r="Q4296" s="132">
        <v>102900</v>
      </c>
      <c r="R4296" s="132">
        <v>16464</v>
      </c>
      <c r="S4296" s="132"/>
      <c r="T4296" s="156">
        <v>10976.03</v>
      </c>
      <c r="U4296" s="132">
        <v>10290</v>
      </c>
      <c r="V4296" s="132">
        <v>98097.97</v>
      </c>
      <c r="W4296">
        <v>304</v>
      </c>
      <c r="X4296" s="153" t="s">
        <v>1430</v>
      </c>
      <c r="Y4296" s="124" t="s">
        <v>55</v>
      </c>
      <c r="Z4296" s="308">
        <v>257</v>
      </c>
      <c r="AB4296" t="str">
        <f>IF(Table1[[#This Row],[TIPO2]]="costo", VLOOKUP(Table1[[#This Row],[PARTIDA PRESUPUESTAL]],'Cost Report'!G:G,1,0),"Balance")</f>
        <v>1401-020</v>
      </c>
      <c r="AC4296" s="118"/>
      <c r="AD4296" s="159">
        <f>+Table1[[#This Row],[SUBTOTAL]]+Table1[[#This Row],[IVA]]-Table1[[#This Row],[RET IVA]]-Table1[[#This Row],[RET ISR]]-Table1[[#This Row],[TOTAL]]</f>
        <v>0</v>
      </c>
      <c r="AE4296" s="152"/>
      <c r="AF4296" s="153"/>
      <c r="AG4296" s="126"/>
      <c r="AK4296" s="306" t="str">
        <f>IF(ISNUMBER(Table1[[#This Row],[FECHA DE RECIBIDO]]), Table1[[#This Row],[FECHA DE RECIBIDO]]-DATE(2023,8,30), "")</f>
        <v/>
      </c>
    </row>
    <row r="4297" spans="1:37" ht="16.05" customHeight="1">
      <c r="A4297" s="150" t="s">
        <v>4511</v>
      </c>
      <c r="B4297" s="151">
        <v>1473</v>
      </c>
      <c r="C4297" s="126" t="s">
        <v>304</v>
      </c>
      <c r="D4297">
        <v>2956</v>
      </c>
      <c r="E4297" s="126" t="s">
        <v>4184</v>
      </c>
      <c r="F4297" s="122" t="s">
        <v>1593</v>
      </c>
      <c r="G4297" s="122" t="s">
        <v>109</v>
      </c>
      <c r="H4297">
        <v>579</v>
      </c>
      <c r="I4297" s="122" t="s">
        <v>1546</v>
      </c>
      <c r="J4297" s="307" t="s">
        <v>214</v>
      </c>
      <c r="K4297" s="127" t="s">
        <v>4625</v>
      </c>
      <c r="L4297" s="151" t="s">
        <v>110</v>
      </c>
      <c r="M4297">
        <v>821</v>
      </c>
      <c r="N4297" s="123">
        <v>170</v>
      </c>
      <c r="O4297">
        <v>2824</v>
      </c>
      <c r="P4297" s="132" t="s">
        <v>77</v>
      </c>
      <c r="Q4297" s="131">
        <v>60480</v>
      </c>
      <c r="R4297" s="131">
        <v>9676.7999999999993</v>
      </c>
      <c r="S4297" s="131"/>
      <c r="T4297" s="155">
        <v>6451.22</v>
      </c>
      <c r="U4297" s="131">
        <v>756</v>
      </c>
      <c r="V4297" s="131">
        <v>62949.58</v>
      </c>
      <c r="W4297">
        <v>326</v>
      </c>
      <c r="X4297" s="151" t="s">
        <v>4209</v>
      </c>
      <c r="Y4297" s="135" t="s">
        <v>55</v>
      </c>
      <c r="Z4297" s="307">
        <v>257</v>
      </c>
      <c r="AB4297" t="str">
        <f>IF(Table1[[#This Row],[TIPO2]]="costo", VLOOKUP(Table1[[#This Row],[PARTIDA PRESUPUESTAL]],'Cost Report'!G:G,1,0),"Balance")</f>
        <v>1401-036</v>
      </c>
      <c r="AC4297" s="118"/>
      <c r="AD4297" s="159">
        <f>+Table1[[#This Row],[SUBTOTAL]]+Table1[[#This Row],[IVA]]-Table1[[#This Row],[RET IVA]]-Table1[[#This Row],[RET ISR]]-Table1[[#This Row],[TOTAL]]</f>
        <v>0</v>
      </c>
      <c r="AE4297" s="150"/>
      <c r="AF4297" s="151"/>
      <c r="AG4297" s="126"/>
      <c r="AK4297" s="306" t="str">
        <f>IF(ISNUMBER(Table1[[#This Row],[FECHA DE RECIBIDO]]), Table1[[#This Row],[FECHA DE RECIBIDO]]-DATE(2023,8,30), "")</f>
        <v/>
      </c>
    </row>
    <row r="4298" spans="1:37" ht="16.05" customHeight="1">
      <c r="A4298" s="152" t="s">
        <v>4512</v>
      </c>
      <c r="B4298" s="153">
        <v>1474</v>
      </c>
      <c r="C4298" s="126" t="s">
        <v>356</v>
      </c>
      <c r="D4298">
        <v>2957</v>
      </c>
      <c r="E4298" s="126" t="s">
        <v>4513</v>
      </c>
      <c r="F4298" s="125" t="s">
        <v>1589</v>
      </c>
      <c r="G4298" s="125" t="s">
        <v>129</v>
      </c>
      <c r="H4298">
        <v>783</v>
      </c>
      <c r="I4298" s="125" t="s">
        <v>1546</v>
      </c>
      <c r="J4298" s="308" t="s">
        <v>214</v>
      </c>
      <c r="K4298" s="127" t="s">
        <v>4625</v>
      </c>
      <c r="L4298" s="153" t="s">
        <v>110</v>
      </c>
      <c r="M4298">
        <v>1086</v>
      </c>
      <c r="N4298" s="123">
        <v>195</v>
      </c>
      <c r="O4298">
        <v>2825</v>
      </c>
      <c r="P4298" s="132" t="s">
        <v>77</v>
      </c>
      <c r="Q4298" s="132">
        <v>4285</v>
      </c>
      <c r="R4298" s="132">
        <v>685.6</v>
      </c>
      <c r="S4298" s="132"/>
      <c r="T4298" s="156">
        <v>457.04</v>
      </c>
      <c r="U4298" s="132">
        <v>428.5</v>
      </c>
      <c r="V4298" s="132">
        <v>4085.0600000000004</v>
      </c>
      <c r="W4298">
        <v>382</v>
      </c>
      <c r="X4298" s="153" t="s">
        <v>1429</v>
      </c>
      <c r="Y4298" s="124" t="s">
        <v>55</v>
      </c>
      <c r="Z4298" s="308">
        <v>257</v>
      </c>
      <c r="AB4298" t="str">
        <f>IF(Table1[[#This Row],[TIPO2]]="costo", VLOOKUP(Table1[[#This Row],[PARTIDA PRESUPUESTAL]],'Cost Report'!G:G,1,0),"Balance")</f>
        <v>1404-005</v>
      </c>
      <c r="AC4298" s="118"/>
      <c r="AD4298" s="159">
        <f>+Table1[[#This Row],[SUBTOTAL]]+Table1[[#This Row],[IVA]]-Table1[[#This Row],[RET IVA]]-Table1[[#This Row],[RET ISR]]-Table1[[#This Row],[TOTAL]]</f>
        <v>0</v>
      </c>
      <c r="AE4298" s="152"/>
      <c r="AF4298" s="153"/>
      <c r="AG4298" s="126"/>
      <c r="AK4298" s="306" t="str">
        <f>IF(ISNUMBER(Table1[[#This Row],[FECHA DE RECIBIDO]]), Table1[[#This Row],[FECHA DE RECIBIDO]]-DATE(2023,8,30), "")</f>
        <v/>
      </c>
    </row>
    <row r="4299" spans="1:37" ht="16.05" customHeight="1">
      <c r="A4299" s="150" t="s">
        <v>4514</v>
      </c>
      <c r="B4299" s="151">
        <v>1475</v>
      </c>
      <c r="C4299" s="126" t="s">
        <v>356</v>
      </c>
      <c r="D4299">
        <v>2958</v>
      </c>
      <c r="E4299" s="126" t="s">
        <v>1997</v>
      </c>
      <c r="F4299" s="122" t="s">
        <v>1593</v>
      </c>
      <c r="G4299" s="122" t="s">
        <v>109</v>
      </c>
      <c r="H4299">
        <v>784</v>
      </c>
      <c r="I4299" s="122" t="s">
        <v>1546</v>
      </c>
      <c r="J4299" s="307" t="s">
        <v>214</v>
      </c>
      <c r="K4299" s="127" t="s">
        <v>4625</v>
      </c>
      <c r="L4299" s="151" t="s">
        <v>110</v>
      </c>
      <c r="M4299">
        <v>1087</v>
      </c>
      <c r="N4299" s="123">
        <v>196</v>
      </c>
      <c r="O4299">
        <v>2826</v>
      </c>
      <c r="P4299" s="132" t="s">
        <v>77</v>
      </c>
      <c r="Q4299" s="131">
        <v>4285</v>
      </c>
      <c r="R4299" s="131">
        <v>685.6</v>
      </c>
      <c r="S4299" s="131"/>
      <c r="T4299" s="155">
        <v>457.07</v>
      </c>
      <c r="U4299" s="131">
        <v>53.56</v>
      </c>
      <c r="V4299" s="131">
        <v>4459.97</v>
      </c>
      <c r="W4299">
        <v>383</v>
      </c>
      <c r="X4299" s="151" t="s">
        <v>2024</v>
      </c>
      <c r="Y4299" s="135" t="s">
        <v>55</v>
      </c>
      <c r="Z4299" s="307">
        <v>257</v>
      </c>
      <c r="AB4299" t="str">
        <f>IF(Table1[[#This Row],[TIPO2]]="costo", VLOOKUP(Table1[[#This Row],[PARTIDA PRESUPUESTAL]],'Cost Report'!G:G,1,0),"Balance")</f>
        <v>1404-005</v>
      </c>
      <c r="AC4299" s="118"/>
      <c r="AD4299" s="159">
        <f>+Table1[[#This Row],[SUBTOTAL]]+Table1[[#This Row],[IVA]]-Table1[[#This Row],[RET IVA]]-Table1[[#This Row],[RET ISR]]-Table1[[#This Row],[TOTAL]]</f>
        <v>0</v>
      </c>
      <c r="AE4299" s="150"/>
      <c r="AF4299" s="151"/>
      <c r="AG4299" s="126"/>
      <c r="AK4299" s="306" t="str">
        <f>IF(ISNUMBER(Table1[[#This Row],[FECHA DE RECIBIDO]]), Table1[[#This Row],[FECHA DE RECIBIDO]]-DATE(2023,8,30), "")</f>
        <v/>
      </c>
    </row>
    <row r="4300" spans="1:37" ht="16.05" customHeight="1">
      <c r="A4300" s="152" t="s">
        <v>4515</v>
      </c>
      <c r="B4300" s="153">
        <v>1476</v>
      </c>
      <c r="C4300" s="126" t="s">
        <v>322</v>
      </c>
      <c r="D4300">
        <v>2959</v>
      </c>
      <c r="E4300" s="126" t="s">
        <v>4516</v>
      </c>
      <c r="F4300" s="125" t="s">
        <v>1589</v>
      </c>
      <c r="G4300" s="125" t="s">
        <v>129</v>
      </c>
      <c r="H4300">
        <v>785</v>
      </c>
      <c r="I4300" s="125" t="s">
        <v>1546</v>
      </c>
      <c r="J4300" s="308" t="s">
        <v>214</v>
      </c>
      <c r="K4300" s="127" t="s">
        <v>4625</v>
      </c>
      <c r="L4300" s="153" t="s">
        <v>110</v>
      </c>
      <c r="M4300">
        <v>1088</v>
      </c>
      <c r="N4300" s="123">
        <v>197</v>
      </c>
      <c r="O4300">
        <v>2827</v>
      </c>
      <c r="P4300" s="132" t="s">
        <v>77</v>
      </c>
      <c r="Q4300" s="132">
        <v>58800</v>
      </c>
      <c r="R4300" s="132">
        <v>9408</v>
      </c>
      <c r="S4300" s="132"/>
      <c r="T4300" s="156">
        <v>6272.02</v>
      </c>
      <c r="U4300" s="132">
        <v>5880</v>
      </c>
      <c r="V4300" s="132">
        <v>56055.979999999996</v>
      </c>
      <c r="W4300">
        <v>384</v>
      </c>
      <c r="X4300" s="153" t="s">
        <v>1431</v>
      </c>
      <c r="Y4300" s="124" t="s">
        <v>55</v>
      </c>
      <c r="Z4300" s="308">
        <v>257</v>
      </c>
      <c r="AB4300" t="str">
        <f>IF(Table1[[#This Row],[TIPO2]]="costo", VLOOKUP(Table1[[#This Row],[PARTIDA PRESUPUESTAL]],'Cost Report'!G:G,1,0),"Balance")</f>
        <v>1403-016</v>
      </c>
      <c r="AC4300" s="118"/>
      <c r="AD4300" s="159">
        <f>+Table1[[#This Row],[SUBTOTAL]]+Table1[[#This Row],[IVA]]-Table1[[#This Row],[RET IVA]]-Table1[[#This Row],[RET ISR]]-Table1[[#This Row],[TOTAL]]</f>
        <v>0</v>
      </c>
      <c r="AE4300" s="152"/>
      <c r="AF4300" s="153"/>
      <c r="AG4300" s="126"/>
      <c r="AK4300" s="306" t="str">
        <f>IF(ISNUMBER(Table1[[#This Row],[FECHA DE RECIBIDO]]), Table1[[#This Row],[FECHA DE RECIBIDO]]-DATE(2023,8,30), "")</f>
        <v/>
      </c>
    </row>
    <row r="4301" spans="1:37" ht="16.05" customHeight="1">
      <c r="A4301" s="150" t="s">
        <v>4517</v>
      </c>
      <c r="B4301" s="151">
        <v>1477</v>
      </c>
      <c r="C4301" s="126" t="s">
        <v>332</v>
      </c>
      <c r="D4301">
        <v>2960</v>
      </c>
      <c r="E4301" s="126" t="s">
        <v>4518</v>
      </c>
      <c r="F4301" s="122" t="s">
        <v>1589</v>
      </c>
      <c r="G4301" s="122" t="s">
        <v>129</v>
      </c>
      <c r="H4301">
        <v>786</v>
      </c>
      <c r="I4301" s="122" t="s">
        <v>1546</v>
      </c>
      <c r="J4301" s="307" t="s">
        <v>214</v>
      </c>
      <c r="K4301" s="127" t="s">
        <v>4625</v>
      </c>
      <c r="L4301" s="151" t="s">
        <v>110</v>
      </c>
      <c r="M4301">
        <v>1089</v>
      </c>
      <c r="N4301" s="123">
        <v>198</v>
      </c>
      <c r="O4301">
        <v>2828</v>
      </c>
      <c r="P4301" s="132" t="s">
        <v>77</v>
      </c>
      <c r="Q4301" s="131">
        <v>105000</v>
      </c>
      <c r="R4301" s="131">
        <v>16800</v>
      </c>
      <c r="S4301" s="131"/>
      <c r="T4301" s="155">
        <v>11200.03</v>
      </c>
      <c r="U4301" s="131">
        <v>10500</v>
      </c>
      <c r="V4301" s="131">
        <v>100099.97</v>
      </c>
      <c r="W4301">
        <v>385</v>
      </c>
      <c r="X4301" s="151" t="s">
        <v>1430</v>
      </c>
      <c r="Y4301" s="135" t="s">
        <v>55</v>
      </c>
      <c r="Z4301" s="307">
        <v>257</v>
      </c>
      <c r="AB4301" t="str">
        <f>IF(Table1[[#This Row],[TIPO2]]="costo", VLOOKUP(Table1[[#This Row],[PARTIDA PRESUPUESTAL]],'Cost Report'!G:G,1,0),"Balance")</f>
        <v>1403-030</v>
      </c>
      <c r="AC4301" s="118"/>
      <c r="AD4301" s="159">
        <f>+Table1[[#This Row],[SUBTOTAL]]+Table1[[#This Row],[IVA]]-Table1[[#This Row],[RET IVA]]-Table1[[#This Row],[RET ISR]]-Table1[[#This Row],[TOTAL]]</f>
        <v>0</v>
      </c>
      <c r="AE4301" s="150"/>
      <c r="AF4301" s="151"/>
      <c r="AG4301" s="126"/>
      <c r="AK4301" s="306" t="str">
        <f>IF(ISNUMBER(Table1[[#This Row],[FECHA DE RECIBIDO]]), Table1[[#This Row],[FECHA DE RECIBIDO]]-DATE(2023,8,30), "")</f>
        <v/>
      </c>
    </row>
    <row r="4302" spans="1:37" ht="16.05" customHeight="1">
      <c r="A4302" s="152" t="s">
        <v>4519</v>
      </c>
      <c r="B4302" s="153">
        <v>1478</v>
      </c>
      <c r="C4302" s="126" t="s">
        <v>920</v>
      </c>
      <c r="D4302">
        <v>2961</v>
      </c>
      <c r="E4302" s="126" t="s">
        <v>3371</v>
      </c>
      <c r="F4302" s="125" t="s">
        <v>1589</v>
      </c>
      <c r="G4302" s="125" t="s">
        <v>129</v>
      </c>
      <c r="H4302">
        <v>375</v>
      </c>
      <c r="I4302" s="125" t="s">
        <v>1546</v>
      </c>
      <c r="J4302" s="308" t="s">
        <v>214</v>
      </c>
      <c r="K4302" s="127" t="s">
        <v>4625</v>
      </c>
      <c r="L4302" s="153" t="s">
        <v>110</v>
      </c>
      <c r="M4302">
        <v>494</v>
      </c>
      <c r="N4302" s="123">
        <v>117</v>
      </c>
      <c r="O4302">
        <v>2829</v>
      </c>
      <c r="P4302" s="132" t="s">
        <v>77</v>
      </c>
      <c r="Q4302" s="132">
        <v>24000</v>
      </c>
      <c r="R4302" s="132">
        <v>3840</v>
      </c>
      <c r="S4302" s="132"/>
      <c r="T4302" s="156">
        <v>2560</v>
      </c>
      <c r="U4302" s="132">
        <v>2400</v>
      </c>
      <c r="V4302" s="132">
        <v>22880</v>
      </c>
      <c r="W4302">
        <v>213</v>
      </c>
      <c r="X4302" s="153" t="s">
        <v>1431</v>
      </c>
      <c r="Y4302" s="124" t="s">
        <v>55</v>
      </c>
      <c r="Z4302" s="308">
        <v>257</v>
      </c>
      <c r="AB4302" t="str">
        <f>IF(Table1[[#This Row],[TIPO2]]="costo", VLOOKUP(Table1[[#This Row],[PARTIDA PRESUPUESTAL]],'Cost Report'!G:G,1,0),"Balance")</f>
        <v>3220-003</v>
      </c>
      <c r="AC4302" s="118"/>
      <c r="AD4302" s="159">
        <f>+Table1[[#This Row],[SUBTOTAL]]+Table1[[#This Row],[IVA]]-Table1[[#This Row],[RET IVA]]-Table1[[#This Row],[RET ISR]]-Table1[[#This Row],[TOTAL]]</f>
        <v>0</v>
      </c>
      <c r="AE4302" s="152"/>
      <c r="AF4302" s="153"/>
      <c r="AG4302" s="126"/>
      <c r="AK4302" s="306" t="str">
        <f>IF(ISNUMBER(Table1[[#This Row],[FECHA DE RECIBIDO]]), Table1[[#This Row],[FECHA DE RECIBIDO]]-DATE(2023,8,30), "")</f>
        <v/>
      </c>
    </row>
    <row r="4303" spans="1:37" ht="16.05" customHeight="1">
      <c r="A4303" s="150" t="s">
        <v>4520</v>
      </c>
      <c r="B4303" s="151">
        <v>1479</v>
      </c>
      <c r="C4303" s="126" t="s">
        <v>922</v>
      </c>
      <c r="D4303">
        <v>2962</v>
      </c>
      <c r="E4303" s="126" t="s">
        <v>4047</v>
      </c>
      <c r="F4303" s="122" t="s">
        <v>1593</v>
      </c>
      <c r="G4303" s="122" t="s">
        <v>109</v>
      </c>
      <c r="H4303">
        <v>533</v>
      </c>
      <c r="I4303" s="122" t="s">
        <v>1546</v>
      </c>
      <c r="J4303" s="307" t="s">
        <v>214</v>
      </c>
      <c r="K4303" s="127" t="s">
        <v>4625</v>
      </c>
      <c r="L4303" s="151" t="s">
        <v>110</v>
      </c>
      <c r="M4303">
        <v>757</v>
      </c>
      <c r="N4303" s="123">
        <v>163</v>
      </c>
      <c r="O4303">
        <v>2830</v>
      </c>
      <c r="P4303" s="132" t="s">
        <v>77</v>
      </c>
      <c r="Q4303" s="131">
        <v>24000</v>
      </c>
      <c r="R4303" s="131">
        <v>3840</v>
      </c>
      <c r="S4303" s="131"/>
      <c r="T4303" s="155">
        <v>2560</v>
      </c>
      <c r="U4303" s="131">
        <v>300</v>
      </c>
      <c r="V4303" s="131">
        <v>24980</v>
      </c>
      <c r="W4303">
        <v>305</v>
      </c>
      <c r="X4303" s="151" t="s">
        <v>4048</v>
      </c>
      <c r="Y4303" s="135" t="s">
        <v>55</v>
      </c>
      <c r="Z4303" s="307">
        <v>257</v>
      </c>
      <c r="AB4303" t="str">
        <f>IF(Table1[[#This Row],[TIPO2]]="costo", VLOOKUP(Table1[[#This Row],[PARTIDA PRESUPUESTAL]],'Cost Report'!G:G,1,0),"Balance")</f>
        <v>3220-007</v>
      </c>
      <c r="AC4303" s="118"/>
      <c r="AD4303" s="159">
        <f>+Table1[[#This Row],[SUBTOTAL]]+Table1[[#This Row],[IVA]]-Table1[[#This Row],[RET IVA]]-Table1[[#This Row],[RET ISR]]-Table1[[#This Row],[TOTAL]]</f>
        <v>0</v>
      </c>
      <c r="AE4303" s="150"/>
      <c r="AF4303" s="151"/>
      <c r="AG4303" s="126"/>
      <c r="AK4303" s="306" t="str">
        <f>IF(ISNUMBER(Table1[[#This Row],[FECHA DE RECIBIDO]]), Table1[[#This Row],[FECHA DE RECIBIDO]]-DATE(2023,8,30), "")</f>
        <v/>
      </c>
    </row>
    <row r="4304" spans="1:37" ht="16.05" customHeight="1">
      <c r="A4304" s="152" t="s">
        <v>4521</v>
      </c>
      <c r="B4304" s="153">
        <v>1480</v>
      </c>
      <c r="C4304" s="126" t="s">
        <v>922</v>
      </c>
      <c r="D4304">
        <v>2963</v>
      </c>
      <c r="E4304" s="126" t="s">
        <v>3645</v>
      </c>
      <c r="F4304" s="125" t="s">
        <v>1589</v>
      </c>
      <c r="G4304" s="125" t="s">
        <v>129</v>
      </c>
      <c r="H4304">
        <v>535</v>
      </c>
      <c r="I4304" s="125" t="s">
        <v>1546</v>
      </c>
      <c r="J4304" s="308" t="s">
        <v>214</v>
      </c>
      <c r="K4304" s="127" t="s">
        <v>4625</v>
      </c>
      <c r="L4304" s="153" t="s">
        <v>110</v>
      </c>
      <c r="M4304">
        <v>759</v>
      </c>
      <c r="N4304" s="123">
        <v>165</v>
      </c>
      <c r="O4304">
        <v>2831</v>
      </c>
      <c r="P4304" s="132" t="s">
        <v>77</v>
      </c>
      <c r="Q4304" s="132">
        <v>16000</v>
      </c>
      <c r="R4304" s="132">
        <v>2560</v>
      </c>
      <c r="S4304" s="132"/>
      <c r="T4304" s="156">
        <v>1706.68</v>
      </c>
      <c r="U4304" s="132">
        <v>1600</v>
      </c>
      <c r="V4304" s="132">
        <v>15253.32</v>
      </c>
      <c r="W4304">
        <v>307</v>
      </c>
      <c r="X4304" s="153" t="s">
        <v>1434</v>
      </c>
      <c r="Y4304" s="124" t="s">
        <v>55</v>
      </c>
      <c r="Z4304" s="308">
        <v>257</v>
      </c>
      <c r="AB4304" t="str">
        <f>IF(Table1[[#This Row],[TIPO2]]="costo", VLOOKUP(Table1[[#This Row],[PARTIDA PRESUPUESTAL]],'Cost Report'!G:G,1,0),"Balance")</f>
        <v>3220-007</v>
      </c>
      <c r="AC4304" s="118"/>
      <c r="AD4304" s="159">
        <f>+Table1[[#This Row],[SUBTOTAL]]+Table1[[#This Row],[IVA]]-Table1[[#This Row],[RET IVA]]-Table1[[#This Row],[RET ISR]]-Table1[[#This Row],[TOTAL]]</f>
        <v>0</v>
      </c>
      <c r="AE4304" s="152"/>
      <c r="AF4304" s="153"/>
      <c r="AG4304" s="126"/>
      <c r="AK4304" s="306" t="str">
        <f>IF(ISNUMBER(Table1[[#This Row],[FECHA DE RECIBIDO]]), Table1[[#This Row],[FECHA DE RECIBIDO]]-DATE(2023,8,30), "")</f>
        <v/>
      </c>
    </row>
    <row r="4305" spans="1:37" ht="16.05" customHeight="1">
      <c r="A4305" s="150" t="s">
        <v>4522</v>
      </c>
      <c r="B4305" s="151">
        <v>1481</v>
      </c>
      <c r="C4305" s="126" t="s">
        <v>2737</v>
      </c>
      <c r="D4305">
        <v>2964</v>
      </c>
      <c r="E4305" s="126" t="s">
        <v>2018</v>
      </c>
      <c r="F4305" s="122" t="s">
        <v>1589</v>
      </c>
      <c r="G4305" s="122" t="s">
        <v>129</v>
      </c>
      <c r="H4305">
        <v>787</v>
      </c>
      <c r="I4305" s="122" t="s">
        <v>1546</v>
      </c>
      <c r="J4305" s="307" t="s">
        <v>214</v>
      </c>
      <c r="K4305" s="127" t="s">
        <v>4625</v>
      </c>
      <c r="L4305" s="151" t="s">
        <v>110</v>
      </c>
      <c r="M4305">
        <v>1090</v>
      </c>
      <c r="N4305" s="123">
        <v>199</v>
      </c>
      <c r="O4305">
        <v>2832</v>
      </c>
      <c r="P4305" s="132" t="s">
        <v>77</v>
      </c>
      <c r="Q4305" s="131">
        <v>8000</v>
      </c>
      <c r="R4305" s="131">
        <v>1280</v>
      </c>
      <c r="S4305" s="131"/>
      <c r="T4305" s="155">
        <v>853.34</v>
      </c>
      <c r="U4305" s="131">
        <v>800</v>
      </c>
      <c r="V4305" s="131">
        <v>7626.66</v>
      </c>
      <c r="W4305">
        <v>386</v>
      </c>
      <c r="X4305" s="151" t="s">
        <v>1434</v>
      </c>
      <c r="Y4305" s="135" t="s">
        <v>55</v>
      </c>
      <c r="Z4305" s="307">
        <v>257</v>
      </c>
      <c r="AB4305" t="str">
        <f>IF(Table1[[#This Row],[TIPO2]]="costo", VLOOKUP(Table1[[#This Row],[PARTIDA PRESUPUESTAL]],'Cost Report'!G:G,1,0),"Balance")</f>
        <v>3201-014</v>
      </c>
      <c r="AC4305" s="118"/>
      <c r="AD4305" s="159">
        <f>+Table1[[#This Row],[SUBTOTAL]]+Table1[[#This Row],[IVA]]-Table1[[#This Row],[RET IVA]]-Table1[[#This Row],[RET ISR]]-Table1[[#This Row],[TOTAL]]</f>
        <v>0</v>
      </c>
      <c r="AE4305" s="150"/>
      <c r="AF4305" s="151"/>
      <c r="AG4305" s="126"/>
      <c r="AK4305" s="306" t="str">
        <f>IF(ISNUMBER(Table1[[#This Row],[FECHA DE RECIBIDO]]), Table1[[#This Row],[FECHA DE RECIBIDO]]-DATE(2023,8,30), "")</f>
        <v/>
      </c>
    </row>
    <row r="4306" spans="1:37" ht="16.05" customHeight="1">
      <c r="A4306" s="152" t="s">
        <v>4523</v>
      </c>
      <c r="B4306" s="153">
        <v>1482</v>
      </c>
      <c r="C4306" s="126" t="s">
        <v>2737</v>
      </c>
      <c r="D4306">
        <v>2965</v>
      </c>
      <c r="E4306" s="126" t="s">
        <v>2018</v>
      </c>
      <c r="F4306" s="125" t="s">
        <v>1589</v>
      </c>
      <c r="G4306" s="125" t="s">
        <v>129</v>
      </c>
      <c r="H4306">
        <v>787</v>
      </c>
      <c r="I4306" s="125" t="s">
        <v>1546</v>
      </c>
      <c r="J4306" s="308" t="s">
        <v>214</v>
      </c>
      <c r="K4306" s="127" t="s">
        <v>4625</v>
      </c>
      <c r="L4306" s="153" t="s">
        <v>110</v>
      </c>
      <c r="M4306">
        <v>1090</v>
      </c>
      <c r="N4306" s="123">
        <v>199</v>
      </c>
      <c r="O4306">
        <v>2833</v>
      </c>
      <c r="P4306" s="132" t="s">
        <v>77</v>
      </c>
      <c r="Q4306" s="132">
        <v>16000</v>
      </c>
      <c r="R4306" s="132">
        <v>2560</v>
      </c>
      <c r="S4306" s="132"/>
      <c r="T4306" s="156">
        <v>1706.67</v>
      </c>
      <c r="U4306" s="132">
        <v>1600</v>
      </c>
      <c r="V4306" s="132">
        <v>15253.330000000002</v>
      </c>
      <c r="W4306">
        <v>386</v>
      </c>
      <c r="X4306" s="153" t="s">
        <v>1434</v>
      </c>
      <c r="Y4306" s="124" t="s">
        <v>55</v>
      </c>
      <c r="Z4306" s="308">
        <v>257</v>
      </c>
      <c r="AB4306" t="str">
        <f>IF(Table1[[#This Row],[TIPO2]]="costo", VLOOKUP(Table1[[#This Row],[PARTIDA PRESUPUESTAL]],'Cost Report'!G:G,1,0),"Balance")</f>
        <v>3201-014</v>
      </c>
      <c r="AC4306" s="118"/>
      <c r="AD4306" s="159">
        <f>+Table1[[#This Row],[SUBTOTAL]]+Table1[[#This Row],[IVA]]-Table1[[#This Row],[RET IVA]]-Table1[[#This Row],[RET ISR]]-Table1[[#This Row],[TOTAL]]</f>
        <v>0</v>
      </c>
      <c r="AE4306" s="152"/>
      <c r="AF4306" s="153"/>
      <c r="AG4306" s="126"/>
      <c r="AK4306" s="306" t="str">
        <f>IF(ISNUMBER(Table1[[#This Row],[FECHA DE RECIBIDO]]), Table1[[#This Row],[FECHA DE RECIBIDO]]-DATE(2023,8,30), "")</f>
        <v/>
      </c>
    </row>
    <row r="4307" spans="1:37" ht="16.05" customHeight="1">
      <c r="A4307" s="150" t="s">
        <v>4524</v>
      </c>
      <c r="B4307" s="151">
        <v>1483</v>
      </c>
      <c r="C4307" s="126" t="s">
        <v>2679</v>
      </c>
      <c r="D4307">
        <v>2966</v>
      </c>
      <c r="E4307" s="126" t="s">
        <v>2011</v>
      </c>
      <c r="F4307" s="122" t="s">
        <v>1589</v>
      </c>
      <c r="G4307" s="122" t="s">
        <v>129</v>
      </c>
      <c r="H4307">
        <v>788</v>
      </c>
      <c r="I4307" s="122" t="s">
        <v>1546</v>
      </c>
      <c r="J4307" s="307" t="s">
        <v>214</v>
      </c>
      <c r="K4307" s="127" t="s">
        <v>4625</v>
      </c>
      <c r="L4307" s="151" t="s">
        <v>110</v>
      </c>
      <c r="M4307">
        <v>1091</v>
      </c>
      <c r="N4307" s="123">
        <v>200</v>
      </c>
      <c r="O4307">
        <v>2834</v>
      </c>
      <c r="P4307" s="132" t="s">
        <v>77</v>
      </c>
      <c r="Q4307" s="131">
        <v>28000</v>
      </c>
      <c r="R4307" s="131">
        <v>4480</v>
      </c>
      <c r="S4307" s="131"/>
      <c r="T4307" s="155">
        <v>2986.68</v>
      </c>
      <c r="U4307" s="131">
        <v>2800</v>
      </c>
      <c r="V4307" s="131">
        <v>26693.32</v>
      </c>
      <c r="W4307">
        <v>387</v>
      </c>
      <c r="X4307" s="151" t="s">
        <v>1431</v>
      </c>
      <c r="Y4307" s="135" t="s">
        <v>55</v>
      </c>
      <c r="Z4307" s="307">
        <v>257</v>
      </c>
      <c r="AB4307" t="str">
        <f>IF(Table1[[#This Row],[TIPO2]]="costo", VLOOKUP(Table1[[#This Row],[PARTIDA PRESUPUESTAL]],'Cost Report'!G:G,1,0),"Balance")</f>
        <v>3108-008</v>
      </c>
      <c r="AC4307" s="118"/>
      <c r="AD4307" s="159">
        <f>+Table1[[#This Row],[SUBTOTAL]]+Table1[[#This Row],[IVA]]-Table1[[#This Row],[RET IVA]]-Table1[[#This Row],[RET ISR]]-Table1[[#This Row],[TOTAL]]</f>
        <v>0</v>
      </c>
      <c r="AE4307" s="150"/>
      <c r="AF4307" s="151"/>
      <c r="AG4307" s="126"/>
      <c r="AK4307" s="306" t="str">
        <f>IF(ISNUMBER(Table1[[#This Row],[FECHA DE RECIBIDO]]), Table1[[#This Row],[FECHA DE RECIBIDO]]-DATE(2023,8,30), "")</f>
        <v/>
      </c>
    </row>
    <row r="4308" spans="1:37" ht="16.05" customHeight="1">
      <c r="A4308" s="152" t="s">
        <v>4525</v>
      </c>
      <c r="B4308" s="153">
        <v>1484</v>
      </c>
      <c r="C4308" s="126" t="s">
        <v>2679</v>
      </c>
      <c r="D4308">
        <v>2967</v>
      </c>
      <c r="E4308" s="126" t="s">
        <v>4526</v>
      </c>
      <c r="F4308" s="125" t="s">
        <v>1589</v>
      </c>
      <c r="G4308" s="125" t="s">
        <v>129</v>
      </c>
      <c r="H4308">
        <v>789</v>
      </c>
      <c r="I4308" s="125" t="s">
        <v>1546</v>
      </c>
      <c r="J4308" s="308" t="s">
        <v>214</v>
      </c>
      <c r="K4308" s="127" t="s">
        <v>4625</v>
      </c>
      <c r="L4308" s="153" t="s">
        <v>110</v>
      </c>
      <c r="M4308">
        <v>1092</v>
      </c>
      <c r="N4308" s="123">
        <v>201</v>
      </c>
      <c r="O4308">
        <v>2835</v>
      </c>
      <c r="P4308" s="132" t="s">
        <v>77</v>
      </c>
      <c r="Q4308" s="132">
        <v>14000</v>
      </c>
      <c r="R4308" s="132">
        <v>2240</v>
      </c>
      <c r="S4308" s="132"/>
      <c r="T4308" s="156">
        <v>1493.34</v>
      </c>
      <c r="U4308" s="132">
        <v>1400</v>
      </c>
      <c r="V4308" s="132">
        <v>13346.66</v>
      </c>
      <c r="W4308">
        <v>388</v>
      </c>
      <c r="X4308" s="153" t="s">
        <v>1434</v>
      </c>
      <c r="Y4308" s="124" t="s">
        <v>55</v>
      </c>
      <c r="Z4308" s="308">
        <v>257</v>
      </c>
      <c r="AB4308" t="str">
        <f>IF(Table1[[#This Row],[TIPO2]]="costo", VLOOKUP(Table1[[#This Row],[PARTIDA PRESUPUESTAL]],'Cost Report'!G:G,1,0),"Balance")</f>
        <v>3108-008</v>
      </c>
      <c r="AC4308" s="118"/>
      <c r="AD4308" s="159">
        <f>+Table1[[#This Row],[SUBTOTAL]]+Table1[[#This Row],[IVA]]-Table1[[#This Row],[RET IVA]]-Table1[[#This Row],[RET ISR]]-Table1[[#This Row],[TOTAL]]</f>
        <v>0</v>
      </c>
      <c r="AE4308" s="152"/>
      <c r="AF4308" s="153"/>
      <c r="AG4308" s="126"/>
      <c r="AK4308" s="306" t="str">
        <f>IF(ISNUMBER(Table1[[#This Row],[FECHA DE RECIBIDO]]), Table1[[#This Row],[FECHA DE RECIBIDO]]-DATE(2023,8,30), "")</f>
        <v/>
      </c>
    </row>
    <row r="4309" spans="1:37" ht="16.05" customHeight="1">
      <c r="A4309" s="150" t="s">
        <v>4527</v>
      </c>
      <c r="B4309" s="151">
        <v>1485</v>
      </c>
      <c r="C4309" s="126" t="s">
        <v>368</v>
      </c>
      <c r="D4309">
        <v>2968</v>
      </c>
      <c r="E4309" s="126" t="s">
        <v>4053</v>
      </c>
      <c r="F4309" s="122" t="s">
        <v>1589</v>
      </c>
      <c r="G4309" s="122" t="s">
        <v>129</v>
      </c>
      <c r="H4309">
        <v>536</v>
      </c>
      <c r="I4309" s="122" t="s">
        <v>1546</v>
      </c>
      <c r="J4309" s="307" t="s">
        <v>214</v>
      </c>
      <c r="K4309" s="127" t="s">
        <v>4625</v>
      </c>
      <c r="L4309" s="151" t="s">
        <v>110</v>
      </c>
      <c r="M4309">
        <v>760</v>
      </c>
      <c r="N4309" s="123">
        <v>166</v>
      </c>
      <c r="O4309">
        <v>2836</v>
      </c>
      <c r="P4309" s="132" t="s">
        <v>77</v>
      </c>
      <c r="Q4309" s="131">
        <v>20154</v>
      </c>
      <c r="R4309" s="131">
        <v>3224.64</v>
      </c>
      <c r="S4309" s="131"/>
      <c r="T4309" s="155">
        <v>2149.77</v>
      </c>
      <c r="U4309" s="131">
        <v>2015.4</v>
      </c>
      <c r="V4309" s="131">
        <v>19213.469999999998</v>
      </c>
      <c r="W4309">
        <v>308</v>
      </c>
      <c r="X4309" s="151" t="s">
        <v>1429</v>
      </c>
      <c r="Y4309" s="135" t="s">
        <v>55</v>
      </c>
      <c r="Z4309" s="307">
        <v>257</v>
      </c>
      <c r="AB4309" t="str">
        <f>IF(Table1[[#This Row],[TIPO2]]="costo", VLOOKUP(Table1[[#This Row],[PARTIDA PRESUPUESTAL]],'Cost Report'!G:G,1,0),"Balance")</f>
        <v>1410-008</v>
      </c>
      <c r="AC4309" s="118"/>
      <c r="AD4309" s="159">
        <f>+Table1[[#This Row],[SUBTOTAL]]+Table1[[#This Row],[IVA]]-Table1[[#This Row],[RET IVA]]-Table1[[#This Row],[RET ISR]]-Table1[[#This Row],[TOTAL]]</f>
        <v>0</v>
      </c>
      <c r="AE4309" s="150"/>
      <c r="AF4309" s="151"/>
      <c r="AG4309" s="126"/>
      <c r="AK4309" s="306" t="str">
        <f>IF(ISNUMBER(Table1[[#This Row],[FECHA DE RECIBIDO]]), Table1[[#This Row],[FECHA DE RECIBIDO]]-DATE(2023,8,30), "")</f>
        <v/>
      </c>
    </row>
    <row r="4310" spans="1:37" ht="16.05" customHeight="1">
      <c r="A4310" s="152" t="s">
        <v>4528</v>
      </c>
      <c r="B4310" s="153">
        <v>1486</v>
      </c>
      <c r="C4310" s="126" t="s">
        <v>368</v>
      </c>
      <c r="D4310">
        <v>2969</v>
      </c>
      <c r="E4310" s="126" t="s">
        <v>4053</v>
      </c>
      <c r="F4310" s="125" t="s">
        <v>1589</v>
      </c>
      <c r="G4310" s="125" t="s">
        <v>129</v>
      </c>
      <c r="H4310">
        <v>536</v>
      </c>
      <c r="I4310" s="125" t="s">
        <v>1546</v>
      </c>
      <c r="J4310" s="308" t="s">
        <v>214</v>
      </c>
      <c r="K4310" s="127" t="s">
        <v>4625</v>
      </c>
      <c r="L4310" s="153" t="s">
        <v>110</v>
      </c>
      <c r="M4310">
        <v>760</v>
      </c>
      <c r="N4310" s="123">
        <v>166</v>
      </c>
      <c r="O4310">
        <v>2837</v>
      </c>
      <c r="P4310" s="132" t="s">
        <v>77</v>
      </c>
      <c r="Q4310" s="132">
        <v>14154</v>
      </c>
      <c r="R4310" s="132">
        <v>2264.64</v>
      </c>
      <c r="S4310" s="132"/>
      <c r="T4310" s="156">
        <v>1509.76</v>
      </c>
      <c r="U4310" s="132">
        <v>1415.4</v>
      </c>
      <c r="V4310" s="132">
        <v>13493.48</v>
      </c>
      <c r="W4310">
        <v>308</v>
      </c>
      <c r="X4310" s="153" t="s">
        <v>1429</v>
      </c>
      <c r="Y4310" s="124" t="s">
        <v>55</v>
      </c>
      <c r="Z4310" s="308">
        <v>257</v>
      </c>
      <c r="AB4310" t="str">
        <f>IF(Table1[[#This Row],[TIPO2]]="costo", VLOOKUP(Table1[[#This Row],[PARTIDA PRESUPUESTAL]],'Cost Report'!G:G,1,0),"Balance")</f>
        <v>1410-008</v>
      </c>
      <c r="AC4310" s="118"/>
      <c r="AD4310" s="159">
        <f>+Table1[[#This Row],[SUBTOTAL]]+Table1[[#This Row],[IVA]]-Table1[[#This Row],[RET IVA]]-Table1[[#This Row],[RET ISR]]-Table1[[#This Row],[TOTAL]]</f>
        <v>0</v>
      </c>
      <c r="AE4310" s="152"/>
      <c r="AF4310" s="153"/>
      <c r="AG4310" s="126"/>
      <c r="AK4310" s="306" t="str">
        <f>IF(ISNUMBER(Table1[[#This Row],[FECHA DE RECIBIDO]]), Table1[[#This Row],[FECHA DE RECIBIDO]]-DATE(2023,8,30), "")</f>
        <v/>
      </c>
    </row>
    <row r="4311" spans="1:37" ht="16.05" customHeight="1">
      <c r="A4311" s="150" t="s">
        <v>4529</v>
      </c>
      <c r="B4311" s="151">
        <v>1487</v>
      </c>
      <c r="C4311" s="126" t="s">
        <v>1844</v>
      </c>
      <c r="D4311">
        <v>2970</v>
      </c>
      <c r="E4311" s="126" t="s">
        <v>3987</v>
      </c>
      <c r="F4311" s="122" t="s">
        <v>1589</v>
      </c>
      <c r="G4311" s="122" t="s">
        <v>129</v>
      </c>
      <c r="H4311">
        <v>537</v>
      </c>
      <c r="I4311" s="122" t="s">
        <v>1546</v>
      </c>
      <c r="J4311" s="307" t="s">
        <v>214</v>
      </c>
      <c r="K4311" s="127" t="s">
        <v>4625</v>
      </c>
      <c r="L4311" s="151" t="s">
        <v>110</v>
      </c>
      <c r="M4311">
        <v>761</v>
      </c>
      <c r="N4311" s="123">
        <v>167</v>
      </c>
      <c r="O4311">
        <v>2838</v>
      </c>
      <c r="P4311" s="132" t="s">
        <v>77</v>
      </c>
      <c r="Q4311" s="131">
        <v>15000</v>
      </c>
      <c r="R4311" s="131">
        <v>2400</v>
      </c>
      <c r="S4311" s="131"/>
      <c r="T4311" s="155">
        <v>1600</v>
      </c>
      <c r="U4311" s="131">
        <v>1500</v>
      </c>
      <c r="V4311" s="131">
        <v>14300</v>
      </c>
      <c r="W4311">
        <v>309</v>
      </c>
      <c r="X4311" s="151" t="s">
        <v>1429</v>
      </c>
      <c r="Y4311" s="135" t="s">
        <v>55</v>
      </c>
      <c r="Z4311" s="307">
        <v>257</v>
      </c>
      <c r="AB4311" t="str">
        <f>IF(Table1[[#This Row],[TIPO2]]="costo", VLOOKUP(Table1[[#This Row],[PARTIDA PRESUPUESTAL]],'Cost Report'!G:G,1,0),"Balance")</f>
        <v>3145-031</v>
      </c>
      <c r="AC4311" s="118"/>
      <c r="AD4311" s="159">
        <f>+Table1[[#This Row],[SUBTOTAL]]+Table1[[#This Row],[IVA]]-Table1[[#This Row],[RET IVA]]-Table1[[#This Row],[RET ISR]]-Table1[[#This Row],[TOTAL]]</f>
        <v>0</v>
      </c>
      <c r="AE4311" s="150"/>
      <c r="AF4311" s="151"/>
      <c r="AG4311" s="126"/>
      <c r="AK4311" s="306" t="str">
        <f>IF(ISNUMBER(Table1[[#This Row],[FECHA DE RECIBIDO]]), Table1[[#This Row],[FECHA DE RECIBIDO]]-DATE(2023,8,30), "")</f>
        <v/>
      </c>
    </row>
    <row r="4312" spans="1:37" ht="16.05" customHeight="1">
      <c r="A4312" s="152" t="s">
        <v>4530</v>
      </c>
      <c r="B4312" s="153">
        <v>1488</v>
      </c>
      <c r="C4312" s="126" t="s">
        <v>1834</v>
      </c>
      <c r="D4312">
        <v>2971</v>
      </c>
      <c r="E4312" s="126" t="s">
        <v>4531</v>
      </c>
      <c r="F4312" s="125" t="s">
        <v>1593</v>
      </c>
      <c r="G4312" s="125" t="s">
        <v>109</v>
      </c>
      <c r="H4312">
        <v>790</v>
      </c>
      <c r="I4312" s="125" t="s">
        <v>1546</v>
      </c>
      <c r="J4312" s="308" t="s">
        <v>214</v>
      </c>
      <c r="K4312" s="127" t="s">
        <v>4625</v>
      </c>
      <c r="L4312" s="153" t="s">
        <v>110</v>
      </c>
      <c r="M4312">
        <v>1093</v>
      </c>
      <c r="N4312" s="123">
        <v>202</v>
      </c>
      <c r="O4312">
        <v>2839</v>
      </c>
      <c r="P4312" s="132" t="s">
        <v>77</v>
      </c>
      <c r="Q4312" s="132">
        <v>7500</v>
      </c>
      <c r="R4312" s="132">
        <v>1200</v>
      </c>
      <c r="S4312" s="132"/>
      <c r="T4312" s="156">
        <v>800</v>
      </c>
      <c r="U4312" s="132">
        <v>93.75</v>
      </c>
      <c r="V4312" s="132">
        <v>7806.25</v>
      </c>
      <c r="W4312">
        <v>389</v>
      </c>
      <c r="X4312" s="153" t="s">
        <v>1429</v>
      </c>
      <c r="Y4312" s="124" t="s">
        <v>55</v>
      </c>
      <c r="Z4312" s="308">
        <v>257</v>
      </c>
      <c r="AB4312" t="str">
        <f>IF(Table1[[#This Row],[TIPO2]]="costo", VLOOKUP(Table1[[#This Row],[PARTIDA PRESUPUESTAL]],'Cost Report'!G:G,1,0),"Balance")</f>
        <v>3145-015</v>
      </c>
      <c r="AC4312" s="118"/>
      <c r="AD4312" s="159">
        <f>+Table1[[#This Row],[SUBTOTAL]]+Table1[[#This Row],[IVA]]-Table1[[#This Row],[RET IVA]]-Table1[[#This Row],[RET ISR]]-Table1[[#This Row],[TOTAL]]</f>
        <v>0</v>
      </c>
      <c r="AE4312" s="152"/>
      <c r="AF4312" s="153"/>
      <c r="AG4312" s="126"/>
      <c r="AK4312" s="306" t="str">
        <f>IF(ISNUMBER(Table1[[#This Row],[FECHA DE RECIBIDO]]), Table1[[#This Row],[FECHA DE RECIBIDO]]-DATE(2023,8,30), "")</f>
        <v/>
      </c>
    </row>
    <row r="4313" spans="1:37" ht="16.05" customHeight="1">
      <c r="A4313" s="150"/>
      <c r="B4313" s="151">
        <v>1488</v>
      </c>
      <c r="C4313" s="126" t="s">
        <v>3002</v>
      </c>
      <c r="D4313">
        <v>2971</v>
      </c>
      <c r="E4313" s="126" t="s">
        <v>4531</v>
      </c>
      <c r="F4313" s="122" t="s">
        <v>1593</v>
      </c>
      <c r="G4313" s="122" t="s">
        <v>109</v>
      </c>
      <c r="H4313">
        <v>790</v>
      </c>
      <c r="I4313" s="122" t="s">
        <v>1546</v>
      </c>
      <c r="J4313" s="307" t="s">
        <v>214</v>
      </c>
      <c r="K4313" s="127" t="s">
        <v>4625</v>
      </c>
      <c r="L4313" s="151" t="s">
        <v>110</v>
      </c>
      <c r="M4313">
        <v>1093</v>
      </c>
      <c r="N4313" s="123">
        <v>202</v>
      </c>
      <c r="O4313">
        <v>2839</v>
      </c>
      <c r="P4313" s="132" t="s">
        <v>77</v>
      </c>
      <c r="Q4313" s="131">
        <v>6250</v>
      </c>
      <c r="R4313" s="131">
        <v>1000</v>
      </c>
      <c r="S4313" s="131"/>
      <c r="T4313" s="155">
        <v>666.67</v>
      </c>
      <c r="U4313" s="131">
        <v>78.13000000000001</v>
      </c>
      <c r="V4313" s="131">
        <v>6505.2</v>
      </c>
      <c r="W4313">
        <v>389</v>
      </c>
      <c r="X4313" s="151" t="s">
        <v>1429</v>
      </c>
      <c r="Y4313" s="135" t="s">
        <v>55</v>
      </c>
      <c r="Z4313" s="307">
        <v>257</v>
      </c>
      <c r="AB4313" t="str">
        <f>IF(Table1[[#This Row],[TIPO2]]="costo", VLOOKUP(Table1[[#This Row],[PARTIDA PRESUPUESTAL]],'Cost Report'!G:G,1,0),"Balance")</f>
        <v>4180-003</v>
      </c>
      <c r="AC4313" s="118"/>
      <c r="AD4313" s="159">
        <f>+Table1[[#This Row],[SUBTOTAL]]+Table1[[#This Row],[IVA]]-Table1[[#This Row],[RET IVA]]-Table1[[#This Row],[RET ISR]]-Table1[[#This Row],[TOTAL]]</f>
        <v>0</v>
      </c>
      <c r="AE4313" s="150"/>
      <c r="AF4313" s="151"/>
      <c r="AG4313" s="126"/>
      <c r="AK4313" s="306" t="str">
        <f>IF(ISNUMBER(Table1[[#This Row],[FECHA DE RECIBIDO]]), Table1[[#This Row],[FECHA DE RECIBIDO]]-DATE(2023,8,30), "")</f>
        <v/>
      </c>
    </row>
    <row r="4314" spans="1:37" ht="16.05" customHeight="1">
      <c r="A4314" s="152" t="s">
        <v>4532</v>
      </c>
      <c r="B4314" s="153">
        <v>1489</v>
      </c>
      <c r="C4314" s="126" t="s">
        <v>1835</v>
      </c>
      <c r="D4314">
        <v>2972</v>
      </c>
      <c r="E4314" s="126" t="s">
        <v>4531</v>
      </c>
      <c r="F4314" s="125" t="s">
        <v>1593</v>
      </c>
      <c r="G4314" s="125" t="s">
        <v>109</v>
      </c>
      <c r="H4314">
        <v>790</v>
      </c>
      <c r="I4314" s="125" t="s">
        <v>1546</v>
      </c>
      <c r="J4314" s="308" t="s">
        <v>214</v>
      </c>
      <c r="K4314" s="127" t="s">
        <v>4625</v>
      </c>
      <c r="L4314" s="153" t="s">
        <v>110</v>
      </c>
      <c r="M4314">
        <v>1093</v>
      </c>
      <c r="N4314" s="123">
        <v>202</v>
      </c>
      <c r="O4314">
        <v>2840</v>
      </c>
      <c r="P4314" s="132" t="s">
        <v>77</v>
      </c>
      <c r="Q4314" s="132">
        <v>30000</v>
      </c>
      <c r="R4314" s="132">
        <v>4800</v>
      </c>
      <c r="S4314" s="132"/>
      <c r="T4314" s="156">
        <v>3200</v>
      </c>
      <c r="U4314" s="132">
        <v>375</v>
      </c>
      <c r="V4314" s="132">
        <v>31225</v>
      </c>
      <c r="W4314">
        <v>389</v>
      </c>
      <c r="X4314" s="153" t="s">
        <v>1429</v>
      </c>
      <c r="Y4314" s="124" t="s">
        <v>55</v>
      </c>
      <c r="Z4314" s="308">
        <v>257</v>
      </c>
      <c r="AB4314" t="str">
        <f>IF(Table1[[#This Row],[TIPO2]]="costo", VLOOKUP(Table1[[#This Row],[PARTIDA PRESUPUESTAL]],'Cost Report'!G:G,1,0),"Balance")</f>
        <v>3145-016</v>
      </c>
      <c r="AC4314" s="118"/>
      <c r="AD4314" s="159">
        <f>+Table1[[#This Row],[SUBTOTAL]]+Table1[[#This Row],[IVA]]-Table1[[#This Row],[RET IVA]]-Table1[[#This Row],[RET ISR]]-Table1[[#This Row],[TOTAL]]</f>
        <v>0</v>
      </c>
      <c r="AE4314" s="152"/>
      <c r="AF4314" s="153"/>
      <c r="AG4314" s="126"/>
      <c r="AK4314" s="306" t="str">
        <f>IF(ISNUMBER(Table1[[#This Row],[FECHA DE RECIBIDO]]), Table1[[#This Row],[FECHA DE RECIBIDO]]-DATE(2023,8,30), "")</f>
        <v/>
      </c>
    </row>
    <row r="4315" spans="1:37" ht="16.05" customHeight="1">
      <c r="A4315" s="150" t="s">
        <v>4533</v>
      </c>
      <c r="B4315" s="151">
        <v>1490</v>
      </c>
      <c r="C4315" s="126" t="s">
        <v>1835</v>
      </c>
      <c r="D4315">
        <v>2973</v>
      </c>
      <c r="E4315" s="126" t="s">
        <v>4531</v>
      </c>
      <c r="F4315" s="122" t="s">
        <v>1593</v>
      </c>
      <c r="G4315" s="122" t="s">
        <v>109</v>
      </c>
      <c r="H4315">
        <v>790</v>
      </c>
      <c r="I4315" s="122" t="s">
        <v>1546</v>
      </c>
      <c r="J4315" s="307" t="s">
        <v>214</v>
      </c>
      <c r="K4315" s="127" t="s">
        <v>4625</v>
      </c>
      <c r="L4315" s="151" t="s">
        <v>110</v>
      </c>
      <c r="M4315">
        <v>1093</v>
      </c>
      <c r="N4315" s="123">
        <v>202</v>
      </c>
      <c r="O4315">
        <v>2841</v>
      </c>
      <c r="P4315" s="132" t="s">
        <v>77</v>
      </c>
      <c r="Q4315" s="131">
        <v>30000</v>
      </c>
      <c r="R4315" s="131">
        <v>4800</v>
      </c>
      <c r="S4315" s="131"/>
      <c r="T4315" s="155">
        <v>3200</v>
      </c>
      <c r="U4315" s="131">
        <v>375</v>
      </c>
      <c r="V4315" s="131">
        <v>31225</v>
      </c>
      <c r="W4315">
        <v>389</v>
      </c>
      <c r="X4315" s="151" t="s">
        <v>1429</v>
      </c>
      <c r="Y4315" s="135" t="s">
        <v>55</v>
      </c>
      <c r="Z4315" s="307">
        <v>257</v>
      </c>
      <c r="AB4315" t="str">
        <f>IF(Table1[[#This Row],[TIPO2]]="costo", VLOOKUP(Table1[[#This Row],[PARTIDA PRESUPUESTAL]],'Cost Report'!G:G,1,0),"Balance")</f>
        <v>3145-016</v>
      </c>
      <c r="AC4315" s="118"/>
      <c r="AD4315" s="159">
        <f>+Table1[[#This Row],[SUBTOTAL]]+Table1[[#This Row],[IVA]]-Table1[[#This Row],[RET IVA]]-Table1[[#This Row],[RET ISR]]-Table1[[#This Row],[TOTAL]]</f>
        <v>0</v>
      </c>
      <c r="AE4315" s="150"/>
      <c r="AF4315" s="151"/>
      <c r="AG4315" s="126"/>
      <c r="AK4315" s="306" t="str">
        <f>IF(ISNUMBER(Table1[[#This Row],[FECHA DE RECIBIDO]]), Table1[[#This Row],[FECHA DE RECIBIDO]]-DATE(2023,8,30), "")</f>
        <v/>
      </c>
    </row>
    <row r="4316" spans="1:37" ht="16.05" customHeight="1">
      <c r="A4316" s="152" t="s">
        <v>4534</v>
      </c>
      <c r="B4316" s="153">
        <v>1491</v>
      </c>
      <c r="C4316" s="126" t="s">
        <v>1835</v>
      </c>
      <c r="D4316">
        <v>2974</v>
      </c>
      <c r="E4316" s="126" t="s">
        <v>4531</v>
      </c>
      <c r="F4316" s="125" t="s">
        <v>1593</v>
      </c>
      <c r="G4316" s="125" t="s">
        <v>109</v>
      </c>
      <c r="H4316">
        <v>790</v>
      </c>
      <c r="I4316" s="125" t="s">
        <v>1546</v>
      </c>
      <c r="J4316" s="308" t="s">
        <v>214</v>
      </c>
      <c r="K4316" s="127" t="s">
        <v>4625</v>
      </c>
      <c r="L4316" s="153" t="s">
        <v>110</v>
      </c>
      <c r="M4316">
        <v>1093</v>
      </c>
      <c r="N4316" s="123">
        <v>202</v>
      </c>
      <c r="O4316">
        <v>2842</v>
      </c>
      <c r="P4316" s="132" t="s">
        <v>77</v>
      </c>
      <c r="Q4316" s="132">
        <v>30000</v>
      </c>
      <c r="R4316" s="132">
        <v>4800</v>
      </c>
      <c r="S4316" s="132"/>
      <c r="T4316" s="156">
        <v>3200</v>
      </c>
      <c r="U4316" s="132">
        <v>375</v>
      </c>
      <c r="V4316" s="132">
        <v>31225</v>
      </c>
      <c r="W4316">
        <v>389</v>
      </c>
      <c r="X4316" s="153" t="s">
        <v>1429</v>
      </c>
      <c r="Y4316" s="124" t="s">
        <v>55</v>
      </c>
      <c r="Z4316" s="308">
        <v>257</v>
      </c>
      <c r="AB4316" t="str">
        <f>IF(Table1[[#This Row],[TIPO2]]="costo", VLOOKUP(Table1[[#This Row],[PARTIDA PRESUPUESTAL]],'Cost Report'!G:G,1,0),"Balance")</f>
        <v>3145-016</v>
      </c>
      <c r="AC4316" s="118"/>
      <c r="AD4316" s="159">
        <f>+Table1[[#This Row],[SUBTOTAL]]+Table1[[#This Row],[IVA]]-Table1[[#This Row],[RET IVA]]-Table1[[#This Row],[RET ISR]]-Table1[[#This Row],[TOTAL]]</f>
        <v>0</v>
      </c>
      <c r="AE4316" s="152"/>
      <c r="AF4316" s="153"/>
      <c r="AG4316" s="126"/>
      <c r="AK4316" s="306" t="str">
        <f>IF(ISNUMBER(Table1[[#This Row],[FECHA DE RECIBIDO]]), Table1[[#This Row],[FECHA DE RECIBIDO]]-DATE(2023,8,30), "")</f>
        <v/>
      </c>
    </row>
    <row r="4317" spans="1:37" ht="16.05" customHeight="1">
      <c r="A4317" s="150" t="s">
        <v>4535</v>
      </c>
      <c r="B4317" s="151">
        <v>1492</v>
      </c>
      <c r="C4317" s="126" t="s">
        <v>1868</v>
      </c>
      <c r="D4317">
        <v>2975</v>
      </c>
      <c r="E4317" s="126" t="s">
        <v>1603</v>
      </c>
      <c r="F4317" s="122" t="s">
        <v>1589</v>
      </c>
      <c r="G4317" s="122" t="s">
        <v>129</v>
      </c>
      <c r="H4317">
        <v>28</v>
      </c>
      <c r="I4317" s="122" t="s">
        <v>1546</v>
      </c>
      <c r="J4317" s="307" t="s">
        <v>214</v>
      </c>
      <c r="K4317" s="127" t="s">
        <v>4625</v>
      </c>
      <c r="L4317" s="151" t="s">
        <v>2028</v>
      </c>
      <c r="M4317">
        <v>37</v>
      </c>
      <c r="N4317" s="123">
        <v>14</v>
      </c>
      <c r="O4317">
        <v>2843</v>
      </c>
      <c r="P4317" s="132" t="s">
        <v>77</v>
      </c>
      <c r="Q4317" s="131">
        <v>1080</v>
      </c>
      <c r="R4317" s="131">
        <v>172.8</v>
      </c>
      <c r="S4317" s="131"/>
      <c r="T4317" s="155">
        <v>115.2</v>
      </c>
      <c r="U4317" s="131">
        <v>108</v>
      </c>
      <c r="V4317" s="131">
        <v>1029.5999999999999</v>
      </c>
      <c r="W4317">
        <v>30</v>
      </c>
      <c r="X4317" s="151" t="s">
        <v>1432</v>
      </c>
      <c r="Y4317" s="135" t="s">
        <v>55</v>
      </c>
      <c r="Z4317" s="307">
        <v>257</v>
      </c>
      <c r="AB4317" t="str">
        <f>IF(Table1[[#This Row],[TIPO2]]="costo", VLOOKUP(Table1[[#This Row],[PARTIDA PRESUPUESTAL]],'Cost Report'!G:G,1,0),"Balance")</f>
        <v>3442-006</v>
      </c>
      <c r="AC4317" s="118"/>
      <c r="AD4317" s="159">
        <f>+Table1[[#This Row],[SUBTOTAL]]+Table1[[#This Row],[IVA]]-Table1[[#This Row],[RET IVA]]-Table1[[#This Row],[RET ISR]]-Table1[[#This Row],[TOTAL]]</f>
        <v>0</v>
      </c>
      <c r="AE4317" s="150"/>
      <c r="AF4317" s="151"/>
      <c r="AG4317" s="126"/>
      <c r="AK4317" s="306" t="str">
        <f>IF(ISNUMBER(Table1[[#This Row],[FECHA DE RECIBIDO]]), Table1[[#This Row],[FECHA DE RECIBIDO]]-DATE(2023,8,30), "")</f>
        <v/>
      </c>
    </row>
    <row r="4318" spans="1:37" ht="16.05" customHeight="1">
      <c r="A4318" s="152" t="s">
        <v>4536</v>
      </c>
      <c r="B4318" s="153">
        <v>1493</v>
      </c>
      <c r="C4318" s="126" t="s">
        <v>1868</v>
      </c>
      <c r="D4318">
        <v>2976</v>
      </c>
      <c r="E4318" s="126" t="s">
        <v>1893</v>
      </c>
      <c r="F4318" s="125" t="s">
        <v>1593</v>
      </c>
      <c r="G4318" s="125" t="s">
        <v>109</v>
      </c>
      <c r="H4318">
        <v>66</v>
      </c>
      <c r="I4318" s="125" t="s">
        <v>1546</v>
      </c>
      <c r="J4318" s="308" t="s">
        <v>214</v>
      </c>
      <c r="K4318" s="127" t="s">
        <v>4625</v>
      </c>
      <c r="L4318" s="153" t="s">
        <v>2028</v>
      </c>
      <c r="M4318">
        <v>89</v>
      </c>
      <c r="N4318" s="123">
        <v>26</v>
      </c>
      <c r="O4318">
        <v>2844</v>
      </c>
      <c r="P4318" s="132" t="s">
        <v>77</v>
      </c>
      <c r="Q4318" s="132">
        <v>4786.67</v>
      </c>
      <c r="R4318" s="132">
        <v>765.87</v>
      </c>
      <c r="S4318" s="132"/>
      <c r="T4318" s="156">
        <v>510.58</v>
      </c>
      <c r="U4318" s="132">
        <v>59.83</v>
      </c>
      <c r="V4318" s="132">
        <v>4982.13</v>
      </c>
      <c r="W4318">
        <v>48</v>
      </c>
      <c r="X4318" s="153" t="s">
        <v>1430</v>
      </c>
      <c r="Y4318" s="124" t="s">
        <v>55</v>
      </c>
      <c r="Z4318" s="308">
        <v>257</v>
      </c>
      <c r="AB4318" t="str">
        <f>IF(Table1[[#This Row],[TIPO2]]="costo", VLOOKUP(Table1[[#This Row],[PARTIDA PRESUPUESTAL]],'Cost Report'!G:G,1,0),"Balance")</f>
        <v>3442-006</v>
      </c>
      <c r="AC4318" s="118"/>
      <c r="AD4318" s="159">
        <f>+Table1[[#This Row],[SUBTOTAL]]+Table1[[#This Row],[IVA]]-Table1[[#This Row],[RET IVA]]-Table1[[#This Row],[RET ISR]]-Table1[[#This Row],[TOTAL]]</f>
        <v>0</v>
      </c>
      <c r="AE4318" s="152"/>
      <c r="AF4318" s="153"/>
      <c r="AG4318" s="126"/>
      <c r="AK4318" s="306" t="str">
        <f>IF(ISNUMBER(Table1[[#This Row],[FECHA DE RECIBIDO]]), Table1[[#This Row],[FECHA DE RECIBIDO]]-DATE(2023,8,30), "")</f>
        <v/>
      </c>
    </row>
    <row r="4319" spans="1:37" ht="16.05" customHeight="1">
      <c r="A4319" s="150" t="s">
        <v>4537</v>
      </c>
      <c r="B4319" s="151">
        <v>1494</v>
      </c>
      <c r="C4319" s="126" t="s">
        <v>1869</v>
      </c>
      <c r="D4319">
        <v>2977</v>
      </c>
      <c r="E4319" s="126" t="s">
        <v>1893</v>
      </c>
      <c r="F4319" s="122" t="s">
        <v>1593</v>
      </c>
      <c r="G4319" s="122" t="s">
        <v>109</v>
      </c>
      <c r="H4319">
        <v>66</v>
      </c>
      <c r="I4319" s="122" t="s">
        <v>1546</v>
      </c>
      <c r="J4319" s="307" t="s">
        <v>214</v>
      </c>
      <c r="K4319" s="127" t="s">
        <v>4625</v>
      </c>
      <c r="L4319" s="151" t="s">
        <v>2028</v>
      </c>
      <c r="M4319">
        <v>89</v>
      </c>
      <c r="N4319" s="123">
        <v>26</v>
      </c>
      <c r="O4319">
        <v>2845</v>
      </c>
      <c r="P4319" s="132" t="s">
        <v>77</v>
      </c>
      <c r="Q4319" s="131">
        <v>4786.67</v>
      </c>
      <c r="R4319" s="131">
        <v>765.87</v>
      </c>
      <c r="S4319" s="131"/>
      <c r="T4319" s="155">
        <v>510.58</v>
      </c>
      <c r="U4319" s="131">
        <v>59.83</v>
      </c>
      <c r="V4319" s="131">
        <v>4982.13</v>
      </c>
      <c r="W4319">
        <v>48</v>
      </c>
      <c r="X4319" s="151" t="s">
        <v>1430</v>
      </c>
      <c r="Y4319" s="135" t="s">
        <v>55</v>
      </c>
      <c r="Z4319" s="307">
        <v>257</v>
      </c>
      <c r="AB4319" t="str">
        <f>IF(Table1[[#This Row],[TIPO2]]="costo", VLOOKUP(Table1[[#This Row],[PARTIDA PRESUPUESTAL]],'Cost Report'!G:G,1,0),"Balance")</f>
        <v>3442-007</v>
      </c>
      <c r="AC4319" s="118"/>
      <c r="AD4319" s="159">
        <f>+Table1[[#This Row],[SUBTOTAL]]+Table1[[#This Row],[IVA]]-Table1[[#This Row],[RET IVA]]-Table1[[#This Row],[RET ISR]]-Table1[[#This Row],[TOTAL]]</f>
        <v>0</v>
      </c>
      <c r="AE4319" s="150"/>
      <c r="AF4319" s="151"/>
      <c r="AG4319" s="126"/>
      <c r="AK4319" s="306" t="str">
        <f>IF(ISNUMBER(Table1[[#This Row],[FECHA DE RECIBIDO]]), Table1[[#This Row],[FECHA DE RECIBIDO]]-DATE(2023,8,30), "")</f>
        <v/>
      </c>
    </row>
    <row r="4320" spans="1:37" ht="16.05" customHeight="1">
      <c r="A4320" s="152" t="s">
        <v>4538</v>
      </c>
      <c r="B4320" s="153">
        <v>1495</v>
      </c>
      <c r="C4320" s="126" t="s">
        <v>1868</v>
      </c>
      <c r="D4320">
        <v>2978</v>
      </c>
      <c r="E4320" s="126" t="s">
        <v>1994</v>
      </c>
      <c r="F4320" s="125" t="s">
        <v>1593</v>
      </c>
      <c r="G4320" s="125" t="s">
        <v>109</v>
      </c>
      <c r="H4320">
        <v>107</v>
      </c>
      <c r="I4320" s="125" t="s">
        <v>1546</v>
      </c>
      <c r="J4320" s="308" t="s">
        <v>214</v>
      </c>
      <c r="K4320" s="127" t="s">
        <v>4625</v>
      </c>
      <c r="L4320" s="153" t="s">
        <v>2028</v>
      </c>
      <c r="M4320">
        <v>145</v>
      </c>
      <c r="N4320" s="123">
        <v>37</v>
      </c>
      <c r="O4320">
        <v>2846</v>
      </c>
      <c r="P4320" s="132" t="s">
        <v>77</v>
      </c>
      <c r="Q4320" s="132">
        <v>1560</v>
      </c>
      <c r="R4320" s="132">
        <v>249.6</v>
      </c>
      <c r="S4320" s="132"/>
      <c r="T4320" s="156">
        <v>166.4</v>
      </c>
      <c r="U4320" s="132">
        <v>19.5</v>
      </c>
      <c r="V4320" s="132">
        <v>1623.6999999999998</v>
      </c>
      <c r="W4320">
        <v>69</v>
      </c>
      <c r="X4320" s="153" t="s">
        <v>1430</v>
      </c>
      <c r="Y4320" s="124" t="s">
        <v>55</v>
      </c>
      <c r="Z4320" s="308">
        <v>257</v>
      </c>
      <c r="AB4320" t="str">
        <f>IF(Table1[[#This Row],[TIPO2]]="costo", VLOOKUP(Table1[[#This Row],[PARTIDA PRESUPUESTAL]],'Cost Report'!G:G,1,0),"Balance")</f>
        <v>3442-006</v>
      </c>
      <c r="AC4320" s="118"/>
      <c r="AD4320" s="159">
        <f>+Table1[[#This Row],[SUBTOTAL]]+Table1[[#This Row],[IVA]]-Table1[[#This Row],[RET IVA]]-Table1[[#This Row],[RET ISR]]-Table1[[#This Row],[TOTAL]]</f>
        <v>0</v>
      </c>
      <c r="AE4320" s="152"/>
      <c r="AF4320" s="153"/>
      <c r="AG4320" s="126"/>
      <c r="AK4320" s="306" t="str">
        <f>IF(ISNUMBER(Table1[[#This Row],[FECHA DE RECIBIDO]]), Table1[[#This Row],[FECHA DE RECIBIDO]]-DATE(2023,8,30), "")</f>
        <v/>
      </c>
    </row>
    <row r="4321" spans="1:37" ht="16.05" customHeight="1">
      <c r="A4321" s="150" t="s">
        <v>4539</v>
      </c>
      <c r="B4321" s="151">
        <v>1496</v>
      </c>
      <c r="C4321" s="126" t="s">
        <v>1868</v>
      </c>
      <c r="D4321">
        <v>2979</v>
      </c>
      <c r="E4321" s="126" t="s">
        <v>1613</v>
      </c>
      <c r="F4321" s="122" t="s">
        <v>1593</v>
      </c>
      <c r="G4321" s="122" t="s">
        <v>109</v>
      </c>
      <c r="H4321">
        <v>110</v>
      </c>
      <c r="I4321" s="122" t="s">
        <v>1546</v>
      </c>
      <c r="J4321" s="307" t="s">
        <v>214</v>
      </c>
      <c r="K4321" s="127" t="s">
        <v>4625</v>
      </c>
      <c r="L4321" s="151" t="s">
        <v>2028</v>
      </c>
      <c r="M4321">
        <v>148</v>
      </c>
      <c r="N4321" s="123">
        <v>40</v>
      </c>
      <c r="O4321">
        <v>2847</v>
      </c>
      <c r="P4321" s="132" t="s">
        <v>77</v>
      </c>
      <c r="Q4321" s="131">
        <v>1560</v>
      </c>
      <c r="R4321" s="131">
        <v>249.6</v>
      </c>
      <c r="S4321" s="131"/>
      <c r="T4321" s="155">
        <v>166.4</v>
      </c>
      <c r="U4321" s="131">
        <v>19.5</v>
      </c>
      <c r="V4321" s="131">
        <v>1623.6999999999998</v>
      </c>
      <c r="W4321">
        <v>72</v>
      </c>
      <c r="X4321" s="151" t="s">
        <v>1429</v>
      </c>
      <c r="Y4321" s="135" t="s">
        <v>55</v>
      </c>
      <c r="Z4321" s="307">
        <v>257</v>
      </c>
      <c r="AB4321" t="str">
        <f>IF(Table1[[#This Row],[TIPO2]]="costo", VLOOKUP(Table1[[#This Row],[PARTIDA PRESUPUESTAL]],'Cost Report'!G:G,1,0),"Balance")</f>
        <v>3442-006</v>
      </c>
      <c r="AC4321" s="118"/>
      <c r="AD4321" s="159">
        <f>+Table1[[#This Row],[SUBTOTAL]]+Table1[[#This Row],[IVA]]-Table1[[#This Row],[RET IVA]]-Table1[[#This Row],[RET ISR]]-Table1[[#This Row],[TOTAL]]</f>
        <v>0</v>
      </c>
      <c r="AE4321" s="150"/>
      <c r="AF4321" s="151"/>
      <c r="AG4321" s="126"/>
      <c r="AK4321" s="306" t="str">
        <f>IF(ISNUMBER(Table1[[#This Row],[FECHA DE RECIBIDO]]), Table1[[#This Row],[FECHA DE RECIBIDO]]-DATE(2023,8,30), "")</f>
        <v/>
      </c>
    </row>
    <row r="4322" spans="1:37" ht="16.05" customHeight="1">
      <c r="A4322" s="152" t="s">
        <v>4540</v>
      </c>
      <c r="B4322" s="153">
        <v>1497</v>
      </c>
      <c r="C4322" s="126" t="s">
        <v>1868</v>
      </c>
      <c r="D4322">
        <v>2980</v>
      </c>
      <c r="E4322" s="126" t="s">
        <v>2014</v>
      </c>
      <c r="F4322" s="125" t="s">
        <v>1589</v>
      </c>
      <c r="G4322" s="125" t="s">
        <v>129</v>
      </c>
      <c r="H4322">
        <v>111</v>
      </c>
      <c r="I4322" s="125" t="s">
        <v>1546</v>
      </c>
      <c r="J4322" s="308" t="s">
        <v>214</v>
      </c>
      <c r="K4322" s="127" t="s">
        <v>4625</v>
      </c>
      <c r="L4322" s="153" t="s">
        <v>2028</v>
      </c>
      <c r="M4322">
        <v>149</v>
      </c>
      <c r="N4322" s="123">
        <v>41</v>
      </c>
      <c r="O4322">
        <v>2848</v>
      </c>
      <c r="P4322" s="132" t="s">
        <v>77</v>
      </c>
      <c r="Q4322" s="132">
        <v>2426.5</v>
      </c>
      <c r="R4322" s="132">
        <v>388.24</v>
      </c>
      <c r="S4322" s="132"/>
      <c r="T4322" s="156">
        <v>258.83</v>
      </c>
      <c r="U4322" s="132">
        <v>242.65</v>
      </c>
      <c r="V4322" s="132">
        <v>2313.2599999999998</v>
      </c>
      <c r="W4322">
        <v>73</v>
      </c>
      <c r="X4322" s="153" t="s">
        <v>1430</v>
      </c>
      <c r="Y4322" s="124" t="s">
        <v>55</v>
      </c>
      <c r="Z4322" s="308">
        <v>257</v>
      </c>
      <c r="AB4322" t="str">
        <f>IF(Table1[[#This Row],[TIPO2]]="costo", VLOOKUP(Table1[[#This Row],[PARTIDA PRESUPUESTAL]],'Cost Report'!G:G,1,0),"Balance")</f>
        <v>3442-006</v>
      </c>
      <c r="AC4322" s="118"/>
      <c r="AD4322" s="159">
        <f>+Table1[[#This Row],[SUBTOTAL]]+Table1[[#This Row],[IVA]]-Table1[[#This Row],[RET IVA]]-Table1[[#This Row],[RET ISR]]-Table1[[#This Row],[TOTAL]]</f>
        <v>0</v>
      </c>
      <c r="AE4322" s="152"/>
      <c r="AF4322" s="153"/>
      <c r="AG4322" s="126"/>
      <c r="AK4322" s="306" t="str">
        <f>IF(ISNUMBER(Table1[[#This Row],[FECHA DE RECIBIDO]]), Table1[[#This Row],[FECHA DE RECIBIDO]]-DATE(2023,8,30), "")</f>
        <v/>
      </c>
    </row>
    <row r="4323" spans="1:37" ht="16.05" customHeight="1">
      <c r="A4323" s="150" t="s">
        <v>4541</v>
      </c>
      <c r="B4323" s="151">
        <v>1498</v>
      </c>
      <c r="C4323" s="126" t="s">
        <v>1868</v>
      </c>
      <c r="D4323">
        <v>2981</v>
      </c>
      <c r="E4323" s="126" t="s">
        <v>1614</v>
      </c>
      <c r="F4323" s="122" t="s">
        <v>1593</v>
      </c>
      <c r="G4323" s="122" t="s">
        <v>109</v>
      </c>
      <c r="H4323">
        <v>114</v>
      </c>
      <c r="I4323" s="122" t="s">
        <v>1546</v>
      </c>
      <c r="J4323" s="307" t="s">
        <v>214</v>
      </c>
      <c r="K4323" s="127" t="s">
        <v>4625</v>
      </c>
      <c r="L4323" s="151" t="s">
        <v>2028</v>
      </c>
      <c r="M4323">
        <v>152</v>
      </c>
      <c r="N4323" s="123">
        <v>44</v>
      </c>
      <c r="O4323">
        <v>2849</v>
      </c>
      <c r="P4323" s="132" t="s">
        <v>77</v>
      </c>
      <c r="Q4323" s="131">
        <v>1560</v>
      </c>
      <c r="R4323" s="131">
        <v>249.6</v>
      </c>
      <c r="S4323" s="131"/>
      <c r="T4323" s="155">
        <v>166.4</v>
      </c>
      <c r="U4323" s="131">
        <v>19.5</v>
      </c>
      <c r="V4323" s="131">
        <v>1623.6999999999998</v>
      </c>
      <c r="W4323">
        <v>76</v>
      </c>
      <c r="X4323" s="151" t="s">
        <v>1429</v>
      </c>
      <c r="Y4323" s="135" t="s">
        <v>55</v>
      </c>
      <c r="Z4323" s="307">
        <v>257</v>
      </c>
      <c r="AB4323" t="str">
        <f>IF(Table1[[#This Row],[TIPO2]]="costo", VLOOKUP(Table1[[#This Row],[PARTIDA PRESUPUESTAL]],'Cost Report'!G:G,1,0),"Balance")</f>
        <v>3442-006</v>
      </c>
      <c r="AC4323" s="118"/>
      <c r="AD4323" s="159">
        <f>+Table1[[#This Row],[SUBTOTAL]]+Table1[[#This Row],[IVA]]-Table1[[#This Row],[RET IVA]]-Table1[[#This Row],[RET ISR]]-Table1[[#This Row],[TOTAL]]</f>
        <v>0</v>
      </c>
      <c r="AE4323" s="150"/>
      <c r="AF4323" s="151"/>
      <c r="AG4323" s="126"/>
      <c r="AK4323" s="306" t="str">
        <f>IF(ISNUMBER(Table1[[#This Row],[FECHA DE RECIBIDO]]), Table1[[#This Row],[FECHA DE RECIBIDO]]-DATE(2023,8,30), "")</f>
        <v/>
      </c>
    </row>
    <row r="4324" spans="1:37" ht="16.05" customHeight="1">
      <c r="A4324" s="152" t="s">
        <v>4542</v>
      </c>
      <c r="B4324" s="153">
        <v>1499</v>
      </c>
      <c r="C4324" s="126" t="s">
        <v>1868</v>
      </c>
      <c r="D4324">
        <v>2982</v>
      </c>
      <c r="E4324" s="126" t="s">
        <v>3135</v>
      </c>
      <c r="F4324" s="125" t="s">
        <v>1593</v>
      </c>
      <c r="G4324" s="125" t="s">
        <v>109</v>
      </c>
      <c r="H4324">
        <v>188</v>
      </c>
      <c r="I4324" s="125" t="s">
        <v>1546</v>
      </c>
      <c r="J4324" s="308" t="s">
        <v>214</v>
      </c>
      <c r="K4324" s="127" t="s">
        <v>4625</v>
      </c>
      <c r="L4324" s="153" t="s">
        <v>2028</v>
      </c>
      <c r="M4324">
        <v>253</v>
      </c>
      <c r="N4324" s="123">
        <v>53</v>
      </c>
      <c r="O4324">
        <v>2850</v>
      </c>
      <c r="P4324" s="132" t="s">
        <v>77</v>
      </c>
      <c r="Q4324" s="132">
        <v>2273.34</v>
      </c>
      <c r="R4324" s="132">
        <v>363.73</v>
      </c>
      <c r="S4324" s="132"/>
      <c r="T4324" s="156">
        <v>242.49</v>
      </c>
      <c r="U4324" s="132">
        <v>28.42</v>
      </c>
      <c r="V4324" s="132">
        <v>2366.16</v>
      </c>
      <c r="W4324">
        <v>109</v>
      </c>
      <c r="X4324" s="153" t="s">
        <v>1429</v>
      </c>
      <c r="Y4324" s="124" t="s">
        <v>55</v>
      </c>
      <c r="Z4324" s="308">
        <v>257</v>
      </c>
      <c r="AB4324" t="str">
        <f>IF(Table1[[#This Row],[TIPO2]]="costo", VLOOKUP(Table1[[#This Row],[PARTIDA PRESUPUESTAL]],'Cost Report'!G:G,1,0),"Balance")</f>
        <v>3442-006</v>
      </c>
      <c r="AC4324" s="118"/>
      <c r="AD4324" s="159">
        <f>+Table1[[#This Row],[SUBTOTAL]]+Table1[[#This Row],[IVA]]-Table1[[#This Row],[RET IVA]]-Table1[[#This Row],[RET ISR]]-Table1[[#This Row],[TOTAL]]</f>
        <v>0</v>
      </c>
      <c r="AE4324" s="152"/>
      <c r="AF4324" s="153"/>
      <c r="AG4324" s="126"/>
      <c r="AK4324" s="306" t="str">
        <f>IF(ISNUMBER(Table1[[#This Row],[FECHA DE RECIBIDO]]), Table1[[#This Row],[FECHA DE RECIBIDO]]-DATE(2023,8,30), "")</f>
        <v/>
      </c>
    </row>
    <row r="4325" spans="1:37" ht="16.05" customHeight="1">
      <c r="A4325" s="150" t="s">
        <v>4543</v>
      </c>
      <c r="B4325" s="151">
        <v>1500</v>
      </c>
      <c r="C4325" s="126" t="s">
        <v>1868</v>
      </c>
      <c r="D4325">
        <v>2983</v>
      </c>
      <c r="E4325" s="126" t="s">
        <v>3139</v>
      </c>
      <c r="F4325" s="122" t="s">
        <v>1593</v>
      </c>
      <c r="G4325" s="122" t="s">
        <v>109</v>
      </c>
      <c r="H4325">
        <v>190</v>
      </c>
      <c r="I4325" s="122" t="s">
        <v>1546</v>
      </c>
      <c r="J4325" s="307" t="s">
        <v>214</v>
      </c>
      <c r="K4325" s="127" t="s">
        <v>4625</v>
      </c>
      <c r="L4325" s="151" t="s">
        <v>2028</v>
      </c>
      <c r="M4325">
        <v>255</v>
      </c>
      <c r="N4325" s="123">
        <v>55</v>
      </c>
      <c r="O4325">
        <v>2851</v>
      </c>
      <c r="P4325" s="132" t="s">
        <v>77</v>
      </c>
      <c r="Q4325" s="131">
        <v>2120</v>
      </c>
      <c r="R4325" s="131">
        <v>339.2</v>
      </c>
      <c r="S4325" s="131"/>
      <c r="T4325" s="155">
        <v>226.13</v>
      </c>
      <c r="U4325" s="131">
        <v>26.5</v>
      </c>
      <c r="V4325" s="131">
        <v>2206.5699999999997</v>
      </c>
      <c r="W4325">
        <v>111</v>
      </c>
      <c r="X4325" s="151" t="s">
        <v>1429</v>
      </c>
      <c r="Y4325" s="135" t="s">
        <v>55</v>
      </c>
      <c r="Z4325" s="307">
        <v>257</v>
      </c>
      <c r="AB4325" t="str">
        <f>IF(Table1[[#This Row],[TIPO2]]="costo", VLOOKUP(Table1[[#This Row],[PARTIDA PRESUPUESTAL]],'Cost Report'!G:G,1,0),"Balance")</f>
        <v>3442-006</v>
      </c>
      <c r="AC4325" s="118"/>
      <c r="AD4325" s="159">
        <f>+Table1[[#This Row],[SUBTOTAL]]+Table1[[#This Row],[IVA]]-Table1[[#This Row],[RET IVA]]-Table1[[#This Row],[RET ISR]]-Table1[[#This Row],[TOTAL]]</f>
        <v>0</v>
      </c>
      <c r="AE4325" s="150"/>
      <c r="AF4325" s="151"/>
      <c r="AG4325" s="126"/>
      <c r="AK4325" s="306" t="str">
        <f>IF(ISNUMBER(Table1[[#This Row],[FECHA DE RECIBIDO]]), Table1[[#This Row],[FECHA DE RECIBIDO]]-DATE(2023,8,30), "")</f>
        <v/>
      </c>
    </row>
    <row r="4326" spans="1:37" ht="16.05" customHeight="1">
      <c r="A4326" s="152" t="s">
        <v>4544</v>
      </c>
      <c r="B4326" s="153">
        <v>1501</v>
      </c>
      <c r="C4326" s="126" t="s">
        <v>1868</v>
      </c>
      <c r="D4326">
        <v>2984</v>
      </c>
      <c r="E4326" s="126" t="s">
        <v>1614</v>
      </c>
      <c r="F4326" s="125" t="s">
        <v>1593</v>
      </c>
      <c r="G4326" s="125" t="s">
        <v>109</v>
      </c>
      <c r="H4326">
        <v>339</v>
      </c>
      <c r="I4326" s="125" t="s">
        <v>1546</v>
      </c>
      <c r="J4326" s="308" t="s">
        <v>214</v>
      </c>
      <c r="K4326" s="127" t="s">
        <v>4625</v>
      </c>
      <c r="L4326" s="153" t="s">
        <v>2028</v>
      </c>
      <c r="M4326">
        <v>456</v>
      </c>
      <c r="N4326" s="123">
        <v>81</v>
      </c>
      <c r="O4326">
        <v>2852</v>
      </c>
      <c r="P4326" s="132" t="s">
        <v>77</v>
      </c>
      <c r="Q4326" s="132">
        <v>960</v>
      </c>
      <c r="R4326" s="132">
        <v>153.6</v>
      </c>
      <c r="S4326" s="132"/>
      <c r="T4326" s="156">
        <v>102.4</v>
      </c>
      <c r="U4326" s="132">
        <v>12</v>
      </c>
      <c r="V4326" s="132">
        <v>999.19999999999993</v>
      </c>
      <c r="W4326">
        <v>176</v>
      </c>
      <c r="X4326" s="153" t="s">
        <v>1429</v>
      </c>
      <c r="Y4326" s="124" t="s">
        <v>55</v>
      </c>
      <c r="Z4326" s="308">
        <v>257</v>
      </c>
      <c r="AB4326" t="str">
        <f>IF(Table1[[#This Row],[TIPO2]]="costo", VLOOKUP(Table1[[#This Row],[PARTIDA PRESUPUESTAL]],'Cost Report'!G:G,1,0),"Balance")</f>
        <v>3442-006</v>
      </c>
      <c r="AC4326" s="118"/>
      <c r="AD4326" s="159">
        <f>+Table1[[#This Row],[SUBTOTAL]]+Table1[[#This Row],[IVA]]-Table1[[#This Row],[RET IVA]]-Table1[[#This Row],[RET ISR]]-Table1[[#This Row],[TOTAL]]</f>
        <v>0</v>
      </c>
      <c r="AE4326" s="152"/>
      <c r="AF4326" s="153"/>
      <c r="AG4326" s="126"/>
      <c r="AK4326" s="306" t="str">
        <f>IF(ISNUMBER(Table1[[#This Row],[FECHA DE RECIBIDO]]), Table1[[#This Row],[FECHA DE RECIBIDO]]-DATE(2023,8,30), "")</f>
        <v/>
      </c>
    </row>
    <row r="4327" spans="1:37" ht="16.05" customHeight="1">
      <c r="A4327" s="150" t="s">
        <v>4545</v>
      </c>
      <c r="B4327" s="151">
        <v>1502</v>
      </c>
      <c r="C4327" s="126" t="s">
        <v>1868</v>
      </c>
      <c r="D4327">
        <v>2985</v>
      </c>
      <c r="E4327" s="126" t="s">
        <v>3932</v>
      </c>
      <c r="F4327" s="122" t="s">
        <v>1589</v>
      </c>
      <c r="G4327" s="122" t="s">
        <v>129</v>
      </c>
      <c r="H4327">
        <v>504</v>
      </c>
      <c r="I4327" s="122" t="s">
        <v>1546</v>
      </c>
      <c r="J4327" s="307" t="s">
        <v>214</v>
      </c>
      <c r="K4327" s="127" t="s">
        <v>4625</v>
      </c>
      <c r="L4327" s="151" t="s">
        <v>2028</v>
      </c>
      <c r="M4327">
        <v>728</v>
      </c>
      <c r="N4327" s="123">
        <v>133</v>
      </c>
      <c r="O4327">
        <v>2853</v>
      </c>
      <c r="P4327" s="132" t="s">
        <v>77</v>
      </c>
      <c r="Q4327" s="131">
        <v>1220</v>
      </c>
      <c r="R4327" s="131">
        <v>195.2</v>
      </c>
      <c r="S4327" s="131"/>
      <c r="T4327" s="155">
        <v>130.13</v>
      </c>
      <c r="U4327" s="131">
        <v>122</v>
      </c>
      <c r="V4327" s="131">
        <v>1163.0700000000002</v>
      </c>
      <c r="W4327">
        <v>276</v>
      </c>
      <c r="X4327" s="151" t="s">
        <v>1431</v>
      </c>
      <c r="Y4327" s="135" t="s">
        <v>55</v>
      </c>
      <c r="Z4327" s="307">
        <v>257</v>
      </c>
      <c r="AB4327" t="str">
        <f>IF(Table1[[#This Row],[TIPO2]]="costo", VLOOKUP(Table1[[#This Row],[PARTIDA PRESUPUESTAL]],'Cost Report'!G:G,1,0),"Balance")</f>
        <v>3442-006</v>
      </c>
      <c r="AC4327" s="118"/>
      <c r="AD4327" s="159">
        <f>+Table1[[#This Row],[SUBTOTAL]]+Table1[[#This Row],[IVA]]-Table1[[#This Row],[RET IVA]]-Table1[[#This Row],[RET ISR]]-Table1[[#This Row],[TOTAL]]</f>
        <v>0</v>
      </c>
      <c r="AE4327" s="150"/>
      <c r="AF4327" s="151"/>
      <c r="AG4327" s="126"/>
      <c r="AK4327" s="306" t="str">
        <f>IF(ISNUMBER(Table1[[#This Row],[FECHA DE RECIBIDO]]), Table1[[#This Row],[FECHA DE RECIBIDO]]-DATE(2023,8,30), "")</f>
        <v/>
      </c>
    </row>
    <row r="4328" spans="1:37" ht="16.05" customHeight="1">
      <c r="A4328" s="152" t="s">
        <v>4546</v>
      </c>
      <c r="B4328" s="153">
        <v>1503</v>
      </c>
      <c r="C4328" s="126" t="s">
        <v>1868</v>
      </c>
      <c r="D4328">
        <v>2986</v>
      </c>
      <c r="E4328" s="126" t="s">
        <v>3932</v>
      </c>
      <c r="F4328" s="125" t="s">
        <v>1589</v>
      </c>
      <c r="G4328" s="125" t="s">
        <v>129</v>
      </c>
      <c r="H4328">
        <v>504</v>
      </c>
      <c r="I4328" s="125" t="s">
        <v>1546</v>
      </c>
      <c r="J4328" s="308" t="s">
        <v>214</v>
      </c>
      <c r="K4328" s="127" t="s">
        <v>4625</v>
      </c>
      <c r="L4328" s="153" t="s">
        <v>2028</v>
      </c>
      <c r="M4328">
        <v>728</v>
      </c>
      <c r="N4328" s="123">
        <v>133</v>
      </c>
      <c r="O4328">
        <v>2854</v>
      </c>
      <c r="P4328" s="132" t="s">
        <v>77</v>
      </c>
      <c r="Q4328" s="132">
        <v>1220</v>
      </c>
      <c r="R4328" s="132">
        <v>195.2</v>
      </c>
      <c r="S4328" s="132"/>
      <c r="T4328" s="156">
        <v>130.13</v>
      </c>
      <c r="U4328" s="132">
        <v>122</v>
      </c>
      <c r="V4328" s="132">
        <v>1163.0700000000002</v>
      </c>
      <c r="W4328">
        <v>276</v>
      </c>
      <c r="X4328" s="153" t="s">
        <v>1431</v>
      </c>
      <c r="Y4328" s="124" t="s">
        <v>55</v>
      </c>
      <c r="Z4328" s="308">
        <v>257</v>
      </c>
      <c r="AB4328" t="str">
        <f>IF(Table1[[#This Row],[TIPO2]]="costo", VLOOKUP(Table1[[#This Row],[PARTIDA PRESUPUESTAL]],'Cost Report'!G:G,1,0),"Balance")</f>
        <v>3442-006</v>
      </c>
      <c r="AC4328" s="118"/>
      <c r="AD4328" s="159">
        <f>+Table1[[#This Row],[SUBTOTAL]]+Table1[[#This Row],[IVA]]-Table1[[#This Row],[RET IVA]]-Table1[[#This Row],[RET ISR]]-Table1[[#This Row],[TOTAL]]</f>
        <v>0</v>
      </c>
      <c r="AE4328" s="152"/>
      <c r="AF4328" s="153"/>
      <c r="AG4328" s="126"/>
      <c r="AK4328" s="306" t="str">
        <f>IF(ISNUMBER(Table1[[#This Row],[FECHA DE RECIBIDO]]), Table1[[#This Row],[FECHA DE RECIBIDO]]-DATE(2023,8,30), "")</f>
        <v/>
      </c>
    </row>
    <row r="4329" spans="1:37" ht="16.05" customHeight="1">
      <c r="A4329" s="150" t="s">
        <v>4547</v>
      </c>
      <c r="B4329" s="151">
        <v>1504</v>
      </c>
      <c r="C4329" s="126" t="s">
        <v>1869</v>
      </c>
      <c r="D4329">
        <v>2987</v>
      </c>
      <c r="E4329" s="126" t="s">
        <v>3932</v>
      </c>
      <c r="F4329" s="122" t="s">
        <v>1589</v>
      </c>
      <c r="G4329" s="122" t="s">
        <v>129</v>
      </c>
      <c r="H4329">
        <v>504</v>
      </c>
      <c r="I4329" s="122" t="s">
        <v>1546</v>
      </c>
      <c r="J4329" s="307" t="s">
        <v>214</v>
      </c>
      <c r="K4329" s="127" t="s">
        <v>4625</v>
      </c>
      <c r="L4329" s="151" t="s">
        <v>2028</v>
      </c>
      <c r="M4329">
        <v>728</v>
      </c>
      <c r="N4329" s="123">
        <v>133</v>
      </c>
      <c r="O4329">
        <v>2855</v>
      </c>
      <c r="P4329" s="132" t="s">
        <v>77</v>
      </c>
      <c r="Q4329" s="131">
        <v>1220</v>
      </c>
      <c r="R4329" s="131">
        <v>195.2</v>
      </c>
      <c r="S4329" s="131"/>
      <c r="T4329" s="155">
        <v>130.13</v>
      </c>
      <c r="U4329" s="131">
        <v>122</v>
      </c>
      <c r="V4329" s="131">
        <v>1163.0700000000002</v>
      </c>
      <c r="W4329">
        <v>276</v>
      </c>
      <c r="X4329" s="151" t="s">
        <v>1431</v>
      </c>
      <c r="Y4329" s="135" t="s">
        <v>55</v>
      </c>
      <c r="Z4329" s="307">
        <v>257</v>
      </c>
      <c r="AB4329" t="str">
        <f>IF(Table1[[#This Row],[TIPO2]]="costo", VLOOKUP(Table1[[#This Row],[PARTIDA PRESUPUESTAL]],'Cost Report'!G:G,1,0),"Balance")</f>
        <v>3442-007</v>
      </c>
      <c r="AC4329" s="118"/>
      <c r="AD4329" s="159">
        <f>+Table1[[#This Row],[SUBTOTAL]]+Table1[[#This Row],[IVA]]-Table1[[#This Row],[RET IVA]]-Table1[[#This Row],[RET ISR]]-Table1[[#This Row],[TOTAL]]</f>
        <v>0</v>
      </c>
      <c r="AE4329" s="150"/>
      <c r="AF4329" s="151"/>
      <c r="AG4329" s="126"/>
      <c r="AK4329" s="306" t="str">
        <f>IF(ISNUMBER(Table1[[#This Row],[FECHA DE RECIBIDO]]), Table1[[#This Row],[FECHA DE RECIBIDO]]-DATE(2023,8,30), "")</f>
        <v/>
      </c>
    </row>
    <row r="4330" spans="1:37" ht="16.05" customHeight="1">
      <c r="A4330" s="152" t="s">
        <v>4548</v>
      </c>
      <c r="B4330" s="153">
        <v>1505</v>
      </c>
      <c r="C4330" s="126" t="s">
        <v>1868</v>
      </c>
      <c r="D4330">
        <v>2988</v>
      </c>
      <c r="E4330" s="126" t="s">
        <v>3941</v>
      </c>
      <c r="F4330" s="125" t="s">
        <v>1593</v>
      </c>
      <c r="G4330" s="125" t="s">
        <v>109</v>
      </c>
      <c r="H4330">
        <v>508</v>
      </c>
      <c r="I4330" s="125" t="s">
        <v>1546</v>
      </c>
      <c r="J4330" s="308" t="s">
        <v>214</v>
      </c>
      <c r="K4330" s="127" t="s">
        <v>4625</v>
      </c>
      <c r="L4330" s="153" t="s">
        <v>2028</v>
      </c>
      <c r="M4330">
        <v>732</v>
      </c>
      <c r="N4330" s="123">
        <v>138</v>
      </c>
      <c r="O4330">
        <v>2856</v>
      </c>
      <c r="P4330" s="132" t="s">
        <v>77</v>
      </c>
      <c r="Q4330" s="132">
        <v>1220</v>
      </c>
      <c r="R4330" s="132">
        <v>195.2</v>
      </c>
      <c r="S4330" s="132"/>
      <c r="T4330" s="156">
        <v>130.13</v>
      </c>
      <c r="U4330" s="132">
        <v>15.25</v>
      </c>
      <c r="V4330" s="132">
        <v>1269.8200000000002</v>
      </c>
      <c r="W4330">
        <v>280</v>
      </c>
      <c r="X4330" s="153" t="s">
        <v>1429</v>
      </c>
      <c r="Y4330" s="124" t="s">
        <v>55</v>
      </c>
      <c r="Z4330" s="308">
        <v>257</v>
      </c>
      <c r="AB4330" t="str">
        <f>IF(Table1[[#This Row],[TIPO2]]="costo", VLOOKUP(Table1[[#This Row],[PARTIDA PRESUPUESTAL]],'Cost Report'!G:G,1,0),"Balance")</f>
        <v>3442-006</v>
      </c>
      <c r="AC4330" s="118"/>
      <c r="AD4330" s="159">
        <f>+Table1[[#This Row],[SUBTOTAL]]+Table1[[#This Row],[IVA]]-Table1[[#This Row],[RET IVA]]-Table1[[#This Row],[RET ISR]]-Table1[[#This Row],[TOTAL]]</f>
        <v>0</v>
      </c>
      <c r="AE4330" s="152"/>
      <c r="AF4330" s="153"/>
      <c r="AG4330" s="126"/>
      <c r="AK4330" s="306" t="str">
        <f>IF(ISNUMBER(Table1[[#This Row],[FECHA DE RECIBIDO]]), Table1[[#This Row],[FECHA DE RECIBIDO]]-DATE(2023,8,30), "")</f>
        <v/>
      </c>
    </row>
    <row r="4331" spans="1:37" ht="16.05" customHeight="1">
      <c r="A4331" s="150" t="s">
        <v>4549</v>
      </c>
      <c r="B4331" s="151">
        <v>1506</v>
      </c>
      <c r="C4331" s="126" t="s">
        <v>1869</v>
      </c>
      <c r="D4331">
        <v>2989</v>
      </c>
      <c r="E4331" s="126" t="s">
        <v>3941</v>
      </c>
      <c r="F4331" s="122" t="s">
        <v>1593</v>
      </c>
      <c r="G4331" s="122" t="s">
        <v>109</v>
      </c>
      <c r="H4331">
        <v>508</v>
      </c>
      <c r="I4331" s="122" t="s">
        <v>1546</v>
      </c>
      <c r="J4331" s="307" t="s">
        <v>214</v>
      </c>
      <c r="K4331" s="127" t="s">
        <v>4625</v>
      </c>
      <c r="L4331" s="151" t="s">
        <v>2028</v>
      </c>
      <c r="M4331">
        <v>732</v>
      </c>
      <c r="N4331" s="123">
        <v>138</v>
      </c>
      <c r="O4331">
        <v>2857</v>
      </c>
      <c r="P4331" s="132" t="s">
        <v>77</v>
      </c>
      <c r="Q4331" s="131">
        <v>1220</v>
      </c>
      <c r="R4331" s="131">
        <v>195.2</v>
      </c>
      <c r="S4331" s="131"/>
      <c r="T4331" s="155">
        <v>130.13</v>
      </c>
      <c r="U4331" s="131">
        <v>15.25</v>
      </c>
      <c r="V4331" s="131">
        <v>1269.8200000000002</v>
      </c>
      <c r="W4331">
        <v>280</v>
      </c>
      <c r="X4331" s="151" t="s">
        <v>1429</v>
      </c>
      <c r="Y4331" s="135" t="s">
        <v>55</v>
      </c>
      <c r="Z4331" s="307">
        <v>257</v>
      </c>
      <c r="AB4331" t="str">
        <f>IF(Table1[[#This Row],[TIPO2]]="costo", VLOOKUP(Table1[[#This Row],[PARTIDA PRESUPUESTAL]],'Cost Report'!G:G,1,0),"Balance")</f>
        <v>3442-007</v>
      </c>
      <c r="AC4331" s="118"/>
      <c r="AD4331" s="159">
        <f>+Table1[[#This Row],[SUBTOTAL]]+Table1[[#This Row],[IVA]]-Table1[[#This Row],[RET IVA]]-Table1[[#This Row],[RET ISR]]-Table1[[#This Row],[TOTAL]]</f>
        <v>0</v>
      </c>
      <c r="AE4331" s="150"/>
      <c r="AF4331" s="151"/>
      <c r="AG4331" s="126"/>
      <c r="AK4331" s="306" t="str">
        <f>IF(ISNUMBER(Table1[[#This Row],[FECHA DE RECIBIDO]]), Table1[[#This Row],[FECHA DE RECIBIDO]]-DATE(2023,8,30), "")</f>
        <v/>
      </c>
    </row>
    <row r="4332" spans="1:37" ht="16.05" customHeight="1">
      <c r="A4332" s="152" t="s">
        <v>4550</v>
      </c>
      <c r="B4332" s="153">
        <v>1507</v>
      </c>
      <c r="C4332" s="126" t="s">
        <v>1868</v>
      </c>
      <c r="D4332">
        <v>2990</v>
      </c>
      <c r="E4332" s="126" t="s">
        <v>3953</v>
      </c>
      <c r="F4332" s="125" t="s">
        <v>1593</v>
      </c>
      <c r="G4332" s="125" t="s">
        <v>109</v>
      </c>
      <c r="H4332">
        <v>513</v>
      </c>
      <c r="I4332" s="125" t="s">
        <v>1546</v>
      </c>
      <c r="J4332" s="308" t="s">
        <v>214</v>
      </c>
      <c r="K4332" s="127" t="s">
        <v>4625</v>
      </c>
      <c r="L4332" s="153" t="s">
        <v>2028</v>
      </c>
      <c r="M4332">
        <v>737</v>
      </c>
      <c r="N4332" s="123">
        <v>143</v>
      </c>
      <c r="O4332">
        <v>2858</v>
      </c>
      <c r="P4332" s="132" t="s">
        <v>77</v>
      </c>
      <c r="Q4332" s="132">
        <v>2440</v>
      </c>
      <c r="R4332" s="132">
        <v>390.4</v>
      </c>
      <c r="S4332" s="132"/>
      <c r="T4332" s="156">
        <v>260.27</v>
      </c>
      <c r="U4332" s="132">
        <v>30.5</v>
      </c>
      <c r="V4332" s="132">
        <v>2539.63</v>
      </c>
      <c r="W4332">
        <v>285</v>
      </c>
      <c r="X4332" s="153" t="s">
        <v>1431</v>
      </c>
      <c r="Y4332" s="124" t="s">
        <v>55</v>
      </c>
      <c r="Z4332" s="308">
        <v>257</v>
      </c>
      <c r="AB4332" t="str">
        <f>IF(Table1[[#This Row],[TIPO2]]="costo", VLOOKUP(Table1[[#This Row],[PARTIDA PRESUPUESTAL]],'Cost Report'!G:G,1,0),"Balance")</f>
        <v>3442-006</v>
      </c>
      <c r="AC4332" s="118"/>
      <c r="AD4332" s="159">
        <f>+Table1[[#This Row],[SUBTOTAL]]+Table1[[#This Row],[IVA]]-Table1[[#This Row],[RET IVA]]-Table1[[#This Row],[RET ISR]]-Table1[[#This Row],[TOTAL]]</f>
        <v>0</v>
      </c>
      <c r="AE4332" s="152"/>
      <c r="AF4332" s="153"/>
      <c r="AG4332" s="126"/>
      <c r="AK4332" s="306" t="str">
        <f>IF(ISNUMBER(Table1[[#This Row],[FECHA DE RECIBIDO]]), Table1[[#This Row],[FECHA DE RECIBIDO]]-DATE(2023,8,30), "")</f>
        <v/>
      </c>
    </row>
    <row r="4333" spans="1:37" ht="16.05" customHeight="1">
      <c r="A4333" s="150" t="s">
        <v>4551</v>
      </c>
      <c r="B4333" s="151">
        <v>1508</v>
      </c>
      <c r="C4333" s="126" t="s">
        <v>1868</v>
      </c>
      <c r="D4333">
        <v>2991</v>
      </c>
      <c r="E4333" s="126" t="s">
        <v>3953</v>
      </c>
      <c r="F4333" s="122" t="s">
        <v>1593</v>
      </c>
      <c r="G4333" s="122" t="s">
        <v>109</v>
      </c>
      <c r="H4333">
        <v>513</v>
      </c>
      <c r="I4333" s="122" t="s">
        <v>1546</v>
      </c>
      <c r="J4333" s="307" t="s">
        <v>214</v>
      </c>
      <c r="K4333" s="127" t="s">
        <v>4625</v>
      </c>
      <c r="L4333" s="151" t="s">
        <v>2028</v>
      </c>
      <c r="M4333">
        <v>737</v>
      </c>
      <c r="N4333" s="123">
        <v>143</v>
      </c>
      <c r="O4333">
        <v>2859</v>
      </c>
      <c r="P4333" s="132" t="s">
        <v>77</v>
      </c>
      <c r="Q4333" s="131">
        <v>1220</v>
      </c>
      <c r="R4333" s="131">
        <v>195.2</v>
      </c>
      <c r="S4333" s="131"/>
      <c r="T4333" s="155">
        <v>130.13</v>
      </c>
      <c r="U4333" s="131">
        <v>15.25</v>
      </c>
      <c r="V4333" s="131">
        <v>1269.8200000000002</v>
      </c>
      <c r="W4333">
        <v>285</v>
      </c>
      <c r="X4333" s="151" t="s">
        <v>1431</v>
      </c>
      <c r="Y4333" s="135" t="s">
        <v>55</v>
      </c>
      <c r="Z4333" s="307">
        <v>257</v>
      </c>
      <c r="AB4333" t="str">
        <f>IF(Table1[[#This Row],[TIPO2]]="costo", VLOOKUP(Table1[[#This Row],[PARTIDA PRESUPUESTAL]],'Cost Report'!G:G,1,0),"Balance")</f>
        <v>3442-006</v>
      </c>
      <c r="AC4333" s="118"/>
      <c r="AD4333" s="159">
        <f>+Table1[[#This Row],[SUBTOTAL]]+Table1[[#This Row],[IVA]]-Table1[[#This Row],[RET IVA]]-Table1[[#This Row],[RET ISR]]-Table1[[#This Row],[TOTAL]]</f>
        <v>0</v>
      </c>
      <c r="AE4333" s="150"/>
      <c r="AF4333" s="151"/>
      <c r="AG4333" s="126"/>
      <c r="AK4333" s="306" t="str">
        <f>IF(ISNUMBER(Table1[[#This Row],[FECHA DE RECIBIDO]]), Table1[[#This Row],[FECHA DE RECIBIDO]]-DATE(2023,8,30), "")</f>
        <v/>
      </c>
    </row>
    <row r="4334" spans="1:37" ht="16.05" customHeight="1">
      <c r="A4334" s="152" t="s">
        <v>4552</v>
      </c>
      <c r="B4334" s="153">
        <v>1509</v>
      </c>
      <c r="C4334" s="126" t="s">
        <v>1869</v>
      </c>
      <c r="D4334">
        <v>2992</v>
      </c>
      <c r="E4334" s="126" t="s">
        <v>3953</v>
      </c>
      <c r="F4334" s="125" t="s">
        <v>1593</v>
      </c>
      <c r="G4334" s="125" t="s">
        <v>109</v>
      </c>
      <c r="H4334">
        <v>513</v>
      </c>
      <c r="I4334" s="125" t="s">
        <v>1546</v>
      </c>
      <c r="J4334" s="308" t="s">
        <v>214</v>
      </c>
      <c r="K4334" s="127" t="s">
        <v>4625</v>
      </c>
      <c r="L4334" s="153" t="s">
        <v>2028</v>
      </c>
      <c r="M4334">
        <v>737</v>
      </c>
      <c r="N4334" s="123">
        <v>143</v>
      </c>
      <c r="O4334">
        <v>2860</v>
      </c>
      <c r="P4334" s="132" t="s">
        <v>77</v>
      </c>
      <c r="Q4334" s="132">
        <v>1220</v>
      </c>
      <c r="R4334" s="132">
        <v>195.2</v>
      </c>
      <c r="S4334" s="132"/>
      <c r="T4334" s="156">
        <v>130.13</v>
      </c>
      <c r="U4334" s="132">
        <v>15.25</v>
      </c>
      <c r="V4334" s="132">
        <v>1269.8200000000002</v>
      </c>
      <c r="W4334">
        <v>285</v>
      </c>
      <c r="X4334" s="153" t="s">
        <v>1431</v>
      </c>
      <c r="Y4334" s="124" t="s">
        <v>55</v>
      </c>
      <c r="Z4334" s="308">
        <v>257</v>
      </c>
      <c r="AB4334" t="str">
        <f>IF(Table1[[#This Row],[TIPO2]]="costo", VLOOKUP(Table1[[#This Row],[PARTIDA PRESUPUESTAL]],'Cost Report'!G:G,1,0),"Balance")</f>
        <v>3442-007</v>
      </c>
      <c r="AC4334" s="118"/>
      <c r="AD4334" s="159">
        <f>+Table1[[#This Row],[SUBTOTAL]]+Table1[[#This Row],[IVA]]-Table1[[#This Row],[RET IVA]]-Table1[[#This Row],[RET ISR]]-Table1[[#This Row],[TOTAL]]</f>
        <v>0</v>
      </c>
      <c r="AE4334" s="152"/>
      <c r="AF4334" s="153"/>
      <c r="AG4334" s="126"/>
      <c r="AK4334" s="306" t="str">
        <f>IF(ISNUMBER(Table1[[#This Row],[FECHA DE RECIBIDO]]), Table1[[#This Row],[FECHA DE RECIBIDO]]-DATE(2023,8,30), "")</f>
        <v/>
      </c>
    </row>
    <row r="4335" spans="1:37" ht="16.05" customHeight="1">
      <c r="A4335" s="150" t="s">
        <v>4553</v>
      </c>
      <c r="B4335" s="151">
        <v>1510</v>
      </c>
      <c r="C4335" s="126" t="s">
        <v>562</v>
      </c>
      <c r="D4335">
        <v>2993</v>
      </c>
      <c r="E4335" s="126" t="s">
        <v>3354</v>
      </c>
      <c r="F4335" s="122" t="s">
        <v>1593</v>
      </c>
      <c r="G4335" s="122" t="s">
        <v>109</v>
      </c>
      <c r="H4335">
        <v>347</v>
      </c>
      <c r="I4335" s="122" t="s">
        <v>1546</v>
      </c>
      <c r="J4335" s="307" t="s">
        <v>214</v>
      </c>
      <c r="K4335" s="127" t="s">
        <v>4625</v>
      </c>
      <c r="L4335" s="151" t="s">
        <v>110</v>
      </c>
      <c r="M4335">
        <v>464</v>
      </c>
      <c r="N4335" s="123">
        <v>89</v>
      </c>
      <c r="O4335">
        <v>2861</v>
      </c>
      <c r="P4335" s="132" t="s">
        <v>77</v>
      </c>
      <c r="Q4335" s="131">
        <v>14700</v>
      </c>
      <c r="R4335" s="131">
        <v>2352</v>
      </c>
      <c r="S4335" s="131"/>
      <c r="T4335" s="155">
        <v>1568</v>
      </c>
      <c r="U4335" s="131">
        <v>183.76</v>
      </c>
      <c r="V4335" s="131">
        <v>15300.24</v>
      </c>
      <c r="W4335">
        <v>184</v>
      </c>
      <c r="X4335" s="151" t="s">
        <v>3684</v>
      </c>
      <c r="Y4335" s="135" t="s">
        <v>55</v>
      </c>
      <c r="Z4335" s="307">
        <v>257</v>
      </c>
      <c r="AB4335" t="str">
        <f>IF(Table1[[#This Row],[TIPO2]]="costo", VLOOKUP(Table1[[#This Row],[PARTIDA PRESUPUESTAL]],'Cost Report'!G:G,1,0),"Balance")</f>
        <v>2310-004</v>
      </c>
      <c r="AC4335" s="118"/>
      <c r="AD4335" s="159">
        <f>+Table1[[#This Row],[SUBTOTAL]]+Table1[[#This Row],[IVA]]-Table1[[#This Row],[RET IVA]]-Table1[[#This Row],[RET ISR]]-Table1[[#This Row],[TOTAL]]</f>
        <v>0</v>
      </c>
      <c r="AE4335" s="150"/>
      <c r="AF4335" s="151"/>
      <c r="AG4335" s="126"/>
      <c r="AK4335" s="306" t="str">
        <f>IF(ISNUMBER(Table1[[#This Row],[FECHA DE RECIBIDO]]), Table1[[#This Row],[FECHA DE RECIBIDO]]-DATE(2023,8,30), "")</f>
        <v/>
      </c>
    </row>
    <row r="4336" spans="1:37" ht="16.05" customHeight="1">
      <c r="A4336" s="152" t="s">
        <v>4554</v>
      </c>
      <c r="B4336" s="153">
        <v>1511</v>
      </c>
      <c r="C4336" s="126" t="s">
        <v>1868</v>
      </c>
      <c r="D4336">
        <v>2994</v>
      </c>
      <c r="E4336" s="126" t="s">
        <v>3354</v>
      </c>
      <c r="F4336" s="125" t="s">
        <v>1593</v>
      </c>
      <c r="G4336" s="125" t="s">
        <v>109</v>
      </c>
      <c r="H4336">
        <v>347</v>
      </c>
      <c r="I4336" s="125" t="s">
        <v>1546</v>
      </c>
      <c r="J4336" s="308" t="s">
        <v>214</v>
      </c>
      <c r="K4336" s="127" t="s">
        <v>4625</v>
      </c>
      <c r="L4336" s="153" t="s">
        <v>2028</v>
      </c>
      <c r="M4336">
        <v>464</v>
      </c>
      <c r="N4336" s="123">
        <v>89</v>
      </c>
      <c r="O4336">
        <v>2862</v>
      </c>
      <c r="P4336" s="132" t="s">
        <v>77</v>
      </c>
      <c r="Q4336" s="132">
        <v>960</v>
      </c>
      <c r="R4336" s="132">
        <v>153.6</v>
      </c>
      <c r="S4336" s="132"/>
      <c r="T4336" s="156">
        <v>102.4</v>
      </c>
      <c r="U4336" s="132">
        <v>12</v>
      </c>
      <c r="V4336" s="132">
        <v>999.19999999999993</v>
      </c>
      <c r="W4336">
        <v>184</v>
      </c>
      <c r="X4336" s="153" t="s">
        <v>3684</v>
      </c>
      <c r="Y4336" s="124" t="s">
        <v>55</v>
      </c>
      <c r="Z4336" s="308">
        <v>257</v>
      </c>
      <c r="AB4336" t="str">
        <f>IF(Table1[[#This Row],[TIPO2]]="costo", VLOOKUP(Table1[[#This Row],[PARTIDA PRESUPUESTAL]],'Cost Report'!G:G,1,0),"Balance")</f>
        <v>3442-006</v>
      </c>
      <c r="AC4336" s="118"/>
      <c r="AD4336" s="159">
        <f>+Table1[[#This Row],[SUBTOTAL]]+Table1[[#This Row],[IVA]]-Table1[[#This Row],[RET IVA]]-Table1[[#This Row],[RET ISR]]-Table1[[#This Row],[TOTAL]]</f>
        <v>0</v>
      </c>
      <c r="AE4336" s="152"/>
      <c r="AF4336" s="153"/>
      <c r="AG4336" s="126"/>
      <c r="AK4336" s="306" t="str">
        <f>IF(ISNUMBER(Table1[[#This Row],[FECHA DE RECIBIDO]]), Table1[[#This Row],[FECHA DE RECIBIDO]]-DATE(2023,8,30), "")</f>
        <v/>
      </c>
    </row>
    <row r="4337" spans="1:37" ht="16.05" customHeight="1">
      <c r="A4337" s="150" t="s">
        <v>4555</v>
      </c>
      <c r="B4337" s="151">
        <v>1512</v>
      </c>
      <c r="C4337" s="126" t="s">
        <v>1868</v>
      </c>
      <c r="D4337">
        <v>2995</v>
      </c>
      <c r="E4337" s="126" t="s">
        <v>1988</v>
      </c>
      <c r="F4337" s="122" t="s">
        <v>1593</v>
      </c>
      <c r="G4337" s="122" t="s">
        <v>109</v>
      </c>
      <c r="H4337">
        <v>791</v>
      </c>
      <c r="I4337" s="122" t="s">
        <v>1546</v>
      </c>
      <c r="J4337" s="307" t="s">
        <v>214</v>
      </c>
      <c r="K4337" s="127" t="s">
        <v>4625</v>
      </c>
      <c r="L4337" s="151" t="s">
        <v>2028</v>
      </c>
      <c r="M4337">
        <v>1094</v>
      </c>
      <c r="N4337" s="123">
        <v>203</v>
      </c>
      <c r="O4337">
        <v>2863</v>
      </c>
      <c r="P4337" s="132" t="s">
        <v>77</v>
      </c>
      <c r="Q4337" s="131">
        <v>920</v>
      </c>
      <c r="R4337" s="131">
        <v>147.19999999999999</v>
      </c>
      <c r="S4337" s="131"/>
      <c r="T4337" s="155">
        <v>98.13</v>
      </c>
      <c r="U4337" s="131">
        <v>11.5</v>
      </c>
      <c r="V4337" s="131">
        <v>957.57</v>
      </c>
      <c r="W4337">
        <v>390</v>
      </c>
      <c r="X4337" s="151" t="s">
        <v>1429</v>
      </c>
      <c r="Y4337" s="135" t="s">
        <v>55</v>
      </c>
      <c r="Z4337" s="307">
        <v>257</v>
      </c>
      <c r="AB4337" t="str">
        <f>IF(Table1[[#This Row],[TIPO2]]="costo", VLOOKUP(Table1[[#This Row],[PARTIDA PRESUPUESTAL]],'Cost Report'!G:G,1,0),"Balance")</f>
        <v>3442-006</v>
      </c>
      <c r="AC4337" s="118"/>
      <c r="AD4337" s="159">
        <f>+Table1[[#This Row],[SUBTOTAL]]+Table1[[#This Row],[IVA]]-Table1[[#This Row],[RET IVA]]-Table1[[#This Row],[RET ISR]]-Table1[[#This Row],[TOTAL]]</f>
        <v>0</v>
      </c>
      <c r="AE4337" s="150"/>
      <c r="AF4337" s="151"/>
      <c r="AG4337" s="126"/>
      <c r="AK4337" s="306" t="str">
        <f>IF(ISNUMBER(Table1[[#This Row],[FECHA DE RECIBIDO]]), Table1[[#This Row],[FECHA DE RECIBIDO]]-DATE(2023,8,30), "")</f>
        <v/>
      </c>
    </row>
    <row r="4338" spans="1:37" ht="16.05" customHeight="1">
      <c r="A4338" s="152" t="s">
        <v>4556</v>
      </c>
      <c r="B4338" s="153">
        <v>1513</v>
      </c>
      <c r="C4338" s="126" t="s">
        <v>2553</v>
      </c>
      <c r="D4338">
        <v>2996</v>
      </c>
      <c r="E4338" s="126" t="s">
        <v>1988</v>
      </c>
      <c r="F4338" s="125" t="s">
        <v>1593</v>
      </c>
      <c r="G4338" s="125" t="s">
        <v>109</v>
      </c>
      <c r="H4338">
        <v>791</v>
      </c>
      <c r="I4338" s="125" t="s">
        <v>1546</v>
      </c>
      <c r="J4338" s="308" t="s">
        <v>214</v>
      </c>
      <c r="K4338" s="127" t="s">
        <v>4625</v>
      </c>
      <c r="L4338" s="153" t="s">
        <v>110</v>
      </c>
      <c r="M4338">
        <v>1094</v>
      </c>
      <c r="N4338" s="123">
        <v>203</v>
      </c>
      <c r="O4338">
        <v>2864</v>
      </c>
      <c r="P4338" s="132" t="s">
        <v>77</v>
      </c>
      <c r="Q4338" s="132">
        <v>6250</v>
      </c>
      <c r="R4338" s="132">
        <v>1000</v>
      </c>
      <c r="S4338" s="132"/>
      <c r="T4338" s="156">
        <v>666.67</v>
      </c>
      <c r="U4338" s="132">
        <v>78.13</v>
      </c>
      <c r="V4338" s="132">
        <v>6505.2</v>
      </c>
      <c r="W4338">
        <v>390</v>
      </c>
      <c r="X4338" s="153" t="s">
        <v>1429</v>
      </c>
      <c r="Y4338" s="124" t="s">
        <v>55</v>
      </c>
      <c r="Z4338" s="308">
        <v>257</v>
      </c>
      <c r="AB4338" t="str">
        <f>IF(Table1[[#This Row],[TIPO2]]="costo", VLOOKUP(Table1[[#This Row],[PARTIDA PRESUPUESTAL]],'Cost Report'!G:G,1,0),"Balance")</f>
        <v>2495-017</v>
      </c>
      <c r="AC4338" s="118"/>
      <c r="AD4338" s="159">
        <f>+Table1[[#This Row],[SUBTOTAL]]+Table1[[#This Row],[IVA]]-Table1[[#This Row],[RET IVA]]-Table1[[#This Row],[RET ISR]]-Table1[[#This Row],[TOTAL]]</f>
        <v>0</v>
      </c>
      <c r="AE4338" s="152"/>
      <c r="AF4338" s="153"/>
      <c r="AG4338" s="126"/>
      <c r="AK4338" s="306" t="str">
        <f>IF(ISNUMBER(Table1[[#This Row],[FECHA DE RECIBIDO]]), Table1[[#This Row],[FECHA DE RECIBIDO]]-DATE(2023,8,30), "")</f>
        <v/>
      </c>
    </row>
    <row r="4339" spans="1:37" ht="16.05" customHeight="1">
      <c r="A4339" s="150" t="s">
        <v>4557</v>
      </c>
      <c r="B4339" s="151">
        <v>1514</v>
      </c>
      <c r="C4339" s="126" t="s">
        <v>337</v>
      </c>
      <c r="D4339">
        <v>2997</v>
      </c>
      <c r="E4339" s="126" t="s">
        <v>1997</v>
      </c>
      <c r="F4339" s="122" t="s">
        <v>1593</v>
      </c>
      <c r="G4339" s="122" t="s">
        <v>109</v>
      </c>
      <c r="H4339">
        <v>792</v>
      </c>
      <c r="I4339" s="122" t="s">
        <v>1546</v>
      </c>
      <c r="J4339" s="307" t="s">
        <v>214</v>
      </c>
      <c r="K4339" s="127" t="s">
        <v>4625</v>
      </c>
      <c r="L4339" s="151" t="s">
        <v>110</v>
      </c>
      <c r="M4339">
        <v>1095</v>
      </c>
      <c r="N4339" s="123">
        <v>204</v>
      </c>
      <c r="O4339">
        <v>2865</v>
      </c>
      <c r="P4339" s="132" t="s">
        <v>77</v>
      </c>
      <c r="Q4339" s="131">
        <v>14000</v>
      </c>
      <c r="R4339" s="131">
        <v>2240</v>
      </c>
      <c r="S4339" s="131"/>
      <c r="T4339" s="155">
        <v>1493.34</v>
      </c>
      <c r="U4339" s="131">
        <v>175</v>
      </c>
      <c r="V4339" s="131">
        <v>14571.66</v>
      </c>
      <c r="W4339">
        <v>391</v>
      </c>
      <c r="X4339" s="151" t="s">
        <v>1429</v>
      </c>
      <c r="Y4339" s="135" t="s">
        <v>55</v>
      </c>
      <c r="Z4339" s="307">
        <v>257</v>
      </c>
      <c r="AB4339" t="str">
        <f>IF(Table1[[#This Row],[TIPO2]]="costo", VLOOKUP(Table1[[#This Row],[PARTIDA PRESUPUESTAL]],'Cost Report'!G:G,1,0),"Balance")</f>
        <v>1403-037</v>
      </c>
      <c r="AC4339" s="118"/>
      <c r="AD4339" s="159">
        <f>+Table1[[#This Row],[SUBTOTAL]]+Table1[[#This Row],[IVA]]-Table1[[#This Row],[RET IVA]]-Table1[[#This Row],[RET ISR]]-Table1[[#This Row],[TOTAL]]</f>
        <v>0</v>
      </c>
      <c r="AE4339" s="150"/>
      <c r="AF4339" s="151"/>
      <c r="AG4339" s="126"/>
      <c r="AK4339" s="306" t="str">
        <f>IF(ISNUMBER(Table1[[#This Row],[FECHA DE RECIBIDO]]), Table1[[#This Row],[FECHA DE RECIBIDO]]-DATE(2023,8,30), "")</f>
        <v/>
      </c>
    </row>
    <row r="4340" spans="1:37" ht="16.05" customHeight="1">
      <c r="A4340" s="152" t="s">
        <v>4558</v>
      </c>
      <c r="B4340" s="153">
        <v>1515</v>
      </c>
      <c r="C4340" s="126" t="s">
        <v>2206</v>
      </c>
      <c r="D4340">
        <v>2998</v>
      </c>
      <c r="E4340" s="126" t="s">
        <v>4559</v>
      </c>
      <c r="F4340" s="125" t="s">
        <v>1593</v>
      </c>
      <c r="G4340" s="125" t="s">
        <v>109</v>
      </c>
      <c r="H4340">
        <v>793</v>
      </c>
      <c r="I4340" s="125" t="s">
        <v>1546</v>
      </c>
      <c r="J4340" s="308" t="s">
        <v>214</v>
      </c>
      <c r="K4340" s="127" t="s">
        <v>4625</v>
      </c>
      <c r="L4340" s="153" t="s">
        <v>110</v>
      </c>
      <c r="M4340">
        <v>1096</v>
      </c>
      <c r="N4340" s="123">
        <v>205</v>
      </c>
      <c r="O4340">
        <v>2866</v>
      </c>
      <c r="P4340" s="132" t="s">
        <v>77</v>
      </c>
      <c r="Q4340" s="132">
        <v>38850</v>
      </c>
      <c r="R4340" s="132">
        <v>6216</v>
      </c>
      <c r="S4340" s="132"/>
      <c r="T4340" s="156">
        <v>4144.01</v>
      </c>
      <c r="U4340" s="132">
        <v>485.63</v>
      </c>
      <c r="V4340" s="132">
        <v>40436.36</v>
      </c>
      <c r="W4340">
        <v>392</v>
      </c>
      <c r="X4340" s="153" t="s">
        <v>2024</v>
      </c>
      <c r="Y4340" s="124" t="s">
        <v>55</v>
      </c>
      <c r="Z4340" s="308">
        <v>257</v>
      </c>
      <c r="AB4340" t="str">
        <f>IF(Table1[[#This Row],[TIPO2]]="costo", VLOOKUP(Table1[[#This Row],[PARTIDA PRESUPUESTAL]],'Cost Report'!G:G,1,0),"Balance")</f>
        <v>1403-079</v>
      </c>
      <c r="AC4340" s="118"/>
      <c r="AD4340" s="159">
        <f>+Table1[[#This Row],[SUBTOTAL]]+Table1[[#This Row],[IVA]]-Table1[[#This Row],[RET IVA]]-Table1[[#This Row],[RET ISR]]-Table1[[#This Row],[TOTAL]]</f>
        <v>0</v>
      </c>
      <c r="AE4340" s="152"/>
      <c r="AF4340" s="153"/>
      <c r="AG4340" s="126"/>
      <c r="AK4340" s="306" t="str">
        <f>IF(ISNUMBER(Table1[[#This Row],[FECHA DE RECIBIDO]]), Table1[[#This Row],[FECHA DE RECIBIDO]]-DATE(2023,8,30), "")</f>
        <v/>
      </c>
    </row>
    <row r="4341" spans="1:37" ht="16.05" customHeight="1">
      <c r="A4341" s="150" t="s">
        <v>4560</v>
      </c>
      <c r="B4341" s="151">
        <v>1516</v>
      </c>
      <c r="C4341" s="126" t="s">
        <v>2637</v>
      </c>
      <c r="D4341">
        <v>2999</v>
      </c>
      <c r="E4341" s="126" t="s">
        <v>4203</v>
      </c>
      <c r="F4341" s="122" t="s">
        <v>1589</v>
      </c>
      <c r="G4341" s="122" t="s">
        <v>129</v>
      </c>
      <c r="H4341">
        <v>794</v>
      </c>
      <c r="I4341" s="122" t="s">
        <v>1546</v>
      </c>
      <c r="J4341" s="307" t="s">
        <v>214</v>
      </c>
      <c r="K4341" s="127" t="s">
        <v>4625</v>
      </c>
      <c r="L4341" s="151" t="s">
        <v>110</v>
      </c>
      <c r="M4341">
        <v>1097</v>
      </c>
      <c r="N4341" s="123">
        <v>206</v>
      </c>
      <c r="O4341">
        <v>2867</v>
      </c>
      <c r="P4341" s="132" t="s">
        <v>77</v>
      </c>
      <c r="Q4341" s="131">
        <v>2500</v>
      </c>
      <c r="R4341" s="131">
        <v>400</v>
      </c>
      <c r="S4341" s="131"/>
      <c r="T4341" s="155">
        <v>266.67</v>
      </c>
      <c r="U4341" s="131">
        <v>250</v>
      </c>
      <c r="V4341" s="131">
        <v>2383.33</v>
      </c>
      <c r="W4341">
        <v>393</v>
      </c>
      <c r="X4341" s="151" t="s">
        <v>3684</v>
      </c>
      <c r="Y4341" s="135" t="s">
        <v>55</v>
      </c>
      <c r="Z4341" s="307">
        <v>257</v>
      </c>
      <c r="AB4341" t="str">
        <f>IF(Table1[[#This Row],[TIPO2]]="costo", VLOOKUP(Table1[[#This Row],[PARTIDA PRESUPUESTAL]],'Cost Report'!G:G,1,0),"Balance")</f>
        <v>3002-034</v>
      </c>
      <c r="AC4341" s="118"/>
      <c r="AD4341" s="159">
        <f>+Table1[[#This Row],[SUBTOTAL]]+Table1[[#This Row],[IVA]]-Table1[[#This Row],[RET IVA]]-Table1[[#This Row],[RET ISR]]-Table1[[#This Row],[TOTAL]]</f>
        <v>0</v>
      </c>
      <c r="AE4341" s="150"/>
      <c r="AF4341" s="151"/>
      <c r="AG4341" s="126"/>
      <c r="AK4341" s="306" t="str">
        <f>IF(ISNUMBER(Table1[[#This Row],[FECHA DE RECIBIDO]]), Table1[[#This Row],[FECHA DE RECIBIDO]]-DATE(2023,8,30), "")</f>
        <v/>
      </c>
    </row>
    <row r="4342" spans="1:37" ht="16.05" customHeight="1">
      <c r="A4342" s="152" t="s">
        <v>4561</v>
      </c>
      <c r="B4342" s="153">
        <v>1517</v>
      </c>
      <c r="C4342" s="126" t="s">
        <v>2527</v>
      </c>
      <c r="D4342">
        <v>3000</v>
      </c>
      <c r="E4342" s="126" t="s">
        <v>3667</v>
      </c>
      <c r="F4342" s="125" t="s">
        <v>1593</v>
      </c>
      <c r="G4342" s="125" t="s">
        <v>109</v>
      </c>
      <c r="H4342">
        <v>795</v>
      </c>
      <c r="I4342" s="125" t="s">
        <v>1546</v>
      </c>
      <c r="J4342" s="308" t="s">
        <v>214</v>
      </c>
      <c r="K4342" s="127" t="s">
        <v>4625</v>
      </c>
      <c r="L4342" s="153" t="s">
        <v>110</v>
      </c>
      <c r="M4342">
        <v>1098</v>
      </c>
      <c r="N4342" s="123">
        <v>207</v>
      </c>
      <c r="O4342">
        <v>2868</v>
      </c>
      <c r="P4342" s="132" t="s">
        <v>77</v>
      </c>
      <c r="Q4342" s="132">
        <v>7350</v>
      </c>
      <c r="R4342" s="132">
        <v>1176</v>
      </c>
      <c r="S4342" s="132"/>
      <c r="T4342" s="156">
        <v>1176</v>
      </c>
      <c r="U4342" s="132">
        <v>91.88</v>
      </c>
      <c r="V4342" s="132">
        <v>7258.12</v>
      </c>
      <c r="W4342">
        <v>394</v>
      </c>
      <c r="X4342" s="153" t="s">
        <v>1433</v>
      </c>
      <c r="Y4342" s="124" t="s">
        <v>55</v>
      </c>
      <c r="Z4342" s="308">
        <v>257</v>
      </c>
      <c r="AB4342" t="str">
        <f>IF(Table1[[#This Row],[TIPO2]]="costo", VLOOKUP(Table1[[#This Row],[PARTIDA PRESUPUESTAL]],'Cost Report'!G:G,1,0),"Balance")</f>
        <v>2405-025</v>
      </c>
      <c r="AC4342" s="118"/>
      <c r="AD4342" s="159">
        <f>+Table1[[#This Row],[SUBTOTAL]]+Table1[[#This Row],[IVA]]-Table1[[#This Row],[RET IVA]]-Table1[[#This Row],[RET ISR]]-Table1[[#This Row],[TOTAL]]</f>
        <v>0</v>
      </c>
      <c r="AE4342" s="152"/>
      <c r="AF4342" s="153"/>
      <c r="AG4342" s="126"/>
      <c r="AK4342" s="306" t="str">
        <f>IF(ISNUMBER(Table1[[#This Row],[FECHA DE RECIBIDO]]), Table1[[#This Row],[FECHA DE RECIBIDO]]-DATE(2023,8,30), "")</f>
        <v/>
      </c>
    </row>
    <row r="4343" spans="1:37" ht="16.05" customHeight="1">
      <c r="A4343" s="150" t="s">
        <v>4562</v>
      </c>
      <c r="B4343" s="151">
        <v>1518</v>
      </c>
      <c r="C4343" s="126" t="s">
        <v>2553</v>
      </c>
      <c r="D4343">
        <v>3001</v>
      </c>
      <c r="E4343" s="126" t="s">
        <v>4005</v>
      </c>
      <c r="F4343" s="122" t="s">
        <v>1593</v>
      </c>
      <c r="G4343" s="122" t="s">
        <v>109</v>
      </c>
      <c r="H4343">
        <v>796</v>
      </c>
      <c r="I4343" s="122" t="s">
        <v>1546</v>
      </c>
      <c r="J4343" s="307" t="s">
        <v>214</v>
      </c>
      <c r="K4343" s="127" t="s">
        <v>4625</v>
      </c>
      <c r="L4343" s="151" t="s">
        <v>110</v>
      </c>
      <c r="M4343">
        <v>1099</v>
      </c>
      <c r="N4343" s="123">
        <v>208</v>
      </c>
      <c r="O4343">
        <v>2869</v>
      </c>
      <c r="P4343" s="132" t="s">
        <v>77</v>
      </c>
      <c r="Q4343" s="131">
        <v>6250</v>
      </c>
      <c r="R4343" s="131">
        <v>1000</v>
      </c>
      <c r="S4343" s="131"/>
      <c r="T4343" s="155">
        <v>666.67</v>
      </c>
      <c r="U4343" s="131">
        <v>78.13</v>
      </c>
      <c r="V4343" s="131">
        <v>6505.2</v>
      </c>
      <c r="W4343">
        <v>395</v>
      </c>
      <c r="X4343" s="151" t="s">
        <v>1429</v>
      </c>
      <c r="Y4343" s="135" t="s">
        <v>55</v>
      </c>
      <c r="Z4343" s="307">
        <v>257</v>
      </c>
      <c r="AB4343" t="str">
        <f>IF(Table1[[#This Row],[TIPO2]]="costo", VLOOKUP(Table1[[#This Row],[PARTIDA PRESUPUESTAL]],'Cost Report'!G:G,1,0),"Balance")</f>
        <v>2495-017</v>
      </c>
      <c r="AC4343" s="118"/>
      <c r="AD4343" s="159">
        <f>+Table1[[#This Row],[SUBTOTAL]]+Table1[[#This Row],[IVA]]-Table1[[#This Row],[RET IVA]]-Table1[[#This Row],[RET ISR]]-Table1[[#This Row],[TOTAL]]</f>
        <v>0</v>
      </c>
      <c r="AE4343" s="150"/>
      <c r="AF4343" s="151"/>
      <c r="AG4343" s="126"/>
      <c r="AK4343" s="306" t="str">
        <f>IF(ISNUMBER(Table1[[#This Row],[FECHA DE RECIBIDO]]), Table1[[#This Row],[FECHA DE RECIBIDO]]-DATE(2023,8,30), "")</f>
        <v/>
      </c>
    </row>
    <row r="4344" spans="1:37" ht="16.05" customHeight="1">
      <c r="A4344" s="152" t="s">
        <v>4563</v>
      </c>
      <c r="B4344" s="153">
        <v>1519</v>
      </c>
      <c r="C4344" s="126" t="s">
        <v>1868</v>
      </c>
      <c r="D4344">
        <v>3002</v>
      </c>
      <c r="E4344" s="126" t="s">
        <v>4005</v>
      </c>
      <c r="F4344" s="125" t="s">
        <v>1593</v>
      </c>
      <c r="G4344" s="125" t="s">
        <v>109</v>
      </c>
      <c r="H4344">
        <v>796</v>
      </c>
      <c r="I4344" s="125" t="s">
        <v>1546</v>
      </c>
      <c r="J4344" s="308" t="s">
        <v>214</v>
      </c>
      <c r="K4344" s="127" t="s">
        <v>4625</v>
      </c>
      <c r="L4344" s="153" t="s">
        <v>2028</v>
      </c>
      <c r="M4344">
        <v>1099</v>
      </c>
      <c r="N4344" s="123">
        <v>208</v>
      </c>
      <c r="O4344">
        <v>2870</v>
      </c>
      <c r="P4344" s="132" t="s">
        <v>77</v>
      </c>
      <c r="Q4344" s="132">
        <v>920</v>
      </c>
      <c r="R4344" s="132">
        <v>147.19999999999999</v>
      </c>
      <c r="S4344" s="132"/>
      <c r="T4344" s="156">
        <v>98.13</v>
      </c>
      <c r="U4344" s="132">
        <v>11.5</v>
      </c>
      <c r="V4344" s="132">
        <v>957.57</v>
      </c>
      <c r="W4344">
        <v>395</v>
      </c>
      <c r="X4344" s="153" t="s">
        <v>1429</v>
      </c>
      <c r="Y4344" s="124" t="s">
        <v>55</v>
      </c>
      <c r="Z4344" s="308">
        <v>257</v>
      </c>
      <c r="AB4344" t="str">
        <f>IF(Table1[[#This Row],[TIPO2]]="costo", VLOOKUP(Table1[[#This Row],[PARTIDA PRESUPUESTAL]],'Cost Report'!G:G,1,0),"Balance")</f>
        <v>3442-006</v>
      </c>
      <c r="AC4344" s="118"/>
      <c r="AD4344" s="159">
        <f>+Table1[[#This Row],[SUBTOTAL]]+Table1[[#This Row],[IVA]]-Table1[[#This Row],[RET IVA]]-Table1[[#This Row],[RET ISR]]-Table1[[#This Row],[TOTAL]]</f>
        <v>0</v>
      </c>
      <c r="AE4344" s="152"/>
      <c r="AF4344" s="153"/>
      <c r="AG4344" s="126"/>
      <c r="AK4344" s="306" t="str">
        <f>IF(ISNUMBER(Table1[[#This Row],[FECHA DE RECIBIDO]]), Table1[[#This Row],[FECHA DE RECIBIDO]]-DATE(2023,8,30), "")</f>
        <v/>
      </c>
    </row>
    <row r="4345" spans="1:37" ht="16.05" customHeight="1">
      <c r="A4345" s="150" t="s">
        <v>4564</v>
      </c>
      <c r="B4345" s="151">
        <v>1520</v>
      </c>
      <c r="C4345" s="126" t="s">
        <v>2527</v>
      </c>
      <c r="D4345">
        <v>3003</v>
      </c>
      <c r="E4345" s="126" t="s">
        <v>4005</v>
      </c>
      <c r="F4345" s="122" t="s">
        <v>1593</v>
      </c>
      <c r="G4345" s="122" t="s">
        <v>109</v>
      </c>
      <c r="H4345">
        <v>796</v>
      </c>
      <c r="I4345" s="122" t="s">
        <v>1546</v>
      </c>
      <c r="J4345" s="307" t="s">
        <v>214</v>
      </c>
      <c r="K4345" s="127" t="s">
        <v>4625</v>
      </c>
      <c r="L4345" s="151" t="s">
        <v>110</v>
      </c>
      <c r="M4345">
        <v>1099</v>
      </c>
      <c r="N4345" s="123">
        <v>208</v>
      </c>
      <c r="O4345">
        <v>2871</v>
      </c>
      <c r="P4345" s="132" t="s">
        <v>77</v>
      </c>
      <c r="Q4345" s="131">
        <v>5880</v>
      </c>
      <c r="R4345" s="131">
        <v>940.8</v>
      </c>
      <c r="S4345" s="131"/>
      <c r="T4345" s="155">
        <v>627.20000000000005</v>
      </c>
      <c r="U4345" s="131">
        <v>73.510000000000005</v>
      </c>
      <c r="V4345" s="131">
        <v>6120.09</v>
      </c>
      <c r="W4345">
        <v>395</v>
      </c>
      <c r="X4345" s="151" t="s">
        <v>1429</v>
      </c>
      <c r="Y4345" s="135" t="s">
        <v>55</v>
      </c>
      <c r="Z4345" s="307">
        <v>257</v>
      </c>
      <c r="AB4345" t="str">
        <f>IF(Table1[[#This Row],[TIPO2]]="costo", VLOOKUP(Table1[[#This Row],[PARTIDA PRESUPUESTAL]],'Cost Report'!G:G,1,0),"Balance")</f>
        <v>2405-025</v>
      </c>
      <c r="AC4345" s="118"/>
      <c r="AD4345" s="159">
        <f>+Table1[[#This Row],[SUBTOTAL]]+Table1[[#This Row],[IVA]]-Table1[[#This Row],[RET IVA]]-Table1[[#This Row],[RET ISR]]-Table1[[#This Row],[TOTAL]]</f>
        <v>0</v>
      </c>
      <c r="AE4345" s="150"/>
      <c r="AF4345" s="151"/>
      <c r="AG4345" s="126"/>
      <c r="AK4345" s="306" t="str">
        <f>IF(ISNUMBER(Table1[[#This Row],[FECHA DE RECIBIDO]]), Table1[[#This Row],[FECHA DE RECIBIDO]]-DATE(2023,8,30), "")</f>
        <v/>
      </c>
    </row>
    <row r="4346" spans="1:37" ht="16.05" customHeight="1">
      <c r="A4346" s="152" t="s">
        <v>4565</v>
      </c>
      <c r="B4346" s="153">
        <v>1521</v>
      </c>
      <c r="C4346" s="126" t="s">
        <v>2527</v>
      </c>
      <c r="D4346">
        <v>3004</v>
      </c>
      <c r="E4346" s="126" t="s">
        <v>1605</v>
      </c>
      <c r="F4346" s="125" t="s">
        <v>1593</v>
      </c>
      <c r="G4346" s="125" t="s">
        <v>109</v>
      </c>
      <c r="H4346">
        <v>797</v>
      </c>
      <c r="I4346" s="125" t="s">
        <v>1546</v>
      </c>
      <c r="J4346" s="308" t="s">
        <v>214</v>
      </c>
      <c r="K4346" s="127" t="s">
        <v>4625</v>
      </c>
      <c r="L4346" s="153" t="s">
        <v>110</v>
      </c>
      <c r="M4346">
        <v>1100</v>
      </c>
      <c r="N4346" s="123">
        <v>209</v>
      </c>
      <c r="O4346">
        <v>2872</v>
      </c>
      <c r="P4346" s="132" t="s">
        <v>77</v>
      </c>
      <c r="Q4346" s="132">
        <v>1470</v>
      </c>
      <c r="R4346" s="132">
        <v>235.2</v>
      </c>
      <c r="S4346" s="132"/>
      <c r="T4346" s="156">
        <v>156.80000000000001</v>
      </c>
      <c r="U4346" s="132">
        <v>18.38</v>
      </c>
      <c r="V4346" s="132">
        <v>1530.02</v>
      </c>
      <c r="W4346">
        <v>396</v>
      </c>
      <c r="X4346" s="153" t="s">
        <v>1429</v>
      </c>
      <c r="Y4346" s="124" t="s">
        <v>55</v>
      </c>
      <c r="Z4346" s="308">
        <v>257</v>
      </c>
      <c r="AB4346" t="str">
        <f>IF(Table1[[#This Row],[TIPO2]]="costo", VLOOKUP(Table1[[#This Row],[PARTIDA PRESUPUESTAL]],'Cost Report'!G:G,1,0),"Balance")</f>
        <v>2405-025</v>
      </c>
      <c r="AC4346" s="118"/>
      <c r="AD4346" s="159">
        <f>+Table1[[#This Row],[SUBTOTAL]]+Table1[[#This Row],[IVA]]-Table1[[#This Row],[RET IVA]]-Table1[[#This Row],[RET ISR]]-Table1[[#This Row],[TOTAL]]</f>
        <v>0</v>
      </c>
      <c r="AE4346" s="152"/>
      <c r="AF4346" s="153"/>
      <c r="AG4346" s="126"/>
      <c r="AK4346" s="306" t="str">
        <f>IF(ISNUMBER(Table1[[#This Row],[FECHA DE RECIBIDO]]), Table1[[#This Row],[FECHA DE RECIBIDO]]-DATE(2023,8,30), "")</f>
        <v/>
      </c>
    </row>
    <row r="4347" spans="1:37" ht="16.05" customHeight="1">
      <c r="A4347" s="150" t="s">
        <v>4566</v>
      </c>
      <c r="B4347" s="151">
        <v>1522</v>
      </c>
      <c r="C4347" s="126" t="s">
        <v>2693</v>
      </c>
      <c r="D4347">
        <v>3005</v>
      </c>
      <c r="E4347" s="126" t="s">
        <v>4567</v>
      </c>
      <c r="F4347" s="122" t="s">
        <v>1602</v>
      </c>
      <c r="G4347" s="122" t="s">
        <v>1617</v>
      </c>
      <c r="H4347">
        <v>798</v>
      </c>
      <c r="I4347" s="122" t="s">
        <v>1546</v>
      </c>
      <c r="J4347" s="307" t="s">
        <v>214</v>
      </c>
      <c r="K4347" s="127" t="s">
        <v>4625</v>
      </c>
      <c r="L4347" s="151" t="s">
        <v>110</v>
      </c>
      <c r="M4347">
        <v>1101</v>
      </c>
      <c r="N4347" s="123">
        <v>210</v>
      </c>
      <c r="O4347">
        <v>2873</v>
      </c>
      <c r="P4347" s="132" t="s">
        <v>77</v>
      </c>
      <c r="Q4347" s="131">
        <v>12500</v>
      </c>
      <c r="R4347" s="131">
        <v>2000</v>
      </c>
      <c r="S4347" s="131"/>
      <c r="T4347" s="155">
        <v>1333.34</v>
      </c>
      <c r="U4347" s="131">
        <v>0</v>
      </c>
      <c r="V4347" s="131">
        <v>13166.66</v>
      </c>
      <c r="W4347">
        <v>397</v>
      </c>
      <c r="X4347" s="151" t="s">
        <v>2024</v>
      </c>
      <c r="Y4347" s="135" t="s">
        <v>55</v>
      </c>
      <c r="Z4347" s="307">
        <v>257</v>
      </c>
      <c r="AB4347" t="str">
        <f>IF(Table1[[#This Row],[TIPO2]]="costo", VLOOKUP(Table1[[#This Row],[PARTIDA PRESUPUESTAL]],'Cost Report'!G:G,1,0),"Balance")</f>
        <v>3145-052</v>
      </c>
      <c r="AC4347" s="118"/>
      <c r="AD4347" s="159">
        <f>+Table1[[#This Row],[SUBTOTAL]]+Table1[[#This Row],[IVA]]-Table1[[#This Row],[RET IVA]]-Table1[[#This Row],[RET ISR]]-Table1[[#This Row],[TOTAL]]</f>
        <v>0</v>
      </c>
      <c r="AE4347" s="150"/>
      <c r="AF4347" s="151"/>
      <c r="AG4347" s="126"/>
      <c r="AK4347" s="306" t="str">
        <f>IF(ISNUMBER(Table1[[#This Row],[FECHA DE RECIBIDO]]), Table1[[#This Row],[FECHA DE RECIBIDO]]-DATE(2023,8,30), "")</f>
        <v/>
      </c>
    </row>
    <row r="4348" spans="1:37" ht="16.05" customHeight="1">
      <c r="A4348" s="152" t="s">
        <v>4568</v>
      </c>
      <c r="B4348" s="153">
        <v>1523</v>
      </c>
      <c r="C4348" s="126" t="s">
        <v>2812</v>
      </c>
      <c r="D4348">
        <v>3006</v>
      </c>
      <c r="E4348" s="126" t="s">
        <v>1600</v>
      </c>
      <c r="F4348" s="125" t="s">
        <v>1371</v>
      </c>
      <c r="G4348" s="125" t="s">
        <v>2065</v>
      </c>
      <c r="H4348">
        <v>799</v>
      </c>
      <c r="I4348" s="125" t="s">
        <v>1546</v>
      </c>
      <c r="J4348" s="308" t="s">
        <v>214</v>
      </c>
      <c r="K4348" s="127" t="s">
        <v>4625</v>
      </c>
      <c r="L4348" s="153" t="s">
        <v>3306</v>
      </c>
      <c r="M4348">
        <v>1102</v>
      </c>
      <c r="N4348" s="123">
        <v>24</v>
      </c>
      <c r="O4348">
        <v>2874</v>
      </c>
      <c r="P4348" s="132" t="s">
        <v>77</v>
      </c>
      <c r="Q4348" s="132">
        <v>58000</v>
      </c>
      <c r="R4348" s="132">
        <v>9280</v>
      </c>
      <c r="S4348" s="132"/>
      <c r="T4348" s="156">
        <v>0</v>
      </c>
      <c r="U4348" s="132">
        <v>0</v>
      </c>
      <c r="V4348" s="132">
        <v>67280</v>
      </c>
      <c r="W4348">
        <v>398</v>
      </c>
      <c r="X4348" s="153" t="s">
        <v>2035</v>
      </c>
      <c r="Y4348" s="124" t="s">
        <v>55</v>
      </c>
      <c r="Z4348" s="308">
        <v>258</v>
      </c>
      <c r="AB4348" t="str">
        <f>IF(Table1[[#This Row],[TIPO2]]="costo", VLOOKUP(Table1[[#This Row],[PARTIDA PRESUPUESTAL]],'Cost Report'!G:G,1,0),"Balance")</f>
        <v>3412-107</v>
      </c>
      <c r="AC4348" s="118"/>
      <c r="AD4348" s="159">
        <f>+Table1[[#This Row],[SUBTOTAL]]+Table1[[#This Row],[IVA]]-Table1[[#This Row],[RET IVA]]-Table1[[#This Row],[RET ISR]]-Table1[[#This Row],[TOTAL]]</f>
        <v>0</v>
      </c>
      <c r="AE4348" s="152"/>
      <c r="AF4348" s="153"/>
      <c r="AG4348" s="126"/>
      <c r="AK4348" s="306" t="str">
        <f>IF(ISNUMBER(Table1[[#This Row],[FECHA DE RECIBIDO]]), Table1[[#This Row],[FECHA DE RECIBIDO]]-DATE(2023,8,30), "")</f>
        <v/>
      </c>
    </row>
    <row r="4349" spans="1:37" ht="16.05" customHeight="1">
      <c r="A4349" s="150" t="s">
        <v>4569</v>
      </c>
      <c r="B4349" s="151">
        <v>1524</v>
      </c>
      <c r="C4349" s="126" t="s">
        <v>2852</v>
      </c>
      <c r="D4349">
        <v>3007</v>
      </c>
      <c r="E4349" s="126" t="s">
        <v>1614</v>
      </c>
      <c r="F4349" s="122" t="s">
        <v>1607</v>
      </c>
      <c r="G4349" s="122" t="s">
        <v>134</v>
      </c>
      <c r="H4349">
        <v>477</v>
      </c>
      <c r="I4349" s="122" t="s">
        <v>1546</v>
      </c>
      <c r="J4349" s="307" t="s">
        <v>214</v>
      </c>
      <c r="K4349" s="127" t="s">
        <v>4625</v>
      </c>
      <c r="L4349" s="151" t="s">
        <v>3306</v>
      </c>
      <c r="M4349">
        <v>698</v>
      </c>
      <c r="N4349" s="123">
        <v>24</v>
      </c>
      <c r="O4349">
        <v>2875</v>
      </c>
      <c r="P4349" s="132" t="s">
        <v>77</v>
      </c>
      <c r="Q4349" s="131">
        <v>9829</v>
      </c>
      <c r="R4349" s="131">
        <v>1572.64</v>
      </c>
      <c r="S4349" s="131"/>
      <c r="T4349" s="155">
        <v>0</v>
      </c>
      <c r="U4349" s="131">
        <v>0</v>
      </c>
      <c r="V4349" s="131">
        <v>11401.64</v>
      </c>
      <c r="W4349">
        <v>247</v>
      </c>
      <c r="X4349" s="151" t="s">
        <v>195</v>
      </c>
      <c r="Y4349" s="135" t="s">
        <v>55</v>
      </c>
      <c r="Z4349" s="307">
        <v>259</v>
      </c>
      <c r="AB4349" t="str">
        <f>IF(Table1[[#This Row],[TIPO2]]="costo", VLOOKUP(Table1[[#This Row],[PARTIDA PRESUPUESTAL]],'Cost Report'!G:G,1,0),"Balance")</f>
        <v>3498-003</v>
      </c>
      <c r="AC4349" s="118"/>
      <c r="AD4349" s="159">
        <f>+Table1[[#This Row],[SUBTOTAL]]+Table1[[#This Row],[IVA]]-Table1[[#This Row],[RET IVA]]-Table1[[#This Row],[RET ISR]]-Table1[[#This Row],[TOTAL]]</f>
        <v>0</v>
      </c>
      <c r="AE4349" s="150"/>
      <c r="AF4349" s="151"/>
      <c r="AG4349" s="126"/>
      <c r="AK4349" s="306" t="str">
        <f>IF(ISNUMBER(Table1[[#This Row],[FECHA DE RECIBIDO]]), Table1[[#This Row],[FECHA DE RECIBIDO]]-DATE(2023,8,30), "")</f>
        <v/>
      </c>
    </row>
    <row r="4350" spans="1:37" ht="16.05" customHeight="1">
      <c r="A4350" s="152"/>
      <c r="B4350" s="153">
        <v>1525</v>
      </c>
      <c r="C4350" s="126" t="s">
        <v>1003</v>
      </c>
      <c r="D4350">
        <v>3008</v>
      </c>
      <c r="E4350" s="126" t="s">
        <v>1614</v>
      </c>
      <c r="F4350" s="125" t="s">
        <v>1607</v>
      </c>
      <c r="G4350" s="125" t="s">
        <v>134</v>
      </c>
      <c r="H4350">
        <v>477</v>
      </c>
      <c r="I4350" s="125" t="s">
        <v>1546</v>
      </c>
      <c r="J4350" s="308" t="s">
        <v>214</v>
      </c>
      <c r="K4350" s="127" t="s">
        <v>4625</v>
      </c>
      <c r="L4350" s="153" t="s">
        <v>3306</v>
      </c>
      <c r="M4350">
        <v>698</v>
      </c>
      <c r="N4350" s="123">
        <v>24</v>
      </c>
      <c r="O4350">
        <v>2876</v>
      </c>
      <c r="P4350" s="132" t="s">
        <v>77</v>
      </c>
      <c r="Q4350" s="132">
        <v>14725</v>
      </c>
      <c r="R4350" s="132">
        <v>2356</v>
      </c>
      <c r="S4350" s="132"/>
      <c r="T4350" s="156">
        <v>0</v>
      </c>
      <c r="U4350" s="132">
        <v>0</v>
      </c>
      <c r="V4350" s="132">
        <v>17081</v>
      </c>
      <c r="W4350">
        <v>247</v>
      </c>
      <c r="X4350" s="153" t="s">
        <v>195</v>
      </c>
      <c r="Y4350" s="124" t="s">
        <v>55</v>
      </c>
      <c r="Z4350" s="308">
        <v>259</v>
      </c>
      <c r="AB4350" t="str">
        <f>IF(Table1[[#This Row],[TIPO2]]="costo", VLOOKUP(Table1[[#This Row],[PARTIDA PRESUPUESTAL]],'Cost Report'!G:G,1,0),"Balance")</f>
        <v>3412-043</v>
      </c>
      <c r="AC4350" s="118"/>
      <c r="AD4350" s="159">
        <f>+Table1[[#This Row],[SUBTOTAL]]+Table1[[#This Row],[IVA]]-Table1[[#This Row],[RET IVA]]-Table1[[#This Row],[RET ISR]]-Table1[[#This Row],[TOTAL]]</f>
        <v>0</v>
      </c>
      <c r="AE4350" s="152"/>
      <c r="AF4350" s="153"/>
      <c r="AG4350" s="126"/>
      <c r="AK4350" s="306" t="str">
        <f>IF(ISNUMBER(Table1[[#This Row],[FECHA DE RECIBIDO]]), Table1[[#This Row],[FECHA DE RECIBIDO]]-DATE(2023,8,30), "")</f>
        <v/>
      </c>
    </row>
    <row r="4351" spans="1:37" ht="16.05" customHeight="1">
      <c r="A4351" s="152" t="s">
        <v>4570</v>
      </c>
      <c r="B4351" s="153">
        <v>1527</v>
      </c>
      <c r="C4351" s="126" t="s">
        <v>2824</v>
      </c>
      <c r="D4351">
        <v>3009</v>
      </c>
      <c r="E4351" s="126" t="s">
        <v>3652</v>
      </c>
      <c r="F4351" s="125" t="s">
        <v>1607</v>
      </c>
      <c r="G4351" s="125" t="s">
        <v>134</v>
      </c>
      <c r="H4351">
        <v>800</v>
      </c>
      <c r="I4351" s="125" t="s">
        <v>1546</v>
      </c>
      <c r="J4351" s="308" t="s">
        <v>214</v>
      </c>
      <c r="K4351" s="127" t="s">
        <v>4625</v>
      </c>
      <c r="L4351" s="153" t="s">
        <v>3306</v>
      </c>
      <c r="M4351">
        <v>1103</v>
      </c>
      <c r="N4351" s="123">
        <v>24</v>
      </c>
      <c r="O4351">
        <v>2877</v>
      </c>
      <c r="P4351" s="132" t="s">
        <v>77</v>
      </c>
      <c r="Q4351" s="132">
        <v>4310.34</v>
      </c>
      <c r="R4351" s="132">
        <v>689.65</v>
      </c>
      <c r="S4351" s="132"/>
      <c r="T4351" s="156">
        <v>0</v>
      </c>
      <c r="U4351" s="132">
        <v>0</v>
      </c>
      <c r="V4351" s="132">
        <v>4999.99</v>
      </c>
      <c r="W4351">
        <v>399</v>
      </c>
      <c r="X4351" s="153" t="s">
        <v>195</v>
      </c>
      <c r="Y4351" s="124" t="s">
        <v>55</v>
      </c>
      <c r="Z4351" s="308">
        <v>259</v>
      </c>
      <c r="AB4351" t="str">
        <f>IF(Table1[[#This Row],[TIPO2]]="costo", VLOOKUP(Table1[[#This Row],[PARTIDA PRESUPUESTAL]],'Cost Report'!G:G,1,0),"Balance")</f>
        <v>3412-131</v>
      </c>
      <c r="AC4351" s="118"/>
      <c r="AD4351" s="159">
        <f>+Table1[[#This Row],[SUBTOTAL]]+Table1[[#This Row],[IVA]]-Table1[[#This Row],[RET IVA]]-Table1[[#This Row],[RET ISR]]-Table1[[#This Row],[TOTAL]]</f>
        <v>0</v>
      </c>
      <c r="AE4351" s="152"/>
      <c r="AF4351" s="153"/>
      <c r="AG4351" s="126"/>
      <c r="AK4351" s="306" t="str">
        <f>IF(ISNUMBER(Table1[[#This Row],[FECHA DE RECIBIDO]]), Table1[[#This Row],[FECHA DE RECIBIDO]]-DATE(2023,8,30), "")</f>
        <v/>
      </c>
    </row>
    <row r="4352" spans="1:37" ht="16.05" customHeight="1">
      <c r="A4352" s="150" t="s">
        <v>4571</v>
      </c>
      <c r="B4352" s="151">
        <v>1528</v>
      </c>
      <c r="C4352" s="126" t="s">
        <v>2494</v>
      </c>
      <c r="D4352">
        <v>3010</v>
      </c>
      <c r="E4352" s="126" t="s">
        <v>1609</v>
      </c>
      <c r="F4352" s="122" t="s">
        <v>1589</v>
      </c>
      <c r="G4352" s="122" t="s">
        <v>129</v>
      </c>
      <c r="H4352">
        <v>481</v>
      </c>
      <c r="I4352" s="122" t="s">
        <v>1546</v>
      </c>
      <c r="J4352" s="307" t="s">
        <v>214</v>
      </c>
      <c r="K4352" s="127" t="s">
        <v>4625</v>
      </c>
      <c r="L4352" s="151" t="s">
        <v>3306</v>
      </c>
      <c r="M4352">
        <v>703</v>
      </c>
      <c r="N4352" s="123">
        <v>51</v>
      </c>
      <c r="O4352">
        <v>2878</v>
      </c>
      <c r="P4352" s="132" t="s">
        <v>77</v>
      </c>
      <c r="Q4352" s="131">
        <v>2000</v>
      </c>
      <c r="R4352" s="131">
        <v>320</v>
      </c>
      <c r="S4352" s="131"/>
      <c r="T4352" s="155">
        <v>0</v>
      </c>
      <c r="U4352" s="131">
        <v>0</v>
      </c>
      <c r="V4352" s="131">
        <v>2320</v>
      </c>
      <c r="W4352">
        <v>251</v>
      </c>
      <c r="X4352" s="151" t="s">
        <v>3120</v>
      </c>
      <c r="Y4352" s="135" t="s">
        <v>55</v>
      </c>
      <c r="Z4352" s="307">
        <v>259</v>
      </c>
      <c r="AB4352" t="str">
        <f>IF(Table1[[#This Row],[TIPO2]]="costo", VLOOKUP(Table1[[#This Row],[PARTIDA PRESUPUESTAL]],'Cost Report'!G:G,1,0),"Balance")</f>
        <v>2394-061</v>
      </c>
      <c r="AC4352" s="118"/>
      <c r="AD4352" s="159">
        <f>+Table1[[#This Row],[SUBTOTAL]]+Table1[[#This Row],[IVA]]-Table1[[#This Row],[RET IVA]]-Table1[[#This Row],[RET ISR]]-Table1[[#This Row],[TOTAL]]</f>
        <v>0</v>
      </c>
      <c r="AE4352" s="150"/>
      <c r="AF4352" s="151"/>
      <c r="AG4352" s="126"/>
      <c r="AK4352" s="306" t="str">
        <f>IF(ISNUMBER(Table1[[#This Row],[FECHA DE RECIBIDO]]), Table1[[#This Row],[FECHA DE RECIBIDO]]-DATE(2023,8,30), "")</f>
        <v/>
      </c>
    </row>
    <row r="4353" spans="1:37" ht="16.05" customHeight="1">
      <c r="A4353" s="152" t="s">
        <v>4572</v>
      </c>
      <c r="B4353" s="153">
        <v>1529</v>
      </c>
      <c r="C4353" s="126" t="s">
        <v>1505</v>
      </c>
      <c r="D4353">
        <v>3011</v>
      </c>
      <c r="E4353" s="126" t="s">
        <v>1994</v>
      </c>
      <c r="F4353" s="125" t="s">
        <v>1589</v>
      </c>
      <c r="G4353" s="125" t="s">
        <v>129</v>
      </c>
      <c r="H4353">
        <v>801</v>
      </c>
      <c r="I4353" s="125" t="s">
        <v>1546</v>
      </c>
      <c r="J4353" s="308" t="s">
        <v>214</v>
      </c>
      <c r="K4353" s="127" t="s">
        <v>4625</v>
      </c>
      <c r="L4353" s="153" t="s">
        <v>3306</v>
      </c>
      <c r="M4353">
        <v>1104</v>
      </c>
      <c r="N4353" s="123">
        <v>51</v>
      </c>
      <c r="O4353">
        <v>2879</v>
      </c>
      <c r="P4353" s="132" t="s">
        <v>77</v>
      </c>
      <c r="Q4353" s="132">
        <v>9000</v>
      </c>
      <c r="R4353" s="132">
        <v>1440</v>
      </c>
      <c r="S4353" s="132"/>
      <c r="T4353" s="156">
        <v>0</v>
      </c>
      <c r="U4353" s="132">
        <v>0</v>
      </c>
      <c r="V4353" s="132">
        <v>10440</v>
      </c>
      <c r="W4353">
        <v>400</v>
      </c>
      <c r="X4353" s="153" t="s">
        <v>105</v>
      </c>
      <c r="Y4353" s="124" t="s">
        <v>55</v>
      </c>
      <c r="Z4353" s="308">
        <v>259</v>
      </c>
      <c r="AB4353" t="str">
        <f>IF(Table1[[#This Row],[TIPO2]]="costo", VLOOKUP(Table1[[#This Row],[PARTIDA PRESUPUESTAL]],'Cost Report'!G:G,1,0),"Balance")</f>
        <v>2494-003</v>
      </c>
      <c r="AC4353" s="118"/>
      <c r="AD4353" s="159">
        <f>+Table1[[#This Row],[SUBTOTAL]]+Table1[[#This Row],[IVA]]-Table1[[#This Row],[RET IVA]]-Table1[[#This Row],[RET ISR]]-Table1[[#This Row],[TOTAL]]</f>
        <v>0</v>
      </c>
      <c r="AE4353" s="152"/>
      <c r="AF4353" s="153"/>
      <c r="AG4353" s="126"/>
      <c r="AK4353" s="306" t="str">
        <f>IF(ISNUMBER(Table1[[#This Row],[FECHA DE RECIBIDO]]), Table1[[#This Row],[FECHA DE RECIBIDO]]-DATE(2023,8,30), "")</f>
        <v/>
      </c>
    </row>
    <row r="4354" spans="1:37" ht="16.05" customHeight="1">
      <c r="A4354" s="150" t="s">
        <v>4573</v>
      </c>
      <c r="B4354" s="151">
        <v>1530</v>
      </c>
      <c r="C4354" s="126" t="s">
        <v>2532</v>
      </c>
      <c r="D4354">
        <v>3012</v>
      </c>
      <c r="E4354" s="126" t="s">
        <v>3354</v>
      </c>
      <c r="F4354" s="122" t="s">
        <v>1589</v>
      </c>
      <c r="G4354" s="122" t="s">
        <v>129</v>
      </c>
      <c r="H4354">
        <v>382</v>
      </c>
      <c r="I4354" s="122" t="s">
        <v>1546</v>
      </c>
      <c r="J4354" s="307" t="s">
        <v>214</v>
      </c>
      <c r="K4354" s="127" t="s">
        <v>4625</v>
      </c>
      <c r="L4354" s="151" t="s">
        <v>3306</v>
      </c>
      <c r="M4354">
        <v>504</v>
      </c>
      <c r="N4354" s="123">
        <v>51</v>
      </c>
      <c r="O4354">
        <v>2880</v>
      </c>
      <c r="P4354" s="132" t="s">
        <v>77</v>
      </c>
      <c r="Q4354" s="131">
        <v>24720</v>
      </c>
      <c r="R4354" s="131">
        <v>3955.2</v>
      </c>
      <c r="S4354" s="131"/>
      <c r="T4354" s="155">
        <v>0</v>
      </c>
      <c r="U4354" s="131">
        <v>0</v>
      </c>
      <c r="V4354" s="131">
        <v>28675.200000000001</v>
      </c>
      <c r="W4354">
        <v>401</v>
      </c>
      <c r="X4354" s="151" t="s">
        <v>195</v>
      </c>
      <c r="Y4354" s="135" t="s">
        <v>55</v>
      </c>
      <c r="Z4354" s="307">
        <v>259</v>
      </c>
      <c r="AB4354" t="str">
        <f>IF(Table1[[#This Row],[TIPO2]]="costo", VLOOKUP(Table1[[#This Row],[PARTIDA PRESUPUESTAL]],'Cost Report'!G:G,1,0),"Balance")</f>
        <v>2494-043</v>
      </c>
      <c r="AC4354" s="118"/>
      <c r="AD4354" s="159">
        <f>+Table1[[#This Row],[SUBTOTAL]]+Table1[[#This Row],[IVA]]-Table1[[#This Row],[RET IVA]]-Table1[[#This Row],[RET ISR]]-Table1[[#This Row],[TOTAL]]</f>
        <v>0</v>
      </c>
      <c r="AE4354" s="150"/>
      <c r="AF4354" s="151"/>
      <c r="AG4354" s="126"/>
      <c r="AK4354" s="306" t="str">
        <f>IF(ISNUMBER(Table1[[#This Row],[FECHA DE RECIBIDO]]), Table1[[#This Row],[FECHA DE RECIBIDO]]-DATE(2023,8,30), "")</f>
        <v/>
      </c>
    </row>
    <row r="4355" spans="1:37" ht="16.05" customHeight="1">
      <c r="A4355" s="152"/>
      <c r="B4355" s="153">
        <v>1531</v>
      </c>
      <c r="C4355" s="126" t="s">
        <v>2546</v>
      </c>
      <c r="D4355">
        <v>3013</v>
      </c>
      <c r="E4355" s="126" t="s">
        <v>3354</v>
      </c>
      <c r="F4355" s="125" t="s">
        <v>1589</v>
      </c>
      <c r="G4355" s="125" t="s">
        <v>129</v>
      </c>
      <c r="H4355">
        <v>382</v>
      </c>
      <c r="I4355" s="125" t="s">
        <v>1546</v>
      </c>
      <c r="J4355" s="308" t="s">
        <v>214</v>
      </c>
      <c r="K4355" s="127" t="s">
        <v>4625</v>
      </c>
      <c r="L4355" s="153" t="s">
        <v>3306</v>
      </c>
      <c r="M4355">
        <v>504</v>
      </c>
      <c r="N4355" s="123">
        <v>51</v>
      </c>
      <c r="O4355">
        <v>2363</v>
      </c>
      <c r="P4355" s="132" t="s">
        <v>77</v>
      </c>
      <c r="Q4355" s="132">
        <v>890</v>
      </c>
      <c r="R4355" s="132">
        <v>142.4</v>
      </c>
      <c r="S4355" s="132"/>
      <c r="T4355" s="156">
        <v>0</v>
      </c>
      <c r="U4355" s="132">
        <v>0</v>
      </c>
      <c r="V4355" s="132">
        <v>1032.4000000000001</v>
      </c>
      <c r="W4355">
        <v>401</v>
      </c>
      <c r="X4355" s="153" t="s">
        <v>195</v>
      </c>
      <c r="Y4355" s="124" t="s">
        <v>55</v>
      </c>
      <c r="Z4355" s="308">
        <v>259</v>
      </c>
      <c r="AB4355" t="str">
        <f>IF(Table1[[#This Row],[TIPO2]]="costo", VLOOKUP(Table1[[#This Row],[PARTIDA PRESUPUESTAL]],'Cost Report'!G:G,1,0),"Balance")</f>
        <v>2494-071</v>
      </c>
      <c r="AC4355" s="118"/>
      <c r="AD4355" s="159">
        <f>+Table1[[#This Row],[SUBTOTAL]]+Table1[[#This Row],[IVA]]-Table1[[#This Row],[RET IVA]]-Table1[[#This Row],[RET ISR]]-Table1[[#This Row],[TOTAL]]</f>
        <v>0</v>
      </c>
      <c r="AE4355" s="152"/>
      <c r="AF4355" s="153"/>
      <c r="AG4355" s="126"/>
      <c r="AK4355" s="306" t="str">
        <f>IF(ISNUMBER(Table1[[#This Row],[FECHA DE RECIBIDO]]), Table1[[#This Row],[FECHA DE RECIBIDO]]-DATE(2023,8,30), "")</f>
        <v/>
      </c>
    </row>
    <row r="4356" spans="1:37" ht="16.05" customHeight="1">
      <c r="A4356" s="150"/>
      <c r="B4356" s="151">
        <v>1532</v>
      </c>
      <c r="C4356" s="126" t="s">
        <v>2540</v>
      </c>
      <c r="D4356">
        <v>3014</v>
      </c>
      <c r="E4356" s="126" t="s">
        <v>3354</v>
      </c>
      <c r="F4356" s="122" t="s">
        <v>1589</v>
      </c>
      <c r="G4356" s="122" t="s">
        <v>129</v>
      </c>
      <c r="H4356">
        <v>382</v>
      </c>
      <c r="I4356" s="122" t="s">
        <v>1546</v>
      </c>
      <c r="J4356" s="307" t="s">
        <v>214</v>
      </c>
      <c r="K4356" s="127" t="s">
        <v>4625</v>
      </c>
      <c r="L4356" s="151" t="s">
        <v>3306</v>
      </c>
      <c r="M4356">
        <v>504</v>
      </c>
      <c r="N4356" s="123">
        <v>51</v>
      </c>
      <c r="O4356">
        <v>2881</v>
      </c>
      <c r="P4356" s="132" t="s">
        <v>77</v>
      </c>
      <c r="Q4356" s="131">
        <v>560</v>
      </c>
      <c r="R4356" s="131">
        <v>89.6</v>
      </c>
      <c r="S4356" s="131"/>
      <c r="T4356" s="155">
        <v>0</v>
      </c>
      <c r="U4356" s="131">
        <v>0</v>
      </c>
      <c r="V4356" s="131">
        <v>649.6</v>
      </c>
      <c r="W4356">
        <v>401</v>
      </c>
      <c r="X4356" s="151" t="s">
        <v>195</v>
      </c>
      <c r="Y4356" s="135" t="s">
        <v>55</v>
      </c>
      <c r="Z4356" s="307">
        <v>259</v>
      </c>
      <c r="AB4356" t="str">
        <f>IF(Table1[[#This Row],[TIPO2]]="costo", VLOOKUP(Table1[[#This Row],[PARTIDA PRESUPUESTAL]],'Cost Report'!G:G,1,0),"Balance")</f>
        <v>2494-059</v>
      </c>
      <c r="AC4356" s="118"/>
      <c r="AD4356" s="159">
        <f>+Table1[[#This Row],[SUBTOTAL]]+Table1[[#This Row],[IVA]]-Table1[[#This Row],[RET IVA]]-Table1[[#This Row],[RET ISR]]-Table1[[#This Row],[TOTAL]]</f>
        <v>0</v>
      </c>
      <c r="AE4356" s="150"/>
      <c r="AF4356" s="151"/>
      <c r="AG4356" s="126"/>
      <c r="AK4356" s="306" t="str">
        <f>IF(ISNUMBER(Table1[[#This Row],[FECHA DE RECIBIDO]]), Table1[[#This Row],[FECHA DE RECIBIDO]]-DATE(2023,8,30), "")</f>
        <v/>
      </c>
    </row>
    <row r="4357" spans="1:37" ht="16.05" customHeight="1">
      <c r="A4357" s="152" t="s">
        <v>4574</v>
      </c>
      <c r="B4357" s="153">
        <v>1533</v>
      </c>
      <c r="C4357" s="126" t="s">
        <v>2546</v>
      </c>
      <c r="D4357">
        <v>3015</v>
      </c>
      <c r="E4357" s="126" t="s">
        <v>1614</v>
      </c>
      <c r="F4357" s="125" t="s">
        <v>1602</v>
      </c>
      <c r="G4357" s="125" t="s">
        <v>1617</v>
      </c>
      <c r="H4357">
        <v>543</v>
      </c>
      <c r="I4357" s="125" t="s">
        <v>1546</v>
      </c>
      <c r="J4357" s="308" t="s">
        <v>214</v>
      </c>
      <c r="K4357" s="127" t="s">
        <v>4625</v>
      </c>
      <c r="L4357" s="153" t="s">
        <v>3306</v>
      </c>
      <c r="M4357">
        <v>768</v>
      </c>
      <c r="N4357" s="123">
        <v>51</v>
      </c>
      <c r="O4357">
        <v>2882</v>
      </c>
      <c r="P4357" s="132" t="s">
        <v>77</v>
      </c>
      <c r="Q4357" s="132">
        <v>2300</v>
      </c>
      <c r="R4357" s="132">
        <v>368</v>
      </c>
      <c r="S4357" s="132"/>
      <c r="T4357" s="156">
        <v>0</v>
      </c>
      <c r="U4357" s="132">
        <v>0</v>
      </c>
      <c r="V4357" s="132">
        <v>2668</v>
      </c>
      <c r="W4357">
        <v>315</v>
      </c>
      <c r="X4357" s="153" t="s">
        <v>3817</v>
      </c>
      <c r="Y4357" s="124" t="s">
        <v>55</v>
      </c>
      <c r="Z4357" s="308">
        <v>259</v>
      </c>
      <c r="AB4357" t="str">
        <f>IF(Table1[[#This Row],[TIPO2]]="costo", VLOOKUP(Table1[[#This Row],[PARTIDA PRESUPUESTAL]],'Cost Report'!G:G,1,0),"Balance")</f>
        <v>2494-071</v>
      </c>
      <c r="AC4357" s="118"/>
      <c r="AD4357" s="159">
        <f>+Table1[[#This Row],[SUBTOTAL]]+Table1[[#This Row],[IVA]]-Table1[[#This Row],[RET IVA]]-Table1[[#This Row],[RET ISR]]-Table1[[#This Row],[TOTAL]]</f>
        <v>0</v>
      </c>
      <c r="AE4357" s="152"/>
      <c r="AF4357" s="153"/>
      <c r="AG4357" s="126"/>
      <c r="AK4357" s="306" t="str">
        <f>IF(ISNUMBER(Table1[[#This Row],[FECHA DE RECIBIDO]]), Table1[[#This Row],[FECHA DE RECIBIDO]]-DATE(2023,8,30), "")</f>
        <v/>
      </c>
    </row>
    <row r="4358" spans="1:37" ht="16.05" customHeight="1">
      <c r="A4358" s="150" t="s">
        <v>4575</v>
      </c>
      <c r="B4358" s="151">
        <v>1534</v>
      </c>
      <c r="C4358" s="126" t="s">
        <v>2532</v>
      </c>
      <c r="D4358">
        <v>3016</v>
      </c>
      <c r="E4358" s="126" t="s">
        <v>3636</v>
      </c>
      <c r="F4358" s="122" t="s">
        <v>1589</v>
      </c>
      <c r="G4358" s="122" t="s">
        <v>129</v>
      </c>
      <c r="H4358">
        <v>802</v>
      </c>
      <c r="I4358" s="122" t="s">
        <v>1546</v>
      </c>
      <c r="J4358" s="307" t="s">
        <v>214</v>
      </c>
      <c r="K4358" s="127" t="s">
        <v>4625</v>
      </c>
      <c r="L4358" s="151" t="s">
        <v>3306</v>
      </c>
      <c r="M4358">
        <v>1105</v>
      </c>
      <c r="N4358" s="123">
        <v>51</v>
      </c>
      <c r="O4358">
        <v>2883</v>
      </c>
      <c r="P4358" s="132" t="s">
        <v>77</v>
      </c>
      <c r="Q4358" s="131">
        <v>4000</v>
      </c>
      <c r="R4358" s="131">
        <v>640</v>
      </c>
      <c r="S4358" s="131"/>
      <c r="T4358" s="155">
        <v>400</v>
      </c>
      <c r="U4358" s="131">
        <v>0</v>
      </c>
      <c r="V4358" s="131">
        <v>4240</v>
      </c>
      <c r="W4358">
        <v>402</v>
      </c>
      <c r="X4358" s="151" t="s">
        <v>2041</v>
      </c>
      <c r="Y4358" s="135" t="s">
        <v>55</v>
      </c>
      <c r="Z4358" s="307">
        <v>259</v>
      </c>
      <c r="AB4358" t="str">
        <f>IF(Table1[[#This Row],[TIPO2]]="costo", VLOOKUP(Table1[[#This Row],[PARTIDA PRESUPUESTAL]],'Cost Report'!G:G,1,0),"Balance")</f>
        <v>2494-043</v>
      </c>
      <c r="AC4358" s="118"/>
      <c r="AD4358" s="159">
        <f>+Table1[[#This Row],[SUBTOTAL]]+Table1[[#This Row],[IVA]]-Table1[[#This Row],[RET IVA]]-Table1[[#This Row],[RET ISR]]-Table1[[#This Row],[TOTAL]]</f>
        <v>0</v>
      </c>
      <c r="AE4358" s="150"/>
      <c r="AF4358" s="151"/>
      <c r="AG4358" s="126"/>
      <c r="AK4358" s="306" t="str">
        <f>IF(ISNUMBER(Table1[[#This Row],[FECHA DE RECIBIDO]]), Table1[[#This Row],[FECHA DE RECIBIDO]]-DATE(2023,8,30), "")</f>
        <v/>
      </c>
    </row>
    <row r="4359" spans="1:37" ht="16.05" customHeight="1">
      <c r="A4359" s="152"/>
      <c r="B4359" s="153">
        <v>1535</v>
      </c>
      <c r="C4359" s="126" t="s">
        <v>2546</v>
      </c>
      <c r="D4359">
        <v>3017</v>
      </c>
      <c r="E4359" s="126" t="s">
        <v>3636</v>
      </c>
      <c r="F4359" s="125" t="s">
        <v>1589</v>
      </c>
      <c r="G4359" s="125" t="s">
        <v>129</v>
      </c>
      <c r="H4359">
        <v>802</v>
      </c>
      <c r="I4359" s="125" t="s">
        <v>1546</v>
      </c>
      <c r="J4359" s="308" t="s">
        <v>214</v>
      </c>
      <c r="K4359" s="127" t="s">
        <v>4625</v>
      </c>
      <c r="L4359" s="153" t="s">
        <v>3306</v>
      </c>
      <c r="M4359">
        <v>1105</v>
      </c>
      <c r="N4359" s="123">
        <v>51</v>
      </c>
      <c r="O4359">
        <v>2884</v>
      </c>
      <c r="P4359" s="132" t="s">
        <v>77</v>
      </c>
      <c r="Q4359" s="132">
        <v>6000</v>
      </c>
      <c r="R4359" s="132">
        <v>960</v>
      </c>
      <c r="S4359" s="132"/>
      <c r="T4359" s="156">
        <v>600</v>
      </c>
      <c r="U4359" s="132">
        <v>0</v>
      </c>
      <c r="V4359" s="132">
        <v>6360</v>
      </c>
      <c r="W4359">
        <v>402</v>
      </c>
      <c r="X4359" s="153" t="s">
        <v>2041</v>
      </c>
      <c r="Y4359" s="124" t="s">
        <v>55</v>
      </c>
      <c r="Z4359" s="308">
        <v>259</v>
      </c>
      <c r="AB4359" t="str">
        <f>IF(Table1[[#This Row],[TIPO2]]="costo", VLOOKUP(Table1[[#This Row],[PARTIDA PRESUPUESTAL]],'Cost Report'!G:G,1,0),"Balance")</f>
        <v>2494-071</v>
      </c>
      <c r="AC4359" s="118"/>
      <c r="AD4359" s="159">
        <f>+Table1[[#This Row],[SUBTOTAL]]+Table1[[#This Row],[IVA]]-Table1[[#This Row],[RET IVA]]-Table1[[#This Row],[RET ISR]]-Table1[[#This Row],[TOTAL]]</f>
        <v>0</v>
      </c>
      <c r="AE4359" s="152"/>
      <c r="AF4359" s="153"/>
      <c r="AG4359" s="126"/>
      <c r="AK4359" s="306" t="str">
        <f>IF(ISNUMBER(Table1[[#This Row],[FECHA DE RECIBIDO]]), Table1[[#This Row],[FECHA DE RECIBIDO]]-DATE(2023,8,30), "")</f>
        <v/>
      </c>
    </row>
    <row r="4360" spans="1:37" ht="16.05" customHeight="1">
      <c r="A4360" s="150" t="s">
        <v>4576</v>
      </c>
      <c r="B4360" s="151">
        <v>1536</v>
      </c>
      <c r="C4360" s="126" t="s">
        <v>1517</v>
      </c>
      <c r="D4360">
        <v>3018</v>
      </c>
      <c r="E4360" s="126" t="s">
        <v>3373</v>
      </c>
      <c r="F4360" s="122" t="s">
        <v>1593</v>
      </c>
      <c r="G4360" s="122" t="s">
        <v>109</v>
      </c>
      <c r="H4360">
        <v>675</v>
      </c>
      <c r="I4360" s="122" t="s">
        <v>1546</v>
      </c>
      <c r="J4360" s="307" t="s">
        <v>214</v>
      </c>
      <c r="K4360" s="127" t="s">
        <v>4625</v>
      </c>
      <c r="L4360" s="151" t="s">
        <v>3306</v>
      </c>
      <c r="M4360">
        <v>1106</v>
      </c>
      <c r="N4360" s="123">
        <v>51</v>
      </c>
      <c r="O4360">
        <v>2885</v>
      </c>
      <c r="P4360" s="132" t="s">
        <v>77</v>
      </c>
      <c r="Q4360" s="131">
        <v>22700</v>
      </c>
      <c r="R4360" s="131">
        <v>3632</v>
      </c>
      <c r="S4360" s="131"/>
      <c r="T4360" s="155">
        <v>0</v>
      </c>
      <c r="U4360" s="131">
        <v>0</v>
      </c>
      <c r="V4360" s="131">
        <v>26332</v>
      </c>
      <c r="W4360">
        <v>346</v>
      </c>
      <c r="X4360" s="151" t="s">
        <v>105</v>
      </c>
      <c r="Y4360" s="135" t="s">
        <v>55</v>
      </c>
      <c r="Z4360" s="307">
        <v>259</v>
      </c>
      <c r="AB4360" t="str">
        <f>IF(Table1[[#This Row],[TIPO2]]="costo", VLOOKUP(Table1[[#This Row],[PARTIDA PRESUPUESTAL]],'Cost Report'!G:G,1,0),"Balance")</f>
        <v>2494-027</v>
      </c>
      <c r="AC4360" s="118"/>
      <c r="AD4360" s="159">
        <f>+Table1[[#This Row],[SUBTOTAL]]+Table1[[#This Row],[IVA]]-Table1[[#This Row],[RET IVA]]-Table1[[#This Row],[RET ISR]]-Table1[[#This Row],[TOTAL]]</f>
        <v>0</v>
      </c>
      <c r="AE4360" s="150"/>
      <c r="AF4360" s="151"/>
      <c r="AG4360" s="126"/>
      <c r="AK4360" s="306" t="str">
        <f>IF(ISNUMBER(Table1[[#This Row],[FECHA DE RECIBIDO]]), Table1[[#This Row],[FECHA DE RECIBIDO]]-DATE(2023,8,30), "")</f>
        <v/>
      </c>
    </row>
    <row r="4361" spans="1:37" ht="16.05" customHeight="1">
      <c r="A4361" s="152" t="s">
        <v>4577</v>
      </c>
      <c r="B4361" s="153">
        <v>1537</v>
      </c>
      <c r="C4361" s="126" t="s">
        <v>2745</v>
      </c>
      <c r="D4361">
        <v>3019</v>
      </c>
      <c r="E4361" s="126" t="s">
        <v>3276</v>
      </c>
      <c r="F4361" s="125" t="s">
        <v>1589</v>
      </c>
      <c r="G4361" s="125" t="s">
        <v>129</v>
      </c>
      <c r="H4361">
        <v>377</v>
      </c>
      <c r="I4361" s="125" t="s">
        <v>1546</v>
      </c>
      <c r="J4361" s="308" t="s">
        <v>214</v>
      </c>
      <c r="K4361" s="127" t="s">
        <v>4625</v>
      </c>
      <c r="L4361" s="153" t="s">
        <v>3306</v>
      </c>
      <c r="M4361">
        <v>497</v>
      </c>
      <c r="N4361" s="123">
        <v>1</v>
      </c>
      <c r="O4361">
        <v>2886</v>
      </c>
      <c r="P4361" s="132" t="s">
        <v>77</v>
      </c>
      <c r="Q4361" s="132">
        <v>27000</v>
      </c>
      <c r="R4361" s="132">
        <v>4320</v>
      </c>
      <c r="S4361" s="132"/>
      <c r="T4361" s="156">
        <v>2880.01</v>
      </c>
      <c r="U4361" s="132">
        <v>2700</v>
      </c>
      <c r="V4361" s="132">
        <v>25739.989999999998</v>
      </c>
      <c r="W4361">
        <v>216</v>
      </c>
      <c r="X4361" s="153" t="s">
        <v>2041</v>
      </c>
      <c r="Y4361" s="124" t="s">
        <v>55</v>
      </c>
      <c r="Z4361" s="308">
        <v>259</v>
      </c>
      <c r="AB4361" t="str">
        <f>IF(Table1[[#This Row],[TIPO2]]="costo", VLOOKUP(Table1[[#This Row],[PARTIDA PRESUPUESTAL]],'Cost Report'!G:G,1,0),"Balance")</f>
        <v>3292-007</v>
      </c>
      <c r="AC4361" s="118"/>
      <c r="AD4361" s="159">
        <f>+Table1[[#This Row],[SUBTOTAL]]+Table1[[#This Row],[IVA]]-Table1[[#This Row],[RET IVA]]-Table1[[#This Row],[RET ISR]]-Table1[[#This Row],[TOTAL]]</f>
        <v>0</v>
      </c>
      <c r="AE4361" s="152"/>
      <c r="AF4361" s="153"/>
      <c r="AG4361" s="126"/>
      <c r="AK4361" s="306" t="str">
        <f>IF(ISNUMBER(Table1[[#This Row],[FECHA DE RECIBIDO]]), Table1[[#This Row],[FECHA DE RECIBIDO]]-DATE(2023,8,30), "")</f>
        <v/>
      </c>
    </row>
    <row r="4362" spans="1:37" ht="16.05" customHeight="1">
      <c r="A4362" s="150" t="s">
        <v>4578</v>
      </c>
      <c r="B4362" s="151">
        <v>1538</v>
      </c>
      <c r="C4362" s="126" t="s">
        <v>1035</v>
      </c>
      <c r="D4362">
        <v>3020</v>
      </c>
      <c r="E4362" s="126" t="s">
        <v>2001</v>
      </c>
      <c r="F4362" s="122" t="s">
        <v>1607</v>
      </c>
      <c r="G4362" s="122" t="s">
        <v>134</v>
      </c>
      <c r="H4362">
        <v>23</v>
      </c>
      <c r="I4362" s="122" t="s">
        <v>1546</v>
      </c>
      <c r="J4362" s="307" t="s">
        <v>214</v>
      </c>
      <c r="K4362" s="127" t="s">
        <v>4625</v>
      </c>
      <c r="L4362" s="151" t="s">
        <v>118</v>
      </c>
      <c r="M4362">
        <v>32</v>
      </c>
      <c r="N4362" s="123">
        <v>1</v>
      </c>
      <c r="O4362">
        <v>2887</v>
      </c>
      <c r="P4362" s="132" t="s">
        <v>77</v>
      </c>
      <c r="Q4362" s="131">
        <v>15606.79</v>
      </c>
      <c r="R4362" s="131">
        <v>2497.09</v>
      </c>
      <c r="S4362" s="131"/>
      <c r="T4362" s="155">
        <v>0</v>
      </c>
      <c r="U4362" s="131">
        <v>0</v>
      </c>
      <c r="V4362" s="131">
        <v>18103.88</v>
      </c>
      <c r="W4362">
        <v>353</v>
      </c>
      <c r="X4362" s="151" t="s">
        <v>2035</v>
      </c>
      <c r="Y4362" s="135" t="s">
        <v>55</v>
      </c>
      <c r="Z4362" s="307">
        <v>259</v>
      </c>
      <c r="AB4362" t="str">
        <f>IF(Table1[[#This Row],[TIPO2]]="costo", VLOOKUP(Table1[[#This Row],[PARTIDA PRESUPUESTAL]],'Cost Report'!G:G,1,0),"Balance")</f>
        <v>3683-006</v>
      </c>
      <c r="AC4362" s="118"/>
      <c r="AD4362" s="159">
        <f>+Table1[[#This Row],[SUBTOTAL]]+Table1[[#This Row],[IVA]]-Table1[[#This Row],[RET IVA]]-Table1[[#This Row],[RET ISR]]-Table1[[#This Row],[TOTAL]]</f>
        <v>0</v>
      </c>
      <c r="AE4362" s="150"/>
      <c r="AF4362" s="151"/>
      <c r="AG4362" s="126"/>
      <c r="AK4362" s="306" t="str">
        <f>IF(ISNUMBER(Table1[[#This Row],[FECHA DE RECIBIDO]]), Table1[[#This Row],[FECHA DE RECIBIDO]]-DATE(2023,8,30), "")</f>
        <v/>
      </c>
    </row>
    <row r="4363" spans="1:37" ht="16.05" customHeight="1">
      <c r="A4363" s="150" t="s">
        <v>4578</v>
      </c>
      <c r="B4363" s="151">
        <v>1538</v>
      </c>
      <c r="C4363" s="126" t="s">
        <v>1039</v>
      </c>
      <c r="D4363">
        <v>3020</v>
      </c>
      <c r="E4363" s="126" t="s">
        <v>2001</v>
      </c>
      <c r="F4363" s="125" t="s">
        <v>1607</v>
      </c>
      <c r="G4363" s="125" t="s">
        <v>134</v>
      </c>
      <c r="H4363">
        <v>23</v>
      </c>
      <c r="I4363" s="125" t="s">
        <v>1546</v>
      </c>
      <c r="J4363" s="308" t="s">
        <v>214</v>
      </c>
      <c r="K4363" s="127" t="s">
        <v>4625</v>
      </c>
      <c r="L4363" s="153" t="s">
        <v>118</v>
      </c>
      <c r="M4363">
        <v>32</v>
      </c>
      <c r="N4363" s="123">
        <v>1</v>
      </c>
      <c r="O4363">
        <v>2887</v>
      </c>
      <c r="P4363" s="132" t="s">
        <v>77</v>
      </c>
      <c r="Q4363" s="132">
        <v>15606.79</v>
      </c>
      <c r="R4363" s="132">
        <v>2497.09</v>
      </c>
      <c r="S4363" s="132"/>
      <c r="T4363" s="156">
        <v>0</v>
      </c>
      <c r="U4363" s="132">
        <v>0</v>
      </c>
      <c r="V4363" s="132">
        <v>18103.88</v>
      </c>
      <c r="W4363">
        <v>353</v>
      </c>
      <c r="X4363" s="153" t="s">
        <v>2035</v>
      </c>
      <c r="Y4363" s="124" t="s">
        <v>55</v>
      </c>
      <c r="Z4363" s="308">
        <v>259</v>
      </c>
      <c r="AB4363" t="str">
        <f>IF(Table1[[#This Row],[TIPO2]]="costo", VLOOKUP(Table1[[#This Row],[PARTIDA PRESUPUESTAL]],'Cost Report'!G:G,1,0),"Balance")</f>
        <v>3683-012</v>
      </c>
      <c r="AC4363" s="118"/>
      <c r="AD4363" s="159">
        <f>+Table1[[#This Row],[SUBTOTAL]]+Table1[[#This Row],[IVA]]-Table1[[#This Row],[RET IVA]]-Table1[[#This Row],[RET ISR]]-Table1[[#This Row],[TOTAL]]</f>
        <v>0</v>
      </c>
      <c r="AE4363" s="152"/>
      <c r="AF4363" s="153"/>
      <c r="AG4363" s="126"/>
      <c r="AK4363" s="306" t="str">
        <f>IF(ISNUMBER(Table1[[#This Row],[FECHA DE RECIBIDO]]), Table1[[#This Row],[FECHA DE RECIBIDO]]-DATE(2023,8,30), "")</f>
        <v/>
      </c>
    </row>
    <row r="4364" spans="1:37" ht="16.05" customHeight="1">
      <c r="A4364" s="150" t="s">
        <v>4578</v>
      </c>
      <c r="B4364" s="151">
        <v>1538</v>
      </c>
      <c r="C4364" s="126" t="s">
        <v>1043</v>
      </c>
      <c r="D4364">
        <v>3020</v>
      </c>
      <c r="E4364" s="126" t="s">
        <v>2001</v>
      </c>
      <c r="F4364" s="122" t="s">
        <v>1607</v>
      </c>
      <c r="G4364" s="122" t="s">
        <v>134</v>
      </c>
      <c r="H4364">
        <v>23</v>
      </c>
      <c r="I4364" s="122" t="s">
        <v>1546</v>
      </c>
      <c r="J4364" s="307" t="s">
        <v>214</v>
      </c>
      <c r="K4364" s="127" t="s">
        <v>4625</v>
      </c>
      <c r="L4364" s="151" t="s">
        <v>118</v>
      </c>
      <c r="M4364">
        <v>32</v>
      </c>
      <c r="N4364" s="123">
        <v>1</v>
      </c>
      <c r="O4364">
        <v>2887</v>
      </c>
      <c r="P4364" s="132" t="s">
        <v>77</v>
      </c>
      <c r="Q4364" s="131">
        <v>23410.18</v>
      </c>
      <c r="R4364" s="131">
        <v>3745.63</v>
      </c>
      <c r="S4364" s="131"/>
      <c r="T4364" s="155">
        <v>0</v>
      </c>
      <c r="U4364" s="131">
        <v>0</v>
      </c>
      <c r="V4364" s="131">
        <v>27155.81</v>
      </c>
      <c r="W4364">
        <v>353</v>
      </c>
      <c r="X4364" s="151" t="s">
        <v>2035</v>
      </c>
      <c r="Y4364" s="135" t="s">
        <v>55</v>
      </c>
      <c r="Z4364" s="307">
        <v>259</v>
      </c>
      <c r="AB4364" t="str">
        <f>IF(Table1[[#This Row],[TIPO2]]="costo", VLOOKUP(Table1[[#This Row],[PARTIDA PRESUPUESTAL]],'Cost Report'!G:G,1,0),"Balance")</f>
        <v>3683-018</v>
      </c>
      <c r="AC4364" s="118"/>
      <c r="AD4364" s="159">
        <f>+Table1[[#This Row],[SUBTOTAL]]+Table1[[#This Row],[IVA]]-Table1[[#This Row],[RET IVA]]-Table1[[#This Row],[RET ISR]]-Table1[[#This Row],[TOTAL]]</f>
        <v>0</v>
      </c>
      <c r="AE4364" s="150"/>
      <c r="AF4364" s="151"/>
      <c r="AG4364" s="126"/>
      <c r="AK4364" s="306" t="str">
        <f>IF(ISNUMBER(Table1[[#This Row],[FECHA DE RECIBIDO]]), Table1[[#This Row],[FECHA DE RECIBIDO]]-DATE(2023,8,30), "")</f>
        <v/>
      </c>
    </row>
    <row r="4365" spans="1:37" ht="16.05" customHeight="1">
      <c r="A4365" s="150" t="s">
        <v>4578</v>
      </c>
      <c r="B4365" s="151">
        <v>1538</v>
      </c>
      <c r="C4365" s="126" t="s">
        <v>1047</v>
      </c>
      <c r="D4365">
        <v>3020</v>
      </c>
      <c r="E4365" s="126" t="s">
        <v>2001</v>
      </c>
      <c r="F4365" s="125" t="s">
        <v>1607</v>
      </c>
      <c r="G4365" s="125" t="s">
        <v>134</v>
      </c>
      <c r="H4365">
        <v>23</v>
      </c>
      <c r="I4365" s="125" t="s">
        <v>1546</v>
      </c>
      <c r="J4365" s="308" t="s">
        <v>214</v>
      </c>
      <c r="K4365" s="127" t="s">
        <v>4625</v>
      </c>
      <c r="L4365" s="153" t="s">
        <v>118</v>
      </c>
      <c r="M4365">
        <v>32</v>
      </c>
      <c r="N4365" s="123">
        <v>1</v>
      </c>
      <c r="O4365">
        <v>2887</v>
      </c>
      <c r="P4365" s="132" t="s">
        <v>77</v>
      </c>
      <c r="Q4365" s="132">
        <v>11444.98</v>
      </c>
      <c r="R4365" s="132">
        <v>1831.2</v>
      </c>
      <c r="S4365" s="132"/>
      <c r="T4365" s="156">
        <v>0</v>
      </c>
      <c r="U4365" s="132">
        <v>0</v>
      </c>
      <c r="V4365" s="132">
        <v>13276.18</v>
      </c>
      <c r="W4365">
        <v>353</v>
      </c>
      <c r="X4365" s="153" t="s">
        <v>2035</v>
      </c>
      <c r="Y4365" s="124" t="s">
        <v>55</v>
      </c>
      <c r="Z4365" s="308">
        <v>259</v>
      </c>
      <c r="AB4365" t="str">
        <f>IF(Table1[[#This Row],[TIPO2]]="costo", VLOOKUP(Table1[[#This Row],[PARTIDA PRESUPUESTAL]],'Cost Report'!G:G,1,0),"Balance")</f>
        <v>3683-024</v>
      </c>
      <c r="AC4365" s="118"/>
      <c r="AD4365" s="159">
        <f>+Table1[[#This Row],[SUBTOTAL]]+Table1[[#This Row],[IVA]]-Table1[[#This Row],[RET IVA]]-Table1[[#This Row],[RET ISR]]-Table1[[#This Row],[TOTAL]]</f>
        <v>0</v>
      </c>
      <c r="AE4365" s="152"/>
      <c r="AF4365" s="153"/>
      <c r="AG4365" s="126"/>
      <c r="AK4365" s="306" t="str">
        <f>IF(ISNUMBER(Table1[[#This Row],[FECHA DE RECIBIDO]]), Table1[[#This Row],[FECHA DE RECIBIDO]]-DATE(2023,8,30), "")</f>
        <v/>
      </c>
    </row>
    <row r="4366" spans="1:37" ht="16.05" customHeight="1">
      <c r="A4366" s="150" t="s">
        <v>4578</v>
      </c>
      <c r="B4366" s="151">
        <v>1538</v>
      </c>
      <c r="C4366" s="126" t="s">
        <v>1051</v>
      </c>
      <c r="D4366">
        <v>3020</v>
      </c>
      <c r="E4366" s="126" t="s">
        <v>2001</v>
      </c>
      <c r="F4366" s="122" t="s">
        <v>1607</v>
      </c>
      <c r="G4366" s="122" t="s">
        <v>134</v>
      </c>
      <c r="H4366">
        <v>23</v>
      </c>
      <c r="I4366" s="122" t="s">
        <v>1546</v>
      </c>
      <c r="J4366" s="307" t="s">
        <v>214</v>
      </c>
      <c r="K4366" s="127" t="s">
        <v>4625</v>
      </c>
      <c r="L4366" s="151" t="s">
        <v>118</v>
      </c>
      <c r="M4366">
        <v>32</v>
      </c>
      <c r="N4366" s="123">
        <v>1</v>
      </c>
      <c r="O4366">
        <v>2887</v>
      </c>
      <c r="P4366" s="132" t="s">
        <v>77</v>
      </c>
      <c r="Q4366" s="131">
        <v>11236.89</v>
      </c>
      <c r="R4366" s="131">
        <v>1797.9</v>
      </c>
      <c r="S4366" s="131"/>
      <c r="T4366" s="155">
        <v>0</v>
      </c>
      <c r="U4366" s="131">
        <v>0</v>
      </c>
      <c r="V4366" s="131">
        <v>13034.789999999999</v>
      </c>
      <c r="W4366">
        <v>353</v>
      </c>
      <c r="X4366" s="151" t="s">
        <v>2035</v>
      </c>
      <c r="Y4366" s="135" t="s">
        <v>55</v>
      </c>
      <c r="Z4366" s="307">
        <v>259</v>
      </c>
      <c r="AB4366" t="str">
        <f>IF(Table1[[#This Row],[TIPO2]]="costo", VLOOKUP(Table1[[#This Row],[PARTIDA PRESUPUESTAL]],'Cost Report'!G:G,1,0),"Balance")</f>
        <v>3683-030</v>
      </c>
      <c r="AC4366" s="118"/>
      <c r="AD4366" s="159">
        <f>+Table1[[#This Row],[SUBTOTAL]]+Table1[[#This Row],[IVA]]-Table1[[#This Row],[RET IVA]]-Table1[[#This Row],[RET ISR]]-Table1[[#This Row],[TOTAL]]</f>
        <v>0</v>
      </c>
      <c r="AE4366" s="150"/>
      <c r="AF4366" s="151"/>
      <c r="AG4366" s="126"/>
      <c r="AK4366" s="306" t="str">
        <f>IF(ISNUMBER(Table1[[#This Row],[FECHA DE RECIBIDO]]), Table1[[#This Row],[FECHA DE RECIBIDO]]-DATE(2023,8,30), "")</f>
        <v/>
      </c>
    </row>
    <row r="4367" spans="1:37" ht="16.05" customHeight="1">
      <c r="A4367" s="150" t="s">
        <v>4578</v>
      </c>
      <c r="B4367" s="151">
        <v>1538</v>
      </c>
      <c r="C4367" s="126" t="s">
        <v>2897</v>
      </c>
      <c r="D4367">
        <v>3020</v>
      </c>
      <c r="E4367" s="126" t="s">
        <v>2001</v>
      </c>
      <c r="F4367" s="125" t="s">
        <v>1607</v>
      </c>
      <c r="G4367" s="125" t="s">
        <v>134</v>
      </c>
      <c r="H4367">
        <v>23</v>
      </c>
      <c r="I4367" s="125" t="s">
        <v>1546</v>
      </c>
      <c r="J4367" s="308" t="s">
        <v>214</v>
      </c>
      <c r="K4367" s="127" t="s">
        <v>4625</v>
      </c>
      <c r="L4367" s="153" t="s">
        <v>118</v>
      </c>
      <c r="M4367">
        <v>32</v>
      </c>
      <c r="N4367" s="123">
        <v>1</v>
      </c>
      <c r="O4367">
        <v>2887</v>
      </c>
      <c r="P4367" s="132" t="s">
        <v>77</v>
      </c>
      <c r="Q4367" s="132">
        <v>5618.44</v>
      </c>
      <c r="R4367" s="132">
        <v>898.95</v>
      </c>
      <c r="S4367" s="132"/>
      <c r="T4367" s="156">
        <v>0</v>
      </c>
      <c r="U4367" s="132">
        <v>0</v>
      </c>
      <c r="V4367" s="132">
        <v>6517.3899999999994</v>
      </c>
      <c r="W4367">
        <v>353</v>
      </c>
      <c r="X4367" s="153" t="s">
        <v>2035</v>
      </c>
      <c r="Y4367" s="124" t="s">
        <v>55</v>
      </c>
      <c r="Z4367" s="308">
        <v>259</v>
      </c>
      <c r="AB4367" t="str">
        <f>IF(Table1[[#This Row],[TIPO2]]="costo", VLOOKUP(Table1[[#This Row],[PARTIDA PRESUPUESTAL]],'Cost Report'!G:G,1,0),"Balance")</f>
        <v>3683-138</v>
      </c>
      <c r="AC4367" s="118"/>
      <c r="AD4367" s="159">
        <f>+Table1[[#This Row],[SUBTOTAL]]+Table1[[#This Row],[IVA]]-Table1[[#This Row],[RET IVA]]-Table1[[#This Row],[RET ISR]]-Table1[[#This Row],[TOTAL]]</f>
        <v>0</v>
      </c>
      <c r="AE4367" s="152"/>
      <c r="AF4367" s="153"/>
      <c r="AG4367" s="126"/>
      <c r="AK4367" s="306" t="str">
        <f>IF(ISNUMBER(Table1[[#This Row],[FECHA DE RECIBIDO]]), Table1[[#This Row],[FECHA DE RECIBIDO]]-DATE(2023,8,30), "")</f>
        <v/>
      </c>
    </row>
    <row r="4368" spans="1:37" ht="16.05" customHeight="1">
      <c r="A4368" s="150" t="s">
        <v>4578</v>
      </c>
      <c r="B4368" s="151">
        <v>1538</v>
      </c>
      <c r="C4368" s="126" t="s">
        <v>1059</v>
      </c>
      <c r="D4368">
        <v>3020</v>
      </c>
      <c r="E4368" s="126" t="s">
        <v>2001</v>
      </c>
      <c r="F4368" s="122" t="s">
        <v>1607</v>
      </c>
      <c r="G4368" s="122" t="s">
        <v>134</v>
      </c>
      <c r="H4368">
        <v>23</v>
      </c>
      <c r="I4368" s="122" t="s">
        <v>1546</v>
      </c>
      <c r="J4368" s="307" t="s">
        <v>214</v>
      </c>
      <c r="K4368" s="127" t="s">
        <v>4625</v>
      </c>
      <c r="L4368" s="151" t="s">
        <v>118</v>
      </c>
      <c r="M4368">
        <v>32</v>
      </c>
      <c r="N4368" s="123">
        <v>1</v>
      </c>
      <c r="O4368">
        <v>2887</v>
      </c>
      <c r="P4368" s="132" t="s">
        <v>77</v>
      </c>
      <c r="Q4368" s="131">
        <v>11236.89</v>
      </c>
      <c r="R4368" s="131">
        <v>1797.9</v>
      </c>
      <c r="S4368" s="131"/>
      <c r="T4368" s="155">
        <v>0</v>
      </c>
      <c r="U4368" s="131">
        <v>0</v>
      </c>
      <c r="V4368" s="131">
        <v>13034.789999999999</v>
      </c>
      <c r="W4368">
        <v>353</v>
      </c>
      <c r="X4368" s="151" t="s">
        <v>2035</v>
      </c>
      <c r="Y4368" s="135" t="s">
        <v>55</v>
      </c>
      <c r="Z4368" s="307">
        <v>259</v>
      </c>
      <c r="AB4368" t="str">
        <f>IF(Table1[[#This Row],[TIPO2]]="costo", VLOOKUP(Table1[[#This Row],[PARTIDA PRESUPUESTAL]],'Cost Report'!G:G,1,0),"Balance")</f>
        <v>3683-042</v>
      </c>
      <c r="AC4368" s="118"/>
      <c r="AD4368" s="159">
        <f>+Table1[[#This Row],[SUBTOTAL]]+Table1[[#This Row],[IVA]]-Table1[[#This Row],[RET IVA]]-Table1[[#This Row],[RET ISR]]-Table1[[#This Row],[TOTAL]]</f>
        <v>0</v>
      </c>
      <c r="AE4368" s="150"/>
      <c r="AF4368" s="151"/>
      <c r="AG4368" s="126"/>
      <c r="AK4368" s="306" t="str">
        <f>IF(ISNUMBER(Table1[[#This Row],[FECHA DE RECIBIDO]]), Table1[[#This Row],[FECHA DE RECIBIDO]]-DATE(2023,8,30), "")</f>
        <v/>
      </c>
    </row>
    <row r="4369" spans="1:37" ht="16.05" customHeight="1">
      <c r="A4369" s="150" t="s">
        <v>4578</v>
      </c>
      <c r="B4369" s="151">
        <v>1538</v>
      </c>
      <c r="C4369" s="126" t="s">
        <v>1063</v>
      </c>
      <c r="D4369">
        <v>3020</v>
      </c>
      <c r="E4369" s="126" t="s">
        <v>2001</v>
      </c>
      <c r="F4369" s="125" t="s">
        <v>1607</v>
      </c>
      <c r="G4369" s="125" t="s">
        <v>134</v>
      </c>
      <c r="H4369">
        <v>23</v>
      </c>
      <c r="I4369" s="125" t="s">
        <v>1546</v>
      </c>
      <c r="J4369" s="308" t="s">
        <v>214</v>
      </c>
      <c r="K4369" s="127" t="s">
        <v>4625</v>
      </c>
      <c r="L4369" s="153" t="s">
        <v>118</v>
      </c>
      <c r="M4369">
        <v>32</v>
      </c>
      <c r="N4369" s="123">
        <v>1</v>
      </c>
      <c r="O4369">
        <v>2887</v>
      </c>
      <c r="P4369" s="132" t="s">
        <v>77</v>
      </c>
      <c r="Q4369" s="132">
        <v>11444.98</v>
      </c>
      <c r="R4369" s="132">
        <v>1831.2</v>
      </c>
      <c r="S4369" s="132"/>
      <c r="T4369" s="156">
        <v>0</v>
      </c>
      <c r="U4369" s="132">
        <v>0</v>
      </c>
      <c r="V4369" s="132">
        <v>13276.18</v>
      </c>
      <c r="W4369">
        <v>353</v>
      </c>
      <c r="X4369" s="153" t="s">
        <v>2035</v>
      </c>
      <c r="Y4369" s="124" t="s">
        <v>55</v>
      </c>
      <c r="Z4369" s="308">
        <v>259</v>
      </c>
      <c r="AB4369" t="str">
        <f>IF(Table1[[#This Row],[TIPO2]]="costo", VLOOKUP(Table1[[#This Row],[PARTIDA PRESUPUESTAL]],'Cost Report'!G:G,1,0),"Balance")</f>
        <v>3683-048</v>
      </c>
      <c r="AC4369" s="118"/>
      <c r="AD4369" s="159">
        <f>+Table1[[#This Row],[SUBTOTAL]]+Table1[[#This Row],[IVA]]-Table1[[#This Row],[RET IVA]]-Table1[[#This Row],[RET ISR]]-Table1[[#This Row],[TOTAL]]</f>
        <v>0</v>
      </c>
      <c r="AE4369" s="152"/>
      <c r="AF4369" s="153"/>
      <c r="AG4369" s="126"/>
      <c r="AK4369" s="306" t="str">
        <f>IF(ISNUMBER(Table1[[#This Row],[FECHA DE RECIBIDO]]), Table1[[#This Row],[FECHA DE RECIBIDO]]-DATE(2023,8,30), "")</f>
        <v/>
      </c>
    </row>
    <row r="4370" spans="1:37" ht="16.05" customHeight="1">
      <c r="A4370" s="150" t="s">
        <v>4578</v>
      </c>
      <c r="B4370" s="151">
        <v>1538</v>
      </c>
      <c r="C4370" s="126" t="s">
        <v>1067</v>
      </c>
      <c r="D4370">
        <v>3020</v>
      </c>
      <c r="E4370" s="126" t="s">
        <v>2001</v>
      </c>
      <c r="F4370" s="122" t="s">
        <v>1607</v>
      </c>
      <c r="G4370" s="122" t="s">
        <v>134</v>
      </c>
      <c r="H4370">
        <v>23</v>
      </c>
      <c r="I4370" s="122" t="s">
        <v>1546</v>
      </c>
      <c r="J4370" s="307" t="s">
        <v>214</v>
      </c>
      <c r="K4370" s="127" t="s">
        <v>4625</v>
      </c>
      <c r="L4370" s="151" t="s">
        <v>118</v>
      </c>
      <c r="M4370">
        <v>32</v>
      </c>
      <c r="N4370" s="123">
        <v>1</v>
      </c>
      <c r="O4370">
        <v>2887</v>
      </c>
      <c r="P4370" s="132" t="s">
        <v>77</v>
      </c>
      <c r="Q4370" s="131">
        <v>11444.98</v>
      </c>
      <c r="R4370" s="131">
        <v>1831.2</v>
      </c>
      <c r="S4370" s="131"/>
      <c r="T4370" s="155">
        <v>0</v>
      </c>
      <c r="U4370" s="131">
        <v>0</v>
      </c>
      <c r="V4370" s="131">
        <v>13276.18</v>
      </c>
      <c r="W4370">
        <v>353</v>
      </c>
      <c r="X4370" s="151" t="s">
        <v>2035</v>
      </c>
      <c r="Y4370" s="135" t="s">
        <v>55</v>
      </c>
      <c r="Z4370" s="307">
        <v>259</v>
      </c>
      <c r="AB4370" t="str">
        <f>IF(Table1[[#This Row],[TIPO2]]="costo", VLOOKUP(Table1[[#This Row],[PARTIDA PRESUPUESTAL]],'Cost Report'!G:G,1,0),"Balance")</f>
        <v>3683-054</v>
      </c>
      <c r="AC4370" s="118"/>
      <c r="AD4370" s="159">
        <f>+Table1[[#This Row],[SUBTOTAL]]+Table1[[#This Row],[IVA]]-Table1[[#This Row],[RET IVA]]-Table1[[#This Row],[RET ISR]]-Table1[[#This Row],[TOTAL]]</f>
        <v>0</v>
      </c>
      <c r="AE4370" s="150"/>
      <c r="AF4370" s="151"/>
      <c r="AG4370" s="126"/>
      <c r="AK4370" s="306" t="str">
        <f>IF(ISNUMBER(Table1[[#This Row],[FECHA DE RECIBIDO]]), Table1[[#This Row],[FECHA DE RECIBIDO]]-DATE(2023,8,30), "")</f>
        <v/>
      </c>
    </row>
    <row r="4371" spans="1:37" ht="16.05" customHeight="1">
      <c r="A4371" s="150" t="s">
        <v>4578</v>
      </c>
      <c r="B4371" s="151">
        <v>1538</v>
      </c>
      <c r="C4371" s="126" t="s">
        <v>1071</v>
      </c>
      <c r="D4371">
        <v>3020</v>
      </c>
      <c r="E4371" s="126" t="s">
        <v>2001</v>
      </c>
      <c r="F4371" s="125" t="s">
        <v>1607</v>
      </c>
      <c r="G4371" s="125" t="s">
        <v>134</v>
      </c>
      <c r="H4371">
        <v>23</v>
      </c>
      <c r="I4371" s="125" t="s">
        <v>1546</v>
      </c>
      <c r="J4371" s="308" t="s">
        <v>214</v>
      </c>
      <c r="K4371" s="127" t="s">
        <v>4625</v>
      </c>
      <c r="L4371" s="153" t="s">
        <v>118</v>
      </c>
      <c r="M4371">
        <v>32</v>
      </c>
      <c r="N4371" s="123">
        <v>1</v>
      </c>
      <c r="O4371">
        <v>2887</v>
      </c>
      <c r="P4371" s="132" t="s">
        <v>77</v>
      </c>
      <c r="Q4371" s="132">
        <v>7803.39</v>
      </c>
      <c r="R4371" s="132">
        <v>1248.54</v>
      </c>
      <c r="S4371" s="132"/>
      <c r="T4371" s="156">
        <v>0</v>
      </c>
      <c r="U4371" s="132">
        <v>0</v>
      </c>
      <c r="V4371" s="132">
        <v>9051.93</v>
      </c>
      <c r="W4371">
        <v>353</v>
      </c>
      <c r="X4371" s="153" t="s">
        <v>2035</v>
      </c>
      <c r="Y4371" s="124" t="s">
        <v>55</v>
      </c>
      <c r="Z4371" s="308">
        <v>259</v>
      </c>
      <c r="AB4371" t="str">
        <f>IF(Table1[[#This Row],[TIPO2]]="costo", VLOOKUP(Table1[[#This Row],[PARTIDA PRESUPUESTAL]],'Cost Report'!G:G,1,0),"Balance")</f>
        <v>3683-060</v>
      </c>
      <c r="AC4371" s="118"/>
      <c r="AD4371" s="159">
        <f>+Table1[[#This Row],[SUBTOTAL]]+Table1[[#This Row],[IVA]]-Table1[[#This Row],[RET IVA]]-Table1[[#This Row],[RET ISR]]-Table1[[#This Row],[TOTAL]]</f>
        <v>0</v>
      </c>
      <c r="AE4371" s="152"/>
      <c r="AF4371" s="153"/>
      <c r="AG4371" s="126"/>
      <c r="AK4371" s="306" t="str">
        <f>IF(ISNUMBER(Table1[[#This Row],[FECHA DE RECIBIDO]]), Table1[[#This Row],[FECHA DE RECIBIDO]]-DATE(2023,8,30), "")</f>
        <v/>
      </c>
    </row>
    <row r="4372" spans="1:37" ht="16.05" customHeight="1">
      <c r="A4372" s="150" t="s">
        <v>4578</v>
      </c>
      <c r="B4372" s="151">
        <v>1538</v>
      </c>
      <c r="C4372" s="126" t="s">
        <v>1075</v>
      </c>
      <c r="D4372">
        <v>3020</v>
      </c>
      <c r="E4372" s="126" t="s">
        <v>2001</v>
      </c>
      <c r="F4372" s="122" t="s">
        <v>1607</v>
      </c>
      <c r="G4372" s="122" t="s">
        <v>134</v>
      </c>
      <c r="H4372">
        <v>23</v>
      </c>
      <c r="I4372" s="122" t="s">
        <v>1546</v>
      </c>
      <c r="J4372" s="307" t="s">
        <v>214</v>
      </c>
      <c r="K4372" s="127" t="s">
        <v>4625</v>
      </c>
      <c r="L4372" s="151" t="s">
        <v>118</v>
      </c>
      <c r="M4372">
        <v>32</v>
      </c>
      <c r="N4372" s="123">
        <v>1</v>
      </c>
      <c r="O4372">
        <v>2887</v>
      </c>
      <c r="P4372" s="132" t="s">
        <v>77</v>
      </c>
      <c r="Q4372" s="131">
        <v>7803.39</v>
      </c>
      <c r="R4372" s="131">
        <v>1248.54</v>
      </c>
      <c r="S4372" s="131"/>
      <c r="T4372" s="155">
        <v>0</v>
      </c>
      <c r="U4372" s="131">
        <v>0</v>
      </c>
      <c r="V4372" s="131">
        <v>9051.93</v>
      </c>
      <c r="W4372">
        <v>353</v>
      </c>
      <c r="X4372" s="151" t="s">
        <v>2035</v>
      </c>
      <c r="Y4372" s="135" t="s">
        <v>55</v>
      </c>
      <c r="Z4372" s="307">
        <v>259</v>
      </c>
      <c r="AB4372" t="str">
        <f>IF(Table1[[#This Row],[TIPO2]]="costo", VLOOKUP(Table1[[#This Row],[PARTIDA PRESUPUESTAL]],'Cost Report'!G:G,1,0),"Balance")</f>
        <v>3683-066</v>
      </c>
      <c r="AC4372" s="118"/>
      <c r="AD4372" s="159">
        <f>+Table1[[#This Row],[SUBTOTAL]]+Table1[[#This Row],[IVA]]-Table1[[#This Row],[RET IVA]]-Table1[[#This Row],[RET ISR]]-Table1[[#This Row],[TOTAL]]</f>
        <v>0</v>
      </c>
      <c r="AE4372" s="150"/>
      <c r="AF4372" s="151"/>
      <c r="AG4372" s="126"/>
      <c r="AK4372" s="306" t="str">
        <f>IF(ISNUMBER(Table1[[#This Row],[FECHA DE RECIBIDO]]), Table1[[#This Row],[FECHA DE RECIBIDO]]-DATE(2023,8,30), "")</f>
        <v/>
      </c>
    </row>
    <row r="4373" spans="1:37" ht="16.05" customHeight="1">
      <c r="A4373" s="150" t="s">
        <v>4578</v>
      </c>
      <c r="B4373" s="151">
        <v>1538</v>
      </c>
      <c r="C4373" s="126" t="s">
        <v>1079</v>
      </c>
      <c r="D4373">
        <v>3020</v>
      </c>
      <c r="E4373" s="126" t="s">
        <v>2001</v>
      </c>
      <c r="F4373" s="125" t="s">
        <v>1607</v>
      </c>
      <c r="G4373" s="125" t="s">
        <v>134</v>
      </c>
      <c r="H4373">
        <v>23</v>
      </c>
      <c r="I4373" s="125" t="s">
        <v>1546</v>
      </c>
      <c r="J4373" s="308" t="s">
        <v>214</v>
      </c>
      <c r="K4373" s="127" t="s">
        <v>4625</v>
      </c>
      <c r="L4373" s="153" t="s">
        <v>118</v>
      </c>
      <c r="M4373">
        <v>32</v>
      </c>
      <c r="N4373" s="123">
        <v>1</v>
      </c>
      <c r="O4373">
        <v>2887</v>
      </c>
      <c r="P4373" s="132" t="s">
        <v>77</v>
      </c>
      <c r="Q4373" s="132">
        <v>7803.39</v>
      </c>
      <c r="R4373" s="132">
        <v>1248.54</v>
      </c>
      <c r="S4373" s="132"/>
      <c r="T4373" s="156">
        <v>0</v>
      </c>
      <c r="U4373" s="132">
        <v>0</v>
      </c>
      <c r="V4373" s="132">
        <v>9051.93</v>
      </c>
      <c r="W4373">
        <v>353</v>
      </c>
      <c r="X4373" s="153" t="s">
        <v>2035</v>
      </c>
      <c r="Y4373" s="124" t="s">
        <v>55</v>
      </c>
      <c r="Z4373" s="308">
        <v>259</v>
      </c>
      <c r="AB4373" t="str">
        <f>IF(Table1[[#This Row],[TIPO2]]="costo", VLOOKUP(Table1[[#This Row],[PARTIDA PRESUPUESTAL]],'Cost Report'!G:G,1,0),"Balance")</f>
        <v>3683-072</v>
      </c>
      <c r="AC4373" s="118"/>
      <c r="AD4373" s="159">
        <f>+Table1[[#This Row],[SUBTOTAL]]+Table1[[#This Row],[IVA]]-Table1[[#This Row],[RET IVA]]-Table1[[#This Row],[RET ISR]]-Table1[[#This Row],[TOTAL]]</f>
        <v>0</v>
      </c>
      <c r="AE4373" s="152"/>
      <c r="AF4373" s="153"/>
      <c r="AG4373" s="126"/>
      <c r="AK4373" s="306" t="str">
        <f>IF(ISNUMBER(Table1[[#This Row],[FECHA DE RECIBIDO]]), Table1[[#This Row],[FECHA DE RECIBIDO]]-DATE(2023,8,30), "")</f>
        <v/>
      </c>
    </row>
    <row r="4374" spans="1:37" ht="16.05" customHeight="1">
      <c r="A4374" s="150" t="s">
        <v>4578</v>
      </c>
      <c r="B4374" s="151">
        <v>1538</v>
      </c>
      <c r="C4374" s="126" t="s">
        <v>1083</v>
      </c>
      <c r="D4374">
        <v>3020</v>
      </c>
      <c r="E4374" s="126" t="s">
        <v>2001</v>
      </c>
      <c r="F4374" s="122" t="s">
        <v>1607</v>
      </c>
      <c r="G4374" s="122" t="s">
        <v>134</v>
      </c>
      <c r="H4374">
        <v>23</v>
      </c>
      <c r="I4374" s="122" t="s">
        <v>1546</v>
      </c>
      <c r="J4374" s="307" t="s">
        <v>214</v>
      </c>
      <c r="K4374" s="127" t="s">
        <v>4625</v>
      </c>
      <c r="L4374" s="151" t="s">
        <v>118</v>
      </c>
      <c r="M4374">
        <v>32</v>
      </c>
      <c r="N4374" s="123">
        <v>1</v>
      </c>
      <c r="O4374">
        <v>2887</v>
      </c>
      <c r="P4374" s="132" t="s">
        <v>77</v>
      </c>
      <c r="Q4374" s="131">
        <v>7803.39</v>
      </c>
      <c r="R4374" s="131">
        <v>1248.54</v>
      </c>
      <c r="S4374" s="131"/>
      <c r="T4374" s="155">
        <v>0</v>
      </c>
      <c r="U4374" s="131">
        <v>0</v>
      </c>
      <c r="V4374" s="131">
        <v>9051.93</v>
      </c>
      <c r="W4374">
        <v>353</v>
      </c>
      <c r="X4374" s="151" t="s">
        <v>2035</v>
      </c>
      <c r="Y4374" s="135" t="s">
        <v>55</v>
      </c>
      <c r="Z4374" s="307">
        <v>259</v>
      </c>
      <c r="AB4374" t="str">
        <f>IF(Table1[[#This Row],[TIPO2]]="costo", VLOOKUP(Table1[[#This Row],[PARTIDA PRESUPUESTAL]],'Cost Report'!G:G,1,0),"Balance")</f>
        <v>3683-078</v>
      </c>
      <c r="AC4374" s="118"/>
      <c r="AD4374" s="159">
        <f>+Table1[[#This Row],[SUBTOTAL]]+Table1[[#This Row],[IVA]]-Table1[[#This Row],[RET IVA]]-Table1[[#This Row],[RET ISR]]-Table1[[#This Row],[TOTAL]]</f>
        <v>0</v>
      </c>
      <c r="AE4374" s="150"/>
      <c r="AF4374" s="151"/>
      <c r="AG4374" s="126"/>
      <c r="AK4374" s="306" t="str">
        <f>IF(ISNUMBER(Table1[[#This Row],[FECHA DE RECIBIDO]]), Table1[[#This Row],[FECHA DE RECIBIDO]]-DATE(2023,8,30), "")</f>
        <v/>
      </c>
    </row>
    <row r="4375" spans="1:37" ht="16.05" customHeight="1">
      <c r="A4375" s="150" t="s">
        <v>4578</v>
      </c>
      <c r="B4375" s="151">
        <v>1538</v>
      </c>
      <c r="C4375" s="126" t="s">
        <v>1087</v>
      </c>
      <c r="D4375">
        <v>3020</v>
      </c>
      <c r="E4375" s="126" t="s">
        <v>2001</v>
      </c>
      <c r="F4375" s="125" t="s">
        <v>1607</v>
      </c>
      <c r="G4375" s="125" t="s">
        <v>134</v>
      </c>
      <c r="H4375">
        <v>23</v>
      </c>
      <c r="I4375" s="125" t="s">
        <v>1546</v>
      </c>
      <c r="J4375" s="308" t="s">
        <v>214</v>
      </c>
      <c r="K4375" s="127" t="s">
        <v>4625</v>
      </c>
      <c r="L4375" s="153" t="s">
        <v>118</v>
      </c>
      <c r="M4375">
        <v>32</v>
      </c>
      <c r="N4375" s="123">
        <v>1</v>
      </c>
      <c r="O4375">
        <v>2887</v>
      </c>
      <c r="P4375" s="132" t="s">
        <v>77</v>
      </c>
      <c r="Q4375" s="132">
        <v>11444.98</v>
      </c>
      <c r="R4375" s="132">
        <v>1831.2</v>
      </c>
      <c r="S4375" s="132"/>
      <c r="T4375" s="156">
        <v>0</v>
      </c>
      <c r="U4375" s="132">
        <v>0</v>
      </c>
      <c r="V4375" s="132">
        <v>13276.18</v>
      </c>
      <c r="W4375">
        <v>353</v>
      </c>
      <c r="X4375" s="153" t="s">
        <v>2035</v>
      </c>
      <c r="Y4375" s="124" t="s">
        <v>55</v>
      </c>
      <c r="Z4375" s="308">
        <v>259</v>
      </c>
      <c r="AB4375" t="str">
        <f>IF(Table1[[#This Row],[TIPO2]]="costo", VLOOKUP(Table1[[#This Row],[PARTIDA PRESUPUESTAL]],'Cost Report'!G:G,1,0),"Balance")</f>
        <v>3683-084</v>
      </c>
      <c r="AC4375" s="118"/>
      <c r="AD4375" s="159">
        <f>+Table1[[#This Row],[SUBTOTAL]]+Table1[[#This Row],[IVA]]-Table1[[#This Row],[RET IVA]]-Table1[[#This Row],[RET ISR]]-Table1[[#This Row],[TOTAL]]</f>
        <v>0</v>
      </c>
      <c r="AE4375" s="152"/>
      <c r="AF4375" s="153"/>
      <c r="AG4375" s="126"/>
      <c r="AK4375" s="306" t="str">
        <f>IF(ISNUMBER(Table1[[#This Row],[FECHA DE RECIBIDO]]), Table1[[#This Row],[FECHA DE RECIBIDO]]-DATE(2023,8,30), "")</f>
        <v/>
      </c>
    </row>
    <row r="4376" spans="1:37" ht="16.05" customHeight="1">
      <c r="A4376" s="150" t="s">
        <v>4578</v>
      </c>
      <c r="B4376" s="151">
        <v>1538</v>
      </c>
      <c r="C4376" s="126" t="s">
        <v>1091</v>
      </c>
      <c r="D4376">
        <v>3020</v>
      </c>
      <c r="E4376" s="126" t="s">
        <v>2001</v>
      </c>
      <c r="F4376" s="122" t="s">
        <v>1607</v>
      </c>
      <c r="G4376" s="122" t="s">
        <v>134</v>
      </c>
      <c r="H4376">
        <v>23</v>
      </c>
      <c r="I4376" s="122" t="s">
        <v>1546</v>
      </c>
      <c r="J4376" s="307" t="s">
        <v>214</v>
      </c>
      <c r="K4376" s="127" t="s">
        <v>4625</v>
      </c>
      <c r="L4376" s="151" t="s">
        <v>118</v>
      </c>
      <c r="M4376">
        <v>32</v>
      </c>
      <c r="N4376" s="123">
        <v>1</v>
      </c>
      <c r="O4376">
        <v>2887</v>
      </c>
      <c r="P4376" s="132" t="s">
        <v>77</v>
      </c>
      <c r="Q4376" s="131">
        <v>7803.39</v>
      </c>
      <c r="R4376" s="131">
        <v>1248.54</v>
      </c>
      <c r="S4376" s="131"/>
      <c r="T4376" s="155">
        <v>0</v>
      </c>
      <c r="U4376" s="131">
        <v>0</v>
      </c>
      <c r="V4376" s="131">
        <v>9051.93</v>
      </c>
      <c r="W4376">
        <v>353</v>
      </c>
      <c r="X4376" s="151" t="s">
        <v>2035</v>
      </c>
      <c r="Y4376" s="135" t="s">
        <v>55</v>
      </c>
      <c r="Z4376" s="307">
        <v>259</v>
      </c>
      <c r="AB4376" t="str">
        <f>IF(Table1[[#This Row],[TIPO2]]="costo", VLOOKUP(Table1[[#This Row],[PARTIDA PRESUPUESTAL]],'Cost Report'!G:G,1,0),"Balance")</f>
        <v>3683-090</v>
      </c>
      <c r="AC4376" s="118"/>
      <c r="AD4376" s="159">
        <f>+Table1[[#This Row],[SUBTOTAL]]+Table1[[#This Row],[IVA]]-Table1[[#This Row],[RET IVA]]-Table1[[#This Row],[RET ISR]]-Table1[[#This Row],[TOTAL]]</f>
        <v>0</v>
      </c>
      <c r="AE4376" s="150"/>
      <c r="AF4376" s="151"/>
      <c r="AG4376" s="126"/>
      <c r="AK4376" s="306" t="str">
        <f>IF(ISNUMBER(Table1[[#This Row],[FECHA DE RECIBIDO]]), Table1[[#This Row],[FECHA DE RECIBIDO]]-DATE(2023,8,30), "")</f>
        <v/>
      </c>
    </row>
    <row r="4377" spans="1:37" ht="16.05" customHeight="1">
      <c r="A4377" s="150" t="s">
        <v>4578</v>
      </c>
      <c r="B4377" s="151">
        <v>1538</v>
      </c>
      <c r="C4377" s="126" t="s">
        <v>1095</v>
      </c>
      <c r="D4377">
        <v>3020</v>
      </c>
      <c r="E4377" s="126" t="s">
        <v>2001</v>
      </c>
      <c r="F4377" s="125" t="s">
        <v>1607</v>
      </c>
      <c r="G4377" s="125" t="s">
        <v>134</v>
      </c>
      <c r="H4377">
        <v>23</v>
      </c>
      <c r="I4377" s="125" t="s">
        <v>1546</v>
      </c>
      <c r="J4377" s="308" t="s">
        <v>214</v>
      </c>
      <c r="K4377" s="127" t="s">
        <v>4625</v>
      </c>
      <c r="L4377" s="153" t="s">
        <v>118</v>
      </c>
      <c r="M4377">
        <v>32</v>
      </c>
      <c r="N4377" s="123">
        <v>1</v>
      </c>
      <c r="O4377">
        <v>2887</v>
      </c>
      <c r="P4377" s="132" t="s">
        <v>77</v>
      </c>
      <c r="Q4377" s="132">
        <v>11444.98</v>
      </c>
      <c r="R4377" s="132">
        <v>1831.2</v>
      </c>
      <c r="S4377" s="132"/>
      <c r="T4377" s="156">
        <v>0</v>
      </c>
      <c r="U4377" s="132">
        <v>0</v>
      </c>
      <c r="V4377" s="132">
        <v>13276.18</v>
      </c>
      <c r="W4377">
        <v>353</v>
      </c>
      <c r="X4377" s="153" t="s">
        <v>2035</v>
      </c>
      <c r="Y4377" s="124" t="s">
        <v>55</v>
      </c>
      <c r="Z4377" s="308">
        <v>259</v>
      </c>
      <c r="AB4377" t="str">
        <f>IF(Table1[[#This Row],[TIPO2]]="costo", VLOOKUP(Table1[[#This Row],[PARTIDA PRESUPUESTAL]],'Cost Report'!G:G,1,0),"Balance")</f>
        <v>3683-096</v>
      </c>
      <c r="AC4377" s="118"/>
      <c r="AD4377" s="159">
        <f>+Table1[[#This Row],[SUBTOTAL]]+Table1[[#This Row],[IVA]]-Table1[[#This Row],[RET IVA]]-Table1[[#This Row],[RET ISR]]-Table1[[#This Row],[TOTAL]]</f>
        <v>0</v>
      </c>
      <c r="AE4377" s="152"/>
      <c r="AF4377" s="153"/>
      <c r="AG4377" s="126"/>
      <c r="AK4377" s="306" t="str">
        <f>IF(ISNUMBER(Table1[[#This Row],[FECHA DE RECIBIDO]]), Table1[[#This Row],[FECHA DE RECIBIDO]]-DATE(2023,8,30), "")</f>
        <v/>
      </c>
    </row>
    <row r="4378" spans="1:37" ht="16.05" customHeight="1">
      <c r="A4378" s="150" t="s">
        <v>4578</v>
      </c>
      <c r="B4378" s="151">
        <v>1538</v>
      </c>
      <c r="C4378" s="126" t="s">
        <v>1098</v>
      </c>
      <c r="D4378">
        <v>3020</v>
      </c>
      <c r="E4378" s="126" t="s">
        <v>2001</v>
      </c>
      <c r="F4378" s="122" t="s">
        <v>1607</v>
      </c>
      <c r="G4378" s="122" t="s">
        <v>134</v>
      </c>
      <c r="H4378">
        <v>23</v>
      </c>
      <c r="I4378" s="122" t="s">
        <v>1546</v>
      </c>
      <c r="J4378" s="307" t="s">
        <v>214</v>
      </c>
      <c r="K4378" s="127" t="s">
        <v>4625</v>
      </c>
      <c r="L4378" s="151" t="s">
        <v>118</v>
      </c>
      <c r="M4378">
        <v>32</v>
      </c>
      <c r="N4378" s="123">
        <v>1</v>
      </c>
      <c r="O4378">
        <v>2887</v>
      </c>
      <c r="P4378" s="132" t="s">
        <v>77</v>
      </c>
      <c r="Q4378" s="131">
        <v>11705.09</v>
      </c>
      <c r="R4378" s="131">
        <v>1872.81</v>
      </c>
      <c r="S4378" s="131"/>
      <c r="T4378" s="155">
        <v>0</v>
      </c>
      <c r="U4378" s="131">
        <v>0</v>
      </c>
      <c r="V4378" s="131">
        <v>13577.9</v>
      </c>
      <c r="W4378">
        <v>353</v>
      </c>
      <c r="X4378" s="151" t="s">
        <v>2035</v>
      </c>
      <c r="Y4378" s="135" t="s">
        <v>55</v>
      </c>
      <c r="Z4378" s="307">
        <v>259</v>
      </c>
      <c r="AB4378" t="str">
        <f>IF(Table1[[#This Row],[TIPO2]]="costo", VLOOKUP(Table1[[#This Row],[PARTIDA PRESUPUESTAL]],'Cost Report'!G:G,1,0),"Balance")</f>
        <v>3683-101</v>
      </c>
      <c r="AC4378" s="118"/>
      <c r="AD4378" s="159">
        <f>+Table1[[#This Row],[SUBTOTAL]]+Table1[[#This Row],[IVA]]-Table1[[#This Row],[RET IVA]]-Table1[[#This Row],[RET ISR]]-Table1[[#This Row],[TOTAL]]</f>
        <v>0</v>
      </c>
      <c r="AE4378" s="150"/>
      <c r="AF4378" s="151"/>
      <c r="AG4378" s="126"/>
      <c r="AK4378" s="306" t="str">
        <f>IF(ISNUMBER(Table1[[#This Row],[FECHA DE RECIBIDO]]), Table1[[#This Row],[FECHA DE RECIBIDO]]-DATE(2023,8,30), "")</f>
        <v/>
      </c>
    </row>
    <row r="4379" spans="1:37" ht="16.05" customHeight="1">
      <c r="A4379" s="150" t="s">
        <v>4578</v>
      </c>
      <c r="B4379" s="151">
        <v>1538</v>
      </c>
      <c r="C4379" s="126" t="s">
        <v>1100</v>
      </c>
      <c r="D4379">
        <v>3020</v>
      </c>
      <c r="E4379" s="126" t="s">
        <v>2001</v>
      </c>
      <c r="F4379" s="125" t="s">
        <v>1607</v>
      </c>
      <c r="G4379" s="125" t="s">
        <v>134</v>
      </c>
      <c r="H4379">
        <v>23</v>
      </c>
      <c r="I4379" s="125" t="s">
        <v>1546</v>
      </c>
      <c r="J4379" s="308" t="s">
        <v>214</v>
      </c>
      <c r="K4379" s="127" t="s">
        <v>4625</v>
      </c>
      <c r="L4379" s="153" t="s">
        <v>118</v>
      </c>
      <c r="M4379">
        <v>32</v>
      </c>
      <c r="N4379" s="123">
        <v>1</v>
      </c>
      <c r="O4379">
        <v>2887</v>
      </c>
      <c r="P4379" s="132" t="s">
        <v>77</v>
      </c>
      <c r="Q4379" s="132">
        <v>14566.33</v>
      </c>
      <c r="R4379" s="132">
        <v>2330.61</v>
      </c>
      <c r="S4379" s="132"/>
      <c r="T4379" s="156">
        <v>0</v>
      </c>
      <c r="U4379" s="132">
        <v>0</v>
      </c>
      <c r="V4379" s="132">
        <v>16896.939999999999</v>
      </c>
      <c r="W4379">
        <v>353</v>
      </c>
      <c r="X4379" s="153" t="s">
        <v>2035</v>
      </c>
      <c r="Y4379" s="124" t="s">
        <v>55</v>
      </c>
      <c r="Z4379" s="308">
        <v>259</v>
      </c>
      <c r="AB4379" t="str">
        <f>IF(Table1[[#This Row],[TIPO2]]="costo", VLOOKUP(Table1[[#This Row],[PARTIDA PRESUPUESTAL]],'Cost Report'!G:G,1,0),"Balance")</f>
        <v>3683-105</v>
      </c>
      <c r="AC4379" s="118"/>
      <c r="AD4379" s="159">
        <f>+Table1[[#This Row],[SUBTOTAL]]+Table1[[#This Row],[IVA]]-Table1[[#This Row],[RET IVA]]-Table1[[#This Row],[RET ISR]]-Table1[[#This Row],[TOTAL]]</f>
        <v>0</v>
      </c>
      <c r="AE4379" s="152"/>
      <c r="AF4379" s="153"/>
      <c r="AG4379" s="126"/>
      <c r="AK4379" s="306" t="str">
        <f>IF(ISNUMBER(Table1[[#This Row],[FECHA DE RECIBIDO]]), Table1[[#This Row],[FECHA DE RECIBIDO]]-DATE(2023,8,30), "")</f>
        <v/>
      </c>
    </row>
    <row r="4380" spans="1:37" ht="16.05" customHeight="1">
      <c r="A4380" s="150" t="s">
        <v>4578</v>
      </c>
      <c r="B4380" s="151">
        <v>1538</v>
      </c>
      <c r="C4380" s="126" t="s">
        <v>2880</v>
      </c>
      <c r="D4380">
        <v>3020</v>
      </c>
      <c r="E4380" s="126" t="s">
        <v>2001</v>
      </c>
      <c r="F4380" s="122" t="s">
        <v>1607</v>
      </c>
      <c r="G4380" s="122" t="s">
        <v>134</v>
      </c>
      <c r="H4380">
        <v>23</v>
      </c>
      <c r="I4380" s="122" t="s">
        <v>1546</v>
      </c>
      <c r="J4380" s="307" t="s">
        <v>214</v>
      </c>
      <c r="K4380" s="127" t="s">
        <v>4625</v>
      </c>
      <c r="L4380" s="151" t="s">
        <v>118</v>
      </c>
      <c r="M4380">
        <v>32</v>
      </c>
      <c r="N4380" s="123">
        <v>1</v>
      </c>
      <c r="O4380">
        <v>2887</v>
      </c>
      <c r="P4380" s="132" t="s">
        <v>77</v>
      </c>
      <c r="Q4380" s="131">
        <v>29132.67</v>
      </c>
      <c r="R4380" s="131">
        <v>4661.2299999999996</v>
      </c>
      <c r="S4380" s="131"/>
      <c r="T4380" s="155">
        <v>0</v>
      </c>
      <c r="U4380" s="131">
        <v>0</v>
      </c>
      <c r="V4380" s="131">
        <v>33793.899999999994</v>
      </c>
      <c r="W4380">
        <v>353</v>
      </c>
      <c r="X4380" s="151" t="s">
        <v>2035</v>
      </c>
      <c r="Y4380" s="135" t="s">
        <v>55</v>
      </c>
      <c r="Z4380" s="307">
        <v>259</v>
      </c>
      <c r="AB4380" t="str">
        <f>IF(Table1[[#This Row],[TIPO2]]="costo", VLOOKUP(Table1[[#This Row],[PARTIDA PRESUPUESTAL]],'Cost Report'!G:G,1,0),"Balance")</f>
        <v>3683-109</v>
      </c>
      <c r="AC4380" s="118"/>
      <c r="AD4380" s="159">
        <f>+Table1[[#This Row],[SUBTOTAL]]+Table1[[#This Row],[IVA]]-Table1[[#This Row],[RET IVA]]-Table1[[#This Row],[RET ISR]]-Table1[[#This Row],[TOTAL]]</f>
        <v>0</v>
      </c>
      <c r="AE4380" s="150"/>
      <c r="AF4380" s="151"/>
      <c r="AG4380" s="126"/>
      <c r="AK4380" s="306" t="str">
        <f>IF(ISNUMBER(Table1[[#This Row],[FECHA DE RECIBIDO]]), Table1[[#This Row],[FECHA DE RECIBIDO]]-DATE(2023,8,30), "")</f>
        <v/>
      </c>
    </row>
    <row r="4381" spans="1:37" ht="16.05" customHeight="1">
      <c r="A4381" s="150" t="s">
        <v>4578</v>
      </c>
      <c r="B4381" s="151">
        <v>1538</v>
      </c>
      <c r="C4381" s="126" t="s">
        <v>2882</v>
      </c>
      <c r="D4381">
        <v>3020</v>
      </c>
      <c r="E4381" s="126" t="s">
        <v>2001</v>
      </c>
      <c r="F4381" s="125" t="s">
        <v>1607</v>
      </c>
      <c r="G4381" s="125" t="s">
        <v>134</v>
      </c>
      <c r="H4381">
        <v>23</v>
      </c>
      <c r="I4381" s="125" t="s">
        <v>1546</v>
      </c>
      <c r="J4381" s="308" t="s">
        <v>214</v>
      </c>
      <c r="K4381" s="127" t="s">
        <v>4625</v>
      </c>
      <c r="L4381" s="153" t="s">
        <v>118</v>
      </c>
      <c r="M4381">
        <v>32</v>
      </c>
      <c r="N4381" s="123">
        <v>1</v>
      </c>
      <c r="O4381">
        <v>2887</v>
      </c>
      <c r="P4381" s="132" t="s">
        <v>77</v>
      </c>
      <c r="Q4381" s="132">
        <v>14566.33</v>
      </c>
      <c r="R4381" s="132">
        <v>2330.61</v>
      </c>
      <c r="S4381" s="132"/>
      <c r="T4381" s="156">
        <v>0</v>
      </c>
      <c r="U4381" s="132">
        <v>0</v>
      </c>
      <c r="V4381" s="132">
        <v>16896.939999999999</v>
      </c>
      <c r="W4381">
        <v>353</v>
      </c>
      <c r="X4381" s="153" t="s">
        <v>2035</v>
      </c>
      <c r="Y4381" s="124" t="s">
        <v>55</v>
      </c>
      <c r="Z4381" s="308">
        <v>259</v>
      </c>
      <c r="AB4381" t="str">
        <f>IF(Table1[[#This Row],[TIPO2]]="costo", VLOOKUP(Table1[[#This Row],[PARTIDA PRESUPUESTAL]],'Cost Report'!G:G,1,0),"Balance")</f>
        <v>3683-113</v>
      </c>
      <c r="AC4381" s="118"/>
      <c r="AD4381" s="159">
        <f>+Table1[[#This Row],[SUBTOTAL]]+Table1[[#This Row],[IVA]]-Table1[[#This Row],[RET IVA]]-Table1[[#This Row],[RET ISR]]-Table1[[#This Row],[TOTAL]]</f>
        <v>0</v>
      </c>
      <c r="AE4381" s="152"/>
      <c r="AF4381" s="153"/>
      <c r="AG4381" s="126"/>
      <c r="AK4381" s="306" t="str">
        <f>IF(ISNUMBER(Table1[[#This Row],[FECHA DE RECIBIDO]]), Table1[[#This Row],[FECHA DE RECIBIDO]]-DATE(2023,8,30), "")</f>
        <v/>
      </c>
    </row>
    <row r="4382" spans="1:37" ht="16.05" customHeight="1">
      <c r="A4382" s="150"/>
      <c r="B4382" s="151">
        <v>1539</v>
      </c>
      <c r="C4382" s="126" t="s">
        <v>2909</v>
      </c>
      <c r="D4382">
        <v>3021</v>
      </c>
      <c r="E4382" s="126" t="s">
        <v>2001</v>
      </c>
      <c r="F4382" s="122" t="s">
        <v>1607</v>
      </c>
      <c r="G4382" s="122" t="s">
        <v>134</v>
      </c>
      <c r="H4382">
        <v>23</v>
      </c>
      <c r="I4382" s="122" t="s">
        <v>1546</v>
      </c>
      <c r="J4382" s="307" t="s">
        <v>214</v>
      </c>
      <c r="K4382" s="127" t="s">
        <v>4625</v>
      </c>
      <c r="L4382" s="151" t="s">
        <v>118</v>
      </c>
      <c r="M4382">
        <v>32</v>
      </c>
      <c r="N4382" s="123">
        <v>1</v>
      </c>
      <c r="O4382">
        <v>2888</v>
      </c>
      <c r="P4382" s="132" t="s">
        <v>77</v>
      </c>
      <c r="Q4382" s="131">
        <v>14566.33</v>
      </c>
      <c r="R4382" s="131">
        <v>2330.61</v>
      </c>
      <c r="S4382" s="131"/>
      <c r="T4382" s="155">
        <v>0</v>
      </c>
      <c r="U4382" s="131">
        <v>0</v>
      </c>
      <c r="V4382" s="131">
        <v>16896.939999999999</v>
      </c>
      <c r="W4382">
        <v>353</v>
      </c>
      <c r="X4382" s="151" t="s">
        <v>2035</v>
      </c>
      <c r="Y4382" s="135" t="s">
        <v>55</v>
      </c>
      <c r="Z4382" s="307">
        <v>259</v>
      </c>
      <c r="AB4382" t="str">
        <f>IF(Table1[[#This Row],[TIPO2]]="costo", VLOOKUP(Table1[[#This Row],[PARTIDA PRESUPUESTAL]],'Cost Report'!G:G,1,0),"Balance")</f>
        <v>3683-158</v>
      </c>
      <c r="AC4382" s="118"/>
      <c r="AD4382" s="159">
        <f>+Table1[[#This Row],[SUBTOTAL]]+Table1[[#This Row],[IVA]]-Table1[[#This Row],[RET IVA]]-Table1[[#This Row],[RET ISR]]-Table1[[#This Row],[TOTAL]]</f>
        <v>0</v>
      </c>
      <c r="AE4382" s="150"/>
      <c r="AF4382" s="151"/>
      <c r="AG4382" s="126"/>
      <c r="AK4382" s="306" t="str">
        <f>IF(ISNUMBER(Table1[[#This Row],[FECHA DE RECIBIDO]]), Table1[[#This Row],[FECHA DE RECIBIDO]]-DATE(2023,8,30), "")</f>
        <v/>
      </c>
    </row>
    <row r="4383" spans="1:37" ht="16.05" customHeight="1">
      <c r="A4383" s="152"/>
      <c r="B4383" s="151">
        <v>1539</v>
      </c>
      <c r="C4383" s="126" t="s">
        <v>2916</v>
      </c>
      <c r="D4383">
        <v>3021</v>
      </c>
      <c r="E4383" s="126" t="s">
        <v>2001</v>
      </c>
      <c r="F4383" s="125" t="s">
        <v>1607</v>
      </c>
      <c r="G4383" s="125" t="s">
        <v>134</v>
      </c>
      <c r="H4383">
        <v>23</v>
      </c>
      <c r="I4383" s="125" t="s">
        <v>1546</v>
      </c>
      <c r="J4383" s="308" t="s">
        <v>214</v>
      </c>
      <c r="K4383" s="127" t="s">
        <v>4625</v>
      </c>
      <c r="L4383" s="153" t="s">
        <v>118</v>
      </c>
      <c r="M4383">
        <v>32</v>
      </c>
      <c r="N4383" s="123">
        <v>1</v>
      </c>
      <c r="O4383">
        <v>2888</v>
      </c>
      <c r="P4383" s="132" t="s">
        <v>77</v>
      </c>
      <c r="Q4383" s="132">
        <v>4737.7700000000004</v>
      </c>
      <c r="R4383" s="132">
        <v>758.04</v>
      </c>
      <c r="S4383" s="132"/>
      <c r="T4383" s="156">
        <v>0</v>
      </c>
      <c r="U4383" s="132">
        <v>0</v>
      </c>
      <c r="V4383" s="132">
        <v>5495.81</v>
      </c>
      <c r="W4383">
        <v>353</v>
      </c>
      <c r="X4383" s="153" t="s">
        <v>2035</v>
      </c>
      <c r="Y4383" s="124" t="s">
        <v>55</v>
      </c>
      <c r="Z4383" s="308">
        <v>259</v>
      </c>
      <c r="AB4383" t="str">
        <f>IF(Table1[[#This Row],[TIPO2]]="costo", VLOOKUP(Table1[[#This Row],[PARTIDA PRESUPUESTAL]],'Cost Report'!G:G,1,0),"Balance")</f>
        <v>3683-171</v>
      </c>
      <c r="AC4383" s="118"/>
      <c r="AD4383" s="159">
        <f>+Table1[[#This Row],[SUBTOTAL]]+Table1[[#This Row],[IVA]]-Table1[[#This Row],[RET IVA]]-Table1[[#This Row],[RET ISR]]-Table1[[#This Row],[TOTAL]]</f>
        <v>0</v>
      </c>
      <c r="AE4383" s="152"/>
      <c r="AF4383" s="153"/>
      <c r="AG4383" s="126"/>
      <c r="AK4383" s="306" t="str">
        <f>IF(ISNUMBER(Table1[[#This Row],[FECHA DE RECIBIDO]]), Table1[[#This Row],[FECHA DE RECIBIDO]]-DATE(2023,8,30), "")</f>
        <v/>
      </c>
    </row>
    <row r="4384" spans="1:37" ht="16.05" customHeight="1">
      <c r="A4384" s="150"/>
      <c r="B4384" s="151">
        <v>1539</v>
      </c>
      <c r="C4384" s="126" t="s">
        <v>2907</v>
      </c>
      <c r="D4384">
        <v>3021</v>
      </c>
      <c r="E4384" s="126" t="s">
        <v>2001</v>
      </c>
      <c r="F4384" s="122" t="s">
        <v>1607</v>
      </c>
      <c r="G4384" s="122" t="s">
        <v>134</v>
      </c>
      <c r="H4384">
        <v>23</v>
      </c>
      <c r="I4384" s="122" t="s">
        <v>1546</v>
      </c>
      <c r="J4384" s="307" t="s">
        <v>214</v>
      </c>
      <c r="K4384" s="127" t="s">
        <v>4625</v>
      </c>
      <c r="L4384" s="151" t="s">
        <v>118</v>
      </c>
      <c r="M4384">
        <v>32</v>
      </c>
      <c r="N4384" s="123">
        <v>1</v>
      </c>
      <c r="O4384">
        <v>2888</v>
      </c>
      <c r="P4384" s="132" t="s">
        <v>77</v>
      </c>
      <c r="Q4384" s="131">
        <v>2601.13</v>
      </c>
      <c r="R4384" s="131">
        <v>416.18</v>
      </c>
      <c r="S4384" s="131"/>
      <c r="T4384" s="155">
        <v>0</v>
      </c>
      <c r="U4384" s="131">
        <v>0</v>
      </c>
      <c r="V4384" s="131">
        <v>3017.31</v>
      </c>
      <c r="W4384">
        <v>403</v>
      </c>
      <c r="X4384" s="151" t="s">
        <v>2035</v>
      </c>
      <c r="Y4384" s="135" t="s">
        <v>55</v>
      </c>
      <c r="Z4384" s="307">
        <v>260</v>
      </c>
      <c r="AB4384" t="str">
        <f>IF(Table1[[#This Row],[TIPO2]]="costo", VLOOKUP(Table1[[#This Row],[PARTIDA PRESUPUESTAL]],'Cost Report'!G:G,1,0),"Balance")</f>
        <v>3683-154</v>
      </c>
      <c r="AC4384" s="118"/>
      <c r="AD4384" s="159">
        <f>+Table1[[#This Row],[SUBTOTAL]]+Table1[[#This Row],[IVA]]-Table1[[#This Row],[RET IVA]]-Table1[[#This Row],[RET ISR]]-Table1[[#This Row],[TOTAL]]</f>
        <v>0</v>
      </c>
      <c r="AE4384" s="150"/>
      <c r="AF4384" s="151"/>
      <c r="AG4384" s="126"/>
      <c r="AK4384" s="306" t="str">
        <f>IF(ISNUMBER(Table1[[#This Row],[FECHA DE RECIBIDO]]), Table1[[#This Row],[FECHA DE RECIBIDO]]-DATE(2023,8,30), "")</f>
        <v/>
      </c>
    </row>
    <row r="4385" spans="1:37" ht="16.05" customHeight="1">
      <c r="A4385" s="152"/>
      <c r="B4385" s="153">
        <v>1540</v>
      </c>
      <c r="C4385" s="126" t="s">
        <v>2864</v>
      </c>
      <c r="D4385">
        <v>3022</v>
      </c>
      <c r="E4385" s="126" t="s">
        <v>2001</v>
      </c>
      <c r="F4385" s="125" t="s">
        <v>1607</v>
      </c>
      <c r="G4385" s="125" t="s">
        <v>134</v>
      </c>
      <c r="H4385">
        <v>23</v>
      </c>
      <c r="I4385" s="125" t="s">
        <v>1546</v>
      </c>
      <c r="J4385" s="308" t="s">
        <v>214</v>
      </c>
      <c r="K4385" s="127" t="s">
        <v>4625</v>
      </c>
      <c r="L4385" s="153" t="s">
        <v>118</v>
      </c>
      <c r="M4385">
        <v>32</v>
      </c>
      <c r="N4385" s="123">
        <v>1</v>
      </c>
      <c r="O4385">
        <v>2889</v>
      </c>
      <c r="P4385" s="132" t="s">
        <v>77</v>
      </c>
      <c r="Q4385" s="132">
        <v>13854.6</v>
      </c>
      <c r="R4385" s="132">
        <v>2216.7399999999998</v>
      </c>
      <c r="S4385" s="132"/>
      <c r="T4385" s="156">
        <v>0</v>
      </c>
      <c r="U4385" s="132">
        <v>0</v>
      </c>
      <c r="V4385" s="132">
        <v>16071.34</v>
      </c>
      <c r="W4385">
        <v>353</v>
      </c>
      <c r="X4385" s="153" t="s">
        <v>2035</v>
      </c>
      <c r="Y4385" s="124" t="s">
        <v>55</v>
      </c>
      <c r="Z4385" s="308">
        <v>259</v>
      </c>
      <c r="AB4385" t="str">
        <f>IF(Table1[[#This Row],[TIPO2]]="costo", VLOOKUP(Table1[[#This Row],[PARTIDA PRESUPUESTAL]],'Cost Report'!G:G,1,0),"Balance")</f>
        <v>3632-003</v>
      </c>
      <c r="AC4385" s="118"/>
      <c r="AD4385" s="159">
        <f>+Table1[[#This Row],[SUBTOTAL]]+Table1[[#This Row],[IVA]]-Table1[[#This Row],[RET IVA]]-Table1[[#This Row],[RET ISR]]-Table1[[#This Row],[TOTAL]]</f>
        <v>0</v>
      </c>
      <c r="AE4385" s="152"/>
      <c r="AF4385" s="153"/>
      <c r="AG4385" s="126"/>
      <c r="AK4385" s="306" t="str">
        <f>IF(ISNUMBER(Table1[[#This Row],[FECHA DE RECIBIDO]]), Table1[[#This Row],[FECHA DE RECIBIDO]]-DATE(2023,8,30), "")</f>
        <v/>
      </c>
    </row>
    <row r="4386" spans="1:37" ht="16.05" customHeight="1">
      <c r="A4386" s="150"/>
      <c r="B4386" s="153">
        <v>1540</v>
      </c>
      <c r="C4386" s="126" t="s">
        <v>2864</v>
      </c>
      <c r="D4386">
        <v>3022</v>
      </c>
      <c r="E4386" s="126" t="s">
        <v>2001</v>
      </c>
      <c r="F4386" s="122" t="s">
        <v>1607</v>
      </c>
      <c r="G4386" s="122" t="s">
        <v>134</v>
      </c>
      <c r="H4386">
        <v>23</v>
      </c>
      <c r="I4386" s="122" t="s">
        <v>1546</v>
      </c>
      <c r="J4386" s="307" t="s">
        <v>214</v>
      </c>
      <c r="K4386" s="127" t="s">
        <v>4625</v>
      </c>
      <c r="L4386" s="151" t="s">
        <v>118</v>
      </c>
      <c r="M4386">
        <v>32</v>
      </c>
      <c r="N4386" s="123">
        <v>1</v>
      </c>
      <c r="O4386">
        <v>2889</v>
      </c>
      <c r="P4386" s="132" t="s">
        <v>77</v>
      </c>
      <c r="Q4386" s="131">
        <v>6982.72</v>
      </c>
      <c r="R4386" s="131">
        <v>1117.23</v>
      </c>
      <c r="S4386" s="131"/>
      <c r="T4386" s="155">
        <v>0</v>
      </c>
      <c r="U4386" s="131">
        <v>0</v>
      </c>
      <c r="V4386" s="131">
        <v>8099.9500000000007</v>
      </c>
      <c r="W4386">
        <v>353</v>
      </c>
      <c r="X4386" s="151" t="s">
        <v>2035</v>
      </c>
      <c r="Y4386" s="135" t="s">
        <v>55</v>
      </c>
      <c r="Z4386" s="307">
        <v>259</v>
      </c>
      <c r="AB4386" t="str">
        <f>IF(Table1[[#This Row],[TIPO2]]="costo", VLOOKUP(Table1[[#This Row],[PARTIDA PRESUPUESTAL]],'Cost Report'!G:G,1,0),"Balance")</f>
        <v>3632-003</v>
      </c>
      <c r="AC4386" s="118"/>
      <c r="AD4386" s="159">
        <f>+Table1[[#This Row],[SUBTOTAL]]+Table1[[#This Row],[IVA]]-Table1[[#This Row],[RET IVA]]-Table1[[#This Row],[RET ISR]]-Table1[[#This Row],[TOTAL]]</f>
        <v>0</v>
      </c>
      <c r="AE4386" s="150"/>
      <c r="AF4386" s="151"/>
      <c r="AG4386" s="126"/>
      <c r="AK4386" s="306" t="str">
        <f>IF(ISNUMBER(Table1[[#This Row],[FECHA DE RECIBIDO]]), Table1[[#This Row],[FECHA DE RECIBIDO]]-DATE(2023,8,30), "")</f>
        <v/>
      </c>
    </row>
    <row r="4387" spans="1:37" ht="16.05" customHeight="1">
      <c r="A4387" s="152"/>
      <c r="B4387" s="153">
        <v>1540</v>
      </c>
      <c r="C4387" s="126" t="s">
        <v>2864</v>
      </c>
      <c r="D4387">
        <v>3022</v>
      </c>
      <c r="E4387" s="126" t="s">
        <v>2001</v>
      </c>
      <c r="F4387" s="125" t="s">
        <v>1607</v>
      </c>
      <c r="G4387" s="125" t="s">
        <v>134</v>
      </c>
      <c r="H4387">
        <v>23</v>
      </c>
      <c r="I4387" s="125" t="s">
        <v>1546</v>
      </c>
      <c r="J4387" s="308" t="s">
        <v>214</v>
      </c>
      <c r="K4387" s="127" t="s">
        <v>4625</v>
      </c>
      <c r="L4387" s="153" t="s">
        <v>118</v>
      </c>
      <c r="M4387">
        <v>32</v>
      </c>
      <c r="N4387" s="123">
        <v>1</v>
      </c>
      <c r="O4387">
        <v>2889</v>
      </c>
      <c r="P4387" s="132" t="s">
        <v>77</v>
      </c>
      <c r="Q4387" s="132">
        <v>1995.06</v>
      </c>
      <c r="R4387" s="132">
        <v>319.20999999999998</v>
      </c>
      <c r="S4387" s="132"/>
      <c r="T4387" s="156">
        <v>0</v>
      </c>
      <c r="U4387" s="132">
        <v>0</v>
      </c>
      <c r="V4387" s="132">
        <v>2314.27</v>
      </c>
      <c r="W4387">
        <v>353</v>
      </c>
      <c r="X4387" s="153" t="s">
        <v>2035</v>
      </c>
      <c r="Y4387" s="124" t="s">
        <v>55</v>
      </c>
      <c r="Z4387" s="308">
        <v>259</v>
      </c>
      <c r="AB4387" t="str">
        <f>IF(Table1[[#This Row],[TIPO2]]="costo", VLOOKUP(Table1[[#This Row],[PARTIDA PRESUPUESTAL]],'Cost Report'!G:G,1,0),"Balance")</f>
        <v>3632-003</v>
      </c>
      <c r="AC4387" s="118"/>
      <c r="AD4387" s="159">
        <f>+Table1[[#This Row],[SUBTOTAL]]+Table1[[#This Row],[IVA]]-Table1[[#This Row],[RET IVA]]-Table1[[#This Row],[RET ISR]]-Table1[[#This Row],[TOTAL]]</f>
        <v>0</v>
      </c>
      <c r="AE4387" s="152"/>
      <c r="AF4387" s="153"/>
      <c r="AG4387" s="126"/>
      <c r="AK4387" s="306" t="str">
        <f>IF(ISNUMBER(Table1[[#This Row],[FECHA DE RECIBIDO]]), Table1[[#This Row],[FECHA DE RECIBIDO]]-DATE(2023,8,30), "")</f>
        <v/>
      </c>
    </row>
    <row r="4388" spans="1:37" ht="16.05" customHeight="1">
      <c r="A4388" s="150"/>
      <c r="B4388" s="153">
        <v>1540</v>
      </c>
      <c r="C4388" s="126" t="s">
        <v>2864</v>
      </c>
      <c r="D4388">
        <v>3022</v>
      </c>
      <c r="E4388" s="126" t="s">
        <v>2001</v>
      </c>
      <c r="F4388" s="122" t="s">
        <v>1607</v>
      </c>
      <c r="G4388" s="122" t="s">
        <v>134</v>
      </c>
      <c r="H4388">
        <v>23</v>
      </c>
      <c r="I4388" s="122" t="s">
        <v>1546</v>
      </c>
      <c r="J4388" s="307" t="s">
        <v>214</v>
      </c>
      <c r="K4388" s="127" t="s">
        <v>4625</v>
      </c>
      <c r="L4388" s="151" t="s">
        <v>118</v>
      </c>
      <c r="M4388">
        <v>32</v>
      </c>
      <c r="N4388" s="123">
        <v>1</v>
      </c>
      <c r="O4388">
        <v>2889</v>
      </c>
      <c r="P4388" s="132" t="s">
        <v>77</v>
      </c>
      <c r="Q4388" s="131">
        <v>1995.06</v>
      </c>
      <c r="R4388" s="131">
        <v>319.20999999999998</v>
      </c>
      <c r="S4388" s="131"/>
      <c r="T4388" s="155">
        <v>0</v>
      </c>
      <c r="U4388" s="131">
        <v>0</v>
      </c>
      <c r="V4388" s="131">
        <v>2314.27</v>
      </c>
      <c r="W4388">
        <v>353</v>
      </c>
      <c r="X4388" s="151" t="s">
        <v>2035</v>
      </c>
      <c r="Y4388" s="135" t="s">
        <v>55</v>
      </c>
      <c r="Z4388" s="307">
        <v>259</v>
      </c>
      <c r="AB4388" t="str">
        <f>IF(Table1[[#This Row],[TIPO2]]="costo", VLOOKUP(Table1[[#This Row],[PARTIDA PRESUPUESTAL]],'Cost Report'!G:G,1,0),"Balance")</f>
        <v>3632-003</v>
      </c>
      <c r="AC4388" s="118"/>
      <c r="AD4388" s="159">
        <f>+Table1[[#This Row],[SUBTOTAL]]+Table1[[#This Row],[IVA]]-Table1[[#This Row],[RET IVA]]-Table1[[#This Row],[RET ISR]]-Table1[[#This Row],[TOTAL]]</f>
        <v>0</v>
      </c>
      <c r="AE4388" s="150"/>
      <c r="AF4388" s="151"/>
      <c r="AG4388" s="126"/>
      <c r="AK4388" s="306" t="str">
        <f>IF(ISNUMBER(Table1[[#This Row],[FECHA DE RECIBIDO]]), Table1[[#This Row],[FECHA DE RECIBIDO]]-DATE(2023,8,30), "")</f>
        <v/>
      </c>
    </row>
    <row r="4389" spans="1:37" ht="16.05" customHeight="1">
      <c r="A4389" s="152"/>
      <c r="B4389" s="153">
        <v>1540</v>
      </c>
      <c r="C4389" s="126" t="s">
        <v>2864</v>
      </c>
      <c r="D4389">
        <v>3022</v>
      </c>
      <c r="E4389" s="126" t="s">
        <v>2001</v>
      </c>
      <c r="F4389" s="125" t="s">
        <v>1607</v>
      </c>
      <c r="G4389" s="125" t="s">
        <v>134</v>
      </c>
      <c r="H4389">
        <v>23</v>
      </c>
      <c r="I4389" s="125" t="s">
        <v>1546</v>
      </c>
      <c r="J4389" s="308" t="s">
        <v>214</v>
      </c>
      <c r="K4389" s="127" t="s">
        <v>4625</v>
      </c>
      <c r="L4389" s="153" t="s">
        <v>118</v>
      </c>
      <c r="M4389">
        <v>32</v>
      </c>
      <c r="N4389" s="123">
        <v>1</v>
      </c>
      <c r="O4389">
        <v>2889</v>
      </c>
      <c r="P4389" s="132" t="s">
        <v>77</v>
      </c>
      <c r="Q4389" s="132">
        <v>5431</v>
      </c>
      <c r="R4389" s="132">
        <v>868.96</v>
      </c>
      <c r="S4389" s="132"/>
      <c r="T4389" s="156">
        <v>0</v>
      </c>
      <c r="U4389" s="132">
        <v>0</v>
      </c>
      <c r="V4389" s="132">
        <v>6299.96</v>
      </c>
      <c r="W4389">
        <v>353</v>
      </c>
      <c r="X4389" s="153" t="s">
        <v>2035</v>
      </c>
      <c r="Y4389" s="124" t="s">
        <v>55</v>
      </c>
      <c r="Z4389" s="308">
        <v>259</v>
      </c>
      <c r="AB4389" t="str">
        <f>IF(Table1[[#This Row],[TIPO2]]="costo", VLOOKUP(Table1[[#This Row],[PARTIDA PRESUPUESTAL]],'Cost Report'!G:G,1,0),"Balance")</f>
        <v>3632-003</v>
      </c>
      <c r="AC4389" s="118"/>
      <c r="AD4389" s="159">
        <f>+Table1[[#This Row],[SUBTOTAL]]+Table1[[#This Row],[IVA]]-Table1[[#This Row],[RET IVA]]-Table1[[#This Row],[RET ISR]]-Table1[[#This Row],[TOTAL]]</f>
        <v>0</v>
      </c>
      <c r="AE4389" s="152"/>
      <c r="AF4389" s="153"/>
      <c r="AG4389" s="126"/>
      <c r="AK4389" s="306" t="str">
        <f>IF(ISNUMBER(Table1[[#This Row],[FECHA DE RECIBIDO]]), Table1[[#This Row],[FECHA DE RECIBIDO]]-DATE(2023,8,30), "")</f>
        <v/>
      </c>
    </row>
    <row r="4390" spans="1:37" ht="16.05" customHeight="1">
      <c r="A4390" s="150"/>
      <c r="B4390" s="151">
        <v>1541</v>
      </c>
      <c r="C4390" s="126" t="s">
        <v>2864</v>
      </c>
      <c r="D4390">
        <v>3023</v>
      </c>
      <c r="E4390" s="126" t="s">
        <v>2001</v>
      </c>
      <c r="F4390" s="122" t="s">
        <v>1607</v>
      </c>
      <c r="G4390" s="122" t="s">
        <v>134</v>
      </c>
      <c r="H4390">
        <v>23</v>
      </c>
      <c r="I4390" s="122" t="s">
        <v>1546</v>
      </c>
      <c r="J4390" s="307" t="s">
        <v>214</v>
      </c>
      <c r="K4390" s="127" t="s">
        <v>4625</v>
      </c>
      <c r="L4390" s="151" t="s">
        <v>118</v>
      </c>
      <c r="M4390">
        <v>32</v>
      </c>
      <c r="N4390" s="123">
        <v>1</v>
      </c>
      <c r="O4390">
        <v>2890</v>
      </c>
      <c r="P4390" s="132" t="s">
        <v>77</v>
      </c>
      <c r="Q4390" s="131">
        <v>3990.12</v>
      </c>
      <c r="R4390" s="131">
        <v>638.41999999999996</v>
      </c>
      <c r="S4390" s="131"/>
      <c r="T4390" s="155">
        <v>0</v>
      </c>
      <c r="U4390" s="131">
        <v>0</v>
      </c>
      <c r="V4390" s="131">
        <v>4628.54</v>
      </c>
      <c r="W4390">
        <v>353</v>
      </c>
      <c r="X4390" s="151" t="s">
        <v>2035</v>
      </c>
      <c r="Y4390" s="135" t="s">
        <v>55</v>
      </c>
      <c r="Z4390" s="307">
        <v>259</v>
      </c>
      <c r="AB4390" t="str">
        <f>IF(Table1[[#This Row],[TIPO2]]="costo", VLOOKUP(Table1[[#This Row],[PARTIDA PRESUPUESTAL]],'Cost Report'!G:G,1,0),"Balance")</f>
        <v>3632-003</v>
      </c>
      <c r="AC4390" s="118"/>
      <c r="AD4390" s="159">
        <f>+Table1[[#This Row],[SUBTOTAL]]+Table1[[#This Row],[IVA]]-Table1[[#This Row],[RET IVA]]-Table1[[#This Row],[RET ISR]]-Table1[[#This Row],[TOTAL]]</f>
        <v>0</v>
      </c>
      <c r="AE4390" s="150"/>
      <c r="AF4390" s="151"/>
      <c r="AG4390" s="126"/>
      <c r="AK4390" s="306" t="str">
        <f>IF(ISNUMBER(Table1[[#This Row],[FECHA DE RECIBIDO]]), Table1[[#This Row],[FECHA DE RECIBIDO]]-DATE(2023,8,30), "")</f>
        <v/>
      </c>
    </row>
    <row r="4391" spans="1:37" ht="16.05" customHeight="1">
      <c r="A4391" s="152"/>
      <c r="B4391" s="151">
        <v>1541</v>
      </c>
      <c r="C4391" s="126" t="s">
        <v>2864</v>
      </c>
      <c r="D4391">
        <v>3023</v>
      </c>
      <c r="E4391" s="126" t="s">
        <v>2001</v>
      </c>
      <c r="F4391" s="125" t="s">
        <v>1607</v>
      </c>
      <c r="G4391" s="125" t="s">
        <v>134</v>
      </c>
      <c r="H4391">
        <v>23</v>
      </c>
      <c r="I4391" s="125" t="s">
        <v>1546</v>
      </c>
      <c r="J4391" s="308" t="s">
        <v>214</v>
      </c>
      <c r="K4391" s="127" t="s">
        <v>4625</v>
      </c>
      <c r="L4391" s="153" t="s">
        <v>118</v>
      </c>
      <c r="M4391">
        <v>32</v>
      </c>
      <c r="N4391" s="123">
        <v>1</v>
      </c>
      <c r="O4391">
        <v>2890</v>
      </c>
      <c r="P4391" s="132" t="s">
        <v>77</v>
      </c>
      <c r="Q4391" s="132">
        <v>31.1</v>
      </c>
      <c r="R4391" s="132">
        <v>4.9800000000000004</v>
      </c>
      <c r="S4391" s="132"/>
      <c r="T4391" s="156">
        <v>0</v>
      </c>
      <c r="U4391" s="132">
        <v>0</v>
      </c>
      <c r="V4391" s="132">
        <v>36.08</v>
      </c>
      <c r="W4391">
        <v>353</v>
      </c>
      <c r="X4391" s="153" t="s">
        <v>2035</v>
      </c>
      <c r="Y4391" s="124" t="s">
        <v>55</v>
      </c>
      <c r="Z4391" s="308">
        <v>259</v>
      </c>
      <c r="AB4391" t="str">
        <f>IF(Table1[[#This Row],[TIPO2]]="costo", VLOOKUP(Table1[[#This Row],[PARTIDA PRESUPUESTAL]],'Cost Report'!G:G,1,0),"Balance")</f>
        <v>3632-003</v>
      </c>
      <c r="AC4391" s="118"/>
      <c r="AD4391" s="159">
        <f>+Table1[[#This Row],[SUBTOTAL]]+Table1[[#This Row],[IVA]]-Table1[[#This Row],[RET IVA]]-Table1[[#This Row],[RET ISR]]-Table1[[#This Row],[TOTAL]]</f>
        <v>0</v>
      </c>
      <c r="AE4391" s="152"/>
      <c r="AF4391" s="153"/>
      <c r="AG4391" s="126"/>
      <c r="AK4391" s="306" t="str">
        <f>IF(ISNUMBER(Table1[[#This Row],[FECHA DE RECIBIDO]]), Table1[[#This Row],[FECHA DE RECIBIDO]]-DATE(2023,8,30), "")</f>
        <v/>
      </c>
    </row>
    <row r="4392" spans="1:37" ht="16.05" customHeight="1">
      <c r="A4392" s="150"/>
      <c r="B4392" s="151">
        <v>1541</v>
      </c>
      <c r="C4392" s="126" t="s">
        <v>2864</v>
      </c>
      <c r="D4392">
        <v>3023</v>
      </c>
      <c r="E4392" s="126" t="s">
        <v>2001</v>
      </c>
      <c r="F4392" s="122" t="s">
        <v>1607</v>
      </c>
      <c r="G4392" s="122" t="s">
        <v>134</v>
      </c>
      <c r="H4392">
        <v>23</v>
      </c>
      <c r="I4392" s="122" t="s">
        <v>1546</v>
      </c>
      <c r="J4392" s="307" t="s">
        <v>214</v>
      </c>
      <c r="K4392" s="127" t="s">
        <v>4625</v>
      </c>
      <c r="L4392" s="151" t="s">
        <v>118</v>
      </c>
      <c r="M4392">
        <v>32</v>
      </c>
      <c r="N4392" s="123">
        <v>1</v>
      </c>
      <c r="O4392">
        <v>2890</v>
      </c>
      <c r="P4392" s="132" t="s">
        <v>77</v>
      </c>
      <c r="Q4392" s="131">
        <v>110.84</v>
      </c>
      <c r="R4392" s="131">
        <v>17.73</v>
      </c>
      <c r="S4392" s="131"/>
      <c r="T4392" s="155">
        <v>0</v>
      </c>
      <c r="U4392" s="131">
        <v>0</v>
      </c>
      <c r="V4392" s="131">
        <v>128.57</v>
      </c>
      <c r="W4392">
        <v>353</v>
      </c>
      <c r="X4392" s="151" t="s">
        <v>2035</v>
      </c>
      <c r="Y4392" s="135" t="s">
        <v>55</v>
      </c>
      <c r="Z4392" s="307">
        <v>259</v>
      </c>
      <c r="AB4392" t="str">
        <f>IF(Table1[[#This Row],[TIPO2]]="costo", VLOOKUP(Table1[[#This Row],[PARTIDA PRESUPUESTAL]],'Cost Report'!G:G,1,0),"Balance")</f>
        <v>3632-003</v>
      </c>
      <c r="AC4392" s="118"/>
      <c r="AD4392" s="159">
        <f>+Table1[[#This Row],[SUBTOTAL]]+Table1[[#This Row],[IVA]]-Table1[[#This Row],[RET IVA]]-Table1[[#This Row],[RET ISR]]-Table1[[#This Row],[TOTAL]]</f>
        <v>0</v>
      </c>
      <c r="AE4392" s="150"/>
      <c r="AF4392" s="151"/>
      <c r="AG4392" s="126"/>
      <c r="AK4392" s="306" t="str">
        <f>IF(ISNUMBER(Table1[[#This Row],[FECHA DE RECIBIDO]]), Table1[[#This Row],[FECHA DE RECIBIDO]]-DATE(2023,8,30), "")</f>
        <v/>
      </c>
    </row>
    <row r="4393" spans="1:37" ht="16.05" customHeight="1">
      <c r="A4393" s="152"/>
      <c r="B4393" s="153">
        <v>1542</v>
      </c>
      <c r="C4393" s="126" t="s">
        <v>2836</v>
      </c>
      <c r="D4393">
        <v>3024</v>
      </c>
      <c r="E4393" s="126" t="s">
        <v>2001</v>
      </c>
      <c r="F4393" s="125" t="s">
        <v>1607</v>
      </c>
      <c r="G4393" s="125" t="s">
        <v>134</v>
      </c>
      <c r="H4393">
        <v>23</v>
      </c>
      <c r="I4393" s="125" t="s">
        <v>1546</v>
      </c>
      <c r="J4393" s="308">
        <v>257.47576388889138</v>
      </c>
      <c r="K4393" s="127" t="s">
        <v>4625</v>
      </c>
      <c r="L4393" s="153" t="s">
        <v>118</v>
      </c>
      <c r="M4393">
        <v>32</v>
      </c>
      <c r="N4393" s="123">
        <v>1</v>
      </c>
      <c r="O4393">
        <v>2891</v>
      </c>
      <c r="P4393" s="132" t="s">
        <v>77</v>
      </c>
      <c r="Q4393" s="132">
        <v>4902.6499999999996</v>
      </c>
      <c r="R4393" s="132">
        <v>784.42</v>
      </c>
      <c r="S4393" s="132"/>
      <c r="T4393" s="156">
        <v>0</v>
      </c>
      <c r="U4393" s="132">
        <v>0</v>
      </c>
      <c r="V4393" s="132">
        <v>5687.07</v>
      </c>
      <c r="W4393">
        <v>353</v>
      </c>
      <c r="X4393" s="153" t="s">
        <v>2035</v>
      </c>
      <c r="Y4393" s="124" t="s">
        <v>55</v>
      </c>
      <c r="Z4393" s="308">
        <v>259</v>
      </c>
      <c r="AB4393" t="str">
        <f>IF(Table1[[#This Row],[TIPO2]]="costo", VLOOKUP(Table1[[#This Row],[PARTIDA PRESUPUESTAL]],'Cost Report'!G:G,1,0),"Balance")</f>
        <v>3442-025</v>
      </c>
      <c r="AC4393" s="118"/>
      <c r="AD4393" s="159">
        <f>+Table1[[#This Row],[SUBTOTAL]]+Table1[[#This Row],[IVA]]-Table1[[#This Row],[RET IVA]]-Table1[[#This Row],[RET ISR]]-Table1[[#This Row],[TOTAL]]</f>
        <v>0</v>
      </c>
      <c r="AE4393" s="152"/>
      <c r="AF4393" s="153"/>
      <c r="AG4393" s="126"/>
      <c r="AK4393" s="306">
        <f>IF(ISNUMBER(Table1[[#This Row],[FECHA DE RECIBIDO]]), Table1[[#This Row],[FECHA DE RECIBIDO]]-DATE(2023,8,30), "")</f>
        <v>-44910.524236111109</v>
      </c>
    </row>
    <row r="4394" spans="1:37" ht="16.05" customHeight="1">
      <c r="A4394" s="150"/>
      <c r="B4394" s="153">
        <v>1542</v>
      </c>
      <c r="C4394" s="126" t="s">
        <v>2836</v>
      </c>
      <c r="D4394">
        <v>3024</v>
      </c>
      <c r="E4394" s="126" t="s">
        <v>2001</v>
      </c>
      <c r="F4394" s="122" t="s">
        <v>1607</v>
      </c>
      <c r="G4394" s="122" t="s">
        <v>134</v>
      </c>
      <c r="H4394">
        <v>23</v>
      </c>
      <c r="I4394" s="122" t="s">
        <v>1546</v>
      </c>
      <c r="J4394" s="307">
        <v>257.47576388889138</v>
      </c>
      <c r="K4394" s="127" t="s">
        <v>4625</v>
      </c>
      <c r="L4394" s="151" t="s">
        <v>118</v>
      </c>
      <c r="M4394">
        <v>32</v>
      </c>
      <c r="N4394" s="123">
        <v>1</v>
      </c>
      <c r="O4394">
        <v>2891</v>
      </c>
      <c r="P4394" s="132" t="s">
        <v>77</v>
      </c>
      <c r="Q4394" s="131">
        <v>164.73</v>
      </c>
      <c r="R4394" s="131">
        <v>26.35</v>
      </c>
      <c r="S4394" s="131"/>
      <c r="T4394" s="155">
        <v>0</v>
      </c>
      <c r="U4394" s="131">
        <v>0</v>
      </c>
      <c r="V4394" s="131">
        <v>191.07999999999998</v>
      </c>
      <c r="W4394">
        <v>353</v>
      </c>
      <c r="X4394" s="151" t="s">
        <v>2035</v>
      </c>
      <c r="Y4394" s="135" t="s">
        <v>55</v>
      </c>
      <c r="Z4394" s="307">
        <v>259</v>
      </c>
      <c r="AB4394" t="str">
        <f>IF(Table1[[#This Row],[TIPO2]]="costo", VLOOKUP(Table1[[#This Row],[PARTIDA PRESUPUESTAL]],'Cost Report'!G:G,1,0),"Balance")</f>
        <v>3442-025</v>
      </c>
      <c r="AC4394" s="118"/>
      <c r="AD4394" s="159">
        <f>+Table1[[#This Row],[SUBTOTAL]]+Table1[[#This Row],[IVA]]-Table1[[#This Row],[RET IVA]]-Table1[[#This Row],[RET ISR]]-Table1[[#This Row],[TOTAL]]</f>
        <v>0</v>
      </c>
      <c r="AE4394" s="150"/>
      <c r="AF4394" s="151"/>
      <c r="AG4394" s="126"/>
      <c r="AK4394" s="306">
        <f>IF(ISNUMBER(Table1[[#This Row],[FECHA DE RECIBIDO]]), Table1[[#This Row],[FECHA DE RECIBIDO]]-DATE(2023,8,30), "")</f>
        <v>-44910.524236111109</v>
      </c>
    </row>
    <row r="4395" spans="1:37" ht="16.05" customHeight="1">
      <c r="A4395" s="152"/>
      <c r="B4395" s="153">
        <v>1542</v>
      </c>
      <c r="C4395" s="126" t="s">
        <v>2836</v>
      </c>
      <c r="D4395">
        <v>3024</v>
      </c>
      <c r="E4395" s="126" t="s">
        <v>2001</v>
      </c>
      <c r="F4395" s="125" t="s">
        <v>1607</v>
      </c>
      <c r="G4395" s="125" t="s">
        <v>134</v>
      </c>
      <c r="H4395">
        <v>23</v>
      </c>
      <c r="I4395" s="125" t="s">
        <v>1546</v>
      </c>
      <c r="J4395" s="308">
        <v>257.47576388889138</v>
      </c>
      <c r="K4395" s="127" t="s">
        <v>4625</v>
      </c>
      <c r="L4395" s="153" t="s">
        <v>118</v>
      </c>
      <c r="M4395">
        <v>32</v>
      </c>
      <c r="N4395" s="123">
        <v>1</v>
      </c>
      <c r="O4395">
        <v>2891</v>
      </c>
      <c r="P4395" s="132" t="s">
        <v>77</v>
      </c>
      <c r="Q4395" s="132">
        <v>164.73</v>
      </c>
      <c r="R4395" s="132">
        <v>26.35</v>
      </c>
      <c r="S4395" s="132"/>
      <c r="T4395" s="156">
        <v>0</v>
      </c>
      <c r="U4395" s="132">
        <v>0</v>
      </c>
      <c r="V4395" s="132">
        <v>191.07999999999998</v>
      </c>
      <c r="W4395">
        <v>353</v>
      </c>
      <c r="X4395" s="153" t="s">
        <v>2035</v>
      </c>
      <c r="Y4395" s="124" t="s">
        <v>55</v>
      </c>
      <c r="Z4395" s="308">
        <v>259</v>
      </c>
      <c r="AB4395" t="str">
        <f>IF(Table1[[#This Row],[TIPO2]]="costo", VLOOKUP(Table1[[#This Row],[PARTIDA PRESUPUESTAL]],'Cost Report'!G:G,1,0),"Balance")</f>
        <v>3442-025</v>
      </c>
      <c r="AC4395" s="118"/>
      <c r="AD4395" s="159">
        <f>+Table1[[#This Row],[SUBTOTAL]]+Table1[[#This Row],[IVA]]-Table1[[#This Row],[RET IVA]]-Table1[[#This Row],[RET ISR]]-Table1[[#This Row],[TOTAL]]</f>
        <v>0</v>
      </c>
      <c r="AE4395" s="152"/>
      <c r="AF4395" s="153"/>
      <c r="AG4395" s="126"/>
      <c r="AK4395" s="306">
        <f>IF(ISNUMBER(Table1[[#This Row],[FECHA DE RECIBIDO]]), Table1[[#This Row],[FECHA DE RECIBIDO]]-DATE(2023,8,30), "")</f>
        <v>-44910.524236111109</v>
      </c>
    </row>
    <row r="4396" spans="1:37" ht="16.05" customHeight="1">
      <c r="A4396" s="150"/>
      <c r="B4396" s="153">
        <v>1542</v>
      </c>
      <c r="C4396" s="126" t="s">
        <v>2836</v>
      </c>
      <c r="D4396">
        <v>3024</v>
      </c>
      <c r="E4396" s="126" t="s">
        <v>2001</v>
      </c>
      <c r="F4396" s="122" t="s">
        <v>1607</v>
      </c>
      <c r="G4396" s="122" t="s">
        <v>134</v>
      </c>
      <c r="H4396">
        <v>23</v>
      </c>
      <c r="I4396" s="122" t="s">
        <v>1546</v>
      </c>
      <c r="J4396" s="307">
        <v>257.47576388889138</v>
      </c>
      <c r="K4396" s="127" t="s">
        <v>4625</v>
      </c>
      <c r="L4396" s="151" t="s">
        <v>118</v>
      </c>
      <c r="M4396">
        <v>32</v>
      </c>
      <c r="N4396" s="123">
        <v>1</v>
      </c>
      <c r="O4396">
        <v>2891</v>
      </c>
      <c r="P4396" s="132" t="s">
        <v>77</v>
      </c>
      <c r="Q4396" s="131">
        <v>329.46</v>
      </c>
      <c r="R4396" s="131">
        <v>52.71</v>
      </c>
      <c r="S4396" s="131"/>
      <c r="T4396" s="155">
        <v>0</v>
      </c>
      <c r="U4396" s="131">
        <v>0</v>
      </c>
      <c r="V4396" s="131">
        <v>382.16999999999996</v>
      </c>
      <c r="W4396">
        <v>353</v>
      </c>
      <c r="X4396" s="151" t="s">
        <v>2035</v>
      </c>
      <c r="Y4396" s="135" t="s">
        <v>55</v>
      </c>
      <c r="Z4396" s="307">
        <v>259</v>
      </c>
      <c r="AB4396" t="str">
        <f>IF(Table1[[#This Row],[TIPO2]]="costo", VLOOKUP(Table1[[#This Row],[PARTIDA PRESUPUESTAL]],'Cost Report'!G:G,1,0),"Balance")</f>
        <v>3442-025</v>
      </c>
      <c r="AC4396" s="118"/>
      <c r="AD4396" s="159">
        <f>+Table1[[#This Row],[SUBTOTAL]]+Table1[[#This Row],[IVA]]-Table1[[#This Row],[RET IVA]]-Table1[[#This Row],[RET ISR]]-Table1[[#This Row],[TOTAL]]</f>
        <v>0</v>
      </c>
      <c r="AE4396" s="150"/>
      <c r="AF4396" s="151"/>
      <c r="AG4396" s="126"/>
      <c r="AK4396" s="306">
        <f>IF(ISNUMBER(Table1[[#This Row],[FECHA DE RECIBIDO]]), Table1[[#This Row],[FECHA DE RECIBIDO]]-DATE(2023,8,30), "")</f>
        <v>-44910.524236111109</v>
      </c>
    </row>
    <row r="4397" spans="1:37" ht="16.05" customHeight="1">
      <c r="A4397" s="152"/>
      <c r="B4397" s="153">
        <v>1542</v>
      </c>
      <c r="C4397" s="126" t="s">
        <v>2836</v>
      </c>
      <c r="D4397">
        <v>3024</v>
      </c>
      <c r="E4397" s="126" t="s">
        <v>2001</v>
      </c>
      <c r="F4397" s="125" t="s">
        <v>1607</v>
      </c>
      <c r="G4397" s="125" t="s">
        <v>134</v>
      </c>
      <c r="H4397">
        <v>23</v>
      </c>
      <c r="I4397" s="125" t="s">
        <v>1546</v>
      </c>
      <c r="J4397" s="308">
        <v>257.47576388889138</v>
      </c>
      <c r="K4397" s="127" t="s">
        <v>4625</v>
      </c>
      <c r="L4397" s="153" t="s">
        <v>118</v>
      </c>
      <c r="M4397">
        <v>32</v>
      </c>
      <c r="N4397" s="123">
        <v>1</v>
      </c>
      <c r="O4397">
        <v>2891</v>
      </c>
      <c r="P4397" s="132" t="s">
        <v>77</v>
      </c>
      <c r="Q4397" s="132">
        <v>8048.19</v>
      </c>
      <c r="R4397" s="132">
        <v>1287.71</v>
      </c>
      <c r="S4397" s="132"/>
      <c r="T4397" s="156">
        <v>0</v>
      </c>
      <c r="U4397" s="132">
        <v>0</v>
      </c>
      <c r="V4397" s="132">
        <v>9335.9</v>
      </c>
      <c r="W4397">
        <v>353</v>
      </c>
      <c r="X4397" s="153" t="s">
        <v>2035</v>
      </c>
      <c r="Y4397" s="124" t="s">
        <v>55</v>
      </c>
      <c r="Z4397" s="308">
        <v>259</v>
      </c>
      <c r="AB4397" t="str">
        <f>IF(Table1[[#This Row],[TIPO2]]="costo", VLOOKUP(Table1[[#This Row],[PARTIDA PRESUPUESTAL]],'Cost Report'!G:G,1,0),"Balance")</f>
        <v>3442-025</v>
      </c>
      <c r="AC4397" s="118"/>
      <c r="AD4397" s="159">
        <f>+Table1[[#This Row],[SUBTOTAL]]+Table1[[#This Row],[IVA]]-Table1[[#This Row],[RET IVA]]-Table1[[#This Row],[RET ISR]]-Table1[[#This Row],[TOTAL]]</f>
        <v>0</v>
      </c>
      <c r="AE4397" s="152"/>
      <c r="AF4397" s="153"/>
      <c r="AG4397" s="126"/>
      <c r="AK4397" s="306">
        <f>IF(ISNUMBER(Table1[[#This Row],[FECHA DE RECIBIDO]]), Table1[[#This Row],[FECHA DE RECIBIDO]]-DATE(2023,8,30), "")</f>
        <v>-44910.524236111109</v>
      </c>
    </row>
    <row r="4398" spans="1:37" ht="16.05" customHeight="1">
      <c r="A4398" s="150"/>
      <c r="B4398" s="153">
        <v>1542</v>
      </c>
      <c r="C4398" s="126" t="s">
        <v>2838</v>
      </c>
      <c r="D4398">
        <v>3024</v>
      </c>
      <c r="E4398" s="126" t="s">
        <v>2001</v>
      </c>
      <c r="F4398" s="122" t="s">
        <v>1607</v>
      </c>
      <c r="G4398" s="122" t="s">
        <v>134</v>
      </c>
      <c r="H4398">
        <v>23</v>
      </c>
      <c r="I4398" s="122" t="s">
        <v>1546</v>
      </c>
      <c r="J4398" s="307">
        <v>257.47576388889138</v>
      </c>
      <c r="K4398" s="127" t="s">
        <v>4625</v>
      </c>
      <c r="L4398" s="151" t="s">
        <v>118</v>
      </c>
      <c r="M4398">
        <v>32</v>
      </c>
      <c r="N4398" s="123">
        <v>1</v>
      </c>
      <c r="O4398">
        <v>2891</v>
      </c>
      <c r="P4398" s="132" t="s">
        <v>77</v>
      </c>
      <c r="Q4398" s="131">
        <v>1089.23</v>
      </c>
      <c r="R4398" s="131">
        <v>174.28</v>
      </c>
      <c r="S4398" s="131"/>
      <c r="T4398" s="155">
        <v>0</v>
      </c>
      <c r="U4398" s="131">
        <v>0</v>
      </c>
      <c r="V4398" s="131">
        <v>1263.51</v>
      </c>
      <c r="W4398">
        <v>353</v>
      </c>
      <c r="X4398" s="151" t="s">
        <v>2035</v>
      </c>
      <c r="Y4398" s="135" t="s">
        <v>55</v>
      </c>
      <c r="Z4398" s="307">
        <v>259</v>
      </c>
      <c r="AB4398" t="str">
        <f>IF(Table1[[#This Row],[TIPO2]]="costo", VLOOKUP(Table1[[#This Row],[PARTIDA PRESUPUESTAL]],'Cost Report'!G:G,1,0),"Balance")</f>
        <v>3442-029</v>
      </c>
      <c r="AC4398" s="118"/>
      <c r="AD4398" s="159">
        <f>+Table1[[#This Row],[SUBTOTAL]]+Table1[[#This Row],[IVA]]-Table1[[#This Row],[RET IVA]]-Table1[[#This Row],[RET ISR]]-Table1[[#This Row],[TOTAL]]</f>
        <v>0</v>
      </c>
      <c r="AE4398" s="150"/>
      <c r="AF4398" s="151"/>
      <c r="AG4398" s="126"/>
      <c r="AK4398" s="306">
        <f>IF(ISNUMBER(Table1[[#This Row],[FECHA DE RECIBIDO]]), Table1[[#This Row],[FECHA DE RECIBIDO]]-DATE(2023,8,30), "")</f>
        <v>-44910.524236111109</v>
      </c>
    </row>
    <row r="4399" spans="1:37" ht="16.05" customHeight="1">
      <c r="A4399" s="152"/>
      <c r="B4399" s="153">
        <v>1542</v>
      </c>
      <c r="C4399" s="126" t="s">
        <v>2836</v>
      </c>
      <c r="D4399">
        <v>3024</v>
      </c>
      <c r="E4399" s="126" t="s">
        <v>2001</v>
      </c>
      <c r="F4399" s="125" t="s">
        <v>1607</v>
      </c>
      <c r="G4399" s="125" t="s">
        <v>134</v>
      </c>
      <c r="H4399">
        <v>23</v>
      </c>
      <c r="I4399" s="125" t="s">
        <v>1546</v>
      </c>
      <c r="J4399" s="308">
        <v>257.47576388889138</v>
      </c>
      <c r="K4399" s="127" t="s">
        <v>4625</v>
      </c>
      <c r="L4399" s="153" t="s">
        <v>118</v>
      </c>
      <c r="M4399">
        <v>32</v>
      </c>
      <c r="N4399" s="123">
        <v>1</v>
      </c>
      <c r="O4399">
        <v>2891</v>
      </c>
      <c r="P4399" s="132" t="s">
        <v>77</v>
      </c>
      <c r="Q4399" s="132">
        <v>3176.92</v>
      </c>
      <c r="R4399" s="132">
        <v>508.31</v>
      </c>
      <c r="S4399" s="132"/>
      <c r="T4399" s="156">
        <v>0</v>
      </c>
      <c r="U4399" s="132">
        <v>0</v>
      </c>
      <c r="V4399" s="132">
        <v>3685.23</v>
      </c>
      <c r="W4399">
        <v>353</v>
      </c>
      <c r="X4399" s="153" t="s">
        <v>2035</v>
      </c>
      <c r="Y4399" s="124" t="s">
        <v>55</v>
      </c>
      <c r="Z4399" s="308">
        <v>259</v>
      </c>
      <c r="AB4399" t="str">
        <f>IF(Table1[[#This Row],[TIPO2]]="costo", VLOOKUP(Table1[[#This Row],[PARTIDA PRESUPUESTAL]],'Cost Report'!G:G,1,0),"Balance")</f>
        <v>3442-025</v>
      </c>
      <c r="AC4399" s="118"/>
      <c r="AD4399" s="159">
        <f>+Table1[[#This Row],[SUBTOTAL]]+Table1[[#This Row],[IVA]]-Table1[[#This Row],[RET IVA]]-Table1[[#This Row],[RET ISR]]-Table1[[#This Row],[TOTAL]]</f>
        <v>0</v>
      </c>
      <c r="AE4399" s="152"/>
      <c r="AF4399" s="153"/>
      <c r="AG4399" s="126"/>
      <c r="AK4399" s="306">
        <f>IF(ISNUMBER(Table1[[#This Row],[FECHA DE RECIBIDO]]), Table1[[#This Row],[FECHA DE RECIBIDO]]-DATE(2023,8,30), "")</f>
        <v>-44910.524236111109</v>
      </c>
    </row>
    <row r="4400" spans="1:37" ht="16.05" customHeight="1">
      <c r="A4400" s="150"/>
      <c r="B4400" s="151">
        <v>1543</v>
      </c>
      <c r="C4400" s="126" t="s">
        <v>2838</v>
      </c>
      <c r="D4400">
        <v>3025</v>
      </c>
      <c r="E4400" s="126" t="s">
        <v>2001</v>
      </c>
      <c r="F4400" s="122" t="s">
        <v>1607</v>
      </c>
      <c r="G4400" s="122" t="s">
        <v>134</v>
      </c>
      <c r="H4400">
        <v>23</v>
      </c>
      <c r="I4400" s="122" t="s">
        <v>1546</v>
      </c>
      <c r="J4400" s="307" t="s">
        <v>214</v>
      </c>
      <c r="K4400" s="127" t="s">
        <v>4625</v>
      </c>
      <c r="L4400" s="151" t="s">
        <v>118</v>
      </c>
      <c r="M4400">
        <v>32</v>
      </c>
      <c r="N4400" s="123">
        <v>1</v>
      </c>
      <c r="O4400">
        <v>2892</v>
      </c>
      <c r="P4400" s="132" t="s">
        <v>77</v>
      </c>
      <c r="Q4400" s="131">
        <v>484.1</v>
      </c>
      <c r="R4400" s="131">
        <v>77.459999999999994</v>
      </c>
      <c r="S4400" s="131"/>
      <c r="T4400" s="155">
        <v>0</v>
      </c>
      <c r="U4400" s="131">
        <v>0</v>
      </c>
      <c r="V4400" s="131">
        <v>561.56000000000006</v>
      </c>
      <c r="W4400">
        <v>353</v>
      </c>
      <c r="X4400" s="151" t="s">
        <v>2035</v>
      </c>
      <c r="Y4400" s="135" t="s">
        <v>55</v>
      </c>
      <c r="Z4400" s="307">
        <v>259</v>
      </c>
      <c r="AB4400" t="str">
        <f>IF(Table1[[#This Row],[TIPO2]]="costo", VLOOKUP(Table1[[#This Row],[PARTIDA PRESUPUESTAL]],'Cost Report'!G:G,1,0),"Balance")</f>
        <v>3442-029</v>
      </c>
      <c r="AC4400" s="118"/>
      <c r="AD4400" s="159">
        <f>+Table1[[#This Row],[SUBTOTAL]]+Table1[[#This Row],[IVA]]-Table1[[#This Row],[RET IVA]]-Table1[[#This Row],[RET ISR]]-Table1[[#This Row],[TOTAL]]</f>
        <v>0</v>
      </c>
      <c r="AE4400" s="150"/>
      <c r="AF4400" s="151"/>
      <c r="AG4400" s="126"/>
      <c r="AK4400" s="306" t="str">
        <f>IF(ISNUMBER(Table1[[#This Row],[FECHA DE RECIBIDO]]), Table1[[#This Row],[FECHA DE RECIBIDO]]-DATE(2023,8,30), "")</f>
        <v/>
      </c>
    </row>
    <row r="4401" spans="1:37" ht="16.05" customHeight="1">
      <c r="A4401" s="152" t="s">
        <v>4579</v>
      </c>
      <c r="B4401" s="153">
        <v>1544</v>
      </c>
      <c r="C4401" s="126" t="s">
        <v>1402</v>
      </c>
      <c r="D4401">
        <v>3026</v>
      </c>
      <c r="E4401" s="126" t="s">
        <v>1609</v>
      </c>
      <c r="F4401" s="125" t="s">
        <v>1607</v>
      </c>
      <c r="G4401" s="125" t="s">
        <v>134</v>
      </c>
      <c r="H4401">
        <v>803</v>
      </c>
      <c r="I4401" s="125" t="s">
        <v>1546</v>
      </c>
      <c r="J4401" s="308" t="s">
        <v>214</v>
      </c>
      <c r="K4401" s="127" t="s">
        <v>4625</v>
      </c>
      <c r="L4401" s="153" t="s">
        <v>3306</v>
      </c>
      <c r="M4401">
        <v>1107</v>
      </c>
      <c r="N4401" s="123">
        <v>1</v>
      </c>
      <c r="O4401">
        <v>2893</v>
      </c>
      <c r="P4401" s="132" t="s">
        <v>77</v>
      </c>
      <c r="Q4401" s="132">
        <v>202495.56</v>
      </c>
      <c r="R4401" s="132">
        <v>32399.289599999996</v>
      </c>
      <c r="S4401" s="132"/>
      <c r="T4401" s="156">
        <v>0</v>
      </c>
      <c r="U4401" s="132">
        <v>0</v>
      </c>
      <c r="V4401" s="132">
        <v>265083.2</v>
      </c>
      <c r="W4401">
        <v>404</v>
      </c>
      <c r="X4401" s="153" t="s">
        <v>3258</v>
      </c>
      <c r="Y4401" s="124" t="s">
        <v>55</v>
      </c>
      <c r="Z4401" s="308">
        <v>260</v>
      </c>
      <c r="AB4401" t="str">
        <f>IF(Table1[[#This Row],[TIPO2]]="costo", VLOOKUP(Table1[[#This Row],[PARTIDA PRESUPUESTAL]],'Cost Report'!G:G,1,0),"Balance")</f>
        <v>7050-003</v>
      </c>
      <c r="AC4401" s="118"/>
      <c r="AD4401" s="159">
        <f>+Table1[[#This Row],[SUBTOTAL]]+Table1[[#This Row],[IVA]]-Table1[[#This Row],[RET IVA]]-Table1[[#This Row],[RET ISR]]-Table1[[#This Row],[TOTAL]]</f>
        <v>-30188.350400000025</v>
      </c>
      <c r="AE4401" s="152"/>
      <c r="AF4401" s="153"/>
      <c r="AG4401" s="126"/>
      <c r="AK4401" s="306" t="str">
        <f>IF(ISNUMBER(Table1[[#This Row],[FECHA DE RECIBIDO]]), Table1[[#This Row],[FECHA DE RECIBIDO]]-DATE(2023,8,30), "")</f>
        <v/>
      </c>
    </row>
    <row r="4402" spans="1:37" ht="16.05" customHeight="1">
      <c r="A4402" s="152" t="s">
        <v>4579</v>
      </c>
      <c r="B4402" s="153">
        <v>1544</v>
      </c>
      <c r="C4402" s="126" t="s">
        <v>977</v>
      </c>
      <c r="D4402">
        <v>3026</v>
      </c>
      <c r="E4402" s="126" t="s">
        <v>1609</v>
      </c>
      <c r="F4402" s="125" t="s">
        <v>1607</v>
      </c>
      <c r="G4402" s="125" t="s">
        <v>134</v>
      </c>
      <c r="H4402">
        <v>803</v>
      </c>
      <c r="I4402" s="125" t="s">
        <v>1546</v>
      </c>
      <c r="J4402" s="308" t="s">
        <v>214</v>
      </c>
      <c r="K4402" s="127" t="s">
        <v>4625</v>
      </c>
      <c r="L4402" s="153" t="s">
        <v>3306</v>
      </c>
      <c r="M4402">
        <v>1107</v>
      </c>
      <c r="N4402" s="123">
        <v>1</v>
      </c>
      <c r="O4402">
        <v>2893</v>
      </c>
      <c r="P4402" s="132" t="s">
        <v>77</v>
      </c>
      <c r="Q4402" s="132">
        <v>26024.44</v>
      </c>
      <c r="R4402" s="132">
        <v>4163.9103999999998</v>
      </c>
      <c r="S4402" s="132"/>
      <c r="T4402" s="156">
        <v>0</v>
      </c>
      <c r="U4402" s="132">
        <v>0</v>
      </c>
      <c r="V4402" s="132">
        <v>265083.2</v>
      </c>
      <c r="W4402">
        <v>404</v>
      </c>
      <c r="X4402" s="153" t="s">
        <v>3258</v>
      </c>
      <c r="Y4402" s="124" t="s">
        <v>55</v>
      </c>
      <c r="Z4402" s="308">
        <v>260</v>
      </c>
      <c r="AB4402" t="str">
        <f>IF(Table1[[#This Row],[TIPO2]]="costo", VLOOKUP(Table1[[#This Row],[PARTIDA PRESUPUESTAL]],'Cost Report'!G:G,1,0),"Balance")</f>
        <v>3410-012</v>
      </c>
      <c r="AC4402" s="118"/>
      <c r="AD4402" s="159">
        <f>+Table1[[#This Row],[SUBTOTAL]]+Table1[[#This Row],[IVA]]-Table1[[#This Row],[RET IVA]]-Table1[[#This Row],[RET ISR]]-Table1[[#This Row],[TOTAL]]</f>
        <v>-234894.84960000002</v>
      </c>
      <c r="AE4402" s="152"/>
      <c r="AF4402" s="153"/>
      <c r="AG4402" s="126"/>
      <c r="AK4402" s="306" t="str">
        <f>IF(ISNUMBER(Table1[[#This Row],[FECHA DE RECIBIDO]]), Table1[[#This Row],[FECHA DE RECIBIDO]]-DATE(2023,8,30), "")</f>
        <v/>
      </c>
    </row>
    <row r="4403" spans="1:37" ht="16.05" customHeight="1">
      <c r="A4403" s="150" t="s">
        <v>4580</v>
      </c>
      <c r="B4403" s="151">
        <v>1545</v>
      </c>
      <c r="C4403" s="126" t="s">
        <v>2566</v>
      </c>
      <c r="D4403">
        <v>3027</v>
      </c>
      <c r="E4403" s="126" t="s">
        <v>4581</v>
      </c>
      <c r="F4403" s="122" t="s">
        <v>1593</v>
      </c>
      <c r="G4403" s="122" t="s">
        <v>109</v>
      </c>
      <c r="H4403">
        <v>804</v>
      </c>
      <c r="I4403" s="122" t="s">
        <v>1546</v>
      </c>
      <c r="J4403" s="307" t="s">
        <v>214</v>
      </c>
      <c r="K4403" s="127" t="s">
        <v>4625</v>
      </c>
      <c r="L4403" s="151" t="s">
        <v>3306</v>
      </c>
      <c r="M4403">
        <v>1108</v>
      </c>
      <c r="N4403" s="123">
        <v>51</v>
      </c>
      <c r="O4403">
        <v>2894</v>
      </c>
      <c r="P4403" s="132" t="s">
        <v>77</v>
      </c>
      <c r="Q4403" s="131">
        <v>9000</v>
      </c>
      <c r="R4403" s="131">
        <v>1440</v>
      </c>
      <c r="S4403" s="131"/>
      <c r="T4403" s="155">
        <v>0</v>
      </c>
      <c r="U4403" s="131">
        <v>112.5</v>
      </c>
      <c r="V4403" s="131">
        <v>10327.5</v>
      </c>
      <c r="W4403">
        <v>405</v>
      </c>
      <c r="X4403" s="151" t="s">
        <v>195</v>
      </c>
      <c r="Y4403" s="135" t="s">
        <v>55</v>
      </c>
      <c r="Z4403" s="307">
        <v>261</v>
      </c>
      <c r="AB4403" t="str">
        <f>IF(Table1[[#This Row],[TIPO2]]="costo", VLOOKUP(Table1[[#This Row],[PARTIDA PRESUPUESTAL]],'Cost Report'!G:G,1,0),"Balance")</f>
        <v>2594-003</v>
      </c>
      <c r="AC4403" s="118"/>
      <c r="AD4403" s="159">
        <f>+Table1[[#This Row],[SUBTOTAL]]+Table1[[#This Row],[IVA]]-Table1[[#This Row],[RET IVA]]-Table1[[#This Row],[RET ISR]]-Table1[[#This Row],[TOTAL]]</f>
        <v>0</v>
      </c>
      <c r="AE4403" s="150"/>
      <c r="AF4403" s="151"/>
      <c r="AG4403" s="126"/>
      <c r="AK4403" s="306" t="str">
        <f>IF(ISNUMBER(Table1[[#This Row],[FECHA DE RECIBIDO]]), Table1[[#This Row],[FECHA DE RECIBIDO]]-DATE(2023,8,30), "")</f>
        <v/>
      </c>
    </row>
    <row r="4404" spans="1:37" ht="16.05" customHeight="1">
      <c r="A4404" s="152"/>
      <c r="B4404" s="153">
        <v>1546</v>
      </c>
      <c r="C4404" s="126" t="s">
        <v>2566</v>
      </c>
      <c r="D4404">
        <v>3028</v>
      </c>
      <c r="E4404" s="126" t="s">
        <v>4581</v>
      </c>
      <c r="F4404" s="125" t="s">
        <v>1593</v>
      </c>
      <c r="G4404" s="125" t="s">
        <v>109</v>
      </c>
      <c r="H4404">
        <v>804</v>
      </c>
      <c r="I4404" s="125" t="s">
        <v>1546</v>
      </c>
      <c r="J4404" s="308" t="s">
        <v>214</v>
      </c>
      <c r="K4404" s="127" t="s">
        <v>4625</v>
      </c>
      <c r="L4404" s="153" t="s">
        <v>3306</v>
      </c>
      <c r="M4404">
        <v>1108</v>
      </c>
      <c r="N4404" s="123">
        <v>51</v>
      </c>
      <c r="O4404">
        <v>2895</v>
      </c>
      <c r="P4404" s="132" t="s">
        <v>77</v>
      </c>
      <c r="Q4404" s="132">
        <v>1500</v>
      </c>
      <c r="R4404" s="132">
        <v>240</v>
      </c>
      <c r="S4404" s="132"/>
      <c r="T4404" s="156">
        <v>160</v>
      </c>
      <c r="U4404" s="132">
        <v>18.75</v>
      </c>
      <c r="V4404" s="132">
        <v>1561.25</v>
      </c>
      <c r="W4404">
        <v>405</v>
      </c>
      <c r="X4404" s="153" t="s">
        <v>195</v>
      </c>
      <c r="Y4404" s="124" t="s">
        <v>55</v>
      </c>
      <c r="Z4404" s="308">
        <v>261</v>
      </c>
      <c r="AB4404" t="str">
        <f>IF(Table1[[#This Row],[TIPO2]]="costo", VLOOKUP(Table1[[#This Row],[PARTIDA PRESUPUESTAL]],'Cost Report'!G:G,1,0),"Balance")</f>
        <v>2594-003</v>
      </c>
      <c r="AC4404" s="118"/>
      <c r="AD4404" s="159">
        <f>+Table1[[#This Row],[SUBTOTAL]]+Table1[[#This Row],[IVA]]-Table1[[#This Row],[RET IVA]]-Table1[[#This Row],[RET ISR]]-Table1[[#This Row],[TOTAL]]</f>
        <v>0</v>
      </c>
      <c r="AE4404" s="152"/>
      <c r="AF4404" s="153"/>
      <c r="AG4404" s="126"/>
      <c r="AK4404" s="306" t="str">
        <f>IF(ISNUMBER(Table1[[#This Row],[FECHA DE RECIBIDO]]), Table1[[#This Row],[FECHA DE RECIBIDO]]-DATE(2023,8,30), "")</f>
        <v/>
      </c>
    </row>
    <row r="4405" spans="1:37" ht="16.05" customHeight="1">
      <c r="A4405" s="150" t="s">
        <v>4582</v>
      </c>
      <c r="B4405" s="151">
        <v>1547</v>
      </c>
      <c r="C4405" s="126" t="s">
        <v>2546</v>
      </c>
      <c r="D4405">
        <v>3029</v>
      </c>
      <c r="E4405" s="126" t="s">
        <v>1609</v>
      </c>
      <c r="F4405" s="122" t="s">
        <v>1589</v>
      </c>
      <c r="G4405" s="122" t="s">
        <v>129</v>
      </c>
      <c r="H4405">
        <v>384</v>
      </c>
      <c r="I4405" s="122" t="s">
        <v>1546</v>
      </c>
      <c r="J4405" s="307" t="s">
        <v>214</v>
      </c>
      <c r="K4405" s="127" t="s">
        <v>4625</v>
      </c>
      <c r="L4405" s="151" t="s">
        <v>3306</v>
      </c>
      <c r="M4405">
        <v>506</v>
      </c>
      <c r="N4405" s="123">
        <v>51</v>
      </c>
      <c r="O4405">
        <v>2896</v>
      </c>
      <c r="P4405" s="132" t="s">
        <v>77</v>
      </c>
      <c r="Q4405" s="131">
        <v>2391.61</v>
      </c>
      <c r="R4405" s="131">
        <v>382.66</v>
      </c>
      <c r="S4405" s="131"/>
      <c r="T4405" s="155">
        <v>255.11</v>
      </c>
      <c r="U4405" s="131">
        <v>239.16</v>
      </c>
      <c r="V4405" s="131">
        <v>2280</v>
      </c>
      <c r="W4405">
        <v>254</v>
      </c>
      <c r="X4405" s="151" t="s">
        <v>2037</v>
      </c>
      <c r="Y4405" s="135" t="s">
        <v>55</v>
      </c>
      <c r="Z4405" s="307">
        <v>261</v>
      </c>
      <c r="AB4405" t="str">
        <f>IF(Table1[[#This Row],[TIPO2]]="costo", VLOOKUP(Table1[[#This Row],[PARTIDA PRESUPUESTAL]],'Cost Report'!G:G,1,0),"Balance")</f>
        <v>2494-071</v>
      </c>
      <c r="AC4405" s="118"/>
      <c r="AD4405" s="159">
        <f>+Table1[[#This Row],[SUBTOTAL]]+Table1[[#This Row],[IVA]]-Table1[[#This Row],[RET IVA]]-Table1[[#This Row],[RET ISR]]-Table1[[#This Row],[TOTAL]]</f>
        <v>0</v>
      </c>
      <c r="AE4405" s="150"/>
      <c r="AF4405" s="151"/>
      <c r="AG4405" s="126"/>
      <c r="AK4405" s="306" t="str">
        <f>IF(ISNUMBER(Table1[[#This Row],[FECHA DE RECIBIDO]]), Table1[[#This Row],[FECHA DE RECIBIDO]]-DATE(2023,8,30), "")</f>
        <v/>
      </c>
    </row>
    <row r="4406" spans="1:37" ht="16.05" customHeight="1">
      <c r="A4406" s="152" t="s">
        <v>4583</v>
      </c>
      <c r="B4406" s="153">
        <v>1548</v>
      </c>
      <c r="C4406" s="126" t="s">
        <v>2566</v>
      </c>
      <c r="D4406">
        <v>3030</v>
      </c>
      <c r="E4406" s="126" t="s">
        <v>1997</v>
      </c>
      <c r="F4406" s="125" t="s">
        <v>1593</v>
      </c>
      <c r="G4406" s="125" t="s">
        <v>109</v>
      </c>
      <c r="H4406">
        <v>805</v>
      </c>
      <c r="I4406" s="125" t="s">
        <v>1546</v>
      </c>
      <c r="J4406" s="308" t="s">
        <v>214</v>
      </c>
      <c r="K4406" s="127" t="s">
        <v>4625</v>
      </c>
      <c r="L4406" s="153" t="s">
        <v>3306</v>
      </c>
      <c r="M4406">
        <v>1109</v>
      </c>
      <c r="N4406" s="123">
        <v>51</v>
      </c>
      <c r="O4406">
        <v>2897</v>
      </c>
      <c r="P4406" s="132" t="s">
        <v>77</v>
      </c>
      <c r="Q4406" s="132">
        <v>3000</v>
      </c>
      <c r="R4406" s="132">
        <v>480</v>
      </c>
      <c r="S4406" s="132"/>
      <c r="T4406" s="156">
        <v>0</v>
      </c>
      <c r="U4406" s="132">
        <v>0</v>
      </c>
      <c r="V4406" s="132">
        <v>3480</v>
      </c>
      <c r="W4406">
        <v>406</v>
      </c>
      <c r="X4406" s="153" t="s">
        <v>2037</v>
      </c>
      <c r="Y4406" s="124" t="s">
        <v>55</v>
      </c>
      <c r="Z4406" s="308">
        <v>261</v>
      </c>
      <c r="AB4406" t="str">
        <f>IF(Table1[[#This Row],[TIPO2]]="costo", VLOOKUP(Table1[[#This Row],[PARTIDA PRESUPUESTAL]],'Cost Report'!G:G,1,0),"Balance")</f>
        <v>2594-003</v>
      </c>
      <c r="AC4406" s="118"/>
      <c r="AD4406" s="159">
        <f>+Table1[[#This Row],[SUBTOTAL]]+Table1[[#This Row],[IVA]]-Table1[[#This Row],[RET IVA]]-Table1[[#This Row],[RET ISR]]-Table1[[#This Row],[TOTAL]]</f>
        <v>0</v>
      </c>
      <c r="AE4406" s="152"/>
      <c r="AF4406" s="153"/>
      <c r="AG4406" s="126"/>
      <c r="AK4406" s="306" t="str">
        <f>IF(ISNUMBER(Table1[[#This Row],[FECHA DE RECIBIDO]]), Table1[[#This Row],[FECHA DE RECIBIDO]]-DATE(2023,8,30), "")</f>
        <v/>
      </c>
    </row>
    <row r="4407" spans="1:37" ht="16.05" customHeight="1">
      <c r="A4407" s="150"/>
      <c r="B4407" s="151">
        <v>1549</v>
      </c>
      <c r="C4407" s="126" t="s">
        <v>1732</v>
      </c>
      <c r="D4407">
        <v>3031</v>
      </c>
      <c r="E4407" s="126" t="s">
        <v>1997</v>
      </c>
      <c r="F4407" s="122" t="s">
        <v>1593</v>
      </c>
      <c r="G4407" s="122" t="s">
        <v>109</v>
      </c>
      <c r="H4407">
        <v>805</v>
      </c>
      <c r="I4407" s="122" t="s">
        <v>1546</v>
      </c>
      <c r="J4407" s="307" t="s">
        <v>214</v>
      </c>
      <c r="K4407" s="127" t="s">
        <v>4625</v>
      </c>
      <c r="L4407" s="151" t="s">
        <v>3306</v>
      </c>
      <c r="M4407">
        <v>1109</v>
      </c>
      <c r="N4407" s="123">
        <v>51</v>
      </c>
      <c r="O4407">
        <v>2898</v>
      </c>
      <c r="P4407" s="132" t="s">
        <v>77</v>
      </c>
      <c r="Q4407" s="131">
        <v>3995</v>
      </c>
      <c r="R4407" s="131">
        <v>639.20000000000005</v>
      </c>
      <c r="S4407" s="131"/>
      <c r="T4407" s="155">
        <v>0</v>
      </c>
      <c r="U4407" s="131">
        <v>0</v>
      </c>
      <c r="V4407" s="131">
        <v>4634.2</v>
      </c>
      <c r="W4407">
        <v>406</v>
      </c>
      <c r="X4407" s="151" t="s">
        <v>2037</v>
      </c>
      <c r="Y4407" s="135" t="s">
        <v>55</v>
      </c>
      <c r="Z4407" s="307">
        <v>261</v>
      </c>
      <c r="AB4407" t="str">
        <f>IF(Table1[[#This Row],[TIPO2]]="costo", VLOOKUP(Table1[[#This Row],[PARTIDA PRESUPUESTAL]],'Cost Report'!G:G,1,0),"Balance")</f>
        <v>2494-035</v>
      </c>
      <c r="AC4407" s="118"/>
      <c r="AD4407" s="159">
        <f>+Table1[[#This Row],[SUBTOTAL]]+Table1[[#This Row],[IVA]]-Table1[[#This Row],[RET IVA]]-Table1[[#This Row],[RET ISR]]-Table1[[#This Row],[TOTAL]]</f>
        <v>0</v>
      </c>
      <c r="AE4407" s="150"/>
      <c r="AF4407" s="151"/>
      <c r="AG4407" s="126"/>
      <c r="AK4407" s="306" t="str">
        <f>IF(ISNUMBER(Table1[[#This Row],[FECHA DE RECIBIDO]]), Table1[[#This Row],[FECHA DE RECIBIDO]]-DATE(2023,8,30), "")</f>
        <v/>
      </c>
    </row>
    <row r="4408" spans="1:37" ht="16.05" customHeight="1">
      <c r="A4408" s="152" t="s">
        <v>4584</v>
      </c>
      <c r="B4408" s="153">
        <v>1550</v>
      </c>
      <c r="C4408" s="126" t="s">
        <v>2566</v>
      </c>
      <c r="D4408">
        <v>3032</v>
      </c>
      <c r="E4408" s="126" t="s">
        <v>2016</v>
      </c>
      <c r="F4408" s="125" t="s">
        <v>1589</v>
      </c>
      <c r="G4408" s="125" t="s">
        <v>129</v>
      </c>
      <c r="H4408">
        <v>113</v>
      </c>
      <c r="I4408" s="125" t="s">
        <v>1546</v>
      </c>
      <c r="J4408" s="308" t="s">
        <v>214</v>
      </c>
      <c r="K4408" s="127" t="s">
        <v>4625</v>
      </c>
      <c r="L4408" s="153" t="s">
        <v>3306</v>
      </c>
      <c r="M4408">
        <v>151</v>
      </c>
      <c r="N4408" s="123">
        <v>51</v>
      </c>
      <c r="O4408">
        <v>2899</v>
      </c>
      <c r="P4408" s="132" t="s">
        <v>77</v>
      </c>
      <c r="Q4408" s="132">
        <v>7600</v>
      </c>
      <c r="R4408" s="132">
        <v>1216</v>
      </c>
      <c r="S4408" s="132"/>
      <c r="T4408" s="156">
        <v>810.67</v>
      </c>
      <c r="U4408" s="132">
        <v>760</v>
      </c>
      <c r="V4408" s="132">
        <v>7245.33</v>
      </c>
      <c r="W4408">
        <v>407</v>
      </c>
      <c r="X4408" s="153" t="s">
        <v>105</v>
      </c>
      <c r="Y4408" s="124" t="s">
        <v>55</v>
      </c>
      <c r="Z4408" s="308">
        <v>261</v>
      </c>
      <c r="AB4408" t="str">
        <f>IF(Table1[[#This Row],[TIPO2]]="costo", VLOOKUP(Table1[[#This Row],[PARTIDA PRESUPUESTAL]],'Cost Report'!G:G,1,0),"Balance")</f>
        <v>2594-003</v>
      </c>
      <c r="AC4408" s="118"/>
      <c r="AD4408" s="159">
        <f>+Table1[[#This Row],[SUBTOTAL]]+Table1[[#This Row],[IVA]]-Table1[[#This Row],[RET IVA]]-Table1[[#This Row],[RET ISR]]-Table1[[#This Row],[TOTAL]]</f>
        <v>0</v>
      </c>
      <c r="AE4408" s="152"/>
      <c r="AF4408" s="153"/>
      <c r="AG4408" s="126"/>
      <c r="AK4408" s="306" t="str">
        <f>IF(ISNUMBER(Table1[[#This Row],[FECHA DE RECIBIDO]]), Table1[[#This Row],[FECHA DE RECIBIDO]]-DATE(2023,8,30), "")</f>
        <v/>
      </c>
    </row>
    <row r="4409" spans="1:37" ht="16.05" customHeight="1">
      <c r="A4409" s="150" t="s">
        <v>4585</v>
      </c>
      <c r="B4409" s="151">
        <v>1551</v>
      </c>
      <c r="C4409" s="126" t="s">
        <v>2546</v>
      </c>
      <c r="D4409">
        <v>3033</v>
      </c>
      <c r="E4409" s="126" t="s">
        <v>3354</v>
      </c>
      <c r="F4409" s="122" t="s">
        <v>1589</v>
      </c>
      <c r="G4409" s="122" t="s">
        <v>129</v>
      </c>
      <c r="H4409">
        <v>348</v>
      </c>
      <c r="I4409" s="122" t="s">
        <v>1546</v>
      </c>
      <c r="J4409" s="307" t="s">
        <v>214</v>
      </c>
      <c r="K4409" s="127" t="s">
        <v>4625</v>
      </c>
      <c r="L4409" s="151" t="s">
        <v>3306</v>
      </c>
      <c r="M4409">
        <v>770</v>
      </c>
      <c r="N4409" s="123">
        <v>51</v>
      </c>
      <c r="O4409">
        <v>2900</v>
      </c>
      <c r="P4409" s="132" t="s">
        <v>77</v>
      </c>
      <c r="Q4409" s="131">
        <v>3700</v>
      </c>
      <c r="R4409" s="131">
        <v>592</v>
      </c>
      <c r="S4409" s="131"/>
      <c r="T4409" s="155">
        <v>394.67</v>
      </c>
      <c r="U4409" s="131">
        <v>0</v>
      </c>
      <c r="V4409" s="131">
        <v>3897.33</v>
      </c>
      <c r="W4409">
        <v>185</v>
      </c>
      <c r="X4409" s="151" t="s">
        <v>3120</v>
      </c>
      <c r="Y4409" s="135" t="s">
        <v>55</v>
      </c>
      <c r="Z4409" s="307">
        <v>261</v>
      </c>
      <c r="AB4409" t="str">
        <f>IF(Table1[[#This Row],[TIPO2]]="costo", VLOOKUP(Table1[[#This Row],[PARTIDA PRESUPUESTAL]],'Cost Report'!G:G,1,0),"Balance")</f>
        <v>2494-071</v>
      </c>
      <c r="AC4409" s="118"/>
      <c r="AD4409" s="159">
        <f>+Table1[[#This Row],[SUBTOTAL]]+Table1[[#This Row],[IVA]]-Table1[[#This Row],[RET IVA]]-Table1[[#This Row],[RET ISR]]-Table1[[#This Row],[TOTAL]]</f>
        <v>0</v>
      </c>
      <c r="AE4409" s="150"/>
      <c r="AF4409" s="151"/>
      <c r="AG4409" s="126"/>
      <c r="AK4409" s="306" t="str">
        <f>IF(ISNUMBER(Table1[[#This Row],[FECHA DE RECIBIDO]]), Table1[[#This Row],[FECHA DE RECIBIDO]]-DATE(2023,8,30), "")</f>
        <v/>
      </c>
    </row>
    <row r="4410" spans="1:37" ht="16.05" customHeight="1">
      <c r="A4410" s="152" t="s">
        <v>4586</v>
      </c>
      <c r="B4410" s="153">
        <v>1552</v>
      </c>
      <c r="C4410" s="126" t="s">
        <v>1507</v>
      </c>
      <c r="D4410">
        <v>3034</v>
      </c>
      <c r="E4410" s="126" t="s">
        <v>1614</v>
      </c>
      <c r="F4410" s="125" t="s">
        <v>1607</v>
      </c>
      <c r="G4410" s="125" t="s">
        <v>134</v>
      </c>
      <c r="H4410">
        <v>477</v>
      </c>
      <c r="I4410" s="125" t="s">
        <v>1546</v>
      </c>
      <c r="J4410" s="308" t="s">
        <v>214</v>
      </c>
      <c r="K4410" s="127" t="s">
        <v>4625</v>
      </c>
      <c r="L4410" s="153" t="s">
        <v>3306</v>
      </c>
      <c r="M4410">
        <v>698</v>
      </c>
      <c r="N4410" s="123">
        <v>51</v>
      </c>
      <c r="O4410">
        <v>2901</v>
      </c>
      <c r="P4410" s="132" t="s">
        <v>77</v>
      </c>
      <c r="Q4410" s="132">
        <v>7900</v>
      </c>
      <c r="R4410" s="132">
        <v>1264</v>
      </c>
      <c r="S4410" s="132"/>
      <c r="T4410" s="156">
        <v>0</v>
      </c>
      <c r="U4410" s="132">
        <v>0</v>
      </c>
      <c r="V4410" s="132">
        <v>9164</v>
      </c>
      <c r="W4410">
        <v>247</v>
      </c>
      <c r="X4410" s="153" t="s">
        <v>195</v>
      </c>
      <c r="Y4410" s="124" t="s">
        <v>55</v>
      </c>
      <c r="Z4410" s="308">
        <v>261</v>
      </c>
      <c r="AB4410" t="str">
        <f>IF(Table1[[#This Row],[TIPO2]]="costo", VLOOKUP(Table1[[#This Row],[PARTIDA PRESUPUESTAL]],'Cost Report'!G:G,1,0),"Balance")</f>
        <v>2494-007</v>
      </c>
      <c r="AC4410" s="118"/>
      <c r="AD4410" s="159">
        <f>+Table1[[#This Row],[SUBTOTAL]]+Table1[[#This Row],[IVA]]-Table1[[#This Row],[RET IVA]]-Table1[[#This Row],[RET ISR]]-Table1[[#This Row],[TOTAL]]</f>
        <v>0</v>
      </c>
      <c r="AE4410" s="152"/>
      <c r="AF4410" s="153"/>
      <c r="AG4410" s="126"/>
      <c r="AK4410" s="306" t="str">
        <f>IF(ISNUMBER(Table1[[#This Row],[FECHA DE RECIBIDO]]), Table1[[#This Row],[FECHA DE RECIBIDO]]-DATE(2023,8,30), "")</f>
        <v/>
      </c>
    </row>
    <row r="4411" spans="1:37" ht="16.05" customHeight="1">
      <c r="A4411" s="150"/>
      <c r="B4411" s="151">
        <v>1553</v>
      </c>
      <c r="C4411" s="126" t="s">
        <v>2556</v>
      </c>
      <c r="D4411">
        <v>3035</v>
      </c>
      <c r="E4411" s="126" t="s">
        <v>1614</v>
      </c>
      <c r="F4411" s="122" t="s">
        <v>1607</v>
      </c>
      <c r="G4411" s="122" t="s">
        <v>134</v>
      </c>
      <c r="H4411">
        <v>477</v>
      </c>
      <c r="I4411" s="122" t="s">
        <v>1546</v>
      </c>
      <c r="J4411" s="307" t="s">
        <v>214</v>
      </c>
      <c r="K4411" s="127" t="s">
        <v>4625</v>
      </c>
      <c r="L4411" s="151" t="s">
        <v>3306</v>
      </c>
      <c r="M4411">
        <v>698</v>
      </c>
      <c r="N4411" s="123">
        <v>51</v>
      </c>
      <c r="O4411">
        <v>2902</v>
      </c>
      <c r="P4411" s="132" t="s">
        <v>77</v>
      </c>
      <c r="Q4411" s="131">
        <v>650</v>
      </c>
      <c r="R4411" s="131">
        <v>104</v>
      </c>
      <c r="S4411" s="131"/>
      <c r="T4411" s="155">
        <v>0</v>
      </c>
      <c r="U4411" s="131">
        <v>0</v>
      </c>
      <c r="V4411" s="131">
        <v>754</v>
      </c>
      <c r="W4411">
        <v>247</v>
      </c>
      <c r="X4411" s="151" t="s">
        <v>195</v>
      </c>
      <c r="Y4411" s="135" t="s">
        <v>55</v>
      </c>
      <c r="Z4411" s="307">
        <v>261</v>
      </c>
      <c r="AB4411" t="str">
        <f>IF(Table1[[#This Row],[TIPO2]]="costo", VLOOKUP(Table1[[#This Row],[PARTIDA PRESUPUESTAL]],'Cost Report'!G:G,1,0),"Balance")</f>
        <v>2498-003</v>
      </c>
      <c r="AC4411" s="118"/>
      <c r="AD4411" s="159">
        <f>+Table1[[#This Row],[SUBTOTAL]]+Table1[[#This Row],[IVA]]-Table1[[#This Row],[RET IVA]]-Table1[[#This Row],[RET ISR]]-Table1[[#This Row],[TOTAL]]</f>
        <v>0</v>
      </c>
      <c r="AE4411" s="150"/>
      <c r="AF4411" s="151"/>
      <c r="AG4411" s="126"/>
      <c r="AK4411" s="306" t="str">
        <f>IF(ISNUMBER(Table1[[#This Row],[FECHA DE RECIBIDO]]), Table1[[#This Row],[FECHA DE RECIBIDO]]-DATE(2023,8,30), "")</f>
        <v/>
      </c>
    </row>
    <row r="4412" spans="1:37" ht="16.05" customHeight="1">
      <c r="A4412" s="152" t="s">
        <v>4587</v>
      </c>
      <c r="B4412" s="153">
        <v>1554</v>
      </c>
      <c r="C4412" s="126" t="s">
        <v>285</v>
      </c>
      <c r="D4412">
        <v>3036</v>
      </c>
      <c r="E4412" s="126" t="s">
        <v>1647</v>
      </c>
      <c r="F4412" s="125" t="s">
        <v>1607</v>
      </c>
      <c r="G4412" s="125" t="s">
        <v>134</v>
      </c>
      <c r="H4412">
        <v>582</v>
      </c>
      <c r="I4412" s="125" t="s">
        <v>1546</v>
      </c>
      <c r="J4412" s="308" t="s">
        <v>214</v>
      </c>
      <c r="K4412" s="127" t="s">
        <v>4625</v>
      </c>
      <c r="L4412" s="153" t="s">
        <v>3306</v>
      </c>
      <c r="M4412">
        <v>825</v>
      </c>
      <c r="N4412" s="123">
        <v>1</v>
      </c>
      <c r="O4412">
        <v>2903</v>
      </c>
      <c r="P4412" s="132" t="s">
        <v>77</v>
      </c>
      <c r="Q4412" s="132">
        <v>80000</v>
      </c>
      <c r="R4412" s="132">
        <v>12800</v>
      </c>
      <c r="S4412" s="132"/>
      <c r="T4412" s="156">
        <v>0</v>
      </c>
      <c r="U4412" s="132">
        <v>0</v>
      </c>
      <c r="V4412" s="132">
        <v>92800</v>
      </c>
      <c r="W4412">
        <v>329</v>
      </c>
      <c r="X4412" s="153" t="s">
        <v>2035</v>
      </c>
      <c r="Y4412" s="124" t="s">
        <v>55</v>
      </c>
      <c r="Z4412" s="308">
        <v>261</v>
      </c>
      <c r="AB4412" t="str">
        <f>IF(Table1[[#This Row],[TIPO2]]="costo", VLOOKUP(Table1[[#This Row],[PARTIDA PRESUPUESTAL]],'Cost Report'!G:G,1,0),"Balance")</f>
        <v>1401-011</v>
      </c>
      <c r="AC4412" s="118"/>
      <c r="AD4412" s="159">
        <f>+Table1[[#This Row],[SUBTOTAL]]+Table1[[#This Row],[IVA]]-Table1[[#This Row],[RET IVA]]-Table1[[#This Row],[RET ISR]]-Table1[[#This Row],[TOTAL]]</f>
        <v>0</v>
      </c>
      <c r="AE4412" s="152"/>
      <c r="AF4412" s="153"/>
      <c r="AG4412" s="126"/>
      <c r="AK4412" s="306" t="str">
        <f>IF(ISNUMBER(Table1[[#This Row],[FECHA DE RECIBIDO]]), Table1[[#This Row],[FECHA DE RECIBIDO]]-DATE(2023,8,30), "")</f>
        <v/>
      </c>
    </row>
    <row r="4413" spans="1:37" ht="16.05" customHeight="1">
      <c r="A4413" s="150" t="s">
        <v>4588</v>
      </c>
      <c r="B4413" s="151">
        <v>1555</v>
      </c>
      <c r="C4413" s="126" t="s">
        <v>2846</v>
      </c>
      <c r="D4413">
        <v>3037</v>
      </c>
      <c r="E4413" s="126" t="s">
        <v>4085</v>
      </c>
      <c r="F4413" s="122" t="s">
        <v>1593</v>
      </c>
      <c r="G4413" s="122" t="s">
        <v>109</v>
      </c>
      <c r="H4413">
        <v>546</v>
      </c>
      <c r="I4413" s="122" t="s">
        <v>1546</v>
      </c>
      <c r="J4413" s="307" t="s">
        <v>214</v>
      </c>
      <c r="K4413" s="127" t="s">
        <v>4625</v>
      </c>
      <c r="L4413" s="151" t="s">
        <v>3306</v>
      </c>
      <c r="M4413">
        <v>772</v>
      </c>
      <c r="N4413" s="123">
        <v>1</v>
      </c>
      <c r="O4413">
        <v>2904</v>
      </c>
      <c r="P4413" s="132" t="s">
        <v>77</v>
      </c>
      <c r="Q4413" s="131">
        <v>7500</v>
      </c>
      <c r="R4413" s="131">
        <v>1200</v>
      </c>
      <c r="S4413" s="131"/>
      <c r="T4413" s="155">
        <v>0</v>
      </c>
      <c r="U4413" s="131">
        <v>93.75</v>
      </c>
      <c r="V4413" s="131">
        <v>8606.25</v>
      </c>
      <c r="W4413">
        <v>318</v>
      </c>
      <c r="X4413" s="151" t="s">
        <v>2041</v>
      </c>
      <c r="Y4413" s="135" t="s">
        <v>55</v>
      </c>
      <c r="Z4413" s="307">
        <v>261</v>
      </c>
      <c r="AB4413" t="str">
        <f>IF(Table1[[#This Row],[TIPO2]]="costo", VLOOKUP(Table1[[#This Row],[PARTIDA PRESUPUESTAL]],'Cost Report'!G:G,1,0),"Balance")</f>
        <v>3480-003</v>
      </c>
      <c r="AC4413" s="118"/>
      <c r="AD4413" s="159">
        <f>+Table1[[#This Row],[SUBTOTAL]]+Table1[[#This Row],[IVA]]-Table1[[#This Row],[RET IVA]]-Table1[[#This Row],[RET ISR]]-Table1[[#This Row],[TOTAL]]</f>
        <v>0</v>
      </c>
      <c r="AE4413" s="150"/>
      <c r="AF4413" s="151"/>
      <c r="AG4413" s="126"/>
      <c r="AK4413" s="306" t="str">
        <f>IF(ISNUMBER(Table1[[#This Row],[FECHA DE RECIBIDO]]), Table1[[#This Row],[FECHA DE RECIBIDO]]-DATE(2023,8,30), "")</f>
        <v/>
      </c>
    </row>
    <row r="4414" spans="1:37" ht="16.05" customHeight="1">
      <c r="A4414" s="152"/>
      <c r="B4414" s="153">
        <v>1556</v>
      </c>
      <c r="C4414" s="126" t="s">
        <v>1722</v>
      </c>
      <c r="D4414">
        <v>3038</v>
      </c>
      <c r="E4414" s="126" t="s">
        <v>4085</v>
      </c>
      <c r="F4414" s="125" t="s">
        <v>1593</v>
      </c>
      <c r="G4414" s="125" t="s">
        <v>109</v>
      </c>
      <c r="H4414">
        <v>546</v>
      </c>
      <c r="I4414" s="125" t="s">
        <v>1546</v>
      </c>
      <c r="J4414" s="308" t="s">
        <v>214</v>
      </c>
      <c r="K4414" s="127" t="s">
        <v>4625</v>
      </c>
      <c r="L4414" s="153" t="s">
        <v>3306</v>
      </c>
      <c r="M4414">
        <v>772</v>
      </c>
      <c r="N4414" s="123">
        <v>1</v>
      </c>
      <c r="O4414">
        <v>2905</v>
      </c>
      <c r="P4414" s="132" t="s">
        <v>77</v>
      </c>
      <c r="Q4414" s="132">
        <v>8000</v>
      </c>
      <c r="R4414" s="132">
        <v>1280</v>
      </c>
      <c r="S4414" s="132"/>
      <c r="T4414" s="156">
        <v>0</v>
      </c>
      <c r="U4414" s="132">
        <v>100</v>
      </c>
      <c r="V4414" s="132">
        <v>9180</v>
      </c>
      <c r="W4414">
        <v>318</v>
      </c>
      <c r="X4414" s="153" t="s">
        <v>2041</v>
      </c>
      <c r="Y4414" s="124" t="s">
        <v>55</v>
      </c>
      <c r="Z4414" s="308">
        <v>261</v>
      </c>
      <c r="AB4414" t="str">
        <f>IF(Table1[[#This Row],[TIPO2]]="costo", VLOOKUP(Table1[[#This Row],[PARTIDA PRESUPUESTAL]],'Cost Report'!G:G,1,0),"Balance")</f>
        <v>1641-004</v>
      </c>
      <c r="AC4414" s="118"/>
      <c r="AD4414" s="159">
        <f>+Table1[[#This Row],[SUBTOTAL]]+Table1[[#This Row],[IVA]]-Table1[[#This Row],[RET IVA]]-Table1[[#This Row],[RET ISR]]-Table1[[#This Row],[TOTAL]]</f>
        <v>0</v>
      </c>
      <c r="AE4414" s="152"/>
      <c r="AF4414" s="153"/>
      <c r="AG4414" s="126"/>
      <c r="AK4414" s="306" t="str">
        <f>IF(ISNUMBER(Table1[[#This Row],[FECHA DE RECIBIDO]]), Table1[[#This Row],[FECHA DE RECIBIDO]]-DATE(2023,8,30), "")</f>
        <v/>
      </c>
    </row>
    <row r="4415" spans="1:37" ht="16.05" customHeight="1">
      <c r="A4415" s="150"/>
      <c r="B4415" s="153">
        <v>1556</v>
      </c>
      <c r="C4415" s="126" t="s">
        <v>2939</v>
      </c>
      <c r="D4415">
        <v>3038</v>
      </c>
      <c r="E4415" s="126" t="s">
        <v>4085</v>
      </c>
      <c r="F4415" s="122" t="s">
        <v>1593</v>
      </c>
      <c r="G4415" s="122" t="s">
        <v>109</v>
      </c>
      <c r="H4415">
        <v>546</v>
      </c>
      <c r="I4415" s="122" t="s">
        <v>1546</v>
      </c>
      <c r="J4415" s="307" t="s">
        <v>214</v>
      </c>
      <c r="K4415" s="127" t="s">
        <v>4625</v>
      </c>
      <c r="L4415" s="151" t="s">
        <v>3306</v>
      </c>
      <c r="M4415">
        <v>772</v>
      </c>
      <c r="N4415" s="123">
        <v>1</v>
      </c>
      <c r="O4415">
        <v>2905</v>
      </c>
      <c r="P4415" s="132" t="s">
        <v>77</v>
      </c>
      <c r="Q4415" s="131">
        <v>1600</v>
      </c>
      <c r="R4415" s="131">
        <v>256</v>
      </c>
      <c r="S4415" s="131"/>
      <c r="T4415" s="155">
        <v>0</v>
      </c>
      <c r="U4415" s="131">
        <v>20</v>
      </c>
      <c r="V4415" s="131">
        <v>1836</v>
      </c>
      <c r="W4415">
        <v>318</v>
      </c>
      <c r="X4415" s="151" t="s">
        <v>2041</v>
      </c>
      <c r="Y4415" s="135" t="s">
        <v>55</v>
      </c>
      <c r="Z4415" s="307">
        <v>261</v>
      </c>
      <c r="AB4415" t="str">
        <f>IF(Table1[[#This Row],[TIPO2]]="costo", VLOOKUP(Table1[[#This Row],[PARTIDA PRESUPUESTAL]],'Cost Report'!G:G,1,0),"Balance")</f>
        <v>3716-003</v>
      </c>
      <c r="AC4415" s="118"/>
      <c r="AD4415" s="159">
        <f>+Table1[[#This Row],[SUBTOTAL]]+Table1[[#This Row],[IVA]]-Table1[[#This Row],[RET IVA]]-Table1[[#This Row],[RET ISR]]-Table1[[#This Row],[TOTAL]]</f>
        <v>0</v>
      </c>
      <c r="AE4415" s="150"/>
      <c r="AF4415" s="151"/>
      <c r="AG4415" s="126"/>
      <c r="AK4415" s="306" t="str">
        <f>IF(ISNUMBER(Table1[[#This Row],[FECHA DE RECIBIDO]]), Table1[[#This Row],[FECHA DE RECIBIDO]]-DATE(2023,8,30), "")</f>
        <v/>
      </c>
    </row>
    <row r="4416" spans="1:37" ht="16.05" customHeight="1">
      <c r="A4416" s="152"/>
      <c r="B4416" s="153">
        <v>1556</v>
      </c>
      <c r="C4416" s="126" t="s">
        <v>2852</v>
      </c>
      <c r="D4416">
        <v>3038</v>
      </c>
      <c r="E4416" s="126" t="s">
        <v>4085</v>
      </c>
      <c r="F4416" s="125" t="s">
        <v>1593</v>
      </c>
      <c r="G4416" s="125" t="s">
        <v>109</v>
      </c>
      <c r="H4416">
        <v>546</v>
      </c>
      <c r="I4416" s="125" t="s">
        <v>1546</v>
      </c>
      <c r="J4416" s="308" t="s">
        <v>214</v>
      </c>
      <c r="K4416" s="127" t="s">
        <v>4625</v>
      </c>
      <c r="L4416" s="153" t="s">
        <v>3306</v>
      </c>
      <c r="M4416">
        <v>772</v>
      </c>
      <c r="N4416" s="123">
        <v>1</v>
      </c>
      <c r="O4416">
        <v>2905</v>
      </c>
      <c r="P4416" s="132" t="s">
        <v>77</v>
      </c>
      <c r="Q4416" s="132">
        <v>29000</v>
      </c>
      <c r="R4416" s="132">
        <v>4640</v>
      </c>
      <c r="S4416" s="132"/>
      <c r="T4416" s="156">
        <v>0</v>
      </c>
      <c r="U4416" s="132">
        <v>362.5</v>
      </c>
      <c r="V4416" s="132">
        <v>33277.5</v>
      </c>
      <c r="W4416">
        <v>318</v>
      </c>
      <c r="X4416" s="153" t="s">
        <v>2041</v>
      </c>
      <c r="Y4416" s="124" t="s">
        <v>55</v>
      </c>
      <c r="Z4416" s="308">
        <v>261</v>
      </c>
      <c r="AB4416" t="str">
        <f>IF(Table1[[#This Row],[TIPO2]]="costo", VLOOKUP(Table1[[#This Row],[PARTIDA PRESUPUESTAL]],'Cost Report'!G:G,1,0),"Balance")</f>
        <v>3498-003</v>
      </c>
      <c r="AC4416" s="118"/>
      <c r="AD4416" s="159">
        <f>+Table1[[#This Row],[SUBTOTAL]]+Table1[[#This Row],[IVA]]-Table1[[#This Row],[RET IVA]]-Table1[[#This Row],[RET ISR]]-Table1[[#This Row],[TOTAL]]</f>
        <v>0</v>
      </c>
      <c r="AE4416" s="152"/>
      <c r="AF4416" s="153"/>
      <c r="AG4416" s="126"/>
      <c r="AK4416" s="306" t="str">
        <f>IF(ISNUMBER(Table1[[#This Row],[FECHA DE RECIBIDO]]), Table1[[#This Row],[FECHA DE RECIBIDO]]-DATE(2023,8,30), "")</f>
        <v/>
      </c>
    </row>
    <row r="4417" spans="1:37" ht="16.05" customHeight="1">
      <c r="A4417" s="150" t="s">
        <v>4589</v>
      </c>
      <c r="B4417" s="151">
        <v>1557</v>
      </c>
      <c r="C4417" s="126" t="s">
        <v>279</v>
      </c>
      <c r="D4417">
        <v>3039</v>
      </c>
      <c r="E4417" s="126" t="s">
        <v>3354</v>
      </c>
      <c r="F4417" s="122" t="s">
        <v>1371</v>
      </c>
      <c r="G4417" s="122" t="s">
        <v>2065</v>
      </c>
      <c r="H4417">
        <v>454</v>
      </c>
      <c r="I4417" s="122" t="s">
        <v>1546</v>
      </c>
      <c r="J4417" s="307" t="s">
        <v>214</v>
      </c>
      <c r="K4417" s="127" t="s">
        <v>4625</v>
      </c>
      <c r="L4417" s="151" t="s">
        <v>3306</v>
      </c>
      <c r="M4417">
        <v>1110</v>
      </c>
      <c r="N4417" s="123">
        <v>1</v>
      </c>
      <c r="O4417">
        <v>1480</v>
      </c>
      <c r="P4417" s="132" t="s">
        <v>77</v>
      </c>
      <c r="Q4417" s="131">
        <v>44113.16</v>
      </c>
      <c r="R4417" s="131">
        <v>5646.48</v>
      </c>
      <c r="S4417" s="131"/>
      <c r="T4417" s="155">
        <v>0</v>
      </c>
      <c r="U4417" s="131">
        <v>0</v>
      </c>
      <c r="V4417" s="131">
        <v>49759.64</v>
      </c>
      <c r="W4417">
        <v>242</v>
      </c>
      <c r="X4417" s="151" t="s">
        <v>2035</v>
      </c>
      <c r="Y4417" s="135" t="s">
        <v>55</v>
      </c>
      <c r="Z4417" s="307">
        <v>261</v>
      </c>
      <c r="AB4417" t="str">
        <f>IF(Table1[[#This Row],[TIPO2]]="costo", VLOOKUP(Table1[[#This Row],[PARTIDA PRESUPUESTAL]],'Cost Report'!G:G,1,0),"Balance")</f>
        <v>1401-003</v>
      </c>
      <c r="AC4417" s="118"/>
      <c r="AD4417" s="159">
        <f>+Table1[[#This Row],[SUBTOTAL]]+Table1[[#This Row],[IVA]]-Table1[[#This Row],[RET IVA]]-Table1[[#This Row],[RET ISR]]-Table1[[#This Row],[TOTAL]]</f>
        <v>0</v>
      </c>
      <c r="AE4417" s="150"/>
      <c r="AF4417" s="151"/>
      <c r="AG4417" s="126"/>
      <c r="AK4417" s="306" t="str">
        <f>IF(ISNUMBER(Table1[[#This Row],[FECHA DE RECIBIDO]]), Table1[[#This Row],[FECHA DE RECIBIDO]]-DATE(2023,8,30), "")</f>
        <v/>
      </c>
    </row>
    <row r="4418" spans="1:37" ht="16.05" customHeight="1">
      <c r="A4418" s="150" t="s">
        <v>4589</v>
      </c>
      <c r="B4418" s="151">
        <v>1557</v>
      </c>
      <c r="C4418" s="126" t="s">
        <v>282</v>
      </c>
      <c r="D4418">
        <v>3039</v>
      </c>
      <c r="E4418" s="126" t="s">
        <v>3354</v>
      </c>
      <c r="F4418" s="125" t="s">
        <v>1371</v>
      </c>
      <c r="G4418" s="125" t="s">
        <v>2065</v>
      </c>
      <c r="H4418">
        <v>454</v>
      </c>
      <c r="I4418" s="125" t="s">
        <v>1546</v>
      </c>
      <c r="J4418" s="308" t="s">
        <v>214</v>
      </c>
      <c r="K4418" s="127" t="s">
        <v>4625</v>
      </c>
      <c r="L4418" s="153" t="s">
        <v>3306</v>
      </c>
      <c r="M4418">
        <v>1110</v>
      </c>
      <c r="N4418" s="123">
        <v>1</v>
      </c>
      <c r="O4418">
        <v>1480</v>
      </c>
      <c r="P4418" s="132" t="s">
        <v>77</v>
      </c>
      <c r="Q4418" s="132">
        <v>3680.34</v>
      </c>
      <c r="R4418" s="132">
        <v>471.08</v>
      </c>
      <c r="S4418" s="132"/>
      <c r="T4418" s="156">
        <v>0</v>
      </c>
      <c r="U4418" s="132">
        <v>0</v>
      </c>
      <c r="V4418" s="132">
        <v>4151.42</v>
      </c>
      <c r="W4418">
        <v>242</v>
      </c>
      <c r="X4418" s="153" t="s">
        <v>2035</v>
      </c>
      <c r="Y4418" s="124" t="s">
        <v>55</v>
      </c>
      <c r="Z4418" s="308">
        <v>261</v>
      </c>
      <c r="AB4418" t="str">
        <f>IF(Table1[[#This Row],[TIPO2]]="costo", VLOOKUP(Table1[[#This Row],[PARTIDA PRESUPUESTAL]],'Cost Report'!G:G,1,0),"Balance")</f>
        <v>1401-006</v>
      </c>
      <c r="AC4418" s="118"/>
      <c r="AD4418" s="159">
        <f>+Table1[[#This Row],[SUBTOTAL]]+Table1[[#This Row],[IVA]]-Table1[[#This Row],[RET IVA]]-Table1[[#This Row],[RET ISR]]-Table1[[#This Row],[TOTAL]]</f>
        <v>0</v>
      </c>
      <c r="AE4418" s="152"/>
      <c r="AF4418" s="153"/>
      <c r="AG4418" s="126"/>
      <c r="AK4418" s="306" t="str">
        <f>IF(ISNUMBER(Table1[[#This Row],[FECHA DE RECIBIDO]]), Table1[[#This Row],[FECHA DE RECIBIDO]]-DATE(2023,8,30), "")</f>
        <v/>
      </c>
    </row>
    <row r="4419" spans="1:37" ht="16.05" customHeight="1">
      <c r="A4419" s="150" t="s">
        <v>4589</v>
      </c>
      <c r="B4419" s="151">
        <v>1557</v>
      </c>
      <c r="C4419" s="126" t="s">
        <v>283</v>
      </c>
      <c r="D4419">
        <v>3039</v>
      </c>
      <c r="E4419" s="126" t="s">
        <v>3354</v>
      </c>
      <c r="F4419" s="122" t="s">
        <v>1371</v>
      </c>
      <c r="G4419" s="122" t="s">
        <v>2065</v>
      </c>
      <c r="H4419">
        <v>454</v>
      </c>
      <c r="I4419" s="122" t="s">
        <v>1546</v>
      </c>
      <c r="J4419" s="307" t="s">
        <v>214</v>
      </c>
      <c r="K4419" s="127" t="s">
        <v>4625</v>
      </c>
      <c r="L4419" s="151" t="s">
        <v>3306</v>
      </c>
      <c r="M4419">
        <v>1110</v>
      </c>
      <c r="N4419" s="123">
        <v>1</v>
      </c>
      <c r="O4419">
        <v>1480</v>
      </c>
      <c r="P4419" s="132" t="s">
        <v>77</v>
      </c>
      <c r="Q4419" s="131">
        <v>15176.62</v>
      </c>
      <c r="R4419" s="131">
        <v>1942.61</v>
      </c>
      <c r="S4419" s="131"/>
      <c r="T4419" s="155">
        <v>0</v>
      </c>
      <c r="U4419" s="131">
        <v>0</v>
      </c>
      <c r="V4419" s="131">
        <v>17119.23</v>
      </c>
      <c r="W4419">
        <v>242</v>
      </c>
      <c r="X4419" s="151" t="s">
        <v>2035</v>
      </c>
      <c r="Y4419" s="135" t="s">
        <v>55</v>
      </c>
      <c r="Z4419" s="307">
        <v>261</v>
      </c>
      <c r="AB4419" t="str">
        <f>IF(Table1[[#This Row],[TIPO2]]="costo", VLOOKUP(Table1[[#This Row],[PARTIDA PRESUPUESTAL]],'Cost Report'!G:G,1,0),"Balance")</f>
        <v>1401-007</v>
      </c>
      <c r="AC4419" s="118"/>
      <c r="AD4419" s="159">
        <f>+Table1[[#This Row],[SUBTOTAL]]+Table1[[#This Row],[IVA]]-Table1[[#This Row],[RET IVA]]-Table1[[#This Row],[RET ISR]]-Table1[[#This Row],[TOTAL]]</f>
        <v>0</v>
      </c>
      <c r="AE4419" s="150"/>
      <c r="AF4419" s="151"/>
      <c r="AG4419" s="126"/>
      <c r="AK4419" s="306" t="str">
        <f>IF(ISNUMBER(Table1[[#This Row],[FECHA DE RECIBIDO]]), Table1[[#This Row],[FECHA DE RECIBIDO]]-DATE(2023,8,30), "")</f>
        <v/>
      </c>
    </row>
    <row r="4420" spans="1:37" ht="16.05" customHeight="1">
      <c r="A4420" s="150" t="s">
        <v>4589</v>
      </c>
      <c r="B4420" s="151">
        <v>1557</v>
      </c>
      <c r="C4420" s="126" t="s">
        <v>286</v>
      </c>
      <c r="D4420">
        <v>3039</v>
      </c>
      <c r="E4420" s="126" t="s">
        <v>3354</v>
      </c>
      <c r="F4420" s="125" t="s">
        <v>1371</v>
      </c>
      <c r="G4420" s="125" t="s">
        <v>2065</v>
      </c>
      <c r="H4420">
        <v>454</v>
      </c>
      <c r="I4420" s="125" t="s">
        <v>1546</v>
      </c>
      <c r="J4420" s="308" t="s">
        <v>214</v>
      </c>
      <c r="K4420" s="127" t="s">
        <v>4625</v>
      </c>
      <c r="L4420" s="153" t="s">
        <v>3306</v>
      </c>
      <c r="M4420">
        <v>1110</v>
      </c>
      <c r="N4420" s="123">
        <v>1</v>
      </c>
      <c r="O4420">
        <v>1480</v>
      </c>
      <c r="P4420" s="132" t="s">
        <v>77</v>
      </c>
      <c r="Q4420" s="132">
        <v>44164.08</v>
      </c>
      <c r="R4420" s="132">
        <v>5653</v>
      </c>
      <c r="S4420" s="132"/>
      <c r="T4420" s="156">
        <v>0</v>
      </c>
      <c r="U4420" s="132">
        <v>0</v>
      </c>
      <c r="V4420" s="132">
        <v>49817.08</v>
      </c>
      <c r="W4420">
        <v>242</v>
      </c>
      <c r="X4420" s="153" t="s">
        <v>2035</v>
      </c>
      <c r="Y4420" s="124" t="s">
        <v>55</v>
      </c>
      <c r="Z4420" s="308">
        <v>261</v>
      </c>
      <c r="AB4420" t="str">
        <f>IF(Table1[[#This Row],[TIPO2]]="costo", VLOOKUP(Table1[[#This Row],[PARTIDA PRESUPUESTAL]],'Cost Report'!G:G,1,0),"Balance")</f>
        <v>1401-012</v>
      </c>
      <c r="AC4420" s="118"/>
      <c r="AD4420" s="159">
        <f>+Table1[[#This Row],[SUBTOTAL]]+Table1[[#This Row],[IVA]]-Table1[[#This Row],[RET IVA]]-Table1[[#This Row],[RET ISR]]-Table1[[#This Row],[TOTAL]]</f>
        <v>0</v>
      </c>
      <c r="AE4420" s="152"/>
      <c r="AF4420" s="153"/>
      <c r="AG4420" s="126"/>
      <c r="AK4420" s="306" t="str">
        <f>IF(ISNUMBER(Table1[[#This Row],[FECHA DE RECIBIDO]]), Table1[[#This Row],[FECHA DE RECIBIDO]]-DATE(2023,8,30), "")</f>
        <v/>
      </c>
    </row>
    <row r="4421" spans="1:37" ht="16.05" customHeight="1">
      <c r="A4421" s="150" t="s">
        <v>4589</v>
      </c>
      <c r="B4421" s="151">
        <v>1557</v>
      </c>
      <c r="C4421" s="126" t="s">
        <v>289</v>
      </c>
      <c r="D4421">
        <v>3039</v>
      </c>
      <c r="E4421" s="126" t="s">
        <v>3354</v>
      </c>
      <c r="F4421" s="122" t="s">
        <v>1371</v>
      </c>
      <c r="G4421" s="122" t="s">
        <v>2065</v>
      </c>
      <c r="H4421">
        <v>454</v>
      </c>
      <c r="I4421" s="122" t="s">
        <v>1546</v>
      </c>
      <c r="J4421" s="307" t="s">
        <v>214</v>
      </c>
      <c r="K4421" s="127" t="s">
        <v>4625</v>
      </c>
      <c r="L4421" s="151" t="s">
        <v>3306</v>
      </c>
      <c r="M4421">
        <v>1110</v>
      </c>
      <c r="N4421" s="123">
        <v>1</v>
      </c>
      <c r="O4421">
        <v>1480</v>
      </c>
      <c r="P4421" s="132" t="s">
        <v>77</v>
      </c>
      <c r="Q4421" s="131">
        <v>3680.34</v>
      </c>
      <c r="R4421" s="131">
        <v>471.08</v>
      </c>
      <c r="S4421" s="131"/>
      <c r="T4421" s="155">
        <v>0</v>
      </c>
      <c r="U4421" s="131">
        <v>0</v>
      </c>
      <c r="V4421" s="131">
        <v>4151.42</v>
      </c>
      <c r="W4421">
        <v>242</v>
      </c>
      <c r="X4421" s="151" t="s">
        <v>2035</v>
      </c>
      <c r="Y4421" s="135" t="s">
        <v>55</v>
      </c>
      <c r="Z4421" s="307">
        <v>261</v>
      </c>
      <c r="AB4421" t="str">
        <f>IF(Table1[[#This Row],[TIPO2]]="costo", VLOOKUP(Table1[[#This Row],[PARTIDA PRESUPUESTAL]],'Cost Report'!G:G,1,0),"Balance")</f>
        <v>1401-015</v>
      </c>
      <c r="AC4421" s="118"/>
      <c r="AD4421" s="159">
        <f>+Table1[[#This Row],[SUBTOTAL]]+Table1[[#This Row],[IVA]]-Table1[[#This Row],[RET IVA]]-Table1[[#This Row],[RET ISR]]-Table1[[#This Row],[TOTAL]]</f>
        <v>0</v>
      </c>
      <c r="AE4421" s="150"/>
      <c r="AF4421" s="151"/>
      <c r="AG4421" s="126"/>
      <c r="AK4421" s="306" t="str">
        <f>IF(ISNUMBER(Table1[[#This Row],[FECHA DE RECIBIDO]]), Table1[[#This Row],[FECHA DE RECIBIDO]]-DATE(2023,8,30), "")</f>
        <v/>
      </c>
    </row>
    <row r="4422" spans="1:37" ht="16.05" customHeight="1">
      <c r="A4422" s="150" t="s">
        <v>4589</v>
      </c>
      <c r="B4422" s="151">
        <v>1557</v>
      </c>
      <c r="C4422" s="126" t="s">
        <v>290</v>
      </c>
      <c r="D4422">
        <v>3039</v>
      </c>
      <c r="E4422" s="126" t="s">
        <v>3354</v>
      </c>
      <c r="F4422" s="125" t="s">
        <v>1371</v>
      </c>
      <c r="G4422" s="125" t="s">
        <v>2065</v>
      </c>
      <c r="H4422">
        <v>454</v>
      </c>
      <c r="I4422" s="125" t="s">
        <v>1546</v>
      </c>
      <c r="J4422" s="308" t="s">
        <v>214</v>
      </c>
      <c r="K4422" s="127" t="s">
        <v>4625</v>
      </c>
      <c r="L4422" s="153" t="s">
        <v>3306</v>
      </c>
      <c r="M4422">
        <v>1110</v>
      </c>
      <c r="N4422" s="123">
        <v>1</v>
      </c>
      <c r="O4422">
        <v>1480</v>
      </c>
      <c r="P4422" s="132" t="s">
        <v>77</v>
      </c>
      <c r="Q4422" s="132">
        <v>16000.14</v>
      </c>
      <c r="R4422" s="132">
        <v>2048.02</v>
      </c>
      <c r="S4422" s="132"/>
      <c r="T4422" s="156">
        <v>0</v>
      </c>
      <c r="U4422" s="132">
        <v>0</v>
      </c>
      <c r="V4422" s="132">
        <v>18048.16</v>
      </c>
      <c r="W4422">
        <v>242</v>
      </c>
      <c r="X4422" s="153" t="s">
        <v>2035</v>
      </c>
      <c r="Y4422" s="124" t="s">
        <v>55</v>
      </c>
      <c r="Z4422" s="308">
        <v>261</v>
      </c>
      <c r="AB4422" t="str">
        <f>IF(Table1[[#This Row],[TIPO2]]="costo", VLOOKUP(Table1[[#This Row],[PARTIDA PRESUPUESTAL]],'Cost Report'!G:G,1,0),"Balance")</f>
        <v>1401-016</v>
      </c>
      <c r="AC4422" s="118"/>
      <c r="AD4422" s="159">
        <f>+Table1[[#This Row],[SUBTOTAL]]+Table1[[#This Row],[IVA]]-Table1[[#This Row],[RET IVA]]-Table1[[#This Row],[RET ISR]]-Table1[[#This Row],[TOTAL]]</f>
        <v>0</v>
      </c>
      <c r="AE4422" s="152"/>
      <c r="AF4422" s="153"/>
      <c r="AG4422" s="126"/>
      <c r="AK4422" s="306" t="str">
        <f>IF(ISNUMBER(Table1[[#This Row],[FECHA DE RECIBIDO]]), Table1[[#This Row],[FECHA DE RECIBIDO]]-DATE(2023,8,30), "")</f>
        <v/>
      </c>
    </row>
    <row r="4423" spans="1:37" ht="16.05" customHeight="1">
      <c r="A4423" s="150" t="s">
        <v>4589</v>
      </c>
      <c r="B4423" s="151">
        <v>1557</v>
      </c>
      <c r="C4423" s="126" t="s">
        <v>293</v>
      </c>
      <c r="D4423">
        <v>3039</v>
      </c>
      <c r="E4423" s="126" t="s">
        <v>3354</v>
      </c>
      <c r="F4423" s="122" t="s">
        <v>1371</v>
      </c>
      <c r="G4423" s="122" t="s">
        <v>2065</v>
      </c>
      <c r="H4423">
        <v>454</v>
      </c>
      <c r="I4423" s="122" t="s">
        <v>1546</v>
      </c>
      <c r="J4423" s="307" t="s">
        <v>214</v>
      </c>
      <c r="K4423" s="127" t="s">
        <v>4625</v>
      </c>
      <c r="L4423" s="151" t="s">
        <v>3306</v>
      </c>
      <c r="M4423">
        <v>1110</v>
      </c>
      <c r="N4423" s="123">
        <v>1</v>
      </c>
      <c r="O4423">
        <v>1480</v>
      </c>
      <c r="P4423" s="132" t="s">
        <v>77</v>
      </c>
      <c r="Q4423" s="131">
        <v>29442.720000000001</v>
      </c>
      <c r="R4423" s="131">
        <v>3768.67</v>
      </c>
      <c r="S4423" s="131"/>
      <c r="T4423" s="155">
        <v>0</v>
      </c>
      <c r="U4423" s="131">
        <v>0</v>
      </c>
      <c r="V4423" s="131">
        <v>33211.39</v>
      </c>
      <c r="W4423">
        <v>242</v>
      </c>
      <c r="X4423" s="151" t="s">
        <v>2035</v>
      </c>
      <c r="Y4423" s="135" t="s">
        <v>55</v>
      </c>
      <c r="Z4423" s="307">
        <v>261</v>
      </c>
      <c r="AB4423" t="str">
        <f>IF(Table1[[#This Row],[TIPO2]]="costo", VLOOKUP(Table1[[#This Row],[PARTIDA PRESUPUESTAL]],'Cost Report'!G:G,1,0),"Balance")</f>
        <v>1401-021</v>
      </c>
      <c r="AC4423" s="118"/>
      <c r="AD4423" s="159">
        <f>+Table1[[#This Row],[SUBTOTAL]]+Table1[[#This Row],[IVA]]-Table1[[#This Row],[RET IVA]]-Table1[[#This Row],[RET ISR]]-Table1[[#This Row],[TOTAL]]</f>
        <v>0</v>
      </c>
      <c r="AE4423" s="150"/>
      <c r="AF4423" s="151"/>
      <c r="AG4423" s="126"/>
      <c r="AK4423" s="306" t="str">
        <f>IF(ISNUMBER(Table1[[#This Row],[FECHA DE RECIBIDO]]), Table1[[#This Row],[FECHA DE RECIBIDO]]-DATE(2023,8,30), "")</f>
        <v/>
      </c>
    </row>
    <row r="4424" spans="1:37" ht="16.05" customHeight="1">
      <c r="A4424" s="150" t="s">
        <v>4589</v>
      </c>
      <c r="B4424" s="151">
        <v>1557</v>
      </c>
      <c r="C4424" s="126" t="s">
        <v>296</v>
      </c>
      <c r="D4424">
        <v>3039</v>
      </c>
      <c r="E4424" s="126" t="s">
        <v>3354</v>
      </c>
      <c r="F4424" s="125" t="s">
        <v>1371</v>
      </c>
      <c r="G4424" s="125" t="s">
        <v>2065</v>
      </c>
      <c r="H4424">
        <v>454</v>
      </c>
      <c r="I4424" s="125" t="s">
        <v>1546</v>
      </c>
      <c r="J4424" s="308" t="s">
        <v>214</v>
      </c>
      <c r="K4424" s="127" t="s">
        <v>4625</v>
      </c>
      <c r="L4424" s="153" t="s">
        <v>3306</v>
      </c>
      <c r="M4424">
        <v>1110</v>
      </c>
      <c r="N4424" s="123">
        <v>1</v>
      </c>
      <c r="O4424">
        <v>1480</v>
      </c>
      <c r="P4424" s="132" t="s">
        <v>77</v>
      </c>
      <c r="Q4424" s="132">
        <v>12874.96</v>
      </c>
      <c r="R4424" s="132">
        <v>1647.99</v>
      </c>
      <c r="S4424" s="132"/>
      <c r="T4424" s="156">
        <v>0</v>
      </c>
      <c r="U4424" s="132">
        <v>0</v>
      </c>
      <c r="V4424" s="132">
        <v>14522.949999999999</v>
      </c>
      <c r="W4424">
        <v>242</v>
      </c>
      <c r="X4424" s="153" t="s">
        <v>2035</v>
      </c>
      <c r="Y4424" s="124" t="s">
        <v>55</v>
      </c>
      <c r="Z4424" s="308">
        <v>261</v>
      </c>
      <c r="AB4424" t="str">
        <f>IF(Table1[[#This Row],[TIPO2]]="costo", VLOOKUP(Table1[[#This Row],[PARTIDA PRESUPUESTAL]],'Cost Report'!G:G,1,0),"Balance")</f>
        <v>1401-024</v>
      </c>
      <c r="AC4424" s="118"/>
      <c r="AD4424" s="159">
        <f>+Table1[[#This Row],[SUBTOTAL]]+Table1[[#This Row],[IVA]]-Table1[[#This Row],[RET IVA]]-Table1[[#This Row],[RET ISR]]-Table1[[#This Row],[TOTAL]]</f>
        <v>0</v>
      </c>
      <c r="AE4424" s="152"/>
      <c r="AF4424" s="153"/>
      <c r="AG4424" s="126"/>
      <c r="AK4424" s="306" t="str">
        <f>IF(ISNUMBER(Table1[[#This Row],[FECHA DE RECIBIDO]]), Table1[[#This Row],[FECHA DE RECIBIDO]]-DATE(2023,8,30), "")</f>
        <v/>
      </c>
    </row>
    <row r="4425" spans="1:37" ht="16.05" customHeight="1">
      <c r="A4425" s="150" t="s">
        <v>4589</v>
      </c>
      <c r="B4425" s="151">
        <v>1557</v>
      </c>
      <c r="C4425" s="126" t="s">
        <v>297</v>
      </c>
      <c r="D4425">
        <v>3039</v>
      </c>
      <c r="E4425" s="126" t="s">
        <v>3354</v>
      </c>
      <c r="F4425" s="122" t="s">
        <v>1371</v>
      </c>
      <c r="G4425" s="122" t="s">
        <v>2065</v>
      </c>
      <c r="H4425">
        <v>454</v>
      </c>
      <c r="I4425" s="122" t="s">
        <v>1546</v>
      </c>
      <c r="J4425" s="307" t="s">
        <v>214</v>
      </c>
      <c r="K4425" s="127" t="s">
        <v>4625</v>
      </c>
      <c r="L4425" s="151" t="s">
        <v>3306</v>
      </c>
      <c r="M4425">
        <v>1110</v>
      </c>
      <c r="N4425" s="123">
        <v>1</v>
      </c>
      <c r="O4425">
        <v>1480</v>
      </c>
      <c r="P4425" s="132" t="s">
        <v>77</v>
      </c>
      <c r="Q4425" s="131">
        <v>27897</v>
      </c>
      <c r="R4425" s="131">
        <v>3570.82</v>
      </c>
      <c r="S4425" s="131"/>
      <c r="T4425" s="155">
        <v>0</v>
      </c>
      <c r="U4425" s="131">
        <v>0</v>
      </c>
      <c r="V4425" s="131">
        <v>31467.82</v>
      </c>
      <c r="W4425">
        <v>242</v>
      </c>
      <c r="X4425" s="151" t="s">
        <v>2035</v>
      </c>
      <c r="Y4425" s="135" t="s">
        <v>55</v>
      </c>
      <c r="Z4425" s="307">
        <v>261</v>
      </c>
      <c r="AB4425" t="str">
        <f>IF(Table1[[#This Row],[TIPO2]]="costo", VLOOKUP(Table1[[#This Row],[PARTIDA PRESUPUESTAL]],'Cost Report'!G:G,1,0),"Balance")</f>
        <v>1401-025</v>
      </c>
      <c r="AC4425" s="118"/>
      <c r="AD4425" s="159">
        <f>+Table1[[#This Row],[SUBTOTAL]]+Table1[[#This Row],[IVA]]-Table1[[#This Row],[RET IVA]]-Table1[[#This Row],[RET ISR]]-Table1[[#This Row],[TOTAL]]</f>
        <v>0</v>
      </c>
      <c r="AE4425" s="150"/>
      <c r="AF4425" s="151"/>
      <c r="AG4425" s="126"/>
      <c r="AK4425" s="306" t="str">
        <f>IF(ISNUMBER(Table1[[#This Row],[FECHA DE RECIBIDO]]), Table1[[#This Row],[FECHA DE RECIBIDO]]-DATE(2023,8,30), "")</f>
        <v/>
      </c>
    </row>
    <row r="4426" spans="1:37" ht="16.05" customHeight="1">
      <c r="A4426" s="150" t="s">
        <v>4589</v>
      </c>
      <c r="B4426" s="151">
        <v>1557</v>
      </c>
      <c r="C4426" s="126" t="s">
        <v>300</v>
      </c>
      <c r="D4426">
        <v>3039</v>
      </c>
      <c r="E4426" s="126" t="s">
        <v>3354</v>
      </c>
      <c r="F4426" s="125" t="s">
        <v>1371</v>
      </c>
      <c r="G4426" s="125" t="s">
        <v>2065</v>
      </c>
      <c r="H4426">
        <v>454</v>
      </c>
      <c r="I4426" s="125" t="s">
        <v>1546</v>
      </c>
      <c r="J4426" s="308" t="s">
        <v>214</v>
      </c>
      <c r="K4426" s="127" t="s">
        <v>4625</v>
      </c>
      <c r="L4426" s="153" t="s">
        <v>3306</v>
      </c>
      <c r="M4426">
        <v>1110</v>
      </c>
      <c r="N4426" s="123">
        <v>1</v>
      </c>
      <c r="O4426">
        <v>1480</v>
      </c>
      <c r="P4426" s="132" t="s">
        <v>77</v>
      </c>
      <c r="Q4426" s="132">
        <v>29442.720000000001</v>
      </c>
      <c r="R4426" s="132">
        <v>3768.67</v>
      </c>
      <c r="S4426" s="132"/>
      <c r="T4426" s="156">
        <v>0</v>
      </c>
      <c r="U4426" s="132">
        <v>0</v>
      </c>
      <c r="V4426" s="132">
        <v>33211.39</v>
      </c>
      <c r="W4426">
        <v>242</v>
      </c>
      <c r="X4426" s="153" t="s">
        <v>2035</v>
      </c>
      <c r="Y4426" s="124" t="s">
        <v>55</v>
      </c>
      <c r="Z4426" s="308">
        <v>261</v>
      </c>
      <c r="AB4426" t="str">
        <f>IF(Table1[[#This Row],[TIPO2]]="costo", VLOOKUP(Table1[[#This Row],[PARTIDA PRESUPUESTAL]],'Cost Report'!G:G,1,0),"Balance")</f>
        <v>1401-030</v>
      </c>
      <c r="AC4426" s="118"/>
      <c r="AD4426" s="159">
        <f>+Table1[[#This Row],[SUBTOTAL]]+Table1[[#This Row],[IVA]]-Table1[[#This Row],[RET IVA]]-Table1[[#This Row],[RET ISR]]-Table1[[#This Row],[TOTAL]]</f>
        <v>0</v>
      </c>
      <c r="AE4426" s="152"/>
      <c r="AF4426" s="153"/>
      <c r="AG4426" s="126"/>
      <c r="AK4426" s="306" t="str">
        <f>IF(ISNUMBER(Table1[[#This Row],[FECHA DE RECIBIDO]]), Table1[[#This Row],[FECHA DE RECIBIDO]]-DATE(2023,8,30), "")</f>
        <v/>
      </c>
    </row>
    <row r="4427" spans="1:37" ht="16.05" customHeight="1">
      <c r="A4427" s="150" t="s">
        <v>4589</v>
      </c>
      <c r="B4427" s="151">
        <v>1557</v>
      </c>
      <c r="C4427" s="126" t="s">
        <v>301</v>
      </c>
      <c r="D4427">
        <v>3039</v>
      </c>
      <c r="E4427" s="126" t="s">
        <v>3354</v>
      </c>
      <c r="F4427" s="122" t="s">
        <v>1371</v>
      </c>
      <c r="G4427" s="122" t="s">
        <v>2065</v>
      </c>
      <c r="H4427">
        <v>454</v>
      </c>
      <c r="I4427" s="122" t="s">
        <v>1546</v>
      </c>
      <c r="J4427" s="307" t="s">
        <v>214</v>
      </c>
      <c r="K4427" s="127" t="s">
        <v>4625</v>
      </c>
      <c r="L4427" s="151" t="s">
        <v>3306</v>
      </c>
      <c r="M4427">
        <v>1110</v>
      </c>
      <c r="N4427" s="123">
        <v>1</v>
      </c>
      <c r="O4427">
        <v>1480</v>
      </c>
      <c r="P4427" s="132" t="s">
        <v>77</v>
      </c>
      <c r="Q4427" s="131">
        <v>7360.68</v>
      </c>
      <c r="R4427" s="131">
        <v>942.17</v>
      </c>
      <c r="S4427" s="131"/>
      <c r="T4427" s="155">
        <v>0</v>
      </c>
      <c r="U4427" s="131">
        <v>0</v>
      </c>
      <c r="V4427" s="131">
        <v>8302.85</v>
      </c>
      <c r="W4427">
        <v>242</v>
      </c>
      <c r="X4427" s="151" t="s">
        <v>2035</v>
      </c>
      <c r="Y4427" s="135" t="s">
        <v>55</v>
      </c>
      <c r="Z4427" s="307">
        <v>261</v>
      </c>
      <c r="AB4427" t="str">
        <f>IF(Table1[[#This Row],[TIPO2]]="costo", VLOOKUP(Table1[[#This Row],[PARTIDA PRESUPUESTAL]],'Cost Report'!G:G,1,0),"Balance")</f>
        <v>1401-031</v>
      </c>
      <c r="AC4427" s="118"/>
      <c r="AD4427" s="159">
        <f>+Table1[[#This Row],[SUBTOTAL]]+Table1[[#This Row],[IVA]]-Table1[[#This Row],[RET IVA]]-Table1[[#This Row],[RET ISR]]-Table1[[#This Row],[TOTAL]]</f>
        <v>0</v>
      </c>
      <c r="AE4427" s="150"/>
      <c r="AF4427" s="151"/>
      <c r="AG4427" s="126"/>
      <c r="AK4427" s="306" t="str">
        <f>IF(ISNUMBER(Table1[[#This Row],[FECHA DE RECIBIDO]]), Table1[[#This Row],[FECHA DE RECIBIDO]]-DATE(2023,8,30), "")</f>
        <v/>
      </c>
    </row>
    <row r="4428" spans="1:37" ht="16.05" customHeight="1">
      <c r="A4428" s="150" t="s">
        <v>4589</v>
      </c>
      <c r="B4428" s="151">
        <v>1557</v>
      </c>
      <c r="C4428" s="126" t="s">
        <v>302</v>
      </c>
      <c r="D4428">
        <v>3039</v>
      </c>
      <c r="E4428" s="126" t="s">
        <v>3354</v>
      </c>
      <c r="F4428" s="125" t="s">
        <v>1371</v>
      </c>
      <c r="G4428" s="125" t="s">
        <v>2065</v>
      </c>
      <c r="H4428">
        <v>454</v>
      </c>
      <c r="I4428" s="125" t="s">
        <v>1546</v>
      </c>
      <c r="J4428" s="308" t="s">
        <v>214</v>
      </c>
      <c r="K4428" s="127" t="s">
        <v>4625</v>
      </c>
      <c r="L4428" s="153" t="s">
        <v>3306</v>
      </c>
      <c r="M4428">
        <v>1110</v>
      </c>
      <c r="N4428" s="123">
        <v>1</v>
      </c>
      <c r="O4428">
        <v>1480</v>
      </c>
      <c r="P4428" s="132" t="s">
        <v>77</v>
      </c>
      <c r="Q4428" s="132">
        <v>36483.24</v>
      </c>
      <c r="R4428" s="132">
        <v>4669.8500000000004</v>
      </c>
      <c r="S4428" s="132"/>
      <c r="T4428" s="156">
        <v>0</v>
      </c>
      <c r="U4428" s="132">
        <v>0</v>
      </c>
      <c r="V4428" s="132">
        <v>41153.089999999997</v>
      </c>
      <c r="W4428">
        <v>242</v>
      </c>
      <c r="X4428" s="153" t="s">
        <v>2035</v>
      </c>
      <c r="Y4428" s="124" t="s">
        <v>55</v>
      </c>
      <c r="Z4428" s="308">
        <v>261</v>
      </c>
      <c r="AB4428" t="str">
        <f>IF(Table1[[#This Row],[TIPO2]]="costo", VLOOKUP(Table1[[#This Row],[PARTIDA PRESUPUESTAL]],'Cost Report'!G:G,1,0),"Balance")</f>
        <v>1401-032</v>
      </c>
      <c r="AC4428" s="118"/>
      <c r="AD4428" s="159">
        <f>+Table1[[#This Row],[SUBTOTAL]]+Table1[[#This Row],[IVA]]-Table1[[#This Row],[RET IVA]]-Table1[[#This Row],[RET ISR]]-Table1[[#This Row],[TOTAL]]</f>
        <v>0</v>
      </c>
      <c r="AE4428" s="152"/>
      <c r="AF4428" s="153"/>
      <c r="AG4428" s="126"/>
      <c r="AK4428" s="306" t="str">
        <f>IF(ISNUMBER(Table1[[#This Row],[FECHA DE RECIBIDO]]), Table1[[#This Row],[FECHA DE RECIBIDO]]-DATE(2023,8,30), "")</f>
        <v/>
      </c>
    </row>
    <row r="4429" spans="1:37" ht="16.05" customHeight="1">
      <c r="A4429" s="150" t="s">
        <v>4589</v>
      </c>
      <c r="B4429" s="151">
        <v>1557</v>
      </c>
      <c r="C4429" s="126" t="s">
        <v>305</v>
      </c>
      <c r="D4429">
        <v>3039</v>
      </c>
      <c r="E4429" s="126" t="s">
        <v>3354</v>
      </c>
      <c r="F4429" s="122" t="s">
        <v>1371</v>
      </c>
      <c r="G4429" s="122" t="s">
        <v>2065</v>
      </c>
      <c r="H4429">
        <v>454</v>
      </c>
      <c r="I4429" s="122" t="s">
        <v>1546</v>
      </c>
      <c r="J4429" s="307" t="s">
        <v>214</v>
      </c>
      <c r="K4429" s="127" t="s">
        <v>4625</v>
      </c>
      <c r="L4429" s="151" t="s">
        <v>3306</v>
      </c>
      <c r="M4429">
        <v>1110</v>
      </c>
      <c r="N4429" s="123">
        <v>1</v>
      </c>
      <c r="O4429">
        <v>1480</v>
      </c>
      <c r="P4429" s="132" t="s">
        <v>77</v>
      </c>
      <c r="Q4429" s="131">
        <v>29442.720000000001</v>
      </c>
      <c r="R4429" s="131">
        <v>3768.67</v>
      </c>
      <c r="S4429" s="131"/>
      <c r="T4429" s="155">
        <v>0</v>
      </c>
      <c r="U4429" s="131">
        <v>0</v>
      </c>
      <c r="V4429" s="131">
        <v>33211.39</v>
      </c>
      <c r="W4429">
        <v>242</v>
      </c>
      <c r="X4429" s="151" t="s">
        <v>2035</v>
      </c>
      <c r="Y4429" s="135" t="s">
        <v>55</v>
      </c>
      <c r="Z4429" s="307">
        <v>261</v>
      </c>
      <c r="AB4429" t="str">
        <f>IF(Table1[[#This Row],[TIPO2]]="costo", VLOOKUP(Table1[[#This Row],[PARTIDA PRESUPUESTAL]],'Cost Report'!G:G,1,0),"Balance")</f>
        <v>1401-037</v>
      </c>
      <c r="AC4429" s="118"/>
      <c r="AD4429" s="159">
        <f>+Table1[[#This Row],[SUBTOTAL]]+Table1[[#This Row],[IVA]]-Table1[[#This Row],[RET IVA]]-Table1[[#This Row],[RET ISR]]-Table1[[#This Row],[TOTAL]]</f>
        <v>0</v>
      </c>
      <c r="AE4429" s="150"/>
      <c r="AF4429" s="151"/>
      <c r="AG4429" s="126"/>
      <c r="AK4429" s="306" t="str">
        <f>IF(ISNUMBER(Table1[[#This Row],[FECHA DE RECIBIDO]]), Table1[[#This Row],[FECHA DE RECIBIDO]]-DATE(2023,8,30), "")</f>
        <v/>
      </c>
    </row>
    <row r="4430" spans="1:37" ht="16.05" customHeight="1">
      <c r="A4430" s="150" t="s">
        <v>4589</v>
      </c>
      <c r="B4430" s="151">
        <v>1557</v>
      </c>
      <c r="C4430" s="126" t="s">
        <v>306</v>
      </c>
      <c r="D4430">
        <v>3039</v>
      </c>
      <c r="E4430" s="126" t="s">
        <v>3354</v>
      </c>
      <c r="F4430" s="125" t="s">
        <v>1371</v>
      </c>
      <c r="G4430" s="125" t="s">
        <v>2065</v>
      </c>
      <c r="H4430">
        <v>454</v>
      </c>
      <c r="I4430" s="125" t="s">
        <v>1546</v>
      </c>
      <c r="J4430" s="308" t="s">
        <v>214</v>
      </c>
      <c r="K4430" s="127" t="s">
        <v>4625</v>
      </c>
      <c r="L4430" s="153" t="s">
        <v>3306</v>
      </c>
      <c r="M4430">
        <v>1110</v>
      </c>
      <c r="N4430" s="123">
        <v>1</v>
      </c>
      <c r="O4430">
        <v>1480</v>
      </c>
      <c r="P4430" s="132" t="s">
        <v>77</v>
      </c>
      <c r="Q4430" s="132">
        <v>7360.68</v>
      </c>
      <c r="R4430" s="132">
        <v>942.17</v>
      </c>
      <c r="S4430" s="132"/>
      <c r="T4430" s="156">
        <v>0</v>
      </c>
      <c r="U4430" s="132">
        <v>0</v>
      </c>
      <c r="V4430" s="132">
        <v>8302.85</v>
      </c>
      <c r="W4430">
        <v>242</v>
      </c>
      <c r="X4430" s="153" t="s">
        <v>2035</v>
      </c>
      <c r="Y4430" s="124" t="s">
        <v>55</v>
      </c>
      <c r="Z4430" s="308">
        <v>261</v>
      </c>
      <c r="AB4430" t="str">
        <f>IF(Table1[[#This Row],[TIPO2]]="costo", VLOOKUP(Table1[[#This Row],[PARTIDA PRESUPUESTAL]],'Cost Report'!G:G,1,0),"Balance")</f>
        <v>1401-038</v>
      </c>
      <c r="AC4430" s="118"/>
      <c r="AD4430" s="159">
        <f>+Table1[[#This Row],[SUBTOTAL]]+Table1[[#This Row],[IVA]]-Table1[[#This Row],[RET IVA]]-Table1[[#This Row],[RET ISR]]-Table1[[#This Row],[TOTAL]]</f>
        <v>0</v>
      </c>
      <c r="AE4430" s="152"/>
      <c r="AF4430" s="153"/>
      <c r="AG4430" s="126"/>
      <c r="AK4430" s="306" t="str">
        <f>IF(ISNUMBER(Table1[[#This Row],[FECHA DE RECIBIDO]]), Table1[[#This Row],[FECHA DE RECIBIDO]]-DATE(2023,8,30), "")</f>
        <v/>
      </c>
    </row>
    <row r="4431" spans="1:37" ht="16.05" customHeight="1">
      <c r="A4431" s="150" t="s">
        <v>4589</v>
      </c>
      <c r="B4431" s="151">
        <v>1557</v>
      </c>
      <c r="C4431" s="126" t="s">
        <v>307</v>
      </c>
      <c r="D4431">
        <v>3039</v>
      </c>
      <c r="E4431" s="126" t="s">
        <v>3354</v>
      </c>
      <c r="F4431" s="122" t="s">
        <v>1371</v>
      </c>
      <c r="G4431" s="122" t="s">
        <v>2065</v>
      </c>
      <c r="H4431">
        <v>454</v>
      </c>
      <c r="I4431" s="122" t="s">
        <v>1546</v>
      </c>
      <c r="J4431" s="307" t="s">
        <v>214</v>
      </c>
      <c r="K4431" s="127" t="s">
        <v>4625</v>
      </c>
      <c r="L4431" s="151" t="s">
        <v>3306</v>
      </c>
      <c r="M4431">
        <v>1110</v>
      </c>
      <c r="N4431" s="123">
        <v>1</v>
      </c>
      <c r="O4431">
        <v>1480</v>
      </c>
      <c r="P4431" s="132" t="s">
        <v>77</v>
      </c>
      <c r="Q4431" s="131">
        <v>11897.54</v>
      </c>
      <c r="R4431" s="131">
        <v>1522.89</v>
      </c>
      <c r="S4431" s="131"/>
      <c r="T4431" s="155">
        <v>0</v>
      </c>
      <c r="U4431" s="131">
        <v>0</v>
      </c>
      <c r="V4431" s="131">
        <v>13420.43</v>
      </c>
      <c r="W4431">
        <v>242</v>
      </c>
      <c r="X4431" s="151" t="s">
        <v>2035</v>
      </c>
      <c r="Y4431" s="135" t="s">
        <v>55</v>
      </c>
      <c r="Z4431" s="307">
        <v>261</v>
      </c>
      <c r="AB4431" t="str">
        <f>IF(Table1[[#This Row],[TIPO2]]="costo", VLOOKUP(Table1[[#This Row],[PARTIDA PRESUPUESTAL]],'Cost Report'!G:G,1,0),"Balance")</f>
        <v>1401-039</v>
      </c>
      <c r="AC4431" s="118"/>
      <c r="AD4431" s="159">
        <f>+Table1[[#This Row],[SUBTOTAL]]+Table1[[#This Row],[IVA]]-Table1[[#This Row],[RET IVA]]-Table1[[#This Row],[RET ISR]]-Table1[[#This Row],[TOTAL]]</f>
        <v>0</v>
      </c>
      <c r="AE4431" s="150"/>
      <c r="AF4431" s="151"/>
      <c r="AG4431" s="126"/>
      <c r="AK4431" s="306" t="str">
        <f>IF(ISNUMBER(Table1[[#This Row],[FECHA DE RECIBIDO]]), Table1[[#This Row],[FECHA DE RECIBIDO]]-DATE(2023,8,30), "")</f>
        <v/>
      </c>
    </row>
    <row r="4432" spans="1:37" ht="16.05" customHeight="1">
      <c r="A4432" s="150" t="s">
        <v>4589</v>
      </c>
      <c r="B4432" s="151">
        <v>1557</v>
      </c>
      <c r="C4432" s="126" t="s">
        <v>2170</v>
      </c>
      <c r="D4432">
        <v>3039</v>
      </c>
      <c r="E4432" s="126" t="s">
        <v>3354</v>
      </c>
      <c r="F4432" s="125" t="s">
        <v>1371</v>
      </c>
      <c r="G4432" s="125" t="s">
        <v>2065</v>
      </c>
      <c r="H4432">
        <v>454</v>
      </c>
      <c r="I4432" s="125" t="s">
        <v>1546</v>
      </c>
      <c r="J4432" s="308" t="s">
        <v>214</v>
      </c>
      <c r="K4432" s="127" t="s">
        <v>4625</v>
      </c>
      <c r="L4432" s="153" t="s">
        <v>3306</v>
      </c>
      <c r="M4432">
        <v>1110</v>
      </c>
      <c r="N4432" s="123">
        <v>1</v>
      </c>
      <c r="O4432">
        <v>1480</v>
      </c>
      <c r="P4432" s="132" t="s">
        <v>77</v>
      </c>
      <c r="Q4432" s="132">
        <v>6972.31</v>
      </c>
      <c r="R4432" s="132">
        <v>892.46</v>
      </c>
      <c r="S4432" s="132"/>
      <c r="T4432" s="156">
        <v>0</v>
      </c>
      <c r="U4432" s="132">
        <v>0</v>
      </c>
      <c r="V4432" s="132">
        <v>7864.77</v>
      </c>
      <c r="W4432">
        <v>242</v>
      </c>
      <c r="X4432" s="153" t="s">
        <v>2035</v>
      </c>
      <c r="Y4432" s="124" t="s">
        <v>55</v>
      </c>
      <c r="Z4432" s="308">
        <v>261</v>
      </c>
      <c r="AB4432" t="str">
        <f>IF(Table1[[#This Row],[TIPO2]]="costo", VLOOKUP(Table1[[#This Row],[PARTIDA PRESUPUESTAL]],'Cost Report'!G:G,1,0),"Balance")</f>
        <v>1401-051</v>
      </c>
      <c r="AC4432" s="118"/>
      <c r="AD4432" s="159">
        <f>+Table1[[#This Row],[SUBTOTAL]]+Table1[[#This Row],[IVA]]-Table1[[#This Row],[RET IVA]]-Table1[[#This Row],[RET ISR]]-Table1[[#This Row],[TOTAL]]</f>
        <v>0</v>
      </c>
      <c r="AE4432" s="152"/>
      <c r="AF4432" s="153"/>
      <c r="AG4432" s="126"/>
      <c r="AK4432" s="306" t="str">
        <f>IF(ISNUMBER(Table1[[#This Row],[FECHA DE RECIBIDO]]), Table1[[#This Row],[FECHA DE RECIBIDO]]-DATE(2023,8,30), "")</f>
        <v/>
      </c>
    </row>
    <row r="4433" spans="1:37" ht="16.05" customHeight="1">
      <c r="A4433" s="150" t="s">
        <v>4589</v>
      </c>
      <c r="B4433" s="151">
        <v>1557</v>
      </c>
      <c r="C4433" s="126" t="s">
        <v>2175</v>
      </c>
      <c r="D4433">
        <v>3039</v>
      </c>
      <c r="E4433" s="126" t="s">
        <v>3354</v>
      </c>
      <c r="F4433" s="122" t="s">
        <v>1371</v>
      </c>
      <c r="G4433" s="122" t="s">
        <v>2065</v>
      </c>
      <c r="H4433">
        <v>454</v>
      </c>
      <c r="I4433" s="122" t="s">
        <v>1546</v>
      </c>
      <c r="J4433" s="307" t="s">
        <v>214</v>
      </c>
      <c r="K4433" s="127" t="s">
        <v>4625</v>
      </c>
      <c r="L4433" s="151" t="s">
        <v>3306</v>
      </c>
      <c r="M4433">
        <v>1110</v>
      </c>
      <c r="N4433" s="123">
        <v>1</v>
      </c>
      <c r="O4433">
        <v>1480</v>
      </c>
      <c r="P4433" s="132" t="s">
        <v>77</v>
      </c>
      <c r="Q4433" s="131">
        <v>29442.720000000001</v>
      </c>
      <c r="R4433" s="131">
        <v>3768.67</v>
      </c>
      <c r="S4433" s="131"/>
      <c r="T4433" s="155">
        <v>0</v>
      </c>
      <c r="U4433" s="131">
        <v>0</v>
      </c>
      <c r="V4433" s="131">
        <v>33211.39</v>
      </c>
      <c r="W4433">
        <v>242</v>
      </c>
      <c r="X4433" s="151" t="s">
        <v>2035</v>
      </c>
      <c r="Y4433" s="135" t="s">
        <v>55</v>
      </c>
      <c r="Z4433" s="307">
        <v>261</v>
      </c>
      <c r="AB4433" t="str">
        <f>IF(Table1[[#This Row],[TIPO2]]="costo", VLOOKUP(Table1[[#This Row],[PARTIDA PRESUPUESTAL]],'Cost Report'!G:G,1,0),"Balance")</f>
        <v>1401-058</v>
      </c>
      <c r="AC4433" s="118"/>
      <c r="AD4433" s="159">
        <f>+Table1[[#This Row],[SUBTOTAL]]+Table1[[#This Row],[IVA]]-Table1[[#This Row],[RET IVA]]-Table1[[#This Row],[RET ISR]]-Table1[[#This Row],[TOTAL]]</f>
        <v>0</v>
      </c>
      <c r="AE4433" s="150"/>
      <c r="AF4433" s="151"/>
      <c r="AG4433" s="126"/>
      <c r="AK4433" s="306" t="str">
        <f>IF(ISNUMBER(Table1[[#This Row],[FECHA DE RECIBIDO]]), Table1[[#This Row],[FECHA DE RECIBIDO]]-DATE(2023,8,30), "")</f>
        <v/>
      </c>
    </row>
    <row r="4434" spans="1:37" ht="16.05" customHeight="1">
      <c r="A4434" s="150" t="s">
        <v>4589</v>
      </c>
      <c r="B4434" s="151">
        <v>1557</v>
      </c>
      <c r="C4434" s="126" t="s">
        <v>2176</v>
      </c>
      <c r="D4434">
        <v>3039</v>
      </c>
      <c r="E4434" s="126" t="s">
        <v>3354</v>
      </c>
      <c r="F4434" s="125" t="s">
        <v>1371</v>
      </c>
      <c r="G4434" s="125" t="s">
        <v>2065</v>
      </c>
      <c r="H4434">
        <v>454</v>
      </c>
      <c r="I4434" s="125" t="s">
        <v>1546</v>
      </c>
      <c r="J4434" s="308" t="s">
        <v>214</v>
      </c>
      <c r="K4434" s="127" t="s">
        <v>4625</v>
      </c>
      <c r="L4434" s="153" t="s">
        <v>3306</v>
      </c>
      <c r="M4434">
        <v>1110</v>
      </c>
      <c r="N4434" s="123">
        <v>1</v>
      </c>
      <c r="O4434">
        <v>1480</v>
      </c>
      <c r="P4434" s="132" t="s">
        <v>77</v>
      </c>
      <c r="Q4434" s="132">
        <v>3680.34</v>
      </c>
      <c r="R4434" s="132">
        <v>471.08</v>
      </c>
      <c r="S4434" s="132"/>
      <c r="T4434" s="156">
        <v>0</v>
      </c>
      <c r="U4434" s="132">
        <v>0</v>
      </c>
      <c r="V4434" s="132">
        <v>4151.42</v>
      </c>
      <c r="W4434">
        <v>242</v>
      </c>
      <c r="X4434" s="153" t="s">
        <v>2035</v>
      </c>
      <c r="Y4434" s="124" t="s">
        <v>55</v>
      </c>
      <c r="Z4434" s="308">
        <v>261</v>
      </c>
      <c r="AB4434" t="str">
        <f>IF(Table1[[#This Row],[TIPO2]]="costo", VLOOKUP(Table1[[#This Row],[PARTIDA PRESUPUESTAL]],'Cost Report'!G:G,1,0),"Balance")</f>
        <v>1401-059</v>
      </c>
      <c r="AC4434" s="118"/>
      <c r="AD4434" s="159">
        <f>+Table1[[#This Row],[SUBTOTAL]]+Table1[[#This Row],[IVA]]-Table1[[#This Row],[RET IVA]]-Table1[[#This Row],[RET ISR]]-Table1[[#This Row],[TOTAL]]</f>
        <v>0</v>
      </c>
      <c r="AE4434" s="152"/>
      <c r="AF4434" s="153"/>
      <c r="AG4434" s="126"/>
      <c r="AK4434" s="306" t="str">
        <f>IF(ISNUMBER(Table1[[#This Row],[FECHA DE RECIBIDO]]), Table1[[#This Row],[FECHA DE RECIBIDO]]-DATE(2023,8,30), "")</f>
        <v/>
      </c>
    </row>
    <row r="4435" spans="1:37" ht="16.05" customHeight="1">
      <c r="A4435" s="150" t="s">
        <v>4589</v>
      </c>
      <c r="B4435" s="151">
        <v>1557</v>
      </c>
      <c r="C4435" s="126" t="s">
        <v>2180</v>
      </c>
      <c r="D4435">
        <v>3039</v>
      </c>
      <c r="E4435" s="126" t="s">
        <v>3354</v>
      </c>
      <c r="F4435" s="122" t="s">
        <v>1371</v>
      </c>
      <c r="G4435" s="122" t="s">
        <v>2065</v>
      </c>
      <c r="H4435">
        <v>454</v>
      </c>
      <c r="I4435" s="122" t="s">
        <v>1546</v>
      </c>
      <c r="J4435" s="307" t="s">
        <v>214</v>
      </c>
      <c r="K4435" s="127" t="s">
        <v>4625</v>
      </c>
      <c r="L4435" s="151" t="s">
        <v>3306</v>
      </c>
      <c r="M4435">
        <v>1110</v>
      </c>
      <c r="N4435" s="123">
        <v>1</v>
      </c>
      <c r="O4435">
        <v>1480</v>
      </c>
      <c r="P4435" s="132" t="s">
        <v>77</v>
      </c>
      <c r="Q4435" s="131">
        <v>45824.17</v>
      </c>
      <c r="R4435" s="131">
        <v>5865.49</v>
      </c>
      <c r="S4435" s="131"/>
      <c r="T4435" s="155">
        <v>0</v>
      </c>
      <c r="U4435" s="131">
        <v>0</v>
      </c>
      <c r="V4435" s="131">
        <v>51689.659999999996</v>
      </c>
      <c r="W4435">
        <v>242</v>
      </c>
      <c r="X4435" s="151" t="s">
        <v>2035</v>
      </c>
      <c r="Y4435" s="135" t="s">
        <v>55</v>
      </c>
      <c r="Z4435" s="307">
        <v>261</v>
      </c>
      <c r="AB4435" t="str">
        <f>IF(Table1[[#This Row],[TIPO2]]="costo", VLOOKUP(Table1[[#This Row],[PARTIDA PRESUPUESTAL]],'Cost Report'!G:G,1,0),"Balance")</f>
        <v>1401-065</v>
      </c>
      <c r="AC4435" s="118"/>
      <c r="AD4435" s="159">
        <f>+Table1[[#This Row],[SUBTOTAL]]+Table1[[#This Row],[IVA]]-Table1[[#This Row],[RET IVA]]-Table1[[#This Row],[RET ISR]]-Table1[[#This Row],[TOTAL]]</f>
        <v>0</v>
      </c>
      <c r="AE4435" s="150"/>
      <c r="AF4435" s="151"/>
      <c r="AG4435" s="126"/>
      <c r="AK4435" s="306" t="str">
        <f>IF(ISNUMBER(Table1[[#This Row],[FECHA DE RECIBIDO]]), Table1[[#This Row],[FECHA DE RECIBIDO]]-DATE(2023,8,30), "")</f>
        <v/>
      </c>
    </row>
    <row r="4436" spans="1:37" ht="16.05" customHeight="1">
      <c r="A4436" s="150" t="s">
        <v>4589</v>
      </c>
      <c r="B4436" s="151">
        <v>1557</v>
      </c>
      <c r="C4436" s="126" t="s">
        <v>2182</v>
      </c>
      <c r="D4436">
        <v>3039</v>
      </c>
      <c r="E4436" s="126" t="s">
        <v>3354</v>
      </c>
      <c r="F4436" s="125" t="s">
        <v>1371</v>
      </c>
      <c r="G4436" s="125" t="s">
        <v>2065</v>
      </c>
      <c r="H4436">
        <v>454</v>
      </c>
      <c r="I4436" s="125" t="s">
        <v>1546</v>
      </c>
      <c r="J4436" s="308" t="s">
        <v>214</v>
      </c>
      <c r="K4436" s="127" t="s">
        <v>4625</v>
      </c>
      <c r="L4436" s="153" t="s">
        <v>3306</v>
      </c>
      <c r="M4436">
        <v>1110</v>
      </c>
      <c r="N4436" s="123">
        <v>1</v>
      </c>
      <c r="O4436">
        <v>1480</v>
      </c>
      <c r="P4436" s="132" t="s">
        <v>77</v>
      </c>
      <c r="Q4436" s="132">
        <v>11897.54</v>
      </c>
      <c r="R4436" s="132">
        <v>1522.89</v>
      </c>
      <c r="S4436" s="132"/>
      <c r="T4436" s="156">
        <v>0</v>
      </c>
      <c r="U4436" s="132">
        <v>0</v>
      </c>
      <c r="V4436" s="132">
        <v>13420.43</v>
      </c>
      <c r="W4436">
        <v>242</v>
      </c>
      <c r="X4436" s="153" t="s">
        <v>2035</v>
      </c>
      <c r="Y4436" s="124" t="s">
        <v>55</v>
      </c>
      <c r="Z4436" s="308">
        <v>261</v>
      </c>
      <c r="AB4436" t="str">
        <f>IF(Table1[[#This Row],[TIPO2]]="costo", VLOOKUP(Table1[[#This Row],[PARTIDA PRESUPUESTAL]],'Cost Report'!G:G,1,0),"Balance")</f>
        <v>1401-067</v>
      </c>
      <c r="AC4436" s="118"/>
      <c r="AD4436" s="159">
        <f>+Table1[[#This Row],[SUBTOTAL]]+Table1[[#This Row],[IVA]]-Table1[[#This Row],[RET IVA]]-Table1[[#This Row],[RET ISR]]-Table1[[#This Row],[TOTAL]]</f>
        <v>0</v>
      </c>
      <c r="AE4436" s="152"/>
      <c r="AF4436" s="153"/>
      <c r="AG4436" s="126"/>
      <c r="AK4436" s="306" t="str">
        <f>IF(ISNUMBER(Table1[[#This Row],[FECHA DE RECIBIDO]]), Table1[[#This Row],[FECHA DE RECIBIDO]]-DATE(2023,8,30), "")</f>
        <v/>
      </c>
    </row>
    <row r="4437" spans="1:37" ht="16.05" customHeight="1">
      <c r="A4437" s="150" t="s">
        <v>4589</v>
      </c>
      <c r="B4437" s="151">
        <v>1557</v>
      </c>
      <c r="C4437" s="126" t="s">
        <v>2187</v>
      </c>
      <c r="D4437">
        <v>3039</v>
      </c>
      <c r="E4437" s="126" t="s">
        <v>3354</v>
      </c>
      <c r="F4437" s="122" t="s">
        <v>1371</v>
      </c>
      <c r="G4437" s="122" t="s">
        <v>2065</v>
      </c>
      <c r="H4437">
        <v>454</v>
      </c>
      <c r="I4437" s="122" t="s">
        <v>1546</v>
      </c>
      <c r="J4437" s="307" t="s">
        <v>214</v>
      </c>
      <c r="K4437" s="127" t="s">
        <v>4625</v>
      </c>
      <c r="L4437" s="151" t="s">
        <v>3306</v>
      </c>
      <c r="M4437">
        <v>1110</v>
      </c>
      <c r="N4437" s="123">
        <v>1</v>
      </c>
      <c r="O4437">
        <v>1480</v>
      </c>
      <c r="P4437" s="132" t="s">
        <v>77</v>
      </c>
      <c r="Q4437" s="131">
        <v>43775.71</v>
      </c>
      <c r="R4437" s="131">
        <v>5603.29</v>
      </c>
      <c r="S4437" s="131"/>
      <c r="T4437" s="155">
        <v>0</v>
      </c>
      <c r="U4437" s="131">
        <v>0</v>
      </c>
      <c r="V4437" s="131">
        <v>49379</v>
      </c>
      <c r="W4437">
        <v>242</v>
      </c>
      <c r="X4437" s="151" t="s">
        <v>2035</v>
      </c>
      <c r="Y4437" s="135" t="s">
        <v>55</v>
      </c>
      <c r="Z4437" s="307">
        <v>261</v>
      </c>
      <c r="AB4437" t="str">
        <f>IF(Table1[[#This Row],[TIPO2]]="costo", VLOOKUP(Table1[[#This Row],[PARTIDA PRESUPUESTAL]],'Cost Report'!G:G,1,0),"Balance")</f>
        <v>1401-076</v>
      </c>
      <c r="AC4437" s="118"/>
      <c r="AD4437" s="159">
        <f>+Table1[[#This Row],[SUBTOTAL]]+Table1[[#This Row],[IVA]]-Table1[[#This Row],[RET IVA]]-Table1[[#This Row],[RET ISR]]-Table1[[#This Row],[TOTAL]]</f>
        <v>0</v>
      </c>
      <c r="AE4437" s="150"/>
      <c r="AF4437" s="151"/>
      <c r="AG4437" s="126"/>
      <c r="AK4437" s="306" t="str">
        <f>IF(ISNUMBER(Table1[[#This Row],[FECHA DE RECIBIDO]]), Table1[[#This Row],[FECHA DE RECIBIDO]]-DATE(2023,8,30), "")</f>
        <v/>
      </c>
    </row>
    <row r="4438" spans="1:37" ht="16.05" customHeight="1">
      <c r="A4438" s="150" t="s">
        <v>4589</v>
      </c>
      <c r="B4438" s="151">
        <v>1557</v>
      </c>
      <c r="C4438" s="126" t="s">
        <v>2188</v>
      </c>
      <c r="D4438">
        <v>3039</v>
      </c>
      <c r="E4438" s="126" t="s">
        <v>3354</v>
      </c>
      <c r="F4438" s="125" t="s">
        <v>1371</v>
      </c>
      <c r="G4438" s="125" t="s">
        <v>2065</v>
      </c>
      <c r="H4438">
        <v>454</v>
      </c>
      <c r="I4438" s="125" t="s">
        <v>1546</v>
      </c>
      <c r="J4438" s="308" t="s">
        <v>214</v>
      </c>
      <c r="K4438" s="127" t="s">
        <v>4625</v>
      </c>
      <c r="L4438" s="153" t="s">
        <v>3306</v>
      </c>
      <c r="M4438">
        <v>1110</v>
      </c>
      <c r="N4438" s="123">
        <v>1</v>
      </c>
      <c r="O4438">
        <v>1480</v>
      </c>
      <c r="P4438" s="132" t="s">
        <v>77</v>
      </c>
      <c r="Q4438" s="132">
        <v>7360.68</v>
      </c>
      <c r="R4438" s="132">
        <v>942.17</v>
      </c>
      <c r="S4438" s="132"/>
      <c r="T4438" s="156">
        <v>0</v>
      </c>
      <c r="U4438" s="132">
        <v>0</v>
      </c>
      <c r="V4438" s="132">
        <v>8302.85</v>
      </c>
      <c r="W4438">
        <v>242</v>
      </c>
      <c r="X4438" s="153" t="s">
        <v>2035</v>
      </c>
      <c r="Y4438" s="124" t="s">
        <v>55</v>
      </c>
      <c r="Z4438" s="308">
        <v>261</v>
      </c>
      <c r="AB4438" t="str">
        <f>IF(Table1[[#This Row],[TIPO2]]="costo", VLOOKUP(Table1[[#This Row],[PARTIDA PRESUPUESTAL]],'Cost Report'!G:G,1,0),"Balance")</f>
        <v>1401-077</v>
      </c>
      <c r="AC4438" s="118"/>
      <c r="AD4438" s="159">
        <f>+Table1[[#This Row],[SUBTOTAL]]+Table1[[#This Row],[IVA]]-Table1[[#This Row],[RET IVA]]-Table1[[#This Row],[RET ISR]]-Table1[[#This Row],[TOTAL]]</f>
        <v>0</v>
      </c>
      <c r="AE4438" s="152"/>
      <c r="AF4438" s="153"/>
      <c r="AG4438" s="126"/>
      <c r="AK4438" s="306" t="str">
        <f>IF(ISNUMBER(Table1[[#This Row],[FECHA DE RECIBIDO]]), Table1[[#This Row],[FECHA DE RECIBIDO]]-DATE(2023,8,30), "")</f>
        <v/>
      </c>
    </row>
    <row r="4439" spans="1:37" ht="16.05" customHeight="1">
      <c r="A4439" s="150" t="s">
        <v>4589</v>
      </c>
      <c r="B4439" s="151">
        <v>1557</v>
      </c>
      <c r="C4439" s="126" t="s">
        <v>2189</v>
      </c>
      <c r="D4439">
        <v>3039</v>
      </c>
      <c r="E4439" s="126" t="s">
        <v>3354</v>
      </c>
      <c r="F4439" s="122" t="s">
        <v>1371</v>
      </c>
      <c r="G4439" s="122" t="s">
        <v>2065</v>
      </c>
      <c r="H4439">
        <v>454</v>
      </c>
      <c r="I4439" s="122" t="s">
        <v>1546</v>
      </c>
      <c r="J4439" s="307" t="s">
        <v>214</v>
      </c>
      <c r="K4439" s="127" t="s">
        <v>4625</v>
      </c>
      <c r="L4439" s="151" t="s">
        <v>3306</v>
      </c>
      <c r="M4439">
        <v>1110</v>
      </c>
      <c r="N4439" s="123">
        <v>1</v>
      </c>
      <c r="O4439">
        <v>1480</v>
      </c>
      <c r="P4439" s="132" t="s">
        <v>77</v>
      </c>
      <c r="Q4439" s="131">
        <v>15179.62</v>
      </c>
      <c r="R4439" s="131">
        <v>1942.99</v>
      </c>
      <c r="S4439" s="131"/>
      <c r="T4439" s="155">
        <v>0</v>
      </c>
      <c r="U4439" s="131">
        <v>0</v>
      </c>
      <c r="V4439" s="131">
        <v>17122.61</v>
      </c>
      <c r="W4439">
        <v>242</v>
      </c>
      <c r="X4439" s="151" t="s">
        <v>2035</v>
      </c>
      <c r="Y4439" s="135" t="s">
        <v>55</v>
      </c>
      <c r="Z4439" s="307">
        <v>261</v>
      </c>
      <c r="AB4439" t="str">
        <f>IF(Table1[[#This Row],[TIPO2]]="costo", VLOOKUP(Table1[[#This Row],[PARTIDA PRESUPUESTAL]],'Cost Report'!G:G,1,0),"Balance")</f>
        <v>1401-078</v>
      </c>
      <c r="AC4439" s="118"/>
      <c r="AD4439" s="159">
        <f>+Table1[[#This Row],[SUBTOTAL]]+Table1[[#This Row],[IVA]]-Table1[[#This Row],[RET IVA]]-Table1[[#This Row],[RET ISR]]-Table1[[#This Row],[TOTAL]]</f>
        <v>0</v>
      </c>
      <c r="AE4439" s="150"/>
      <c r="AF4439" s="151"/>
      <c r="AG4439" s="126"/>
      <c r="AK4439" s="306" t="str">
        <f>IF(ISNUMBER(Table1[[#This Row],[FECHA DE RECIBIDO]]), Table1[[#This Row],[FECHA DE RECIBIDO]]-DATE(2023,8,30), "")</f>
        <v/>
      </c>
    </row>
    <row r="4440" spans="1:37" ht="16.05" customHeight="1">
      <c r="A4440" s="150" t="s">
        <v>4589</v>
      </c>
      <c r="B4440" s="151">
        <v>1557</v>
      </c>
      <c r="C4440" s="126" t="s">
        <v>313</v>
      </c>
      <c r="D4440">
        <v>3039</v>
      </c>
      <c r="E4440" s="126" t="s">
        <v>3354</v>
      </c>
      <c r="F4440" s="125" t="s">
        <v>1371</v>
      </c>
      <c r="G4440" s="125" t="s">
        <v>2065</v>
      </c>
      <c r="H4440">
        <v>454</v>
      </c>
      <c r="I4440" s="125" t="s">
        <v>1546</v>
      </c>
      <c r="J4440" s="308" t="s">
        <v>214</v>
      </c>
      <c r="K4440" s="127" t="s">
        <v>4625</v>
      </c>
      <c r="L4440" s="153" t="s">
        <v>3306</v>
      </c>
      <c r="M4440">
        <v>1110</v>
      </c>
      <c r="N4440" s="123">
        <v>1</v>
      </c>
      <c r="O4440">
        <v>1480</v>
      </c>
      <c r="P4440" s="132" t="s">
        <v>77</v>
      </c>
      <c r="Q4440" s="132">
        <v>3680.34</v>
      </c>
      <c r="R4440" s="132">
        <v>471.08</v>
      </c>
      <c r="S4440" s="132"/>
      <c r="T4440" s="156">
        <v>0</v>
      </c>
      <c r="U4440" s="132">
        <v>0</v>
      </c>
      <c r="V4440" s="132">
        <v>4151.42</v>
      </c>
      <c r="W4440">
        <v>242</v>
      </c>
      <c r="X4440" s="153" t="s">
        <v>2035</v>
      </c>
      <c r="Y4440" s="124" t="s">
        <v>55</v>
      </c>
      <c r="Z4440" s="308">
        <v>261</v>
      </c>
      <c r="AB4440" t="str">
        <f>IF(Table1[[#This Row],[TIPO2]]="costo", VLOOKUP(Table1[[#This Row],[PARTIDA PRESUPUESTAL]],'Cost Report'!G:G,1,0),"Balance")</f>
        <v>1403-003</v>
      </c>
      <c r="AC4440" s="118"/>
      <c r="AD4440" s="159">
        <f>+Table1[[#This Row],[SUBTOTAL]]+Table1[[#This Row],[IVA]]-Table1[[#This Row],[RET IVA]]-Table1[[#This Row],[RET ISR]]-Table1[[#This Row],[TOTAL]]</f>
        <v>0</v>
      </c>
      <c r="AE4440" s="152"/>
      <c r="AF4440" s="153"/>
      <c r="AG4440" s="126"/>
      <c r="AK4440" s="306" t="str">
        <f>IF(ISNUMBER(Table1[[#This Row],[FECHA DE RECIBIDO]]), Table1[[#This Row],[FECHA DE RECIBIDO]]-DATE(2023,8,30), "")</f>
        <v/>
      </c>
    </row>
    <row r="4441" spans="1:37" ht="16.05" customHeight="1">
      <c r="A4441" s="150" t="s">
        <v>4589</v>
      </c>
      <c r="B4441" s="151">
        <v>1557</v>
      </c>
      <c r="C4441" s="126" t="s">
        <v>333</v>
      </c>
      <c r="D4441">
        <v>3039</v>
      </c>
      <c r="E4441" s="126" t="s">
        <v>3354</v>
      </c>
      <c r="F4441" s="122" t="s">
        <v>1371</v>
      </c>
      <c r="G4441" s="122" t="s">
        <v>2065</v>
      </c>
      <c r="H4441">
        <v>454</v>
      </c>
      <c r="I4441" s="122" t="s">
        <v>1546</v>
      </c>
      <c r="J4441" s="307" t="s">
        <v>214</v>
      </c>
      <c r="K4441" s="127" t="s">
        <v>4625</v>
      </c>
      <c r="L4441" s="151" t="s">
        <v>3306</v>
      </c>
      <c r="M4441">
        <v>1110</v>
      </c>
      <c r="N4441" s="123">
        <v>1</v>
      </c>
      <c r="O4441">
        <v>1480</v>
      </c>
      <c r="P4441" s="132" t="s">
        <v>77</v>
      </c>
      <c r="Q4441" s="131">
        <v>9071.69</v>
      </c>
      <c r="R4441" s="131">
        <v>1161.18</v>
      </c>
      <c r="S4441" s="131"/>
      <c r="T4441" s="155">
        <v>0</v>
      </c>
      <c r="U4441" s="131">
        <v>0</v>
      </c>
      <c r="V4441" s="131">
        <v>10232.870000000001</v>
      </c>
      <c r="W4441">
        <v>242</v>
      </c>
      <c r="X4441" s="151" t="s">
        <v>2035</v>
      </c>
      <c r="Y4441" s="135" t="s">
        <v>55</v>
      </c>
      <c r="Z4441" s="307">
        <v>261</v>
      </c>
      <c r="AB4441" t="str">
        <f>IF(Table1[[#This Row],[TIPO2]]="costo", VLOOKUP(Table1[[#This Row],[PARTIDA PRESUPUESTAL]],'Cost Report'!G:G,1,0),"Balance")</f>
        <v>1403-031</v>
      </c>
      <c r="AC4441" s="118"/>
      <c r="AD4441" s="159">
        <f>+Table1[[#This Row],[SUBTOTAL]]+Table1[[#This Row],[IVA]]-Table1[[#This Row],[RET IVA]]-Table1[[#This Row],[RET ISR]]-Table1[[#This Row],[TOTAL]]</f>
        <v>0</v>
      </c>
      <c r="AE4441" s="150"/>
      <c r="AF4441" s="151"/>
      <c r="AG4441" s="126"/>
      <c r="AK4441" s="306" t="str">
        <f>IF(ISNUMBER(Table1[[#This Row],[FECHA DE RECIBIDO]]), Table1[[#This Row],[FECHA DE RECIBIDO]]-DATE(2023,8,30), "")</f>
        <v/>
      </c>
    </row>
    <row r="4442" spans="1:37" ht="16.05" customHeight="1">
      <c r="A4442" s="150" t="s">
        <v>4589</v>
      </c>
      <c r="B4442" s="151">
        <v>1557</v>
      </c>
      <c r="C4442" s="126" t="s">
        <v>335</v>
      </c>
      <c r="D4442">
        <v>3039</v>
      </c>
      <c r="E4442" s="126" t="s">
        <v>3354</v>
      </c>
      <c r="F4442" s="125" t="s">
        <v>1371</v>
      </c>
      <c r="G4442" s="125" t="s">
        <v>2065</v>
      </c>
      <c r="H4442">
        <v>454</v>
      </c>
      <c r="I4442" s="125" t="s">
        <v>1546</v>
      </c>
      <c r="J4442" s="308" t="s">
        <v>214</v>
      </c>
      <c r="K4442" s="127" t="s">
        <v>4625</v>
      </c>
      <c r="L4442" s="153" t="s">
        <v>3306</v>
      </c>
      <c r="M4442">
        <v>1110</v>
      </c>
      <c r="N4442" s="123">
        <v>1</v>
      </c>
      <c r="O4442">
        <v>1480</v>
      </c>
      <c r="P4442" s="132" t="s">
        <v>77</v>
      </c>
      <c r="Q4442" s="132">
        <v>5159.26</v>
      </c>
      <c r="R4442" s="132">
        <v>660.39</v>
      </c>
      <c r="S4442" s="132"/>
      <c r="T4442" s="156">
        <v>0</v>
      </c>
      <c r="U4442" s="132">
        <v>0</v>
      </c>
      <c r="V4442" s="132">
        <v>5819.6500000000005</v>
      </c>
      <c r="W4442">
        <v>242</v>
      </c>
      <c r="X4442" s="153" t="s">
        <v>2035</v>
      </c>
      <c r="Y4442" s="124" t="s">
        <v>55</v>
      </c>
      <c r="Z4442" s="308">
        <v>261</v>
      </c>
      <c r="AB4442" t="str">
        <f>IF(Table1[[#This Row],[TIPO2]]="costo", VLOOKUP(Table1[[#This Row],[PARTIDA PRESUPUESTAL]],'Cost Report'!G:G,1,0),"Balance")</f>
        <v>1403-033</v>
      </c>
      <c r="AC4442" s="118"/>
      <c r="AD4442" s="159">
        <f>+Table1[[#This Row],[SUBTOTAL]]+Table1[[#This Row],[IVA]]-Table1[[#This Row],[RET IVA]]-Table1[[#This Row],[RET ISR]]-Table1[[#This Row],[TOTAL]]</f>
        <v>0</v>
      </c>
      <c r="AE4442" s="152"/>
      <c r="AF4442" s="153"/>
      <c r="AG4442" s="126"/>
      <c r="AK4442" s="306" t="str">
        <f>IF(ISNUMBER(Table1[[#This Row],[FECHA DE RECIBIDO]]), Table1[[#This Row],[FECHA DE RECIBIDO]]-DATE(2023,8,30), "")</f>
        <v/>
      </c>
    </row>
    <row r="4443" spans="1:37" ht="16.05" customHeight="1">
      <c r="A4443" s="150" t="s">
        <v>4589</v>
      </c>
      <c r="B4443" s="151">
        <v>1557</v>
      </c>
      <c r="C4443" s="126" t="s">
        <v>2192</v>
      </c>
      <c r="D4443">
        <v>3039</v>
      </c>
      <c r="E4443" s="126" t="s">
        <v>3354</v>
      </c>
      <c r="F4443" s="122" t="s">
        <v>1371</v>
      </c>
      <c r="G4443" s="122" t="s">
        <v>2065</v>
      </c>
      <c r="H4443">
        <v>454</v>
      </c>
      <c r="I4443" s="122" t="s">
        <v>1546</v>
      </c>
      <c r="J4443" s="307" t="s">
        <v>214</v>
      </c>
      <c r="K4443" s="127" t="s">
        <v>4625</v>
      </c>
      <c r="L4443" s="151" t="s">
        <v>3306</v>
      </c>
      <c r="M4443">
        <v>1110</v>
      </c>
      <c r="N4443" s="123">
        <v>1</v>
      </c>
      <c r="O4443">
        <v>1480</v>
      </c>
      <c r="P4443" s="132" t="s">
        <v>77</v>
      </c>
      <c r="Q4443" s="131">
        <v>3680.34</v>
      </c>
      <c r="R4443" s="131">
        <v>471.08</v>
      </c>
      <c r="S4443" s="131"/>
      <c r="T4443" s="155">
        <v>0</v>
      </c>
      <c r="U4443" s="131">
        <v>0</v>
      </c>
      <c r="V4443" s="131">
        <v>4151.42</v>
      </c>
      <c r="W4443">
        <v>242</v>
      </c>
      <c r="X4443" s="151" t="s">
        <v>2035</v>
      </c>
      <c r="Y4443" s="135" t="s">
        <v>55</v>
      </c>
      <c r="Z4443" s="307">
        <v>261</v>
      </c>
      <c r="AB4443" t="str">
        <f>IF(Table1[[#This Row],[TIPO2]]="costo", VLOOKUP(Table1[[#This Row],[PARTIDA PRESUPUESTAL]],'Cost Report'!G:G,1,0),"Balance")</f>
        <v>1403-059</v>
      </c>
      <c r="AC4443" s="118"/>
      <c r="AD4443" s="159">
        <f>+Table1[[#This Row],[SUBTOTAL]]+Table1[[#This Row],[IVA]]-Table1[[#This Row],[RET IVA]]-Table1[[#This Row],[RET ISR]]-Table1[[#This Row],[TOTAL]]</f>
        <v>0</v>
      </c>
      <c r="AE4443" s="150"/>
      <c r="AF4443" s="151"/>
      <c r="AG4443" s="126"/>
      <c r="AK4443" s="306" t="str">
        <f>IF(ISNUMBER(Table1[[#This Row],[FECHA DE RECIBIDO]]), Table1[[#This Row],[FECHA DE RECIBIDO]]-DATE(2023,8,30), "")</f>
        <v/>
      </c>
    </row>
    <row r="4444" spans="1:37" ht="16.05" customHeight="1">
      <c r="A4444" s="150" t="s">
        <v>4589</v>
      </c>
      <c r="B4444" s="151">
        <v>1557</v>
      </c>
      <c r="C4444" s="126" t="s">
        <v>2197</v>
      </c>
      <c r="D4444">
        <v>3039</v>
      </c>
      <c r="E4444" s="126" t="s">
        <v>3354</v>
      </c>
      <c r="F4444" s="125" t="s">
        <v>1371</v>
      </c>
      <c r="G4444" s="125" t="s">
        <v>2065</v>
      </c>
      <c r="H4444">
        <v>454</v>
      </c>
      <c r="I4444" s="125" t="s">
        <v>1546</v>
      </c>
      <c r="J4444" s="308" t="s">
        <v>214</v>
      </c>
      <c r="K4444" s="127" t="s">
        <v>4625</v>
      </c>
      <c r="L4444" s="153" t="s">
        <v>3306</v>
      </c>
      <c r="M4444">
        <v>1110</v>
      </c>
      <c r="N4444" s="123">
        <v>1</v>
      </c>
      <c r="O4444">
        <v>1480</v>
      </c>
      <c r="P4444" s="132" t="s">
        <v>77</v>
      </c>
      <c r="Q4444" s="132">
        <v>11041.02</v>
      </c>
      <c r="R4444" s="132">
        <v>1413.25</v>
      </c>
      <c r="S4444" s="132"/>
      <c r="T4444" s="156">
        <v>0</v>
      </c>
      <c r="U4444" s="132">
        <v>0</v>
      </c>
      <c r="V4444" s="132">
        <v>12454.27</v>
      </c>
      <c r="W4444">
        <v>242</v>
      </c>
      <c r="X4444" s="153" t="s">
        <v>2035</v>
      </c>
      <c r="Y4444" s="124" t="s">
        <v>55</v>
      </c>
      <c r="Z4444" s="308">
        <v>261</v>
      </c>
      <c r="AB4444" t="str">
        <f>IF(Table1[[#This Row],[TIPO2]]="costo", VLOOKUP(Table1[[#This Row],[PARTIDA PRESUPUESTAL]],'Cost Report'!G:G,1,0),"Balance")</f>
        <v>1403-066</v>
      </c>
      <c r="AC4444" s="118"/>
      <c r="AD4444" s="159">
        <f>+Table1[[#This Row],[SUBTOTAL]]+Table1[[#This Row],[IVA]]-Table1[[#This Row],[RET IVA]]-Table1[[#This Row],[RET ISR]]-Table1[[#This Row],[TOTAL]]</f>
        <v>0</v>
      </c>
      <c r="AE4444" s="152"/>
      <c r="AF4444" s="153"/>
      <c r="AG4444" s="126"/>
      <c r="AK4444" s="306" t="str">
        <f>IF(ISNUMBER(Table1[[#This Row],[FECHA DE RECIBIDO]]), Table1[[#This Row],[FECHA DE RECIBIDO]]-DATE(2023,8,30), "")</f>
        <v/>
      </c>
    </row>
    <row r="4445" spans="1:37" ht="16.05" customHeight="1">
      <c r="A4445" s="150" t="s">
        <v>4589</v>
      </c>
      <c r="B4445" s="151">
        <v>1557</v>
      </c>
      <c r="C4445" s="126" t="s">
        <v>2199</v>
      </c>
      <c r="D4445">
        <v>3039</v>
      </c>
      <c r="E4445" s="126" t="s">
        <v>3354</v>
      </c>
      <c r="F4445" s="122" t="s">
        <v>1371</v>
      </c>
      <c r="G4445" s="122" t="s">
        <v>2065</v>
      </c>
      <c r="H4445">
        <v>454</v>
      </c>
      <c r="I4445" s="122" t="s">
        <v>1546</v>
      </c>
      <c r="J4445" s="307" t="s">
        <v>214</v>
      </c>
      <c r="K4445" s="127" t="s">
        <v>4625</v>
      </c>
      <c r="L4445" s="151" t="s">
        <v>3306</v>
      </c>
      <c r="M4445">
        <v>1110</v>
      </c>
      <c r="N4445" s="123">
        <v>1</v>
      </c>
      <c r="O4445">
        <v>1480</v>
      </c>
      <c r="P4445" s="132" t="s">
        <v>77</v>
      </c>
      <c r="Q4445" s="131">
        <v>3692.34</v>
      </c>
      <c r="R4445" s="131">
        <v>472.62</v>
      </c>
      <c r="S4445" s="131"/>
      <c r="T4445" s="155">
        <v>0</v>
      </c>
      <c r="U4445" s="131">
        <v>0</v>
      </c>
      <c r="V4445" s="131">
        <v>4164.96</v>
      </c>
      <c r="W4445">
        <v>242</v>
      </c>
      <c r="X4445" s="151" t="s">
        <v>2035</v>
      </c>
      <c r="Y4445" s="135" t="s">
        <v>55</v>
      </c>
      <c r="Z4445" s="307">
        <v>261</v>
      </c>
      <c r="AB4445" t="str">
        <f>IF(Table1[[#This Row],[TIPO2]]="costo", VLOOKUP(Table1[[#This Row],[PARTIDA PRESUPUESTAL]],'Cost Report'!G:G,1,0),"Balance")</f>
        <v>1403-068</v>
      </c>
      <c r="AC4445" s="118"/>
      <c r="AD4445" s="159">
        <f>+Table1[[#This Row],[SUBTOTAL]]+Table1[[#This Row],[IVA]]-Table1[[#This Row],[RET IVA]]-Table1[[#This Row],[RET ISR]]-Table1[[#This Row],[TOTAL]]</f>
        <v>0</v>
      </c>
      <c r="AE4445" s="150"/>
      <c r="AF4445" s="151"/>
      <c r="AG4445" s="126"/>
      <c r="AK4445" s="306" t="str">
        <f>IF(ISNUMBER(Table1[[#This Row],[FECHA DE RECIBIDO]]), Table1[[#This Row],[FECHA DE RECIBIDO]]-DATE(2023,8,30), "")</f>
        <v/>
      </c>
    </row>
    <row r="4446" spans="1:37" ht="16.05" customHeight="1">
      <c r="A4446" s="150" t="s">
        <v>4589</v>
      </c>
      <c r="B4446" s="151">
        <v>1557</v>
      </c>
      <c r="C4446" s="126" t="s">
        <v>2219</v>
      </c>
      <c r="D4446">
        <v>3039</v>
      </c>
      <c r="E4446" s="126" t="s">
        <v>3354</v>
      </c>
      <c r="F4446" s="125" t="s">
        <v>1371</v>
      </c>
      <c r="G4446" s="125" t="s">
        <v>2065</v>
      </c>
      <c r="H4446">
        <v>454</v>
      </c>
      <c r="I4446" s="125" t="s">
        <v>1546</v>
      </c>
      <c r="J4446" s="308" t="s">
        <v>214</v>
      </c>
      <c r="K4446" s="127" t="s">
        <v>4625</v>
      </c>
      <c r="L4446" s="153" t="s">
        <v>3306</v>
      </c>
      <c r="M4446">
        <v>1110</v>
      </c>
      <c r="N4446" s="123">
        <v>1</v>
      </c>
      <c r="O4446">
        <v>1480</v>
      </c>
      <c r="P4446" s="132" t="s">
        <v>77</v>
      </c>
      <c r="Q4446" s="132">
        <v>4206.1000000000004</v>
      </c>
      <c r="R4446" s="132">
        <v>538.38</v>
      </c>
      <c r="S4446" s="132"/>
      <c r="T4446" s="156">
        <v>0</v>
      </c>
      <c r="U4446" s="132">
        <v>0</v>
      </c>
      <c r="V4446" s="132">
        <v>4744.4800000000005</v>
      </c>
      <c r="W4446">
        <v>242</v>
      </c>
      <c r="X4446" s="153" t="s">
        <v>2035</v>
      </c>
      <c r="Y4446" s="124" t="s">
        <v>55</v>
      </c>
      <c r="Z4446" s="308">
        <v>261</v>
      </c>
      <c r="AB4446" t="str">
        <f>IF(Table1[[#This Row],[TIPO2]]="costo", VLOOKUP(Table1[[#This Row],[PARTIDA PRESUPUESTAL]],'Cost Report'!G:G,1,0),"Balance")</f>
        <v>1406-004</v>
      </c>
      <c r="AC4446" s="118"/>
      <c r="AD4446" s="159">
        <f>+Table1[[#This Row],[SUBTOTAL]]+Table1[[#This Row],[IVA]]-Table1[[#This Row],[RET IVA]]-Table1[[#This Row],[RET ISR]]-Table1[[#This Row],[TOTAL]]</f>
        <v>0</v>
      </c>
      <c r="AE4446" s="152"/>
      <c r="AF4446" s="153"/>
      <c r="AG4446" s="126"/>
      <c r="AK4446" s="306" t="str">
        <f>IF(ISNUMBER(Table1[[#This Row],[FECHA DE RECIBIDO]]), Table1[[#This Row],[FECHA DE RECIBIDO]]-DATE(2023,8,30), "")</f>
        <v/>
      </c>
    </row>
    <row r="4447" spans="1:37" ht="16.05" customHeight="1">
      <c r="A4447" s="150" t="s">
        <v>4589</v>
      </c>
      <c r="B4447" s="151">
        <v>1557</v>
      </c>
      <c r="C4447" s="126" t="s">
        <v>2220</v>
      </c>
      <c r="D4447">
        <v>3039</v>
      </c>
      <c r="E4447" s="126" t="s">
        <v>3354</v>
      </c>
      <c r="F4447" s="122" t="s">
        <v>1371</v>
      </c>
      <c r="G4447" s="122" t="s">
        <v>2065</v>
      </c>
      <c r="H4447">
        <v>454</v>
      </c>
      <c r="I4447" s="122" t="s">
        <v>1546</v>
      </c>
      <c r="J4447" s="307" t="s">
        <v>214</v>
      </c>
      <c r="K4447" s="127" t="s">
        <v>4625</v>
      </c>
      <c r="L4447" s="151" t="s">
        <v>3306</v>
      </c>
      <c r="M4447">
        <v>1110</v>
      </c>
      <c r="N4447" s="123">
        <v>1</v>
      </c>
      <c r="O4447">
        <v>1480</v>
      </c>
      <c r="P4447" s="132" t="s">
        <v>77</v>
      </c>
      <c r="Q4447" s="131">
        <v>36143.89</v>
      </c>
      <c r="R4447" s="131">
        <v>4626.42</v>
      </c>
      <c r="S4447" s="131"/>
      <c r="T4447" s="155">
        <v>0</v>
      </c>
      <c r="U4447" s="131">
        <v>0</v>
      </c>
      <c r="V4447" s="131">
        <v>40770.31</v>
      </c>
      <c r="W4447">
        <v>242</v>
      </c>
      <c r="X4447" s="151" t="s">
        <v>2035</v>
      </c>
      <c r="Y4447" s="135" t="s">
        <v>55</v>
      </c>
      <c r="Z4447" s="307">
        <v>261</v>
      </c>
      <c r="AB4447" t="str">
        <f>IF(Table1[[#This Row],[TIPO2]]="costo", VLOOKUP(Table1[[#This Row],[PARTIDA PRESUPUESTAL]],'Cost Report'!G:G,1,0),"Balance")</f>
        <v>1406-005</v>
      </c>
      <c r="AC4447" s="118"/>
      <c r="AD4447" s="159">
        <f>+Table1[[#This Row],[SUBTOTAL]]+Table1[[#This Row],[IVA]]-Table1[[#This Row],[RET IVA]]-Table1[[#This Row],[RET ISR]]-Table1[[#This Row],[TOTAL]]</f>
        <v>0</v>
      </c>
      <c r="AE4447" s="150"/>
      <c r="AF4447" s="151"/>
      <c r="AG4447" s="126"/>
      <c r="AK4447" s="306" t="str">
        <f>IF(ISNUMBER(Table1[[#This Row],[FECHA DE RECIBIDO]]), Table1[[#This Row],[FECHA DE RECIBIDO]]-DATE(2023,8,30), "")</f>
        <v/>
      </c>
    </row>
    <row r="4448" spans="1:37" ht="16.05" customHeight="1">
      <c r="A4448" s="150" t="s">
        <v>4589</v>
      </c>
      <c r="B4448" s="151">
        <v>1557</v>
      </c>
      <c r="C4448" s="126" t="s">
        <v>2221</v>
      </c>
      <c r="D4448">
        <v>3039</v>
      </c>
      <c r="E4448" s="126" t="s">
        <v>3354</v>
      </c>
      <c r="F4448" s="125" t="s">
        <v>1371</v>
      </c>
      <c r="G4448" s="125" t="s">
        <v>2065</v>
      </c>
      <c r="H4448">
        <v>454</v>
      </c>
      <c r="I4448" s="125" t="s">
        <v>1546</v>
      </c>
      <c r="J4448" s="308" t="s">
        <v>214</v>
      </c>
      <c r="K4448" s="127" t="s">
        <v>4625</v>
      </c>
      <c r="L4448" s="153" t="s">
        <v>3306</v>
      </c>
      <c r="M4448">
        <v>1110</v>
      </c>
      <c r="N4448" s="123">
        <v>1</v>
      </c>
      <c r="O4448">
        <v>1480</v>
      </c>
      <c r="P4448" s="132" t="s">
        <v>77</v>
      </c>
      <c r="Q4448" s="132">
        <v>35994.129999999997</v>
      </c>
      <c r="R4448" s="132">
        <v>4607.25</v>
      </c>
      <c r="S4448" s="132"/>
      <c r="T4448" s="156">
        <v>0</v>
      </c>
      <c r="U4448" s="132">
        <v>0</v>
      </c>
      <c r="V4448" s="132">
        <v>40601.379999999997</v>
      </c>
      <c r="W4448">
        <v>242</v>
      </c>
      <c r="X4448" s="153" t="s">
        <v>2035</v>
      </c>
      <c r="Y4448" s="124" t="s">
        <v>55</v>
      </c>
      <c r="Z4448" s="308">
        <v>261</v>
      </c>
      <c r="AB4448" t="str">
        <f>IF(Table1[[#This Row],[TIPO2]]="costo", VLOOKUP(Table1[[#This Row],[PARTIDA PRESUPUESTAL]],'Cost Report'!G:G,1,0),"Balance")</f>
        <v>1406-006</v>
      </c>
      <c r="AC4448" s="118"/>
      <c r="AD4448" s="159">
        <f>+Table1[[#This Row],[SUBTOTAL]]+Table1[[#This Row],[IVA]]-Table1[[#This Row],[RET IVA]]-Table1[[#This Row],[RET ISR]]-Table1[[#This Row],[TOTAL]]</f>
        <v>0</v>
      </c>
      <c r="AE4448" s="152"/>
      <c r="AF4448" s="153"/>
      <c r="AG4448" s="126"/>
      <c r="AK4448" s="306" t="str">
        <f>IF(ISNUMBER(Table1[[#This Row],[FECHA DE RECIBIDO]]), Table1[[#This Row],[FECHA DE RECIBIDO]]-DATE(2023,8,30), "")</f>
        <v/>
      </c>
    </row>
    <row r="4449" spans="1:37" ht="16.05" customHeight="1">
      <c r="A4449" s="150" t="s">
        <v>4589</v>
      </c>
      <c r="B4449" s="151">
        <v>1557</v>
      </c>
      <c r="C4449" s="126" t="s">
        <v>369</v>
      </c>
      <c r="D4449">
        <v>3039</v>
      </c>
      <c r="E4449" s="126" t="s">
        <v>3354</v>
      </c>
      <c r="F4449" s="122" t="s">
        <v>1371</v>
      </c>
      <c r="G4449" s="122" t="s">
        <v>2065</v>
      </c>
      <c r="H4449">
        <v>454</v>
      </c>
      <c r="I4449" s="122" t="s">
        <v>1546</v>
      </c>
      <c r="J4449" s="307" t="s">
        <v>214</v>
      </c>
      <c r="K4449" s="127" t="s">
        <v>4625</v>
      </c>
      <c r="L4449" s="151" t="s">
        <v>3306</v>
      </c>
      <c r="M4449">
        <v>1110</v>
      </c>
      <c r="N4449" s="123">
        <v>1</v>
      </c>
      <c r="O4449">
        <v>1480</v>
      </c>
      <c r="P4449" s="132" t="s">
        <v>77</v>
      </c>
      <c r="Q4449" s="131">
        <v>11041.02</v>
      </c>
      <c r="R4449" s="131">
        <v>1413.25</v>
      </c>
      <c r="S4449" s="131"/>
      <c r="T4449" s="155">
        <v>0</v>
      </c>
      <c r="U4449" s="131">
        <v>0</v>
      </c>
      <c r="V4449" s="131">
        <v>12454.27</v>
      </c>
      <c r="W4449">
        <v>242</v>
      </c>
      <c r="X4449" s="151" t="s">
        <v>2035</v>
      </c>
      <c r="Y4449" s="135" t="s">
        <v>55</v>
      </c>
      <c r="Z4449" s="307">
        <v>261</v>
      </c>
      <c r="AB4449" t="str">
        <f>IF(Table1[[#This Row],[TIPO2]]="costo", VLOOKUP(Table1[[#This Row],[PARTIDA PRESUPUESTAL]],'Cost Report'!G:G,1,0),"Balance")</f>
        <v>1410-009</v>
      </c>
      <c r="AC4449" s="118"/>
      <c r="AD4449" s="159">
        <f>+Table1[[#This Row],[SUBTOTAL]]+Table1[[#This Row],[IVA]]-Table1[[#This Row],[RET IVA]]-Table1[[#This Row],[RET ISR]]-Table1[[#This Row],[TOTAL]]</f>
        <v>0</v>
      </c>
      <c r="AE4449" s="150"/>
      <c r="AF4449" s="151"/>
      <c r="AG4449" s="126"/>
      <c r="AK4449" s="306" t="str">
        <f>IF(ISNUMBER(Table1[[#This Row],[FECHA DE RECIBIDO]]), Table1[[#This Row],[FECHA DE RECIBIDO]]-DATE(2023,8,30), "")</f>
        <v/>
      </c>
    </row>
    <row r="4450" spans="1:37" ht="16.05" customHeight="1">
      <c r="A4450" s="150" t="s">
        <v>4589</v>
      </c>
      <c r="B4450" s="151">
        <v>1557</v>
      </c>
      <c r="C4450" s="126" t="s">
        <v>371</v>
      </c>
      <c r="D4450">
        <v>3039</v>
      </c>
      <c r="E4450" s="126" t="s">
        <v>3354</v>
      </c>
      <c r="F4450" s="125" t="s">
        <v>1371</v>
      </c>
      <c r="G4450" s="125" t="s">
        <v>2065</v>
      </c>
      <c r="H4450">
        <v>454</v>
      </c>
      <c r="I4450" s="125" t="s">
        <v>1546</v>
      </c>
      <c r="J4450" s="308" t="s">
        <v>214</v>
      </c>
      <c r="K4450" s="127" t="s">
        <v>4625</v>
      </c>
      <c r="L4450" s="153" t="s">
        <v>3306</v>
      </c>
      <c r="M4450">
        <v>1110</v>
      </c>
      <c r="N4450" s="123">
        <v>1</v>
      </c>
      <c r="O4450">
        <v>1480</v>
      </c>
      <c r="P4450" s="132" t="s">
        <v>77</v>
      </c>
      <c r="Q4450" s="132">
        <v>2871.82</v>
      </c>
      <c r="R4450" s="132">
        <v>367.59</v>
      </c>
      <c r="S4450" s="132"/>
      <c r="T4450" s="156">
        <v>0</v>
      </c>
      <c r="U4450" s="132">
        <v>0</v>
      </c>
      <c r="V4450" s="132">
        <v>3239.4100000000003</v>
      </c>
      <c r="W4450">
        <v>242</v>
      </c>
      <c r="X4450" s="153" t="s">
        <v>2035</v>
      </c>
      <c r="Y4450" s="124" t="s">
        <v>55</v>
      </c>
      <c r="Z4450" s="308">
        <v>261</v>
      </c>
      <c r="AB4450" t="str">
        <f>IF(Table1[[#This Row],[TIPO2]]="costo", VLOOKUP(Table1[[#This Row],[PARTIDA PRESUPUESTAL]],'Cost Report'!G:G,1,0),"Balance")</f>
        <v>1410-011</v>
      </c>
      <c r="AC4450" s="118"/>
      <c r="AD4450" s="159">
        <f>+Table1[[#This Row],[SUBTOTAL]]+Table1[[#This Row],[IVA]]-Table1[[#This Row],[RET IVA]]-Table1[[#This Row],[RET ISR]]-Table1[[#This Row],[TOTAL]]</f>
        <v>0</v>
      </c>
      <c r="AE4450" s="152"/>
      <c r="AF4450" s="153"/>
      <c r="AG4450" s="126"/>
      <c r="AK4450" s="306" t="str">
        <f>IF(ISNUMBER(Table1[[#This Row],[FECHA DE RECIBIDO]]), Table1[[#This Row],[FECHA DE RECIBIDO]]-DATE(2023,8,30), "")</f>
        <v/>
      </c>
    </row>
    <row r="4451" spans="1:37" ht="16.05" customHeight="1">
      <c r="A4451" s="150" t="s">
        <v>4589</v>
      </c>
      <c r="B4451" s="151">
        <v>1557</v>
      </c>
      <c r="C4451" s="126" t="s">
        <v>2230</v>
      </c>
      <c r="D4451">
        <v>3039</v>
      </c>
      <c r="E4451" s="126" t="s">
        <v>3354</v>
      </c>
      <c r="F4451" s="122" t="s">
        <v>1371</v>
      </c>
      <c r="G4451" s="122" t="s">
        <v>2065</v>
      </c>
      <c r="H4451">
        <v>454</v>
      </c>
      <c r="I4451" s="122" t="s">
        <v>1546</v>
      </c>
      <c r="J4451" s="307" t="s">
        <v>214</v>
      </c>
      <c r="K4451" s="127" t="s">
        <v>4625</v>
      </c>
      <c r="L4451" s="151" t="s">
        <v>3306</v>
      </c>
      <c r="M4451">
        <v>1110</v>
      </c>
      <c r="N4451" s="123">
        <v>1</v>
      </c>
      <c r="O4451">
        <v>1480</v>
      </c>
      <c r="P4451" s="132" t="s">
        <v>77</v>
      </c>
      <c r="Q4451" s="131">
        <v>22082.04</v>
      </c>
      <c r="R4451" s="131">
        <v>2826.5</v>
      </c>
      <c r="S4451" s="131"/>
      <c r="T4451" s="155">
        <v>0</v>
      </c>
      <c r="U4451" s="131">
        <v>0</v>
      </c>
      <c r="V4451" s="131">
        <v>24908.54</v>
      </c>
      <c r="W4451">
        <v>242</v>
      </c>
      <c r="X4451" s="151" t="s">
        <v>2035</v>
      </c>
      <c r="Y4451" s="135" t="s">
        <v>55</v>
      </c>
      <c r="Z4451" s="307">
        <v>261</v>
      </c>
      <c r="AB4451" t="str">
        <f>IF(Table1[[#This Row],[TIPO2]]="costo", VLOOKUP(Table1[[#This Row],[PARTIDA PRESUPUESTAL]],'Cost Report'!G:G,1,0),"Balance")</f>
        <v>1410-022</v>
      </c>
      <c r="AC4451" s="118"/>
      <c r="AD4451" s="159">
        <f>+Table1[[#This Row],[SUBTOTAL]]+Table1[[#This Row],[IVA]]-Table1[[#This Row],[RET IVA]]-Table1[[#This Row],[RET ISR]]-Table1[[#This Row],[TOTAL]]</f>
        <v>0</v>
      </c>
      <c r="AE4451" s="150"/>
      <c r="AF4451" s="151"/>
      <c r="AG4451" s="126"/>
      <c r="AK4451" s="306" t="str">
        <f>IF(ISNUMBER(Table1[[#This Row],[FECHA DE RECIBIDO]]), Table1[[#This Row],[FECHA DE RECIBIDO]]-DATE(2023,8,30), "")</f>
        <v/>
      </c>
    </row>
    <row r="4452" spans="1:37" ht="16.05" customHeight="1">
      <c r="A4452" s="150" t="s">
        <v>4589</v>
      </c>
      <c r="B4452" s="151">
        <v>1557</v>
      </c>
      <c r="C4452" s="126" t="s">
        <v>2232</v>
      </c>
      <c r="D4452">
        <v>3039</v>
      </c>
      <c r="E4452" s="126" t="s">
        <v>3354</v>
      </c>
      <c r="F4452" s="125" t="s">
        <v>1371</v>
      </c>
      <c r="G4452" s="125" t="s">
        <v>2065</v>
      </c>
      <c r="H4452">
        <v>454</v>
      </c>
      <c r="I4452" s="125" t="s">
        <v>1546</v>
      </c>
      <c r="J4452" s="308" t="s">
        <v>214</v>
      </c>
      <c r="K4452" s="127" t="s">
        <v>4625</v>
      </c>
      <c r="L4452" s="153" t="s">
        <v>3306</v>
      </c>
      <c r="M4452">
        <v>1110</v>
      </c>
      <c r="N4452" s="123">
        <v>1</v>
      </c>
      <c r="O4452">
        <v>1480</v>
      </c>
      <c r="P4452" s="132" t="s">
        <v>77</v>
      </c>
      <c r="Q4452" s="132">
        <v>5743.64</v>
      </c>
      <c r="R4452" s="132">
        <v>735.19</v>
      </c>
      <c r="S4452" s="132"/>
      <c r="T4452" s="156">
        <v>0</v>
      </c>
      <c r="U4452" s="132">
        <v>0</v>
      </c>
      <c r="V4452" s="132">
        <v>6478.83</v>
      </c>
      <c r="W4452">
        <v>242</v>
      </c>
      <c r="X4452" s="153" t="s">
        <v>2035</v>
      </c>
      <c r="Y4452" s="124" t="s">
        <v>55</v>
      </c>
      <c r="Z4452" s="308">
        <v>261</v>
      </c>
      <c r="AB4452" t="str">
        <f>IF(Table1[[#This Row],[TIPO2]]="costo", VLOOKUP(Table1[[#This Row],[PARTIDA PRESUPUESTAL]],'Cost Report'!G:G,1,0),"Balance")</f>
        <v>1410-024</v>
      </c>
      <c r="AC4452" s="118"/>
      <c r="AD4452" s="159">
        <f>+Table1[[#This Row],[SUBTOTAL]]+Table1[[#This Row],[IVA]]-Table1[[#This Row],[RET IVA]]-Table1[[#This Row],[RET ISR]]-Table1[[#This Row],[TOTAL]]</f>
        <v>0</v>
      </c>
      <c r="AE4452" s="152"/>
      <c r="AF4452" s="153"/>
      <c r="AG4452" s="126"/>
      <c r="AK4452" s="306" t="str">
        <f>IF(ISNUMBER(Table1[[#This Row],[FECHA DE RECIBIDO]]), Table1[[#This Row],[FECHA DE RECIBIDO]]-DATE(2023,8,30), "")</f>
        <v/>
      </c>
    </row>
    <row r="4453" spans="1:37" ht="16.05" customHeight="1">
      <c r="A4453" s="150" t="s">
        <v>4589</v>
      </c>
      <c r="B4453" s="151">
        <v>1557</v>
      </c>
      <c r="C4453" s="126" t="s">
        <v>1416</v>
      </c>
      <c r="D4453">
        <v>3039</v>
      </c>
      <c r="E4453" s="126" t="s">
        <v>3354</v>
      </c>
      <c r="F4453" s="122" t="s">
        <v>1371</v>
      </c>
      <c r="G4453" s="122" t="s">
        <v>2065</v>
      </c>
      <c r="H4453">
        <v>454</v>
      </c>
      <c r="I4453" s="122" t="s">
        <v>1546</v>
      </c>
      <c r="J4453" s="307" t="s">
        <v>214</v>
      </c>
      <c r="K4453" s="127" t="s">
        <v>4625</v>
      </c>
      <c r="L4453" s="151" t="s">
        <v>3306</v>
      </c>
      <c r="M4453">
        <v>1110</v>
      </c>
      <c r="N4453" s="123">
        <v>1</v>
      </c>
      <c r="O4453">
        <v>1480</v>
      </c>
      <c r="P4453" s="132" t="s">
        <v>77</v>
      </c>
      <c r="Q4453" s="131">
        <v>279486.31</v>
      </c>
      <c r="R4453" s="131">
        <v>33896.82</v>
      </c>
      <c r="S4453" s="131"/>
      <c r="T4453" s="155">
        <v>0</v>
      </c>
      <c r="U4453" s="131">
        <v>0</v>
      </c>
      <c r="V4453" s="131">
        <v>313383.13</v>
      </c>
      <c r="W4453">
        <v>242</v>
      </c>
      <c r="X4453" s="151" t="s">
        <v>2035</v>
      </c>
      <c r="Y4453" s="135" t="s">
        <v>55</v>
      </c>
      <c r="Z4453" s="307">
        <v>261</v>
      </c>
      <c r="AB4453" t="str">
        <f>IF(Table1[[#This Row],[TIPO2]]="costo", VLOOKUP(Table1[[#This Row],[PARTIDA PRESUPUESTAL]],'Cost Report'!G:G,1,0),"Balance")</f>
        <v>1499-001</v>
      </c>
      <c r="AC4453" s="118"/>
      <c r="AD4453" s="159">
        <f>+Table1[[#This Row],[SUBTOTAL]]+Table1[[#This Row],[IVA]]-Table1[[#This Row],[RET IVA]]-Table1[[#This Row],[RET ISR]]-Table1[[#This Row],[TOTAL]]</f>
        <v>0</v>
      </c>
      <c r="AE4453" s="150"/>
      <c r="AF4453" s="151"/>
      <c r="AG4453" s="126"/>
      <c r="AK4453" s="306" t="str">
        <f>IF(ISNUMBER(Table1[[#This Row],[FECHA DE RECIBIDO]]), Table1[[#This Row],[FECHA DE RECIBIDO]]-DATE(2023,8,30), "")</f>
        <v/>
      </c>
    </row>
    <row r="4454" spans="1:37" ht="16.05" customHeight="1">
      <c r="A4454" s="152"/>
      <c r="B4454" s="153">
        <v>1558</v>
      </c>
      <c r="C4454" s="126" t="s">
        <v>259</v>
      </c>
      <c r="D4454">
        <v>3040</v>
      </c>
      <c r="E4454" s="126" t="s">
        <v>3354</v>
      </c>
      <c r="F4454" s="125" t="s">
        <v>1371</v>
      </c>
      <c r="G4454" s="125" t="s">
        <v>2065</v>
      </c>
      <c r="H4454">
        <v>454</v>
      </c>
      <c r="I4454" s="125" t="s">
        <v>1546</v>
      </c>
      <c r="J4454" s="308" t="s">
        <v>214</v>
      </c>
      <c r="K4454" s="127" t="s">
        <v>4625</v>
      </c>
      <c r="L4454" s="153" t="s">
        <v>3306</v>
      </c>
      <c r="M4454">
        <v>1110</v>
      </c>
      <c r="N4454" s="123">
        <v>1</v>
      </c>
      <c r="O4454">
        <v>1481</v>
      </c>
      <c r="P4454" s="132" t="s">
        <v>77</v>
      </c>
      <c r="Q4454" s="132">
        <v>14970.54</v>
      </c>
      <c r="R4454" s="132">
        <v>2395.29</v>
      </c>
      <c r="S4454" s="132"/>
      <c r="T4454" s="156">
        <v>0</v>
      </c>
      <c r="U4454" s="132">
        <v>0</v>
      </c>
      <c r="V4454" s="132">
        <v>17365.830000000002</v>
      </c>
      <c r="W4454">
        <v>242</v>
      </c>
      <c r="X4454" s="153" t="s">
        <v>2035</v>
      </c>
      <c r="Y4454" s="124" t="s">
        <v>55</v>
      </c>
      <c r="Z4454" s="308">
        <v>261</v>
      </c>
      <c r="AB4454" t="str">
        <f>IF(Table1[[#This Row],[TIPO2]]="costo", VLOOKUP(Table1[[#This Row],[PARTIDA PRESUPUESTAL]],'Cost Report'!G:G,1,0),"Balance")</f>
        <v>1301-012</v>
      </c>
      <c r="AC4454" s="118"/>
      <c r="AD4454" s="159">
        <f>+Table1[[#This Row],[SUBTOTAL]]+Table1[[#This Row],[IVA]]-Table1[[#This Row],[RET IVA]]-Table1[[#This Row],[RET ISR]]-Table1[[#This Row],[TOTAL]]</f>
        <v>0</v>
      </c>
      <c r="AE4454" s="152"/>
      <c r="AF4454" s="153"/>
      <c r="AG4454" s="126"/>
      <c r="AK4454" s="306" t="str">
        <f>IF(ISNUMBER(Table1[[#This Row],[FECHA DE RECIBIDO]]), Table1[[#This Row],[FECHA DE RECIBIDO]]-DATE(2023,8,30), "")</f>
        <v/>
      </c>
    </row>
    <row r="4455" spans="1:37" ht="16.05" customHeight="1">
      <c r="A4455" s="150"/>
      <c r="B4455" s="153">
        <v>1558</v>
      </c>
      <c r="C4455" s="126" t="s">
        <v>261</v>
      </c>
      <c r="D4455">
        <v>3040</v>
      </c>
      <c r="E4455" s="126" t="s">
        <v>3354</v>
      </c>
      <c r="F4455" s="122" t="s">
        <v>1371</v>
      </c>
      <c r="G4455" s="122" t="s">
        <v>2065</v>
      </c>
      <c r="H4455">
        <v>454</v>
      </c>
      <c r="I4455" s="122" t="s">
        <v>1546</v>
      </c>
      <c r="J4455" s="307" t="s">
        <v>214</v>
      </c>
      <c r="K4455" s="127" t="s">
        <v>4625</v>
      </c>
      <c r="L4455" s="151" t="s">
        <v>3306</v>
      </c>
      <c r="M4455">
        <v>1110</v>
      </c>
      <c r="N4455" s="123">
        <v>1</v>
      </c>
      <c r="O4455">
        <v>1481</v>
      </c>
      <c r="P4455" s="132" t="s">
        <v>77</v>
      </c>
      <c r="Q4455" s="131">
        <v>3669.62</v>
      </c>
      <c r="R4455" s="131">
        <v>587.14</v>
      </c>
      <c r="S4455" s="131"/>
      <c r="T4455" s="155">
        <v>0</v>
      </c>
      <c r="U4455" s="131">
        <v>0</v>
      </c>
      <c r="V4455" s="131">
        <v>4256.76</v>
      </c>
      <c r="W4455">
        <v>242</v>
      </c>
      <c r="X4455" s="151" t="s">
        <v>2035</v>
      </c>
      <c r="Y4455" s="135" t="s">
        <v>55</v>
      </c>
      <c r="Z4455" s="307">
        <v>261</v>
      </c>
      <c r="AB4455" t="str">
        <f>IF(Table1[[#This Row],[TIPO2]]="costo", VLOOKUP(Table1[[#This Row],[PARTIDA PRESUPUESTAL]],'Cost Report'!G:G,1,0),"Balance")</f>
        <v>1301-014</v>
      </c>
      <c r="AC4455" s="118"/>
      <c r="AD4455" s="159">
        <f>+Table1[[#This Row],[SUBTOTAL]]+Table1[[#This Row],[IVA]]-Table1[[#This Row],[RET IVA]]-Table1[[#This Row],[RET ISR]]-Table1[[#This Row],[TOTAL]]</f>
        <v>0</v>
      </c>
      <c r="AE4455" s="150"/>
      <c r="AF4455" s="151"/>
      <c r="AG4455" s="126"/>
      <c r="AK4455" s="306" t="str">
        <f>IF(ISNUMBER(Table1[[#This Row],[FECHA DE RECIBIDO]]), Table1[[#This Row],[FECHA DE RECIBIDO]]-DATE(2023,8,30), "")</f>
        <v/>
      </c>
    </row>
    <row r="4456" spans="1:37" ht="16.05" customHeight="1">
      <c r="A4456" s="152"/>
      <c r="B4456" s="153">
        <v>1558</v>
      </c>
      <c r="C4456" s="126" t="s">
        <v>262</v>
      </c>
      <c r="D4456">
        <v>3040</v>
      </c>
      <c r="E4456" s="126" t="s">
        <v>3354</v>
      </c>
      <c r="F4456" s="125" t="s">
        <v>1371</v>
      </c>
      <c r="G4456" s="125" t="s">
        <v>2065</v>
      </c>
      <c r="H4456">
        <v>454</v>
      </c>
      <c r="I4456" s="125" t="s">
        <v>1546</v>
      </c>
      <c r="J4456" s="308" t="s">
        <v>214</v>
      </c>
      <c r="K4456" s="127" t="s">
        <v>4625</v>
      </c>
      <c r="L4456" s="153" t="s">
        <v>3306</v>
      </c>
      <c r="M4456">
        <v>1110</v>
      </c>
      <c r="N4456" s="123">
        <v>1</v>
      </c>
      <c r="O4456">
        <v>1481</v>
      </c>
      <c r="P4456" s="132" t="s">
        <v>77</v>
      </c>
      <c r="Q4456" s="132">
        <v>2333.38</v>
      </c>
      <c r="R4456" s="132">
        <v>373.34</v>
      </c>
      <c r="S4456" s="132"/>
      <c r="T4456" s="156">
        <v>0</v>
      </c>
      <c r="U4456" s="132">
        <v>0</v>
      </c>
      <c r="V4456" s="132">
        <v>2706.7200000000003</v>
      </c>
      <c r="W4456">
        <v>242</v>
      </c>
      <c r="X4456" s="153" t="s">
        <v>2035</v>
      </c>
      <c r="Y4456" s="124" t="s">
        <v>55</v>
      </c>
      <c r="Z4456" s="308">
        <v>261</v>
      </c>
      <c r="AB4456" t="str">
        <f>IF(Table1[[#This Row],[TIPO2]]="costo", VLOOKUP(Table1[[#This Row],[PARTIDA PRESUPUESTAL]],'Cost Report'!G:G,1,0),"Balance")</f>
        <v>1301-015</v>
      </c>
      <c r="AC4456" s="118"/>
      <c r="AD4456" s="159">
        <f>+Table1[[#This Row],[SUBTOTAL]]+Table1[[#This Row],[IVA]]-Table1[[#This Row],[RET IVA]]-Table1[[#This Row],[RET ISR]]-Table1[[#This Row],[TOTAL]]</f>
        <v>0</v>
      </c>
      <c r="AE4456" s="152"/>
      <c r="AF4456" s="153"/>
      <c r="AG4456" s="126"/>
      <c r="AK4456" s="306" t="str">
        <f>IF(ISNUMBER(Table1[[#This Row],[FECHA DE RECIBIDO]]), Table1[[#This Row],[FECHA DE RECIBIDO]]-DATE(2023,8,30), "")</f>
        <v/>
      </c>
    </row>
    <row r="4457" spans="1:37" ht="16.05" customHeight="1">
      <c r="A4457" s="150"/>
      <c r="B4457" s="153">
        <v>1558</v>
      </c>
      <c r="C4457" s="126" t="s">
        <v>273</v>
      </c>
      <c r="D4457">
        <v>3040</v>
      </c>
      <c r="E4457" s="126" t="s">
        <v>3354</v>
      </c>
      <c r="F4457" s="122" t="s">
        <v>1371</v>
      </c>
      <c r="G4457" s="122" t="s">
        <v>2065</v>
      </c>
      <c r="H4457">
        <v>454</v>
      </c>
      <c r="I4457" s="122" t="s">
        <v>1546</v>
      </c>
      <c r="J4457" s="307" t="s">
        <v>214</v>
      </c>
      <c r="K4457" s="127" t="s">
        <v>4625</v>
      </c>
      <c r="L4457" s="151" t="s">
        <v>3306</v>
      </c>
      <c r="M4457">
        <v>1110</v>
      </c>
      <c r="N4457" s="123">
        <v>1</v>
      </c>
      <c r="O4457">
        <v>1481</v>
      </c>
      <c r="P4457" s="132" t="s">
        <v>77</v>
      </c>
      <c r="Q4457" s="131">
        <v>36402.21</v>
      </c>
      <c r="R4457" s="131">
        <v>5182.9900000000007</v>
      </c>
      <c r="S4457" s="131"/>
      <c r="T4457" s="155">
        <v>0</v>
      </c>
      <c r="U4457" s="131">
        <v>0</v>
      </c>
      <c r="V4457" s="131">
        <v>41585.199999999997</v>
      </c>
      <c r="W4457">
        <v>242</v>
      </c>
      <c r="X4457" s="151" t="s">
        <v>2035</v>
      </c>
      <c r="Y4457" s="135" t="s">
        <v>55</v>
      </c>
      <c r="Z4457" s="307">
        <v>261</v>
      </c>
      <c r="AB4457" t="str">
        <f>IF(Table1[[#This Row],[TIPO2]]="costo", VLOOKUP(Table1[[#This Row],[PARTIDA PRESUPUESTAL]],'Cost Report'!G:G,1,0),"Balance")</f>
        <v>1302-005</v>
      </c>
      <c r="AC4457" s="118"/>
      <c r="AD4457" s="159">
        <f>+Table1[[#This Row],[SUBTOTAL]]+Table1[[#This Row],[IVA]]-Table1[[#This Row],[RET IVA]]-Table1[[#This Row],[RET ISR]]-Table1[[#This Row],[TOTAL]]</f>
        <v>0</v>
      </c>
      <c r="AE4457" s="150"/>
      <c r="AF4457" s="151"/>
      <c r="AG4457" s="126"/>
      <c r="AK4457" s="306" t="str">
        <f>IF(ISNUMBER(Table1[[#This Row],[FECHA DE RECIBIDO]]), Table1[[#This Row],[FECHA DE RECIBIDO]]-DATE(2023,8,30), "")</f>
        <v/>
      </c>
    </row>
    <row r="4458" spans="1:37" ht="16.05" customHeight="1">
      <c r="A4458" s="152"/>
      <c r="B4458" s="153">
        <v>1558</v>
      </c>
      <c r="C4458" s="126" t="s">
        <v>2160</v>
      </c>
      <c r="D4458">
        <v>3040</v>
      </c>
      <c r="E4458" s="126" t="s">
        <v>3354</v>
      </c>
      <c r="F4458" s="125" t="s">
        <v>1371</v>
      </c>
      <c r="G4458" s="125" t="s">
        <v>2065</v>
      </c>
      <c r="H4458">
        <v>454</v>
      </c>
      <c r="I4458" s="125" t="s">
        <v>1546</v>
      </c>
      <c r="J4458" s="308" t="s">
        <v>214</v>
      </c>
      <c r="K4458" s="127" t="s">
        <v>4625</v>
      </c>
      <c r="L4458" s="153" t="s">
        <v>3306</v>
      </c>
      <c r="M4458">
        <v>1110</v>
      </c>
      <c r="N4458" s="123">
        <v>1</v>
      </c>
      <c r="O4458">
        <v>1481</v>
      </c>
      <c r="P4458" s="132" t="s">
        <v>77</v>
      </c>
      <c r="Q4458" s="132">
        <v>25845.47</v>
      </c>
      <c r="R4458" s="132">
        <v>4135.28</v>
      </c>
      <c r="S4458" s="132"/>
      <c r="T4458" s="156">
        <v>0</v>
      </c>
      <c r="U4458" s="132">
        <v>0</v>
      </c>
      <c r="V4458" s="132">
        <v>29980.75</v>
      </c>
      <c r="W4458">
        <v>242</v>
      </c>
      <c r="X4458" s="153" t="s">
        <v>2035</v>
      </c>
      <c r="Y4458" s="124" t="s">
        <v>55</v>
      </c>
      <c r="Z4458" s="308">
        <v>261</v>
      </c>
      <c r="AB4458" t="str">
        <f>IF(Table1[[#This Row],[TIPO2]]="costo", VLOOKUP(Table1[[#This Row],[PARTIDA PRESUPUESTAL]],'Cost Report'!G:G,1,0),"Balance")</f>
        <v>1302-007</v>
      </c>
      <c r="AC4458" s="118"/>
      <c r="AD4458" s="159">
        <f>+Table1[[#This Row],[SUBTOTAL]]+Table1[[#This Row],[IVA]]-Table1[[#This Row],[RET IVA]]-Table1[[#This Row],[RET ISR]]-Table1[[#This Row],[TOTAL]]</f>
        <v>0</v>
      </c>
      <c r="AE4458" s="152"/>
      <c r="AF4458" s="153"/>
      <c r="AG4458" s="126"/>
      <c r="AK4458" s="306" t="str">
        <f>IF(ISNUMBER(Table1[[#This Row],[FECHA DE RECIBIDO]]), Table1[[#This Row],[FECHA DE RECIBIDO]]-DATE(2023,8,30), "")</f>
        <v/>
      </c>
    </row>
    <row r="4459" spans="1:37" ht="16.05" customHeight="1">
      <c r="A4459" s="150"/>
      <c r="B4459" s="153">
        <v>1558</v>
      </c>
      <c r="C4459" s="126" t="s">
        <v>2161</v>
      </c>
      <c r="D4459">
        <v>3040</v>
      </c>
      <c r="E4459" s="126" t="s">
        <v>3354</v>
      </c>
      <c r="F4459" s="122" t="s">
        <v>1371</v>
      </c>
      <c r="G4459" s="122" t="s">
        <v>2065</v>
      </c>
      <c r="H4459">
        <v>454</v>
      </c>
      <c r="I4459" s="122" t="s">
        <v>1546</v>
      </c>
      <c r="J4459" s="307" t="s">
        <v>214</v>
      </c>
      <c r="K4459" s="127" t="s">
        <v>4625</v>
      </c>
      <c r="L4459" s="151" t="s">
        <v>3306</v>
      </c>
      <c r="M4459">
        <v>1110</v>
      </c>
      <c r="N4459" s="123">
        <v>1</v>
      </c>
      <c r="O4459">
        <v>1481</v>
      </c>
      <c r="P4459" s="132" t="s">
        <v>77</v>
      </c>
      <c r="Q4459" s="131">
        <v>2000.04</v>
      </c>
      <c r="R4459" s="131">
        <v>320.01</v>
      </c>
      <c r="S4459" s="131"/>
      <c r="T4459" s="155">
        <v>0</v>
      </c>
      <c r="U4459" s="131">
        <v>0</v>
      </c>
      <c r="V4459" s="131">
        <v>2320.0500000000002</v>
      </c>
      <c r="W4459">
        <v>242</v>
      </c>
      <c r="X4459" s="151" t="s">
        <v>2035</v>
      </c>
      <c r="Y4459" s="135" t="s">
        <v>55</v>
      </c>
      <c r="Z4459" s="307">
        <v>261</v>
      </c>
      <c r="AB4459" t="str">
        <f>IF(Table1[[#This Row],[TIPO2]]="costo", VLOOKUP(Table1[[#This Row],[PARTIDA PRESUPUESTAL]],'Cost Report'!G:G,1,0),"Balance")</f>
        <v>1302-008</v>
      </c>
      <c r="AC4459" s="118"/>
      <c r="AD4459" s="159">
        <f>+Table1[[#This Row],[SUBTOTAL]]+Table1[[#This Row],[IVA]]-Table1[[#This Row],[RET IVA]]-Table1[[#This Row],[RET ISR]]-Table1[[#This Row],[TOTAL]]</f>
        <v>0</v>
      </c>
      <c r="AE4459" s="150"/>
      <c r="AF4459" s="151"/>
      <c r="AG4459" s="126"/>
      <c r="AK4459" s="306" t="str">
        <f>IF(ISNUMBER(Table1[[#This Row],[FECHA DE RECIBIDO]]), Table1[[#This Row],[FECHA DE RECIBIDO]]-DATE(2023,8,30), "")</f>
        <v/>
      </c>
    </row>
    <row r="4460" spans="1:37" ht="16.05" customHeight="1">
      <c r="A4460" s="152"/>
      <c r="B4460" s="153">
        <v>1559</v>
      </c>
      <c r="C4460" s="126" t="s">
        <v>279</v>
      </c>
      <c r="D4460">
        <v>3041</v>
      </c>
      <c r="E4460" s="126" t="s">
        <v>3354</v>
      </c>
      <c r="F4460" s="125" t="s">
        <v>1371</v>
      </c>
      <c r="G4460" s="125" t="s">
        <v>2065</v>
      </c>
      <c r="H4460">
        <v>454</v>
      </c>
      <c r="I4460" s="125" t="s">
        <v>1546</v>
      </c>
      <c r="J4460" s="308" t="s">
        <v>214</v>
      </c>
      <c r="K4460" s="127" t="s">
        <v>4625</v>
      </c>
      <c r="L4460" s="153" t="s">
        <v>3306</v>
      </c>
      <c r="M4460">
        <v>1110</v>
      </c>
      <c r="N4460" s="123">
        <v>1</v>
      </c>
      <c r="O4460">
        <v>1480</v>
      </c>
      <c r="P4460" s="132" t="s">
        <v>77</v>
      </c>
      <c r="Q4460" s="132">
        <v>22082.04</v>
      </c>
      <c r="R4460" s="132">
        <v>2826.5</v>
      </c>
      <c r="S4460" s="132"/>
      <c r="T4460" s="156">
        <v>0</v>
      </c>
      <c r="U4460" s="132">
        <v>0</v>
      </c>
      <c r="V4460" s="132">
        <v>24908.54</v>
      </c>
      <c r="W4460">
        <v>242</v>
      </c>
      <c r="X4460" s="153" t="s">
        <v>2035</v>
      </c>
      <c r="Y4460" s="124" t="s">
        <v>55</v>
      </c>
      <c r="Z4460" s="308">
        <v>261</v>
      </c>
      <c r="AB4460" t="str">
        <f>IF(Table1[[#This Row],[TIPO2]]="costo", VLOOKUP(Table1[[#This Row],[PARTIDA PRESUPUESTAL]],'Cost Report'!G:G,1,0),"Balance")</f>
        <v>1401-003</v>
      </c>
      <c r="AC4460" s="118"/>
      <c r="AD4460" s="159">
        <f>+Table1[[#This Row],[SUBTOTAL]]+Table1[[#This Row],[IVA]]-Table1[[#This Row],[RET IVA]]-Table1[[#This Row],[RET ISR]]-Table1[[#This Row],[TOTAL]]</f>
        <v>0</v>
      </c>
      <c r="AE4460" s="152"/>
      <c r="AF4460" s="153"/>
      <c r="AG4460" s="126"/>
      <c r="AK4460" s="306" t="str">
        <f>IF(ISNUMBER(Table1[[#This Row],[FECHA DE RECIBIDO]]), Table1[[#This Row],[FECHA DE RECIBIDO]]-DATE(2023,8,30), "")</f>
        <v/>
      </c>
    </row>
    <row r="4461" spans="1:37" ht="16.05" customHeight="1">
      <c r="A4461" s="150"/>
      <c r="B4461" s="153">
        <v>1559</v>
      </c>
      <c r="C4461" s="126" t="s">
        <v>282</v>
      </c>
      <c r="D4461">
        <v>3041</v>
      </c>
      <c r="E4461" s="126" t="s">
        <v>3354</v>
      </c>
      <c r="F4461" s="122" t="s">
        <v>1371</v>
      </c>
      <c r="G4461" s="122" t="s">
        <v>2065</v>
      </c>
      <c r="H4461">
        <v>454</v>
      </c>
      <c r="I4461" s="122" t="s">
        <v>1546</v>
      </c>
      <c r="J4461" s="307" t="s">
        <v>214</v>
      </c>
      <c r="K4461" s="127" t="s">
        <v>4625</v>
      </c>
      <c r="L4461" s="151" t="s">
        <v>3306</v>
      </c>
      <c r="M4461">
        <v>1110</v>
      </c>
      <c r="N4461" s="123">
        <v>1</v>
      </c>
      <c r="O4461">
        <v>1480</v>
      </c>
      <c r="P4461" s="132" t="s">
        <v>77</v>
      </c>
      <c r="Q4461" s="131">
        <v>3680.34</v>
      </c>
      <c r="R4461" s="131">
        <v>471.08</v>
      </c>
      <c r="S4461" s="131"/>
      <c r="T4461" s="155">
        <v>0</v>
      </c>
      <c r="U4461" s="131">
        <v>0</v>
      </c>
      <c r="V4461" s="131">
        <v>4151.42</v>
      </c>
      <c r="W4461">
        <v>242</v>
      </c>
      <c r="X4461" s="151" t="s">
        <v>2035</v>
      </c>
      <c r="Y4461" s="135" t="s">
        <v>55</v>
      </c>
      <c r="Z4461" s="307">
        <v>261</v>
      </c>
      <c r="AB4461" t="str">
        <f>IF(Table1[[#This Row],[TIPO2]]="costo", VLOOKUP(Table1[[#This Row],[PARTIDA PRESUPUESTAL]],'Cost Report'!G:G,1,0),"Balance")</f>
        <v>1401-006</v>
      </c>
      <c r="AC4461" s="118"/>
      <c r="AD4461" s="159">
        <f>+Table1[[#This Row],[SUBTOTAL]]+Table1[[#This Row],[IVA]]-Table1[[#This Row],[RET IVA]]-Table1[[#This Row],[RET ISR]]-Table1[[#This Row],[TOTAL]]</f>
        <v>0</v>
      </c>
      <c r="AE4461" s="150"/>
      <c r="AF4461" s="151"/>
      <c r="AG4461" s="126"/>
      <c r="AK4461" s="306" t="str">
        <f>IF(ISNUMBER(Table1[[#This Row],[FECHA DE RECIBIDO]]), Table1[[#This Row],[FECHA DE RECIBIDO]]-DATE(2023,8,30), "")</f>
        <v/>
      </c>
    </row>
    <row r="4462" spans="1:37" ht="16.05" customHeight="1">
      <c r="A4462" s="152"/>
      <c r="B4462" s="153">
        <v>1559</v>
      </c>
      <c r="C4462" s="126" t="s">
        <v>283</v>
      </c>
      <c r="D4462">
        <v>3041</v>
      </c>
      <c r="E4462" s="126" t="s">
        <v>3354</v>
      </c>
      <c r="F4462" s="125" t="s">
        <v>1371</v>
      </c>
      <c r="G4462" s="125" t="s">
        <v>2065</v>
      </c>
      <c r="H4462">
        <v>454</v>
      </c>
      <c r="I4462" s="125" t="s">
        <v>1546</v>
      </c>
      <c r="J4462" s="308" t="s">
        <v>214</v>
      </c>
      <c r="K4462" s="127" t="s">
        <v>4625</v>
      </c>
      <c r="L4462" s="153" t="s">
        <v>3306</v>
      </c>
      <c r="M4462">
        <v>1110</v>
      </c>
      <c r="N4462" s="123">
        <v>1</v>
      </c>
      <c r="O4462">
        <v>1480</v>
      </c>
      <c r="P4462" s="132" t="s">
        <v>77</v>
      </c>
      <c r="Q4462" s="132">
        <v>18584.73</v>
      </c>
      <c r="R4462" s="132">
        <v>2378.86</v>
      </c>
      <c r="S4462" s="132"/>
      <c r="T4462" s="156">
        <v>0</v>
      </c>
      <c r="U4462" s="132">
        <v>0</v>
      </c>
      <c r="V4462" s="132">
        <v>20963.59</v>
      </c>
      <c r="W4462">
        <v>242</v>
      </c>
      <c r="X4462" s="153" t="s">
        <v>2035</v>
      </c>
      <c r="Y4462" s="124" t="s">
        <v>55</v>
      </c>
      <c r="Z4462" s="308">
        <v>261</v>
      </c>
      <c r="AB4462" t="str">
        <f>IF(Table1[[#This Row],[TIPO2]]="costo", VLOOKUP(Table1[[#This Row],[PARTIDA PRESUPUESTAL]],'Cost Report'!G:G,1,0),"Balance")</f>
        <v>1401-007</v>
      </c>
      <c r="AC4462" s="118"/>
      <c r="AD4462" s="159">
        <f>+Table1[[#This Row],[SUBTOTAL]]+Table1[[#This Row],[IVA]]-Table1[[#This Row],[RET IVA]]-Table1[[#This Row],[RET ISR]]-Table1[[#This Row],[TOTAL]]</f>
        <v>0</v>
      </c>
      <c r="AE4462" s="152"/>
      <c r="AF4462" s="153"/>
      <c r="AG4462" s="126"/>
      <c r="AK4462" s="306" t="str">
        <f>IF(ISNUMBER(Table1[[#This Row],[FECHA DE RECIBIDO]]), Table1[[#This Row],[FECHA DE RECIBIDO]]-DATE(2023,8,30), "")</f>
        <v/>
      </c>
    </row>
    <row r="4463" spans="1:37" ht="16.05" customHeight="1">
      <c r="A4463" s="150"/>
      <c r="B4463" s="153">
        <v>1559</v>
      </c>
      <c r="C4463" s="126" t="s">
        <v>286</v>
      </c>
      <c r="D4463">
        <v>3041</v>
      </c>
      <c r="E4463" s="126" t="s">
        <v>3354</v>
      </c>
      <c r="F4463" s="122" t="s">
        <v>1371</v>
      </c>
      <c r="G4463" s="122" t="s">
        <v>2065</v>
      </c>
      <c r="H4463">
        <v>454</v>
      </c>
      <c r="I4463" s="122" t="s">
        <v>1546</v>
      </c>
      <c r="J4463" s="307" t="s">
        <v>214</v>
      </c>
      <c r="K4463" s="127" t="s">
        <v>4625</v>
      </c>
      <c r="L4463" s="151" t="s">
        <v>3306</v>
      </c>
      <c r="M4463">
        <v>1110</v>
      </c>
      <c r="N4463" s="123">
        <v>1</v>
      </c>
      <c r="O4463">
        <v>1480</v>
      </c>
      <c r="P4463" s="132" t="s">
        <v>77</v>
      </c>
      <c r="Q4463" s="131">
        <v>29442.720000000001</v>
      </c>
      <c r="R4463" s="131">
        <v>3768.67</v>
      </c>
      <c r="S4463" s="131"/>
      <c r="T4463" s="155">
        <v>0</v>
      </c>
      <c r="U4463" s="131">
        <v>0</v>
      </c>
      <c r="V4463" s="131">
        <v>33211.39</v>
      </c>
      <c r="W4463">
        <v>242</v>
      </c>
      <c r="X4463" s="151" t="s">
        <v>2035</v>
      </c>
      <c r="Y4463" s="135" t="s">
        <v>55</v>
      </c>
      <c r="Z4463" s="307">
        <v>261</v>
      </c>
      <c r="AB4463" t="str">
        <f>IF(Table1[[#This Row],[TIPO2]]="costo", VLOOKUP(Table1[[#This Row],[PARTIDA PRESUPUESTAL]],'Cost Report'!G:G,1,0),"Balance")</f>
        <v>1401-012</v>
      </c>
      <c r="AC4463" s="118"/>
      <c r="AD4463" s="159">
        <f>+Table1[[#This Row],[SUBTOTAL]]+Table1[[#This Row],[IVA]]-Table1[[#This Row],[RET IVA]]-Table1[[#This Row],[RET ISR]]-Table1[[#This Row],[TOTAL]]</f>
        <v>0</v>
      </c>
      <c r="AE4463" s="150"/>
      <c r="AF4463" s="151"/>
      <c r="AG4463" s="126"/>
      <c r="AK4463" s="306" t="str">
        <f>IF(ISNUMBER(Table1[[#This Row],[FECHA DE RECIBIDO]]), Table1[[#This Row],[FECHA DE RECIBIDO]]-DATE(2023,8,30), "")</f>
        <v/>
      </c>
    </row>
    <row r="4464" spans="1:37" ht="16.05" customHeight="1">
      <c r="A4464" s="152"/>
      <c r="B4464" s="153">
        <v>1559</v>
      </c>
      <c r="C4464" s="126" t="s">
        <v>289</v>
      </c>
      <c r="D4464">
        <v>3041</v>
      </c>
      <c r="E4464" s="126" t="s">
        <v>3354</v>
      </c>
      <c r="F4464" s="125" t="s">
        <v>1371</v>
      </c>
      <c r="G4464" s="125" t="s">
        <v>2065</v>
      </c>
      <c r="H4464">
        <v>454</v>
      </c>
      <c r="I4464" s="125" t="s">
        <v>1546</v>
      </c>
      <c r="J4464" s="308" t="s">
        <v>214</v>
      </c>
      <c r="K4464" s="127" t="s">
        <v>4625</v>
      </c>
      <c r="L4464" s="153" t="s">
        <v>3306</v>
      </c>
      <c r="M4464">
        <v>1110</v>
      </c>
      <c r="N4464" s="123">
        <v>1</v>
      </c>
      <c r="O4464">
        <v>1480</v>
      </c>
      <c r="P4464" s="132" t="s">
        <v>77</v>
      </c>
      <c r="Q4464" s="132">
        <v>7360.68</v>
      </c>
      <c r="R4464" s="132">
        <v>942.17</v>
      </c>
      <c r="S4464" s="132"/>
      <c r="T4464" s="156">
        <v>0</v>
      </c>
      <c r="U4464" s="132">
        <v>0</v>
      </c>
      <c r="V4464" s="132">
        <v>8302.85</v>
      </c>
      <c r="W4464">
        <v>242</v>
      </c>
      <c r="X4464" s="153" t="s">
        <v>2035</v>
      </c>
      <c r="Y4464" s="124" t="s">
        <v>55</v>
      </c>
      <c r="Z4464" s="308">
        <v>261</v>
      </c>
      <c r="AB4464" t="str">
        <f>IF(Table1[[#This Row],[TIPO2]]="costo", VLOOKUP(Table1[[#This Row],[PARTIDA PRESUPUESTAL]],'Cost Report'!G:G,1,0),"Balance")</f>
        <v>1401-015</v>
      </c>
      <c r="AC4464" s="118"/>
      <c r="AD4464" s="159">
        <f>+Table1[[#This Row],[SUBTOTAL]]+Table1[[#This Row],[IVA]]-Table1[[#This Row],[RET IVA]]-Table1[[#This Row],[RET ISR]]-Table1[[#This Row],[TOTAL]]</f>
        <v>0</v>
      </c>
      <c r="AE4464" s="152"/>
      <c r="AF4464" s="153"/>
      <c r="AG4464" s="126"/>
      <c r="AK4464" s="306" t="str">
        <f>IF(ISNUMBER(Table1[[#This Row],[FECHA DE RECIBIDO]]), Table1[[#This Row],[FECHA DE RECIBIDO]]-DATE(2023,8,30), "")</f>
        <v/>
      </c>
    </row>
    <row r="4465" spans="1:37" ht="16.05" customHeight="1">
      <c r="A4465" s="150"/>
      <c r="B4465" s="153">
        <v>1559</v>
      </c>
      <c r="C4465" s="126" t="s">
        <v>290</v>
      </c>
      <c r="D4465">
        <v>3041</v>
      </c>
      <c r="E4465" s="126" t="s">
        <v>3354</v>
      </c>
      <c r="F4465" s="122" t="s">
        <v>1371</v>
      </c>
      <c r="G4465" s="122" t="s">
        <v>2065</v>
      </c>
      <c r="H4465">
        <v>454</v>
      </c>
      <c r="I4465" s="122" t="s">
        <v>1546</v>
      </c>
      <c r="J4465" s="307" t="s">
        <v>214</v>
      </c>
      <c r="K4465" s="127" t="s">
        <v>4625</v>
      </c>
      <c r="L4465" s="151" t="s">
        <v>3306</v>
      </c>
      <c r="M4465">
        <v>1110</v>
      </c>
      <c r="N4465" s="123">
        <v>1</v>
      </c>
      <c r="O4465">
        <v>1480</v>
      </c>
      <c r="P4465" s="132" t="s">
        <v>77</v>
      </c>
      <c r="Q4465" s="131">
        <v>15384.75</v>
      </c>
      <c r="R4465" s="131">
        <v>1969.25</v>
      </c>
      <c r="S4465" s="131"/>
      <c r="T4465" s="155">
        <v>0</v>
      </c>
      <c r="U4465" s="131">
        <v>0</v>
      </c>
      <c r="V4465" s="131">
        <v>17354</v>
      </c>
      <c r="W4465">
        <v>242</v>
      </c>
      <c r="X4465" s="151" t="s">
        <v>2035</v>
      </c>
      <c r="Y4465" s="135" t="s">
        <v>55</v>
      </c>
      <c r="Z4465" s="307">
        <v>261</v>
      </c>
      <c r="AB4465" t="str">
        <f>IF(Table1[[#This Row],[TIPO2]]="costo", VLOOKUP(Table1[[#This Row],[PARTIDA PRESUPUESTAL]],'Cost Report'!G:G,1,0),"Balance")</f>
        <v>1401-016</v>
      </c>
      <c r="AC4465" s="118"/>
      <c r="AD4465" s="159">
        <f>+Table1[[#This Row],[SUBTOTAL]]+Table1[[#This Row],[IVA]]-Table1[[#This Row],[RET IVA]]-Table1[[#This Row],[RET ISR]]-Table1[[#This Row],[TOTAL]]</f>
        <v>0</v>
      </c>
      <c r="AE4465" s="150"/>
      <c r="AF4465" s="151"/>
      <c r="AG4465" s="126"/>
      <c r="AK4465" s="306" t="str">
        <f>IF(ISNUMBER(Table1[[#This Row],[FECHA DE RECIBIDO]]), Table1[[#This Row],[FECHA DE RECIBIDO]]-DATE(2023,8,30), "")</f>
        <v/>
      </c>
    </row>
    <row r="4466" spans="1:37" ht="16.05" customHeight="1">
      <c r="A4466" s="152"/>
      <c r="B4466" s="153">
        <v>1559</v>
      </c>
      <c r="C4466" s="126" t="s">
        <v>293</v>
      </c>
      <c r="D4466">
        <v>3041</v>
      </c>
      <c r="E4466" s="126" t="s">
        <v>3354</v>
      </c>
      <c r="F4466" s="125" t="s">
        <v>1371</v>
      </c>
      <c r="G4466" s="125" t="s">
        <v>2065</v>
      </c>
      <c r="H4466">
        <v>454</v>
      </c>
      <c r="I4466" s="125" t="s">
        <v>1546</v>
      </c>
      <c r="J4466" s="308" t="s">
        <v>214</v>
      </c>
      <c r="K4466" s="127" t="s">
        <v>4625</v>
      </c>
      <c r="L4466" s="153" t="s">
        <v>3306</v>
      </c>
      <c r="M4466">
        <v>1110</v>
      </c>
      <c r="N4466" s="123">
        <v>1</v>
      </c>
      <c r="O4466">
        <v>1480</v>
      </c>
      <c r="P4466" s="132" t="s">
        <v>77</v>
      </c>
      <c r="Q4466" s="132">
        <v>36803.4</v>
      </c>
      <c r="R4466" s="132">
        <v>4710.84</v>
      </c>
      <c r="S4466" s="132"/>
      <c r="T4466" s="156">
        <v>0</v>
      </c>
      <c r="U4466" s="132">
        <v>0</v>
      </c>
      <c r="V4466" s="132">
        <v>41514.240000000005</v>
      </c>
      <c r="W4466">
        <v>242</v>
      </c>
      <c r="X4466" s="153" t="s">
        <v>2035</v>
      </c>
      <c r="Y4466" s="124" t="s">
        <v>55</v>
      </c>
      <c r="Z4466" s="308">
        <v>261</v>
      </c>
      <c r="AB4466" t="str">
        <f>IF(Table1[[#This Row],[TIPO2]]="costo", VLOOKUP(Table1[[#This Row],[PARTIDA PRESUPUESTAL]],'Cost Report'!G:G,1,0),"Balance")</f>
        <v>1401-021</v>
      </c>
      <c r="AC4466" s="118"/>
      <c r="AD4466" s="159">
        <f>+Table1[[#This Row],[SUBTOTAL]]+Table1[[#This Row],[IVA]]-Table1[[#This Row],[RET IVA]]-Table1[[#This Row],[RET ISR]]-Table1[[#This Row],[TOTAL]]</f>
        <v>0</v>
      </c>
      <c r="AE4466" s="152"/>
      <c r="AF4466" s="153"/>
      <c r="AG4466" s="126"/>
      <c r="AK4466" s="306" t="str">
        <f>IF(ISNUMBER(Table1[[#This Row],[FECHA DE RECIBIDO]]), Table1[[#This Row],[FECHA DE RECIBIDO]]-DATE(2023,8,30), "")</f>
        <v/>
      </c>
    </row>
    <row r="4467" spans="1:37" ht="16.05" customHeight="1">
      <c r="A4467" s="150"/>
      <c r="B4467" s="153">
        <v>1559</v>
      </c>
      <c r="C4467" s="126" t="s">
        <v>296</v>
      </c>
      <c r="D4467">
        <v>3041</v>
      </c>
      <c r="E4467" s="126" t="s">
        <v>3354</v>
      </c>
      <c r="F4467" s="122" t="s">
        <v>1371</v>
      </c>
      <c r="G4467" s="122" t="s">
        <v>2065</v>
      </c>
      <c r="H4467">
        <v>454</v>
      </c>
      <c r="I4467" s="122" t="s">
        <v>1546</v>
      </c>
      <c r="J4467" s="307" t="s">
        <v>214</v>
      </c>
      <c r="K4467" s="127" t="s">
        <v>4625</v>
      </c>
      <c r="L4467" s="151" t="s">
        <v>3306</v>
      </c>
      <c r="M4467">
        <v>1110</v>
      </c>
      <c r="N4467" s="123">
        <v>1</v>
      </c>
      <c r="O4467">
        <v>1480</v>
      </c>
      <c r="P4467" s="132" t="s">
        <v>77</v>
      </c>
      <c r="Q4467" s="131">
        <v>7360.68</v>
      </c>
      <c r="R4467" s="131">
        <v>942.17</v>
      </c>
      <c r="S4467" s="131"/>
      <c r="T4467" s="155">
        <v>0</v>
      </c>
      <c r="U4467" s="131">
        <v>0</v>
      </c>
      <c r="V4467" s="131">
        <v>8302.85</v>
      </c>
      <c r="W4467">
        <v>242</v>
      </c>
      <c r="X4467" s="151" t="s">
        <v>2035</v>
      </c>
      <c r="Y4467" s="135" t="s">
        <v>55</v>
      </c>
      <c r="Z4467" s="307">
        <v>261</v>
      </c>
      <c r="AB4467" t="str">
        <f>IF(Table1[[#This Row],[TIPO2]]="costo", VLOOKUP(Table1[[#This Row],[PARTIDA PRESUPUESTAL]],'Cost Report'!G:G,1,0),"Balance")</f>
        <v>1401-024</v>
      </c>
      <c r="AC4467" s="118"/>
      <c r="AD4467" s="159">
        <f>+Table1[[#This Row],[SUBTOTAL]]+Table1[[#This Row],[IVA]]-Table1[[#This Row],[RET IVA]]-Table1[[#This Row],[RET ISR]]-Table1[[#This Row],[TOTAL]]</f>
        <v>0</v>
      </c>
      <c r="AE4467" s="150"/>
      <c r="AF4467" s="151"/>
      <c r="AG4467" s="126"/>
      <c r="AK4467" s="306" t="str">
        <f>IF(ISNUMBER(Table1[[#This Row],[FECHA DE RECIBIDO]]), Table1[[#This Row],[FECHA DE RECIBIDO]]-DATE(2023,8,30), "")</f>
        <v/>
      </c>
    </row>
    <row r="4468" spans="1:37" ht="16.05" customHeight="1">
      <c r="A4468" s="152"/>
      <c r="B4468" s="153">
        <v>1559</v>
      </c>
      <c r="C4468" s="126" t="s">
        <v>297</v>
      </c>
      <c r="D4468">
        <v>3041</v>
      </c>
      <c r="E4468" s="126" t="s">
        <v>3354</v>
      </c>
      <c r="F4468" s="125" t="s">
        <v>1371</v>
      </c>
      <c r="G4468" s="125" t="s">
        <v>2065</v>
      </c>
      <c r="H4468">
        <v>454</v>
      </c>
      <c r="I4468" s="125" t="s">
        <v>1546</v>
      </c>
      <c r="J4468" s="308" t="s">
        <v>214</v>
      </c>
      <c r="K4468" s="127" t="s">
        <v>4625</v>
      </c>
      <c r="L4468" s="153" t="s">
        <v>3306</v>
      </c>
      <c r="M4468">
        <v>1110</v>
      </c>
      <c r="N4468" s="123">
        <v>1</v>
      </c>
      <c r="O4468">
        <v>1480</v>
      </c>
      <c r="P4468" s="132" t="s">
        <v>77</v>
      </c>
      <c r="Q4468" s="132">
        <v>1641</v>
      </c>
      <c r="R4468" s="132">
        <v>210.05</v>
      </c>
      <c r="S4468" s="132"/>
      <c r="T4468" s="156">
        <v>0</v>
      </c>
      <c r="U4468" s="132">
        <v>0</v>
      </c>
      <c r="V4468" s="132">
        <v>1851.05</v>
      </c>
      <c r="W4468">
        <v>242</v>
      </c>
      <c r="X4468" s="153" t="s">
        <v>2035</v>
      </c>
      <c r="Y4468" s="124" t="s">
        <v>55</v>
      </c>
      <c r="Z4468" s="308">
        <v>261</v>
      </c>
      <c r="AB4468" t="str">
        <f>IF(Table1[[#This Row],[TIPO2]]="costo", VLOOKUP(Table1[[#This Row],[PARTIDA PRESUPUESTAL]],'Cost Report'!G:G,1,0),"Balance")</f>
        <v>1401-025</v>
      </c>
      <c r="AC4468" s="118"/>
      <c r="AD4468" s="159">
        <f>+Table1[[#This Row],[SUBTOTAL]]+Table1[[#This Row],[IVA]]-Table1[[#This Row],[RET IVA]]-Table1[[#This Row],[RET ISR]]-Table1[[#This Row],[TOTAL]]</f>
        <v>0</v>
      </c>
      <c r="AE4468" s="152"/>
      <c r="AF4468" s="153"/>
      <c r="AG4468" s="126"/>
      <c r="AK4468" s="306" t="str">
        <f>IF(ISNUMBER(Table1[[#This Row],[FECHA DE RECIBIDO]]), Table1[[#This Row],[FECHA DE RECIBIDO]]-DATE(2023,8,30), "")</f>
        <v/>
      </c>
    </row>
    <row r="4469" spans="1:37" ht="16.05" customHeight="1">
      <c r="A4469" s="150"/>
      <c r="B4469" s="153">
        <v>1559</v>
      </c>
      <c r="C4469" s="126" t="s">
        <v>300</v>
      </c>
      <c r="D4469">
        <v>3041</v>
      </c>
      <c r="E4469" s="126" t="s">
        <v>3354</v>
      </c>
      <c r="F4469" s="122" t="s">
        <v>1371</v>
      </c>
      <c r="G4469" s="122" t="s">
        <v>2065</v>
      </c>
      <c r="H4469">
        <v>454</v>
      </c>
      <c r="I4469" s="122" t="s">
        <v>1546</v>
      </c>
      <c r="J4469" s="307" t="s">
        <v>214</v>
      </c>
      <c r="K4469" s="127" t="s">
        <v>4625</v>
      </c>
      <c r="L4469" s="151" t="s">
        <v>3306</v>
      </c>
      <c r="M4469">
        <v>1110</v>
      </c>
      <c r="N4469" s="123">
        <v>1</v>
      </c>
      <c r="O4469">
        <v>1480</v>
      </c>
      <c r="P4469" s="132" t="s">
        <v>77</v>
      </c>
      <c r="Q4469" s="131">
        <v>22082.04</v>
      </c>
      <c r="R4469" s="131">
        <v>2826.5</v>
      </c>
      <c r="S4469" s="131"/>
      <c r="T4469" s="155">
        <v>0</v>
      </c>
      <c r="U4469" s="131">
        <v>0</v>
      </c>
      <c r="V4469" s="131">
        <v>24908.54</v>
      </c>
      <c r="W4469">
        <v>242</v>
      </c>
      <c r="X4469" s="151" t="s">
        <v>2035</v>
      </c>
      <c r="Y4469" s="135" t="s">
        <v>55</v>
      </c>
      <c r="Z4469" s="307">
        <v>261</v>
      </c>
      <c r="AB4469" t="str">
        <f>IF(Table1[[#This Row],[TIPO2]]="costo", VLOOKUP(Table1[[#This Row],[PARTIDA PRESUPUESTAL]],'Cost Report'!G:G,1,0),"Balance")</f>
        <v>1401-030</v>
      </c>
      <c r="AC4469" s="118"/>
      <c r="AD4469" s="159">
        <f>+Table1[[#This Row],[SUBTOTAL]]+Table1[[#This Row],[IVA]]-Table1[[#This Row],[RET IVA]]-Table1[[#This Row],[RET ISR]]-Table1[[#This Row],[TOTAL]]</f>
        <v>0</v>
      </c>
      <c r="AE4469" s="150"/>
      <c r="AF4469" s="151"/>
      <c r="AG4469" s="126"/>
      <c r="AK4469" s="306" t="str">
        <f>IF(ISNUMBER(Table1[[#This Row],[FECHA DE RECIBIDO]]), Table1[[#This Row],[FECHA DE RECIBIDO]]-DATE(2023,8,30), "")</f>
        <v/>
      </c>
    </row>
    <row r="4470" spans="1:37" ht="16.05" customHeight="1">
      <c r="A4470" s="152"/>
      <c r="B4470" s="153">
        <v>1559</v>
      </c>
      <c r="C4470" s="126" t="s">
        <v>301</v>
      </c>
      <c r="D4470">
        <v>3041</v>
      </c>
      <c r="E4470" s="126" t="s">
        <v>3354</v>
      </c>
      <c r="F4470" s="125" t="s">
        <v>1371</v>
      </c>
      <c r="G4470" s="125" t="s">
        <v>2065</v>
      </c>
      <c r="H4470">
        <v>454</v>
      </c>
      <c r="I4470" s="125" t="s">
        <v>1546</v>
      </c>
      <c r="J4470" s="308" t="s">
        <v>214</v>
      </c>
      <c r="K4470" s="127" t="s">
        <v>4625</v>
      </c>
      <c r="L4470" s="153" t="s">
        <v>3306</v>
      </c>
      <c r="M4470">
        <v>1110</v>
      </c>
      <c r="N4470" s="123">
        <v>1</v>
      </c>
      <c r="O4470">
        <v>1480</v>
      </c>
      <c r="P4470" s="132" t="s">
        <v>77</v>
      </c>
      <c r="Q4470" s="132">
        <v>3680.34</v>
      </c>
      <c r="R4470" s="132">
        <v>471.08</v>
      </c>
      <c r="S4470" s="132"/>
      <c r="T4470" s="156">
        <v>0</v>
      </c>
      <c r="U4470" s="132">
        <v>0</v>
      </c>
      <c r="V4470" s="132">
        <v>4151.42</v>
      </c>
      <c r="W4470">
        <v>242</v>
      </c>
      <c r="X4470" s="153" t="s">
        <v>2035</v>
      </c>
      <c r="Y4470" s="124" t="s">
        <v>55</v>
      </c>
      <c r="Z4470" s="308">
        <v>261</v>
      </c>
      <c r="AB4470" t="str">
        <f>IF(Table1[[#This Row],[TIPO2]]="costo", VLOOKUP(Table1[[#This Row],[PARTIDA PRESUPUESTAL]],'Cost Report'!G:G,1,0),"Balance")</f>
        <v>1401-031</v>
      </c>
      <c r="AC4470" s="118"/>
      <c r="AD4470" s="159">
        <f>+Table1[[#This Row],[SUBTOTAL]]+Table1[[#This Row],[IVA]]-Table1[[#This Row],[RET IVA]]-Table1[[#This Row],[RET ISR]]-Table1[[#This Row],[TOTAL]]</f>
        <v>0</v>
      </c>
      <c r="AE4470" s="152"/>
      <c r="AF4470" s="153"/>
      <c r="AG4470" s="126"/>
      <c r="AK4470" s="306" t="str">
        <f>IF(ISNUMBER(Table1[[#This Row],[FECHA DE RECIBIDO]]), Table1[[#This Row],[FECHA DE RECIBIDO]]-DATE(2023,8,30), "")</f>
        <v/>
      </c>
    </row>
    <row r="4471" spans="1:37" ht="16.05" customHeight="1">
      <c r="A4471" s="150"/>
      <c r="B4471" s="153">
        <v>1559</v>
      </c>
      <c r="C4471" s="126" t="s">
        <v>302</v>
      </c>
      <c r="D4471">
        <v>3041</v>
      </c>
      <c r="E4471" s="126" t="s">
        <v>3354</v>
      </c>
      <c r="F4471" s="122" t="s">
        <v>1371</v>
      </c>
      <c r="G4471" s="122" t="s">
        <v>2065</v>
      </c>
      <c r="H4471">
        <v>454</v>
      </c>
      <c r="I4471" s="122" t="s">
        <v>1546</v>
      </c>
      <c r="J4471" s="307" t="s">
        <v>214</v>
      </c>
      <c r="K4471" s="127" t="s">
        <v>4625</v>
      </c>
      <c r="L4471" s="151" t="s">
        <v>3306</v>
      </c>
      <c r="M4471">
        <v>1110</v>
      </c>
      <c r="N4471" s="123">
        <v>1</v>
      </c>
      <c r="O4471">
        <v>1480</v>
      </c>
      <c r="P4471" s="132" t="s">
        <v>77</v>
      </c>
      <c r="Q4471" s="131">
        <v>3282</v>
      </c>
      <c r="R4471" s="131">
        <v>420.1</v>
      </c>
      <c r="S4471" s="131"/>
      <c r="T4471" s="155">
        <v>0</v>
      </c>
      <c r="U4471" s="131">
        <v>0</v>
      </c>
      <c r="V4471" s="131">
        <v>3702.1</v>
      </c>
      <c r="W4471">
        <v>242</v>
      </c>
      <c r="X4471" s="151" t="s">
        <v>2035</v>
      </c>
      <c r="Y4471" s="135" t="s">
        <v>55</v>
      </c>
      <c r="Z4471" s="307">
        <v>261</v>
      </c>
      <c r="AB4471" t="str">
        <f>IF(Table1[[#This Row],[TIPO2]]="costo", VLOOKUP(Table1[[#This Row],[PARTIDA PRESUPUESTAL]],'Cost Report'!G:G,1,0),"Balance")</f>
        <v>1401-032</v>
      </c>
      <c r="AC4471" s="118"/>
      <c r="AD4471" s="159">
        <f>+Table1[[#This Row],[SUBTOTAL]]+Table1[[#This Row],[IVA]]-Table1[[#This Row],[RET IVA]]-Table1[[#This Row],[RET ISR]]-Table1[[#This Row],[TOTAL]]</f>
        <v>0</v>
      </c>
      <c r="AE4471" s="150"/>
      <c r="AF4471" s="151"/>
      <c r="AG4471" s="126"/>
      <c r="AK4471" s="306" t="str">
        <f>IF(ISNUMBER(Table1[[#This Row],[FECHA DE RECIBIDO]]), Table1[[#This Row],[FECHA DE RECIBIDO]]-DATE(2023,8,30), "")</f>
        <v/>
      </c>
    </row>
    <row r="4472" spans="1:37" ht="16.05" customHeight="1">
      <c r="A4472" s="152"/>
      <c r="B4472" s="153">
        <v>1559</v>
      </c>
      <c r="C4472" s="126" t="s">
        <v>305</v>
      </c>
      <c r="D4472">
        <v>3041</v>
      </c>
      <c r="E4472" s="126" t="s">
        <v>3354</v>
      </c>
      <c r="F4472" s="125" t="s">
        <v>1371</v>
      </c>
      <c r="G4472" s="125" t="s">
        <v>2065</v>
      </c>
      <c r="H4472">
        <v>454</v>
      </c>
      <c r="I4472" s="125" t="s">
        <v>1546</v>
      </c>
      <c r="J4472" s="308" t="s">
        <v>214</v>
      </c>
      <c r="K4472" s="127" t="s">
        <v>4625</v>
      </c>
      <c r="L4472" s="153" t="s">
        <v>3306</v>
      </c>
      <c r="M4472">
        <v>1110</v>
      </c>
      <c r="N4472" s="123">
        <v>1</v>
      </c>
      <c r="O4472">
        <v>1480</v>
      </c>
      <c r="P4472" s="132" t="s">
        <v>77</v>
      </c>
      <c r="Q4472" s="132">
        <v>22082.04</v>
      </c>
      <c r="R4472" s="132">
        <v>2826.5</v>
      </c>
      <c r="S4472" s="132"/>
      <c r="T4472" s="156">
        <v>0</v>
      </c>
      <c r="U4472" s="132">
        <v>0</v>
      </c>
      <c r="V4472" s="132">
        <v>24908.54</v>
      </c>
      <c r="W4472">
        <v>242</v>
      </c>
      <c r="X4472" s="153" t="s">
        <v>2035</v>
      </c>
      <c r="Y4472" s="124" t="s">
        <v>55</v>
      </c>
      <c r="Z4472" s="308">
        <v>261</v>
      </c>
      <c r="AB4472" t="str">
        <f>IF(Table1[[#This Row],[TIPO2]]="costo", VLOOKUP(Table1[[#This Row],[PARTIDA PRESUPUESTAL]],'Cost Report'!G:G,1,0),"Balance")</f>
        <v>1401-037</v>
      </c>
      <c r="AC4472" s="118"/>
      <c r="AD4472" s="159">
        <f>+Table1[[#This Row],[SUBTOTAL]]+Table1[[#This Row],[IVA]]-Table1[[#This Row],[RET IVA]]-Table1[[#This Row],[RET ISR]]-Table1[[#This Row],[TOTAL]]</f>
        <v>0</v>
      </c>
      <c r="AE4472" s="152"/>
      <c r="AF4472" s="153"/>
      <c r="AG4472" s="126"/>
      <c r="AK4472" s="306" t="str">
        <f>IF(ISNUMBER(Table1[[#This Row],[FECHA DE RECIBIDO]]), Table1[[#This Row],[FECHA DE RECIBIDO]]-DATE(2023,8,30), "")</f>
        <v/>
      </c>
    </row>
    <row r="4473" spans="1:37" ht="16.05" customHeight="1">
      <c r="A4473" s="150"/>
      <c r="B4473" s="153">
        <v>1559</v>
      </c>
      <c r="C4473" s="126" t="s">
        <v>306</v>
      </c>
      <c r="D4473">
        <v>3041</v>
      </c>
      <c r="E4473" s="126" t="s">
        <v>3354</v>
      </c>
      <c r="F4473" s="122" t="s">
        <v>1371</v>
      </c>
      <c r="G4473" s="122" t="s">
        <v>2065</v>
      </c>
      <c r="H4473">
        <v>454</v>
      </c>
      <c r="I4473" s="122" t="s">
        <v>1546</v>
      </c>
      <c r="J4473" s="307" t="s">
        <v>214</v>
      </c>
      <c r="K4473" s="127" t="s">
        <v>4625</v>
      </c>
      <c r="L4473" s="151" t="s">
        <v>3306</v>
      </c>
      <c r="M4473">
        <v>1110</v>
      </c>
      <c r="N4473" s="123">
        <v>1</v>
      </c>
      <c r="O4473">
        <v>1480</v>
      </c>
      <c r="P4473" s="132" t="s">
        <v>77</v>
      </c>
      <c r="Q4473" s="131">
        <v>3680.34</v>
      </c>
      <c r="R4473" s="131">
        <v>471.08</v>
      </c>
      <c r="S4473" s="131"/>
      <c r="T4473" s="155">
        <v>0</v>
      </c>
      <c r="U4473" s="131">
        <v>0</v>
      </c>
      <c r="V4473" s="131">
        <v>4151.42</v>
      </c>
      <c r="W4473">
        <v>242</v>
      </c>
      <c r="X4473" s="151" t="s">
        <v>2035</v>
      </c>
      <c r="Y4473" s="135" t="s">
        <v>55</v>
      </c>
      <c r="Z4473" s="307">
        <v>261</v>
      </c>
      <c r="AB4473" t="str">
        <f>IF(Table1[[#This Row],[TIPO2]]="costo", VLOOKUP(Table1[[#This Row],[PARTIDA PRESUPUESTAL]],'Cost Report'!G:G,1,0),"Balance")</f>
        <v>1401-038</v>
      </c>
      <c r="AC4473" s="118"/>
      <c r="AD4473" s="159">
        <f>+Table1[[#This Row],[SUBTOTAL]]+Table1[[#This Row],[IVA]]-Table1[[#This Row],[RET IVA]]-Table1[[#This Row],[RET ISR]]-Table1[[#This Row],[TOTAL]]</f>
        <v>0</v>
      </c>
      <c r="AE4473" s="150"/>
      <c r="AF4473" s="151"/>
      <c r="AG4473" s="126"/>
      <c r="AK4473" s="306" t="str">
        <f>IF(ISNUMBER(Table1[[#This Row],[FECHA DE RECIBIDO]]), Table1[[#This Row],[FECHA DE RECIBIDO]]-DATE(2023,8,30), "")</f>
        <v/>
      </c>
    </row>
    <row r="4474" spans="1:37" ht="16.05" customHeight="1">
      <c r="A4474" s="152"/>
      <c r="B4474" s="153">
        <v>1559</v>
      </c>
      <c r="C4474" s="126" t="s">
        <v>307</v>
      </c>
      <c r="D4474">
        <v>3041</v>
      </c>
      <c r="E4474" s="126" t="s">
        <v>3354</v>
      </c>
      <c r="F4474" s="125" t="s">
        <v>1371</v>
      </c>
      <c r="G4474" s="125" t="s">
        <v>2065</v>
      </c>
      <c r="H4474">
        <v>454</v>
      </c>
      <c r="I4474" s="125" t="s">
        <v>1546</v>
      </c>
      <c r="J4474" s="308" t="s">
        <v>214</v>
      </c>
      <c r="K4474" s="127" t="s">
        <v>4625</v>
      </c>
      <c r="L4474" s="153" t="s">
        <v>3306</v>
      </c>
      <c r="M4474">
        <v>1110</v>
      </c>
      <c r="N4474" s="123">
        <v>1</v>
      </c>
      <c r="O4474">
        <v>1480</v>
      </c>
      <c r="P4474" s="132" t="s">
        <v>77</v>
      </c>
      <c r="Q4474" s="132">
        <v>4977.8</v>
      </c>
      <c r="R4474" s="132">
        <v>637.16</v>
      </c>
      <c r="S4474" s="132"/>
      <c r="T4474" s="156">
        <v>0</v>
      </c>
      <c r="U4474" s="132">
        <v>0</v>
      </c>
      <c r="V4474" s="132">
        <v>5614.96</v>
      </c>
      <c r="W4474">
        <v>242</v>
      </c>
      <c r="X4474" s="153" t="s">
        <v>2035</v>
      </c>
      <c r="Y4474" s="124" t="s">
        <v>55</v>
      </c>
      <c r="Z4474" s="308">
        <v>261</v>
      </c>
      <c r="AB4474" t="str">
        <f>IF(Table1[[#This Row],[TIPO2]]="costo", VLOOKUP(Table1[[#This Row],[PARTIDA PRESUPUESTAL]],'Cost Report'!G:G,1,0),"Balance")</f>
        <v>1401-039</v>
      </c>
      <c r="AC4474" s="118"/>
      <c r="AD4474" s="159">
        <f>+Table1[[#This Row],[SUBTOTAL]]+Table1[[#This Row],[IVA]]-Table1[[#This Row],[RET IVA]]-Table1[[#This Row],[RET ISR]]-Table1[[#This Row],[TOTAL]]</f>
        <v>0</v>
      </c>
      <c r="AE4474" s="152"/>
      <c r="AF4474" s="153"/>
      <c r="AG4474" s="126"/>
      <c r="AK4474" s="306" t="str">
        <f>IF(ISNUMBER(Table1[[#This Row],[FECHA DE RECIBIDO]]), Table1[[#This Row],[FECHA DE RECIBIDO]]-DATE(2023,8,30), "")</f>
        <v/>
      </c>
    </row>
    <row r="4475" spans="1:37" ht="16.05" customHeight="1">
      <c r="A4475" s="150"/>
      <c r="B4475" s="153">
        <v>1559</v>
      </c>
      <c r="C4475" s="126" t="s">
        <v>2170</v>
      </c>
      <c r="D4475">
        <v>3041</v>
      </c>
      <c r="E4475" s="126" t="s">
        <v>3354</v>
      </c>
      <c r="F4475" s="122" t="s">
        <v>1371</v>
      </c>
      <c r="G4475" s="122" t="s">
        <v>2065</v>
      </c>
      <c r="H4475">
        <v>454</v>
      </c>
      <c r="I4475" s="122" t="s">
        <v>1546</v>
      </c>
      <c r="J4475" s="307" t="s">
        <v>214</v>
      </c>
      <c r="K4475" s="127" t="s">
        <v>4625</v>
      </c>
      <c r="L4475" s="151" t="s">
        <v>3306</v>
      </c>
      <c r="M4475">
        <v>1110</v>
      </c>
      <c r="N4475" s="123">
        <v>1</v>
      </c>
      <c r="O4475">
        <v>1480</v>
      </c>
      <c r="P4475" s="132" t="s">
        <v>77</v>
      </c>
      <c r="Q4475" s="131">
        <v>24985.64</v>
      </c>
      <c r="R4475" s="131">
        <v>3198.16</v>
      </c>
      <c r="S4475" s="131"/>
      <c r="T4475" s="155">
        <v>0</v>
      </c>
      <c r="U4475" s="131">
        <v>0</v>
      </c>
      <c r="V4475" s="131">
        <v>28183.8</v>
      </c>
      <c r="W4475">
        <v>242</v>
      </c>
      <c r="X4475" s="151" t="s">
        <v>2035</v>
      </c>
      <c r="Y4475" s="135" t="s">
        <v>55</v>
      </c>
      <c r="Z4475" s="307">
        <v>261</v>
      </c>
      <c r="AB4475" t="str">
        <f>IF(Table1[[#This Row],[TIPO2]]="costo", VLOOKUP(Table1[[#This Row],[PARTIDA PRESUPUESTAL]],'Cost Report'!G:G,1,0),"Balance")</f>
        <v>1401-051</v>
      </c>
      <c r="AC4475" s="118"/>
      <c r="AD4475" s="159">
        <f>+Table1[[#This Row],[SUBTOTAL]]+Table1[[#This Row],[IVA]]-Table1[[#This Row],[RET IVA]]-Table1[[#This Row],[RET ISR]]-Table1[[#This Row],[TOTAL]]</f>
        <v>0</v>
      </c>
      <c r="AE4475" s="150"/>
      <c r="AF4475" s="151"/>
      <c r="AG4475" s="126"/>
      <c r="AK4475" s="306" t="str">
        <f>IF(ISNUMBER(Table1[[#This Row],[FECHA DE RECIBIDO]]), Table1[[#This Row],[FECHA DE RECIBIDO]]-DATE(2023,8,30), "")</f>
        <v/>
      </c>
    </row>
    <row r="4476" spans="1:37" ht="16.05" customHeight="1">
      <c r="A4476" s="152"/>
      <c r="B4476" s="153">
        <v>1559</v>
      </c>
      <c r="C4476" s="126" t="s">
        <v>2172</v>
      </c>
      <c r="D4476">
        <v>3041</v>
      </c>
      <c r="E4476" s="126" t="s">
        <v>3354</v>
      </c>
      <c r="F4476" s="125" t="s">
        <v>1371</v>
      </c>
      <c r="G4476" s="125" t="s">
        <v>2065</v>
      </c>
      <c r="H4476">
        <v>454</v>
      </c>
      <c r="I4476" s="125" t="s">
        <v>1546</v>
      </c>
      <c r="J4476" s="308" t="s">
        <v>214</v>
      </c>
      <c r="K4476" s="127" t="s">
        <v>4625</v>
      </c>
      <c r="L4476" s="153" t="s">
        <v>3306</v>
      </c>
      <c r="M4476">
        <v>1110</v>
      </c>
      <c r="N4476" s="123">
        <v>1</v>
      </c>
      <c r="O4476">
        <v>1480</v>
      </c>
      <c r="P4476" s="132" t="s">
        <v>77</v>
      </c>
      <c r="Q4476" s="132">
        <v>16668.12</v>
      </c>
      <c r="R4476" s="132">
        <v>2133.52</v>
      </c>
      <c r="S4476" s="132"/>
      <c r="T4476" s="156">
        <v>0</v>
      </c>
      <c r="U4476" s="132">
        <v>0</v>
      </c>
      <c r="V4476" s="132">
        <v>18801.64</v>
      </c>
      <c r="W4476">
        <v>242</v>
      </c>
      <c r="X4476" s="153" t="s">
        <v>2035</v>
      </c>
      <c r="Y4476" s="124" t="s">
        <v>55</v>
      </c>
      <c r="Z4476" s="308">
        <v>261</v>
      </c>
      <c r="AB4476" t="str">
        <f>IF(Table1[[#This Row],[TIPO2]]="costo", VLOOKUP(Table1[[#This Row],[PARTIDA PRESUPUESTAL]],'Cost Report'!G:G,1,0),"Balance")</f>
        <v>1401-053</v>
      </c>
      <c r="AC4476" s="118"/>
      <c r="AD4476" s="159">
        <f>+Table1[[#This Row],[SUBTOTAL]]+Table1[[#This Row],[IVA]]-Table1[[#This Row],[RET IVA]]-Table1[[#This Row],[RET ISR]]-Table1[[#This Row],[TOTAL]]</f>
        <v>0</v>
      </c>
      <c r="AE4476" s="152"/>
      <c r="AF4476" s="153"/>
      <c r="AG4476" s="126"/>
      <c r="AK4476" s="306" t="str">
        <f>IF(ISNUMBER(Table1[[#This Row],[FECHA DE RECIBIDO]]), Table1[[#This Row],[FECHA DE RECIBIDO]]-DATE(2023,8,30), "")</f>
        <v/>
      </c>
    </row>
    <row r="4477" spans="1:37" ht="16.05" customHeight="1">
      <c r="A4477" s="150"/>
      <c r="B4477" s="153">
        <v>1559</v>
      </c>
      <c r="C4477" s="126" t="s">
        <v>2175</v>
      </c>
      <c r="D4477">
        <v>3041</v>
      </c>
      <c r="E4477" s="126" t="s">
        <v>3354</v>
      </c>
      <c r="F4477" s="122" t="s">
        <v>1371</v>
      </c>
      <c r="G4477" s="122" t="s">
        <v>2065</v>
      </c>
      <c r="H4477">
        <v>454</v>
      </c>
      <c r="I4477" s="122" t="s">
        <v>1546</v>
      </c>
      <c r="J4477" s="307" t="s">
        <v>214</v>
      </c>
      <c r="K4477" s="127" t="s">
        <v>4625</v>
      </c>
      <c r="L4477" s="151" t="s">
        <v>3306</v>
      </c>
      <c r="M4477">
        <v>1110</v>
      </c>
      <c r="N4477" s="123">
        <v>1</v>
      </c>
      <c r="O4477">
        <v>1480</v>
      </c>
      <c r="P4477" s="132" t="s">
        <v>77</v>
      </c>
      <c r="Q4477" s="131">
        <v>22082.04</v>
      </c>
      <c r="R4477" s="131">
        <v>2826.5</v>
      </c>
      <c r="S4477" s="131"/>
      <c r="T4477" s="155">
        <v>0</v>
      </c>
      <c r="U4477" s="131">
        <v>0</v>
      </c>
      <c r="V4477" s="131">
        <v>24908.54</v>
      </c>
      <c r="W4477">
        <v>242</v>
      </c>
      <c r="X4477" s="151" t="s">
        <v>2035</v>
      </c>
      <c r="Y4477" s="135" t="s">
        <v>55</v>
      </c>
      <c r="Z4477" s="307">
        <v>261</v>
      </c>
      <c r="AB4477" t="str">
        <f>IF(Table1[[#This Row],[TIPO2]]="costo", VLOOKUP(Table1[[#This Row],[PARTIDA PRESUPUESTAL]],'Cost Report'!G:G,1,0),"Balance")</f>
        <v>1401-058</v>
      </c>
      <c r="AC4477" s="118"/>
      <c r="AD4477" s="159">
        <f>+Table1[[#This Row],[SUBTOTAL]]+Table1[[#This Row],[IVA]]-Table1[[#This Row],[RET IVA]]-Table1[[#This Row],[RET ISR]]-Table1[[#This Row],[TOTAL]]</f>
        <v>0</v>
      </c>
      <c r="AE4477" s="150"/>
      <c r="AF4477" s="151"/>
      <c r="AG4477" s="126"/>
      <c r="AK4477" s="306" t="str">
        <f>IF(ISNUMBER(Table1[[#This Row],[FECHA DE RECIBIDO]]), Table1[[#This Row],[FECHA DE RECIBIDO]]-DATE(2023,8,30), "")</f>
        <v/>
      </c>
    </row>
    <row r="4478" spans="1:37" ht="16.05" customHeight="1">
      <c r="A4478" s="152"/>
      <c r="B4478" s="153">
        <v>1559</v>
      </c>
      <c r="C4478" s="126" t="s">
        <v>2176</v>
      </c>
      <c r="D4478">
        <v>3041</v>
      </c>
      <c r="E4478" s="126" t="s">
        <v>3354</v>
      </c>
      <c r="F4478" s="125" t="s">
        <v>1371</v>
      </c>
      <c r="G4478" s="125" t="s">
        <v>2065</v>
      </c>
      <c r="H4478">
        <v>454</v>
      </c>
      <c r="I4478" s="125" t="s">
        <v>1546</v>
      </c>
      <c r="J4478" s="308" t="s">
        <v>214</v>
      </c>
      <c r="K4478" s="127" t="s">
        <v>4625</v>
      </c>
      <c r="L4478" s="153" t="s">
        <v>3306</v>
      </c>
      <c r="M4478">
        <v>1110</v>
      </c>
      <c r="N4478" s="123">
        <v>1</v>
      </c>
      <c r="O4478">
        <v>1480</v>
      </c>
      <c r="P4478" s="132" t="s">
        <v>77</v>
      </c>
      <c r="Q4478" s="132">
        <v>3680.34</v>
      </c>
      <c r="R4478" s="132">
        <v>471.08</v>
      </c>
      <c r="S4478" s="132"/>
      <c r="T4478" s="156">
        <v>0</v>
      </c>
      <c r="U4478" s="132">
        <v>0</v>
      </c>
      <c r="V4478" s="132">
        <v>4151.42</v>
      </c>
      <c r="W4478">
        <v>242</v>
      </c>
      <c r="X4478" s="153" t="s">
        <v>2035</v>
      </c>
      <c r="Y4478" s="124" t="s">
        <v>55</v>
      </c>
      <c r="Z4478" s="308">
        <v>261</v>
      </c>
      <c r="AB4478" t="str">
        <f>IF(Table1[[#This Row],[TIPO2]]="costo", VLOOKUP(Table1[[#This Row],[PARTIDA PRESUPUESTAL]],'Cost Report'!G:G,1,0),"Balance")</f>
        <v>1401-059</v>
      </c>
      <c r="AC4478" s="118"/>
      <c r="AD4478" s="159">
        <f>+Table1[[#This Row],[SUBTOTAL]]+Table1[[#This Row],[IVA]]-Table1[[#This Row],[RET IVA]]-Table1[[#This Row],[RET ISR]]-Table1[[#This Row],[TOTAL]]</f>
        <v>0</v>
      </c>
      <c r="AE4478" s="152"/>
      <c r="AF4478" s="153"/>
      <c r="AG4478" s="126"/>
      <c r="AK4478" s="306" t="str">
        <f>IF(ISNUMBER(Table1[[#This Row],[FECHA DE RECIBIDO]]), Table1[[#This Row],[FECHA DE RECIBIDO]]-DATE(2023,8,30), "")</f>
        <v/>
      </c>
    </row>
    <row r="4479" spans="1:37" ht="16.05" customHeight="1">
      <c r="A4479" s="150"/>
      <c r="B4479" s="153">
        <v>1559</v>
      </c>
      <c r="C4479" s="126" t="s">
        <v>2180</v>
      </c>
      <c r="D4479">
        <v>3041</v>
      </c>
      <c r="E4479" s="126" t="s">
        <v>3354</v>
      </c>
      <c r="F4479" s="122" t="s">
        <v>1371</v>
      </c>
      <c r="G4479" s="122" t="s">
        <v>2065</v>
      </c>
      <c r="H4479">
        <v>454</v>
      </c>
      <c r="I4479" s="122" t="s">
        <v>1546</v>
      </c>
      <c r="J4479" s="307" t="s">
        <v>214</v>
      </c>
      <c r="K4479" s="127" t="s">
        <v>4625</v>
      </c>
      <c r="L4479" s="151" t="s">
        <v>3306</v>
      </c>
      <c r="M4479">
        <v>1110</v>
      </c>
      <c r="N4479" s="123">
        <v>1</v>
      </c>
      <c r="O4479">
        <v>1480</v>
      </c>
      <c r="P4479" s="132" t="s">
        <v>77</v>
      </c>
      <c r="Q4479" s="131">
        <v>11041.02</v>
      </c>
      <c r="R4479" s="131">
        <v>1413.25</v>
      </c>
      <c r="S4479" s="131"/>
      <c r="T4479" s="155">
        <v>0</v>
      </c>
      <c r="U4479" s="131">
        <v>0</v>
      </c>
      <c r="V4479" s="131">
        <v>12454.27</v>
      </c>
      <c r="W4479">
        <v>242</v>
      </c>
      <c r="X4479" s="151" t="s">
        <v>2035</v>
      </c>
      <c r="Y4479" s="135" t="s">
        <v>55</v>
      </c>
      <c r="Z4479" s="307">
        <v>261</v>
      </c>
      <c r="AB4479" t="str">
        <f>IF(Table1[[#This Row],[TIPO2]]="costo", VLOOKUP(Table1[[#This Row],[PARTIDA PRESUPUESTAL]],'Cost Report'!G:G,1,0),"Balance")</f>
        <v>1401-065</v>
      </c>
      <c r="AC4479" s="118"/>
      <c r="AD4479" s="159">
        <f>+Table1[[#This Row],[SUBTOTAL]]+Table1[[#This Row],[IVA]]-Table1[[#This Row],[RET IVA]]-Table1[[#This Row],[RET ISR]]-Table1[[#This Row],[TOTAL]]</f>
        <v>0</v>
      </c>
      <c r="AE4479" s="150"/>
      <c r="AF4479" s="151"/>
      <c r="AG4479" s="126"/>
      <c r="AK4479" s="306" t="str">
        <f>IF(ISNUMBER(Table1[[#This Row],[FECHA DE RECIBIDO]]), Table1[[#This Row],[FECHA DE RECIBIDO]]-DATE(2023,8,30), "")</f>
        <v/>
      </c>
    </row>
    <row r="4480" spans="1:37" ht="16.05" customHeight="1">
      <c r="A4480" s="152"/>
      <c r="B4480" s="153">
        <v>1559</v>
      </c>
      <c r="C4480" s="126" t="s">
        <v>2187</v>
      </c>
      <c r="D4480">
        <v>3041</v>
      </c>
      <c r="E4480" s="126" t="s">
        <v>3354</v>
      </c>
      <c r="F4480" s="125" t="s">
        <v>1371</v>
      </c>
      <c r="G4480" s="125" t="s">
        <v>2065</v>
      </c>
      <c r="H4480">
        <v>454</v>
      </c>
      <c r="I4480" s="125" t="s">
        <v>1546</v>
      </c>
      <c r="J4480" s="308" t="s">
        <v>214</v>
      </c>
      <c r="K4480" s="127" t="s">
        <v>4625</v>
      </c>
      <c r="L4480" s="153" t="s">
        <v>3306</v>
      </c>
      <c r="M4480">
        <v>1110</v>
      </c>
      <c r="N4480" s="123">
        <v>1</v>
      </c>
      <c r="O4480">
        <v>1480</v>
      </c>
      <c r="P4480" s="132" t="s">
        <v>77</v>
      </c>
      <c r="Q4480" s="132">
        <v>29442.720000000001</v>
      </c>
      <c r="R4480" s="132">
        <v>3768.67</v>
      </c>
      <c r="S4480" s="132"/>
      <c r="T4480" s="156">
        <v>0</v>
      </c>
      <c r="U4480" s="132">
        <v>0</v>
      </c>
      <c r="V4480" s="132">
        <v>33211.39</v>
      </c>
      <c r="W4480">
        <v>242</v>
      </c>
      <c r="X4480" s="153" t="s">
        <v>2035</v>
      </c>
      <c r="Y4480" s="124" t="s">
        <v>55</v>
      </c>
      <c r="Z4480" s="308">
        <v>261</v>
      </c>
      <c r="AB4480" t="str">
        <f>IF(Table1[[#This Row],[TIPO2]]="costo", VLOOKUP(Table1[[#This Row],[PARTIDA PRESUPUESTAL]],'Cost Report'!G:G,1,0),"Balance")</f>
        <v>1401-076</v>
      </c>
      <c r="AC4480" s="118"/>
      <c r="AD4480" s="159">
        <f>+Table1[[#This Row],[SUBTOTAL]]+Table1[[#This Row],[IVA]]-Table1[[#This Row],[RET IVA]]-Table1[[#This Row],[RET ISR]]-Table1[[#This Row],[TOTAL]]</f>
        <v>0</v>
      </c>
      <c r="AE4480" s="152"/>
      <c r="AF4480" s="153"/>
      <c r="AG4480" s="126"/>
      <c r="AK4480" s="306" t="str">
        <f>IF(ISNUMBER(Table1[[#This Row],[FECHA DE RECIBIDO]]), Table1[[#This Row],[FECHA DE RECIBIDO]]-DATE(2023,8,30), "")</f>
        <v/>
      </c>
    </row>
    <row r="4481" spans="1:37" ht="16.05" customHeight="1">
      <c r="A4481" s="150"/>
      <c r="B4481" s="153">
        <v>1559</v>
      </c>
      <c r="C4481" s="126" t="s">
        <v>2189</v>
      </c>
      <c r="D4481">
        <v>3041</v>
      </c>
      <c r="E4481" s="126" t="s">
        <v>3354</v>
      </c>
      <c r="F4481" s="122" t="s">
        <v>1371</v>
      </c>
      <c r="G4481" s="122" t="s">
        <v>2065</v>
      </c>
      <c r="H4481">
        <v>454</v>
      </c>
      <c r="I4481" s="122" t="s">
        <v>1546</v>
      </c>
      <c r="J4481" s="307" t="s">
        <v>214</v>
      </c>
      <c r="K4481" s="127" t="s">
        <v>4625</v>
      </c>
      <c r="L4481" s="151" t="s">
        <v>3306</v>
      </c>
      <c r="M4481">
        <v>1110</v>
      </c>
      <c r="N4481" s="123">
        <v>1</v>
      </c>
      <c r="O4481">
        <v>1480</v>
      </c>
      <c r="P4481" s="132" t="s">
        <v>77</v>
      </c>
      <c r="Q4481" s="131">
        <v>28102.81</v>
      </c>
      <c r="R4481" s="131">
        <v>3597.16</v>
      </c>
      <c r="S4481" s="131"/>
      <c r="T4481" s="155">
        <v>0</v>
      </c>
      <c r="U4481" s="131">
        <v>0</v>
      </c>
      <c r="V4481" s="131">
        <v>31699.97</v>
      </c>
      <c r="W4481">
        <v>242</v>
      </c>
      <c r="X4481" s="151" t="s">
        <v>2035</v>
      </c>
      <c r="Y4481" s="135" t="s">
        <v>55</v>
      </c>
      <c r="Z4481" s="307">
        <v>261</v>
      </c>
      <c r="AB4481" t="str">
        <f>IF(Table1[[#This Row],[TIPO2]]="costo", VLOOKUP(Table1[[#This Row],[PARTIDA PRESUPUESTAL]],'Cost Report'!G:G,1,0),"Balance")</f>
        <v>1401-078</v>
      </c>
      <c r="AC4481" s="118"/>
      <c r="AD4481" s="159">
        <f>+Table1[[#This Row],[SUBTOTAL]]+Table1[[#This Row],[IVA]]-Table1[[#This Row],[RET IVA]]-Table1[[#This Row],[RET ISR]]-Table1[[#This Row],[TOTAL]]</f>
        <v>0</v>
      </c>
      <c r="AE4481" s="150"/>
      <c r="AF4481" s="151"/>
      <c r="AG4481" s="126"/>
      <c r="AK4481" s="306" t="str">
        <f>IF(ISNUMBER(Table1[[#This Row],[FECHA DE RECIBIDO]]), Table1[[#This Row],[FECHA DE RECIBIDO]]-DATE(2023,8,30), "")</f>
        <v/>
      </c>
    </row>
    <row r="4482" spans="1:37" ht="16.05" customHeight="1">
      <c r="A4482" s="152"/>
      <c r="B4482" s="153">
        <v>1559</v>
      </c>
      <c r="C4482" s="126" t="s">
        <v>313</v>
      </c>
      <c r="D4482">
        <v>3041</v>
      </c>
      <c r="E4482" s="126" t="s">
        <v>3354</v>
      </c>
      <c r="F4482" s="125" t="s">
        <v>1371</v>
      </c>
      <c r="G4482" s="125" t="s">
        <v>2065</v>
      </c>
      <c r="H4482">
        <v>454</v>
      </c>
      <c r="I4482" s="125" t="s">
        <v>1546</v>
      </c>
      <c r="J4482" s="308" t="s">
        <v>214</v>
      </c>
      <c r="K4482" s="127" t="s">
        <v>4625</v>
      </c>
      <c r="L4482" s="153" t="s">
        <v>3306</v>
      </c>
      <c r="M4482">
        <v>1110</v>
      </c>
      <c r="N4482" s="123">
        <v>1</v>
      </c>
      <c r="O4482">
        <v>1480</v>
      </c>
      <c r="P4482" s="132" t="s">
        <v>77</v>
      </c>
      <c r="Q4482" s="132">
        <v>14721.36</v>
      </c>
      <c r="R4482" s="132">
        <v>1884.33</v>
      </c>
      <c r="S4482" s="132"/>
      <c r="T4482" s="156">
        <v>0</v>
      </c>
      <c r="U4482" s="132">
        <v>0</v>
      </c>
      <c r="V4482" s="132">
        <v>16605.690000000002</v>
      </c>
      <c r="W4482">
        <v>242</v>
      </c>
      <c r="X4482" s="153" t="s">
        <v>2035</v>
      </c>
      <c r="Y4482" s="124" t="s">
        <v>55</v>
      </c>
      <c r="Z4482" s="308">
        <v>261</v>
      </c>
      <c r="AB4482" t="str">
        <f>IF(Table1[[#This Row],[TIPO2]]="costo", VLOOKUP(Table1[[#This Row],[PARTIDA PRESUPUESTAL]],'Cost Report'!G:G,1,0),"Balance")</f>
        <v>1403-003</v>
      </c>
      <c r="AC4482" s="118"/>
      <c r="AD4482" s="159">
        <f>+Table1[[#This Row],[SUBTOTAL]]+Table1[[#This Row],[IVA]]-Table1[[#This Row],[RET IVA]]-Table1[[#This Row],[RET ISR]]-Table1[[#This Row],[TOTAL]]</f>
        <v>0</v>
      </c>
      <c r="AE4482" s="152"/>
      <c r="AF4482" s="153"/>
      <c r="AG4482" s="126"/>
      <c r="AK4482" s="306" t="str">
        <f>IF(ISNUMBER(Table1[[#This Row],[FECHA DE RECIBIDO]]), Table1[[#This Row],[FECHA DE RECIBIDO]]-DATE(2023,8,30), "")</f>
        <v/>
      </c>
    </row>
    <row r="4483" spans="1:37" ht="16.05" customHeight="1">
      <c r="A4483" s="150"/>
      <c r="B4483" s="153">
        <v>1559</v>
      </c>
      <c r="C4483" s="126" t="s">
        <v>315</v>
      </c>
      <c r="D4483">
        <v>3041</v>
      </c>
      <c r="E4483" s="126" t="s">
        <v>3354</v>
      </c>
      <c r="F4483" s="122" t="s">
        <v>1371</v>
      </c>
      <c r="G4483" s="122" t="s">
        <v>2065</v>
      </c>
      <c r="H4483">
        <v>454</v>
      </c>
      <c r="I4483" s="122" t="s">
        <v>1546</v>
      </c>
      <c r="J4483" s="307" t="s">
        <v>214</v>
      </c>
      <c r="K4483" s="127" t="s">
        <v>4625</v>
      </c>
      <c r="L4483" s="151" t="s">
        <v>3306</v>
      </c>
      <c r="M4483">
        <v>1110</v>
      </c>
      <c r="N4483" s="123">
        <v>1</v>
      </c>
      <c r="O4483">
        <v>1480</v>
      </c>
      <c r="P4483" s="132" t="s">
        <v>77</v>
      </c>
      <c r="Q4483" s="131">
        <v>2051.3000000000002</v>
      </c>
      <c r="R4483" s="131">
        <v>262.57</v>
      </c>
      <c r="S4483" s="131"/>
      <c r="T4483" s="155">
        <v>0</v>
      </c>
      <c r="U4483" s="131">
        <v>0</v>
      </c>
      <c r="V4483" s="131">
        <v>2313.8700000000003</v>
      </c>
      <c r="W4483">
        <v>242</v>
      </c>
      <c r="X4483" s="151" t="s">
        <v>2035</v>
      </c>
      <c r="Y4483" s="135" t="s">
        <v>55</v>
      </c>
      <c r="Z4483" s="307">
        <v>261</v>
      </c>
      <c r="AB4483" t="str">
        <f>IF(Table1[[#This Row],[TIPO2]]="costo", VLOOKUP(Table1[[#This Row],[PARTIDA PRESUPUESTAL]],'Cost Report'!G:G,1,0),"Balance")</f>
        <v>1403-005</v>
      </c>
      <c r="AC4483" s="118"/>
      <c r="AD4483" s="159">
        <f>+Table1[[#This Row],[SUBTOTAL]]+Table1[[#This Row],[IVA]]-Table1[[#This Row],[RET IVA]]-Table1[[#This Row],[RET ISR]]-Table1[[#This Row],[TOTAL]]</f>
        <v>0</v>
      </c>
      <c r="AE4483" s="150"/>
      <c r="AF4483" s="151"/>
      <c r="AG4483" s="126"/>
      <c r="AK4483" s="306" t="str">
        <f>IF(ISNUMBER(Table1[[#This Row],[FECHA DE RECIBIDO]]), Table1[[#This Row],[FECHA DE RECIBIDO]]-DATE(2023,8,30), "")</f>
        <v/>
      </c>
    </row>
    <row r="4484" spans="1:37" ht="16.05" customHeight="1">
      <c r="A4484" s="152"/>
      <c r="B4484" s="153">
        <v>1559</v>
      </c>
      <c r="C4484" s="126" t="s">
        <v>328</v>
      </c>
      <c r="D4484">
        <v>3041</v>
      </c>
      <c r="E4484" s="126" t="s">
        <v>3354</v>
      </c>
      <c r="F4484" s="125" t="s">
        <v>1371</v>
      </c>
      <c r="G4484" s="125" t="s">
        <v>2065</v>
      </c>
      <c r="H4484">
        <v>454</v>
      </c>
      <c r="I4484" s="125" t="s">
        <v>1546</v>
      </c>
      <c r="J4484" s="308" t="s">
        <v>214</v>
      </c>
      <c r="K4484" s="127" t="s">
        <v>4625</v>
      </c>
      <c r="L4484" s="153" t="s">
        <v>3306</v>
      </c>
      <c r="M4484">
        <v>1110</v>
      </c>
      <c r="N4484" s="123">
        <v>1</v>
      </c>
      <c r="O4484">
        <v>1480</v>
      </c>
      <c r="P4484" s="132" t="s">
        <v>77</v>
      </c>
      <c r="Q4484" s="132">
        <v>22005.66</v>
      </c>
      <c r="R4484" s="132">
        <v>2816.72</v>
      </c>
      <c r="S4484" s="132"/>
      <c r="T4484" s="156">
        <v>0</v>
      </c>
      <c r="U4484" s="132">
        <v>0</v>
      </c>
      <c r="V4484" s="132">
        <v>24822.38</v>
      </c>
      <c r="W4484">
        <v>242</v>
      </c>
      <c r="X4484" s="153" t="s">
        <v>2035</v>
      </c>
      <c r="Y4484" s="124" t="s">
        <v>55</v>
      </c>
      <c r="Z4484" s="308">
        <v>261</v>
      </c>
      <c r="AB4484" t="str">
        <f>IF(Table1[[#This Row],[TIPO2]]="costo", VLOOKUP(Table1[[#This Row],[PARTIDA PRESUPUESTAL]],'Cost Report'!G:G,1,0),"Balance")</f>
        <v>1403-024</v>
      </c>
      <c r="AC4484" s="118"/>
      <c r="AD4484" s="159">
        <f>+Table1[[#This Row],[SUBTOTAL]]+Table1[[#This Row],[IVA]]-Table1[[#This Row],[RET IVA]]-Table1[[#This Row],[RET ISR]]-Table1[[#This Row],[TOTAL]]</f>
        <v>0</v>
      </c>
      <c r="AE4484" s="152"/>
      <c r="AF4484" s="153"/>
      <c r="AG4484" s="126"/>
      <c r="AK4484" s="306" t="str">
        <f>IF(ISNUMBER(Table1[[#This Row],[FECHA DE RECIBIDO]]), Table1[[#This Row],[FECHA DE RECIBIDO]]-DATE(2023,8,30), "")</f>
        <v/>
      </c>
    </row>
    <row r="4485" spans="1:37" ht="16.05" customHeight="1">
      <c r="A4485" s="150"/>
      <c r="B4485" s="153">
        <v>1559</v>
      </c>
      <c r="C4485" s="126" t="s">
        <v>330</v>
      </c>
      <c r="D4485">
        <v>3041</v>
      </c>
      <c r="E4485" s="126" t="s">
        <v>3354</v>
      </c>
      <c r="F4485" s="122" t="s">
        <v>1371</v>
      </c>
      <c r="G4485" s="122" t="s">
        <v>2065</v>
      </c>
      <c r="H4485">
        <v>454</v>
      </c>
      <c r="I4485" s="122" t="s">
        <v>1546</v>
      </c>
      <c r="J4485" s="307" t="s">
        <v>214</v>
      </c>
      <c r="K4485" s="127" t="s">
        <v>4625</v>
      </c>
      <c r="L4485" s="151" t="s">
        <v>3306</v>
      </c>
      <c r="M4485">
        <v>1110</v>
      </c>
      <c r="N4485" s="123">
        <v>1</v>
      </c>
      <c r="O4485">
        <v>1480</v>
      </c>
      <c r="P4485" s="132" t="s">
        <v>77</v>
      </c>
      <c r="Q4485" s="131">
        <v>1629.04</v>
      </c>
      <c r="R4485" s="131">
        <v>208.52</v>
      </c>
      <c r="S4485" s="131"/>
      <c r="T4485" s="155">
        <v>0</v>
      </c>
      <c r="U4485" s="131">
        <v>0</v>
      </c>
      <c r="V4485" s="131">
        <v>1837.56</v>
      </c>
      <c r="W4485">
        <v>242</v>
      </c>
      <c r="X4485" s="151" t="s">
        <v>2035</v>
      </c>
      <c r="Y4485" s="135" t="s">
        <v>55</v>
      </c>
      <c r="Z4485" s="307">
        <v>261</v>
      </c>
      <c r="AB4485" t="str">
        <f>IF(Table1[[#This Row],[TIPO2]]="costo", VLOOKUP(Table1[[#This Row],[PARTIDA PRESUPUESTAL]],'Cost Report'!G:G,1,0),"Balance")</f>
        <v>1403-026</v>
      </c>
      <c r="AC4485" s="118"/>
      <c r="AD4485" s="159">
        <f>+Table1[[#This Row],[SUBTOTAL]]+Table1[[#This Row],[IVA]]-Table1[[#This Row],[RET IVA]]-Table1[[#This Row],[RET ISR]]-Table1[[#This Row],[TOTAL]]</f>
        <v>0</v>
      </c>
      <c r="AE4485" s="150"/>
      <c r="AF4485" s="151"/>
      <c r="AG4485" s="126"/>
      <c r="AK4485" s="306" t="str">
        <f>IF(ISNUMBER(Table1[[#This Row],[FECHA DE RECIBIDO]]), Table1[[#This Row],[FECHA DE RECIBIDO]]-DATE(2023,8,30), "")</f>
        <v/>
      </c>
    </row>
    <row r="4486" spans="1:37" ht="16.05" customHeight="1">
      <c r="A4486" s="152"/>
      <c r="B4486" s="153">
        <v>1559</v>
      </c>
      <c r="C4486" s="126" t="s">
        <v>333</v>
      </c>
      <c r="D4486">
        <v>3041</v>
      </c>
      <c r="E4486" s="126" t="s">
        <v>3354</v>
      </c>
      <c r="F4486" s="125" t="s">
        <v>1371</v>
      </c>
      <c r="G4486" s="125" t="s">
        <v>2065</v>
      </c>
      <c r="H4486">
        <v>454</v>
      </c>
      <c r="I4486" s="125" t="s">
        <v>1546</v>
      </c>
      <c r="J4486" s="308" t="s">
        <v>214</v>
      </c>
      <c r="K4486" s="127" t="s">
        <v>4625</v>
      </c>
      <c r="L4486" s="153" t="s">
        <v>3306</v>
      </c>
      <c r="M4486">
        <v>1110</v>
      </c>
      <c r="N4486" s="123">
        <v>1</v>
      </c>
      <c r="O4486">
        <v>1480</v>
      </c>
      <c r="P4486" s="132" t="s">
        <v>77</v>
      </c>
      <c r="Q4486" s="132">
        <v>11041.02</v>
      </c>
      <c r="R4486" s="132">
        <v>1413.25</v>
      </c>
      <c r="S4486" s="132"/>
      <c r="T4486" s="156">
        <v>0</v>
      </c>
      <c r="U4486" s="132">
        <v>0</v>
      </c>
      <c r="V4486" s="132">
        <v>12454.27</v>
      </c>
      <c r="W4486">
        <v>242</v>
      </c>
      <c r="X4486" s="153" t="s">
        <v>2035</v>
      </c>
      <c r="Y4486" s="124" t="s">
        <v>55</v>
      </c>
      <c r="Z4486" s="308">
        <v>261</v>
      </c>
      <c r="AB4486" t="str">
        <f>IF(Table1[[#This Row],[TIPO2]]="costo", VLOOKUP(Table1[[#This Row],[PARTIDA PRESUPUESTAL]],'Cost Report'!G:G,1,0),"Balance")</f>
        <v>1403-031</v>
      </c>
      <c r="AC4486" s="118"/>
      <c r="AD4486" s="159">
        <f>+Table1[[#This Row],[SUBTOTAL]]+Table1[[#This Row],[IVA]]-Table1[[#This Row],[RET IVA]]-Table1[[#This Row],[RET ISR]]-Table1[[#This Row],[TOTAL]]</f>
        <v>0</v>
      </c>
      <c r="AE4486" s="152"/>
      <c r="AF4486" s="153"/>
      <c r="AG4486" s="126"/>
      <c r="AK4486" s="306" t="str">
        <f>IF(ISNUMBER(Table1[[#This Row],[FECHA DE RECIBIDO]]), Table1[[#This Row],[FECHA DE RECIBIDO]]-DATE(2023,8,30), "")</f>
        <v/>
      </c>
    </row>
    <row r="4487" spans="1:37" ht="16.05" customHeight="1">
      <c r="A4487" s="150"/>
      <c r="B4487" s="153">
        <v>1559</v>
      </c>
      <c r="C4487" s="126" t="s">
        <v>2197</v>
      </c>
      <c r="D4487">
        <v>3041</v>
      </c>
      <c r="E4487" s="126" t="s">
        <v>3354</v>
      </c>
      <c r="F4487" s="122" t="s">
        <v>1371</v>
      </c>
      <c r="G4487" s="122" t="s">
        <v>2065</v>
      </c>
      <c r="H4487">
        <v>454</v>
      </c>
      <c r="I4487" s="122" t="s">
        <v>1546</v>
      </c>
      <c r="J4487" s="307" t="s">
        <v>214</v>
      </c>
      <c r="K4487" s="127" t="s">
        <v>4625</v>
      </c>
      <c r="L4487" s="151" t="s">
        <v>3306</v>
      </c>
      <c r="M4487">
        <v>1110</v>
      </c>
      <c r="N4487" s="123">
        <v>1</v>
      </c>
      <c r="O4487">
        <v>1480</v>
      </c>
      <c r="P4487" s="132" t="s">
        <v>77</v>
      </c>
      <c r="Q4487" s="131">
        <v>11041.02</v>
      </c>
      <c r="R4487" s="131">
        <v>1413.25</v>
      </c>
      <c r="S4487" s="131"/>
      <c r="T4487" s="155">
        <v>0</v>
      </c>
      <c r="U4487" s="131">
        <v>0</v>
      </c>
      <c r="V4487" s="131">
        <v>12454.27</v>
      </c>
      <c r="W4487">
        <v>242</v>
      </c>
      <c r="X4487" s="151" t="s">
        <v>2035</v>
      </c>
      <c r="Y4487" s="135" t="s">
        <v>55</v>
      </c>
      <c r="Z4487" s="307">
        <v>261</v>
      </c>
      <c r="AB4487" t="str">
        <f>IF(Table1[[#This Row],[TIPO2]]="costo", VLOOKUP(Table1[[#This Row],[PARTIDA PRESUPUESTAL]],'Cost Report'!G:G,1,0),"Balance")</f>
        <v>1403-066</v>
      </c>
      <c r="AC4487" s="118"/>
      <c r="AD4487" s="159">
        <f>+Table1[[#This Row],[SUBTOTAL]]+Table1[[#This Row],[IVA]]-Table1[[#This Row],[RET IVA]]-Table1[[#This Row],[RET ISR]]-Table1[[#This Row],[TOTAL]]</f>
        <v>0</v>
      </c>
      <c r="AE4487" s="150"/>
      <c r="AF4487" s="151"/>
      <c r="AG4487" s="126"/>
      <c r="AK4487" s="306" t="str">
        <f>IF(ISNUMBER(Table1[[#This Row],[FECHA DE RECIBIDO]]), Table1[[#This Row],[FECHA DE RECIBIDO]]-DATE(2023,8,30), "")</f>
        <v/>
      </c>
    </row>
    <row r="4488" spans="1:37" ht="16.05" customHeight="1">
      <c r="A4488" s="152"/>
      <c r="B4488" s="153">
        <v>1559</v>
      </c>
      <c r="C4488" s="126" t="s">
        <v>357</v>
      </c>
      <c r="D4488">
        <v>3041</v>
      </c>
      <c r="E4488" s="126" t="s">
        <v>3354</v>
      </c>
      <c r="F4488" s="125" t="s">
        <v>1371</v>
      </c>
      <c r="G4488" s="125" t="s">
        <v>2065</v>
      </c>
      <c r="H4488">
        <v>454</v>
      </c>
      <c r="I4488" s="125" t="s">
        <v>1546</v>
      </c>
      <c r="J4488" s="308" t="s">
        <v>214</v>
      </c>
      <c r="K4488" s="127" t="s">
        <v>4625</v>
      </c>
      <c r="L4488" s="153" t="s">
        <v>3306</v>
      </c>
      <c r="M4488">
        <v>1110</v>
      </c>
      <c r="N4488" s="123">
        <v>1</v>
      </c>
      <c r="O4488">
        <v>1480</v>
      </c>
      <c r="P4488" s="132" t="s">
        <v>77</v>
      </c>
      <c r="Q4488" s="132">
        <v>6583.94</v>
      </c>
      <c r="R4488" s="132">
        <v>842.74</v>
      </c>
      <c r="S4488" s="132"/>
      <c r="T4488" s="156">
        <v>0</v>
      </c>
      <c r="U4488" s="132">
        <v>0</v>
      </c>
      <c r="V4488" s="132">
        <v>7426.6799999999994</v>
      </c>
      <c r="W4488">
        <v>242</v>
      </c>
      <c r="X4488" s="153" t="s">
        <v>2035</v>
      </c>
      <c r="Y4488" s="124" t="s">
        <v>55</v>
      </c>
      <c r="Z4488" s="308">
        <v>261</v>
      </c>
      <c r="AB4488" t="str">
        <f>IF(Table1[[#This Row],[TIPO2]]="costo", VLOOKUP(Table1[[#This Row],[PARTIDA PRESUPUESTAL]],'Cost Report'!G:G,1,0),"Balance")</f>
        <v>1404-006</v>
      </c>
      <c r="AC4488" s="118"/>
      <c r="AD4488" s="159">
        <f>+Table1[[#This Row],[SUBTOTAL]]+Table1[[#This Row],[IVA]]-Table1[[#This Row],[RET IVA]]-Table1[[#This Row],[RET ISR]]-Table1[[#This Row],[TOTAL]]</f>
        <v>0</v>
      </c>
      <c r="AE4488" s="152"/>
      <c r="AF4488" s="153"/>
      <c r="AG4488" s="126"/>
      <c r="AK4488" s="306" t="str">
        <f>IF(ISNUMBER(Table1[[#This Row],[FECHA DE RECIBIDO]]), Table1[[#This Row],[FECHA DE RECIBIDO]]-DATE(2023,8,30), "")</f>
        <v/>
      </c>
    </row>
    <row r="4489" spans="1:37" ht="16.05" customHeight="1">
      <c r="A4489" s="150"/>
      <c r="B4489" s="153">
        <v>1559</v>
      </c>
      <c r="C4489" s="126" t="s">
        <v>2219</v>
      </c>
      <c r="D4489">
        <v>3041</v>
      </c>
      <c r="E4489" s="126" t="s">
        <v>3354</v>
      </c>
      <c r="F4489" s="122" t="s">
        <v>1371</v>
      </c>
      <c r="G4489" s="122" t="s">
        <v>2065</v>
      </c>
      <c r="H4489">
        <v>454</v>
      </c>
      <c r="I4489" s="122" t="s">
        <v>1546</v>
      </c>
      <c r="J4489" s="307" t="s">
        <v>214</v>
      </c>
      <c r="K4489" s="127" t="s">
        <v>4625</v>
      </c>
      <c r="L4489" s="151" t="s">
        <v>3306</v>
      </c>
      <c r="M4489">
        <v>1110</v>
      </c>
      <c r="N4489" s="123">
        <v>1</v>
      </c>
      <c r="O4489">
        <v>1480</v>
      </c>
      <c r="P4489" s="132" t="s">
        <v>77</v>
      </c>
      <c r="Q4489" s="131">
        <v>1711.01</v>
      </c>
      <c r="R4489" s="131">
        <v>219.01</v>
      </c>
      <c r="S4489" s="131"/>
      <c r="T4489" s="155">
        <v>0</v>
      </c>
      <c r="U4489" s="131">
        <v>0</v>
      </c>
      <c r="V4489" s="131">
        <v>1930.02</v>
      </c>
      <c r="W4489">
        <v>242</v>
      </c>
      <c r="X4489" s="151" t="s">
        <v>2035</v>
      </c>
      <c r="Y4489" s="135" t="s">
        <v>55</v>
      </c>
      <c r="Z4489" s="307">
        <v>261</v>
      </c>
      <c r="AB4489" t="str">
        <f>IF(Table1[[#This Row],[TIPO2]]="costo", VLOOKUP(Table1[[#This Row],[PARTIDA PRESUPUESTAL]],'Cost Report'!G:G,1,0),"Balance")</f>
        <v>1406-004</v>
      </c>
      <c r="AC4489" s="118"/>
      <c r="AD4489" s="159">
        <f>+Table1[[#This Row],[SUBTOTAL]]+Table1[[#This Row],[IVA]]-Table1[[#This Row],[RET IVA]]-Table1[[#This Row],[RET ISR]]-Table1[[#This Row],[TOTAL]]</f>
        <v>0</v>
      </c>
      <c r="AE4489" s="150"/>
      <c r="AF4489" s="151"/>
      <c r="AG4489" s="126"/>
      <c r="AK4489" s="306" t="str">
        <f>IF(ISNUMBER(Table1[[#This Row],[FECHA DE RECIBIDO]]), Table1[[#This Row],[FECHA DE RECIBIDO]]-DATE(2023,8,30), "")</f>
        <v/>
      </c>
    </row>
    <row r="4490" spans="1:37" ht="16.05" customHeight="1">
      <c r="A4490" s="152"/>
      <c r="B4490" s="153">
        <v>1559</v>
      </c>
      <c r="C4490" s="126" t="s">
        <v>2220</v>
      </c>
      <c r="D4490">
        <v>3041</v>
      </c>
      <c r="E4490" s="126" t="s">
        <v>3354</v>
      </c>
      <c r="F4490" s="125" t="s">
        <v>1371</v>
      </c>
      <c r="G4490" s="125" t="s">
        <v>2065</v>
      </c>
      <c r="H4490">
        <v>454</v>
      </c>
      <c r="I4490" s="125" t="s">
        <v>1546</v>
      </c>
      <c r="J4490" s="308" t="s">
        <v>214</v>
      </c>
      <c r="K4490" s="127" t="s">
        <v>4625</v>
      </c>
      <c r="L4490" s="153" t="s">
        <v>3306</v>
      </c>
      <c r="M4490">
        <v>1110</v>
      </c>
      <c r="N4490" s="123">
        <v>1</v>
      </c>
      <c r="O4490">
        <v>1480</v>
      </c>
      <c r="P4490" s="132" t="s">
        <v>77</v>
      </c>
      <c r="Q4490" s="132">
        <v>20246.419999999998</v>
      </c>
      <c r="R4490" s="132">
        <v>2591.54</v>
      </c>
      <c r="S4490" s="132"/>
      <c r="T4490" s="156">
        <v>0</v>
      </c>
      <c r="U4490" s="132">
        <v>0</v>
      </c>
      <c r="V4490" s="132">
        <v>22837.96</v>
      </c>
      <c r="W4490">
        <v>242</v>
      </c>
      <c r="X4490" s="153" t="s">
        <v>2035</v>
      </c>
      <c r="Y4490" s="124" t="s">
        <v>55</v>
      </c>
      <c r="Z4490" s="308">
        <v>261</v>
      </c>
      <c r="AB4490" t="str">
        <f>IF(Table1[[#This Row],[TIPO2]]="costo", VLOOKUP(Table1[[#This Row],[PARTIDA PRESUPUESTAL]],'Cost Report'!G:G,1,0),"Balance")</f>
        <v>1406-005</v>
      </c>
      <c r="AC4490" s="118"/>
      <c r="AD4490" s="159">
        <f>+Table1[[#This Row],[SUBTOTAL]]+Table1[[#This Row],[IVA]]-Table1[[#This Row],[RET IVA]]-Table1[[#This Row],[RET ISR]]-Table1[[#This Row],[TOTAL]]</f>
        <v>0</v>
      </c>
      <c r="AE4490" s="152"/>
      <c r="AF4490" s="153"/>
      <c r="AG4490" s="126"/>
      <c r="AK4490" s="306" t="str">
        <f>IF(ISNUMBER(Table1[[#This Row],[FECHA DE RECIBIDO]]), Table1[[#This Row],[FECHA DE RECIBIDO]]-DATE(2023,8,30), "")</f>
        <v/>
      </c>
    </row>
    <row r="4491" spans="1:37" ht="16.05" customHeight="1">
      <c r="A4491" s="150"/>
      <c r="B4491" s="153">
        <v>1559</v>
      </c>
      <c r="C4491" s="126" t="s">
        <v>2221</v>
      </c>
      <c r="D4491">
        <v>3041</v>
      </c>
      <c r="E4491" s="126" t="s">
        <v>3354</v>
      </c>
      <c r="F4491" s="122" t="s">
        <v>1371</v>
      </c>
      <c r="G4491" s="122" t="s">
        <v>2065</v>
      </c>
      <c r="H4491">
        <v>454</v>
      </c>
      <c r="I4491" s="122" t="s">
        <v>1546</v>
      </c>
      <c r="J4491" s="307" t="s">
        <v>214</v>
      </c>
      <c r="K4491" s="127" t="s">
        <v>4625</v>
      </c>
      <c r="L4491" s="151" t="s">
        <v>3306</v>
      </c>
      <c r="M4491">
        <v>1110</v>
      </c>
      <c r="N4491" s="123">
        <v>1</v>
      </c>
      <c r="O4491">
        <v>1480</v>
      </c>
      <c r="P4491" s="132" t="s">
        <v>77</v>
      </c>
      <c r="Q4491" s="131">
        <v>28498.29</v>
      </c>
      <c r="R4491" s="131">
        <v>3647.78</v>
      </c>
      <c r="S4491" s="131"/>
      <c r="T4491" s="155">
        <v>0</v>
      </c>
      <c r="U4491" s="131">
        <v>0</v>
      </c>
      <c r="V4491" s="131">
        <v>32146.07</v>
      </c>
      <c r="W4491">
        <v>242</v>
      </c>
      <c r="X4491" s="151" t="s">
        <v>2035</v>
      </c>
      <c r="Y4491" s="135" t="s">
        <v>55</v>
      </c>
      <c r="Z4491" s="307">
        <v>261</v>
      </c>
      <c r="AB4491" t="str">
        <f>IF(Table1[[#This Row],[TIPO2]]="costo", VLOOKUP(Table1[[#This Row],[PARTIDA PRESUPUESTAL]],'Cost Report'!G:G,1,0),"Balance")</f>
        <v>1406-006</v>
      </c>
      <c r="AC4491" s="118"/>
      <c r="AD4491" s="159">
        <f>+Table1[[#This Row],[SUBTOTAL]]+Table1[[#This Row],[IVA]]-Table1[[#This Row],[RET IVA]]-Table1[[#This Row],[RET ISR]]-Table1[[#This Row],[TOTAL]]</f>
        <v>0</v>
      </c>
      <c r="AE4491" s="150"/>
      <c r="AF4491" s="151"/>
      <c r="AG4491" s="126"/>
      <c r="AK4491" s="306" t="str">
        <f>IF(ISNUMBER(Table1[[#This Row],[FECHA DE RECIBIDO]]), Table1[[#This Row],[FECHA DE RECIBIDO]]-DATE(2023,8,30), "")</f>
        <v/>
      </c>
    </row>
    <row r="4492" spans="1:37" ht="16.05" customHeight="1">
      <c r="A4492" s="152"/>
      <c r="B4492" s="153">
        <v>1559</v>
      </c>
      <c r="C4492" s="126" t="s">
        <v>369</v>
      </c>
      <c r="D4492">
        <v>3041</v>
      </c>
      <c r="E4492" s="126" t="s">
        <v>3354</v>
      </c>
      <c r="F4492" s="125" t="s">
        <v>1371</v>
      </c>
      <c r="G4492" s="125" t="s">
        <v>2065</v>
      </c>
      <c r="H4492">
        <v>454</v>
      </c>
      <c r="I4492" s="125" t="s">
        <v>1546</v>
      </c>
      <c r="J4492" s="308" t="s">
        <v>214</v>
      </c>
      <c r="K4492" s="127" t="s">
        <v>4625</v>
      </c>
      <c r="L4492" s="153" t="s">
        <v>3306</v>
      </c>
      <c r="M4492">
        <v>1110</v>
      </c>
      <c r="N4492" s="123">
        <v>1</v>
      </c>
      <c r="O4492">
        <v>1480</v>
      </c>
      <c r="P4492" s="132" t="s">
        <v>77</v>
      </c>
      <c r="Q4492" s="132">
        <v>18401.7</v>
      </c>
      <c r="R4492" s="132">
        <v>2355.42</v>
      </c>
      <c r="S4492" s="132"/>
      <c r="T4492" s="156">
        <v>0</v>
      </c>
      <c r="U4492" s="132">
        <v>0</v>
      </c>
      <c r="V4492" s="132">
        <v>20757.120000000003</v>
      </c>
      <c r="W4492">
        <v>242</v>
      </c>
      <c r="X4492" s="153" t="s">
        <v>2035</v>
      </c>
      <c r="Y4492" s="124" t="s">
        <v>55</v>
      </c>
      <c r="Z4492" s="308">
        <v>261</v>
      </c>
      <c r="AB4492" t="str">
        <f>IF(Table1[[#This Row],[TIPO2]]="costo", VLOOKUP(Table1[[#This Row],[PARTIDA PRESUPUESTAL]],'Cost Report'!G:G,1,0),"Balance")</f>
        <v>1410-009</v>
      </c>
      <c r="AC4492" s="118"/>
      <c r="AD4492" s="159">
        <f>+Table1[[#This Row],[SUBTOTAL]]+Table1[[#This Row],[IVA]]-Table1[[#This Row],[RET IVA]]-Table1[[#This Row],[RET ISR]]-Table1[[#This Row],[TOTAL]]</f>
        <v>0</v>
      </c>
      <c r="AE4492" s="152"/>
      <c r="AF4492" s="153"/>
      <c r="AG4492" s="126"/>
      <c r="AK4492" s="306" t="str">
        <f>IF(ISNUMBER(Table1[[#This Row],[FECHA DE RECIBIDO]]), Table1[[#This Row],[FECHA DE RECIBIDO]]-DATE(2023,8,30), "")</f>
        <v/>
      </c>
    </row>
    <row r="4493" spans="1:37" ht="16.05" customHeight="1">
      <c r="A4493" s="150"/>
      <c r="B4493" s="153">
        <v>1559</v>
      </c>
      <c r="C4493" s="126" t="s">
        <v>370</v>
      </c>
      <c r="D4493">
        <v>3041</v>
      </c>
      <c r="E4493" s="126" t="s">
        <v>3354</v>
      </c>
      <c r="F4493" s="122" t="s">
        <v>1371</v>
      </c>
      <c r="G4493" s="122" t="s">
        <v>2065</v>
      </c>
      <c r="H4493">
        <v>454</v>
      </c>
      <c r="I4493" s="122" t="s">
        <v>1546</v>
      </c>
      <c r="J4493" s="307" t="s">
        <v>214</v>
      </c>
      <c r="K4493" s="127" t="s">
        <v>4625</v>
      </c>
      <c r="L4493" s="151" t="s">
        <v>3306</v>
      </c>
      <c r="M4493">
        <v>1110</v>
      </c>
      <c r="N4493" s="123">
        <v>1</v>
      </c>
      <c r="O4493">
        <v>1480</v>
      </c>
      <c r="P4493" s="132" t="s">
        <v>77</v>
      </c>
      <c r="Q4493" s="131">
        <v>16362.36</v>
      </c>
      <c r="R4493" s="131">
        <v>2094.38</v>
      </c>
      <c r="S4493" s="131"/>
      <c r="T4493" s="155">
        <v>0</v>
      </c>
      <c r="U4493" s="131">
        <v>0</v>
      </c>
      <c r="V4493" s="131">
        <v>18456.740000000002</v>
      </c>
      <c r="W4493">
        <v>242</v>
      </c>
      <c r="X4493" s="151" t="s">
        <v>2035</v>
      </c>
      <c r="Y4493" s="135" t="s">
        <v>55</v>
      </c>
      <c r="Z4493" s="307">
        <v>261</v>
      </c>
      <c r="AB4493" t="str">
        <f>IF(Table1[[#This Row],[TIPO2]]="costo", VLOOKUP(Table1[[#This Row],[PARTIDA PRESUPUESTAL]],'Cost Report'!G:G,1,0),"Balance")</f>
        <v>1410-010</v>
      </c>
      <c r="AC4493" s="118"/>
      <c r="AD4493" s="159">
        <f>+Table1[[#This Row],[SUBTOTAL]]+Table1[[#This Row],[IVA]]-Table1[[#This Row],[RET IVA]]-Table1[[#This Row],[RET ISR]]-Table1[[#This Row],[TOTAL]]</f>
        <v>0</v>
      </c>
      <c r="AE4493" s="150"/>
      <c r="AF4493" s="151"/>
      <c r="AG4493" s="126"/>
      <c r="AK4493" s="306" t="str">
        <f>IF(ISNUMBER(Table1[[#This Row],[FECHA DE RECIBIDO]]), Table1[[#This Row],[FECHA DE RECIBIDO]]-DATE(2023,8,30), "")</f>
        <v/>
      </c>
    </row>
    <row r="4494" spans="1:37" ht="16.05" customHeight="1">
      <c r="A4494" s="152"/>
      <c r="B4494" s="153">
        <v>1559</v>
      </c>
      <c r="C4494" s="126" t="s">
        <v>1416</v>
      </c>
      <c r="D4494">
        <v>3041</v>
      </c>
      <c r="E4494" s="126" t="s">
        <v>3354</v>
      </c>
      <c r="F4494" s="125" t="s">
        <v>1371</v>
      </c>
      <c r="G4494" s="125" t="s">
        <v>2065</v>
      </c>
      <c r="H4494">
        <v>454</v>
      </c>
      <c r="I4494" s="125" t="s">
        <v>1546</v>
      </c>
      <c r="J4494" s="308" t="s">
        <v>214</v>
      </c>
      <c r="K4494" s="127" t="s">
        <v>4625</v>
      </c>
      <c r="L4494" s="153" t="s">
        <v>3306</v>
      </c>
      <c r="M4494">
        <v>1110</v>
      </c>
      <c r="N4494" s="123">
        <v>1</v>
      </c>
      <c r="O4494">
        <v>1480</v>
      </c>
      <c r="P4494" s="132" t="s">
        <v>77</v>
      </c>
      <c r="Q4494" s="132">
        <v>135216.26</v>
      </c>
      <c r="R4494" s="132">
        <v>17922.82</v>
      </c>
      <c r="S4494" s="132"/>
      <c r="T4494" s="156">
        <v>0</v>
      </c>
      <c r="U4494" s="132">
        <v>0</v>
      </c>
      <c r="V4494" s="132">
        <v>153139.08000000002</v>
      </c>
      <c r="W4494">
        <v>242</v>
      </c>
      <c r="X4494" s="153" t="s">
        <v>2035</v>
      </c>
      <c r="Y4494" s="124" t="s">
        <v>55</v>
      </c>
      <c r="Z4494" s="308">
        <v>261</v>
      </c>
      <c r="AB4494" t="str">
        <f>IF(Table1[[#This Row],[TIPO2]]="costo", VLOOKUP(Table1[[#This Row],[PARTIDA PRESUPUESTAL]],'Cost Report'!G:G,1,0),"Balance")</f>
        <v>1499-001</v>
      </c>
      <c r="AC4494" s="118"/>
      <c r="AD4494" s="159">
        <f>+Table1[[#This Row],[SUBTOTAL]]+Table1[[#This Row],[IVA]]-Table1[[#This Row],[RET IVA]]-Table1[[#This Row],[RET ISR]]-Table1[[#This Row],[TOTAL]]</f>
        <v>0</v>
      </c>
      <c r="AE4494" s="152"/>
      <c r="AF4494" s="153"/>
      <c r="AG4494" s="126"/>
      <c r="AK4494" s="306" t="str">
        <f>IF(ISNUMBER(Table1[[#This Row],[FECHA DE RECIBIDO]]), Table1[[#This Row],[FECHA DE RECIBIDO]]-DATE(2023,8,30), "")</f>
        <v/>
      </c>
    </row>
    <row r="4495" spans="1:37" ht="16.05" customHeight="1">
      <c r="A4495" s="150"/>
      <c r="B4495" s="151">
        <v>1560</v>
      </c>
      <c r="C4495" s="126" t="s">
        <v>259</v>
      </c>
      <c r="D4495">
        <v>3042</v>
      </c>
      <c r="E4495" s="126" t="s">
        <v>3354</v>
      </c>
      <c r="F4495" s="122" t="s">
        <v>1371</v>
      </c>
      <c r="G4495" s="122" t="s">
        <v>2065</v>
      </c>
      <c r="H4495">
        <v>454</v>
      </c>
      <c r="I4495" s="122" t="s">
        <v>1546</v>
      </c>
      <c r="J4495" s="307" t="s">
        <v>214</v>
      </c>
      <c r="K4495" s="127" t="s">
        <v>4625</v>
      </c>
      <c r="L4495" s="151" t="s">
        <v>3306</v>
      </c>
      <c r="M4495">
        <v>1110</v>
      </c>
      <c r="N4495" s="123">
        <v>1</v>
      </c>
      <c r="O4495">
        <v>1481</v>
      </c>
      <c r="P4495" s="132" t="s">
        <v>77</v>
      </c>
      <c r="Q4495" s="131">
        <v>11278.01</v>
      </c>
      <c r="R4495" s="131">
        <v>1443.59</v>
      </c>
      <c r="S4495" s="131"/>
      <c r="T4495" s="155">
        <v>0</v>
      </c>
      <c r="U4495" s="131">
        <v>0</v>
      </c>
      <c r="V4495" s="131">
        <v>12721.6</v>
      </c>
      <c r="W4495">
        <v>242</v>
      </c>
      <c r="X4495" s="151" t="s">
        <v>2035</v>
      </c>
      <c r="Y4495" s="135" t="s">
        <v>55</v>
      </c>
      <c r="Z4495" s="307">
        <v>261</v>
      </c>
      <c r="AB4495" t="str">
        <f>IF(Table1[[#This Row],[TIPO2]]="costo", VLOOKUP(Table1[[#This Row],[PARTIDA PRESUPUESTAL]],'Cost Report'!G:G,1,0),"Balance")</f>
        <v>1301-012</v>
      </c>
      <c r="AC4495" s="118"/>
      <c r="AD4495" s="159">
        <f>+Table1[[#This Row],[SUBTOTAL]]+Table1[[#This Row],[IVA]]-Table1[[#This Row],[RET IVA]]-Table1[[#This Row],[RET ISR]]-Table1[[#This Row],[TOTAL]]</f>
        <v>0</v>
      </c>
      <c r="AE4495" s="150"/>
      <c r="AF4495" s="151"/>
      <c r="AG4495" s="126"/>
      <c r="AK4495" s="306" t="str">
        <f>IF(ISNUMBER(Table1[[#This Row],[FECHA DE RECIBIDO]]), Table1[[#This Row],[FECHA DE RECIBIDO]]-DATE(2023,8,30), "")</f>
        <v/>
      </c>
    </row>
    <row r="4496" spans="1:37" ht="16.05" customHeight="1">
      <c r="A4496" s="152"/>
      <c r="B4496" s="151">
        <v>1560</v>
      </c>
      <c r="C4496" s="126" t="s">
        <v>261</v>
      </c>
      <c r="D4496">
        <v>3042</v>
      </c>
      <c r="E4496" s="126" t="s">
        <v>3354</v>
      </c>
      <c r="F4496" s="125" t="s">
        <v>1371</v>
      </c>
      <c r="G4496" s="125" t="s">
        <v>2065</v>
      </c>
      <c r="H4496">
        <v>454</v>
      </c>
      <c r="I4496" s="125" t="s">
        <v>1546</v>
      </c>
      <c r="J4496" s="308" t="s">
        <v>214</v>
      </c>
      <c r="K4496" s="127" t="s">
        <v>4625</v>
      </c>
      <c r="L4496" s="153" t="s">
        <v>3306</v>
      </c>
      <c r="M4496">
        <v>1110</v>
      </c>
      <c r="N4496" s="123">
        <v>1</v>
      </c>
      <c r="O4496">
        <v>1481</v>
      </c>
      <c r="P4496" s="132" t="s">
        <v>77</v>
      </c>
      <c r="Q4496" s="132">
        <v>11278.01</v>
      </c>
      <c r="R4496" s="132">
        <v>1443.59</v>
      </c>
      <c r="S4496" s="132"/>
      <c r="T4496" s="156">
        <v>0</v>
      </c>
      <c r="U4496" s="132">
        <v>0</v>
      </c>
      <c r="V4496" s="132">
        <v>12721.6</v>
      </c>
      <c r="W4496">
        <v>242</v>
      </c>
      <c r="X4496" s="153" t="s">
        <v>2035</v>
      </c>
      <c r="Y4496" s="124" t="s">
        <v>55</v>
      </c>
      <c r="Z4496" s="308">
        <v>261</v>
      </c>
      <c r="AB4496" t="str">
        <f>IF(Table1[[#This Row],[TIPO2]]="costo", VLOOKUP(Table1[[#This Row],[PARTIDA PRESUPUESTAL]],'Cost Report'!G:G,1,0),"Balance")</f>
        <v>1301-014</v>
      </c>
      <c r="AC4496" s="118"/>
      <c r="AD4496" s="159">
        <f>+Table1[[#This Row],[SUBTOTAL]]+Table1[[#This Row],[IVA]]-Table1[[#This Row],[RET IVA]]-Table1[[#This Row],[RET ISR]]-Table1[[#This Row],[TOTAL]]</f>
        <v>0</v>
      </c>
      <c r="AE4496" s="152"/>
      <c r="AF4496" s="153"/>
      <c r="AG4496" s="126"/>
      <c r="AK4496" s="306" t="str">
        <f>IF(ISNUMBER(Table1[[#This Row],[FECHA DE RECIBIDO]]), Table1[[#This Row],[FECHA DE RECIBIDO]]-DATE(2023,8,30), "")</f>
        <v/>
      </c>
    </row>
    <row r="4497" spans="1:37" ht="16.05" customHeight="1">
      <c r="A4497" s="150"/>
      <c r="B4497" s="151">
        <v>1560</v>
      </c>
      <c r="C4497" s="126" t="s">
        <v>262</v>
      </c>
      <c r="D4497">
        <v>3042</v>
      </c>
      <c r="E4497" s="126" t="s">
        <v>3354</v>
      </c>
      <c r="F4497" s="122" t="s">
        <v>1371</v>
      </c>
      <c r="G4497" s="122" t="s">
        <v>2065</v>
      </c>
      <c r="H4497">
        <v>454</v>
      </c>
      <c r="I4497" s="122" t="s">
        <v>1546</v>
      </c>
      <c r="J4497" s="307" t="s">
        <v>214</v>
      </c>
      <c r="K4497" s="127" t="s">
        <v>4625</v>
      </c>
      <c r="L4497" s="151" t="s">
        <v>3306</v>
      </c>
      <c r="M4497">
        <v>1110</v>
      </c>
      <c r="N4497" s="123">
        <v>1</v>
      </c>
      <c r="O4497">
        <v>1481</v>
      </c>
      <c r="P4497" s="132" t="s">
        <v>77</v>
      </c>
      <c r="Q4497" s="131">
        <v>11278</v>
      </c>
      <c r="R4497" s="131">
        <v>1443.58</v>
      </c>
      <c r="S4497" s="131"/>
      <c r="T4497" s="155">
        <v>0</v>
      </c>
      <c r="U4497" s="131">
        <v>0</v>
      </c>
      <c r="V4497" s="131">
        <v>12721.58</v>
      </c>
      <c r="W4497">
        <v>242</v>
      </c>
      <c r="X4497" s="151" t="s">
        <v>2035</v>
      </c>
      <c r="Y4497" s="135" t="s">
        <v>55</v>
      </c>
      <c r="Z4497" s="307">
        <v>261</v>
      </c>
      <c r="AB4497" t="str">
        <f>IF(Table1[[#This Row],[TIPO2]]="costo", VLOOKUP(Table1[[#This Row],[PARTIDA PRESUPUESTAL]],'Cost Report'!G:G,1,0),"Balance")</f>
        <v>1301-015</v>
      </c>
      <c r="AC4497" s="118"/>
      <c r="AD4497" s="159">
        <f>+Table1[[#This Row],[SUBTOTAL]]+Table1[[#This Row],[IVA]]-Table1[[#This Row],[RET IVA]]-Table1[[#This Row],[RET ISR]]-Table1[[#This Row],[TOTAL]]</f>
        <v>0</v>
      </c>
      <c r="AE4497" s="150"/>
      <c r="AF4497" s="151"/>
      <c r="AG4497" s="126"/>
      <c r="AK4497" s="306" t="str">
        <f>IF(ISNUMBER(Table1[[#This Row],[FECHA DE RECIBIDO]]), Table1[[#This Row],[FECHA DE RECIBIDO]]-DATE(2023,8,30), "")</f>
        <v/>
      </c>
    </row>
    <row r="4498" spans="1:37" ht="16.05" customHeight="1">
      <c r="A4498" s="152"/>
      <c r="B4498" s="151">
        <v>1560</v>
      </c>
      <c r="C4498" s="126" t="s">
        <v>273</v>
      </c>
      <c r="D4498">
        <v>3042</v>
      </c>
      <c r="E4498" s="126" t="s">
        <v>3354</v>
      </c>
      <c r="F4498" s="125" t="s">
        <v>1371</v>
      </c>
      <c r="G4498" s="125" t="s">
        <v>2065</v>
      </c>
      <c r="H4498">
        <v>454</v>
      </c>
      <c r="I4498" s="125" t="s">
        <v>1546</v>
      </c>
      <c r="J4498" s="308" t="s">
        <v>214</v>
      </c>
      <c r="K4498" s="127" t="s">
        <v>4625</v>
      </c>
      <c r="L4498" s="153" t="s">
        <v>3306</v>
      </c>
      <c r="M4498">
        <v>1110</v>
      </c>
      <c r="N4498" s="123">
        <v>1</v>
      </c>
      <c r="O4498">
        <v>1481</v>
      </c>
      <c r="P4498" s="132" t="s">
        <v>77</v>
      </c>
      <c r="Q4498" s="132">
        <v>11278</v>
      </c>
      <c r="R4498" s="132">
        <v>1443.58</v>
      </c>
      <c r="S4498" s="132"/>
      <c r="T4498" s="156">
        <v>0</v>
      </c>
      <c r="U4498" s="132">
        <v>0</v>
      </c>
      <c r="V4498" s="132">
        <v>12721.58</v>
      </c>
      <c r="W4498">
        <v>242</v>
      </c>
      <c r="X4498" s="153" t="s">
        <v>2035</v>
      </c>
      <c r="Y4498" s="124" t="s">
        <v>55</v>
      </c>
      <c r="Z4498" s="308">
        <v>261</v>
      </c>
      <c r="AB4498" t="str">
        <f>IF(Table1[[#This Row],[TIPO2]]="costo", VLOOKUP(Table1[[#This Row],[PARTIDA PRESUPUESTAL]],'Cost Report'!G:G,1,0),"Balance")</f>
        <v>1302-005</v>
      </c>
      <c r="AC4498" s="118"/>
      <c r="AD4498" s="159">
        <f>+Table1[[#This Row],[SUBTOTAL]]+Table1[[#This Row],[IVA]]-Table1[[#This Row],[RET IVA]]-Table1[[#This Row],[RET ISR]]-Table1[[#This Row],[TOTAL]]</f>
        <v>0</v>
      </c>
      <c r="AE4498" s="152"/>
      <c r="AF4498" s="153"/>
      <c r="AG4498" s="126"/>
      <c r="AK4498" s="306" t="str">
        <f>IF(ISNUMBER(Table1[[#This Row],[FECHA DE RECIBIDO]]), Table1[[#This Row],[FECHA DE RECIBIDO]]-DATE(2023,8,30), "")</f>
        <v/>
      </c>
    </row>
    <row r="4499" spans="1:37" ht="16.05" customHeight="1">
      <c r="A4499" s="150"/>
      <c r="B4499" s="151">
        <v>1560</v>
      </c>
      <c r="C4499" s="126" t="s">
        <v>2160</v>
      </c>
      <c r="D4499">
        <v>3042</v>
      </c>
      <c r="E4499" s="126" t="s">
        <v>3354</v>
      </c>
      <c r="F4499" s="122" t="s">
        <v>1371</v>
      </c>
      <c r="G4499" s="122" t="s">
        <v>2065</v>
      </c>
      <c r="H4499">
        <v>454</v>
      </c>
      <c r="I4499" s="122" t="s">
        <v>1546</v>
      </c>
      <c r="J4499" s="307" t="s">
        <v>214</v>
      </c>
      <c r="K4499" s="127" t="s">
        <v>4625</v>
      </c>
      <c r="L4499" s="151" t="s">
        <v>3306</v>
      </c>
      <c r="M4499">
        <v>1110</v>
      </c>
      <c r="N4499" s="123">
        <v>1</v>
      </c>
      <c r="O4499">
        <v>1481</v>
      </c>
      <c r="P4499" s="132" t="s">
        <v>77</v>
      </c>
      <c r="Q4499" s="131">
        <v>11278</v>
      </c>
      <c r="R4499" s="131">
        <v>1443.58</v>
      </c>
      <c r="S4499" s="131"/>
      <c r="T4499" s="155">
        <v>0</v>
      </c>
      <c r="U4499" s="131">
        <v>0</v>
      </c>
      <c r="V4499" s="131">
        <v>12721.58</v>
      </c>
      <c r="W4499">
        <v>242</v>
      </c>
      <c r="X4499" s="151" t="s">
        <v>2035</v>
      </c>
      <c r="Y4499" s="135" t="s">
        <v>55</v>
      </c>
      <c r="Z4499" s="307">
        <v>261</v>
      </c>
      <c r="AB4499" t="str">
        <f>IF(Table1[[#This Row],[TIPO2]]="costo", VLOOKUP(Table1[[#This Row],[PARTIDA PRESUPUESTAL]],'Cost Report'!G:G,1,0),"Balance")</f>
        <v>1302-007</v>
      </c>
      <c r="AC4499" s="118"/>
      <c r="AD4499" s="159">
        <f>+Table1[[#This Row],[SUBTOTAL]]+Table1[[#This Row],[IVA]]-Table1[[#This Row],[RET IVA]]-Table1[[#This Row],[RET ISR]]-Table1[[#This Row],[TOTAL]]</f>
        <v>0</v>
      </c>
      <c r="AE4499" s="150"/>
      <c r="AF4499" s="151"/>
      <c r="AG4499" s="126"/>
      <c r="AK4499" s="306" t="str">
        <f>IF(ISNUMBER(Table1[[#This Row],[FECHA DE RECIBIDO]]), Table1[[#This Row],[FECHA DE RECIBIDO]]-DATE(2023,8,30), "")</f>
        <v/>
      </c>
    </row>
    <row r="4500" spans="1:37" ht="16.05" customHeight="1">
      <c r="A4500" s="152"/>
      <c r="B4500" s="151">
        <v>1560</v>
      </c>
      <c r="C4500" s="126" t="s">
        <v>2161</v>
      </c>
      <c r="D4500">
        <v>3042</v>
      </c>
      <c r="E4500" s="126" t="s">
        <v>3354</v>
      </c>
      <c r="F4500" s="125" t="s">
        <v>1371</v>
      </c>
      <c r="G4500" s="125" t="s">
        <v>2065</v>
      </c>
      <c r="H4500">
        <v>454</v>
      </c>
      <c r="I4500" s="125" t="s">
        <v>1546</v>
      </c>
      <c r="J4500" s="308" t="s">
        <v>214</v>
      </c>
      <c r="K4500" s="127" t="s">
        <v>4625</v>
      </c>
      <c r="L4500" s="153" t="s">
        <v>3306</v>
      </c>
      <c r="M4500">
        <v>1110</v>
      </c>
      <c r="N4500" s="123">
        <v>1</v>
      </c>
      <c r="O4500">
        <v>1481</v>
      </c>
      <c r="P4500" s="132" t="s">
        <v>77</v>
      </c>
      <c r="Q4500" s="132">
        <v>11278</v>
      </c>
      <c r="R4500" s="132">
        <v>1443.58</v>
      </c>
      <c r="S4500" s="132"/>
      <c r="T4500" s="156">
        <v>0</v>
      </c>
      <c r="U4500" s="132">
        <v>0</v>
      </c>
      <c r="V4500" s="132">
        <v>12721.58</v>
      </c>
      <c r="W4500">
        <v>242</v>
      </c>
      <c r="X4500" s="153" t="s">
        <v>2035</v>
      </c>
      <c r="Y4500" s="124" t="s">
        <v>55</v>
      </c>
      <c r="Z4500" s="308">
        <v>261</v>
      </c>
      <c r="AB4500" t="str">
        <f>IF(Table1[[#This Row],[TIPO2]]="costo", VLOOKUP(Table1[[#This Row],[PARTIDA PRESUPUESTAL]],'Cost Report'!G:G,1,0),"Balance")</f>
        <v>1302-008</v>
      </c>
      <c r="AC4500" s="118"/>
      <c r="AD4500" s="159">
        <f>+Table1[[#This Row],[SUBTOTAL]]+Table1[[#This Row],[IVA]]-Table1[[#This Row],[RET IVA]]-Table1[[#This Row],[RET ISR]]-Table1[[#This Row],[TOTAL]]</f>
        <v>0</v>
      </c>
      <c r="AE4500" s="152"/>
      <c r="AF4500" s="153"/>
      <c r="AG4500" s="126"/>
      <c r="AK4500" s="306" t="str">
        <f>IF(ISNUMBER(Table1[[#This Row],[FECHA DE RECIBIDO]]), Table1[[#This Row],[FECHA DE RECIBIDO]]-DATE(2023,8,30), "")</f>
        <v/>
      </c>
    </row>
    <row r="4501" spans="1:37" ht="16.05" customHeight="1">
      <c r="A4501" s="150" t="s">
        <v>4590</v>
      </c>
      <c r="B4501" s="151">
        <v>1561</v>
      </c>
      <c r="C4501" s="126" t="s">
        <v>674</v>
      </c>
      <c r="D4501">
        <v>3043</v>
      </c>
      <c r="E4501" s="126" t="s">
        <v>1895</v>
      </c>
      <c r="F4501" s="122" t="s">
        <v>1607</v>
      </c>
      <c r="G4501" s="122" t="s">
        <v>134</v>
      </c>
      <c r="H4501">
        <v>220</v>
      </c>
      <c r="I4501" s="122" t="s">
        <v>1546</v>
      </c>
      <c r="J4501" s="307" t="s">
        <v>214</v>
      </c>
      <c r="K4501" s="127" t="s">
        <v>4625</v>
      </c>
      <c r="L4501" s="151" t="s">
        <v>3306</v>
      </c>
      <c r="M4501">
        <v>1111</v>
      </c>
      <c r="N4501" s="123">
        <v>172</v>
      </c>
      <c r="O4501">
        <v>2906</v>
      </c>
      <c r="P4501" s="132" t="s">
        <v>77</v>
      </c>
      <c r="Q4501" s="131">
        <v>10000</v>
      </c>
      <c r="R4501" s="131">
        <v>1600</v>
      </c>
      <c r="S4501" s="131"/>
      <c r="T4501" s="155">
        <v>0</v>
      </c>
      <c r="U4501" s="131">
        <v>0</v>
      </c>
      <c r="V4501" s="131">
        <v>11600</v>
      </c>
      <c r="W4501">
        <v>141</v>
      </c>
      <c r="X4501" s="151" t="s">
        <v>105</v>
      </c>
      <c r="Y4501" s="135" t="s">
        <v>55</v>
      </c>
      <c r="Z4501" s="307">
        <v>261</v>
      </c>
      <c r="AB4501" t="str">
        <f>IF(Table1[[#This Row],[TIPO2]]="costo", VLOOKUP(Table1[[#This Row],[PARTIDA PRESUPUESTAL]],'Cost Report'!G:G,1,0),"Balance")</f>
        <v>2795-003</v>
      </c>
      <c r="AC4501" s="118"/>
      <c r="AD4501" s="159">
        <f>+Table1[[#This Row],[SUBTOTAL]]+Table1[[#This Row],[IVA]]-Table1[[#This Row],[RET IVA]]-Table1[[#This Row],[RET ISR]]-Table1[[#This Row],[TOTAL]]</f>
        <v>0</v>
      </c>
      <c r="AE4501" s="150"/>
      <c r="AF4501" s="151"/>
      <c r="AG4501" s="126"/>
      <c r="AK4501" s="306" t="str">
        <f>IF(ISNUMBER(Table1[[#This Row],[FECHA DE RECIBIDO]]), Table1[[#This Row],[FECHA DE RECIBIDO]]-DATE(2023,8,30), "")</f>
        <v/>
      </c>
    </row>
    <row r="4502" spans="1:37" ht="16.05" customHeight="1">
      <c r="A4502" s="152" t="s">
        <v>4591</v>
      </c>
      <c r="B4502" s="153">
        <v>1562</v>
      </c>
      <c r="C4502" s="126" t="s">
        <v>1139</v>
      </c>
      <c r="D4502">
        <v>3044</v>
      </c>
      <c r="E4502" s="126" t="s">
        <v>1603</v>
      </c>
      <c r="F4502" s="125" t="s">
        <v>1607</v>
      </c>
      <c r="G4502" s="125" t="s">
        <v>134</v>
      </c>
      <c r="H4502">
        <v>444</v>
      </c>
      <c r="I4502" s="125" t="s">
        <v>1546</v>
      </c>
      <c r="J4502" s="308" t="s">
        <v>214</v>
      </c>
      <c r="K4502" s="127" t="s">
        <v>4625</v>
      </c>
      <c r="L4502" s="153" t="s">
        <v>3306</v>
      </c>
      <c r="M4502">
        <v>1112</v>
      </c>
      <c r="N4502" s="123">
        <v>1</v>
      </c>
      <c r="O4502">
        <v>2907</v>
      </c>
      <c r="P4502" s="132" t="s">
        <v>77</v>
      </c>
      <c r="Q4502" s="132">
        <v>15600</v>
      </c>
      <c r="R4502" s="132">
        <v>2496</v>
      </c>
      <c r="S4502" s="132"/>
      <c r="T4502" s="156">
        <v>0</v>
      </c>
      <c r="U4502" s="132">
        <v>0</v>
      </c>
      <c r="V4502" s="132">
        <v>18096</v>
      </c>
      <c r="W4502">
        <v>231</v>
      </c>
      <c r="X4502" s="153" t="s">
        <v>1429</v>
      </c>
      <c r="Y4502" s="124" t="s">
        <v>55</v>
      </c>
      <c r="Z4502" s="308">
        <v>261</v>
      </c>
      <c r="AB4502" t="str">
        <f>IF(Table1[[#This Row],[TIPO2]]="costo", VLOOKUP(Table1[[#This Row],[PARTIDA PRESUPUESTAL]],'Cost Report'!G:G,1,0),"Balance")</f>
        <v>3902-003</v>
      </c>
      <c r="AC4502" s="118"/>
      <c r="AD4502" s="159">
        <f>+Table1[[#This Row],[SUBTOTAL]]+Table1[[#This Row],[IVA]]-Table1[[#This Row],[RET IVA]]-Table1[[#This Row],[RET ISR]]-Table1[[#This Row],[TOTAL]]</f>
        <v>0</v>
      </c>
      <c r="AE4502" s="152"/>
      <c r="AF4502" s="153"/>
      <c r="AG4502" s="126"/>
      <c r="AK4502" s="306" t="str">
        <f>IF(ISNUMBER(Table1[[#This Row],[FECHA DE RECIBIDO]]), Table1[[#This Row],[FECHA DE RECIBIDO]]-DATE(2023,8,30), "")</f>
        <v/>
      </c>
    </row>
    <row r="4503" spans="1:37" ht="16.05" customHeight="1">
      <c r="A4503" s="150" t="s">
        <v>4592</v>
      </c>
      <c r="B4503" s="151">
        <v>1563</v>
      </c>
      <c r="C4503" s="126" t="s">
        <v>1765</v>
      </c>
      <c r="D4503">
        <v>3045</v>
      </c>
      <c r="E4503" s="126" t="s">
        <v>3273</v>
      </c>
      <c r="F4503" s="122" t="s">
        <v>1589</v>
      </c>
      <c r="G4503" s="122" t="s">
        <v>129</v>
      </c>
      <c r="H4503">
        <v>264</v>
      </c>
      <c r="I4503" s="122" t="s">
        <v>1546</v>
      </c>
      <c r="J4503" s="307" t="s">
        <v>214</v>
      </c>
      <c r="K4503" s="127" t="s">
        <v>4625</v>
      </c>
      <c r="L4503" s="151" t="s">
        <v>3306</v>
      </c>
      <c r="M4503">
        <v>351</v>
      </c>
      <c r="N4503" s="123">
        <v>1</v>
      </c>
      <c r="O4503">
        <v>2908</v>
      </c>
      <c r="P4503" s="132" t="s">
        <v>77</v>
      </c>
      <c r="Q4503" s="131">
        <v>63000</v>
      </c>
      <c r="R4503" s="131">
        <v>10080</v>
      </c>
      <c r="S4503" s="131"/>
      <c r="T4503" s="155">
        <v>6720.02</v>
      </c>
      <c r="U4503" s="131">
        <v>6300</v>
      </c>
      <c r="V4503" s="131">
        <v>60059.979999999996</v>
      </c>
      <c r="W4503">
        <v>164</v>
      </c>
      <c r="X4503" s="151" t="s">
        <v>1429</v>
      </c>
      <c r="Y4503" s="135" t="s">
        <v>55</v>
      </c>
      <c r="Z4503" s="307">
        <v>261</v>
      </c>
      <c r="AB4503" t="str">
        <f>IF(Table1[[#This Row],[TIPO2]]="costo", VLOOKUP(Table1[[#This Row],[PARTIDA PRESUPUESTAL]],'Cost Report'!G:G,1,0),"Balance")</f>
        <v>3193-090</v>
      </c>
      <c r="AC4503" s="118"/>
      <c r="AD4503" s="159">
        <f>+Table1[[#This Row],[SUBTOTAL]]+Table1[[#This Row],[IVA]]-Table1[[#This Row],[RET IVA]]-Table1[[#This Row],[RET ISR]]-Table1[[#This Row],[TOTAL]]</f>
        <v>0</v>
      </c>
      <c r="AE4503" s="150"/>
      <c r="AF4503" s="151"/>
      <c r="AG4503" s="126"/>
      <c r="AK4503" s="306" t="str">
        <f>IF(ISNUMBER(Table1[[#This Row],[FECHA DE RECIBIDO]]), Table1[[#This Row],[FECHA DE RECIBIDO]]-DATE(2023,8,30), "")</f>
        <v/>
      </c>
    </row>
    <row r="4504" spans="1:37" ht="16.05" customHeight="1">
      <c r="A4504" s="150" t="s">
        <v>4592</v>
      </c>
      <c r="B4504" s="151">
        <v>1563</v>
      </c>
      <c r="C4504" s="126" t="s">
        <v>2728</v>
      </c>
      <c r="D4504">
        <v>3045</v>
      </c>
      <c r="E4504" s="126" t="s">
        <v>3273</v>
      </c>
      <c r="F4504" s="125" t="s">
        <v>1589</v>
      </c>
      <c r="G4504" s="125" t="s">
        <v>129</v>
      </c>
      <c r="H4504">
        <v>264</v>
      </c>
      <c r="I4504" s="125" t="s">
        <v>1546</v>
      </c>
      <c r="J4504" s="308" t="s">
        <v>214</v>
      </c>
      <c r="K4504" s="127" t="s">
        <v>4625</v>
      </c>
      <c r="L4504" s="153" t="s">
        <v>3306</v>
      </c>
      <c r="M4504">
        <v>351</v>
      </c>
      <c r="N4504" s="123">
        <v>1</v>
      </c>
      <c r="O4504">
        <v>2908</v>
      </c>
      <c r="P4504" s="132" t="s">
        <v>77</v>
      </c>
      <c r="Q4504" s="132">
        <v>7500</v>
      </c>
      <c r="R4504" s="132">
        <v>1200</v>
      </c>
      <c r="S4504" s="132"/>
      <c r="T4504" s="156">
        <v>800</v>
      </c>
      <c r="U4504" s="132">
        <v>750</v>
      </c>
      <c r="V4504" s="132">
        <v>7150</v>
      </c>
      <c r="W4504">
        <v>164</v>
      </c>
      <c r="X4504" s="153" t="s">
        <v>1429</v>
      </c>
      <c r="Y4504" s="124" t="s">
        <v>55</v>
      </c>
      <c r="Z4504" s="308">
        <v>261</v>
      </c>
      <c r="AB4504" t="str">
        <f>IF(Table1[[#This Row],[TIPO2]]="costo", VLOOKUP(Table1[[#This Row],[PARTIDA PRESUPUESTAL]],'Cost Report'!G:G,1,0),"Balance")</f>
        <v>3193-105</v>
      </c>
      <c r="AC4504" s="118"/>
      <c r="AD4504" s="159">
        <f>+Table1[[#This Row],[SUBTOTAL]]+Table1[[#This Row],[IVA]]-Table1[[#This Row],[RET IVA]]-Table1[[#This Row],[RET ISR]]-Table1[[#This Row],[TOTAL]]</f>
        <v>0</v>
      </c>
      <c r="AE4504" s="152"/>
      <c r="AF4504" s="153"/>
      <c r="AG4504" s="126"/>
      <c r="AK4504" s="306" t="str">
        <f>IF(ISNUMBER(Table1[[#This Row],[FECHA DE RECIBIDO]]), Table1[[#This Row],[FECHA DE RECIBIDO]]-DATE(2023,8,30), "")</f>
        <v/>
      </c>
    </row>
    <row r="4505" spans="1:37" ht="16.05" customHeight="1">
      <c r="A4505" s="150" t="s">
        <v>4593</v>
      </c>
      <c r="B4505" s="151">
        <v>1564</v>
      </c>
      <c r="C4505" s="126" t="s">
        <v>970</v>
      </c>
      <c r="D4505">
        <v>3046</v>
      </c>
      <c r="E4505" s="126" t="s">
        <v>1605</v>
      </c>
      <c r="F4505" s="122" t="s">
        <v>1607</v>
      </c>
      <c r="G4505" s="122" t="s">
        <v>134</v>
      </c>
      <c r="H4505">
        <v>84</v>
      </c>
      <c r="I4505" s="122" t="s">
        <v>1546</v>
      </c>
      <c r="J4505" s="307" t="s">
        <v>214</v>
      </c>
      <c r="K4505" s="127" t="s">
        <v>4625</v>
      </c>
      <c r="L4505" s="151" t="s">
        <v>3306</v>
      </c>
      <c r="M4505">
        <v>1113</v>
      </c>
      <c r="N4505" s="123">
        <v>1</v>
      </c>
      <c r="O4505">
        <v>2909</v>
      </c>
      <c r="P4505" s="132" t="s">
        <v>77</v>
      </c>
      <c r="Q4505" s="131">
        <v>34489.29</v>
      </c>
      <c r="R4505" s="131">
        <v>5518.29</v>
      </c>
      <c r="S4505" s="131"/>
      <c r="T4505" s="155"/>
      <c r="U4505" s="131"/>
      <c r="V4505" s="131">
        <v>40007.58</v>
      </c>
      <c r="W4505">
        <v>56</v>
      </c>
      <c r="X4505" s="151" t="s">
        <v>1429</v>
      </c>
      <c r="Y4505" s="135" t="s">
        <v>55</v>
      </c>
      <c r="Z4505" s="307">
        <v>261</v>
      </c>
      <c r="AB4505" t="str">
        <f>IF(Table1[[#This Row],[TIPO2]]="costo", VLOOKUP(Table1[[#This Row],[PARTIDA PRESUPUESTAL]],'Cost Report'!G:G,1,0),"Balance")</f>
        <v>3410-003</v>
      </c>
      <c r="AC4505" s="118"/>
      <c r="AD4505" s="159">
        <f>+Table1[[#This Row],[SUBTOTAL]]+Table1[[#This Row],[IVA]]-Table1[[#This Row],[RET IVA]]-Table1[[#This Row],[RET ISR]]-Table1[[#This Row],[TOTAL]]</f>
        <v>0</v>
      </c>
      <c r="AE4505" s="150"/>
      <c r="AF4505" s="151"/>
      <c r="AG4505" s="126"/>
      <c r="AK4505" s="306" t="str">
        <f>IF(ISNUMBER(Table1[[#This Row],[FECHA DE RECIBIDO]]), Table1[[#This Row],[FECHA DE RECIBIDO]]-DATE(2023,8,30), "")</f>
        <v/>
      </c>
    </row>
    <row r="4506" spans="1:37" ht="16.05" customHeight="1">
      <c r="A4506" s="150" t="s">
        <v>4593</v>
      </c>
      <c r="B4506" s="151">
        <v>1564</v>
      </c>
      <c r="C4506" s="126" t="s">
        <v>970</v>
      </c>
      <c r="D4506">
        <v>3046</v>
      </c>
      <c r="E4506" s="126" t="s">
        <v>1605</v>
      </c>
      <c r="F4506" s="125" t="s">
        <v>1607</v>
      </c>
      <c r="G4506" s="125" t="s">
        <v>134</v>
      </c>
      <c r="H4506">
        <v>84</v>
      </c>
      <c r="I4506" s="125" t="s">
        <v>1546</v>
      </c>
      <c r="J4506" s="308" t="s">
        <v>214</v>
      </c>
      <c r="K4506" s="127" t="s">
        <v>4625</v>
      </c>
      <c r="L4506" s="153" t="s">
        <v>3306</v>
      </c>
      <c r="M4506">
        <v>1113</v>
      </c>
      <c r="N4506" s="123">
        <v>1</v>
      </c>
      <c r="O4506">
        <v>2909</v>
      </c>
      <c r="P4506" s="132" t="s">
        <v>77</v>
      </c>
      <c r="Q4506" s="132">
        <v>34489.279999999999</v>
      </c>
      <c r="R4506" s="132">
        <v>5518.29</v>
      </c>
      <c r="S4506" s="132"/>
      <c r="T4506" s="156"/>
      <c r="U4506" s="132"/>
      <c r="V4506" s="132">
        <v>40007.57</v>
      </c>
      <c r="W4506">
        <v>56</v>
      </c>
      <c r="X4506" s="153" t="s">
        <v>1429</v>
      </c>
      <c r="Y4506" s="124" t="s">
        <v>55</v>
      </c>
      <c r="Z4506" s="308">
        <v>261</v>
      </c>
      <c r="AB4506" t="str">
        <f>IF(Table1[[#This Row],[TIPO2]]="costo", VLOOKUP(Table1[[#This Row],[PARTIDA PRESUPUESTAL]],'Cost Report'!G:G,1,0),"Balance")</f>
        <v>3410-003</v>
      </c>
      <c r="AC4506" s="118"/>
      <c r="AD4506" s="159">
        <f>+Table1[[#This Row],[SUBTOTAL]]+Table1[[#This Row],[IVA]]-Table1[[#This Row],[RET IVA]]-Table1[[#This Row],[RET ISR]]-Table1[[#This Row],[TOTAL]]</f>
        <v>0</v>
      </c>
      <c r="AE4506" s="152"/>
      <c r="AF4506" s="153"/>
      <c r="AG4506" s="126"/>
      <c r="AK4506" s="306" t="str">
        <f>IF(ISNUMBER(Table1[[#This Row],[FECHA DE RECIBIDO]]), Table1[[#This Row],[FECHA DE RECIBIDO]]-DATE(2023,8,30), "")</f>
        <v/>
      </c>
    </row>
    <row r="4507" spans="1:37" ht="16.05" customHeight="1">
      <c r="A4507" s="150" t="s">
        <v>4593</v>
      </c>
      <c r="B4507" s="151">
        <v>1564</v>
      </c>
      <c r="C4507" s="126" t="s">
        <v>978</v>
      </c>
      <c r="D4507">
        <v>3046</v>
      </c>
      <c r="E4507" s="126" t="s">
        <v>1605</v>
      </c>
      <c r="F4507" s="122" t="s">
        <v>1607</v>
      </c>
      <c r="G4507" s="122" t="s">
        <v>134</v>
      </c>
      <c r="H4507">
        <v>84</v>
      </c>
      <c r="I4507" s="122" t="s">
        <v>1546</v>
      </c>
      <c r="J4507" s="307" t="s">
        <v>214</v>
      </c>
      <c r="K4507" s="127" t="s">
        <v>4625</v>
      </c>
      <c r="L4507" s="151" t="s">
        <v>3306</v>
      </c>
      <c r="M4507">
        <v>1113</v>
      </c>
      <c r="N4507" s="123">
        <v>1</v>
      </c>
      <c r="O4507">
        <v>2909</v>
      </c>
      <c r="P4507" s="132" t="s">
        <v>77</v>
      </c>
      <c r="Q4507" s="131">
        <v>34489.279999999999</v>
      </c>
      <c r="R4507" s="131">
        <v>5518.29</v>
      </c>
      <c r="S4507" s="131"/>
      <c r="T4507" s="155"/>
      <c r="U4507" s="131"/>
      <c r="V4507" s="131">
        <v>40007.57</v>
      </c>
      <c r="W4507">
        <v>56</v>
      </c>
      <c r="X4507" s="151" t="s">
        <v>1429</v>
      </c>
      <c r="Y4507" s="135" t="s">
        <v>55</v>
      </c>
      <c r="Z4507" s="307">
        <v>261</v>
      </c>
      <c r="AB4507" t="str">
        <f>IF(Table1[[#This Row],[TIPO2]]="costo", VLOOKUP(Table1[[#This Row],[PARTIDA PRESUPUESTAL]],'Cost Report'!G:G,1,0),"Balance")</f>
        <v>3410-013</v>
      </c>
      <c r="AC4507" s="118"/>
      <c r="AD4507" s="159">
        <f>+Table1[[#This Row],[SUBTOTAL]]+Table1[[#This Row],[IVA]]-Table1[[#This Row],[RET IVA]]-Table1[[#This Row],[RET ISR]]-Table1[[#This Row],[TOTAL]]</f>
        <v>0</v>
      </c>
      <c r="AE4507" s="150"/>
      <c r="AF4507" s="151"/>
      <c r="AG4507" s="126"/>
      <c r="AK4507" s="306" t="str">
        <f>IF(ISNUMBER(Table1[[#This Row],[FECHA DE RECIBIDO]]), Table1[[#This Row],[FECHA DE RECIBIDO]]-DATE(2023,8,30), "")</f>
        <v/>
      </c>
    </row>
    <row r="4508" spans="1:37" ht="16.05" customHeight="1">
      <c r="A4508" s="150" t="s">
        <v>4593</v>
      </c>
      <c r="B4508" s="151">
        <v>1564</v>
      </c>
      <c r="C4508" s="126" t="s">
        <v>972</v>
      </c>
      <c r="D4508">
        <v>3046</v>
      </c>
      <c r="E4508" s="126" t="s">
        <v>1605</v>
      </c>
      <c r="F4508" s="125" t="s">
        <v>1607</v>
      </c>
      <c r="G4508" s="125" t="s">
        <v>134</v>
      </c>
      <c r="H4508">
        <v>84</v>
      </c>
      <c r="I4508" s="125" t="s">
        <v>1546</v>
      </c>
      <c r="J4508" s="308" t="s">
        <v>214</v>
      </c>
      <c r="K4508" s="127" t="s">
        <v>4625</v>
      </c>
      <c r="L4508" s="153" t="s">
        <v>3306</v>
      </c>
      <c r="M4508">
        <v>1113</v>
      </c>
      <c r="N4508" s="123">
        <v>1</v>
      </c>
      <c r="O4508">
        <v>2909</v>
      </c>
      <c r="P4508" s="132" t="s">
        <v>77</v>
      </c>
      <c r="Q4508" s="132">
        <v>34489.279999999999</v>
      </c>
      <c r="R4508" s="132">
        <v>5518.29</v>
      </c>
      <c r="S4508" s="132"/>
      <c r="T4508" s="156"/>
      <c r="U4508" s="132"/>
      <c r="V4508" s="132">
        <v>40007.57</v>
      </c>
      <c r="W4508">
        <v>56</v>
      </c>
      <c r="X4508" s="153" t="s">
        <v>1429</v>
      </c>
      <c r="Y4508" s="124" t="s">
        <v>55</v>
      </c>
      <c r="Z4508" s="308">
        <v>261</v>
      </c>
      <c r="AB4508" t="str">
        <f>IF(Table1[[#This Row],[TIPO2]]="costo", VLOOKUP(Table1[[#This Row],[PARTIDA PRESUPUESTAL]],'Cost Report'!G:G,1,0),"Balance")</f>
        <v>3410-005</v>
      </c>
      <c r="AC4508" s="118"/>
      <c r="AD4508" s="159">
        <f>+Table1[[#This Row],[SUBTOTAL]]+Table1[[#This Row],[IVA]]-Table1[[#This Row],[RET IVA]]-Table1[[#This Row],[RET ISR]]-Table1[[#This Row],[TOTAL]]</f>
        <v>0</v>
      </c>
      <c r="AE4508" s="152"/>
      <c r="AF4508" s="153"/>
      <c r="AG4508" s="126"/>
      <c r="AK4508" s="306" t="str">
        <f>IF(ISNUMBER(Table1[[#This Row],[FECHA DE RECIBIDO]]), Table1[[#This Row],[FECHA DE RECIBIDO]]-DATE(2023,8,30), "")</f>
        <v/>
      </c>
    </row>
    <row r="4509" spans="1:37" ht="16.05" customHeight="1">
      <c r="A4509" s="150" t="s">
        <v>4593</v>
      </c>
      <c r="B4509" s="151">
        <v>1564</v>
      </c>
      <c r="C4509" s="126" t="s">
        <v>973</v>
      </c>
      <c r="D4509">
        <v>3046</v>
      </c>
      <c r="E4509" s="126" t="s">
        <v>1605</v>
      </c>
      <c r="F4509" s="122" t="s">
        <v>1607</v>
      </c>
      <c r="G4509" s="122" t="s">
        <v>134</v>
      </c>
      <c r="H4509">
        <v>84</v>
      </c>
      <c r="I4509" s="122" t="s">
        <v>1546</v>
      </c>
      <c r="J4509" s="307" t="s">
        <v>214</v>
      </c>
      <c r="K4509" s="127" t="s">
        <v>4625</v>
      </c>
      <c r="L4509" s="151" t="s">
        <v>3306</v>
      </c>
      <c r="M4509">
        <v>1113</v>
      </c>
      <c r="N4509" s="123">
        <v>1</v>
      </c>
      <c r="O4509">
        <v>2909</v>
      </c>
      <c r="P4509" s="132" t="s">
        <v>77</v>
      </c>
      <c r="Q4509" s="131">
        <v>34489.279999999999</v>
      </c>
      <c r="R4509" s="131">
        <v>5518.29</v>
      </c>
      <c r="S4509" s="131"/>
      <c r="T4509" s="155"/>
      <c r="U4509" s="131"/>
      <c r="V4509" s="131">
        <v>40007.57</v>
      </c>
      <c r="W4509">
        <v>56</v>
      </c>
      <c r="X4509" s="151" t="s">
        <v>1429</v>
      </c>
      <c r="Y4509" s="135" t="s">
        <v>55</v>
      </c>
      <c r="Z4509" s="307">
        <v>261</v>
      </c>
      <c r="AB4509" t="str">
        <f>IF(Table1[[#This Row],[TIPO2]]="costo", VLOOKUP(Table1[[#This Row],[PARTIDA PRESUPUESTAL]],'Cost Report'!G:G,1,0),"Balance")</f>
        <v>3410-006</v>
      </c>
      <c r="AC4509" s="118"/>
      <c r="AD4509" s="159">
        <f>+Table1[[#This Row],[SUBTOTAL]]+Table1[[#This Row],[IVA]]-Table1[[#This Row],[RET IVA]]-Table1[[#This Row],[RET ISR]]-Table1[[#This Row],[TOTAL]]</f>
        <v>0</v>
      </c>
      <c r="AE4509" s="150"/>
      <c r="AF4509" s="151"/>
      <c r="AG4509" s="126"/>
      <c r="AK4509" s="306" t="str">
        <f>IF(ISNUMBER(Table1[[#This Row],[FECHA DE RECIBIDO]]), Table1[[#This Row],[FECHA DE RECIBIDO]]-DATE(2023,8,30), "")</f>
        <v/>
      </c>
    </row>
    <row r="4510" spans="1:37" ht="16.05" customHeight="1">
      <c r="A4510" s="150" t="s">
        <v>4593</v>
      </c>
      <c r="B4510" s="151">
        <v>1564</v>
      </c>
      <c r="C4510" s="126" t="s">
        <v>974</v>
      </c>
      <c r="D4510">
        <v>3046</v>
      </c>
      <c r="E4510" s="126" t="s">
        <v>1605</v>
      </c>
      <c r="F4510" s="125" t="s">
        <v>1607</v>
      </c>
      <c r="G4510" s="125" t="s">
        <v>134</v>
      </c>
      <c r="H4510">
        <v>84</v>
      </c>
      <c r="I4510" s="125" t="s">
        <v>1546</v>
      </c>
      <c r="J4510" s="308" t="s">
        <v>214</v>
      </c>
      <c r="K4510" s="127" t="s">
        <v>4625</v>
      </c>
      <c r="L4510" s="153" t="s">
        <v>3306</v>
      </c>
      <c r="M4510">
        <v>1113</v>
      </c>
      <c r="N4510" s="123">
        <v>1</v>
      </c>
      <c r="O4510">
        <v>2909</v>
      </c>
      <c r="P4510" s="132" t="s">
        <v>77</v>
      </c>
      <c r="Q4510" s="132">
        <v>34489.279999999999</v>
      </c>
      <c r="R4510" s="132">
        <v>5518.29</v>
      </c>
      <c r="S4510" s="132"/>
      <c r="T4510" s="156"/>
      <c r="U4510" s="132"/>
      <c r="V4510" s="132">
        <v>40007.57</v>
      </c>
      <c r="W4510">
        <v>56</v>
      </c>
      <c r="X4510" s="153" t="s">
        <v>1429</v>
      </c>
      <c r="Y4510" s="124" t="s">
        <v>55</v>
      </c>
      <c r="Z4510" s="308">
        <v>261</v>
      </c>
      <c r="AB4510" t="str">
        <f>IF(Table1[[#This Row],[TIPO2]]="costo", VLOOKUP(Table1[[#This Row],[PARTIDA PRESUPUESTAL]],'Cost Report'!G:G,1,0),"Balance")</f>
        <v>3410-007</v>
      </c>
      <c r="AC4510" s="118"/>
      <c r="AD4510" s="159">
        <f>+Table1[[#This Row],[SUBTOTAL]]+Table1[[#This Row],[IVA]]-Table1[[#This Row],[RET IVA]]-Table1[[#This Row],[RET ISR]]-Table1[[#This Row],[TOTAL]]</f>
        <v>0</v>
      </c>
      <c r="AE4510" s="152"/>
      <c r="AF4510" s="153"/>
      <c r="AG4510" s="126"/>
      <c r="AK4510" s="306" t="str">
        <f>IF(ISNUMBER(Table1[[#This Row],[FECHA DE RECIBIDO]]), Table1[[#This Row],[FECHA DE RECIBIDO]]-DATE(2023,8,30), "")</f>
        <v/>
      </c>
    </row>
    <row r="4511" spans="1:37" ht="16.05" customHeight="1">
      <c r="A4511" s="150" t="s">
        <v>4593</v>
      </c>
      <c r="B4511" s="151">
        <v>1564</v>
      </c>
      <c r="C4511" s="126" t="s">
        <v>975</v>
      </c>
      <c r="D4511">
        <v>3046</v>
      </c>
      <c r="E4511" s="126" t="s">
        <v>1605</v>
      </c>
      <c r="F4511" s="122" t="s">
        <v>1607</v>
      </c>
      <c r="G4511" s="122" t="s">
        <v>134</v>
      </c>
      <c r="H4511">
        <v>84</v>
      </c>
      <c r="I4511" s="122" t="s">
        <v>1546</v>
      </c>
      <c r="J4511" s="307" t="s">
        <v>214</v>
      </c>
      <c r="K4511" s="127" t="s">
        <v>4625</v>
      </c>
      <c r="L4511" s="151" t="s">
        <v>3306</v>
      </c>
      <c r="M4511">
        <v>1113</v>
      </c>
      <c r="N4511" s="123">
        <v>1</v>
      </c>
      <c r="O4511">
        <v>2909</v>
      </c>
      <c r="P4511" s="132" t="s">
        <v>77</v>
      </c>
      <c r="Q4511" s="131">
        <v>34489.279999999999</v>
      </c>
      <c r="R4511" s="131">
        <v>5518.29</v>
      </c>
      <c r="S4511" s="131"/>
      <c r="T4511" s="155"/>
      <c r="U4511" s="131"/>
      <c r="V4511" s="131">
        <v>40007.57</v>
      </c>
      <c r="W4511">
        <v>56</v>
      </c>
      <c r="X4511" s="151" t="s">
        <v>1429</v>
      </c>
      <c r="Y4511" s="135" t="s">
        <v>55</v>
      </c>
      <c r="Z4511" s="307">
        <v>261</v>
      </c>
      <c r="AB4511" t="str">
        <f>IF(Table1[[#This Row],[TIPO2]]="costo", VLOOKUP(Table1[[#This Row],[PARTIDA PRESUPUESTAL]],'Cost Report'!G:G,1,0),"Balance")</f>
        <v>3410-008</v>
      </c>
      <c r="AC4511" s="118"/>
      <c r="AD4511" s="159">
        <f>+Table1[[#This Row],[SUBTOTAL]]+Table1[[#This Row],[IVA]]-Table1[[#This Row],[RET IVA]]-Table1[[#This Row],[RET ISR]]-Table1[[#This Row],[TOTAL]]</f>
        <v>0</v>
      </c>
      <c r="AE4511" s="150"/>
      <c r="AF4511" s="151"/>
      <c r="AG4511" s="126"/>
      <c r="AK4511" s="306" t="str">
        <f>IF(ISNUMBER(Table1[[#This Row],[FECHA DE RECIBIDO]]), Table1[[#This Row],[FECHA DE RECIBIDO]]-DATE(2023,8,30), "")</f>
        <v/>
      </c>
    </row>
    <row r="4512" spans="1:37" ht="16.05" customHeight="1">
      <c r="A4512" s="150" t="s">
        <v>4593</v>
      </c>
      <c r="B4512" s="151">
        <v>1564</v>
      </c>
      <c r="C4512" s="126" t="s">
        <v>2790</v>
      </c>
      <c r="D4512">
        <v>3046</v>
      </c>
      <c r="E4512" s="126" t="s">
        <v>1605</v>
      </c>
      <c r="F4512" s="125" t="s">
        <v>1607</v>
      </c>
      <c r="G4512" s="125" t="s">
        <v>134</v>
      </c>
      <c r="H4512">
        <v>84</v>
      </c>
      <c r="I4512" s="125" t="s">
        <v>1546</v>
      </c>
      <c r="J4512" s="308" t="s">
        <v>214</v>
      </c>
      <c r="K4512" s="127" t="s">
        <v>4625</v>
      </c>
      <c r="L4512" s="153" t="s">
        <v>3306</v>
      </c>
      <c r="M4512">
        <v>1113</v>
      </c>
      <c r="N4512" s="123">
        <v>1</v>
      </c>
      <c r="O4512">
        <v>2909</v>
      </c>
      <c r="P4512" s="132" t="s">
        <v>77</v>
      </c>
      <c r="Q4512" s="132">
        <v>34489.279999999999</v>
      </c>
      <c r="R4512" s="132">
        <v>5518.29</v>
      </c>
      <c r="S4512" s="132"/>
      <c r="T4512" s="156"/>
      <c r="U4512" s="132"/>
      <c r="V4512" s="132">
        <v>40007.57</v>
      </c>
      <c r="W4512">
        <v>56</v>
      </c>
      <c r="X4512" s="153" t="s">
        <v>1429</v>
      </c>
      <c r="Y4512" s="124" t="s">
        <v>55</v>
      </c>
      <c r="Z4512" s="308">
        <v>261</v>
      </c>
      <c r="AB4512" t="str">
        <f>IF(Table1[[#This Row],[TIPO2]]="costo", VLOOKUP(Table1[[#This Row],[PARTIDA PRESUPUESTAL]],'Cost Report'!G:G,1,0),"Balance")</f>
        <v>3410-018</v>
      </c>
      <c r="AC4512" s="118"/>
      <c r="AD4512" s="159">
        <f>+Table1[[#This Row],[SUBTOTAL]]+Table1[[#This Row],[IVA]]-Table1[[#This Row],[RET IVA]]-Table1[[#This Row],[RET ISR]]-Table1[[#This Row],[TOTAL]]</f>
        <v>0</v>
      </c>
      <c r="AE4512" s="152"/>
      <c r="AF4512" s="153"/>
      <c r="AG4512" s="126"/>
      <c r="AK4512" s="306" t="str">
        <f>IF(ISNUMBER(Table1[[#This Row],[FECHA DE RECIBIDO]]), Table1[[#This Row],[FECHA DE RECIBIDO]]-DATE(2023,8,30), "")</f>
        <v/>
      </c>
    </row>
    <row r="4513" spans="1:37" ht="16.05" customHeight="1">
      <c r="A4513" s="150" t="s">
        <v>4593</v>
      </c>
      <c r="B4513" s="151">
        <v>1564</v>
      </c>
      <c r="C4513" s="126" t="s">
        <v>978</v>
      </c>
      <c r="D4513">
        <v>3046</v>
      </c>
      <c r="E4513" s="126" t="s">
        <v>1605</v>
      </c>
      <c r="F4513" s="122" t="s">
        <v>1607</v>
      </c>
      <c r="G4513" s="122" t="s">
        <v>134</v>
      </c>
      <c r="H4513">
        <v>84</v>
      </c>
      <c r="I4513" s="122" t="s">
        <v>1546</v>
      </c>
      <c r="J4513" s="307" t="s">
        <v>214</v>
      </c>
      <c r="K4513" s="127" t="s">
        <v>4625</v>
      </c>
      <c r="L4513" s="151" t="s">
        <v>3306</v>
      </c>
      <c r="M4513">
        <v>1113</v>
      </c>
      <c r="N4513" s="123">
        <v>1</v>
      </c>
      <c r="O4513">
        <v>2909</v>
      </c>
      <c r="P4513" s="132" t="s">
        <v>77</v>
      </c>
      <c r="Q4513" s="131">
        <v>34489.279999999999</v>
      </c>
      <c r="R4513" s="131">
        <v>5518.29</v>
      </c>
      <c r="S4513" s="131"/>
      <c r="T4513" s="155"/>
      <c r="U4513" s="131"/>
      <c r="V4513" s="131">
        <v>40007.57</v>
      </c>
      <c r="W4513">
        <v>56</v>
      </c>
      <c r="X4513" s="151" t="s">
        <v>1429</v>
      </c>
      <c r="Y4513" s="135" t="s">
        <v>55</v>
      </c>
      <c r="Z4513" s="307">
        <v>261</v>
      </c>
      <c r="AB4513" t="str">
        <f>IF(Table1[[#This Row],[TIPO2]]="costo", VLOOKUP(Table1[[#This Row],[PARTIDA PRESUPUESTAL]],'Cost Report'!G:G,1,0),"Balance")</f>
        <v>3410-013</v>
      </c>
      <c r="AC4513" s="118"/>
      <c r="AD4513" s="159">
        <f>+Table1[[#This Row],[SUBTOTAL]]+Table1[[#This Row],[IVA]]-Table1[[#This Row],[RET IVA]]-Table1[[#This Row],[RET ISR]]-Table1[[#This Row],[TOTAL]]</f>
        <v>0</v>
      </c>
      <c r="AE4513" s="150"/>
      <c r="AF4513" s="151"/>
      <c r="AG4513" s="126"/>
      <c r="AK4513" s="306" t="str">
        <f>IF(ISNUMBER(Table1[[#This Row],[FECHA DE RECIBIDO]]), Table1[[#This Row],[FECHA DE RECIBIDO]]-DATE(2023,8,30), "")</f>
        <v/>
      </c>
    </row>
    <row r="4514" spans="1:37" ht="16.05" customHeight="1">
      <c r="A4514" s="152" t="s">
        <v>4594</v>
      </c>
      <c r="B4514" s="153">
        <v>1565</v>
      </c>
      <c r="C4514" s="126" t="s">
        <v>2680</v>
      </c>
      <c r="D4514">
        <v>3047</v>
      </c>
      <c r="E4514" s="126" t="s">
        <v>1645</v>
      </c>
      <c r="F4514" s="125" t="s">
        <v>1593</v>
      </c>
      <c r="G4514" s="125" t="s">
        <v>109</v>
      </c>
      <c r="H4514">
        <v>336</v>
      </c>
      <c r="I4514" s="125" t="s">
        <v>1546</v>
      </c>
      <c r="J4514" s="308" t="s">
        <v>214</v>
      </c>
      <c r="K4514" s="127" t="s">
        <v>4625</v>
      </c>
      <c r="L4514" s="153" t="s">
        <v>3306</v>
      </c>
      <c r="M4514">
        <v>453</v>
      </c>
      <c r="N4514" s="123">
        <v>1</v>
      </c>
      <c r="O4514">
        <v>2910</v>
      </c>
      <c r="P4514" s="132" t="s">
        <v>77</v>
      </c>
      <c r="Q4514" s="132">
        <v>11540</v>
      </c>
      <c r="R4514" s="132">
        <v>1846.4</v>
      </c>
      <c r="S4514" s="132"/>
      <c r="T4514" s="156">
        <v>1230.94</v>
      </c>
      <c r="U4514" s="132">
        <v>144.25</v>
      </c>
      <c r="V4514" s="132">
        <v>12011.21</v>
      </c>
      <c r="W4514">
        <v>174</v>
      </c>
      <c r="X4514" s="153" t="s">
        <v>1429</v>
      </c>
      <c r="Y4514" s="124" t="s">
        <v>55</v>
      </c>
      <c r="Z4514" s="308">
        <v>261</v>
      </c>
      <c r="AB4514" t="str">
        <f>IF(Table1[[#This Row],[TIPO2]]="costo", VLOOKUP(Table1[[#This Row],[PARTIDA PRESUPUESTAL]],'Cost Report'!G:G,1,0),"Balance")</f>
        <v>3110-003</v>
      </c>
      <c r="AC4514" s="118"/>
      <c r="AD4514" s="159">
        <f>+Table1[[#This Row],[SUBTOTAL]]+Table1[[#This Row],[IVA]]-Table1[[#This Row],[RET IVA]]-Table1[[#This Row],[RET ISR]]-Table1[[#This Row],[TOTAL]]</f>
        <v>0</v>
      </c>
      <c r="AE4514" s="152"/>
      <c r="AF4514" s="153"/>
      <c r="AG4514" s="126"/>
      <c r="AK4514" s="306" t="str">
        <f>IF(ISNUMBER(Table1[[#This Row],[FECHA DE RECIBIDO]]), Table1[[#This Row],[FECHA DE RECIBIDO]]-DATE(2023,8,30), "")</f>
        <v/>
      </c>
    </row>
    <row r="4515" spans="1:37" ht="16.05" customHeight="1">
      <c r="A4515" s="150" t="s">
        <v>4595</v>
      </c>
      <c r="B4515" s="151">
        <v>1566</v>
      </c>
      <c r="C4515" s="126" t="s">
        <v>2960</v>
      </c>
      <c r="D4515">
        <v>3048</v>
      </c>
      <c r="E4515" s="126" t="s">
        <v>1985</v>
      </c>
      <c r="F4515" s="122" t="s">
        <v>1607</v>
      </c>
      <c r="G4515" s="122" t="s">
        <v>134</v>
      </c>
      <c r="H4515">
        <v>47</v>
      </c>
      <c r="I4515" s="122" t="s">
        <v>1546</v>
      </c>
      <c r="J4515" s="307" t="s">
        <v>214</v>
      </c>
      <c r="K4515" s="127" t="s">
        <v>4625</v>
      </c>
      <c r="L4515" s="151" t="s">
        <v>3306</v>
      </c>
      <c r="M4515">
        <v>448</v>
      </c>
      <c r="N4515" s="123">
        <v>1</v>
      </c>
      <c r="O4515">
        <v>2911</v>
      </c>
      <c r="P4515" s="132" t="s">
        <v>77</v>
      </c>
      <c r="Q4515" s="131">
        <v>74117.399999999994</v>
      </c>
      <c r="R4515" s="131">
        <v>11858.78</v>
      </c>
      <c r="S4515" s="131"/>
      <c r="T4515" s="155"/>
      <c r="U4515" s="131"/>
      <c r="V4515" s="131">
        <v>85976.18</v>
      </c>
      <c r="W4515">
        <v>36</v>
      </c>
      <c r="X4515" s="151" t="s">
        <v>1430</v>
      </c>
      <c r="Y4515" s="135" t="s">
        <v>55</v>
      </c>
      <c r="Z4515" s="307">
        <v>261</v>
      </c>
      <c r="AB4515" t="str">
        <f>IF(Table1[[#This Row],[TIPO2]]="costo", VLOOKUP(Table1[[#This Row],[PARTIDA PRESUPUESTAL]],'Cost Report'!G:G,1,0),"Balance")</f>
        <v>3902-038</v>
      </c>
      <c r="AC4515" s="118"/>
      <c r="AD4515" s="159">
        <f>+Table1[[#This Row],[SUBTOTAL]]+Table1[[#This Row],[IVA]]-Table1[[#This Row],[RET IVA]]-Table1[[#This Row],[RET ISR]]-Table1[[#This Row],[TOTAL]]</f>
        <v>0</v>
      </c>
      <c r="AE4515" s="150"/>
      <c r="AF4515" s="151"/>
      <c r="AG4515" s="126"/>
      <c r="AK4515" s="306" t="str">
        <f>IF(ISNUMBER(Table1[[#This Row],[FECHA DE RECIBIDO]]), Table1[[#This Row],[FECHA DE RECIBIDO]]-DATE(2023,8,30), "")</f>
        <v/>
      </c>
    </row>
    <row r="4516" spans="1:37" ht="16.05" customHeight="1">
      <c r="A4516" s="150" t="s">
        <v>4595</v>
      </c>
      <c r="B4516" s="151">
        <v>1566</v>
      </c>
      <c r="C4516" s="126" t="s">
        <v>2960</v>
      </c>
      <c r="D4516">
        <v>3048</v>
      </c>
      <c r="E4516" s="126" t="s">
        <v>1985</v>
      </c>
      <c r="F4516" s="125" t="s">
        <v>1607</v>
      </c>
      <c r="G4516" s="125" t="s">
        <v>134</v>
      </c>
      <c r="H4516">
        <v>47</v>
      </c>
      <c r="I4516" s="125" t="s">
        <v>1546</v>
      </c>
      <c r="J4516" s="308" t="s">
        <v>214</v>
      </c>
      <c r="K4516" s="127" t="s">
        <v>4625</v>
      </c>
      <c r="L4516" s="153" t="s">
        <v>3306</v>
      </c>
      <c r="M4516">
        <v>448</v>
      </c>
      <c r="N4516" s="123">
        <v>1</v>
      </c>
      <c r="O4516">
        <v>2911</v>
      </c>
      <c r="P4516" s="132" t="s">
        <v>77</v>
      </c>
      <c r="Q4516" s="132">
        <v>88823.78</v>
      </c>
      <c r="R4516" s="132">
        <v>14211.8</v>
      </c>
      <c r="S4516" s="132"/>
      <c r="T4516" s="156"/>
      <c r="U4516" s="132"/>
      <c r="V4516" s="132">
        <v>103035.58</v>
      </c>
      <c r="W4516">
        <v>36</v>
      </c>
      <c r="X4516" s="153" t="s">
        <v>1430</v>
      </c>
      <c r="Y4516" s="124" t="s">
        <v>55</v>
      </c>
      <c r="Z4516" s="308">
        <v>261</v>
      </c>
      <c r="AB4516" t="str">
        <f>IF(Table1[[#This Row],[TIPO2]]="costo", VLOOKUP(Table1[[#This Row],[PARTIDA PRESUPUESTAL]],'Cost Report'!G:G,1,0),"Balance")</f>
        <v>3902-038</v>
      </c>
      <c r="AC4516" s="118"/>
      <c r="AD4516" s="159">
        <f>+Table1[[#This Row],[SUBTOTAL]]+Table1[[#This Row],[IVA]]-Table1[[#This Row],[RET IVA]]-Table1[[#This Row],[RET ISR]]-Table1[[#This Row],[TOTAL]]</f>
        <v>0</v>
      </c>
      <c r="AE4516" s="152"/>
      <c r="AF4516" s="153"/>
      <c r="AG4516" s="126"/>
      <c r="AK4516" s="306" t="str">
        <f>IF(ISNUMBER(Table1[[#This Row],[FECHA DE RECIBIDO]]), Table1[[#This Row],[FECHA DE RECIBIDO]]-DATE(2023,8,30), "")</f>
        <v/>
      </c>
    </row>
    <row r="4517" spans="1:37" ht="16.05" customHeight="1">
      <c r="A4517" s="150" t="s">
        <v>4595</v>
      </c>
      <c r="B4517" s="151">
        <v>1566</v>
      </c>
      <c r="C4517" s="126" t="s">
        <v>1417</v>
      </c>
      <c r="D4517">
        <v>3048</v>
      </c>
      <c r="E4517" s="126" t="s">
        <v>1985</v>
      </c>
      <c r="F4517" s="122" t="s">
        <v>1607</v>
      </c>
      <c r="G4517" s="122" t="s">
        <v>134</v>
      </c>
      <c r="H4517">
        <v>47</v>
      </c>
      <c r="I4517" s="122" t="s">
        <v>1546</v>
      </c>
      <c r="J4517" s="307" t="s">
        <v>214</v>
      </c>
      <c r="K4517" s="127" t="s">
        <v>4625</v>
      </c>
      <c r="L4517" s="151" t="s">
        <v>3306</v>
      </c>
      <c r="M4517">
        <v>448</v>
      </c>
      <c r="N4517" s="123">
        <v>1</v>
      </c>
      <c r="O4517">
        <v>2911</v>
      </c>
      <c r="P4517" s="132" t="s">
        <v>77</v>
      </c>
      <c r="Q4517" s="131">
        <v>4888.2299999999996</v>
      </c>
      <c r="R4517" s="131"/>
      <c r="S4517" s="131"/>
      <c r="T4517" s="155"/>
      <c r="U4517" s="131"/>
      <c r="V4517" s="131">
        <v>4888.2299999999996</v>
      </c>
      <c r="W4517">
        <v>36</v>
      </c>
      <c r="X4517" s="151" t="s">
        <v>1430</v>
      </c>
      <c r="Y4517" s="135" t="s">
        <v>55</v>
      </c>
      <c r="Z4517" s="307">
        <v>261</v>
      </c>
      <c r="AB4517" t="str">
        <f>IF(Table1[[#This Row],[TIPO2]]="costo", VLOOKUP(Table1[[#This Row],[PARTIDA PRESUPUESTAL]],'Cost Report'!G:G,1,0),"Balance")</f>
        <v>3999-001</v>
      </c>
      <c r="AC4517" s="118"/>
      <c r="AD4517" s="159">
        <f>+Table1[[#This Row],[SUBTOTAL]]+Table1[[#This Row],[IVA]]-Table1[[#This Row],[RET IVA]]-Table1[[#This Row],[RET ISR]]-Table1[[#This Row],[TOTAL]]</f>
        <v>0</v>
      </c>
      <c r="AE4517" s="150"/>
      <c r="AF4517" s="151"/>
      <c r="AG4517" s="126"/>
      <c r="AK4517" s="306" t="str">
        <f>IF(ISNUMBER(Table1[[#This Row],[FECHA DE RECIBIDO]]), Table1[[#This Row],[FECHA DE RECIBIDO]]-DATE(2023,8,30), "")</f>
        <v/>
      </c>
    </row>
    <row r="4518" spans="1:37" ht="16.05" customHeight="1">
      <c r="A4518" s="152" t="s">
        <v>4596</v>
      </c>
      <c r="B4518" s="153">
        <v>1567</v>
      </c>
      <c r="C4518" s="126" t="s">
        <v>963</v>
      </c>
      <c r="D4518">
        <v>3049</v>
      </c>
      <c r="E4518" s="126" t="s">
        <v>1614</v>
      </c>
      <c r="F4518" s="125" t="s">
        <v>1602</v>
      </c>
      <c r="G4518" s="125" t="s">
        <v>1617</v>
      </c>
      <c r="H4518">
        <v>492</v>
      </c>
      <c r="I4518" s="125" t="s">
        <v>1546</v>
      </c>
      <c r="J4518" s="308" t="s">
        <v>214</v>
      </c>
      <c r="K4518" s="127" t="s">
        <v>4625</v>
      </c>
      <c r="L4518" s="153" t="s">
        <v>3306</v>
      </c>
      <c r="M4518">
        <v>957</v>
      </c>
      <c r="N4518" s="123">
        <v>1</v>
      </c>
      <c r="O4518">
        <v>2912</v>
      </c>
      <c r="P4518" s="132" t="s">
        <v>77</v>
      </c>
      <c r="Q4518" s="132">
        <v>15150</v>
      </c>
      <c r="R4518" s="132">
        <v>2424</v>
      </c>
      <c r="S4518" s="132"/>
      <c r="T4518" s="156">
        <v>1616.01</v>
      </c>
      <c r="U4518" s="132">
        <v>1515</v>
      </c>
      <c r="V4518" s="132">
        <v>14442.99</v>
      </c>
      <c r="W4518">
        <v>264</v>
      </c>
      <c r="X4518" s="153" t="s">
        <v>1431</v>
      </c>
      <c r="Y4518" s="124" t="s">
        <v>55</v>
      </c>
      <c r="Z4518" s="308">
        <v>261</v>
      </c>
      <c r="AB4518" t="str">
        <f>IF(Table1[[#This Row],[TIPO2]]="costo", VLOOKUP(Table1[[#This Row],[PARTIDA PRESUPUESTAL]],'Cost Report'!G:G,1,0),"Balance")</f>
        <v>3407-005</v>
      </c>
      <c r="AC4518" s="118"/>
      <c r="AD4518" s="159">
        <f>+Table1[[#This Row],[SUBTOTAL]]+Table1[[#This Row],[IVA]]-Table1[[#This Row],[RET IVA]]-Table1[[#This Row],[RET ISR]]-Table1[[#This Row],[TOTAL]]</f>
        <v>0</v>
      </c>
      <c r="AE4518" s="152"/>
      <c r="AF4518" s="153"/>
      <c r="AG4518" s="126"/>
      <c r="AK4518" s="306" t="str">
        <f>IF(ISNUMBER(Table1[[#This Row],[FECHA DE RECIBIDO]]), Table1[[#This Row],[FECHA DE RECIBIDO]]-DATE(2023,8,30), "")</f>
        <v/>
      </c>
    </row>
    <row r="4519" spans="1:37" ht="16.05" customHeight="1">
      <c r="A4519" s="150" t="s">
        <v>4597</v>
      </c>
      <c r="B4519" s="151">
        <v>1568</v>
      </c>
      <c r="C4519" s="126" t="s">
        <v>1853</v>
      </c>
      <c r="D4519">
        <v>3050</v>
      </c>
      <c r="E4519" s="126" t="s">
        <v>3636</v>
      </c>
      <c r="F4519" s="122" t="s">
        <v>1607</v>
      </c>
      <c r="G4519" s="122" t="s">
        <v>134</v>
      </c>
      <c r="H4519">
        <v>670</v>
      </c>
      <c r="I4519" s="122" t="s">
        <v>1546</v>
      </c>
      <c r="J4519" s="307" t="s">
        <v>214</v>
      </c>
      <c r="K4519" s="127" t="s">
        <v>4625</v>
      </c>
      <c r="L4519" s="151" t="s">
        <v>3306</v>
      </c>
      <c r="M4519">
        <v>943</v>
      </c>
      <c r="N4519" s="123">
        <v>1</v>
      </c>
      <c r="O4519">
        <v>2913</v>
      </c>
      <c r="P4519" s="132" t="s">
        <v>77</v>
      </c>
      <c r="Q4519" s="131">
        <v>67400</v>
      </c>
      <c r="R4519" s="131">
        <v>10784</v>
      </c>
      <c r="S4519" s="131"/>
      <c r="T4519" s="155">
        <v>0</v>
      </c>
      <c r="U4519" s="131">
        <v>0</v>
      </c>
      <c r="V4519" s="131">
        <v>78184</v>
      </c>
      <c r="W4519">
        <v>341</v>
      </c>
      <c r="X4519" s="151" t="s">
        <v>1429</v>
      </c>
      <c r="Y4519" s="135" t="s">
        <v>55</v>
      </c>
      <c r="Z4519" s="307">
        <v>261</v>
      </c>
      <c r="AB4519" t="str">
        <f>IF(Table1[[#This Row],[TIPO2]]="costo", VLOOKUP(Table1[[#This Row],[PARTIDA PRESUPUESTAL]],'Cost Report'!G:G,1,0),"Balance")</f>
        <v>3305-007</v>
      </c>
      <c r="AC4519" s="118"/>
      <c r="AD4519" s="159">
        <f>+Table1[[#This Row],[SUBTOTAL]]+Table1[[#This Row],[IVA]]-Table1[[#This Row],[RET IVA]]-Table1[[#This Row],[RET ISR]]-Table1[[#This Row],[TOTAL]]</f>
        <v>0</v>
      </c>
      <c r="AE4519" s="150"/>
      <c r="AF4519" s="151"/>
      <c r="AG4519" s="126"/>
      <c r="AK4519" s="306" t="str">
        <f>IF(ISNUMBER(Table1[[#This Row],[FECHA DE RECIBIDO]]), Table1[[#This Row],[FECHA DE RECIBIDO]]-DATE(2023,8,30), "")</f>
        <v/>
      </c>
    </row>
    <row r="4520" spans="1:37" ht="16.05" customHeight="1">
      <c r="A4520" s="152" t="s">
        <v>4598</v>
      </c>
      <c r="B4520" s="153">
        <v>1569</v>
      </c>
      <c r="C4520" s="126" t="s">
        <v>911</v>
      </c>
      <c r="D4520">
        <v>3051</v>
      </c>
      <c r="E4520" s="126" t="s">
        <v>3237</v>
      </c>
      <c r="F4520" s="125" t="s">
        <v>1607</v>
      </c>
      <c r="G4520" s="125" t="s">
        <v>134</v>
      </c>
      <c r="H4520">
        <v>213</v>
      </c>
      <c r="I4520" s="125" t="s">
        <v>1546</v>
      </c>
      <c r="J4520" s="308" t="s">
        <v>214</v>
      </c>
      <c r="K4520" s="127" t="s">
        <v>4625</v>
      </c>
      <c r="L4520" s="153" t="s">
        <v>3306</v>
      </c>
      <c r="M4520">
        <v>715</v>
      </c>
      <c r="N4520" s="123">
        <v>1</v>
      </c>
      <c r="O4520">
        <v>2914</v>
      </c>
      <c r="P4520" s="132" t="s">
        <v>77</v>
      </c>
      <c r="Q4520" s="132">
        <v>16000</v>
      </c>
      <c r="R4520" s="132">
        <v>2560</v>
      </c>
      <c r="S4520" s="132"/>
      <c r="T4520" s="156">
        <v>0</v>
      </c>
      <c r="U4520" s="132">
        <v>0</v>
      </c>
      <c r="V4520" s="132">
        <v>18560</v>
      </c>
      <c r="W4520">
        <v>134</v>
      </c>
      <c r="X4520" s="153" t="s">
        <v>2024</v>
      </c>
      <c r="Y4520" s="124" t="s">
        <v>55</v>
      </c>
      <c r="Z4520" s="308">
        <v>261</v>
      </c>
      <c r="AB4520" t="str">
        <f>IF(Table1[[#This Row],[TIPO2]]="costo", VLOOKUP(Table1[[#This Row],[PARTIDA PRESUPUESTAL]],'Cost Report'!G:G,1,0),"Balance")</f>
        <v>3201-004</v>
      </c>
      <c r="AC4520" s="118"/>
      <c r="AD4520" s="159">
        <f>+Table1[[#This Row],[SUBTOTAL]]+Table1[[#This Row],[IVA]]-Table1[[#This Row],[RET IVA]]-Table1[[#This Row],[RET ISR]]-Table1[[#This Row],[TOTAL]]</f>
        <v>0</v>
      </c>
      <c r="AE4520" s="152"/>
      <c r="AF4520" s="153"/>
      <c r="AG4520" s="126"/>
      <c r="AK4520" s="306" t="str">
        <f>IF(ISNUMBER(Table1[[#This Row],[FECHA DE RECIBIDO]]), Table1[[#This Row],[FECHA DE RECIBIDO]]-DATE(2023,8,30), "")</f>
        <v/>
      </c>
    </row>
    <row r="4521" spans="1:37" ht="16.05" customHeight="1">
      <c r="A4521" s="150"/>
      <c r="B4521" s="151">
        <v>1570</v>
      </c>
      <c r="C4521" s="126" t="s">
        <v>914</v>
      </c>
      <c r="D4521">
        <v>3052</v>
      </c>
      <c r="E4521" s="126" t="s">
        <v>3237</v>
      </c>
      <c r="F4521" s="122" t="s">
        <v>1607</v>
      </c>
      <c r="G4521" s="122" t="s">
        <v>134</v>
      </c>
      <c r="H4521">
        <v>213</v>
      </c>
      <c r="I4521" s="122" t="s">
        <v>1546</v>
      </c>
      <c r="J4521" s="307" t="s">
        <v>214</v>
      </c>
      <c r="K4521" s="127" t="s">
        <v>4625</v>
      </c>
      <c r="L4521" s="151" t="s">
        <v>3306</v>
      </c>
      <c r="M4521">
        <v>715</v>
      </c>
      <c r="N4521" s="123">
        <v>1</v>
      </c>
      <c r="O4521">
        <v>2915</v>
      </c>
      <c r="P4521" s="132" t="s">
        <v>77</v>
      </c>
      <c r="Q4521" s="131">
        <v>14000</v>
      </c>
      <c r="R4521" s="131">
        <v>2240</v>
      </c>
      <c r="S4521" s="131"/>
      <c r="T4521" s="155">
        <v>0</v>
      </c>
      <c r="U4521" s="131">
        <v>0</v>
      </c>
      <c r="V4521" s="131">
        <v>16240</v>
      </c>
      <c r="W4521">
        <v>134</v>
      </c>
      <c r="X4521" s="151" t="s">
        <v>2024</v>
      </c>
      <c r="Y4521" s="135" t="s">
        <v>55</v>
      </c>
      <c r="Z4521" s="307">
        <v>261</v>
      </c>
      <c r="AB4521" t="str">
        <f>IF(Table1[[#This Row],[TIPO2]]="costo", VLOOKUP(Table1[[#This Row],[PARTIDA PRESUPUESTAL]],'Cost Report'!G:G,1,0),"Balance")</f>
        <v>3201-007</v>
      </c>
      <c r="AC4521" s="118"/>
      <c r="AD4521" s="159">
        <f>+Table1[[#This Row],[SUBTOTAL]]+Table1[[#This Row],[IVA]]-Table1[[#This Row],[RET IVA]]-Table1[[#This Row],[RET ISR]]-Table1[[#This Row],[TOTAL]]</f>
        <v>0</v>
      </c>
      <c r="AE4521" s="150"/>
      <c r="AF4521" s="151"/>
      <c r="AG4521" s="126"/>
      <c r="AK4521" s="306" t="str">
        <f>IF(ISNUMBER(Table1[[#This Row],[FECHA DE RECIBIDO]]), Table1[[#This Row],[FECHA DE RECIBIDO]]-DATE(2023,8,30), "")</f>
        <v/>
      </c>
    </row>
    <row r="4522" spans="1:37" ht="16.05" customHeight="1">
      <c r="A4522" s="152" t="s">
        <v>4599</v>
      </c>
      <c r="B4522" s="153">
        <v>1571</v>
      </c>
      <c r="C4522" s="126" t="s">
        <v>2747</v>
      </c>
      <c r="D4522">
        <v>3053</v>
      </c>
      <c r="E4522" s="126" t="s">
        <v>3237</v>
      </c>
      <c r="F4522" s="125" t="s">
        <v>1607</v>
      </c>
      <c r="G4522" s="125" t="s">
        <v>134</v>
      </c>
      <c r="H4522">
        <v>213</v>
      </c>
      <c r="I4522" s="125" t="s">
        <v>1546</v>
      </c>
      <c r="J4522" s="308" t="s">
        <v>214</v>
      </c>
      <c r="K4522" s="127" t="s">
        <v>4625</v>
      </c>
      <c r="L4522" s="153" t="s">
        <v>3306</v>
      </c>
      <c r="M4522">
        <v>715</v>
      </c>
      <c r="N4522" s="123">
        <v>1</v>
      </c>
      <c r="O4522">
        <v>2916</v>
      </c>
      <c r="P4522" s="132" t="s">
        <v>77</v>
      </c>
      <c r="Q4522" s="132">
        <v>7967.56</v>
      </c>
      <c r="R4522" s="132">
        <v>1274.81</v>
      </c>
      <c r="S4522" s="132"/>
      <c r="T4522" s="156">
        <v>0</v>
      </c>
      <c r="U4522" s="132">
        <v>0</v>
      </c>
      <c r="V4522" s="132">
        <v>9242.3700000000008</v>
      </c>
      <c r="W4522">
        <v>134</v>
      </c>
      <c r="X4522" s="153" t="s">
        <v>2024</v>
      </c>
      <c r="Y4522" s="124" t="s">
        <v>55</v>
      </c>
      <c r="Z4522" s="308">
        <v>261</v>
      </c>
      <c r="AB4522" t="str">
        <f>IF(Table1[[#This Row],[TIPO2]]="costo", VLOOKUP(Table1[[#This Row],[PARTIDA PRESUPUESTAL]],'Cost Report'!G:G,1,0),"Balance")</f>
        <v>3298-003</v>
      </c>
      <c r="AC4522" s="118"/>
      <c r="AD4522" s="159">
        <f>+Table1[[#This Row],[SUBTOTAL]]+Table1[[#This Row],[IVA]]-Table1[[#This Row],[RET IVA]]-Table1[[#This Row],[RET ISR]]-Table1[[#This Row],[TOTAL]]</f>
        <v>0</v>
      </c>
      <c r="AE4522" s="152"/>
      <c r="AF4522" s="153"/>
      <c r="AG4522" s="126"/>
      <c r="AK4522" s="306" t="str">
        <f>IF(ISNUMBER(Table1[[#This Row],[FECHA DE RECIBIDO]]), Table1[[#This Row],[FECHA DE RECIBIDO]]-DATE(2023,8,30), "")</f>
        <v/>
      </c>
    </row>
    <row r="4523" spans="1:37" ht="16.05" customHeight="1">
      <c r="A4523" s="150" t="s">
        <v>4600</v>
      </c>
      <c r="B4523" s="151">
        <v>1572</v>
      </c>
      <c r="C4523" s="126" t="s">
        <v>2570</v>
      </c>
      <c r="D4523">
        <v>3054</v>
      </c>
      <c r="E4523" s="126" t="s">
        <v>3636</v>
      </c>
      <c r="F4523" s="122" t="s">
        <v>1607</v>
      </c>
      <c r="G4523" s="122" t="s">
        <v>134</v>
      </c>
      <c r="H4523">
        <v>333</v>
      </c>
      <c r="I4523" s="122" t="s">
        <v>1546</v>
      </c>
      <c r="J4523" s="307" t="s">
        <v>214</v>
      </c>
      <c r="K4523" s="127" t="s">
        <v>4625</v>
      </c>
      <c r="L4523" s="151" t="s">
        <v>3306</v>
      </c>
      <c r="M4523">
        <v>447</v>
      </c>
      <c r="N4523" s="123">
        <v>1</v>
      </c>
      <c r="O4523">
        <v>2917</v>
      </c>
      <c r="P4523" s="132" t="s">
        <v>77</v>
      </c>
      <c r="Q4523" s="131">
        <v>16098.01</v>
      </c>
      <c r="R4523" s="131">
        <v>2575.6815999999999</v>
      </c>
      <c r="S4523" s="131"/>
      <c r="T4523" s="155">
        <v>0</v>
      </c>
      <c r="U4523" s="131">
        <v>0</v>
      </c>
      <c r="V4523" s="131">
        <v>18673.691599999998</v>
      </c>
      <c r="W4523">
        <v>171</v>
      </c>
      <c r="X4523" s="151" t="s">
        <v>3683</v>
      </c>
      <c r="Y4523" s="135" t="s">
        <v>55</v>
      </c>
      <c r="Z4523" s="307">
        <v>261</v>
      </c>
      <c r="AB4523" t="str">
        <f>IF(Table1[[#This Row],[TIPO2]]="costo", VLOOKUP(Table1[[#This Row],[PARTIDA PRESUPUESTAL]],'Cost Report'!G:G,1,0),"Balance")</f>
        <v>2601-003</v>
      </c>
      <c r="AC4523" s="118"/>
      <c r="AD4523" s="159">
        <f>+Table1[[#This Row],[SUBTOTAL]]+Table1[[#This Row],[IVA]]-Table1[[#This Row],[RET IVA]]-Table1[[#This Row],[RET ISR]]-Table1[[#This Row],[TOTAL]]</f>
        <v>0</v>
      </c>
      <c r="AE4523" s="150"/>
      <c r="AF4523" s="151"/>
      <c r="AG4523" s="126"/>
      <c r="AK4523" s="306" t="str">
        <f>IF(ISNUMBER(Table1[[#This Row],[FECHA DE RECIBIDO]]), Table1[[#This Row],[FECHA DE RECIBIDO]]-DATE(2023,8,30), "")</f>
        <v/>
      </c>
    </row>
    <row r="4524" spans="1:37" ht="16.05" customHeight="1">
      <c r="A4524" s="150" t="s">
        <v>4600</v>
      </c>
      <c r="B4524" s="151">
        <v>1572</v>
      </c>
      <c r="C4524" s="126" t="s">
        <v>2572</v>
      </c>
      <c r="D4524">
        <v>3054</v>
      </c>
      <c r="E4524" s="126" t="s">
        <v>3636</v>
      </c>
      <c r="F4524" s="125" t="s">
        <v>1607</v>
      </c>
      <c r="G4524" s="125" t="s">
        <v>134</v>
      </c>
      <c r="H4524">
        <v>333</v>
      </c>
      <c r="I4524" s="125" t="s">
        <v>1546</v>
      </c>
      <c r="J4524" s="308" t="s">
        <v>214</v>
      </c>
      <c r="K4524" s="127" t="s">
        <v>4625</v>
      </c>
      <c r="L4524" s="153" t="s">
        <v>3306</v>
      </c>
      <c r="M4524">
        <v>447</v>
      </c>
      <c r="N4524" s="123">
        <v>1</v>
      </c>
      <c r="O4524">
        <v>2917</v>
      </c>
      <c r="P4524" s="132" t="s">
        <v>77</v>
      </c>
      <c r="Q4524" s="132">
        <v>4880.24</v>
      </c>
      <c r="R4524" s="132">
        <v>780.83839999999998</v>
      </c>
      <c r="S4524" s="132"/>
      <c r="T4524" s="156">
        <v>0</v>
      </c>
      <c r="U4524" s="132">
        <v>0</v>
      </c>
      <c r="V4524" s="132">
        <v>5661.0783999999994</v>
      </c>
      <c r="W4524">
        <v>171</v>
      </c>
      <c r="X4524" s="153" t="s">
        <v>3683</v>
      </c>
      <c r="Y4524" s="124" t="s">
        <v>55</v>
      </c>
      <c r="Z4524" s="308">
        <v>261</v>
      </c>
      <c r="AB4524" t="str">
        <f>IF(Table1[[#This Row],[TIPO2]]="costo", VLOOKUP(Table1[[#This Row],[PARTIDA PRESUPUESTAL]],'Cost Report'!G:G,1,0),"Balance")</f>
        <v>2601-007</v>
      </c>
      <c r="AC4524" s="118"/>
      <c r="AD4524" s="159">
        <f>+Table1[[#This Row],[SUBTOTAL]]+Table1[[#This Row],[IVA]]-Table1[[#This Row],[RET IVA]]-Table1[[#This Row],[RET ISR]]-Table1[[#This Row],[TOTAL]]</f>
        <v>0</v>
      </c>
      <c r="AE4524" s="152"/>
      <c r="AF4524" s="153"/>
      <c r="AG4524" s="126"/>
      <c r="AK4524" s="306" t="str">
        <f>IF(ISNUMBER(Table1[[#This Row],[FECHA DE RECIBIDO]]), Table1[[#This Row],[FECHA DE RECIBIDO]]-DATE(2023,8,30), "")</f>
        <v/>
      </c>
    </row>
    <row r="4525" spans="1:37" ht="16.05" customHeight="1">
      <c r="A4525" s="150" t="s">
        <v>4600</v>
      </c>
      <c r="B4525" s="151">
        <v>1572</v>
      </c>
      <c r="C4525" s="126" t="s">
        <v>1740</v>
      </c>
      <c r="D4525">
        <v>3054</v>
      </c>
      <c r="E4525" s="126" t="s">
        <v>3636</v>
      </c>
      <c r="F4525" s="122" t="s">
        <v>1607</v>
      </c>
      <c r="G4525" s="122" t="s">
        <v>134</v>
      </c>
      <c r="H4525">
        <v>333</v>
      </c>
      <c r="I4525" s="122" t="s">
        <v>1546</v>
      </c>
      <c r="J4525" s="307" t="s">
        <v>214</v>
      </c>
      <c r="K4525" s="127" t="s">
        <v>4625</v>
      </c>
      <c r="L4525" s="151" t="s">
        <v>3306</v>
      </c>
      <c r="M4525">
        <v>447</v>
      </c>
      <c r="N4525" s="123">
        <v>1</v>
      </c>
      <c r="O4525">
        <v>2917</v>
      </c>
      <c r="P4525" s="132" t="s">
        <v>77</v>
      </c>
      <c r="Q4525" s="131">
        <v>4066.87</v>
      </c>
      <c r="R4525" s="131">
        <v>650.69920000000002</v>
      </c>
      <c r="S4525" s="131"/>
      <c r="T4525" s="155">
        <v>0</v>
      </c>
      <c r="U4525" s="131">
        <v>0</v>
      </c>
      <c r="V4525" s="131">
        <v>4717.5691999999999</v>
      </c>
      <c r="W4525">
        <v>171</v>
      </c>
      <c r="X4525" s="151" t="s">
        <v>3683</v>
      </c>
      <c r="Y4525" s="135" t="s">
        <v>55</v>
      </c>
      <c r="Z4525" s="307">
        <v>261</v>
      </c>
      <c r="AB4525" t="str">
        <f>IF(Table1[[#This Row],[TIPO2]]="costo", VLOOKUP(Table1[[#This Row],[PARTIDA PRESUPUESTAL]],'Cost Report'!G:G,1,0),"Balance")</f>
        <v>2602-009</v>
      </c>
      <c r="AC4525" s="118"/>
      <c r="AD4525" s="159">
        <f>+Table1[[#This Row],[SUBTOTAL]]+Table1[[#This Row],[IVA]]-Table1[[#This Row],[RET IVA]]-Table1[[#This Row],[RET ISR]]-Table1[[#This Row],[TOTAL]]</f>
        <v>0</v>
      </c>
      <c r="AE4525" s="150"/>
      <c r="AF4525" s="151"/>
      <c r="AG4525" s="126"/>
      <c r="AK4525" s="306" t="str">
        <f>IF(ISNUMBER(Table1[[#This Row],[FECHA DE RECIBIDO]]), Table1[[#This Row],[FECHA DE RECIBIDO]]-DATE(2023,8,30), "")</f>
        <v/>
      </c>
    </row>
    <row r="4526" spans="1:37" ht="16.05" customHeight="1">
      <c r="A4526" s="150" t="s">
        <v>4600</v>
      </c>
      <c r="B4526" s="151">
        <v>1572</v>
      </c>
      <c r="C4526" s="126" t="s">
        <v>1742</v>
      </c>
      <c r="D4526">
        <v>3054</v>
      </c>
      <c r="E4526" s="126" t="s">
        <v>3636</v>
      </c>
      <c r="F4526" s="125" t="s">
        <v>1607</v>
      </c>
      <c r="G4526" s="125" t="s">
        <v>134</v>
      </c>
      <c r="H4526">
        <v>333</v>
      </c>
      <c r="I4526" s="125" t="s">
        <v>1546</v>
      </c>
      <c r="J4526" s="308" t="s">
        <v>214</v>
      </c>
      <c r="K4526" s="127" t="s">
        <v>4625</v>
      </c>
      <c r="L4526" s="153" t="s">
        <v>3306</v>
      </c>
      <c r="M4526">
        <v>447</v>
      </c>
      <c r="N4526" s="123">
        <v>1</v>
      </c>
      <c r="O4526">
        <v>2917</v>
      </c>
      <c r="P4526" s="132" t="s">
        <v>77</v>
      </c>
      <c r="Q4526" s="132">
        <v>271.12</v>
      </c>
      <c r="R4526" s="132">
        <v>43.379200000000004</v>
      </c>
      <c r="S4526" s="132"/>
      <c r="T4526" s="156">
        <v>0</v>
      </c>
      <c r="U4526" s="132">
        <v>0</v>
      </c>
      <c r="V4526" s="132">
        <v>314.49920000000003</v>
      </c>
      <c r="W4526">
        <v>171</v>
      </c>
      <c r="X4526" s="153" t="s">
        <v>3683</v>
      </c>
      <c r="Y4526" s="124" t="s">
        <v>55</v>
      </c>
      <c r="Z4526" s="308">
        <v>261</v>
      </c>
      <c r="AB4526" t="str">
        <f>IF(Table1[[#This Row],[TIPO2]]="costo", VLOOKUP(Table1[[#This Row],[PARTIDA PRESUPUESTAL]],'Cost Report'!G:G,1,0),"Balance")</f>
        <v>2602-011</v>
      </c>
      <c r="AC4526" s="118"/>
      <c r="AD4526" s="159">
        <f>+Table1[[#This Row],[SUBTOTAL]]+Table1[[#This Row],[IVA]]-Table1[[#This Row],[RET IVA]]-Table1[[#This Row],[RET ISR]]-Table1[[#This Row],[TOTAL]]</f>
        <v>0</v>
      </c>
      <c r="AE4526" s="152"/>
      <c r="AF4526" s="153"/>
      <c r="AG4526" s="126"/>
      <c r="AK4526" s="306" t="str">
        <f>IF(ISNUMBER(Table1[[#This Row],[FECHA DE RECIBIDO]]), Table1[[#This Row],[FECHA DE RECIBIDO]]-DATE(2023,8,30), "")</f>
        <v/>
      </c>
    </row>
    <row r="4527" spans="1:37" ht="16.05" customHeight="1">
      <c r="A4527" s="150" t="s">
        <v>4600</v>
      </c>
      <c r="B4527" s="151">
        <v>1572</v>
      </c>
      <c r="C4527" s="126" t="s">
        <v>1750</v>
      </c>
      <c r="D4527">
        <v>3054</v>
      </c>
      <c r="E4527" s="126" t="s">
        <v>3636</v>
      </c>
      <c r="F4527" s="122" t="s">
        <v>1607</v>
      </c>
      <c r="G4527" s="122" t="s">
        <v>134</v>
      </c>
      <c r="H4527">
        <v>333</v>
      </c>
      <c r="I4527" s="122" t="s">
        <v>1546</v>
      </c>
      <c r="J4527" s="307" t="s">
        <v>214</v>
      </c>
      <c r="K4527" s="127" t="s">
        <v>4625</v>
      </c>
      <c r="L4527" s="151" t="s">
        <v>3306</v>
      </c>
      <c r="M4527">
        <v>447</v>
      </c>
      <c r="N4527" s="123">
        <v>1</v>
      </c>
      <c r="O4527">
        <v>2917</v>
      </c>
      <c r="P4527" s="132" t="s">
        <v>77</v>
      </c>
      <c r="Q4527" s="131">
        <v>12234.49</v>
      </c>
      <c r="R4527" s="131">
        <v>1957.5183999999999</v>
      </c>
      <c r="S4527" s="131"/>
      <c r="T4527" s="155">
        <v>0</v>
      </c>
      <c r="U4527" s="131">
        <v>0</v>
      </c>
      <c r="V4527" s="131">
        <v>14192.008399999999</v>
      </c>
      <c r="W4527">
        <v>171</v>
      </c>
      <c r="X4527" s="151" t="s">
        <v>3683</v>
      </c>
      <c r="Y4527" s="135" t="s">
        <v>55</v>
      </c>
      <c r="Z4527" s="307">
        <v>261</v>
      </c>
      <c r="AB4527" t="str">
        <f>IF(Table1[[#This Row],[TIPO2]]="costo", VLOOKUP(Table1[[#This Row],[PARTIDA PRESUPUESTAL]],'Cost Report'!G:G,1,0),"Balance")</f>
        <v>2602-019</v>
      </c>
      <c r="AC4527" s="118"/>
      <c r="AD4527" s="159">
        <f>+Table1[[#This Row],[SUBTOTAL]]+Table1[[#This Row],[IVA]]-Table1[[#This Row],[RET IVA]]-Table1[[#This Row],[RET ISR]]-Table1[[#This Row],[TOTAL]]</f>
        <v>0</v>
      </c>
      <c r="AE4527" s="150"/>
      <c r="AF4527" s="151"/>
      <c r="AG4527" s="126"/>
      <c r="AK4527" s="306" t="str">
        <f>IF(ISNUMBER(Table1[[#This Row],[FECHA DE RECIBIDO]]), Table1[[#This Row],[FECHA DE RECIBIDO]]-DATE(2023,8,30), "")</f>
        <v/>
      </c>
    </row>
    <row r="4528" spans="1:37" ht="16.05" customHeight="1">
      <c r="A4528" s="150" t="s">
        <v>4600</v>
      </c>
      <c r="B4528" s="151">
        <v>1572</v>
      </c>
      <c r="C4528" s="126" t="s">
        <v>2573</v>
      </c>
      <c r="D4528">
        <v>3054</v>
      </c>
      <c r="E4528" s="126" t="s">
        <v>3636</v>
      </c>
      <c r="F4528" s="125" t="s">
        <v>1607</v>
      </c>
      <c r="G4528" s="125" t="s">
        <v>134</v>
      </c>
      <c r="H4528">
        <v>333</v>
      </c>
      <c r="I4528" s="125" t="s">
        <v>1546</v>
      </c>
      <c r="J4528" s="308" t="s">
        <v>214</v>
      </c>
      <c r="K4528" s="127" t="s">
        <v>4625</v>
      </c>
      <c r="L4528" s="153" t="s">
        <v>3306</v>
      </c>
      <c r="M4528">
        <v>447</v>
      </c>
      <c r="N4528" s="123">
        <v>1</v>
      </c>
      <c r="O4528">
        <v>2917</v>
      </c>
      <c r="P4528" s="132" t="s">
        <v>77</v>
      </c>
      <c r="Q4528" s="132">
        <v>11387.22</v>
      </c>
      <c r="R4528" s="132">
        <v>1821.9551999999999</v>
      </c>
      <c r="S4528" s="132"/>
      <c r="T4528" s="156">
        <v>0</v>
      </c>
      <c r="U4528" s="132">
        <v>0</v>
      </c>
      <c r="V4528" s="132">
        <v>13209.1752</v>
      </c>
      <c r="W4528">
        <v>171</v>
      </c>
      <c r="X4528" s="153" t="s">
        <v>3683</v>
      </c>
      <c r="Y4528" s="124" t="s">
        <v>55</v>
      </c>
      <c r="Z4528" s="308">
        <v>261</v>
      </c>
      <c r="AB4528" t="str">
        <f>IF(Table1[[#This Row],[TIPO2]]="costo", VLOOKUP(Table1[[#This Row],[PARTIDA PRESUPUESTAL]],'Cost Report'!G:G,1,0),"Balance")</f>
        <v>2602-021</v>
      </c>
      <c r="AC4528" s="118"/>
      <c r="AD4528" s="159">
        <f>+Table1[[#This Row],[SUBTOTAL]]+Table1[[#This Row],[IVA]]-Table1[[#This Row],[RET IVA]]-Table1[[#This Row],[RET ISR]]-Table1[[#This Row],[TOTAL]]</f>
        <v>0</v>
      </c>
      <c r="AE4528" s="152"/>
      <c r="AF4528" s="153"/>
      <c r="AG4528" s="126"/>
      <c r="AK4528" s="306" t="str">
        <f>IF(ISNUMBER(Table1[[#This Row],[FECHA DE RECIBIDO]]), Table1[[#This Row],[FECHA DE RECIBIDO]]-DATE(2023,8,30), "")</f>
        <v/>
      </c>
    </row>
    <row r="4529" spans="1:37" ht="16.05" customHeight="1">
      <c r="A4529" s="150" t="s">
        <v>4600</v>
      </c>
      <c r="B4529" s="151">
        <v>1572</v>
      </c>
      <c r="C4529" s="126" t="s">
        <v>2574</v>
      </c>
      <c r="D4529">
        <v>3054</v>
      </c>
      <c r="E4529" s="126" t="s">
        <v>3636</v>
      </c>
      <c r="F4529" s="122" t="s">
        <v>1607</v>
      </c>
      <c r="G4529" s="122" t="s">
        <v>134</v>
      </c>
      <c r="H4529">
        <v>333</v>
      </c>
      <c r="I4529" s="122" t="s">
        <v>1546</v>
      </c>
      <c r="J4529" s="307" t="s">
        <v>214</v>
      </c>
      <c r="K4529" s="127" t="s">
        <v>4625</v>
      </c>
      <c r="L4529" s="151" t="s">
        <v>3306</v>
      </c>
      <c r="M4529">
        <v>447</v>
      </c>
      <c r="N4529" s="123">
        <v>1</v>
      </c>
      <c r="O4529">
        <v>2917</v>
      </c>
      <c r="P4529" s="132" t="s">
        <v>77</v>
      </c>
      <c r="Q4529" s="131">
        <v>11522.79</v>
      </c>
      <c r="R4529" s="131">
        <v>1843.6464000000001</v>
      </c>
      <c r="S4529" s="131"/>
      <c r="T4529" s="155">
        <v>0</v>
      </c>
      <c r="U4529" s="131">
        <v>0</v>
      </c>
      <c r="V4529" s="131">
        <v>13366.436400000001</v>
      </c>
      <c r="W4529">
        <v>171</v>
      </c>
      <c r="X4529" s="151" t="s">
        <v>3683</v>
      </c>
      <c r="Y4529" s="135" t="s">
        <v>55</v>
      </c>
      <c r="Z4529" s="307">
        <v>261</v>
      </c>
      <c r="AB4529" t="str">
        <f>IF(Table1[[#This Row],[TIPO2]]="costo", VLOOKUP(Table1[[#This Row],[PARTIDA PRESUPUESTAL]],'Cost Report'!G:G,1,0),"Balance")</f>
        <v>2602-022</v>
      </c>
      <c r="AC4529" s="118"/>
      <c r="AD4529" s="159">
        <f>+Table1[[#This Row],[SUBTOTAL]]+Table1[[#This Row],[IVA]]-Table1[[#This Row],[RET IVA]]-Table1[[#This Row],[RET ISR]]-Table1[[#This Row],[TOTAL]]</f>
        <v>0</v>
      </c>
      <c r="AE4529" s="150"/>
      <c r="AF4529" s="151"/>
      <c r="AG4529" s="126"/>
      <c r="AK4529" s="306" t="str">
        <f>IF(ISNUMBER(Table1[[#This Row],[FECHA DE RECIBIDO]]), Table1[[#This Row],[FECHA DE RECIBIDO]]-DATE(2023,8,30), "")</f>
        <v/>
      </c>
    </row>
    <row r="4530" spans="1:37" ht="16.05" customHeight="1">
      <c r="A4530" s="150" t="s">
        <v>4600</v>
      </c>
      <c r="B4530" s="151">
        <v>1572</v>
      </c>
      <c r="C4530" s="126" t="s">
        <v>2574</v>
      </c>
      <c r="D4530">
        <v>3054</v>
      </c>
      <c r="E4530" s="126" t="s">
        <v>3636</v>
      </c>
      <c r="F4530" s="125" t="s">
        <v>1607</v>
      </c>
      <c r="G4530" s="125" t="s">
        <v>134</v>
      </c>
      <c r="H4530">
        <v>333</v>
      </c>
      <c r="I4530" s="125" t="s">
        <v>1546</v>
      </c>
      <c r="J4530" s="308" t="s">
        <v>214</v>
      </c>
      <c r="K4530" s="127" t="s">
        <v>4625</v>
      </c>
      <c r="L4530" s="153" t="s">
        <v>3306</v>
      </c>
      <c r="M4530">
        <v>447</v>
      </c>
      <c r="N4530" s="123">
        <v>1</v>
      </c>
      <c r="O4530">
        <v>2917</v>
      </c>
      <c r="P4530" s="132" t="s">
        <v>77</v>
      </c>
      <c r="Q4530" s="132">
        <v>14471.26</v>
      </c>
      <c r="R4530" s="132">
        <v>2315.4016000000001</v>
      </c>
      <c r="S4530" s="132"/>
      <c r="T4530" s="156">
        <v>0</v>
      </c>
      <c r="U4530" s="132">
        <v>0</v>
      </c>
      <c r="V4530" s="132">
        <v>16786.661599999999</v>
      </c>
      <c r="W4530">
        <v>171</v>
      </c>
      <c r="X4530" s="153" t="s">
        <v>3683</v>
      </c>
      <c r="Y4530" s="124" t="s">
        <v>55</v>
      </c>
      <c r="Z4530" s="308">
        <v>261</v>
      </c>
      <c r="AB4530" t="str">
        <f>IF(Table1[[#This Row],[TIPO2]]="costo", VLOOKUP(Table1[[#This Row],[PARTIDA PRESUPUESTAL]],'Cost Report'!G:G,1,0),"Balance")</f>
        <v>2602-022</v>
      </c>
      <c r="AC4530" s="118"/>
      <c r="AD4530" s="159">
        <f>+Table1[[#This Row],[SUBTOTAL]]+Table1[[#This Row],[IVA]]-Table1[[#This Row],[RET IVA]]-Table1[[#This Row],[RET ISR]]-Table1[[#This Row],[TOTAL]]</f>
        <v>0</v>
      </c>
      <c r="AE4530" s="152"/>
      <c r="AF4530" s="153"/>
      <c r="AG4530" s="126"/>
      <c r="AK4530" s="306" t="str">
        <f>IF(ISNUMBER(Table1[[#This Row],[FECHA DE RECIBIDO]]), Table1[[#This Row],[FECHA DE RECIBIDO]]-DATE(2023,8,30), "")</f>
        <v/>
      </c>
    </row>
    <row r="4531" spans="1:37" ht="16.05" customHeight="1">
      <c r="A4531" s="150" t="s">
        <v>4601</v>
      </c>
      <c r="B4531" s="151">
        <v>1573</v>
      </c>
      <c r="C4531" s="126" t="s">
        <v>2321</v>
      </c>
      <c r="D4531">
        <v>3055</v>
      </c>
      <c r="E4531" s="126" t="s">
        <v>3275</v>
      </c>
      <c r="F4531" s="122" t="s">
        <v>1607</v>
      </c>
      <c r="G4531" s="122" t="s">
        <v>134</v>
      </c>
      <c r="H4531">
        <v>806</v>
      </c>
      <c r="I4531" s="122" t="s">
        <v>1546</v>
      </c>
      <c r="J4531" s="307" t="s">
        <v>214</v>
      </c>
      <c r="K4531" s="127" t="s">
        <v>4625</v>
      </c>
      <c r="L4531" s="151" t="s">
        <v>3306</v>
      </c>
      <c r="M4531">
        <v>1114</v>
      </c>
      <c r="N4531" s="123">
        <v>1</v>
      </c>
      <c r="O4531">
        <v>2918</v>
      </c>
      <c r="P4531" s="132" t="s">
        <v>77</v>
      </c>
      <c r="Q4531" s="131">
        <v>266875.5</v>
      </c>
      <c r="R4531" s="131">
        <v>42700.08</v>
      </c>
      <c r="S4531" s="131"/>
      <c r="T4531" s="155">
        <v>0</v>
      </c>
      <c r="U4531" s="131">
        <v>0</v>
      </c>
      <c r="V4531" s="131">
        <v>309575.58</v>
      </c>
      <c r="W4531">
        <v>408</v>
      </c>
      <c r="X4531" s="151" t="s">
        <v>2024</v>
      </c>
      <c r="Y4531" s="135" t="s">
        <v>55</v>
      </c>
      <c r="Z4531" s="307">
        <v>261</v>
      </c>
      <c r="AB4531" t="str">
        <f>IF(Table1[[#This Row],[TIPO2]]="costo", VLOOKUP(Table1[[#This Row],[PARTIDA PRESUPUESTAL]],'Cost Report'!G:G,1,0),"Balance")</f>
        <v>1420-003</v>
      </c>
      <c r="AC4531" s="118"/>
      <c r="AD4531" s="159">
        <f>+Table1[[#This Row],[SUBTOTAL]]+Table1[[#This Row],[IVA]]-Table1[[#This Row],[RET IVA]]-Table1[[#This Row],[RET ISR]]-Table1[[#This Row],[TOTAL]]</f>
        <v>0</v>
      </c>
      <c r="AE4531" s="150"/>
      <c r="AF4531" s="151"/>
      <c r="AG4531" s="126"/>
      <c r="AK4531" s="306" t="str">
        <f>IF(ISNUMBER(Table1[[#This Row],[FECHA DE RECIBIDO]]), Table1[[#This Row],[FECHA DE RECIBIDO]]-DATE(2023,8,30), "")</f>
        <v/>
      </c>
    </row>
    <row r="4532" spans="1:37" ht="16.05" customHeight="1">
      <c r="A4532" s="152"/>
      <c r="B4532" s="153">
        <v>1574</v>
      </c>
      <c r="C4532" s="126" t="s">
        <v>2321</v>
      </c>
      <c r="D4532">
        <v>3056</v>
      </c>
      <c r="E4532" s="126" t="s">
        <v>3275</v>
      </c>
      <c r="F4532" s="125" t="s">
        <v>1607</v>
      </c>
      <c r="G4532" s="125" t="s">
        <v>134</v>
      </c>
      <c r="H4532">
        <v>806</v>
      </c>
      <c r="I4532" s="125" t="s">
        <v>1546</v>
      </c>
      <c r="J4532" s="308" t="s">
        <v>214</v>
      </c>
      <c r="K4532" s="127" t="s">
        <v>4625</v>
      </c>
      <c r="L4532" s="153" t="s">
        <v>3306</v>
      </c>
      <c r="M4532">
        <v>1114</v>
      </c>
      <c r="N4532" s="123">
        <v>1</v>
      </c>
      <c r="O4532">
        <v>2919</v>
      </c>
      <c r="P4532" s="132" t="s">
        <v>77</v>
      </c>
      <c r="Q4532" s="132">
        <v>114367.5</v>
      </c>
      <c r="R4532" s="132">
        <v>18298.8</v>
      </c>
      <c r="S4532" s="132"/>
      <c r="T4532" s="156">
        <v>0</v>
      </c>
      <c r="U4532" s="132">
        <v>0</v>
      </c>
      <c r="V4532" s="132">
        <v>132666.29999999999</v>
      </c>
      <c r="W4532">
        <v>408</v>
      </c>
      <c r="X4532" s="153" t="s">
        <v>2024</v>
      </c>
      <c r="Y4532" s="124" t="s">
        <v>55</v>
      </c>
      <c r="Z4532" s="308">
        <v>261</v>
      </c>
      <c r="AB4532" t="str">
        <f>IF(Table1[[#This Row],[TIPO2]]="costo", VLOOKUP(Table1[[#This Row],[PARTIDA PRESUPUESTAL]],'Cost Report'!G:G,1,0),"Balance")</f>
        <v>1420-003</v>
      </c>
      <c r="AC4532" s="118"/>
      <c r="AD4532" s="159">
        <f>+Table1[[#This Row],[SUBTOTAL]]+Table1[[#This Row],[IVA]]-Table1[[#This Row],[RET IVA]]-Table1[[#This Row],[RET ISR]]-Table1[[#This Row],[TOTAL]]</f>
        <v>0</v>
      </c>
      <c r="AE4532" s="152"/>
      <c r="AF4532" s="153"/>
      <c r="AG4532" s="126"/>
      <c r="AK4532" s="306" t="str">
        <f>IF(ISNUMBER(Table1[[#This Row],[FECHA DE RECIBIDO]]), Table1[[#This Row],[FECHA DE RECIBIDO]]-DATE(2023,8,30), "")</f>
        <v/>
      </c>
    </row>
    <row r="4533" spans="1:37" ht="16.05" customHeight="1">
      <c r="A4533" s="150" t="s">
        <v>4602</v>
      </c>
      <c r="B4533" s="151">
        <v>1575</v>
      </c>
      <c r="C4533" s="126" t="s">
        <v>3412</v>
      </c>
      <c r="D4533">
        <v>3057</v>
      </c>
      <c r="E4533" s="126" t="s">
        <v>3636</v>
      </c>
      <c r="F4533" s="122" t="s">
        <v>1607</v>
      </c>
      <c r="G4533" s="122" t="s">
        <v>134</v>
      </c>
      <c r="H4533">
        <v>333</v>
      </c>
      <c r="I4533" s="122" t="s">
        <v>1546</v>
      </c>
      <c r="J4533" s="307" t="s">
        <v>214</v>
      </c>
      <c r="K4533" s="127" t="s">
        <v>4625</v>
      </c>
      <c r="L4533" s="151" t="s">
        <v>3306</v>
      </c>
      <c r="M4533">
        <v>447</v>
      </c>
      <c r="N4533" s="123">
        <v>1</v>
      </c>
      <c r="O4533">
        <v>2920</v>
      </c>
      <c r="P4533" s="132" t="s">
        <v>77</v>
      </c>
      <c r="Q4533" s="131">
        <v>75000</v>
      </c>
      <c r="R4533" s="131">
        <v>12000</v>
      </c>
      <c r="S4533" s="131"/>
      <c r="T4533" s="155">
        <v>0</v>
      </c>
      <c r="U4533" s="131">
        <v>0</v>
      </c>
      <c r="V4533" s="131">
        <v>87000</v>
      </c>
      <c r="W4533">
        <v>171</v>
      </c>
      <c r="X4533" s="151" t="s">
        <v>3683</v>
      </c>
      <c r="Y4533" s="135" t="s">
        <v>55</v>
      </c>
      <c r="Z4533" s="307">
        <v>261</v>
      </c>
      <c r="AB4533" t="str">
        <f>IF(Table1[[#This Row],[TIPO2]]="costo", VLOOKUP(Table1[[#This Row],[PARTIDA PRESUPUESTAL]],'Cost Report'!G:G,1,0),"Balance")</f>
        <v>3193-117</v>
      </c>
      <c r="AC4533" s="118"/>
      <c r="AD4533" s="159">
        <f>+Table1[[#This Row],[SUBTOTAL]]+Table1[[#This Row],[IVA]]-Table1[[#This Row],[RET IVA]]-Table1[[#This Row],[RET ISR]]-Table1[[#This Row],[TOTAL]]</f>
        <v>0</v>
      </c>
      <c r="AE4533" s="150"/>
      <c r="AF4533" s="151"/>
      <c r="AG4533" s="126"/>
      <c r="AK4533" s="306" t="str">
        <f>IF(ISNUMBER(Table1[[#This Row],[FECHA DE RECIBIDO]]), Table1[[#This Row],[FECHA DE RECIBIDO]]-DATE(2023,8,30), "")</f>
        <v/>
      </c>
    </row>
    <row r="4534" spans="1:37" ht="16.05" customHeight="1">
      <c r="A4534" s="152" t="s">
        <v>4603</v>
      </c>
      <c r="B4534" s="153">
        <v>1576</v>
      </c>
      <c r="C4534" s="126" t="s">
        <v>977</v>
      </c>
      <c r="D4534">
        <v>3058</v>
      </c>
      <c r="E4534" s="126" t="s">
        <v>1614</v>
      </c>
      <c r="F4534" s="125" t="s">
        <v>1589</v>
      </c>
      <c r="G4534" s="125" t="s">
        <v>129</v>
      </c>
      <c r="H4534">
        <v>807</v>
      </c>
      <c r="I4534" s="125" t="s">
        <v>1546</v>
      </c>
      <c r="J4534" s="308" t="s">
        <v>214</v>
      </c>
      <c r="K4534" s="127" t="s">
        <v>4625</v>
      </c>
      <c r="L4534" s="153" t="s">
        <v>3306</v>
      </c>
      <c r="M4534">
        <v>1115</v>
      </c>
      <c r="N4534" s="123">
        <v>1</v>
      </c>
      <c r="O4534">
        <v>2921</v>
      </c>
      <c r="P4534" s="132" t="s">
        <v>77</v>
      </c>
      <c r="Q4534" s="132">
        <v>16560</v>
      </c>
      <c r="R4534" s="132">
        <v>2649.6</v>
      </c>
      <c r="S4534" s="132"/>
      <c r="T4534" s="156">
        <v>1766.41</v>
      </c>
      <c r="U4534" s="132">
        <v>1656</v>
      </c>
      <c r="V4534" s="132">
        <v>15787.189999999999</v>
      </c>
      <c r="W4534">
        <v>409</v>
      </c>
      <c r="X4534" s="153" t="s">
        <v>1431</v>
      </c>
      <c r="Y4534" s="124" t="s">
        <v>55</v>
      </c>
      <c r="Z4534" s="308">
        <v>261</v>
      </c>
      <c r="AB4534" t="str">
        <f>IF(Table1[[#This Row],[TIPO2]]="costo", VLOOKUP(Table1[[#This Row],[PARTIDA PRESUPUESTAL]],'Cost Report'!G:G,1,0),"Balance")</f>
        <v>3410-012</v>
      </c>
      <c r="AC4534" s="118"/>
      <c r="AD4534" s="159">
        <f>+Table1[[#This Row],[SUBTOTAL]]+Table1[[#This Row],[IVA]]-Table1[[#This Row],[RET IVA]]-Table1[[#This Row],[RET ISR]]-Table1[[#This Row],[TOTAL]]</f>
        <v>0</v>
      </c>
      <c r="AE4534" s="152"/>
      <c r="AF4534" s="153"/>
      <c r="AG4534" s="126"/>
      <c r="AK4534" s="306" t="str">
        <f>IF(ISNUMBER(Table1[[#This Row],[FECHA DE RECIBIDO]]), Table1[[#This Row],[FECHA DE RECIBIDO]]-DATE(2023,8,30), "")</f>
        <v/>
      </c>
    </row>
    <row r="4535" spans="1:37" ht="16.05" customHeight="1">
      <c r="A4535" s="150" t="s">
        <v>4604</v>
      </c>
      <c r="B4535" s="151">
        <v>1577</v>
      </c>
      <c r="C4535" s="126" t="s">
        <v>2853</v>
      </c>
      <c r="D4535">
        <v>3059</v>
      </c>
      <c r="E4535" s="126" t="s">
        <v>3636</v>
      </c>
      <c r="F4535" s="122" t="s">
        <v>1607</v>
      </c>
      <c r="G4535" s="122" t="s">
        <v>134</v>
      </c>
      <c r="H4535">
        <v>333</v>
      </c>
      <c r="I4535" s="122" t="s">
        <v>1546</v>
      </c>
      <c r="J4535" s="307" t="s">
        <v>214</v>
      </c>
      <c r="K4535" s="127" t="s">
        <v>4625</v>
      </c>
      <c r="L4535" s="151" t="s">
        <v>3306</v>
      </c>
      <c r="M4535">
        <v>447</v>
      </c>
      <c r="N4535" s="123">
        <v>1</v>
      </c>
      <c r="O4535">
        <v>2922</v>
      </c>
      <c r="P4535" s="132" t="s">
        <v>77</v>
      </c>
      <c r="Q4535" s="131">
        <v>7000</v>
      </c>
      <c r="R4535" s="131">
        <v>1120</v>
      </c>
      <c r="S4535" s="131"/>
      <c r="T4535" s="155">
        <v>0</v>
      </c>
      <c r="U4535" s="131">
        <v>0</v>
      </c>
      <c r="V4535" s="131">
        <v>8120</v>
      </c>
      <c r="W4535">
        <v>171</v>
      </c>
      <c r="X4535" s="151" t="s">
        <v>3683</v>
      </c>
      <c r="Y4535" s="135" t="s">
        <v>55</v>
      </c>
      <c r="Z4535" s="307">
        <v>261</v>
      </c>
      <c r="AB4535" t="str">
        <f>IF(Table1[[#This Row],[TIPO2]]="costo", VLOOKUP(Table1[[#This Row],[PARTIDA PRESUPUESTAL]],'Cost Report'!G:G,1,0),"Balance")</f>
        <v>3583-003</v>
      </c>
      <c r="AC4535" s="118"/>
      <c r="AD4535" s="159">
        <f>+Table1[[#This Row],[SUBTOTAL]]+Table1[[#This Row],[IVA]]-Table1[[#This Row],[RET IVA]]-Table1[[#This Row],[RET ISR]]-Table1[[#This Row],[TOTAL]]</f>
        <v>0</v>
      </c>
      <c r="AE4535" s="150"/>
      <c r="AF4535" s="151"/>
      <c r="AG4535" s="126"/>
      <c r="AK4535" s="306" t="str">
        <f>IF(ISNUMBER(Table1[[#This Row],[FECHA DE RECIBIDO]]), Table1[[#This Row],[FECHA DE RECIBIDO]]-DATE(2023,8,30), "")</f>
        <v/>
      </c>
    </row>
    <row r="4536" spans="1:37" ht="16.05" customHeight="1">
      <c r="A4536" s="150" t="s">
        <v>4604</v>
      </c>
      <c r="B4536" s="151">
        <v>1577</v>
      </c>
      <c r="C4536" s="126" t="s">
        <v>2854</v>
      </c>
      <c r="D4536">
        <v>3059</v>
      </c>
      <c r="E4536" s="126" t="s">
        <v>3636</v>
      </c>
      <c r="F4536" s="125" t="s">
        <v>1607</v>
      </c>
      <c r="G4536" s="125" t="s">
        <v>134</v>
      </c>
      <c r="H4536">
        <v>333</v>
      </c>
      <c r="I4536" s="125" t="s">
        <v>1546</v>
      </c>
      <c r="J4536" s="308" t="s">
        <v>214</v>
      </c>
      <c r="K4536" s="127" t="s">
        <v>4625</v>
      </c>
      <c r="L4536" s="153" t="s">
        <v>3306</v>
      </c>
      <c r="M4536">
        <v>447</v>
      </c>
      <c r="N4536" s="123">
        <v>1</v>
      </c>
      <c r="O4536">
        <v>2922</v>
      </c>
      <c r="P4536" s="132" t="s">
        <v>77</v>
      </c>
      <c r="Q4536" s="132">
        <v>85000</v>
      </c>
      <c r="R4536" s="132">
        <v>13600</v>
      </c>
      <c r="S4536" s="132"/>
      <c r="T4536" s="156">
        <v>0</v>
      </c>
      <c r="U4536" s="132">
        <v>0</v>
      </c>
      <c r="V4536" s="132">
        <v>98600</v>
      </c>
      <c r="W4536">
        <v>171</v>
      </c>
      <c r="X4536" s="153" t="s">
        <v>3683</v>
      </c>
      <c r="Y4536" s="124" t="s">
        <v>55</v>
      </c>
      <c r="Z4536" s="308">
        <v>261</v>
      </c>
      <c r="AB4536" t="str">
        <f>IF(Table1[[#This Row],[TIPO2]]="costo", VLOOKUP(Table1[[#This Row],[PARTIDA PRESUPUESTAL]],'Cost Report'!G:G,1,0),"Balance")</f>
        <v>3583-004</v>
      </c>
      <c r="AC4536" s="118"/>
      <c r="AD4536" s="159">
        <f>+Table1[[#This Row],[SUBTOTAL]]+Table1[[#This Row],[IVA]]-Table1[[#This Row],[RET IVA]]-Table1[[#This Row],[RET ISR]]-Table1[[#This Row],[TOTAL]]</f>
        <v>0</v>
      </c>
      <c r="AE4536" s="152"/>
      <c r="AF4536" s="153"/>
      <c r="AG4536" s="126"/>
      <c r="AK4536" s="306" t="str">
        <f>IF(ISNUMBER(Table1[[#This Row],[FECHA DE RECIBIDO]]), Table1[[#This Row],[FECHA DE RECIBIDO]]-DATE(2023,8,30), "")</f>
        <v/>
      </c>
    </row>
    <row r="4537" spans="1:37" ht="16.05" customHeight="1">
      <c r="A4537" s="150" t="s">
        <v>4605</v>
      </c>
      <c r="B4537" s="151">
        <v>1593</v>
      </c>
      <c r="C4537" s="126" t="s">
        <v>2443</v>
      </c>
      <c r="D4537">
        <v>3060</v>
      </c>
      <c r="E4537" s="126" t="s">
        <v>1596</v>
      </c>
      <c r="F4537" s="122" t="s">
        <v>1607</v>
      </c>
      <c r="G4537" s="122" t="s">
        <v>134</v>
      </c>
      <c r="H4537">
        <v>808</v>
      </c>
      <c r="I4537" s="122" t="s">
        <v>1546</v>
      </c>
      <c r="J4537" s="307" t="s">
        <v>214</v>
      </c>
      <c r="K4537" s="127" t="s">
        <v>4625</v>
      </c>
      <c r="L4537" s="151" t="s">
        <v>1579</v>
      </c>
      <c r="M4537">
        <v>1116</v>
      </c>
      <c r="N4537" s="123">
        <v>17</v>
      </c>
      <c r="O4537">
        <v>2923</v>
      </c>
      <c r="P4537" s="132" t="s">
        <v>77</v>
      </c>
      <c r="Q4537" s="131">
        <v>172.75</v>
      </c>
      <c r="R4537" s="131">
        <v>27.64</v>
      </c>
      <c r="S4537" s="131"/>
      <c r="T4537" s="155"/>
      <c r="U4537" s="131"/>
      <c r="V4537" s="131">
        <v>200.39</v>
      </c>
      <c r="W4537">
        <v>227</v>
      </c>
      <c r="X4537" s="151" t="s">
        <v>1644</v>
      </c>
      <c r="Y4537" s="135" t="s">
        <v>55</v>
      </c>
      <c r="Z4537" s="307" t="s">
        <v>214</v>
      </c>
      <c r="AB4537" t="str">
        <f>IF(Table1[[#This Row],[TIPO2]]="costo", VLOOKUP(Table1[[#This Row],[PARTIDA PRESUPUESTAL]],'Cost Report'!G:G,1,0),"Balance")</f>
        <v>2080-003</v>
      </c>
      <c r="AC4537" s="118"/>
      <c r="AD4537" s="159">
        <f>+Table1[[#This Row],[SUBTOTAL]]+Table1[[#This Row],[IVA]]-Table1[[#This Row],[RET IVA]]-Table1[[#This Row],[RET ISR]]-Table1[[#This Row],[TOTAL]]</f>
        <v>0</v>
      </c>
      <c r="AE4537" s="150"/>
      <c r="AF4537" s="151"/>
      <c r="AG4537" s="126" t="s">
        <v>3420</v>
      </c>
      <c r="AK4537" s="306" t="str">
        <f>IF(ISNUMBER(Table1[[#This Row],[FECHA DE RECIBIDO]]), Table1[[#This Row],[FECHA DE RECIBIDO]]-DATE(2023,8,30), "")</f>
        <v/>
      </c>
    </row>
    <row r="4538" spans="1:37" ht="16.05" customHeight="1">
      <c r="A4538" s="152" t="s">
        <v>4605</v>
      </c>
      <c r="B4538" s="153">
        <v>1593</v>
      </c>
      <c r="C4538" s="126" t="s">
        <v>977</v>
      </c>
      <c r="D4538">
        <v>3061</v>
      </c>
      <c r="E4538" s="126" t="s">
        <v>3267</v>
      </c>
      <c r="F4538" s="125" t="s">
        <v>1607</v>
      </c>
      <c r="G4538" s="125" t="s">
        <v>134</v>
      </c>
      <c r="H4538">
        <v>809</v>
      </c>
      <c r="I4538" s="125" t="s">
        <v>1546</v>
      </c>
      <c r="J4538" s="308" t="s">
        <v>214</v>
      </c>
      <c r="K4538" s="127" t="s">
        <v>4625</v>
      </c>
      <c r="L4538" s="153" t="s">
        <v>1579</v>
      </c>
      <c r="M4538">
        <v>1117</v>
      </c>
      <c r="N4538" s="123">
        <v>17</v>
      </c>
      <c r="O4538">
        <v>2924</v>
      </c>
      <c r="P4538" s="132" t="s">
        <v>77</v>
      </c>
      <c r="Q4538" s="132">
        <v>68.97</v>
      </c>
      <c r="R4538" s="132">
        <v>11.03</v>
      </c>
      <c r="S4538" s="132"/>
      <c r="T4538" s="156"/>
      <c r="U4538" s="132"/>
      <c r="V4538" s="132">
        <v>80</v>
      </c>
      <c r="W4538">
        <v>227</v>
      </c>
      <c r="X4538" s="153" t="s">
        <v>1644</v>
      </c>
      <c r="Y4538" s="124" t="s">
        <v>55</v>
      </c>
      <c r="Z4538" s="308" t="s">
        <v>214</v>
      </c>
      <c r="AB4538" t="str">
        <f>IF(Table1[[#This Row],[TIPO2]]="costo", VLOOKUP(Table1[[#This Row],[PARTIDA PRESUPUESTAL]],'Cost Report'!G:G,1,0),"Balance")</f>
        <v>3410-012</v>
      </c>
      <c r="AC4538" s="118"/>
      <c r="AD4538" s="159">
        <f>+Table1[[#This Row],[SUBTOTAL]]+Table1[[#This Row],[IVA]]-Table1[[#This Row],[RET IVA]]-Table1[[#This Row],[RET ISR]]-Table1[[#This Row],[TOTAL]]</f>
        <v>0</v>
      </c>
      <c r="AE4538" s="152"/>
      <c r="AF4538" s="153"/>
      <c r="AG4538" s="126" t="s">
        <v>3420</v>
      </c>
      <c r="AK4538" s="306" t="str">
        <f>IF(ISNUMBER(Table1[[#This Row],[FECHA DE RECIBIDO]]), Table1[[#This Row],[FECHA DE RECIBIDO]]-DATE(2023,8,30), "")</f>
        <v/>
      </c>
    </row>
    <row r="4539" spans="1:37" ht="16.05" customHeight="1">
      <c r="A4539" s="150" t="s">
        <v>4605</v>
      </c>
      <c r="B4539" s="151">
        <v>1593</v>
      </c>
      <c r="C4539" s="126" t="s">
        <v>977</v>
      </c>
      <c r="D4539">
        <v>3062</v>
      </c>
      <c r="E4539" s="126" t="s">
        <v>3267</v>
      </c>
      <c r="F4539" s="122" t="s">
        <v>1607</v>
      </c>
      <c r="G4539" s="122" t="s">
        <v>134</v>
      </c>
      <c r="H4539">
        <v>809</v>
      </c>
      <c r="I4539" s="122" t="s">
        <v>1546</v>
      </c>
      <c r="J4539" s="307" t="s">
        <v>214</v>
      </c>
      <c r="K4539" s="127" t="s">
        <v>4625</v>
      </c>
      <c r="L4539" s="151" t="s">
        <v>1579</v>
      </c>
      <c r="M4539">
        <v>1117</v>
      </c>
      <c r="N4539" s="123">
        <v>17</v>
      </c>
      <c r="O4539">
        <v>2924</v>
      </c>
      <c r="P4539" s="132" t="s">
        <v>77</v>
      </c>
      <c r="Q4539" s="131">
        <v>465.52</v>
      </c>
      <c r="R4539" s="131">
        <v>74.48</v>
      </c>
      <c r="S4539" s="131"/>
      <c r="T4539" s="155"/>
      <c r="U4539" s="131"/>
      <c r="V4539" s="131">
        <v>540</v>
      </c>
      <c r="W4539">
        <v>227</v>
      </c>
      <c r="X4539" s="151" t="s">
        <v>1644</v>
      </c>
      <c r="Y4539" s="135" t="s">
        <v>55</v>
      </c>
      <c r="Z4539" s="307" t="s">
        <v>214</v>
      </c>
      <c r="AB4539" t="str">
        <f>IF(Table1[[#This Row],[TIPO2]]="costo", VLOOKUP(Table1[[#This Row],[PARTIDA PRESUPUESTAL]],'Cost Report'!G:G,1,0),"Balance")</f>
        <v>3410-012</v>
      </c>
      <c r="AC4539" s="118"/>
      <c r="AD4539" s="159">
        <f>+Table1[[#This Row],[SUBTOTAL]]+Table1[[#This Row],[IVA]]-Table1[[#This Row],[RET IVA]]-Table1[[#This Row],[RET ISR]]-Table1[[#This Row],[TOTAL]]</f>
        <v>0</v>
      </c>
      <c r="AE4539" s="150"/>
      <c r="AF4539" s="151"/>
      <c r="AG4539" s="126" t="s">
        <v>3420</v>
      </c>
      <c r="AK4539" s="306" t="str">
        <f>IF(ISNUMBER(Table1[[#This Row],[FECHA DE RECIBIDO]]), Table1[[#This Row],[FECHA DE RECIBIDO]]-DATE(2023,8,30), "")</f>
        <v/>
      </c>
    </row>
    <row r="4540" spans="1:37" ht="16.05" customHeight="1">
      <c r="A4540" s="152" t="s">
        <v>4605</v>
      </c>
      <c r="B4540" s="153">
        <v>1593</v>
      </c>
      <c r="C4540" s="126" t="s">
        <v>2443</v>
      </c>
      <c r="D4540">
        <v>3063</v>
      </c>
      <c r="E4540" s="126" t="s">
        <v>4606</v>
      </c>
      <c r="F4540" s="125" t="s">
        <v>1607</v>
      </c>
      <c r="G4540" s="125" t="s">
        <v>134</v>
      </c>
      <c r="H4540">
        <v>563</v>
      </c>
      <c r="I4540" s="125" t="s">
        <v>1546</v>
      </c>
      <c r="J4540" s="308" t="s">
        <v>214</v>
      </c>
      <c r="K4540" s="127" t="s">
        <v>4625</v>
      </c>
      <c r="L4540" s="153" t="s">
        <v>1579</v>
      </c>
      <c r="M4540">
        <v>789</v>
      </c>
      <c r="N4540" s="123">
        <v>17</v>
      </c>
      <c r="O4540">
        <v>2925</v>
      </c>
      <c r="P4540" s="132" t="s">
        <v>77</v>
      </c>
      <c r="Q4540" s="132">
        <v>144.82</v>
      </c>
      <c r="R4540" s="132">
        <v>23.18</v>
      </c>
      <c r="S4540" s="132"/>
      <c r="T4540" s="156"/>
      <c r="U4540" s="132"/>
      <c r="V4540" s="132">
        <v>168</v>
      </c>
      <c r="W4540">
        <v>227</v>
      </c>
      <c r="X4540" s="153" t="s">
        <v>1644</v>
      </c>
      <c r="Y4540" s="124" t="s">
        <v>55</v>
      </c>
      <c r="Z4540" s="308" t="s">
        <v>214</v>
      </c>
      <c r="AB4540" t="str">
        <f>IF(Table1[[#This Row],[TIPO2]]="costo", VLOOKUP(Table1[[#This Row],[PARTIDA PRESUPUESTAL]],'Cost Report'!G:G,1,0),"Balance")</f>
        <v>2080-003</v>
      </c>
      <c r="AC4540" s="118"/>
      <c r="AD4540" s="159">
        <f>+Table1[[#This Row],[SUBTOTAL]]+Table1[[#This Row],[IVA]]-Table1[[#This Row],[RET IVA]]-Table1[[#This Row],[RET ISR]]-Table1[[#This Row],[TOTAL]]</f>
        <v>0</v>
      </c>
      <c r="AE4540" s="152"/>
      <c r="AF4540" s="153"/>
      <c r="AG4540" s="126" t="s">
        <v>3420</v>
      </c>
      <c r="AK4540" s="306" t="str">
        <f>IF(ISNUMBER(Table1[[#This Row],[FECHA DE RECIBIDO]]), Table1[[#This Row],[FECHA DE RECIBIDO]]-DATE(2023,8,30), "")</f>
        <v/>
      </c>
    </row>
    <row r="4541" spans="1:37" ht="16.05" customHeight="1">
      <c r="A4541" s="150" t="s">
        <v>4605</v>
      </c>
      <c r="B4541" s="151">
        <v>1593</v>
      </c>
      <c r="C4541" s="126" t="s">
        <v>2829</v>
      </c>
      <c r="D4541">
        <v>3064</v>
      </c>
      <c r="E4541" s="126" t="s">
        <v>1991</v>
      </c>
      <c r="F4541" s="122" t="s">
        <v>1607</v>
      </c>
      <c r="G4541" s="122" t="s">
        <v>134</v>
      </c>
      <c r="H4541">
        <v>78</v>
      </c>
      <c r="I4541" s="122" t="s">
        <v>1546</v>
      </c>
      <c r="J4541" s="307" t="s">
        <v>214</v>
      </c>
      <c r="K4541" s="127" t="s">
        <v>4625</v>
      </c>
      <c r="L4541" s="151" t="s">
        <v>1579</v>
      </c>
      <c r="M4541">
        <v>102</v>
      </c>
      <c r="N4541" s="123">
        <v>17</v>
      </c>
      <c r="O4541">
        <v>2926</v>
      </c>
      <c r="P4541" s="132" t="s">
        <v>77</v>
      </c>
      <c r="Q4541" s="131">
        <v>47.41</v>
      </c>
      <c r="R4541" s="131">
        <v>7.59</v>
      </c>
      <c r="S4541" s="131"/>
      <c r="T4541" s="155"/>
      <c r="U4541" s="131"/>
      <c r="V4541" s="131">
        <v>55</v>
      </c>
      <c r="W4541">
        <v>227</v>
      </c>
      <c r="X4541" s="151" t="s">
        <v>1644</v>
      </c>
      <c r="Y4541" s="135" t="s">
        <v>55</v>
      </c>
      <c r="Z4541" s="307" t="s">
        <v>214</v>
      </c>
      <c r="AB4541" t="str">
        <f>IF(Table1[[#This Row],[TIPO2]]="costo", VLOOKUP(Table1[[#This Row],[PARTIDA PRESUPUESTAL]],'Cost Report'!G:G,1,0),"Balance")</f>
        <v>3412-138</v>
      </c>
      <c r="AC4541" s="118"/>
      <c r="AD4541" s="159">
        <f>+Table1[[#This Row],[SUBTOTAL]]+Table1[[#This Row],[IVA]]-Table1[[#This Row],[RET IVA]]-Table1[[#This Row],[RET ISR]]-Table1[[#This Row],[TOTAL]]</f>
        <v>0</v>
      </c>
      <c r="AE4541" s="150"/>
      <c r="AF4541" s="151"/>
      <c r="AG4541" s="126" t="s">
        <v>3420</v>
      </c>
      <c r="AK4541" s="306" t="str">
        <f>IF(ISNUMBER(Table1[[#This Row],[FECHA DE RECIBIDO]]), Table1[[#This Row],[FECHA DE RECIBIDO]]-DATE(2023,8,30), "")</f>
        <v/>
      </c>
    </row>
    <row r="4542" spans="1:37" ht="16.05" customHeight="1">
      <c r="A4542" s="152" t="s">
        <v>4605</v>
      </c>
      <c r="B4542" s="153">
        <v>1593</v>
      </c>
      <c r="C4542" s="126" t="s">
        <v>2443</v>
      </c>
      <c r="D4542">
        <v>3065</v>
      </c>
      <c r="E4542" s="126" t="s">
        <v>1596</v>
      </c>
      <c r="F4542" s="125" t="s">
        <v>1593</v>
      </c>
      <c r="G4542" s="125" t="s">
        <v>109</v>
      </c>
      <c r="H4542">
        <v>810</v>
      </c>
      <c r="I4542" s="125" t="s">
        <v>1546</v>
      </c>
      <c r="J4542" s="308" t="s">
        <v>214</v>
      </c>
      <c r="K4542" s="127" t="s">
        <v>4625</v>
      </c>
      <c r="L4542" s="153" t="s">
        <v>1579</v>
      </c>
      <c r="M4542">
        <v>1118</v>
      </c>
      <c r="N4542" s="123">
        <v>17</v>
      </c>
      <c r="O4542">
        <v>2927</v>
      </c>
      <c r="P4542" s="132" t="s">
        <v>77</v>
      </c>
      <c r="Q4542" s="132">
        <v>379.3</v>
      </c>
      <c r="R4542" s="132">
        <v>60.69</v>
      </c>
      <c r="S4542" s="132"/>
      <c r="T4542" s="156"/>
      <c r="U4542" s="132">
        <v>4.74</v>
      </c>
      <c r="V4542" s="132">
        <v>435.25</v>
      </c>
      <c r="W4542">
        <v>227</v>
      </c>
      <c r="X4542" s="153" t="s">
        <v>1644</v>
      </c>
      <c r="Y4542" s="124" t="s">
        <v>55</v>
      </c>
      <c r="Z4542" s="308" t="s">
        <v>214</v>
      </c>
      <c r="AB4542" t="str">
        <f>IF(Table1[[#This Row],[TIPO2]]="costo", VLOOKUP(Table1[[#This Row],[PARTIDA PRESUPUESTAL]],'Cost Report'!G:G,1,0),"Balance")</f>
        <v>2080-003</v>
      </c>
      <c r="AC4542" s="118"/>
      <c r="AD4542" s="159">
        <f>+Table1[[#This Row],[SUBTOTAL]]+Table1[[#This Row],[IVA]]-Table1[[#This Row],[RET IVA]]-Table1[[#This Row],[RET ISR]]-Table1[[#This Row],[TOTAL]]</f>
        <v>0</v>
      </c>
      <c r="AE4542" s="152"/>
      <c r="AF4542" s="153"/>
      <c r="AG4542" s="126" t="s">
        <v>3420</v>
      </c>
      <c r="AK4542" s="306" t="str">
        <f>IF(ISNUMBER(Table1[[#This Row],[FECHA DE RECIBIDO]]), Table1[[#This Row],[FECHA DE RECIBIDO]]-DATE(2023,8,30), "")</f>
        <v/>
      </c>
    </row>
    <row r="4543" spans="1:37" ht="16.05" customHeight="1">
      <c r="A4543" s="150" t="s">
        <v>4605</v>
      </c>
      <c r="B4543" s="151">
        <v>1593</v>
      </c>
      <c r="C4543" s="126" t="s">
        <v>2443</v>
      </c>
      <c r="D4543">
        <v>3066</v>
      </c>
      <c r="E4543" s="126" t="s">
        <v>1646</v>
      </c>
      <c r="F4543" s="122" t="s">
        <v>1607</v>
      </c>
      <c r="G4543" s="122" t="s">
        <v>134</v>
      </c>
      <c r="H4543">
        <v>563</v>
      </c>
      <c r="I4543" s="122" t="s">
        <v>1546</v>
      </c>
      <c r="J4543" s="307" t="s">
        <v>214</v>
      </c>
      <c r="K4543" s="127" t="s">
        <v>4625</v>
      </c>
      <c r="L4543" s="151" t="s">
        <v>1579</v>
      </c>
      <c r="M4543">
        <v>789</v>
      </c>
      <c r="N4543" s="123">
        <v>17</v>
      </c>
      <c r="O4543">
        <v>2928</v>
      </c>
      <c r="P4543" s="132" t="s">
        <v>77</v>
      </c>
      <c r="Q4543" s="131">
        <v>203.02</v>
      </c>
      <c r="R4543" s="131">
        <v>32.479999999999997</v>
      </c>
      <c r="S4543" s="131"/>
      <c r="T4543" s="155"/>
      <c r="U4543" s="131"/>
      <c r="V4543" s="131">
        <v>235.5</v>
      </c>
      <c r="W4543">
        <v>227</v>
      </c>
      <c r="X4543" s="151" t="s">
        <v>1644</v>
      </c>
      <c r="Y4543" s="135" t="s">
        <v>55</v>
      </c>
      <c r="Z4543" s="307" t="s">
        <v>214</v>
      </c>
      <c r="AB4543" t="str">
        <f>IF(Table1[[#This Row],[TIPO2]]="costo", VLOOKUP(Table1[[#This Row],[PARTIDA PRESUPUESTAL]],'Cost Report'!G:G,1,0),"Balance")</f>
        <v>2080-003</v>
      </c>
      <c r="AC4543" s="118"/>
      <c r="AD4543" s="159">
        <f>+Table1[[#This Row],[SUBTOTAL]]+Table1[[#This Row],[IVA]]-Table1[[#This Row],[RET IVA]]-Table1[[#This Row],[RET ISR]]-Table1[[#This Row],[TOTAL]]</f>
        <v>0</v>
      </c>
      <c r="AE4543" s="150"/>
      <c r="AF4543" s="151"/>
      <c r="AG4543" s="126" t="s">
        <v>3420</v>
      </c>
      <c r="AK4543" s="306" t="str">
        <f>IF(ISNUMBER(Table1[[#This Row],[FECHA DE RECIBIDO]]), Table1[[#This Row],[FECHA DE RECIBIDO]]-DATE(2023,8,30), "")</f>
        <v/>
      </c>
    </row>
    <row r="4544" spans="1:37" ht="16.05" customHeight="1">
      <c r="A4544" s="152" t="s">
        <v>4605</v>
      </c>
      <c r="B4544" s="153">
        <v>1593</v>
      </c>
      <c r="C4544" s="126" t="s">
        <v>2443</v>
      </c>
      <c r="D4544">
        <v>3067</v>
      </c>
      <c r="E4544" s="126" t="e">
        <v>#N/A</v>
      </c>
      <c r="F4544" s="125" t="e">
        <v>#N/A</v>
      </c>
      <c r="G4544" s="125" t="e">
        <v>#N/A</v>
      </c>
      <c r="H4544">
        <v>36</v>
      </c>
      <c r="I4544" s="125" t="e">
        <v>#N/A</v>
      </c>
      <c r="J4544" s="308" t="s">
        <v>214</v>
      </c>
      <c r="K4544" s="127" t="s">
        <v>4625</v>
      </c>
      <c r="L4544" s="153" t="s">
        <v>1579</v>
      </c>
      <c r="M4544">
        <v>1119</v>
      </c>
      <c r="N4544" s="123">
        <v>17</v>
      </c>
      <c r="O4544">
        <v>2929</v>
      </c>
      <c r="P4544" s="132" t="s">
        <v>77</v>
      </c>
      <c r="Q4544" s="132">
        <v>153.46</v>
      </c>
      <c r="R4544" s="132">
        <v>24.55</v>
      </c>
      <c r="S4544" s="132"/>
      <c r="T4544" s="156"/>
      <c r="U4544" s="132"/>
      <c r="V4544" s="132">
        <v>178.01000000000002</v>
      </c>
      <c r="W4544">
        <v>227</v>
      </c>
      <c r="X4544" s="153" t="s">
        <v>1644</v>
      </c>
      <c r="Y4544" s="124" t="s">
        <v>55</v>
      </c>
      <c r="Z4544" s="308" t="s">
        <v>214</v>
      </c>
      <c r="AB4544" t="str">
        <f>IF(Table1[[#This Row],[TIPO2]]="costo", VLOOKUP(Table1[[#This Row],[PARTIDA PRESUPUESTAL]],'Cost Report'!G:G,1,0),"Balance")</f>
        <v>2080-003</v>
      </c>
      <c r="AC4544" s="118"/>
      <c r="AD4544" s="159">
        <f>+Table1[[#This Row],[SUBTOTAL]]+Table1[[#This Row],[IVA]]-Table1[[#This Row],[RET IVA]]-Table1[[#This Row],[RET ISR]]-Table1[[#This Row],[TOTAL]]</f>
        <v>0</v>
      </c>
      <c r="AE4544" s="152"/>
      <c r="AF4544" s="153"/>
      <c r="AG4544" s="126" t="s">
        <v>3420</v>
      </c>
      <c r="AK4544" s="306" t="str">
        <f>IF(ISNUMBER(Table1[[#This Row],[FECHA DE RECIBIDO]]), Table1[[#This Row],[FECHA DE RECIBIDO]]-DATE(2023,8,30), "")</f>
        <v/>
      </c>
    </row>
    <row r="4545" spans="1:37" ht="16.05" customHeight="1">
      <c r="A4545" s="150" t="s">
        <v>4605</v>
      </c>
      <c r="B4545" s="151">
        <v>1593</v>
      </c>
      <c r="C4545" s="126" t="s">
        <v>2443</v>
      </c>
      <c r="D4545">
        <v>3068</v>
      </c>
      <c r="E4545" s="126" t="s">
        <v>3677</v>
      </c>
      <c r="F4545" s="122" t="s">
        <v>1607</v>
      </c>
      <c r="G4545" s="122" t="s">
        <v>134</v>
      </c>
      <c r="H4545">
        <v>739</v>
      </c>
      <c r="I4545" s="122" t="s">
        <v>1546</v>
      </c>
      <c r="J4545" s="307" t="s">
        <v>214</v>
      </c>
      <c r="K4545" s="127" t="s">
        <v>4625</v>
      </c>
      <c r="L4545" s="151" t="s">
        <v>1579</v>
      </c>
      <c r="M4545">
        <v>1034</v>
      </c>
      <c r="N4545" s="123">
        <v>17</v>
      </c>
      <c r="O4545">
        <v>2930</v>
      </c>
      <c r="P4545" s="132" t="s">
        <v>77</v>
      </c>
      <c r="Q4545" s="131">
        <v>1551.72</v>
      </c>
      <c r="R4545" s="131">
        <v>248.28</v>
      </c>
      <c r="S4545" s="131"/>
      <c r="T4545" s="155"/>
      <c r="U4545" s="131"/>
      <c r="V4545" s="131">
        <v>1800</v>
      </c>
      <c r="W4545">
        <v>227</v>
      </c>
      <c r="X4545" s="151" t="s">
        <v>1644</v>
      </c>
      <c r="Y4545" s="135" t="s">
        <v>55</v>
      </c>
      <c r="Z4545" s="307" t="s">
        <v>214</v>
      </c>
      <c r="AB4545" t="str">
        <f>IF(Table1[[#This Row],[TIPO2]]="costo", VLOOKUP(Table1[[#This Row],[PARTIDA PRESUPUESTAL]],'Cost Report'!G:G,1,0),"Balance")</f>
        <v>2080-003</v>
      </c>
      <c r="AC4545" s="118"/>
      <c r="AD4545" s="159">
        <f>+Table1[[#This Row],[SUBTOTAL]]+Table1[[#This Row],[IVA]]-Table1[[#This Row],[RET IVA]]-Table1[[#This Row],[RET ISR]]-Table1[[#This Row],[TOTAL]]</f>
        <v>0</v>
      </c>
      <c r="AE4545" s="150"/>
      <c r="AF4545" s="151"/>
      <c r="AG4545" s="126" t="s">
        <v>3420</v>
      </c>
      <c r="AK4545" s="306" t="str">
        <f>IF(ISNUMBER(Table1[[#This Row],[FECHA DE RECIBIDO]]), Table1[[#This Row],[FECHA DE RECIBIDO]]-DATE(2023,8,30), "")</f>
        <v/>
      </c>
    </row>
    <row r="4546" spans="1:37" ht="16.05" customHeight="1">
      <c r="A4546" s="152" t="s">
        <v>4605</v>
      </c>
      <c r="B4546" s="153">
        <v>1593</v>
      </c>
      <c r="C4546" s="126" t="s">
        <v>2952</v>
      </c>
      <c r="D4546">
        <v>3069</v>
      </c>
      <c r="E4546" s="126" t="s">
        <v>1624</v>
      </c>
      <c r="F4546" s="125" t="s">
        <v>1607</v>
      </c>
      <c r="G4546" s="125" t="s">
        <v>134</v>
      </c>
      <c r="H4546">
        <v>46</v>
      </c>
      <c r="I4546" s="125" t="s">
        <v>1546</v>
      </c>
      <c r="J4546" s="308" t="s">
        <v>214</v>
      </c>
      <c r="K4546" s="127" t="s">
        <v>4625</v>
      </c>
      <c r="L4546" s="153" t="s">
        <v>1579</v>
      </c>
      <c r="M4546">
        <v>58</v>
      </c>
      <c r="N4546" s="123">
        <v>17</v>
      </c>
      <c r="O4546">
        <v>2931</v>
      </c>
      <c r="P4546" s="132" t="s">
        <v>77</v>
      </c>
      <c r="Q4546" s="132">
        <v>858.94</v>
      </c>
      <c r="R4546" s="132">
        <v>137.43</v>
      </c>
      <c r="S4546" s="132"/>
      <c r="T4546" s="156"/>
      <c r="U4546" s="132"/>
      <c r="V4546" s="132">
        <v>996.37000000000012</v>
      </c>
      <c r="W4546">
        <v>227</v>
      </c>
      <c r="X4546" s="153" t="s">
        <v>1644</v>
      </c>
      <c r="Y4546" s="124" t="s">
        <v>55</v>
      </c>
      <c r="Z4546" s="308" t="s">
        <v>214</v>
      </c>
      <c r="AB4546" t="str">
        <f>IF(Table1[[#This Row],[TIPO2]]="costo", VLOOKUP(Table1[[#This Row],[PARTIDA PRESUPUESTAL]],'Cost Report'!G:G,1,0),"Balance")</f>
        <v>3901-048</v>
      </c>
      <c r="AC4546" s="118"/>
      <c r="AD4546" s="159">
        <f>+Table1[[#This Row],[SUBTOTAL]]+Table1[[#This Row],[IVA]]-Table1[[#This Row],[RET IVA]]-Table1[[#This Row],[RET ISR]]-Table1[[#This Row],[TOTAL]]</f>
        <v>0</v>
      </c>
      <c r="AE4546" s="152"/>
      <c r="AF4546" s="153"/>
      <c r="AG4546" s="126" t="s">
        <v>3420</v>
      </c>
      <c r="AK4546" s="306" t="str">
        <f>IF(ISNUMBER(Table1[[#This Row],[FECHA DE RECIBIDO]]), Table1[[#This Row],[FECHA DE RECIBIDO]]-DATE(2023,8,30), "")</f>
        <v/>
      </c>
    </row>
    <row r="4547" spans="1:37" ht="16.05" customHeight="1">
      <c r="A4547" s="150" t="s">
        <v>4605</v>
      </c>
      <c r="B4547" s="151">
        <v>1593</v>
      </c>
      <c r="C4547" s="126" t="s">
        <v>2952</v>
      </c>
      <c r="D4547">
        <v>3070</v>
      </c>
      <c r="E4547" s="126" t="s">
        <v>2064</v>
      </c>
      <c r="F4547" s="122" t="s">
        <v>1593</v>
      </c>
      <c r="G4547" s="122" t="s">
        <v>109</v>
      </c>
      <c r="H4547">
        <v>811</v>
      </c>
      <c r="I4547" s="122" t="s">
        <v>1546</v>
      </c>
      <c r="J4547" s="307" t="s">
        <v>214</v>
      </c>
      <c r="K4547" s="127" t="s">
        <v>4625</v>
      </c>
      <c r="L4547" s="151" t="s">
        <v>1579</v>
      </c>
      <c r="M4547">
        <v>1120</v>
      </c>
      <c r="N4547" s="123">
        <v>17</v>
      </c>
      <c r="O4547">
        <v>2932</v>
      </c>
      <c r="P4547" s="132" t="s">
        <v>77</v>
      </c>
      <c r="Q4547" s="131">
        <v>344.83</v>
      </c>
      <c r="R4547" s="131">
        <v>55.17</v>
      </c>
      <c r="S4547" s="131"/>
      <c r="T4547" s="155"/>
      <c r="U4547" s="131"/>
      <c r="V4547" s="131">
        <v>400</v>
      </c>
      <c r="W4547">
        <v>227</v>
      </c>
      <c r="X4547" s="151" t="s">
        <v>1644</v>
      </c>
      <c r="Y4547" s="135" t="s">
        <v>55</v>
      </c>
      <c r="Z4547" s="307" t="s">
        <v>214</v>
      </c>
      <c r="AB4547" t="str">
        <f>IF(Table1[[#This Row],[TIPO2]]="costo", VLOOKUP(Table1[[#This Row],[PARTIDA PRESUPUESTAL]],'Cost Report'!G:G,1,0),"Balance")</f>
        <v>3901-048</v>
      </c>
      <c r="AC4547" s="118"/>
      <c r="AD4547" s="159">
        <f>+Table1[[#This Row],[SUBTOTAL]]+Table1[[#This Row],[IVA]]-Table1[[#This Row],[RET IVA]]-Table1[[#This Row],[RET ISR]]-Table1[[#This Row],[TOTAL]]</f>
        <v>0</v>
      </c>
      <c r="AE4547" s="150"/>
      <c r="AF4547" s="151"/>
      <c r="AG4547" s="126" t="s">
        <v>3420</v>
      </c>
      <c r="AK4547" s="306" t="str">
        <f>IF(ISNUMBER(Table1[[#This Row],[FECHA DE RECIBIDO]]), Table1[[#This Row],[FECHA DE RECIBIDO]]-DATE(2023,8,30), "")</f>
        <v/>
      </c>
    </row>
    <row r="4548" spans="1:37" ht="16.05" customHeight="1">
      <c r="A4548" s="152" t="s">
        <v>4605</v>
      </c>
      <c r="B4548" s="153">
        <v>1593</v>
      </c>
      <c r="C4548" s="126" t="s">
        <v>977</v>
      </c>
      <c r="D4548">
        <v>3071</v>
      </c>
      <c r="E4548" s="126" t="s">
        <v>3292</v>
      </c>
      <c r="F4548" s="125" t="s">
        <v>1607</v>
      </c>
      <c r="G4548" s="125" t="s">
        <v>134</v>
      </c>
      <c r="H4548">
        <v>251</v>
      </c>
      <c r="I4548" s="125" t="s">
        <v>1546</v>
      </c>
      <c r="J4548" s="308" t="s">
        <v>214</v>
      </c>
      <c r="K4548" s="127" t="s">
        <v>4625</v>
      </c>
      <c r="L4548" s="153" t="s">
        <v>1579</v>
      </c>
      <c r="M4548">
        <v>1121</v>
      </c>
      <c r="N4548" s="123">
        <v>17</v>
      </c>
      <c r="O4548">
        <v>2933</v>
      </c>
      <c r="P4548" s="132" t="s">
        <v>77</v>
      </c>
      <c r="Q4548" s="132">
        <v>1732.76</v>
      </c>
      <c r="R4548" s="132">
        <v>277.24</v>
      </c>
      <c r="S4548" s="132"/>
      <c r="T4548" s="156"/>
      <c r="U4548" s="132"/>
      <c r="V4548" s="132">
        <v>2010</v>
      </c>
      <c r="W4548">
        <v>227</v>
      </c>
      <c r="X4548" s="153" t="s">
        <v>1644</v>
      </c>
      <c r="Y4548" s="124" t="s">
        <v>55</v>
      </c>
      <c r="Z4548" s="308" t="s">
        <v>214</v>
      </c>
      <c r="AB4548" t="str">
        <f>IF(Table1[[#This Row],[TIPO2]]="costo", VLOOKUP(Table1[[#This Row],[PARTIDA PRESUPUESTAL]],'Cost Report'!G:G,1,0),"Balance")</f>
        <v>3410-012</v>
      </c>
      <c r="AC4548" s="118"/>
      <c r="AD4548" s="159">
        <f>+Table1[[#This Row],[SUBTOTAL]]+Table1[[#This Row],[IVA]]-Table1[[#This Row],[RET IVA]]-Table1[[#This Row],[RET ISR]]-Table1[[#This Row],[TOTAL]]</f>
        <v>0</v>
      </c>
      <c r="AE4548" s="152"/>
      <c r="AF4548" s="153"/>
      <c r="AG4548" s="126" t="s">
        <v>3420</v>
      </c>
      <c r="AK4548" s="306" t="str">
        <f>IF(ISNUMBER(Table1[[#This Row],[FECHA DE RECIBIDO]]), Table1[[#This Row],[FECHA DE RECIBIDO]]-DATE(2023,8,30), "")</f>
        <v/>
      </c>
    </row>
    <row r="4549" spans="1:37" ht="16.05" customHeight="1">
      <c r="A4549" s="150" t="s">
        <v>4605</v>
      </c>
      <c r="B4549" s="151">
        <v>1593</v>
      </c>
      <c r="C4549" s="126" t="s">
        <v>2443</v>
      </c>
      <c r="D4549">
        <v>3072</v>
      </c>
      <c r="E4549" s="126" t="s">
        <v>1598</v>
      </c>
      <c r="F4549" s="122" t="s">
        <v>1607</v>
      </c>
      <c r="G4549" s="122" t="s">
        <v>134</v>
      </c>
      <c r="H4549">
        <v>41</v>
      </c>
      <c r="I4549" s="122" t="s">
        <v>1546</v>
      </c>
      <c r="J4549" s="307" t="s">
        <v>214</v>
      </c>
      <c r="K4549" s="127" t="s">
        <v>4625</v>
      </c>
      <c r="L4549" s="151" t="s">
        <v>1579</v>
      </c>
      <c r="M4549">
        <v>323</v>
      </c>
      <c r="N4549" s="123">
        <v>17</v>
      </c>
      <c r="O4549">
        <v>2934</v>
      </c>
      <c r="P4549" s="132" t="s">
        <v>77</v>
      </c>
      <c r="Q4549" s="131">
        <v>256.89999999999998</v>
      </c>
      <c r="R4549" s="131">
        <v>41.1</v>
      </c>
      <c r="S4549" s="131"/>
      <c r="T4549" s="155"/>
      <c r="U4549" s="131"/>
      <c r="V4549" s="131">
        <v>298</v>
      </c>
      <c r="W4549">
        <v>227</v>
      </c>
      <c r="X4549" s="151" t="s">
        <v>1644</v>
      </c>
      <c r="Y4549" s="135" t="s">
        <v>55</v>
      </c>
      <c r="Z4549" s="307">
        <v>188</v>
      </c>
      <c r="AB4549" t="str">
        <f>IF(Table1[[#This Row],[TIPO2]]="costo", VLOOKUP(Table1[[#This Row],[PARTIDA PRESUPUESTAL]],'Cost Report'!G:G,1,0),"Balance")</f>
        <v>2080-003</v>
      </c>
      <c r="AC4549" s="118"/>
      <c r="AD4549" s="159">
        <f>+Table1[[#This Row],[SUBTOTAL]]+Table1[[#This Row],[IVA]]-Table1[[#This Row],[RET IVA]]-Table1[[#This Row],[RET ISR]]-Table1[[#This Row],[TOTAL]]</f>
        <v>0</v>
      </c>
      <c r="AE4549" s="150"/>
      <c r="AF4549" s="151"/>
      <c r="AG4549" s="126" t="s">
        <v>3420</v>
      </c>
      <c r="AK4549" s="306" t="str">
        <f>IF(ISNUMBER(Table1[[#This Row],[FECHA DE RECIBIDO]]), Table1[[#This Row],[FECHA DE RECIBIDO]]-DATE(2023,8,30), "")</f>
        <v/>
      </c>
    </row>
    <row r="4550" spans="1:37" ht="16.05" customHeight="1">
      <c r="A4550" s="152" t="s">
        <v>4605</v>
      </c>
      <c r="B4550" s="153">
        <v>1593</v>
      </c>
      <c r="C4550" s="126" t="s">
        <v>2833</v>
      </c>
      <c r="D4550">
        <v>3073</v>
      </c>
      <c r="E4550" s="126" t="s">
        <v>3356</v>
      </c>
      <c r="F4550" s="125" t="s">
        <v>1607</v>
      </c>
      <c r="G4550" s="125" t="s">
        <v>134</v>
      </c>
      <c r="H4550">
        <v>91</v>
      </c>
      <c r="I4550" s="125" t="s">
        <v>1546</v>
      </c>
      <c r="J4550" s="308" t="s">
        <v>214</v>
      </c>
      <c r="K4550" s="127" t="s">
        <v>4625</v>
      </c>
      <c r="L4550" s="153" t="s">
        <v>1579</v>
      </c>
      <c r="M4550">
        <v>122</v>
      </c>
      <c r="N4550" s="123">
        <v>17</v>
      </c>
      <c r="O4550">
        <v>2935</v>
      </c>
      <c r="P4550" s="132" t="s">
        <v>77</v>
      </c>
      <c r="Q4550" s="132">
        <v>293.95</v>
      </c>
      <c r="R4550" s="132"/>
      <c r="S4550" s="132"/>
      <c r="T4550" s="156"/>
      <c r="U4550" s="132"/>
      <c r="V4550" s="132">
        <v>293.95</v>
      </c>
      <c r="W4550">
        <v>227</v>
      </c>
      <c r="X4550" s="153" t="s">
        <v>1644</v>
      </c>
      <c r="Y4550" s="124" t="s">
        <v>55</v>
      </c>
      <c r="Z4550" s="308">
        <v>341</v>
      </c>
      <c r="AB4550" t="str">
        <f>IF(Table1[[#This Row],[TIPO2]]="costo", VLOOKUP(Table1[[#This Row],[PARTIDA PRESUPUESTAL]],'Cost Report'!G:G,1,0),"Balance")</f>
        <v>3416-015</v>
      </c>
      <c r="AC4550" s="118"/>
      <c r="AD4550" s="159">
        <f>+Table1[[#This Row],[SUBTOTAL]]+Table1[[#This Row],[IVA]]-Table1[[#This Row],[RET IVA]]-Table1[[#This Row],[RET ISR]]-Table1[[#This Row],[TOTAL]]</f>
        <v>0</v>
      </c>
      <c r="AE4550" s="152"/>
      <c r="AF4550" s="153"/>
      <c r="AG4550" s="126" t="s">
        <v>3420</v>
      </c>
      <c r="AK4550" s="306" t="str">
        <f>IF(ISNUMBER(Table1[[#This Row],[FECHA DE RECIBIDO]]), Table1[[#This Row],[FECHA DE RECIBIDO]]-DATE(2023,8,30), "")</f>
        <v/>
      </c>
    </row>
    <row r="4551" spans="1:37" ht="16.05" customHeight="1">
      <c r="A4551" s="150" t="s">
        <v>4605</v>
      </c>
      <c r="B4551" s="151">
        <v>1593</v>
      </c>
      <c r="C4551" s="126" t="s">
        <v>977</v>
      </c>
      <c r="D4551">
        <v>3074</v>
      </c>
      <c r="E4551" s="126" t="s">
        <v>1598</v>
      </c>
      <c r="F4551" s="122" t="s">
        <v>1607</v>
      </c>
      <c r="G4551" s="122" t="s">
        <v>134</v>
      </c>
      <c r="H4551">
        <v>812</v>
      </c>
      <c r="I4551" s="122" t="s">
        <v>1546</v>
      </c>
      <c r="J4551" s="307" t="s">
        <v>214</v>
      </c>
      <c r="K4551" s="127" t="s">
        <v>4625</v>
      </c>
      <c r="L4551" s="151" t="s">
        <v>1579</v>
      </c>
      <c r="M4551">
        <v>1122</v>
      </c>
      <c r="N4551" s="123">
        <v>17</v>
      </c>
      <c r="O4551">
        <v>2936</v>
      </c>
      <c r="P4551" s="132" t="s">
        <v>77</v>
      </c>
      <c r="Q4551" s="131">
        <v>394.83</v>
      </c>
      <c r="R4551" s="131">
        <v>63.17</v>
      </c>
      <c r="S4551" s="131"/>
      <c r="T4551" s="155"/>
      <c r="U4551" s="131"/>
      <c r="V4551" s="131">
        <v>458</v>
      </c>
      <c r="W4551">
        <v>227</v>
      </c>
      <c r="X4551" s="151" t="s">
        <v>1644</v>
      </c>
      <c r="Y4551" s="135" t="s">
        <v>55</v>
      </c>
      <c r="Z4551" s="307">
        <v>341</v>
      </c>
      <c r="AB4551" t="str">
        <f>IF(Table1[[#This Row],[TIPO2]]="costo", VLOOKUP(Table1[[#This Row],[PARTIDA PRESUPUESTAL]],'Cost Report'!G:G,1,0),"Balance")</f>
        <v>3410-012</v>
      </c>
      <c r="AC4551" s="118"/>
      <c r="AD4551" s="159">
        <f>+Table1[[#This Row],[SUBTOTAL]]+Table1[[#This Row],[IVA]]-Table1[[#This Row],[RET IVA]]-Table1[[#This Row],[RET ISR]]-Table1[[#This Row],[TOTAL]]</f>
        <v>0</v>
      </c>
      <c r="AE4551" s="150"/>
      <c r="AF4551" s="151"/>
      <c r="AG4551" s="126" t="s">
        <v>3420</v>
      </c>
      <c r="AK4551" s="306" t="str">
        <f>IF(ISNUMBER(Table1[[#This Row],[FECHA DE RECIBIDO]]), Table1[[#This Row],[FECHA DE RECIBIDO]]-DATE(2023,8,30), "")</f>
        <v/>
      </c>
    </row>
    <row r="4552" spans="1:37" ht="16.05" customHeight="1">
      <c r="A4552" s="152" t="s">
        <v>4605</v>
      </c>
      <c r="B4552" s="153">
        <v>1593</v>
      </c>
      <c r="C4552" s="126" t="s">
        <v>977</v>
      </c>
      <c r="D4552">
        <v>3075</v>
      </c>
      <c r="E4552" s="126" t="s">
        <v>1598</v>
      </c>
      <c r="F4552" s="125" t="s">
        <v>1607</v>
      </c>
      <c r="G4552" s="125" t="s">
        <v>134</v>
      </c>
      <c r="H4552">
        <v>813</v>
      </c>
      <c r="I4552" s="125" t="s">
        <v>1546</v>
      </c>
      <c r="J4552" s="308" t="s">
        <v>214</v>
      </c>
      <c r="K4552" s="127" t="s">
        <v>4625</v>
      </c>
      <c r="L4552" s="153" t="s">
        <v>1579</v>
      </c>
      <c r="M4552">
        <v>1123</v>
      </c>
      <c r="N4552" s="123">
        <v>17</v>
      </c>
      <c r="O4552">
        <v>2936</v>
      </c>
      <c r="P4552" s="132" t="s">
        <v>77</v>
      </c>
      <c r="Q4552" s="132">
        <v>597.41</v>
      </c>
      <c r="R4552" s="132">
        <v>95.59</v>
      </c>
      <c r="S4552" s="132"/>
      <c r="T4552" s="156"/>
      <c r="U4552" s="132"/>
      <c r="V4552" s="132">
        <v>693</v>
      </c>
      <c r="W4552">
        <v>227</v>
      </c>
      <c r="X4552" s="153" t="s">
        <v>1644</v>
      </c>
      <c r="Y4552" s="124" t="s">
        <v>55</v>
      </c>
      <c r="Z4552" s="308">
        <v>372</v>
      </c>
      <c r="AB4552" t="str">
        <f>IF(Table1[[#This Row],[TIPO2]]="costo", VLOOKUP(Table1[[#This Row],[PARTIDA PRESUPUESTAL]],'Cost Report'!G:G,1,0),"Balance")</f>
        <v>3410-012</v>
      </c>
      <c r="AC4552" s="118"/>
      <c r="AD4552" s="159">
        <f>+Table1[[#This Row],[SUBTOTAL]]+Table1[[#This Row],[IVA]]-Table1[[#This Row],[RET IVA]]-Table1[[#This Row],[RET ISR]]-Table1[[#This Row],[TOTAL]]</f>
        <v>0</v>
      </c>
      <c r="AE4552" s="152"/>
      <c r="AF4552" s="153"/>
      <c r="AG4552" s="126" t="s">
        <v>3420</v>
      </c>
      <c r="AK4552" s="306" t="str">
        <f>IF(ISNUMBER(Table1[[#This Row],[FECHA DE RECIBIDO]]), Table1[[#This Row],[FECHA DE RECIBIDO]]-DATE(2023,8,30), "")</f>
        <v/>
      </c>
    </row>
    <row r="4553" spans="1:37" ht="16.05" customHeight="1">
      <c r="A4553" s="150" t="s">
        <v>4605</v>
      </c>
      <c r="B4553" s="151">
        <v>1593</v>
      </c>
      <c r="C4553" s="126" t="s">
        <v>2443</v>
      </c>
      <c r="D4553">
        <v>3076</v>
      </c>
      <c r="E4553" s="126" t="s">
        <v>3264</v>
      </c>
      <c r="F4553" s="122" t="s">
        <v>1607</v>
      </c>
      <c r="G4553" s="122" t="s">
        <v>134</v>
      </c>
      <c r="H4553">
        <v>41</v>
      </c>
      <c r="I4553" s="122" t="s">
        <v>1546</v>
      </c>
      <c r="J4553" s="307" t="s">
        <v>214</v>
      </c>
      <c r="K4553" s="127" t="s">
        <v>4625</v>
      </c>
      <c r="L4553" s="151" t="s">
        <v>1579</v>
      </c>
      <c r="M4553">
        <v>323</v>
      </c>
      <c r="N4553" s="123">
        <v>17</v>
      </c>
      <c r="O4553">
        <v>2937</v>
      </c>
      <c r="P4553" s="132" t="s">
        <v>77</v>
      </c>
      <c r="Q4553" s="131">
        <v>965.52</v>
      </c>
      <c r="R4553" s="131">
        <v>154.47999999999999</v>
      </c>
      <c r="S4553" s="131"/>
      <c r="T4553" s="155"/>
      <c r="U4553" s="131"/>
      <c r="V4553" s="131">
        <v>1120</v>
      </c>
      <c r="W4553">
        <v>227</v>
      </c>
      <c r="X4553" s="151" t="s">
        <v>1644</v>
      </c>
      <c r="Y4553" s="135" t="s">
        <v>55</v>
      </c>
      <c r="Z4553" s="307">
        <v>372</v>
      </c>
      <c r="AB4553" t="str">
        <f>IF(Table1[[#This Row],[TIPO2]]="costo", VLOOKUP(Table1[[#This Row],[PARTIDA PRESUPUESTAL]],'Cost Report'!G:G,1,0),"Balance")</f>
        <v>2080-003</v>
      </c>
      <c r="AC4553" s="118"/>
      <c r="AD4553" s="159">
        <f>+Table1[[#This Row],[SUBTOTAL]]+Table1[[#This Row],[IVA]]-Table1[[#This Row],[RET IVA]]-Table1[[#This Row],[RET ISR]]-Table1[[#This Row],[TOTAL]]</f>
        <v>0</v>
      </c>
      <c r="AE4553" s="150"/>
      <c r="AF4553" s="151"/>
      <c r="AG4553" s="126" t="s">
        <v>3420</v>
      </c>
      <c r="AK4553" s="306" t="str">
        <f>IF(ISNUMBER(Table1[[#This Row],[FECHA DE RECIBIDO]]), Table1[[#This Row],[FECHA DE RECIBIDO]]-DATE(2023,8,30), "")</f>
        <v/>
      </c>
    </row>
    <row r="4554" spans="1:37" ht="16.05" customHeight="1">
      <c r="A4554" s="152" t="s">
        <v>4605</v>
      </c>
      <c r="B4554" s="153">
        <v>1593</v>
      </c>
      <c r="C4554" s="126" t="s">
        <v>977</v>
      </c>
      <c r="D4554">
        <v>3077</v>
      </c>
      <c r="E4554" s="126" t="s">
        <v>3354</v>
      </c>
      <c r="F4554" s="125" t="s">
        <v>1589</v>
      </c>
      <c r="G4554" s="125" t="s">
        <v>129</v>
      </c>
      <c r="H4554">
        <v>814</v>
      </c>
      <c r="I4554" s="125" t="s">
        <v>1546</v>
      </c>
      <c r="J4554" s="308" t="s">
        <v>214</v>
      </c>
      <c r="K4554" s="127" t="s">
        <v>4625</v>
      </c>
      <c r="L4554" s="153" t="s">
        <v>1579</v>
      </c>
      <c r="M4554">
        <v>1124</v>
      </c>
      <c r="N4554" s="123">
        <v>17</v>
      </c>
      <c r="O4554">
        <v>2938</v>
      </c>
      <c r="P4554" s="132" t="s">
        <v>77</v>
      </c>
      <c r="Q4554" s="132">
        <v>2508.62</v>
      </c>
      <c r="R4554" s="132">
        <v>401.38</v>
      </c>
      <c r="S4554" s="132"/>
      <c r="T4554" s="156"/>
      <c r="U4554" s="132"/>
      <c r="V4554" s="132">
        <v>2910</v>
      </c>
      <c r="W4554">
        <v>227</v>
      </c>
      <c r="X4554" s="153" t="s">
        <v>1644</v>
      </c>
      <c r="Y4554" s="124" t="s">
        <v>55</v>
      </c>
      <c r="Z4554" s="308">
        <v>372</v>
      </c>
      <c r="AB4554" t="str">
        <f>IF(Table1[[#This Row],[TIPO2]]="costo", VLOOKUP(Table1[[#This Row],[PARTIDA PRESUPUESTAL]],'Cost Report'!G:G,1,0),"Balance")</f>
        <v>3410-012</v>
      </c>
      <c r="AC4554" s="118"/>
      <c r="AD4554" s="159">
        <f>+Table1[[#This Row],[SUBTOTAL]]+Table1[[#This Row],[IVA]]-Table1[[#This Row],[RET IVA]]-Table1[[#This Row],[RET ISR]]-Table1[[#This Row],[TOTAL]]</f>
        <v>0</v>
      </c>
      <c r="AE4554" s="152"/>
      <c r="AF4554" s="153"/>
      <c r="AG4554" s="126" t="s">
        <v>3420</v>
      </c>
      <c r="AK4554" s="306" t="str">
        <f>IF(ISNUMBER(Table1[[#This Row],[FECHA DE RECIBIDO]]), Table1[[#This Row],[FECHA DE RECIBIDO]]-DATE(2023,8,30), "")</f>
        <v/>
      </c>
    </row>
    <row r="4555" spans="1:37" ht="16.05" customHeight="1">
      <c r="A4555" s="150" t="s">
        <v>4605</v>
      </c>
      <c r="B4555" s="151">
        <v>1593</v>
      </c>
      <c r="C4555" s="126" t="s">
        <v>2833</v>
      </c>
      <c r="D4555">
        <v>689</v>
      </c>
      <c r="E4555" s="126"/>
      <c r="F4555" s="122"/>
      <c r="G4555" s="122"/>
      <c r="H4555"/>
      <c r="I4555" s="122"/>
      <c r="J4555" s="307" t="s">
        <v>214</v>
      </c>
      <c r="K4555" s="127" t="s">
        <v>4625</v>
      </c>
      <c r="L4555" s="151" t="s">
        <v>1579</v>
      </c>
      <c r="M4555">
        <v>514</v>
      </c>
      <c r="N4555" s="123">
        <v>17</v>
      </c>
      <c r="O4555">
        <v>2939</v>
      </c>
      <c r="P4555" s="132" t="s">
        <v>77</v>
      </c>
      <c r="Q4555" s="131">
        <v>65</v>
      </c>
      <c r="R4555" s="131"/>
      <c r="S4555" s="131"/>
      <c r="T4555" s="155"/>
      <c r="U4555" s="131"/>
      <c r="V4555" s="131">
        <v>65</v>
      </c>
      <c r="W4555">
        <v>227</v>
      </c>
      <c r="X4555" s="151" t="s">
        <v>1644</v>
      </c>
      <c r="Y4555" s="135" t="s">
        <v>55</v>
      </c>
      <c r="Z4555" s="307">
        <v>248</v>
      </c>
      <c r="AB4555" t="str">
        <f>IF(Table1[[#This Row],[TIPO2]]="costo", VLOOKUP(Table1[[#This Row],[PARTIDA PRESUPUESTAL]],'Cost Report'!G:G,1,0),"Balance")</f>
        <v>3416-015</v>
      </c>
      <c r="AC4555" s="118"/>
      <c r="AD4555" s="159">
        <f>+Table1[[#This Row],[SUBTOTAL]]+Table1[[#This Row],[IVA]]-Table1[[#This Row],[RET IVA]]-Table1[[#This Row],[RET ISR]]-Table1[[#This Row],[TOTAL]]</f>
        <v>0</v>
      </c>
      <c r="AE4555" s="150"/>
      <c r="AF4555" s="151"/>
      <c r="AG4555" s="126" t="s">
        <v>3420</v>
      </c>
      <c r="AK4555" s="306" t="str">
        <f>IF(ISNUMBER(Table1[[#This Row],[FECHA DE RECIBIDO]]), Table1[[#This Row],[FECHA DE RECIBIDO]]-DATE(2023,8,30), "")</f>
        <v/>
      </c>
    </row>
    <row r="4556" spans="1:37" ht="16.05" customHeight="1">
      <c r="A4556" s="152" t="s">
        <v>4605</v>
      </c>
      <c r="B4556" s="153">
        <v>1593</v>
      </c>
      <c r="C4556" s="126" t="s">
        <v>2833</v>
      </c>
      <c r="D4556">
        <v>689</v>
      </c>
      <c r="E4556" s="126"/>
      <c r="F4556" s="125"/>
      <c r="G4556" s="125"/>
      <c r="H4556"/>
      <c r="I4556" s="125"/>
      <c r="J4556" s="308" t="s">
        <v>214</v>
      </c>
      <c r="K4556" s="127" t="s">
        <v>4625</v>
      </c>
      <c r="L4556" s="153" t="s">
        <v>1579</v>
      </c>
      <c r="M4556">
        <v>514</v>
      </c>
      <c r="N4556" s="123">
        <v>17</v>
      </c>
      <c r="O4556">
        <v>2939</v>
      </c>
      <c r="P4556" s="132" t="s">
        <v>77</v>
      </c>
      <c r="Q4556" s="132">
        <v>274.76</v>
      </c>
      <c r="R4556" s="132"/>
      <c r="S4556" s="132"/>
      <c r="T4556" s="156"/>
      <c r="U4556" s="132"/>
      <c r="V4556" s="132">
        <v>274.76</v>
      </c>
      <c r="W4556">
        <v>227</v>
      </c>
      <c r="X4556" s="153" t="s">
        <v>1644</v>
      </c>
      <c r="Y4556" s="124" t="s">
        <v>55</v>
      </c>
      <c r="Z4556" s="308">
        <v>248</v>
      </c>
      <c r="AB4556" t="str">
        <f>IF(Table1[[#This Row],[TIPO2]]="costo", VLOOKUP(Table1[[#This Row],[PARTIDA PRESUPUESTAL]],'Cost Report'!G:G,1,0),"Balance")</f>
        <v>3416-015</v>
      </c>
      <c r="AC4556" s="118"/>
      <c r="AD4556" s="159">
        <f>+Table1[[#This Row],[SUBTOTAL]]+Table1[[#This Row],[IVA]]-Table1[[#This Row],[RET IVA]]-Table1[[#This Row],[RET ISR]]-Table1[[#This Row],[TOTAL]]</f>
        <v>0</v>
      </c>
      <c r="AE4556" s="152"/>
      <c r="AF4556" s="153"/>
      <c r="AG4556" s="126" t="s">
        <v>3420</v>
      </c>
      <c r="AK4556" s="306" t="str">
        <f>IF(ISNUMBER(Table1[[#This Row],[FECHA DE RECIBIDO]]), Table1[[#This Row],[FECHA DE RECIBIDO]]-DATE(2023,8,30), "")</f>
        <v/>
      </c>
    </row>
    <row r="4557" spans="1:37" ht="16.05" customHeight="1">
      <c r="A4557" s="150" t="s">
        <v>4605</v>
      </c>
      <c r="B4557" s="151">
        <v>1593</v>
      </c>
      <c r="C4557" s="126" t="s">
        <v>2443</v>
      </c>
      <c r="D4557">
        <v>689</v>
      </c>
      <c r="E4557" s="126"/>
      <c r="F4557" s="122"/>
      <c r="G4557" s="122"/>
      <c r="H4557"/>
      <c r="I4557" s="122"/>
      <c r="J4557" s="307" t="s">
        <v>214</v>
      </c>
      <c r="K4557" s="127" t="s">
        <v>4625</v>
      </c>
      <c r="L4557" s="151" t="s">
        <v>1579</v>
      </c>
      <c r="M4557">
        <v>1125</v>
      </c>
      <c r="N4557" s="123">
        <v>17</v>
      </c>
      <c r="O4557">
        <v>2940</v>
      </c>
      <c r="P4557" s="132" t="s">
        <v>77</v>
      </c>
      <c r="Q4557" s="131">
        <v>500</v>
      </c>
      <c r="R4557" s="131"/>
      <c r="S4557" s="131"/>
      <c r="T4557" s="155"/>
      <c r="U4557" s="131"/>
      <c r="V4557" s="131">
        <v>500</v>
      </c>
      <c r="W4557">
        <v>227</v>
      </c>
      <c r="X4557" s="151" t="s">
        <v>1644</v>
      </c>
      <c r="Y4557" s="135" t="s">
        <v>55</v>
      </c>
      <c r="Z4557" s="307" t="s">
        <v>214</v>
      </c>
      <c r="AB4557" t="str">
        <f>IF(Table1[[#This Row],[TIPO2]]="costo", VLOOKUP(Table1[[#This Row],[PARTIDA PRESUPUESTAL]],'Cost Report'!G:G,1,0),"Balance")</f>
        <v>2080-003</v>
      </c>
      <c r="AC4557" s="118"/>
      <c r="AD4557" s="159">
        <f>+Table1[[#This Row],[SUBTOTAL]]+Table1[[#This Row],[IVA]]-Table1[[#This Row],[RET IVA]]-Table1[[#This Row],[RET ISR]]-Table1[[#This Row],[TOTAL]]</f>
        <v>0</v>
      </c>
      <c r="AE4557" s="150"/>
      <c r="AF4557" s="151"/>
      <c r="AG4557" s="126" t="s">
        <v>3420</v>
      </c>
      <c r="AK4557" s="306" t="str">
        <f>IF(ISNUMBER(Table1[[#This Row],[FECHA DE RECIBIDO]]), Table1[[#This Row],[FECHA DE RECIBIDO]]-DATE(2023,8,30), "")</f>
        <v/>
      </c>
    </row>
    <row r="4558" spans="1:37" ht="16.05" customHeight="1">
      <c r="A4558" s="152" t="s">
        <v>4605</v>
      </c>
      <c r="B4558" s="153">
        <v>1593</v>
      </c>
      <c r="C4558" s="126" t="s">
        <v>2443</v>
      </c>
      <c r="D4558">
        <v>689</v>
      </c>
      <c r="E4558" s="126"/>
      <c r="F4558" s="125"/>
      <c r="G4558" s="125"/>
      <c r="H4558"/>
      <c r="I4558" s="125"/>
      <c r="J4558" s="308" t="s">
        <v>214</v>
      </c>
      <c r="K4558" s="127" t="s">
        <v>4625</v>
      </c>
      <c r="L4558" s="153" t="s">
        <v>1579</v>
      </c>
      <c r="M4558">
        <v>1126</v>
      </c>
      <c r="N4558" s="123">
        <v>17</v>
      </c>
      <c r="O4558">
        <v>2941</v>
      </c>
      <c r="P4558" s="132" t="s">
        <v>77</v>
      </c>
      <c r="Q4558" s="132">
        <v>1000</v>
      </c>
      <c r="R4558" s="132"/>
      <c r="S4558" s="132"/>
      <c r="T4558" s="156"/>
      <c r="U4558" s="132"/>
      <c r="V4558" s="132">
        <v>1000</v>
      </c>
      <c r="W4558">
        <v>227</v>
      </c>
      <c r="X4558" s="153" t="s">
        <v>1644</v>
      </c>
      <c r="Y4558" s="124" t="s">
        <v>55</v>
      </c>
      <c r="Z4558" s="308" t="s">
        <v>214</v>
      </c>
      <c r="AB4558" t="str">
        <f>IF(Table1[[#This Row],[TIPO2]]="costo", VLOOKUP(Table1[[#This Row],[PARTIDA PRESUPUESTAL]],'Cost Report'!G:G,1,0),"Balance")</f>
        <v>2080-003</v>
      </c>
      <c r="AC4558" s="118"/>
      <c r="AD4558" s="159">
        <f>+Table1[[#This Row],[SUBTOTAL]]+Table1[[#This Row],[IVA]]-Table1[[#This Row],[RET IVA]]-Table1[[#This Row],[RET ISR]]-Table1[[#This Row],[TOTAL]]</f>
        <v>0</v>
      </c>
      <c r="AE4558" s="152"/>
      <c r="AF4558" s="153"/>
      <c r="AG4558" s="126" t="s">
        <v>3420</v>
      </c>
      <c r="AK4558" s="306" t="str">
        <f>IF(ISNUMBER(Table1[[#This Row],[FECHA DE RECIBIDO]]), Table1[[#This Row],[FECHA DE RECIBIDO]]-DATE(2023,8,30), "")</f>
        <v/>
      </c>
    </row>
    <row r="4559" spans="1:37" ht="16.05" customHeight="1">
      <c r="A4559" s="150" t="s">
        <v>4605</v>
      </c>
      <c r="B4559" s="151">
        <v>1593</v>
      </c>
      <c r="C4559" s="126" t="s">
        <v>2829</v>
      </c>
      <c r="D4559">
        <v>689</v>
      </c>
      <c r="E4559" s="126"/>
      <c r="F4559" s="122"/>
      <c r="G4559" s="122"/>
      <c r="H4559"/>
      <c r="I4559" s="122"/>
      <c r="J4559" s="307" t="s">
        <v>214</v>
      </c>
      <c r="K4559" s="127" t="s">
        <v>4625</v>
      </c>
      <c r="L4559" s="151" t="s">
        <v>1579</v>
      </c>
      <c r="M4559">
        <v>74</v>
      </c>
      <c r="N4559" s="123">
        <v>17</v>
      </c>
      <c r="O4559">
        <v>2942</v>
      </c>
      <c r="P4559" s="132" t="s">
        <v>77</v>
      </c>
      <c r="Q4559" s="131">
        <v>27</v>
      </c>
      <c r="R4559" s="131"/>
      <c r="S4559" s="131"/>
      <c r="T4559" s="155"/>
      <c r="U4559" s="131"/>
      <c r="V4559" s="131">
        <v>27</v>
      </c>
      <c r="W4559">
        <v>227</v>
      </c>
      <c r="X4559" s="151" t="s">
        <v>1644</v>
      </c>
      <c r="Y4559" s="135" t="s">
        <v>55</v>
      </c>
      <c r="Z4559" s="307" t="s">
        <v>214</v>
      </c>
      <c r="AB4559" t="str">
        <f>IF(Table1[[#This Row],[TIPO2]]="costo", VLOOKUP(Table1[[#This Row],[PARTIDA PRESUPUESTAL]],'Cost Report'!G:G,1,0),"Balance")</f>
        <v>3412-138</v>
      </c>
      <c r="AC4559" s="118"/>
      <c r="AD4559" s="159">
        <f>+Table1[[#This Row],[SUBTOTAL]]+Table1[[#This Row],[IVA]]-Table1[[#This Row],[RET IVA]]-Table1[[#This Row],[RET ISR]]-Table1[[#This Row],[TOTAL]]</f>
        <v>0</v>
      </c>
      <c r="AE4559" s="150"/>
      <c r="AF4559" s="151"/>
      <c r="AG4559" s="126" t="s">
        <v>3420</v>
      </c>
      <c r="AK4559" s="306" t="str">
        <f>IF(ISNUMBER(Table1[[#This Row],[FECHA DE RECIBIDO]]), Table1[[#This Row],[FECHA DE RECIBIDO]]-DATE(2023,8,30), "")</f>
        <v/>
      </c>
    </row>
    <row r="4560" spans="1:37" ht="16.05" customHeight="1">
      <c r="A4560" s="152" t="s">
        <v>4605</v>
      </c>
      <c r="B4560" s="153">
        <v>1593</v>
      </c>
      <c r="C4560" s="126" t="s">
        <v>3103</v>
      </c>
      <c r="D4560">
        <v>689</v>
      </c>
      <c r="E4560" s="126"/>
      <c r="F4560" s="125"/>
      <c r="G4560" s="125"/>
      <c r="H4560"/>
      <c r="I4560" s="125"/>
      <c r="J4560" s="308" t="s">
        <v>214</v>
      </c>
      <c r="K4560" s="127" t="s">
        <v>4625</v>
      </c>
      <c r="L4560" s="153" t="s">
        <v>1579</v>
      </c>
      <c r="M4560">
        <v>512</v>
      </c>
      <c r="N4560" s="123">
        <v>17</v>
      </c>
      <c r="O4560">
        <v>162</v>
      </c>
      <c r="P4560" s="132" t="s">
        <v>77</v>
      </c>
      <c r="Q4560" s="132">
        <v>34.22</v>
      </c>
      <c r="R4560" s="132"/>
      <c r="S4560" s="132"/>
      <c r="T4560" s="156"/>
      <c r="U4560" s="132"/>
      <c r="V4560" s="132">
        <v>34.22</v>
      </c>
      <c r="W4560">
        <v>227</v>
      </c>
      <c r="X4560" s="153" t="s">
        <v>1644</v>
      </c>
      <c r="Y4560" s="124" t="s">
        <v>55</v>
      </c>
      <c r="Z4560" s="308">
        <v>280</v>
      </c>
      <c r="AB4560" t="str">
        <f>IF(Table1[[#This Row],[TIPO2]]="costo", VLOOKUP(Table1[[#This Row],[PARTIDA PRESUPUESTAL]],'Cost Report'!G:G,1,0),"Balance")</f>
        <v>7038-009</v>
      </c>
      <c r="AC4560" s="118"/>
      <c r="AD4560" s="159">
        <f>+Table1[[#This Row],[SUBTOTAL]]+Table1[[#This Row],[IVA]]-Table1[[#This Row],[RET IVA]]-Table1[[#This Row],[RET ISR]]-Table1[[#This Row],[TOTAL]]</f>
        <v>0</v>
      </c>
      <c r="AE4560" s="152"/>
      <c r="AF4560" s="153"/>
      <c r="AG4560" s="126" t="s">
        <v>3420</v>
      </c>
      <c r="AK4560" s="306" t="str">
        <f>IF(ISNUMBER(Table1[[#This Row],[FECHA DE RECIBIDO]]), Table1[[#This Row],[FECHA DE RECIBIDO]]-DATE(2023,8,30), "")</f>
        <v/>
      </c>
    </row>
    <row r="4561" spans="1:37" ht="16.05" customHeight="1">
      <c r="A4561" s="150" t="s">
        <v>4605</v>
      </c>
      <c r="B4561" s="151">
        <v>1593</v>
      </c>
      <c r="C4561" s="126" t="s">
        <v>3105</v>
      </c>
      <c r="D4561">
        <v>689</v>
      </c>
      <c r="E4561" s="126"/>
      <c r="F4561" s="122"/>
      <c r="G4561" s="122"/>
      <c r="H4561"/>
      <c r="I4561" s="122"/>
      <c r="J4561" s="307" t="s">
        <v>214</v>
      </c>
      <c r="K4561" s="127" t="s">
        <v>4625</v>
      </c>
      <c r="L4561" s="151" t="s">
        <v>1579</v>
      </c>
      <c r="M4561">
        <v>817</v>
      </c>
      <c r="N4561" s="123">
        <v>17</v>
      </c>
      <c r="O4561">
        <v>2943</v>
      </c>
      <c r="P4561" s="132" t="s">
        <v>77</v>
      </c>
      <c r="Q4561" s="131">
        <v>850</v>
      </c>
      <c r="R4561" s="131"/>
      <c r="S4561" s="131"/>
      <c r="T4561" s="155"/>
      <c r="U4561" s="131"/>
      <c r="V4561" s="131">
        <v>850</v>
      </c>
      <c r="W4561">
        <v>227</v>
      </c>
      <c r="X4561" s="151" t="s">
        <v>1644</v>
      </c>
      <c r="Y4561" s="135" t="s">
        <v>55</v>
      </c>
      <c r="Z4561" s="307">
        <v>372</v>
      </c>
      <c r="AB4561" t="str">
        <f>IF(Table1[[#This Row],[TIPO2]]="costo", VLOOKUP(Table1[[#This Row],[PARTIDA PRESUPUESTAL]],'Cost Report'!G:G,1,0),"Balance")</f>
        <v>7050-005</v>
      </c>
      <c r="AC4561" s="118"/>
      <c r="AD4561" s="159">
        <f>+Table1[[#This Row],[SUBTOTAL]]+Table1[[#This Row],[IVA]]-Table1[[#This Row],[RET IVA]]-Table1[[#This Row],[RET ISR]]-Table1[[#This Row],[TOTAL]]</f>
        <v>0</v>
      </c>
      <c r="AE4561" s="150"/>
      <c r="AF4561" s="151"/>
      <c r="AG4561" s="126" t="s">
        <v>3420</v>
      </c>
      <c r="AK4561" s="306" t="str">
        <f>IF(ISNUMBER(Table1[[#This Row],[FECHA DE RECIBIDO]]), Table1[[#This Row],[FECHA DE RECIBIDO]]-DATE(2023,8,30), "")</f>
        <v/>
      </c>
    </row>
    <row r="4562" spans="1:37" ht="16.05" customHeight="1">
      <c r="A4562" s="152" t="s">
        <v>4607</v>
      </c>
      <c r="B4562" s="153">
        <v>1594</v>
      </c>
      <c r="C4562" s="126" t="s">
        <v>2830</v>
      </c>
      <c r="D4562">
        <v>3078</v>
      </c>
      <c r="E4562" s="126" t="s">
        <v>1623</v>
      </c>
      <c r="F4562" s="125" t="s">
        <v>1607</v>
      </c>
      <c r="G4562" s="125" t="s">
        <v>134</v>
      </c>
      <c r="H4562">
        <v>45</v>
      </c>
      <c r="I4562" s="125" t="s">
        <v>1546</v>
      </c>
      <c r="J4562" s="308" t="s">
        <v>214</v>
      </c>
      <c r="K4562" s="127" t="s">
        <v>4625</v>
      </c>
      <c r="L4562" s="153" t="s">
        <v>1579</v>
      </c>
      <c r="M4562">
        <v>56</v>
      </c>
      <c r="N4562" s="123">
        <v>17</v>
      </c>
      <c r="O4562">
        <v>2944</v>
      </c>
      <c r="P4562" s="132" t="s">
        <v>77</v>
      </c>
      <c r="Q4562" s="132">
        <v>1724.14</v>
      </c>
      <c r="R4562" s="132">
        <v>275.86</v>
      </c>
      <c r="S4562" s="132"/>
      <c r="T4562" s="156"/>
      <c r="U4562" s="132"/>
      <c r="V4562" s="132">
        <v>2000</v>
      </c>
      <c r="W4562">
        <v>167</v>
      </c>
      <c r="X4562" s="153" t="s">
        <v>1644</v>
      </c>
      <c r="Y4562" s="124" t="s">
        <v>55</v>
      </c>
      <c r="Z4562" s="308" t="s">
        <v>214</v>
      </c>
      <c r="AB4562" t="str">
        <f>IF(Table1[[#This Row],[TIPO2]]="costo", VLOOKUP(Table1[[#This Row],[PARTIDA PRESUPUESTAL]],'Cost Report'!G:G,1,0),"Balance")</f>
        <v>3412-139</v>
      </c>
      <c r="AC4562" s="118"/>
      <c r="AD4562" s="159">
        <f>+Table1[[#This Row],[SUBTOTAL]]+Table1[[#This Row],[IVA]]-Table1[[#This Row],[RET IVA]]-Table1[[#This Row],[RET ISR]]-Table1[[#This Row],[TOTAL]]</f>
        <v>0</v>
      </c>
      <c r="AE4562" s="152"/>
      <c r="AF4562" s="153"/>
      <c r="AG4562" s="126" t="s">
        <v>3420</v>
      </c>
      <c r="AK4562" s="306" t="str">
        <f>IF(ISNUMBER(Table1[[#This Row],[FECHA DE RECIBIDO]]), Table1[[#This Row],[FECHA DE RECIBIDO]]-DATE(2023,8,30), "")</f>
        <v/>
      </c>
    </row>
    <row r="4563" spans="1:37" ht="16.05" customHeight="1">
      <c r="A4563" s="150" t="s">
        <v>4607</v>
      </c>
      <c r="B4563" s="151">
        <v>1594</v>
      </c>
      <c r="C4563" s="126" t="s">
        <v>2830</v>
      </c>
      <c r="D4563">
        <v>3079</v>
      </c>
      <c r="E4563" s="126" t="s">
        <v>1623</v>
      </c>
      <c r="F4563" s="122" t="s">
        <v>1607</v>
      </c>
      <c r="G4563" s="122" t="s">
        <v>134</v>
      </c>
      <c r="H4563">
        <v>45</v>
      </c>
      <c r="I4563" s="122" t="s">
        <v>1546</v>
      </c>
      <c r="J4563" s="307" t="s">
        <v>214</v>
      </c>
      <c r="K4563" s="127" t="s">
        <v>4625</v>
      </c>
      <c r="L4563" s="151" t="s">
        <v>1579</v>
      </c>
      <c r="M4563">
        <v>56</v>
      </c>
      <c r="N4563" s="123">
        <v>17</v>
      </c>
      <c r="O4563">
        <v>2944</v>
      </c>
      <c r="P4563" s="132" t="s">
        <v>77</v>
      </c>
      <c r="Q4563" s="131">
        <v>775.86</v>
      </c>
      <c r="R4563" s="131">
        <v>124.14</v>
      </c>
      <c r="S4563" s="131"/>
      <c r="T4563" s="155"/>
      <c r="U4563" s="131"/>
      <c r="V4563" s="131">
        <v>900</v>
      </c>
      <c r="W4563">
        <v>167</v>
      </c>
      <c r="X4563" s="151" t="s">
        <v>1644</v>
      </c>
      <c r="Y4563" s="135" t="s">
        <v>55</v>
      </c>
      <c r="Z4563" s="307" t="s">
        <v>214</v>
      </c>
      <c r="AB4563" t="str">
        <f>IF(Table1[[#This Row],[TIPO2]]="costo", VLOOKUP(Table1[[#This Row],[PARTIDA PRESUPUESTAL]],'Cost Report'!G:G,1,0),"Balance")</f>
        <v>3412-139</v>
      </c>
      <c r="AC4563" s="118"/>
      <c r="AD4563" s="159">
        <f>+Table1[[#This Row],[SUBTOTAL]]+Table1[[#This Row],[IVA]]-Table1[[#This Row],[RET IVA]]-Table1[[#This Row],[RET ISR]]-Table1[[#This Row],[TOTAL]]</f>
        <v>0</v>
      </c>
      <c r="AE4563" s="150"/>
      <c r="AF4563" s="151"/>
      <c r="AG4563" s="126" t="s">
        <v>3420</v>
      </c>
      <c r="AK4563" s="306" t="str">
        <f>IF(ISNUMBER(Table1[[#This Row],[FECHA DE RECIBIDO]]), Table1[[#This Row],[FECHA DE RECIBIDO]]-DATE(2023,8,30), "")</f>
        <v/>
      </c>
    </row>
    <row r="4564" spans="1:37" ht="16.05" customHeight="1">
      <c r="A4564" s="152" t="s">
        <v>4607</v>
      </c>
      <c r="B4564" s="153">
        <v>1594</v>
      </c>
      <c r="C4564" s="126" t="s">
        <v>977</v>
      </c>
      <c r="D4564">
        <v>3080</v>
      </c>
      <c r="E4564" s="126" t="s">
        <v>1612</v>
      </c>
      <c r="F4564" s="125" t="s">
        <v>1607</v>
      </c>
      <c r="G4564" s="125" t="s">
        <v>134</v>
      </c>
      <c r="H4564">
        <v>815</v>
      </c>
      <c r="I4564" s="125" t="s">
        <v>1546</v>
      </c>
      <c r="J4564" s="308" t="s">
        <v>214</v>
      </c>
      <c r="K4564" s="127" t="s">
        <v>4625</v>
      </c>
      <c r="L4564" s="153" t="s">
        <v>1579</v>
      </c>
      <c r="M4564">
        <v>1127</v>
      </c>
      <c r="N4564" s="123">
        <v>17</v>
      </c>
      <c r="O4564">
        <v>2945</v>
      </c>
      <c r="P4564" s="132" t="s">
        <v>77</v>
      </c>
      <c r="Q4564" s="132">
        <v>244.82</v>
      </c>
      <c r="R4564" s="132">
        <v>39.17</v>
      </c>
      <c r="S4564" s="132"/>
      <c r="T4564" s="156"/>
      <c r="U4564" s="132"/>
      <c r="V4564" s="132">
        <v>283.99</v>
      </c>
      <c r="W4564">
        <v>167</v>
      </c>
      <c r="X4564" s="153" t="s">
        <v>1644</v>
      </c>
      <c r="Y4564" s="124" t="s">
        <v>55</v>
      </c>
      <c r="Z4564" s="308" t="s">
        <v>214</v>
      </c>
      <c r="AB4564" t="str">
        <f>IF(Table1[[#This Row],[TIPO2]]="costo", VLOOKUP(Table1[[#This Row],[PARTIDA PRESUPUESTAL]],'Cost Report'!G:G,1,0),"Balance")</f>
        <v>3410-012</v>
      </c>
      <c r="AC4564" s="118"/>
      <c r="AD4564" s="159">
        <f>+Table1[[#This Row],[SUBTOTAL]]+Table1[[#This Row],[IVA]]-Table1[[#This Row],[RET IVA]]-Table1[[#This Row],[RET ISR]]-Table1[[#This Row],[TOTAL]]</f>
        <v>0</v>
      </c>
      <c r="AE4564" s="152"/>
      <c r="AF4564" s="153"/>
      <c r="AG4564" s="126" t="s">
        <v>3420</v>
      </c>
      <c r="AK4564" s="306" t="str">
        <f>IF(ISNUMBER(Table1[[#This Row],[FECHA DE RECIBIDO]]), Table1[[#This Row],[FECHA DE RECIBIDO]]-DATE(2023,8,30), "")</f>
        <v/>
      </c>
    </row>
    <row r="4565" spans="1:37" ht="16.05" customHeight="1">
      <c r="A4565" s="150" t="s">
        <v>4607</v>
      </c>
      <c r="B4565" s="151">
        <v>1594</v>
      </c>
      <c r="C4565" s="126" t="s">
        <v>2443</v>
      </c>
      <c r="D4565">
        <v>3081</v>
      </c>
      <c r="E4565" s="126" t="s">
        <v>3272</v>
      </c>
      <c r="F4565" s="122" t="s">
        <v>1607</v>
      </c>
      <c r="G4565" s="122" t="s">
        <v>134</v>
      </c>
      <c r="H4565">
        <v>286</v>
      </c>
      <c r="I4565" s="122" t="s">
        <v>1546</v>
      </c>
      <c r="J4565" s="307" t="s">
        <v>214</v>
      </c>
      <c r="K4565" s="127" t="s">
        <v>4625</v>
      </c>
      <c r="L4565" s="151" t="s">
        <v>1579</v>
      </c>
      <c r="M4565">
        <v>380</v>
      </c>
      <c r="N4565" s="123">
        <v>17</v>
      </c>
      <c r="O4565">
        <v>2946</v>
      </c>
      <c r="P4565" s="132" t="s">
        <v>77</v>
      </c>
      <c r="Q4565" s="131">
        <v>18.96</v>
      </c>
      <c r="R4565" s="131">
        <v>3.03</v>
      </c>
      <c r="S4565" s="131"/>
      <c r="T4565" s="155"/>
      <c r="U4565" s="131"/>
      <c r="V4565" s="131">
        <v>21.990000000000002</v>
      </c>
      <c r="W4565">
        <v>167</v>
      </c>
      <c r="X4565" s="151" t="s">
        <v>1644</v>
      </c>
      <c r="Y4565" s="135" t="s">
        <v>55</v>
      </c>
      <c r="Z4565" s="307" t="s">
        <v>214</v>
      </c>
      <c r="AB4565" t="str">
        <f>IF(Table1[[#This Row],[TIPO2]]="costo", VLOOKUP(Table1[[#This Row],[PARTIDA PRESUPUESTAL]],'Cost Report'!G:G,1,0),"Balance")</f>
        <v>2080-003</v>
      </c>
      <c r="AC4565" s="118"/>
      <c r="AD4565" s="159">
        <f>+Table1[[#This Row],[SUBTOTAL]]+Table1[[#This Row],[IVA]]-Table1[[#This Row],[RET IVA]]-Table1[[#This Row],[RET ISR]]-Table1[[#This Row],[TOTAL]]</f>
        <v>0</v>
      </c>
      <c r="AE4565" s="150"/>
      <c r="AF4565" s="151"/>
      <c r="AG4565" s="126" t="s">
        <v>3420</v>
      </c>
      <c r="AK4565" s="306" t="str">
        <f>IF(ISNUMBER(Table1[[#This Row],[FECHA DE RECIBIDO]]), Table1[[#This Row],[FECHA DE RECIBIDO]]-DATE(2023,8,30), "")</f>
        <v/>
      </c>
    </row>
    <row r="4566" spans="1:37" ht="16.05" customHeight="1">
      <c r="A4566" s="152" t="s">
        <v>4607</v>
      </c>
      <c r="B4566" s="153">
        <v>1594</v>
      </c>
      <c r="C4566" s="126" t="s">
        <v>977</v>
      </c>
      <c r="D4566">
        <v>3082</v>
      </c>
      <c r="E4566" s="126" t="s">
        <v>1612</v>
      </c>
      <c r="F4566" s="125" t="s">
        <v>1589</v>
      </c>
      <c r="G4566" s="125" t="s">
        <v>129</v>
      </c>
      <c r="H4566">
        <v>816</v>
      </c>
      <c r="I4566" s="125" t="s">
        <v>1546</v>
      </c>
      <c r="J4566" s="308" t="s">
        <v>214</v>
      </c>
      <c r="K4566" s="127" t="s">
        <v>4625</v>
      </c>
      <c r="L4566" s="153" t="s">
        <v>1579</v>
      </c>
      <c r="M4566">
        <v>1128</v>
      </c>
      <c r="N4566" s="123">
        <v>17</v>
      </c>
      <c r="O4566">
        <v>2947</v>
      </c>
      <c r="P4566" s="132" t="s">
        <v>77</v>
      </c>
      <c r="Q4566" s="132">
        <v>545</v>
      </c>
      <c r="R4566" s="132"/>
      <c r="S4566" s="132"/>
      <c r="T4566" s="156"/>
      <c r="U4566" s="132"/>
      <c r="V4566" s="132">
        <v>545</v>
      </c>
      <c r="W4566">
        <v>167</v>
      </c>
      <c r="X4566" s="153" t="s">
        <v>1644</v>
      </c>
      <c r="Y4566" s="124" t="s">
        <v>55</v>
      </c>
      <c r="Z4566" s="308" t="s">
        <v>214</v>
      </c>
      <c r="AB4566" t="str">
        <f>IF(Table1[[#This Row],[TIPO2]]="costo", VLOOKUP(Table1[[#This Row],[PARTIDA PRESUPUESTAL]],'Cost Report'!G:G,1,0),"Balance")</f>
        <v>3410-012</v>
      </c>
      <c r="AC4566" s="118"/>
      <c r="AD4566" s="159">
        <f>+Table1[[#This Row],[SUBTOTAL]]+Table1[[#This Row],[IVA]]-Table1[[#This Row],[RET IVA]]-Table1[[#This Row],[RET ISR]]-Table1[[#This Row],[TOTAL]]</f>
        <v>0</v>
      </c>
      <c r="AE4566" s="152"/>
      <c r="AF4566" s="153"/>
      <c r="AG4566" s="126" t="s">
        <v>3420</v>
      </c>
      <c r="AK4566" s="306" t="str">
        <f>IF(ISNUMBER(Table1[[#This Row],[FECHA DE RECIBIDO]]), Table1[[#This Row],[FECHA DE RECIBIDO]]-DATE(2023,8,30), "")</f>
        <v/>
      </c>
    </row>
    <row r="4567" spans="1:37" ht="16.05" customHeight="1">
      <c r="A4567" s="150" t="s">
        <v>4607</v>
      </c>
      <c r="B4567" s="151">
        <v>1594</v>
      </c>
      <c r="C4567" s="126" t="s">
        <v>977</v>
      </c>
      <c r="D4567">
        <v>3083</v>
      </c>
      <c r="E4567" s="126" t="s">
        <v>1603</v>
      </c>
      <c r="F4567" s="122" t="s">
        <v>1607</v>
      </c>
      <c r="G4567" s="122" t="s">
        <v>134</v>
      </c>
      <c r="H4567">
        <v>43</v>
      </c>
      <c r="I4567" s="122" t="s">
        <v>1546</v>
      </c>
      <c r="J4567" s="307" t="s">
        <v>214</v>
      </c>
      <c r="K4567" s="127" t="s">
        <v>4625</v>
      </c>
      <c r="L4567" s="151" t="s">
        <v>1579</v>
      </c>
      <c r="M4567">
        <v>54</v>
      </c>
      <c r="N4567" s="123">
        <v>17</v>
      </c>
      <c r="O4567">
        <v>2948</v>
      </c>
      <c r="P4567" s="132" t="s">
        <v>77</v>
      </c>
      <c r="Q4567" s="131">
        <v>97.5</v>
      </c>
      <c r="R4567" s="131"/>
      <c r="S4567" s="131"/>
      <c r="T4567" s="155"/>
      <c r="U4567" s="131"/>
      <c r="V4567" s="131">
        <v>97.5</v>
      </c>
      <c r="W4567">
        <v>167</v>
      </c>
      <c r="X4567" s="151" t="s">
        <v>1644</v>
      </c>
      <c r="Y4567" s="135" t="s">
        <v>55</v>
      </c>
      <c r="Z4567" s="307" t="s">
        <v>214</v>
      </c>
      <c r="AB4567" t="str">
        <f>IF(Table1[[#This Row],[TIPO2]]="costo", VLOOKUP(Table1[[#This Row],[PARTIDA PRESUPUESTAL]],'Cost Report'!G:G,1,0),"Balance")</f>
        <v>3410-012</v>
      </c>
      <c r="AC4567" s="118"/>
      <c r="AD4567" s="159">
        <f>+Table1[[#This Row],[SUBTOTAL]]+Table1[[#This Row],[IVA]]-Table1[[#This Row],[RET IVA]]-Table1[[#This Row],[RET ISR]]-Table1[[#This Row],[TOTAL]]</f>
        <v>0</v>
      </c>
      <c r="AE4567" s="150"/>
      <c r="AF4567" s="151"/>
      <c r="AG4567" s="126" t="s">
        <v>3420</v>
      </c>
      <c r="AK4567" s="306" t="str">
        <f>IF(ISNUMBER(Table1[[#This Row],[FECHA DE RECIBIDO]]), Table1[[#This Row],[FECHA DE RECIBIDO]]-DATE(2023,8,30), "")</f>
        <v/>
      </c>
    </row>
    <row r="4568" spans="1:37" ht="16.05" customHeight="1">
      <c r="A4568" s="152" t="s">
        <v>4607</v>
      </c>
      <c r="B4568" s="153">
        <v>1594</v>
      </c>
      <c r="C4568" s="126" t="s">
        <v>412</v>
      </c>
      <c r="D4568">
        <v>3084</v>
      </c>
      <c r="E4568" s="126" t="s">
        <v>3670</v>
      </c>
      <c r="F4568" s="125" t="s">
        <v>1607</v>
      </c>
      <c r="G4568" s="125" t="s">
        <v>134</v>
      </c>
      <c r="H4568">
        <v>817</v>
      </c>
      <c r="I4568" s="125" t="s">
        <v>1546</v>
      </c>
      <c r="J4568" s="308" t="s">
        <v>214</v>
      </c>
      <c r="K4568" s="127" t="s">
        <v>4625</v>
      </c>
      <c r="L4568" s="153" t="s">
        <v>1579</v>
      </c>
      <c r="M4568">
        <v>1129</v>
      </c>
      <c r="N4568" s="123">
        <v>17</v>
      </c>
      <c r="O4568">
        <v>2949</v>
      </c>
      <c r="P4568" s="132" t="s">
        <v>77</v>
      </c>
      <c r="Q4568" s="132">
        <f>5577.7+167.33</f>
        <v>5745.03</v>
      </c>
      <c r="R4568" s="132">
        <v>892.43</v>
      </c>
      <c r="S4568" s="132">
        <v>167.33</v>
      </c>
      <c r="T4568" s="156"/>
      <c r="U4568" s="132"/>
      <c r="V4568" s="132">
        <v>6637.46</v>
      </c>
      <c r="W4568">
        <v>167</v>
      </c>
      <c r="X4568" s="153" t="s">
        <v>1644</v>
      </c>
      <c r="Y4568" s="124" t="s">
        <v>55</v>
      </c>
      <c r="Z4568" s="308">
        <v>219</v>
      </c>
      <c r="AB4568" t="str">
        <f>IF(Table1[[#This Row],[TIPO2]]="costo", VLOOKUP(Table1[[#This Row],[PARTIDA PRESUPUESTAL]],'Cost Report'!G:G,1,0),"Balance")</f>
        <v>1631-004</v>
      </c>
      <c r="AC4568" s="118"/>
      <c r="AD4568" s="159">
        <f>+Table1[[#This Row],[SUBTOTAL]]+Table1[[#This Row],[IVA]]-Table1[[#This Row],[RET IVA]]-Table1[[#This Row],[RET ISR]]-Table1[[#This Row],[TOTAL]]</f>
        <v>0</v>
      </c>
      <c r="AE4568" s="152"/>
      <c r="AF4568" s="153"/>
      <c r="AG4568" s="126" t="s">
        <v>3420</v>
      </c>
      <c r="AK4568" s="306" t="str">
        <f>IF(ISNUMBER(Table1[[#This Row],[FECHA DE RECIBIDO]]), Table1[[#This Row],[FECHA DE RECIBIDO]]-DATE(2023,8,30), "")</f>
        <v/>
      </c>
    </row>
    <row r="4569" spans="1:37" ht="16.05" customHeight="1">
      <c r="A4569" s="150" t="s">
        <v>4607</v>
      </c>
      <c r="B4569" s="151">
        <v>1594</v>
      </c>
      <c r="C4569" s="126" t="s">
        <v>2830</v>
      </c>
      <c r="D4569">
        <v>3085</v>
      </c>
      <c r="E4569" s="126" t="s">
        <v>4608</v>
      </c>
      <c r="F4569" s="122" t="s">
        <v>1607</v>
      </c>
      <c r="G4569" s="122" t="s">
        <v>134</v>
      </c>
      <c r="H4569">
        <v>818</v>
      </c>
      <c r="I4569" s="122" t="s">
        <v>1546</v>
      </c>
      <c r="J4569" s="307" t="s">
        <v>214</v>
      </c>
      <c r="K4569" s="127" t="s">
        <v>4625</v>
      </c>
      <c r="L4569" s="151" t="s">
        <v>1579</v>
      </c>
      <c r="M4569">
        <v>1130</v>
      </c>
      <c r="N4569" s="123">
        <v>17</v>
      </c>
      <c r="O4569">
        <v>2950</v>
      </c>
      <c r="P4569" s="132" t="s">
        <v>77</v>
      </c>
      <c r="Q4569" s="131">
        <v>431.9</v>
      </c>
      <c r="R4569" s="131">
        <v>69.099999999999994</v>
      </c>
      <c r="S4569" s="131"/>
      <c r="T4569" s="155"/>
      <c r="U4569" s="131"/>
      <c r="V4569" s="131">
        <v>501</v>
      </c>
      <c r="W4569">
        <v>167</v>
      </c>
      <c r="X4569" s="151" t="s">
        <v>1644</v>
      </c>
      <c r="Y4569" s="135" t="s">
        <v>55</v>
      </c>
      <c r="Z4569" s="307">
        <v>341</v>
      </c>
      <c r="AB4569" t="str">
        <f>IF(Table1[[#This Row],[TIPO2]]="costo", VLOOKUP(Table1[[#This Row],[PARTIDA PRESUPUESTAL]],'Cost Report'!G:G,1,0),"Balance")</f>
        <v>3412-139</v>
      </c>
      <c r="AC4569" s="118"/>
      <c r="AD4569" s="159">
        <f>+Table1[[#This Row],[SUBTOTAL]]+Table1[[#This Row],[IVA]]-Table1[[#This Row],[RET IVA]]-Table1[[#This Row],[RET ISR]]-Table1[[#This Row],[TOTAL]]</f>
        <v>0</v>
      </c>
      <c r="AE4569" s="150"/>
      <c r="AF4569" s="151"/>
      <c r="AG4569" s="126" t="s">
        <v>3420</v>
      </c>
      <c r="AK4569" s="306" t="str">
        <f>IF(ISNUMBER(Table1[[#This Row],[FECHA DE RECIBIDO]]), Table1[[#This Row],[FECHA DE RECIBIDO]]-DATE(2023,8,30), "")</f>
        <v/>
      </c>
    </row>
    <row r="4570" spans="1:37" ht="16.05" customHeight="1">
      <c r="A4570" s="152" t="s">
        <v>4607</v>
      </c>
      <c r="B4570" s="153">
        <v>1594</v>
      </c>
      <c r="C4570" s="126" t="s">
        <v>977</v>
      </c>
      <c r="D4570">
        <v>3086</v>
      </c>
      <c r="E4570" s="126" t="s">
        <v>3382</v>
      </c>
      <c r="F4570" s="125" t="s">
        <v>1607</v>
      </c>
      <c r="G4570" s="125" t="s">
        <v>134</v>
      </c>
      <c r="H4570">
        <v>138</v>
      </c>
      <c r="I4570" s="125" t="s">
        <v>1546</v>
      </c>
      <c r="J4570" s="308" t="s">
        <v>214</v>
      </c>
      <c r="K4570" s="127" t="s">
        <v>4625</v>
      </c>
      <c r="L4570" s="153" t="s">
        <v>1579</v>
      </c>
      <c r="M4570">
        <v>180</v>
      </c>
      <c r="N4570" s="123">
        <v>17</v>
      </c>
      <c r="O4570">
        <v>2951</v>
      </c>
      <c r="P4570" s="132" t="s">
        <v>77</v>
      </c>
      <c r="Q4570" s="132">
        <v>1074.1400000000001</v>
      </c>
      <c r="R4570" s="132">
        <v>171.86</v>
      </c>
      <c r="S4570" s="132"/>
      <c r="T4570" s="156"/>
      <c r="U4570" s="132"/>
      <c r="V4570" s="132">
        <v>1246</v>
      </c>
      <c r="W4570">
        <v>167</v>
      </c>
      <c r="X4570" s="153" t="s">
        <v>1644</v>
      </c>
      <c r="Y4570" s="124" t="s">
        <v>55</v>
      </c>
      <c r="Z4570" s="308">
        <v>341</v>
      </c>
      <c r="AB4570" t="str">
        <f>IF(Table1[[#This Row],[TIPO2]]="costo", VLOOKUP(Table1[[#This Row],[PARTIDA PRESUPUESTAL]],'Cost Report'!G:G,1,0),"Balance")</f>
        <v>3410-012</v>
      </c>
      <c r="AC4570" s="118"/>
      <c r="AD4570" s="159">
        <f>+Table1[[#This Row],[SUBTOTAL]]+Table1[[#This Row],[IVA]]-Table1[[#This Row],[RET IVA]]-Table1[[#This Row],[RET ISR]]-Table1[[#This Row],[TOTAL]]</f>
        <v>0</v>
      </c>
      <c r="AE4570" s="152"/>
      <c r="AF4570" s="153"/>
      <c r="AG4570" s="126" t="s">
        <v>3420</v>
      </c>
      <c r="AK4570" s="306" t="str">
        <f>IF(ISNUMBER(Table1[[#This Row],[FECHA DE RECIBIDO]]), Table1[[#This Row],[FECHA DE RECIBIDO]]-DATE(2023,8,30), "")</f>
        <v/>
      </c>
    </row>
    <row r="4571" spans="1:37" ht="16.05" customHeight="1">
      <c r="A4571" s="150" t="s">
        <v>4607</v>
      </c>
      <c r="B4571" s="151">
        <v>1594</v>
      </c>
      <c r="C4571" s="126" t="s">
        <v>2830</v>
      </c>
      <c r="D4571">
        <v>3087</v>
      </c>
      <c r="E4571" s="126" t="s">
        <v>1623</v>
      </c>
      <c r="F4571" s="122" t="s">
        <v>1607</v>
      </c>
      <c r="G4571" s="122" t="s">
        <v>134</v>
      </c>
      <c r="H4571">
        <v>45</v>
      </c>
      <c r="I4571" s="122" t="s">
        <v>1546</v>
      </c>
      <c r="J4571" s="307" t="s">
        <v>214</v>
      </c>
      <c r="K4571" s="127" t="s">
        <v>4625</v>
      </c>
      <c r="L4571" s="151" t="s">
        <v>1579</v>
      </c>
      <c r="M4571">
        <v>56</v>
      </c>
      <c r="N4571" s="123">
        <v>17</v>
      </c>
      <c r="O4571">
        <v>2952</v>
      </c>
      <c r="P4571" s="132" t="s">
        <v>77</v>
      </c>
      <c r="Q4571" s="131">
        <v>1724.14</v>
      </c>
      <c r="R4571" s="131">
        <v>275.86</v>
      </c>
      <c r="S4571" s="131"/>
      <c r="T4571" s="155"/>
      <c r="U4571" s="131"/>
      <c r="V4571" s="131">
        <v>2000</v>
      </c>
      <c r="W4571">
        <v>167</v>
      </c>
      <c r="X4571" s="151" t="s">
        <v>1644</v>
      </c>
      <c r="Y4571" s="135" t="s">
        <v>55</v>
      </c>
      <c r="Z4571" s="307">
        <v>341</v>
      </c>
      <c r="AB4571" t="str">
        <f>IF(Table1[[#This Row],[TIPO2]]="costo", VLOOKUP(Table1[[#This Row],[PARTIDA PRESUPUESTAL]],'Cost Report'!G:G,1,0),"Balance")</f>
        <v>3412-139</v>
      </c>
      <c r="AC4571" s="118"/>
      <c r="AD4571" s="159">
        <f>+Table1[[#This Row],[SUBTOTAL]]+Table1[[#This Row],[IVA]]-Table1[[#This Row],[RET IVA]]-Table1[[#This Row],[RET ISR]]-Table1[[#This Row],[TOTAL]]</f>
        <v>0</v>
      </c>
      <c r="AE4571" s="150"/>
      <c r="AF4571" s="151"/>
      <c r="AG4571" s="126" t="s">
        <v>3420</v>
      </c>
      <c r="AK4571" s="306" t="str">
        <f>IF(ISNUMBER(Table1[[#This Row],[FECHA DE RECIBIDO]]), Table1[[#This Row],[FECHA DE RECIBIDO]]-DATE(2023,8,30), "")</f>
        <v/>
      </c>
    </row>
    <row r="4572" spans="1:37" ht="16.05" customHeight="1">
      <c r="A4572" s="152" t="s">
        <v>4607</v>
      </c>
      <c r="B4572" s="153">
        <v>1594</v>
      </c>
      <c r="C4572" s="126" t="s">
        <v>2830</v>
      </c>
      <c r="D4572">
        <v>3088</v>
      </c>
      <c r="E4572" s="126" t="s">
        <v>1623</v>
      </c>
      <c r="F4572" s="125" t="s">
        <v>1607</v>
      </c>
      <c r="G4572" s="125" t="s">
        <v>134</v>
      </c>
      <c r="H4572">
        <v>45</v>
      </c>
      <c r="I4572" s="125" t="s">
        <v>1546</v>
      </c>
      <c r="J4572" s="308" t="s">
        <v>214</v>
      </c>
      <c r="K4572" s="127" t="s">
        <v>4625</v>
      </c>
      <c r="L4572" s="153" t="s">
        <v>1579</v>
      </c>
      <c r="M4572">
        <v>56</v>
      </c>
      <c r="N4572" s="123">
        <v>17</v>
      </c>
      <c r="O4572">
        <v>2953</v>
      </c>
      <c r="P4572" s="132" t="s">
        <v>77</v>
      </c>
      <c r="Q4572" s="132">
        <v>862.07</v>
      </c>
      <c r="R4572" s="132">
        <v>137.93</v>
      </c>
      <c r="S4572" s="132"/>
      <c r="T4572" s="156"/>
      <c r="U4572" s="132"/>
      <c r="V4572" s="132">
        <v>1000</v>
      </c>
      <c r="W4572">
        <v>167</v>
      </c>
      <c r="X4572" s="153" t="s">
        <v>1644</v>
      </c>
      <c r="Y4572" s="124" t="s">
        <v>55</v>
      </c>
      <c r="Z4572" s="308">
        <v>372</v>
      </c>
      <c r="AB4572" t="str">
        <f>IF(Table1[[#This Row],[TIPO2]]="costo", VLOOKUP(Table1[[#This Row],[PARTIDA PRESUPUESTAL]],'Cost Report'!G:G,1,0),"Balance")</f>
        <v>3412-139</v>
      </c>
      <c r="AC4572" s="118"/>
      <c r="AD4572" s="159">
        <f>+Table1[[#This Row],[SUBTOTAL]]+Table1[[#This Row],[IVA]]-Table1[[#This Row],[RET IVA]]-Table1[[#This Row],[RET ISR]]-Table1[[#This Row],[TOTAL]]</f>
        <v>0</v>
      </c>
      <c r="AE4572" s="152"/>
      <c r="AF4572" s="153"/>
      <c r="AG4572" s="126" t="s">
        <v>3420</v>
      </c>
      <c r="AK4572" s="306" t="str">
        <f>IF(ISNUMBER(Table1[[#This Row],[FECHA DE RECIBIDO]]), Table1[[#This Row],[FECHA DE RECIBIDO]]-DATE(2023,8,30), "")</f>
        <v/>
      </c>
    </row>
    <row r="4573" spans="1:37" ht="16.05" customHeight="1">
      <c r="A4573" s="150" t="s">
        <v>4607</v>
      </c>
      <c r="B4573" s="151">
        <v>1594</v>
      </c>
      <c r="C4573" s="126" t="s">
        <v>2830</v>
      </c>
      <c r="D4573">
        <v>3089</v>
      </c>
      <c r="E4573" s="126" t="s">
        <v>1623</v>
      </c>
      <c r="F4573" s="122" t="s">
        <v>1607</v>
      </c>
      <c r="G4573" s="122" t="s">
        <v>134</v>
      </c>
      <c r="H4573">
        <v>45</v>
      </c>
      <c r="I4573" s="122" t="s">
        <v>1546</v>
      </c>
      <c r="J4573" s="307" t="s">
        <v>214</v>
      </c>
      <c r="K4573" s="127" t="s">
        <v>4625</v>
      </c>
      <c r="L4573" s="151" t="s">
        <v>1579</v>
      </c>
      <c r="M4573">
        <v>56</v>
      </c>
      <c r="N4573" s="123">
        <v>17</v>
      </c>
      <c r="O4573">
        <v>2953</v>
      </c>
      <c r="P4573" s="132" t="s">
        <v>77</v>
      </c>
      <c r="Q4573" s="131">
        <v>1293.0999999999999</v>
      </c>
      <c r="R4573" s="131">
        <v>206.9</v>
      </c>
      <c r="S4573" s="131"/>
      <c r="T4573" s="155"/>
      <c r="U4573" s="131"/>
      <c r="V4573" s="131">
        <v>1500</v>
      </c>
      <c r="W4573">
        <v>167</v>
      </c>
      <c r="X4573" s="151" t="s">
        <v>1644</v>
      </c>
      <c r="Y4573" s="135" t="s">
        <v>55</v>
      </c>
      <c r="Z4573" s="307">
        <v>372</v>
      </c>
      <c r="AB4573" t="str">
        <f>IF(Table1[[#This Row],[TIPO2]]="costo", VLOOKUP(Table1[[#This Row],[PARTIDA PRESUPUESTAL]],'Cost Report'!G:G,1,0),"Balance")</f>
        <v>3412-139</v>
      </c>
      <c r="AC4573" s="118"/>
      <c r="AD4573" s="159">
        <f>+Table1[[#This Row],[SUBTOTAL]]+Table1[[#This Row],[IVA]]-Table1[[#This Row],[RET IVA]]-Table1[[#This Row],[RET ISR]]-Table1[[#This Row],[TOTAL]]</f>
        <v>0</v>
      </c>
      <c r="AE4573" s="150"/>
      <c r="AF4573" s="151"/>
      <c r="AG4573" s="126" t="s">
        <v>3420</v>
      </c>
      <c r="AK4573" s="306" t="str">
        <f>IF(ISNUMBER(Table1[[#This Row],[FECHA DE RECIBIDO]]), Table1[[#This Row],[FECHA DE RECIBIDO]]-DATE(2023,8,30), "")</f>
        <v/>
      </c>
    </row>
    <row r="4574" spans="1:37" ht="16.05" customHeight="1">
      <c r="A4574" s="152" t="s">
        <v>4607</v>
      </c>
      <c r="B4574" s="153">
        <v>1594</v>
      </c>
      <c r="C4574" s="126" t="s">
        <v>1181</v>
      </c>
      <c r="D4574">
        <v>689</v>
      </c>
      <c r="E4574" s="126"/>
      <c r="F4574" s="125"/>
      <c r="G4574" s="125"/>
      <c r="H4574"/>
      <c r="I4574" s="125"/>
      <c r="J4574" s="308" t="s">
        <v>214</v>
      </c>
      <c r="K4574" s="127" t="s">
        <v>4625</v>
      </c>
      <c r="L4574" s="153" t="s">
        <v>1579</v>
      </c>
      <c r="M4574">
        <v>1131</v>
      </c>
      <c r="N4574" s="123">
        <v>17</v>
      </c>
      <c r="O4574">
        <v>2954</v>
      </c>
      <c r="P4574" s="132" t="s">
        <v>77</v>
      </c>
      <c r="Q4574" s="132">
        <v>96</v>
      </c>
      <c r="R4574" s="132"/>
      <c r="S4574" s="132"/>
      <c r="T4574" s="156"/>
      <c r="U4574" s="132"/>
      <c r="V4574" s="132">
        <v>96</v>
      </c>
      <c r="W4574">
        <v>167</v>
      </c>
      <c r="X4574" s="153" t="s">
        <v>1644</v>
      </c>
      <c r="Y4574" s="124" t="s">
        <v>55</v>
      </c>
      <c r="Z4574" s="308" t="s">
        <v>214</v>
      </c>
      <c r="AB4574" t="str">
        <f>IF(Table1[[#This Row],[TIPO2]]="costo", VLOOKUP(Table1[[#This Row],[PARTIDA PRESUPUESTAL]],'Cost Report'!G:G,1,0),"Balance")</f>
        <v>3904-003</v>
      </c>
      <c r="AC4574" s="118"/>
      <c r="AD4574" s="159">
        <f>+Table1[[#This Row],[SUBTOTAL]]+Table1[[#This Row],[IVA]]-Table1[[#This Row],[RET IVA]]-Table1[[#This Row],[RET ISR]]-Table1[[#This Row],[TOTAL]]</f>
        <v>0</v>
      </c>
      <c r="AE4574" s="152"/>
      <c r="AF4574" s="153"/>
      <c r="AG4574" s="126" t="s">
        <v>3420</v>
      </c>
      <c r="AK4574" s="306" t="str">
        <f>IF(ISNUMBER(Table1[[#This Row],[FECHA DE RECIBIDO]]), Table1[[#This Row],[FECHA DE RECIBIDO]]-DATE(2023,8,30), "")</f>
        <v/>
      </c>
    </row>
    <row r="4575" spans="1:37" ht="16.05" customHeight="1">
      <c r="A4575" s="150" t="s">
        <v>4607</v>
      </c>
      <c r="B4575" s="151">
        <v>1594</v>
      </c>
      <c r="C4575" s="126" t="s">
        <v>1181</v>
      </c>
      <c r="D4575">
        <v>689</v>
      </c>
      <c r="E4575" s="126"/>
      <c r="F4575" s="122"/>
      <c r="G4575" s="122"/>
      <c r="H4575"/>
      <c r="I4575" s="122"/>
      <c r="J4575" s="307" t="s">
        <v>214</v>
      </c>
      <c r="K4575" s="127" t="s">
        <v>4625</v>
      </c>
      <c r="L4575" s="151" t="s">
        <v>1579</v>
      </c>
      <c r="M4575">
        <v>1131</v>
      </c>
      <c r="N4575" s="123">
        <v>17</v>
      </c>
      <c r="O4575">
        <v>2954</v>
      </c>
      <c r="P4575" s="132" t="s">
        <v>77</v>
      </c>
      <c r="Q4575" s="131">
        <v>97.75</v>
      </c>
      <c r="R4575" s="131"/>
      <c r="S4575" s="131"/>
      <c r="T4575" s="155"/>
      <c r="U4575" s="131"/>
      <c r="V4575" s="131">
        <v>97.75</v>
      </c>
      <c r="W4575">
        <v>167</v>
      </c>
      <c r="X4575" s="151" t="s">
        <v>1644</v>
      </c>
      <c r="Y4575" s="135" t="s">
        <v>55</v>
      </c>
      <c r="Z4575" s="307" t="s">
        <v>214</v>
      </c>
      <c r="AB4575" t="str">
        <f>IF(Table1[[#This Row],[TIPO2]]="costo", VLOOKUP(Table1[[#This Row],[PARTIDA PRESUPUESTAL]],'Cost Report'!G:G,1,0),"Balance")</f>
        <v>3904-003</v>
      </c>
      <c r="AC4575" s="118"/>
      <c r="AD4575" s="159">
        <f>+Table1[[#This Row],[SUBTOTAL]]+Table1[[#This Row],[IVA]]-Table1[[#This Row],[RET IVA]]-Table1[[#This Row],[RET ISR]]-Table1[[#This Row],[TOTAL]]</f>
        <v>0</v>
      </c>
      <c r="AE4575" s="150"/>
      <c r="AF4575" s="151"/>
      <c r="AG4575" s="126" t="s">
        <v>3420</v>
      </c>
      <c r="AK4575" s="306" t="str">
        <f>IF(ISNUMBER(Table1[[#This Row],[FECHA DE RECIBIDO]]), Table1[[#This Row],[FECHA DE RECIBIDO]]-DATE(2023,8,30), "")</f>
        <v/>
      </c>
    </row>
    <row r="4576" spans="1:37" ht="16.05" customHeight="1">
      <c r="A4576" s="152" t="s">
        <v>4607</v>
      </c>
      <c r="B4576" s="153">
        <v>1594</v>
      </c>
      <c r="C4576" s="126" t="s">
        <v>977</v>
      </c>
      <c r="D4576">
        <v>689</v>
      </c>
      <c r="E4576" s="126"/>
      <c r="F4576" s="125"/>
      <c r="G4576" s="125"/>
      <c r="H4576"/>
      <c r="I4576" s="125"/>
      <c r="J4576" s="308" t="s">
        <v>214</v>
      </c>
      <c r="K4576" s="127" t="s">
        <v>4625</v>
      </c>
      <c r="L4576" s="153" t="s">
        <v>1579</v>
      </c>
      <c r="M4576">
        <v>1132</v>
      </c>
      <c r="N4576" s="123">
        <v>17</v>
      </c>
      <c r="O4576">
        <v>2955</v>
      </c>
      <c r="P4576" s="132" t="s">
        <v>77</v>
      </c>
      <c r="Q4576" s="132">
        <v>27</v>
      </c>
      <c r="R4576" s="132"/>
      <c r="S4576" s="132"/>
      <c r="T4576" s="156"/>
      <c r="U4576" s="132"/>
      <c r="V4576" s="132">
        <v>27</v>
      </c>
      <c r="W4576">
        <v>167</v>
      </c>
      <c r="X4576" s="153" t="s">
        <v>1644</v>
      </c>
      <c r="Y4576" s="124" t="s">
        <v>55</v>
      </c>
      <c r="Z4576" s="308" t="s">
        <v>214</v>
      </c>
      <c r="AB4576" t="str">
        <f>IF(Table1[[#This Row],[TIPO2]]="costo", VLOOKUP(Table1[[#This Row],[PARTIDA PRESUPUESTAL]],'Cost Report'!G:G,1,0),"Balance")</f>
        <v>3410-012</v>
      </c>
      <c r="AC4576" s="118"/>
      <c r="AD4576" s="159">
        <f>+Table1[[#This Row],[SUBTOTAL]]+Table1[[#This Row],[IVA]]-Table1[[#This Row],[RET IVA]]-Table1[[#This Row],[RET ISR]]-Table1[[#This Row],[TOTAL]]</f>
        <v>0</v>
      </c>
      <c r="AE4576" s="152"/>
      <c r="AF4576" s="153"/>
      <c r="AG4576" s="126" t="s">
        <v>3420</v>
      </c>
      <c r="AK4576" s="306" t="str">
        <f>IF(ISNUMBER(Table1[[#This Row],[FECHA DE RECIBIDO]]), Table1[[#This Row],[FECHA DE RECIBIDO]]-DATE(2023,8,30), "")</f>
        <v/>
      </c>
    </row>
    <row r="4577" spans="1:37" ht="16.05" customHeight="1">
      <c r="A4577" s="150" t="s">
        <v>4607</v>
      </c>
      <c r="B4577" s="151">
        <v>1594</v>
      </c>
      <c r="C4577" s="126" t="s">
        <v>2371</v>
      </c>
      <c r="D4577">
        <v>689</v>
      </c>
      <c r="E4577" s="126"/>
      <c r="F4577" s="122"/>
      <c r="G4577" s="122"/>
      <c r="H4577"/>
      <c r="I4577" s="122"/>
      <c r="J4577" s="307" t="s">
        <v>214</v>
      </c>
      <c r="K4577" s="127" t="s">
        <v>4625</v>
      </c>
      <c r="L4577" s="151" t="s">
        <v>1579</v>
      </c>
      <c r="M4577">
        <v>215</v>
      </c>
      <c r="N4577" s="123">
        <v>17</v>
      </c>
      <c r="O4577">
        <v>2956</v>
      </c>
      <c r="P4577" s="132" t="s">
        <v>77</v>
      </c>
      <c r="Q4577" s="131">
        <v>177.9</v>
      </c>
      <c r="R4577" s="131"/>
      <c r="S4577" s="131"/>
      <c r="T4577" s="155"/>
      <c r="U4577" s="131"/>
      <c r="V4577" s="131">
        <v>177.9</v>
      </c>
      <c r="W4577">
        <v>167</v>
      </c>
      <c r="X4577" s="151" t="s">
        <v>1644</v>
      </c>
      <c r="Y4577" s="135" t="s">
        <v>55</v>
      </c>
      <c r="Z4577" s="307" t="s">
        <v>214</v>
      </c>
      <c r="AB4577" t="str">
        <f>IF(Table1[[#This Row],[TIPO2]]="costo", VLOOKUP(Table1[[#This Row],[PARTIDA PRESUPUESTAL]],'Cost Report'!G:G,1,0),"Balance")</f>
        <v>1643-003</v>
      </c>
      <c r="AC4577" s="118"/>
      <c r="AD4577" s="159">
        <f>+Table1[[#This Row],[SUBTOTAL]]+Table1[[#This Row],[IVA]]-Table1[[#This Row],[RET IVA]]-Table1[[#This Row],[RET ISR]]-Table1[[#This Row],[TOTAL]]</f>
        <v>0</v>
      </c>
      <c r="AE4577" s="150"/>
      <c r="AF4577" s="151"/>
      <c r="AG4577" s="126" t="s">
        <v>3420</v>
      </c>
      <c r="AK4577" s="306" t="str">
        <f>IF(ISNUMBER(Table1[[#This Row],[FECHA DE RECIBIDO]]), Table1[[#This Row],[FECHA DE RECIBIDO]]-DATE(2023,8,30), "")</f>
        <v/>
      </c>
    </row>
    <row r="4578" spans="1:37" ht="16.05" customHeight="1">
      <c r="A4578" s="152" t="s">
        <v>4607</v>
      </c>
      <c r="B4578" s="153">
        <v>1594</v>
      </c>
      <c r="C4578" s="126" t="s">
        <v>2371</v>
      </c>
      <c r="D4578">
        <v>689</v>
      </c>
      <c r="E4578" s="126"/>
      <c r="F4578" s="125"/>
      <c r="G4578" s="125"/>
      <c r="H4578"/>
      <c r="I4578" s="125"/>
      <c r="J4578" s="308" t="s">
        <v>214</v>
      </c>
      <c r="K4578" s="127" t="s">
        <v>4625</v>
      </c>
      <c r="L4578" s="153" t="s">
        <v>1579</v>
      </c>
      <c r="M4578">
        <v>215</v>
      </c>
      <c r="N4578" s="123">
        <v>17</v>
      </c>
      <c r="O4578">
        <v>2956</v>
      </c>
      <c r="P4578" s="132" t="s">
        <v>77</v>
      </c>
      <c r="Q4578" s="132">
        <v>79.94</v>
      </c>
      <c r="R4578" s="132"/>
      <c r="S4578" s="132"/>
      <c r="T4578" s="156"/>
      <c r="U4578" s="132"/>
      <c r="V4578" s="132">
        <v>79.94</v>
      </c>
      <c r="W4578">
        <v>167</v>
      </c>
      <c r="X4578" s="153" t="s">
        <v>1644</v>
      </c>
      <c r="Y4578" s="124" t="s">
        <v>55</v>
      </c>
      <c r="Z4578" s="308" t="s">
        <v>214</v>
      </c>
      <c r="AB4578" t="str">
        <f>IF(Table1[[#This Row],[TIPO2]]="costo", VLOOKUP(Table1[[#This Row],[PARTIDA PRESUPUESTAL]],'Cost Report'!G:G,1,0),"Balance")</f>
        <v>1643-003</v>
      </c>
      <c r="AC4578" s="118"/>
      <c r="AD4578" s="159">
        <f>+Table1[[#This Row],[SUBTOTAL]]+Table1[[#This Row],[IVA]]-Table1[[#This Row],[RET IVA]]-Table1[[#This Row],[RET ISR]]-Table1[[#This Row],[TOTAL]]</f>
        <v>0</v>
      </c>
      <c r="AE4578" s="152"/>
      <c r="AF4578" s="153"/>
      <c r="AG4578" s="126" t="s">
        <v>3420</v>
      </c>
      <c r="AK4578" s="306" t="str">
        <f>IF(ISNUMBER(Table1[[#This Row],[FECHA DE RECIBIDO]]), Table1[[#This Row],[FECHA DE RECIBIDO]]-DATE(2023,8,30), "")</f>
        <v/>
      </c>
    </row>
    <row r="4579" spans="1:37" ht="16.05" customHeight="1">
      <c r="A4579" s="150" t="s">
        <v>4609</v>
      </c>
      <c r="B4579" s="151">
        <v>1595</v>
      </c>
      <c r="C4579" s="189" t="s">
        <v>1771</v>
      </c>
      <c r="D4579">
        <v>3090</v>
      </c>
      <c r="E4579" s="126" t="s">
        <v>1624</v>
      </c>
      <c r="F4579" s="122" t="s">
        <v>1607</v>
      </c>
      <c r="G4579" s="122" t="s">
        <v>134</v>
      </c>
      <c r="H4579">
        <v>46</v>
      </c>
      <c r="I4579" s="122" t="s">
        <v>1546</v>
      </c>
      <c r="J4579" s="307" t="s">
        <v>214</v>
      </c>
      <c r="K4579" s="127" t="s">
        <v>4625</v>
      </c>
      <c r="L4579" s="151" t="s">
        <v>1579</v>
      </c>
      <c r="M4579">
        <v>58</v>
      </c>
      <c r="N4579" s="123">
        <v>17</v>
      </c>
      <c r="O4579">
        <v>2957</v>
      </c>
      <c r="P4579" s="132" t="s">
        <v>77</v>
      </c>
      <c r="Q4579" s="131">
        <v>1924.71</v>
      </c>
      <c r="R4579" s="131">
        <v>212.15</v>
      </c>
      <c r="S4579" s="131"/>
      <c r="T4579" s="155"/>
      <c r="U4579" s="131"/>
      <c r="V4579" s="131">
        <v>2136.86</v>
      </c>
      <c r="W4579">
        <v>225</v>
      </c>
      <c r="X4579" s="151" t="s">
        <v>1644</v>
      </c>
      <c r="Y4579" s="135" t="s">
        <v>55</v>
      </c>
      <c r="Z4579" s="307">
        <v>372</v>
      </c>
      <c r="AB4579" t="str">
        <f>IF(Table1[[#This Row],[TIPO2]]="costo", VLOOKUP(Table1[[#This Row],[PARTIDA PRESUPUESTAL]],'Cost Report'!G:G,1,0),"Balance")</f>
        <v>3901-039</v>
      </c>
      <c r="AC4579" s="118"/>
      <c r="AD4579" s="159">
        <f>+Table1[[#This Row],[SUBTOTAL]]+Table1[[#This Row],[IVA]]-Table1[[#This Row],[RET IVA]]-Table1[[#This Row],[RET ISR]]-Table1[[#This Row],[TOTAL]]</f>
        <v>0</v>
      </c>
      <c r="AE4579" s="150"/>
      <c r="AF4579" s="151"/>
      <c r="AG4579" s="126" t="s">
        <v>3420</v>
      </c>
      <c r="AK4579" s="306" t="str">
        <f>IF(ISNUMBER(Table1[[#This Row],[FECHA DE RECIBIDO]]), Table1[[#This Row],[FECHA DE RECIBIDO]]-DATE(2023,8,30), "")</f>
        <v/>
      </c>
    </row>
    <row r="4580" spans="1:37" ht="16.05" customHeight="1">
      <c r="A4580" s="152" t="s">
        <v>4609</v>
      </c>
      <c r="B4580" s="153">
        <v>1595</v>
      </c>
      <c r="C4580" s="126" t="s">
        <v>2953</v>
      </c>
      <c r="D4580">
        <v>3091</v>
      </c>
      <c r="E4580" s="126" t="s">
        <v>1624</v>
      </c>
      <c r="F4580" s="125" t="s">
        <v>1607</v>
      </c>
      <c r="G4580" s="125" t="s">
        <v>134</v>
      </c>
      <c r="H4580">
        <v>46</v>
      </c>
      <c r="I4580" s="125" t="s">
        <v>1546</v>
      </c>
      <c r="J4580" s="308" t="s">
        <v>214</v>
      </c>
      <c r="K4580" s="127" t="s">
        <v>4625</v>
      </c>
      <c r="L4580" s="153" t="s">
        <v>1579</v>
      </c>
      <c r="M4580">
        <v>58</v>
      </c>
      <c r="N4580" s="123">
        <v>17</v>
      </c>
      <c r="O4580">
        <v>2958</v>
      </c>
      <c r="P4580" s="132" t="s">
        <v>77</v>
      </c>
      <c r="Q4580" s="132">
        <v>3039.94</v>
      </c>
      <c r="R4580" s="132">
        <v>308.64</v>
      </c>
      <c r="S4580" s="132"/>
      <c r="T4580" s="156"/>
      <c r="U4580" s="132"/>
      <c r="V4580" s="132">
        <v>3348.58</v>
      </c>
      <c r="W4580">
        <v>225</v>
      </c>
      <c r="X4580" s="153" t="s">
        <v>1644</v>
      </c>
      <c r="Y4580" s="124" t="s">
        <v>55</v>
      </c>
      <c r="Z4580" s="308">
        <v>402</v>
      </c>
      <c r="AB4580" t="str">
        <f>IF(Table1[[#This Row],[TIPO2]]="costo", VLOOKUP(Table1[[#This Row],[PARTIDA PRESUPUESTAL]],'Cost Report'!G:G,1,0),"Balance")</f>
        <v>3901-049</v>
      </c>
      <c r="AC4580" s="118"/>
      <c r="AD4580" s="159">
        <f>+Table1[[#This Row],[SUBTOTAL]]+Table1[[#This Row],[IVA]]-Table1[[#This Row],[RET IVA]]-Table1[[#This Row],[RET ISR]]-Table1[[#This Row],[TOTAL]]</f>
        <v>0</v>
      </c>
      <c r="AE4580" s="152"/>
      <c r="AF4580" s="153"/>
      <c r="AG4580" s="126" t="s">
        <v>3420</v>
      </c>
      <c r="AK4580" s="306" t="str">
        <f>IF(ISNUMBER(Table1[[#This Row],[FECHA DE RECIBIDO]]), Table1[[#This Row],[FECHA DE RECIBIDO]]-DATE(2023,8,30), "")</f>
        <v/>
      </c>
    </row>
    <row r="4581" spans="1:37" ht="16.05" customHeight="1">
      <c r="A4581" s="150" t="s">
        <v>4609</v>
      </c>
      <c r="B4581" s="151">
        <v>1595</v>
      </c>
      <c r="C4581" s="126" t="s">
        <v>2953</v>
      </c>
      <c r="D4581">
        <v>3092</v>
      </c>
      <c r="E4581" s="126" t="s">
        <v>1624</v>
      </c>
      <c r="F4581" s="122" t="s">
        <v>1607</v>
      </c>
      <c r="G4581" s="122" t="s">
        <v>134</v>
      </c>
      <c r="H4581">
        <v>46</v>
      </c>
      <c r="I4581" s="122" t="s">
        <v>1546</v>
      </c>
      <c r="J4581" s="307" t="s">
        <v>214</v>
      </c>
      <c r="K4581" s="127" t="s">
        <v>4625</v>
      </c>
      <c r="L4581" s="151" t="s">
        <v>1579</v>
      </c>
      <c r="M4581">
        <v>58</v>
      </c>
      <c r="N4581" s="123">
        <v>17</v>
      </c>
      <c r="O4581">
        <v>2959</v>
      </c>
      <c r="P4581" s="132" t="s">
        <v>77</v>
      </c>
      <c r="Q4581" s="131">
        <v>2544.58</v>
      </c>
      <c r="R4581" s="131">
        <v>325.19</v>
      </c>
      <c r="S4581" s="131"/>
      <c r="T4581" s="155"/>
      <c r="U4581" s="131"/>
      <c r="V4581" s="131">
        <v>2869.77</v>
      </c>
      <c r="W4581">
        <v>225</v>
      </c>
      <c r="X4581" s="151" t="s">
        <v>1644</v>
      </c>
      <c r="Y4581" s="135" t="s">
        <v>55</v>
      </c>
      <c r="Z4581" s="307">
        <v>433</v>
      </c>
      <c r="AB4581" t="str">
        <f>IF(Table1[[#This Row],[TIPO2]]="costo", VLOOKUP(Table1[[#This Row],[PARTIDA PRESUPUESTAL]],'Cost Report'!G:G,1,0),"Balance")</f>
        <v>3901-049</v>
      </c>
      <c r="AC4581" s="118"/>
      <c r="AD4581" s="159">
        <f>+Table1[[#This Row],[SUBTOTAL]]+Table1[[#This Row],[IVA]]-Table1[[#This Row],[RET IVA]]-Table1[[#This Row],[RET ISR]]-Table1[[#This Row],[TOTAL]]</f>
        <v>0</v>
      </c>
      <c r="AE4581" s="150"/>
      <c r="AF4581" s="151"/>
      <c r="AG4581" s="126" t="s">
        <v>3420</v>
      </c>
      <c r="AK4581" s="306" t="str">
        <f>IF(ISNUMBER(Table1[[#This Row],[FECHA DE RECIBIDO]]), Table1[[#This Row],[FECHA DE RECIBIDO]]-DATE(2023,8,30), "")</f>
        <v/>
      </c>
    </row>
    <row r="4582" spans="1:37" ht="16.05" customHeight="1">
      <c r="A4582" s="152" t="s">
        <v>4609</v>
      </c>
      <c r="B4582" s="153">
        <v>1595</v>
      </c>
      <c r="C4582" s="126" t="s">
        <v>2953</v>
      </c>
      <c r="D4582">
        <v>3093</v>
      </c>
      <c r="E4582" s="126" t="s">
        <v>1624</v>
      </c>
      <c r="F4582" s="125" t="s">
        <v>1607</v>
      </c>
      <c r="G4582" s="125" t="s">
        <v>134</v>
      </c>
      <c r="H4582">
        <v>46</v>
      </c>
      <c r="I4582" s="125" t="s">
        <v>1546</v>
      </c>
      <c r="J4582" s="308" t="s">
        <v>214</v>
      </c>
      <c r="K4582" s="127" t="s">
        <v>4625</v>
      </c>
      <c r="L4582" s="153" t="s">
        <v>1579</v>
      </c>
      <c r="M4582">
        <v>58</v>
      </c>
      <c r="N4582" s="123">
        <v>17</v>
      </c>
      <c r="O4582">
        <v>2600</v>
      </c>
      <c r="P4582" s="132" t="s">
        <v>77</v>
      </c>
      <c r="Q4582" s="132">
        <v>905.19</v>
      </c>
      <c r="R4582" s="132">
        <v>144.83000000000001</v>
      </c>
      <c r="S4582" s="132"/>
      <c r="T4582" s="156"/>
      <c r="U4582" s="132"/>
      <c r="V4582" s="132">
        <v>1050.02</v>
      </c>
      <c r="W4582">
        <v>225</v>
      </c>
      <c r="X4582" s="153" t="s">
        <v>1644</v>
      </c>
      <c r="Y4582" s="124" t="s">
        <v>55</v>
      </c>
      <c r="Z4582" s="308">
        <v>433</v>
      </c>
      <c r="AB4582" t="str">
        <f>IF(Table1[[#This Row],[TIPO2]]="costo", VLOOKUP(Table1[[#This Row],[PARTIDA PRESUPUESTAL]],'Cost Report'!G:G,1,0),"Balance")</f>
        <v>3901-049</v>
      </c>
      <c r="AC4582" s="118"/>
      <c r="AD4582" s="159">
        <f>+Table1[[#This Row],[SUBTOTAL]]+Table1[[#This Row],[IVA]]-Table1[[#This Row],[RET IVA]]-Table1[[#This Row],[RET ISR]]-Table1[[#This Row],[TOTAL]]</f>
        <v>0</v>
      </c>
      <c r="AE4582" s="152"/>
      <c r="AF4582" s="153"/>
      <c r="AG4582" s="126" t="s">
        <v>3420</v>
      </c>
      <c r="AK4582" s="306" t="str">
        <f>IF(ISNUMBER(Table1[[#This Row],[FECHA DE RECIBIDO]]), Table1[[#This Row],[FECHA DE RECIBIDO]]-DATE(2023,8,30), "")</f>
        <v/>
      </c>
    </row>
    <row r="4583" spans="1:37" ht="16.05" customHeight="1">
      <c r="A4583" s="150" t="s">
        <v>4609</v>
      </c>
      <c r="B4583" s="151">
        <v>1595</v>
      </c>
      <c r="C4583" s="126" t="s">
        <v>1121</v>
      </c>
      <c r="D4583">
        <v>3094</v>
      </c>
      <c r="E4583" s="126" t="s">
        <v>1624</v>
      </c>
      <c r="F4583" s="122" t="s">
        <v>1607</v>
      </c>
      <c r="G4583" s="122" t="s">
        <v>134</v>
      </c>
      <c r="H4583">
        <v>46</v>
      </c>
      <c r="I4583" s="122" t="s">
        <v>1546</v>
      </c>
      <c r="J4583" s="307" t="s">
        <v>214</v>
      </c>
      <c r="K4583" s="127" t="s">
        <v>4625</v>
      </c>
      <c r="L4583" s="151" t="s">
        <v>1579</v>
      </c>
      <c r="M4583">
        <v>58</v>
      </c>
      <c r="N4583" s="123">
        <v>17</v>
      </c>
      <c r="O4583">
        <v>2960</v>
      </c>
      <c r="P4583" s="132" t="s">
        <v>77</v>
      </c>
      <c r="Q4583" s="131">
        <v>4342.3900000000003</v>
      </c>
      <c r="R4583" s="131">
        <v>612.84</v>
      </c>
      <c r="S4583" s="131"/>
      <c r="T4583" s="155"/>
      <c r="U4583" s="131"/>
      <c r="V4583" s="131">
        <v>4955.2300000000005</v>
      </c>
      <c r="W4583">
        <v>225</v>
      </c>
      <c r="X4583" s="151" t="s">
        <v>1644</v>
      </c>
      <c r="Y4583" s="135" t="s">
        <v>55</v>
      </c>
      <c r="Z4583" s="307">
        <v>433</v>
      </c>
      <c r="AB4583" t="str">
        <f>IF(Table1[[#This Row],[TIPO2]]="costo", VLOOKUP(Table1[[#This Row],[PARTIDA PRESUPUESTAL]],'Cost Report'!G:G,1,0),"Balance")</f>
        <v>3901-004</v>
      </c>
      <c r="AC4583" s="118"/>
      <c r="AD4583" s="159">
        <f>+Table1[[#This Row],[SUBTOTAL]]+Table1[[#This Row],[IVA]]-Table1[[#This Row],[RET IVA]]-Table1[[#This Row],[RET ISR]]-Table1[[#This Row],[TOTAL]]</f>
        <v>0</v>
      </c>
      <c r="AE4583" s="150"/>
      <c r="AF4583" s="151"/>
      <c r="AG4583" s="126" t="s">
        <v>3420</v>
      </c>
      <c r="AK4583" s="306" t="str">
        <f>IF(ISNUMBER(Table1[[#This Row],[FECHA DE RECIBIDO]]), Table1[[#This Row],[FECHA DE RECIBIDO]]-DATE(2023,8,30), "")</f>
        <v/>
      </c>
    </row>
    <row r="4584" spans="1:37" ht="16.05" customHeight="1">
      <c r="A4584" s="152" t="s">
        <v>4609</v>
      </c>
      <c r="B4584" s="153">
        <v>1595</v>
      </c>
      <c r="C4584" s="189" t="s">
        <v>1771</v>
      </c>
      <c r="D4584">
        <v>3095</v>
      </c>
      <c r="E4584" s="126" t="s">
        <v>1624</v>
      </c>
      <c r="F4584" s="125" t="s">
        <v>1607</v>
      </c>
      <c r="G4584" s="125" t="s">
        <v>134</v>
      </c>
      <c r="H4584">
        <v>46</v>
      </c>
      <c r="I4584" s="125" t="s">
        <v>1546</v>
      </c>
      <c r="J4584" s="308" t="s">
        <v>214</v>
      </c>
      <c r="K4584" s="127" t="s">
        <v>4625</v>
      </c>
      <c r="L4584" s="153" t="s">
        <v>1579</v>
      </c>
      <c r="M4584">
        <v>58</v>
      </c>
      <c r="N4584" s="123">
        <v>17</v>
      </c>
      <c r="O4584">
        <v>2961</v>
      </c>
      <c r="P4584" s="132" t="s">
        <v>77</v>
      </c>
      <c r="Q4584" s="132">
        <v>3728.69</v>
      </c>
      <c r="R4584" s="132">
        <v>418.84</v>
      </c>
      <c r="S4584" s="132"/>
      <c r="T4584" s="156"/>
      <c r="U4584" s="132"/>
      <c r="V4584" s="132">
        <v>4147.53</v>
      </c>
      <c r="W4584">
        <v>225</v>
      </c>
      <c r="X4584" s="153" t="s">
        <v>1644</v>
      </c>
      <c r="Y4584" s="124" t="s">
        <v>55</v>
      </c>
      <c r="Z4584" s="308">
        <v>433</v>
      </c>
      <c r="AB4584" t="str">
        <f>IF(Table1[[#This Row],[TIPO2]]="costo", VLOOKUP(Table1[[#This Row],[PARTIDA PRESUPUESTAL]],'Cost Report'!G:G,1,0),"Balance")</f>
        <v>3901-039</v>
      </c>
      <c r="AC4584" s="118"/>
      <c r="AD4584" s="159">
        <f>+Table1[[#This Row],[SUBTOTAL]]+Table1[[#This Row],[IVA]]-Table1[[#This Row],[RET IVA]]-Table1[[#This Row],[RET ISR]]-Table1[[#This Row],[TOTAL]]</f>
        <v>0</v>
      </c>
      <c r="AE4584" s="152"/>
      <c r="AF4584" s="153"/>
      <c r="AG4584" s="126" t="s">
        <v>3420</v>
      </c>
      <c r="AK4584" s="306" t="str">
        <f>IF(ISNUMBER(Table1[[#This Row],[FECHA DE RECIBIDO]]), Table1[[#This Row],[FECHA DE RECIBIDO]]-DATE(2023,8,30), "")</f>
        <v/>
      </c>
    </row>
    <row r="4585" spans="1:37" ht="16.05" customHeight="1">
      <c r="A4585" s="150" t="s">
        <v>4609</v>
      </c>
      <c r="B4585" s="151">
        <v>1595</v>
      </c>
      <c r="C4585" s="126" t="s">
        <v>1771</v>
      </c>
      <c r="D4585">
        <v>3096</v>
      </c>
      <c r="E4585" s="126" t="s">
        <v>1624</v>
      </c>
      <c r="F4585" s="122" t="s">
        <v>1607</v>
      </c>
      <c r="G4585" s="122" t="s">
        <v>134</v>
      </c>
      <c r="H4585">
        <v>46</v>
      </c>
      <c r="I4585" s="122" t="s">
        <v>1546</v>
      </c>
      <c r="J4585" s="307" t="s">
        <v>214</v>
      </c>
      <c r="K4585" s="127" t="s">
        <v>4625</v>
      </c>
      <c r="L4585" s="151" t="s">
        <v>1579</v>
      </c>
      <c r="M4585">
        <v>58</v>
      </c>
      <c r="N4585" s="123">
        <v>17</v>
      </c>
      <c r="O4585">
        <v>2962</v>
      </c>
      <c r="P4585" s="132" t="s">
        <v>77</v>
      </c>
      <c r="Q4585" s="131">
        <v>4107.51</v>
      </c>
      <c r="R4585" s="131">
        <v>493.32</v>
      </c>
      <c r="S4585" s="131"/>
      <c r="T4585" s="155"/>
      <c r="U4585" s="131"/>
      <c r="V4585" s="131">
        <v>4600.83</v>
      </c>
      <c r="W4585">
        <v>225</v>
      </c>
      <c r="X4585" s="151" t="s">
        <v>1644</v>
      </c>
      <c r="Y4585" s="135" t="s">
        <v>55</v>
      </c>
      <c r="Z4585" s="307" t="s">
        <v>214</v>
      </c>
      <c r="AB4585" t="str">
        <f>IF(Table1[[#This Row],[TIPO2]]="costo", VLOOKUP(Table1[[#This Row],[PARTIDA PRESUPUESTAL]],'Cost Report'!G:G,1,0),"Balance")</f>
        <v>3901-039</v>
      </c>
      <c r="AC4585" s="118"/>
      <c r="AD4585" s="159">
        <f>+Table1[[#This Row],[SUBTOTAL]]+Table1[[#This Row],[IVA]]-Table1[[#This Row],[RET IVA]]-Table1[[#This Row],[RET ISR]]-Table1[[#This Row],[TOTAL]]</f>
        <v>0</v>
      </c>
      <c r="AE4585" s="150"/>
      <c r="AF4585" s="151"/>
      <c r="AG4585" s="126" t="s">
        <v>3420</v>
      </c>
      <c r="AK4585" s="306" t="str">
        <f>IF(ISNUMBER(Table1[[#This Row],[FECHA DE RECIBIDO]]), Table1[[#This Row],[FECHA DE RECIBIDO]]-DATE(2023,8,30), "")</f>
        <v/>
      </c>
    </row>
    <row r="4586" spans="1:37" ht="16.05" customHeight="1">
      <c r="A4586" s="152" t="s">
        <v>4609</v>
      </c>
      <c r="B4586" s="153">
        <v>1595</v>
      </c>
      <c r="C4586" s="126" t="s">
        <v>4210</v>
      </c>
      <c r="D4586">
        <v>3097</v>
      </c>
      <c r="E4586" s="126" t="s">
        <v>2075</v>
      </c>
      <c r="F4586" s="125" t="s">
        <v>2062</v>
      </c>
      <c r="G4586" s="125"/>
      <c r="H4586">
        <v>146</v>
      </c>
      <c r="I4586" s="125" t="s">
        <v>1546</v>
      </c>
      <c r="J4586" s="308" t="s">
        <v>214</v>
      </c>
      <c r="K4586" s="127" t="s">
        <v>4625</v>
      </c>
      <c r="L4586" s="153" t="s">
        <v>1579</v>
      </c>
      <c r="M4586">
        <v>1133</v>
      </c>
      <c r="N4586" s="123">
        <v>17</v>
      </c>
      <c r="O4586">
        <v>2963</v>
      </c>
      <c r="P4586" s="132" t="s">
        <v>77</v>
      </c>
      <c r="Q4586" s="132">
        <v>991.38</v>
      </c>
      <c r="R4586" s="132">
        <v>158.62</v>
      </c>
      <c r="S4586" s="132"/>
      <c r="T4586" s="156"/>
      <c r="U4586" s="132"/>
      <c r="V4586" s="132">
        <v>1150</v>
      </c>
      <c r="W4586">
        <v>225</v>
      </c>
      <c r="X4586" s="153" t="s">
        <v>1644</v>
      </c>
      <c r="Y4586" s="124" t="s">
        <v>55</v>
      </c>
      <c r="Z4586" s="308" t="s">
        <v>214</v>
      </c>
      <c r="AB4586" t="str">
        <f>IF(Table1[[#This Row],[TIPO2]]="costo", VLOOKUP(Table1[[#This Row],[PARTIDA PRESUPUESTAL]],'Cost Report'!G:G,1,0),"Balance")</f>
        <v>3901-051</v>
      </c>
      <c r="AC4586" s="118"/>
      <c r="AD4586" s="159">
        <f>+Table1[[#This Row],[SUBTOTAL]]+Table1[[#This Row],[IVA]]-Table1[[#This Row],[RET IVA]]-Table1[[#This Row],[RET ISR]]-Table1[[#This Row],[TOTAL]]</f>
        <v>0</v>
      </c>
      <c r="AE4586" s="152"/>
      <c r="AF4586" s="153"/>
      <c r="AG4586" s="126" t="s">
        <v>3420</v>
      </c>
      <c r="AK4586" s="306" t="str">
        <f>IF(ISNUMBER(Table1[[#This Row],[FECHA DE RECIBIDO]]), Table1[[#This Row],[FECHA DE RECIBIDO]]-DATE(2023,8,30), "")</f>
        <v/>
      </c>
    </row>
    <row r="4587" spans="1:37" ht="16.05" customHeight="1">
      <c r="A4587" s="150" t="s">
        <v>4610</v>
      </c>
      <c r="B4587" s="151">
        <v>1596</v>
      </c>
      <c r="C4587" s="126" t="s">
        <v>2596</v>
      </c>
      <c r="D4587">
        <v>3098</v>
      </c>
      <c r="E4587" s="126" t="s">
        <v>2109</v>
      </c>
      <c r="F4587" s="122" t="s">
        <v>1607</v>
      </c>
      <c r="G4587" s="122" t="s">
        <v>134</v>
      </c>
      <c r="H4587">
        <v>595</v>
      </c>
      <c r="I4587" s="122" t="s">
        <v>1546</v>
      </c>
      <c r="J4587" s="307" t="s">
        <v>214</v>
      </c>
      <c r="K4587" s="127" t="s">
        <v>4625</v>
      </c>
      <c r="L4587" s="151" t="s">
        <v>1579</v>
      </c>
      <c r="M4587">
        <v>842</v>
      </c>
      <c r="N4587" s="123">
        <v>17</v>
      </c>
      <c r="O4587">
        <v>905</v>
      </c>
      <c r="P4587" s="132" t="s">
        <v>77</v>
      </c>
      <c r="Q4587" s="131">
        <v>17.239999999999998</v>
      </c>
      <c r="R4587" s="131">
        <v>2.76</v>
      </c>
      <c r="S4587" s="131"/>
      <c r="T4587" s="155"/>
      <c r="U4587" s="131"/>
      <c r="V4587" s="131">
        <v>20</v>
      </c>
      <c r="W4587">
        <v>61</v>
      </c>
      <c r="X4587" s="151" t="s">
        <v>1644</v>
      </c>
      <c r="Y4587" s="135" t="s">
        <v>55</v>
      </c>
      <c r="Z4587" s="307">
        <v>246</v>
      </c>
      <c r="AB4587" t="str">
        <f>IF(Table1[[#This Row],[TIPO2]]="costo", VLOOKUP(Table1[[#This Row],[PARTIDA PRESUPUESTAL]],'Cost Report'!G:G,1,0),"Balance")</f>
        <v>2794-003</v>
      </c>
      <c r="AC4587" s="118"/>
      <c r="AD4587" s="159">
        <f>+Table1[[#This Row],[SUBTOTAL]]+Table1[[#This Row],[IVA]]-Table1[[#This Row],[RET IVA]]-Table1[[#This Row],[RET ISR]]-Table1[[#This Row],[TOTAL]]</f>
        <v>0</v>
      </c>
      <c r="AE4587" s="150"/>
      <c r="AF4587" s="151"/>
      <c r="AG4587" s="126" t="s">
        <v>3420</v>
      </c>
      <c r="AK4587" s="306" t="str">
        <f>IF(ISNUMBER(Table1[[#This Row],[FECHA DE RECIBIDO]]), Table1[[#This Row],[FECHA DE RECIBIDO]]-DATE(2023,8,30), "")</f>
        <v/>
      </c>
    </row>
    <row r="4588" spans="1:37" ht="16.05" customHeight="1">
      <c r="A4588" s="152" t="s">
        <v>4610</v>
      </c>
      <c r="B4588" s="153">
        <v>1596</v>
      </c>
      <c r="C4588" s="126" t="s">
        <v>2596</v>
      </c>
      <c r="D4588">
        <v>3099</v>
      </c>
      <c r="E4588" s="126" t="s">
        <v>1596</v>
      </c>
      <c r="F4588" s="125" t="s">
        <v>1607</v>
      </c>
      <c r="G4588" s="125" t="s">
        <v>134</v>
      </c>
      <c r="H4588">
        <v>819</v>
      </c>
      <c r="I4588" s="125" t="s">
        <v>1546</v>
      </c>
      <c r="J4588" s="308" t="s">
        <v>214</v>
      </c>
      <c r="K4588" s="127" t="s">
        <v>4625</v>
      </c>
      <c r="L4588" s="153" t="s">
        <v>1579</v>
      </c>
      <c r="M4588">
        <v>1134</v>
      </c>
      <c r="N4588" s="123">
        <v>17</v>
      </c>
      <c r="O4588">
        <v>2964</v>
      </c>
      <c r="P4588" s="132" t="s">
        <v>77</v>
      </c>
      <c r="Q4588" s="132">
        <v>86.2</v>
      </c>
      <c r="R4588" s="132">
        <v>13.79</v>
      </c>
      <c r="S4588" s="132"/>
      <c r="T4588" s="156"/>
      <c r="U4588" s="132"/>
      <c r="V4588" s="132">
        <v>99.990000000000009</v>
      </c>
      <c r="W4588">
        <v>61</v>
      </c>
      <c r="X4588" s="153" t="s">
        <v>1644</v>
      </c>
      <c r="Y4588" s="124" t="s">
        <v>55</v>
      </c>
      <c r="Z4588" s="308">
        <v>250</v>
      </c>
      <c r="AB4588" t="str">
        <f>IF(Table1[[#This Row],[TIPO2]]="costo", VLOOKUP(Table1[[#This Row],[PARTIDA PRESUPUESTAL]],'Cost Report'!G:G,1,0),"Balance")</f>
        <v>2794-003</v>
      </c>
      <c r="AC4588" s="118"/>
      <c r="AD4588" s="159">
        <f>+Table1[[#This Row],[SUBTOTAL]]+Table1[[#This Row],[IVA]]-Table1[[#This Row],[RET IVA]]-Table1[[#This Row],[RET ISR]]-Table1[[#This Row],[TOTAL]]</f>
        <v>0</v>
      </c>
      <c r="AE4588" s="152"/>
      <c r="AF4588" s="153"/>
      <c r="AG4588" s="126" t="s">
        <v>3420</v>
      </c>
      <c r="AK4588" s="306" t="str">
        <f>IF(ISNUMBER(Table1[[#This Row],[FECHA DE RECIBIDO]]), Table1[[#This Row],[FECHA DE RECIBIDO]]-DATE(2023,8,30), "")</f>
        <v/>
      </c>
    </row>
    <row r="4589" spans="1:37" ht="16.05" customHeight="1">
      <c r="A4589" s="150" t="s">
        <v>4610</v>
      </c>
      <c r="B4589" s="151">
        <v>1596</v>
      </c>
      <c r="C4589" s="126" t="s">
        <v>2596</v>
      </c>
      <c r="D4589">
        <v>3100</v>
      </c>
      <c r="E4589" s="126" t="s">
        <v>1997</v>
      </c>
      <c r="F4589" s="122" t="s">
        <v>1607</v>
      </c>
      <c r="G4589" s="122" t="s">
        <v>134</v>
      </c>
      <c r="H4589">
        <v>820</v>
      </c>
      <c r="I4589" s="122" t="s">
        <v>1546</v>
      </c>
      <c r="J4589" s="307" t="s">
        <v>214</v>
      </c>
      <c r="K4589" s="127" t="s">
        <v>4625</v>
      </c>
      <c r="L4589" s="151" t="s">
        <v>1579</v>
      </c>
      <c r="M4589">
        <v>1135</v>
      </c>
      <c r="N4589" s="123">
        <v>17</v>
      </c>
      <c r="O4589">
        <v>2965</v>
      </c>
      <c r="P4589" s="132" t="s">
        <v>77</v>
      </c>
      <c r="Q4589" s="131">
        <v>5120.7</v>
      </c>
      <c r="R4589" s="131">
        <v>819.3</v>
      </c>
      <c r="S4589" s="131"/>
      <c r="T4589" s="155"/>
      <c r="U4589" s="131"/>
      <c r="V4589" s="131">
        <v>5940</v>
      </c>
      <c r="W4589">
        <v>61</v>
      </c>
      <c r="X4589" s="151" t="s">
        <v>1644</v>
      </c>
      <c r="Y4589" s="135" t="s">
        <v>55</v>
      </c>
      <c r="Z4589" s="307">
        <v>251</v>
      </c>
      <c r="AB4589" t="str">
        <f>IF(Table1[[#This Row],[TIPO2]]="costo", VLOOKUP(Table1[[#This Row],[PARTIDA PRESUPUESTAL]],'Cost Report'!G:G,1,0),"Balance")</f>
        <v>2794-003</v>
      </c>
      <c r="AC4589" s="118"/>
      <c r="AD4589" s="159">
        <f>+Table1[[#This Row],[SUBTOTAL]]+Table1[[#This Row],[IVA]]-Table1[[#This Row],[RET IVA]]-Table1[[#This Row],[RET ISR]]-Table1[[#This Row],[TOTAL]]</f>
        <v>0</v>
      </c>
      <c r="AE4589" s="150"/>
      <c r="AF4589" s="151"/>
      <c r="AG4589" s="126" t="s">
        <v>3420</v>
      </c>
      <c r="AK4589" s="306" t="str">
        <f>IF(ISNUMBER(Table1[[#This Row],[FECHA DE RECIBIDO]]), Table1[[#This Row],[FECHA DE RECIBIDO]]-DATE(2023,8,30), "")</f>
        <v/>
      </c>
    </row>
    <row r="4590" spans="1:37" ht="16.05" customHeight="1">
      <c r="A4590" s="152" t="s">
        <v>4610</v>
      </c>
      <c r="B4590" s="153">
        <v>1596</v>
      </c>
      <c r="C4590" s="126" t="s">
        <v>2596</v>
      </c>
      <c r="D4590">
        <v>3101</v>
      </c>
      <c r="E4590" s="126" t="s">
        <v>1645</v>
      </c>
      <c r="F4590" s="125" t="s">
        <v>1607</v>
      </c>
      <c r="G4590" s="125" t="s">
        <v>134</v>
      </c>
      <c r="H4590">
        <v>821</v>
      </c>
      <c r="I4590" s="125" t="s">
        <v>1546</v>
      </c>
      <c r="J4590" s="308" t="s">
        <v>214</v>
      </c>
      <c r="K4590" s="127" t="s">
        <v>4625</v>
      </c>
      <c r="L4590" s="153" t="s">
        <v>1579</v>
      </c>
      <c r="M4590">
        <v>1136</v>
      </c>
      <c r="N4590" s="123">
        <v>17</v>
      </c>
      <c r="O4590">
        <v>2966</v>
      </c>
      <c r="P4590" s="132" t="s">
        <v>77</v>
      </c>
      <c r="Q4590" s="132">
        <v>6163.79</v>
      </c>
      <c r="R4590" s="132">
        <v>986.21</v>
      </c>
      <c r="S4590" s="132"/>
      <c r="T4590" s="156"/>
      <c r="U4590" s="132"/>
      <c r="V4590" s="132">
        <v>7150</v>
      </c>
      <c r="W4590">
        <v>61</v>
      </c>
      <c r="X4590" s="153" t="s">
        <v>1644</v>
      </c>
      <c r="Y4590" s="124" t="s">
        <v>55</v>
      </c>
      <c r="Z4590" s="308">
        <v>252</v>
      </c>
      <c r="AB4590" t="str">
        <f>IF(Table1[[#This Row],[TIPO2]]="costo", VLOOKUP(Table1[[#This Row],[PARTIDA PRESUPUESTAL]],'Cost Report'!G:G,1,0),"Balance")</f>
        <v>2794-003</v>
      </c>
      <c r="AC4590" s="118"/>
      <c r="AD4590" s="159">
        <f>+Table1[[#This Row],[SUBTOTAL]]+Table1[[#This Row],[IVA]]-Table1[[#This Row],[RET IVA]]-Table1[[#This Row],[RET ISR]]-Table1[[#This Row],[TOTAL]]</f>
        <v>0</v>
      </c>
      <c r="AE4590" s="152"/>
      <c r="AF4590" s="153"/>
      <c r="AG4590" s="126" t="s">
        <v>3420</v>
      </c>
      <c r="AK4590" s="306" t="str">
        <f>IF(ISNUMBER(Table1[[#This Row],[FECHA DE RECIBIDO]]), Table1[[#This Row],[FECHA DE RECIBIDO]]-DATE(2023,8,30), "")</f>
        <v/>
      </c>
    </row>
    <row r="4591" spans="1:37" ht="16.05" customHeight="1">
      <c r="A4591" s="150" t="s">
        <v>4610</v>
      </c>
      <c r="B4591" s="151">
        <v>1596</v>
      </c>
      <c r="C4591" s="126" t="s">
        <v>2596</v>
      </c>
      <c r="D4591">
        <v>3102</v>
      </c>
      <c r="E4591" s="126" t="s">
        <v>2003</v>
      </c>
      <c r="F4591" s="122" t="s">
        <v>1607</v>
      </c>
      <c r="G4591" s="122" t="s">
        <v>134</v>
      </c>
      <c r="H4591">
        <v>179</v>
      </c>
      <c r="I4591" s="122" t="s">
        <v>1546</v>
      </c>
      <c r="J4591" s="307" t="s">
        <v>214</v>
      </c>
      <c r="K4591" s="127" t="s">
        <v>4625</v>
      </c>
      <c r="L4591" s="151" t="s">
        <v>1579</v>
      </c>
      <c r="M4591">
        <v>1137</v>
      </c>
      <c r="N4591" s="123">
        <v>17</v>
      </c>
      <c r="O4591">
        <v>1939</v>
      </c>
      <c r="P4591" s="132" t="s">
        <v>77</v>
      </c>
      <c r="Q4591" s="131">
        <v>262.98</v>
      </c>
      <c r="R4591" s="131">
        <v>42.08</v>
      </c>
      <c r="S4591" s="131"/>
      <c r="T4591" s="155"/>
      <c r="U4591" s="131"/>
      <c r="V4591" s="131">
        <v>305.06</v>
      </c>
      <c r="W4591">
        <v>61</v>
      </c>
      <c r="X4591" s="151" t="s">
        <v>1644</v>
      </c>
      <c r="Y4591" s="135" t="s">
        <v>55</v>
      </c>
      <c r="Z4591" s="307">
        <v>252</v>
      </c>
      <c r="AB4591" t="str">
        <f>IF(Table1[[#This Row],[TIPO2]]="costo", VLOOKUP(Table1[[#This Row],[PARTIDA PRESUPUESTAL]],'Cost Report'!G:G,1,0),"Balance")</f>
        <v>2794-003</v>
      </c>
      <c r="AC4591" s="118"/>
      <c r="AD4591" s="159">
        <f>+Table1[[#This Row],[SUBTOTAL]]+Table1[[#This Row],[IVA]]-Table1[[#This Row],[RET IVA]]-Table1[[#This Row],[RET ISR]]-Table1[[#This Row],[TOTAL]]</f>
        <v>0</v>
      </c>
      <c r="AE4591" s="150"/>
      <c r="AF4591" s="151"/>
      <c r="AG4591" s="126" t="s">
        <v>3420</v>
      </c>
      <c r="AK4591" s="306" t="str">
        <f>IF(ISNUMBER(Table1[[#This Row],[FECHA DE RECIBIDO]]), Table1[[#This Row],[FECHA DE RECIBIDO]]-DATE(2023,8,30), "")</f>
        <v/>
      </c>
    </row>
    <row r="4592" spans="1:37" ht="16.05" customHeight="1">
      <c r="A4592" s="152" t="s">
        <v>4610</v>
      </c>
      <c r="B4592" s="153">
        <v>1596</v>
      </c>
      <c r="C4592" s="126" t="s">
        <v>2596</v>
      </c>
      <c r="D4592">
        <v>3103</v>
      </c>
      <c r="E4592" s="126" t="s">
        <v>2003</v>
      </c>
      <c r="F4592" s="125" t="s">
        <v>1607</v>
      </c>
      <c r="G4592" s="125" t="s">
        <v>134</v>
      </c>
      <c r="H4592">
        <v>179</v>
      </c>
      <c r="I4592" s="125" t="s">
        <v>1546</v>
      </c>
      <c r="J4592" s="308" t="s">
        <v>214</v>
      </c>
      <c r="K4592" s="127" t="s">
        <v>4625</v>
      </c>
      <c r="L4592" s="153" t="s">
        <v>1579</v>
      </c>
      <c r="M4592">
        <v>1137</v>
      </c>
      <c r="N4592" s="123">
        <v>17</v>
      </c>
      <c r="O4592">
        <v>1939</v>
      </c>
      <c r="P4592" s="132" t="s">
        <v>77</v>
      </c>
      <c r="Q4592" s="132">
        <v>104.13</v>
      </c>
      <c r="R4592" s="132">
        <v>16.66</v>
      </c>
      <c r="S4592" s="132"/>
      <c r="T4592" s="156"/>
      <c r="U4592" s="132"/>
      <c r="V4592" s="132">
        <v>120.78999999999999</v>
      </c>
      <c r="W4592">
        <v>61</v>
      </c>
      <c r="X4592" s="153" t="s">
        <v>1644</v>
      </c>
      <c r="Y4592" s="124" t="s">
        <v>55</v>
      </c>
      <c r="Z4592" s="308">
        <v>252</v>
      </c>
      <c r="AB4592" t="str">
        <f>IF(Table1[[#This Row],[TIPO2]]="costo", VLOOKUP(Table1[[#This Row],[PARTIDA PRESUPUESTAL]],'Cost Report'!G:G,1,0),"Balance")</f>
        <v>2794-003</v>
      </c>
      <c r="AC4592" s="118"/>
      <c r="AD4592" s="159">
        <f>+Table1[[#This Row],[SUBTOTAL]]+Table1[[#This Row],[IVA]]-Table1[[#This Row],[RET IVA]]-Table1[[#This Row],[RET ISR]]-Table1[[#This Row],[TOTAL]]</f>
        <v>0</v>
      </c>
      <c r="AE4592" s="152"/>
      <c r="AF4592" s="153"/>
      <c r="AG4592" s="126" t="s">
        <v>3420</v>
      </c>
      <c r="AK4592" s="306" t="str">
        <f>IF(ISNUMBER(Table1[[#This Row],[FECHA DE RECIBIDO]]), Table1[[#This Row],[FECHA DE RECIBIDO]]-DATE(2023,8,30), "")</f>
        <v/>
      </c>
    </row>
    <row r="4593" spans="1:37" ht="16.05" customHeight="1">
      <c r="A4593" s="150" t="s">
        <v>4610</v>
      </c>
      <c r="B4593" s="151">
        <v>1596</v>
      </c>
      <c r="C4593" s="126" t="s">
        <v>2596</v>
      </c>
      <c r="D4593">
        <v>3104</v>
      </c>
      <c r="E4593" s="126" t="s">
        <v>1598</v>
      </c>
      <c r="F4593" s="122" t="s">
        <v>1607</v>
      </c>
      <c r="G4593" s="122" t="s">
        <v>134</v>
      </c>
      <c r="H4593">
        <v>393</v>
      </c>
      <c r="I4593" s="122" t="s">
        <v>1546</v>
      </c>
      <c r="J4593" s="307" t="s">
        <v>214</v>
      </c>
      <c r="K4593" s="127" t="s">
        <v>4625</v>
      </c>
      <c r="L4593" s="151" t="s">
        <v>1579</v>
      </c>
      <c r="M4593">
        <v>522</v>
      </c>
      <c r="N4593" s="123">
        <v>17</v>
      </c>
      <c r="O4593">
        <v>905</v>
      </c>
      <c r="P4593" s="132" t="s">
        <v>77</v>
      </c>
      <c r="Q4593" s="131">
        <v>103.45</v>
      </c>
      <c r="R4593" s="131">
        <v>16.55</v>
      </c>
      <c r="S4593" s="131"/>
      <c r="T4593" s="155"/>
      <c r="U4593" s="131"/>
      <c r="V4593" s="131">
        <v>120</v>
      </c>
      <c r="W4593">
        <v>61</v>
      </c>
      <c r="X4593" s="151" t="s">
        <v>1644</v>
      </c>
      <c r="Y4593" s="135" t="s">
        <v>55</v>
      </c>
      <c r="Z4593" s="307">
        <v>253</v>
      </c>
      <c r="AB4593" t="str">
        <f>IF(Table1[[#This Row],[TIPO2]]="costo", VLOOKUP(Table1[[#This Row],[PARTIDA PRESUPUESTAL]],'Cost Report'!G:G,1,0),"Balance")</f>
        <v>2794-003</v>
      </c>
      <c r="AC4593" s="118"/>
      <c r="AD4593" s="159">
        <f>+Table1[[#This Row],[SUBTOTAL]]+Table1[[#This Row],[IVA]]-Table1[[#This Row],[RET IVA]]-Table1[[#This Row],[RET ISR]]-Table1[[#This Row],[TOTAL]]</f>
        <v>0</v>
      </c>
      <c r="AE4593" s="150"/>
      <c r="AF4593" s="151"/>
      <c r="AG4593" s="126" t="s">
        <v>3420</v>
      </c>
      <c r="AK4593" s="306" t="str">
        <f>IF(ISNUMBER(Table1[[#This Row],[FECHA DE RECIBIDO]]), Table1[[#This Row],[FECHA DE RECIBIDO]]-DATE(2023,8,30), "")</f>
        <v/>
      </c>
    </row>
    <row r="4594" spans="1:37" ht="16.05" customHeight="1">
      <c r="A4594" s="152" t="s">
        <v>4610</v>
      </c>
      <c r="B4594" s="153">
        <v>1596</v>
      </c>
      <c r="C4594" s="126" t="s">
        <v>2596</v>
      </c>
      <c r="D4594">
        <v>3105</v>
      </c>
      <c r="E4594" s="126" t="s">
        <v>2008</v>
      </c>
      <c r="F4594" s="125" t="s">
        <v>1607</v>
      </c>
      <c r="G4594" s="125" t="s">
        <v>134</v>
      </c>
      <c r="H4594">
        <v>102</v>
      </c>
      <c r="I4594" s="125" t="s">
        <v>1546</v>
      </c>
      <c r="J4594" s="308" t="s">
        <v>214</v>
      </c>
      <c r="K4594" s="127" t="s">
        <v>4625</v>
      </c>
      <c r="L4594" s="153" t="s">
        <v>1579</v>
      </c>
      <c r="M4594">
        <v>137</v>
      </c>
      <c r="N4594" s="123">
        <v>17</v>
      </c>
      <c r="O4594">
        <v>2967</v>
      </c>
      <c r="P4594" s="132" t="s">
        <v>77</v>
      </c>
      <c r="Q4594" s="132">
        <v>1119.83</v>
      </c>
      <c r="R4594" s="132">
        <v>179.17</v>
      </c>
      <c r="S4594" s="132"/>
      <c r="T4594" s="156"/>
      <c r="U4594" s="132"/>
      <c r="V4594" s="132">
        <v>1299</v>
      </c>
      <c r="W4594">
        <v>61</v>
      </c>
      <c r="X4594" s="153" t="s">
        <v>1644</v>
      </c>
      <c r="Y4594" s="124" t="s">
        <v>55</v>
      </c>
      <c r="Z4594" s="308">
        <v>253</v>
      </c>
      <c r="AB4594" t="str">
        <f>IF(Table1[[#This Row],[TIPO2]]="costo", VLOOKUP(Table1[[#This Row],[PARTIDA PRESUPUESTAL]],'Cost Report'!G:G,1,0),"Balance")</f>
        <v>2794-003</v>
      </c>
      <c r="AC4594" s="118"/>
      <c r="AD4594" s="159">
        <f>+Table1[[#This Row],[SUBTOTAL]]+Table1[[#This Row],[IVA]]-Table1[[#This Row],[RET IVA]]-Table1[[#This Row],[RET ISR]]-Table1[[#This Row],[TOTAL]]</f>
        <v>0</v>
      </c>
      <c r="AE4594" s="152"/>
      <c r="AF4594" s="153"/>
      <c r="AG4594" s="126" t="s">
        <v>3420</v>
      </c>
      <c r="AK4594" s="306" t="str">
        <f>IF(ISNUMBER(Table1[[#This Row],[FECHA DE RECIBIDO]]), Table1[[#This Row],[FECHA DE RECIBIDO]]-DATE(2023,8,30), "")</f>
        <v/>
      </c>
    </row>
    <row r="4595" spans="1:37" ht="16.05" customHeight="1">
      <c r="A4595" s="150" t="s">
        <v>4610</v>
      </c>
      <c r="B4595" s="151">
        <v>1596</v>
      </c>
      <c r="C4595" s="126" t="s">
        <v>2596</v>
      </c>
      <c r="D4595">
        <v>3106</v>
      </c>
      <c r="E4595" s="126" t="s">
        <v>3356</v>
      </c>
      <c r="F4595" s="122" t="s">
        <v>1607</v>
      </c>
      <c r="G4595" s="122" t="s">
        <v>134</v>
      </c>
      <c r="H4595">
        <v>177</v>
      </c>
      <c r="I4595" s="122" t="s">
        <v>1546</v>
      </c>
      <c r="J4595" s="307" t="s">
        <v>214</v>
      </c>
      <c r="K4595" s="127" t="s">
        <v>4625</v>
      </c>
      <c r="L4595" s="151" t="s">
        <v>1579</v>
      </c>
      <c r="M4595">
        <v>238</v>
      </c>
      <c r="N4595" s="123">
        <v>17</v>
      </c>
      <c r="O4595">
        <v>2968</v>
      </c>
      <c r="P4595" s="132" t="s">
        <v>77</v>
      </c>
      <c r="Q4595" s="131">
        <v>8.6</v>
      </c>
      <c r="R4595" s="131">
        <v>1.38</v>
      </c>
      <c r="S4595" s="131"/>
      <c r="T4595" s="155"/>
      <c r="U4595" s="131"/>
      <c r="V4595" s="131">
        <v>9.98</v>
      </c>
      <c r="W4595">
        <v>61</v>
      </c>
      <c r="X4595" s="151" t="s">
        <v>1644</v>
      </c>
      <c r="Y4595" s="135" t="s">
        <v>55</v>
      </c>
      <c r="Z4595" s="307">
        <v>253</v>
      </c>
      <c r="AB4595" t="str">
        <f>IF(Table1[[#This Row],[TIPO2]]="costo", VLOOKUP(Table1[[#This Row],[PARTIDA PRESUPUESTAL]],'Cost Report'!G:G,1,0),"Balance")</f>
        <v>2794-003</v>
      </c>
      <c r="AC4595" s="118"/>
      <c r="AD4595" s="159">
        <f>+Table1[[#This Row],[SUBTOTAL]]+Table1[[#This Row],[IVA]]-Table1[[#This Row],[RET IVA]]-Table1[[#This Row],[RET ISR]]-Table1[[#This Row],[TOTAL]]</f>
        <v>0</v>
      </c>
      <c r="AE4595" s="150"/>
      <c r="AF4595" s="151"/>
      <c r="AG4595" s="126" t="s">
        <v>3420</v>
      </c>
      <c r="AK4595" s="306" t="str">
        <f>IF(ISNUMBER(Table1[[#This Row],[FECHA DE RECIBIDO]]), Table1[[#This Row],[FECHA DE RECIBIDO]]-DATE(2023,8,30), "")</f>
        <v/>
      </c>
    </row>
    <row r="4596" spans="1:37" ht="16.05" customHeight="1">
      <c r="A4596" s="152" t="s">
        <v>4610</v>
      </c>
      <c r="B4596" s="153">
        <v>1596</v>
      </c>
      <c r="C4596" s="126" t="s">
        <v>2596</v>
      </c>
      <c r="D4596">
        <v>3107</v>
      </c>
      <c r="E4596" s="126" t="s">
        <v>1598</v>
      </c>
      <c r="F4596" s="125" t="s">
        <v>1607</v>
      </c>
      <c r="G4596" s="125" t="s">
        <v>134</v>
      </c>
      <c r="H4596">
        <v>156</v>
      </c>
      <c r="I4596" s="125" t="s">
        <v>1546</v>
      </c>
      <c r="J4596" s="308" t="s">
        <v>214</v>
      </c>
      <c r="K4596" s="127" t="s">
        <v>4625</v>
      </c>
      <c r="L4596" s="153" t="s">
        <v>1579</v>
      </c>
      <c r="M4596">
        <v>207</v>
      </c>
      <c r="N4596" s="123">
        <v>17</v>
      </c>
      <c r="O4596">
        <v>2969</v>
      </c>
      <c r="P4596" s="132" t="s">
        <v>77</v>
      </c>
      <c r="Q4596" s="132">
        <v>309.48</v>
      </c>
      <c r="R4596" s="132">
        <v>49.52</v>
      </c>
      <c r="S4596" s="132"/>
      <c r="T4596" s="156"/>
      <c r="U4596" s="132"/>
      <c r="V4596" s="132">
        <v>359</v>
      </c>
      <c r="W4596">
        <v>61</v>
      </c>
      <c r="X4596" s="153" t="s">
        <v>1644</v>
      </c>
      <c r="Y4596" s="124" t="s">
        <v>55</v>
      </c>
      <c r="Z4596" s="308">
        <v>253</v>
      </c>
      <c r="AB4596" t="str">
        <f>IF(Table1[[#This Row],[TIPO2]]="costo", VLOOKUP(Table1[[#This Row],[PARTIDA PRESUPUESTAL]],'Cost Report'!G:G,1,0),"Balance")</f>
        <v>2794-003</v>
      </c>
      <c r="AC4596" s="118"/>
      <c r="AD4596" s="159">
        <f>+Table1[[#This Row],[SUBTOTAL]]+Table1[[#This Row],[IVA]]-Table1[[#This Row],[RET IVA]]-Table1[[#This Row],[RET ISR]]-Table1[[#This Row],[TOTAL]]</f>
        <v>0</v>
      </c>
      <c r="AE4596" s="152"/>
      <c r="AF4596" s="153"/>
      <c r="AG4596" s="126" t="s">
        <v>3420</v>
      </c>
      <c r="AK4596" s="306" t="str">
        <f>IF(ISNUMBER(Table1[[#This Row],[FECHA DE RECIBIDO]]), Table1[[#This Row],[FECHA DE RECIBIDO]]-DATE(2023,8,30), "")</f>
        <v/>
      </c>
    </row>
    <row r="4597" spans="1:37" ht="16.05" customHeight="1">
      <c r="A4597" s="150" t="s">
        <v>4610</v>
      </c>
      <c r="B4597" s="151">
        <v>1596</v>
      </c>
      <c r="C4597" s="126" t="s">
        <v>2596</v>
      </c>
      <c r="D4597">
        <v>3108</v>
      </c>
      <c r="E4597" s="126" t="s">
        <v>1598</v>
      </c>
      <c r="F4597" s="122" t="s">
        <v>1607</v>
      </c>
      <c r="G4597" s="122" t="s">
        <v>134</v>
      </c>
      <c r="H4597">
        <v>156</v>
      </c>
      <c r="I4597" s="122" t="s">
        <v>1546</v>
      </c>
      <c r="J4597" s="307" t="s">
        <v>214</v>
      </c>
      <c r="K4597" s="127" t="s">
        <v>4625</v>
      </c>
      <c r="L4597" s="151" t="s">
        <v>1579</v>
      </c>
      <c r="M4597">
        <v>207</v>
      </c>
      <c r="N4597" s="123">
        <v>17</v>
      </c>
      <c r="O4597">
        <v>2970</v>
      </c>
      <c r="P4597" s="132" t="s">
        <v>77</v>
      </c>
      <c r="Q4597" s="131">
        <v>4652.58</v>
      </c>
      <c r="R4597" s="131">
        <v>744.42</v>
      </c>
      <c r="S4597" s="131"/>
      <c r="T4597" s="155"/>
      <c r="U4597" s="131"/>
      <c r="V4597" s="131">
        <v>5397</v>
      </c>
      <c r="W4597">
        <v>61</v>
      </c>
      <c r="X4597" s="151" t="s">
        <v>1644</v>
      </c>
      <c r="Y4597" s="135" t="s">
        <v>55</v>
      </c>
      <c r="Z4597" s="307">
        <v>253</v>
      </c>
      <c r="AB4597" t="str">
        <f>IF(Table1[[#This Row],[TIPO2]]="costo", VLOOKUP(Table1[[#This Row],[PARTIDA PRESUPUESTAL]],'Cost Report'!G:G,1,0),"Balance")</f>
        <v>2794-003</v>
      </c>
      <c r="AC4597" s="118"/>
      <c r="AD4597" s="159">
        <f>+Table1[[#This Row],[SUBTOTAL]]+Table1[[#This Row],[IVA]]-Table1[[#This Row],[RET IVA]]-Table1[[#This Row],[RET ISR]]-Table1[[#This Row],[TOTAL]]</f>
        <v>0</v>
      </c>
      <c r="AE4597" s="150"/>
      <c r="AF4597" s="151"/>
      <c r="AG4597" s="126" t="s">
        <v>3420</v>
      </c>
      <c r="AK4597" s="306" t="str">
        <f>IF(ISNUMBER(Table1[[#This Row],[FECHA DE RECIBIDO]]), Table1[[#This Row],[FECHA DE RECIBIDO]]-DATE(2023,8,30), "")</f>
        <v/>
      </c>
    </row>
    <row r="4598" spans="1:37" ht="16.05" customHeight="1">
      <c r="A4598" s="152" t="s">
        <v>4610</v>
      </c>
      <c r="B4598" s="153">
        <v>1596</v>
      </c>
      <c r="C4598" s="126" t="s">
        <v>2596</v>
      </c>
      <c r="D4598">
        <v>3109</v>
      </c>
      <c r="E4598" s="126" t="s">
        <v>1598</v>
      </c>
      <c r="F4598" s="125" t="s">
        <v>1607</v>
      </c>
      <c r="G4598" s="125" t="s">
        <v>134</v>
      </c>
      <c r="H4598">
        <v>150</v>
      </c>
      <c r="I4598" s="125" t="s">
        <v>1546</v>
      </c>
      <c r="J4598" s="308" t="s">
        <v>214</v>
      </c>
      <c r="K4598" s="127" t="s">
        <v>4625</v>
      </c>
      <c r="L4598" s="153" t="s">
        <v>1579</v>
      </c>
      <c r="M4598">
        <v>855</v>
      </c>
      <c r="N4598" s="123">
        <v>17</v>
      </c>
      <c r="O4598">
        <v>2971</v>
      </c>
      <c r="P4598" s="132" t="s">
        <v>77</v>
      </c>
      <c r="Q4598" s="132">
        <v>1529.29</v>
      </c>
      <c r="R4598" s="132">
        <v>244.67</v>
      </c>
      <c r="S4598" s="132"/>
      <c r="T4598" s="156"/>
      <c r="U4598" s="132"/>
      <c r="V4598" s="132">
        <v>1773.96</v>
      </c>
      <c r="W4598">
        <v>61</v>
      </c>
      <c r="X4598" s="153" t="s">
        <v>1644</v>
      </c>
      <c r="Y4598" s="124" t="s">
        <v>55</v>
      </c>
      <c r="Z4598" s="308">
        <v>253</v>
      </c>
      <c r="AB4598" t="str">
        <f>IF(Table1[[#This Row],[TIPO2]]="costo", VLOOKUP(Table1[[#This Row],[PARTIDA PRESUPUESTAL]],'Cost Report'!G:G,1,0),"Balance")</f>
        <v>2794-003</v>
      </c>
      <c r="AC4598" s="118"/>
      <c r="AD4598" s="159">
        <f>+Table1[[#This Row],[SUBTOTAL]]+Table1[[#This Row],[IVA]]-Table1[[#This Row],[RET IVA]]-Table1[[#This Row],[RET ISR]]-Table1[[#This Row],[TOTAL]]</f>
        <v>0</v>
      </c>
      <c r="AE4598" s="152"/>
      <c r="AF4598" s="153"/>
      <c r="AG4598" s="126" t="s">
        <v>3420</v>
      </c>
      <c r="AK4598" s="306" t="str">
        <f>IF(ISNUMBER(Table1[[#This Row],[FECHA DE RECIBIDO]]), Table1[[#This Row],[FECHA DE RECIBIDO]]-DATE(2023,8,30), "")</f>
        <v/>
      </c>
    </row>
    <row r="4599" spans="1:37" ht="16.05" customHeight="1">
      <c r="A4599" s="150" t="s">
        <v>4610</v>
      </c>
      <c r="B4599" s="151">
        <v>1596</v>
      </c>
      <c r="C4599" s="126" t="s">
        <v>2596</v>
      </c>
      <c r="D4599">
        <v>3110</v>
      </c>
      <c r="E4599" s="126" t="s">
        <v>3275</v>
      </c>
      <c r="F4599" s="122" t="s">
        <v>1607</v>
      </c>
      <c r="G4599" s="122" t="s">
        <v>134</v>
      </c>
      <c r="H4599">
        <v>97</v>
      </c>
      <c r="I4599" s="122" t="s">
        <v>1546</v>
      </c>
      <c r="J4599" s="307" t="s">
        <v>214</v>
      </c>
      <c r="K4599" s="127" t="s">
        <v>4625</v>
      </c>
      <c r="L4599" s="151" t="s">
        <v>1579</v>
      </c>
      <c r="M4599">
        <v>193</v>
      </c>
      <c r="N4599" s="123">
        <v>17</v>
      </c>
      <c r="O4599">
        <v>2972</v>
      </c>
      <c r="P4599" s="132" t="s">
        <v>77</v>
      </c>
      <c r="Q4599" s="131">
        <v>2067.25</v>
      </c>
      <c r="R4599" s="131">
        <v>330.75</v>
      </c>
      <c r="S4599" s="131"/>
      <c r="T4599" s="155"/>
      <c r="U4599" s="131"/>
      <c r="V4599" s="131">
        <v>2398</v>
      </c>
      <c r="W4599">
        <v>61</v>
      </c>
      <c r="X4599" s="151" t="s">
        <v>1644</v>
      </c>
      <c r="Y4599" s="135" t="s">
        <v>55</v>
      </c>
      <c r="Z4599" s="307">
        <v>253</v>
      </c>
      <c r="AB4599" t="str">
        <f>IF(Table1[[#This Row],[TIPO2]]="costo", VLOOKUP(Table1[[#This Row],[PARTIDA PRESUPUESTAL]],'Cost Report'!G:G,1,0),"Balance")</f>
        <v>2794-003</v>
      </c>
      <c r="AC4599" s="118"/>
      <c r="AD4599" s="159">
        <f>+Table1[[#This Row],[SUBTOTAL]]+Table1[[#This Row],[IVA]]-Table1[[#This Row],[RET IVA]]-Table1[[#This Row],[RET ISR]]-Table1[[#This Row],[TOTAL]]</f>
        <v>0</v>
      </c>
      <c r="AE4599" s="150"/>
      <c r="AF4599" s="151"/>
      <c r="AG4599" s="126" t="s">
        <v>3420</v>
      </c>
      <c r="AK4599" s="306" t="str">
        <f>IF(ISNUMBER(Table1[[#This Row],[FECHA DE RECIBIDO]]), Table1[[#This Row],[FECHA DE RECIBIDO]]-DATE(2023,8,30), "")</f>
        <v/>
      </c>
    </row>
    <row r="4600" spans="1:37" ht="16.05" customHeight="1">
      <c r="A4600" s="152" t="s">
        <v>4610</v>
      </c>
      <c r="B4600" s="153">
        <v>1596</v>
      </c>
      <c r="C4600" s="126" t="s">
        <v>2596</v>
      </c>
      <c r="D4600">
        <v>3111</v>
      </c>
      <c r="E4600" s="126" t="s">
        <v>2008</v>
      </c>
      <c r="F4600" s="125" t="s">
        <v>1607</v>
      </c>
      <c r="G4600" s="125" t="s">
        <v>134</v>
      </c>
      <c r="H4600">
        <v>102</v>
      </c>
      <c r="I4600" s="125" t="s">
        <v>1546</v>
      </c>
      <c r="J4600" s="308" t="s">
        <v>214</v>
      </c>
      <c r="K4600" s="127" t="s">
        <v>4625</v>
      </c>
      <c r="L4600" s="153" t="s">
        <v>1579</v>
      </c>
      <c r="M4600">
        <v>137</v>
      </c>
      <c r="N4600" s="123">
        <v>17</v>
      </c>
      <c r="O4600">
        <v>2973</v>
      </c>
      <c r="P4600" s="132" t="s">
        <v>77</v>
      </c>
      <c r="Q4600" s="132">
        <v>773.28</v>
      </c>
      <c r="R4600" s="132">
        <v>123.72</v>
      </c>
      <c r="S4600" s="132"/>
      <c r="T4600" s="156"/>
      <c r="U4600" s="132"/>
      <c r="V4600" s="132">
        <v>897</v>
      </c>
      <c r="W4600">
        <v>61</v>
      </c>
      <c r="X4600" s="153" t="s">
        <v>1644</v>
      </c>
      <c r="Y4600" s="124" t="s">
        <v>55</v>
      </c>
      <c r="Z4600" s="308">
        <v>253</v>
      </c>
      <c r="AB4600" t="str">
        <f>IF(Table1[[#This Row],[TIPO2]]="costo", VLOOKUP(Table1[[#This Row],[PARTIDA PRESUPUESTAL]],'Cost Report'!G:G,1,0),"Balance")</f>
        <v>2794-003</v>
      </c>
      <c r="AC4600" s="118"/>
      <c r="AD4600" s="159">
        <f>+Table1[[#This Row],[SUBTOTAL]]+Table1[[#This Row],[IVA]]-Table1[[#This Row],[RET IVA]]-Table1[[#This Row],[RET ISR]]-Table1[[#This Row],[TOTAL]]</f>
        <v>0</v>
      </c>
      <c r="AE4600" s="152"/>
      <c r="AF4600" s="153"/>
      <c r="AG4600" s="126" t="s">
        <v>3420</v>
      </c>
      <c r="AK4600" s="306" t="str">
        <f>IF(ISNUMBER(Table1[[#This Row],[FECHA DE RECIBIDO]]), Table1[[#This Row],[FECHA DE RECIBIDO]]-DATE(2023,8,30), "")</f>
        <v/>
      </c>
    </row>
    <row r="4601" spans="1:37" ht="16.05" customHeight="1">
      <c r="A4601" s="150" t="s">
        <v>4610</v>
      </c>
      <c r="B4601" s="151">
        <v>1596</v>
      </c>
      <c r="C4601" s="126" t="s">
        <v>2596</v>
      </c>
      <c r="D4601">
        <v>3112</v>
      </c>
      <c r="E4601" s="126" t="s">
        <v>4102</v>
      </c>
      <c r="F4601" s="122" t="s">
        <v>1607</v>
      </c>
      <c r="G4601" s="122" t="s">
        <v>134</v>
      </c>
      <c r="H4601">
        <v>572</v>
      </c>
      <c r="I4601" s="122" t="s">
        <v>1546</v>
      </c>
      <c r="J4601" s="307" t="s">
        <v>214</v>
      </c>
      <c r="K4601" s="127" t="s">
        <v>4625</v>
      </c>
      <c r="L4601" s="151" t="s">
        <v>1579</v>
      </c>
      <c r="M4601">
        <v>803</v>
      </c>
      <c r="N4601" s="123">
        <v>17</v>
      </c>
      <c r="O4601">
        <v>905</v>
      </c>
      <c r="P4601" s="132" t="s">
        <v>77</v>
      </c>
      <c r="Q4601" s="131">
        <v>17.239999999999998</v>
      </c>
      <c r="R4601" s="131">
        <v>2.76</v>
      </c>
      <c r="S4601" s="131"/>
      <c r="T4601" s="155"/>
      <c r="U4601" s="131"/>
      <c r="V4601" s="131">
        <v>20</v>
      </c>
      <c r="W4601">
        <v>61</v>
      </c>
      <c r="X4601" s="151" t="s">
        <v>1644</v>
      </c>
      <c r="Y4601" s="135" t="s">
        <v>55</v>
      </c>
      <c r="Z4601" s="307">
        <v>253</v>
      </c>
      <c r="AB4601" t="str">
        <f>IF(Table1[[#This Row],[TIPO2]]="costo", VLOOKUP(Table1[[#This Row],[PARTIDA PRESUPUESTAL]],'Cost Report'!G:G,1,0),"Balance")</f>
        <v>2794-003</v>
      </c>
      <c r="AC4601" s="118"/>
      <c r="AD4601" s="159">
        <f>+Table1[[#This Row],[SUBTOTAL]]+Table1[[#This Row],[IVA]]-Table1[[#This Row],[RET IVA]]-Table1[[#This Row],[RET ISR]]-Table1[[#This Row],[TOTAL]]</f>
        <v>0</v>
      </c>
      <c r="AE4601" s="150"/>
      <c r="AF4601" s="151"/>
      <c r="AG4601" s="126" t="s">
        <v>3420</v>
      </c>
      <c r="AK4601" s="306" t="str">
        <f>IF(ISNUMBER(Table1[[#This Row],[FECHA DE RECIBIDO]]), Table1[[#This Row],[FECHA DE RECIBIDO]]-DATE(2023,8,30), "")</f>
        <v/>
      </c>
    </row>
    <row r="4602" spans="1:37" ht="16.05" customHeight="1">
      <c r="A4602" s="152" t="s">
        <v>4610</v>
      </c>
      <c r="B4602" s="153">
        <v>1596</v>
      </c>
      <c r="C4602" s="126" t="s">
        <v>2596</v>
      </c>
      <c r="D4602">
        <v>3113</v>
      </c>
      <c r="E4602" s="126" t="s">
        <v>3976</v>
      </c>
      <c r="F4602" s="125" t="s">
        <v>1589</v>
      </c>
      <c r="G4602" s="125" t="s">
        <v>129</v>
      </c>
      <c r="H4602">
        <v>822</v>
      </c>
      <c r="I4602" s="125" t="s">
        <v>1546</v>
      </c>
      <c r="J4602" s="308" t="s">
        <v>214</v>
      </c>
      <c r="K4602" s="127" t="s">
        <v>4625</v>
      </c>
      <c r="L4602" s="153" t="s">
        <v>1579</v>
      </c>
      <c r="M4602">
        <v>1138</v>
      </c>
      <c r="N4602" s="123">
        <v>17</v>
      </c>
      <c r="O4602">
        <v>2974</v>
      </c>
      <c r="P4602" s="132" t="s">
        <v>77</v>
      </c>
      <c r="Q4602" s="132">
        <v>1162.93</v>
      </c>
      <c r="R4602" s="132">
        <v>186.07</v>
      </c>
      <c r="S4602" s="132"/>
      <c r="T4602" s="156"/>
      <c r="U4602" s="132"/>
      <c r="V4602" s="132">
        <v>1349</v>
      </c>
      <c r="W4602">
        <v>61</v>
      </c>
      <c r="X4602" s="153" t="s">
        <v>1644</v>
      </c>
      <c r="Y4602" s="124" t="s">
        <v>55</v>
      </c>
      <c r="Z4602" s="308">
        <v>253</v>
      </c>
      <c r="AB4602" t="str">
        <f>IF(Table1[[#This Row],[TIPO2]]="costo", VLOOKUP(Table1[[#This Row],[PARTIDA PRESUPUESTAL]],'Cost Report'!G:G,1,0),"Balance")</f>
        <v>2794-003</v>
      </c>
      <c r="AC4602" s="118"/>
      <c r="AD4602" s="159">
        <f>+Table1[[#This Row],[SUBTOTAL]]+Table1[[#This Row],[IVA]]-Table1[[#This Row],[RET IVA]]-Table1[[#This Row],[RET ISR]]-Table1[[#This Row],[TOTAL]]</f>
        <v>0</v>
      </c>
      <c r="AE4602" s="152"/>
      <c r="AF4602" s="153"/>
      <c r="AG4602" s="126" t="s">
        <v>3420</v>
      </c>
      <c r="AK4602" s="306" t="str">
        <f>IF(ISNUMBER(Table1[[#This Row],[FECHA DE RECIBIDO]]), Table1[[#This Row],[FECHA DE RECIBIDO]]-DATE(2023,8,30), "")</f>
        <v/>
      </c>
    </row>
    <row r="4603" spans="1:37" ht="16.05" customHeight="1">
      <c r="A4603" s="150" t="s">
        <v>4610</v>
      </c>
      <c r="B4603" s="151">
        <v>1596</v>
      </c>
      <c r="C4603" s="126" t="s">
        <v>2596</v>
      </c>
      <c r="D4603">
        <v>3114</v>
      </c>
      <c r="E4603" s="126" t="s">
        <v>1992</v>
      </c>
      <c r="F4603" s="122" t="s">
        <v>1602</v>
      </c>
      <c r="G4603" s="122" t="s">
        <v>1617</v>
      </c>
      <c r="H4603">
        <v>823</v>
      </c>
      <c r="I4603" s="122" t="s">
        <v>1546</v>
      </c>
      <c r="J4603" s="307" t="s">
        <v>214</v>
      </c>
      <c r="K4603" s="127" t="s">
        <v>4625</v>
      </c>
      <c r="L4603" s="151" t="s">
        <v>1579</v>
      </c>
      <c r="M4603">
        <v>1139</v>
      </c>
      <c r="N4603" s="123">
        <v>17</v>
      </c>
      <c r="O4603">
        <v>2483</v>
      </c>
      <c r="P4603" s="132" t="s">
        <v>77</v>
      </c>
      <c r="Q4603" s="131">
        <v>650</v>
      </c>
      <c r="R4603" s="131">
        <v>104</v>
      </c>
      <c r="S4603" s="131"/>
      <c r="T4603" s="155"/>
      <c r="U4603" s="131"/>
      <c r="V4603" s="131">
        <v>754</v>
      </c>
      <c r="W4603">
        <v>61</v>
      </c>
      <c r="X4603" s="151" t="s">
        <v>1644</v>
      </c>
      <c r="Y4603" s="135" t="s">
        <v>55</v>
      </c>
      <c r="Z4603" s="307">
        <v>254</v>
      </c>
      <c r="AB4603" t="str">
        <f>IF(Table1[[#This Row],[TIPO2]]="costo", VLOOKUP(Table1[[#This Row],[PARTIDA PRESUPUESTAL]],'Cost Report'!G:G,1,0),"Balance")</f>
        <v>2794-003</v>
      </c>
      <c r="AC4603" s="118"/>
      <c r="AD4603" s="159">
        <f>+Table1[[#This Row],[SUBTOTAL]]+Table1[[#This Row],[IVA]]-Table1[[#This Row],[RET IVA]]-Table1[[#This Row],[RET ISR]]-Table1[[#This Row],[TOTAL]]</f>
        <v>0</v>
      </c>
      <c r="AE4603" s="150"/>
      <c r="AF4603" s="151"/>
      <c r="AG4603" s="126" t="s">
        <v>3420</v>
      </c>
      <c r="AK4603" s="306" t="str">
        <f>IF(ISNUMBER(Table1[[#This Row],[FECHA DE RECIBIDO]]), Table1[[#This Row],[FECHA DE RECIBIDO]]-DATE(2023,8,30), "")</f>
        <v/>
      </c>
    </row>
    <row r="4604" spans="1:37" ht="16.05" customHeight="1">
      <c r="A4604" s="152" t="s">
        <v>4610</v>
      </c>
      <c r="B4604" s="153">
        <v>1596</v>
      </c>
      <c r="C4604" s="126" t="s">
        <v>2596</v>
      </c>
      <c r="D4604">
        <v>3115</v>
      </c>
      <c r="E4604" s="126" t="s">
        <v>3976</v>
      </c>
      <c r="F4604" s="125" t="s">
        <v>1607</v>
      </c>
      <c r="G4604" s="125" t="s">
        <v>134</v>
      </c>
      <c r="H4604">
        <v>79</v>
      </c>
      <c r="I4604" s="125" t="s">
        <v>1546</v>
      </c>
      <c r="J4604" s="308" t="s">
        <v>214</v>
      </c>
      <c r="K4604" s="127" t="s">
        <v>4625</v>
      </c>
      <c r="L4604" s="153" t="s">
        <v>1579</v>
      </c>
      <c r="M4604">
        <v>103</v>
      </c>
      <c r="N4604" s="123">
        <v>17</v>
      </c>
      <c r="O4604">
        <v>2080</v>
      </c>
      <c r="P4604" s="132" t="s">
        <v>77</v>
      </c>
      <c r="Q4604" s="132">
        <v>782.42</v>
      </c>
      <c r="R4604" s="132">
        <v>125.18</v>
      </c>
      <c r="S4604" s="132"/>
      <c r="T4604" s="156"/>
      <c r="U4604" s="132"/>
      <c r="V4604" s="132">
        <v>907.59999999999991</v>
      </c>
      <c r="W4604">
        <v>61</v>
      </c>
      <c r="X4604" s="153" t="s">
        <v>1644</v>
      </c>
      <c r="Y4604" s="124" t="s">
        <v>55</v>
      </c>
      <c r="Z4604" s="308">
        <v>254</v>
      </c>
      <c r="AB4604" t="str">
        <f>IF(Table1[[#This Row],[TIPO2]]="costo", VLOOKUP(Table1[[#This Row],[PARTIDA PRESUPUESTAL]],'Cost Report'!G:G,1,0),"Balance")</f>
        <v>2794-003</v>
      </c>
      <c r="AC4604" s="118"/>
      <c r="AD4604" s="159">
        <f>+Table1[[#This Row],[SUBTOTAL]]+Table1[[#This Row],[IVA]]-Table1[[#This Row],[RET IVA]]-Table1[[#This Row],[RET ISR]]-Table1[[#This Row],[TOTAL]]</f>
        <v>0</v>
      </c>
      <c r="AE4604" s="152"/>
      <c r="AF4604" s="153"/>
      <c r="AG4604" s="126" t="s">
        <v>3420</v>
      </c>
      <c r="AK4604" s="306" t="str">
        <f>IF(ISNUMBER(Table1[[#This Row],[FECHA DE RECIBIDO]]), Table1[[#This Row],[FECHA DE RECIBIDO]]-DATE(2023,8,30), "")</f>
        <v/>
      </c>
    </row>
    <row r="4605" spans="1:37" ht="16.05" customHeight="1">
      <c r="A4605" s="150" t="s">
        <v>4610</v>
      </c>
      <c r="B4605" s="151">
        <v>1596</v>
      </c>
      <c r="C4605" s="126" t="s">
        <v>2596</v>
      </c>
      <c r="D4605">
        <v>3116</v>
      </c>
      <c r="E4605" s="126" t="s">
        <v>4102</v>
      </c>
      <c r="F4605" s="122" t="s">
        <v>1607</v>
      </c>
      <c r="G4605" s="122" t="s">
        <v>134</v>
      </c>
      <c r="H4605">
        <v>79</v>
      </c>
      <c r="I4605" s="122" t="s">
        <v>1546</v>
      </c>
      <c r="J4605" s="307" t="s">
        <v>214</v>
      </c>
      <c r="K4605" s="127" t="s">
        <v>4625</v>
      </c>
      <c r="L4605" s="151" t="s">
        <v>1579</v>
      </c>
      <c r="M4605">
        <v>103</v>
      </c>
      <c r="N4605" s="123">
        <v>17</v>
      </c>
      <c r="O4605">
        <v>2975</v>
      </c>
      <c r="P4605" s="132" t="s">
        <v>77</v>
      </c>
      <c r="Q4605" s="131">
        <v>822.42</v>
      </c>
      <c r="R4605" s="131">
        <v>131.58000000000001</v>
      </c>
      <c r="S4605" s="131"/>
      <c r="T4605" s="155"/>
      <c r="U4605" s="131"/>
      <c r="V4605" s="131">
        <v>954</v>
      </c>
      <c r="W4605">
        <v>61</v>
      </c>
      <c r="X4605" s="151" t="s">
        <v>1644</v>
      </c>
      <c r="Y4605" s="135" t="s">
        <v>55</v>
      </c>
      <c r="Z4605" s="307">
        <v>254</v>
      </c>
      <c r="AB4605" t="str">
        <f>IF(Table1[[#This Row],[TIPO2]]="costo", VLOOKUP(Table1[[#This Row],[PARTIDA PRESUPUESTAL]],'Cost Report'!G:G,1,0),"Balance")</f>
        <v>2794-003</v>
      </c>
      <c r="AC4605" s="118"/>
      <c r="AD4605" s="159">
        <f>+Table1[[#This Row],[SUBTOTAL]]+Table1[[#This Row],[IVA]]-Table1[[#This Row],[RET IVA]]-Table1[[#This Row],[RET ISR]]-Table1[[#This Row],[TOTAL]]</f>
        <v>0</v>
      </c>
      <c r="AE4605" s="150"/>
      <c r="AF4605" s="151"/>
      <c r="AG4605" s="126" t="s">
        <v>3420</v>
      </c>
      <c r="AK4605" s="306" t="str">
        <f>IF(ISNUMBER(Table1[[#This Row],[FECHA DE RECIBIDO]]), Table1[[#This Row],[FECHA DE RECIBIDO]]-DATE(2023,8,30), "")</f>
        <v/>
      </c>
    </row>
    <row r="4606" spans="1:37" ht="16.05" customHeight="1">
      <c r="A4606" s="152" t="s">
        <v>4610</v>
      </c>
      <c r="B4606" s="153">
        <v>1596</v>
      </c>
      <c r="C4606" s="126" t="s">
        <v>2596</v>
      </c>
      <c r="D4606">
        <v>3117</v>
      </c>
      <c r="E4606" s="126" t="s">
        <v>3976</v>
      </c>
      <c r="F4606" s="125" t="s">
        <v>1607</v>
      </c>
      <c r="G4606" s="125" t="s">
        <v>134</v>
      </c>
      <c r="H4606">
        <v>79</v>
      </c>
      <c r="I4606" s="125" t="s">
        <v>1546</v>
      </c>
      <c r="J4606" s="308" t="s">
        <v>214</v>
      </c>
      <c r="K4606" s="127" t="s">
        <v>4625</v>
      </c>
      <c r="L4606" s="153" t="s">
        <v>1579</v>
      </c>
      <c r="M4606">
        <v>103</v>
      </c>
      <c r="N4606" s="123">
        <v>17</v>
      </c>
      <c r="O4606">
        <v>2483</v>
      </c>
      <c r="P4606" s="132" t="s">
        <v>77</v>
      </c>
      <c r="Q4606" s="132">
        <v>614.66</v>
      </c>
      <c r="R4606" s="132">
        <v>98.34</v>
      </c>
      <c r="S4606" s="132"/>
      <c r="T4606" s="156"/>
      <c r="U4606" s="132"/>
      <c r="V4606" s="132">
        <v>713</v>
      </c>
      <c r="W4606">
        <v>61</v>
      </c>
      <c r="X4606" s="153" t="s">
        <v>1644</v>
      </c>
      <c r="Y4606" s="124" t="s">
        <v>55</v>
      </c>
      <c r="Z4606" s="308">
        <v>254</v>
      </c>
      <c r="AB4606" t="str">
        <f>IF(Table1[[#This Row],[TIPO2]]="costo", VLOOKUP(Table1[[#This Row],[PARTIDA PRESUPUESTAL]],'Cost Report'!G:G,1,0),"Balance")</f>
        <v>2794-003</v>
      </c>
      <c r="AC4606" s="118"/>
      <c r="AD4606" s="159">
        <f>+Table1[[#This Row],[SUBTOTAL]]+Table1[[#This Row],[IVA]]-Table1[[#This Row],[RET IVA]]-Table1[[#This Row],[RET ISR]]-Table1[[#This Row],[TOTAL]]</f>
        <v>0</v>
      </c>
      <c r="AE4606" s="152"/>
      <c r="AF4606" s="153"/>
      <c r="AG4606" s="126" t="s">
        <v>3420</v>
      </c>
      <c r="AK4606" s="306" t="str">
        <f>IF(ISNUMBER(Table1[[#This Row],[FECHA DE RECIBIDO]]), Table1[[#This Row],[FECHA DE RECIBIDO]]-DATE(2023,8,30), "")</f>
        <v/>
      </c>
    </row>
    <row r="4607" spans="1:37" ht="16.05" customHeight="1">
      <c r="A4607" s="150" t="s">
        <v>4611</v>
      </c>
      <c r="B4607" s="151">
        <v>1597</v>
      </c>
      <c r="C4607" s="126" t="s">
        <v>420</v>
      </c>
      <c r="D4607">
        <v>3118</v>
      </c>
      <c r="E4607" s="126"/>
      <c r="F4607" s="122"/>
      <c r="G4607" s="122"/>
      <c r="H4607"/>
      <c r="I4607" s="122"/>
      <c r="J4607" s="307" t="s">
        <v>214</v>
      </c>
      <c r="K4607" s="127" t="s">
        <v>4625</v>
      </c>
      <c r="L4607" s="151" t="s">
        <v>1579</v>
      </c>
      <c r="M4607">
        <v>882</v>
      </c>
      <c r="N4607" s="123">
        <v>17</v>
      </c>
      <c r="O4607">
        <v>2976</v>
      </c>
      <c r="P4607" s="132" t="s">
        <v>77</v>
      </c>
      <c r="Q4607" s="131">
        <v>7093.82</v>
      </c>
      <c r="R4607" s="131"/>
      <c r="S4607" s="131"/>
      <c r="T4607" s="155"/>
      <c r="U4607" s="131"/>
      <c r="V4607" s="131">
        <v>7093.82</v>
      </c>
      <c r="W4607">
        <v>93</v>
      </c>
      <c r="X4607" s="151" t="s">
        <v>1644</v>
      </c>
      <c r="Y4607" s="135" t="s">
        <v>55</v>
      </c>
      <c r="Z4607" s="307" t="s">
        <v>214</v>
      </c>
      <c r="AB4607" t="str">
        <f>IF(Table1[[#This Row],[TIPO2]]="costo", VLOOKUP(Table1[[#This Row],[PARTIDA PRESUPUESTAL]],'Cost Report'!G:G,1,0),"Balance")</f>
        <v>1641-003</v>
      </c>
      <c r="AC4607" s="118"/>
      <c r="AD4607" s="159">
        <f>+Table1[[#This Row],[SUBTOTAL]]+Table1[[#This Row],[IVA]]-Table1[[#This Row],[RET IVA]]-Table1[[#This Row],[RET ISR]]-Table1[[#This Row],[TOTAL]]</f>
        <v>0</v>
      </c>
      <c r="AE4607" s="150"/>
      <c r="AF4607" s="151"/>
      <c r="AG4607" s="126" t="s">
        <v>3420</v>
      </c>
      <c r="AK4607" s="306" t="str">
        <f>IF(ISNUMBER(Table1[[#This Row],[FECHA DE RECIBIDO]]), Table1[[#This Row],[FECHA DE RECIBIDO]]-DATE(2023,8,30), "")</f>
        <v/>
      </c>
    </row>
    <row r="4608" spans="1:37" ht="16.05" customHeight="1">
      <c r="A4608" s="152" t="s">
        <v>4611</v>
      </c>
      <c r="B4608" s="153">
        <v>1597</v>
      </c>
      <c r="C4608" s="126" t="s">
        <v>420</v>
      </c>
      <c r="D4608">
        <v>3119</v>
      </c>
      <c r="E4608" s="126"/>
      <c r="F4608" s="125"/>
      <c r="G4608" s="125"/>
      <c r="H4608"/>
      <c r="I4608" s="125"/>
      <c r="J4608" s="308" t="s">
        <v>214</v>
      </c>
      <c r="K4608" s="127" t="s">
        <v>4625</v>
      </c>
      <c r="L4608" s="153" t="s">
        <v>1579</v>
      </c>
      <c r="M4608">
        <v>882</v>
      </c>
      <c r="N4608" s="123">
        <v>17</v>
      </c>
      <c r="O4608">
        <v>2977</v>
      </c>
      <c r="P4608" s="132" t="s">
        <v>77</v>
      </c>
      <c r="Q4608" s="132">
        <v>6096.44</v>
      </c>
      <c r="R4608" s="132"/>
      <c r="S4608" s="132"/>
      <c r="T4608" s="156"/>
      <c r="U4608" s="132"/>
      <c r="V4608" s="132">
        <v>6096.44</v>
      </c>
      <c r="W4608">
        <v>93</v>
      </c>
      <c r="X4608" s="153" t="s">
        <v>1644</v>
      </c>
      <c r="Y4608" s="124" t="s">
        <v>55</v>
      </c>
      <c r="Z4608" s="308" t="s">
        <v>214</v>
      </c>
      <c r="AB4608" t="str">
        <f>IF(Table1[[#This Row],[TIPO2]]="costo", VLOOKUP(Table1[[#This Row],[PARTIDA PRESUPUESTAL]],'Cost Report'!G:G,1,0),"Balance")</f>
        <v>1641-003</v>
      </c>
      <c r="AC4608" s="118"/>
      <c r="AD4608" s="159">
        <f>+Table1[[#This Row],[SUBTOTAL]]+Table1[[#This Row],[IVA]]-Table1[[#This Row],[RET IVA]]-Table1[[#This Row],[RET ISR]]-Table1[[#This Row],[TOTAL]]</f>
        <v>0</v>
      </c>
      <c r="AE4608" s="152"/>
      <c r="AF4608" s="153"/>
      <c r="AG4608" s="126" t="s">
        <v>3420</v>
      </c>
      <c r="AK4608" s="306" t="str">
        <f>IF(ISNUMBER(Table1[[#This Row],[FECHA DE RECIBIDO]]), Table1[[#This Row],[FECHA DE RECIBIDO]]-DATE(2023,8,30), "")</f>
        <v/>
      </c>
    </row>
    <row r="4609" spans="1:37" ht="16.05" customHeight="1">
      <c r="A4609" s="150" t="s">
        <v>4611</v>
      </c>
      <c r="B4609" s="151">
        <v>1597</v>
      </c>
      <c r="C4609" s="126" t="s">
        <v>420</v>
      </c>
      <c r="D4609">
        <v>3120</v>
      </c>
      <c r="E4609" s="126"/>
      <c r="F4609" s="122"/>
      <c r="G4609" s="122"/>
      <c r="H4609"/>
      <c r="I4609" s="122"/>
      <c r="J4609" s="307" t="s">
        <v>214</v>
      </c>
      <c r="K4609" s="127" t="s">
        <v>4625</v>
      </c>
      <c r="L4609" s="151" t="s">
        <v>1579</v>
      </c>
      <c r="M4609">
        <v>882</v>
      </c>
      <c r="N4609" s="123">
        <v>17</v>
      </c>
      <c r="O4609">
        <v>2978</v>
      </c>
      <c r="P4609" s="132" t="s">
        <v>77</v>
      </c>
      <c r="Q4609" s="131">
        <v>3601.86</v>
      </c>
      <c r="R4609" s="131"/>
      <c r="S4609" s="131"/>
      <c r="T4609" s="155"/>
      <c r="U4609" s="131"/>
      <c r="V4609" s="131">
        <v>3601.86</v>
      </c>
      <c r="W4609">
        <v>93</v>
      </c>
      <c r="X4609" s="151" t="s">
        <v>1644</v>
      </c>
      <c r="Y4609" s="135" t="s">
        <v>55</v>
      </c>
      <c r="Z4609" s="307" t="s">
        <v>214</v>
      </c>
      <c r="AB4609" t="str">
        <f>IF(Table1[[#This Row],[TIPO2]]="costo", VLOOKUP(Table1[[#This Row],[PARTIDA PRESUPUESTAL]],'Cost Report'!G:G,1,0),"Balance")</f>
        <v>1641-003</v>
      </c>
      <c r="AC4609" s="118"/>
      <c r="AD4609" s="159">
        <f>+Table1[[#This Row],[SUBTOTAL]]+Table1[[#This Row],[IVA]]-Table1[[#This Row],[RET IVA]]-Table1[[#This Row],[RET ISR]]-Table1[[#This Row],[TOTAL]]</f>
        <v>0</v>
      </c>
      <c r="AE4609" s="150"/>
      <c r="AF4609" s="151"/>
      <c r="AG4609" s="126" t="s">
        <v>3420</v>
      </c>
      <c r="AK4609" s="306" t="str">
        <f>IF(ISNUMBER(Table1[[#This Row],[FECHA DE RECIBIDO]]), Table1[[#This Row],[FECHA DE RECIBIDO]]-DATE(2023,8,30), "")</f>
        <v/>
      </c>
    </row>
    <row r="4610" spans="1:37" ht="16.05" customHeight="1">
      <c r="A4610" s="152" t="s">
        <v>4611</v>
      </c>
      <c r="B4610" s="153">
        <v>1597</v>
      </c>
      <c r="C4610" s="126" t="s">
        <v>1724</v>
      </c>
      <c r="D4610">
        <v>3121</v>
      </c>
      <c r="E4610" s="126"/>
      <c r="F4610" s="125"/>
      <c r="G4610" s="125"/>
      <c r="H4610"/>
      <c r="I4610" s="125"/>
      <c r="J4610" s="308" t="s">
        <v>214</v>
      </c>
      <c r="K4610" s="127" t="s">
        <v>4625</v>
      </c>
      <c r="L4610" s="153" t="s">
        <v>1579</v>
      </c>
      <c r="M4610">
        <v>882</v>
      </c>
      <c r="N4610" s="123">
        <v>17</v>
      </c>
      <c r="O4610">
        <v>2979</v>
      </c>
      <c r="P4610" s="132" t="s">
        <v>77</v>
      </c>
      <c r="Q4610" s="132">
        <v>5884.83</v>
      </c>
      <c r="R4610" s="132"/>
      <c r="S4610" s="132"/>
      <c r="T4610" s="156"/>
      <c r="U4610" s="132"/>
      <c r="V4610" s="132">
        <v>5884.83</v>
      </c>
      <c r="W4610">
        <v>93</v>
      </c>
      <c r="X4610" s="153" t="s">
        <v>1644</v>
      </c>
      <c r="Y4610" s="124" t="s">
        <v>55</v>
      </c>
      <c r="Z4610" s="308" t="s">
        <v>214</v>
      </c>
      <c r="AB4610" t="str">
        <f>IF(Table1[[#This Row],[TIPO2]]="costo", VLOOKUP(Table1[[#This Row],[PARTIDA PRESUPUESTAL]],'Cost Report'!G:G,1,0),"Balance")</f>
        <v>1641-008</v>
      </c>
      <c r="AC4610" s="118"/>
      <c r="AD4610" s="159">
        <f>+Table1[[#This Row],[SUBTOTAL]]+Table1[[#This Row],[IVA]]-Table1[[#This Row],[RET IVA]]-Table1[[#This Row],[RET ISR]]-Table1[[#This Row],[TOTAL]]</f>
        <v>0</v>
      </c>
      <c r="AE4610" s="152"/>
      <c r="AF4610" s="153"/>
      <c r="AG4610" s="126" t="s">
        <v>3420</v>
      </c>
      <c r="AK4610" s="306" t="str">
        <f>IF(ISNUMBER(Table1[[#This Row],[FECHA DE RECIBIDO]]), Table1[[#This Row],[FECHA DE RECIBIDO]]-DATE(2023,8,30), "")</f>
        <v/>
      </c>
    </row>
    <row r="4611" spans="1:37" ht="16.05" customHeight="1">
      <c r="A4611" s="150" t="s">
        <v>4611</v>
      </c>
      <c r="B4611" s="151">
        <v>1597</v>
      </c>
      <c r="C4611" s="126" t="s">
        <v>3105</v>
      </c>
      <c r="D4611">
        <v>3122</v>
      </c>
      <c r="E4611" s="126" t="s">
        <v>1603</v>
      </c>
      <c r="F4611" s="122" t="s">
        <v>1589</v>
      </c>
      <c r="G4611" s="122" t="s">
        <v>129</v>
      </c>
      <c r="H4611">
        <v>285</v>
      </c>
      <c r="I4611" s="122" t="s">
        <v>1546</v>
      </c>
      <c r="J4611" s="307" t="s">
        <v>214</v>
      </c>
      <c r="K4611" s="127" t="s">
        <v>4625</v>
      </c>
      <c r="L4611" s="151" t="s">
        <v>1579</v>
      </c>
      <c r="M4611">
        <v>379</v>
      </c>
      <c r="N4611" s="123">
        <v>17</v>
      </c>
      <c r="O4611">
        <v>2980</v>
      </c>
      <c r="P4611" s="132" t="s">
        <v>77</v>
      </c>
      <c r="Q4611" s="131">
        <v>380</v>
      </c>
      <c r="R4611" s="131"/>
      <c r="S4611" s="131"/>
      <c r="T4611" s="155"/>
      <c r="U4611" s="131"/>
      <c r="V4611" s="131">
        <v>380</v>
      </c>
      <c r="W4611">
        <v>93</v>
      </c>
      <c r="X4611" s="151" t="s">
        <v>1644</v>
      </c>
      <c r="Y4611" s="135" t="s">
        <v>55</v>
      </c>
      <c r="Z4611" s="307" t="s">
        <v>214</v>
      </c>
      <c r="AB4611" t="str">
        <f>IF(Table1[[#This Row],[TIPO2]]="costo", VLOOKUP(Table1[[#This Row],[PARTIDA PRESUPUESTAL]],'Cost Report'!G:G,1,0),"Balance")</f>
        <v>7050-005</v>
      </c>
      <c r="AC4611" s="118"/>
      <c r="AD4611" s="159">
        <f>+Table1[[#This Row],[SUBTOTAL]]+Table1[[#This Row],[IVA]]-Table1[[#This Row],[RET IVA]]-Table1[[#This Row],[RET ISR]]-Table1[[#This Row],[TOTAL]]</f>
        <v>0</v>
      </c>
      <c r="AE4611" s="150"/>
      <c r="AF4611" s="151"/>
      <c r="AG4611" s="126" t="s">
        <v>3420</v>
      </c>
      <c r="AK4611" s="306" t="str">
        <f>IF(ISNUMBER(Table1[[#This Row],[FECHA DE RECIBIDO]]), Table1[[#This Row],[FECHA DE RECIBIDO]]-DATE(2023,8,30), "")</f>
        <v/>
      </c>
    </row>
    <row r="4612" spans="1:37" ht="16.05" customHeight="1">
      <c r="A4612" s="152" t="s">
        <v>4611</v>
      </c>
      <c r="B4612" s="153">
        <v>1597</v>
      </c>
      <c r="C4612" s="126" t="s">
        <v>3105</v>
      </c>
      <c r="D4612">
        <v>3123</v>
      </c>
      <c r="E4612" s="126" t="s">
        <v>1603</v>
      </c>
      <c r="F4612" s="125" t="s">
        <v>1589</v>
      </c>
      <c r="G4612" s="125" t="s">
        <v>129</v>
      </c>
      <c r="H4612">
        <v>285</v>
      </c>
      <c r="I4612" s="125" t="s">
        <v>1546</v>
      </c>
      <c r="J4612" s="308" t="s">
        <v>214</v>
      </c>
      <c r="K4612" s="127" t="s">
        <v>4625</v>
      </c>
      <c r="L4612" s="153" t="s">
        <v>1579</v>
      </c>
      <c r="M4612">
        <v>379</v>
      </c>
      <c r="N4612" s="123">
        <v>17</v>
      </c>
      <c r="O4612">
        <v>2981</v>
      </c>
      <c r="P4612" s="132" t="s">
        <v>77</v>
      </c>
      <c r="Q4612" s="132">
        <v>464.14</v>
      </c>
      <c r="R4612" s="132">
        <v>7.86</v>
      </c>
      <c r="S4612" s="132"/>
      <c r="T4612" s="156"/>
      <c r="U4612" s="132"/>
      <c r="V4612" s="132">
        <v>472</v>
      </c>
      <c r="W4612">
        <v>93</v>
      </c>
      <c r="X4612" s="153" t="s">
        <v>1644</v>
      </c>
      <c r="Y4612" s="124" t="s">
        <v>55</v>
      </c>
      <c r="Z4612" s="308" t="s">
        <v>214</v>
      </c>
      <c r="AB4612" t="str">
        <f>IF(Table1[[#This Row],[TIPO2]]="costo", VLOOKUP(Table1[[#This Row],[PARTIDA PRESUPUESTAL]],'Cost Report'!G:G,1,0),"Balance")</f>
        <v>7050-005</v>
      </c>
      <c r="AC4612" s="118"/>
      <c r="AD4612" s="159">
        <f>+Table1[[#This Row],[SUBTOTAL]]+Table1[[#This Row],[IVA]]-Table1[[#This Row],[RET IVA]]-Table1[[#This Row],[RET ISR]]-Table1[[#This Row],[TOTAL]]</f>
        <v>0</v>
      </c>
      <c r="AE4612" s="152"/>
      <c r="AF4612" s="153"/>
      <c r="AG4612" s="126" t="s">
        <v>3420</v>
      </c>
      <c r="AK4612" s="306" t="str">
        <f>IF(ISNUMBER(Table1[[#This Row],[FECHA DE RECIBIDO]]), Table1[[#This Row],[FECHA DE RECIBIDO]]-DATE(2023,8,30), "")</f>
        <v/>
      </c>
    </row>
    <row r="4613" spans="1:37" ht="16.05" customHeight="1">
      <c r="A4613" s="150" t="s">
        <v>4611</v>
      </c>
      <c r="B4613" s="151">
        <v>1597</v>
      </c>
      <c r="C4613" s="126" t="s">
        <v>2952</v>
      </c>
      <c r="D4613">
        <v>3124</v>
      </c>
      <c r="E4613" s="126" t="s">
        <v>1624</v>
      </c>
      <c r="F4613" s="122" t="s">
        <v>1607</v>
      </c>
      <c r="G4613" s="122" t="s">
        <v>134</v>
      </c>
      <c r="H4613">
        <v>46</v>
      </c>
      <c r="I4613" s="122" t="s">
        <v>1546</v>
      </c>
      <c r="J4613" s="307" t="s">
        <v>214</v>
      </c>
      <c r="K4613" s="127" t="s">
        <v>4625</v>
      </c>
      <c r="L4613" s="151" t="s">
        <v>1579</v>
      </c>
      <c r="M4613">
        <v>58</v>
      </c>
      <c r="N4613" s="123">
        <v>17</v>
      </c>
      <c r="O4613">
        <v>2982</v>
      </c>
      <c r="P4613" s="132" t="s">
        <v>77</v>
      </c>
      <c r="Q4613" s="131">
        <v>769.83</v>
      </c>
      <c r="R4613" s="131">
        <v>123.17</v>
      </c>
      <c r="S4613" s="131"/>
      <c r="T4613" s="155"/>
      <c r="U4613" s="131"/>
      <c r="V4613" s="131">
        <v>893</v>
      </c>
      <c r="W4613">
        <v>93</v>
      </c>
      <c r="X4613" s="151" t="s">
        <v>1644</v>
      </c>
      <c r="Y4613" s="135" t="s">
        <v>55</v>
      </c>
      <c r="Z4613" s="307" t="s">
        <v>214</v>
      </c>
      <c r="AB4613" t="str">
        <f>IF(Table1[[#This Row],[TIPO2]]="costo", VLOOKUP(Table1[[#This Row],[PARTIDA PRESUPUESTAL]],'Cost Report'!G:G,1,0),"Balance")</f>
        <v>3901-048</v>
      </c>
      <c r="AC4613" s="118"/>
      <c r="AD4613" s="159">
        <f>+Table1[[#This Row],[SUBTOTAL]]+Table1[[#This Row],[IVA]]-Table1[[#This Row],[RET IVA]]-Table1[[#This Row],[RET ISR]]-Table1[[#This Row],[TOTAL]]</f>
        <v>0</v>
      </c>
      <c r="AE4613" s="150"/>
      <c r="AF4613" s="151"/>
      <c r="AG4613" s="126" t="s">
        <v>3420</v>
      </c>
      <c r="AK4613" s="306" t="str">
        <f>IF(ISNUMBER(Table1[[#This Row],[FECHA DE RECIBIDO]]), Table1[[#This Row],[FECHA DE RECIBIDO]]-DATE(2023,8,30), "")</f>
        <v/>
      </c>
    </row>
    <row r="4614" spans="1:37" ht="16.05" customHeight="1">
      <c r="A4614" s="152" t="s">
        <v>4611</v>
      </c>
      <c r="B4614" s="153">
        <v>1597</v>
      </c>
      <c r="C4614" s="126" t="s">
        <v>2952</v>
      </c>
      <c r="D4614">
        <v>3125</v>
      </c>
      <c r="E4614" s="126" t="s">
        <v>1624</v>
      </c>
      <c r="F4614" s="125" t="s">
        <v>1607</v>
      </c>
      <c r="G4614" s="125" t="s">
        <v>134</v>
      </c>
      <c r="H4614">
        <v>46</v>
      </c>
      <c r="I4614" s="125" t="s">
        <v>1546</v>
      </c>
      <c r="J4614" s="308" t="s">
        <v>214</v>
      </c>
      <c r="K4614" s="127" t="s">
        <v>4625</v>
      </c>
      <c r="L4614" s="153" t="s">
        <v>1579</v>
      </c>
      <c r="M4614">
        <v>58</v>
      </c>
      <c r="N4614" s="123">
        <v>17</v>
      </c>
      <c r="O4614">
        <v>2983</v>
      </c>
      <c r="P4614" s="132" t="s">
        <v>77</v>
      </c>
      <c r="Q4614" s="132">
        <v>828.45</v>
      </c>
      <c r="R4614" s="132">
        <v>132.55000000000001</v>
      </c>
      <c r="S4614" s="132"/>
      <c r="T4614" s="156"/>
      <c r="U4614" s="132"/>
      <c r="V4614" s="132">
        <v>961</v>
      </c>
      <c r="W4614">
        <v>93</v>
      </c>
      <c r="X4614" s="153" t="s">
        <v>1644</v>
      </c>
      <c r="Y4614" s="124" t="s">
        <v>55</v>
      </c>
      <c r="Z4614" s="308" t="s">
        <v>214</v>
      </c>
      <c r="AB4614" t="str">
        <f>IF(Table1[[#This Row],[TIPO2]]="costo", VLOOKUP(Table1[[#This Row],[PARTIDA PRESUPUESTAL]],'Cost Report'!G:G,1,0),"Balance")</f>
        <v>3901-048</v>
      </c>
      <c r="AC4614" s="118"/>
      <c r="AD4614" s="159">
        <f>+Table1[[#This Row],[SUBTOTAL]]+Table1[[#This Row],[IVA]]-Table1[[#This Row],[RET IVA]]-Table1[[#This Row],[RET ISR]]-Table1[[#This Row],[TOTAL]]</f>
        <v>0</v>
      </c>
      <c r="AE4614" s="152"/>
      <c r="AF4614" s="153"/>
      <c r="AG4614" s="126" t="s">
        <v>3420</v>
      </c>
      <c r="AK4614" s="306" t="str">
        <f>IF(ISNUMBER(Table1[[#This Row],[FECHA DE RECIBIDO]]), Table1[[#This Row],[FECHA DE RECIBIDO]]-DATE(2023,8,30), "")</f>
        <v/>
      </c>
    </row>
    <row r="4615" spans="1:37" ht="16.05" customHeight="1">
      <c r="A4615" s="150" t="s">
        <v>4611</v>
      </c>
      <c r="B4615" s="151">
        <v>1597</v>
      </c>
      <c r="C4615" s="126" t="s">
        <v>2952</v>
      </c>
      <c r="D4615">
        <v>3126</v>
      </c>
      <c r="E4615" s="126" t="s">
        <v>1624</v>
      </c>
      <c r="F4615" s="122" t="s">
        <v>1607</v>
      </c>
      <c r="G4615" s="122" t="s">
        <v>134</v>
      </c>
      <c r="H4615">
        <v>46</v>
      </c>
      <c r="I4615" s="122" t="s">
        <v>1546</v>
      </c>
      <c r="J4615" s="307" t="s">
        <v>214</v>
      </c>
      <c r="K4615" s="127" t="s">
        <v>4625</v>
      </c>
      <c r="L4615" s="151" t="s">
        <v>1579</v>
      </c>
      <c r="M4615">
        <v>58</v>
      </c>
      <c r="N4615" s="123">
        <v>17</v>
      </c>
      <c r="O4615">
        <v>2983</v>
      </c>
      <c r="P4615" s="132" t="s">
        <v>77</v>
      </c>
      <c r="Q4615" s="131">
        <v>991.38</v>
      </c>
      <c r="R4615" s="131">
        <v>158.62</v>
      </c>
      <c r="S4615" s="131"/>
      <c r="T4615" s="155"/>
      <c r="U4615" s="131"/>
      <c r="V4615" s="131">
        <v>1150</v>
      </c>
      <c r="W4615">
        <v>93</v>
      </c>
      <c r="X4615" s="151" t="s">
        <v>1644</v>
      </c>
      <c r="Y4615" s="135" t="s">
        <v>55</v>
      </c>
      <c r="Z4615" s="307" t="s">
        <v>214</v>
      </c>
      <c r="AB4615" t="str">
        <f>IF(Table1[[#This Row],[TIPO2]]="costo", VLOOKUP(Table1[[#This Row],[PARTIDA PRESUPUESTAL]],'Cost Report'!G:G,1,0),"Balance")</f>
        <v>3901-048</v>
      </c>
      <c r="AC4615" s="118"/>
      <c r="AD4615" s="159">
        <f>+Table1[[#This Row],[SUBTOTAL]]+Table1[[#This Row],[IVA]]-Table1[[#This Row],[RET IVA]]-Table1[[#This Row],[RET ISR]]-Table1[[#This Row],[TOTAL]]</f>
        <v>0</v>
      </c>
      <c r="AE4615" s="150"/>
      <c r="AF4615" s="151"/>
      <c r="AG4615" s="126" t="s">
        <v>3420</v>
      </c>
      <c r="AK4615" s="306" t="str">
        <f>IF(ISNUMBER(Table1[[#This Row],[FECHA DE RECIBIDO]]), Table1[[#This Row],[FECHA DE RECIBIDO]]-DATE(2023,8,30), "")</f>
        <v/>
      </c>
    </row>
    <row r="4616" spans="1:37" ht="16.05" customHeight="1">
      <c r="A4616" s="152" t="s">
        <v>4611</v>
      </c>
      <c r="B4616" s="153">
        <v>1597</v>
      </c>
      <c r="C4616" s="126" t="s">
        <v>2952</v>
      </c>
      <c r="D4616">
        <v>3127</v>
      </c>
      <c r="E4616" s="126" t="s">
        <v>1624</v>
      </c>
      <c r="F4616" s="125" t="s">
        <v>1607</v>
      </c>
      <c r="G4616" s="125" t="s">
        <v>134</v>
      </c>
      <c r="H4616">
        <v>46</v>
      </c>
      <c r="I4616" s="125" t="s">
        <v>1546</v>
      </c>
      <c r="J4616" s="308" t="s">
        <v>214</v>
      </c>
      <c r="K4616" s="127" t="s">
        <v>4625</v>
      </c>
      <c r="L4616" s="153" t="s">
        <v>1579</v>
      </c>
      <c r="M4616">
        <v>58</v>
      </c>
      <c r="N4616" s="123">
        <v>17</v>
      </c>
      <c r="O4616">
        <v>2982</v>
      </c>
      <c r="P4616" s="132" t="s">
        <v>77</v>
      </c>
      <c r="Q4616" s="132">
        <v>319.83</v>
      </c>
      <c r="R4616" s="132">
        <v>51.17</v>
      </c>
      <c r="S4616" s="132"/>
      <c r="T4616" s="156"/>
      <c r="U4616" s="132"/>
      <c r="V4616" s="132">
        <v>371</v>
      </c>
      <c r="W4616">
        <v>93</v>
      </c>
      <c r="X4616" s="153" t="s">
        <v>1644</v>
      </c>
      <c r="Y4616" s="124" t="s">
        <v>55</v>
      </c>
      <c r="Z4616" s="308" t="s">
        <v>214</v>
      </c>
      <c r="AB4616" t="str">
        <f>IF(Table1[[#This Row],[TIPO2]]="costo", VLOOKUP(Table1[[#This Row],[PARTIDA PRESUPUESTAL]],'Cost Report'!G:G,1,0),"Balance")</f>
        <v>3901-048</v>
      </c>
      <c r="AC4616" s="118"/>
      <c r="AD4616" s="159">
        <f>+Table1[[#This Row],[SUBTOTAL]]+Table1[[#This Row],[IVA]]-Table1[[#This Row],[RET IVA]]-Table1[[#This Row],[RET ISR]]-Table1[[#This Row],[TOTAL]]</f>
        <v>0</v>
      </c>
      <c r="AE4616" s="152"/>
      <c r="AF4616" s="153"/>
      <c r="AG4616" s="126" t="s">
        <v>3420</v>
      </c>
      <c r="AK4616" s="306" t="str">
        <f>IF(ISNUMBER(Table1[[#This Row],[FECHA DE RECIBIDO]]), Table1[[#This Row],[FECHA DE RECIBIDO]]-DATE(2023,8,30), "")</f>
        <v/>
      </c>
    </row>
    <row r="4617" spans="1:37" ht="16.05" customHeight="1">
      <c r="A4617" s="150" t="s">
        <v>4611</v>
      </c>
      <c r="B4617" s="151">
        <v>1597</v>
      </c>
      <c r="C4617" s="126" t="s">
        <v>2952</v>
      </c>
      <c r="D4617">
        <v>3128</v>
      </c>
      <c r="E4617" s="126" t="s">
        <v>1624</v>
      </c>
      <c r="F4617" s="122" t="s">
        <v>1607</v>
      </c>
      <c r="G4617" s="122" t="s">
        <v>134</v>
      </c>
      <c r="H4617">
        <v>46</v>
      </c>
      <c r="I4617" s="122" t="s">
        <v>1546</v>
      </c>
      <c r="J4617" s="307" t="s">
        <v>214</v>
      </c>
      <c r="K4617" s="127" t="s">
        <v>4625</v>
      </c>
      <c r="L4617" s="151" t="s">
        <v>1579</v>
      </c>
      <c r="M4617">
        <v>58</v>
      </c>
      <c r="N4617" s="123">
        <v>17</v>
      </c>
      <c r="O4617">
        <v>2983</v>
      </c>
      <c r="P4617" s="132" t="s">
        <v>77</v>
      </c>
      <c r="Q4617" s="131">
        <v>769.83</v>
      </c>
      <c r="R4617" s="131">
        <v>123.17</v>
      </c>
      <c r="S4617" s="131"/>
      <c r="T4617" s="155"/>
      <c r="U4617" s="131"/>
      <c r="V4617" s="131">
        <v>893</v>
      </c>
      <c r="W4617">
        <v>93</v>
      </c>
      <c r="X4617" s="151" t="s">
        <v>1644</v>
      </c>
      <c r="Y4617" s="135" t="s">
        <v>55</v>
      </c>
      <c r="Z4617" s="307" t="s">
        <v>214</v>
      </c>
      <c r="AB4617" t="str">
        <f>IF(Table1[[#This Row],[TIPO2]]="costo", VLOOKUP(Table1[[#This Row],[PARTIDA PRESUPUESTAL]],'Cost Report'!G:G,1,0),"Balance")</f>
        <v>3901-048</v>
      </c>
      <c r="AC4617" s="118"/>
      <c r="AD4617" s="159">
        <f>+Table1[[#This Row],[SUBTOTAL]]+Table1[[#This Row],[IVA]]-Table1[[#This Row],[RET IVA]]-Table1[[#This Row],[RET ISR]]-Table1[[#This Row],[TOTAL]]</f>
        <v>0</v>
      </c>
      <c r="AE4617" s="150"/>
      <c r="AF4617" s="151"/>
      <c r="AG4617" s="126" t="s">
        <v>3420</v>
      </c>
      <c r="AK4617" s="306" t="str">
        <f>IF(ISNUMBER(Table1[[#This Row],[FECHA DE RECIBIDO]]), Table1[[#This Row],[FECHA DE RECIBIDO]]-DATE(2023,8,30), "")</f>
        <v/>
      </c>
    </row>
    <row r="4618" spans="1:37" ht="16.05" customHeight="1">
      <c r="A4618" s="152" t="s">
        <v>4611</v>
      </c>
      <c r="B4618" s="153">
        <v>1597</v>
      </c>
      <c r="C4618" s="126" t="s">
        <v>2952</v>
      </c>
      <c r="D4618">
        <v>3129</v>
      </c>
      <c r="E4618" s="126" t="s">
        <v>1624</v>
      </c>
      <c r="F4618" s="125" t="s">
        <v>1607</v>
      </c>
      <c r="G4618" s="125" t="s">
        <v>134</v>
      </c>
      <c r="H4618">
        <v>46</v>
      </c>
      <c r="I4618" s="125" t="s">
        <v>1546</v>
      </c>
      <c r="J4618" s="308" t="s">
        <v>214</v>
      </c>
      <c r="K4618" s="127" t="s">
        <v>4625</v>
      </c>
      <c r="L4618" s="153" t="s">
        <v>1579</v>
      </c>
      <c r="M4618">
        <v>58</v>
      </c>
      <c r="N4618" s="123">
        <v>17</v>
      </c>
      <c r="O4618">
        <v>2982</v>
      </c>
      <c r="P4618" s="132" t="s">
        <v>77</v>
      </c>
      <c r="Q4618" s="132">
        <v>319.83</v>
      </c>
      <c r="R4618" s="132">
        <v>51.17</v>
      </c>
      <c r="S4618" s="132"/>
      <c r="T4618" s="156"/>
      <c r="U4618" s="132"/>
      <c r="V4618" s="132">
        <v>371</v>
      </c>
      <c r="W4618">
        <v>93</v>
      </c>
      <c r="X4618" s="153" t="s">
        <v>1644</v>
      </c>
      <c r="Y4618" s="124" t="s">
        <v>55</v>
      </c>
      <c r="Z4618" s="308" t="s">
        <v>214</v>
      </c>
      <c r="AB4618" t="str">
        <f>IF(Table1[[#This Row],[TIPO2]]="costo", VLOOKUP(Table1[[#This Row],[PARTIDA PRESUPUESTAL]],'Cost Report'!G:G,1,0),"Balance")</f>
        <v>3901-048</v>
      </c>
      <c r="AC4618" s="118"/>
      <c r="AD4618" s="159">
        <f>+Table1[[#This Row],[SUBTOTAL]]+Table1[[#This Row],[IVA]]-Table1[[#This Row],[RET IVA]]-Table1[[#This Row],[RET ISR]]-Table1[[#This Row],[TOTAL]]</f>
        <v>0</v>
      </c>
      <c r="AE4618" s="152"/>
      <c r="AF4618" s="153"/>
      <c r="AG4618" s="126" t="s">
        <v>3420</v>
      </c>
      <c r="AK4618" s="306" t="str">
        <f>IF(ISNUMBER(Table1[[#This Row],[FECHA DE RECIBIDO]]), Table1[[#This Row],[FECHA DE RECIBIDO]]-DATE(2023,8,30), "")</f>
        <v/>
      </c>
    </row>
    <row r="4619" spans="1:37" ht="16.05" customHeight="1">
      <c r="A4619" s="150" t="s">
        <v>4611</v>
      </c>
      <c r="B4619" s="151">
        <v>1597</v>
      </c>
      <c r="C4619" s="126" t="s">
        <v>3032</v>
      </c>
      <c r="D4619">
        <v>3130</v>
      </c>
      <c r="E4619" s="126"/>
      <c r="F4619" s="122"/>
      <c r="G4619" s="122"/>
      <c r="H4619">
        <v>36</v>
      </c>
      <c r="I4619" s="122" t="e">
        <v>#N/A</v>
      </c>
      <c r="J4619" s="307" t="s">
        <v>214</v>
      </c>
      <c r="K4619" s="127" t="s">
        <v>4625</v>
      </c>
      <c r="L4619" s="151" t="s">
        <v>1579</v>
      </c>
      <c r="M4619">
        <v>1140</v>
      </c>
      <c r="N4619" s="123">
        <v>17</v>
      </c>
      <c r="O4619">
        <v>2984</v>
      </c>
      <c r="P4619" s="132" t="s">
        <v>77</v>
      </c>
      <c r="Q4619" s="131">
        <v>43543</v>
      </c>
      <c r="R4619" s="131"/>
      <c r="S4619" s="131"/>
      <c r="T4619" s="155"/>
      <c r="U4619" s="131"/>
      <c r="V4619" s="131">
        <v>43543</v>
      </c>
      <c r="W4619">
        <v>93</v>
      </c>
      <c r="X4619" s="151" t="s">
        <v>1644</v>
      </c>
      <c r="Y4619" s="135" t="s">
        <v>55</v>
      </c>
      <c r="Z4619" s="307" t="s">
        <v>214</v>
      </c>
      <c r="AB4619" t="str">
        <f>IF(Table1[[#This Row],[TIPO2]]="costo", VLOOKUP(Table1[[#This Row],[PARTIDA PRESUPUESTAL]],'Cost Report'!G:G,1,0),"Balance")</f>
        <v>5024-003</v>
      </c>
      <c r="AC4619" s="118"/>
      <c r="AD4619" s="159">
        <f>+Table1[[#This Row],[SUBTOTAL]]+Table1[[#This Row],[IVA]]-Table1[[#This Row],[RET IVA]]-Table1[[#This Row],[RET ISR]]-Table1[[#This Row],[TOTAL]]</f>
        <v>0</v>
      </c>
      <c r="AE4619" s="150"/>
      <c r="AF4619" s="151"/>
      <c r="AG4619" s="126" t="s">
        <v>3420</v>
      </c>
      <c r="AK4619" s="306" t="str">
        <f>IF(ISNUMBER(Table1[[#This Row],[FECHA DE RECIBIDO]]), Table1[[#This Row],[FECHA DE RECIBIDO]]-DATE(2023,8,30), "")</f>
        <v/>
      </c>
    </row>
    <row r="4620" spans="1:37" ht="16.05" customHeight="1">
      <c r="A4620" s="152" t="s">
        <v>4611</v>
      </c>
      <c r="B4620" s="153">
        <v>1597</v>
      </c>
      <c r="C4620" s="126" t="s">
        <v>2443</v>
      </c>
      <c r="D4620">
        <v>3131</v>
      </c>
      <c r="E4620" s="126" t="s">
        <v>1603</v>
      </c>
      <c r="F4620" s="125" t="s">
        <v>1607</v>
      </c>
      <c r="G4620" s="125" t="s">
        <v>134</v>
      </c>
      <c r="H4620">
        <v>91</v>
      </c>
      <c r="I4620" s="125" t="s">
        <v>1546</v>
      </c>
      <c r="J4620" s="308" t="s">
        <v>214</v>
      </c>
      <c r="K4620" s="127" t="s">
        <v>4625</v>
      </c>
      <c r="L4620" s="153" t="s">
        <v>1579</v>
      </c>
      <c r="M4620">
        <v>122</v>
      </c>
      <c r="N4620" s="123">
        <v>17</v>
      </c>
      <c r="O4620">
        <v>2985</v>
      </c>
      <c r="P4620" s="132" t="s">
        <v>77</v>
      </c>
      <c r="Q4620" s="132">
        <v>478.45</v>
      </c>
      <c r="R4620" s="132">
        <v>76.55</v>
      </c>
      <c r="S4620" s="132"/>
      <c r="T4620" s="156"/>
      <c r="U4620" s="132"/>
      <c r="V4620" s="132">
        <v>555</v>
      </c>
      <c r="W4620">
        <v>93</v>
      </c>
      <c r="X4620" s="153" t="s">
        <v>1644</v>
      </c>
      <c r="Y4620" s="124" t="s">
        <v>55</v>
      </c>
      <c r="Z4620" s="308" t="s">
        <v>214</v>
      </c>
      <c r="AB4620" t="str">
        <f>IF(Table1[[#This Row],[TIPO2]]="costo", VLOOKUP(Table1[[#This Row],[PARTIDA PRESUPUESTAL]],'Cost Report'!G:G,1,0),"Balance")</f>
        <v>2080-003</v>
      </c>
      <c r="AC4620" s="118"/>
      <c r="AD4620" s="159">
        <f>+Table1[[#This Row],[SUBTOTAL]]+Table1[[#This Row],[IVA]]-Table1[[#This Row],[RET IVA]]-Table1[[#This Row],[RET ISR]]-Table1[[#This Row],[TOTAL]]</f>
        <v>0</v>
      </c>
      <c r="AE4620" s="152"/>
      <c r="AF4620" s="153"/>
      <c r="AG4620" s="126" t="s">
        <v>3420</v>
      </c>
      <c r="AK4620" s="306" t="str">
        <f>IF(ISNUMBER(Table1[[#This Row],[FECHA DE RECIBIDO]]), Table1[[#This Row],[FECHA DE RECIBIDO]]-DATE(2023,8,30), "")</f>
        <v/>
      </c>
    </row>
    <row r="4621" spans="1:37" ht="16.05" customHeight="1">
      <c r="A4621" s="150" t="s">
        <v>4611</v>
      </c>
      <c r="B4621" s="151">
        <v>1597</v>
      </c>
      <c r="C4621" s="126" t="s">
        <v>2952</v>
      </c>
      <c r="D4621">
        <v>3132</v>
      </c>
      <c r="E4621" s="126" t="s">
        <v>2077</v>
      </c>
      <c r="F4621" s="122" t="s">
        <v>1607</v>
      </c>
      <c r="G4621" s="122" t="s">
        <v>134</v>
      </c>
      <c r="H4621">
        <v>824</v>
      </c>
      <c r="I4621" s="122" t="s">
        <v>1546</v>
      </c>
      <c r="J4621" s="307" t="s">
        <v>214</v>
      </c>
      <c r="K4621" s="127" t="s">
        <v>4625</v>
      </c>
      <c r="L4621" s="151" t="s">
        <v>1579</v>
      </c>
      <c r="M4621">
        <v>1141</v>
      </c>
      <c r="N4621" s="123">
        <v>17</v>
      </c>
      <c r="O4621">
        <v>2986</v>
      </c>
      <c r="P4621" s="132" t="s">
        <v>77</v>
      </c>
      <c r="Q4621" s="131">
        <v>451.72</v>
      </c>
      <c r="R4621" s="131">
        <v>72.28</v>
      </c>
      <c r="S4621" s="131"/>
      <c r="T4621" s="155"/>
      <c r="U4621" s="131"/>
      <c r="V4621" s="131">
        <v>524</v>
      </c>
      <c r="W4621">
        <v>93</v>
      </c>
      <c r="X4621" s="151" t="s">
        <v>1644</v>
      </c>
      <c r="Y4621" s="135" t="s">
        <v>55</v>
      </c>
      <c r="Z4621" s="307" t="s">
        <v>214</v>
      </c>
      <c r="AB4621" t="str">
        <f>IF(Table1[[#This Row],[TIPO2]]="costo", VLOOKUP(Table1[[#This Row],[PARTIDA PRESUPUESTAL]],'Cost Report'!G:G,1,0),"Balance")</f>
        <v>3901-048</v>
      </c>
      <c r="AC4621" s="118"/>
      <c r="AD4621" s="159">
        <f>+Table1[[#This Row],[SUBTOTAL]]+Table1[[#This Row],[IVA]]-Table1[[#This Row],[RET IVA]]-Table1[[#This Row],[RET ISR]]-Table1[[#This Row],[TOTAL]]</f>
        <v>0</v>
      </c>
      <c r="AE4621" s="150"/>
      <c r="AF4621" s="151"/>
      <c r="AG4621" s="126" t="s">
        <v>3420</v>
      </c>
      <c r="AK4621" s="306" t="str">
        <f>IF(ISNUMBER(Table1[[#This Row],[FECHA DE RECIBIDO]]), Table1[[#This Row],[FECHA DE RECIBIDO]]-DATE(2023,8,30), "")</f>
        <v/>
      </c>
    </row>
    <row r="4622" spans="1:37" ht="16.05" customHeight="1">
      <c r="A4622" s="152" t="s">
        <v>4611</v>
      </c>
      <c r="B4622" s="153">
        <v>1597</v>
      </c>
      <c r="C4622" s="126" t="s">
        <v>2952</v>
      </c>
      <c r="D4622">
        <v>3133</v>
      </c>
      <c r="E4622" s="126" t="s">
        <v>1991</v>
      </c>
      <c r="F4622" s="125" t="s">
        <v>1607</v>
      </c>
      <c r="G4622" s="125" t="s">
        <v>134</v>
      </c>
      <c r="H4622">
        <v>824</v>
      </c>
      <c r="I4622" s="125" t="s">
        <v>1546</v>
      </c>
      <c r="J4622" s="308" t="s">
        <v>214</v>
      </c>
      <c r="K4622" s="127" t="s">
        <v>4625</v>
      </c>
      <c r="L4622" s="153" t="s">
        <v>1579</v>
      </c>
      <c r="M4622">
        <v>1141</v>
      </c>
      <c r="N4622" s="123">
        <v>17</v>
      </c>
      <c r="O4622">
        <v>2986</v>
      </c>
      <c r="P4622" s="132" t="s">
        <v>77</v>
      </c>
      <c r="Q4622" s="132">
        <v>451.72</v>
      </c>
      <c r="R4622" s="132">
        <v>72.28</v>
      </c>
      <c r="S4622" s="132"/>
      <c r="T4622" s="156"/>
      <c r="U4622" s="132"/>
      <c r="V4622" s="132">
        <v>524</v>
      </c>
      <c r="W4622">
        <v>93</v>
      </c>
      <c r="X4622" s="153" t="s">
        <v>1644</v>
      </c>
      <c r="Y4622" s="124" t="s">
        <v>55</v>
      </c>
      <c r="Z4622" s="308" t="s">
        <v>214</v>
      </c>
      <c r="AB4622" t="str">
        <f>IF(Table1[[#This Row],[TIPO2]]="costo", VLOOKUP(Table1[[#This Row],[PARTIDA PRESUPUESTAL]],'Cost Report'!G:G,1,0),"Balance")</f>
        <v>3901-048</v>
      </c>
      <c r="AC4622" s="118"/>
      <c r="AD4622" s="159">
        <f>+Table1[[#This Row],[SUBTOTAL]]+Table1[[#This Row],[IVA]]-Table1[[#This Row],[RET IVA]]-Table1[[#This Row],[RET ISR]]-Table1[[#This Row],[TOTAL]]</f>
        <v>0</v>
      </c>
      <c r="AE4622" s="152"/>
      <c r="AF4622" s="153"/>
      <c r="AG4622" s="126" t="s">
        <v>3420</v>
      </c>
      <c r="AK4622" s="306" t="str">
        <f>IF(ISNUMBER(Table1[[#This Row],[FECHA DE RECIBIDO]]), Table1[[#This Row],[FECHA DE RECIBIDO]]-DATE(2023,8,30), "")</f>
        <v/>
      </c>
    </row>
    <row r="4623" spans="1:37" ht="16.05" customHeight="1">
      <c r="A4623" s="150" t="s">
        <v>4611</v>
      </c>
      <c r="B4623" s="151">
        <v>1597</v>
      </c>
      <c r="C4623" s="126" t="s">
        <v>2952</v>
      </c>
      <c r="D4623">
        <v>3134</v>
      </c>
      <c r="E4623" s="126" t="s">
        <v>2077</v>
      </c>
      <c r="F4623" s="122" t="s">
        <v>1607</v>
      </c>
      <c r="G4623" s="122" t="s">
        <v>134</v>
      </c>
      <c r="H4623">
        <v>824</v>
      </c>
      <c r="I4623" s="122" t="s">
        <v>1546</v>
      </c>
      <c r="J4623" s="307" t="s">
        <v>214</v>
      </c>
      <c r="K4623" s="127" t="s">
        <v>4625</v>
      </c>
      <c r="L4623" s="151" t="s">
        <v>1579</v>
      </c>
      <c r="M4623">
        <v>1141</v>
      </c>
      <c r="N4623" s="123">
        <v>17</v>
      </c>
      <c r="O4623">
        <v>2986</v>
      </c>
      <c r="P4623" s="132" t="s">
        <v>77</v>
      </c>
      <c r="Q4623" s="131">
        <v>451.72</v>
      </c>
      <c r="R4623" s="131">
        <v>72.28</v>
      </c>
      <c r="S4623" s="131"/>
      <c r="T4623" s="155"/>
      <c r="U4623" s="131"/>
      <c r="V4623" s="131">
        <v>524</v>
      </c>
      <c r="W4623">
        <v>93</v>
      </c>
      <c r="X4623" s="151" t="s">
        <v>1644</v>
      </c>
      <c r="Y4623" s="135" t="s">
        <v>55</v>
      </c>
      <c r="Z4623" s="307" t="s">
        <v>214</v>
      </c>
      <c r="AB4623" t="str">
        <f>IF(Table1[[#This Row],[TIPO2]]="costo", VLOOKUP(Table1[[#This Row],[PARTIDA PRESUPUESTAL]],'Cost Report'!G:G,1,0),"Balance")</f>
        <v>3901-048</v>
      </c>
      <c r="AC4623" s="118"/>
      <c r="AD4623" s="159">
        <f>+Table1[[#This Row],[SUBTOTAL]]+Table1[[#This Row],[IVA]]-Table1[[#This Row],[RET IVA]]-Table1[[#This Row],[RET ISR]]-Table1[[#This Row],[TOTAL]]</f>
        <v>0</v>
      </c>
      <c r="AE4623" s="150"/>
      <c r="AF4623" s="151"/>
      <c r="AG4623" s="126" t="s">
        <v>3420</v>
      </c>
      <c r="AK4623" s="306" t="str">
        <f>IF(ISNUMBER(Table1[[#This Row],[FECHA DE RECIBIDO]]), Table1[[#This Row],[FECHA DE RECIBIDO]]-DATE(2023,8,30), "")</f>
        <v/>
      </c>
    </row>
    <row r="4624" spans="1:37" ht="16.05" customHeight="1">
      <c r="A4624" s="152" t="s">
        <v>4611</v>
      </c>
      <c r="B4624" s="153">
        <v>1597</v>
      </c>
      <c r="C4624" s="126" t="s">
        <v>2952</v>
      </c>
      <c r="D4624">
        <v>3135</v>
      </c>
      <c r="E4624" s="126" t="s">
        <v>1991</v>
      </c>
      <c r="F4624" s="125" t="s">
        <v>1607</v>
      </c>
      <c r="G4624" s="125" t="s">
        <v>134</v>
      </c>
      <c r="H4624">
        <v>824</v>
      </c>
      <c r="I4624" s="125" t="s">
        <v>1546</v>
      </c>
      <c r="J4624" s="308" t="s">
        <v>214</v>
      </c>
      <c r="K4624" s="127" t="s">
        <v>4625</v>
      </c>
      <c r="L4624" s="153" t="s">
        <v>1579</v>
      </c>
      <c r="M4624">
        <v>1141</v>
      </c>
      <c r="N4624" s="123">
        <v>17</v>
      </c>
      <c r="O4624">
        <v>2986</v>
      </c>
      <c r="P4624" s="132" t="s">
        <v>77</v>
      </c>
      <c r="Q4624" s="132">
        <v>451.72</v>
      </c>
      <c r="R4624" s="132">
        <v>72.28</v>
      </c>
      <c r="S4624" s="132"/>
      <c r="T4624" s="156"/>
      <c r="U4624" s="132"/>
      <c r="V4624" s="132">
        <v>524</v>
      </c>
      <c r="W4624">
        <v>93</v>
      </c>
      <c r="X4624" s="153" t="s">
        <v>1644</v>
      </c>
      <c r="Y4624" s="124" t="s">
        <v>55</v>
      </c>
      <c r="Z4624" s="308" t="s">
        <v>214</v>
      </c>
      <c r="AB4624" t="str">
        <f>IF(Table1[[#This Row],[TIPO2]]="costo", VLOOKUP(Table1[[#This Row],[PARTIDA PRESUPUESTAL]],'Cost Report'!G:G,1,0),"Balance")</f>
        <v>3901-048</v>
      </c>
      <c r="AC4624" s="118"/>
      <c r="AD4624" s="159">
        <f>+Table1[[#This Row],[SUBTOTAL]]+Table1[[#This Row],[IVA]]-Table1[[#This Row],[RET IVA]]-Table1[[#This Row],[RET ISR]]-Table1[[#This Row],[TOTAL]]</f>
        <v>0</v>
      </c>
      <c r="AE4624" s="152"/>
      <c r="AF4624" s="153"/>
      <c r="AG4624" s="126" t="s">
        <v>3420</v>
      </c>
      <c r="AK4624" s="306" t="str">
        <f>IF(ISNUMBER(Table1[[#This Row],[FECHA DE RECIBIDO]]), Table1[[#This Row],[FECHA DE RECIBIDO]]-DATE(2023,8,30), "")</f>
        <v/>
      </c>
    </row>
    <row r="4625" spans="1:37" ht="16.05" customHeight="1">
      <c r="A4625" s="150" t="s">
        <v>4611</v>
      </c>
      <c r="B4625" s="151">
        <v>1597</v>
      </c>
      <c r="C4625" s="126" t="s">
        <v>2952</v>
      </c>
      <c r="D4625">
        <v>3136</v>
      </c>
      <c r="E4625" s="126" t="s">
        <v>2077</v>
      </c>
      <c r="F4625" s="122" t="s">
        <v>1607</v>
      </c>
      <c r="G4625" s="122" t="s">
        <v>134</v>
      </c>
      <c r="H4625">
        <v>824</v>
      </c>
      <c r="I4625" s="122" t="s">
        <v>1546</v>
      </c>
      <c r="J4625" s="307" t="s">
        <v>214</v>
      </c>
      <c r="K4625" s="127" t="s">
        <v>4625</v>
      </c>
      <c r="L4625" s="151" t="s">
        <v>1579</v>
      </c>
      <c r="M4625">
        <v>1141</v>
      </c>
      <c r="N4625" s="123">
        <v>17</v>
      </c>
      <c r="O4625">
        <v>2986</v>
      </c>
      <c r="P4625" s="132" t="s">
        <v>77</v>
      </c>
      <c r="Q4625" s="131">
        <v>473.27</v>
      </c>
      <c r="R4625" s="131">
        <v>75.73</v>
      </c>
      <c r="S4625" s="131"/>
      <c r="T4625" s="155"/>
      <c r="U4625" s="131"/>
      <c r="V4625" s="131">
        <v>549</v>
      </c>
      <c r="W4625">
        <v>93</v>
      </c>
      <c r="X4625" s="151" t="s">
        <v>1644</v>
      </c>
      <c r="Y4625" s="135" t="s">
        <v>55</v>
      </c>
      <c r="Z4625" s="307" t="s">
        <v>214</v>
      </c>
      <c r="AB4625" t="str">
        <f>IF(Table1[[#This Row],[TIPO2]]="costo", VLOOKUP(Table1[[#This Row],[PARTIDA PRESUPUESTAL]],'Cost Report'!G:G,1,0),"Balance")</f>
        <v>3901-048</v>
      </c>
      <c r="AC4625" s="118"/>
      <c r="AD4625" s="159">
        <f>+Table1[[#This Row],[SUBTOTAL]]+Table1[[#This Row],[IVA]]-Table1[[#This Row],[RET IVA]]-Table1[[#This Row],[RET ISR]]-Table1[[#This Row],[TOTAL]]</f>
        <v>0</v>
      </c>
      <c r="AE4625" s="150"/>
      <c r="AF4625" s="151"/>
      <c r="AG4625" s="126" t="s">
        <v>3420</v>
      </c>
      <c r="AK4625" s="306" t="str">
        <f>IF(ISNUMBER(Table1[[#This Row],[FECHA DE RECIBIDO]]), Table1[[#This Row],[FECHA DE RECIBIDO]]-DATE(2023,8,30), "")</f>
        <v/>
      </c>
    </row>
    <row r="4626" spans="1:37" ht="16.05" customHeight="1">
      <c r="A4626" s="152" t="s">
        <v>4611</v>
      </c>
      <c r="B4626" s="153">
        <v>1597</v>
      </c>
      <c r="C4626" s="126" t="s">
        <v>2952</v>
      </c>
      <c r="D4626">
        <v>3137</v>
      </c>
      <c r="E4626" s="126" t="s">
        <v>1624</v>
      </c>
      <c r="F4626" s="125" t="s">
        <v>1607</v>
      </c>
      <c r="G4626" s="125" t="s">
        <v>134</v>
      </c>
      <c r="H4626">
        <v>46</v>
      </c>
      <c r="I4626" s="125" t="s">
        <v>1546</v>
      </c>
      <c r="J4626" s="308" t="s">
        <v>214</v>
      </c>
      <c r="K4626" s="127" t="s">
        <v>4625</v>
      </c>
      <c r="L4626" s="153" t="s">
        <v>1579</v>
      </c>
      <c r="M4626">
        <v>58</v>
      </c>
      <c r="N4626" s="123">
        <v>17</v>
      </c>
      <c r="O4626">
        <v>2987</v>
      </c>
      <c r="P4626" s="132" t="s">
        <v>77</v>
      </c>
      <c r="Q4626" s="132">
        <v>6055.12</v>
      </c>
      <c r="R4626" s="132">
        <v>790.88</v>
      </c>
      <c r="S4626" s="132"/>
      <c r="T4626" s="156"/>
      <c r="U4626" s="132"/>
      <c r="V4626" s="132">
        <v>6846</v>
      </c>
      <c r="W4626">
        <v>93</v>
      </c>
      <c r="X4626" s="153" t="s">
        <v>1644</v>
      </c>
      <c r="Y4626" s="124" t="s">
        <v>55</v>
      </c>
      <c r="Z4626" s="308">
        <v>159</v>
      </c>
      <c r="AB4626" t="str">
        <f>IF(Table1[[#This Row],[TIPO2]]="costo", VLOOKUP(Table1[[#This Row],[PARTIDA PRESUPUESTAL]],'Cost Report'!G:G,1,0),"Balance")</f>
        <v>3901-048</v>
      </c>
      <c r="AC4626" s="118"/>
      <c r="AD4626" s="159">
        <f>+Table1[[#This Row],[SUBTOTAL]]+Table1[[#This Row],[IVA]]-Table1[[#This Row],[RET IVA]]-Table1[[#This Row],[RET ISR]]-Table1[[#This Row],[TOTAL]]</f>
        <v>0</v>
      </c>
      <c r="AE4626" s="152"/>
      <c r="AF4626" s="153"/>
      <c r="AG4626" s="126" t="s">
        <v>3420</v>
      </c>
      <c r="AK4626" s="306" t="str">
        <f>IF(ISNUMBER(Table1[[#This Row],[FECHA DE RECIBIDO]]), Table1[[#This Row],[FECHA DE RECIBIDO]]-DATE(2023,8,30), "")</f>
        <v/>
      </c>
    </row>
    <row r="4627" spans="1:37" ht="16.05" customHeight="1">
      <c r="A4627" s="150" t="s">
        <v>4611</v>
      </c>
      <c r="B4627" s="151">
        <v>1597</v>
      </c>
      <c r="C4627" s="126" t="s">
        <v>2443</v>
      </c>
      <c r="D4627">
        <v>3138</v>
      </c>
      <c r="E4627" s="126" t="s">
        <v>4612</v>
      </c>
      <c r="F4627" s="122" t="s">
        <v>1593</v>
      </c>
      <c r="G4627" s="122" t="s">
        <v>109</v>
      </c>
      <c r="H4627">
        <v>825</v>
      </c>
      <c r="I4627" s="122" t="s">
        <v>1546</v>
      </c>
      <c r="J4627" s="307" t="s">
        <v>214</v>
      </c>
      <c r="K4627" s="127" t="s">
        <v>4625</v>
      </c>
      <c r="L4627" s="151" t="s">
        <v>1579</v>
      </c>
      <c r="M4627">
        <v>1142</v>
      </c>
      <c r="N4627" s="123">
        <v>17</v>
      </c>
      <c r="O4627">
        <v>2988</v>
      </c>
      <c r="P4627" s="132" t="s">
        <v>77</v>
      </c>
      <c r="Q4627" s="131">
        <v>626.75</v>
      </c>
      <c r="R4627" s="131">
        <v>100.28</v>
      </c>
      <c r="S4627" s="131"/>
      <c r="T4627" s="155"/>
      <c r="U4627" s="131">
        <v>7.83</v>
      </c>
      <c r="V4627" s="131">
        <v>719.19999999999993</v>
      </c>
      <c r="W4627">
        <v>93</v>
      </c>
      <c r="X4627" s="151" t="s">
        <v>1644</v>
      </c>
      <c r="Y4627" s="135" t="s">
        <v>55</v>
      </c>
      <c r="Z4627" s="307">
        <v>159</v>
      </c>
      <c r="AB4627" t="str">
        <f>IF(Table1[[#This Row],[TIPO2]]="costo", VLOOKUP(Table1[[#This Row],[PARTIDA PRESUPUESTAL]],'Cost Report'!G:G,1,0),"Balance")</f>
        <v>2080-003</v>
      </c>
      <c r="AC4627" s="118"/>
      <c r="AD4627" s="159">
        <f>+Table1[[#This Row],[SUBTOTAL]]+Table1[[#This Row],[IVA]]-Table1[[#This Row],[RET IVA]]-Table1[[#This Row],[RET ISR]]-Table1[[#This Row],[TOTAL]]</f>
        <v>0</v>
      </c>
      <c r="AE4627" s="150"/>
      <c r="AF4627" s="151"/>
      <c r="AG4627" s="126" t="s">
        <v>3420</v>
      </c>
      <c r="AK4627" s="306" t="str">
        <f>IF(ISNUMBER(Table1[[#This Row],[FECHA DE RECIBIDO]]), Table1[[#This Row],[FECHA DE RECIBIDO]]-DATE(2023,8,30), "")</f>
        <v/>
      </c>
    </row>
    <row r="4628" spans="1:37" ht="16.05" customHeight="1">
      <c r="A4628" s="152" t="s">
        <v>4611</v>
      </c>
      <c r="B4628" s="153">
        <v>1597</v>
      </c>
      <c r="C4628" s="126" t="s">
        <v>2952</v>
      </c>
      <c r="D4628">
        <v>3139</v>
      </c>
      <c r="E4628" s="126" t="s">
        <v>1624</v>
      </c>
      <c r="F4628" s="125" t="s">
        <v>1607</v>
      </c>
      <c r="G4628" s="125" t="s">
        <v>134</v>
      </c>
      <c r="H4628">
        <v>46</v>
      </c>
      <c r="I4628" s="125" t="s">
        <v>1546</v>
      </c>
      <c r="J4628" s="308" t="s">
        <v>214</v>
      </c>
      <c r="K4628" s="127" t="s">
        <v>4625</v>
      </c>
      <c r="L4628" s="153" t="s">
        <v>1579</v>
      </c>
      <c r="M4628">
        <v>58</v>
      </c>
      <c r="N4628" s="123">
        <v>17</v>
      </c>
      <c r="O4628">
        <v>2989</v>
      </c>
      <c r="P4628" s="132" t="s">
        <v>77</v>
      </c>
      <c r="Q4628" s="132">
        <v>350</v>
      </c>
      <c r="R4628" s="132">
        <v>56</v>
      </c>
      <c r="S4628" s="132"/>
      <c r="T4628" s="156"/>
      <c r="U4628" s="132"/>
      <c r="V4628" s="132">
        <v>406</v>
      </c>
      <c r="W4628">
        <v>93</v>
      </c>
      <c r="X4628" s="153" t="s">
        <v>1644</v>
      </c>
      <c r="Y4628" s="124" t="s">
        <v>55</v>
      </c>
      <c r="Z4628" s="308">
        <v>159</v>
      </c>
      <c r="AB4628" t="str">
        <f>IF(Table1[[#This Row],[TIPO2]]="costo", VLOOKUP(Table1[[#This Row],[PARTIDA PRESUPUESTAL]],'Cost Report'!G:G,1,0),"Balance")</f>
        <v>3901-048</v>
      </c>
      <c r="AC4628" s="118"/>
      <c r="AD4628" s="159">
        <f>+Table1[[#This Row],[SUBTOTAL]]+Table1[[#This Row],[IVA]]-Table1[[#This Row],[RET IVA]]-Table1[[#This Row],[RET ISR]]-Table1[[#This Row],[TOTAL]]</f>
        <v>0</v>
      </c>
      <c r="AE4628" s="152"/>
      <c r="AF4628" s="153"/>
      <c r="AG4628" s="126" t="s">
        <v>3420</v>
      </c>
      <c r="AK4628" s="306" t="str">
        <f>IF(ISNUMBER(Table1[[#This Row],[FECHA DE RECIBIDO]]), Table1[[#This Row],[FECHA DE RECIBIDO]]-DATE(2023,8,30), "")</f>
        <v/>
      </c>
    </row>
    <row r="4629" spans="1:37" ht="16.05" customHeight="1">
      <c r="A4629" s="150" t="s">
        <v>4611</v>
      </c>
      <c r="B4629" s="151">
        <v>1597</v>
      </c>
      <c r="C4629" s="126" t="s">
        <v>2952</v>
      </c>
      <c r="D4629">
        <v>3140</v>
      </c>
      <c r="E4629" s="126" t="s">
        <v>1641</v>
      </c>
      <c r="F4629" s="122" t="s">
        <v>1607</v>
      </c>
      <c r="G4629" s="122" t="s">
        <v>134</v>
      </c>
      <c r="H4629">
        <v>49</v>
      </c>
      <c r="I4629" s="122" t="s">
        <v>1546</v>
      </c>
      <c r="J4629" s="307" t="s">
        <v>214</v>
      </c>
      <c r="K4629" s="127" t="s">
        <v>4625</v>
      </c>
      <c r="L4629" s="151" t="s">
        <v>1579</v>
      </c>
      <c r="M4629">
        <v>62</v>
      </c>
      <c r="N4629" s="123">
        <v>17</v>
      </c>
      <c r="O4629">
        <v>2990</v>
      </c>
      <c r="P4629" s="132" t="s">
        <v>77</v>
      </c>
      <c r="Q4629" s="131">
        <v>1442</v>
      </c>
      <c r="R4629" s="131">
        <v>102</v>
      </c>
      <c r="S4629" s="131"/>
      <c r="T4629" s="155"/>
      <c r="U4629" s="131"/>
      <c r="V4629" s="131">
        <v>1544</v>
      </c>
      <c r="W4629">
        <v>93</v>
      </c>
      <c r="X4629" s="151" t="s">
        <v>1644</v>
      </c>
      <c r="Y4629" s="135" t="s">
        <v>55</v>
      </c>
      <c r="Z4629" s="307">
        <v>159</v>
      </c>
      <c r="AB4629" t="str">
        <f>IF(Table1[[#This Row],[TIPO2]]="costo", VLOOKUP(Table1[[#This Row],[PARTIDA PRESUPUESTAL]],'Cost Report'!G:G,1,0),"Balance")</f>
        <v>3901-048</v>
      </c>
      <c r="AC4629" s="118"/>
      <c r="AD4629" s="159">
        <f>+Table1[[#This Row],[SUBTOTAL]]+Table1[[#This Row],[IVA]]-Table1[[#This Row],[RET IVA]]-Table1[[#This Row],[RET ISR]]-Table1[[#This Row],[TOTAL]]</f>
        <v>0</v>
      </c>
      <c r="AE4629" s="150"/>
      <c r="AF4629" s="151"/>
      <c r="AG4629" s="126" t="s">
        <v>3420</v>
      </c>
      <c r="AK4629" s="306" t="str">
        <f>IF(ISNUMBER(Table1[[#This Row],[FECHA DE RECIBIDO]]), Table1[[#This Row],[FECHA DE RECIBIDO]]-DATE(2023,8,30), "")</f>
        <v/>
      </c>
    </row>
    <row r="4630" spans="1:37" ht="16.05" customHeight="1">
      <c r="A4630" s="152" t="s">
        <v>4611</v>
      </c>
      <c r="B4630" s="153">
        <v>1597</v>
      </c>
      <c r="C4630" s="126" t="s">
        <v>2838</v>
      </c>
      <c r="D4630">
        <v>3141</v>
      </c>
      <c r="E4630" s="126" t="s">
        <v>3677</v>
      </c>
      <c r="F4630" s="125" t="s">
        <v>1607</v>
      </c>
      <c r="G4630" s="125" t="s">
        <v>134</v>
      </c>
      <c r="H4630">
        <v>32</v>
      </c>
      <c r="I4630" s="125" t="s">
        <v>1546</v>
      </c>
      <c r="J4630" s="308" t="s">
        <v>214</v>
      </c>
      <c r="K4630" s="127" t="s">
        <v>4625</v>
      </c>
      <c r="L4630" s="153" t="s">
        <v>1579</v>
      </c>
      <c r="M4630">
        <v>510</v>
      </c>
      <c r="N4630" s="123">
        <v>17</v>
      </c>
      <c r="O4630">
        <v>2991</v>
      </c>
      <c r="P4630" s="132" t="s">
        <v>77</v>
      </c>
      <c r="Q4630" s="132">
        <v>140.52000000000001</v>
      </c>
      <c r="R4630" s="132">
        <v>22.48</v>
      </c>
      <c r="S4630" s="132"/>
      <c r="T4630" s="156"/>
      <c r="U4630" s="132"/>
      <c r="V4630" s="132">
        <v>163</v>
      </c>
      <c r="W4630">
        <v>93</v>
      </c>
      <c r="X4630" s="153" t="s">
        <v>1644</v>
      </c>
      <c r="Y4630" s="124" t="s">
        <v>55</v>
      </c>
      <c r="Z4630" s="308">
        <v>159</v>
      </c>
      <c r="AB4630" t="str">
        <f>IF(Table1[[#This Row],[TIPO2]]="costo", VLOOKUP(Table1[[#This Row],[PARTIDA PRESUPUESTAL]],'Cost Report'!G:G,1,0),"Balance")</f>
        <v>3442-029</v>
      </c>
      <c r="AC4630" s="118"/>
      <c r="AD4630" s="159">
        <f>+Table1[[#This Row],[SUBTOTAL]]+Table1[[#This Row],[IVA]]-Table1[[#This Row],[RET IVA]]-Table1[[#This Row],[RET ISR]]-Table1[[#This Row],[TOTAL]]</f>
        <v>0</v>
      </c>
      <c r="AE4630" s="152"/>
      <c r="AF4630" s="153"/>
      <c r="AG4630" s="126" t="s">
        <v>3420</v>
      </c>
      <c r="AK4630" s="306" t="str">
        <f>IF(ISNUMBER(Table1[[#This Row],[FECHA DE RECIBIDO]]), Table1[[#This Row],[FECHA DE RECIBIDO]]-DATE(2023,8,30), "")</f>
        <v/>
      </c>
    </row>
    <row r="4631" spans="1:37" ht="16.05" customHeight="1">
      <c r="A4631" s="150" t="s">
        <v>4611</v>
      </c>
      <c r="B4631" s="151">
        <v>1597</v>
      </c>
      <c r="C4631" s="126" t="s">
        <v>2352</v>
      </c>
      <c r="D4631">
        <v>3142</v>
      </c>
      <c r="E4631" s="126" t="s">
        <v>2067</v>
      </c>
      <c r="F4631" s="122" t="s">
        <v>1607</v>
      </c>
      <c r="G4631" s="122" t="s">
        <v>134</v>
      </c>
      <c r="H4631">
        <v>136</v>
      </c>
      <c r="I4631" s="122" t="s">
        <v>1546</v>
      </c>
      <c r="J4631" s="307" t="s">
        <v>214</v>
      </c>
      <c r="K4631" s="127" t="s">
        <v>4625</v>
      </c>
      <c r="L4631" s="151" t="s">
        <v>1579</v>
      </c>
      <c r="M4631">
        <v>178</v>
      </c>
      <c r="N4631" s="123">
        <v>17</v>
      </c>
      <c r="O4631">
        <v>2992</v>
      </c>
      <c r="P4631" s="132" t="s">
        <v>77</v>
      </c>
      <c r="Q4631" s="131">
        <v>2185.34</v>
      </c>
      <c r="R4631" s="131">
        <v>349.66</v>
      </c>
      <c r="S4631" s="131"/>
      <c r="T4631" s="155"/>
      <c r="U4631" s="131"/>
      <c r="V4631" s="131">
        <v>2535</v>
      </c>
      <c r="W4631">
        <v>93</v>
      </c>
      <c r="X4631" s="151" t="s">
        <v>1644</v>
      </c>
      <c r="Y4631" s="135" t="s">
        <v>55</v>
      </c>
      <c r="Z4631" s="307">
        <v>280</v>
      </c>
      <c r="AB4631" t="str">
        <f>IF(Table1[[#This Row],[TIPO2]]="costo", VLOOKUP(Table1[[#This Row],[PARTIDA PRESUPUESTAL]],'Cost Report'!G:G,1,0),"Balance")</f>
        <v>1640-009</v>
      </c>
      <c r="AC4631" s="118"/>
      <c r="AD4631" s="159">
        <f>+Table1[[#This Row],[SUBTOTAL]]+Table1[[#This Row],[IVA]]-Table1[[#This Row],[RET IVA]]-Table1[[#This Row],[RET ISR]]-Table1[[#This Row],[TOTAL]]</f>
        <v>0</v>
      </c>
      <c r="AE4631" s="150"/>
      <c r="AF4631" s="151"/>
      <c r="AG4631" s="126" t="s">
        <v>3420</v>
      </c>
      <c r="AK4631" s="306" t="str">
        <f>IF(ISNUMBER(Table1[[#This Row],[FECHA DE RECIBIDO]]), Table1[[#This Row],[FECHA DE RECIBIDO]]-DATE(2023,8,30), "")</f>
        <v/>
      </c>
    </row>
    <row r="4632" spans="1:37" ht="16.05" customHeight="1">
      <c r="A4632" s="152" t="s">
        <v>4611</v>
      </c>
      <c r="B4632" s="153">
        <v>1597</v>
      </c>
      <c r="C4632" s="126" t="s">
        <v>2352</v>
      </c>
      <c r="D4632">
        <v>3143</v>
      </c>
      <c r="E4632" s="126" t="s">
        <v>2067</v>
      </c>
      <c r="F4632" s="125" t="s">
        <v>1607</v>
      </c>
      <c r="G4632" s="125" t="s">
        <v>134</v>
      </c>
      <c r="H4632">
        <v>136</v>
      </c>
      <c r="I4632" s="125" t="s">
        <v>1546</v>
      </c>
      <c r="J4632" s="308" t="s">
        <v>214</v>
      </c>
      <c r="K4632" s="127" t="s">
        <v>4625</v>
      </c>
      <c r="L4632" s="153" t="s">
        <v>1579</v>
      </c>
      <c r="M4632">
        <v>178</v>
      </c>
      <c r="N4632" s="123">
        <v>17</v>
      </c>
      <c r="O4632">
        <v>2993</v>
      </c>
      <c r="P4632" s="132" t="s">
        <v>77</v>
      </c>
      <c r="Q4632" s="132">
        <v>6384.07</v>
      </c>
      <c r="R4632" s="132">
        <v>845.93</v>
      </c>
      <c r="S4632" s="132"/>
      <c r="T4632" s="156"/>
      <c r="U4632" s="132"/>
      <c r="V4632" s="132">
        <v>7230</v>
      </c>
      <c r="W4632">
        <v>93</v>
      </c>
      <c r="X4632" s="153" t="s">
        <v>1644</v>
      </c>
      <c r="Y4632" s="124" t="s">
        <v>55</v>
      </c>
      <c r="Z4632" s="308">
        <v>280</v>
      </c>
      <c r="AB4632" t="str">
        <f>IF(Table1[[#This Row],[TIPO2]]="costo", VLOOKUP(Table1[[#This Row],[PARTIDA PRESUPUESTAL]],'Cost Report'!G:G,1,0),"Balance")</f>
        <v>1640-009</v>
      </c>
      <c r="AC4632" s="118"/>
      <c r="AD4632" s="159">
        <f>+Table1[[#This Row],[SUBTOTAL]]+Table1[[#This Row],[IVA]]-Table1[[#This Row],[RET IVA]]-Table1[[#This Row],[RET ISR]]-Table1[[#This Row],[TOTAL]]</f>
        <v>0</v>
      </c>
      <c r="AE4632" s="152"/>
      <c r="AF4632" s="153"/>
      <c r="AG4632" s="126" t="s">
        <v>3420</v>
      </c>
      <c r="AK4632" s="306" t="str">
        <f>IF(ISNUMBER(Table1[[#This Row],[FECHA DE RECIBIDO]]), Table1[[#This Row],[FECHA DE RECIBIDO]]-DATE(2023,8,30), "")</f>
        <v/>
      </c>
    </row>
    <row r="4633" spans="1:37" ht="16.05" customHeight="1">
      <c r="A4633" s="150" t="s">
        <v>4611</v>
      </c>
      <c r="B4633" s="151">
        <v>1597</v>
      </c>
      <c r="C4633" s="126" t="s">
        <v>2352</v>
      </c>
      <c r="D4633">
        <v>3144</v>
      </c>
      <c r="E4633" s="126" t="s">
        <v>2067</v>
      </c>
      <c r="F4633" s="122" t="s">
        <v>1607</v>
      </c>
      <c r="G4633" s="122" t="s">
        <v>134</v>
      </c>
      <c r="H4633">
        <v>136</v>
      </c>
      <c r="I4633" s="122" t="s">
        <v>1546</v>
      </c>
      <c r="J4633" s="307" t="s">
        <v>214</v>
      </c>
      <c r="K4633" s="127" t="s">
        <v>4625</v>
      </c>
      <c r="L4633" s="151" t="s">
        <v>1579</v>
      </c>
      <c r="M4633">
        <v>178</v>
      </c>
      <c r="N4633" s="123">
        <v>17</v>
      </c>
      <c r="O4633">
        <v>2994</v>
      </c>
      <c r="P4633" s="132" t="s">
        <v>77</v>
      </c>
      <c r="Q4633" s="131">
        <v>681.03</v>
      </c>
      <c r="R4633" s="131">
        <v>108.97</v>
      </c>
      <c r="S4633" s="131"/>
      <c r="T4633" s="155"/>
      <c r="U4633" s="131"/>
      <c r="V4633" s="131">
        <v>790</v>
      </c>
      <c r="W4633">
        <v>93</v>
      </c>
      <c r="X4633" s="151" t="s">
        <v>1644</v>
      </c>
      <c r="Y4633" s="135" t="s">
        <v>55</v>
      </c>
      <c r="Z4633" s="307">
        <v>280</v>
      </c>
      <c r="AB4633" t="str">
        <f>IF(Table1[[#This Row],[TIPO2]]="costo", VLOOKUP(Table1[[#This Row],[PARTIDA PRESUPUESTAL]],'Cost Report'!G:G,1,0),"Balance")</f>
        <v>1640-009</v>
      </c>
      <c r="AC4633" s="118"/>
      <c r="AD4633" s="159">
        <f>+Table1[[#This Row],[SUBTOTAL]]+Table1[[#This Row],[IVA]]-Table1[[#This Row],[RET IVA]]-Table1[[#This Row],[RET ISR]]-Table1[[#This Row],[TOTAL]]</f>
        <v>0</v>
      </c>
      <c r="AE4633" s="150"/>
      <c r="AF4633" s="151"/>
      <c r="AG4633" s="126" t="s">
        <v>3420</v>
      </c>
      <c r="AK4633" s="306" t="str">
        <f>IF(ISNUMBER(Table1[[#This Row],[FECHA DE RECIBIDO]]), Table1[[#This Row],[FECHA DE RECIBIDO]]-DATE(2023,8,30), "")</f>
        <v/>
      </c>
    </row>
    <row r="4634" spans="1:37" ht="16.05" customHeight="1">
      <c r="A4634" s="152" t="s">
        <v>4611</v>
      </c>
      <c r="B4634" s="153">
        <v>1597</v>
      </c>
      <c r="C4634" s="126" t="s">
        <v>3103</v>
      </c>
      <c r="D4634">
        <v>689</v>
      </c>
      <c r="E4634" s="126"/>
      <c r="F4634" s="125"/>
      <c r="G4634" s="125"/>
      <c r="H4634"/>
      <c r="I4634" s="125"/>
      <c r="J4634" s="308" t="s">
        <v>214</v>
      </c>
      <c r="K4634" s="127" t="s">
        <v>4625</v>
      </c>
      <c r="L4634" s="153" t="s">
        <v>1579</v>
      </c>
      <c r="M4634">
        <v>1143</v>
      </c>
      <c r="N4634" s="123">
        <v>17</v>
      </c>
      <c r="O4634">
        <v>2995</v>
      </c>
      <c r="P4634" s="132" t="s">
        <v>77</v>
      </c>
      <c r="Q4634" s="132">
        <v>72</v>
      </c>
      <c r="R4634" s="132"/>
      <c r="S4634" s="132"/>
      <c r="T4634" s="156"/>
      <c r="U4634" s="132"/>
      <c r="V4634" s="132">
        <v>72</v>
      </c>
      <c r="W4634">
        <v>93</v>
      </c>
      <c r="X4634" s="153" t="s">
        <v>1644</v>
      </c>
      <c r="Y4634" s="124" t="s">
        <v>55</v>
      </c>
      <c r="Z4634" s="308">
        <v>371</v>
      </c>
      <c r="AB4634" t="str">
        <f>IF(Table1[[#This Row],[TIPO2]]="costo", VLOOKUP(Table1[[#This Row],[PARTIDA PRESUPUESTAL]],'Cost Report'!G:G,1,0),"Balance")</f>
        <v>7038-009</v>
      </c>
      <c r="AC4634" s="118"/>
      <c r="AD4634" s="159">
        <f>+Table1[[#This Row],[SUBTOTAL]]+Table1[[#This Row],[IVA]]-Table1[[#This Row],[RET IVA]]-Table1[[#This Row],[RET ISR]]-Table1[[#This Row],[TOTAL]]</f>
        <v>0</v>
      </c>
      <c r="AE4634" s="152"/>
      <c r="AF4634" s="153"/>
      <c r="AG4634" s="126" t="s">
        <v>3420</v>
      </c>
      <c r="AK4634" s="306" t="str">
        <f>IF(ISNUMBER(Table1[[#This Row],[FECHA DE RECIBIDO]]), Table1[[#This Row],[FECHA DE RECIBIDO]]-DATE(2023,8,30), "")</f>
        <v/>
      </c>
    </row>
    <row r="4635" spans="1:37" ht="16.05" customHeight="1">
      <c r="A4635" s="150" t="s">
        <v>4611</v>
      </c>
      <c r="B4635" s="151">
        <v>1597</v>
      </c>
      <c r="C4635" s="126" t="s">
        <v>3103</v>
      </c>
      <c r="D4635">
        <v>689</v>
      </c>
      <c r="E4635" s="126"/>
      <c r="F4635" s="122"/>
      <c r="G4635" s="122"/>
      <c r="H4635"/>
      <c r="I4635" s="122"/>
      <c r="J4635" s="307" t="s">
        <v>214</v>
      </c>
      <c r="K4635" s="127" t="s">
        <v>4625</v>
      </c>
      <c r="L4635" s="151" t="s">
        <v>1579</v>
      </c>
      <c r="M4635">
        <v>383</v>
      </c>
      <c r="N4635" s="123">
        <v>17</v>
      </c>
      <c r="O4635">
        <v>162</v>
      </c>
      <c r="P4635" s="132" t="s">
        <v>77</v>
      </c>
      <c r="Q4635" s="131">
        <v>30.74</v>
      </c>
      <c r="R4635" s="131"/>
      <c r="S4635" s="131"/>
      <c r="T4635" s="155"/>
      <c r="U4635" s="131"/>
      <c r="V4635" s="131">
        <v>30.74</v>
      </c>
      <c r="W4635">
        <v>93</v>
      </c>
      <c r="X4635" s="151" t="s">
        <v>1644</v>
      </c>
      <c r="Y4635" s="135" t="s">
        <v>55</v>
      </c>
      <c r="Z4635" s="307" t="s">
        <v>214</v>
      </c>
      <c r="AB4635" t="str">
        <f>IF(Table1[[#This Row],[TIPO2]]="costo", VLOOKUP(Table1[[#This Row],[PARTIDA PRESUPUESTAL]],'Cost Report'!G:G,1,0),"Balance")</f>
        <v>7038-009</v>
      </c>
      <c r="AC4635" s="118"/>
      <c r="AD4635" s="159">
        <f>+Table1[[#This Row],[SUBTOTAL]]+Table1[[#This Row],[IVA]]-Table1[[#This Row],[RET IVA]]-Table1[[#This Row],[RET ISR]]-Table1[[#This Row],[TOTAL]]</f>
        <v>0</v>
      </c>
      <c r="AE4635" s="150"/>
      <c r="AF4635" s="151"/>
      <c r="AG4635" s="126" t="s">
        <v>3420</v>
      </c>
      <c r="AK4635" s="306" t="str">
        <f>IF(ISNUMBER(Table1[[#This Row],[FECHA DE RECIBIDO]]), Table1[[#This Row],[FECHA DE RECIBIDO]]-DATE(2023,8,30), "")</f>
        <v/>
      </c>
    </row>
    <row r="4636" spans="1:37" ht="16.05" customHeight="1">
      <c r="A4636" s="152" t="s">
        <v>4611</v>
      </c>
      <c r="B4636" s="153">
        <v>1597</v>
      </c>
      <c r="C4636" s="126" t="s">
        <v>977</v>
      </c>
      <c r="D4636">
        <v>689</v>
      </c>
      <c r="E4636" s="126"/>
      <c r="F4636" s="125"/>
      <c r="G4636" s="125"/>
      <c r="H4636"/>
      <c r="I4636" s="125"/>
      <c r="J4636" s="308" t="s">
        <v>214</v>
      </c>
      <c r="K4636" s="127" t="s">
        <v>4625</v>
      </c>
      <c r="L4636" s="153" t="s">
        <v>1579</v>
      </c>
      <c r="M4636">
        <v>513</v>
      </c>
      <c r="N4636" s="123">
        <v>17</v>
      </c>
      <c r="O4636">
        <v>2996</v>
      </c>
      <c r="P4636" s="132" t="s">
        <v>77</v>
      </c>
      <c r="Q4636" s="132">
        <v>1850</v>
      </c>
      <c r="R4636" s="132"/>
      <c r="S4636" s="132"/>
      <c r="T4636" s="156"/>
      <c r="U4636" s="132"/>
      <c r="V4636" s="132">
        <v>1850</v>
      </c>
      <c r="W4636">
        <v>93</v>
      </c>
      <c r="X4636" s="153" t="s">
        <v>1644</v>
      </c>
      <c r="Y4636" s="124" t="s">
        <v>55</v>
      </c>
      <c r="Z4636" s="308" t="s">
        <v>214</v>
      </c>
      <c r="AB4636" t="str">
        <f>IF(Table1[[#This Row],[TIPO2]]="costo", VLOOKUP(Table1[[#This Row],[PARTIDA PRESUPUESTAL]],'Cost Report'!G:G,1,0),"Balance")</f>
        <v>3410-012</v>
      </c>
      <c r="AC4636" s="118"/>
      <c r="AD4636" s="159">
        <f>+Table1[[#This Row],[SUBTOTAL]]+Table1[[#This Row],[IVA]]-Table1[[#This Row],[RET IVA]]-Table1[[#This Row],[RET ISR]]-Table1[[#This Row],[TOTAL]]</f>
        <v>0</v>
      </c>
      <c r="AE4636" s="152"/>
      <c r="AF4636" s="153"/>
      <c r="AG4636" s="126" t="s">
        <v>3420</v>
      </c>
      <c r="AK4636" s="306" t="str">
        <f>IF(ISNUMBER(Table1[[#This Row],[FECHA DE RECIBIDO]]), Table1[[#This Row],[FECHA DE RECIBIDO]]-DATE(2023,8,30), "")</f>
        <v/>
      </c>
    </row>
    <row r="4637" spans="1:37" ht="16.05" customHeight="1">
      <c r="A4637" s="150" t="s">
        <v>4611</v>
      </c>
      <c r="B4637" s="151">
        <v>1597</v>
      </c>
      <c r="C4637" s="126" t="s">
        <v>1181</v>
      </c>
      <c r="D4637">
        <v>689</v>
      </c>
      <c r="E4637" s="126"/>
      <c r="F4637" s="122"/>
      <c r="G4637" s="122"/>
      <c r="H4637"/>
      <c r="I4637" s="122"/>
      <c r="J4637" s="307" t="s">
        <v>214</v>
      </c>
      <c r="K4637" s="127" t="s">
        <v>4625</v>
      </c>
      <c r="L4637" s="151" t="s">
        <v>1579</v>
      </c>
      <c r="M4637">
        <v>1131</v>
      </c>
      <c r="N4637" s="123">
        <v>17</v>
      </c>
      <c r="O4637">
        <v>2997</v>
      </c>
      <c r="P4637" s="132" t="s">
        <v>77</v>
      </c>
      <c r="Q4637" s="131">
        <v>67</v>
      </c>
      <c r="R4637" s="131"/>
      <c r="S4637" s="131"/>
      <c r="T4637" s="155"/>
      <c r="U4637" s="131"/>
      <c r="V4637" s="131">
        <v>67</v>
      </c>
      <c r="W4637">
        <v>93</v>
      </c>
      <c r="X4637" s="151" t="s">
        <v>1644</v>
      </c>
      <c r="Y4637" s="135" t="s">
        <v>55</v>
      </c>
      <c r="Z4637" s="307" t="s">
        <v>214</v>
      </c>
      <c r="AB4637" t="str">
        <f>IF(Table1[[#This Row],[TIPO2]]="costo", VLOOKUP(Table1[[#This Row],[PARTIDA PRESUPUESTAL]],'Cost Report'!G:G,1,0),"Balance")</f>
        <v>3904-003</v>
      </c>
      <c r="AC4637" s="118"/>
      <c r="AD4637" s="159">
        <f>+Table1[[#This Row],[SUBTOTAL]]+Table1[[#This Row],[IVA]]-Table1[[#This Row],[RET IVA]]-Table1[[#This Row],[RET ISR]]-Table1[[#This Row],[TOTAL]]</f>
        <v>0</v>
      </c>
      <c r="AE4637" s="150"/>
      <c r="AF4637" s="151"/>
      <c r="AG4637" s="126" t="s">
        <v>3420</v>
      </c>
      <c r="AK4637" s="306" t="str">
        <f>IF(ISNUMBER(Table1[[#This Row],[FECHA DE RECIBIDO]]), Table1[[#This Row],[FECHA DE RECIBIDO]]-DATE(2023,8,30), "")</f>
        <v/>
      </c>
    </row>
    <row r="4638" spans="1:37" ht="16.05" customHeight="1">
      <c r="A4638" s="152" t="s">
        <v>4611</v>
      </c>
      <c r="B4638" s="153">
        <v>1597</v>
      </c>
      <c r="C4638" s="126" t="s">
        <v>1181</v>
      </c>
      <c r="D4638">
        <v>689</v>
      </c>
      <c r="E4638" s="126"/>
      <c r="F4638" s="125"/>
      <c r="G4638" s="125"/>
      <c r="H4638"/>
      <c r="I4638" s="125"/>
      <c r="J4638" s="308" t="s">
        <v>214</v>
      </c>
      <c r="K4638" s="127" t="s">
        <v>4625</v>
      </c>
      <c r="L4638" s="153" t="s">
        <v>1579</v>
      </c>
      <c r="M4638">
        <v>1131</v>
      </c>
      <c r="N4638" s="123">
        <v>17</v>
      </c>
      <c r="O4638">
        <v>2997</v>
      </c>
      <c r="P4638" s="132" t="s">
        <v>77</v>
      </c>
      <c r="Q4638" s="132">
        <v>66.75</v>
      </c>
      <c r="R4638" s="132"/>
      <c r="S4638" s="132"/>
      <c r="T4638" s="156"/>
      <c r="U4638" s="132"/>
      <c r="V4638" s="132">
        <v>66.75</v>
      </c>
      <c r="W4638">
        <v>93</v>
      </c>
      <c r="X4638" s="153" t="s">
        <v>1644</v>
      </c>
      <c r="Y4638" s="124" t="s">
        <v>55</v>
      </c>
      <c r="Z4638" s="308" t="s">
        <v>214</v>
      </c>
      <c r="AB4638" t="str">
        <f>IF(Table1[[#This Row],[TIPO2]]="costo", VLOOKUP(Table1[[#This Row],[PARTIDA PRESUPUESTAL]],'Cost Report'!G:G,1,0),"Balance")</f>
        <v>3904-003</v>
      </c>
      <c r="AC4638" s="118"/>
      <c r="AD4638" s="159">
        <f>+Table1[[#This Row],[SUBTOTAL]]+Table1[[#This Row],[IVA]]-Table1[[#This Row],[RET IVA]]-Table1[[#This Row],[RET ISR]]-Table1[[#This Row],[TOTAL]]</f>
        <v>0</v>
      </c>
      <c r="AE4638" s="152"/>
      <c r="AF4638" s="153"/>
      <c r="AG4638" s="126" t="s">
        <v>3420</v>
      </c>
      <c r="AK4638" s="306" t="str">
        <f>IF(ISNUMBER(Table1[[#This Row],[FECHA DE RECIBIDO]]), Table1[[#This Row],[FECHA DE RECIBIDO]]-DATE(2023,8,30), "")</f>
        <v/>
      </c>
    </row>
    <row r="4639" spans="1:37" ht="16.05" customHeight="1">
      <c r="A4639" s="150" t="s">
        <v>4611</v>
      </c>
      <c r="B4639" s="151">
        <v>1597</v>
      </c>
      <c r="C4639" s="126" t="s">
        <v>3103</v>
      </c>
      <c r="D4639">
        <v>689</v>
      </c>
      <c r="E4639" s="126"/>
      <c r="F4639" s="122"/>
      <c r="G4639" s="122"/>
      <c r="H4639"/>
      <c r="I4639" s="122"/>
      <c r="J4639" s="307" t="s">
        <v>214</v>
      </c>
      <c r="K4639" s="127" t="s">
        <v>4625</v>
      </c>
      <c r="L4639" s="151" t="s">
        <v>1579</v>
      </c>
      <c r="M4639">
        <v>691</v>
      </c>
      <c r="N4639" s="123">
        <v>17</v>
      </c>
      <c r="O4639">
        <v>162</v>
      </c>
      <c r="P4639" s="132" t="s">
        <v>77</v>
      </c>
      <c r="Q4639" s="131">
        <v>34.799999999999997</v>
      </c>
      <c r="R4639" s="131"/>
      <c r="S4639" s="131"/>
      <c r="T4639" s="155"/>
      <c r="U4639" s="131"/>
      <c r="V4639" s="131">
        <v>34.799999999999997</v>
      </c>
      <c r="W4639">
        <v>93</v>
      </c>
      <c r="X4639" s="151" t="s">
        <v>1644</v>
      </c>
      <c r="Y4639" s="135" t="s">
        <v>55</v>
      </c>
      <c r="Z4639" s="307" t="s">
        <v>214</v>
      </c>
      <c r="AB4639" t="str">
        <f>IF(Table1[[#This Row],[TIPO2]]="costo", VLOOKUP(Table1[[#This Row],[PARTIDA PRESUPUESTAL]],'Cost Report'!G:G,1,0),"Balance")</f>
        <v>7038-009</v>
      </c>
      <c r="AC4639" s="118"/>
      <c r="AD4639" s="159">
        <f>+Table1[[#This Row],[SUBTOTAL]]+Table1[[#This Row],[IVA]]-Table1[[#This Row],[RET IVA]]-Table1[[#This Row],[RET ISR]]-Table1[[#This Row],[TOTAL]]</f>
        <v>0</v>
      </c>
      <c r="AE4639" s="150"/>
      <c r="AF4639" s="151"/>
      <c r="AG4639" s="126" t="s">
        <v>3420</v>
      </c>
      <c r="AK4639" s="306" t="str">
        <f>IF(ISNUMBER(Table1[[#This Row],[FECHA DE RECIBIDO]]), Table1[[#This Row],[FECHA DE RECIBIDO]]-DATE(2023,8,30), "")</f>
        <v/>
      </c>
    </row>
    <row r="4640" spans="1:37" ht="16.05" customHeight="1">
      <c r="A4640" s="152" t="s">
        <v>4611</v>
      </c>
      <c r="B4640" s="153">
        <v>1597</v>
      </c>
      <c r="C4640" s="126" t="s">
        <v>1181</v>
      </c>
      <c r="D4640">
        <v>689</v>
      </c>
      <c r="E4640" s="126"/>
      <c r="F4640" s="125"/>
      <c r="G4640" s="125"/>
      <c r="H4640"/>
      <c r="I4640" s="125"/>
      <c r="J4640" s="308" t="s">
        <v>214</v>
      </c>
      <c r="K4640" s="127" t="s">
        <v>4625</v>
      </c>
      <c r="L4640" s="153" t="s">
        <v>1579</v>
      </c>
      <c r="M4640">
        <v>1131</v>
      </c>
      <c r="N4640" s="123">
        <v>17</v>
      </c>
      <c r="O4640">
        <v>2997</v>
      </c>
      <c r="P4640" s="132" t="s">
        <v>77</v>
      </c>
      <c r="Q4640" s="132">
        <v>80</v>
      </c>
      <c r="R4640" s="132"/>
      <c r="S4640" s="132"/>
      <c r="T4640" s="156"/>
      <c r="U4640" s="132"/>
      <c r="V4640" s="132">
        <v>80</v>
      </c>
      <c r="W4640">
        <v>93</v>
      </c>
      <c r="X4640" s="153" t="s">
        <v>1644</v>
      </c>
      <c r="Y4640" s="124" t="s">
        <v>55</v>
      </c>
      <c r="Z4640" s="308">
        <v>188</v>
      </c>
      <c r="AB4640" t="str">
        <f>IF(Table1[[#This Row],[TIPO2]]="costo", VLOOKUP(Table1[[#This Row],[PARTIDA PRESUPUESTAL]],'Cost Report'!G:G,1,0),"Balance")</f>
        <v>3904-003</v>
      </c>
      <c r="AC4640" s="118"/>
      <c r="AD4640" s="159">
        <f>+Table1[[#This Row],[SUBTOTAL]]+Table1[[#This Row],[IVA]]-Table1[[#This Row],[RET IVA]]-Table1[[#This Row],[RET ISR]]-Table1[[#This Row],[TOTAL]]</f>
        <v>0</v>
      </c>
      <c r="AE4640" s="152"/>
      <c r="AF4640" s="153"/>
      <c r="AG4640" s="126" t="s">
        <v>3420</v>
      </c>
      <c r="AK4640" s="306" t="str">
        <f>IF(ISNUMBER(Table1[[#This Row],[FECHA DE RECIBIDO]]), Table1[[#This Row],[FECHA DE RECIBIDO]]-DATE(2023,8,30), "")</f>
        <v/>
      </c>
    </row>
    <row r="4641" spans="1:37" ht="16.05" customHeight="1">
      <c r="A4641" s="150" t="s">
        <v>4613</v>
      </c>
      <c r="B4641" s="151">
        <v>1598</v>
      </c>
      <c r="C4641" s="126" t="s">
        <v>2546</v>
      </c>
      <c r="D4641">
        <v>3145</v>
      </c>
      <c r="E4641" s="126" t="s">
        <v>2008</v>
      </c>
      <c r="F4641" s="122" t="s">
        <v>1607</v>
      </c>
      <c r="G4641" s="122" t="s">
        <v>134</v>
      </c>
      <c r="H4641">
        <v>234</v>
      </c>
      <c r="I4641" s="122" t="s">
        <v>1546</v>
      </c>
      <c r="J4641" s="307" t="s">
        <v>214</v>
      </c>
      <c r="K4641" s="127" t="s">
        <v>4625</v>
      </c>
      <c r="L4641" s="151" t="s">
        <v>1579</v>
      </c>
      <c r="M4641">
        <v>306</v>
      </c>
      <c r="N4641" s="123">
        <v>17</v>
      </c>
      <c r="O4641">
        <v>2998</v>
      </c>
      <c r="P4641" s="132" t="s">
        <v>77</v>
      </c>
      <c r="Q4641" s="131">
        <v>16995.7</v>
      </c>
      <c r="R4641" s="131">
        <v>2719.3</v>
      </c>
      <c r="S4641" s="131"/>
      <c r="T4641" s="155"/>
      <c r="U4641" s="131"/>
      <c r="V4641" s="131">
        <v>19715</v>
      </c>
      <c r="W4641">
        <v>410</v>
      </c>
      <c r="X4641" s="151" t="s">
        <v>1644</v>
      </c>
      <c r="Y4641" s="135" t="s">
        <v>55</v>
      </c>
      <c r="Z4641" s="307">
        <v>246</v>
      </c>
      <c r="AB4641" t="str">
        <f>IF(Table1[[#This Row],[TIPO2]]="costo", VLOOKUP(Table1[[#This Row],[PARTIDA PRESUPUESTAL]],'Cost Report'!G:G,1,0),"Balance")</f>
        <v>2494-071</v>
      </c>
      <c r="AC4641" s="118"/>
      <c r="AD4641" s="159">
        <f>+Table1[[#This Row],[SUBTOTAL]]+Table1[[#This Row],[IVA]]-Table1[[#This Row],[RET IVA]]-Table1[[#This Row],[RET ISR]]-Table1[[#This Row],[TOTAL]]</f>
        <v>0</v>
      </c>
      <c r="AE4641" s="150"/>
      <c r="AF4641" s="151"/>
      <c r="AG4641" s="126" t="s">
        <v>3420</v>
      </c>
      <c r="AK4641" s="306" t="str">
        <f>IF(ISNUMBER(Table1[[#This Row],[FECHA DE RECIBIDO]]), Table1[[#This Row],[FECHA DE RECIBIDO]]-DATE(2023,8,30), "")</f>
        <v/>
      </c>
    </row>
    <row r="4642" spans="1:37" ht="16.05" customHeight="1">
      <c r="A4642" s="152" t="s">
        <v>4613</v>
      </c>
      <c r="B4642" s="153">
        <v>1598</v>
      </c>
      <c r="C4642" s="126" t="s">
        <v>2546</v>
      </c>
      <c r="D4642">
        <v>3146</v>
      </c>
      <c r="E4642" s="126" t="s">
        <v>4614</v>
      </c>
      <c r="F4642" s="125" t="s">
        <v>1607</v>
      </c>
      <c r="G4642" s="125" t="s">
        <v>134</v>
      </c>
      <c r="H4642">
        <v>826</v>
      </c>
      <c r="I4642" s="125" t="s">
        <v>1546</v>
      </c>
      <c r="J4642" s="308" t="s">
        <v>214</v>
      </c>
      <c r="K4642" s="127" t="s">
        <v>4625</v>
      </c>
      <c r="L4642" s="153" t="s">
        <v>1579</v>
      </c>
      <c r="M4642">
        <v>1144</v>
      </c>
      <c r="N4642" s="123">
        <v>17</v>
      </c>
      <c r="O4642">
        <v>2999</v>
      </c>
      <c r="P4642" s="132" t="s">
        <v>77</v>
      </c>
      <c r="Q4642" s="132">
        <v>1129.31</v>
      </c>
      <c r="R4642" s="132">
        <v>180.69</v>
      </c>
      <c r="S4642" s="132"/>
      <c r="T4642" s="156"/>
      <c r="U4642" s="132"/>
      <c r="V4642" s="132">
        <v>1310</v>
      </c>
      <c r="W4642">
        <v>410</v>
      </c>
      <c r="X4642" s="153" t="s">
        <v>1644</v>
      </c>
      <c r="Y4642" s="124" t="s">
        <v>55</v>
      </c>
      <c r="Z4642" s="308">
        <v>247</v>
      </c>
      <c r="AB4642" t="str">
        <f>IF(Table1[[#This Row],[TIPO2]]="costo", VLOOKUP(Table1[[#This Row],[PARTIDA PRESUPUESTAL]],'Cost Report'!G:G,1,0),"Balance")</f>
        <v>2494-071</v>
      </c>
      <c r="AC4642" s="118"/>
      <c r="AD4642" s="159">
        <f>+Table1[[#This Row],[SUBTOTAL]]+Table1[[#This Row],[IVA]]-Table1[[#This Row],[RET IVA]]-Table1[[#This Row],[RET ISR]]-Table1[[#This Row],[TOTAL]]</f>
        <v>0</v>
      </c>
      <c r="AE4642" s="152"/>
      <c r="AF4642" s="153"/>
      <c r="AG4642" s="126" t="s">
        <v>3420</v>
      </c>
      <c r="AK4642" s="306" t="str">
        <f>IF(ISNUMBER(Table1[[#This Row],[FECHA DE RECIBIDO]]), Table1[[#This Row],[FECHA DE RECIBIDO]]-DATE(2023,8,30), "")</f>
        <v/>
      </c>
    </row>
    <row r="4643" spans="1:37" ht="16.05" customHeight="1">
      <c r="A4643" s="150" t="s">
        <v>4613</v>
      </c>
      <c r="B4643" s="151">
        <v>1598</v>
      </c>
      <c r="C4643" s="126" t="s">
        <v>2546</v>
      </c>
      <c r="D4643">
        <v>3147</v>
      </c>
      <c r="E4643" s="126" t="s">
        <v>4614</v>
      </c>
      <c r="F4643" s="122" t="s">
        <v>1607</v>
      </c>
      <c r="G4643" s="122" t="s">
        <v>134</v>
      </c>
      <c r="H4643">
        <v>826</v>
      </c>
      <c r="I4643" s="122" t="s">
        <v>1546</v>
      </c>
      <c r="J4643" s="307" t="s">
        <v>214</v>
      </c>
      <c r="K4643" s="127" t="s">
        <v>4625</v>
      </c>
      <c r="L4643" s="151" t="s">
        <v>1579</v>
      </c>
      <c r="M4643">
        <v>1144</v>
      </c>
      <c r="N4643" s="123">
        <v>17</v>
      </c>
      <c r="O4643">
        <v>3000</v>
      </c>
      <c r="P4643" s="132" t="s">
        <v>77</v>
      </c>
      <c r="Q4643" s="131">
        <v>224.14</v>
      </c>
      <c r="R4643" s="131">
        <v>35.86</v>
      </c>
      <c r="S4643" s="131"/>
      <c r="T4643" s="155"/>
      <c r="U4643" s="131"/>
      <c r="V4643" s="131">
        <v>260</v>
      </c>
      <c r="W4643">
        <v>410</v>
      </c>
      <c r="X4643" s="151" t="s">
        <v>1644</v>
      </c>
      <c r="Y4643" s="135" t="s">
        <v>55</v>
      </c>
      <c r="Z4643" s="307">
        <v>247</v>
      </c>
      <c r="AB4643" t="str">
        <f>IF(Table1[[#This Row],[TIPO2]]="costo", VLOOKUP(Table1[[#This Row],[PARTIDA PRESUPUESTAL]],'Cost Report'!G:G,1,0),"Balance")</f>
        <v>2494-071</v>
      </c>
      <c r="AC4643" s="118"/>
      <c r="AD4643" s="159">
        <f>+Table1[[#This Row],[SUBTOTAL]]+Table1[[#This Row],[IVA]]-Table1[[#This Row],[RET IVA]]-Table1[[#This Row],[RET ISR]]-Table1[[#This Row],[TOTAL]]</f>
        <v>0</v>
      </c>
      <c r="AE4643" s="150"/>
      <c r="AF4643" s="151"/>
      <c r="AG4643" s="126" t="s">
        <v>3420</v>
      </c>
      <c r="AK4643" s="306" t="str">
        <f>IF(ISNUMBER(Table1[[#This Row],[FECHA DE RECIBIDO]]), Table1[[#This Row],[FECHA DE RECIBIDO]]-DATE(2023,8,30), "")</f>
        <v/>
      </c>
    </row>
    <row r="4644" spans="1:37" ht="16.05" customHeight="1">
      <c r="A4644" s="152" t="s">
        <v>4613</v>
      </c>
      <c r="B4644" s="153">
        <v>1598</v>
      </c>
      <c r="C4644" s="126" t="s">
        <v>2546</v>
      </c>
      <c r="D4644">
        <v>3148</v>
      </c>
      <c r="E4644" s="126" t="s">
        <v>4614</v>
      </c>
      <c r="F4644" s="125" t="s">
        <v>1607</v>
      </c>
      <c r="G4644" s="125" t="s">
        <v>134</v>
      </c>
      <c r="H4644">
        <v>826</v>
      </c>
      <c r="I4644" s="125" t="s">
        <v>1546</v>
      </c>
      <c r="J4644" s="308" t="s">
        <v>214</v>
      </c>
      <c r="K4644" s="127" t="s">
        <v>4625</v>
      </c>
      <c r="L4644" s="153" t="s">
        <v>1579</v>
      </c>
      <c r="M4644">
        <v>1144</v>
      </c>
      <c r="N4644" s="123">
        <v>17</v>
      </c>
      <c r="O4644">
        <v>3001</v>
      </c>
      <c r="P4644" s="132" t="s">
        <v>77</v>
      </c>
      <c r="Q4644" s="132">
        <v>974.14</v>
      </c>
      <c r="R4644" s="132">
        <v>155.86000000000001</v>
      </c>
      <c r="S4644" s="132"/>
      <c r="T4644" s="156"/>
      <c r="U4644" s="132"/>
      <c r="V4644" s="132">
        <v>1130</v>
      </c>
      <c r="W4644">
        <v>410</v>
      </c>
      <c r="X4644" s="153" t="s">
        <v>1644</v>
      </c>
      <c r="Y4644" s="124" t="s">
        <v>55</v>
      </c>
      <c r="Z4644" s="308">
        <v>247</v>
      </c>
      <c r="AB4644" t="str">
        <f>IF(Table1[[#This Row],[TIPO2]]="costo", VLOOKUP(Table1[[#This Row],[PARTIDA PRESUPUESTAL]],'Cost Report'!G:G,1,0),"Balance")</f>
        <v>2494-071</v>
      </c>
      <c r="AC4644" s="118"/>
      <c r="AD4644" s="159">
        <f>+Table1[[#This Row],[SUBTOTAL]]+Table1[[#This Row],[IVA]]-Table1[[#This Row],[RET IVA]]-Table1[[#This Row],[RET ISR]]-Table1[[#This Row],[TOTAL]]</f>
        <v>0</v>
      </c>
      <c r="AE4644" s="152"/>
      <c r="AF4644" s="153"/>
      <c r="AG4644" s="126" t="s">
        <v>3420</v>
      </c>
      <c r="AK4644" s="306" t="str">
        <f>IF(ISNUMBER(Table1[[#This Row],[FECHA DE RECIBIDO]]), Table1[[#This Row],[FECHA DE RECIBIDO]]-DATE(2023,8,30), "")</f>
        <v/>
      </c>
    </row>
    <row r="4645" spans="1:37" ht="16.05" customHeight="1">
      <c r="A4645" s="150" t="s">
        <v>4613</v>
      </c>
      <c r="B4645" s="151">
        <v>1598</v>
      </c>
      <c r="C4645" s="126" t="s">
        <v>2546</v>
      </c>
      <c r="D4645">
        <v>3149</v>
      </c>
      <c r="E4645" s="126" t="s">
        <v>3276</v>
      </c>
      <c r="F4645" s="122" t="s">
        <v>1589</v>
      </c>
      <c r="G4645" s="122" t="s">
        <v>129</v>
      </c>
      <c r="H4645">
        <v>827</v>
      </c>
      <c r="I4645" s="122" t="s">
        <v>1546</v>
      </c>
      <c r="J4645" s="307" t="s">
        <v>214</v>
      </c>
      <c r="K4645" s="127" t="s">
        <v>4625</v>
      </c>
      <c r="L4645" s="151" t="s">
        <v>1579</v>
      </c>
      <c r="M4645">
        <v>1145</v>
      </c>
      <c r="N4645" s="123">
        <v>17</v>
      </c>
      <c r="O4645">
        <v>3002</v>
      </c>
      <c r="P4645" s="132" t="s">
        <v>77</v>
      </c>
      <c r="Q4645" s="131">
        <v>3883.62</v>
      </c>
      <c r="R4645" s="131">
        <v>621.38</v>
      </c>
      <c r="S4645" s="131"/>
      <c r="T4645" s="155"/>
      <c r="U4645" s="131"/>
      <c r="V4645" s="131">
        <v>4505</v>
      </c>
      <c r="W4645">
        <v>410</v>
      </c>
      <c r="X4645" s="151" t="s">
        <v>1644</v>
      </c>
      <c r="Y4645" s="135" t="s">
        <v>55</v>
      </c>
      <c r="Z4645" s="307">
        <v>246</v>
      </c>
      <c r="AB4645" t="str">
        <f>IF(Table1[[#This Row],[TIPO2]]="costo", VLOOKUP(Table1[[#This Row],[PARTIDA PRESUPUESTAL]],'Cost Report'!G:G,1,0),"Balance")</f>
        <v>2494-071</v>
      </c>
      <c r="AC4645" s="118"/>
      <c r="AD4645" s="159">
        <f>+Table1[[#This Row],[SUBTOTAL]]+Table1[[#This Row],[IVA]]-Table1[[#This Row],[RET IVA]]-Table1[[#This Row],[RET ISR]]-Table1[[#This Row],[TOTAL]]</f>
        <v>0</v>
      </c>
      <c r="AE4645" s="150"/>
      <c r="AF4645" s="151"/>
      <c r="AG4645" s="126" t="s">
        <v>3420</v>
      </c>
      <c r="AK4645" s="306" t="str">
        <f>IF(ISNUMBER(Table1[[#This Row],[FECHA DE RECIBIDO]]), Table1[[#This Row],[FECHA DE RECIBIDO]]-DATE(2023,8,30), "")</f>
        <v/>
      </c>
    </row>
    <row r="4646" spans="1:37" ht="16.05" customHeight="1">
      <c r="A4646" s="152" t="s">
        <v>4613</v>
      </c>
      <c r="B4646" s="153">
        <v>1598</v>
      </c>
      <c r="C4646" s="126" t="s">
        <v>2546</v>
      </c>
      <c r="D4646">
        <v>3150</v>
      </c>
      <c r="E4646" s="126" t="s">
        <v>1614</v>
      </c>
      <c r="F4646" s="125" t="s">
        <v>1384</v>
      </c>
      <c r="G4646" s="125" t="s">
        <v>1625</v>
      </c>
      <c r="H4646">
        <v>828</v>
      </c>
      <c r="I4646" s="125" t="s">
        <v>1546</v>
      </c>
      <c r="J4646" s="308" t="s">
        <v>214</v>
      </c>
      <c r="K4646" s="127" t="s">
        <v>4625</v>
      </c>
      <c r="L4646" s="153" t="s">
        <v>1579</v>
      </c>
      <c r="M4646">
        <v>1146</v>
      </c>
      <c r="N4646" s="123">
        <v>17</v>
      </c>
      <c r="O4646">
        <v>3003</v>
      </c>
      <c r="P4646" s="132" t="s">
        <v>77</v>
      </c>
      <c r="Q4646" s="132">
        <v>520</v>
      </c>
      <c r="R4646" s="132">
        <v>83.2</v>
      </c>
      <c r="S4646" s="132"/>
      <c r="T4646" s="156"/>
      <c r="U4646" s="132"/>
      <c r="V4646" s="132">
        <v>603.20000000000005</v>
      </c>
      <c r="W4646">
        <v>410</v>
      </c>
      <c r="X4646" s="153" t="s">
        <v>1644</v>
      </c>
      <c r="Y4646" s="124" t="s">
        <v>55</v>
      </c>
      <c r="Z4646" s="308">
        <v>246</v>
      </c>
      <c r="AB4646" t="str">
        <f>IF(Table1[[#This Row],[TIPO2]]="costo", VLOOKUP(Table1[[#This Row],[PARTIDA PRESUPUESTAL]],'Cost Report'!G:G,1,0),"Balance")</f>
        <v>2494-071</v>
      </c>
      <c r="AC4646" s="118"/>
      <c r="AD4646" s="159">
        <f>+Table1[[#This Row],[SUBTOTAL]]+Table1[[#This Row],[IVA]]-Table1[[#This Row],[RET IVA]]-Table1[[#This Row],[RET ISR]]-Table1[[#This Row],[TOTAL]]</f>
        <v>0</v>
      </c>
      <c r="AE4646" s="152"/>
      <c r="AF4646" s="153"/>
      <c r="AG4646" s="126" t="s">
        <v>3420</v>
      </c>
      <c r="AK4646" s="306" t="str">
        <f>IF(ISNUMBER(Table1[[#This Row],[FECHA DE RECIBIDO]]), Table1[[#This Row],[FECHA DE RECIBIDO]]-DATE(2023,8,30), "")</f>
        <v/>
      </c>
    </row>
    <row r="4647" spans="1:37" ht="16.05" customHeight="1">
      <c r="A4647" s="150" t="s">
        <v>4613</v>
      </c>
      <c r="B4647" s="151">
        <v>1598</v>
      </c>
      <c r="C4647" s="126" t="s">
        <v>2546</v>
      </c>
      <c r="D4647">
        <v>3151</v>
      </c>
      <c r="E4647" s="126" t="s">
        <v>1614</v>
      </c>
      <c r="F4647" s="122" t="s">
        <v>1384</v>
      </c>
      <c r="G4647" s="122" t="s">
        <v>1625</v>
      </c>
      <c r="H4647">
        <v>828</v>
      </c>
      <c r="I4647" s="122" t="s">
        <v>1546</v>
      </c>
      <c r="J4647" s="307" t="s">
        <v>214</v>
      </c>
      <c r="K4647" s="127" t="s">
        <v>4625</v>
      </c>
      <c r="L4647" s="151" t="s">
        <v>1579</v>
      </c>
      <c r="M4647">
        <v>1146</v>
      </c>
      <c r="N4647" s="123">
        <v>17</v>
      </c>
      <c r="O4647">
        <v>3004</v>
      </c>
      <c r="P4647" s="132" t="s">
        <v>77</v>
      </c>
      <c r="Q4647" s="131">
        <v>1400</v>
      </c>
      <c r="R4647" s="131">
        <v>224</v>
      </c>
      <c r="S4647" s="131"/>
      <c r="T4647" s="155"/>
      <c r="U4647" s="131"/>
      <c r="V4647" s="131">
        <v>1624</v>
      </c>
      <c r="W4647">
        <v>410</v>
      </c>
      <c r="X4647" s="151" t="s">
        <v>1644</v>
      </c>
      <c r="Y4647" s="135" t="s">
        <v>55</v>
      </c>
      <c r="Z4647" s="307">
        <v>246</v>
      </c>
      <c r="AB4647" t="str">
        <f>IF(Table1[[#This Row],[TIPO2]]="costo", VLOOKUP(Table1[[#This Row],[PARTIDA PRESUPUESTAL]],'Cost Report'!G:G,1,0),"Balance")</f>
        <v>2494-071</v>
      </c>
      <c r="AC4647" s="118"/>
      <c r="AD4647" s="159">
        <f>+Table1[[#This Row],[SUBTOTAL]]+Table1[[#This Row],[IVA]]-Table1[[#This Row],[RET IVA]]-Table1[[#This Row],[RET ISR]]-Table1[[#This Row],[TOTAL]]</f>
        <v>0</v>
      </c>
      <c r="AE4647" s="150"/>
      <c r="AF4647" s="151"/>
      <c r="AG4647" s="126" t="s">
        <v>3420</v>
      </c>
      <c r="AK4647" s="306" t="str">
        <f>IF(ISNUMBER(Table1[[#This Row],[FECHA DE RECIBIDO]]), Table1[[#This Row],[FECHA DE RECIBIDO]]-DATE(2023,8,30), "")</f>
        <v/>
      </c>
    </row>
    <row r="4648" spans="1:37" ht="16.05" customHeight="1">
      <c r="A4648" s="152" t="s">
        <v>4613</v>
      </c>
      <c r="B4648" s="153">
        <v>1598</v>
      </c>
      <c r="C4648" s="126" t="s">
        <v>2546</v>
      </c>
      <c r="D4648">
        <v>3152</v>
      </c>
      <c r="E4648" s="126" t="s">
        <v>2008</v>
      </c>
      <c r="F4648" s="125" t="s">
        <v>1607</v>
      </c>
      <c r="G4648" s="125" t="s">
        <v>134</v>
      </c>
      <c r="H4648">
        <v>234</v>
      </c>
      <c r="I4648" s="125" t="s">
        <v>1546</v>
      </c>
      <c r="J4648" s="308" t="s">
        <v>214</v>
      </c>
      <c r="K4648" s="127" t="s">
        <v>4625</v>
      </c>
      <c r="L4648" s="153" t="s">
        <v>1579</v>
      </c>
      <c r="M4648">
        <v>306</v>
      </c>
      <c r="N4648" s="123">
        <v>17</v>
      </c>
      <c r="O4648">
        <v>3005</v>
      </c>
      <c r="P4648" s="132" t="s">
        <v>77</v>
      </c>
      <c r="Q4648" s="132">
        <v>516.38</v>
      </c>
      <c r="R4648" s="132">
        <v>82.62</v>
      </c>
      <c r="S4648" s="132"/>
      <c r="T4648" s="156"/>
      <c r="U4648" s="132"/>
      <c r="V4648" s="132">
        <v>599</v>
      </c>
      <c r="W4648">
        <v>410</v>
      </c>
      <c r="X4648" s="153" t="s">
        <v>1644</v>
      </c>
      <c r="Y4648" s="124" t="s">
        <v>55</v>
      </c>
      <c r="Z4648" s="308">
        <v>247</v>
      </c>
      <c r="AB4648" t="str">
        <f>IF(Table1[[#This Row],[TIPO2]]="costo", VLOOKUP(Table1[[#This Row],[PARTIDA PRESUPUESTAL]],'Cost Report'!G:G,1,0),"Balance")</f>
        <v>2494-071</v>
      </c>
      <c r="AC4648" s="118"/>
      <c r="AD4648" s="159">
        <f>+Table1[[#This Row],[SUBTOTAL]]+Table1[[#This Row],[IVA]]-Table1[[#This Row],[RET IVA]]-Table1[[#This Row],[RET ISR]]-Table1[[#This Row],[TOTAL]]</f>
        <v>0</v>
      </c>
      <c r="AE4648" s="152"/>
      <c r="AF4648" s="153"/>
      <c r="AG4648" s="126" t="s">
        <v>3420</v>
      </c>
      <c r="AK4648" s="306" t="str">
        <f>IF(ISNUMBER(Table1[[#This Row],[FECHA DE RECIBIDO]]), Table1[[#This Row],[FECHA DE RECIBIDO]]-DATE(2023,8,30), "")</f>
        <v/>
      </c>
    </row>
    <row r="4649" spans="1:37" ht="16.05" customHeight="1">
      <c r="A4649" s="150" t="s">
        <v>4613</v>
      </c>
      <c r="B4649" s="151">
        <v>1598</v>
      </c>
      <c r="C4649" s="126" t="s">
        <v>1505</v>
      </c>
      <c r="D4649">
        <v>3153</v>
      </c>
      <c r="E4649" s="126" t="s">
        <v>3664</v>
      </c>
      <c r="F4649" s="122" t="s">
        <v>1593</v>
      </c>
      <c r="G4649" s="122" t="s">
        <v>109</v>
      </c>
      <c r="H4649">
        <v>829</v>
      </c>
      <c r="I4649" s="122" t="s">
        <v>1546</v>
      </c>
      <c r="J4649" s="307" t="s">
        <v>214</v>
      </c>
      <c r="K4649" s="127" t="s">
        <v>4625</v>
      </c>
      <c r="L4649" s="151" t="s">
        <v>1579</v>
      </c>
      <c r="M4649">
        <v>1147</v>
      </c>
      <c r="N4649" s="123">
        <v>17</v>
      </c>
      <c r="O4649">
        <v>3006</v>
      </c>
      <c r="P4649" s="132" t="s">
        <v>77</v>
      </c>
      <c r="Q4649" s="131">
        <v>3446.63</v>
      </c>
      <c r="R4649" s="131">
        <v>551.46</v>
      </c>
      <c r="S4649" s="131"/>
      <c r="T4649" s="155"/>
      <c r="U4649" s="131">
        <v>43.08</v>
      </c>
      <c r="V4649" s="131">
        <v>3955.01</v>
      </c>
      <c r="W4649">
        <v>410</v>
      </c>
      <c r="X4649" s="151" t="s">
        <v>1644</v>
      </c>
      <c r="Y4649" s="135" t="s">
        <v>55</v>
      </c>
      <c r="Z4649" s="307">
        <v>251</v>
      </c>
      <c r="AB4649" t="str">
        <f>IF(Table1[[#This Row],[TIPO2]]="costo", VLOOKUP(Table1[[#This Row],[PARTIDA PRESUPUESTAL]],'Cost Report'!G:G,1,0),"Balance")</f>
        <v>2494-003</v>
      </c>
      <c r="AC4649" s="118"/>
      <c r="AD4649" s="159">
        <f>+Table1[[#This Row],[SUBTOTAL]]+Table1[[#This Row],[IVA]]-Table1[[#This Row],[RET IVA]]-Table1[[#This Row],[RET ISR]]-Table1[[#This Row],[TOTAL]]</f>
        <v>0</v>
      </c>
      <c r="AE4649" s="150"/>
      <c r="AF4649" s="151"/>
      <c r="AG4649" s="126" t="s">
        <v>3420</v>
      </c>
      <c r="AK4649" s="306" t="str">
        <f>IF(ISNUMBER(Table1[[#This Row],[FECHA DE RECIBIDO]]), Table1[[#This Row],[FECHA DE RECIBIDO]]-DATE(2023,8,30), "")</f>
        <v/>
      </c>
    </row>
    <row r="4650" spans="1:37" ht="16.05" customHeight="1">
      <c r="A4650" s="152" t="s">
        <v>4613</v>
      </c>
      <c r="B4650" s="153">
        <v>1598</v>
      </c>
      <c r="C4650" s="126" t="s">
        <v>2546</v>
      </c>
      <c r="D4650">
        <v>3154</v>
      </c>
      <c r="E4650" s="126" t="s">
        <v>3276</v>
      </c>
      <c r="F4650" s="125" t="s">
        <v>1593</v>
      </c>
      <c r="G4650" s="125" t="s">
        <v>109</v>
      </c>
      <c r="H4650">
        <v>830</v>
      </c>
      <c r="I4650" s="125" t="s">
        <v>1546</v>
      </c>
      <c r="J4650" s="308" t="s">
        <v>214</v>
      </c>
      <c r="K4650" s="127" t="s">
        <v>4625</v>
      </c>
      <c r="L4650" s="153" t="s">
        <v>1579</v>
      </c>
      <c r="M4650">
        <v>1148</v>
      </c>
      <c r="N4650" s="123">
        <v>17</v>
      </c>
      <c r="O4650">
        <v>3007</v>
      </c>
      <c r="P4650" s="132" t="s">
        <v>77</v>
      </c>
      <c r="Q4650" s="132">
        <v>6267.54</v>
      </c>
      <c r="R4650" s="132">
        <v>1002.81</v>
      </c>
      <c r="S4650" s="132"/>
      <c r="T4650" s="156"/>
      <c r="U4650" s="132">
        <v>78.349999999999994</v>
      </c>
      <c r="V4650" s="132">
        <v>7192</v>
      </c>
      <c r="W4650">
        <v>410</v>
      </c>
      <c r="X4650" s="153" t="s">
        <v>1644</v>
      </c>
      <c r="Y4650" s="124" t="s">
        <v>55</v>
      </c>
      <c r="Z4650" s="308">
        <v>247</v>
      </c>
      <c r="AB4650" t="str">
        <f>IF(Table1[[#This Row],[TIPO2]]="costo", VLOOKUP(Table1[[#This Row],[PARTIDA PRESUPUESTAL]],'Cost Report'!G:G,1,0),"Balance")</f>
        <v>2494-071</v>
      </c>
      <c r="AC4650" s="118"/>
      <c r="AD4650" s="159">
        <f>+Table1[[#This Row],[SUBTOTAL]]+Table1[[#This Row],[IVA]]-Table1[[#This Row],[RET IVA]]-Table1[[#This Row],[RET ISR]]-Table1[[#This Row],[TOTAL]]</f>
        <v>0</v>
      </c>
      <c r="AE4650" s="152"/>
      <c r="AF4650" s="153"/>
      <c r="AG4650" s="126" t="s">
        <v>3420</v>
      </c>
      <c r="AK4650" s="306" t="str">
        <f>IF(ISNUMBER(Table1[[#This Row],[FECHA DE RECIBIDO]]), Table1[[#This Row],[FECHA DE RECIBIDO]]-DATE(2023,8,30), "")</f>
        <v/>
      </c>
    </row>
    <row r="4651" spans="1:37" ht="16.05" customHeight="1">
      <c r="A4651" s="150" t="s">
        <v>4613</v>
      </c>
      <c r="B4651" s="151">
        <v>1598</v>
      </c>
      <c r="C4651" s="126" t="s">
        <v>2546</v>
      </c>
      <c r="D4651">
        <v>3155</v>
      </c>
      <c r="E4651" s="126" t="s">
        <v>3276</v>
      </c>
      <c r="F4651" s="122" t="s">
        <v>1593</v>
      </c>
      <c r="G4651" s="122" t="s">
        <v>109</v>
      </c>
      <c r="H4651">
        <v>830</v>
      </c>
      <c r="I4651" s="122" t="s">
        <v>1546</v>
      </c>
      <c r="J4651" s="307" t="s">
        <v>214</v>
      </c>
      <c r="K4651" s="127" t="s">
        <v>4625</v>
      </c>
      <c r="L4651" s="151" t="s">
        <v>1579</v>
      </c>
      <c r="M4651">
        <v>1148</v>
      </c>
      <c r="N4651" s="123">
        <v>17</v>
      </c>
      <c r="O4651">
        <v>3008</v>
      </c>
      <c r="P4651" s="132" t="s">
        <v>77</v>
      </c>
      <c r="Q4651" s="131">
        <v>510.5</v>
      </c>
      <c r="R4651" s="131">
        <v>81.680000000000007</v>
      </c>
      <c r="S4651" s="131"/>
      <c r="T4651" s="155"/>
      <c r="U4651" s="131">
        <v>6.38</v>
      </c>
      <c r="V4651" s="131">
        <v>585.80000000000007</v>
      </c>
      <c r="W4651">
        <v>410</v>
      </c>
      <c r="X4651" s="151" t="s">
        <v>1644</v>
      </c>
      <c r="Y4651" s="135" t="s">
        <v>55</v>
      </c>
      <c r="Z4651" s="307">
        <v>247</v>
      </c>
      <c r="AB4651" t="str">
        <f>IF(Table1[[#This Row],[TIPO2]]="costo", VLOOKUP(Table1[[#This Row],[PARTIDA PRESUPUESTAL]],'Cost Report'!G:G,1,0),"Balance")</f>
        <v>2494-071</v>
      </c>
      <c r="AC4651" s="118"/>
      <c r="AD4651" s="159">
        <f>+Table1[[#This Row],[SUBTOTAL]]+Table1[[#This Row],[IVA]]-Table1[[#This Row],[RET IVA]]-Table1[[#This Row],[RET ISR]]-Table1[[#This Row],[TOTAL]]</f>
        <v>0</v>
      </c>
      <c r="AE4651" s="150"/>
      <c r="AF4651" s="151"/>
      <c r="AG4651" s="126" t="s">
        <v>3420</v>
      </c>
      <c r="AK4651" s="306" t="str">
        <f>IF(ISNUMBER(Table1[[#This Row],[FECHA DE RECIBIDO]]), Table1[[#This Row],[FECHA DE RECIBIDO]]-DATE(2023,8,30), "")</f>
        <v/>
      </c>
    </row>
    <row r="4652" spans="1:37" ht="16.05" customHeight="1">
      <c r="A4652" s="152" t="s">
        <v>4613</v>
      </c>
      <c r="B4652" s="153">
        <v>1598</v>
      </c>
      <c r="C4652" s="126" t="s">
        <v>2546</v>
      </c>
      <c r="D4652">
        <v>3156</v>
      </c>
      <c r="E4652" s="126" t="s">
        <v>3276</v>
      </c>
      <c r="F4652" s="125" t="s">
        <v>1589</v>
      </c>
      <c r="G4652" s="125" t="s">
        <v>129</v>
      </c>
      <c r="H4652">
        <v>288</v>
      </c>
      <c r="I4652" s="125" t="s">
        <v>1546</v>
      </c>
      <c r="J4652" s="308" t="s">
        <v>214</v>
      </c>
      <c r="K4652" s="127" t="s">
        <v>4625</v>
      </c>
      <c r="L4652" s="153" t="s">
        <v>1579</v>
      </c>
      <c r="M4652">
        <v>382</v>
      </c>
      <c r="N4652" s="123">
        <v>17</v>
      </c>
      <c r="O4652">
        <v>3009</v>
      </c>
      <c r="P4652" s="132" t="s">
        <v>77</v>
      </c>
      <c r="Q4652" s="132">
        <v>830</v>
      </c>
      <c r="R4652" s="132">
        <v>132.80000000000001</v>
      </c>
      <c r="S4652" s="132"/>
      <c r="T4652" s="156"/>
      <c r="U4652" s="132"/>
      <c r="V4652" s="132">
        <v>962.8</v>
      </c>
      <c r="W4652">
        <v>410</v>
      </c>
      <c r="X4652" s="153" t="s">
        <v>1644</v>
      </c>
      <c r="Y4652" s="124" t="s">
        <v>55</v>
      </c>
      <c r="Z4652" s="308">
        <v>247</v>
      </c>
      <c r="AB4652" t="str">
        <f>IF(Table1[[#This Row],[TIPO2]]="costo", VLOOKUP(Table1[[#This Row],[PARTIDA PRESUPUESTAL]],'Cost Report'!G:G,1,0),"Balance")</f>
        <v>2494-071</v>
      </c>
      <c r="AC4652" s="118"/>
      <c r="AD4652" s="159">
        <f>+Table1[[#This Row],[SUBTOTAL]]+Table1[[#This Row],[IVA]]-Table1[[#This Row],[RET IVA]]-Table1[[#This Row],[RET ISR]]-Table1[[#This Row],[TOTAL]]</f>
        <v>0</v>
      </c>
      <c r="AE4652" s="152"/>
      <c r="AF4652" s="153"/>
      <c r="AG4652" s="126" t="s">
        <v>3420</v>
      </c>
      <c r="AK4652" s="306" t="str">
        <f>IF(ISNUMBER(Table1[[#This Row],[FECHA DE RECIBIDO]]), Table1[[#This Row],[FECHA DE RECIBIDO]]-DATE(2023,8,30), "")</f>
        <v/>
      </c>
    </row>
    <row r="4653" spans="1:37" ht="16.05" customHeight="1">
      <c r="A4653" s="150" t="s">
        <v>4613</v>
      </c>
      <c r="B4653" s="151">
        <v>1598</v>
      </c>
      <c r="C4653" s="126" t="s">
        <v>2546</v>
      </c>
      <c r="D4653">
        <v>3157</v>
      </c>
      <c r="E4653" s="126" t="s">
        <v>3277</v>
      </c>
      <c r="F4653" s="122" t="s">
        <v>1589</v>
      </c>
      <c r="G4653" s="122" t="s">
        <v>129</v>
      </c>
      <c r="H4653">
        <v>241</v>
      </c>
      <c r="I4653" s="122" t="s">
        <v>1546</v>
      </c>
      <c r="J4653" s="307" t="s">
        <v>214</v>
      </c>
      <c r="K4653" s="127" t="s">
        <v>4625</v>
      </c>
      <c r="L4653" s="151" t="s">
        <v>1579</v>
      </c>
      <c r="M4653">
        <v>313</v>
      </c>
      <c r="N4653" s="123">
        <v>17</v>
      </c>
      <c r="O4653">
        <v>3010</v>
      </c>
      <c r="P4653" s="132" t="s">
        <v>77</v>
      </c>
      <c r="Q4653" s="131">
        <v>1076.73</v>
      </c>
      <c r="R4653" s="131">
        <v>172.28</v>
      </c>
      <c r="S4653" s="131"/>
      <c r="T4653" s="155"/>
      <c r="U4653" s="131"/>
      <c r="V4653" s="131">
        <v>1249.01</v>
      </c>
      <c r="W4653">
        <v>410</v>
      </c>
      <c r="X4653" s="151" t="s">
        <v>1644</v>
      </c>
      <c r="Y4653" s="135" t="s">
        <v>55</v>
      </c>
      <c r="Z4653" s="307">
        <v>247</v>
      </c>
      <c r="AB4653" t="str">
        <f>IF(Table1[[#This Row],[TIPO2]]="costo", VLOOKUP(Table1[[#This Row],[PARTIDA PRESUPUESTAL]],'Cost Report'!G:G,1,0),"Balance")</f>
        <v>2494-071</v>
      </c>
      <c r="AC4653" s="118"/>
      <c r="AD4653" s="159">
        <f>+Table1[[#This Row],[SUBTOTAL]]+Table1[[#This Row],[IVA]]-Table1[[#This Row],[RET IVA]]-Table1[[#This Row],[RET ISR]]-Table1[[#This Row],[TOTAL]]</f>
        <v>0</v>
      </c>
      <c r="AE4653" s="150"/>
      <c r="AF4653" s="151"/>
      <c r="AG4653" s="126" t="s">
        <v>3420</v>
      </c>
      <c r="AK4653" s="306" t="str">
        <f>IF(ISNUMBER(Table1[[#This Row],[FECHA DE RECIBIDO]]), Table1[[#This Row],[FECHA DE RECIBIDO]]-DATE(2023,8,30), "")</f>
        <v/>
      </c>
    </row>
    <row r="4654" spans="1:37" ht="16.05" customHeight="1">
      <c r="A4654" s="152" t="s">
        <v>4613</v>
      </c>
      <c r="B4654" s="153">
        <v>1598</v>
      </c>
      <c r="C4654" s="126" t="s">
        <v>2546</v>
      </c>
      <c r="D4654">
        <v>3158</v>
      </c>
      <c r="E4654" s="126" t="s">
        <v>3276</v>
      </c>
      <c r="F4654" s="125" t="s">
        <v>1589</v>
      </c>
      <c r="G4654" s="125" t="s">
        <v>129</v>
      </c>
      <c r="H4654">
        <v>827</v>
      </c>
      <c r="I4654" s="125" t="s">
        <v>1546</v>
      </c>
      <c r="J4654" s="308" t="s">
        <v>214</v>
      </c>
      <c r="K4654" s="127" t="s">
        <v>4625</v>
      </c>
      <c r="L4654" s="153" t="s">
        <v>1579</v>
      </c>
      <c r="M4654">
        <v>1145</v>
      </c>
      <c r="N4654" s="123">
        <v>17</v>
      </c>
      <c r="O4654">
        <v>3011</v>
      </c>
      <c r="P4654" s="132" t="s">
        <v>77</v>
      </c>
      <c r="Q4654" s="132">
        <v>344.84</v>
      </c>
      <c r="R4654" s="132">
        <v>55.17</v>
      </c>
      <c r="S4654" s="132"/>
      <c r="T4654" s="156"/>
      <c r="U4654" s="132"/>
      <c r="V4654" s="132">
        <v>400.01</v>
      </c>
      <c r="W4654">
        <v>410</v>
      </c>
      <c r="X4654" s="153" t="s">
        <v>1644</v>
      </c>
      <c r="Y4654" s="124" t="s">
        <v>55</v>
      </c>
      <c r="Z4654" s="308">
        <v>247</v>
      </c>
      <c r="AB4654" t="str">
        <f>IF(Table1[[#This Row],[TIPO2]]="costo", VLOOKUP(Table1[[#This Row],[PARTIDA PRESUPUESTAL]],'Cost Report'!G:G,1,0),"Balance")</f>
        <v>2494-071</v>
      </c>
      <c r="AC4654" s="118"/>
      <c r="AD4654" s="159">
        <f>+Table1[[#This Row],[SUBTOTAL]]+Table1[[#This Row],[IVA]]-Table1[[#This Row],[RET IVA]]-Table1[[#This Row],[RET ISR]]-Table1[[#This Row],[TOTAL]]</f>
        <v>0</v>
      </c>
      <c r="AE4654" s="152"/>
      <c r="AF4654" s="153"/>
      <c r="AG4654" s="126" t="s">
        <v>3420</v>
      </c>
      <c r="AK4654" s="306" t="str">
        <f>IF(ISNUMBER(Table1[[#This Row],[FECHA DE RECIBIDO]]), Table1[[#This Row],[FECHA DE RECIBIDO]]-DATE(2023,8,30), "")</f>
        <v/>
      </c>
    </row>
    <row r="4655" spans="1:37" ht="16.05" customHeight="1">
      <c r="A4655" s="150" t="s">
        <v>4613</v>
      </c>
      <c r="B4655" s="151">
        <v>1598</v>
      </c>
      <c r="C4655" s="126" t="s">
        <v>2546</v>
      </c>
      <c r="D4655">
        <v>3159</v>
      </c>
      <c r="E4655" s="126" t="s">
        <v>1603</v>
      </c>
      <c r="F4655" s="122" t="s">
        <v>1607</v>
      </c>
      <c r="G4655" s="122" t="s">
        <v>134</v>
      </c>
      <c r="H4655">
        <v>274</v>
      </c>
      <c r="I4655" s="122" t="s">
        <v>1546</v>
      </c>
      <c r="J4655" s="307" t="s">
        <v>214</v>
      </c>
      <c r="K4655" s="127" t="s">
        <v>4625</v>
      </c>
      <c r="L4655" s="151" t="s">
        <v>1579</v>
      </c>
      <c r="M4655">
        <v>365</v>
      </c>
      <c r="N4655" s="123">
        <v>17</v>
      </c>
      <c r="O4655">
        <v>3012</v>
      </c>
      <c r="P4655" s="132" t="s">
        <v>77</v>
      </c>
      <c r="Q4655" s="131">
        <v>461.72</v>
      </c>
      <c r="R4655" s="131">
        <v>73.88</v>
      </c>
      <c r="S4655" s="131"/>
      <c r="T4655" s="155"/>
      <c r="U4655" s="131"/>
      <c r="V4655" s="131">
        <v>535.6</v>
      </c>
      <c r="W4655">
        <v>410</v>
      </c>
      <c r="X4655" s="151" t="s">
        <v>1644</v>
      </c>
      <c r="Y4655" s="135" t="s">
        <v>55</v>
      </c>
      <c r="Z4655" s="307">
        <v>248</v>
      </c>
      <c r="AB4655" t="str">
        <f>IF(Table1[[#This Row],[TIPO2]]="costo", VLOOKUP(Table1[[#This Row],[PARTIDA PRESUPUESTAL]],'Cost Report'!G:G,1,0),"Balance")</f>
        <v>2494-071</v>
      </c>
      <c r="AC4655" s="118"/>
      <c r="AD4655" s="159">
        <f>+Table1[[#This Row],[SUBTOTAL]]+Table1[[#This Row],[IVA]]-Table1[[#This Row],[RET IVA]]-Table1[[#This Row],[RET ISR]]-Table1[[#This Row],[TOTAL]]</f>
        <v>0</v>
      </c>
      <c r="AE4655" s="150"/>
      <c r="AF4655" s="151"/>
      <c r="AG4655" s="126" t="s">
        <v>3420</v>
      </c>
      <c r="AK4655" s="306" t="str">
        <f>IF(ISNUMBER(Table1[[#This Row],[FECHA DE RECIBIDO]]), Table1[[#This Row],[FECHA DE RECIBIDO]]-DATE(2023,8,30), "")</f>
        <v/>
      </c>
    </row>
    <row r="4656" spans="1:37" ht="16.05" customHeight="1">
      <c r="A4656" s="152" t="s">
        <v>4613</v>
      </c>
      <c r="B4656" s="153">
        <v>1598</v>
      </c>
      <c r="C4656" s="126" t="s">
        <v>610</v>
      </c>
      <c r="D4656">
        <v>3160</v>
      </c>
      <c r="E4656" s="126" t="s">
        <v>3275</v>
      </c>
      <c r="F4656" s="125" t="s">
        <v>1607</v>
      </c>
      <c r="G4656" s="125" t="s">
        <v>134</v>
      </c>
      <c r="H4656">
        <v>57</v>
      </c>
      <c r="I4656" s="125" t="s">
        <v>1546</v>
      </c>
      <c r="J4656" s="308" t="s">
        <v>214</v>
      </c>
      <c r="K4656" s="127" t="s">
        <v>4625</v>
      </c>
      <c r="L4656" s="153" t="s">
        <v>1579</v>
      </c>
      <c r="M4656">
        <v>79</v>
      </c>
      <c r="N4656" s="123">
        <v>17</v>
      </c>
      <c r="O4656">
        <v>3013</v>
      </c>
      <c r="P4656" s="132" t="s">
        <v>77</v>
      </c>
      <c r="Q4656" s="132">
        <v>343.1</v>
      </c>
      <c r="R4656" s="132">
        <v>54.9</v>
      </c>
      <c r="S4656" s="132"/>
      <c r="T4656" s="156"/>
      <c r="U4656" s="132"/>
      <c r="V4656" s="132">
        <v>398</v>
      </c>
      <c r="W4656">
        <v>410</v>
      </c>
      <c r="X4656" s="153" t="s">
        <v>1644</v>
      </c>
      <c r="Y4656" s="124" t="s">
        <v>55</v>
      </c>
      <c r="Z4656" s="308">
        <v>252</v>
      </c>
      <c r="AB4656" t="str">
        <f>IF(Table1[[#This Row],[TIPO2]]="costo", VLOOKUP(Table1[[#This Row],[PARTIDA PRESUPUESTAL]],'Cost Report'!G:G,1,0),"Balance")</f>
        <v>2485-003</v>
      </c>
      <c r="AC4656" s="118"/>
      <c r="AD4656" s="159">
        <f>+Table1[[#This Row],[SUBTOTAL]]+Table1[[#This Row],[IVA]]-Table1[[#This Row],[RET IVA]]-Table1[[#This Row],[RET ISR]]-Table1[[#This Row],[TOTAL]]</f>
        <v>0</v>
      </c>
      <c r="AE4656" s="152"/>
      <c r="AF4656" s="153"/>
      <c r="AG4656" s="126" t="s">
        <v>3420</v>
      </c>
      <c r="AK4656" s="306" t="str">
        <f>IF(ISNUMBER(Table1[[#This Row],[FECHA DE RECIBIDO]]), Table1[[#This Row],[FECHA DE RECIBIDO]]-DATE(2023,8,30), "")</f>
        <v/>
      </c>
    </row>
    <row r="4657" spans="1:37" ht="16.05" customHeight="1">
      <c r="A4657" s="150" t="s">
        <v>4613</v>
      </c>
      <c r="B4657" s="151">
        <v>1598</v>
      </c>
      <c r="C4657" s="126" t="s">
        <v>2540</v>
      </c>
      <c r="D4657">
        <v>3161</v>
      </c>
      <c r="E4657" s="126" t="s">
        <v>1987</v>
      </c>
      <c r="F4657" s="122" t="s">
        <v>1607</v>
      </c>
      <c r="G4657" s="122" t="s">
        <v>134</v>
      </c>
      <c r="H4657">
        <v>659</v>
      </c>
      <c r="I4657" s="122" t="s">
        <v>1546</v>
      </c>
      <c r="J4657" s="307" t="s">
        <v>214</v>
      </c>
      <c r="K4657" s="127" t="s">
        <v>4625</v>
      </c>
      <c r="L4657" s="151" t="s">
        <v>1579</v>
      </c>
      <c r="M4657">
        <v>928</v>
      </c>
      <c r="N4657" s="123">
        <v>17</v>
      </c>
      <c r="O4657">
        <v>3014</v>
      </c>
      <c r="P4657" s="132" t="s">
        <v>77</v>
      </c>
      <c r="Q4657" s="131">
        <v>2442.2399999999998</v>
      </c>
      <c r="R4657" s="131">
        <v>390.76</v>
      </c>
      <c r="S4657" s="131"/>
      <c r="T4657" s="155"/>
      <c r="U4657" s="131"/>
      <c r="V4657" s="131">
        <v>2833</v>
      </c>
      <c r="W4657">
        <v>410</v>
      </c>
      <c r="X4657" s="151" t="s">
        <v>1644</v>
      </c>
      <c r="Y4657" s="135" t="s">
        <v>55</v>
      </c>
      <c r="Z4657" s="307">
        <v>252</v>
      </c>
      <c r="AB4657" t="str">
        <f>IF(Table1[[#This Row],[TIPO2]]="costo", VLOOKUP(Table1[[#This Row],[PARTIDA PRESUPUESTAL]],'Cost Report'!G:G,1,0),"Balance")</f>
        <v>2494-059</v>
      </c>
      <c r="AC4657" s="118"/>
      <c r="AD4657" s="159">
        <f>+Table1[[#This Row],[SUBTOTAL]]+Table1[[#This Row],[IVA]]-Table1[[#This Row],[RET IVA]]-Table1[[#This Row],[RET ISR]]-Table1[[#This Row],[TOTAL]]</f>
        <v>0</v>
      </c>
      <c r="AE4657" s="150"/>
      <c r="AF4657" s="151"/>
      <c r="AG4657" s="126" t="s">
        <v>3420</v>
      </c>
      <c r="AK4657" s="306" t="str">
        <f>IF(ISNUMBER(Table1[[#This Row],[FECHA DE RECIBIDO]]), Table1[[#This Row],[FECHA DE RECIBIDO]]-DATE(2023,8,30), "")</f>
        <v/>
      </c>
    </row>
    <row r="4658" spans="1:37" ht="16.05" customHeight="1">
      <c r="A4658" s="152" t="s">
        <v>4613</v>
      </c>
      <c r="B4658" s="153">
        <v>1598</v>
      </c>
      <c r="C4658" s="126" t="s">
        <v>2534</v>
      </c>
      <c r="D4658">
        <v>689</v>
      </c>
      <c r="E4658" s="126"/>
      <c r="F4658" s="125"/>
      <c r="G4658" s="125"/>
      <c r="H4658"/>
      <c r="I4658" s="125"/>
      <c r="J4658" s="308" t="s">
        <v>214</v>
      </c>
      <c r="K4658" s="127" t="s">
        <v>4625</v>
      </c>
      <c r="L4658" s="153" t="s">
        <v>1579</v>
      </c>
      <c r="M4658">
        <v>514</v>
      </c>
      <c r="N4658" s="123">
        <v>17</v>
      </c>
      <c r="O4658">
        <v>3015</v>
      </c>
      <c r="P4658" s="132" t="s">
        <v>77</v>
      </c>
      <c r="Q4658" s="132">
        <v>39</v>
      </c>
      <c r="R4658" s="132"/>
      <c r="S4658" s="132"/>
      <c r="T4658" s="156"/>
      <c r="U4658" s="132"/>
      <c r="V4658" s="132">
        <v>39</v>
      </c>
      <c r="W4658">
        <v>410</v>
      </c>
      <c r="X4658" s="153" t="s">
        <v>1644</v>
      </c>
      <c r="Y4658" s="124" t="s">
        <v>55</v>
      </c>
      <c r="Z4658" s="308">
        <v>245</v>
      </c>
      <c r="AB4658" t="str">
        <f>IF(Table1[[#This Row],[TIPO2]]="costo", VLOOKUP(Table1[[#This Row],[PARTIDA PRESUPUESTAL]],'Cost Report'!G:G,1,0),"Balance")</f>
        <v>2494-047</v>
      </c>
      <c r="AC4658" s="118"/>
      <c r="AD4658" s="159">
        <f>+Table1[[#This Row],[SUBTOTAL]]+Table1[[#This Row],[IVA]]-Table1[[#This Row],[RET IVA]]-Table1[[#This Row],[RET ISR]]-Table1[[#This Row],[TOTAL]]</f>
        <v>0</v>
      </c>
      <c r="AE4658" s="152"/>
      <c r="AF4658" s="153"/>
      <c r="AG4658" s="126" t="s">
        <v>3420</v>
      </c>
      <c r="AK4658" s="306" t="str">
        <f>IF(ISNUMBER(Table1[[#This Row],[FECHA DE RECIBIDO]]), Table1[[#This Row],[FECHA DE RECIBIDO]]-DATE(2023,8,30), "")</f>
        <v/>
      </c>
    </row>
    <row r="4659" spans="1:37" ht="16.05" customHeight="1">
      <c r="A4659" s="150" t="s">
        <v>4613</v>
      </c>
      <c r="B4659" s="151">
        <v>1598</v>
      </c>
      <c r="C4659" s="126" t="s">
        <v>2455</v>
      </c>
      <c r="D4659">
        <v>689</v>
      </c>
      <c r="E4659" s="126"/>
      <c r="F4659" s="122"/>
      <c r="G4659" s="122"/>
      <c r="H4659"/>
      <c r="I4659" s="122"/>
      <c r="J4659" s="307" t="s">
        <v>214</v>
      </c>
      <c r="K4659" s="127" t="s">
        <v>4625</v>
      </c>
      <c r="L4659" s="151" t="s">
        <v>1579</v>
      </c>
      <c r="M4659">
        <v>542</v>
      </c>
      <c r="N4659" s="123">
        <v>17</v>
      </c>
      <c r="O4659">
        <v>3016</v>
      </c>
      <c r="P4659" s="132" t="s">
        <v>77</v>
      </c>
      <c r="Q4659" s="131">
        <v>34.799999999999997</v>
      </c>
      <c r="R4659" s="131"/>
      <c r="S4659" s="131"/>
      <c r="T4659" s="155"/>
      <c r="U4659" s="131"/>
      <c r="V4659" s="131">
        <v>34.799999999999997</v>
      </c>
      <c r="W4659">
        <v>410</v>
      </c>
      <c r="X4659" s="151" t="s">
        <v>1644</v>
      </c>
      <c r="Y4659" s="135" t="s">
        <v>55</v>
      </c>
      <c r="Z4659" s="307">
        <v>245</v>
      </c>
      <c r="AB4659" t="str">
        <f>IF(Table1[[#This Row],[TIPO2]]="costo", VLOOKUP(Table1[[#This Row],[PARTIDA PRESUPUESTAL]],'Cost Report'!G:G,1,0),"Balance")</f>
        <v>2285-003</v>
      </c>
      <c r="AC4659" s="118"/>
      <c r="AD4659" s="159">
        <f>+Table1[[#This Row],[SUBTOTAL]]+Table1[[#This Row],[IVA]]-Table1[[#This Row],[RET IVA]]-Table1[[#This Row],[RET ISR]]-Table1[[#This Row],[TOTAL]]</f>
        <v>0</v>
      </c>
      <c r="AE4659" s="150"/>
      <c r="AF4659" s="151"/>
      <c r="AG4659" s="126" t="s">
        <v>3420</v>
      </c>
      <c r="AK4659" s="306" t="str">
        <f>IF(ISNUMBER(Table1[[#This Row],[FECHA DE RECIBIDO]]), Table1[[#This Row],[FECHA DE RECIBIDO]]-DATE(2023,8,30), "")</f>
        <v/>
      </c>
    </row>
    <row r="4660" spans="1:37" ht="16.05" customHeight="1">
      <c r="A4660" s="152" t="s">
        <v>4613</v>
      </c>
      <c r="B4660" s="153">
        <v>1598</v>
      </c>
      <c r="C4660" s="126" t="s">
        <v>2546</v>
      </c>
      <c r="D4660">
        <v>689</v>
      </c>
      <c r="E4660" s="126"/>
      <c r="F4660" s="125"/>
      <c r="G4660" s="125"/>
      <c r="H4660"/>
      <c r="I4660" s="125"/>
      <c r="J4660" s="308" t="s">
        <v>214</v>
      </c>
      <c r="K4660" s="127" t="s">
        <v>4625</v>
      </c>
      <c r="L4660" s="153" t="s">
        <v>1579</v>
      </c>
      <c r="M4660">
        <v>1149</v>
      </c>
      <c r="N4660" s="123">
        <v>17</v>
      </c>
      <c r="O4660">
        <v>3017</v>
      </c>
      <c r="P4660" s="132" t="s">
        <v>77</v>
      </c>
      <c r="Q4660" s="132">
        <v>100</v>
      </c>
      <c r="R4660" s="132"/>
      <c r="S4660" s="132"/>
      <c r="T4660" s="156"/>
      <c r="U4660" s="132"/>
      <c r="V4660" s="132">
        <v>100</v>
      </c>
      <c r="W4660">
        <v>410</v>
      </c>
      <c r="X4660" s="153" t="s">
        <v>1644</v>
      </c>
      <c r="Y4660" s="124" t="s">
        <v>55</v>
      </c>
      <c r="Z4660" s="308">
        <v>246</v>
      </c>
      <c r="AB4660" t="str">
        <f>IF(Table1[[#This Row],[TIPO2]]="costo", VLOOKUP(Table1[[#This Row],[PARTIDA PRESUPUESTAL]],'Cost Report'!G:G,1,0),"Balance")</f>
        <v>2494-071</v>
      </c>
      <c r="AC4660" s="118"/>
      <c r="AD4660" s="159">
        <f>+Table1[[#This Row],[SUBTOTAL]]+Table1[[#This Row],[IVA]]-Table1[[#This Row],[RET IVA]]-Table1[[#This Row],[RET ISR]]-Table1[[#This Row],[TOTAL]]</f>
        <v>0</v>
      </c>
      <c r="AE4660" s="152"/>
      <c r="AF4660" s="153"/>
      <c r="AG4660" s="126" t="s">
        <v>3420</v>
      </c>
      <c r="AK4660" s="306" t="str">
        <f>IF(ISNUMBER(Table1[[#This Row],[FECHA DE RECIBIDO]]), Table1[[#This Row],[FECHA DE RECIBIDO]]-DATE(2023,8,30), "")</f>
        <v/>
      </c>
    </row>
    <row r="4661" spans="1:37" ht="16.05" customHeight="1">
      <c r="A4661" s="150" t="s">
        <v>4613</v>
      </c>
      <c r="B4661" s="151">
        <v>1598</v>
      </c>
      <c r="C4661" s="126" t="s">
        <v>2546</v>
      </c>
      <c r="D4661">
        <v>689</v>
      </c>
      <c r="E4661" s="126"/>
      <c r="F4661" s="122"/>
      <c r="G4661" s="122"/>
      <c r="H4661"/>
      <c r="I4661" s="122"/>
      <c r="J4661" s="307" t="s">
        <v>214</v>
      </c>
      <c r="K4661" s="127" t="s">
        <v>4625</v>
      </c>
      <c r="L4661" s="151" t="s">
        <v>1579</v>
      </c>
      <c r="M4661">
        <v>1149</v>
      </c>
      <c r="N4661" s="123">
        <v>17</v>
      </c>
      <c r="O4661">
        <v>3018</v>
      </c>
      <c r="P4661" s="132" t="s">
        <v>77</v>
      </c>
      <c r="Q4661" s="131">
        <v>100</v>
      </c>
      <c r="R4661" s="131"/>
      <c r="S4661" s="131"/>
      <c r="T4661" s="155"/>
      <c r="U4661" s="131"/>
      <c r="V4661" s="131">
        <v>100</v>
      </c>
      <c r="W4661">
        <v>410</v>
      </c>
      <c r="X4661" s="151" t="s">
        <v>1644</v>
      </c>
      <c r="Y4661" s="135" t="s">
        <v>55</v>
      </c>
      <c r="Z4661" s="307">
        <v>246</v>
      </c>
      <c r="AB4661" t="str">
        <f>IF(Table1[[#This Row],[TIPO2]]="costo", VLOOKUP(Table1[[#This Row],[PARTIDA PRESUPUESTAL]],'Cost Report'!G:G,1,0),"Balance")</f>
        <v>2494-071</v>
      </c>
      <c r="AC4661" s="118"/>
      <c r="AD4661" s="159">
        <f>+Table1[[#This Row],[SUBTOTAL]]+Table1[[#This Row],[IVA]]-Table1[[#This Row],[RET IVA]]-Table1[[#This Row],[RET ISR]]-Table1[[#This Row],[TOTAL]]</f>
        <v>0</v>
      </c>
      <c r="AE4661" s="150"/>
      <c r="AF4661" s="151"/>
      <c r="AG4661" s="126" t="s">
        <v>3420</v>
      </c>
      <c r="AK4661" s="306" t="str">
        <f>IF(ISNUMBER(Table1[[#This Row],[FECHA DE RECIBIDO]]), Table1[[#This Row],[FECHA DE RECIBIDO]]-DATE(2023,8,30), "")</f>
        <v/>
      </c>
    </row>
    <row r="4662" spans="1:37" ht="16.05" customHeight="1">
      <c r="A4662" s="152" t="s">
        <v>4613</v>
      </c>
      <c r="B4662" s="153">
        <v>1598</v>
      </c>
      <c r="C4662" s="126" t="s">
        <v>2546</v>
      </c>
      <c r="D4662">
        <v>689</v>
      </c>
      <c r="E4662" s="126"/>
      <c r="F4662" s="125"/>
      <c r="G4662" s="125"/>
      <c r="H4662"/>
      <c r="I4662" s="125"/>
      <c r="J4662" s="308" t="s">
        <v>214</v>
      </c>
      <c r="K4662" s="127" t="s">
        <v>4625</v>
      </c>
      <c r="L4662" s="153" t="s">
        <v>1579</v>
      </c>
      <c r="M4662">
        <v>1150</v>
      </c>
      <c r="N4662" s="123">
        <v>17</v>
      </c>
      <c r="O4662">
        <v>3019</v>
      </c>
      <c r="P4662" s="132" t="s">
        <v>77</v>
      </c>
      <c r="Q4662" s="132">
        <v>38</v>
      </c>
      <c r="R4662" s="132"/>
      <c r="S4662" s="132"/>
      <c r="T4662" s="156"/>
      <c r="U4662" s="132"/>
      <c r="V4662" s="132">
        <v>38</v>
      </c>
      <c r="W4662">
        <v>410</v>
      </c>
      <c r="X4662" s="153" t="s">
        <v>1644</v>
      </c>
      <c r="Y4662" s="124" t="s">
        <v>55</v>
      </c>
      <c r="Z4662" s="308">
        <v>246</v>
      </c>
      <c r="AB4662" t="str">
        <f>IF(Table1[[#This Row],[TIPO2]]="costo", VLOOKUP(Table1[[#This Row],[PARTIDA PRESUPUESTAL]],'Cost Report'!G:G,1,0),"Balance")</f>
        <v>2494-071</v>
      </c>
      <c r="AC4662" s="118"/>
      <c r="AD4662" s="159">
        <f>+Table1[[#This Row],[SUBTOTAL]]+Table1[[#This Row],[IVA]]-Table1[[#This Row],[RET IVA]]-Table1[[#This Row],[RET ISR]]-Table1[[#This Row],[TOTAL]]</f>
        <v>0</v>
      </c>
      <c r="AE4662" s="152"/>
      <c r="AF4662" s="153"/>
      <c r="AG4662" s="126" t="s">
        <v>3420</v>
      </c>
      <c r="AK4662" s="306" t="str">
        <f>IF(ISNUMBER(Table1[[#This Row],[FECHA DE RECIBIDO]]), Table1[[#This Row],[FECHA DE RECIBIDO]]-DATE(2023,8,30), "")</f>
        <v/>
      </c>
    </row>
    <row r="4663" spans="1:37" ht="16.05" customHeight="1">
      <c r="A4663" s="150" t="s">
        <v>4613</v>
      </c>
      <c r="B4663" s="151">
        <v>1598</v>
      </c>
      <c r="C4663" s="126" t="s">
        <v>2455</v>
      </c>
      <c r="D4663">
        <v>689</v>
      </c>
      <c r="E4663" s="126"/>
      <c r="F4663" s="122"/>
      <c r="G4663" s="122"/>
      <c r="H4663"/>
      <c r="I4663" s="122"/>
      <c r="J4663" s="307" t="s">
        <v>214</v>
      </c>
      <c r="K4663" s="127" t="s">
        <v>4625</v>
      </c>
      <c r="L4663" s="151" t="s">
        <v>1579</v>
      </c>
      <c r="M4663">
        <v>375</v>
      </c>
      <c r="N4663" s="123">
        <v>17</v>
      </c>
      <c r="O4663">
        <v>3016</v>
      </c>
      <c r="P4663" s="132" t="s">
        <v>77</v>
      </c>
      <c r="Q4663" s="131">
        <v>34.22</v>
      </c>
      <c r="R4663" s="131"/>
      <c r="S4663" s="131"/>
      <c r="T4663" s="155"/>
      <c r="U4663" s="131"/>
      <c r="V4663" s="131">
        <v>34.22</v>
      </c>
      <c r="W4663">
        <v>410</v>
      </c>
      <c r="X4663" s="151" t="s">
        <v>1644</v>
      </c>
      <c r="Y4663" s="135" t="s">
        <v>55</v>
      </c>
      <c r="Z4663" s="307">
        <v>247</v>
      </c>
      <c r="AB4663" t="str">
        <f>IF(Table1[[#This Row],[TIPO2]]="costo", VLOOKUP(Table1[[#This Row],[PARTIDA PRESUPUESTAL]],'Cost Report'!G:G,1,0),"Balance")</f>
        <v>2285-003</v>
      </c>
      <c r="AC4663" s="118"/>
      <c r="AD4663" s="159">
        <f>+Table1[[#This Row],[SUBTOTAL]]+Table1[[#This Row],[IVA]]-Table1[[#This Row],[RET IVA]]-Table1[[#This Row],[RET ISR]]-Table1[[#This Row],[TOTAL]]</f>
        <v>0</v>
      </c>
      <c r="AE4663" s="150"/>
      <c r="AF4663" s="151"/>
      <c r="AG4663" s="126" t="s">
        <v>3420</v>
      </c>
      <c r="AK4663" s="306" t="str">
        <f>IF(ISNUMBER(Table1[[#This Row],[FECHA DE RECIBIDO]]), Table1[[#This Row],[FECHA DE RECIBIDO]]-DATE(2023,8,30), "")</f>
        <v/>
      </c>
    </row>
    <row r="4664" spans="1:37" ht="16.05" customHeight="1">
      <c r="A4664" s="152" t="s">
        <v>4613</v>
      </c>
      <c r="B4664" s="153">
        <v>1598</v>
      </c>
      <c r="C4664" s="126" t="s">
        <v>2546</v>
      </c>
      <c r="D4664">
        <v>689</v>
      </c>
      <c r="E4664" s="126"/>
      <c r="F4664" s="125"/>
      <c r="G4664" s="125"/>
      <c r="H4664"/>
      <c r="I4664" s="125"/>
      <c r="J4664" s="308" t="s">
        <v>214</v>
      </c>
      <c r="K4664" s="127" t="s">
        <v>4625</v>
      </c>
      <c r="L4664" s="153" t="s">
        <v>1579</v>
      </c>
      <c r="M4664">
        <v>1151</v>
      </c>
      <c r="N4664" s="123">
        <v>17</v>
      </c>
      <c r="O4664">
        <v>3020</v>
      </c>
      <c r="P4664" s="132" t="s">
        <v>77</v>
      </c>
      <c r="Q4664" s="132">
        <v>264</v>
      </c>
      <c r="R4664" s="132"/>
      <c r="S4664" s="132"/>
      <c r="T4664" s="156"/>
      <c r="U4664" s="132"/>
      <c r="V4664" s="132">
        <v>264</v>
      </c>
      <c r="W4664">
        <v>410</v>
      </c>
      <c r="X4664" s="153" t="s">
        <v>1644</v>
      </c>
      <c r="Y4664" s="124" t="s">
        <v>55</v>
      </c>
      <c r="Z4664" s="308">
        <v>248</v>
      </c>
      <c r="AB4664" t="str">
        <f>IF(Table1[[#This Row],[TIPO2]]="costo", VLOOKUP(Table1[[#This Row],[PARTIDA PRESUPUESTAL]],'Cost Report'!G:G,1,0),"Balance")</f>
        <v>2494-071</v>
      </c>
      <c r="AC4664" s="118"/>
      <c r="AD4664" s="159">
        <f>+Table1[[#This Row],[SUBTOTAL]]+Table1[[#This Row],[IVA]]-Table1[[#This Row],[RET IVA]]-Table1[[#This Row],[RET ISR]]-Table1[[#This Row],[TOTAL]]</f>
        <v>0</v>
      </c>
      <c r="AE4664" s="152"/>
      <c r="AF4664" s="153"/>
      <c r="AG4664" s="126" t="s">
        <v>3420</v>
      </c>
      <c r="AK4664" s="306" t="str">
        <f>IF(ISNUMBER(Table1[[#This Row],[FECHA DE RECIBIDO]]), Table1[[#This Row],[FECHA DE RECIBIDO]]-DATE(2023,8,30), "")</f>
        <v/>
      </c>
    </row>
    <row r="4665" spans="1:37" ht="16.05" customHeight="1">
      <c r="A4665" s="150" t="s">
        <v>4615</v>
      </c>
      <c r="B4665" s="151">
        <v>1599</v>
      </c>
      <c r="C4665" s="126" t="s">
        <v>2461</v>
      </c>
      <c r="D4665">
        <v>3162</v>
      </c>
      <c r="E4665" s="126" t="s">
        <v>3232</v>
      </c>
      <c r="F4665" s="122" t="s">
        <v>1589</v>
      </c>
      <c r="G4665" s="122" t="s">
        <v>129</v>
      </c>
      <c r="H4665">
        <v>211</v>
      </c>
      <c r="I4665" s="122" t="s">
        <v>1546</v>
      </c>
      <c r="J4665" s="307" t="s">
        <v>214</v>
      </c>
      <c r="K4665" s="127" t="s">
        <v>4625</v>
      </c>
      <c r="L4665" s="151" t="s">
        <v>1579</v>
      </c>
      <c r="M4665">
        <v>275</v>
      </c>
      <c r="N4665" s="123">
        <v>17</v>
      </c>
      <c r="O4665">
        <v>3021</v>
      </c>
      <c r="P4665" s="132" t="s">
        <v>77</v>
      </c>
      <c r="Q4665" s="131">
        <v>1949.14</v>
      </c>
      <c r="R4665" s="131">
        <v>311.86</v>
      </c>
      <c r="S4665" s="131"/>
      <c r="T4665" s="155"/>
      <c r="U4665" s="131"/>
      <c r="V4665" s="131">
        <v>2261</v>
      </c>
      <c r="W4665">
        <v>103</v>
      </c>
      <c r="X4665" s="151" t="s">
        <v>1644</v>
      </c>
      <c r="Y4665" s="135" t="s">
        <v>55</v>
      </c>
      <c r="Z4665" s="307">
        <v>240</v>
      </c>
      <c r="AB4665" t="str">
        <f>IF(Table1[[#This Row],[TIPO2]]="costo", VLOOKUP(Table1[[#This Row],[PARTIDA PRESUPUESTAL]],'Cost Report'!G:G,1,0),"Balance")</f>
        <v>2385-003</v>
      </c>
      <c r="AC4665" s="118"/>
      <c r="AD4665" s="159">
        <f>+Table1[[#This Row],[SUBTOTAL]]+Table1[[#This Row],[IVA]]-Table1[[#This Row],[RET IVA]]-Table1[[#This Row],[RET ISR]]-Table1[[#This Row],[TOTAL]]</f>
        <v>0</v>
      </c>
      <c r="AE4665" s="150"/>
      <c r="AF4665" s="151"/>
      <c r="AG4665" s="126" t="s">
        <v>3420</v>
      </c>
      <c r="AK4665" s="306" t="str">
        <f>IF(ISNUMBER(Table1[[#This Row],[FECHA DE RECIBIDO]]), Table1[[#This Row],[FECHA DE RECIBIDO]]-DATE(2023,8,30), "")</f>
        <v/>
      </c>
    </row>
    <row r="4666" spans="1:37" ht="16.05" customHeight="1">
      <c r="A4666" s="152" t="s">
        <v>4615</v>
      </c>
      <c r="B4666" s="153">
        <v>1599</v>
      </c>
      <c r="C4666" s="126" t="s">
        <v>2542</v>
      </c>
      <c r="D4666">
        <v>3163</v>
      </c>
      <c r="E4666" s="126" t="s">
        <v>3278</v>
      </c>
      <c r="F4666" s="125" t="s">
        <v>1607</v>
      </c>
      <c r="G4666" s="125" t="s">
        <v>134</v>
      </c>
      <c r="H4666">
        <v>56</v>
      </c>
      <c r="I4666" s="125" t="s">
        <v>1546</v>
      </c>
      <c r="J4666" s="308" t="s">
        <v>214</v>
      </c>
      <c r="K4666" s="127" t="s">
        <v>4625</v>
      </c>
      <c r="L4666" s="153" t="s">
        <v>1579</v>
      </c>
      <c r="M4666">
        <v>78</v>
      </c>
      <c r="N4666" s="123">
        <v>17</v>
      </c>
      <c r="O4666">
        <v>3022</v>
      </c>
      <c r="P4666" s="132" t="s">
        <v>77</v>
      </c>
      <c r="Q4666" s="132">
        <v>369.03</v>
      </c>
      <c r="R4666" s="132">
        <v>39.9</v>
      </c>
      <c r="S4666" s="132"/>
      <c r="T4666" s="156"/>
      <c r="U4666" s="132"/>
      <c r="V4666" s="132">
        <v>408.92999999999995</v>
      </c>
      <c r="W4666">
        <v>103</v>
      </c>
      <c r="X4666" s="153" t="s">
        <v>1644</v>
      </c>
      <c r="Y4666" s="124" t="s">
        <v>55</v>
      </c>
      <c r="Z4666" s="308">
        <v>243</v>
      </c>
      <c r="AB4666" t="str">
        <f>IF(Table1[[#This Row],[TIPO2]]="costo", VLOOKUP(Table1[[#This Row],[PARTIDA PRESUPUESTAL]],'Cost Report'!G:G,1,0),"Balance")</f>
        <v>2494-063</v>
      </c>
      <c r="AC4666" s="118"/>
      <c r="AD4666" s="159">
        <f>+Table1[[#This Row],[SUBTOTAL]]+Table1[[#This Row],[IVA]]-Table1[[#This Row],[RET IVA]]-Table1[[#This Row],[RET ISR]]-Table1[[#This Row],[TOTAL]]</f>
        <v>0</v>
      </c>
      <c r="AE4666" s="152"/>
      <c r="AF4666" s="153"/>
      <c r="AG4666" s="126" t="s">
        <v>3420</v>
      </c>
      <c r="AK4666" s="306" t="str">
        <f>IF(ISNUMBER(Table1[[#This Row],[FECHA DE RECIBIDO]]), Table1[[#This Row],[FECHA DE RECIBIDO]]-DATE(2023,8,30), "")</f>
        <v/>
      </c>
    </row>
    <row r="4667" spans="1:37" ht="16.05" customHeight="1">
      <c r="A4667" s="150" t="s">
        <v>4615</v>
      </c>
      <c r="B4667" s="151">
        <v>1599</v>
      </c>
      <c r="C4667" s="126" t="s">
        <v>2546</v>
      </c>
      <c r="D4667">
        <v>3164</v>
      </c>
      <c r="E4667" s="126" t="s">
        <v>1603</v>
      </c>
      <c r="F4667" s="122" t="s">
        <v>1607</v>
      </c>
      <c r="G4667" s="122" t="s">
        <v>134</v>
      </c>
      <c r="H4667">
        <v>390</v>
      </c>
      <c r="I4667" s="122" t="s">
        <v>1546</v>
      </c>
      <c r="J4667" s="307" t="s">
        <v>214</v>
      </c>
      <c r="K4667" s="127" t="s">
        <v>4625</v>
      </c>
      <c r="L4667" s="151" t="s">
        <v>1579</v>
      </c>
      <c r="M4667">
        <v>518</v>
      </c>
      <c r="N4667" s="123">
        <v>17</v>
      </c>
      <c r="O4667">
        <v>3023</v>
      </c>
      <c r="P4667" s="132" t="s">
        <v>77</v>
      </c>
      <c r="Q4667" s="131">
        <v>2812.77</v>
      </c>
      <c r="R4667" s="131">
        <v>450.03</v>
      </c>
      <c r="S4667" s="131"/>
      <c r="T4667" s="155"/>
      <c r="U4667" s="131"/>
      <c r="V4667" s="131">
        <v>3262.8</v>
      </c>
      <c r="W4667">
        <v>103</v>
      </c>
      <c r="X4667" s="151" t="s">
        <v>1644</v>
      </c>
      <c r="Y4667" s="135" t="s">
        <v>55</v>
      </c>
      <c r="Z4667" s="307">
        <v>252</v>
      </c>
      <c r="AB4667" t="str">
        <f>IF(Table1[[#This Row],[TIPO2]]="costo", VLOOKUP(Table1[[#This Row],[PARTIDA PRESUPUESTAL]],'Cost Report'!G:G,1,0),"Balance")</f>
        <v>2494-071</v>
      </c>
      <c r="AC4667" s="118"/>
      <c r="AD4667" s="159">
        <f>+Table1[[#This Row],[SUBTOTAL]]+Table1[[#This Row],[IVA]]-Table1[[#This Row],[RET IVA]]-Table1[[#This Row],[RET ISR]]-Table1[[#This Row],[TOTAL]]</f>
        <v>0</v>
      </c>
      <c r="AE4667" s="150"/>
      <c r="AF4667" s="151"/>
      <c r="AG4667" s="126" t="s">
        <v>3420</v>
      </c>
      <c r="AK4667" s="306" t="str">
        <f>IF(ISNUMBER(Table1[[#This Row],[FECHA DE RECIBIDO]]), Table1[[#This Row],[FECHA DE RECIBIDO]]-DATE(2023,8,30), "")</f>
        <v/>
      </c>
    </row>
    <row r="4668" spans="1:37" ht="16.05" customHeight="1">
      <c r="A4668" s="152" t="s">
        <v>4615</v>
      </c>
      <c r="B4668" s="153">
        <v>1599</v>
      </c>
      <c r="C4668" s="126" t="s">
        <v>2546</v>
      </c>
      <c r="D4668">
        <v>3165</v>
      </c>
      <c r="E4668" s="126" t="s">
        <v>3356</v>
      </c>
      <c r="F4668" s="125" t="s">
        <v>1607</v>
      </c>
      <c r="G4668" s="125" t="s">
        <v>134</v>
      </c>
      <c r="H4668">
        <v>156</v>
      </c>
      <c r="I4668" s="125" t="s">
        <v>1546</v>
      </c>
      <c r="J4668" s="308" t="s">
        <v>214</v>
      </c>
      <c r="K4668" s="127" t="s">
        <v>4625</v>
      </c>
      <c r="L4668" s="153" t="s">
        <v>1579</v>
      </c>
      <c r="M4668">
        <v>207</v>
      </c>
      <c r="N4668" s="123">
        <v>17</v>
      </c>
      <c r="O4668">
        <v>3024</v>
      </c>
      <c r="P4668" s="132" t="s">
        <v>77</v>
      </c>
      <c r="Q4668" s="132">
        <v>578.66</v>
      </c>
      <c r="R4668" s="132">
        <v>92.59</v>
      </c>
      <c r="S4668" s="132"/>
      <c r="T4668" s="156"/>
      <c r="U4668" s="132"/>
      <c r="V4668" s="132">
        <v>671.25</v>
      </c>
      <c r="W4668">
        <v>103</v>
      </c>
      <c r="X4668" s="153" t="s">
        <v>1644</v>
      </c>
      <c r="Y4668" s="124" t="s">
        <v>55</v>
      </c>
      <c r="Z4668" s="308">
        <v>245</v>
      </c>
      <c r="AB4668" t="str">
        <f>IF(Table1[[#This Row],[TIPO2]]="costo", VLOOKUP(Table1[[#This Row],[PARTIDA PRESUPUESTAL]],'Cost Report'!G:G,1,0),"Balance")</f>
        <v>2494-071</v>
      </c>
      <c r="AC4668" s="118"/>
      <c r="AD4668" s="159">
        <f>+Table1[[#This Row],[SUBTOTAL]]+Table1[[#This Row],[IVA]]-Table1[[#This Row],[RET IVA]]-Table1[[#This Row],[RET ISR]]-Table1[[#This Row],[TOTAL]]</f>
        <v>0</v>
      </c>
      <c r="AE4668" s="152"/>
      <c r="AF4668" s="153"/>
      <c r="AG4668" s="126" t="s">
        <v>3420</v>
      </c>
      <c r="AK4668" s="306" t="str">
        <f>IF(ISNUMBER(Table1[[#This Row],[FECHA DE RECIBIDO]]), Table1[[#This Row],[FECHA DE RECIBIDO]]-DATE(2023,8,30), "")</f>
        <v/>
      </c>
    </row>
    <row r="4669" spans="1:37" ht="16.05" customHeight="1">
      <c r="A4669" s="150" t="s">
        <v>4615</v>
      </c>
      <c r="B4669" s="151">
        <v>1599</v>
      </c>
      <c r="C4669" s="126" t="s">
        <v>610</v>
      </c>
      <c r="D4669">
        <v>3166</v>
      </c>
      <c r="E4669" s="126" t="s">
        <v>1994</v>
      </c>
      <c r="F4669" s="122" t="s">
        <v>1607</v>
      </c>
      <c r="G4669" s="122" t="s">
        <v>134</v>
      </c>
      <c r="H4669">
        <v>610</v>
      </c>
      <c r="I4669" s="122" t="s">
        <v>1546</v>
      </c>
      <c r="J4669" s="307" t="s">
        <v>214</v>
      </c>
      <c r="K4669" s="127" t="s">
        <v>4625</v>
      </c>
      <c r="L4669" s="151" t="s">
        <v>1579</v>
      </c>
      <c r="M4669">
        <v>864</v>
      </c>
      <c r="N4669" s="123">
        <v>17</v>
      </c>
      <c r="O4669">
        <v>3025</v>
      </c>
      <c r="P4669" s="132" t="s">
        <v>77</v>
      </c>
      <c r="Q4669" s="131">
        <v>534.05999999999995</v>
      </c>
      <c r="R4669" s="131">
        <v>85.45</v>
      </c>
      <c r="S4669" s="131"/>
      <c r="T4669" s="155"/>
      <c r="U4669" s="131"/>
      <c r="V4669" s="131">
        <v>619.51</v>
      </c>
      <c r="W4669">
        <v>103</v>
      </c>
      <c r="X4669" s="151" t="s">
        <v>1644</v>
      </c>
      <c r="Y4669" s="135" t="s">
        <v>55</v>
      </c>
      <c r="Z4669" s="307">
        <v>245</v>
      </c>
      <c r="AB4669" t="str">
        <f>IF(Table1[[#This Row],[TIPO2]]="costo", VLOOKUP(Table1[[#This Row],[PARTIDA PRESUPUESTAL]],'Cost Report'!G:G,1,0),"Balance")</f>
        <v>2485-003</v>
      </c>
      <c r="AC4669" s="118"/>
      <c r="AD4669" s="159">
        <f>+Table1[[#This Row],[SUBTOTAL]]+Table1[[#This Row],[IVA]]-Table1[[#This Row],[RET IVA]]-Table1[[#This Row],[RET ISR]]-Table1[[#This Row],[TOTAL]]</f>
        <v>0</v>
      </c>
      <c r="AE4669" s="150"/>
      <c r="AF4669" s="151"/>
      <c r="AG4669" s="126" t="s">
        <v>3420</v>
      </c>
      <c r="AK4669" s="306" t="str">
        <f>IF(ISNUMBER(Table1[[#This Row],[FECHA DE RECIBIDO]]), Table1[[#This Row],[FECHA DE RECIBIDO]]-DATE(2023,8,30), "")</f>
        <v/>
      </c>
    </row>
    <row r="4670" spans="1:37" ht="16.05" customHeight="1">
      <c r="A4670" s="152" t="s">
        <v>4615</v>
      </c>
      <c r="B4670" s="153">
        <v>1599</v>
      </c>
      <c r="C4670" s="126" t="s">
        <v>2532</v>
      </c>
      <c r="D4670">
        <v>3167</v>
      </c>
      <c r="E4670" s="126" t="s">
        <v>3272</v>
      </c>
      <c r="F4670" s="125" t="s">
        <v>1607</v>
      </c>
      <c r="G4670" s="125" t="s">
        <v>134</v>
      </c>
      <c r="H4670">
        <v>286</v>
      </c>
      <c r="I4670" s="125" t="s">
        <v>1546</v>
      </c>
      <c r="J4670" s="308" t="s">
        <v>214</v>
      </c>
      <c r="K4670" s="127" t="s">
        <v>4625</v>
      </c>
      <c r="L4670" s="153" t="s">
        <v>1579</v>
      </c>
      <c r="M4670">
        <v>380</v>
      </c>
      <c r="N4670" s="123">
        <v>17</v>
      </c>
      <c r="O4670">
        <v>3026</v>
      </c>
      <c r="P4670" s="132" t="s">
        <v>77</v>
      </c>
      <c r="Q4670" s="132">
        <v>483.41</v>
      </c>
      <c r="R4670" s="132">
        <v>77.34</v>
      </c>
      <c r="S4670" s="132"/>
      <c r="T4670" s="156"/>
      <c r="U4670" s="132"/>
      <c r="V4670" s="132">
        <v>560.75</v>
      </c>
      <c r="W4670">
        <v>103</v>
      </c>
      <c r="X4670" s="153" t="s">
        <v>1644</v>
      </c>
      <c r="Y4670" s="124" t="s">
        <v>55</v>
      </c>
      <c r="Z4670" s="308">
        <v>254</v>
      </c>
      <c r="AB4670" t="str">
        <f>IF(Table1[[#This Row],[TIPO2]]="costo", VLOOKUP(Table1[[#This Row],[PARTIDA PRESUPUESTAL]],'Cost Report'!G:G,1,0),"Balance")</f>
        <v>2494-043</v>
      </c>
      <c r="AC4670" s="118"/>
      <c r="AD4670" s="159">
        <f>+Table1[[#This Row],[SUBTOTAL]]+Table1[[#This Row],[IVA]]-Table1[[#This Row],[RET IVA]]-Table1[[#This Row],[RET ISR]]-Table1[[#This Row],[TOTAL]]</f>
        <v>0</v>
      </c>
      <c r="AE4670" s="152"/>
      <c r="AF4670" s="153"/>
      <c r="AG4670" s="126" t="s">
        <v>3420</v>
      </c>
      <c r="AK4670" s="306" t="str">
        <f>IF(ISNUMBER(Table1[[#This Row],[FECHA DE RECIBIDO]]), Table1[[#This Row],[FECHA DE RECIBIDO]]-DATE(2023,8,30), "")</f>
        <v/>
      </c>
    </row>
    <row r="4671" spans="1:37" ht="16.05" customHeight="1">
      <c r="A4671" s="150" t="s">
        <v>4615</v>
      </c>
      <c r="B4671" s="151">
        <v>1599</v>
      </c>
      <c r="C4671" s="126" t="s">
        <v>610</v>
      </c>
      <c r="D4671">
        <v>3168</v>
      </c>
      <c r="E4671" s="126" t="s">
        <v>1994</v>
      </c>
      <c r="F4671" s="122" t="s">
        <v>1607</v>
      </c>
      <c r="G4671" s="122" t="s">
        <v>134</v>
      </c>
      <c r="H4671">
        <v>610</v>
      </c>
      <c r="I4671" s="122" t="s">
        <v>1546</v>
      </c>
      <c r="J4671" s="307" t="s">
        <v>214</v>
      </c>
      <c r="K4671" s="127" t="s">
        <v>4625</v>
      </c>
      <c r="L4671" s="151" t="s">
        <v>1579</v>
      </c>
      <c r="M4671">
        <v>864</v>
      </c>
      <c r="N4671" s="123">
        <v>17</v>
      </c>
      <c r="O4671">
        <v>3027</v>
      </c>
      <c r="P4671" s="132" t="s">
        <v>77</v>
      </c>
      <c r="Q4671" s="131">
        <v>1144.3900000000001</v>
      </c>
      <c r="R4671" s="131">
        <v>183.11</v>
      </c>
      <c r="S4671" s="131"/>
      <c r="T4671" s="155"/>
      <c r="U4671" s="131"/>
      <c r="V4671" s="131">
        <v>1327.5</v>
      </c>
      <c r="W4671">
        <v>103</v>
      </c>
      <c r="X4671" s="151" t="s">
        <v>1644</v>
      </c>
      <c r="Y4671" s="135" t="s">
        <v>55</v>
      </c>
      <c r="Z4671" s="307">
        <v>245</v>
      </c>
      <c r="AB4671" t="str">
        <f>IF(Table1[[#This Row],[TIPO2]]="costo", VLOOKUP(Table1[[#This Row],[PARTIDA PRESUPUESTAL]],'Cost Report'!G:G,1,0),"Balance")</f>
        <v>2485-003</v>
      </c>
      <c r="AC4671" s="118"/>
      <c r="AD4671" s="159">
        <f>+Table1[[#This Row],[SUBTOTAL]]+Table1[[#This Row],[IVA]]-Table1[[#This Row],[RET IVA]]-Table1[[#This Row],[RET ISR]]-Table1[[#This Row],[TOTAL]]</f>
        <v>0</v>
      </c>
      <c r="AE4671" s="150"/>
      <c r="AF4671" s="151"/>
      <c r="AG4671" s="126" t="s">
        <v>3420</v>
      </c>
      <c r="AK4671" s="306" t="str">
        <f>IF(ISNUMBER(Table1[[#This Row],[FECHA DE RECIBIDO]]), Table1[[#This Row],[FECHA DE RECIBIDO]]-DATE(2023,8,30), "")</f>
        <v/>
      </c>
    </row>
    <row r="4672" spans="1:37" ht="16.05" customHeight="1">
      <c r="A4672" s="152" t="s">
        <v>4615</v>
      </c>
      <c r="B4672" s="153">
        <v>1599</v>
      </c>
      <c r="C4672" s="126" t="s">
        <v>2546</v>
      </c>
      <c r="D4672">
        <v>3169</v>
      </c>
      <c r="E4672" s="126" t="s">
        <v>1614</v>
      </c>
      <c r="F4672" s="125" t="s">
        <v>1607</v>
      </c>
      <c r="G4672" s="125" t="s">
        <v>134</v>
      </c>
      <c r="H4672">
        <v>172</v>
      </c>
      <c r="I4672" s="125" t="s">
        <v>1546</v>
      </c>
      <c r="J4672" s="308" t="s">
        <v>214</v>
      </c>
      <c r="K4672" s="127" t="s">
        <v>4625</v>
      </c>
      <c r="L4672" s="153" t="s">
        <v>1579</v>
      </c>
      <c r="M4672">
        <v>229</v>
      </c>
      <c r="N4672" s="123">
        <v>17</v>
      </c>
      <c r="O4672">
        <v>3028</v>
      </c>
      <c r="P4672" s="132" t="s">
        <v>77</v>
      </c>
      <c r="Q4672" s="132">
        <v>1388.85</v>
      </c>
      <c r="R4672" s="132">
        <v>222.22</v>
      </c>
      <c r="S4672" s="132"/>
      <c r="T4672" s="156"/>
      <c r="U4672" s="132"/>
      <c r="V4672" s="132">
        <v>1611.07</v>
      </c>
      <c r="W4672">
        <v>103</v>
      </c>
      <c r="X4672" s="153" t="s">
        <v>1644</v>
      </c>
      <c r="Y4672" s="124" t="s">
        <v>55</v>
      </c>
      <c r="Z4672" s="308">
        <v>246</v>
      </c>
      <c r="AB4672" t="str">
        <f>IF(Table1[[#This Row],[TIPO2]]="costo", VLOOKUP(Table1[[#This Row],[PARTIDA PRESUPUESTAL]],'Cost Report'!G:G,1,0),"Balance")</f>
        <v>2494-071</v>
      </c>
      <c r="AC4672" s="118"/>
      <c r="AD4672" s="159">
        <f>+Table1[[#This Row],[SUBTOTAL]]+Table1[[#This Row],[IVA]]-Table1[[#This Row],[RET IVA]]-Table1[[#This Row],[RET ISR]]-Table1[[#This Row],[TOTAL]]</f>
        <v>0</v>
      </c>
      <c r="AE4672" s="152"/>
      <c r="AF4672" s="153"/>
      <c r="AG4672" s="126" t="s">
        <v>3420</v>
      </c>
      <c r="AK4672" s="306" t="str">
        <f>IF(ISNUMBER(Table1[[#This Row],[FECHA DE RECIBIDO]]), Table1[[#This Row],[FECHA DE RECIBIDO]]-DATE(2023,8,30), "")</f>
        <v/>
      </c>
    </row>
    <row r="4673" spans="1:37" ht="16.05" customHeight="1">
      <c r="A4673" s="150" t="s">
        <v>4615</v>
      </c>
      <c r="B4673" s="151">
        <v>1599</v>
      </c>
      <c r="C4673" s="126" t="s">
        <v>2455</v>
      </c>
      <c r="D4673">
        <v>3170</v>
      </c>
      <c r="E4673" s="126" t="s">
        <v>3278</v>
      </c>
      <c r="F4673" s="122" t="s">
        <v>1607</v>
      </c>
      <c r="G4673" s="122" t="s">
        <v>134</v>
      </c>
      <c r="H4673">
        <v>56</v>
      </c>
      <c r="I4673" s="122" t="s">
        <v>1546</v>
      </c>
      <c r="J4673" s="307" t="s">
        <v>214</v>
      </c>
      <c r="K4673" s="127" t="s">
        <v>4625</v>
      </c>
      <c r="L4673" s="151" t="s">
        <v>1579</v>
      </c>
      <c r="M4673">
        <v>78</v>
      </c>
      <c r="N4673" s="123">
        <v>17</v>
      </c>
      <c r="O4673">
        <v>3029</v>
      </c>
      <c r="P4673" s="132" t="s">
        <v>77</v>
      </c>
      <c r="Q4673" s="131">
        <v>143.69999999999999</v>
      </c>
      <c r="R4673" s="131"/>
      <c r="S4673" s="131"/>
      <c r="T4673" s="155"/>
      <c r="U4673" s="131"/>
      <c r="V4673" s="131">
        <v>143.69999999999999</v>
      </c>
      <c r="W4673">
        <v>103</v>
      </c>
      <c r="X4673" s="151" t="s">
        <v>1644</v>
      </c>
      <c r="Y4673" s="135" t="s">
        <v>55</v>
      </c>
      <c r="Z4673" s="307">
        <v>245</v>
      </c>
      <c r="AB4673" t="str">
        <f>IF(Table1[[#This Row],[TIPO2]]="costo", VLOOKUP(Table1[[#This Row],[PARTIDA PRESUPUESTAL]],'Cost Report'!G:G,1,0),"Balance")</f>
        <v>2285-003</v>
      </c>
      <c r="AC4673" s="118"/>
      <c r="AD4673" s="159">
        <f>+Table1[[#This Row],[SUBTOTAL]]+Table1[[#This Row],[IVA]]-Table1[[#This Row],[RET IVA]]-Table1[[#This Row],[RET ISR]]-Table1[[#This Row],[TOTAL]]</f>
        <v>0</v>
      </c>
      <c r="AE4673" s="150"/>
      <c r="AF4673" s="151"/>
      <c r="AG4673" s="126" t="s">
        <v>3420</v>
      </c>
      <c r="AK4673" s="306" t="str">
        <f>IF(ISNUMBER(Table1[[#This Row],[FECHA DE RECIBIDO]]), Table1[[#This Row],[FECHA DE RECIBIDO]]-DATE(2023,8,30), "")</f>
        <v/>
      </c>
    </row>
    <row r="4674" spans="1:37" ht="16.05" customHeight="1">
      <c r="A4674" s="152" t="s">
        <v>4615</v>
      </c>
      <c r="B4674" s="153">
        <v>1599</v>
      </c>
      <c r="C4674" s="126" t="s">
        <v>2455</v>
      </c>
      <c r="D4674">
        <v>3171</v>
      </c>
      <c r="E4674" s="126" t="s">
        <v>3278</v>
      </c>
      <c r="F4674" s="125" t="s">
        <v>1607</v>
      </c>
      <c r="G4674" s="125" t="s">
        <v>134</v>
      </c>
      <c r="H4674">
        <v>56</v>
      </c>
      <c r="I4674" s="125" t="s">
        <v>1546</v>
      </c>
      <c r="J4674" s="308" t="s">
        <v>214</v>
      </c>
      <c r="K4674" s="127" t="s">
        <v>4625</v>
      </c>
      <c r="L4674" s="153" t="s">
        <v>1579</v>
      </c>
      <c r="M4674">
        <v>78</v>
      </c>
      <c r="N4674" s="123">
        <v>17</v>
      </c>
      <c r="O4674">
        <v>3030</v>
      </c>
      <c r="P4674" s="132" t="s">
        <v>77</v>
      </c>
      <c r="Q4674" s="132">
        <v>257.76</v>
      </c>
      <c r="R4674" s="132">
        <v>41.24</v>
      </c>
      <c r="S4674" s="132"/>
      <c r="T4674" s="156"/>
      <c r="U4674" s="132"/>
      <c r="V4674" s="132">
        <v>299</v>
      </c>
      <c r="W4674">
        <v>103</v>
      </c>
      <c r="X4674" s="153" t="s">
        <v>1644</v>
      </c>
      <c r="Y4674" s="124" t="s">
        <v>55</v>
      </c>
      <c r="Z4674" s="308">
        <v>246</v>
      </c>
      <c r="AB4674" t="str">
        <f>IF(Table1[[#This Row],[TIPO2]]="costo", VLOOKUP(Table1[[#This Row],[PARTIDA PRESUPUESTAL]],'Cost Report'!G:G,1,0),"Balance")</f>
        <v>2285-003</v>
      </c>
      <c r="AC4674" s="118"/>
      <c r="AD4674" s="159">
        <f>+Table1[[#This Row],[SUBTOTAL]]+Table1[[#This Row],[IVA]]-Table1[[#This Row],[RET IVA]]-Table1[[#This Row],[RET ISR]]-Table1[[#This Row],[TOTAL]]</f>
        <v>0</v>
      </c>
      <c r="AE4674" s="152"/>
      <c r="AF4674" s="153"/>
      <c r="AG4674" s="126" t="s">
        <v>3420</v>
      </c>
      <c r="AK4674" s="306" t="str">
        <f>IF(ISNUMBER(Table1[[#This Row],[FECHA DE RECIBIDO]]), Table1[[#This Row],[FECHA DE RECIBIDO]]-DATE(2023,8,30), "")</f>
        <v/>
      </c>
    </row>
    <row r="4675" spans="1:37" ht="16.05" customHeight="1">
      <c r="A4675" s="150" t="s">
        <v>4615</v>
      </c>
      <c r="B4675" s="151">
        <v>1599</v>
      </c>
      <c r="C4675" s="126" t="s">
        <v>2546</v>
      </c>
      <c r="D4675">
        <v>3172</v>
      </c>
      <c r="E4675" s="126" t="s">
        <v>1603</v>
      </c>
      <c r="F4675" s="122" t="s">
        <v>1607</v>
      </c>
      <c r="G4675" s="122" t="s">
        <v>134</v>
      </c>
      <c r="H4675">
        <v>274</v>
      </c>
      <c r="I4675" s="122" t="s">
        <v>1546</v>
      </c>
      <c r="J4675" s="307" t="s">
        <v>214</v>
      </c>
      <c r="K4675" s="127" t="s">
        <v>4625</v>
      </c>
      <c r="L4675" s="151" t="s">
        <v>1579</v>
      </c>
      <c r="M4675">
        <v>365</v>
      </c>
      <c r="N4675" s="123">
        <v>17</v>
      </c>
      <c r="O4675">
        <v>3031</v>
      </c>
      <c r="P4675" s="132" t="s">
        <v>77</v>
      </c>
      <c r="Q4675" s="131">
        <v>1397.24</v>
      </c>
      <c r="R4675" s="131">
        <v>223.56</v>
      </c>
      <c r="S4675" s="131"/>
      <c r="T4675" s="155"/>
      <c r="U4675" s="131"/>
      <c r="V4675" s="131">
        <v>1620.8</v>
      </c>
      <c r="W4675">
        <v>103</v>
      </c>
      <c r="X4675" s="151" t="s">
        <v>1644</v>
      </c>
      <c r="Y4675" s="135" t="s">
        <v>55</v>
      </c>
      <c r="Z4675" s="307">
        <v>246</v>
      </c>
      <c r="AB4675" t="str">
        <f>IF(Table1[[#This Row],[TIPO2]]="costo", VLOOKUP(Table1[[#This Row],[PARTIDA PRESUPUESTAL]],'Cost Report'!G:G,1,0),"Balance")</f>
        <v>2494-071</v>
      </c>
      <c r="AC4675" s="118"/>
      <c r="AD4675" s="159">
        <f>+Table1[[#This Row],[SUBTOTAL]]+Table1[[#This Row],[IVA]]-Table1[[#This Row],[RET IVA]]-Table1[[#This Row],[RET ISR]]-Table1[[#This Row],[TOTAL]]</f>
        <v>0</v>
      </c>
      <c r="AE4675" s="150"/>
      <c r="AF4675" s="151"/>
      <c r="AG4675" s="126" t="s">
        <v>3420</v>
      </c>
      <c r="AK4675" s="306" t="str">
        <f>IF(ISNUMBER(Table1[[#This Row],[FECHA DE RECIBIDO]]), Table1[[#This Row],[FECHA DE RECIBIDO]]-DATE(2023,8,30), "")</f>
        <v/>
      </c>
    </row>
    <row r="4676" spans="1:37" ht="16.05" customHeight="1">
      <c r="A4676" s="152" t="s">
        <v>4615</v>
      </c>
      <c r="B4676" s="153">
        <v>1599</v>
      </c>
      <c r="C4676" s="126" t="s">
        <v>610</v>
      </c>
      <c r="D4676">
        <v>3173</v>
      </c>
      <c r="E4676" s="126" t="s">
        <v>1994</v>
      </c>
      <c r="F4676" s="125" t="s">
        <v>1607</v>
      </c>
      <c r="G4676" s="125" t="s">
        <v>134</v>
      </c>
      <c r="H4676">
        <v>610</v>
      </c>
      <c r="I4676" s="125" t="s">
        <v>1546</v>
      </c>
      <c r="J4676" s="308" t="s">
        <v>214</v>
      </c>
      <c r="K4676" s="127" t="s">
        <v>4625</v>
      </c>
      <c r="L4676" s="153" t="s">
        <v>1579</v>
      </c>
      <c r="M4676">
        <v>864</v>
      </c>
      <c r="N4676" s="123">
        <v>17</v>
      </c>
      <c r="O4676">
        <v>3032</v>
      </c>
      <c r="P4676" s="132" t="s">
        <v>77</v>
      </c>
      <c r="Q4676" s="132">
        <v>881.91</v>
      </c>
      <c r="R4676" s="132">
        <v>141.1</v>
      </c>
      <c r="S4676" s="132"/>
      <c r="T4676" s="156"/>
      <c r="U4676" s="132"/>
      <c r="V4676" s="132">
        <v>1023.01</v>
      </c>
      <c r="W4676">
        <v>103</v>
      </c>
      <c r="X4676" s="153" t="s">
        <v>1644</v>
      </c>
      <c r="Y4676" s="124" t="s">
        <v>55</v>
      </c>
      <c r="Z4676" s="308">
        <v>246</v>
      </c>
      <c r="AB4676" t="str">
        <f>IF(Table1[[#This Row],[TIPO2]]="costo", VLOOKUP(Table1[[#This Row],[PARTIDA PRESUPUESTAL]],'Cost Report'!G:G,1,0),"Balance")</f>
        <v>2485-003</v>
      </c>
      <c r="AC4676" s="118"/>
      <c r="AD4676" s="159">
        <f>+Table1[[#This Row],[SUBTOTAL]]+Table1[[#This Row],[IVA]]-Table1[[#This Row],[RET IVA]]-Table1[[#This Row],[RET ISR]]-Table1[[#This Row],[TOTAL]]</f>
        <v>0</v>
      </c>
      <c r="AE4676" s="152"/>
      <c r="AF4676" s="153"/>
      <c r="AG4676" s="126" t="s">
        <v>3420</v>
      </c>
      <c r="AK4676" s="306" t="str">
        <f>IF(ISNUMBER(Table1[[#This Row],[FECHA DE RECIBIDO]]), Table1[[#This Row],[FECHA DE RECIBIDO]]-DATE(2023,8,30), "")</f>
        <v/>
      </c>
    </row>
    <row r="4677" spans="1:37" ht="16.05" customHeight="1">
      <c r="A4677" s="150" t="s">
        <v>4615</v>
      </c>
      <c r="B4677" s="151">
        <v>1599</v>
      </c>
      <c r="C4677" s="126" t="s">
        <v>2466</v>
      </c>
      <c r="D4677">
        <v>3174</v>
      </c>
      <c r="E4677" s="126" t="s">
        <v>3363</v>
      </c>
      <c r="F4677" s="122" t="s">
        <v>1607</v>
      </c>
      <c r="G4677" s="122" t="s">
        <v>134</v>
      </c>
      <c r="H4677">
        <v>99</v>
      </c>
      <c r="I4677" s="122" t="s">
        <v>1546</v>
      </c>
      <c r="J4677" s="307" t="s">
        <v>214</v>
      </c>
      <c r="K4677" s="127" t="s">
        <v>4625</v>
      </c>
      <c r="L4677" s="151" t="s">
        <v>1579</v>
      </c>
      <c r="M4677">
        <v>134</v>
      </c>
      <c r="N4677" s="123">
        <v>17</v>
      </c>
      <c r="O4677">
        <v>3033</v>
      </c>
      <c r="P4677" s="132" t="s">
        <v>77</v>
      </c>
      <c r="Q4677" s="131">
        <v>875</v>
      </c>
      <c r="R4677" s="131">
        <v>140</v>
      </c>
      <c r="S4677" s="131"/>
      <c r="T4677" s="155"/>
      <c r="U4677" s="131"/>
      <c r="V4677" s="131">
        <v>1015</v>
      </c>
      <c r="W4677">
        <v>103</v>
      </c>
      <c r="X4677" s="151" t="s">
        <v>1644</v>
      </c>
      <c r="Y4677" s="135" t="s">
        <v>55</v>
      </c>
      <c r="Z4677" s="307">
        <v>246</v>
      </c>
      <c r="AB4677" t="str">
        <f>IF(Table1[[#This Row],[TIPO2]]="costo", VLOOKUP(Table1[[#This Row],[PARTIDA PRESUPUESTAL]],'Cost Report'!G:G,1,0),"Balance")</f>
        <v>2394-005</v>
      </c>
      <c r="AC4677" s="118"/>
      <c r="AD4677" s="159">
        <f>+Table1[[#This Row],[SUBTOTAL]]+Table1[[#This Row],[IVA]]-Table1[[#This Row],[RET IVA]]-Table1[[#This Row],[RET ISR]]-Table1[[#This Row],[TOTAL]]</f>
        <v>0</v>
      </c>
      <c r="AE4677" s="150"/>
      <c r="AF4677" s="151"/>
      <c r="AG4677" s="126" t="s">
        <v>3420</v>
      </c>
      <c r="AK4677" s="306" t="str">
        <f>IF(ISNUMBER(Table1[[#This Row],[FECHA DE RECIBIDO]]), Table1[[#This Row],[FECHA DE RECIBIDO]]-DATE(2023,8,30), "")</f>
        <v/>
      </c>
    </row>
    <row r="4678" spans="1:37" ht="16.05" customHeight="1">
      <c r="A4678" s="152" t="s">
        <v>4615</v>
      </c>
      <c r="B4678" s="153">
        <v>1599</v>
      </c>
      <c r="C4678" s="126" t="s">
        <v>2458</v>
      </c>
      <c r="D4678">
        <v>3175</v>
      </c>
      <c r="E4678" s="126" t="s">
        <v>3272</v>
      </c>
      <c r="F4678" s="125" t="s">
        <v>1607</v>
      </c>
      <c r="G4678" s="125" t="s">
        <v>134</v>
      </c>
      <c r="H4678">
        <v>99</v>
      </c>
      <c r="I4678" s="125" t="s">
        <v>1546</v>
      </c>
      <c r="J4678" s="308" t="s">
        <v>214</v>
      </c>
      <c r="K4678" s="127" t="s">
        <v>4625</v>
      </c>
      <c r="L4678" s="153" t="s">
        <v>1579</v>
      </c>
      <c r="M4678">
        <v>134</v>
      </c>
      <c r="N4678" s="123">
        <v>17</v>
      </c>
      <c r="O4678">
        <v>3034</v>
      </c>
      <c r="P4678" s="132" t="s">
        <v>77</v>
      </c>
      <c r="Q4678" s="132">
        <v>3996.55</v>
      </c>
      <c r="R4678" s="132">
        <v>639.45000000000005</v>
      </c>
      <c r="S4678" s="132"/>
      <c r="T4678" s="156"/>
      <c r="U4678" s="132"/>
      <c r="V4678" s="132">
        <v>4636</v>
      </c>
      <c r="W4678">
        <v>103</v>
      </c>
      <c r="X4678" s="153" t="s">
        <v>1644</v>
      </c>
      <c r="Y4678" s="124" t="s">
        <v>55</v>
      </c>
      <c r="Z4678" s="308">
        <v>250</v>
      </c>
      <c r="AB4678" t="str">
        <f>IF(Table1[[#This Row],[TIPO2]]="costo", VLOOKUP(Table1[[#This Row],[PARTIDA PRESUPUESTAL]],'Cost Report'!G:G,1,0),"Balance")</f>
        <v>2311-003</v>
      </c>
      <c r="AC4678" s="118"/>
      <c r="AD4678" s="159">
        <f>+Table1[[#This Row],[SUBTOTAL]]+Table1[[#This Row],[IVA]]-Table1[[#This Row],[RET IVA]]-Table1[[#This Row],[RET ISR]]-Table1[[#This Row],[TOTAL]]</f>
        <v>0</v>
      </c>
      <c r="AE4678" s="152"/>
      <c r="AF4678" s="153"/>
      <c r="AG4678" s="126" t="s">
        <v>3420</v>
      </c>
      <c r="AK4678" s="306" t="str">
        <f>IF(ISNUMBER(Table1[[#This Row],[FECHA DE RECIBIDO]]), Table1[[#This Row],[FECHA DE RECIBIDO]]-DATE(2023,8,30), "")</f>
        <v/>
      </c>
    </row>
    <row r="4679" spans="1:37" ht="16.05" customHeight="1">
      <c r="A4679" s="150" t="s">
        <v>4616</v>
      </c>
      <c r="B4679" s="151">
        <v>1600</v>
      </c>
      <c r="C4679" s="126" t="s">
        <v>2565</v>
      </c>
      <c r="D4679">
        <v>3176</v>
      </c>
      <c r="E4679" s="126" t="s">
        <v>4111</v>
      </c>
      <c r="F4679" s="122" t="s">
        <v>1382</v>
      </c>
      <c r="G4679" s="122" t="e">
        <v>#N/A</v>
      </c>
      <c r="H4679">
        <v>31</v>
      </c>
      <c r="I4679" s="122" t="s">
        <v>1546</v>
      </c>
      <c r="J4679" s="307" t="s">
        <v>214</v>
      </c>
      <c r="K4679" s="127" t="s">
        <v>4625</v>
      </c>
      <c r="L4679" s="151" t="s">
        <v>1579</v>
      </c>
      <c r="M4679">
        <v>69</v>
      </c>
      <c r="N4679" s="123">
        <v>17</v>
      </c>
      <c r="O4679">
        <v>3035</v>
      </c>
      <c r="P4679" s="132" t="s">
        <v>77</v>
      </c>
      <c r="Q4679" s="131">
        <v>18.97</v>
      </c>
      <c r="R4679" s="131">
        <v>3.04</v>
      </c>
      <c r="S4679" s="131"/>
      <c r="T4679" s="155"/>
      <c r="U4679" s="131"/>
      <c r="V4679" s="131">
        <v>22.009999999999998</v>
      </c>
      <c r="W4679">
        <v>147</v>
      </c>
      <c r="X4679" s="151" t="s">
        <v>1644</v>
      </c>
      <c r="Y4679" s="135" t="s">
        <v>55</v>
      </c>
      <c r="Z4679" s="307">
        <v>244</v>
      </c>
      <c r="AB4679" t="str">
        <f>IF(Table1[[#This Row],[TIPO2]]="costo", VLOOKUP(Table1[[#This Row],[PARTIDA PRESUPUESTAL]],'Cost Report'!G:G,1,0),"Balance")</f>
        <v>2585-003</v>
      </c>
      <c r="AC4679" s="118"/>
      <c r="AD4679" s="159">
        <f>+Table1[[#This Row],[SUBTOTAL]]+Table1[[#This Row],[IVA]]-Table1[[#This Row],[RET IVA]]-Table1[[#This Row],[RET ISR]]-Table1[[#This Row],[TOTAL]]</f>
        <v>0</v>
      </c>
      <c r="AE4679" s="150"/>
      <c r="AF4679" s="151"/>
      <c r="AG4679" s="126" t="s">
        <v>3420</v>
      </c>
      <c r="AK4679" s="306" t="str">
        <f>IF(ISNUMBER(Table1[[#This Row],[FECHA DE RECIBIDO]]), Table1[[#This Row],[FECHA DE RECIBIDO]]-DATE(2023,8,30), "")</f>
        <v/>
      </c>
    </row>
    <row r="4680" spans="1:37" ht="16.05" customHeight="1">
      <c r="A4680" s="152" t="s">
        <v>4616</v>
      </c>
      <c r="B4680" s="153">
        <v>1600</v>
      </c>
      <c r="C4680" s="126" t="s">
        <v>2565</v>
      </c>
      <c r="D4680">
        <v>3177</v>
      </c>
      <c r="E4680" s="126" t="s">
        <v>1608</v>
      </c>
      <c r="F4680" s="125" t="s">
        <v>1607</v>
      </c>
      <c r="G4680" s="125" t="s">
        <v>134</v>
      </c>
      <c r="H4680">
        <v>831</v>
      </c>
      <c r="I4680" s="125" t="s">
        <v>1546</v>
      </c>
      <c r="J4680" s="308" t="s">
        <v>214</v>
      </c>
      <c r="K4680" s="127" t="s">
        <v>4625</v>
      </c>
      <c r="L4680" s="153" t="s">
        <v>1579</v>
      </c>
      <c r="M4680">
        <v>1152</v>
      </c>
      <c r="N4680" s="123">
        <v>17</v>
      </c>
      <c r="O4680">
        <v>3036</v>
      </c>
      <c r="P4680" s="132" t="s">
        <v>77</v>
      </c>
      <c r="Q4680" s="132">
        <v>413.82</v>
      </c>
      <c r="R4680" s="132">
        <v>66.180000000000007</v>
      </c>
      <c r="S4680" s="132"/>
      <c r="T4680" s="156"/>
      <c r="U4680" s="132"/>
      <c r="V4680" s="132">
        <v>480</v>
      </c>
      <c r="W4680">
        <v>147</v>
      </c>
      <c r="X4680" s="153" t="s">
        <v>1644</v>
      </c>
      <c r="Y4680" s="124" t="s">
        <v>55</v>
      </c>
      <c r="Z4680" s="308">
        <v>241</v>
      </c>
      <c r="AB4680" t="str">
        <f>IF(Table1[[#This Row],[TIPO2]]="costo", VLOOKUP(Table1[[#This Row],[PARTIDA PRESUPUESTAL]],'Cost Report'!G:G,1,0),"Balance")</f>
        <v>2585-003</v>
      </c>
      <c r="AC4680" s="118"/>
      <c r="AD4680" s="159">
        <f>+Table1[[#This Row],[SUBTOTAL]]+Table1[[#This Row],[IVA]]-Table1[[#This Row],[RET IVA]]-Table1[[#This Row],[RET ISR]]-Table1[[#This Row],[TOTAL]]</f>
        <v>0</v>
      </c>
      <c r="AE4680" s="152"/>
      <c r="AF4680" s="153"/>
      <c r="AG4680" s="126" t="s">
        <v>3420</v>
      </c>
      <c r="AK4680" s="306" t="str">
        <f>IF(ISNUMBER(Table1[[#This Row],[FECHA DE RECIBIDO]]), Table1[[#This Row],[FECHA DE RECIBIDO]]-DATE(2023,8,30), "")</f>
        <v/>
      </c>
    </row>
    <row r="4681" spans="1:37" ht="16.05" customHeight="1">
      <c r="A4681" s="150" t="s">
        <v>4616</v>
      </c>
      <c r="B4681" s="151">
        <v>1600</v>
      </c>
      <c r="C4681" s="126" t="s">
        <v>2566</v>
      </c>
      <c r="D4681">
        <v>3178</v>
      </c>
      <c r="E4681" s="126" t="s">
        <v>3356</v>
      </c>
      <c r="F4681" s="122" t="s">
        <v>1607</v>
      </c>
      <c r="G4681" s="122" t="s">
        <v>134</v>
      </c>
      <c r="H4681">
        <v>173</v>
      </c>
      <c r="I4681" s="122" t="s">
        <v>1546</v>
      </c>
      <c r="J4681" s="307" t="s">
        <v>214</v>
      </c>
      <c r="K4681" s="127" t="s">
        <v>4625</v>
      </c>
      <c r="L4681" s="151" t="s">
        <v>1579</v>
      </c>
      <c r="M4681">
        <v>230</v>
      </c>
      <c r="N4681" s="123">
        <v>17</v>
      </c>
      <c r="O4681">
        <v>3037</v>
      </c>
      <c r="P4681" s="132" t="s">
        <v>77</v>
      </c>
      <c r="Q4681" s="131">
        <v>129.75</v>
      </c>
      <c r="R4681" s="131">
        <v>3.45</v>
      </c>
      <c r="S4681" s="131"/>
      <c r="T4681" s="155"/>
      <c r="U4681" s="131"/>
      <c r="V4681" s="131">
        <v>133.19999999999999</v>
      </c>
      <c r="W4681">
        <v>147</v>
      </c>
      <c r="X4681" s="151" t="s">
        <v>1644</v>
      </c>
      <c r="Y4681" s="135" t="s">
        <v>55</v>
      </c>
      <c r="Z4681" s="307">
        <v>230</v>
      </c>
      <c r="AB4681" t="str">
        <f>IF(Table1[[#This Row],[TIPO2]]="costo", VLOOKUP(Table1[[#This Row],[PARTIDA PRESUPUESTAL]],'Cost Report'!G:G,1,0),"Balance")</f>
        <v>2594-003</v>
      </c>
      <c r="AC4681" s="118"/>
      <c r="AD4681" s="159">
        <f>+Table1[[#This Row],[SUBTOTAL]]+Table1[[#This Row],[IVA]]-Table1[[#This Row],[RET IVA]]-Table1[[#This Row],[RET ISR]]-Table1[[#This Row],[TOTAL]]</f>
        <v>0</v>
      </c>
      <c r="AE4681" s="150"/>
      <c r="AF4681" s="151"/>
      <c r="AG4681" s="126" t="s">
        <v>3420</v>
      </c>
      <c r="AK4681" s="306" t="str">
        <f>IF(ISNUMBER(Table1[[#This Row],[FECHA DE RECIBIDO]]), Table1[[#This Row],[FECHA DE RECIBIDO]]-DATE(2023,8,30), "")</f>
        <v/>
      </c>
    </row>
    <row r="4682" spans="1:37" ht="16.05" customHeight="1">
      <c r="A4682" s="152" t="s">
        <v>4616</v>
      </c>
      <c r="B4682" s="153">
        <v>1600</v>
      </c>
      <c r="C4682" s="126" t="s">
        <v>2566</v>
      </c>
      <c r="D4682">
        <v>3179</v>
      </c>
      <c r="E4682" s="126" t="s">
        <v>4617</v>
      </c>
      <c r="F4682" s="125" t="s">
        <v>1607</v>
      </c>
      <c r="G4682" s="125" t="s">
        <v>134</v>
      </c>
      <c r="H4682">
        <v>43</v>
      </c>
      <c r="I4682" s="125" t="s">
        <v>1546</v>
      </c>
      <c r="J4682" s="308" t="s">
        <v>214</v>
      </c>
      <c r="K4682" s="127" t="s">
        <v>4625</v>
      </c>
      <c r="L4682" s="153" t="s">
        <v>1579</v>
      </c>
      <c r="M4682">
        <v>67</v>
      </c>
      <c r="N4682" s="123">
        <v>17</v>
      </c>
      <c r="O4682">
        <v>3038</v>
      </c>
      <c r="P4682" s="132" t="s">
        <v>77</v>
      </c>
      <c r="Q4682" s="132">
        <v>51</v>
      </c>
      <c r="R4682" s="132"/>
      <c r="S4682" s="132"/>
      <c r="T4682" s="156"/>
      <c r="U4682" s="132"/>
      <c r="V4682" s="132">
        <v>51</v>
      </c>
      <c r="W4682">
        <v>147</v>
      </c>
      <c r="X4682" s="153" t="s">
        <v>1644</v>
      </c>
      <c r="Y4682" s="124" t="s">
        <v>55</v>
      </c>
      <c r="Z4682" s="308">
        <v>244</v>
      </c>
      <c r="AB4682" t="str">
        <f>IF(Table1[[#This Row],[TIPO2]]="costo", VLOOKUP(Table1[[#This Row],[PARTIDA PRESUPUESTAL]],'Cost Report'!G:G,1,0),"Balance")</f>
        <v>2594-003</v>
      </c>
      <c r="AC4682" s="118"/>
      <c r="AD4682" s="159">
        <f>+Table1[[#This Row],[SUBTOTAL]]+Table1[[#This Row],[IVA]]-Table1[[#This Row],[RET IVA]]-Table1[[#This Row],[RET ISR]]-Table1[[#This Row],[TOTAL]]</f>
        <v>0</v>
      </c>
      <c r="AE4682" s="152"/>
      <c r="AF4682" s="153"/>
      <c r="AG4682" s="126" t="s">
        <v>3420</v>
      </c>
      <c r="AK4682" s="306" t="str">
        <f>IF(ISNUMBER(Table1[[#This Row],[FECHA DE RECIBIDO]]), Table1[[#This Row],[FECHA DE RECIBIDO]]-DATE(2023,8,30), "")</f>
        <v/>
      </c>
    </row>
    <row r="4683" spans="1:37" ht="16.05" customHeight="1">
      <c r="A4683" s="150" t="s">
        <v>4616</v>
      </c>
      <c r="B4683" s="151">
        <v>1600</v>
      </c>
      <c r="C4683" s="126" t="s">
        <v>2566</v>
      </c>
      <c r="D4683">
        <v>3180</v>
      </c>
      <c r="E4683" s="126" t="s">
        <v>4617</v>
      </c>
      <c r="F4683" s="122" t="s">
        <v>1607</v>
      </c>
      <c r="G4683" s="122" t="s">
        <v>134</v>
      </c>
      <c r="H4683">
        <v>43</v>
      </c>
      <c r="I4683" s="122" t="s">
        <v>1546</v>
      </c>
      <c r="J4683" s="307" t="s">
        <v>214</v>
      </c>
      <c r="K4683" s="127" t="s">
        <v>4625</v>
      </c>
      <c r="L4683" s="151" t="s">
        <v>1579</v>
      </c>
      <c r="M4683">
        <v>67</v>
      </c>
      <c r="N4683" s="123">
        <v>17</v>
      </c>
      <c r="O4683">
        <v>3039</v>
      </c>
      <c r="P4683" s="132" t="s">
        <v>77</v>
      </c>
      <c r="Q4683" s="131">
        <v>93</v>
      </c>
      <c r="R4683" s="131"/>
      <c r="S4683" s="131"/>
      <c r="T4683" s="155"/>
      <c r="U4683" s="131"/>
      <c r="V4683" s="131">
        <v>93</v>
      </c>
      <c r="W4683">
        <v>147</v>
      </c>
      <c r="X4683" s="151" t="s">
        <v>1644</v>
      </c>
      <c r="Y4683" s="135" t="s">
        <v>55</v>
      </c>
      <c r="Z4683" s="307">
        <v>244</v>
      </c>
      <c r="AB4683" t="str">
        <f>IF(Table1[[#This Row],[TIPO2]]="costo", VLOOKUP(Table1[[#This Row],[PARTIDA PRESUPUESTAL]],'Cost Report'!G:G,1,0),"Balance")</f>
        <v>2594-003</v>
      </c>
      <c r="AC4683" s="118"/>
      <c r="AD4683" s="159">
        <f>+Table1[[#This Row],[SUBTOTAL]]+Table1[[#This Row],[IVA]]-Table1[[#This Row],[RET IVA]]-Table1[[#This Row],[RET ISR]]-Table1[[#This Row],[TOTAL]]</f>
        <v>0</v>
      </c>
      <c r="AE4683" s="150"/>
      <c r="AF4683" s="151"/>
      <c r="AG4683" s="126" t="s">
        <v>3420</v>
      </c>
      <c r="AK4683" s="306" t="str">
        <f>IF(ISNUMBER(Table1[[#This Row],[FECHA DE RECIBIDO]]), Table1[[#This Row],[FECHA DE RECIBIDO]]-DATE(2023,8,30), "")</f>
        <v/>
      </c>
    </row>
    <row r="4684" spans="1:37" ht="16.05" customHeight="1">
      <c r="A4684" s="152" t="s">
        <v>4616</v>
      </c>
      <c r="B4684" s="153">
        <v>1600</v>
      </c>
      <c r="C4684" s="126" t="s">
        <v>2565</v>
      </c>
      <c r="D4684">
        <v>3181</v>
      </c>
      <c r="E4684" s="126" t="s">
        <v>1600</v>
      </c>
      <c r="F4684" s="125" t="s">
        <v>1607</v>
      </c>
      <c r="G4684" s="125" t="s">
        <v>134</v>
      </c>
      <c r="H4684">
        <v>41</v>
      </c>
      <c r="I4684" s="125" t="s">
        <v>1546</v>
      </c>
      <c r="J4684" s="308" t="s">
        <v>214</v>
      </c>
      <c r="K4684" s="127" t="s">
        <v>4625</v>
      </c>
      <c r="L4684" s="153" t="s">
        <v>1579</v>
      </c>
      <c r="M4684">
        <v>323</v>
      </c>
      <c r="N4684" s="123">
        <v>17</v>
      </c>
      <c r="O4684">
        <v>3040</v>
      </c>
      <c r="P4684" s="132" t="s">
        <v>77</v>
      </c>
      <c r="Q4684" s="132">
        <v>178.25</v>
      </c>
      <c r="R4684" s="132">
        <v>7.52</v>
      </c>
      <c r="S4684" s="132"/>
      <c r="T4684" s="156"/>
      <c r="U4684" s="132"/>
      <c r="V4684" s="132">
        <v>185.77</v>
      </c>
      <c r="W4684">
        <v>147</v>
      </c>
      <c r="X4684" s="153" t="s">
        <v>1644</v>
      </c>
      <c r="Y4684" s="124" t="s">
        <v>55</v>
      </c>
      <c r="Z4684" s="308" t="s">
        <v>214</v>
      </c>
      <c r="AB4684" t="str">
        <f>IF(Table1[[#This Row],[TIPO2]]="costo", VLOOKUP(Table1[[#This Row],[PARTIDA PRESUPUESTAL]],'Cost Report'!G:G,1,0),"Balance")</f>
        <v>2585-003</v>
      </c>
      <c r="AC4684" s="118"/>
      <c r="AD4684" s="159">
        <f>+Table1[[#This Row],[SUBTOTAL]]+Table1[[#This Row],[IVA]]-Table1[[#This Row],[RET IVA]]-Table1[[#This Row],[RET ISR]]-Table1[[#This Row],[TOTAL]]</f>
        <v>0</v>
      </c>
      <c r="AE4684" s="152"/>
      <c r="AF4684" s="153"/>
      <c r="AG4684" s="126" t="s">
        <v>3420</v>
      </c>
      <c r="AK4684" s="306" t="str">
        <f>IF(ISNUMBER(Table1[[#This Row],[FECHA DE RECIBIDO]]), Table1[[#This Row],[FECHA DE RECIBIDO]]-DATE(2023,8,30), "")</f>
        <v/>
      </c>
    </row>
    <row r="4685" spans="1:37" ht="16.05" customHeight="1">
      <c r="A4685" s="150" t="s">
        <v>4616</v>
      </c>
      <c r="B4685" s="151">
        <v>1600</v>
      </c>
      <c r="C4685" s="126" t="s">
        <v>2565</v>
      </c>
      <c r="D4685">
        <v>3182</v>
      </c>
      <c r="E4685" s="126" t="s">
        <v>3356</v>
      </c>
      <c r="F4685" s="122" t="s">
        <v>1607</v>
      </c>
      <c r="G4685" s="122" t="s">
        <v>134</v>
      </c>
      <c r="H4685">
        <v>173</v>
      </c>
      <c r="I4685" s="122" t="s">
        <v>1546</v>
      </c>
      <c r="J4685" s="307" t="s">
        <v>214</v>
      </c>
      <c r="K4685" s="127" t="s">
        <v>4625</v>
      </c>
      <c r="L4685" s="151" t="s">
        <v>1579</v>
      </c>
      <c r="M4685">
        <v>230</v>
      </c>
      <c r="N4685" s="123">
        <v>17</v>
      </c>
      <c r="O4685">
        <v>3041</v>
      </c>
      <c r="P4685" s="132" t="s">
        <v>77</v>
      </c>
      <c r="Q4685" s="131">
        <v>623.20000000000005</v>
      </c>
      <c r="R4685" s="131"/>
      <c r="S4685" s="131"/>
      <c r="T4685" s="155"/>
      <c r="U4685" s="131"/>
      <c r="V4685" s="131">
        <v>623.20000000000005</v>
      </c>
      <c r="W4685">
        <v>147</v>
      </c>
      <c r="X4685" s="151" t="s">
        <v>1644</v>
      </c>
      <c r="Y4685" s="135" t="s">
        <v>55</v>
      </c>
      <c r="Z4685" s="307">
        <v>243</v>
      </c>
      <c r="AB4685" t="str">
        <f>IF(Table1[[#This Row],[TIPO2]]="costo", VLOOKUP(Table1[[#This Row],[PARTIDA PRESUPUESTAL]],'Cost Report'!G:G,1,0),"Balance")</f>
        <v>2585-003</v>
      </c>
      <c r="AC4685" s="118"/>
      <c r="AD4685" s="159">
        <f>+Table1[[#This Row],[SUBTOTAL]]+Table1[[#This Row],[IVA]]-Table1[[#This Row],[RET IVA]]-Table1[[#This Row],[RET ISR]]-Table1[[#This Row],[TOTAL]]</f>
        <v>0</v>
      </c>
      <c r="AE4685" s="150"/>
      <c r="AF4685" s="151"/>
      <c r="AG4685" s="126" t="s">
        <v>3420</v>
      </c>
      <c r="AK4685" s="306" t="str">
        <f>IF(ISNUMBER(Table1[[#This Row],[FECHA DE RECIBIDO]]), Table1[[#This Row],[FECHA DE RECIBIDO]]-DATE(2023,8,30), "")</f>
        <v/>
      </c>
    </row>
    <row r="4686" spans="1:37" ht="16.05" customHeight="1">
      <c r="A4686" s="152" t="s">
        <v>4616</v>
      </c>
      <c r="B4686" s="153">
        <v>1600</v>
      </c>
      <c r="C4686" s="126" t="s">
        <v>2565</v>
      </c>
      <c r="D4686">
        <v>3183</v>
      </c>
      <c r="E4686" s="126" t="s">
        <v>3356</v>
      </c>
      <c r="F4686" s="125" t="s">
        <v>1607</v>
      </c>
      <c r="G4686" s="125" t="s">
        <v>134</v>
      </c>
      <c r="H4686">
        <v>173</v>
      </c>
      <c r="I4686" s="125" t="s">
        <v>1546</v>
      </c>
      <c r="J4686" s="308" t="s">
        <v>214</v>
      </c>
      <c r="K4686" s="127" t="s">
        <v>4625</v>
      </c>
      <c r="L4686" s="153" t="s">
        <v>1579</v>
      </c>
      <c r="M4686">
        <v>230</v>
      </c>
      <c r="N4686" s="123">
        <v>17</v>
      </c>
      <c r="O4686">
        <v>3042</v>
      </c>
      <c r="P4686" s="132" t="s">
        <v>77</v>
      </c>
      <c r="Q4686" s="132">
        <f>3391.72+898.8</f>
        <v>4290.5199999999995</v>
      </c>
      <c r="R4686" s="132">
        <v>686.48</v>
      </c>
      <c r="S4686" s="132">
        <v>898.8</v>
      </c>
      <c r="T4686" s="156"/>
      <c r="U4686" s="132"/>
      <c r="V4686" s="132">
        <v>4977</v>
      </c>
      <c r="W4686">
        <v>147</v>
      </c>
      <c r="X4686" s="153" t="s">
        <v>1644</v>
      </c>
      <c r="Y4686" s="124" t="s">
        <v>55</v>
      </c>
      <c r="Z4686" s="308">
        <v>243</v>
      </c>
      <c r="AB4686" t="str">
        <f>IF(Table1[[#This Row],[TIPO2]]="costo", VLOOKUP(Table1[[#This Row],[PARTIDA PRESUPUESTAL]],'Cost Report'!G:G,1,0),"Balance")</f>
        <v>2585-003</v>
      </c>
      <c r="AC4686" s="118"/>
      <c r="AD4686" s="159">
        <f>+Table1[[#This Row],[SUBTOTAL]]+Table1[[#This Row],[IVA]]-Table1[[#This Row],[RET IVA]]-Table1[[#This Row],[RET ISR]]-Table1[[#This Row],[TOTAL]]</f>
        <v>0</v>
      </c>
      <c r="AE4686" s="152"/>
      <c r="AF4686" s="153"/>
      <c r="AG4686" s="126" t="s">
        <v>3420</v>
      </c>
      <c r="AK4686" s="306" t="str">
        <f>IF(ISNUMBER(Table1[[#This Row],[FECHA DE RECIBIDO]]), Table1[[#This Row],[FECHA DE RECIBIDO]]-DATE(2023,8,30), "")</f>
        <v/>
      </c>
    </row>
    <row r="4687" spans="1:37" ht="16.05" customHeight="1">
      <c r="A4687" s="150" t="s">
        <v>4616</v>
      </c>
      <c r="B4687" s="151">
        <v>1600</v>
      </c>
      <c r="C4687" s="126" t="s">
        <v>2565</v>
      </c>
      <c r="D4687">
        <v>3184</v>
      </c>
      <c r="E4687" s="126" t="s">
        <v>3356</v>
      </c>
      <c r="F4687" s="122" t="s">
        <v>1607</v>
      </c>
      <c r="G4687" s="122" t="s">
        <v>134</v>
      </c>
      <c r="H4687">
        <v>173</v>
      </c>
      <c r="I4687" s="122" t="s">
        <v>1546</v>
      </c>
      <c r="J4687" s="307" t="s">
        <v>214</v>
      </c>
      <c r="K4687" s="127" t="s">
        <v>4625</v>
      </c>
      <c r="L4687" s="151" t="s">
        <v>1579</v>
      </c>
      <c r="M4687">
        <v>230</v>
      </c>
      <c r="N4687" s="123">
        <v>17</v>
      </c>
      <c r="O4687">
        <v>3043</v>
      </c>
      <c r="P4687" s="132" t="s">
        <v>77</v>
      </c>
      <c r="Q4687" s="131">
        <f>1972.39+15.91</f>
        <v>1988.3000000000002</v>
      </c>
      <c r="R4687" s="131"/>
      <c r="S4687" s="131">
        <v>15.91</v>
      </c>
      <c r="T4687" s="155"/>
      <c r="U4687" s="131"/>
      <c r="V4687" s="131">
        <v>1988.3000000000002</v>
      </c>
      <c r="W4687">
        <v>147</v>
      </c>
      <c r="X4687" s="151" t="s">
        <v>1644</v>
      </c>
      <c r="Y4687" s="135" t="s">
        <v>55</v>
      </c>
      <c r="Z4687" s="307">
        <v>243</v>
      </c>
      <c r="AB4687" t="str">
        <f>IF(Table1[[#This Row],[TIPO2]]="costo", VLOOKUP(Table1[[#This Row],[PARTIDA PRESUPUESTAL]],'Cost Report'!G:G,1,0),"Balance")</f>
        <v>2585-003</v>
      </c>
      <c r="AC4687" s="118"/>
      <c r="AD4687" s="159">
        <f>+Table1[[#This Row],[SUBTOTAL]]+Table1[[#This Row],[IVA]]-Table1[[#This Row],[RET IVA]]-Table1[[#This Row],[RET ISR]]-Table1[[#This Row],[TOTAL]]</f>
        <v>0</v>
      </c>
      <c r="AE4687" s="150"/>
      <c r="AF4687" s="151"/>
      <c r="AG4687" s="126" t="s">
        <v>3420</v>
      </c>
      <c r="AK4687" s="306" t="str">
        <f>IF(ISNUMBER(Table1[[#This Row],[FECHA DE RECIBIDO]]), Table1[[#This Row],[FECHA DE RECIBIDO]]-DATE(2023,8,30), "")</f>
        <v/>
      </c>
    </row>
    <row r="4688" spans="1:37" ht="16.05" customHeight="1">
      <c r="A4688" s="152" t="s">
        <v>4616</v>
      </c>
      <c r="B4688" s="153">
        <v>1600</v>
      </c>
      <c r="C4688" s="126" t="s">
        <v>2565</v>
      </c>
      <c r="D4688">
        <v>3185</v>
      </c>
      <c r="E4688" s="126" t="s">
        <v>1614</v>
      </c>
      <c r="F4688" s="125" t="s">
        <v>1607</v>
      </c>
      <c r="G4688" s="125" t="s">
        <v>134</v>
      </c>
      <c r="H4688">
        <v>832</v>
      </c>
      <c r="I4688" s="125" t="s">
        <v>1546</v>
      </c>
      <c r="J4688" s="308" t="s">
        <v>214</v>
      </c>
      <c r="K4688" s="127" t="s">
        <v>4625</v>
      </c>
      <c r="L4688" s="153" t="s">
        <v>1579</v>
      </c>
      <c r="M4688">
        <v>1153</v>
      </c>
      <c r="N4688" s="123">
        <v>17</v>
      </c>
      <c r="O4688">
        <v>3044</v>
      </c>
      <c r="P4688" s="132" t="s">
        <v>77</v>
      </c>
      <c r="Q4688" s="132">
        <v>141.38</v>
      </c>
      <c r="R4688" s="132">
        <v>22.62</v>
      </c>
      <c r="S4688" s="132"/>
      <c r="T4688" s="156"/>
      <c r="U4688" s="132"/>
      <c r="V4688" s="132">
        <v>164</v>
      </c>
      <c r="W4688">
        <v>147</v>
      </c>
      <c r="X4688" s="153" t="s">
        <v>1644</v>
      </c>
      <c r="Y4688" s="124" t="s">
        <v>55</v>
      </c>
      <c r="Z4688" s="308">
        <v>243</v>
      </c>
      <c r="AB4688" t="str">
        <f>IF(Table1[[#This Row],[TIPO2]]="costo", VLOOKUP(Table1[[#This Row],[PARTIDA PRESUPUESTAL]],'Cost Report'!G:G,1,0),"Balance")</f>
        <v>2585-003</v>
      </c>
      <c r="AC4688" s="118"/>
      <c r="AD4688" s="159">
        <f>+Table1[[#This Row],[SUBTOTAL]]+Table1[[#This Row],[IVA]]-Table1[[#This Row],[RET IVA]]-Table1[[#This Row],[RET ISR]]-Table1[[#This Row],[TOTAL]]</f>
        <v>0</v>
      </c>
      <c r="AE4688" s="152"/>
      <c r="AF4688" s="153"/>
      <c r="AG4688" s="126" t="s">
        <v>3420</v>
      </c>
      <c r="AK4688" s="306" t="str">
        <f>IF(ISNUMBER(Table1[[#This Row],[FECHA DE RECIBIDO]]), Table1[[#This Row],[FECHA DE RECIBIDO]]-DATE(2023,8,30), "")</f>
        <v/>
      </c>
    </row>
    <row r="4689" spans="1:37" ht="16.05" customHeight="1">
      <c r="A4689" s="150" t="s">
        <v>4616</v>
      </c>
      <c r="B4689" s="151">
        <v>1600</v>
      </c>
      <c r="C4689" s="126" t="s">
        <v>2566</v>
      </c>
      <c r="D4689">
        <v>3186</v>
      </c>
      <c r="E4689" s="126" t="s">
        <v>1596</v>
      </c>
      <c r="F4689" s="122" t="s">
        <v>1589</v>
      </c>
      <c r="G4689" s="122" t="s">
        <v>129</v>
      </c>
      <c r="H4689">
        <v>833</v>
      </c>
      <c r="I4689" s="122" t="s">
        <v>1546</v>
      </c>
      <c r="J4689" s="307" t="s">
        <v>214</v>
      </c>
      <c r="K4689" s="127" t="s">
        <v>4625</v>
      </c>
      <c r="L4689" s="151" t="s">
        <v>1579</v>
      </c>
      <c r="M4689">
        <v>1154</v>
      </c>
      <c r="N4689" s="123">
        <v>17</v>
      </c>
      <c r="O4689">
        <v>3045</v>
      </c>
      <c r="P4689" s="132" t="s">
        <v>77</v>
      </c>
      <c r="Q4689" s="131">
        <v>250</v>
      </c>
      <c r="R4689" s="131"/>
      <c r="S4689" s="131"/>
      <c r="T4689" s="155"/>
      <c r="U4689" s="131"/>
      <c r="V4689" s="131">
        <v>250</v>
      </c>
      <c r="W4689">
        <v>147</v>
      </c>
      <c r="X4689" s="151" t="s">
        <v>1644</v>
      </c>
      <c r="Y4689" s="135" t="s">
        <v>55</v>
      </c>
      <c r="Z4689" s="307">
        <v>243</v>
      </c>
      <c r="AB4689" t="str">
        <f>IF(Table1[[#This Row],[TIPO2]]="costo", VLOOKUP(Table1[[#This Row],[PARTIDA PRESUPUESTAL]],'Cost Report'!G:G,1,0),"Balance")</f>
        <v>2594-003</v>
      </c>
      <c r="AC4689" s="118"/>
      <c r="AD4689" s="159">
        <f>+Table1[[#This Row],[SUBTOTAL]]+Table1[[#This Row],[IVA]]-Table1[[#This Row],[RET IVA]]-Table1[[#This Row],[RET ISR]]-Table1[[#This Row],[TOTAL]]</f>
        <v>0</v>
      </c>
      <c r="AE4689" s="150"/>
      <c r="AF4689" s="151"/>
      <c r="AG4689" s="126" t="s">
        <v>3420</v>
      </c>
      <c r="AK4689" s="306" t="str">
        <f>IF(ISNUMBER(Table1[[#This Row],[FECHA DE RECIBIDO]]), Table1[[#This Row],[FECHA DE RECIBIDO]]-DATE(2023,8,30), "")</f>
        <v/>
      </c>
    </row>
    <row r="4690" spans="1:37" ht="16.05" customHeight="1">
      <c r="A4690" s="152" t="s">
        <v>4616</v>
      </c>
      <c r="B4690" s="153">
        <v>1600</v>
      </c>
      <c r="C4690" s="126" t="s">
        <v>2565</v>
      </c>
      <c r="D4690">
        <v>3187</v>
      </c>
      <c r="E4690" s="126" t="s">
        <v>1605</v>
      </c>
      <c r="F4690" s="125" t="s">
        <v>1382</v>
      </c>
      <c r="G4690" s="125" t="e">
        <v>#N/A</v>
      </c>
      <c r="H4690">
        <v>31</v>
      </c>
      <c r="I4690" s="125" t="s">
        <v>1546</v>
      </c>
      <c r="J4690" s="308" t="s">
        <v>214</v>
      </c>
      <c r="K4690" s="127" t="s">
        <v>4625</v>
      </c>
      <c r="L4690" s="153" t="s">
        <v>1579</v>
      </c>
      <c r="M4690">
        <v>69</v>
      </c>
      <c r="N4690" s="123">
        <v>17</v>
      </c>
      <c r="O4690">
        <v>3046</v>
      </c>
      <c r="P4690" s="132" t="s">
        <v>77</v>
      </c>
      <c r="Q4690" s="132">
        <v>66</v>
      </c>
      <c r="R4690" s="132"/>
      <c r="S4690" s="132"/>
      <c r="T4690" s="156"/>
      <c r="U4690" s="132"/>
      <c r="V4690" s="132">
        <v>66</v>
      </c>
      <c r="W4690">
        <v>147</v>
      </c>
      <c r="X4690" s="153" t="s">
        <v>1644</v>
      </c>
      <c r="Y4690" s="124" t="s">
        <v>55</v>
      </c>
      <c r="Z4690" s="308">
        <v>244</v>
      </c>
      <c r="AB4690" t="str">
        <f>IF(Table1[[#This Row],[TIPO2]]="costo", VLOOKUP(Table1[[#This Row],[PARTIDA PRESUPUESTAL]],'Cost Report'!G:G,1,0),"Balance")</f>
        <v>2585-003</v>
      </c>
      <c r="AC4690" s="118"/>
      <c r="AD4690" s="159">
        <f>+Table1[[#This Row],[SUBTOTAL]]+Table1[[#This Row],[IVA]]-Table1[[#This Row],[RET IVA]]-Table1[[#This Row],[RET ISR]]-Table1[[#This Row],[TOTAL]]</f>
        <v>0</v>
      </c>
      <c r="AE4690" s="152"/>
      <c r="AF4690" s="153"/>
      <c r="AG4690" s="126" t="s">
        <v>3420</v>
      </c>
      <c r="AK4690" s="306" t="str">
        <f>IF(ISNUMBER(Table1[[#This Row],[FECHA DE RECIBIDO]]), Table1[[#This Row],[FECHA DE RECIBIDO]]-DATE(2023,8,30), "")</f>
        <v/>
      </c>
    </row>
    <row r="4691" spans="1:37" ht="16.05" customHeight="1">
      <c r="A4691" s="150" t="s">
        <v>4616</v>
      </c>
      <c r="B4691" s="151">
        <v>1600</v>
      </c>
      <c r="C4691" s="126" t="s">
        <v>2566</v>
      </c>
      <c r="D4691">
        <v>3188</v>
      </c>
      <c r="E4691" s="126" t="s">
        <v>3272</v>
      </c>
      <c r="F4691" s="122" t="s">
        <v>1607</v>
      </c>
      <c r="G4691" s="122" t="s">
        <v>134</v>
      </c>
      <c r="H4691">
        <v>286</v>
      </c>
      <c r="I4691" s="122" t="s">
        <v>1546</v>
      </c>
      <c r="J4691" s="307" t="s">
        <v>214</v>
      </c>
      <c r="K4691" s="127" t="s">
        <v>4625</v>
      </c>
      <c r="L4691" s="151" t="s">
        <v>1579</v>
      </c>
      <c r="M4691">
        <v>380</v>
      </c>
      <c r="N4691" s="123">
        <v>17</v>
      </c>
      <c r="O4691">
        <v>3047</v>
      </c>
      <c r="P4691" s="132" t="s">
        <v>77</v>
      </c>
      <c r="Q4691" s="131">
        <v>375</v>
      </c>
      <c r="R4691" s="131">
        <v>60</v>
      </c>
      <c r="S4691" s="131"/>
      <c r="T4691" s="155"/>
      <c r="U4691" s="131"/>
      <c r="V4691" s="131">
        <v>435</v>
      </c>
      <c r="W4691">
        <v>147</v>
      </c>
      <c r="X4691" s="151" t="s">
        <v>1644</v>
      </c>
      <c r="Y4691" s="135" t="s">
        <v>55</v>
      </c>
      <c r="Z4691" s="307">
        <v>244</v>
      </c>
      <c r="AB4691" t="str">
        <f>IF(Table1[[#This Row],[TIPO2]]="costo", VLOOKUP(Table1[[#This Row],[PARTIDA PRESUPUESTAL]],'Cost Report'!G:G,1,0),"Balance")</f>
        <v>2594-003</v>
      </c>
      <c r="AC4691" s="118"/>
      <c r="AD4691" s="159">
        <f>+Table1[[#This Row],[SUBTOTAL]]+Table1[[#This Row],[IVA]]-Table1[[#This Row],[RET IVA]]-Table1[[#This Row],[RET ISR]]-Table1[[#This Row],[TOTAL]]</f>
        <v>0</v>
      </c>
      <c r="AE4691" s="150"/>
      <c r="AF4691" s="151"/>
      <c r="AG4691" s="126" t="s">
        <v>3420</v>
      </c>
      <c r="AK4691" s="306" t="str">
        <f>IF(ISNUMBER(Table1[[#This Row],[FECHA DE RECIBIDO]]), Table1[[#This Row],[FECHA DE RECIBIDO]]-DATE(2023,8,30), "")</f>
        <v/>
      </c>
    </row>
    <row r="4692" spans="1:37" ht="16.05" customHeight="1">
      <c r="A4692" s="152" t="s">
        <v>4616</v>
      </c>
      <c r="B4692" s="153">
        <v>1600</v>
      </c>
      <c r="C4692" s="126" t="s">
        <v>2566</v>
      </c>
      <c r="D4692">
        <v>3189</v>
      </c>
      <c r="E4692" s="126" t="s">
        <v>3272</v>
      </c>
      <c r="F4692" s="125" t="s">
        <v>1607</v>
      </c>
      <c r="G4692" s="125" t="s">
        <v>134</v>
      </c>
      <c r="H4692">
        <v>286</v>
      </c>
      <c r="I4692" s="125" t="s">
        <v>1546</v>
      </c>
      <c r="J4692" s="308" t="s">
        <v>214</v>
      </c>
      <c r="K4692" s="127" t="s">
        <v>4625</v>
      </c>
      <c r="L4692" s="153" t="s">
        <v>1579</v>
      </c>
      <c r="M4692">
        <v>380</v>
      </c>
      <c r="N4692" s="123">
        <v>17</v>
      </c>
      <c r="O4692">
        <v>3048</v>
      </c>
      <c r="P4692" s="132" t="s">
        <v>77</v>
      </c>
      <c r="Q4692" s="132">
        <v>289.64999999999998</v>
      </c>
      <c r="R4692" s="132">
        <v>46.34</v>
      </c>
      <c r="S4692" s="132"/>
      <c r="T4692" s="156"/>
      <c r="U4692" s="132"/>
      <c r="V4692" s="132">
        <v>335.99</v>
      </c>
      <c r="W4692">
        <v>147</v>
      </c>
      <c r="X4692" s="153" t="s">
        <v>1644</v>
      </c>
      <c r="Y4692" s="124" t="s">
        <v>55</v>
      </c>
      <c r="Z4692" s="308">
        <v>244</v>
      </c>
      <c r="AB4692" t="str">
        <f>IF(Table1[[#This Row],[TIPO2]]="costo", VLOOKUP(Table1[[#This Row],[PARTIDA PRESUPUESTAL]],'Cost Report'!G:G,1,0),"Balance")</f>
        <v>2594-003</v>
      </c>
      <c r="AC4692" s="118"/>
      <c r="AD4692" s="159">
        <f>+Table1[[#This Row],[SUBTOTAL]]+Table1[[#This Row],[IVA]]-Table1[[#This Row],[RET IVA]]-Table1[[#This Row],[RET ISR]]-Table1[[#This Row],[TOTAL]]</f>
        <v>0</v>
      </c>
      <c r="AE4692" s="152"/>
      <c r="AF4692" s="153"/>
      <c r="AG4692" s="126" t="s">
        <v>3420</v>
      </c>
      <c r="AK4692" s="306" t="str">
        <f>IF(ISNUMBER(Table1[[#This Row],[FECHA DE RECIBIDO]]), Table1[[#This Row],[FECHA DE RECIBIDO]]-DATE(2023,8,30), "")</f>
        <v/>
      </c>
    </row>
    <row r="4693" spans="1:37" ht="16.05" customHeight="1">
      <c r="A4693" s="150" t="s">
        <v>4616</v>
      </c>
      <c r="B4693" s="151">
        <v>1600</v>
      </c>
      <c r="C4693" s="126" t="s">
        <v>2566</v>
      </c>
      <c r="D4693">
        <v>3190</v>
      </c>
      <c r="E4693" s="126" t="s">
        <v>3235</v>
      </c>
      <c r="F4693" s="122" t="s">
        <v>1607</v>
      </c>
      <c r="G4693" s="122" t="s">
        <v>134</v>
      </c>
      <c r="H4693">
        <v>834</v>
      </c>
      <c r="I4693" s="122" t="s">
        <v>1546</v>
      </c>
      <c r="J4693" s="307" t="s">
        <v>214</v>
      </c>
      <c r="K4693" s="127" t="s">
        <v>4625</v>
      </c>
      <c r="L4693" s="151" t="s">
        <v>1579</v>
      </c>
      <c r="M4693">
        <v>1155</v>
      </c>
      <c r="N4693" s="123">
        <v>17</v>
      </c>
      <c r="O4693">
        <v>3049</v>
      </c>
      <c r="P4693" s="132" t="s">
        <v>77</v>
      </c>
      <c r="Q4693" s="131">
        <v>77.59</v>
      </c>
      <c r="R4693" s="131">
        <v>12.41</v>
      </c>
      <c r="S4693" s="131"/>
      <c r="T4693" s="155"/>
      <c r="U4693" s="131"/>
      <c r="V4693" s="131">
        <v>90</v>
      </c>
      <c r="W4693">
        <v>147</v>
      </c>
      <c r="X4693" s="151" t="s">
        <v>1644</v>
      </c>
      <c r="Y4693" s="135" t="s">
        <v>55</v>
      </c>
      <c r="Z4693" s="307">
        <v>253</v>
      </c>
      <c r="AB4693" t="str">
        <f>IF(Table1[[#This Row],[TIPO2]]="costo", VLOOKUP(Table1[[#This Row],[PARTIDA PRESUPUESTAL]],'Cost Report'!G:G,1,0),"Balance")</f>
        <v>2594-003</v>
      </c>
      <c r="AC4693" s="118"/>
      <c r="AD4693" s="159">
        <f>+Table1[[#This Row],[SUBTOTAL]]+Table1[[#This Row],[IVA]]-Table1[[#This Row],[RET IVA]]-Table1[[#This Row],[RET ISR]]-Table1[[#This Row],[TOTAL]]</f>
        <v>0</v>
      </c>
      <c r="AE4693" s="150"/>
      <c r="AF4693" s="151"/>
      <c r="AG4693" s="126" t="s">
        <v>3420</v>
      </c>
      <c r="AK4693" s="306" t="str">
        <f>IF(ISNUMBER(Table1[[#This Row],[FECHA DE RECIBIDO]]), Table1[[#This Row],[FECHA DE RECIBIDO]]-DATE(2023,8,30), "")</f>
        <v/>
      </c>
    </row>
    <row r="4694" spans="1:37" ht="16.05" customHeight="1">
      <c r="A4694" s="152" t="s">
        <v>4616</v>
      </c>
      <c r="B4694" s="153">
        <v>1600</v>
      </c>
      <c r="C4694" s="126" t="s">
        <v>2566</v>
      </c>
      <c r="D4694">
        <v>3191</v>
      </c>
      <c r="E4694" s="126" t="s">
        <v>1603</v>
      </c>
      <c r="F4694" s="125" t="s">
        <v>1607</v>
      </c>
      <c r="G4694" s="125" t="s">
        <v>134</v>
      </c>
      <c r="H4694">
        <v>273</v>
      </c>
      <c r="I4694" s="125" t="s">
        <v>1546</v>
      </c>
      <c r="J4694" s="308" t="s">
        <v>214</v>
      </c>
      <c r="K4694" s="127" t="s">
        <v>4625</v>
      </c>
      <c r="L4694" s="153" t="s">
        <v>1579</v>
      </c>
      <c r="M4694">
        <v>364</v>
      </c>
      <c r="N4694" s="123">
        <v>17</v>
      </c>
      <c r="O4694">
        <v>3050</v>
      </c>
      <c r="P4694" s="132" t="s">
        <v>77</v>
      </c>
      <c r="Q4694" s="132">
        <v>123.28</v>
      </c>
      <c r="R4694" s="132">
        <v>19.72</v>
      </c>
      <c r="S4694" s="132"/>
      <c r="T4694" s="156"/>
      <c r="U4694" s="132"/>
      <c r="V4694" s="132">
        <v>143</v>
      </c>
      <c r="W4694">
        <v>147</v>
      </c>
      <c r="X4694" s="153" t="s">
        <v>1644</v>
      </c>
      <c r="Y4694" s="124" t="s">
        <v>55</v>
      </c>
      <c r="Z4694" s="308">
        <v>244</v>
      </c>
      <c r="AB4694" t="str">
        <f>IF(Table1[[#This Row],[TIPO2]]="costo", VLOOKUP(Table1[[#This Row],[PARTIDA PRESUPUESTAL]],'Cost Report'!G:G,1,0),"Balance")</f>
        <v>2594-003</v>
      </c>
      <c r="AC4694" s="118"/>
      <c r="AD4694" s="159">
        <f>+Table1[[#This Row],[SUBTOTAL]]+Table1[[#This Row],[IVA]]-Table1[[#This Row],[RET IVA]]-Table1[[#This Row],[RET ISR]]-Table1[[#This Row],[TOTAL]]</f>
        <v>0</v>
      </c>
      <c r="AE4694" s="152"/>
      <c r="AF4694" s="153"/>
      <c r="AG4694" s="126" t="s">
        <v>3420</v>
      </c>
      <c r="AK4694" s="306" t="str">
        <f>IF(ISNUMBER(Table1[[#This Row],[FECHA DE RECIBIDO]]), Table1[[#This Row],[FECHA DE RECIBIDO]]-DATE(2023,8,30), "")</f>
        <v/>
      </c>
    </row>
    <row r="4695" spans="1:37" ht="16.05" customHeight="1">
      <c r="A4695" s="150" t="s">
        <v>4616</v>
      </c>
      <c r="B4695" s="151">
        <v>1600</v>
      </c>
      <c r="C4695" s="126" t="s">
        <v>2566</v>
      </c>
      <c r="D4695">
        <v>3192</v>
      </c>
      <c r="E4695" s="126" t="s">
        <v>1598</v>
      </c>
      <c r="F4695" s="122" t="s">
        <v>1607</v>
      </c>
      <c r="G4695" s="122" t="s">
        <v>134</v>
      </c>
      <c r="H4695">
        <v>41</v>
      </c>
      <c r="I4695" s="122" t="s">
        <v>1546</v>
      </c>
      <c r="J4695" s="307" t="s">
        <v>214</v>
      </c>
      <c r="K4695" s="127" t="s">
        <v>4625</v>
      </c>
      <c r="L4695" s="151" t="s">
        <v>1579</v>
      </c>
      <c r="M4695">
        <v>323</v>
      </c>
      <c r="N4695" s="123">
        <v>17</v>
      </c>
      <c r="O4695">
        <v>3051</v>
      </c>
      <c r="P4695" s="132" t="s">
        <v>77</v>
      </c>
      <c r="Q4695" s="131">
        <v>249.97</v>
      </c>
      <c r="R4695" s="131">
        <v>35.03</v>
      </c>
      <c r="S4695" s="131"/>
      <c r="T4695" s="155"/>
      <c r="U4695" s="131"/>
      <c r="V4695" s="131">
        <v>285</v>
      </c>
      <c r="W4695">
        <v>147</v>
      </c>
      <c r="X4695" s="151" t="s">
        <v>1644</v>
      </c>
      <c r="Y4695" s="135" t="s">
        <v>55</v>
      </c>
      <c r="Z4695" s="307">
        <v>244</v>
      </c>
      <c r="AB4695" t="str">
        <f>IF(Table1[[#This Row],[TIPO2]]="costo", VLOOKUP(Table1[[#This Row],[PARTIDA PRESUPUESTAL]],'Cost Report'!G:G,1,0),"Balance")</f>
        <v>2594-003</v>
      </c>
      <c r="AC4695" s="118"/>
      <c r="AD4695" s="159">
        <f>+Table1[[#This Row],[SUBTOTAL]]+Table1[[#This Row],[IVA]]-Table1[[#This Row],[RET IVA]]-Table1[[#This Row],[RET ISR]]-Table1[[#This Row],[TOTAL]]</f>
        <v>0</v>
      </c>
      <c r="AE4695" s="150"/>
      <c r="AF4695" s="151"/>
      <c r="AG4695" s="126" t="s">
        <v>3420</v>
      </c>
      <c r="AK4695" s="306" t="str">
        <f>IF(ISNUMBER(Table1[[#This Row],[FECHA DE RECIBIDO]]), Table1[[#This Row],[FECHA DE RECIBIDO]]-DATE(2023,8,30), "")</f>
        <v/>
      </c>
    </row>
    <row r="4696" spans="1:37" ht="16.05" customHeight="1">
      <c r="A4696" s="152" t="s">
        <v>4616</v>
      </c>
      <c r="B4696" s="153">
        <v>1600</v>
      </c>
      <c r="C4696" s="126" t="s">
        <v>2566</v>
      </c>
      <c r="D4696">
        <v>3193</v>
      </c>
      <c r="E4696" s="126" t="s">
        <v>1987</v>
      </c>
      <c r="F4696" s="125" t="s">
        <v>1607</v>
      </c>
      <c r="G4696" s="125" t="s">
        <v>134</v>
      </c>
      <c r="H4696">
        <v>312</v>
      </c>
      <c r="I4696" s="125" t="s">
        <v>1546</v>
      </c>
      <c r="J4696" s="308" t="s">
        <v>214</v>
      </c>
      <c r="K4696" s="127" t="s">
        <v>4625</v>
      </c>
      <c r="L4696" s="153" t="s">
        <v>1579</v>
      </c>
      <c r="M4696">
        <v>417</v>
      </c>
      <c r="N4696" s="123">
        <v>17</v>
      </c>
      <c r="O4696">
        <v>3052</v>
      </c>
      <c r="P4696" s="132" t="s">
        <v>77</v>
      </c>
      <c r="Q4696" s="132">
        <v>171.55</v>
      </c>
      <c r="R4696" s="132">
        <v>27.45</v>
      </c>
      <c r="S4696" s="132"/>
      <c r="T4696" s="156"/>
      <c r="U4696" s="132"/>
      <c r="V4696" s="132">
        <v>199</v>
      </c>
      <c r="W4696">
        <v>147</v>
      </c>
      <c r="X4696" s="153" t="s">
        <v>1644</v>
      </c>
      <c r="Y4696" s="124" t="s">
        <v>55</v>
      </c>
      <c r="Z4696" s="308">
        <v>250</v>
      </c>
      <c r="AB4696" t="str">
        <f>IF(Table1[[#This Row],[TIPO2]]="costo", VLOOKUP(Table1[[#This Row],[PARTIDA PRESUPUESTAL]],'Cost Report'!G:G,1,0),"Balance")</f>
        <v>2594-003</v>
      </c>
      <c r="AC4696" s="118"/>
      <c r="AD4696" s="159">
        <f>+Table1[[#This Row],[SUBTOTAL]]+Table1[[#This Row],[IVA]]-Table1[[#This Row],[RET IVA]]-Table1[[#This Row],[RET ISR]]-Table1[[#This Row],[TOTAL]]</f>
        <v>0</v>
      </c>
      <c r="AE4696" s="152"/>
      <c r="AF4696" s="153"/>
      <c r="AG4696" s="126" t="s">
        <v>3420</v>
      </c>
      <c r="AK4696" s="306" t="str">
        <f>IF(ISNUMBER(Table1[[#This Row],[FECHA DE RECIBIDO]]), Table1[[#This Row],[FECHA DE RECIBIDO]]-DATE(2023,8,30), "")</f>
        <v/>
      </c>
    </row>
    <row r="4697" spans="1:37" ht="16.05" customHeight="1">
      <c r="A4697" s="150" t="s">
        <v>4616</v>
      </c>
      <c r="B4697" s="151">
        <v>1600</v>
      </c>
      <c r="C4697" s="126" t="s">
        <v>2566</v>
      </c>
      <c r="D4697">
        <v>3194</v>
      </c>
      <c r="E4697" s="126" t="e">
        <v>#N/A</v>
      </c>
      <c r="F4697" s="122" t="e">
        <v>#N/A</v>
      </c>
      <c r="G4697" s="122" t="e">
        <v>#N/A</v>
      </c>
      <c r="H4697">
        <v>36</v>
      </c>
      <c r="I4697" s="122" t="e">
        <v>#N/A</v>
      </c>
      <c r="J4697" s="307" t="s">
        <v>214</v>
      </c>
      <c r="K4697" s="127" t="s">
        <v>4625</v>
      </c>
      <c r="L4697" s="151" t="s">
        <v>1579</v>
      </c>
      <c r="M4697">
        <v>323</v>
      </c>
      <c r="N4697" s="123">
        <v>17</v>
      </c>
      <c r="O4697">
        <v>3053</v>
      </c>
      <c r="P4697" s="132" t="s">
        <v>77</v>
      </c>
      <c r="Q4697" s="131">
        <v>849.14</v>
      </c>
      <c r="R4697" s="131">
        <v>135.86000000000001</v>
      </c>
      <c r="S4697" s="131"/>
      <c r="T4697" s="155"/>
      <c r="U4697" s="131"/>
      <c r="V4697" s="131">
        <v>985</v>
      </c>
      <c r="W4697">
        <v>147</v>
      </c>
      <c r="X4697" s="151" t="s">
        <v>1644</v>
      </c>
      <c r="Y4697" s="135" t="s">
        <v>55</v>
      </c>
      <c r="Z4697" s="307">
        <v>250</v>
      </c>
      <c r="AB4697" t="str">
        <f>IF(Table1[[#This Row],[TIPO2]]="costo", VLOOKUP(Table1[[#This Row],[PARTIDA PRESUPUESTAL]],'Cost Report'!G:G,1,0),"Balance")</f>
        <v>2594-003</v>
      </c>
      <c r="AC4697" s="118"/>
      <c r="AD4697" s="159">
        <f>+Table1[[#This Row],[SUBTOTAL]]+Table1[[#This Row],[IVA]]-Table1[[#This Row],[RET IVA]]-Table1[[#This Row],[RET ISR]]-Table1[[#This Row],[TOTAL]]</f>
        <v>0</v>
      </c>
      <c r="AE4697" s="150"/>
      <c r="AF4697" s="151"/>
      <c r="AG4697" s="126" t="s">
        <v>3420</v>
      </c>
      <c r="AK4697" s="306" t="str">
        <f>IF(ISNUMBER(Table1[[#This Row],[FECHA DE RECIBIDO]]), Table1[[#This Row],[FECHA DE RECIBIDO]]-DATE(2023,8,30), "")</f>
        <v/>
      </c>
    </row>
    <row r="4698" spans="1:37" ht="16.05" customHeight="1">
      <c r="A4698" s="152" t="s">
        <v>4616</v>
      </c>
      <c r="B4698" s="153">
        <v>1600</v>
      </c>
      <c r="C4698" s="126" t="s">
        <v>2566</v>
      </c>
      <c r="D4698">
        <v>3195</v>
      </c>
      <c r="E4698" s="126" t="s">
        <v>1603</v>
      </c>
      <c r="F4698" s="125" t="s">
        <v>1607</v>
      </c>
      <c r="G4698" s="125" t="s">
        <v>134</v>
      </c>
      <c r="H4698">
        <v>99</v>
      </c>
      <c r="I4698" s="125" t="s">
        <v>1546</v>
      </c>
      <c r="J4698" s="308" t="s">
        <v>214</v>
      </c>
      <c r="K4698" s="127" t="s">
        <v>4625</v>
      </c>
      <c r="L4698" s="153" t="s">
        <v>1579</v>
      </c>
      <c r="M4698">
        <v>134</v>
      </c>
      <c r="N4698" s="123">
        <v>17</v>
      </c>
      <c r="O4698">
        <v>3054</v>
      </c>
      <c r="P4698" s="132" t="s">
        <v>77</v>
      </c>
      <c r="Q4698" s="132">
        <v>1429.31</v>
      </c>
      <c r="R4698" s="132">
        <v>228.69</v>
      </c>
      <c r="S4698" s="132"/>
      <c r="T4698" s="156"/>
      <c r="U4698" s="132"/>
      <c r="V4698" s="132">
        <v>1658</v>
      </c>
      <c r="W4698">
        <v>147</v>
      </c>
      <c r="X4698" s="153" t="s">
        <v>1644</v>
      </c>
      <c r="Y4698" s="124" t="s">
        <v>55</v>
      </c>
      <c r="Z4698" s="308">
        <v>246</v>
      </c>
      <c r="AB4698" t="str">
        <f>IF(Table1[[#This Row],[TIPO2]]="costo", VLOOKUP(Table1[[#This Row],[PARTIDA PRESUPUESTAL]],'Cost Report'!G:G,1,0),"Balance")</f>
        <v>2594-003</v>
      </c>
      <c r="AC4698" s="118"/>
      <c r="AD4698" s="159">
        <f>+Table1[[#This Row],[SUBTOTAL]]+Table1[[#This Row],[IVA]]-Table1[[#This Row],[RET IVA]]-Table1[[#This Row],[RET ISR]]-Table1[[#This Row],[TOTAL]]</f>
        <v>0</v>
      </c>
      <c r="AE4698" s="152"/>
      <c r="AF4698" s="153"/>
      <c r="AG4698" s="126" t="s">
        <v>3420</v>
      </c>
      <c r="AK4698" s="306" t="str">
        <f>IF(ISNUMBER(Table1[[#This Row],[FECHA DE RECIBIDO]]), Table1[[#This Row],[FECHA DE RECIBIDO]]-DATE(2023,8,30), "")</f>
        <v/>
      </c>
    </row>
    <row r="4699" spans="1:37" ht="16.05" customHeight="1">
      <c r="A4699" s="150" t="s">
        <v>4616</v>
      </c>
      <c r="B4699" s="151">
        <v>1600</v>
      </c>
      <c r="C4699" s="126" t="s">
        <v>2565</v>
      </c>
      <c r="D4699">
        <v>661</v>
      </c>
      <c r="E4699" s="126"/>
      <c r="F4699" s="122"/>
      <c r="G4699" s="122"/>
      <c r="H4699"/>
      <c r="I4699" s="122"/>
      <c r="J4699" s="307" t="s">
        <v>214</v>
      </c>
      <c r="K4699" s="127" t="s">
        <v>4625</v>
      </c>
      <c r="L4699" s="151" t="s">
        <v>1579</v>
      </c>
      <c r="M4699">
        <v>1156</v>
      </c>
      <c r="N4699" s="123">
        <v>17</v>
      </c>
      <c r="O4699">
        <v>3055</v>
      </c>
      <c r="P4699" s="132" t="s">
        <v>77</v>
      </c>
      <c r="Q4699" s="131">
        <v>11</v>
      </c>
      <c r="R4699" s="131"/>
      <c r="S4699" s="131"/>
      <c r="T4699" s="155"/>
      <c r="U4699" s="131"/>
      <c r="V4699" s="131">
        <v>11</v>
      </c>
      <c r="W4699">
        <v>147</v>
      </c>
      <c r="X4699" s="151" t="s">
        <v>1644</v>
      </c>
      <c r="Y4699" s="135" t="s">
        <v>55</v>
      </c>
      <c r="Z4699" s="307">
        <v>250</v>
      </c>
      <c r="AB4699" t="str">
        <f>IF(Table1[[#This Row],[TIPO2]]="costo", VLOOKUP(Table1[[#This Row],[PARTIDA PRESUPUESTAL]],'Cost Report'!G:G,1,0),"Balance")</f>
        <v>2585-003</v>
      </c>
      <c r="AC4699" s="118"/>
      <c r="AD4699" s="159">
        <f>+Table1[[#This Row],[SUBTOTAL]]+Table1[[#This Row],[IVA]]-Table1[[#This Row],[RET IVA]]-Table1[[#This Row],[RET ISR]]-Table1[[#This Row],[TOTAL]]</f>
        <v>0</v>
      </c>
      <c r="AE4699" s="150"/>
      <c r="AF4699" s="151"/>
      <c r="AG4699" s="126" t="s">
        <v>3420</v>
      </c>
      <c r="AK4699" s="306" t="str">
        <f>IF(ISNUMBER(Table1[[#This Row],[FECHA DE RECIBIDO]]), Table1[[#This Row],[FECHA DE RECIBIDO]]-DATE(2023,8,30), "")</f>
        <v/>
      </c>
    </row>
    <row r="4700" spans="1:37" ht="16.05" customHeight="1">
      <c r="A4700" s="152" t="s">
        <v>4616</v>
      </c>
      <c r="B4700" s="153">
        <v>1600</v>
      </c>
      <c r="C4700" s="126" t="s">
        <v>2566</v>
      </c>
      <c r="D4700">
        <v>661</v>
      </c>
      <c r="E4700" s="126"/>
      <c r="F4700" s="125"/>
      <c r="G4700" s="125"/>
      <c r="H4700"/>
      <c r="I4700" s="125"/>
      <c r="J4700" s="308" t="s">
        <v>214</v>
      </c>
      <c r="K4700" s="127" t="s">
        <v>4625</v>
      </c>
      <c r="L4700" s="153" t="s">
        <v>1579</v>
      </c>
      <c r="M4700">
        <v>1157</v>
      </c>
      <c r="N4700" s="123">
        <v>17</v>
      </c>
      <c r="O4700">
        <v>3056</v>
      </c>
      <c r="P4700" s="132" t="s">
        <v>77</v>
      </c>
      <c r="Q4700" s="132">
        <v>78</v>
      </c>
      <c r="R4700" s="132"/>
      <c r="S4700" s="132"/>
      <c r="T4700" s="156"/>
      <c r="U4700" s="132"/>
      <c r="V4700" s="132">
        <v>78</v>
      </c>
      <c r="W4700">
        <v>147</v>
      </c>
      <c r="X4700" s="153" t="s">
        <v>1644</v>
      </c>
      <c r="Y4700" s="124" t="s">
        <v>55</v>
      </c>
      <c r="Z4700" s="308">
        <v>251</v>
      </c>
      <c r="AB4700" t="str">
        <f>IF(Table1[[#This Row],[TIPO2]]="costo", VLOOKUP(Table1[[#This Row],[PARTIDA PRESUPUESTAL]],'Cost Report'!G:G,1,0),"Balance")</f>
        <v>2594-003</v>
      </c>
      <c r="AC4700" s="118"/>
      <c r="AD4700" s="159">
        <f>+Table1[[#This Row],[SUBTOTAL]]+Table1[[#This Row],[IVA]]-Table1[[#This Row],[RET IVA]]-Table1[[#This Row],[RET ISR]]-Table1[[#This Row],[TOTAL]]</f>
        <v>0</v>
      </c>
      <c r="AE4700" s="152"/>
      <c r="AF4700" s="153"/>
      <c r="AG4700" s="126" t="s">
        <v>3420</v>
      </c>
      <c r="AK4700" s="306" t="str">
        <f>IF(ISNUMBER(Table1[[#This Row],[FECHA DE RECIBIDO]]), Table1[[#This Row],[FECHA DE RECIBIDO]]-DATE(2023,8,30), "")</f>
        <v/>
      </c>
    </row>
    <row r="4701" spans="1:37" ht="16.05" customHeight="1">
      <c r="A4701" s="150" t="s">
        <v>4616</v>
      </c>
      <c r="B4701" s="151">
        <v>1600</v>
      </c>
      <c r="C4701" s="126" t="s">
        <v>2565</v>
      </c>
      <c r="D4701">
        <v>661</v>
      </c>
      <c r="E4701" s="126"/>
      <c r="F4701" s="122"/>
      <c r="G4701" s="122"/>
      <c r="H4701"/>
      <c r="I4701" s="122"/>
      <c r="J4701" s="307" t="s">
        <v>214</v>
      </c>
      <c r="K4701" s="127" t="s">
        <v>4625</v>
      </c>
      <c r="L4701" s="151" t="s">
        <v>1579</v>
      </c>
      <c r="M4701">
        <v>1158</v>
      </c>
      <c r="N4701" s="123">
        <v>17</v>
      </c>
      <c r="O4701">
        <v>3055</v>
      </c>
      <c r="P4701" s="132" t="s">
        <v>77</v>
      </c>
      <c r="Q4701" s="131">
        <v>25</v>
      </c>
      <c r="R4701" s="131"/>
      <c r="S4701" s="131"/>
      <c r="T4701" s="155"/>
      <c r="U4701" s="131"/>
      <c r="V4701" s="131">
        <v>25</v>
      </c>
      <c r="W4701">
        <v>147</v>
      </c>
      <c r="X4701" s="151" t="s">
        <v>1644</v>
      </c>
      <c r="Y4701" s="135" t="s">
        <v>55</v>
      </c>
      <c r="Z4701" s="307">
        <v>251</v>
      </c>
      <c r="AB4701" t="str">
        <f>IF(Table1[[#This Row],[TIPO2]]="costo", VLOOKUP(Table1[[#This Row],[PARTIDA PRESUPUESTAL]],'Cost Report'!G:G,1,0),"Balance")</f>
        <v>2585-003</v>
      </c>
      <c r="AC4701" s="118"/>
      <c r="AD4701" s="159">
        <f>+Table1[[#This Row],[SUBTOTAL]]+Table1[[#This Row],[IVA]]-Table1[[#This Row],[RET IVA]]-Table1[[#This Row],[RET ISR]]-Table1[[#This Row],[TOTAL]]</f>
        <v>0</v>
      </c>
      <c r="AE4701" s="150"/>
      <c r="AF4701" s="151"/>
      <c r="AG4701" s="126" t="s">
        <v>3420</v>
      </c>
      <c r="AK4701" s="306" t="str">
        <f>IF(ISNUMBER(Table1[[#This Row],[FECHA DE RECIBIDO]]), Table1[[#This Row],[FECHA DE RECIBIDO]]-DATE(2023,8,30), "")</f>
        <v/>
      </c>
    </row>
    <row r="4702" spans="1:37" ht="16.05" customHeight="1">
      <c r="A4702" s="152" t="s">
        <v>4618</v>
      </c>
      <c r="B4702" s="153">
        <v>1601</v>
      </c>
      <c r="C4702" s="126" t="s">
        <v>2565</v>
      </c>
      <c r="D4702">
        <v>3196</v>
      </c>
      <c r="E4702" s="126" t="s">
        <v>3378</v>
      </c>
      <c r="F4702" s="125" t="s">
        <v>1607</v>
      </c>
      <c r="G4702" s="125" t="s">
        <v>134</v>
      </c>
      <c r="H4702">
        <v>57</v>
      </c>
      <c r="I4702" s="125" t="s">
        <v>1546</v>
      </c>
      <c r="J4702" s="308" t="s">
        <v>214</v>
      </c>
      <c r="K4702" s="127" t="s">
        <v>4625</v>
      </c>
      <c r="L4702" s="153" t="s">
        <v>1579</v>
      </c>
      <c r="M4702">
        <v>79</v>
      </c>
      <c r="N4702" s="123">
        <v>17</v>
      </c>
      <c r="O4702">
        <v>3057</v>
      </c>
      <c r="P4702" s="132" t="s">
        <v>77</v>
      </c>
      <c r="Q4702" s="132">
        <v>801.72</v>
      </c>
      <c r="R4702" s="132">
        <v>128.28</v>
      </c>
      <c r="S4702" s="132"/>
      <c r="T4702" s="156"/>
      <c r="U4702" s="132"/>
      <c r="V4702" s="132">
        <v>930</v>
      </c>
      <c r="W4702">
        <v>148</v>
      </c>
      <c r="X4702" s="153" t="s">
        <v>1644</v>
      </c>
      <c r="Y4702" s="124" t="s">
        <v>55</v>
      </c>
      <c r="Z4702" s="308">
        <v>244</v>
      </c>
      <c r="AB4702" t="str">
        <f>IF(Table1[[#This Row],[TIPO2]]="costo", VLOOKUP(Table1[[#This Row],[PARTIDA PRESUPUESTAL]],'Cost Report'!G:G,1,0),"Balance")</f>
        <v>2585-003</v>
      </c>
      <c r="AC4702" s="118"/>
      <c r="AD4702" s="159">
        <f>+Table1[[#This Row],[SUBTOTAL]]+Table1[[#This Row],[IVA]]-Table1[[#This Row],[RET IVA]]-Table1[[#This Row],[RET ISR]]-Table1[[#This Row],[TOTAL]]</f>
        <v>0</v>
      </c>
      <c r="AE4702" s="152"/>
      <c r="AF4702" s="153"/>
      <c r="AG4702" s="126" t="s">
        <v>3420</v>
      </c>
      <c r="AK4702" s="306" t="str">
        <f>IF(ISNUMBER(Table1[[#This Row],[FECHA DE RECIBIDO]]), Table1[[#This Row],[FECHA DE RECIBIDO]]-DATE(2023,8,30), "")</f>
        <v/>
      </c>
    </row>
    <row r="4703" spans="1:37" ht="16.05" customHeight="1">
      <c r="A4703" s="150" t="s">
        <v>4618</v>
      </c>
      <c r="B4703" s="151">
        <v>1601</v>
      </c>
      <c r="C4703" s="126" t="s">
        <v>2566</v>
      </c>
      <c r="D4703">
        <v>3197</v>
      </c>
      <c r="E4703" s="126" t="s">
        <v>1993</v>
      </c>
      <c r="F4703" s="122" t="s">
        <v>1607</v>
      </c>
      <c r="G4703" s="122" t="s">
        <v>134</v>
      </c>
      <c r="H4703">
        <v>835</v>
      </c>
      <c r="I4703" s="122" t="s">
        <v>1546</v>
      </c>
      <c r="J4703" s="307" t="s">
        <v>214</v>
      </c>
      <c r="K4703" s="127" t="s">
        <v>4625</v>
      </c>
      <c r="L4703" s="151" t="s">
        <v>1579</v>
      </c>
      <c r="M4703">
        <v>1159</v>
      </c>
      <c r="N4703" s="123">
        <v>17</v>
      </c>
      <c r="O4703">
        <v>3058</v>
      </c>
      <c r="P4703" s="132" t="s">
        <v>77</v>
      </c>
      <c r="Q4703" s="131">
        <v>994.82</v>
      </c>
      <c r="R4703" s="131">
        <v>159.18</v>
      </c>
      <c r="S4703" s="131"/>
      <c r="T4703" s="155"/>
      <c r="U4703" s="131"/>
      <c r="V4703" s="131">
        <v>1154</v>
      </c>
      <c r="W4703">
        <v>148</v>
      </c>
      <c r="X4703" s="151" t="s">
        <v>1644</v>
      </c>
      <c r="Y4703" s="135" t="s">
        <v>55</v>
      </c>
      <c r="Z4703" s="307">
        <v>245</v>
      </c>
      <c r="AB4703" t="str">
        <f>IF(Table1[[#This Row],[TIPO2]]="costo", VLOOKUP(Table1[[#This Row],[PARTIDA PRESUPUESTAL]],'Cost Report'!G:G,1,0),"Balance")</f>
        <v>2594-003</v>
      </c>
      <c r="AC4703" s="118"/>
      <c r="AD4703" s="159">
        <f>+Table1[[#This Row],[SUBTOTAL]]+Table1[[#This Row],[IVA]]-Table1[[#This Row],[RET IVA]]-Table1[[#This Row],[RET ISR]]-Table1[[#This Row],[TOTAL]]</f>
        <v>0</v>
      </c>
      <c r="AE4703" s="150"/>
      <c r="AF4703" s="151"/>
      <c r="AG4703" s="126" t="s">
        <v>3420</v>
      </c>
      <c r="AK4703" s="306" t="str">
        <f>IF(ISNUMBER(Table1[[#This Row],[FECHA DE RECIBIDO]]), Table1[[#This Row],[FECHA DE RECIBIDO]]-DATE(2023,8,30), "")</f>
        <v/>
      </c>
    </row>
    <row r="4704" spans="1:37" ht="16.05" customHeight="1">
      <c r="A4704" s="152" t="s">
        <v>4618</v>
      </c>
      <c r="B4704" s="153">
        <v>1601</v>
      </c>
      <c r="C4704" s="126" t="s">
        <v>2566</v>
      </c>
      <c r="D4704">
        <v>3198</v>
      </c>
      <c r="E4704" s="126" t="s">
        <v>1993</v>
      </c>
      <c r="F4704" s="125" t="s">
        <v>1607</v>
      </c>
      <c r="G4704" s="125" t="s">
        <v>134</v>
      </c>
      <c r="H4704">
        <v>835</v>
      </c>
      <c r="I4704" s="125" t="s">
        <v>1546</v>
      </c>
      <c r="J4704" s="308" t="s">
        <v>214</v>
      </c>
      <c r="K4704" s="127" t="s">
        <v>4625</v>
      </c>
      <c r="L4704" s="153" t="s">
        <v>1579</v>
      </c>
      <c r="M4704">
        <v>1159</v>
      </c>
      <c r="N4704" s="123">
        <v>17</v>
      </c>
      <c r="O4704">
        <v>3059</v>
      </c>
      <c r="P4704" s="132" t="s">
        <v>77</v>
      </c>
      <c r="Q4704" s="132">
        <v>969.05</v>
      </c>
      <c r="R4704" s="132">
        <v>155.05000000000001</v>
      </c>
      <c r="S4704" s="132"/>
      <c r="T4704" s="156"/>
      <c r="U4704" s="132"/>
      <c r="V4704" s="132">
        <v>1124.0999999999999</v>
      </c>
      <c r="W4704">
        <v>148</v>
      </c>
      <c r="X4704" s="153" t="s">
        <v>1644</v>
      </c>
      <c r="Y4704" s="124" t="s">
        <v>55</v>
      </c>
      <c r="Z4704" s="308">
        <v>245</v>
      </c>
      <c r="AB4704" t="str">
        <f>IF(Table1[[#This Row],[TIPO2]]="costo", VLOOKUP(Table1[[#This Row],[PARTIDA PRESUPUESTAL]],'Cost Report'!G:G,1,0),"Balance")</f>
        <v>2594-003</v>
      </c>
      <c r="AC4704" s="118"/>
      <c r="AD4704" s="159">
        <f>+Table1[[#This Row],[SUBTOTAL]]+Table1[[#This Row],[IVA]]-Table1[[#This Row],[RET IVA]]-Table1[[#This Row],[RET ISR]]-Table1[[#This Row],[TOTAL]]</f>
        <v>0</v>
      </c>
      <c r="AE4704" s="152"/>
      <c r="AF4704" s="153"/>
      <c r="AG4704" s="126" t="s">
        <v>3420</v>
      </c>
      <c r="AK4704" s="306" t="str">
        <f>IF(ISNUMBER(Table1[[#This Row],[FECHA DE RECIBIDO]]), Table1[[#This Row],[FECHA DE RECIBIDO]]-DATE(2023,8,30), "")</f>
        <v/>
      </c>
    </row>
    <row r="4705" spans="1:37" ht="16.05" customHeight="1">
      <c r="A4705" s="150" t="s">
        <v>4618</v>
      </c>
      <c r="B4705" s="151">
        <v>1601</v>
      </c>
      <c r="C4705" s="126" t="s">
        <v>2566</v>
      </c>
      <c r="D4705">
        <v>3199</v>
      </c>
      <c r="E4705" s="126" t="s">
        <v>1993</v>
      </c>
      <c r="F4705" s="122" t="s">
        <v>1607</v>
      </c>
      <c r="G4705" s="122" t="s">
        <v>134</v>
      </c>
      <c r="H4705">
        <v>153</v>
      </c>
      <c r="I4705" s="122" t="s">
        <v>1546</v>
      </c>
      <c r="J4705" s="307" t="s">
        <v>214</v>
      </c>
      <c r="K4705" s="127" t="s">
        <v>4625</v>
      </c>
      <c r="L4705" s="151" t="s">
        <v>1579</v>
      </c>
      <c r="M4705">
        <v>204</v>
      </c>
      <c r="N4705" s="123">
        <v>17</v>
      </c>
      <c r="O4705">
        <v>3060</v>
      </c>
      <c r="P4705" s="132" t="s">
        <v>77</v>
      </c>
      <c r="Q4705" s="131">
        <v>128.44999999999999</v>
      </c>
      <c r="R4705" s="131">
        <v>20.55</v>
      </c>
      <c r="S4705" s="131"/>
      <c r="T4705" s="155"/>
      <c r="U4705" s="131"/>
      <c r="V4705" s="131">
        <v>149</v>
      </c>
      <c r="W4705">
        <v>148</v>
      </c>
      <c r="X4705" s="151" t="s">
        <v>1644</v>
      </c>
      <c r="Y4705" s="135" t="s">
        <v>55</v>
      </c>
      <c r="Z4705" s="307">
        <v>250</v>
      </c>
      <c r="AB4705" t="str">
        <f>IF(Table1[[#This Row],[TIPO2]]="costo", VLOOKUP(Table1[[#This Row],[PARTIDA PRESUPUESTAL]],'Cost Report'!G:G,1,0),"Balance")</f>
        <v>2594-003</v>
      </c>
      <c r="AC4705" s="118"/>
      <c r="AD4705" s="159">
        <f>+Table1[[#This Row],[SUBTOTAL]]+Table1[[#This Row],[IVA]]-Table1[[#This Row],[RET IVA]]-Table1[[#This Row],[RET ISR]]-Table1[[#This Row],[TOTAL]]</f>
        <v>0</v>
      </c>
      <c r="AE4705" s="150"/>
      <c r="AF4705" s="151"/>
      <c r="AG4705" s="126" t="s">
        <v>3420</v>
      </c>
      <c r="AK4705" s="306" t="str">
        <f>IF(ISNUMBER(Table1[[#This Row],[FECHA DE RECIBIDO]]), Table1[[#This Row],[FECHA DE RECIBIDO]]-DATE(2023,8,30), "")</f>
        <v/>
      </c>
    </row>
    <row r="4706" spans="1:37" ht="16.05" customHeight="1">
      <c r="A4706" s="152" t="s">
        <v>4618</v>
      </c>
      <c r="B4706" s="153">
        <v>1601</v>
      </c>
      <c r="C4706" s="126" t="s">
        <v>2565</v>
      </c>
      <c r="D4706">
        <v>3200</v>
      </c>
      <c r="E4706" s="126" t="s">
        <v>3354</v>
      </c>
      <c r="F4706" s="125" t="s">
        <v>1607</v>
      </c>
      <c r="G4706" s="125" t="s">
        <v>134</v>
      </c>
      <c r="H4706">
        <v>56</v>
      </c>
      <c r="I4706" s="125" t="s">
        <v>1546</v>
      </c>
      <c r="J4706" s="308" t="s">
        <v>214</v>
      </c>
      <c r="K4706" s="127" t="s">
        <v>4625</v>
      </c>
      <c r="L4706" s="153" t="s">
        <v>1579</v>
      </c>
      <c r="M4706">
        <v>78</v>
      </c>
      <c r="N4706" s="123">
        <v>17</v>
      </c>
      <c r="O4706">
        <v>3061</v>
      </c>
      <c r="P4706" s="132" t="s">
        <v>77</v>
      </c>
      <c r="Q4706" s="132">
        <v>170.3</v>
      </c>
      <c r="R4706" s="132"/>
      <c r="S4706" s="132"/>
      <c r="T4706" s="156"/>
      <c r="U4706" s="132"/>
      <c r="V4706" s="132">
        <v>170.3</v>
      </c>
      <c r="W4706">
        <v>148</v>
      </c>
      <c r="X4706" s="153" t="s">
        <v>1644</v>
      </c>
      <c r="Y4706" s="124" t="s">
        <v>55</v>
      </c>
      <c r="Z4706" s="308">
        <v>246</v>
      </c>
      <c r="AB4706" t="str">
        <f>IF(Table1[[#This Row],[TIPO2]]="costo", VLOOKUP(Table1[[#This Row],[PARTIDA PRESUPUESTAL]],'Cost Report'!G:G,1,0),"Balance")</f>
        <v>2585-003</v>
      </c>
      <c r="AC4706" s="118"/>
      <c r="AD4706" s="159">
        <f>+Table1[[#This Row],[SUBTOTAL]]+Table1[[#This Row],[IVA]]-Table1[[#This Row],[RET IVA]]-Table1[[#This Row],[RET ISR]]-Table1[[#This Row],[TOTAL]]</f>
        <v>0</v>
      </c>
      <c r="AE4706" s="152"/>
      <c r="AF4706" s="153"/>
      <c r="AG4706" s="126" t="s">
        <v>3420</v>
      </c>
      <c r="AK4706" s="306" t="str">
        <f>IF(ISNUMBER(Table1[[#This Row],[FECHA DE RECIBIDO]]), Table1[[#This Row],[FECHA DE RECIBIDO]]-DATE(2023,8,30), "")</f>
        <v/>
      </c>
    </row>
    <row r="4707" spans="1:37" ht="16.05" customHeight="1">
      <c r="A4707" s="150" t="s">
        <v>4618</v>
      </c>
      <c r="B4707" s="151">
        <v>1601</v>
      </c>
      <c r="C4707" s="126" t="s">
        <v>2565</v>
      </c>
      <c r="D4707">
        <v>3201</v>
      </c>
      <c r="E4707" s="126" t="s">
        <v>3356</v>
      </c>
      <c r="F4707" s="122" t="s">
        <v>1607</v>
      </c>
      <c r="G4707" s="122" t="s">
        <v>134</v>
      </c>
      <c r="H4707">
        <v>173</v>
      </c>
      <c r="I4707" s="122" t="s">
        <v>1546</v>
      </c>
      <c r="J4707" s="307" t="s">
        <v>214</v>
      </c>
      <c r="K4707" s="127" t="s">
        <v>4625</v>
      </c>
      <c r="L4707" s="151" t="s">
        <v>1579</v>
      </c>
      <c r="M4707">
        <v>230</v>
      </c>
      <c r="N4707" s="123">
        <v>17</v>
      </c>
      <c r="O4707">
        <v>3062</v>
      </c>
      <c r="P4707" s="132" t="s">
        <v>77</v>
      </c>
      <c r="Q4707" s="131">
        <v>1078.21</v>
      </c>
      <c r="R4707" s="131"/>
      <c r="S4707" s="131"/>
      <c r="T4707" s="155"/>
      <c r="U4707" s="131"/>
      <c r="V4707" s="131">
        <v>1078.21</v>
      </c>
      <c r="W4707">
        <v>148</v>
      </c>
      <c r="X4707" s="151" t="s">
        <v>1644</v>
      </c>
      <c r="Y4707" s="135" t="s">
        <v>55</v>
      </c>
      <c r="Z4707" s="307">
        <v>247</v>
      </c>
      <c r="AB4707" t="str">
        <f>IF(Table1[[#This Row],[TIPO2]]="costo", VLOOKUP(Table1[[#This Row],[PARTIDA PRESUPUESTAL]],'Cost Report'!G:G,1,0),"Balance")</f>
        <v>2585-003</v>
      </c>
      <c r="AC4707" s="118"/>
      <c r="AD4707" s="159">
        <f>+Table1[[#This Row],[SUBTOTAL]]+Table1[[#This Row],[IVA]]-Table1[[#This Row],[RET IVA]]-Table1[[#This Row],[RET ISR]]-Table1[[#This Row],[TOTAL]]</f>
        <v>0</v>
      </c>
      <c r="AE4707" s="150"/>
      <c r="AF4707" s="151"/>
      <c r="AG4707" s="126" t="s">
        <v>3420</v>
      </c>
      <c r="AK4707" s="306" t="str">
        <f>IF(ISNUMBER(Table1[[#This Row],[FECHA DE RECIBIDO]]), Table1[[#This Row],[FECHA DE RECIBIDO]]-DATE(2023,8,30), "")</f>
        <v/>
      </c>
    </row>
    <row r="4708" spans="1:37" ht="16.05" customHeight="1">
      <c r="A4708" s="152" t="s">
        <v>4618</v>
      </c>
      <c r="B4708" s="153">
        <v>1601</v>
      </c>
      <c r="C4708" s="126" t="s">
        <v>2565</v>
      </c>
      <c r="D4708">
        <v>3202</v>
      </c>
      <c r="E4708" s="126" t="s">
        <v>3670</v>
      </c>
      <c r="F4708" s="125" t="s">
        <v>1602</v>
      </c>
      <c r="G4708" s="125" t="s">
        <v>1617</v>
      </c>
      <c r="H4708">
        <v>836</v>
      </c>
      <c r="I4708" s="125" t="s">
        <v>1546</v>
      </c>
      <c r="J4708" s="308" t="s">
        <v>214</v>
      </c>
      <c r="K4708" s="127" t="s">
        <v>4625</v>
      </c>
      <c r="L4708" s="153" t="s">
        <v>1579</v>
      </c>
      <c r="M4708">
        <v>1160</v>
      </c>
      <c r="N4708" s="123">
        <v>17</v>
      </c>
      <c r="O4708">
        <v>3063</v>
      </c>
      <c r="P4708" s="132" t="s">
        <v>77</v>
      </c>
      <c r="Q4708" s="132">
        <v>387.93</v>
      </c>
      <c r="R4708" s="132">
        <v>62.07</v>
      </c>
      <c r="S4708" s="132"/>
      <c r="T4708" s="156"/>
      <c r="U4708" s="132"/>
      <c r="V4708" s="132">
        <v>450</v>
      </c>
      <c r="W4708">
        <v>148</v>
      </c>
      <c r="X4708" s="153" t="s">
        <v>1644</v>
      </c>
      <c r="Y4708" s="124" t="s">
        <v>55</v>
      </c>
      <c r="Z4708" s="308">
        <v>252</v>
      </c>
      <c r="AB4708" t="str">
        <f>IF(Table1[[#This Row],[TIPO2]]="costo", VLOOKUP(Table1[[#This Row],[PARTIDA PRESUPUESTAL]],'Cost Report'!G:G,1,0),"Balance")</f>
        <v>2585-003</v>
      </c>
      <c r="AC4708" s="118"/>
      <c r="AD4708" s="159">
        <f>+Table1[[#This Row],[SUBTOTAL]]+Table1[[#This Row],[IVA]]-Table1[[#This Row],[RET IVA]]-Table1[[#This Row],[RET ISR]]-Table1[[#This Row],[TOTAL]]</f>
        <v>0</v>
      </c>
      <c r="AE4708" s="152"/>
      <c r="AF4708" s="153"/>
      <c r="AG4708" s="126" t="s">
        <v>3420</v>
      </c>
      <c r="AK4708" s="306" t="str">
        <f>IF(ISNUMBER(Table1[[#This Row],[FECHA DE RECIBIDO]]), Table1[[#This Row],[FECHA DE RECIBIDO]]-DATE(2023,8,30), "")</f>
        <v/>
      </c>
    </row>
    <row r="4709" spans="1:37" ht="16.05" customHeight="1">
      <c r="A4709" s="150" t="s">
        <v>4618</v>
      </c>
      <c r="B4709" s="151">
        <v>1601</v>
      </c>
      <c r="C4709" s="126" t="s">
        <v>2565</v>
      </c>
      <c r="D4709">
        <v>3203</v>
      </c>
      <c r="E4709" s="126" t="s">
        <v>1612</v>
      </c>
      <c r="F4709" s="122" t="s">
        <v>1382</v>
      </c>
      <c r="G4709" s="122" t="e">
        <v>#N/A</v>
      </c>
      <c r="H4709">
        <v>31</v>
      </c>
      <c r="I4709" s="122" t="s">
        <v>1546</v>
      </c>
      <c r="J4709" s="307" t="s">
        <v>214</v>
      </c>
      <c r="K4709" s="127" t="s">
        <v>4625</v>
      </c>
      <c r="L4709" s="151" t="s">
        <v>1579</v>
      </c>
      <c r="M4709">
        <v>69</v>
      </c>
      <c r="N4709" s="123">
        <v>17</v>
      </c>
      <c r="O4709">
        <v>3064</v>
      </c>
      <c r="P4709" s="132" t="s">
        <v>77</v>
      </c>
      <c r="Q4709" s="131">
        <v>40</v>
      </c>
      <c r="R4709" s="131"/>
      <c r="S4709" s="131"/>
      <c r="T4709" s="155"/>
      <c r="U4709" s="131"/>
      <c r="V4709" s="131">
        <v>40</v>
      </c>
      <c r="W4709">
        <v>148</v>
      </c>
      <c r="X4709" s="151" t="s">
        <v>1644</v>
      </c>
      <c r="Y4709" s="135" t="s">
        <v>55</v>
      </c>
      <c r="Z4709" s="307">
        <v>250</v>
      </c>
      <c r="AB4709" t="str">
        <f>IF(Table1[[#This Row],[TIPO2]]="costo", VLOOKUP(Table1[[#This Row],[PARTIDA PRESUPUESTAL]],'Cost Report'!G:G,1,0),"Balance")</f>
        <v>2585-003</v>
      </c>
      <c r="AC4709" s="118"/>
      <c r="AD4709" s="159">
        <f>+Table1[[#This Row],[SUBTOTAL]]+Table1[[#This Row],[IVA]]-Table1[[#This Row],[RET IVA]]-Table1[[#This Row],[RET ISR]]-Table1[[#This Row],[TOTAL]]</f>
        <v>0</v>
      </c>
      <c r="AE4709" s="150"/>
      <c r="AF4709" s="151"/>
      <c r="AG4709" s="126" t="s">
        <v>3420</v>
      </c>
      <c r="AK4709" s="306" t="str">
        <f>IF(ISNUMBER(Table1[[#This Row],[FECHA DE RECIBIDO]]), Table1[[#This Row],[FECHA DE RECIBIDO]]-DATE(2023,8,30), "")</f>
        <v/>
      </c>
    </row>
    <row r="4710" spans="1:37" ht="16.05" customHeight="1">
      <c r="A4710" s="152" t="s">
        <v>4618</v>
      </c>
      <c r="B4710" s="153">
        <v>1601</v>
      </c>
      <c r="C4710" s="126" t="s">
        <v>2565</v>
      </c>
      <c r="D4710">
        <v>3204</v>
      </c>
      <c r="E4710" s="126" t="s">
        <v>1600</v>
      </c>
      <c r="F4710" s="125" t="s">
        <v>1607</v>
      </c>
      <c r="G4710" s="125" t="s">
        <v>134</v>
      </c>
      <c r="H4710">
        <v>41</v>
      </c>
      <c r="I4710" s="125" t="s">
        <v>1546</v>
      </c>
      <c r="J4710" s="308" t="s">
        <v>214</v>
      </c>
      <c r="K4710" s="127" t="s">
        <v>4625</v>
      </c>
      <c r="L4710" s="153" t="s">
        <v>1579</v>
      </c>
      <c r="M4710">
        <v>323</v>
      </c>
      <c r="N4710" s="123">
        <v>17</v>
      </c>
      <c r="O4710">
        <v>3065</v>
      </c>
      <c r="P4710" s="132" t="s">
        <v>77</v>
      </c>
      <c r="Q4710" s="132">
        <v>2030.3</v>
      </c>
      <c r="R4710" s="132">
        <v>34.83</v>
      </c>
      <c r="S4710" s="132"/>
      <c r="T4710" s="156"/>
      <c r="U4710" s="132"/>
      <c r="V4710" s="132">
        <v>2065.13</v>
      </c>
      <c r="W4710">
        <v>148</v>
      </c>
      <c r="X4710" s="153" t="s">
        <v>1644</v>
      </c>
      <c r="Y4710" s="124" t="s">
        <v>55</v>
      </c>
      <c r="Z4710" s="308">
        <v>254</v>
      </c>
      <c r="AB4710" t="str">
        <f>IF(Table1[[#This Row],[TIPO2]]="costo", VLOOKUP(Table1[[#This Row],[PARTIDA PRESUPUESTAL]],'Cost Report'!G:G,1,0),"Balance")</f>
        <v>2585-003</v>
      </c>
      <c r="AC4710" s="118"/>
      <c r="AD4710" s="159">
        <f>+Table1[[#This Row],[SUBTOTAL]]+Table1[[#This Row],[IVA]]-Table1[[#This Row],[RET IVA]]-Table1[[#This Row],[RET ISR]]-Table1[[#This Row],[TOTAL]]</f>
        <v>0</v>
      </c>
      <c r="AE4710" s="152"/>
      <c r="AF4710" s="153"/>
      <c r="AG4710" s="126" t="s">
        <v>3420</v>
      </c>
      <c r="AK4710" s="306" t="str">
        <f>IF(ISNUMBER(Table1[[#This Row],[FECHA DE RECIBIDO]]), Table1[[#This Row],[FECHA DE RECIBIDO]]-DATE(2023,8,30), "")</f>
        <v/>
      </c>
    </row>
    <row r="4711" spans="1:37" ht="16.05" customHeight="1">
      <c r="A4711" s="150" t="s">
        <v>4618</v>
      </c>
      <c r="B4711" s="151">
        <v>1601</v>
      </c>
      <c r="C4711" s="126" t="s">
        <v>2566</v>
      </c>
      <c r="D4711">
        <v>3205</v>
      </c>
      <c r="E4711" s="126" t="s">
        <v>1999</v>
      </c>
      <c r="F4711" s="122" t="s">
        <v>1607</v>
      </c>
      <c r="G4711" s="122" t="s">
        <v>134</v>
      </c>
      <c r="H4711">
        <v>837</v>
      </c>
      <c r="I4711" s="122" t="s">
        <v>1546</v>
      </c>
      <c r="J4711" s="307" t="s">
        <v>214</v>
      </c>
      <c r="K4711" s="127" t="s">
        <v>4625</v>
      </c>
      <c r="L4711" s="151" t="s">
        <v>1579</v>
      </c>
      <c r="M4711">
        <v>1119</v>
      </c>
      <c r="N4711" s="123">
        <v>17</v>
      </c>
      <c r="O4711">
        <v>3066</v>
      </c>
      <c r="P4711" s="132" t="s">
        <v>77</v>
      </c>
      <c r="Q4711" s="131">
        <v>1370.69</v>
      </c>
      <c r="R4711" s="131">
        <v>219.31</v>
      </c>
      <c r="S4711" s="131"/>
      <c r="T4711" s="155"/>
      <c r="U4711" s="131"/>
      <c r="V4711" s="131">
        <v>1590</v>
      </c>
      <c r="W4711">
        <v>148</v>
      </c>
      <c r="X4711" s="151" t="s">
        <v>1644</v>
      </c>
      <c r="Y4711" s="135" t="s">
        <v>55</v>
      </c>
      <c r="Z4711" s="307">
        <v>254</v>
      </c>
      <c r="AB4711" t="str">
        <f>IF(Table1[[#This Row],[TIPO2]]="costo", VLOOKUP(Table1[[#This Row],[PARTIDA PRESUPUESTAL]],'Cost Report'!G:G,1,0),"Balance")</f>
        <v>2594-003</v>
      </c>
      <c r="AC4711" s="118"/>
      <c r="AD4711" s="159">
        <f>+Table1[[#This Row],[SUBTOTAL]]+Table1[[#This Row],[IVA]]-Table1[[#This Row],[RET IVA]]-Table1[[#This Row],[RET ISR]]-Table1[[#This Row],[TOTAL]]</f>
        <v>0</v>
      </c>
      <c r="AE4711" s="150"/>
      <c r="AF4711" s="151"/>
      <c r="AG4711" s="126" t="s">
        <v>3420</v>
      </c>
      <c r="AK4711" s="306" t="str">
        <f>IF(ISNUMBER(Table1[[#This Row],[FECHA DE RECIBIDO]]), Table1[[#This Row],[FECHA DE RECIBIDO]]-DATE(2023,8,30), "")</f>
        <v/>
      </c>
    </row>
    <row r="4712" spans="1:37" ht="16.05" customHeight="1">
      <c r="A4712" s="152" t="s">
        <v>4618</v>
      </c>
      <c r="B4712" s="153">
        <v>1601</v>
      </c>
      <c r="C4712" s="126" t="s">
        <v>2565</v>
      </c>
      <c r="D4712">
        <v>3206</v>
      </c>
      <c r="E4712" s="126" t="s">
        <v>3275</v>
      </c>
      <c r="F4712" s="125" t="s">
        <v>1607</v>
      </c>
      <c r="G4712" s="125" t="s">
        <v>134</v>
      </c>
      <c r="H4712">
        <v>41</v>
      </c>
      <c r="I4712" s="125" t="s">
        <v>1546</v>
      </c>
      <c r="J4712" s="308" t="s">
        <v>214</v>
      </c>
      <c r="K4712" s="127" t="s">
        <v>4625</v>
      </c>
      <c r="L4712" s="153" t="s">
        <v>1579</v>
      </c>
      <c r="M4712">
        <v>323</v>
      </c>
      <c r="N4712" s="123">
        <v>17</v>
      </c>
      <c r="O4712">
        <v>3067</v>
      </c>
      <c r="P4712" s="132" t="s">
        <v>77</v>
      </c>
      <c r="Q4712" s="132">
        <v>1193.52</v>
      </c>
      <c r="R4712" s="132">
        <v>28.28</v>
      </c>
      <c r="S4712" s="132"/>
      <c r="T4712" s="156"/>
      <c r="U4712" s="132"/>
      <c r="V4712" s="132">
        <v>1221.8</v>
      </c>
      <c r="W4712">
        <v>148</v>
      </c>
      <c r="X4712" s="153" t="s">
        <v>1644</v>
      </c>
      <c r="Y4712" s="124" t="s">
        <v>55</v>
      </c>
      <c r="Z4712" s="308">
        <v>254</v>
      </c>
      <c r="AB4712" t="str">
        <f>IF(Table1[[#This Row],[TIPO2]]="costo", VLOOKUP(Table1[[#This Row],[PARTIDA PRESUPUESTAL]],'Cost Report'!G:G,1,0),"Balance")</f>
        <v>2585-003</v>
      </c>
      <c r="AC4712" s="118"/>
      <c r="AD4712" s="159">
        <f>+Table1[[#This Row],[SUBTOTAL]]+Table1[[#This Row],[IVA]]-Table1[[#This Row],[RET IVA]]-Table1[[#This Row],[RET ISR]]-Table1[[#This Row],[TOTAL]]</f>
        <v>0</v>
      </c>
      <c r="AE4712" s="152"/>
      <c r="AF4712" s="153"/>
      <c r="AG4712" s="126" t="s">
        <v>3420</v>
      </c>
      <c r="AK4712" s="306" t="str">
        <f>IF(ISNUMBER(Table1[[#This Row],[FECHA DE RECIBIDO]]), Table1[[#This Row],[FECHA DE RECIBIDO]]-DATE(2023,8,30), "")</f>
        <v/>
      </c>
    </row>
    <row r="4713" spans="1:37" ht="16.05" customHeight="1">
      <c r="A4713" s="150" t="s">
        <v>4618</v>
      </c>
      <c r="B4713" s="151">
        <v>1601</v>
      </c>
      <c r="C4713" s="126" t="s">
        <v>2565</v>
      </c>
      <c r="D4713">
        <v>3207</v>
      </c>
      <c r="E4713" s="126" t="s">
        <v>1645</v>
      </c>
      <c r="F4713" s="122" t="s">
        <v>1607</v>
      </c>
      <c r="G4713" s="122" t="s">
        <v>134</v>
      </c>
      <c r="H4713">
        <v>838</v>
      </c>
      <c r="I4713" s="122" t="s">
        <v>1546</v>
      </c>
      <c r="J4713" s="307" t="s">
        <v>214</v>
      </c>
      <c r="K4713" s="127" t="s">
        <v>4625</v>
      </c>
      <c r="L4713" s="151" t="s">
        <v>1579</v>
      </c>
      <c r="M4713">
        <v>1161</v>
      </c>
      <c r="N4713" s="123">
        <v>17</v>
      </c>
      <c r="O4713">
        <v>3068</v>
      </c>
      <c r="P4713" s="132" t="s">
        <v>77</v>
      </c>
      <c r="Q4713" s="131">
        <v>712</v>
      </c>
      <c r="R4713" s="131"/>
      <c r="S4713" s="131"/>
      <c r="T4713" s="155"/>
      <c r="U4713" s="131"/>
      <c r="V4713" s="131">
        <v>712</v>
      </c>
      <c r="W4713">
        <v>148</v>
      </c>
      <c r="X4713" s="151" t="s">
        <v>1644</v>
      </c>
      <c r="Y4713" s="135" t="s">
        <v>55</v>
      </c>
      <c r="Z4713" s="307">
        <v>251</v>
      </c>
      <c r="AB4713" t="str">
        <f>IF(Table1[[#This Row],[TIPO2]]="costo", VLOOKUP(Table1[[#This Row],[PARTIDA PRESUPUESTAL]],'Cost Report'!G:G,1,0),"Balance")</f>
        <v>2585-003</v>
      </c>
      <c r="AC4713" s="118"/>
      <c r="AD4713" s="159">
        <f>+Table1[[#This Row],[SUBTOTAL]]+Table1[[#This Row],[IVA]]-Table1[[#This Row],[RET IVA]]-Table1[[#This Row],[RET ISR]]-Table1[[#This Row],[TOTAL]]</f>
        <v>0</v>
      </c>
      <c r="AE4713" s="150"/>
      <c r="AF4713" s="151"/>
      <c r="AG4713" s="126" t="s">
        <v>3420</v>
      </c>
      <c r="AK4713" s="306" t="str">
        <f>IF(ISNUMBER(Table1[[#This Row],[FECHA DE RECIBIDO]]), Table1[[#This Row],[FECHA DE RECIBIDO]]-DATE(2023,8,30), "")</f>
        <v/>
      </c>
    </row>
    <row r="4714" spans="1:37" ht="16.05" customHeight="1">
      <c r="A4714" s="152" t="s">
        <v>4618</v>
      </c>
      <c r="B4714" s="153">
        <v>1601</v>
      </c>
      <c r="C4714" s="126" t="s">
        <v>2565</v>
      </c>
      <c r="D4714">
        <v>3208</v>
      </c>
      <c r="E4714" s="126" t="s">
        <v>3265</v>
      </c>
      <c r="F4714" s="125" t="s">
        <v>1607</v>
      </c>
      <c r="G4714" s="125" t="s">
        <v>134</v>
      </c>
      <c r="H4714">
        <v>839</v>
      </c>
      <c r="I4714" s="125" t="s">
        <v>1546</v>
      </c>
      <c r="J4714" s="308" t="s">
        <v>214</v>
      </c>
      <c r="K4714" s="127" t="s">
        <v>4625</v>
      </c>
      <c r="L4714" s="153" t="s">
        <v>1579</v>
      </c>
      <c r="M4714">
        <v>1162</v>
      </c>
      <c r="N4714" s="123">
        <v>17</v>
      </c>
      <c r="O4714">
        <v>3069</v>
      </c>
      <c r="P4714" s="132" t="s">
        <v>77</v>
      </c>
      <c r="Q4714" s="132">
        <v>1194.44</v>
      </c>
      <c r="R4714" s="132">
        <v>95.56</v>
      </c>
      <c r="S4714" s="132"/>
      <c r="T4714" s="156"/>
      <c r="U4714" s="132"/>
      <c r="V4714" s="132">
        <v>1290</v>
      </c>
      <c r="W4714">
        <v>148</v>
      </c>
      <c r="X4714" s="153" t="s">
        <v>1644</v>
      </c>
      <c r="Y4714" s="124" t="s">
        <v>55</v>
      </c>
      <c r="Z4714" s="308">
        <v>251</v>
      </c>
      <c r="AB4714" t="str">
        <f>IF(Table1[[#This Row],[TIPO2]]="costo", VLOOKUP(Table1[[#This Row],[PARTIDA PRESUPUESTAL]],'Cost Report'!G:G,1,0),"Balance")</f>
        <v>2585-003</v>
      </c>
      <c r="AC4714" s="118"/>
      <c r="AD4714" s="159">
        <f>+Table1[[#This Row],[SUBTOTAL]]+Table1[[#This Row],[IVA]]-Table1[[#This Row],[RET IVA]]-Table1[[#This Row],[RET ISR]]-Table1[[#This Row],[TOTAL]]</f>
        <v>0</v>
      </c>
      <c r="AE4714" s="152"/>
      <c r="AF4714" s="153"/>
      <c r="AG4714" s="126" t="s">
        <v>3420</v>
      </c>
      <c r="AK4714" s="306" t="str">
        <f>IF(ISNUMBER(Table1[[#This Row],[FECHA DE RECIBIDO]]), Table1[[#This Row],[FECHA DE RECIBIDO]]-DATE(2023,8,30), "")</f>
        <v/>
      </c>
    </row>
    <row r="4715" spans="1:37" ht="16.05" customHeight="1">
      <c r="A4715" s="150" t="s">
        <v>4619</v>
      </c>
      <c r="B4715" s="151">
        <v>1602</v>
      </c>
      <c r="C4715" s="126" t="s">
        <v>2458</v>
      </c>
      <c r="D4715">
        <v>3209</v>
      </c>
      <c r="E4715" s="126" t="s">
        <v>1603</v>
      </c>
      <c r="F4715" s="122" t="s">
        <v>1607</v>
      </c>
      <c r="G4715" s="122" t="s">
        <v>134</v>
      </c>
      <c r="H4715">
        <v>278</v>
      </c>
      <c r="I4715" s="122" t="s">
        <v>1546</v>
      </c>
      <c r="J4715" s="307" t="s">
        <v>214</v>
      </c>
      <c r="K4715" s="127" t="s">
        <v>4625</v>
      </c>
      <c r="L4715" s="151" t="s">
        <v>1579</v>
      </c>
      <c r="M4715">
        <v>370</v>
      </c>
      <c r="N4715" s="123">
        <v>17</v>
      </c>
      <c r="O4715">
        <v>3070</v>
      </c>
      <c r="P4715" s="132" t="s">
        <v>77</v>
      </c>
      <c r="Q4715" s="131">
        <v>1754.33</v>
      </c>
      <c r="R4715" s="131">
        <v>280.68</v>
      </c>
      <c r="S4715" s="131"/>
      <c r="T4715" s="155"/>
      <c r="U4715" s="131"/>
      <c r="V4715" s="131">
        <v>2035.01</v>
      </c>
      <c r="W4715">
        <v>145</v>
      </c>
      <c r="X4715" s="151" t="s">
        <v>1644</v>
      </c>
      <c r="Y4715" s="135" t="s">
        <v>55</v>
      </c>
      <c r="Z4715" s="307">
        <v>247</v>
      </c>
      <c r="AB4715" t="str">
        <f>IF(Table1[[#This Row],[TIPO2]]="costo", VLOOKUP(Table1[[#This Row],[PARTIDA PRESUPUESTAL]],'Cost Report'!G:G,1,0),"Balance")</f>
        <v>2311-003</v>
      </c>
      <c r="AC4715" s="118"/>
      <c r="AD4715" s="159">
        <f>+Table1[[#This Row],[SUBTOTAL]]+Table1[[#This Row],[IVA]]-Table1[[#This Row],[RET IVA]]-Table1[[#This Row],[RET ISR]]-Table1[[#This Row],[TOTAL]]</f>
        <v>0</v>
      </c>
      <c r="AE4715" s="150"/>
      <c r="AF4715" s="151"/>
      <c r="AG4715" s="126" t="s">
        <v>3420</v>
      </c>
      <c r="AK4715" s="306" t="str">
        <f>IF(ISNUMBER(Table1[[#This Row],[FECHA DE RECIBIDO]]), Table1[[#This Row],[FECHA DE RECIBIDO]]-DATE(2023,8,30), "")</f>
        <v/>
      </c>
    </row>
    <row r="4716" spans="1:37" ht="16.05" customHeight="1">
      <c r="A4716" s="152" t="s">
        <v>4619</v>
      </c>
      <c r="B4716" s="153">
        <v>1602</v>
      </c>
      <c r="C4716" s="126" t="s">
        <v>610</v>
      </c>
      <c r="D4716">
        <v>3210</v>
      </c>
      <c r="E4716" s="126" t="s">
        <v>3363</v>
      </c>
      <c r="F4716" s="125" t="s">
        <v>1607</v>
      </c>
      <c r="G4716" s="125" t="s">
        <v>134</v>
      </c>
      <c r="H4716">
        <v>99</v>
      </c>
      <c r="I4716" s="125" t="s">
        <v>1546</v>
      </c>
      <c r="J4716" s="308" t="s">
        <v>214</v>
      </c>
      <c r="K4716" s="127" t="s">
        <v>4625</v>
      </c>
      <c r="L4716" s="153" t="s">
        <v>1579</v>
      </c>
      <c r="M4716">
        <v>134</v>
      </c>
      <c r="N4716" s="123">
        <v>17</v>
      </c>
      <c r="O4716">
        <v>3071</v>
      </c>
      <c r="P4716" s="132" t="s">
        <v>77</v>
      </c>
      <c r="Q4716" s="132">
        <v>222.42</v>
      </c>
      <c r="R4716" s="132">
        <v>35.590000000000003</v>
      </c>
      <c r="S4716" s="132"/>
      <c r="T4716" s="156"/>
      <c r="U4716" s="132"/>
      <c r="V4716" s="132">
        <v>258.01</v>
      </c>
      <c r="W4716">
        <v>145</v>
      </c>
      <c r="X4716" s="153" t="s">
        <v>1644</v>
      </c>
      <c r="Y4716" s="124" t="s">
        <v>55</v>
      </c>
      <c r="Z4716" s="308">
        <v>237</v>
      </c>
      <c r="AB4716" t="str">
        <f>IF(Table1[[#This Row],[TIPO2]]="costo", VLOOKUP(Table1[[#This Row],[PARTIDA PRESUPUESTAL]],'Cost Report'!G:G,1,0),"Balance")</f>
        <v>2485-003</v>
      </c>
      <c r="AC4716" s="118"/>
      <c r="AD4716" s="159">
        <f>+Table1[[#This Row],[SUBTOTAL]]+Table1[[#This Row],[IVA]]-Table1[[#This Row],[RET IVA]]-Table1[[#This Row],[RET ISR]]-Table1[[#This Row],[TOTAL]]</f>
        <v>0</v>
      </c>
      <c r="AE4716" s="152"/>
      <c r="AF4716" s="153"/>
      <c r="AG4716" s="126" t="s">
        <v>3420</v>
      </c>
      <c r="AK4716" s="306" t="str">
        <f>IF(ISNUMBER(Table1[[#This Row],[FECHA DE RECIBIDO]]), Table1[[#This Row],[FECHA DE RECIBIDO]]-DATE(2023,8,30), "")</f>
        <v/>
      </c>
    </row>
    <row r="4717" spans="1:37" ht="16.05" customHeight="1">
      <c r="A4717" s="150" t="s">
        <v>4619</v>
      </c>
      <c r="B4717" s="151">
        <v>1602</v>
      </c>
      <c r="C4717" s="126" t="s">
        <v>1505</v>
      </c>
      <c r="D4717">
        <v>3211</v>
      </c>
      <c r="E4717" s="126" t="s">
        <v>3272</v>
      </c>
      <c r="F4717" s="122" t="s">
        <v>1607</v>
      </c>
      <c r="G4717" s="122" t="s">
        <v>134</v>
      </c>
      <c r="H4717">
        <v>286</v>
      </c>
      <c r="I4717" s="122" t="s">
        <v>1546</v>
      </c>
      <c r="J4717" s="307" t="s">
        <v>214</v>
      </c>
      <c r="K4717" s="127" t="s">
        <v>4625</v>
      </c>
      <c r="L4717" s="151" t="s">
        <v>1579</v>
      </c>
      <c r="M4717">
        <v>380</v>
      </c>
      <c r="N4717" s="123">
        <v>17</v>
      </c>
      <c r="O4717">
        <v>3072</v>
      </c>
      <c r="P4717" s="132" t="s">
        <v>77</v>
      </c>
      <c r="Q4717" s="131">
        <v>337.96</v>
      </c>
      <c r="R4717" s="131">
        <v>54.07</v>
      </c>
      <c r="S4717" s="131"/>
      <c r="T4717" s="155"/>
      <c r="U4717" s="131"/>
      <c r="V4717" s="131">
        <v>392.03</v>
      </c>
      <c r="W4717">
        <v>145</v>
      </c>
      <c r="X4717" s="151" t="s">
        <v>1644</v>
      </c>
      <c r="Y4717" s="135" t="s">
        <v>55</v>
      </c>
      <c r="Z4717" s="307">
        <v>244</v>
      </c>
      <c r="AB4717" t="str">
        <f>IF(Table1[[#This Row],[TIPO2]]="costo", VLOOKUP(Table1[[#This Row],[PARTIDA PRESUPUESTAL]],'Cost Report'!G:G,1,0),"Balance")</f>
        <v>2494-003</v>
      </c>
      <c r="AC4717" s="118"/>
      <c r="AD4717" s="159">
        <f>+Table1[[#This Row],[SUBTOTAL]]+Table1[[#This Row],[IVA]]-Table1[[#This Row],[RET IVA]]-Table1[[#This Row],[RET ISR]]-Table1[[#This Row],[TOTAL]]</f>
        <v>0</v>
      </c>
      <c r="AE4717" s="150"/>
      <c r="AF4717" s="151"/>
      <c r="AG4717" s="126" t="s">
        <v>3420</v>
      </c>
      <c r="AK4717" s="306" t="str">
        <f>IF(ISNUMBER(Table1[[#This Row],[FECHA DE RECIBIDO]]), Table1[[#This Row],[FECHA DE RECIBIDO]]-DATE(2023,8,30), "")</f>
        <v/>
      </c>
    </row>
    <row r="4718" spans="1:37" ht="16.05" customHeight="1">
      <c r="A4718" s="152" t="s">
        <v>4619</v>
      </c>
      <c r="B4718" s="153">
        <v>1602</v>
      </c>
      <c r="C4718" s="126" t="s">
        <v>1505</v>
      </c>
      <c r="D4718">
        <v>3212</v>
      </c>
      <c r="E4718" s="126" t="s">
        <v>3272</v>
      </c>
      <c r="F4718" s="125" t="s">
        <v>1607</v>
      </c>
      <c r="G4718" s="125" t="s">
        <v>134</v>
      </c>
      <c r="H4718">
        <v>286</v>
      </c>
      <c r="I4718" s="125" t="s">
        <v>1546</v>
      </c>
      <c r="J4718" s="308" t="s">
        <v>214</v>
      </c>
      <c r="K4718" s="127" t="s">
        <v>4625</v>
      </c>
      <c r="L4718" s="153" t="s">
        <v>1579</v>
      </c>
      <c r="M4718">
        <v>380</v>
      </c>
      <c r="N4718" s="123">
        <v>17</v>
      </c>
      <c r="O4718">
        <v>3072</v>
      </c>
      <c r="P4718" s="132" t="s">
        <v>77</v>
      </c>
      <c r="Q4718" s="132">
        <v>217.26</v>
      </c>
      <c r="R4718" s="132">
        <v>34.76</v>
      </c>
      <c r="S4718" s="132"/>
      <c r="T4718" s="156"/>
      <c r="U4718" s="132"/>
      <c r="V4718" s="132">
        <v>252.01999999999998</v>
      </c>
      <c r="W4718">
        <v>145</v>
      </c>
      <c r="X4718" s="153" t="s">
        <v>1644</v>
      </c>
      <c r="Y4718" s="124" t="s">
        <v>55</v>
      </c>
      <c r="Z4718" s="308">
        <v>244</v>
      </c>
      <c r="AB4718" t="str">
        <f>IF(Table1[[#This Row],[TIPO2]]="costo", VLOOKUP(Table1[[#This Row],[PARTIDA PRESUPUESTAL]],'Cost Report'!G:G,1,0),"Balance")</f>
        <v>2494-003</v>
      </c>
      <c r="AC4718" s="118"/>
      <c r="AD4718" s="159">
        <f>+Table1[[#This Row],[SUBTOTAL]]+Table1[[#This Row],[IVA]]-Table1[[#This Row],[RET IVA]]-Table1[[#This Row],[RET ISR]]-Table1[[#This Row],[TOTAL]]</f>
        <v>0</v>
      </c>
      <c r="AE4718" s="152"/>
      <c r="AF4718" s="153"/>
      <c r="AG4718" s="126" t="s">
        <v>3420</v>
      </c>
      <c r="AK4718" s="306" t="str">
        <f>IF(ISNUMBER(Table1[[#This Row],[FECHA DE RECIBIDO]]), Table1[[#This Row],[FECHA DE RECIBIDO]]-DATE(2023,8,30), "")</f>
        <v/>
      </c>
    </row>
    <row r="4719" spans="1:37" ht="16.05" customHeight="1">
      <c r="A4719" s="150" t="s">
        <v>4619</v>
      </c>
      <c r="B4719" s="151">
        <v>1602</v>
      </c>
      <c r="C4719" s="126" t="s">
        <v>2455</v>
      </c>
      <c r="D4719">
        <v>3213</v>
      </c>
      <c r="E4719" s="126" t="s">
        <v>3278</v>
      </c>
      <c r="F4719" s="122" t="s">
        <v>1607</v>
      </c>
      <c r="G4719" s="122" t="s">
        <v>134</v>
      </c>
      <c r="H4719">
        <v>56</v>
      </c>
      <c r="I4719" s="122" t="s">
        <v>1546</v>
      </c>
      <c r="J4719" s="307" t="s">
        <v>214</v>
      </c>
      <c r="K4719" s="127" t="s">
        <v>4625</v>
      </c>
      <c r="L4719" s="151" t="s">
        <v>1579</v>
      </c>
      <c r="M4719">
        <v>78</v>
      </c>
      <c r="N4719" s="123">
        <v>17</v>
      </c>
      <c r="O4719">
        <v>3073</v>
      </c>
      <c r="P4719" s="132" t="s">
        <v>77</v>
      </c>
      <c r="Q4719" s="131">
        <v>52.5</v>
      </c>
      <c r="R4719" s="131"/>
      <c r="S4719" s="131"/>
      <c r="T4719" s="155"/>
      <c r="U4719" s="131"/>
      <c r="V4719" s="131">
        <v>52.5</v>
      </c>
      <c r="W4719">
        <v>145</v>
      </c>
      <c r="X4719" s="151" t="s">
        <v>1644</v>
      </c>
      <c r="Y4719" s="135" t="s">
        <v>55</v>
      </c>
      <c r="Z4719" s="307">
        <v>238</v>
      </c>
      <c r="AB4719" t="str">
        <f>IF(Table1[[#This Row],[TIPO2]]="costo", VLOOKUP(Table1[[#This Row],[PARTIDA PRESUPUESTAL]],'Cost Report'!G:G,1,0),"Balance")</f>
        <v>2285-003</v>
      </c>
      <c r="AC4719" s="118"/>
      <c r="AD4719" s="159">
        <f>+Table1[[#This Row],[SUBTOTAL]]+Table1[[#This Row],[IVA]]-Table1[[#This Row],[RET IVA]]-Table1[[#This Row],[RET ISR]]-Table1[[#This Row],[TOTAL]]</f>
        <v>0</v>
      </c>
      <c r="AE4719" s="150"/>
      <c r="AF4719" s="151"/>
      <c r="AG4719" s="126" t="s">
        <v>3420</v>
      </c>
      <c r="AK4719" s="306" t="str">
        <f>IF(ISNUMBER(Table1[[#This Row],[FECHA DE RECIBIDO]]), Table1[[#This Row],[FECHA DE RECIBIDO]]-DATE(2023,8,30), "")</f>
        <v/>
      </c>
    </row>
    <row r="4720" spans="1:37" ht="16.05" customHeight="1">
      <c r="A4720" s="152" t="s">
        <v>4619</v>
      </c>
      <c r="B4720" s="153">
        <v>1602</v>
      </c>
      <c r="C4720" s="126" t="s">
        <v>1507</v>
      </c>
      <c r="D4720">
        <v>3214</v>
      </c>
      <c r="E4720" s="126" t="s">
        <v>3275</v>
      </c>
      <c r="F4720" s="125" t="s">
        <v>1589</v>
      </c>
      <c r="G4720" s="125" t="s">
        <v>129</v>
      </c>
      <c r="H4720">
        <v>840</v>
      </c>
      <c r="I4720" s="125" t="s">
        <v>1546</v>
      </c>
      <c r="J4720" s="308" t="s">
        <v>214</v>
      </c>
      <c r="K4720" s="127" t="s">
        <v>4625</v>
      </c>
      <c r="L4720" s="153" t="s">
        <v>1579</v>
      </c>
      <c r="M4720">
        <v>1163</v>
      </c>
      <c r="N4720" s="123">
        <v>17</v>
      </c>
      <c r="O4720">
        <v>3074</v>
      </c>
      <c r="P4720" s="132" t="s">
        <v>77</v>
      </c>
      <c r="Q4720" s="132">
        <v>671.55</v>
      </c>
      <c r="R4720" s="132">
        <v>107.45</v>
      </c>
      <c r="S4720" s="132"/>
      <c r="T4720" s="156"/>
      <c r="U4720" s="132"/>
      <c r="V4720" s="132">
        <v>779</v>
      </c>
      <c r="W4720">
        <v>145</v>
      </c>
      <c r="X4720" s="153" t="s">
        <v>1644</v>
      </c>
      <c r="Y4720" s="124" t="s">
        <v>55</v>
      </c>
      <c r="Z4720" s="308">
        <v>238</v>
      </c>
      <c r="AB4720" t="str">
        <f>IF(Table1[[#This Row],[TIPO2]]="costo", VLOOKUP(Table1[[#This Row],[PARTIDA PRESUPUESTAL]],'Cost Report'!G:G,1,0),"Balance")</f>
        <v>2494-007</v>
      </c>
      <c r="AC4720" s="118"/>
      <c r="AD4720" s="159">
        <f>+Table1[[#This Row],[SUBTOTAL]]+Table1[[#This Row],[IVA]]-Table1[[#This Row],[RET IVA]]-Table1[[#This Row],[RET ISR]]-Table1[[#This Row],[TOTAL]]</f>
        <v>0</v>
      </c>
      <c r="AE4720" s="152"/>
      <c r="AF4720" s="153"/>
      <c r="AG4720" s="126" t="s">
        <v>3420</v>
      </c>
      <c r="AK4720" s="306" t="str">
        <f>IF(ISNUMBER(Table1[[#This Row],[FECHA DE RECIBIDO]]), Table1[[#This Row],[FECHA DE RECIBIDO]]-DATE(2023,8,30), "")</f>
        <v/>
      </c>
    </row>
    <row r="4721" spans="1:37" ht="16.05" customHeight="1">
      <c r="A4721" s="150" t="s">
        <v>4619</v>
      </c>
      <c r="B4721" s="151">
        <v>1602</v>
      </c>
      <c r="C4721" s="126" t="s">
        <v>2546</v>
      </c>
      <c r="D4721">
        <v>3215</v>
      </c>
      <c r="E4721" s="126" t="s">
        <v>3262</v>
      </c>
      <c r="F4721" s="122" t="s">
        <v>1607</v>
      </c>
      <c r="G4721" s="122" t="s">
        <v>134</v>
      </c>
      <c r="H4721">
        <v>224</v>
      </c>
      <c r="I4721" s="122" t="s">
        <v>1546</v>
      </c>
      <c r="J4721" s="307" t="s">
        <v>214</v>
      </c>
      <c r="K4721" s="127" t="s">
        <v>4625</v>
      </c>
      <c r="L4721" s="151" t="s">
        <v>1579</v>
      </c>
      <c r="M4721">
        <v>290</v>
      </c>
      <c r="N4721" s="123">
        <v>17</v>
      </c>
      <c r="O4721">
        <v>3075</v>
      </c>
      <c r="P4721" s="132" t="s">
        <v>77</v>
      </c>
      <c r="Q4721" s="131">
        <v>2193.6999999999998</v>
      </c>
      <c r="R4721" s="131">
        <v>351</v>
      </c>
      <c r="S4721" s="131"/>
      <c r="T4721" s="155"/>
      <c r="U4721" s="131"/>
      <c r="V4721" s="131">
        <v>2544.6999999999998</v>
      </c>
      <c r="W4721">
        <v>145</v>
      </c>
      <c r="X4721" s="151" t="s">
        <v>1644</v>
      </c>
      <c r="Y4721" s="135" t="s">
        <v>55</v>
      </c>
      <c r="Z4721" s="307">
        <v>243</v>
      </c>
      <c r="AB4721" t="str">
        <f>IF(Table1[[#This Row],[TIPO2]]="costo", VLOOKUP(Table1[[#This Row],[PARTIDA PRESUPUESTAL]],'Cost Report'!G:G,1,0),"Balance")</f>
        <v>2494-071</v>
      </c>
      <c r="AC4721" s="118"/>
      <c r="AD4721" s="159">
        <f>+Table1[[#This Row],[SUBTOTAL]]+Table1[[#This Row],[IVA]]-Table1[[#This Row],[RET IVA]]-Table1[[#This Row],[RET ISR]]-Table1[[#This Row],[TOTAL]]</f>
        <v>0</v>
      </c>
      <c r="AE4721" s="150"/>
      <c r="AF4721" s="151"/>
      <c r="AG4721" s="126" t="s">
        <v>3420</v>
      </c>
      <c r="AK4721" s="306" t="str">
        <f>IF(ISNUMBER(Table1[[#This Row],[FECHA DE RECIBIDO]]), Table1[[#This Row],[FECHA DE RECIBIDO]]-DATE(2023,8,30), "")</f>
        <v/>
      </c>
    </row>
    <row r="4722" spans="1:37" ht="16.05" customHeight="1">
      <c r="A4722" s="152" t="s">
        <v>4619</v>
      </c>
      <c r="B4722" s="153">
        <v>1602</v>
      </c>
      <c r="C4722" s="126" t="s">
        <v>2546</v>
      </c>
      <c r="D4722">
        <v>3216</v>
      </c>
      <c r="E4722" s="126" t="s">
        <v>3378</v>
      </c>
      <c r="F4722" s="125" t="s">
        <v>1589</v>
      </c>
      <c r="G4722" s="125" t="s">
        <v>129</v>
      </c>
      <c r="H4722">
        <v>841</v>
      </c>
      <c r="I4722" s="125" t="s">
        <v>1546</v>
      </c>
      <c r="J4722" s="308" t="s">
        <v>214</v>
      </c>
      <c r="K4722" s="127" t="s">
        <v>4625</v>
      </c>
      <c r="L4722" s="153" t="s">
        <v>1579</v>
      </c>
      <c r="M4722">
        <v>1164</v>
      </c>
      <c r="N4722" s="123">
        <v>17</v>
      </c>
      <c r="O4722">
        <v>3076</v>
      </c>
      <c r="P4722" s="132" t="s">
        <v>77</v>
      </c>
      <c r="Q4722" s="132">
        <v>1000</v>
      </c>
      <c r="R4722" s="132"/>
      <c r="S4722" s="132"/>
      <c r="T4722" s="156"/>
      <c r="U4722" s="132"/>
      <c r="V4722" s="132">
        <v>1000</v>
      </c>
      <c r="W4722">
        <v>145</v>
      </c>
      <c r="X4722" s="153" t="s">
        <v>1644</v>
      </c>
      <c r="Y4722" s="124" t="s">
        <v>55</v>
      </c>
      <c r="Z4722" s="308">
        <v>253</v>
      </c>
      <c r="AB4722" t="str">
        <f>IF(Table1[[#This Row],[TIPO2]]="costo", VLOOKUP(Table1[[#This Row],[PARTIDA PRESUPUESTAL]],'Cost Report'!G:G,1,0),"Balance")</f>
        <v>2494-071</v>
      </c>
      <c r="AC4722" s="118"/>
      <c r="AD4722" s="159">
        <f>+Table1[[#This Row],[SUBTOTAL]]+Table1[[#This Row],[IVA]]-Table1[[#This Row],[RET IVA]]-Table1[[#This Row],[RET ISR]]-Table1[[#This Row],[TOTAL]]</f>
        <v>0</v>
      </c>
      <c r="AE4722" s="152"/>
      <c r="AF4722" s="153"/>
      <c r="AG4722" s="126" t="s">
        <v>3420</v>
      </c>
      <c r="AK4722" s="306" t="str">
        <f>IF(ISNUMBER(Table1[[#This Row],[FECHA DE RECIBIDO]]), Table1[[#This Row],[FECHA DE RECIBIDO]]-DATE(2023,8,30), "")</f>
        <v/>
      </c>
    </row>
    <row r="4723" spans="1:37" ht="16.05" customHeight="1">
      <c r="A4723" s="150" t="s">
        <v>4619</v>
      </c>
      <c r="B4723" s="151">
        <v>1602</v>
      </c>
      <c r="C4723" s="126" t="s">
        <v>2546</v>
      </c>
      <c r="D4723">
        <v>3217</v>
      </c>
      <c r="E4723" s="126" t="s">
        <v>3378</v>
      </c>
      <c r="F4723" s="122" t="s">
        <v>1589</v>
      </c>
      <c r="G4723" s="122" t="s">
        <v>129</v>
      </c>
      <c r="H4723">
        <v>842</v>
      </c>
      <c r="I4723" s="122" t="s">
        <v>1546</v>
      </c>
      <c r="J4723" s="307" t="s">
        <v>214</v>
      </c>
      <c r="K4723" s="127" t="s">
        <v>4625</v>
      </c>
      <c r="L4723" s="151" t="s">
        <v>1579</v>
      </c>
      <c r="M4723">
        <v>1165</v>
      </c>
      <c r="N4723" s="123">
        <v>17</v>
      </c>
      <c r="O4723">
        <v>3077</v>
      </c>
      <c r="P4723" s="132" t="s">
        <v>77</v>
      </c>
      <c r="Q4723" s="131">
        <v>1100</v>
      </c>
      <c r="R4723" s="131">
        <v>176</v>
      </c>
      <c r="S4723" s="131"/>
      <c r="T4723" s="155"/>
      <c r="U4723" s="131"/>
      <c r="V4723" s="131">
        <v>1276</v>
      </c>
      <c r="W4723">
        <v>145</v>
      </c>
      <c r="X4723" s="151" t="s">
        <v>1644</v>
      </c>
      <c r="Y4723" s="135" t="s">
        <v>55</v>
      </c>
      <c r="Z4723" s="307">
        <v>244</v>
      </c>
      <c r="AB4723" t="str">
        <f>IF(Table1[[#This Row],[TIPO2]]="costo", VLOOKUP(Table1[[#This Row],[PARTIDA PRESUPUESTAL]],'Cost Report'!G:G,1,0),"Balance")</f>
        <v>2494-071</v>
      </c>
      <c r="AC4723" s="118"/>
      <c r="AD4723" s="159">
        <f>+Table1[[#This Row],[SUBTOTAL]]+Table1[[#This Row],[IVA]]-Table1[[#This Row],[RET IVA]]-Table1[[#This Row],[RET ISR]]-Table1[[#This Row],[TOTAL]]</f>
        <v>0</v>
      </c>
      <c r="AE4723" s="150"/>
      <c r="AF4723" s="151"/>
      <c r="AG4723" s="126" t="s">
        <v>3420</v>
      </c>
      <c r="AK4723" s="306" t="str">
        <f>IF(ISNUMBER(Table1[[#This Row],[FECHA DE RECIBIDO]]), Table1[[#This Row],[FECHA DE RECIBIDO]]-DATE(2023,8,30), "")</f>
        <v/>
      </c>
    </row>
    <row r="4724" spans="1:37" ht="16.05" customHeight="1">
      <c r="A4724" s="152" t="s">
        <v>4619</v>
      </c>
      <c r="B4724" s="153">
        <v>1602</v>
      </c>
      <c r="C4724" s="126" t="s">
        <v>2540</v>
      </c>
      <c r="D4724">
        <v>3218</v>
      </c>
      <c r="E4724" s="126" t="s">
        <v>3356</v>
      </c>
      <c r="F4724" s="125" t="s">
        <v>1607</v>
      </c>
      <c r="G4724" s="125" t="s">
        <v>134</v>
      </c>
      <c r="H4724">
        <v>173</v>
      </c>
      <c r="I4724" s="125" t="s">
        <v>1546</v>
      </c>
      <c r="J4724" s="308" t="s">
        <v>214</v>
      </c>
      <c r="K4724" s="127" t="s">
        <v>4625</v>
      </c>
      <c r="L4724" s="153" t="s">
        <v>1579</v>
      </c>
      <c r="M4724">
        <v>230</v>
      </c>
      <c r="N4724" s="123">
        <v>17</v>
      </c>
      <c r="O4724">
        <v>3078</v>
      </c>
      <c r="P4724" s="132" t="s">
        <v>77</v>
      </c>
      <c r="Q4724" s="132">
        <v>65.52</v>
      </c>
      <c r="R4724" s="132">
        <v>10.48</v>
      </c>
      <c r="S4724" s="132"/>
      <c r="T4724" s="156"/>
      <c r="U4724" s="132"/>
      <c r="V4724" s="132">
        <v>76</v>
      </c>
      <c r="W4724">
        <v>145</v>
      </c>
      <c r="X4724" s="153" t="s">
        <v>1644</v>
      </c>
      <c r="Y4724" s="124" t="s">
        <v>55</v>
      </c>
      <c r="Z4724" s="308">
        <v>252</v>
      </c>
      <c r="AB4724" t="str">
        <f>IF(Table1[[#This Row],[TIPO2]]="costo", VLOOKUP(Table1[[#This Row],[PARTIDA PRESUPUESTAL]],'Cost Report'!G:G,1,0),"Balance")</f>
        <v>2494-059</v>
      </c>
      <c r="AC4724" s="118"/>
      <c r="AD4724" s="159">
        <f>+Table1[[#This Row],[SUBTOTAL]]+Table1[[#This Row],[IVA]]-Table1[[#This Row],[RET IVA]]-Table1[[#This Row],[RET ISR]]-Table1[[#This Row],[TOTAL]]</f>
        <v>0</v>
      </c>
      <c r="AE4724" s="152"/>
      <c r="AF4724" s="153"/>
      <c r="AG4724" s="126" t="s">
        <v>3420</v>
      </c>
      <c r="AK4724" s="306" t="str">
        <f>IF(ISNUMBER(Table1[[#This Row],[FECHA DE RECIBIDO]]), Table1[[#This Row],[FECHA DE RECIBIDO]]-DATE(2023,8,30), "")</f>
        <v/>
      </c>
    </row>
    <row r="4725" spans="1:37" ht="16.05" customHeight="1">
      <c r="A4725" s="150" t="s">
        <v>4619</v>
      </c>
      <c r="B4725" s="151">
        <v>1602</v>
      </c>
      <c r="C4725" s="126" t="s">
        <v>2540</v>
      </c>
      <c r="D4725">
        <v>3219</v>
      </c>
      <c r="E4725" s="126" t="s">
        <v>1596</v>
      </c>
      <c r="F4725" s="122" t="s">
        <v>1607</v>
      </c>
      <c r="G4725" s="122" t="s">
        <v>134</v>
      </c>
      <c r="H4725">
        <v>294</v>
      </c>
      <c r="I4725" s="122" t="s">
        <v>1546</v>
      </c>
      <c r="J4725" s="307" t="s">
        <v>214</v>
      </c>
      <c r="K4725" s="127" t="s">
        <v>4625</v>
      </c>
      <c r="L4725" s="151" t="s">
        <v>1579</v>
      </c>
      <c r="M4725">
        <v>388</v>
      </c>
      <c r="N4725" s="123">
        <v>17</v>
      </c>
      <c r="O4725">
        <v>3079</v>
      </c>
      <c r="P4725" s="132" t="s">
        <v>77</v>
      </c>
      <c r="Q4725" s="131">
        <v>956.61</v>
      </c>
      <c r="R4725" s="131">
        <v>153.06</v>
      </c>
      <c r="S4725" s="131"/>
      <c r="T4725" s="155"/>
      <c r="U4725" s="131"/>
      <c r="V4725" s="131">
        <v>1109.67</v>
      </c>
      <c r="W4725">
        <v>145</v>
      </c>
      <c r="X4725" s="151" t="s">
        <v>1644</v>
      </c>
      <c r="Y4725" s="135" t="s">
        <v>55</v>
      </c>
      <c r="Z4725" s="307">
        <v>252</v>
      </c>
      <c r="AB4725" t="str">
        <f>IF(Table1[[#This Row],[TIPO2]]="costo", VLOOKUP(Table1[[#This Row],[PARTIDA PRESUPUESTAL]],'Cost Report'!G:G,1,0),"Balance")</f>
        <v>2494-059</v>
      </c>
      <c r="AC4725" s="118"/>
      <c r="AD4725" s="159">
        <f>+Table1[[#This Row],[SUBTOTAL]]+Table1[[#This Row],[IVA]]-Table1[[#This Row],[RET IVA]]-Table1[[#This Row],[RET ISR]]-Table1[[#This Row],[TOTAL]]</f>
        <v>0</v>
      </c>
      <c r="AE4725" s="150"/>
      <c r="AF4725" s="151"/>
      <c r="AG4725" s="126" t="s">
        <v>3420</v>
      </c>
      <c r="AK4725" s="306" t="str">
        <f>IF(ISNUMBER(Table1[[#This Row],[FECHA DE RECIBIDO]]), Table1[[#This Row],[FECHA DE RECIBIDO]]-DATE(2023,8,30), "")</f>
        <v/>
      </c>
    </row>
    <row r="4726" spans="1:37" ht="16.05" customHeight="1">
      <c r="A4726" s="152" t="s">
        <v>4620</v>
      </c>
      <c r="B4726" s="153">
        <v>1603</v>
      </c>
      <c r="C4726" s="126" t="s">
        <v>2540</v>
      </c>
      <c r="D4726">
        <v>3220</v>
      </c>
      <c r="E4726" s="126" t="s">
        <v>1994</v>
      </c>
      <c r="F4726" s="125" t="s">
        <v>1602</v>
      </c>
      <c r="G4726" s="125" t="s">
        <v>1617</v>
      </c>
      <c r="H4726">
        <v>616</v>
      </c>
      <c r="I4726" s="125" t="s">
        <v>1546</v>
      </c>
      <c r="J4726" s="308" t="s">
        <v>214</v>
      </c>
      <c r="K4726" s="127" t="s">
        <v>4625</v>
      </c>
      <c r="L4726" s="153" t="s">
        <v>1579</v>
      </c>
      <c r="M4726">
        <v>871</v>
      </c>
      <c r="N4726" s="123">
        <v>17</v>
      </c>
      <c r="O4726">
        <v>3080</v>
      </c>
      <c r="P4726" s="132" t="s">
        <v>77</v>
      </c>
      <c r="Q4726" s="132">
        <v>6992</v>
      </c>
      <c r="R4726" s="132">
        <v>1118.72</v>
      </c>
      <c r="S4726" s="132"/>
      <c r="T4726" s="156"/>
      <c r="U4726" s="132"/>
      <c r="V4726" s="132">
        <v>8110.72</v>
      </c>
      <c r="W4726">
        <v>101</v>
      </c>
      <c r="X4726" s="153" t="s">
        <v>1644</v>
      </c>
      <c r="Y4726" s="124" t="s">
        <v>55</v>
      </c>
      <c r="Z4726" s="308">
        <v>251</v>
      </c>
      <c r="AB4726" t="str">
        <f>IF(Table1[[#This Row],[TIPO2]]="costo", VLOOKUP(Table1[[#This Row],[PARTIDA PRESUPUESTAL]],'Cost Report'!G:G,1,0),"Balance")</f>
        <v>2494-059</v>
      </c>
      <c r="AC4726" s="118"/>
      <c r="AD4726" s="159">
        <f>+Table1[[#This Row],[SUBTOTAL]]+Table1[[#This Row],[IVA]]-Table1[[#This Row],[RET IVA]]-Table1[[#This Row],[RET ISR]]-Table1[[#This Row],[TOTAL]]</f>
        <v>0</v>
      </c>
      <c r="AE4726" s="152"/>
      <c r="AF4726" s="153"/>
      <c r="AG4726" s="126" t="s">
        <v>3420</v>
      </c>
      <c r="AK4726" s="306" t="str">
        <f>IF(ISNUMBER(Table1[[#This Row],[FECHA DE RECIBIDO]]), Table1[[#This Row],[FECHA DE RECIBIDO]]-DATE(2023,8,30), "")</f>
        <v/>
      </c>
    </row>
    <row r="4727" spans="1:37" ht="16.05" customHeight="1">
      <c r="A4727" s="150" t="s">
        <v>4620</v>
      </c>
      <c r="B4727" s="151">
        <v>1603</v>
      </c>
      <c r="C4727" s="126" t="s">
        <v>2540</v>
      </c>
      <c r="D4727">
        <v>3221</v>
      </c>
      <c r="E4727" s="126" t="s">
        <v>1994</v>
      </c>
      <c r="F4727" s="122" t="s">
        <v>1602</v>
      </c>
      <c r="G4727" s="122" t="s">
        <v>1617</v>
      </c>
      <c r="H4727">
        <v>616</v>
      </c>
      <c r="I4727" s="122" t="s">
        <v>1546</v>
      </c>
      <c r="J4727" s="307" t="s">
        <v>214</v>
      </c>
      <c r="K4727" s="127" t="s">
        <v>4625</v>
      </c>
      <c r="L4727" s="151" t="s">
        <v>1579</v>
      </c>
      <c r="M4727">
        <v>871</v>
      </c>
      <c r="N4727" s="123">
        <v>17</v>
      </c>
      <c r="O4727">
        <v>3081</v>
      </c>
      <c r="P4727" s="132" t="s">
        <v>77</v>
      </c>
      <c r="Q4727" s="131">
        <v>1390</v>
      </c>
      <c r="R4727" s="131">
        <v>222.4</v>
      </c>
      <c r="S4727" s="131"/>
      <c r="T4727" s="155"/>
      <c r="U4727" s="131"/>
      <c r="V4727" s="131">
        <v>1612.4</v>
      </c>
      <c r="W4727">
        <v>101</v>
      </c>
      <c r="X4727" s="151" t="s">
        <v>1644</v>
      </c>
      <c r="Y4727" s="135" t="s">
        <v>55</v>
      </c>
      <c r="Z4727" s="307">
        <v>251</v>
      </c>
      <c r="AB4727" t="str">
        <f>IF(Table1[[#This Row],[TIPO2]]="costo", VLOOKUP(Table1[[#This Row],[PARTIDA PRESUPUESTAL]],'Cost Report'!G:G,1,0),"Balance")</f>
        <v>2494-059</v>
      </c>
      <c r="AC4727" s="118"/>
      <c r="AD4727" s="159">
        <f>+Table1[[#This Row],[SUBTOTAL]]+Table1[[#This Row],[IVA]]-Table1[[#This Row],[RET IVA]]-Table1[[#This Row],[RET ISR]]-Table1[[#This Row],[TOTAL]]</f>
        <v>0</v>
      </c>
      <c r="AE4727" s="150"/>
      <c r="AF4727" s="151"/>
      <c r="AG4727" s="126" t="s">
        <v>3420</v>
      </c>
      <c r="AK4727" s="306" t="str">
        <f>IF(ISNUMBER(Table1[[#This Row],[FECHA DE RECIBIDO]]), Table1[[#This Row],[FECHA DE RECIBIDO]]-DATE(2023,8,30), "")</f>
        <v/>
      </c>
    </row>
    <row r="4728" spans="1:37" ht="16.05" customHeight="1">
      <c r="A4728" s="152" t="s">
        <v>4620</v>
      </c>
      <c r="B4728" s="153">
        <v>1603</v>
      </c>
      <c r="C4728" s="126" t="s">
        <v>2540</v>
      </c>
      <c r="D4728">
        <v>3222</v>
      </c>
      <c r="E4728" s="126" t="s">
        <v>1994</v>
      </c>
      <c r="F4728" s="125" t="s">
        <v>1602</v>
      </c>
      <c r="G4728" s="125" t="s">
        <v>1617</v>
      </c>
      <c r="H4728">
        <v>616</v>
      </c>
      <c r="I4728" s="125" t="s">
        <v>1546</v>
      </c>
      <c r="J4728" s="308" t="s">
        <v>214</v>
      </c>
      <c r="K4728" s="127" t="s">
        <v>4625</v>
      </c>
      <c r="L4728" s="153" t="s">
        <v>1579</v>
      </c>
      <c r="M4728">
        <v>871</v>
      </c>
      <c r="N4728" s="123">
        <v>17</v>
      </c>
      <c r="O4728">
        <v>3082</v>
      </c>
      <c r="P4728" s="132" t="s">
        <v>77</v>
      </c>
      <c r="Q4728" s="132">
        <v>2026.07</v>
      </c>
      <c r="R4728" s="132">
        <v>324.17</v>
      </c>
      <c r="S4728" s="132"/>
      <c r="T4728" s="156"/>
      <c r="U4728" s="132"/>
      <c r="V4728" s="132">
        <v>2350.2399999999998</v>
      </c>
      <c r="W4728">
        <v>101</v>
      </c>
      <c r="X4728" s="153" t="s">
        <v>1644</v>
      </c>
      <c r="Y4728" s="124" t="s">
        <v>55</v>
      </c>
      <c r="Z4728" s="308">
        <v>251</v>
      </c>
      <c r="AB4728" t="str">
        <f>IF(Table1[[#This Row],[TIPO2]]="costo", VLOOKUP(Table1[[#This Row],[PARTIDA PRESUPUESTAL]],'Cost Report'!G:G,1,0),"Balance")</f>
        <v>2494-059</v>
      </c>
      <c r="AC4728" s="118"/>
      <c r="AD4728" s="159">
        <f>+Table1[[#This Row],[SUBTOTAL]]+Table1[[#This Row],[IVA]]-Table1[[#This Row],[RET IVA]]-Table1[[#This Row],[RET ISR]]-Table1[[#This Row],[TOTAL]]</f>
        <v>0</v>
      </c>
      <c r="AE4728" s="152"/>
      <c r="AF4728" s="153"/>
      <c r="AG4728" s="126" t="s">
        <v>3420</v>
      </c>
      <c r="AK4728" s="306" t="str">
        <f>IF(ISNUMBER(Table1[[#This Row],[FECHA DE RECIBIDO]]), Table1[[#This Row],[FECHA DE RECIBIDO]]-DATE(2023,8,30), "")</f>
        <v/>
      </c>
    </row>
    <row r="4729" spans="1:37" ht="16.05" customHeight="1">
      <c r="A4729" s="150" t="s">
        <v>4620</v>
      </c>
      <c r="B4729" s="151">
        <v>1603</v>
      </c>
      <c r="C4729" s="126" t="s">
        <v>610</v>
      </c>
      <c r="D4729">
        <v>3223</v>
      </c>
      <c r="E4729" s="126" t="s">
        <v>3275</v>
      </c>
      <c r="F4729" s="122" t="s">
        <v>1607</v>
      </c>
      <c r="G4729" s="122" t="s">
        <v>134</v>
      </c>
      <c r="H4729">
        <v>57</v>
      </c>
      <c r="I4729" s="122" t="s">
        <v>1546</v>
      </c>
      <c r="J4729" s="307" t="s">
        <v>214</v>
      </c>
      <c r="K4729" s="127" t="s">
        <v>4625</v>
      </c>
      <c r="L4729" s="151" t="s">
        <v>1579</v>
      </c>
      <c r="M4729">
        <v>79</v>
      </c>
      <c r="N4729" s="123">
        <v>17</v>
      </c>
      <c r="O4729">
        <v>3083</v>
      </c>
      <c r="P4729" s="132" t="s">
        <v>77</v>
      </c>
      <c r="Q4729" s="131">
        <v>144.83000000000001</v>
      </c>
      <c r="R4729" s="131">
        <v>23.17</v>
      </c>
      <c r="S4729" s="131"/>
      <c r="T4729" s="155"/>
      <c r="U4729" s="131"/>
      <c r="V4729" s="131">
        <v>168</v>
      </c>
      <c r="W4729">
        <v>101</v>
      </c>
      <c r="X4729" s="151" t="s">
        <v>1644</v>
      </c>
      <c r="Y4729" s="135" t="s">
        <v>55</v>
      </c>
      <c r="Z4729" s="307">
        <v>251</v>
      </c>
      <c r="AB4729" t="str">
        <f>IF(Table1[[#This Row],[TIPO2]]="costo", VLOOKUP(Table1[[#This Row],[PARTIDA PRESUPUESTAL]],'Cost Report'!G:G,1,0),"Balance")</f>
        <v>2485-003</v>
      </c>
      <c r="AC4729" s="118"/>
      <c r="AD4729" s="159">
        <f>+Table1[[#This Row],[SUBTOTAL]]+Table1[[#This Row],[IVA]]-Table1[[#This Row],[RET IVA]]-Table1[[#This Row],[RET ISR]]-Table1[[#This Row],[TOTAL]]</f>
        <v>0</v>
      </c>
      <c r="AE4729" s="150"/>
      <c r="AF4729" s="151"/>
      <c r="AG4729" s="126" t="s">
        <v>3420</v>
      </c>
      <c r="AK4729" s="306" t="str">
        <f>IF(ISNUMBER(Table1[[#This Row],[FECHA DE RECIBIDO]]), Table1[[#This Row],[FECHA DE RECIBIDO]]-DATE(2023,8,30), "")</f>
        <v/>
      </c>
    </row>
    <row r="4730" spans="1:37" ht="16.05" customHeight="1">
      <c r="A4730" s="152" t="s">
        <v>4620</v>
      </c>
      <c r="B4730" s="153">
        <v>1603</v>
      </c>
      <c r="C4730" s="126" t="s">
        <v>2455</v>
      </c>
      <c r="D4730">
        <v>3224</v>
      </c>
      <c r="E4730" s="126" t="s">
        <v>3278</v>
      </c>
      <c r="F4730" s="125" t="s">
        <v>1607</v>
      </c>
      <c r="G4730" s="125" t="s">
        <v>134</v>
      </c>
      <c r="H4730">
        <v>56</v>
      </c>
      <c r="I4730" s="125" t="s">
        <v>1546</v>
      </c>
      <c r="J4730" s="308" t="s">
        <v>214</v>
      </c>
      <c r="K4730" s="127" t="s">
        <v>4625</v>
      </c>
      <c r="L4730" s="153" t="s">
        <v>1579</v>
      </c>
      <c r="M4730">
        <v>78</v>
      </c>
      <c r="N4730" s="123">
        <v>17</v>
      </c>
      <c r="O4730">
        <v>3084</v>
      </c>
      <c r="P4730" s="132" t="s">
        <v>77</v>
      </c>
      <c r="Q4730" s="132">
        <v>100.4</v>
      </c>
      <c r="R4730" s="132"/>
      <c r="S4730" s="132"/>
      <c r="T4730" s="156"/>
      <c r="U4730" s="132"/>
      <c r="V4730" s="132">
        <v>100.4</v>
      </c>
      <c r="W4730">
        <v>101</v>
      </c>
      <c r="X4730" s="153" t="s">
        <v>1644</v>
      </c>
      <c r="Y4730" s="124" t="s">
        <v>55</v>
      </c>
      <c r="Z4730" s="308">
        <v>251</v>
      </c>
      <c r="AB4730" t="str">
        <f>IF(Table1[[#This Row],[TIPO2]]="costo", VLOOKUP(Table1[[#This Row],[PARTIDA PRESUPUESTAL]],'Cost Report'!G:G,1,0),"Balance")</f>
        <v>2285-003</v>
      </c>
      <c r="AC4730" s="118"/>
      <c r="AD4730" s="159">
        <f>+Table1[[#This Row],[SUBTOTAL]]+Table1[[#This Row],[IVA]]-Table1[[#This Row],[RET IVA]]-Table1[[#This Row],[RET ISR]]-Table1[[#This Row],[TOTAL]]</f>
        <v>0</v>
      </c>
      <c r="AE4730" s="152"/>
      <c r="AF4730" s="153"/>
      <c r="AG4730" s="126" t="s">
        <v>3420</v>
      </c>
      <c r="AK4730" s="306" t="str">
        <f>IF(ISNUMBER(Table1[[#This Row],[FECHA DE RECIBIDO]]), Table1[[#This Row],[FECHA DE RECIBIDO]]-DATE(2023,8,30), "")</f>
        <v/>
      </c>
    </row>
    <row r="4731" spans="1:37" ht="16.05" customHeight="1">
      <c r="A4731" s="150" t="s">
        <v>4620</v>
      </c>
      <c r="B4731" s="151">
        <v>1603</v>
      </c>
      <c r="C4731" s="126" t="s">
        <v>2540</v>
      </c>
      <c r="D4731">
        <v>3225</v>
      </c>
      <c r="E4731" s="126" t="s">
        <v>3961</v>
      </c>
      <c r="F4731" s="122" t="s">
        <v>1607</v>
      </c>
      <c r="G4731" s="122" t="s">
        <v>134</v>
      </c>
      <c r="H4731">
        <v>99</v>
      </c>
      <c r="I4731" s="122" t="s">
        <v>1546</v>
      </c>
      <c r="J4731" s="307" t="s">
        <v>214</v>
      </c>
      <c r="K4731" s="127" t="s">
        <v>4625</v>
      </c>
      <c r="L4731" s="151" t="s">
        <v>1579</v>
      </c>
      <c r="M4731">
        <v>134</v>
      </c>
      <c r="N4731" s="123">
        <v>17</v>
      </c>
      <c r="O4731">
        <v>3085</v>
      </c>
      <c r="P4731" s="132" t="s">
        <v>77</v>
      </c>
      <c r="Q4731" s="131">
        <v>2479.31</v>
      </c>
      <c r="R4731" s="131">
        <v>396.69</v>
      </c>
      <c r="S4731" s="131"/>
      <c r="T4731" s="155"/>
      <c r="U4731" s="131"/>
      <c r="V4731" s="131">
        <v>2876</v>
      </c>
      <c r="W4731">
        <v>101</v>
      </c>
      <c r="X4731" s="151" t="s">
        <v>1644</v>
      </c>
      <c r="Y4731" s="135" t="s">
        <v>55</v>
      </c>
      <c r="Z4731" s="307">
        <v>252</v>
      </c>
      <c r="AB4731" t="str">
        <f>IF(Table1[[#This Row],[TIPO2]]="costo", VLOOKUP(Table1[[#This Row],[PARTIDA PRESUPUESTAL]],'Cost Report'!G:G,1,0),"Balance")</f>
        <v>2494-059</v>
      </c>
      <c r="AC4731" s="118"/>
      <c r="AD4731" s="159">
        <f>+Table1[[#This Row],[SUBTOTAL]]+Table1[[#This Row],[IVA]]-Table1[[#This Row],[RET IVA]]-Table1[[#This Row],[RET ISR]]-Table1[[#This Row],[TOTAL]]</f>
        <v>0</v>
      </c>
      <c r="AE4731" s="150"/>
      <c r="AF4731" s="151"/>
      <c r="AG4731" s="126" t="s">
        <v>3420</v>
      </c>
      <c r="AK4731" s="306" t="str">
        <f>IF(ISNUMBER(Table1[[#This Row],[FECHA DE RECIBIDO]]), Table1[[#This Row],[FECHA DE RECIBIDO]]-DATE(2023,8,30), "")</f>
        <v/>
      </c>
    </row>
    <row r="4732" spans="1:37" ht="16.05" customHeight="1">
      <c r="A4732" s="152" t="s">
        <v>4620</v>
      </c>
      <c r="B4732" s="153">
        <v>1603</v>
      </c>
      <c r="C4732" s="126" t="s">
        <v>2540</v>
      </c>
      <c r="D4732">
        <v>3226</v>
      </c>
      <c r="E4732" s="126" t="s">
        <v>3272</v>
      </c>
      <c r="F4732" s="125" t="s">
        <v>1607</v>
      </c>
      <c r="G4732" s="125" t="s">
        <v>134</v>
      </c>
      <c r="H4732">
        <v>99</v>
      </c>
      <c r="I4732" s="125" t="s">
        <v>1546</v>
      </c>
      <c r="J4732" s="308" t="s">
        <v>214</v>
      </c>
      <c r="K4732" s="127" t="s">
        <v>4625</v>
      </c>
      <c r="L4732" s="153" t="s">
        <v>1579</v>
      </c>
      <c r="M4732">
        <v>134</v>
      </c>
      <c r="N4732" s="123">
        <v>17</v>
      </c>
      <c r="O4732">
        <v>3086</v>
      </c>
      <c r="P4732" s="132" t="s">
        <v>77</v>
      </c>
      <c r="Q4732" s="132">
        <v>1859.48</v>
      </c>
      <c r="R4732" s="132">
        <v>297.52</v>
      </c>
      <c r="S4732" s="132"/>
      <c r="T4732" s="156"/>
      <c r="U4732" s="132"/>
      <c r="V4732" s="132">
        <v>2157</v>
      </c>
      <c r="W4732">
        <v>101</v>
      </c>
      <c r="X4732" s="153" t="s">
        <v>1644</v>
      </c>
      <c r="Y4732" s="124" t="s">
        <v>55</v>
      </c>
      <c r="Z4732" s="308">
        <v>252</v>
      </c>
      <c r="AB4732" t="str">
        <f>IF(Table1[[#This Row],[TIPO2]]="costo", VLOOKUP(Table1[[#This Row],[PARTIDA PRESUPUESTAL]],'Cost Report'!G:G,1,0),"Balance")</f>
        <v>2494-059</v>
      </c>
      <c r="AC4732" s="118"/>
      <c r="AD4732" s="159">
        <f>+Table1[[#This Row],[SUBTOTAL]]+Table1[[#This Row],[IVA]]-Table1[[#This Row],[RET IVA]]-Table1[[#This Row],[RET ISR]]-Table1[[#This Row],[TOTAL]]</f>
        <v>0</v>
      </c>
      <c r="AE4732" s="152"/>
      <c r="AF4732" s="153"/>
      <c r="AG4732" s="126" t="s">
        <v>3420</v>
      </c>
      <c r="AK4732" s="306" t="str">
        <f>IF(ISNUMBER(Table1[[#This Row],[FECHA DE RECIBIDO]]), Table1[[#This Row],[FECHA DE RECIBIDO]]-DATE(2023,8,30), "")</f>
        <v/>
      </c>
    </row>
    <row r="4733" spans="1:37" ht="16.05" customHeight="1">
      <c r="A4733" s="150" t="s">
        <v>4620</v>
      </c>
      <c r="B4733" s="151">
        <v>1603</v>
      </c>
      <c r="C4733" s="126" t="s">
        <v>2540</v>
      </c>
      <c r="D4733">
        <v>3227</v>
      </c>
      <c r="E4733" s="126" t="s">
        <v>3356</v>
      </c>
      <c r="F4733" s="122" t="s">
        <v>1607</v>
      </c>
      <c r="G4733" s="122" t="s">
        <v>134</v>
      </c>
      <c r="H4733">
        <v>177</v>
      </c>
      <c r="I4733" s="122" t="s">
        <v>1546</v>
      </c>
      <c r="J4733" s="307" t="s">
        <v>214</v>
      </c>
      <c r="K4733" s="127" t="s">
        <v>4625</v>
      </c>
      <c r="L4733" s="151" t="s">
        <v>1579</v>
      </c>
      <c r="M4733">
        <v>238</v>
      </c>
      <c r="N4733" s="123">
        <v>17</v>
      </c>
      <c r="O4733">
        <v>3087</v>
      </c>
      <c r="P4733" s="132" t="s">
        <v>77</v>
      </c>
      <c r="Q4733" s="131">
        <v>189.6</v>
      </c>
      <c r="R4733" s="131">
        <v>30.34</v>
      </c>
      <c r="S4733" s="131"/>
      <c r="T4733" s="155"/>
      <c r="U4733" s="131"/>
      <c r="V4733" s="131">
        <v>219.94</v>
      </c>
      <c r="W4733">
        <v>101</v>
      </c>
      <c r="X4733" s="151" t="s">
        <v>1644</v>
      </c>
      <c r="Y4733" s="135" t="s">
        <v>55</v>
      </c>
      <c r="Z4733" s="307">
        <v>252</v>
      </c>
      <c r="AB4733" t="str">
        <f>IF(Table1[[#This Row],[TIPO2]]="costo", VLOOKUP(Table1[[#This Row],[PARTIDA PRESUPUESTAL]],'Cost Report'!G:G,1,0),"Balance")</f>
        <v>2494-059</v>
      </c>
      <c r="AC4733" s="118"/>
      <c r="AD4733" s="159">
        <f>+Table1[[#This Row],[SUBTOTAL]]+Table1[[#This Row],[IVA]]-Table1[[#This Row],[RET IVA]]-Table1[[#This Row],[RET ISR]]-Table1[[#This Row],[TOTAL]]</f>
        <v>0</v>
      </c>
      <c r="AE4733" s="150"/>
      <c r="AF4733" s="151"/>
      <c r="AG4733" s="126" t="s">
        <v>3420</v>
      </c>
      <c r="AK4733" s="306" t="str">
        <f>IF(ISNUMBER(Table1[[#This Row],[FECHA DE RECIBIDO]]), Table1[[#This Row],[FECHA DE RECIBIDO]]-DATE(2023,8,30), "")</f>
        <v/>
      </c>
    </row>
    <row r="4734" spans="1:37" ht="16.05" customHeight="1">
      <c r="A4734" s="152" t="s">
        <v>4620</v>
      </c>
      <c r="B4734" s="153">
        <v>1603</v>
      </c>
      <c r="C4734" s="126" t="s">
        <v>2540</v>
      </c>
      <c r="D4734">
        <v>3228</v>
      </c>
      <c r="E4734" s="126" t="s">
        <v>1645</v>
      </c>
      <c r="F4734" s="125" t="s">
        <v>1593</v>
      </c>
      <c r="G4734" s="125" t="s">
        <v>109</v>
      </c>
      <c r="H4734">
        <v>843</v>
      </c>
      <c r="I4734" s="125" t="s">
        <v>1546</v>
      </c>
      <c r="J4734" s="308" t="s">
        <v>214</v>
      </c>
      <c r="K4734" s="127" t="s">
        <v>4625</v>
      </c>
      <c r="L4734" s="153" t="s">
        <v>1579</v>
      </c>
      <c r="M4734">
        <v>1166</v>
      </c>
      <c r="N4734" s="123">
        <v>17</v>
      </c>
      <c r="O4734">
        <v>3088</v>
      </c>
      <c r="P4734" s="132" t="s">
        <v>77</v>
      </c>
      <c r="Q4734" s="132">
        <v>789.87</v>
      </c>
      <c r="R4734" s="132"/>
      <c r="S4734" s="132"/>
      <c r="T4734" s="156"/>
      <c r="U4734" s="132">
        <v>9.8699999999999992</v>
      </c>
      <c r="V4734" s="132">
        <v>780</v>
      </c>
      <c r="W4734">
        <v>101</v>
      </c>
      <c r="X4734" s="153" t="s">
        <v>1644</v>
      </c>
      <c r="Y4734" s="124" t="s">
        <v>55</v>
      </c>
      <c r="Z4734" s="308">
        <v>252</v>
      </c>
      <c r="AB4734" t="str">
        <f>IF(Table1[[#This Row],[TIPO2]]="costo", VLOOKUP(Table1[[#This Row],[PARTIDA PRESUPUESTAL]],'Cost Report'!G:G,1,0),"Balance")</f>
        <v>2494-059</v>
      </c>
      <c r="AC4734" s="118"/>
      <c r="AD4734" s="159">
        <f>+Table1[[#This Row],[SUBTOTAL]]+Table1[[#This Row],[IVA]]-Table1[[#This Row],[RET IVA]]-Table1[[#This Row],[RET ISR]]-Table1[[#This Row],[TOTAL]]</f>
        <v>0</v>
      </c>
      <c r="AE4734" s="152"/>
      <c r="AF4734" s="153"/>
      <c r="AG4734" s="126" t="s">
        <v>3420</v>
      </c>
      <c r="AK4734" s="306" t="str">
        <f>IF(ISNUMBER(Table1[[#This Row],[FECHA DE RECIBIDO]]), Table1[[#This Row],[FECHA DE RECIBIDO]]-DATE(2023,8,30), "")</f>
        <v/>
      </c>
    </row>
    <row r="4735" spans="1:37" ht="16.05" customHeight="1">
      <c r="A4735" s="150" t="s">
        <v>4620</v>
      </c>
      <c r="B4735" s="151">
        <v>1603</v>
      </c>
      <c r="C4735" s="126" t="s">
        <v>2455</v>
      </c>
      <c r="D4735">
        <v>689</v>
      </c>
      <c r="E4735" s="126"/>
      <c r="F4735" s="122"/>
      <c r="G4735" s="122"/>
      <c r="H4735"/>
      <c r="I4735" s="122"/>
      <c r="J4735" s="307" t="s">
        <v>214</v>
      </c>
      <c r="K4735" s="127" t="s">
        <v>4625</v>
      </c>
      <c r="L4735" s="151" t="s">
        <v>1579</v>
      </c>
      <c r="M4735">
        <v>375</v>
      </c>
      <c r="N4735" s="123">
        <v>17</v>
      </c>
      <c r="O4735">
        <v>522</v>
      </c>
      <c r="P4735" s="132" t="s">
        <v>77</v>
      </c>
      <c r="Q4735" s="131">
        <v>34.22</v>
      </c>
      <c r="R4735" s="131"/>
      <c r="S4735" s="131"/>
      <c r="T4735" s="155"/>
      <c r="U4735" s="131"/>
      <c r="V4735" s="131">
        <v>34.22</v>
      </c>
      <c r="W4735">
        <v>101</v>
      </c>
      <c r="X4735" s="151" t="s">
        <v>1644</v>
      </c>
      <c r="Y4735" s="135" t="s">
        <v>55</v>
      </c>
      <c r="Z4735" s="307">
        <v>247</v>
      </c>
      <c r="AB4735" t="str">
        <f>IF(Table1[[#This Row],[TIPO2]]="costo", VLOOKUP(Table1[[#This Row],[PARTIDA PRESUPUESTAL]],'Cost Report'!G:G,1,0),"Balance")</f>
        <v>2285-003</v>
      </c>
      <c r="AC4735" s="118"/>
      <c r="AD4735" s="159">
        <f>+Table1[[#This Row],[SUBTOTAL]]+Table1[[#This Row],[IVA]]-Table1[[#This Row],[RET IVA]]-Table1[[#This Row],[RET ISR]]-Table1[[#This Row],[TOTAL]]</f>
        <v>0</v>
      </c>
      <c r="AE4735" s="150"/>
      <c r="AF4735" s="151"/>
      <c r="AG4735" s="126" t="s">
        <v>3420</v>
      </c>
      <c r="AK4735" s="306" t="str">
        <f>IF(ISNUMBER(Table1[[#This Row],[FECHA DE RECIBIDO]]), Table1[[#This Row],[FECHA DE RECIBIDO]]-DATE(2023,8,30), "")</f>
        <v/>
      </c>
    </row>
    <row r="4736" spans="1:37" ht="16.05" customHeight="1">
      <c r="A4736" s="152" t="s">
        <v>4620</v>
      </c>
      <c r="B4736" s="153">
        <v>1603</v>
      </c>
      <c r="C4736" s="126" t="s">
        <v>2455</v>
      </c>
      <c r="D4736">
        <v>689</v>
      </c>
      <c r="E4736" s="126"/>
      <c r="F4736" s="125"/>
      <c r="G4736" s="125"/>
      <c r="H4736"/>
      <c r="I4736" s="125"/>
      <c r="J4736" s="308" t="s">
        <v>214</v>
      </c>
      <c r="K4736" s="127" t="s">
        <v>4625</v>
      </c>
      <c r="L4736" s="153" t="s">
        <v>1579</v>
      </c>
      <c r="M4736">
        <v>1167</v>
      </c>
      <c r="N4736" s="123">
        <v>17</v>
      </c>
      <c r="O4736">
        <v>522</v>
      </c>
      <c r="P4736" s="132" t="s">
        <v>77</v>
      </c>
      <c r="Q4736" s="132">
        <v>34.799999999999997</v>
      </c>
      <c r="R4736" s="132"/>
      <c r="S4736" s="132"/>
      <c r="T4736" s="156"/>
      <c r="U4736" s="132"/>
      <c r="V4736" s="132">
        <v>34.799999999999997</v>
      </c>
      <c r="W4736">
        <v>101</v>
      </c>
      <c r="X4736" s="153" t="s">
        <v>1644</v>
      </c>
      <c r="Y4736" s="124" t="s">
        <v>55</v>
      </c>
      <c r="Z4736" s="308">
        <v>248</v>
      </c>
      <c r="AB4736" t="str">
        <f>IF(Table1[[#This Row],[TIPO2]]="costo", VLOOKUP(Table1[[#This Row],[PARTIDA PRESUPUESTAL]],'Cost Report'!G:G,1,0),"Balance")</f>
        <v>2285-003</v>
      </c>
      <c r="AC4736" s="118"/>
      <c r="AD4736" s="159">
        <f>+Table1[[#This Row],[SUBTOTAL]]+Table1[[#This Row],[IVA]]-Table1[[#This Row],[RET IVA]]-Table1[[#This Row],[RET ISR]]-Table1[[#This Row],[TOTAL]]</f>
        <v>0</v>
      </c>
      <c r="AE4736" s="152"/>
      <c r="AF4736" s="153"/>
      <c r="AG4736" s="126" t="s">
        <v>3420</v>
      </c>
      <c r="AK4736" s="306" t="str">
        <f>IF(ISNUMBER(Table1[[#This Row],[FECHA DE RECIBIDO]]), Table1[[#This Row],[FECHA DE RECIBIDO]]-DATE(2023,8,30), "")</f>
        <v/>
      </c>
    </row>
    <row r="4737" spans="1:37" ht="16.05" customHeight="1">
      <c r="A4737" s="150" t="s">
        <v>4620</v>
      </c>
      <c r="B4737" s="151">
        <v>1603</v>
      </c>
      <c r="C4737" s="126" t="s">
        <v>2546</v>
      </c>
      <c r="D4737">
        <v>689</v>
      </c>
      <c r="E4737" s="126"/>
      <c r="F4737" s="122"/>
      <c r="G4737" s="122"/>
      <c r="H4737"/>
      <c r="I4737" s="122"/>
      <c r="J4737" s="307" t="s">
        <v>214</v>
      </c>
      <c r="K4737" s="127" t="s">
        <v>4625</v>
      </c>
      <c r="L4737" s="151" t="s">
        <v>1579</v>
      </c>
      <c r="M4737">
        <v>1168</v>
      </c>
      <c r="N4737" s="123">
        <v>17</v>
      </c>
      <c r="O4737">
        <v>3089</v>
      </c>
      <c r="P4737" s="132" t="s">
        <v>77</v>
      </c>
      <c r="Q4737" s="131">
        <v>85</v>
      </c>
      <c r="R4737" s="131"/>
      <c r="S4737" s="131"/>
      <c r="T4737" s="155"/>
      <c r="U4737" s="131"/>
      <c r="V4737" s="131">
        <v>85</v>
      </c>
      <c r="W4737">
        <v>101</v>
      </c>
      <c r="X4737" s="151" t="s">
        <v>1644</v>
      </c>
      <c r="Y4737" s="135" t="s">
        <v>55</v>
      </c>
      <c r="Z4737" s="307">
        <v>249</v>
      </c>
      <c r="AB4737" t="str">
        <f>IF(Table1[[#This Row],[TIPO2]]="costo", VLOOKUP(Table1[[#This Row],[PARTIDA PRESUPUESTAL]],'Cost Report'!G:G,1,0),"Balance")</f>
        <v>2494-071</v>
      </c>
      <c r="AC4737" s="118"/>
      <c r="AD4737" s="159">
        <f>+Table1[[#This Row],[SUBTOTAL]]+Table1[[#This Row],[IVA]]-Table1[[#This Row],[RET IVA]]-Table1[[#This Row],[RET ISR]]-Table1[[#This Row],[TOTAL]]</f>
        <v>0</v>
      </c>
      <c r="AE4737" s="150"/>
      <c r="AF4737" s="151"/>
      <c r="AG4737" s="126" t="s">
        <v>3420</v>
      </c>
      <c r="AK4737" s="306" t="str">
        <f>IF(ISNUMBER(Table1[[#This Row],[FECHA DE RECIBIDO]]), Table1[[#This Row],[FECHA DE RECIBIDO]]-DATE(2023,8,30), "")</f>
        <v/>
      </c>
    </row>
    <row r="4738" spans="1:37" ht="16.05" customHeight="1">
      <c r="A4738" s="152" t="s">
        <v>4620</v>
      </c>
      <c r="B4738" s="153">
        <v>1603</v>
      </c>
      <c r="C4738" s="126" t="s">
        <v>2546</v>
      </c>
      <c r="D4738">
        <v>689</v>
      </c>
      <c r="E4738" s="126"/>
      <c r="F4738" s="125"/>
      <c r="G4738" s="125"/>
      <c r="H4738"/>
      <c r="I4738" s="125"/>
      <c r="J4738" s="308" t="s">
        <v>214</v>
      </c>
      <c r="K4738" s="127" t="s">
        <v>4625</v>
      </c>
      <c r="L4738" s="153" t="s">
        <v>1579</v>
      </c>
      <c r="M4738">
        <v>1169</v>
      </c>
      <c r="N4738" s="123">
        <v>17</v>
      </c>
      <c r="O4738">
        <v>3090</v>
      </c>
      <c r="P4738" s="132" t="s">
        <v>77</v>
      </c>
      <c r="Q4738" s="132">
        <v>70</v>
      </c>
      <c r="R4738" s="132"/>
      <c r="S4738" s="132"/>
      <c r="T4738" s="156"/>
      <c r="U4738" s="132"/>
      <c r="V4738" s="132">
        <v>70</v>
      </c>
      <c r="W4738">
        <v>101</v>
      </c>
      <c r="X4738" s="153" t="s">
        <v>1644</v>
      </c>
      <c r="Y4738" s="124" t="s">
        <v>55</v>
      </c>
      <c r="Z4738" s="308">
        <v>249</v>
      </c>
      <c r="AB4738" t="str">
        <f>IF(Table1[[#This Row],[TIPO2]]="costo", VLOOKUP(Table1[[#This Row],[PARTIDA PRESUPUESTAL]],'Cost Report'!G:G,1,0),"Balance")</f>
        <v>2494-071</v>
      </c>
      <c r="AC4738" s="118"/>
      <c r="AD4738" s="159">
        <f>+Table1[[#This Row],[SUBTOTAL]]+Table1[[#This Row],[IVA]]-Table1[[#This Row],[RET IVA]]-Table1[[#This Row],[RET ISR]]-Table1[[#This Row],[TOTAL]]</f>
        <v>0</v>
      </c>
      <c r="AE4738" s="152"/>
      <c r="AF4738" s="153"/>
      <c r="AG4738" s="126" t="s">
        <v>3420</v>
      </c>
      <c r="AK4738" s="306" t="str">
        <f>IF(ISNUMBER(Table1[[#This Row],[FECHA DE RECIBIDO]]), Table1[[#This Row],[FECHA DE RECIBIDO]]-DATE(2023,8,30), "")</f>
        <v/>
      </c>
    </row>
    <row r="4739" spans="1:37" ht="16.05" customHeight="1">
      <c r="A4739" s="150" t="s">
        <v>4620</v>
      </c>
      <c r="B4739" s="151">
        <v>1603</v>
      </c>
      <c r="C4739" s="126" t="s">
        <v>2455</v>
      </c>
      <c r="D4739">
        <v>689</v>
      </c>
      <c r="E4739" s="126"/>
      <c r="F4739" s="122"/>
      <c r="G4739" s="122"/>
      <c r="H4739"/>
      <c r="I4739" s="122"/>
      <c r="J4739" s="307" t="s">
        <v>214</v>
      </c>
      <c r="K4739" s="127" t="s">
        <v>4625</v>
      </c>
      <c r="L4739" s="151" t="s">
        <v>1579</v>
      </c>
      <c r="M4739">
        <v>375</v>
      </c>
      <c r="N4739" s="123">
        <v>17</v>
      </c>
      <c r="O4739">
        <v>522</v>
      </c>
      <c r="P4739" s="132" t="s">
        <v>77</v>
      </c>
      <c r="Q4739" s="131">
        <v>34.22</v>
      </c>
      <c r="R4739" s="131"/>
      <c r="S4739" s="131"/>
      <c r="T4739" s="155"/>
      <c r="U4739" s="131"/>
      <c r="V4739" s="131">
        <v>34.22</v>
      </c>
      <c r="W4739">
        <v>101</v>
      </c>
      <c r="X4739" s="151" t="s">
        <v>1644</v>
      </c>
      <c r="Y4739" s="135" t="s">
        <v>55</v>
      </c>
      <c r="Z4739" s="307">
        <v>250</v>
      </c>
      <c r="AB4739" t="str">
        <f>IF(Table1[[#This Row],[TIPO2]]="costo", VLOOKUP(Table1[[#This Row],[PARTIDA PRESUPUESTAL]],'Cost Report'!G:G,1,0),"Balance")</f>
        <v>2285-003</v>
      </c>
      <c r="AC4739" s="118"/>
      <c r="AD4739" s="159">
        <f>+Table1[[#This Row],[SUBTOTAL]]+Table1[[#This Row],[IVA]]-Table1[[#This Row],[RET IVA]]-Table1[[#This Row],[RET ISR]]-Table1[[#This Row],[TOTAL]]</f>
        <v>0</v>
      </c>
      <c r="AE4739" s="150"/>
      <c r="AF4739" s="151"/>
      <c r="AG4739" s="126" t="s">
        <v>3420</v>
      </c>
      <c r="AK4739" s="306" t="str">
        <f>IF(ISNUMBER(Table1[[#This Row],[FECHA DE RECIBIDO]]), Table1[[#This Row],[FECHA DE RECIBIDO]]-DATE(2023,8,30), "")</f>
        <v/>
      </c>
    </row>
    <row r="4740" spans="1:37" ht="16.05" customHeight="1">
      <c r="A4740" s="152" t="s">
        <v>4620</v>
      </c>
      <c r="B4740" s="153">
        <v>1603</v>
      </c>
      <c r="C4740" s="126" t="s">
        <v>2455</v>
      </c>
      <c r="D4740">
        <v>689</v>
      </c>
      <c r="E4740" s="126"/>
      <c r="F4740" s="125"/>
      <c r="G4740" s="125"/>
      <c r="H4740"/>
      <c r="I4740" s="125"/>
      <c r="J4740" s="308" t="s">
        <v>214</v>
      </c>
      <c r="K4740" s="127" t="s">
        <v>4625</v>
      </c>
      <c r="L4740" s="153" t="s">
        <v>1579</v>
      </c>
      <c r="M4740">
        <v>215</v>
      </c>
      <c r="N4740" s="123">
        <v>17</v>
      </c>
      <c r="O4740">
        <v>3091</v>
      </c>
      <c r="P4740" s="132" t="s">
        <v>77</v>
      </c>
      <c r="Q4740" s="132">
        <v>81.36</v>
      </c>
      <c r="R4740" s="132"/>
      <c r="S4740" s="132"/>
      <c r="T4740" s="156"/>
      <c r="U4740" s="132"/>
      <c r="V4740" s="132">
        <v>81.36</v>
      </c>
      <c r="W4740">
        <v>101</v>
      </c>
      <c r="X4740" s="153" t="s">
        <v>1644</v>
      </c>
      <c r="Y4740" s="124" t="s">
        <v>55</v>
      </c>
      <c r="Z4740" s="308">
        <v>251</v>
      </c>
      <c r="AB4740" t="str">
        <f>IF(Table1[[#This Row],[TIPO2]]="costo", VLOOKUP(Table1[[#This Row],[PARTIDA PRESUPUESTAL]],'Cost Report'!G:G,1,0),"Balance")</f>
        <v>2285-003</v>
      </c>
      <c r="AC4740" s="118"/>
      <c r="AD4740" s="159">
        <f>+Table1[[#This Row],[SUBTOTAL]]+Table1[[#This Row],[IVA]]-Table1[[#This Row],[RET IVA]]-Table1[[#This Row],[RET ISR]]-Table1[[#This Row],[TOTAL]]</f>
        <v>0</v>
      </c>
      <c r="AE4740" s="152"/>
      <c r="AF4740" s="153"/>
      <c r="AG4740" s="126" t="s">
        <v>3420</v>
      </c>
      <c r="AK4740" s="306" t="str">
        <f>IF(ISNUMBER(Table1[[#This Row],[FECHA DE RECIBIDO]]), Table1[[#This Row],[FECHA DE RECIBIDO]]-DATE(2023,8,30), "")</f>
        <v/>
      </c>
    </row>
    <row r="4741" spans="1:37" ht="16.05" customHeight="1">
      <c r="A4741" s="150" t="s">
        <v>4620</v>
      </c>
      <c r="B4741" s="151">
        <v>1603</v>
      </c>
      <c r="C4741" s="126" t="s">
        <v>2455</v>
      </c>
      <c r="D4741">
        <v>689</v>
      </c>
      <c r="E4741" s="126"/>
      <c r="F4741" s="122"/>
      <c r="G4741" s="122"/>
      <c r="H4741"/>
      <c r="I4741" s="122"/>
      <c r="J4741" s="307" t="s">
        <v>214</v>
      </c>
      <c r="K4741" s="127" t="s">
        <v>4625</v>
      </c>
      <c r="L4741" s="151" t="s">
        <v>1579</v>
      </c>
      <c r="M4741">
        <v>215</v>
      </c>
      <c r="N4741" s="123">
        <v>17</v>
      </c>
      <c r="O4741">
        <v>3092</v>
      </c>
      <c r="P4741" s="132" t="s">
        <v>77</v>
      </c>
      <c r="Q4741" s="131">
        <v>119.93</v>
      </c>
      <c r="R4741" s="131"/>
      <c r="S4741" s="131"/>
      <c r="T4741" s="155"/>
      <c r="U4741" s="131"/>
      <c r="V4741" s="131">
        <v>119.93</v>
      </c>
      <c r="W4741">
        <v>101</v>
      </c>
      <c r="X4741" s="151" t="s">
        <v>1644</v>
      </c>
      <c r="Y4741" s="135" t="s">
        <v>55</v>
      </c>
      <c r="Z4741" s="307">
        <v>251</v>
      </c>
      <c r="AB4741" t="str">
        <f>IF(Table1[[#This Row],[TIPO2]]="costo", VLOOKUP(Table1[[#This Row],[PARTIDA PRESUPUESTAL]],'Cost Report'!G:G,1,0),"Balance")</f>
        <v>2285-003</v>
      </c>
      <c r="AC4741" s="118"/>
      <c r="AD4741" s="159">
        <f>+Table1[[#This Row],[SUBTOTAL]]+Table1[[#This Row],[IVA]]-Table1[[#This Row],[RET IVA]]-Table1[[#This Row],[RET ISR]]-Table1[[#This Row],[TOTAL]]</f>
        <v>0</v>
      </c>
      <c r="AE4741" s="150"/>
      <c r="AF4741" s="151"/>
      <c r="AG4741" s="126" t="s">
        <v>3420</v>
      </c>
      <c r="AK4741" s="306" t="str">
        <f>IF(ISNUMBER(Table1[[#This Row],[FECHA DE RECIBIDO]]), Table1[[#This Row],[FECHA DE RECIBIDO]]-DATE(2023,8,30), "")</f>
        <v/>
      </c>
    </row>
    <row r="4742" spans="1:37" ht="16.05" customHeight="1">
      <c r="A4742" s="152" t="s">
        <v>4620</v>
      </c>
      <c r="B4742" s="153">
        <v>1603</v>
      </c>
      <c r="C4742" s="126" t="s">
        <v>2455</v>
      </c>
      <c r="D4742">
        <v>689</v>
      </c>
      <c r="E4742" s="126"/>
      <c r="F4742" s="125"/>
      <c r="G4742" s="125"/>
      <c r="H4742"/>
      <c r="I4742" s="125"/>
      <c r="J4742" s="308" t="s">
        <v>214</v>
      </c>
      <c r="K4742" s="127" t="s">
        <v>4625</v>
      </c>
      <c r="L4742" s="153" t="s">
        <v>1579</v>
      </c>
      <c r="M4742">
        <v>691</v>
      </c>
      <c r="N4742" s="123">
        <v>17</v>
      </c>
      <c r="O4742">
        <v>522</v>
      </c>
      <c r="P4742" s="132" t="s">
        <v>77</v>
      </c>
      <c r="Q4742" s="132">
        <v>34.799999999999997</v>
      </c>
      <c r="R4742" s="132"/>
      <c r="S4742" s="132"/>
      <c r="T4742" s="156"/>
      <c r="U4742" s="132"/>
      <c r="V4742" s="132">
        <v>34.799999999999997</v>
      </c>
      <c r="W4742">
        <v>101</v>
      </c>
      <c r="X4742" s="153" t="s">
        <v>1644</v>
      </c>
      <c r="Y4742" s="124" t="s">
        <v>55</v>
      </c>
      <c r="Z4742" s="308">
        <v>251</v>
      </c>
      <c r="AB4742" t="str">
        <f>IF(Table1[[#This Row],[TIPO2]]="costo", VLOOKUP(Table1[[#This Row],[PARTIDA PRESUPUESTAL]],'Cost Report'!G:G,1,0),"Balance")</f>
        <v>2285-003</v>
      </c>
      <c r="AC4742" s="118"/>
      <c r="AD4742" s="159">
        <f>+Table1[[#This Row],[SUBTOTAL]]+Table1[[#This Row],[IVA]]-Table1[[#This Row],[RET IVA]]-Table1[[#This Row],[RET ISR]]-Table1[[#This Row],[TOTAL]]</f>
        <v>0</v>
      </c>
      <c r="AE4742" s="152"/>
      <c r="AF4742" s="153"/>
      <c r="AG4742" s="126" t="s">
        <v>3420</v>
      </c>
      <c r="AK4742" s="306" t="str">
        <f>IF(ISNUMBER(Table1[[#This Row],[FECHA DE RECIBIDO]]), Table1[[#This Row],[FECHA DE RECIBIDO]]-DATE(2023,8,30), "")</f>
        <v/>
      </c>
    </row>
    <row r="4743" spans="1:37" ht="16.05" customHeight="1">
      <c r="A4743" s="150" t="s">
        <v>4621</v>
      </c>
      <c r="B4743" s="151">
        <v>1604</v>
      </c>
      <c r="C4743" s="126" t="s">
        <v>2953</v>
      </c>
      <c r="D4743">
        <v>3229</v>
      </c>
      <c r="E4743" s="126" t="s">
        <v>1624</v>
      </c>
      <c r="F4743" s="122" t="s">
        <v>1607</v>
      </c>
      <c r="G4743" s="122" t="s">
        <v>134</v>
      </c>
      <c r="H4743">
        <v>46</v>
      </c>
      <c r="I4743" s="122" t="s">
        <v>1546</v>
      </c>
      <c r="J4743" s="307" t="s">
        <v>214</v>
      </c>
      <c r="K4743" s="127" t="s">
        <v>4625</v>
      </c>
      <c r="L4743" s="151" t="s">
        <v>1579</v>
      </c>
      <c r="M4743">
        <v>58</v>
      </c>
      <c r="N4743" s="123">
        <v>17</v>
      </c>
      <c r="O4743">
        <v>2476</v>
      </c>
      <c r="P4743" s="132" t="s">
        <v>77</v>
      </c>
      <c r="Q4743" s="131">
        <v>6058.73</v>
      </c>
      <c r="R4743" s="131">
        <v>791.65</v>
      </c>
      <c r="S4743" s="131"/>
      <c r="T4743" s="155"/>
      <c r="U4743" s="131"/>
      <c r="V4743" s="131">
        <v>6850.3799999999992</v>
      </c>
      <c r="W4743">
        <v>225</v>
      </c>
      <c r="X4743" s="151" t="s">
        <v>1644</v>
      </c>
      <c r="Y4743" s="135" t="s">
        <v>55</v>
      </c>
      <c r="Z4743" s="307" t="s">
        <v>214</v>
      </c>
      <c r="AB4743" t="str">
        <f>IF(Table1[[#This Row],[TIPO2]]="costo", VLOOKUP(Table1[[#This Row],[PARTIDA PRESUPUESTAL]],'Cost Report'!G:G,1,0),"Balance")</f>
        <v>3901-049</v>
      </c>
      <c r="AC4743" s="118"/>
      <c r="AD4743" s="159">
        <f>+Table1[[#This Row],[SUBTOTAL]]+Table1[[#This Row],[IVA]]-Table1[[#This Row],[RET IVA]]-Table1[[#This Row],[RET ISR]]-Table1[[#This Row],[TOTAL]]</f>
        <v>0</v>
      </c>
      <c r="AE4743" s="150"/>
      <c r="AF4743" s="151"/>
      <c r="AG4743" s="126" t="s">
        <v>3420</v>
      </c>
      <c r="AK4743" s="306" t="str">
        <f>IF(ISNUMBER(Table1[[#This Row],[FECHA DE RECIBIDO]]), Table1[[#This Row],[FECHA DE RECIBIDO]]-DATE(2023,8,30), "")</f>
        <v/>
      </c>
    </row>
    <row r="4744" spans="1:37" ht="16.05" customHeight="1">
      <c r="A4744" s="152" t="s">
        <v>4621</v>
      </c>
      <c r="B4744" s="153">
        <v>1604</v>
      </c>
      <c r="C4744" s="126" t="s">
        <v>1771</v>
      </c>
      <c r="D4744">
        <v>3230</v>
      </c>
      <c r="E4744" s="126" t="s">
        <v>1624</v>
      </c>
      <c r="F4744" s="125" t="s">
        <v>1607</v>
      </c>
      <c r="G4744" s="125" t="s">
        <v>134</v>
      </c>
      <c r="H4744">
        <v>46</v>
      </c>
      <c r="I4744" s="125" t="s">
        <v>1546</v>
      </c>
      <c r="J4744" s="308" t="s">
        <v>214</v>
      </c>
      <c r="K4744" s="127" t="s">
        <v>4625</v>
      </c>
      <c r="L4744" s="153" t="s">
        <v>1579</v>
      </c>
      <c r="M4744">
        <v>58</v>
      </c>
      <c r="N4744" s="123">
        <v>17</v>
      </c>
      <c r="O4744">
        <v>3093</v>
      </c>
      <c r="P4744" s="132" t="s">
        <v>77</v>
      </c>
      <c r="Q4744" s="132">
        <v>29110.400000000001</v>
      </c>
      <c r="R4744" s="132">
        <v>3946.66</v>
      </c>
      <c r="S4744" s="132"/>
      <c r="T4744" s="156"/>
      <c r="U4744" s="132"/>
      <c r="V4744" s="132">
        <v>33057.06</v>
      </c>
      <c r="W4744">
        <v>225</v>
      </c>
      <c r="X4744" s="153" t="s">
        <v>1644</v>
      </c>
      <c r="Y4744" s="124" t="s">
        <v>55</v>
      </c>
      <c r="Z4744" s="308" t="s">
        <v>214</v>
      </c>
      <c r="AB4744" t="str">
        <f>IF(Table1[[#This Row],[TIPO2]]="costo", VLOOKUP(Table1[[#This Row],[PARTIDA PRESUPUESTAL]],'Cost Report'!G:G,1,0),"Balance")</f>
        <v>3901-039</v>
      </c>
      <c r="AC4744" s="118"/>
      <c r="AD4744" s="159">
        <f>+Table1[[#This Row],[SUBTOTAL]]+Table1[[#This Row],[IVA]]-Table1[[#This Row],[RET IVA]]-Table1[[#This Row],[RET ISR]]-Table1[[#This Row],[TOTAL]]</f>
        <v>0</v>
      </c>
      <c r="AE4744" s="152"/>
      <c r="AF4744" s="153"/>
      <c r="AG4744" s="126" t="s">
        <v>3420</v>
      </c>
      <c r="AK4744" s="306" t="str">
        <f>IF(ISNUMBER(Table1[[#This Row],[FECHA DE RECIBIDO]]), Table1[[#This Row],[FECHA DE RECIBIDO]]-DATE(2023,8,30), "")</f>
        <v/>
      </c>
    </row>
    <row r="4745" spans="1:37" ht="16.05" customHeight="1">
      <c r="A4745" s="150" t="s">
        <v>4621</v>
      </c>
      <c r="B4745" s="151">
        <v>1604</v>
      </c>
      <c r="C4745" s="126" t="s">
        <v>4210</v>
      </c>
      <c r="D4745">
        <v>3231</v>
      </c>
      <c r="E4745" s="126" t="s">
        <v>2075</v>
      </c>
      <c r="F4745" s="122" t="s">
        <v>2062</v>
      </c>
      <c r="G4745" s="122" t="e">
        <v>#N/A</v>
      </c>
      <c r="H4745">
        <v>146</v>
      </c>
      <c r="I4745" s="122" t="s">
        <v>1546</v>
      </c>
      <c r="J4745" s="307" t="s">
        <v>214</v>
      </c>
      <c r="K4745" s="127" t="s">
        <v>4625</v>
      </c>
      <c r="L4745" s="151" t="s">
        <v>1579</v>
      </c>
      <c r="M4745">
        <v>560</v>
      </c>
      <c r="N4745" s="123">
        <v>17</v>
      </c>
      <c r="O4745">
        <v>3094</v>
      </c>
      <c r="P4745" s="132" t="s">
        <v>77</v>
      </c>
      <c r="Q4745" s="131">
        <v>693.97</v>
      </c>
      <c r="R4745" s="131">
        <v>111.03</v>
      </c>
      <c r="S4745" s="131"/>
      <c r="T4745" s="155"/>
      <c r="U4745" s="131"/>
      <c r="V4745" s="131">
        <v>805</v>
      </c>
      <c r="W4745">
        <v>225</v>
      </c>
      <c r="X4745" s="151" t="s">
        <v>1644</v>
      </c>
      <c r="Y4745" s="135" t="s">
        <v>55</v>
      </c>
      <c r="Z4745" s="307" t="s">
        <v>214</v>
      </c>
      <c r="AB4745" t="str">
        <f>IF(Table1[[#This Row],[TIPO2]]="costo", VLOOKUP(Table1[[#This Row],[PARTIDA PRESUPUESTAL]],'Cost Report'!G:G,1,0),"Balance")</f>
        <v>3901-051</v>
      </c>
      <c r="AC4745" s="118"/>
      <c r="AD4745" s="159">
        <f>+Table1[[#This Row],[SUBTOTAL]]+Table1[[#This Row],[IVA]]-Table1[[#This Row],[RET IVA]]-Table1[[#This Row],[RET ISR]]-Table1[[#This Row],[TOTAL]]</f>
        <v>0</v>
      </c>
      <c r="AE4745" s="150"/>
      <c r="AF4745" s="151"/>
      <c r="AG4745" s="126" t="s">
        <v>3420</v>
      </c>
      <c r="AK4745" s="306" t="str">
        <f>IF(ISNUMBER(Table1[[#This Row],[FECHA DE RECIBIDO]]), Table1[[#This Row],[FECHA DE RECIBIDO]]-DATE(2023,8,30), "")</f>
        <v/>
      </c>
    </row>
    <row r="4746" spans="1:37" ht="16.05" customHeight="1">
      <c r="A4746" s="152" t="s">
        <v>4621</v>
      </c>
      <c r="B4746" s="153">
        <v>1604</v>
      </c>
      <c r="C4746" s="126" t="s">
        <v>4210</v>
      </c>
      <c r="D4746">
        <v>3232</v>
      </c>
      <c r="E4746" s="126" t="s">
        <v>2075</v>
      </c>
      <c r="F4746" s="125" t="s">
        <v>2062</v>
      </c>
      <c r="G4746" s="125" t="e">
        <v>#N/A</v>
      </c>
      <c r="H4746">
        <v>146</v>
      </c>
      <c r="I4746" s="125" t="s">
        <v>1546</v>
      </c>
      <c r="J4746" s="308" t="s">
        <v>214</v>
      </c>
      <c r="K4746" s="127" t="s">
        <v>4625</v>
      </c>
      <c r="L4746" s="153" t="s">
        <v>1579</v>
      </c>
      <c r="M4746">
        <v>560</v>
      </c>
      <c r="N4746" s="123">
        <v>17</v>
      </c>
      <c r="O4746">
        <v>3095</v>
      </c>
      <c r="P4746" s="132" t="s">
        <v>77</v>
      </c>
      <c r="Q4746" s="132">
        <v>853.45</v>
      </c>
      <c r="R4746" s="132">
        <v>136.55000000000001</v>
      </c>
      <c r="S4746" s="132"/>
      <c r="T4746" s="156"/>
      <c r="U4746" s="132"/>
      <c r="V4746" s="132">
        <v>990</v>
      </c>
      <c r="W4746">
        <v>225</v>
      </c>
      <c r="X4746" s="153" t="s">
        <v>1644</v>
      </c>
      <c r="Y4746" s="124" t="s">
        <v>55</v>
      </c>
      <c r="Z4746" s="308" t="s">
        <v>214</v>
      </c>
      <c r="AB4746" t="str">
        <f>IF(Table1[[#This Row],[TIPO2]]="costo", VLOOKUP(Table1[[#This Row],[PARTIDA PRESUPUESTAL]],'Cost Report'!G:G,1,0),"Balance")</f>
        <v>3901-051</v>
      </c>
      <c r="AC4746" s="118"/>
      <c r="AD4746" s="159">
        <f>+Table1[[#This Row],[SUBTOTAL]]+Table1[[#This Row],[IVA]]-Table1[[#This Row],[RET IVA]]-Table1[[#This Row],[RET ISR]]-Table1[[#This Row],[TOTAL]]</f>
        <v>0</v>
      </c>
      <c r="AE4746" s="152"/>
      <c r="AF4746" s="153"/>
      <c r="AG4746" s="126" t="s">
        <v>3420</v>
      </c>
      <c r="AK4746" s="306" t="str">
        <f>IF(ISNUMBER(Table1[[#This Row],[FECHA DE RECIBIDO]]), Table1[[#This Row],[FECHA DE RECIBIDO]]-DATE(2023,8,30), "")</f>
        <v/>
      </c>
    </row>
    <row r="4747" spans="1:37" ht="16.05" customHeight="1">
      <c r="A4747" s="150" t="s">
        <v>4621</v>
      </c>
      <c r="B4747" s="151">
        <v>1604</v>
      </c>
      <c r="C4747" s="126" t="s">
        <v>1133</v>
      </c>
      <c r="D4747">
        <v>3233</v>
      </c>
      <c r="E4747" s="126" t="s">
        <v>1624</v>
      </c>
      <c r="F4747" s="122" t="s">
        <v>1607</v>
      </c>
      <c r="G4747" s="122" t="s">
        <v>134</v>
      </c>
      <c r="H4747">
        <v>46</v>
      </c>
      <c r="I4747" s="122" t="s">
        <v>1546</v>
      </c>
      <c r="J4747" s="307" t="s">
        <v>214</v>
      </c>
      <c r="K4747" s="127" t="s">
        <v>4625</v>
      </c>
      <c r="L4747" s="151" t="s">
        <v>1579</v>
      </c>
      <c r="M4747">
        <v>58</v>
      </c>
      <c r="N4747" s="123">
        <v>17</v>
      </c>
      <c r="O4747">
        <v>3096</v>
      </c>
      <c r="P4747" s="132" t="s">
        <v>77</v>
      </c>
      <c r="Q4747" s="131">
        <v>1988.94</v>
      </c>
      <c r="R4747" s="131">
        <v>236.29</v>
      </c>
      <c r="S4747" s="131"/>
      <c r="T4747" s="155"/>
      <c r="U4747" s="131"/>
      <c r="V4747" s="131">
        <v>2225.23</v>
      </c>
      <c r="W4747">
        <v>225</v>
      </c>
      <c r="X4747" s="151" t="s">
        <v>1644</v>
      </c>
      <c r="Y4747" s="135" t="s">
        <v>55</v>
      </c>
      <c r="Z4747" s="307" t="s">
        <v>214</v>
      </c>
      <c r="AB4747" t="str">
        <f>IF(Table1[[#This Row],[TIPO2]]="costo", VLOOKUP(Table1[[#This Row],[PARTIDA PRESUPUESTAL]],'Cost Report'!G:G,1,0),"Balance")</f>
        <v>3901-024</v>
      </c>
      <c r="AC4747" s="118"/>
      <c r="AD4747" s="159">
        <f>+Table1[[#This Row],[SUBTOTAL]]+Table1[[#This Row],[IVA]]-Table1[[#This Row],[RET IVA]]-Table1[[#This Row],[RET ISR]]-Table1[[#This Row],[TOTAL]]</f>
        <v>0</v>
      </c>
      <c r="AE4747" s="150"/>
      <c r="AF4747" s="151"/>
      <c r="AG4747" s="126" t="s">
        <v>3420</v>
      </c>
      <c r="AK4747" s="306" t="str">
        <f>IF(ISNUMBER(Table1[[#This Row],[FECHA DE RECIBIDO]]), Table1[[#This Row],[FECHA DE RECIBIDO]]-DATE(2023,8,30), "")</f>
        <v/>
      </c>
    </row>
    <row r="4748" spans="1:37" ht="16.05" customHeight="1">
      <c r="A4748" s="152" t="s">
        <v>4621</v>
      </c>
      <c r="B4748" s="153">
        <v>1604</v>
      </c>
      <c r="C4748" s="126" t="s">
        <v>1136</v>
      </c>
      <c r="D4748">
        <v>3234</v>
      </c>
      <c r="E4748" s="126" t="s">
        <v>1624</v>
      </c>
      <c r="F4748" s="125" t="s">
        <v>1607</v>
      </c>
      <c r="G4748" s="125" t="s">
        <v>134</v>
      </c>
      <c r="H4748">
        <v>46</v>
      </c>
      <c r="I4748" s="125" t="s">
        <v>1546</v>
      </c>
      <c r="J4748" s="308" t="s">
        <v>214</v>
      </c>
      <c r="K4748" s="127" t="s">
        <v>4625</v>
      </c>
      <c r="L4748" s="153" t="s">
        <v>1579</v>
      </c>
      <c r="M4748">
        <v>58</v>
      </c>
      <c r="N4748" s="123">
        <v>17</v>
      </c>
      <c r="O4748">
        <v>3097</v>
      </c>
      <c r="P4748" s="132" t="s">
        <v>77</v>
      </c>
      <c r="Q4748" s="132">
        <v>4342.3900000000003</v>
      </c>
      <c r="R4748" s="132">
        <v>612.84</v>
      </c>
      <c r="S4748" s="132"/>
      <c r="T4748" s="156"/>
      <c r="U4748" s="132"/>
      <c r="V4748" s="132">
        <v>4955.2300000000005</v>
      </c>
      <c r="W4748">
        <v>225</v>
      </c>
      <c r="X4748" s="153" t="s">
        <v>1644</v>
      </c>
      <c r="Y4748" s="124" t="s">
        <v>55</v>
      </c>
      <c r="Z4748" s="308" t="s">
        <v>214</v>
      </c>
      <c r="AB4748" t="str">
        <f>IF(Table1[[#This Row],[TIPO2]]="costo", VLOOKUP(Table1[[#This Row],[PARTIDA PRESUPUESTAL]],'Cost Report'!G:G,1,0),"Balance")</f>
        <v>3901-029</v>
      </c>
      <c r="AC4748" s="118"/>
      <c r="AD4748" s="159">
        <f>+Table1[[#This Row],[SUBTOTAL]]+Table1[[#This Row],[IVA]]-Table1[[#This Row],[RET IVA]]-Table1[[#This Row],[RET ISR]]-Table1[[#This Row],[TOTAL]]</f>
        <v>0</v>
      </c>
      <c r="AE4748" s="152"/>
      <c r="AF4748" s="153"/>
      <c r="AG4748" s="126" t="s">
        <v>3420</v>
      </c>
      <c r="AK4748" s="306" t="str">
        <f>IF(ISNUMBER(Table1[[#This Row],[FECHA DE RECIBIDO]]), Table1[[#This Row],[FECHA DE RECIBIDO]]-DATE(2023,8,30), "")</f>
        <v/>
      </c>
    </row>
    <row r="4749" spans="1:37" ht="16.05" customHeight="1">
      <c r="A4749" s="150" t="s">
        <v>4622</v>
      </c>
      <c r="B4749" s="151">
        <v>1605</v>
      </c>
      <c r="C4749" s="126" t="s">
        <v>2596</v>
      </c>
      <c r="D4749">
        <v>3235</v>
      </c>
      <c r="E4749" s="126" t="s">
        <v>3673</v>
      </c>
      <c r="F4749" s="122" t="s">
        <v>1607</v>
      </c>
      <c r="G4749" s="122" t="s">
        <v>134</v>
      </c>
      <c r="H4749">
        <v>156</v>
      </c>
      <c r="I4749" s="122" t="s">
        <v>1546</v>
      </c>
      <c r="J4749" s="307" t="s">
        <v>214</v>
      </c>
      <c r="K4749" s="127" t="s">
        <v>4625</v>
      </c>
      <c r="L4749" s="151" t="s">
        <v>1579</v>
      </c>
      <c r="M4749">
        <v>207</v>
      </c>
      <c r="N4749" s="123">
        <v>17</v>
      </c>
      <c r="O4749">
        <v>3098</v>
      </c>
      <c r="P4749" s="132" t="s">
        <v>77</v>
      </c>
      <c r="Q4749" s="131">
        <v>403.44</v>
      </c>
      <c r="R4749" s="131">
        <v>64.55</v>
      </c>
      <c r="S4749" s="131"/>
      <c r="T4749" s="155"/>
      <c r="U4749" s="131"/>
      <c r="V4749" s="131">
        <v>467.99</v>
      </c>
      <c r="W4749">
        <v>61</v>
      </c>
      <c r="X4749" s="151" t="s">
        <v>1644</v>
      </c>
      <c r="Y4749" s="135" t="s">
        <v>55</v>
      </c>
      <c r="Z4749" s="307">
        <v>237</v>
      </c>
      <c r="AB4749" t="str">
        <f>IF(Table1[[#This Row],[TIPO2]]="costo", VLOOKUP(Table1[[#This Row],[PARTIDA PRESUPUESTAL]],'Cost Report'!G:G,1,0),"Balance")</f>
        <v>2794-003</v>
      </c>
      <c r="AC4749" s="118"/>
      <c r="AD4749" s="159">
        <f>+Table1[[#This Row],[SUBTOTAL]]+Table1[[#This Row],[IVA]]-Table1[[#This Row],[RET IVA]]-Table1[[#This Row],[RET ISR]]-Table1[[#This Row],[TOTAL]]</f>
        <v>0</v>
      </c>
      <c r="AE4749" s="150"/>
      <c r="AF4749" s="151"/>
      <c r="AG4749" s="126" t="s">
        <v>3420</v>
      </c>
      <c r="AK4749" s="306" t="str">
        <f>IF(ISNUMBER(Table1[[#This Row],[FECHA DE RECIBIDO]]), Table1[[#This Row],[FECHA DE RECIBIDO]]-DATE(2023,8,30), "")</f>
        <v/>
      </c>
    </row>
    <row r="4750" spans="1:37" ht="16.05" customHeight="1">
      <c r="A4750" s="152" t="s">
        <v>4622</v>
      </c>
      <c r="B4750" s="153">
        <v>1605</v>
      </c>
      <c r="C4750" s="126" t="s">
        <v>2596</v>
      </c>
      <c r="D4750">
        <v>3236</v>
      </c>
      <c r="E4750" s="126" t="s">
        <v>3275</v>
      </c>
      <c r="F4750" s="125" t="s">
        <v>1607</v>
      </c>
      <c r="G4750" s="125" t="s">
        <v>134</v>
      </c>
      <c r="H4750">
        <v>156</v>
      </c>
      <c r="I4750" s="125" t="s">
        <v>1546</v>
      </c>
      <c r="J4750" s="308" t="s">
        <v>214</v>
      </c>
      <c r="K4750" s="127" t="s">
        <v>4625</v>
      </c>
      <c r="L4750" s="153" t="s">
        <v>1579</v>
      </c>
      <c r="M4750">
        <v>207</v>
      </c>
      <c r="N4750" s="123">
        <v>17</v>
      </c>
      <c r="O4750">
        <v>1959</v>
      </c>
      <c r="P4750" s="132" t="s">
        <v>77</v>
      </c>
      <c r="Q4750" s="132">
        <v>688.79</v>
      </c>
      <c r="R4750" s="132">
        <v>110.21</v>
      </c>
      <c r="S4750" s="132"/>
      <c r="T4750" s="156"/>
      <c r="U4750" s="132"/>
      <c r="V4750" s="132">
        <v>799</v>
      </c>
      <c r="W4750">
        <v>61</v>
      </c>
      <c r="X4750" s="153" t="s">
        <v>1644</v>
      </c>
      <c r="Y4750" s="124" t="s">
        <v>55</v>
      </c>
      <c r="Z4750" s="308">
        <v>240</v>
      </c>
      <c r="AB4750" t="str">
        <f>IF(Table1[[#This Row],[TIPO2]]="costo", VLOOKUP(Table1[[#This Row],[PARTIDA PRESUPUESTAL]],'Cost Report'!G:G,1,0),"Balance")</f>
        <v>2794-003</v>
      </c>
      <c r="AC4750" s="118"/>
      <c r="AD4750" s="159">
        <f>+Table1[[#This Row],[SUBTOTAL]]+Table1[[#This Row],[IVA]]-Table1[[#This Row],[RET IVA]]-Table1[[#This Row],[RET ISR]]-Table1[[#This Row],[TOTAL]]</f>
        <v>0</v>
      </c>
      <c r="AE4750" s="152"/>
      <c r="AF4750" s="153"/>
      <c r="AG4750" s="126" t="s">
        <v>3420</v>
      </c>
      <c r="AK4750" s="306" t="str">
        <f>IF(ISNUMBER(Table1[[#This Row],[FECHA DE RECIBIDO]]), Table1[[#This Row],[FECHA DE RECIBIDO]]-DATE(2023,8,30), "")</f>
        <v/>
      </c>
    </row>
    <row r="4751" spans="1:37" ht="16.05" customHeight="1">
      <c r="A4751" s="150" t="s">
        <v>4622</v>
      </c>
      <c r="B4751" s="151">
        <v>1605</v>
      </c>
      <c r="C4751" s="126" t="s">
        <v>2596</v>
      </c>
      <c r="D4751">
        <v>3237</v>
      </c>
      <c r="E4751" s="126" t="s">
        <v>1614</v>
      </c>
      <c r="F4751" s="122" t="s">
        <v>1607</v>
      </c>
      <c r="G4751" s="122" t="s">
        <v>134</v>
      </c>
      <c r="H4751">
        <v>844</v>
      </c>
      <c r="I4751" s="122" t="s">
        <v>1546</v>
      </c>
      <c r="J4751" s="307" t="s">
        <v>214</v>
      </c>
      <c r="K4751" s="127" t="s">
        <v>4625</v>
      </c>
      <c r="L4751" s="151" t="s">
        <v>1579</v>
      </c>
      <c r="M4751">
        <v>1170</v>
      </c>
      <c r="N4751" s="123">
        <v>17</v>
      </c>
      <c r="O4751">
        <v>1939</v>
      </c>
      <c r="P4751" s="132" t="s">
        <v>77</v>
      </c>
      <c r="Q4751" s="131">
        <v>226.29</v>
      </c>
      <c r="R4751" s="131">
        <v>36.21</v>
      </c>
      <c r="S4751" s="131"/>
      <c r="T4751" s="155"/>
      <c r="U4751" s="131"/>
      <c r="V4751" s="131">
        <v>262.5</v>
      </c>
      <c r="W4751">
        <v>61</v>
      </c>
      <c r="X4751" s="151" t="s">
        <v>1644</v>
      </c>
      <c r="Y4751" s="135" t="s">
        <v>55</v>
      </c>
      <c r="Z4751" s="307">
        <v>252</v>
      </c>
      <c r="AB4751" t="str">
        <f>IF(Table1[[#This Row],[TIPO2]]="costo", VLOOKUP(Table1[[#This Row],[PARTIDA PRESUPUESTAL]],'Cost Report'!G:G,1,0),"Balance")</f>
        <v>2794-003</v>
      </c>
      <c r="AC4751" s="118"/>
      <c r="AD4751" s="159">
        <f>+Table1[[#This Row],[SUBTOTAL]]+Table1[[#This Row],[IVA]]-Table1[[#This Row],[RET IVA]]-Table1[[#This Row],[RET ISR]]-Table1[[#This Row],[TOTAL]]</f>
        <v>0</v>
      </c>
      <c r="AE4751" s="150"/>
      <c r="AF4751" s="151"/>
      <c r="AG4751" s="126" t="s">
        <v>3420</v>
      </c>
      <c r="AK4751" s="306" t="str">
        <f>IF(ISNUMBER(Table1[[#This Row],[FECHA DE RECIBIDO]]), Table1[[#This Row],[FECHA DE RECIBIDO]]-DATE(2023,8,30), "")</f>
        <v/>
      </c>
    </row>
    <row r="4752" spans="1:37" ht="16.05" customHeight="1">
      <c r="A4752" s="152" t="s">
        <v>4622</v>
      </c>
      <c r="B4752" s="153">
        <v>1605</v>
      </c>
      <c r="C4752" s="126" t="s">
        <v>2596</v>
      </c>
      <c r="D4752">
        <v>3238</v>
      </c>
      <c r="E4752" s="126" t="s">
        <v>1603</v>
      </c>
      <c r="F4752" s="125" t="s">
        <v>1589</v>
      </c>
      <c r="G4752" s="125" t="s">
        <v>129</v>
      </c>
      <c r="H4752">
        <v>593</v>
      </c>
      <c r="I4752" s="125" t="s">
        <v>1546</v>
      </c>
      <c r="J4752" s="308" t="s">
        <v>214</v>
      </c>
      <c r="K4752" s="127" t="s">
        <v>4625</v>
      </c>
      <c r="L4752" s="153" t="s">
        <v>1579</v>
      </c>
      <c r="M4752">
        <v>571</v>
      </c>
      <c r="N4752" s="123">
        <v>17</v>
      </c>
      <c r="O4752">
        <v>1364</v>
      </c>
      <c r="P4752" s="132" t="s">
        <v>77</v>
      </c>
      <c r="Q4752" s="132">
        <v>120.7</v>
      </c>
      <c r="R4752" s="132">
        <v>19.32</v>
      </c>
      <c r="S4752" s="132"/>
      <c r="T4752" s="156"/>
      <c r="U4752" s="132"/>
      <c r="V4752" s="132">
        <v>140.02000000000001</v>
      </c>
      <c r="W4752">
        <v>61</v>
      </c>
      <c r="X4752" s="153" t="s">
        <v>1644</v>
      </c>
      <c r="Y4752" s="124" t="s">
        <v>55</v>
      </c>
      <c r="Z4752" s="308">
        <v>253</v>
      </c>
      <c r="AB4752" t="str">
        <f>IF(Table1[[#This Row],[TIPO2]]="costo", VLOOKUP(Table1[[#This Row],[PARTIDA PRESUPUESTAL]],'Cost Report'!G:G,1,0),"Balance")</f>
        <v>2794-003</v>
      </c>
      <c r="AC4752" s="118"/>
      <c r="AD4752" s="159">
        <f>+Table1[[#This Row],[SUBTOTAL]]+Table1[[#This Row],[IVA]]-Table1[[#This Row],[RET IVA]]-Table1[[#This Row],[RET ISR]]-Table1[[#This Row],[TOTAL]]</f>
        <v>0</v>
      </c>
      <c r="AE4752" s="152"/>
      <c r="AF4752" s="153"/>
      <c r="AG4752" s="126" t="s">
        <v>3420</v>
      </c>
      <c r="AK4752" s="306" t="str">
        <f>IF(ISNUMBER(Table1[[#This Row],[FECHA DE RECIBIDO]]), Table1[[#This Row],[FECHA DE RECIBIDO]]-DATE(2023,8,30), "")</f>
        <v/>
      </c>
    </row>
    <row r="4753" spans="1:37" ht="16.05" customHeight="1">
      <c r="A4753" s="150" t="s">
        <v>4622</v>
      </c>
      <c r="B4753" s="151">
        <v>1605</v>
      </c>
      <c r="C4753" s="126" t="s">
        <v>2596</v>
      </c>
      <c r="D4753">
        <v>3239</v>
      </c>
      <c r="E4753" s="126" t="s">
        <v>1603</v>
      </c>
      <c r="F4753" s="122" t="s">
        <v>1589</v>
      </c>
      <c r="G4753" s="122" t="s">
        <v>129</v>
      </c>
      <c r="H4753">
        <v>593</v>
      </c>
      <c r="I4753" s="122" t="s">
        <v>1546</v>
      </c>
      <c r="J4753" s="307" t="s">
        <v>214</v>
      </c>
      <c r="K4753" s="127" t="s">
        <v>4625</v>
      </c>
      <c r="L4753" s="151" t="s">
        <v>1579</v>
      </c>
      <c r="M4753">
        <v>571</v>
      </c>
      <c r="N4753" s="123">
        <v>17</v>
      </c>
      <c r="O4753">
        <v>1364</v>
      </c>
      <c r="P4753" s="132" t="s">
        <v>77</v>
      </c>
      <c r="Q4753" s="131">
        <v>803.83</v>
      </c>
      <c r="R4753" s="131">
        <v>128.62</v>
      </c>
      <c r="S4753" s="131"/>
      <c r="T4753" s="155"/>
      <c r="U4753" s="131"/>
      <c r="V4753" s="131">
        <v>932.45</v>
      </c>
      <c r="W4753">
        <v>61</v>
      </c>
      <c r="X4753" s="151" t="s">
        <v>1644</v>
      </c>
      <c r="Y4753" s="135" t="s">
        <v>55</v>
      </c>
      <c r="Z4753" s="307">
        <v>254</v>
      </c>
      <c r="AB4753" t="str">
        <f>IF(Table1[[#This Row],[TIPO2]]="costo", VLOOKUP(Table1[[#This Row],[PARTIDA PRESUPUESTAL]],'Cost Report'!G:G,1,0),"Balance")</f>
        <v>2794-003</v>
      </c>
      <c r="AC4753" s="118"/>
      <c r="AD4753" s="159">
        <f>+Table1[[#This Row],[SUBTOTAL]]+Table1[[#This Row],[IVA]]-Table1[[#This Row],[RET IVA]]-Table1[[#This Row],[RET ISR]]-Table1[[#This Row],[TOTAL]]</f>
        <v>0</v>
      </c>
      <c r="AE4753" s="150"/>
      <c r="AF4753" s="151"/>
      <c r="AG4753" s="126" t="s">
        <v>3420</v>
      </c>
      <c r="AK4753" s="306" t="str">
        <f>IF(ISNUMBER(Table1[[#This Row],[FECHA DE RECIBIDO]]), Table1[[#This Row],[FECHA DE RECIBIDO]]-DATE(2023,8,30), "")</f>
        <v/>
      </c>
    </row>
    <row r="4754" spans="1:37" ht="16.05" customHeight="1">
      <c r="A4754" s="152" t="s">
        <v>4622</v>
      </c>
      <c r="B4754" s="153">
        <v>1605</v>
      </c>
      <c r="C4754" s="126" t="s">
        <v>2596</v>
      </c>
      <c r="D4754">
        <v>3240</v>
      </c>
      <c r="E4754" s="126" t="s">
        <v>1603</v>
      </c>
      <c r="F4754" s="125" t="s">
        <v>1589</v>
      </c>
      <c r="G4754" s="125" t="s">
        <v>129</v>
      </c>
      <c r="H4754">
        <v>593</v>
      </c>
      <c r="I4754" s="125" t="s">
        <v>1546</v>
      </c>
      <c r="J4754" s="308" t="s">
        <v>214</v>
      </c>
      <c r="K4754" s="127" t="s">
        <v>4625</v>
      </c>
      <c r="L4754" s="153" t="s">
        <v>1579</v>
      </c>
      <c r="M4754">
        <v>571</v>
      </c>
      <c r="N4754" s="123">
        <v>17</v>
      </c>
      <c r="O4754">
        <v>1364</v>
      </c>
      <c r="P4754" s="132" t="s">
        <v>77</v>
      </c>
      <c r="Q4754" s="132">
        <v>1500.05</v>
      </c>
      <c r="R4754" s="132">
        <v>239.99</v>
      </c>
      <c r="S4754" s="132"/>
      <c r="T4754" s="156"/>
      <c r="U4754" s="132"/>
      <c r="V4754" s="132">
        <v>1740.04</v>
      </c>
      <c r="W4754">
        <v>61</v>
      </c>
      <c r="X4754" s="153" t="s">
        <v>1644</v>
      </c>
      <c r="Y4754" s="124" t="s">
        <v>55</v>
      </c>
      <c r="Z4754" s="308">
        <v>254</v>
      </c>
      <c r="AB4754" t="str">
        <f>IF(Table1[[#This Row],[TIPO2]]="costo", VLOOKUP(Table1[[#This Row],[PARTIDA PRESUPUESTAL]],'Cost Report'!G:G,1,0),"Balance")</f>
        <v>2794-003</v>
      </c>
      <c r="AC4754" s="118"/>
      <c r="AD4754" s="159">
        <f>+Table1[[#This Row],[SUBTOTAL]]+Table1[[#This Row],[IVA]]-Table1[[#This Row],[RET IVA]]-Table1[[#This Row],[RET ISR]]-Table1[[#This Row],[TOTAL]]</f>
        <v>0</v>
      </c>
      <c r="AE4754" s="152"/>
      <c r="AF4754" s="153"/>
      <c r="AG4754" s="126" t="s">
        <v>3420</v>
      </c>
      <c r="AK4754" s="306" t="str">
        <f>IF(ISNUMBER(Table1[[#This Row],[FECHA DE RECIBIDO]]), Table1[[#This Row],[FECHA DE RECIBIDO]]-DATE(2023,8,30), "")</f>
        <v/>
      </c>
    </row>
    <row r="4755" spans="1:37" ht="16.05" customHeight="1">
      <c r="A4755" s="150" t="s">
        <v>4622</v>
      </c>
      <c r="B4755" s="151">
        <v>1605</v>
      </c>
      <c r="C4755" s="126" t="s">
        <v>2596</v>
      </c>
      <c r="D4755">
        <v>3241</v>
      </c>
      <c r="E4755" s="126" t="s">
        <v>1614</v>
      </c>
      <c r="F4755" s="122" t="s">
        <v>1607</v>
      </c>
      <c r="G4755" s="122" t="s">
        <v>134</v>
      </c>
      <c r="H4755">
        <v>844</v>
      </c>
      <c r="I4755" s="122" t="s">
        <v>1546</v>
      </c>
      <c r="J4755" s="307" t="s">
        <v>214</v>
      </c>
      <c r="K4755" s="127" t="s">
        <v>4625</v>
      </c>
      <c r="L4755" s="151" t="s">
        <v>1579</v>
      </c>
      <c r="M4755">
        <v>1170</v>
      </c>
      <c r="N4755" s="123">
        <v>17</v>
      </c>
      <c r="O4755">
        <v>1939</v>
      </c>
      <c r="P4755" s="132" t="s">
        <v>77</v>
      </c>
      <c r="Q4755" s="131">
        <v>175.86</v>
      </c>
      <c r="R4755" s="131">
        <v>28.14</v>
      </c>
      <c r="S4755" s="131"/>
      <c r="T4755" s="155"/>
      <c r="U4755" s="131"/>
      <c r="V4755" s="131">
        <v>204</v>
      </c>
      <c r="W4755">
        <v>61</v>
      </c>
      <c r="X4755" s="151" t="s">
        <v>1644</v>
      </c>
      <c r="Y4755" s="135" t="s">
        <v>55</v>
      </c>
      <c r="Z4755" s="307">
        <v>254</v>
      </c>
      <c r="AB4755" t="str">
        <f>IF(Table1[[#This Row],[TIPO2]]="costo", VLOOKUP(Table1[[#This Row],[PARTIDA PRESUPUESTAL]],'Cost Report'!G:G,1,0),"Balance")</f>
        <v>2794-003</v>
      </c>
      <c r="AC4755" s="118"/>
      <c r="AD4755" s="159">
        <f>+Table1[[#This Row],[SUBTOTAL]]+Table1[[#This Row],[IVA]]-Table1[[#This Row],[RET IVA]]-Table1[[#This Row],[RET ISR]]-Table1[[#This Row],[TOTAL]]</f>
        <v>0</v>
      </c>
      <c r="AE4755" s="150"/>
      <c r="AF4755" s="151"/>
      <c r="AG4755" s="126" t="s">
        <v>3420</v>
      </c>
      <c r="AK4755" s="306" t="str">
        <f>IF(ISNUMBER(Table1[[#This Row],[FECHA DE RECIBIDO]]), Table1[[#This Row],[FECHA DE RECIBIDO]]-DATE(2023,8,30), "")</f>
        <v/>
      </c>
    </row>
    <row r="4756" spans="1:37" ht="16.05" customHeight="1">
      <c r="A4756" s="152" t="s">
        <v>4622</v>
      </c>
      <c r="B4756" s="153">
        <v>1605</v>
      </c>
      <c r="C4756" s="126" t="s">
        <v>2596</v>
      </c>
      <c r="D4756">
        <v>3242</v>
      </c>
      <c r="E4756" s="126" t="s">
        <v>2008</v>
      </c>
      <c r="F4756" s="125" t="s">
        <v>1607</v>
      </c>
      <c r="G4756" s="125" t="s">
        <v>134</v>
      </c>
      <c r="H4756">
        <v>234</v>
      </c>
      <c r="I4756" s="125" t="s">
        <v>1546</v>
      </c>
      <c r="J4756" s="308" t="s">
        <v>214</v>
      </c>
      <c r="K4756" s="127" t="s">
        <v>4625</v>
      </c>
      <c r="L4756" s="153" t="s">
        <v>1579</v>
      </c>
      <c r="M4756">
        <v>306</v>
      </c>
      <c r="N4756" s="123">
        <v>17</v>
      </c>
      <c r="O4756">
        <v>3099</v>
      </c>
      <c r="P4756" s="132" t="s">
        <v>77</v>
      </c>
      <c r="Q4756" s="132">
        <v>2498.2800000000002</v>
      </c>
      <c r="R4756" s="132">
        <v>399.72</v>
      </c>
      <c r="S4756" s="132"/>
      <c r="T4756" s="156"/>
      <c r="U4756" s="132"/>
      <c r="V4756" s="132">
        <v>2898</v>
      </c>
      <c r="W4756">
        <v>61</v>
      </c>
      <c r="X4756" s="153" t="s">
        <v>1644</v>
      </c>
      <c r="Y4756" s="124" t="s">
        <v>55</v>
      </c>
      <c r="Z4756" s="308">
        <v>255</v>
      </c>
      <c r="AB4756" t="str">
        <f>IF(Table1[[#This Row],[TIPO2]]="costo", VLOOKUP(Table1[[#This Row],[PARTIDA PRESUPUESTAL]],'Cost Report'!G:G,1,0),"Balance")</f>
        <v>2794-003</v>
      </c>
      <c r="AC4756" s="118"/>
      <c r="AD4756" s="159">
        <f>+Table1[[#This Row],[SUBTOTAL]]+Table1[[#This Row],[IVA]]-Table1[[#This Row],[RET IVA]]-Table1[[#This Row],[RET ISR]]-Table1[[#This Row],[TOTAL]]</f>
        <v>0</v>
      </c>
      <c r="AE4756" s="152"/>
      <c r="AF4756" s="153"/>
      <c r="AG4756" s="126" t="s">
        <v>3420</v>
      </c>
      <c r="AK4756" s="306" t="str">
        <f>IF(ISNUMBER(Table1[[#This Row],[FECHA DE RECIBIDO]]), Table1[[#This Row],[FECHA DE RECIBIDO]]-DATE(2023,8,30), "")</f>
        <v/>
      </c>
    </row>
    <row r="4757" spans="1:37" ht="16.05" customHeight="1">
      <c r="A4757" s="150" t="s">
        <v>4622</v>
      </c>
      <c r="B4757" s="151">
        <v>1605</v>
      </c>
      <c r="C4757" s="126" t="s">
        <v>2596</v>
      </c>
      <c r="D4757">
        <v>3243</v>
      </c>
      <c r="E4757" s="126" t="s">
        <v>2008</v>
      </c>
      <c r="F4757" s="122" t="s">
        <v>1607</v>
      </c>
      <c r="G4757" s="122" t="s">
        <v>134</v>
      </c>
      <c r="H4757">
        <v>100</v>
      </c>
      <c r="I4757" s="122" t="s">
        <v>1546</v>
      </c>
      <c r="J4757" s="307" t="s">
        <v>214</v>
      </c>
      <c r="K4757" s="127" t="s">
        <v>4625</v>
      </c>
      <c r="L4757" s="151" t="s">
        <v>1579</v>
      </c>
      <c r="M4757">
        <v>1171</v>
      </c>
      <c r="N4757" s="123">
        <v>17</v>
      </c>
      <c r="O4757">
        <v>3100</v>
      </c>
      <c r="P4757" s="132" t="s">
        <v>77</v>
      </c>
      <c r="Q4757" s="131">
        <v>688.79</v>
      </c>
      <c r="R4757" s="131">
        <v>110.21</v>
      </c>
      <c r="S4757" s="131"/>
      <c r="T4757" s="155"/>
      <c r="U4757" s="131"/>
      <c r="V4757" s="131">
        <v>799</v>
      </c>
      <c r="W4757">
        <v>61</v>
      </c>
      <c r="X4757" s="151" t="s">
        <v>1644</v>
      </c>
      <c r="Y4757" s="135" t="s">
        <v>55</v>
      </c>
      <c r="Z4757" s="307">
        <v>255</v>
      </c>
      <c r="AB4757" t="str">
        <f>IF(Table1[[#This Row],[TIPO2]]="costo", VLOOKUP(Table1[[#This Row],[PARTIDA PRESUPUESTAL]],'Cost Report'!G:G,1,0),"Balance")</f>
        <v>2794-003</v>
      </c>
      <c r="AC4757" s="118"/>
      <c r="AD4757" s="159">
        <f>+Table1[[#This Row],[SUBTOTAL]]+Table1[[#This Row],[IVA]]-Table1[[#This Row],[RET IVA]]-Table1[[#This Row],[RET ISR]]-Table1[[#This Row],[TOTAL]]</f>
        <v>0</v>
      </c>
      <c r="AE4757" s="150"/>
      <c r="AF4757" s="151"/>
      <c r="AG4757" s="126" t="s">
        <v>3420</v>
      </c>
      <c r="AK4757" s="306" t="str">
        <f>IF(ISNUMBER(Table1[[#This Row],[FECHA DE RECIBIDO]]), Table1[[#This Row],[FECHA DE RECIBIDO]]-DATE(2023,8,30), "")</f>
        <v/>
      </c>
    </row>
    <row r="4758" spans="1:37" ht="16.05" customHeight="1">
      <c r="A4758" s="152" t="s">
        <v>4622</v>
      </c>
      <c r="B4758" s="153">
        <v>1605</v>
      </c>
      <c r="C4758" s="126" t="s">
        <v>2596</v>
      </c>
      <c r="D4758">
        <v>3244</v>
      </c>
      <c r="E4758" s="126" t="s">
        <v>1614</v>
      </c>
      <c r="F4758" s="125" t="s">
        <v>1602</v>
      </c>
      <c r="G4758" s="125" t="s">
        <v>1617</v>
      </c>
      <c r="H4758">
        <v>238</v>
      </c>
      <c r="I4758" s="125" t="s">
        <v>1546</v>
      </c>
      <c r="J4758" s="308" t="s">
        <v>214</v>
      </c>
      <c r="K4758" s="127" t="s">
        <v>4625</v>
      </c>
      <c r="L4758" s="153" t="s">
        <v>1579</v>
      </c>
      <c r="M4758">
        <v>310</v>
      </c>
      <c r="N4758" s="123">
        <v>17</v>
      </c>
      <c r="O4758">
        <v>3101</v>
      </c>
      <c r="P4758" s="132" t="s">
        <v>77</v>
      </c>
      <c r="Q4758" s="132">
        <v>1272</v>
      </c>
      <c r="R4758" s="132">
        <v>203.52</v>
      </c>
      <c r="S4758" s="132"/>
      <c r="T4758" s="156"/>
      <c r="U4758" s="132"/>
      <c r="V4758" s="132">
        <v>1475.52</v>
      </c>
      <c r="W4758">
        <v>61</v>
      </c>
      <c r="X4758" s="153" t="s">
        <v>1644</v>
      </c>
      <c r="Y4758" s="124" t="s">
        <v>55</v>
      </c>
      <c r="Z4758" s="308">
        <v>255</v>
      </c>
      <c r="AB4758" t="str">
        <f>IF(Table1[[#This Row],[TIPO2]]="costo", VLOOKUP(Table1[[#This Row],[PARTIDA PRESUPUESTAL]],'Cost Report'!G:G,1,0),"Balance")</f>
        <v>2794-003</v>
      </c>
      <c r="AC4758" s="118"/>
      <c r="AD4758" s="159">
        <f>+Table1[[#This Row],[SUBTOTAL]]+Table1[[#This Row],[IVA]]-Table1[[#This Row],[RET IVA]]-Table1[[#This Row],[RET ISR]]-Table1[[#This Row],[TOTAL]]</f>
        <v>0</v>
      </c>
      <c r="AE4758" s="152"/>
      <c r="AF4758" s="153"/>
      <c r="AG4758" s="126" t="s">
        <v>3420</v>
      </c>
      <c r="AK4758" s="306" t="str">
        <f>IF(ISNUMBER(Table1[[#This Row],[FECHA DE RECIBIDO]]), Table1[[#This Row],[FECHA DE RECIBIDO]]-DATE(2023,8,30), "")</f>
        <v/>
      </c>
    </row>
    <row r="4759" spans="1:37" ht="16.05" customHeight="1">
      <c r="A4759" s="150" t="s">
        <v>4622</v>
      </c>
      <c r="B4759" s="151">
        <v>1605</v>
      </c>
      <c r="C4759" s="126" t="s">
        <v>2596</v>
      </c>
      <c r="D4759">
        <v>3245</v>
      </c>
      <c r="E4759" s="126" t="s">
        <v>1614</v>
      </c>
      <c r="F4759" s="122" t="s">
        <v>1602</v>
      </c>
      <c r="G4759" s="122" t="s">
        <v>1617</v>
      </c>
      <c r="H4759">
        <v>238</v>
      </c>
      <c r="I4759" s="122" t="s">
        <v>1546</v>
      </c>
      <c r="J4759" s="307" t="s">
        <v>214</v>
      </c>
      <c r="K4759" s="127" t="s">
        <v>4625</v>
      </c>
      <c r="L4759" s="151" t="s">
        <v>1579</v>
      </c>
      <c r="M4759">
        <v>310</v>
      </c>
      <c r="N4759" s="123">
        <v>17</v>
      </c>
      <c r="O4759">
        <v>3101</v>
      </c>
      <c r="P4759" s="132" t="s">
        <v>77</v>
      </c>
      <c r="Q4759" s="131">
        <v>394</v>
      </c>
      <c r="R4759" s="131">
        <v>63.04</v>
      </c>
      <c r="S4759" s="131"/>
      <c r="T4759" s="155"/>
      <c r="U4759" s="131"/>
      <c r="V4759" s="131">
        <v>457.04</v>
      </c>
      <c r="W4759">
        <v>61</v>
      </c>
      <c r="X4759" s="151" t="s">
        <v>1644</v>
      </c>
      <c r="Y4759" s="135" t="s">
        <v>55</v>
      </c>
      <c r="Z4759" s="307">
        <v>257</v>
      </c>
      <c r="AB4759" t="str">
        <f>IF(Table1[[#This Row],[TIPO2]]="costo", VLOOKUP(Table1[[#This Row],[PARTIDA PRESUPUESTAL]],'Cost Report'!G:G,1,0),"Balance")</f>
        <v>2794-003</v>
      </c>
      <c r="AC4759" s="118"/>
      <c r="AD4759" s="159">
        <f>+Table1[[#This Row],[SUBTOTAL]]+Table1[[#This Row],[IVA]]-Table1[[#This Row],[RET IVA]]-Table1[[#This Row],[RET ISR]]-Table1[[#This Row],[TOTAL]]</f>
        <v>0</v>
      </c>
      <c r="AE4759" s="150"/>
      <c r="AF4759" s="151"/>
      <c r="AG4759" s="126" t="s">
        <v>3420</v>
      </c>
      <c r="AK4759" s="306" t="str">
        <f>IF(ISNUMBER(Table1[[#This Row],[FECHA DE RECIBIDO]]), Table1[[#This Row],[FECHA DE RECIBIDO]]-DATE(2023,8,30), "")</f>
        <v/>
      </c>
    </row>
    <row r="4760" spans="1:37" ht="16.05" customHeight="1">
      <c r="A4760" s="152" t="s">
        <v>4622</v>
      </c>
      <c r="B4760" s="153">
        <v>1605</v>
      </c>
      <c r="C4760" s="126" t="s">
        <v>2596</v>
      </c>
      <c r="D4760">
        <v>3246</v>
      </c>
      <c r="E4760" s="126" t="s">
        <v>1614</v>
      </c>
      <c r="F4760" s="125" t="s">
        <v>1602</v>
      </c>
      <c r="G4760" s="125" t="s">
        <v>1617</v>
      </c>
      <c r="H4760">
        <v>238</v>
      </c>
      <c r="I4760" s="125" t="s">
        <v>1546</v>
      </c>
      <c r="J4760" s="308" t="s">
        <v>214</v>
      </c>
      <c r="K4760" s="127" t="s">
        <v>4625</v>
      </c>
      <c r="L4760" s="153" t="s">
        <v>1579</v>
      </c>
      <c r="M4760">
        <v>310</v>
      </c>
      <c r="N4760" s="123">
        <v>17</v>
      </c>
      <c r="O4760">
        <v>3101</v>
      </c>
      <c r="P4760" s="132" t="s">
        <v>77</v>
      </c>
      <c r="Q4760" s="132">
        <v>216</v>
      </c>
      <c r="R4760" s="132">
        <v>34.56</v>
      </c>
      <c r="S4760" s="132"/>
      <c r="T4760" s="156"/>
      <c r="U4760" s="132"/>
      <c r="V4760" s="132">
        <v>250.56</v>
      </c>
      <c r="W4760">
        <v>61</v>
      </c>
      <c r="X4760" s="153" t="s">
        <v>1644</v>
      </c>
      <c r="Y4760" s="124" t="s">
        <v>55</v>
      </c>
      <c r="Z4760" s="308">
        <v>258</v>
      </c>
      <c r="AB4760" t="str">
        <f>IF(Table1[[#This Row],[TIPO2]]="costo", VLOOKUP(Table1[[#This Row],[PARTIDA PRESUPUESTAL]],'Cost Report'!G:G,1,0),"Balance")</f>
        <v>2794-003</v>
      </c>
      <c r="AC4760" s="118"/>
      <c r="AD4760" s="159">
        <f>+Table1[[#This Row],[SUBTOTAL]]+Table1[[#This Row],[IVA]]-Table1[[#This Row],[RET IVA]]-Table1[[#This Row],[RET ISR]]-Table1[[#This Row],[TOTAL]]</f>
        <v>0</v>
      </c>
      <c r="AE4760" s="152"/>
      <c r="AF4760" s="153"/>
      <c r="AG4760" s="126" t="s">
        <v>3420</v>
      </c>
      <c r="AK4760" s="306" t="str">
        <f>IF(ISNUMBER(Table1[[#This Row],[FECHA DE RECIBIDO]]), Table1[[#This Row],[FECHA DE RECIBIDO]]-DATE(2023,8,30), "")</f>
        <v/>
      </c>
    </row>
    <row r="4761" spans="1:37" ht="16.05" customHeight="1">
      <c r="A4761" s="150" t="s">
        <v>4622</v>
      </c>
      <c r="B4761" s="151">
        <v>1605</v>
      </c>
      <c r="C4761" s="126" t="s">
        <v>2596</v>
      </c>
      <c r="D4761">
        <v>3247</v>
      </c>
      <c r="E4761" s="126" t="s">
        <v>1612</v>
      </c>
      <c r="F4761" s="122" t="s">
        <v>1589</v>
      </c>
      <c r="G4761" s="122" t="s">
        <v>129</v>
      </c>
      <c r="H4761">
        <v>568</v>
      </c>
      <c r="I4761" s="122" t="s">
        <v>1546</v>
      </c>
      <c r="J4761" s="307" t="s">
        <v>214</v>
      </c>
      <c r="K4761" s="127" t="s">
        <v>4625</v>
      </c>
      <c r="L4761" s="151" t="s">
        <v>1579</v>
      </c>
      <c r="M4761">
        <v>1172</v>
      </c>
      <c r="N4761" s="123">
        <v>17</v>
      </c>
      <c r="O4761">
        <v>3102</v>
      </c>
      <c r="P4761" s="132" t="s">
        <v>77</v>
      </c>
      <c r="Q4761" s="131">
        <v>4616.38</v>
      </c>
      <c r="R4761" s="131">
        <v>738.62</v>
      </c>
      <c r="S4761" s="131"/>
      <c r="T4761" s="155"/>
      <c r="U4761" s="131"/>
      <c r="V4761" s="131">
        <v>5355</v>
      </c>
      <c r="W4761">
        <v>61</v>
      </c>
      <c r="X4761" s="151" t="s">
        <v>1644</v>
      </c>
      <c r="Y4761" s="135" t="s">
        <v>55</v>
      </c>
      <c r="Z4761" s="307">
        <v>258</v>
      </c>
      <c r="AB4761" t="str">
        <f>IF(Table1[[#This Row],[TIPO2]]="costo", VLOOKUP(Table1[[#This Row],[PARTIDA PRESUPUESTAL]],'Cost Report'!G:G,1,0),"Balance")</f>
        <v>2794-003</v>
      </c>
      <c r="AC4761" s="118"/>
      <c r="AD4761" s="159">
        <f>+Table1[[#This Row],[SUBTOTAL]]+Table1[[#This Row],[IVA]]-Table1[[#This Row],[RET IVA]]-Table1[[#This Row],[RET ISR]]-Table1[[#This Row],[TOTAL]]</f>
        <v>0</v>
      </c>
      <c r="AE4761" s="150"/>
      <c r="AF4761" s="151"/>
      <c r="AG4761" s="126" t="s">
        <v>3420</v>
      </c>
      <c r="AK4761" s="306" t="str">
        <f>IF(ISNUMBER(Table1[[#This Row],[FECHA DE RECIBIDO]]), Table1[[#This Row],[FECHA DE RECIBIDO]]-DATE(2023,8,30), "")</f>
        <v/>
      </c>
    </row>
    <row r="4762" spans="1:37" ht="16.05" customHeight="1">
      <c r="A4762" s="152" t="s">
        <v>4622</v>
      </c>
      <c r="B4762" s="153">
        <v>1605</v>
      </c>
      <c r="C4762" s="126" t="s">
        <v>2596</v>
      </c>
      <c r="D4762">
        <v>3248</v>
      </c>
      <c r="E4762" s="126" t="s">
        <v>1598</v>
      </c>
      <c r="F4762" s="125" t="s">
        <v>1607</v>
      </c>
      <c r="G4762" s="125" t="s">
        <v>134</v>
      </c>
      <c r="H4762">
        <v>393</v>
      </c>
      <c r="I4762" s="125" t="s">
        <v>1546</v>
      </c>
      <c r="J4762" s="308" t="s">
        <v>214</v>
      </c>
      <c r="K4762" s="127" t="s">
        <v>4625</v>
      </c>
      <c r="L4762" s="153" t="s">
        <v>1579</v>
      </c>
      <c r="M4762">
        <v>522</v>
      </c>
      <c r="N4762" s="123">
        <v>17</v>
      </c>
      <c r="O4762">
        <v>905</v>
      </c>
      <c r="P4762" s="132" t="s">
        <v>77</v>
      </c>
      <c r="Q4762" s="132">
        <v>129.31</v>
      </c>
      <c r="R4762" s="132">
        <v>20.69</v>
      </c>
      <c r="S4762" s="132"/>
      <c r="T4762" s="156"/>
      <c r="U4762" s="132"/>
      <c r="V4762" s="132">
        <v>150</v>
      </c>
      <c r="W4762">
        <v>61</v>
      </c>
      <c r="X4762" s="153" t="s">
        <v>1644</v>
      </c>
      <c r="Y4762" s="124" t="s">
        <v>55</v>
      </c>
      <c r="Z4762" s="308">
        <v>258</v>
      </c>
      <c r="AB4762" t="str">
        <f>IF(Table1[[#This Row],[TIPO2]]="costo", VLOOKUP(Table1[[#This Row],[PARTIDA PRESUPUESTAL]],'Cost Report'!G:G,1,0),"Balance")</f>
        <v>2794-003</v>
      </c>
      <c r="AC4762" s="118"/>
      <c r="AD4762" s="159">
        <f>+Table1[[#This Row],[SUBTOTAL]]+Table1[[#This Row],[IVA]]-Table1[[#This Row],[RET IVA]]-Table1[[#This Row],[RET ISR]]-Table1[[#This Row],[TOTAL]]</f>
        <v>0</v>
      </c>
      <c r="AE4762" s="152"/>
      <c r="AF4762" s="153"/>
      <c r="AG4762" s="126" t="s">
        <v>3420</v>
      </c>
      <c r="AK4762" s="306" t="str">
        <f>IF(ISNUMBER(Table1[[#This Row],[FECHA DE RECIBIDO]]), Table1[[#This Row],[FECHA DE RECIBIDO]]-DATE(2023,8,30), "")</f>
        <v/>
      </c>
    </row>
    <row r="4763" spans="1:37" ht="16.05" customHeight="1">
      <c r="A4763" s="150" t="s">
        <v>4622</v>
      </c>
      <c r="B4763" s="151">
        <v>1605</v>
      </c>
      <c r="C4763" s="126" t="s">
        <v>2596</v>
      </c>
      <c r="D4763">
        <v>3249</v>
      </c>
      <c r="E4763" s="126" t="s">
        <v>1614</v>
      </c>
      <c r="F4763" s="122" t="s">
        <v>1607</v>
      </c>
      <c r="G4763" s="122" t="s">
        <v>134</v>
      </c>
      <c r="H4763">
        <v>177</v>
      </c>
      <c r="I4763" s="122" t="s">
        <v>1546</v>
      </c>
      <c r="J4763" s="307" t="s">
        <v>214</v>
      </c>
      <c r="K4763" s="127" t="s">
        <v>4625</v>
      </c>
      <c r="L4763" s="151" t="s">
        <v>1579</v>
      </c>
      <c r="M4763">
        <v>238</v>
      </c>
      <c r="N4763" s="123">
        <v>17</v>
      </c>
      <c r="O4763">
        <v>3103</v>
      </c>
      <c r="P4763" s="132" t="s">
        <v>77</v>
      </c>
      <c r="Q4763" s="131">
        <v>77.58</v>
      </c>
      <c r="R4763" s="131">
        <v>12.41</v>
      </c>
      <c r="S4763" s="131"/>
      <c r="T4763" s="155"/>
      <c r="U4763" s="131"/>
      <c r="V4763" s="131">
        <v>89.99</v>
      </c>
      <c r="W4763">
        <v>61</v>
      </c>
      <c r="X4763" s="151" t="s">
        <v>1644</v>
      </c>
      <c r="Y4763" s="135" t="s">
        <v>55</v>
      </c>
      <c r="Z4763" s="307">
        <v>258</v>
      </c>
      <c r="AB4763" t="str">
        <f>IF(Table1[[#This Row],[TIPO2]]="costo", VLOOKUP(Table1[[#This Row],[PARTIDA PRESUPUESTAL]],'Cost Report'!G:G,1,0),"Balance")</f>
        <v>2794-003</v>
      </c>
      <c r="AC4763" s="118"/>
      <c r="AD4763" s="159">
        <f>+Table1[[#This Row],[SUBTOTAL]]+Table1[[#This Row],[IVA]]-Table1[[#This Row],[RET IVA]]-Table1[[#This Row],[RET ISR]]-Table1[[#This Row],[TOTAL]]</f>
        <v>0</v>
      </c>
      <c r="AE4763" s="150"/>
      <c r="AF4763" s="151"/>
      <c r="AG4763" s="126" t="s">
        <v>3420</v>
      </c>
      <c r="AK4763" s="306" t="str">
        <f>IF(ISNUMBER(Table1[[#This Row],[FECHA DE RECIBIDO]]), Table1[[#This Row],[FECHA DE RECIBIDO]]-DATE(2023,8,30), "")</f>
        <v/>
      </c>
    </row>
    <row r="4764" spans="1:37" ht="16.05" customHeight="1">
      <c r="A4764" s="152" t="s">
        <v>4622</v>
      </c>
      <c r="B4764" s="153">
        <v>1605</v>
      </c>
      <c r="C4764" s="126" t="s">
        <v>2596</v>
      </c>
      <c r="D4764">
        <v>3250</v>
      </c>
      <c r="E4764" s="126" t="s">
        <v>1614</v>
      </c>
      <c r="F4764" s="125" t="s">
        <v>1607</v>
      </c>
      <c r="G4764" s="125" t="s">
        <v>134</v>
      </c>
      <c r="H4764">
        <v>177</v>
      </c>
      <c r="I4764" s="125" t="s">
        <v>1546</v>
      </c>
      <c r="J4764" s="308" t="s">
        <v>214</v>
      </c>
      <c r="K4764" s="127" t="s">
        <v>4625</v>
      </c>
      <c r="L4764" s="153" t="s">
        <v>1579</v>
      </c>
      <c r="M4764">
        <v>238</v>
      </c>
      <c r="N4764" s="123">
        <v>17</v>
      </c>
      <c r="O4764">
        <v>3104</v>
      </c>
      <c r="P4764" s="132" t="s">
        <v>77</v>
      </c>
      <c r="Q4764" s="132">
        <v>758.37</v>
      </c>
      <c r="R4764" s="132">
        <v>121.34</v>
      </c>
      <c r="S4764" s="132"/>
      <c r="T4764" s="156"/>
      <c r="U4764" s="132"/>
      <c r="V4764" s="132">
        <v>879.71</v>
      </c>
      <c r="W4764">
        <v>61</v>
      </c>
      <c r="X4764" s="153" t="s">
        <v>1644</v>
      </c>
      <c r="Y4764" s="124" t="s">
        <v>55</v>
      </c>
      <c r="Z4764" s="308">
        <v>258</v>
      </c>
      <c r="AB4764" t="str">
        <f>IF(Table1[[#This Row],[TIPO2]]="costo", VLOOKUP(Table1[[#This Row],[PARTIDA PRESUPUESTAL]],'Cost Report'!G:G,1,0),"Balance")</f>
        <v>2794-003</v>
      </c>
      <c r="AC4764" s="118"/>
      <c r="AD4764" s="159">
        <f>+Table1[[#This Row],[SUBTOTAL]]+Table1[[#This Row],[IVA]]-Table1[[#This Row],[RET IVA]]-Table1[[#This Row],[RET ISR]]-Table1[[#This Row],[TOTAL]]</f>
        <v>0</v>
      </c>
      <c r="AE4764" s="152"/>
      <c r="AF4764" s="153"/>
      <c r="AG4764" s="126" t="s">
        <v>3420</v>
      </c>
      <c r="AK4764" s="306" t="str">
        <f>IF(ISNUMBER(Table1[[#This Row],[FECHA DE RECIBIDO]]), Table1[[#This Row],[FECHA DE RECIBIDO]]-DATE(2023,8,30), "")</f>
        <v/>
      </c>
    </row>
    <row r="4765" spans="1:37" ht="16.05" customHeight="1">
      <c r="A4765" s="150" t="s">
        <v>4622</v>
      </c>
      <c r="B4765" s="151">
        <v>1605</v>
      </c>
      <c r="C4765" s="126" t="s">
        <v>2596</v>
      </c>
      <c r="D4765">
        <v>3251</v>
      </c>
      <c r="E4765" s="126" t="s">
        <v>1614</v>
      </c>
      <c r="F4765" s="122" t="s">
        <v>1607</v>
      </c>
      <c r="G4765" s="122" t="s">
        <v>134</v>
      </c>
      <c r="H4765">
        <v>844</v>
      </c>
      <c r="I4765" s="122" t="s">
        <v>1546</v>
      </c>
      <c r="J4765" s="307" t="s">
        <v>214</v>
      </c>
      <c r="K4765" s="127" t="s">
        <v>4625</v>
      </c>
      <c r="L4765" s="151" t="s">
        <v>1579</v>
      </c>
      <c r="M4765">
        <v>1170</v>
      </c>
      <c r="N4765" s="123">
        <v>17</v>
      </c>
      <c r="O4765">
        <v>3105</v>
      </c>
      <c r="P4765" s="132" t="s">
        <v>77</v>
      </c>
      <c r="Q4765" s="131">
        <v>531.67999999999995</v>
      </c>
      <c r="R4765" s="131">
        <v>85.07</v>
      </c>
      <c r="S4765" s="131"/>
      <c r="T4765" s="155"/>
      <c r="U4765" s="131"/>
      <c r="V4765" s="131">
        <v>616.75</v>
      </c>
      <c r="W4765">
        <v>61</v>
      </c>
      <c r="X4765" s="151" t="s">
        <v>1644</v>
      </c>
      <c r="Y4765" s="135" t="s">
        <v>55</v>
      </c>
      <c r="Z4765" s="307">
        <v>258</v>
      </c>
      <c r="AB4765" t="str">
        <f>IF(Table1[[#This Row],[TIPO2]]="costo", VLOOKUP(Table1[[#This Row],[PARTIDA PRESUPUESTAL]],'Cost Report'!G:G,1,0),"Balance")</f>
        <v>2794-003</v>
      </c>
      <c r="AC4765" s="118"/>
      <c r="AD4765" s="159">
        <f>+Table1[[#This Row],[SUBTOTAL]]+Table1[[#This Row],[IVA]]-Table1[[#This Row],[RET IVA]]-Table1[[#This Row],[RET ISR]]-Table1[[#This Row],[TOTAL]]</f>
        <v>0</v>
      </c>
      <c r="AE4765" s="150"/>
      <c r="AF4765" s="151"/>
      <c r="AG4765" s="126" t="s">
        <v>3420</v>
      </c>
      <c r="AK4765" s="306" t="str">
        <f>IF(ISNUMBER(Table1[[#This Row],[FECHA DE RECIBIDO]]), Table1[[#This Row],[FECHA DE RECIBIDO]]-DATE(2023,8,30), "")</f>
        <v/>
      </c>
    </row>
    <row r="4766" spans="1:37" ht="16.05" customHeight="1">
      <c r="A4766" s="152" t="s">
        <v>4622</v>
      </c>
      <c r="B4766" s="153">
        <v>1605</v>
      </c>
      <c r="C4766" s="126" t="s">
        <v>2596</v>
      </c>
      <c r="D4766">
        <v>3252</v>
      </c>
      <c r="E4766" s="126" t="s">
        <v>1614</v>
      </c>
      <c r="F4766" s="125" t="s">
        <v>1607</v>
      </c>
      <c r="G4766" s="125" t="s">
        <v>134</v>
      </c>
      <c r="H4766">
        <v>844</v>
      </c>
      <c r="I4766" s="125" t="s">
        <v>1546</v>
      </c>
      <c r="J4766" s="308" t="s">
        <v>214</v>
      </c>
      <c r="K4766" s="127" t="s">
        <v>4625</v>
      </c>
      <c r="L4766" s="153" t="s">
        <v>1579</v>
      </c>
      <c r="M4766">
        <v>1170</v>
      </c>
      <c r="N4766" s="123">
        <v>17</v>
      </c>
      <c r="O4766">
        <v>3105</v>
      </c>
      <c r="P4766" s="132" t="s">
        <v>77</v>
      </c>
      <c r="Q4766" s="132">
        <v>272.41000000000003</v>
      </c>
      <c r="R4766" s="132">
        <v>43.59</v>
      </c>
      <c r="S4766" s="132"/>
      <c r="T4766" s="156"/>
      <c r="U4766" s="132"/>
      <c r="V4766" s="132">
        <v>316</v>
      </c>
      <c r="W4766">
        <v>61</v>
      </c>
      <c r="X4766" s="153" t="s">
        <v>1644</v>
      </c>
      <c r="Y4766" s="124" t="s">
        <v>55</v>
      </c>
      <c r="Z4766" s="308">
        <v>258</v>
      </c>
      <c r="AB4766" t="str">
        <f>IF(Table1[[#This Row],[TIPO2]]="costo", VLOOKUP(Table1[[#This Row],[PARTIDA PRESUPUESTAL]],'Cost Report'!G:G,1,0),"Balance")</f>
        <v>2794-003</v>
      </c>
      <c r="AC4766" s="118"/>
      <c r="AD4766" s="159">
        <f>+Table1[[#This Row],[SUBTOTAL]]+Table1[[#This Row],[IVA]]-Table1[[#This Row],[RET IVA]]-Table1[[#This Row],[RET ISR]]-Table1[[#This Row],[TOTAL]]</f>
        <v>0</v>
      </c>
      <c r="AE4766" s="152"/>
      <c r="AF4766" s="153"/>
      <c r="AG4766" s="126" t="s">
        <v>3420</v>
      </c>
      <c r="AK4766" s="306" t="str">
        <f>IF(ISNUMBER(Table1[[#This Row],[FECHA DE RECIBIDO]]), Table1[[#This Row],[FECHA DE RECIBIDO]]-DATE(2023,8,30), "")</f>
        <v/>
      </c>
    </row>
    <row r="4767" spans="1:37" ht="16.05" customHeight="1">
      <c r="A4767" s="150" t="s">
        <v>4622</v>
      </c>
      <c r="B4767" s="151">
        <v>1605</v>
      </c>
      <c r="C4767" s="126" t="s">
        <v>2596</v>
      </c>
      <c r="D4767">
        <v>3253</v>
      </c>
      <c r="E4767" s="126" t="s">
        <v>1598</v>
      </c>
      <c r="F4767" s="122" t="s">
        <v>1607</v>
      </c>
      <c r="G4767" s="122" t="s">
        <v>134</v>
      </c>
      <c r="H4767">
        <v>393</v>
      </c>
      <c r="I4767" s="122" t="s">
        <v>1546</v>
      </c>
      <c r="J4767" s="307" t="s">
        <v>214</v>
      </c>
      <c r="K4767" s="127" t="s">
        <v>4625</v>
      </c>
      <c r="L4767" s="151" t="s">
        <v>1579</v>
      </c>
      <c r="M4767">
        <v>522</v>
      </c>
      <c r="N4767" s="123">
        <v>17</v>
      </c>
      <c r="O4767">
        <v>905</v>
      </c>
      <c r="P4767" s="132" t="s">
        <v>77</v>
      </c>
      <c r="Q4767" s="131">
        <v>77.59</v>
      </c>
      <c r="R4767" s="131">
        <v>12.41</v>
      </c>
      <c r="S4767" s="131"/>
      <c r="T4767" s="155"/>
      <c r="U4767" s="131"/>
      <c r="V4767" s="131">
        <v>90</v>
      </c>
      <c r="W4767">
        <v>61</v>
      </c>
      <c r="X4767" s="151" t="s">
        <v>1644</v>
      </c>
      <c r="Y4767" s="135" t="s">
        <v>55</v>
      </c>
      <c r="Z4767" s="307">
        <v>259</v>
      </c>
      <c r="AB4767" t="str">
        <f>IF(Table1[[#This Row],[TIPO2]]="costo", VLOOKUP(Table1[[#This Row],[PARTIDA PRESUPUESTAL]],'Cost Report'!G:G,1,0),"Balance")</f>
        <v>2794-003</v>
      </c>
      <c r="AC4767" s="118"/>
      <c r="AD4767" s="159">
        <f>+Table1[[#This Row],[SUBTOTAL]]+Table1[[#This Row],[IVA]]-Table1[[#This Row],[RET IVA]]-Table1[[#This Row],[RET ISR]]-Table1[[#This Row],[TOTAL]]</f>
        <v>0</v>
      </c>
      <c r="AE4767" s="150"/>
      <c r="AF4767" s="151"/>
      <c r="AG4767" s="126" t="s">
        <v>3420</v>
      </c>
      <c r="AK4767" s="306" t="str">
        <f>IF(ISNUMBER(Table1[[#This Row],[FECHA DE RECIBIDO]]), Table1[[#This Row],[FECHA DE RECIBIDO]]-DATE(2023,8,30), "")</f>
        <v/>
      </c>
    </row>
    <row r="4768" spans="1:37" ht="16.05" customHeight="1">
      <c r="A4768" s="152" t="s">
        <v>4622</v>
      </c>
      <c r="B4768" s="153">
        <v>1605</v>
      </c>
      <c r="C4768" s="126" t="s">
        <v>2596</v>
      </c>
      <c r="D4768">
        <v>3254</v>
      </c>
      <c r="E4768" s="126" t="s">
        <v>3272</v>
      </c>
      <c r="F4768" s="125" t="s">
        <v>1607</v>
      </c>
      <c r="G4768" s="125" t="s">
        <v>134</v>
      </c>
      <c r="H4768">
        <v>286</v>
      </c>
      <c r="I4768" s="125" t="s">
        <v>1546</v>
      </c>
      <c r="J4768" s="308" t="s">
        <v>214</v>
      </c>
      <c r="K4768" s="127" t="s">
        <v>4625</v>
      </c>
      <c r="L4768" s="153" t="s">
        <v>1579</v>
      </c>
      <c r="M4768">
        <v>380</v>
      </c>
      <c r="N4768" s="123">
        <v>17</v>
      </c>
      <c r="O4768">
        <v>3106</v>
      </c>
      <c r="P4768" s="132" t="s">
        <v>77</v>
      </c>
      <c r="Q4768" s="132">
        <v>68.959999999999994</v>
      </c>
      <c r="R4768" s="132">
        <v>11.04</v>
      </c>
      <c r="S4768" s="132"/>
      <c r="T4768" s="156"/>
      <c r="U4768" s="132"/>
      <c r="V4768" s="132">
        <v>80</v>
      </c>
      <c r="W4768">
        <v>61</v>
      </c>
      <c r="X4768" s="153" t="s">
        <v>1644</v>
      </c>
      <c r="Y4768" s="124" t="s">
        <v>55</v>
      </c>
      <c r="Z4768" s="308">
        <v>259</v>
      </c>
      <c r="AB4768" t="str">
        <f>IF(Table1[[#This Row],[TIPO2]]="costo", VLOOKUP(Table1[[#This Row],[PARTIDA PRESUPUESTAL]],'Cost Report'!G:G,1,0),"Balance")</f>
        <v>2794-003</v>
      </c>
      <c r="AC4768" s="118"/>
      <c r="AD4768" s="159">
        <f>+Table1[[#This Row],[SUBTOTAL]]+Table1[[#This Row],[IVA]]-Table1[[#This Row],[RET IVA]]-Table1[[#This Row],[RET ISR]]-Table1[[#This Row],[TOTAL]]</f>
        <v>0</v>
      </c>
      <c r="AE4768" s="152"/>
      <c r="AF4768" s="153"/>
      <c r="AG4768" s="126" t="s">
        <v>3420</v>
      </c>
      <c r="AK4768" s="306" t="str">
        <f>IF(ISNUMBER(Table1[[#This Row],[FECHA DE RECIBIDO]]), Table1[[#This Row],[FECHA DE RECIBIDO]]-DATE(2023,8,30), "")</f>
        <v/>
      </c>
    </row>
    <row r="4769" spans="1:37" ht="16.05" customHeight="1">
      <c r="A4769" s="150" t="s">
        <v>4622</v>
      </c>
      <c r="B4769" s="151">
        <v>1605</v>
      </c>
      <c r="C4769" s="126" t="s">
        <v>2596</v>
      </c>
      <c r="D4769">
        <v>3255</v>
      </c>
      <c r="E4769" s="126" t="s">
        <v>3275</v>
      </c>
      <c r="F4769" s="122" t="s">
        <v>1607</v>
      </c>
      <c r="G4769" s="122" t="s">
        <v>134</v>
      </c>
      <c r="H4769">
        <v>428</v>
      </c>
      <c r="I4769" s="122" t="s">
        <v>1546</v>
      </c>
      <c r="J4769" s="307" t="s">
        <v>214</v>
      </c>
      <c r="K4769" s="127" t="s">
        <v>4625</v>
      </c>
      <c r="L4769" s="151" t="s">
        <v>1579</v>
      </c>
      <c r="M4769">
        <v>570</v>
      </c>
      <c r="N4769" s="123">
        <v>17</v>
      </c>
      <c r="O4769">
        <v>1945</v>
      </c>
      <c r="P4769" s="132" t="s">
        <v>77</v>
      </c>
      <c r="Q4769" s="131">
        <v>3485.34</v>
      </c>
      <c r="R4769" s="131">
        <v>557.66</v>
      </c>
      <c r="S4769" s="131"/>
      <c r="T4769" s="155"/>
      <c r="U4769" s="131"/>
      <c r="V4769" s="131">
        <v>4043</v>
      </c>
      <c r="W4769">
        <v>61</v>
      </c>
      <c r="X4769" s="151" t="s">
        <v>1644</v>
      </c>
      <c r="Y4769" s="135" t="s">
        <v>55</v>
      </c>
      <c r="Z4769" s="307">
        <v>259</v>
      </c>
      <c r="AB4769" t="str">
        <f>IF(Table1[[#This Row],[TIPO2]]="costo", VLOOKUP(Table1[[#This Row],[PARTIDA PRESUPUESTAL]],'Cost Report'!G:G,1,0),"Balance")</f>
        <v>2794-003</v>
      </c>
      <c r="AC4769" s="118"/>
      <c r="AD4769" s="159">
        <f>+Table1[[#This Row],[SUBTOTAL]]+Table1[[#This Row],[IVA]]-Table1[[#This Row],[RET IVA]]-Table1[[#This Row],[RET ISR]]-Table1[[#This Row],[TOTAL]]</f>
        <v>0</v>
      </c>
      <c r="AE4769" s="150"/>
      <c r="AF4769" s="151"/>
      <c r="AG4769" s="126" t="s">
        <v>3420</v>
      </c>
      <c r="AK4769" s="306" t="str">
        <f>IF(ISNUMBER(Table1[[#This Row],[FECHA DE RECIBIDO]]), Table1[[#This Row],[FECHA DE RECIBIDO]]-DATE(2023,8,30), "")</f>
        <v/>
      </c>
    </row>
    <row r="4770" spans="1:37" ht="16.05" customHeight="1">
      <c r="A4770" s="152" t="s">
        <v>4622</v>
      </c>
      <c r="B4770" s="153">
        <v>1605</v>
      </c>
      <c r="C4770" s="126" t="s">
        <v>2596</v>
      </c>
      <c r="D4770">
        <v>3256</v>
      </c>
      <c r="E4770" s="126" t="s">
        <v>4102</v>
      </c>
      <c r="F4770" s="125" t="s">
        <v>1607</v>
      </c>
      <c r="G4770" s="125" t="s">
        <v>134</v>
      </c>
      <c r="H4770">
        <v>153</v>
      </c>
      <c r="I4770" s="125" t="s">
        <v>1546</v>
      </c>
      <c r="J4770" s="308" t="s">
        <v>214</v>
      </c>
      <c r="K4770" s="127" t="s">
        <v>4625</v>
      </c>
      <c r="L4770" s="153" t="s">
        <v>1579</v>
      </c>
      <c r="M4770">
        <v>204</v>
      </c>
      <c r="N4770" s="123">
        <v>17</v>
      </c>
      <c r="O4770">
        <v>3107</v>
      </c>
      <c r="P4770" s="132" t="s">
        <v>77</v>
      </c>
      <c r="Q4770" s="132">
        <v>1291.3800000000001</v>
      </c>
      <c r="R4770" s="132">
        <v>206.62</v>
      </c>
      <c r="S4770" s="132"/>
      <c r="T4770" s="156"/>
      <c r="U4770" s="132"/>
      <c r="V4770" s="132">
        <v>1498</v>
      </c>
      <c r="W4770">
        <v>61</v>
      </c>
      <c r="X4770" s="153" t="s">
        <v>1644</v>
      </c>
      <c r="Y4770" s="124" t="s">
        <v>55</v>
      </c>
      <c r="Z4770" s="308">
        <v>259</v>
      </c>
      <c r="AB4770" t="str">
        <f>IF(Table1[[#This Row],[TIPO2]]="costo", VLOOKUP(Table1[[#This Row],[PARTIDA PRESUPUESTAL]],'Cost Report'!G:G,1,0),"Balance")</f>
        <v>2794-003</v>
      </c>
      <c r="AC4770" s="118"/>
      <c r="AD4770" s="159">
        <f>+Table1[[#This Row],[SUBTOTAL]]+Table1[[#This Row],[IVA]]-Table1[[#This Row],[RET IVA]]-Table1[[#This Row],[RET ISR]]-Table1[[#This Row],[TOTAL]]</f>
        <v>0</v>
      </c>
      <c r="AE4770" s="152"/>
      <c r="AF4770" s="153"/>
      <c r="AG4770" s="126" t="s">
        <v>3420</v>
      </c>
      <c r="AK4770" s="306" t="str">
        <f>IF(ISNUMBER(Table1[[#This Row],[FECHA DE RECIBIDO]]), Table1[[#This Row],[FECHA DE RECIBIDO]]-DATE(2023,8,30), "")</f>
        <v/>
      </c>
    </row>
    <row r="4771" spans="1:37" ht="16.05" customHeight="1">
      <c r="A4771" s="150" t="s">
        <v>4622</v>
      </c>
      <c r="B4771" s="151">
        <v>1605</v>
      </c>
      <c r="C4771" s="126" t="s">
        <v>2596</v>
      </c>
      <c r="D4771">
        <v>3257</v>
      </c>
      <c r="E4771" s="126" t="s">
        <v>1611</v>
      </c>
      <c r="F4771" s="122" t="s">
        <v>1593</v>
      </c>
      <c r="G4771" s="122" t="s">
        <v>109</v>
      </c>
      <c r="H4771">
        <v>845</v>
      </c>
      <c r="I4771" s="122" t="s">
        <v>1546</v>
      </c>
      <c r="J4771" s="307" t="s">
        <v>214</v>
      </c>
      <c r="K4771" s="127" t="s">
        <v>4625</v>
      </c>
      <c r="L4771" s="151" t="s">
        <v>1579</v>
      </c>
      <c r="M4771">
        <v>1173</v>
      </c>
      <c r="N4771" s="123">
        <v>17</v>
      </c>
      <c r="O4771">
        <v>3108</v>
      </c>
      <c r="P4771" s="132" t="s">
        <v>77</v>
      </c>
      <c r="Q4771" s="131">
        <v>38.119999999999997</v>
      </c>
      <c r="R4771" s="131">
        <v>6.1</v>
      </c>
      <c r="S4771" s="131"/>
      <c r="T4771" s="155"/>
      <c r="U4771" s="131"/>
      <c r="V4771" s="131">
        <v>44.22</v>
      </c>
      <c r="W4771">
        <v>61</v>
      </c>
      <c r="X4771" s="151" t="s">
        <v>1644</v>
      </c>
      <c r="Y4771" s="135" t="s">
        <v>55</v>
      </c>
      <c r="Z4771" s="307">
        <v>259</v>
      </c>
      <c r="AB4771" t="str">
        <f>IF(Table1[[#This Row],[TIPO2]]="costo", VLOOKUP(Table1[[#This Row],[PARTIDA PRESUPUESTAL]],'Cost Report'!G:G,1,0),"Balance")</f>
        <v>2794-003</v>
      </c>
      <c r="AC4771" s="118"/>
      <c r="AD4771" s="159">
        <f>+Table1[[#This Row],[SUBTOTAL]]+Table1[[#This Row],[IVA]]-Table1[[#This Row],[RET IVA]]-Table1[[#This Row],[RET ISR]]-Table1[[#This Row],[TOTAL]]</f>
        <v>0</v>
      </c>
      <c r="AE4771" s="150"/>
      <c r="AF4771" s="151"/>
      <c r="AG4771" s="126" t="s">
        <v>3420</v>
      </c>
      <c r="AK4771" s="306" t="str">
        <f>IF(ISNUMBER(Table1[[#This Row],[FECHA DE RECIBIDO]]), Table1[[#This Row],[FECHA DE RECIBIDO]]-DATE(2023,8,30), "")</f>
        <v/>
      </c>
    </row>
    <row r="4772" spans="1:37" ht="16.05" customHeight="1">
      <c r="A4772" s="152" t="s">
        <v>4622</v>
      </c>
      <c r="B4772" s="153">
        <v>1605</v>
      </c>
      <c r="C4772" s="126" t="s">
        <v>2596</v>
      </c>
      <c r="D4772">
        <v>3258</v>
      </c>
      <c r="E4772" s="126" t="s">
        <v>3663</v>
      </c>
      <c r="F4772" s="125" t="s">
        <v>1607</v>
      </c>
      <c r="G4772" s="125" t="s">
        <v>134</v>
      </c>
      <c r="H4772">
        <v>594</v>
      </c>
      <c r="I4772" s="125" t="s">
        <v>1546</v>
      </c>
      <c r="J4772" s="308" t="s">
        <v>214</v>
      </c>
      <c r="K4772" s="127" t="s">
        <v>4625</v>
      </c>
      <c r="L4772" s="153" t="s">
        <v>1579</v>
      </c>
      <c r="M4772">
        <v>841</v>
      </c>
      <c r="N4772" s="123">
        <v>17</v>
      </c>
      <c r="O4772">
        <v>905</v>
      </c>
      <c r="P4772" s="132" t="s">
        <v>77</v>
      </c>
      <c r="Q4772" s="132">
        <v>12.93</v>
      </c>
      <c r="R4772" s="132">
        <v>2.0699999999999998</v>
      </c>
      <c r="S4772" s="132"/>
      <c r="T4772" s="156"/>
      <c r="U4772" s="132"/>
      <c r="V4772" s="132">
        <v>15</v>
      </c>
      <c r="W4772">
        <v>61</v>
      </c>
      <c r="X4772" s="153" t="s">
        <v>1644</v>
      </c>
      <c r="Y4772" s="124" t="s">
        <v>55</v>
      </c>
      <c r="Z4772" s="308">
        <v>259</v>
      </c>
      <c r="AB4772" t="str">
        <f>IF(Table1[[#This Row],[TIPO2]]="costo", VLOOKUP(Table1[[#This Row],[PARTIDA PRESUPUESTAL]],'Cost Report'!G:G,1,0),"Balance")</f>
        <v>2794-003</v>
      </c>
      <c r="AC4772" s="118"/>
      <c r="AD4772" s="159">
        <f>+Table1[[#This Row],[SUBTOTAL]]+Table1[[#This Row],[IVA]]-Table1[[#This Row],[RET IVA]]-Table1[[#This Row],[RET ISR]]-Table1[[#This Row],[TOTAL]]</f>
        <v>0</v>
      </c>
      <c r="AE4772" s="152"/>
      <c r="AF4772" s="153"/>
      <c r="AG4772" s="126" t="s">
        <v>3420</v>
      </c>
      <c r="AK4772" s="306" t="str">
        <f>IF(ISNUMBER(Table1[[#This Row],[FECHA DE RECIBIDO]]), Table1[[#This Row],[FECHA DE RECIBIDO]]-DATE(2023,8,30), "")</f>
        <v/>
      </c>
    </row>
    <row r="4773" spans="1:37" ht="16.05" customHeight="1">
      <c r="A4773" s="150" t="s">
        <v>4622</v>
      </c>
      <c r="B4773" s="151">
        <v>1605</v>
      </c>
      <c r="C4773" s="126" t="s">
        <v>2596</v>
      </c>
      <c r="D4773">
        <v>3259</v>
      </c>
      <c r="E4773" s="126" t="s">
        <v>1614</v>
      </c>
      <c r="F4773" s="122" t="s">
        <v>1593</v>
      </c>
      <c r="G4773" s="122" t="s">
        <v>109</v>
      </c>
      <c r="H4773">
        <v>846</v>
      </c>
      <c r="I4773" s="122" t="s">
        <v>1546</v>
      </c>
      <c r="J4773" s="307" t="s">
        <v>214</v>
      </c>
      <c r="K4773" s="127" t="s">
        <v>4625</v>
      </c>
      <c r="L4773" s="151" t="s">
        <v>1579</v>
      </c>
      <c r="M4773">
        <v>1174</v>
      </c>
      <c r="N4773" s="123">
        <v>17</v>
      </c>
      <c r="O4773">
        <v>3109</v>
      </c>
      <c r="P4773" s="132" t="s">
        <v>77</v>
      </c>
      <c r="Q4773" s="131">
        <v>609.15</v>
      </c>
      <c r="R4773" s="131">
        <v>97.46</v>
      </c>
      <c r="S4773" s="131"/>
      <c r="T4773" s="155"/>
      <c r="U4773" s="131">
        <v>7.61</v>
      </c>
      <c r="V4773" s="131">
        <v>699</v>
      </c>
      <c r="W4773">
        <v>61</v>
      </c>
      <c r="X4773" s="151" t="s">
        <v>1644</v>
      </c>
      <c r="Y4773" s="135" t="s">
        <v>55</v>
      </c>
      <c r="Z4773" s="307">
        <v>259</v>
      </c>
      <c r="AB4773" t="str">
        <f>IF(Table1[[#This Row],[TIPO2]]="costo", VLOOKUP(Table1[[#This Row],[PARTIDA PRESUPUESTAL]],'Cost Report'!G:G,1,0),"Balance")</f>
        <v>2794-003</v>
      </c>
      <c r="AC4773" s="118"/>
      <c r="AD4773" s="159">
        <f>+Table1[[#This Row],[SUBTOTAL]]+Table1[[#This Row],[IVA]]-Table1[[#This Row],[RET IVA]]-Table1[[#This Row],[RET ISR]]-Table1[[#This Row],[TOTAL]]</f>
        <v>0</v>
      </c>
      <c r="AE4773" s="150"/>
      <c r="AF4773" s="151"/>
      <c r="AG4773" s="126" t="s">
        <v>3420</v>
      </c>
      <c r="AK4773" s="306" t="str">
        <f>IF(ISNUMBER(Table1[[#This Row],[FECHA DE RECIBIDO]]), Table1[[#This Row],[FECHA DE RECIBIDO]]-DATE(2023,8,30), "")</f>
        <v/>
      </c>
    </row>
    <row r="4774" spans="1:37" ht="16.05" customHeight="1">
      <c r="A4774" s="152" t="s">
        <v>4623</v>
      </c>
      <c r="B4774" s="153">
        <v>1606</v>
      </c>
      <c r="C4774" s="126" t="s">
        <v>1724</v>
      </c>
      <c r="D4774">
        <v>3260</v>
      </c>
      <c r="E4774" s="126" t="s">
        <v>3122</v>
      </c>
      <c r="F4774" s="125" t="s">
        <v>1607</v>
      </c>
      <c r="G4774" s="125" t="s">
        <v>134</v>
      </c>
      <c r="H4774">
        <v>847</v>
      </c>
      <c r="I4774" s="125" t="s">
        <v>1546</v>
      </c>
      <c r="J4774" s="308" t="s">
        <v>214</v>
      </c>
      <c r="K4774" s="127" t="s">
        <v>4625</v>
      </c>
      <c r="L4774" s="153" t="s">
        <v>1579</v>
      </c>
      <c r="M4774">
        <v>1175</v>
      </c>
      <c r="N4774" s="123">
        <v>17</v>
      </c>
      <c r="O4774">
        <v>3110</v>
      </c>
      <c r="P4774" s="132" t="s">
        <v>77</v>
      </c>
      <c r="Q4774" s="132">
        <v>41189.660000000003</v>
      </c>
      <c r="R4774" s="132">
        <v>6590.35</v>
      </c>
      <c r="S4774" s="132"/>
      <c r="T4774" s="156"/>
      <c r="U4774" s="132"/>
      <c r="V4774" s="132">
        <v>47780.01</v>
      </c>
      <c r="W4774">
        <v>93</v>
      </c>
      <c r="X4774" s="153" t="s">
        <v>1644</v>
      </c>
      <c r="Y4774" s="124" t="s">
        <v>55</v>
      </c>
      <c r="Z4774" s="308">
        <v>214</v>
      </c>
      <c r="AB4774" t="str">
        <f>IF(Table1[[#This Row],[TIPO2]]="costo", VLOOKUP(Table1[[#This Row],[PARTIDA PRESUPUESTAL]],'Cost Report'!G:G,1,0),"Balance")</f>
        <v>1641-008</v>
      </c>
      <c r="AC4774" s="118"/>
      <c r="AD4774" s="159">
        <f>+Table1[[#This Row],[SUBTOTAL]]+Table1[[#This Row],[IVA]]-Table1[[#This Row],[RET IVA]]-Table1[[#This Row],[RET ISR]]-Table1[[#This Row],[TOTAL]]</f>
        <v>0</v>
      </c>
      <c r="AE4774" s="152"/>
      <c r="AF4774" s="153"/>
      <c r="AG4774" s="126" t="s">
        <v>3420</v>
      </c>
      <c r="AK4774" s="306" t="str">
        <f>IF(ISNUMBER(Table1[[#This Row],[FECHA DE RECIBIDO]]), Table1[[#This Row],[FECHA DE RECIBIDO]]-DATE(2023,8,30), "")</f>
        <v/>
      </c>
    </row>
    <row r="4775" spans="1:37">
      <c r="A4775" s="152" t="s">
        <v>4623</v>
      </c>
      <c r="B4775" s="153">
        <v>1606</v>
      </c>
      <c r="C4775" s="126" t="s">
        <v>71</v>
      </c>
      <c r="D4775"/>
      <c r="E4775" s="126"/>
      <c r="F4775" s="122"/>
      <c r="G4775" s="122"/>
      <c r="H4775"/>
      <c r="I4775" s="122"/>
      <c r="J4775" s="307" t="s">
        <v>214</v>
      </c>
      <c r="K4775" s="127" t="s">
        <v>4625</v>
      </c>
      <c r="L4775" s="151" t="s">
        <v>1643</v>
      </c>
      <c r="M4775">
        <v>1176</v>
      </c>
      <c r="N4775" s="123"/>
      <c r="O4775">
        <v>3111</v>
      </c>
      <c r="P4775" s="131" t="s">
        <v>78</v>
      </c>
      <c r="Q4775" s="131">
        <v>-427816.07</v>
      </c>
      <c r="R4775" s="131"/>
      <c r="S4775" s="131"/>
      <c r="T4775" s="155">
        <v>0</v>
      </c>
      <c r="U4775" s="131"/>
      <c r="V4775" s="131">
        <f>+Table1[[#This Row],[SUBTOTAL]]</f>
        <v>-427816.07</v>
      </c>
      <c r="W4775"/>
      <c r="X4775" s="151"/>
      <c r="Y4775" s="135"/>
      <c r="Z4775" s="307">
        <v>212</v>
      </c>
      <c r="AB4775" t="s">
        <v>78</v>
      </c>
      <c r="AC4775" s="118"/>
      <c r="AD4775" s="159">
        <v>0</v>
      </c>
      <c r="AE4775" s="150"/>
      <c r="AF4775" s="151"/>
      <c r="AG4775" s="126" t="s">
        <v>3420</v>
      </c>
      <c r="AK4775" s="306" t="str">
        <f>IF(ISNUMBER(Table1[[#This Row],[FECHA DE RECIBIDO]]), Table1[[#This Row],[FECHA DE RECIBIDO]]-DATE(2023,8,30), "")</f>
        <v/>
      </c>
    </row>
    <row r="4776" spans="1:37" ht="16.05" customHeight="1">
      <c r="A4776" s="150" t="s">
        <v>4624</v>
      </c>
      <c r="B4776" s="151">
        <v>1582</v>
      </c>
      <c r="C4776" s="126" t="s">
        <v>1035</v>
      </c>
      <c r="D4776">
        <v>3261</v>
      </c>
      <c r="E4776" s="126" t="s">
        <v>2001</v>
      </c>
      <c r="F4776" s="122" t="s">
        <v>1607</v>
      </c>
      <c r="G4776" s="122" t="s">
        <v>134</v>
      </c>
      <c r="H4776">
        <v>23</v>
      </c>
      <c r="I4776" s="122" t="s">
        <v>1546</v>
      </c>
      <c r="J4776" s="307" t="s">
        <v>214</v>
      </c>
      <c r="K4776" s="127" t="s">
        <v>4625</v>
      </c>
      <c r="L4776" s="151" t="s">
        <v>3306</v>
      </c>
      <c r="M4776">
        <v>32</v>
      </c>
      <c r="N4776" s="123">
        <v>51</v>
      </c>
      <c r="O4776">
        <v>3112</v>
      </c>
      <c r="P4776" s="132" t="s">
        <v>77</v>
      </c>
      <c r="Q4776" s="131">
        <v>7435.56</v>
      </c>
      <c r="R4776" s="131">
        <v>1189.69</v>
      </c>
      <c r="S4776" s="131"/>
      <c r="T4776" s="155">
        <v>0</v>
      </c>
      <c r="U4776" s="131">
        <v>0</v>
      </c>
      <c r="V4776" s="131">
        <v>8625.25</v>
      </c>
      <c r="W4776">
        <v>25</v>
      </c>
      <c r="X4776" s="151" t="s">
        <v>105</v>
      </c>
      <c r="Y4776" s="135" t="s">
        <v>55</v>
      </c>
      <c r="Z4776" s="307">
        <v>262</v>
      </c>
      <c r="AB4776" t="str">
        <f>IF(Table1[[#This Row],[TIPO2]]="costo", VLOOKUP(Table1[[#This Row],[PARTIDA PRESUPUESTAL]],'Cost Report'!G:G,1,0),"Balance")</f>
        <v>3683-006</v>
      </c>
      <c r="AC4776" s="118"/>
      <c r="AD4776" s="159">
        <f>+Table1[[#This Row],[SUBTOTAL]]+Table1[[#This Row],[IVA]]-Table1[[#This Row],[RET IVA]]-Table1[[#This Row],[RET ISR]]-Table1[[#This Row],[TOTAL]]</f>
        <v>0</v>
      </c>
      <c r="AE4776" s="150"/>
      <c r="AF4776" s="151"/>
      <c r="AG4776" s="126"/>
      <c r="AK4776" s="306" t="str">
        <f>IF(ISNUMBER(Table1[[#This Row],[FECHA DE RECIBIDO]]), Table1[[#This Row],[FECHA DE RECIBIDO]]-DATE(2023,8,30), "")</f>
        <v/>
      </c>
    </row>
    <row r="4777" spans="1:37" ht="16.05" customHeight="1">
      <c r="A4777" s="150" t="s">
        <v>4624</v>
      </c>
      <c r="B4777" s="151">
        <v>1582</v>
      </c>
      <c r="C4777" s="126" t="s">
        <v>1039</v>
      </c>
      <c r="D4777">
        <v>3261</v>
      </c>
      <c r="E4777" s="126" t="s">
        <v>2001</v>
      </c>
      <c r="F4777" s="125" t="s">
        <v>1607</v>
      </c>
      <c r="G4777" s="125" t="s">
        <v>134</v>
      </c>
      <c r="H4777">
        <v>23</v>
      </c>
      <c r="I4777" s="125" t="s">
        <v>1546</v>
      </c>
      <c r="J4777" s="308" t="s">
        <v>214</v>
      </c>
      <c r="K4777" s="127" t="s">
        <v>4625</v>
      </c>
      <c r="L4777" s="153" t="s">
        <v>3306</v>
      </c>
      <c r="M4777">
        <v>32</v>
      </c>
      <c r="N4777" s="123">
        <v>51</v>
      </c>
      <c r="O4777">
        <v>3112</v>
      </c>
      <c r="P4777" s="132" t="s">
        <v>77</v>
      </c>
      <c r="Q4777" s="132">
        <v>7435.56</v>
      </c>
      <c r="R4777" s="132">
        <v>1189.69</v>
      </c>
      <c r="S4777" s="132"/>
      <c r="T4777" s="156">
        <v>0</v>
      </c>
      <c r="U4777" s="132">
        <v>0</v>
      </c>
      <c r="V4777" s="132">
        <v>8625.25</v>
      </c>
      <c r="W4777">
        <v>25</v>
      </c>
      <c r="X4777" s="153" t="s">
        <v>105</v>
      </c>
      <c r="Y4777" s="124" t="s">
        <v>55</v>
      </c>
      <c r="Z4777" s="308">
        <v>262</v>
      </c>
      <c r="AB4777" t="str">
        <f>IF(Table1[[#This Row],[TIPO2]]="costo", VLOOKUP(Table1[[#This Row],[PARTIDA PRESUPUESTAL]],'Cost Report'!G:G,1,0),"Balance")</f>
        <v>3683-012</v>
      </c>
      <c r="AC4777" s="118"/>
      <c r="AD4777" s="159">
        <f>+Table1[[#This Row],[SUBTOTAL]]+Table1[[#This Row],[IVA]]-Table1[[#This Row],[RET IVA]]-Table1[[#This Row],[RET ISR]]-Table1[[#This Row],[TOTAL]]</f>
        <v>0</v>
      </c>
      <c r="AE4777" s="152"/>
      <c r="AF4777" s="153"/>
      <c r="AG4777" s="126"/>
      <c r="AK4777" s="306" t="str">
        <f>IF(ISNUMBER(Table1[[#This Row],[FECHA DE RECIBIDO]]), Table1[[#This Row],[FECHA DE RECIBIDO]]-DATE(2023,8,30), "")</f>
        <v/>
      </c>
    </row>
    <row r="4778" spans="1:37" ht="16.05" customHeight="1">
      <c r="A4778" s="150" t="s">
        <v>4624</v>
      </c>
      <c r="B4778" s="151">
        <v>1582</v>
      </c>
      <c r="C4778" s="126" t="s">
        <v>1043</v>
      </c>
      <c r="D4778">
        <v>3261</v>
      </c>
      <c r="E4778" s="126" t="s">
        <v>2001</v>
      </c>
      <c r="F4778" s="122" t="s">
        <v>1607</v>
      </c>
      <c r="G4778" s="122" t="s">
        <v>134</v>
      </c>
      <c r="H4778">
        <v>23</v>
      </c>
      <c r="I4778" s="122" t="s">
        <v>1546</v>
      </c>
      <c r="J4778" s="307" t="s">
        <v>214</v>
      </c>
      <c r="K4778" s="127" t="s">
        <v>4625</v>
      </c>
      <c r="L4778" s="151" t="s">
        <v>3306</v>
      </c>
      <c r="M4778">
        <v>32</v>
      </c>
      <c r="N4778" s="123">
        <v>51</v>
      </c>
      <c r="O4778">
        <v>3112</v>
      </c>
      <c r="P4778" s="132" t="s">
        <v>77</v>
      </c>
      <c r="Q4778" s="131">
        <v>11153.34</v>
      </c>
      <c r="R4778" s="131">
        <v>1784.53</v>
      </c>
      <c r="S4778" s="131"/>
      <c r="T4778" s="155">
        <v>0</v>
      </c>
      <c r="U4778" s="131">
        <v>0</v>
      </c>
      <c r="V4778" s="131">
        <v>12937.87</v>
      </c>
      <c r="W4778">
        <v>25</v>
      </c>
      <c r="X4778" s="151" t="s">
        <v>105</v>
      </c>
      <c r="Y4778" s="135" t="s">
        <v>55</v>
      </c>
      <c r="Z4778" s="307">
        <v>262</v>
      </c>
      <c r="AB4778" t="str">
        <f>IF(Table1[[#This Row],[TIPO2]]="costo", VLOOKUP(Table1[[#This Row],[PARTIDA PRESUPUESTAL]],'Cost Report'!G:G,1,0),"Balance")</f>
        <v>3683-018</v>
      </c>
      <c r="AC4778" s="118"/>
      <c r="AD4778" s="159">
        <f>+Table1[[#This Row],[SUBTOTAL]]+Table1[[#This Row],[IVA]]-Table1[[#This Row],[RET IVA]]-Table1[[#This Row],[RET ISR]]-Table1[[#This Row],[TOTAL]]</f>
        <v>0</v>
      </c>
      <c r="AE4778" s="150"/>
      <c r="AF4778" s="151"/>
      <c r="AG4778" s="126"/>
      <c r="AK4778" s="306" t="str">
        <f>IF(ISNUMBER(Table1[[#This Row],[FECHA DE RECIBIDO]]), Table1[[#This Row],[FECHA DE RECIBIDO]]-DATE(2023,8,30), "")</f>
        <v/>
      </c>
    </row>
    <row r="4779" spans="1:37" ht="16.05" customHeight="1">
      <c r="A4779" s="150" t="s">
        <v>4624</v>
      </c>
      <c r="B4779" s="151">
        <v>1582</v>
      </c>
      <c r="C4779" s="126" t="s">
        <v>1047</v>
      </c>
      <c r="D4779">
        <v>3261</v>
      </c>
      <c r="E4779" s="126" t="s">
        <v>2001</v>
      </c>
      <c r="F4779" s="125" t="s">
        <v>1607</v>
      </c>
      <c r="G4779" s="125" t="s">
        <v>134</v>
      </c>
      <c r="H4779">
        <v>23</v>
      </c>
      <c r="I4779" s="125" t="s">
        <v>1546</v>
      </c>
      <c r="J4779" s="308" t="s">
        <v>214</v>
      </c>
      <c r="K4779" s="127" t="s">
        <v>4625</v>
      </c>
      <c r="L4779" s="153" t="s">
        <v>3306</v>
      </c>
      <c r="M4779">
        <v>32</v>
      </c>
      <c r="N4779" s="123">
        <v>51</v>
      </c>
      <c r="O4779">
        <v>3112</v>
      </c>
      <c r="P4779" s="132" t="s">
        <v>77</v>
      </c>
      <c r="Q4779" s="132">
        <v>5452.74</v>
      </c>
      <c r="R4779" s="132">
        <v>872.44</v>
      </c>
      <c r="S4779" s="132"/>
      <c r="T4779" s="156">
        <v>0</v>
      </c>
      <c r="U4779" s="132">
        <v>0</v>
      </c>
      <c r="V4779" s="132">
        <v>6325.18</v>
      </c>
      <c r="W4779">
        <v>25</v>
      </c>
      <c r="X4779" s="153" t="s">
        <v>105</v>
      </c>
      <c r="Y4779" s="124" t="s">
        <v>55</v>
      </c>
      <c r="Z4779" s="308">
        <v>262</v>
      </c>
      <c r="AB4779" t="str">
        <f>IF(Table1[[#This Row],[TIPO2]]="costo", VLOOKUP(Table1[[#This Row],[PARTIDA PRESUPUESTAL]],'Cost Report'!G:G,1,0),"Balance")</f>
        <v>3683-024</v>
      </c>
      <c r="AC4779" s="118"/>
      <c r="AD4779" s="159">
        <f>+Table1[[#This Row],[SUBTOTAL]]+Table1[[#This Row],[IVA]]-Table1[[#This Row],[RET IVA]]-Table1[[#This Row],[RET ISR]]-Table1[[#This Row],[TOTAL]]</f>
        <v>0</v>
      </c>
      <c r="AE4779" s="152"/>
      <c r="AF4779" s="153"/>
      <c r="AG4779" s="126"/>
      <c r="AK4779" s="306" t="str">
        <f>IF(ISNUMBER(Table1[[#This Row],[FECHA DE RECIBIDO]]), Table1[[#This Row],[FECHA DE RECIBIDO]]-DATE(2023,8,30), "")</f>
        <v/>
      </c>
    </row>
    <row r="4780" spans="1:37" ht="16.05" customHeight="1">
      <c r="A4780" s="150" t="s">
        <v>4624</v>
      </c>
      <c r="B4780" s="151">
        <v>1582</v>
      </c>
      <c r="C4780" s="126" t="s">
        <v>1051</v>
      </c>
      <c r="D4780">
        <v>3261</v>
      </c>
      <c r="E4780" s="126" t="s">
        <v>2001</v>
      </c>
      <c r="F4780" s="122" t="s">
        <v>1607</v>
      </c>
      <c r="G4780" s="122" t="s">
        <v>134</v>
      </c>
      <c r="H4780">
        <v>23</v>
      </c>
      <c r="I4780" s="122" t="s">
        <v>1546</v>
      </c>
      <c r="J4780" s="307" t="s">
        <v>214</v>
      </c>
      <c r="K4780" s="127" t="s">
        <v>4625</v>
      </c>
      <c r="L4780" s="151" t="s">
        <v>3306</v>
      </c>
      <c r="M4780">
        <v>32</v>
      </c>
      <c r="N4780" s="123">
        <v>51</v>
      </c>
      <c r="O4780">
        <v>3112</v>
      </c>
      <c r="P4780" s="132" t="s">
        <v>77</v>
      </c>
      <c r="Q4780" s="131">
        <v>5353.6</v>
      </c>
      <c r="R4780" s="131">
        <v>856.58</v>
      </c>
      <c r="S4780" s="131"/>
      <c r="T4780" s="155">
        <v>0</v>
      </c>
      <c r="U4780" s="131">
        <v>0</v>
      </c>
      <c r="V4780" s="131">
        <v>6210.18</v>
      </c>
      <c r="W4780">
        <v>25</v>
      </c>
      <c r="X4780" s="151" t="s">
        <v>105</v>
      </c>
      <c r="Y4780" s="135" t="s">
        <v>55</v>
      </c>
      <c r="Z4780" s="307">
        <v>262</v>
      </c>
      <c r="AB4780" t="str">
        <f>IF(Table1[[#This Row],[TIPO2]]="costo", VLOOKUP(Table1[[#This Row],[PARTIDA PRESUPUESTAL]],'Cost Report'!G:G,1,0),"Balance")</f>
        <v>3683-030</v>
      </c>
      <c r="AC4780" s="118"/>
      <c r="AD4780" s="159">
        <f>+Table1[[#This Row],[SUBTOTAL]]+Table1[[#This Row],[IVA]]-Table1[[#This Row],[RET IVA]]-Table1[[#This Row],[RET ISR]]-Table1[[#This Row],[TOTAL]]</f>
        <v>0</v>
      </c>
      <c r="AE4780" s="150"/>
      <c r="AF4780" s="151"/>
      <c r="AG4780" s="126"/>
      <c r="AK4780" s="306" t="str">
        <f>IF(ISNUMBER(Table1[[#This Row],[FECHA DE RECIBIDO]]), Table1[[#This Row],[FECHA DE RECIBIDO]]-DATE(2023,8,30), "")</f>
        <v/>
      </c>
    </row>
    <row r="4781" spans="1:37" ht="16.05" customHeight="1">
      <c r="A4781" s="150" t="s">
        <v>4624</v>
      </c>
      <c r="B4781" s="151">
        <v>1582</v>
      </c>
      <c r="C4781" s="126" t="s">
        <v>2897</v>
      </c>
      <c r="D4781">
        <v>3261</v>
      </c>
      <c r="E4781" s="126" t="s">
        <v>2001</v>
      </c>
      <c r="F4781" s="125" t="s">
        <v>1607</v>
      </c>
      <c r="G4781" s="125" t="s">
        <v>134</v>
      </c>
      <c r="H4781">
        <v>23</v>
      </c>
      <c r="I4781" s="125" t="s">
        <v>1546</v>
      </c>
      <c r="J4781" s="308" t="s">
        <v>214</v>
      </c>
      <c r="K4781" s="127" t="s">
        <v>4625</v>
      </c>
      <c r="L4781" s="153" t="s">
        <v>3306</v>
      </c>
      <c r="M4781">
        <v>32</v>
      </c>
      <c r="N4781" s="123">
        <v>51</v>
      </c>
      <c r="O4781">
        <v>3112</v>
      </c>
      <c r="P4781" s="132" t="s">
        <v>77</v>
      </c>
      <c r="Q4781" s="132">
        <v>2676.8</v>
      </c>
      <c r="R4781" s="132">
        <v>428.29</v>
      </c>
      <c r="S4781" s="132"/>
      <c r="T4781" s="156">
        <v>0</v>
      </c>
      <c r="U4781" s="132">
        <v>0</v>
      </c>
      <c r="V4781" s="132">
        <v>3105.09</v>
      </c>
      <c r="W4781">
        <v>25</v>
      </c>
      <c r="X4781" s="153" t="s">
        <v>105</v>
      </c>
      <c r="Y4781" s="124" t="s">
        <v>55</v>
      </c>
      <c r="Z4781" s="308">
        <v>262</v>
      </c>
      <c r="AB4781" t="str">
        <f>IF(Table1[[#This Row],[TIPO2]]="costo", VLOOKUP(Table1[[#This Row],[PARTIDA PRESUPUESTAL]],'Cost Report'!G:G,1,0),"Balance")</f>
        <v>3683-138</v>
      </c>
      <c r="AC4781" s="118"/>
      <c r="AD4781" s="159">
        <f>+Table1[[#This Row],[SUBTOTAL]]+Table1[[#This Row],[IVA]]-Table1[[#This Row],[RET IVA]]-Table1[[#This Row],[RET ISR]]-Table1[[#This Row],[TOTAL]]</f>
        <v>0</v>
      </c>
      <c r="AE4781" s="152"/>
      <c r="AF4781" s="153"/>
      <c r="AG4781" s="126"/>
      <c r="AK4781" s="306" t="str">
        <f>IF(ISNUMBER(Table1[[#This Row],[FECHA DE RECIBIDO]]), Table1[[#This Row],[FECHA DE RECIBIDO]]-DATE(2023,8,30), "")</f>
        <v/>
      </c>
    </row>
    <row r="4782" spans="1:37" ht="16.05" customHeight="1">
      <c r="A4782" s="150" t="s">
        <v>4624</v>
      </c>
      <c r="B4782" s="151">
        <v>1582</v>
      </c>
      <c r="C4782" s="126" t="s">
        <v>1059</v>
      </c>
      <c r="D4782">
        <v>3261</v>
      </c>
      <c r="E4782" s="126" t="s">
        <v>2001</v>
      </c>
      <c r="F4782" s="122" t="s">
        <v>1607</v>
      </c>
      <c r="G4782" s="122" t="s">
        <v>134</v>
      </c>
      <c r="H4782">
        <v>23</v>
      </c>
      <c r="I4782" s="122" t="s">
        <v>1546</v>
      </c>
      <c r="J4782" s="307" t="s">
        <v>214</v>
      </c>
      <c r="K4782" s="127" t="s">
        <v>4625</v>
      </c>
      <c r="L4782" s="151" t="s">
        <v>3306</v>
      </c>
      <c r="M4782">
        <v>32</v>
      </c>
      <c r="N4782" s="123">
        <v>51</v>
      </c>
      <c r="O4782">
        <v>3112</v>
      </c>
      <c r="P4782" s="132" t="s">
        <v>77</v>
      </c>
      <c r="Q4782" s="131">
        <v>5353.6</v>
      </c>
      <c r="R4782" s="131">
        <v>856.58</v>
      </c>
      <c r="S4782" s="131"/>
      <c r="T4782" s="155">
        <v>0</v>
      </c>
      <c r="U4782" s="131">
        <v>0</v>
      </c>
      <c r="V4782" s="131">
        <v>6210.18</v>
      </c>
      <c r="W4782">
        <v>25</v>
      </c>
      <c r="X4782" s="151" t="s">
        <v>105</v>
      </c>
      <c r="Y4782" s="135" t="s">
        <v>55</v>
      </c>
      <c r="Z4782" s="307">
        <v>262</v>
      </c>
      <c r="AB4782" t="str">
        <f>IF(Table1[[#This Row],[TIPO2]]="costo", VLOOKUP(Table1[[#This Row],[PARTIDA PRESUPUESTAL]],'Cost Report'!G:G,1,0),"Balance")</f>
        <v>3683-042</v>
      </c>
      <c r="AC4782" s="118"/>
      <c r="AD4782" s="159">
        <f>+Table1[[#This Row],[SUBTOTAL]]+Table1[[#This Row],[IVA]]-Table1[[#This Row],[RET IVA]]-Table1[[#This Row],[RET ISR]]-Table1[[#This Row],[TOTAL]]</f>
        <v>0</v>
      </c>
      <c r="AE4782" s="150"/>
      <c r="AF4782" s="151"/>
      <c r="AG4782" s="126"/>
      <c r="AK4782" s="306" t="str">
        <f>IF(ISNUMBER(Table1[[#This Row],[FECHA DE RECIBIDO]]), Table1[[#This Row],[FECHA DE RECIBIDO]]-DATE(2023,8,30), "")</f>
        <v/>
      </c>
    </row>
    <row r="4783" spans="1:37" ht="16.05" customHeight="1">
      <c r="A4783" s="150" t="s">
        <v>4624</v>
      </c>
      <c r="B4783" s="151">
        <v>1582</v>
      </c>
      <c r="C4783" s="126" t="s">
        <v>1063</v>
      </c>
      <c r="D4783">
        <v>3261</v>
      </c>
      <c r="E4783" s="126" t="s">
        <v>2001</v>
      </c>
      <c r="F4783" s="125" t="s">
        <v>1607</v>
      </c>
      <c r="G4783" s="125" t="s">
        <v>134</v>
      </c>
      <c r="H4783">
        <v>23</v>
      </c>
      <c r="I4783" s="125" t="s">
        <v>1546</v>
      </c>
      <c r="J4783" s="308" t="s">
        <v>214</v>
      </c>
      <c r="K4783" s="127" t="s">
        <v>4625</v>
      </c>
      <c r="L4783" s="153" t="s">
        <v>3306</v>
      </c>
      <c r="M4783">
        <v>32</v>
      </c>
      <c r="N4783" s="123">
        <v>51</v>
      </c>
      <c r="O4783">
        <v>3112</v>
      </c>
      <c r="P4783" s="132" t="s">
        <v>77</v>
      </c>
      <c r="Q4783" s="132">
        <v>5452.74</v>
      </c>
      <c r="R4783" s="132">
        <v>872.44</v>
      </c>
      <c r="S4783" s="132"/>
      <c r="T4783" s="156">
        <v>0</v>
      </c>
      <c r="U4783" s="132">
        <v>0</v>
      </c>
      <c r="V4783" s="132">
        <v>6325.18</v>
      </c>
      <c r="W4783">
        <v>25</v>
      </c>
      <c r="X4783" s="153" t="s">
        <v>105</v>
      </c>
      <c r="Y4783" s="124" t="s">
        <v>55</v>
      </c>
      <c r="Z4783" s="308">
        <v>262</v>
      </c>
      <c r="AB4783" t="str">
        <f>IF(Table1[[#This Row],[TIPO2]]="costo", VLOOKUP(Table1[[#This Row],[PARTIDA PRESUPUESTAL]],'Cost Report'!G:G,1,0),"Balance")</f>
        <v>3683-048</v>
      </c>
      <c r="AC4783" s="118"/>
      <c r="AD4783" s="159">
        <f>+Table1[[#This Row],[SUBTOTAL]]+Table1[[#This Row],[IVA]]-Table1[[#This Row],[RET IVA]]-Table1[[#This Row],[RET ISR]]-Table1[[#This Row],[TOTAL]]</f>
        <v>0</v>
      </c>
      <c r="AE4783" s="152"/>
      <c r="AF4783" s="153"/>
      <c r="AG4783" s="126"/>
      <c r="AK4783" s="306" t="str">
        <f>IF(ISNUMBER(Table1[[#This Row],[FECHA DE RECIBIDO]]), Table1[[#This Row],[FECHA DE RECIBIDO]]-DATE(2023,8,30), "")</f>
        <v/>
      </c>
    </row>
    <row r="4784" spans="1:37" ht="16.05" customHeight="1">
      <c r="A4784" s="150" t="s">
        <v>4624</v>
      </c>
      <c r="B4784" s="151">
        <v>1582</v>
      </c>
      <c r="C4784" s="126" t="s">
        <v>1067</v>
      </c>
      <c r="D4784">
        <v>3261</v>
      </c>
      <c r="E4784" s="126" t="s">
        <v>2001</v>
      </c>
      <c r="F4784" s="122" t="s">
        <v>1607</v>
      </c>
      <c r="G4784" s="122" t="s">
        <v>134</v>
      </c>
      <c r="H4784">
        <v>23</v>
      </c>
      <c r="I4784" s="122" t="s">
        <v>1546</v>
      </c>
      <c r="J4784" s="307" t="s">
        <v>214</v>
      </c>
      <c r="K4784" s="127" t="s">
        <v>4625</v>
      </c>
      <c r="L4784" s="151" t="s">
        <v>3306</v>
      </c>
      <c r="M4784">
        <v>32</v>
      </c>
      <c r="N4784" s="123">
        <v>51</v>
      </c>
      <c r="O4784">
        <v>3112</v>
      </c>
      <c r="P4784" s="132" t="s">
        <v>77</v>
      </c>
      <c r="Q4784" s="131">
        <v>5452.74</v>
      </c>
      <c r="R4784" s="131">
        <v>872.44</v>
      </c>
      <c r="S4784" s="131"/>
      <c r="T4784" s="155">
        <v>0</v>
      </c>
      <c r="U4784" s="131">
        <v>0</v>
      </c>
      <c r="V4784" s="131">
        <v>6325.18</v>
      </c>
      <c r="W4784">
        <v>25</v>
      </c>
      <c r="X4784" s="151" t="s">
        <v>105</v>
      </c>
      <c r="Y4784" s="135" t="s">
        <v>55</v>
      </c>
      <c r="Z4784" s="307">
        <v>262</v>
      </c>
      <c r="AB4784" t="str">
        <f>IF(Table1[[#This Row],[TIPO2]]="costo", VLOOKUP(Table1[[#This Row],[PARTIDA PRESUPUESTAL]],'Cost Report'!G:G,1,0),"Balance")</f>
        <v>3683-054</v>
      </c>
      <c r="AC4784" s="118"/>
      <c r="AD4784" s="159">
        <f>+Table1[[#This Row],[SUBTOTAL]]+Table1[[#This Row],[IVA]]-Table1[[#This Row],[RET IVA]]-Table1[[#This Row],[RET ISR]]-Table1[[#This Row],[TOTAL]]</f>
        <v>0</v>
      </c>
      <c r="AE4784" s="150"/>
      <c r="AF4784" s="151"/>
      <c r="AG4784" s="126"/>
      <c r="AK4784" s="306" t="str">
        <f>IF(ISNUMBER(Table1[[#This Row],[FECHA DE RECIBIDO]]), Table1[[#This Row],[FECHA DE RECIBIDO]]-DATE(2023,8,30), "")</f>
        <v/>
      </c>
    </row>
    <row r="4785" spans="1:37" ht="16.05" customHeight="1">
      <c r="A4785" s="150" t="s">
        <v>4624</v>
      </c>
      <c r="B4785" s="151">
        <v>1582</v>
      </c>
      <c r="C4785" s="126" t="s">
        <v>1071</v>
      </c>
      <c r="D4785">
        <v>3261</v>
      </c>
      <c r="E4785" s="126" t="s">
        <v>2001</v>
      </c>
      <c r="F4785" s="125" t="s">
        <v>1607</v>
      </c>
      <c r="G4785" s="125" t="s">
        <v>134</v>
      </c>
      <c r="H4785">
        <v>23</v>
      </c>
      <c r="I4785" s="125" t="s">
        <v>1546</v>
      </c>
      <c r="J4785" s="308" t="s">
        <v>214</v>
      </c>
      <c r="K4785" s="127" t="s">
        <v>4625</v>
      </c>
      <c r="L4785" s="153" t="s">
        <v>3306</v>
      </c>
      <c r="M4785">
        <v>32</v>
      </c>
      <c r="N4785" s="123">
        <v>51</v>
      </c>
      <c r="O4785">
        <v>3112</v>
      </c>
      <c r="P4785" s="132" t="s">
        <v>77</v>
      </c>
      <c r="Q4785" s="132">
        <v>3717.78</v>
      </c>
      <c r="R4785" s="132">
        <v>594.84</v>
      </c>
      <c r="S4785" s="132"/>
      <c r="T4785" s="156">
        <v>0</v>
      </c>
      <c r="U4785" s="132">
        <v>0</v>
      </c>
      <c r="V4785" s="132">
        <v>4312.62</v>
      </c>
      <c r="W4785">
        <v>25</v>
      </c>
      <c r="X4785" s="153" t="s">
        <v>105</v>
      </c>
      <c r="Y4785" s="124" t="s">
        <v>55</v>
      </c>
      <c r="Z4785" s="308">
        <v>262</v>
      </c>
      <c r="AB4785" t="str">
        <f>IF(Table1[[#This Row],[TIPO2]]="costo", VLOOKUP(Table1[[#This Row],[PARTIDA PRESUPUESTAL]],'Cost Report'!G:G,1,0),"Balance")</f>
        <v>3683-060</v>
      </c>
      <c r="AC4785" s="118"/>
      <c r="AD4785" s="159">
        <f>+Table1[[#This Row],[SUBTOTAL]]+Table1[[#This Row],[IVA]]-Table1[[#This Row],[RET IVA]]-Table1[[#This Row],[RET ISR]]-Table1[[#This Row],[TOTAL]]</f>
        <v>0</v>
      </c>
      <c r="AE4785" s="152"/>
      <c r="AF4785" s="153"/>
      <c r="AG4785" s="126"/>
      <c r="AK4785" s="306" t="str">
        <f>IF(ISNUMBER(Table1[[#This Row],[FECHA DE RECIBIDO]]), Table1[[#This Row],[FECHA DE RECIBIDO]]-DATE(2023,8,30), "")</f>
        <v/>
      </c>
    </row>
    <row r="4786" spans="1:37" ht="16.05" customHeight="1">
      <c r="A4786" s="150" t="s">
        <v>4624</v>
      </c>
      <c r="B4786" s="151">
        <v>1582</v>
      </c>
      <c r="C4786" s="126" t="s">
        <v>1075</v>
      </c>
      <c r="D4786">
        <v>3261</v>
      </c>
      <c r="E4786" s="126" t="s">
        <v>2001</v>
      </c>
      <c r="F4786" s="122" t="s">
        <v>1607</v>
      </c>
      <c r="G4786" s="122" t="s">
        <v>134</v>
      </c>
      <c r="H4786">
        <v>23</v>
      </c>
      <c r="I4786" s="122" t="s">
        <v>1546</v>
      </c>
      <c r="J4786" s="307" t="s">
        <v>214</v>
      </c>
      <c r="K4786" s="127" t="s">
        <v>4625</v>
      </c>
      <c r="L4786" s="151" t="s">
        <v>3306</v>
      </c>
      <c r="M4786">
        <v>32</v>
      </c>
      <c r="N4786" s="123">
        <v>51</v>
      </c>
      <c r="O4786">
        <v>3112</v>
      </c>
      <c r="P4786" s="132" t="s">
        <v>77</v>
      </c>
      <c r="Q4786" s="131">
        <v>3717.78</v>
      </c>
      <c r="R4786" s="131">
        <v>594.84</v>
      </c>
      <c r="S4786" s="131"/>
      <c r="T4786" s="155">
        <v>0</v>
      </c>
      <c r="U4786" s="131">
        <v>0</v>
      </c>
      <c r="V4786" s="131">
        <v>4312.62</v>
      </c>
      <c r="W4786">
        <v>25</v>
      </c>
      <c r="X4786" s="151" t="s">
        <v>105</v>
      </c>
      <c r="Y4786" s="135" t="s">
        <v>55</v>
      </c>
      <c r="Z4786" s="307">
        <v>262</v>
      </c>
      <c r="AB4786" t="str">
        <f>IF(Table1[[#This Row],[TIPO2]]="costo", VLOOKUP(Table1[[#This Row],[PARTIDA PRESUPUESTAL]],'Cost Report'!G:G,1,0),"Balance")</f>
        <v>3683-066</v>
      </c>
      <c r="AC4786" s="118"/>
      <c r="AD4786" s="159">
        <f>+Table1[[#This Row],[SUBTOTAL]]+Table1[[#This Row],[IVA]]-Table1[[#This Row],[RET IVA]]-Table1[[#This Row],[RET ISR]]-Table1[[#This Row],[TOTAL]]</f>
        <v>0</v>
      </c>
      <c r="AE4786" s="150"/>
      <c r="AF4786" s="151"/>
      <c r="AG4786" s="126"/>
      <c r="AK4786" s="306" t="str">
        <f>IF(ISNUMBER(Table1[[#This Row],[FECHA DE RECIBIDO]]), Table1[[#This Row],[FECHA DE RECIBIDO]]-DATE(2023,8,30), "")</f>
        <v/>
      </c>
    </row>
    <row r="4787" spans="1:37" ht="16.05" customHeight="1">
      <c r="A4787" s="150" t="s">
        <v>4624</v>
      </c>
      <c r="B4787" s="151">
        <v>1582</v>
      </c>
      <c r="C4787" s="126" t="s">
        <v>1079</v>
      </c>
      <c r="D4787">
        <v>3261</v>
      </c>
      <c r="E4787" s="126" t="s">
        <v>2001</v>
      </c>
      <c r="F4787" s="125" t="s">
        <v>1607</v>
      </c>
      <c r="G4787" s="125" t="s">
        <v>134</v>
      </c>
      <c r="H4787">
        <v>23</v>
      </c>
      <c r="I4787" s="125" t="s">
        <v>1546</v>
      </c>
      <c r="J4787" s="308" t="s">
        <v>214</v>
      </c>
      <c r="K4787" s="127" t="s">
        <v>4625</v>
      </c>
      <c r="L4787" s="153" t="s">
        <v>3306</v>
      </c>
      <c r="M4787">
        <v>32</v>
      </c>
      <c r="N4787" s="123">
        <v>51</v>
      </c>
      <c r="O4787">
        <v>3112</v>
      </c>
      <c r="P4787" s="132" t="s">
        <v>77</v>
      </c>
      <c r="Q4787" s="132">
        <v>3717.78</v>
      </c>
      <c r="R4787" s="132">
        <v>594.87</v>
      </c>
      <c r="S4787" s="132"/>
      <c r="T4787" s="156">
        <v>0</v>
      </c>
      <c r="U4787" s="132">
        <v>0</v>
      </c>
      <c r="V4787" s="132">
        <v>4312.6500000000005</v>
      </c>
      <c r="W4787">
        <v>25</v>
      </c>
      <c r="X4787" s="153" t="s">
        <v>105</v>
      </c>
      <c r="Y4787" s="124" t="s">
        <v>55</v>
      </c>
      <c r="Z4787" s="308">
        <v>262</v>
      </c>
      <c r="AB4787" t="str">
        <f>IF(Table1[[#This Row],[TIPO2]]="costo", VLOOKUP(Table1[[#This Row],[PARTIDA PRESUPUESTAL]],'Cost Report'!G:G,1,0),"Balance")</f>
        <v>3683-072</v>
      </c>
      <c r="AC4787" s="118"/>
      <c r="AD4787" s="159">
        <f>+Table1[[#This Row],[SUBTOTAL]]+Table1[[#This Row],[IVA]]-Table1[[#This Row],[RET IVA]]-Table1[[#This Row],[RET ISR]]-Table1[[#This Row],[TOTAL]]</f>
        <v>0</v>
      </c>
      <c r="AE4787" s="152"/>
      <c r="AF4787" s="153"/>
      <c r="AG4787" s="126"/>
      <c r="AK4787" s="306" t="str">
        <f>IF(ISNUMBER(Table1[[#This Row],[FECHA DE RECIBIDO]]), Table1[[#This Row],[FECHA DE RECIBIDO]]-DATE(2023,8,30), "")</f>
        <v/>
      </c>
    </row>
    <row r="4788" spans="1:37" ht="16.05" customHeight="1">
      <c r="A4788" s="150" t="s">
        <v>4624</v>
      </c>
      <c r="B4788" s="151">
        <v>1582</v>
      </c>
      <c r="C4788" s="126" t="s">
        <v>1083</v>
      </c>
      <c r="D4788">
        <v>3261</v>
      </c>
      <c r="E4788" s="126" t="s">
        <v>2001</v>
      </c>
      <c r="F4788" s="122" t="s">
        <v>1607</v>
      </c>
      <c r="G4788" s="122" t="s">
        <v>134</v>
      </c>
      <c r="H4788">
        <v>23</v>
      </c>
      <c r="I4788" s="122" t="s">
        <v>1546</v>
      </c>
      <c r="J4788" s="307" t="s">
        <v>214</v>
      </c>
      <c r="K4788" s="127" t="s">
        <v>4625</v>
      </c>
      <c r="L4788" s="151" t="s">
        <v>3306</v>
      </c>
      <c r="M4788">
        <v>32</v>
      </c>
      <c r="N4788" s="123">
        <v>51</v>
      </c>
      <c r="O4788">
        <v>3112</v>
      </c>
      <c r="P4788" s="132" t="s">
        <v>77</v>
      </c>
      <c r="Q4788" s="131">
        <v>3717.78</v>
      </c>
      <c r="R4788" s="131">
        <v>594.87</v>
      </c>
      <c r="S4788" s="131"/>
      <c r="T4788" s="155">
        <v>0</v>
      </c>
      <c r="U4788" s="131">
        <v>0</v>
      </c>
      <c r="V4788" s="131">
        <v>4312.6500000000005</v>
      </c>
      <c r="W4788">
        <v>25</v>
      </c>
      <c r="X4788" s="151" t="s">
        <v>105</v>
      </c>
      <c r="Y4788" s="135" t="s">
        <v>55</v>
      </c>
      <c r="Z4788" s="307">
        <v>262</v>
      </c>
      <c r="AB4788" t="str">
        <f>IF(Table1[[#This Row],[TIPO2]]="costo", VLOOKUP(Table1[[#This Row],[PARTIDA PRESUPUESTAL]],'Cost Report'!G:G,1,0),"Balance")</f>
        <v>3683-078</v>
      </c>
      <c r="AC4788" s="118"/>
      <c r="AD4788" s="159">
        <f>+Table1[[#This Row],[SUBTOTAL]]+Table1[[#This Row],[IVA]]-Table1[[#This Row],[RET IVA]]-Table1[[#This Row],[RET ISR]]-Table1[[#This Row],[TOTAL]]</f>
        <v>0</v>
      </c>
      <c r="AE4788" s="150"/>
      <c r="AF4788" s="151"/>
      <c r="AG4788" s="126"/>
      <c r="AK4788" s="306" t="str">
        <f>IF(ISNUMBER(Table1[[#This Row],[FECHA DE RECIBIDO]]), Table1[[#This Row],[FECHA DE RECIBIDO]]-DATE(2023,8,30), "")</f>
        <v/>
      </c>
    </row>
    <row r="4789" spans="1:37" ht="16.05" customHeight="1">
      <c r="A4789" s="150" t="s">
        <v>4624</v>
      </c>
      <c r="B4789" s="151">
        <v>1582</v>
      </c>
      <c r="C4789" s="126" t="s">
        <v>1087</v>
      </c>
      <c r="D4789">
        <v>3261</v>
      </c>
      <c r="E4789" s="126" t="s">
        <v>2001</v>
      </c>
      <c r="F4789" s="125" t="s">
        <v>1607</v>
      </c>
      <c r="G4789" s="125" t="s">
        <v>134</v>
      </c>
      <c r="H4789">
        <v>23</v>
      </c>
      <c r="I4789" s="125" t="s">
        <v>1546</v>
      </c>
      <c r="J4789" s="308" t="s">
        <v>214</v>
      </c>
      <c r="K4789" s="127" t="s">
        <v>4625</v>
      </c>
      <c r="L4789" s="153" t="s">
        <v>3306</v>
      </c>
      <c r="M4789">
        <v>32</v>
      </c>
      <c r="N4789" s="123">
        <v>51</v>
      </c>
      <c r="O4789">
        <v>3112</v>
      </c>
      <c r="P4789" s="132" t="s">
        <v>77</v>
      </c>
      <c r="Q4789" s="132">
        <v>5452.74</v>
      </c>
      <c r="R4789" s="132">
        <v>872.44</v>
      </c>
      <c r="S4789" s="132"/>
      <c r="T4789" s="156">
        <v>0</v>
      </c>
      <c r="U4789" s="132">
        <v>0</v>
      </c>
      <c r="V4789" s="132">
        <v>6325.18</v>
      </c>
      <c r="W4789">
        <v>25</v>
      </c>
      <c r="X4789" s="153" t="s">
        <v>105</v>
      </c>
      <c r="Y4789" s="124" t="s">
        <v>55</v>
      </c>
      <c r="Z4789" s="308">
        <v>262</v>
      </c>
      <c r="AB4789" t="str">
        <f>IF(Table1[[#This Row],[TIPO2]]="costo", VLOOKUP(Table1[[#This Row],[PARTIDA PRESUPUESTAL]],'Cost Report'!G:G,1,0),"Balance")</f>
        <v>3683-084</v>
      </c>
      <c r="AC4789" s="118"/>
      <c r="AD4789" s="159">
        <f>+Table1[[#This Row],[SUBTOTAL]]+Table1[[#This Row],[IVA]]-Table1[[#This Row],[RET IVA]]-Table1[[#This Row],[RET ISR]]-Table1[[#This Row],[TOTAL]]</f>
        <v>0</v>
      </c>
      <c r="AE4789" s="152"/>
      <c r="AF4789" s="153"/>
      <c r="AG4789" s="126"/>
      <c r="AK4789" s="306" t="str">
        <f>IF(ISNUMBER(Table1[[#This Row],[FECHA DE RECIBIDO]]), Table1[[#This Row],[FECHA DE RECIBIDO]]-DATE(2023,8,30), "")</f>
        <v/>
      </c>
    </row>
    <row r="4790" spans="1:37" ht="16.05" customHeight="1">
      <c r="A4790" s="150" t="s">
        <v>4624</v>
      </c>
      <c r="B4790" s="151">
        <v>1582</v>
      </c>
      <c r="C4790" s="126" t="s">
        <v>1091</v>
      </c>
      <c r="D4790">
        <v>3261</v>
      </c>
      <c r="E4790" s="126" t="s">
        <v>2001</v>
      </c>
      <c r="F4790" s="122" t="s">
        <v>1607</v>
      </c>
      <c r="G4790" s="122" t="s">
        <v>134</v>
      </c>
      <c r="H4790">
        <v>23</v>
      </c>
      <c r="I4790" s="122" t="s">
        <v>1546</v>
      </c>
      <c r="J4790" s="307" t="s">
        <v>214</v>
      </c>
      <c r="K4790" s="127" t="s">
        <v>4625</v>
      </c>
      <c r="L4790" s="151" t="s">
        <v>3306</v>
      </c>
      <c r="M4790">
        <v>32</v>
      </c>
      <c r="N4790" s="123">
        <v>51</v>
      </c>
      <c r="O4790">
        <v>3112</v>
      </c>
      <c r="P4790" s="132" t="s">
        <v>77</v>
      </c>
      <c r="Q4790" s="131">
        <v>3717.78</v>
      </c>
      <c r="R4790" s="131">
        <v>594.84</v>
      </c>
      <c r="S4790" s="131"/>
      <c r="T4790" s="155">
        <v>0</v>
      </c>
      <c r="U4790" s="131">
        <v>0</v>
      </c>
      <c r="V4790" s="131">
        <v>4312.62</v>
      </c>
      <c r="W4790">
        <v>25</v>
      </c>
      <c r="X4790" s="151" t="s">
        <v>105</v>
      </c>
      <c r="Y4790" s="135" t="s">
        <v>55</v>
      </c>
      <c r="Z4790" s="307">
        <v>262</v>
      </c>
      <c r="AB4790" t="str">
        <f>IF(Table1[[#This Row],[TIPO2]]="costo", VLOOKUP(Table1[[#This Row],[PARTIDA PRESUPUESTAL]],'Cost Report'!G:G,1,0),"Balance")</f>
        <v>3683-090</v>
      </c>
      <c r="AC4790" s="118"/>
      <c r="AD4790" s="159">
        <f>+Table1[[#This Row],[SUBTOTAL]]+Table1[[#This Row],[IVA]]-Table1[[#This Row],[RET IVA]]-Table1[[#This Row],[RET ISR]]-Table1[[#This Row],[TOTAL]]</f>
        <v>0</v>
      </c>
      <c r="AE4790" s="150"/>
      <c r="AF4790" s="151"/>
      <c r="AG4790" s="126"/>
      <c r="AK4790" s="306" t="str">
        <f>IF(ISNUMBER(Table1[[#This Row],[FECHA DE RECIBIDO]]), Table1[[#This Row],[FECHA DE RECIBIDO]]-DATE(2023,8,30), "")</f>
        <v/>
      </c>
    </row>
    <row r="4791" spans="1:37" ht="16.05" customHeight="1">
      <c r="A4791" s="150" t="s">
        <v>4624</v>
      </c>
      <c r="B4791" s="151">
        <v>1582</v>
      </c>
      <c r="C4791" s="126" t="s">
        <v>1095</v>
      </c>
      <c r="D4791">
        <v>3261</v>
      </c>
      <c r="E4791" s="126" t="s">
        <v>2001</v>
      </c>
      <c r="F4791" s="125" t="s">
        <v>1607</v>
      </c>
      <c r="G4791" s="125" t="s">
        <v>134</v>
      </c>
      <c r="H4791">
        <v>23</v>
      </c>
      <c r="I4791" s="125" t="s">
        <v>1546</v>
      </c>
      <c r="J4791" s="308" t="s">
        <v>214</v>
      </c>
      <c r="K4791" s="127" t="s">
        <v>4625</v>
      </c>
      <c r="L4791" s="153" t="s">
        <v>3306</v>
      </c>
      <c r="M4791">
        <v>32</v>
      </c>
      <c r="N4791" s="123">
        <v>51</v>
      </c>
      <c r="O4791">
        <v>3112</v>
      </c>
      <c r="P4791" s="132" t="s">
        <v>77</v>
      </c>
      <c r="Q4791" s="132">
        <v>5452.74</v>
      </c>
      <c r="R4791" s="132">
        <v>872.44</v>
      </c>
      <c r="S4791" s="132"/>
      <c r="T4791" s="156">
        <v>0</v>
      </c>
      <c r="U4791" s="132">
        <v>0</v>
      </c>
      <c r="V4791" s="132">
        <v>6325.18</v>
      </c>
      <c r="W4791">
        <v>25</v>
      </c>
      <c r="X4791" s="153" t="s">
        <v>105</v>
      </c>
      <c r="Y4791" s="124" t="s">
        <v>55</v>
      </c>
      <c r="Z4791" s="308">
        <v>262</v>
      </c>
      <c r="AB4791" t="str">
        <f>IF(Table1[[#This Row],[TIPO2]]="costo", VLOOKUP(Table1[[#This Row],[PARTIDA PRESUPUESTAL]],'Cost Report'!G:G,1,0),"Balance")</f>
        <v>3683-096</v>
      </c>
      <c r="AC4791" s="118"/>
      <c r="AD4791" s="159">
        <f>+Table1[[#This Row],[SUBTOTAL]]+Table1[[#This Row],[IVA]]-Table1[[#This Row],[RET IVA]]-Table1[[#This Row],[RET ISR]]-Table1[[#This Row],[TOTAL]]</f>
        <v>0</v>
      </c>
      <c r="AE4791" s="152"/>
      <c r="AF4791" s="153"/>
      <c r="AG4791" s="126"/>
      <c r="AK4791" s="306" t="str">
        <f>IF(ISNUMBER(Table1[[#This Row],[FECHA DE RECIBIDO]]), Table1[[#This Row],[FECHA DE RECIBIDO]]-DATE(2023,8,30), "")</f>
        <v/>
      </c>
    </row>
    <row r="4792" spans="1:37" ht="16.05" customHeight="1">
      <c r="A4792" s="150" t="s">
        <v>4624</v>
      </c>
      <c r="B4792" s="151">
        <v>1582</v>
      </c>
      <c r="C4792" s="126" t="s">
        <v>1098</v>
      </c>
      <c r="D4792">
        <v>3261</v>
      </c>
      <c r="E4792" s="126" t="s">
        <v>2001</v>
      </c>
      <c r="F4792" s="122" t="s">
        <v>1607</v>
      </c>
      <c r="G4792" s="122" t="s">
        <v>134</v>
      </c>
      <c r="H4792">
        <v>23</v>
      </c>
      <c r="I4792" s="122" t="s">
        <v>1546</v>
      </c>
      <c r="J4792" s="307" t="s">
        <v>214</v>
      </c>
      <c r="K4792" s="127" t="s">
        <v>4625</v>
      </c>
      <c r="L4792" s="151" t="s">
        <v>3306</v>
      </c>
      <c r="M4792">
        <v>32</v>
      </c>
      <c r="N4792" s="123">
        <v>51</v>
      </c>
      <c r="O4792">
        <v>3112</v>
      </c>
      <c r="P4792" s="132" t="s">
        <v>77</v>
      </c>
      <c r="Q4792" s="131">
        <v>5576.67</v>
      </c>
      <c r="R4792" s="131">
        <v>892.27</v>
      </c>
      <c r="S4792" s="131"/>
      <c r="T4792" s="155">
        <v>0</v>
      </c>
      <c r="U4792" s="131">
        <v>0</v>
      </c>
      <c r="V4792" s="131">
        <v>6468.9400000000005</v>
      </c>
      <c r="W4792">
        <v>25</v>
      </c>
      <c r="X4792" s="151" t="s">
        <v>105</v>
      </c>
      <c r="Y4792" s="135" t="s">
        <v>55</v>
      </c>
      <c r="Z4792" s="307">
        <v>262</v>
      </c>
      <c r="AB4792" t="str">
        <f>IF(Table1[[#This Row],[TIPO2]]="costo", VLOOKUP(Table1[[#This Row],[PARTIDA PRESUPUESTAL]],'Cost Report'!G:G,1,0),"Balance")</f>
        <v>3683-101</v>
      </c>
      <c r="AC4792" s="118"/>
      <c r="AD4792" s="159">
        <f>+Table1[[#This Row],[SUBTOTAL]]+Table1[[#This Row],[IVA]]-Table1[[#This Row],[RET IVA]]-Table1[[#This Row],[RET ISR]]-Table1[[#This Row],[TOTAL]]</f>
        <v>0</v>
      </c>
      <c r="AE4792" s="150"/>
      <c r="AF4792" s="151"/>
      <c r="AG4792" s="126"/>
      <c r="AK4792" s="306" t="str">
        <f>IF(ISNUMBER(Table1[[#This Row],[FECHA DE RECIBIDO]]), Table1[[#This Row],[FECHA DE RECIBIDO]]-DATE(2023,8,30), "")</f>
        <v/>
      </c>
    </row>
    <row r="4793" spans="1:37" ht="16.05" customHeight="1">
      <c r="A4793" s="150" t="s">
        <v>4624</v>
      </c>
      <c r="B4793" s="151">
        <v>1582</v>
      </c>
      <c r="C4793" s="126" t="s">
        <v>1100</v>
      </c>
      <c r="D4793">
        <v>3261</v>
      </c>
      <c r="E4793" s="126" t="s">
        <v>2001</v>
      </c>
      <c r="F4793" s="125" t="s">
        <v>1607</v>
      </c>
      <c r="G4793" s="125" t="s">
        <v>134</v>
      </c>
      <c r="H4793">
        <v>23</v>
      </c>
      <c r="I4793" s="125" t="s">
        <v>1546</v>
      </c>
      <c r="J4793" s="308" t="s">
        <v>214</v>
      </c>
      <c r="K4793" s="127" t="s">
        <v>4625</v>
      </c>
      <c r="L4793" s="153" t="s">
        <v>3306</v>
      </c>
      <c r="M4793">
        <v>32</v>
      </c>
      <c r="N4793" s="123">
        <v>51</v>
      </c>
      <c r="O4793">
        <v>3112</v>
      </c>
      <c r="P4793" s="132" t="s">
        <v>77</v>
      </c>
      <c r="Q4793" s="132">
        <v>6939.85</v>
      </c>
      <c r="R4793" s="132">
        <v>1110.3800000000001</v>
      </c>
      <c r="S4793" s="132"/>
      <c r="T4793" s="156">
        <v>0</v>
      </c>
      <c r="U4793" s="132">
        <v>0</v>
      </c>
      <c r="V4793" s="132">
        <v>8050.2300000000005</v>
      </c>
      <c r="W4793">
        <v>25</v>
      </c>
      <c r="X4793" s="153" t="s">
        <v>105</v>
      </c>
      <c r="Y4793" s="124" t="s">
        <v>55</v>
      </c>
      <c r="Z4793" s="308">
        <v>262</v>
      </c>
      <c r="AB4793" t="str">
        <f>IF(Table1[[#This Row],[TIPO2]]="costo", VLOOKUP(Table1[[#This Row],[PARTIDA PRESUPUESTAL]],'Cost Report'!G:G,1,0),"Balance")</f>
        <v>3683-105</v>
      </c>
      <c r="AC4793" s="118"/>
      <c r="AD4793" s="159">
        <f>+Table1[[#This Row],[SUBTOTAL]]+Table1[[#This Row],[IVA]]-Table1[[#This Row],[RET IVA]]-Table1[[#This Row],[RET ISR]]-Table1[[#This Row],[TOTAL]]</f>
        <v>0</v>
      </c>
      <c r="AE4793" s="152"/>
      <c r="AF4793" s="153"/>
      <c r="AG4793" s="126"/>
      <c r="AK4793" s="306" t="str">
        <f>IF(ISNUMBER(Table1[[#This Row],[FECHA DE RECIBIDO]]), Table1[[#This Row],[FECHA DE RECIBIDO]]-DATE(2023,8,30), "")</f>
        <v/>
      </c>
    </row>
    <row r="4794" spans="1:37" ht="16.05" customHeight="1">
      <c r="A4794" s="150" t="s">
        <v>4624</v>
      </c>
      <c r="B4794" s="151">
        <v>1582</v>
      </c>
      <c r="C4794" s="126" t="s">
        <v>2880</v>
      </c>
      <c r="D4794">
        <v>3261</v>
      </c>
      <c r="E4794" s="126" t="s">
        <v>2001</v>
      </c>
      <c r="F4794" s="122" t="s">
        <v>1607</v>
      </c>
      <c r="G4794" s="122" t="s">
        <v>134</v>
      </c>
      <c r="H4794">
        <v>23</v>
      </c>
      <c r="I4794" s="122" t="s">
        <v>1546</v>
      </c>
      <c r="J4794" s="307" t="s">
        <v>214</v>
      </c>
      <c r="K4794" s="127" t="s">
        <v>4625</v>
      </c>
      <c r="L4794" s="151" t="s">
        <v>3306</v>
      </c>
      <c r="M4794">
        <v>32</v>
      </c>
      <c r="N4794" s="123">
        <v>51</v>
      </c>
      <c r="O4794">
        <v>3112</v>
      </c>
      <c r="P4794" s="132" t="s">
        <v>77</v>
      </c>
      <c r="Q4794" s="131">
        <v>13879.71</v>
      </c>
      <c r="R4794" s="131">
        <v>2220.75</v>
      </c>
      <c r="S4794" s="131"/>
      <c r="T4794" s="155">
        <v>0</v>
      </c>
      <c r="U4794" s="131">
        <v>0</v>
      </c>
      <c r="V4794" s="131">
        <v>16100.46</v>
      </c>
      <c r="W4794">
        <v>25</v>
      </c>
      <c r="X4794" s="151" t="s">
        <v>105</v>
      </c>
      <c r="Y4794" s="135" t="s">
        <v>55</v>
      </c>
      <c r="Z4794" s="307">
        <v>262</v>
      </c>
      <c r="AB4794" t="str">
        <f>IF(Table1[[#This Row],[TIPO2]]="costo", VLOOKUP(Table1[[#This Row],[PARTIDA PRESUPUESTAL]],'Cost Report'!G:G,1,0),"Balance")</f>
        <v>3683-109</v>
      </c>
      <c r="AC4794" s="118"/>
      <c r="AD4794" s="159">
        <f>+Table1[[#This Row],[SUBTOTAL]]+Table1[[#This Row],[IVA]]-Table1[[#This Row],[RET IVA]]-Table1[[#This Row],[RET ISR]]-Table1[[#This Row],[TOTAL]]</f>
        <v>0</v>
      </c>
      <c r="AE4794" s="150"/>
      <c r="AF4794" s="151"/>
      <c r="AG4794" s="126"/>
      <c r="AK4794" s="306" t="str">
        <f>IF(ISNUMBER(Table1[[#This Row],[FECHA DE RECIBIDO]]), Table1[[#This Row],[FECHA DE RECIBIDO]]-DATE(2023,8,30), "")</f>
        <v/>
      </c>
    </row>
    <row r="4795" spans="1:37" ht="16.05" customHeight="1">
      <c r="A4795" s="150" t="s">
        <v>4624</v>
      </c>
      <c r="B4795" s="151">
        <v>1582</v>
      </c>
      <c r="C4795" s="126" t="s">
        <v>2882</v>
      </c>
      <c r="D4795">
        <v>3261</v>
      </c>
      <c r="E4795" s="126" t="s">
        <v>2001</v>
      </c>
      <c r="F4795" s="125" t="s">
        <v>1607</v>
      </c>
      <c r="G4795" s="125" t="s">
        <v>134</v>
      </c>
      <c r="H4795">
        <v>23</v>
      </c>
      <c r="I4795" s="125" t="s">
        <v>1546</v>
      </c>
      <c r="J4795" s="308" t="s">
        <v>214</v>
      </c>
      <c r="K4795" s="127" t="s">
        <v>4625</v>
      </c>
      <c r="L4795" s="153" t="s">
        <v>3306</v>
      </c>
      <c r="M4795">
        <v>32</v>
      </c>
      <c r="N4795" s="123">
        <v>51</v>
      </c>
      <c r="O4795">
        <v>3112</v>
      </c>
      <c r="P4795" s="132" t="s">
        <v>77</v>
      </c>
      <c r="Q4795" s="132">
        <v>6939.85</v>
      </c>
      <c r="R4795" s="132">
        <v>1110.3800000000001</v>
      </c>
      <c r="S4795" s="132"/>
      <c r="T4795" s="156">
        <v>0</v>
      </c>
      <c r="U4795" s="132">
        <v>0</v>
      </c>
      <c r="V4795" s="132">
        <v>8050.2300000000005</v>
      </c>
      <c r="W4795">
        <v>25</v>
      </c>
      <c r="X4795" s="153" t="s">
        <v>105</v>
      </c>
      <c r="Y4795" s="124" t="s">
        <v>55</v>
      </c>
      <c r="Z4795" s="308">
        <v>262</v>
      </c>
      <c r="AB4795" t="str">
        <f>IF(Table1[[#This Row],[TIPO2]]="costo", VLOOKUP(Table1[[#This Row],[PARTIDA PRESUPUESTAL]],'Cost Report'!G:G,1,0),"Balance")</f>
        <v>3683-113</v>
      </c>
      <c r="AC4795" s="118"/>
      <c r="AD4795" s="159">
        <f>+Table1[[#This Row],[SUBTOTAL]]+Table1[[#This Row],[IVA]]-Table1[[#This Row],[RET IVA]]-Table1[[#This Row],[RET ISR]]-Table1[[#This Row],[TOTAL]]</f>
        <v>0</v>
      </c>
      <c r="AE4795" s="152"/>
      <c r="AF4795" s="153"/>
      <c r="AG4795" s="126"/>
      <c r="AK4795" s="306" t="str">
        <f>IF(ISNUMBER(Table1[[#This Row],[FECHA DE RECIBIDO]]), Table1[[#This Row],[FECHA DE RECIBIDO]]-DATE(2023,8,30), "")</f>
        <v/>
      </c>
    </row>
    <row r="4796" spans="1:37" ht="16.05" customHeight="1">
      <c r="A4796" s="150" t="s">
        <v>4624</v>
      </c>
      <c r="B4796" s="151">
        <v>1582</v>
      </c>
      <c r="C4796" s="126" t="s">
        <v>2909</v>
      </c>
      <c r="D4796">
        <v>3261</v>
      </c>
      <c r="E4796" s="126" t="s">
        <v>2001</v>
      </c>
      <c r="F4796" s="122" t="s">
        <v>1607</v>
      </c>
      <c r="G4796" s="122" t="s">
        <v>134</v>
      </c>
      <c r="H4796">
        <v>23</v>
      </c>
      <c r="I4796" s="122" t="s">
        <v>1546</v>
      </c>
      <c r="J4796" s="307" t="s">
        <v>214</v>
      </c>
      <c r="K4796" s="127" t="s">
        <v>4625</v>
      </c>
      <c r="L4796" s="151" t="s">
        <v>3306</v>
      </c>
      <c r="M4796">
        <v>32</v>
      </c>
      <c r="N4796" s="123">
        <v>51</v>
      </c>
      <c r="O4796">
        <v>3112</v>
      </c>
      <c r="P4796" s="132" t="s">
        <v>77</v>
      </c>
      <c r="Q4796" s="131">
        <v>6939.85</v>
      </c>
      <c r="R4796" s="131">
        <v>1110.3800000000001</v>
      </c>
      <c r="S4796" s="131"/>
      <c r="T4796" s="155">
        <v>0</v>
      </c>
      <c r="U4796" s="131">
        <v>0</v>
      </c>
      <c r="V4796" s="131">
        <v>8050.2300000000005</v>
      </c>
      <c r="W4796">
        <v>25</v>
      </c>
      <c r="X4796" s="151" t="s">
        <v>105</v>
      </c>
      <c r="Y4796" s="135" t="s">
        <v>55</v>
      </c>
      <c r="Z4796" s="307">
        <v>262</v>
      </c>
      <c r="AB4796" t="str">
        <f>IF(Table1[[#This Row],[TIPO2]]="costo", VLOOKUP(Table1[[#This Row],[PARTIDA PRESUPUESTAL]],'Cost Report'!G:G,1,0),"Balance")</f>
        <v>3683-158</v>
      </c>
      <c r="AC4796" s="118"/>
      <c r="AD4796" s="159">
        <f>+Table1[[#This Row],[SUBTOTAL]]+Table1[[#This Row],[IVA]]-Table1[[#This Row],[RET IVA]]-Table1[[#This Row],[RET ISR]]-Table1[[#This Row],[TOTAL]]</f>
        <v>0</v>
      </c>
      <c r="AE4796" s="150"/>
      <c r="AF4796" s="151"/>
      <c r="AG4796" s="126"/>
      <c r="AK4796" s="306" t="str">
        <f>IF(ISNUMBER(Table1[[#This Row],[FECHA DE RECIBIDO]]), Table1[[#This Row],[FECHA DE RECIBIDO]]-DATE(2023,8,30), "")</f>
        <v/>
      </c>
    </row>
    <row r="4797" spans="1:37" ht="16.05" customHeight="1">
      <c r="A4797" s="150" t="s">
        <v>4624</v>
      </c>
      <c r="B4797" s="151">
        <v>1582</v>
      </c>
      <c r="C4797" s="126" t="s">
        <v>2916</v>
      </c>
      <c r="D4797">
        <v>3261</v>
      </c>
      <c r="E4797" s="126" t="s">
        <v>2001</v>
      </c>
      <c r="F4797" s="125" t="s">
        <v>1607</v>
      </c>
      <c r="G4797" s="125" t="s">
        <v>134</v>
      </c>
      <c r="H4797">
        <v>23</v>
      </c>
      <c r="I4797" s="125" t="s">
        <v>1546</v>
      </c>
      <c r="J4797" s="308" t="s">
        <v>214</v>
      </c>
      <c r="K4797" s="127" t="s">
        <v>4625</v>
      </c>
      <c r="L4797" s="153" t="s">
        <v>3306</v>
      </c>
      <c r="M4797">
        <v>32</v>
      </c>
      <c r="N4797" s="123">
        <v>51</v>
      </c>
      <c r="O4797">
        <v>3112</v>
      </c>
      <c r="P4797" s="132" t="s">
        <v>77</v>
      </c>
      <c r="Q4797" s="132">
        <v>2257.2199999999998</v>
      </c>
      <c r="R4797" s="132">
        <v>361.16</v>
      </c>
      <c r="S4797" s="132"/>
      <c r="T4797" s="156">
        <v>0</v>
      </c>
      <c r="U4797" s="132">
        <v>0</v>
      </c>
      <c r="V4797" s="132">
        <v>2618.3799999999997</v>
      </c>
      <c r="W4797">
        <v>25</v>
      </c>
      <c r="X4797" s="153" t="s">
        <v>105</v>
      </c>
      <c r="Y4797" s="124" t="s">
        <v>55</v>
      </c>
      <c r="Z4797" s="308">
        <v>262</v>
      </c>
      <c r="AB4797" t="str">
        <f>IF(Table1[[#This Row],[TIPO2]]="costo", VLOOKUP(Table1[[#This Row],[PARTIDA PRESUPUESTAL]],'Cost Report'!G:G,1,0),"Balance")</f>
        <v>3683-171</v>
      </c>
      <c r="AC4797" s="118"/>
      <c r="AD4797" s="159">
        <f>+Table1[[#This Row],[SUBTOTAL]]+Table1[[#This Row],[IVA]]-Table1[[#This Row],[RET IVA]]-Table1[[#This Row],[RET ISR]]-Table1[[#This Row],[TOTAL]]</f>
        <v>0</v>
      </c>
      <c r="AE4797" s="152"/>
      <c r="AF4797" s="153"/>
      <c r="AG4797" s="126"/>
      <c r="AK4797" s="306" t="str">
        <f>IF(ISNUMBER(Table1[[#This Row],[FECHA DE RECIBIDO]]), Table1[[#This Row],[FECHA DE RECIBIDO]]-DATE(2023,8,30), "")</f>
        <v/>
      </c>
    </row>
    <row r="4798" spans="1:37" ht="16.05" customHeight="1">
      <c r="A4798" s="150" t="s">
        <v>4624</v>
      </c>
      <c r="B4798" s="151">
        <v>1582</v>
      </c>
      <c r="C4798" s="126" t="s">
        <v>2907</v>
      </c>
      <c r="D4798">
        <v>3261</v>
      </c>
      <c r="E4798" s="126" t="s">
        <v>2001</v>
      </c>
      <c r="F4798" s="122" t="s">
        <v>1607</v>
      </c>
      <c r="G4798" s="122" t="s">
        <v>134</v>
      </c>
      <c r="H4798">
        <v>23</v>
      </c>
      <c r="I4798" s="122" t="s">
        <v>1546</v>
      </c>
      <c r="J4798" s="307" t="s">
        <v>214</v>
      </c>
      <c r="K4798" s="127" t="s">
        <v>4625</v>
      </c>
      <c r="L4798" s="151" t="s">
        <v>3306</v>
      </c>
      <c r="M4798">
        <v>32</v>
      </c>
      <c r="N4798" s="123">
        <v>51</v>
      </c>
      <c r="O4798">
        <v>3112</v>
      </c>
      <c r="P4798" s="132" t="s">
        <v>77</v>
      </c>
      <c r="Q4798" s="131">
        <v>1239.26</v>
      </c>
      <c r="R4798" s="131">
        <v>198.28</v>
      </c>
      <c r="S4798" s="131"/>
      <c r="T4798" s="155">
        <v>0</v>
      </c>
      <c r="U4798" s="131">
        <v>0</v>
      </c>
      <c r="V4798" s="131">
        <v>1437.54</v>
      </c>
      <c r="W4798">
        <v>25</v>
      </c>
      <c r="X4798" s="151" t="s">
        <v>105</v>
      </c>
      <c r="Y4798" s="135" t="s">
        <v>55</v>
      </c>
      <c r="Z4798" s="307">
        <v>262</v>
      </c>
      <c r="AB4798" t="str">
        <f>IF(Table1[[#This Row],[TIPO2]]="costo", VLOOKUP(Table1[[#This Row],[PARTIDA PRESUPUESTAL]],'Cost Report'!G:G,1,0),"Balance")</f>
        <v>3683-154</v>
      </c>
      <c r="AC4798" s="118"/>
      <c r="AD4798" s="159">
        <f>+Table1[[#This Row],[SUBTOTAL]]+Table1[[#This Row],[IVA]]-Table1[[#This Row],[RET IVA]]-Table1[[#This Row],[RET ISR]]-Table1[[#This Row],[TOTAL]]</f>
        <v>0</v>
      </c>
      <c r="AE4798" s="150"/>
      <c r="AF4798" s="151"/>
      <c r="AG4798" s="126"/>
      <c r="AK4798" s="306" t="str">
        <f>IF(ISNUMBER(Table1[[#This Row],[FECHA DE RECIBIDO]]), Table1[[#This Row],[FECHA DE RECIBIDO]]-DATE(2023,8,30), "")</f>
        <v/>
      </c>
    </row>
    <row r="4799" spans="1:37" ht="16.05" customHeight="1">
      <c r="A4799" s="152"/>
      <c r="B4799" s="153">
        <v>1583</v>
      </c>
      <c r="C4799" s="126" t="s">
        <v>2864</v>
      </c>
      <c r="D4799">
        <v>3262</v>
      </c>
      <c r="E4799" s="126" t="s">
        <v>2001</v>
      </c>
      <c r="F4799" s="125" t="s">
        <v>1607</v>
      </c>
      <c r="G4799" s="125" t="s">
        <v>134</v>
      </c>
      <c r="H4799">
        <v>23</v>
      </c>
      <c r="I4799" s="125" t="s">
        <v>1546</v>
      </c>
      <c r="J4799" s="308" t="s">
        <v>214</v>
      </c>
      <c r="K4799" s="127" t="s">
        <v>4625</v>
      </c>
      <c r="L4799" s="153" t="s">
        <v>3306</v>
      </c>
      <c r="M4799">
        <v>32</v>
      </c>
      <c r="N4799" s="123">
        <v>51</v>
      </c>
      <c r="O4799">
        <v>3113</v>
      </c>
      <c r="P4799" s="132" t="s">
        <v>77</v>
      </c>
      <c r="Q4799" s="132">
        <v>8573.07</v>
      </c>
      <c r="R4799" s="132">
        <v>1371.69</v>
      </c>
      <c r="S4799" s="132"/>
      <c r="T4799" s="156">
        <v>0</v>
      </c>
      <c r="U4799" s="132">
        <v>0</v>
      </c>
      <c r="V4799" s="132">
        <v>9944.76</v>
      </c>
      <c r="W4799">
        <v>25</v>
      </c>
      <c r="X4799" s="153" t="s">
        <v>105</v>
      </c>
      <c r="Y4799" s="124" t="s">
        <v>55</v>
      </c>
      <c r="Z4799" s="308">
        <v>262</v>
      </c>
      <c r="AB4799" t="str">
        <f>IF(Table1[[#This Row],[TIPO2]]="costo", VLOOKUP(Table1[[#This Row],[PARTIDA PRESUPUESTAL]],'Cost Report'!G:G,1,0),"Balance")</f>
        <v>3632-003</v>
      </c>
      <c r="AC4799" s="118"/>
      <c r="AD4799" s="159">
        <f>+Table1[[#This Row],[SUBTOTAL]]+Table1[[#This Row],[IVA]]-Table1[[#This Row],[RET IVA]]-Table1[[#This Row],[RET ISR]]-Table1[[#This Row],[TOTAL]]</f>
        <v>0</v>
      </c>
      <c r="AE4799" s="152"/>
      <c r="AF4799" s="153"/>
      <c r="AG4799" s="126"/>
      <c r="AK4799" s="306" t="str">
        <f>IF(ISNUMBER(Table1[[#This Row],[FECHA DE RECIBIDO]]), Table1[[#This Row],[FECHA DE RECIBIDO]]-DATE(2023,8,30), "")</f>
        <v/>
      </c>
    </row>
    <row r="4800" spans="1:37" ht="16.05" customHeight="1">
      <c r="A4800" s="150"/>
      <c r="B4800" s="153">
        <v>1583</v>
      </c>
      <c r="C4800" s="126" t="s">
        <v>2864</v>
      </c>
      <c r="D4800">
        <v>3262</v>
      </c>
      <c r="E4800" s="126" t="s">
        <v>2001</v>
      </c>
      <c r="F4800" s="122" t="s">
        <v>1607</v>
      </c>
      <c r="G4800" s="122" t="s">
        <v>134</v>
      </c>
      <c r="H4800">
        <v>23</v>
      </c>
      <c r="I4800" s="122" t="s">
        <v>1546</v>
      </c>
      <c r="J4800" s="307" t="s">
        <v>214</v>
      </c>
      <c r="K4800" s="127" t="s">
        <v>4625</v>
      </c>
      <c r="L4800" s="151" t="s">
        <v>3306</v>
      </c>
      <c r="M4800">
        <v>32</v>
      </c>
      <c r="N4800" s="123">
        <v>51</v>
      </c>
      <c r="O4800">
        <v>3113</v>
      </c>
      <c r="P4800" s="132" t="s">
        <v>77</v>
      </c>
      <c r="Q4800" s="131">
        <v>4320.83</v>
      </c>
      <c r="R4800" s="131">
        <v>691.34</v>
      </c>
      <c r="S4800" s="131"/>
      <c r="T4800" s="155">
        <v>0</v>
      </c>
      <c r="U4800" s="131">
        <v>0</v>
      </c>
      <c r="V4800" s="131">
        <v>5012.17</v>
      </c>
      <c r="W4800">
        <v>25</v>
      </c>
      <c r="X4800" s="151" t="s">
        <v>105</v>
      </c>
      <c r="Y4800" s="135" t="s">
        <v>55</v>
      </c>
      <c r="Z4800" s="307">
        <v>262</v>
      </c>
      <c r="AB4800" t="str">
        <f>IF(Table1[[#This Row],[TIPO2]]="costo", VLOOKUP(Table1[[#This Row],[PARTIDA PRESUPUESTAL]],'Cost Report'!G:G,1,0),"Balance")</f>
        <v>3632-003</v>
      </c>
      <c r="AC4800" s="118"/>
      <c r="AD4800" s="159">
        <f>+Table1[[#This Row],[SUBTOTAL]]+Table1[[#This Row],[IVA]]-Table1[[#This Row],[RET IVA]]-Table1[[#This Row],[RET ISR]]-Table1[[#This Row],[TOTAL]]</f>
        <v>0</v>
      </c>
      <c r="AE4800" s="150"/>
      <c r="AF4800" s="151"/>
      <c r="AG4800" s="126"/>
      <c r="AK4800" s="306" t="str">
        <f>IF(ISNUMBER(Table1[[#This Row],[FECHA DE RECIBIDO]]), Table1[[#This Row],[FECHA DE RECIBIDO]]-DATE(2023,8,30), "")</f>
        <v/>
      </c>
    </row>
    <row r="4801" spans="1:37" ht="16.05" customHeight="1">
      <c r="A4801" s="152"/>
      <c r="B4801" s="153">
        <v>1583</v>
      </c>
      <c r="C4801" s="126" t="s">
        <v>2864</v>
      </c>
      <c r="D4801">
        <v>3262</v>
      </c>
      <c r="E4801" s="126" t="s">
        <v>2001</v>
      </c>
      <c r="F4801" s="125" t="s">
        <v>1607</v>
      </c>
      <c r="G4801" s="125" t="s">
        <v>134</v>
      </c>
      <c r="H4801">
        <v>23</v>
      </c>
      <c r="I4801" s="125" t="s">
        <v>1546</v>
      </c>
      <c r="J4801" s="308" t="s">
        <v>214</v>
      </c>
      <c r="K4801" s="127" t="s">
        <v>4625</v>
      </c>
      <c r="L4801" s="153" t="s">
        <v>3306</v>
      </c>
      <c r="M4801">
        <v>32</v>
      </c>
      <c r="N4801" s="123">
        <v>51</v>
      </c>
      <c r="O4801">
        <v>3113</v>
      </c>
      <c r="P4801" s="132" t="s">
        <v>77</v>
      </c>
      <c r="Q4801" s="132">
        <v>1234.52</v>
      </c>
      <c r="R4801" s="132">
        <v>197.52</v>
      </c>
      <c r="S4801" s="132"/>
      <c r="T4801" s="156">
        <v>0</v>
      </c>
      <c r="U4801" s="132">
        <v>0</v>
      </c>
      <c r="V4801" s="132">
        <v>1432.04</v>
      </c>
      <c r="W4801">
        <v>25</v>
      </c>
      <c r="X4801" s="153" t="s">
        <v>105</v>
      </c>
      <c r="Y4801" s="124" t="s">
        <v>55</v>
      </c>
      <c r="Z4801" s="308">
        <v>262</v>
      </c>
      <c r="AB4801" t="str">
        <f>IF(Table1[[#This Row],[TIPO2]]="costo", VLOOKUP(Table1[[#This Row],[PARTIDA PRESUPUESTAL]],'Cost Report'!G:G,1,0),"Balance")</f>
        <v>3632-003</v>
      </c>
      <c r="AC4801" s="118"/>
      <c r="AD4801" s="159">
        <f>+Table1[[#This Row],[SUBTOTAL]]+Table1[[#This Row],[IVA]]-Table1[[#This Row],[RET IVA]]-Table1[[#This Row],[RET ISR]]-Table1[[#This Row],[TOTAL]]</f>
        <v>0</v>
      </c>
      <c r="AE4801" s="152"/>
      <c r="AF4801" s="153"/>
      <c r="AG4801" s="126"/>
      <c r="AK4801" s="306" t="str">
        <f>IF(ISNUMBER(Table1[[#This Row],[FECHA DE RECIBIDO]]), Table1[[#This Row],[FECHA DE RECIBIDO]]-DATE(2023,8,30), "")</f>
        <v/>
      </c>
    </row>
    <row r="4802" spans="1:37" ht="16.05" customHeight="1">
      <c r="A4802" s="150"/>
      <c r="B4802" s="153">
        <v>1583</v>
      </c>
      <c r="C4802" s="126" t="s">
        <v>2864</v>
      </c>
      <c r="D4802">
        <v>3262</v>
      </c>
      <c r="E4802" s="126" t="s">
        <v>2001</v>
      </c>
      <c r="F4802" s="122" t="s">
        <v>1607</v>
      </c>
      <c r="G4802" s="122" t="s">
        <v>134</v>
      </c>
      <c r="H4802">
        <v>23</v>
      </c>
      <c r="I4802" s="122" t="s">
        <v>1546</v>
      </c>
      <c r="J4802" s="307" t="s">
        <v>214</v>
      </c>
      <c r="K4802" s="127" t="s">
        <v>4625</v>
      </c>
      <c r="L4802" s="151" t="s">
        <v>3306</v>
      </c>
      <c r="M4802">
        <v>32</v>
      </c>
      <c r="N4802" s="123">
        <v>51</v>
      </c>
      <c r="O4802">
        <v>3113</v>
      </c>
      <c r="P4802" s="132" t="s">
        <v>77</v>
      </c>
      <c r="Q4802" s="131">
        <v>1234.52</v>
      </c>
      <c r="R4802" s="131">
        <v>197.52</v>
      </c>
      <c r="S4802" s="131"/>
      <c r="T4802" s="155">
        <v>0</v>
      </c>
      <c r="U4802" s="131">
        <v>0</v>
      </c>
      <c r="V4802" s="131">
        <v>1432.04</v>
      </c>
      <c r="W4802">
        <v>25</v>
      </c>
      <c r="X4802" s="151" t="s">
        <v>105</v>
      </c>
      <c r="Y4802" s="135" t="s">
        <v>55</v>
      </c>
      <c r="Z4802" s="307">
        <v>262</v>
      </c>
      <c r="AB4802" t="str">
        <f>IF(Table1[[#This Row],[TIPO2]]="costo", VLOOKUP(Table1[[#This Row],[PARTIDA PRESUPUESTAL]],'Cost Report'!G:G,1,0),"Balance")</f>
        <v>3632-003</v>
      </c>
      <c r="AC4802" s="118"/>
      <c r="AD4802" s="159">
        <f>+Table1[[#This Row],[SUBTOTAL]]+Table1[[#This Row],[IVA]]-Table1[[#This Row],[RET IVA]]-Table1[[#This Row],[RET ISR]]-Table1[[#This Row],[TOTAL]]</f>
        <v>0</v>
      </c>
      <c r="AE4802" s="150"/>
      <c r="AF4802" s="151"/>
      <c r="AG4802" s="126"/>
      <c r="AK4802" s="306" t="str">
        <f>IF(ISNUMBER(Table1[[#This Row],[FECHA DE RECIBIDO]]), Table1[[#This Row],[FECHA DE RECIBIDO]]-DATE(2023,8,30), "")</f>
        <v/>
      </c>
    </row>
    <row r="4803" spans="1:37" ht="16.05" customHeight="1">
      <c r="A4803" s="152"/>
      <c r="B4803" s="153">
        <v>1583</v>
      </c>
      <c r="C4803" s="126" t="s">
        <v>2864</v>
      </c>
      <c r="D4803">
        <v>3262</v>
      </c>
      <c r="E4803" s="126" t="s">
        <v>2001</v>
      </c>
      <c r="F4803" s="125" t="s">
        <v>1607</v>
      </c>
      <c r="G4803" s="125" t="s">
        <v>134</v>
      </c>
      <c r="H4803">
        <v>23</v>
      </c>
      <c r="I4803" s="125" t="s">
        <v>1546</v>
      </c>
      <c r="J4803" s="308" t="s">
        <v>214</v>
      </c>
      <c r="K4803" s="127" t="s">
        <v>4625</v>
      </c>
      <c r="L4803" s="153" t="s">
        <v>3306</v>
      </c>
      <c r="M4803">
        <v>32</v>
      </c>
      <c r="N4803" s="123">
        <v>51</v>
      </c>
      <c r="O4803">
        <v>3113</v>
      </c>
      <c r="P4803" s="132" t="s">
        <v>77</v>
      </c>
      <c r="Q4803" s="132">
        <v>3360.64</v>
      </c>
      <c r="R4803" s="132">
        <v>537.70000000000005</v>
      </c>
      <c r="S4803" s="132"/>
      <c r="T4803" s="156">
        <v>0</v>
      </c>
      <c r="U4803" s="132">
        <v>0</v>
      </c>
      <c r="V4803" s="132">
        <v>3898.34</v>
      </c>
      <c r="W4803">
        <v>25</v>
      </c>
      <c r="X4803" s="153" t="s">
        <v>105</v>
      </c>
      <c r="Y4803" s="124" t="s">
        <v>55</v>
      </c>
      <c r="Z4803" s="308">
        <v>262</v>
      </c>
      <c r="AB4803" t="str">
        <f>IF(Table1[[#This Row],[TIPO2]]="costo", VLOOKUP(Table1[[#This Row],[PARTIDA PRESUPUESTAL]],'Cost Report'!G:G,1,0),"Balance")</f>
        <v>3632-003</v>
      </c>
      <c r="AC4803" s="118"/>
      <c r="AD4803" s="159">
        <f>+Table1[[#This Row],[SUBTOTAL]]+Table1[[#This Row],[IVA]]-Table1[[#This Row],[RET IVA]]-Table1[[#This Row],[RET ISR]]-Table1[[#This Row],[TOTAL]]</f>
        <v>0</v>
      </c>
      <c r="AE4803" s="152"/>
      <c r="AF4803" s="153"/>
      <c r="AG4803" s="126"/>
      <c r="AK4803" s="306" t="str">
        <f>IF(ISNUMBER(Table1[[#This Row],[FECHA DE RECIBIDO]]), Table1[[#This Row],[FECHA DE RECIBIDO]]-DATE(2023,8,30), "")</f>
        <v/>
      </c>
    </row>
    <row r="4804" spans="1:37" ht="16.05" customHeight="1">
      <c r="A4804" s="150"/>
      <c r="B4804" s="153">
        <v>1583</v>
      </c>
      <c r="C4804" s="126" t="s">
        <v>2864</v>
      </c>
      <c r="D4804">
        <v>3262</v>
      </c>
      <c r="E4804" s="126" t="s">
        <v>2001</v>
      </c>
      <c r="F4804" s="122" t="s">
        <v>1607</v>
      </c>
      <c r="G4804" s="122" t="s">
        <v>134</v>
      </c>
      <c r="H4804">
        <v>23</v>
      </c>
      <c r="I4804" s="122" t="s">
        <v>1546</v>
      </c>
      <c r="J4804" s="307" t="s">
        <v>214</v>
      </c>
      <c r="K4804" s="127" t="s">
        <v>4625</v>
      </c>
      <c r="L4804" s="151" t="s">
        <v>3306</v>
      </c>
      <c r="M4804">
        <v>32</v>
      </c>
      <c r="N4804" s="123">
        <v>51</v>
      </c>
      <c r="O4804">
        <v>3113</v>
      </c>
      <c r="P4804" s="132" t="s">
        <v>77</v>
      </c>
      <c r="Q4804" s="131">
        <v>2469.04</v>
      </c>
      <c r="R4804" s="131">
        <v>395.05</v>
      </c>
      <c r="S4804" s="131"/>
      <c r="T4804" s="155">
        <v>0</v>
      </c>
      <c r="U4804" s="131">
        <v>0</v>
      </c>
      <c r="V4804" s="131">
        <v>2864.09</v>
      </c>
      <c r="W4804">
        <v>25</v>
      </c>
      <c r="X4804" s="151" t="s">
        <v>105</v>
      </c>
      <c r="Y4804" s="135" t="s">
        <v>55</v>
      </c>
      <c r="Z4804" s="307">
        <v>262</v>
      </c>
      <c r="AB4804" t="str">
        <f>IF(Table1[[#This Row],[TIPO2]]="costo", VLOOKUP(Table1[[#This Row],[PARTIDA PRESUPUESTAL]],'Cost Report'!G:G,1,0),"Balance")</f>
        <v>3632-003</v>
      </c>
      <c r="AC4804" s="118"/>
      <c r="AD4804" s="159">
        <f>+Table1[[#This Row],[SUBTOTAL]]+Table1[[#This Row],[IVA]]-Table1[[#This Row],[RET IVA]]-Table1[[#This Row],[RET ISR]]-Table1[[#This Row],[TOTAL]]</f>
        <v>0</v>
      </c>
      <c r="AE4804" s="150"/>
      <c r="AF4804" s="151"/>
      <c r="AG4804" s="126"/>
      <c r="AK4804" s="306" t="str">
        <f>IF(ISNUMBER(Table1[[#This Row],[FECHA DE RECIBIDO]]), Table1[[#This Row],[FECHA DE RECIBIDO]]-DATE(2023,8,30), "")</f>
        <v/>
      </c>
    </row>
    <row r="4805" spans="1:37" ht="16.05" customHeight="1">
      <c r="A4805" s="152"/>
      <c r="B4805" s="153">
        <v>1583</v>
      </c>
      <c r="C4805" s="126" t="s">
        <v>2864</v>
      </c>
      <c r="D4805">
        <v>3262</v>
      </c>
      <c r="E4805" s="126" t="s">
        <v>2001</v>
      </c>
      <c r="F4805" s="125" t="s">
        <v>1607</v>
      </c>
      <c r="G4805" s="125" t="s">
        <v>134</v>
      </c>
      <c r="H4805">
        <v>23</v>
      </c>
      <c r="I4805" s="125" t="s">
        <v>1546</v>
      </c>
      <c r="J4805" s="308" t="s">
        <v>214</v>
      </c>
      <c r="K4805" s="127" t="s">
        <v>4625</v>
      </c>
      <c r="L4805" s="153" t="s">
        <v>3306</v>
      </c>
      <c r="M4805">
        <v>32</v>
      </c>
      <c r="N4805" s="123">
        <v>51</v>
      </c>
      <c r="O4805">
        <v>3113</v>
      </c>
      <c r="P4805" s="132" t="s">
        <v>77</v>
      </c>
      <c r="Q4805" s="132">
        <v>19.25</v>
      </c>
      <c r="R4805" s="132">
        <v>3.08</v>
      </c>
      <c r="S4805" s="132"/>
      <c r="T4805" s="156">
        <v>0</v>
      </c>
      <c r="U4805" s="132">
        <v>0</v>
      </c>
      <c r="V4805" s="132">
        <v>22.33</v>
      </c>
      <c r="W4805">
        <v>25</v>
      </c>
      <c r="X4805" s="153" t="s">
        <v>105</v>
      </c>
      <c r="Y4805" s="124" t="s">
        <v>55</v>
      </c>
      <c r="Z4805" s="308">
        <v>262</v>
      </c>
      <c r="AB4805" t="str">
        <f>IF(Table1[[#This Row],[TIPO2]]="costo", VLOOKUP(Table1[[#This Row],[PARTIDA PRESUPUESTAL]],'Cost Report'!G:G,1,0),"Balance")</f>
        <v>3632-003</v>
      </c>
      <c r="AC4805" s="118"/>
      <c r="AD4805" s="159">
        <f>+Table1[[#This Row],[SUBTOTAL]]+Table1[[#This Row],[IVA]]-Table1[[#This Row],[RET IVA]]-Table1[[#This Row],[RET ISR]]-Table1[[#This Row],[TOTAL]]</f>
        <v>0</v>
      </c>
      <c r="AE4805" s="152"/>
      <c r="AF4805" s="153"/>
      <c r="AG4805" s="126"/>
      <c r="AK4805" s="306" t="str">
        <f>IF(ISNUMBER(Table1[[#This Row],[FECHA DE RECIBIDO]]), Table1[[#This Row],[FECHA DE RECIBIDO]]-DATE(2023,8,30), "")</f>
        <v/>
      </c>
    </row>
    <row r="4806" spans="1:37" ht="16.05" customHeight="1">
      <c r="A4806" s="150"/>
      <c r="B4806" s="153">
        <v>1583</v>
      </c>
      <c r="C4806" s="126" t="s">
        <v>2864</v>
      </c>
      <c r="D4806">
        <v>3262</v>
      </c>
      <c r="E4806" s="126" t="s">
        <v>2001</v>
      </c>
      <c r="F4806" s="122" t="s">
        <v>1607</v>
      </c>
      <c r="G4806" s="122" t="s">
        <v>134</v>
      </c>
      <c r="H4806">
        <v>23</v>
      </c>
      <c r="I4806" s="122" t="s">
        <v>1546</v>
      </c>
      <c r="J4806" s="307" t="s">
        <v>214</v>
      </c>
      <c r="K4806" s="127" t="s">
        <v>4625</v>
      </c>
      <c r="L4806" s="151" t="s">
        <v>3306</v>
      </c>
      <c r="M4806">
        <v>32</v>
      </c>
      <c r="N4806" s="123">
        <v>51</v>
      </c>
      <c r="O4806">
        <v>3113</v>
      </c>
      <c r="P4806" s="132" t="s">
        <v>77</v>
      </c>
      <c r="Q4806" s="131">
        <v>68.58</v>
      </c>
      <c r="R4806" s="131">
        <v>10.97</v>
      </c>
      <c r="S4806" s="131"/>
      <c r="T4806" s="155">
        <v>0</v>
      </c>
      <c r="U4806" s="131">
        <v>0</v>
      </c>
      <c r="V4806" s="131">
        <v>79.55</v>
      </c>
      <c r="W4806">
        <v>25</v>
      </c>
      <c r="X4806" s="151" t="s">
        <v>105</v>
      </c>
      <c r="Y4806" s="135" t="s">
        <v>55</v>
      </c>
      <c r="Z4806" s="307">
        <v>262</v>
      </c>
      <c r="AB4806" t="str">
        <f>IF(Table1[[#This Row],[TIPO2]]="costo", VLOOKUP(Table1[[#This Row],[PARTIDA PRESUPUESTAL]],'Cost Report'!G:G,1,0),"Balance")</f>
        <v>3632-003</v>
      </c>
      <c r="AC4806" s="118"/>
      <c r="AD4806" s="159">
        <f>+Table1[[#This Row],[SUBTOTAL]]+Table1[[#This Row],[IVA]]-Table1[[#This Row],[RET IVA]]-Table1[[#This Row],[RET ISR]]-Table1[[#This Row],[TOTAL]]</f>
        <v>0</v>
      </c>
      <c r="AE4806" s="150"/>
      <c r="AF4806" s="151"/>
      <c r="AG4806" s="126"/>
      <c r="AK4806" s="306" t="str">
        <f>IF(ISNUMBER(Table1[[#This Row],[FECHA DE RECIBIDO]]), Table1[[#This Row],[FECHA DE RECIBIDO]]-DATE(2023,8,30), "")</f>
        <v/>
      </c>
    </row>
    <row r="4807" spans="1:37" ht="16.05" customHeight="1">
      <c r="A4807" s="152"/>
      <c r="B4807" s="153">
        <v>1584</v>
      </c>
      <c r="C4807" s="126" t="s">
        <v>2836</v>
      </c>
      <c r="D4807">
        <v>3263</v>
      </c>
      <c r="E4807" s="126" t="s">
        <v>2001</v>
      </c>
      <c r="F4807" s="125" t="s">
        <v>1607</v>
      </c>
      <c r="G4807" s="125" t="s">
        <v>134</v>
      </c>
      <c r="H4807">
        <v>23</v>
      </c>
      <c r="I4807" s="125" t="s">
        <v>1546</v>
      </c>
      <c r="J4807" s="308" t="s">
        <v>214</v>
      </c>
      <c r="K4807" s="127" t="s">
        <v>4625</v>
      </c>
      <c r="L4807" s="153" t="s">
        <v>3306</v>
      </c>
      <c r="M4807">
        <v>32</v>
      </c>
      <c r="N4807" s="123">
        <v>51</v>
      </c>
      <c r="O4807">
        <v>3114</v>
      </c>
      <c r="P4807" s="132" t="s">
        <v>77</v>
      </c>
      <c r="Q4807" s="132">
        <v>1890.56</v>
      </c>
      <c r="R4807" s="132">
        <v>302.49</v>
      </c>
      <c r="S4807" s="132"/>
      <c r="T4807" s="156">
        <v>0</v>
      </c>
      <c r="U4807" s="132">
        <v>0</v>
      </c>
      <c r="V4807" s="132">
        <v>2193.0500000000002</v>
      </c>
      <c r="W4807">
        <v>25</v>
      </c>
      <c r="X4807" s="153" t="s">
        <v>105</v>
      </c>
      <c r="Y4807" s="124" t="s">
        <v>55</v>
      </c>
      <c r="Z4807" s="308">
        <v>262</v>
      </c>
      <c r="AB4807" t="str">
        <f>IF(Table1[[#This Row],[TIPO2]]="costo", VLOOKUP(Table1[[#This Row],[PARTIDA PRESUPUESTAL]],'Cost Report'!G:G,1,0),"Balance")</f>
        <v>3442-025</v>
      </c>
      <c r="AC4807" s="118"/>
      <c r="AD4807" s="159">
        <f>+Table1[[#This Row],[SUBTOTAL]]+Table1[[#This Row],[IVA]]-Table1[[#This Row],[RET IVA]]-Table1[[#This Row],[RET ISR]]-Table1[[#This Row],[TOTAL]]</f>
        <v>0</v>
      </c>
      <c r="AE4807" s="152"/>
      <c r="AF4807" s="153"/>
      <c r="AG4807" s="126"/>
      <c r="AK4807" s="306" t="str">
        <f>IF(ISNUMBER(Table1[[#This Row],[FECHA DE RECIBIDO]]), Table1[[#This Row],[FECHA DE RECIBIDO]]-DATE(2023,8,30), "")</f>
        <v/>
      </c>
    </row>
    <row r="4808" spans="1:37" ht="16.05" customHeight="1">
      <c r="A4808" s="150"/>
      <c r="B4808" s="153">
        <v>1584</v>
      </c>
      <c r="C4808" s="126" t="s">
        <v>2838</v>
      </c>
      <c r="D4808">
        <v>3263</v>
      </c>
      <c r="E4808" s="126" t="s">
        <v>2001</v>
      </c>
      <c r="F4808" s="122" t="s">
        <v>1607</v>
      </c>
      <c r="G4808" s="122" t="s">
        <v>134</v>
      </c>
      <c r="H4808">
        <v>23</v>
      </c>
      <c r="I4808" s="122" t="s">
        <v>1546</v>
      </c>
      <c r="J4808" s="307" t="s">
        <v>214</v>
      </c>
      <c r="K4808" s="127" t="s">
        <v>4625</v>
      </c>
      <c r="L4808" s="151" t="s">
        <v>3306</v>
      </c>
      <c r="M4808">
        <v>32</v>
      </c>
      <c r="N4808" s="123">
        <v>51</v>
      </c>
      <c r="O4808">
        <v>3114</v>
      </c>
      <c r="P4808" s="132" t="s">
        <v>77</v>
      </c>
      <c r="Q4808" s="131">
        <v>63.52</v>
      </c>
      <c r="R4808" s="131">
        <v>10.17</v>
      </c>
      <c r="S4808" s="131"/>
      <c r="T4808" s="155">
        <v>0</v>
      </c>
      <c r="U4808" s="131">
        <v>0</v>
      </c>
      <c r="V4808" s="131">
        <v>73.69</v>
      </c>
      <c r="W4808">
        <v>25</v>
      </c>
      <c r="X4808" s="151" t="s">
        <v>105</v>
      </c>
      <c r="Y4808" s="135" t="s">
        <v>55</v>
      </c>
      <c r="Z4808" s="307">
        <v>262</v>
      </c>
      <c r="AB4808" t="str">
        <f>IF(Table1[[#This Row],[TIPO2]]="costo", VLOOKUP(Table1[[#This Row],[PARTIDA PRESUPUESTAL]],'Cost Report'!G:G,1,0),"Balance")</f>
        <v>3442-029</v>
      </c>
      <c r="AC4808" s="118"/>
      <c r="AD4808" s="159">
        <f>+Table1[[#This Row],[SUBTOTAL]]+Table1[[#This Row],[IVA]]-Table1[[#This Row],[RET IVA]]-Table1[[#This Row],[RET ISR]]-Table1[[#This Row],[TOTAL]]</f>
        <v>0</v>
      </c>
      <c r="AE4808" s="150"/>
      <c r="AF4808" s="151"/>
      <c r="AG4808" s="126"/>
      <c r="AK4808" s="306" t="str">
        <f>IF(ISNUMBER(Table1[[#This Row],[FECHA DE RECIBIDO]]), Table1[[#This Row],[FECHA DE RECIBIDO]]-DATE(2023,8,30), "")</f>
        <v/>
      </c>
    </row>
    <row r="4809" spans="1:37" ht="16.05" customHeight="1">
      <c r="A4809" s="152"/>
      <c r="B4809" s="153">
        <v>1584</v>
      </c>
      <c r="C4809" s="126" t="s">
        <v>2838</v>
      </c>
      <c r="D4809">
        <v>3263</v>
      </c>
      <c r="E4809" s="126" t="s">
        <v>2001</v>
      </c>
      <c r="F4809" s="125" t="s">
        <v>1607</v>
      </c>
      <c r="G4809" s="125" t="s">
        <v>134</v>
      </c>
      <c r="H4809">
        <v>23</v>
      </c>
      <c r="I4809" s="125" t="s">
        <v>1546</v>
      </c>
      <c r="J4809" s="308" t="s">
        <v>214</v>
      </c>
      <c r="K4809" s="127" t="s">
        <v>4625</v>
      </c>
      <c r="L4809" s="153" t="s">
        <v>3306</v>
      </c>
      <c r="M4809">
        <v>32</v>
      </c>
      <c r="N4809" s="123">
        <v>51</v>
      </c>
      <c r="O4809">
        <v>3114</v>
      </c>
      <c r="P4809" s="132" t="s">
        <v>77</v>
      </c>
      <c r="Q4809" s="132">
        <v>63.52</v>
      </c>
      <c r="R4809" s="132">
        <v>10.16</v>
      </c>
      <c r="S4809" s="132"/>
      <c r="T4809" s="156">
        <v>0</v>
      </c>
      <c r="U4809" s="132">
        <v>0</v>
      </c>
      <c r="V4809" s="132">
        <v>73.680000000000007</v>
      </c>
      <c r="W4809">
        <v>25</v>
      </c>
      <c r="X4809" s="153" t="s">
        <v>105</v>
      </c>
      <c r="Y4809" s="124" t="s">
        <v>55</v>
      </c>
      <c r="Z4809" s="308">
        <v>262</v>
      </c>
      <c r="AB4809" t="str">
        <f>IF(Table1[[#This Row],[TIPO2]]="costo", VLOOKUP(Table1[[#This Row],[PARTIDA PRESUPUESTAL]],'Cost Report'!G:G,1,0),"Balance")</f>
        <v>3442-029</v>
      </c>
      <c r="AC4809" s="118"/>
      <c r="AD4809" s="159">
        <f>+Table1[[#This Row],[SUBTOTAL]]+Table1[[#This Row],[IVA]]-Table1[[#This Row],[RET IVA]]-Table1[[#This Row],[RET ISR]]-Table1[[#This Row],[TOTAL]]</f>
        <v>0</v>
      </c>
      <c r="AE4809" s="152"/>
      <c r="AF4809" s="153"/>
      <c r="AG4809" s="126"/>
      <c r="AK4809" s="306" t="str">
        <f>IF(ISNUMBER(Table1[[#This Row],[FECHA DE RECIBIDO]]), Table1[[#This Row],[FECHA DE RECIBIDO]]-DATE(2023,8,30), "")</f>
        <v/>
      </c>
    </row>
    <row r="4810" spans="1:37" ht="16.05" customHeight="1">
      <c r="A4810" s="150"/>
      <c r="B4810" s="153">
        <v>1584</v>
      </c>
      <c r="C4810" s="126" t="s">
        <v>2838</v>
      </c>
      <c r="D4810">
        <v>3263</v>
      </c>
      <c r="E4810" s="126" t="s">
        <v>2001</v>
      </c>
      <c r="F4810" s="122" t="s">
        <v>1607</v>
      </c>
      <c r="G4810" s="122" t="s">
        <v>134</v>
      </c>
      <c r="H4810">
        <v>23</v>
      </c>
      <c r="I4810" s="122" t="s">
        <v>1546</v>
      </c>
      <c r="J4810" s="307" t="s">
        <v>214</v>
      </c>
      <c r="K4810" s="127" t="s">
        <v>4625</v>
      </c>
      <c r="L4810" s="151" t="s">
        <v>3306</v>
      </c>
      <c r="M4810">
        <v>32</v>
      </c>
      <c r="N4810" s="123">
        <v>51</v>
      </c>
      <c r="O4810">
        <v>3114</v>
      </c>
      <c r="P4810" s="132" t="s">
        <v>77</v>
      </c>
      <c r="Q4810" s="131">
        <v>127.05</v>
      </c>
      <c r="R4810" s="131">
        <v>20.329999999999998</v>
      </c>
      <c r="S4810" s="131"/>
      <c r="T4810" s="155">
        <v>0</v>
      </c>
      <c r="U4810" s="131">
        <v>0</v>
      </c>
      <c r="V4810" s="131">
        <v>147.38</v>
      </c>
      <c r="W4810">
        <v>25</v>
      </c>
      <c r="X4810" s="151" t="s">
        <v>105</v>
      </c>
      <c r="Y4810" s="135" t="s">
        <v>55</v>
      </c>
      <c r="Z4810" s="307">
        <v>262</v>
      </c>
      <c r="AB4810" t="str">
        <f>IF(Table1[[#This Row],[TIPO2]]="costo", VLOOKUP(Table1[[#This Row],[PARTIDA PRESUPUESTAL]],'Cost Report'!G:G,1,0),"Balance")</f>
        <v>3442-029</v>
      </c>
      <c r="AC4810" s="118"/>
      <c r="AD4810" s="159">
        <f>+Table1[[#This Row],[SUBTOTAL]]+Table1[[#This Row],[IVA]]-Table1[[#This Row],[RET IVA]]-Table1[[#This Row],[RET ISR]]-Table1[[#This Row],[TOTAL]]</f>
        <v>0</v>
      </c>
      <c r="AE4810" s="150"/>
      <c r="AF4810" s="151"/>
      <c r="AG4810" s="126"/>
      <c r="AK4810" s="306" t="str">
        <f>IF(ISNUMBER(Table1[[#This Row],[FECHA DE RECIBIDO]]), Table1[[#This Row],[FECHA DE RECIBIDO]]-DATE(2023,8,30), "")</f>
        <v/>
      </c>
    </row>
    <row r="4811" spans="1:37" ht="16.05" customHeight="1">
      <c r="A4811" s="152"/>
      <c r="B4811" s="153">
        <v>1584</v>
      </c>
      <c r="C4811" s="126" t="s">
        <v>2836</v>
      </c>
      <c r="D4811">
        <v>3263</v>
      </c>
      <c r="E4811" s="126" t="s">
        <v>2001</v>
      </c>
      <c r="F4811" s="125" t="s">
        <v>1607</v>
      </c>
      <c r="G4811" s="125" t="s">
        <v>134</v>
      </c>
      <c r="H4811">
        <v>23</v>
      </c>
      <c r="I4811" s="125" t="s">
        <v>1546</v>
      </c>
      <c r="J4811" s="308" t="s">
        <v>214</v>
      </c>
      <c r="K4811" s="127" t="s">
        <v>4625</v>
      </c>
      <c r="L4811" s="153" t="s">
        <v>3306</v>
      </c>
      <c r="M4811">
        <v>32</v>
      </c>
      <c r="N4811" s="123">
        <v>51</v>
      </c>
      <c r="O4811">
        <v>3114</v>
      </c>
      <c r="P4811" s="132" t="s">
        <v>77</v>
      </c>
      <c r="Q4811" s="132">
        <v>3103.55</v>
      </c>
      <c r="R4811" s="132">
        <v>496.57</v>
      </c>
      <c r="S4811" s="132"/>
      <c r="T4811" s="156">
        <v>0</v>
      </c>
      <c r="U4811" s="132">
        <v>0</v>
      </c>
      <c r="V4811" s="132">
        <v>3600.1200000000003</v>
      </c>
      <c r="W4811">
        <v>25</v>
      </c>
      <c r="X4811" s="153" t="s">
        <v>105</v>
      </c>
      <c r="Y4811" s="124" t="s">
        <v>55</v>
      </c>
      <c r="Z4811" s="308">
        <v>262</v>
      </c>
      <c r="AB4811" t="str">
        <f>IF(Table1[[#This Row],[TIPO2]]="costo", VLOOKUP(Table1[[#This Row],[PARTIDA PRESUPUESTAL]],'Cost Report'!G:G,1,0),"Balance")</f>
        <v>3442-025</v>
      </c>
      <c r="AC4811" s="118"/>
      <c r="AD4811" s="159">
        <f>+Table1[[#This Row],[SUBTOTAL]]+Table1[[#This Row],[IVA]]-Table1[[#This Row],[RET IVA]]-Table1[[#This Row],[RET ISR]]-Table1[[#This Row],[TOTAL]]</f>
        <v>0</v>
      </c>
      <c r="AE4811" s="152"/>
      <c r="AF4811" s="153"/>
      <c r="AG4811" s="126"/>
      <c r="AK4811" s="306" t="str">
        <f>IF(ISNUMBER(Table1[[#This Row],[FECHA DE RECIBIDO]]), Table1[[#This Row],[FECHA DE RECIBIDO]]-DATE(2023,8,30), "")</f>
        <v/>
      </c>
    </row>
    <row r="4812" spans="1:37" ht="16.05" customHeight="1">
      <c r="A4812" s="150"/>
      <c r="B4812" s="153">
        <v>1584</v>
      </c>
      <c r="C4812" s="126" t="s">
        <v>2838</v>
      </c>
      <c r="D4812">
        <v>3263</v>
      </c>
      <c r="E4812" s="126" t="s">
        <v>2001</v>
      </c>
      <c r="F4812" s="122" t="s">
        <v>1607</v>
      </c>
      <c r="G4812" s="122" t="s">
        <v>134</v>
      </c>
      <c r="H4812">
        <v>23</v>
      </c>
      <c r="I4812" s="122" t="s">
        <v>1546</v>
      </c>
      <c r="J4812" s="307" t="s">
        <v>214</v>
      </c>
      <c r="K4812" s="127" t="s">
        <v>4625</v>
      </c>
      <c r="L4812" s="151" t="s">
        <v>3306</v>
      </c>
      <c r="M4812">
        <v>32</v>
      </c>
      <c r="N4812" s="123">
        <v>51</v>
      </c>
      <c r="O4812">
        <v>3114</v>
      </c>
      <c r="P4812" s="132" t="s">
        <v>77</v>
      </c>
      <c r="Q4812" s="131">
        <v>420.03</v>
      </c>
      <c r="R4812" s="131">
        <v>67.2</v>
      </c>
      <c r="S4812" s="131"/>
      <c r="T4812" s="155">
        <v>0</v>
      </c>
      <c r="U4812" s="131">
        <v>0</v>
      </c>
      <c r="V4812" s="131">
        <v>487.22999999999996</v>
      </c>
      <c r="W4812">
        <v>25</v>
      </c>
      <c r="X4812" s="151" t="s">
        <v>105</v>
      </c>
      <c r="Y4812" s="135" t="s">
        <v>55</v>
      </c>
      <c r="Z4812" s="307">
        <v>262</v>
      </c>
      <c r="AB4812" t="str">
        <f>IF(Table1[[#This Row],[TIPO2]]="costo", VLOOKUP(Table1[[#This Row],[PARTIDA PRESUPUESTAL]],'Cost Report'!G:G,1,0),"Balance")</f>
        <v>3442-029</v>
      </c>
      <c r="AC4812" s="118"/>
      <c r="AD4812" s="159">
        <f>+Table1[[#This Row],[SUBTOTAL]]+Table1[[#This Row],[IVA]]-Table1[[#This Row],[RET IVA]]-Table1[[#This Row],[RET ISR]]-Table1[[#This Row],[TOTAL]]</f>
        <v>0</v>
      </c>
      <c r="AE4812" s="150"/>
      <c r="AF4812" s="151"/>
      <c r="AG4812" s="126"/>
      <c r="AK4812" s="306" t="str">
        <f>IF(ISNUMBER(Table1[[#This Row],[FECHA DE RECIBIDO]]), Table1[[#This Row],[FECHA DE RECIBIDO]]-DATE(2023,8,30), "")</f>
        <v/>
      </c>
    </row>
    <row r="4813" spans="1:37" ht="16.05" customHeight="1">
      <c r="A4813" s="152"/>
      <c r="B4813" s="153">
        <v>1584</v>
      </c>
      <c r="C4813" s="126" t="s">
        <v>2836</v>
      </c>
      <c r="D4813">
        <v>3263</v>
      </c>
      <c r="E4813" s="126" t="s">
        <v>2001</v>
      </c>
      <c r="F4813" s="125" t="s">
        <v>1607</v>
      </c>
      <c r="G4813" s="125" t="s">
        <v>134</v>
      </c>
      <c r="H4813">
        <v>23</v>
      </c>
      <c r="I4813" s="125" t="s">
        <v>1546</v>
      </c>
      <c r="J4813" s="308" t="s">
        <v>214</v>
      </c>
      <c r="K4813" s="127" t="s">
        <v>4625</v>
      </c>
      <c r="L4813" s="153" t="s">
        <v>3306</v>
      </c>
      <c r="M4813">
        <v>32</v>
      </c>
      <c r="N4813" s="123">
        <v>51</v>
      </c>
      <c r="O4813">
        <v>3114</v>
      </c>
      <c r="P4813" s="132" t="s">
        <v>77</v>
      </c>
      <c r="Q4813" s="132">
        <v>1225.0899999999999</v>
      </c>
      <c r="R4813" s="132">
        <v>196.01</v>
      </c>
      <c r="S4813" s="132"/>
      <c r="T4813" s="156">
        <v>0</v>
      </c>
      <c r="U4813" s="132">
        <v>0</v>
      </c>
      <c r="V4813" s="132">
        <v>1421.1</v>
      </c>
      <c r="W4813">
        <v>25</v>
      </c>
      <c r="X4813" s="153" t="s">
        <v>105</v>
      </c>
      <c r="Y4813" s="124" t="s">
        <v>55</v>
      </c>
      <c r="Z4813" s="308">
        <v>262</v>
      </c>
      <c r="AB4813" t="str">
        <f>IF(Table1[[#This Row],[TIPO2]]="costo", VLOOKUP(Table1[[#This Row],[PARTIDA PRESUPUESTAL]],'Cost Report'!G:G,1,0),"Balance")</f>
        <v>3442-025</v>
      </c>
      <c r="AC4813" s="118"/>
      <c r="AD4813" s="159">
        <f>+Table1[[#This Row],[SUBTOTAL]]+Table1[[#This Row],[IVA]]-Table1[[#This Row],[RET IVA]]-Table1[[#This Row],[RET ISR]]-Table1[[#This Row],[TOTAL]]</f>
        <v>0</v>
      </c>
      <c r="AE4813" s="152"/>
      <c r="AF4813" s="153"/>
      <c r="AG4813" s="126"/>
      <c r="AK4813" s="306" t="str">
        <f>IF(ISNUMBER(Table1[[#This Row],[FECHA DE RECIBIDO]]), Table1[[#This Row],[FECHA DE RECIBIDO]]-DATE(2023,8,30), "")</f>
        <v/>
      </c>
    </row>
    <row r="4814" spans="1:37" ht="16.05" customHeight="1">
      <c r="A4814" s="150"/>
      <c r="B4814" s="153">
        <v>1584</v>
      </c>
      <c r="C4814" s="126" t="s">
        <v>2838</v>
      </c>
      <c r="D4814">
        <v>3263</v>
      </c>
      <c r="E4814" s="126" t="s">
        <v>2001</v>
      </c>
      <c r="F4814" s="122" t="s">
        <v>1607</v>
      </c>
      <c r="G4814" s="122" t="s">
        <v>134</v>
      </c>
      <c r="H4814">
        <v>23</v>
      </c>
      <c r="I4814" s="122" t="s">
        <v>1546</v>
      </c>
      <c r="J4814" s="307" t="s">
        <v>214</v>
      </c>
      <c r="K4814" s="127" t="s">
        <v>4625</v>
      </c>
      <c r="L4814" s="151" t="s">
        <v>3306</v>
      </c>
      <c r="M4814">
        <v>32</v>
      </c>
      <c r="N4814" s="123">
        <v>51</v>
      </c>
      <c r="O4814">
        <v>3114</v>
      </c>
      <c r="P4814" s="132" t="s">
        <v>77</v>
      </c>
      <c r="Q4814" s="131">
        <v>186.68</v>
      </c>
      <c r="R4814" s="131">
        <v>29.87</v>
      </c>
      <c r="S4814" s="131"/>
      <c r="T4814" s="155">
        <v>0</v>
      </c>
      <c r="U4814" s="131">
        <v>0</v>
      </c>
      <c r="V4814" s="131">
        <v>216.55</v>
      </c>
      <c r="W4814">
        <v>25</v>
      </c>
      <c r="X4814" s="151" t="s">
        <v>105</v>
      </c>
      <c r="Y4814" s="135" t="s">
        <v>55</v>
      </c>
      <c r="Z4814" s="307">
        <v>262</v>
      </c>
      <c r="AB4814" t="str">
        <f>IF(Table1[[#This Row],[TIPO2]]="costo", VLOOKUP(Table1[[#This Row],[PARTIDA PRESUPUESTAL]],'Cost Report'!G:G,1,0),"Balance")</f>
        <v>3442-029</v>
      </c>
      <c r="AC4814" s="118"/>
      <c r="AD4814" s="159">
        <f>+Table1[[#This Row],[SUBTOTAL]]+Table1[[#This Row],[IVA]]-Table1[[#This Row],[RET IVA]]-Table1[[#This Row],[RET ISR]]-Table1[[#This Row],[TOTAL]]</f>
        <v>0</v>
      </c>
      <c r="AE4814" s="150"/>
      <c r="AF4814" s="151"/>
      <c r="AG4814" s="126"/>
      <c r="AK4814" s="306" t="str">
        <f>IF(ISNUMBER(Table1[[#This Row],[FECHA DE RECIBIDO]]), Table1[[#This Row],[FECHA DE RECIBIDO]]-DATE(2023,8,30), "")</f>
        <v/>
      </c>
    </row>
    <row r="4815" spans="1:37" ht="16.05" customHeight="1">
      <c r="A4815" s="152"/>
      <c r="B4815" s="153">
        <v>1585</v>
      </c>
      <c r="C4815" s="126" t="s">
        <v>1035</v>
      </c>
      <c r="D4815">
        <v>3264</v>
      </c>
      <c r="E4815" s="126" t="s">
        <v>2001</v>
      </c>
      <c r="F4815" s="125" t="s">
        <v>1607</v>
      </c>
      <c r="G4815" s="125" t="s">
        <v>134</v>
      </c>
      <c r="H4815">
        <v>23</v>
      </c>
      <c r="I4815" s="125" t="s">
        <v>1546</v>
      </c>
      <c r="J4815" s="308" t="s">
        <v>214</v>
      </c>
      <c r="K4815" s="127" t="s">
        <v>4625</v>
      </c>
      <c r="L4815" s="153" t="s">
        <v>3306</v>
      </c>
      <c r="M4815">
        <v>32</v>
      </c>
      <c r="N4815" s="123">
        <v>51</v>
      </c>
      <c r="O4815">
        <v>3115</v>
      </c>
      <c r="P4815" s="132" t="s">
        <v>77</v>
      </c>
      <c r="Q4815" s="132">
        <v>2189.75</v>
      </c>
      <c r="R4815" s="132">
        <v>350.36</v>
      </c>
      <c r="S4815" s="132"/>
      <c r="T4815" s="156">
        <v>0</v>
      </c>
      <c r="U4815" s="132">
        <v>0</v>
      </c>
      <c r="V4815" s="132">
        <v>2540.11</v>
      </c>
      <c r="W4815">
        <v>25</v>
      </c>
      <c r="X4815" s="153" t="s">
        <v>105</v>
      </c>
      <c r="Y4815" s="124" t="s">
        <v>55</v>
      </c>
      <c r="Z4815" s="308">
        <v>262</v>
      </c>
      <c r="AB4815" t="str">
        <f>IF(Table1[[#This Row],[TIPO2]]="costo", VLOOKUP(Table1[[#This Row],[PARTIDA PRESUPUESTAL]],'Cost Report'!G:G,1,0),"Balance")</f>
        <v>3683-006</v>
      </c>
      <c r="AC4815" s="118"/>
      <c r="AD4815" s="159">
        <f>+Table1[[#This Row],[SUBTOTAL]]+Table1[[#This Row],[IVA]]-Table1[[#This Row],[RET IVA]]-Table1[[#This Row],[RET ISR]]-Table1[[#This Row],[TOTAL]]</f>
        <v>0</v>
      </c>
      <c r="AE4815" s="152"/>
      <c r="AF4815" s="153"/>
      <c r="AG4815" s="126"/>
      <c r="AK4815" s="306" t="str">
        <f>IF(ISNUMBER(Table1[[#This Row],[FECHA DE RECIBIDO]]), Table1[[#This Row],[FECHA DE RECIBIDO]]-DATE(2023,8,30), "")</f>
        <v/>
      </c>
    </row>
    <row r="4816" spans="1:37" ht="16.05" customHeight="1">
      <c r="A4816" s="150"/>
      <c r="B4816" s="153">
        <v>1585</v>
      </c>
      <c r="C4816" s="126" t="s">
        <v>1039</v>
      </c>
      <c r="D4816">
        <v>3264</v>
      </c>
      <c r="E4816" s="126" t="s">
        <v>2001</v>
      </c>
      <c r="F4816" s="122" t="s">
        <v>1607</v>
      </c>
      <c r="G4816" s="122" t="s">
        <v>134</v>
      </c>
      <c r="H4816">
        <v>23</v>
      </c>
      <c r="I4816" s="122" t="s">
        <v>1546</v>
      </c>
      <c r="J4816" s="307" t="s">
        <v>214</v>
      </c>
      <c r="K4816" s="127" t="s">
        <v>4625</v>
      </c>
      <c r="L4816" s="151" t="s">
        <v>3306</v>
      </c>
      <c r="M4816">
        <v>32</v>
      </c>
      <c r="N4816" s="123">
        <v>51</v>
      </c>
      <c r="O4816">
        <v>3115</v>
      </c>
      <c r="P4816" s="132" t="s">
        <v>77</v>
      </c>
      <c r="Q4816" s="131">
        <v>2189.75</v>
      </c>
      <c r="R4816" s="131">
        <v>350.36</v>
      </c>
      <c r="S4816" s="131"/>
      <c r="T4816" s="155">
        <v>0</v>
      </c>
      <c r="U4816" s="131">
        <v>0</v>
      </c>
      <c r="V4816" s="131">
        <v>2540.11</v>
      </c>
      <c r="W4816">
        <v>25</v>
      </c>
      <c r="X4816" s="151" t="s">
        <v>105</v>
      </c>
      <c r="Y4816" s="135" t="s">
        <v>55</v>
      </c>
      <c r="Z4816" s="307">
        <v>262</v>
      </c>
      <c r="AB4816" t="str">
        <f>IF(Table1[[#This Row],[TIPO2]]="costo", VLOOKUP(Table1[[#This Row],[PARTIDA PRESUPUESTAL]],'Cost Report'!G:G,1,0),"Balance")</f>
        <v>3683-012</v>
      </c>
      <c r="AC4816" s="118"/>
      <c r="AD4816" s="159">
        <f>+Table1[[#This Row],[SUBTOTAL]]+Table1[[#This Row],[IVA]]-Table1[[#This Row],[RET IVA]]-Table1[[#This Row],[RET ISR]]-Table1[[#This Row],[TOTAL]]</f>
        <v>0</v>
      </c>
      <c r="AE4816" s="150"/>
      <c r="AF4816" s="151"/>
      <c r="AG4816" s="126"/>
      <c r="AK4816" s="306" t="str">
        <f>IF(ISNUMBER(Table1[[#This Row],[FECHA DE RECIBIDO]]), Table1[[#This Row],[FECHA DE RECIBIDO]]-DATE(2023,8,30), "")</f>
        <v/>
      </c>
    </row>
    <row r="4817" spans="1:37" ht="16.05" customHeight="1">
      <c r="A4817" s="152"/>
      <c r="B4817" s="153">
        <v>1585</v>
      </c>
      <c r="C4817" s="126" t="s">
        <v>1043</v>
      </c>
      <c r="D4817">
        <v>3264</v>
      </c>
      <c r="E4817" s="126" t="s">
        <v>2001</v>
      </c>
      <c r="F4817" s="125" t="s">
        <v>1607</v>
      </c>
      <c r="G4817" s="125" t="s">
        <v>134</v>
      </c>
      <c r="H4817">
        <v>23</v>
      </c>
      <c r="I4817" s="125" t="s">
        <v>1546</v>
      </c>
      <c r="J4817" s="308" t="s">
        <v>214</v>
      </c>
      <c r="K4817" s="127" t="s">
        <v>4625</v>
      </c>
      <c r="L4817" s="153" t="s">
        <v>3306</v>
      </c>
      <c r="M4817">
        <v>32</v>
      </c>
      <c r="N4817" s="123">
        <v>51</v>
      </c>
      <c r="O4817">
        <v>3115</v>
      </c>
      <c r="P4817" s="132" t="s">
        <v>77</v>
      </c>
      <c r="Q4817" s="132">
        <v>3284.63</v>
      </c>
      <c r="R4817" s="132">
        <v>525.54</v>
      </c>
      <c r="S4817" s="132"/>
      <c r="T4817" s="156">
        <v>0</v>
      </c>
      <c r="U4817" s="132">
        <v>0</v>
      </c>
      <c r="V4817" s="132">
        <v>3810.17</v>
      </c>
      <c r="W4817">
        <v>25</v>
      </c>
      <c r="X4817" s="153" t="s">
        <v>105</v>
      </c>
      <c r="Y4817" s="124" t="s">
        <v>55</v>
      </c>
      <c r="Z4817" s="308">
        <v>262</v>
      </c>
      <c r="AB4817" t="str">
        <f>IF(Table1[[#This Row],[TIPO2]]="costo", VLOOKUP(Table1[[#This Row],[PARTIDA PRESUPUESTAL]],'Cost Report'!G:G,1,0),"Balance")</f>
        <v>3683-018</v>
      </c>
      <c r="AC4817" s="118"/>
      <c r="AD4817" s="159">
        <f>+Table1[[#This Row],[SUBTOTAL]]+Table1[[#This Row],[IVA]]-Table1[[#This Row],[RET IVA]]-Table1[[#This Row],[RET ISR]]-Table1[[#This Row],[TOTAL]]</f>
        <v>0</v>
      </c>
      <c r="AE4817" s="152"/>
      <c r="AF4817" s="153"/>
      <c r="AG4817" s="126"/>
      <c r="AK4817" s="306" t="str">
        <f>IF(ISNUMBER(Table1[[#This Row],[FECHA DE RECIBIDO]]), Table1[[#This Row],[FECHA DE RECIBIDO]]-DATE(2023,8,30), "")</f>
        <v/>
      </c>
    </row>
    <row r="4818" spans="1:37" ht="16.05" customHeight="1">
      <c r="A4818" s="150"/>
      <c r="B4818" s="153">
        <v>1585</v>
      </c>
      <c r="C4818" s="126" t="s">
        <v>1047</v>
      </c>
      <c r="D4818">
        <v>3264</v>
      </c>
      <c r="E4818" s="126" t="s">
        <v>2001</v>
      </c>
      <c r="F4818" s="122" t="s">
        <v>1607</v>
      </c>
      <c r="G4818" s="122" t="s">
        <v>134</v>
      </c>
      <c r="H4818">
        <v>23</v>
      </c>
      <c r="I4818" s="122" t="s">
        <v>1546</v>
      </c>
      <c r="J4818" s="307" t="s">
        <v>214</v>
      </c>
      <c r="K4818" s="127" t="s">
        <v>4625</v>
      </c>
      <c r="L4818" s="151" t="s">
        <v>3306</v>
      </c>
      <c r="M4818">
        <v>32</v>
      </c>
      <c r="N4818" s="123">
        <v>51</v>
      </c>
      <c r="O4818">
        <v>3115</v>
      </c>
      <c r="P4818" s="132" t="s">
        <v>77</v>
      </c>
      <c r="Q4818" s="131">
        <v>1605.82</v>
      </c>
      <c r="R4818" s="131">
        <v>256.93</v>
      </c>
      <c r="S4818" s="131"/>
      <c r="T4818" s="155">
        <v>0</v>
      </c>
      <c r="U4818" s="131">
        <v>0</v>
      </c>
      <c r="V4818" s="131">
        <v>1862.75</v>
      </c>
      <c r="W4818">
        <v>25</v>
      </c>
      <c r="X4818" s="151" t="s">
        <v>105</v>
      </c>
      <c r="Y4818" s="135" t="s">
        <v>55</v>
      </c>
      <c r="Z4818" s="307">
        <v>262</v>
      </c>
      <c r="AB4818" t="str">
        <f>IF(Table1[[#This Row],[TIPO2]]="costo", VLOOKUP(Table1[[#This Row],[PARTIDA PRESUPUESTAL]],'Cost Report'!G:G,1,0),"Balance")</f>
        <v>3683-024</v>
      </c>
      <c r="AC4818" s="118"/>
      <c r="AD4818" s="159">
        <f>+Table1[[#This Row],[SUBTOTAL]]+Table1[[#This Row],[IVA]]-Table1[[#This Row],[RET IVA]]-Table1[[#This Row],[RET ISR]]-Table1[[#This Row],[TOTAL]]</f>
        <v>0</v>
      </c>
      <c r="AE4818" s="150"/>
      <c r="AF4818" s="151"/>
      <c r="AG4818" s="126"/>
      <c r="AK4818" s="306" t="str">
        <f>IF(ISNUMBER(Table1[[#This Row],[FECHA DE RECIBIDO]]), Table1[[#This Row],[FECHA DE RECIBIDO]]-DATE(2023,8,30), "")</f>
        <v/>
      </c>
    </row>
    <row r="4819" spans="1:37" ht="16.05" customHeight="1">
      <c r="A4819" s="152"/>
      <c r="B4819" s="153">
        <v>1585</v>
      </c>
      <c r="C4819" s="126" t="s">
        <v>1051</v>
      </c>
      <c r="D4819">
        <v>3264</v>
      </c>
      <c r="E4819" s="126" t="s">
        <v>2001</v>
      </c>
      <c r="F4819" s="125" t="s">
        <v>1607</v>
      </c>
      <c r="G4819" s="125" t="s">
        <v>134</v>
      </c>
      <c r="H4819">
        <v>23</v>
      </c>
      <c r="I4819" s="125" t="s">
        <v>1546</v>
      </c>
      <c r="J4819" s="308" t="s">
        <v>214</v>
      </c>
      <c r="K4819" s="127" t="s">
        <v>4625</v>
      </c>
      <c r="L4819" s="153" t="s">
        <v>3306</v>
      </c>
      <c r="M4819">
        <v>32</v>
      </c>
      <c r="N4819" s="123">
        <v>51</v>
      </c>
      <c r="O4819">
        <v>3115</v>
      </c>
      <c r="P4819" s="132" t="s">
        <v>77</v>
      </c>
      <c r="Q4819" s="132">
        <v>1576.62</v>
      </c>
      <c r="R4819" s="132">
        <v>252.26</v>
      </c>
      <c r="S4819" s="132"/>
      <c r="T4819" s="156">
        <v>0</v>
      </c>
      <c r="U4819" s="132">
        <v>0</v>
      </c>
      <c r="V4819" s="132">
        <v>1828.8799999999999</v>
      </c>
      <c r="W4819">
        <v>25</v>
      </c>
      <c r="X4819" s="153" t="s">
        <v>105</v>
      </c>
      <c r="Y4819" s="124" t="s">
        <v>55</v>
      </c>
      <c r="Z4819" s="308">
        <v>262</v>
      </c>
      <c r="AB4819" t="str">
        <f>IF(Table1[[#This Row],[TIPO2]]="costo", VLOOKUP(Table1[[#This Row],[PARTIDA PRESUPUESTAL]],'Cost Report'!G:G,1,0),"Balance")</f>
        <v>3683-030</v>
      </c>
      <c r="AC4819" s="118"/>
      <c r="AD4819" s="159">
        <f>+Table1[[#This Row],[SUBTOTAL]]+Table1[[#This Row],[IVA]]-Table1[[#This Row],[RET IVA]]-Table1[[#This Row],[RET ISR]]-Table1[[#This Row],[TOTAL]]</f>
        <v>0</v>
      </c>
      <c r="AE4819" s="152"/>
      <c r="AF4819" s="153"/>
      <c r="AG4819" s="126"/>
      <c r="AK4819" s="306" t="str">
        <f>IF(ISNUMBER(Table1[[#This Row],[FECHA DE RECIBIDO]]), Table1[[#This Row],[FECHA DE RECIBIDO]]-DATE(2023,8,30), "")</f>
        <v/>
      </c>
    </row>
    <row r="4820" spans="1:37" ht="16.05" customHeight="1">
      <c r="A4820" s="150"/>
      <c r="B4820" s="153">
        <v>1585</v>
      </c>
      <c r="C4820" s="126" t="s">
        <v>2897</v>
      </c>
      <c r="D4820">
        <v>3264</v>
      </c>
      <c r="E4820" s="126" t="s">
        <v>2001</v>
      </c>
      <c r="F4820" s="122" t="s">
        <v>1607</v>
      </c>
      <c r="G4820" s="122" t="s">
        <v>134</v>
      </c>
      <c r="H4820">
        <v>23</v>
      </c>
      <c r="I4820" s="122" t="s">
        <v>1546</v>
      </c>
      <c r="J4820" s="307" t="s">
        <v>214</v>
      </c>
      <c r="K4820" s="127" t="s">
        <v>4625</v>
      </c>
      <c r="L4820" s="151" t="s">
        <v>3306</v>
      </c>
      <c r="M4820">
        <v>32</v>
      </c>
      <c r="N4820" s="123">
        <v>51</v>
      </c>
      <c r="O4820">
        <v>3115</v>
      </c>
      <c r="P4820" s="132" t="s">
        <v>77</v>
      </c>
      <c r="Q4820" s="131">
        <v>788.31</v>
      </c>
      <c r="R4820" s="131">
        <v>126.13</v>
      </c>
      <c r="S4820" s="131"/>
      <c r="T4820" s="155">
        <v>0</v>
      </c>
      <c r="U4820" s="131">
        <v>0</v>
      </c>
      <c r="V4820" s="131">
        <v>914.43999999999994</v>
      </c>
      <c r="W4820">
        <v>25</v>
      </c>
      <c r="X4820" s="151" t="s">
        <v>105</v>
      </c>
      <c r="Y4820" s="135" t="s">
        <v>55</v>
      </c>
      <c r="Z4820" s="307">
        <v>262</v>
      </c>
      <c r="AB4820" t="str">
        <f>IF(Table1[[#This Row],[TIPO2]]="costo", VLOOKUP(Table1[[#This Row],[PARTIDA PRESUPUESTAL]],'Cost Report'!G:G,1,0),"Balance")</f>
        <v>3683-138</v>
      </c>
      <c r="AC4820" s="118"/>
      <c r="AD4820" s="159">
        <f>+Table1[[#This Row],[SUBTOTAL]]+Table1[[#This Row],[IVA]]-Table1[[#This Row],[RET IVA]]-Table1[[#This Row],[RET ISR]]-Table1[[#This Row],[TOTAL]]</f>
        <v>0</v>
      </c>
      <c r="AE4820" s="150"/>
      <c r="AF4820" s="151"/>
      <c r="AG4820" s="126"/>
      <c r="AK4820" s="306" t="str">
        <f>IF(ISNUMBER(Table1[[#This Row],[FECHA DE RECIBIDO]]), Table1[[#This Row],[FECHA DE RECIBIDO]]-DATE(2023,8,30), "")</f>
        <v/>
      </c>
    </row>
    <row r="4821" spans="1:37" ht="16.05" customHeight="1">
      <c r="A4821" s="152"/>
      <c r="B4821" s="153">
        <v>1585</v>
      </c>
      <c r="C4821" s="126" t="s">
        <v>1059</v>
      </c>
      <c r="D4821">
        <v>3264</v>
      </c>
      <c r="E4821" s="126" t="s">
        <v>2001</v>
      </c>
      <c r="F4821" s="125" t="s">
        <v>1607</v>
      </c>
      <c r="G4821" s="125" t="s">
        <v>134</v>
      </c>
      <c r="H4821">
        <v>23</v>
      </c>
      <c r="I4821" s="125" t="s">
        <v>1546</v>
      </c>
      <c r="J4821" s="308" t="s">
        <v>214</v>
      </c>
      <c r="K4821" s="127" t="s">
        <v>4625</v>
      </c>
      <c r="L4821" s="153" t="s">
        <v>3306</v>
      </c>
      <c r="M4821">
        <v>32</v>
      </c>
      <c r="N4821" s="123">
        <v>51</v>
      </c>
      <c r="O4821">
        <v>3115</v>
      </c>
      <c r="P4821" s="132" t="s">
        <v>77</v>
      </c>
      <c r="Q4821" s="132">
        <v>1576.62</v>
      </c>
      <c r="R4821" s="132">
        <v>252.26</v>
      </c>
      <c r="S4821" s="132"/>
      <c r="T4821" s="156">
        <v>0</v>
      </c>
      <c r="U4821" s="132">
        <v>0</v>
      </c>
      <c r="V4821" s="132">
        <v>1828.8799999999999</v>
      </c>
      <c r="W4821">
        <v>25</v>
      </c>
      <c r="X4821" s="153" t="s">
        <v>105</v>
      </c>
      <c r="Y4821" s="124" t="s">
        <v>55</v>
      </c>
      <c r="Z4821" s="308">
        <v>262</v>
      </c>
      <c r="AB4821" t="str">
        <f>IF(Table1[[#This Row],[TIPO2]]="costo", VLOOKUP(Table1[[#This Row],[PARTIDA PRESUPUESTAL]],'Cost Report'!G:G,1,0),"Balance")</f>
        <v>3683-042</v>
      </c>
      <c r="AC4821" s="118"/>
      <c r="AD4821" s="159">
        <f>+Table1[[#This Row],[SUBTOTAL]]+Table1[[#This Row],[IVA]]-Table1[[#This Row],[RET IVA]]-Table1[[#This Row],[RET ISR]]-Table1[[#This Row],[TOTAL]]</f>
        <v>0</v>
      </c>
      <c r="AE4821" s="152"/>
      <c r="AF4821" s="153"/>
      <c r="AG4821" s="126"/>
      <c r="AK4821" s="306" t="str">
        <f>IF(ISNUMBER(Table1[[#This Row],[FECHA DE RECIBIDO]]), Table1[[#This Row],[FECHA DE RECIBIDO]]-DATE(2023,8,30), "")</f>
        <v/>
      </c>
    </row>
    <row r="4822" spans="1:37" ht="16.05" customHeight="1">
      <c r="A4822" s="150"/>
      <c r="B4822" s="153">
        <v>1585</v>
      </c>
      <c r="C4822" s="126" t="s">
        <v>1063</v>
      </c>
      <c r="D4822">
        <v>3264</v>
      </c>
      <c r="E4822" s="126" t="s">
        <v>2001</v>
      </c>
      <c r="F4822" s="122" t="s">
        <v>1607</v>
      </c>
      <c r="G4822" s="122" t="s">
        <v>134</v>
      </c>
      <c r="H4822">
        <v>23</v>
      </c>
      <c r="I4822" s="122" t="s">
        <v>1546</v>
      </c>
      <c r="J4822" s="307" t="s">
        <v>214</v>
      </c>
      <c r="K4822" s="127" t="s">
        <v>4625</v>
      </c>
      <c r="L4822" s="151" t="s">
        <v>3306</v>
      </c>
      <c r="M4822">
        <v>32</v>
      </c>
      <c r="N4822" s="123">
        <v>51</v>
      </c>
      <c r="O4822">
        <v>3115</v>
      </c>
      <c r="P4822" s="132" t="s">
        <v>77</v>
      </c>
      <c r="Q4822" s="131">
        <v>1605.82</v>
      </c>
      <c r="R4822" s="131">
        <v>256.93</v>
      </c>
      <c r="S4822" s="131"/>
      <c r="T4822" s="155">
        <v>0</v>
      </c>
      <c r="U4822" s="131">
        <v>0</v>
      </c>
      <c r="V4822" s="131">
        <v>1862.75</v>
      </c>
      <c r="W4822">
        <v>25</v>
      </c>
      <c r="X4822" s="151" t="s">
        <v>105</v>
      </c>
      <c r="Y4822" s="135" t="s">
        <v>55</v>
      </c>
      <c r="Z4822" s="307">
        <v>262</v>
      </c>
      <c r="AB4822" t="str">
        <f>IF(Table1[[#This Row],[TIPO2]]="costo", VLOOKUP(Table1[[#This Row],[PARTIDA PRESUPUESTAL]],'Cost Report'!G:G,1,0),"Balance")</f>
        <v>3683-048</v>
      </c>
      <c r="AC4822" s="118"/>
      <c r="AD4822" s="159">
        <f>+Table1[[#This Row],[SUBTOTAL]]+Table1[[#This Row],[IVA]]-Table1[[#This Row],[RET IVA]]-Table1[[#This Row],[RET ISR]]-Table1[[#This Row],[TOTAL]]</f>
        <v>0</v>
      </c>
      <c r="AE4822" s="150"/>
      <c r="AF4822" s="151"/>
      <c r="AG4822" s="126"/>
      <c r="AK4822" s="306" t="str">
        <f>IF(ISNUMBER(Table1[[#This Row],[FECHA DE RECIBIDO]]), Table1[[#This Row],[FECHA DE RECIBIDO]]-DATE(2023,8,30), "")</f>
        <v/>
      </c>
    </row>
    <row r="4823" spans="1:37" ht="16.05" customHeight="1">
      <c r="A4823" s="152"/>
      <c r="B4823" s="153">
        <v>1585</v>
      </c>
      <c r="C4823" s="126" t="s">
        <v>1067</v>
      </c>
      <c r="D4823">
        <v>3264</v>
      </c>
      <c r="E4823" s="126" t="s">
        <v>2001</v>
      </c>
      <c r="F4823" s="125" t="s">
        <v>1607</v>
      </c>
      <c r="G4823" s="125" t="s">
        <v>134</v>
      </c>
      <c r="H4823">
        <v>23</v>
      </c>
      <c r="I4823" s="125" t="s">
        <v>1546</v>
      </c>
      <c r="J4823" s="308" t="s">
        <v>214</v>
      </c>
      <c r="K4823" s="127" t="s">
        <v>4625</v>
      </c>
      <c r="L4823" s="153" t="s">
        <v>3306</v>
      </c>
      <c r="M4823">
        <v>32</v>
      </c>
      <c r="N4823" s="123">
        <v>51</v>
      </c>
      <c r="O4823">
        <v>3115</v>
      </c>
      <c r="P4823" s="132" t="s">
        <v>77</v>
      </c>
      <c r="Q4823" s="132">
        <v>1605.82</v>
      </c>
      <c r="R4823" s="132">
        <v>256.93</v>
      </c>
      <c r="S4823" s="132"/>
      <c r="T4823" s="156">
        <v>0</v>
      </c>
      <c r="U4823" s="132">
        <v>0</v>
      </c>
      <c r="V4823" s="132">
        <v>1862.75</v>
      </c>
      <c r="W4823">
        <v>25</v>
      </c>
      <c r="X4823" s="153" t="s">
        <v>105</v>
      </c>
      <c r="Y4823" s="124" t="s">
        <v>55</v>
      </c>
      <c r="Z4823" s="308">
        <v>262</v>
      </c>
      <c r="AB4823" t="str">
        <f>IF(Table1[[#This Row],[TIPO2]]="costo", VLOOKUP(Table1[[#This Row],[PARTIDA PRESUPUESTAL]],'Cost Report'!G:G,1,0),"Balance")</f>
        <v>3683-054</v>
      </c>
      <c r="AC4823" s="118"/>
      <c r="AD4823" s="159">
        <f>+Table1[[#This Row],[SUBTOTAL]]+Table1[[#This Row],[IVA]]-Table1[[#This Row],[RET IVA]]-Table1[[#This Row],[RET ISR]]-Table1[[#This Row],[TOTAL]]</f>
        <v>0</v>
      </c>
      <c r="AE4823" s="152"/>
      <c r="AF4823" s="153"/>
      <c r="AG4823" s="126"/>
      <c r="AK4823" s="306" t="str">
        <f>IF(ISNUMBER(Table1[[#This Row],[FECHA DE RECIBIDO]]), Table1[[#This Row],[FECHA DE RECIBIDO]]-DATE(2023,8,30), "")</f>
        <v/>
      </c>
    </row>
    <row r="4824" spans="1:37" ht="16.05" customHeight="1">
      <c r="A4824" s="150"/>
      <c r="B4824" s="153">
        <v>1585</v>
      </c>
      <c r="C4824" s="126" t="s">
        <v>1071</v>
      </c>
      <c r="D4824">
        <v>3264</v>
      </c>
      <c r="E4824" s="126" t="s">
        <v>2001</v>
      </c>
      <c r="F4824" s="122" t="s">
        <v>1607</v>
      </c>
      <c r="G4824" s="122" t="s">
        <v>134</v>
      </c>
      <c r="H4824">
        <v>23</v>
      </c>
      <c r="I4824" s="122" t="s">
        <v>1546</v>
      </c>
      <c r="J4824" s="307" t="s">
        <v>214</v>
      </c>
      <c r="K4824" s="127" t="s">
        <v>4625</v>
      </c>
      <c r="L4824" s="151" t="s">
        <v>3306</v>
      </c>
      <c r="M4824">
        <v>32</v>
      </c>
      <c r="N4824" s="123">
        <v>51</v>
      </c>
      <c r="O4824">
        <v>3115</v>
      </c>
      <c r="P4824" s="132" t="s">
        <v>77</v>
      </c>
      <c r="Q4824" s="131">
        <v>1094.8800000000001</v>
      </c>
      <c r="R4824" s="131">
        <v>175.14</v>
      </c>
      <c r="S4824" s="131"/>
      <c r="T4824" s="155">
        <v>0</v>
      </c>
      <c r="U4824" s="131">
        <v>0</v>
      </c>
      <c r="V4824" s="131">
        <v>1270.02</v>
      </c>
      <c r="W4824">
        <v>25</v>
      </c>
      <c r="X4824" s="151" t="s">
        <v>105</v>
      </c>
      <c r="Y4824" s="135" t="s">
        <v>55</v>
      </c>
      <c r="Z4824" s="307">
        <v>262</v>
      </c>
      <c r="AB4824" t="str">
        <f>IF(Table1[[#This Row],[TIPO2]]="costo", VLOOKUP(Table1[[#This Row],[PARTIDA PRESUPUESTAL]],'Cost Report'!G:G,1,0),"Balance")</f>
        <v>3683-060</v>
      </c>
      <c r="AC4824" s="118"/>
      <c r="AD4824" s="159">
        <f>+Table1[[#This Row],[SUBTOTAL]]+Table1[[#This Row],[IVA]]-Table1[[#This Row],[RET IVA]]-Table1[[#This Row],[RET ISR]]-Table1[[#This Row],[TOTAL]]</f>
        <v>0</v>
      </c>
      <c r="AE4824" s="150"/>
      <c r="AF4824" s="151"/>
      <c r="AG4824" s="126"/>
      <c r="AK4824" s="306" t="str">
        <f>IF(ISNUMBER(Table1[[#This Row],[FECHA DE RECIBIDO]]), Table1[[#This Row],[FECHA DE RECIBIDO]]-DATE(2023,8,30), "")</f>
        <v/>
      </c>
    </row>
    <row r="4825" spans="1:37" ht="16.05" customHeight="1">
      <c r="A4825" s="152"/>
      <c r="B4825" s="153">
        <v>1585</v>
      </c>
      <c r="C4825" s="126" t="s">
        <v>1075</v>
      </c>
      <c r="D4825">
        <v>3264</v>
      </c>
      <c r="E4825" s="126" t="s">
        <v>2001</v>
      </c>
      <c r="F4825" s="125" t="s">
        <v>1607</v>
      </c>
      <c r="G4825" s="125" t="s">
        <v>134</v>
      </c>
      <c r="H4825">
        <v>23</v>
      </c>
      <c r="I4825" s="125" t="s">
        <v>1546</v>
      </c>
      <c r="J4825" s="308" t="s">
        <v>214</v>
      </c>
      <c r="K4825" s="127" t="s">
        <v>4625</v>
      </c>
      <c r="L4825" s="153" t="s">
        <v>3306</v>
      </c>
      <c r="M4825">
        <v>32</v>
      </c>
      <c r="N4825" s="123">
        <v>51</v>
      </c>
      <c r="O4825">
        <v>3115</v>
      </c>
      <c r="P4825" s="132" t="s">
        <v>77</v>
      </c>
      <c r="Q4825" s="132">
        <v>1094.8800000000001</v>
      </c>
      <c r="R4825" s="132">
        <v>175.18</v>
      </c>
      <c r="S4825" s="132"/>
      <c r="T4825" s="156">
        <v>0</v>
      </c>
      <c r="U4825" s="132">
        <v>0</v>
      </c>
      <c r="V4825" s="132">
        <v>1270.0600000000002</v>
      </c>
      <c r="W4825">
        <v>25</v>
      </c>
      <c r="X4825" s="153" t="s">
        <v>105</v>
      </c>
      <c r="Y4825" s="124" t="s">
        <v>55</v>
      </c>
      <c r="Z4825" s="308">
        <v>262</v>
      </c>
      <c r="AB4825" t="str">
        <f>IF(Table1[[#This Row],[TIPO2]]="costo", VLOOKUP(Table1[[#This Row],[PARTIDA PRESUPUESTAL]],'Cost Report'!G:G,1,0),"Balance")</f>
        <v>3683-066</v>
      </c>
      <c r="AC4825" s="118"/>
      <c r="AD4825" s="159">
        <f>+Table1[[#This Row],[SUBTOTAL]]+Table1[[#This Row],[IVA]]-Table1[[#This Row],[RET IVA]]-Table1[[#This Row],[RET ISR]]-Table1[[#This Row],[TOTAL]]</f>
        <v>0</v>
      </c>
      <c r="AE4825" s="152"/>
      <c r="AF4825" s="153"/>
      <c r="AG4825" s="126"/>
      <c r="AK4825" s="306" t="str">
        <f>IF(ISNUMBER(Table1[[#This Row],[FECHA DE RECIBIDO]]), Table1[[#This Row],[FECHA DE RECIBIDO]]-DATE(2023,8,30), "")</f>
        <v/>
      </c>
    </row>
    <row r="4826" spans="1:37" ht="16.05" customHeight="1">
      <c r="A4826" s="150"/>
      <c r="B4826" s="153">
        <v>1585</v>
      </c>
      <c r="C4826" s="126" t="s">
        <v>1079</v>
      </c>
      <c r="D4826">
        <v>3264</v>
      </c>
      <c r="E4826" s="126" t="s">
        <v>2001</v>
      </c>
      <c r="F4826" s="122" t="s">
        <v>1607</v>
      </c>
      <c r="G4826" s="122" t="s">
        <v>134</v>
      </c>
      <c r="H4826">
        <v>23</v>
      </c>
      <c r="I4826" s="122" t="s">
        <v>1546</v>
      </c>
      <c r="J4826" s="307" t="s">
        <v>214</v>
      </c>
      <c r="K4826" s="127" t="s">
        <v>4625</v>
      </c>
      <c r="L4826" s="151" t="s">
        <v>3306</v>
      </c>
      <c r="M4826">
        <v>32</v>
      </c>
      <c r="N4826" s="123">
        <v>51</v>
      </c>
      <c r="O4826">
        <v>3115</v>
      </c>
      <c r="P4826" s="132" t="s">
        <v>77</v>
      </c>
      <c r="Q4826" s="131">
        <v>1094.8800000000001</v>
      </c>
      <c r="R4826" s="131">
        <v>175.18</v>
      </c>
      <c r="S4826" s="131"/>
      <c r="T4826" s="155">
        <v>0</v>
      </c>
      <c r="U4826" s="131">
        <v>0</v>
      </c>
      <c r="V4826" s="131">
        <v>1270.0600000000002</v>
      </c>
      <c r="W4826">
        <v>25</v>
      </c>
      <c r="X4826" s="151" t="s">
        <v>105</v>
      </c>
      <c r="Y4826" s="135" t="s">
        <v>55</v>
      </c>
      <c r="Z4826" s="307">
        <v>262</v>
      </c>
      <c r="AB4826" t="str">
        <f>IF(Table1[[#This Row],[TIPO2]]="costo", VLOOKUP(Table1[[#This Row],[PARTIDA PRESUPUESTAL]],'Cost Report'!G:G,1,0),"Balance")</f>
        <v>3683-072</v>
      </c>
      <c r="AC4826" s="118"/>
      <c r="AD4826" s="159">
        <f>+Table1[[#This Row],[SUBTOTAL]]+Table1[[#This Row],[IVA]]-Table1[[#This Row],[RET IVA]]-Table1[[#This Row],[RET ISR]]-Table1[[#This Row],[TOTAL]]</f>
        <v>0</v>
      </c>
      <c r="AE4826" s="150"/>
      <c r="AF4826" s="151"/>
      <c r="AG4826" s="126"/>
      <c r="AK4826" s="306" t="str">
        <f>IF(ISNUMBER(Table1[[#This Row],[FECHA DE RECIBIDO]]), Table1[[#This Row],[FECHA DE RECIBIDO]]-DATE(2023,8,30), "")</f>
        <v/>
      </c>
    </row>
    <row r="4827" spans="1:37" ht="16.05" customHeight="1">
      <c r="A4827" s="152"/>
      <c r="B4827" s="153">
        <v>1585</v>
      </c>
      <c r="C4827" s="126" t="s">
        <v>1083</v>
      </c>
      <c r="D4827">
        <v>3264</v>
      </c>
      <c r="E4827" s="126" t="s">
        <v>2001</v>
      </c>
      <c r="F4827" s="125" t="s">
        <v>1607</v>
      </c>
      <c r="G4827" s="125" t="s">
        <v>134</v>
      </c>
      <c r="H4827">
        <v>23</v>
      </c>
      <c r="I4827" s="125" t="s">
        <v>1546</v>
      </c>
      <c r="J4827" s="308" t="s">
        <v>214</v>
      </c>
      <c r="K4827" s="127" t="s">
        <v>4625</v>
      </c>
      <c r="L4827" s="153" t="s">
        <v>3306</v>
      </c>
      <c r="M4827">
        <v>32</v>
      </c>
      <c r="N4827" s="123">
        <v>51</v>
      </c>
      <c r="O4827">
        <v>3115</v>
      </c>
      <c r="P4827" s="132" t="s">
        <v>77</v>
      </c>
      <c r="Q4827" s="132">
        <v>1094.8800000000001</v>
      </c>
      <c r="R4827" s="132">
        <v>175.18</v>
      </c>
      <c r="S4827" s="132"/>
      <c r="T4827" s="156">
        <v>0</v>
      </c>
      <c r="U4827" s="132">
        <v>0</v>
      </c>
      <c r="V4827" s="132">
        <v>1270.0600000000002</v>
      </c>
      <c r="W4827">
        <v>25</v>
      </c>
      <c r="X4827" s="153" t="s">
        <v>105</v>
      </c>
      <c r="Y4827" s="124" t="s">
        <v>55</v>
      </c>
      <c r="Z4827" s="308">
        <v>262</v>
      </c>
      <c r="AB4827" t="str">
        <f>IF(Table1[[#This Row],[TIPO2]]="costo", VLOOKUP(Table1[[#This Row],[PARTIDA PRESUPUESTAL]],'Cost Report'!G:G,1,0),"Balance")</f>
        <v>3683-078</v>
      </c>
      <c r="AC4827" s="118"/>
      <c r="AD4827" s="159">
        <f>+Table1[[#This Row],[SUBTOTAL]]+Table1[[#This Row],[IVA]]-Table1[[#This Row],[RET IVA]]-Table1[[#This Row],[RET ISR]]-Table1[[#This Row],[TOTAL]]</f>
        <v>0</v>
      </c>
      <c r="AE4827" s="152"/>
      <c r="AF4827" s="153"/>
      <c r="AG4827" s="126"/>
      <c r="AK4827" s="306" t="str">
        <f>IF(ISNUMBER(Table1[[#This Row],[FECHA DE RECIBIDO]]), Table1[[#This Row],[FECHA DE RECIBIDO]]-DATE(2023,8,30), "")</f>
        <v/>
      </c>
    </row>
    <row r="4828" spans="1:37" ht="16.05" customHeight="1">
      <c r="A4828" s="150"/>
      <c r="B4828" s="153">
        <v>1585</v>
      </c>
      <c r="C4828" s="126" t="s">
        <v>1087</v>
      </c>
      <c r="D4828">
        <v>3264</v>
      </c>
      <c r="E4828" s="126" t="s">
        <v>2001</v>
      </c>
      <c r="F4828" s="122" t="s">
        <v>1607</v>
      </c>
      <c r="G4828" s="122" t="s">
        <v>134</v>
      </c>
      <c r="H4828">
        <v>23</v>
      </c>
      <c r="I4828" s="122" t="s">
        <v>1546</v>
      </c>
      <c r="J4828" s="307" t="s">
        <v>214</v>
      </c>
      <c r="K4828" s="127" t="s">
        <v>4625</v>
      </c>
      <c r="L4828" s="151" t="s">
        <v>3306</v>
      </c>
      <c r="M4828">
        <v>32</v>
      </c>
      <c r="N4828" s="123">
        <v>51</v>
      </c>
      <c r="O4828">
        <v>3115</v>
      </c>
      <c r="P4828" s="132" t="s">
        <v>77</v>
      </c>
      <c r="Q4828" s="131">
        <v>1605.82</v>
      </c>
      <c r="R4828" s="131">
        <v>256.93</v>
      </c>
      <c r="S4828" s="131"/>
      <c r="T4828" s="155">
        <v>0</v>
      </c>
      <c r="U4828" s="131">
        <v>0</v>
      </c>
      <c r="V4828" s="131">
        <v>1862.75</v>
      </c>
      <c r="W4828">
        <v>25</v>
      </c>
      <c r="X4828" s="151" t="s">
        <v>105</v>
      </c>
      <c r="Y4828" s="135" t="s">
        <v>55</v>
      </c>
      <c r="Z4828" s="307">
        <v>262</v>
      </c>
      <c r="AB4828" t="str">
        <f>IF(Table1[[#This Row],[TIPO2]]="costo", VLOOKUP(Table1[[#This Row],[PARTIDA PRESUPUESTAL]],'Cost Report'!G:G,1,0),"Balance")</f>
        <v>3683-084</v>
      </c>
      <c r="AC4828" s="118"/>
      <c r="AD4828" s="159">
        <f>+Table1[[#This Row],[SUBTOTAL]]+Table1[[#This Row],[IVA]]-Table1[[#This Row],[RET IVA]]-Table1[[#This Row],[RET ISR]]-Table1[[#This Row],[TOTAL]]</f>
        <v>0</v>
      </c>
      <c r="AE4828" s="150"/>
      <c r="AF4828" s="151"/>
      <c r="AG4828" s="126"/>
      <c r="AK4828" s="306" t="str">
        <f>IF(ISNUMBER(Table1[[#This Row],[FECHA DE RECIBIDO]]), Table1[[#This Row],[FECHA DE RECIBIDO]]-DATE(2023,8,30), "")</f>
        <v/>
      </c>
    </row>
    <row r="4829" spans="1:37" ht="16.05" customHeight="1">
      <c r="A4829" s="152"/>
      <c r="B4829" s="153">
        <v>1585</v>
      </c>
      <c r="C4829" s="126" t="s">
        <v>1091</v>
      </c>
      <c r="D4829">
        <v>3264</v>
      </c>
      <c r="E4829" s="126" t="s">
        <v>2001</v>
      </c>
      <c r="F4829" s="125" t="s">
        <v>1607</v>
      </c>
      <c r="G4829" s="125" t="s">
        <v>134</v>
      </c>
      <c r="H4829">
        <v>23</v>
      </c>
      <c r="I4829" s="125" t="s">
        <v>1546</v>
      </c>
      <c r="J4829" s="308" t="s">
        <v>214</v>
      </c>
      <c r="K4829" s="127" t="s">
        <v>4625</v>
      </c>
      <c r="L4829" s="153" t="s">
        <v>3306</v>
      </c>
      <c r="M4829">
        <v>32</v>
      </c>
      <c r="N4829" s="123">
        <v>51</v>
      </c>
      <c r="O4829">
        <v>3115</v>
      </c>
      <c r="P4829" s="132" t="s">
        <v>77</v>
      </c>
      <c r="Q4829" s="132">
        <v>1094.8800000000001</v>
      </c>
      <c r="R4829" s="132">
        <v>175.18</v>
      </c>
      <c r="S4829" s="132"/>
      <c r="T4829" s="156">
        <v>0</v>
      </c>
      <c r="U4829" s="132">
        <v>0</v>
      </c>
      <c r="V4829" s="132">
        <v>1270.0600000000002</v>
      </c>
      <c r="W4829">
        <v>25</v>
      </c>
      <c r="X4829" s="153" t="s">
        <v>105</v>
      </c>
      <c r="Y4829" s="124" t="s">
        <v>55</v>
      </c>
      <c r="Z4829" s="308">
        <v>262</v>
      </c>
      <c r="AB4829" t="str">
        <f>IF(Table1[[#This Row],[TIPO2]]="costo", VLOOKUP(Table1[[#This Row],[PARTIDA PRESUPUESTAL]],'Cost Report'!G:G,1,0),"Balance")</f>
        <v>3683-090</v>
      </c>
      <c r="AC4829" s="118"/>
      <c r="AD4829" s="159">
        <f>+Table1[[#This Row],[SUBTOTAL]]+Table1[[#This Row],[IVA]]-Table1[[#This Row],[RET IVA]]-Table1[[#This Row],[RET ISR]]-Table1[[#This Row],[TOTAL]]</f>
        <v>0</v>
      </c>
      <c r="AE4829" s="152"/>
      <c r="AF4829" s="153"/>
      <c r="AG4829" s="126"/>
      <c r="AK4829" s="306" t="str">
        <f>IF(ISNUMBER(Table1[[#This Row],[FECHA DE RECIBIDO]]), Table1[[#This Row],[FECHA DE RECIBIDO]]-DATE(2023,8,30), "")</f>
        <v/>
      </c>
    </row>
    <row r="4830" spans="1:37" ht="16.05" customHeight="1">
      <c r="A4830" s="150"/>
      <c r="B4830" s="153">
        <v>1585</v>
      </c>
      <c r="C4830" s="126" t="s">
        <v>1095</v>
      </c>
      <c r="D4830">
        <v>3264</v>
      </c>
      <c r="E4830" s="126" t="s">
        <v>2001</v>
      </c>
      <c r="F4830" s="122" t="s">
        <v>1607</v>
      </c>
      <c r="G4830" s="122" t="s">
        <v>134</v>
      </c>
      <c r="H4830">
        <v>23</v>
      </c>
      <c r="I4830" s="122" t="s">
        <v>1546</v>
      </c>
      <c r="J4830" s="307" t="s">
        <v>214</v>
      </c>
      <c r="K4830" s="127" t="s">
        <v>4625</v>
      </c>
      <c r="L4830" s="151" t="s">
        <v>3306</v>
      </c>
      <c r="M4830">
        <v>32</v>
      </c>
      <c r="N4830" s="123">
        <v>51</v>
      </c>
      <c r="O4830">
        <v>3115</v>
      </c>
      <c r="P4830" s="132" t="s">
        <v>77</v>
      </c>
      <c r="Q4830" s="131">
        <v>1605.82</v>
      </c>
      <c r="R4830" s="131">
        <v>256.93</v>
      </c>
      <c r="S4830" s="131"/>
      <c r="T4830" s="155">
        <v>0</v>
      </c>
      <c r="U4830" s="131">
        <v>0</v>
      </c>
      <c r="V4830" s="131">
        <v>1862.75</v>
      </c>
      <c r="W4830">
        <v>25</v>
      </c>
      <c r="X4830" s="151" t="s">
        <v>105</v>
      </c>
      <c r="Y4830" s="135" t="s">
        <v>55</v>
      </c>
      <c r="Z4830" s="307">
        <v>262</v>
      </c>
      <c r="AB4830" t="str">
        <f>IF(Table1[[#This Row],[TIPO2]]="costo", VLOOKUP(Table1[[#This Row],[PARTIDA PRESUPUESTAL]],'Cost Report'!G:G,1,0),"Balance")</f>
        <v>3683-096</v>
      </c>
      <c r="AC4830" s="118"/>
      <c r="AD4830" s="159">
        <f>+Table1[[#This Row],[SUBTOTAL]]+Table1[[#This Row],[IVA]]-Table1[[#This Row],[RET IVA]]-Table1[[#This Row],[RET ISR]]-Table1[[#This Row],[TOTAL]]</f>
        <v>0</v>
      </c>
      <c r="AE4830" s="150"/>
      <c r="AF4830" s="151"/>
      <c r="AG4830" s="126"/>
      <c r="AK4830" s="306" t="str">
        <f>IF(ISNUMBER(Table1[[#This Row],[FECHA DE RECIBIDO]]), Table1[[#This Row],[FECHA DE RECIBIDO]]-DATE(2023,8,30), "")</f>
        <v/>
      </c>
    </row>
    <row r="4831" spans="1:37" ht="16.05" customHeight="1">
      <c r="A4831" s="152"/>
      <c r="B4831" s="153">
        <v>1585</v>
      </c>
      <c r="C4831" s="126" t="s">
        <v>1098</v>
      </c>
      <c r="D4831">
        <v>3264</v>
      </c>
      <c r="E4831" s="126" t="s">
        <v>2001</v>
      </c>
      <c r="F4831" s="125" t="s">
        <v>1607</v>
      </c>
      <c r="G4831" s="125" t="s">
        <v>134</v>
      </c>
      <c r="H4831">
        <v>23</v>
      </c>
      <c r="I4831" s="125" t="s">
        <v>1546</v>
      </c>
      <c r="J4831" s="308" t="s">
        <v>214</v>
      </c>
      <c r="K4831" s="127" t="s">
        <v>4625</v>
      </c>
      <c r="L4831" s="153" t="s">
        <v>3306</v>
      </c>
      <c r="M4831">
        <v>32</v>
      </c>
      <c r="N4831" s="123">
        <v>51</v>
      </c>
      <c r="O4831">
        <v>3115</v>
      </c>
      <c r="P4831" s="132" t="s">
        <v>77</v>
      </c>
      <c r="Q4831" s="132">
        <v>1642.31</v>
      </c>
      <c r="R4831" s="132">
        <v>262.77</v>
      </c>
      <c r="S4831" s="132"/>
      <c r="T4831" s="156">
        <v>0</v>
      </c>
      <c r="U4831" s="132">
        <v>0</v>
      </c>
      <c r="V4831" s="132">
        <v>1905.08</v>
      </c>
      <c r="W4831">
        <v>25</v>
      </c>
      <c r="X4831" s="153" t="s">
        <v>105</v>
      </c>
      <c r="Y4831" s="124" t="s">
        <v>55</v>
      </c>
      <c r="Z4831" s="308">
        <v>262</v>
      </c>
      <c r="AB4831" t="str">
        <f>IF(Table1[[#This Row],[TIPO2]]="costo", VLOOKUP(Table1[[#This Row],[PARTIDA PRESUPUESTAL]],'Cost Report'!G:G,1,0),"Balance")</f>
        <v>3683-101</v>
      </c>
      <c r="AC4831" s="118"/>
      <c r="AD4831" s="159">
        <f>+Table1[[#This Row],[SUBTOTAL]]+Table1[[#This Row],[IVA]]-Table1[[#This Row],[RET IVA]]-Table1[[#This Row],[RET ISR]]-Table1[[#This Row],[TOTAL]]</f>
        <v>0</v>
      </c>
      <c r="AE4831" s="152"/>
      <c r="AF4831" s="153"/>
      <c r="AG4831" s="126"/>
      <c r="AK4831" s="306" t="str">
        <f>IF(ISNUMBER(Table1[[#This Row],[FECHA DE RECIBIDO]]), Table1[[#This Row],[FECHA DE RECIBIDO]]-DATE(2023,8,30), "")</f>
        <v/>
      </c>
    </row>
    <row r="4832" spans="1:37" ht="16.05" customHeight="1">
      <c r="A4832" s="150"/>
      <c r="B4832" s="153">
        <v>1585</v>
      </c>
      <c r="C4832" s="126" t="s">
        <v>1100</v>
      </c>
      <c r="D4832">
        <v>3264</v>
      </c>
      <c r="E4832" s="126" t="s">
        <v>2001</v>
      </c>
      <c r="F4832" s="122" t="s">
        <v>1607</v>
      </c>
      <c r="G4832" s="122" t="s">
        <v>134</v>
      </c>
      <c r="H4832">
        <v>23</v>
      </c>
      <c r="I4832" s="122" t="s">
        <v>1546</v>
      </c>
      <c r="J4832" s="307" t="s">
        <v>214</v>
      </c>
      <c r="K4832" s="127" t="s">
        <v>4625</v>
      </c>
      <c r="L4832" s="151" t="s">
        <v>3306</v>
      </c>
      <c r="M4832">
        <v>32</v>
      </c>
      <c r="N4832" s="123">
        <v>51</v>
      </c>
      <c r="O4832">
        <v>3115</v>
      </c>
      <c r="P4832" s="132" t="s">
        <v>77</v>
      </c>
      <c r="Q4832" s="131">
        <v>2043.77</v>
      </c>
      <c r="R4832" s="131">
        <v>327</v>
      </c>
      <c r="S4832" s="131"/>
      <c r="T4832" s="155">
        <v>0</v>
      </c>
      <c r="U4832" s="131">
        <v>0</v>
      </c>
      <c r="V4832" s="131">
        <v>2370.77</v>
      </c>
      <c r="W4832">
        <v>25</v>
      </c>
      <c r="X4832" s="151" t="s">
        <v>105</v>
      </c>
      <c r="Y4832" s="135" t="s">
        <v>55</v>
      </c>
      <c r="Z4832" s="307">
        <v>262</v>
      </c>
      <c r="AB4832" t="str">
        <f>IF(Table1[[#This Row],[TIPO2]]="costo", VLOOKUP(Table1[[#This Row],[PARTIDA PRESUPUESTAL]],'Cost Report'!G:G,1,0),"Balance")</f>
        <v>3683-105</v>
      </c>
      <c r="AC4832" s="118"/>
      <c r="AD4832" s="159">
        <f>+Table1[[#This Row],[SUBTOTAL]]+Table1[[#This Row],[IVA]]-Table1[[#This Row],[RET IVA]]-Table1[[#This Row],[RET ISR]]-Table1[[#This Row],[TOTAL]]</f>
        <v>0</v>
      </c>
      <c r="AE4832" s="150"/>
      <c r="AF4832" s="151"/>
      <c r="AG4832" s="126"/>
      <c r="AK4832" s="306" t="str">
        <f>IF(ISNUMBER(Table1[[#This Row],[FECHA DE RECIBIDO]]), Table1[[#This Row],[FECHA DE RECIBIDO]]-DATE(2023,8,30), "")</f>
        <v/>
      </c>
    </row>
    <row r="4833" spans="1:37" ht="16.05" customHeight="1">
      <c r="A4833" s="152"/>
      <c r="B4833" s="153">
        <v>1585</v>
      </c>
      <c r="C4833" s="126" t="s">
        <v>2880</v>
      </c>
      <c r="D4833">
        <v>3264</v>
      </c>
      <c r="E4833" s="126" t="s">
        <v>2001</v>
      </c>
      <c r="F4833" s="125" t="s">
        <v>1607</v>
      </c>
      <c r="G4833" s="125" t="s">
        <v>134</v>
      </c>
      <c r="H4833">
        <v>23</v>
      </c>
      <c r="I4833" s="125" t="s">
        <v>1546</v>
      </c>
      <c r="J4833" s="308" t="s">
        <v>214</v>
      </c>
      <c r="K4833" s="127" t="s">
        <v>4625</v>
      </c>
      <c r="L4833" s="153" t="s">
        <v>3306</v>
      </c>
      <c r="M4833">
        <v>32</v>
      </c>
      <c r="N4833" s="123">
        <v>51</v>
      </c>
      <c r="O4833">
        <v>3115</v>
      </c>
      <c r="P4833" s="132" t="s">
        <v>77</v>
      </c>
      <c r="Q4833" s="132">
        <v>4087.54</v>
      </c>
      <c r="R4833" s="132">
        <v>654.01</v>
      </c>
      <c r="S4833" s="132"/>
      <c r="T4833" s="156">
        <v>0</v>
      </c>
      <c r="U4833" s="132">
        <v>0</v>
      </c>
      <c r="V4833" s="132">
        <v>4741.55</v>
      </c>
      <c r="W4833">
        <v>25</v>
      </c>
      <c r="X4833" s="153" t="s">
        <v>105</v>
      </c>
      <c r="Y4833" s="124" t="s">
        <v>55</v>
      </c>
      <c r="Z4833" s="308">
        <v>262</v>
      </c>
      <c r="AB4833" t="str">
        <f>IF(Table1[[#This Row],[TIPO2]]="costo", VLOOKUP(Table1[[#This Row],[PARTIDA PRESUPUESTAL]],'Cost Report'!G:G,1,0),"Balance")</f>
        <v>3683-109</v>
      </c>
      <c r="AC4833" s="118"/>
      <c r="AD4833" s="159">
        <f>+Table1[[#This Row],[SUBTOTAL]]+Table1[[#This Row],[IVA]]-Table1[[#This Row],[RET IVA]]-Table1[[#This Row],[RET ISR]]-Table1[[#This Row],[TOTAL]]</f>
        <v>0</v>
      </c>
      <c r="AE4833" s="152"/>
      <c r="AF4833" s="153"/>
      <c r="AG4833" s="126"/>
      <c r="AK4833" s="306" t="str">
        <f>IF(ISNUMBER(Table1[[#This Row],[FECHA DE RECIBIDO]]), Table1[[#This Row],[FECHA DE RECIBIDO]]-DATE(2023,8,30), "")</f>
        <v/>
      </c>
    </row>
    <row r="4834" spans="1:37" ht="16.05" customHeight="1">
      <c r="A4834" s="150"/>
      <c r="B4834" s="153">
        <v>1585</v>
      </c>
      <c r="C4834" s="126" t="s">
        <v>2882</v>
      </c>
      <c r="D4834">
        <v>3264</v>
      </c>
      <c r="E4834" s="126" t="s">
        <v>2001</v>
      </c>
      <c r="F4834" s="122" t="s">
        <v>1607</v>
      </c>
      <c r="G4834" s="122" t="s">
        <v>134</v>
      </c>
      <c r="H4834">
        <v>23</v>
      </c>
      <c r="I4834" s="122" t="s">
        <v>1546</v>
      </c>
      <c r="J4834" s="307" t="s">
        <v>214</v>
      </c>
      <c r="K4834" s="127" t="s">
        <v>4625</v>
      </c>
      <c r="L4834" s="151" t="s">
        <v>3306</v>
      </c>
      <c r="M4834">
        <v>32</v>
      </c>
      <c r="N4834" s="123">
        <v>51</v>
      </c>
      <c r="O4834">
        <v>3115</v>
      </c>
      <c r="P4834" s="132" t="s">
        <v>77</v>
      </c>
      <c r="Q4834" s="131">
        <v>2043.77</v>
      </c>
      <c r="R4834" s="131">
        <v>327</v>
      </c>
      <c r="S4834" s="131"/>
      <c r="T4834" s="155">
        <v>0</v>
      </c>
      <c r="U4834" s="131">
        <v>0</v>
      </c>
      <c r="V4834" s="131">
        <v>2370.77</v>
      </c>
      <c r="W4834">
        <v>25</v>
      </c>
      <c r="X4834" s="151" t="s">
        <v>105</v>
      </c>
      <c r="Y4834" s="135" t="s">
        <v>55</v>
      </c>
      <c r="Z4834" s="307">
        <v>262</v>
      </c>
      <c r="AB4834" t="str">
        <f>IF(Table1[[#This Row],[TIPO2]]="costo", VLOOKUP(Table1[[#This Row],[PARTIDA PRESUPUESTAL]],'Cost Report'!G:G,1,0),"Balance")</f>
        <v>3683-113</v>
      </c>
      <c r="AC4834" s="118"/>
      <c r="AD4834" s="159">
        <f>+Table1[[#This Row],[SUBTOTAL]]+Table1[[#This Row],[IVA]]-Table1[[#This Row],[RET IVA]]-Table1[[#This Row],[RET ISR]]-Table1[[#This Row],[TOTAL]]</f>
        <v>0</v>
      </c>
      <c r="AE4834" s="150"/>
      <c r="AF4834" s="151"/>
      <c r="AG4834" s="126"/>
      <c r="AK4834" s="306" t="str">
        <f>IF(ISNUMBER(Table1[[#This Row],[FECHA DE RECIBIDO]]), Table1[[#This Row],[FECHA DE RECIBIDO]]-DATE(2023,8,30), "")</f>
        <v/>
      </c>
    </row>
    <row r="4835" spans="1:37" ht="16.05" customHeight="1">
      <c r="A4835" s="152"/>
      <c r="B4835" s="153">
        <v>1585</v>
      </c>
      <c r="C4835" s="126" t="s">
        <v>2909</v>
      </c>
      <c r="D4835">
        <v>3264</v>
      </c>
      <c r="E4835" s="126" t="s">
        <v>2001</v>
      </c>
      <c r="F4835" s="125" t="s">
        <v>1607</v>
      </c>
      <c r="G4835" s="125" t="s">
        <v>134</v>
      </c>
      <c r="H4835">
        <v>23</v>
      </c>
      <c r="I4835" s="125" t="s">
        <v>1546</v>
      </c>
      <c r="J4835" s="308" t="s">
        <v>214</v>
      </c>
      <c r="K4835" s="127" t="s">
        <v>4625</v>
      </c>
      <c r="L4835" s="153" t="s">
        <v>3306</v>
      </c>
      <c r="M4835">
        <v>32</v>
      </c>
      <c r="N4835" s="123">
        <v>51</v>
      </c>
      <c r="O4835">
        <v>3115</v>
      </c>
      <c r="P4835" s="132" t="s">
        <v>77</v>
      </c>
      <c r="Q4835" s="132">
        <v>2043.77</v>
      </c>
      <c r="R4835" s="132">
        <v>327</v>
      </c>
      <c r="S4835" s="132"/>
      <c r="T4835" s="156">
        <v>0</v>
      </c>
      <c r="U4835" s="132">
        <v>0</v>
      </c>
      <c r="V4835" s="132">
        <v>2370.77</v>
      </c>
      <c r="W4835">
        <v>25</v>
      </c>
      <c r="X4835" s="153" t="s">
        <v>105</v>
      </c>
      <c r="Y4835" s="124" t="s">
        <v>55</v>
      </c>
      <c r="Z4835" s="308">
        <v>262</v>
      </c>
      <c r="AB4835" t="str">
        <f>IF(Table1[[#This Row],[TIPO2]]="costo", VLOOKUP(Table1[[#This Row],[PARTIDA PRESUPUESTAL]],'Cost Report'!G:G,1,0),"Balance")</f>
        <v>3683-158</v>
      </c>
      <c r="AC4835" s="118"/>
      <c r="AD4835" s="159">
        <f>+Table1[[#This Row],[SUBTOTAL]]+Table1[[#This Row],[IVA]]-Table1[[#This Row],[RET IVA]]-Table1[[#This Row],[RET ISR]]-Table1[[#This Row],[TOTAL]]</f>
        <v>0</v>
      </c>
      <c r="AE4835" s="152"/>
      <c r="AF4835" s="153"/>
      <c r="AG4835" s="126"/>
      <c r="AK4835" s="306" t="str">
        <f>IF(ISNUMBER(Table1[[#This Row],[FECHA DE RECIBIDO]]), Table1[[#This Row],[FECHA DE RECIBIDO]]-DATE(2023,8,30), "")</f>
        <v/>
      </c>
    </row>
    <row r="4836" spans="1:37" ht="16.05" customHeight="1">
      <c r="A4836" s="150"/>
      <c r="B4836" s="153">
        <v>1585</v>
      </c>
      <c r="C4836" s="126" t="s">
        <v>2916</v>
      </c>
      <c r="D4836">
        <v>3264</v>
      </c>
      <c r="E4836" s="126" t="s">
        <v>2001</v>
      </c>
      <c r="F4836" s="122" t="s">
        <v>1607</v>
      </c>
      <c r="G4836" s="122" t="s">
        <v>134</v>
      </c>
      <c r="H4836">
        <v>23</v>
      </c>
      <c r="I4836" s="122" t="s">
        <v>1546</v>
      </c>
      <c r="J4836" s="307" t="s">
        <v>214</v>
      </c>
      <c r="K4836" s="127" t="s">
        <v>4625</v>
      </c>
      <c r="L4836" s="151" t="s">
        <v>3306</v>
      </c>
      <c r="M4836">
        <v>32</v>
      </c>
      <c r="N4836" s="123">
        <v>51</v>
      </c>
      <c r="O4836">
        <v>3115</v>
      </c>
      <c r="P4836" s="132" t="s">
        <v>77</v>
      </c>
      <c r="Q4836" s="131">
        <v>664.75</v>
      </c>
      <c r="R4836" s="131">
        <v>106.36</v>
      </c>
      <c r="S4836" s="131"/>
      <c r="T4836" s="155">
        <v>0</v>
      </c>
      <c r="U4836" s="131">
        <v>0</v>
      </c>
      <c r="V4836" s="131">
        <v>771.11</v>
      </c>
      <c r="W4836">
        <v>25</v>
      </c>
      <c r="X4836" s="151" t="s">
        <v>105</v>
      </c>
      <c r="Y4836" s="135" t="s">
        <v>55</v>
      </c>
      <c r="Z4836" s="307">
        <v>262</v>
      </c>
      <c r="AB4836" t="str">
        <f>IF(Table1[[#This Row],[TIPO2]]="costo", VLOOKUP(Table1[[#This Row],[PARTIDA PRESUPUESTAL]],'Cost Report'!G:G,1,0),"Balance")</f>
        <v>3683-171</v>
      </c>
      <c r="AC4836" s="118"/>
      <c r="AD4836" s="159">
        <f>+Table1[[#This Row],[SUBTOTAL]]+Table1[[#This Row],[IVA]]-Table1[[#This Row],[RET IVA]]-Table1[[#This Row],[RET ISR]]-Table1[[#This Row],[TOTAL]]</f>
        <v>0</v>
      </c>
      <c r="AE4836" s="150"/>
      <c r="AF4836" s="151"/>
      <c r="AG4836" s="126"/>
      <c r="AK4836" s="306" t="str">
        <f>IF(ISNUMBER(Table1[[#This Row],[FECHA DE RECIBIDO]]), Table1[[#This Row],[FECHA DE RECIBIDO]]-DATE(2023,8,30), "")</f>
        <v/>
      </c>
    </row>
    <row r="4837" spans="1:37" ht="16.05" customHeight="1">
      <c r="A4837" s="152"/>
      <c r="B4837" s="153">
        <v>1585</v>
      </c>
      <c r="C4837" s="126" t="s">
        <v>2907</v>
      </c>
      <c r="D4837">
        <v>3264</v>
      </c>
      <c r="E4837" s="126" t="s">
        <v>2001</v>
      </c>
      <c r="F4837" s="125" t="s">
        <v>1607</v>
      </c>
      <c r="G4837" s="125" t="s">
        <v>134</v>
      </c>
      <c r="H4837">
        <v>23</v>
      </c>
      <c r="I4837" s="125" t="s">
        <v>1546</v>
      </c>
      <c r="J4837" s="308" t="s">
        <v>214</v>
      </c>
      <c r="K4837" s="127" t="s">
        <v>4625</v>
      </c>
      <c r="L4837" s="153" t="s">
        <v>3306</v>
      </c>
      <c r="M4837">
        <v>32</v>
      </c>
      <c r="N4837" s="123">
        <v>51</v>
      </c>
      <c r="O4837">
        <v>3115</v>
      </c>
      <c r="P4837" s="132" t="s">
        <v>77</v>
      </c>
      <c r="Q4837" s="132">
        <v>364.96</v>
      </c>
      <c r="R4837" s="132">
        <v>58.39</v>
      </c>
      <c r="S4837" s="132"/>
      <c r="T4837" s="156">
        <v>0</v>
      </c>
      <c r="U4837" s="132">
        <v>0</v>
      </c>
      <c r="V4837" s="132">
        <v>423.34999999999997</v>
      </c>
      <c r="W4837">
        <v>25</v>
      </c>
      <c r="X4837" s="153" t="s">
        <v>105</v>
      </c>
      <c r="Y4837" s="124" t="s">
        <v>55</v>
      </c>
      <c r="Z4837" s="308">
        <v>262</v>
      </c>
      <c r="AB4837" t="str">
        <f>IF(Table1[[#This Row],[TIPO2]]="costo", VLOOKUP(Table1[[#This Row],[PARTIDA PRESUPUESTAL]],'Cost Report'!G:G,1,0),"Balance")</f>
        <v>3683-154</v>
      </c>
      <c r="AC4837" s="118"/>
      <c r="AD4837" s="159">
        <f>+Table1[[#This Row],[SUBTOTAL]]+Table1[[#This Row],[IVA]]-Table1[[#This Row],[RET IVA]]-Table1[[#This Row],[RET ISR]]-Table1[[#This Row],[TOTAL]]</f>
        <v>0</v>
      </c>
      <c r="AE4837" s="152"/>
      <c r="AF4837" s="153"/>
      <c r="AG4837" s="126"/>
      <c r="AK4837" s="306" t="str">
        <f>IF(ISNUMBER(Table1[[#This Row],[FECHA DE RECIBIDO]]), Table1[[#This Row],[FECHA DE RECIBIDO]]-DATE(2023,8,30), "")</f>
        <v/>
      </c>
    </row>
    <row r="4838" spans="1:37" ht="16.05" customHeight="1">
      <c r="A4838" s="150"/>
      <c r="B4838" s="151">
        <v>1586</v>
      </c>
      <c r="C4838" s="126" t="s">
        <v>2864</v>
      </c>
      <c r="D4838">
        <v>3265</v>
      </c>
      <c r="E4838" s="126" t="s">
        <v>2001</v>
      </c>
      <c r="F4838" s="122" t="s">
        <v>1607</v>
      </c>
      <c r="G4838" s="122" t="s">
        <v>134</v>
      </c>
      <c r="H4838">
        <v>23</v>
      </c>
      <c r="I4838" s="122" t="s">
        <v>1546</v>
      </c>
      <c r="J4838" s="307" t="s">
        <v>214</v>
      </c>
      <c r="K4838" s="127" t="s">
        <v>4625</v>
      </c>
      <c r="L4838" s="151" t="s">
        <v>3306</v>
      </c>
      <c r="M4838">
        <v>32</v>
      </c>
      <c r="N4838" s="123">
        <v>51</v>
      </c>
      <c r="O4838">
        <v>3116</v>
      </c>
      <c r="P4838" s="132" t="s">
        <v>77</v>
      </c>
      <c r="Q4838" s="131">
        <v>1990.13</v>
      </c>
      <c r="R4838" s="131">
        <v>318.42</v>
      </c>
      <c r="S4838" s="131"/>
      <c r="T4838" s="155">
        <v>0</v>
      </c>
      <c r="U4838" s="131">
        <v>0</v>
      </c>
      <c r="V4838" s="131">
        <v>2308.5500000000002</v>
      </c>
      <c r="W4838">
        <v>25</v>
      </c>
      <c r="X4838" s="151" t="s">
        <v>105</v>
      </c>
      <c r="Y4838" s="135" t="s">
        <v>55</v>
      </c>
      <c r="Z4838" s="307">
        <v>262</v>
      </c>
      <c r="AB4838" t="str">
        <f>IF(Table1[[#This Row],[TIPO2]]="costo", VLOOKUP(Table1[[#This Row],[PARTIDA PRESUPUESTAL]],'Cost Report'!G:G,1,0),"Balance")</f>
        <v>3632-003</v>
      </c>
      <c r="AC4838" s="118"/>
      <c r="AD4838" s="159">
        <f>+Table1[[#This Row],[SUBTOTAL]]+Table1[[#This Row],[IVA]]-Table1[[#This Row],[RET IVA]]-Table1[[#This Row],[RET ISR]]-Table1[[#This Row],[TOTAL]]</f>
        <v>0</v>
      </c>
      <c r="AE4838" s="150"/>
      <c r="AF4838" s="151"/>
      <c r="AG4838" s="126"/>
      <c r="AK4838" s="306" t="str">
        <f>IF(ISNUMBER(Table1[[#This Row],[FECHA DE RECIBIDO]]), Table1[[#This Row],[FECHA DE RECIBIDO]]-DATE(2023,8,30), "")</f>
        <v/>
      </c>
    </row>
    <row r="4839" spans="1:37" ht="16.05" customHeight="1">
      <c r="A4839" s="152"/>
      <c r="B4839" s="151">
        <v>1586</v>
      </c>
      <c r="C4839" s="126" t="s">
        <v>2864</v>
      </c>
      <c r="D4839">
        <v>3265</v>
      </c>
      <c r="E4839" s="126" t="s">
        <v>2001</v>
      </c>
      <c r="F4839" s="125" t="s">
        <v>1607</v>
      </c>
      <c r="G4839" s="125" t="s">
        <v>134</v>
      </c>
      <c r="H4839">
        <v>23</v>
      </c>
      <c r="I4839" s="125" t="s">
        <v>1546</v>
      </c>
      <c r="J4839" s="308" t="s">
        <v>214</v>
      </c>
      <c r="K4839" s="127" t="s">
        <v>4625</v>
      </c>
      <c r="L4839" s="153" t="s">
        <v>3306</v>
      </c>
      <c r="M4839">
        <v>32</v>
      </c>
      <c r="N4839" s="123">
        <v>51</v>
      </c>
      <c r="O4839">
        <v>3116</v>
      </c>
      <c r="P4839" s="132" t="s">
        <v>77</v>
      </c>
      <c r="Q4839" s="132">
        <v>1003.03</v>
      </c>
      <c r="R4839" s="132">
        <v>160.47999999999999</v>
      </c>
      <c r="S4839" s="132"/>
      <c r="T4839" s="156">
        <v>0</v>
      </c>
      <c r="U4839" s="132">
        <v>0</v>
      </c>
      <c r="V4839" s="132">
        <v>1163.51</v>
      </c>
      <c r="W4839">
        <v>25</v>
      </c>
      <c r="X4839" s="153" t="s">
        <v>105</v>
      </c>
      <c r="Y4839" s="124" t="s">
        <v>55</v>
      </c>
      <c r="Z4839" s="308">
        <v>262</v>
      </c>
      <c r="AB4839" t="str">
        <f>IF(Table1[[#This Row],[TIPO2]]="costo", VLOOKUP(Table1[[#This Row],[PARTIDA PRESUPUESTAL]],'Cost Report'!G:G,1,0),"Balance")</f>
        <v>3632-003</v>
      </c>
      <c r="AC4839" s="118"/>
      <c r="AD4839" s="159">
        <f>+Table1[[#This Row],[SUBTOTAL]]+Table1[[#This Row],[IVA]]-Table1[[#This Row],[RET IVA]]-Table1[[#This Row],[RET ISR]]-Table1[[#This Row],[TOTAL]]</f>
        <v>0</v>
      </c>
      <c r="AE4839" s="152"/>
      <c r="AF4839" s="153"/>
      <c r="AG4839" s="126"/>
      <c r="AK4839" s="306" t="str">
        <f>IF(ISNUMBER(Table1[[#This Row],[FECHA DE RECIBIDO]]), Table1[[#This Row],[FECHA DE RECIBIDO]]-DATE(2023,8,30), "")</f>
        <v/>
      </c>
    </row>
    <row r="4840" spans="1:37" ht="16.05" customHeight="1">
      <c r="A4840" s="150"/>
      <c r="B4840" s="151">
        <v>1586</v>
      </c>
      <c r="C4840" s="126" t="s">
        <v>2864</v>
      </c>
      <c r="D4840">
        <v>3265</v>
      </c>
      <c r="E4840" s="126" t="s">
        <v>2001</v>
      </c>
      <c r="F4840" s="122" t="s">
        <v>1607</v>
      </c>
      <c r="G4840" s="122" t="s">
        <v>134</v>
      </c>
      <c r="H4840">
        <v>23</v>
      </c>
      <c r="I4840" s="122" t="s">
        <v>1546</v>
      </c>
      <c r="J4840" s="307" t="s">
        <v>214</v>
      </c>
      <c r="K4840" s="127" t="s">
        <v>4625</v>
      </c>
      <c r="L4840" s="151" t="s">
        <v>3306</v>
      </c>
      <c r="M4840">
        <v>32</v>
      </c>
      <c r="N4840" s="123">
        <v>51</v>
      </c>
      <c r="O4840">
        <v>3116</v>
      </c>
      <c r="P4840" s="132" t="s">
        <v>77</v>
      </c>
      <c r="Q4840" s="131">
        <v>286.58</v>
      </c>
      <c r="R4840" s="131">
        <v>45.85</v>
      </c>
      <c r="S4840" s="131"/>
      <c r="T4840" s="155">
        <v>0</v>
      </c>
      <c r="U4840" s="131">
        <v>0</v>
      </c>
      <c r="V4840" s="131">
        <v>332.43</v>
      </c>
      <c r="W4840">
        <v>25</v>
      </c>
      <c r="X4840" s="151" t="s">
        <v>105</v>
      </c>
      <c r="Y4840" s="135" t="s">
        <v>55</v>
      </c>
      <c r="Z4840" s="307">
        <v>262</v>
      </c>
      <c r="AB4840" t="str">
        <f>IF(Table1[[#This Row],[TIPO2]]="costo", VLOOKUP(Table1[[#This Row],[PARTIDA PRESUPUESTAL]],'Cost Report'!G:G,1,0),"Balance")</f>
        <v>3632-003</v>
      </c>
      <c r="AC4840" s="118"/>
      <c r="AD4840" s="159">
        <f>+Table1[[#This Row],[SUBTOTAL]]+Table1[[#This Row],[IVA]]-Table1[[#This Row],[RET IVA]]-Table1[[#This Row],[RET ISR]]-Table1[[#This Row],[TOTAL]]</f>
        <v>0</v>
      </c>
      <c r="AE4840" s="150"/>
      <c r="AF4840" s="151"/>
      <c r="AG4840" s="126"/>
      <c r="AK4840" s="306" t="str">
        <f>IF(ISNUMBER(Table1[[#This Row],[FECHA DE RECIBIDO]]), Table1[[#This Row],[FECHA DE RECIBIDO]]-DATE(2023,8,30), "")</f>
        <v/>
      </c>
    </row>
    <row r="4841" spans="1:37" ht="16.05" customHeight="1">
      <c r="A4841" s="152"/>
      <c r="B4841" s="151">
        <v>1586</v>
      </c>
      <c r="C4841" s="126" t="s">
        <v>2864</v>
      </c>
      <c r="D4841">
        <v>3265</v>
      </c>
      <c r="E4841" s="126" t="s">
        <v>2001</v>
      </c>
      <c r="F4841" s="125" t="s">
        <v>1607</v>
      </c>
      <c r="G4841" s="125" t="s">
        <v>134</v>
      </c>
      <c r="H4841">
        <v>23</v>
      </c>
      <c r="I4841" s="125" t="s">
        <v>1546</v>
      </c>
      <c r="J4841" s="308" t="s">
        <v>214</v>
      </c>
      <c r="K4841" s="127" t="s">
        <v>4625</v>
      </c>
      <c r="L4841" s="153" t="s">
        <v>3306</v>
      </c>
      <c r="M4841">
        <v>32</v>
      </c>
      <c r="N4841" s="123">
        <v>51</v>
      </c>
      <c r="O4841">
        <v>3116</v>
      </c>
      <c r="P4841" s="132" t="s">
        <v>77</v>
      </c>
      <c r="Q4841" s="132">
        <v>286.58</v>
      </c>
      <c r="R4841" s="132">
        <v>45.86</v>
      </c>
      <c r="S4841" s="132"/>
      <c r="T4841" s="156">
        <v>0</v>
      </c>
      <c r="U4841" s="132">
        <v>0</v>
      </c>
      <c r="V4841" s="132">
        <v>332.44</v>
      </c>
      <c r="W4841">
        <v>25</v>
      </c>
      <c r="X4841" s="153" t="s">
        <v>105</v>
      </c>
      <c r="Y4841" s="124" t="s">
        <v>55</v>
      </c>
      <c r="Z4841" s="308">
        <v>262</v>
      </c>
      <c r="AB4841" t="str">
        <f>IF(Table1[[#This Row],[TIPO2]]="costo", VLOOKUP(Table1[[#This Row],[PARTIDA PRESUPUESTAL]],'Cost Report'!G:G,1,0),"Balance")</f>
        <v>3632-003</v>
      </c>
      <c r="AC4841" s="118"/>
      <c r="AD4841" s="159">
        <f>+Table1[[#This Row],[SUBTOTAL]]+Table1[[#This Row],[IVA]]-Table1[[#This Row],[RET IVA]]-Table1[[#This Row],[RET ISR]]-Table1[[#This Row],[TOTAL]]</f>
        <v>0</v>
      </c>
      <c r="AE4841" s="152"/>
      <c r="AF4841" s="153"/>
      <c r="AG4841" s="126"/>
      <c r="AK4841" s="306" t="str">
        <f>IF(ISNUMBER(Table1[[#This Row],[FECHA DE RECIBIDO]]), Table1[[#This Row],[FECHA DE RECIBIDO]]-DATE(2023,8,30), "")</f>
        <v/>
      </c>
    </row>
    <row r="4842" spans="1:37" ht="16.05" customHeight="1">
      <c r="A4842" s="150"/>
      <c r="B4842" s="151">
        <v>1586</v>
      </c>
      <c r="C4842" s="126" t="s">
        <v>2864</v>
      </c>
      <c r="D4842">
        <v>3265</v>
      </c>
      <c r="E4842" s="126" t="s">
        <v>2001</v>
      </c>
      <c r="F4842" s="122" t="s">
        <v>1607</v>
      </c>
      <c r="G4842" s="122" t="s">
        <v>134</v>
      </c>
      <c r="H4842">
        <v>23</v>
      </c>
      <c r="I4842" s="122" t="s">
        <v>1546</v>
      </c>
      <c r="J4842" s="307" t="s">
        <v>214</v>
      </c>
      <c r="K4842" s="127" t="s">
        <v>4625</v>
      </c>
      <c r="L4842" s="151" t="s">
        <v>3306</v>
      </c>
      <c r="M4842">
        <v>32</v>
      </c>
      <c r="N4842" s="123">
        <v>51</v>
      </c>
      <c r="O4842">
        <v>3116</v>
      </c>
      <c r="P4842" s="132" t="s">
        <v>77</v>
      </c>
      <c r="Q4842" s="131">
        <v>780.13</v>
      </c>
      <c r="R4842" s="131">
        <v>124.82</v>
      </c>
      <c r="S4842" s="131"/>
      <c r="T4842" s="155">
        <v>0</v>
      </c>
      <c r="U4842" s="131">
        <v>0</v>
      </c>
      <c r="V4842" s="131">
        <v>904.95</v>
      </c>
      <c r="W4842">
        <v>25</v>
      </c>
      <c r="X4842" s="151" t="s">
        <v>105</v>
      </c>
      <c r="Y4842" s="135" t="s">
        <v>55</v>
      </c>
      <c r="Z4842" s="307">
        <v>262</v>
      </c>
      <c r="AB4842" t="str">
        <f>IF(Table1[[#This Row],[TIPO2]]="costo", VLOOKUP(Table1[[#This Row],[PARTIDA PRESUPUESTAL]],'Cost Report'!G:G,1,0),"Balance")</f>
        <v>3632-003</v>
      </c>
      <c r="AC4842" s="118"/>
      <c r="AD4842" s="159">
        <f>+Table1[[#This Row],[SUBTOTAL]]+Table1[[#This Row],[IVA]]-Table1[[#This Row],[RET IVA]]-Table1[[#This Row],[RET ISR]]-Table1[[#This Row],[TOTAL]]</f>
        <v>0</v>
      </c>
      <c r="AE4842" s="150"/>
      <c r="AF4842" s="151"/>
      <c r="AG4842" s="126"/>
      <c r="AK4842" s="306" t="str">
        <f>IF(ISNUMBER(Table1[[#This Row],[FECHA DE RECIBIDO]]), Table1[[#This Row],[FECHA DE RECIBIDO]]-DATE(2023,8,30), "")</f>
        <v/>
      </c>
    </row>
    <row r="4843" spans="1:37" ht="16.05" customHeight="1">
      <c r="A4843" s="152"/>
      <c r="B4843" s="151">
        <v>1586</v>
      </c>
      <c r="C4843" s="126" t="s">
        <v>2864</v>
      </c>
      <c r="D4843">
        <v>3265</v>
      </c>
      <c r="E4843" s="126" t="s">
        <v>2001</v>
      </c>
      <c r="F4843" s="125" t="s">
        <v>1607</v>
      </c>
      <c r="G4843" s="125" t="s">
        <v>134</v>
      </c>
      <c r="H4843">
        <v>23</v>
      </c>
      <c r="I4843" s="125" t="s">
        <v>1546</v>
      </c>
      <c r="J4843" s="308" t="s">
        <v>214</v>
      </c>
      <c r="K4843" s="127" t="s">
        <v>4625</v>
      </c>
      <c r="L4843" s="153" t="s">
        <v>3306</v>
      </c>
      <c r="M4843">
        <v>32</v>
      </c>
      <c r="N4843" s="123">
        <v>51</v>
      </c>
      <c r="O4843">
        <v>3116</v>
      </c>
      <c r="P4843" s="132" t="s">
        <v>77</v>
      </c>
      <c r="Q4843" s="132">
        <v>573.16</v>
      </c>
      <c r="R4843" s="132">
        <v>91.71</v>
      </c>
      <c r="S4843" s="132"/>
      <c r="T4843" s="156">
        <v>0</v>
      </c>
      <c r="U4843" s="132">
        <v>0</v>
      </c>
      <c r="V4843" s="132">
        <v>664.87</v>
      </c>
      <c r="W4843">
        <v>25</v>
      </c>
      <c r="X4843" s="153" t="s">
        <v>105</v>
      </c>
      <c r="Y4843" s="124" t="s">
        <v>55</v>
      </c>
      <c r="Z4843" s="308">
        <v>262</v>
      </c>
      <c r="AB4843" t="str">
        <f>IF(Table1[[#This Row],[TIPO2]]="costo", VLOOKUP(Table1[[#This Row],[PARTIDA PRESUPUESTAL]],'Cost Report'!G:G,1,0),"Balance")</f>
        <v>3632-003</v>
      </c>
      <c r="AC4843" s="118"/>
      <c r="AD4843" s="159">
        <f>+Table1[[#This Row],[SUBTOTAL]]+Table1[[#This Row],[IVA]]-Table1[[#This Row],[RET IVA]]-Table1[[#This Row],[RET ISR]]-Table1[[#This Row],[TOTAL]]</f>
        <v>0</v>
      </c>
      <c r="AE4843" s="152"/>
      <c r="AF4843" s="153"/>
      <c r="AG4843" s="126"/>
      <c r="AK4843" s="306" t="str">
        <f>IF(ISNUMBER(Table1[[#This Row],[FECHA DE RECIBIDO]]), Table1[[#This Row],[FECHA DE RECIBIDO]]-DATE(2023,8,30), "")</f>
        <v/>
      </c>
    </row>
    <row r="4844" spans="1:37" ht="16.05" customHeight="1">
      <c r="A4844" s="150"/>
      <c r="B4844" s="151">
        <v>1586</v>
      </c>
      <c r="C4844" s="126" t="s">
        <v>2864</v>
      </c>
      <c r="D4844">
        <v>3265</v>
      </c>
      <c r="E4844" s="126" t="s">
        <v>2001</v>
      </c>
      <c r="F4844" s="122" t="s">
        <v>1607</v>
      </c>
      <c r="G4844" s="122" t="s">
        <v>134</v>
      </c>
      <c r="H4844">
        <v>23</v>
      </c>
      <c r="I4844" s="122" t="s">
        <v>1546</v>
      </c>
      <c r="J4844" s="307" t="s">
        <v>214</v>
      </c>
      <c r="K4844" s="127" t="s">
        <v>4625</v>
      </c>
      <c r="L4844" s="151" t="s">
        <v>3306</v>
      </c>
      <c r="M4844">
        <v>32</v>
      </c>
      <c r="N4844" s="123">
        <v>51</v>
      </c>
      <c r="O4844">
        <v>3116</v>
      </c>
      <c r="P4844" s="132" t="s">
        <v>77</v>
      </c>
      <c r="Q4844" s="131">
        <v>4.47</v>
      </c>
      <c r="R4844" s="131">
        <v>0.71</v>
      </c>
      <c r="S4844" s="131"/>
      <c r="T4844" s="155">
        <v>0</v>
      </c>
      <c r="U4844" s="131">
        <v>0</v>
      </c>
      <c r="V4844" s="131">
        <v>5.18</v>
      </c>
      <c r="W4844">
        <v>25</v>
      </c>
      <c r="X4844" s="151" t="s">
        <v>105</v>
      </c>
      <c r="Y4844" s="135" t="s">
        <v>55</v>
      </c>
      <c r="Z4844" s="307">
        <v>262</v>
      </c>
      <c r="AB4844" t="str">
        <f>IF(Table1[[#This Row],[TIPO2]]="costo", VLOOKUP(Table1[[#This Row],[PARTIDA PRESUPUESTAL]],'Cost Report'!G:G,1,0),"Balance")</f>
        <v>3632-003</v>
      </c>
      <c r="AC4844" s="118"/>
      <c r="AD4844" s="159">
        <f>+Table1[[#This Row],[SUBTOTAL]]+Table1[[#This Row],[IVA]]-Table1[[#This Row],[RET IVA]]-Table1[[#This Row],[RET ISR]]-Table1[[#This Row],[TOTAL]]</f>
        <v>0</v>
      </c>
      <c r="AE4844" s="150"/>
      <c r="AF4844" s="151"/>
      <c r="AG4844" s="126"/>
      <c r="AK4844" s="306" t="str">
        <f>IF(ISNUMBER(Table1[[#This Row],[FECHA DE RECIBIDO]]), Table1[[#This Row],[FECHA DE RECIBIDO]]-DATE(2023,8,30), "")</f>
        <v/>
      </c>
    </row>
    <row r="4845" spans="1:37" ht="16.05" customHeight="1">
      <c r="A4845" s="152"/>
      <c r="B4845" s="151">
        <v>1586</v>
      </c>
      <c r="C4845" s="126" t="s">
        <v>2864</v>
      </c>
      <c r="D4845">
        <v>3265</v>
      </c>
      <c r="E4845" s="126" t="s">
        <v>2001</v>
      </c>
      <c r="F4845" s="125" t="s">
        <v>1607</v>
      </c>
      <c r="G4845" s="125" t="s">
        <v>134</v>
      </c>
      <c r="H4845">
        <v>23</v>
      </c>
      <c r="I4845" s="125" t="s">
        <v>1546</v>
      </c>
      <c r="J4845" s="308" t="s">
        <v>214</v>
      </c>
      <c r="K4845" s="127" t="s">
        <v>4625</v>
      </c>
      <c r="L4845" s="153" t="s">
        <v>3306</v>
      </c>
      <c r="M4845">
        <v>32</v>
      </c>
      <c r="N4845" s="123">
        <v>51</v>
      </c>
      <c r="O4845">
        <v>3116</v>
      </c>
      <c r="P4845" s="132" t="s">
        <v>77</v>
      </c>
      <c r="Q4845" s="132">
        <v>15.92</v>
      </c>
      <c r="R4845" s="132">
        <v>2.5499999999999998</v>
      </c>
      <c r="S4845" s="132"/>
      <c r="T4845" s="156">
        <v>0</v>
      </c>
      <c r="U4845" s="132">
        <v>0</v>
      </c>
      <c r="V4845" s="132">
        <v>18.47</v>
      </c>
      <c r="W4845">
        <v>25</v>
      </c>
      <c r="X4845" s="153" t="s">
        <v>105</v>
      </c>
      <c r="Y4845" s="124" t="s">
        <v>55</v>
      </c>
      <c r="Z4845" s="308">
        <v>262</v>
      </c>
      <c r="AB4845" t="str">
        <f>IF(Table1[[#This Row],[TIPO2]]="costo", VLOOKUP(Table1[[#This Row],[PARTIDA PRESUPUESTAL]],'Cost Report'!G:G,1,0),"Balance")</f>
        <v>3632-003</v>
      </c>
      <c r="AC4845" s="118"/>
      <c r="AD4845" s="159">
        <f>+Table1[[#This Row],[SUBTOTAL]]+Table1[[#This Row],[IVA]]-Table1[[#This Row],[RET IVA]]-Table1[[#This Row],[RET ISR]]-Table1[[#This Row],[TOTAL]]</f>
        <v>0</v>
      </c>
      <c r="AE4845" s="152"/>
      <c r="AF4845" s="153"/>
      <c r="AG4845" s="126"/>
      <c r="AK4845" s="306" t="str">
        <f>IF(ISNUMBER(Table1[[#This Row],[FECHA DE RECIBIDO]]), Table1[[#This Row],[FECHA DE RECIBIDO]]-DATE(2023,8,30), "")</f>
        <v/>
      </c>
    </row>
    <row r="4846" spans="1:37" ht="16.05" customHeight="1">
      <c r="A4846" s="150"/>
      <c r="B4846" s="151">
        <v>1587</v>
      </c>
      <c r="C4846" s="126" t="s">
        <v>2836</v>
      </c>
      <c r="D4846">
        <v>3266</v>
      </c>
      <c r="E4846" s="126" t="s">
        <v>2001</v>
      </c>
      <c r="F4846" s="122" t="s">
        <v>1607</v>
      </c>
      <c r="G4846" s="122" t="s">
        <v>134</v>
      </c>
      <c r="H4846">
        <v>23</v>
      </c>
      <c r="I4846" s="122" t="s">
        <v>1546</v>
      </c>
      <c r="J4846" s="307" t="s">
        <v>214</v>
      </c>
      <c r="K4846" s="127" t="s">
        <v>4625</v>
      </c>
      <c r="L4846" s="151" t="s">
        <v>3306</v>
      </c>
      <c r="M4846">
        <v>32</v>
      </c>
      <c r="N4846" s="123">
        <v>51</v>
      </c>
      <c r="O4846">
        <v>3117</v>
      </c>
      <c r="P4846" s="132" t="s">
        <v>77</v>
      </c>
      <c r="Q4846" s="131">
        <v>288.39</v>
      </c>
      <c r="R4846" s="131">
        <v>46.14</v>
      </c>
      <c r="S4846" s="131"/>
      <c r="T4846" s="155">
        <v>0</v>
      </c>
      <c r="U4846" s="131">
        <v>0</v>
      </c>
      <c r="V4846" s="131">
        <v>334.53</v>
      </c>
      <c r="W4846">
        <v>25</v>
      </c>
      <c r="X4846" s="151" t="s">
        <v>105</v>
      </c>
      <c r="Y4846" s="135" t="s">
        <v>55</v>
      </c>
      <c r="Z4846" s="307">
        <v>262</v>
      </c>
      <c r="AB4846" t="str">
        <f>IF(Table1[[#This Row],[TIPO2]]="costo", VLOOKUP(Table1[[#This Row],[PARTIDA PRESUPUESTAL]],'Cost Report'!G:G,1,0),"Balance")</f>
        <v>3442-025</v>
      </c>
      <c r="AC4846" s="118"/>
      <c r="AD4846" s="159">
        <f>+Table1[[#This Row],[SUBTOTAL]]+Table1[[#This Row],[IVA]]-Table1[[#This Row],[RET IVA]]-Table1[[#This Row],[RET ISR]]-Table1[[#This Row],[TOTAL]]</f>
        <v>0</v>
      </c>
      <c r="AE4846" s="150"/>
      <c r="AF4846" s="151"/>
      <c r="AG4846" s="126"/>
      <c r="AK4846" s="306" t="str">
        <f>IF(ISNUMBER(Table1[[#This Row],[FECHA DE RECIBIDO]]), Table1[[#This Row],[FECHA DE RECIBIDO]]-DATE(2023,8,30), "")</f>
        <v/>
      </c>
    </row>
    <row r="4847" spans="1:37" ht="16.05" customHeight="1">
      <c r="A4847" s="152"/>
      <c r="B4847" s="151">
        <v>1587</v>
      </c>
      <c r="C4847" s="126" t="s">
        <v>2838</v>
      </c>
      <c r="D4847">
        <v>3266</v>
      </c>
      <c r="E4847" s="126" t="s">
        <v>2001</v>
      </c>
      <c r="F4847" s="125" t="s">
        <v>1607</v>
      </c>
      <c r="G4847" s="125" t="s">
        <v>134</v>
      </c>
      <c r="H4847">
        <v>23</v>
      </c>
      <c r="I4847" s="125" t="s">
        <v>1546</v>
      </c>
      <c r="J4847" s="308" t="s">
        <v>214</v>
      </c>
      <c r="K4847" s="127" t="s">
        <v>4625</v>
      </c>
      <c r="L4847" s="153" t="s">
        <v>3306</v>
      </c>
      <c r="M4847">
        <v>32</v>
      </c>
      <c r="N4847" s="123">
        <v>51</v>
      </c>
      <c r="O4847">
        <v>3117</v>
      </c>
      <c r="P4847" s="132" t="s">
        <v>77</v>
      </c>
      <c r="Q4847" s="132">
        <v>9.69</v>
      </c>
      <c r="R4847" s="132">
        <v>1.55</v>
      </c>
      <c r="S4847" s="132"/>
      <c r="T4847" s="156">
        <v>0</v>
      </c>
      <c r="U4847" s="132">
        <v>0</v>
      </c>
      <c r="V4847" s="132">
        <v>11.24</v>
      </c>
      <c r="W4847">
        <v>25</v>
      </c>
      <c r="X4847" s="153" t="s">
        <v>105</v>
      </c>
      <c r="Y4847" s="124" t="s">
        <v>55</v>
      </c>
      <c r="Z4847" s="308">
        <v>262</v>
      </c>
      <c r="AB4847" t="str">
        <f>IF(Table1[[#This Row],[TIPO2]]="costo", VLOOKUP(Table1[[#This Row],[PARTIDA PRESUPUESTAL]],'Cost Report'!G:G,1,0),"Balance")</f>
        <v>3442-029</v>
      </c>
      <c r="AC4847" s="118"/>
      <c r="AD4847" s="159">
        <f>+Table1[[#This Row],[SUBTOTAL]]+Table1[[#This Row],[IVA]]-Table1[[#This Row],[RET IVA]]-Table1[[#This Row],[RET ISR]]-Table1[[#This Row],[TOTAL]]</f>
        <v>0</v>
      </c>
      <c r="AE4847" s="152"/>
      <c r="AF4847" s="153"/>
      <c r="AG4847" s="126"/>
      <c r="AK4847" s="306" t="str">
        <f>IF(ISNUMBER(Table1[[#This Row],[FECHA DE RECIBIDO]]), Table1[[#This Row],[FECHA DE RECIBIDO]]-DATE(2023,8,30), "")</f>
        <v/>
      </c>
    </row>
    <row r="4848" spans="1:37" ht="16.05" customHeight="1">
      <c r="A4848" s="150"/>
      <c r="B4848" s="151">
        <v>1587</v>
      </c>
      <c r="C4848" s="126" t="s">
        <v>2838</v>
      </c>
      <c r="D4848">
        <v>3266</v>
      </c>
      <c r="E4848" s="126" t="s">
        <v>2001</v>
      </c>
      <c r="F4848" s="122" t="s">
        <v>1607</v>
      </c>
      <c r="G4848" s="122" t="s">
        <v>134</v>
      </c>
      <c r="H4848">
        <v>23</v>
      </c>
      <c r="I4848" s="122" t="s">
        <v>1546</v>
      </c>
      <c r="J4848" s="307" t="s">
        <v>214</v>
      </c>
      <c r="K4848" s="127" t="s">
        <v>4625</v>
      </c>
      <c r="L4848" s="151" t="s">
        <v>3306</v>
      </c>
      <c r="M4848">
        <v>32</v>
      </c>
      <c r="N4848" s="123">
        <v>51</v>
      </c>
      <c r="O4848">
        <v>3117</v>
      </c>
      <c r="P4848" s="132" t="s">
        <v>77</v>
      </c>
      <c r="Q4848" s="131">
        <v>9.69</v>
      </c>
      <c r="R4848" s="131">
        <v>1.55</v>
      </c>
      <c r="S4848" s="131"/>
      <c r="T4848" s="155">
        <v>0</v>
      </c>
      <c r="U4848" s="131">
        <v>0</v>
      </c>
      <c r="V4848" s="131">
        <v>11.24</v>
      </c>
      <c r="W4848">
        <v>25</v>
      </c>
      <c r="X4848" s="151" t="s">
        <v>105</v>
      </c>
      <c r="Y4848" s="135" t="s">
        <v>55</v>
      </c>
      <c r="Z4848" s="307">
        <v>262</v>
      </c>
      <c r="AB4848" t="str">
        <f>IF(Table1[[#This Row],[TIPO2]]="costo", VLOOKUP(Table1[[#This Row],[PARTIDA PRESUPUESTAL]],'Cost Report'!G:G,1,0),"Balance")</f>
        <v>3442-029</v>
      </c>
      <c r="AC4848" s="118"/>
      <c r="AD4848" s="159">
        <f>+Table1[[#This Row],[SUBTOTAL]]+Table1[[#This Row],[IVA]]-Table1[[#This Row],[RET IVA]]-Table1[[#This Row],[RET ISR]]-Table1[[#This Row],[TOTAL]]</f>
        <v>0</v>
      </c>
      <c r="AE4848" s="150"/>
      <c r="AF4848" s="151"/>
      <c r="AG4848" s="126"/>
      <c r="AK4848" s="306" t="str">
        <f>IF(ISNUMBER(Table1[[#This Row],[FECHA DE RECIBIDO]]), Table1[[#This Row],[FECHA DE RECIBIDO]]-DATE(2023,8,30), "")</f>
        <v/>
      </c>
    </row>
    <row r="4849" spans="1:37" ht="16.05" customHeight="1">
      <c r="A4849" s="152"/>
      <c r="B4849" s="151">
        <v>1587</v>
      </c>
      <c r="C4849" s="126" t="s">
        <v>2838</v>
      </c>
      <c r="D4849">
        <v>3266</v>
      </c>
      <c r="E4849" s="126" t="s">
        <v>2001</v>
      </c>
      <c r="F4849" s="125" t="s">
        <v>1607</v>
      </c>
      <c r="G4849" s="125" t="s">
        <v>134</v>
      </c>
      <c r="H4849">
        <v>23</v>
      </c>
      <c r="I4849" s="125" t="s">
        <v>1546</v>
      </c>
      <c r="J4849" s="308" t="s">
        <v>214</v>
      </c>
      <c r="K4849" s="127" t="s">
        <v>4625</v>
      </c>
      <c r="L4849" s="153" t="s">
        <v>3306</v>
      </c>
      <c r="M4849">
        <v>32</v>
      </c>
      <c r="N4849" s="123">
        <v>51</v>
      </c>
      <c r="O4849">
        <v>3117</v>
      </c>
      <c r="P4849" s="132" t="s">
        <v>77</v>
      </c>
      <c r="Q4849" s="132">
        <v>19.38</v>
      </c>
      <c r="R4849" s="132">
        <v>3.1</v>
      </c>
      <c r="S4849" s="132"/>
      <c r="T4849" s="156">
        <v>0</v>
      </c>
      <c r="U4849" s="132">
        <v>0</v>
      </c>
      <c r="V4849" s="132">
        <v>22.48</v>
      </c>
      <c r="W4849">
        <v>25</v>
      </c>
      <c r="X4849" s="153" t="s">
        <v>105</v>
      </c>
      <c r="Y4849" s="124" t="s">
        <v>55</v>
      </c>
      <c r="Z4849" s="308">
        <v>262</v>
      </c>
      <c r="AB4849" t="str">
        <f>IF(Table1[[#This Row],[TIPO2]]="costo", VLOOKUP(Table1[[#This Row],[PARTIDA PRESUPUESTAL]],'Cost Report'!G:G,1,0),"Balance")</f>
        <v>3442-029</v>
      </c>
      <c r="AC4849" s="118"/>
      <c r="AD4849" s="159">
        <f>+Table1[[#This Row],[SUBTOTAL]]+Table1[[#This Row],[IVA]]-Table1[[#This Row],[RET IVA]]-Table1[[#This Row],[RET ISR]]-Table1[[#This Row],[TOTAL]]</f>
        <v>0</v>
      </c>
      <c r="AE4849" s="152"/>
      <c r="AF4849" s="153"/>
      <c r="AG4849" s="126"/>
      <c r="AK4849" s="306" t="str">
        <f>IF(ISNUMBER(Table1[[#This Row],[FECHA DE RECIBIDO]]), Table1[[#This Row],[FECHA DE RECIBIDO]]-DATE(2023,8,30), "")</f>
        <v/>
      </c>
    </row>
    <row r="4850" spans="1:37" ht="16.05" customHeight="1">
      <c r="A4850" s="150"/>
      <c r="B4850" s="151">
        <v>1587</v>
      </c>
      <c r="C4850" s="126" t="s">
        <v>2836</v>
      </c>
      <c r="D4850">
        <v>3266</v>
      </c>
      <c r="E4850" s="126" t="s">
        <v>2001</v>
      </c>
      <c r="F4850" s="122" t="s">
        <v>1607</v>
      </c>
      <c r="G4850" s="122" t="s">
        <v>134</v>
      </c>
      <c r="H4850">
        <v>23</v>
      </c>
      <c r="I4850" s="122" t="s">
        <v>1546</v>
      </c>
      <c r="J4850" s="307" t="s">
        <v>214</v>
      </c>
      <c r="K4850" s="127" t="s">
        <v>4625</v>
      </c>
      <c r="L4850" s="151" t="s">
        <v>3306</v>
      </c>
      <c r="M4850">
        <v>32</v>
      </c>
      <c r="N4850" s="123">
        <v>51</v>
      </c>
      <c r="O4850">
        <v>3117</v>
      </c>
      <c r="P4850" s="132" t="s">
        <v>77</v>
      </c>
      <c r="Q4850" s="131">
        <v>473.42</v>
      </c>
      <c r="R4850" s="131">
        <v>75.75</v>
      </c>
      <c r="S4850" s="131"/>
      <c r="T4850" s="155">
        <v>0</v>
      </c>
      <c r="U4850" s="131">
        <v>0</v>
      </c>
      <c r="V4850" s="131">
        <v>549.17000000000007</v>
      </c>
      <c r="W4850">
        <v>25</v>
      </c>
      <c r="X4850" s="151" t="s">
        <v>105</v>
      </c>
      <c r="Y4850" s="135" t="s">
        <v>55</v>
      </c>
      <c r="Z4850" s="307">
        <v>262</v>
      </c>
      <c r="AB4850" t="str">
        <f>IF(Table1[[#This Row],[TIPO2]]="costo", VLOOKUP(Table1[[#This Row],[PARTIDA PRESUPUESTAL]],'Cost Report'!G:G,1,0),"Balance")</f>
        <v>3442-025</v>
      </c>
      <c r="AC4850" s="118"/>
      <c r="AD4850" s="159">
        <f>+Table1[[#This Row],[SUBTOTAL]]+Table1[[#This Row],[IVA]]-Table1[[#This Row],[RET IVA]]-Table1[[#This Row],[RET ISR]]-Table1[[#This Row],[TOTAL]]</f>
        <v>0</v>
      </c>
      <c r="AE4850" s="150"/>
      <c r="AF4850" s="151"/>
      <c r="AG4850" s="126"/>
      <c r="AK4850" s="306" t="str">
        <f>IF(ISNUMBER(Table1[[#This Row],[FECHA DE RECIBIDO]]), Table1[[#This Row],[FECHA DE RECIBIDO]]-DATE(2023,8,30), "")</f>
        <v/>
      </c>
    </row>
    <row r="4851" spans="1:37" ht="16.05" customHeight="1">
      <c r="A4851" s="152"/>
      <c r="B4851" s="151">
        <v>1587</v>
      </c>
      <c r="C4851" s="126" t="s">
        <v>2838</v>
      </c>
      <c r="D4851">
        <v>3266</v>
      </c>
      <c r="E4851" s="126" t="s">
        <v>2001</v>
      </c>
      <c r="F4851" s="125" t="s">
        <v>1607</v>
      </c>
      <c r="G4851" s="125" t="s">
        <v>134</v>
      </c>
      <c r="H4851">
        <v>23</v>
      </c>
      <c r="I4851" s="125" t="s">
        <v>1546</v>
      </c>
      <c r="J4851" s="308" t="s">
        <v>214</v>
      </c>
      <c r="K4851" s="127" t="s">
        <v>4625</v>
      </c>
      <c r="L4851" s="153" t="s">
        <v>3306</v>
      </c>
      <c r="M4851">
        <v>32</v>
      </c>
      <c r="N4851" s="123">
        <v>51</v>
      </c>
      <c r="O4851">
        <v>3117</v>
      </c>
      <c r="P4851" s="132" t="s">
        <v>77</v>
      </c>
      <c r="Q4851" s="132">
        <v>64.069999999999993</v>
      </c>
      <c r="R4851" s="132">
        <v>10.25</v>
      </c>
      <c r="S4851" s="132"/>
      <c r="T4851" s="156">
        <v>0</v>
      </c>
      <c r="U4851" s="132">
        <v>0</v>
      </c>
      <c r="V4851" s="132">
        <v>74.319999999999993</v>
      </c>
      <c r="W4851">
        <v>25</v>
      </c>
      <c r="X4851" s="153" t="s">
        <v>105</v>
      </c>
      <c r="Y4851" s="124" t="s">
        <v>55</v>
      </c>
      <c r="Z4851" s="308">
        <v>262</v>
      </c>
      <c r="AB4851" t="str">
        <f>IF(Table1[[#This Row],[TIPO2]]="costo", VLOOKUP(Table1[[#This Row],[PARTIDA PRESUPUESTAL]],'Cost Report'!G:G,1,0),"Balance")</f>
        <v>3442-029</v>
      </c>
      <c r="AC4851" s="118"/>
      <c r="AD4851" s="159">
        <f>+Table1[[#This Row],[SUBTOTAL]]+Table1[[#This Row],[IVA]]-Table1[[#This Row],[RET IVA]]-Table1[[#This Row],[RET ISR]]-Table1[[#This Row],[TOTAL]]</f>
        <v>0</v>
      </c>
      <c r="AE4851" s="152"/>
      <c r="AF4851" s="153"/>
      <c r="AG4851" s="126"/>
      <c r="AK4851" s="306" t="str">
        <f>IF(ISNUMBER(Table1[[#This Row],[FECHA DE RECIBIDO]]), Table1[[#This Row],[FECHA DE RECIBIDO]]-DATE(2023,8,30), "")</f>
        <v/>
      </c>
    </row>
    <row r="4852" spans="1:37" ht="16.05" customHeight="1">
      <c r="A4852" s="150"/>
      <c r="B4852" s="151">
        <v>1587</v>
      </c>
      <c r="C4852" s="126" t="s">
        <v>2836</v>
      </c>
      <c r="D4852">
        <v>3266</v>
      </c>
      <c r="E4852" s="126" t="s">
        <v>2001</v>
      </c>
      <c r="F4852" s="122" t="s">
        <v>1607</v>
      </c>
      <c r="G4852" s="122" t="s">
        <v>134</v>
      </c>
      <c r="H4852">
        <v>23</v>
      </c>
      <c r="I4852" s="122" t="s">
        <v>1546</v>
      </c>
      <c r="J4852" s="307" t="s">
        <v>214</v>
      </c>
      <c r="K4852" s="127" t="s">
        <v>4625</v>
      </c>
      <c r="L4852" s="151" t="s">
        <v>3306</v>
      </c>
      <c r="M4852">
        <v>32</v>
      </c>
      <c r="N4852" s="123">
        <v>51</v>
      </c>
      <c r="O4852">
        <v>3117</v>
      </c>
      <c r="P4852" s="132" t="s">
        <v>77</v>
      </c>
      <c r="Q4852" s="131">
        <v>186.88</v>
      </c>
      <c r="R4852" s="131">
        <v>29.9</v>
      </c>
      <c r="S4852" s="131"/>
      <c r="T4852" s="155">
        <v>0</v>
      </c>
      <c r="U4852" s="131">
        <v>0</v>
      </c>
      <c r="V4852" s="131">
        <v>216.78</v>
      </c>
      <c r="W4852">
        <v>25</v>
      </c>
      <c r="X4852" s="151" t="s">
        <v>105</v>
      </c>
      <c r="Y4852" s="135" t="s">
        <v>55</v>
      </c>
      <c r="Z4852" s="307">
        <v>262</v>
      </c>
      <c r="AB4852" t="str">
        <f>IF(Table1[[#This Row],[TIPO2]]="costo", VLOOKUP(Table1[[#This Row],[PARTIDA PRESUPUESTAL]],'Cost Report'!G:G,1,0),"Balance")</f>
        <v>3442-025</v>
      </c>
      <c r="AC4852" s="118"/>
      <c r="AD4852" s="159">
        <f>+Table1[[#This Row],[SUBTOTAL]]+Table1[[#This Row],[IVA]]-Table1[[#This Row],[RET IVA]]-Table1[[#This Row],[RET ISR]]-Table1[[#This Row],[TOTAL]]</f>
        <v>0</v>
      </c>
      <c r="AE4852" s="150"/>
      <c r="AF4852" s="151"/>
      <c r="AG4852" s="126"/>
      <c r="AK4852" s="306" t="str">
        <f>IF(ISNUMBER(Table1[[#This Row],[FECHA DE RECIBIDO]]), Table1[[#This Row],[FECHA DE RECIBIDO]]-DATE(2023,8,30), "")</f>
        <v/>
      </c>
    </row>
    <row r="4853" spans="1:37" ht="16.05" customHeight="1">
      <c r="A4853" s="152"/>
      <c r="B4853" s="151">
        <v>1587</v>
      </c>
      <c r="C4853" s="126" t="s">
        <v>2838</v>
      </c>
      <c r="D4853">
        <v>3266</v>
      </c>
      <c r="E4853" s="126" t="s">
        <v>2001</v>
      </c>
      <c r="F4853" s="125" t="s">
        <v>1607</v>
      </c>
      <c r="G4853" s="125" t="s">
        <v>134</v>
      </c>
      <c r="H4853">
        <v>23</v>
      </c>
      <c r="I4853" s="125" t="s">
        <v>1546</v>
      </c>
      <c r="J4853" s="308" t="s">
        <v>214</v>
      </c>
      <c r="K4853" s="127" t="s">
        <v>4625</v>
      </c>
      <c r="L4853" s="153" t="s">
        <v>3306</v>
      </c>
      <c r="M4853">
        <v>32</v>
      </c>
      <c r="N4853" s="123">
        <v>51</v>
      </c>
      <c r="O4853">
        <v>3117</v>
      </c>
      <c r="P4853" s="132" t="s">
        <v>77</v>
      </c>
      <c r="Q4853" s="132">
        <v>28.48</v>
      </c>
      <c r="R4853" s="132">
        <v>4.5599999999999996</v>
      </c>
      <c r="S4853" s="132"/>
      <c r="T4853" s="156">
        <v>0</v>
      </c>
      <c r="U4853" s="132">
        <v>0</v>
      </c>
      <c r="V4853" s="132">
        <v>33.04</v>
      </c>
      <c r="W4853">
        <v>25</v>
      </c>
      <c r="X4853" s="153" t="s">
        <v>105</v>
      </c>
      <c r="Y4853" s="124" t="s">
        <v>55</v>
      </c>
      <c r="Z4853" s="308">
        <v>262</v>
      </c>
      <c r="AB4853" t="str">
        <f>IF(Table1[[#This Row],[TIPO2]]="costo", VLOOKUP(Table1[[#This Row],[PARTIDA PRESUPUESTAL]],'Cost Report'!G:G,1,0),"Balance")</f>
        <v>3442-029</v>
      </c>
      <c r="AC4853" s="118"/>
      <c r="AD4853" s="159">
        <f>+Table1[[#This Row],[SUBTOTAL]]+Table1[[#This Row],[IVA]]-Table1[[#This Row],[RET IVA]]-Table1[[#This Row],[RET ISR]]-Table1[[#This Row],[TOTAL]]</f>
        <v>0</v>
      </c>
      <c r="AE4853" s="152"/>
      <c r="AF4853" s="153"/>
      <c r="AG4853" s="126"/>
      <c r="AK4853" s="306" t="str">
        <f>IF(ISNUMBER(Table1[[#This Row],[FECHA DE RECIBIDO]]), Table1[[#This Row],[FECHA DE RECIBIDO]]-DATE(2023,8,30), "")</f>
        <v/>
      </c>
    </row>
    <row r="4854" spans="1:37" ht="16.05" customHeight="1">
      <c r="A4854" s="150"/>
      <c r="B4854" s="151">
        <v>1588</v>
      </c>
      <c r="C4854" s="126" t="s">
        <v>1035</v>
      </c>
      <c r="D4854">
        <v>3267</v>
      </c>
      <c r="E4854" s="126" t="s">
        <v>2001</v>
      </c>
      <c r="F4854" s="122" t="s">
        <v>1607</v>
      </c>
      <c r="G4854" s="122" t="s">
        <v>134</v>
      </c>
      <c r="H4854">
        <v>23</v>
      </c>
      <c r="I4854" s="122" t="s">
        <v>1546</v>
      </c>
      <c r="J4854" s="307">
        <v>260.75501157407416</v>
      </c>
      <c r="K4854" s="127" t="s">
        <v>4625</v>
      </c>
      <c r="L4854" s="151" t="s">
        <v>3306</v>
      </c>
      <c r="M4854">
        <v>32</v>
      </c>
      <c r="N4854" s="123">
        <v>51</v>
      </c>
      <c r="O4854">
        <v>3118</v>
      </c>
      <c r="P4854" s="132" t="s">
        <v>77</v>
      </c>
      <c r="Q4854" s="131">
        <v>3215.26</v>
      </c>
      <c r="R4854" s="131">
        <v>514.44000000000005</v>
      </c>
      <c r="S4854" s="131"/>
      <c r="T4854" s="155">
        <v>0</v>
      </c>
      <c r="U4854" s="131">
        <v>0</v>
      </c>
      <c r="V4854" s="131">
        <v>3729.7000000000003</v>
      </c>
      <c r="W4854">
        <v>25</v>
      </c>
      <c r="X4854" s="151" t="s">
        <v>105</v>
      </c>
      <c r="Y4854" s="135" t="s">
        <v>55</v>
      </c>
      <c r="Z4854" s="307">
        <v>262</v>
      </c>
      <c r="AB4854" t="str">
        <f>IF(Table1[[#This Row],[TIPO2]]="costo", VLOOKUP(Table1[[#This Row],[PARTIDA PRESUPUESTAL]],'Cost Report'!G:G,1,0),"Balance")</f>
        <v>3683-006</v>
      </c>
      <c r="AC4854" s="118"/>
      <c r="AD4854" s="159">
        <f>+Table1[[#This Row],[SUBTOTAL]]+Table1[[#This Row],[IVA]]-Table1[[#This Row],[RET IVA]]-Table1[[#This Row],[RET ISR]]-Table1[[#This Row],[TOTAL]]</f>
        <v>0</v>
      </c>
      <c r="AE4854" s="150"/>
      <c r="AF4854" s="151"/>
      <c r="AG4854" s="126"/>
      <c r="AK4854" s="306">
        <f>IF(ISNUMBER(Table1[[#This Row],[FECHA DE RECIBIDO]]), Table1[[#This Row],[FECHA DE RECIBIDO]]-DATE(2023,8,30), "")</f>
        <v>-44907.244988425926</v>
      </c>
    </row>
    <row r="4855" spans="1:37" ht="16.05" customHeight="1">
      <c r="A4855" s="152"/>
      <c r="B4855" s="153">
        <v>1589</v>
      </c>
      <c r="C4855" s="126" t="s">
        <v>2864</v>
      </c>
      <c r="D4855">
        <v>3268</v>
      </c>
      <c r="E4855" s="126" t="s">
        <v>2001</v>
      </c>
      <c r="F4855" s="125" t="s">
        <v>1607</v>
      </c>
      <c r="G4855" s="125" t="s">
        <v>134</v>
      </c>
      <c r="H4855">
        <v>23</v>
      </c>
      <c r="I4855" s="125" t="s">
        <v>1546</v>
      </c>
      <c r="J4855" s="308">
        <v>260.75027777777723</v>
      </c>
      <c r="K4855" s="127" t="s">
        <v>4625</v>
      </c>
      <c r="L4855" s="153" t="s">
        <v>3306</v>
      </c>
      <c r="M4855">
        <v>32</v>
      </c>
      <c r="N4855" s="123">
        <v>51</v>
      </c>
      <c r="O4855">
        <v>3119</v>
      </c>
      <c r="P4855" s="132" t="s">
        <v>77</v>
      </c>
      <c r="Q4855" s="132">
        <v>4918.72</v>
      </c>
      <c r="R4855" s="132">
        <v>787</v>
      </c>
      <c r="S4855" s="132"/>
      <c r="T4855" s="156">
        <v>0</v>
      </c>
      <c r="U4855" s="132">
        <v>0</v>
      </c>
      <c r="V4855" s="132">
        <v>5705.72</v>
      </c>
      <c r="W4855">
        <v>25</v>
      </c>
      <c r="X4855" s="153" t="s">
        <v>105</v>
      </c>
      <c r="Y4855" s="124" t="s">
        <v>55</v>
      </c>
      <c r="Z4855" s="308">
        <v>262</v>
      </c>
      <c r="AB4855" t="str">
        <f>IF(Table1[[#This Row],[TIPO2]]="costo", VLOOKUP(Table1[[#This Row],[PARTIDA PRESUPUESTAL]],'Cost Report'!G:G,1,0),"Balance")</f>
        <v>3632-003</v>
      </c>
      <c r="AC4855" s="118"/>
      <c r="AD4855" s="159">
        <f>+Table1[[#This Row],[SUBTOTAL]]+Table1[[#This Row],[IVA]]-Table1[[#This Row],[RET IVA]]-Table1[[#This Row],[RET ISR]]-Table1[[#This Row],[TOTAL]]</f>
        <v>0</v>
      </c>
      <c r="AE4855" s="152"/>
      <c r="AF4855" s="153"/>
      <c r="AG4855" s="126"/>
      <c r="AK4855" s="306">
        <f>IF(ISNUMBER(Table1[[#This Row],[FECHA DE RECIBIDO]]), Table1[[#This Row],[FECHA DE RECIBIDO]]-DATE(2023,8,30), "")</f>
        <v>-44907.249722222223</v>
      </c>
    </row>
    <row r="4856" spans="1:37" ht="16.05" customHeight="1">
      <c r="A4856" s="150"/>
      <c r="B4856" s="153">
        <v>1589</v>
      </c>
      <c r="C4856" s="126" t="s">
        <v>2864</v>
      </c>
      <c r="D4856">
        <v>3268</v>
      </c>
      <c r="E4856" s="126" t="s">
        <v>2001</v>
      </c>
      <c r="F4856" s="122" t="s">
        <v>1607</v>
      </c>
      <c r="G4856" s="122" t="s">
        <v>134</v>
      </c>
      <c r="H4856">
        <v>23</v>
      </c>
      <c r="I4856" s="122" t="s">
        <v>1546</v>
      </c>
      <c r="J4856" s="307">
        <v>260.75027777777723</v>
      </c>
      <c r="K4856" s="127" t="s">
        <v>4625</v>
      </c>
      <c r="L4856" s="151" t="s">
        <v>3306</v>
      </c>
      <c r="M4856">
        <v>32</v>
      </c>
      <c r="N4856" s="123">
        <v>51</v>
      </c>
      <c r="O4856">
        <v>3119</v>
      </c>
      <c r="P4856" s="132" t="s">
        <v>77</v>
      </c>
      <c r="Q4856" s="131">
        <v>2479.04</v>
      </c>
      <c r="R4856" s="131">
        <v>396.65</v>
      </c>
      <c r="S4856" s="131"/>
      <c r="T4856" s="155">
        <v>0</v>
      </c>
      <c r="U4856" s="131">
        <v>0</v>
      </c>
      <c r="V4856" s="131">
        <v>2875.69</v>
      </c>
      <c r="W4856">
        <v>25</v>
      </c>
      <c r="X4856" s="151" t="s">
        <v>105</v>
      </c>
      <c r="Y4856" s="135" t="s">
        <v>55</v>
      </c>
      <c r="Z4856" s="307">
        <v>262</v>
      </c>
      <c r="AB4856" t="str">
        <f>IF(Table1[[#This Row],[TIPO2]]="costo", VLOOKUP(Table1[[#This Row],[PARTIDA PRESUPUESTAL]],'Cost Report'!G:G,1,0),"Balance")</f>
        <v>3632-003</v>
      </c>
      <c r="AC4856" s="118"/>
      <c r="AD4856" s="159">
        <f>+Table1[[#This Row],[SUBTOTAL]]+Table1[[#This Row],[IVA]]-Table1[[#This Row],[RET IVA]]-Table1[[#This Row],[RET ISR]]-Table1[[#This Row],[TOTAL]]</f>
        <v>0</v>
      </c>
      <c r="AE4856" s="150"/>
      <c r="AF4856" s="151"/>
      <c r="AG4856" s="126"/>
      <c r="AK4856" s="306">
        <f>IF(ISNUMBER(Table1[[#This Row],[FECHA DE RECIBIDO]]), Table1[[#This Row],[FECHA DE RECIBIDO]]-DATE(2023,8,30), "")</f>
        <v>-44907.249722222223</v>
      </c>
    </row>
    <row r="4857" spans="1:37" ht="16.05" customHeight="1">
      <c r="A4857" s="152"/>
      <c r="B4857" s="153">
        <v>1589</v>
      </c>
      <c r="C4857" s="126" t="s">
        <v>2864</v>
      </c>
      <c r="D4857">
        <v>3268</v>
      </c>
      <c r="E4857" s="126" t="s">
        <v>2001</v>
      </c>
      <c r="F4857" s="125" t="s">
        <v>1607</v>
      </c>
      <c r="G4857" s="125" t="s">
        <v>134</v>
      </c>
      <c r="H4857">
        <v>23</v>
      </c>
      <c r="I4857" s="125" t="s">
        <v>1546</v>
      </c>
      <c r="J4857" s="308">
        <v>260.75027777777723</v>
      </c>
      <c r="K4857" s="127" t="s">
        <v>4625</v>
      </c>
      <c r="L4857" s="153" t="s">
        <v>3306</v>
      </c>
      <c r="M4857">
        <v>32</v>
      </c>
      <c r="N4857" s="123">
        <v>51</v>
      </c>
      <c r="O4857">
        <v>3119</v>
      </c>
      <c r="P4857" s="132" t="s">
        <v>77</v>
      </c>
      <c r="Q4857" s="132">
        <v>708.3</v>
      </c>
      <c r="R4857" s="132">
        <v>113.3</v>
      </c>
      <c r="S4857" s="132"/>
      <c r="T4857" s="156">
        <v>0</v>
      </c>
      <c r="U4857" s="132">
        <v>0</v>
      </c>
      <c r="V4857" s="132">
        <v>821.59999999999991</v>
      </c>
      <c r="W4857">
        <v>25</v>
      </c>
      <c r="X4857" s="153" t="s">
        <v>105</v>
      </c>
      <c r="Y4857" s="124" t="s">
        <v>55</v>
      </c>
      <c r="Z4857" s="308">
        <v>262</v>
      </c>
      <c r="AB4857" t="str">
        <f>IF(Table1[[#This Row],[TIPO2]]="costo", VLOOKUP(Table1[[#This Row],[PARTIDA PRESUPUESTAL]],'Cost Report'!G:G,1,0),"Balance")</f>
        <v>3632-003</v>
      </c>
      <c r="AC4857" s="118"/>
      <c r="AD4857" s="159">
        <f>+Table1[[#This Row],[SUBTOTAL]]+Table1[[#This Row],[IVA]]-Table1[[#This Row],[RET IVA]]-Table1[[#This Row],[RET ISR]]-Table1[[#This Row],[TOTAL]]</f>
        <v>0</v>
      </c>
      <c r="AE4857" s="152"/>
      <c r="AF4857" s="153"/>
      <c r="AG4857" s="126"/>
      <c r="AK4857" s="306">
        <f>IF(ISNUMBER(Table1[[#This Row],[FECHA DE RECIBIDO]]), Table1[[#This Row],[FECHA DE RECIBIDO]]-DATE(2023,8,30), "")</f>
        <v>-44907.249722222223</v>
      </c>
    </row>
    <row r="4858" spans="1:37" ht="16.05" customHeight="1">
      <c r="A4858" s="150"/>
      <c r="B4858" s="153">
        <v>1589</v>
      </c>
      <c r="C4858" s="126" t="s">
        <v>2864</v>
      </c>
      <c r="D4858">
        <v>3268</v>
      </c>
      <c r="E4858" s="126" t="s">
        <v>2001</v>
      </c>
      <c r="F4858" s="122" t="s">
        <v>1607</v>
      </c>
      <c r="G4858" s="122" t="s">
        <v>134</v>
      </c>
      <c r="H4858">
        <v>23</v>
      </c>
      <c r="I4858" s="122" t="s">
        <v>1546</v>
      </c>
      <c r="J4858" s="307">
        <v>260.75027777777723</v>
      </c>
      <c r="K4858" s="127" t="s">
        <v>4625</v>
      </c>
      <c r="L4858" s="151" t="s">
        <v>3306</v>
      </c>
      <c r="M4858">
        <v>32</v>
      </c>
      <c r="N4858" s="123">
        <v>51</v>
      </c>
      <c r="O4858">
        <v>3119</v>
      </c>
      <c r="P4858" s="132" t="s">
        <v>77</v>
      </c>
      <c r="Q4858" s="131">
        <v>708.3</v>
      </c>
      <c r="R4858" s="131">
        <v>113.33</v>
      </c>
      <c r="S4858" s="131"/>
      <c r="T4858" s="155">
        <v>0</v>
      </c>
      <c r="U4858" s="131">
        <v>0</v>
      </c>
      <c r="V4858" s="131">
        <v>821.63</v>
      </c>
      <c r="W4858">
        <v>25</v>
      </c>
      <c r="X4858" s="151" t="s">
        <v>105</v>
      </c>
      <c r="Y4858" s="135" t="s">
        <v>55</v>
      </c>
      <c r="Z4858" s="307">
        <v>262</v>
      </c>
      <c r="AB4858" t="str">
        <f>IF(Table1[[#This Row],[TIPO2]]="costo", VLOOKUP(Table1[[#This Row],[PARTIDA PRESUPUESTAL]],'Cost Report'!G:G,1,0),"Balance")</f>
        <v>3632-003</v>
      </c>
      <c r="AC4858" s="118"/>
      <c r="AD4858" s="159">
        <f>+Table1[[#This Row],[SUBTOTAL]]+Table1[[#This Row],[IVA]]-Table1[[#This Row],[RET IVA]]-Table1[[#This Row],[RET ISR]]-Table1[[#This Row],[TOTAL]]</f>
        <v>0</v>
      </c>
      <c r="AE4858" s="150"/>
      <c r="AF4858" s="151"/>
      <c r="AG4858" s="126"/>
      <c r="AK4858" s="306">
        <f>IF(ISNUMBER(Table1[[#This Row],[FECHA DE RECIBIDO]]), Table1[[#This Row],[FECHA DE RECIBIDO]]-DATE(2023,8,30), "")</f>
        <v>-44907.249722222223</v>
      </c>
    </row>
    <row r="4859" spans="1:37" ht="16.05" customHeight="1">
      <c r="A4859" s="152"/>
      <c r="B4859" s="153">
        <v>1589</v>
      </c>
      <c r="C4859" s="126" t="s">
        <v>2864</v>
      </c>
      <c r="D4859">
        <v>3268</v>
      </c>
      <c r="E4859" s="126" t="s">
        <v>2001</v>
      </c>
      <c r="F4859" s="125" t="s">
        <v>1607</v>
      </c>
      <c r="G4859" s="125" t="s">
        <v>134</v>
      </c>
      <c r="H4859">
        <v>23</v>
      </c>
      <c r="I4859" s="125" t="s">
        <v>1546</v>
      </c>
      <c r="J4859" s="308">
        <v>260.75027777777723</v>
      </c>
      <c r="K4859" s="127" t="s">
        <v>4625</v>
      </c>
      <c r="L4859" s="153" t="s">
        <v>3306</v>
      </c>
      <c r="M4859">
        <v>32</v>
      </c>
      <c r="N4859" s="123">
        <v>51</v>
      </c>
      <c r="O4859">
        <v>3119</v>
      </c>
      <c r="P4859" s="132" t="s">
        <v>77</v>
      </c>
      <c r="Q4859" s="132">
        <v>1928.14</v>
      </c>
      <c r="R4859" s="132">
        <v>308.5</v>
      </c>
      <c r="S4859" s="132"/>
      <c r="T4859" s="156">
        <v>0</v>
      </c>
      <c r="U4859" s="132">
        <v>0</v>
      </c>
      <c r="V4859" s="132">
        <v>2236.6400000000003</v>
      </c>
      <c r="W4859">
        <v>25</v>
      </c>
      <c r="X4859" s="153" t="s">
        <v>105</v>
      </c>
      <c r="Y4859" s="124" t="s">
        <v>55</v>
      </c>
      <c r="Z4859" s="308">
        <v>262</v>
      </c>
      <c r="AB4859" t="str">
        <f>IF(Table1[[#This Row],[TIPO2]]="costo", VLOOKUP(Table1[[#This Row],[PARTIDA PRESUPUESTAL]],'Cost Report'!G:G,1,0),"Balance")</f>
        <v>3632-003</v>
      </c>
      <c r="AC4859" s="118"/>
      <c r="AD4859" s="159">
        <f>+Table1[[#This Row],[SUBTOTAL]]+Table1[[#This Row],[IVA]]-Table1[[#This Row],[RET IVA]]-Table1[[#This Row],[RET ISR]]-Table1[[#This Row],[TOTAL]]</f>
        <v>0</v>
      </c>
      <c r="AE4859" s="152"/>
      <c r="AF4859" s="153"/>
      <c r="AG4859" s="126"/>
      <c r="AK4859" s="306">
        <f>IF(ISNUMBER(Table1[[#This Row],[FECHA DE RECIBIDO]]), Table1[[#This Row],[FECHA DE RECIBIDO]]-DATE(2023,8,30), "")</f>
        <v>-44907.249722222223</v>
      </c>
    </row>
    <row r="4860" spans="1:37" ht="16.05" customHeight="1">
      <c r="A4860" s="150"/>
      <c r="B4860" s="153">
        <v>1589</v>
      </c>
      <c r="C4860" s="126" t="s">
        <v>2864</v>
      </c>
      <c r="D4860">
        <v>3268</v>
      </c>
      <c r="E4860" s="126" t="s">
        <v>2001</v>
      </c>
      <c r="F4860" s="122" t="s">
        <v>1607</v>
      </c>
      <c r="G4860" s="122" t="s">
        <v>134</v>
      </c>
      <c r="H4860">
        <v>23</v>
      </c>
      <c r="I4860" s="122" t="s">
        <v>1546</v>
      </c>
      <c r="J4860" s="307">
        <v>260.75027777777723</v>
      </c>
      <c r="K4860" s="127" t="s">
        <v>4625</v>
      </c>
      <c r="L4860" s="151" t="s">
        <v>3306</v>
      </c>
      <c r="M4860">
        <v>32</v>
      </c>
      <c r="N4860" s="123">
        <v>51</v>
      </c>
      <c r="O4860">
        <v>3119</v>
      </c>
      <c r="P4860" s="132" t="s">
        <v>77</v>
      </c>
      <c r="Q4860" s="131">
        <v>1416.59</v>
      </c>
      <c r="R4860" s="131">
        <v>226.66</v>
      </c>
      <c r="S4860" s="131"/>
      <c r="T4860" s="155">
        <v>0</v>
      </c>
      <c r="U4860" s="131">
        <v>0</v>
      </c>
      <c r="V4860" s="131">
        <v>1643.25</v>
      </c>
      <c r="W4860">
        <v>25</v>
      </c>
      <c r="X4860" s="151" t="s">
        <v>105</v>
      </c>
      <c r="Y4860" s="135" t="s">
        <v>55</v>
      </c>
      <c r="Z4860" s="307">
        <v>262</v>
      </c>
      <c r="AB4860" t="str">
        <f>IF(Table1[[#This Row],[TIPO2]]="costo", VLOOKUP(Table1[[#This Row],[PARTIDA PRESUPUESTAL]],'Cost Report'!G:G,1,0),"Balance")</f>
        <v>3632-003</v>
      </c>
      <c r="AC4860" s="118"/>
      <c r="AD4860" s="159">
        <f>+Table1[[#This Row],[SUBTOTAL]]+Table1[[#This Row],[IVA]]-Table1[[#This Row],[RET IVA]]-Table1[[#This Row],[RET ISR]]-Table1[[#This Row],[TOTAL]]</f>
        <v>0</v>
      </c>
      <c r="AE4860" s="150"/>
      <c r="AF4860" s="151"/>
      <c r="AG4860" s="126"/>
      <c r="AK4860" s="306">
        <f>IF(ISNUMBER(Table1[[#This Row],[FECHA DE RECIBIDO]]), Table1[[#This Row],[FECHA DE RECIBIDO]]-DATE(2023,8,30), "")</f>
        <v>-44907.249722222223</v>
      </c>
    </row>
    <row r="4861" spans="1:37" ht="16.05" customHeight="1">
      <c r="A4861" s="152"/>
      <c r="B4861" s="153">
        <v>1589</v>
      </c>
      <c r="C4861" s="126" t="s">
        <v>2864</v>
      </c>
      <c r="D4861">
        <v>3268</v>
      </c>
      <c r="E4861" s="126" t="s">
        <v>2001</v>
      </c>
      <c r="F4861" s="125" t="s">
        <v>1607</v>
      </c>
      <c r="G4861" s="125" t="s">
        <v>134</v>
      </c>
      <c r="H4861">
        <v>23</v>
      </c>
      <c r="I4861" s="125" t="s">
        <v>1546</v>
      </c>
      <c r="J4861" s="308">
        <v>260.75027777777723</v>
      </c>
      <c r="K4861" s="127" t="s">
        <v>4625</v>
      </c>
      <c r="L4861" s="153" t="s">
        <v>3306</v>
      </c>
      <c r="M4861">
        <v>32</v>
      </c>
      <c r="N4861" s="123">
        <v>51</v>
      </c>
      <c r="O4861">
        <v>3119</v>
      </c>
      <c r="P4861" s="132" t="s">
        <v>77</v>
      </c>
      <c r="Q4861" s="132">
        <v>11.04</v>
      </c>
      <c r="R4861" s="132">
        <v>1.77</v>
      </c>
      <c r="S4861" s="132"/>
      <c r="T4861" s="156">
        <v>0</v>
      </c>
      <c r="U4861" s="132">
        <v>0</v>
      </c>
      <c r="V4861" s="132">
        <v>12.809999999999999</v>
      </c>
      <c r="W4861">
        <v>25</v>
      </c>
      <c r="X4861" s="153" t="s">
        <v>105</v>
      </c>
      <c r="Y4861" s="124" t="s">
        <v>55</v>
      </c>
      <c r="Z4861" s="308">
        <v>262</v>
      </c>
      <c r="AB4861" t="str">
        <f>IF(Table1[[#This Row],[TIPO2]]="costo", VLOOKUP(Table1[[#This Row],[PARTIDA PRESUPUESTAL]],'Cost Report'!G:G,1,0),"Balance")</f>
        <v>3632-003</v>
      </c>
      <c r="AC4861" s="118"/>
      <c r="AD4861" s="159">
        <f>+Table1[[#This Row],[SUBTOTAL]]+Table1[[#This Row],[IVA]]-Table1[[#This Row],[RET IVA]]-Table1[[#This Row],[RET ISR]]-Table1[[#This Row],[TOTAL]]</f>
        <v>0</v>
      </c>
      <c r="AE4861" s="152"/>
      <c r="AF4861" s="153"/>
      <c r="AG4861" s="126"/>
      <c r="AK4861" s="306">
        <f>IF(ISNUMBER(Table1[[#This Row],[FECHA DE RECIBIDO]]), Table1[[#This Row],[FECHA DE RECIBIDO]]-DATE(2023,8,30), "")</f>
        <v>-44907.249722222223</v>
      </c>
    </row>
    <row r="4862" spans="1:37" ht="16.05" customHeight="1">
      <c r="A4862" s="150"/>
      <c r="B4862" s="153">
        <v>1589</v>
      </c>
      <c r="C4862" s="126" t="s">
        <v>2864</v>
      </c>
      <c r="D4862">
        <v>3268</v>
      </c>
      <c r="E4862" s="126" t="s">
        <v>2001</v>
      </c>
      <c r="F4862" s="122" t="s">
        <v>1607</v>
      </c>
      <c r="G4862" s="122" t="s">
        <v>134</v>
      </c>
      <c r="H4862">
        <v>23</v>
      </c>
      <c r="I4862" s="122" t="s">
        <v>1546</v>
      </c>
      <c r="J4862" s="307">
        <v>260.75027777777723</v>
      </c>
      <c r="K4862" s="127" t="s">
        <v>4625</v>
      </c>
      <c r="L4862" s="151" t="s">
        <v>3306</v>
      </c>
      <c r="M4862">
        <v>32</v>
      </c>
      <c r="N4862" s="123">
        <v>51</v>
      </c>
      <c r="O4862">
        <v>3119</v>
      </c>
      <c r="P4862" s="132" t="s">
        <v>77</v>
      </c>
      <c r="Q4862" s="131">
        <v>39.35</v>
      </c>
      <c r="R4862" s="131">
        <v>6.3</v>
      </c>
      <c r="S4862" s="131"/>
      <c r="T4862" s="155">
        <v>0</v>
      </c>
      <c r="U4862" s="131">
        <v>0</v>
      </c>
      <c r="V4862" s="131">
        <v>45.65</v>
      </c>
      <c r="W4862">
        <v>25</v>
      </c>
      <c r="X4862" s="151" t="s">
        <v>105</v>
      </c>
      <c r="Y4862" s="135" t="s">
        <v>55</v>
      </c>
      <c r="Z4862" s="307">
        <v>262</v>
      </c>
      <c r="AB4862" t="str">
        <f>IF(Table1[[#This Row],[TIPO2]]="costo", VLOOKUP(Table1[[#This Row],[PARTIDA PRESUPUESTAL]],'Cost Report'!G:G,1,0),"Balance")</f>
        <v>3632-003</v>
      </c>
      <c r="AC4862" s="118"/>
      <c r="AD4862" s="159">
        <f>+Table1[[#This Row],[SUBTOTAL]]+Table1[[#This Row],[IVA]]-Table1[[#This Row],[RET IVA]]-Table1[[#This Row],[RET ISR]]-Table1[[#This Row],[TOTAL]]</f>
        <v>0</v>
      </c>
      <c r="AE4862" s="150"/>
      <c r="AF4862" s="151"/>
      <c r="AG4862" s="126"/>
      <c r="AK4862" s="306">
        <f>IF(ISNUMBER(Table1[[#This Row],[FECHA DE RECIBIDO]]), Table1[[#This Row],[FECHA DE RECIBIDO]]-DATE(2023,8,30), "")</f>
        <v>-44907.249722222223</v>
      </c>
    </row>
    <row r="4863" spans="1:37" ht="16.05" customHeight="1">
      <c r="A4863" s="152"/>
      <c r="B4863" s="153">
        <v>1590</v>
      </c>
      <c r="C4863" s="126" t="s">
        <v>1035</v>
      </c>
      <c r="D4863">
        <v>3269</v>
      </c>
      <c r="E4863" s="126" t="s">
        <v>2001</v>
      </c>
      <c r="F4863" s="125" t="s">
        <v>1607</v>
      </c>
      <c r="G4863" s="125" t="s">
        <v>134</v>
      </c>
      <c r="H4863">
        <v>23</v>
      </c>
      <c r="I4863" s="125" t="s">
        <v>1546</v>
      </c>
      <c r="J4863" s="308">
        <v>260.75122685185488</v>
      </c>
      <c r="K4863" s="127" t="s">
        <v>4625</v>
      </c>
      <c r="L4863" s="153" t="s">
        <v>3306</v>
      </c>
      <c r="M4863">
        <v>32</v>
      </c>
      <c r="N4863" s="123">
        <v>51</v>
      </c>
      <c r="O4863">
        <v>3120</v>
      </c>
      <c r="P4863" s="132" t="s">
        <v>77</v>
      </c>
      <c r="Q4863" s="132">
        <v>4588.1099999999997</v>
      </c>
      <c r="R4863" s="132">
        <v>734.09759999999994</v>
      </c>
      <c r="S4863" s="132"/>
      <c r="T4863" s="156">
        <v>0</v>
      </c>
      <c r="U4863" s="132">
        <v>0</v>
      </c>
      <c r="V4863" s="132">
        <v>5322.2075999999997</v>
      </c>
      <c r="W4863">
        <v>25</v>
      </c>
      <c r="X4863" s="153" t="s">
        <v>105</v>
      </c>
      <c r="Y4863" s="124" t="s">
        <v>55</v>
      </c>
      <c r="Z4863" s="308">
        <v>262</v>
      </c>
      <c r="AB4863" t="str">
        <f>IF(Table1[[#This Row],[TIPO2]]="costo", VLOOKUP(Table1[[#This Row],[PARTIDA PRESUPUESTAL]],'Cost Report'!G:G,1,0),"Balance")</f>
        <v>3683-006</v>
      </c>
      <c r="AC4863" s="118"/>
      <c r="AD4863" s="159">
        <f>+Table1[[#This Row],[SUBTOTAL]]+Table1[[#This Row],[IVA]]-Table1[[#This Row],[RET IVA]]-Table1[[#This Row],[RET ISR]]-Table1[[#This Row],[TOTAL]]</f>
        <v>0</v>
      </c>
      <c r="AE4863" s="152"/>
      <c r="AF4863" s="153"/>
      <c r="AG4863" s="126"/>
      <c r="AK4863" s="306">
        <f>IF(ISNUMBER(Table1[[#This Row],[FECHA DE RECIBIDO]]), Table1[[#This Row],[FECHA DE RECIBIDO]]-DATE(2023,8,30), "")</f>
        <v>-44907.248773148145</v>
      </c>
    </row>
    <row r="4864" spans="1:37" ht="16.05" customHeight="1">
      <c r="A4864" s="150"/>
      <c r="B4864" s="151">
        <v>1591</v>
      </c>
      <c r="C4864" s="126" t="s">
        <v>2836</v>
      </c>
      <c r="D4864">
        <v>3270</v>
      </c>
      <c r="E4864" s="126" t="s">
        <v>2001</v>
      </c>
      <c r="F4864" s="122" t="s">
        <v>1607</v>
      </c>
      <c r="G4864" s="122" t="s">
        <v>134</v>
      </c>
      <c r="H4864">
        <v>23</v>
      </c>
      <c r="I4864" s="122" t="s">
        <v>1546</v>
      </c>
      <c r="J4864" s="307">
        <v>260.75186342592497</v>
      </c>
      <c r="K4864" s="127" t="s">
        <v>4625</v>
      </c>
      <c r="L4864" s="151" t="s">
        <v>3306</v>
      </c>
      <c r="M4864">
        <v>32</v>
      </c>
      <c r="N4864" s="123">
        <v>51</v>
      </c>
      <c r="O4864">
        <v>3121</v>
      </c>
      <c r="P4864" s="132" t="s">
        <v>77</v>
      </c>
      <c r="Q4864" s="131">
        <v>592.79999999999995</v>
      </c>
      <c r="R4864" s="131">
        <v>94.85</v>
      </c>
      <c r="S4864" s="131"/>
      <c r="T4864" s="155">
        <v>0</v>
      </c>
      <c r="U4864" s="131">
        <v>0</v>
      </c>
      <c r="V4864" s="131">
        <v>687.65</v>
      </c>
      <c r="W4864">
        <v>25</v>
      </c>
      <c r="X4864" s="151" t="s">
        <v>105</v>
      </c>
      <c r="Y4864" s="135" t="s">
        <v>55</v>
      </c>
      <c r="Z4864" s="307">
        <v>262</v>
      </c>
      <c r="AB4864" t="str">
        <f>IF(Table1[[#This Row],[TIPO2]]="costo", VLOOKUP(Table1[[#This Row],[PARTIDA PRESUPUESTAL]],'Cost Report'!G:G,1,0),"Balance")</f>
        <v>3442-025</v>
      </c>
      <c r="AC4864" s="118"/>
      <c r="AD4864" s="159">
        <f>+Table1[[#This Row],[SUBTOTAL]]+Table1[[#This Row],[IVA]]-Table1[[#This Row],[RET IVA]]-Table1[[#This Row],[RET ISR]]-Table1[[#This Row],[TOTAL]]</f>
        <v>0</v>
      </c>
      <c r="AE4864" s="150"/>
      <c r="AF4864" s="151"/>
      <c r="AG4864" s="126"/>
      <c r="AK4864" s="306">
        <f>IF(ISNUMBER(Table1[[#This Row],[FECHA DE RECIBIDO]]), Table1[[#This Row],[FECHA DE RECIBIDO]]-DATE(2023,8,30), "")</f>
        <v>-44907.248136574075</v>
      </c>
    </row>
    <row r="4865" spans="1:37" ht="16.05" customHeight="1">
      <c r="A4865" s="152"/>
      <c r="B4865" s="151">
        <v>1591</v>
      </c>
      <c r="C4865" s="126" t="s">
        <v>2838</v>
      </c>
      <c r="D4865">
        <v>3270</v>
      </c>
      <c r="E4865" s="126" t="s">
        <v>2001</v>
      </c>
      <c r="F4865" s="125" t="s">
        <v>1607</v>
      </c>
      <c r="G4865" s="125" t="s">
        <v>134</v>
      </c>
      <c r="H4865">
        <v>23</v>
      </c>
      <c r="I4865" s="125" t="s">
        <v>1546</v>
      </c>
      <c r="J4865" s="308">
        <v>260.75186342592497</v>
      </c>
      <c r="K4865" s="127" t="s">
        <v>4625</v>
      </c>
      <c r="L4865" s="153" t="s">
        <v>3306</v>
      </c>
      <c r="M4865">
        <v>32</v>
      </c>
      <c r="N4865" s="123">
        <v>51</v>
      </c>
      <c r="O4865">
        <v>3121</v>
      </c>
      <c r="P4865" s="132" t="s">
        <v>77</v>
      </c>
      <c r="Q4865" s="132">
        <v>19.920000000000002</v>
      </c>
      <c r="R4865" s="132">
        <v>3.19</v>
      </c>
      <c r="S4865" s="132"/>
      <c r="T4865" s="156">
        <v>0</v>
      </c>
      <c r="U4865" s="132">
        <v>0</v>
      </c>
      <c r="V4865" s="132">
        <v>23.110000000000003</v>
      </c>
      <c r="W4865">
        <v>25</v>
      </c>
      <c r="X4865" s="153" t="s">
        <v>105</v>
      </c>
      <c r="Y4865" s="124" t="s">
        <v>55</v>
      </c>
      <c r="Z4865" s="308">
        <v>262</v>
      </c>
      <c r="AB4865" t="str">
        <f>IF(Table1[[#This Row],[TIPO2]]="costo", VLOOKUP(Table1[[#This Row],[PARTIDA PRESUPUESTAL]],'Cost Report'!G:G,1,0),"Balance")</f>
        <v>3442-029</v>
      </c>
      <c r="AC4865" s="118"/>
      <c r="AD4865" s="159">
        <f>+Table1[[#This Row],[SUBTOTAL]]+Table1[[#This Row],[IVA]]-Table1[[#This Row],[RET IVA]]-Table1[[#This Row],[RET ISR]]-Table1[[#This Row],[TOTAL]]</f>
        <v>0</v>
      </c>
      <c r="AE4865" s="152"/>
      <c r="AF4865" s="153"/>
      <c r="AG4865" s="126"/>
      <c r="AK4865" s="306">
        <f>IF(ISNUMBER(Table1[[#This Row],[FECHA DE RECIBIDO]]), Table1[[#This Row],[FECHA DE RECIBIDO]]-DATE(2023,8,30), "")</f>
        <v>-44907.248136574075</v>
      </c>
    </row>
    <row r="4866" spans="1:37" ht="16.05" customHeight="1">
      <c r="A4866" s="150"/>
      <c r="B4866" s="151">
        <v>1591</v>
      </c>
      <c r="C4866" s="126" t="s">
        <v>2838</v>
      </c>
      <c r="D4866">
        <v>3270</v>
      </c>
      <c r="E4866" s="126" t="s">
        <v>2001</v>
      </c>
      <c r="F4866" s="122" t="s">
        <v>1607</v>
      </c>
      <c r="G4866" s="122" t="s">
        <v>134</v>
      </c>
      <c r="H4866">
        <v>23</v>
      </c>
      <c r="I4866" s="122" t="s">
        <v>1546</v>
      </c>
      <c r="J4866" s="307">
        <v>260.75186342592497</v>
      </c>
      <c r="K4866" s="127" t="s">
        <v>4625</v>
      </c>
      <c r="L4866" s="151" t="s">
        <v>3306</v>
      </c>
      <c r="M4866">
        <v>32</v>
      </c>
      <c r="N4866" s="123">
        <v>51</v>
      </c>
      <c r="O4866">
        <v>3121</v>
      </c>
      <c r="P4866" s="132" t="s">
        <v>77</v>
      </c>
      <c r="Q4866" s="131">
        <v>19.920000000000002</v>
      </c>
      <c r="R4866" s="131">
        <v>3.19</v>
      </c>
      <c r="S4866" s="131"/>
      <c r="T4866" s="155">
        <v>0</v>
      </c>
      <c r="U4866" s="131">
        <v>0</v>
      </c>
      <c r="V4866" s="131">
        <v>23.110000000000003</v>
      </c>
      <c r="W4866">
        <v>25</v>
      </c>
      <c r="X4866" s="151" t="s">
        <v>105</v>
      </c>
      <c r="Y4866" s="135" t="s">
        <v>55</v>
      </c>
      <c r="Z4866" s="307">
        <v>262</v>
      </c>
      <c r="AB4866" t="str">
        <f>IF(Table1[[#This Row],[TIPO2]]="costo", VLOOKUP(Table1[[#This Row],[PARTIDA PRESUPUESTAL]],'Cost Report'!G:G,1,0),"Balance")</f>
        <v>3442-029</v>
      </c>
      <c r="AC4866" s="118"/>
      <c r="AD4866" s="159">
        <f>+Table1[[#This Row],[SUBTOTAL]]+Table1[[#This Row],[IVA]]-Table1[[#This Row],[RET IVA]]-Table1[[#This Row],[RET ISR]]-Table1[[#This Row],[TOTAL]]</f>
        <v>0</v>
      </c>
      <c r="AE4866" s="150"/>
      <c r="AF4866" s="151"/>
      <c r="AG4866" s="126"/>
      <c r="AK4866" s="306">
        <f>IF(ISNUMBER(Table1[[#This Row],[FECHA DE RECIBIDO]]), Table1[[#This Row],[FECHA DE RECIBIDO]]-DATE(2023,8,30), "")</f>
        <v>-44907.248136574075</v>
      </c>
    </row>
    <row r="4867" spans="1:37" ht="16.05" customHeight="1">
      <c r="A4867" s="152"/>
      <c r="B4867" s="151">
        <v>1591</v>
      </c>
      <c r="C4867" s="126" t="s">
        <v>2838</v>
      </c>
      <c r="D4867">
        <v>3270</v>
      </c>
      <c r="E4867" s="126" t="s">
        <v>2001</v>
      </c>
      <c r="F4867" s="125" t="s">
        <v>1607</v>
      </c>
      <c r="G4867" s="125" t="s">
        <v>134</v>
      </c>
      <c r="H4867">
        <v>23</v>
      </c>
      <c r="I4867" s="125" t="s">
        <v>1546</v>
      </c>
      <c r="J4867" s="308">
        <v>260.75186342592497</v>
      </c>
      <c r="K4867" s="127" t="s">
        <v>4625</v>
      </c>
      <c r="L4867" s="153" t="s">
        <v>3306</v>
      </c>
      <c r="M4867">
        <v>32</v>
      </c>
      <c r="N4867" s="123">
        <v>51</v>
      </c>
      <c r="O4867">
        <v>3121</v>
      </c>
      <c r="P4867" s="132" t="s">
        <v>77</v>
      </c>
      <c r="Q4867" s="132">
        <v>39.840000000000003</v>
      </c>
      <c r="R4867" s="132">
        <v>6.36</v>
      </c>
      <c r="S4867" s="132"/>
      <c r="T4867" s="156">
        <v>0</v>
      </c>
      <c r="U4867" s="132">
        <v>0</v>
      </c>
      <c r="V4867" s="132">
        <v>46.2</v>
      </c>
      <c r="W4867">
        <v>25</v>
      </c>
      <c r="X4867" s="153" t="s">
        <v>105</v>
      </c>
      <c r="Y4867" s="124" t="s">
        <v>55</v>
      </c>
      <c r="Z4867" s="308">
        <v>262</v>
      </c>
      <c r="AB4867" t="str">
        <f>IF(Table1[[#This Row],[TIPO2]]="costo", VLOOKUP(Table1[[#This Row],[PARTIDA PRESUPUESTAL]],'Cost Report'!G:G,1,0),"Balance")</f>
        <v>3442-029</v>
      </c>
      <c r="AC4867" s="118"/>
      <c r="AD4867" s="159">
        <f>+Table1[[#This Row],[SUBTOTAL]]+Table1[[#This Row],[IVA]]-Table1[[#This Row],[RET IVA]]-Table1[[#This Row],[RET ISR]]-Table1[[#This Row],[TOTAL]]</f>
        <v>0</v>
      </c>
      <c r="AE4867" s="152"/>
      <c r="AF4867" s="153"/>
      <c r="AG4867" s="126"/>
      <c r="AK4867" s="306">
        <f>IF(ISNUMBER(Table1[[#This Row],[FECHA DE RECIBIDO]]), Table1[[#This Row],[FECHA DE RECIBIDO]]-DATE(2023,8,30), "")</f>
        <v>-44907.248136574075</v>
      </c>
    </row>
    <row r="4868" spans="1:37" ht="16.05" customHeight="1">
      <c r="A4868" s="150"/>
      <c r="B4868" s="151">
        <v>1591</v>
      </c>
      <c r="C4868" s="126" t="s">
        <v>2836</v>
      </c>
      <c r="D4868">
        <v>3270</v>
      </c>
      <c r="E4868" s="126" t="s">
        <v>2001</v>
      </c>
      <c r="F4868" s="122" t="s">
        <v>1607</v>
      </c>
      <c r="G4868" s="122" t="s">
        <v>134</v>
      </c>
      <c r="H4868">
        <v>23</v>
      </c>
      <c r="I4868" s="122" t="s">
        <v>1546</v>
      </c>
      <c r="J4868" s="307">
        <v>260.75186342592497</v>
      </c>
      <c r="K4868" s="127" t="s">
        <v>4625</v>
      </c>
      <c r="L4868" s="151" t="s">
        <v>3306</v>
      </c>
      <c r="M4868">
        <v>32</v>
      </c>
      <c r="N4868" s="123">
        <v>51</v>
      </c>
      <c r="O4868">
        <v>3121</v>
      </c>
      <c r="P4868" s="132" t="s">
        <v>77</v>
      </c>
      <c r="Q4868" s="131">
        <v>973.15</v>
      </c>
      <c r="R4868" s="131">
        <v>155.69999999999999</v>
      </c>
      <c r="S4868" s="131"/>
      <c r="T4868" s="155">
        <v>0</v>
      </c>
      <c r="U4868" s="131">
        <v>0</v>
      </c>
      <c r="V4868" s="131">
        <v>1128.8499999999999</v>
      </c>
      <c r="W4868">
        <v>25</v>
      </c>
      <c r="X4868" s="151" t="s">
        <v>105</v>
      </c>
      <c r="Y4868" s="135" t="s">
        <v>55</v>
      </c>
      <c r="Z4868" s="307">
        <v>262</v>
      </c>
      <c r="AB4868" t="str">
        <f>IF(Table1[[#This Row],[TIPO2]]="costo", VLOOKUP(Table1[[#This Row],[PARTIDA PRESUPUESTAL]],'Cost Report'!G:G,1,0),"Balance")</f>
        <v>3442-025</v>
      </c>
      <c r="AC4868" s="118"/>
      <c r="AD4868" s="159">
        <f>+Table1[[#This Row],[SUBTOTAL]]+Table1[[#This Row],[IVA]]-Table1[[#This Row],[RET IVA]]-Table1[[#This Row],[RET ISR]]-Table1[[#This Row],[TOTAL]]</f>
        <v>0</v>
      </c>
      <c r="AE4868" s="150"/>
      <c r="AF4868" s="151"/>
      <c r="AG4868" s="126"/>
      <c r="AK4868" s="306">
        <f>IF(ISNUMBER(Table1[[#This Row],[FECHA DE RECIBIDO]]), Table1[[#This Row],[FECHA DE RECIBIDO]]-DATE(2023,8,30), "")</f>
        <v>-44907.248136574075</v>
      </c>
    </row>
    <row r="4869" spans="1:37" ht="16.05" customHeight="1">
      <c r="A4869" s="152"/>
      <c r="B4869" s="151">
        <v>1591</v>
      </c>
      <c r="C4869" s="126" t="s">
        <v>2838</v>
      </c>
      <c r="D4869">
        <v>3270</v>
      </c>
      <c r="E4869" s="126" t="s">
        <v>2001</v>
      </c>
      <c r="F4869" s="125" t="s">
        <v>1607</v>
      </c>
      <c r="G4869" s="125" t="s">
        <v>134</v>
      </c>
      <c r="H4869">
        <v>23</v>
      </c>
      <c r="I4869" s="125" t="s">
        <v>1546</v>
      </c>
      <c r="J4869" s="308">
        <v>260.75186342592497</v>
      </c>
      <c r="K4869" s="127" t="s">
        <v>4625</v>
      </c>
      <c r="L4869" s="153" t="s">
        <v>3306</v>
      </c>
      <c r="M4869">
        <v>32</v>
      </c>
      <c r="N4869" s="123">
        <v>51</v>
      </c>
      <c r="O4869">
        <v>3121</v>
      </c>
      <c r="P4869" s="132" t="s">
        <v>77</v>
      </c>
      <c r="Q4869" s="132">
        <v>131.69999999999999</v>
      </c>
      <c r="R4869" s="132">
        <v>21.07</v>
      </c>
      <c r="S4869" s="132"/>
      <c r="T4869" s="156">
        <v>0</v>
      </c>
      <c r="U4869" s="132">
        <v>0</v>
      </c>
      <c r="V4869" s="132">
        <v>152.76999999999998</v>
      </c>
      <c r="W4869">
        <v>25</v>
      </c>
      <c r="X4869" s="153" t="s">
        <v>105</v>
      </c>
      <c r="Y4869" s="124" t="s">
        <v>55</v>
      </c>
      <c r="Z4869" s="308">
        <v>262</v>
      </c>
      <c r="AB4869" t="str">
        <f>IF(Table1[[#This Row],[TIPO2]]="costo", VLOOKUP(Table1[[#This Row],[PARTIDA PRESUPUESTAL]],'Cost Report'!G:G,1,0),"Balance")</f>
        <v>3442-029</v>
      </c>
      <c r="AC4869" s="118"/>
      <c r="AD4869" s="159">
        <f>+Table1[[#This Row],[SUBTOTAL]]+Table1[[#This Row],[IVA]]-Table1[[#This Row],[RET IVA]]-Table1[[#This Row],[RET ISR]]-Table1[[#This Row],[TOTAL]]</f>
        <v>0</v>
      </c>
      <c r="AE4869" s="152"/>
      <c r="AF4869" s="153"/>
      <c r="AG4869" s="126"/>
      <c r="AK4869" s="306">
        <f>IF(ISNUMBER(Table1[[#This Row],[FECHA DE RECIBIDO]]), Table1[[#This Row],[FECHA DE RECIBIDO]]-DATE(2023,8,30), "")</f>
        <v>-44907.248136574075</v>
      </c>
    </row>
    <row r="4870" spans="1:37" ht="16.05" customHeight="1">
      <c r="A4870" s="150"/>
      <c r="B4870" s="151">
        <v>1591</v>
      </c>
      <c r="C4870" s="126" t="s">
        <v>2836</v>
      </c>
      <c r="D4870">
        <v>3270</v>
      </c>
      <c r="E4870" s="126" t="s">
        <v>2001</v>
      </c>
      <c r="F4870" s="122" t="s">
        <v>1607</v>
      </c>
      <c r="G4870" s="122" t="s">
        <v>134</v>
      </c>
      <c r="H4870">
        <v>23</v>
      </c>
      <c r="I4870" s="122" t="s">
        <v>1546</v>
      </c>
      <c r="J4870" s="307">
        <v>260.75186342592497</v>
      </c>
      <c r="K4870" s="127" t="s">
        <v>4625</v>
      </c>
      <c r="L4870" s="151" t="s">
        <v>3306</v>
      </c>
      <c r="M4870">
        <v>32</v>
      </c>
      <c r="N4870" s="123">
        <v>51</v>
      </c>
      <c r="O4870">
        <v>3121</v>
      </c>
      <c r="P4870" s="132" t="s">
        <v>77</v>
      </c>
      <c r="Q4870" s="131">
        <v>384.14</v>
      </c>
      <c r="R4870" s="131">
        <v>61.46</v>
      </c>
      <c r="S4870" s="131"/>
      <c r="T4870" s="155">
        <v>0</v>
      </c>
      <c r="U4870" s="131">
        <v>0</v>
      </c>
      <c r="V4870" s="131">
        <v>445.59999999999997</v>
      </c>
      <c r="W4870">
        <v>25</v>
      </c>
      <c r="X4870" s="151" t="s">
        <v>105</v>
      </c>
      <c r="Y4870" s="135" t="s">
        <v>55</v>
      </c>
      <c r="Z4870" s="307">
        <v>262</v>
      </c>
      <c r="AB4870" t="str">
        <f>IF(Table1[[#This Row],[TIPO2]]="costo", VLOOKUP(Table1[[#This Row],[PARTIDA PRESUPUESTAL]],'Cost Report'!G:G,1,0),"Balance")</f>
        <v>3442-025</v>
      </c>
      <c r="AC4870" s="118"/>
      <c r="AD4870" s="159">
        <f>+Table1[[#This Row],[SUBTOTAL]]+Table1[[#This Row],[IVA]]-Table1[[#This Row],[RET IVA]]-Table1[[#This Row],[RET ISR]]-Table1[[#This Row],[TOTAL]]</f>
        <v>0</v>
      </c>
      <c r="AE4870" s="150"/>
      <c r="AF4870" s="151"/>
      <c r="AG4870" s="126"/>
      <c r="AK4870" s="306">
        <f>IF(ISNUMBER(Table1[[#This Row],[FECHA DE RECIBIDO]]), Table1[[#This Row],[FECHA DE RECIBIDO]]-DATE(2023,8,30), "")</f>
        <v>-44907.248136574075</v>
      </c>
    </row>
    <row r="4871" spans="1:37" ht="16.05" customHeight="1">
      <c r="A4871" s="152"/>
      <c r="B4871" s="151">
        <v>1591</v>
      </c>
      <c r="C4871" s="126" t="s">
        <v>2838</v>
      </c>
      <c r="D4871">
        <v>3270</v>
      </c>
      <c r="E4871" s="126" t="s">
        <v>2001</v>
      </c>
      <c r="F4871" s="125" t="s">
        <v>1607</v>
      </c>
      <c r="G4871" s="125" t="s">
        <v>134</v>
      </c>
      <c r="H4871">
        <v>23</v>
      </c>
      <c r="I4871" s="125" t="s">
        <v>1546</v>
      </c>
      <c r="J4871" s="308">
        <v>260.75186342592497</v>
      </c>
      <c r="K4871" s="127" t="s">
        <v>4625</v>
      </c>
      <c r="L4871" s="153" t="s">
        <v>3306</v>
      </c>
      <c r="M4871">
        <v>32</v>
      </c>
      <c r="N4871" s="123">
        <v>51</v>
      </c>
      <c r="O4871">
        <v>3121</v>
      </c>
      <c r="P4871" s="132" t="s">
        <v>77</v>
      </c>
      <c r="Q4871" s="132">
        <v>58.54</v>
      </c>
      <c r="R4871" s="132">
        <v>9.3699999999999992</v>
      </c>
      <c r="S4871" s="132"/>
      <c r="T4871" s="156">
        <v>0</v>
      </c>
      <c r="U4871" s="132">
        <v>0</v>
      </c>
      <c r="V4871" s="132">
        <v>67.91</v>
      </c>
      <c r="W4871">
        <v>25</v>
      </c>
      <c r="X4871" s="153" t="s">
        <v>105</v>
      </c>
      <c r="Y4871" s="124" t="s">
        <v>55</v>
      </c>
      <c r="Z4871" s="308">
        <v>262</v>
      </c>
      <c r="AB4871" t="str">
        <f>IF(Table1[[#This Row],[TIPO2]]="costo", VLOOKUP(Table1[[#This Row],[PARTIDA PRESUPUESTAL]],'Cost Report'!G:G,1,0),"Balance")</f>
        <v>3442-029</v>
      </c>
      <c r="AC4871" s="118"/>
      <c r="AD4871" s="159">
        <f>+Table1[[#This Row],[SUBTOTAL]]+Table1[[#This Row],[IVA]]-Table1[[#This Row],[RET IVA]]-Table1[[#This Row],[RET ISR]]-Table1[[#This Row],[TOTAL]]</f>
        <v>0</v>
      </c>
      <c r="AE4871" s="152"/>
      <c r="AF4871" s="153"/>
      <c r="AG4871" s="126"/>
      <c r="AK4871" s="306">
        <f>IF(ISNUMBER(Table1[[#This Row],[FECHA DE RECIBIDO]]), Table1[[#This Row],[FECHA DE RECIBIDO]]-DATE(2023,8,30), "")</f>
        <v>-44907.248136574075</v>
      </c>
    </row>
    <row r="4872" spans="1:37" ht="16.05" customHeight="1">
      <c r="A4872" s="150"/>
      <c r="B4872" s="151">
        <v>1592</v>
      </c>
      <c r="C4872" s="126" t="s">
        <v>1035</v>
      </c>
      <c r="D4872">
        <v>3271</v>
      </c>
      <c r="E4872" s="126" t="s">
        <v>2001</v>
      </c>
      <c r="F4872" s="122" t="s">
        <v>1607</v>
      </c>
      <c r="G4872" s="122" t="s">
        <v>134</v>
      </c>
      <c r="H4872">
        <v>23</v>
      </c>
      <c r="I4872" s="122" t="s">
        <v>1546</v>
      </c>
      <c r="J4872" s="307">
        <v>260.78297453703999</v>
      </c>
      <c r="K4872" s="127" t="s">
        <v>4625</v>
      </c>
      <c r="L4872" s="151" t="s">
        <v>3306</v>
      </c>
      <c r="M4872">
        <v>32</v>
      </c>
      <c r="N4872" s="123">
        <v>51</v>
      </c>
      <c r="O4872">
        <v>3122</v>
      </c>
      <c r="P4872" s="132" t="s">
        <v>77</v>
      </c>
      <c r="Q4872" s="131">
        <v>1714.82</v>
      </c>
      <c r="R4872" s="131">
        <v>274.37</v>
      </c>
      <c r="S4872" s="131"/>
      <c r="T4872" s="155">
        <v>0</v>
      </c>
      <c r="U4872" s="131">
        <v>0</v>
      </c>
      <c r="V4872" s="131">
        <v>1989.19</v>
      </c>
      <c r="W4872">
        <v>25</v>
      </c>
      <c r="X4872" s="151" t="s">
        <v>105</v>
      </c>
      <c r="Y4872" s="135" t="s">
        <v>55</v>
      </c>
      <c r="Z4872" s="307">
        <v>262</v>
      </c>
      <c r="AB4872" t="str">
        <f>IF(Table1[[#This Row],[TIPO2]]="costo", VLOOKUP(Table1[[#This Row],[PARTIDA PRESUPUESTAL]],'Cost Report'!G:G,1,0),"Balance")</f>
        <v>3683-006</v>
      </c>
      <c r="AC4872" s="118"/>
      <c r="AD4872" s="159">
        <f>+Table1[[#This Row],[SUBTOTAL]]+Table1[[#This Row],[IVA]]-Table1[[#This Row],[RET IVA]]-Table1[[#This Row],[RET ISR]]-Table1[[#This Row],[TOTAL]]</f>
        <v>0</v>
      </c>
      <c r="AE4872" s="150"/>
      <c r="AF4872" s="151"/>
      <c r="AG4872" s="126"/>
      <c r="AK4872" s="306">
        <f>IF(ISNUMBER(Table1[[#This Row],[FECHA DE RECIBIDO]]), Table1[[#This Row],[FECHA DE RECIBIDO]]-DATE(2023,8,30), "")</f>
        <v>-44907.21702546296</v>
      </c>
    </row>
    <row r="4873" spans="1:37" ht="16.05" customHeight="1">
      <c r="A4873" s="152"/>
      <c r="B4873" s="151">
        <v>1592</v>
      </c>
      <c r="C4873" s="126" t="s">
        <v>1039</v>
      </c>
      <c r="D4873">
        <v>3271</v>
      </c>
      <c r="E4873" s="126" t="s">
        <v>2001</v>
      </c>
      <c r="F4873" s="125" t="s">
        <v>1607</v>
      </c>
      <c r="G4873" s="125" t="s">
        <v>134</v>
      </c>
      <c r="H4873">
        <v>23</v>
      </c>
      <c r="I4873" s="125" t="s">
        <v>1546</v>
      </c>
      <c r="J4873" s="308">
        <v>260.78297453703999</v>
      </c>
      <c r="K4873" s="127" t="s">
        <v>4625</v>
      </c>
      <c r="L4873" s="153" t="s">
        <v>3306</v>
      </c>
      <c r="M4873">
        <v>32</v>
      </c>
      <c r="N4873" s="123">
        <v>51</v>
      </c>
      <c r="O4873">
        <v>3122</v>
      </c>
      <c r="P4873" s="132" t="s">
        <v>77</v>
      </c>
      <c r="Q4873" s="132">
        <v>1714.82</v>
      </c>
      <c r="R4873" s="132">
        <v>274.37</v>
      </c>
      <c r="S4873" s="132"/>
      <c r="T4873" s="156">
        <v>0</v>
      </c>
      <c r="U4873" s="132">
        <v>0</v>
      </c>
      <c r="V4873" s="132">
        <v>1989.19</v>
      </c>
      <c r="W4873">
        <v>25</v>
      </c>
      <c r="X4873" s="153" t="s">
        <v>105</v>
      </c>
      <c r="Y4873" s="124" t="s">
        <v>55</v>
      </c>
      <c r="Z4873" s="308">
        <v>262</v>
      </c>
      <c r="AB4873" t="str">
        <f>IF(Table1[[#This Row],[TIPO2]]="costo", VLOOKUP(Table1[[#This Row],[PARTIDA PRESUPUESTAL]],'Cost Report'!G:G,1,0),"Balance")</f>
        <v>3683-012</v>
      </c>
      <c r="AC4873" s="118"/>
      <c r="AD4873" s="159">
        <f>+Table1[[#This Row],[SUBTOTAL]]+Table1[[#This Row],[IVA]]-Table1[[#This Row],[RET IVA]]-Table1[[#This Row],[RET ISR]]-Table1[[#This Row],[TOTAL]]</f>
        <v>0</v>
      </c>
      <c r="AE4873" s="152"/>
      <c r="AF4873" s="153"/>
      <c r="AG4873" s="126"/>
      <c r="AK4873" s="306">
        <f>IF(ISNUMBER(Table1[[#This Row],[FECHA DE RECIBIDO]]), Table1[[#This Row],[FECHA DE RECIBIDO]]-DATE(2023,8,30), "")</f>
        <v>-44907.21702546296</v>
      </c>
    </row>
    <row r="4874" spans="1:37" ht="16.05" customHeight="1">
      <c r="A4874" s="150"/>
      <c r="B4874" s="151">
        <v>1592</v>
      </c>
      <c r="C4874" s="126" t="s">
        <v>1043</v>
      </c>
      <c r="D4874">
        <v>3271</v>
      </c>
      <c r="E4874" s="126" t="s">
        <v>2001</v>
      </c>
      <c r="F4874" s="122" t="s">
        <v>1607</v>
      </c>
      <c r="G4874" s="122" t="s">
        <v>134</v>
      </c>
      <c r="H4874">
        <v>23</v>
      </c>
      <c r="I4874" s="122" t="s">
        <v>1546</v>
      </c>
      <c r="J4874" s="307">
        <v>260.78297453703999</v>
      </c>
      <c r="K4874" s="127" t="s">
        <v>4625</v>
      </c>
      <c r="L4874" s="151" t="s">
        <v>3306</v>
      </c>
      <c r="M4874">
        <v>32</v>
      </c>
      <c r="N4874" s="123">
        <v>51</v>
      </c>
      <c r="O4874">
        <v>3122</v>
      </c>
      <c r="P4874" s="132" t="s">
        <v>77</v>
      </c>
      <c r="Q4874" s="131">
        <v>2572.2399999999998</v>
      </c>
      <c r="R4874" s="131">
        <v>411.56</v>
      </c>
      <c r="S4874" s="131"/>
      <c r="T4874" s="155">
        <v>0</v>
      </c>
      <c r="U4874" s="131">
        <v>0</v>
      </c>
      <c r="V4874" s="131">
        <v>2983.7999999999997</v>
      </c>
      <c r="W4874">
        <v>25</v>
      </c>
      <c r="X4874" s="151" t="s">
        <v>105</v>
      </c>
      <c r="Y4874" s="135" t="s">
        <v>55</v>
      </c>
      <c r="Z4874" s="307">
        <v>262</v>
      </c>
      <c r="AB4874" t="str">
        <f>IF(Table1[[#This Row],[TIPO2]]="costo", VLOOKUP(Table1[[#This Row],[PARTIDA PRESUPUESTAL]],'Cost Report'!G:G,1,0),"Balance")</f>
        <v>3683-018</v>
      </c>
      <c r="AC4874" s="118"/>
      <c r="AD4874" s="159">
        <f>+Table1[[#This Row],[SUBTOTAL]]+Table1[[#This Row],[IVA]]-Table1[[#This Row],[RET IVA]]-Table1[[#This Row],[RET ISR]]-Table1[[#This Row],[TOTAL]]</f>
        <v>0</v>
      </c>
      <c r="AE4874" s="150"/>
      <c r="AF4874" s="151"/>
      <c r="AG4874" s="126"/>
      <c r="AK4874" s="306">
        <f>IF(ISNUMBER(Table1[[#This Row],[FECHA DE RECIBIDO]]), Table1[[#This Row],[FECHA DE RECIBIDO]]-DATE(2023,8,30), "")</f>
        <v>-44907.21702546296</v>
      </c>
    </row>
    <row r="4875" spans="1:37" ht="16.05" customHeight="1">
      <c r="A4875" s="152"/>
      <c r="B4875" s="151">
        <v>1592</v>
      </c>
      <c r="C4875" s="126" t="s">
        <v>1047</v>
      </c>
      <c r="D4875">
        <v>3271</v>
      </c>
      <c r="E4875" s="126" t="s">
        <v>2001</v>
      </c>
      <c r="F4875" s="125" t="s">
        <v>1607</v>
      </c>
      <c r="G4875" s="125" t="s">
        <v>134</v>
      </c>
      <c r="H4875">
        <v>23</v>
      </c>
      <c r="I4875" s="125" t="s">
        <v>1546</v>
      </c>
      <c r="J4875" s="308">
        <v>260.78297453703999</v>
      </c>
      <c r="K4875" s="127" t="s">
        <v>4625</v>
      </c>
      <c r="L4875" s="153" t="s">
        <v>3306</v>
      </c>
      <c r="M4875">
        <v>32</v>
      </c>
      <c r="N4875" s="123">
        <v>51</v>
      </c>
      <c r="O4875">
        <v>3122</v>
      </c>
      <c r="P4875" s="132" t="s">
        <v>77</v>
      </c>
      <c r="Q4875" s="132">
        <v>1257.54</v>
      </c>
      <c r="R4875" s="132">
        <v>201.21</v>
      </c>
      <c r="S4875" s="132"/>
      <c r="T4875" s="156">
        <v>0</v>
      </c>
      <c r="U4875" s="132">
        <v>0</v>
      </c>
      <c r="V4875" s="132">
        <v>1458.75</v>
      </c>
      <c r="W4875">
        <v>25</v>
      </c>
      <c r="X4875" s="153" t="s">
        <v>105</v>
      </c>
      <c r="Y4875" s="124" t="s">
        <v>55</v>
      </c>
      <c r="Z4875" s="308">
        <v>262</v>
      </c>
      <c r="AB4875" t="str">
        <f>IF(Table1[[#This Row],[TIPO2]]="costo", VLOOKUP(Table1[[#This Row],[PARTIDA PRESUPUESTAL]],'Cost Report'!G:G,1,0),"Balance")</f>
        <v>3683-024</v>
      </c>
      <c r="AC4875" s="118"/>
      <c r="AD4875" s="159">
        <f>+Table1[[#This Row],[SUBTOTAL]]+Table1[[#This Row],[IVA]]-Table1[[#This Row],[RET IVA]]-Table1[[#This Row],[RET ISR]]-Table1[[#This Row],[TOTAL]]</f>
        <v>0</v>
      </c>
      <c r="AE4875" s="152"/>
      <c r="AF4875" s="153"/>
      <c r="AG4875" s="126"/>
      <c r="AK4875" s="306">
        <f>IF(ISNUMBER(Table1[[#This Row],[FECHA DE RECIBIDO]]), Table1[[#This Row],[FECHA DE RECIBIDO]]-DATE(2023,8,30), "")</f>
        <v>-44907.21702546296</v>
      </c>
    </row>
    <row r="4876" spans="1:37" ht="16.05" customHeight="1">
      <c r="A4876" s="150"/>
      <c r="B4876" s="151">
        <v>1592</v>
      </c>
      <c r="C4876" s="126" t="s">
        <v>1051</v>
      </c>
      <c r="D4876">
        <v>3271</v>
      </c>
      <c r="E4876" s="126" t="s">
        <v>2001</v>
      </c>
      <c r="F4876" s="122" t="s">
        <v>1607</v>
      </c>
      <c r="G4876" s="122" t="s">
        <v>134</v>
      </c>
      <c r="H4876">
        <v>23</v>
      </c>
      <c r="I4876" s="122" t="s">
        <v>1546</v>
      </c>
      <c r="J4876" s="307">
        <v>260.78297453703999</v>
      </c>
      <c r="K4876" s="127" t="s">
        <v>4625</v>
      </c>
      <c r="L4876" s="151" t="s">
        <v>3306</v>
      </c>
      <c r="M4876">
        <v>32</v>
      </c>
      <c r="N4876" s="123">
        <v>51</v>
      </c>
      <c r="O4876">
        <v>3122</v>
      </c>
      <c r="P4876" s="132" t="s">
        <v>77</v>
      </c>
      <c r="Q4876" s="131">
        <v>1234.67</v>
      </c>
      <c r="R4876" s="131">
        <v>197.55</v>
      </c>
      <c r="S4876" s="131"/>
      <c r="T4876" s="155">
        <v>0</v>
      </c>
      <c r="U4876" s="131">
        <v>0</v>
      </c>
      <c r="V4876" s="131">
        <v>1432.22</v>
      </c>
      <c r="W4876">
        <v>25</v>
      </c>
      <c r="X4876" s="151" t="s">
        <v>105</v>
      </c>
      <c r="Y4876" s="135" t="s">
        <v>55</v>
      </c>
      <c r="Z4876" s="307">
        <v>262</v>
      </c>
      <c r="AB4876" t="str">
        <f>IF(Table1[[#This Row],[TIPO2]]="costo", VLOOKUP(Table1[[#This Row],[PARTIDA PRESUPUESTAL]],'Cost Report'!G:G,1,0),"Balance")</f>
        <v>3683-030</v>
      </c>
      <c r="AC4876" s="118"/>
      <c r="AD4876" s="159">
        <f>+Table1[[#This Row],[SUBTOTAL]]+Table1[[#This Row],[IVA]]-Table1[[#This Row],[RET IVA]]-Table1[[#This Row],[RET ISR]]-Table1[[#This Row],[TOTAL]]</f>
        <v>0</v>
      </c>
      <c r="AE4876" s="150"/>
      <c r="AF4876" s="151"/>
      <c r="AG4876" s="126"/>
      <c r="AK4876" s="306">
        <f>IF(ISNUMBER(Table1[[#This Row],[FECHA DE RECIBIDO]]), Table1[[#This Row],[FECHA DE RECIBIDO]]-DATE(2023,8,30), "")</f>
        <v>-44907.21702546296</v>
      </c>
    </row>
    <row r="4877" spans="1:37" ht="16.05" customHeight="1">
      <c r="A4877" s="152"/>
      <c r="B4877" s="151">
        <v>1592</v>
      </c>
      <c r="C4877" s="126" t="s">
        <v>2897</v>
      </c>
      <c r="D4877">
        <v>3271</v>
      </c>
      <c r="E4877" s="126" t="s">
        <v>2001</v>
      </c>
      <c r="F4877" s="125" t="s">
        <v>1607</v>
      </c>
      <c r="G4877" s="125" t="s">
        <v>134</v>
      </c>
      <c r="H4877">
        <v>23</v>
      </c>
      <c r="I4877" s="125" t="s">
        <v>1546</v>
      </c>
      <c r="J4877" s="308">
        <v>260.78297453703999</v>
      </c>
      <c r="K4877" s="127" t="s">
        <v>4625</v>
      </c>
      <c r="L4877" s="153" t="s">
        <v>3306</v>
      </c>
      <c r="M4877">
        <v>32</v>
      </c>
      <c r="N4877" s="123">
        <v>51</v>
      </c>
      <c r="O4877">
        <v>3122</v>
      </c>
      <c r="P4877" s="132" t="s">
        <v>77</v>
      </c>
      <c r="Q4877" s="132">
        <v>617.34</v>
      </c>
      <c r="R4877" s="132">
        <v>98.77</v>
      </c>
      <c r="S4877" s="132"/>
      <c r="T4877" s="156">
        <v>0</v>
      </c>
      <c r="U4877" s="132">
        <v>0</v>
      </c>
      <c r="V4877" s="132">
        <v>716.11</v>
      </c>
      <c r="W4877">
        <v>25</v>
      </c>
      <c r="X4877" s="153" t="s">
        <v>105</v>
      </c>
      <c r="Y4877" s="124" t="s">
        <v>55</v>
      </c>
      <c r="Z4877" s="308">
        <v>262</v>
      </c>
      <c r="AB4877" t="str">
        <f>IF(Table1[[#This Row],[TIPO2]]="costo", VLOOKUP(Table1[[#This Row],[PARTIDA PRESUPUESTAL]],'Cost Report'!G:G,1,0),"Balance")</f>
        <v>3683-138</v>
      </c>
      <c r="AC4877" s="118"/>
      <c r="AD4877" s="159">
        <f>+Table1[[#This Row],[SUBTOTAL]]+Table1[[#This Row],[IVA]]-Table1[[#This Row],[RET IVA]]-Table1[[#This Row],[RET ISR]]-Table1[[#This Row],[TOTAL]]</f>
        <v>0</v>
      </c>
      <c r="AE4877" s="152"/>
      <c r="AF4877" s="153"/>
      <c r="AG4877" s="126"/>
      <c r="AK4877" s="306">
        <f>IF(ISNUMBER(Table1[[#This Row],[FECHA DE RECIBIDO]]), Table1[[#This Row],[FECHA DE RECIBIDO]]-DATE(2023,8,30), "")</f>
        <v>-44907.21702546296</v>
      </c>
    </row>
    <row r="4878" spans="1:37" ht="16.05" customHeight="1">
      <c r="A4878" s="150"/>
      <c r="B4878" s="151">
        <v>1592</v>
      </c>
      <c r="C4878" s="126" t="s">
        <v>1059</v>
      </c>
      <c r="D4878">
        <v>3271</v>
      </c>
      <c r="E4878" s="126" t="s">
        <v>2001</v>
      </c>
      <c r="F4878" s="122" t="s">
        <v>1607</v>
      </c>
      <c r="G4878" s="122" t="s">
        <v>134</v>
      </c>
      <c r="H4878">
        <v>23</v>
      </c>
      <c r="I4878" s="122" t="s">
        <v>1546</v>
      </c>
      <c r="J4878" s="307">
        <v>260.78297453703999</v>
      </c>
      <c r="K4878" s="127" t="s">
        <v>4625</v>
      </c>
      <c r="L4878" s="151" t="s">
        <v>3306</v>
      </c>
      <c r="M4878">
        <v>32</v>
      </c>
      <c r="N4878" s="123">
        <v>51</v>
      </c>
      <c r="O4878">
        <v>3122</v>
      </c>
      <c r="P4878" s="132" t="s">
        <v>77</v>
      </c>
      <c r="Q4878" s="131">
        <v>1234.67</v>
      </c>
      <c r="R4878" s="131">
        <v>197.55</v>
      </c>
      <c r="S4878" s="131"/>
      <c r="T4878" s="155">
        <v>0</v>
      </c>
      <c r="U4878" s="131">
        <v>0</v>
      </c>
      <c r="V4878" s="131">
        <v>1432.22</v>
      </c>
      <c r="W4878">
        <v>25</v>
      </c>
      <c r="X4878" s="151" t="s">
        <v>105</v>
      </c>
      <c r="Y4878" s="135" t="s">
        <v>55</v>
      </c>
      <c r="Z4878" s="307">
        <v>262</v>
      </c>
      <c r="AB4878" t="str">
        <f>IF(Table1[[#This Row],[TIPO2]]="costo", VLOOKUP(Table1[[#This Row],[PARTIDA PRESUPUESTAL]],'Cost Report'!G:G,1,0),"Balance")</f>
        <v>3683-042</v>
      </c>
      <c r="AC4878" s="118"/>
      <c r="AD4878" s="159">
        <f>+Table1[[#This Row],[SUBTOTAL]]+Table1[[#This Row],[IVA]]-Table1[[#This Row],[RET IVA]]-Table1[[#This Row],[RET ISR]]-Table1[[#This Row],[TOTAL]]</f>
        <v>0</v>
      </c>
      <c r="AE4878" s="150"/>
      <c r="AF4878" s="151"/>
      <c r="AG4878" s="126"/>
      <c r="AK4878" s="306">
        <f>IF(ISNUMBER(Table1[[#This Row],[FECHA DE RECIBIDO]]), Table1[[#This Row],[FECHA DE RECIBIDO]]-DATE(2023,8,30), "")</f>
        <v>-44907.21702546296</v>
      </c>
    </row>
    <row r="4879" spans="1:37" ht="16.05" customHeight="1">
      <c r="A4879" s="152"/>
      <c r="B4879" s="151">
        <v>1592</v>
      </c>
      <c r="C4879" s="126" t="s">
        <v>1063</v>
      </c>
      <c r="D4879">
        <v>3271</v>
      </c>
      <c r="E4879" s="126" t="s">
        <v>2001</v>
      </c>
      <c r="F4879" s="125" t="s">
        <v>1607</v>
      </c>
      <c r="G4879" s="125" t="s">
        <v>134</v>
      </c>
      <c r="H4879">
        <v>23</v>
      </c>
      <c r="I4879" s="125" t="s">
        <v>1546</v>
      </c>
      <c r="J4879" s="308">
        <v>260.78297453703999</v>
      </c>
      <c r="K4879" s="127" t="s">
        <v>4625</v>
      </c>
      <c r="L4879" s="153" t="s">
        <v>3306</v>
      </c>
      <c r="M4879">
        <v>32</v>
      </c>
      <c r="N4879" s="123">
        <v>51</v>
      </c>
      <c r="O4879">
        <v>3122</v>
      </c>
      <c r="P4879" s="132" t="s">
        <v>77</v>
      </c>
      <c r="Q4879" s="132">
        <v>1257.54</v>
      </c>
      <c r="R4879" s="132">
        <v>201.21</v>
      </c>
      <c r="S4879" s="132"/>
      <c r="T4879" s="156">
        <v>0</v>
      </c>
      <c r="U4879" s="132">
        <v>0</v>
      </c>
      <c r="V4879" s="132">
        <v>1458.75</v>
      </c>
      <c r="W4879">
        <v>25</v>
      </c>
      <c r="X4879" s="153" t="s">
        <v>105</v>
      </c>
      <c r="Y4879" s="124" t="s">
        <v>55</v>
      </c>
      <c r="Z4879" s="308">
        <v>262</v>
      </c>
      <c r="AB4879" t="str">
        <f>IF(Table1[[#This Row],[TIPO2]]="costo", VLOOKUP(Table1[[#This Row],[PARTIDA PRESUPUESTAL]],'Cost Report'!G:G,1,0),"Balance")</f>
        <v>3683-048</v>
      </c>
      <c r="AC4879" s="118"/>
      <c r="AD4879" s="159">
        <f>+Table1[[#This Row],[SUBTOTAL]]+Table1[[#This Row],[IVA]]-Table1[[#This Row],[RET IVA]]-Table1[[#This Row],[RET ISR]]-Table1[[#This Row],[TOTAL]]</f>
        <v>0</v>
      </c>
      <c r="AE4879" s="152"/>
      <c r="AF4879" s="153"/>
      <c r="AG4879" s="126"/>
      <c r="AK4879" s="306">
        <f>IF(ISNUMBER(Table1[[#This Row],[FECHA DE RECIBIDO]]), Table1[[#This Row],[FECHA DE RECIBIDO]]-DATE(2023,8,30), "")</f>
        <v>-44907.21702546296</v>
      </c>
    </row>
    <row r="4880" spans="1:37" ht="16.05" customHeight="1">
      <c r="A4880" s="150"/>
      <c r="B4880" s="151">
        <v>1592</v>
      </c>
      <c r="C4880" s="126" t="s">
        <v>1067</v>
      </c>
      <c r="D4880">
        <v>3271</v>
      </c>
      <c r="E4880" s="126" t="s">
        <v>2001</v>
      </c>
      <c r="F4880" s="122" t="s">
        <v>1607</v>
      </c>
      <c r="G4880" s="122" t="s">
        <v>134</v>
      </c>
      <c r="H4880">
        <v>23</v>
      </c>
      <c r="I4880" s="122" t="s">
        <v>1546</v>
      </c>
      <c r="J4880" s="307">
        <v>260.78297453703999</v>
      </c>
      <c r="K4880" s="127" t="s">
        <v>4625</v>
      </c>
      <c r="L4880" s="151" t="s">
        <v>3306</v>
      </c>
      <c r="M4880">
        <v>32</v>
      </c>
      <c r="N4880" s="123">
        <v>51</v>
      </c>
      <c r="O4880">
        <v>3122</v>
      </c>
      <c r="P4880" s="132" t="s">
        <v>77</v>
      </c>
      <c r="Q4880" s="131">
        <v>1257.54</v>
      </c>
      <c r="R4880" s="131">
        <v>201.21</v>
      </c>
      <c r="S4880" s="131"/>
      <c r="T4880" s="155">
        <v>0</v>
      </c>
      <c r="U4880" s="131">
        <v>0</v>
      </c>
      <c r="V4880" s="131">
        <v>1458.75</v>
      </c>
      <c r="W4880">
        <v>25</v>
      </c>
      <c r="X4880" s="151" t="s">
        <v>105</v>
      </c>
      <c r="Y4880" s="135" t="s">
        <v>55</v>
      </c>
      <c r="Z4880" s="307">
        <v>262</v>
      </c>
      <c r="AB4880" t="str">
        <f>IF(Table1[[#This Row],[TIPO2]]="costo", VLOOKUP(Table1[[#This Row],[PARTIDA PRESUPUESTAL]],'Cost Report'!G:G,1,0),"Balance")</f>
        <v>3683-054</v>
      </c>
      <c r="AC4880" s="118"/>
      <c r="AD4880" s="159">
        <f>+Table1[[#This Row],[SUBTOTAL]]+Table1[[#This Row],[IVA]]-Table1[[#This Row],[RET IVA]]-Table1[[#This Row],[RET ISR]]-Table1[[#This Row],[TOTAL]]</f>
        <v>0</v>
      </c>
      <c r="AE4880" s="150"/>
      <c r="AF4880" s="151"/>
      <c r="AG4880" s="126"/>
      <c r="AK4880" s="306">
        <f>IF(ISNUMBER(Table1[[#This Row],[FECHA DE RECIBIDO]]), Table1[[#This Row],[FECHA DE RECIBIDO]]-DATE(2023,8,30), "")</f>
        <v>-44907.21702546296</v>
      </c>
    </row>
    <row r="4881" spans="1:37" ht="16.05" customHeight="1">
      <c r="A4881" s="152"/>
      <c r="B4881" s="151">
        <v>1592</v>
      </c>
      <c r="C4881" s="126" t="s">
        <v>1071</v>
      </c>
      <c r="D4881">
        <v>3271</v>
      </c>
      <c r="E4881" s="126" t="s">
        <v>2001</v>
      </c>
      <c r="F4881" s="125" t="s">
        <v>1607</v>
      </c>
      <c r="G4881" s="125" t="s">
        <v>134</v>
      </c>
      <c r="H4881">
        <v>23</v>
      </c>
      <c r="I4881" s="125" t="s">
        <v>1546</v>
      </c>
      <c r="J4881" s="308">
        <v>260.78297453703999</v>
      </c>
      <c r="K4881" s="127" t="s">
        <v>4625</v>
      </c>
      <c r="L4881" s="153" t="s">
        <v>3306</v>
      </c>
      <c r="M4881">
        <v>32</v>
      </c>
      <c r="N4881" s="123">
        <v>51</v>
      </c>
      <c r="O4881">
        <v>3122</v>
      </c>
      <c r="P4881" s="132" t="s">
        <v>77</v>
      </c>
      <c r="Q4881" s="132">
        <v>857.41</v>
      </c>
      <c r="R4881" s="132">
        <v>137.19</v>
      </c>
      <c r="S4881" s="132"/>
      <c r="T4881" s="156">
        <v>0</v>
      </c>
      <c r="U4881" s="132">
        <v>0</v>
      </c>
      <c r="V4881" s="132">
        <v>994.59999999999991</v>
      </c>
      <c r="W4881">
        <v>25</v>
      </c>
      <c r="X4881" s="153" t="s">
        <v>105</v>
      </c>
      <c r="Y4881" s="124" t="s">
        <v>55</v>
      </c>
      <c r="Z4881" s="308">
        <v>262</v>
      </c>
      <c r="AB4881" t="str">
        <f>IF(Table1[[#This Row],[TIPO2]]="costo", VLOOKUP(Table1[[#This Row],[PARTIDA PRESUPUESTAL]],'Cost Report'!G:G,1,0),"Balance")</f>
        <v>3683-060</v>
      </c>
      <c r="AC4881" s="118"/>
      <c r="AD4881" s="159">
        <f>+Table1[[#This Row],[SUBTOTAL]]+Table1[[#This Row],[IVA]]-Table1[[#This Row],[RET IVA]]-Table1[[#This Row],[RET ISR]]-Table1[[#This Row],[TOTAL]]</f>
        <v>0</v>
      </c>
      <c r="AE4881" s="152"/>
      <c r="AF4881" s="153"/>
      <c r="AG4881" s="126"/>
      <c r="AK4881" s="306">
        <f>IF(ISNUMBER(Table1[[#This Row],[FECHA DE RECIBIDO]]), Table1[[#This Row],[FECHA DE RECIBIDO]]-DATE(2023,8,30), "")</f>
        <v>-44907.21702546296</v>
      </c>
    </row>
    <row r="4882" spans="1:37" ht="16.05" customHeight="1">
      <c r="A4882" s="150"/>
      <c r="B4882" s="151">
        <v>1592</v>
      </c>
      <c r="C4882" s="126" t="s">
        <v>1075</v>
      </c>
      <c r="D4882">
        <v>3271</v>
      </c>
      <c r="E4882" s="126" t="s">
        <v>2001</v>
      </c>
      <c r="F4882" s="122" t="s">
        <v>1607</v>
      </c>
      <c r="G4882" s="122" t="s">
        <v>134</v>
      </c>
      <c r="H4882">
        <v>23</v>
      </c>
      <c r="I4882" s="122" t="s">
        <v>1546</v>
      </c>
      <c r="J4882" s="307">
        <v>260.78297453703999</v>
      </c>
      <c r="K4882" s="127" t="s">
        <v>4625</v>
      </c>
      <c r="L4882" s="151" t="s">
        <v>3306</v>
      </c>
      <c r="M4882">
        <v>32</v>
      </c>
      <c r="N4882" s="123">
        <v>51</v>
      </c>
      <c r="O4882">
        <v>3122</v>
      </c>
      <c r="P4882" s="132" t="s">
        <v>77</v>
      </c>
      <c r="Q4882" s="131">
        <v>857.41</v>
      </c>
      <c r="R4882" s="131">
        <v>137.19</v>
      </c>
      <c r="S4882" s="131"/>
      <c r="T4882" s="155">
        <v>0</v>
      </c>
      <c r="U4882" s="131">
        <v>0</v>
      </c>
      <c r="V4882" s="131">
        <v>994.59999999999991</v>
      </c>
      <c r="W4882">
        <v>25</v>
      </c>
      <c r="X4882" s="151" t="s">
        <v>105</v>
      </c>
      <c r="Y4882" s="135" t="s">
        <v>55</v>
      </c>
      <c r="Z4882" s="307">
        <v>262</v>
      </c>
      <c r="AB4882" t="str">
        <f>IF(Table1[[#This Row],[TIPO2]]="costo", VLOOKUP(Table1[[#This Row],[PARTIDA PRESUPUESTAL]],'Cost Report'!G:G,1,0),"Balance")</f>
        <v>3683-066</v>
      </c>
      <c r="AC4882" s="118"/>
      <c r="AD4882" s="159">
        <f>+Table1[[#This Row],[SUBTOTAL]]+Table1[[#This Row],[IVA]]-Table1[[#This Row],[RET IVA]]-Table1[[#This Row],[RET ISR]]-Table1[[#This Row],[TOTAL]]</f>
        <v>0</v>
      </c>
      <c r="AE4882" s="150"/>
      <c r="AF4882" s="151"/>
      <c r="AG4882" s="126"/>
      <c r="AK4882" s="306">
        <f>IF(ISNUMBER(Table1[[#This Row],[FECHA DE RECIBIDO]]), Table1[[#This Row],[FECHA DE RECIBIDO]]-DATE(2023,8,30), "")</f>
        <v>-44907.21702546296</v>
      </c>
    </row>
    <row r="4883" spans="1:37" ht="16.05" customHeight="1">
      <c r="A4883" s="152"/>
      <c r="B4883" s="151">
        <v>1592</v>
      </c>
      <c r="C4883" s="126" t="s">
        <v>1079</v>
      </c>
      <c r="D4883">
        <v>3271</v>
      </c>
      <c r="E4883" s="126" t="s">
        <v>2001</v>
      </c>
      <c r="F4883" s="125" t="s">
        <v>1607</v>
      </c>
      <c r="G4883" s="125" t="s">
        <v>134</v>
      </c>
      <c r="H4883">
        <v>23</v>
      </c>
      <c r="I4883" s="125" t="s">
        <v>1546</v>
      </c>
      <c r="J4883" s="308">
        <v>260.78297453703999</v>
      </c>
      <c r="K4883" s="127" t="s">
        <v>4625</v>
      </c>
      <c r="L4883" s="153" t="s">
        <v>3306</v>
      </c>
      <c r="M4883">
        <v>32</v>
      </c>
      <c r="N4883" s="123">
        <v>51</v>
      </c>
      <c r="O4883">
        <v>3122</v>
      </c>
      <c r="P4883" s="132" t="s">
        <v>77</v>
      </c>
      <c r="Q4883" s="132">
        <v>857.41</v>
      </c>
      <c r="R4883" s="132">
        <v>137.19</v>
      </c>
      <c r="S4883" s="132"/>
      <c r="T4883" s="156">
        <v>0</v>
      </c>
      <c r="U4883" s="132">
        <v>0</v>
      </c>
      <c r="V4883" s="132">
        <v>994.59999999999991</v>
      </c>
      <c r="W4883">
        <v>25</v>
      </c>
      <c r="X4883" s="153" t="s">
        <v>105</v>
      </c>
      <c r="Y4883" s="124" t="s">
        <v>55</v>
      </c>
      <c r="Z4883" s="308">
        <v>262</v>
      </c>
      <c r="AB4883" t="str">
        <f>IF(Table1[[#This Row],[TIPO2]]="costo", VLOOKUP(Table1[[#This Row],[PARTIDA PRESUPUESTAL]],'Cost Report'!G:G,1,0),"Balance")</f>
        <v>3683-072</v>
      </c>
      <c r="AC4883" s="118"/>
      <c r="AD4883" s="159">
        <f>+Table1[[#This Row],[SUBTOTAL]]+Table1[[#This Row],[IVA]]-Table1[[#This Row],[RET IVA]]-Table1[[#This Row],[RET ISR]]-Table1[[#This Row],[TOTAL]]</f>
        <v>0</v>
      </c>
      <c r="AE4883" s="152"/>
      <c r="AF4883" s="153"/>
      <c r="AG4883" s="126"/>
      <c r="AK4883" s="306">
        <f>IF(ISNUMBER(Table1[[#This Row],[FECHA DE RECIBIDO]]), Table1[[#This Row],[FECHA DE RECIBIDO]]-DATE(2023,8,30), "")</f>
        <v>-44907.21702546296</v>
      </c>
    </row>
    <row r="4884" spans="1:37" ht="16.05" customHeight="1">
      <c r="A4884" s="150"/>
      <c r="B4884" s="151">
        <v>1592</v>
      </c>
      <c r="C4884" s="126" t="s">
        <v>1083</v>
      </c>
      <c r="D4884">
        <v>3271</v>
      </c>
      <c r="E4884" s="126" t="s">
        <v>2001</v>
      </c>
      <c r="F4884" s="122" t="s">
        <v>1607</v>
      </c>
      <c r="G4884" s="122" t="s">
        <v>134</v>
      </c>
      <c r="H4884">
        <v>23</v>
      </c>
      <c r="I4884" s="122" t="s">
        <v>1546</v>
      </c>
      <c r="J4884" s="307">
        <v>260.78297453703999</v>
      </c>
      <c r="K4884" s="127" t="s">
        <v>4625</v>
      </c>
      <c r="L4884" s="151" t="s">
        <v>3306</v>
      </c>
      <c r="M4884">
        <v>32</v>
      </c>
      <c r="N4884" s="123">
        <v>51</v>
      </c>
      <c r="O4884">
        <v>3122</v>
      </c>
      <c r="P4884" s="132" t="s">
        <v>77</v>
      </c>
      <c r="Q4884" s="131">
        <v>857.41</v>
      </c>
      <c r="R4884" s="131">
        <v>137.19</v>
      </c>
      <c r="S4884" s="131"/>
      <c r="T4884" s="155">
        <v>0</v>
      </c>
      <c r="U4884" s="131">
        <v>0</v>
      </c>
      <c r="V4884" s="131">
        <v>994.59999999999991</v>
      </c>
      <c r="W4884">
        <v>25</v>
      </c>
      <c r="X4884" s="151" t="s">
        <v>105</v>
      </c>
      <c r="Y4884" s="135" t="s">
        <v>55</v>
      </c>
      <c r="Z4884" s="307">
        <v>262</v>
      </c>
      <c r="AB4884" t="str">
        <f>IF(Table1[[#This Row],[TIPO2]]="costo", VLOOKUP(Table1[[#This Row],[PARTIDA PRESUPUESTAL]],'Cost Report'!G:G,1,0),"Balance")</f>
        <v>3683-078</v>
      </c>
      <c r="AC4884" s="118"/>
      <c r="AD4884" s="159">
        <f>+Table1[[#This Row],[SUBTOTAL]]+Table1[[#This Row],[IVA]]-Table1[[#This Row],[RET IVA]]-Table1[[#This Row],[RET ISR]]-Table1[[#This Row],[TOTAL]]</f>
        <v>0</v>
      </c>
      <c r="AE4884" s="150"/>
      <c r="AF4884" s="151"/>
      <c r="AG4884" s="126"/>
      <c r="AK4884" s="306">
        <f>IF(ISNUMBER(Table1[[#This Row],[FECHA DE RECIBIDO]]), Table1[[#This Row],[FECHA DE RECIBIDO]]-DATE(2023,8,30), "")</f>
        <v>-44907.21702546296</v>
      </c>
    </row>
    <row r="4885" spans="1:37" ht="16.05" customHeight="1">
      <c r="A4885" s="152"/>
      <c r="B4885" s="151">
        <v>1592</v>
      </c>
      <c r="C4885" s="126" t="s">
        <v>1087</v>
      </c>
      <c r="D4885">
        <v>3271</v>
      </c>
      <c r="E4885" s="126" t="s">
        <v>2001</v>
      </c>
      <c r="F4885" s="125" t="s">
        <v>1607</v>
      </c>
      <c r="G4885" s="125" t="s">
        <v>134</v>
      </c>
      <c r="H4885">
        <v>23</v>
      </c>
      <c r="I4885" s="125" t="s">
        <v>1546</v>
      </c>
      <c r="J4885" s="308">
        <v>260.78297453703999</v>
      </c>
      <c r="K4885" s="127" t="s">
        <v>4625</v>
      </c>
      <c r="L4885" s="153" t="s">
        <v>3306</v>
      </c>
      <c r="M4885">
        <v>32</v>
      </c>
      <c r="N4885" s="123">
        <v>51</v>
      </c>
      <c r="O4885">
        <v>3122</v>
      </c>
      <c r="P4885" s="132" t="s">
        <v>77</v>
      </c>
      <c r="Q4885" s="132">
        <v>1257.54</v>
      </c>
      <c r="R4885" s="132">
        <v>201.21</v>
      </c>
      <c r="S4885" s="132"/>
      <c r="T4885" s="156">
        <v>0</v>
      </c>
      <c r="U4885" s="132">
        <v>0</v>
      </c>
      <c r="V4885" s="132">
        <v>1458.75</v>
      </c>
      <c r="W4885">
        <v>25</v>
      </c>
      <c r="X4885" s="153" t="s">
        <v>105</v>
      </c>
      <c r="Y4885" s="124" t="s">
        <v>55</v>
      </c>
      <c r="Z4885" s="308">
        <v>262</v>
      </c>
      <c r="AB4885" t="str">
        <f>IF(Table1[[#This Row],[TIPO2]]="costo", VLOOKUP(Table1[[#This Row],[PARTIDA PRESUPUESTAL]],'Cost Report'!G:G,1,0),"Balance")</f>
        <v>3683-084</v>
      </c>
      <c r="AC4885" s="118"/>
      <c r="AD4885" s="159">
        <f>+Table1[[#This Row],[SUBTOTAL]]+Table1[[#This Row],[IVA]]-Table1[[#This Row],[RET IVA]]-Table1[[#This Row],[RET ISR]]-Table1[[#This Row],[TOTAL]]</f>
        <v>0</v>
      </c>
      <c r="AE4885" s="152"/>
      <c r="AF4885" s="153"/>
      <c r="AG4885" s="126"/>
      <c r="AK4885" s="306">
        <f>IF(ISNUMBER(Table1[[#This Row],[FECHA DE RECIBIDO]]), Table1[[#This Row],[FECHA DE RECIBIDO]]-DATE(2023,8,30), "")</f>
        <v>-44907.21702546296</v>
      </c>
    </row>
    <row r="4886" spans="1:37" ht="16.05" customHeight="1">
      <c r="A4886" s="150"/>
      <c r="B4886" s="151">
        <v>1592</v>
      </c>
      <c r="C4886" s="126" t="s">
        <v>1091</v>
      </c>
      <c r="D4886">
        <v>3271</v>
      </c>
      <c r="E4886" s="126" t="s">
        <v>2001</v>
      </c>
      <c r="F4886" s="122" t="s">
        <v>1607</v>
      </c>
      <c r="G4886" s="122" t="s">
        <v>134</v>
      </c>
      <c r="H4886">
        <v>23</v>
      </c>
      <c r="I4886" s="122" t="s">
        <v>1546</v>
      </c>
      <c r="J4886" s="307">
        <v>260.78297453703999</v>
      </c>
      <c r="K4886" s="127" t="s">
        <v>4625</v>
      </c>
      <c r="L4886" s="151" t="s">
        <v>3306</v>
      </c>
      <c r="M4886">
        <v>32</v>
      </c>
      <c r="N4886" s="123">
        <v>51</v>
      </c>
      <c r="O4886">
        <v>3122</v>
      </c>
      <c r="P4886" s="132" t="s">
        <v>77</v>
      </c>
      <c r="Q4886" s="131">
        <v>857.41</v>
      </c>
      <c r="R4886" s="131">
        <v>137.19</v>
      </c>
      <c r="S4886" s="131"/>
      <c r="T4886" s="155">
        <v>0</v>
      </c>
      <c r="U4886" s="131">
        <v>0</v>
      </c>
      <c r="V4886" s="131">
        <v>994.59999999999991</v>
      </c>
      <c r="W4886">
        <v>25</v>
      </c>
      <c r="X4886" s="151" t="s">
        <v>105</v>
      </c>
      <c r="Y4886" s="135" t="s">
        <v>55</v>
      </c>
      <c r="Z4886" s="307">
        <v>262</v>
      </c>
      <c r="AB4886" t="str">
        <f>IF(Table1[[#This Row],[TIPO2]]="costo", VLOOKUP(Table1[[#This Row],[PARTIDA PRESUPUESTAL]],'Cost Report'!G:G,1,0),"Balance")</f>
        <v>3683-090</v>
      </c>
      <c r="AC4886" s="118"/>
      <c r="AD4886" s="159">
        <f>+Table1[[#This Row],[SUBTOTAL]]+Table1[[#This Row],[IVA]]-Table1[[#This Row],[RET IVA]]-Table1[[#This Row],[RET ISR]]-Table1[[#This Row],[TOTAL]]</f>
        <v>0</v>
      </c>
      <c r="AE4886" s="150"/>
      <c r="AF4886" s="151"/>
      <c r="AG4886" s="126"/>
      <c r="AK4886" s="306">
        <f>IF(ISNUMBER(Table1[[#This Row],[FECHA DE RECIBIDO]]), Table1[[#This Row],[FECHA DE RECIBIDO]]-DATE(2023,8,30), "")</f>
        <v>-44907.21702546296</v>
      </c>
    </row>
    <row r="4887" spans="1:37" ht="16.05" customHeight="1">
      <c r="A4887" s="152"/>
      <c r="B4887" s="151">
        <v>1592</v>
      </c>
      <c r="C4887" s="126" t="s">
        <v>1095</v>
      </c>
      <c r="D4887">
        <v>3271</v>
      </c>
      <c r="E4887" s="126" t="s">
        <v>2001</v>
      </c>
      <c r="F4887" s="125" t="s">
        <v>1607</v>
      </c>
      <c r="G4887" s="125" t="s">
        <v>134</v>
      </c>
      <c r="H4887">
        <v>23</v>
      </c>
      <c r="I4887" s="125" t="s">
        <v>1546</v>
      </c>
      <c r="J4887" s="308">
        <v>260.78297453703999</v>
      </c>
      <c r="K4887" s="127" t="s">
        <v>4625</v>
      </c>
      <c r="L4887" s="153" t="s">
        <v>3306</v>
      </c>
      <c r="M4887">
        <v>32</v>
      </c>
      <c r="N4887" s="123">
        <v>51</v>
      </c>
      <c r="O4887">
        <v>3122</v>
      </c>
      <c r="P4887" s="132" t="s">
        <v>77</v>
      </c>
      <c r="Q4887" s="132">
        <v>1257.54</v>
      </c>
      <c r="R4887" s="132">
        <v>201.21</v>
      </c>
      <c r="S4887" s="132"/>
      <c r="T4887" s="156">
        <v>0</v>
      </c>
      <c r="U4887" s="132">
        <v>0</v>
      </c>
      <c r="V4887" s="132">
        <v>1458.75</v>
      </c>
      <c r="W4887">
        <v>25</v>
      </c>
      <c r="X4887" s="153" t="s">
        <v>105</v>
      </c>
      <c r="Y4887" s="124" t="s">
        <v>55</v>
      </c>
      <c r="Z4887" s="308">
        <v>262</v>
      </c>
      <c r="AB4887" t="str">
        <f>IF(Table1[[#This Row],[TIPO2]]="costo", VLOOKUP(Table1[[#This Row],[PARTIDA PRESUPUESTAL]],'Cost Report'!G:G,1,0),"Balance")</f>
        <v>3683-096</v>
      </c>
      <c r="AC4887" s="118"/>
      <c r="AD4887" s="159">
        <f>+Table1[[#This Row],[SUBTOTAL]]+Table1[[#This Row],[IVA]]-Table1[[#This Row],[RET IVA]]-Table1[[#This Row],[RET ISR]]-Table1[[#This Row],[TOTAL]]</f>
        <v>0</v>
      </c>
      <c r="AE4887" s="152"/>
      <c r="AF4887" s="153"/>
      <c r="AG4887" s="126"/>
      <c r="AK4887" s="306">
        <f>IF(ISNUMBER(Table1[[#This Row],[FECHA DE RECIBIDO]]), Table1[[#This Row],[FECHA DE RECIBIDO]]-DATE(2023,8,30), "")</f>
        <v>-44907.21702546296</v>
      </c>
    </row>
    <row r="4888" spans="1:37" ht="16.05" customHeight="1">
      <c r="A4888" s="150"/>
      <c r="B4888" s="151">
        <v>1592</v>
      </c>
      <c r="C4888" s="126" t="s">
        <v>1098</v>
      </c>
      <c r="D4888">
        <v>3271</v>
      </c>
      <c r="E4888" s="126" t="s">
        <v>2001</v>
      </c>
      <c r="F4888" s="122" t="s">
        <v>1607</v>
      </c>
      <c r="G4888" s="122" t="s">
        <v>134</v>
      </c>
      <c r="H4888">
        <v>23</v>
      </c>
      <c r="I4888" s="122" t="s">
        <v>1546</v>
      </c>
      <c r="J4888" s="307">
        <v>260.78297453703999</v>
      </c>
      <c r="K4888" s="127" t="s">
        <v>4625</v>
      </c>
      <c r="L4888" s="151" t="s">
        <v>3306</v>
      </c>
      <c r="M4888">
        <v>32</v>
      </c>
      <c r="N4888" s="123">
        <v>51</v>
      </c>
      <c r="O4888">
        <v>3122</v>
      </c>
      <c r="P4888" s="132" t="s">
        <v>77</v>
      </c>
      <c r="Q4888" s="131">
        <v>1286.1199999999999</v>
      </c>
      <c r="R4888" s="131">
        <v>205.78</v>
      </c>
      <c r="S4888" s="131"/>
      <c r="T4888" s="155">
        <v>0</v>
      </c>
      <c r="U4888" s="131">
        <v>0</v>
      </c>
      <c r="V4888" s="131">
        <v>1491.8999999999999</v>
      </c>
      <c r="W4888">
        <v>25</v>
      </c>
      <c r="X4888" s="151" t="s">
        <v>105</v>
      </c>
      <c r="Y4888" s="135" t="s">
        <v>55</v>
      </c>
      <c r="Z4888" s="307">
        <v>262</v>
      </c>
      <c r="AB4888" t="str">
        <f>IF(Table1[[#This Row],[TIPO2]]="costo", VLOOKUP(Table1[[#This Row],[PARTIDA PRESUPUESTAL]],'Cost Report'!G:G,1,0),"Balance")</f>
        <v>3683-101</v>
      </c>
      <c r="AC4888" s="118"/>
      <c r="AD4888" s="159">
        <f>+Table1[[#This Row],[SUBTOTAL]]+Table1[[#This Row],[IVA]]-Table1[[#This Row],[RET IVA]]-Table1[[#This Row],[RET ISR]]-Table1[[#This Row],[TOTAL]]</f>
        <v>0</v>
      </c>
      <c r="AE4888" s="150"/>
      <c r="AF4888" s="151"/>
      <c r="AG4888" s="126"/>
      <c r="AK4888" s="306">
        <f>IF(ISNUMBER(Table1[[#This Row],[FECHA DE RECIBIDO]]), Table1[[#This Row],[FECHA DE RECIBIDO]]-DATE(2023,8,30), "")</f>
        <v>-44907.21702546296</v>
      </c>
    </row>
    <row r="4889" spans="1:37" ht="16.05" customHeight="1">
      <c r="A4889" s="152"/>
      <c r="B4889" s="151">
        <v>1592</v>
      </c>
      <c r="C4889" s="126" t="s">
        <v>1100</v>
      </c>
      <c r="D4889">
        <v>3271</v>
      </c>
      <c r="E4889" s="126" t="s">
        <v>2001</v>
      </c>
      <c r="F4889" s="125" t="s">
        <v>1607</v>
      </c>
      <c r="G4889" s="125" t="s">
        <v>134</v>
      </c>
      <c r="H4889">
        <v>23</v>
      </c>
      <c r="I4889" s="125" t="s">
        <v>1546</v>
      </c>
      <c r="J4889" s="308">
        <v>260.78297453703999</v>
      </c>
      <c r="K4889" s="127" t="s">
        <v>4625</v>
      </c>
      <c r="L4889" s="153" t="s">
        <v>3306</v>
      </c>
      <c r="M4889">
        <v>32</v>
      </c>
      <c r="N4889" s="123">
        <v>51</v>
      </c>
      <c r="O4889">
        <v>3122</v>
      </c>
      <c r="P4889" s="132" t="s">
        <v>77</v>
      </c>
      <c r="Q4889" s="132">
        <v>1600.5</v>
      </c>
      <c r="R4889" s="132">
        <v>256.08</v>
      </c>
      <c r="S4889" s="132"/>
      <c r="T4889" s="156">
        <v>0</v>
      </c>
      <c r="U4889" s="132">
        <v>0</v>
      </c>
      <c r="V4889" s="132">
        <v>1856.58</v>
      </c>
      <c r="W4889">
        <v>25</v>
      </c>
      <c r="X4889" s="153" t="s">
        <v>105</v>
      </c>
      <c r="Y4889" s="124" t="s">
        <v>55</v>
      </c>
      <c r="Z4889" s="308">
        <v>262</v>
      </c>
      <c r="AB4889" t="str">
        <f>IF(Table1[[#This Row],[TIPO2]]="costo", VLOOKUP(Table1[[#This Row],[PARTIDA PRESUPUESTAL]],'Cost Report'!G:G,1,0),"Balance")</f>
        <v>3683-105</v>
      </c>
      <c r="AC4889" s="118"/>
      <c r="AD4889" s="159">
        <f>+Table1[[#This Row],[SUBTOTAL]]+Table1[[#This Row],[IVA]]-Table1[[#This Row],[RET IVA]]-Table1[[#This Row],[RET ISR]]-Table1[[#This Row],[TOTAL]]</f>
        <v>0</v>
      </c>
      <c r="AE4889" s="152"/>
      <c r="AF4889" s="153"/>
      <c r="AG4889" s="126"/>
      <c r="AK4889" s="306">
        <f>IF(ISNUMBER(Table1[[#This Row],[FECHA DE RECIBIDO]]), Table1[[#This Row],[FECHA DE RECIBIDO]]-DATE(2023,8,30), "")</f>
        <v>-44907.21702546296</v>
      </c>
    </row>
    <row r="4890" spans="1:37" ht="16.05" customHeight="1">
      <c r="A4890" s="150"/>
      <c r="B4890" s="151">
        <v>1592</v>
      </c>
      <c r="C4890" s="126" t="s">
        <v>2880</v>
      </c>
      <c r="D4890">
        <v>3271</v>
      </c>
      <c r="E4890" s="126" t="s">
        <v>2001</v>
      </c>
      <c r="F4890" s="122" t="s">
        <v>1607</v>
      </c>
      <c r="G4890" s="122" t="s">
        <v>134</v>
      </c>
      <c r="H4890">
        <v>23</v>
      </c>
      <c r="I4890" s="122" t="s">
        <v>1546</v>
      </c>
      <c r="J4890" s="307">
        <v>260.78297453703999</v>
      </c>
      <c r="K4890" s="127" t="s">
        <v>4625</v>
      </c>
      <c r="L4890" s="151" t="s">
        <v>3306</v>
      </c>
      <c r="M4890">
        <v>32</v>
      </c>
      <c r="N4890" s="123">
        <v>51</v>
      </c>
      <c r="O4890">
        <v>3122</v>
      </c>
      <c r="P4890" s="132" t="s">
        <v>77</v>
      </c>
      <c r="Q4890" s="131">
        <v>3201</v>
      </c>
      <c r="R4890" s="131">
        <v>512.16</v>
      </c>
      <c r="S4890" s="131"/>
      <c r="T4890" s="155">
        <v>0</v>
      </c>
      <c r="U4890" s="131">
        <v>0</v>
      </c>
      <c r="V4890" s="131">
        <v>3713.16</v>
      </c>
      <c r="W4890">
        <v>25</v>
      </c>
      <c r="X4890" s="151" t="s">
        <v>105</v>
      </c>
      <c r="Y4890" s="135" t="s">
        <v>55</v>
      </c>
      <c r="Z4890" s="307">
        <v>262</v>
      </c>
      <c r="AB4890" t="str">
        <f>IF(Table1[[#This Row],[TIPO2]]="costo", VLOOKUP(Table1[[#This Row],[PARTIDA PRESUPUESTAL]],'Cost Report'!G:G,1,0),"Balance")</f>
        <v>3683-109</v>
      </c>
      <c r="AC4890" s="118"/>
      <c r="AD4890" s="159">
        <f>+Table1[[#This Row],[SUBTOTAL]]+Table1[[#This Row],[IVA]]-Table1[[#This Row],[RET IVA]]-Table1[[#This Row],[RET ISR]]-Table1[[#This Row],[TOTAL]]</f>
        <v>0</v>
      </c>
      <c r="AE4890" s="150"/>
      <c r="AF4890" s="151"/>
      <c r="AG4890" s="126"/>
      <c r="AK4890" s="306">
        <f>IF(ISNUMBER(Table1[[#This Row],[FECHA DE RECIBIDO]]), Table1[[#This Row],[FECHA DE RECIBIDO]]-DATE(2023,8,30), "")</f>
        <v>-44907.21702546296</v>
      </c>
    </row>
    <row r="4891" spans="1:37" ht="16.05" customHeight="1">
      <c r="A4891" s="152"/>
      <c r="B4891" s="151">
        <v>1592</v>
      </c>
      <c r="C4891" s="126" t="s">
        <v>2882</v>
      </c>
      <c r="D4891">
        <v>3271</v>
      </c>
      <c r="E4891" s="126" t="s">
        <v>2001</v>
      </c>
      <c r="F4891" s="125" t="s">
        <v>1607</v>
      </c>
      <c r="G4891" s="125" t="s">
        <v>134</v>
      </c>
      <c r="H4891">
        <v>23</v>
      </c>
      <c r="I4891" s="125" t="s">
        <v>1546</v>
      </c>
      <c r="J4891" s="308">
        <v>260.78297453703999</v>
      </c>
      <c r="K4891" s="127" t="s">
        <v>4625</v>
      </c>
      <c r="L4891" s="153" t="s">
        <v>3306</v>
      </c>
      <c r="M4891">
        <v>32</v>
      </c>
      <c r="N4891" s="123">
        <v>51</v>
      </c>
      <c r="O4891">
        <v>3122</v>
      </c>
      <c r="P4891" s="132" t="s">
        <v>77</v>
      </c>
      <c r="Q4891" s="132">
        <v>1600.5</v>
      </c>
      <c r="R4891" s="132">
        <v>256.08</v>
      </c>
      <c r="S4891" s="132"/>
      <c r="T4891" s="156">
        <v>0</v>
      </c>
      <c r="U4891" s="132">
        <v>0</v>
      </c>
      <c r="V4891" s="132">
        <v>1856.58</v>
      </c>
      <c r="W4891">
        <v>25</v>
      </c>
      <c r="X4891" s="153" t="s">
        <v>105</v>
      </c>
      <c r="Y4891" s="124" t="s">
        <v>55</v>
      </c>
      <c r="Z4891" s="308">
        <v>262</v>
      </c>
      <c r="AB4891" t="str">
        <f>IF(Table1[[#This Row],[TIPO2]]="costo", VLOOKUP(Table1[[#This Row],[PARTIDA PRESUPUESTAL]],'Cost Report'!G:G,1,0),"Balance")</f>
        <v>3683-113</v>
      </c>
      <c r="AC4891" s="118"/>
      <c r="AD4891" s="159">
        <f>+Table1[[#This Row],[SUBTOTAL]]+Table1[[#This Row],[IVA]]-Table1[[#This Row],[RET IVA]]-Table1[[#This Row],[RET ISR]]-Table1[[#This Row],[TOTAL]]</f>
        <v>0</v>
      </c>
      <c r="AE4891" s="152"/>
      <c r="AF4891" s="153"/>
      <c r="AG4891" s="126"/>
      <c r="AK4891" s="306">
        <f>IF(ISNUMBER(Table1[[#This Row],[FECHA DE RECIBIDO]]), Table1[[#This Row],[FECHA DE RECIBIDO]]-DATE(2023,8,30), "")</f>
        <v>-44907.21702546296</v>
      </c>
    </row>
    <row r="4892" spans="1:37" ht="16.05" customHeight="1">
      <c r="A4892" s="150"/>
      <c r="B4892" s="151">
        <v>1592</v>
      </c>
      <c r="C4892" s="126" t="s">
        <v>2909</v>
      </c>
      <c r="D4892">
        <v>3271</v>
      </c>
      <c r="E4892" s="126" t="s">
        <v>2001</v>
      </c>
      <c r="F4892" s="122" t="s">
        <v>1607</v>
      </c>
      <c r="G4892" s="122" t="s">
        <v>134</v>
      </c>
      <c r="H4892">
        <v>23</v>
      </c>
      <c r="I4892" s="122" t="s">
        <v>1546</v>
      </c>
      <c r="J4892" s="307">
        <v>260.78297453703999</v>
      </c>
      <c r="K4892" s="127" t="s">
        <v>4625</v>
      </c>
      <c r="L4892" s="151" t="s">
        <v>3306</v>
      </c>
      <c r="M4892">
        <v>32</v>
      </c>
      <c r="N4892" s="123">
        <v>51</v>
      </c>
      <c r="O4892">
        <v>3122</v>
      </c>
      <c r="P4892" s="132" t="s">
        <v>77</v>
      </c>
      <c r="Q4892" s="131">
        <v>1600.5</v>
      </c>
      <c r="R4892" s="131">
        <v>256.08</v>
      </c>
      <c r="S4892" s="131"/>
      <c r="T4892" s="155">
        <v>0</v>
      </c>
      <c r="U4892" s="131">
        <v>0</v>
      </c>
      <c r="V4892" s="131">
        <v>1856.58</v>
      </c>
      <c r="W4892">
        <v>25</v>
      </c>
      <c r="X4892" s="151" t="s">
        <v>105</v>
      </c>
      <c r="Y4892" s="135" t="s">
        <v>55</v>
      </c>
      <c r="Z4892" s="307">
        <v>262</v>
      </c>
      <c r="AB4892" t="str">
        <f>IF(Table1[[#This Row],[TIPO2]]="costo", VLOOKUP(Table1[[#This Row],[PARTIDA PRESUPUESTAL]],'Cost Report'!G:G,1,0),"Balance")</f>
        <v>3683-158</v>
      </c>
      <c r="AC4892" s="118"/>
      <c r="AD4892" s="159">
        <f>+Table1[[#This Row],[SUBTOTAL]]+Table1[[#This Row],[IVA]]-Table1[[#This Row],[RET IVA]]-Table1[[#This Row],[RET ISR]]-Table1[[#This Row],[TOTAL]]</f>
        <v>0</v>
      </c>
      <c r="AE4892" s="150"/>
      <c r="AF4892" s="151"/>
      <c r="AG4892" s="126"/>
      <c r="AK4892" s="306">
        <f>IF(ISNUMBER(Table1[[#This Row],[FECHA DE RECIBIDO]]), Table1[[#This Row],[FECHA DE RECIBIDO]]-DATE(2023,8,30), "")</f>
        <v>-44907.21702546296</v>
      </c>
    </row>
    <row r="4893" spans="1:37" ht="16.05" customHeight="1">
      <c r="A4893" s="152"/>
      <c r="B4893" s="151">
        <v>1592</v>
      </c>
      <c r="C4893" s="126" t="s">
        <v>2916</v>
      </c>
      <c r="D4893">
        <v>3271</v>
      </c>
      <c r="E4893" s="126" t="s">
        <v>2001</v>
      </c>
      <c r="F4893" s="125" t="s">
        <v>1607</v>
      </c>
      <c r="G4893" s="125" t="s">
        <v>134</v>
      </c>
      <c r="H4893">
        <v>23</v>
      </c>
      <c r="I4893" s="125" t="s">
        <v>1546</v>
      </c>
      <c r="J4893" s="308">
        <v>260.78297453703999</v>
      </c>
      <c r="K4893" s="127" t="s">
        <v>4625</v>
      </c>
      <c r="L4893" s="153" t="s">
        <v>3306</v>
      </c>
      <c r="M4893">
        <v>32</v>
      </c>
      <c r="N4893" s="123">
        <v>51</v>
      </c>
      <c r="O4893">
        <v>3122</v>
      </c>
      <c r="P4893" s="132" t="s">
        <v>77</v>
      </c>
      <c r="Q4893" s="132">
        <v>520.57000000000005</v>
      </c>
      <c r="R4893" s="132">
        <v>83.29</v>
      </c>
      <c r="S4893" s="132"/>
      <c r="T4893" s="156">
        <v>0</v>
      </c>
      <c r="U4893" s="132">
        <v>0</v>
      </c>
      <c r="V4893" s="132">
        <v>603.86</v>
      </c>
      <c r="W4893">
        <v>25</v>
      </c>
      <c r="X4893" s="153" t="s">
        <v>105</v>
      </c>
      <c r="Y4893" s="124" t="s">
        <v>55</v>
      </c>
      <c r="Z4893" s="308">
        <v>262</v>
      </c>
      <c r="AB4893" t="str">
        <f>IF(Table1[[#This Row],[TIPO2]]="costo", VLOOKUP(Table1[[#This Row],[PARTIDA PRESUPUESTAL]],'Cost Report'!G:G,1,0),"Balance")</f>
        <v>3683-171</v>
      </c>
      <c r="AC4893" s="118"/>
      <c r="AD4893" s="159">
        <f>+Table1[[#This Row],[SUBTOTAL]]+Table1[[#This Row],[IVA]]-Table1[[#This Row],[RET IVA]]-Table1[[#This Row],[RET ISR]]-Table1[[#This Row],[TOTAL]]</f>
        <v>0</v>
      </c>
      <c r="AE4893" s="152"/>
      <c r="AF4893" s="153"/>
      <c r="AG4893" s="126"/>
      <c r="AK4893" s="306">
        <f>IF(ISNUMBER(Table1[[#This Row],[FECHA DE RECIBIDO]]), Table1[[#This Row],[FECHA DE RECIBIDO]]-DATE(2023,8,30), "")</f>
        <v>-44907.21702546296</v>
      </c>
    </row>
    <row r="4894" spans="1:37" ht="16.05" customHeight="1">
      <c r="A4894" s="150"/>
      <c r="B4894" s="151">
        <v>1592</v>
      </c>
      <c r="C4894" s="126" t="s">
        <v>2907</v>
      </c>
      <c r="D4894">
        <v>3271</v>
      </c>
      <c r="E4894" s="126" t="s">
        <v>2001</v>
      </c>
      <c r="F4894" s="122" t="s">
        <v>1607</v>
      </c>
      <c r="G4894" s="122" t="s">
        <v>134</v>
      </c>
      <c r="H4894">
        <v>23</v>
      </c>
      <c r="I4894" s="122" t="s">
        <v>1546</v>
      </c>
      <c r="J4894" s="307">
        <v>260.78297453703999</v>
      </c>
      <c r="K4894" s="127" t="s">
        <v>4625</v>
      </c>
      <c r="L4894" s="151" t="s">
        <v>3306</v>
      </c>
      <c r="M4894">
        <v>32</v>
      </c>
      <c r="N4894" s="123">
        <v>51</v>
      </c>
      <c r="O4894">
        <v>3122</v>
      </c>
      <c r="P4894" s="132" t="s">
        <v>77</v>
      </c>
      <c r="Q4894" s="131">
        <v>285.8</v>
      </c>
      <c r="R4894" s="131">
        <v>45.7</v>
      </c>
      <c r="S4894" s="131"/>
      <c r="T4894" s="155">
        <v>0</v>
      </c>
      <c r="U4894" s="131">
        <v>0</v>
      </c>
      <c r="V4894" s="131">
        <v>331.5</v>
      </c>
      <c r="W4894">
        <v>25</v>
      </c>
      <c r="X4894" s="151" t="s">
        <v>105</v>
      </c>
      <c r="Y4894" s="135" t="s">
        <v>55</v>
      </c>
      <c r="Z4894" s="307">
        <v>262</v>
      </c>
      <c r="AB4894" t="str">
        <f>IF(Table1[[#This Row],[TIPO2]]="costo", VLOOKUP(Table1[[#This Row],[PARTIDA PRESUPUESTAL]],'Cost Report'!G:G,1,0),"Balance")</f>
        <v>3683-154</v>
      </c>
      <c r="AC4894" s="118"/>
      <c r="AD4894" s="159">
        <f>+Table1[[#This Row],[SUBTOTAL]]+Table1[[#This Row],[IVA]]-Table1[[#This Row],[RET IVA]]-Table1[[#This Row],[RET ISR]]-Table1[[#This Row],[TOTAL]]</f>
        <v>0</v>
      </c>
      <c r="AE4894" s="150"/>
      <c r="AF4894" s="151"/>
      <c r="AG4894" s="126"/>
      <c r="AK4894" s="306">
        <f>IF(ISNUMBER(Table1[[#This Row],[FECHA DE RECIBIDO]]), Table1[[#This Row],[FECHA DE RECIBIDO]]-DATE(2023,8,30), "")</f>
        <v>-44907.21702546296</v>
      </c>
    </row>
    <row r="4895" spans="1:37">
      <c r="A4895" s="172"/>
      <c r="B4895" s="178"/>
      <c r="C4895" s="179" t="s">
        <v>3102</v>
      </c>
      <c r="D4895"/>
      <c r="E4895" s="125"/>
      <c r="F4895" s="178"/>
      <c r="G4895" s="178"/>
      <c r="H4895"/>
      <c r="I4895" s="178"/>
      <c r="J4895" s="320" t="s">
        <v>214</v>
      </c>
      <c r="K4895" s="181" t="s">
        <v>4625</v>
      </c>
      <c r="L4895" s="125" t="s">
        <v>4317</v>
      </c>
      <c r="M4895">
        <v>7</v>
      </c>
      <c r="N4895" s="182"/>
      <c r="O4895">
        <v>2645</v>
      </c>
      <c r="P4895" s="132" t="s">
        <v>77</v>
      </c>
      <c r="Q4895" s="176">
        <v>1020</v>
      </c>
      <c r="R4895" s="176">
        <v>163.19999999999999</v>
      </c>
      <c r="S4895" s="176"/>
      <c r="T4895" s="183">
        <v>0</v>
      </c>
      <c r="U4895" s="184"/>
      <c r="V4895" s="184">
        <f>+Q4895+R4895</f>
        <v>1183.2</v>
      </c>
      <c r="W4895"/>
      <c r="X4895" s="186"/>
      <c r="Y4895" s="187"/>
      <c r="Z4895" s="307">
        <v>257</v>
      </c>
      <c r="AB4895" t="s">
        <v>3102</v>
      </c>
      <c r="AD4895" s="159">
        <v>0</v>
      </c>
      <c r="AK4895" s="306" t="str">
        <f>IF(ISNUMBER(Table1[[#This Row],[FECHA DE RECIBIDO]]), Table1[[#This Row],[FECHA DE RECIBIDO]]-DATE(2023,8,30), "")</f>
        <v/>
      </c>
    </row>
    <row r="4896" spans="1:37" ht="16.95" customHeight="1">
      <c r="A4896" s="172" t="s">
        <v>4626</v>
      </c>
      <c r="B4896" s="178">
        <v>1631</v>
      </c>
      <c r="C4896" s="179" t="s">
        <v>2868</v>
      </c>
      <c r="D4896">
        <v>3272</v>
      </c>
      <c r="E4896" s="125" t="s">
        <v>1655</v>
      </c>
      <c r="F4896" s="178" t="s">
        <v>1607</v>
      </c>
      <c r="G4896" s="178" t="s">
        <v>134</v>
      </c>
      <c r="H4896">
        <v>59</v>
      </c>
      <c r="I4896" s="178" t="s">
        <v>1546</v>
      </c>
      <c r="J4896" s="320" t="s">
        <v>214</v>
      </c>
      <c r="K4896" s="181" t="s">
        <v>4625</v>
      </c>
      <c r="L4896" s="125" t="s">
        <v>1579</v>
      </c>
      <c r="M4896">
        <v>1177</v>
      </c>
      <c r="N4896" s="182">
        <v>17</v>
      </c>
      <c r="O4896">
        <v>3123</v>
      </c>
      <c r="P4896" s="132" t="s">
        <v>77</v>
      </c>
      <c r="Q4896" s="176">
        <v>11273.800000000001</v>
      </c>
      <c r="R4896" s="176">
        <v>1749.92</v>
      </c>
      <c r="S4896" s="176">
        <v>336.77</v>
      </c>
      <c r="T4896" s="190"/>
      <c r="U4896" s="191"/>
      <c r="V4896" s="191">
        <v>13023.720000000001</v>
      </c>
      <c r="W4896"/>
      <c r="X4896" s="186" t="s">
        <v>4627</v>
      </c>
      <c r="Y4896" s="187" t="s">
        <v>4628</v>
      </c>
      <c r="Z4896" s="311" t="s">
        <v>214</v>
      </c>
      <c r="AB4896" t="str">
        <f>IF(Table1[[#This Row],[TIPO2]]="costo", VLOOKUP(Table1[[#This Row],[PARTIDA PRESUPUESTAL]],'Cost Report'!G:G,1,0),"Balance")</f>
        <v>3632-009</v>
      </c>
      <c r="AD4896" s="159">
        <f>+Table1[[#This Row],[SUBTOTAL]]+Table1[[#This Row],[IVA]]-Table1[[#This Row],[RET IVA]]-Table1[[#This Row],[RET ISR]]-Table1[[#This Row],[TOTAL]]</f>
        <v>0</v>
      </c>
      <c r="AG4896" t="s">
        <v>3420</v>
      </c>
      <c r="AK4896" s="306" t="str">
        <f>IF(ISNUMBER(Table1[[#This Row],[FECHA DE RECIBIDO]]), Table1[[#This Row],[FECHA DE RECIBIDO]]-DATE(2023,8,30), "")</f>
        <v/>
      </c>
    </row>
    <row r="4897" spans="1:37" ht="16.95" customHeight="1">
      <c r="A4897" s="172" t="s">
        <v>4629</v>
      </c>
      <c r="B4897" s="178">
        <v>1632</v>
      </c>
      <c r="C4897" s="179" t="s">
        <v>2868</v>
      </c>
      <c r="D4897">
        <v>3273</v>
      </c>
      <c r="E4897" s="125" t="s">
        <v>1655</v>
      </c>
      <c r="F4897" s="178" t="s">
        <v>1607</v>
      </c>
      <c r="G4897" s="178" t="s">
        <v>134</v>
      </c>
      <c r="H4897">
        <v>59</v>
      </c>
      <c r="I4897" s="178" t="s">
        <v>1546</v>
      </c>
      <c r="J4897" s="320" t="s">
        <v>214</v>
      </c>
      <c r="K4897" s="181" t="s">
        <v>4625</v>
      </c>
      <c r="L4897" s="125" t="s">
        <v>1579</v>
      </c>
      <c r="M4897">
        <v>1177</v>
      </c>
      <c r="N4897" s="182">
        <v>17</v>
      </c>
      <c r="O4897">
        <v>3124</v>
      </c>
      <c r="P4897" s="132" t="s">
        <v>77</v>
      </c>
      <c r="Q4897" s="176">
        <v>51252.17</v>
      </c>
      <c r="R4897" s="176">
        <v>7993.61</v>
      </c>
      <c r="S4897" s="176">
        <v>1292.1500000000001</v>
      </c>
      <c r="T4897" s="190"/>
      <c r="U4897" s="191"/>
      <c r="V4897" s="191">
        <v>59245.78</v>
      </c>
      <c r="W4897"/>
      <c r="X4897" s="186" t="s">
        <v>4627</v>
      </c>
      <c r="Y4897" s="187" t="s">
        <v>4628</v>
      </c>
      <c r="Z4897" s="311" t="s">
        <v>214</v>
      </c>
      <c r="AB4897" t="str">
        <f>IF(Table1[[#This Row],[TIPO2]]="costo", VLOOKUP(Table1[[#This Row],[PARTIDA PRESUPUESTAL]],'Cost Report'!G:G,1,0),"Balance")</f>
        <v>3632-009</v>
      </c>
      <c r="AD4897" s="159">
        <f>+Table1[[#This Row],[SUBTOTAL]]+Table1[[#This Row],[IVA]]-Table1[[#This Row],[RET IVA]]-Table1[[#This Row],[RET ISR]]-Table1[[#This Row],[TOTAL]]</f>
        <v>0</v>
      </c>
      <c r="AG4897" t="s">
        <v>3420</v>
      </c>
      <c r="AK4897" s="306" t="str">
        <f>IF(ISNUMBER(Table1[[#This Row],[FECHA DE RECIBIDO]]), Table1[[#This Row],[FECHA DE RECIBIDO]]-DATE(2023,8,30), "")</f>
        <v/>
      </c>
    </row>
    <row r="4898" spans="1:37" ht="16.95" customHeight="1">
      <c r="A4898" s="172" t="s">
        <v>4630</v>
      </c>
      <c r="B4898" s="178">
        <v>1633</v>
      </c>
      <c r="C4898" s="179" t="s">
        <v>2868</v>
      </c>
      <c r="D4898">
        <v>3274</v>
      </c>
      <c r="E4898" s="125" t="s">
        <v>1655</v>
      </c>
      <c r="F4898" s="178" t="s">
        <v>1607</v>
      </c>
      <c r="G4898" s="178" t="s">
        <v>134</v>
      </c>
      <c r="H4898">
        <v>59</v>
      </c>
      <c r="I4898" s="178" t="s">
        <v>1546</v>
      </c>
      <c r="J4898" s="320" t="s">
        <v>214</v>
      </c>
      <c r="K4898" s="181" t="s">
        <v>4625</v>
      </c>
      <c r="L4898" s="125" t="s">
        <v>1579</v>
      </c>
      <c r="M4898">
        <v>1177</v>
      </c>
      <c r="N4898" s="182">
        <v>17</v>
      </c>
      <c r="O4898">
        <v>3125</v>
      </c>
      <c r="P4898" s="132" t="s">
        <v>77</v>
      </c>
      <c r="Q4898" s="176">
        <v>138299.09000000003</v>
      </c>
      <c r="R4898" s="176">
        <v>21604.880000000001</v>
      </c>
      <c r="S4898" s="176">
        <v>3268.64</v>
      </c>
      <c r="T4898" s="190"/>
      <c r="U4898" s="191"/>
      <c r="V4898" s="191">
        <v>159903.97000000003</v>
      </c>
      <c r="W4898"/>
      <c r="X4898" s="186" t="s">
        <v>4627</v>
      </c>
      <c r="Y4898" s="187" t="s">
        <v>4628</v>
      </c>
      <c r="Z4898" s="311" t="s">
        <v>214</v>
      </c>
      <c r="AB4898" t="str">
        <f>IF(Table1[[#This Row],[TIPO2]]="costo", VLOOKUP(Table1[[#This Row],[PARTIDA PRESUPUESTAL]],'Cost Report'!G:G,1,0),"Balance")</f>
        <v>3632-009</v>
      </c>
      <c r="AD4898" s="159">
        <f>+Table1[[#This Row],[SUBTOTAL]]+Table1[[#This Row],[IVA]]-Table1[[#This Row],[RET IVA]]-Table1[[#This Row],[RET ISR]]-Table1[[#This Row],[TOTAL]]</f>
        <v>0</v>
      </c>
      <c r="AG4898" t="s">
        <v>3420</v>
      </c>
      <c r="AK4898" s="306" t="str">
        <f>IF(ISNUMBER(Table1[[#This Row],[FECHA DE RECIBIDO]]), Table1[[#This Row],[FECHA DE RECIBIDO]]-DATE(2023,8,30), "")</f>
        <v/>
      </c>
    </row>
    <row r="4899" spans="1:37">
      <c r="A4899" s="172"/>
      <c r="B4899" s="178"/>
      <c r="C4899" s="179" t="s">
        <v>71</v>
      </c>
      <c r="D4899"/>
      <c r="E4899" s="125"/>
      <c r="F4899" s="178"/>
      <c r="G4899" s="178"/>
      <c r="H4899"/>
      <c r="I4899" s="178"/>
      <c r="J4899" s="320" t="s">
        <v>214</v>
      </c>
      <c r="K4899" s="178" t="s">
        <v>4625</v>
      </c>
      <c r="L4899" s="125" t="s">
        <v>1643</v>
      </c>
      <c r="M4899">
        <v>1176</v>
      </c>
      <c r="N4899" s="182"/>
      <c r="O4899">
        <v>3126</v>
      </c>
      <c r="P4899" s="131" t="s">
        <v>78</v>
      </c>
      <c r="Q4899" s="176">
        <v>-232173.47</v>
      </c>
      <c r="R4899" s="176"/>
      <c r="S4899" s="176"/>
      <c r="T4899" s="190">
        <v>0</v>
      </c>
      <c r="U4899" s="191"/>
      <c r="V4899" s="191">
        <f>+Table1[[#This Row],[SUBTOTAL]]</f>
        <v>-232173.47</v>
      </c>
      <c r="W4899"/>
      <c r="X4899" s="186"/>
      <c r="Y4899" s="187"/>
      <c r="Z4899" s="311">
        <v>212</v>
      </c>
      <c r="AB4899" t="s">
        <v>78</v>
      </c>
      <c r="AD4899" s="159">
        <v>0</v>
      </c>
      <c r="AG4899" t="s">
        <v>3420</v>
      </c>
      <c r="AK4899" s="306" t="str">
        <f>IF(ISNUMBER(Table1[[#This Row],[FECHA DE RECIBIDO]]), Table1[[#This Row],[FECHA DE RECIBIDO]]-DATE(2023,8,30), "")</f>
        <v/>
      </c>
    </row>
    <row r="4900" spans="1:37" ht="16.05" customHeight="1">
      <c r="A4900" s="172" t="s">
        <v>4631</v>
      </c>
      <c r="B4900" s="178">
        <v>1578</v>
      </c>
      <c r="C4900" s="179" t="s">
        <v>2825</v>
      </c>
      <c r="D4900">
        <v>3275</v>
      </c>
      <c r="E4900" s="125">
        <v>44690</v>
      </c>
      <c r="F4900" s="178">
        <v>626</v>
      </c>
      <c r="G4900" s="178" t="s">
        <v>109</v>
      </c>
      <c r="H4900">
        <v>848</v>
      </c>
      <c r="I4900" s="178" t="s">
        <v>1546</v>
      </c>
      <c r="J4900" s="320">
        <v>258.59396990740788</v>
      </c>
      <c r="K4900" s="178" t="s">
        <v>4871</v>
      </c>
      <c r="L4900" s="125" t="s">
        <v>3306</v>
      </c>
      <c r="M4900">
        <v>1178</v>
      </c>
      <c r="N4900" s="182">
        <v>24</v>
      </c>
      <c r="O4900">
        <v>3127</v>
      </c>
      <c r="P4900" s="132" t="s">
        <v>77</v>
      </c>
      <c r="Q4900" s="176">
        <v>8000</v>
      </c>
      <c r="R4900" s="176">
        <v>1180</v>
      </c>
      <c r="S4900" s="176"/>
      <c r="T4900" s="190">
        <v>0</v>
      </c>
      <c r="U4900" s="191">
        <v>0</v>
      </c>
      <c r="V4900" s="191">
        <v>9180</v>
      </c>
      <c r="W4900">
        <v>411</v>
      </c>
      <c r="X4900" s="186" t="s">
        <v>195</v>
      </c>
      <c r="Y4900" s="187" t="s">
        <v>55</v>
      </c>
      <c r="Z4900" s="311">
        <v>264</v>
      </c>
      <c r="AB4900" t="str">
        <f>IF(Table1[[#This Row],[TIPO2]]="costo", VLOOKUP(Table1[[#This Row],[PARTIDA PRESUPUESTAL]],'Cost Report'!G:G,1,0),"Balance")</f>
        <v>3412-132</v>
      </c>
      <c r="AD4900" s="159">
        <f>+Table1[[#This Row],[SUBTOTAL]]+Table1[[#This Row],[IVA]]-Table1[[#This Row],[RET IVA]]-Table1[[#This Row],[RET ISR]]-Table1[[#This Row],[TOTAL]]</f>
        <v>0</v>
      </c>
      <c r="AK4900" s="306">
        <f>IF(ISNUMBER(Table1[[#This Row],[FECHA DE RECIBIDO]]), Table1[[#This Row],[FECHA DE RECIBIDO]]-DATE(2023,8,30), "")</f>
        <v>-44909.406030092592</v>
      </c>
    </row>
    <row r="4901" spans="1:37" ht="16.05" customHeight="1">
      <c r="A4901" s="172" t="s">
        <v>4632</v>
      </c>
      <c r="B4901" s="178">
        <v>1579</v>
      </c>
      <c r="C4901" s="179" t="s">
        <v>2825</v>
      </c>
      <c r="D4901">
        <v>3276</v>
      </c>
      <c r="E4901" s="125" t="s">
        <v>3670</v>
      </c>
      <c r="F4901" s="178" t="s">
        <v>1371</v>
      </c>
      <c r="G4901" s="178" t="s">
        <v>2065</v>
      </c>
      <c r="H4901">
        <v>584</v>
      </c>
      <c r="I4901" s="178" t="s">
        <v>1546</v>
      </c>
      <c r="J4901" s="320" t="s">
        <v>214</v>
      </c>
      <c r="K4901" s="178" t="s">
        <v>4871</v>
      </c>
      <c r="L4901" s="125" t="s">
        <v>3306</v>
      </c>
      <c r="M4901">
        <v>827</v>
      </c>
      <c r="N4901" s="182">
        <v>24</v>
      </c>
      <c r="O4901">
        <v>3128</v>
      </c>
      <c r="P4901" s="132" t="s">
        <v>77</v>
      </c>
      <c r="Q4901" s="176">
        <v>20000</v>
      </c>
      <c r="R4901" s="176">
        <v>3200</v>
      </c>
      <c r="S4901" s="176"/>
      <c r="T4901" s="190">
        <v>0</v>
      </c>
      <c r="U4901" s="191">
        <v>0</v>
      </c>
      <c r="V4901" s="191">
        <v>23200</v>
      </c>
      <c r="W4901">
        <v>331</v>
      </c>
      <c r="X4901" s="186" t="s">
        <v>2035</v>
      </c>
      <c r="Y4901" s="187" t="s">
        <v>55</v>
      </c>
      <c r="Z4901" s="311">
        <v>264</v>
      </c>
      <c r="AB4901" t="str">
        <f>IF(Table1[[#This Row],[TIPO2]]="costo", VLOOKUP(Table1[[#This Row],[PARTIDA PRESUPUESTAL]],'Cost Report'!G:G,1,0),"Balance")</f>
        <v>3412-132</v>
      </c>
      <c r="AD4901" s="159">
        <f>+Table1[[#This Row],[SUBTOTAL]]+Table1[[#This Row],[IVA]]-Table1[[#This Row],[RET IVA]]-Table1[[#This Row],[RET ISR]]-Table1[[#This Row],[TOTAL]]</f>
        <v>0</v>
      </c>
      <c r="AK4901" s="306" t="str">
        <f>IF(ISNUMBER(Table1[[#This Row],[FECHA DE RECIBIDO]]), Table1[[#This Row],[FECHA DE RECIBIDO]]-DATE(2023,8,30), "")</f>
        <v/>
      </c>
    </row>
    <row r="4902" spans="1:37" ht="16.05" customHeight="1">
      <c r="A4902" s="172" t="s">
        <v>4633</v>
      </c>
      <c r="B4902" s="178">
        <v>1580</v>
      </c>
      <c r="C4902" s="179" t="s">
        <v>2810</v>
      </c>
      <c r="D4902">
        <v>3277</v>
      </c>
      <c r="E4902" s="125" t="s">
        <v>1999</v>
      </c>
      <c r="F4902" s="178" t="s">
        <v>1593</v>
      </c>
      <c r="G4902" s="178" t="s">
        <v>109</v>
      </c>
      <c r="H4902">
        <v>849</v>
      </c>
      <c r="I4902" s="178" t="s">
        <v>1546</v>
      </c>
      <c r="J4902" s="320" t="s">
        <v>214</v>
      </c>
      <c r="K4902" s="178" t="s">
        <v>4871</v>
      </c>
      <c r="L4902" s="125" t="s">
        <v>3306</v>
      </c>
      <c r="M4902">
        <v>1179</v>
      </c>
      <c r="N4902" s="182">
        <v>24</v>
      </c>
      <c r="O4902">
        <v>3129</v>
      </c>
      <c r="P4902" s="132" t="s">
        <v>77</v>
      </c>
      <c r="Q4902" s="176">
        <v>40000</v>
      </c>
      <c r="R4902" s="176">
        <v>6400</v>
      </c>
      <c r="S4902" s="176"/>
      <c r="T4902" s="190">
        <v>0</v>
      </c>
      <c r="U4902" s="191">
        <v>500</v>
      </c>
      <c r="V4902" s="191">
        <v>45900</v>
      </c>
      <c r="W4902">
        <v>412</v>
      </c>
      <c r="X4902" s="186" t="s">
        <v>195</v>
      </c>
      <c r="Y4902" s="187" t="s">
        <v>55</v>
      </c>
      <c r="Z4902" s="311">
        <v>264</v>
      </c>
      <c r="AB4902" t="str">
        <f>IF(Table1[[#This Row],[TIPO2]]="costo", VLOOKUP(Table1[[#This Row],[PARTIDA PRESUPUESTAL]],'Cost Report'!G:G,1,0),"Balance")</f>
        <v>3412-103</v>
      </c>
      <c r="AD4902" s="159">
        <f>+Table1[[#This Row],[SUBTOTAL]]+Table1[[#This Row],[IVA]]-Table1[[#This Row],[RET IVA]]-Table1[[#This Row],[RET ISR]]-Table1[[#This Row],[TOTAL]]</f>
        <v>0</v>
      </c>
      <c r="AK4902" s="306" t="str">
        <f>IF(ISNUMBER(Table1[[#This Row],[FECHA DE RECIBIDO]]), Table1[[#This Row],[FECHA DE RECIBIDO]]-DATE(2023,8,30), "")</f>
        <v/>
      </c>
    </row>
    <row r="4903" spans="1:37" ht="16.05" customHeight="1">
      <c r="A4903" s="172" t="s">
        <v>4634</v>
      </c>
      <c r="B4903" s="178">
        <v>1581</v>
      </c>
      <c r="C4903" s="179" t="s">
        <v>674</v>
      </c>
      <c r="D4903">
        <v>3278</v>
      </c>
      <c r="E4903" s="125">
        <v>56516</v>
      </c>
      <c r="F4903" s="178" t="s">
        <v>1589</v>
      </c>
      <c r="G4903" s="178" t="s">
        <v>129</v>
      </c>
      <c r="H4903">
        <v>850</v>
      </c>
      <c r="I4903" s="178" t="s">
        <v>1546</v>
      </c>
      <c r="J4903" s="320">
        <v>261.54579861111415</v>
      </c>
      <c r="K4903" s="178" t="s">
        <v>4871</v>
      </c>
      <c r="L4903" s="125" t="s">
        <v>3306</v>
      </c>
      <c r="M4903">
        <v>1180</v>
      </c>
      <c r="N4903" s="182">
        <v>1</v>
      </c>
      <c r="O4903">
        <v>3130</v>
      </c>
      <c r="P4903" s="132" t="s">
        <v>77</v>
      </c>
      <c r="Q4903" s="176">
        <v>15000</v>
      </c>
      <c r="R4903" s="176">
        <v>2400</v>
      </c>
      <c r="S4903" s="176"/>
      <c r="T4903" s="190">
        <v>0</v>
      </c>
      <c r="U4903" s="191">
        <v>0</v>
      </c>
      <c r="V4903" s="191">
        <v>17400</v>
      </c>
      <c r="W4903">
        <v>413</v>
      </c>
      <c r="X4903" s="186" t="s">
        <v>1980</v>
      </c>
      <c r="Y4903" s="187" t="s">
        <v>55</v>
      </c>
      <c r="Z4903" s="311">
        <v>264</v>
      </c>
      <c r="AB4903" t="str">
        <f>IF(Table1[[#This Row],[TIPO2]]="costo", VLOOKUP(Table1[[#This Row],[PARTIDA PRESUPUESTAL]],'Cost Report'!G:G,1,0),"Balance")</f>
        <v>2795-003</v>
      </c>
      <c r="AD4903" s="159">
        <f>+Table1[[#This Row],[SUBTOTAL]]+Table1[[#This Row],[IVA]]-Table1[[#This Row],[RET IVA]]-Table1[[#This Row],[RET ISR]]-Table1[[#This Row],[TOTAL]]</f>
        <v>0</v>
      </c>
      <c r="AK4903" s="306">
        <f>IF(ISNUMBER(Table1[[#This Row],[FECHA DE RECIBIDO]]), Table1[[#This Row],[FECHA DE RECIBIDO]]-DATE(2023,8,30), "")</f>
        <v>-44906.454201388886</v>
      </c>
    </row>
    <row r="4904" spans="1:37" ht="16.05" customHeight="1">
      <c r="A4904" s="172" t="s">
        <v>4635</v>
      </c>
      <c r="B4904" s="178">
        <v>1607</v>
      </c>
      <c r="C4904" s="179" t="s">
        <v>229</v>
      </c>
      <c r="D4904"/>
      <c r="E4904" s="125" t="s">
        <v>1911</v>
      </c>
      <c r="F4904" s="178" t="s">
        <v>1911</v>
      </c>
      <c r="G4904" s="178" t="s">
        <v>1911</v>
      </c>
      <c r="H4904"/>
      <c r="I4904" s="178" t="s">
        <v>1911</v>
      </c>
      <c r="J4904" s="320" t="s">
        <v>214</v>
      </c>
      <c r="K4904" s="178" t="s">
        <v>4871</v>
      </c>
      <c r="L4904" s="125" t="s">
        <v>3306</v>
      </c>
      <c r="M4904">
        <v>16</v>
      </c>
      <c r="N4904" s="182">
        <v>1</v>
      </c>
      <c r="O4904">
        <v>1175</v>
      </c>
      <c r="P4904" s="132" t="s">
        <v>77</v>
      </c>
      <c r="Q4904" s="176">
        <v>1248994.5</v>
      </c>
      <c r="R4904" s="176">
        <v>0</v>
      </c>
      <c r="S4904" s="176"/>
      <c r="T4904" s="190">
        <v>0</v>
      </c>
      <c r="U4904" s="191">
        <v>0</v>
      </c>
      <c r="V4904" s="191">
        <v>1249000</v>
      </c>
      <c r="W4904">
        <v>214</v>
      </c>
      <c r="X4904" s="186" t="s">
        <v>3590</v>
      </c>
      <c r="Y4904" s="187" t="s">
        <v>55</v>
      </c>
      <c r="Z4904" s="311">
        <v>265</v>
      </c>
      <c r="AB4904" t="str">
        <f>IF(Table1[[#This Row],[TIPO2]]="costo", VLOOKUP(Table1[[#This Row],[PARTIDA PRESUPUESTAL]],'Cost Report'!G:G,1,0),"Balance")</f>
        <v>1201-003</v>
      </c>
      <c r="AD4904" s="159">
        <f>+Table1[[#This Row],[SUBTOTAL]]+Table1[[#This Row],[IVA]]-Table1[[#This Row],[RET IVA]]-Table1[[#This Row],[RET ISR]]-Table1[[#This Row],[TOTAL]]</f>
        <v>-5.5</v>
      </c>
      <c r="AK4904" s="306" t="str">
        <f>IF(ISNUMBER(Table1[[#This Row],[FECHA DE RECIBIDO]]), Table1[[#This Row],[FECHA DE RECIBIDO]]-DATE(2023,8,30), "")</f>
        <v/>
      </c>
    </row>
    <row r="4905" spans="1:37" ht="16.05" customHeight="1">
      <c r="A4905" s="172" t="s">
        <v>4636</v>
      </c>
      <c r="B4905" s="178">
        <v>1608</v>
      </c>
      <c r="C4905" s="179" t="s">
        <v>2966</v>
      </c>
      <c r="D4905">
        <v>3279</v>
      </c>
      <c r="E4905" s="125" t="s">
        <v>1598</v>
      </c>
      <c r="F4905" s="178" t="s">
        <v>1607</v>
      </c>
      <c r="G4905" s="178" t="s">
        <v>134</v>
      </c>
      <c r="H4905">
        <v>851</v>
      </c>
      <c r="I4905" s="178" t="s">
        <v>1546</v>
      </c>
      <c r="J4905" s="320" t="s">
        <v>214</v>
      </c>
      <c r="K4905" s="178" t="s">
        <v>4871</v>
      </c>
      <c r="L4905" s="125" t="s">
        <v>3306</v>
      </c>
      <c r="M4905">
        <v>1181</v>
      </c>
      <c r="N4905" s="182">
        <v>1</v>
      </c>
      <c r="O4905">
        <v>3131</v>
      </c>
      <c r="P4905" s="132" t="s">
        <v>77</v>
      </c>
      <c r="Q4905" s="176">
        <v>13572.8</v>
      </c>
      <c r="R4905" s="176">
        <v>2171.65</v>
      </c>
      <c r="S4905" s="176"/>
      <c r="T4905" s="190">
        <v>0</v>
      </c>
      <c r="U4905" s="191">
        <v>0</v>
      </c>
      <c r="V4905" s="191">
        <v>15744.449999999999</v>
      </c>
      <c r="W4905">
        <v>414</v>
      </c>
      <c r="X4905" s="186" t="s">
        <v>2035</v>
      </c>
      <c r="Y4905" s="187" t="s">
        <v>55</v>
      </c>
      <c r="Z4905" s="311">
        <v>266</v>
      </c>
      <c r="AB4905" t="str">
        <f>IF(Table1[[#This Row],[TIPO2]]="costo", VLOOKUP(Table1[[#This Row],[PARTIDA PRESUPUESTAL]],'Cost Report'!G:G,1,0),"Balance")</f>
        <v>3902-048</v>
      </c>
      <c r="AD4905" s="159">
        <f>+Table1[[#This Row],[SUBTOTAL]]+Table1[[#This Row],[IVA]]-Table1[[#This Row],[RET IVA]]-Table1[[#This Row],[RET ISR]]-Table1[[#This Row],[TOTAL]]</f>
        <v>0</v>
      </c>
      <c r="AK4905" s="306" t="str">
        <f>IF(ISNUMBER(Table1[[#This Row],[FECHA DE RECIBIDO]]), Table1[[#This Row],[FECHA DE RECIBIDO]]-DATE(2023,8,30), "")</f>
        <v/>
      </c>
    </row>
    <row r="4906" spans="1:37" ht="16.05" customHeight="1">
      <c r="A4906" s="172"/>
      <c r="B4906" s="178">
        <v>1609</v>
      </c>
      <c r="C4906" s="179" t="s">
        <v>2965</v>
      </c>
      <c r="D4906">
        <v>3280</v>
      </c>
      <c r="E4906" s="125" t="s">
        <v>1598</v>
      </c>
      <c r="F4906" s="178" t="s">
        <v>1607</v>
      </c>
      <c r="G4906" s="178" t="s">
        <v>134</v>
      </c>
      <c r="H4906">
        <v>851</v>
      </c>
      <c r="I4906" s="178" t="s">
        <v>1546</v>
      </c>
      <c r="J4906" s="320" t="s">
        <v>214</v>
      </c>
      <c r="K4906" s="178" t="s">
        <v>4871</v>
      </c>
      <c r="L4906" s="125" t="s">
        <v>3306</v>
      </c>
      <c r="M4906">
        <v>1181</v>
      </c>
      <c r="N4906" s="182">
        <v>1</v>
      </c>
      <c r="O4906">
        <v>3132</v>
      </c>
      <c r="P4906" s="132" t="s">
        <v>77</v>
      </c>
      <c r="Q4906" s="176">
        <v>4093.6</v>
      </c>
      <c r="R4906" s="176">
        <v>654.98</v>
      </c>
      <c r="S4906" s="176"/>
      <c r="T4906" s="190">
        <v>0</v>
      </c>
      <c r="U4906" s="191">
        <v>0</v>
      </c>
      <c r="V4906" s="191">
        <v>4748.58</v>
      </c>
      <c r="W4906">
        <v>414</v>
      </c>
      <c r="X4906" s="186" t="s">
        <v>2035</v>
      </c>
      <c r="Y4906" s="187" t="s">
        <v>55</v>
      </c>
      <c r="Z4906" s="311">
        <v>266</v>
      </c>
      <c r="AB4906" t="str">
        <f>IF(Table1[[#This Row],[TIPO2]]="costo", VLOOKUP(Table1[[#This Row],[PARTIDA PRESUPUESTAL]],'Cost Report'!G:G,1,0),"Balance")</f>
        <v>3902-047</v>
      </c>
      <c r="AD4906" s="159">
        <f>+Table1[[#This Row],[SUBTOTAL]]+Table1[[#This Row],[IVA]]-Table1[[#This Row],[RET IVA]]-Table1[[#This Row],[RET ISR]]-Table1[[#This Row],[TOTAL]]</f>
        <v>0</v>
      </c>
      <c r="AK4906" s="306" t="str">
        <f>IF(ISNUMBER(Table1[[#This Row],[FECHA DE RECIBIDO]]), Table1[[#This Row],[FECHA DE RECIBIDO]]-DATE(2023,8,30), "")</f>
        <v/>
      </c>
    </row>
    <row r="4907" spans="1:37" ht="16.05" customHeight="1">
      <c r="A4907" s="172" t="s">
        <v>4637</v>
      </c>
      <c r="B4907" s="178">
        <v>1610</v>
      </c>
      <c r="C4907" s="179" t="s">
        <v>2596</v>
      </c>
      <c r="D4907">
        <v>3281</v>
      </c>
      <c r="E4907" s="125" t="s">
        <v>4638</v>
      </c>
      <c r="F4907" s="178" t="s">
        <v>1589</v>
      </c>
      <c r="G4907" s="178" t="s">
        <v>129</v>
      </c>
      <c r="H4907">
        <v>592</v>
      </c>
      <c r="I4907" s="178" t="s">
        <v>1546</v>
      </c>
      <c r="J4907" s="320" t="s">
        <v>214</v>
      </c>
      <c r="K4907" s="178" t="s">
        <v>4871</v>
      </c>
      <c r="L4907" s="125" t="s">
        <v>3306</v>
      </c>
      <c r="M4907">
        <v>838</v>
      </c>
      <c r="N4907" s="182">
        <v>172</v>
      </c>
      <c r="O4907">
        <v>3133</v>
      </c>
      <c r="P4907" s="132" t="s">
        <v>77</v>
      </c>
      <c r="Q4907" s="176">
        <v>3200</v>
      </c>
      <c r="R4907" s="176">
        <v>512</v>
      </c>
      <c r="S4907" s="176"/>
      <c r="T4907" s="190">
        <v>341.33</v>
      </c>
      <c r="U4907" s="191">
        <v>320</v>
      </c>
      <c r="V4907" s="191">
        <v>3050.67</v>
      </c>
      <c r="W4907">
        <v>339</v>
      </c>
      <c r="X4907" s="186" t="s">
        <v>3817</v>
      </c>
      <c r="Y4907" s="187" t="s">
        <v>55</v>
      </c>
      <c r="Z4907" s="311">
        <v>266</v>
      </c>
      <c r="AB4907" t="str">
        <f>IF(Table1[[#This Row],[TIPO2]]="costo", VLOOKUP(Table1[[#This Row],[PARTIDA PRESUPUESTAL]],'Cost Report'!G:G,1,0),"Balance")</f>
        <v>2794-003</v>
      </c>
      <c r="AD4907" s="159">
        <f>+Table1[[#This Row],[SUBTOTAL]]+Table1[[#This Row],[IVA]]-Table1[[#This Row],[RET IVA]]-Table1[[#This Row],[RET ISR]]-Table1[[#This Row],[TOTAL]]</f>
        <v>0</v>
      </c>
      <c r="AK4907" s="306" t="str">
        <f>IF(ISNUMBER(Table1[[#This Row],[FECHA DE RECIBIDO]]), Table1[[#This Row],[FECHA DE RECIBIDO]]-DATE(2023,8,30), "")</f>
        <v/>
      </c>
    </row>
    <row r="4908" spans="1:37" ht="16.05" customHeight="1">
      <c r="A4908" s="172" t="s">
        <v>4639</v>
      </c>
      <c r="B4908" s="178">
        <v>1611</v>
      </c>
      <c r="C4908" s="179" t="s">
        <v>2596</v>
      </c>
      <c r="D4908">
        <v>3282</v>
      </c>
      <c r="E4908" s="125" t="s">
        <v>3245</v>
      </c>
      <c r="F4908" s="178" t="s">
        <v>1589</v>
      </c>
      <c r="G4908" s="178" t="s">
        <v>129</v>
      </c>
      <c r="H4908">
        <v>217</v>
      </c>
      <c r="I4908" s="178" t="s">
        <v>1546</v>
      </c>
      <c r="J4908" s="320" t="s">
        <v>214</v>
      </c>
      <c r="K4908" s="178" t="s">
        <v>4871</v>
      </c>
      <c r="L4908" s="125" t="s">
        <v>3306</v>
      </c>
      <c r="M4908">
        <v>283</v>
      </c>
      <c r="N4908" s="182">
        <v>172</v>
      </c>
      <c r="O4908">
        <v>3134</v>
      </c>
      <c r="P4908" s="132" t="s">
        <v>77</v>
      </c>
      <c r="Q4908" s="176">
        <v>28800</v>
      </c>
      <c r="R4908" s="176">
        <v>4608</v>
      </c>
      <c r="S4908" s="176"/>
      <c r="T4908" s="190">
        <v>3072.01</v>
      </c>
      <c r="U4908" s="191">
        <v>2880</v>
      </c>
      <c r="V4908" s="191">
        <v>27455.989999999998</v>
      </c>
      <c r="W4908">
        <v>138</v>
      </c>
      <c r="X4908" s="186" t="s">
        <v>2037</v>
      </c>
      <c r="Y4908" s="187" t="s">
        <v>55</v>
      </c>
      <c r="Z4908" s="311">
        <v>266</v>
      </c>
      <c r="AB4908" t="str">
        <f>IF(Table1[[#This Row],[TIPO2]]="costo", VLOOKUP(Table1[[#This Row],[PARTIDA PRESUPUESTAL]],'Cost Report'!G:G,1,0),"Balance")</f>
        <v>2794-003</v>
      </c>
      <c r="AD4908" s="159">
        <f>+Table1[[#This Row],[SUBTOTAL]]+Table1[[#This Row],[IVA]]-Table1[[#This Row],[RET IVA]]-Table1[[#This Row],[RET ISR]]-Table1[[#This Row],[TOTAL]]</f>
        <v>0</v>
      </c>
      <c r="AK4908" s="306" t="str">
        <f>IF(ISNUMBER(Table1[[#This Row],[FECHA DE RECIBIDO]]), Table1[[#This Row],[FECHA DE RECIBIDO]]-DATE(2023,8,30), "")</f>
        <v/>
      </c>
    </row>
    <row r="4909" spans="1:37" ht="16.05" customHeight="1">
      <c r="A4909" s="172" t="s">
        <v>4640</v>
      </c>
      <c r="B4909" s="178">
        <v>1612</v>
      </c>
      <c r="C4909" s="179" t="s">
        <v>469</v>
      </c>
      <c r="D4909">
        <v>3283</v>
      </c>
      <c r="E4909" s="125" t="s">
        <v>1605</v>
      </c>
      <c r="F4909" s="178" t="s">
        <v>1607</v>
      </c>
      <c r="G4909" s="178" t="s">
        <v>134</v>
      </c>
      <c r="H4909">
        <v>5</v>
      </c>
      <c r="I4909" s="178" t="s">
        <v>1546</v>
      </c>
      <c r="J4909" s="320" t="s">
        <v>214</v>
      </c>
      <c r="K4909" s="178" t="s">
        <v>4871</v>
      </c>
      <c r="L4909" s="125" t="s">
        <v>3306</v>
      </c>
      <c r="M4909">
        <v>5</v>
      </c>
      <c r="N4909" s="182">
        <v>0</v>
      </c>
      <c r="O4909">
        <v>3135</v>
      </c>
      <c r="P4909" s="132" t="s">
        <v>77</v>
      </c>
      <c r="Q4909" s="176">
        <v>23000</v>
      </c>
      <c r="R4909" s="176">
        <v>3680</v>
      </c>
      <c r="S4909" s="176"/>
      <c r="T4909" s="190">
        <v>0</v>
      </c>
      <c r="U4909" s="191">
        <v>0</v>
      </c>
      <c r="V4909" s="191">
        <v>26680</v>
      </c>
      <c r="W4909">
        <v>4</v>
      </c>
      <c r="X4909" s="186" t="s">
        <v>1472</v>
      </c>
      <c r="Y4909" s="187" t="s">
        <v>55</v>
      </c>
      <c r="Z4909" s="311">
        <v>266</v>
      </c>
      <c r="AB4909" t="str">
        <f>IF(Table1[[#This Row],[TIPO2]]="costo", VLOOKUP(Table1[[#This Row],[PARTIDA PRESUPUESTAL]],'Cost Report'!G:G,1,0),"Balance")</f>
        <v>2010-012</v>
      </c>
      <c r="AD4909" s="159">
        <f>+Table1[[#This Row],[SUBTOTAL]]+Table1[[#This Row],[IVA]]-Table1[[#This Row],[RET IVA]]-Table1[[#This Row],[RET ISR]]-Table1[[#This Row],[TOTAL]]</f>
        <v>0</v>
      </c>
      <c r="AK4909" s="306" t="str">
        <f>IF(ISNUMBER(Table1[[#This Row],[FECHA DE RECIBIDO]]), Table1[[#This Row],[FECHA DE RECIBIDO]]-DATE(2023,8,30), "")</f>
        <v/>
      </c>
    </row>
    <row r="4910" spans="1:37" ht="16.05" customHeight="1">
      <c r="A4910" s="172"/>
      <c r="B4910" s="178">
        <v>1612</v>
      </c>
      <c r="C4910" s="179" t="s">
        <v>2395</v>
      </c>
      <c r="D4910">
        <v>3283</v>
      </c>
      <c r="E4910" s="125" t="s">
        <v>1605</v>
      </c>
      <c r="F4910" s="178" t="s">
        <v>1607</v>
      </c>
      <c r="G4910" s="178" t="s">
        <v>134</v>
      </c>
      <c r="H4910">
        <v>5</v>
      </c>
      <c r="I4910" s="178" t="s">
        <v>1546</v>
      </c>
      <c r="J4910" s="320" t="s">
        <v>214</v>
      </c>
      <c r="K4910" s="178" t="s">
        <v>4871</v>
      </c>
      <c r="L4910" s="125" t="s">
        <v>3306</v>
      </c>
      <c r="M4910">
        <v>5</v>
      </c>
      <c r="N4910" s="182">
        <v>0</v>
      </c>
      <c r="O4910">
        <v>3135</v>
      </c>
      <c r="P4910" s="132" t="s">
        <v>77</v>
      </c>
      <c r="Q4910" s="176">
        <v>12000</v>
      </c>
      <c r="R4910" s="176">
        <v>1920</v>
      </c>
      <c r="S4910" s="176"/>
      <c r="T4910" s="190">
        <v>0</v>
      </c>
      <c r="U4910" s="191">
        <v>0</v>
      </c>
      <c r="V4910" s="191">
        <v>13920</v>
      </c>
      <c r="W4910">
        <v>4</v>
      </c>
      <c r="X4910" s="186" t="s">
        <v>1472</v>
      </c>
      <c r="Y4910" s="187" t="s">
        <v>55</v>
      </c>
      <c r="Z4910" s="311">
        <v>266</v>
      </c>
      <c r="AB4910" t="str">
        <f>IF(Table1[[#This Row],[TIPO2]]="costo", VLOOKUP(Table1[[#This Row],[PARTIDA PRESUPUESTAL]],'Cost Report'!G:G,1,0),"Balance")</f>
        <v>2011-005</v>
      </c>
      <c r="AD4910" s="159">
        <f>+Table1[[#This Row],[SUBTOTAL]]+Table1[[#This Row],[IVA]]-Table1[[#This Row],[RET IVA]]-Table1[[#This Row],[RET ISR]]-Table1[[#This Row],[TOTAL]]</f>
        <v>0</v>
      </c>
      <c r="AK4910" s="306" t="str">
        <f>IF(ISNUMBER(Table1[[#This Row],[FECHA DE RECIBIDO]]), Table1[[#This Row],[FECHA DE RECIBIDO]]-DATE(2023,8,30), "")</f>
        <v/>
      </c>
    </row>
    <row r="4911" spans="1:37" ht="16.05" customHeight="1">
      <c r="A4911" s="172"/>
      <c r="B4911" s="178">
        <v>1612</v>
      </c>
      <c r="C4911" s="179" t="s">
        <v>2401</v>
      </c>
      <c r="D4911">
        <v>3283</v>
      </c>
      <c r="E4911" s="125" t="s">
        <v>1605</v>
      </c>
      <c r="F4911" s="178" t="s">
        <v>1607</v>
      </c>
      <c r="G4911" s="178" t="s">
        <v>134</v>
      </c>
      <c r="H4911">
        <v>5</v>
      </c>
      <c r="I4911" s="178" t="s">
        <v>1546</v>
      </c>
      <c r="J4911" s="320" t="s">
        <v>214</v>
      </c>
      <c r="K4911" s="178" t="s">
        <v>4871</v>
      </c>
      <c r="L4911" s="125" t="s">
        <v>3306</v>
      </c>
      <c r="M4911">
        <v>5</v>
      </c>
      <c r="N4911" s="182">
        <v>0</v>
      </c>
      <c r="O4911">
        <v>3135</v>
      </c>
      <c r="P4911" s="132" t="s">
        <v>77</v>
      </c>
      <c r="Q4911" s="176">
        <v>10000</v>
      </c>
      <c r="R4911" s="176">
        <v>1600</v>
      </c>
      <c r="S4911" s="176"/>
      <c r="T4911" s="190">
        <v>0</v>
      </c>
      <c r="U4911" s="191">
        <v>0</v>
      </c>
      <c r="V4911" s="191">
        <v>11600</v>
      </c>
      <c r="W4911">
        <v>4</v>
      </c>
      <c r="X4911" s="186" t="s">
        <v>1472</v>
      </c>
      <c r="Y4911" s="187" t="s">
        <v>55</v>
      </c>
      <c r="Z4911" s="311">
        <v>266</v>
      </c>
      <c r="AB4911" t="str">
        <f>IF(Table1[[#This Row],[TIPO2]]="costo", VLOOKUP(Table1[[#This Row],[PARTIDA PRESUPUESTAL]],'Cost Report'!G:G,1,0),"Balance")</f>
        <v>2011-013</v>
      </c>
      <c r="AD4911" s="159">
        <f>+Table1[[#This Row],[SUBTOTAL]]+Table1[[#This Row],[IVA]]-Table1[[#This Row],[RET IVA]]-Table1[[#This Row],[RET ISR]]-Table1[[#This Row],[TOTAL]]</f>
        <v>0</v>
      </c>
      <c r="AK4911" s="306" t="str">
        <f>IF(ISNUMBER(Table1[[#This Row],[FECHA DE RECIBIDO]]), Table1[[#This Row],[FECHA DE RECIBIDO]]-DATE(2023,8,30), "")</f>
        <v/>
      </c>
    </row>
    <row r="4912" spans="1:37" ht="16.05" customHeight="1">
      <c r="A4912" s="172"/>
      <c r="B4912" s="178">
        <v>1613</v>
      </c>
      <c r="C4912" s="179" t="s">
        <v>3088</v>
      </c>
      <c r="D4912">
        <v>3284</v>
      </c>
      <c r="E4912" s="125" t="s">
        <v>1605</v>
      </c>
      <c r="F4912" s="178" t="s">
        <v>1607</v>
      </c>
      <c r="G4912" s="178" t="s">
        <v>134</v>
      </c>
      <c r="H4912">
        <v>5</v>
      </c>
      <c r="I4912" s="178" t="s">
        <v>1546</v>
      </c>
      <c r="J4912" s="320" t="s">
        <v>214</v>
      </c>
      <c r="K4912" s="178" t="s">
        <v>4871</v>
      </c>
      <c r="L4912" s="125" t="s">
        <v>3306</v>
      </c>
      <c r="M4912">
        <v>5</v>
      </c>
      <c r="N4912" s="182">
        <v>0</v>
      </c>
      <c r="O4912">
        <v>3136</v>
      </c>
      <c r="P4912" s="132" t="s">
        <v>77</v>
      </c>
      <c r="Q4912" s="176">
        <v>5500</v>
      </c>
      <c r="R4912" s="176">
        <v>880</v>
      </c>
      <c r="S4912" s="176"/>
      <c r="T4912" s="190">
        <v>0</v>
      </c>
      <c r="U4912" s="191">
        <v>0</v>
      </c>
      <c r="V4912" s="191">
        <v>6380</v>
      </c>
      <c r="W4912">
        <v>4</v>
      </c>
      <c r="X4912" s="186" t="s">
        <v>1472</v>
      </c>
      <c r="Y4912" s="187" t="s">
        <v>55</v>
      </c>
      <c r="Z4912" s="311">
        <v>266</v>
      </c>
      <c r="AB4912" t="str">
        <f>IF(Table1[[#This Row],[TIPO2]]="costo", VLOOKUP(Table1[[#This Row],[PARTIDA PRESUPUESTAL]],'Cost Report'!G:G,1,0),"Balance")</f>
        <v>7001-005</v>
      </c>
      <c r="AD4912" s="159">
        <f>+Table1[[#This Row],[SUBTOTAL]]+Table1[[#This Row],[IVA]]-Table1[[#This Row],[RET IVA]]-Table1[[#This Row],[RET ISR]]-Table1[[#This Row],[TOTAL]]</f>
        <v>0</v>
      </c>
      <c r="AK4912" s="306" t="str">
        <f>IF(ISNUMBER(Table1[[#This Row],[FECHA DE RECIBIDO]]), Table1[[#This Row],[FECHA DE RECIBIDO]]-DATE(2023,8,30), "")</f>
        <v/>
      </c>
    </row>
    <row r="4913" spans="1:37" ht="16.05" customHeight="1">
      <c r="A4913" s="172"/>
      <c r="B4913" s="178">
        <v>1614</v>
      </c>
      <c r="C4913" s="179" t="s">
        <v>2407</v>
      </c>
      <c r="D4913">
        <v>3285</v>
      </c>
      <c r="E4913" s="125" t="s">
        <v>1605</v>
      </c>
      <c r="F4913" s="178" t="s">
        <v>1607</v>
      </c>
      <c r="G4913" s="178" t="s">
        <v>134</v>
      </c>
      <c r="H4913">
        <v>5</v>
      </c>
      <c r="I4913" s="178" t="s">
        <v>1546</v>
      </c>
      <c r="J4913" s="320" t="s">
        <v>214</v>
      </c>
      <c r="K4913" s="178" t="s">
        <v>4871</v>
      </c>
      <c r="L4913" s="125" t="s">
        <v>3306</v>
      </c>
      <c r="M4913">
        <v>5</v>
      </c>
      <c r="N4913" s="182">
        <v>0</v>
      </c>
      <c r="O4913">
        <v>3137</v>
      </c>
      <c r="P4913" s="132" t="s">
        <v>77</v>
      </c>
      <c r="Q4913" s="176">
        <v>5500</v>
      </c>
      <c r="R4913" s="176">
        <v>880</v>
      </c>
      <c r="S4913" s="176"/>
      <c r="T4913" s="190">
        <v>0</v>
      </c>
      <c r="U4913" s="191">
        <v>0</v>
      </c>
      <c r="V4913" s="191">
        <v>6380</v>
      </c>
      <c r="W4913">
        <v>4</v>
      </c>
      <c r="X4913" s="186" t="s">
        <v>1472</v>
      </c>
      <c r="Y4913" s="187" t="s">
        <v>55</v>
      </c>
      <c r="Z4913" s="311">
        <v>266</v>
      </c>
      <c r="AB4913" t="str">
        <f>IF(Table1[[#This Row],[TIPO2]]="costo", VLOOKUP(Table1[[#This Row],[PARTIDA PRESUPUESTAL]],'Cost Report'!G:G,1,0),"Balance")</f>
        <v>2011-021</v>
      </c>
      <c r="AD4913" s="159">
        <f>+Table1[[#This Row],[SUBTOTAL]]+Table1[[#This Row],[IVA]]-Table1[[#This Row],[RET IVA]]-Table1[[#This Row],[RET ISR]]-Table1[[#This Row],[TOTAL]]</f>
        <v>0</v>
      </c>
      <c r="AK4913" s="306" t="str">
        <f>IF(ISNUMBER(Table1[[#This Row],[FECHA DE RECIBIDO]]), Table1[[#This Row],[FECHA DE RECIBIDO]]-DATE(2023,8,30), "")</f>
        <v/>
      </c>
    </row>
    <row r="4914" spans="1:37" ht="16.05" customHeight="1">
      <c r="A4914" s="172" t="s">
        <v>4641</v>
      </c>
      <c r="B4914" s="178">
        <v>1615</v>
      </c>
      <c r="C4914" s="179" t="s">
        <v>2719</v>
      </c>
      <c r="D4914">
        <v>3286</v>
      </c>
      <c r="E4914" s="125" t="s">
        <v>1614</v>
      </c>
      <c r="F4914" s="178" t="s">
        <v>1607</v>
      </c>
      <c r="G4914" s="178" t="s">
        <v>134</v>
      </c>
      <c r="H4914">
        <v>852</v>
      </c>
      <c r="I4914" s="178" t="s">
        <v>1546</v>
      </c>
      <c r="J4914" s="320" t="s">
        <v>214</v>
      </c>
      <c r="K4914" s="178" t="s">
        <v>4871</v>
      </c>
      <c r="L4914" s="125" t="s">
        <v>3306</v>
      </c>
      <c r="M4914">
        <v>1182</v>
      </c>
      <c r="N4914" s="182">
        <v>1</v>
      </c>
      <c r="O4914">
        <v>3138</v>
      </c>
      <c r="P4914" s="132" t="s">
        <v>77</v>
      </c>
      <c r="Q4914" s="176">
        <v>34482.76</v>
      </c>
      <c r="R4914" s="176">
        <v>5517.24</v>
      </c>
      <c r="S4914" s="176"/>
      <c r="T4914" s="190">
        <v>0</v>
      </c>
      <c r="U4914" s="191">
        <v>0</v>
      </c>
      <c r="V4914" s="191">
        <v>40000</v>
      </c>
      <c r="W4914">
        <v>415</v>
      </c>
      <c r="X4914" s="186" t="s">
        <v>1430</v>
      </c>
      <c r="Y4914" s="187" t="s">
        <v>55</v>
      </c>
      <c r="Z4914" s="311">
        <v>265</v>
      </c>
      <c r="AB4914" t="str">
        <f>IF(Table1[[#This Row],[TIPO2]]="costo", VLOOKUP(Table1[[#This Row],[PARTIDA PRESUPUESTAL]],'Cost Report'!G:G,1,0),"Balance")</f>
        <v>3193-094</v>
      </c>
      <c r="AD4914" s="159">
        <f>+Table1[[#This Row],[SUBTOTAL]]+Table1[[#This Row],[IVA]]-Table1[[#This Row],[RET IVA]]-Table1[[#This Row],[RET ISR]]-Table1[[#This Row],[TOTAL]]</f>
        <v>0</v>
      </c>
      <c r="AK4914" s="306" t="str">
        <f>IF(ISNUMBER(Table1[[#This Row],[FECHA DE RECIBIDO]]), Table1[[#This Row],[FECHA DE RECIBIDO]]-DATE(2023,8,30), "")</f>
        <v/>
      </c>
    </row>
    <row r="4915" spans="1:37" ht="16.05" customHeight="1">
      <c r="A4915" s="172"/>
      <c r="B4915" s="178">
        <v>1616</v>
      </c>
      <c r="C4915" s="179" t="s">
        <v>784</v>
      </c>
      <c r="D4915">
        <v>3287</v>
      </c>
      <c r="E4915" s="125" t="s">
        <v>1614</v>
      </c>
      <c r="F4915" s="178" t="s">
        <v>1607</v>
      </c>
      <c r="G4915" s="178" t="s">
        <v>134</v>
      </c>
      <c r="H4915">
        <v>852</v>
      </c>
      <c r="I4915" s="178" t="s">
        <v>1546</v>
      </c>
      <c r="J4915" s="320" t="s">
        <v>214</v>
      </c>
      <c r="K4915" s="178" t="s">
        <v>4871</v>
      </c>
      <c r="L4915" s="125" t="s">
        <v>3306</v>
      </c>
      <c r="M4915">
        <v>1182</v>
      </c>
      <c r="N4915" s="182">
        <v>1</v>
      </c>
      <c r="O4915">
        <v>3139</v>
      </c>
      <c r="P4915" s="132" t="s">
        <v>77</v>
      </c>
      <c r="Q4915" s="176">
        <v>3600</v>
      </c>
      <c r="R4915" s="176">
        <v>576</v>
      </c>
      <c r="S4915" s="176"/>
      <c r="T4915" s="190">
        <v>0</v>
      </c>
      <c r="U4915" s="191">
        <v>0</v>
      </c>
      <c r="V4915" s="191">
        <v>4176</v>
      </c>
      <c r="W4915">
        <v>415</v>
      </c>
      <c r="X4915" s="186" t="s">
        <v>1430</v>
      </c>
      <c r="Y4915" s="187" t="s">
        <v>55</v>
      </c>
      <c r="Z4915" s="311">
        <v>265</v>
      </c>
      <c r="AB4915" t="str">
        <f>IF(Table1[[#This Row],[TIPO2]]="costo", VLOOKUP(Table1[[#This Row],[PARTIDA PRESUPUESTAL]],'Cost Report'!G:G,1,0),"Balance")</f>
        <v>3085-003</v>
      </c>
      <c r="AD4915" s="159">
        <f>+Table1[[#This Row],[SUBTOTAL]]+Table1[[#This Row],[IVA]]-Table1[[#This Row],[RET IVA]]-Table1[[#This Row],[RET ISR]]-Table1[[#This Row],[TOTAL]]</f>
        <v>0</v>
      </c>
      <c r="AK4915" s="306" t="str">
        <f>IF(ISNUMBER(Table1[[#This Row],[FECHA DE RECIBIDO]]), Table1[[#This Row],[FECHA DE RECIBIDO]]-DATE(2023,8,30), "")</f>
        <v/>
      </c>
    </row>
    <row r="4916" spans="1:37" ht="16.05" customHeight="1">
      <c r="A4916" s="172" t="s">
        <v>4642</v>
      </c>
      <c r="B4916" s="178">
        <v>1617</v>
      </c>
      <c r="C4916" s="179" t="s">
        <v>1728</v>
      </c>
      <c r="D4916">
        <v>3288</v>
      </c>
      <c r="E4916" s="125" t="s">
        <v>1985</v>
      </c>
      <c r="F4916" s="178" t="s">
        <v>1593</v>
      </c>
      <c r="G4916" s="178" t="s">
        <v>109</v>
      </c>
      <c r="H4916">
        <v>265</v>
      </c>
      <c r="I4916" s="178" t="s">
        <v>1546</v>
      </c>
      <c r="J4916" s="320" t="s">
        <v>214</v>
      </c>
      <c r="K4916" s="178" t="s">
        <v>4871</v>
      </c>
      <c r="L4916" s="125" t="s">
        <v>3306</v>
      </c>
      <c r="M4916">
        <v>353</v>
      </c>
      <c r="N4916" s="182">
        <v>1</v>
      </c>
      <c r="O4916">
        <v>3140</v>
      </c>
      <c r="P4916" s="132" t="s">
        <v>77</v>
      </c>
      <c r="Q4916" s="176">
        <v>255058.6</v>
      </c>
      <c r="R4916" s="176">
        <v>40809.379999999997</v>
      </c>
      <c r="S4916" s="176"/>
      <c r="T4916" s="190">
        <v>0</v>
      </c>
      <c r="U4916" s="191">
        <v>0</v>
      </c>
      <c r="V4916" s="191">
        <v>295867.98</v>
      </c>
      <c r="W4916">
        <v>165</v>
      </c>
      <c r="X4916" s="186" t="s">
        <v>3685</v>
      </c>
      <c r="Y4916" s="187" t="s">
        <v>55</v>
      </c>
      <c r="Z4916" s="311">
        <v>265</v>
      </c>
      <c r="AB4916" t="str">
        <f>IF(Table1[[#This Row],[TIPO2]]="costo", VLOOKUP(Table1[[#This Row],[PARTIDA PRESUPUESTAL]],'Cost Report'!G:G,1,0),"Balance")</f>
        <v>2103-004</v>
      </c>
      <c r="AD4916" s="159">
        <f>+Table1[[#This Row],[SUBTOTAL]]+Table1[[#This Row],[IVA]]-Table1[[#This Row],[RET IVA]]-Table1[[#This Row],[RET ISR]]-Table1[[#This Row],[TOTAL]]</f>
        <v>0</v>
      </c>
      <c r="AK4916" s="306" t="str">
        <f>IF(ISNUMBER(Table1[[#This Row],[FECHA DE RECIBIDO]]), Table1[[#This Row],[FECHA DE RECIBIDO]]-DATE(2023,8,30), "")</f>
        <v/>
      </c>
    </row>
    <row r="4917" spans="1:37" ht="16.05" customHeight="1">
      <c r="A4917" s="172" t="s">
        <v>4643</v>
      </c>
      <c r="B4917" s="178">
        <v>1618</v>
      </c>
      <c r="C4917" s="179" t="s">
        <v>3104</v>
      </c>
      <c r="D4917">
        <v>3289</v>
      </c>
      <c r="E4917" s="125" t="s">
        <v>1613</v>
      </c>
      <c r="F4917" s="178" t="s">
        <v>1589</v>
      </c>
      <c r="G4917" s="178" t="s">
        <v>129</v>
      </c>
      <c r="H4917">
        <v>682</v>
      </c>
      <c r="I4917" s="178" t="s">
        <v>1546</v>
      </c>
      <c r="J4917" s="320" t="s">
        <v>214</v>
      </c>
      <c r="K4917" s="178" t="s">
        <v>4871</v>
      </c>
      <c r="L4917" s="125" t="s">
        <v>3306</v>
      </c>
      <c r="M4917">
        <v>1183</v>
      </c>
      <c r="N4917" s="182">
        <v>1</v>
      </c>
      <c r="O4917">
        <v>3141</v>
      </c>
      <c r="P4917" s="132" t="s">
        <v>77</v>
      </c>
      <c r="Q4917" s="176">
        <v>1650</v>
      </c>
      <c r="R4917" s="176">
        <v>264</v>
      </c>
      <c r="S4917" s="176"/>
      <c r="T4917" s="190">
        <v>0</v>
      </c>
      <c r="U4917" s="191">
        <v>0</v>
      </c>
      <c r="V4917" s="191">
        <v>1914</v>
      </c>
      <c r="W4917">
        <v>416</v>
      </c>
      <c r="X4917" s="186" t="s">
        <v>1430</v>
      </c>
      <c r="Y4917" s="187" t="s">
        <v>55</v>
      </c>
      <c r="Z4917" s="311">
        <v>265</v>
      </c>
      <c r="AB4917" t="str">
        <f>IF(Table1[[#This Row],[TIPO2]]="costo", VLOOKUP(Table1[[#This Row],[PARTIDA PRESUPUESTAL]],'Cost Report'!G:G,1,0),"Balance")</f>
        <v>7050-004</v>
      </c>
      <c r="AD4917" s="159">
        <f>+Table1[[#This Row],[SUBTOTAL]]+Table1[[#This Row],[IVA]]-Table1[[#This Row],[RET IVA]]-Table1[[#This Row],[RET ISR]]-Table1[[#This Row],[TOTAL]]</f>
        <v>0</v>
      </c>
      <c r="AK4917" s="306" t="str">
        <f>IF(ISNUMBER(Table1[[#This Row],[FECHA DE RECIBIDO]]), Table1[[#This Row],[FECHA DE RECIBIDO]]-DATE(2023,8,30), "")</f>
        <v/>
      </c>
    </row>
    <row r="4918" spans="1:37" ht="16.05" customHeight="1">
      <c r="A4918" s="172" t="s">
        <v>4644</v>
      </c>
      <c r="B4918" s="178">
        <v>1619</v>
      </c>
      <c r="C4918" s="179" t="s">
        <v>2626</v>
      </c>
      <c r="D4918">
        <v>3290</v>
      </c>
      <c r="E4918" s="125" t="s">
        <v>1612</v>
      </c>
      <c r="F4918" s="178" t="s">
        <v>1607</v>
      </c>
      <c r="G4918" s="178" t="s">
        <v>134</v>
      </c>
      <c r="H4918">
        <v>671</v>
      </c>
      <c r="I4918" s="178" t="s">
        <v>1546</v>
      </c>
      <c r="J4918" s="320" t="s">
        <v>214</v>
      </c>
      <c r="K4918" s="178" t="s">
        <v>4871</v>
      </c>
      <c r="L4918" s="125" t="s">
        <v>3306</v>
      </c>
      <c r="M4918">
        <v>1184</v>
      </c>
      <c r="N4918" s="182">
        <v>1</v>
      </c>
      <c r="O4918">
        <v>3142</v>
      </c>
      <c r="P4918" s="132" t="s">
        <v>77</v>
      </c>
      <c r="Q4918" s="176">
        <v>7700</v>
      </c>
      <c r="R4918" s="176">
        <v>1232</v>
      </c>
      <c r="S4918" s="176"/>
      <c r="T4918" s="190">
        <v>0</v>
      </c>
      <c r="U4918" s="191">
        <v>0</v>
      </c>
      <c r="V4918" s="191">
        <v>8932</v>
      </c>
      <c r="W4918">
        <v>417</v>
      </c>
      <c r="X4918" s="186" t="s">
        <v>2024</v>
      </c>
      <c r="Y4918" s="187" t="s">
        <v>55</v>
      </c>
      <c r="Z4918" s="311">
        <v>265</v>
      </c>
      <c r="AB4918" t="str">
        <f>IF(Table1[[#This Row],[TIPO2]]="costo", VLOOKUP(Table1[[#This Row],[PARTIDA PRESUPUESTAL]],'Cost Report'!G:G,1,0),"Balance")</f>
        <v>2985-003</v>
      </c>
      <c r="AD4918" s="159">
        <f>+Table1[[#This Row],[SUBTOTAL]]+Table1[[#This Row],[IVA]]-Table1[[#This Row],[RET IVA]]-Table1[[#This Row],[RET ISR]]-Table1[[#This Row],[TOTAL]]</f>
        <v>0</v>
      </c>
      <c r="AK4918" s="306" t="str">
        <f>IF(ISNUMBER(Table1[[#This Row],[FECHA DE RECIBIDO]]), Table1[[#This Row],[FECHA DE RECIBIDO]]-DATE(2023,8,30), "")</f>
        <v/>
      </c>
    </row>
    <row r="4919" spans="1:37" ht="16.05" customHeight="1">
      <c r="A4919" s="172" t="s">
        <v>4645</v>
      </c>
      <c r="B4919" s="178">
        <v>1620</v>
      </c>
      <c r="C4919" s="179" t="s">
        <v>1728</v>
      </c>
      <c r="D4919">
        <v>3291</v>
      </c>
      <c r="E4919" s="125" t="s">
        <v>1985</v>
      </c>
      <c r="F4919" s="178" t="s">
        <v>1593</v>
      </c>
      <c r="G4919" s="178" t="s">
        <v>109</v>
      </c>
      <c r="H4919">
        <v>265</v>
      </c>
      <c r="I4919" s="178" t="s">
        <v>1546</v>
      </c>
      <c r="J4919" s="320" t="s">
        <v>214</v>
      </c>
      <c r="K4919" s="178" t="s">
        <v>4871</v>
      </c>
      <c r="L4919" s="125" t="s">
        <v>3306</v>
      </c>
      <c r="M4919">
        <v>353</v>
      </c>
      <c r="N4919" s="182">
        <v>1</v>
      </c>
      <c r="O4919">
        <v>3143</v>
      </c>
      <c r="P4919" s="132" t="s">
        <v>77</v>
      </c>
      <c r="Q4919" s="176">
        <v>15200</v>
      </c>
      <c r="R4919" s="176">
        <v>2432</v>
      </c>
      <c r="S4919" s="176"/>
      <c r="T4919" s="190">
        <v>0</v>
      </c>
      <c r="U4919" s="191">
        <v>0</v>
      </c>
      <c r="V4919" s="191">
        <v>17632</v>
      </c>
      <c r="W4919">
        <v>165</v>
      </c>
      <c r="X4919" s="186" t="s">
        <v>3685</v>
      </c>
      <c r="Y4919" s="187" t="s">
        <v>55</v>
      </c>
      <c r="Z4919" s="311">
        <v>265</v>
      </c>
      <c r="AB4919" t="str">
        <f>IF(Table1[[#This Row],[TIPO2]]="costo", VLOOKUP(Table1[[#This Row],[PARTIDA PRESUPUESTAL]],'Cost Report'!G:G,1,0),"Balance")</f>
        <v>2103-004</v>
      </c>
      <c r="AD4919" s="159">
        <f>+Table1[[#This Row],[SUBTOTAL]]+Table1[[#This Row],[IVA]]-Table1[[#This Row],[RET IVA]]-Table1[[#This Row],[RET ISR]]-Table1[[#This Row],[TOTAL]]</f>
        <v>0</v>
      </c>
      <c r="AK4919" s="306" t="str">
        <f>IF(ISNUMBER(Table1[[#This Row],[FECHA DE RECIBIDO]]), Table1[[#This Row],[FECHA DE RECIBIDO]]-DATE(2023,8,30), "")</f>
        <v/>
      </c>
    </row>
    <row r="4920" spans="1:37" ht="16.05" customHeight="1">
      <c r="A4920" s="172" t="s">
        <v>4646</v>
      </c>
      <c r="B4920" s="178">
        <v>1621</v>
      </c>
      <c r="C4920" s="179" t="s">
        <v>2942</v>
      </c>
      <c r="D4920">
        <v>3292</v>
      </c>
      <c r="E4920" s="125" t="s">
        <v>1605</v>
      </c>
      <c r="F4920" s="178" t="s">
        <v>1607</v>
      </c>
      <c r="G4920" s="178" t="s">
        <v>134</v>
      </c>
      <c r="H4920">
        <v>6</v>
      </c>
      <c r="I4920" s="178" t="s">
        <v>1546</v>
      </c>
      <c r="J4920" s="320" t="s">
        <v>214</v>
      </c>
      <c r="K4920" s="178" t="s">
        <v>4871</v>
      </c>
      <c r="L4920" s="125" t="s">
        <v>3306</v>
      </c>
      <c r="M4920">
        <v>1185</v>
      </c>
      <c r="N4920" s="182">
        <v>1</v>
      </c>
      <c r="O4920">
        <v>3144</v>
      </c>
      <c r="P4920" s="132" t="s">
        <v>77</v>
      </c>
      <c r="Q4920" s="176">
        <v>800000</v>
      </c>
      <c r="R4920" s="176">
        <v>128000</v>
      </c>
      <c r="S4920" s="176"/>
      <c r="T4920" s="190">
        <v>0</v>
      </c>
      <c r="U4920" s="191">
        <v>0</v>
      </c>
      <c r="V4920" s="191">
        <v>928000</v>
      </c>
      <c r="W4920">
        <v>41</v>
      </c>
      <c r="X4920" s="186" t="s">
        <v>2024</v>
      </c>
      <c r="Y4920" s="187" t="s">
        <v>55</v>
      </c>
      <c r="Z4920" s="311">
        <v>265</v>
      </c>
      <c r="AB4920" t="str">
        <f>IF(Table1[[#This Row],[TIPO2]]="costo", VLOOKUP(Table1[[#This Row],[PARTIDA PRESUPUESTAL]],'Cost Report'!G:G,1,0),"Balance")</f>
        <v>3793-003</v>
      </c>
      <c r="AD4920" s="159">
        <f>+Table1[[#This Row],[SUBTOTAL]]+Table1[[#This Row],[IVA]]-Table1[[#This Row],[RET IVA]]-Table1[[#This Row],[RET ISR]]-Table1[[#This Row],[TOTAL]]</f>
        <v>0</v>
      </c>
      <c r="AK4920" s="306" t="str">
        <f>IF(ISNUMBER(Table1[[#This Row],[FECHA DE RECIBIDO]]), Table1[[#This Row],[FECHA DE RECIBIDO]]-DATE(2023,8,30), "")</f>
        <v/>
      </c>
    </row>
    <row r="4921" spans="1:37" ht="16.05" customHeight="1">
      <c r="A4921" s="172" t="s">
        <v>4647</v>
      </c>
      <c r="B4921" s="178">
        <v>1622</v>
      </c>
      <c r="C4921" s="179" t="s">
        <v>420</v>
      </c>
      <c r="D4921">
        <v>3293</v>
      </c>
      <c r="E4921" s="125" t="s">
        <v>2090</v>
      </c>
      <c r="F4921" s="178" t="s">
        <v>1607</v>
      </c>
      <c r="G4921" s="178" t="s">
        <v>134</v>
      </c>
      <c r="H4921">
        <v>22</v>
      </c>
      <c r="I4921" s="178" t="s">
        <v>1546</v>
      </c>
      <c r="J4921" s="320" t="s">
        <v>214</v>
      </c>
      <c r="K4921" s="178" t="s">
        <v>4871</v>
      </c>
      <c r="L4921" s="125" t="s">
        <v>3306</v>
      </c>
      <c r="M4921">
        <v>333</v>
      </c>
      <c r="N4921" s="182">
        <v>1</v>
      </c>
      <c r="O4921">
        <v>3145</v>
      </c>
      <c r="P4921" s="132" t="s">
        <v>77</v>
      </c>
      <c r="Q4921" s="176">
        <v>8333.33</v>
      </c>
      <c r="R4921" s="176">
        <v>1333.33</v>
      </c>
      <c r="S4921" s="176"/>
      <c r="T4921" s="190">
        <v>0</v>
      </c>
      <c r="U4921" s="191">
        <v>0</v>
      </c>
      <c r="V4921" s="191">
        <v>9666.66</v>
      </c>
      <c r="W4921">
        <v>24</v>
      </c>
      <c r="X4921" s="186" t="s">
        <v>2035</v>
      </c>
      <c r="Y4921" s="187" t="s">
        <v>55</v>
      </c>
      <c r="Z4921" s="311">
        <v>266</v>
      </c>
      <c r="AB4921" t="str">
        <f>IF(Table1[[#This Row],[TIPO2]]="costo", VLOOKUP(Table1[[#This Row],[PARTIDA PRESUPUESTAL]],'Cost Report'!G:G,1,0),"Balance")</f>
        <v>1641-003</v>
      </c>
      <c r="AD4921" s="159">
        <f>+Table1[[#This Row],[SUBTOTAL]]+Table1[[#This Row],[IVA]]-Table1[[#This Row],[RET IVA]]-Table1[[#This Row],[RET ISR]]-Table1[[#This Row],[TOTAL]]</f>
        <v>0</v>
      </c>
      <c r="AK4921" s="306" t="str">
        <f>IF(ISNUMBER(Table1[[#This Row],[FECHA DE RECIBIDO]]), Table1[[#This Row],[FECHA DE RECIBIDO]]-DATE(2023,8,30), "")</f>
        <v/>
      </c>
    </row>
    <row r="4922" spans="1:37" ht="16.05" customHeight="1">
      <c r="A4922" s="172" t="s">
        <v>4648</v>
      </c>
      <c r="B4922" s="178">
        <v>1623</v>
      </c>
      <c r="C4922" s="179" t="s">
        <v>332</v>
      </c>
      <c r="D4922">
        <v>3294</v>
      </c>
      <c r="E4922" s="125" t="s">
        <v>4649</v>
      </c>
      <c r="F4922" s="178" t="s">
        <v>1589</v>
      </c>
      <c r="G4922" s="178" t="s">
        <v>129</v>
      </c>
      <c r="H4922">
        <v>853</v>
      </c>
      <c r="I4922" s="178" t="s">
        <v>1546</v>
      </c>
      <c r="J4922" s="320" t="s">
        <v>214</v>
      </c>
      <c r="K4922" s="178" t="s">
        <v>4871</v>
      </c>
      <c r="L4922" s="125" t="s">
        <v>3306</v>
      </c>
      <c r="M4922">
        <v>1186</v>
      </c>
      <c r="N4922" s="182">
        <v>1</v>
      </c>
      <c r="O4922">
        <v>3146</v>
      </c>
      <c r="P4922" s="132" t="s">
        <v>77</v>
      </c>
      <c r="Q4922" s="176">
        <v>32813</v>
      </c>
      <c r="R4922" s="176">
        <v>5250.08</v>
      </c>
      <c r="S4922" s="176"/>
      <c r="T4922" s="190">
        <v>3500.06</v>
      </c>
      <c r="U4922" s="191">
        <v>3281.3</v>
      </c>
      <c r="V4922" s="191">
        <v>31281.720000000005</v>
      </c>
      <c r="W4922">
        <v>418</v>
      </c>
      <c r="X4922" s="186" t="s">
        <v>2035</v>
      </c>
      <c r="Y4922" s="187" t="s">
        <v>55</v>
      </c>
      <c r="Z4922" s="311">
        <v>266</v>
      </c>
      <c r="AB4922" t="str">
        <f>IF(Table1[[#This Row],[TIPO2]]="costo", VLOOKUP(Table1[[#This Row],[PARTIDA PRESUPUESTAL]],'Cost Report'!G:G,1,0),"Balance")</f>
        <v>1403-030</v>
      </c>
      <c r="AD4922" s="159">
        <f>+Table1[[#This Row],[SUBTOTAL]]+Table1[[#This Row],[IVA]]-Table1[[#This Row],[RET IVA]]-Table1[[#This Row],[RET ISR]]-Table1[[#This Row],[TOTAL]]</f>
        <v>0</v>
      </c>
      <c r="AK4922" s="306" t="str">
        <f>IF(ISNUMBER(Table1[[#This Row],[FECHA DE RECIBIDO]]), Table1[[#This Row],[FECHA DE RECIBIDO]]-DATE(2023,8,30), "")</f>
        <v/>
      </c>
    </row>
    <row r="4923" spans="1:37" ht="16.05" customHeight="1">
      <c r="A4923" s="172" t="s">
        <v>4650</v>
      </c>
      <c r="B4923" s="178">
        <v>1624</v>
      </c>
      <c r="C4923" s="179" t="s">
        <v>2852</v>
      </c>
      <c r="D4923">
        <v>3295</v>
      </c>
      <c r="E4923" s="125">
        <v>45030</v>
      </c>
      <c r="F4923" s="178" t="s">
        <v>1593</v>
      </c>
      <c r="G4923" s="178" t="s">
        <v>109</v>
      </c>
      <c r="H4923">
        <v>854</v>
      </c>
      <c r="I4923" s="178" t="s">
        <v>1546</v>
      </c>
      <c r="J4923" s="320" t="s">
        <v>214</v>
      </c>
      <c r="K4923" s="178" t="s">
        <v>4871</v>
      </c>
      <c r="L4923" s="125" t="s">
        <v>3306</v>
      </c>
      <c r="M4923">
        <v>1187</v>
      </c>
      <c r="N4923" s="182">
        <v>24</v>
      </c>
      <c r="O4923">
        <v>3147</v>
      </c>
      <c r="P4923" s="132" t="s">
        <v>77</v>
      </c>
      <c r="Q4923" s="176">
        <v>1654.01</v>
      </c>
      <c r="R4923" s="176">
        <v>264.64</v>
      </c>
      <c r="S4923" s="176"/>
      <c r="T4923" s="190">
        <v>176.43</v>
      </c>
      <c r="U4923" s="191">
        <v>20.68</v>
      </c>
      <c r="V4923" s="191">
        <v>1721.54</v>
      </c>
      <c r="W4923">
        <v>419</v>
      </c>
      <c r="X4923" s="186" t="s">
        <v>2035</v>
      </c>
      <c r="Y4923" s="187" t="s">
        <v>55</v>
      </c>
      <c r="Z4923" s="311">
        <v>266</v>
      </c>
      <c r="AB4923" t="str">
        <f>IF(Table1[[#This Row],[TIPO2]]="costo", VLOOKUP(Table1[[#This Row],[PARTIDA PRESUPUESTAL]],'Cost Report'!G:G,1,0),"Balance")</f>
        <v>3498-003</v>
      </c>
      <c r="AD4923" s="159">
        <f>+Table1[[#This Row],[SUBTOTAL]]+Table1[[#This Row],[IVA]]-Table1[[#This Row],[RET IVA]]-Table1[[#This Row],[RET ISR]]-Table1[[#This Row],[TOTAL]]</f>
        <v>0</v>
      </c>
      <c r="AK4923" s="306" t="str">
        <f>IF(ISNUMBER(Table1[[#This Row],[FECHA DE RECIBIDO]]), Table1[[#This Row],[FECHA DE RECIBIDO]]-DATE(2023,8,30), "")</f>
        <v/>
      </c>
    </row>
    <row r="4924" spans="1:37" ht="16.05" customHeight="1">
      <c r="A4924" s="172"/>
      <c r="B4924" s="178">
        <v>1625</v>
      </c>
      <c r="C4924" s="179" t="s">
        <v>2852</v>
      </c>
      <c r="D4924">
        <v>3296</v>
      </c>
      <c r="E4924" s="125">
        <v>45030</v>
      </c>
      <c r="F4924" s="178" t="s">
        <v>1593</v>
      </c>
      <c r="G4924" s="178" t="s">
        <v>109</v>
      </c>
      <c r="H4924">
        <v>854</v>
      </c>
      <c r="I4924" s="178" t="s">
        <v>1546</v>
      </c>
      <c r="J4924" s="320" t="s">
        <v>214</v>
      </c>
      <c r="K4924" s="178" t="s">
        <v>4871</v>
      </c>
      <c r="L4924" s="125" t="s">
        <v>3306</v>
      </c>
      <c r="M4924">
        <v>1187</v>
      </c>
      <c r="N4924" s="182">
        <v>24</v>
      </c>
      <c r="O4924">
        <v>3148</v>
      </c>
      <c r="P4924" s="132" t="s">
        <v>77</v>
      </c>
      <c r="Q4924" s="176">
        <v>4747.08</v>
      </c>
      <c r="R4924" s="176">
        <v>759.53</v>
      </c>
      <c r="S4924" s="176"/>
      <c r="T4924" s="190">
        <v>506.36</v>
      </c>
      <c r="U4924" s="191">
        <v>59.34</v>
      </c>
      <c r="V4924" s="191">
        <v>4940.91</v>
      </c>
      <c r="W4924">
        <v>419</v>
      </c>
      <c r="X4924" s="186" t="s">
        <v>2035</v>
      </c>
      <c r="Y4924" s="187" t="s">
        <v>55</v>
      </c>
      <c r="Z4924" s="311">
        <v>266</v>
      </c>
      <c r="AB4924" t="str">
        <f>IF(Table1[[#This Row],[TIPO2]]="costo", VLOOKUP(Table1[[#This Row],[PARTIDA PRESUPUESTAL]],'Cost Report'!G:G,1,0),"Balance")</f>
        <v>3498-003</v>
      </c>
      <c r="AD4924" s="159">
        <f>+Table1[[#This Row],[SUBTOTAL]]+Table1[[#This Row],[IVA]]-Table1[[#This Row],[RET IVA]]-Table1[[#This Row],[RET ISR]]-Table1[[#This Row],[TOTAL]]</f>
        <v>0</v>
      </c>
      <c r="AK4924" s="306" t="str">
        <f>IF(ISNUMBER(Table1[[#This Row],[FECHA DE RECIBIDO]]), Table1[[#This Row],[FECHA DE RECIBIDO]]-DATE(2023,8,30), "")</f>
        <v/>
      </c>
    </row>
    <row r="4925" spans="1:37" ht="16.05" customHeight="1">
      <c r="A4925" s="172" t="s">
        <v>4651</v>
      </c>
      <c r="B4925" s="178">
        <v>1626</v>
      </c>
      <c r="C4925" s="179" t="s">
        <v>399</v>
      </c>
      <c r="D4925">
        <v>3297</v>
      </c>
      <c r="E4925" s="125" t="s">
        <v>1603</v>
      </c>
      <c r="F4925" s="178" t="s">
        <v>1607</v>
      </c>
      <c r="G4925" s="178" t="s">
        <v>134</v>
      </c>
      <c r="H4925">
        <v>214</v>
      </c>
      <c r="I4925" s="178" t="s">
        <v>1546</v>
      </c>
      <c r="J4925" s="320" t="s">
        <v>214</v>
      </c>
      <c r="K4925" s="178" t="s">
        <v>4871</v>
      </c>
      <c r="L4925" s="125" t="s">
        <v>3306</v>
      </c>
      <c r="M4925">
        <v>1188</v>
      </c>
      <c r="N4925" s="182">
        <v>1</v>
      </c>
      <c r="O4925">
        <v>3149</v>
      </c>
      <c r="P4925" s="132" t="s">
        <v>77</v>
      </c>
      <c r="Q4925" s="176">
        <v>1600</v>
      </c>
      <c r="R4925" s="176">
        <v>256</v>
      </c>
      <c r="S4925" s="176"/>
      <c r="T4925" s="190">
        <v>0</v>
      </c>
      <c r="U4925" s="191">
        <v>0</v>
      </c>
      <c r="V4925" s="191">
        <v>1856</v>
      </c>
      <c r="W4925">
        <v>135</v>
      </c>
      <c r="X4925" s="186" t="s">
        <v>1429</v>
      </c>
      <c r="Y4925" s="187" t="s">
        <v>55</v>
      </c>
      <c r="Z4925" s="311">
        <v>266</v>
      </c>
      <c r="AB4925" t="str">
        <f>IF(Table1[[#This Row],[TIPO2]]="costo", VLOOKUP(Table1[[#This Row],[PARTIDA PRESUPUESTAL]],'Cost Report'!G:G,1,0),"Balance")</f>
        <v>1621-003</v>
      </c>
      <c r="AD4925" s="159">
        <f>+Table1[[#This Row],[SUBTOTAL]]+Table1[[#This Row],[IVA]]-Table1[[#This Row],[RET IVA]]-Table1[[#This Row],[RET ISR]]-Table1[[#This Row],[TOTAL]]</f>
        <v>0</v>
      </c>
      <c r="AK4925" s="306" t="str">
        <f>IF(ISNUMBER(Table1[[#This Row],[FECHA DE RECIBIDO]]), Table1[[#This Row],[FECHA DE RECIBIDO]]-DATE(2023,8,30), "")</f>
        <v/>
      </c>
    </row>
    <row r="4926" spans="1:37" ht="16.05" customHeight="1">
      <c r="A4926" s="172" t="s">
        <v>4652</v>
      </c>
      <c r="B4926" s="178">
        <v>1627</v>
      </c>
      <c r="C4926" s="179" t="s">
        <v>2532</v>
      </c>
      <c r="D4926">
        <v>3298</v>
      </c>
      <c r="E4926" s="125" t="s">
        <v>3785</v>
      </c>
      <c r="F4926" s="178" t="s">
        <v>1607</v>
      </c>
      <c r="G4926" s="178" t="s">
        <v>134</v>
      </c>
      <c r="H4926">
        <v>451</v>
      </c>
      <c r="I4926" s="178" t="s">
        <v>1546</v>
      </c>
      <c r="J4926" s="320" t="s">
        <v>214</v>
      </c>
      <c r="K4926" s="178" t="s">
        <v>4871</v>
      </c>
      <c r="L4926" s="125" t="s">
        <v>3306</v>
      </c>
      <c r="M4926">
        <v>763</v>
      </c>
      <c r="N4926" s="182">
        <v>51</v>
      </c>
      <c r="O4926">
        <v>3150</v>
      </c>
      <c r="P4926" s="132" t="s">
        <v>77</v>
      </c>
      <c r="Q4926" s="176">
        <v>15000</v>
      </c>
      <c r="R4926" s="176">
        <v>2400</v>
      </c>
      <c r="S4926" s="176"/>
      <c r="T4926" s="190">
        <v>0</v>
      </c>
      <c r="U4926" s="191">
        <v>0</v>
      </c>
      <c r="V4926" s="191">
        <v>17400</v>
      </c>
      <c r="W4926">
        <v>238</v>
      </c>
      <c r="X4926" s="186" t="s">
        <v>2035</v>
      </c>
      <c r="Y4926" s="187" t="s">
        <v>55</v>
      </c>
      <c r="Z4926" s="311">
        <v>266</v>
      </c>
      <c r="AB4926" t="str">
        <f>IF(Table1[[#This Row],[TIPO2]]="costo", VLOOKUP(Table1[[#This Row],[PARTIDA PRESUPUESTAL]],'Cost Report'!G:G,1,0),"Balance")</f>
        <v>2494-043</v>
      </c>
      <c r="AD4926" s="159">
        <f>+Table1[[#This Row],[SUBTOTAL]]+Table1[[#This Row],[IVA]]-Table1[[#This Row],[RET IVA]]-Table1[[#This Row],[RET ISR]]-Table1[[#This Row],[TOTAL]]</f>
        <v>0</v>
      </c>
      <c r="AK4926" s="306" t="str">
        <f>IF(ISNUMBER(Table1[[#This Row],[FECHA DE RECIBIDO]]), Table1[[#This Row],[FECHA DE RECIBIDO]]-DATE(2023,8,30), "")</f>
        <v/>
      </c>
    </row>
    <row r="4927" spans="1:37" ht="16.05" customHeight="1">
      <c r="A4927" s="172"/>
      <c r="B4927" s="178">
        <v>1628</v>
      </c>
      <c r="C4927" s="179" t="s">
        <v>2540</v>
      </c>
      <c r="D4927">
        <v>3299</v>
      </c>
      <c r="E4927" s="125" t="s">
        <v>3785</v>
      </c>
      <c r="F4927" s="178" t="s">
        <v>1607</v>
      </c>
      <c r="G4927" s="178" t="s">
        <v>134</v>
      </c>
      <c r="H4927">
        <v>451</v>
      </c>
      <c r="I4927" s="178" t="s">
        <v>1546</v>
      </c>
      <c r="J4927" s="320" t="s">
        <v>214</v>
      </c>
      <c r="K4927" s="178" t="s">
        <v>4871</v>
      </c>
      <c r="L4927" s="125" t="s">
        <v>3306</v>
      </c>
      <c r="M4927">
        <v>763</v>
      </c>
      <c r="N4927" s="182">
        <v>51</v>
      </c>
      <c r="O4927">
        <v>3151</v>
      </c>
      <c r="P4927" s="132" t="s">
        <v>77</v>
      </c>
      <c r="Q4927" s="176">
        <v>22000</v>
      </c>
      <c r="R4927" s="176">
        <v>3520</v>
      </c>
      <c r="S4927" s="176"/>
      <c r="T4927" s="190">
        <v>0</v>
      </c>
      <c r="U4927" s="191">
        <v>0</v>
      </c>
      <c r="V4927" s="191">
        <v>25520</v>
      </c>
      <c r="W4927">
        <v>238</v>
      </c>
      <c r="X4927" s="186" t="s">
        <v>2035</v>
      </c>
      <c r="Y4927" s="187" t="s">
        <v>55</v>
      </c>
      <c r="Z4927" s="311">
        <v>266</v>
      </c>
      <c r="AB4927" t="str">
        <f>IF(Table1[[#This Row],[TIPO2]]="costo", VLOOKUP(Table1[[#This Row],[PARTIDA PRESUPUESTAL]],'Cost Report'!G:G,1,0),"Balance")</f>
        <v>2494-059</v>
      </c>
      <c r="AD4927" s="159">
        <f>+Table1[[#This Row],[SUBTOTAL]]+Table1[[#This Row],[IVA]]-Table1[[#This Row],[RET IVA]]-Table1[[#This Row],[RET ISR]]-Table1[[#This Row],[TOTAL]]</f>
        <v>0</v>
      </c>
      <c r="AK4927" s="306" t="str">
        <f>IF(ISNUMBER(Table1[[#This Row],[FECHA DE RECIBIDO]]), Table1[[#This Row],[FECHA DE RECIBIDO]]-DATE(2023,8,30), "")</f>
        <v/>
      </c>
    </row>
    <row r="4928" spans="1:37" ht="16.05" customHeight="1">
      <c r="A4928" s="172"/>
      <c r="B4928" s="178">
        <v>1629</v>
      </c>
      <c r="C4928" s="179" t="s">
        <v>2566</v>
      </c>
      <c r="D4928">
        <v>3300</v>
      </c>
      <c r="E4928" s="125" t="s">
        <v>3785</v>
      </c>
      <c r="F4928" s="178" t="s">
        <v>1607</v>
      </c>
      <c r="G4928" s="178" t="s">
        <v>134</v>
      </c>
      <c r="H4928">
        <v>451</v>
      </c>
      <c r="I4928" s="178" t="s">
        <v>1546</v>
      </c>
      <c r="J4928" s="320" t="s">
        <v>214</v>
      </c>
      <c r="K4928" s="178" t="s">
        <v>4871</v>
      </c>
      <c r="L4928" s="125" t="s">
        <v>3306</v>
      </c>
      <c r="M4928">
        <v>763</v>
      </c>
      <c r="N4928" s="182">
        <v>51</v>
      </c>
      <c r="O4928">
        <v>3152</v>
      </c>
      <c r="P4928" s="132" t="s">
        <v>77</v>
      </c>
      <c r="Q4928" s="176">
        <v>1050</v>
      </c>
      <c r="R4928" s="176">
        <v>168</v>
      </c>
      <c r="S4928" s="176"/>
      <c r="T4928" s="190">
        <v>0</v>
      </c>
      <c r="U4928" s="191">
        <v>0</v>
      </c>
      <c r="V4928" s="191">
        <v>1218</v>
      </c>
      <c r="W4928">
        <v>238</v>
      </c>
      <c r="X4928" s="186" t="s">
        <v>2035</v>
      </c>
      <c r="Y4928" s="187" t="s">
        <v>55</v>
      </c>
      <c r="Z4928" s="311">
        <v>266</v>
      </c>
      <c r="AB4928" t="str">
        <f>IF(Table1[[#This Row],[TIPO2]]="costo", VLOOKUP(Table1[[#This Row],[PARTIDA PRESUPUESTAL]],'Cost Report'!G:G,1,0),"Balance")</f>
        <v>2594-003</v>
      </c>
      <c r="AD4928" s="159">
        <f>+Table1[[#This Row],[SUBTOTAL]]+Table1[[#This Row],[IVA]]-Table1[[#This Row],[RET IVA]]-Table1[[#This Row],[RET ISR]]-Table1[[#This Row],[TOTAL]]</f>
        <v>0</v>
      </c>
      <c r="AK4928" s="306" t="str">
        <f>IF(ISNUMBER(Table1[[#This Row],[FECHA DE RECIBIDO]]), Table1[[#This Row],[FECHA DE RECIBIDO]]-DATE(2023,8,30), "")</f>
        <v/>
      </c>
    </row>
    <row r="4929" spans="1:37" ht="16.05" customHeight="1">
      <c r="A4929" s="172" t="s">
        <v>4653</v>
      </c>
      <c r="B4929" s="178">
        <v>1630</v>
      </c>
      <c r="C4929" s="179" t="s">
        <v>383</v>
      </c>
      <c r="D4929">
        <v>3301</v>
      </c>
      <c r="E4929" s="125" t="s">
        <v>3179</v>
      </c>
      <c r="F4929" s="178" t="s">
        <v>1593</v>
      </c>
      <c r="G4929" s="178" t="s">
        <v>109</v>
      </c>
      <c r="H4929">
        <v>581</v>
      </c>
      <c r="I4929" s="178" t="s">
        <v>1546</v>
      </c>
      <c r="J4929" s="320" t="s">
        <v>214</v>
      </c>
      <c r="K4929" s="178" t="s">
        <v>4871</v>
      </c>
      <c r="L4929" s="125" t="s">
        <v>3306</v>
      </c>
      <c r="M4929">
        <v>824</v>
      </c>
      <c r="N4929" s="182">
        <v>51</v>
      </c>
      <c r="O4929">
        <v>3153</v>
      </c>
      <c r="P4929" s="132" t="s">
        <v>77</v>
      </c>
      <c r="Q4929" s="176">
        <v>10500</v>
      </c>
      <c r="R4929" s="176">
        <v>1680</v>
      </c>
      <c r="S4929" s="176"/>
      <c r="T4929" s="190">
        <v>1120</v>
      </c>
      <c r="U4929" s="191">
        <v>131.25</v>
      </c>
      <c r="V4929" s="191">
        <v>10928.75</v>
      </c>
      <c r="W4929">
        <v>328</v>
      </c>
      <c r="X4929" s="186" t="s">
        <v>195</v>
      </c>
      <c r="Y4929" s="187" t="s">
        <v>55</v>
      </c>
      <c r="Z4929" s="311">
        <v>266</v>
      </c>
      <c r="AB4929" t="str">
        <f>IF(Table1[[#This Row],[TIPO2]]="costo", VLOOKUP(Table1[[#This Row],[PARTIDA PRESUPUESTAL]],'Cost Report'!G:G,1,0),"Balance")</f>
        <v>1413-008</v>
      </c>
      <c r="AD4929" s="159">
        <f>+Table1[[#This Row],[SUBTOTAL]]+Table1[[#This Row],[IVA]]-Table1[[#This Row],[RET IVA]]-Table1[[#This Row],[RET ISR]]-Table1[[#This Row],[TOTAL]]</f>
        <v>0</v>
      </c>
      <c r="AK4929" s="306" t="str">
        <f>IF(ISNUMBER(Table1[[#This Row],[FECHA DE RECIBIDO]]), Table1[[#This Row],[FECHA DE RECIBIDO]]-DATE(2023,8,30), "")</f>
        <v/>
      </c>
    </row>
    <row r="4930" spans="1:37" ht="16.05" customHeight="1">
      <c r="A4930" s="172" t="s">
        <v>4654</v>
      </c>
      <c r="B4930" s="178">
        <v>1631</v>
      </c>
      <c r="C4930" s="179" t="s">
        <v>475</v>
      </c>
      <c r="D4930">
        <v>3302</v>
      </c>
      <c r="E4930" s="125" t="s">
        <v>1588</v>
      </c>
      <c r="F4930" s="178" t="s">
        <v>1589</v>
      </c>
      <c r="G4930" s="178" t="s">
        <v>129</v>
      </c>
      <c r="H4930">
        <v>15</v>
      </c>
      <c r="I4930" s="178" t="s">
        <v>1546</v>
      </c>
      <c r="J4930" s="320" t="s">
        <v>214</v>
      </c>
      <c r="K4930" s="178" t="s">
        <v>4871</v>
      </c>
      <c r="L4930" s="125" t="s">
        <v>110</v>
      </c>
      <c r="M4930">
        <v>19</v>
      </c>
      <c r="N4930" s="182">
        <v>1</v>
      </c>
      <c r="O4930">
        <v>3154</v>
      </c>
      <c r="P4930" s="132" t="s">
        <v>77</v>
      </c>
      <c r="Q4930" s="176">
        <v>18900</v>
      </c>
      <c r="R4930" s="176">
        <v>3024</v>
      </c>
      <c r="S4930" s="176"/>
      <c r="T4930" s="190">
        <v>2016.01</v>
      </c>
      <c r="U4930" s="191">
        <v>1890</v>
      </c>
      <c r="V4930" s="191">
        <v>18017.990000000002</v>
      </c>
      <c r="W4930">
        <v>15</v>
      </c>
      <c r="X4930" s="186" t="s">
        <v>1429</v>
      </c>
      <c r="Y4930" s="187" t="s">
        <v>55</v>
      </c>
      <c r="Z4930" s="311">
        <v>266</v>
      </c>
      <c r="AB4930" t="str">
        <f>IF(Table1[[#This Row],[TIPO2]]="costo", VLOOKUP(Table1[[#This Row],[PARTIDA PRESUPUESTAL]],'Cost Report'!G:G,1,0),"Balance")</f>
        <v>2013-005</v>
      </c>
      <c r="AD4930" s="159">
        <f>+Table1[[#This Row],[SUBTOTAL]]+Table1[[#This Row],[IVA]]-Table1[[#This Row],[RET IVA]]-Table1[[#This Row],[RET ISR]]-Table1[[#This Row],[TOTAL]]</f>
        <v>0</v>
      </c>
      <c r="AK4930" s="306" t="str">
        <f>IF(ISNUMBER(Table1[[#This Row],[FECHA DE RECIBIDO]]), Table1[[#This Row],[FECHA DE RECIBIDO]]-DATE(2023,8,30), "")</f>
        <v/>
      </c>
    </row>
    <row r="4931" spans="1:37" ht="16.05" customHeight="1">
      <c r="A4931" s="172" t="s">
        <v>4655</v>
      </c>
      <c r="B4931" s="178">
        <v>1632</v>
      </c>
      <c r="C4931" s="179" t="s">
        <v>243</v>
      </c>
      <c r="D4931">
        <v>3303</v>
      </c>
      <c r="E4931" s="125" t="s">
        <v>1590</v>
      </c>
      <c r="F4931" s="178" t="s">
        <v>1589</v>
      </c>
      <c r="G4931" s="178" t="s">
        <v>129</v>
      </c>
      <c r="H4931">
        <v>16</v>
      </c>
      <c r="I4931" s="178" t="s">
        <v>1546</v>
      </c>
      <c r="J4931" s="320" t="s">
        <v>214</v>
      </c>
      <c r="K4931" s="178" t="s">
        <v>4871</v>
      </c>
      <c r="L4931" s="125" t="s">
        <v>110</v>
      </c>
      <c r="M4931">
        <v>21</v>
      </c>
      <c r="N4931" s="182">
        <v>2</v>
      </c>
      <c r="O4931">
        <v>3155</v>
      </c>
      <c r="P4931" s="132" t="s">
        <v>77</v>
      </c>
      <c r="Q4931" s="176">
        <v>42000</v>
      </c>
      <c r="R4931" s="176">
        <v>6720</v>
      </c>
      <c r="S4931" s="176"/>
      <c r="T4931" s="190">
        <v>4480.01</v>
      </c>
      <c r="U4931" s="191">
        <v>4200</v>
      </c>
      <c r="V4931" s="191">
        <v>40039.99</v>
      </c>
      <c r="W4931">
        <v>16</v>
      </c>
      <c r="X4931" s="186" t="s">
        <v>1429</v>
      </c>
      <c r="Y4931" s="187" t="s">
        <v>55</v>
      </c>
      <c r="Z4931" s="311">
        <v>266</v>
      </c>
      <c r="AB4931" t="str">
        <f>IF(Table1[[#This Row],[TIPO2]]="costo", VLOOKUP(Table1[[#This Row],[PARTIDA PRESUPUESTAL]],'Cost Report'!G:G,1,0),"Balance")</f>
        <v>1204-005</v>
      </c>
      <c r="AD4931" s="159">
        <f>+Table1[[#This Row],[SUBTOTAL]]+Table1[[#This Row],[IVA]]-Table1[[#This Row],[RET IVA]]-Table1[[#This Row],[RET ISR]]-Table1[[#This Row],[TOTAL]]</f>
        <v>0</v>
      </c>
      <c r="AK4931" s="306" t="str">
        <f>IF(ISNUMBER(Table1[[#This Row],[FECHA DE RECIBIDO]]), Table1[[#This Row],[FECHA DE RECIBIDO]]-DATE(2023,8,30), "")</f>
        <v/>
      </c>
    </row>
    <row r="4932" spans="1:37" ht="16.05" customHeight="1">
      <c r="A4932" s="172" t="s">
        <v>4656</v>
      </c>
      <c r="B4932" s="178">
        <v>1633</v>
      </c>
      <c r="C4932" s="179" t="s">
        <v>435</v>
      </c>
      <c r="D4932">
        <v>3304</v>
      </c>
      <c r="E4932" s="125" t="s">
        <v>1591</v>
      </c>
      <c r="F4932" s="178" t="s">
        <v>1589</v>
      </c>
      <c r="G4932" s="178" t="s">
        <v>129</v>
      </c>
      <c r="H4932">
        <v>17</v>
      </c>
      <c r="I4932" s="178" t="s">
        <v>1546</v>
      </c>
      <c r="J4932" s="320" t="s">
        <v>214</v>
      </c>
      <c r="K4932" s="178" t="s">
        <v>4871</v>
      </c>
      <c r="L4932" s="125" t="s">
        <v>110</v>
      </c>
      <c r="M4932">
        <v>22</v>
      </c>
      <c r="N4932" s="182">
        <v>3</v>
      </c>
      <c r="O4932">
        <v>3156</v>
      </c>
      <c r="P4932" s="132" t="s">
        <v>77</v>
      </c>
      <c r="Q4932" s="176">
        <v>20000</v>
      </c>
      <c r="R4932" s="176">
        <v>3200</v>
      </c>
      <c r="S4932" s="176"/>
      <c r="T4932" s="190">
        <v>2133.34</v>
      </c>
      <c r="U4932" s="191">
        <v>2000</v>
      </c>
      <c r="V4932" s="191">
        <v>19066.66</v>
      </c>
      <c r="W4932">
        <v>17</v>
      </c>
      <c r="X4932" s="186" t="s">
        <v>1430</v>
      </c>
      <c r="Y4932" s="187" t="s">
        <v>55</v>
      </c>
      <c r="Z4932" s="311">
        <v>266</v>
      </c>
      <c r="AB4932" t="str">
        <f>IF(Table1[[#This Row],[TIPO2]]="costo", VLOOKUP(Table1[[#This Row],[PARTIDA PRESUPUESTAL]],'Cost Report'!G:G,1,0),"Balance")</f>
        <v>2001-005</v>
      </c>
      <c r="AD4932" s="159">
        <f>+Table1[[#This Row],[SUBTOTAL]]+Table1[[#This Row],[IVA]]-Table1[[#This Row],[RET IVA]]-Table1[[#This Row],[RET ISR]]-Table1[[#This Row],[TOTAL]]</f>
        <v>0</v>
      </c>
      <c r="AK4932" s="306" t="str">
        <f>IF(ISNUMBER(Table1[[#This Row],[FECHA DE RECIBIDO]]), Table1[[#This Row],[FECHA DE RECIBIDO]]-DATE(2023,8,30), "")</f>
        <v/>
      </c>
    </row>
    <row r="4933" spans="1:37" ht="16.05" customHeight="1">
      <c r="A4933" s="172" t="s">
        <v>4657</v>
      </c>
      <c r="B4933" s="178">
        <v>1634</v>
      </c>
      <c r="C4933" s="179" t="s">
        <v>2143</v>
      </c>
      <c r="D4933">
        <v>3305</v>
      </c>
      <c r="E4933" s="125" t="s">
        <v>1592</v>
      </c>
      <c r="F4933" s="178" t="s">
        <v>1593</v>
      </c>
      <c r="G4933" s="178" t="s">
        <v>109</v>
      </c>
      <c r="H4933">
        <v>18</v>
      </c>
      <c r="I4933" s="178" t="s">
        <v>1546</v>
      </c>
      <c r="J4933" s="320" t="s">
        <v>214</v>
      </c>
      <c r="K4933" s="178" t="s">
        <v>4871</v>
      </c>
      <c r="L4933" s="125" t="s">
        <v>110</v>
      </c>
      <c r="M4933">
        <v>23</v>
      </c>
      <c r="N4933" s="182">
        <v>4</v>
      </c>
      <c r="O4933">
        <v>3157</v>
      </c>
      <c r="P4933" s="132" t="s">
        <v>77</v>
      </c>
      <c r="Q4933" s="176">
        <v>20000</v>
      </c>
      <c r="R4933" s="176">
        <v>3200</v>
      </c>
      <c r="S4933" s="176"/>
      <c r="T4933" s="190">
        <v>2133.34</v>
      </c>
      <c r="U4933" s="191">
        <v>250</v>
      </c>
      <c r="V4933" s="191">
        <v>20816.66</v>
      </c>
      <c r="W4933">
        <v>18</v>
      </c>
      <c r="X4933" s="186" t="s">
        <v>1429</v>
      </c>
      <c r="Y4933" s="187" t="s">
        <v>55</v>
      </c>
      <c r="Z4933" s="311">
        <v>266</v>
      </c>
      <c r="AB4933" t="str">
        <f>IF(Table1[[#This Row],[TIPO2]]="costo", VLOOKUP(Table1[[#This Row],[PARTIDA PRESUPUESTAL]],'Cost Report'!G:G,1,0),"Balance")</f>
        <v>1222-009</v>
      </c>
      <c r="AD4933" s="159">
        <f>+Table1[[#This Row],[SUBTOTAL]]+Table1[[#This Row],[IVA]]-Table1[[#This Row],[RET IVA]]-Table1[[#This Row],[RET ISR]]-Table1[[#This Row],[TOTAL]]</f>
        <v>0</v>
      </c>
      <c r="AK4933" s="306" t="str">
        <f>IF(ISNUMBER(Table1[[#This Row],[FECHA DE RECIBIDO]]), Table1[[#This Row],[FECHA DE RECIBIDO]]-DATE(2023,8,30), "")</f>
        <v/>
      </c>
    </row>
    <row r="4934" spans="1:37" ht="16.05" customHeight="1">
      <c r="A4934" s="172" t="s">
        <v>4658</v>
      </c>
      <c r="B4934" s="178">
        <v>1635</v>
      </c>
      <c r="C4934" s="179" t="s">
        <v>478</v>
      </c>
      <c r="D4934">
        <v>3306</v>
      </c>
      <c r="E4934" s="125" t="s">
        <v>1594</v>
      </c>
      <c r="F4934" s="178" t="s">
        <v>1593</v>
      </c>
      <c r="G4934" s="178" t="s">
        <v>109</v>
      </c>
      <c r="H4934">
        <v>21</v>
      </c>
      <c r="I4934" s="178" t="s">
        <v>1546</v>
      </c>
      <c r="J4934" s="320" t="s">
        <v>214</v>
      </c>
      <c r="K4934" s="178" t="s">
        <v>4871</v>
      </c>
      <c r="L4934" s="125" t="s">
        <v>110</v>
      </c>
      <c r="M4934">
        <v>27</v>
      </c>
      <c r="N4934" s="182">
        <v>5</v>
      </c>
      <c r="O4934">
        <v>3158</v>
      </c>
      <c r="P4934" s="132" t="s">
        <v>77</v>
      </c>
      <c r="Q4934" s="176">
        <v>8000</v>
      </c>
      <c r="R4934" s="176">
        <v>1280</v>
      </c>
      <c r="S4934" s="176"/>
      <c r="T4934" s="190">
        <v>853.33</v>
      </c>
      <c r="U4934" s="191">
        <v>100</v>
      </c>
      <c r="V4934" s="191">
        <v>8326.67</v>
      </c>
      <c r="W4934">
        <v>21</v>
      </c>
      <c r="X4934" s="186" t="s">
        <v>1431</v>
      </c>
      <c r="Y4934" s="187" t="s">
        <v>55</v>
      </c>
      <c r="Z4934" s="311">
        <v>266</v>
      </c>
      <c r="AB4934" t="str">
        <f>IF(Table1[[#This Row],[TIPO2]]="costo", VLOOKUP(Table1[[#This Row],[PARTIDA PRESUPUESTAL]],'Cost Report'!G:G,1,0),"Balance")</f>
        <v>2014-004</v>
      </c>
      <c r="AD4934" s="159">
        <f>+Table1[[#This Row],[SUBTOTAL]]+Table1[[#This Row],[IVA]]-Table1[[#This Row],[RET IVA]]-Table1[[#This Row],[RET ISR]]-Table1[[#This Row],[TOTAL]]</f>
        <v>0</v>
      </c>
      <c r="AK4934" s="306" t="str">
        <f>IF(ISNUMBER(Table1[[#This Row],[FECHA DE RECIBIDO]]), Table1[[#This Row],[FECHA DE RECIBIDO]]-DATE(2023,8,30), "")</f>
        <v/>
      </c>
    </row>
    <row r="4935" spans="1:37" ht="16.05" customHeight="1">
      <c r="A4935" s="172" t="s">
        <v>4659</v>
      </c>
      <c r="B4935" s="178">
        <v>1636</v>
      </c>
      <c r="C4935" s="179" t="s">
        <v>491</v>
      </c>
      <c r="D4935">
        <v>3307</v>
      </c>
      <c r="E4935" s="125" t="s">
        <v>2010</v>
      </c>
      <c r="F4935" s="178" t="s">
        <v>1589</v>
      </c>
      <c r="G4935" s="178" t="s">
        <v>129</v>
      </c>
      <c r="H4935">
        <v>60</v>
      </c>
      <c r="I4935" s="178" t="s">
        <v>1546</v>
      </c>
      <c r="J4935" s="320" t="s">
        <v>214</v>
      </c>
      <c r="K4935" s="178" t="s">
        <v>4871</v>
      </c>
      <c r="L4935" s="125" t="s">
        <v>110</v>
      </c>
      <c r="M4935">
        <v>83</v>
      </c>
      <c r="N4935" s="182">
        <v>19</v>
      </c>
      <c r="O4935">
        <v>3159</v>
      </c>
      <c r="P4935" s="132" t="s">
        <v>77</v>
      </c>
      <c r="Q4935" s="176">
        <v>18900</v>
      </c>
      <c r="R4935" s="176">
        <v>3024</v>
      </c>
      <c r="S4935" s="176"/>
      <c r="T4935" s="190">
        <v>2016.01</v>
      </c>
      <c r="U4935" s="191">
        <v>1890</v>
      </c>
      <c r="V4935" s="191">
        <v>18017.990000000002</v>
      </c>
      <c r="W4935">
        <v>42</v>
      </c>
      <c r="X4935" s="186" t="s">
        <v>1430</v>
      </c>
      <c r="Y4935" s="187" t="s">
        <v>55</v>
      </c>
      <c r="Z4935" s="311">
        <v>266</v>
      </c>
      <c r="AB4935" t="str">
        <f>IF(Table1[[#This Row],[TIPO2]]="costo", VLOOKUP(Table1[[#This Row],[PARTIDA PRESUPUESTAL]],'Cost Report'!G:G,1,0),"Balance")</f>
        <v>2020-004</v>
      </c>
      <c r="AD4935" s="159">
        <f>+Table1[[#This Row],[SUBTOTAL]]+Table1[[#This Row],[IVA]]-Table1[[#This Row],[RET IVA]]-Table1[[#This Row],[RET ISR]]-Table1[[#This Row],[TOTAL]]</f>
        <v>0</v>
      </c>
      <c r="AK4935" s="306" t="str">
        <f>IF(ISNUMBER(Table1[[#This Row],[FECHA DE RECIBIDO]]), Table1[[#This Row],[FECHA DE RECIBIDO]]-DATE(2023,8,30), "")</f>
        <v/>
      </c>
    </row>
    <row r="4936" spans="1:37" ht="16.05" customHeight="1">
      <c r="A4936" s="172" t="s">
        <v>4660</v>
      </c>
      <c r="B4936" s="178">
        <v>1637</v>
      </c>
      <c r="C4936" s="179" t="s">
        <v>2417</v>
      </c>
      <c r="D4936">
        <v>3308</v>
      </c>
      <c r="E4936" s="125" t="s">
        <v>1888</v>
      </c>
      <c r="F4936" s="178" t="s">
        <v>1593</v>
      </c>
      <c r="G4936" s="178" t="s">
        <v>109</v>
      </c>
      <c r="H4936">
        <v>61</v>
      </c>
      <c r="I4936" s="178" t="s">
        <v>1546</v>
      </c>
      <c r="J4936" s="320" t="s">
        <v>214</v>
      </c>
      <c r="K4936" s="178" t="s">
        <v>4871</v>
      </c>
      <c r="L4936" s="125" t="s">
        <v>110</v>
      </c>
      <c r="M4936">
        <v>84</v>
      </c>
      <c r="N4936" s="182">
        <v>21</v>
      </c>
      <c r="O4936">
        <v>3160</v>
      </c>
      <c r="P4936" s="132" t="s">
        <v>77</v>
      </c>
      <c r="Q4936" s="176">
        <v>12500</v>
      </c>
      <c r="R4936" s="176">
        <v>2000</v>
      </c>
      <c r="S4936" s="176"/>
      <c r="T4936" s="190">
        <v>1333.34</v>
      </c>
      <c r="U4936" s="191">
        <v>156.25</v>
      </c>
      <c r="V4936" s="191">
        <v>13010.41</v>
      </c>
      <c r="W4936">
        <v>43</v>
      </c>
      <c r="X4936" s="186" t="s">
        <v>1431</v>
      </c>
      <c r="Y4936" s="187" t="s">
        <v>55</v>
      </c>
      <c r="Z4936" s="311">
        <v>266</v>
      </c>
      <c r="AB4936" t="str">
        <f>IF(Table1[[#This Row],[TIPO2]]="costo", VLOOKUP(Table1[[#This Row],[PARTIDA PRESUPUESTAL]],'Cost Report'!G:G,1,0),"Balance")</f>
        <v>2017-004</v>
      </c>
      <c r="AD4936" s="159">
        <f>+Table1[[#This Row],[SUBTOTAL]]+Table1[[#This Row],[IVA]]-Table1[[#This Row],[RET IVA]]-Table1[[#This Row],[RET ISR]]-Table1[[#This Row],[TOTAL]]</f>
        <v>0</v>
      </c>
      <c r="AK4936" s="306" t="str">
        <f>IF(ISNUMBER(Table1[[#This Row],[FECHA DE RECIBIDO]]), Table1[[#This Row],[FECHA DE RECIBIDO]]-DATE(2023,8,30), "")</f>
        <v/>
      </c>
    </row>
    <row r="4937" spans="1:37" ht="16.05" customHeight="1">
      <c r="A4937" s="172" t="s">
        <v>4661</v>
      </c>
      <c r="B4937" s="178">
        <v>1638</v>
      </c>
      <c r="C4937" s="179" t="s">
        <v>1726</v>
      </c>
      <c r="D4937">
        <v>3309</v>
      </c>
      <c r="E4937" s="125" t="s">
        <v>1613</v>
      </c>
      <c r="F4937" s="178" t="s">
        <v>1593</v>
      </c>
      <c r="G4937" s="178" t="s">
        <v>109</v>
      </c>
      <c r="H4937">
        <v>197</v>
      </c>
      <c r="I4937" s="178" t="s">
        <v>1546</v>
      </c>
      <c r="J4937" s="320" t="s">
        <v>214</v>
      </c>
      <c r="K4937" s="178" t="s">
        <v>4871</v>
      </c>
      <c r="L4937" s="125" t="s">
        <v>110</v>
      </c>
      <c r="M4937">
        <v>262</v>
      </c>
      <c r="N4937" s="182">
        <v>62</v>
      </c>
      <c r="O4937">
        <v>3161</v>
      </c>
      <c r="P4937" s="132" t="s">
        <v>77</v>
      </c>
      <c r="Q4937" s="176">
        <v>27000</v>
      </c>
      <c r="R4937" s="176">
        <v>4320</v>
      </c>
      <c r="S4937" s="176"/>
      <c r="T4937" s="190">
        <v>2880</v>
      </c>
      <c r="U4937" s="191">
        <v>337.5</v>
      </c>
      <c r="V4937" s="191">
        <v>28102.5</v>
      </c>
      <c r="W4937">
        <v>118</v>
      </c>
      <c r="X4937" s="186" t="s">
        <v>1429</v>
      </c>
      <c r="Y4937" s="187" t="s">
        <v>55</v>
      </c>
      <c r="Z4937" s="311">
        <v>266</v>
      </c>
      <c r="AB4937" t="str">
        <f>IF(Table1[[#This Row],[TIPO2]]="costo", VLOOKUP(Table1[[#This Row],[PARTIDA PRESUPUESTAL]],'Cost Report'!G:G,1,0),"Balance")</f>
        <v>2014-010</v>
      </c>
      <c r="AD4937" s="159">
        <f>+Table1[[#This Row],[SUBTOTAL]]+Table1[[#This Row],[IVA]]-Table1[[#This Row],[RET IVA]]-Table1[[#This Row],[RET ISR]]-Table1[[#This Row],[TOTAL]]</f>
        <v>0</v>
      </c>
      <c r="AK4937" s="306" t="str">
        <f>IF(ISNUMBER(Table1[[#This Row],[FECHA DE RECIBIDO]]), Table1[[#This Row],[FECHA DE RECIBIDO]]-DATE(2023,8,30), "")</f>
        <v/>
      </c>
    </row>
    <row r="4938" spans="1:37" ht="16.05" customHeight="1">
      <c r="A4938" s="172" t="s">
        <v>4662</v>
      </c>
      <c r="B4938" s="178">
        <v>1639</v>
      </c>
      <c r="C4938" s="179" t="s">
        <v>523</v>
      </c>
      <c r="D4938">
        <v>3310</v>
      </c>
      <c r="E4938" s="125" t="s">
        <v>3165</v>
      </c>
      <c r="F4938" s="178" t="s">
        <v>1589</v>
      </c>
      <c r="G4938" s="178" t="s">
        <v>129</v>
      </c>
      <c r="H4938">
        <v>198</v>
      </c>
      <c r="I4938" s="178" t="s">
        <v>1546</v>
      </c>
      <c r="J4938" s="320" t="s">
        <v>214</v>
      </c>
      <c r="K4938" s="178" t="s">
        <v>4871</v>
      </c>
      <c r="L4938" s="125" t="s">
        <v>110</v>
      </c>
      <c r="M4938">
        <v>263</v>
      </c>
      <c r="N4938" s="182">
        <v>63</v>
      </c>
      <c r="O4938">
        <v>3162</v>
      </c>
      <c r="P4938" s="132" t="s">
        <v>77</v>
      </c>
      <c r="Q4938" s="176">
        <v>8000</v>
      </c>
      <c r="R4938" s="176">
        <v>1280</v>
      </c>
      <c r="S4938" s="176"/>
      <c r="T4938" s="190">
        <v>853.33</v>
      </c>
      <c r="U4938" s="191">
        <v>800</v>
      </c>
      <c r="V4938" s="191">
        <v>7626.67</v>
      </c>
      <c r="W4938">
        <v>119</v>
      </c>
      <c r="X4938" s="186" t="s">
        <v>1429</v>
      </c>
      <c r="Y4938" s="187" t="s">
        <v>55</v>
      </c>
      <c r="Z4938" s="311">
        <v>266</v>
      </c>
      <c r="AB4938" t="str">
        <f>IF(Table1[[#This Row],[TIPO2]]="costo", VLOOKUP(Table1[[#This Row],[PARTIDA PRESUPUESTAL]],'Cost Report'!G:G,1,0),"Balance")</f>
        <v>2045-004</v>
      </c>
      <c r="AD4938" s="159">
        <f>+Table1[[#This Row],[SUBTOTAL]]+Table1[[#This Row],[IVA]]-Table1[[#This Row],[RET IVA]]-Table1[[#This Row],[RET ISR]]-Table1[[#This Row],[TOTAL]]</f>
        <v>0</v>
      </c>
      <c r="AK4938" s="306" t="str">
        <f>IF(ISNUMBER(Table1[[#This Row],[FECHA DE RECIBIDO]]), Table1[[#This Row],[FECHA DE RECIBIDO]]-DATE(2023,8,30), "")</f>
        <v/>
      </c>
    </row>
    <row r="4939" spans="1:37" ht="16.05" customHeight="1">
      <c r="A4939" s="172" t="s">
        <v>4663</v>
      </c>
      <c r="B4939" s="178">
        <v>1640</v>
      </c>
      <c r="C4939" s="179" t="s">
        <v>495</v>
      </c>
      <c r="D4939">
        <v>3311</v>
      </c>
      <c r="E4939" s="125" t="s">
        <v>3167</v>
      </c>
      <c r="F4939" s="178" t="s">
        <v>1593</v>
      </c>
      <c r="G4939" s="178" t="s">
        <v>109</v>
      </c>
      <c r="H4939">
        <v>199</v>
      </c>
      <c r="I4939" s="178" t="s">
        <v>1546</v>
      </c>
      <c r="J4939" s="320" t="s">
        <v>214</v>
      </c>
      <c r="K4939" s="178" t="s">
        <v>4871</v>
      </c>
      <c r="L4939" s="125" t="s">
        <v>110</v>
      </c>
      <c r="M4939">
        <v>264</v>
      </c>
      <c r="N4939" s="182">
        <v>64</v>
      </c>
      <c r="O4939">
        <v>3163</v>
      </c>
      <c r="P4939" s="132" t="s">
        <v>77</v>
      </c>
      <c r="Q4939" s="176">
        <v>9000</v>
      </c>
      <c r="R4939" s="176">
        <v>1440</v>
      </c>
      <c r="S4939" s="176"/>
      <c r="T4939" s="190">
        <v>960</v>
      </c>
      <c r="U4939" s="191">
        <v>112.5</v>
      </c>
      <c r="V4939" s="191">
        <v>9367.5</v>
      </c>
      <c r="W4939">
        <v>120</v>
      </c>
      <c r="X4939" s="186" t="s">
        <v>1429</v>
      </c>
      <c r="Y4939" s="187" t="s">
        <v>55</v>
      </c>
      <c r="Z4939" s="311">
        <v>266</v>
      </c>
      <c r="AB4939" t="str">
        <f>IF(Table1[[#This Row],[TIPO2]]="costo", VLOOKUP(Table1[[#This Row],[PARTIDA PRESUPUESTAL]],'Cost Report'!G:G,1,0),"Balance")</f>
        <v>2020-010</v>
      </c>
      <c r="AD4939" s="159">
        <f>+Table1[[#This Row],[SUBTOTAL]]+Table1[[#This Row],[IVA]]-Table1[[#This Row],[RET IVA]]-Table1[[#This Row],[RET ISR]]-Table1[[#This Row],[TOTAL]]</f>
        <v>0</v>
      </c>
      <c r="AK4939" s="306" t="str">
        <f>IF(ISNUMBER(Table1[[#This Row],[FECHA DE RECIBIDO]]), Table1[[#This Row],[FECHA DE RECIBIDO]]-DATE(2023,8,30), "")</f>
        <v/>
      </c>
    </row>
    <row r="4940" spans="1:37" ht="16.05" customHeight="1">
      <c r="A4940" s="172" t="s">
        <v>4664</v>
      </c>
      <c r="B4940" s="178">
        <v>1641</v>
      </c>
      <c r="C4940" s="179" t="s">
        <v>485</v>
      </c>
      <c r="D4940">
        <v>3312</v>
      </c>
      <c r="E4940" s="125" t="s">
        <v>3169</v>
      </c>
      <c r="F4940" s="178" t="s">
        <v>1593</v>
      </c>
      <c r="G4940" s="178" t="s">
        <v>109</v>
      </c>
      <c r="H4940">
        <v>200</v>
      </c>
      <c r="I4940" s="178" t="s">
        <v>1546</v>
      </c>
      <c r="J4940" s="320" t="s">
        <v>214</v>
      </c>
      <c r="K4940" s="178" t="s">
        <v>4871</v>
      </c>
      <c r="L4940" s="125" t="s">
        <v>110</v>
      </c>
      <c r="M4940">
        <v>265</v>
      </c>
      <c r="N4940" s="182">
        <v>65</v>
      </c>
      <c r="O4940">
        <v>3164</v>
      </c>
      <c r="P4940" s="132" t="s">
        <v>77</v>
      </c>
      <c r="Q4940" s="176">
        <v>6200</v>
      </c>
      <c r="R4940" s="176">
        <v>992</v>
      </c>
      <c r="S4940" s="176"/>
      <c r="T4940" s="190">
        <v>661.34</v>
      </c>
      <c r="U4940" s="191">
        <v>77.5</v>
      </c>
      <c r="V4940" s="191">
        <v>6453.16</v>
      </c>
      <c r="W4940">
        <v>121</v>
      </c>
      <c r="X4940" s="186" t="s">
        <v>1429</v>
      </c>
      <c r="Y4940" s="187" t="s">
        <v>55</v>
      </c>
      <c r="Z4940" s="311">
        <v>266</v>
      </c>
      <c r="AB4940" t="str">
        <f>IF(Table1[[#This Row],[TIPO2]]="costo", VLOOKUP(Table1[[#This Row],[PARTIDA PRESUPUESTAL]],'Cost Report'!G:G,1,0),"Balance")</f>
        <v>2019-004</v>
      </c>
      <c r="AD4940" s="159">
        <f>+Table1[[#This Row],[SUBTOTAL]]+Table1[[#This Row],[IVA]]-Table1[[#This Row],[RET IVA]]-Table1[[#This Row],[RET ISR]]-Table1[[#This Row],[TOTAL]]</f>
        <v>0</v>
      </c>
      <c r="AK4940" s="306" t="str">
        <f>IF(ISNUMBER(Table1[[#This Row],[FECHA DE RECIBIDO]]), Table1[[#This Row],[FECHA DE RECIBIDO]]-DATE(2023,8,30), "")</f>
        <v/>
      </c>
    </row>
    <row r="4941" spans="1:37" ht="16.05" customHeight="1">
      <c r="A4941" s="172" t="s">
        <v>4665</v>
      </c>
      <c r="B4941" s="178">
        <v>1642</v>
      </c>
      <c r="C4941" s="179" t="s">
        <v>2891</v>
      </c>
      <c r="D4941">
        <v>3313</v>
      </c>
      <c r="E4941" s="125" t="s">
        <v>3171</v>
      </c>
      <c r="F4941" s="178" t="s">
        <v>1602</v>
      </c>
      <c r="G4941" s="178" t="s">
        <v>1617</v>
      </c>
      <c r="H4941">
        <v>201</v>
      </c>
      <c r="I4941" s="178" t="s">
        <v>1546</v>
      </c>
      <c r="J4941" s="320" t="s">
        <v>214</v>
      </c>
      <c r="K4941" s="178" t="s">
        <v>4871</v>
      </c>
      <c r="L4941" s="125" t="s">
        <v>110</v>
      </c>
      <c r="M4941">
        <v>266</v>
      </c>
      <c r="N4941" s="182">
        <v>66</v>
      </c>
      <c r="O4941">
        <v>3165</v>
      </c>
      <c r="P4941" s="132" t="s">
        <v>77</v>
      </c>
      <c r="Q4941" s="176">
        <v>5000</v>
      </c>
      <c r="R4941" s="176">
        <v>800</v>
      </c>
      <c r="S4941" s="176"/>
      <c r="T4941" s="190">
        <v>533.34</v>
      </c>
      <c r="U4941" s="191">
        <v>0</v>
      </c>
      <c r="V4941" s="191">
        <v>5266.66</v>
      </c>
      <c r="W4941">
        <v>122</v>
      </c>
      <c r="X4941" s="186" t="s">
        <v>1434</v>
      </c>
      <c r="Y4941" s="187" t="s">
        <v>55</v>
      </c>
      <c r="Z4941" s="311">
        <v>266</v>
      </c>
      <c r="AB4941" t="str">
        <f>IF(Table1[[#This Row],[TIPO2]]="costo", VLOOKUP(Table1[[#This Row],[PARTIDA PRESUPUESTAL]],'Cost Report'!G:G,1,0),"Balance")</f>
        <v>3683-128</v>
      </c>
      <c r="AD4941" s="159">
        <f>+Table1[[#This Row],[SUBTOTAL]]+Table1[[#This Row],[IVA]]-Table1[[#This Row],[RET IVA]]-Table1[[#This Row],[RET ISR]]-Table1[[#This Row],[TOTAL]]</f>
        <v>0</v>
      </c>
      <c r="AK4941" s="306" t="str">
        <f>IF(ISNUMBER(Table1[[#This Row],[FECHA DE RECIBIDO]]), Table1[[#This Row],[FECHA DE RECIBIDO]]-DATE(2023,8,30), "")</f>
        <v/>
      </c>
    </row>
    <row r="4942" spans="1:37" ht="16.05" customHeight="1">
      <c r="A4942" s="172" t="s">
        <v>4666</v>
      </c>
      <c r="B4942" s="178">
        <v>1643</v>
      </c>
      <c r="C4942" s="179" t="s">
        <v>2891</v>
      </c>
      <c r="D4942">
        <v>3314</v>
      </c>
      <c r="E4942" s="125" t="s">
        <v>3171</v>
      </c>
      <c r="F4942" s="178" t="s">
        <v>1602</v>
      </c>
      <c r="G4942" s="178" t="s">
        <v>1617</v>
      </c>
      <c r="H4942">
        <v>201</v>
      </c>
      <c r="I4942" s="178" t="s">
        <v>1546</v>
      </c>
      <c r="J4942" s="320" t="s">
        <v>214</v>
      </c>
      <c r="K4942" s="178" t="s">
        <v>4871</v>
      </c>
      <c r="L4942" s="125" t="s">
        <v>110</v>
      </c>
      <c r="M4942">
        <v>266</v>
      </c>
      <c r="N4942" s="182">
        <v>66</v>
      </c>
      <c r="O4942">
        <v>3166</v>
      </c>
      <c r="P4942" s="132" t="s">
        <v>77</v>
      </c>
      <c r="Q4942" s="176">
        <v>5000</v>
      </c>
      <c r="R4942" s="176">
        <v>800</v>
      </c>
      <c r="S4942" s="176"/>
      <c r="T4942" s="190">
        <v>533.34</v>
      </c>
      <c r="U4942" s="191">
        <v>0</v>
      </c>
      <c r="V4942" s="191">
        <v>5266.66</v>
      </c>
      <c r="W4942">
        <v>122</v>
      </c>
      <c r="X4942" s="186" t="s">
        <v>1434</v>
      </c>
      <c r="Y4942" s="187" t="s">
        <v>55</v>
      </c>
      <c r="Z4942" s="311">
        <v>266</v>
      </c>
      <c r="AB4942" t="str">
        <f>IF(Table1[[#This Row],[TIPO2]]="costo", VLOOKUP(Table1[[#This Row],[PARTIDA PRESUPUESTAL]],'Cost Report'!G:G,1,0),"Balance")</f>
        <v>3683-128</v>
      </c>
      <c r="AD4942" s="159">
        <f>+Table1[[#This Row],[SUBTOTAL]]+Table1[[#This Row],[IVA]]-Table1[[#This Row],[RET IVA]]-Table1[[#This Row],[RET ISR]]-Table1[[#This Row],[TOTAL]]</f>
        <v>0</v>
      </c>
      <c r="AK4942" s="306" t="str">
        <f>IF(ISNUMBER(Table1[[#This Row],[FECHA DE RECIBIDO]]), Table1[[#This Row],[FECHA DE RECIBIDO]]-DATE(2023,8,30), "")</f>
        <v/>
      </c>
    </row>
    <row r="4943" spans="1:37" ht="16.05" customHeight="1">
      <c r="A4943" s="172" t="s">
        <v>4667</v>
      </c>
      <c r="B4943" s="178">
        <v>1644</v>
      </c>
      <c r="C4943" s="179" t="s">
        <v>499</v>
      </c>
      <c r="D4943">
        <v>3315</v>
      </c>
      <c r="E4943" s="125" t="s">
        <v>1646</v>
      </c>
      <c r="F4943" s="178" t="s">
        <v>1593</v>
      </c>
      <c r="G4943" s="178" t="s">
        <v>109</v>
      </c>
      <c r="H4943">
        <v>342</v>
      </c>
      <c r="I4943" s="178" t="s">
        <v>1546</v>
      </c>
      <c r="J4943" s="320" t="s">
        <v>214</v>
      </c>
      <c r="K4943" s="178" t="s">
        <v>4871</v>
      </c>
      <c r="L4943" s="125" t="s">
        <v>110</v>
      </c>
      <c r="M4943">
        <v>459</v>
      </c>
      <c r="N4943" s="182">
        <v>84</v>
      </c>
      <c r="O4943">
        <v>3167</v>
      </c>
      <c r="P4943" s="132" t="s">
        <v>77</v>
      </c>
      <c r="Q4943" s="176">
        <v>7000</v>
      </c>
      <c r="R4943" s="176">
        <v>1120</v>
      </c>
      <c r="S4943" s="176"/>
      <c r="T4943" s="190">
        <v>746.67</v>
      </c>
      <c r="U4943" s="191">
        <v>87.5</v>
      </c>
      <c r="V4943" s="191">
        <v>7285.83</v>
      </c>
      <c r="W4943">
        <v>179</v>
      </c>
      <c r="X4943" s="186" t="s">
        <v>1429</v>
      </c>
      <c r="Y4943" s="187" t="s">
        <v>55</v>
      </c>
      <c r="Z4943" s="311">
        <v>266</v>
      </c>
      <c r="AB4943" t="str">
        <f>IF(Table1[[#This Row],[TIPO2]]="costo", VLOOKUP(Table1[[#This Row],[PARTIDA PRESUPUESTAL]],'Cost Report'!G:G,1,0),"Balance")</f>
        <v>2020-016</v>
      </c>
      <c r="AD4943" s="159">
        <f>+Table1[[#This Row],[SUBTOTAL]]+Table1[[#This Row],[IVA]]-Table1[[#This Row],[RET IVA]]-Table1[[#This Row],[RET ISR]]-Table1[[#This Row],[TOTAL]]</f>
        <v>0</v>
      </c>
      <c r="AK4943" s="306" t="str">
        <f>IF(ISNUMBER(Table1[[#This Row],[FECHA DE RECIBIDO]]), Table1[[#This Row],[FECHA DE RECIBIDO]]-DATE(2023,8,30), "")</f>
        <v/>
      </c>
    </row>
    <row r="4944" spans="1:37" ht="16.05" customHeight="1">
      <c r="A4944" s="172" t="s">
        <v>4668</v>
      </c>
      <c r="B4944" s="178">
        <v>1645</v>
      </c>
      <c r="C4944" s="179" t="s">
        <v>506</v>
      </c>
      <c r="D4944">
        <v>3316</v>
      </c>
      <c r="E4944" s="125" t="s">
        <v>1603</v>
      </c>
      <c r="F4944" s="178" t="s">
        <v>1589</v>
      </c>
      <c r="G4944" s="178" t="s">
        <v>129</v>
      </c>
      <c r="H4944">
        <v>493</v>
      </c>
      <c r="I4944" s="178" t="s">
        <v>1546</v>
      </c>
      <c r="J4944" s="320" t="s">
        <v>214</v>
      </c>
      <c r="K4944" s="178" t="s">
        <v>4871</v>
      </c>
      <c r="L4944" s="125" t="s">
        <v>110</v>
      </c>
      <c r="M4944">
        <v>717</v>
      </c>
      <c r="N4944" s="182">
        <v>122</v>
      </c>
      <c r="O4944">
        <v>3168</v>
      </c>
      <c r="P4944" s="132" t="s">
        <v>77</v>
      </c>
      <c r="Q4944" s="176">
        <v>4000</v>
      </c>
      <c r="R4944" s="176">
        <v>640</v>
      </c>
      <c r="S4944" s="176"/>
      <c r="T4944" s="190">
        <v>426.67</v>
      </c>
      <c r="U4944" s="191">
        <v>400</v>
      </c>
      <c r="V4944" s="191">
        <v>3813.33</v>
      </c>
      <c r="W4944">
        <v>265</v>
      </c>
      <c r="X4944" s="186" t="s">
        <v>1429</v>
      </c>
      <c r="Y4944" s="187" t="s">
        <v>55</v>
      </c>
      <c r="Z4944" s="311">
        <v>266</v>
      </c>
      <c r="AB4944" t="str">
        <f>IF(Table1[[#This Row],[TIPO2]]="costo", VLOOKUP(Table1[[#This Row],[PARTIDA PRESUPUESTAL]],'Cost Report'!G:G,1,0),"Balance")</f>
        <v>2020-027</v>
      </c>
      <c r="AD4944" s="159">
        <f>+Table1[[#This Row],[SUBTOTAL]]+Table1[[#This Row],[IVA]]-Table1[[#This Row],[RET IVA]]-Table1[[#This Row],[RET ISR]]-Table1[[#This Row],[TOTAL]]</f>
        <v>0</v>
      </c>
      <c r="AK4944" s="306" t="str">
        <f>IF(ISNUMBER(Table1[[#This Row],[FECHA DE RECIBIDO]]), Table1[[#This Row],[FECHA DE RECIBIDO]]-DATE(2023,8,30), "")</f>
        <v/>
      </c>
    </row>
    <row r="4945" spans="1:37" ht="16.05" customHeight="1">
      <c r="A4945" s="172" t="s">
        <v>4669</v>
      </c>
      <c r="B4945" s="178">
        <v>1646</v>
      </c>
      <c r="C4945" s="179" t="s">
        <v>2424</v>
      </c>
      <c r="D4945">
        <v>3317</v>
      </c>
      <c r="E4945" s="125" t="s">
        <v>1997</v>
      </c>
      <c r="F4945" s="178" t="s">
        <v>1589</v>
      </c>
      <c r="G4945" s="178" t="s">
        <v>129</v>
      </c>
      <c r="H4945">
        <v>494</v>
      </c>
      <c r="I4945" s="178" t="s">
        <v>1546</v>
      </c>
      <c r="J4945" s="320" t="s">
        <v>214</v>
      </c>
      <c r="K4945" s="178" t="s">
        <v>4871</v>
      </c>
      <c r="L4945" s="125" t="s">
        <v>110</v>
      </c>
      <c r="M4945">
        <v>718</v>
      </c>
      <c r="N4945" s="182">
        <v>123</v>
      </c>
      <c r="O4945">
        <v>3169</v>
      </c>
      <c r="P4945" s="132" t="s">
        <v>77</v>
      </c>
      <c r="Q4945" s="176">
        <v>6200</v>
      </c>
      <c r="R4945" s="176">
        <v>992</v>
      </c>
      <c r="S4945" s="176"/>
      <c r="T4945" s="190">
        <v>661.34</v>
      </c>
      <c r="U4945" s="191">
        <v>620</v>
      </c>
      <c r="V4945" s="191">
        <v>5910.66</v>
      </c>
      <c r="W4945">
        <v>266</v>
      </c>
      <c r="X4945" s="186" t="s">
        <v>1429</v>
      </c>
      <c r="Y4945" s="187" t="s">
        <v>55</v>
      </c>
      <c r="Z4945" s="311">
        <v>266</v>
      </c>
      <c r="AB4945" t="str">
        <f>IF(Table1[[#This Row],[TIPO2]]="costo", VLOOKUP(Table1[[#This Row],[PARTIDA PRESUPUESTAL]],'Cost Report'!G:G,1,0),"Balance")</f>
        <v>2019-010</v>
      </c>
      <c r="AD4945" s="159">
        <f>+Table1[[#This Row],[SUBTOTAL]]+Table1[[#This Row],[IVA]]-Table1[[#This Row],[RET IVA]]-Table1[[#This Row],[RET ISR]]-Table1[[#This Row],[TOTAL]]</f>
        <v>0</v>
      </c>
      <c r="AK4945" s="306" t="str">
        <f>IF(ISNUMBER(Table1[[#This Row],[FECHA DE RECIBIDO]]), Table1[[#This Row],[FECHA DE RECIBIDO]]-DATE(2023,8,30), "")</f>
        <v/>
      </c>
    </row>
    <row r="4946" spans="1:37" ht="16.05" customHeight="1">
      <c r="A4946" s="172" t="s">
        <v>4670</v>
      </c>
      <c r="B4946" s="178">
        <v>1647</v>
      </c>
      <c r="C4946" s="179" t="s">
        <v>2439</v>
      </c>
      <c r="D4946">
        <v>3318</v>
      </c>
      <c r="E4946" s="125" t="s">
        <v>4355</v>
      </c>
      <c r="F4946" s="178" t="s">
        <v>1589</v>
      </c>
      <c r="G4946" s="178" t="s">
        <v>129</v>
      </c>
      <c r="H4946">
        <v>761</v>
      </c>
      <c r="I4946" s="178" t="s">
        <v>1546</v>
      </c>
      <c r="J4946" s="320" t="s">
        <v>214</v>
      </c>
      <c r="K4946" s="178" t="s">
        <v>4871</v>
      </c>
      <c r="L4946" s="125" t="s">
        <v>110</v>
      </c>
      <c r="M4946">
        <v>1064</v>
      </c>
      <c r="N4946" s="182">
        <v>173</v>
      </c>
      <c r="O4946">
        <v>3170</v>
      </c>
      <c r="P4946" s="132" t="s">
        <v>77</v>
      </c>
      <c r="Q4946" s="176">
        <v>15000</v>
      </c>
      <c r="R4946" s="176">
        <v>2400</v>
      </c>
      <c r="S4946" s="176"/>
      <c r="T4946" s="190">
        <v>1600</v>
      </c>
      <c r="U4946" s="191">
        <v>1500</v>
      </c>
      <c r="V4946" s="191">
        <v>14300</v>
      </c>
      <c r="W4946">
        <v>360</v>
      </c>
      <c r="X4946" s="186" t="s">
        <v>1431</v>
      </c>
      <c r="Y4946" s="187" t="s">
        <v>55</v>
      </c>
      <c r="Z4946" s="311">
        <v>266</v>
      </c>
      <c r="AB4946" t="str">
        <f>IF(Table1[[#This Row],[TIPO2]]="costo", VLOOKUP(Table1[[#This Row],[PARTIDA PRESUPUESTAL]],'Cost Report'!G:G,1,0),"Balance")</f>
        <v>2045-009</v>
      </c>
      <c r="AD4946" s="159">
        <f>+Table1[[#This Row],[SUBTOTAL]]+Table1[[#This Row],[IVA]]-Table1[[#This Row],[RET IVA]]-Table1[[#This Row],[RET ISR]]-Table1[[#This Row],[TOTAL]]</f>
        <v>0</v>
      </c>
      <c r="AK4946" s="306" t="str">
        <f>IF(ISNUMBER(Table1[[#This Row],[FECHA DE RECIBIDO]]), Table1[[#This Row],[FECHA DE RECIBIDO]]-DATE(2023,8,30), "")</f>
        <v/>
      </c>
    </row>
    <row r="4947" spans="1:37" ht="16.05" customHeight="1">
      <c r="A4947" s="172" t="s">
        <v>4671</v>
      </c>
      <c r="B4947" s="178">
        <v>1648</v>
      </c>
      <c r="C4947" s="179" t="s">
        <v>2412</v>
      </c>
      <c r="D4947">
        <v>3319</v>
      </c>
      <c r="E4947" s="125" t="s">
        <v>4672</v>
      </c>
      <c r="F4947" s="178" t="s">
        <v>1589</v>
      </c>
      <c r="G4947" s="178" t="s">
        <v>129</v>
      </c>
      <c r="H4947">
        <v>855</v>
      </c>
      <c r="I4947" s="178" t="s">
        <v>1546</v>
      </c>
      <c r="J4947" s="320" t="s">
        <v>214</v>
      </c>
      <c r="K4947" s="178" t="s">
        <v>4871</v>
      </c>
      <c r="L4947" s="125" t="s">
        <v>110</v>
      </c>
      <c r="M4947">
        <v>1189</v>
      </c>
      <c r="N4947" s="182">
        <v>211</v>
      </c>
      <c r="O4947">
        <v>3171</v>
      </c>
      <c r="P4947" s="132" t="s">
        <v>77</v>
      </c>
      <c r="Q4947" s="176">
        <v>24000</v>
      </c>
      <c r="R4947" s="176">
        <v>3840</v>
      </c>
      <c r="S4947" s="176"/>
      <c r="T4947" s="190">
        <v>2560.0100000000002</v>
      </c>
      <c r="U4947" s="191">
        <v>2400</v>
      </c>
      <c r="V4947" s="191">
        <v>22879.989999999998</v>
      </c>
      <c r="W4947">
        <v>420</v>
      </c>
      <c r="X4947" s="186" t="s">
        <v>1431</v>
      </c>
      <c r="Y4947" s="187" t="s">
        <v>55</v>
      </c>
      <c r="Z4947" s="311">
        <v>266</v>
      </c>
      <c r="AB4947" t="str">
        <f>IF(Table1[[#This Row],[TIPO2]]="costo", VLOOKUP(Table1[[#This Row],[PARTIDA PRESUPUESTAL]],'Cost Report'!G:G,1,0),"Balance")</f>
        <v>2014-015</v>
      </c>
      <c r="AD4947" s="159">
        <f>+Table1[[#This Row],[SUBTOTAL]]+Table1[[#This Row],[IVA]]-Table1[[#This Row],[RET IVA]]-Table1[[#This Row],[RET ISR]]-Table1[[#This Row],[TOTAL]]</f>
        <v>0</v>
      </c>
      <c r="AK4947" s="306" t="str">
        <f>IF(ISNUMBER(Table1[[#This Row],[FECHA DE RECIBIDO]]), Table1[[#This Row],[FECHA DE RECIBIDO]]-DATE(2023,8,30), "")</f>
        <v/>
      </c>
    </row>
    <row r="4948" spans="1:37" ht="16.05" customHeight="1">
      <c r="A4948" s="172" t="s">
        <v>4673</v>
      </c>
      <c r="B4948" s="178">
        <v>1649</v>
      </c>
      <c r="C4948" s="179" t="s">
        <v>2429</v>
      </c>
      <c r="D4948">
        <v>3320</v>
      </c>
      <c r="E4948" s="125" t="s">
        <v>4674</v>
      </c>
      <c r="F4948" s="178" t="s">
        <v>1589</v>
      </c>
      <c r="G4948" s="178" t="s">
        <v>129</v>
      </c>
      <c r="H4948">
        <v>856</v>
      </c>
      <c r="I4948" s="178" t="s">
        <v>1546</v>
      </c>
      <c r="J4948" s="320" t="s">
        <v>214</v>
      </c>
      <c r="K4948" s="178" t="s">
        <v>4871</v>
      </c>
      <c r="L4948" s="125" t="s">
        <v>110</v>
      </c>
      <c r="M4948">
        <v>1190</v>
      </c>
      <c r="N4948" s="182">
        <v>212</v>
      </c>
      <c r="O4948">
        <v>3172</v>
      </c>
      <c r="P4948" s="132" t="s">
        <v>77</v>
      </c>
      <c r="Q4948" s="176">
        <v>4000</v>
      </c>
      <c r="R4948" s="176">
        <v>640</v>
      </c>
      <c r="S4948" s="176"/>
      <c r="T4948" s="190">
        <v>426.66</v>
      </c>
      <c r="U4948" s="191">
        <v>400</v>
      </c>
      <c r="V4948" s="191">
        <v>3813.34</v>
      </c>
      <c r="W4948">
        <v>421</v>
      </c>
      <c r="X4948" s="186" t="s">
        <v>1429</v>
      </c>
      <c r="Y4948" s="187" t="s">
        <v>55</v>
      </c>
      <c r="Z4948" s="311">
        <v>266</v>
      </c>
      <c r="AB4948" t="str">
        <f>IF(Table1[[#This Row],[TIPO2]]="costo", VLOOKUP(Table1[[#This Row],[PARTIDA PRESUPUESTAL]],'Cost Report'!G:G,1,0),"Balance")</f>
        <v>2020-044</v>
      </c>
      <c r="AD4948" s="159">
        <f>+Table1[[#This Row],[SUBTOTAL]]+Table1[[#This Row],[IVA]]-Table1[[#This Row],[RET IVA]]-Table1[[#This Row],[RET ISR]]-Table1[[#This Row],[TOTAL]]</f>
        <v>0</v>
      </c>
      <c r="AK4948" s="306" t="str">
        <f>IF(ISNUMBER(Table1[[#This Row],[FECHA DE RECIBIDO]]), Table1[[#This Row],[FECHA DE RECIBIDO]]-DATE(2023,8,30), "")</f>
        <v/>
      </c>
    </row>
    <row r="4949" spans="1:37" ht="16.05" customHeight="1">
      <c r="A4949" s="172" t="s">
        <v>4675</v>
      </c>
      <c r="B4949" s="178">
        <v>1650</v>
      </c>
      <c r="C4949" s="179" t="s">
        <v>2429</v>
      </c>
      <c r="D4949">
        <v>3321</v>
      </c>
      <c r="E4949" s="125" t="s">
        <v>4674</v>
      </c>
      <c r="F4949" s="178" t="s">
        <v>1589</v>
      </c>
      <c r="G4949" s="178" t="s">
        <v>129</v>
      </c>
      <c r="H4949">
        <v>856</v>
      </c>
      <c r="I4949" s="178" t="s">
        <v>1546</v>
      </c>
      <c r="J4949" s="320" t="s">
        <v>214</v>
      </c>
      <c r="K4949" s="178" t="s">
        <v>4871</v>
      </c>
      <c r="L4949" s="125" t="s">
        <v>110</v>
      </c>
      <c r="M4949">
        <v>1190</v>
      </c>
      <c r="N4949" s="182">
        <v>212</v>
      </c>
      <c r="O4949">
        <v>3173</v>
      </c>
      <c r="P4949" s="132" t="s">
        <v>77</v>
      </c>
      <c r="Q4949" s="176">
        <v>4000</v>
      </c>
      <c r="R4949" s="176">
        <v>640</v>
      </c>
      <c r="S4949" s="176"/>
      <c r="T4949" s="190">
        <v>426.66</v>
      </c>
      <c r="U4949" s="191">
        <v>400</v>
      </c>
      <c r="V4949" s="191">
        <v>3813.34</v>
      </c>
      <c r="W4949">
        <v>421</v>
      </c>
      <c r="X4949" s="186" t="s">
        <v>1429</v>
      </c>
      <c r="Y4949" s="187" t="s">
        <v>55</v>
      </c>
      <c r="Z4949" s="311">
        <v>266</v>
      </c>
      <c r="AB4949" t="str">
        <f>IF(Table1[[#This Row],[TIPO2]]="costo", VLOOKUP(Table1[[#This Row],[PARTIDA PRESUPUESTAL]],'Cost Report'!G:G,1,0),"Balance")</f>
        <v>2020-044</v>
      </c>
      <c r="AD4949" s="159">
        <f>+Table1[[#This Row],[SUBTOTAL]]+Table1[[#This Row],[IVA]]-Table1[[#This Row],[RET IVA]]-Table1[[#This Row],[RET ISR]]-Table1[[#This Row],[TOTAL]]</f>
        <v>0</v>
      </c>
      <c r="AK4949" s="306" t="str">
        <f>IF(ISNUMBER(Table1[[#This Row],[FECHA DE RECIBIDO]]), Table1[[#This Row],[FECHA DE RECIBIDO]]-DATE(2023,8,30), "")</f>
        <v/>
      </c>
    </row>
    <row r="4950" spans="1:37" ht="16.05" customHeight="1">
      <c r="A4950" s="172" t="s">
        <v>4676</v>
      </c>
      <c r="B4950" s="178">
        <v>1651</v>
      </c>
      <c r="C4950" s="179" t="s">
        <v>2378</v>
      </c>
      <c r="D4950">
        <v>3322</v>
      </c>
      <c r="E4950" s="125" t="s">
        <v>1595</v>
      </c>
      <c r="F4950" s="178" t="s">
        <v>1589</v>
      </c>
      <c r="G4950" s="178" t="s">
        <v>129</v>
      </c>
      <c r="H4950">
        <v>7</v>
      </c>
      <c r="I4950" s="178" t="s">
        <v>1546</v>
      </c>
      <c r="J4950" s="320" t="s">
        <v>214</v>
      </c>
      <c r="K4950" s="178" t="s">
        <v>4871</v>
      </c>
      <c r="L4950" s="125" t="s">
        <v>110</v>
      </c>
      <c r="M4950">
        <v>24</v>
      </c>
      <c r="N4950" s="182">
        <v>6</v>
      </c>
      <c r="O4950">
        <v>3174</v>
      </c>
      <c r="P4950" s="132" t="s">
        <v>77</v>
      </c>
      <c r="Q4950" s="176">
        <v>26250</v>
      </c>
      <c r="R4950" s="176">
        <v>4200</v>
      </c>
      <c r="S4950" s="176"/>
      <c r="T4950" s="190">
        <v>2800.01</v>
      </c>
      <c r="U4950" s="191">
        <v>2625</v>
      </c>
      <c r="V4950" s="191">
        <v>25024.989999999998</v>
      </c>
      <c r="W4950">
        <v>7</v>
      </c>
      <c r="X4950" s="186" t="s">
        <v>1431</v>
      </c>
      <c r="Y4950" s="187" t="s">
        <v>55</v>
      </c>
      <c r="Z4950" s="311">
        <v>266</v>
      </c>
      <c r="AB4950" t="str">
        <f>IF(Table1[[#This Row],[TIPO2]]="costo", VLOOKUP(Table1[[#This Row],[PARTIDA PRESUPUESTAL]],'Cost Report'!G:G,1,0),"Balance")</f>
        <v>2004-005</v>
      </c>
      <c r="AD4950" s="159">
        <f>+Table1[[#This Row],[SUBTOTAL]]+Table1[[#This Row],[IVA]]-Table1[[#This Row],[RET IVA]]-Table1[[#This Row],[RET ISR]]-Table1[[#This Row],[TOTAL]]</f>
        <v>0</v>
      </c>
      <c r="AK4950" s="306" t="str">
        <f>IF(ISNUMBER(Table1[[#This Row],[FECHA DE RECIBIDO]]), Table1[[#This Row],[FECHA DE RECIBIDO]]-DATE(2023,8,30), "")</f>
        <v/>
      </c>
    </row>
    <row r="4951" spans="1:37" ht="16.05" customHeight="1">
      <c r="A4951" s="172" t="s">
        <v>4677</v>
      </c>
      <c r="B4951" s="178">
        <v>1652</v>
      </c>
      <c r="C4951" s="179" t="s">
        <v>448</v>
      </c>
      <c r="D4951">
        <v>3323</v>
      </c>
      <c r="E4951" s="125" t="s">
        <v>1577</v>
      </c>
      <c r="F4951" s="178" t="s">
        <v>1593</v>
      </c>
      <c r="G4951" s="178" t="s">
        <v>109</v>
      </c>
      <c r="H4951">
        <v>19</v>
      </c>
      <c r="I4951" s="178" t="s">
        <v>1546</v>
      </c>
      <c r="J4951" s="320" t="s">
        <v>214</v>
      </c>
      <c r="K4951" s="178" t="s">
        <v>4871</v>
      </c>
      <c r="L4951" s="125" t="s">
        <v>110</v>
      </c>
      <c r="M4951">
        <v>25</v>
      </c>
      <c r="N4951" s="182">
        <v>7</v>
      </c>
      <c r="O4951">
        <v>3175</v>
      </c>
      <c r="P4951" s="132" t="s">
        <v>77</v>
      </c>
      <c r="Q4951" s="176">
        <v>15750</v>
      </c>
      <c r="R4951" s="176">
        <v>2520</v>
      </c>
      <c r="S4951" s="176"/>
      <c r="T4951" s="190">
        <v>1680.05</v>
      </c>
      <c r="U4951" s="191">
        <v>196.88</v>
      </c>
      <c r="V4951" s="191">
        <v>16393.07</v>
      </c>
      <c r="W4951">
        <v>19</v>
      </c>
      <c r="X4951" s="186" t="s">
        <v>1429</v>
      </c>
      <c r="Y4951" s="187" t="s">
        <v>55</v>
      </c>
      <c r="Z4951" s="311">
        <v>266</v>
      </c>
      <c r="AB4951" t="str">
        <f>IF(Table1[[#This Row],[TIPO2]]="costo", VLOOKUP(Table1[[#This Row],[PARTIDA PRESUPUESTAL]],'Cost Report'!G:G,1,0),"Balance")</f>
        <v>2005-005</v>
      </c>
      <c r="AD4951" s="159">
        <f>+Table1[[#This Row],[SUBTOTAL]]+Table1[[#This Row],[IVA]]-Table1[[#This Row],[RET IVA]]-Table1[[#This Row],[RET ISR]]-Table1[[#This Row],[TOTAL]]</f>
        <v>0</v>
      </c>
      <c r="AK4951" s="306" t="str">
        <f>IF(ISNUMBER(Table1[[#This Row],[FECHA DE RECIBIDO]]), Table1[[#This Row],[FECHA DE RECIBIDO]]-DATE(2023,8,30), "")</f>
        <v/>
      </c>
    </row>
    <row r="4952" spans="1:37" ht="16.05" customHeight="1">
      <c r="A4952" s="172" t="s">
        <v>4678</v>
      </c>
      <c r="B4952" s="178">
        <v>1653</v>
      </c>
      <c r="C4952" s="179" t="s">
        <v>2377</v>
      </c>
      <c r="D4952">
        <v>3324</v>
      </c>
      <c r="E4952" s="125" t="s">
        <v>2012</v>
      </c>
      <c r="F4952" s="178" t="s">
        <v>1589</v>
      </c>
      <c r="G4952" s="178" t="s">
        <v>129</v>
      </c>
      <c r="H4952">
        <v>105</v>
      </c>
      <c r="I4952" s="178" t="s">
        <v>1546</v>
      </c>
      <c r="J4952" s="320" t="s">
        <v>214</v>
      </c>
      <c r="K4952" s="178" t="s">
        <v>4871</v>
      </c>
      <c r="L4952" s="125" t="s">
        <v>110</v>
      </c>
      <c r="M4952">
        <v>143</v>
      </c>
      <c r="N4952" s="182">
        <v>35</v>
      </c>
      <c r="O4952">
        <v>3176</v>
      </c>
      <c r="P4952" s="132" t="s">
        <v>77</v>
      </c>
      <c r="Q4952" s="176">
        <v>25000</v>
      </c>
      <c r="R4952" s="176">
        <v>4000</v>
      </c>
      <c r="S4952" s="176"/>
      <c r="T4952" s="190">
        <v>2666.67</v>
      </c>
      <c r="U4952" s="191">
        <v>2500</v>
      </c>
      <c r="V4952" s="191">
        <v>23833.33</v>
      </c>
      <c r="W4952">
        <v>67</v>
      </c>
      <c r="X4952" s="186" t="s">
        <v>1431</v>
      </c>
      <c r="Y4952" s="187" t="s">
        <v>55</v>
      </c>
      <c r="Z4952" s="311">
        <v>266</v>
      </c>
      <c r="AB4952" t="str">
        <f>IF(Table1[[#This Row],[TIPO2]]="costo", VLOOKUP(Table1[[#This Row],[PARTIDA PRESUPUESTAL]],'Cost Report'!G:G,1,0),"Balance")</f>
        <v>2003-014</v>
      </c>
      <c r="AD4952" s="159">
        <f>+Table1[[#This Row],[SUBTOTAL]]+Table1[[#This Row],[IVA]]-Table1[[#This Row],[RET IVA]]-Table1[[#This Row],[RET ISR]]-Table1[[#This Row],[TOTAL]]</f>
        <v>0</v>
      </c>
      <c r="AK4952" s="306" t="str">
        <f>IF(ISNUMBER(Table1[[#This Row],[FECHA DE RECIBIDO]]), Table1[[#This Row],[FECHA DE RECIBIDO]]-DATE(2023,8,30), "")</f>
        <v/>
      </c>
    </row>
    <row r="4953" spans="1:37" ht="16.05" customHeight="1">
      <c r="A4953" s="172" t="s">
        <v>4679</v>
      </c>
      <c r="B4953" s="178">
        <v>1654</v>
      </c>
      <c r="C4953" s="179" t="s">
        <v>2380</v>
      </c>
      <c r="D4953">
        <v>3325</v>
      </c>
      <c r="E4953" s="125" t="s">
        <v>1622</v>
      </c>
      <c r="F4953" s="178" t="s">
        <v>1589</v>
      </c>
      <c r="G4953" s="178" t="s">
        <v>129</v>
      </c>
      <c r="H4953">
        <v>106</v>
      </c>
      <c r="I4953" s="178" t="s">
        <v>1546</v>
      </c>
      <c r="J4953" s="320" t="s">
        <v>214</v>
      </c>
      <c r="K4953" s="178" t="s">
        <v>4871</v>
      </c>
      <c r="L4953" s="125" t="s">
        <v>110</v>
      </c>
      <c r="M4953">
        <v>144</v>
      </c>
      <c r="N4953" s="182">
        <v>36</v>
      </c>
      <c r="O4953">
        <v>3177</v>
      </c>
      <c r="P4953" s="132" t="s">
        <v>77</v>
      </c>
      <c r="Q4953" s="176">
        <v>15000</v>
      </c>
      <c r="R4953" s="176">
        <v>2400</v>
      </c>
      <c r="S4953" s="176"/>
      <c r="T4953" s="190">
        <v>1600</v>
      </c>
      <c r="U4953" s="191">
        <v>1500</v>
      </c>
      <c r="V4953" s="191">
        <v>14300</v>
      </c>
      <c r="W4953">
        <v>68</v>
      </c>
      <c r="X4953" s="186" t="s">
        <v>1429</v>
      </c>
      <c r="Y4953" s="187" t="s">
        <v>55</v>
      </c>
      <c r="Z4953" s="311">
        <v>266</v>
      </c>
      <c r="AB4953" t="str">
        <f>IF(Table1[[#This Row],[TIPO2]]="costo", VLOOKUP(Table1[[#This Row],[PARTIDA PRESUPUESTAL]],'Cost Report'!G:G,1,0),"Balance")</f>
        <v>2005-015</v>
      </c>
      <c r="AD4953" s="159">
        <f>+Table1[[#This Row],[SUBTOTAL]]+Table1[[#This Row],[IVA]]-Table1[[#This Row],[RET IVA]]-Table1[[#This Row],[RET ISR]]-Table1[[#This Row],[TOTAL]]</f>
        <v>0</v>
      </c>
      <c r="AK4953" s="306" t="str">
        <f>IF(ISNUMBER(Table1[[#This Row],[FECHA DE RECIBIDO]]), Table1[[#This Row],[FECHA DE RECIBIDO]]-DATE(2023,8,30), "")</f>
        <v/>
      </c>
    </row>
    <row r="4954" spans="1:37" ht="16.05" customHeight="1">
      <c r="A4954" s="172" t="s">
        <v>4680</v>
      </c>
      <c r="B4954" s="178">
        <v>1655</v>
      </c>
      <c r="C4954" s="179" t="s">
        <v>456</v>
      </c>
      <c r="D4954">
        <v>3326</v>
      </c>
      <c r="E4954" s="125" t="s">
        <v>3179</v>
      </c>
      <c r="F4954" s="178" t="s">
        <v>1589</v>
      </c>
      <c r="G4954" s="178" t="s">
        <v>129</v>
      </c>
      <c r="H4954">
        <v>202</v>
      </c>
      <c r="I4954" s="178" t="s">
        <v>1546</v>
      </c>
      <c r="J4954" s="320" t="s">
        <v>214</v>
      </c>
      <c r="K4954" s="178" t="s">
        <v>4871</v>
      </c>
      <c r="L4954" s="125" t="s">
        <v>110</v>
      </c>
      <c r="M4954">
        <v>267</v>
      </c>
      <c r="N4954" s="182">
        <v>67</v>
      </c>
      <c r="O4954">
        <v>3178</v>
      </c>
      <c r="P4954" s="132" t="s">
        <v>77</v>
      </c>
      <c r="Q4954" s="176">
        <v>7500</v>
      </c>
      <c r="R4954" s="176">
        <v>1200</v>
      </c>
      <c r="S4954" s="176"/>
      <c r="T4954" s="190">
        <v>800</v>
      </c>
      <c r="U4954" s="191">
        <v>750</v>
      </c>
      <c r="V4954" s="191">
        <v>7150</v>
      </c>
      <c r="W4954">
        <v>123</v>
      </c>
      <c r="X4954" s="186" t="s">
        <v>1430</v>
      </c>
      <c r="Y4954" s="187" t="s">
        <v>55</v>
      </c>
      <c r="Z4954" s="311">
        <v>266</v>
      </c>
      <c r="AB4954" t="str">
        <f>IF(Table1[[#This Row],[TIPO2]]="costo", VLOOKUP(Table1[[#This Row],[PARTIDA PRESUPUESTAL]],'Cost Report'!G:G,1,0),"Balance")</f>
        <v>2006-004</v>
      </c>
      <c r="AD4954" s="159">
        <f>+Table1[[#This Row],[SUBTOTAL]]+Table1[[#This Row],[IVA]]-Table1[[#This Row],[RET IVA]]-Table1[[#This Row],[RET ISR]]-Table1[[#This Row],[TOTAL]]</f>
        <v>0</v>
      </c>
      <c r="AK4954" s="306" t="str">
        <f>IF(ISNUMBER(Table1[[#This Row],[FECHA DE RECIBIDO]]), Table1[[#This Row],[FECHA DE RECIBIDO]]-DATE(2023,8,30), "")</f>
        <v/>
      </c>
    </row>
    <row r="4955" spans="1:37" ht="16.05" customHeight="1">
      <c r="A4955" s="172" t="s">
        <v>4681</v>
      </c>
      <c r="B4955" s="178">
        <v>1656</v>
      </c>
      <c r="C4955" s="179" t="s">
        <v>3002</v>
      </c>
      <c r="D4955">
        <v>3327</v>
      </c>
      <c r="E4955" s="125" t="s">
        <v>3181</v>
      </c>
      <c r="F4955" s="178" t="s">
        <v>1589</v>
      </c>
      <c r="G4955" s="178" t="s">
        <v>129</v>
      </c>
      <c r="H4955">
        <v>203</v>
      </c>
      <c r="I4955" s="178" t="s">
        <v>1546</v>
      </c>
      <c r="J4955" s="320" t="s">
        <v>214</v>
      </c>
      <c r="K4955" s="178" t="s">
        <v>4871</v>
      </c>
      <c r="L4955" s="125" t="s">
        <v>110</v>
      </c>
      <c r="M4955">
        <v>268</v>
      </c>
      <c r="N4955" s="182">
        <v>68</v>
      </c>
      <c r="O4955">
        <v>3179</v>
      </c>
      <c r="P4955" s="132" t="s">
        <v>77</v>
      </c>
      <c r="Q4955" s="176">
        <v>10833.33</v>
      </c>
      <c r="R4955" s="176">
        <v>1733.33</v>
      </c>
      <c r="S4955" s="176"/>
      <c r="T4955" s="190">
        <v>1155.56</v>
      </c>
      <c r="U4955" s="191">
        <v>1083.33</v>
      </c>
      <c r="V4955" s="191">
        <v>10327.77</v>
      </c>
      <c r="W4955">
        <v>124</v>
      </c>
      <c r="X4955" s="186" t="s">
        <v>1434</v>
      </c>
      <c r="Y4955" s="187" t="s">
        <v>55</v>
      </c>
      <c r="Z4955" s="311">
        <v>266</v>
      </c>
      <c r="AB4955" t="str">
        <f>IF(Table1[[#This Row],[TIPO2]]="costo", VLOOKUP(Table1[[#This Row],[PARTIDA PRESUPUESTAL]],'Cost Report'!G:G,1,0),"Balance")</f>
        <v>4180-003</v>
      </c>
      <c r="AD4955" s="159">
        <f>+Table1[[#This Row],[SUBTOTAL]]+Table1[[#This Row],[IVA]]-Table1[[#This Row],[RET IVA]]-Table1[[#This Row],[RET ISR]]-Table1[[#This Row],[TOTAL]]</f>
        <v>0</v>
      </c>
      <c r="AK4955" s="306" t="str">
        <f>IF(ISNUMBER(Table1[[#This Row],[FECHA DE RECIBIDO]]), Table1[[#This Row],[FECHA DE RECIBIDO]]-DATE(2023,8,30), "")</f>
        <v/>
      </c>
    </row>
    <row r="4956" spans="1:37" ht="16.05" customHeight="1">
      <c r="A4956" s="172" t="s">
        <v>4682</v>
      </c>
      <c r="B4956" s="178">
        <v>1657</v>
      </c>
      <c r="C4956" s="179" t="s">
        <v>272</v>
      </c>
      <c r="D4956">
        <v>3328</v>
      </c>
      <c r="E4956" s="125" t="s">
        <v>3395</v>
      </c>
      <c r="F4956" s="178" t="s">
        <v>1589</v>
      </c>
      <c r="G4956" s="178" t="s">
        <v>129</v>
      </c>
      <c r="H4956">
        <v>254</v>
      </c>
      <c r="I4956" s="178" t="s">
        <v>1546</v>
      </c>
      <c r="J4956" s="320" t="s">
        <v>214</v>
      </c>
      <c r="K4956" s="178" t="s">
        <v>4871</v>
      </c>
      <c r="L4956" s="125" t="s">
        <v>110</v>
      </c>
      <c r="M4956">
        <v>334</v>
      </c>
      <c r="N4956" s="182">
        <v>75</v>
      </c>
      <c r="O4956">
        <v>3180</v>
      </c>
      <c r="P4956" s="132" t="s">
        <v>77</v>
      </c>
      <c r="Q4956" s="176">
        <v>33150</v>
      </c>
      <c r="R4956" s="176">
        <v>5304</v>
      </c>
      <c r="S4956" s="176"/>
      <c r="T4956" s="190">
        <v>3536.01</v>
      </c>
      <c r="U4956" s="191">
        <v>3315</v>
      </c>
      <c r="V4956" s="191">
        <v>31602.989999999998</v>
      </c>
      <c r="W4956">
        <v>154</v>
      </c>
      <c r="X4956" s="186" t="s">
        <v>1429</v>
      </c>
      <c r="Y4956" s="187" t="s">
        <v>55</v>
      </c>
      <c r="Z4956" s="311">
        <v>266</v>
      </c>
      <c r="AB4956" t="str">
        <f>IF(Table1[[#This Row],[TIPO2]]="costo", VLOOKUP(Table1[[#This Row],[PARTIDA PRESUPUESTAL]],'Cost Report'!G:G,1,0),"Balance")</f>
        <v>1302-004</v>
      </c>
      <c r="AD4956" s="159">
        <f>+Table1[[#This Row],[SUBTOTAL]]+Table1[[#This Row],[IVA]]-Table1[[#This Row],[RET IVA]]-Table1[[#This Row],[RET ISR]]-Table1[[#This Row],[TOTAL]]</f>
        <v>0</v>
      </c>
      <c r="AK4956" s="306" t="str">
        <f>IF(ISNUMBER(Table1[[#This Row],[FECHA DE RECIBIDO]]), Table1[[#This Row],[FECHA DE RECIBIDO]]-DATE(2023,8,30), "")</f>
        <v/>
      </c>
    </row>
    <row r="4957" spans="1:37" ht="16.05" customHeight="1">
      <c r="A4957" s="172" t="s">
        <v>4683</v>
      </c>
      <c r="B4957" s="178">
        <v>1658</v>
      </c>
      <c r="C4957" s="179" t="s">
        <v>460</v>
      </c>
      <c r="D4957">
        <v>3329</v>
      </c>
      <c r="E4957" s="125" t="s">
        <v>3640</v>
      </c>
      <c r="F4957" s="178" t="s">
        <v>1602</v>
      </c>
      <c r="G4957" s="178" t="s">
        <v>1617</v>
      </c>
      <c r="H4957">
        <v>343</v>
      </c>
      <c r="I4957" s="178" t="s">
        <v>1546</v>
      </c>
      <c r="J4957" s="320" t="s">
        <v>214</v>
      </c>
      <c r="K4957" s="178" t="s">
        <v>4871</v>
      </c>
      <c r="L4957" s="125" t="s">
        <v>110</v>
      </c>
      <c r="M4957">
        <v>460</v>
      </c>
      <c r="N4957" s="182">
        <v>85</v>
      </c>
      <c r="O4957">
        <v>3181</v>
      </c>
      <c r="P4957" s="132" t="s">
        <v>77</v>
      </c>
      <c r="Q4957" s="176">
        <v>17000</v>
      </c>
      <c r="R4957" s="176">
        <v>2720</v>
      </c>
      <c r="S4957" s="176"/>
      <c r="T4957" s="190">
        <v>1813.34</v>
      </c>
      <c r="U4957" s="191">
        <v>0</v>
      </c>
      <c r="V4957" s="191">
        <v>17906.66</v>
      </c>
      <c r="W4957">
        <v>180</v>
      </c>
      <c r="X4957" s="186" t="s">
        <v>1429</v>
      </c>
      <c r="Y4957" s="187" t="s">
        <v>55</v>
      </c>
      <c r="Z4957" s="311">
        <v>266</v>
      </c>
      <c r="AB4957" t="str">
        <f>IF(Table1[[#This Row],[TIPO2]]="costo", VLOOKUP(Table1[[#This Row],[PARTIDA PRESUPUESTAL]],'Cost Report'!G:G,1,0),"Balance")</f>
        <v>2009-004</v>
      </c>
      <c r="AD4957" s="159">
        <f>+Table1[[#This Row],[SUBTOTAL]]+Table1[[#This Row],[IVA]]-Table1[[#This Row],[RET IVA]]-Table1[[#This Row],[RET ISR]]-Table1[[#This Row],[TOTAL]]</f>
        <v>0</v>
      </c>
      <c r="AK4957" s="306" t="str">
        <f>IF(ISNUMBER(Table1[[#This Row],[FECHA DE RECIBIDO]]), Table1[[#This Row],[FECHA DE RECIBIDO]]-DATE(2023,8,30), "")</f>
        <v/>
      </c>
    </row>
    <row r="4958" spans="1:37" ht="16.05" customHeight="1">
      <c r="A4958" s="172" t="s">
        <v>4684</v>
      </c>
      <c r="B4958" s="178">
        <v>1659</v>
      </c>
      <c r="C4958" s="179" t="s">
        <v>258</v>
      </c>
      <c r="D4958">
        <v>3330</v>
      </c>
      <c r="E4958" s="125" t="s">
        <v>3641</v>
      </c>
      <c r="F4958" s="178" t="s">
        <v>1589</v>
      </c>
      <c r="G4958" s="178" t="s">
        <v>129</v>
      </c>
      <c r="H4958">
        <v>344</v>
      </c>
      <c r="I4958" s="178" t="s">
        <v>1546</v>
      </c>
      <c r="J4958" s="320" t="s">
        <v>214</v>
      </c>
      <c r="K4958" s="178" t="s">
        <v>4871</v>
      </c>
      <c r="L4958" s="125" t="s">
        <v>110</v>
      </c>
      <c r="M4958">
        <v>461</v>
      </c>
      <c r="N4958" s="182">
        <v>86</v>
      </c>
      <c r="O4958">
        <v>3182</v>
      </c>
      <c r="P4958" s="132" t="s">
        <v>77</v>
      </c>
      <c r="Q4958" s="176">
        <v>78540</v>
      </c>
      <c r="R4958" s="176">
        <v>12566.4</v>
      </c>
      <c r="S4958" s="176"/>
      <c r="T4958" s="190">
        <v>8377.6299999999992</v>
      </c>
      <c r="U4958" s="191">
        <v>7854</v>
      </c>
      <c r="V4958" s="191">
        <v>74874.76999999999</v>
      </c>
      <c r="W4958">
        <v>181</v>
      </c>
      <c r="X4958" s="186" t="s">
        <v>2024</v>
      </c>
      <c r="Y4958" s="187" t="s">
        <v>55</v>
      </c>
      <c r="Z4958" s="311">
        <v>266</v>
      </c>
      <c r="AB4958" t="str">
        <f>IF(Table1[[#This Row],[TIPO2]]="costo", VLOOKUP(Table1[[#This Row],[PARTIDA PRESUPUESTAL]],'Cost Report'!G:G,1,0),"Balance")</f>
        <v>1301-011</v>
      </c>
      <c r="AD4958" s="159">
        <f>+Table1[[#This Row],[SUBTOTAL]]+Table1[[#This Row],[IVA]]-Table1[[#This Row],[RET IVA]]-Table1[[#This Row],[RET ISR]]-Table1[[#This Row],[TOTAL]]</f>
        <v>0</v>
      </c>
      <c r="AK4958" s="306" t="str">
        <f>IF(ISNUMBER(Table1[[#This Row],[FECHA DE RECIBIDO]]), Table1[[#This Row],[FECHA DE RECIBIDO]]-DATE(2023,8,30), "")</f>
        <v/>
      </c>
    </row>
    <row r="4959" spans="1:37" ht="16.05" customHeight="1">
      <c r="A4959" s="172" t="s">
        <v>4685</v>
      </c>
      <c r="B4959" s="178">
        <v>1660</v>
      </c>
      <c r="C4959" s="179" t="s">
        <v>264</v>
      </c>
      <c r="D4959">
        <v>3331</v>
      </c>
      <c r="E4959" s="125" t="s">
        <v>3895</v>
      </c>
      <c r="F4959" s="178" t="s">
        <v>1589</v>
      </c>
      <c r="G4959" s="178" t="s">
        <v>129</v>
      </c>
      <c r="H4959">
        <v>498</v>
      </c>
      <c r="I4959" s="178" t="s">
        <v>1546</v>
      </c>
      <c r="J4959" s="320" t="s">
        <v>214</v>
      </c>
      <c r="K4959" s="178" t="s">
        <v>4871</v>
      </c>
      <c r="L4959" s="125" t="s">
        <v>110</v>
      </c>
      <c r="M4959">
        <v>722</v>
      </c>
      <c r="N4959" s="182">
        <v>127</v>
      </c>
      <c r="O4959">
        <v>3183</v>
      </c>
      <c r="P4959" s="132" t="s">
        <v>77</v>
      </c>
      <c r="Q4959" s="176">
        <v>184800</v>
      </c>
      <c r="R4959" s="176">
        <v>29568</v>
      </c>
      <c r="S4959" s="176"/>
      <c r="T4959" s="190">
        <v>19712.060000000001</v>
      </c>
      <c r="U4959" s="191">
        <v>18480</v>
      </c>
      <c r="V4959" s="191">
        <v>176175.94</v>
      </c>
      <c r="W4959">
        <v>270</v>
      </c>
      <c r="X4959" s="186" t="s">
        <v>1431</v>
      </c>
      <c r="Y4959" s="187" t="s">
        <v>55</v>
      </c>
      <c r="Z4959" s="311">
        <v>266</v>
      </c>
      <c r="AB4959" t="str">
        <f>IF(Table1[[#This Row],[TIPO2]]="costo", VLOOKUP(Table1[[#This Row],[PARTIDA PRESUPUESTAL]],'Cost Report'!G:G,1,0),"Balance")</f>
        <v>1301-019</v>
      </c>
      <c r="AD4959" s="159">
        <f>+Table1[[#This Row],[SUBTOTAL]]+Table1[[#This Row],[IVA]]-Table1[[#This Row],[RET IVA]]-Table1[[#This Row],[RET ISR]]-Table1[[#This Row],[TOTAL]]</f>
        <v>0</v>
      </c>
      <c r="AK4959" s="306" t="str">
        <f>IF(ISNUMBER(Table1[[#This Row],[FECHA DE RECIBIDO]]), Table1[[#This Row],[FECHA DE RECIBIDO]]-DATE(2023,8,30), "")</f>
        <v/>
      </c>
    </row>
    <row r="4960" spans="1:37" ht="16.05" customHeight="1">
      <c r="A4960" s="172" t="s">
        <v>4686</v>
      </c>
      <c r="B4960" s="178">
        <v>1661</v>
      </c>
      <c r="C4960" s="179" t="s">
        <v>1800</v>
      </c>
      <c r="D4960">
        <v>3332</v>
      </c>
      <c r="E4960" s="125" t="s">
        <v>4370</v>
      </c>
      <c r="F4960" s="178" t="s">
        <v>1589</v>
      </c>
      <c r="G4960" s="178" t="s">
        <v>129</v>
      </c>
      <c r="H4960">
        <v>764</v>
      </c>
      <c r="I4960" s="178" t="s">
        <v>1546</v>
      </c>
      <c r="J4960" s="320" t="s">
        <v>214</v>
      </c>
      <c r="K4960" s="178" t="s">
        <v>4871</v>
      </c>
      <c r="L4960" s="125" t="s">
        <v>110</v>
      </c>
      <c r="M4960">
        <v>1067</v>
      </c>
      <c r="N4960" s="182">
        <v>176</v>
      </c>
      <c r="O4960">
        <v>3184</v>
      </c>
      <c r="P4960" s="132" t="s">
        <v>77</v>
      </c>
      <c r="Q4960" s="176">
        <v>4167</v>
      </c>
      <c r="R4960" s="176">
        <v>666.72</v>
      </c>
      <c r="S4960" s="176"/>
      <c r="T4960" s="190">
        <v>444.48</v>
      </c>
      <c r="U4960" s="191">
        <v>416.7</v>
      </c>
      <c r="V4960" s="191">
        <v>3972.54</v>
      </c>
      <c r="W4960">
        <v>363</v>
      </c>
      <c r="X4960" s="186" t="s">
        <v>1429</v>
      </c>
      <c r="Y4960" s="187" t="s">
        <v>55</v>
      </c>
      <c r="Z4960" s="311">
        <v>266</v>
      </c>
      <c r="AB4960" t="str">
        <f>IF(Table1[[#This Row],[TIPO2]]="costo", VLOOKUP(Table1[[#This Row],[PARTIDA PRESUPUESTAL]],'Cost Report'!G:G,1,0),"Balance")</f>
        <v>2003-009</v>
      </c>
      <c r="AD4960" s="159">
        <f>+Table1[[#This Row],[SUBTOTAL]]+Table1[[#This Row],[IVA]]-Table1[[#This Row],[RET IVA]]-Table1[[#This Row],[RET ISR]]-Table1[[#This Row],[TOTAL]]</f>
        <v>0</v>
      </c>
      <c r="AK4960" s="306" t="str">
        <f>IF(ISNUMBER(Table1[[#This Row],[FECHA DE RECIBIDO]]), Table1[[#This Row],[FECHA DE RECIBIDO]]-DATE(2023,8,30), "")</f>
        <v/>
      </c>
    </row>
    <row r="4961" spans="1:37" ht="16.05" customHeight="1">
      <c r="A4961" s="172" t="s">
        <v>4687</v>
      </c>
      <c r="B4961" s="178">
        <v>1662</v>
      </c>
      <c r="C4961" s="179" t="s">
        <v>945</v>
      </c>
      <c r="D4961">
        <v>3333</v>
      </c>
      <c r="E4961" s="125" t="s">
        <v>1597</v>
      </c>
      <c r="F4961" s="178" t="s">
        <v>1589</v>
      </c>
      <c r="G4961" s="178" t="s">
        <v>129</v>
      </c>
      <c r="H4961">
        <v>8</v>
      </c>
      <c r="I4961" s="178" t="s">
        <v>1546</v>
      </c>
      <c r="J4961" s="320" t="s">
        <v>214</v>
      </c>
      <c r="K4961" s="178" t="s">
        <v>4871</v>
      </c>
      <c r="L4961" s="125" t="s">
        <v>110</v>
      </c>
      <c r="M4961">
        <v>11</v>
      </c>
      <c r="N4961" s="182">
        <v>9</v>
      </c>
      <c r="O4961">
        <v>3185</v>
      </c>
      <c r="P4961" s="132" t="s">
        <v>77</v>
      </c>
      <c r="Q4961" s="176">
        <v>21000</v>
      </c>
      <c r="R4961" s="176">
        <v>3360</v>
      </c>
      <c r="S4961" s="176"/>
      <c r="T4961" s="190">
        <v>2240.0100000000002</v>
      </c>
      <c r="U4961" s="191">
        <v>2100</v>
      </c>
      <c r="V4961" s="191">
        <v>20019.989999999998</v>
      </c>
      <c r="W4961">
        <v>6</v>
      </c>
      <c r="X4961" s="186" t="s">
        <v>1430</v>
      </c>
      <c r="Y4961" s="187" t="s">
        <v>55</v>
      </c>
      <c r="Z4961" s="311">
        <v>266</v>
      </c>
      <c r="AB4961" t="str">
        <f>IF(Table1[[#This Row],[TIPO2]]="costo", VLOOKUP(Table1[[#This Row],[PARTIDA PRESUPUESTAL]],'Cost Report'!G:G,1,0),"Balance")</f>
        <v>3402-005</v>
      </c>
      <c r="AD4961" s="159">
        <f>+Table1[[#This Row],[SUBTOTAL]]+Table1[[#This Row],[IVA]]-Table1[[#This Row],[RET IVA]]-Table1[[#This Row],[RET ISR]]-Table1[[#This Row],[TOTAL]]</f>
        <v>0</v>
      </c>
      <c r="AK4961" s="306" t="str">
        <f>IF(ISNUMBER(Table1[[#This Row],[FECHA DE RECIBIDO]]), Table1[[#This Row],[FECHA DE RECIBIDO]]-DATE(2023,8,30), "")</f>
        <v/>
      </c>
    </row>
    <row r="4962" spans="1:37" ht="16.05" customHeight="1">
      <c r="A4962" s="172" t="s">
        <v>4688</v>
      </c>
      <c r="B4962" s="178">
        <v>1663</v>
      </c>
      <c r="C4962" s="179" t="s">
        <v>953</v>
      </c>
      <c r="D4962">
        <v>3334</v>
      </c>
      <c r="E4962" s="125" t="s">
        <v>1596</v>
      </c>
      <c r="F4962" s="178" t="s">
        <v>1593</v>
      </c>
      <c r="G4962" s="178" t="s">
        <v>109</v>
      </c>
      <c r="H4962">
        <v>11</v>
      </c>
      <c r="I4962" s="178" t="s">
        <v>1546</v>
      </c>
      <c r="J4962" s="320" t="s">
        <v>214</v>
      </c>
      <c r="K4962" s="178" t="s">
        <v>4871</v>
      </c>
      <c r="L4962" s="125" t="s">
        <v>110</v>
      </c>
      <c r="M4962">
        <v>14</v>
      </c>
      <c r="N4962" s="182">
        <v>8</v>
      </c>
      <c r="O4962">
        <v>3186</v>
      </c>
      <c r="P4962" s="132" t="s">
        <v>77</v>
      </c>
      <c r="Q4962" s="176">
        <v>10500</v>
      </c>
      <c r="R4962" s="176">
        <v>1680</v>
      </c>
      <c r="S4962" s="176"/>
      <c r="T4962" s="190">
        <v>1119.99</v>
      </c>
      <c r="U4962" s="191">
        <v>131.25</v>
      </c>
      <c r="V4962" s="191">
        <v>10928.76</v>
      </c>
      <c r="W4962">
        <v>10</v>
      </c>
      <c r="X4962" s="186" t="s">
        <v>1432</v>
      </c>
      <c r="Y4962" s="187" t="s">
        <v>55</v>
      </c>
      <c r="Z4962" s="311">
        <v>266</v>
      </c>
      <c r="AB4962" t="str">
        <f>IF(Table1[[#This Row],[TIPO2]]="costo", VLOOKUP(Table1[[#This Row],[PARTIDA PRESUPUESTAL]],'Cost Report'!G:G,1,0),"Balance")</f>
        <v>3403-011</v>
      </c>
      <c r="AD4962" s="159">
        <f>+Table1[[#This Row],[SUBTOTAL]]+Table1[[#This Row],[IVA]]-Table1[[#This Row],[RET IVA]]-Table1[[#This Row],[RET ISR]]-Table1[[#This Row],[TOTAL]]</f>
        <v>0</v>
      </c>
      <c r="AK4962" s="306" t="str">
        <f>IF(ISNUMBER(Table1[[#This Row],[FECHA DE RECIBIDO]]), Table1[[#This Row],[FECHA DE RECIBIDO]]-DATE(2023,8,30), "")</f>
        <v/>
      </c>
    </row>
    <row r="4963" spans="1:37" ht="16.05" customHeight="1">
      <c r="A4963" s="172" t="s">
        <v>4689</v>
      </c>
      <c r="B4963" s="178">
        <v>1664</v>
      </c>
      <c r="C4963" s="179" t="s">
        <v>956</v>
      </c>
      <c r="D4963">
        <v>3335</v>
      </c>
      <c r="E4963" s="125" t="s">
        <v>1598</v>
      </c>
      <c r="F4963" s="178" t="s">
        <v>1593</v>
      </c>
      <c r="G4963" s="178" t="s">
        <v>109</v>
      </c>
      <c r="H4963">
        <v>25</v>
      </c>
      <c r="I4963" s="178" t="s">
        <v>1546</v>
      </c>
      <c r="J4963" s="320" t="s">
        <v>214</v>
      </c>
      <c r="K4963" s="178" t="s">
        <v>4871</v>
      </c>
      <c r="L4963" s="125" t="s">
        <v>110</v>
      </c>
      <c r="M4963">
        <v>34</v>
      </c>
      <c r="N4963" s="182">
        <v>10</v>
      </c>
      <c r="O4963">
        <v>3187</v>
      </c>
      <c r="P4963" s="132" t="s">
        <v>77</v>
      </c>
      <c r="Q4963" s="176">
        <v>10500</v>
      </c>
      <c r="R4963" s="176">
        <v>1680</v>
      </c>
      <c r="S4963" s="176"/>
      <c r="T4963" s="190">
        <v>1120</v>
      </c>
      <c r="U4963" s="191">
        <v>131.25</v>
      </c>
      <c r="V4963" s="191">
        <v>10928.75</v>
      </c>
      <c r="W4963">
        <v>27</v>
      </c>
      <c r="X4963" s="186" t="s">
        <v>1429</v>
      </c>
      <c r="Y4963" s="187" t="s">
        <v>55</v>
      </c>
      <c r="Z4963" s="311">
        <v>266</v>
      </c>
      <c r="AB4963" t="str">
        <f>IF(Table1[[#This Row],[TIPO2]]="costo", VLOOKUP(Table1[[#This Row],[PARTIDA PRESUPUESTAL]],'Cost Report'!G:G,1,0),"Balance")</f>
        <v>3403-016</v>
      </c>
      <c r="AD4963" s="159">
        <f>+Table1[[#This Row],[SUBTOTAL]]+Table1[[#This Row],[IVA]]-Table1[[#This Row],[RET IVA]]-Table1[[#This Row],[RET ISR]]-Table1[[#This Row],[TOTAL]]</f>
        <v>0</v>
      </c>
      <c r="AK4963" s="306" t="str">
        <f>IF(ISNUMBER(Table1[[#This Row],[FECHA DE RECIBIDO]]), Table1[[#This Row],[FECHA DE RECIBIDO]]-DATE(2023,8,30), "")</f>
        <v/>
      </c>
    </row>
    <row r="4964" spans="1:37" ht="16.05" customHeight="1">
      <c r="A4964" s="172" t="s">
        <v>4690</v>
      </c>
      <c r="B4964" s="178">
        <v>1665</v>
      </c>
      <c r="C4964" s="179" t="s">
        <v>2777</v>
      </c>
      <c r="D4964">
        <v>3336</v>
      </c>
      <c r="E4964" s="125" t="s">
        <v>3278</v>
      </c>
      <c r="F4964" s="178" t="s">
        <v>1593</v>
      </c>
      <c r="G4964" s="178" t="s">
        <v>109</v>
      </c>
      <c r="H4964">
        <v>346</v>
      </c>
      <c r="I4964" s="178" t="s">
        <v>1546</v>
      </c>
      <c r="J4964" s="320" t="s">
        <v>214</v>
      </c>
      <c r="K4964" s="178" t="s">
        <v>4871</v>
      </c>
      <c r="L4964" s="125" t="s">
        <v>110</v>
      </c>
      <c r="M4964">
        <v>463</v>
      </c>
      <c r="N4964" s="182">
        <v>88</v>
      </c>
      <c r="O4964">
        <v>3188</v>
      </c>
      <c r="P4964" s="132" t="s">
        <v>77</v>
      </c>
      <c r="Q4964" s="176">
        <v>8000</v>
      </c>
      <c r="R4964" s="176">
        <v>1280</v>
      </c>
      <c r="S4964" s="176"/>
      <c r="T4964" s="190">
        <v>853.34</v>
      </c>
      <c r="U4964" s="191">
        <v>100</v>
      </c>
      <c r="V4964" s="191">
        <v>8326.66</v>
      </c>
      <c r="W4964">
        <v>183</v>
      </c>
      <c r="X4964" s="186" t="s">
        <v>1431</v>
      </c>
      <c r="Y4964" s="187" t="s">
        <v>55</v>
      </c>
      <c r="Z4964" s="311">
        <v>266</v>
      </c>
      <c r="AB4964" t="str">
        <f>IF(Table1[[#This Row],[TIPO2]]="costo", VLOOKUP(Table1[[#This Row],[PARTIDA PRESUPUESTAL]],'Cost Report'!G:G,1,0),"Balance")</f>
        <v>3403-025</v>
      </c>
      <c r="AD4964" s="159">
        <f>+Table1[[#This Row],[SUBTOTAL]]+Table1[[#This Row],[IVA]]-Table1[[#This Row],[RET IVA]]-Table1[[#This Row],[RET ISR]]-Table1[[#This Row],[TOTAL]]</f>
        <v>0</v>
      </c>
      <c r="AK4964" s="306" t="str">
        <f>IF(ISNUMBER(Table1[[#This Row],[FECHA DE RECIBIDO]]), Table1[[#This Row],[FECHA DE RECIBIDO]]-DATE(2023,8,30), "")</f>
        <v/>
      </c>
    </row>
    <row r="4965" spans="1:37" ht="16.05" customHeight="1">
      <c r="A4965" s="172" t="s">
        <v>4691</v>
      </c>
      <c r="B4965" s="178">
        <v>1666</v>
      </c>
      <c r="C4965" s="179" t="s">
        <v>537</v>
      </c>
      <c r="D4965">
        <v>3337</v>
      </c>
      <c r="E4965" s="125" t="s">
        <v>1599</v>
      </c>
      <c r="F4965" s="178" t="s">
        <v>1589</v>
      </c>
      <c r="G4965" s="178" t="s">
        <v>129</v>
      </c>
      <c r="H4965">
        <v>20</v>
      </c>
      <c r="I4965" s="178" t="s">
        <v>1546</v>
      </c>
      <c r="J4965" s="320" t="s">
        <v>214</v>
      </c>
      <c r="K4965" s="178" t="s">
        <v>4871</v>
      </c>
      <c r="L4965" s="125" t="s">
        <v>110</v>
      </c>
      <c r="M4965">
        <v>26</v>
      </c>
      <c r="N4965" s="182">
        <v>11</v>
      </c>
      <c r="O4965">
        <v>3189</v>
      </c>
      <c r="P4965" s="132" t="s">
        <v>77</v>
      </c>
      <c r="Q4965" s="176">
        <v>32340</v>
      </c>
      <c r="R4965" s="176">
        <v>5174.3999999999996</v>
      </c>
      <c r="S4965" s="176"/>
      <c r="T4965" s="190">
        <v>3449.61</v>
      </c>
      <c r="U4965" s="191">
        <v>3234</v>
      </c>
      <c r="V4965" s="191">
        <v>30830.79</v>
      </c>
      <c r="W4965">
        <v>20</v>
      </c>
      <c r="X4965" s="186" t="s">
        <v>1434</v>
      </c>
      <c r="Y4965" s="187" t="s">
        <v>55</v>
      </c>
      <c r="Z4965" s="311">
        <v>266</v>
      </c>
      <c r="AB4965" t="str">
        <f>IF(Table1[[#This Row],[TIPO2]]="costo", VLOOKUP(Table1[[#This Row],[PARTIDA PRESUPUESTAL]],'Cost Report'!G:G,1,0),"Balance")</f>
        <v>2201-005</v>
      </c>
      <c r="AD4965" s="159">
        <f>+Table1[[#This Row],[SUBTOTAL]]+Table1[[#This Row],[IVA]]-Table1[[#This Row],[RET IVA]]-Table1[[#This Row],[RET ISR]]-Table1[[#This Row],[TOTAL]]</f>
        <v>0</v>
      </c>
      <c r="AK4965" s="306" t="str">
        <f>IF(ISNUMBER(Table1[[#This Row],[FECHA DE RECIBIDO]]), Table1[[#This Row],[FECHA DE RECIBIDO]]-DATE(2023,8,30), "")</f>
        <v/>
      </c>
    </row>
    <row r="4966" spans="1:37" ht="16.05" customHeight="1">
      <c r="A4966" s="172" t="s">
        <v>4692</v>
      </c>
      <c r="B4966" s="178">
        <v>1667</v>
      </c>
      <c r="C4966" s="179" t="s">
        <v>541</v>
      </c>
      <c r="D4966">
        <v>3338</v>
      </c>
      <c r="E4966" s="125" t="s">
        <v>1600</v>
      </c>
      <c r="F4966" s="178" t="s">
        <v>1593</v>
      </c>
      <c r="G4966" s="178" t="s">
        <v>109</v>
      </c>
      <c r="H4966">
        <v>26</v>
      </c>
      <c r="I4966" s="178" t="s">
        <v>1546</v>
      </c>
      <c r="J4966" s="320" t="s">
        <v>214</v>
      </c>
      <c r="K4966" s="178" t="s">
        <v>4871</v>
      </c>
      <c r="L4966" s="125" t="s">
        <v>110</v>
      </c>
      <c r="M4966">
        <v>35</v>
      </c>
      <c r="N4966" s="182">
        <v>12</v>
      </c>
      <c r="O4966">
        <v>3190</v>
      </c>
      <c r="P4966" s="132" t="s">
        <v>77</v>
      </c>
      <c r="Q4966" s="176">
        <v>21525</v>
      </c>
      <c r="R4966" s="176">
        <v>3444</v>
      </c>
      <c r="S4966" s="176"/>
      <c r="T4966" s="190">
        <v>2296.0100000000002</v>
      </c>
      <c r="U4966" s="191">
        <v>269.06</v>
      </c>
      <c r="V4966" s="191">
        <v>22403.929999999997</v>
      </c>
      <c r="W4966">
        <v>28</v>
      </c>
      <c r="X4966" s="186" t="s">
        <v>1429</v>
      </c>
      <c r="Y4966" s="187" t="s">
        <v>55</v>
      </c>
      <c r="Z4966" s="311">
        <v>266</v>
      </c>
      <c r="AB4966" t="str">
        <f>IF(Table1[[#This Row],[TIPO2]]="costo", VLOOKUP(Table1[[#This Row],[PARTIDA PRESUPUESTAL]],'Cost Report'!G:G,1,0),"Balance")</f>
        <v>2202-004</v>
      </c>
      <c r="AD4966" s="159">
        <f>+Table1[[#This Row],[SUBTOTAL]]+Table1[[#This Row],[IVA]]-Table1[[#This Row],[RET IVA]]-Table1[[#This Row],[RET ISR]]-Table1[[#This Row],[TOTAL]]</f>
        <v>0</v>
      </c>
      <c r="AK4966" s="306" t="str">
        <f>IF(ISNUMBER(Table1[[#This Row],[FECHA DE RECIBIDO]]), Table1[[#This Row],[FECHA DE RECIBIDO]]-DATE(2023,8,30), "")</f>
        <v/>
      </c>
    </row>
    <row r="4967" spans="1:37" ht="16.05" customHeight="1">
      <c r="A4967" s="172" t="s">
        <v>4693</v>
      </c>
      <c r="B4967" s="178">
        <v>1668</v>
      </c>
      <c r="C4967" s="179" t="s">
        <v>2454</v>
      </c>
      <c r="D4967">
        <v>3339</v>
      </c>
      <c r="E4967" s="125" t="s">
        <v>1601</v>
      </c>
      <c r="F4967" s="178" t="s">
        <v>1602</v>
      </c>
      <c r="G4967" s="178" t="s">
        <v>1617</v>
      </c>
      <c r="H4967">
        <v>27</v>
      </c>
      <c r="I4967" s="178" t="s">
        <v>1546</v>
      </c>
      <c r="J4967" s="320" t="s">
        <v>214</v>
      </c>
      <c r="K4967" s="178" t="s">
        <v>4871</v>
      </c>
      <c r="L4967" s="125" t="s">
        <v>110</v>
      </c>
      <c r="M4967">
        <v>36</v>
      </c>
      <c r="N4967" s="182">
        <v>13</v>
      </c>
      <c r="O4967">
        <v>3191</v>
      </c>
      <c r="P4967" s="132" t="s">
        <v>77</v>
      </c>
      <c r="Q4967" s="176">
        <v>12600</v>
      </c>
      <c r="R4967" s="176">
        <v>2016</v>
      </c>
      <c r="S4967" s="176"/>
      <c r="T4967" s="190">
        <v>1344</v>
      </c>
      <c r="U4967" s="191">
        <v>0</v>
      </c>
      <c r="V4967" s="191">
        <v>13272</v>
      </c>
      <c r="W4967">
        <v>29</v>
      </c>
      <c r="X4967" s="186" t="s">
        <v>1429</v>
      </c>
      <c r="Y4967" s="187" t="s">
        <v>55</v>
      </c>
      <c r="Z4967" s="311">
        <v>266</v>
      </c>
      <c r="AB4967" t="str">
        <f>IF(Table1[[#This Row],[TIPO2]]="costo", VLOOKUP(Table1[[#This Row],[PARTIDA PRESUPUESTAL]],'Cost Report'!G:G,1,0),"Balance")</f>
        <v>2213-004</v>
      </c>
      <c r="AD4967" s="159">
        <f>+Table1[[#This Row],[SUBTOTAL]]+Table1[[#This Row],[IVA]]-Table1[[#This Row],[RET IVA]]-Table1[[#This Row],[RET ISR]]-Table1[[#This Row],[TOTAL]]</f>
        <v>0</v>
      </c>
      <c r="AK4967" s="306" t="str">
        <f>IF(ISNUMBER(Table1[[#This Row],[FECHA DE RECIBIDO]]), Table1[[#This Row],[FECHA DE RECIBIDO]]-DATE(2023,8,30), "")</f>
        <v/>
      </c>
    </row>
    <row r="4968" spans="1:37" ht="16.05" customHeight="1">
      <c r="A4968" s="172" t="s">
        <v>4694</v>
      </c>
      <c r="B4968" s="178">
        <v>1669</v>
      </c>
      <c r="C4968" s="179" t="s">
        <v>549</v>
      </c>
      <c r="D4968">
        <v>3340</v>
      </c>
      <c r="E4968" s="125" t="s">
        <v>1603</v>
      </c>
      <c r="F4968" s="178" t="s">
        <v>1589</v>
      </c>
      <c r="G4968" s="178" t="s">
        <v>129</v>
      </c>
      <c r="H4968">
        <v>28</v>
      </c>
      <c r="I4968" s="178" t="s">
        <v>1546</v>
      </c>
      <c r="J4968" s="320" t="s">
        <v>214</v>
      </c>
      <c r="K4968" s="178" t="s">
        <v>4871</v>
      </c>
      <c r="L4968" s="125" t="s">
        <v>110</v>
      </c>
      <c r="M4968">
        <v>37</v>
      </c>
      <c r="N4968" s="182">
        <v>14</v>
      </c>
      <c r="O4968">
        <v>3192</v>
      </c>
      <c r="P4968" s="132" t="s">
        <v>77</v>
      </c>
      <c r="Q4968" s="176">
        <v>15750</v>
      </c>
      <c r="R4968" s="176">
        <v>2520</v>
      </c>
      <c r="S4968" s="176"/>
      <c r="T4968" s="190">
        <v>1680.01</v>
      </c>
      <c r="U4968" s="191">
        <v>1575</v>
      </c>
      <c r="V4968" s="191">
        <v>15014.990000000002</v>
      </c>
      <c r="W4968">
        <v>30</v>
      </c>
      <c r="X4968" s="186" t="s">
        <v>1432</v>
      </c>
      <c r="Y4968" s="187" t="s">
        <v>55</v>
      </c>
      <c r="Z4968" s="311">
        <v>266</v>
      </c>
      <c r="AB4968" t="str">
        <f>IF(Table1[[#This Row],[TIPO2]]="costo", VLOOKUP(Table1[[#This Row],[PARTIDA PRESUPUESTAL]],'Cost Report'!G:G,1,0),"Balance")</f>
        <v>2206-004</v>
      </c>
      <c r="AD4968" s="159">
        <f>+Table1[[#This Row],[SUBTOTAL]]+Table1[[#This Row],[IVA]]-Table1[[#This Row],[RET IVA]]-Table1[[#This Row],[RET ISR]]-Table1[[#This Row],[TOTAL]]</f>
        <v>0</v>
      </c>
      <c r="AK4968" s="306" t="str">
        <f>IF(ISNUMBER(Table1[[#This Row],[FECHA DE RECIBIDO]]), Table1[[#This Row],[FECHA DE RECIBIDO]]-DATE(2023,8,30), "")</f>
        <v/>
      </c>
    </row>
    <row r="4969" spans="1:37" ht="16.05" customHeight="1">
      <c r="A4969" s="172" t="s">
        <v>4695</v>
      </c>
      <c r="B4969" s="178">
        <v>1670</v>
      </c>
      <c r="C4969" s="179" t="s">
        <v>576</v>
      </c>
      <c r="D4969">
        <v>3341</v>
      </c>
      <c r="E4969" s="125" t="s">
        <v>1893</v>
      </c>
      <c r="F4969" s="178" t="s">
        <v>1593</v>
      </c>
      <c r="G4969" s="178" t="s">
        <v>109</v>
      </c>
      <c r="H4969">
        <v>66</v>
      </c>
      <c r="I4969" s="178" t="s">
        <v>1546</v>
      </c>
      <c r="J4969" s="320" t="s">
        <v>214</v>
      </c>
      <c r="K4969" s="178" t="s">
        <v>4871</v>
      </c>
      <c r="L4969" s="125" t="s">
        <v>110</v>
      </c>
      <c r="M4969">
        <v>89</v>
      </c>
      <c r="N4969" s="182">
        <v>26</v>
      </c>
      <c r="O4969">
        <v>3193</v>
      </c>
      <c r="P4969" s="132" t="s">
        <v>77</v>
      </c>
      <c r="Q4969" s="176">
        <v>17850</v>
      </c>
      <c r="R4969" s="176">
        <v>2856</v>
      </c>
      <c r="S4969" s="176"/>
      <c r="T4969" s="190">
        <v>1904.01</v>
      </c>
      <c r="U4969" s="191">
        <v>223.13</v>
      </c>
      <c r="V4969" s="191">
        <v>18578.86</v>
      </c>
      <c r="W4969">
        <v>48</v>
      </c>
      <c r="X4969" s="186" t="s">
        <v>1430</v>
      </c>
      <c r="Y4969" s="187" t="s">
        <v>55</v>
      </c>
      <c r="Z4969" s="311">
        <v>266</v>
      </c>
      <c r="AB4969" t="str">
        <f>IF(Table1[[#This Row],[TIPO2]]="costo", VLOOKUP(Table1[[#This Row],[PARTIDA PRESUPUESTAL]],'Cost Report'!G:G,1,0),"Balance")</f>
        <v>2401-004</v>
      </c>
      <c r="AD4969" s="159">
        <f>+Table1[[#This Row],[SUBTOTAL]]+Table1[[#This Row],[IVA]]-Table1[[#This Row],[RET IVA]]-Table1[[#This Row],[RET ISR]]-Table1[[#This Row],[TOTAL]]</f>
        <v>0</v>
      </c>
      <c r="AK4969" s="306" t="str">
        <f>IF(ISNUMBER(Table1[[#This Row],[FECHA DE RECIBIDO]]), Table1[[#This Row],[FECHA DE RECIBIDO]]-DATE(2023,8,30), "")</f>
        <v/>
      </c>
    </row>
    <row r="4970" spans="1:37" ht="16.05" customHeight="1">
      <c r="A4970" s="172" t="s">
        <v>4696</v>
      </c>
      <c r="B4970" s="178">
        <v>1671</v>
      </c>
      <c r="C4970" s="179" t="s">
        <v>625</v>
      </c>
      <c r="D4970">
        <v>3342</v>
      </c>
      <c r="E4970" s="125" t="s">
        <v>1994</v>
      </c>
      <c r="F4970" s="178" t="s">
        <v>1593</v>
      </c>
      <c r="G4970" s="178" t="s">
        <v>109</v>
      </c>
      <c r="H4970">
        <v>107</v>
      </c>
      <c r="I4970" s="178" t="s">
        <v>1546</v>
      </c>
      <c r="J4970" s="320" t="s">
        <v>214</v>
      </c>
      <c r="K4970" s="178" t="s">
        <v>4871</v>
      </c>
      <c r="L4970" s="125" t="s">
        <v>110</v>
      </c>
      <c r="M4970">
        <v>145</v>
      </c>
      <c r="N4970" s="182">
        <v>37</v>
      </c>
      <c r="O4970">
        <v>3194</v>
      </c>
      <c r="P4970" s="132" t="s">
        <v>77</v>
      </c>
      <c r="Q4970" s="176">
        <v>17000</v>
      </c>
      <c r="R4970" s="176">
        <v>2720</v>
      </c>
      <c r="S4970" s="176"/>
      <c r="T4970" s="190">
        <v>1813.33</v>
      </c>
      <c r="U4970" s="191">
        <v>212.5</v>
      </c>
      <c r="V4970" s="191">
        <v>17694.169999999998</v>
      </c>
      <c r="W4970">
        <v>69</v>
      </c>
      <c r="X4970" s="186" t="s">
        <v>1430</v>
      </c>
      <c r="Y4970" s="187" t="s">
        <v>55</v>
      </c>
      <c r="Z4970" s="311">
        <v>266</v>
      </c>
      <c r="AB4970" t="str">
        <f>IF(Table1[[#This Row],[TIPO2]]="costo", VLOOKUP(Table1[[#This Row],[PARTIDA PRESUPUESTAL]],'Cost Report'!G:G,1,0),"Balance")</f>
        <v>2501-004</v>
      </c>
      <c r="AD4970" s="159">
        <f>+Table1[[#This Row],[SUBTOTAL]]+Table1[[#This Row],[IVA]]-Table1[[#This Row],[RET IVA]]-Table1[[#This Row],[RET ISR]]-Table1[[#This Row],[TOTAL]]</f>
        <v>0</v>
      </c>
      <c r="AK4970" s="306" t="str">
        <f>IF(ISNUMBER(Table1[[#This Row],[FECHA DE RECIBIDO]]), Table1[[#This Row],[FECHA DE RECIBIDO]]-DATE(2023,8,30), "")</f>
        <v/>
      </c>
    </row>
    <row r="4971" spans="1:37" ht="16.05" customHeight="1">
      <c r="A4971" s="172" t="s">
        <v>4697</v>
      </c>
      <c r="B4971" s="178">
        <v>1672</v>
      </c>
      <c r="C4971" s="179" t="s">
        <v>545</v>
      </c>
      <c r="D4971">
        <v>3343</v>
      </c>
      <c r="E4971" s="125" t="s">
        <v>1600</v>
      </c>
      <c r="F4971" s="178" t="s">
        <v>1593</v>
      </c>
      <c r="G4971" s="178" t="s">
        <v>109</v>
      </c>
      <c r="H4971">
        <v>109</v>
      </c>
      <c r="I4971" s="178" t="s">
        <v>1546</v>
      </c>
      <c r="J4971" s="320" t="s">
        <v>214</v>
      </c>
      <c r="K4971" s="178" t="s">
        <v>4871</v>
      </c>
      <c r="L4971" s="125" t="s">
        <v>110</v>
      </c>
      <c r="M4971">
        <v>147</v>
      </c>
      <c r="N4971" s="182">
        <v>39</v>
      </c>
      <c r="O4971">
        <v>3195</v>
      </c>
      <c r="P4971" s="132" t="s">
        <v>77</v>
      </c>
      <c r="Q4971" s="176">
        <v>12600</v>
      </c>
      <c r="R4971" s="176">
        <v>2016</v>
      </c>
      <c r="S4971" s="176"/>
      <c r="T4971" s="190">
        <v>1344</v>
      </c>
      <c r="U4971" s="191">
        <v>157.5</v>
      </c>
      <c r="V4971" s="191">
        <v>13114.5</v>
      </c>
      <c r="W4971">
        <v>71</v>
      </c>
      <c r="X4971" s="186" t="s">
        <v>2023</v>
      </c>
      <c r="Y4971" s="187" t="s">
        <v>55</v>
      </c>
      <c r="Z4971" s="311">
        <v>266</v>
      </c>
      <c r="AB4971" t="str">
        <f>IF(Table1[[#This Row],[TIPO2]]="costo", VLOOKUP(Table1[[#This Row],[PARTIDA PRESUPUESTAL]],'Cost Report'!G:G,1,0),"Balance")</f>
        <v>2203-004</v>
      </c>
      <c r="AD4971" s="159">
        <f>+Table1[[#This Row],[SUBTOTAL]]+Table1[[#This Row],[IVA]]-Table1[[#This Row],[RET IVA]]-Table1[[#This Row],[RET ISR]]-Table1[[#This Row],[TOTAL]]</f>
        <v>0</v>
      </c>
      <c r="AK4971" s="306" t="str">
        <f>IF(ISNUMBER(Table1[[#This Row],[FECHA DE RECIBIDO]]), Table1[[#This Row],[FECHA DE RECIBIDO]]-DATE(2023,8,30), "")</f>
        <v/>
      </c>
    </row>
    <row r="4972" spans="1:37" ht="16.05" customHeight="1">
      <c r="A4972" s="172" t="s">
        <v>4698</v>
      </c>
      <c r="B4972" s="178">
        <v>1673</v>
      </c>
      <c r="C4972" s="179" t="s">
        <v>2452</v>
      </c>
      <c r="D4972">
        <v>3344</v>
      </c>
      <c r="E4972" s="125" t="s">
        <v>1613</v>
      </c>
      <c r="F4972" s="178" t="s">
        <v>1593</v>
      </c>
      <c r="G4972" s="178" t="s">
        <v>109</v>
      </c>
      <c r="H4972">
        <v>110</v>
      </c>
      <c r="I4972" s="178" t="s">
        <v>1546</v>
      </c>
      <c r="J4972" s="320" t="s">
        <v>214</v>
      </c>
      <c r="K4972" s="178" t="s">
        <v>4871</v>
      </c>
      <c r="L4972" s="125" t="s">
        <v>110</v>
      </c>
      <c r="M4972">
        <v>148</v>
      </c>
      <c r="N4972" s="182">
        <v>40</v>
      </c>
      <c r="O4972">
        <v>3196</v>
      </c>
      <c r="P4972" s="132" t="s">
        <v>77</v>
      </c>
      <c r="Q4972" s="176">
        <v>7000</v>
      </c>
      <c r="R4972" s="176">
        <v>1120</v>
      </c>
      <c r="S4972" s="176"/>
      <c r="T4972" s="190">
        <v>746.67</v>
      </c>
      <c r="U4972" s="191">
        <v>87.5</v>
      </c>
      <c r="V4972" s="191">
        <v>7285.83</v>
      </c>
      <c r="W4972">
        <v>72</v>
      </c>
      <c r="X4972" s="186" t="s">
        <v>1429</v>
      </c>
      <c r="Y4972" s="187" t="s">
        <v>55</v>
      </c>
      <c r="Z4972" s="311">
        <v>266</v>
      </c>
      <c r="AB4972" t="str">
        <f>IF(Table1[[#This Row],[TIPO2]]="costo", VLOOKUP(Table1[[#This Row],[PARTIDA PRESUPUESTAL]],'Cost Report'!G:G,1,0),"Balance")</f>
        <v>2206-016</v>
      </c>
      <c r="AD4972" s="159">
        <f>+Table1[[#This Row],[SUBTOTAL]]+Table1[[#This Row],[IVA]]-Table1[[#This Row],[RET IVA]]-Table1[[#This Row],[RET ISR]]-Table1[[#This Row],[TOTAL]]</f>
        <v>0</v>
      </c>
      <c r="AK4972" s="306" t="str">
        <f>IF(ISNUMBER(Table1[[#This Row],[FECHA DE RECIBIDO]]), Table1[[#This Row],[FECHA DE RECIBIDO]]-DATE(2023,8,30), "")</f>
        <v/>
      </c>
    </row>
    <row r="4973" spans="1:37" ht="16.05" customHeight="1">
      <c r="A4973" s="172" t="s">
        <v>4699</v>
      </c>
      <c r="B4973" s="178">
        <v>1674</v>
      </c>
      <c r="C4973" s="179" t="s">
        <v>583</v>
      </c>
      <c r="D4973">
        <v>3345</v>
      </c>
      <c r="E4973" s="125" t="s">
        <v>2014</v>
      </c>
      <c r="F4973" s="178" t="s">
        <v>1589</v>
      </c>
      <c r="G4973" s="178" t="s">
        <v>129</v>
      </c>
      <c r="H4973">
        <v>111</v>
      </c>
      <c r="I4973" s="178" t="s">
        <v>1546</v>
      </c>
      <c r="J4973" s="320" t="s">
        <v>214</v>
      </c>
      <c r="K4973" s="178" t="s">
        <v>4871</v>
      </c>
      <c r="L4973" s="125" t="s">
        <v>110</v>
      </c>
      <c r="M4973">
        <v>149</v>
      </c>
      <c r="N4973" s="182">
        <v>41</v>
      </c>
      <c r="O4973">
        <v>3197</v>
      </c>
      <c r="P4973" s="132" t="s">
        <v>77</v>
      </c>
      <c r="Q4973" s="176">
        <v>8925</v>
      </c>
      <c r="R4973" s="176">
        <v>1428</v>
      </c>
      <c r="S4973" s="176"/>
      <c r="T4973" s="190">
        <v>952</v>
      </c>
      <c r="U4973" s="191">
        <v>892.5</v>
      </c>
      <c r="V4973" s="191">
        <v>8508.5</v>
      </c>
      <c r="W4973">
        <v>73</v>
      </c>
      <c r="X4973" s="186" t="s">
        <v>1430</v>
      </c>
      <c r="Y4973" s="187" t="s">
        <v>55</v>
      </c>
      <c r="Z4973" s="311">
        <v>266</v>
      </c>
      <c r="AB4973" t="str">
        <f>IF(Table1[[#This Row],[TIPO2]]="costo", VLOOKUP(Table1[[#This Row],[PARTIDA PRESUPUESTAL]],'Cost Report'!G:G,1,0),"Balance")</f>
        <v>2401-015</v>
      </c>
      <c r="AD4973" s="159">
        <f>+Table1[[#This Row],[SUBTOTAL]]+Table1[[#This Row],[IVA]]-Table1[[#This Row],[RET IVA]]-Table1[[#This Row],[RET ISR]]-Table1[[#This Row],[TOTAL]]</f>
        <v>0</v>
      </c>
      <c r="AK4973" s="306" t="str">
        <f>IF(ISNUMBER(Table1[[#This Row],[FECHA DE RECIBIDO]]), Table1[[#This Row],[FECHA DE RECIBIDO]]-DATE(2023,8,30), "")</f>
        <v/>
      </c>
    </row>
    <row r="4974" spans="1:37" ht="16.05" customHeight="1">
      <c r="A4974" s="172" t="s">
        <v>4700</v>
      </c>
      <c r="B4974" s="178">
        <v>1675</v>
      </c>
      <c r="C4974" s="179" t="s">
        <v>2527</v>
      </c>
      <c r="D4974">
        <v>3346</v>
      </c>
      <c r="E4974" s="125" t="s">
        <v>2015</v>
      </c>
      <c r="F4974" s="178" t="s">
        <v>1593</v>
      </c>
      <c r="G4974" s="178" t="s">
        <v>109</v>
      </c>
      <c r="H4974">
        <v>112</v>
      </c>
      <c r="I4974" s="178" t="s">
        <v>1546</v>
      </c>
      <c r="J4974" s="320" t="s">
        <v>214</v>
      </c>
      <c r="K4974" s="178" t="s">
        <v>4871</v>
      </c>
      <c r="L4974" s="125" t="s">
        <v>110</v>
      </c>
      <c r="M4974">
        <v>150</v>
      </c>
      <c r="N4974" s="182">
        <v>42</v>
      </c>
      <c r="O4974">
        <v>3198</v>
      </c>
      <c r="P4974" s="132" t="s">
        <v>77</v>
      </c>
      <c r="Q4974" s="176">
        <v>10000</v>
      </c>
      <c r="R4974" s="176">
        <v>1600</v>
      </c>
      <c r="S4974" s="176"/>
      <c r="T4974" s="190">
        <v>1066.67</v>
      </c>
      <c r="U4974" s="191">
        <v>125</v>
      </c>
      <c r="V4974" s="191">
        <v>10408.33</v>
      </c>
      <c r="W4974">
        <v>74</v>
      </c>
      <c r="X4974" s="186" t="s">
        <v>1429</v>
      </c>
      <c r="Y4974" s="187" t="s">
        <v>55</v>
      </c>
      <c r="Z4974" s="311">
        <v>266</v>
      </c>
      <c r="AB4974" t="str">
        <f>IF(Table1[[#This Row],[TIPO2]]="costo", VLOOKUP(Table1[[#This Row],[PARTIDA PRESUPUESTAL]],'Cost Report'!G:G,1,0),"Balance")</f>
        <v>2405-025</v>
      </c>
      <c r="AD4974" s="159">
        <f>+Table1[[#This Row],[SUBTOTAL]]+Table1[[#This Row],[IVA]]-Table1[[#This Row],[RET IVA]]-Table1[[#This Row],[RET ISR]]-Table1[[#This Row],[TOTAL]]</f>
        <v>0</v>
      </c>
      <c r="AK4974" s="306" t="str">
        <f>IF(ISNUMBER(Table1[[#This Row],[FECHA DE RECIBIDO]]), Table1[[#This Row],[FECHA DE RECIBIDO]]-DATE(2023,8,30), "")</f>
        <v/>
      </c>
    </row>
    <row r="4975" spans="1:37" ht="16.05" customHeight="1">
      <c r="A4975" s="172" t="s">
        <v>4701</v>
      </c>
      <c r="B4975" s="178">
        <v>1676</v>
      </c>
      <c r="C4975" s="179" t="s">
        <v>2527</v>
      </c>
      <c r="D4975">
        <v>3347</v>
      </c>
      <c r="E4975" s="125" t="s">
        <v>2015</v>
      </c>
      <c r="F4975" s="178" t="s">
        <v>1593</v>
      </c>
      <c r="G4975" s="178" t="s">
        <v>109</v>
      </c>
      <c r="H4975">
        <v>112</v>
      </c>
      <c r="I4975" s="178" t="s">
        <v>1546</v>
      </c>
      <c r="J4975" s="320" t="s">
        <v>214</v>
      </c>
      <c r="K4975" s="178" t="s">
        <v>4871</v>
      </c>
      <c r="L4975" s="125" t="s">
        <v>110</v>
      </c>
      <c r="M4975">
        <v>150</v>
      </c>
      <c r="N4975" s="182">
        <v>42</v>
      </c>
      <c r="O4975">
        <v>3199</v>
      </c>
      <c r="P4975" s="132" t="s">
        <v>77</v>
      </c>
      <c r="Q4975" s="176">
        <v>10000</v>
      </c>
      <c r="R4975" s="176">
        <v>1600</v>
      </c>
      <c r="S4975" s="176"/>
      <c r="T4975" s="190">
        <v>1066.67</v>
      </c>
      <c r="U4975" s="191">
        <v>125</v>
      </c>
      <c r="V4975" s="191">
        <v>10408.33</v>
      </c>
      <c r="W4975">
        <v>74</v>
      </c>
      <c r="X4975" s="186" t="s">
        <v>1429</v>
      </c>
      <c r="Y4975" s="187" t="s">
        <v>55</v>
      </c>
      <c r="Z4975" s="311">
        <v>266</v>
      </c>
      <c r="AB4975" t="str">
        <f>IF(Table1[[#This Row],[TIPO2]]="costo", VLOOKUP(Table1[[#This Row],[PARTIDA PRESUPUESTAL]],'Cost Report'!G:G,1,0),"Balance")</f>
        <v>2405-025</v>
      </c>
      <c r="AD4975" s="159">
        <f>+Table1[[#This Row],[SUBTOTAL]]+Table1[[#This Row],[IVA]]-Table1[[#This Row],[RET IVA]]-Table1[[#This Row],[RET ISR]]-Table1[[#This Row],[TOTAL]]</f>
        <v>0</v>
      </c>
      <c r="AK4975" s="306" t="str">
        <f>IF(ISNUMBER(Table1[[#This Row],[FECHA DE RECIBIDO]]), Table1[[#This Row],[FECHA DE RECIBIDO]]-DATE(2023,8,30), "")</f>
        <v/>
      </c>
    </row>
    <row r="4976" spans="1:37" ht="16.05" customHeight="1">
      <c r="A4976" s="172" t="s">
        <v>4702</v>
      </c>
      <c r="B4976" s="178">
        <v>1677</v>
      </c>
      <c r="C4976" s="179" t="s">
        <v>2558</v>
      </c>
      <c r="D4976">
        <v>3348</v>
      </c>
      <c r="E4976" s="125" t="s">
        <v>2016</v>
      </c>
      <c r="F4976" s="178" t="s">
        <v>1589</v>
      </c>
      <c r="G4976" s="178" t="s">
        <v>129</v>
      </c>
      <c r="H4976">
        <v>113</v>
      </c>
      <c r="I4976" s="178" t="s">
        <v>1546</v>
      </c>
      <c r="J4976" s="320" t="s">
        <v>214</v>
      </c>
      <c r="K4976" s="178" t="s">
        <v>4871</v>
      </c>
      <c r="L4976" s="125" t="s">
        <v>110</v>
      </c>
      <c r="M4976">
        <v>151</v>
      </c>
      <c r="N4976" s="182">
        <v>43</v>
      </c>
      <c r="O4976">
        <v>3200</v>
      </c>
      <c r="P4976" s="132" t="s">
        <v>77</v>
      </c>
      <c r="Q4976" s="176">
        <v>9800</v>
      </c>
      <c r="R4976" s="176">
        <v>1568</v>
      </c>
      <c r="S4976" s="176"/>
      <c r="T4976" s="190">
        <v>1045.3399999999999</v>
      </c>
      <c r="U4976" s="191">
        <v>980</v>
      </c>
      <c r="V4976" s="191">
        <v>9342.66</v>
      </c>
      <c r="W4976">
        <v>75</v>
      </c>
      <c r="X4976" s="186" t="s">
        <v>2024</v>
      </c>
      <c r="Y4976" s="187" t="s">
        <v>55</v>
      </c>
      <c r="Z4976" s="311">
        <v>266</v>
      </c>
      <c r="AB4976" t="str">
        <f>IF(Table1[[#This Row],[TIPO2]]="costo", VLOOKUP(Table1[[#This Row],[PARTIDA PRESUPUESTAL]],'Cost Report'!G:G,1,0),"Balance")</f>
        <v>2501-010</v>
      </c>
      <c r="AD4976" s="159">
        <f>+Table1[[#This Row],[SUBTOTAL]]+Table1[[#This Row],[IVA]]-Table1[[#This Row],[RET IVA]]-Table1[[#This Row],[RET ISR]]-Table1[[#This Row],[TOTAL]]</f>
        <v>0</v>
      </c>
      <c r="AK4976" s="306" t="str">
        <f>IF(ISNUMBER(Table1[[#This Row],[FECHA DE RECIBIDO]]), Table1[[#This Row],[FECHA DE RECIBIDO]]-DATE(2023,8,30), "")</f>
        <v/>
      </c>
    </row>
    <row r="4977" spans="1:37" ht="16.05" customHeight="1">
      <c r="A4977" s="172" t="s">
        <v>4703</v>
      </c>
      <c r="B4977" s="178">
        <v>1678</v>
      </c>
      <c r="C4977" s="179" t="s">
        <v>553</v>
      </c>
      <c r="D4977">
        <v>3349</v>
      </c>
      <c r="E4977" s="125" t="s">
        <v>1614</v>
      </c>
      <c r="F4977" s="178" t="s">
        <v>1593</v>
      </c>
      <c r="G4977" s="178" t="s">
        <v>109</v>
      </c>
      <c r="H4977">
        <v>114</v>
      </c>
      <c r="I4977" s="178" t="s">
        <v>1546</v>
      </c>
      <c r="J4977" s="320" t="s">
        <v>214</v>
      </c>
      <c r="K4977" s="178" t="s">
        <v>4871</v>
      </c>
      <c r="L4977" s="125" t="s">
        <v>110</v>
      </c>
      <c r="M4977">
        <v>152</v>
      </c>
      <c r="N4977" s="182">
        <v>44</v>
      </c>
      <c r="O4977">
        <v>3201</v>
      </c>
      <c r="P4977" s="132" t="s">
        <v>77</v>
      </c>
      <c r="Q4977" s="176">
        <v>7700</v>
      </c>
      <c r="R4977" s="176">
        <v>1232</v>
      </c>
      <c r="S4977" s="176"/>
      <c r="T4977" s="190">
        <v>821.34</v>
      </c>
      <c r="U4977" s="191">
        <v>96.25</v>
      </c>
      <c r="V4977" s="191">
        <v>8014.41</v>
      </c>
      <c r="W4977">
        <v>76</v>
      </c>
      <c r="X4977" s="186" t="s">
        <v>1429</v>
      </c>
      <c r="Y4977" s="187" t="s">
        <v>55</v>
      </c>
      <c r="Z4977" s="311">
        <v>266</v>
      </c>
      <c r="AB4977" t="str">
        <f>IF(Table1[[#This Row],[TIPO2]]="costo", VLOOKUP(Table1[[#This Row],[PARTIDA PRESUPUESTAL]],'Cost Report'!G:G,1,0),"Balance")</f>
        <v>2206-010</v>
      </c>
      <c r="AD4977" s="159">
        <f>+Table1[[#This Row],[SUBTOTAL]]+Table1[[#This Row],[IVA]]-Table1[[#This Row],[RET IVA]]-Table1[[#This Row],[RET ISR]]-Table1[[#This Row],[TOTAL]]</f>
        <v>0</v>
      </c>
      <c r="AK4977" s="306" t="str">
        <f>IF(ISNUMBER(Table1[[#This Row],[FECHA DE RECIBIDO]]), Table1[[#This Row],[FECHA DE RECIBIDO]]-DATE(2023,8,30), "")</f>
        <v/>
      </c>
    </row>
    <row r="4978" spans="1:37" ht="16.05" customHeight="1">
      <c r="A4978" s="172" t="s">
        <v>4704</v>
      </c>
      <c r="B4978" s="178">
        <v>1679</v>
      </c>
      <c r="C4978" s="179" t="s">
        <v>562</v>
      </c>
      <c r="D4978">
        <v>3350</v>
      </c>
      <c r="E4978" s="125" t="s">
        <v>3354</v>
      </c>
      <c r="F4978" s="178" t="s">
        <v>1593</v>
      </c>
      <c r="G4978" s="178" t="s">
        <v>109</v>
      </c>
      <c r="H4978">
        <v>347</v>
      </c>
      <c r="I4978" s="178" t="s">
        <v>1546</v>
      </c>
      <c r="J4978" s="320" t="s">
        <v>214</v>
      </c>
      <c r="K4978" s="178" t="s">
        <v>4871</v>
      </c>
      <c r="L4978" s="125" t="s">
        <v>110</v>
      </c>
      <c r="M4978">
        <v>464</v>
      </c>
      <c r="N4978" s="182">
        <v>89</v>
      </c>
      <c r="O4978">
        <v>3202</v>
      </c>
      <c r="P4978" s="132" t="s">
        <v>77</v>
      </c>
      <c r="Q4978" s="176">
        <v>6300</v>
      </c>
      <c r="R4978" s="176">
        <v>1008</v>
      </c>
      <c r="S4978" s="176"/>
      <c r="T4978" s="190">
        <v>672</v>
      </c>
      <c r="U4978" s="191">
        <v>78.75</v>
      </c>
      <c r="V4978" s="191">
        <v>6557.25</v>
      </c>
      <c r="W4978">
        <v>184</v>
      </c>
      <c r="X4978" s="186" t="s">
        <v>3684</v>
      </c>
      <c r="Y4978" s="187" t="s">
        <v>55</v>
      </c>
      <c r="Z4978" s="311">
        <v>266</v>
      </c>
      <c r="AB4978" t="str">
        <f>IF(Table1[[#This Row],[TIPO2]]="costo", VLOOKUP(Table1[[#This Row],[PARTIDA PRESUPUESTAL]],'Cost Report'!G:G,1,0),"Balance")</f>
        <v>2310-004</v>
      </c>
      <c r="AD4978" s="159">
        <f>+Table1[[#This Row],[SUBTOTAL]]+Table1[[#This Row],[IVA]]-Table1[[#This Row],[RET IVA]]-Table1[[#This Row],[RET ISR]]-Table1[[#This Row],[TOTAL]]</f>
        <v>0</v>
      </c>
      <c r="AK4978" s="306" t="str">
        <f>IF(ISNUMBER(Table1[[#This Row],[FECHA DE RECIBIDO]]), Table1[[#This Row],[FECHA DE RECIBIDO]]-DATE(2023,8,30), "")</f>
        <v/>
      </c>
    </row>
    <row r="4979" spans="1:37" ht="16.05" customHeight="1">
      <c r="A4979" s="172" t="s">
        <v>4705</v>
      </c>
      <c r="B4979" s="178">
        <v>1680</v>
      </c>
      <c r="C4979" s="179" t="s">
        <v>599</v>
      </c>
      <c r="D4979">
        <v>3351</v>
      </c>
      <c r="E4979" s="125" t="s">
        <v>3133</v>
      </c>
      <c r="F4979" s="178" t="s">
        <v>1593</v>
      </c>
      <c r="G4979" s="178" t="s">
        <v>109</v>
      </c>
      <c r="H4979">
        <v>187</v>
      </c>
      <c r="I4979" s="178" t="s">
        <v>1546</v>
      </c>
      <c r="J4979" s="320" t="s">
        <v>214</v>
      </c>
      <c r="K4979" s="178" t="s">
        <v>4871</v>
      </c>
      <c r="L4979" s="125" t="s">
        <v>110</v>
      </c>
      <c r="M4979">
        <v>252</v>
      </c>
      <c r="N4979" s="182">
        <v>52</v>
      </c>
      <c r="O4979">
        <v>3203</v>
      </c>
      <c r="P4979" s="132" t="s">
        <v>77</v>
      </c>
      <c r="Q4979" s="176">
        <v>7875</v>
      </c>
      <c r="R4979" s="176">
        <v>1260</v>
      </c>
      <c r="S4979" s="176"/>
      <c r="T4979" s="190">
        <v>840</v>
      </c>
      <c r="U4979" s="191">
        <v>98.44</v>
      </c>
      <c r="V4979" s="191">
        <v>8196.56</v>
      </c>
      <c r="W4979">
        <v>108</v>
      </c>
      <c r="X4979" s="186" t="s">
        <v>1430</v>
      </c>
      <c r="Y4979" s="187" t="s">
        <v>55</v>
      </c>
      <c r="Z4979" s="311">
        <v>266</v>
      </c>
      <c r="AB4979" t="str">
        <f>IF(Table1[[#This Row],[TIPO2]]="costo", VLOOKUP(Table1[[#This Row],[PARTIDA PRESUPUESTAL]],'Cost Report'!G:G,1,0),"Balance")</f>
        <v>2403-010</v>
      </c>
      <c r="AD4979" s="159">
        <f>+Table1[[#This Row],[SUBTOTAL]]+Table1[[#This Row],[IVA]]-Table1[[#This Row],[RET IVA]]-Table1[[#This Row],[RET ISR]]-Table1[[#This Row],[TOTAL]]</f>
        <v>0</v>
      </c>
      <c r="AK4979" s="306" t="str">
        <f>IF(ISNUMBER(Table1[[#This Row],[FECHA DE RECIBIDO]]), Table1[[#This Row],[FECHA DE RECIBIDO]]-DATE(2023,8,30), "")</f>
        <v/>
      </c>
    </row>
    <row r="4980" spans="1:37" ht="16.05" customHeight="1">
      <c r="A4980" s="172" t="s">
        <v>4706</v>
      </c>
      <c r="B4980" s="178">
        <v>1681</v>
      </c>
      <c r="C4980" s="179" t="s">
        <v>2550</v>
      </c>
      <c r="D4980">
        <v>3352</v>
      </c>
      <c r="E4980" s="125" t="s">
        <v>3135</v>
      </c>
      <c r="F4980" s="178" t="s">
        <v>1593</v>
      </c>
      <c r="G4980" s="178" t="s">
        <v>109</v>
      </c>
      <c r="H4980">
        <v>188</v>
      </c>
      <c r="I4980" s="178" t="s">
        <v>1546</v>
      </c>
      <c r="J4980" s="320" t="s">
        <v>214</v>
      </c>
      <c r="K4980" s="178" t="s">
        <v>4871</v>
      </c>
      <c r="L4980" s="125" t="s">
        <v>110</v>
      </c>
      <c r="M4980">
        <v>253</v>
      </c>
      <c r="N4980" s="182">
        <v>53</v>
      </c>
      <c r="O4980">
        <v>3204</v>
      </c>
      <c r="P4980" s="132" t="s">
        <v>77</v>
      </c>
      <c r="Q4980" s="176">
        <v>6300</v>
      </c>
      <c r="R4980" s="176">
        <v>1008</v>
      </c>
      <c r="S4980" s="176"/>
      <c r="T4980" s="190">
        <v>672</v>
      </c>
      <c r="U4980" s="191">
        <v>78.75</v>
      </c>
      <c r="V4980" s="191">
        <v>6557.25</v>
      </c>
      <c r="W4980">
        <v>109</v>
      </c>
      <c r="X4980" s="186" t="s">
        <v>1429</v>
      </c>
      <c r="Y4980" s="187" t="s">
        <v>55</v>
      </c>
      <c r="Z4980" s="311">
        <v>266</v>
      </c>
      <c r="AB4980" t="str">
        <f>IF(Table1[[#This Row],[TIPO2]]="costo", VLOOKUP(Table1[[#This Row],[PARTIDA PRESUPUESTAL]],'Cost Report'!G:G,1,0),"Balance")</f>
        <v>2495-012</v>
      </c>
      <c r="AD4980" s="159">
        <f>+Table1[[#This Row],[SUBTOTAL]]+Table1[[#This Row],[IVA]]-Table1[[#This Row],[RET IVA]]-Table1[[#This Row],[RET ISR]]-Table1[[#This Row],[TOTAL]]</f>
        <v>0</v>
      </c>
      <c r="AK4980" s="306" t="str">
        <f>IF(ISNUMBER(Table1[[#This Row],[FECHA DE RECIBIDO]]), Table1[[#This Row],[FECHA DE RECIBIDO]]-DATE(2023,8,30), "")</f>
        <v/>
      </c>
    </row>
    <row r="4981" spans="1:37" ht="16.05" customHeight="1">
      <c r="A4981" s="172" t="s">
        <v>4707</v>
      </c>
      <c r="B4981" s="178">
        <v>1682</v>
      </c>
      <c r="C4981" s="179" t="s">
        <v>591</v>
      </c>
      <c r="D4981">
        <v>3353</v>
      </c>
      <c r="E4981" s="125" t="s">
        <v>3137</v>
      </c>
      <c r="F4981" s="178" t="s">
        <v>1593</v>
      </c>
      <c r="G4981" s="178" t="s">
        <v>109</v>
      </c>
      <c r="H4981">
        <v>189</v>
      </c>
      <c r="I4981" s="178" t="s">
        <v>1546</v>
      </c>
      <c r="J4981" s="320" t="s">
        <v>214</v>
      </c>
      <c r="K4981" s="178" t="s">
        <v>4871</v>
      </c>
      <c r="L4981" s="125" t="s">
        <v>110</v>
      </c>
      <c r="M4981">
        <v>254</v>
      </c>
      <c r="N4981" s="182">
        <v>54</v>
      </c>
      <c r="O4981">
        <v>3205</v>
      </c>
      <c r="P4981" s="132" t="s">
        <v>77</v>
      </c>
      <c r="Q4981" s="176">
        <v>7350</v>
      </c>
      <c r="R4981" s="176">
        <v>1176</v>
      </c>
      <c r="S4981" s="176"/>
      <c r="T4981" s="190">
        <v>784</v>
      </c>
      <c r="U4981" s="191">
        <v>91.88</v>
      </c>
      <c r="V4981" s="191">
        <v>7650.12</v>
      </c>
      <c r="W4981">
        <v>110</v>
      </c>
      <c r="X4981" s="186" t="s">
        <v>1429</v>
      </c>
      <c r="Y4981" s="187" t="s">
        <v>55</v>
      </c>
      <c r="Z4981" s="311">
        <v>266</v>
      </c>
      <c r="AB4981" t="str">
        <f>IF(Table1[[#This Row],[TIPO2]]="costo", VLOOKUP(Table1[[#This Row],[PARTIDA PRESUPUESTAL]],'Cost Report'!G:G,1,0),"Balance")</f>
        <v>2401-027</v>
      </c>
      <c r="AD4981" s="159">
        <f>+Table1[[#This Row],[SUBTOTAL]]+Table1[[#This Row],[IVA]]-Table1[[#This Row],[RET IVA]]-Table1[[#This Row],[RET ISR]]-Table1[[#This Row],[TOTAL]]</f>
        <v>0</v>
      </c>
      <c r="AK4981" s="306" t="str">
        <f>IF(ISNUMBER(Table1[[#This Row],[FECHA DE RECIBIDO]]), Table1[[#This Row],[FECHA DE RECIBIDO]]-DATE(2023,8,30), "")</f>
        <v/>
      </c>
    </row>
    <row r="4982" spans="1:37" ht="16.05" customHeight="1">
      <c r="A4982" s="172" t="s">
        <v>4708</v>
      </c>
      <c r="B4982" s="178">
        <v>1683</v>
      </c>
      <c r="C4982" s="179" t="s">
        <v>1500</v>
      </c>
      <c r="D4982">
        <v>3354</v>
      </c>
      <c r="E4982" s="125" t="s">
        <v>3139</v>
      </c>
      <c r="F4982" s="178" t="s">
        <v>1593</v>
      </c>
      <c r="G4982" s="178" t="s">
        <v>109</v>
      </c>
      <c r="H4982">
        <v>190</v>
      </c>
      <c r="I4982" s="178" t="s">
        <v>1546</v>
      </c>
      <c r="J4982" s="320" t="s">
        <v>214</v>
      </c>
      <c r="K4982" s="178" t="s">
        <v>4871</v>
      </c>
      <c r="L4982" s="125" t="s">
        <v>110</v>
      </c>
      <c r="M4982">
        <v>255</v>
      </c>
      <c r="N4982" s="182">
        <v>55</v>
      </c>
      <c r="O4982">
        <v>3206</v>
      </c>
      <c r="P4982" s="132" t="s">
        <v>77</v>
      </c>
      <c r="Q4982" s="176">
        <v>8400</v>
      </c>
      <c r="R4982" s="176">
        <v>1344</v>
      </c>
      <c r="S4982" s="176"/>
      <c r="T4982" s="190">
        <v>896</v>
      </c>
      <c r="U4982" s="191">
        <v>105</v>
      </c>
      <c r="V4982" s="191">
        <v>8743</v>
      </c>
      <c r="W4982">
        <v>111</v>
      </c>
      <c r="X4982" s="186" t="s">
        <v>1429</v>
      </c>
      <c r="Y4982" s="187" t="s">
        <v>55</v>
      </c>
      <c r="Z4982" s="311">
        <v>266</v>
      </c>
      <c r="AB4982" t="str">
        <f>IF(Table1[[#This Row],[TIPO2]]="costo", VLOOKUP(Table1[[#This Row],[PARTIDA PRESUPUESTAL]],'Cost Report'!G:G,1,0),"Balance")</f>
        <v>2402-004</v>
      </c>
      <c r="AD4982" s="159">
        <f>+Table1[[#This Row],[SUBTOTAL]]+Table1[[#This Row],[IVA]]-Table1[[#This Row],[RET IVA]]-Table1[[#This Row],[RET ISR]]-Table1[[#This Row],[TOTAL]]</f>
        <v>0</v>
      </c>
      <c r="AK4982" s="306" t="str">
        <f>IF(ISNUMBER(Table1[[#This Row],[FECHA DE RECIBIDO]]), Table1[[#This Row],[FECHA DE RECIBIDO]]-DATE(2023,8,30), "")</f>
        <v/>
      </c>
    </row>
    <row r="4983" spans="1:37" ht="16.05" customHeight="1">
      <c r="A4983" s="172" t="s">
        <v>4709</v>
      </c>
      <c r="B4983" s="178">
        <v>1684</v>
      </c>
      <c r="C4983" s="179" t="s">
        <v>631</v>
      </c>
      <c r="D4983">
        <v>3355</v>
      </c>
      <c r="E4983" s="125" t="s">
        <v>3141</v>
      </c>
      <c r="F4983" s="178" t="s">
        <v>1589</v>
      </c>
      <c r="G4983" s="178" t="s">
        <v>129</v>
      </c>
      <c r="H4983">
        <v>191</v>
      </c>
      <c r="I4983" s="178" t="s">
        <v>1546</v>
      </c>
      <c r="J4983" s="320" t="s">
        <v>214</v>
      </c>
      <c r="K4983" s="178" t="s">
        <v>4871</v>
      </c>
      <c r="L4983" s="125" t="s">
        <v>110</v>
      </c>
      <c r="M4983">
        <v>256</v>
      </c>
      <c r="N4983" s="182">
        <v>56</v>
      </c>
      <c r="O4983">
        <v>3207</v>
      </c>
      <c r="P4983" s="132" t="s">
        <v>77</v>
      </c>
      <c r="Q4983" s="176">
        <v>8000</v>
      </c>
      <c r="R4983" s="176">
        <v>1280</v>
      </c>
      <c r="S4983" s="176"/>
      <c r="T4983" s="190">
        <v>853.34</v>
      </c>
      <c r="U4983" s="191">
        <v>800</v>
      </c>
      <c r="V4983" s="191">
        <v>7626.66</v>
      </c>
      <c r="W4983">
        <v>112</v>
      </c>
      <c r="X4983" s="186" t="s">
        <v>1429</v>
      </c>
      <c r="Y4983" s="187" t="s">
        <v>55</v>
      </c>
      <c r="Z4983" s="311">
        <v>266</v>
      </c>
      <c r="AB4983" t="str">
        <f>IF(Table1[[#This Row],[TIPO2]]="costo", VLOOKUP(Table1[[#This Row],[PARTIDA PRESUPUESTAL]],'Cost Report'!G:G,1,0),"Balance")</f>
        <v>2502-004</v>
      </c>
      <c r="AD4983" s="159">
        <f>+Table1[[#This Row],[SUBTOTAL]]+Table1[[#This Row],[IVA]]-Table1[[#This Row],[RET IVA]]-Table1[[#This Row],[RET ISR]]-Table1[[#This Row],[TOTAL]]</f>
        <v>0</v>
      </c>
      <c r="AK4983" s="306" t="str">
        <f>IF(ISNUMBER(Table1[[#This Row],[FECHA DE RECIBIDO]]), Table1[[#This Row],[FECHA DE RECIBIDO]]-DATE(2023,8,30), "")</f>
        <v/>
      </c>
    </row>
    <row r="4984" spans="1:37" ht="16.05" customHeight="1">
      <c r="A4984" s="172" t="s">
        <v>4710</v>
      </c>
      <c r="B4984" s="178">
        <v>1685</v>
      </c>
      <c r="C4984" s="179" t="s">
        <v>566</v>
      </c>
      <c r="D4984">
        <v>3356</v>
      </c>
      <c r="E4984" s="125" t="s">
        <v>1614</v>
      </c>
      <c r="F4984" s="178" t="s">
        <v>1593</v>
      </c>
      <c r="G4984" s="178" t="s">
        <v>109</v>
      </c>
      <c r="H4984">
        <v>339</v>
      </c>
      <c r="I4984" s="178" t="s">
        <v>1546</v>
      </c>
      <c r="J4984" s="320" t="s">
        <v>214</v>
      </c>
      <c r="K4984" s="178" t="s">
        <v>4871</v>
      </c>
      <c r="L4984" s="125" t="s">
        <v>110</v>
      </c>
      <c r="M4984">
        <v>456</v>
      </c>
      <c r="N4984" s="182">
        <v>81</v>
      </c>
      <c r="O4984">
        <v>3208</v>
      </c>
      <c r="P4984" s="132" t="s">
        <v>77</v>
      </c>
      <c r="Q4984" s="176">
        <v>6300</v>
      </c>
      <c r="R4984" s="176">
        <v>1008</v>
      </c>
      <c r="S4984" s="176"/>
      <c r="T4984" s="190">
        <v>672</v>
      </c>
      <c r="U4984" s="191">
        <v>78.75</v>
      </c>
      <c r="V4984" s="191">
        <v>6557.25</v>
      </c>
      <c r="W4984">
        <v>176</v>
      </c>
      <c r="X4984" s="186" t="s">
        <v>1429</v>
      </c>
      <c r="Y4984" s="187" t="s">
        <v>55</v>
      </c>
      <c r="Z4984" s="311">
        <v>266</v>
      </c>
      <c r="AB4984" t="str">
        <f>IF(Table1[[#This Row],[TIPO2]]="costo", VLOOKUP(Table1[[#This Row],[PARTIDA PRESUPUESTAL]],'Cost Report'!G:G,1,0),"Balance")</f>
        <v>2310-010</v>
      </c>
      <c r="AD4984" s="159">
        <f>+Table1[[#This Row],[SUBTOTAL]]+Table1[[#This Row],[IVA]]-Table1[[#This Row],[RET IVA]]-Table1[[#This Row],[RET ISR]]-Table1[[#This Row],[TOTAL]]</f>
        <v>0</v>
      </c>
      <c r="AK4984" s="306" t="str">
        <f>IF(ISNUMBER(Table1[[#This Row],[FECHA DE RECIBIDO]]), Table1[[#This Row],[FECHA DE RECIBIDO]]-DATE(2023,8,30), "")</f>
        <v/>
      </c>
    </row>
    <row r="4985" spans="1:37" ht="16.05" customHeight="1">
      <c r="A4985" s="172" t="s">
        <v>4711</v>
      </c>
      <c r="B4985" s="178">
        <v>1686</v>
      </c>
      <c r="C4985" s="179" t="s">
        <v>513</v>
      </c>
      <c r="D4985">
        <v>3357</v>
      </c>
      <c r="E4985" s="125" t="s">
        <v>3639</v>
      </c>
      <c r="F4985" s="178" t="s">
        <v>1593</v>
      </c>
      <c r="G4985" s="178" t="s">
        <v>109</v>
      </c>
      <c r="H4985">
        <v>340</v>
      </c>
      <c r="I4985" s="178" t="s">
        <v>1546</v>
      </c>
      <c r="J4985" s="320" t="s">
        <v>214</v>
      </c>
      <c r="K4985" s="178" t="s">
        <v>4871</v>
      </c>
      <c r="L4985" s="125" t="s">
        <v>110</v>
      </c>
      <c r="M4985">
        <v>457</v>
      </c>
      <c r="N4985" s="182">
        <v>82</v>
      </c>
      <c r="O4985">
        <v>3209</v>
      </c>
      <c r="P4985" s="132" t="s">
        <v>77</v>
      </c>
      <c r="Q4985" s="176">
        <v>1166.6600000000001</v>
      </c>
      <c r="R4985" s="176">
        <v>186.67</v>
      </c>
      <c r="S4985" s="176"/>
      <c r="T4985" s="190">
        <v>124.44</v>
      </c>
      <c r="U4985" s="191">
        <v>14.58</v>
      </c>
      <c r="V4985" s="191">
        <v>1214.3100000000002</v>
      </c>
      <c r="W4985">
        <v>177</v>
      </c>
      <c r="X4985" s="186" t="s">
        <v>1429</v>
      </c>
      <c r="Y4985" s="187" t="s">
        <v>55</v>
      </c>
      <c r="Z4985" s="311">
        <v>266</v>
      </c>
      <c r="AB4985" t="str">
        <f>IF(Table1[[#This Row],[TIPO2]]="costo", VLOOKUP(Table1[[#This Row],[PARTIDA PRESUPUESTAL]],'Cost Report'!G:G,1,0),"Balance")</f>
        <v>2020-038</v>
      </c>
      <c r="AD4985" s="159">
        <f>+Table1[[#This Row],[SUBTOTAL]]+Table1[[#This Row],[IVA]]-Table1[[#This Row],[RET IVA]]-Table1[[#This Row],[RET ISR]]-Table1[[#This Row],[TOTAL]]</f>
        <v>0</v>
      </c>
      <c r="AK4985" s="306" t="str">
        <f>IF(ISNUMBER(Table1[[#This Row],[FECHA DE RECIBIDO]]), Table1[[#This Row],[FECHA DE RECIBIDO]]-DATE(2023,8,30), "")</f>
        <v/>
      </c>
    </row>
    <row r="4986" spans="1:37" ht="16.05" customHeight="1">
      <c r="A4986" s="172" t="s">
        <v>4712</v>
      </c>
      <c r="B4986" s="178">
        <v>1687</v>
      </c>
      <c r="C4986" s="179" t="s">
        <v>1806</v>
      </c>
      <c r="D4986">
        <v>3358</v>
      </c>
      <c r="E4986" s="125" t="s">
        <v>1997</v>
      </c>
      <c r="F4986" s="178" t="s">
        <v>1593</v>
      </c>
      <c r="G4986" s="178" t="s">
        <v>109</v>
      </c>
      <c r="H4986">
        <v>341</v>
      </c>
      <c r="I4986" s="178" t="s">
        <v>1546</v>
      </c>
      <c r="J4986" s="320" t="s">
        <v>214</v>
      </c>
      <c r="K4986" s="178" t="s">
        <v>4871</v>
      </c>
      <c r="L4986" s="125" t="s">
        <v>110</v>
      </c>
      <c r="M4986">
        <v>458</v>
      </c>
      <c r="N4986" s="182">
        <v>83</v>
      </c>
      <c r="O4986">
        <v>3210</v>
      </c>
      <c r="P4986" s="132" t="s">
        <v>77</v>
      </c>
      <c r="Q4986" s="176">
        <v>10290</v>
      </c>
      <c r="R4986" s="176">
        <v>1646.4</v>
      </c>
      <c r="S4986" s="176"/>
      <c r="T4986" s="190">
        <v>1097.5999999999999</v>
      </c>
      <c r="U4986" s="191">
        <v>128.63</v>
      </c>
      <c r="V4986" s="191">
        <v>10710.17</v>
      </c>
      <c r="W4986">
        <v>178</v>
      </c>
      <c r="X4986" s="186" t="s">
        <v>2024</v>
      </c>
      <c r="Y4986" s="187" t="s">
        <v>55</v>
      </c>
      <c r="Z4986" s="311">
        <v>266</v>
      </c>
      <c r="AB4986" t="str">
        <f>IF(Table1[[#This Row],[TIPO2]]="costo", VLOOKUP(Table1[[#This Row],[PARTIDA PRESUPUESTAL]],'Cost Report'!G:G,1,0),"Balance")</f>
        <v>2405-004</v>
      </c>
      <c r="AD4986" s="159">
        <f>+Table1[[#This Row],[SUBTOTAL]]+Table1[[#This Row],[IVA]]-Table1[[#This Row],[RET IVA]]-Table1[[#This Row],[RET ISR]]-Table1[[#This Row],[TOTAL]]</f>
        <v>0</v>
      </c>
      <c r="AK4986" s="306" t="str">
        <f>IF(ISNUMBER(Table1[[#This Row],[FECHA DE RECIBIDO]]), Table1[[#This Row],[FECHA DE RECIBIDO]]-DATE(2023,8,30), "")</f>
        <v/>
      </c>
    </row>
    <row r="4987" spans="1:37" ht="16.05" customHeight="1">
      <c r="A4987" s="172" t="s">
        <v>4713</v>
      </c>
      <c r="B4987" s="178">
        <v>1688</v>
      </c>
      <c r="C4987" s="179" t="s">
        <v>2527</v>
      </c>
      <c r="D4987">
        <v>3359</v>
      </c>
      <c r="E4987" s="125" t="s">
        <v>3932</v>
      </c>
      <c r="F4987" s="178" t="s">
        <v>1589</v>
      </c>
      <c r="G4987" s="178" t="s">
        <v>129</v>
      </c>
      <c r="H4987">
        <v>504</v>
      </c>
      <c r="I4987" s="178" t="s">
        <v>1546</v>
      </c>
      <c r="J4987" s="320" t="s">
        <v>214</v>
      </c>
      <c r="K4987" s="178" t="s">
        <v>4871</v>
      </c>
      <c r="L4987" s="125" t="s">
        <v>110</v>
      </c>
      <c r="M4987">
        <v>728</v>
      </c>
      <c r="N4987" s="182">
        <v>133</v>
      </c>
      <c r="O4987">
        <v>3211</v>
      </c>
      <c r="P4987" s="132" t="s">
        <v>77</v>
      </c>
      <c r="Q4987" s="176">
        <v>5000</v>
      </c>
      <c r="R4987" s="176">
        <v>800</v>
      </c>
      <c r="S4987" s="176"/>
      <c r="T4987" s="190">
        <v>533.34</v>
      </c>
      <c r="U4987" s="191">
        <v>500</v>
      </c>
      <c r="V4987" s="191">
        <v>4766.66</v>
      </c>
      <c r="W4987">
        <v>276</v>
      </c>
      <c r="X4987" s="186" t="s">
        <v>1431</v>
      </c>
      <c r="Y4987" s="187" t="s">
        <v>55</v>
      </c>
      <c r="Z4987" s="311">
        <v>266</v>
      </c>
      <c r="AB4987" t="str">
        <f>IF(Table1[[#This Row],[TIPO2]]="costo", VLOOKUP(Table1[[#This Row],[PARTIDA PRESUPUESTAL]],'Cost Report'!G:G,1,0),"Balance")</f>
        <v>2405-025</v>
      </c>
      <c r="AD4987" s="159">
        <f>+Table1[[#This Row],[SUBTOTAL]]+Table1[[#This Row],[IVA]]-Table1[[#This Row],[RET IVA]]-Table1[[#This Row],[RET ISR]]-Table1[[#This Row],[TOTAL]]</f>
        <v>0</v>
      </c>
      <c r="AK4987" s="306" t="str">
        <f>IF(ISNUMBER(Table1[[#This Row],[FECHA DE RECIBIDO]]), Table1[[#This Row],[FECHA DE RECIBIDO]]-DATE(2023,8,30), "")</f>
        <v/>
      </c>
    </row>
    <row r="4988" spans="1:37" ht="16.05" customHeight="1">
      <c r="A4988" s="172" t="s">
        <v>4714</v>
      </c>
      <c r="B4988" s="178">
        <v>1689</v>
      </c>
      <c r="C4988" s="179" t="s">
        <v>603</v>
      </c>
      <c r="D4988">
        <v>3360</v>
      </c>
      <c r="E4988" s="125" t="s">
        <v>3934</v>
      </c>
      <c r="F4988" s="178" t="s">
        <v>1593</v>
      </c>
      <c r="G4988" s="178" t="s">
        <v>109</v>
      </c>
      <c r="H4988">
        <v>505</v>
      </c>
      <c r="I4988" s="178" t="s">
        <v>1546</v>
      </c>
      <c r="J4988" s="320" t="s">
        <v>214</v>
      </c>
      <c r="K4988" s="178" t="s">
        <v>4871</v>
      </c>
      <c r="L4988" s="125" t="s">
        <v>110</v>
      </c>
      <c r="M4988">
        <v>729</v>
      </c>
      <c r="N4988" s="182">
        <v>134</v>
      </c>
      <c r="O4988">
        <v>3212</v>
      </c>
      <c r="P4988" s="132" t="s">
        <v>77</v>
      </c>
      <c r="Q4988" s="176">
        <v>7875</v>
      </c>
      <c r="R4988" s="176">
        <v>1260</v>
      </c>
      <c r="S4988" s="176"/>
      <c r="T4988" s="190">
        <v>840</v>
      </c>
      <c r="U4988" s="191">
        <v>98.44</v>
      </c>
      <c r="V4988" s="191">
        <v>8196.56</v>
      </c>
      <c r="W4988">
        <v>277</v>
      </c>
      <c r="X4988" s="186" t="s">
        <v>1429</v>
      </c>
      <c r="Y4988" s="187" t="s">
        <v>55</v>
      </c>
      <c r="Z4988" s="311">
        <v>266</v>
      </c>
      <c r="AB4988" t="str">
        <f>IF(Table1[[#This Row],[TIPO2]]="costo", VLOOKUP(Table1[[#This Row],[PARTIDA PRESUPUESTAL]],'Cost Report'!G:G,1,0),"Balance")</f>
        <v>2403-016</v>
      </c>
      <c r="AD4988" s="159">
        <f>+Table1[[#This Row],[SUBTOTAL]]+Table1[[#This Row],[IVA]]-Table1[[#This Row],[RET IVA]]-Table1[[#This Row],[RET ISR]]-Table1[[#This Row],[TOTAL]]</f>
        <v>0</v>
      </c>
      <c r="AK4988" s="306" t="str">
        <f>IF(ISNUMBER(Table1[[#This Row],[FECHA DE RECIBIDO]]), Table1[[#This Row],[FECHA DE RECIBIDO]]-DATE(2023,8,30), "")</f>
        <v/>
      </c>
    </row>
    <row r="4989" spans="1:37" ht="16.05" customHeight="1">
      <c r="A4989" s="172" t="s">
        <v>4715</v>
      </c>
      <c r="B4989" s="178">
        <v>1690</v>
      </c>
      <c r="C4989" s="179" t="s">
        <v>2527</v>
      </c>
      <c r="D4989">
        <v>3361</v>
      </c>
      <c r="E4989" s="125" t="s">
        <v>3272</v>
      </c>
      <c r="F4989" s="178" t="s">
        <v>1593</v>
      </c>
      <c r="G4989" s="178" t="s">
        <v>109</v>
      </c>
      <c r="H4989">
        <v>507</v>
      </c>
      <c r="I4989" s="178" t="s">
        <v>1546</v>
      </c>
      <c r="J4989" s="320" t="s">
        <v>214</v>
      </c>
      <c r="K4989" s="178" t="s">
        <v>4871</v>
      </c>
      <c r="L4989" s="125" t="s">
        <v>110</v>
      </c>
      <c r="M4989">
        <v>731</v>
      </c>
      <c r="N4989" s="182">
        <v>137</v>
      </c>
      <c r="O4989">
        <v>3213</v>
      </c>
      <c r="P4989" s="132" t="s">
        <v>77</v>
      </c>
      <c r="Q4989" s="176">
        <v>1470</v>
      </c>
      <c r="R4989" s="176">
        <v>235.2</v>
      </c>
      <c r="S4989" s="176"/>
      <c r="T4989" s="190">
        <v>156.80000000000001</v>
      </c>
      <c r="U4989" s="191">
        <v>18.38</v>
      </c>
      <c r="V4989" s="191">
        <v>1530.02</v>
      </c>
      <c r="W4989">
        <v>279</v>
      </c>
      <c r="X4989" s="186" t="s">
        <v>1429</v>
      </c>
      <c r="Y4989" s="187" t="s">
        <v>55</v>
      </c>
      <c r="Z4989" s="311">
        <v>266</v>
      </c>
      <c r="AB4989" t="str">
        <f>IF(Table1[[#This Row],[TIPO2]]="costo", VLOOKUP(Table1[[#This Row],[PARTIDA PRESUPUESTAL]],'Cost Report'!G:G,1,0),"Balance")</f>
        <v>2405-025</v>
      </c>
      <c r="AD4989" s="159">
        <f>+Table1[[#This Row],[SUBTOTAL]]+Table1[[#This Row],[IVA]]-Table1[[#This Row],[RET IVA]]-Table1[[#This Row],[RET ISR]]-Table1[[#This Row],[TOTAL]]</f>
        <v>0</v>
      </c>
      <c r="AK4989" s="306" t="str">
        <f>IF(ISNUMBER(Table1[[#This Row],[FECHA DE RECIBIDO]]), Table1[[#This Row],[FECHA DE RECIBIDO]]-DATE(2023,8,30), "")</f>
        <v/>
      </c>
    </row>
    <row r="4990" spans="1:37" ht="16.05" customHeight="1">
      <c r="A4990" s="172" t="s">
        <v>4716</v>
      </c>
      <c r="B4990" s="178">
        <v>1691</v>
      </c>
      <c r="C4990" s="179" t="s">
        <v>2527</v>
      </c>
      <c r="D4990">
        <v>3362</v>
      </c>
      <c r="E4990" s="125" t="s">
        <v>1990</v>
      </c>
      <c r="F4990" s="178" t="s">
        <v>1589</v>
      </c>
      <c r="G4990" s="178" t="s">
        <v>129</v>
      </c>
      <c r="H4990">
        <v>509</v>
      </c>
      <c r="I4990" s="178" t="s">
        <v>1546</v>
      </c>
      <c r="J4990" s="320" t="s">
        <v>214</v>
      </c>
      <c r="K4990" s="178" t="s">
        <v>4871</v>
      </c>
      <c r="L4990" s="125" t="s">
        <v>110</v>
      </c>
      <c r="M4990">
        <v>733</v>
      </c>
      <c r="N4990" s="182">
        <v>139</v>
      </c>
      <c r="O4990">
        <v>3214</v>
      </c>
      <c r="P4990" s="132" t="s">
        <v>77</v>
      </c>
      <c r="Q4990" s="176">
        <v>9800</v>
      </c>
      <c r="R4990" s="176">
        <v>1568</v>
      </c>
      <c r="S4990" s="176"/>
      <c r="T4990" s="190">
        <v>1045.3399999999999</v>
      </c>
      <c r="U4990" s="191">
        <v>980</v>
      </c>
      <c r="V4990" s="191">
        <v>9342.66</v>
      </c>
      <c r="W4990">
        <v>281</v>
      </c>
      <c r="X4990" s="186" t="s">
        <v>1430</v>
      </c>
      <c r="Y4990" s="187" t="s">
        <v>55</v>
      </c>
      <c r="Z4990" s="311">
        <v>266</v>
      </c>
      <c r="AB4990" t="str">
        <f>IF(Table1[[#This Row],[TIPO2]]="costo", VLOOKUP(Table1[[#This Row],[PARTIDA PRESUPUESTAL]],'Cost Report'!G:G,1,0),"Balance")</f>
        <v>2405-025</v>
      </c>
      <c r="AD4990" s="159">
        <f>+Table1[[#This Row],[SUBTOTAL]]+Table1[[#This Row],[IVA]]-Table1[[#This Row],[RET IVA]]-Table1[[#This Row],[RET ISR]]-Table1[[#This Row],[TOTAL]]</f>
        <v>0</v>
      </c>
      <c r="AK4990" s="306" t="str">
        <f>IF(ISNUMBER(Table1[[#This Row],[FECHA DE RECIBIDO]]), Table1[[#This Row],[FECHA DE RECIBIDO]]-DATE(2023,8,30), "")</f>
        <v/>
      </c>
    </row>
    <row r="4991" spans="1:37" ht="16.05" customHeight="1">
      <c r="A4991" s="172" t="s">
        <v>4717</v>
      </c>
      <c r="B4991" s="178">
        <v>1692</v>
      </c>
      <c r="C4991" s="179" t="s">
        <v>2527</v>
      </c>
      <c r="D4991">
        <v>3363</v>
      </c>
      <c r="E4991" s="125" t="s">
        <v>3948</v>
      </c>
      <c r="F4991" s="178" t="s">
        <v>1593</v>
      </c>
      <c r="G4991" s="178" t="s">
        <v>109</v>
      </c>
      <c r="H4991">
        <v>511</v>
      </c>
      <c r="I4991" s="178" t="s">
        <v>1546</v>
      </c>
      <c r="J4991" s="320" t="s">
        <v>214</v>
      </c>
      <c r="K4991" s="178" t="s">
        <v>4871</v>
      </c>
      <c r="L4991" s="125" t="s">
        <v>110</v>
      </c>
      <c r="M4991">
        <v>735</v>
      </c>
      <c r="N4991" s="182">
        <v>141</v>
      </c>
      <c r="O4991">
        <v>3215</v>
      </c>
      <c r="P4991" s="132" t="s">
        <v>77</v>
      </c>
      <c r="Q4991" s="176">
        <v>1470</v>
      </c>
      <c r="R4991" s="176">
        <v>235.2</v>
      </c>
      <c r="S4991" s="176"/>
      <c r="T4991" s="190">
        <v>156.80000000000001</v>
      </c>
      <c r="U4991" s="191">
        <v>18.38</v>
      </c>
      <c r="V4991" s="191">
        <v>1530.02</v>
      </c>
      <c r="W4991">
        <v>283</v>
      </c>
      <c r="X4991" s="186" t="s">
        <v>1431</v>
      </c>
      <c r="Y4991" s="187" t="s">
        <v>55</v>
      </c>
      <c r="Z4991" s="311">
        <v>266</v>
      </c>
      <c r="AB4991" t="str">
        <f>IF(Table1[[#This Row],[TIPO2]]="costo", VLOOKUP(Table1[[#This Row],[PARTIDA PRESUPUESTAL]],'Cost Report'!G:G,1,0),"Balance")</f>
        <v>2405-025</v>
      </c>
      <c r="AD4991" s="159">
        <f>+Table1[[#This Row],[SUBTOTAL]]+Table1[[#This Row],[IVA]]-Table1[[#This Row],[RET IVA]]-Table1[[#This Row],[RET ISR]]-Table1[[#This Row],[TOTAL]]</f>
        <v>0</v>
      </c>
      <c r="AK4991" s="306" t="str">
        <f>IF(ISNUMBER(Table1[[#This Row],[FECHA DE RECIBIDO]]), Table1[[#This Row],[FECHA DE RECIBIDO]]-DATE(2023,8,30), "")</f>
        <v/>
      </c>
    </row>
    <row r="4992" spans="1:37" ht="16.05" customHeight="1">
      <c r="A4992" s="172" t="s">
        <v>4718</v>
      </c>
      <c r="B4992" s="178">
        <v>1693</v>
      </c>
      <c r="C4992" s="179" t="s">
        <v>587</v>
      </c>
      <c r="D4992">
        <v>3364</v>
      </c>
      <c r="E4992" s="125" t="s">
        <v>3950</v>
      </c>
      <c r="F4992" s="178" t="s">
        <v>1602</v>
      </c>
      <c r="G4992" s="178" t="s">
        <v>1617</v>
      </c>
      <c r="H4992">
        <v>512</v>
      </c>
      <c r="I4992" s="178" t="s">
        <v>1546</v>
      </c>
      <c r="J4992" s="320" t="s">
        <v>214</v>
      </c>
      <c r="K4992" s="178" t="s">
        <v>4871</v>
      </c>
      <c r="L4992" s="125" t="s">
        <v>110</v>
      </c>
      <c r="M4992">
        <v>736</v>
      </c>
      <c r="N4992" s="182">
        <v>142</v>
      </c>
      <c r="O4992">
        <v>3216</v>
      </c>
      <c r="P4992" s="132" t="s">
        <v>77</v>
      </c>
      <c r="Q4992" s="176">
        <v>17850</v>
      </c>
      <c r="R4992" s="176">
        <v>2856</v>
      </c>
      <c r="S4992" s="176"/>
      <c r="T4992" s="190">
        <v>1904</v>
      </c>
      <c r="U4992" s="191">
        <v>0</v>
      </c>
      <c r="V4992" s="191">
        <v>18802</v>
      </c>
      <c r="W4992">
        <v>284</v>
      </c>
      <c r="X4992" s="186" t="s">
        <v>1430</v>
      </c>
      <c r="Y4992" s="187" t="s">
        <v>55</v>
      </c>
      <c r="Z4992" s="311">
        <v>266</v>
      </c>
      <c r="AB4992" t="str">
        <f>IF(Table1[[#This Row],[TIPO2]]="costo", VLOOKUP(Table1[[#This Row],[PARTIDA PRESUPUESTAL]],'Cost Report'!G:G,1,0),"Balance")</f>
        <v>2401-021</v>
      </c>
      <c r="AD4992" s="159">
        <f>+Table1[[#This Row],[SUBTOTAL]]+Table1[[#This Row],[IVA]]-Table1[[#This Row],[RET IVA]]-Table1[[#This Row],[RET ISR]]-Table1[[#This Row],[TOTAL]]</f>
        <v>0</v>
      </c>
      <c r="AK4992" s="306" t="str">
        <f>IF(ISNUMBER(Table1[[#This Row],[FECHA DE RECIBIDO]]), Table1[[#This Row],[FECHA DE RECIBIDO]]-DATE(2023,8,30), "")</f>
        <v/>
      </c>
    </row>
    <row r="4993" spans="1:37" ht="16.05" customHeight="1">
      <c r="A4993" s="172" t="s">
        <v>4719</v>
      </c>
      <c r="B4993" s="178">
        <v>1694</v>
      </c>
      <c r="C4993" s="179" t="s">
        <v>587</v>
      </c>
      <c r="D4993">
        <v>3365</v>
      </c>
      <c r="E4993" s="125" t="s">
        <v>3950</v>
      </c>
      <c r="F4993" s="178" t="s">
        <v>1602</v>
      </c>
      <c r="G4993" s="178" t="s">
        <v>1617</v>
      </c>
      <c r="H4993">
        <v>512</v>
      </c>
      <c r="I4993" s="178" t="s">
        <v>1546</v>
      </c>
      <c r="J4993" s="320" t="s">
        <v>214</v>
      </c>
      <c r="K4993" s="178" t="s">
        <v>4871</v>
      </c>
      <c r="L4993" s="125" t="s">
        <v>110</v>
      </c>
      <c r="M4993">
        <v>736</v>
      </c>
      <c r="N4993" s="182">
        <v>142</v>
      </c>
      <c r="O4993">
        <v>3217</v>
      </c>
      <c r="P4993" s="132" t="s">
        <v>77</v>
      </c>
      <c r="Q4993" s="176">
        <v>8925</v>
      </c>
      <c r="R4993" s="176">
        <v>1428</v>
      </c>
      <c r="S4993" s="176"/>
      <c r="T4993" s="190">
        <v>952</v>
      </c>
      <c r="U4993" s="191">
        <v>0</v>
      </c>
      <c r="V4993" s="191">
        <v>9401</v>
      </c>
      <c r="W4993">
        <v>284</v>
      </c>
      <c r="X4993" s="186" t="s">
        <v>1430</v>
      </c>
      <c r="Y4993" s="187" t="s">
        <v>55</v>
      </c>
      <c r="Z4993" s="311">
        <v>266</v>
      </c>
      <c r="AB4993" t="str">
        <f>IF(Table1[[#This Row],[TIPO2]]="costo", VLOOKUP(Table1[[#This Row],[PARTIDA PRESUPUESTAL]],'Cost Report'!G:G,1,0),"Balance")</f>
        <v>2401-021</v>
      </c>
      <c r="AD4993" s="159">
        <f>+Table1[[#This Row],[SUBTOTAL]]+Table1[[#This Row],[IVA]]-Table1[[#This Row],[RET IVA]]-Table1[[#This Row],[RET ISR]]-Table1[[#This Row],[TOTAL]]</f>
        <v>0</v>
      </c>
      <c r="AK4993" s="306" t="str">
        <f>IF(ISNUMBER(Table1[[#This Row],[FECHA DE RECIBIDO]]), Table1[[#This Row],[FECHA DE RECIBIDO]]-DATE(2023,8,30), "")</f>
        <v/>
      </c>
    </row>
    <row r="4994" spans="1:37" ht="16.05" customHeight="1">
      <c r="A4994" s="172" t="s">
        <v>4720</v>
      </c>
      <c r="B4994" s="178">
        <v>1695</v>
      </c>
      <c r="C4994" s="179" t="s">
        <v>2527</v>
      </c>
      <c r="D4994">
        <v>3366</v>
      </c>
      <c r="E4994" s="125" t="s">
        <v>3953</v>
      </c>
      <c r="F4994" s="178" t="s">
        <v>1593</v>
      </c>
      <c r="G4994" s="178" t="s">
        <v>109</v>
      </c>
      <c r="H4994">
        <v>513</v>
      </c>
      <c r="I4994" s="178" t="s">
        <v>1546</v>
      </c>
      <c r="J4994" s="320" t="s">
        <v>214</v>
      </c>
      <c r="K4994" s="178" t="s">
        <v>4871</v>
      </c>
      <c r="L4994" s="125" t="s">
        <v>110</v>
      </c>
      <c r="M4994">
        <v>737</v>
      </c>
      <c r="N4994" s="182">
        <v>143</v>
      </c>
      <c r="O4994">
        <v>3218</v>
      </c>
      <c r="P4994" s="132" t="s">
        <v>77</v>
      </c>
      <c r="Q4994" s="176">
        <v>8820</v>
      </c>
      <c r="R4994" s="176">
        <v>1411.2</v>
      </c>
      <c r="S4994" s="176"/>
      <c r="T4994" s="190">
        <v>940.8</v>
      </c>
      <c r="U4994" s="191">
        <v>110.25</v>
      </c>
      <c r="V4994" s="191">
        <v>9180.1500000000015</v>
      </c>
      <c r="W4994">
        <v>285</v>
      </c>
      <c r="X4994" s="186" t="s">
        <v>1431</v>
      </c>
      <c r="Y4994" s="187" t="s">
        <v>55</v>
      </c>
      <c r="Z4994" s="311">
        <v>266</v>
      </c>
      <c r="AB4994" t="str">
        <f>IF(Table1[[#This Row],[TIPO2]]="costo", VLOOKUP(Table1[[#This Row],[PARTIDA PRESUPUESTAL]],'Cost Report'!G:G,1,0),"Balance")</f>
        <v>2405-025</v>
      </c>
      <c r="AD4994" s="159">
        <f>+Table1[[#This Row],[SUBTOTAL]]+Table1[[#This Row],[IVA]]-Table1[[#This Row],[RET IVA]]-Table1[[#This Row],[RET ISR]]-Table1[[#This Row],[TOTAL]]</f>
        <v>0</v>
      </c>
      <c r="AK4994" s="306" t="str">
        <f>IF(ISNUMBER(Table1[[#This Row],[FECHA DE RECIBIDO]]), Table1[[#This Row],[FECHA DE RECIBIDO]]-DATE(2023,8,30), "")</f>
        <v/>
      </c>
    </row>
    <row r="4995" spans="1:37" ht="16.05" customHeight="1">
      <c r="A4995" s="172" t="s">
        <v>4721</v>
      </c>
      <c r="B4995" s="178">
        <v>1696</v>
      </c>
      <c r="C4995" s="179" t="s">
        <v>2594</v>
      </c>
      <c r="D4995">
        <v>3367</v>
      </c>
      <c r="E4995" s="125" t="s">
        <v>4409</v>
      </c>
      <c r="F4995" s="178" t="s">
        <v>1593</v>
      </c>
      <c r="G4995" s="178" t="s">
        <v>109</v>
      </c>
      <c r="H4995">
        <v>766</v>
      </c>
      <c r="I4995" s="178" t="s">
        <v>1546</v>
      </c>
      <c r="J4995" s="320" t="s">
        <v>214</v>
      </c>
      <c r="K4995" s="178" t="s">
        <v>4871</v>
      </c>
      <c r="L4995" s="125" t="s">
        <v>110</v>
      </c>
      <c r="M4995">
        <v>1069</v>
      </c>
      <c r="N4995" s="182">
        <v>178</v>
      </c>
      <c r="O4995">
        <v>3219</v>
      </c>
      <c r="P4995" s="132" t="s">
        <v>77</v>
      </c>
      <c r="Q4995" s="176">
        <v>8820</v>
      </c>
      <c r="R4995" s="176">
        <v>1411.2</v>
      </c>
      <c r="S4995" s="176"/>
      <c r="T4995" s="190">
        <v>940.8</v>
      </c>
      <c r="U4995" s="191">
        <v>110.25</v>
      </c>
      <c r="V4995" s="191">
        <v>9180.1500000000015</v>
      </c>
      <c r="W4995">
        <v>365</v>
      </c>
      <c r="X4995" s="186" t="s">
        <v>1429</v>
      </c>
      <c r="Y4995" s="187" t="s">
        <v>55</v>
      </c>
      <c r="Z4995" s="311">
        <v>266</v>
      </c>
      <c r="AB4995" t="str">
        <f>IF(Table1[[#This Row],[TIPO2]]="costo", VLOOKUP(Table1[[#This Row],[PARTIDA PRESUPUESTAL]],'Cost Report'!G:G,1,0),"Balance")</f>
        <v>2707-025</v>
      </c>
      <c r="AD4995" s="159">
        <f>+Table1[[#This Row],[SUBTOTAL]]+Table1[[#This Row],[IVA]]-Table1[[#This Row],[RET IVA]]-Table1[[#This Row],[RET ISR]]-Table1[[#This Row],[TOTAL]]</f>
        <v>0</v>
      </c>
      <c r="AK4995" s="306" t="str">
        <f>IF(ISNUMBER(Table1[[#This Row],[FECHA DE RECIBIDO]]), Table1[[#This Row],[FECHA DE RECIBIDO]]-DATE(2023,8,30), "")</f>
        <v/>
      </c>
    </row>
    <row r="4996" spans="1:37" ht="16.05" customHeight="1">
      <c r="A4996" s="172" t="s">
        <v>4722</v>
      </c>
      <c r="B4996" s="178">
        <v>1697</v>
      </c>
      <c r="C4996" s="179" t="s">
        <v>2560</v>
      </c>
      <c r="D4996">
        <v>3368</v>
      </c>
      <c r="E4996" s="125" t="s">
        <v>4070</v>
      </c>
      <c r="F4996" s="178" t="s">
        <v>1589</v>
      </c>
      <c r="G4996" s="178" t="s">
        <v>129</v>
      </c>
      <c r="H4996">
        <v>538</v>
      </c>
      <c r="I4996" s="178" t="s">
        <v>1546</v>
      </c>
      <c r="J4996" s="320" t="s">
        <v>214</v>
      </c>
      <c r="K4996" s="178" t="s">
        <v>4871</v>
      </c>
      <c r="L4996" s="125" t="s">
        <v>110</v>
      </c>
      <c r="M4996">
        <v>762</v>
      </c>
      <c r="N4996" s="182">
        <v>213</v>
      </c>
      <c r="O4996">
        <v>3220</v>
      </c>
      <c r="P4996" s="132" t="s">
        <v>77</v>
      </c>
      <c r="Q4996" s="176">
        <v>16000</v>
      </c>
      <c r="R4996" s="176">
        <v>2560</v>
      </c>
      <c r="S4996" s="176"/>
      <c r="T4996" s="190">
        <v>1706.68</v>
      </c>
      <c r="U4996" s="191">
        <v>1600</v>
      </c>
      <c r="V4996" s="191">
        <v>15253.32</v>
      </c>
      <c r="W4996">
        <v>310</v>
      </c>
      <c r="X4996" s="186" t="s">
        <v>1430</v>
      </c>
      <c r="Y4996" s="187" t="s">
        <v>55</v>
      </c>
      <c r="Z4996" s="311">
        <v>266</v>
      </c>
      <c r="AB4996" t="str">
        <f>IF(Table1[[#This Row],[TIPO2]]="costo", VLOOKUP(Table1[[#This Row],[PARTIDA PRESUPUESTAL]],'Cost Report'!G:G,1,0),"Balance")</f>
        <v>2502-008</v>
      </c>
      <c r="AD4996" s="159">
        <f>+Table1[[#This Row],[SUBTOTAL]]+Table1[[#This Row],[IVA]]-Table1[[#This Row],[RET IVA]]-Table1[[#This Row],[RET ISR]]-Table1[[#This Row],[TOTAL]]</f>
        <v>0</v>
      </c>
      <c r="AK4996" s="306" t="str">
        <f>IF(ISNUMBER(Table1[[#This Row],[FECHA DE RECIBIDO]]), Table1[[#This Row],[FECHA DE RECIBIDO]]-DATE(2023,8,30), "")</f>
        <v/>
      </c>
    </row>
    <row r="4997" spans="1:37" ht="16.05" customHeight="1">
      <c r="A4997" s="172" t="s">
        <v>4723</v>
      </c>
      <c r="B4997" s="178">
        <v>1698</v>
      </c>
      <c r="C4997" s="179" t="s">
        <v>2527</v>
      </c>
      <c r="D4997">
        <v>3369</v>
      </c>
      <c r="E4997" s="125" t="s">
        <v>4311</v>
      </c>
      <c r="F4997" s="178" t="s">
        <v>1593</v>
      </c>
      <c r="G4997" s="178" t="s">
        <v>109</v>
      </c>
      <c r="H4997">
        <v>857</v>
      </c>
      <c r="I4997" s="178" t="s">
        <v>1546</v>
      </c>
      <c r="J4997" s="320" t="s">
        <v>214</v>
      </c>
      <c r="K4997" s="178" t="s">
        <v>4871</v>
      </c>
      <c r="L4997" s="125" t="s">
        <v>110</v>
      </c>
      <c r="M4997">
        <v>1191</v>
      </c>
      <c r="N4997" s="182">
        <v>214</v>
      </c>
      <c r="O4997">
        <v>3221</v>
      </c>
      <c r="P4997" s="132" t="s">
        <v>77</v>
      </c>
      <c r="Q4997" s="176">
        <v>2940</v>
      </c>
      <c r="R4997" s="176">
        <v>470.4</v>
      </c>
      <c r="S4997" s="176"/>
      <c r="T4997" s="190">
        <v>313.60000000000002</v>
      </c>
      <c r="U4997" s="191">
        <v>36.75</v>
      </c>
      <c r="V4997" s="191">
        <v>3060.05</v>
      </c>
      <c r="W4997">
        <v>422</v>
      </c>
      <c r="X4997" s="186" t="s">
        <v>1429</v>
      </c>
      <c r="Y4997" s="187" t="s">
        <v>55</v>
      </c>
      <c r="Z4997" s="311">
        <v>266</v>
      </c>
      <c r="AB4997" t="str">
        <f>IF(Table1[[#This Row],[TIPO2]]="costo", VLOOKUP(Table1[[#This Row],[PARTIDA PRESUPUESTAL]],'Cost Report'!G:G,1,0),"Balance")</f>
        <v>2405-025</v>
      </c>
      <c r="AD4997" s="159">
        <f>+Table1[[#This Row],[SUBTOTAL]]+Table1[[#This Row],[IVA]]-Table1[[#This Row],[RET IVA]]-Table1[[#This Row],[RET ISR]]-Table1[[#This Row],[TOTAL]]</f>
        <v>0</v>
      </c>
      <c r="AK4997" s="306" t="str">
        <f>IF(ISNUMBER(Table1[[#This Row],[FECHA DE RECIBIDO]]), Table1[[#This Row],[FECHA DE RECIBIDO]]-DATE(2023,8,30), "")</f>
        <v/>
      </c>
    </row>
    <row r="4998" spans="1:37" ht="16.05" customHeight="1">
      <c r="A4998" s="172" t="s">
        <v>4724</v>
      </c>
      <c r="B4998" s="178">
        <v>1699</v>
      </c>
      <c r="C4998" s="179" t="s">
        <v>2527</v>
      </c>
      <c r="D4998">
        <v>3370</v>
      </c>
      <c r="E4998" s="125" t="s">
        <v>4311</v>
      </c>
      <c r="F4998" s="178" t="s">
        <v>1593</v>
      </c>
      <c r="G4998" s="178" t="s">
        <v>109</v>
      </c>
      <c r="H4998">
        <v>857</v>
      </c>
      <c r="I4998" s="178" t="s">
        <v>1546</v>
      </c>
      <c r="J4998" s="320" t="s">
        <v>214</v>
      </c>
      <c r="K4998" s="178" t="s">
        <v>4871</v>
      </c>
      <c r="L4998" s="125" t="s">
        <v>110</v>
      </c>
      <c r="M4998">
        <v>1191</v>
      </c>
      <c r="N4998" s="182">
        <v>214</v>
      </c>
      <c r="O4998">
        <v>3222</v>
      </c>
      <c r="P4998" s="132" t="s">
        <v>77</v>
      </c>
      <c r="Q4998" s="176">
        <v>10290</v>
      </c>
      <c r="R4998" s="176">
        <v>1646.4</v>
      </c>
      <c r="S4998" s="176"/>
      <c r="T4998" s="190">
        <v>1097.5999999999999</v>
      </c>
      <c r="U4998" s="191">
        <v>128.63</v>
      </c>
      <c r="V4998" s="191">
        <v>10710.17</v>
      </c>
      <c r="W4998">
        <v>422</v>
      </c>
      <c r="X4998" s="186" t="s">
        <v>1429</v>
      </c>
      <c r="Y4998" s="187" t="s">
        <v>55</v>
      </c>
      <c r="Z4998" s="311">
        <v>266</v>
      </c>
      <c r="AB4998" t="str">
        <f>IF(Table1[[#This Row],[TIPO2]]="costo", VLOOKUP(Table1[[#This Row],[PARTIDA PRESUPUESTAL]],'Cost Report'!G:G,1,0),"Balance")</f>
        <v>2405-025</v>
      </c>
      <c r="AD4998" s="159">
        <f>+Table1[[#This Row],[SUBTOTAL]]+Table1[[#This Row],[IVA]]-Table1[[#This Row],[RET IVA]]-Table1[[#This Row],[RET ISR]]-Table1[[#This Row],[TOTAL]]</f>
        <v>0</v>
      </c>
      <c r="AK4998" s="306" t="str">
        <f>IF(ISNUMBER(Table1[[#This Row],[FECHA DE RECIBIDO]]), Table1[[#This Row],[FECHA DE RECIBIDO]]-DATE(2023,8,30), "")</f>
        <v/>
      </c>
    </row>
    <row r="4999" spans="1:37" ht="16.05" customHeight="1">
      <c r="A4999" s="172" t="s">
        <v>4725</v>
      </c>
      <c r="B4999" s="178">
        <v>1700</v>
      </c>
      <c r="C4999" s="179" t="s">
        <v>2503</v>
      </c>
      <c r="D4999">
        <v>3371</v>
      </c>
      <c r="E4999" s="125" t="s">
        <v>3354</v>
      </c>
      <c r="F4999" s="178" t="s">
        <v>1593</v>
      </c>
      <c r="G4999" s="178" t="s">
        <v>109</v>
      </c>
      <c r="H4999">
        <v>858</v>
      </c>
      <c r="I4999" s="178" t="s">
        <v>1546</v>
      </c>
      <c r="J4999" s="320" t="s">
        <v>214</v>
      </c>
      <c r="K4999" s="178" t="s">
        <v>4871</v>
      </c>
      <c r="L4999" s="125" t="s">
        <v>110</v>
      </c>
      <c r="M4999">
        <v>1192</v>
      </c>
      <c r="N4999" s="182">
        <v>215</v>
      </c>
      <c r="O4999">
        <v>3223</v>
      </c>
      <c r="P4999" s="132" t="s">
        <v>77</v>
      </c>
      <c r="Q4999" s="176">
        <v>7350</v>
      </c>
      <c r="R4999" s="176">
        <v>1176</v>
      </c>
      <c r="S4999" s="176"/>
      <c r="T4999" s="190">
        <v>784</v>
      </c>
      <c r="U4999" s="191">
        <v>91.88</v>
      </c>
      <c r="V4999" s="191">
        <v>7650.12</v>
      </c>
      <c r="W4999">
        <v>423</v>
      </c>
      <c r="X4999" s="186" t="s">
        <v>1429</v>
      </c>
      <c r="Y4999" s="187" t="s">
        <v>55</v>
      </c>
      <c r="Z4999" s="311">
        <v>266</v>
      </c>
      <c r="AB4999" t="str">
        <f>IF(Table1[[#This Row],[TIPO2]]="costo", VLOOKUP(Table1[[#This Row],[PARTIDA PRESUPUESTAL]],'Cost Report'!G:G,1,0),"Balance")</f>
        <v>2401-032</v>
      </c>
      <c r="AD4999" s="159">
        <f>+Table1[[#This Row],[SUBTOTAL]]+Table1[[#This Row],[IVA]]-Table1[[#This Row],[RET IVA]]-Table1[[#This Row],[RET ISR]]-Table1[[#This Row],[TOTAL]]</f>
        <v>0</v>
      </c>
      <c r="AK4999" s="306" t="str">
        <f>IF(ISNUMBER(Table1[[#This Row],[FECHA DE RECIBIDO]]), Table1[[#This Row],[FECHA DE RECIBIDO]]-DATE(2023,8,30), "")</f>
        <v/>
      </c>
    </row>
    <row r="5000" spans="1:37" ht="16.05" customHeight="1">
      <c r="A5000" s="172" t="s">
        <v>4726</v>
      </c>
      <c r="B5000" s="178">
        <v>1701</v>
      </c>
      <c r="C5000" s="179" t="s">
        <v>2503</v>
      </c>
      <c r="D5000">
        <v>3372</v>
      </c>
      <c r="E5000" s="125" t="s">
        <v>3354</v>
      </c>
      <c r="F5000" s="178" t="s">
        <v>1593</v>
      </c>
      <c r="G5000" s="178" t="s">
        <v>109</v>
      </c>
      <c r="H5000">
        <v>858</v>
      </c>
      <c r="I5000" s="178" t="s">
        <v>1546</v>
      </c>
      <c r="J5000" s="320" t="s">
        <v>214</v>
      </c>
      <c r="K5000" s="178" t="s">
        <v>4871</v>
      </c>
      <c r="L5000" s="125" t="s">
        <v>110</v>
      </c>
      <c r="M5000">
        <v>1192</v>
      </c>
      <c r="N5000" s="182">
        <v>215</v>
      </c>
      <c r="O5000">
        <v>3224</v>
      </c>
      <c r="P5000" s="132" t="s">
        <v>77</v>
      </c>
      <c r="Q5000" s="176">
        <v>7350</v>
      </c>
      <c r="R5000" s="176">
        <v>1176</v>
      </c>
      <c r="S5000" s="176"/>
      <c r="T5000" s="190">
        <v>784</v>
      </c>
      <c r="U5000" s="191">
        <v>91.88</v>
      </c>
      <c r="V5000" s="191">
        <v>7650.12</v>
      </c>
      <c r="W5000">
        <v>423</v>
      </c>
      <c r="X5000" s="186" t="s">
        <v>1429</v>
      </c>
      <c r="Y5000" s="187" t="s">
        <v>55</v>
      </c>
      <c r="Z5000" s="311">
        <v>266</v>
      </c>
      <c r="AB5000" t="str">
        <f>IF(Table1[[#This Row],[TIPO2]]="costo", VLOOKUP(Table1[[#This Row],[PARTIDA PRESUPUESTAL]],'Cost Report'!G:G,1,0),"Balance")</f>
        <v>2401-032</v>
      </c>
      <c r="AD5000" s="159">
        <f>+Table1[[#This Row],[SUBTOTAL]]+Table1[[#This Row],[IVA]]-Table1[[#This Row],[RET IVA]]-Table1[[#This Row],[RET ISR]]-Table1[[#This Row],[TOTAL]]</f>
        <v>0</v>
      </c>
      <c r="AK5000" s="306" t="str">
        <f>IF(ISNUMBER(Table1[[#This Row],[FECHA DE RECIBIDO]]), Table1[[#This Row],[FECHA DE RECIBIDO]]-DATE(2023,8,30), "")</f>
        <v/>
      </c>
    </row>
    <row r="5001" spans="1:37" ht="16.05" customHeight="1">
      <c r="A5001" s="172" t="s">
        <v>4727</v>
      </c>
      <c r="B5001" s="178">
        <v>1702</v>
      </c>
      <c r="C5001" s="179" t="s">
        <v>2503</v>
      </c>
      <c r="D5001">
        <v>3373</v>
      </c>
      <c r="E5001" s="125" t="s">
        <v>3354</v>
      </c>
      <c r="F5001" s="178" t="s">
        <v>1593</v>
      </c>
      <c r="G5001" s="178" t="s">
        <v>109</v>
      </c>
      <c r="H5001">
        <v>858</v>
      </c>
      <c r="I5001" s="178" t="s">
        <v>1546</v>
      </c>
      <c r="J5001" s="320" t="s">
        <v>214</v>
      </c>
      <c r="K5001" s="178" t="s">
        <v>4871</v>
      </c>
      <c r="L5001" s="125" t="s">
        <v>110</v>
      </c>
      <c r="M5001">
        <v>1192</v>
      </c>
      <c r="N5001" s="182">
        <v>215</v>
      </c>
      <c r="O5001">
        <v>3225</v>
      </c>
      <c r="P5001" s="132" t="s">
        <v>77</v>
      </c>
      <c r="Q5001" s="176">
        <v>7350</v>
      </c>
      <c r="R5001" s="176">
        <v>1176</v>
      </c>
      <c r="S5001" s="176"/>
      <c r="T5001" s="190">
        <v>784</v>
      </c>
      <c r="U5001" s="191">
        <v>91.88</v>
      </c>
      <c r="V5001" s="191">
        <v>7650.12</v>
      </c>
      <c r="W5001">
        <v>423</v>
      </c>
      <c r="X5001" s="186" t="s">
        <v>1429</v>
      </c>
      <c r="Y5001" s="187" t="s">
        <v>55</v>
      </c>
      <c r="Z5001" s="311">
        <v>266</v>
      </c>
      <c r="AB5001" t="str">
        <f>IF(Table1[[#This Row],[TIPO2]]="costo", VLOOKUP(Table1[[#This Row],[PARTIDA PRESUPUESTAL]],'Cost Report'!G:G,1,0),"Balance")</f>
        <v>2401-032</v>
      </c>
      <c r="AD5001" s="159">
        <f>+Table1[[#This Row],[SUBTOTAL]]+Table1[[#This Row],[IVA]]-Table1[[#This Row],[RET IVA]]-Table1[[#This Row],[RET ISR]]-Table1[[#This Row],[TOTAL]]</f>
        <v>0</v>
      </c>
      <c r="AK5001" s="306" t="str">
        <f>IF(ISNUMBER(Table1[[#This Row],[FECHA DE RECIBIDO]]), Table1[[#This Row],[FECHA DE RECIBIDO]]-DATE(2023,8,30), "")</f>
        <v/>
      </c>
    </row>
    <row r="5002" spans="1:37" ht="16.05" customHeight="1">
      <c r="A5002" s="172" t="s">
        <v>4728</v>
      </c>
      <c r="B5002" s="178">
        <v>1703</v>
      </c>
      <c r="C5002" s="179" t="s">
        <v>1817</v>
      </c>
      <c r="D5002">
        <v>3374</v>
      </c>
      <c r="E5002" s="125" t="s">
        <v>1577</v>
      </c>
      <c r="F5002" s="178" t="s">
        <v>1589</v>
      </c>
      <c r="G5002" s="178" t="s">
        <v>129</v>
      </c>
      <c r="H5002">
        <v>29</v>
      </c>
      <c r="I5002" s="178" t="s">
        <v>1546</v>
      </c>
      <c r="J5002" s="320" t="s">
        <v>214</v>
      </c>
      <c r="K5002" s="178" t="s">
        <v>4871</v>
      </c>
      <c r="L5002" s="125" t="s">
        <v>110</v>
      </c>
      <c r="M5002">
        <v>38</v>
      </c>
      <c r="N5002" s="182">
        <v>16</v>
      </c>
      <c r="O5002">
        <v>3226</v>
      </c>
      <c r="P5002" s="132" t="s">
        <v>77</v>
      </c>
      <c r="Q5002" s="176">
        <v>14000</v>
      </c>
      <c r="R5002" s="176">
        <v>2240</v>
      </c>
      <c r="S5002" s="176"/>
      <c r="T5002" s="190">
        <v>1493.34</v>
      </c>
      <c r="U5002" s="191">
        <v>1400</v>
      </c>
      <c r="V5002" s="191">
        <v>13346.66</v>
      </c>
      <c r="W5002">
        <v>31</v>
      </c>
      <c r="X5002" s="186" t="s">
        <v>1429</v>
      </c>
      <c r="Y5002" s="187" t="s">
        <v>55</v>
      </c>
      <c r="Z5002" s="311">
        <v>266</v>
      </c>
      <c r="AB5002" t="str">
        <f>IF(Table1[[#This Row],[TIPO2]]="costo", VLOOKUP(Table1[[#This Row],[PARTIDA PRESUPUESTAL]],'Cost Report'!G:G,1,0),"Balance")</f>
        <v>2705-004</v>
      </c>
      <c r="AD5002" s="159">
        <f>+Table1[[#This Row],[SUBTOTAL]]+Table1[[#This Row],[IVA]]-Table1[[#This Row],[RET IVA]]-Table1[[#This Row],[RET ISR]]-Table1[[#This Row],[TOTAL]]</f>
        <v>0</v>
      </c>
      <c r="AK5002" s="306" t="str">
        <f>IF(ISNUMBER(Table1[[#This Row],[FECHA DE RECIBIDO]]), Table1[[#This Row],[FECHA DE RECIBIDO]]-DATE(2023,8,30), "")</f>
        <v/>
      </c>
    </row>
    <row r="5003" spans="1:37" ht="16.05" customHeight="1">
      <c r="A5003" s="172" t="s">
        <v>4729</v>
      </c>
      <c r="B5003" s="178">
        <v>1704</v>
      </c>
      <c r="C5003" s="179" t="s">
        <v>658</v>
      </c>
      <c r="D5003">
        <v>3375</v>
      </c>
      <c r="E5003" s="125" t="s">
        <v>1894</v>
      </c>
      <c r="F5003" s="178" t="s">
        <v>1593</v>
      </c>
      <c r="G5003" s="178" t="s">
        <v>109</v>
      </c>
      <c r="H5003">
        <v>67</v>
      </c>
      <c r="I5003" s="178" t="s">
        <v>1546</v>
      </c>
      <c r="J5003" s="320" t="s">
        <v>214</v>
      </c>
      <c r="K5003" s="178" t="s">
        <v>4871</v>
      </c>
      <c r="L5003" s="125" t="s">
        <v>110</v>
      </c>
      <c r="M5003">
        <v>90</v>
      </c>
      <c r="N5003" s="182">
        <v>27</v>
      </c>
      <c r="O5003">
        <v>3227</v>
      </c>
      <c r="P5003" s="132" t="s">
        <v>77</v>
      </c>
      <c r="Q5003" s="176">
        <v>10000</v>
      </c>
      <c r="R5003" s="176">
        <v>1600</v>
      </c>
      <c r="S5003" s="176"/>
      <c r="T5003" s="190">
        <v>1066.67</v>
      </c>
      <c r="U5003" s="191">
        <v>125</v>
      </c>
      <c r="V5003" s="191">
        <v>10408.33</v>
      </c>
      <c r="W5003">
        <v>49</v>
      </c>
      <c r="X5003" s="186" t="s">
        <v>1430</v>
      </c>
      <c r="Y5003" s="187" t="s">
        <v>55</v>
      </c>
      <c r="Z5003" s="311">
        <v>266</v>
      </c>
      <c r="AB5003" t="str">
        <f>IF(Table1[[#This Row],[TIPO2]]="costo", VLOOKUP(Table1[[#This Row],[PARTIDA PRESUPUESTAL]],'Cost Report'!G:G,1,0),"Balance")</f>
        <v>2703-004</v>
      </c>
      <c r="AD5003" s="159">
        <f>+Table1[[#This Row],[SUBTOTAL]]+Table1[[#This Row],[IVA]]-Table1[[#This Row],[RET IVA]]-Table1[[#This Row],[RET ISR]]-Table1[[#This Row],[TOTAL]]</f>
        <v>0</v>
      </c>
      <c r="AK5003" s="306" t="str">
        <f>IF(ISNUMBER(Table1[[#This Row],[FECHA DE RECIBIDO]]), Table1[[#This Row],[FECHA DE RECIBIDO]]-DATE(2023,8,30), "")</f>
        <v/>
      </c>
    </row>
    <row r="5004" spans="1:37" ht="16.05" customHeight="1">
      <c r="A5004" s="172" t="s">
        <v>4730</v>
      </c>
      <c r="B5004" s="178">
        <v>1705</v>
      </c>
      <c r="C5004" s="179" t="s">
        <v>2599</v>
      </c>
      <c r="D5004">
        <v>3376</v>
      </c>
      <c r="E5004" s="125" t="s">
        <v>1577</v>
      </c>
      <c r="F5004" s="178" t="s">
        <v>1589</v>
      </c>
      <c r="G5004" s="178" t="s">
        <v>129</v>
      </c>
      <c r="H5004">
        <v>68</v>
      </c>
      <c r="I5004" s="178" t="s">
        <v>1546</v>
      </c>
      <c r="J5004" s="320" t="s">
        <v>214</v>
      </c>
      <c r="K5004" s="178" t="s">
        <v>4871</v>
      </c>
      <c r="L5004" s="125" t="s">
        <v>110</v>
      </c>
      <c r="M5004">
        <v>91</v>
      </c>
      <c r="N5004" s="182">
        <v>28</v>
      </c>
      <c r="O5004">
        <v>3228</v>
      </c>
      <c r="P5004" s="132" t="s">
        <v>77</v>
      </c>
      <c r="Q5004" s="176">
        <v>9000</v>
      </c>
      <c r="R5004" s="176">
        <v>1440</v>
      </c>
      <c r="S5004" s="176"/>
      <c r="T5004" s="190">
        <v>960</v>
      </c>
      <c r="U5004" s="191">
        <v>900</v>
      </c>
      <c r="V5004" s="191">
        <v>8580</v>
      </c>
      <c r="W5004">
        <v>50</v>
      </c>
      <c r="X5004" s="186" t="s">
        <v>1434</v>
      </c>
      <c r="Y5004" s="187" t="s">
        <v>55</v>
      </c>
      <c r="Z5004" s="311">
        <v>266</v>
      </c>
      <c r="AB5004" t="str">
        <f>IF(Table1[[#This Row],[TIPO2]]="costo", VLOOKUP(Table1[[#This Row],[PARTIDA PRESUPUESTAL]],'Cost Report'!G:G,1,0),"Balance")</f>
        <v>2795-012</v>
      </c>
      <c r="AD5004" s="159">
        <f>+Table1[[#This Row],[SUBTOTAL]]+Table1[[#This Row],[IVA]]-Table1[[#This Row],[RET IVA]]-Table1[[#This Row],[RET ISR]]-Table1[[#This Row],[TOTAL]]</f>
        <v>0</v>
      </c>
      <c r="AK5004" s="306" t="str">
        <f>IF(ISNUMBER(Table1[[#This Row],[FECHA DE RECIBIDO]]), Table1[[#This Row],[FECHA DE RECIBIDO]]-DATE(2023,8,30), "")</f>
        <v/>
      </c>
    </row>
    <row r="5005" spans="1:37" ht="16.05" customHeight="1">
      <c r="A5005" s="172" t="s">
        <v>4731</v>
      </c>
      <c r="B5005" s="178">
        <v>1706</v>
      </c>
      <c r="C5005" s="179" t="s">
        <v>662</v>
      </c>
      <c r="D5005">
        <v>3377</v>
      </c>
      <c r="E5005" s="125" t="s">
        <v>3214</v>
      </c>
      <c r="F5005" s="178" t="s">
        <v>1589</v>
      </c>
      <c r="G5005" s="178" t="s">
        <v>129</v>
      </c>
      <c r="H5005">
        <v>204</v>
      </c>
      <c r="I5005" s="178" t="s">
        <v>1546</v>
      </c>
      <c r="J5005" s="320" t="s">
        <v>214</v>
      </c>
      <c r="K5005" s="178" t="s">
        <v>4871</v>
      </c>
      <c r="L5005" s="125" t="s">
        <v>110</v>
      </c>
      <c r="M5005">
        <v>269</v>
      </c>
      <c r="N5005" s="182">
        <v>69</v>
      </c>
      <c r="O5005">
        <v>3229</v>
      </c>
      <c r="P5005" s="132" t="s">
        <v>77</v>
      </c>
      <c r="Q5005" s="176">
        <v>7500</v>
      </c>
      <c r="R5005" s="176">
        <v>1200</v>
      </c>
      <c r="S5005" s="176"/>
      <c r="T5005" s="190">
        <v>800</v>
      </c>
      <c r="U5005" s="191">
        <v>750</v>
      </c>
      <c r="V5005" s="191">
        <v>7150</v>
      </c>
      <c r="W5005">
        <v>125</v>
      </c>
      <c r="X5005" s="186" t="s">
        <v>1434</v>
      </c>
      <c r="Y5005" s="187" t="s">
        <v>55</v>
      </c>
      <c r="Z5005" s="311">
        <v>266</v>
      </c>
      <c r="AB5005" t="str">
        <f>IF(Table1[[#This Row],[TIPO2]]="costo", VLOOKUP(Table1[[#This Row],[PARTIDA PRESUPUESTAL]],'Cost Report'!G:G,1,0),"Balance")</f>
        <v>2707-004</v>
      </c>
      <c r="AD5005" s="159">
        <f>+Table1[[#This Row],[SUBTOTAL]]+Table1[[#This Row],[IVA]]-Table1[[#This Row],[RET IVA]]-Table1[[#This Row],[RET ISR]]-Table1[[#This Row],[TOTAL]]</f>
        <v>0</v>
      </c>
      <c r="AK5005" s="306" t="str">
        <f>IF(ISNUMBER(Table1[[#This Row],[FECHA DE RECIBIDO]]), Table1[[#This Row],[FECHA DE RECIBIDO]]-DATE(2023,8,30), "")</f>
        <v/>
      </c>
    </row>
    <row r="5006" spans="1:37" ht="16.05" customHeight="1">
      <c r="A5006" s="172" t="s">
        <v>4732</v>
      </c>
      <c r="B5006" s="178">
        <v>1707</v>
      </c>
      <c r="C5006" s="179" t="s">
        <v>1526</v>
      </c>
      <c r="D5006">
        <v>3378</v>
      </c>
      <c r="E5006" s="125" t="s">
        <v>2012</v>
      </c>
      <c r="F5006" s="178" t="s">
        <v>1589</v>
      </c>
      <c r="G5006" s="178" t="s">
        <v>129</v>
      </c>
      <c r="H5006">
        <v>205</v>
      </c>
      <c r="I5006" s="178" t="s">
        <v>1546</v>
      </c>
      <c r="J5006" s="320" t="s">
        <v>214</v>
      </c>
      <c r="K5006" s="178" t="s">
        <v>4871</v>
      </c>
      <c r="L5006" s="125" t="s">
        <v>110</v>
      </c>
      <c r="M5006">
        <v>270</v>
      </c>
      <c r="N5006" s="182">
        <v>70</v>
      </c>
      <c r="O5006">
        <v>3230</v>
      </c>
      <c r="P5006" s="132" t="s">
        <v>77</v>
      </c>
      <c r="Q5006" s="176">
        <v>8000</v>
      </c>
      <c r="R5006" s="176">
        <v>1280</v>
      </c>
      <c r="S5006" s="176"/>
      <c r="T5006" s="190">
        <v>853.34</v>
      </c>
      <c r="U5006" s="191">
        <v>800</v>
      </c>
      <c r="V5006" s="191">
        <v>7626.66</v>
      </c>
      <c r="W5006">
        <v>126</v>
      </c>
      <c r="X5006" s="186" t="s">
        <v>1434</v>
      </c>
      <c r="Y5006" s="187" t="s">
        <v>55</v>
      </c>
      <c r="Z5006" s="311">
        <v>266</v>
      </c>
      <c r="AB5006" t="str">
        <f>IF(Table1[[#This Row],[TIPO2]]="costo", VLOOKUP(Table1[[#This Row],[PARTIDA PRESUPUESTAL]],'Cost Report'!G:G,1,0),"Balance")</f>
        <v>2706-004</v>
      </c>
      <c r="AD5006" s="159">
        <f>+Table1[[#This Row],[SUBTOTAL]]+Table1[[#This Row],[IVA]]-Table1[[#This Row],[RET IVA]]-Table1[[#This Row],[RET ISR]]-Table1[[#This Row],[TOTAL]]</f>
        <v>0</v>
      </c>
      <c r="AK5006" s="306" t="str">
        <f>IF(ISNUMBER(Table1[[#This Row],[FECHA DE RECIBIDO]]), Table1[[#This Row],[FECHA DE RECIBIDO]]-DATE(2023,8,30), "")</f>
        <v/>
      </c>
    </row>
    <row r="5007" spans="1:37" ht="16.05" customHeight="1">
      <c r="A5007" s="172" t="s">
        <v>4733</v>
      </c>
      <c r="B5007" s="178">
        <v>1708</v>
      </c>
      <c r="C5007" s="179" t="s">
        <v>2587</v>
      </c>
      <c r="D5007">
        <v>3379</v>
      </c>
      <c r="E5007" s="125" t="s">
        <v>3966</v>
      </c>
      <c r="F5007" s="178" t="s">
        <v>1593</v>
      </c>
      <c r="G5007" s="178" t="s">
        <v>109</v>
      </c>
      <c r="H5007">
        <v>516</v>
      </c>
      <c r="I5007" s="178" t="s">
        <v>1546</v>
      </c>
      <c r="J5007" s="320" t="s">
        <v>214</v>
      </c>
      <c r="K5007" s="178" t="s">
        <v>4871</v>
      </c>
      <c r="L5007" s="125" t="s">
        <v>110</v>
      </c>
      <c r="M5007">
        <v>740</v>
      </c>
      <c r="N5007" s="182">
        <v>146</v>
      </c>
      <c r="O5007">
        <v>3231</v>
      </c>
      <c r="P5007" s="132" t="s">
        <v>77</v>
      </c>
      <c r="Q5007" s="176">
        <v>1500</v>
      </c>
      <c r="R5007" s="176">
        <v>240</v>
      </c>
      <c r="S5007" s="176"/>
      <c r="T5007" s="190">
        <v>160</v>
      </c>
      <c r="U5007" s="191">
        <v>18.75</v>
      </c>
      <c r="V5007" s="191">
        <v>1561.25</v>
      </c>
      <c r="W5007">
        <v>288</v>
      </c>
      <c r="X5007" s="186" t="s">
        <v>1429</v>
      </c>
      <c r="Y5007" s="187" t="s">
        <v>55</v>
      </c>
      <c r="Z5007" s="311">
        <v>266</v>
      </c>
      <c r="AB5007" t="str">
        <f>IF(Table1[[#This Row],[TIPO2]]="costo", VLOOKUP(Table1[[#This Row],[PARTIDA PRESUPUESTAL]],'Cost Report'!G:G,1,0),"Balance")</f>
        <v>2706-010</v>
      </c>
      <c r="AD5007" s="159">
        <f>+Table1[[#This Row],[SUBTOTAL]]+Table1[[#This Row],[IVA]]-Table1[[#This Row],[RET IVA]]-Table1[[#This Row],[RET ISR]]-Table1[[#This Row],[TOTAL]]</f>
        <v>0</v>
      </c>
      <c r="AK5007" s="306" t="str">
        <f>IF(ISNUMBER(Table1[[#This Row],[FECHA DE RECIBIDO]]), Table1[[#This Row],[FECHA DE RECIBIDO]]-DATE(2023,8,30), "")</f>
        <v/>
      </c>
    </row>
    <row r="5008" spans="1:37" ht="16.05" customHeight="1">
      <c r="A5008" s="172" t="s">
        <v>4734</v>
      </c>
      <c r="B5008" s="178">
        <v>1709</v>
      </c>
      <c r="C5008" s="179" t="s">
        <v>2594</v>
      </c>
      <c r="D5008">
        <v>3380</v>
      </c>
      <c r="E5008" s="125" t="s">
        <v>4421</v>
      </c>
      <c r="F5008" s="178" t="s">
        <v>1593</v>
      </c>
      <c r="G5008" s="178" t="s">
        <v>109</v>
      </c>
      <c r="H5008">
        <v>767</v>
      </c>
      <c r="I5008" s="178" t="s">
        <v>1546</v>
      </c>
      <c r="J5008" s="320" t="s">
        <v>214</v>
      </c>
      <c r="K5008" s="178" t="s">
        <v>4871</v>
      </c>
      <c r="L5008" s="125" t="s">
        <v>110</v>
      </c>
      <c r="M5008">
        <v>1070</v>
      </c>
      <c r="N5008" s="182">
        <v>179</v>
      </c>
      <c r="O5008">
        <v>3232</v>
      </c>
      <c r="P5008" s="132" t="s">
        <v>77</v>
      </c>
      <c r="Q5008" s="176">
        <v>1500</v>
      </c>
      <c r="R5008" s="176">
        <v>240</v>
      </c>
      <c r="S5008" s="176"/>
      <c r="T5008" s="190">
        <v>160</v>
      </c>
      <c r="U5008" s="191">
        <v>18.75</v>
      </c>
      <c r="V5008" s="191">
        <v>1561.25</v>
      </c>
      <c r="W5008">
        <v>366</v>
      </c>
      <c r="X5008" s="186" t="s">
        <v>1434</v>
      </c>
      <c r="Y5008" s="187" t="s">
        <v>55</v>
      </c>
      <c r="Z5008" s="311">
        <v>266</v>
      </c>
      <c r="AB5008" t="str">
        <f>IF(Table1[[#This Row],[TIPO2]]="costo", VLOOKUP(Table1[[#This Row],[PARTIDA PRESUPUESTAL]],'Cost Report'!G:G,1,0),"Balance")</f>
        <v>2707-025</v>
      </c>
      <c r="AD5008" s="159">
        <f>+Table1[[#This Row],[SUBTOTAL]]+Table1[[#This Row],[IVA]]-Table1[[#This Row],[RET IVA]]-Table1[[#This Row],[RET ISR]]-Table1[[#This Row],[TOTAL]]</f>
        <v>0</v>
      </c>
      <c r="AK5008" s="306" t="str">
        <f>IF(ISNUMBER(Table1[[#This Row],[FECHA DE RECIBIDO]]), Table1[[#This Row],[FECHA DE RECIBIDO]]-DATE(2023,8,30), "")</f>
        <v/>
      </c>
    </row>
    <row r="5009" spans="1:37" ht="16.05" customHeight="1">
      <c r="A5009" s="172" t="s">
        <v>4735</v>
      </c>
      <c r="B5009" s="178">
        <v>1710</v>
      </c>
      <c r="C5009" s="179" t="s">
        <v>2594</v>
      </c>
      <c r="D5009">
        <v>3381</v>
      </c>
      <c r="E5009" s="125" t="s">
        <v>4423</v>
      </c>
      <c r="F5009" s="178" t="s">
        <v>1593</v>
      </c>
      <c r="G5009" s="178" t="s">
        <v>109</v>
      </c>
      <c r="H5009">
        <v>768</v>
      </c>
      <c r="I5009" s="178" t="s">
        <v>1546</v>
      </c>
      <c r="J5009" s="320" t="s">
        <v>214</v>
      </c>
      <c r="K5009" s="178" t="s">
        <v>4871</v>
      </c>
      <c r="L5009" s="125" t="s">
        <v>110</v>
      </c>
      <c r="M5009">
        <v>1071</v>
      </c>
      <c r="N5009" s="182">
        <v>180</v>
      </c>
      <c r="O5009">
        <v>3233</v>
      </c>
      <c r="P5009" s="132" t="s">
        <v>77</v>
      </c>
      <c r="Q5009" s="176">
        <v>6000</v>
      </c>
      <c r="R5009" s="176">
        <v>960</v>
      </c>
      <c r="S5009" s="176"/>
      <c r="T5009" s="190">
        <v>640</v>
      </c>
      <c r="U5009" s="191">
        <v>75</v>
      </c>
      <c r="V5009" s="191">
        <v>6245</v>
      </c>
      <c r="W5009">
        <v>367</v>
      </c>
      <c r="X5009" s="186" t="s">
        <v>1431</v>
      </c>
      <c r="Y5009" s="187" t="s">
        <v>55</v>
      </c>
      <c r="Z5009" s="311">
        <v>266</v>
      </c>
      <c r="AB5009" t="str">
        <f>IF(Table1[[#This Row],[TIPO2]]="costo", VLOOKUP(Table1[[#This Row],[PARTIDA PRESUPUESTAL]],'Cost Report'!G:G,1,0),"Balance")</f>
        <v>2707-025</v>
      </c>
      <c r="AD5009" s="159">
        <f>+Table1[[#This Row],[SUBTOTAL]]+Table1[[#This Row],[IVA]]-Table1[[#This Row],[RET IVA]]-Table1[[#This Row],[RET ISR]]-Table1[[#This Row],[TOTAL]]</f>
        <v>0</v>
      </c>
      <c r="AK5009" s="306" t="str">
        <f>IF(ISNUMBER(Table1[[#This Row],[FECHA DE RECIBIDO]]), Table1[[#This Row],[FECHA DE RECIBIDO]]-DATE(2023,8,30), "")</f>
        <v/>
      </c>
    </row>
    <row r="5010" spans="1:37" ht="16.05" customHeight="1">
      <c r="A5010" s="172" t="s">
        <v>4736</v>
      </c>
      <c r="B5010" s="178">
        <v>1711</v>
      </c>
      <c r="C5010" s="179" t="s">
        <v>381</v>
      </c>
      <c r="D5010">
        <v>3382</v>
      </c>
      <c r="E5010" s="125" t="s">
        <v>3217</v>
      </c>
      <c r="F5010" s="178" t="s">
        <v>1593</v>
      </c>
      <c r="G5010" s="178" t="s">
        <v>109</v>
      </c>
      <c r="H5010">
        <v>206</v>
      </c>
      <c r="I5010" s="178" t="s">
        <v>1546</v>
      </c>
      <c r="J5010" s="320" t="s">
        <v>214</v>
      </c>
      <c r="K5010" s="178" t="s">
        <v>4871</v>
      </c>
      <c r="L5010" s="125" t="s">
        <v>110</v>
      </c>
      <c r="M5010">
        <v>271</v>
      </c>
      <c r="N5010" s="182">
        <v>71</v>
      </c>
      <c r="O5010">
        <v>3234</v>
      </c>
      <c r="P5010" s="132" t="s">
        <v>77</v>
      </c>
      <c r="Q5010" s="176">
        <v>20000</v>
      </c>
      <c r="R5010" s="176">
        <v>3200</v>
      </c>
      <c r="S5010" s="176"/>
      <c r="T5010" s="190">
        <v>2133.34</v>
      </c>
      <c r="U5010" s="191">
        <v>250</v>
      </c>
      <c r="V5010" s="191">
        <v>20816.66</v>
      </c>
      <c r="W5010">
        <v>127</v>
      </c>
      <c r="X5010" s="186" t="s">
        <v>1431</v>
      </c>
      <c r="Y5010" s="187" t="s">
        <v>55</v>
      </c>
      <c r="Z5010" s="311">
        <v>266</v>
      </c>
      <c r="AB5010" t="str">
        <f>IF(Table1[[#This Row],[TIPO2]]="costo", VLOOKUP(Table1[[#This Row],[PARTIDA PRESUPUESTAL]],'Cost Report'!G:G,1,0),"Balance")</f>
        <v>1413-004</v>
      </c>
      <c r="AD5010" s="159">
        <f>+Table1[[#This Row],[SUBTOTAL]]+Table1[[#This Row],[IVA]]-Table1[[#This Row],[RET IVA]]-Table1[[#This Row],[RET ISR]]-Table1[[#This Row],[TOTAL]]</f>
        <v>0</v>
      </c>
      <c r="AK5010" s="306" t="str">
        <f>IF(ISNUMBER(Table1[[#This Row],[FECHA DE RECIBIDO]]), Table1[[#This Row],[FECHA DE RECIBIDO]]-DATE(2023,8,30), "")</f>
        <v/>
      </c>
    </row>
    <row r="5011" spans="1:37" ht="16.05" customHeight="1">
      <c r="A5011" s="172" t="s">
        <v>4737</v>
      </c>
      <c r="B5011" s="178">
        <v>1712</v>
      </c>
      <c r="C5011" s="179" t="s">
        <v>3011</v>
      </c>
      <c r="D5011">
        <v>3383</v>
      </c>
      <c r="E5011" s="125" t="s">
        <v>2018</v>
      </c>
      <c r="F5011" s="178" t="s">
        <v>1593</v>
      </c>
      <c r="G5011" s="178" t="s">
        <v>109</v>
      </c>
      <c r="H5011">
        <v>116</v>
      </c>
      <c r="I5011" s="178" t="s">
        <v>1546</v>
      </c>
      <c r="J5011" s="320" t="s">
        <v>214</v>
      </c>
      <c r="K5011" s="178" t="s">
        <v>4871</v>
      </c>
      <c r="L5011" s="125" t="s">
        <v>110</v>
      </c>
      <c r="M5011">
        <v>154</v>
      </c>
      <c r="N5011" s="182">
        <v>46</v>
      </c>
      <c r="O5011">
        <v>3235</v>
      </c>
      <c r="P5011" s="132" t="s">
        <v>77</v>
      </c>
      <c r="Q5011" s="176">
        <v>22000</v>
      </c>
      <c r="R5011" s="176">
        <v>3520</v>
      </c>
      <c r="S5011" s="176"/>
      <c r="T5011" s="190">
        <v>2346.67</v>
      </c>
      <c r="U5011" s="191">
        <v>275</v>
      </c>
      <c r="V5011" s="191">
        <v>22898.33</v>
      </c>
      <c r="W5011">
        <v>78</v>
      </c>
      <c r="X5011" s="186" t="s">
        <v>1430</v>
      </c>
      <c r="Y5011" s="187" t="s">
        <v>55</v>
      </c>
      <c r="Z5011" s="311">
        <v>266</v>
      </c>
      <c r="AB5011" t="str">
        <f>IF(Table1[[#This Row],[TIPO2]]="costo", VLOOKUP(Table1[[#This Row],[PARTIDA PRESUPUESTAL]],'Cost Report'!G:G,1,0),"Balance")</f>
        <v>5009-005</v>
      </c>
      <c r="AD5011" s="159">
        <f>+Table1[[#This Row],[SUBTOTAL]]+Table1[[#This Row],[IVA]]-Table1[[#This Row],[RET IVA]]-Table1[[#This Row],[RET ISR]]-Table1[[#This Row],[TOTAL]]</f>
        <v>0</v>
      </c>
      <c r="AK5011" s="306" t="str">
        <f>IF(ISNUMBER(Table1[[#This Row],[FECHA DE RECIBIDO]]), Table1[[#This Row],[FECHA DE RECIBIDO]]-DATE(2023,8,30), "")</f>
        <v/>
      </c>
    </row>
    <row r="5012" spans="1:37" ht="16.05" customHeight="1">
      <c r="A5012" s="172" t="s">
        <v>4738</v>
      </c>
      <c r="B5012" s="178">
        <v>1713</v>
      </c>
      <c r="C5012" s="179" t="s">
        <v>3012</v>
      </c>
      <c r="D5012">
        <v>3384</v>
      </c>
      <c r="E5012" s="125" t="s">
        <v>3220</v>
      </c>
      <c r="F5012" s="178" t="s">
        <v>1589</v>
      </c>
      <c r="G5012" s="178" t="s">
        <v>129</v>
      </c>
      <c r="H5012">
        <v>207</v>
      </c>
      <c r="I5012" s="178" t="s">
        <v>1546</v>
      </c>
      <c r="J5012" s="320" t="s">
        <v>214</v>
      </c>
      <c r="K5012" s="178" t="s">
        <v>4871</v>
      </c>
      <c r="L5012" s="125" t="s">
        <v>110</v>
      </c>
      <c r="M5012">
        <v>272</v>
      </c>
      <c r="N5012" s="182">
        <v>72</v>
      </c>
      <c r="O5012">
        <v>3236</v>
      </c>
      <c r="P5012" s="132" t="s">
        <v>77</v>
      </c>
      <c r="Q5012" s="176">
        <v>11000</v>
      </c>
      <c r="R5012" s="176">
        <v>1760</v>
      </c>
      <c r="S5012" s="176"/>
      <c r="T5012" s="190">
        <v>1173.3399999999999</v>
      </c>
      <c r="U5012" s="191">
        <v>1100</v>
      </c>
      <c r="V5012" s="191">
        <v>10486.66</v>
      </c>
      <c r="W5012">
        <v>128</v>
      </c>
      <c r="X5012" s="186" t="s">
        <v>1431</v>
      </c>
      <c r="Y5012" s="187" t="s">
        <v>55</v>
      </c>
      <c r="Z5012" s="311">
        <v>266</v>
      </c>
      <c r="AB5012" t="str">
        <f>IF(Table1[[#This Row],[TIPO2]]="costo", VLOOKUP(Table1[[#This Row],[PARTIDA PRESUPUESTAL]],'Cost Report'!G:G,1,0),"Balance")</f>
        <v>5010-005</v>
      </c>
      <c r="AD5012" s="159">
        <f>+Table1[[#This Row],[SUBTOTAL]]+Table1[[#This Row],[IVA]]-Table1[[#This Row],[RET IVA]]-Table1[[#This Row],[RET ISR]]-Table1[[#This Row],[TOTAL]]</f>
        <v>0</v>
      </c>
      <c r="AK5012" s="306" t="str">
        <f>IF(ISNUMBER(Table1[[#This Row],[FECHA DE RECIBIDO]]), Table1[[#This Row],[FECHA DE RECIBIDO]]-DATE(2023,8,30), "")</f>
        <v/>
      </c>
    </row>
    <row r="5013" spans="1:37" ht="16.05" customHeight="1">
      <c r="A5013" s="172" t="s">
        <v>4739</v>
      </c>
      <c r="B5013" s="178">
        <v>1714</v>
      </c>
      <c r="C5013" s="179" t="s">
        <v>695</v>
      </c>
      <c r="D5013">
        <v>3385</v>
      </c>
      <c r="E5013" s="125" t="s">
        <v>2020</v>
      </c>
      <c r="F5013" s="178" t="s">
        <v>1602</v>
      </c>
      <c r="G5013" s="178" t="s">
        <v>1617</v>
      </c>
      <c r="H5013">
        <v>118</v>
      </c>
      <c r="I5013" s="178" t="s">
        <v>1546</v>
      </c>
      <c r="J5013" s="320" t="s">
        <v>214</v>
      </c>
      <c r="K5013" s="178" t="s">
        <v>4871</v>
      </c>
      <c r="L5013" s="125" t="s">
        <v>110</v>
      </c>
      <c r="M5013">
        <v>156</v>
      </c>
      <c r="N5013" s="182">
        <v>48</v>
      </c>
      <c r="O5013">
        <v>3237</v>
      </c>
      <c r="P5013" s="132" t="s">
        <v>77</v>
      </c>
      <c r="Q5013" s="176">
        <v>12000</v>
      </c>
      <c r="R5013" s="176">
        <v>1920</v>
      </c>
      <c r="S5013" s="176"/>
      <c r="T5013" s="190">
        <v>1280</v>
      </c>
      <c r="U5013" s="191">
        <v>0</v>
      </c>
      <c r="V5013" s="191">
        <v>12640</v>
      </c>
      <c r="W5013">
        <v>80</v>
      </c>
      <c r="X5013" s="186" t="s">
        <v>1429</v>
      </c>
      <c r="Y5013" s="187" t="s">
        <v>55</v>
      </c>
      <c r="Z5013" s="311">
        <v>266</v>
      </c>
      <c r="AB5013" t="str">
        <f>IF(Table1[[#This Row],[TIPO2]]="costo", VLOOKUP(Table1[[#This Row],[PARTIDA PRESUPUESTAL]],'Cost Report'!G:G,1,0),"Balance")</f>
        <v>2804-004</v>
      </c>
      <c r="AD5013" s="159">
        <f>+Table1[[#This Row],[SUBTOTAL]]+Table1[[#This Row],[IVA]]-Table1[[#This Row],[RET IVA]]-Table1[[#This Row],[RET ISR]]-Table1[[#This Row],[TOTAL]]</f>
        <v>0</v>
      </c>
      <c r="AK5013" s="306" t="str">
        <f>IF(ISNUMBER(Table1[[#This Row],[FECHA DE RECIBIDO]]), Table1[[#This Row],[FECHA DE RECIBIDO]]-DATE(2023,8,30), "")</f>
        <v/>
      </c>
    </row>
    <row r="5014" spans="1:37" ht="16.05" customHeight="1">
      <c r="A5014" s="172" t="s">
        <v>4740</v>
      </c>
      <c r="B5014" s="178">
        <v>1715</v>
      </c>
      <c r="C5014" s="179" t="s">
        <v>681</v>
      </c>
      <c r="D5014">
        <v>3386</v>
      </c>
      <c r="E5014" s="125" t="s">
        <v>2021</v>
      </c>
      <c r="F5014" s="178" t="s">
        <v>1593</v>
      </c>
      <c r="G5014" s="178" t="s">
        <v>109</v>
      </c>
      <c r="H5014">
        <v>119</v>
      </c>
      <c r="I5014" s="178" t="s">
        <v>1546</v>
      </c>
      <c r="J5014" s="320" t="s">
        <v>214</v>
      </c>
      <c r="K5014" s="178" t="s">
        <v>4871</v>
      </c>
      <c r="L5014" s="125" t="s">
        <v>110</v>
      </c>
      <c r="M5014">
        <v>157</v>
      </c>
      <c r="N5014" s="182">
        <v>49</v>
      </c>
      <c r="O5014">
        <v>3238</v>
      </c>
      <c r="P5014" s="132" t="s">
        <v>77</v>
      </c>
      <c r="Q5014" s="176">
        <v>84000</v>
      </c>
      <c r="R5014" s="176">
        <v>13440</v>
      </c>
      <c r="S5014" s="176"/>
      <c r="T5014" s="190">
        <v>8960.0400000000009</v>
      </c>
      <c r="U5014" s="191">
        <v>1050</v>
      </c>
      <c r="V5014" s="191">
        <v>87429.959999999992</v>
      </c>
      <c r="W5014">
        <v>81</v>
      </c>
      <c r="X5014" s="186" t="s">
        <v>1431</v>
      </c>
      <c r="Y5014" s="187" t="s">
        <v>55</v>
      </c>
      <c r="Z5014" s="311">
        <v>266</v>
      </c>
      <c r="AB5014" t="str">
        <f>IF(Table1[[#This Row],[TIPO2]]="costo", VLOOKUP(Table1[[#This Row],[PARTIDA PRESUPUESTAL]],'Cost Report'!G:G,1,0),"Balance")</f>
        <v>2801-004</v>
      </c>
      <c r="AD5014" s="159">
        <f>+Table1[[#This Row],[SUBTOTAL]]+Table1[[#This Row],[IVA]]-Table1[[#This Row],[RET IVA]]-Table1[[#This Row],[RET ISR]]-Table1[[#This Row],[TOTAL]]</f>
        <v>0</v>
      </c>
      <c r="AK5014" s="306" t="str">
        <f>IF(ISNUMBER(Table1[[#This Row],[FECHA DE RECIBIDO]]), Table1[[#This Row],[FECHA DE RECIBIDO]]-DATE(2023,8,30), "")</f>
        <v/>
      </c>
    </row>
    <row r="5015" spans="1:37" ht="16.05" customHeight="1">
      <c r="A5015" s="172" t="s">
        <v>4741</v>
      </c>
      <c r="B5015" s="178">
        <v>1716</v>
      </c>
      <c r="C5015" s="179" t="s">
        <v>681</v>
      </c>
      <c r="D5015">
        <v>3387</v>
      </c>
      <c r="E5015" s="125" t="s">
        <v>2021</v>
      </c>
      <c r="F5015" s="178" t="s">
        <v>1593</v>
      </c>
      <c r="G5015" s="178" t="s">
        <v>109</v>
      </c>
      <c r="H5015">
        <v>119</v>
      </c>
      <c r="I5015" s="178" t="s">
        <v>1546</v>
      </c>
      <c r="J5015" s="320" t="s">
        <v>214</v>
      </c>
      <c r="K5015" s="178" t="s">
        <v>4871</v>
      </c>
      <c r="L5015" s="125" t="s">
        <v>110</v>
      </c>
      <c r="M5015">
        <v>157</v>
      </c>
      <c r="N5015" s="182">
        <v>49</v>
      </c>
      <c r="O5015">
        <v>3239</v>
      </c>
      <c r="P5015" s="132" t="s">
        <v>77</v>
      </c>
      <c r="Q5015" s="176">
        <v>21000</v>
      </c>
      <c r="R5015" s="176">
        <v>3360</v>
      </c>
      <c r="S5015" s="176"/>
      <c r="T5015" s="190">
        <v>2240.0100000000002</v>
      </c>
      <c r="U5015" s="191">
        <v>262.5</v>
      </c>
      <c r="V5015" s="191">
        <v>21857.489999999998</v>
      </c>
      <c r="W5015">
        <v>81</v>
      </c>
      <c r="X5015" s="186" t="s">
        <v>1431</v>
      </c>
      <c r="Y5015" s="187" t="s">
        <v>55</v>
      </c>
      <c r="Z5015" s="311">
        <v>266</v>
      </c>
      <c r="AB5015" t="str">
        <f>IF(Table1[[#This Row],[TIPO2]]="costo", VLOOKUP(Table1[[#This Row],[PARTIDA PRESUPUESTAL]],'Cost Report'!G:G,1,0),"Balance")</f>
        <v>2801-004</v>
      </c>
      <c r="AD5015" s="159">
        <f>+Table1[[#This Row],[SUBTOTAL]]+Table1[[#This Row],[IVA]]-Table1[[#This Row],[RET IVA]]-Table1[[#This Row],[RET ISR]]-Table1[[#This Row],[TOTAL]]</f>
        <v>0</v>
      </c>
      <c r="AK5015" s="306" t="str">
        <f>IF(ISNUMBER(Table1[[#This Row],[FECHA DE RECIBIDO]]), Table1[[#This Row],[FECHA DE RECIBIDO]]-DATE(2023,8,30), "")</f>
        <v/>
      </c>
    </row>
    <row r="5016" spans="1:37" ht="16.05" customHeight="1">
      <c r="A5016" s="172" t="s">
        <v>4742</v>
      </c>
      <c r="B5016" s="178">
        <v>1717</v>
      </c>
      <c r="C5016" s="179" t="s">
        <v>699</v>
      </c>
      <c r="D5016">
        <v>3388</v>
      </c>
      <c r="E5016" s="125" t="s">
        <v>3976</v>
      </c>
      <c r="F5016" s="178" t="s">
        <v>1589</v>
      </c>
      <c r="G5016" s="178" t="s">
        <v>129</v>
      </c>
      <c r="H5016">
        <v>349</v>
      </c>
      <c r="I5016" s="178" t="s">
        <v>1546</v>
      </c>
      <c r="J5016" s="320" t="s">
        <v>214</v>
      </c>
      <c r="K5016" s="178" t="s">
        <v>4871</v>
      </c>
      <c r="L5016" s="125" t="s">
        <v>110</v>
      </c>
      <c r="M5016">
        <v>466</v>
      </c>
      <c r="N5016" s="182">
        <v>91</v>
      </c>
      <c r="O5016">
        <v>3240</v>
      </c>
      <c r="P5016" s="132" t="s">
        <v>77</v>
      </c>
      <c r="Q5016" s="176">
        <v>9300</v>
      </c>
      <c r="R5016" s="176">
        <v>1488</v>
      </c>
      <c r="S5016" s="176"/>
      <c r="T5016" s="190">
        <v>992</v>
      </c>
      <c r="U5016" s="191">
        <v>930</v>
      </c>
      <c r="V5016" s="191">
        <v>8866</v>
      </c>
      <c r="W5016">
        <v>186</v>
      </c>
      <c r="X5016" s="186" t="s">
        <v>1430</v>
      </c>
      <c r="Y5016" s="187" t="s">
        <v>55</v>
      </c>
      <c r="Z5016" s="311">
        <v>266</v>
      </c>
      <c r="AB5016" t="str">
        <f>IF(Table1[[#This Row],[TIPO2]]="costo", VLOOKUP(Table1[[#This Row],[PARTIDA PRESUPUESTAL]],'Cost Report'!G:G,1,0),"Balance")</f>
        <v>2805-004</v>
      </c>
      <c r="AD5016" s="159">
        <f>+Table1[[#This Row],[SUBTOTAL]]+Table1[[#This Row],[IVA]]-Table1[[#This Row],[RET IVA]]-Table1[[#This Row],[RET ISR]]-Table1[[#This Row],[TOTAL]]</f>
        <v>0</v>
      </c>
      <c r="AK5016" s="306" t="str">
        <f>IF(ISNUMBER(Table1[[#This Row],[FECHA DE RECIBIDO]]), Table1[[#This Row],[FECHA DE RECIBIDO]]-DATE(2023,8,30), "")</f>
        <v/>
      </c>
    </row>
    <row r="5017" spans="1:37" ht="16.05" customHeight="1">
      <c r="A5017" s="172" t="s">
        <v>4743</v>
      </c>
      <c r="B5017" s="178">
        <v>1718</v>
      </c>
      <c r="C5017" s="179" t="s">
        <v>691</v>
      </c>
      <c r="D5017">
        <v>3389</v>
      </c>
      <c r="E5017" s="125" t="s">
        <v>3225</v>
      </c>
      <c r="F5017" s="178" t="s">
        <v>1593</v>
      </c>
      <c r="G5017" s="178" t="s">
        <v>109</v>
      </c>
      <c r="H5017">
        <v>208</v>
      </c>
      <c r="I5017" s="178" t="s">
        <v>1546</v>
      </c>
      <c r="J5017" s="320" t="s">
        <v>214</v>
      </c>
      <c r="K5017" s="178" t="s">
        <v>4871</v>
      </c>
      <c r="L5017" s="125" t="s">
        <v>110</v>
      </c>
      <c r="M5017">
        <v>273</v>
      </c>
      <c r="N5017" s="182">
        <v>73</v>
      </c>
      <c r="O5017">
        <v>3241</v>
      </c>
      <c r="P5017" s="132" t="s">
        <v>77</v>
      </c>
      <c r="Q5017" s="176">
        <v>10300</v>
      </c>
      <c r="R5017" s="176">
        <v>1648</v>
      </c>
      <c r="S5017" s="176"/>
      <c r="T5017" s="190">
        <v>1098.67</v>
      </c>
      <c r="U5017" s="191">
        <v>128.75</v>
      </c>
      <c r="V5017" s="191">
        <v>10720.58</v>
      </c>
      <c r="W5017">
        <v>129</v>
      </c>
      <c r="X5017" s="186" t="s">
        <v>1430</v>
      </c>
      <c r="Y5017" s="187" t="s">
        <v>55</v>
      </c>
      <c r="Z5017" s="311">
        <v>266</v>
      </c>
      <c r="AB5017" t="str">
        <f>IF(Table1[[#This Row],[TIPO2]]="costo", VLOOKUP(Table1[[#This Row],[PARTIDA PRESUPUESTAL]],'Cost Report'!G:G,1,0),"Balance")</f>
        <v>2802-010</v>
      </c>
      <c r="AD5017" s="159">
        <f>+Table1[[#This Row],[SUBTOTAL]]+Table1[[#This Row],[IVA]]-Table1[[#This Row],[RET IVA]]-Table1[[#This Row],[RET ISR]]-Table1[[#This Row],[TOTAL]]</f>
        <v>0</v>
      </c>
      <c r="AK5017" s="306" t="str">
        <f>IF(ISNUMBER(Table1[[#This Row],[FECHA DE RECIBIDO]]), Table1[[#This Row],[FECHA DE RECIBIDO]]-DATE(2023,8,30), "")</f>
        <v/>
      </c>
    </row>
    <row r="5018" spans="1:37" ht="16.05" customHeight="1">
      <c r="A5018" s="172" t="s">
        <v>4744</v>
      </c>
      <c r="B5018" s="178">
        <v>1719</v>
      </c>
      <c r="C5018" s="179" t="s">
        <v>1859</v>
      </c>
      <c r="D5018">
        <v>3390</v>
      </c>
      <c r="E5018" s="125" t="s">
        <v>3227</v>
      </c>
      <c r="F5018" s="178" t="s">
        <v>1589</v>
      </c>
      <c r="G5018" s="178" t="s">
        <v>129</v>
      </c>
      <c r="H5018">
        <v>209</v>
      </c>
      <c r="I5018" s="178" t="s">
        <v>1546</v>
      </c>
      <c r="J5018" s="320" t="s">
        <v>214</v>
      </c>
      <c r="K5018" s="178" t="s">
        <v>4871</v>
      </c>
      <c r="L5018" s="125" t="s">
        <v>110</v>
      </c>
      <c r="M5018">
        <v>274</v>
      </c>
      <c r="N5018" s="182">
        <v>74</v>
      </c>
      <c r="O5018">
        <v>3242</v>
      </c>
      <c r="P5018" s="132" t="s">
        <v>77</v>
      </c>
      <c r="Q5018" s="176">
        <v>12000</v>
      </c>
      <c r="R5018" s="176">
        <v>0</v>
      </c>
      <c r="S5018" s="176"/>
      <c r="T5018" s="190">
        <v>0</v>
      </c>
      <c r="U5018" s="191">
        <v>1200</v>
      </c>
      <c r="V5018" s="191">
        <v>10800</v>
      </c>
      <c r="W5018">
        <v>130</v>
      </c>
      <c r="X5018" s="186" t="s">
        <v>1434</v>
      </c>
      <c r="Y5018" s="187" t="s">
        <v>55</v>
      </c>
      <c r="Z5018" s="311">
        <v>266</v>
      </c>
      <c r="AB5018" t="str">
        <f>IF(Table1[[#This Row],[TIPO2]]="costo", VLOOKUP(Table1[[#This Row],[PARTIDA PRESUPUESTAL]],'Cost Report'!G:G,1,0),"Balance")</f>
        <v>3416-004</v>
      </c>
      <c r="AD5018" s="159">
        <f>+Table1[[#This Row],[SUBTOTAL]]+Table1[[#This Row],[IVA]]-Table1[[#This Row],[RET IVA]]-Table1[[#This Row],[RET ISR]]-Table1[[#This Row],[TOTAL]]</f>
        <v>0</v>
      </c>
      <c r="AK5018" s="306" t="str">
        <f>IF(ISNUMBER(Table1[[#This Row],[FECHA DE RECIBIDO]]), Table1[[#This Row],[FECHA DE RECIBIDO]]-DATE(2023,8,30), "")</f>
        <v/>
      </c>
    </row>
    <row r="5019" spans="1:37" ht="16.05" customHeight="1">
      <c r="A5019" s="172" t="s">
        <v>4745</v>
      </c>
      <c r="B5019" s="178">
        <v>1720</v>
      </c>
      <c r="C5019" s="179" t="s">
        <v>809</v>
      </c>
      <c r="D5019">
        <v>3391</v>
      </c>
      <c r="E5019" s="125" t="s">
        <v>3273</v>
      </c>
      <c r="F5019" s="178" t="s">
        <v>1589</v>
      </c>
      <c r="G5019" s="178" t="s">
        <v>129</v>
      </c>
      <c r="H5019">
        <v>350</v>
      </c>
      <c r="I5019" s="178" t="s">
        <v>1546</v>
      </c>
      <c r="J5019" s="320" t="s">
        <v>214</v>
      </c>
      <c r="K5019" s="178" t="s">
        <v>4871</v>
      </c>
      <c r="L5019" s="125" t="s">
        <v>110</v>
      </c>
      <c r="M5019">
        <v>467</v>
      </c>
      <c r="N5019" s="182">
        <v>92</v>
      </c>
      <c r="O5019">
        <v>3243</v>
      </c>
      <c r="P5019" s="132" t="s">
        <v>77</v>
      </c>
      <c r="Q5019" s="176">
        <v>21500</v>
      </c>
      <c r="R5019" s="176">
        <v>3440</v>
      </c>
      <c r="S5019" s="176"/>
      <c r="T5019" s="190">
        <v>2293.34</v>
      </c>
      <c r="U5019" s="191">
        <v>2150</v>
      </c>
      <c r="V5019" s="191">
        <v>20496.66</v>
      </c>
      <c r="W5019">
        <v>187</v>
      </c>
      <c r="X5019" s="186" t="s">
        <v>1429</v>
      </c>
      <c r="Y5019" s="187" t="s">
        <v>55</v>
      </c>
      <c r="Z5019" s="311">
        <v>266</v>
      </c>
      <c r="AB5019" t="str">
        <f>IF(Table1[[#This Row],[TIPO2]]="costo", VLOOKUP(Table1[[#This Row],[PARTIDA PRESUPUESTAL]],'Cost Report'!G:G,1,0),"Balance")</f>
        <v>3104-004</v>
      </c>
      <c r="AD5019" s="159">
        <f>+Table1[[#This Row],[SUBTOTAL]]+Table1[[#This Row],[IVA]]-Table1[[#This Row],[RET IVA]]-Table1[[#This Row],[RET ISR]]-Table1[[#This Row],[TOTAL]]</f>
        <v>0</v>
      </c>
      <c r="AK5019" s="306" t="str">
        <f>IF(ISNUMBER(Table1[[#This Row],[FECHA DE RECIBIDO]]), Table1[[#This Row],[FECHA DE RECIBIDO]]-DATE(2023,8,30), "")</f>
        <v/>
      </c>
    </row>
    <row r="5020" spans="1:37" ht="16.05" customHeight="1">
      <c r="A5020" s="172" t="s">
        <v>4746</v>
      </c>
      <c r="B5020" s="178">
        <v>1721</v>
      </c>
      <c r="C5020" s="179" t="s">
        <v>803</v>
      </c>
      <c r="D5020">
        <v>3392</v>
      </c>
      <c r="E5020" s="125" t="s">
        <v>3643</v>
      </c>
      <c r="F5020" s="178" t="s">
        <v>1589</v>
      </c>
      <c r="G5020" s="178" t="s">
        <v>129</v>
      </c>
      <c r="H5020">
        <v>351</v>
      </c>
      <c r="I5020" s="178" t="s">
        <v>1546</v>
      </c>
      <c r="J5020" s="320" t="s">
        <v>214</v>
      </c>
      <c r="K5020" s="178" t="s">
        <v>4871</v>
      </c>
      <c r="L5020" s="125" t="s">
        <v>110</v>
      </c>
      <c r="M5020">
        <v>468</v>
      </c>
      <c r="N5020" s="182">
        <v>93</v>
      </c>
      <c r="O5020">
        <v>3244</v>
      </c>
      <c r="P5020" s="132" t="s">
        <v>77</v>
      </c>
      <c r="Q5020" s="176">
        <v>26250</v>
      </c>
      <c r="R5020" s="176">
        <v>4200</v>
      </c>
      <c r="S5020" s="176"/>
      <c r="T5020" s="190">
        <v>2800.01</v>
      </c>
      <c r="U5020" s="191">
        <v>2625</v>
      </c>
      <c r="V5020" s="191">
        <v>25024.989999999998</v>
      </c>
      <c r="W5020">
        <v>188</v>
      </c>
      <c r="X5020" s="186" t="s">
        <v>1429</v>
      </c>
      <c r="Y5020" s="187" t="s">
        <v>55</v>
      </c>
      <c r="Z5020" s="311">
        <v>266</v>
      </c>
      <c r="AB5020" t="str">
        <f>IF(Table1[[#This Row],[TIPO2]]="costo", VLOOKUP(Table1[[#This Row],[PARTIDA PRESUPUESTAL]],'Cost Report'!G:G,1,0),"Balance")</f>
        <v>3102-010</v>
      </c>
      <c r="AD5020" s="159">
        <f>+Table1[[#This Row],[SUBTOTAL]]+Table1[[#This Row],[IVA]]-Table1[[#This Row],[RET IVA]]-Table1[[#This Row],[RET ISR]]-Table1[[#This Row],[TOTAL]]</f>
        <v>0</v>
      </c>
      <c r="AK5020" s="306" t="str">
        <f>IF(ISNUMBER(Table1[[#This Row],[FECHA DE RECIBIDO]]), Table1[[#This Row],[FECHA DE RECIBIDO]]-DATE(2023,8,30), "")</f>
        <v/>
      </c>
    </row>
    <row r="5021" spans="1:37" ht="16.05" customHeight="1">
      <c r="A5021" s="172" t="s">
        <v>4747</v>
      </c>
      <c r="B5021" s="178">
        <v>1722</v>
      </c>
      <c r="C5021" s="179" t="s">
        <v>817</v>
      </c>
      <c r="D5021">
        <v>3393</v>
      </c>
      <c r="E5021" s="125" t="s">
        <v>2005</v>
      </c>
      <c r="F5021" s="178" t="s">
        <v>1589</v>
      </c>
      <c r="G5021" s="178" t="s">
        <v>129</v>
      </c>
      <c r="H5021">
        <v>353</v>
      </c>
      <c r="I5021" s="178" t="s">
        <v>1546</v>
      </c>
      <c r="J5021" s="320" t="s">
        <v>214</v>
      </c>
      <c r="K5021" s="178" t="s">
        <v>4871</v>
      </c>
      <c r="L5021" s="125" t="s">
        <v>110</v>
      </c>
      <c r="M5021">
        <v>470</v>
      </c>
      <c r="N5021" s="182">
        <v>95</v>
      </c>
      <c r="O5021">
        <v>3245</v>
      </c>
      <c r="P5021" s="132" t="s">
        <v>77</v>
      </c>
      <c r="Q5021" s="176">
        <v>20000</v>
      </c>
      <c r="R5021" s="176">
        <v>3200</v>
      </c>
      <c r="S5021" s="176"/>
      <c r="T5021" s="190">
        <v>2133.34</v>
      </c>
      <c r="U5021" s="191">
        <v>2000</v>
      </c>
      <c r="V5021" s="191">
        <v>19066.66</v>
      </c>
      <c r="W5021">
        <v>190</v>
      </c>
      <c r="X5021" s="186" t="s">
        <v>1429</v>
      </c>
      <c r="Y5021" s="187" t="s">
        <v>55</v>
      </c>
      <c r="Z5021" s="311">
        <v>266</v>
      </c>
      <c r="AB5021" t="str">
        <f>IF(Table1[[#This Row],[TIPO2]]="costo", VLOOKUP(Table1[[#This Row],[PARTIDA PRESUPUESTAL]],'Cost Report'!G:G,1,0),"Balance")</f>
        <v>3109-004</v>
      </c>
      <c r="AD5021" s="159">
        <f>+Table1[[#This Row],[SUBTOTAL]]+Table1[[#This Row],[IVA]]-Table1[[#This Row],[RET IVA]]-Table1[[#This Row],[RET ISR]]-Table1[[#This Row],[TOTAL]]</f>
        <v>0</v>
      </c>
      <c r="AK5021" s="306" t="str">
        <f>IF(ISNUMBER(Table1[[#This Row],[FECHA DE RECIBIDO]]), Table1[[#This Row],[FECHA DE RECIBIDO]]-DATE(2023,8,30), "")</f>
        <v/>
      </c>
    </row>
    <row r="5022" spans="1:37" ht="16.05" customHeight="1">
      <c r="A5022" s="172" t="s">
        <v>4748</v>
      </c>
      <c r="B5022" s="178">
        <v>1723</v>
      </c>
      <c r="C5022" s="179" t="s">
        <v>1827</v>
      </c>
      <c r="D5022">
        <v>3394</v>
      </c>
      <c r="E5022" s="125" t="s">
        <v>3646</v>
      </c>
      <c r="F5022" s="178" t="s">
        <v>1589</v>
      </c>
      <c r="G5022" s="178" t="s">
        <v>129</v>
      </c>
      <c r="H5022">
        <v>356</v>
      </c>
      <c r="I5022" s="178" t="s">
        <v>1546</v>
      </c>
      <c r="J5022" s="320" t="s">
        <v>214</v>
      </c>
      <c r="K5022" s="178" t="s">
        <v>4871</v>
      </c>
      <c r="L5022" s="125" t="s">
        <v>110</v>
      </c>
      <c r="M5022">
        <v>473</v>
      </c>
      <c r="N5022" s="182">
        <v>98</v>
      </c>
      <c r="O5022">
        <v>3246</v>
      </c>
      <c r="P5022" s="132" t="s">
        <v>77</v>
      </c>
      <c r="Q5022" s="176">
        <v>17250</v>
      </c>
      <c r="R5022" s="176">
        <v>2760</v>
      </c>
      <c r="S5022" s="176"/>
      <c r="T5022" s="190">
        <v>1840.01</v>
      </c>
      <c r="U5022" s="191">
        <v>1725</v>
      </c>
      <c r="V5022" s="191">
        <v>16444.990000000002</v>
      </c>
      <c r="W5022">
        <v>193</v>
      </c>
      <c r="X5022" s="186" t="s">
        <v>1431</v>
      </c>
      <c r="Y5022" s="187" t="s">
        <v>55</v>
      </c>
      <c r="Z5022" s="311">
        <v>266</v>
      </c>
      <c r="AB5022" t="str">
        <f>IF(Table1[[#This Row],[TIPO2]]="costo", VLOOKUP(Table1[[#This Row],[PARTIDA PRESUPUESTAL]],'Cost Report'!G:G,1,0),"Balance")</f>
        <v>3145-004</v>
      </c>
      <c r="AD5022" s="159">
        <f>+Table1[[#This Row],[SUBTOTAL]]+Table1[[#This Row],[IVA]]-Table1[[#This Row],[RET IVA]]-Table1[[#This Row],[RET ISR]]-Table1[[#This Row],[TOTAL]]</f>
        <v>0</v>
      </c>
      <c r="AK5022" s="306" t="str">
        <f>IF(ISNUMBER(Table1[[#This Row],[FECHA DE RECIBIDO]]), Table1[[#This Row],[FECHA DE RECIBIDO]]-DATE(2023,8,30), "")</f>
        <v/>
      </c>
    </row>
    <row r="5023" spans="1:37" ht="16.05" customHeight="1">
      <c r="A5023" s="172" t="s">
        <v>4749</v>
      </c>
      <c r="B5023" s="178">
        <v>1724</v>
      </c>
      <c r="C5023" s="179" t="s">
        <v>799</v>
      </c>
      <c r="D5023">
        <v>3395</v>
      </c>
      <c r="E5023" s="125" t="s">
        <v>3273</v>
      </c>
      <c r="F5023" s="178" t="s">
        <v>1589</v>
      </c>
      <c r="G5023" s="178" t="s">
        <v>129</v>
      </c>
      <c r="H5023">
        <v>264</v>
      </c>
      <c r="I5023" s="178" t="s">
        <v>1546</v>
      </c>
      <c r="J5023" s="320" t="s">
        <v>214</v>
      </c>
      <c r="K5023" s="178" t="s">
        <v>4871</v>
      </c>
      <c r="L5023" s="125" t="s">
        <v>110</v>
      </c>
      <c r="M5023">
        <v>475</v>
      </c>
      <c r="N5023" s="182">
        <v>1</v>
      </c>
      <c r="O5023">
        <v>3247</v>
      </c>
      <c r="P5023" s="132" t="s">
        <v>77</v>
      </c>
      <c r="Q5023" s="176">
        <v>26000</v>
      </c>
      <c r="R5023" s="176">
        <v>4160</v>
      </c>
      <c r="S5023" s="176"/>
      <c r="T5023" s="190">
        <v>2773.34</v>
      </c>
      <c r="U5023" s="191">
        <v>2600</v>
      </c>
      <c r="V5023" s="191">
        <v>24786.66</v>
      </c>
      <c r="W5023">
        <v>164</v>
      </c>
      <c r="X5023" s="186" t="s">
        <v>1429</v>
      </c>
      <c r="Y5023" s="187" t="s">
        <v>55</v>
      </c>
      <c r="Z5023" s="311">
        <v>266</v>
      </c>
      <c r="AB5023" t="str">
        <f>IF(Table1[[#This Row],[TIPO2]]="costo", VLOOKUP(Table1[[#This Row],[PARTIDA PRESUPUESTAL]],'Cost Report'!G:G,1,0),"Balance")</f>
        <v>3102-004</v>
      </c>
      <c r="AD5023" s="159">
        <f>+Table1[[#This Row],[SUBTOTAL]]+Table1[[#This Row],[IVA]]-Table1[[#This Row],[RET IVA]]-Table1[[#This Row],[RET ISR]]-Table1[[#This Row],[TOTAL]]</f>
        <v>0</v>
      </c>
      <c r="AK5023" s="306" t="str">
        <f>IF(ISNUMBER(Table1[[#This Row],[FECHA DE RECIBIDO]]), Table1[[#This Row],[FECHA DE RECIBIDO]]-DATE(2023,8,30), "")</f>
        <v/>
      </c>
    </row>
    <row r="5024" spans="1:37" ht="16.05" customHeight="1">
      <c r="A5024" s="172" t="s">
        <v>4750</v>
      </c>
      <c r="B5024" s="178">
        <v>1725</v>
      </c>
      <c r="C5024" s="179" t="s">
        <v>1841</v>
      </c>
      <c r="D5024">
        <v>3396</v>
      </c>
      <c r="E5024" s="125" t="s">
        <v>3648</v>
      </c>
      <c r="F5024" s="178" t="s">
        <v>1593</v>
      </c>
      <c r="G5024" s="178" t="s">
        <v>109</v>
      </c>
      <c r="H5024">
        <v>358</v>
      </c>
      <c r="I5024" s="178" t="s">
        <v>1546</v>
      </c>
      <c r="J5024" s="320" t="s">
        <v>214</v>
      </c>
      <c r="K5024" s="178" t="s">
        <v>4871</v>
      </c>
      <c r="L5024" s="125" t="s">
        <v>110</v>
      </c>
      <c r="M5024">
        <v>476</v>
      </c>
      <c r="N5024" s="182">
        <v>100</v>
      </c>
      <c r="O5024">
        <v>3248</v>
      </c>
      <c r="P5024" s="132" t="s">
        <v>77</v>
      </c>
      <c r="Q5024" s="176">
        <v>15000</v>
      </c>
      <c r="R5024" s="176">
        <v>2400</v>
      </c>
      <c r="S5024" s="176"/>
      <c r="T5024" s="190">
        <v>1600</v>
      </c>
      <c r="U5024" s="191">
        <v>187.5</v>
      </c>
      <c r="V5024" s="191">
        <v>15612.5</v>
      </c>
      <c r="W5024">
        <v>195</v>
      </c>
      <c r="X5024" s="186" t="s">
        <v>1429</v>
      </c>
      <c r="Y5024" s="187" t="s">
        <v>55</v>
      </c>
      <c r="Z5024" s="311">
        <v>266</v>
      </c>
      <c r="AB5024" t="str">
        <f>IF(Table1[[#This Row],[TIPO2]]="costo", VLOOKUP(Table1[[#This Row],[PARTIDA PRESUPUESTAL]],'Cost Report'!G:G,1,0),"Balance")</f>
        <v>3145-026</v>
      </c>
      <c r="AD5024" s="159">
        <f>+Table1[[#This Row],[SUBTOTAL]]+Table1[[#This Row],[IVA]]-Table1[[#This Row],[RET IVA]]-Table1[[#This Row],[RET ISR]]-Table1[[#This Row],[TOTAL]]</f>
        <v>0</v>
      </c>
      <c r="AK5024" s="306" t="str">
        <f>IF(ISNUMBER(Table1[[#This Row],[FECHA DE RECIBIDO]]), Table1[[#This Row],[FECHA DE RECIBIDO]]-DATE(2023,8,30), "")</f>
        <v/>
      </c>
    </row>
    <row r="5025" spans="1:37" ht="16.05" customHeight="1">
      <c r="A5025" s="172" t="s">
        <v>4751</v>
      </c>
      <c r="B5025" s="178">
        <v>1726</v>
      </c>
      <c r="C5025" s="179" t="s">
        <v>1831</v>
      </c>
      <c r="D5025">
        <v>3397</v>
      </c>
      <c r="E5025" s="125" t="s">
        <v>3371</v>
      </c>
      <c r="F5025" s="178" t="s">
        <v>1589</v>
      </c>
      <c r="G5025" s="178" t="s">
        <v>129</v>
      </c>
      <c r="H5025">
        <v>522</v>
      </c>
      <c r="I5025" s="178" t="s">
        <v>1546</v>
      </c>
      <c r="J5025" s="320" t="s">
        <v>214</v>
      </c>
      <c r="K5025" s="178" t="s">
        <v>4871</v>
      </c>
      <c r="L5025" s="125" t="s">
        <v>110</v>
      </c>
      <c r="M5025">
        <v>746</v>
      </c>
      <c r="N5025" s="182">
        <v>152</v>
      </c>
      <c r="O5025">
        <v>3249</v>
      </c>
      <c r="P5025" s="132" t="s">
        <v>77</v>
      </c>
      <c r="Q5025" s="176">
        <v>17250</v>
      </c>
      <c r="R5025" s="176">
        <v>2760</v>
      </c>
      <c r="S5025" s="176"/>
      <c r="T5025" s="190">
        <v>1840.01</v>
      </c>
      <c r="U5025" s="191">
        <v>1725</v>
      </c>
      <c r="V5025" s="191">
        <v>16444.990000000002</v>
      </c>
      <c r="W5025">
        <v>294</v>
      </c>
      <c r="X5025" s="186" t="s">
        <v>1429</v>
      </c>
      <c r="Y5025" s="187" t="s">
        <v>55</v>
      </c>
      <c r="Z5025" s="311">
        <v>266</v>
      </c>
      <c r="AB5025" t="str">
        <f>IF(Table1[[#This Row],[TIPO2]]="costo", VLOOKUP(Table1[[#This Row],[PARTIDA PRESUPUESTAL]],'Cost Report'!G:G,1,0),"Balance")</f>
        <v>3145-010</v>
      </c>
      <c r="AD5025" s="159">
        <f>+Table1[[#This Row],[SUBTOTAL]]+Table1[[#This Row],[IVA]]-Table1[[#This Row],[RET IVA]]-Table1[[#This Row],[RET ISR]]-Table1[[#This Row],[TOTAL]]</f>
        <v>0</v>
      </c>
      <c r="AK5025" s="306" t="str">
        <f>IF(ISNUMBER(Table1[[#This Row],[FECHA DE RECIBIDO]]), Table1[[#This Row],[FECHA DE RECIBIDO]]-DATE(2023,8,30), "")</f>
        <v/>
      </c>
    </row>
    <row r="5026" spans="1:37" ht="16.05" customHeight="1">
      <c r="A5026" s="172" t="s">
        <v>4752</v>
      </c>
      <c r="B5026" s="178">
        <v>1727</v>
      </c>
      <c r="C5026" s="179" t="s">
        <v>812</v>
      </c>
      <c r="D5026">
        <v>3398</v>
      </c>
      <c r="E5026" s="125" t="s">
        <v>3185</v>
      </c>
      <c r="F5026" s="178" t="s">
        <v>1593</v>
      </c>
      <c r="G5026" s="178" t="s">
        <v>109</v>
      </c>
      <c r="H5026">
        <v>771</v>
      </c>
      <c r="I5026" s="178" t="s">
        <v>1546</v>
      </c>
      <c r="J5026" s="320" t="s">
        <v>214</v>
      </c>
      <c r="K5026" s="178" t="s">
        <v>4871</v>
      </c>
      <c r="L5026" s="125" t="s">
        <v>110</v>
      </c>
      <c r="M5026">
        <v>1074</v>
      </c>
      <c r="N5026" s="182">
        <v>183</v>
      </c>
      <c r="O5026">
        <v>3250</v>
      </c>
      <c r="P5026" s="132" t="s">
        <v>77</v>
      </c>
      <c r="Q5026" s="176">
        <v>21500</v>
      </c>
      <c r="R5026" s="176">
        <v>3440</v>
      </c>
      <c r="S5026" s="176"/>
      <c r="T5026" s="190">
        <v>2293.34</v>
      </c>
      <c r="U5026" s="191">
        <v>268.75</v>
      </c>
      <c r="V5026" s="191">
        <v>22377.91</v>
      </c>
      <c r="W5026">
        <v>370</v>
      </c>
      <c r="X5026" s="186" t="s">
        <v>2024</v>
      </c>
      <c r="Y5026" s="187" t="s">
        <v>55</v>
      </c>
      <c r="Z5026" s="311">
        <v>266</v>
      </c>
      <c r="AB5026" t="str">
        <f>IF(Table1[[#This Row],[TIPO2]]="costo", VLOOKUP(Table1[[#This Row],[PARTIDA PRESUPUESTAL]],'Cost Report'!G:G,1,0),"Balance")</f>
        <v>3104-009</v>
      </c>
      <c r="AD5026" s="159">
        <f>+Table1[[#This Row],[SUBTOTAL]]+Table1[[#This Row],[IVA]]-Table1[[#This Row],[RET IVA]]-Table1[[#This Row],[RET ISR]]-Table1[[#This Row],[TOTAL]]</f>
        <v>0</v>
      </c>
      <c r="AK5026" s="306" t="str">
        <f>IF(ISNUMBER(Table1[[#This Row],[FECHA DE RECIBIDO]]), Table1[[#This Row],[FECHA DE RECIBIDO]]-DATE(2023,8,30), "")</f>
        <v/>
      </c>
    </row>
    <row r="5027" spans="1:37" ht="16.05" customHeight="1">
      <c r="A5027" s="172" t="s">
        <v>4753</v>
      </c>
      <c r="B5027" s="178">
        <v>1728</v>
      </c>
      <c r="C5027" s="179" t="s">
        <v>913</v>
      </c>
      <c r="D5027">
        <v>3399</v>
      </c>
      <c r="E5027" s="125" t="s">
        <v>3649</v>
      </c>
      <c r="F5027" s="178" t="s">
        <v>1589</v>
      </c>
      <c r="G5027" s="178" t="s">
        <v>129</v>
      </c>
      <c r="H5027">
        <v>359</v>
      </c>
      <c r="I5027" s="178" t="s">
        <v>1546</v>
      </c>
      <c r="J5027" s="320" t="s">
        <v>214</v>
      </c>
      <c r="K5027" s="178" t="s">
        <v>4871</v>
      </c>
      <c r="L5027" s="125" t="s">
        <v>110</v>
      </c>
      <c r="M5027">
        <v>477</v>
      </c>
      <c r="N5027" s="182">
        <v>101</v>
      </c>
      <c r="O5027">
        <v>3251</v>
      </c>
      <c r="P5027" s="132" t="s">
        <v>77</v>
      </c>
      <c r="Q5027" s="176">
        <v>9000</v>
      </c>
      <c r="R5027" s="176">
        <v>1440</v>
      </c>
      <c r="S5027" s="176"/>
      <c r="T5027" s="190">
        <v>960</v>
      </c>
      <c r="U5027" s="191">
        <v>900</v>
      </c>
      <c r="V5027" s="191">
        <v>8580</v>
      </c>
      <c r="W5027">
        <v>196</v>
      </c>
      <c r="X5027" s="186" t="s">
        <v>1429</v>
      </c>
      <c r="Y5027" s="187" t="s">
        <v>55</v>
      </c>
      <c r="Z5027" s="311">
        <v>266</v>
      </c>
      <c r="AB5027" t="str">
        <f>IF(Table1[[#This Row],[TIPO2]]="costo", VLOOKUP(Table1[[#This Row],[PARTIDA PRESUPUESTAL]],'Cost Report'!G:G,1,0),"Balance")</f>
        <v>3201-006</v>
      </c>
      <c r="AD5027" s="159">
        <f>+Table1[[#This Row],[SUBTOTAL]]+Table1[[#This Row],[IVA]]-Table1[[#This Row],[RET IVA]]-Table1[[#This Row],[RET ISR]]-Table1[[#This Row],[TOTAL]]</f>
        <v>0</v>
      </c>
      <c r="AK5027" s="306" t="str">
        <f>IF(ISNUMBER(Table1[[#This Row],[FECHA DE RECIBIDO]]), Table1[[#This Row],[FECHA DE RECIBIDO]]-DATE(2023,8,30), "")</f>
        <v/>
      </c>
    </row>
    <row r="5028" spans="1:37" ht="16.05" customHeight="1">
      <c r="A5028" s="172" t="s">
        <v>4754</v>
      </c>
      <c r="B5028" s="178">
        <v>1729</v>
      </c>
      <c r="C5028" s="179" t="s">
        <v>912</v>
      </c>
      <c r="D5028">
        <v>3400</v>
      </c>
      <c r="E5028" s="125" t="s">
        <v>1629</v>
      </c>
      <c r="F5028" s="178" t="s">
        <v>1593</v>
      </c>
      <c r="G5028" s="178" t="s">
        <v>109</v>
      </c>
      <c r="H5028">
        <v>361</v>
      </c>
      <c r="I5028" s="178" t="s">
        <v>1546</v>
      </c>
      <c r="J5028" s="320" t="s">
        <v>214</v>
      </c>
      <c r="K5028" s="178" t="s">
        <v>4871</v>
      </c>
      <c r="L5028" s="125" t="s">
        <v>110</v>
      </c>
      <c r="M5028">
        <v>479</v>
      </c>
      <c r="N5028" s="182">
        <v>103</v>
      </c>
      <c r="O5028">
        <v>3252</v>
      </c>
      <c r="P5028" s="132" t="s">
        <v>77</v>
      </c>
      <c r="Q5028" s="176">
        <v>12000</v>
      </c>
      <c r="R5028" s="176">
        <v>1920</v>
      </c>
      <c r="S5028" s="176"/>
      <c r="T5028" s="190">
        <v>1280</v>
      </c>
      <c r="U5028" s="191">
        <v>150</v>
      </c>
      <c r="V5028" s="191">
        <v>12490</v>
      </c>
      <c r="W5028">
        <v>198</v>
      </c>
      <c r="X5028" s="186" t="s">
        <v>1430</v>
      </c>
      <c r="Y5028" s="187" t="s">
        <v>55</v>
      </c>
      <c r="Z5028" s="311">
        <v>266</v>
      </c>
      <c r="AB5028" t="str">
        <f>IF(Table1[[#This Row],[TIPO2]]="costo", VLOOKUP(Table1[[#This Row],[PARTIDA PRESUPUESTAL]],'Cost Report'!G:G,1,0),"Balance")</f>
        <v>3201-005</v>
      </c>
      <c r="AD5028" s="159">
        <f>+Table1[[#This Row],[SUBTOTAL]]+Table1[[#This Row],[IVA]]-Table1[[#This Row],[RET IVA]]-Table1[[#This Row],[RET ISR]]-Table1[[#This Row],[TOTAL]]</f>
        <v>0</v>
      </c>
      <c r="AK5028" s="306" t="str">
        <f>IF(ISNUMBER(Table1[[#This Row],[FECHA DE RECIBIDO]]), Table1[[#This Row],[FECHA DE RECIBIDO]]-DATE(2023,8,30), "")</f>
        <v/>
      </c>
    </row>
    <row r="5029" spans="1:37" ht="16.05" customHeight="1">
      <c r="A5029" s="172" t="s">
        <v>4755</v>
      </c>
      <c r="B5029" s="178">
        <v>1730</v>
      </c>
      <c r="C5029" s="179" t="s">
        <v>917</v>
      </c>
      <c r="D5029">
        <v>3401</v>
      </c>
      <c r="E5029" s="125" t="s">
        <v>3670</v>
      </c>
      <c r="F5029" s="178" t="s">
        <v>1593</v>
      </c>
      <c r="G5029" s="178" t="s">
        <v>109</v>
      </c>
      <c r="H5029">
        <v>859</v>
      </c>
      <c r="I5029" s="178" t="s">
        <v>1546</v>
      </c>
      <c r="J5029" s="320" t="s">
        <v>214</v>
      </c>
      <c r="K5029" s="178" t="s">
        <v>4871</v>
      </c>
      <c r="L5029" s="125" t="s">
        <v>110</v>
      </c>
      <c r="M5029">
        <v>1193</v>
      </c>
      <c r="N5029" s="182">
        <v>216</v>
      </c>
      <c r="O5029">
        <v>3253</v>
      </c>
      <c r="P5029" s="132" t="s">
        <v>77</v>
      </c>
      <c r="Q5029" s="176">
        <v>11000</v>
      </c>
      <c r="R5029" s="176">
        <v>1760</v>
      </c>
      <c r="S5029" s="176"/>
      <c r="T5029" s="190">
        <v>1173.3399999999999</v>
      </c>
      <c r="U5029" s="191">
        <v>137.5</v>
      </c>
      <c r="V5029" s="191">
        <v>11449.16</v>
      </c>
      <c r="W5029">
        <v>424</v>
      </c>
      <c r="X5029" s="186" t="s">
        <v>1429</v>
      </c>
      <c r="Y5029" s="187" t="s">
        <v>55</v>
      </c>
      <c r="Z5029" s="311">
        <v>266</v>
      </c>
      <c r="AB5029" t="str">
        <f>IF(Table1[[#This Row],[TIPO2]]="costo", VLOOKUP(Table1[[#This Row],[PARTIDA PRESUPUESTAL]],'Cost Report'!G:G,1,0),"Balance")</f>
        <v>3201-012</v>
      </c>
      <c r="AD5029" s="159">
        <f>+Table1[[#This Row],[SUBTOTAL]]+Table1[[#This Row],[IVA]]-Table1[[#This Row],[RET IVA]]-Table1[[#This Row],[RET ISR]]-Table1[[#This Row],[TOTAL]]</f>
        <v>0</v>
      </c>
      <c r="AK5029" s="306" t="str">
        <f>IF(ISNUMBER(Table1[[#This Row],[FECHA DE RECIBIDO]]), Table1[[#This Row],[FECHA DE RECIBIDO]]-DATE(2023,8,30), "")</f>
        <v/>
      </c>
    </row>
    <row r="5030" spans="1:37" ht="16.05" customHeight="1">
      <c r="A5030" s="172" t="s">
        <v>4756</v>
      </c>
      <c r="B5030" s="178">
        <v>1731</v>
      </c>
      <c r="C5030" s="179" t="s">
        <v>716</v>
      </c>
      <c r="D5030">
        <v>3402</v>
      </c>
      <c r="E5030" s="125" t="s">
        <v>3650</v>
      </c>
      <c r="F5030" s="178" t="s">
        <v>1593</v>
      </c>
      <c r="G5030" s="178" t="s">
        <v>109</v>
      </c>
      <c r="H5030">
        <v>362</v>
      </c>
      <c r="I5030" s="178" t="s">
        <v>1546</v>
      </c>
      <c r="J5030" s="320" t="s">
        <v>214</v>
      </c>
      <c r="K5030" s="178" t="s">
        <v>4871</v>
      </c>
      <c r="L5030" s="125" t="s">
        <v>110</v>
      </c>
      <c r="M5030">
        <v>480</v>
      </c>
      <c r="N5030" s="182">
        <v>104</v>
      </c>
      <c r="O5030">
        <v>3254</v>
      </c>
      <c r="P5030" s="132" t="s">
        <v>77</v>
      </c>
      <c r="Q5030" s="176">
        <v>14314.8</v>
      </c>
      <c r="R5030" s="176">
        <v>2290.37</v>
      </c>
      <c r="S5030" s="176"/>
      <c r="T5030" s="190">
        <v>1526.92</v>
      </c>
      <c r="U5030" s="191">
        <v>178.94</v>
      </c>
      <c r="V5030" s="191">
        <v>14899.309999999998</v>
      </c>
      <c r="W5030">
        <v>199</v>
      </c>
      <c r="X5030" s="186" t="s">
        <v>1434</v>
      </c>
      <c r="Y5030" s="187" t="s">
        <v>55</v>
      </c>
      <c r="Z5030" s="311">
        <v>266</v>
      </c>
      <c r="AB5030" t="str">
        <f>IF(Table1[[#This Row],[TIPO2]]="costo", VLOOKUP(Table1[[#This Row],[PARTIDA PRESUPUESTAL]],'Cost Report'!G:G,1,0),"Balance")</f>
        <v>2902-010</v>
      </c>
      <c r="AD5030" s="159">
        <f>+Table1[[#This Row],[SUBTOTAL]]+Table1[[#This Row],[IVA]]-Table1[[#This Row],[RET IVA]]-Table1[[#This Row],[RET ISR]]-Table1[[#This Row],[TOTAL]]</f>
        <v>0</v>
      </c>
      <c r="AK5030" s="306" t="str">
        <f>IF(ISNUMBER(Table1[[#This Row],[FECHA DE RECIBIDO]]), Table1[[#This Row],[FECHA DE RECIBIDO]]-DATE(2023,8,30), "")</f>
        <v/>
      </c>
    </row>
    <row r="5031" spans="1:37" ht="16.05" customHeight="1">
      <c r="A5031" s="172" t="s">
        <v>4757</v>
      </c>
      <c r="B5031" s="178">
        <v>1732</v>
      </c>
      <c r="C5031" s="179" t="s">
        <v>720</v>
      </c>
      <c r="D5031">
        <v>3403</v>
      </c>
      <c r="E5031" s="125" t="s">
        <v>3651</v>
      </c>
      <c r="F5031" s="178" t="s">
        <v>1589</v>
      </c>
      <c r="G5031" s="178" t="s">
        <v>129</v>
      </c>
      <c r="H5031">
        <v>363</v>
      </c>
      <c r="I5031" s="178" t="s">
        <v>1546</v>
      </c>
      <c r="J5031" s="320" t="s">
        <v>214</v>
      </c>
      <c r="K5031" s="178" t="s">
        <v>4871</v>
      </c>
      <c r="L5031" s="125" t="s">
        <v>110</v>
      </c>
      <c r="M5031">
        <v>481</v>
      </c>
      <c r="N5031" s="182">
        <v>105</v>
      </c>
      <c r="O5031">
        <v>3255</v>
      </c>
      <c r="P5031" s="132" t="s">
        <v>77</v>
      </c>
      <c r="Q5031" s="176">
        <v>14312.52</v>
      </c>
      <c r="R5031" s="176">
        <v>2290</v>
      </c>
      <c r="S5031" s="176"/>
      <c r="T5031" s="190">
        <v>1526.67</v>
      </c>
      <c r="U5031" s="191">
        <v>1431.25</v>
      </c>
      <c r="V5031" s="191">
        <v>13644.6</v>
      </c>
      <c r="W5031">
        <v>200</v>
      </c>
      <c r="X5031" s="186" t="s">
        <v>1434</v>
      </c>
      <c r="Y5031" s="187" t="s">
        <v>55</v>
      </c>
      <c r="Z5031" s="311">
        <v>266</v>
      </c>
      <c r="AB5031" t="str">
        <f>IF(Table1[[#This Row],[TIPO2]]="costo", VLOOKUP(Table1[[#This Row],[PARTIDA PRESUPUESTAL]],'Cost Report'!G:G,1,0),"Balance")</f>
        <v>2902-016</v>
      </c>
      <c r="AD5031" s="159">
        <f>+Table1[[#This Row],[SUBTOTAL]]+Table1[[#This Row],[IVA]]-Table1[[#This Row],[RET IVA]]-Table1[[#This Row],[RET ISR]]-Table1[[#This Row],[TOTAL]]</f>
        <v>0</v>
      </c>
      <c r="AK5031" s="306" t="str">
        <f>IF(ISNUMBER(Table1[[#This Row],[FECHA DE RECIBIDO]]), Table1[[#This Row],[FECHA DE RECIBIDO]]-DATE(2023,8,30), "")</f>
        <v/>
      </c>
    </row>
    <row r="5032" spans="1:37" ht="16.05" customHeight="1">
      <c r="A5032" s="172" t="s">
        <v>4758</v>
      </c>
      <c r="B5032" s="178">
        <v>1733</v>
      </c>
      <c r="C5032" s="179" t="s">
        <v>712</v>
      </c>
      <c r="D5032">
        <v>3404</v>
      </c>
      <c r="E5032" s="125" t="s">
        <v>3137</v>
      </c>
      <c r="F5032" s="178" t="s">
        <v>1593</v>
      </c>
      <c r="G5032" s="178" t="s">
        <v>109</v>
      </c>
      <c r="H5032">
        <v>364</v>
      </c>
      <c r="I5032" s="178" t="s">
        <v>1546</v>
      </c>
      <c r="J5032" s="320" t="s">
        <v>214</v>
      </c>
      <c r="K5032" s="178" t="s">
        <v>4871</v>
      </c>
      <c r="L5032" s="125" t="s">
        <v>110</v>
      </c>
      <c r="M5032">
        <v>482</v>
      </c>
      <c r="N5032" s="182">
        <v>106</v>
      </c>
      <c r="O5032">
        <v>3256</v>
      </c>
      <c r="P5032" s="132" t="s">
        <v>77</v>
      </c>
      <c r="Q5032" s="176">
        <v>14314.8</v>
      </c>
      <c r="R5032" s="176">
        <v>2290.37</v>
      </c>
      <c r="S5032" s="176"/>
      <c r="T5032" s="190">
        <v>1526.92</v>
      </c>
      <c r="U5032" s="191">
        <v>178.94</v>
      </c>
      <c r="V5032" s="191">
        <v>14899.309999999998</v>
      </c>
      <c r="W5032">
        <v>201</v>
      </c>
      <c r="X5032" s="186" t="s">
        <v>1434</v>
      </c>
      <c r="Y5032" s="187" t="s">
        <v>55</v>
      </c>
      <c r="Z5032" s="311">
        <v>266</v>
      </c>
      <c r="AB5032" t="str">
        <f>IF(Table1[[#This Row],[TIPO2]]="costo", VLOOKUP(Table1[[#This Row],[PARTIDA PRESUPUESTAL]],'Cost Report'!G:G,1,0),"Balance")</f>
        <v>2902-004</v>
      </c>
      <c r="AD5032" s="159">
        <f>+Table1[[#This Row],[SUBTOTAL]]+Table1[[#This Row],[IVA]]-Table1[[#This Row],[RET IVA]]-Table1[[#This Row],[RET ISR]]-Table1[[#This Row],[TOTAL]]</f>
        <v>0</v>
      </c>
      <c r="AK5032" s="306" t="str">
        <f>IF(ISNUMBER(Table1[[#This Row],[FECHA DE RECIBIDO]]), Table1[[#This Row],[FECHA DE RECIBIDO]]-DATE(2023,8,30), "")</f>
        <v/>
      </c>
    </row>
    <row r="5033" spans="1:37" ht="16.05" customHeight="1">
      <c r="A5033" s="172" t="s">
        <v>4759</v>
      </c>
      <c r="B5033" s="178">
        <v>1734</v>
      </c>
      <c r="C5033" s="179" t="s">
        <v>740</v>
      </c>
      <c r="D5033">
        <v>3405</v>
      </c>
      <c r="E5033" s="125" t="s">
        <v>3652</v>
      </c>
      <c r="F5033" s="178" t="s">
        <v>1593</v>
      </c>
      <c r="G5033" s="178" t="s">
        <v>109</v>
      </c>
      <c r="H5033">
        <v>365</v>
      </c>
      <c r="I5033" s="178" t="s">
        <v>1546</v>
      </c>
      <c r="J5033" s="320" t="s">
        <v>214</v>
      </c>
      <c r="K5033" s="178" t="s">
        <v>4871</v>
      </c>
      <c r="L5033" s="125" t="s">
        <v>110</v>
      </c>
      <c r="M5033">
        <v>483</v>
      </c>
      <c r="N5033" s="182">
        <v>107</v>
      </c>
      <c r="O5033">
        <v>3257</v>
      </c>
      <c r="P5033" s="132" t="s">
        <v>77</v>
      </c>
      <c r="Q5033" s="176">
        <v>14314.8</v>
      </c>
      <c r="R5033" s="176">
        <v>2290.36</v>
      </c>
      <c r="S5033" s="176"/>
      <c r="T5033" s="190">
        <v>1526.91</v>
      </c>
      <c r="U5033" s="191">
        <v>178.93</v>
      </c>
      <c r="V5033" s="191">
        <v>14899.32</v>
      </c>
      <c r="W5033">
        <v>202</v>
      </c>
      <c r="X5033" s="186" t="s">
        <v>3684</v>
      </c>
      <c r="Y5033" s="187" t="s">
        <v>55</v>
      </c>
      <c r="Z5033" s="311">
        <v>266</v>
      </c>
      <c r="AB5033" t="str">
        <f>IF(Table1[[#This Row],[TIPO2]]="costo", VLOOKUP(Table1[[#This Row],[PARTIDA PRESUPUESTAL]],'Cost Report'!G:G,1,0),"Balance")</f>
        <v>3002-004</v>
      </c>
      <c r="AD5033" s="159">
        <f>+Table1[[#This Row],[SUBTOTAL]]+Table1[[#This Row],[IVA]]-Table1[[#This Row],[RET IVA]]-Table1[[#This Row],[RET ISR]]-Table1[[#This Row],[TOTAL]]</f>
        <v>0</v>
      </c>
      <c r="AK5033" s="306" t="str">
        <f>IF(ISNUMBER(Table1[[#This Row],[FECHA DE RECIBIDO]]), Table1[[#This Row],[FECHA DE RECIBIDO]]-DATE(2023,8,30), "")</f>
        <v/>
      </c>
    </row>
    <row r="5034" spans="1:37" ht="16.05" customHeight="1">
      <c r="A5034" s="172" t="s">
        <v>4760</v>
      </c>
      <c r="B5034" s="178">
        <v>1735</v>
      </c>
      <c r="C5034" s="179" t="s">
        <v>748</v>
      </c>
      <c r="D5034">
        <v>3406</v>
      </c>
      <c r="E5034" s="125" t="s">
        <v>1997</v>
      </c>
      <c r="F5034" s="178" t="s">
        <v>1593</v>
      </c>
      <c r="G5034" s="178" t="s">
        <v>109</v>
      </c>
      <c r="H5034">
        <v>366</v>
      </c>
      <c r="I5034" s="178" t="s">
        <v>1546</v>
      </c>
      <c r="J5034" s="320" t="s">
        <v>214</v>
      </c>
      <c r="K5034" s="178" t="s">
        <v>4871</v>
      </c>
      <c r="L5034" s="125" t="s">
        <v>110</v>
      </c>
      <c r="M5034">
        <v>484</v>
      </c>
      <c r="N5034" s="182">
        <v>108</v>
      </c>
      <c r="O5034">
        <v>3256</v>
      </c>
      <c r="P5034" s="132" t="s">
        <v>77</v>
      </c>
      <c r="Q5034" s="176">
        <v>14314.8</v>
      </c>
      <c r="R5034" s="176">
        <v>2290.37</v>
      </c>
      <c r="S5034" s="176"/>
      <c r="T5034" s="190">
        <v>1526.92</v>
      </c>
      <c r="U5034" s="191">
        <v>178.99</v>
      </c>
      <c r="V5034" s="191">
        <v>14899.259999999998</v>
      </c>
      <c r="W5034">
        <v>203</v>
      </c>
      <c r="X5034" s="186" t="s">
        <v>1434</v>
      </c>
      <c r="Y5034" s="187" t="s">
        <v>55</v>
      </c>
      <c r="Z5034" s="311">
        <v>266</v>
      </c>
      <c r="AB5034" t="str">
        <f>IF(Table1[[#This Row],[TIPO2]]="costo", VLOOKUP(Table1[[#This Row],[PARTIDA PRESUPUESTAL]],'Cost Report'!G:G,1,0),"Balance")</f>
        <v>3002-016</v>
      </c>
      <c r="AD5034" s="159">
        <f>+Table1[[#This Row],[SUBTOTAL]]+Table1[[#This Row],[IVA]]-Table1[[#This Row],[RET IVA]]-Table1[[#This Row],[RET ISR]]-Table1[[#This Row],[TOTAL]]</f>
        <v>0</v>
      </c>
      <c r="AK5034" s="306" t="str">
        <f>IF(ISNUMBER(Table1[[#This Row],[FECHA DE RECIBIDO]]), Table1[[#This Row],[FECHA DE RECIBIDO]]-DATE(2023,8,30), "")</f>
        <v/>
      </c>
    </row>
    <row r="5035" spans="1:37" ht="16.05" customHeight="1">
      <c r="A5035" s="172" t="s">
        <v>4761</v>
      </c>
      <c r="B5035" s="178">
        <v>1736</v>
      </c>
      <c r="C5035" s="179" t="s">
        <v>744</v>
      </c>
      <c r="D5035">
        <v>3407</v>
      </c>
      <c r="E5035" s="125" t="s">
        <v>3373</v>
      </c>
      <c r="F5035" s="178" t="s">
        <v>1593</v>
      </c>
      <c r="G5035" s="178" t="s">
        <v>109</v>
      </c>
      <c r="H5035">
        <v>367</v>
      </c>
      <c r="I5035" s="178" t="s">
        <v>1546</v>
      </c>
      <c r="J5035" s="320" t="s">
        <v>214</v>
      </c>
      <c r="K5035" s="178" t="s">
        <v>4871</v>
      </c>
      <c r="L5035" s="125" t="s">
        <v>110</v>
      </c>
      <c r="M5035">
        <v>485</v>
      </c>
      <c r="N5035" s="182">
        <v>109</v>
      </c>
      <c r="O5035">
        <v>3257</v>
      </c>
      <c r="P5035" s="132" t="s">
        <v>77</v>
      </c>
      <c r="Q5035" s="176">
        <v>14314.8</v>
      </c>
      <c r="R5035" s="176">
        <v>2290.36</v>
      </c>
      <c r="S5035" s="176"/>
      <c r="T5035" s="190">
        <v>1526.91</v>
      </c>
      <c r="U5035" s="191">
        <v>178.93</v>
      </c>
      <c r="V5035" s="191">
        <v>14899.32</v>
      </c>
      <c r="W5035">
        <v>204</v>
      </c>
      <c r="X5035" s="186" t="s">
        <v>3684</v>
      </c>
      <c r="Y5035" s="187" t="s">
        <v>55</v>
      </c>
      <c r="Z5035" s="311">
        <v>266</v>
      </c>
      <c r="AB5035" t="str">
        <f>IF(Table1[[#This Row],[TIPO2]]="costo", VLOOKUP(Table1[[#This Row],[PARTIDA PRESUPUESTAL]],'Cost Report'!G:G,1,0),"Balance")</f>
        <v>3002-010</v>
      </c>
      <c r="AD5035" s="159">
        <f>+Table1[[#This Row],[SUBTOTAL]]+Table1[[#This Row],[IVA]]-Table1[[#This Row],[RET IVA]]-Table1[[#This Row],[RET ISR]]-Table1[[#This Row],[TOTAL]]</f>
        <v>0</v>
      </c>
      <c r="AK5035" s="306" t="str">
        <f>IF(ISNUMBER(Table1[[#This Row],[FECHA DE RECIBIDO]]), Table1[[#This Row],[FECHA DE RECIBIDO]]-DATE(2023,8,30), "")</f>
        <v/>
      </c>
    </row>
    <row r="5036" spans="1:37" ht="16.05" customHeight="1">
      <c r="A5036" s="172" t="s">
        <v>4762</v>
      </c>
      <c r="B5036" s="178">
        <v>1737</v>
      </c>
      <c r="C5036" s="179" t="s">
        <v>734</v>
      </c>
      <c r="D5036">
        <v>3408</v>
      </c>
      <c r="E5036" s="125" t="s">
        <v>3268</v>
      </c>
      <c r="F5036" s="178" t="s">
        <v>1593</v>
      </c>
      <c r="G5036" s="178" t="s">
        <v>109</v>
      </c>
      <c r="H5036">
        <v>255</v>
      </c>
      <c r="I5036" s="178" t="s">
        <v>1546</v>
      </c>
      <c r="J5036" s="320" t="s">
        <v>214</v>
      </c>
      <c r="K5036" s="178" t="s">
        <v>4871</v>
      </c>
      <c r="L5036" s="125" t="s">
        <v>110</v>
      </c>
      <c r="M5036">
        <v>486</v>
      </c>
      <c r="N5036" s="182">
        <v>1</v>
      </c>
      <c r="O5036">
        <v>3258</v>
      </c>
      <c r="P5036" s="132" t="s">
        <v>77</v>
      </c>
      <c r="Q5036" s="176">
        <v>17621.23</v>
      </c>
      <c r="R5036" s="176">
        <v>2819.4</v>
      </c>
      <c r="S5036" s="176"/>
      <c r="T5036" s="190">
        <v>1879.6</v>
      </c>
      <c r="U5036" s="191">
        <v>220.27</v>
      </c>
      <c r="V5036" s="191">
        <v>18340.760000000002</v>
      </c>
      <c r="W5036">
        <v>205</v>
      </c>
      <c r="X5036" s="186" t="s">
        <v>2024</v>
      </c>
      <c r="Y5036" s="187" t="s">
        <v>55</v>
      </c>
      <c r="Z5036" s="311">
        <v>266</v>
      </c>
      <c r="AB5036" t="str">
        <f>IF(Table1[[#This Row],[TIPO2]]="costo", VLOOKUP(Table1[[#This Row],[PARTIDA PRESUPUESTAL]],'Cost Report'!G:G,1,0),"Balance")</f>
        <v>3001-004</v>
      </c>
      <c r="AD5036" s="159">
        <f>+Table1[[#This Row],[SUBTOTAL]]+Table1[[#This Row],[IVA]]-Table1[[#This Row],[RET IVA]]-Table1[[#This Row],[RET ISR]]-Table1[[#This Row],[TOTAL]]</f>
        <v>0</v>
      </c>
      <c r="AK5036" s="306" t="str">
        <f>IF(ISNUMBER(Table1[[#This Row],[FECHA DE RECIBIDO]]), Table1[[#This Row],[FECHA DE RECIBIDO]]-DATE(2023,8,30), "")</f>
        <v/>
      </c>
    </row>
    <row r="5037" spans="1:37" ht="16.05" customHeight="1">
      <c r="A5037" s="172" t="s">
        <v>4763</v>
      </c>
      <c r="B5037" s="178">
        <v>1738</v>
      </c>
      <c r="C5037" s="179" t="s">
        <v>757</v>
      </c>
      <c r="D5037">
        <v>3409</v>
      </c>
      <c r="E5037" s="125" t="s">
        <v>3653</v>
      </c>
      <c r="F5037" s="178" t="s">
        <v>1589</v>
      </c>
      <c r="G5037" s="178" t="s">
        <v>129</v>
      </c>
      <c r="H5037">
        <v>369</v>
      </c>
      <c r="I5037" s="178" t="s">
        <v>1546</v>
      </c>
      <c r="J5037" s="320" t="s">
        <v>214</v>
      </c>
      <c r="K5037" s="178" t="s">
        <v>4871</v>
      </c>
      <c r="L5037" s="125" t="s">
        <v>110</v>
      </c>
      <c r="M5037">
        <v>488</v>
      </c>
      <c r="N5037" s="182">
        <v>111</v>
      </c>
      <c r="O5037">
        <v>3259</v>
      </c>
      <c r="P5037" s="132" t="s">
        <v>77</v>
      </c>
      <c r="Q5037" s="176">
        <v>12070</v>
      </c>
      <c r="R5037" s="176">
        <v>1931.2</v>
      </c>
      <c r="S5037" s="176"/>
      <c r="T5037" s="190">
        <v>1287.47</v>
      </c>
      <c r="U5037" s="191">
        <v>1207</v>
      </c>
      <c r="V5037" s="191">
        <v>11506.730000000001</v>
      </c>
      <c r="W5037">
        <v>207</v>
      </c>
      <c r="X5037" s="186" t="s">
        <v>1433</v>
      </c>
      <c r="Y5037" s="187" t="s">
        <v>55</v>
      </c>
      <c r="Z5037" s="311">
        <v>266</v>
      </c>
      <c r="AB5037" t="str">
        <f>IF(Table1[[#This Row],[TIPO2]]="costo", VLOOKUP(Table1[[#This Row],[PARTIDA PRESUPUESTAL]],'Cost Report'!G:G,1,0),"Balance")</f>
        <v>3003-004</v>
      </c>
      <c r="AD5037" s="159">
        <f>+Table1[[#This Row],[SUBTOTAL]]+Table1[[#This Row],[IVA]]-Table1[[#This Row],[RET IVA]]-Table1[[#This Row],[RET ISR]]-Table1[[#This Row],[TOTAL]]</f>
        <v>0</v>
      </c>
      <c r="AK5037" s="306" t="str">
        <f>IF(ISNUMBER(Table1[[#This Row],[FECHA DE RECIBIDO]]), Table1[[#This Row],[FECHA DE RECIBIDO]]-DATE(2023,8,30), "")</f>
        <v/>
      </c>
    </row>
    <row r="5038" spans="1:37" ht="16.05" customHeight="1">
      <c r="A5038" s="172" t="s">
        <v>4764</v>
      </c>
      <c r="B5038" s="178">
        <v>1739</v>
      </c>
      <c r="C5038" s="179" t="s">
        <v>779</v>
      </c>
      <c r="D5038">
        <v>3410</v>
      </c>
      <c r="E5038" s="125" t="s">
        <v>3653</v>
      </c>
      <c r="F5038" s="178" t="s">
        <v>1589</v>
      </c>
      <c r="G5038" s="178" t="s">
        <v>129</v>
      </c>
      <c r="H5038">
        <v>368</v>
      </c>
      <c r="I5038" s="178" t="s">
        <v>1546</v>
      </c>
      <c r="J5038" s="320" t="s">
        <v>214</v>
      </c>
      <c r="K5038" s="178" t="s">
        <v>4871</v>
      </c>
      <c r="L5038" s="125" t="s">
        <v>110</v>
      </c>
      <c r="M5038">
        <v>487</v>
      </c>
      <c r="N5038" s="182">
        <v>110</v>
      </c>
      <c r="O5038">
        <v>3260</v>
      </c>
      <c r="P5038" s="132" t="s">
        <v>77</v>
      </c>
      <c r="Q5038" s="176">
        <v>9775</v>
      </c>
      <c r="R5038" s="176">
        <v>1564</v>
      </c>
      <c r="S5038" s="176"/>
      <c r="T5038" s="190">
        <v>1042.67</v>
      </c>
      <c r="U5038" s="191">
        <v>977.5</v>
      </c>
      <c r="V5038" s="191">
        <v>9318.83</v>
      </c>
      <c r="W5038">
        <v>206</v>
      </c>
      <c r="X5038" s="186" t="s">
        <v>1434</v>
      </c>
      <c r="Y5038" s="187" t="s">
        <v>55</v>
      </c>
      <c r="Z5038" s="311">
        <v>266</v>
      </c>
      <c r="AB5038" t="str">
        <f>IF(Table1[[#This Row],[TIPO2]]="costo", VLOOKUP(Table1[[#This Row],[PARTIDA PRESUPUESTAL]],'Cost Report'!G:G,1,0),"Balance")</f>
        <v>3004-004</v>
      </c>
      <c r="AD5038" s="159">
        <f>+Table1[[#This Row],[SUBTOTAL]]+Table1[[#This Row],[IVA]]-Table1[[#This Row],[RET IVA]]-Table1[[#This Row],[RET ISR]]-Table1[[#This Row],[TOTAL]]</f>
        <v>0</v>
      </c>
      <c r="AK5038" s="306" t="str">
        <f>IF(ISNUMBER(Table1[[#This Row],[FECHA DE RECIBIDO]]), Table1[[#This Row],[FECHA DE RECIBIDO]]-DATE(2023,8,30), "")</f>
        <v/>
      </c>
    </row>
    <row r="5039" spans="1:37" ht="16.05" customHeight="1">
      <c r="A5039" s="172" t="s">
        <v>4765</v>
      </c>
      <c r="B5039" s="178">
        <v>1740</v>
      </c>
      <c r="C5039" s="179" t="s">
        <v>761</v>
      </c>
      <c r="D5039">
        <v>3411</v>
      </c>
      <c r="E5039" s="125" t="s">
        <v>3654</v>
      </c>
      <c r="F5039" s="178" t="s">
        <v>1593</v>
      </c>
      <c r="G5039" s="178" t="s">
        <v>109</v>
      </c>
      <c r="H5039">
        <v>370</v>
      </c>
      <c r="I5039" s="178" t="s">
        <v>1546</v>
      </c>
      <c r="J5039" s="320" t="s">
        <v>214</v>
      </c>
      <c r="K5039" s="178" t="s">
        <v>4871</v>
      </c>
      <c r="L5039" s="125" t="s">
        <v>110</v>
      </c>
      <c r="M5039">
        <v>489</v>
      </c>
      <c r="N5039" s="182">
        <v>112</v>
      </c>
      <c r="O5039">
        <v>3261</v>
      </c>
      <c r="P5039" s="132" t="s">
        <v>77</v>
      </c>
      <c r="Q5039" s="176">
        <v>9775</v>
      </c>
      <c r="R5039" s="176">
        <v>1564</v>
      </c>
      <c r="S5039" s="176"/>
      <c r="T5039" s="190">
        <v>1042.6600000000001</v>
      </c>
      <c r="U5039" s="191">
        <v>122.19</v>
      </c>
      <c r="V5039" s="191">
        <v>10174.15</v>
      </c>
      <c r="W5039">
        <v>208</v>
      </c>
      <c r="X5039" s="186" t="s">
        <v>1431</v>
      </c>
      <c r="Y5039" s="187" t="s">
        <v>55</v>
      </c>
      <c r="Z5039" s="311">
        <v>266</v>
      </c>
      <c r="AB5039" t="str">
        <f>IF(Table1[[#This Row],[TIPO2]]="costo", VLOOKUP(Table1[[#This Row],[PARTIDA PRESUPUESTAL]],'Cost Report'!G:G,1,0),"Balance")</f>
        <v>3003-010</v>
      </c>
      <c r="AD5039" s="159">
        <f>+Table1[[#This Row],[SUBTOTAL]]+Table1[[#This Row],[IVA]]-Table1[[#This Row],[RET IVA]]-Table1[[#This Row],[RET ISR]]-Table1[[#This Row],[TOTAL]]</f>
        <v>0</v>
      </c>
      <c r="AK5039" s="306" t="str">
        <f>IF(ISNUMBER(Table1[[#This Row],[FECHA DE RECIBIDO]]), Table1[[#This Row],[FECHA DE RECIBIDO]]-DATE(2023,8,30), "")</f>
        <v/>
      </c>
    </row>
    <row r="5040" spans="1:37" ht="16.05" customHeight="1">
      <c r="A5040" s="172" t="s">
        <v>4766</v>
      </c>
      <c r="B5040" s="178">
        <v>1741</v>
      </c>
      <c r="C5040" s="179" t="s">
        <v>769</v>
      </c>
      <c r="D5040">
        <v>3412</v>
      </c>
      <c r="E5040" s="125" t="s">
        <v>3655</v>
      </c>
      <c r="F5040" s="178" t="s">
        <v>1593</v>
      </c>
      <c r="G5040" s="178" t="s">
        <v>109</v>
      </c>
      <c r="H5040">
        <v>371</v>
      </c>
      <c r="I5040" s="178" t="s">
        <v>1546</v>
      </c>
      <c r="J5040" s="320" t="s">
        <v>214</v>
      </c>
      <c r="K5040" s="178" t="s">
        <v>4871</v>
      </c>
      <c r="L5040" s="125" t="s">
        <v>110</v>
      </c>
      <c r="M5040">
        <v>490</v>
      </c>
      <c r="N5040" s="182">
        <v>113</v>
      </c>
      <c r="O5040">
        <v>3262</v>
      </c>
      <c r="P5040" s="132" t="s">
        <v>77</v>
      </c>
      <c r="Q5040" s="176">
        <v>10350</v>
      </c>
      <c r="R5040" s="176">
        <v>1656</v>
      </c>
      <c r="S5040" s="176"/>
      <c r="T5040" s="190">
        <v>1103.99</v>
      </c>
      <c r="U5040" s="191">
        <v>129.38</v>
      </c>
      <c r="V5040" s="191">
        <v>10772.630000000001</v>
      </c>
      <c r="W5040">
        <v>209</v>
      </c>
      <c r="X5040" s="186" t="s">
        <v>1429</v>
      </c>
      <c r="Y5040" s="187" t="s">
        <v>55</v>
      </c>
      <c r="Z5040" s="311">
        <v>266</v>
      </c>
      <c r="AB5040" t="str">
        <f>IF(Table1[[#This Row],[TIPO2]]="costo", VLOOKUP(Table1[[#This Row],[PARTIDA PRESUPUESTAL]],'Cost Report'!G:G,1,0),"Balance")</f>
        <v>3003-022</v>
      </c>
      <c r="AD5040" s="159">
        <f>+Table1[[#This Row],[SUBTOTAL]]+Table1[[#This Row],[IVA]]-Table1[[#This Row],[RET IVA]]-Table1[[#This Row],[RET ISR]]-Table1[[#This Row],[TOTAL]]</f>
        <v>0</v>
      </c>
      <c r="AK5040" s="306" t="str">
        <f>IF(ISNUMBER(Table1[[#This Row],[FECHA DE RECIBIDO]]), Table1[[#This Row],[FECHA DE RECIBIDO]]-DATE(2023,8,30), "")</f>
        <v/>
      </c>
    </row>
    <row r="5041" spans="1:37" ht="16.05" customHeight="1">
      <c r="A5041" s="172" t="s">
        <v>4767</v>
      </c>
      <c r="B5041" s="178">
        <v>1742</v>
      </c>
      <c r="C5041" s="179" t="s">
        <v>765</v>
      </c>
      <c r="D5041">
        <v>3413</v>
      </c>
      <c r="E5041" s="125" t="s">
        <v>3782</v>
      </c>
      <c r="F5041" s="178" t="s">
        <v>1593</v>
      </c>
      <c r="G5041" s="178" t="s">
        <v>109</v>
      </c>
      <c r="H5041">
        <v>441</v>
      </c>
      <c r="I5041" s="178" t="s">
        <v>1546</v>
      </c>
      <c r="J5041" s="320" t="s">
        <v>214</v>
      </c>
      <c r="K5041" s="178" t="s">
        <v>4871</v>
      </c>
      <c r="L5041" s="125" t="s">
        <v>110</v>
      </c>
      <c r="M5041">
        <v>610</v>
      </c>
      <c r="N5041" s="182">
        <v>119</v>
      </c>
      <c r="O5041">
        <v>3263</v>
      </c>
      <c r="P5041" s="132" t="s">
        <v>77</v>
      </c>
      <c r="Q5041" s="176">
        <v>10350</v>
      </c>
      <c r="R5041" s="176">
        <v>1656</v>
      </c>
      <c r="S5041" s="176"/>
      <c r="T5041" s="190">
        <v>1104</v>
      </c>
      <c r="U5041" s="191">
        <v>129.38</v>
      </c>
      <c r="V5041" s="191">
        <v>10772.62</v>
      </c>
      <c r="W5041">
        <v>228</v>
      </c>
      <c r="X5041" s="186" t="s">
        <v>1429</v>
      </c>
      <c r="Y5041" s="187" t="s">
        <v>55</v>
      </c>
      <c r="Z5041" s="311">
        <v>266</v>
      </c>
      <c r="AB5041" t="str">
        <f>IF(Table1[[#This Row],[TIPO2]]="costo", VLOOKUP(Table1[[#This Row],[PARTIDA PRESUPUESTAL]],'Cost Report'!G:G,1,0),"Balance")</f>
        <v>3003-016</v>
      </c>
      <c r="AD5041" s="159">
        <f>+Table1[[#This Row],[SUBTOTAL]]+Table1[[#This Row],[IVA]]-Table1[[#This Row],[RET IVA]]-Table1[[#This Row],[RET ISR]]-Table1[[#This Row],[TOTAL]]</f>
        <v>0</v>
      </c>
      <c r="AK5041" s="306" t="str">
        <f>IF(ISNUMBER(Table1[[#This Row],[FECHA DE RECIBIDO]]), Table1[[#This Row],[FECHA DE RECIBIDO]]-DATE(2023,8,30), "")</f>
        <v/>
      </c>
    </row>
    <row r="5042" spans="1:37" ht="16.05" customHeight="1">
      <c r="A5042" s="172" t="s">
        <v>4768</v>
      </c>
      <c r="B5042" s="178">
        <v>1743</v>
      </c>
      <c r="C5042" s="179" t="s">
        <v>1027</v>
      </c>
      <c r="D5042">
        <v>3414</v>
      </c>
      <c r="E5042" s="125" t="s">
        <v>3656</v>
      </c>
      <c r="F5042" s="178" t="s">
        <v>1589</v>
      </c>
      <c r="G5042" s="178" t="s">
        <v>129</v>
      </c>
      <c r="H5042">
        <v>372</v>
      </c>
      <c r="I5042" s="178" t="s">
        <v>1546</v>
      </c>
      <c r="J5042" s="320" t="s">
        <v>214</v>
      </c>
      <c r="K5042" s="178" t="s">
        <v>4871</v>
      </c>
      <c r="L5042" s="125" t="s">
        <v>110</v>
      </c>
      <c r="M5042">
        <v>491</v>
      </c>
      <c r="N5042" s="182">
        <v>114</v>
      </c>
      <c r="O5042">
        <v>3264</v>
      </c>
      <c r="P5042" s="132" t="s">
        <v>77</v>
      </c>
      <c r="Q5042" s="176">
        <v>8000</v>
      </c>
      <c r="R5042" s="176">
        <v>1280</v>
      </c>
      <c r="S5042" s="176"/>
      <c r="T5042" s="190">
        <v>853.34</v>
      </c>
      <c r="U5042" s="191">
        <v>800</v>
      </c>
      <c r="V5042" s="191">
        <v>7626.66</v>
      </c>
      <c r="W5042">
        <v>210</v>
      </c>
      <c r="X5042" s="186" t="s">
        <v>3684</v>
      </c>
      <c r="Y5042" s="187" t="s">
        <v>55</v>
      </c>
      <c r="Z5042" s="311">
        <v>266</v>
      </c>
      <c r="AB5042" t="str">
        <f>IF(Table1[[#This Row],[TIPO2]]="costo", VLOOKUP(Table1[[#This Row],[PARTIDA PRESUPUESTAL]],'Cost Report'!G:G,1,0),"Balance")</f>
        <v>3601-004</v>
      </c>
      <c r="AD5042" s="159">
        <f>+Table1[[#This Row],[SUBTOTAL]]+Table1[[#This Row],[IVA]]-Table1[[#This Row],[RET IVA]]-Table1[[#This Row],[RET ISR]]-Table1[[#This Row],[TOTAL]]</f>
        <v>0</v>
      </c>
      <c r="AK5042" s="306" t="str">
        <f>IF(ISNUMBER(Table1[[#This Row],[FECHA DE RECIBIDO]]), Table1[[#This Row],[FECHA DE RECIBIDO]]-DATE(2023,8,30), "")</f>
        <v/>
      </c>
    </row>
    <row r="5043" spans="1:37" ht="16.05" customHeight="1">
      <c r="A5043" s="172" t="s">
        <v>4769</v>
      </c>
      <c r="B5043" s="178">
        <v>1744</v>
      </c>
      <c r="C5043" s="179" t="s">
        <v>285</v>
      </c>
      <c r="D5043">
        <v>3415</v>
      </c>
      <c r="E5043" s="125" t="s">
        <v>4183</v>
      </c>
      <c r="F5043" s="178" t="s">
        <v>1593</v>
      </c>
      <c r="G5043" s="178" t="s">
        <v>109</v>
      </c>
      <c r="H5043">
        <v>578</v>
      </c>
      <c r="I5043" s="178" t="s">
        <v>1546</v>
      </c>
      <c r="J5043" s="320" t="s">
        <v>214</v>
      </c>
      <c r="K5043" s="178" t="s">
        <v>4871</v>
      </c>
      <c r="L5043" s="125" t="s">
        <v>110</v>
      </c>
      <c r="M5043">
        <v>820</v>
      </c>
      <c r="N5043" s="182">
        <v>169</v>
      </c>
      <c r="O5043">
        <v>3265</v>
      </c>
      <c r="P5043" s="132" t="s">
        <v>77</v>
      </c>
      <c r="Q5043" s="176">
        <v>320000</v>
      </c>
      <c r="R5043" s="176">
        <v>51200</v>
      </c>
      <c r="S5043" s="176"/>
      <c r="T5043" s="190">
        <v>34133.440000000002</v>
      </c>
      <c r="U5043" s="191">
        <v>4000</v>
      </c>
      <c r="V5043" s="191">
        <v>333066.56</v>
      </c>
      <c r="W5043">
        <v>325</v>
      </c>
      <c r="X5043" s="186" t="s">
        <v>1430</v>
      </c>
      <c r="Y5043" s="187" t="s">
        <v>55</v>
      </c>
      <c r="Z5043" s="311">
        <v>266</v>
      </c>
      <c r="AB5043" t="str">
        <f>IF(Table1[[#This Row],[TIPO2]]="costo", VLOOKUP(Table1[[#This Row],[PARTIDA PRESUPUESTAL]],'Cost Report'!G:G,1,0),"Balance")</f>
        <v>1401-011</v>
      </c>
      <c r="AD5043" s="159">
        <f>+Table1[[#This Row],[SUBTOTAL]]+Table1[[#This Row],[IVA]]-Table1[[#This Row],[RET IVA]]-Table1[[#This Row],[RET ISR]]-Table1[[#This Row],[TOTAL]]</f>
        <v>0</v>
      </c>
      <c r="AK5043" s="306" t="str">
        <f>IF(ISNUMBER(Table1[[#This Row],[FECHA DE RECIBIDO]]), Table1[[#This Row],[FECHA DE RECIBIDO]]-DATE(2023,8,30), "")</f>
        <v/>
      </c>
    </row>
    <row r="5044" spans="1:37" ht="16.05" customHeight="1">
      <c r="A5044" s="172" t="s">
        <v>4770</v>
      </c>
      <c r="B5044" s="178">
        <v>1746</v>
      </c>
      <c r="C5044" s="179" t="s">
        <v>304</v>
      </c>
      <c r="D5044">
        <v>3416</v>
      </c>
      <c r="E5044" s="125" t="s">
        <v>4184</v>
      </c>
      <c r="F5044" s="178" t="s">
        <v>1593</v>
      </c>
      <c r="G5044" s="178" t="s">
        <v>109</v>
      </c>
      <c r="H5044">
        <v>579</v>
      </c>
      <c r="I5044" s="178" t="s">
        <v>1546</v>
      </c>
      <c r="J5044" s="320" t="s">
        <v>214</v>
      </c>
      <c r="K5044" s="178" t="s">
        <v>4871</v>
      </c>
      <c r="L5044" s="125" t="s">
        <v>110</v>
      </c>
      <c r="M5044">
        <v>821</v>
      </c>
      <c r="N5044" s="182">
        <v>170</v>
      </c>
      <c r="O5044">
        <v>3266</v>
      </c>
      <c r="P5044" s="132" t="s">
        <v>77</v>
      </c>
      <c r="Q5044" s="176">
        <v>80640</v>
      </c>
      <c r="R5044" s="176">
        <v>12902.4</v>
      </c>
      <c r="S5044" s="176"/>
      <c r="T5044" s="190">
        <v>8601.6299999999992</v>
      </c>
      <c r="U5044" s="191">
        <v>1008</v>
      </c>
      <c r="V5044" s="191">
        <v>83932.76999999999</v>
      </c>
      <c r="W5044">
        <v>326</v>
      </c>
      <c r="X5044" s="186" t="s">
        <v>4209</v>
      </c>
      <c r="Y5044" s="187" t="s">
        <v>55</v>
      </c>
      <c r="Z5044" s="311">
        <v>266</v>
      </c>
      <c r="AB5044" t="str">
        <f>IF(Table1[[#This Row],[TIPO2]]="costo", VLOOKUP(Table1[[#This Row],[PARTIDA PRESUPUESTAL]],'Cost Report'!G:G,1,0),"Balance")</f>
        <v>1401-036</v>
      </c>
      <c r="AD5044" s="159">
        <f>+Table1[[#This Row],[SUBTOTAL]]+Table1[[#This Row],[IVA]]-Table1[[#This Row],[RET IVA]]-Table1[[#This Row],[RET ISR]]-Table1[[#This Row],[TOTAL]]</f>
        <v>0</v>
      </c>
      <c r="AK5044" s="306" t="str">
        <f>IF(ISNUMBER(Table1[[#This Row],[FECHA DE RECIBIDO]]), Table1[[#This Row],[FECHA DE RECIBIDO]]-DATE(2023,8,30), "")</f>
        <v/>
      </c>
    </row>
    <row r="5045" spans="1:37" ht="16.05" customHeight="1">
      <c r="A5045" s="172" t="s">
        <v>4771</v>
      </c>
      <c r="B5045" s="178">
        <v>1747</v>
      </c>
      <c r="C5045" s="179" t="s">
        <v>337</v>
      </c>
      <c r="D5045">
        <v>3417</v>
      </c>
      <c r="E5045" s="125" t="s">
        <v>1997</v>
      </c>
      <c r="F5045" s="178" t="s">
        <v>1593</v>
      </c>
      <c r="G5045" s="178" t="s">
        <v>109</v>
      </c>
      <c r="H5045">
        <v>792</v>
      </c>
      <c r="I5045" s="178" t="s">
        <v>1546</v>
      </c>
      <c r="J5045" s="320" t="s">
        <v>214</v>
      </c>
      <c r="K5045" s="178" t="s">
        <v>4871</v>
      </c>
      <c r="L5045" s="125" t="s">
        <v>110</v>
      </c>
      <c r="M5045">
        <v>1095</v>
      </c>
      <c r="N5045" s="182">
        <v>204</v>
      </c>
      <c r="O5045">
        <v>3267</v>
      </c>
      <c r="P5045" s="132" t="s">
        <v>77</v>
      </c>
      <c r="Q5045" s="176">
        <v>7000</v>
      </c>
      <c r="R5045" s="176">
        <v>1120</v>
      </c>
      <c r="S5045" s="176"/>
      <c r="T5045" s="190">
        <v>746.67</v>
      </c>
      <c r="U5045" s="191">
        <v>87.5</v>
      </c>
      <c r="V5045" s="191">
        <v>7285.83</v>
      </c>
      <c r="W5045">
        <v>391</v>
      </c>
      <c r="X5045" s="186" t="s">
        <v>1429</v>
      </c>
      <c r="Y5045" s="187" t="s">
        <v>55</v>
      </c>
      <c r="Z5045" s="311">
        <v>266</v>
      </c>
      <c r="AB5045" t="str">
        <f>IF(Table1[[#This Row],[TIPO2]]="costo", VLOOKUP(Table1[[#This Row],[PARTIDA PRESUPUESTAL]],'Cost Report'!G:G,1,0),"Balance")</f>
        <v>1403-037</v>
      </c>
      <c r="AD5045" s="159">
        <f>+Table1[[#This Row],[SUBTOTAL]]+Table1[[#This Row],[IVA]]-Table1[[#This Row],[RET IVA]]-Table1[[#This Row],[RET ISR]]-Table1[[#This Row],[TOTAL]]</f>
        <v>0</v>
      </c>
      <c r="AK5045" s="306" t="str">
        <f>IF(ISNUMBER(Table1[[#This Row],[FECHA DE RECIBIDO]]), Table1[[#This Row],[FECHA DE RECIBIDO]]-DATE(2023,8,30), "")</f>
        <v/>
      </c>
    </row>
    <row r="5046" spans="1:37" ht="16.05" customHeight="1">
      <c r="A5046" s="172" t="s">
        <v>4772</v>
      </c>
      <c r="B5046" s="178">
        <v>1748</v>
      </c>
      <c r="C5046" s="179" t="s">
        <v>356</v>
      </c>
      <c r="D5046">
        <v>3418</v>
      </c>
      <c r="E5046" s="125" t="s">
        <v>4773</v>
      </c>
      <c r="F5046" s="178" t="s">
        <v>1589</v>
      </c>
      <c r="G5046" s="178" t="s">
        <v>129</v>
      </c>
      <c r="H5046">
        <v>860</v>
      </c>
      <c r="I5046" s="178" t="s">
        <v>1546</v>
      </c>
      <c r="J5046" s="320" t="s">
        <v>214</v>
      </c>
      <c r="K5046" s="178" t="s">
        <v>4871</v>
      </c>
      <c r="L5046" s="125" t="s">
        <v>110</v>
      </c>
      <c r="M5046">
        <v>1194</v>
      </c>
      <c r="N5046" s="182">
        <v>217</v>
      </c>
      <c r="O5046">
        <v>3268</v>
      </c>
      <c r="P5046" s="132" t="s">
        <v>77</v>
      </c>
      <c r="Q5046" s="176">
        <v>8570</v>
      </c>
      <c r="R5046" s="176">
        <v>1371.2</v>
      </c>
      <c r="S5046" s="176"/>
      <c r="T5046" s="190">
        <v>914.13</v>
      </c>
      <c r="U5046" s="191">
        <v>857</v>
      </c>
      <c r="V5046" s="191">
        <v>8170.0700000000015</v>
      </c>
      <c r="W5046">
        <v>425</v>
      </c>
      <c r="X5046" s="186" t="s">
        <v>2024</v>
      </c>
      <c r="Y5046" s="187" t="s">
        <v>55</v>
      </c>
      <c r="Z5046" s="311">
        <v>266</v>
      </c>
      <c r="AB5046" t="str">
        <f>IF(Table1[[#This Row],[TIPO2]]="costo", VLOOKUP(Table1[[#This Row],[PARTIDA PRESUPUESTAL]],'Cost Report'!G:G,1,0),"Balance")</f>
        <v>1404-005</v>
      </c>
      <c r="AD5046" s="159">
        <f>+Table1[[#This Row],[SUBTOTAL]]+Table1[[#This Row],[IVA]]-Table1[[#This Row],[RET IVA]]-Table1[[#This Row],[RET ISR]]-Table1[[#This Row],[TOTAL]]</f>
        <v>0</v>
      </c>
      <c r="AK5046" s="306" t="str">
        <f>IF(ISNUMBER(Table1[[#This Row],[FECHA DE RECIBIDO]]), Table1[[#This Row],[FECHA DE RECIBIDO]]-DATE(2023,8,30), "")</f>
        <v/>
      </c>
    </row>
    <row r="5047" spans="1:37" ht="16.05" customHeight="1">
      <c r="A5047" s="172" t="s">
        <v>4774</v>
      </c>
      <c r="B5047" s="178">
        <v>1749</v>
      </c>
      <c r="C5047" s="179" t="s">
        <v>342</v>
      </c>
      <c r="D5047">
        <v>3419</v>
      </c>
      <c r="E5047" s="125" t="s">
        <v>3670</v>
      </c>
      <c r="F5047" s="178" t="s">
        <v>1593</v>
      </c>
      <c r="G5047" s="178" t="s">
        <v>109</v>
      </c>
      <c r="H5047">
        <v>861</v>
      </c>
      <c r="I5047" s="178" t="s">
        <v>1546</v>
      </c>
      <c r="J5047" s="320" t="s">
        <v>214</v>
      </c>
      <c r="K5047" s="178" t="s">
        <v>4871</v>
      </c>
      <c r="L5047" s="125" t="s">
        <v>110</v>
      </c>
      <c r="M5047">
        <v>1195</v>
      </c>
      <c r="N5047" s="182">
        <v>218</v>
      </c>
      <c r="O5047">
        <v>3269</v>
      </c>
      <c r="P5047" s="132" t="s">
        <v>77</v>
      </c>
      <c r="Q5047" s="176">
        <v>16800</v>
      </c>
      <c r="R5047" s="176">
        <v>2688</v>
      </c>
      <c r="S5047" s="176"/>
      <c r="T5047" s="190">
        <v>1792.01</v>
      </c>
      <c r="U5047" s="191">
        <v>210</v>
      </c>
      <c r="V5047" s="191">
        <v>17485.990000000002</v>
      </c>
      <c r="W5047">
        <v>426</v>
      </c>
      <c r="X5047" s="186" t="s">
        <v>1431</v>
      </c>
      <c r="Y5047" s="187" t="s">
        <v>55</v>
      </c>
      <c r="Z5047" s="311">
        <v>266</v>
      </c>
      <c r="AB5047" t="str">
        <f>IF(Table1[[#This Row],[TIPO2]]="costo", VLOOKUP(Table1[[#This Row],[PARTIDA PRESUPUESTAL]],'Cost Report'!G:G,1,0),"Balance")</f>
        <v>1403-044</v>
      </c>
      <c r="AD5047" s="159">
        <f>+Table1[[#This Row],[SUBTOTAL]]+Table1[[#This Row],[IVA]]-Table1[[#This Row],[RET IVA]]-Table1[[#This Row],[RET ISR]]-Table1[[#This Row],[TOTAL]]</f>
        <v>0</v>
      </c>
      <c r="AK5047" s="306" t="str">
        <f>IF(ISNUMBER(Table1[[#This Row],[FECHA DE RECIBIDO]]), Table1[[#This Row],[FECHA DE RECIBIDO]]-DATE(2023,8,30), "")</f>
        <v/>
      </c>
    </row>
    <row r="5048" spans="1:37" ht="16.05" customHeight="1">
      <c r="A5048" s="172" t="s">
        <v>4775</v>
      </c>
      <c r="B5048" s="178">
        <v>1750</v>
      </c>
      <c r="C5048" s="179" t="s">
        <v>920</v>
      </c>
      <c r="D5048">
        <v>3420</v>
      </c>
      <c r="E5048" s="125" t="s">
        <v>3371</v>
      </c>
      <c r="F5048" s="178" t="s">
        <v>1589</v>
      </c>
      <c r="G5048" s="178" t="s">
        <v>129</v>
      </c>
      <c r="H5048">
        <v>375</v>
      </c>
      <c r="I5048" s="178" t="s">
        <v>1546</v>
      </c>
      <c r="J5048" s="320" t="s">
        <v>214</v>
      </c>
      <c r="K5048" s="178" t="s">
        <v>4871</v>
      </c>
      <c r="L5048" s="125" t="s">
        <v>110</v>
      </c>
      <c r="M5048">
        <v>494</v>
      </c>
      <c r="N5048" s="182">
        <v>117</v>
      </c>
      <c r="O5048">
        <v>3270</v>
      </c>
      <c r="P5048" s="132" t="s">
        <v>77</v>
      </c>
      <c r="Q5048" s="176">
        <v>12000</v>
      </c>
      <c r="R5048" s="176">
        <v>1920</v>
      </c>
      <c r="S5048" s="176"/>
      <c r="T5048" s="190">
        <v>1280</v>
      </c>
      <c r="U5048" s="191">
        <v>1200</v>
      </c>
      <c r="V5048" s="191">
        <v>11440</v>
      </c>
      <c r="W5048">
        <v>213</v>
      </c>
      <c r="X5048" s="186" t="s">
        <v>1431</v>
      </c>
      <c r="Y5048" s="187" t="s">
        <v>55</v>
      </c>
      <c r="Z5048" s="311">
        <v>266</v>
      </c>
      <c r="AB5048" t="str">
        <f>IF(Table1[[#This Row],[TIPO2]]="costo", VLOOKUP(Table1[[#This Row],[PARTIDA PRESUPUESTAL]],'Cost Report'!G:G,1,0),"Balance")</f>
        <v>3220-003</v>
      </c>
      <c r="AD5048" s="159">
        <f>+Table1[[#This Row],[SUBTOTAL]]+Table1[[#This Row],[IVA]]-Table1[[#This Row],[RET IVA]]-Table1[[#This Row],[RET ISR]]-Table1[[#This Row],[TOTAL]]</f>
        <v>0</v>
      </c>
      <c r="AK5048" s="306" t="str">
        <f>IF(ISNUMBER(Table1[[#This Row],[FECHA DE RECIBIDO]]), Table1[[#This Row],[FECHA DE RECIBIDO]]-DATE(2023,8,30), "")</f>
        <v/>
      </c>
    </row>
    <row r="5049" spans="1:37" ht="16.05" customHeight="1">
      <c r="A5049" s="172" t="s">
        <v>4776</v>
      </c>
      <c r="B5049" s="178">
        <v>1751</v>
      </c>
      <c r="C5049" s="179" t="s">
        <v>922</v>
      </c>
      <c r="D5049">
        <v>3421</v>
      </c>
      <c r="E5049" s="125" t="s">
        <v>3645</v>
      </c>
      <c r="F5049" s="178" t="s">
        <v>1589</v>
      </c>
      <c r="G5049" s="178" t="s">
        <v>129</v>
      </c>
      <c r="H5049">
        <v>535</v>
      </c>
      <c r="I5049" s="178" t="s">
        <v>1546</v>
      </c>
      <c r="J5049" s="320" t="s">
        <v>214</v>
      </c>
      <c r="K5049" s="178" t="s">
        <v>4871</v>
      </c>
      <c r="L5049" s="125" t="s">
        <v>110</v>
      </c>
      <c r="M5049">
        <v>759</v>
      </c>
      <c r="N5049" s="182">
        <v>165</v>
      </c>
      <c r="O5049">
        <v>3271</v>
      </c>
      <c r="P5049" s="132" t="s">
        <v>77</v>
      </c>
      <c r="Q5049" s="176">
        <v>8000</v>
      </c>
      <c r="R5049" s="176">
        <v>1280</v>
      </c>
      <c r="S5049" s="176"/>
      <c r="T5049" s="190">
        <v>853.34</v>
      </c>
      <c r="U5049" s="191">
        <v>800</v>
      </c>
      <c r="V5049" s="191">
        <v>7626.66</v>
      </c>
      <c r="W5049">
        <v>307</v>
      </c>
      <c r="X5049" s="186" t="s">
        <v>1434</v>
      </c>
      <c r="Y5049" s="187" t="s">
        <v>55</v>
      </c>
      <c r="Z5049" s="311">
        <v>266</v>
      </c>
      <c r="AB5049" t="str">
        <f>IF(Table1[[#This Row],[TIPO2]]="costo", VLOOKUP(Table1[[#This Row],[PARTIDA PRESUPUESTAL]],'Cost Report'!G:G,1,0),"Balance")</f>
        <v>3220-007</v>
      </c>
      <c r="AD5049" s="159">
        <f>+Table1[[#This Row],[SUBTOTAL]]+Table1[[#This Row],[IVA]]-Table1[[#This Row],[RET IVA]]-Table1[[#This Row],[RET ISR]]-Table1[[#This Row],[TOTAL]]</f>
        <v>0</v>
      </c>
      <c r="AK5049" s="306" t="str">
        <f>IF(ISNUMBER(Table1[[#This Row],[FECHA DE RECIBIDO]]), Table1[[#This Row],[FECHA DE RECIBIDO]]-DATE(2023,8,30), "")</f>
        <v/>
      </c>
    </row>
    <row r="5050" spans="1:37" ht="16.05" customHeight="1">
      <c r="A5050" s="172" t="s">
        <v>4777</v>
      </c>
      <c r="B5050" s="178">
        <v>1752</v>
      </c>
      <c r="C5050" s="179" t="s">
        <v>2244</v>
      </c>
      <c r="D5050">
        <v>3422</v>
      </c>
      <c r="E5050" s="125" t="s">
        <v>4778</v>
      </c>
      <c r="F5050" s="178" t="s">
        <v>1589</v>
      </c>
      <c r="G5050" s="178" t="s">
        <v>129</v>
      </c>
      <c r="H5050">
        <v>862</v>
      </c>
      <c r="I5050" s="178" t="s">
        <v>1546</v>
      </c>
      <c r="J5050" s="320" t="s">
        <v>214</v>
      </c>
      <c r="K5050" s="178" t="s">
        <v>4871</v>
      </c>
      <c r="L5050" s="125" t="s">
        <v>110</v>
      </c>
      <c r="M5050">
        <v>1196</v>
      </c>
      <c r="N5050" s="182">
        <v>219</v>
      </c>
      <c r="O5050">
        <v>3272</v>
      </c>
      <c r="P5050" s="132" t="s">
        <v>77</v>
      </c>
      <c r="Q5050" s="176">
        <v>10000</v>
      </c>
      <c r="R5050" s="176">
        <v>1600</v>
      </c>
      <c r="S5050" s="176"/>
      <c r="T5050" s="190">
        <v>1066.67</v>
      </c>
      <c r="U5050" s="191">
        <v>1000</v>
      </c>
      <c r="V5050" s="191">
        <v>9533.33</v>
      </c>
      <c r="W5050">
        <v>427</v>
      </c>
      <c r="X5050" s="186" t="s">
        <v>1434</v>
      </c>
      <c r="Y5050" s="187" t="s">
        <v>55</v>
      </c>
      <c r="Z5050" s="311">
        <v>266</v>
      </c>
      <c r="AB5050" t="str">
        <f>IF(Table1[[#This Row],[TIPO2]]="costo", VLOOKUP(Table1[[#This Row],[PARTIDA PRESUPUESTAL]],'Cost Report'!G:G,1,0),"Balance")</f>
        <v>1411-023</v>
      </c>
      <c r="AD5050" s="159">
        <f>+Table1[[#This Row],[SUBTOTAL]]+Table1[[#This Row],[IVA]]-Table1[[#This Row],[RET IVA]]-Table1[[#This Row],[RET ISR]]-Table1[[#This Row],[TOTAL]]</f>
        <v>0</v>
      </c>
      <c r="AK5050" s="306" t="str">
        <f>IF(ISNUMBER(Table1[[#This Row],[FECHA DE RECIBIDO]]), Table1[[#This Row],[FECHA DE RECIBIDO]]-DATE(2023,8,30), "")</f>
        <v/>
      </c>
    </row>
    <row r="5051" spans="1:37" ht="16.05" customHeight="1">
      <c r="A5051" s="172"/>
      <c r="B5051" s="178">
        <v>1752</v>
      </c>
      <c r="C5051" s="179" t="s">
        <v>2245</v>
      </c>
      <c r="D5051">
        <v>3422</v>
      </c>
      <c r="E5051" s="125" t="s">
        <v>4778</v>
      </c>
      <c r="F5051" s="178" t="s">
        <v>1589</v>
      </c>
      <c r="G5051" s="178" t="s">
        <v>129</v>
      </c>
      <c r="H5051">
        <v>862</v>
      </c>
      <c r="I5051" s="178" t="s">
        <v>1546</v>
      </c>
      <c r="J5051" s="320" t="s">
        <v>214</v>
      </c>
      <c r="K5051" s="178" t="s">
        <v>4871</v>
      </c>
      <c r="L5051" s="125" t="s">
        <v>110</v>
      </c>
      <c r="M5051">
        <v>1196</v>
      </c>
      <c r="N5051" s="182">
        <v>219</v>
      </c>
      <c r="O5051">
        <v>3272</v>
      </c>
      <c r="P5051" s="132" t="s">
        <v>77</v>
      </c>
      <c r="Q5051" s="176">
        <v>10000</v>
      </c>
      <c r="R5051" s="176">
        <v>1600</v>
      </c>
      <c r="S5051" s="176"/>
      <c r="T5051" s="190">
        <v>1066.67</v>
      </c>
      <c r="U5051" s="191">
        <v>1000</v>
      </c>
      <c r="V5051" s="191">
        <v>9533.33</v>
      </c>
      <c r="W5051">
        <v>427</v>
      </c>
      <c r="X5051" s="186" t="s">
        <v>1434</v>
      </c>
      <c r="Y5051" s="187" t="s">
        <v>55</v>
      </c>
      <c r="Z5051" s="311">
        <v>266</v>
      </c>
      <c r="AB5051" t="str">
        <f>IF(Table1[[#This Row],[TIPO2]]="costo", VLOOKUP(Table1[[#This Row],[PARTIDA PRESUPUESTAL]],'Cost Report'!G:G,1,0),"Balance")</f>
        <v>1411-024</v>
      </c>
      <c r="AD5051" s="159">
        <f>+Table1[[#This Row],[SUBTOTAL]]+Table1[[#This Row],[IVA]]-Table1[[#This Row],[RET IVA]]-Table1[[#This Row],[RET ISR]]-Table1[[#This Row],[TOTAL]]</f>
        <v>0</v>
      </c>
      <c r="AK5051" s="306" t="str">
        <f>IF(ISNUMBER(Table1[[#This Row],[FECHA DE RECIBIDO]]), Table1[[#This Row],[FECHA DE RECIBIDO]]-DATE(2023,8,30), "")</f>
        <v/>
      </c>
    </row>
    <row r="5052" spans="1:37" ht="16.05" customHeight="1">
      <c r="A5052" s="172"/>
      <c r="B5052" s="178">
        <v>1752</v>
      </c>
      <c r="C5052" s="179" t="s">
        <v>2246</v>
      </c>
      <c r="D5052">
        <v>3422</v>
      </c>
      <c r="E5052" s="125" t="s">
        <v>4778</v>
      </c>
      <c r="F5052" s="178" t="s">
        <v>1589</v>
      </c>
      <c r="G5052" s="178" t="s">
        <v>129</v>
      </c>
      <c r="H5052">
        <v>862</v>
      </c>
      <c r="I5052" s="178" t="s">
        <v>1546</v>
      </c>
      <c r="J5052" s="320" t="s">
        <v>214</v>
      </c>
      <c r="K5052" s="178" t="s">
        <v>4871</v>
      </c>
      <c r="L5052" s="125" t="s">
        <v>110</v>
      </c>
      <c r="M5052">
        <v>1196</v>
      </c>
      <c r="N5052" s="182">
        <v>219</v>
      </c>
      <c r="O5052">
        <v>3272</v>
      </c>
      <c r="P5052" s="132" t="s">
        <v>77</v>
      </c>
      <c r="Q5052" s="176">
        <v>9026</v>
      </c>
      <c r="R5052" s="176">
        <v>1444.16</v>
      </c>
      <c r="S5052" s="176"/>
      <c r="T5052" s="190">
        <v>962.78</v>
      </c>
      <c r="U5052" s="191">
        <v>902.6</v>
      </c>
      <c r="V5052" s="191">
        <v>8604.7799999999988</v>
      </c>
      <c r="W5052">
        <v>427</v>
      </c>
      <c r="X5052" s="186" t="s">
        <v>1434</v>
      </c>
      <c r="Y5052" s="187" t="s">
        <v>55</v>
      </c>
      <c r="Z5052" s="311">
        <v>266</v>
      </c>
      <c r="AB5052" t="str">
        <f>IF(Table1[[#This Row],[TIPO2]]="costo", VLOOKUP(Table1[[#This Row],[PARTIDA PRESUPUESTAL]],'Cost Report'!G:G,1,0),"Balance")</f>
        <v>1411-025</v>
      </c>
      <c r="AD5052" s="159">
        <f>+Table1[[#This Row],[SUBTOTAL]]+Table1[[#This Row],[IVA]]-Table1[[#This Row],[RET IVA]]-Table1[[#This Row],[RET ISR]]-Table1[[#This Row],[TOTAL]]</f>
        <v>0</v>
      </c>
      <c r="AK5052" s="306" t="str">
        <f>IF(ISNUMBER(Table1[[#This Row],[FECHA DE RECIBIDO]]), Table1[[#This Row],[FECHA DE RECIBIDO]]-DATE(2023,8,30), "")</f>
        <v/>
      </c>
    </row>
    <row r="5053" spans="1:37" ht="16.05" customHeight="1">
      <c r="A5053" s="172" t="s">
        <v>4779</v>
      </c>
      <c r="B5053" s="178">
        <v>1753</v>
      </c>
      <c r="C5053" s="179" t="s">
        <v>1844</v>
      </c>
      <c r="D5053">
        <v>3423</v>
      </c>
      <c r="E5053" s="125" t="s">
        <v>3987</v>
      </c>
      <c r="F5053" s="178" t="s">
        <v>1589</v>
      </c>
      <c r="G5053" s="178" t="s">
        <v>129</v>
      </c>
      <c r="H5053">
        <v>537</v>
      </c>
      <c r="I5053" s="178" t="s">
        <v>1546</v>
      </c>
      <c r="J5053" s="320" t="s">
        <v>214</v>
      </c>
      <c r="K5053" s="178" t="s">
        <v>4871</v>
      </c>
      <c r="L5053" s="125" t="s">
        <v>110</v>
      </c>
      <c r="M5053">
        <v>761</v>
      </c>
      <c r="N5053" s="182">
        <v>167</v>
      </c>
      <c r="O5053">
        <v>3273</v>
      </c>
      <c r="P5053" s="132" t="s">
        <v>77</v>
      </c>
      <c r="Q5053" s="176">
        <v>7500</v>
      </c>
      <c r="R5053" s="176">
        <v>1200</v>
      </c>
      <c r="S5053" s="176"/>
      <c r="T5053" s="190">
        <v>800</v>
      </c>
      <c r="U5053" s="191">
        <v>750</v>
      </c>
      <c r="V5053" s="191">
        <v>7150</v>
      </c>
      <c r="W5053">
        <v>309</v>
      </c>
      <c r="X5053" s="186" t="s">
        <v>1429</v>
      </c>
      <c r="Y5053" s="187" t="s">
        <v>55</v>
      </c>
      <c r="Z5053" s="311">
        <v>266</v>
      </c>
      <c r="AB5053" t="str">
        <f>IF(Table1[[#This Row],[TIPO2]]="costo", VLOOKUP(Table1[[#This Row],[PARTIDA PRESUPUESTAL]],'Cost Report'!G:G,1,0),"Balance")</f>
        <v>3145-031</v>
      </c>
      <c r="AD5053" s="159">
        <f>+Table1[[#This Row],[SUBTOTAL]]+Table1[[#This Row],[IVA]]-Table1[[#This Row],[RET IVA]]-Table1[[#This Row],[RET ISR]]-Table1[[#This Row],[TOTAL]]</f>
        <v>0</v>
      </c>
      <c r="AK5053" s="306" t="str">
        <f>IF(ISNUMBER(Table1[[#This Row],[FECHA DE RECIBIDO]]), Table1[[#This Row],[FECHA DE RECIBIDO]]-DATE(2023,8,30), "")</f>
        <v/>
      </c>
    </row>
    <row r="5054" spans="1:37" ht="16.05" customHeight="1">
      <c r="A5054" s="172" t="s">
        <v>4780</v>
      </c>
      <c r="B5054" s="178">
        <v>1754</v>
      </c>
      <c r="C5054" s="179" t="s">
        <v>1835</v>
      </c>
      <c r="D5054">
        <v>3424</v>
      </c>
      <c r="E5054" s="125" t="s">
        <v>4531</v>
      </c>
      <c r="F5054" s="178" t="s">
        <v>1593</v>
      </c>
      <c r="G5054" s="178" t="s">
        <v>109</v>
      </c>
      <c r="H5054">
        <v>790</v>
      </c>
      <c r="I5054" s="178" t="s">
        <v>1546</v>
      </c>
      <c r="J5054" s="320" t="s">
        <v>214</v>
      </c>
      <c r="K5054" s="178" t="s">
        <v>4871</v>
      </c>
      <c r="L5054" s="125" t="s">
        <v>110</v>
      </c>
      <c r="M5054">
        <v>1093</v>
      </c>
      <c r="N5054" s="182">
        <v>202</v>
      </c>
      <c r="O5054">
        <v>3274</v>
      </c>
      <c r="P5054" s="132" t="s">
        <v>77</v>
      </c>
      <c r="Q5054" s="176">
        <v>15000</v>
      </c>
      <c r="R5054" s="176">
        <v>2400</v>
      </c>
      <c r="S5054" s="176"/>
      <c r="T5054" s="190">
        <v>1600</v>
      </c>
      <c r="U5054" s="191">
        <v>187.5</v>
      </c>
      <c r="V5054" s="191">
        <v>15612.5</v>
      </c>
      <c r="W5054">
        <v>389</v>
      </c>
      <c r="X5054" s="186" t="s">
        <v>1429</v>
      </c>
      <c r="Y5054" s="187" t="s">
        <v>55</v>
      </c>
      <c r="Z5054" s="311">
        <v>266</v>
      </c>
      <c r="AB5054" t="str">
        <f>IF(Table1[[#This Row],[TIPO2]]="costo", VLOOKUP(Table1[[#This Row],[PARTIDA PRESUPUESTAL]],'Cost Report'!G:G,1,0),"Balance")</f>
        <v>3145-016</v>
      </c>
      <c r="AD5054" s="159">
        <f>+Table1[[#This Row],[SUBTOTAL]]+Table1[[#This Row],[IVA]]-Table1[[#This Row],[RET IVA]]-Table1[[#This Row],[RET ISR]]-Table1[[#This Row],[TOTAL]]</f>
        <v>0</v>
      </c>
      <c r="AK5054" s="306" t="str">
        <f>IF(ISNUMBER(Table1[[#This Row],[FECHA DE RECIBIDO]]), Table1[[#This Row],[FECHA DE RECIBIDO]]-DATE(2023,8,30), "")</f>
        <v/>
      </c>
    </row>
    <row r="5055" spans="1:37" ht="16.05" customHeight="1">
      <c r="A5055" s="172" t="s">
        <v>4781</v>
      </c>
      <c r="B5055" s="178">
        <v>1756</v>
      </c>
      <c r="C5055" s="179" t="s">
        <v>1868</v>
      </c>
      <c r="D5055">
        <v>3425</v>
      </c>
      <c r="E5055" s="125" t="s">
        <v>1599</v>
      </c>
      <c r="F5055" s="178" t="s">
        <v>1589</v>
      </c>
      <c r="G5055" s="178" t="s">
        <v>129</v>
      </c>
      <c r="H5055">
        <v>20</v>
      </c>
      <c r="I5055" s="178" t="s">
        <v>1546</v>
      </c>
      <c r="J5055" s="320" t="s">
        <v>214</v>
      </c>
      <c r="K5055" s="178" t="s">
        <v>4871</v>
      </c>
      <c r="L5055" s="125" t="s">
        <v>4782</v>
      </c>
      <c r="M5055">
        <v>26</v>
      </c>
      <c r="N5055" s="182">
        <v>11</v>
      </c>
      <c r="O5055">
        <v>3275</v>
      </c>
      <c r="P5055" s="132" t="s">
        <v>77</v>
      </c>
      <c r="Q5055" s="176">
        <v>2160</v>
      </c>
      <c r="R5055" s="176">
        <v>345.6</v>
      </c>
      <c r="S5055" s="176"/>
      <c r="T5055" s="190">
        <v>230.4</v>
      </c>
      <c r="U5055" s="191">
        <v>216</v>
      </c>
      <c r="V5055" s="191">
        <v>2059.1999999999998</v>
      </c>
      <c r="W5055">
        <v>20</v>
      </c>
      <c r="X5055" s="186" t="s">
        <v>1434</v>
      </c>
      <c r="Y5055" s="187" t="s">
        <v>55</v>
      </c>
      <c r="Z5055" s="311">
        <v>266</v>
      </c>
      <c r="AB5055" t="str">
        <f>IF(Table1[[#This Row],[TIPO2]]="costo", VLOOKUP(Table1[[#This Row],[PARTIDA PRESUPUESTAL]],'Cost Report'!G:G,1,0),"Balance")</f>
        <v>3442-006</v>
      </c>
      <c r="AD5055" s="159">
        <f>+Table1[[#This Row],[SUBTOTAL]]+Table1[[#This Row],[IVA]]-Table1[[#This Row],[RET IVA]]-Table1[[#This Row],[RET ISR]]-Table1[[#This Row],[TOTAL]]</f>
        <v>0</v>
      </c>
      <c r="AK5055" s="306" t="str">
        <f>IF(ISNUMBER(Table1[[#This Row],[FECHA DE RECIBIDO]]), Table1[[#This Row],[FECHA DE RECIBIDO]]-DATE(2023,8,30), "")</f>
        <v/>
      </c>
    </row>
    <row r="5056" spans="1:37" ht="16.05" customHeight="1">
      <c r="A5056" s="172" t="s">
        <v>4783</v>
      </c>
      <c r="B5056" s="178">
        <v>1757</v>
      </c>
      <c r="C5056" s="179" t="s">
        <v>1868</v>
      </c>
      <c r="D5056">
        <v>3426</v>
      </c>
      <c r="E5056" s="125" t="s">
        <v>1599</v>
      </c>
      <c r="F5056" s="178" t="s">
        <v>1589</v>
      </c>
      <c r="G5056" s="178" t="s">
        <v>129</v>
      </c>
      <c r="H5056">
        <v>20</v>
      </c>
      <c r="I5056" s="178" t="s">
        <v>1546</v>
      </c>
      <c r="J5056" s="320" t="s">
        <v>214</v>
      </c>
      <c r="K5056" s="178" t="s">
        <v>4871</v>
      </c>
      <c r="L5056" s="125" t="s">
        <v>4782</v>
      </c>
      <c r="M5056">
        <v>26</v>
      </c>
      <c r="N5056" s="182">
        <v>11</v>
      </c>
      <c r="O5056">
        <v>3276</v>
      </c>
      <c r="P5056" s="132" t="s">
        <v>77</v>
      </c>
      <c r="Q5056" s="176">
        <v>1080</v>
      </c>
      <c r="R5056" s="176">
        <v>172.8</v>
      </c>
      <c r="S5056" s="176"/>
      <c r="T5056" s="190">
        <v>115.2</v>
      </c>
      <c r="U5056" s="191">
        <v>108</v>
      </c>
      <c r="V5056" s="191">
        <v>1029.5999999999999</v>
      </c>
      <c r="W5056">
        <v>20</v>
      </c>
      <c r="X5056" s="186" t="s">
        <v>1434</v>
      </c>
      <c r="Y5056" s="187" t="s">
        <v>55</v>
      </c>
      <c r="Z5056" s="311">
        <v>266</v>
      </c>
      <c r="AB5056" t="str">
        <f>IF(Table1[[#This Row],[TIPO2]]="costo", VLOOKUP(Table1[[#This Row],[PARTIDA PRESUPUESTAL]],'Cost Report'!G:G,1,0),"Balance")</f>
        <v>3442-006</v>
      </c>
      <c r="AD5056" s="159">
        <f>+Table1[[#This Row],[SUBTOTAL]]+Table1[[#This Row],[IVA]]-Table1[[#This Row],[RET IVA]]-Table1[[#This Row],[RET ISR]]-Table1[[#This Row],[TOTAL]]</f>
        <v>0</v>
      </c>
      <c r="AK5056" s="306" t="str">
        <f>IF(ISNUMBER(Table1[[#This Row],[FECHA DE RECIBIDO]]), Table1[[#This Row],[FECHA DE RECIBIDO]]-DATE(2023,8,30), "")</f>
        <v/>
      </c>
    </row>
    <row r="5057" spans="1:37" ht="16.05" customHeight="1">
      <c r="A5057" s="172" t="s">
        <v>4784</v>
      </c>
      <c r="B5057" s="178">
        <v>1758</v>
      </c>
      <c r="C5057" s="179" t="s">
        <v>1869</v>
      </c>
      <c r="D5057">
        <v>3427</v>
      </c>
      <c r="E5057" s="125" t="s">
        <v>1599</v>
      </c>
      <c r="F5057" s="178" t="s">
        <v>1589</v>
      </c>
      <c r="G5057" s="178" t="s">
        <v>129</v>
      </c>
      <c r="H5057">
        <v>20</v>
      </c>
      <c r="I5057" s="178" t="s">
        <v>1546</v>
      </c>
      <c r="J5057" s="320" t="s">
        <v>214</v>
      </c>
      <c r="K5057" s="178" t="s">
        <v>4871</v>
      </c>
      <c r="L5057" s="125" t="s">
        <v>4782</v>
      </c>
      <c r="M5057">
        <v>26</v>
      </c>
      <c r="N5057" s="182">
        <v>11</v>
      </c>
      <c r="O5057">
        <v>3277</v>
      </c>
      <c r="P5057" s="132" t="s">
        <v>77</v>
      </c>
      <c r="Q5057" s="176">
        <v>1080</v>
      </c>
      <c r="R5057" s="176">
        <v>172.8</v>
      </c>
      <c r="S5057" s="176"/>
      <c r="T5057" s="190">
        <v>115.2</v>
      </c>
      <c r="U5057" s="191">
        <v>108</v>
      </c>
      <c r="V5057" s="191">
        <v>1029.5999999999999</v>
      </c>
      <c r="W5057">
        <v>20</v>
      </c>
      <c r="X5057" s="186" t="s">
        <v>1434</v>
      </c>
      <c r="Y5057" s="187" t="s">
        <v>55</v>
      </c>
      <c r="Z5057" s="311">
        <v>266</v>
      </c>
      <c r="AB5057" t="str">
        <f>IF(Table1[[#This Row],[TIPO2]]="costo", VLOOKUP(Table1[[#This Row],[PARTIDA PRESUPUESTAL]],'Cost Report'!G:G,1,0),"Balance")</f>
        <v>3442-007</v>
      </c>
      <c r="AD5057" s="159">
        <f>+Table1[[#This Row],[SUBTOTAL]]+Table1[[#This Row],[IVA]]-Table1[[#This Row],[RET IVA]]-Table1[[#This Row],[RET ISR]]-Table1[[#This Row],[TOTAL]]</f>
        <v>0</v>
      </c>
      <c r="AK5057" s="306" t="str">
        <f>IF(ISNUMBER(Table1[[#This Row],[FECHA DE RECIBIDO]]), Table1[[#This Row],[FECHA DE RECIBIDO]]-DATE(2023,8,30), "")</f>
        <v/>
      </c>
    </row>
    <row r="5058" spans="1:37" ht="16.05" customHeight="1">
      <c r="A5058" s="172" t="s">
        <v>4785</v>
      </c>
      <c r="B5058" s="178">
        <v>1759</v>
      </c>
      <c r="C5058" s="179" t="s">
        <v>1869</v>
      </c>
      <c r="D5058">
        <v>3428</v>
      </c>
      <c r="E5058" s="125" t="s">
        <v>1613</v>
      </c>
      <c r="F5058" s="178" t="s">
        <v>1593</v>
      </c>
      <c r="G5058" s="178" t="s">
        <v>109</v>
      </c>
      <c r="H5058">
        <v>110</v>
      </c>
      <c r="I5058" s="178" t="s">
        <v>1546</v>
      </c>
      <c r="J5058" s="320" t="s">
        <v>214</v>
      </c>
      <c r="K5058" s="178" t="s">
        <v>4871</v>
      </c>
      <c r="L5058" s="125" t="s">
        <v>4782</v>
      </c>
      <c r="M5058">
        <v>148</v>
      </c>
      <c r="N5058" s="182">
        <v>40</v>
      </c>
      <c r="O5058">
        <v>3278</v>
      </c>
      <c r="P5058" s="132" t="s">
        <v>77</v>
      </c>
      <c r="Q5058" s="176">
        <v>1560</v>
      </c>
      <c r="R5058" s="176">
        <v>249.6</v>
      </c>
      <c r="S5058" s="176"/>
      <c r="T5058" s="190">
        <v>166.4</v>
      </c>
      <c r="U5058" s="191">
        <v>19.5</v>
      </c>
      <c r="V5058" s="191">
        <v>1623.6999999999998</v>
      </c>
      <c r="W5058">
        <v>72</v>
      </c>
      <c r="X5058" s="186" t="s">
        <v>1429</v>
      </c>
      <c r="Y5058" s="187" t="s">
        <v>55</v>
      </c>
      <c r="Z5058" s="311">
        <v>266</v>
      </c>
      <c r="AB5058" t="str">
        <f>IF(Table1[[#This Row],[TIPO2]]="costo", VLOOKUP(Table1[[#This Row],[PARTIDA PRESUPUESTAL]],'Cost Report'!G:G,1,0),"Balance")</f>
        <v>3442-007</v>
      </c>
      <c r="AD5058" s="159">
        <f>+Table1[[#This Row],[SUBTOTAL]]+Table1[[#This Row],[IVA]]-Table1[[#This Row],[RET IVA]]-Table1[[#This Row],[RET ISR]]-Table1[[#This Row],[TOTAL]]</f>
        <v>0</v>
      </c>
      <c r="AK5058" s="306" t="str">
        <f>IF(ISNUMBER(Table1[[#This Row],[FECHA DE RECIBIDO]]), Table1[[#This Row],[FECHA DE RECIBIDO]]-DATE(2023,8,30), "")</f>
        <v/>
      </c>
    </row>
    <row r="5059" spans="1:37" ht="16.05" customHeight="1">
      <c r="A5059" s="172" t="s">
        <v>4786</v>
      </c>
      <c r="B5059" s="178">
        <v>1760</v>
      </c>
      <c r="C5059" s="179" t="s">
        <v>1869</v>
      </c>
      <c r="D5059">
        <v>3429</v>
      </c>
      <c r="E5059" s="125" t="s">
        <v>2014</v>
      </c>
      <c r="F5059" s="178" t="s">
        <v>1589</v>
      </c>
      <c r="G5059" s="178" t="s">
        <v>129</v>
      </c>
      <c r="H5059">
        <v>111</v>
      </c>
      <c r="I5059" s="178" t="s">
        <v>1546</v>
      </c>
      <c r="J5059" s="320" t="s">
        <v>214</v>
      </c>
      <c r="K5059" s="178" t="s">
        <v>4871</v>
      </c>
      <c r="L5059" s="125" t="s">
        <v>4782</v>
      </c>
      <c r="M5059">
        <v>149</v>
      </c>
      <c r="N5059" s="182">
        <v>41</v>
      </c>
      <c r="O5059">
        <v>3279</v>
      </c>
      <c r="P5059" s="132" t="s">
        <v>77</v>
      </c>
      <c r="Q5059" s="176">
        <v>2426.5</v>
      </c>
      <c r="R5059" s="176">
        <v>388.24</v>
      </c>
      <c r="S5059" s="176"/>
      <c r="T5059" s="190">
        <v>258.83</v>
      </c>
      <c r="U5059" s="191">
        <v>242.65</v>
      </c>
      <c r="V5059" s="191">
        <v>2313.2599999999998</v>
      </c>
      <c r="W5059">
        <v>73</v>
      </c>
      <c r="X5059" s="186" t="s">
        <v>1430</v>
      </c>
      <c r="Y5059" s="187" t="s">
        <v>55</v>
      </c>
      <c r="Z5059" s="311">
        <v>266</v>
      </c>
      <c r="AB5059" t="str">
        <f>IF(Table1[[#This Row],[TIPO2]]="costo", VLOOKUP(Table1[[#This Row],[PARTIDA PRESUPUESTAL]],'Cost Report'!G:G,1,0),"Balance")</f>
        <v>3442-007</v>
      </c>
      <c r="AD5059" s="159">
        <f>+Table1[[#This Row],[SUBTOTAL]]+Table1[[#This Row],[IVA]]-Table1[[#This Row],[RET IVA]]-Table1[[#This Row],[RET ISR]]-Table1[[#This Row],[TOTAL]]</f>
        <v>0</v>
      </c>
      <c r="AK5059" s="306" t="str">
        <f>IF(ISNUMBER(Table1[[#This Row],[FECHA DE RECIBIDO]]), Table1[[#This Row],[FECHA DE RECIBIDO]]-DATE(2023,8,30), "")</f>
        <v/>
      </c>
    </row>
    <row r="5060" spans="1:37" ht="16.05" customHeight="1">
      <c r="A5060" s="172" t="s">
        <v>4787</v>
      </c>
      <c r="B5060" s="178">
        <v>1761</v>
      </c>
      <c r="C5060" s="179" t="s">
        <v>1869</v>
      </c>
      <c r="D5060">
        <v>3430</v>
      </c>
      <c r="E5060" s="125" t="s">
        <v>3135</v>
      </c>
      <c r="F5060" s="178" t="s">
        <v>1593</v>
      </c>
      <c r="G5060" s="178" t="s">
        <v>109</v>
      </c>
      <c r="H5060">
        <v>188</v>
      </c>
      <c r="I5060" s="178" t="s">
        <v>1546</v>
      </c>
      <c r="J5060" s="320" t="s">
        <v>214</v>
      </c>
      <c r="K5060" s="178" t="s">
        <v>4871</v>
      </c>
      <c r="L5060" s="125" t="s">
        <v>4782</v>
      </c>
      <c r="M5060">
        <v>253</v>
      </c>
      <c r="N5060" s="182">
        <v>53</v>
      </c>
      <c r="O5060">
        <v>3280</v>
      </c>
      <c r="P5060" s="132" t="s">
        <v>77</v>
      </c>
      <c r="Q5060" s="176">
        <v>2273.34</v>
      </c>
      <c r="R5060" s="176">
        <v>363.73</v>
      </c>
      <c r="S5060" s="176"/>
      <c r="T5060" s="190">
        <v>242.49</v>
      </c>
      <c r="U5060" s="191">
        <v>28.42</v>
      </c>
      <c r="V5060" s="191">
        <v>2366.16</v>
      </c>
      <c r="W5060">
        <v>109</v>
      </c>
      <c r="X5060" s="186" t="s">
        <v>1429</v>
      </c>
      <c r="Y5060" s="187" t="s">
        <v>55</v>
      </c>
      <c r="Z5060" s="311">
        <v>266</v>
      </c>
      <c r="AB5060" t="str">
        <f>IF(Table1[[#This Row],[TIPO2]]="costo", VLOOKUP(Table1[[#This Row],[PARTIDA PRESUPUESTAL]],'Cost Report'!G:G,1,0),"Balance")</f>
        <v>3442-007</v>
      </c>
      <c r="AD5060" s="159">
        <f>+Table1[[#This Row],[SUBTOTAL]]+Table1[[#This Row],[IVA]]-Table1[[#This Row],[RET IVA]]-Table1[[#This Row],[RET ISR]]-Table1[[#This Row],[TOTAL]]</f>
        <v>0</v>
      </c>
      <c r="AK5060" s="306" t="str">
        <f>IF(ISNUMBER(Table1[[#This Row],[FECHA DE RECIBIDO]]), Table1[[#This Row],[FECHA DE RECIBIDO]]-DATE(2023,8,30), "")</f>
        <v/>
      </c>
    </row>
    <row r="5061" spans="1:37" ht="16.05" customHeight="1">
      <c r="A5061" s="172" t="s">
        <v>4788</v>
      </c>
      <c r="B5061" s="178">
        <v>1762</v>
      </c>
      <c r="C5061" s="179" t="s">
        <v>1869</v>
      </c>
      <c r="D5061">
        <v>3431</v>
      </c>
      <c r="E5061" s="125" t="s">
        <v>1614</v>
      </c>
      <c r="F5061" s="178" t="s">
        <v>1593</v>
      </c>
      <c r="G5061" s="178" t="s">
        <v>109</v>
      </c>
      <c r="H5061">
        <v>339</v>
      </c>
      <c r="I5061" s="178" t="s">
        <v>1546</v>
      </c>
      <c r="J5061" s="320" t="s">
        <v>214</v>
      </c>
      <c r="K5061" s="178" t="s">
        <v>4871</v>
      </c>
      <c r="L5061" s="125" t="s">
        <v>4782</v>
      </c>
      <c r="M5061">
        <v>456</v>
      </c>
      <c r="N5061" s="182">
        <v>81</v>
      </c>
      <c r="O5061">
        <v>3281</v>
      </c>
      <c r="P5061" s="132" t="s">
        <v>77</v>
      </c>
      <c r="Q5061" s="176">
        <v>960</v>
      </c>
      <c r="R5061" s="176">
        <v>153.6</v>
      </c>
      <c r="S5061" s="176"/>
      <c r="T5061" s="190">
        <v>102.4</v>
      </c>
      <c r="U5061" s="191">
        <v>12</v>
      </c>
      <c r="V5061" s="191">
        <v>999.19999999999993</v>
      </c>
      <c r="W5061">
        <v>176</v>
      </c>
      <c r="X5061" s="186" t="s">
        <v>1429</v>
      </c>
      <c r="Y5061" s="187" t="s">
        <v>55</v>
      </c>
      <c r="Z5061" s="311">
        <v>266</v>
      </c>
      <c r="AB5061" t="str">
        <f>IF(Table1[[#This Row],[TIPO2]]="costo", VLOOKUP(Table1[[#This Row],[PARTIDA PRESUPUESTAL]],'Cost Report'!G:G,1,0),"Balance")</f>
        <v>3442-007</v>
      </c>
      <c r="AD5061" s="159">
        <f>+Table1[[#This Row],[SUBTOTAL]]+Table1[[#This Row],[IVA]]-Table1[[#This Row],[RET IVA]]-Table1[[#This Row],[RET ISR]]-Table1[[#This Row],[TOTAL]]</f>
        <v>0</v>
      </c>
      <c r="AK5061" s="306" t="str">
        <f>IF(ISNUMBER(Table1[[#This Row],[FECHA DE RECIBIDO]]), Table1[[#This Row],[FECHA DE RECIBIDO]]-DATE(2023,8,30), "")</f>
        <v/>
      </c>
    </row>
    <row r="5062" spans="1:37" ht="16.05" customHeight="1">
      <c r="A5062" s="172" t="s">
        <v>4789</v>
      </c>
      <c r="B5062" s="178">
        <v>1763</v>
      </c>
      <c r="C5062" s="179" t="s">
        <v>1869</v>
      </c>
      <c r="D5062">
        <v>3432</v>
      </c>
      <c r="E5062" s="125" t="s">
        <v>3137</v>
      </c>
      <c r="F5062" s="178" t="s">
        <v>1593</v>
      </c>
      <c r="G5062" s="178" t="s">
        <v>109</v>
      </c>
      <c r="H5062">
        <v>189</v>
      </c>
      <c r="I5062" s="178" t="s">
        <v>1546</v>
      </c>
      <c r="J5062" s="320" t="s">
        <v>214</v>
      </c>
      <c r="K5062" s="178" t="s">
        <v>4871</v>
      </c>
      <c r="L5062" s="125" t="s">
        <v>4782</v>
      </c>
      <c r="M5062">
        <v>254</v>
      </c>
      <c r="N5062" s="182">
        <v>54</v>
      </c>
      <c r="O5062">
        <v>3282</v>
      </c>
      <c r="P5062" s="132" t="s">
        <v>77</v>
      </c>
      <c r="Q5062" s="176">
        <v>2273.34</v>
      </c>
      <c r="R5062" s="176">
        <v>363.73</v>
      </c>
      <c r="S5062" s="176"/>
      <c r="T5062" s="190">
        <v>242.49</v>
      </c>
      <c r="U5062" s="191">
        <v>28.42</v>
      </c>
      <c r="V5062" s="191">
        <v>2366.16</v>
      </c>
      <c r="W5062">
        <v>110</v>
      </c>
      <c r="X5062" s="186" t="s">
        <v>1429</v>
      </c>
      <c r="Y5062" s="187" t="s">
        <v>55</v>
      </c>
      <c r="Z5062" s="311">
        <v>266</v>
      </c>
      <c r="AB5062" t="str">
        <f>IF(Table1[[#This Row],[TIPO2]]="costo", VLOOKUP(Table1[[#This Row],[PARTIDA PRESUPUESTAL]],'Cost Report'!G:G,1,0),"Balance")</f>
        <v>3442-007</v>
      </c>
      <c r="AD5062" s="159">
        <f>+Table1[[#This Row],[SUBTOTAL]]+Table1[[#This Row],[IVA]]-Table1[[#This Row],[RET IVA]]-Table1[[#This Row],[RET ISR]]-Table1[[#This Row],[TOTAL]]</f>
        <v>0</v>
      </c>
      <c r="AK5062" s="306" t="str">
        <f>IF(ISNUMBER(Table1[[#This Row],[FECHA DE RECIBIDO]]), Table1[[#This Row],[FECHA DE RECIBIDO]]-DATE(2023,8,30), "")</f>
        <v/>
      </c>
    </row>
    <row r="5063" spans="1:37" ht="16.05" customHeight="1">
      <c r="A5063" s="172" t="s">
        <v>4790</v>
      </c>
      <c r="B5063" s="178">
        <v>1764</v>
      </c>
      <c r="C5063" s="179" t="s">
        <v>1868</v>
      </c>
      <c r="D5063">
        <v>3433</v>
      </c>
      <c r="E5063" s="125" t="s">
        <v>1600</v>
      </c>
      <c r="F5063" s="178" t="s">
        <v>1593</v>
      </c>
      <c r="G5063" s="178" t="s">
        <v>109</v>
      </c>
      <c r="H5063">
        <v>109</v>
      </c>
      <c r="I5063" s="178" t="s">
        <v>1546</v>
      </c>
      <c r="J5063" s="320" t="s">
        <v>214</v>
      </c>
      <c r="K5063" s="178" t="s">
        <v>4871</v>
      </c>
      <c r="L5063" s="125" t="s">
        <v>4782</v>
      </c>
      <c r="M5063">
        <v>147</v>
      </c>
      <c r="N5063" s="182">
        <v>39</v>
      </c>
      <c r="O5063">
        <v>3283</v>
      </c>
      <c r="P5063" s="132" t="s">
        <v>77</v>
      </c>
      <c r="Q5063" s="176">
        <v>2273.35</v>
      </c>
      <c r="R5063" s="176">
        <v>363.74</v>
      </c>
      <c r="S5063" s="176"/>
      <c r="T5063" s="190">
        <v>242.49</v>
      </c>
      <c r="U5063" s="191">
        <v>28.42</v>
      </c>
      <c r="V5063" s="191">
        <v>2366.1800000000003</v>
      </c>
      <c r="W5063">
        <v>71</v>
      </c>
      <c r="X5063" s="186" t="s">
        <v>2023</v>
      </c>
      <c r="Y5063" s="187" t="s">
        <v>55</v>
      </c>
      <c r="Z5063" s="311">
        <v>266</v>
      </c>
      <c r="AB5063" t="str">
        <f>IF(Table1[[#This Row],[TIPO2]]="costo", VLOOKUP(Table1[[#This Row],[PARTIDA PRESUPUESTAL]],'Cost Report'!G:G,1,0),"Balance")</f>
        <v>3442-006</v>
      </c>
      <c r="AD5063" s="159">
        <f>+Table1[[#This Row],[SUBTOTAL]]+Table1[[#This Row],[IVA]]-Table1[[#This Row],[RET IVA]]-Table1[[#This Row],[RET ISR]]-Table1[[#This Row],[TOTAL]]</f>
        <v>0</v>
      </c>
      <c r="AK5063" s="306" t="str">
        <f>IF(ISNUMBER(Table1[[#This Row],[FECHA DE RECIBIDO]]), Table1[[#This Row],[FECHA DE RECIBIDO]]-DATE(2023,8,30), "")</f>
        <v/>
      </c>
    </row>
    <row r="5064" spans="1:37" ht="16.05" customHeight="1">
      <c r="A5064" s="172" t="s">
        <v>4791</v>
      </c>
      <c r="B5064" s="178">
        <v>1765</v>
      </c>
      <c r="C5064" s="179" t="s">
        <v>1869</v>
      </c>
      <c r="D5064">
        <v>3434</v>
      </c>
      <c r="E5064" s="125" t="s">
        <v>3934</v>
      </c>
      <c r="F5064" s="178" t="s">
        <v>1593</v>
      </c>
      <c r="G5064" s="178" t="s">
        <v>109</v>
      </c>
      <c r="H5064">
        <v>505</v>
      </c>
      <c r="I5064" s="178" t="s">
        <v>1546</v>
      </c>
      <c r="J5064" s="320" t="s">
        <v>214</v>
      </c>
      <c r="K5064" s="178" t="s">
        <v>4871</v>
      </c>
      <c r="L5064" s="125" t="s">
        <v>4782</v>
      </c>
      <c r="M5064">
        <v>729</v>
      </c>
      <c r="N5064" s="182">
        <v>134</v>
      </c>
      <c r="O5064">
        <v>3284</v>
      </c>
      <c r="P5064" s="132" t="s">
        <v>77</v>
      </c>
      <c r="Q5064" s="176">
        <v>1813</v>
      </c>
      <c r="R5064" s="176">
        <v>290.08</v>
      </c>
      <c r="S5064" s="176"/>
      <c r="T5064" s="190">
        <v>193.39</v>
      </c>
      <c r="U5064" s="191">
        <v>22.66</v>
      </c>
      <c r="V5064" s="191">
        <v>1887.03</v>
      </c>
      <c r="W5064">
        <v>277</v>
      </c>
      <c r="X5064" s="186" t="s">
        <v>1429</v>
      </c>
      <c r="Y5064" s="187" t="s">
        <v>55</v>
      </c>
      <c r="Z5064" s="311">
        <v>266</v>
      </c>
      <c r="AB5064" t="str">
        <f>IF(Table1[[#This Row],[TIPO2]]="costo", VLOOKUP(Table1[[#This Row],[PARTIDA PRESUPUESTAL]],'Cost Report'!G:G,1,0),"Balance")</f>
        <v>3442-007</v>
      </c>
      <c r="AD5064" s="159">
        <f>+Table1[[#This Row],[SUBTOTAL]]+Table1[[#This Row],[IVA]]-Table1[[#This Row],[RET IVA]]-Table1[[#This Row],[RET ISR]]-Table1[[#This Row],[TOTAL]]</f>
        <v>0</v>
      </c>
      <c r="AK5064" s="306" t="str">
        <f>IF(ISNUMBER(Table1[[#This Row],[FECHA DE RECIBIDO]]), Table1[[#This Row],[FECHA DE RECIBIDO]]-DATE(2023,8,30), "")</f>
        <v/>
      </c>
    </row>
    <row r="5065" spans="1:37" ht="16.05" customHeight="1">
      <c r="A5065" s="172" t="s">
        <v>4792</v>
      </c>
      <c r="B5065" s="178">
        <v>1766</v>
      </c>
      <c r="C5065" s="179" t="s">
        <v>1868</v>
      </c>
      <c r="D5065">
        <v>3435</v>
      </c>
      <c r="E5065" s="125" t="s">
        <v>3133</v>
      </c>
      <c r="F5065" s="178" t="s">
        <v>1593</v>
      </c>
      <c r="G5065" s="178" t="s">
        <v>109</v>
      </c>
      <c r="H5065">
        <v>187</v>
      </c>
      <c r="I5065" s="178" t="s">
        <v>1546</v>
      </c>
      <c r="J5065" s="320" t="s">
        <v>214</v>
      </c>
      <c r="K5065" s="178" t="s">
        <v>4871</v>
      </c>
      <c r="L5065" s="125" t="s">
        <v>4782</v>
      </c>
      <c r="M5065">
        <v>252</v>
      </c>
      <c r="N5065" s="182">
        <v>52</v>
      </c>
      <c r="O5065">
        <v>3285</v>
      </c>
      <c r="P5065" s="132" t="s">
        <v>77</v>
      </c>
      <c r="Q5065" s="176">
        <v>1966.67</v>
      </c>
      <c r="R5065" s="176">
        <v>314.67</v>
      </c>
      <c r="S5065" s="176"/>
      <c r="T5065" s="190">
        <v>209.78</v>
      </c>
      <c r="U5065" s="191">
        <v>24.58</v>
      </c>
      <c r="V5065" s="191">
        <v>2046.98</v>
      </c>
      <c r="W5065">
        <v>108</v>
      </c>
      <c r="X5065" s="186" t="s">
        <v>1430</v>
      </c>
      <c r="Y5065" s="187" t="s">
        <v>55</v>
      </c>
      <c r="Z5065" s="311">
        <v>266</v>
      </c>
      <c r="AB5065" t="str">
        <f>IF(Table1[[#This Row],[TIPO2]]="costo", VLOOKUP(Table1[[#This Row],[PARTIDA PRESUPUESTAL]],'Cost Report'!G:G,1,0),"Balance")</f>
        <v>3442-006</v>
      </c>
      <c r="AD5065" s="159">
        <f>+Table1[[#This Row],[SUBTOTAL]]+Table1[[#This Row],[IVA]]-Table1[[#This Row],[RET IVA]]-Table1[[#This Row],[RET ISR]]-Table1[[#This Row],[TOTAL]]</f>
        <v>0</v>
      </c>
      <c r="AK5065" s="306" t="str">
        <f>IF(ISNUMBER(Table1[[#This Row],[FECHA DE RECIBIDO]]), Table1[[#This Row],[FECHA DE RECIBIDO]]-DATE(2023,8,30), "")</f>
        <v/>
      </c>
    </row>
    <row r="5066" spans="1:37" ht="16.05" customHeight="1">
      <c r="A5066" s="172" t="s">
        <v>4793</v>
      </c>
      <c r="B5066" s="178">
        <v>1767</v>
      </c>
      <c r="C5066" s="179" t="s">
        <v>1869</v>
      </c>
      <c r="D5066">
        <v>3436</v>
      </c>
      <c r="E5066" s="125" t="s">
        <v>3133</v>
      </c>
      <c r="F5066" s="178" t="s">
        <v>1593</v>
      </c>
      <c r="G5066" s="178" t="s">
        <v>109</v>
      </c>
      <c r="H5066">
        <v>187</v>
      </c>
      <c r="I5066" s="178" t="s">
        <v>1546</v>
      </c>
      <c r="J5066" s="320" t="s">
        <v>214</v>
      </c>
      <c r="K5066" s="178" t="s">
        <v>4871</v>
      </c>
      <c r="L5066" s="125" t="s">
        <v>4782</v>
      </c>
      <c r="M5066">
        <v>252</v>
      </c>
      <c r="N5066" s="182">
        <v>52</v>
      </c>
      <c r="O5066">
        <v>3286</v>
      </c>
      <c r="P5066" s="132" t="s">
        <v>77</v>
      </c>
      <c r="Q5066" s="176">
        <v>1966.67</v>
      </c>
      <c r="R5066" s="176">
        <v>314.67</v>
      </c>
      <c r="S5066" s="176"/>
      <c r="T5066" s="190">
        <v>209.78</v>
      </c>
      <c r="U5066" s="191">
        <v>24.58</v>
      </c>
      <c r="V5066" s="191">
        <v>2046.98</v>
      </c>
      <c r="W5066">
        <v>108</v>
      </c>
      <c r="X5066" s="186" t="s">
        <v>1430</v>
      </c>
      <c r="Y5066" s="187" t="s">
        <v>55</v>
      </c>
      <c r="Z5066" s="311">
        <v>266</v>
      </c>
      <c r="AB5066" t="str">
        <f>IF(Table1[[#This Row],[TIPO2]]="costo", VLOOKUP(Table1[[#This Row],[PARTIDA PRESUPUESTAL]],'Cost Report'!G:G,1,0),"Balance")</f>
        <v>3442-007</v>
      </c>
      <c r="AD5066" s="159">
        <f>+Table1[[#This Row],[SUBTOTAL]]+Table1[[#This Row],[IVA]]-Table1[[#This Row],[RET IVA]]-Table1[[#This Row],[RET ISR]]-Table1[[#This Row],[TOTAL]]</f>
        <v>0</v>
      </c>
      <c r="AK5066" s="306" t="str">
        <f>IF(ISNUMBER(Table1[[#This Row],[FECHA DE RECIBIDO]]), Table1[[#This Row],[FECHA DE RECIBIDO]]-DATE(2023,8,30), "")</f>
        <v/>
      </c>
    </row>
    <row r="5067" spans="1:37" ht="16.05" customHeight="1">
      <c r="A5067" s="172" t="s">
        <v>4794</v>
      </c>
      <c r="B5067" s="178">
        <v>1768</v>
      </c>
      <c r="C5067" s="179" t="s">
        <v>1869</v>
      </c>
      <c r="D5067">
        <v>3437</v>
      </c>
      <c r="E5067" s="125" t="s">
        <v>1600</v>
      </c>
      <c r="F5067" s="178" t="s">
        <v>1593</v>
      </c>
      <c r="G5067" s="178" t="s">
        <v>109</v>
      </c>
      <c r="H5067">
        <v>109</v>
      </c>
      <c r="I5067" s="178" t="s">
        <v>1546</v>
      </c>
      <c r="J5067" s="320" t="s">
        <v>214</v>
      </c>
      <c r="K5067" s="178" t="s">
        <v>4871</v>
      </c>
      <c r="L5067" s="125" t="s">
        <v>4782</v>
      </c>
      <c r="M5067">
        <v>147</v>
      </c>
      <c r="N5067" s="182">
        <v>39</v>
      </c>
      <c r="O5067">
        <v>3287</v>
      </c>
      <c r="P5067" s="132" t="s">
        <v>77</v>
      </c>
      <c r="Q5067" s="176">
        <v>2273.35</v>
      </c>
      <c r="R5067" s="176">
        <v>363.74</v>
      </c>
      <c r="S5067" s="176"/>
      <c r="T5067" s="190">
        <v>242.49</v>
      </c>
      <c r="U5067" s="191">
        <v>28.42</v>
      </c>
      <c r="V5067" s="191">
        <v>2366.1800000000003</v>
      </c>
      <c r="W5067">
        <v>71</v>
      </c>
      <c r="X5067" s="186" t="s">
        <v>2023</v>
      </c>
      <c r="Y5067" s="187" t="s">
        <v>55</v>
      </c>
      <c r="Z5067" s="311">
        <v>266</v>
      </c>
      <c r="AB5067" t="str">
        <f>IF(Table1[[#This Row],[TIPO2]]="costo", VLOOKUP(Table1[[#This Row],[PARTIDA PRESUPUESTAL]],'Cost Report'!G:G,1,0),"Balance")</f>
        <v>3442-007</v>
      </c>
      <c r="AD5067" s="159">
        <f>+Table1[[#This Row],[SUBTOTAL]]+Table1[[#This Row],[IVA]]-Table1[[#This Row],[RET IVA]]-Table1[[#This Row],[RET ISR]]-Table1[[#This Row],[TOTAL]]</f>
        <v>0</v>
      </c>
      <c r="AK5067" s="306" t="str">
        <f>IF(ISNUMBER(Table1[[#This Row],[FECHA DE RECIBIDO]]), Table1[[#This Row],[FECHA DE RECIBIDO]]-DATE(2023,8,30), "")</f>
        <v/>
      </c>
    </row>
    <row r="5068" spans="1:37" ht="16.05" customHeight="1">
      <c r="A5068" s="172" t="s">
        <v>4795</v>
      </c>
      <c r="B5068" s="178">
        <v>1769</v>
      </c>
      <c r="C5068" s="179" t="s">
        <v>1868</v>
      </c>
      <c r="D5068">
        <v>3438</v>
      </c>
      <c r="E5068" s="125" t="s">
        <v>3950</v>
      </c>
      <c r="F5068" s="178" t="s">
        <v>1602</v>
      </c>
      <c r="G5068" s="178" t="s">
        <v>1617</v>
      </c>
      <c r="H5068">
        <v>512</v>
      </c>
      <c r="I5068" s="178" t="s">
        <v>1546</v>
      </c>
      <c r="J5068" s="320" t="s">
        <v>214</v>
      </c>
      <c r="K5068" s="178" t="s">
        <v>4871</v>
      </c>
      <c r="L5068" s="125" t="s">
        <v>4782</v>
      </c>
      <c r="M5068">
        <v>736</v>
      </c>
      <c r="N5068" s="182">
        <v>142</v>
      </c>
      <c r="O5068">
        <v>3288</v>
      </c>
      <c r="P5068" s="132" t="s">
        <v>77</v>
      </c>
      <c r="Q5068" s="176">
        <v>4546.67</v>
      </c>
      <c r="R5068" s="176">
        <v>727.47</v>
      </c>
      <c r="S5068" s="176"/>
      <c r="T5068" s="190">
        <v>484.98</v>
      </c>
      <c r="U5068" s="191">
        <v>0</v>
      </c>
      <c r="V5068" s="191">
        <v>4789.16</v>
      </c>
      <c r="W5068">
        <v>284</v>
      </c>
      <c r="X5068" s="186" t="s">
        <v>1430</v>
      </c>
      <c r="Y5068" s="187" t="s">
        <v>55</v>
      </c>
      <c r="Z5068" s="311">
        <v>266</v>
      </c>
      <c r="AB5068" t="str">
        <f>IF(Table1[[#This Row],[TIPO2]]="costo", VLOOKUP(Table1[[#This Row],[PARTIDA PRESUPUESTAL]],'Cost Report'!G:G,1,0),"Balance")</f>
        <v>3442-006</v>
      </c>
      <c r="AD5068" s="159">
        <f>+Table1[[#This Row],[SUBTOTAL]]+Table1[[#This Row],[IVA]]-Table1[[#This Row],[RET IVA]]-Table1[[#This Row],[RET ISR]]-Table1[[#This Row],[TOTAL]]</f>
        <v>0</v>
      </c>
      <c r="AK5068" s="306" t="str">
        <f>IF(ISNUMBER(Table1[[#This Row],[FECHA DE RECIBIDO]]), Table1[[#This Row],[FECHA DE RECIBIDO]]-DATE(2023,8,30), "")</f>
        <v/>
      </c>
    </row>
    <row r="5069" spans="1:37" ht="16.05" customHeight="1">
      <c r="A5069" s="172" t="s">
        <v>4796</v>
      </c>
      <c r="B5069" s="178">
        <v>1770</v>
      </c>
      <c r="C5069" s="179" t="s">
        <v>1868</v>
      </c>
      <c r="D5069">
        <v>3439</v>
      </c>
      <c r="E5069" s="125" t="s">
        <v>3950</v>
      </c>
      <c r="F5069" s="178" t="s">
        <v>1602</v>
      </c>
      <c r="G5069" s="178" t="s">
        <v>1617</v>
      </c>
      <c r="H5069">
        <v>512</v>
      </c>
      <c r="I5069" s="178" t="s">
        <v>1546</v>
      </c>
      <c r="J5069" s="320" t="s">
        <v>214</v>
      </c>
      <c r="K5069" s="178" t="s">
        <v>4871</v>
      </c>
      <c r="L5069" s="125" t="s">
        <v>4782</v>
      </c>
      <c r="M5069">
        <v>736</v>
      </c>
      <c r="N5069" s="182">
        <v>142</v>
      </c>
      <c r="O5069">
        <v>3289</v>
      </c>
      <c r="P5069" s="132" t="s">
        <v>77</v>
      </c>
      <c r="Q5069" s="176">
        <v>2273.34</v>
      </c>
      <c r="R5069" s="176">
        <v>363.73</v>
      </c>
      <c r="S5069" s="176"/>
      <c r="T5069" s="190">
        <v>242.49</v>
      </c>
      <c r="U5069" s="191">
        <v>0</v>
      </c>
      <c r="V5069" s="191">
        <v>2394.58</v>
      </c>
      <c r="W5069">
        <v>284</v>
      </c>
      <c r="X5069" s="186" t="s">
        <v>1430</v>
      </c>
      <c r="Y5069" s="187" t="s">
        <v>55</v>
      </c>
      <c r="Z5069" s="311">
        <v>266</v>
      </c>
      <c r="AB5069" t="str">
        <f>IF(Table1[[#This Row],[TIPO2]]="costo", VLOOKUP(Table1[[#This Row],[PARTIDA PRESUPUESTAL]],'Cost Report'!G:G,1,0),"Balance")</f>
        <v>3442-006</v>
      </c>
      <c r="AD5069" s="159">
        <f>+Table1[[#This Row],[SUBTOTAL]]+Table1[[#This Row],[IVA]]-Table1[[#This Row],[RET IVA]]-Table1[[#This Row],[RET ISR]]-Table1[[#This Row],[TOTAL]]</f>
        <v>0</v>
      </c>
      <c r="AK5069" s="306" t="str">
        <f>IF(ISNUMBER(Table1[[#This Row],[FECHA DE RECIBIDO]]), Table1[[#This Row],[FECHA DE RECIBIDO]]-DATE(2023,8,30), "")</f>
        <v/>
      </c>
    </row>
    <row r="5070" spans="1:37" ht="16.05" customHeight="1">
      <c r="A5070" s="172" t="s">
        <v>4797</v>
      </c>
      <c r="B5070" s="178">
        <v>1771</v>
      </c>
      <c r="C5070" s="179" t="s">
        <v>1869</v>
      </c>
      <c r="D5070">
        <v>3440</v>
      </c>
      <c r="E5070" s="125" t="s">
        <v>3950</v>
      </c>
      <c r="F5070" s="178" t="s">
        <v>1602</v>
      </c>
      <c r="G5070" s="178" t="s">
        <v>1617</v>
      </c>
      <c r="H5070">
        <v>512</v>
      </c>
      <c r="I5070" s="178" t="s">
        <v>1546</v>
      </c>
      <c r="J5070" s="320" t="s">
        <v>214</v>
      </c>
      <c r="K5070" s="178" t="s">
        <v>4871</v>
      </c>
      <c r="L5070" s="125" t="s">
        <v>4782</v>
      </c>
      <c r="M5070">
        <v>736</v>
      </c>
      <c r="N5070" s="182">
        <v>142</v>
      </c>
      <c r="O5070">
        <v>3290</v>
      </c>
      <c r="P5070" s="132" t="s">
        <v>77</v>
      </c>
      <c r="Q5070" s="176">
        <v>2273.34</v>
      </c>
      <c r="R5070" s="176">
        <v>363.73</v>
      </c>
      <c r="S5070" s="176"/>
      <c r="T5070" s="190">
        <v>242.49</v>
      </c>
      <c r="U5070" s="191">
        <v>0</v>
      </c>
      <c r="V5070" s="191">
        <v>2394.58</v>
      </c>
      <c r="W5070">
        <v>284</v>
      </c>
      <c r="X5070" s="186" t="s">
        <v>1430</v>
      </c>
      <c r="Y5070" s="187" t="s">
        <v>55</v>
      </c>
      <c r="Z5070" s="311">
        <v>266</v>
      </c>
      <c r="AB5070" t="str">
        <f>IF(Table1[[#This Row],[TIPO2]]="costo", VLOOKUP(Table1[[#This Row],[PARTIDA PRESUPUESTAL]],'Cost Report'!G:G,1,0),"Balance")</f>
        <v>3442-007</v>
      </c>
      <c r="AD5070" s="159">
        <f>+Table1[[#This Row],[SUBTOTAL]]+Table1[[#This Row],[IVA]]-Table1[[#This Row],[RET IVA]]-Table1[[#This Row],[RET ISR]]-Table1[[#This Row],[TOTAL]]</f>
        <v>0</v>
      </c>
      <c r="AK5070" s="306" t="str">
        <f>IF(ISNUMBER(Table1[[#This Row],[FECHA DE RECIBIDO]]), Table1[[#This Row],[FECHA DE RECIBIDO]]-DATE(2023,8,30), "")</f>
        <v/>
      </c>
    </row>
    <row r="5071" spans="1:37" ht="16.05" customHeight="1">
      <c r="A5071" s="172" t="s">
        <v>4653</v>
      </c>
      <c r="B5071" s="178">
        <v>1772</v>
      </c>
      <c r="C5071" s="179" t="s">
        <v>2564</v>
      </c>
      <c r="D5071">
        <v>3441</v>
      </c>
      <c r="E5071" s="125" t="s">
        <v>3790</v>
      </c>
      <c r="F5071" s="178" t="s">
        <v>1593</v>
      </c>
      <c r="G5071" s="178" t="s">
        <v>109</v>
      </c>
      <c r="H5071">
        <v>586</v>
      </c>
      <c r="I5071" s="178" t="s">
        <v>1546</v>
      </c>
      <c r="J5071" s="320" t="s">
        <v>214</v>
      </c>
      <c r="K5071" s="178" t="s">
        <v>4871</v>
      </c>
      <c r="L5071" s="125" t="s">
        <v>3306</v>
      </c>
      <c r="M5071">
        <v>830</v>
      </c>
      <c r="N5071" s="182">
        <v>51</v>
      </c>
      <c r="O5071">
        <v>3291</v>
      </c>
      <c r="P5071" s="132" t="s">
        <v>77</v>
      </c>
      <c r="Q5071" s="176">
        <v>10564.78</v>
      </c>
      <c r="R5071" s="176">
        <v>1690.36</v>
      </c>
      <c r="S5071" s="176"/>
      <c r="T5071" s="190">
        <v>0</v>
      </c>
      <c r="U5071" s="191">
        <v>132.06</v>
      </c>
      <c r="V5071" s="191">
        <v>12123.080000000002</v>
      </c>
      <c r="W5071">
        <v>333</v>
      </c>
      <c r="X5071" s="186" t="s">
        <v>2035</v>
      </c>
      <c r="Y5071" s="187" t="s">
        <v>55</v>
      </c>
      <c r="Z5071" s="311">
        <v>266</v>
      </c>
      <c r="AB5071" t="str">
        <f>IF(Table1[[#This Row],[TIPO2]]="costo", VLOOKUP(Table1[[#This Row],[PARTIDA PRESUPUESTAL]],'Cost Report'!G:G,1,0),"Balance")</f>
        <v>2508-007</v>
      </c>
      <c r="AD5071" s="159">
        <f>+Table1[[#This Row],[SUBTOTAL]]+Table1[[#This Row],[IVA]]-Table1[[#This Row],[RET IVA]]-Table1[[#This Row],[RET ISR]]-Table1[[#This Row],[TOTAL]]</f>
        <v>0</v>
      </c>
      <c r="AK5071" s="306" t="str">
        <f>IF(ISNUMBER(Table1[[#This Row],[FECHA DE RECIBIDO]]), Table1[[#This Row],[FECHA DE RECIBIDO]]-DATE(2023,8,30), "")</f>
        <v/>
      </c>
    </row>
    <row r="5072" spans="1:37" ht="16.05" customHeight="1">
      <c r="A5072" s="172" t="s">
        <v>4798</v>
      </c>
      <c r="B5072" s="178">
        <v>1773</v>
      </c>
      <c r="C5072" s="179" t="s">
        <v>2538</v>
      </c>
      <c r="D5072">
        <v>3442</v>
      </c>
      <c r="E5072" s="125" t="s">
        <v>3354</v>
      </c>
      <c r="F5072" s="178" t="s">
        <v>1589</v>
      </c>
      <c r="G5072" s="178" t="s">
        <v>129</v>
      </c>
      <c r="H5072">
        <v>382</v>
      </c>
      <c r="I5072" s="178" t="s">
        <v>1546</v>
      </c>
      <c r="J5072" s="320" t="s">
        <v>214</v>
      </c>
      <c r="K5072" s="178" t="s">
        <v>4871</v>
      </c>
      <c r="L5072" s="125" t="s">
        <v>3306</v>
      </c>
      <c r="M5072">
        <v>504</v>
      </c>
      <c r="N5072" s="182">
        <v>51</v>
      </c>
      <c r="O5072">
        <v>3292</v>
      </c>
      <c r="P5072" s="132" t="s">
        <v>77</v>
      </c>
      <c r="Q5072" s="176">
        <v>1070</v>
      </c>
      <c r="R5072" s="176">
        <v>171.2</v>
      </c>
      <c r="S5072" s="176"/>
      <c r="T5072" s="190">
        <v>0</v>
      </c>
      <c r="U5072" s="191">
        <v>0</v>
      </c>
      <c r="V5072" s="191">
        <v>1241.2</v>
      </c>
      <c r="W5072">
        <v>222</v>
      </c>
      <c r="X5072" s="186" t="s">
        <v>195</v>
      </c>
      <c r="Y5072" s="187" t="s">
        <v>55</v>
      </c>
      <c r="Z5072" s="311">
        <v>266</v>
      </c>
      <c r="AB5072" t="str">
        <f>IF(Table1[[#This Row],[TIPO2]]="costo", VLOOKUP(Table1[[#This Row],[PARTIDA PRESUPUESTAL]],'Cost Report'!G:G,1,0),"Balance")</f>
        <v>2494-055</v>
      </c>
      <c r="AD5072" s="159">
        <f>+Table1[[#This Row],[SUBTOTAL]]+Table1[[#This Row],[IVA]]-Table1[[#This Row],[RET IVA]]-Table1[[#This Row],[RET ISR]]-Table1[[#This Row],[TOTAL]]</f>
        <v>0</v>
      </c>
      <c r="AK5072" s="306" t="str">
        <f>IF(ISNUMBER(Table1[[#This Row],[FECHA DE RECIBIDO]]), Table1[[#This Row],[FECHA DE RECIBIDO]]-DATE(2023,8,30), "")</f>
        <v/>
      </c>
    </row>
    <row r="5073" spans="1:37" ht="16.05" customHeight="1">
      <c r="A5073" s="172" t="s">
        <v>4799</v>
      </c>
      <c r="B5073" s="178">
        <v>1774</v>
      </c>
      <c r="C5073" s="179" t="s">
        <v>2566</v>
      </c>
      <c r="D5073">
        <v>3443</v>
      </c>
      <c r="E5073" s="125" t="s">
        <v>3235</v>
      </c>
      <c r="F5073" s="178" t="s">
        <v>1589</v>
      </c>
      <c r="G5073" s="178" t="s">
        <v>129</v>
      </c>
      <c r="H5073">
        <v>212</v>
      </c>
      <c r="I5073" s="178" t="s">
        <v>1546</v>
      </c>
      <c r="J5073" s="320" t="s">
        <v>214</v>
      </c>
      <c r="K5073" s="178" t="s">
        <v>4871</v>
      </c>
      <c r="L5073" s="125" t="s">
        <v>3306</v>
      </c>
      <c r="M5073">
        <v>277</v>
      </c>
      <c r="N5073" s="182">
        <v>51</v>
      </c>
      <c r="O5073">
        <v>3293</v>
      </c>
      <c r="P5073" s="132" t="s">
        <v>77</v>
      </c>
      <c r="Q5073" s="176">
        <v>184.4</v>
      </c>
      <c r="R5073" s="176">
        <v>29.5</v>
      </c>
      <c r="S5073" s="176"/>
      <c r="T5073" s="190">
        <v>0</v>
      </c>
      <c r="U5073" s="191">
        <v>0</v>
      </c>
      <c r="V5073" s="191">
        <v>213.9</v>
      </c>
      <c r="W5073">
        <v>133</v>
      </c>
      <c r="X5073" s="186" t="s">
        <v>2035</v>
      </c>
      <c r="Y5073" s="187" t="s">
        <v>55</v>
      </c>
      <c r="Z5073" s="311">
        <v>266</v>
      </c>
      <c r="AB5073" t="str">
        <f>IF(Table1[[#This Row],[TIPO2]]="costo", VLOOKUP(Table1[[#This Row],[PARTIDA PRESUPUESTAL]],'Cost Report'!G:G,1,0),"Balance")</f>
        <v>2594-003</v>
      </c>
      <c r="AD5073" s="159">
        <f>+Table1[[#This Row],[SUBTOTAL]]+Table1[[#This Row],[IVA]]-Table1[[#This Row],[RET IVA]]-Table1[[#This Row],[RET ISR]]-Table1[[#This Row],[TOTAL]]</f>
        <v>0</v>
      </c>
      <c r="AK5073" s="306" t="str">
        <f>IF(ISNUMBER(Table1[[#This Row],[FECHA DE RECIBIDO]]), Table1[[#This Row],[FECHA DE RECIBIDO]]-DATE(2023,8,30), "")</f>
        <v/>
      </c>
    </row>
    <row r="5074" spans="1:37" ht="16.05" customHeight="1">
      <c r="A5074" s="172"/>
      <c r="B5074" s="178">
        <v>1775</v>
      </c>
      <c r="C5074" s="179" t="s">
        <v>1515</v>
      </c>
      <c r="D5074">
        <v>3444</v>
      </c>
      <c r="E5074" s="125" t="s">
        <v>3235</v>
      </c>
      <c r="F5074" s="178" t="s">
        <v>1589</v>
      </c>
      <c r="G5074" s="178" t="s">
        <v>129</v>
      </c>
      <c r="H5074">
        <v>212</v>
      </c>
      <c r="I5074" s="178" t="s">
        <v>1546</v>
      </c>
      <c r="J5074" s="320" t="s">
        <v>214</v>
      </c>
      <c r="K5074" s="178" t="s">
        <v>4871</v>
      </c>
      <c r="L5074" s="125" t="s">
        <v>3306</v>
      </c>
      <c r="M5074">
        <v>277</v>
      </c>
      <c r="N5074" s="182">
        <v>51</v>
      </c>
      <c r="O5074">
        <v>3294</v>
      </c>
      <c r="P5074" s="132" t="s">
        <v>77</v>
      </c>
      <c r="Q5074" s="176">
        <v>416.54</v>
      </c>
      <c r="R5074" s="176">
        <v>66.650000000000006</v>
      </c>
      <c r="S5074" s="176"/>
      <c r="T5074" s="190">
        <v>0</v>
      </c>
      <c r="U5074" s="191">
        <v>0</v>
      </c>
      <c r="V5074" s="191">
        <v>483.19000000000005</v>
      </c>
      <c r="W5074">
        <v>133</v>
      </c>
      <c r="X5074" s="186" t="s">
        <v>2035</v>
      </c>
      <c r="Y5074" s="187" t="s">
        <v>55</v>
      </c>
      <c r="Z5074" s="311">
        <v>266</v>
      </c>
      <c r="AB5074" t="str">
        <f>IF(Table1[[#This Row],[TIPO2]]="costo", VLOOKUP(Table1[[#This Row],[PARTIDA PRESUPUESTAL]],'Cost Report'!G:G,1,0),"Balance")</f>
        <v>2494-023</v>
      </c>
      <c r="AD5074" s="159">
        <f>+Table1[[#This Row],[SUBTOTAL]]+Table1[[#This Row],[IVA]]-Table1[[#This Row],[RET IVA]]-Table1[[#This Row],[RET ISR]]-Table1[[#This Row],[TOTAL]]</f>
        <v>0</v>
      </c>
      <c r="AK5074" s="306" t="str">
        <f>IF(ISNUMBER(Table1[[#This Row],[FECHA DE RECIBIDO]]), Table1[[#This Row],[FECHA DE RECIBIDO]]-DATE(2023,8,30), "")</f>
        <v/>
      </c>
    </row>
    <row r="5075" spans="1:37" ht="16.05" customHeight="1">
      <c r="A5075" s="172"/>
      <c r="B5075" s="178">
        <v>1776</v>
      </c>
      <c r="C5075" s="179" t="s">
        <v>2546</v>
      </c>
      <c r="D5075">
        <v>3445</v>
      </c>
      <c r="E5075" s="125" t="s">
        <v>3235</v>
      </c>
      <c r="F5075" s="178" t="s">
        <v>1589</v>
      </c>
      <c r="G5075" s="178" t="s">
        <v>129</v>
      </c>
      <c r="H5075">
        <v>212</v>
      </c>
      <c r="I5075" s="178" t="s">
        <v>1546</v>
      </c>
      <c r="J5075" s="320" t="s">
        <v>214</v>
      </c>
      <c r="K5075" s="178" t="s">
        <v>4871</v>
      </c>
      <c r="L5075" s="125" t="s">
        <v>3306</v>
      </c>
      <c r="M5075">
        <v>277</v>
      </c>
      <c r="N5075" s="182">
        <v>51</v>
      </c>
      <c r="O5075">
        <v>3295</v>
      </c>
      <c r="P5075" s="132" t="s">
        <v>77</v>
      </c>
      <c r="Q5075" s="176">
        <v>11481.75</v>
      </c>
      <c r="R5075" s="176">
        <v>1837.08</v>
      </c>
      <c r="S5075" s="176"/>
      <c r="T5075" s="190">
        <v>0</v>
      </c>
      <c r="U5075" s="191">
        <v>0</v>
      </c>
      <c r="V5075" s="191">
        <v>13318.83</v>
      </c>
      <c r="W5075">
        <v>133</v>
      </c>
      <c r="X5075" s="186" t="s">
        <v>2035</v>
      </c>
      <c r="Y5075" s="187" t="s">
        <v>55</v>
      </c>
      <c r="Z5075" s="311">
        <v>266</v>
      </c>
      <c r="AB5075" t="str">
        <f>IF(Table1[[#This Row],[TIPO2]]="costo", VLOOKUP(Table1[[#This Row],[PARTIDA PRESUPUESTAL]],'Cost Report'!G:G,1,0),"Balance")</f>
        <v>2494-071</v>
      </c>
      <c r="AD5075" s="159">
        <f>+Table1[[#This Row],[SUBTOTAL]]+Table1[[#This Row],[IVA]]-Table1[[#This Row],[RET IVA]]-Table1[[#This Row],[RET ISR]]-Table1[[#This Row],[TOTAL]]</f>
        <v>0</v>
      </c>
      <c r="AK5075" s="306" t="str">
        <f>IF(ISNUMBER(Table1[[#This Row],[FECHA DE RECIBIDO]]), Table1[[#This Row],[FECHA DE RECIBIDO]]-DATE(2023,8,30), "")</f>
        <v/>
      </c>
    </row>
    <row r="5076" spans="1:37" ht="16.05" customHeight="1">
      <c r="A5076" s="172" t="s">
        <v>4800</v>
      </c>
      <c r="B5076" s="178">
        <v>1777</v>
      </c>
      <c r="C5076" s="179" t="s">
        <v>1505</v>
      </c>
      <c r="D5076">
        <v>3446</v>
      </c>
      <c r="E5076" s="125" t="s">
        <v>1614</v>
      </c>
      <c r="F5076" s="178" t="s">
        <v>1589</v>
      </c>
      <c r="G5076" s="178" t="s">
        <v>129</v>
      </c>
      <c r="H5076">
        <v>863</v>
      </c>
      <c r="I5076" s="178" t="s">
        <v>1546</v>
      </c>
      <c r="J5076" s="320" t="s">
        <v>214</v>
      </c>
      <c r="K5076" s="178" t="s">
        <v>4871</v>
      </c>
      <c r="L5076" s="125" t="s">
        <v>3306</v>
      </c>
      <c r="M5076">
        <v>1197</v>
      </c>
      <c r="N5076" s="182">
        <v>172</v>
      </c>
      <c r="O5076">
        <v>3296</v>
      </c>
      <c r="P5076" s="132" t="s">
        <v>77</v>
      </c>
      <c r="Q5076" s="176">
        <v>6300</v>
      </c>
      <c r="R5076" s="176">
        <v>1008</v>
      </c>
      <c r="S5076" s="176"/>
      <c r="T5076" s="190">
        <v>672</v>
      </c>
      <c r="U5076" s="191">
        <v>0</v>
      </c>
      <c r="V5076" s="191">
        <v>6636</v>
      </c>
      <c r="W5076">
        <v>428</v>
      </c>
      <c r="X5076" s="186" t="s">
        <v>195</v>
      </c>
      <c r="Y5076" s="187" t="s">
        <v>55</v>
      </c>
      <c r="Z5076" s="311">
        <v>266</v>
      </c>
      <c r="AB5076" t="str">
        <f>IF(Table1[[#This Row],[TIPO2]]="costo", VLOOKUP(Table1[[#This Row],[PARTIDA PRESUPUESTAL]],'Cost Report'!G:G,1,0),"Balance")</f>
        <v>2494-003</v>
      </c>
      <c r="AD5076" s="159">
        <f>+Table1[[#This Row],[SUBTOTAL]]+Table1[[#This Row],[IVA]]-Table1[[#This Row],[RET IVA]]-Table1[[#This Row],[RET ISR]]-Table1[[#This Row],[TOTAL]]</f>
        <v>0</v>
      </c>
      <c r="AK5076" s="306" t="str">
        <f>IF(ISNUMBER(Table1[[#This Row],[FECHA DE RECIBIDO]]), Table1[[#This Row],[FECHA DE RECIBIDO]]-DATE(2023,8,30), "")</f>
        <v/>
      </c>
    </row>
    <row r="5077" spans="1:37" ht="16.05" customHeight="1">
      <c r="A5077" s="172" t="s">
        <v>4801</v>
      </c>
      <c r="B5077" s="178">
        <v>1778</v>
      </c>
      <c r="C5077" s="179" t="s">
        <v>1507</v>
      </c>
      <c r="D5077">
        <v>3447</v>
      </c>
      <c r="E5077" s="125" t="s">
        <v>1612</v>
      </c>
      <c r="F5077" s="178" t="s">
        <v>1607</v>
      </c>
      <c r="G5077" s="178" t="s">
        <v>134</v>
      </c>
      <c r="H5077">
        <v>864</v>
      </c>
      <c r="I5077" s="178" t="s">
        <v>1546</v>
      </c>
      <c r="J5077" s="320" t="s">
        <v>214</v>
      </c>
      <c r="K5077" s="178" t="s">
        <v>4871</v>
      </c>
      <c r="L5077" s="125" t="s">
        <v>3306</v>
      </c>
      <c r="M5077">
        <v>1198</v>
      </c>
      <c r="N5077" s="182">
        <v>51</v>
      </c>
      <c r="O5077">
        <v>3297</v>
      </c>
      <c r="P5077" s="132" t="s">
        <v>77</v>
      </c>
      <c r="Q5077" s="176">
        <v>24080</v>
      </c>
      <c r="R5077" s="176">
        <v>3852.8</v>
      </c>
      <c r="S5077" s="176"/>
      <c r="T5077" s="190">
        <v>0</v>
      </c>
      <c r="U5077" s="191">
        <v>0</v>
      </c>
      <c r="V5077" s="191">
        <v>27932.799999999999</v>
      </c>
      <c r="W5077">
        <v>429</v>
      </c>
      <c r="X5077" s="186" t="s">
        <v>4802</v>
      </c>
      <c r="Y5077" s="187" t="s">
        <v>55</v>
      </c>
      <c r="Z5077" s="311">
        <v>266</v>
      </c>
      <c r="AB5077" t="str">
        <f>IF(Table1[[#This Row],[TIPO2]]="costo", VLOOKUP(Table1[[#This Row],[PARTIDA PRESUPUESTAL]],'Cost Report'!G:G,1,0),"Balance")</f>
        <v>2494-007</v>
      </c>
      <c r="AD5077" s="159">
        <f>+Table1[[#This Row],[SUBTOTAL]]+Table1[[#This Row],[IVA]]-Table1[[#This Row],[RET IVA]]-Table1[[#This Row],[RET ISR]]-Table1[[#This Row],[TOTAL]]</f>
        <v>0</v>
      </c>
      <c r="AK5077" s="306" t="str">
        <f>IF(ISNUMBER(Table1[[#This Row],[FECHA DE RECIBIDO]]), Table1[[#This Row],[FECHA DE RECIBIDO]]-DATE(2023,8,30), "")</f>
        <v/>
      </c>
    </row>
    <row r="5078" spans="1:37" ht="16.05" customHeight="1">
      <c r="A5078" s="172" t="s">
        <v>4803</v>
      </c>
      <c r="B5078" s="178">
        <v>1779</v>
      </c>
      <c r="C5078" s="179" t="s">
        <v>2566</v>
      </c>
      <c r="D5078">
        <v>3448</v>
      </c>
      <c r="E5078" s="125" t="s">
        <v>1994</v>
      </c>
      <c r="F5078" s="178" t="s">
        <v>1602</v>
      </c>
      <c r="G5078" s="178" t="s">
        <v>1617</v>
      </c>
      <c r="H5078">
        <v>107</v>
      </c>
      <c r="I5078" s="178" t="s">
        <v>1546</v>
      </c>
      <c r="J5078" s="320" t="s">
        <v>214</v>
      </c>
      <c r="K5078" s="178" t="s">
        <v>4871</v>
      </c>
      <c r="L5078" s="125" t="s">
        <v>3306</v>
      </c>
      <c r="M5078">
        <v>145</v>
      </c>
      <c r="N5078" s="182">
        <v>51</v>
      </c>
      <c r="O5078">
        <v>3298</v>
      </c>
      <c r="P5078" s="132" t="s">
        <v>77</v>
      </c>
      <c r="Q5078" s="176">
        <v>120000</v>
      </c>
      <c r="R5078" s="176">
        <v>19200</v>
      </c>
      <c r="S5078" s="176"/>
      <c r="T5078" s="190">
        <v>12800.04</v>
      </c>
      <c r="U5078" s="191">
        <v>1500</v>
      </c>
      <c r="V5078" s="191">
        <v>124899.95999999999</v>
      </c>
      <c r="W5078">
        <v>430</v>
      </c>
      <c r="X5078" s="186" t="s">
        <v>195</v>
      </c>
      <c r="Y5078" s="187" t="s">
        <v>55</v>
      </c>
      <c r="Z5078" s="311">
        <v>266</v>
      </c>
      <c r="AB5078" t="str">
        <f>IF(Table1[[#This Row],[TIPO2]]="costo", VLOOKUP(Table1[[#This Row],[PARTIDA PRESUPUESTAL]],'Cost Report'!G:G,1,0),"Balance")</f>
        <v>2594-003</v>
      </c>
      <c r="AD5078" s="159">
        <f>+Table1[[#This Row],[SUBTOTAL]]+Table1[[#This Row],[IVA]]-Table1[[#This Row],[RET IVA]]-Table1[[#This Row],[RET ISR]]-Table1[[#This Row],[TOTAL]]</f>
        <v>0</v>
      </c>
      <c r="AK5078" s="306" t="str">
        <f>IF(ISNUMBER(Table1[[#This Row],[FECHA DE RECIBIDO]]), Table1[[#This Row],[FECHA DE RECIBIDO]]-DATE(2023,8,30), "")</f>
        <v/>
      </c>
    </row>
    <row r="5079" spans="1:37" ht="16.05" customHeight="1">
      <c r="A5079" s="172" t="s">
        <v>4804</v>
      </c>
      <c r="B5079" s="178">
        <v>1780</v>
      </c>
      <c r="C5079" s="179" t="s">
        <v>1515</v>
      </c>
      <c r="D5079">
        <v>3449</v>
      </c>
      <c r="E5079" s="125" t="s">
        <v>3373</v>
      </c>
      <c r="F5079" s="178" t="s">
        <v>1607</v>
      </c>
      <c r="G5079" s="178" t="s">
        <v>134</v>
      </c>
      <c r="H5079">
        <v>488</v>
      </c>
      <c r="I5079" s="178" t="s">
        <v>1546</v>
      </c>
      <c r="J5079" s="320" t="s">
        <v>214</v>
      </c>
      <c r="K5079" s="178" t="s">
        <v>4871</v>
      </c>
      <c r="L5079" s="125" t="s">
        <v>3306</v>
      </c>
      <c r="M5079">
        <v>829</v>
      </c>
      <c r="N5079" s="182">
        <v>51</v>
      </c>
      <c r="O5079">
        <v>3299</v>
      </c>
      <c r="P5079" s="132" t="s">
        <v>77</v>
      </c>
      <c r="Q5079" s="176">
        <v>3000</v>
      </c>
      <c r="R5079" s="176">
        <v>480</v>
      </c>
      <c r="S5079" s="176"/>
      <c r="T5079" s="190">
        <v>0</v>
      </c>
      <c r="U5079" s="191">
        <v>0</v>
      </c>
      <c r="V5079" s="191">
        <v>3480</v>
      </c>
      <c r="W5079">
        <v>259</v>
      </c>
      <c r="X5079" s="186" t="s">
        <v>1912</v>
      </c>
      <c r="Y5079" s="187" t="s">
        <v>55</v>
      </c>
      <c r="Z5079" s="311">
        <v>266</v>
      </c>
      <c r="AB5079" t="str">
        <f>IF(Table1[[#This Row],[TIPO2]]="costo", VLOOKUP(Table1[[#This Row],[PARTIDA PRESUPUESTAL]],'Cost Report'!G:G,1,0),"Balance")</f>
        <v>2494-023</v>
      </c>
      <c r="AD5079" s="159">
        <f>+Table1[[#This Row],[SUBTOTAL]]+Table1[[#This Row],[IVA]]-Table1[[#This Row],[RET IVA]]-Table1[[#This Row],[RET ISR]]-Table1[[#This Row],[TOTAL]]</f>
        <v>0</v>
      </c>
      <c r="AK5079" s="306" t="str">
        <f>IF(ISNUMBER(Table1[[#This Row],[FECHA DE RECIBIDO]]), Table1[[#This Row],[FECHA DE RECIBIDO]]-DATE(2023,8,30), "")</f>
        <v/>
      </c>
    </row>
    <row r="5080" spans="1:37" ht="16.05" customHeight="1">
      <c r="A5080" s="172"/>
      <c r="B5080" s="178">
        <v>1781</v>
      </c>
      <c r="C5080" s="179" t="s">
        <v>2532</v>
      </c>
      <c r="D5080">
        <v>3450</v>
      </c>
      <c r="E5080" s="125" t="s">
        <v>3373</v>
      </c>
      <c r="F5080" s="178" t="s">
        <v>1607</v>
      </c>
      <c r="G5080" s="178" t="s">
        <v>134</v>
      </c>
      <c r="H5080">
        <v>488</v>
      </c>
      <c r="I5080" s="178" t="s">
        <v>1546</v>
      </c>
      <c r="J5080" s="320" t="s">
        <v>214</v>
      </c>
      <c r="K5080" s="178" t="s">
        <v>4871</v>
      </c>
      <c r="L5080" s="125" t="s">
        <v>3306</v>
      </c>
      <c r="M5080">
        <v>829</v>
      </c>
      <c r="N5080" s="182">
        <v>51</v>
      </c>
      <c r="O5080">
        <v>3299</v>
      </c>
      <c r="P5080" s="132" t="s">
        <v>77</v>
      </c>
      <c r="Q5080" s="176">
        <v>3000</v>
      </c>
      <c r="R5080" s="176">
        <v>480</v>
      </c>
      <c r="S5080" s="176"/>
      <c r="T5080" s="190">
        <v>0</v>
      </c>
      <c r="U5080" s="191">
        <v>0</v>
      </c>
      <c r="V5080" s="191">
        <v>3480</v>
      </c>
      <c r="W5080">
        <v>259</v>
      </c>
      <c r="X5080" s="186" t="s">
        <v>1912</v>
      </c>
      <c r="Y5080" s="187" t="s">
        <v>55</v>
      </c>
      <c r="Z5080" s="311">
        <v>266</v>
      </c>
      <c r="AB5080" t="str">
        <f>IF(Table1[[#This Row],[TIPO2]]="costo", VLOOKUP(Table1[[#This Row],[PARTIDA PRESUPUESTAL]],'Cost Report'!G:G,1,0),"Balance")</f>
        <v>2494-043</v>
      </c>
      <c r="AD5080" s="159">
        <f>+Table1[[#This Row],[SUBTOTAL]]+Table1[[#This Row],[IVA]]-Table1[[#This Row],[RET IVA]]-Table1[[#This Row],[RET ISR]]-Table1[[#This Row],[TOTAL]]</f>
        <v>0</v>
      </c>
      <c r="AK5080" s="306" t="str">
        <f>IF(ISNUMBER(Table1[[#This Row],[FECHA DE RECIBIDO]]), Table1[[#This Row],[FECHA DE RECIBIDO]]-DATE(2023,8,30), "")</f>
        <v/>
      </c>
    </row>
    <row r="5081" spans="1:37" ht="16.05" customHeight="1">
      <c r="A5081" s="172"/>
      <c r="B5081" s="178">
        <v>1782</v>
      </c>
      <c r="C5081" s="179" t="s">
        <v>1507</v>
      </c>
      <c r="D5081">
        <v>3451</v>
      </c>
      <c r="E5081" s="125" t="s">
        <v>3373</v>
      </c>
      <c r="F5081" s="178" t="s">
        <v>1607</v>
      </c>
      <c r="G5081" s="178" t="s">
        <v>134</v>
      </c>
      <c r="H5081">
        <v>488</v>
      </c>
      <c r="I5081" s="178" t="s">
        <v>1546</v>
      </c>
      <c r="J5081" s="320" t="s">
        <v>214</v>
      </c>
      <c r="K5081" s="178" t="s">
        <v>4871</v>
      </c>
      <c r="L5081" s="125" t="s">
        <v>3306</v>
      </c>
      <c r="M5081">
        <v>829</v>
      </c>
      <c r="N5081" s="182">
        <v>51</v>
      </c>
      <c r="O5081">
        <v>3299</v>
      </c>
      <c r="P5081" s="132" t="s">
        <v>77</v>
      </c>
      <c r="Q5081" s="176">
        <v>400</v>
      </c>
      <c r="R5081" s="176">
        <v>64</v>
      </c>
      <c r="S5081" s="176"/>
      <c r="T5081" s="190">
        <v>0</v>
      </c>
      <c r="U5081" s="191">
        <v>0</v>
      </c>
      <c r="V5081" s="191">
        <v>464</v>
      </c>
      <c r="W5081">
        <v>259</v>
      </c>
      <c r="X5081" s="186" t="s">
        <v>1912</v>
      </c>
      <c r="Y5081" s="187" t="s">
        <v>55</v>
      </c>
      <c r="Z5081" s="311">
        <v>266</v>
      </c>
      <c r="AB5081" t="str">
        <f>IF(Table1[[#This Row],[TIPO2]]="costo", VLOOKUP(Table1[[#This Row],[PARTIDA PRESUPUESTAL]],'Cost Report'!G:G,1,0),"Balance")</f>
        <v>2494-007</v>
      </c>
      <c r="AD5081" s="159">
        <f>+Table1[[#This Row],[SUBTOTAL]]+Table1[[#This Row],[IVA]]-Table1[[#This Row],[RET IVA]]-Table1[[#This Row],[RET ISR]]-Table1[[#This Row],[TOTAL]]</f>
        <v>0</v>
      </c>
      <c r="AK5081" s="306" t="str">
        <f>IF(ISNUMBER(Table1[[#This Row],[FECHA DE RECIBIDO]]), Table1[[#This Row],[FECHA DE RECIBIDO]]-DATE(2023,8,30), "")</f>
        <v/>
      </c>
    </row>
    <row r="5082" spans="1:37" ht="16.05" customHeight="1">
      <c r="A5082" s="172" t="s">
        <v>4805</v>
      </c>
      <c r="B5082" s="178">
        <v>1783</v>
      </c>
      <c r="C5082" s="179" t="s">
        <v>2466</v>
      </c>
      <c r="D5082">
        <v>3452</v>
      </c>
      <c r="E5082" s="125" t="s">
        <v>3785</v>
      </c>
      <c r="F5082" s="178" t="s">
        <v>1607</v>
      </c>
      <c r="G5082" s="178" t="s">
        <v>134</v>
      </c>
      <c r="H5082">
        <v>451</v>
      </c>
      <c r="I5082" s="178" t="s">
        <v>1546</v>
      </c>
      <c r="J5082" s="320" t="s">
        <v>214</v>
      </c>
      <c r="K5082" s="178" t="s">
        <v>4871</v>
      </c>
      <c r="L5082" s="125" t="s">
        <v>3306</v>
      </c>
      <c r="M5082">
        <v>763</v>
      </c>
      <c r="N5082" s="182">
        <v>51</v>
      </c>
      <c r="O5082">
        <v>3300</v>
      </c>
      <c r="P5082" s="132" t="s">
        <v>77</v>
      </c>
      <c r="Q5082" s="176">
        <v>4900</v>
      </c>
      <c r="R5082" s="176">
        <v>784</v>
      </c>
      <c r="S5082" s="176"/>
      <c r="T5082" s="190">
        <v>0</v>
      </c>
      <c r="U5082" s="191">
        <v>0</v>
      </c>
      <c r="V5082" s="191">
        <v>5684</v>
      </c>
      <c r="W5082">
        <v>238</v>
      </c>
      <c r="X5082" s="186" t="s">
        <v>2035</v>
      </c>
      <c r="Y5082" s="187" t="s">
        <v>55</v>
      </c>
      <c r="Z5082" s="311">
        <v>266</v>
      </c>
      <c r="AB5082" t="str">
        <f>IF(Table1[[#This Row],[TIPO2]]="costo", VLOOKUP(Table1[[#This Row],[PARTIDA PRESUPUESTAL]],'Cost Report'!G:G,1,0),"Balance")</f>
        <v>2394-005</v>
      </c>
      <c r="AD5082" s="159">
        <f>+Table1[[#This Row],[SUBTOTAL]]+Table1[[#This Row],[IVA]]-Table1[[#This Row],[RET IVA]]-Table1[[#This Row],[RET ISR]]-Table1[[#This Row],[TOTAL]]</f>
        <v>0</v>
      </c>
      <c r="AK5082" s="306" t="str">
        <f>IF(ISNUMBER(Table1[[#This Row],[FECHA DE RECIBIDO]]), Table1[[#This Row],[FECHA DE RECIBIDO]]-DATE(2023,8,30), "")</f>
        <v/>
      </c>
    </row>
    <row r="5083" spans="1:37" ht="16.05" customHeight="1">
      <c r="A5083" s="172" t="s">
        <v>4806</v>
      </c>
      <c r="B5083" s="178">
        <v>1784</v>
      </c>
      <c r="C5083" s="179" t="s">
        <v>1517</v>
      </c>
      <c r="D5083">
        <v>3453</v>
      </c>
      <c r="E5083" s="125" t="s">
        <v>1646</v>
      </c>
      <c r="F5083" s="178" t="s">
        <v>1589</v>
      </c>
      <c r="G5083" s="178" t="s">
        <v>129</v>
      </c>
      <c r="H5083">
        <v>185</v>
      </c>
      <c r="I5083" s="178" t="s">
        <v>1546</v>
      </c>
      <c r="J5083" s="320" t="s">
        <v>214</v>
      </c>
      <c r="K5083" s="178" t="s">
        <v>4871</v>
      </c>
      <c r="L5083" s="125" t="s">
        <v>3306</v>
      </c>
      <c r="M5083">
        <v>250</v>
      </c>
      <c r="N5083" s="182">
        <v>51</v>
      </c>
      <c r="O5083">
        <v>3301</v>
      </c>
      <c r="P5083" s="132" t="s">
        <v>77</v>
      </c>
      <c r="Q5083" s="176">
        <v>3400</v>
      </c>
      <c r="R5083" s="176">
        <v>544</v>
      </c>
      <c r="S5083" s="176"/>
      <c r="T5083" s="190">
        <v>362.67</v>
      </c>
      <c r="U5083" s="191">
        <v>340</v>
      </c>
      <c r="V5083" s="191">
        <v>3241.33</v>
      </c>
      <c r="W5083">
        <v>106</v>
      </c>
      <c r="X5083" s="186" t="s">
        <v>3120</v>
      </c>
      <c r="Y5083" s="187" t="s">
        <v>55</v>
      </c>
      <c r="Z5083" s="311">
        <v>266</v>
      </c>
      <c r="AB5083" t="str">
        <f>IF(Table1[[#This Row],[TIPO2]]="costo", VLOOKUP(Table1[[#This Row],[PARTIDA PRESUPUESTAL]],'Cost Report'!G:G,1,0),"Balance")</f>
        <v>2494-027</v>
      </c>
      <c r="AD5083" s="159">
        <f>+Table1[[#This Row],[SUBTOTAL]]+Table1[[#This Row],[IVA]]-Table1[[#This Row],[RET IVA]]-Table1[[#This Row],[RET ISR]]-Table1[[#This Row],[TOTAL]]</f>
        <v>0</v>
      </c>
      <c r="AK5083" s="306" t="str">
        <f>IF(ISNUMBER(Table1[[#This Row],[FECHA DE RECIBIDO]]), Table1[[#This Row],[FECHA DE RECIBIDO]]-DATE(2023,8,30), "")</f>
        <v/>
      </c>
    </row>
    <row r="5084" spans="1:37" ht="16.05" customHeight="1">
      <c r="A5084" s="172" t="s">
        <v>4807</v>
      </c>
      <c r="B5084" s="178">
        <v>1785</v>
      </c>
      <c r="C5084" s="179" t="s">
        <v>2534</v>
      </c>
      <c r="D5084">
        <v>3454</v>
      </c>
      <c r="E5084" s="125" t="s">
        <v>1997</v>
      </c>
      <c r="F5084" s="178" t="s">
        <v>1593</v>
      </c>
      <c r="G5084" s="178" t="s">
        <v>109</v>
      </c>
      <c r="H5084">
        <v>805</v>
      </c>
      <c r="I5084" s="178" t="s">
        <v>1546</v>
      </c>
      <c r="J5084" s="320" t="s">
        <v>214</v>
      </c>
      <c r="K5084" s="178" t="s">
        <v>4871</v>
      </c>
      <c r="L5084" s="125" t="s">
        <v>3306</v>
      </c>
      <c r="M5084">
        <v>1109</v>
      </c>
      <c r="N5084" s="182">
        <v>51</v>
      </c>
      <c r="O5084">
        <v>3302</v>
      </c>
      <c r="P5084" s="132" t="s">
        <v>77</v>
      </c>
      <c r="Q5084" s="176">
        <v>5000</v>
      </c>
      <c r="R5084" s="176">
        <v>800</v>
      </c>
      <c r="S5084" s="176"/>
      <c r="T5084" s="190">
        <v>0</v>
      </c>
      <c r="U5084" s="191">
        <v>0</v>
      </c>
      <c r="V5084" s="191">
        <v>5800</v>
      </c>
      <c r="W5084">
        <v>406</v>
      </c>
      <c r="X5084" s="186" t="s">
        <v>2037</v>
      </c>
      <c r="Y5084" s="187" t="s">
        <v>55</v>
      </c>
      <c r="Z5084" s="311">
        <v>266</v>
      </c>
      <c r="AB5084" t="str">
        <f>IF(Table1[[#This Row],[TIPO2]]="costo", VLOOKUP(Table1[[#This Row],[PARTIDA PRESUPUESTAL]],'Cost Report'!G:G,1,0),"Balance")</f>
        <v>2494-047</v>
      </c>
      <c r="AD5084" s="159">
        <f>+Table1[[#This Row],[SUBTOTAL]]+Table1[[#This Row],[IVA]]-Table1[[#This Row],[RET IVA]]-Table1[[#This Row],[RET ISR]]-Table1[[#This Row],[TOTAL]]</f>
        <v>0</v>
      </c>
      <c r="AK5084" s="306" t="str">
        <f>IF(ISNUMBER(Table1[[#This Row],[FECHA DE RECIBIDO]]), Table1[[#This Row],[FECHA DE RECIBIDO]]-DATE(2023,8,30), "")</f>
        <v/>
      </c>
    </row>
    <row r="5085" spans="1:37" ht="16.05" customHeight="1">
      <c r="A5085" s="172" t="s">
        <v>4808</v>
      </c>
      <c r="B5085" s="178">
        <v>1786</v>
      </c>
      <c r="C5085" s="179" t="s">
        <v>1874</v>
      </c>
      <c r="D5085">
        <v>3455</v>
      </c>
      <c r="E5085" s="125" t="s">
        <v>1597</v>
      </c>
      <c r="F5085" s="178" t="s">
        <v>1589</v>
      </c>
      <c r="G5085" s="178" t="s">
        <v>129</v>
      </c>
      <c r="H5085">
        <v>8</v>
      </c>
      <c r="I5085" s="178" t="s">
        <v>1546</v>
      </c>
      <c r="J5085" s="320" t="s">
        <v>214</v>
      </c>
      <c r="K5085" s="178" t="s">
        <v>4871</v>
      </c>
      <c r="L5085" s="125" t="s">
        <v>3306</v>
      </c>
      <c r="M5085">
        <v>11</v>
      </c>
      <c r="N5085" s="182">
        <v>24</v>
      </c>
      <c r="O5085">
        <v>3303</v>
      </c>
      <c r="P5085" s="132" t="s">
        <v>77</v>
      </c>
      <c r="Q5085" s="176">
        <v>10841</v>
      </c>
      <c r="R5085" s="176">
        <v>1734.56</v>
      </c>
      <c r="S5085" s="176"/>
      <c r="T5085" s="190">
        <v>1156.3800000000001</v>
      </c>
      <c r="U5085" s="191">
        <v>1084.0999999999999</v>
      </c>
      <c r="V5085" s="191">
        <v>10335.08</v>
      </c>
      <c r="W5085">
        <v>7</v>
      </c>
      <c r="X5085" s="186" t="s">
        <v>111</v>
      </c>
      <c r="Y5085" s="187" t="s">
        <v>55</v>
      </c>
      <c r="Z5085" s="311">
        <v>266</v>
      </c>
      <c r="AB5085" t="str">
        <f>IF(Table1[[#This Row],[TIPO2]]="costo", VLOOKUP(Table1[[#This Row],[PARTIDA PRESUPUESTAL]],'Cost Report'!G:G,1,0),"Balance")</f>
        <v>3442-016</v>
      </c>
      <c r="AD5085" s="159">
        <f>+Table1[[#This Row],[SUBTOTAL]]+Table1[[#This Row],[IVA]]-Table1[[#This Row],[RET IVA]]-Table1[[#This Row],[RET ISR]]-Table1[[#This Row],[TOTAL]]</f>
        <v>0</v>
      </c>
      <c r="AK5085" s="306" t="str">
        <f>IF(ISNUMBER(Table1[[#This Row],[FECHA DE RECIBIDO]]), Table1[[#This Row],[FECHA DE RECIBIDO]]-DATE(2023,8,30), "")</f>
        <v/>
      </c>
    </row>
    <row r="5086" spans="1:37" ht="16.05" customHeight="1">
      <c r="A5086" s="172" t="s">
        <v>4809</v>
      </c>
      <c r="B5086" s="178">
        <v>1787</v>
      </c>
      <c r="C5086" s="179" t="s">
        <v>2852</v>
      </c>
      <c r="D5086">
        <v>3456</v>
      </c>
      <c r="E5086" s="125">
        <v>44660</v>
      </c>
      <c r="F5086" s="178" t="s">
        <v>1371</v>
      </c>
      <c r="G5086" s="178" t="s">
        <v>2065</v>
      </c>
      <c r="H5086">
        <v>590</v>
      </c>
      <c r="I5086" s="178" t="s">
        <v>1546</v>
      </c>
      <c r="J5086" s="320" t="s">
        <v>214</v>
      </c>
      <c r="K5086" s="178" t="s">
        <v>4871</v>
      </c>
      <c r="L5086" s="125" t="s">
        <v>3306</v>
      </c>
      <c r="M5086">
        <v>836</v>
      </c>
      <c r="N5086" s="182">
        <v>24</v>
      </c>
      <c r="O5086">
        <v>3304</v>
      </c>
      <c r="P5086" s="132" t="s">
        <v>77</v>
      </c>
      <c r="Q5086" s="176">
        <v>21650</v>
      </c>
      <c r="R5086" s="176">
        <v>0</v>
      </c>
      <c r="S5086" s="176"/>
      <c r="T5086" s="190">
        <v>0</v>
      </c>
      <c r="U5086" s="191">
        <v>0</v>
      </c>
      <c r="V5086" s="191">
        <v>21650</v>
      </c>
      <c r="W5086">
        <v>337</v>
      </c>
      <c r="X5086" s="186" t="s">
        <v>1912</v>
      </c>
      <c r="Y5086" s="187" t="s">
        <v>55</v>
      </c>
      <c r="Z5086" s="311">
        <v>266</v>
      </c>
      <c r="AB5086" t="str">
        <f>IF(Table1[[#This Row],[TIPO2]]="costo", VLOOKUP(Table1[[#This Row],[PARTIDA PRESUPUESTAL]],'Cost Report'!G:G,1,0),"Balance")</f>
        <v>3498-003</v>
      </c>
      <c r="AD5086" s="159">
        <f>+Table1[[#This Row],[SUBTOTAL]]+Table1[[#This Row],[IVA]]-Table1[[#This Row],[RET IVA]]-Table1[[#This Row],[RET ISR]]-Table1[[#This Row],[TOTAL]]</f>
        <v>0</v>
      </c>
      <c r="AK5086" s="306" t="str">
        <f>IF(ISNUMBER(Table1[[#This Row],[FECHA DE RECIBIDO]]), Table1[[#This Row],[FECHA DE RECIBIDO]]-DATE(2023,8,30), "")</f>
        <v/>
      </c>
    </row>
    <row r="5087" spans="1:37" ht="16.05" customHeight="1">
      <c r="A5087" s="172" t="s">
        <v>4810</v>
      </c>
      <c r="B5087" s="178">
        <v>1788</v>
      </c>
      <c r="C5087" s="179" t="s">
        <v>2814</v>
      </c>
      <c r="D5087"/>
      <c r="E5087" s="125" t="s">
        <v>1911</v>
      </c>
      <c r="F5087" s="178" t="s">
        <v>1911</v>
      </c>
      <c r="G5087" s="178" t="s">
        <v>1911</v>
      </c>
      <c r="H5087"/>
      <c r="I5087" s="178" t="s">
        <v>1911</v>
      </c>
      <c r="J5087" s="320" t="s">
        <v>214</v>
      </c>
      <c r="K5087" s="178" t="s">
        <v>4871</v>
      </c>
      <c r="L5087" s="125" t="s">
        <v>3306</v>
      </c>
      <c r="M5087">
        <v>1199</v>
      </c>
      <c r="N5087" s="182">
        <v>24</v>
      </c>
      <c r="O5087">
        <v>3305</v>
      </c>
      <c r="P5087" s="132" t="s">
        <v>77</v>
      </c>
      <c r="Q5087" s="176">
        <v>85830.720000000001</v>
      </c>
      <c r="R5087" s="176">
        <v>0</v>
      </c>
      <c r="S5087" s="176"/>
      <c r="T5087" s="190">
        <v>0</v>
      </c>
      <c r="U5087" s="191">
        <v>0</v>
      </c>
      <c r="V5087" s="191">
        <v>85830.720000000001</v>
      </c>
      <c r="W5087">
        <v>431</v>
      </c>
      <c r="X5087" s="186" t="s">
        <v>4811</v>
      </c>
      <c r="Y5087" s="187" t="s">
        <v>55</v>
      </c>
      <c r="Z5087" s="311">
        <v>266</v>
      </c>
      <c r="AB5087" t="str">
        <f>IF(Table1[[#This Row],[TIPO2]]="costo", VLOOKUP(Table1[[#This Row],[PARTIDA PRESUPUESTAL]],'Cost Report'!G:G,1,0),"Balance")</f>
        <v>3412-111</v>
      </c>
      <c r="AD5087" s="159">
        <f>+Table1[[#This Row],[SUBTOTAL]]+Table1[[#This Row],[IVA]]-Table1[[#This Row],[RET IVA]]-Table1[[#This Row],[RET ISR]]-Table1[[#This Row],[TOTAL]]</f>
        <v>0</v>
      </c>
      <c r="AK5087" s="306" t="str">
        <f>IF(ISNUMBER(Table1[[#This Row],[FECHA DE RECIBIDO]]), Table1[[#This Row],[FECHA DE RECIBIDO]]-DATE(2023,8,30), "")</f>
        <v/>
      </c>
    </row>
    <row r="5088" spans="1:37" ht="16.05" customHeight="1">
      <c r="A5088" s="172" t="s">
        <v>4812</v>
      </c>
      <c r="B5088" s="178">
        <v>1789</v>
      </c>
      <c r="C5088" s="179" t="s">
        <v>2825</v>
      </c>
      <c r="D5088">
        <v>3457</v>
      </c>
      <c r="E5088" s="125" t="s">
        <v>1603</v>
      </c>
      <c r="F5088" s="178" t="s">
        <v>1589</v>
      </c>
      <c r="G5088" s="178" t="s">
        <v>129</v>
      </c>
      <c r="H5088">
        <v>865</v>
      </c>
      <c r="I5088" s="178" t="s">
        <v>1546</v>
      </c>
      <c r="J5088" s="320" t="s">
        <v>214</v>
      </c>
      <c r="K5088" s="178" t="s">
        <v>4871</v>
      </c>
      <c r="L5088" s="125" t="s">
        <v>3306</v>
      </c>
      <c r="M5088">
        <v>1200</v>
      </c>
      <c r="N5088" s="182">
        <v>24</v>
      </c>
      <c r="O5088">
        <v>3306</v>
      </c>
      <c r="P5088" s="132" t="s">
        <v>77</v>
      </c>
      <c r="Q5088" s="176">
        <v>20979.03</v>
      </c>
      <c r="R5088" s="176">
        <v>3356.64</v>
      </c>
      <c r="S5088" s="176"/>
      <c r="T5088" s="190">
        <v>2237.77</v>
      </c>
      <c r="U5088" s="191">
        <v>2097.9</v>
      </c>
      <c r="V5088" s="191">
        <v>19999.999999999996</v>
      </c>
      <c r="W5088">
        <v>432</v>
      </c>
      <c r="X5088" s="186" t="s">
        <v>2037</v>
      </c>
      <c r="Y5088" s="187" t="s">
        <v>55</v>
      </c>
      <c r="Z5088" s="311">
        <v>266</v>
      </c>
      <c r="AB5088" t="str">
        <f>IF(Table1[[#This Row],[TIPO2]]="costo", VLOOKUP(Table1[[#This Row],[PARTIDA PRESUPUESTAL]],'Cost Report'!G:G,1,0),"Balance")</f>
        <v>3412-132</v>
      </c>
      <c r="AD5088" s="159">
        <f>+Table1[[#This Row],[SUBTOTAL]]+Table1[[#This Row],[IVA]]-Table1[[#This Row],[RET IVA]]-Table1[[#This Row],[RET ISR]]-Table1[[#This Row],[TOTAL]]</f>
        <v>0</v>
      </c>
      <c r="AK5088" s="306" t="str">
        <f>IF(ISNUMBER(Table1[[#This Row],[FECHA DE RECIBIDO]]), Table1[[#This Row],[FECHA DE RECIBIDO]]-DATE(2023,8,30), "")</f>
        <v/>
      </c>
    </row>
    <row r="5089" spans="1:37" ht="16.05" customHeight="1">
      <c r="A5089" s="172" t="s">
        <v>4815</v>
      </c>
      <c r="B5089" s="178">
        <v>1790</v>
      </c>
      <c r="C5089" s="179" t="s">
        <v>1139</v>
      </c>
      <c r="D5089">
        <v>3458</v>
      </c>
      <c r="E5089" s="125" t="s">
        <v>3292</v>
      </c>
      <c r="F5089" s="178" t="s">
        <v>3296</v>
      </c>
      <c r="G5089" s="178" t="s">
        <v>3297</v>
      </c>
      <c r="H5089">
        <v>129</v>
      </c>
      <c r="I5089" s="178" t="s">
        <v>1546</v>
      </c>
      <c r="J5089" s="320" t="s">
        <v>214</v>
      </c>
      <c r="K5089" s="178" t="s">
        <v>4871</v>
      </c>
      <c r="L5089" s="125" t="s">
        <v>3306</v>
      </c>
      <c r="M5089">
        <v>701</v>
      </c>
      <c r="N5089" s="182">
        <v>1</v>
      </c>
      <c r="O5089">
        <v>3307</v>
      </c>
      <c r="P5089" s="132" t="s">
        <v>77</v>
      </c>
      <c r="Q5089" s="176">
        <v>30000</v>
      </c>
      <c r="R5089" s="176">
        <v>4800</v>
      </c>
      <c r="S5089" s="176"/>
      <c r="T5089" s="190">
        <v>3201</v>
      </c>
      <c r="U5089" s="191">
        <v>3000</v>
      </c>
      <c r="V5089" s="191">
        <v>28599</v>
      </c>
      <c r="W5089">
        <v>92</v>
      </c>
      <c r="X5089" s="186" t="s">
        <v>1430</v>
      </c>
      <c r="Y5089" s="187" t="s">
        <v>55</v>
      </c>
      <c r="Z5089" s="311">
        <v>268</v>
      </c>
      <c r="AB5089" t="str">
        <f>IF(Table1[[#This Row],[TIPO2]]="costo", VLOOKUP(Table1[[#This Row],[PARTIDA PRESUPUESTAL]],'Cost Report'!G:G,1,0),"Balance")</f>
        <v>3902-003</v>
      </c>
      <c r="AD5089" s="159">
        <f>+Table1[[#This Row],[SUBTOTAL]]+Table1[[#This Row],[IVA]]-Table1[[#This Row],[RET IVA]]-Table1[[#This Row],[RET ISR]]-Table1[[#This Row],[TOTAL]]</f>
        <v>0</v>
      </c>
      <c r="AK5089" s="306" t="str">
        <f>IF(ISNUMBER(Table1[[#This Row],[FECHA DE RECIBIDO]]), Table1[[#This Row],[FECHA DE RECIBIDO]]-DATE(2023,8,30), "")</f>
        <v/>
      </c>
    </row>
    <row r="5090" spans="1:37" ht="16.05" customHeight="1">
      <c r="A5090" s="172" t="s">
        <v>4816</v>
      </c>
      <c r="B5090" s="178">
        <v>1791</v>
      </c>
      <c r="C5090" s="179" t="s">
        <v>1735</v>
      </c>
      <c r="D5090">
        <v>3459</v>
      </c>
      <c r="E5090" s="125" t="s">
        <v>3636</v>
      </c>
      <c r="F5090" s="178" t="s">
        <v>1607</v>
      </c>
      <c r="G5090" s="178" t="s">
        <v>134</v>
      </c>
      <c r="H5090">
        <v>333</v>
      </c>
      <c r="I5090" s="178" t="s">
        <v>1546</v>
      </c>
      <c r="J5090" s="320" t="s">
        <v>214</v>
      </c>
      <c r="K5090" s="178" t="s">
        <v>4871</v>
      </c>
      <c r="L5090" s="125" t="s">
        <v>3306</v>
      </c>
      <c r="M5090">
        <v>447</v>
      </c>
      <c r="N5090" s="182">
        <v>1</v>
      </c>
      <c r="O5090">
        <v>3308</v>
      </c>
      <c r="P5090" s="132" t="s">
        <v>77</v>
      </c>
      <c r="Q5090" s="176">
        <v>15800</v>
      </c>
      <c r="R5090" s="176">
        <v>2528</v>
      </c>
      <c r="S5090" s="176"/>
      <c r="T5090" s="190">
        <v>0</v>
      </c>
      <c r="U5090" s="191">
        <v>0</v>
      </c>
      <c r="V5090" s="191">
        <v>18328</v>
      </c>
      <c r="W5090">
        <v>171</v>
      </c>
      <c r="X5090" s="186" t="s">
        <v>3683</v>
      </c>
      <c r="Y5090" s="187" t="s">
        <v>55</v>
      </c>
      <c r="Z5090" s="311">
        <v>268</v>
      </c>
      <c r="AB5090" t="str">
        <f>IF(Table1[[#This Row],[TIPO2]]="costo", VLOOKUP(Table1[[#This Row],[PARTIDA PRESUPUESTAL]],'Cost Report'!G:G,1,0),"Balance")</f>
        <v>2602-004</v>
      </c>
      <c r="AD5090" s="159">
        <f>+Table1[[#This Row],[SUBTOTAL]]+Table1[[#This Row],[IVA]]-Table1[[#This Row],[RET IVA]]-Table1[[#This Row],[RET ISR]]-Table1[[#This Row],[TOTAL]]</f>
        <v>0</v>
      </c>
      <c r="AK5090" s="306" t="str">
        <f>IF(ISNUMBER(Table1[[#This Row],[FECHA DE RECIBIDO]]), Table1[[#This Row],[FECHA DE RECIBIDO]]-DATE(2023,8,30), "")</f>
        <v/>
      </c>
    </row>
    <row r="5091" spans="1:37" ht="16.05" customHeight="1">
      <c r="A5091" s="172" t="s">
        <v>4817</v>
      </c>
      <c r="B5091" s="178">
        <v>1792</v>
      </c>
      <c r="C5091" s="179" t="s">
        <v>2734</v>
      </c>
      <c r="D5091">
        <v>3460</v>
      </c>
      <c r="E5091" s="125" t="s">
        <v>3268</v>
      </c>
      <c r="F5091" s="178" t="s">
        <v>1593</v>
      </c>
      <c r="G5091" s="178" t="s">
        <v>109</v>
      </c>
      <c r="H5091">
        <v>255</v>
      </c>
      <c r="I5091" s="178" t="s">
        <v>1546</v>
      </c>
      <c r="J5091" s="320" t="s">
        <v>214</v>
      </c>
      <c r="K5091" s="178" t="s">
        <v>4871</v>
      </c>
      <c r="L5091" s="125" t="s">
        <v>3306</v>
      </c>
      <c r="M5091">
        <v>338</v>
      </c>
      <c r="N5091" s="182">
        <v>1</v>
      </c>
      <c r="O5091">
        <v>3309</v>
      </c>
      <c r="P5091" s="132" t="s">
        <v>77</v>
      </c>
      <c r="Q5091" s="176">
        <v>9771.6</v>
      </c>
      <c r="R5091" s="176">
        <v>1563.46</v>
      </c>
      <c r="S5091" s="176"/>
      <c r="T5091" s="190">
        <v>1042.31</v>
      </c>
      <c r="U5091" s="191">
        <v>122.15</v>
      </c>
      <c r="V5091" s="191">
        <v>10170.600000000002</v>
      </c>
      <c r="W5091">
        <v>205</v>
      </c>
      <c r="X5091" s="186" t="s">
        <v>2024</v>
      </c>
      <c r="Y5091" s="187" t="s">
        <v>55</v>
      </c>
      <c r="Z5091" s="311">
        <v>268</v>
      </c>
      <c r="AB5091" t="str">
        <f>IF(Table1[[#This Row],[TIPO2]]="costo", VLOOKUP(Table1[[#This Row],[PARTIDA PRESUPUESTAL]],'Cost Report'!G:G,1,0),"Balance")</f>
        <v>3193-115</v>
      </c>
      <c r="AD5091" s="159">
        <f>+Table1[[#This Row],[SUBTOTAL]]+Table1[[#This Row],[IVA]]-Table1[[#This Row],[RET IVA]]-Table1[[#This Row],[RET ISR]]-Table1[[#This Row],[TOTAL]]</f>
        <v>0</v>
      </c>
      <c r="AK5091" s="306" t="str">
        <f>IF(ISNUMBER(Table1[[#This Row],[FECHA DE RECIBIDO]]), Table1[[#This Row],[FECHA DE RECIBIDO]]-DATE(2023,8,30), "")</f>
        <v/>
      </c>
    </row>
    <row r="5092" spans="1:37" ht="16.05" customHeight="1">
      <c r="A5092" s="172" t="s">
        <v>4818</v>
      </c>
      <c r="B5092" s="178">
        <v>1793</v>
      </c>
      <c r="C5092" s="179" t="s">
        <v>911</v>
      </c>
      <c r="D5092">
        <v>3461</v>
      </c>
      <c r="E5092" s="125" t="s">
        <v>3237</v>
      </c>
      <c r="F5092" s="178" t="s">
        <v>1607</v>
      </c>
      <c r="G5092" s="178" t="s">
        <v>134</v>
      </c>
      <c r="H5092">
        <v>213</v>
      </c>
      <c r="I5092" s="178" t="s">
        <v>1546</v>
      </c>
      <c r="J5092" s="320" t="s">
        <v>214</v>
      </c>
      <c r="K5092" s="178" t="s">
        <v>4871</v>
      </c>
      <c r="L5092" s="125" t="s">
        <v>3306</v>
      </c>
      <c r="M5092">
        <v>715</v>
      </c>
      <c r="N5092" s="182">
        <v>1</v>
      </c>
      <c r="O5092">
        <v>3310</v>
      </c>
      <c r="P5092" s="132" t="s">
        <v>77</v>
      </c>
      <c r="Q5092" s="176">
        <v>16000</v>
      </c>
      <c r="R5092" s="176">
        <v>2560</v>
      </c>
      <c r="S5092" s="176"/>
      <c r="T5092" s="190">
        <v>0</v>
      </c>
      <c r="U5092" s="191">
        <v>0</v>
      </c>
      <c r="V5092" s="191">
        <v>18560</v>
      </c>
      <c r="W5092">
        <v>134</v>
      </c>
      <c r="X5092" s="186" t="s">
        <v>2024</v>
      </c>
      <c r="Y5092" s="187" t="s">
        <v>55</v>
      </c>
      <c r="Z5092" s="311">
        <v>268</v>
      </c>
      <c r="AB5092" t="str">
        <f>IF(Table1[[#This Row],[TIPO2]]="costo", VLOOKUP(Table1[[#This Row],[PARTIDA PRESUPUESTAL]],'Cost Report'!G:G,1,0),"Balance")</f>
        <v>3201-004</v>
      </c>
      <c r="AD5092" s="159">
        <f>+Table1[[#This Row],[SUBTOTAL]]+Table1[[#This Row],[IVA]]-Table1[[#This Row],[RET IVA]]-Table1[[#This Row],[RET ISR]]-Table1[[#This Row],[TOTAL]]</f>
        <v>0</v>
      </c>
      <c r="AK5092" s="306" t="str">
        <f>IF(ISNUMBER(Table1[[#This Row],[FECHA DE RECIBIDO]]), Table1[[#This Row],[FECHA DE RECIBIDO]]-DATE(2023,8,30), "")</f>
        <v/>
      </c>
    </row>
    <row r="5093" spans="1:37" ht="16.05" customHeight="1">
      <c r="A5093" s="172"/>
      <c r="B5093" s="178">
        <v>1794</v>
      </c>
      <c r="C5093" s="179" t="s">
        <v>914</v>
      </c>
      <c r="D5093">
        <v>3462</v>
      </c>
      <c r="E5093" s="125" t="s">
        <v>3237</v>
      </c>
      <c r="F5093" s="178" t="s">
        <v>1607</v>
      </c>
      <c r="G5093" s="178" t="s">
        <v>134</v>
      </c>
      <c r="H5093">
        <v>213</v>
      </c>
      <c r="I5093" s="178" t="s">
        <v>1546</v>
      </c>
      <c r="J5093" s="320" t="s">
        <v>214</v>
      </c>
      <c r="K5093" s="178" t="s">
        <v>4871</v>
      </c>
      <c r="L5093" s="125" t="s">
        <v>3306</v>
      </c>
      <c r="M5093">
        <v>715</v>
      </c>
      <c r="N5093" s="182">
        <v>1</v>
      </c>
      <c r="O5093">
        <v>3311</v>
      </c>
      <c r="P5093" s="132" t="s">
        <v>77</v>
      </c>
      <c r="Q5093" s="176">
        <v>14000</v>
      </c>
      <c r="R5093" s="176">
        <v>2240</v>
      </c>
      <c r="S5093" s="176"/>
      <c r="T5093" s="190">
        <v>0</v>
      </c>
      <c r="U5093" s="191">
        <v>0</v>
      </c>
      <c r="V5093" s="191">
        <v>16240</v>
      </c>
      <c r="W5093">
        <v>134</v>
      </c>
      <c r="X5093" s="186" t="s">
        <v>2024</v>
      </c>
      <c r="Y5093" s="187" t="s">
        <v>55</v>
      </c>
      <c r="Z5093" s="311">
        <v>268</v>
      </c>
      <c r="AB5093" t="str">
        <f>IF(Table1[[#This Row],[TIPO2]]="costo", VLOOKUP(Table1[[#This Row],[PARTIDA PRESUPUESTAL]],'Cost Report'!G:G,1,0),"Balance")</f>
        <v>3201-007</v>
      </c>
      <c r="AD5093" s="159">
        <f>+Table1[[#This Row],[SUBTOTAL]]+Table1[[#This Row],[IVA]]-Table1[[#This Row],[RET IVA]]-Table1[[#This Row],[RET ISR]]-Table1[[#This Row],[TOTAL]]</f>
        <v>0</v>
      </c>
      <c r="AK5093" s="306" t="str">
        <f>IF(ISNUMBER(Table1[[#This Row],[FECHA DE RECIBIDO]]), Table1[[#This Row],[FECHA DE RECIBIDO]]-DATE(2023,8,30), "")</f>
        <v/>
      </c>
    </row>
    <row r="5094" spans="1:37" ht="16.05" customHeight="1">
      <c r="A5094" s="172" t="s">
        <v>4819</v>
      </c>
      <c r="B5094" s="178">
        <v>1795</v>
      </c>
      <c r="C5094" s="179" t="s">
        <v>2960</v>
      </c>
      <c r="D5094">
        <v>3463</v>
      </c>
      <c r="E5094" s="125" t="s">
        <v>1985</v>
      </c>
      <c r="F5094" s="178" t="s">
        <v>1607</v>
      </c>
      <c r="G5094" s="178" t="s">
        <v>134</v>
      </c>
      <c r="H5094">
        <v>47</v>
      </c>
      <c r="I5094" s="178" t="s">
        <v>1546</v>
      </c>
      <c r="J5094" s="320" t="s">
        <v>214</v>
      </c>
      <c r="K5094" s="178" t="s">
        <v>4871</v>
      </c>
      <c r="L5094" s="125" t="s">
        <v>3306</v>
      </c>
      <c r="M5094">
        <v>448</v>
      </c>
      <c r="N5094" s="182">
        <v>1</v>
      </c>
      <c r="O5094">
        <v>3312</v>
      </c>
      <c r="P5094" s="132" t="s">
        <v>77</v>
      </c>
      <c r="Q5094" s="176">
        <v>2572.08</v>
      </c>
      <c r="R5094" s="176">
        <v>411.53</v>
      </c>
      <c r="S5094" s="176"/>
      <c r="T5094" s="190">
        <v>0</v>
      </c>
      <c r="U5094" s="191">
        <v>0</v>
      </c>
      <c r="V5094" s="191">
        <v>2983.6099999999997</v>
      </c>
      <c r="W5094">
        <v>36</v>
      </c>
      <c r="X5094" s="186" t="s">
        <v>1430</v>
      </c>
      <c r="Y5094" s="187" t="s">
        <v>55</v>
      </c>
      <c r="Z5094" s="311">
        <v>268</v>
      </c>
      <c r="AB5094" t="str">
        <f>IF(Table1[[#This Row],[TIPO2]]="costo", VLOOKUP(Table1[[#This Row],[PARTIDA PRESUPUESTAL]],'Cost Report'!G:G,1,0),"Balance")</f>
        <v>3902-038</v>
      </c>
      <c r="AD5094" s="159">
        <f>+Table1[[#This Row],[SUBTOTAL]]+Table1[[#This Row],[IVA]]-Table1[[#This Row],[RET IVA]]-Table1[[#This Row],[RET ISR]]-Table1[[#This Row],[TOTAL]]</f>
        <v>0</v>
      </c>
      <c r="AK5094" s="306" t="str">
        <f>IF(ISNUMBER(Table1[[#This Row],[FECHA DE RECIBIDO]]), Table1[[#This Row],[FECHA DE RECIBIDO]]-DATE(2023,8,30), "")</f>
        <v/>
      </c>
    </row>
    <row r="5095" spans="1:37" ht="16.05" customHeight="1">
      <c r="A5095" s="172" t="s">
        <v>4819</v>
      </c>
      <c r="B5095" s="178">
        <v>1795</v>
      </c>
      <c r="C5095" s="179" t="s">
        <v>2960</v>
      </c>
      <c r="D5095">
        <v>3463</v>
      </c>
      <c r="E5095" s="125" t="s">
        <v>1985</v>
      </c>
      <c r="F5095" s="178" t="s">
        <v>1607</v>
      </c>
      <c r="G5095" s="178" t="s">
        <v>134</v>
      </c>
      <c r="H5095">
        <v>47</v>
      </c>
      <c r="I5095" s="178" t="s">
        <v>1546</v>
      </c>
      <c r="J5095" s="320" t="s">
        <v>214</v>
      </c>
      <c r="K5095" s="178" t="s">
        <v>4871</v>
      </c>
      <c r="L5095" s="125" t="s">
        <v>3306</v>
      </c>
      <c r="M5095">
        <v>448</v>
      </c>
      <c r="N5095" s="182">
        <v>1</v>
      </c>
      <c r="O5095">
        <v>3312</v>
      </c>
      <c r="P5095" s="132" t="s">
        <v>77</v>
      </c>
      <c r="Q5095" s="176">
        <v>157310.39999999999</v>
      </c>
      <c r="R5095" s="176">
        <v>25169.66</v>
      </c>
      <c r="S5095" s="176"/>
      <c r="T5095" s="190">
        <v>0</v>
      </c>
      <c r="U5095" s="191">
        <v>0</v>
      </c>
      <c r="V5095" s="191">
        <v>182480.06</v>
      </c>
      <c r="W5095">
        <v>36</v>
      </c>
      <c r="X5095" s="186" t="s">
        <v>1430</v>
      </c>
      <c r="Y5095" s="187" t="s">
        <v>55</v>
      </c>
      <c r="Z5095" s="311">
        <v>268</v>
      </c>
      <c r="AB5095" t="str">
        <f>IF(Table1[[#This Row],[TIPO2]]="costo", VLOOKUP(Table1[[#This Row],[PARTIDA PRESUPUESTAL]],'Cost Report'!G:G,1,0),"Balance")</f>
        <v>3902-038</v>
      </c>
      <c r="AD5095" s="159">
        <f>+Table1[[#This Row],[SUBTOTAL]]+Table1[[#This Row],[IVA]]-Table1[[#This Row],[RET IVA]]-Table1[[#This Row],[RET ISR]]-Table1[[#This Row],[TOTAL]]</f>
        <v>0</v>
      </c>
      <c r="AK5095" s="306" t="str">
        <f>IF(ISNUMBER(Table1[[#This Row],[FECHA DE RECIBIDO]]), Table1[[#This Row],[FECHA DE RECIBIDO]]-DATE(2023,8,30), "")</f>
        <v/>
      </c>
    </row>
    <row r="5096" spans="1:37" ht="16.05" customHeight="1">
      <c r="A5096" s="172" t="s">
        <v>4819</v>
      </c>
      <c r="B5096" s="178">
        <v>1795</v>
      </c>
      <c r="C5096" s="179" t="s">
        <v>2960</v>
      </c>
      <c r="D5096">
        <v>3463</v>
      </c>
      <c r="E5096" s="125" t="s">
        <v>1985</v>
      </c>
      <c r="F5096" s="178" t="s">
        <v>1607</v>
      </c>
      <c r="G5096" s="178" t="s">
        <v>134</v>
      </c>
      <c r="H5096">
        <v>47</v>
      </c>
      <c r="I5096" s="178" t="s">
        <v>1546</v>
      </c>
      <c r="J5096" s="320" t="s">
        <v>214</v>
      </c>
      <c r="K5096" s="178" t="s">
        <v>4871</v>
      </c>
      <c r="L5096" s="125" t="s">
        <v>3306</v>
      </c>
      <c r="M5096">
        <v>448</v>
      </c>
      <c r="N5096" s="182">
        <v>1</v>
      </c>
      <c r="O5096">
        <v>3312</v>
      </c>
      <c r="P5096" s="132" t="s">
        <v>77</v>
      </c>
      <c r="Q5096" s="176">
        <v>1715.84</v>
      </c>
      <c r="R5096" s="176">
        <v>274.52999999999997</v>
      </c>
      <c r="S5096" s="176"/>
      <c r="T5096" s="190">
        <v>0</v>
      </c>
      <c r="U5096" s="191">
        <v>0</v>
      </c>
      <c r="V5096" s="191">
        <v>1990.37</v>
      </c>
      <c r="W5096">
        <v>36</v>
      </c>
      <c r="X5096" s="186" t="s">
        <v>1430</v>
      </c>
      <c r="Y5096" s="187" t="s">
        <v>55</v>
      </c>
      <c r="Z5096" s="311">
        <v>268</v>
      </c>
      <c r="AB5096" t="str">
        <f>IF(Table1[[#This Row],[TIPO2]]="costo", VLOOKUP(Table1[[#This Row],[PARTIDA PRESUPUESTAL]],'Cost Report'!G:G,1,0),"Balance")</f>
        <v>3902-038</v>
      </c>
      <c r="AD5096" s="159">
        <f>+Table1[[#This Row],[SUBTOTAL]]+Table1[[#This Row],[IVA]]-Table1[[#This Row],[RET IVA]]-Table1[[#This Row],[RET ISR]]-Table1[[#This Row],[TOTAL]]</f>
        <v>0</v>
      </c>
      <c r="AK5096" s="306" t="str">
        <f>IF(ISNUMBER(Table1[[#This Row],[FECHA DE RECIBIDO]]), Table1[[#This Row],[FECHA DE RECIBIDO]]-DATE(2023,8,30), "")</f>
        <v/>
      </c>
    </row>
    <row r="5097" spans="1:37" ht="16.05" customHeight="1">
      <c r="A5097" s="172" t="s">
        <v>4819</v>
      </c>
      <c r="B5097" s="178">
        <v>1795</v>
      </c>
      <c r="C5097" s="179" t="s">
        <v>1417</v>
      </c>
      <c r="D5097">
        <v>3463</v>
      </c>
      <c r="E5097" s="125" t="s">
        <v>1985</v>
      </c>
      <c r="F5097" s="178" t="s">
        <v>1607</v>
      </c>
      <c r="G5097" s="178" t="s">
        <v>134</v>
      </c>
      <c r="H5097">
        <v>47</v>
      </c>
      <c r="I5097" s="178" t="s">
        <v>1546</v>
      </c>
      <c r="J5097" s="320" t="s">
        <v>214</v>
      </c>
      <c r="K5097" s="178" t="s">
        <v>4871</v>
      </c>
      <c r="L5097" s="125" t="s">
        <v>3306</v>
      </c>
      <c r="M5097">
        <v>448</v>
      </c>
      <c r="N5097" s="182">
        <v>1</v>
      </c>
      <c r="O5097">
        <v>3312</v>
      </c>
      <c r="P5097" s="132" t="s">
        <v>77</v>
      </c>
      <c r="Q5097" s="176">
        <v>4847.95</v>
      </c>
      <c r="R5097" s="176"/>
      <c r="S5097" s="176"/>
      <c r="T5097" s="190">
        <v>0</v>
      </c>
      <c r="U5097" s="191">
        <v>0</v>
      </c>
      <c r="V5097" s="191">
        <v>4847.95</v>
      </c>
      <c r="W5097">
        <v>36</v>
      </c>
      <c r="X5097" s="186" t="s">
        <v>1430</v>
      </c>
      <c r="Y5097" s="187" t="s">
        <v>55</v>
      </c>
      <c r="Z5097" s="311">
        <v>268</v>
      </c>
      <c r="AB5097" t="str">
        <f>IF(Table1[[#This Row],[TIPO2]]="costo", VLOOKUP(Table1[[#This Row],[PARTIDA PRESUPUESTAL]],'Cost Report'!G:G,1,0),"Balance")</f>
        <v>3999-001</v>
      </c>
      <c r="AD5097" s="159">
        <f>+Table1[[#This Row],[SUBTOTAL]]+Table1[[#This Row],[IVA]]-Table1[[#This Row],[RET IVA]]-Table1[[#This Row],[RET ISR]]-Table1[[#This Row],[TOTAL]]</f>
        <v>0</v>
      </c>
      <c r="AK5097" s="306" t="str">
        <f>IF(ISNUMBER(Table1[[#This Row],[FECHA DE RECIBIDO]]), Table1[[#This Row],[FECHA DE RECIBIDO]]-DATE(2023,8,30), "")</f>
        <v/>
      </c>
    </row>
    <row r="5098" spans="1:37" ht="16.05" customHeight="1">
      <c r="A5098" s="172" t="s">
        <v>4820</v>
      </c>
      <c r="B5098" s="178">
        <v>1796</v>
      </c>
      <c r="C5098" s="179" t="s">
        <v>1853</v>
      </c>
      <c r="D5098">
        <v>3464</v>
      </c>
      <c r="E5098" s="125" t="s">
        <v>3636</v>
      </c>
      <c r="F5098" s="178" t="s">
        <v>1607</v>
      </c>
      <c r="G5098" s="178" t="s">
        <v>134</v>
      </c>
      <c r="H5098">
        <v>670</v>
      </c>
      <c r="I5098" s="178" t="s">
        <v>1546</v>
      </c>
      <c r="J5098" s="320" t="s">
        <v>214</v>
      </c>
      <c r="K5098" s="178" t="s">
        <v>4871</v>
      </c>
      <c r="L5098" s="125" t="s">
        <v>3306</v>
      </c>
      <c r="M5098">
        <v>943</v>
      </c>
      <c r="N5098" s="182">
        <v>1</v>
      </c>
      <c r="O5098">
        <v>3313</v>
      </c>
      <c r="P5098" s="132" t="s">
        <v>77</v>
      </c>
      <c r="Q5098" s="176">
        <v>75400</v>
      </c>
      <c r="R5098" s="176">
        <v>12064</v>
      </c>
      <c r="S5098" s="176"/>
      <c r="T5098" s="190">
        <v>0</v>
      </c>
      <c r="U5098" s="191">
        <v>0</v>
      </c>
      <c r="V5098" s="191">
        <v>87464</v>
      </c>
      <c r="W5098">
        <v>341</v>
      </c>
      <c r="X5098" s="186" t="s">
        <v>1429</v>
      </c>
      <c r="Y5098" s="187" t="s">
        <v>55</v>
      </c>
      <c r="Z5098" s="311">
        <v>268</v>
      </c>
      <c r="AB5098" t="str">
        <f>IF(Table1[[#This Row],[TIPO2]]="costo", VLOOKUP(Table1[[#This Row],[PARTIDA PRESUPUESTAL]],'Cost Report'!G:G,1,0),"Balance")</f>
        <v>3305-007</v>
      </c>
      <c r="AD5098" s="159">
        <f>+Table1[[#This Row],[SUBTOTAL]]+Table1[[#This Row],[IVA]]-Table1[[#This Row],[RET IVA]]-Table1[[#This Row],[RET ISR]]-Table1[[#This Row],[TOTAL]]</f>
        <v>0</v>
      </c>
      <c r="AK5098" s="306" t="str">
        <f>IF(ISNUMBER(Table1[[#This Row],[FECHA DE RECIBIDO]]), Table1[[#This Row],[FECHA DE RECIBIDO]]-DATE(2023,8,30), "")</f>
        <v/>
      </c>
    </row>
    <row r="5099" spans="1:37" ht="16.05" customHeight="1">
      <c r="A5099" s="172" t="s">
        <v>4821</v>
      </c>
      <c r="B5099" s="178">
        <v>1797</v>
      </c>
      <c r="C5099" s="179" t="s">
        <v>2719</v>
      </c>
      <c r="D5099">
        <v>3465</v>
      </c>
      <c r="E5099" s="125" t="s">
        <v>1614</v>
      </c>
      <c r="F5099" s="178" t="s">
        <v>1607</v>
      </c>
      <c r="G5099" s="178" t="s">
        <v>134</v>
      </c>
      <c r="H5099">
        <v>852</v>
      </c>
      <c r="I5099" s="178" t="s">
        <v>1546</v>
      </c>
      <c r="J5099" s="320" t="s">
        <v>214</v>
      </c>
      <c r="K5099" s="178" t="s">
        <v>4871</v>
      </c>
      <c r="L5099" s="125" t="s">
        <v>3306</v>
      </c>
      <c r="M5099">
        <v>1182</v>
      </c>
      <c r="N5099" s="182">
        <v>1</v>
      </c>
      <c r="O5099">
        <v>3314</v>
      </c>
      <c r="P5099" s="132" t="s">
        <v>77</v>
      </c>
      <c r="Q5099" s="176">
        <v>34482.76</v>
      </c>
      <c r="R5099" s="176">
        <v>5517.24</v>
      </c>
      <c r="S5099" s="176"/>
      <c r="T5099" s="190">
        <v>0</v>
      </c>
      <c r="U5099" s="191">
        <v>0</v>
      </c>
      <c r="V5099" s="191">
        <v>40000</v>
      </c>
      <c r="W5099">
        <v>415</v>
      </c>
      <c r="X5099" s="186" t="s">
        <v>1430</v>
      </c>
      <c r="Y5099" s="187" t="s">
        <v>55</v>
      </c>
      <c r="Z5099" s="311">
        <v>268</v>
      </c>
      <c r="AB5099" t="str">
        <f>IF(Table1[[#This Row],[TIPO2]]="costo", VLOOKUP(Table1[[#This Row],[PARTIDA PRESUPUESTAL]],'Cost Report'!G:G,1,0),"Balance")</f>
        <v>3193-094</v>
      </c>
      <c r="AD5099" s="159">
        <f>+Table1[[#This Row],[SUBTOTAL]]+Table1[[#This Row],[IVA]]-Table1[[#This Row],[RET IVA]]-Table1[[#This Row],[RET ISR]]-Table1[[#This Row],[TOTAL]]</f>
        <v>0</v>
      </c>
      <c r="AK5099" s="306" t="str">
        <f>IF(ISNUMBER(Table1[[#This Row],[FECHA DE RECIBIDO]]), Table1[[#This Row],[FECHA DE RECIBIDO]]-DATE(2023,8,30), "")</f>
        <v/>
      </c>
    </row>
    <row r="5100" spans="1:37" ht="16.05" customHeight="1">
      <c r="A5100" s="172"/>
      <c r="B5100" s="178">
        <v>1798</v>
      </c>
      <c r="C5100" s="179" t="s">
        <v>2719</v>
      </c>
      <c r="D5100">
        <v>3466</v>
      </c>
      <c r="E5100" s="125" t="s">
        <v>1614</v>
      </c>
      <c r="F5100" s="178" t="s">
        <v>1607</v>
      </c>
      <c r="G5100" s="178" t="s">
        <v>134</v>
      </c>
      <c r="H5100">
        <v>852</v>
      </c>
      <c r="I5100" s="178" t="s">
        <v>1546</v>
      </c>
      <c r="J5100" s="320" t="s">
        <v>214</v>
      </c>
      <c r="K5100" s="178" t="s">
        <v>4871</v>
      </c>
      <c r="L5100" s="125" t="s">
        <v>3306</v>
      </c>
      <c r="M5100">
        <v>1182</v>
      </c>
      <c r="N5100" s="182">
        <v>1</v>
      </c>
      <c r="O5100">
        <v>3315</v>
      </c>
      <c r="P5100" s="132" t="s">
        <v>77</v>
      </c>
      <c r="Q5100" s="176">
        <v>34482.76</v>
      </c>
      <c r="R5100" s="176">
        <v>5517.24</v>
      </c>
      <c r="S5100" s="176"/>
      <c r="T5100" s="190">
        <v>0</v>
      </c>
      <c r="U5100" s="191">
        <v>0</v>
      </c>
      <c r="V5100" s="191">
        <v>40000</v>
      </c>
      <c r="W5100">
        <v>415</v>
      </c>
      <c r="X5100" s="186" t="s">
        <v>1430</v>
      </c>
      <c r="Y5100" s="187" t="s">
        <v>55</v>
      </c>
      <c r="Z5100" s="311">
        <v>268</v>
      </c>
      <c r="AB5100" t="str">
        <f>IF(Table1[[#This Row],[TIPO2]]="costo", VLOOKUP(Table1[[#This Row],[PARTIDA PRESUPUESTAL]],'Cost Report'!G:G,1,0),"Balance")</f>
        <v>3193-094</v>
      </c>
      <c r="AD5100" s="159">
        <f>+Table1[[#This Row],[SUBTOTAL]]+Table1[[#This Row],[IVA]]-Table1[[#This Row],[RET IVA]]-Table1[[#This Row],[RET ISR]]-Table1[[#This Row],[TOTAL]]</f>
        <v>0</v>
      </c>
      <c r="AK5100" s="306" t="str">
        <f>IF(ISNUMBER(Table1[[#This Row],[FECHA DE RECIBIDO]]), Table1[[#This Row],[FECHA DE RECIBIDO]]-DATE(2023,8,30), "")</f>
        <v/>
      </c>
    </row>
    <row r="5101" spans="1:37" ht="16.05" customHeight="1">
      <c r="A5101" s="172"/>
      <c r="B5101" s="178">
        <v>1799</v>
      </c>
      <c r="C5101" s="179" t="s">
        <v>2655</v>
      </c>
      <c r="D5101">
        <v>3467</v>
      </c>
      <c r="E5101" s="125" t="s">
        <v>1614</v>
      </c>
      <c r="F5101" s="178" t="s">
        <v>1607</v>
      </c>
      <c r="G5101" s="178" t="s">
        <v>134</v>
      </c>
      <c r="H5101">
        <v>852</v>
      </c>
      <c r="I5101" s="178" t="s">
        <v>1546</v>
      </c>
      <c r="J5101" s="320" t="s">
        <v>214</v>
      </c>
      <c r="K5101" s="178" t="s">
        <v>4871</v>
      </c>
      <c r="L5101" s="125" t="s">
        <v>3306</v>
      </c>
      <c r="M5101">
        <v>1182</v>
      </c>
      <c r="N5101" s="182">
        <v>1</v>
      </c>
      <c r="O5101">
        <v>3316</v>
      </c>
      <c r="P5101" s="132" t="s">
        <v>77</v>
      </c>
      <c r="Q5101" s="176">
        <v>54633.33</v>
      </c>
      <c r="R5101" s="176">
        <v>8741.33</v>
      </c>
      <c r="S5101" s="176"/>
      <c r="T5101" s="190">
        <v>0</v>
      </c>
      <c r="U5101" s="191">
        <v>0</v>
      </c>
      <c r="V5101" s="191">
        <v>63374.66</v>
      </c>
      <c r="W5101">
        <v>415</v>
      </c>
      <c r="X5101" s="186" t="s">
        <v>1430</v>
      </c>
      <c r="Y5101" s="187" t="s">
        <v>55</v>
      </c>
      <c r="Z5101" s="311">
        <v>268</v>
      </c>
      <c r="AB5101" t="str">
        <f>IF(Table1[[#This Row],[TIPO2]]="costo", VLOOKUP(Table1[[#This Row],[PARTIDA PRESUPUESTAL]],'Cost Report'!G:G,1,0),"Balance")</f>
        <v>3091-007</v>
      </c>
      <c r="AD5101" s="159">
        <f>+Table1[[#This Row],[SUBTOTAL]]+Table1[[#This Row],[IVA]]-Table1[[#This Row],[RET IVA]]-Table1[[#This Row],[RET ISR]]-Table1[[#This Row],[TOTAL]]</f>
        <v>0</v>
      </c>
      <c r="AK5101" s="306" t="str">
        <f>IF(ISNUMBER(Table1[[#This Row],[FECHA DE RECIBIDO]]), Table1[[#This Row],[FECHA DE RECIBIDO]]-DATE(2023,8,30), "")</f>
        <v/>
      </c>
    </row>
    <row r="5102" spans="1:37" ht="16.05" customHeight="1">
      <c r="A5102" s="172" t="s">
        <v>4822</v>
      </c>
      <c r="B5102" s="178">
        <v>1800</v>
      </c>
      <c r="C5102" s="179" t="s">
        <v>1035</v>
      </c>
      <c r="D5102">
        <v>3468</v>
      </c>
      <c r="E5102" s="125" t="s">
        <v>2001</v>
      </c>
      <c r="F5102" s="178" t="s">
        <v>1607</v>
      </c>
      <c r="G5102" s="178" t="s">
        <v>134</v>
      </c>
      <c r="H5102">
        <v>23</v>
      </c>
      <c r="I5102" s="178" t="s">
        <v>1546</v>
      </c>
      <c r="J5102" s="320" t="s">
        <v>214</v>
      </c>
      <c r="K5102" s="178" t="s">
        <v>4871</v>
      </c>
      <c r="L5102" s="125" t="s">
        <v>3306</v>
      </c>
      <c r="M5102">
        <v>343</v>
      </c>
      <c r="N5102" s="182">
        <v>1</v>
      </c>
      <c r="O5102">
        <v>3317</v>
      </c>
      <c r="P5102" s="132" t="s">
        <v>77</v>
      </c>
      <c r="Q5102" s="176">
        <v>16318.09</v>
      </c>
      <c r="R5102" s="176">
        <v>2610.91</v>
      </c>
      <c r="S5102" s="176"/>
      <c r="T5102" s="190">
        <v>0</v>
      </c>
      <c r="U5102" s="191">
        <v>0</v>
      </c>
      <c r="V5102" s="191">
        <v>18929</v>
      </c>
      <c r="W5102">
        <v>25</v>
      </c>
      <c r="X5102" s="186" t="s">
        <v>2024</v>
      </c>
      <c r="Y5102" s="187" t="s">
        <v>55</v>
      </c>
      <c r="Z5102" s="311">
        <v>268</v>
      </c>
      <c r="AB5102" t="str">
        <f>IF(Table1[[#This Row],[TIPO2]]="costo", VLOOKUP(Table1[[#This Row],[PARTIDA PRESUPUESTAL]],'Cost Report'!G:G,1,0),"Balance")</f>
        <v>3683-006</v>
      </c>
      <c r="AD5102" s="159">
        <f>+Table1[[#This Row],[SUBTOTAL]]+Table1[[#This Row],[IVA]]-Table1[[#This Row],[RET IVA]]-Table1[[#This Row],[RET ISR]]-Table1[[#This Row],[TOTAL]]</f>
        <v>0</v>
      </c>
      <c r="AK5102" s="306" t="str">
        <f>IF(ISNUMBER(Table1[[#This Row],[FECHA DE RECIBIDO]]), Table1[[#This Row],[FECHA DE RECIBIDO]]-DATE(2023,8,30), "")</f>
        <v/>
      </c>
    </row>
    <row r="5103" spans="1:37" ht="16.05" customHeight="1">
      <c r="A5103" s="172" t="s">
        <v>4822</v>
      </c>
      <c r="B5103" s="178">
        <v>1800</v>
      </c>
      <c r="C5103" s="179" t="s">
        <v>1039</v>
      </c>
      <c r="D5103">
        <v>3468</v>
      </c>
      <c r="E5103" s="125" t="s">
        <v>2001</v>
      </c>
      <c r="F5103" s="178" t="s">
        <v>1607</v>
      </c>
      <c r="G5103" s="178" t="s">
        <v>134</v>
      </c>
      <c r="H5103">
        <v>23</v>
      </c>
      <c r="I5103" s="178" t="s">
        <v>1546</v>
      </c>
      <c r="J5103" s="320" t="s">
        <v>214</v>
      </c>
      <c r="K5103" s="178" t="s">
        <v>4871</v>
      </c>
      <c r="L5103" s="125" t="s">
        <v>3306</v>
      </c>
      <c r="M5103">
        <v>343</v>
      </c>
      <c r="N5103" s="182">
        <v>1</v>
      </c>
      <c r="O5103">
        <v>3317</v>
      </c>
      <c r="P5103" s="132" t="s">
        <v>77</v>
      </c>
      <c r="Q5103" s="176">
        <v>17016.490000000002</v>
      </c>
      <c r="R5103" s="176">
        <v>2722.64</v>
      </c>
      <c r="S5103" s="176"/>
      <c r="T5103" s="190">
        <v>0</v>
      </c>
      <c r="U5103" s="191">
        <v>0</v>
      </c>
      <c r="V5103" s="191">
        <v>19739.13</v>
      </c>
      <c r="W5103">
        <v>25</v>
      </c>
      <c r="X5103" s="186" t="s">
        <v>2024</v>
      </c>
      <c r="Y5103" s="187" t="s">
        <v>55</v>
      </c>
      <c r="Z5103" s="311">
        <v>268</v>
      </c>
      <c r="AB5103" t="str">
        <f>IF(Table1[[#This Row],[TIPO2]]="costo", VLOOKUP(Table1[[#This Row],[PARTIDA PRESUPUESTAL]],'Cost Report'!G:G,1,0),"Balance")</f>
        <v>3683-012</v>
      </c>
      <c r="AD5103" s="159">
        <f>+Table1[[#This Row],[SUBTOTAL]]+Table1[[#This Row],[IVA]]-Table1[[#This Row],[RET IVA]]-Table1[[#This Row],[RET ISR]]-Table1[[#This Row],[TOTAL]]</f>
        <v>0</v>
      </c>
      <c r="AK5103" s="306" t="str">
        <f>IF(ISNUMBER(Table1[[#This Row],[FECHA DE RECIBIDO]]), Table1[[#This Row],[FECHA DE RECIBIDO]]-DATE(2023,8,30), "")</f>
        <v/>
      </c>
    </row>
    <row r="5104" spans="1:37" ht="16.05" customHeight="1">
      <c r="A5104" s="172" t="s">
        <v>4822</v>
      </c>
      <c r="B5104" s="178">
        <v>1800</v>
      </c>
      <c r="C5104" s="179" t="s">
        <v>1043</v>
      </c>
      <c r="D5104">
        <v>3468</v>
      </c>
      <c r="E5104" s="125" t="s">
        <v>2001</v>
      </c>
      <c r="F5104" s="178" t="s">
        <v>1607</v>
      </c>
      <c r="G5104" s="178" t="s">
        <v>134</v>
      </c>
      <c r="H5104">
        <v>23</v>
      </c>
      <c r="I5104" s="178" t="s">
        <v>1546</v>
      </c>
      <c r="J5104" s="320" t="s">
        <v>214</v>
      </c>
      <c r="K5104" s="178" t="s">
        <v>4871</v>
      </c>
      <c r="L5104" s="125" t="s">
        <v>3306</v>
      </c>
      <c r="M5104">
        <v>343</v>
      </c>
      <c r="N5104" s="182">
        <v>1</v>
      </c>
      <c r="O5104">
        <v>3317</v>
      </c>
      <c r="P5104" s="132" t="s">
        <v>77</v>
      </c>
      <c r="Q5104" s="176">
        <v>25000.94</v>
      </c>
      <c r="R5104" s="176">
        <v>4000.15</v>
      </c>
      <c r="S5104" s="176"/>
      <c r="T5104" s="190">
        <v>0</v>
      </c>
      <c r="U5104" s="191">
        <v>0</v>
      </c>
      <c r="V5104" s="191">
        <v>29001.09</v>
      </c>
      <c r="W5104">
        <v>25</v>
      </c>
      <c r="X5104" s="186" t="s">
        <v>2024</v>
      </c>
      <c r="Y5104" s="187" t="s">
        <v>55</v>
      </c>
      <c r="Z5104" s="311">
        <v>268</v>
      </c>
      <c r="AB5104" t="str">
        <f>IF(Table1[[#This Row],[TIPO2]]="costo", VLOOKUP(Table1[[#This Row],[PARTIDA PRESUPUESTAL]],'Cost Report'!G:G,1,0),"Balance")</f>
        <v>3683-018</v>
      </c>
      <c r="AD5104" s="159">
        <f>+Table1[[#This Row],[SUBTOTAL]]+Table1[[#This Row],[IVA]]-Table1[[#This Row],[RET IVA]]-Table1[[#This Row],[RET ISR]]-Table1[[#This Row],[TOTAL]]</f>
        <v>0</v>
      </c>
      <c r="AK5104" s="306" t="str">
        <f>IF(ISNUMBER(Table1[[#This Row],[FECHA DE RECIBIDO]]), Table1[[#This Row],[FECHA DE RECIBIDO]]-DATE(2023,8,30), "")</f>
        <v/>
      </c>
    </row>
    <row r="5105" spans="1:37" ht="16.05" customHeight="1">
      <c r="A5105" s="172" t="s">
        <v>4822</v>
      </c>
      <c r="B5105" s="178">
        <v>1800</v>
      </c>
      <c r="C5105" s="179" t="s">
        <v>1047</v>
      </c>
      <c r="D5105">
        <v>3468</v>
      </c>
      <c r="E5105" s="125" t="s">
        <v>2001</v>
      </c>
      <c r="F5105" s="178" t="s">
        <v>1607</v>
      </c>
      <c r="G5105" s="178" t="s">
        <v>134</v>
      </c>
      <c r="H5105">
        <v>23</v>
      </c>
      <c r="I5105" s="178" t="s">
        <v>1546</v>
      </c>
      <c r="J5105" s="320" t="s">
        <v>214</v>
      </c>
      <c r="K5105" s="178" t="s">
        <v>4871</v>
      </c>
      <c r="L5105" s="125" t="s">
        <v>3306</v>
      </c>
      <c r="M5105">
        <v>343</v>
      </c>
      <c r="N5105" s="182">
        <v>1</v>
      </c>
      <c r="O5105">
        <v>3317</v>
      </c>
      <c r="P5105" s="132" t="s">
        <v>77</v>
      </c>
      <c r="Q5105" s="176">
        <v>12222.68</v>
      </c>
      <c r="R5105" s="176">
        <v>1955.63</v>
      </c>
      <c r="S5105" s="176"/>
      <c r="T5105" s="190">
        <v>0</v>
      </c>
      <c r="U5105" s="191">
        <v>0</v>
      </c>
      <c r="V5105" s="191">
        <v>14178.310000000001</v>
      </c>
      <c r="W5105">
        <v>25</v>
      </c>
      <c r="X5105" s="186" t="s">
        <v>2024</v>
      </c>
      <c r="Y5105" s="187" t="s">
        <v>55</v>
      </c>
      <c r="Z5105" s="311">
        <v>268</v>
      </c>
      <c r="AB5105" t="str">
        <f>IF(Table1[[#This Row],[TIPO2]]="costo", VLOOKUP(Table1[[#This Row],[PARTIDA PRESUPUESTAL]],'Cost Report'!G:G,1,0),"Balance")</f>
        <v>3683-024</v>
      </c>
      <c r="AD5105" s="159">
        <f>+Table1[[#This Row],[SUBTOTAL]]+Table1[[#This Row],[IVA]]-Table1[[#This Row],[RET IVA]]-Table1[[#This Row],[RET ISR]]-Table1[[#This Row],[TOTAL]]</f>
        <v>0</v>
      </c>
      <c r="AK5105" s="306" t="str">
        <f>IF(ISNUMBER(Table1[[#This Row],[FECHA DE RECIBIDO]]), Table1[[#This Row],[FECHA DE RECIBIDO]]-DATE(2023,8,30), "")</f>
        <v/>
      </c>
    </row>
    <row r="5106" spans="1:37" ht="16.05" customHeight="1">
      <c r="A5106" s="172" t="s">
        <v>4822</v>
      </c>
      <c r="B5106" s="178">
        <v>1800</v>
      </c>
      <c r="C5106" s="179" t="s">
        <v>1051</v>
      </c>
      <c r="D5106">
        <v>3468</v>
      </c>
      <c r="E5106" s="125" t="s">
        <v>2001</v>
      </c>
      <c r="F5106" s="178" t="s">
        <v>1607</v>
      </c>
      <c r="G5106" s="178" t="s">
        <v>134</v>
      </c>
      <c r="H5106">
        <v>23</v>
      </c>
      <c r="I5106" s="178" t="s">
        <v>1546</v>
      </c>
      <c r="J5106" s="320" t="s">
        <v>214</v>
      </c>
      <c r="K5106" s="178" t="s">
        <v>4871</v>
      </c>
      <c r="L5106" s="125" t="s">
        <v>3306</v>
      </c>
      <c r="M5106">
        <v>343</v>
      </c>
      <c r="N5106" s="182">
        <v>1</v>
      </c>
      <c r="O5106">
        <v>3317</v>
      </c>
      <c r="P5106" s="132" t="s">
        <v>77</v>
      </c>
      <c r="Q5106" s="176">
        <v>11497.61</v>
      </c>
      <c r="R5106" s="176">
        <v>1839.62</v>
      </c>
      <c r="S5106" s="176"/>
      <c r="T5106" s="190">
        <v>0</v>
      </c>
      <c r="U5106" s="191">
        <v>0</v>
      </c>
      <c r="V5106" s="191">
        <v>13337.23</v>
      </c>
      <c r="W5106">
        <v>25</v>
      </c>
      <c r="X5106" s="186" t="s">
        <v>2024</v>
      </c>
      <c r="Y5106" s="187" t="s">
        <v>55</v>
      </c>
      <c r="Z5106" s="311">
        <v>268</v>
      </c>
      <c r="AB5106" t="str">
        <f>IF(Table1[[#This Row],[TIPO2]]="costo", VLOOKUP(Table1[[#This Row],[PARTIDA PRESUPUESTAL]],'Cost Report'!G:G,1,0),"Balance")</f>
        <v>3683-030</v>
      </c>
      <c r="AD5106" s="159">
        <f>+Table1[[#This Row],[SUBTOTAL]]+Table1[[#This Row],[IVA]]-Table1[[#This Row],[RET IVA]]-Table1[[#This Row],[RET ISR]]-Table1[[#This Row],[TOTAL]]</f>
        <v>0</v>
      </c>
      <c r="AK5106" s="306" t="str">
        <f>IF(ISNUMBER(Table1[[#This Row],[FECHA DE RECIBIDO]]), Table1[[#This Row],[FECHA DE RECIBIDO]]-DATE(2023,8,30), "")</f>
        <v/>
      </c>
    </row>
    <row r="5107" spans="1:37" ht="16.05" customHeight="1">
      <c r="A5107" s="172" t="s">
        <v>4822</v>
      </c>
      <c r="B5107" s="178">
        <v>1800</v>
      </c>
      <c r="C5107" s="126" t="s">
        <v>2897</v>
      </c>
      <c r="D5107">
        <v>3468</v>
      </c>
      <c r="E5107" s="125" t="s">
        <v>2001</v>
      </c>
      <c r="F5107" s="178" t="s">
        <v>1607</v>
      </c>
      <c r="G5107" s="178" t="s">
        <v>134</v>
      </c>
      <c r="H5107">
        <v>23</v>
      </c>
      <c r="I5107" s="178" t="s">
        <v>1546</v>
      </c>
      <c r="J5107" s="320" t="s">
        <v>214</v>
      </c>
      <c r="K5107" s="178" t="s">
        <v>4871</v>
      </c>
      <c r="L5107" s="125" t="s">
        <v>3306</v>
      </c>
      <c r="M5107">
        <v>343</v>
      </c>
      <c r="N5107" s="182">
        <v>1</v>
      </c>
      <c r="O5107">
        <v>3317</v>
      </c>
      <c r="P5107" s="132" t="s">
        <v>77</v>
      </c>
      <c r="Q5107" s="176">
        <v>5595.16</v>
      </c>
      <c r="R5107" s="176">
        <v>895.23</v>
      </c>
      <c r="S5107" s="176"/>
      <c r="T5107" s="190">
        <v>0</v>
      </c>
      <c r="U5107" s="191">
        <v>0</v>
      </c>
      <c r="V5107" s="191">
        <v>6490.3899999999994</v>
      </c>
      <c r="W5107">
        <v>25</v>
      </c>
      <c r="X5107" s="186" t="s">
        <v>2024</v>
      </c>
      <c r="Y5107" s="187" t="s">
        <v>55</v>
      </c>
      <c r="Z5107" s="311">
        <v>268</v>
      </c>
      <c r="AB5107" t="str">
        <f>IF(Table1[[#This Row],[TIPO2]]="costo", VLOOKUP(Table1[[#This Row],[PARTIDA PRESUPUESTAL]],'Cost Report'!G:G,1,0),"Balance")</f>
        <v>3683-138</v>
      </c>
      <c r="AD5107" s="159">
        <f>+Table1[[#This Row],[SUBTOTAL]]+Table1[[#This Row],[IVA]]-Table1[[#This Row],[RET IVA]]-Table1[[#This Row],[RET ISR]]-Table1[[#This Row],[TOTAL]]</f>
        <v>0</v>
      </c>
      <c r="AK5107" s="306" t="str">
        <f>IF(ISNUMBER(Table1[[#This Row],[FECHA DE RECIBIDO]]), Table1[[#This Row],[FECHA DE RECIBIDO]]-DATE(2023,8,30), "")</f>
        <v/>
      </c>
    </row>
    <row r="5108" spans="1:37" ht="16.05" customHeight="1">
      <c r="A5108" s="172" t="s">
        <v>4822</v>
      </c>
      <c r="B5108" s="178">
        <v>1800</v>
      </c>
      <c r="C5108" s="179" t="s">
        <v>1059</v>
      </c>
      <c r="D5108">
        <v>3468</v>
      </c>
      <c r="E5108" s="125" t="s">
        <v>2001</v>
      </c>
      <c r="F5108" s="178" t="s">
        <v>1607</v>
      </c>
      <c r="G5108" s="178" t="s">
        <v>134</v>
      </c>
      <c r="H5108">
        <v>23</v>
      </c>
      <c r="I5108" s="178" t="s">
        <v>1546</v>
      </c>
      <c r="J5108" s="320" t="s">
        <v>214</v>
      </c>
      <c r="K5108" s="178" t="s">
        <v>4871</v>
      </c>
      <c r="L5108" s="125" t="s">
        <v>3306</v>
      </c>
      <c r="M5108">
        <v>343</v>
      </c>
      <c r="N5108" s="182">
        <v>1</v>
      </c>
      <c r="O5108">
        <v>3317</v>
      </c>
      <c r="P5108" s="132" t="s">
        <v>77</v>
      </c>
      <c r="Q5108" s="176">
        <v>11497.61</v>
      </c>
      <c r="R5108" s="176">
        <v>1839.62</v>
      </c>
      <c r="S5108" s="176"/>
      <c r="T5108" s="190">
        <v>0</v>
      </c>
      <c r="U5108" s="191">
        <v>0</v>
      </c>
      <c r="V5108" s="191">
        <v>13337.23</v>
      </c>
      <c r="W5108">
        <v>25</v>
      </c>
      <c r="X5108" s="186" t="s">
        <v>2024</v>
      </c>
      <c r="Y5108" s="187" t="s">
        <v>55</v>
      </c>
      <c r="Z5108" s="311">
        <v>268</v>
      </c>
      <c r="AB5108" t="str">
        <f>IF(Table1[[#This Row],[TIPO2]]="costo", VLOOKUP(Table1[[#This Row],[PARTIDA PRESUPUESTAL]],'Cost Report'!G:G,1,0),"Balance")</f>
        <v>3683-042</v>
      </c>
      <c r="AD5108" s="159">
        <f>+Table1[[#This Row],[SUBTOTAL]]+Table1[[#This Row],[IVA]]-Table1[[#This Row],[RET IVA]]-Table1[[#This Row],[RET ISR]]-Table1[[#This Row],[TOTAL]]</f>
        <v>0</v>
      </c>
      <c r="AK5108" s="306" t="str">
        <f>IF(ISNUMBER(Table1[[#This Row],[FECHA DE RECIBIDO]]), Table1[[#This Row],[FECHA DE RECIBIDO]]-DATE(2023,8,30), "")</f>
        <v/>
      </c>
    </row>
    <row r="5109" spans="1:37" ht="16.05" customHeight="1">
      <c r="A5109" s="172" t="s">
        <v>4822</v>
      </c>
      <c r="B5109" s="178">
        <v>1800</v>
      </c>
      <c r="C5109" s="179" t="s">
        <v>1063</v>
      </c>
      <c r="D5109">
        <v>3468</v>
      </c>
      <c r="E5109" s="125" t="s">
        <v>2001</v>
      </c>
      <c r="F5109" s="178" t="s">
        <v>1607</v>
      </c>
      <c r="G5109" s="178" t="s">
        <v>134</v>
      </c>
      <c r="H5109">
        <v>23</v>
      </c>
      <c r="I5109" s="178" t="s">
        <v>1546</v>
      </c>
      <c r="J5109" s="320" t="s">
        <v>214</v>
      </c>
      <c r="K5109" s="178" t="s">
        <v>4871</v>
      </c>
      <c r="L5109" s="125" t="s">
        <v>3306</v>
      </c>
      <c r="M5109">
        <v>343</v>
      </c>
      <c r="N5109" s="182">
        <v>1</v>
      </c>
      <c r="O5109">
        <v>3317</v>
      </c>
      <c r="P5109" s="132" t="s">
        <v>77</v>
      </c>
      <c r="Q5109" s="176">
        <v>12222.68</v>
      </c>
      <c r="R5109" s="176">
        <v>1955.63</v>
      </c>
      <c r="S5109" s="176"/>
      <c r="T5109" s="190">
        <v>0</v>
      </c>
      <c r="U5109" s="191">
        <v>0</v>
      </c>
      <c r="V5109" s="191">
        <v>14178.310000000001</v>
      </c>
      <c r="W5109">
        <v>25</v>
      </c>
      <c r="X5109" s="186" t="s">
        <v>2024</v>
      </c>
      <c r="Y5109" s="187" t="s">
        <v>55</v>
      </c>
      <c r="Z5109" s="311">
        <v>268</v>
      </c>
      <c r="AB5109" t="str">
        <f>IF(Table1[[#This Row],[TIPO2]]="costo", VLOOKUP(Table1[[#This Row],[PARTIDA PRESUPUESTAL]],'Cost Report'!G:G,1,0),"Balance")</f>
        <v>3683-048</v>
      </c>
      <c r="AD5109" s="159">
        <f>+Table1[[#This Row],[SUBTOTAL]]+Table1[[#This Row],[IVA]]-Table1[[#This Row],[RET IVA]]-Table1[[#This Row],[RET ISR]]-Table1[[#This Row],[TOTAL]]</f>
        <v>0</v>
      </c>
      <c r="AK5109" s="306" t="str">
        <f>IF(ISNUMBER(Table1[[#This Row],[FECHA DE RECIBIDO]]), Table1[[#This Row],[FECHA DE RECIBIDO]]-DATE(2023,8,30), "")</f>
        <v/>
      </c>
    </row>
    <row r="5110" spans="1:37" ht="16.05" customHeight="1">
      <c r="A5110" s="172" t="s">
        <v>4822</v>
      </c>
      <c r="B5110" s="178">
        <v>1800</v>
      </c>
      <c r="C5110" s="179" t="s">
        <v>1067</v>
      </c>
      <c r="D5110">
        <v>3468</v>
      </c>
      <c r="E5110" s="125" t="s">
        <v>2001</v>
      </c>
      <c r="F5110" s="178" t="s">
        <v>1607</v>
      </c>
      <c r="G5110" s="178" t="s">
        <v>134</v>
      </c>
      <c r="H5110">
        <v>23</v>
      </c>
      <c r="I5110" s="178" t="s">
        <v>1546</v>
      </c>
      <c r="J5110" s="320" t="s">
        <v>214</v>
      </c>
      <c r="K5110" s="178" t="s">
        <v>4871</v>
      </c>
      <c r="L5110" s="125" t="s">
        <v>3306</v>
      </c>
      <c r="M5110">
        <v>343</v>
      </c>
      <c r="N5110" s="182">
        <v>1</v>
      </c>
      <c r="O5110">
        <v>3317</v>
      </c>
      <c r="P5110" s="132" t="s">
        <v>77</v>
      </c>
      <c r="Q5110" s="176">
        <v>11710.53</v>
      </c>
      <c r="R5110" s="176">
        <v>1873.68</v>
      </c>
      <c r="S5110" s="176"/>
      <c r="T5110" s="190">
        <v>0</v>
      </c>
      <c r="U5110" s="191">
        <v>0</v>
      </c>
      <c r="V5110" s="191">
        <v>13584.210000000001</v>
      </c>
      <c r="W5110">
        <v>25</v>
      </c>
      <c r="X5110" s="186" t="s">
        <v>2024</v>
      </c>
      <c r="Y5110" s="187" t="s">
        <v>55</v>
      </c>
      <c r="Z5110" s="311">
        <v>268</v>
      </c>
      <c r="AB5110" t="str">
        <f>IF(Table1[[#This Row],[TIPO2]]="costo", VLOOKUP(Table1[[#This Row],[PARTIDA PRESUPUESTAL]],'Cost Report'!G:G,1,0),"Balance")</f>
        <v>3683-054</v>
      </c>
      <c r="AD5110" s="159">
        <f>+Table1[[#This Row],[SUBTOTAL]]+Table1[[#This Row],[IVA]]-Table1[[#This Row],[RET IVA]]-Table1[[#This Row],[RET ISR]]-Table1[[#This Row],[TOTAL]]</f>
        <v>0</v>
      </c>
      <c r="AK5110" s="306" t="str">
        <f>IF(ISNUMBER(Table1[[#This Row],[FECHA DE RECIBIDO]]), Table1[[#This Row],[FECHA DE RECIBIDO]]-DATE(2023,8,30), "")</f>
        <v/>
      </c>
    </row>
    <row r="5111" spans="1:37" ht="16.05" customHeight="1">
      <c r="A5111" s="172" t="s">
        <v>4822</v>
      </c>
      <c r="B5111" s="178">
        <v>1800</v>
      </c>
      <c r="C5111" s="179" t="s">
        <v>1071</v>
      </c>
      <c r="D5111">
        <v>3468</v>
      </c>
      <c r="E5111" s="125" t="s">
        <v>2001</v>
      </c>
      <c r="F5111" s="178" t="s">
        <v>1607</v>
      </c>
      <c r="G5111" s="178" t="s">
        <v>134</v>
      </c>
      <c r="H5111">
        <v>23</v>
      </c>
      <c r="I5111" s="178" t="s">
        <v>1546</v>
      </c>
      <c r="J5111" s="320" t="s">
        <v>214</v>
      </c>
      <c r="K5111" s="178" t="s">
        <v>4871</v>
      </c>
      <c r="L5111" s="125" t="s">
        <v>3306</v>
      </c>
      <c r="M5111">
        <v>343</v>
      </c>
      <c r="N5111" s="182">
        <v>1</v>
      </c>
      <c r="O5111">
        <v>3317</v>
      </c>
      <c r="P5111" s="132" t="s">
        <v>77</v>
      </c>
      <c r="Q5111" s="176">
        <v>8333.65</v>
      </c>
      <c r="R5111" s="176">
        <v>1333.38</v>
      </c>
      <c r="S5111" s="176"/>
      <c r="T5111" s="190">
        <v>0</v>
      </c>
      <c r="U5111" s="191">
        <v>0</v>
      </c>
      <c r="V5111" s="191">
        <v>9667.0299999999988</v>
      </c>
      <c r="W5111">
        <v>25</v>
      </c>
      <c r="X5111" s="186" t="s">
        <v>2024</v>
      </c>
      <c r="Y5111" s="187" t="s">
        <v>55</v>
      </c>
      <c r="Z5111" s="311">
        <v>268</v>
      </c>
      <c r="AB5111" t="str">
        <f>IF(Table1[[#This Row],[TIPO2]]="costo", VLOOKUP(Table1[[#This Row],[PARTIDA PRESUPUESTAL]],'Cost Report'!G:G,1,0),"Balance")</f>
        <v>3683-060</v>
      </c>
      <c r="AD5111" s="159">
        <f>+Table1[[#This Row],[SUBTOTAL]]+Table1[[#This Row],[IVA]]-Table1[[#This Row],[RET IVA]]-Table1[[#This Row],[RET ISR]]-Table1[[#This Row],[TOTAL]]</f>
        <v>0</v>
      </c>
      <c r="AK5111" s="306" t="str">
        <f>IF(ISNUMBER(Table1[[#This Row],[FECHA DE RECIBIDO]]), Table1[[#This Row],[FECHA DE RECIBIDO]]-DATE(2023,8,30), "")</f>
        <v/>
      </c>
    </row>
    <row r="5112" spans="1:37" ht="16.05" customHeight="1">
      <c r="A5112" s="172" t="s">
        <v>4822</v>
      </c>
      <c r="B5112" s="178">
        <v>1800</v>
      </c>
      <c r="C5112" s="179" t="s">
        <v>1075</v>
      </c>
      <c r="D5112">
        <v>3468</v>
      </c>
      <c r="E5112" s="125" t="s">
        <v>2001</v>
      </c>
      <c r="F5112" s="178" t="s">
        <v>1607</v>
      </c>
      <c r="G5112" s="178" t="s">
        <v>134</v>
      </c>
      <c r="H5112">
        <v>23</v>
      </c>
      <c r="I5112" s="178" t="s">
        <v>1546</v>
      </c>
      <c r="J5112" s="320" t="s">
        <v>214</v>
      </c>
      <c r="K5112" s="178" t="s">
        <v>4871</v>
      </c>
      <c r="L5112" s="125" t="s">
        <v>3306</v>
      </c>
      <c r="M5112">
        <v>343</v>
      </c>
      <c r="N5112" s="182">
        <v>1</v>
      </c>
      <c r="O5112">
        <v>3317</v>
      </c>
      <c r="P5112" s="132" t="s">
        <v>77</v>
      </c>
      <c r="Q5112" s="176">
        <v>8333.65</v>
      </c>
      <c r="R5112" s="176">
        <v>1333.38</v>
      </c>
      <c r="S5112" s="176"/>
      <c r="T5112" s="190">
        <v>0</v>
      </c>
      <c r="U5112" s="191">
        <v>0</v>
      </c>
      <c r="V5112" s="191">
        <v>9667.0299999999988</v>
      </c>
      <c r="W5112">
        <v>25</v>
      </c>
      <c r="X5112" s="186" t="s">
        <v>2024</v>
      </c>
      <c r="Y5112" s="187" t="s">
        <v>55</v>
      </c>
      <c r="Z5112" s="311">
        <v>268</v>
      </c>
      <c r="AB5112" t="str">
        <f>IF(Table1[[#This Row],[TIPO2]]="costo", VLOOKUP(Table1[[#This Row],[PARTIDA PRESUPUESTAL]],'Cost Report'!G:G,1,0),"Balance")</f>
        <v>3683-066</v>
      </c>
      <c r="AD5112" s="159">
        <f>+Table1[[#This Row],[SUBTOTAL]]+Table1[[#This Row],[IVA]]-Table1[[#This Row],[RET IVA]]-Table1[[#This Row],[RET ISR]]-Table1[[#This Row],[TOTAL]]</f>
        <v>0</v>
      </c>
      <c r="AK5112" s="306" t="str">
        <f>IF(ISNUMBER(Table1[[#This Row],[FECHA DE RECIBIDO]]), Table1[[#This Row],[FECHA DE RECIBIDO]]-DATE(2023,8,30), "")</f>
        <v/>
      </c>
    </row>
    <row r="5113" spans="1:37" ht="16.05" customHeight="1">
      <c r="A5113" s="172" t="s">
        <v>4822</v>
      </c>
      <c r="B5113" s="178">
        <v>1800</v>
      </c>
      <c r="C5113" s="179" t="s">
        <v>1079</v>
      </c>
      <c r="D5113">
        <v>3468</v>
      </c>
      <c r="E5113" s="125" t="s">
        <v>2001</v>
      </c>
      <c r="F5113" s="178" t="s">
        <v>1607</v>
      </c>
      <c r="G5113" s="178" t="s">
        <v>134</v>
      </c>
      <c r="H5113">
        <v>23</v>
      </c>
      <c r="I5113" s="178" t="s">
        <v>1546</v>
      </c>
      <c r="J5113" s="320" t="s">
        <v>214</v>
      </c>
      <c r="K5113" s="178" t="s">
        <v>4871</v>
      </c>
      <c r="L5113" s="125" t="s">
        <v>3306</v>
      </c>
      <c r="M5113">
        <v>343</v>
      </c>
      <c r="N5113" s="182">
        <v>1</v>
      </c>
      <c r="O5113">
        <v>3317</v>
      </c>
      <c r="P5113" s="132" t="s">
        <v>77</v>
      </c>
      <c r="Q5113" s="176">
        <v>8333.65</v>
      </c>
      <c r="R5113" s="176">
        <v>1333.38</v>
      </c>
      <c r="S5113" s="176"/>
      <c r="T5113" s="190">
        <v>0</v>
      </c>
      <c r="U5113" s="191">
        <v>0</v>
      </c>
      <c r="V5113" s="191">
        <v>9667.0299999999988</v>
      </c>
      <c r="W5113">
        <v>25</v>
      </c>
      <c r="X5113" s="186" t="s">
        <v>2024</v>
      </c>
      <c r="Y5113" s="187" t="s">
        <v>55</v>
      </c>
      <c r="Z5113" s="311">
        <v>268</v>
      </c>
      <c r="AB5113" t="str">
        <f>IF(Table1[[#This Row],[TIPO2]]="costo", VLOOKUP(Table1[[#This Row],[PARTIDA PRESUPUESTAL]],'Cost Report'!G:G,1,0),"Balance")</f>
        <v>3683-072</v>
      </c>
      <c r="AD5113" s="159">
        <f>+Table1[[#This Row],[SUBTOTAL]]+Table1[[#This Row],[IVA]]-Table1[[#This Row],[RET IVA]]-Table1[[#This Row],[RET ISR]]-Table1[[#This Row],[TOTAL]]</f>
        <v>0</v>
      </c>
      <c r="AK5113" s="306" t="str">
        <f>IF(ISNUMBER(Table1[[#This Row],[FECHA DE RECIBIDO]]), Table1[[#This Row],[FECHA DE RECIBIDO]]-DATE(2023,8,30), "")</f>
        <v/>
      </c>
    </row>
    <row r="5114" spans="1:37" ht="16.05" customHeight="1">
      <c r="A5114" s="172" t="s">
        <v>4822</v>
      </c>
      <c r="B5114" s="178">
        <v>1800</v>
      </c>
      <c r="C5114" s="179" t="s">
        <v>1083</v>
      </c>
      <c r="D5114">
        <v>3468</v>
      </c>
      <c r="E5114" s="125" t="s">
        <v>2001</v>
      </c>
      <c r="F5114" s="178" t="s">
        <v>1607</v>
      </c>
      <c r="G5114" s="178" t="s">
        <v>134</v>
      </c>
      <c r="H5114">
        <v>23</v>
      </c>
      <c r="I5114" s="178" t="s">
        <v>1546</v>
      </c>
      <c r="J5114" s="320" t="s">
        <v>214</v>
      </c>
      <c r="K5114" s="178" t="s">
        <v>4871</v>
      </c>
      <c r="L5114" s="125" t="s">
        <v>3306</v>
      </c>
      <c r="M5114">
        <v>343</v>
      </c>
      <c r="N5114" s="182">
        <v>1</v>
      </c>
      <c r="O5114">
        <v>3317</v>
      </c>
      <c r="P5114" s="132" t="s">
        <v>77</v>
      </c>
      <c r="Q5114" s="176">
        <v>8333.65</v>
      </c>
      <c r="R5114" s="176">
        <v>1333.38</v>
      </c>
      <c r="S5114" s="176"/>
      <c r="T5114" s="190">
        <v>0</v>
      </c>
      <c r="U5114" s="191">
        <v>0</v>
      </c>
      <c r="V5114" s="191">
        <v>9667.0299999999988</v>
      </c>
      <c r="W5114">
        <v>25</v>
      </c>
      <c r="X5114" s="186" t="s">
        <v>2024</v>
      </c>
      <c r="Y5114" s="187" t="s">
        <v>55</v>
      </c>
      <c r="Z5114" s="311">
        <v>268</v>
      </c>
      <c r="AB5114" t="str">
        <f>IF(Table1[[#This Row],[TIPO2]]="costo", VLOOKUP(Table1[[#This Row],[PARTIDA PRESUPUESTAL]],'Cost Report'!G:G,1,0),"Balance")</f>
        <v>3683-078</v>
      </c>
      <c r="AD5114" s="159">
        <f>+Table1[[#This Row],[SUBTOTAL]]+Table1[[#This Row],[IVA]]-Table1[[#This Row],[RET IVA]]-Table1[[#This Row],[RET ISR]]-Table1[[#This Row],[TOTAL]]</f>
        <v>0</v>
      </c>
      <c r="AK5114" s="306" t="str">
        <f>IF(ISNUMBER(Table1[[#This Row],[FECHA DE RECIBIDO]]), Table1[[#This Row],[FECHA DE RECIBIDO]]-DATE(2023,8,30), "")</f>
        <v/>
      </c>
    </row>
    <row r="5115" spans="1:37" ht="16.05" customHeight="1">
      <c r="A5115" s="172" t="s">
        <v>4822</v>
      </c>
      <c r="B5115" s="178">
        <v>1800</v>
      </c>
      <c r="C5115" s="179" t="s">
        <v>1087</v>
      </c>
      <c r="D5115">
        <v>3468</v>
      </c>
      <c r="E5115" s="125" t="s">
        <v>2001</v>
      </c>
      <c r="F5115" s="178" t="s">
        <v>1607</v>
      </c>
      <c r="G5115" s="178" t="s">
        <v>134</v>
      </c>
      <c r="H5115">
        <v>23</v>
      </c>
      <c r="I5115" s="178" t="s">
        <v>1546</v>
      </c>
      <c r="J5115" s="320" t="s">
        <v>214</v>
      </c>
      <c r="K5115" s="178" t="s">
        <v>4871</v>
      </c>
      <c r="L5115" s="125" t="s">
        <v>3306</v>
      </c>
      <c r="M5115">
        <v>343</v>
      </c>
      <c r="N5115" s="182">
        <v>1</v>
      </c>
      <c r="O5115">
        <v>3317</v>
      </c>
      <c r="P5115" s="132" t="s">
        <v>77</v>
      </c>
      <c r="Q5115" s="176">
        <v>12222.68</v>
      </c>
      <c r="R5115" s="176">
        <v>1955.63</v>
      </c>
      <c r="S5115" s="176"/>
      <c r="T5115" s="190">
        <v>0</v>
      </c>
      <c r="U5115" s="191">
        <v>0</v>
      </c>
      <c r="V5115" s="191">
        <v>14178.310000000001</v>
      </c>
      <c r="W5115">
        <v>25</v>
      </c>
      <c r="X5115" s="186" t="s">
        <v>2024</v>
      </c>
      <c r="Y5115" s="187" t="s">
        <v>55</v>
      </c>
      <c r="Z5115" s="311">
        <v>268</v>
      </c>
      <c r="AB5115" t="str">
        <f>IF(Table1[[#This Row],[TIPO2]]="costo", VLOOKUP(Table1[[#This Row],[PARTIDA PRESUPUESTAL]],'Cost Report'!G:G,1,0),"Balance")</f>
        <v>3683-084</v>
      </c>
      <c r="AD5115" s="159">
        <f>+Table1[[#This Row],[SUBTOTAL]]+Table1[[#This Row],[IVA]]-Table1[[#This Row],[RET IVA]]-Table1[[#This Row],[RET ISR]]-Table1[[#This Row],[TOTAL]]</f>
        <v>0</v>
      </c>
      <c r="AK5115" s="306" t="str">
        <f>IF(ISNUMBER(Table1[[#This Row],[FECHA DE RECIBIDO]]), Table1[[#This Row],[FECHA DE RECIBIDO]]-DATE(2023,8,30), "")</f>
        <v/>
      </c>
    </row>
    <row r="5116" spans="1:37" ht="16.05" customHeight="1">
      <c r="A5116" s="172" t="s">
        <v>4822</v>
      </c>
      <c r="B5116" s="178">
        <v>1800</v>
      </c>
      <c r="C5116" s="179" t="s">
        <v>1091</v>
      </c>
      <c r="D5116">
        <v>3468</v>
      </c>
      <c r="E5116" s="125" t="s">
        <v>2001</v>
      </c>
      <c r="F5116" s="178" t="s">
        <v>1607</v>
      </c>
      <c r="G5116" s="178" t="s">
        <v>134</v>
      </c>
      <c r="H5116">
        <v>23</v>
      </c>
      <c r="I5116" s="178" t="s">
        <v>1546</v>
      </c>
      <c r="J5116" s="320" t="s">
        <v>214</v>
      </c>
      <c r="K5116" s="178" t="s">
        <v>4871</v>
      </c>
      <c r="L5116" s="125" t="s">
        <v>3306</v>
      </c>
      <c r="M5116">
        <v>343</v>
      </c>
      <c r="N5116" s="182">
        <v>1</v>
      </c>
      <c r="O5116">
        <v>3317</v>
      </c>
      <c r="P5116" s="132" t="s">
        <v>77</v>
      </c>
      <c r="Q5116" s="176">
        <v>8333.65</v>
      </c>
      <c r="R5116" s="176">
        <v>1333.38</v>
      </c>
      <c r="S5116" s="176"/>
      <c r="T5116" s="190">
        <v>0</v>
      </c>
      <c r="U5116" s="191">
        <v>0</v>
      </c>
      <c r="V5116" s="191">
        <v>9667.0299999999988</v>
      </c>
      <c r="W5116">
        <v>25</v>
      </c>
      <c r="X5116" s="186" t="s">
        <v>2024</v>
      </c>
      <c r="Y5116" s="187" t="s">
        <v>55</v>
      </c>
      <c r="Z5116" s="311">
        <v>268</v>
      </c>
      <c r="AB5116" t="str">
        <f>IF(Table1[[#This Row],[TIPO2]]="costo", VLOOKUP(Table1[[#This Row],[PARTIDA PRESUPUESTAL]],'Cost Report'!G:G,1,0),"Balance")</f>
        <v>3683-090</v>
      </c>
      <c r="AD5116" s="159">
        <f>+Table1[[#This Row],[SUBTOTAL]]+Table1[[#This Row],[IVA]]-Table1[[#This Row],[RET IVA]]-Table1[[#This Row],[RET ISR]]-Table1[[#This Row],[TOTAL]]</f>
        <v>0</v>
      </c>
      <c r="AK5116" s="306" t="str">
        <f>IF(ISNUMBER(Table1[[#This Row],[FECHA DE RECIBIDO]]), Table1[[#This Row],[FECHA DE RECIBIDO]]-DATE(2023,8,30), "")</f>
        <v/>
      </c>
    </row>
    <row r="5117" spans="1:37" ht="16.05" customHeight="1">
      <c r="A5117" s="172" t="s">
        <v>4822</v>
      </c>
      <c r="B5117" s="178">
        <v>1800</v>
      </c>
      <c r="C5117" s="179" t="s">
        <v>1095</v>
      </c>
      <c r="D5117">
        <v>3468</v>
      </c>
      <c r="E5117" s="125" t="s">
        <v>2001</v>
      </c>
      <c r="F5117" s="178" t="s">
        <v>1607</v>
      </c>
      <c r="G5117" s="178" t="s">
        <v>134</v>
      </c>
      <c r="H5117">
        <v>23</v>
      </c>
      <c r="I5117" s="178" t="s">
        <v>1546</v>
      </c>
      <c r="J5117" s="320" t="s">
        <v>214</v>
      </c>
      <c r="K5117" s="178" t="s">
        <v>4871</v>
      </c>
      <c r="L5117" s="125" t="s">
        <v>3306</v>
      </c>
      <c r="M5117">
        <v>343</v>
      </c>
      <c r="N5117" s="182">
        <v>1</v>
      </c>
      <c r="O5117">
        <v>3317</v>
      </c>
      <c r="P5117" s="132" t="s">
        <v>77</v>
      </c>
      <c r="Q5117" s="176">
        <v>12222.68</v>
      </c>
      <c r="R5117" s="176">
        <v>1955.63</v>
      </c>
      <c r="S5117" s="176"/>
      <c r="T5117" s="190">
        <v>0</v>
      </c>
      <c r="U5117" s="191">
        <v>0</v>
      </c>
      <c r="V5117" s="191">
        <v>14178.310000000001</v>
      </c>
      <c r="W5117">
        <v>25</v>
      </c>
      <c r="X5117" s="186" t="s">
        <v>2024</v>
      </c>
      <c r="Y5117" s="187" t="s">
        <v>55</v>
      </c>
      <c r="Z5117" s="311">
        <v>268</v>
      </c>
      <c r="AB5117" t="str">
        <f>IF(Table1[[#This Row],[TIPO2]]="costo", VLOOKUP(Table1[[#This Row],[PARTIDA PRESUPUESTAL]],'Cost Report'!G:G,1,0),"Balance")</f>
        <v>3683-096</v>
      </c>
      <c r="AD5117" s="159">
        <f>+Table1[[#This Row],[SUBTOTAL]]+Table1[[#This Row],[IVA]]-Table1[[#This Row],[RET IVA]]-Table1[[#This Row],[RET ISR]]-Table1[[#This Row],[TOTAL]]</f>
        <v>0</v>
      </c>
      <c r="AK5117" s="306" t="str">
        <f>IF(ISNUMBER(Table1[[#This Row],[FECHA DE RECIBIDO]]), Table1[[#This Row],[FECHA DE RECIBIDO]]-DATE(2023,8,30), "")</f>
        <v/>
      </c>
    </row>
    <row r="5118" spans="1:37" ht="16.05" customHeight="1">
      <c r="A5118" s="172" t="s">
        <v>4822</v>
      </c>
      <c r="B5118" s="178">
        <v>1800</v>
      </c>
      <c r="C5118" s="179" t="s">
        <v>1098</v>
      </c>
      <c r="D5118">
        <v>3468</v>
      </c>
      <c r="E5118" s="125" t="s">
        <v>2001</v>
      </c>
      <c r="F5118" s="178" t="s">
        <v>1607</v>
      </c>
      <c r="G5118" s="178" t="s">
        <v>134</v>
      </c>
      <c r="H5118">
        <v>23</v>
      </c>
      <c r="I5118" s="178" t="s">
        <v>1546</v>
      </c>
      <c r="J5118" s="320" t="s">
        <v>214</v>
      </c>
      <c r="K5118" s="178" t="s">
        <v>4871</v>
      </c>
      <c r="L5118" s="125" t="s">
        <v>3306</v>
      </c>
      <c r="M5118">
        <v>343</v>
      </c>
      <c r="N5118" s="182">
        <v>1</v>
      </c>
      <c r="O5118">
        <v>3317</v>
      </c>
      <c r="P5118" s="132" t="s">
        <v>77</v>
      </c>
      <c r="Q5118" s="176">
        <v>11452.88</v>
      </c>
      <c r="R5118" s="176">
        <v>1832.46</v>
      </c>
      <c r="S5118" s="176"/>
      <c r="T5118" s="190">
        <v>0</v>
      </c>
      <c r="U5118" s="191">
        <v>0</v>
      </c>
      <c r="V5118" s="191">
        <v>13285.34</v>
      </c>
      <c r="W5118">
        <v>25</v>
      </c>
      <c r="X5118" s="186" t="s">
        <v>2024</v>
      </c>
      <c r="Y5118" s="187" t="s">
        <v>55</v>
      </c>
      <c r="Z5118" s="311">
        <v>268</v>
      </c>
      <c r="AB5118" t="str">
        <f>IF(Table1[[#This Row],[TIPO2]]="costo", VLOOKUP(Table1[[#This Row],[PARTIDA PRESUPUESTAL]],'Cost Report'!G:G,1,0),"Balance")</f>
        <v>3683-101</v>
      </c>
      <c r="AD5118" s="159">
        <f>+Table1[[#This Row],[SUBTOTAL]]+Table1[[#This Row],[IVA]]-Table1[[#This Row],[RET IVA]]-Table1[[#This Row],[RET ISR]]-Table1[[#This Row],[TOTAL]]</f>
        <v>0</v>
      </c>
      <c r="AK5118" s="306" t="str">
        <f>IF(ISNUMBER(Table1[[#This Row],[FECHA DE RECIBIDO]]), Table1[[#This Row],[FECHA DE RECIBIDO]]-DATE(2023,8,30), "")</f>
        <v/>
      </c>
    </row>
    <row r="5119" spans="1:37" ht="16.05" customHeight="1">
      <c r="A5119" s="172" t="s">
        <v>4822</v>
      </c>
      <c r="B5119" s="178">
        <v>1800</v>
      </c>
      <c r="C5119" s="179" t="s">
        <v>1100</v>
      </c>
      <c r="D5119">
        <v>3468</v>
      </c>
      <c r="E5119" s="125" t="s">
        <v>2001</v>
      </c>
      <c r="F5119" s="178" t="s">
        <v>1607</v>
      </c>
      <c r="G5119" s="178" t="s">
        <v>134</v>
      </c>
      <c r="H5119">
        <v>23</v>
      </c>
      <c r="I5119" s="178" t="s">
        <v>1546</v>
      </c>
      <c r="J5119" s="320" t="s">
        <v>214</v>
      </c>
      <c r="K5119" s="178" t="s">
        <v>4871</v>
      </c>
      <c r="L5119" s="125" t="s">
        <v>3306</v>
      </c>
      <c r="M5119">
        <v>343</v>
      </c>
      <c r="N5119" s="182">
        <v>1</v>
      </c>
      <c r="O5119">
        <v>3317</v>
      </c>
      <c r="P5119" s="132" t="s">
        <v>77</v>
      </c>
      <c r="Q5119" s="176">
        <v>14252.47</v>
      </c>
      <c r="R5119" s="176">
        <v>2280.4</v>
      </c>
      <c r="S5119" s="176"/>
      <c r="T5119" s="190">
        <v>0</v>
      </c>
      <c r="U5119" s="191">
        <v>0</v>
      </c>
      <c r="V5119" s="191">
        <v>16532.87</v>
      </c>
      <c r="W5119">
        <v>25</v>
      </c>
      <c r="X5119" s="186" t="s">
        <v>2024</v>
      </c>
      <c r="Y5119" s="187" t="s">
        <v>55</v>
      </c>
      <c r="Z5119" s="311">
        <v>268</v>
      </c>
      <c r="AB5119" t="str">
        <f>IF(Table1[[#This Row],[TIPO2]]="costo", VLOOKUP(Table1[[#This Row],[PARTIDA PRESUPUESTAL]],'Cost Report'!G:G,1,0),"Balance")</f>
        <v>3683-105</v>
      </c>
      <c r="AD5119" s="159">
        <f>+Table1[[#This Row],[SUBTOTAL]]+Table1[[#This Row],[IVA]]-Table1[[#This Row],[RET IVA]]-Table1[[#This Row],[RET ISR]]-Table1[[#This Row],[TOTAL]]</f>
        <v>0</v>
      </c>
      <c r="AK5119" s="306" t="str">
        <f>IF(ISNUMBER(Table1[[#This Row],[FECHA DE RECIBIDO]]), Table1[[#This Row],[FECHA DE RECIBIDO]]-DATE(2023,8,30), "")</f>
        <v/>
      </c>
    </row>
    <row r="5120" spans="1:37" ht="16.05" customHeight="1">
      <c r="A5120" s="172" t="s">
        <v>4822</v>
      </c>
      <c r="B5120" s="178">
        <v>1800</v>
      </c>
      <c r="C5120" s="179" t="s">
        <v>2880</v>
      </c>
      <c r="D5120">
        <v>3468</v>
      </c>
      <c r="E5120" s="125" t="s">
        <v>2001</v>
      </c>
      <c r="F5120" s="178" t="s">
        <v>1607</v>
      </c>
      <c r="G5120" s="178" t="s">
        <v>134</v>
      </c>
      <c r="H5120">
        <v>23</v>
      </c>
      <c r="I5120" s="178" t="s">
        <v>1546</v>
      </c>
      <c r="J5120" s="320" t="s">
        <v>214</v>
      </c>
      <c r="K5120" s="178" t="s">
        <v>4871</v>
      </c>
      <c r="L5120" s="125" t="s">
        <v>3306</v>
      </c>
      <c r="M5120">
        <v>343</v>
      </c>
      <c r="N5120" s="182">
        <v>1</v>
      </c>
      <c r="O5120">
        <v>3317</v>
      </c>
      <c r="P5120" s="132" t="s">
        <v>77</v>
      </c>
      <c r="Q5120" s="176">
        <v>29156.78</v>
      </c>
      <c r="R5120" s="176">
        <v>4665.08</v>
      </c>
      <c r="S5120" s="176"/>
      <c r="T5120" s="190">
        <v>0</v>
      </c>
      <c r="U5120" s="191">
        <v>0</v>
      </c>
      <c r="V5120" s="191">
        <v>33821.86</v>
      </c>
      <c r="W5120">
        <v>25</v>
      </c>
      <c r="X5120" s="186" t="s">
        <v>2024</v>
      </c>
      <c r="Y5120" s="187" t="s">
        <v>55</v>
      </c>
      <c r="Z5120" s="311">
        <v>268</v>
      </c>
      <c r="AB5120" t="str">
        <f>IF(Table1[[#This Row],[TIPO2]]="costo", VLOOKUP(Table1[[#This Row],[PARTIDA PRESUPUESTAL]],'Cost Report'!G:G,1,0),"Balance")</f>
        <v>3683-109</v>
      </c>
      <c r="AD5120" s="159">
        <f>+Table1[[#This Row],[SUBTOTAL]]+Table1[[#This Row],[IVA]]-Table1[[#This Row],[RET IVA]]-Table1[[#This Row],[RET ISR]]-Table1[[#This Row],[TOTAL]]</f>
        <v>0</v>
      </c>
      <c r="AK5120" s="306" t="str">
        <f>IF(ISNUMBER(Table1[[#This Row],[FECHA DE RECIBIDO]]), Table1[[#This Row],[FECHA DE RECIBIDO]]-DATE(2023,8,30), "")</f>
        <v/>
      </c>
    </row>
    <row r="5121" spans="1:37" ht="16.05" customHeight="1">
      <c r="A5121" s="172" t="s">
        <v>4822</v>
      </c>
      <c r="B5121" s="178">
        <v>1800</v>
      </c>
      <c r="C5121" s="179" t="s">
        <v>2882</v>
      </c>
      <c r="D5121">
        <v>3468</v>
      </c>
      <c r="E5121" s="125" t="s">
        <v>2001</v>
      </c>
      <c r="F5121" s="178" t="s">
        <v>1607</v>
      </c>
      <c r="G5121" s="178" t="s">
        <v>134</v>
      </c>
      <c r="H5121">
        <v>23</v>
      </c>
      <c r="I5121" s="178" t="s">
        <v>1546</v>
      </c>
      <c r="J5121" s="320" t="s">
        <v>214</v>
      </c>
      <c r="K5121" s="178" t="s">
        <v>4871</v>
      </c>
      <c r="L5121" s="125" t="s">
        <v>3306</v>
      </c>
      <c r="M5121">
        <v>343</v>
      </c>
      <c r="N5121" s="182">
        <v>1</v>
      </c>
      <c r="O5121">
        <v>3317</v>
      </c>
      <c r="P5121" s="132" t="s">
        <v>77</v>
      </c>
      <c r="Q5121" s="176">
        <v>3171.27</v>
      </c>
      <c r="R5121" s="176">
        <v>507.4</v>
      </c>
      <c r="S5121" s="176"/>
      <c r="T5121" s="190">
        <v>0</v>
      </c>
      <c r="U5121" s="191">
        <v>0</v>
      </c>
      <c r="V5121" s="191">
        <v>3678.67</v>
      </c>
      <c r="W5121">
        <v>25</v>
      </c>
      <c r="X5121" s="186" t="s">
        <v>2024</v>
      </c>
      <c r="Y5121" s="187" t="s">
        <v>55</v>
      </c>
      <c r="Z5121" s="311">
        <v>268</v>
      </c>
      <c r="AB5121" t="str">
        <f>IF(Table1[[#This Row],[TIPO2]]="costo", VLOOKUP(Table1[[#This Row],[PARTIDA PRESUPUESTAL]],'Cost Report'!G:G,1,0),"Balance")</f>
        <v>3683-113</v>
      </c>
      <c r="AD5121" s="159">
        <f>+Table1[[#This Row],[SUBTOTAL]]+Table1[[#This Row],[IVA]]-Table1[[#This Row],[RET IVA]]-Table1[[#This Row],[RET ISR]]-Table1[[#This Row],[TOTAL]]</f>
        <v>0</v>
      </c>
      <c r="AK5121" s="306" t="str">
        <f>IF(ISNUMBER(Table1[[#This Row],[FECHA DE RECIBIDO]]), Table1[[#This Row],[FECHA DE RECIBIDO]]-DATE(2023,8,30), "")</f>
        <v/>
      </c>
    </row>
    <row r="5122" spans="1:37" ht="16.05" customHeight="1">
      <c r="A5122" s="172" t="s">
        <v>4822</v>
      </c>
      <c r="B5122" s="178">
        <v>1800</v>
      </c>
      <c r="C5122" s="126" t="s">
        <v>2909</v>
      </c>
      <c r="D5122">
        <v>3468</v>
      </c>
      <c r="E5122" s="125" t="s">
        <v>2001</v>
      </c>
      <c r="F5122" s="178" t="s">
        <v>1607</v>
      </c>
      <c r="G5122" s="178" t="s">
        <v>134</v>
      </c>
      <c r="H5122">
        <v>23</v>
      </c>
      <c r="I5122" s="178" t="s">
        <v>1546</v>
      </c>
      <c r="J5122" s="320" t="s">
        <v>214</v>
      </c>
      <c r="K5122" s="178" t="s">
        <v>4871</v>
      </c>
      <c r="L5122" s="125" t="s">
        <v>3306</v>
      </c>
      <c r="M5122">
        <v>343</v>
      </c>
      <c r="N5122" s="182">
        <v>1</v>
      </c>
      <c r="O5122">
        <v>3317</v>
      </c>
      <c r="P5122" s="132" t="s">
        <v>77</v>
      </c>
      <c r="Q5122" s="176">
        <v>27289.18</v>
      </c>
      <c r="R5122" s="176">
        <v>4366.2700000000004</v>
      </c>
      <c r="S5122" s="176"/>
      <c r="T5122" s="190">
        <v>0</v>
      </c>
      <c r="U5122" s="191">
        <v>0</v>
      </c>
      <c r="V5122" s="191">
        <v>31655.45</v>
      </c>
      <c r="W5122">
        <v>25</v>
      </c>
      <c r="X5122" s="186" t="s">
        <v>2024</v>
      </c>
      <c r="Y5122" s="187" t="s">
        <v>55</v>
      </c>
      <c r="Z5122" s="311">
        <v>268</v>
      </c>
      <c r="AB5122" t="str">
        <f>IF(Table1[[#This Row],[TIPO2]]="costo", VLOOKUP(Table1[[#This Row],[PARTIDA PRESUPUESTAL]],'Cost Report'!G:G,1,0),"Balance")</f>
        <v>3683-158</v>
      </c>
      <c r="AD5122" s="159">
        <f>+Table1[[#This Row],[SUBTOTAL]]+Table1[[#This Row],[IVA]]-Table1[[#This Row],[RET IVA]]-Table1[[#This Row],[RET ISR]]-Table1[[#This Row],[TOTAL]]</f>
        <v>0</v>
      </c>
      <c r="AK5122" s="306" t="str">
        <f>IF(ISNUMBER(Table1[[#This Row],[FECHA DE RECIBIDO]]), Table1[[#This Row],[FECHA DE RECIBIDO]]-DATE(2023,8,30), "")</f>
        <v/>
      </c>
    </row>
    <row r="5123" spans="1:37" ht="16.05" customHeight="1">
      <c r="A5123" s="172" t="s">
        <v>4822</v>
      </c>
      <c r="B5123" s="178">
        <v>1800</v>
      </c>
      <c r="C5123" s="126" t="s">
        <v>2916</v>
      </c>
      <c r="D5123">
        <v>3468</v>
      </c>
      <c r="E5123" s="125" t="s">
        <v>2001</v>
      </c>
      <c r="F5123" s="178" t="s">
        <v>1607</v>
      </c>
      <c r="G5123" s="178" t="s">
        <v>134</v>
      </c>
      <c r="H5123">
        <v>23</v>
      </c>
      <c r="I5123" s="178" t="s">
        <v>1546</v>
      </c>
      <c r="J5123" s="320" t="s">
        <v>214</v>
      </c>
      <c r="K5123" s="178" t="s">
        <v>4871</v>
      </c>
      <c r="L5123" s="125" t="s">
        <v>3306</v>
      </c>
      <c r="M5123">
        <v>343</v>
      </c>
      <c r="N5123" s="182">
        <v>1</v>
      </c>
      <c r="O5123">
        <v>3317</v>
      </c>
      <c r="P5123" s="132" t="s">
        <v>77</v>
      </c>
      <c r="Q5123" s="176">
        <v>8875.9500000000007</v>
      </c>
      <c r="R5123" s="176">
        <v>1420.15</v>
      </c>
      <c r="S5123" s="176"/>
      <c r="T5123" s="190">
        <v>0</v>
      </c>
      <c r="U5123" s="191">
        <v>0</v>
      </c>
      <c r="V5123" s="191">
        <v>10296.1</v>
      </c>
      <c r="W5123">
        <v>25</v>
      </c>
      <c r="X5123" s="186" t="s">
        <v>2024</v>
      </c>
      <c r="Y5123" s="187" t="s">
        <v>55</v>
      </c>
      <c r="Z5123" s="311">
        <v>268</v>
      </c>
      <c r="AB5123" t="str">
        <f>IF(Table1[[#This Row],[TIPO2]]="costo", VLOOKUP(Table1[[#This Row],[PARTIDA PRESUPUESTAL]],'Cost Report'!G:G,1,0),"Balance")</f>
        <v>3683-171</v>
      </c>
      <c r="AD5123" s="159">
        <f>+Table1[[#This Row],[SUBTOTAL]]+Table1[[#This Row],[IVA]]-Table1[[#This Row],[RET IVA]]-Table1[[#This Row],[RET ISR]]-Table1[[#This Row],[TOTAL]]</f>
        <v>0</v>
      </c>
      <c r="AK5123" s="306" t="str">
        <f>IF(ISNUMBER(Table1[[#This Row],[FECHA DE RECIBIDO]]), Table1[[#This Row],[FECHA DE RECIBIDO]]-DATE(2023,8,30), "")</f>
        <v/>
      </c>
    </row>
    <row r="5124" spans="1:37" ht="16.05" customHeight="1">
      <c r="A5124" s="172" t="s">
        <v>4822</v>
      </c>
      <c r="B5124" s="178">
        <v>1800</v>
      </c>
      <c r="C5124" s="126" t="s">
        <v>2907</v>
      </c>
      <c r="D5124">
        <v>3468</v>
      </c>
      <c r="E5124" s="125" t="s">
        <v>2001</v>
      </c>
      <c r="F5124" s="178" t="s">
        <v>1607</v>
      </c>
      <c r="G5124" s="178" t="s">
        <v>134</v>
      </c>
      <c r="H5124">
        <v>23</v>
      </c>
      <c r="I5124" s="178" t="s">
        <v>1546</v>
      </c>
      <c r="J5124" s="320" t="s">
        <v>214</v>
      </c>
      <c r="K5124" s="178" t="s">
        <v>4871</v>
      </c>
      <c r="L5124" s="125" t="s">
        <v>3306</v>
      </c>
      <c r="M5124">
        <v>343</v>
      </c>
      <c r="N5124" s="182">
        <v>1</v>
      </c>
      <c r="O5124">
        <v>3317</v>
      </c>
      <c r="P5124" s="132" t="s">
        <v>77</v>
      </c>
      <c r="Q5124" s="176">
        <v>4873.07</v>
      </c>
      <c r="R5124" s="176">
        <v>779.69</v>
      </c>
      <c r="S5124" s="176"/>
      <c r="T5124" s="190">
        <v>0</v>
      </c>
      <c r="U5124" s="191">
        <v>0</v>
      </c>
      <c r="V5124" s="191">
        <v>5652.76</v>
      </c>
      <c r="W5124">
        <v>25</v>
      </c>
      <c r="X5124" s="186" t="s">
        <v>2024</v>
      </c>
      <c r="Y5124" s="187" t="s">
        <v>55</v>
      </c>
      <c r="Z5124" s="311">
        <v>268</v>
      </c>
      <c r="AB5124" t="str">
        <f>IF(Table1[[#This Row],[TIPO2]]="costo", VLOOKUP(Table1[[#This Row],[PARTIDA PRESUPUESTAL]],'Cost Report'!G:G,1,0),"Balance")</f>
        <v>3683-154</v>
      </c>
      <c r="AD5124" s="159">
        <f>+Table1[[#This Row],[SUBTOTAL]]+Table1[[#This Row],[IVA]]-Table1[[#This Row],[RET IVA]]-Table1[[#This Row],[RET ISR]]-Table1[[#This Row],[TOTAL]]</f>
        <v>0</v>
      </c>
      <c r="AK5124" s="306" t="str">
        <f>IF(ISNUMBER(Table1[[#This Row],[FECHA DE RECIBIDO]]), Table1[[#This Row],[FECHA DE RECIBIDO]]-DATE(2023,8,30), "")</f>
        <v/>
      </c>
    </row>
    <row r="5125" spans="1:37" ht="16.05" customHeight="1">
      <c r="A5125" s="172" t="s">
        <v>4823</v>
      </c>
      <c r="B5125" s="178">
        <v>1801</v>
      </c>
      <c r="C5125" s="179" t="s">
        <v>920</v>
      </c>
      <c r="D5125">
        <v>3469</v>
      </c>
      <c r="E5125" s="125" t="s">
        <v>4185</v>
      </c>
      <c r="F5125" s="178" t="s">
        <v>1593</v>
      </c>
      <c r="G5125" s="178" t="s">
        <v>109</v>
      </c>
      <c r="H5125">
        <v>588</v>
      </c>
      <c r="I5125" s="178" t="s">
        <v>1546</v>
      </c>
      <c r="J5125" s="320" t="s">
        <v>214</v>
      </c>
      <c r="K5125" s="178" t="s">
        <v>4871</v>
      </c>
      <c r="L5125" s="125" t="s">
        <v>3306</v>
      </c>
      <c r="M5125">
        <v>952</v>
      </c>
      <c r="N5125" s="182">
        <v>1</v>
      </c>
      <c r="O5125">
        <v>3318</v>
      </c>
      <c r="P5125" s="132" t="s">
        <v>77</v>
      </c>
      <c r="Q5125" s="176">
        <v>71000</v>
      </c>
      <c r="R5125" s="176">
        <v>11360</v>
      </c>
      <c r="S5125" s="176"/>
      <c r="T5125" s="190">
        <v>0</v>
      </c>
      <c r="U5125" s="191">
        <v>0</v>
      </c>
      <c r="V5125" s="191">
        <v>82360</v>
      </c>
      <c r="W5125">
        <v>335</v>
      </c>
      <c r="X5125" s="186" t="s">
        <v>1430</v>
      </c>
      <c r="Y5125" s="187" t="s">
        <v>55</v>
      </c>
      <c r="Z5125" s="311">
        <v>268</v>
      </c>
      <c r="AB5125" t="str">
        <f>IF(Table1[[#This Row],[TIPO2]]="costo", VLOOKUP(Table1[[#This Row],[PARTIDA PRESUPUESTAL]],'Cost Report'!G:G,1,0),"Balance")</f>
        <v>3220-003</v>
      </c>
      <c r="AD5125" s="159">
        <f>+Table1[[#This Row],[SUBTOTAL]]+Table1[[#This Row],[IVA]]-Table1[[#This Row],[RET IVA]]-Table1[[#This Row],[RET ISR]]-Table1[[#This Row],[TOTAL]]</f>
        <v>0</v>
      </c>
      <c r="AK5125" s="306" t="str">
        <f>IF(ISNUMBER(Table1[[#This Row],[FECHA DE RECIBIDO]]), Table1[[#This Row],[FECHA DE RECIBIDO]]-DATE(2023,8,30), "")</f>
        <v/>
      </c>
    </row>
    <row r="5126" spans="1:37" ht="16.05" customHeight="1">
      <c r="A5126" s="172" t="s">
        <v>4824</v>
      </c>
      <c r="B5126" s="178">
        <v>1802</v>
      </c>
      <c r="C5126" s="179" t="s">
        <v>963</v>
      </c>
      <c r="D5126">
        <v>3470</v>
      </c>
      <c r="E5126" s="125" t="s">
        <v>1614</v>
      </c>
      <c r="F5126" s="178" t="s">
        <v>1602</v>
      </c>
      <c r="G5126" s="178" t="s">
        <v>1617</v>
      </c>
      <c r="H5126">
        <v>492</v>
      </c>
      <c r="I5126" s="178" t="s">
        <v>1546</v>
      </c>
      <c r="J5126" s="320" t="s">
        <v>214</v>
      </c>
      <c r="K5126" s="178" t="s">
        <v>4871</v>
      </c>
      <c r="L5126" s="125" t="s">
        <v>3306</v>
      </c>
      <c r="M5126">
        <v>716</v>
      </c>
      <c r="N5126" s="182">
        <v>1</v>
      </c>
      <c r="O5126">
        <v>3319</v>
      </c>
      <c r="P5126" s="132" t="s">
        <v>77</v>
      </c>
      <c r="Q5126" s="176">
        <v>12950</v>
      </c>
      <c r="R5126" s="176">
        <v>2072</v>
      </c>
      <c r="S5126" s="176"/>
      <c r="T5126" s="190">
        <v>1381.34</v>
      </c>
      <c r="U5126" s="191">
        <v>1295</v>
      </c>
      <c r="V5126" s="191">
        <v>12345.66</v>
      </c>
      <c r="W5126">
        <v>264</v>
      </c>
      <c r="X5126" s="186" t="s">
        <v>1431</v>
      </c>
      <c r="Y5126" s="187" t="s">
        <v>55</v>
      </c>
      <c r="Z5126" s="311">
        <v>268</v>
      </c>
      <c r="AB5126" t="str">
        <f>IF(Table1[[#This Row],[TIPO2]]="costo", VLOOKUP(Table1[[#This Row],[PARTIDA PRESUPUESTAL]],'Cost Report'!G:G,1,0),"Balance")</f>
        <v>3407-005</v>
      </c>
      <c r="AD5126" s="159">
        <f>+Table1[[#This Row],[SUBTOTAL]]+Table1[[#This Row],[IVA]]-Table1[[#This Row],[RET IVA]]-Table1[[#This Row],[RET ISR]]-Table1[[#This Row],[TOTAL]]</f>
        <v>0</v>
      </c>
      <c r="AK5126" s="306" t="str">
        <f>IF(ISNUMBER(Table1[[#This Row],[FECHA DE RECIBIDO]]), Table1[[#This Row],[FECHA DE RECIBIDO]]-DATE(2023,8,30), "")</f>
        <v/>
      </c>
    </row>
    <row r="5127" spans="1:37" ht="16.05" customHeight="1">
      <c r="A5127" s="172" t="s">
        <v>4825</v>
      </c>
      <c r="B5127" s="178">
        <v>1803</v>
      </c>
      <c r="C5127" s="179" t="s">
        <v>920</v>
      </c>
      <c r="D5127">
        <v>3471</v>
      </c>
      <c r="E5127" s="125" t="s">
        <v>4185</v>
      </c>
      <c r="F5127" s="178" t="s">
        <v>1593</v>
      </c>
      <c r="G5127" s="178" t="s">
        <v>109</v>
      </c>
      <c r="H5127">
        <v>588</v>
      </c>
      <c r="I5127" s="178" t="s">
        <v>1546</v>
      </c>
      <c r="J5127" s="320" t="s">
        <v>214</v>
      </c>
      <c r="K5127" s="178" t="s">
        <v>4871</v>
      </c>
      <c r="L5127" s="125" t="s">
        <v>3306</v>
      </c>
      <c r="M5127">
        <v>952</v>
      </c>
      <c r="N5127" s="182">
        <v>1</v>
      </c>
      <c r="O5127">
        <v>3320</v>
      </c>
      <c r="P5127" s="132" t="s">
        <v>77</v>
      </c>
      <c r="Q5127" s="176">
        <v>79000</v>
      </c>
      <c r="R5127" s="176">
        <v>12640</v>
      </c>
      <c r="S5127" s="176"/>
      <c r="T5127" s="190">
        <v>0</v>
      </c>
      <c r="U5127" s="191">
        <v>0</v>
      </c>
      <c r="V5127" s="191">
        <v>91640</v>
      </c>
      <c r="W5127">
        <v>335</v>
      </c>
      <c r="X5127" s="186" t="s">
        <v>1430</v>
      </c>
      <c r="Y5127" s="187" t="s">
        <v>55</v>
      </c>
      <c r="Z5127" s="311">
        <v>268</v>
      </c>
      <c r="AB5127" t="str">
        <f>IF(Table1[[#This Row],[TIPO2]]="costo", VLOOKUP(Table1[[#This Row],[PARTIDA PRESUPUESTAL]],'Cost Report'!G:G,1,0),"Balance")</f>
        <v>3220-003</v>
      </c>
      <c r="AD5127" s="159">
        <f>+Table1[[#This Row],[SUBTOTAL]]+Table1[[#This Row],[IVA]]-Table1[[#This Row],[RET IVA]]-Table1[[#This Row],[RET ISR]]-Table1[[#This Row],[TOTAL]]</f>
        <v>0</v>
      </c>
      <c r="AK5127" s="306" t="str">
        <f>IF(ISNUMBER(Table1[[#This Row],[FECHA DE RECIBIDO]]), Table1[[#This Row],[FECHA DE RECIBIDO]]-DATE(2023,8,30), "")</f>
        <v/>
      </c>
    </row>
    <row r="5128" spans="1:37" ht="16.05" customHeight="1">
      <c r="A5128" s="172" t="s">
        <v>4826</v>
      </c>
      <c r="B5128" s="178">
        <v>1804</v>
      </c>
      <c r="C5128" s="179" t="s">
        <v>674</v>
      </c>
      <c r="D5128">
        <v>3472</v>
      </c>
      <c r="E5128" s="125" t="s">
        <v>4827</v>
      </c>
      <c r="F5128" s="178" t="s">
        <v>1602</v>
      </c>
      <c r="G5128" s="178" t="s">
        <v>1617</v>
      </c>
      <c r="H5128">
        <v>866</v>
      </c>
      <c r="I5128" s="178" t="s">
        <v>1546</v>
      </c>
      <c r="J5128" s="320" t="s">
        <v>214</v>
      </c>
      <c r="K5128" s="178" t="s">
        <v>4871</v>
      </c>
      <c r="L5128" s="125" t="s">
        <v>3306</v>
      </c>
      <c r="M5128">
        <v>1201</v>
      </c>
      <c r="N5128" s="182">
        <v>1</v>
      </c>
      <c r="O5128">
        <v>3321</v>
      </c>
      <c r="P5128" s="132" t="s">
        <v>77</v>
      </c>
      <c r="Q5128" s="176">
        <v>6600</v>
      </c>
      <c r="R5128" s="176">
        <v>1056</v>
      </c>
      <c r="S5128" s="176"/>
      <c r="T5128" s="190">
        <v>0</v>
      </c>
      <c r="U5128" s="191">
        <v>0</v>
      </c>
      <c r="V5128" s="191">
        <v>7656</v>
      </c>
      <c r="W5128">
        <v>433</v>
      </c>
      <c r="X5128" s="186" t="s">
        <v>111</v>
      </c>
      <c r="Y5128" s="187" t="s">
        <v>55</v>
      </c>
      <c r="Z5128" s="311">
        <v>268</v>
      </c>
      <c r="AB5128" t="str">
        <f>IF(Table1[[#This Row],[TIPO2]]="costo", VLOOKUP(Table1[[#This Row],[PARTIDA PRESUPUESTAL]],'Cost Report'!G:G,1,0),"Balance")</f>
        <v>2795-003</v>
      </c>
      <c r="AD5128" s="159">
        <f>+Table1[[#This Row],[SUBTOTAL]]+Table1[[#This Row],[IVA]]-Table1[[#This Row],[RET IVA]]-Table1[[#This Row],[RET ISR]]-Table1[[#This Row],[TOTAL]]</f>
        <v>0</v>
      </c>
      <c r="AK5128" s="306" t="str">
        <f>IF(ISNUMBER(Table1[[#This Row],[FECHA DE RECIBIDO]]), Table1[[#This Row],[FECHA DE RECIBIDO]]-DATE(2023,8,30), "")</f>
        <v/>
      </c>
    </row>
    <row r="5129" spans="1:37" ht="16.05" customHeight="1">
      <c r="A5129" s="172" t="s">
        <v>4828</v>
      </c>
      <c r="B5129" s="178">
        <v>1805</v>
      </c>
      <c r="C5129" s="179" t="s">
        <v>3093</v>
      </c>
      <c r="D5129">
        <v>3473</v>
      </c>
      <c r="E5129" s="125" t="s">
        <v>1605</v>
      </c>
      <c r="F5129" s="178" t="s">
        <v>1589</v>
      </c>
      <c r="G5129" s="178" t="s">
        <v>129</v>
      </c>
      <c r="H5129">
        <v>867</v>
      </c>
      <c r="I5129" s="178" t="s">
        <v>1546</v>
      </c>
      <c r="J5129" s="320" t="s">
        <v>214</v>
      </c>
      <c r="K5129" s="178" t="s">
        <v>4871</v>
      </c>
      <c r="L5129" s="125" t="s">
        <v>3306</v>
      </c>
      <c r="M5129">
        <v>1202</v>
      </c>
      <c r="N5129" s="182">
        <v>1</v>
      </c>
      <c r="O5129">
        <v>3322</v>
      </c>
      <c r="P5129" s="132" t="s">
        <v>77</v>
      </c>
      <c r="Q5129" s="176">
        <v>30000</v>
      </c>
      <c r="R5129" s="176">
        <v>4800</v>
      </c>
      <c r="S5129" s="176"/>
      <c r="T5129" s="190">
        <v>3199.98</v>
      </c>
      <c r="U5129" s="191">
        <v>3000</v>
      </c>
      <c r="V5129" s="191">
        <v>28600.02</v>
      </c>
      <c r="W5129">
        <v>434</v>
      </c>
      <c r="X5129" s="186" t="s">
        <v>2037</v>
      </c>
      <c r="Y5129" s="187" t="s">
        <v>55</v>
      </c>
      <c r="Z5129" s="311">
        <v>268</v>
      </c>
      <c r="AB5129" t="str">
        <f>IF(Table1[[#This Row],[TIPO2]]="costo", VLOOKUP(Table1[[#This Row],[PARTIDA PRESUPUESTAL]],'Cost Report'!G:G,1,0),"Balance")</f>
        <v>7002-003</v>
      </c>
      <c r="AD5129" s="159">
        <f>+Table1[[#This Row],[SUBTOTAL]]+Table1[[#This Row],[IVA]]-Table1[[#This Row],[RET IVA]]-Table1[[#This Row],[RET ISR]]-Table1[[#This Row],[TOTAL]]</f>
        <v>0</v>
      </c>
      <c r="AK5129" s="306" t="str">
        <f>IF(ISNUMBER(Table1[[#This Row],[FECHA DE RECIBIDO]]), Table1[[#This Row],[FECHA DE RECIBIDO]]-DATE(2023,8,30), "")</f>
        <v/>
      </c>
    </row>
    <row r="5130" spans="1:37" ht="16.05" customHeight="1">
      <c r="A5130" s="172" t="s">
        <v>4829</v>
      </c>
      <c r="B5130" s="178">
        <v>1806</v>
      </c>
      <c r="C5130" s="179" t="s">
        <v>2229</v>
      </c>
      <c r="D5130">
        <v>3474</v>
      </c>
      <c r="E5130" s="125" t="s">
        <v>4830</v>
      </c>
      <c r="F5130" s="178" t="s">
        <v>1607</v>
      </c>
      <c r="G5130" s="178" t="s">
        <v>134</v>
      </c>
      <c r="H5130">
        <v>868</v>
      </c>
      <c r="I5130" s="178" t="s">
        <v>1546</v>
      </c>
      <c r="J5130" s="320" t="s">
        <v>214</v>
      </c>
      <c r="K5130" s="178" t="s">
        <v>4871</v>
      </c>
      <c r="L5130" s="125" t="s">
        <v>3306</v>
      </c>
      <c r="M5130">
        <v>1203</v>
      </c>
      <c r="N5130" s="182">
        <v>1</v>
      </c>
      <c r="O5130">
        <v>3323</v>
      </c>
      <c r="P5130" s="132" t="s">
        <v>77</v>
      </c>
      <c r="Q5130" s="176">
        <v>40000</v>
      </c>
      <c r="R5130" s="176">
        <v>6400</v>
      </c>
      <c r="S5130" s="176"/>
      <c r="T5130" s="190">
        <v>0</v>
      </c>
      <c r="U5130" s="191">
        <v>0</v>
      </c>
      <c r="V5130" s="191">
        <v>46400</v>
      </c>
      <c r="W5130">
        <v>435</v>
      </c>
      <c r="X5130" s="186" t="s">
        <v>105</v>
      </c>
      <c r="Y5130" s="187" t="s">
        <v>55</v>
      </c>
      <c r="Z5130" s="311">
        <v>268</v>
      </c>
      <c r="AB5130" t="str">
        <f>IF(Table1[[#This Row],[TIPO2]]="costo", VLOOKUP(Table1[[#This Row],[PARTIDA PRESUPUESTAL]],'Cost Report'!G:G,1,0),"Balance")</f>
        <v>1410-021</v>
      </c>
      <c r="AD5130" s="159">
        <f>+Table1[[#This Row],[SUBTOTAL]]+Table1[[#This Row],[IVA]]-Table1[[#This Row],[RET IVA]]-Table1[[#This Row],[RET ISR]]-Table1[[#This Row],[TOTAL]]</f>
        <v>0</v>
      </c>
      <c r="AK5130" s="306" t="str">
        <f>IF(ISNUMBER(Table1[[#This Row],[FECHA DE RECIBIDO]]), Table1[[#This Row],[FECHA DE RECIBIDO]]-DATE(2023,8,30), "")</f>
        <v/>
      </c>
    </row>
    <row r="5131" spans="1:37" ht="16.05" customHeight="1">
      <c r="A5131" s="172" t="s">
        <v>4831</v>
      </c>
      <c r="B5131" s="178">
        <v>1807</v>
      </c>
      <c r="C5131" s="179" t="s">
        <v>289</v>
      </c>
      <c r="D5131">
        <v>3475</v>
      </c>
      <c r="E5131" s="125" t="s">
        <v>3354</v>
      </c>
      <c r="F5131" s="178" t="s">
        <v>1371</v>
      </c>
      <c r="G5131" s="178" t="s">
        <v>2065</v>
      </c>
      <c r="H5131">
        <v>454</v>
      </c>
      <c r="I5131" s="178" t="s">
        <v>1546</v>
      </c>
      <c r="J5131" s="320" t="s">
        <v>214</v>
      </c>
      <c r="K5131" s="178" t="s">
        <v>4871</v>
      </c>
      <c r="L5131" s="125" t="s">
        <v>3306</v>
      </c>
      <c r="M5131">
        <v>1110</v>
      </c>
      <c r="N5131" s="182">
        <v>1</v>
      </c>
      <c r="O5131">
        <v>1480</v>
      </c>
      <c r="P5131" s="132" t="s">
        <v>77</v>
      </c>
      <c r="Q5131" s="176">
        <v>9204.02</v>
      </c>
      <c r="R5131" s="176">
        <v>1196.52</v>
      </c>
      <c r="S5131" s="176"/>
      <c r="T5131" s="190">
        <v>0</v>
      </c>
      <c r="U5131" s="191">
        <v>0</v>
      </c>
      <c r="V5131" s="191">
        <v>10400.540000000001</v>
      </c>
      <c r="W5131">
        <v>242</v>
      </c>
      <c r="X5131" s="186" t="s">
        <v>2035</v>
      </c>
      <c r="Y5131" s="187" t="s">
        <v>55</v>
      </c>
      <c r="Z5131" s="311">
        <v>268</v>
      </c>
      <c r="AB5131" t="str">
        <f>IF(Table1[[#This Row],[TIPO2]]="costo", VLOOKUP(Table1[[#This Row],[PARTIDA PRESUPUESTAL]],'Cost Report'!G:G,1,0),"Balance")</f>
        <v>1401-015</v>
      </c>
      <c r="AD5131" s="159">
        <f>+Table1[[#This Row],[SUBTOTAL]]+Table1[[#This Row],[IVA]]-Table1[[#This Row],[RET IVA]]-Table1[[#This Row],[RET ISR]]-Table1[[#This Row],[TOTAL]]</f>
        <v>0</v>
      </c>
      <c r="AK5131" s="306" t="str">
        <f>IF(ISNUMBER(Table1[[#This Row],[FECHA DE RECIBIDO]]), Table1[[#This Row],[FECHA DE RECIBIDO]]-DATE(2023,8,30), "")</f>
        <v/>
      </c>
    </row>
    <row r="5132" spans="1:37" ht="16.05" customHeight="1">
      <c r="A5132" s="172" t="s">
        <v>4831</v>
      </c>
      <c r="B5132" s="178">
        <v>1807</v>
      </c>
      <c r="C5132" s="179" t="s">
        <v>290</v>
      </c>
      <c r="D5132">
        <v>3475</v>
      </c>
      <c r="E5132" s="125" t="s">
        <v>3354</v>
      </c>
      <c r="F5132" s="178" t="s">
        <v>1371</v>
      </c>
      <c r="G5132" s="178" t="s">
        <v>2065</v>
      </c>
      <c r="H5132">
        <v>454</v>
      </c>
      <c r="I5132" s="178" t="s">
        <v>1546</v>
      </c>
      <c r="J5132" s="320" t="s">
        <v>214</v>
      </c>
      <c r="K5132" s="178" t="s">
        <v>4871</v>
      </c>
      <c r="L5132" s="125" t="s">
        <v>3306</v>
      </c>
      <c r="M5132">
        <v>1110</v>
      </c>
      <c r="N5132" s="182">
        <v>1</v>
      </c>
      <c r="O5132">
        <v>1480</v>
      </c>
      <c r="P5132" s="132" t="s">
        <v>77</v>
      </c>
      <c r="Q5132" s="176">
        <v>17436.05</v>
      </c>
      <c r="R5132" s="176">
        <v>2266.69</v>
      </c>
      <c r="S5132" s="176"/>
      <c r="T5132" s="190">
        <v>0</v>
      </c>
      <c r="U5132" s="191">
        <v>0</v>
      </c>
      <c r="V5132" s="191">
        <v>19702.739999999998</v>
      </c>
      <c r="W5132">
        <v>242</v>
      </c>
      <c r="X5132" s="186" t="s">
        <v>2035</v>
      </c>
      <c r="Y5132" s="187" t="s">
        <v>55</v>
      </c>
      <c r="Z5132" s="311">
        <v>268</v>
      </c>
      <c r="AB5132" t="str">
        <f>IF(Table1[[#This Row],[TIPO2]]="costo", VLOOKUP(Table1[[#This Row],[PARTIDA PRESUPUESTAL]],'Cost Report'!G:G,1,0),"Balance")</f>
        <v>1401-016</v>
      </c>
      <c r="AD5132" s="159">
        <f>+Table1[[#This Row],[SUBTOTAL]]+Table1[[#This Row],[IVA]]-Table1[[#This Row],[RET IVA]]-Table1[[#This Row],[RET ISR]]-Table1[[#This Row],[TOTAL]]</f>
        <v>0</v>
      </c>
      <c r="AK5132" s="306" t="str">
        <f>IF(ISNUMBER(Table1[[#This Row],[FECHA DE RECIBIDO]]), Table1[[#This Row],[FECHA DE RECIBIDO]]-DATE(2023,8,30), "")</f>
        <v/>
      </c>
    </row>
    <row r="5133" spans="1:37" ht="16.05" customHeight="1">
      <c r="A5133" s="172" t="s">
        <v>4831</v>
      </c>
      <c r="B5133" s="178">
        <v>1807</v>
      </c>
      <c r="C5133" s="179" t="s">
        <v>293</v>
      </c>
      <c r="D5133">
        <v>3475</v>
      </c>
      <c r="E5133" s="125" t="s">
        <v>3354</v>
      </c>
      <c r="F5133" s="178" t="s">
        <v>1371</v>
      </c>
      <c r="G5133" s="178" t="s">
        <v>2065</v>
      </c>
      <c r="H5133">
        <v>454</v>
      </c>
      <c r="I5133" s="178" t="s">
        <v>1546</v>
      </c>
      <c r="J5133" s="320" t="s">
        <v>214</v>
      </c>
      <c r="K5133" s="178" t="s">
        <v>4871</v>
      </c>
      <c r="L5133" s="125" t="s">
        <v>3306</v>
      </c>
      <c r="M5133">
        <v>1110</v>
      </c>
      <c r="N5133" s="182">
        <v>1</v>
      </c>
      <c r="O5133">
        <v>1480</v>
      </c>
      <c r="P5133" s="132" t="s">
        <v>77</v>
      </c>
      <c r="Q5133" s="176">
        <v>47844.42</v>
      </c>
      <c r="R5133" s="176">
        <v>6219.77</v>
      </c>
      <c r="S5133" s="176"/>
      <c r="T5133" s="190">
        <v>0</v>
      </c>
      <c r="U5133" s="191">
        <v>0</v>
      </c>
      <c r="V5133" s="191">
        <v>54064.19</v>
      </c>
      <c r="W5133">
        <v>242</v>
      </c>
      <c r="X5133" s="186" t="s">
        <v>2035</v>
      </c>
      <c r="Y5133" s="187" t="s">
        <v>55</v>
      </c>
      <c r="Z5133" s="311">
        <v>268</v>
      </c>
      <c r="AB5133" t="str">
        <f>IF(Table1[[#This Row],[TIPO2]]="costo", VLOOKUP(Table1[[#This Row],[PARTIDA PRESUPUESTAL]],'Cost Report'!G:G,1,0),"Balance")</f>
        <v>1401-021</v>
      </c>
      <c r="AD5133" s="159">
        <f>+Table1[[#This Row],[SUBTOTAL]]+Table1[[#This Row],[IVA]]-Table1[[#This Row],[RET IVA]]-Table1[[#This Row],[RET ISR]]-Table1[[#This Row],[TOTAL]]</f>
        <v>0</v>
      </c>
      <c r="AK5133" s="306" t="str">
        <f>IF(ISNUMBER(Table1[[#This Row],[FECHA DE RECIBIDO]]), Table1[[#This Row],[FECHA DE RECIBIDO]]-DATE(2023,8,30), "")</f>
        <v/>
      </c>
    </row>
    <row r="5134" spans="1:37" ht="16.05" customHeight="1">
      <c r="A5134" s="172" t="s">
        <v>4831</v>
      </c>
      <c r="B5134" s="178">
        <v>1807</v>
      </c>
      <c r="C5134" s="179" t="s">
        <v>296</v>
      </c>
      <c r="D5134">
        <v>3475</v>
      </c>
      <c r="E5134" s="125" t="s">
        <v>3354</v>
      </c>
      <c r="F5134" s="178" t="s">
        <v>1371</v>
      </c>
      <c r="G5134" s="178" t="s">
        <v>2065</v>
      </c>
      <c r="H5134">
        <v>454</v>
      </c>
      <c r="I5134" s="178" t="s">
        <v>1546</v>
      </c>
      <c r="J5134" s="320" t="s">
        <v>214</v>
      </c>
      <c r="K5134" s="178" t="s">
        <v>4871</v>
      </c>
      <c r="L5134" s="125" t="s">
        <v>3306</v>
      </c>
      <c r="M5134">
        <v>1110</v>
      </c>
      <c r="N5134" s="182">
        <v>1</v>
      </c>
      <c r="O5134">
        <v>1480</v>
      </c>
      <c r="P5134" s="132" t="s">
        <v>77</v>
      </c>
      <c r="Q5134" s="176">
        <v>4500.84</v>
      </c>
      <c r="R5134" s="176">
        <v>585.11</v>
      </c>
      <c r="S5134" s="176"/>
      <c r="T5134" s="190">
        <v>0</v>
      </c>
      <c r="U5134" s="191">
        <v>0</v>
      </c>
      <c r="V5134" s="191">
        <v>5085.95</v>
      </c>
      <c r="W5134">
        <v>242</v>
      </c>
      <c r="X5134" s="186" t="s">
        <v>2035</v>
      </c>
      <c r="Y5134" s="187" t="s">
        <v>55</v>
      </c>
      <c r="Z5134" s="311">
        <v>268</v>
      </c>
      <c r="AB5134" t="str">
        <f>IF(Table1[[#This Row],[TIPO2]]="costo", VLOOKUP(Table1[[#This Row],[PARTIDA PRESUPUESTAL]],'Cost Report'!G:G,1,0),"Balance")</f>
        <v>1401-024</v>
      </c>
      <c r="AD5134" s="159">
        <f>+Table1[[#This Row],[SUBTOTAL]]+Table1[[#This Row],[IVA]]-Table1[[#This Row],[RET IVA]]-Table1[[#This Row],[RET ISR]]-Table1[[#This Row],[TOTAL]]</f>
        <v>0</v>
      </c>
      <c r="AK5134" s="306" t="str">
        <f>IF(ISNUMBER(Table1[[#This Row],[FECHA DE RECIBIDO]]), Table1[[#This Row],[FECHA DE RECIBIDO]]-DATE(2023,8,30), "")</f>
        <v/>
      </c>
    </row>
    <row r="5135" spans="1:37" ht="16.05" customHeight="1">
      <c r="A5135" s="172" t="s">
        <v>4831</v>
      </c>
      <c r="B5135" s="178">
        <v>1807</v>
      </c>
      <c r="C5135" s="179" t="s">
        <v>297</v>
      </c>
      <c r="D5135">
        <v>3475</v>
      </c>
      <c r="E5135" s="125" t="s">
        <v>3354</v>
      </c>
      <c r="F5135" s="178" t="s">
        <v>1371</v>
      </c>
      <c r="G5135" s="178" t="s">
        <v>2065</v>
      </c>
      <c r="H5135">
        <v>454</v>
      </c>
      <c r="I5135" s="178" t="s">
        <v>1546</v>
      </c>
      <c r="J5135" s="320" t="s">
        <v>214</v>
      </c>
      <c r="K5135" s="178" t="s">
        <v>4871</v>
      </c>
      <c r="L5135" s="125" t="s">
        <v>3306</v>
      </c>
      <c r="M5135">
        <v>1110</v>
      </c>
      <c r="N5135" s="182">
        <v>1</v>
      </c>
      <c r="O5135">
        <v>1480</v>
      </c>
      <c r="P5135" s="132" t="s">
        <v>77</v>
      </c>
      <c r="Q5135" s="176">
        <v>13128.04</v>
      </c>
      <c r="R5135" s="176">
        <v>1706.65</v>
      </c>
      <c r="S5135" s="176"/>
      <c r="T5135" s="190">
        <v>0</v>
      </c>
      <c r="U5135" s="191">
        <v>0</v>
      </c>
      <c r="V5135" s="191">
        <v>14834.69</v>
      </c>
      <c r="W5135">
        <v>242</v>
      </c>
      <c r="X5135" s="186" t="s">
        <v>2035</v>
      </c>
      <c r="Y5135" s="187" t="s">
        <v>55</v>
      </c>
      <c r="Z5135" s="311">
        <v>268</v>
      </c>
      <c r="AB5135" t="str">
        <f>IF(Table1[[#This Row],[TIPO2]]="costo", VLOOKUP(Table1[[#This Row],[PARTIDA PRESUPUESTAL]],'Cost Report'!G:G,1,0),"Balance")</f>
        <v>1401-025</v>
      </c>
      <c r="AD5135" s="159">
        <f>+Table1[[#This Row],[SUBTOTAL]]+Table1[[#This Row],[IVA]]-Table1[[#This Row],[RET IVA]]-Table1[[#This Row],[RET ISR]]-Table1[[#This Row],[TOTAL]]</f>
        <v>0</v>
      </c>
      <c r="AK5135" s="306" t="str">
        <f>IF(ISNUMBER(Table1[[#This Row],[FECHA DE RECIBIDO]]), Table1[[#This Row],[FECHA DE RECIBIDO]]-DATE(2023,8,30), "")</f>
        <v/>
      </c>
    </row>
    <row r="5136" spans="1:37" ht="16.05" customHeight="1">
      <c r="A5136" s="172" t="s">
        <v>4831</v>
      </c>
      <c r="B5136" s="178">
        <v>1807</v>
      </c>
      <c r="C5136" s="179" t="s">
        <v>300</v>
      </c>
      <c r="D5136">
        <v>3475</v>
      </c>
      <c r="E5136" s="125" t="s">
        <v>3354</v>
      </c>
      <c r="F5136" s="178" t="s">
        <v>1371</v>
      </c>
      <c r="G5136" s="178" t="s">
        <v>2065</v>
      </c>
      <c r="H5136">
        <v>454</v>
      </c>
      <c r="I5136" s="178" t="s">
        <v>1546</v>
      </c>
      <c r="J5136" s="320" t="s">
        <v>214</v>
      </c>
      <c r="K5136" s="178" t="s">
        <v>4871</v>
      </c>
      <c r="L5136" s="125" t="s">
        <v>3306</v>
      </c>
      <c r="M5136">
        <v>1110</v>
      </c>
      <c r="N5136" s="182">
        <v>1</v>
      </c>
      <c r="O5136">
        <v>1480</v>
      </c>
      <c r="P5136" s="132" t="s">
        <v>77</v>
      </c>
      <c r="Q5136" s="176">
        <v>22082.04</v>
      </c>
      <c r="R5136" s="176">
        <v>2870.67</v>
      </c>
      <c r="S5136" s="176"/>
      <c r="T5136" s="190">
        <v>0</v>
      </c>
      <c r="U5136" s="191">
        <v>0</v>
      </c>
      <c r="V5136" s="191">
        <v>24952.71</v>
      </c>
      <c r="W5136">
        <v>242</v>
      </c>
      <c r="X5136" s="186" t="s">
        <v>2035</v>
      </c>
      <c r="Y5136" s="187" t="s">
        <v>55</v>
      </c>
      <c r="Z5136" s="311">
        <v>268</v>
      </c>
      <c r="AB5136" t="str">
        <f>IF(Table1[[#This Row],[TIPO2]]="costo", VLOOKUP(Table1[[#This Row],[PARTIDA PRESUPUESTAL]],'Cost Report'!G:G,1,0),"Balance")</f>
        <v>1401-030</v>
      </c>
      <c r="AD5136" s="159">
        <f>+Table1[[#This Row],[SUBTOTAL]]+Table1[[#This Row],[IVA]]-Table1[[#This Row],[RET IVA]]-Table1[[#This Row],[RET ISR]]-Table1[[#This Row],[TOTAL]]</f>
        <v>0</v>
      </c>
      <c r="AK5136" s="306" t="str">
        <f>IF(ISNUMBER(Table1[[#This Row],[FECHA DE RECIBIDO]]), Table1[[#This Row],[FECHA DE RECIBIDO]]-DATE(2023,8,30), "")</f>
        <v/>
      </c>
    </row>
    <row r="5137" spans="1:37" ht="16.05" customHeight="1">
      <c r="A5137" s="172" t="s">
        <v>4831</v>
      </c>
      <c r="B5137" s="178">
        <v>1807</v>
      </c>
      <c r="C5137" s="179" t="s">
        <v>301</v>
      </c>
      <c r="D5137">
        <v>3475</v>
      </c>
      <c r="E5137" s="125" t="s">
        <v>3354</v>
      </c>
      <c r="F5137" s="178" t="s">
        <v>1371</v>
      </c>
      <c r="G5137" s="178" t="s">
        <v>2065</v>
      </c>
      <c r="H5137">
        <v>454</v>
      </c>
      <c r="I5137" s="178" t="s">
        <v>1546</v>
      </c>
      <c r="J5137" s="320" t="s">
        <v>214</v>
      </c>
      <c r="K5137" s="178" t="s">
        <v>4871</v>
      </c>
      <c r="L5137" s="125" t="s">
        <v>3306</v>
      </c>
      <c r="M5137">
        <v>1110</v>
      </c>
      <c r="N5137" s="182">
        <v>1</v>
      </c>
      <c r="O5137">
        <v>1480</v>
      </c>
      <c r="P5137" s="132" t="s">
        <v>77</v>
      </c>
      <c r="Q5137" s="176">
        <v>4500.84</v>
      </c>
      <c r="R5137" s="176">
        <v>585.11</v>
      </c>
      <c r="S5137" s="176"/>
      <c r="T5137" s="190">
        <v>0</v>
      </c>
      <c r="U5137" s="191">
        <v>0</v>
      </c>
      <c r="V5137" s="191">
        <v>5085.95</v>
      </c>
      <c r="W5137">
        <v>242</v>
      </c>
      <c r="X5137" s="186" t="s">
        <v>2035</v>
      </c>
      <c r="Y5137" s="187" t="s">
        <v>55</v>
      </c>
      <c r="Z5137" s="311">
        <v>268</v>
      </c>
      <c r="AB5137" t="str">
        <f>IF(Table1[[#This Row],[TIPO2]]="costo", VLOOKUP(Table1[[#This Row],[PARTIDA PRESUPUESTAL]],'Cost Report'!G:G,1,0),"Balance")</f>
        <v>1401-031</v>
      </c>
      <c r="AD5137" s="159">
        <f>+Table1[[#This Row],[SUBTOTAL]]+Table1[[#This Row],[IVA]]-Table1[[#This Row],[RET IVA]]-Table1[[#This Row],[RET ISR]]-Table1[[#This Row],[TOTAL]]</f>
        <v>0</v>
      </c>
      <c r="AK5137" s="306" t="str">
        <f>IF(ISNUMBER(Table1[[#This Row],[FECHA DE RECIBIDO]]), Table1[[#This Row],[FECHA DE RECIBIDO]]-DATE(2023,8,30), "")</f>
        <v/>
      </c>
    </row>
    <row r="5138" spans="1:37" ht="16.05" customHeight="1">
      <c r="A5138" s="172" t="s">
        <v>4831</v>
      </c>
      <c r="B5138" s="178">
        <v>1807</v>
      </c>
      <c r="C5138" s="179" t="s">
        <v>302</v>
      </c>
      <c r="D5138">
        <v>3475</v>
      </c>
      <c r="E5138" s="125" t="s">
        <v>3354</v>
      </c>
      <c r="F5138" s="178" t="s">
        <v>1371</v>
      </c>
      <c r="G5138" s="178" t="s">
        <v>2065</v>
      </c>
      <c r="H5138">
        <v>454</v>
      </c>
      <c r="I5138" s="178" t="s">
        <v>1546</v>
      </c>
      <c r="J5138" s="320" t="s">
        <v>214</v>
      </c>
      <c r="K5138" s="178" t="s">
        <v>4871</v>
      </c>
      <c r="L5138" s="125" t="s">
        <v>3306</v>
      </c>
      <c r="M5138">
        <v>1110</v>
      </c>
      <c r="N5138" s="182">
        <v>1</v>
      </c>
      <c r="O5138">
        <v>1480</v>
      </c>
      <c r="P5138" s="132" t="s">
        <v>77</v>
      </c>
      <c r="Q5138" s="176">
        <v>32820</v>
      </c>
      <c r="R5138" s="176">
        <v>4266.6000000000004</v>
      </c>
      <c r="S5138" s="176"/>
      <c r="T5138" s="190">
        <v>0</v>
      </c>
      <c r="U5138" s="191">
        <v>0</v>
      </c>
      <c r="V5138" s="191">
        <v>37086.6</v>
      </c>
      <c r="W5138">
        <v>242</v>
      </c>
      <c r="X5138" s="186" t="s">
        <v>2035</v>
      </c>
      <c r="Y5138" s="187" t="s">
        <v>55</v>
      </c>
      <c r="Z5138" s="311">
        <v>268</v>
      </c>
      <c r="AB5138" t="str">
        <f>IF(Table1[[#This Row],[TIPO2]]="costo", VLOOKUP(Table1[[#This Row],[PARTIDA PRESUPUESTAL]],'Cost Report'!G:G,1,0),"Balance")</f>
        <v>1401-032</v>
      </c>
      <c r="AD5138" s="159">
        <f>+Table1[[#This Row],[SUBTOTAL]]+Table1[[#This Row],[IVA]]-Table1[[#This Row],[RET IVA]]-Table1[[#This Row],[RET ISR]]-Table1[[#This Row],[TOTAL]]</f>
        <v>0</v>
      </c>
      <c r="AK5138" s="306" t="str">
        <f>IF(ISNUMBER(Table1[[#This Row],[FECHA DE RECIBIDO]]), Table1[[#This Row],[FECHA DE RECIBIDO]]-DATE(2023,8,30), "")</f>
        <v/>
      </c>
    </row>
    <row r="5139" spans="1:37" ht="16.05" customHeight="1">
      <c r="A5139" s="172" t="s">
        <v>4831</v>
      </c>
      <c r="B5139" s="178">
        <v>1807</v>
      </c>
      <c r="C5139" s="179" t="s">
        <v>305</v>
      </c>
      <c r="D5139">
        <v>3475</v>
      </c>
      <c r="E5139" s="125" t="s">
        <v>3354</v>
      </c>
      <c r="F5139" s="178" t="s">
        <v>1371</v>
      </c>
      <c r="G5139" s="178" t="s">
        <v>2065</v>
      </c>
      <c r="H5139">
        <v>454</v>
      </c>
      <c r="I5139" s="178" t="s">
        <v>1546</v>
      </c>
      <c r="J5139" s="320" t="s">
        <v>214</v>
      </c>
      <c r="K5139" s="178" t="s">
        <v>4871</v>
      </c>
      <c r="L5139" s="125" t="s">
        <v>3306</v>
      </c>
      <c r="M5139">
        <v>1110</v>
      </c>
      <c r="N5139" s="182">
        <v>1</v>
      </c>
      <c r="O5139">
        <v>1480</v>
      </c>
      <c r="P5139" s="132" t="s">
        <v>77</v>
      </c>
      <c r="Q5139" s="176">
        <v>22082.04</v>
      </c>
      <c r="R5139" s="176">
        <v>2870.67</v>
      </c>
      <c r="S5139" s="176"/>
      <c r="T5139" s="190">
        <v>0</v>
      </c>
      <c r="U5139" s="191">
        <v>0</v>
      </c>
      <c r="V5139" s="191">
        <v>24952.71</v>
      </c>
      <c r="W5139">
        <v>242</v>
      </c>
      <c r="X5139" s="186" t="s">
        <v>2035</v>
      </c>
      <c r="Y5139" s="187" t="s">
        <v>55</v>
      </c>
      <c r="Z5139" s="311">
        <v>268</v>
      </c>
      <c r="AB5139" t="str">
        <f>IF(Table1[[#This Row],[TIPO2]]="costo", VLOOKUP(Table1[[#This Row],[PARTIDA PRESUPUESTAL]],'Cost Report'!G:G,1,0),"Balance")</f>
        <v>1401-037</v>
      </c>
      <c r="AD5139" s="159">
        <f>+Table1[[#This Row],[SUBTOTAL]]+Table1[[#This Row],[IVA]]-Table1[[#This Row],[RET IVA]]-Table1[[#This Row],[RET ISR]]-Table1[[#This Row],[TOTAL]]</f>
        <v>0</v>
      </c>
      <c r="AK5139" s="306" t="str">
        <f>IF(ISNUMBER(Table1[[#This Row],[FECHA DE RECIBIDO]]), Table1[[#This Row],[FECHA DE RECIBIDO]]-DATE(2023,8,30), "")</f>
        <v/>
      </c>
    </row>
    <row r="5140" spans="1:37" ht="16.05" customHeight="1">
      <c r="A5140" s="172" t="s">
        <v>4831</v>
      </c>
      <c r="B5140" s="178">
        <v>1807</v>
      </c>
      <c r="C5140" s="179" t="s">
        <v>306</v>
      </c>
      <c r="D5140">
        <v>3475</v>
      </c>
      <c r="E5140" s="125" t="s">
        <v>3354</v>
      </c>
      <c r="F5140" s="178" t="s">
        <v>1371</v>
      </c>
      <c r="G5140" s="178" t="s">
        <v>2065</v>
      </c>
      <c r="H5140">
        <v>454</v>
      </c>
      <c r="I5140" s="178" t="s">
        <v>1546</v>
      </c>
      <c r="J5140" s="320" t="s">
        <v>214</v>
      </c>
      <c r="K5140" s="178" t="s">
        <v>4871</v>
      </c>
      <c r="L5140" s="125" t="s">
        <v>3306</v>
      </c>
      <c r="M5140">
        <v>1110</v>
      </c>
      <c r="N5140" s="182">
        <v>1</v>
      </c>
      <c r="O5140">
        <v>1480</v>
      </c>
      <c r="P5140" s="132" t="s">
        <v>77</v>
      </c>
      <c r="Q5140" s="176">
        <v>4500.84</v>
      </c>
      <c r="R5140" s="176">
        <v>585.11</v>
      </c>
      <c r="S5140" s="176"/>
      <c r="T5140" s="190">
        <v>0</v>
      </c>
      <c r="U5140" s="191">
        <v>0</v>
      </c>
      <c r="V5140" s="191">
        <v>5085.95</v>
      </c>
      <c r="W5140">
        <v>242</v>
      </c>
      <c r="X5140" s="186" t="s">
        <v>2035</v>
      </c>
      <c r="Y5140" s="187" t="s">
        <v>55</v>
      </c>
      <c r="Z5140" s="311">
        <v>268</v>
      </c>
      <c r="AB5140" t="str">
        <f>IF(Table1[[#This Row],[TIPO2]]="costo", VLOOKUP(Table1[[#This Row],[PARTIDA PRESUPUESTAL]],'Cost Report'!G:G,1,0),"Balance")</f>
        <v>1401-038</v>
      </c>
      <c r="AD5140" s="159">
        <f>+Table1[[#This Row],[SUBTOTAL]]+Table1[[#This Row],[IVA]]-Table1[[#This Row],[RET IVA]]-Table1[[#This Row],[RET ISR]]-Table1[[#This Row],[TOTAL]]</f>
        <v>0</v>
      </c>
      <c r="AK5140" s="306" t="str">
        <f>IF(ISNUMBER(Table1[[#This Row],[FECHA DE RECIBIDO]]), Table1[[#This Row],[FECHA DE RECIBIDO]]-DATE(2023,8,30), "")</f>
        <v/>
      </c>
    </row>
    <row r="5141" spans="1:37" ht="16.05" customHeight="1">
      <c r="A5141" s="172" t="s">
        <v>4831</v>
      </c>
      <c r="B5141" s="178">
        <v>1807</v>
      </c>
      <c r="C5141" s="179" t="s">
        <v>307</v>
      </c>
      <c r="D5141">
        <v>3475</v>
      </c>
      <c r="E5141" s="125" t="s">
        <v>3354</v>
      </c>
      <c r="F5141" s="178" t="s">
        <v>1371</v>
      </c>
      <c r="G5141" s="178" t="s">
        <v>2065</v>
      </c>
      <c r="H5141">
        <v>454</v>
      </c>
      <c r="I5141" s="178" t="s">
        <v>1546</v>
      </c>
      <c r="J5141" s="320" t="s">
        <v>214</v>
      </c>
      <c r="K5141" s="178" t="s">
        <v>4871</v>
      </c>
      <c r="L5141" s="125" t="s">
        <v>3306</v>
      </c>
      <c r="M5141">
        <v>1110</v>
      </c>
      <c r="N5141" s="182">
        <v>1</v>
      </c>
      <c r="O5141">
        <v>1480</v>
      </c>
      <c r="P5141" s="132" t="s">
        <v>77</v>
      </c>
      <c r="Q5141" s="176">
        <v>9230.85</v>
      </c>
      <c r="R5141" s="176">
        <v>1200.01</v>
      </c>
      <c r="S5141" s="176"/>
      <c r="T5141" s="190">
        <v>0</v>
      </c>
      <c r="U5141" s="191">
        <v>0</v>
      </c>
      <c r="V5141" s="191">
        <v>10430.86</v>
      </c>
      <c r="W5141">
        <v>242</v>
      </c>
      <c r="X5141" s="186" t="s">
        <v>2035</v>
      </c>
      <c r="Y5141" s="187" t="s">
        <v>55</v>
      </c>
      <c r="Z5141" s="311">
        <v>268</v>
      </c>
      <c r="AB5141" t="str">
        <f>IF(Table1[[#This Row],[TIPO2]]="costo", VLOOKUP(Table1[[#This Row],[PARTIDA PRESUPUESTAL]],'Cost Report'!G:G,1,0),"Balance")</f>
        <v>1401-039</v>
      </c>
      <c r="AD5141" s="159">
        <f>+Table1[[#This Row],[SUBTOTAL]]+Table1[[#This Row],[IVA]]-Table1[[#This Row],[RET IVA]]-Table1[[#This Row],[RET ISR]]-Table1[[#This Row],[TOTAL]]</f>
        <v>0</v>
      </c>
      <c r="AK5141" s="306" t="str">
        <f>IF(ISNUMBER(Table1[[#This Row],[FECHA DE RECIBIDO]]), Table1[[#This Row],[FECHA DE RECIBIDO]]-DATE(2023,8,30), "")</f>
        <v/>
      </c>
    </row>
    <row r="5142" spans="1:37" ht="16.05" customHeight="1">
      <c r="A5142" s="172" t="s">
        <v>4831</v>
      </c>
      <c r="B5142" s="178">
        <v>1807</v>
      </c>
      <c r="C5142" s="179" t="s">
        <v>2175</v>
      </c>
      <c r="D5142">
        <v>3475</v>
      </c>
      <c r="E5142" s="125" t="s">
        <v>3354</v>
      </c>
      <c r="F5142" s="178" t="s">
        <v>1371</v>
      </c>
      <c r="G5142" s="178" t="s">
        <v>2065</v>
      </c>
      <c r="H5142">
        <v>454</v>
      </c>
      <c r="I5142" s="178" t="s">
        <v>1546</v>
      </c>
      <c r="J5142" s="320" t="s">
        <v>214</v>
      </c>
      <c r="K5142" s="178" t="s">
        <v>4871</v>
      </c>
      <c r="L5142" s="125" t="s">
        <v>3306</v>
      </c>
      <c r="M5142">
        <v>1110</v>
      </c>
      <c r="N5142" s="182">
        <v>1</v>
      </c>
      <c r="O5142">
        <v>1480</v>
      </c>
      <c r="P5142" s="132" t="s">
        <v>77</v>
      </c>
      <c r="Q5142" s="176">
        <v>22082.04</v>
      </c>
      <c r="R5142" s="176">
        <v>2870.67</v>
      </c>
      <c r="S5142" s="176"/>
      <c r="T5142" s="190">
        <v>0</v>
      </c>
      <c r="U5142" s="191">
        <v>0</v>
      </c>
      <c r="V5142" s="191">
        <v>24952.71</v>
      </c>
      <c r="W5142">
        <v>242</v>
      </c>
      <c r="X5142" s="186" t="s">
        <v>2035</v>
      </c>
      <c r="Y5142" s="187" t="s">
        <v>55</v>
      </c>
      <c r="Z5142" s="311">
        <v>268</v>
      </c>
      <c r="AB5142" t="str">
        <f>IF(Table1[[#This Row],[TIPO2]]="costo", VLOOKUP(Table1[[#This Row],[PARTIDA PRESUPUESTAL]],'Cost Report'!G:G,1,0),"Balance")</f>
        <v>1401-058</v>
      </c>
      <c r="AD5142" s="159">
        <f>+Table1[[#This Row],[SUBTOTAL]]+Table1[[#This Row],[IVA]]-Table1[[#This Row],[RET IVA]]-Table1[[#This Row],[RET ISR]]-Table1[[#This Row],[TOTAL]]</f>
        <v>0</v>
      </c>
      <c r="AK5142" s="306" t="str">
        <f>IF(ISNUMBER(Table1[[#This Row],[FECHA DE RECIBIDO]]), Table1[[#This Row],[FECHA DE RECIBIDO]]-DATE(2023,8,30), "")</f>
        <v/>
      </c>
    </row>
    <row r="5143" spans="1:37" ht="16.05" customHeight="1">
      <c r="A5143" s="172" t="s">
        <v>4831</v>
      </c>
      <c r="B5143" s="178">
        <v>1807</v>
      </c>
      <c r="C5143" s="179" t="s">
        <v>2176</v>
      </c>
      <c r="D5143">
        <v>3475</v>
      </c>
      <c r="E5143" s="125" t="s">
        <v>3354</v>
      </c>
      <c r="F5143" s="178" t="s">
        <v>1371</v>
      </c>
      <c r="G5143" s="178" t="s">
        <v>2065</v>
      </c>
      <c r="H5143">
        <v>454</v>
      </c>
      <c r="I5143" s="178" t="s">
        <v>1546</v>
      </c>
      <c r="J5143" s="320" t="s">
        <v>214</v>
      </c>
      <c r="K5143" s="178" t="s">
        <v>4871</v>
      </c>
      <c r="L5143" s="125" t="s">
        <v>3306</v>
      </c>
      <c r="M5143">
        <v>1110</v>
      </c>
      <c r="N5143" s="182">
        <v>1</v>
      </c>
      <c r="O5143">
        <v>1480</v>
      </c>
      <c r="P5143" s="132" t="s">
        <v>77</v>
      </c>
      <c r="Q5143" s="176">
        <v>4500.84</v>
      </c>
      <c r="R5143" s="176">
        <v>585.11</v>
      </c>
      <c r="S5143" s="176"/>
      <c r="T5143" s="190">
        <v>0</v>
      </c>
      <c r="U5143" s="191">
        <v>0</v>
      </c>
      <c r="V5143" s="191">
        <v>5085.95</v>
      </c>
      <c r="W5143">
        <v>242</v>
      </c>
      <c r="X5143" s="186" t="s">
        <v>2035</v>
      </c>
      <c r="Y5143" s="187" t="s">
        <v>55</v>
      </c>
      <c r="Z5143" s="311">
        <v>268</v>
      </c>
      <c r="AB5143" t="str">
        <f>IF(Table1[[#This Row],[TIPO2]]="costo", VLOOKUP(Table1[[#This Row],[PARTIDA PRESUPUESTAL]],'Cost Report'!G:G,1,0),"Balance")</f>
        <v>1401-059</v>
      </c>
      <c r="AD5143" s="159">
        <f>+Table1[[#This Row],[SUBTOTAL]]+Table1[[#This Row],[IVA]]-Table1[[#This Row],[RET IVA]]-Table1[[#This Row],[RET ISR]]-Table1[[#This Row],[TOTAL]]</f>
        <v>0</v>
      </c>
      <c r="AK5143" s="306" t="str">
        <f>IF(ISNUMBER(Table1[[#This Row],[FECHA DE RECIBIDO]]), Table1[[#This Row],[FECHA DE RECIBIDO]]-DATE(2023,8,30), "")</f>
        <v/>
      </c>
    </row>
    <row r="5144" spans="1:37" ht="16.05" customHeight="1">
      <c r="A5144" s="172" t="s">
        <v>4831</v>
      </c>
      <c r="B5144" s="178">
        <v>1807</v>
      </c>
      <c r="C5144" s="179" t="s">
        <v>2177</v>
      </c>
      <c r="D5144">
        <v>3475</v>
      </c>
      <c r="E5144" s="125" t="s">
        <v>3354</v>
      </c>
      <c r="F5144" s="178" t="s">
        <v>1371</v>
      </c>
      <c r="G5144" s="178" t="s">
        <v>2065</v>
      </c>
      <c r="H5144">
        <v>454</v>
      </c>
      <c r="I5144" s="178" t="s">
        <v>1546</v>
      </c>
      <c r="J5144" s="320" t="s">
        <v>214</v>
      </c>
      <c r="K5144" s="178" t="s">
        <v>4871</v>
      </c>
      <c r="L5144" s="125" t="s">
        <v>3306</v>
      </c>
      <c r="M5144">
        <v>1110</v>
      </c>
      <c r="N5144" s="182">
        <v>1</v>
      </c>
      <c r="O5144">
        <v>1480</v>
      </c>
      <c r="P5144" s="132" t="s">
        <v>77</v>
      </c>
      <c r="Q5144" s="176">
        <v>4512.8599999999997</v>
      </c>
      <c r="R5144" s="176">
        <v>586.66999999999996</v>
      </c>
      <c r="S5144" s="176"/>
      <c r="T5144" s="190">
        <v>0</v>
      </c>
      <c r="U5144" s="191">
        <v>0</v>
      </c>
      <c r="V5144" s="191">
        <v>5099.53</v>
      </c>
      <c r="W5144">
        <v>242</v>
      </c>
      <c r="X5144" s="186" t="s">
        <v>2035</v>
      </c>
      <c r="Y5144" s="187" t="s">
        <v>55</v>
      </c>
      <c r="Z5144" s="311">
        <v>268</v>
      </c>
      <c r="AB5144" t="str">
        <f>IF(Table1[[#This Row],[TIPO2]]="costo", VLOOKUP(Table1[[#This Row],[PARTIDA PRESUPUESTAL]],'Cost Report'!G:G,1,0),"Balance")</f>
        <v>1401-060</v>
      </c>
      <c r="AD5144" s="159">
        <f>+Table1[[#This Row],[SUBTOTAL]]+Table1[[#This Row],[IVA]]-Table1[[#This Row],[RET IVA]]-Table1[[#This Row],[RET ISR]]-Table1[[#This Row],[TOTAL]]</f>
        <v>0</v>
      </c>
      <c r="AK5144" s="306" t="str">
        <f>IF(ISNUMBER(Table1[[#This Row],[FECHA DE RECIBIDO]]), Table1[[#This Row],[FECHA DE RECIBIDO]]-DATE(2023,8,30), "")</f>
        <v/>
      </c>
    </row>
    <row r="5145" spans="1:37" ht="16.05" customHeight="1">
      <c r="A5145" s="172" t="s">
        <v>4831</v>
      </c>
      <c r="B5145" s="178">
        <v>1807</v>
      </c>
      <c r="C5145" s="179" t="s">
        <v>2180</v>
      </c>
      <c r="D5145">
        <v>3475</v>
      </c>
      <c r="E5145" s="125" t="s">
        <v>3354</v>
      </c>
      <c r="F5145" s="178" t="s">
        <v>1371</v>
      </c>
      <c r="G5145" s="178" t="s">
        <v>2065</v>
      </c>
      <c r="H5145">
        <v>454</v>
      </c>
      <c r="I5145" s="178" t="s">
        <v>1546</v>
      </c>
      <c r="J5145" s="320" t="s">
        <v>214</v>
      </c>
      <c r="K5145" s="178" t="s">
        <v>4871</v>
      </c>
      <c r="L5145" s="125" t="s">
        <v>3306</v>
      </c>
      <c r="M5145">
        <v>1110</v>
      </c>
      <c r="N5145" s="182">
        <v>1</v>
      </c>
      <c r="O5145">
        <v>1480</v>
      </c>
      <c r="P5145" s="132" t="s">
        <v>77</v>
      </c>
      <c r="Q5145" s="176">
        <v>11041.02</v>
      </c>
      <c r="R5145" s="176">
        <v>1435.33</v>
      </c>
      <c r="S5145" s="176"/>
      <c r="T5145" s="190">
        <v>0</v>
      </c>
      <c r="U5145" s="191">
        <v>0</v>
      </c>
      <c r="V5145" s="191">
        <v>12476.35</v>
      </c>
      <c r="W5145">
        <v>242</v>
      </c>
      <c r="X5145" s="186" t="s">
        <v>2035</v>
      </c>
      <c r="Y5145" s="187" t="s">
        <v>55</v>
      </c>
      <c r="Z5145" s="311">
        <v>268</v>
      </c>
      <c r="AB5145" t="str">
        <f>IF(Table1[[#This Row],[TIPO2]]="costo", VLOOKUP(Table1[[#This Row],[PARTIDA PRESUPUESTAL]],'Cost Report'!G:G,1,0),"Balance")</f>
        <v>1401-065</v>
      </c>
      <c r="AD5145" s="159">
        <f>+Table1[[#This Row],[SUBTOTAL]]+Table1[[#This Row],[IVA]]-Table1[[#This Row],[RET IVA]]-Table1[[#This Row],[RET ISR]]-Table1[[#This Row],[TOTAL]]</f>
        <v>0</v>
      </c>
      <c r="AK5145" s="306" t="str">
        <f>IF(ISNUMBER(Table1[[#This Row],[FECHA DE RECIBIDO]]), Table1[[#This Row],[FECHA DE RECIBIDO]]-DATE(2023,8,30), "")</f>
        <v/>
      </c>
    </row>
    <row r="5146" spans="1:37" ht="16.05" customHeight="1">
      <c r="A5146" s="172" t="s">
        <v>4831</v>
      </c>
      <c r="B5146" s="178">
        <v>1807</v>
      </c>
      <c r="C5146" s="179" t="s">
        <v>2182</v>
      </c>
      <c r="D5146">
        <v>3475</v>
      </c>
      <c r="E5146" s="125" t="s">
        <v>3354</v>
      </c>
      <c r="F5146" s="178" t="s">
        <v>1371</v>
      </c>
      <c r="G5146" s="178" t="s">
        <v>2065</v>
      </c>
      <c r="H5146">
        <v>454</v>
      </c>
      <c r="I5146" s="178" t="s">
        <v>1546</v>
      </c>
      <c r="J5146" s="320" t="s">
        <v>214</v>
      </c>
      <c r="K5146" s="178" t="s">
        <v>4871</v>
      </c>
      <c r="L5146" s="125" t="s">
        <v>3306</v>
      </c>
      <c r="M5146">
        <v>1110</v>
      </c>
      <c r="N5146" s="182">
        <v>1</v>
      </c>
      <c r="O5146">
        <v>1480</v>
      </c>
      <c r="P5146" s="132" t="s">
        <v>77</v>
      </c>
      <c r="Q5146" s="176">
        <v>410.26</v>
      </c>
      <c r="R5146" s="176">
        <v>53.33</v>
      </c>
      <c r="S5146" s="176"/>
      <c r="T5146" s="190">
        <v>0</v>
      </c>
      <c r="U5146" s="191">
        <v>0</v>
      </c>
      <c r="V5146" s="191">
        <v>463.59</v>
      </c>
      <c r="W5146">
        <v>242</v>
      </c>
      <c r="X5146" s="186" t="s">
        <v>2035</v>
      </c>
      <c r="Y5146" s="187" t="s">
        <v>55</v>
      </c>
      <c r="Z5146" s="311">
        <v>268</v>
      </c>
      <c r="AB5146" t="str">
        <f>IF(Table1[[#This Row],[TIPO2]]="costo", VLOOKUP(Table1[[#This Row],[PARTIDA PRESUPUESTAL]],'Cost Report'!G:G,1,0),"Balance")</f>
        <v>1401-067</v>
      </c>
      <c r="AD5146" s="159">
        <f>+Table1[[#This Row],[SUBTOTAL]]+Table1[[#This Row],[IVA]]-Table1[[#This Row],[RET IVA]]-Table1[[#This Row],[RET ISR]]-Table1[[#This Row],[TOTAL]]</f>
        <v>0</v>
      </c>
      <c r="AK5146" s="306" t="str">
        <f>IF(ISNUMBER(Table1[[#This Row],[FECHA DE RECIBIDO]]), Table1[[#This Row],[FECHA DE RECIBIDO]]-DATE(2023,8,30), "")</f>
        <v/>
      </c>
    </row>
    <row r="5147" spans="1:37" ht="16.05" customHeight="1">
      <c r="A5147" s="172" t="s">
        <v>4831</v>
      </c>
      <c r="B5147" s="178">
        <v>1807</v>
      </c>
      <c r="C5147" s="179" t="s">
        <v>313</v>
      </c>
      <c r="D5147">
        <v>3475</v>
      </c>
      <c r="E5147" s="125" t="s">
        <v>3354</v>
      </c>
      <c r="F5147" s="178" t="s">
        <v>1371</v>
      </c>
      <c r="G5147" s="178" t="s">
        <v>2065</v>
      </c>
      <c r="H5147">
        <v>454</v>
      </c>
      <c r="I5147" s="178" t="s">
        <v>1546</v>
      </c>
      <c r="J5147" s="320" t="s">
        <v>214</v>
      </c>
      <c r="K5147" s="178" t="s">
        <v>4871</v>
      </c>
      <c r="L5147" s="125" t="s">
        <v>3306</v>
      </c>
      <c r="M5147">
        <v>1110</v>
      </c>
      <c r="N5147" s="182">
        <v>1</v>
      </c>
      <c r="O5147">
        <v>1480</v>
      </c>
      <c r="P5147" s="132" t="s">
        <v>77</v>
      </c>
      <c r="Q5147" s="176">
        <v>7360.68</v>
      </c>
      <c r="R5147" s="176">
        <v>956.89</v>
      </c>
      <c r="S5147" s="176"/>
      <c r="T5147" s="190">
        <v>0</v>
      </c>
      <c r="U5147" s="191">
        <v>0</v>
      </c>
      <c r="V5147" s="191">
        <v>8317.57</v>
      </c>
      <c r="W5147">
        <v>242</v>
      </c>
      <c r="X5147" s="186" t="s">
        <v>2035</v>
      </c>
      <c r="Y5147" s="187" t="s">
        <v>55</v>
      </c>
      <c r="Z5147" s="311">
        <v>268</v>
      </c>
      <c r="AB5147" t="str">
        <f>IF(Table1[[#This Row],[TIPO2]]="costo", VLOOKUP(Table1[[#This Row],[PARTIDA PRESUPUESTAL]],'Cost Report'!G:G,1,0),"Balance")</f>
        <v>1403-003</v>
      </c>
      <c r="AD5147" s="159">
        <f>+Table1[[#This Row],[SUBTOTAL]]+Table1[[#This Row],[IVA]]-Table1[[#This Row],[RET IVA]]-Table1[[#This Row],[RET ISR]]-Table1[[#This Row],[TOTAL]]</f>
        <v>0</v>
      </c>
      <c r="AK5147" s="306" t="str">
        <f>IF(ISNUMBER(Table1[[#This Row],[FECHA DE RECIBIDO]]), Table1[[#This Row],[FECHA DE RECIBIDO]]-DATE(2023,8,30), "")</f>
        <v/>
      </c>
    </row>
    <row r="5148" spans="1:37" ht="16.05" customHeight="1">
      <c r="A5148" s="172" t="s">
        <v>4831</v>
      </c>
      <c r="B5148" s="178">
        <v>1807</v>
      </c>
      <c r="C5148" s="179" t="s">
        <v>328</v>
      </c>
      <c r="D5148">
        <v>3475</v>
      </c>
      <c r="E5148" s="125" t="s">
        <v>3354</v>
      </c>
      <c r="F5148" s="178" t="s">
        <v>1371</v>
      </c>
      <c r="G5148" s="178" t="s">
        <v>2065</v>
      </c>
      <c r="H5148">
        <v>454</v>
      </c>
      <c r="I5148" s="178" t="s">
        <v>1546</v>
      </c>
      <c r="J5148" s="320" t="s">
        <v>214</v>
      </c>
      <c r="K5148" s="178" t="s">
        <v>4871</v>
      </c>
      <c r="L5148" s="125" t="s">
        <v>3306</v>
      </c>
      <c r="M5148">
        <v>1110</v>
      </c>
      <c r="N5148" s="182">
        <v>1</v>
      </c>
      <c r="O5148">
        <v>1480</v>
      </c>
      <c r="P5148" s="132" t="s">
        <v>77</v>
      </c>
      <c r="Q5148" s="176">
        <v>21591.83</v>
      </c>
      <c r="R5148" s="176">
        <v>2806.94</v>
      </c>
      <c r="S5148" s="176"/>
      <c r="T5148" s="190">
        <v>0</v>
      </c>
      <c r="U5148" s="191">
        <v>0</v>
      </c>
      <c r="V5148" s="191">
        <v>24398.77</v>
      </c>
      <c r="W5148">
        <v>242</v>
      </c>
      <c r="X5148" s="186" t="s">
        <v>2035</v>
      </c>
      <c r="Y5148" s="187" t="s">
        <v>55</v>
      </c>
      <c r="Z5148" s="311">
        <v>268</v>
      </c>
      <c r="AB5148" t="str">
        <f>IF(Table1[[#This Row],[TIPO2]]="costo", VLOOKUP(Table1[[#This Row],[PARTIDA PRESUPUESTAL]],'Cost Report'!G:G,1,0),"Balance")</f>
        <v>1403-024</v>
      </c>
      <c r="AD5148" s="159">
        <f>+Table1[[#This Row],[SUBTOTAL]]+Table1[[#This Row],[IVA]]-Table1[[#This Row],[RET IVA]]-Table1[[#This Row],[RET ISR]]-Table1[[#This Row],[TOTAL]]</f>
        <v>0</v>
      </c>
      <c r="AK5148" s="306" t="str">
        <f>IF(ISNUMBER(Table1[[#This Row],[FECHA DE RECIBIDO]]), Table1[[#This Row],[FECHA DE RECIBIDO]]-DATE(2023,8,30), "")</f>
        <v/>
      </c>
    </row>
    <row r="5149" spans="1:37" ht="16.05" customHeight="1">
      <c r="A5149" s="172" t="s">
        <v>4831</v>
      </c>
      <c r="B5149" s="178">
        <v>1807</v>
      </c>
      <c r="C5149" s="179" t="s">
        <v>330</v>
      </c>
      <c r="D5149">
        <v>3475</v>
      </c>
      <c r="E5149" s="125" t="s">
        <v>3354</v>
      </c>
      <c r="F5149" s="178" t="s">
        <v>1371</v>
      </c>
      <c r="G5149" s="178" t="s">
        <v>2065</v>
      </c>
      <c r="H5149">
        <v>454</v>
      </c>
      <c r="I5149" s="178" t="s">
        <v>1546</v>
      </c>
      <c r="J5149" s="320" t="s">
        <v>214</v>
      </c>
      <c r="K5149" s="178" t="s">
        <v>4871</v>
      </c>
      <c r="L5149" s="125" t="s">
        <v>3306</v>
      </c>
      <c r="M5149">
        <v>1110</v>
      </c>
      <c r="N5149" s="182">
        <v>1</v>
      </c>
      <c r="O5149">
        <v>1480</v>
      </c>
      <c r="P5149" s="132" t="s">
        <v>77</v>
      </c>
      <c r="Q5149" s="176">
        <v>11532.15</v>
      </c>
      <c r="R5149" s="176">
        <v>1499.18</v>
      </c>
      <c r="S5149" s="176"/>
      <c r="T5149" s="190">
        <v>0</v>
      </c>
      <c r="U5149" s="191">
        <v>0</v>
      </c>
      <c r="V5149" s="191">
        <v>13031.33</v>
      </c>
      <c r="W5149">
        <v>242</v>
      </c>
      <c r="X5149" s="186" t="s">
        <v>2035</v>
      </c>
      <c r="Y5149" s="187" t="s">
        <v>55</v>
      </c>
      <c r="Z5149" s="311">
        <v>268</v>
      </c>
      <c r="AB5149" t="str">
        <f>IF(Table1[[#This Row],[TIPO2]]="costo", VLOOKUP(Table1[[#This Row],[PARTIDA PRESUPUESTAL]],'Cost Report'!G:G,1,0),"Balance")</f>
        <v>1403-026</v>
      </c>
      <c r="AD5149" s="159">
        <f>+Table1[[#This Row],[SUBTOTAL]]+Table1[[#This Row],[IVA]]-Table1[[#This Row],[RET IVA]]-Table1[[#This Row],[RET ISR]]-Table1[[#This Row],[TOTAL]]</f>
        <v>0</v>
      </c>
      <c r="AK5149" s="306" t="str">
        <f>IF(ISNUMBER(Table1[[#This Row],[FECHA DE RECIBIDO]]), Table1[[#This Row],[FECHA DE RECIBIDO]]-DATE(2023,8,30), "")</f>
        <v/>
      </c>
    </row>
    <row r="5150" spans="1:37" ht="16.05" customHeight="1">
      <c r="A5150" s="172" t="s">
        <v>4831</v>
      </c>
      <c r="B5150" s="178">
        <v>1807</v>
      </c>
      <c r="C5150" s="179" t="s">
        <v>348</v>
      </c>
      <c r="D5150">
        <v>3475</v>
      </c>
      <c r="E5150" s="125" t="s">
        <v>3354</v>
      </c>
      <c r="F5150" s="178" t="s">
        <v>1371</v>
      </c>
      <c r="G5150" s="178" t="s">
        <v>2065</v>
      </c>
      <c r="H5150">
        <v>454</v>
      </c>
      <c r="I5150" s="178" t="s">
        <v>1546</v>
      </c>
      <c r="J5150" s="320" t="s">
        <v>214</v>
      </c>
      <c r="K5150" s="178" t="s">
        <v>4871</v>
      </c>
      <c r="L5150" s="125" t="s">
        <v>3306</v>
      </c>
      <c r="M5150">
        <v>1110</v>
      </c>
      <c r="N5150" s="182">
        <v>1</v>
      </c>
      <c r="O5150">
        <v>1480</v>
      </c>
      <c r="P5150" s="132" t="s">
        <v>77</v>
      </c>
      <c r="Q5150" s="176">
        <v>7309.76</v>
      </c>
      <c r="R5150" s="176">
        <v>950.27</v>
      </c>
      <c r="S5150" s="176"/>
      <c r="T5150" s="190">
        <v>0</v>
      </c>
      <c r="U5150" s="191">
        <v>0</v>
      </c>
      <c r="V5150" s="191">
        <v>8260.0300000000007</v>
      </c>
      <c r="W5150">
        <v>242</v>
      </c>
      <c r="X5150" s="186" t="s">
        <v>2035</v>
      </c>
      <c r="Y5150" s="187" t="s">
        <v>55</v>
      </c>
      <c r="Z5150" s="311">
        <v>268</v>
      </c>
      <c r="AB5150" t="str">
        <f>IF(Table1[[#This Row],[TIPO2]]="costo", VLOOKUP(Table1[[#This Row],[PARTIDA PRESUPUESTAL]],'Cost Report'!G:G,1,0),"Balance")</f>
        <v>1403-052</v>
      </c>
      <c r="AD5150" s="159">
        <f>+Table1[[#This Row],[SUBTOTAL]]+Table1[[#This Row],[IVA]]-Table1[[#This Row],[RET IVA]]-Table1[[#This Row],[RET ISR]]-Table1[[#This Row],[TOTAL]]</f>
        <v>0</v>
      </c>
      <c r="AK5150" s="306" t="str">
        <f>IF(ISNUMBER(Table1[[#This Row],[FECHA DE RECIBIDO]]), Table1[[#This Row],[FECHA DE RECIBIDO]]-DATE(2023,8,30), "")</f>
        <v/>
      </c>
    </row>
    <row r="5151" spans="1:37" ht="16.05" customHeight="1">
      <c r="A5151" s="172" t="s">
        <v>4831</v>
      </c>
      <c r="B5151" s="178">
        <v>1807</v>
      </c>
      <c r="C5151" s="179" t="s">
        <v>350</v>
      </c>
      <c r="D5151">
        <v>3475</v>
      </c>
      <c r="E5151" s="125" t="s">
        <v>3354</v>
      </c>
      <c r="F5151" s="178" t="s">
        <v>1371</v>
      </c>
      <c r="G5151" s="178" t="s">
        <v>2065</v>
      </c>
      <c r="H5151">
        <v>454</v>
      </c>
      <c r="I5151" s="178" t="s">
        <v>1546</v>
      </c>
      <c r="J5151" s="320" t="s">
        <v>214</v>
      </c>
      <c r="K5151" s="178" t="s">
        <v>4871</v>
      </c>
      <c r="L5151" s="125" t="s">
        <v>3306</v>
      </c>
      <c r="M5151">
        <v>1110</v>
      </c>
      <c r="N5151" s="182">
        <v>1</v>
      </c>
      <c r="O5151">
        <v>1480</v>
      </c>
      <c r="P5151" s="132" t="s">
        <v>77</v>
      </c>
      <c r="Q5151" s="176">
        <v>2850.82</v>
      </c>
      <c r="R5151" s="176">
        <v>370.61</v>
      </c>
      <c r="S5151" s="176"/>
      <c r="T5151" s="190">
        <v>0</v>
      </c>
      <c r="U5151" s="191">
        <v>0</v>
      </c>
      <c r="V5151" s="191">
        <v>3221.4300000000003</v>
      </c>
      <c r="W5151">
        <v>242</v>
      </c>
      <c r="X5151" s="186" t="s">
        <v>2035</v>
      </c>
      <c r="Y5151" s="187" t="s">
        <v>55</v>
      </c>
      <c r="Z5151" s="311">
        <v>268</v>
      </c>
      <c r="AB5151" t="str">
        <f>IF(Table1[[#This Row],[TIPO2]]="costo", VLOOKUP(Table1[[#This Row],[PARTIDA PRESUPUESTAL]],'Cost Report'!G:G,1,0),"Balance")</f>
        <v>1403-054</v>
      </c>
      <c r="AD5151" s="159">
        <f>+Table1[[#This Row],[SUBTOTAL]]+Table1[[#This Row],[IVA]]-Table1[[#This Row],[RET IVA]]-Table1[[#This Row],[RET ISR]]-Table1[[#This Row],[TOTAL]]</f>
        <v>0</v>
      </c>
      <c r="AK5151" s="306" t="str">
        <f>IF(ISNUMBER(Table1[[#This Row],[FECHA DE RECIBIDO]]), Table1[[#This Row],[FECHA DE RECIBIDO]]-DATE(2023,8,30), "")</f>
        <v/>
      </c>
    </row>
    <row r="5152" spans="1:37" ht="16.05" customHeight="1">
      <c r="A5152" s="172" t="s">
        <v>4831</v>
      </c>
      <c r="B5152" s="178">
        <v>1807</v>
      </c>
      <c r="C5152" s="179" t="s">
        <v>2192</v>
      </c>
      <c r="D5152">
        <v>3475</v>
      </c>
      <c r="E5152" s="125" t="s">
        <v>3354</v>
      </c>
      <c r="F5152" s="178" t="s">
        <v>1371</v>
      </c>
      <c r="G5152" s="178" t="s">
        <v>2065</v>
      </c>
      <c r="H5152">
        <v>454</v>
      </c>
      <c r="I5152" s="178" t="s">
        <v>1546</v>
      </c>
      <c r="J5152" s="320" t="s">
        <v>214</v>
      </c>
      <c r="K5152" s="178" t="s">
        <v>4871</v>
      </c>
      <c r="L5152" s="125" t="s">
        <v>3306</v>
      </c>
      <c r="M5152">
        <v>1110</v>
      </c>
      <c r="N5152" s="182">
        <v>1</v>
      </c>
      <c r="O5152">
        <v>1480</v>
      </c>
      <c r="P5152" s="132" t="s">
        <v>77</v>
      </c>
      <c r="Q5152" s="176">
        <v>7360.68</v>
      </c>
      <c r="R5152" s="176">
        <v>956.89</v>
      </c>
      <c r="S5152" s="176"/>
      <c r="T5152" s="190">
        <v>0</v>
      </c>
      <c r="U5152" s="191">
        <v>0</v>
      </c>
      <c r="V5152" s="191">
        <v>8317.57</v>
      </c>
      <c r="W5152">
        <v>242</v>
      </c>
      <c r="X5152" s="186" t="s">
        <v>2035</v>
      </c>
      <c r="Y5152" s="187" t="s">
        <v>55</v>
      </c>
      <c r="Z5152" s="311">
        <v>268</v>
      </c>
      <c r="AB5152" t="str">
        <f>IF(Table1[[#This Row],[TIPO2]]="costo", VLOOKUP(Table1[[#This Row],[PARTIDA PRESUPUESTAL]],'Cost Report'!G:G,1,0),"Balance")</f>
        <v>1403-059</v>
      </c>
      <c r="AD5152" s="159">
        <f>+Table1[[#This Row],[SUBTOTAL]]+Table1[[#This Row],[IVA]]-Table1[[#This Row],[RET IVA]]-Table1[[#This Row],[RET ISR]]-Table1[[#This Row],[TOTAL]]</f>
        <v>0</v>
      </c>
      <c r="AK5152" s="306" t="str">
        <f>IF(ISNUMBER(Table1[[#This Row],[FECHA DE RECIBIDO]]), Table1[[#This Row],[FECHA DE RECIBIDO]]-DATE(2023,8,30), "")</f>
        <v/>
      </c>
    </row>
    <row r="5153" spans="1:37" ht="16.05" customHeight="1">
      <c r="A5153" s="172" t="s">
        <v>4831</v>
      </c>
      <c r="B5153" s="178">
        <v>1807</v>
      </c>
      <c r="C5153" s="179" t="s">
        <v>2194</v>
      </c>
      <c r="D5153">
        <v>3475</v>
      </c>
      <c r="E5153" s="125" t="s">
        <v>3354</v>
      </c>
      <c r="F5153" s="178" t="s">
        <v>1371</v>
      </c>
      <c r="G5153" s="178" t="s">
        <v>2065</v>
      </c>
      <c r="H5153">
        <v>454</v>
      </c>
      <c r="I5153" s="178" t="s">
        <v>1546</v>
      </c>
      <c r="J5153" s="320" t="s">
        <v>214</v>
      </c>
      <c r="K5153" s="178" t="s">
        <v>4871</v>
      </c>
      <c r="L5153" s="125" t="s">
        <v>3306</v>
      </c>
      <c r="M5153">
        <v>1110</v>
      </c>
      <c r="N5153" s="182">
        <v>1</v>
      </c>
      <c r="O5153">
        <v>1480</v>
      </c>
      <c r="P5153" s="132" t="s">
        <v>77</v>
      </c>
      <c r="Q5153" s="176">
        <v>18051.12</v>
      </c>
      <c r="R5153" s="176">
        <v>2346.65</v>
      </c>
      <c r="S5153" s="176"/>
      <c r="T5153" s="190">
        <v>0</v>
      </c>
      <c r="U5153" s="191">
        <v>0</v>
      </c>
      <c r="V5153" s="191">
        <v>20397.77</v>
      </c>
      <c r="W5153">
        <v>242</v>
      </c>
      <c r="X5153" s="186" t="s">
        <v>2035</v>
      </c>
      <c r="Y5153" s="187" t="s">
        <v>55</v>
      </c>
      <c r="Z5153" s="311">
        <v>268</v>
      </c>
      <c r="AB5153" t="str">
        <f>IF(Table1[[#This Row],[TIPO2]]="costo", VLOOKUP(Table1[[#This Row],[PARTIDA PRESUPUESTAL]],'Cost Report'!G:G,1,0),"Balance")</f>
        <v>1403-061</v>
      </c>
      <c r="AD5153" s="159">
        <f>+Table1[[#This Row],[SUBTOTAL]]+Table1[[#This Row],[IVA]]-Table1[[#This Row],[RET IVA]]-Table1[[#This Row],[RET ISR]]-Table1[[#This Row],[TOTAL]]</f>
        <v>0</v>
      </c>
      <c r="AK5153" s="306" t="str">
        <f>IF(ISNUMBER(Table1[[#This Row],[FECHA DE RECIBIDO]]), Table1[[#This Row],[FECHA DE RECIBIDO]]-DATE(2023,8,30), "")</f>
        <v/>
      </c>
    </row>
    <row r="5154" spans="1:37" ht="16.05" customHeight="1">
      <c r="A5154" s="172" t="s">
        <v>4831</v>
      </c>
      <c r="B5154" s="178">
        <v>1807</v>
      </c>
      <c r="C5154" s="179" t="s">
        <v>2197</v>
      </c>
      <c r="D5154">
        <v>3475</v>
      </c>
      <c r="E5154" s="125" t="s">
        <v>3354</v>
      </c>
      <c r="F5154" s="178" t="s">
        <v>1371</v>
      </c>
      <c r="G5154" s="178" t="s">
        <v>2065</v>
      </c>
      <c r="H5154">
        <v>454</v>
      </c>
      <c r="I5154" s="178" t="s">
        <v>1546</v>
      </c>
      <c r="J5154" s="320" t="s">
        <v>214</v>
      </c>
      <c r="K5154" s="178" t="s">
        <v>4871</v>
      </c>
      <c r="L5154" s="125" t="s">
        <v>3306</v>
      </c>
      <c r="M5154">
        <v>1110</v>
      </c>
      <c r="N5154" s="182">
        <v>1</v>
      </c>
      <c r="O5154">
        <v>1480</v>
      </c>
      <c r="P5154" s="132" t="s">
        <v>77</v>
      </c>
      <c r="Q5154" s="176">
        <v>22031.119999999999</v>
      </c>
      <c r="R5154" s="176">
        <v>2864.05</v>
      </c>
      <c r="S5154" s="176"/>
      <c r="T5154" s="190">
        <v>0</v>
      </c>
      <c r="U5154" s="191">
        <v>0</v>
      </c>
      <c r="V5154" s="191">
        <v>24895.17</v>
      </c>
      <c r="W5154">
        <v>242</v>
      </c>
      <c r="X5154" s="186" t="s">
        <v>2035</v>
      </c>
      <c r="Y5154" s="187" t="s">
        <v>55</v>
      </c>
      <c r="Z5154" s="311">
        <v>268</v>
      </c>
      <c r="AB5154" t="str">
        <f>IF(Table1[[#This Row],[TIPO2]]="costo", VLOOKUP(Table1[[#This Row],[PARTIDA PRESUPUESTAL]],'Cost Report'!G:G,1,0),"Balance")</f>
        <v>1403-066</v>
      </c>
      <c r="AD5154" s="159">
        <f>+Table1[[#This Row],[SUBTOTAL]]+Table1[[#This Row],[IVA]]-Table1[[#This Row],[RET IVA]]-Table1[[#This Row],[RET ISR]]-Table1[[#This Row],[TOTAL]]</f>
        <v>0</v>
      </c>
      <c r="AK5154" s="306" t="str">
        <f>IF(ISNUMBER(Table1[[#This Row],[FECHA DE RECIBIDO]]), Table1[[#This Row],[FECHA DE RECIBIDO]]-DATE(2023,8,30), "")</f>
        <v/>
      </c>
    </row>
    <row r="5155" spans="1:37" ht="16.05" customHeight="1">
      <c r="A5155" s="172" t="s">
        <v>4831</v>
      </c>
      <c r="B5155" s="178">
        <v>1807</v>
      </c>
      <c r="C5155" s="179" t="s">
        <v>2199</v>
      </c>
      <c r="D5155">
        <v>3475</v>
      </c>
      <c r="E5155" s="125" t="s">
        <v>3354</v>
      </c>
      <c r="F5155" s="178" t="s">
        <v>1371</v>
      </c>
      <c r="G5155" s="178" t="s">
        <v>2065</v>
      </c>
      <c r="H5155">
        <v>454</v>
      </c>
      <c r="I5155" s="178" t="s">
        <v>1546</v>
      </c>
      <c r="J5155" s="320" t="s">
        <v>214</v>
      </c>
      <c r="K5155" s="178" t="s">
        <v>4871</v>
      </c>
      <c r="L5155" s="125" t="s">
        <v>3306</v>
      </c>
      <c r="M5155">
        <v>1110</v>
      </c>
      <c r="N5155" s="182">
        <v>1</v>
      </c>
      <c r="O5155">
        <v>1480</v>
      </c>
      <c r="P5155" s="132" t="s">
        <v>77</v>
      </c>
      <c r="Q5155" s="176">
        <v>6558.16</v>
      </c>
      <c r="R5155" s="176">
        <v>852.56</v>
      </c>
      <c r="S5155" s="176"/>
      <c r="T5155" s="190">
        <v>0</v>
      </c>
      <c r="U5155" s="191">
        <v>0</v>
      </c>
      <c r="V5155" s="191">
        <v>7410.7199999999993</v>
      </c>
      <c r="W5155">
        <v>242</v>
      </c>
      <c r="X5155" s="186" t="s">
        <v>2035</v>
      </c>
      <c r="Y5155" s="187" t="s">
        <v>55</v>
      </c>
      <c r="Z5155" s="311">
        <v>268</v>
      </c>
      <c r="AB5155" t="str">
        <f>IF(Table1[[#This Row],[TIPO2]]="costo", VLOOKUP(Table1[[#This Row],[PARTIDA PRESUPUESTAL]],'Cost Report'!G:G,1,0),"Balance")</f>
        <v>1403-068</v>
      </c>
      <c r="AD5155" s="159">
        <f>+Table1[[#This Row],[SUBTOTAL]]+Table1[[#This Row],[IVA]]-Table1[[#This Row],[RET IVA]]-Table1[[#This Row],[RET ISR]]-Table1[[#This Row],[TOTAL]]</f>
        <v>0</v>
      </c>
      <c r="AK5155" s="306" t="str">
        <f>IF(ISNUMBER(Table1[[#This Row],[FECHA DE RECIBIDO]]), Table1[[#This Row],[FECHA DE RECIBIDO]]-DATE(2023,8,30), "")</f>
        <v/>
      </c>
    </row>
    <row r="5156" spans="1:37" ht="16.05" customHeight="1">
      <c r="A5156" s="172" t="s">
        <v>4831</v>
      </c>
      <c r="B5156" s="178">
        <v>1807</v>
      </c>
      <c r="C5156" s="126" t="s">
        <v>1416</v>
      </c>
      <c r="D5156">
        <v>3475</v>
      </c>
      <c r="E5156" s="125" t="s">
        <v>3354</v>
      </c>
      <c r="F5156" s="178" t="s">
        <v>1371</v>
      </c>
      <c r="G5156" s="178" t="s">
        <v>2065</v>
      </c>
      <c r="H5156">
        <v>454</v>
      </c>
      <c r="I5156" s="178" t="s">
        <v>1546</v>
      </c>
      <c r="J5156" s="320" t="s">
        <v>214</v>
      </c>
      <c r="K5156" s="178" t="s">
        <v>4871</v>
      </c>
      <c r="L5156" s="125" t="s">
        <v>3306</v>
      </c>
      <c r="M5156">
        <v>1110</v>
      </c>
      <c r="N5156" s="182">
        <v>1</v>
      </c>
      <c r="O5156">
        <v>1480</v>
      </c>
      <c r="P5156" s="132" t="s">
        <v>77</v>
      </c>
      <c r="Q5156" s="176">
        <v>14721.36</v>
      </c>
      <c r="R5156" s="176">
        <v>1913.78</v>
      </c>
      <c r="S5156" s="176"/>
      <c r="T5156" s="190">
        <v>0</v>
      </c>
      <c r="U5156" s="191">
        <v>0</v>
      </c>
      <c r="V5156" s="191">
        <v>16635.14</v>
      </c>
      <c r="W5156">
        <v>242</v>
      </c>
      <c r="X5156" s="186" t="s">
        <v>2035</v>
      </c>
      <c r="Y5156" s="187" t="s">
        <v>55</v>
      </c>
      <c r="Z5156" s="311">
        <v>268</v>
      </c>
      <c r="AB5156" t="str">
        <f>IF(Table1[[#This Row],[TIPO2]]="costo", VLOOKUP(Table1[[#This Row],[PARTIDA PRESUPUESTAL]],'Cost Report'!G:G,1,0),"Balance")</f>
        <v>1499-001</v>
      </c>
      <c r="AD5156" s="159">
        <f>+Table1[[#This Row],[SUBTOTAL]]+Table1[[#This Row],[IVA]]-Table1[[#This Row],[RET IVA]]-Table1[[#This Row],[RET ISR]]-Table1[[#This Row],[TOTAL]]</f>
        <v>0</v>
      </c>
      <c r="AK5156" s="306" t="str">
        <f>IF(ISNUMBER(Table1[[#This Row],[FECHA DE RECIBIDO]]), Table1[[#This Row],[FECHA DE RECIBIDO]]-DATE(2023,8,30), "")</f>
        <v/>
      </c>
    </row>
    <row r="5157" spans="1:37" ht="16.05" customHeight="1">
      <c r="A5157" s="172" t="s">
        <v>4831</v>
      </c>
      <c r="B5157" s="178">
        <v>1807</v>
      </c>
      <c r="C5157" s="179" t="s">
        <v>2202</v>
      </c>
      <c r="D5157">
        <v>3475</v>
      </c>
      <c r="E5157" s="125" t="s">
        <v>3354</v>
      </c>
      <c r="F5157" s="178" t="s">
        <v>1371</v>
      </c>
      <c r="G5157" s="178" t="s">
        <v>2065</v>
      </c>
      <c r="H5157">
        <v>454</v>
      </c>
      <c r="I5157" s="178" t="s">
        <v>1546</v>
      </c>
      <c r="J5157" s="320" t="s">
        <v>214</v>
      </c>
      <c r="K5157" s="178" t="s">
        <v>4871</v>
      </c>
      <c r="L5157" s="125" t="s">
        <v>3306</v>
      </c>
      <c r="M5157">
        <v>1110</v>
      </c>
      <c r="N5157" s="182">
        <v>1</v>
      </c>
      <c r="O5157">
        <v>1480</v>
      </c>
      <c r="P5157" s="132" t="s">
        <v>77</v>
      </c>
      <c r="Q5157" s="176">
        <v>18401.7</v>
      </c>
      <c r="R5157" s="176">
        <v>2392.2199999999998</v>
      </c>
      <c r="S5157" s="176"/>
      <c r="T5157" s="190">
        <v>0</v>
      </c>
      <c r="U5157" s="191">
        <v>0</v>
      </c>
      <c r="V5157" s="191">
        <v>20793.920000000002</v>
      </c>
      <c r="W5157">
        <v>242</v>
      </c>
      <c r="X5157" s="186" t="s">
        <v>2035</v>
      </c>
      <c r="Y5157" s="187" t="s">
        <v>55</v>
      </c>
      <c r="Z5157" s="311">
        <v>268</v>
      </c>
      <c r="AB5157" t="str">
        <f>IF(Table1[[#This Row],[TIPO2]]="costo", VLOOKUP(Table1[[#This Row],[PARTIDA PRESUPUESTAL]],'Cost Report'!G:G,1,0),"Balance")</f>
        <v>1403-073</v>
      </c>
      <c r="AD5157" s="159">
        <f>+Table1[[#This Row],[SUBTOTAL]]+Table1[[#This Row],[IVA]]-Table1[[#This Row],[RET IVA]]-Table1[[#This Row],[RET ISR]]-Table1[[#This Row],[TOTAL]]</f>
        <v>0</v>
      </c>
      <c r="AK5157" s="306" t="str">
        <f>IF(ISNUMBER(Table1[[#This Row],[FECHA DE RECIBIDO]]), Table1[[#This Row],[FECHA DE RECIBIDO]]-DATE(2023,8,30), "")</f>
        <v/>
      </c>
    </row>
    <row r="5158" spans="1:37" ht="16.05" customHeight="1">
      <c r="A5158" s="172" t="s">
        <v>4831</v>
      </c>
      <c r="B5158" s="178">
        <v>1807</v>
      </c>
      <c r="C5158" s="179" t="s">
        <v>2203</v>
      </c>
      <c r="D5158">
        <v>3475</v>
      </c>
      <c r="E5158" s="125" t="s">
        <v>3354</v>
      </c>
      <c r="F5158" s="178" t="s">
        <v>1371</v>
      </c>
      <c r="G5158" s="178" t="s">
        <v>2065</v>
      </c>
      <c r="H5158">
        <v>454</v>
      </c>
      <c r="I5158" s="178" t="s">
        <v>1546</v>
      </c>
      <c r="J5158" s="320" t="s">
        <v>214</v>
      </c>
      <c r="K5158" s="178" t="s">
        <v>4871</v>
      </c>
      <c r="L5158" s="125" t="s">
        <v>3306</v>
      </c>
      <c r="M5158">
        <v>1110</v>
      </c>
      <c r="N5158" s="182">
        <v>1</v>
      </c>
      <c r="O5158">
        <v>1480</v>
      </c>
      <c r="P5158" s="132" t="s">
        <v>77</v>
      </c>
      <c r="Q5158" s="176">
        <v>7551.93</v>
      </c>
      <c r="R5158" s="176">
        <v>981.75</v>
      </c>
      <c r="S5158" s="176"/>
      <c r="T5158" s="190">
        <v>0</v>
      </c>
      <c r="U5158" s="191">
        <v>0</v>
      </c>
      <c r="V5158" s="191">
        <v>8533.68</v>
      </c>
      <c r="W5158">
        <v>242</v>
      </c>
      <c r="X5158" s="186" t="s">
        <v>2035</v>
      </c>
      <c r="Y5158" s="187" t="s">
        <v>55</v>
      </c>
      <c r="Z5158" s="311">
        <v>268</v>
      </c>
      <c r="AB5158" t="str">
        <f>IF(Table1[[#This Row],[TIPO2]]="costo", VLOOKUP(Table1[[#This Row],[PARTIDA PRESUPUESTAL]],'Cost Report'!G:G,1,0),"Balance")</f>
        <v>1403-074</v>
      </c>
      <c r="AD5158" s="159">
        <f>+Table1[[#This Row],[SUBTOTAL]]+Table1[[#This Row],[IVA]]-Table1[[#This Row],[RET IVA]]-Table1[[#This Row],[RET ISR]]-Table1[[#This Row],[TOTAL]]</f>
        <v>0</v>
      </c>
      <c r="AK5158" s="306" t="str">
        <f>IF(ISNUMBER(Table1[[#This Row],[FECHA DE RECIBIDO]]), Table1[[#This Row],[FECHA DE RECIBIDO]]-DATE(2023,8,30), "")</f>
        <v/>
      </c>
    </row>
    <row r="5159" spans="1:37" ht="16.05" customHeight="1">
      <c r="A5159" s="172" t="s">
        <v>4831</v>
      </c>
      <c r="B5159" s="178">
        <v>1807</v>
      </c>
      <c r="C5159" s="179" t="s">
        <v>2204</v>
      </c>
      <c r="D5159">
        <v>3475</v>
      </c>
      <c r="E5159" s="125" t="s">
        <v>3354</v>
      </c>
      <c r="F5159" s="178" t="s">
        <v>1371</v>
      </c>
      <c r="G5159" s="178" t="s">
        <v>2065</v>
      </c>
      <c r="H5159">
        <v>454</v>
      </c>
      <c r="I5159" s="178" t="s">
        <v>1546</v>
      </c>
      <c r="J5159" s="320" t="s">
        <v>214</v>
      </c>
      <c r="K5159" s="178" t="s">
        <v>4871</v>
      </c>
      <c r="L5159" s="125" t="s">
        <v>3306</v>
      </c>
      <c r="M5159">
        <v>1110</v>
      </c>
      <c r="N5159" s="182">
        <v>1</v>
      </c>
      <c r="O5159">
        <v>1480</v>
      </c>
      <c r="P5159" s="132" t="s">
        <v>77</v>
      </c>
      <c r="Q5159" s="176">
        <v>6974.42</v>
      </c>
      <c r="R5159" s="176">
        <v>906.67</v>
      </c>
      <c r="S5159" s="176"/>
      <c r="T5159" s="190">
        <v>0</v>
      </c>
      <c r="U5159" s="191">
        <v>0</v>
      </c>
      <c r="V5159" s="191">
        <v>7881.09</v>
      </c>
      <c r="W5159">
        <v>242</v>
      </c>
      <c r="X5159" s="186" t="s">
        <v>2035</v>
      </c>
      <c r="Y5159" s="187" t="s">
        <v>55</v>
      </c>
      <c r="Z5159" s="311">
        <v>268</v>
      </c>
      <c r="AB5159" t="str">
        <f>IF(Table1[[#This Row],[TIPO2]]="costo", VLOOKUP(Table1[[#This Row],[PARTIDA PRESUPUESTAL]],'Cost Report'!G:G,1,0),"Balance")</f>
        <v>1403-075</v>
      </c>
      <c r="AD5159" s="159">
        <f>+Table1[[#This Row],[SUBTOTAL]]+Table1[[#This Row],[IVA]]-Table1[[#This Row],[RET IVA]]-Table1[[#This Row],[RET ISR]]-Table1[[#This Row],[TOTAL]]</f>
        <v>0</v>
      </c>
      <c r="AK5159" s="306" t="str">
        <f>IF(ISNUMBER(Table1[[#This Row],[FECHA DE RECIBIDO]]), Table1[[#This Row],[FECHA DE RECIBIDO]]-DATE(2023,8,30), "")</f>
        <v/>
      </c>
    </row>
    <row r="5160" spans="1:37" ht="16.05" customHeight="1">
      <c r="A5160" s="172" t="s">
        <v>4831</v>
      </c>
      <c r="B5160" s="178">
        <v>1807</v>
      </c>
      <c r="C5160" s="179" t="s">
        <v>2219</v>
      </c>
      <c r="D5160">
        <v>3475</v>
      </c>
      <c r="E5160" s="125" t="s">
        <v>3354</v>
      </c>
      <c r="F5160" s="178" t="s">
        <v>1371</v>
      </c>
      <c r="G5160" s="178" t="s">
        <v>2065</v>
      </c>
      <c r="H5160">
        <v>454</v>
      </c>
      <c r="I5160" s="178" t="s">
        <v>1546</v>
      </c>
      <c r="J5160" s="320" t="s">
        <v>214</v>
      </c>
      <c r="K5160" s="178" t="s">
        <v>4871</v>
      </c>
      <c r="L5160" s="125" t="s">
        <v>3306</v>
      </c>
      <c r="M5160">
        <v>1110</v>
      </c>
      <c r="N5160" s="182">
        <v>1</v>
      </c>
      <c r="O5160">
        <v>1480</v>
      </c>
      <c r="P5160" s="132" t="s">
        <v>77</v>
      </c>
      <c r="Q5160" s="176">
        <v>5514.28</v>
      </c>
      <c r="R5160" s="176">
        <v>716.86</v>
      </c>
      <c r="S5160" s="176"/>
      <c r="T5160" s="190">
        <v>0</v>
      </c>
      <c r="U5160" s="191">
        <v>0</v>
      </c>
      <c r="V5160" s="191">
        <v>6231.1399999999994</v>
      </c>
      <c r="W5160">
        <v>242</v>
      </c>
      <c r="X5160" s="186" t="s">
        <v>2035</v>
      </c>
      <c r="Y5160" s="187" t="s">
        <v>55</v>
      </c>
      <c r="Z5160" s="311">
        <v>268</v>
      </c>
      <c r="AB5160" t="str">
        <f>IF(Table1[[#This Row],[TIPO2]]="costo", VLOOKUP(Table1[[#This Row],[PARTIDA PRESUPUESTAL]],'Cost Report'!G:G,1,0),"Balance")</f>
        <v>1406-004</v>
      </c>
      <c r="AD5160" s="159">
        <f>+Table1[[#This Row],[SUBTOTAL]]+Table1[[#This Row],[IVA]]-Table1[[#This Row],[RET IVA]]-Table1[[#This Row],[RET ISR]]-Table1[[#This Row],[TOTAL]]</f>
        <v>0</v>
      </c>
      <c r="AK5160" s="306" t="str">
        <f>IF(ISNUMBER(Table1[[#This Row],[FECHA DE RECIBIDO]]), Table1[[#This Row],[FECHA DE RECIBIDO]]-DATE(2023,8,30), "")</f>
        <v/>
      </c>
    </row>
    <row r="5161" spans="1:37" ht="16.05" customHeight="1">
      <c r="A5161" s="172" t="s">
        <v>4831</v>
      </c>
      <c r="B5161" s="178">
        <v>1807</v>
      </c>
      <c r="C5161" s="179" t="s">
        <v>2220</v>
      </c>
      <c r="D5161">
        <v>3475</v>
      </c>
      <c r="E5161" s="125" t="s">
        <v>3354</v>
      </c>
      <c r="F5161" s="178" t="s">
        <v>1371</v>
      </c>
      <c r="G5161" s="178" t="s">
        <v>2065</v>
      </c>
      <c r="H5161">
        <v>454</v>
      </c>
      <c r="I5161" s="178" t="s">
        <v>1546</v>
      </c>
      <c r="J5161" s="320" t="s">
        <v>214</v>
      </c>
      <c r="K5161" s="178" t="s">
        <v>4871</v>
      </c>
      <c r="L5161" s="125" t="s">
        <v>3306</v>
      </c>
      <c r="M5161">
        <v>1110</v>
      </c>
      <c r="N5161" s="182">
        <v>1</v>
      </c>
      <c r="O5161">
        <v>1480</v>
      </c>
      <c r="P5161" s="132" t="s">
        <v>77</v>
      </c>
      <c r="Q5161" s="176">
        <v>10266.06</v>
      </c>
      <c r="R5161" s="176">
        <v>1334.59</v>
      </c>
      <c r="S5161" s="176"/>
      <c r="T5161" s="190">
        <v>0</v>
      </c>
      <c r="U5161" s="191">
        <v>0</v>
      </c>
      <c r="V5161" s="191">
        <v>11600.65</v>
      </c>
      <c r="W5161">
        <v>242</v>
      </c>
      <c r="X5161" s="186" t="s">
        <v>2035</v>
      </c>
      <c r="Y5161" s="187" t="s">
        <v>55</v>
      </c>
      <c r="Z5161" s="311">
        <v>268</v>
      </c>
      <c r="AB5161" t="str">
        <f>IF(Table1[[#This Row],[TIPO2]]="costo", VLOOKUP(Table1[[#This Row],[PARTIDA PRESUPUESTAL]],'Cost Report'!G:G,1,0),"Balance")</f>
        <v>1406-005</v>
      </c>
      <c r="AD5161" s="159">
        <f>+Table1[[#This Row],[SUBTOTAL]]+Table1[[#This Row],[IVA]]-Table1[[#This Row],[RET IVA]]-Table1[[#This Row],[RET ISR]]-Table1[[#This Row],[TOTAL]]</f>
        <v>0</v>
      </c>
      <c r="AK5161" s="306" t="str">
        <f>IF(ISNUMBER(Table1[[#This Row],[FECHA DE RECIBIDO]]), Table1[[#This Row],[FECHA DE RECIBIDO]]-DATE(2023,8,30), "")</f>
        <v/>
      </c>
    </row>
    <row r="5162" spans="1:37" ht="16.05" customHeight="1">
      <c r="A5162" s="172" t="s">
        <v>4831</v>
      </c>
      <c r="B5162" s="178">
        <v>1807</v>
      </c>
      <c r="C5162" s="179" t="s">
        <v>2221</v>
      </c>
      <c r="D5162">
        <v>3475</v>
      </c>
      <c r="E5162" s="125" t="s">
        <v>3354</v>
      </c>
      <c r="F5162" s="178" t="s">
        <v>1371</v>
      </c>
      <c r="G5162" s="178" t="s">
        <v>2065</v>
      </c>
      <c r="H5162">
        <v>454</v>
      </c>
      <c r="I5162" s="178" t="s">
        <v>1546</v>
      </c>
      <c r="J5162" s="320" t="s">
        <v>214</v>
      </c>
      <c r="K5162" s="178" t="s">
        <v>4871</v>
      </c>
      <c r="L5162" s="125" t="s">
        <v>3306</v>
      </c>
      <c r="M5162">
        <v>1110</v>
      </c>
      <c r="N5162" s="182">
        <v>1</v>
      </c>
      <c r="O5162">
        <v>1480</v>
      </c>
      <c r="P5162" s="132" t="s">
        <v>77</v>
      </c>
      <c r="Q5162" s="176">
        <v>21519.58</v>
      </c>
      <c r="R5162" s="176">
        <v>2797.55</v>
      </c>
      <c r="S5162" s="176"/>
      <c r="T5162" s="190">
        <v>0</v>
      </c>
      <c r="U5162" s="191">
        <v>0</v>
      </c>
      <c r="V5162" s="191">
        <v>24317.13</v>
      </c>
      <c r="W5162">
        <v>242</v>
      </c>
      <c r="X5162" s="186" t="s">
        <v>2035</v>
      </c>
      <c r="Y5162" s="187" t="s">
        <v>55</v>
      </c>
      <c r="Z5162" s="311">
        <v>268</v>
      </c>
      <c r="AB5162" t="str">
        <f>IF(Table1[[#This Row],[TIPO2]]="costo", VLOOKUP(Table1[[#This Row],[PARTIDA PRESUPUESTAL]],'Cost Report'!G:G,1,0),"Balance")</f>
        <v>1406-006</v>
      </c>
      <c r="AD5162" s="159">
        <f>+Table1[[#This Row],[SUBTOTAL]]+Table1[[#This Row],[IVA]]-Table1[[#This Row],[RET IVA]]-Table1[[#This Row],[RET ISR]]-Table1[[#This Row],[TOTAL]]</f>
        <v>0</v>
      </c>
      <c r="AK5162" s="306" t="str">
        <f>IF(ISNUMBER(Table1[[#This Row],[FECHA DE RECIBIDO]]), Table1[[#This Row],[FECHA DE RECIBIDO]]-DATE(2023,8,30), "")</f>
        <v/>
      </c>
    </row>
    <row r="5163" spans="1:37" ht="16.05" customHeight="1">
      <c r="A5163" s="172" t="s">
        <v>4831</v>
      </c>
      <c r="B5163" s="178">
        <v>1807</v>
      </c>
      <c r="C5163" s="179" t="s">
        <v>369</v>
      </c>
      <c r="D5163">
        <v>3475</v>
      </c>
      <c r="E5163" s="125" t="s">
        <v>3354</v>
      </c>
      <c r="F5163" s="178" t="s">
        <v>1371</v>
      </c>
      <c r="G5163" s="178" t="s">
        <v>2065</v>
      </c>
      <c r="H5163">
        <v>454</v>
      </c>
      <c r="I5163" s="178" t="s">
        <v>1546</v>
      </c>
      <c r="J5163" s="320" t="s">
        <v>214</v>
      </c>
      <c r="K5163" s="178" t="s">
        <v>4871</v>
      </c>
      <c r="L5163" s="125" t="s">
        <v>3306</v>
      </c>
      <c r="M5163">
        <v>1110</v>
      </c>
      <c r="N5163" s="182">
        <v>1</v>
      </c>
      <c r="O5163">
        <v>1480</v>
      </c>
      <c r="P5163" s="132" t="s">
        <v>77</v>
      </c>
      <c r="Q5163" s="176">
        <v>73606.8</v>
      </c>
      <c r="R5163" s="176">
        <v>9568.8799999999992</v>
      </c>
      <c r="S5163" s="176"/>
      <c r="T5163" s="190">
        <v>0</v>
      </c>
      <c r="U5163" s="191">
        <v>0</v>
      </c>
      <c r="V5163" s="191">
        <v>83175.680000000008</v>
      </c>
      <c r="W5163">
        <v>242</v>
      </c>
      <c r="X5163" s="186" t="s">
        <v>2035</v>
      </c>
      <c r="Y5163" s="187" t="s">
        <v>55</v>
      </c>
      <c r="Z5163" s="311">
        <v>268</v>
      </c>
      <c r="AB5163" t="str">
        <f>IF(Table1[[#This Row],[TIPO2]]="costo", VLOOKUP(Table1[[#This Row],[PARTIDA PRESUPUESTAL]],'Cost Report'!G:G,1,0),"Balance")</f>
        <v>1410-009</v>
      </c>
      <c r="AD5163" s="159">
        <f>+Table1[[#This Row],[SUBTOTAL]]+Table1[[#This Row],[IVA]]-Table1[[#This Row],[RET IVA]]-Table1[[#This Row],[RET ISR]]-Table1[[#This Row],[TOTAL]]</f>
        <v>0</v>
      </c>
      <c r="AK5163" s="306" t="str">
        <f>IF(ISNUMBER(Table1[[#This Row],[FECHA DE RECIBIDO]]), Table1[[#This Row],[FECHA DE RECIBIDO]]-DATE(2023,8,30), "")</f>
        <v/>
      </c>
    </row>
    <row r="5164" spans="1:37" ht="16.05" customHeight="1">
      <c r="A5164" s="172" t="s">
        <v>4831</v>
      </c>
      <c r="B5164" s="178">
        <v>1807</v>
      </c>
      <c r="C5164" s="179" t="s">
        <v>371</v>
      </c>
      <c r="D5164">
        <v>3475</v>
      </c>
      <c r="E5164" s="125" t="s">
        <v>3354</v>
      </c>
      <c r="F5164" s="178" t="s">
        <v>1371</v>
      </c>
      <c r="G5164" s="178" t="s">
        <v>2065</v>
      </c>
      <c r="H5164">
        <v>454</v>
      </c>
      <c r="I5164" s="178" t="s">
        <v>1546</v>
      </c>
      <c r="J5164" s="320" t="s">
        <v>214</v>
      </c>
      <c r="K5164" s="178" t="s">
        <v>4871</v>
      </c>
      <c r="L5164" s="125" t="s">
        <v>3306</v>
      </c>
      <c r="M5164">
        <v>1110</v>
      </c>
      <c r="N5164" s="182">
        <v>1</v>
      </c>
      <c r="O5164">
        <v>1480</v>
      </c>
      <c r="P5164" s="132" t="s">
        <v>77</v>
      </c>
      <c r="Q5164" s="176">
        <v>13128.32</v>
      </c>
      <c r="R5164" s="176">
        <v>1706.65</v>
      </c>
      <c r="S5164" s="176"/>
      <c r="T5164" s="190">
        <v>0</v>
      </c>
      <c r="U5164" s="191">
        <v>0</v>
      </c>
      <c r="V5164" s="191">
        <v>14834.97</v>
      </c>
      <c r="W5164">
        <v>242</v>
      </c>
      <c r="X5164" s="186" t="s">
        <v>2035</v>
      </c>
      <c r="Y5164" s="187" t="s">
        <v>55</v>
      </c>
      <c r="Z5164" s="311">
        <v>268</v>
      </c>
      <c r="AB5164" t="str">
        <f>IF(Table1[[#This Row],[TIPO2]]="costo", VLOOKUP(Table1[[#This Row],[PARTIDA PRESUPUESTAL]],'Cost Report'!G:G,1,0),"Balance")</f>
        <v>1410-011</v>
      </c>
      <c r="AD5164" s="159">
        <f>+Table1[[#This Row],[SUBTOTAL]]+Table1[[#This Row],[IVA]]-Table1[[#This Row],[RET IVA]]-Table1[[#This Row],[RET ISR]]-Table1[[#This Row],[TOTAL]]</f>
        <v>0</v>
      </c>
      <c r="AK5164" s="306" t="str">
        <f>IF(ISNUMBER(Table1[[#This Row],[FECHA DE RECIBIDO]]), Table1[[#This Row],[FECHA DE RECIBIDO]]-DATE(2023,8,30), "")</f>
        <v/>
      </c>
    </row>
    <row r="5165" spans="1:37" ht="16.05" customHeight="1">
      <c r="A5165" s="172" t="s">
        <v>4831</v>
      </c>
      <c r="B5165" s="178">
        <v>1807</v>
      </c>
      <c r="C5165" s="179" t="s">
        <v>1416</v>
      </c>
      <c r="D5165">
        <v>3475</v>
      </c>
      <c r="E5165" s="125" t="s">
        <v>3354</v>
      </c>
      <c r="F5165" s="178" t="s">
        <v>1371</v>
      </c>
      <c r="G5165" s="178" t="s">
        <v>2065</v>
      </c>
      <c r="H5165">
        <v>454</v>
      </c>
      <c r="I5165" s="178" t="s">
        <v>1546</v>
      </c>
      <c r="J5165" s="320" t="s">
        <v>214</v>
      </c>
      <c r="K5165" s="178" t="s">
        <v>4871</v>
      </c>
      <c r="L5165" s="125" t="s">
        <v>3306</v>
      </c>
      <c r="M5165">
        <v>1110</v>
      </c>
      <c r="N5165" s="182">
        <v>1</v>
      </c>
      <c r="O5165">
        <v>1480</v>
      </c>
      <c r="P5165" s="132" t="s">
        <v>77</v>
      </c>
      <c r="Q5165" s="176">
        <v>239432.84</v>
      </c>
      <c r="R5165" s="176">
        <v>30149.91</v>
      </c>
      <c r="S5165" s="176"/>
      <c r="T5165" s="190">
        <v>0</v>
      </c>
      <c r="U5165" s="191">
        <v>0</v>
      </c>
      <c r="V5165" s="191">
        <v>269582.75</v>
      </c>
      <c r="W5165">
        <v>242</v>
      </c>
      <c r="X5165" s="186" t="s">
        <v>2035</v>
      </c>
      <c r="Y5165" s="187" t="s">
        <v>55</v>
      </c>
      <c r="Z5165" s="311">
        <v>268</v>
      </c>
      <c r="AB5165" t="str">
        <f>IF(Table1[[#This Row],[TIPO2]]="costo", VLOOKUP(Table1[[#This Row],[PARTIDA PRESUPUESTAL]],'Cost Report'!G:G,1,0),"Balance")</f>
        <v>1499-001</v>
      </c>
      <c r="AD5165" s="159">
        <f>+Table1[[#This Row],[SUBTOTAL]]+Table1[[#This Row],[IVA]]-Table1[[#This Row],[RET IVA]]-Table1[[#This Row],[RET ISR]]-Table1[[#This Row],[TOTAL]]</f>
        <v>0</v>
      </c>
      <c r="AK5165" s="306" t="str">
        <f>IF(ISNUMBER(Table1[[#This Row],[FECHA DE RECIBIDO]]), Table1[[#This Row],[FECHA DE RECIBIDO]]-DATE(2023,8,30), "")</f>
        <v/>
      </c>
    </row>
    <row r="5166" spans="1:37" ht="16.05" customHeight="1">
      <c r="A5166" s="172"/>
      <c r="B5166" s="178">
        <v>1808</v>
      </c>
      <c r="C5166" s="179" t="s">
        <v>279</v>
      </c>
      <c r="D5166">
        <v>3476</v>
      </c>
      <c r="E5166" s="125" t="s">
        <v>3354</v>
      </c>
      <c r="F5166" s="178" t="s">
        <v>1371</v>
      </c>
      <c r="G5166" s="178" t="s">
        <v>2065</v>
      </c>
      <c r="H5166">
        <v>454</v>
      </c>
      <c r="I5166" s="178" t="s">
        <v>1546</v>
      </c>
      <c r="J5166" s="320" t="s">
        <v>214</v>
      </c>
      <c r="K5166" s="178" t="s">
        <v>4871</v>
      </c>
      <c r="L5166" s="125" t="s">
        <v>3306</v>
      </c>
      <c r="M5166">
        <v>1110</v>
      </c>
      <c r="N5166" s="182">
        <v>1</v>
      </c>
      <c r="O5166">
        <v>1481</v>
      </c>
      <c r="P5166" s="132" t="s">
        <v>77</v>
      </c>
      <c r="Q5166" s="176">
        <v>22082.04</v>
      </c>
      <c r="R5166" s="176">
        <v>2870.67</v>
      </c>
      <c r="S5166" s="176"/>
      <c r="T5166" s="190">
        <v>0</v>
      </c>
      <c r="U5166" s="191">
        <v>0</v>
      </c>
      <c r="V5166" s="191">
        <v>24952.71</v>
      </c>
      <c r="W5166">
        <v>242</v>
      </c>
      <c r="X5166" s="186" t="s">
        <v>2035</v>
      </c>
      <c r="Y5166" s="187" t="s">
        <v>55</v>
      </c>
      <c r="Z5166" s="311">
        <v>268</v>
      </c>
      <c r="AB5166" t="str">
        <f>IF(Table1[[#This Row],[TIPO2]]="costo", VLOOKUP(Table1[[#This Row],[PARTIDA PRESUPUESTAL]],'Cost Report'!G:G,1,0),"Balance")</f>
        <v>1401-003</v>
      </c>
      <c r="AD5166" s="159">
        <f>+Table1[[#This Row],[SUBTOTAL]]+Table1[[#This Row],[IVA]]-Table1[[#This Row],[RET IVA]]-Table1[[#This Row],[RET ISR]]-Table1[[#This Row],[TOTAL]]</f>
        <v>0</v>
      </c>
      <c r="AK5166" s="306" t="str">
        <f>IF(ISNUMBER(Table1[[#This Row],[FECHA DE RECIBIDO]]), Table1[[#This Row],[FECHA DE RECIBIDO]]-DATE(2023,8,30), "")</f>
        <v/>
      </c>
    </row>
    <row r="5167" spans="1:37" ht="16.05" customHeight="1">
      <c r="A5167" s="172"/>
      <c r="B5167" s="178">
        <v>1808</v>
      </c>
      <c r="C5167" s="179" t="s">
        <v>282</v>
      </c>
      <c r="D5167">
        <v>3476</v>
      </c>
      <c r="E5167" s="125" t="s">
        <v>3354</v>
      </c>
      <c r="F5167" s="178" t="s">
        <v>1371</v>
      </c>
      <c r="G5167" s="178" t="s">
        <v>2065</v>
      </c>
      <c r="H5167">
        <v>454</v>
      </c>
      <c r="I5167" s="178" t="s">
        <v>1546</v>
      </c>
      <c r="J5167" s="320" t="s">
        <v>214</v>
      </c>
      <c r="K5167" s="178" t="s">
        <v>4871</v>
      </c>
      <c r="L5167" s="125" t="s">
        <v>3306</v>
      </c>
      <c r="M5167">
        <v>1110</v>
      </c>
      <c r="N5167" s="182">
        <v>1</v>
      </c>
      <c r="O5167">
        <v>1481</v>
      </c>
      <c r="P5167" s="132" t="s">
        <v>77</v>
      </c>
      <c r="Q5167" s="176">
        <v>4500.84</v>
      </c>
      <c r="R5167" s="176">
        <v>585.11</v>
      </c>
      <c r="S5167" s="176"/>
      <c r="T5167" s="190">
        <v>0</v>
      </c>
      <c r="U5167" s="191">
        <v>0</v>
      </c>
      <c r="V5167" s="191">
        <v>5085.95</v>
      </c>
      <c r="W5167">
        <v>242</v>
      </c>
      <c r="X5167" s="186" t="s">
        <v>2035</v>
      </c>
      <c r="Y5167" s="187" t="s">
        <v>55</v>
      </c>
      <c r="Z5167" s="311">
        <v>268</v>
      </c>
      <c r="AB5167" t="str">
        <f>IF(Table1[[#This Row],[TIPO2]]="costo", VLOOKUP(Table1[[#This Row],[PARTIDA PRESUPUESTAL]],'Cost Report'!G:G,1,0),"Balance")</f>
        <v>1401-006</v>
      </c>
      <c r="AD5167" s="159">
        <f>+Table1[[#This Row],[SUBTOTAL]]+Table1[[#This Row],[IVA]]-Table1[[#This Row],[RET IVA]]-Table1[[#This Row],[RET ISR]]-Table1[[#This Row],[TOTAL]]</f>
        <v>0</v>
      </c>
      <c r="AK5167" s="306" t="str">
        <f>IF(ISNUMBER(Table1[[#This Row],[FECHA DE RECIBIDO]]), Table1[[#This Row],[FECHA DE RECIBIDO]]-DATE(2023,8,30), "")</f>
        <v/>
      </c>
    </row>
    <row r="5168" spans="1:37" ht="16.05" customHeight="1">
      <c r="A5168" s="172"/>
      <c r="B5168" s="178">
        <v>1808</v>
      </c>
      <c r="C5168" s="179" t="s">
        <v>283</v>
      </c>
      <c r="D5168">
        <v>3476</v>
      </c>
      <c r="E5168" s="125" t="s">
        <v>3354</v>
      </c>
      <c r="F5168" s="178" t="s">
        <v>1371</v>
      </c>
      <c r="G5168" s="178" t="s">
        <v>2065</v>
      </c>
      <c r="H5168">
        <v>454</v>
      </c>
      <c r="I5168" s="178" t="s">
        <v>1546</v>
      </c>
      <c r="J5168" s="320" t="s">
        <v>214</v>
      </c>
      <c r="K5168" s="178" t="s">
        <v>4871</v>
      </c>
      <c r="L5168" s="125" t="s">
        <v>3306</v>
      </c>
      <c r="M5168">
        <v>1110</v>
      </c>
      <c r="N5168" s="182">
        <v>1</v>
      </c>
      <c r="O5168">
        <v>1481</v>
      </c>
      <c r="P5168" s="132" t="s">
        <v>77</v>
      </c>
      <c r="Q5168" s="176">
        <v>15589.88</v>
      </c>
      <c r="R5168" s="176">
        <v>2026.68</v>
      </c>
      <c r="S5168" s="176"/>
      <c r="T5168" s="190">
        <v>0</v>
      </c>
      <c r="U5168" s="191">
        <v>0</v>
      </c>
      <c r="V5168" s="191">
        <v>17616.559999999998</v>
      </c>
      <c r="W5168">
        <v>242</v>
      </c>
      <c r="X5168" s="186" t="s">
        <v>2035</v>
      </c>
      <c r="Y5168" s="187" t="s">
        <v>55</v>
      </c>
      <c r="Z5168" s="311">
        <v>268</v>
      </c>
      <c r="AB5168" t="str">
        <f>IF(Table1[[#This Row],[TIPO2]]="costo", VLOOKUP(Table1[[#This Row],[PARTIDA PRESUPUESTAL]],'Cost Report'!G:G,1,0),"Balance")</f>
        <v>1401-007</v>
      </c>
      <c r="AD5168" s="159">
        <f>+Table1[[#This Row],[SUBTOTAL]]+Table1[[#This Row],[IVA]]-Table1[[#This Row],[RET IVA]]-Table1[[#This Row],[RET ISR]]-Table1[[#This Row],[TOTAL]]</f>
        <v>0</v>
      </c>
      <c r="AK5168" s="306" t="str">
        <f>IF(ISNUMBER(Table1[[#This Row],[FECHA DE RECIBIDO]]), Table1[[#This Row],[FECHA DE RECIBIDO]]-DATE(2023,8,30), "")</f>
        <v/>
      </c>
    </row>
    <row r="5169" spans="1:37" ht="16.05" customHeight="1">
      <c r="A5169" s="172"/>
      <c r="B5169" s="178">
        <v>1808</v>
      </c>
      <c r="C5169" s="179" t="s">
        <v>286</v>
      </c>
      <c r="D5169">
        <v>3476</v>
      </c>
      <c r="E5169" s="125" t="s">
        <v>3354</v>
      </c>
      <c r="F5169" s="178" t="s">
        <v>1371</v>
      </c>
      <c r="G5169" s="178" t="s">
        <v>2065</v>
      </c>
      <c r="H5169">
        <v>454</v>
      </c>
      <c r="I5169" s="178" t="s">
        <v>1546</v>
      </c>
      <c r="J5169" s="320" t="s">
        <v>214</v>
      </c>
      <c r="K5169" s="178" t="s">
        <v>4871</v>
      </c>
      <c r="L5169" s="125" t="s">
        <v>3306</v>
      </c>
      <c r="M5169">
        <v>1110</v>
      </c>
      <c r="N5169" s="182">
        <v>1</v>
      </c>
      <c r="O5169">
        <v>1481</v>
      </c>
      <c r="P5169" s="132" t="s">
        <v>77</v>
      </c>
      <c r="Q5169" s="176">
        <v>44164.08</v>
      </c>
      <c r="R5169" s="176">
        <v>5741.33</v>
      </c>
      <c r="S5169" s="176"/>
      <c r="T5169" s="190">
        <v>0</v>
      </c>
      <c r="U5169" s="191">
        <v>0</v>
      </c>
      <c r="V5169" s="191">
        <v>49905.41</v>
      </c>
      <c r="W5169">
        <v>242</v>
      </c>
      <c r="X5169" s="186" t="s">
        <v>2035</v>
      </c>
      <c r="Y5169" s="187" t="s">
        <v>55</v>
      </c>
      <c r="Z5169" s="311">
        <v>268</v>
      </c>
      <c r="AB5169" t="str">
        <f>IF(Table1[[#This Row],[TIPO2]]="costo", VLOOKUP(Table1[[#This Row],[PARTIDA PRESUPUESTAL]],'Cost Report'!G:G,1,0),"Balance")</f>
        <v>1401-012</v>
      </c>
      <c r="AD5169" s="159">
        <f>+Table1[[#This Row],[SUBTOTAL]]+Table1[[#This Row],[IVA]]-Table1[[#This Row],[RET IVA]]-Table1[[#This Row],[RET ISR]]-Table1[[#This Row],[TOTAL]]</f>
        <v>0</v>
      </c>
      <c r="AK5169" s="306" t="str">
        <f>IF(ISNUMBER(Table1[[#This Row],[FECHA DE RECIBIDO]]), Table1[[#This Row],[FECHA DE RECIBIDO]]-DATE(2023,8,30), "")</f>
        <v/>
      </c>
    </row>
    <row r="5170" spans="1:37" ht="16.05" customHeight="1">
      <c r="A5170" s="172" t="s">
        <v>4832</v>
      </c>
      <c r="B5170" s="178">
        <v>1809</v>
      </c>
      <c r="C5170" s="179" t="s">
        <v>2966</v>
      </c>
      <c r="D5170">
        <v>3477</v>
      </c>
      <c r="E5170" s="125" t="s">
        <v>1598</v>
      </c>
      <c r="F5170" s="178" t="s">
        <v>1607</v>
      </c>
      <c r="G5170" s="178" t="s">
        <v>134</v>
      </c>
      <c r="H5170">
        <v>851</v>
      </c>
      <c r="I5170" s="178" t="s">
        <v>1546</v>
      </c>
      <c r="J5170" s="320" t="s">
        <v>214</v>
      </c>
      <c r="K5170" s="178" t="s">
        <v>4871</v>
      </c>
      <c r="L5170" s="125" t="s">
        <v>3306</v>
      </c>
      <c r="M5170">
        <v>1181</v>
      </c>
      <c r="N5170" s="182">
        <v>1</v>
      </c>
      <c r="O5170">
        <v>3324</v>
      </c>
      <c r="P5170" s="132" t="s">
        <v>77</v>
      </c>
      <c r="Q5170" s="176">
        <v>43923.51</v>
      </c>
      <c r="R5170" s="176">
        <v>7027.75</v>
      </c>
      <c r="S5170" s="176"/>
      <c r="T5170" s="190">
        <v>0</v>
      </c>
      <c r="U5170" s="191">
        <v>0</v>
      </c>
      <c r="V5170" s="191">
        <v>50951.26</v>
      </c>
      <c r="W5170">
        <v>414</v>
      </c>
      <c r="X5170" s="186" t="s">
        <v>2035</v>
      </c>
      <c r="Y5170" s="187" t="s">
        <v>55</v>
      </c>
      <c r="Z5170" s="311">
        <v>268</v>
      </c>
      <c r="AB5170" t="str">
        <f>IF(Table1[[#This Row],[TIPO2]]="costo", VLOOKUP(Table1[[#This Row],[PARTIDA PRESUPUESTAL]],'Cost Report'!G:G,1,0),"Balance")</f>
        <v>3902-048</v>
      </c>
      <c r="AD5170" s="159">
        <f>+Table1[[#This Row],[SUBTOTAL]]+Table1[[#This Row],[IVA]]-Table1[[#This Row],[RET IVA]]-Table1[[#This Row],[RET ISR]]-Table1[[#This Row],[TOTAL]]</f>
        <v>0</v>
      </c>
      <c r="AK5170" s="306" t="str">
        <f>IF(ISNUMBER(Table1[[#This Row],[FECHA DE RECIBIDO]]), Table1[[#This Row],[FECHA DE RECIBIDO]]-DATE(2023,8,30), "")</f>
        <v/>
      </c>
    </row>
    <row r="5171" spans="1:37" ht="16.05" customHeight="1">
      <c r="A5171" s="172" t="s">
        <v>4832</v>
      </c>
      <c r="B5171" s="178">
        <v>1809</v>
      </c>
      <c r="C5171" s="179" t="s">
        <v>2968</v>
      </c>
      <c r="D5171">
        <v>3477</v>
      </c>
      <c r="E5171" s="125" t="s">
        <v>1598</v>
      </c>
      <c r="F5171" s="178" t="s">
        <v>1607</v>
      </c>
      <c r="G5171" s="178" t="s">
        <v>134</v>
      </c>
      <c r="H5171">
        <v>851</v>
      </c>
      <c r="I5171" s="178" t="s">
        <v>1546</v>
      </c>
      <c r="J5171" s="320" t="s">
        <v>214</v>
      </c>
      <c r="K5171" s="178" t="s">
        <v>4871</v>
      </c>
      <c r="L5171" s="125" t="s">
        <v>3306</v>
      </c>
      <c r="M5171">
        <v>1181</v>
      </c>
      <c r="N5171" s="182">
        <v>1</v>
      </c>
      <c r="O5171">
        <v>3324</v>
      </c>
      <c r="P5171" s="132" t="s">
        <v>77</v>
      </c>
      <c r="Q5171" s="176">
        <v>8940</v>
      </c>
      <c r="R5171" s="176">
        <v>1430.3</v>
      </c>
      <c r="S5171" s="176"/>
      <c r="T5171" s="190">
        <v>0</v>
      </c>
      <c r="U5171" s="191">
        <v>0</v>
      </c>
      <c r="V5171" s="191">
        <v>10370.299999999999</v>
      </c>
      <c r="W5171">
        <v>414</v>
      </c>
      <c r="X5171" s="186" t="s">
        <v>2035</v>
      </c>
      <c r="Y5171" s="187" t="s">
        <v>55</v>
      </c>
      <c r="Z5171" s="311">
        <v>268</v>
      </c>
      <c r="AB5171" t="str">
        <f>IF(Table1[[#This Row],[TIPO2]]="costo", VLOOKUP(Table1[[#This Row],[PARTIDA PRESUPUESTAL]],'Cost Report'!G:G,1,0),"Balance")</f>
        <v>3902-052</v>
      </c>
      <c r="AD5171" s="159">
        <f>+Table1[[#This Row],[SUBTOTAL]]+Table1[[#This Row],[IVA]]-Table1[[#This Row],[RET IVA]]-Table1[[#This Row],[RET ISR]]-Table1[[#This Row],[TOTAL]]</f>
        <v>0</v>
      </c>
      <c r="AK5171" s="306" t="str">
        <f>IF(ISNUMBER(Table1[[#This Row],[FECHA DE RECIBIDO]]), Table1[[#This Row],[FECHA DE RECIBIDO]]-DATE(2023,8,30), "")</f>
        <v/>
      </c>
    </row>
    <row r="5172" spans="1:37" ht="16.05" customHeight="1">
      <c r="A5172" s="172" t="s">
        <v>4833</v>
      </c>
      <c r="B5172" s="178">
        <v>1810</v>
      </c>
      <c r="C5172" s="179" t="s">
        <v>2546</v>
      </c>
      <c r="D5172">
        <v>3478</v>
      </c>
      <c r="E5172" s="125" t="s">
        <v>3179</v>
      </c>
      <c r="F5172" s="178" t="s">
        <v>1593</v>
      </c>
      <c r="G5172" s="178" t="s">
        <v>109</v>
      </c>
      <c r="H5172">
        <v>581</v>
      </c>
      <c r="I5172" s="178" t="s">
        <v>1546</v>
      </c>
      <c r="J5172" s="320" t="s">
        <v>214</v>
      </c>
      <c r="K5172" s="178" t="s">
        <v>4871</v>
      </c>
      <c r="L5172" s="125" t="s">
        <v>3306</v>
      </c>
      <c r="M5172">
        <v>824</v>
      </c>
      <c r="N5172" s="182">
        <v>51</v>
      </c>
      <c r="O5172">
        <v>3325</v>
      </c>
      <c r="P5172" s="132" t="s">
        <v>77</v>
      </c>
      <c r="Q5172" s="176">
        <v>6000</v>
      </c>
      <c r="R5172" s="176">
        <v>960</v>
      </c>
      <c r="S5172" s="176"/>
      <c r="T5172" s="190">
        <v>640</v>
      </c>
      <c r="U5172" s="191">
        <v>75</v>
      </c>
      <c r="V5172" s="191">
        <v>6245</v>
      </c>
      <c r="W5172">
        <v>328</v>
      </c>
      <c r="X5172" s="186" t="s">
        <v>195</v>
      </c>
      <c r="Y5172" s="187" t="s">
        <v>55</v>
      </c>
      <c r="Z5172" s="311">
        <v>268</v>
      </c>
      <c r="AB5172" t="str">
        <f>IF(Table1[[#This Row],[TIPO2]]="costo", VLOOKUP(Table1[[#This Row],[PARTIDA PRESUPUESTAL]],'Cost Report'!G:G,1,0),"Balance")</f>
        <v>2494-071</v>
      </c>
      <c r="AD5172" s="159">
        <f>+Table1[[#This Row],[SUBTOTAL]]+Table1[[#This Row],[IVA]]-Table1[[#This Row],[RET IVA]]-Table1[[#This Row],[RET ISR]]-Table1[[#This Row],[TOTAL]]</f>
        <v>0</v>
      </c>
      <c r="AK5172" s="306" t="str">
        <f>IF(ISNUMBER(Table1[[#This Row],[FECHA DE RECIBIDO]]), Table1[[#This Row],[FECHA DE RECIBIDO]]-DATE(2023,8,30), "")</f>
        <v/>
      </c>
    </row>
    <row r="5173" spans="1:37" ht="16.05" customHeight="1">
      <c r="A5173" s="172" t="s">
        <v>4834</v>
      </c>
      <c r="B5173" s="178">
        <v>1811</v>
      </c>
      <c r="C5173" s="179" t="s">
        <v>2806</v>
      </c>
      <c r="D5173">
        <v>3479</v>
      </c>
      <c r="E5173" s="125" t="s">
        <v>4267</v>
      </c>
      <c r="F5173" s="178" t="s">
        <v>1602</v>
      </c>
      <c r="G5173" s="178" t="s">
        <v>1617</v>
      </c>
      <c r="H5173">
        <v>585</v>
      </c>
      <c r="I5173" s="178" t="s">
        <v>1546</v>
      </c>
      <c r="J5173" s="320" t="s">
        <v>214</v>
      </c>
      <c r="K5173" s="178" t="s">
        <v>4871</v>
      </c>
      <c r="L5173" s="125" t="s">
        <v>3306</v>
      </c>
      <c r="M5173">
        <v>828</v>
      </c>
      <c r="N5173" s="182">
        <v>24</v>
      </c>
      <c r="O5173">
        <v>3326</v>
      </c>
      <c r="P5173" s="132" t="s">
        <v>77</v>
      </c>
      <c r="Q5173" s="176">
        <v>35000</v>
      </c>
      <c r="R5173" s="176">
        <v>5600</v>
      </c>
      <c r="S5173" s="176"/>
      <c r="T5173" s="190">
        <v>0</v>
      </c>
      <c r="U5173" s="191">
        <v>0</v>
      </c>
      <c r="V5173" s="191">
        <v>40600</v>
      </c>
      <c r="W5173">
        <v>332</v>
      </c>
      <c r="X5173" s="186" t="s">
        <v>2035</v>
      </c>
      <c r="Y5173" s="187" t="s">
        <v>55</v>
      </c>
      <c r="Z5173" s="311">
        <v>268</v>
      </c>
      <c r="AB5173" t="str">
        <f>IF(Table1[[#This Row],[TIPO2]]="costo", VLOOKUP(Table1[[#This Row],[PARTIDA PRESUPUESTAL]],'Cost Report'!G:G,1,0),"Balance")</f>
        <v>3412-095</v>
      </c>
      <c r="AD5173" s="159">
        <f>+Table1[[#This Row],[SUBTOTAL]]+Table1[[#This Row],[IVA]]-Table1[[#This Row],[RET IVA]]-Table1[[#This Row],[RET ISR]]-Table1[[#This Row],[TOTAL]]</f>
        <v>0</v>
      </c>
      <c r="AK5173" s="306" t="str">
        <f>IF(ISNUMBER(Table1[[#This Row],[FECHA DE RECIBIDO]]), Table1[[#This Row],[FECHA DE RECIBIDO]]-DATE(2023,8,30), "")</f>
        <v/>
      </c>
    </row>
    <row r="5174" spans="1:37" ht="16.05" customHeight="1">
      <c r="A5174" s="172" t="s">
        <v>4835</v>
      </c>
      <c r="B5174" s="178">
        <v>1812</v>
      </c>
      <c r="C5174" s="179" t="s">
        <v>2798</v>
      </c>
      <c r="D5174">
        <v>3480</v>
      </c>
      <c r="E5174" s="125" t="s">
        <v>1609</v>
      </c>
      <c r="F5174" s="178" t="s">
        <v>1607</v>
      </c>
      <c r="G5174" s="178" t="s">
        <v>134</v>
      </c>
      <c r="H5174">
        <v>803</v>
      </c>
      <c r="I5174" s="178" t="s">
        <v>1546</v>
      </c>
      <c r="J5174" s="320" t="s">
        <v>214</v>
      </c>
      <c r="K5174" s="178" t="s">
        <v>4871</v>
      </c>
      <c r="L5174" s="125" t="s">
        <v>3306</v>
      </c>
      <c r="M5174">
        <v>1107</v>
      </c>
      <c r="N5174" s="182">
        <v>24</v>
      </c>
      <c r="O5174">
        <v>3327</v>
      </c>
      <c r="P5174" s="132" t="s">
        <v>77</v>
      </c>
      <c r="Q5174" s="176">
        <v>45000</v>
      </c>
      <c r="R5174" s="176">
        <v>7200</v>
      </c>
      <c r="S5174" s="176"/>
      <c r="T5174" s="190">
        <v>0</v>
      </c>
      <c r="U5174" s="191">
        <v>0</v>
      </c>
      <c r="V5174" s="191">
        <v>52200</v>
      </c>
      <c r="W5174">
        <v>404</v>
      </c>
      <c r="X5174" s="186" t="s">
        <v>3258</v>
      </c>
      <c r="Y5174" s="187" t="s">
        <v>55</v>
      </c>
      <c r="Z5174" s="311">
        <v>268</v>
      </c>
      <c r="AB5174" t="str">
        <f>IF(Table1[[#This Row],[TIPO2]]="costo", VLOOKUP(Table1[[#This Row],[PARTIDA PRESUPUESTAL]],'Cost Report'!G:G,1,0),"Balance")</f>
        <v>3412-079</v>
      </c>
      <c r="AD5174" s="159">
        <f>+Table1[[#This Row],[SUBTOTAL]]+Table1[[#This Row],[IVA]]-Table1[[#This Row],[RET IVA]]-Table1[[#This Row],[RET ISR]]-Table1[[#This Row],[TOTAL]]</f>
        <v>0</v>
      </c>
      <c r="AK5174" s="306" t="str">
        <f>IF(ISNUMBER(Table1[[#This Row],[FECHA DE RECIBIDO]]), Table1[[#This Row],[FECHA DE RECIBIDO]]-DATE(2023,8,30), "")</f>
        <v/>
      </c>
    </row>
    <row r="5175" spans="1:37" ht="16.05" customHeight="1">
      <c r="A5175" s="172" t="s">
        <v>4835</v>
      </c>
      <c r="B5175" s="178">
        <v>1812</v>
      </c>
      <c r="C5175" s="179" t="s">
        <v>2826</v>
      </c>
      <c r="D5175">
        <v>3480</v>
      </c>
      <c r="E5175" s="125" t="s">
        <v>1609</v>
      </c>
      <c r="F5175" s="178" t="s">
        <v>1607</v>
      </c>
      <c r="G5175" s="178" t="s">
        <v>134</v>
      </c>
      <c r="H5175">
        <v>803</v>
      </c>
      <c r="I5175" s="178" t="s">
        <v>1546</v>
      </c>
      <c r="J5175" s="320" t="s">
        <v>214</v>
      </c>
      <c r="K5175" s="178" t="s">
        <v>4871</v>
      </c>
      <c r="L5175" s="125" t="s">
        <v>3306</v>
      </c>
      <c r="M5175">
        <v>1107</v>
      </c>
      <c r="N5175" s="182">
        <v>24</v>
      </c>
      <c r="O5175">
        <v>3327</v>
      </c>
      <c r="P5175" s="132" t="s">
        <v>77</v>
      </c>
      <c r="Q5175" s="176">
        <v>18000</v>
      </c>
      <c r="R5175" s="176">
        <v>2880</v>
      </c>
      <c r="S5175" s="176"/>
      <c r="T5175" s="190">
        <v>0</v>
      </c>
      <c r="U5175" s="191">
        <v>0</v>
      </c>
      <c r="V5175" s="191">
        <v>20880</v>
      </c>
      <c r="W5175">
        <v>404</v>
      </c>
      <c r="X5175" s="186" t="s">
        <v>3258</v>
      </c>
      <c r="Y5175" s="187" t="s">
        <v>55</v>
      </c>
      <c r="Z5175" s="311">
        <v>268</v>
      </c>
      <c r="AB5175" t="str">
        <f>IF(Table1[[#This Row],[TIPO2]]="costo", VLOOKUP(Table1[[#This Row],[PARTIDA PRESUPUESTAL]],'Cost Report'!G:G,1,0),"Balance")</f>
        <v>3412-133</v>
      </c>
      <c r="AD5175" s="159">
        <f>+Table1[[#This Row],[SUBTOTAL]]+Table1[[#This Row],[IVA]]-Table1[[#This Row],[RET IVA]]-Table1[[#This Row],[RET ISR]]-Table1[[#This Row],[TOTAL]]</f>
        <v>0</v>
      </c>
      <c r="AK5175" s="306" t="str">
        <f>IF(ISNUMBER(Table1[[#This Row],[FECHA DE RECIBIDO]]), Table1[[#This Row],[FECHA DE RECIBIDO]]-DATE(2023,8,30), "")</f>
        <v/>
      </c>
    </row>
    <row r="5176" spans="1:37" ht="16.05" customHeight="1">
      <c r="A5176" s="172" t="s">
        <v>4836</v>
      </c>
      <c r="B5176" s="178">
        <v>1813</v>
      </c>
      <c r="C5176" s="179" t="s">
        <v>2814</v>
      </c>
      <c r="D5176">
        <v>3481</v>
      </c>
      <c r="E5176" s="125">
        <v>45136</v>
      </c>
      <c r="F5176" s="178" t="s">
        <v>1607</v>
      </c>
      <c r="G5176" s="178" t="s">
        <v>134</v>
      </c>
      <c r="H5176">
        <v>869</v>
      </c>
      <c r="I5176" s="178" t="s">
        <v>1546</v>
      </c>
      <c r="J5176" s="320" t="s">
        <v>214</v>
      </c>
      <c r="K5176" s="178" t="s">
        <v>4871</v>
      </c>
      <c r="L5176" s="125" t="s">
        <v>3306</v>
      </c>
      <c r="M5176">
        <v>1199</v>
      </c>
      <c r="N5176" s="182">
        <v>24</v>
      </c>
      <c r="O5176">
        <v>3328</v>
      </c>
      <c r="P5176" s="132" t="s">
        <v>77</v>
      </c>
      <c r="Q5176" s="176">
        <v>17000</v>
      </c>
      <c r="R5176" s="176">
        <v>2720</v>
      </c>
      <c r="S5176" s="176"/>
      <c r="T5176" s="190">
        <v>0</v>
      </c>
      <c r="U5176" s="191">
        <v>0</v>
      </c>
      <c r="V5176" s="191">
        <v>19720</v>
      </c>
      <c r="W5176">
        <v>431</v>
      </c>
      <c r="X5176" s="186" t="s">
        <v>4811</v>
      </c>
      <c r="Y5176" s="187" t="s">
        <v>55</v>
      </c>
      <c r="Z5176" s="311">
        <v>268</v>
      </c>
      <c r="AB5176" t="str">
        <f>IF(Table1[[#This Row],[TIPO2]]="costo", VLOOKUP(Table1[[#This Row],[PARTIDA PRESUPUESTAL]],'Cost Report'!G:G,1,0),"Balance")</f>
        <v>3412-111</v>
      </c>
      <c r="AD5176" s="159">
        <f>+Table1[[#This Row],[SUBTOTAL]]+Table1[[#This Row],[IVA]]-Table1[[#This Row],[RET IVA]]-Table1[[#This Row],[RET ISR]]-Table1[[#This Row],[TOTAL]]</f>
        <v>0</v>
      </c>
      <c r="AK5176" s="306" t="str">
        <f>IF(ISNUMBER(Table1[[#This Row],[FECHA DE RECIBIDO]]), Table1[[#This Row],[FECHA DE RECIBIDO]]-DATE(2023,8,30), "")</f>
        <v/>
      </c>
    </row>
    <row r="5177" spans="1:37" ht="16.05" customHeight="1">
      <c r="A5177" s="172" t="s">
        <v>4837</v>
      </c>
      <c r="B5177" s="178">
        <v>1814</v>
      </c>
      <c r="C5177" s="179" t="s">
        <v>2852</v>
      </c>
      <c r="D5177">
        <v>3482</v>
      </c>
      <c r="E5177" s="125" t="s">
        <v>1608</v>
      </c>
      <c r="F5177" s="178" t="s">
        <v>1607</v>
      </c>
      <c r="G5177" s="178" t="s">
        <v>134</v>
      </c>
      <c r="H5177">
        <v>870</v>
      </c>
      <c r="I5177" s="178" t="s">
        <v>1546</v>
      </c>
      <c r="J5177" s="320" t="s">
        <v>214</v>
      </c>
      <c r="K5177" s="178" t="s">
        <v>4871</v>
      </c>
      <c r="L5177" s="125" t="s">
        <v>3306</v>
      </c>
      <c r="M5177">
        <v>1204</v>
      </c>
      <c r="N5177" s="182">
        <v>24</v>
      </c>
      <c r="O5177">
        <v>3329</v>
      </c>
      <c r="P5177" s="132" t="s">
        <v>77</v>
      </c>
      <c r="Q5177" s="176">
        <v>2820</v>
      </c>
      <c r="R5177" s="176">
        <v>451.2</v>
      </c>
      <c r="S5177" s="176"/>
      <c r="T5177" s="190">
        <v>0</v>
      </c>
      <c r="U5177" s="191">
        <v>0</v>
      </c>
      <c r="V5177" s="191">
        <v>3271.2</v>
      </c>
      <c r="W5177">
        <v>221</v>
      </c>
      <c r="X5177" s="186" t="s">
        <v>105</v>
      </c>
      <c r="Y5177" s="187" t="s">
        <v>55</v>
      </c>
      <c r="Z5177" s="311">
        <v>268</v>
      </c>
      <c r="AB5177" t="str">
        <f>IF(Table1[[#This Row],[TIPO2]]="costo", VLOOKUP(Table1[[#This Row],[PARTIDA PRESUPUESTAL]],'Cost Report'!G:G,1,0),"Balance")</f>
        <v>3498-003</v>
      </c>
      <c r="AD5177" s="159">
        <f>+Table1[[#This Row],[SUBTOTAL]]+Table1[[#This Row],[IVA]]-Table1[[#This Row],[RET IVA]]-Table1[[#This Row],[RET ISR]]-Table1[[#This Row],[TOTAL]]</f>
        <v>0</v>
      </c>
      <c r="AK5177" s="306" t="str">
        <f>IF(ISNUMBER(Table1[[#This Row],[FECHA DE RECIBIDO]]), Table1[[#This Row],[FECHA DE RECIBIDO]]-DATE(2023,8,30), "")</f>
        <v/>
      </c>
    </row>
    <row r="5178" spans="1:37" ht="16.05" customHeight="1">
      <c r="A5178" s="172" t="s">
        <v>4838</v>
      </c>
      <c r="B5178" s="178">
        <v>1815</v>
      </c>
      <c r="C5178" s="179" t="s">
        <v>2596</v>
      </c>
      <c r="D5178">
        <v>3483</v>
      </c>
      <c r="E5178" s="125" t="s">
        <v>1895</v>
      </c>
      <c r="F5178" s="178" t="s">
        <v>1607</v>
      </c>
      <c r="G5178" s="178" t="s">
        <v>134</v>
      </c>
      <c r="H5178">
        <v>220</v>
      </c>
      <c r="I5178" s="178" t="s">
        <v>1546</v>
      </c>
      <c r="J5178" s="320" t="s">
        <v>214</v>
      </c>
      <c r="K5178" s="178" t="s">
        <v>4871</v>
      </c>
      <c r="L5178" s="125" t="s">
        <v>3306</v>
      </c>
      <c r="M5178">
        <v>1111</v>
      </c>
      <c r="N5178" s="182">
        <v>172</v>
      </c>
      <c r="O5178">
        <v>3330</v>
      </c>
      <c r="P5178" s="132" t="s">
        <v>77</v>
      </c>
      <c r="Q5178" s="176">
        <v>7750</v>
      </c>
      <c r="R5178" s="176">
        <v>1240</v>
      </c>
      <c r="S5178" s="176"/>
      <c r="T5178" s="190">
        <v>0</v>
      </c>
      <c r="U5178" s="191">
        <v>0</v>
      </c>
      <c r="V5178" s="191">
        <v>8990</v>
      </c>
      <c r="W5178">
        <v>141</v>
      </c>
      <c r="X5178" s="186" t="s">
        <v>105</v>
      </c>
      <c r="Y5178" s="187" t="s">
        <v>55</v>
      </c>
      <c r="Z5178" s="311">
        <v>268</v>
      </c>
      <c r="AB5178" t="str">
        <f>IF(Table1[[#This Row],[TIPO2]]="costo", VLOOKUP(Table1[[#This Row],[PARTIDA PRESUPUESTAL]],'Cost Report'!G:G,1,0),"Balance")</f>
        <v>2794-003</v>
      </c>
      <c r="AD5178" s="159">
        <f>+Table1[[#This Row],[SUBTOTAL]]+Table1[[#This Row],[IVA]]-Table1[[#This Row],[RET IVA]]-Table1[[#This Row],[RET ISR]]-Table1[[#This Row],[TOTAL]]</f>
        <v>0</v>
      </c>
      <c r="AK5178" s="306" t="str">
        <f>IF(ISNUMBER(Table1[[#This Row],[FECHA DE RECIBIDO]]), Table1[[#This Row],[FECHA DE RECIBIDO]]-DATE(2023,8,30), "")</f>
        <v/>
      </c>
    </row>
    <row r="5179" spans="1:37" ht="16.05" customHeight="1">
      <c r="A5179" s="172" t="s">
        <v>4839</v>
      </c>
      <c r="B5179" s="178">
        <v>1816</v>
      </c>
      <c r="C5179" s="179" t="s">
        <v>2538</v>
      </c>
      <c r="D5179">
        <v>3484</v>
      </c>
      <c r="E5179" s="125" t="s">
        <v>1603</v>
      </c>
      <c r="F5179" s="178" t="s">
        <v>1607</v>
      </c>
      <c r="G5179" s="178" t="s">
        <v>134</v>
      </c>
      <c r="H5179">
        <v>449</v>
      </c>
      <c r="I5179" s="178" t="s">
        <v>1546</v>
      </c>
      <c r="J5179" s="320" t="s">
        <v>214</v>
      </c>
      <c r="K5179" s="178" t="s">
        <v>4871</v>
      </c>
      <c r="L5179" s="125" t="s">
        <v>3306</v>
      </c>
      <c r="M5179">
        <v>1205</v>
      </c>
      <c r="N5179" s="182">
        <v>51</v>
      </c>
      <c r="O5179">
        <v>3331</v>
      </c>
      <c r="P5179" s="132" t="s">
        <v>77</v>
      </c>
      <c r="Q5179" s="176">
        <v>591.5</v>
      </c>
      <c r="R5179" s="176">
        <v>94.64</v>
      </c>
      <c r="S5179" s="176"/>
      <c r="T5179" s="190">
        <v>0</v>
      </c>
      <c r="U5179" s="191">
        <v>0</v>
      </c>
      <c r="V5179" s="191">
        <v>686.14</v>
      </c>
      <c r="W5179">
        <v>235</v>
      </c>
      <c r="X5179" s="186" t="s">
        <v>195</v>
      </c>
      <c r="Y5179" s="187" t="s">
        <v>55</v>
      </c>
      <c r="Z5179" s="311">
        <v>268</v>
      </c>
      <c r="AB5179" t="str">
        <f>IF(Table1[[#This Row],[TIPO2]]="costo", VLOOKUP(Table1[[#This Row],[PARTIDA PRESUPUESTAL]],'Cost Report'!G:G,1,0),"Balance")</f>
        <v>2494-055</v>
      </c>
      <c r="AD5179" s="159">
        <f>+Table1[[#This Row],[SUBTOTAL]]+Table1[[#This Row],[IVA]]-Table1[[#This Row],[RET IVA]]-Table1[[#This Row],[RET ISR]]-Table1[[#This Row],[TOTAL]]</f>
        <v>0</v>
      </c>
      <c r="AK5179" s="306" t="str">
        <f>IF(ISNUMBER(Table1[[#This Row],[FECHA DE RECIBIDO]]), Table1[[#This Row],[FECHA DE RECIBIDO]]-DATE(2023,8,30), "")</f>
        <v/>
      </c>
    </row>
    <row r="5180" spans="1:37" ht="16.05" customHeight="1">
      <c r="A5180" s="172"/>
      <c r="B5180" s="178">
        <v>1817</v>
      </c>
      <c r="C5180" s="179" t="s">
        <v>2556</v>
      </c>
      <c r="D5180">
        <v>3485</v>
      </c>
      <c r="E5180" s="125" t="s">
        <v>1603</v>
      </c>
      <c r="F5180" s="178" t="s">
        <v>1607</v>
      </c>
      <c r="G5180" s="178" t="s">
        <v>134</v>
      </c>
      <c r="H5180">
        <v>449</v>
      </c>
      <c r="I5180" s="178" t="s">
        <v>1546</v>
      </c>
      <c r="J5180" s="320" t="s">
        <v>214</v>
      </c>
      <c r="K5180" s="178" t="s">
        <v>4871</v>
      </c>
      <c r="L5180" s="125" t="s">
        <v>3306</v>
      </c>
      <c r="M5180">
        <v>1205</v>
      </c>
      <c r="N5180" s="182">
        <v>51</v>
      </c>
      <c r="O5180">
        <v>3332</v>
      </c>
      <c r="P5180" s="132" t="s">
        <v>77</v>
      </c>
      <c r="Q5180" s="176">
        <v>160</v>
      </c>
      <c r="R5180" s="176">
        <v>25.6</v>
      </c>
      <c r="S5180" s="176"/>
      <c r="T5180" s="190">
        <v>0</v>
      </c>
      <c r="U5180" s="191">
        <v>0</v>
      </c>
      <c r="V5180" s="191">
        <v>185.6</v>
      </c>
      <c r="W5180">
        <v>235</v>
      </c>
      <c r="X5180" s="186" t="s">
        <v>195</v>
      </c>
      <c r="Y5180" s="187" t="s">
        <v>55</v>
      </c>
      <c r="Z5180" s="311">
        <v>268</v>
      </c>
      <c r="AB5180" t="str">
        <f>IF(Table1[[#This Row],[TIPO2]]="costo", VLOOKUP(Table1[[#This Row],[PARTIDA PRESUPUESTAL]],'Cost Report'!G:G,1,0),"Balance")</f>
        <v>2498-003</v>
      </c>
      <c r="AD5180" s="159">
        <f>+Table1[[#This Row],[SUBTOTAL]]+Table1[[#This Row],[IVA]]-Table1[[#This Row],[RET IVA]]-Table1[[#This Row],[RET ISR]]-Table1[[#This Row],[TOTAL]]</f>
        <v>0</v>
      </c>
      <c r="AK5180" s="306" t="str">
        <f>IF(ISNUMBER(Table1[[#This Row],[FECHA DE RECIBIDO]]), Table1[[#This Row],[FECHA DE RECIBIDO]]-DATE(2023,8,30), "")</f>
        <v/>
      </c>
    </row>
    <row r="5181" spans="1:37" ht="16.05" customHeight="1">
      <c r="A5181" s="172" t="s">
        <v>4840</v>
      </c>
      <c r="B5181" s="178">
        <v>1818</v>
      </c>
      <c r="C5181" s="179" t="s">
        <v>2540</v>
      </c>
      <c r="D5181">
        <v>3486</v>
      </c>
      <c r="E5181" s="125" t="s">
        <v>3824</v>
      </c>
      <c r="F5181" s="178" t="s">
        <v>1589</v>
      </c>
      <c r="G5181" s="178" t="s">
        <v>129</v>
      </c>
      <c r="H5181">
        <v>483</v>
      </c>
      <c r="I5181" s="178" t="s">
        <v>1546</v>
      </c>
      <c r="J5181" s="320" t="s">
        <v>214</v>
      </c>
      <c r="K5181" s="178" t="s">
        <v>4871</v>
      </c>
      <c r="L5181" s="125" t="s">
        <v>3306</v>
      </c>
      <c r="M5181">
        <v>705</v>
      </c>
      <c r="N5181" s="182">
        <v>51</v>
      </c>
      <c r="O5181">
        <v>3333</v>
      </c>
      <c r="P5181" s="132" t="s">
        <v>77</v>
      </c>
      <c r="Q5181" s="176">
        <v>1739</v>
      </c>
      <c r="R5181" s="176">
        <v>278.24</v>
      </c>
      <c r="S5181" s="176"/>
      <c r="T5181" s="190">
        <v>185.49</v>
      </c>
      <c r="U5181" s="191">
        <v>0</v>
      </c>
      <c r="V5181" s="191">
        <v>1831.75</v>
      </c>
      <c r="W5181">
        <v>255</v>
      </c>
      <c r="X5181" s="186" t="s">
        <v>195</v>
      </c>
      <c r="Y5181" s="187" t="s">
        <v>55</v>
      </c>
      <c r="Z5181" s="311">
        <v>268</v>
      </c>
      <c r="AB5181" t="str">
        <f>IF(Table1[[#This Row],[TIPO2]]="costo", VLOOKUP(Table1[[#This Row],[PARTIDA PRESUPUESTAL]],'Cost Report'!G:G,1,0),"Balance")</f>
        <v>2494-059</v>
      </c>
      <c r="AD5181" s="159">
        <f>+Table1[[#This Row],[SUBTOTAL]]+Table1[[#This Row],[IVA]]-Table1[[#This Row],[RET IVA]]-Table1[[#This Row],[RET ISR]]-Table1[[#This Row],[TOTAL]]</f>
        <v>0</v>
      </c>
      <c r="AK5181" s="306" t="str">
        <f>IF(ISNUMBER(Table1[[#This Row],[FECHA DE RECIBIDO]]), Table1[[#This Row],[FECHA DE RECIBIDO]]-DATE(2023,8,30), "")</f>
        <v/>
      </c>
    </row>
    <row r="5182" spans="1:37" ht="16.05" customHeight="1">
      <c r="A5182" s="172" t="s">
        <v>4841</v>
      </c>
      <c r="B5182" s="178">
        <v>1819</v>
      </c>
      <c r="C5182" s="179" t="s">
        <v>2466</v>
      </c>
      <c r="D5182">
        <v>3487</v>
      </c>
      <c r="E5182" s="125" t="s">
        <v>3785</v>
      </c>
      <c r="F5182" s="178" t="s">
        <v>1607</v>
      </c>
      <c r="G5182" s="178" t="s">
        <v>134</v>
      </c>
      <c r="H5182">
        <v>451</v>
      </c>
      <c r="I5182" s="178" t="s">
        <v>1546</v>
      </c>
      <c r="J5182" s="320" t="s">
        <v>214</v>
      </c>
      <c r="K5182" s="178" t="s">
        <v>4871</v>
      </c>
      <c r="L5182" s="125" t="s">
        <v>3306</v>
      </c>
      <c r="M5182">
        <v>763</v>
      </c>
      <c r="N5182" s="182">
        <v>51</v>
      </c>
      <c r="O5182">
        <v>3334</v>
      </c>
      <c r="P5182" s="132" t="s">
        <v>77</v>
      </c>
      <c r="Q5182" s="176">
        <v>1350</v>
      </c>
      <c r="R5182" s="176">
        <v>216</v>
      </c>
      <c r="S5182" s="176"/>
      <c r="T5182" s="190">
        <v>0</v>
      </c>
      <c r="U5182" s="191">
        <v>0</v>
      </c>
      <c r="V5182" s="191">
        <v>1566</v>
      </c>
      <c r="W5182">
        <v>238</v>
      </c>
      <c r="X5182" s="186" t="s">
        <v>2035</v>
      </c>
      <c r="Y5182" s="187" t="s">
        <v>55</v>
      </c>
      <c r="Z5182" s="311">
        <v>268</v>
      </c>
      <c r="AB5182" t="str">
        <f>IF(Table1[[#This Row],[TIPO2]]="costo", VLOOKUP(Table1[[#This Row],[PARTIDA PRESUPUESTAL]],'Cost Report'!G:G,1,0),"Balance")</f>
        <v>2394-005</v>
      </c>
      <c r="AD5182" s="159">
        <f>+Table1[[#This Row],[SUBTOTAL]]+Table1[[#This Row],[IVA]]-Table1[[#This Row],[RET IVA]]-Table1[[#This Row],[RET ISR]]-Table1[[#This Row],[TOTAL]]</f>
        <v>0</v>
      </c>
      <c r="AK5182" s="306" t="str">
        <f>IF(ISNUMBER(Table1[[#This Row],[FECHA DE RECIBIDO]]), Table1[[#This Row],[FECHA DE RECIBIDO]]-DATE(2023,8,30), "")</f>
        <v/>
      </c>
    </row>
    <row r="5183" spans="1:37" ht="16.05" customHeight="1">
      <c r="A5183" s="172" t="s">
        <v>4842</v>
      </c>
      <c r="B5183" s="178">
        <v>1820</v>
      </c>
      <c r="C5183" s="179" t="s">
        <v>2500</v>
      </c>
      <c r="D5183">
        <v>3488</v>
      </c>
      <c r="E5183" s="125">
        <v>45136</v>
      </c>
      <c r="F5183" s="178" t="s">
        <v>1607</v>
      </c>
      <c r="G5183" s="178" t="s">
        <v>134</v>
      </c>
      <c r="H5183">
        <v>869</v>
      </c>
      <c r="I5183" s="178" t="s">
        <v>1546</v>
      </c>
      <c r="J5183" s="320" t="s">
        <v>214</v>
      </c>
      <c r="K5183" s="178" t="s">
        <v>4871</v>
      </c>
      <c r="L5183" s="125" t="s">
        <v>3306</v>
      </c>
      <c r="M5183">
        <v>1199</v>
      </c>
      <c r="N5183" s="182">
        <v>51</v>
      </c>
      <c r="O5183">
        <v>3335</v>
      </c>
      <c r="P5183" s="132" t="s">
        <v>77</v>
      </c>
      <c r="Q5183" s="176">
        <v>4000</v>
      </c>
      <c r="R5183" s="176">
        <v>640</v>
      </c>
      <c r="S5183" s="176"/>
      <c r="T5183" s="190">
        <v>0</v>
      </c>
      <c r="U5183" s="191">
        <v>0</v>
      </c>
      <c r="V5183" s="191">
        <v>4640</v>
      </c>
      <c r="W5183">
        <v>431</v>
      </c>
      <c r="X5183" s="186" t="s">
        <v>4811</v>
      </c>
      <c r="Y5183" s="187" t="s">
        <v>55</v>
      </c>
      <c r="Z5183" s="311">
        <v>268</v>
      </c>
      <c r="AB5183" t="str">
        <f>IF(Table1[[#This Row],[TIPO2]]="costo", VLOOKUP(Table1[[#This Row],[PARTIDA PRESUPUESTAL]],'Cost Report'!G:G,1,0),"Balance")</f>
        <v>2394-073</v>
      </c>
      <c r="AD5183" s="159">
        <f>+Table1[[#This Row],[SUBTOTAL]]+Table1[[#This Row],[IVA]]-Table1[[#This Row],[RET IVA]]-Table1[[#This Row],[RET ISR]]-Table1[[#This Row],[TOTAL]]</f>
        <v>0</v>
      </c>
      <c r="AK5183" s="306" t="str">
        <f>IF(ISNUMBER(Table1[[#This Row],[FECHA DE RECIBIDO]]), Table1[[#This Row],[FECHA DE RECIBIDO]]-DATE(2023,8,30), "")</f>
        <v/>
      </c>
    </row>
    <row r="5184" spans="1:37" ht="16.05" customHeight="1">
      <c r="A5184" s="172" t="s">
        <v>4843</v>
      </c>
      <c r="B5184" s="178">
        <v>1821</v>
      </c>
      <c r="C5184" s="179" t="s">
        <v>1504</v>
      </c>
      <c r="D5184">
        <v>3489</v>
      </c>
      <c r="E5184" s="125" t="s">
        <v>1600</v>
      </c>
      <c r="F5184" s="178" t="s">
        <v>1593</v>
      </c>
      <c r="G5184" s="178" t="s">
        <v>109</v>
      </c>
      <c r="H5184">
        <v>26</v>
      </c>
      <c r="I5184" s="178" t="s">
        <v>1546</v>
      </c>
      <c r="J5184" s="320" t="s">
        <v>214</v>
      </c>
      <c r="K5184" s="178" t="s">
        <v>4871</v>
      </c>
      <c r="L5184" s="125" t="s">
        <v>3306</v>
      </c>
      <c r="M5184">
        <v>35</v>
      </c>
      <c r="N5184" s="182">
        <v>51</v>
      </c>
      <c r="O5184">
        <v>3336</v>
      </c>
      <c r="P5184" s="132" t="s">
        <v>77</v>
      </c>
      <c r="Q5184" s="176">
        <v>70000</v>
      </c>
      <c r="R5184" s="176">
        <v>11200</v>
      </c>
      <c r="S5184" s="176"/>
      <c r="T5184" s="190">
        <v>7466.69</v>
      </c>
      <c r="U5184" s="191">
        <v>875</v>
      </c>
      <c r="V5184" s="191">
        <v>72858.31</v>
      </c>
      <c r="W5184">
        <v>28</v>
      </c>
      <c r="X5184" s="186" t="s">
        <v>2035</v>
      </c>
      <c r="Y5184" s="187" t="s">
        <v>55</v>
      </c>
      <c r="Z5184" s="311">
        <v>268</v>
      </c>
      <c r="AB5184" t="str">
        <f>IF(Table1[[#This Row],[TIPO2]]="costo", VLOOKUP(Table1[[#This Row],[PARTIDA PRESUPUESTAL]],'Cost Report'!G:G,1,0),"Balance")</f>
        <v>2490-004</v>
      </c>
      <c r="AD5184" s="159">
        <f>+Table1[[#This Row],[SUBTOTAL]]+Table1[[#This Row],[IVA]]-Table1[[#This Row],[RET IVA]]-Table1[[#This Row],[RET ISR]]-Table1[[#This Row],[TOTAL]]</f>
        <v>0</v>
      </c>
      <c r="AK5184" s="306" t="str">
        <f>IF(ISNUMBER(Table1[[#This Row],[FECHA DE RECIBIDO]]), Table1[[#This Row],[FECHA DE RECIBIDO]]-DATE(2023,8,30), "")</f>
        <v/>
      </c>
    </row>
    <row r="5185" spans="1:37" ht="16.05" customHeight="1">
      <c r="A5185" s="172" t="s">
        <v>4844</v>
      </c>
      <c r="B5185" s="178">
        <v>1822</v>
      </c>
      <c r="C5185" s="179" t="s">
        <v>2540</v>
      </c>
      <c r="D5185">
        <v>3490</v>
      </c>
      <c r="E5185" s="125" t="s">
        <v>1622</v>
      </c>
      <c r="F5185" s="178" t="s">
        <v>1589</v>
      </c>
      <c r="G5185" s="178" t="s">
        <v>129</v>
      </c>
      <c r="H5185">
        <v>871</v>
      </c>
      <c r="I5185" s="178" t="s">
        <v>1546</v>
      </c>
      <c r="J5185" s="320" t="s">
        <v>214</v>
      </c>
      <c r="K5185" s="178" t="s">
        <v>4871</v>
      </c>
      <c r="L5185" s="125" t="s">
        <v>3306</v>
      </c>
      <c r="M5185">
        <v>1206</v>
      </c>
      <c r="N5185" s="182">
        <v>51</v>
      </c>
      <c r="O5185">
        <v>3337</v>
      </c>
      <c r="P5185" s="132" t="s">
        <v>77</v>
      </c>
      <c r="Q5185" s="176">
        <v>6000</v>
      </c>
      <c r="R5185" s="176">
        <v>960</v>
      </c>
      <c r="S5185" s="176"/>
      <c r="T5185" s="190">
        <v>0</v>
      </c>
      <c r="U5185" s="191">
        <v>0</v>
      </c>
      <c r="V5185" s="191">
        <v>6960</v>
      </c>
      <c r="W5185">
        <v>436</v>
      </c>
      <c r="X5185" s="186" t="s">
        <v>2035</v>
      </c>
      <c r="Y5185" s="187" t="s">
        <v>55</v>
      </c>
      <c r="Z5185" s="311">
        <v>268</v>
      </c>
      <c r="AB5185" t="str">
        <f>IF(Table1[[#This Row],[TIPO2]]="costo", VLOOKUP(Table1[[#This Row],[PARTIDA PRESUPUESTAL]],'Cost Report'!G:G,1,0),"Balance")</f>
        <v>2494-059</v>
      </c>
      <c r="AD5185" s="159">
        <f>+Table1[[#This Row],[SUBTOTAL]]+Table1[[#This Row],[IVA]]-Table1[[#This Row],[RET IVA]]-Table1[[#This Row],[RET ISR]]-Table1[[#This Row],[TOTAL]]</f>
        <v>0</v>
      </c>
      <c r="AK5185" s="306" t="str">
        <f>IF(ISNUMBER(Table1[[#This Row],[FECHA DE RECIBIDO]]), Table1[[#This Row],[FECHA DE RECIBIDO]]-DATE(2023,8,30), "")</f>
        <v/>
      </c>
    </row>
    <row r="5186" spans="1:37" ht="16.05" customHeight="1">
      <c r="A5186" s="172" t="s">
        <v>4845</v>
      </c>
      <c r="B5186" s="178">
        <v>1823</v>
      </c>
      <c r="C5186" s="179" t="s">
        <v>2546</v>
      </c>
      <c r="D5186">
        <v>3491</v>
      </c>
      <c r="E5186" s="125" t="s">
        <v>3354</v>
      </c>
      <c r="F5186" s="178" t="s">
        <v>1589</v>
      </c>
      <c r="G5186" s="178" t="s">
        <v>129</v>
      </c>
      <c r="H5186">
        <v>382</v>
      </c>
      <c r="I5186" s="178" t="s">
        <v>1546</v>
      </c>
      <c r="J5186" s="320" t="s">
        <v>214</v>
      </c>
      <c r="K5186" s="178" t="s">
        <v>4871</v>
      </c>
      <c r="L5186" s="125" t="s">
        <v>3306</v>
      </c>
      <c r="M5186">
        <v>504</v>
      </c>
      <c r="N5186" s="182">
        <v>51</v>
      </c>
      <c r="O5186">
        <v>3338</v>
      </c>
      <c r="P5186" s="132" t="s">
        <v>77</v>
      </c>
      <c r="Q5186" s="176">
        <v>3950</v>
      </c>
      <c r="R5186" s="176">
        <v>632</v>
      </c>
      <c r="S5186" s="176"/>
      <c r="T5186" s="190">
        <v>0</v>
      </c>
      <c r="U5186" s="191">
        <v>0</v>
      </c>
      <c r="V5186" s="191">
        <v>4582</v>
      </c>
      <c r="W5186">
        <v>222</v>
      </c>
      <c r="X5186" s="186" t="s">
        <v>195</v>
      </c>
      <c r="Y5186" s="187" t="s">
        <v>55</v>
      </c>
      <c r="Z5186" s="311">
        <v>268</v>
      </c>
      <c r="AB5186" t="str">
        <f>IF(Table1[[#This Row],[TIPO2]]="costo", VLOOKUP(Table1[[#This Row],[PARTIDA PRESUPUESTAL]],'Cost Report'!G:G,1,0),"Balance")</f>
        <v>2494-071</v>
      </c>
      <c r="AD5186" s="159">
        <f>+Table1[[#This Row],[SUBTOTAL]]+Table1[[#This Row],[IVA]]-Table1[[#This Row],[RET IVA]]-Table1[[#This Row],[RET ISR]]-Table1[[#This Row],[TOTAL]]</f>
        <v>0</v>
      </c>
      <c r="AK5186" s="306" t="str">
        <f>IF(ISNUMBER(Table1[[#This Row],[FECHA DE RECIBIDO]]), Table1[[#This Row],[FECHA DE RECIBIDO]]-DATE(2023,8,30), "")</f>
        <v/>
      </c>
    </row>
    <row r="5187" spans="1:37" ht="16.05" customHeight="1">
      <c r="A5187" s="172"/>
      <c r="B5187" s="178">
        <v>1824</v>
      </c>
      <c r="C5187" s="179" t="s">
        <v>1515</v>
      </c>
      <c r="D5187">
        <v>3492</v>
      </c>
      <c r="E5187" s="125" t="s">
        <v>3354</v>
      </c>
      <c r="F5187" s="178" t="s">
        <v>1589</v>
      </c>
      <c r="G5187" s="178" t="s">
        <v>129</v>
      </c>
      <c r="H5187">
        <v>382</v>
      </c>
      <c r="I5187" s="178" t="s">
        <v>1546</v>
      </c>
      <c r="J5187" s="320" t="s">
        <v>214</v>
      </c>
      <c r="K5187" s="178" t="s">
        <v>4871</v>
      </c>
      <c r="L5187" s="125" t="s">
        <v>3306</v>
      </c>
      <c r="M5187">
        <v>504</v>
      </c>
      <c r="N5187" s="182">
        <v>51</v>
      </c>
      <c r="O5187">
        <v>3339</v>
      </c>
      <c r="P5187" s="132" t="s">
        <v>77</v>
      </c>
      <c r="Q5187" s="176">
        <v>2400</v>
      </c>
      <c r="R5187" s="176">
        <v>384</v>
      </c>
      <c r="S5187" s="176"/>
      <c r="T5187" s="190">
        <v>0</v>
      </c>
      <c r="U5187" s="191">
        <v>0</v>
      </c>
      <c r="V5187" s="191">
        <v>2784</v>
      </c>
      <c r="W5187">
        <v>222</v>
      </c>
      <c r="X5187" s="186" t="s">
        <v>195</v>
      </c>
      <c r="Y5187" s="187" t="s">
        <v>55</v>
      </c>
      <c r="Z5187" s="311">
        <v>268</v>
      </c>
      <c r="AB5187" t="str">
        <f>IF(Table1[[#This Row],[TIPO2]]="costo", VLOOKUP(Table1[[#This Row],[PARTIDA PRESUPUESTAL]],'Cost Report'!G:G,1,0),"Balance")</f>
        <v>2494-023</v>
      </c>
      <c r="AD5187" s="159">
        <f>+Table1[[#This Row],[SUBTOTAL]]+Table1[[#This Row],[IVA]]-Table1[[#This Row],[RET IVA]]-Table1[[#This Row],[RET ISR]]-Table1[[#This Row],[TOTAL]]</f>
        <v>0</v>
      </c>
      <c r="AK5187" s="306" t="str">
        <f>IF(ISNUMBER(Table1[[#This Row],[FECHA DE RECIBIDO]]), Table1[[#This Row],[FECHA DE RECIBIDO]]-DATE(2023,8,30), "")</f>
        <v/>
      </c>
    </row>
    <row r="5188" spans="1:37" ht="16.05" customHeight="1">
      <c r="A5188" s="172" t="s">
        <v>4846</v>
      </c>
      <c r="B5188" s="178">
        <v>1825</v>
      </c>
      <c r="C5188" s="179" t="s">
        <v>1515</v>
      </c>
      <c r="D5188">
        <v>3493</v>
      </c>
      <c r="E5188" s="125" t="s">
        <v>3225</v>
      </c>
      <c r="F5188" s="178" t="s">
        <v>1589</v>
      </c>
      <c r="G5188" s="178" t="s">
        <v>129</v>
      </c>
      <c r="H5188">
        <v>485</v>
      </c>
      <c r="I5188" s="178" t="s">
        <v>1546</v>
      </c>
      <c r="J5188" s="320" t="s">
        <v>214</v>
      </c>
      <c r="K5188" s="178" t="s">
        <v>4871</v>
      </c>
      <c r="L5188" s="125" t="s">
        <v>3306</v>
      </c>
      <c r="M5188">
        <v>707</v>
      </c>
      <c r="N5188" s="182">
        <v>51</v>
      </c>
      <c r="O5188">
        <v>3340</v>
      </c>
      <c r="P5188" s="132" t="s">
        <v>77</v>
      </c>
      <c r="Q5188" s="176">
        <v>2000</v>
      </c>
      <c r="R5188" s="176">
        <v>320</v>
      </c>
      <c r="S5188" s="176"/>
      <c r="T5188" s="190">
        <v>0</v>
      </c>
      <c r="U5188" s="191">
        <v>0</v>
      </c>
      <c r="V5188" s="191">
        <v>2320</v>
      </c>
      <c r="W5188">
        <v>257</v>
      </c>
      <c r="X5188" s="186" t="s">
        <v>195</v>
      </c>
      <c r="Y5188" s="187" t="s">
        <v>55</v>
      </c>
      <c r="Z5188" s="311">
        <v>268</v>
      </c>
      <c r="AB5188" t="str">
        <f>IF(Table1[[#This Row],[TIPO2]]="costo", VLOOKUP(Table1[[#This Row],[PARTIDA PRESUPUESTAL]],'Cost Report'!G:G,1,0),"Balance")</f>
        <v>2494-023</v>
      </c>
      <c r="AD5188" s="159">
        <f>+Table1[[#This Row],[SUBTOTAL]]+Table1[[#This Row],[IVA]]-Table1[[#This Row],[RET IVA]]-Table1[[#This Row],[RET ISR]]-Table1[[#This Row],[TOTAL]]</f>
        <v>0</v>
      </c>
      <c r="AK5188" s="306" t="str">
        <f>IF(ISNUMBER(Table1[[#This Row],[FECHA DE RECIBIDO]]), Table1[[#This Row],[FECHA DE RECIBIDO]]-DATE(2023,8,30), "")</f>
        <v/>
      </c>
    </row>
    <row r="5189" spans="1:37" ht="16.05" customHeight="1">
      <c r="A5189" s="172" t="s">
        <v>4847</v>
      </c>
      <c r="B5189" s="178" t="s">
        <v>1576</v>
      </c>
      <c r="C5189" s="179" t="s">
        <v>72</v>
      </c>
      <c r="D5189"/>
      <c r="E5189" s="125" t="s">
        <v>1911</v>
      </c>
      <c r="F5189" s="178" t="s">
        <v>1911</v>
      </c>
      <c r="G5189" s="178" t="s">
        <v>1911</v>
      </c>
      <c r="H5189"/>
      <c r="I5189" s="178" t="s">
        <v>1911</v>
      </c>
      <c r="J5189" s="320" t="s">
        <v>214</v>
      </c>
      <c r="K5189" s="178" t="s">
        <v>4871</v>
      </c>
      <c r="L5189" s="125" t="s">
        <v>156</v>
      </c>
      <c r="M5189">
        <v>61</v>
      </c>
      <c r="N5189" s="182">
        <v>0</v>
      </c>
      <c r="O5189">
        <v>3341</v>
      </c>
      <c r="P5189" s="131" t="s">
        <v>78</v>
      </c>
      <c r="Q5189" s="176">
        <v>1423536.98</v>
      </c>
      <c r="R5189" s="176">
        <v>0</v>
      </c>
      <c r="S5189" s="176"/>
      <c r="T5189" s="190">
        <v>0</v>
      </c>
      <c r="U5189" s="191">
        <v>0</v>
      </c>
      <c r="V5189" s="191">
        <v>1423536.98</v>
      </c>
      <c r="W5189">
        <v>35</v>
      </c>
      <c r="X5189" s="186" t="s">
        <v>105</v>
      </c>
      <c r="Y5189" s="187" t="s">
        <v>55</v>
      </c>
      <c r="Z5189" s="311">
        <v>265</v>
      </c>
      <c r="AB5189" t="str">
        <f>IF(Table1[[#This Row],[TIPO2]]="costo", VLOOKUP(Table1[[#This Row],[PARTIDA PRESUPUESTAL]],'Cost Report'!G:G,1,0),"Balance")</f>
        <v>Balance</v>
      </c>
      <c r="AD5189" s="159">
        <f>+Table1[[#This Row],[SUBTOTAL]]+Table1[[#This Row],[IVA]]-Table1[[#This Row],[RET IVA]]-Table1[[#This Row],[RET ISR]]-Table1[[#This Row],[TOTAL]]</f>
        <v>0</v>
      </c>
      <c r="AK5189" s="306" t="str">
        <f>IF(ISNUMBER(Table1[[#This Row],[FECHA DE RECIBIDO]]), Table1[[#This Row],[FECHA DE RECIBIDO]]-DATE(2023,8,30), "")</f>
        <v/>
      </c>
    </row>
    <row r="5190" spans="1:37" ht="16.05" customHeight="1">
      <c r="A5190" s="172" t="s">
        <v>4848</v>
      </c>
      <c r="B5190" s="178" t="s">
        <v>1576</v>
      </c>
      <c r="C5190" s="179" t="s">
        <v>73</v>
      </c>
      <c r="D5190"/>
      <c r="E5190" s="125" t="s">
        <v>1911</v>
      </c>
      <c r="F5190" s="178" t="s">
        <v>1911</v>
      </c>
      <c r="G5190" s="178" t="s">
        <v>1911</v>
      </c>
      <c r="H5190"/>
      <c r="I5190" s="178" t="s">
        <v>1911</v>
      </c>
      <c r="J5190" s="320" t="s">
        <v>214</v>
      </c>
      <c r="K5190" s="178" t="s">
        <v>4871</v>
      </c>
      <c r="L5190" s="125" t="s">
        <v>156</v>
      </c>
      <c r="M5190">
        <v>61</v>
      </c>
      <c r="N5190" s="182">
        <v>0</v>
      </c>
      <c r="O5190">
        <v>3342</v>
      </c>
      <c r="P5190" s="131" t="s">
        <v>78</v>
      </c>
      <c r="Q5190" s="176">
        <v>828220.15</v>
      </c>
      <c r="R5190" s="176">
        <v>0</v>
      </c>
      <c r="S5190" s="176"/>
      <c r="T5190" s="190">
        <v>0</v>
      </c>
      <c r="U5190" s="191">
        <v>0</v>
      </c>
      <c r="V5190" s="191">
        <v>828220.15</v>
      </c>
      <c r="W5190">
        <v>35</v>
      </c>
      <c r="X5190" s="186" t="s">
        <v>105</v>
      </c>
      <c r="Y5190" s="187" t="s">
        <v>55</v>
      </c>
      <c r="Z5190" s="311">
        <v>265</v>
      </c>
      <c r="AB5190" t="str">
        <f>IF(Table1[[#This Row],[TIPO2]]="costo", VLOOKUP(Table1[[#This Row],[PARTIDA PRESUPUESTAL]],'Cost Report'!G:G,1,0),"Balance")</f>
        <v>Balance</v>
      </c>
      <c r="AD5190" s="159">
        <f>+Table1[[#This Row],[SUBTOTAL]]+Table1[[#This Row],[IVA]]-Table1[[#This Row],[RET IVA]]-Table1[[#This Row],[RET ISR]]-Table1[[#This Row],[TOTAL]]</f>
        <v>0</v>
      </c>
      <c r="AK5190" s="306" t="str">
        <f>IF(ISNUMBER(Table1[[#This Row],[FECHA DE RECIBIDO]]), Table1[[#This Row],[FECHA DE RECIBIDO]]-DATE(2023,8,30), "")</f>
        <v/>
      </c>
    </row>
    <row r="5191" spans="1:37" ht="16.05" customHeight="1">
      <c r="A5191" s="172" t="s">
        <v>4813</v>
      </c>
      <c r="B5191" s="178">
        <v>1825</v>
      </c>
      <c r="C5191" s="126" t="s">
        <v>5473</v>
      </c>
      <c r="D5191">
        <v>3494</v>
      </c>
      <c r="E5191" s="125" t="s">
        <v>1997</v>
      </c>
      <c r="F5191" s="178" t="s">
        <v>1593</v>
      </c>
      <c r="G5191" s="178" t="s">
        <v>109</v>
      </c>
      <c r="H5191">
        <v>872</v>
      </c>
      <c r="I5191" s="178" t="s">
        <v>1546</v>
      </c>
      <c r="J5191" s="320" t="s">
        <v>214</v>
      </c>
      <c r="K5191" s="178" t="s">
        <v>4871</v>
      </c>
      <c r="L5191" s="125" t="s">
        <v>4849</v>
      </c>
      <c r="M5191">
        <v>1207</v>
      </c>
      <c r="N5191" s="182">
        <v>17</v>
      </c>
      <c r="O5191">
        <v>3343</v>
      </c>
      <c r="P5191" s="131" t="s">
        <v>77</v>
      </c>
      <c r="Q5191" s="176">
        <v>3554.95</v>
      </c>
      <c r="R5191" s="176">
        <v>568.79</v>
      </c>
      <c r="S5191" s="176"/>
      <c r="T5191" s="190">
        <v>379.31</v>
      </c>
      <c r="U5191" s="191">
        <v>44.44</v>
      </c>
      <c r="V5191" s="191">
        <v>3699.99</v>
      </c>
      <c r="W5191">
        <v>93</v>
      </c>
      <c r="X5191" s="186" t="s">
        <v>3451</v>
      </c>
      <c r="Y5191" s="187" t="s">
        <v>55</v>
      </c>
      <c r="Z5191" s="311">
        <v>233</v>
      </c>
      <c r="AB5191" t="str">
        <f>IF(Table1[[#This Row],[TIPO2]]="costo", VLOOKUP(Table1[[#This Row],[PARTIDA PRESUPUESTAL]],'Cost Report'!G:G,1,0),"Balance")</f>
        <v>7230-001</v>
      </c>
      <c r="AD5191" s="159">
        <f>+Table1[[#This Row],[SUBTOTAL]]+Table1[[#This Row],[IVA]]-Table1[[#This Row],[RET IVA]]-Table1[[#This Row],[RET ISR]]-Table1[[#This Row],[TOTAL]]</f>
        <v>0</v>
      </c>
      <c r="AG5191" t="s">
        <v>3420</v>
      </c>
      <c r="AJ5191" s="213" t="s">
        <v>5479</v>
      </c>
      <c r="AK5191" s="306" t="str">
        <f>IF(ISNUMBER(Table1[[#This Row],[FECHA DE RECIBIDO]]), Table1[[#This Row],[FECHA DE RECIBIDO]]-DATE(2023,8,30), "")</f>
        <v/>
      </c>
    </row>
    <row r="5192" spans="1:37" ht="16.05" customHeight="1">
      <c r="A5192" s="172" t="s">
        <v>4813</v>
      </c>
      <c r="B5192" s="178">
        <v>1825</v>
      </c>
      <c r="C5192" s="126" t="s">
        <v>5473</v>
      </c>
      <c r="D5192">
        <v>3495</v>
      </c>
      <c r="E5192" s="125" t="s">
        <v>1997</v>
      </c>
      <c r="F5192" s="178" t="s">
        <v>1607</v>
      </c>
      <c r="G5192" s="178" t="s">
        <v>134</v>
      </c>
      <c r="H5192">
        <v>91</v>
      </c>
      <c r="I5192" s="178" t="s">
        <v>1546</v>
      </c>
      <c r="J5192" s="320" t="s">
        <v>214</v>
      </c>
      <c r="K5192" s="178" t="s">
        <v>4871</v>
      </c>
      <c r="L5192" s="125" t="s">
        <v>4849</v>
      </c>
      <c r="M5192">
        <v>514</v>
      </c>
      <c r="N5192" s="182">
        <v>17</v>
      </c>
      <c r="O5192">
        <v>3344</v>
      </c>
      <c r="P5192" s="131" t="s">
        <v>77</v>
      </c>
      <c r="Q5192" s="176">
        <v>203.91</v>
      </c>
      <c r="R5192" s="176"/>
      <c r="S5192" s="176"/>
      <c r="T5192" s="190">
        <v>0</v>
      </c>
      <c r="U5192" s="191"/>
      <c r="V5192" s="191">
        <v>203.91</v>
      </c>
      <c r="W5192">
        <v>93</v>
      </c>
      <c r="X5192" s="186" t="s">
        <v>3451</v>
      </c>
      <c r="Y5192" s="187" t="s">
        <v>55</v>
      </c>
      <c r="Z5192" s="311">
        <v>236</v>
      </c>
      <c r="AB5192" t="str">
        <f>IF(Table1[[#This Row],[TIPO2]]="costo", VLOOKUP(Table1[[#This Row],[PARTIDA PRESUPUESTAL]],'Cost Report'!G:G,1,0),"Balance")</f>
        <v>7230-001</v>
      </c>
      <c r="AD5192" s="159">
        <f>+Table1[[#This Row],[SUBTOTAL]]+Table1[[#This Row],[IVA]]-Table1[[#This Row],[RET IVA]]-Table1[[#This Row],[RET ISR]]-Table1[[#This Row],[TOTAL]]</f>
        <v>0</v>
      </c>
      <c r="AG5192" t="s">
        <v>3420</v>
      </c>
      <c r="AJ5192" s="213" t="s">
        <v>5479</v>
      </c>
      <c r="AK5192" s="306" t="str">
        <f>IF(ISNUMBER(Table1[[#This Row],[FECHA DE RECIBIDO]]), Table1[[#This Row],[FECHA DE RECIBIDO]]-DATE(2023,8,30), "")</f>
        <v/>
      </c>
    </row>
    <row r="5193" spans="1:37" ht="16.05" customHeight="1">
      <c r="A5193" s="172" t="s">
        <v>4814</v>
      </c>
      <c r="B5193" s="178">
        <v>1826</v>
      </c>
      <c r="C5193" s="179" t="s">
        <v>2851</v>
      </c>
      <c r="D5193">
        <v>3496</v>
      </c>
      <c r="E5193" s="125" t="s">
        <v>3275</v>
      </c>
      <c r="F5193" s="178" t="s">
        <v>1593</v>
      </c>
      <c r="G5193" s="178" t="s">
        <v>109</v>
      </c>
      <c r="H5193">
        <v>746</v>
      </c>
      <c r="I5193" s="178" t="s">
        <v>1546</v>
      </c>
      <c r="J5193" s="320" t="s">
        <v>214</v>
      </c>
      <c r="K5193" s="178" t="s">
        <v>4871</v>
      </c>
      <c r="L5193" s="125" t="s">
        <v>4849</v>
      </c>
      <c r="M5193">
        <v>1041</v>
      </c>
      <c r="N5193" s="182">
        <v>17</v>
      </c>
      <c r="O5193">
        <v>3345</v>
      </c>
      <c r="P5193" s="132" t="s">
        <v>77</v>
      </c>
      <c r="Q5193" s="176">
        <v>2335</v>
      </c>
      <c r="R5193" s="176">
        <v>373.6</v>
      </c>
      <c r="S5193" s="176"/>
      <c r="T5193" s="190">
        <v>0</v>
      </c>
      <c r="U5193" s="191"/>
      <c r="V5193" s="191">
        <v>2708.6</v>
      </c>
      <c r="W5193">
        <v>437</v>
      </c>
      <c r="X5193" s="186" t="s">
        <v>3451</v>
      </c>
      <c r="Y5193" s="187" t="s">
        <v>55</v>
      </c>
      <c r="Z5193" s="311">
        <v>236</v>
      </c>
      <c r="AB5193" t="str">
        <f>IF(Table1[[#This Row],[TIPO2]]="costo", VLOOKUP(Table1[[#This Row],[PARTIDA PRESUPUESTAL]],'Cost Report'!G:G,1,0),"Balance")</f>
        <v>3485-003</v>
      </c>
      <c r="AD5193" s="159">
        <f>+Table1[[#This Row],[SUBTOTAL]]+Table1[[#This Row],[IVA]]-Table1[[#This Row],[RET IVA]]-Table1[[#This Row],[RET ISR]]-Table1[[#This Row],[TOTAL]]</f>
        <v>0</v>
      </c>
      <c r="AG5193" t="s">
        <v>3420</v>
      </c>
      <c r="AK5193" s="306" t="str">
        <f>IF(ISNUMBER(Table1[[#This Row],[FECHA DE RECIBIDO]]), Table1[[#This Row],[FECHA DE RECIBIDO]]-DATE(2023,8,30), "")</f>
        <v/>
      </c>
    </row>
    <row r="5194" spans="1:37" ht="16.05" customHeight="1">
      <c r="A5194" s="172" t="s">
        <v>4814</v>
      </c>
      <c r="B5194" s="178">
        <v>1826</v>
      </c>
      <c r="C5194" s="179" t="s">
        <v>2829</v>
      </c>
      <c r="D5194">
        <v>3497</v>
      </c>
      <c r="E5194" s="125" t="e">
        <v>#N/A</v>
      </c>
      <c r="F5194" s="178" t="e">
        <v>#N/A</v>
      </c>
      <c r="G5194" s="178" t="e">
        <v>#N/A</v>
      </c>
      <c r="H5194">
        <v>36</v>
      </c>
      <c r="I5194" s="178" t="e">
        <v>#N/A</v>
      </c>
      <c r="J5194" s="320" t="s">
        <v>214</v>
      </c>
      <c r="K5194" s="178" t="s">
        <v>4871</v>
      </c>
      <c r="L5194" s="125" t="s">
        <v>4849</v>
      </c>
      <c r="M5194">
        <v>1208</v>
      </c>
      <c r="N5194" s="182">
        <v>17</v>
      </c>
      <c r="O5194">
        <v>3346</v>
      </c>
      <c r="P5194" s="132" t="s">
        <v>77</v>
      </c>
      <c r="Q5194" s="176">
        <v>1200</v>
      </c>
      <c r="R5194" s="176">
        <v>192</v>
      </c>
      <c r="S5194" s="176"/>
      <c r="T5194" s="190">
        <v>0</v>
      </c>
      <c r="U5194" s="191"/>
      <c r="V5194" s="191">
        <v>1392</v>
      </c>
      <c r="W5194">
        <v>437</v>
      </c>
      <c r="X5194" s="186" t="s">
        <v>3451</v>
      </c>
      <c r="Y5194" s="187" t="s">
        <v>55</v>
      </c>
      <c r="Z5194" s="311">
        <v>243</v>
      </c>
      <c r="AB5194" t="str">
        <f>IF(Table1[[#This Row],[TIPO2]]="costo", VLOOKUP(Table1[[#This Row],[PARTIDA PRESUPUESTAL]],'Cost Report'!G:G,1,0),"Balance")</f>
        <v>3412-138</v>
      </c>
      <c r="AD5194" s="159">
        <f>+Table1[[#This Row],[SUBTOTAL]]+Table1[[#This Row],[IVA]]-Table1[[#This Row],[RET IVA]]-Table1[[#This Row],[RET ISR]]-Table1[[#This Row],[TOTAL]]</f>
        <v>0</v>
      </c>
      <c r="AG5194" t="s">
        <v>3420</v>
      </c>
      <c r="AK5194" s="306" t="str">
        <f>IF(ISNUMBER(Table1[[#This Row],[FECHA DE RECIBIDO]]), Table1[[#This Row],[FECHA DE RECIBIDO]]-DATE(2023,8,30), "")</f>
        <v/>
      </c>
    </row>
    <row r="5195" spans="1:37" ht="16.05" customHeight="1">
      <c r="A5195" s="172" t="s">
        <v>4814</v>
      </c>
      <c r="B5195" s="178">
        <v>1826</v>
      </c>
      <c r="C5195" s="179" t="s">
        <v>2774</v>
      </c>
      <c r="D5195">
        <v>3498</v>
      </c>
      <c r="E5195" s="125" t="s">
        <v>1612</v>
      </c>
      <c r="F5195" s="178" t="s">
        <v>1382</v>
      </c>
      <c r="G5195" s="178" t="e">
        <v>#N/A</v>
      </c>
      <c r="H5195">
        <v>31</v>
      </c>
      <c r="I5195" s="178" t="s">
        <v>1546</v>
      </c>
      <c r="J5195" s="320" t="s">
        <v>214</v>
      </c>
      <c r="K5195" s="178" t="s">
        <v>4871</v>
      </c>
      <c r="L5195" s="125" t="s">
        <v>4849</v>
      </c>
      <c r="M5195">
        <v>69</v>
      </c>
      <c r="N5195" s="182">
        <v>17</v>
      </c>
      <c r="O5195">
        <v>3347</v>
      </c>
      <c r="P5195" s="132" t="s">
        <v>77</v>
      </c>
      <c r="Q5195" s="176">
        <v>47.38</v>
      </c>
      <c r="R5195" s="176">
        <v>2.62</v>
      </c>
      <c r="S5195" s="176"/>
      <c r="T5195" s="190">
        <v>0</v>
      </c>
      <c r="U5195" s="191"/>
      <c r="V5195" s="191">
        <v>50</v>
      </c>
      <c r="W5195">
        <v>437</v>
      </c>
      <c r="X5195" s="186" t="s">
        <v>3451</v>
      </c>
      <c r="Y5195" s="187" t="s">
        <v>55</v>
      </c>
      <c r="Z5195" s="311">
        <v>243</v>
      </c>
      <c r="AB5195" t="str">
        <f>IF(Table1[[#This Row],[TIPO2]]="costo", VLOOKUP(Table1[[#This Row],[PARTIDA PRESUPUESTAL]],'Cost Report'!G:G,1,0),"Balance")</f>
        <v>3401-042</v>
      </c>
      <c r="AD5195" s="159">
        <f>+Table1[[#This Row],[SUBTOTAL]]+Table1[[#This Row],[IVA]]-Table1[[#This Row],[RET IVA]]-Table1[[#This Row],[RET ISR]]-Table1[[#This Row],[TOTAL]]</f>
        <v>0</v>
      </c>
      <c r="AG5195" t="s">
        <v>3420</v>
      </c>
      <c r="AK5195" s="306" t="str">
        <f>IF(ISNUMBER(Table1[[#This Row],[FECHA DE RECIBIDO]]), Table1[[#This Row],[FECHA DE RECIBIDO]]-DATE(2023,8,30), "")</f>
        <v/>
      </c>
    </row>
    <row r="5196" spans="1:37" ht="16.05" customHeight="1">
      <c r="A5196" s="172" t="s">
        <v>4814</v>
      </c>
      <c r="B5196" s="178">
        <v>1826</v>
      </c>
      <c r="C5196" s="179" t="s">
        <v>2774</v>
      </c>
      <c r="D5196">
        <v>3499</v>
      </c>
      <c r="E5196" s="125" t="s">
        <v>1603</v>
      </c>
      <c r="F5196" s="178" t="s">
        <v>1607</v>
      </c>
      <c r="G5196" s="178" t="s">
        <v>134</v>
      </c>
      <c r="H5196">
        <v>873</v>
      </c>
      <c r="I5196" s="178" t="s">
        <v>1546</v>
      </c>
      <c r="J5196" s="320" t="s">
        <v>214</v>
      </c>
      <c r="K5196" s="178" t="s">
        <v>4871</v>
      </c>
      <c r="L5196" s="125" t="s">
        <v>4849</v>
      </c>
      <c r="M5196">
        <v>1209</v>
      </c>
      <c r="N5196" s="182">
        <v>17</v>
      </c>
      <c r="O5196">
        <v>278</v>
      </c>
      <c r="P5196" s="132" t="s">
        <v>77</v>
      </c>
      <c r="Q5196" s="176">
        <v>507.76</v>
      </c>
      <c r="R5196" s="176">
        <v>81.239999999999995</v>
      </c>
      <c r="S5196" s="176"/>
      <c r="T5196" s="190"/>
      <c r="U5196" s="191"/>
      <c r="V5196" s="191">
        <v>589</v>
      </c>
      <c r="W5196">
        <v>437</v>
      </c>
      <c r="X5196" s="186" t="s">
        <v>3451</v>
      </c>
      <c r="Y5196" s="187" t="s">
        <v>55</v>
      </c>
      <c r="Z5196" s="311">
        <v>243</v>
      </c>
      <c r="AB5196" t="str">
        <f>IF(Table1[[#This Row],[TIPO2]]="costo", VLOOKUP(Table1[[#This Row],[PARTIDA PRESUPUESTAL]],'Cost Report'!G:G,1,0),"Balance")</f>
        <v>3401-042</v>
      </c>
      <c r="AD5196" s="159">
        <f>+Table1[[#This Row],[SUBTOTAL]]+Table1[[#This Row],[IVA]]-Table1[[#This Row],[RET IVA]]-Table1[[#This Row],[RET ISR]]-Table1[[#This Row],[TOTAL]]</f>
        <v>0</v>
      </c>
      <c r="AG5196" t="s">
        <v>3420</v>
      </c>
      <c r="AK5196" s="306" t="str">
        <f>IF(ISNUMBER(Table1[[#This Row],[FECHA DE RECIBIDO]]), Table1[[#This Row],[FECHA DE RECIBIDO]]-DATE(2023,8,30), "")</f>
        <v/>
      </c>
    </row>
    <row r="5197" spans="1:37" ht="16.05" customHeight="1">
      <c r="A5197" s="172" t="s">
        <v>4814</v>
      </c>
      <c r="B5197" s="178">
        <v>1826</v>
      </c>
      <c r="C5197" s="179" t="s">
        <v>2851</v>
      </c>
      <c r="D5197">
        <v>3500</v>
      </c>
      <c r="E5197" s="125" t="s">
        <v>1612</v>
      </c>
      <c r="F5197" s="178" t="s">
        <v>1382</v>
      </c>
      <c r="G5197" s="178" t="e">
        <v>#N/A</v>
      </c>
      <c r="H5197">
        <v>31</v>
      </c>
      <c r="I5197" s="178" t="s">
        <v>1546</v>
      </c>
      <c r="J5197" s="320" t="s">
        <v>214</v>
      </c>
      <c r="K5197" s="178" t="s">
        <v>4871</v>
      </c>
      <c r="L5197" s="125" t="s">
        <v>4849</v>
      </c>
      <c r="M5197">
        <v>69</v>
      </c>
      <c r="N5197" s="182">
        <v>17</v>
      </c>
      <c r="O5197">
        <v>3348</v>
      </c>
      <c r="P5197" s="132" t="s">
        <v>77</v>
      </c>
      <c r="Q5197" s="176">
        <v>23.28</v>
      </c>
      <c r="R5197" s="176">
        <v>3.72</v>
      </c>
      <c r="S5197" s="176"/>
      <c r="T5197" s="190"/>
      <c r="U5197" s="191"/>
      <c r="V5197" s="191">
        <v>27</v>
      </c>
      <c r="W5197">
        <v>437</v>
      </c>
      <c r="X5197" s="186" t="s">
        <v>3451</v>
      </c>
      <c r="Y5197" s="187" t="s">
        <v>55</v>
      </c>
      <c r="Z5197" s="311">
        <v>243</v>
      </c>
      <c r="AB5197" t="str">
        <f>IF(Table1[[#This Row],[TIPO2]]="costo", VLOOKUP(Table1[[#This Row],[PARTIDA PRESUPUESTAL]],'Cost Report'!G:G,1,0),"Balance")</f>
        <v>3485-003</v>
      </c>
      <c r="AD5197" s="159">
        <f>+Table1[[#This Row],[SUBTOTAL]]+Table1[[#This Row],[IVA]]-Table1[[#This Row],[RET IVA]]-Table1[[#This Row],[RET ISR]]-Table1[[#This Row],[TOTAL]]</f>
        <v>0</v>
      </c>
      <c r="AG5197" t="s">
        <v>3420</v>
      </c>
      <c r="AK5197" s="306" t="str">
        <f>IF(ISNUMBER(Table1[[#This Row],[FECHA DE RECIBIDO]]), Table1[[#This Row],[FECHA DE RECIBIDO]]-DATE(2023,8,30), "")</f>
        <v/>
      </c>
    </row>
    <row r="5198" spans="1:37" ht="16.05" customHeight="1">
      <c r="A5198" s="172" t="s">
        <v>4814</v>
      </c>
      <c r="B5198" s="178">
        <v>1826</v>
      </c>
      <c r="C5198" s="179" t="s">
        <v>2774</v>
      </c>
      <c r="D5198">
        <v>3501</v>
      </c>
      <c r="E5198" s="125" t="s">
        <v>3267</v>
      </c>
      <c r="F5198" s="178" t="s">
        <v>3296</v>
      </c>
      <c r="G5198" s="178" t="s">
        <v>3297</v>
      </c>
      <c r="H5198">
        <v>874</v>
      </c>
      <c r="I5198" s="178" t="s">
        <v>1546</v>
      </c>
      <c r="J5198" s="320" t="s">
        <v>214</v>
      </c>
      <c r="K5198" s="178" t="s">
        <v>4871</v>
      </c>
      <c r="L5198" s="125" t="s">
        <v>4849</v>
      </c>
      <c r="M5198">
        <v>1210</v>
      </c>
      <c r="N5198" s="182">
        <v>17</v>
      </c>
      <c r="O5198">
        <v>3349</v>
      </c>
      <c r="P5198" s="132" t="s">
        <v>77</v>
      </c>
      <c r="Q5198" s="176">
        <v>184.48</v>
      </c>
      <c r="R5198" s="176">
        <v>29.52</v>
      </c>
      <c r="S5198" s="176"/>
      <c r="T5198" s="190"/>
      <c r="U5198" s="191"/>
      <c r="V5198" s="191">
        <v>214</v>
      </c>
      <c r="W5198">
        <v>437</v>
      </c>
      <c r="X5198" s="186" t="s">
        <v>3451</v>
      </c>
      <c r="Y5198" s="187" t="s">
        <v>55</v>
      </c>
      <c r="Z5198" s="311">
        <v>244</v>
      </c>
      <c r="AB5198" t="str">
        <f>IF(Table1[[#This Row],[TIPO2]]="costo", VLOOKUP(Table1[[#This Row],[PARTIDA PRESUPUESTAL]],'Cost Report'!G:G,1,0),"Balance")</f>
        <v>3401-042</v>
      </c>
      <c r="AD5198" s="159">
        <f>+Table1[[#This Row],[SUBTOTAL]]+Table1[[#This Row],[IVA]]-Table1[[#This Row],[RET IVA]]-Table1[[#This Row],[RET ISR]]-Table1[[#This Row],[TOTAL]]</f>
        <v>0</v>
      </c>
      <c r="AG5198" t="s">
        <v>3420</v>
      </c>
      <c r="AK5198" s="306" t="str">
        <f>IF(ISNUMBER(Table1[[#This Row],[FECHA DE RECIBIDO]]), Table1[[#This Row],[FECHA DE RECIBIDO]]-DATE(2023,8,30), "")</f>
        <v/>
      </c>
    </row>
    <row r="5199" spans="1:37" ht="16.05" customHeight="1">
      <c r="A5199" s="172" t="s">
        <v>4814</v>
      </c>
      <c r="B5199" s="178">
        <v>1826</v>
      </c>
      <c r="C5199" s="179" t="s">
        <v>2774</v>
      </c>
      <c r="D5199">
        <v>3502</v>
      </c>
      <c r="E5199" s="125" t="s">
        <v>1645</v>
      </c>
      <c r="F5199" s="178" t="s">
        <v>1607</v>
      </c>
      <c r="G5199" s="178" t="s">
        <v>134</v>
      </c>
      <c r="H5199">
        <v>834</v>
      </c>
      <c r="I5199" s="178" t="s">
        <v>1546</v>
      </c>
      <c r="J5199" s="320" t="s">
        <v>214</v>
      </c>
      <c r="K5199" s="178" t="s">
        <v>4871</v>
      </c>
      <c r="L5199" s="125" t="s">
        <v>4849</v>
      </c>
      <c r="M5199">
        <v>1155</v>
      </c>
      <c r="N5199" s="182">
        <v>17</v>
      </c>
      <c r="O5199">
        <v>3350</v>
      </c>
      <c r="P5199" s="132" t="s">
        <v>77</v>
      </c>
      <c r="Q5199" s="176">
        <f>41.31+1.93</f>
        <v>43.24</v>
      </c>
      <c r="R5199" s="176">
        <v>2.76</v>
      </c>
      <c r="S5199" s="176">
        <v>1.93</v>
      </c>
      <c r="T5199" s="190"/>
      <c r="U5199" s="191"/>
      <c r="V5199" s="191">
        <v>46</v>
      </c>
      <c r="W5199">
        <v>437</v>
      </c>
      <c r="X5199" s="186" t="s">
        <v>3451</v>
      </c>
      <c r="Y5199" s="187" t="s">
        <v>55</v>
      </c>
      <c r="Z5199" s="311">
        <v>244</v>
      </c>
      <c r="AB5199" t="str">
        <f>IF(Table1[[#This Row],[TIPO2]]="costo", VLOOKUP(Table1[[#This Row],[PARTIDA PRESUPUESTAL]],'Cost Report'!G:G,1,0),"Balance")</f>
        <v>3401-042</v>
      </c>
      <c r="AD5199" s="159">
        <f>+Table1[[#This Row],[SUBTOTAL]]+Table1[[#This Row],[IVA]]-Table1[[#This Row],[RET IVA]]-Table1[[#This Row],[RET ISR]]-Table1[[#This Row],[TOTAL]]</f>
        <v>0</v>
      </c>
      <c r="AG5199" t="s">
        <v>3420</v>
      </c>
      <c r="AK5199" s="306" t="str">
        <f>IF(ISNUMBER(Table1[[#This Row],[FECHA DE RECIBIDO]]), Table1[[#This Row],[FECHA DE RECIBIDO]]-DATE(2023,8,30), "")</f>
        <v/>
      </c>
    </row>
    <row r="5200" spans="1:37" ht="16.05" customHeight="1">
      <c r="A5200" s="172" t="s">
        <v>4814</v>
      </c>
      <c r="B5200" s="178">
        <v>1826</v>
      </c>
      <c r="C5200" s="179" t="s">
        <v>2774</v>
      </c>
      <c r="D5200">
        <v>3503</v>
      </c>
      <c r="E5200" s="125" t="s">
        <v>1603</v>
      </c>
      <c r="F5200" s="178" t="s">
        <v>1607</v>
      </c>
      <c r="G5200" s="178" t="s">
        <v>134</v>
      </c>
      <c r="H5200">
        <v>875</v>
      </c>
      <c r="I5200" s="178" t="s">
        <v>1546</v>
      </c>
      <c r="J5200" s="320" t="s">
        <v>214</v>
      </c>
      <c r="K5200" s="178" t="s">
        <v>4871</v>
      </c>
      <c r="L5200" s="125" t="s">
        <v>4849</v>
      </c>
      <c r="M5200">
        <v>1211</v>
      </c>
      <c r="N5200" s="182">
        <v>17</v>
      </c>
      <c r="O5200">
        <v>3349</v>
      </c>
      <c r="P5200" s="132" t="s">
        <v>77</v>
      </c>
      <c r="Q5200" s="176">
        <v>168.97</v>
      </c>
      <c r="R5200" s="176">
        <v>27.04</v>
      </c>
      <c r="S5200" s="176"/>
      <c r="T5200" s="190"/>
      <c r="U5200" s="191"/>
      <c r="V5200" s="191">
        <v>196.01</v>
      </c>
      <c r="W5200">
        <v>437</v>
      </c>
      <c r="X5200" s="186" t="s">
        <v>3451</v>
      </c>
      <c r="Y5200" s="187" t="s">
        <v>55</v>
      </c>
      <c r="Z5200" s="311">
        <v>244</v>
      </c>
      <c r="AB5200" t="str">
        <f>IF(Table1[[#This Row],[TIPO2]]="costo", VLOOKUP(Table1[[#This Row],[PARTIDA PRESUPUESTAL]],'Cost Report'!G:G,1,0),"Balance")</f>
        <v>3401-042</v>
      </c>
      <c r="AD5200" s="159">
        <f>+Table1[[#This Row],[SUBTOTAL]]+Table1[[#This Row],[IVA]]-Table1[[#This Row],[RET IVA]]-Table1[[#This Row],[RET ISR]]-Table1[[#This Row],[TOTAL]]</f>
        <v>0</v>
      </c>
      <c r="AG5200" t="s">
        <v>3420</v>
      </c>
      <c r="AK5200" s="306" t="str">
        <f>IF(ISNUMBER(Table1[[#This Row],[FECHA DE RECIBIDO]]), Table1[[#This Row],[FECHA DE RECIBIDO]]-DATE(2023,8,30), "")</f>
        <v/>
      </c>
    </row>
    <row r="5201" spans="1:37" ht="16.05" customHeight="1">
      <c r="A5201" s="172" t="s">
        <v>4814</v>
      </c>
      <c r="B5201" s="178">
        <v>1826</v>
      </c>
      <c r="C5201" s="179" t="s">
        <v>2774</v>
      </c>
      <c r="D5201">
        <v>3504</v>
      </c>
      <c r="E5201" s="125" t="s">
        <v>4850</v>
      </c>
      <c r="F5201" s="178" t="s">
        <v>1607</v>
      </c>
      <c r="G5201" s="178" t="s">
        <v>134</v>
      </c>
      <c r="H5201">
        <v>131</v>
      </c>
      <c r="I5201" s="178" t="s">
        <v>1546</v>
      </c>
      <c r="J5201" s="320" t="s">
        <v>214</v>
      </c>
      <c r="K5201" s="178" t="s">
        <v>4871</v>
      </c>
      <c r="L5201" s="125" t="s">
        <v>4849</v>
      </c>
      <c r="M5201">
        <v>172</v>
      </c>
      <c r="N5201" s="182">
        <v>17</v>
      </c>
      <c r="O5201">
        <v>3351</v>
      </c>
      <c r="P5201" s="132" t="s">
        <v>77</v>
      </c>
      <c r="Q5201" s="176">
        <v>128.44999999999999</v>
      </c>
      <c r="R5201" s="176">
        <v>20.55</v>
      </c>
      <c r="S5201" s="176"/>
      <c r="T5201" s="190"/>
      <c r="U5201" s="191"/>
      <c r="V5201" s="191">
        <v>149</v>
      </c>
      <c r="W5201">
        <v>437</v>
      </c>
      <c r="X5201" s="186" t="s">
        <v>3451</v>
      </c>
      <c r="Y5201" s="187" t="s">
        <v>55</v>
      </c>
      <c r="Z5201" s="311">
        <v>244</v>
      </c>
      <c r="AB5201" t="str">
        <f>IF(Table1[[#This Row],[TIPO2]]="costo", VLOOKUP(Table1[[#This Row],[PARTIDA PRESUPUESTAL]],'Cost Report'!G:G,1,0),"Balance")</f>
        <v>3401-042</v>
      </c>
      <c r="AD5201" s="159">
        <f>+Table1[[#This Row],[SUBTOTAL]]+Table1[[#This Row],[IVA]]-Table1[[#This Row],[RET IVA]]-Table1[[#This Row],[RET ISR]]-Table1[[#This Row],[TOTAL]]</f>
        <v>0</v>
      </c>
      <c r="AG5201" t="s">
        <v>3420</v>
      </c>
      <c r="AK5201" s="306" t="str">
        <f>IF(ISNUMBER(Table1[[#This Row],[FECHA DE RECIBIDO]]), Table1[[#This Row],[FECHA DE RECIBIDO]]-DATE(2023,8,30), "")</f>
        <v/>
      </c>
    </row>
    <row r="5202" spans="1:37" ht="16.05" customHeight="1">
      <c r="A5202" s="172" t="s">
        <v>4814</v>
      </c>
      <c r="B5202" s="178">
        <v>1826</v>
      </c>
      <c r="C5202" s="179" t="s">
        <v>2774</v>
      </c>
      <c r="D5202">
        <v>3505</v>
      </c>
      <c r="E5202" s="125" t="s">
        <v>4850</v>
      </c>
      <c r="F5202" s="178" t="s">
        <v>1607</v>
      </c>
      <c r="G5202" s="178" t="s">
        <v>134</v>
      </c>
      <c r="H5202">
        <v>131</v>
      </c>
      <c r="I5202" s="178" t="s">
        <v>1546</v>
      </c>
      <c r="J5202" s="320" t="s">
        <v>214</v>
      </c>
      <c r="K5202" s="178" t="s">
        <v>4871</v>
      </c>
      <c r="L5202" s="125" t="s">
        <v>4849</v>
      </c>
      <c r="M5202">
        <v>172</v>
      </c>
      <c r="N5202" s="182">
        <v>17</v>
      </c>
      <c r="O5202">
        <v>3351</v>
      </c>
      <c r="P5202" s="132" t="s">
        <v>77</v>
      </c>
      <c r="Q5202" s="176">
        <v>201.72</v>
      </c>
      <c r="R5202" s="176">
        <v>32.28</v>
      </c>
      <c r="S5202" s="176"/>
      <c r="T5202" s="190"/>
      <c r="U5202" s="191"/>
      <c r="V5202" s="191">
        <v>234</v>
      </c>
      <c r="W5202">
        <v>437</v>
      </c>
      <c r="X5202" s="186" t="s">
        <v>3451</v>
      </c>
      <c r="Y5202" s="187" t="s">
        <v>55</v>
      </c>
      <c r="Z5202" s="311">
        <v>244</v>
      </c>
      <c r="AB5202" t="str">
        <f>IF(Table1[[#This Row],[TIPO2]]="costo", VLOOKUP(Table1[[#This Row],[PARTIDA PRESUPUESTAL]],'Cost Report'!G:G,1,0),"Balance")</f>
        <v>3401-042</v>
      </c>
      <c r="AD5202" s="159">
        <f>+Table1[[#This Row],[SUBTOTAL]]+Table1[[#This Row],[IVA]]-Table1[[#This Row],[RET IVA]]-Table1[[#This Row],[RET ISR]]-Table1[[#This Row],[TOTAL]]</f>
        <v>0</v>
      </c>
      <c r="AG5202" t="s">
        <v>3420</v>
      </c>
      <c r="AK5202" s="306" t="str">
        <f>IF(ISNUMBER(Table1[[#This Row],[FECHA DE RECIBIDO]]), Table1[[#This Row],[FECHA DE RECIBIDO]]-DATE(2023,8,30), "")</f>
        <v/>
      </c>
    </row>
    <row r="5203" spans="1:37" ht="16.05" customHeight="1">
      <c r="A5203" s="172" t="s">
        <v>4814</v>
      </c>
      <c r="B5203" s="178">
        <v>1826</v>
      </c>
      <c r="C5203" s="179" t="s">
        <v>2829</v>
      </c>
      <c r="D5203">
        <v>3506</v>
      </c>
      <c r="E5203" s="125" t="s">
        <v>1613</v>
      </c>
      <c r="F5203" s="178" t="s">
        <v>1607</v>
      </c>
      <c r="G5203" s="178" t="s">
        <v>134</v>
      </c>
      <c r="H5203">
        <v>876</v>
      </c>
      <c r="I5203" s="178" t="s">
        <v>1546</v>
      </c>
      <c r="J5203" s="320" t="s">
        <v>214</v>
      </c>
      <c r="K5203" s="178" t="s">
        <v>4871</v>
      </c>
      <c r="L5203" s="125" t="s">
        <v>4849</v>
      </c>
      <c r="M5203">
        <v>1208</v>
      </c>
      <c r="N5203" s="182">
        <v>17</v>
      </c>
      <c r="O5203">
        <v>3352</v>
      </c>
      <c r="P5203" s="132" t="s">
        <v>77</v>
      </c>
      <c r="Q5203" s="176">
        <v>1200</v>
      </c>
      <c r="R5203" s="176">
        <v>192</v>
      </c>
      <c r="S5203" s="176"/>
      <c r="T5203" s="190"/>
      <c r="U5203" s="191"/>
      <c r="V5203" s="191">
        <v>1392</v>
      </c>
      <c r="W5203">
        <v>437</v>
      </c>
      <c r="X5203" s="186" t="s">
        <v>3451</v>
      </c>
      <c r="Y5203" s="187" t="s">
        <v>55</v>
      </c>
      <c r="Z5203" s="311">
        <v>244</v>
      </c>
      <c r="AB5203" t="str">
        <f>IF(Table1[[#This Row],[TIPO2]]="costo", VLOOKUP(Table1[[#This Row],[PARTIDA PRESUPUESTAL]],'Cost Report'!G:G,1,0),"Balance")</f>
        <v>3412-138</v>
      </c>
      <c r="AD5203" s="159">
        <f>+Table1[[#This Row],[SUBTOTAL]]+Table1[[#This Row],[IVA]]-Table1[[#This Row],[RET IVA]]-Table1[[#This Row],[RET ISR]]-Table1[[#This Row],[TOTAL]]</f>
        <v>0</v>
      </c>
      <c r="AG5203" t="s">
        <v>3420</v>
      </c>
      <c r="AK5203" s="306" t="str">
        <f>IF(ISNUMBER(Table1[[#This Row],[FECHA DE RECIBIDO]]), Table1[[#This Row],[FECHA DE RECIBIDO]]-DATE(2023,8,30), "")</f>
        <v/>
      </c>
    </row>
    <row r="5204" spans="1:37" ht="16.05" customHeight="1">
      <c r="A5204" s="172" t="s">
        <v>4814</v>
      </c>
      <c r="B5204" s="178">
        <v>1826</v>
      </c>
      <c r="C5204" s="179" t="s">
        <v>2829</v>
      </c>
      <c r="D5204">
        <v>3507</v>
      </c>
      <c r="E5204" s="125" t="s">
        <v>1613</v>
      </c>
      <c r="F5204" s="178" t="s">
        <v>1607</v>
      </c>
      <c r="G5204" s="178" t="s">
        <v>134</v>
      </c>
      <c r="H5204">
        <v>876</v>
      </c>
      <c r="I5204" s="178" t="s">
        <v>1546</v>
      </c>
      <c r="J5204" s="320" t="s">
        <v>214</v>
      </c>
      <c r="K5204" s="178" t="s">
        <v>4871</v>
      </c>
      <c r="L5204" s="125" t="s">
        <v>4849</v>
      </c>
      <c r="M5204">
        <v>1208</v>
      </c>
      <c r="N5204" s="182">
        <v>17</v>
      </c>
      <c r="O5204">
        <v>3353</v>
      </c>
      <c r="P5204" s="132" t="s">
        <v>77</v>
      </c>
      <c r="Q5204" s="176">
        <v>1200</v>
      </c>
      <c r="R5204" s="176">
        <v>192</v>
      </c>
      <c r="S5204" s="176"/>
      <c r="T5204" s="190"/>
      <c r="U5204" s="191"/>
      <c r="V5204" s="191">
        <v>1392</v>
      </c>
      <c r="W5204">
        <v>437</v>
      </c>
      <c r="X5204" s="186" t="s">
        <v>3451</v>
      </c>
      <c r="Y5204" s="187" t="s">
        <v>55</v>
      </c>
      <c r="Z5204" s="311">
        <v>244</v>
      </c>
      <c r="AB5204" t="str">
        <f>IF(Table1[[#This Row],[TIPO2]]="costo", VLOOKUP(Table1[[#This Row],[PARTIDA PRESUPUESTAL]],'Cost Report'!G:G,1,0),"Balance")</f>
        <v>3412-138</v>
      </c>
      <c r="AD5204" s="159">
        <f>+Table1[[#This Row],[SUBTOTAL]]+Table1[[#This Row],[IVA]]-Table1[[#This Row],[RET IVA]]-Table1[[#This Row],[RET ISR]]-Table1[[#This Row],[TOTAL]]</f>
        <v>0</v>
      </c>
      <c r="AG5204" t="s">
        <v>3420</v>
      </c>
      <c r="AK5204" s="306" t="str">
        <f>IF(ISNUMBER(Table1[[#This Row],[FECHA DE RECIBIDO]]), Table1[[#This Row],[FECHA DE RECIBIDO]]-DATE(2023,8,30), "")</f>
        <v/>
      </c>
    </row>
    <row r="5205" spans="1:37" ht="16.05" customHeight="1">
      <c r="A5205" s="172" t="s">
        <v>4814</v>
      </c>
      <c r="B5205" s="178">
        <v>1826</v>
      </c>
      <c r="C5205" s="179" t="s">
        <v>2774</v>
      </c>
      <c r="D5205">
        <v>3508</v>
      </c>
      <c r="E5205" s="125" t="s">
        <v>1645</v>
      </c>
      <c r="F5205" s="178" t="s">
        <v>1607</v>
      </c>
      <c r="G5205" s="178" t="s">
        <v>134</v>
      </c>
      <c r="H5205">
        <v>877</v>
      </c>
      <c r="I5205" s="178" t="s">
        <v>1546</v>
      </c>
      <c r="J5205" s="320" t="s">
        <v>214</v>
      </c>
      <c r="K5205" s="178" t="s">
        <v>4871</v>
      </c>
      <c r="L5205" s="125" t="s">
        <v>4849</v>
      </c>
      <c r="M5205">
        <v>1212</v>
      </c>
      <c r="N5205" s="182">
        <v>17</v>
      </c>
      <c r="O5205">
        <v>279</v>
      </c>
      <c r="P5205" s="132" t="s">
        <v>77</v>
      </c>
      <c r="Q5205" s="176">
        <v>191.38</v>
      </c>
      <c r="R5205" s="176">
        <v>30.64</v>
      </c>
      <c r="S5205" s="176"/>
      <c r="T5205" s="190"/>
      <c r="U5205" s="191"/>
      <c r="V5205" s="191">
        <v>222.01999999999998</v>
      </c>
      <c r="W5205">
        <v>437</v>
      </c>
      <c r="X5205" s="186" t="s">
        <v>3451</v>
      </c>
      <c r="Y5205" s="187" t="s">
        <v>55</v>
      </c>
      <c r="Z5205" s="311">
        <v>244</v>
      </c>
      <c r="AB5205" t="str">
        <f>IF(Table1[[#This Row],[TIPO2]]="costo", VLOOKUP(Table1[[#This Row],[PARTIDA PRESUPUESTAL]],'Cost Report'!G:G,1,0),"Balance")</f>
        <v>3401-042</v>
      </c>
      <c r="AD5205" s="159">
        <f>+Table1[[#This Row],[SUBTOTAL]]+Table1[[#This Row],[IVA]]-Table1[[#This Row],[RET IVA]]-Table1[[#This Row],[RET ISR]]-Table1[[#This Row],[TOTAL]]</f>
        <v>0</v>
      </c>
      <c r="AG5205" t="s">
        <v>3420</v>
      </c>
      <c r="AK5205" s="306" t="str">
        <f>IF(ISNUMBER(Table1[[#This Row],[FECHA DE RECIBIDO]]), Table1[[#This Row],[FECHA DE RECIBIDO]]-DATE(2023,8,30), "")</f>
        <v/>
      </c>
    </row>
    <row r="5206" spans="1:37" ht="16.05" customHeight="1">
      <c r="A5206" s="172" t="s">
        <v>4814</v>
      </c>
      <c r="B5206" s="178">
        <v>1826</v>
      </c>
      <c r="C5206" s="179" t="s">
        <v>2774</v>
      </c>
      <c r="D5206">
        <v>3509</v>
      </c>
      <c r="E5206" s="125" t="s">
        <v>3292</v>
      </c>
      <c r="F5206" s="178" t="s">
        <v>1382</v>
      </c>
      <c r="G5206" s="178" t="e">
        <v>#N/A</v>
      </c>
      <c r="H5206">
        <v>31</v>
      </c>
      <c r="I5206" s="178" t="s">
        <v>1546</v>
      </c>
      <c r="J5206" s="320" t="s">
        <v>214</v>
      </c>
      <c r="K5206" s="178" t="s">
        <v>4871</v>
      </c>
      <c r="L5206" s="125" t="s">
        <v>4849</v>
      </c>
      <c r="M5206">
        <v>69</v>
      </c>
      <c r="N5206" s="182">
        <v>17</v>
      </c>
      <c r="O5206">
        <v>3354</v>
      </c>
      <c r="P5206" s="132" t="s">
        <v>77</v>
      </c>
      <c r="Q5206" s="176">
        <v>29</v>
      </c>
      <c r="R5206" s="176"/>
      <c r="S5206" s="176"/>
      <c r="T5206" s="190"/>
      <c r="U5206" s="191"/>
      <c r="V5206" s="191">
        <v>29</v>
      </c>
      <c r="W5206">
        <v>437</v>
      </c>
      <c r="X5206" s="186" t="s">
        <v>3451</v>
      </c>
      <c r="Y5206" s="187" t="s">
        <v>55</v>
      </c>
      <c r="Z5206" s="311">
        <v>244</v>
      </c>
      <c r="AB5206" t="str">
        <f>IF(Table1[[#This Row],[TIPO2]]="costo", VLOOKUP(Table1[[#This Row],[PARTIDA PRESUPUESTAL]],'Cost Report'!G:G,1,0),"Balance")</f>
        <v>3401-042</v>
      </c>
      <c r="AD5206" s="159">
        <f>+Table1[[#This Row],[SUBTOTAL]]+Table1[[#This Row],[IVA]]-Table1[[#This Row],[RET IVA]]-Table1[[#This Row],[RET ISR]]-Table1[[#This Row],[TOTAL]]</f>
        <v>0</v>
      </c>
      <c r="AG5206" t="s">
        <v>3420</v>
      </c>
      <c r="AK5206" s="306" t="str">
        <f>IF(ISNUMBER(Table1[[#This Row],[FECHA DE RECIBIDO]]), Table1[[#This Row],[FECHA DE RECIBIDO]]-DATE(2023,8,30), "")</f>
        <v/>
      </c>
    </row>
    <row r="5207" spans="1:37" ht="16.05" customHeight="1">
      <c r="A5207" s="172" t="s">
        <v>4814</v>
      </c>
      <c r="B5207" s="178">
        <v>1826</v>
      </c>
      <c r="C5207" s="179" t="s">
        <v>2774</v>
      </c>
      <c r="D5207">
        <v>3510</v>
      </c>
      <c r="E5207" s="125" t="s">
        <v>1612</v>
      </c>
      <c r="F5207" s="178" t="s">
        <v>1382</v>
      </c>
      <c r="G5207" s="178" t="e">
        <v>#N/A</v>
      </c>
      <c r="H5207">
        <v>31</v>
      </c>
      <c r="I5207" s="178" t="s">
        <v>1546</v>
      </c>
      <c r="J5207" s="320" t="s">
        <v>214</v>
      </c>
      <c r="K5207" s="178" t="s">
        <v>4871</v>
      </c>
      <c r="L5207" s="125" t="s">
        <v>4849</v>
      </c>
      <c r="M5207">
        <v>69</v>
      </c>
      <c r="N5207" s="182">
        <v>17</v>
      </c>
      <c r="O5207">
        <v>3347</v>
      </c>
      <c r="P5207" s="132" t="s">
        <v>77</v>
      </c>
      <c r="Q5207" s="176">
        <v>59</v>
      </c>
      <c r="R5207" s="176"/>
      <c r="S5207" s="176"/>
      <c r="T5207" s="190"/>
      <c r="U5207" s="191"/>
      <c r="V5207" s="191">
        <v>59</v>
      </c>
      <c r="W5207">
        <v>437</v>
      </c>
      <c r="X5207" s="186" t="s">
        <v>3451</v>
      </c>
      <c r="Y5207" s="187" t="s">
        <v>55</v>
      </c>
      <c r="Z5207" s="311">
        <v>244</v>
      </c>
      <c r="AB5207" t="str">
        <f>IF(Table1[[#This Row],[TIPO2]]="costo", VLOOKUP(Table1[[#This Row],[PARTIDA PRESUPUESTAL]],'Cost Report'!G:G,1,0),"Balance")</f>
        <v>3401-042</v>
      </c>
      <c r="AD5207" s="159">
        <f>+Table1[[#This Row],[SUBTOTAL]]+Table1[[#This Row],[IVA]]-Table1[[#This Row],[RET IVA]]-Table1[[#This Row],[RET ISR]]-Table1[[#This Row],[TOTAL]]</f>
        <v>0</v>
      </c>
      <c r="AG5207" t="s">
        <v>3420</v>
      </c>
      <c r="AK5207" s="306" t="str">
        <f>IF(ISNUMBER(Table1[[#This Row],[FECHA DE RECIBIDO]]), Table1[[#This Row],[FECHA DE RECIBIDO]]-DATE(2023,8,30), "")</f>
        <v/>
      </c>
    </row>
    <row r="5208" spans="1:37" ht="16.05" customHeight="1">
      <c r="A5208" s="172" t="s">
        <v>4814</v>
      </c>
      <c r="B5208" s="178">
        <v>1826</v>
      </c>
      <c r="C5208" s="179" t="s">
        <v>2774</v>
      </c>
      <c r="D5208">
        <v>3511</v>
      </c>
      <c r="E5208" s="125" t="s">
        <v>3961</v>
      </c>
      <c r="F5208" s="178" t="s">
        <v>1384</v>
      </c>
      <c r="G5208" s="178" t="s">
        <v>1625</v>
      </c>
      <c r="H5208">
        <v>878</v>
      </c>
      <c r="I5208" s="178" t="s">
        <v>1546</v>
      </c>
      <c r="J5208" s="320" t="s">
        <v>214</v>
      </c>
      <c r="K5208" s="178" t="s">
        <v>4871</v>
      </c>
      <c r="L5208" s="125" t="s">
        <v>4849</v>
      </c>
      <c r="M5208">
        <v>1213</v>
      </c>
      <c r="N5208" s="182">
        <v>17</v>
      </c>
      <c r="O5208">
        <v>3355</v>
      </c>
      <c r="P5208" s="132" t="s">
        <v>77</v>
      </c>
      <c r="Q5208" s="176">
        <v>34.39</v>
      </c>
      <c r="R5208" s="176">
        <v>5.5</v>
      </c>
      <c r="S5208" s="176"/>
      <c r="T5208" s="190"/>
      <c r="U5208" s="191"/>
      <c r="V5208" s="191">
        <v>39.89</v>
      </c>
      <c r="W5208">
        <v>437</v>
      </c>
      <c r="X5208" s="186" t="s">
        <v>3451</v>
      </c>
      <c r="Y5208" s="187" t="s">
        <v>55</v>
      </c>
      <c r="Z5208" s="311">
        <v>244</v>
      </c>
      <c r="AB5208" t="str">
        <f>IF(Table1[[#This Row],[TIPO2]]="costo", VLOOKUP(Table1[[#This Row],[PARTIDA PRESUPUESTAL]],'Cost Report'!G:G,1,0),"Balance")</f>
        <v>3401-042</v>
      </c>
      <c r="AD5208" s="159">
        <f>+Table1[[#This Row],[SUBTOTAL]]+Table1[[#This Row],[IVA]]-Table1[[#This Row],[RET IVA]]-Table1[[#This Row],[RET ISR]]-Table1[[#This Row],[TOTAL]]</f>
        <v>0</v>
      </c>
      <c r="AG5208" t="s">
        <v>3420</v>
      </c>
      <c r="AK5208" s="306" t="str">
        <f>IF(ISNUMBER(Table1[[#This Row],[FECHA DE RECIBIDO]]), Table1[[#This Row],[FECHA DE RECIBIDO]]-DATE(2023,8,30), "")</f>
        <v/>
      </c>
    </row>
    <row r="5209" spans="1:37" ht="16.05" customHeight="1">
      <c r="A5209" s="172" t="s">
        <v>4814</v>
      </c>
      <c r="B5209" s="178">
        <v>1826</v>
      </c>
      <c r="C5209" s="179" t="s">
        <v>2774</v>
      </c>
      <c r="D5209">
        <v>3512</v>
      </c>
      <c r="E5209" s="125" t="s">
        <v>4851</v>
      </c>
      <c r="F5209" s="178" t="s">
        <v>1384</v>
      </c>
      <c r="G5209" s="178" t="s">
        <v>1625</v>
      </c>
      <c r="H5209">
        <v>879</v>
      </c>
      <c r="I5209" s="178" t="s">
        <v>1546</v>
      </c>
      <c r="J5209" s="320" t="s">
        <v>214</v>
      </c>
      <c r="K5209" s="178" t="s">
        <v>4871</v>
      </c>
      <c r="L5209" s="125" t="s">
        <v>4849</v>
      </c>
      <c r="M5209">
        <v>1214</v>
      </c>
      <c r="N5209" s="182">
        <v>17</v>
      </c>
      <c r="O5209">
        <v>3355</v>
      </c>
      <c r="P5209" s="132" t="s">
        <v>77</v>
      </c>
      <c r="Q5209" s="176">
        <v>36.619999999999997</v>
      </c>
      <c r="R5209" s="176">
        <v>5.86</v>
      </c>
      <c r="S5209" s="176"/>
      <c r="T5209" s="190"/>
      <c r="U5209" s="191"/>
      <c r="V5209" s="191">
        <v>42.48</v>
      </c>
      <c r="W5209">
        <v>437</v>
      </c>
      <c r="X5209" s="186" t="s">
        <v>3451</v>
      </c>
      <c r="Y5209" s="187" t="s">
        <v>55</v>
      </c>
      <c r="Z5209" s="311">
        <v>244</v>
      </c>
      <c r="AB5209" t="str">
        <f>IF(Table1[[#This Row],[TIPO2]]="costo", VLOOKUP(Table1[[#This Row],[PARTIDA PRESUPUESTAL]],'Cost Report'!G:G,1,0),"Balance")</f>
        <v>3401-042</v>
      </c>
      <c r="AD5209" s="159">
        <f>+Table1[[#This Row],[SUBTOTAL]]+Table1[[#This Row],[IVA]]-Table1[[#This Row],[RET IVA]]-Table1[[#This Row],[RET ISR]]-Table1[[#This Row],[TOTAL]]</f>
        <v>0</v>
      </c>
      <c r="AG5209" t="s">
        <v>3420</v>
      </c>
      <c r="AK5209" s="306" t="str">
        <f>IF(ISNUMBER(Table1[[#This Row],[FECHA DE RECIBIDO]]), Table1[[#This Row],[FECHA DE RECIBIDO]]-DATE(2023,8,30), "")</f>
        <v/>
      </c>
    </row>
    <row r="5210" spans="1:37" ht="16.05" customHeight="1">
      <c r="A5210" s="172" t="s">
        <v>4814</v>
      </c>
      <c r="B5210" s="178">
        <v>1826</v>
      </c>
      <c r="C5210" s="179" t="s">
        <v>2774</v>
      </c>
      <c r="D5210">
        <v>3513</v>
      </c>
      <c r="E5210" s="125" t="s">
        <v>4111</v>
      </c>
      <c r="F5210" s="178" t="s">
        <v>1384</v>
      </c>
      <c r="G5210" s="178" t="s">
        <v>1625</v>
      </c>
      <c r="H5210">
        <v>880</v>
      </c>
      <c r="I5210" s="178" t="s">
        <v>1546</v>
      </c>
      <c r="J5210" s="320" t="s">
        <v>214</v>
      </c>
      <c r="K5210" s="178" t="s">
        <v>4871</v>
      </c>
      <c r="L5210" s="125" t="s">
        <v>4849</v>
      </c>
      <c r="M5210">
        <v>1215</v>
      </c>
      <c r="N5210" s="182">
        <v>17</v>
      </c>
      <c r="O5210">
        <v>3355</v>
      </c>
      <c r="P5210" s="132" t="s">
        <v>77</v>
      </c>
      <c r="Q5210" s="176">
        <v>36.97</v>
      </c>
      <c r="R5210" s="176">
        <v>5.92</v>
      </c>
      <c r="S5210" s="176"/>
      <c r="T5210" s="190"/>
      <c r="U5210" s="191"/>
      <c r="V5210" s="191">
        <v>42.89</v>
      </c>
      <c r="W5210">
        <v>437</v>
      </c>
      <c r="X5210" s="186" t="s">
        <v>3451</v>
      </c>
      <c r="Y5210" s="187" t="s">
        <v>55</v>
      </c>
      <c r="Z5210" s="311">
        <v>244</v>
      </c>
      <c r="AB5210" t="str">
        <f>IF(Table1[[#This Row],[TIPO2]]="costo", VLOOKUP(Table1[[#This Row],[PARTIDA PRESUPUESTAL]],'Cost Report'!G:G,1,0),"Balance")</f>
        <v>3401-042</v>
      </c>
      <c r="AD5210" s="159">
        <f>+Table1[[#This Row],[SUBTOTAL]]+Table1[[#This Row],[IVA]]-Table1[[#This Row],[RET IVA]]-Table1[[#This Row],[RET ISR]]-Table1[[#This Row],[TOTAL]]</f>
        <v>0</v>
      </c>
      <c r="AG5210" t="s">
        <v>3420</v>
      </c>
      <c r="AK5210" s="306" t="str">
        <f>IF(ISNUMBER(Table1[[#This Row],[FECHA DE RECIBIDO]]), Table1[[#This Row],[FECHA DE RECIBIDO]]-DATE(2023,8,30), "")</f>
        <v/>
      </c>
    </row>
    <row r="5211" spans="1:37" ht="16.05" customHeight="1">
      <c r="A5211" s="172" t="s">
        <v>4814</v>
      </c>
      <c r="B5211" s="178">
        <v>1826</v>
      </c>
      <c r="C5211" s="179" t="s">
        <v>2774</v>
      </c>
      <c r="D5211">
        <v>3514</v>
      </c>
      <c r="E5211" s="125" t="s">
        <v>4206</v>
      </c>
      <c r="F5211" s="178" t="s">
        <v>1384</v>
      </c>
      <c r="G5211" s="178" t="s">
        <v>1625</v>
      </c>
      <c r="H5211">
        <v>656</v>
      </c>
      <c r="I5211" s="178" t="s">
        <v>1546</v>
      </c>
      <c r="J5211" s="320" t="s">
        <v>214</v>
      </c>
      <c r="K5211" s="178" t="s">
        <v>4871</v>
      </c>
      <c r="L5211" s="125" t="s">
        <v>4849</v>
      </c>
      <c r="M5211">
        <v>924</v>
      </c>
      <c r="N5211" s="182">
        <v>17</v>
      </c>
      <c r="O5211">
        <v>3355</v>
      </c>
      <c r="P5211" s="132" t="s">
        <v>77</v>
      </c>
      <c r="Q5211" s="176">
        <v>36.28</v>
      </c>
      <c r="R5211" s="176">
        <v>5.8</v>
      </c>
      <c r="S5211" s="176"/>
      <c r="T5211" s="190"/>
      <c r="U5211" s="191"/>
      <c r="V5211" s="191">
        <v>42.08</v>
      </c>
      <c r="W5211">
        <v>437</v>
      </c>
      <c r="X5211" s="186" t="s">
        <v>3451</v>
      </c>
      <c r="Y5211" s="187" t="s">
        <v>55</v>
      </c>
      <c r="Z5211" s="311">
        <v>244</v>
      </c>
      <c r="AB5211" t="str">
        <f>IF(Table1[[#This Row],[TIPO2]]="costo", VLOOKUP(Table1[[#This Row],[PARTIDA PRESUPUESTAL]],'Cost Report'!G:G,1,0),"Balance")</f>
        <v>3401-042</v>
      </c>
      <c r="AD5211" s="159">
        <f>+Table1[[#This Row],[SUBTOTAL]]+Table1[[#This Row],[IVA]]-Table1[[#This Row],[RET IVA]]-Table1[[#This Row],[RET ISR]]-Table1[[#This Row],[TOTAL]]</f>
        <v>0</v>
      </c>
      <c r="AG5211" t="s">
        <v>3420</v>
      </c>
      <c r="AK5211" s="306" t="str">
        <f>IF(ISNUMBER(Table1[[#This Row],[FECHA DE RECIBIDO]]), Table1[[#This Row],[FECHA DE RECIBIDO]]-DATE(2023,8,30), "")</f>
        <v/>
      </c>
    </row>
    <row r="5212" spans="1:37" ht="16.05" customHeight="1">
      <c r="A5212" s="172" t="s">
        <v>4814</v>
      </c>
      <c r="B5212" s="178">
        <v>1826</v>
      </c>
      <c r="C5212" s="179" t="s">
        <v>2774</v>
      </c>
      <c r="D5212">
        <v>3515</v>
      </c>
      <c r="E5212" s="125" t="s">
        <v>4852</v>
      </c>
      <c r="F5212" s="178" t="s">
        <v>1384</v>
      </c>
      <c r="G5212" s="178" t="s">
        <v>1625</v>
      </c>
      <c r="H5212">
        <v>881</v>
      </c>
      <c r="I5212" s="178" t="s">
        <v>1546</v>
      </c>
      <c r="J5212" s="320" t="s">
        <v>214</v>
      </c>
      <c r="K5212" s="178" t="s">
        <v>4871</v>
      </c>
      <c r="L5212" s="125" t="s">
        <v>4849</v>
      </c>
      <c r="M5212">
        <v>1216</v>
      </c>
      <c r="N5212" s="182">
        <v>17</v>
      </c>
      <c r="O5212">
        <v>3355</v>
      </c>
      <c r="P5212" s="132" t="s">
        <v>77</v>
      </c>
      <c r="Q5212" s="176">
        <v>37.78</v>
      </c>
      <c r="R5212" s="176">
        <v>6.04</v>
      </c>
      <c r="S5212" s="176"/>
      <c r="T5212" s="190"/>
      <c r="U5212" s="191"/>
      <c r="V5212" s="191">
        <v>43.82</v>
      </c>
      <c r="W5212">
        <v>437</v>
      </c>
      <c r="X5212" s="186" t="s">
        <v>3451</v>
      </c>
      <c r="Y5212" s="187" t="s">
        <v>55</v>
      </c>
      <c r="Z5212" s="311">
        <v>244</v>
      </c>
      <c r="AB5212" t="str">
        <f>IF(Table1[[#This Row],[TIPO2]]="costo", VLOOKUP(Table1[[#This Row],[PARTIDA PRESUPUESTAL]],'Cost Report'!G:G,1,0),"Balance")</f>
        <v>3401-042</v>
      </c>
      <c r="AD5212" s="159">
        <f>+Table1[[#This Row],[SUBTOTAL]]+Table1[[#This Row],[IVA]]-Table1[[#This Row],[RET IVA]]-Table1[[#This Row],[RET ISR]]-Table1[[#This Row],[TOTAL]]</f>
        <v>0</v>
      </c>
      <c r="AG5212" t="s">
        <v>3420</v>
      </c>
      <c r="AK5212" s="306" t="str">
        <f>IF(ISNUMBER(Table1[[#This Row],[FECHA DE RECIBIDO]]), Table1[[#This Row],[FECHA DE RECIBIDO]]-DATE(2023,8,30), "")</f>
        <v/>
      </c>
    </row>
    <row r="5213" spans="1:37" ht="16.05" customHeight="1">
      <c r="A5213" s="172" t="s">
        <v>4814</v>
      </c>
      <c r="B5213" s="178">
        <v>1826</v>
      </c>
      <c r="C5213" s="179" t="s">
        <v>2774</v>
      </c>
      <c r="D5213">
        <v>689</v>
      </c>
      <c r="E5213" s="125"/>
      <c r="F5213" s="178"/>
      <c r="G5213" s="178"/>
      <c r="H5213"/>
      <c r="I5213" s="178"/>
      <c r="J5213" s="320" t="s">
        <v>214</v>
      </c>
      <c r="K5213" s="178" t="s">
        <v>4871</v>
      </c>
      <c r="L5213" s="125" t="s">
        <v>4849</v>
      </c>
      <c r="M5213">
        <v>1217</v>
      </c>
      <c r="N5213" s="182">
        <v>17</v>
      </c>
      <c r="O5213">
        <v>1387</v>
      </c>
      <c r="P5213" s="132" t="s">
        <v>77</v>
      </c>
      <c r="Q5213" s="176">
        <v>30.74</v>
      </c>
      <c r="R5213" s="176"/>
      <c r="S5213" s="176"/>
      <c r="T5213" s="190"/>
      <c r="U5213" s="191"/>
      <c r="V5213" s="191">
        <v>30.74</v>
      </c>
      <c r="W5213">
        <v>437</v>
      </c>
      <c r="X5213" s="186" t="s">
        <v>3451</v>
      </c>
      <c r="Y5213" s="187" t="s">
        <v>55</v>
      </c>
      <c r="Z5213" s="311">
        <v>228</v>
      </c>
      <c r="AB5213" t="str">
        <f>IF(Table1[[#This Row],[TIPO2]]="costo", VLOOKUP(Table1[[#This Row],[PARTIDA PRESUPUESTAL]],'Cost Report'!G:G,1,0),"Balance")</f>
        <v>3401-042</v>
      </c>
      <c r="AD5213" s="159">
        <f>+Table1[[#This Row],[SUBTOTAL]]+Table1[[#This Row],[IVA]]-Table1[[#This Row],[RET IVA]]-Table1[[#This Row],[RET ISR]]-Table1[[#This Row],[TOTAL]]</f>
        <v>0</v>
      </c>
      <c r="AG5213" t="s">
        <v>3420</v>
      </c>
      <c r="AK5213" s="306" t="str">
        <f>IF(ISNUMBER(Table1[[#This Row],[FECHA DE RECIBIDO]]), Table1[[#This Row],[FECHA DE RECIBIDO]]-DATE(2023,8,30), "")</f>
        <v/>
      </c>
    </row>
    <row r="5214" spans="1:37" ht="16.05" customHeight="1">
      <c r="A5214" s="172" t="s">
        <v>4814</v>
      </c>
      <c r="B5214" s="178">
        <v>1826</v>
      </c>
      <c r="C5214" s="179" t="s">
        <v>2774</v>
      </c>
      <c r="D5214">
        <v>689</v>
      </c>
      <c r="E5214" s="125"/>
      <c r="F5214" s="178"/>
      <c r="G5214" s="178"/>
      <c r="H5214"/>
      <c r="I5214" s="178"/>
      <c r="J5214" s="320" t="s">
        <v>214</v>
      </c>
      <c r="K5214" s="178" t="s">
        <v>4871</v>
      </c>
      <c r="L5214" s="125" t="s">
        <v>4849</v>
      </c>
      <c r="M5214">
        <v>586</v>
      </c>
      <c r="N5214" s="182">
        <v>17</v>
      </c>
      <c r="O5214">
        <v>3356</v>
      </c>
      <c r="P5214" s="132" t="s">
        <v>77</v>
      </c>
      <c r="Q5214" s="176">
        <v>20</v>
      </c>
      <c r="R5214" s="176"/>
      <c r="S5214" s="176"/>
      <c r="T5214" s="190"/>
      <c r="U5214" s="191"/>
      <c r="V5214" s="191">
        <v>20</v>
      </c>
      <c r="W5214">
        <v>437</v>
      </c>
      <c r="X5214" s="186" t="s">
        <v>3451</v>
      </c>
      <c r="Y5214" s="187" t="s">
        <v>55</v>
      </c>
      <c r="Z5214" s="311">
        <v>229</v>
      </c>
      <c r="AB5214" t="str">
        <f>IF(Table1[[#This Row],[TIPO2]]="costo", VLOOKUP(Table1[[#This Row],[PARTIDA PRESUPUESTAL]],'Cost Report'!G:G,1,0),"Balance")</f>
        <v>3401-042</v>
      </c>
      <c r="AD5214" s="159">
        <f>+Table1[[#This Row],[SUBTOTAL]]+Table1[[#This Row],[IVA]]-Table1[[#This Row],[RET IVA]]-Table1[[#This Row],[RET ISR]]-Table1[[#This Row],[TOTAL]]</f>
        <v>0</v>
      </c>
      <c r="AG5214" t="s">
        <v>3420</v>
      </c>
      <c r="AK5214" s="306" t="str">
        <f>IF(ISNUMBER(Table1[[#This Row],[FECHA DE RECIBIDO]]), Table1[[#This Row],[FECHA DE RECIBIDO]]-DATE(2023,8,30), "")</f>
        <v/>
      </c>
    </row>
    <row r="5215" spans="1:37" ht="16.05" customHeight="1">
      <c r="A5215" s="172" t="s">
        <v>4814</v>
      </c>
      <c r="B5215" s="178">
        <v>1826</v>
      </c>
      <c r="C5215" s="179" t="s">
        <v>2774</v>
      </c>
      <c r="D5215">
        <v>689</v>
      </c>
      <c r="E5215" s="125"/>
      <c r="F5215" s="178"/>
      <c r="G5215" s="178"/>
      <c r="H5215"/>
      <c r="I5215" s="178"/>
      <c r="J5215" s="320" t="s">
        <v>214</v>
      </c>
      <c r="K5215" s="178" t="s">
        <v>4871</v>
      </c>
      <c r="L5215" s="125" t="s">
        <v>4849</v>
      </c>
      <c r="M5215">
        <v>1046</v>
      </c>
      <c r="N5215" s="182">
        <v>17</v>
      </c>
      <c r="O5215">
        <v>277</v>
      </c>
      <c r="P5215" s="132" t="s">
        <v>77</v>
      </c>
      <c r="Q5215" s="176">
        <v>21.9</v>
      </c>
      <c r="R5215" s="176"/>
      <c r="S5215" s="176"/>
      <c r="T5215" s="190"/>
      <c r="U5215" s="191"/>
      <c r="V5215" s="191">
        <v>21.9</v>
      </c>
      <c r="W5215">
        <v>437</v>
      </c>
      <c r="X5215" s="186" t="s">
        <v>3451</v>
      </c>
      <c r="Y5215" s="187" t="s">
        <v>55</v>
      </c>
      <c r="Z5215" s="311">
        <v>229</v>
      </c>
      <c r="AB5215" t="str">
        <f>IF(Table1[[#This Row],[TIPO2]]="costo", VLOOKUP(Table1[[#This Row],[PARTIDA PRESUPUESTAL]],'Cost Report'!G:G,1,0),"Balance")</f>
        <v>3401-042</v>
      </c>
      <c r="AD5215" s="159">
        <f>+Table1[[#This Row],[SUBTOTAL]]+Table1[[#This Row],[IVA]]-Table1[[#This Row],[RET IVA]]-Table1[[#This Row],[RET ISR]]-Table1[[#This Row],[TOTAL]]</f>
        <v>0</v>
      </c>
      <c r="AG5215" t="s">
        <v>3420</v>
      </c>
      <c r="AK5215" s="306" t="str">
        <f>IF(ISNUMBER(Table1[[#This Row],[FECHA DE RECIBIDO]]), Table1[[#This Row],[FECHA DE RECIBIDO]]-DATE(2023,8,30), "")</f>
        <v/>
      </c>
    </row>
    <row r="5216" spans="1:37" ht="16.05" customHeight="1">
      <c r="A5216" s="172" t="s">
        <v>4814</v>
      </c>
      <c r="B5216" s="178">
        <v>1826</v>
      </c>
      <c r="C5216" s="179" t="s">
        <v>2774</v>
      </c>
      <c r="D5216">
        <v>689</v>
      </c>
      <c r="E5216" s="125"/>
      <c r="F5216" s="178"/>
      <c r="G5216" s="178"/>
      <c r="H5216"/>
      <c r="I5216" s="178"/>
      <c r="J5216" s="320" t="s">
        <v>214</v>
      </c>
      <c r="K5216" s="178" t="s">
        <v>4871</v>
      </c>
      <c r="L5216" s="125" t="s">
        <v>4849</v>
      </c>
      <c r="M5216">
        <v>125</v>
      </c>
      <c r="N5216" s="182">
        <v>17</v>
      </c>
      <c r="O5216">
        <v>1391</v>
      </c>
      <c r="P5216" s="132" t="s">
        <v>77</v>
      </c>
      <c r="Q5216" s="176">
        <v>98</v>
      </c>
      <c r="R5216" s="176"/>
      <c r="S5216" s="176"/>
      <c r="T5216" s="190"/>
      <c r="U5216" s="191"/>
      <c r="V5216" s="191">
        <v>98</v>
      </c>
      <c r="W5216">
        <v>437</v>
      </c>
      <c r="X5216" s="186" t="s">
        <v>3451</v>
      </c>
      <c r="Y5216" s="187" t="s">
        <v>55</v>
      </c>
      <c r="Z5216" s="311">
        <v>230</v>
      </c>
      <c r="AB5216" t="str">
        <f>IF(Table1[[#This Row],[TIPO2]]="costo", VLOOKUP(Table1[[#This Row],[PARTIDA PRESUPUESTAL]],'Cost Report'!G:G,1,0),"Balance")</f>
        <v>3401-042</v>
      </c>
      <c r="AD5216" s="159">
        <f>+Table1[[#This Row],[SUBTOTAL]]+Table1[[#This Row],[IVA]]-Table1[[#This Row],[RET IVA]]-Table1[[#This Row],[RET ISR]]-Table1[[#This Row],[TOTAL]]</f>
        <v>0</v>
      </c>
      <c r="AG5216" t="s">
        <v>3420</v>
      </c>
      <c r="AK5216" s="306" t="str">
        <f>IF(ISNUMBER(Table1[[#This Row],[FECHA DE RECIBIDO]]), Table1[[#This Row],[FECHA DE RECIBIDO]]-DATE(2023,8,30), "")</f>
        <v/>
      </c>
    </row>
    <row r="5217" spans="1:37" ht="16.05" customHeight="1">
      <c r="A5217" s="172" t="s">
        <v>4814</v>
      </c>
      <c r="B5217" s="178">
        <v>1826</v>
      </c>
      <c r="C5217" s="179" t="s">
        <v>2774</v>
      </c>
      <c r="D5217">
        <v>689</v>
      </c>
      <c r="E5217" s="125"/>
      <c r="F5217" s="178"/>
      <c r="G5217" s="178"/>
      <c r="H5217"/>
      <c r="I5217" s="178"/>
      <c r="J5217" s="320" t="s">
        <v>214</v>
      </c>
      <c r="K5217" s="178" t="s">
        <v>4871</v>
      </c>
      <c r="L5217" s="125" t="s">
        <v>4849</v>
      </c>
      <c r="M5217">
        <v>1046</v>
      </c>
      <c r="N5217" s="182">
        <v>17</v>
      </c>
      <c r="O5217">
        <v>277</v>
      </c>
      <c r="P5217" s="132" t="s">
        <v>77</v>
      </c>
      <c r="Q5217" s="176">
        <v>40.4</v>
      </c>
      <c r="R5217" s="176"/>
      <c r="S5217" s="176"/>
      <c r="T5217" s="190"/>
      <c r="U5217" s="191"/>
      <c r="V5217" s="191">
        <v>40.4</v>
      </c>
      <c r="W5217">
        <v>437</v>
      </c>
      <c r="X5217" s="186" t="s">
        <v>3451</v>
      </c>
      <c r="Y5217" s="187" t="s">
        <v>55</v>
      </c>
      <c r="Z5217" s="311">
        <v>230</v>
      </c>
      <c r="AB5217" t="str">
        <f>IF(Table1[[#This Row],[TIPO2]]="costo", VLOOKUP(Table1[[#This Row],[PARTIDA PRESUPUESTAL]],'Cost Report'!G:G,1,0),"Balance")</f>
        <v>3401-042</v>
      </c>
      <c r="AD5217" s="159">
        <f>+Table1[[#This Row],[SUBTOTAL]]+Table1[[#This Row],[IVA]]-Table1[[#This Row],[RET IVA]]-Table1[[#This Row],[RET ISR]]-Table1[[#This Row],[TOTAL]]</f>
        <v>0</v>
      </c>
      <c r="AG5217" t="s">
        <v>3420</v>
      </c>
      <c r="AK5217" s="306" t="str">
        <f>IF(ISNUMBER(Table1[[#This Row],[FECHA DE RECIBIDO]]), Table1[[#This Row],[FECHA DE RECIBIDO]]-DATE(2023,8,30), "")</f>
        <v/>
      </c>
    </row>
    <row r="5218" spans="1:37" ht="16.05" customHeight="1">
      <c r="A5218" s="172" t="s">
        <v>4814</v>
      </c>
      <c r="B5218" s="178">
        <v>1826</v>
      </c>
      <c r="C5218" s="179" t="s">
        <v>2774</v>
      </c>
      <c r="D5218">
        <v>689</v>
      </c>
      <c r="E5218" s="125"/>
      <c r="F5218" s="178"/>
      <c r="G5218" s="178"/>
      <c r="H5218"/>
      <c r="I5218" s="178"/>
      <c r="J5218" s="320" t="s">
        <v>214</v>
      </c>
      <c r="K5218" s="178" t="s">
        <v>4871</v>
      </c>
      <c r="L5218" s="125" t="s">
        <v>4849</v>
      </c>
      <c r="M5218">
        <v>1218</v>
      </c>
      <c r="N5218" s="182">
        <v>17</v>
      </c>
      <c r="O5218">
        <v>3357</v>
      </c>
      <c r="P5218" s="132" t="s">
        <v>77</v>
      </c>
      <c r="Q5218" s="176">
        <v>118</v>
      </c>
      <c r="R5218" s="176"/>
      <c r="S5218" s="176"/>
      <c r="T5218" s="190"/>
      <c r="U5218" s="191"/>
      <c r="V5218" s="191">
        <v>118</v>
      </c>
      <c r="W5218">
        <v>437</v>
      </c>
      <c r="X5218" s="186" t="s">
        <v>3451</v>
      </c>
      <c r="Y5218" s="187" t="s">
        <v>55</v>
      </c>
      <c r="Z5218" s="311">
        <v>230</v>
      </c>
      <c r="AB5218" t="str">
        <f>IF(Table1[[#This Row],[TIPO2]]="costo", VLOOKUP(Table1[[#This Row],[PARTIDA PRESUPUESTAL]],'Cost Report'!G:G,1,0),"Balance")</f>
        <v>3401-042</v>
      </c>
      <c r="AD5218" s="159">
        <f>+Table1[[#This Row],[SUBTOTAL]]+Table1[[#This Row],[IVA]]-Table1[[#This Row],[RET IVA]]-Table1[[#This Row],[RET ISR]]-Table1[[#This Row],[TOTAL]]</f>
        <v>0</v>
      </c>
      <c r="AG5218" t="s">
        <v>3420</v>
      </c>
      <c r="AK5218" s="306" t="str">
        <f>IF(ISNUMBER(Table1[[#This Row],[FECHA DE RECIBIDO]]), Table1[[#This Row],[FECHA DE RECIBIDO]]-DATE(2023,8,30), "")</f>
        <v/>
      </c>
    </row>
    <row r="5219" spans="1:37" ht="16.05" customHeight="1">
      <c r="A5219" s="172" t="s">
        <v>4853</v>
      </c>
      <c r="B5219" s="178">
        <v>1827</v>
      </c>
      <c r="C5219" s="179" t="s">
        <v>2774</v>
      </c>
      <c r="D5219">
        <v>3516</v>
      </c>
      <c r="E5219" s="125" t="s">
        <v>3292</v>
      </c>
      <c r="F5219" s="178" t="s">
        <v>1607</v>
      </c>
      <c r="G5219" s="178" t="s">
        <v>134</v>
      </c>
      <c r="H5219">
        <v>882</v>
      </c>
      <c r="I5219" s="178" t="s">
        <v>1546</v>
      </c>
      <c r="J5219" s="320" t="s">
        <v>214</v>
      </c>
      <c r="K5219" s="178" t="s">
        <v>4871</v>
      </c>
      <c r="L5219" s="125" t="s">
        <v>4849</v>
      </c>
      <c r="M5219">
        <v>1219</v>
      </c>
      <c r="N5219" s="182">
        <v>17</v>
      </c>
      <c r="O5219">
        <v>3358</v>
      </c>
      <c r="P5219" s="132" t="s">
        <v>77</v>
      </c>
      <c r="Q5219" s="176">
        <v>255.19</v>
      </c>
      <c r="R5219" s="176">
        <v>40.840000000000003</v>
      </c>
      <c r="S5219" s="176"/>
      <c r="T5219" s="190"/>
      <c r="U5219" s="191"/>
      <c r="V5219" s="191">
        <v>296.02999999999997</v>
      </c>
      <c r="W5219">
        <v>438</v>
      </c>
      <c r="X5219" s="186" t="s">
        <v>3451</v>
      </c>
      <c r="Y5219" s="187" t="s">
        <v>55</v>
      </c>
      <c r="Z5219" s="311">
        <v>244</v>
      </c>
      <c r="AB5219" t="str">
        <f>IF(Table1[[#This Row],[TIPO2]]="costo", VLOOKUP(Table1[[#This Row],[PARTIDA PRESUPUESTAL]],'Cost Report'!G:G,1,0),"Balance")</f>
        <v>3401-042</v>
      </c>
      <c r="AD5219" s="159">
        <f>+Table1[[#This Row],[SUBTOTAL]]+Table1[[#This Row],[IVA]]-Table1[[#This Row],[RET IVA]]-Table1[[#This Row],[RET ISR]]-Table1[[#This Row],[TOTAL]]</f>
        <v>0</v>
      </c>
      <c r="AG5219" t="s">
        <v>3420</v>
      </c>
      <c r="AK5219" s="306" t="str">
        <f>IF(ISNUMBER(Table1[[#This Row],[FECHA DE RECIBIDO]]), Table1[[#This Row],[FECHA DE RECIBIDO]]-DATE(2023,8,30), "")</f>
        <v/>
      </c>
    </row>
    <row r="5220" spans="1:37" ht="16.05" customHeight="1">
      <c r="A5220" s="172" t="s">
        <v>4853</v>
      </c>
      <c r="B5220" s="178">
        <v>1827</v>
      </c>
      <c r="C5220" s="179" t="s">
        <v>2774</v>
      </c>
      <c r="D5220">
        <v>3517</v>
      </c>
      <c r="E5220" s="125" t="s">
        <v>1993</v>
      </c>
      <c r="F5220" s="178" t="s">
        <v>1607</v>
      </c>
      <c r="G5220" s="178" t="s">
        <v>134</v>
      </c>
      <c r="H5220">
        <v>32</v>
      </c>
      <c r="I5220" s="178" t="s">
        <v>1546</v>
      </c>
      <c r="J5220" s="320" t="s">
        <v>214</v>
      </c>
      <c r="K5220" s="178" t="s">
        <v>4871</v>
      </c>
      <c r="L5220" s="125" t="s">
        <v>4849</v>
      </c>
      <c r="M5220">
        <v>120</v>
      </c>
      <c r="N5220" s="182">
        <v>17</v>
      </c>
      <c r="O5220">
        <v>3359</v>
      </c>
      <c r="P5220" s="132" t="s">
        <v>77</v>
      </c>
      <c r="Q5220" s="176">
        <v>273.27999999999997</v>
      </c>
      <c r="R5220" s="176">
        <v>43.72</v>
      </c>
      <c r="S5220" s="176"/>
      <c r="T5220" s="190"/>
      <c r="U5220" s="191"/>
      <c r="V5220" s="191">
        <v>317</v>
      </c>
      <c r="W5220">
        <v>438</v>
      </c>
      <c r="X5220" s="186" t="s">
        <v>3451</v>
      </c>
      <c r="Y5220" s="187" t="s">
        <v>55</v>
      </c>
      <c r="Z5220" s="311">
        <v>244</v>
      </c>
      <c r="AB5220" t="str">
        <f>IF(Table1[[#This Row],[TIPO2]]="costo", VLOOKUP(Table1[[#This Row],[PARTIDA PRESUPUESTAL]],'Cost Report'!G:G,1,0),"Balance")</f>
        <v>3401-042</v>
      </c>
      <c r="AD5220" s="159">
        <f>+Table1[[#This Row],[SUBTOTAL]]+Table1[[#This Row],[IVA]]-Table1[[#This Row],[RET IVA]]-Table1[[#This Row],[RET ISR]]-Table1[[#This Row],[TOTAL]]</f>
        <v>0</v>
      </c>
      <c r="AG5220" t="s">
        <v>3420</v>
      </c>
      <c r="AK5220" s="306" t="str">
        <f>IF(ISNUMBER(Table1[[#This Row],[FECHA DE RECIBIDO]]), Table1[[#This Row],[FECHA DE RECIBIDO]]-DATE(2023,8,30), "")</f>
        <v/>
      </c>
    </row>
    <row r="5221" spans="1:37" ht="16.05" customHeight="1">
      <c r="A5221" s="172" t="s">
        <v>4853</v>
      </c>
      <c r="B5221" s="178">
        <v>1827</v>
      </c>
      <c r="C5221" s="179" t="s">
        <v>2774</v>
      </c>
      <c r="D5221">
        <v>3518</v>
      </c>
      <c r="E5221" s="125" t="s">
        <v>1609</v>
      </c>
      <c r="F5221" s="178" t="s">
        <v>1607</v>
      </c>
      <c r="G5221" s="178" t="s">
        <v>134</v>
      </c>
      <c r="H5221">
        <v>32</v>
      </c>
      <c r="I5221" s="178" t="s">
        <v>1546</v>
      </c>
      <c r="J5221" s="320" t="s">
        <v>214</v>
      </c>
      <c r="K5221" s="178" t="s">
        <v>4871</v>
      </c>
      <c r="L5221" s="125" t="s">
        <v>4849</v>
      </c>
      <c r="M5221">
        <v>120</v>
      </c>
      <c r="N5221" s="182">
        <v>17</v>
      </c>
      <c r="O5221">
        <v>3360</v>
      </c>
      <c r="P5221" s="132" t="s">
        <v>77</v>
      </c>
      <c r="Q5221" s="176">
        <v>157.76</v>
      </c>
      <c r="R5221" s="176">
        <v>25.24</v>
      </c>
      <c r="S5221" s="176"/>
      <c r="T5221" s="190"/>
      <c r="U5221" s="191"/>
      <c r="V5221" s="191">
        <v>183</v>
      </c>
      <c r="W5221">
        <v>438</v>
      </c>
      <c r="X5221" s="186" t="s">
        <v>3451</v>
      </c>
      <c r="Y5221" s="187" t="s">
        <v>55</v>
      </c>
      <c r="Z5221" s="311">
        <v>244</v>
      </c>
      <c r="AB5221" t="str">
        <f>IF(Table1[[#This Row],[TIPO2]]="costo", VLOOKUP(Table1[[#This Row],[PARTIDA PRESUPUESTAL]],'Cost Report'!G:G,1,0),"Balance")</f>
        <v>3401-042</v>
      </c>
      <c r="AD5221" s="159">
        <f>+Table1[[#This Row],[SUBTOTAL]]+Table1[[#This Row],[IVA]]-Table1[[#This Row],[RET IVA]]-Table1[[#This Row],[RET ISR]]-Table1[[#This Row],[TOTAL]]</f>
        <v>0</v>
      </c>
      <c r="AG5221" t="s">
        <v>3420</v>
      </c>
      <c r="AK5221" s="306" t="str">
        <f>IF(ISNUMBER(Table1[[#This Row],[FECHA DE RECIBIDO]]), Table1[[#This Row],[FECHA DE RECIBIDO]]-DATE(2023,8,30), "")</f>
        <v/>
      </c>
    </row>
    <row r="5222" spans="1:37" ht="16.05" customHeight="1">
      <c r="A5222" s="172" t="s">
        <v>4853</v>
      </c>
      <c r="B5222" s="178">
        <v>1827</v>
      </c>
      <c r="C5222" s="179" t="s">
        <v>2774</v>
      </c>
      <c r="D5222">
        <v>3519</v>
      </c>
      <c r="E5222" s="125" t="s">
        <v>1994</v>
      </c>
      <c r="F5222" s="178" t="s">
        <v>1607</v>
      </c>
      <c r="G5222" s="178" t="s">
        <v>134</v>
      </c>
      <c r="H5222">
        <v>32</v>
      </c>
      <c r="I5222" s="178" t="s">
        <v>1546</v>
      </c>
      <c r="J5222" s="320" t="s">
        <v>214</v>
      </c>
      <c r="K5222" s="178" t="s">
        <v>4871</v>
      </c>
      <c r="L5222" s="125" t="s">
        <v>4849</v>
      </c>
      <c r="M5222">
        <v>120</v>
      </c>
      <c r="N5222" s="182">
        <v>17</v>
      </c>
      <c r="O5222">
        <v>3354</v>
      </c>
      <c r="P5222" s="132" t="s">
        <v>77</v>
      </c>
      <c r="Q5222" s="176">
        <v>72.41</v>
      </c>
      <c r="R5222" s="176">
        <v>11.59</v>
      </c>
      <c r="S5222" s="176"/>
      <c r="T5222" s="190"/>
      <c r="U5222" s="191"/>
      <c r="V5222" s="191">
        <v>84</v>
      </c>
      <c r="W5222">
        <v>438</v>
      </c>
      <c r="X5222" s="186" t="s">
        <v>3451</v>
      </c>
      <c r="Y5222" s="187" t="s">
        <v>55</v>
      </c>
      <c r="Z5222" s="311">
        <v>244</v>
      </c>
      <c r="AB5222" t="str">
        <f>IF(Table1[[#This Row],[TIPO2]]="costo", VLOOKUP(Table1[[#This Row],[PARTIDA PRESUPUESTAL]],'Cost Report'!G:G,1,0),"Balance")</f>
        <v>3401-042</v>
      </c>
      <c r="AD5222" s="159">
        <f>+Table1[[#This Row],[SUBTOTAL]]+Table1[[#This Row],[IVA]]-Table1[[#This Row],[RET IVA]]-Table1[[#This Row],[RET ISR]]-Table1[[#This Row],[TOTAL]]</f>
        <v>0</v>
      </c>
      <c r="AG5222" t="s">
        <v>3420</v>
      </c>
      <c r="AK5222" s="306" t="str">
        <f>IF(ISNUMBER(Table1[[#This Row],[FECHA DE RECIBIDO]]), Table1[[#This Row],[FECHA DE RECIBIDO]]-DATE(2023,8,30), "")</f>
        <v/>
      </c>
    </row>
    <row r="5223" spans="1:37" ht="16.05" customHeight="1">
      <c r="A5223" s="172" t="s">
        <v>4853</v>
      </c>
      <c r="B5223" s="178">
        <v>1827</v>
      </c>
      <c r="C5223" s="179" t="s">
        <v>2774</v>
      </c>
      <c r="D5223">
        <v>3520</v>
      </c>
      <c r="E5223" s="125" t="s">
        <v>1610</v>
      </c>
      <c r="F5223" s="178" t="s">
        <v>1384</v>
      </c>
      <c r="G5223" s="178" t="s">
        <v>1625</v>
      </c>
      <c r="H5223">
        <v>883</v>
      </c>
      <c r="I5223" s="178" t="s">
        <v>1546</v>
      </c>
      <c r="J5223" s="320" t="s">
        <v>214</v>
      </c>
      <c r="K5223" s="178" t="s">
        <v>4871</v>
      </c>
      <c r="L5223" s="125" t="s">
        <v>4849</v>
      </c>
      <c r="M5223">
        <v>1220</v>
      </c>
      <c r="N5223" s="182">
        <v>17</v>
      </c>
      <c r="O5223">
        <v>3361</v>
      </c>
      <c r="P5223" s="132" t="s">
        <v>77</v>
      </c>
      <c r="Q5223" s="176">
        <v>31.16</v>
      </c>
      <c r="R5223" s="176">
        <v>4.99</v>
      </c>
      <c r="S5223" s="176"/>
      <c r="T5223" s="190"/>
      <c r="U5223" s="191"/>
      <c r="V5223" s="191">
        <v>36.15</v>
      </c>
      <c r="W5223">
        <v>438</v>
      </c>
      <c r="X5223" s="186" t="s">
        <v>3451</v>
      </c>
      <c r="Y5223" s="187" t="s">
        <v>55</v>
      </c>
      <c r="Z5223" s="311">
        <v>244</v>
      </c>
      <c r="AB5223" t="str">
        <f>IF(Table1[[#This Row],[TIPO2]]="costo", VLOOKUP(Table1[[#This Row],[PARTIDA PRESUPUESTAL]],'Cost Report'!G:G,1,0),"Balance")</f>
        <v>3401-042</v>
      </c>
      <c r="AD5223" s="159">
        <f>+Table1[[#This Row],[SUBTOTAL]]+Table1[[#This Row],[IVA]]-Table1[[#This Row],[RET IVA]]-Table1[[#This Row],[RET ISR]]-Table1[[#This Row],[TOTAL]]</f>
        <v>0</v>
      </c>
      <c r="AG5223" t="s">
        <v>3420</v>
      </c>
      <c r="AK5223" s="306" t="str">
        <f>IF(ISNUMBER(Table1[[#This Row],[FECHA DE RECIBIDO]]), Table1[[#This Row],[FECHA DE RECIBIDO]]-DATE(2023,8,30), "")</f>
        <v/>
      </c>
    </row>
    <row r="5224" spans="1:37" ht="16.05" customHeight="1">
      <c r="A5224" s="172" t="s">
        <v>4853</v>
      </c>
      <c r="B5224" s="178">
        <v>1827</v>
      </c>
      <c r="C5224" s="179" t="s">
        <v>2774</v>
      </c>
      <c r="D5224">
        <v>3521</v>
      </c>
      <c r="E5224" s="125" t="s">
        <v>1985</v>
      </c>
      <c r="F5224" s="178" t="s">
        <v>1607</v>
      </c>
      <c r="G5224" s="178" t="s">
        <v>134</v>
      </c>
      <c r="H5224">
        <v>884</v>
      </c>
      <c r="I5224" s="178" t="s">
        <v>1546</v>
      </c>
      <c r="J5224" s="320" t="s">
        <v>214</v>
      </c>
      <c r="K5224" s="178" t="s">
        <v>4871</v>
      </c>
      <c r="L5224" s="125" t="s">
        <v>4849</v>
      </c>
      <c r="M5224">
        <v>1132</v>
      </c>
      <c r="N5224" s="182">
        <v>17</v>
      </c>
      <c r="O5224">
        <v>3362</v>
      </c>
      <c r="P5224" s="132" t="s">
        <v>77</v>
      </c>
      <c r="Q5224" s="176">
        <v>95</v>
      </c>
      <c r="R5224" s="176"/>
      <c r="S5224" s="176"/>
      <c r="T5224" s="190"/>
      <c r="U5224" s="191"/>
      <c r="V5224" s="191">
        <v>95</v>
      </c>
      <c r="W5224">
        <v>438</v>
      </c>
      <c r="X5224" s="186" t="s">
        <v>3451</v>
      </c>
      <c r="Y5224" s="187" t="s">
        <v>55</v>
      </c>
      <c r="Z5224" s="311">
        <v>244</v>
      </c>
      <c r="AB5224" t="str">
        <f>IF(Table1[[#This Row],[TIPO2]]="costo", VLOOKUP(Table1[[#This Row],[PARTIDA PRESUPUESTAL]],'Cost Report'!G:G,1,0),"Balance")</f>
        <v>3401-042</v>
      </c>
      <c r="AD5224" s="159">
        <f>+Table1[[#This Row],[SUBTOTAL]]+Table1[[#This Row],[IVA]]-Table1[[#This Row],[RET IVA]]-Table1[[#This Row],[RET ISR]]-Table1[[#This Row],[TOTAL]]</f>
        <v>0</v>
      </c>
      <c r="AG5224" t="s">
        <v>3420</v>
      </c>
      <c r="AK5224" s="306" t="str">
        <f>IF(ISNUMBER(Table1[[#This Row],[FECHA DE RECIBIDO]]), Table1[[#This Row],[FECHA DE RECIBIDO]]-DATE(2023,8,30), "")</f>
        <v/>
      </c>
    </row>
    <row r="5225" spans="1:37" ht="16.05" customHeight="1">
      <c r="A5225" s="172" t="s">
        <v>4853</v>
      </c>
      <c r="B5225" s="178">
        <v>1827</v>
      </c>
      <c r="C5225" s="179" t="s">
        <v>2774</v>
      </c>
      <c r="D5225">
        <v>3522</v>
      </c>
      <c r="E5225" s="125" t="s">
        <v>1985</v>
      </c>
      <c r="F5225" s="178" t="s">
        <v>1607</v>
      </c>
      <c r="G5225" s="178" t="s">
        <v>134</v>
      </c>
      <c r="H5225">
        <v>884</v>
      </c>
      <c r="I5225" s="178" t="s">
        <v>1546</v>
      </c>
      <c r="J5225" s="320" t="s">
        <v>214</v>
      </c>
      <c r="K5225" s="178" t="s">
        <v>4871</v>
      </c>
      <c r="L5225" s="125" t="s">
        <v>4849</v>
      </c>
      <c r="M5225">
        <v>1132</v>
      </c>
      <c r="N5225" s="182">
        <v>17</v>
      </c>
      <c r="O5225">
        <v>3363</v>
      </c>
      <c r="P5225" s="132" t="s">
        <v>77</v>
      </c>
      <c r="Q5225" s="176">
        <v>18.5</v>
      </c>
      <c r="R5225" s="176"/>
      <c r="S5225" s="176"/>
      <c r="T5225" s="190"/>
      <c r="U5225" s="191"/>
      <c r="V5225" s="191">
        <v>18.5</v>
      </c>
      <c r="W5225">
        <v>438</v>
      </c>
      <c r="X5225" s="186" t="s">
        <v>3451</v>
      </c>
      <c r="Y5225" s="187" t="s">
        <v>55</v>
      </c>
      <c r="Z5225" s="311">
        <v>244</v>
      </c>
      <c r="AB5225" t="str">
        <f>IF(Table1[[#This Row],[TIPO2]]="costo", VLOOKUP(Table1[[#This Row],[PARTIDA PRESUPUESTAL]],'Cost Report'!G:G,1,0),"Balance")</f>
        <v>3401-042</v>
      </c>
      <c r="AD5225" s="159">
        <f>+Table1[[#This Row],[SUBTOTAL]]+Table1[[#This Row],[IVA]]-Table1[[#This Row],[RET IVA]]-Table1[[#This Row],[RET ISR]]-Table1[[#This Row],[TOTAL]]</f>
        <v>0</v>
      </c>
      <c r="AG5225" t="s">
        <v>3420</v>
      </c>
      <c r="AK5225" s="306" t="str">
        <f>IF(ISNUMBER(Table1[[#This Row],[FECHA DE RECIBIDO]]), Table1[[#This Row],[FECHA DE RECIBIDO]]-DATE(2023,8,30), "")</f>
        <v/>
      </c>
    </row>
    <row r="5226" spans="1:37" ht="16.05" customHeight="1">
      <c r="A5226" s="172" t="s">
        <v>4853</v>
      </c>
      <c r="B5226" s="178">
        <v>1827</v>
      </c>
      <c r="C5226" s="179" t="s">
        <v>2774</v>
      </c>
      <c r="D5226">
        <v>3523</v>
      </c>
      <c r="E5226" s="125" t="s">
        <v>1985</v>
      </c>
      <c r="F5226" s="178" t="s">
        <v>1607</v>
      </c>
      <c r="G5226" s="178" t="s">
        <v>134</v>
      </c>
      <c r="H5226">
        <v>884</v>
      </c>
      <c r="I5226" s="178" t="s">
        <v>1546</v>
      </c>
      <c r="J5226" s="320" t="s">
        <v>214</v>
      </c>
      <c r="K5226" s="178" t="s">
        <v>4871</v>
      </c>
      <c r="L5226" s="125" t="s">
        <v>4849</v>
      </c>
      <c r="M5226">
        <v>1132</v>
      </c>
      <c r="N5226" s="182">
        <v>17</v>
      </c>
      <c r="O5226">
        <v>3350</v>
      </c>
      <c r="P5226" s="132" t="s">
        <v>77</v>
      </c>
      <c r="Q5226" s="176">
        <v>31.38</v>
      </c>
      <c r="R5226" s="176">
        <v>2.62</v>
      </c>
      <c r="S5226" s="176"/>
      <c r="T5226" s="190"/>
      <c r="U5226" s="191"/>
      <c r="V5226" s="191">
        <v>34</v>
      </c>
      <c r="W5226">
        <v>438</v>
      </c>
      <c r="X5226" s="186" t="s">
        <v>3451</v>
      </c>
      <c r="Y5226" s="187" t="s">
        <v>55</v>
      </c>
      <c r="Z5226" s="311">
        <v>244</v>
      </c>
      <c r="AB5226" t="str">
        <f>IF(Table1[[#This Row],[TIPO2]]="costo", VLOOKUP(Table1[[#This Row],[PARTIDA PRESUPUESTAL]],'Cost Report'!G:G,1,0),"Balance")</f>
        <v>3401-042</v>
      </c>
      <c r="AD5226" s="159">
        <f>+Table1[[#This Row],[SUBTOTAL]]+Table1[[#This Row],[IVA]]-Table1[[#This Row],[RET IVA]]-Table1[[#This Row],[RET ISR]]-Table1[[#This Row],[TOTAL]]</f>
        <v>0</v>
      </c>
      <c r="AG5226" t="s">
        <v>3420</v>
      </c>
      <c r="AK5226" s="306" t="str">
        <f>IF(ISNUMBER(Table1[[#This Row],[FECHA DE RECIBIDO]]), Table1[[#This Row],[FECHA DE RECIBIDO]]-DATE(2023,8,30), "")</f>
        <v/>
      </c>
    </row>
    <row r="5227" spans="1:37" ht="16.05" customHeight="1">
      <c r="A5227" s="172" t="s">
        <v>4853</v>
      </c>
      <c r="B5227" s="178">
        <v>1827</v>
      </c>
      <c r="C5227" s="179" t="s">
        <v>2774</v>
      </c>
      <c r="D5227">
        <v>3524</v>
      </c>
      <c r="E5227" s="125" t="s">
        <v>1985</v>
      </c>
      <c r="F5227" s="178" t="s">
        <v>1607</v>
      </c>
      <c r="G5227" s="178" t="s">
        <v>134</v>
      </c>
      <c r="H5227">
        <v>884</v>
      </c>
      <c r="I5227" s="178" t="s">
        <v>1546</v>
      </c>
      <c r="J5227" s="320" t="s">
        <v>214</v>
      </c>
      <c r="K5227" s="178" t="s">
        <v>4871</v>
      </c>
      <c r="L5227" s="125" t="s">
        <v>4849</v>
      </c>
      <c r="M5227">
        <v>1132</v>
      </c>
      <c r="N5227" s="182">
        <v>17</v>
      </c>
      <c r="O5227">
        <v>3364</v>
      </c>
      <c r="P5227" s="132" t="s">
        <v>77</v>
      </c>
      <c r="Q5227" s="176">
        <v>42.38</v>
      </c>
      <c r="R5227" s="176">
        <v>2.62</v>
      </c>
      <c r="S5227" s="176"/>
      <c r="T5227" s="190"/>
      <c r="U5227" s="191"/>
      <c r="V5227" s="191">
        <v>45</v>
      </c>
      <c r="W5227">
        <v>438</v>
      </c>
      <c r="X5227" s="186" t="s">
        <v>3451</v>
      </c>
      <c r="Y5227" s="187" t="s">
        <v>55</v>
      </c>
      <c r="Z5227" s="311">
        <v>244</v>
      </c>
      <c r="AB5227" t="str">
        <f>IF(Table1[[#This Row],[TIPO2]]="costo", VLOOKUP(Table1[[#This Row],[PARTIDA PRESUPUESTAL]],'Cost Report'!G:G,1,0),"Balance")</f>
        <v>3401-042</v>
      </c>
      <c r="AD5227" s="159">
        <f>+Table1[[#This Row],[SUBTOTAL]]+Table1[[#This Row],[IVA]]-Table1[[#This Row],[RET IVA]]-Table1[[#This Row],[RET ISR]]-Table1[[#This Row],[TOTAL]]</f>
        <v>0</v>
      </c>
      <c r="AG5227" t="s">
        <v>3420</v>
      </c>
      <c r="AK5227" s="306" t="str">
        <f>IF(ISNUMBER(Table1[[#This Row],[FECHA DE RECIBIDO]]), Table1[[#This Row],[FECHA DE RECIBIDO]]-DATE(2023,8,30), "")</f>
        <v/>
      </c>
    </row>
    <row r="5228" spans="1:37" ht="16.05" customHeight="1">
      <c r="A5228" s="172" t="s">
        <v>4853</v>
      </c>
      <c r="B5228" s="178">
        <v>1827</v>
      </c>
      <c r="C5228" s="179" t="s">
        <v>2774</v>
      </c>
      <c r="D5228">
        <v>3525</v>
      </c>
      <c r="E5228" s="125" t="s">
        <v>1985</v>
      </c>
      <c r="F5228" s="178" t="s">
        <v>1607</v>
      </c>
      <c r="G5228" s="178" t="s">
        <v>134</v>
      </c>
      <c r="H5228">
        <v>884</v>
      </c>
      <c r="I5228" s="178" t="s">
        <v>1546</v>
      </c>
      <c r="J5228" s="320" t="s">
        <v>214</v>
      </c>
      <c r="K5228" s="178" t="s">
        <v>4871</v>
      </c>
      <c r="L5228" s="125" t="s">
        <v>4849</v>
      </c>
      <c r="M5228">
        <v>1132</v>
      </c>
      <c r="N5228" s="182">
        <v>17</v>
      </c>
      <c r="O5228">
        <v>3365</v>
      </c>
      <c r="P5228" s="132" t="s">
        <v>77</v>
      </c>
      <c r="Q5228" s="176">
        <v>72</v>
      </c>
      <c r="R5228" s="176"/>
      <c r="S5228" s="176"/>
      <c r="T5228" s="190"/>
      <c r="U5228" s="191"/>
      <c r="V5228" s="191">
        <v>72</v>
      </c>
      <c r="W5228">
        <v>438</v>
      </c>
      <c r="X5228" s="186" t="s">
        <v>3451</v>
      </c>
      <c r="Y5228" s="187" t="s">
        <v>55</v>
      </c>
      <c r="Z5228" s="311">
        <v>244</v>
      </c>
      <c r="AB5228" t="str">
        <f>IF(Table1[[#This Row],[TIPO2]]="costo", VLOOKUP(Table1[[#This Row],[PARTIDA PRESUPUESTAL]],'Cost Report'!G:G,1,0),"Balance")</f>
        <v>3401-042</v>
      </c>
      <c r="AD5228" s="159">
        <f>+Table1[[#This Row],[SUBTOTAL]]+Table1[[#This Row],[IVA]]-Table1[[#This Row],[RET IVA]]-Table1[[#This Row],[RET ISR]]-Table1[[#This Row],[TOTAL]]</f>
        <v>0</v>
      </c>
      <c r="AG5228" t="s">
        <v>3420</v>
      </c>
      <c r="AK5228" s="306" t="str">
        <f>IF(ISNUMBER(Table1[[#This Row],[FECHA DE RECIBIDO]]), Table1[[#This Row],[FECHA DE RECIBIDO]]-DATE(2023,8,30), "")</f>
        <v/>
      </c>
    </row>
    <row r="5229" spans="1:37" ht="16.05" customHeight="1">
      <c r="A5229" s="172" t="s">
        <v>4853</v>
      </c>
      <c r="B5229" s="178">
        <v>1827</v>
      </c>
      <c r="C5229" s="179" t="s">
        <v>2851</v>
      </c>
      <c r="D5229">
        <v>3526</v>
      </c>
      <c r="E5229" s="125" t="s">
        <v>1985</v>
      </c>
      <c r="F5229" s="178" t="s">
        <v>1607</v>
      </c>
      <c r="G5229" s="178" t="s">
        <v>134</v>
      </c>
      <c r="H5229">
        <v>884</v>
      </c>
      <c r="I5229" s="178" t="s">
        <v>1546</v>
      </c>
      <c r="J5229" s="320" t="s">
        <v>214</v>
      </c>
      <c r="K5229" s="178" t="s">
        <v>4871</v>
      </c>
      <c r="L5229" s="125" t="s">
        <v>4849</v>
      </c>
      <c r="M5229">
        <v>1132</v>
      </c>
      <c r="N5229" s="182">
        <v>17</v>
      </c>
      <c r="O5229">
        <v>3348</v>
      </c>
      <c r="P5229" s="132" t="s">
        <v>77</v>
      </c>
      <c r="Q5229" s="176">
        <v>67.239999999999995</v>
      </c>
      <c r="R5229" s="176">
        <v>10.76</v>
      </c>
      <c r="S5229" s="176"/>
      <c r="T5229" s="190"/>
      <c r="U5229" s="191"/>
      <c r="V5229" s="191">
        <v>78</v>
      </c>
      <c r="W5229">
        <v>438</v>
      </c>
      <c r="X5229" s="186" t="s">
        <v>3451</v>
      </c>
      <c r="Y5229" s="187" t="s">
        <v>55</v>
      </c>
      <c r="Z5229" s="311">
        <v>244</v>
      </c>
      <c r="AB5229" t="str">
        <f>IF(Table1[[#This Row],[TIPO2]]="costo", VLOOKUP(Table1[[#This Row],[PARTIDA PRESUPUESTAL]],'Cost Report'!G:G,1,0),"Balance")</f>
        <v>3485-003</v>
      </c>
      <c r="AD5229" s="159">
        <f>+Table1[[#This Row],[SUBTOTAL]]+Table1[[#This Row],[IVA]]-Table1[[#This Row],[RET IVA]]-Table1[[#This Row],[RET ISR]]-Table1[[#This Row],[TOTAL]]</f>
        <v>0</v>
      </c>
      <c r="AG5229" t="s">
        <v>3420</v>
      </c>
      <c r="AK5229" s="306" t="str">
        <f>IF(ISNUMBER(Table1[[#This Row],[FECHA DE RECIBIDO]]), Table1[[#This Row],[FECHA DE RECIBIDO]]-DATE(2023,8,30), "")</f>
        <v/>
      </c>
    </row>
    <row r="5230" spans="1:37" ht="16.05" customHeight="1">
      <c r="A5230" s="172" t="s">
        <v>4853</v>
      </c>
      <c r="B5230" s="178">
        <v>1827</v>
      </c>
      <c r="C5230" s="179" t="s">
        <v>2774</v>
      </c>
      <c r="D5230">
        <v>3527</v>
      </c>
      <c r="E5230" s="125" t="s">
        <v>1985</v>
      </c>
      <c r="F5230" s="178" t="s">
        <v>1607</v>
      </c>
      <c r="G5230" s="178" t="s">
        <v>134</v>
      </c>
      <c r="H5230">
        <v>884</v>
      </c>
      <c r="I5230" s="178" t="s">
        <v>1546</v>
      </c>
      <c r="J5230" s="320" t="s">
        <v>214</v>
      </c>
      <c r="K5230" s="178" t="s">
        <v>4871</v>
      </c>
      <c r="L5230" s="125" t="s">
        <v>4849</v>
      </c>
      <c r="M5230">
        <v>1132</v>
      </c>
      <c r="N5230" s="182">
        <v>17</v>
      </c>
      <c r="O5230">
        <v>3366</v>
      </c>
      <c r="P5230" s="132" t="s">
        <v>77</v>
      </c>
      <c r="Q5230" s="176">
        <v>108.5</v>
      </c>
      <c r="R5230" s="176">
        <v>4</v>
      </c>
      <c r="S5230" s="176"/>
      <c r="T5230" s="190"/>
      <c r="U5230" s="191"/>
      <c r="V5230" s="191">
        <v>112.5</v>
      </c>
      <c r="W5230">
        <v>438</v>
      </c>
      <c r="X5230" s="186" t="s">
        <v>3451</v>
      </c>
      <c r="Y5230" s="187" t="s">
        <v>55</v>
      </c>
      <c r="Z5230" s="311">
        <v>244</v>
      </c>
      <c r="AB5230" t="str">
        <f>IF(Table1[[#This Row],[TIPO2]]="costo", VLOOKUP(Table1[[#This Row],[PARTIDA PRESUPUESTAL]],'Cost Report'!G:G,1,0),"Balance")</f>
        <v>3401-042</v>
      </c>
      <c r="AD5230" s="159">
        <f>+Table1[[#This Row],[SUBTOTAL]]+Table1[[#This Row],[IVA]]-Table1[[#This Row],[RET IVA]]-Table1[[#This Row],[RET ISR]]-Table1[[#This Row],[TOTAL]]</f>
        <v>0</v>
      </c>
      <c r="AG5230" t="s">
        <v>3420</v>
      </c>
      <c r="AK5230" s="306" t="str">
        <f>IF(ISNUMBER(Table1[[#This Row],[FECHA DE RECIBIDO]]), Table1[[#This Row],[FECHA DE RECIBIDO]]-DATE(2023,8,30), "")</f>
        <v/>
      </c>
    </row>
    <row r="5231" spans="1:37" ht="16.05" customHeight="1">
      <c r="A5231" s="172" t="s">
        <v>4853</v>
      </c>
      <c r="B5231" s="178">
        <v>1827</v>
      </c>
      <c r="C5231" s="179" t="s">
        <v>2774</v>
      </c>
      <c r="D5231">
        <v>3528</v>
      </c>
      <c r="E5231" s="125" t="s">
        <v>4854</v>
      </c>
      <c r="F5231" s="178" t="s">
        <v>1607</v>
      </c>
      <c r="G5231" s="178" t="s">
        <v>134</v>
      </c>
      <c r="H5231">
        <v>32</v>
      </c>
      <c r="I5231" s="178" t="s">
        <v>1546</v>
      </c>
      <c r="J5231" s="320" t="s">
        <v>214</v>
      </c>
      <c r="K5231" s="178" t="s">
        <v>4871</v>
      </c>
      <c r="L5231" s="125" t="s">
        <v>4849</v>
      </c>
      <c r="M5231">
        <v>120</v>
      </c>
      <c r="N5231" s="182">
        <v>17</v>
      </c>
      <c r="O5231">
        <v>3367</v>
      </c>
      <c r="P5231" s="132" t="s">
        <v>77</v>
      </c>
      <c r="Q5231" s="176">
        <v>300</v>
      </c>
      <c r="R5231" s="176">
        <v>48</v>
      </c>
      <c r="S5231" s="176"/>
      <c r="T5231" s="190"/>
      <c r="U5231" s="191"/>
      <c r="V5231" s="191">
        <v>348</v>
      </c>
      <c r="W5231">
        <v>438</v>
      </c>
      <c r="X5231" s="186" t="s">
        <v>3451</v>
      </c>
      <c r="Y5231" s="187" t="s">
        <v>55</v>
      </c>
      <c r="Z5231" s="311">
        <v>245</v>
      </c>
      <c r="AB5231" t="str">
        <f>IF(Table1[[#This Row],[TIPO2]]="costo", VLOOKUP(Table1[[#This Row],[PARTIDA PRESUPUESTAL]],'Cost Report'!G:G,1,0),"Balance")</f>
        <v>3401-042</v>
      </c>
      <c r="AD5231" s="159">
        <f>+Table1[[#This Row],[SUBTOTAL]]+Table1[[#This Row],[IVA]]-Table1[[#This Row],[RET IVA]]-Table1[[#This Row],[RET ISR]]-Table1[[#This Row],[TOTAL]]</f>
        <v>0</v>
      </c>
      <c r="AG5231" t="s">
        <v>3420</v>
      </c>
      <c r="AK5231" s="306" t="str">
        <f>IF(ISNUMBER(Table1[[#This Row],[FECHA DE RECIBIDO]]), Table1[[#This Row],[FECHA DE RECIBIDO]]-DATE(2023,8,30), "")</f>
        <v/>
      </c>
    </row>
    <row r="5232" spans="1:37" ht="16.05" customHeight="1">
      <c r="A5232" s="172" t="s">
        <v>4853</v>
      </c>
      <c r="B5232" s="178">
        <v>1827</v>
      </c>
      <c r="C5232" s="179" t="s">
        <v>2774</v>
      </c>
      <c r="D5232">
        <v>3529</v>
      </c>
      <c r="E5232" s="125" t="s">
        <v>1997</v>
      </c>
      <c r="F5232" s="178" t="s">
        <v>1607</v>
      </c>
      <c r="G5232" s="178" t="s">
        <v>134</v>
      </c>
      <c r="H5232">
        <v>32</v>
      </c>
      <c r="I5232" s="178" t="s">
        <v>1546</v>
      </c>
      <c r="J5232" s="320" t="s">
        <v>214</v>
      </c>
      <c r="K5232" s="178" t="s">
        <v>4871</v>
      </c>
      <c r="L5232" s="125" t="s">
        <v>4849</v>
      </c>
      <c r="M5232">
        <v>120</v>
      </c>
      <c r="N5232" s="182">
        <v>17</v>
      </c>
      <c r="O5232">
        <v>3360</v>
      </c>
      <c r="P5232" s="132" t="s">
        <v>77</v>
      </c>
      <c r="Q5232" s="176">
        <v>204.31</v>
      </c>
      <c r="R5232" s="176">
        <v>32.69</v>
      </c>
      <c r="S5232" s="176"/>
      <c r="T5232" s="190"/>
      <c r="U5232" s="191"/>
      <c r="V5232" s="191">
        <v>237</v>
      </c>
      <c r="W5232">
        <v>438</v>
      </c>
      <c r="X5232" s="186" t="s">
        <v>3451</v>
      </c>
      <c r="Y5232" s="187" t="s">
        <v>55</v>
      </c>
      <c r="Z5232" s="311">
        <v>245</v>
      </c>
      <c r="AB5232" t="str">
        <f>IF(Table1[[#This Row],[TIPO2]]="costo", VLOOKUP(Table1[[#This Row],[PARTIDA PRESUPUESTAL]],'Cost Report'!G:G,1,0),"Balance")</f>
        <v>3401-042</v>
      </c>
      <c r="AD5232" s="159">
        <f>+Table1[[#This Row],[SUBTOTAL]]+Table1[[#This Row],[IVA]]-Table1[[#This Row],[RET IVA]]-Table1[[#This Row],[RET ISR]]-Table1[[#This Row],[TOTAL]]</f>
        <v>0</v>
      </c>
      <c r="AG5232" t="s">
        <v>3420</v>
      </c>
      <c r="AK5232" s="306" t="str">
        <f>IF(ISNUMBER(Table1[[#This Row],[FECHA DE RECIBIDO]]), Table1[[#This Row],[FECHA DE RECIBIDO]]-DATE(2023,8,30), "")</f>
        <v/>
      </c>
    </row>
    <row r="5233" spans="1:37" ht="16.05" customHeight="1">
      <c r="A5233" s="172" t="s">
        <v>4853</v>
      </c>
      <c r="B5233" s="178">
        <v>1827</v>
      </c>
      <c r="C5233" s="179" t="s">
        <v>2774</v>
      </c>
      <c r="D5233">
        <v>3530</v>
      </c>
      <c r="E5233" s="125" t="s">
        <v>1999</v>
      </c>
      <c r="F5233" s="178" t="s">
        <v>1607</v>
      </c>
      <c r="G5233" s="178" t="s">
        <v>134</v>
      </c>
      <c r="H5233">
        <v>32</v>
      </c>
      <c r="I5233" s="178" t="s">
        <v>1546</v>
      </c>
      <c r="J5233" s="320" t="s">
        <v>214</v>
      </c>
      <c r="K5233" s="178" t="s">
        <v>4871</v>
      </c>
      <c r="L5233" s="125" t="s">
        <v>4849</v>
      </c>
      <c r="M5233">
        <v>120</v>
      </c>
      <c r="N5233" s="182">
        <v>17</v>
      </c>
      <c r="O5233">
        <v>3360</v>
      </c>
      <c r="P5233" s="132" t="s">
        <v>77</v>
      </c>
      <c r="Q5233" s="176">
        <v>240.52</v>
      </c>
      <c r="R5233" s="176">
        <v>38.479999999999997</v>
      </c>
      <c r="S5233" s="176"/>
      <c r="T5233" s="190"/>
      <c r="U5233" s="191"/>
      <c r="V5233" s="191">
        <v>279</v>
      </c>
      <c r="W5233">
        <v>438</v>
      </c>
      <c r="X5233" s="186" t="s">
        <v>3451</v>
      </c>
      <c r="Y5233" s="187" t="s">
        <v>55</v>
      </c>
      <c r="Z5233" s="311">
        <v>245</v>
      </c>
      <c r="AB5233" t="str">
        <f>IF(Table1[[#This Row],[TIPO2]]="costo", VLOOKUP(Table1[[#This Row],[PARTIDA PRESUPUESTAL]],'Cost Report'!G:G,1,0),"Balance")</f>
        <v>3401-042</v>
      </c>
      <c r="AD5233" s="159">
        <f>+Table1[[#This Row],[SUBTOTAL]]+Table1[[#This Row],[IVA]]-Table1[[#This Row],[RET IVA]]-Table1[[#This Row],[RET ISR]]-Table1[[#This Row],[TOTAL]]</f>
        <v>0</v>
      </c>
      <c r="AG5233" t="s">
        <v>3420</v>
      </c>
      <c r="AK5233" s="306" t="str">
        <f>IF(ISNUMBER(Table1[[#This Row],[FECHA DE RECIBIDO]]), Table1[[#This Row],[FECHA DE RECIBIDO]]-DATE(2023,8,30), "")</f>
        <v/>
      </c>
    </row>
    <row r="5234" spans="1:37" ht="16.05" customHeight="1">
      <c r="A5234" s="172" t="s">
        <v>4853</v>
      </c>
      <c r="B5234" s="178">
        <v>1827</v>
      </c>
      <c r="C5234" s="179" t="s">
        <v>2774</v>
      </c>
      <c r="D5234">
        <v>3531</v>
      </c>
      <c r="E5234" s="125" t="s">
        <v>3378</v>
      </c>
      <c r="F5234" s="178" t="s">
        <v>1607</v>
      </c>
      <c r="G5234" s="178" t="s">
        <v>134</v>
      </c>
      <c r="H5234">
        <v>32</v>
      </c>
      <c r="I5234" s="178" t="s">
        <v>1546</v>
      </c>
      <c r="J5234" s="320" t="s">
        <v>214</v>
      </c>
      <c r="K5234" s="178" t="s">
        <v>4871</v>
      </c>
      <c r="L5234" s="125" t="s">
        <v>4849</v>
      </c>
      <c r="M5234">
        <v>120</v>
      </c>
      <c r="N5234" s="182">
        <v>17</v>
      </c>
      <c r="O5234">
        <v>3360</v>
      </c>
      <c r="P5234" s="132" t="s">
        <v>77</v>
      </c>
      <c r="Q5234" s="176">
        <v>118.97</v>
      </c>
      <c r="R5234" s="176">
        <v>19.03</v>
      </c>
      <c r="S5234" s="176"/>
      <c r="T5234" s="190"/>
      <c r="U5234" s="191"/>
      <c r="V5234" s="191">
        <v>138</v>
      </c>
      <c r="W5234">
        <v>438</v>
      </c>
      <c r="X5234" s="186" t="s">
        <v>3451</v>
      </c>
      <c r="Y5234" s="187" t="s">
        <v>55</v>
      </c>
      <c r="Z5234" s="311">
        <v>245</v>
      </c>
      <c r="AB5234" t="str">
        <f>IF(Table1[[#This Row],[TIPO2]]="costo", VLOOKUP(Table1[[#This Row],[PARTIDA PRESUPUESTAL]],'Cost Report'!G:G,1,0),"Balance")</f>
        <v>3401-042</v>
      </c>
      <c r="AD5234" s="159">
        <f>+Table1[[#This Row],[SUBTOTAL]]+Table1[[#This Row],[IVA]]-Table1[[#This Row],[RET IVA]]-Table1[[#This Row],[RET ISR]]-Table1[[#This Row],[TOTAL]]</f>
        <v>0</v>
      </c>
      <c r="AG5234" t="s">
        <v>3420</v>
      </c>
      <c r="AK5234" s="306" t="str">
        <f>IF(ISNUMBER(Table1[[#This Row],[FECHA DE RECIBIDO]]), Table1[[#This Row],[FECHA DE RECIBIDO]]-DATE(2023,8,30), "")</f>
        <v/>
      </c>
    </row>
    <row r="5235" spans="1:37" ht="16.05" customHeight="1">
      <c r="A5235" s="172" t="s">
        <v>4853</v>
      </c>
      <c r="B5235" s="178">
        <v>1827</v>
      </c>
      <c r="C5235" s="179" t="s">
        <v>2774</v>
      </c>
      <c r="D5235">
        <v>3532</v>
      </c>
      <c r="E5235" s="125" t="s">
        <v>3265</v>
      </c>
      <c r="F5235" s="178" t="s">
        <v>1589</v>
      </c>
      <c r="G5235" s="178" t="s">
        <v>129</v>
      </c>
      <c r="H5235">
        <v>885</v>
      </c>
      <c r="I5235" s="178" t="s">
        <v>1546</v>
      </c>
      <c r="J5235" s="320" t="s">
        <v>214</v>
      </c>
      <c r="K5235" s="178" t="s">
        <v>4871</v>
      </c>
      <c r="L5235" s="125" t="s">
        <v>4849</v>
      </c>
      <c r="M5235">
        <v>1221</v>
      </c>
      <c r="N5235" s="182">
        <v>17</v>
      </c>
      <c r="O5235">
        <v>3368</v>
      </c>
      <c r="P5235" s="132" t="s">
        <v>77</v>
      </c>
      <c r="Q5235" s="176">
        <v>807.75</v>
      </c>
      <c r="R5235" s="176">
        <v>129.24</v>
      </c>
      <c r="S5235" s="176"/>
      <c r="T5235" s="190"/>
      <c r="U5235" s="191"/>
      <c r="V5235" s="191">
        <v>936.99</v>
      </c>
      <c r="W5235">
        <v>438</v>
      </c>
      <c r="X5235" s="186" t="s">
        <v>3451</v>
      </c>
      <c r="Y5235" s="187" t="s">
        <v>55</v>
      </c>
      <c r="Z5235" s="311">
        <v>245</v>
      </c>
      <c r="AB5235" t="str">
        <f>IF(Table1[[#This Row],[TIPO2]]="costo", VLOOKUP(Table1[[#This Row],[PARTIDA PRESUPUESTAL]],'Cost Report'!G:G,1,0),"Balance")</f>
        <v>3401-042</v>
      </c>
      <c r="AD5235" s="159">
        <f>+Table1[[#This Row],[SUBTOTAL]]+Table1[[#This Row],[IVA]]-Table1[[#This Row],[RET IVA]]-Table1[[#This Row],[RET ISR]]-Table1[[#This Row],[TOTAL]]</f>
        <v>0</v>
      </c>
      <c r="AG5235" t="s">
        <v>3420</v>
      </c>
      <c r="AK5235" s="306" t="str">
        <f>IF(ISNUMBER(Table1[[#This Row],[FECHA DE RECIBIDO]]), Table1[[#This Row],[FECHA DE RECIBIDO]]-DATE(2023,8,30), "")</f>
        <v/>
      </c>
    </row>
    <row r="5236" spans="1:37" ht="16.05" customHeight="1">
      <c r="A5236" s="172" t="s">
        <v>4853</v>
      </c>
      <c r="B5236" s="178">
        <v>1827</v>
      </c>
      <c r="C5236" s="179" t="s">
        <v>2774</v>
      </c>
      <c r="D5236">
        <v>3533</v>
      </c>
      <c r="E5236" s="125" t="s">
        <v>1985</v>
      </c>
      <c r="F5236" s="178" t="s">
        <v>1607</v>
      </c>
      <c r="G5236" s="178" t="s">
        <v>134</v>
      </c>
      <c r="H5236">
        <v>884</v>
      </c>
      <c r="I5236" s="178" t="s">
        <v>1546</v>
      </c>
      <c r="J5236" s="320" t="s">
        <v>214</v>
      </c>
      <c r="K5236" s="178" t="s">
        <v>4871</v>
      </c>
      <c r="L5236" s="125" t="s">
        <v>4849</v>
      </c>
      <c r="M5236">
        <v>1132</v>
      </c>
      <c r="N5236" s="182">
        <v>17</v>
      </c>
      <c r="O5236">
        <v>3369</v>
      </c>
      <c r="P5236" s="132" t="s">
        <v>77</v>
      </c>
      <c r="Q5236" s="176">
        <v>22</v>
      </c>
      <c r="R5236" s="176"/>
      <c r="S5236" s="176"/>
      <c r="T5236" s="190"/>
      <c r="U5236" s="191"/>
      <c r="V5236" s="191">
        <v>22</v>
      </c>
      <c r="W5236">
        <v>438</v>
      </c>
      <c r="X5236" s="186" t="s">
        <v>3451</v>
      </c>
      <c r="Y5236" s="187" t="s">
        <v>55</v>
      </c>
      <c r="Z5236" s="311">
        <v>245</v>
      </c>
      <c r="AB5236" t="str">
        <f>IF(Table1[[#This Row],[TIPO2]]="costo", VLOOKUP(Table1[[#This Row],[PARTIDA PRESUPUESTAL]],'Cost Report'!G:G,1,0),"Balance")</f>
        <v>3401-042</v>
      </c>
      <c r="AD5236" s="159">
        <f>+Table1[[#This Row],[SUBTOTAL]]+Table1[[#This Row],[IVA]]-Table1[[#This Row],[RET IVA]]-Table1[[#This Row],[RET ISR]]-Table1[[#This Row],[TOTAL]]</f>
        <v>0</v>
      </c>
      <c r="AG5236" t="s">
        <v>3420</v>
      </c>
      <c r="AK5236" s="306" t="str">
        <f>IF(ISNUMBER(Table1[[#This Row],[FECHA DE RECIBIDO]]), Table1[[#This Row],[FECHA DE RECIBIDO]]-DATE(2023,8,30), "")</f>
        <v/>
      </c>
    </row>
    <row r="5237" spans="1:37" ht="16.05" customHeight="1">
      <c r="A5237" s="172" t="s">
        <v>4853</v>
      </c>
      <c r="B5237" s="178">
        <v>1827</v>
      </c>
      <c r="C5237" s="179" t="s">
        <v>2774</v>
      </c>
      <c r="D5237">
        <v>3534</v>
      </c>
      <c r="E5237" s="125" t="s">
        <v>1985</v>
      </c>
      <c r="F5237" s="178" t="s">
        <v>1607</v>
      </c>
      <c r="G5237" s="178" t="s">
        <v>134</v>
      </c>
      <c r="H5237">
        <v>884</v>
      </c>
      <c r="I5237" s="178" t="s">
        <v>1546</v>
      </c>
      <c r="J5237" s="320" t="s">
        <v>214</v>
      </c>
      <c r="K5237" s="178" t="s">
        <v>4871</v>
      </c>
      <c r="L5237" s="125" t="s">
        <v>4849</v>
      </c>
      <c r="M5237">
        <v>1132</v>
      </c>
      <c r="N5237" s="182">
        <v>17</v>
      </c>
      <c r="O5237">
        <v>3363</v>
      </c>
      <c r="P5237" s="132" t="s">
        <v>77</v>
      </c>
      <c r="Q5237" s="176">
        <v>27.98</v>
      </c>
      <c r="R5237" s="176">
        <v>1.52</v>
      </c>
      <c r="S5237" s="176"/>
      <c r="T5237" s="190"/>
      <c r="U5237" s="191"/>
      <c r="V5237" s="191">
        <v>29.5</v>
      </c>
      <c r="W5237">
        <v>438</v>
      </c>
      <c r="X5237" s="186" t="s">
        <v>3451</v>
      </c>
      <c r="Y5237" s="187" t="s">
        <v>55</v>
      </c>
      <c r="Z5237" s="311">
        <v>245</v>
      </c>
      <c r="AB5237" t="str">
        <f>IF(Table1[[#This Row],[TIPO2]]="costo", VLOOKUP(Table1[[#This Row],[PARTIDA PRESUPUESTAL]],'Cost Report'!G:G,1,0),"Balance")</f>
        <v>3401-042</v>
      </c>
      <c r="AD5237" s="159">
        <f>+Table1[[#This Row],[SUBTOTAL]]+Table1[[#This Row],[IVA]]-Table1[[#This Row],[RET IVA]]-Table1[[#This Row],[RET ISR]]-Table1[[#This Row],[TOTAL]]</f>
        <v>0</v>
      </c>
      <c r="AG5237" t="s">
        <v>3420</v>
      </c>
      <c r="AK5237" s="306" t="str">
        <f>IF(ISNUMBER(Table1[[#This Row],[FECHA DE RECIBIDO]]), Table1[[#This Row],[FECHA DE RECIBIDO]]-DATE(2023,8,30), "")</f>
        <v/>
      </c>
    </row>
    <row r="5238" spans="1:37" ht="16.05" customHeight="1">
      <c r="A5238" s="172" t="s">
        <v>4853</v>
      </c>
      <c r="B5238" s="178">
        <v>1827</v>
      </c>
      <c r="C5238" s="179" t="s">
        <v>2774</v>
      </c>
      <c r="D5238">
        <v>3535</v>
      </c>
      <c r="E5238" s="125" t="s">
        <v>1609</v>
      </c>
      <c r="F5238" s="178" t="s">
        <v>1607</v>
      </c>
      <c r="G5238" s="178" t="s">
        <v>134</v>
      </c>
      <c r="H5238">
        <v>886</v>
      </c>
      <c r="I5238" s="178" t="s">
        <v>1546</v>
      </c>
      <c r="J5238" s="320" t="s">
        <v>214</v>
      </c>
      <c r="K5238" s="178" t="s">
        <v>4871</v>
      </c>
      <c r="L5238" s="125" t="s">
        <v>4849</v>
      </c>
      <c r="M5238">
        <v>1222</v>
      </c>
      <c r="N5238" s="182">
        <v>17</v>
      </c>
      <c r="O5238">
        <v>1389</v>
      </c>
      <c r="P5238" s="132" t="s">
        <v>77</v>
      </c>
      <c r="Q5238" s="176">
        <v>37.93</v>
      </c>
      <c r="R5238" s="176">
        <v>6.07</v>
      </c>
      <c r="S5238" s="176"/>
      <c r="T5238" s="190"/>
      <c r="U5238" s="191"/>
      <c r="V5238" s="191">
        <v>44</v>
      </c>
      <c r="W5238">
        <v>438</v>
      </c>
      <c r="X5238" s="186" t="s">
        <v>3451</v>
      </c>
      <c r="Y5238" s="187" t="s">
        <v>55</v>
      </c>
      <c r="Z5238" s="311">
        <v>246</v>
      </c>
      <c r="AB5238" t="str">
        <f>IF(Table1[[#This Row],[TIPO2]]="costo", VLOOKUP(Table1[[#This Row],[PARTIDA PRESUPUESTAL]],'Cost Report'!G:G,1,0),"Balance")</f>
        <v>3401-042</v>
      </c>
      <c r="AD5238" s="159">
        <f>+Table1[[#This Row],[SUBTOTAL]]+Table1[[#This Row],[IVA]]-Table1[[#This Row],[RET IVA]]-Table1[[#This Row],[RET ISR]]-Table1[[#This Row],[TOTAL]]</f>
        <v>0</v>
      </c>
      <c r="AG5238" t="s">
        <v>3420</v>
      </c>
      <c r="AK5238" s="306" t="str">
        <f>IF(ISNUMBER(Table1[[#This Row],[FECHA DE RECIBIDO]]), Table1[[#This Row],[FECHA DE RECIBIDO]]-DATE(2023,8,30), "")</f>
        <v/>
      </c>
    </row>
    <row r="5239" spans="1:37" ht="16.05" customHeight="1">
      <c r="A5239" s="172" t="s">
        <v>4853</v>
      </c>
      <c r="B5239" s="178">
        <v>1827</v>
      </c>
      <c r="C5239" s="179" t="s">
        <v>2774</v>
      </c>
      <c r="D5239">
        <v>689</v>
      </c>
      <c r="E5239" s="125"/>
      <c r="F5239" s="178"/>
      <c r="G5239" s="178"/>
      <c r="H5239"/>
      <c r="I5239" s="178"/>
      <c r="J5239" s="320" t="s">
        <v>214</v>
      </c>
      <c r="K5239" s="178" t="s">
        <v>4871</v>
      </c>
      <c r="L5239" s="125" t="s">
        <v>4849</v>
      </c>
      <c r="M5239">
        <v>1223</v>
      </c>
      <c r="N5239" s="182">
        <v>17</v>
      </c>
      <c r="O5239">
        <v>1387</v>
      </c>
      <c r="P5239" s="132" t="s">
        <v>77</v>
      </c>
      <c r="Q5239" s="176">
        <v>31.32</v>
      </c>
      <c r="R5239" s="176"/>
      <c r="S5239" s="176"/>
      <c r="T5239" s="190"/>
      <c r="U5239" s="191"/>
      <c r="V5239" s="191">
        <v>31.32</v>
      </c>
      <c r="W5239">
        <v>438</v>
      </c>
      <c r="X5239" s="186" t="s">
        <v>3451</v>
      </c>
      <c r="Y5239" s="187" t="s">
        <v>55</v>
      </c>
      <c r="Z5239" s="311">
        <v>229</v>
      </c>
      <c r="AB5239" t="str">
        <f>IF(Table1[[#This Row],[TIPO2]]="costo", VLOOKUP(Table1[[#This Row],[PARTIDA PRESUPUESTAL]],'Cost Report'!G:G,1,0),"Balance")</f>
        <v>3401-042</v>
      </c>
      <c r="AD5239" s="159">
        <f>+Table1[[#This Row],[SUBTOTAL]]+Table1[[#This Row],[IVA]]-Table1[[#This Row],[RET IVA]]-Table1[[#This Row],[RET ISR]]-Table1[[#This Row],[TOTAL]]</f>
        <v>0</v>
      </c>
      <c r="AG5239" t="s">
        <v>3420</v>
      </c>
      <c r="AK5239" s="306" t="str">
        <f>IF(ISNUMBER(Table1[[#This Row],[FECHA DE RECIBIDO]]), Table1[[#This Row],[FECHA DE RECIBIDO]]-DATE(2023,8,30), "")</f>
        <v/>
      </c>
    </row>
    <row r="5240" spans="1:37" ht="16.05" customHeight="1">
      <c r="A5240" s="172" t="s">
        <v>4853</v>
      </c>
      <c r="B5240" s="178">
        <v>1827</v>
      </c>
      <c r="C5240" s="179" t="s">
        <v>2774</v>
      </c>
      <c r="D5240">
        <v>689</v>
      </c>
      <c r="E5240" s="125"/>
      <c r="F5240" s="178"/>
      <c r="G5240" s="178"/>
      <c r="H5240"/>
      <c r="I5240" s="178"/>
      <c r="J5240" s="320" t="s">
        <v>214</v>
      </c>
      <c r="K5240" s="178" t="s">
        <v>4871</v>
      </c>
      <c r="L5240" s="125" t="s">
        <v>4849</v>
      </c>
      <c r="M5240">
        <v>1224</v>
      </c>
      <c r="N5240" s="182">
        <v>17</v>
      </c>
      <c r="O5240">
        <v>3370</v>
      </c>
      <c r="P5240" s="132" t="s">
        <v>77</v>
      </c>
      <c r="Q5240" s="176">
        <v>27</v>
      </c>
      <c r="R5240" s="176"/>
      <c r="S5240" s="176"/>
      <c r="T5240" s="190"/>
      <c r="U5240" s="191"/>
      <c r="V5240" s="191">
        <v>27</v>
      </c>
      <c r="W5240">
        <v>438</v>
      </c>
      <c r="X5240" s="186" t="s">
        <v>3451</v>
      </c>
      <c r="Y5240" s="187" t="s">
        <v>55</v>
      </c>
      <c r="Z5240" s="311">
        <v>231</v>
      </c>
      <c r="AB5240" t="str">
        <f>IF(Table1[[#This Row],[TIPO2]]="costo", VLOOKUP(Table1[[#This Row],[PARTIDA PRESUPUESTAL]],'Cost Report'!G:G,1,0),"Balance")</f>
        <v>3401-042</v>
      </c>
      <c r="AD5240" s="159">
        <f>+Table1[[#This Row],[SUBTOTAL]]+Table1[[#This Row],[IVA]]-Table1[[#This Row],[RET IVA]]-Table1[[#This Row],[RET ISR]]-Table1[[#This Row],[TOTAL]]</f>
        <v>0</v>
      </c>
      <c r="AG5240" t="s">
        <v>3420</v>
      </c>
      <c r="AK5240" s="306" t="str">
        <f>IF(ISNUMBER(Table1[[#This Row],[FECHA DE RECIBIDO]]), Table1[[#This Row],[FECHA DE RECIBIDO]]-DATE(2023,8,30), "")</f>
        <v/>
      </c>
    </row>
    <row r="5241" spans="1:37" ht="16.05" customHeight="1">
      <c r="A5241" s="172" t="s">
        <v>4853</v>
      </c>
      <c r="B5241" s="178">
        <v>1827</v>
      </c>
      <c r="C5241" s="179" t="s">
        <v>2774</v>
      </c>
      <c r="D5241">
        <v>689</v>
      </c>
      <c r="E5241" s="125"/>
      <c r="F5241" s="178"/>
      <c r="G5241" s="178"/>
      <c r="H5241"/>
      <c r="I5241" s="178"/>
      <c r="J5241" s="320" t="s">
        <v>214</v>
      </c>
      <c r="K5241" s="178" t="s">
        <v>4871</v>
      </c>
      <c r="L5241" s="125" t="s">
        <v>4849</v>
      </c>
      <c r="M5241">
        <v>587</v>
      </c>
      <c r="N5241" s="182">
        <v>17</v>
      </c>
      <c r="O5241">
        <v>3371</v>
      </c>
      <c r="P5241" s="132" t="s">
        <v>77</v>
      </c>
      <c r="Q5241" s="176">
        <v>125</v>
      </c>
      <c r="R5241" s="176"/>
      <c r="S5241" s="176"/>
      <c r="T5241" s="190"/>
      <c r="U5241" s="191"/>
      <c r="V5241" s="191">
        <v>125</v>
      </c>
      <c r="W5241">
        <v>438</v>
      </c>
      <c r="X5241" s="186" t="s">
        <v>3451</v>
      </c>
      <c r="Y5241" s="187" t="s">
        <v>55</v>
      </c>
      <c r="Z5241" s="311">
        <v>231</v>
      </c>
      <c r="AB5241" t="str">
        <f>IF(Table1[[#This Row],[TIPO2]]="costo", VLOOKUP(Table1[[#This Row],[PARTIDA PRESUPUESTAL]],'Cost Report'!G:G,1,0),"Balance")</f>
        <v>3401-042</v>
      </c>
      <c r="AD5241" s="159">
        <f>+Table1[[#This Row],[SUBTOTAL]]+Table1[[#This Row],[IVA]]-Table1[[#This Row],[RET IVA]]-Table1[[#This Row],[RET ISR]]-Table1[[#This Row],[TOTAL]]</f>
        <v>0</v>
      </c>
      <c r="AG5241" t="s">
        <v>3420</v>
      </c>
      <c r="AK5241" s="306" t="str">
        <f>IF(ISNUMBER(Table1[[#This Row],[FECHA DE RECIBIDO]]), Table1[[#This Row],[FECHA DE RECIBIDO]]-DATE(2023,8,30), "")</f>
        <v/>
      </c>
    </row>
    <row r="5242" spans="1:37" ht="16.05" customHeight="1">
      <c r="A5242" s="172" t="s">
        <v>4853</v>
      </c>
      <c r="B5242" s="178">
        <v>1827</v>
      </c>
      <c r="C5242" s="179" t="s">
        <v>2774</v>
      </c>
      <c r="D5242">
        <v>689</v>
      </c>
      <c r="E5242" s="125"/>
      <c r="F5242" s="178"/>
      <c r="G5242" s="178"/>
      <c r="H5242"/>
      <c r="I5242" s="178"/>
      <c r="J5242" s="320" t="s">
        <v>214</v>
      </c>
      <c r="K5242" s="178" t="s">
        <v>4871</v>
      </c>
      <c r="L5242" s="125" t="s">
        <v>4849</v>
      </c>
      <c r="M5242">
        <v>775</v>
      </c>
      <c r="N5242" s="182">
        <v>17</v>
      </c>
      <c r="O5242">
        <v>2606</v>
      </c>
      <c r="P5242" s="132" t="s">
        <v>77</v>
      </c>
      <c r="Q5242" s="176">
        <v>227</v>
      </c>
      <c r="R5242" s="176"/>
      <c r="S5242" s="176"/>
      <c r="T5242" s="190"/>
      <c r="U5242" s="191"/>
      <c r="V5242" s="191">
        <v>227</v>
      </c>
      <c r="W5242">
        <v>438</v>
      </c>
      <c r="X5242" s="186" t="s">
        <v>3451</v>
      </c>
      <c r="Y5242" s="187" t="s">
        <v>55</v>
      </c>
      <c r="Z5242" s="311">
        <v>232</v>
      </c>
      <c r="AB5242" t="str">
        <f>IF(Table1[[#This Row],[TIPO2]]="costo", VLOOKUP(Table1[[#This Row],[PARTIDA PRESUPUESTAL]],'Cost Report'!G:G,1,0),"Balance")</f>
        <v>3401-042</v>
      </c>
      <c r="AD5242" s="159">
        <f>+Table1[[#This Row],[SUBTOTAL]]+Table1[[#This Row],[IVA]]-Table1[[#This Row],[RET IVA]]-Table1[[#This Row],[RET ISR]]-Table1[[#This Row],[TOTAL]]</f>
        <v>0</v>
      </c>
      <c r="AG5242" t="s">
        <v>3420</v>
      </c>
      <c r="AK5242" s="306" t="str">
        <f>IF(ISNUMBER(Table1[[#This Row],[FECHA DE RECIBIDO]]), Table1[[#This Row],[FECHA DE RECIBIDO]]-DATE(2023,8,30), "")</f>
        <v/>
      </c>
    </row>
    <row r="5243" spans="1:37" ht="16.05" customHeight="1">
      <c r="A5243" s="172" t="s">
        <v>4853</v>
      </c>
      <c r="B5243" s="178">
        <v>1827</v>
      </c>
      <c r="C5243" s="179" t="s">
        <v>2774</v>
      </c>
      <c r="D5243">
        <v>689</v>
      </c>
      <c r="E5243" s="125"/>
      <c r="F5243" s="178"/>
      <c r="G5243" s="178"/>
      <c r="H5243"/>
      <c r="I5243" s="178"/>
      <c r="J5243" s="320" t="s">
        <v>214</v>
      </c>
      <c r="K5243" s="178" t="s">
        <v>4871</v>
      </c>
      <c r="L5243" s="125" t="s">
        <v>4849</v>
      </c>
      <c r="M5243">
        <v>1225</v>
      </c>
      <c r="N5243" s="182">
        <v>17</v>
      </c>
      <c r="O5243">
        <v>279</v>
      </c>
      <c r="P5243" s="132" t="s">
        <v>77</v>
      </c>
      <c r="Q5243" s="176">
        <v>120</v>
      </c>
      <c r="R5243" s="176"/>
      <c r="S5243" s="176"/>
      <c r="T5243" s="190"/>
      <c r="U5243" s="191"/>
      <c r="V5243" s="191">
        <v>120</v>
      </c>
      <c r="W5243">
        <v>438</v>
      </c>
      <c r="X5243" s="186" t="s">
        <v>3451</v>
      </c>
      <c r="Y5243" s="187" t="s">
        <v>55</v>
      </c>
      <c r="Z5243" s="311">
        <v>233</v>
      </c>
      <c r="AB5243" t="str">
        <f>IF(Table1[[#This Row],[TIPO2]]="costo", VLOOKUP(Table1[[#This Row],[PARTIDA PRESUPUESTAL]],'Cost Report'!G:G,1,0),"Balance")</f>
        <v>3401-042</v>
      </c>
      <c r="AD5243" s="159">
        <f>+Table1[[#This Row],[SUBTOTAL]]+Table1[[#This Row],[IVA]]-Table1[[#This Row],[RET IVA]]-Table1[[#This Row],[RET ISR]]-Table1[[#This Row],[TOTAL]]</f>
        <v>0</v>
      </c>
      <c r="AG5243" t="s">
        <v>3420</v>
      </c>
      <c r="AK5243" s="306" t="str">
        <f>IF(ISNUMBER(Table1[[#This Row],[FECHA DE RECIBIDO]]), Table1[[#This Row],[FECHA DE RECIBIDO]]-DATE(2023,8,30), "")</f>
        <v/>
      </c>
    </row>
    <row r="5244" spans="1:37" ht="16.05" customHeight="1">
      <c r="A5244" s="172" t="s">
        <v>4853</v>
      </c>
      <c r="B5244" s="178">
        <v>1827</v>
      </c>
      <c r="C5244" s="179" t="s">
        <v>2774</v>
      </c>
      <c r="D5244">
        <v>689</v>
      </c>
      <c r="E5244" s="125"/>
      <c r="F5244" s="178"/>
      <c r="G5244" s="178"/>
      <c r="H5244"/>
      <c r="I5244" s="178"/>
      <c r="J5244" s="320" t="s">
        <v>214</v>
      </c>
      <c r="K5244" s="178" t="s">
        <v>4871</v>
      </c>
      <c r="L5244" s="125" t="s">
        <v>4849</v>
      </c>
      <c r="M5244">
        <v>588</v>
      </c>
      <c r="N5244" s="182">
        <v>17</v>
      </c>
      <c r="O5244">
        <v>3372</v>
      </c>
      <c r="P5244" s="132" t="s">
        <v>77</v>
      </c>
      <c r="Q5244" s="176">
        <v>59</v>
      </c>
      <c r="R5244" s="176"/>
      <c r="S5244" s="176"/>
      <c r="T5244" s="190"/>
      <c r="U5244" s="191"/>
      <c r="V5244" s="191">
        <v>59</v>
      </c>
      <c r="W5244">
        <v>438</v>
      </c>
      <c r="X5244" s="186" t="s">
        <v>3451</v>
      </c>
      <c r="Y5244" s="187" t="s">
        <v>55</v>
      </c>
      <c r="Z5244" s="311">
        <v>236</v>
      </c>
      <c r="AB5244" t="str">
        <f>IF(Table1[[#This Row],[TIPO2]]="costo", VLOOKUP(Table1[[#This Row],[PARTIDA PRESUPUESTAL]],'Cost Report'!G:G,1,0),"Balance")</f>
        <v>3401-042</v>
      </c>
      <c r="AD5244" s="159">
        <f>+Table1[[#This Row],[SUBTOTAL]]+Table1[[#This Row],[IVA]]-Table1[[#This Row],[RET IVA]]-Table1[[#This Row],[RET ISR]]-Table1[[#This Row],[TOTAL]]</f>
        <v>0</v>
      </c>
      <c r="AG5244" t="s">
        <v>3420</v>
      </c>
      <c r="AK5244" s="306" t="str">
        <f>IF(ISNUMBER(Table1[[#This Row],[FECHA DE RECIBIDO]]), Table1[[#This Row],[FECHA DE RECIBIDO]]-DATE(2023,8,30), "")</f>
        <v/>
      </c>
    </row>
    <row r="5245" spans="1:37" ht="16.05" customHeight="1">
      <c r="A5245" s="172" t="s">
        <v>4853</v>
      </c>
      <c r="B5245" s="178">
        <v>1827</v>
      </c>
      <c r="C5245" s="179" t="s">
        <v>2774</v>
      </c>
      <c r="D5245">
        <v>689</v>
      </c>
      <c r="E5245" s="125"/>
      <c r="F5245" s="178"/>
      <c r="G5245" s="178"/>
      <c r="H5245"/>
      <c r="I5245" s="178"/>
      <c r="J5245" s="320" t="s">
        <v>214</v>
      </c>
      <c r="K5245" s="178" t="s">
        <v>4871</v>
      </c>
      <c r="L5245" s="125" t="s">
        <v>4849</v>
      </c>
      <c r="M5245">
        <v>588</v>
      </c>
      <c r="N5245" s="182">
        <v>17</v>
      </c>
      <c r="O5245">
        <v>1396</v>
      </c>
      <c r="P5245" s="132" t="s">
        <v>77</v>
      </c>
      <c r="Q5245" s="176">
        <v>83</v>
      </c>
      <c r="R5245" s="176"/>
      <c r="S5245" s="176"/>
      <c r="T5245" s="190"/>
      <c r="U5245" s="191"/>
      <c r="V5245" s="191">
        <v>83</v>
      </c>
      <c r="W5245">
        <v>438</v>
      </c>
      <c r="X5245" s="186" t="s">
        <v>3451</v>
      </c>
      <c r="Y5245" s="187" t="s">
        <v>55</v>
      </c>
      <c r="Z5245" s="311">
        <v>236</v>
      </c>
      <c r="AB5245" t="str">
        <f>IF(Table1[[#This Row],[TIPO2]]="costo", VLOOKUP(Table1[[#This Row],[PARTIDA PRESUPUESTAL]],'Cost Report'!G:G,1,0),"Balance")</f>
        <v>3401-042</v>
      </c>
      <c r="AD5245" s="159">
        <f>+Table1[[#This Row],[SUBTOTAL]]+Table1[[#This Row],[IVA]]-Table1[[#This Row],[RET IVA]]-Table1[[#This Row],[RET ISR]]-Table1[[#This Row],[TOTAL]]</f>
        <v>0</v>
      </c>
      <c r="AG5245" t="s">
        <v>3420</v>
      </c>
      <c r="AK5245" s="306" t="str">
        <f>IF(ISNUMBER(Table1[[#This Row],[FECHA DE RECIBIDO]]), Table1[[#This Row],[FECHA DE RECIBIDO]]-DATE(2023,8,30), "")</f>
        <v/>
      </c>
    </row>
    <row r="5246" spans="1:37" ht="16.05" customHeight="1">
      <c r="A5246" s="172" t="s">
        <v>4853</v>
      </c>
      <c r="B5246" s="178">
        <v>1827</v>
      </c>
      <c r="C5246" s="179" t="s">
        <v>2774</v>
      </c>
      <c r="D5246">
        <v>689</v>
      </c>
      <c r="E5246" s="125"/>
      <c r="F5246" s="178"/>
      <c r="G5246" s="178"/>
      <c r="H5246"/>
      <c r="I5246" s="178"/>
      <c r="J5246" s="320" t="s">
        <v>214</v>
      </c>
      <c r="K5246" s="178" t="s">
        <v>4871</v>
      </c>
      <c r="L5246" s="125" t="s">
        <v>4849</v>
      </c>
      <c r="M5246">
        <v>588</v>
      </c>
      <c r="N5246" s="182">
        <v>17</v>
      </c>
      <c r="O5246">
        <v>1395</v>
      </c>
      <c r="P5246" s="132" t="s">
        <v>77</v>
      </c>
      <c r="Q5246" s="176">
        <v>79</v>
      </c>
      <c r="R5246" s="176"/>
      <c r="S5246" s="176"/>
      <c r="T5246" s="190"/>
      <c r="U5246" s="191"/>
      <c r="V5246" s="191">
        <v>79</v>
      </c>
      <c r="W5246">
        <v>438</v>
      </c>
      <c r="X5246" s="186" t="s">
        <v>3451</v>
      </c>
      <c r="Y5246" s="187" t="s">
        <v>55</v>
      </c>
      <c r="Z5246" s="311">
        <v>236</v>
      </c>
      <c r="AB5246" t="str">
        <f>IF(Table1[[#This Row],[TIPO2]]="costo", VLOOKUP(Table1[[#This Row],[PARTIDA PRESUPUESTAL]],'Cost Report'!G:G,1,0),"Balance")</f>
        <v>3401-042</v>
      </c>
      <c r="AD5246" s="159">
        <f>+Table1[[#This Row],[SUBTOTAL]]+Table1[[#This Row],[IVA]]-Table1[[#This Row],[RET IVA]]-Table1[[#This Row],[RET ISR]]-Table1[[#This Row],[TOTAL]]</f>
        <v>0</v>
      </c>
      <c r="AG5246" t="s">
        <v>3420</v>
      </c>
      <c r="AK5246" s="306" t="str">
        <f>IF(ISNUMBER(Table1[[#This Row],[FECHA DE RECIBIDO]]), Table1[[#This Row],[FECHA DE RECIBIDO]]-DATE(2023,8,30), "")</f>
        <v/>
      </c>
    </row>
    <row r="5247" spans="1:37" ht="16.05" customHeight="1">
      <c r="A5247" s="172" t="s">
        <v>4853</v>
      </c>
      <c r="B5247" s="178">
        <v>1827</v>
      </c>
      <c r="C5247" s="179" t="s">
        <v>2774</v>
      </c>
      <c r="D5247">
        <v>689</v>
      </c>
      <c r="E5247" s="125"/>
      <c r="F5247" s="178"/>
      <c r="G5247" s="178"/>
      <c r="H5247"/>
      <c r="I5247" s="178"/>
      <c r="J5247" s="320" t="s">
        <v>214</v>
      </c>
      <c r="K5247" s="178" t="s">
        <v>4871</v>
      </c>
      <c r="L5247" s="125" t="s">
        <v>4849</v>
      </c>
      <c r="M5247">
        <v>1226</v>
      </c>
      <c r="N5247" s="182">
        <v>17</v>
      </c>
      <c r="O5247">
        <v>1396</v>
      </c>
      <c r="P5247" s="132" t="s">
        <v>77</v>
      </c>
      <c r="Q5247" s="176">
        <v>55</v>
      </c>
      <c r="R5247" s="176"/>
      <c r="S5247" s="176"/>
      <c r="T5247" s="190"/>
      <c r="U5247" s="191"/>
      <c r="V5247" s="191">
        <v>55</v>
      </c>
      <c r="W5247">
        <v>438</v>
      </c>
      <c r="X5247" s="186" t="s">
        <v>3451</v>
      </c>
      <c r="Y5247" s="187" t="s">
        <v>55</v>
      </c>
      <c r="Z5247" s="311">
        <v>238</v>
      </c>
      <c r="AB5247" t="str">
        <f>IF(Table1[[#This Row],[TIPO2]]="costo", VLOOKUP(Table1[[#This Row],[PARTIDA PRESUPUESTAL]],'Cost Report'!G:G,1,0),"Balance")</f>
        <v>3401-042</v>
      </c>
      <c r="AD5247" s="159">
        <f>+Table1[[#This Row],[SUBTOTAL]]+Table1[[#This Row],[IVA]]-Table1[[#This Row],[RET IVA]]-Table1[[#This Row],[RET ISR]]-Table1[[#This Row],[TOTAL]]</f>
        <v>0</v>
      </c>
      <c r="AG5247" t="s">
        <v>3420</v>
      </c>
      <c r="AK5247" s="306" t="str">
        <f>IF(ISNUMBER(Table1[[#This Row],[FECHA DE RECIBIDO]]), Table1[[#This Row],[FECHA DE RECIBIDO]]-DATE(2023,8,30), "")</f>
        <v/>
      </c>
    </row>
    <row r="5248" spans="1:37" ht="16.05" customHeight="1">
      <c r="A5248" s="172" t="s">
        <v>4853</v>
      </c>
      <c r="B5248" s="178">
        <v>1827</v>
      </c>
      <c r="C5248" s="179" t="s">
        <v>2851</v>
      </c>
      <c r="D5248">
        <v>689</v>
      </c>
      <c r="E5248" s="125"/>
      <c r="F5248" s="178"/>
      <c r="G5248" s="178"/>
      <c r="H5248"/>
      <c r="I5248" s="178"/>
      <c r="J5248" s="320" t="s">
        <v>214</v>
      </c>
      <c r="K5248" s="178" t="s">
        <v>4871</v>
      </c>
      <c r="L5248" s="125" t="s">
        <v>4849</v>
      </c>
      <c r="M5248">
        <v>1227</v>
      </c>
      <c r="N5248" s="182">
        <v>17</v>
      </c>
      <c r="O5248">
        <v>3373</v>
      </c>
      <c r="P5248" s="132" t="s">
        <v>77</v>
      </c>
      <c r="Q5248" s="176">
        <v>90</v>
      </c>
      <c r="R5248" s="176"/>
      <c r="S5248" s="176"/>
      <c r="T5248" s="190"/>
      <c r="U5248" s="191"/>
      <c r="V5248" s="191">
        <v>90</v>
      </c>
      <c r="W5248">
        <v>438</v>
      </c>
      <c r="X5248" s="186" t="s">
        <v>3451</v>
      </c>
      <c r="Y5248" s="187" t="s">
        <v>55</v>
      </c>
      <c r="Z5248" s="311">
        <v>238</v>
      </c>
      <c r="AB5248" t="str">
        <f>IF(Table1[[#This Row],[TIPO2]]="costo", VLOOKUP(Table1[[#This Row],[PARTIDA PRESUPUESTAL]],'Cost Report'!G:G,1,0),"Balance")</f>
        <v>3485-003</v>
      </c>
      <c r="AD5248" s="159">
        <f>+Table1[[#This Row],[SUBTOTAL]]+Table1[[#This Row],[IVA]]-Table1[[#This Row],[RET IVA]]-Table1[[#This Row],[RET ISR]]-Table1[[#This Row],[TOTAL]]</f>
        <v>0</v>
      </c>
      <c r="AG5248" t="s">
        <v>3420</v>
      </c>
      <c r="AK5248" s="306" t="str">
        <f>IF(ISNUMBER(Table1[[#This Row],[FECHA DE RECIBIDO]]), Table1[[#This Row],[FECHA DE RECIBIDO]]-DATE(2023,8,30), "")</f>
        <v/>
      </c>
    </row>
    <row r="5249" spans="1:37" ht="16.05" customHeight="1">
      <c r="A5249" s="172" t="s">
        <v>4855</v>
      </c>
      <c r="B5249" s="178">
        <v>1828</v>
      </c>
      <c r="C5249" s="179" t="s">
        <v>2596</v>
      </c>
      <c r="D5249">
        <v>3536</v>
      </c>
      <c r="E5249" s="125" t="s">
        <v>4102</v>
      </c>
      <c r="F5249" s="178" t="s">
        <v>1607</v>
      </c>
      <c r="G5249" s="178" t="s">
        <v>134</v>
      </c>
      <c r="H5249">
        <v>887</v>
      </c>
      <c r="I5249" s="178" t="s">
        <v>1546</v>
      </c>
      <c r="J5249" s="320" t="s">
        <v>214</v>
      </c>
      <c r="K5249" s="178" t="s">
        <v>4871</v>
      </c>
      <c r="L5249" s="125" t="s">
        <v>4849</v>
      </c>
      <c r="M5249">
        <v>1228</v>
      </c>
      <c r="N5249" s="182">
        <v>17</v>
      </c>
      <c r="O5249">
        <v>3374</v>
      </c>
      <c r="P5249" s="132" t="s">
        <v>77</v>
      </c>
      <c r="Q5249" s="176">
        <v>1033.6199999999999</v>
      </c>
      <c r="R5249" s="176">
        <v>165.38</v>
      </c>
      <c r="S5249" s="176"/>
      <c r="T5249" s="190"/>
      <c r="U5249" s="191"/>
      <c r="V5249" s="191">
        <v>1199</v>
      </c>
      <c r="W5249">
        <v>61</v>
      </c>
      <c r="X5249" s="186" t="s">
        <v>3451</v>
      </c>
      <c r="Y5249" s="187" t="s">
        <v>55</v>
      </c>
      <c r="Z5249" s="311">
        <v>260</v>
      </c>
      <c r="AB5249" t="str">
        <f>IF(Table1[[#This Row],[TIPO2]]="costo", VLOOKUP(Table1[[#This Row],[PARTIDA PRESUPUESTAL]],'Cost Report'!G:G,1,0),"Balance")</f>
        <v>2794-003</v>
      </c>
      <c r="AD5249" s="159">
        <f>+Table1[[#This Row],[SUBTOTAL]]+Table1[[#This Row],[IVA]]-Table1[[#This Row],[RET IVA]]-Table1[[#This Row],[RET ISR]]-Table1[[#This Row],[TOTAL]]</f>
        <v>0</v>
      </c>
      <c r="AG5249" t="s">
        <v>3420</v>
      </c>
      <c r="AK5249" s="306" t="str">
        <f>IF(ISNUMBER(Table1[[#This Row],[FECHA DE RECIBIDO]]), Table1[[#This Row],[FECHA DE RECIBIDO]]-DATE(2023,8,30), "")</f>
        <v/>
      </c>
    </row>
    <row r="5250" spans="1:37" ht="16.05" customHeight="1">
      <c r="A5250" s="172" t="s">
        <v>4855</v>
      </c>
      <c r="B5250" s="178">
        <v>1828</v>
      </c>
      <c r="C5250" s="179" t="s">
        <v>2596</v>
      </c>
      <c r="D5250">
        <v>3537</v>
      </c>
      <c r="E5250" s="125" t="s">
        <v>1596</v>
      </c>
      <c r="F5250" s="178" t="s">
        <v>1607</v>
      </c>
      <c r="G5250" s="178" t="s">
        <v>134</v>
      </c>
      <c r="H5250">
        <v>139</v>
      </c>
      <c r="I5250" s="178" t="s">
        <v>1546</v>
      </c>
      <c r="J5250" s="320" t="s">
        <v>214</v>
      </c>
      <c r="K5250" s="178" t="s">
        <v>4871</v>
      </c>
      <c r="L5250" s="125" t="s">
        <v>4849</v>
      </c>
      <c r="M5250">
        <v>181</v>
      </c>
      <c r="N5250" s="182">
        <v>17</v>
      </c>
      <c r="O5250">
        <v>3375</v>
      </c>
      <c r="P5250" s="132" t="s">
        <v>77</v>
      </c>
      <c r="Q5250" s="176">
        <v>141.47</v>
      </c>
      <c r="R5250" s="176">
        <v>22.63</v>
      </c>
      <c r="S5250" s="176"/>
      <c r="T5250" s="190"/>
      <c r="U5250" s="191"/>
      <c r="V5250" s="191">
        <v>164.1</v>
      </c>
      <c r="W5250">
        <v>61</v>
      </c>
      <c r="X5250" s="186" t="s">
        <v>3451</v>
      </c>
      <c r="Y5250" s="187" t="s">
        <v>55</v>
      </c>
      <c r="Z5250" s="311">
        <v>261</v>
      </c>
      <c r="AB5250" t="str">
        <f>IF(Table1[[#This Row],[TIPO2]]="costo", VLOOKUP(Table1[[#This Row],[PARTIDA PRESUPUESTAL]],'Cost Report'!G:G,1,0),"Balance")</f>
        <v>2794-003</v>
      </c>
      <c r="AD5250" s="159">
        <f>+Table1[[#This Row],[SUBTOTAL]]+Table1[[#This Row],[IVA]]-Table1[[#This Row],[RET IVA]]-Table1[[#This Row],[RET ISR]]-Table1[[#This Row],[TOTAL]]</f>
        <v>0</v>
      </c>
      <c r="AG5250" t="s">
        <v>3420</v>
      </c>
      <c r="AK5250" s="306" t="str">
        <f>IF(ISNUMBER(Table1[[#This Row],[FECHA DE RECIBIDO]]), Table1[[#This Row],[FECHA DE RECIBIDO]]-DATE(2023,8,30), "")</f>
        <v/>
      </c>
    </row>
    <row r="5251" spans="1:37" ht="16.05" customHeight="1">
      <c r="A5251" s="172" t="s">
        <v>4855</v>
      </c>
      <c r="B5251" s="178">
        <v>1828</v>
      </c>
      <c r="C5251" s="179" t="s">
        <v>2596</v>
      </c>
      <c r="D5251">
        <v>3538</v>
      </c>
      <c r="E5251" s="125" t="s">
        <v>2082</v>
      </c>
      <c r="F5251" s="178" t="s">
        <v>1382</v>
      </c>
      <c r="G5251" s="178" t="e">
        <v>#N/A</v>
      </c>
      <c r="H5251">
        <v>155</v>
      </c>
      <c r="I5251" s="178" t="s">
        <v>1546</v>
      </c>
      <c r="J5251" s="320" t="s">
        <v>214</v>
      </c>
      <c r="K5251" s="178" t="s">
        <v>4871</v>
      </c>
      <c r="L5251" s="125" t="s">
        <v>4849</v>
      </c>
      <c r="M5251">
        <v>206</v>
      </c>
      <c r="N5251" s="182">
        <v>17</v>
      </c>
      <c r="O5251">
        <v>3376</v>
      </c>
      <c r="P5251" s="132" t="s">
        <v>77</v>
      </c>
      <c r="Q5251" s="176">
        <v>387.5</v>
      </c>
      <c r="R5251" s="176">
        <v>62</v>
      </c>
      <c r="S5251" s="176"/>
      <c r="T5251" s="190"/>
      <c r="U5251" s="191"/>
      <c r="V5251" s="191">
        <v>449.5</v>
      </c>
      <c r="W5251">
        <v>61</v>
      </c>
      <c r="X5251" s="186" t="s">
        <v>3451</v>
      </c>
      <c r="Y5251" s="187" t="s">
        <v>55</v>
      </c>
      <c r="Z5251" s="311">
        <v>261</v>
      </c>
      <c r="AB5251" t="str">
        <f>IF(Table1[[#This Row],[TIPO2]]="costo", VLOOKUP(Table1[[#This Row],[PARTIDA PRESUPUESTAL]],'Cost Report'!G:G,1,0),"Balance")</f>
        <v>2794-003</v>
      </c>
      <c r="AD5251" s="159">
        <f>+Table1[[#This Row],[SUBTOTAL]]+Table1[[#This Row],[IVA]]-Table1[[#This Row],[RET IVA]]-Table1[[#This Row],[RET ISR]]-Table1[[#This Row],[TOTAL]]</f>
        <v>0</v>
      </c>
      <c r="AG5251" t="s">
        <v>3420</v>
      </c>
      <c r="AK5251" s="306" t="str">
        <f>IF(ISNUMBER(Table1[[#This Row],[FECHA DE RECIBIDO]]), Table1[[#This Row],[FECHA DE RECIBIDO]]-DATE(2023,8,30), "")</f>
        <v/>
      </c>
    </row>
    <row r="5252" spans="1:37" ht="16.05" customHeight="1">
      <c r="A5252" s="172" t="s">
        <v>4855</v>
      </c>
      <c r="B5252" s="178">
        <v>1828</v>
      </c>
      <c r="C5252" s="179" t="s">
        <v>2596</v>
      </c>
      <c r="D5252">
        <v>3539</v>
      </c>
      <c r="E5252" s="125" t="s">
        <v>3667</v>
      </c>
      <c r="F5252" s="178" t="s">
        <v>1607</v>
      </c>
      <c r="G5252" s="178" t="s">
        <v>134</v>
      </c>
      <c r="H5252">
        <v>41</v>
      </c>
      <c r="I5252" s="178" t="s">
        <v>1546</v>
      </c>
      <c r="J5252" s="320" t="s">
        <v>214</v>
      </c>
      <c r="K5252" s="178" t="s">
        <v>4871</v>
      </c>
      <c r="L5252" s="125" t="s">
        <v>4849</v>
      </c>
      <c r="M5252">
        <v>323</v>
      </c>
      <c r="N5252" s="182">
        <v>17</v>
      </c>
      <c r="O5252">
        <v>1340</v>
      </c>
      <c r="P5252" s="132" t="s">
        <v>77</v>
      </c>
      <c r="Q5252" s="176">
        <v>48.28</v>
      </c>
      <c r="R5252" s="176">
        <v>7.72</v>
      </c>
      <c r="S5252" s="176"/>
      <c r="T5252" s="190"/>
      <c r="U5252" s="191"/>
      <c r="V5252" s="191">
        <v>56</v>
      </c>
      <c r="W5252">
        <v>61</v>
      </c>
      <c r="X5252" s="186" t="s">
        <v>3451</v>
      </c>
      <c r="Y5252" s="187" t="s">
        <v>55</v>
      </c>
      <c r="Z5252" s="311">
        <v>261</v>
      </c>
      <c r="AB5252" t="str">
        <f>IF(Table1[[#This Row],[TIPO2]]="costo", VLOOKUP(Table1[[#This Row],[PARTIDA PRESUPUESTAL]],'Cost Report'!G:G,1,0),"Balance")</f>
        <v>2794-003</v>
      </c>
      <c r="AD5252" s="159">
        <f>+Table1[[#This Row],[SUBTOTAL]]+Table1[[#This Row],[IVA]]-Table1[[#This Row],[RET IVA]]-Table1[[#This Row],[RET ISR]]-Table1[[#This Row],[TOTAL]]</f>
        <v>0</v>
      </c>
      <c r="AG5252" t="s">
        <v>3420</v>
      </c>
      <c r="AK5252" s="306" t="str">
        <f>IF(ISNUMBER(Table1[[#This Row],[FECHA DE RECIBIDO]]), Table1[[#This Row],[FECHA DE RECIBIDO]]-DATE(2023,8,30), "")</f>
        <v/>
      </c>
    </row>
    <row r="5253" spans="1:37" ht="16.05" customHeight="1">
      <c r="A5253" s="172" t="s">
        <v>4855</v>
      </c>
      <c r="B5253" s="178">
        <v>1828</v>
      </c>
      <c r="C5253" s="179" t="s">
        <v>2596</v>
      </c>
      <c r="D5253">
        <v>3540</v>
      </c>
      <c r="E5253" s="125" t="s">
        <v>4102</v>
      </c>
      <c r="F5253" s="178" t="s">
        <v>1607</v>
      </c>
      <c r="G5253" s="178" t="s">
        <v>134</v>
      </c>
      <c r="H5253">
        <v>572</v>
      </c>
      <c r="I5253" s="178" t="s">
        <v>1546</v>
      </c>
      <c r="J5253" s="320" t="s">
        <v>214</v>
      </c>
      <c r="K5253" s="178" t="s">
        <v>4871</v>
      </c>
      <c r="L5253" s="125" t="s">
        <v>4849</v>
      </c>
      <c r="M5253">
        <v>803</v>
      </c>
      <c r="N5253" s="182">
        <v>17</v>
      </c>
      <c r="O5253">
        <v>905</v>
      </c>
      <c r="P5253" s="132" t="s">
        <v>77</v>
      </c>
      <c r="Q5253" s="176">
        <v>17.239999999999998</v>
      </c>
      <c r="R5253" s="176">
        <v>2.76</v>
      </c>
      <c r="S5253" s="176"/>
      <c r="T5253" s="190"/>
      <c r="U5253" s="191"/>
      <c r="V5253" s="191">
        <v>20</v>
      </c>
      <c r="W5253">
        <v>61</v>
      </c>
      <c r="X5253" s="186" t="s">
        <v>3451</v>
      </c>
      <c r="Y5253" s="187" t="s">
        <v>55</v>
      </c>
      <c r="Z5253" s="311">
        <v>261</v>
      </c>
      <c r="AB5253" t="str">
        <f>IF(Table1[[#This Row],[TIPO2]]="costo", VLOOKUP(Table1[[#This Row],[PARTIDA PRESUPUESTAL]],'Cost Report'!G:G,1,0),"Balance")</f>
        <v>2794-003</v>
      </c>
      <c r="AD5253" s="159">
        <f>+Table1[[#This Row],[SUBTOTAL]]+Table1[[#This Row],[IVA]]-Table1[[#This Row],[RET IVA]]-Table1[[#This Row],[RET ISR]]-Table1[[#This Row],[TOTAL]]</f>
        <v>0</v>
      </c>
      <c r="AG5253" t="s">
        <v>3420</v>
      </c>
      <c r="AK5253" s="306" t="str">
        <f>IF(ISNUMBER(Table1[[#This Row],[FECHA DE RECIBIDO]]), Table1[[#This Row],[FECHA DE RECIBIDO]]-DATE(2023,8,30), "")</f>
        <v/>
      </c>
    </row>
    <row r="5254" spans="1:37" ht="16.05" customHeight="1">
      <c r="A5254" s="172" t="s">
        <v>4855</v>
      </c>
      <c r="B5254" s="178">
        <v>1828</v>
      </c>
      <c r="C5254" s="179" t="s">
        <v>2596</v>
      </c>
      <c r="D5254">
        <v>3541</v>
      </c>
      <c r="E5254" s="125" t="s">
        <v>4102</v>
      </c>
      <c r="F5254" s="178" t="s">
        <v>1607</v>
      </c>
      <c r="G5254" s="178" t="s">
        <v>134</v>
      </c>
      <c r="H5254">
        <v>572</v>
      </c>
      <c r="I5254" s="178" t="s">
        <v>1546</v>
      </c>
      <c r="J5254" s="320" t="s">
        <v>214</v>
      </c>
      <c r="K5254" s="178" t="s">
        <v>4871</v>
      </c>
      <c r="L5254" s="125" t="s">
        <v>4849</v>
      </c>
      <c r="M5254">
        <v>803</v>
      </c>
      <c r="N5254" s="182">
        <v>17</v>
      </c>
      <c r="O5254">
        <v>905</v>
      </c>
      <c r="P5254" s="132" t="s">
        <v>77</v>
      </c>
      <c r="Q5254" s="176">
        <v>8.6199999999999992</v>
      </c>
      <c r="R5254" s="176">
        <v>1.38</v>
      </c>
      <c r="S5254" s="176"/>
      <c r="T5254" s="190"/>
      <c r="U5254" s="191"/>
      <c r="V5254" s="191">
        <v>10</v>
      </c>
      <c r="W5254">
        <v>61</v>
      </c>
      <c r="X5254" s="186" t="s">
        <v>3451</v>
      </c>
      <c r="Y5254" s="187" t="s">
        <v>55</v>
      </c>
      <c r="Z5254" s="311">
        <v>261</v>
      </c>
      <c r="AB5254" t="str">
        <f>IF(Table1[[#This Row],[TIPO2]]="costo", VLOOKUP(Table1[[#This Row],[PARTIDA PRESUPUESTAL]],'Cost Report'!G:G,1,0),"Balance")</f>
        <v>2794-003</v>
      </c>
      <c r="AD5254" s="159">
        <f>+Table1[[#This Row],[SUBTOTAL]]+Table1[[#This Row],[IVA]]-Table1[[#This Row],[RET IVA]]-Table1[[#This Row],[RET ISR]]-Table1[[#This Row],[TOTAL]]</f>
        <v>0</v>
      </c>
      <c r="AG5254" t="s">
        <v>3420</v>
      </c>
      <c r="AK5254" s="306" t="str">
        <f>IF(ISNUMBER(Table1[[#This Row],[FECHA DE RECIBIDO]]), Table1[[#This Row],[FECHA DE RECIBIDO]]-DATE(2023,8,30), "")</f>
        <v/>
      </c>
    </row>
    <row r="5255" spans="1:37" ht="16.05" customHeight="1">
      <c r="A5255" s="172" t="s">
        <v>4855</v>
      </c>
      <c r="B5255" s="178">
        <v>1828</v>
      </c>
      <c r="C5255" s="179" t="s">
        <v>2596</v>
      </c>
      <c r="D5255">
        <v>3542</v>
      </c>
      <c r="E5255" s="125" t="s">
        <v>2008</v>
      </c>
      <c r="F5255" s="178" t="s">
        <v>1607</v>
      </c>
      <c r="G5255" s="178" t="s">
        <v>134</v>
      </c>
      <c r="H5255">
        <v>102</v>
      </c>
      <c r="I5255" s="178" t="s">
        <v>1546</v>
      </c>
      <c r="J5255" s="320" t="s">
        <v>214</v>
      </c>
      <c r="K5255" s="178" t="s">
        <v>4871</v>
      </c>
      <c r="L5255" s="125" t="s">
        <v>4849</v>
      </c>
      <c r="M5255">
        <v>137</v>
      </c>
      <c r="N5255" s="182">
        <v>17</v>
      </c>
      <c r="O5255">
        <v>3377</v>
      </c>
      <c r="P5255" s="132" t="s">
        <v>77</v>
      </c>
      <c r="Q5255" s="176">
        <v>4562.9399999999996</v>
      </c>
      <c r="R5255" s="176">
        <v>730.06</v>
      </c>
      <c r="S5255" s="176"/>
      <c r="T5255" s="190"/>
      <c r="U5255" s="191"/>
      <c r="V5255" s="191">
        <v>5293</v>
      </c>
      <c r="W5255">
        <v>61</v>
      </c>
      <c r="X5255" s="186" t="s">
        <v>3451</v>
      </c>
      <c r="Y5255" s="187" t="s">
        <v>55</v>
      </c>
      <c r="Z5255" s="311">
        <v>261</v>
      </c>
      <c r="AB5255" t="str">
        <f>IF(Table1[[#This Row],[TIPO2]]="costo", VLOOKUP(Table1[[#This Row],[PARTIDA PRESUPUESTAL]],'Cost Report'!G:G,1,0),"Balance")</f>
        <v>2794-003</v>
      </c>
      <c r="AD5255" s="159">
        <f>+Table1[[#This Row],[SUBTOTAL]]+Table1[[#This Row],[IVA]]-Table1[[#This Row],[RET IVA]]-Table1[[#This Row],[RET ISR]]-Table1[[#This Row],[TOTAL]]</f>
        <v>0</v>
      </c>
      <c r="AG5255" t="s">
        <v>3420</v>
      </c>
      <c r="AK5255" s="306" t="str">
        <f>IF(ISNUMBER(Table1[[#This Row],[FECHA DE RECIBIDO]]), Table1[[#This Row],[FECHA DE RECIBIDO]]-DATE(2023,8,30), "")</f>
        <v/>
      </c>
    </row>
    <row r="5256" spans="1:37" ht="16.05" customHeight="1">
      <c r="A5256" s="172" t="s">
        <v>4855</v>
      </c>
      <c r="B5256" s="178">
        <v>1828</v>
      </c>
      <c r="C5256" s="179" t="s">
        <v>2596</v>
      </c>
      <c r="D5256">
        <v>3543</v>
      </c>
      <c r="E5256" s="125" t="s">
        <v>1598</v>
      </c>
      <c r="F5256" s="178" t="s">
        <v>1607</v>
      </c>
      <c r="G5256" s="178" t="s">
        <v>134</v>
      </c>
      <c r="H5256">
        <v>393</v>
      </c>
      <c r="I5256" s="178" t="s">
        <v>1546</v>
      </c>
      <c r="J5256" s="320" t="s">
        <v>214</v>
      </c>
      <c r="K5256" s="178" t="s">
        <v>4871</v>
      </c>
      <c r="L5256" s="125" t="s">
        <v>4849</v>
      </c>
      <c r="M5256">
        <v>522</v>
      </c>
      <c r="N5256" s="182">
        <v>17</v>
      </c>
      <c r="O5256">
        <v>905</v>
      </c>
      <c r="P5256" s="132" t="s">
        <v>77</v>
      </c>
      <c r="Q5256" s="176">
        <v>51.72</v>
      </c>
      <c r="R5256" s="176">
        <v>8.2799999999999994</v>
      </c>
      <c r="S5256" s="176"/>
      <c r="T5256" s="190"/>
      <c r="U5256" s="191"/>
      <c r="V5256" s="191">
        <v>60</v>
      </c>
      <c r="W5256">
        <v>61</v>
      </c>
      <c r="X5256" s="186" t="s">
        <v>3451</v>
      </c>
      <c r="Y5256" s="187" t="s">
        <v>55</v>
      </c>
      <c r="Z5256" s="311">
        <v>261</v>
      </c>
      <c r="AB5256" t="str">
        <f>IF(Table1[[#This Row],[TIPO2]]="costo", VLOOKUP(Table1[[#This Row],[PARTIDA PRESUPUESTAL]],'Cost Report'!G:G,1,0),"Balance")</f>
        <v>2794-003</v>
      </c>
      <c r="AD5256" s="159">
        <f>+Table1[[#This Row],[SUBTOTAL]]+Table1[[#This Row],[IVA]]-Table1[[#This Row],[RET IVA]]-Table1[[#This Row],[RET ISR]]-Table1[[#This Row],[TOTAL]]</f>
        <v>0</v>
      </c>
      <c r="AG5256" t="s">
        <v>3420</v>
      </c>
      <c r="AK5256" s="306" t="str">
        <f>IF(ISNUMBER(Table1[[#This Row],[FECHA DE RECIBIDO]]), Table1[[#This Row],[FECHA DE RECIBIDO]]-DATE(2023,8,30), "")</f>
        <v/>
      </c>
    </row>
    <row r="5257" spans="1:37" ht="16.05" customHeight="1">
      <c r="A5257" s="172" t="s">
        <v>4855</v>
      </c>
      <c r="B5257" s="178">
        <v>1828</v>
      </c>
      <c r="C5257" s="179" t="s">
        <v>2596</v>
      </c>
      <c r="D5257">
        <v>3544</v>
      </c>
      <c r="E5257" s="125" t="s">
        <v>1598</v>
      </c>
      <c r="F5257" s="178" t="s">
        <v>1607</v>
      </c>
      <c r="G5257" s="178" t="s">
        <v>134</v>
      </c>
      <c r="H5257">
        <v>41</v>
      </c>
      <c r="I5257" s="178" t="s">
        <v>1546</v>
      </c>
      <c r="J5257" s="320" t="s">
        <v>214</v>
      </c>
      <c r="K5257" s="178" t="s">
        <v>4871</v>
      </c>
      <c r="L5257" s="125" t="s">
        <v>4849</v>
      </c>
      <c r="M5257">
        <v>323</v>
      </c>
      <c r="N5257" s="182">
        <v>17</v>
      </c>
      <c r="O5257">
        <v>1340</v>
      </c>
      <c r="P5257" s="132" t="s">
        <v>77</v>
      </c>
      <c r="Q5257" s="176">
        <v>1984.24</v>
      </c>
      <c r="R5257" s="176">
        <v>317.48</v>
      </c>
      <c r="S5257" s="176"/>
      <c r="T5257" s="190"/>
      <c r="U5257" s="191"/>
      <c r="V5257" s="191">
        <v>2301.7200000000003</v>
      </c>
      <c r="W5257">
        <v>61</v>
      </c>
      <c r="X5257" s="186" t="s">
        <v>3451</v>
      </c>
      <c r="Y5257" s="187" t="s">
        <v>55</v>
      </c>
      <c r="Z5257" s="311">
        <v>261</v>
      </c>
      <c r="AB5257" t="str">
        <f>IF(Table1[[#This Row],[TIPO2]]="costo", VLOOKUP(Table1[[#This Row],[PARTIDA PRESUPUESTAL]],'Cost Report'!G:G,1,0),"Balance")</f>
        <v>2794-003</v>
      </c>
      <c r="AD5257" s="159">
        <f>+Table1[[#This Row],[SUBTOTAL]]+Table1[[#This Row],[IVA]]-Table1[[#This Row],[RET IVA]]-Table1[[#This Row],[RET ISR]]-Table1[[#This Row],[TOTAL]]</f>
        <v>0</v>
      </c>
      <c r="AG5257" t="s">
        <v>3420</v>
      </c>
      <c r="AK5257" s="306" t="str">
        <f>IF(ISNUMBER(Table1[[#This Row],[FECHA DE RECIBIDO]]), Table1[[#This Row],[FECHA DE RECIBIDO]]-DATE(2023,8,30), "")</f>
        <v/>
      </c>
    </row>
    <row r="5258" spans="1:37" ht="16.05" customHeight="1">
      <c r="A5258" s="172" t="s">
        <v>4855</v>
      </c>
      <c r="B5258" s="178">
        <v>1828</v>
      </c>
      <c r="C5258" s="179" t="s">
        <v>2596</v>
      </c>
      <c r="D5258">
        <v>3545</v>
      </c>
      <c r="E5258" s="125" t="s">
        <v>1596</v>
      </c>
      <c r="F5258" s="178" t="s">
        <v>1589</v>
      </c>
      <c r="G5258" s="178" t="s">
        <v>129</v>
      </c>
      <c r="H5258">
        <v>888</v>
      </c>
      <c r="I5258" s="178" t="s">
        <v>1546</v>
      </c>
      <c r="J5258" s="320" t="s">
        <v>214</v>
      </c>
      <c r="K5258" s="178" t="s">
        <v>4871</v>
      </c>
      <c r="L5258" s="125" t="s">
        <v>4849</v>
      </c>
      <c r="M5258">
        <v>1229</v>
      </c>
      <c r="N5258" s="182">
        <v>17</v>
      </c>
      <c r="O5258">
        <v>3378</v>
      </c>
      <c r="P5258" s="132" t="s">
        <v>77</v>
      </c>
      <c r="Q5258" s="176">
        <v>1500</v>
      </c>
      <c r="R5258" s="176">
        <v>240</v>
      </c>
      <c r="S5258" s="176"/>
      <c r="T5258" s="190"/>
      <c r="U5258" s="191"/>
      <c r="V5258" s="191">
        <v>1740</v>
      </c>
      <c r="W5258">
        <v>61</v>
      </c>
      <c r="X5258" s="186" t="s">
        <v>3451</v>
      </c>
      <c r="Y5258" s="187" t="s">
        <v>55</v>
      </c>
      <c r="Z5258" s="311">
        <v>261</v>
      </c>
      <c r="AB5258" t="str">
        <f>IF(Table1[[#This Row],[TIPO2]]="costo", VLOOKUP(Table1[[#This Row],[PARTIDA PRESUPUESTAL]],'Cost Report'!G:G,1,0),"Balance")</f>
        <v>2794-003</v>
      </c>
      <c r="AD5258" s="159">
        <f>+Table1[[#This Row],[SUBTOTAL]]+Table1[[#This Row],[IVA]]-Table1[[#This Row],[RET IVA]]-Table1[[#This Row],[RET ISR]]-Table1[[#This Row],[TOTAL]]</f>
        <v>0</v>
      </c>
      <c r="AG5258" t="s">
        <v>3420</v>
      </c>
      <c r="AK5258" s="306" t="str">
        <f>IF(ISNUMBER(Table1[[#This Row],[FECHA DE RECIBIDO]]), Table1[[#This Row],[FECHA DE RECIBIDO]]-DATE(2023,8,30), "")</f>
        <v/>
      </c>
    </row>
    <row r="5259" spans="1:37" ht="16.05" customHeight="1">
      <c r="A5259" s="172" t="s">
        <v>4855</v>
      </c>
      <c r="B5259" s="178">
        <v>1828</v>
      </c>
      <c r="C5259" s="179" t="s">
        <v>2596</v>
      </c>
      <c r="D5259">
        <v>3546</v>
      </c>
      <c r="E5259" s="125" t="s">
        <v>1596</v>
      </c>
      <c r="F5259" s="178" t="s">
        <v>1589</v>
      </c>
      <c r="G5259" s="178" t="s">
        <v>129</v>
      </c>
      <c r="H5259">
        <v>888</v>
      </c>
      <c r="I5259" s="178" t="s">
        <v>1546</v>
      </c>
      <c r="J5259" s="320" t="s">
        <v>214</v>
      </c>
      <c r="K5259" s="178" t="s">
        <v>4871</v>
      </c>
      <c r="L5259" s="125" t="s">
        <v>4849</v>
      </c>
      <c r="M5259">
        <v>1229</v>
      </c>
      <c r="N5259" s="182">
        <v>17</v>
      </c>
      <c r="O5259">
        <v>3378</v>
      </c>
      <c r="P5259" s="132" t="s">
        <v>77</v>
      </c>
      <c r="Q5259" s="176">
        <v>1500</v>
      </c>
      <c r="R5259" s="176">
        <v>240</v>
      </c>
      <c r="S5259" s="176"/>
      <c r="T5259" s="190"/>
      <c r="U5259" s="191"/>
      <c r="V5259" s="191">
        <v>1740</v>
      </c>
      <c r="W5259">
        <v>61</v>
      </c>
      <c r="X5259" s="186" t="s">
        <v>3451</v>
      </c>
      <c r="Y5259" s="187" t="s">
        <v>55</v>
      </c>
      <c r="Z5259" s="311">
        <v>261</v>
      </c>
      <c r="AB5259" t="str">
        <f>IF(Table1[[#This Row],[TIPO2]]="costo", VLOOKUP(Table1[[#This Row],[PARTIDA PRESUPUESTAL]],'Cost Report'!G:G,1,0),"Balance")</f>
        <v>2794-003</v>
      </c>
      <c r="AD5259" s="159">
        <f>+Table1[[#This Row],[SUBTOTAL]]+Table1[[#This Row],[IVA]]-Table1[[#This Row],[RET IVA]]-Table1[[#This Row],[RET ISR]]-Table1[[#This Row],[TOTAL]]</f>
        <v>0</v>
      </c>
      <c r="AG5259" t="s">
        <v>3420</v>
      </c>
      <c r="AK5259" s="306" t="str">
        <f>IF(ISNUMBER(Table1[[#This Row],[FECHA DE RECIBIDO]]), Table1[[#This Row],[FECHA DE RECIBIDO]]-DATE(2023,8,30), "")</f>
        <v/>
      </c>
    </row>
    <row r="5260" spans="1:37" ht="16.05" customHeight="1">
      <c r="A5260" s="172" t="s">
        <v>4855</v>
      </c>
      <c r="B5260" s="178">
        <v>1828</v>
      </c>
      <c r="C5260" s="179" t="s">
        <v>2596</v>
      </c>
      <c r="D5260">
        <v>3547</v>
      </c>
      <c r="E5260" s="125" t="s">
        <v>1603</v>
      </c>
      <c r="F5260" s="178" t="s">
        <v>1602</v>
      </c>
      <c r="G5260" s="178" t="s">
        <v>1617</v>
      </c>
      <c r="H5260">
        <v>889</v>
      </c>
      <c r="I5260" s="178" t="s">
        <v>1546</v>
      </c>
      <c r="J5260" s="320" t="s">
        <v>214</v>
      </c>
      <c r="K5260" s="178" t="s">
        <v>4871</v>
      </c>
      <c r="L5260" s="125" t="s">
        <v>4849</v>
      </c>
      <c r="M5260">
        <v>1230</v>
      </c>
      <c r="N5260" s="182">
        <v>17</v>
      </c>
      <c r="O5260">
        <v>3379</v>
      </c>
      <c r="P5260" s="132" t="s">
        <v>77</v>
      </c>
      <c r="Q5260" s="176">
        <v>82.76</v>
      </c>
      <c r="R5260" s="176">
        <v>13.24</v>
      </c>
      <c r="S5260" s="176"/>
      <c r="T5260" s="190"/>
      <c r="U5260" s="191"/>
      <c r="V5260" s="191">
        <v>96</v>
      </c>
      <c r="W5260">
        <v>61</v>
      </c>
      <c r="X5260" s="186" t="s">
        <v>3451</v>
      </c>
      <c r="Y5260" s="187" t="s">
        <v>55</v>
      </c>
      <c r="Z5260" s="311">
        <v>261</v>
      </c>
      <c r="AB5260" t="str">
        <f>IF(Table1[[#This Row],[TIPO2]]="costo", VLOOKUP(Table1[[#This Row],[PARTIDA PRESUPUESTAL]],'Cost Report'!G:G,1,0),"Balance")</f>
        <v>2794-003</v>
      </c>
      <c r="AD5260" s="159">
        <f>+Table1[[#This Row],[SUBTOTAL]]+Table1[[#This Row],[IVA]]-Table1[[#This Row],[RET IVA]]-Table1[[#This Row],[RET ISR]]-Table1[[#This Row],[TOTAL]]</f>
        <v>0</v>
      </c>
      <c r="AG5260" t="s">
        <v>3420</v>
      </c>
      <c r="AK5260" s="306" t="str">
        <f>IF(ISNUMBER(Table1[[#This Row],[FECHA DE RECIBIDO]]), Table1[[#This Row],[FECHA DE RECIBIDO]]-DATE(2023,8,30), "")</f>
        <v/>
      </c>
    </row>
    <row r="5261" spans="1:37" ht="16.05" customHeight="1">
      <c r="A5261" s="172" t="s">
        <v>4855</v>
      </c>
      <c r="B5261" s="178">
        <v>1828</v>
      </c>
      <c r="C5261" s="179" t="s">
        <v>2596</v>
      </c>
      <c r="D5261">
        <v>3548</v>
      </c>
      <c r="E5261" s="125" t="s">
        <v>1598</v>
      </c>
      <c r="F5261" s="178" t="s">
        <v>1607</v>
      </c>
      <c r="G5261" s="178" t="s">
        <v>134</v>
      </c>
      <c r="H5261">
        <v>156</v>
      </c>
      <c r="I5261" s="178" t="s">
        <v>1546</v>
      </c>
      <c r="J5261" s="320" t="s">
        <v>214</v>
      </c>
      <c r="K5261" s="178" t="s">
        <v>4871</v>
      </c>
      <c r="L5261" s="125" t="s">
        <v>4849</v>
      </c>
      <c r="M5261">
        <v>207</v>
      </c>
      <c r="N5261" s="182">
        <v>17</v>
      </c>
      <c r="O5261">
        <v>2103</v>
      </c>
      <c r="P5261" s="132" t="s">
        <v>77</v>
      </c>
      <c r="Q5261" s="176">
        <v>1679.74</v>
      </c>
      <c r="R5261" s="176">
        <v>268.76</v>
      </c>
      <c r="S5261" s="176"/>
      <c r="T5261" s="190"/>
      <c r="U5261" s="191"/>
      <c r="V5261" s="191">
        <v>1948.5</v>
      </c>
      <c r="W5261">
        <v>61</v>
      </c>
      <c r="X5261" s="186" t="s">
        <v>3451</v>
      </c>
      <c r="Y5261" s="187" t="s">
        <v>55</v>
      </c>
      <c r="Z5261" s="311">
        <v>261</v>
      </c>
      <c r="AB5261" t="str">
        <f>IF(Table1[[#This Row],[TIPO2]]="costo", VLOOKUP(Table1[[#This Row],[PARTIDA PRESUPUESTAL]],'Cost Report'!G:G,1,0),"Balance")</f>
        <v>2794-003</v>
      </c>
      <c r="AD5261" s="159">
        <f>+Table1[[#This Row],[SUBTOTAL]]+Table1[[#This Row],[IVA]]-Table1[[#This Row],[RET IVA]]-Table1[[#This Row],[RET ISR]]-Table1[[#This Row],[TOTAL]]</f>
        <v>0</v>
      </c>
      <c r="AG5261" t="s">
        <v>3420</v>
      </c>
      <c r="AK5261" s="306" t="str">
        <f>IF(ISNUMBER(Table1[[#This Row],[FECHA DE RECIBIDO]]), Table1[[#This Row],[FECHA DE RECIBIDO]]-DATE(2023,8,30), "")</f>
        <v/>
      </c>
    </row>
    <row r="5262" spans="1:37" ht="16.05" customHeight="1">
      <c r="A5262" s="172" t="s">
        <v>4855</v>
      </c>
      <c r="B5262" s="178">
        <v>1828</v>
      </c>
      <c r="C5262" s="179" t="s">
        <v>2596</v>
      </c>
      <c r="D5262">
        <v>3549</v>
      </c>
      <c r="E5262" s="125" t="s">
        <v>2003</v>
      </c>
      <c r="F5262" s="178" t="s">
        <v>1607</v>
      </c>
      <c r="G5262" s="178" t="s">
        <v>134</v>
      </c>
      <c r="H5262">
        <v>179</v>
      </c>
      <c r="I5262" s="178" t="s">
        <v>1546</v>
      </c>
      <c r="J5262" s="320" t="s">
        <v>214</v>
      </c>
      <c r="K5262" s="178" t="s">
        <v>4871</v>
      </c>
      <c r="L5262" s="125" t="s">
        <v>4849</v>
      </c>
      <c r="M5262">
        <v>1231</v>
      </c>
      <c r="N5262" s="182">
        <v>17</v>
      </c>
      <c r="O5262">
        <v>3380</v>
      </c>
      <c r="P5262" s="132" t="s">
        <v>77</v>
      </c>
      <c r="Q5262" s="176">
        <v>137.9</v>
      </c>
      <c r="R5262" s="176">
        <v>22.06</v>
      </c>
      <c r="S5262" s="176"/>
      <c r="T5262" s="190"/>
      <c r="U5262" s="191"/>
      <c r="V5262" s="191">
        <v>159.96</v>
      </c>
      <c r="W5262">
        <v>61</v>
      </c>
      <c r="X5262" s="186" t="s">
        <v>3451</v>
      </c>
      <c r="Y5262" s="187" t="s">
        <v>55</v>
      </c>
      <c r="Z5262" s="311">
        <v>261</v>
      </c>
      <c r="AB5262" t="str">
        <f>IF(Table1[[#This Row],[TIPO2]]="costo", VLOOKUP(Table1[[#This Row],[PARTIDA PRESUPUESTAL]],'Cost Report'!G:G,1,0),"Balance")</f>
        <v>2794-003</v>
      </c>
      <c r="AD5262" s="159">
        <f>+Table1[[#This Row],[SUBTOTAL]]+Table1[[#This Row],[IVA]]-Table1[[#This Row],[RET IVA]]-Table1[[#This Row],[RET ISR]]-Table1[[#This Row],[TOTAL]]</f>
        <v>0</v>
      </c>
      <c r="AG5262" t="s">
        <v>3420</v>
      </c>
      <c r="AK5262" s="306" t="str">
        <f>IF(ISNUMBER(Table1[[#This Row],[FECHA DE RECIBIDO]]), Table1[[#This Row],[FECHA DE RECIBIDO]]-DATE(2023,8,30), "")</f>
        <v/>
      </c>
    </row>
    <row r="5263" spans="1:37" ht="16.05" customHeight="1">
      <c r="A5263" s="172" t="s">
        <v>4855</v>
      </c>
      <c r="B5263" s="178">
        <v>1828</v>
      </c>
      <c r="C5263" s="179" t="s">
        <v>2596</v>
      </c>
      <c r="D5263">
        <v>3550</v>
      </c>
      <c r="E5263" s="125" t="s">
        <v>1997</v>
      </c>
      <c r="F5263" s="178" t="s">
        <v>1607</v>
      </c>
      <c r="G5263" s="178" t="s">
        <v>134</v>
      </c>
      <c r="H5263">
        <v>417</v>
      </c>
      <c r="I5263" s="178" t="s">
        <v>1546</v>
      </c>
      <c r="J5263" s="320" t="s">
        <v>214</v>
      </c>
      <c r="K5263" s="178" t="s">
        <v>4871</v>
      </c>
      <c r="L5263" s="125" t="s">
        <v>4849</v>
      </c>
      <c r="M5263">
        <v>554</v>
      </c>
      <c r="N5263" s="182">
        <v>17</v>
      </c>
      <c r="O5263">
        <v>3381</v>
      </c>
      <c r="P5263" s="132" t="s">
        <v>77</v>
      </c>
      <c r="Q5263" s="176">
        <v>296.39999999999998</v>
      </c>
      <c r="R5263" s="176">
        <v>47.42</v>
      </c>
      <c r="S5263" s="176"/>
      <c r="T5263" s="190"/>
      <c r="U5263" s="191"/>
      <c r="V5263" s="191">
        <v>343.82</v>
      </c>
      <c r="W5263">
        <v>61</v>
      </c>
      <c r="X5263" s="186" t="s">
        <v>3451</v>
      </c>
      <c r="Y5263" s="187" t="s">
        <v>55</v>
      </c>
      <c r="Z5263" s="311">
        <v>265</v>
      </c>
      <c r="AB5263" t="str">
        <f>IF(Table1[[#This Row],[TIPO2]]="costo", VLOOKUP(Table1[[#This Row],[PARTIDA PRESUPUESTAL]],'Cost Report'!G:G,1,0),"Balance")</f>
        <v>2794-003</v>
      </c>
      <c r="AD5263" s="159">
        <f>+Table1[[#This Row],[SUBTOTAL]]+Table1[[#This Row],[IVA]]-Table1[[#This Row],[RET IVA]]-Table1[[#This Row],[RET ISR]]-Table1[[#This Row],[TOTAL]]</f>
        <v>0</v>
      </c>
      <c r="AG5263" t="s">
        <v>3420</v>
      </c>
      <c r="AK5263" s="306" t="str">
        <f>IF(ISNUMBER(Table1[[#This Row],[FECHA DE RECIBIDO]]), Table1[[#This Row],[FECHA DE RECIBIDO]]-DATE(2023,8,30), "")</f>
        <v/>
      </c>
    </row>
    <row r="5264" spans="1:37" ht="16.05" customHeight="1">
      <c r="A5264" s="172" t="s">
        <v>4856</v>
      </c>
      <c r="B5264" s="178">
        <v>1829</v>
      </c>
      <c r="C5264" s="179" t="s">
        <v>2774</v>
      </c>
      <c r="D5264">
        <v>3551</v>
      </c>
      <c r="E5264" s="125" t="s">
        <v>1603</v>
      </c>
      <c r="F5264" s="178" t="s">
        <v>1607</v>
      </c>
      <c r="G5264" s="178" t="s">
        <v>134</v>
      </c>
      <c r="H5264">
        <v>43</v>
      </c>
      <c r="I5264" s="178" t="s">
        <v>1546</v>
      </c>
      <c r="J5264" s="320" t="s">
        <v>214</v>
      </c>
      <c r="K5264" s="178" t="s">
        <v>4871</v>
      </c>
      <c r="L5264" s="125" t="s">
        <v>4849</v>
      </c>
      <c r="M5264">
        <v>67</v>
      </c>
      <c r="N5264" s="182">
        <v>17</v>
      </c>
      <c r="O5264">
        <v>283</v>
      </c>
      <c r="P5264" s="132" t="s">
        <v>77</v>
      </c>
      <c r="Q5264" s="176">
        <v>77</v>
      </c>
      <c r="R5264" s="176"/>
      <c r="S5264" s="176">
        <v>3.15</v>
      </c>
      <c r="T5264" s="190"/>
      <c r="U5264" s="191"/>
      <c r="V5264" s="191">
        <v>77</v>
      </c>
      <c r="W5264">
        <v>437</v>
      </c>
      <c r="X5264" s="186" t="s">
        <v>3451</v>
      </c>
      <c r="Y5264" s="187" t="s">
        <v>55</v>
      </c>
      <c r="Z5264" s="311">
        <v>245</v>
      </c>
      <c r="AB5264" t="str">
        <f>IF(Table1[[#This Row],[TIPO2]]="costo", VLOOKUP(Table1[[#This Row],[PARTIDA PRESUPUESTAL]],'Cost Report'!G:G,1,0),"Balance")</f>
        <v>3401-042</v>
      </c>
      <c r="AD5264" s="159">
        <f>+Table1[[#This Row],[SUBTOTAL]]+Table1[[#This Row],[IVA]]-Table1[[#This Row],[RET IVA]]-Table1[[#This Row],[RET ISR]]-Table1[[#This Row],[TOTAL]]</f>
        <v>0</v>
      </c>
      <c r="AG5264" t="s">
        <v>3420</v>
      </c>
      <c r="AK5264" s="306" t="str">
        <f>IF(ISNUMBER(Table1[[#This Row],[FECHA DE RECIBIDO]]), Table1[[#This Row],[FECHA DE RECIBIDO]]-DATE(2023,8,30), "")</f>
        <v/>
      </c>
    </row>
    <row r="5265" spans="1:37" ht="16.05" customHeight="1">
      <c r="A5265" s="172" t="s">
        <v>4856</v>
      </c>
      <c r="B5265" s="178">
        <v>1829</v>
      </c>
      <c r="C5265" s="179" t="s">
        <v>2774</v>
      </c>
      <c r="D5265">
        <v>3552</v>
      </c>
      <c r="E5265" s="125" t="s">
        <v>1603</v>
      </c>
      <c r="F5265" s="178" t="s">
        <v>1593</v>
      </c>
      <c r="G5265" s="178" t="s">
        <v>109</v>
      </c>
      <c r="H5265">
        <v>144</v>
      </c>
      <c r="I5265" s="178" t="s">
        <v>1546</v>
      </c>
      <c r="J5265" s="320" t="s">
        <v>214</v>
      </c>
      <c r="K5265" s="178" t="s">
        <v>4871</v>
      </c>
      <c r="L5265" s="125" t="s">
        <v>4849</v>
      </c>
      <c r="M5265">
        <v>190</v>
      </c>
      <c r="N5265" s="182">
        <v>17</v>
      </c>
      <c r="O5265">
        <v>3382</v>
      </c>
      <c r="P5265" s="132" t="s">
        <v>77</v>
      </c>
      <c r="Q5265" s="176">
        <v>66.239999999999995</v>
      </c>
      <c r="R5265" s="176">
        <v>10.6</v>
      </c>
      <c r="S5265" s="176"/>
      <c r="T5265" s="190"/>
      <c r="U5265" s="191">
        <v>0.83</v>
      </c>
      <c r="V5265" s="191">
        <v>76.009999999999991</v>
      </c>
      <c r="W5265">
        <v>437</v>
      </c>
      <c r="X5265" s="186" t="s">
        <v>3451</v>
      </c>
      <c r="Y5265" s="187" t="s">
        <v>55</v>
      </c>
      <c r="Z5265" s="311">
        <v>245</v>
      </c>
      <c r="AB5265" t="str">
        <f>IF(Table1[[#This Row],[TIPO2]]="costo", VLOOKUP(Table1[[#This Row],[PARTIDA PRESUPUESTAL]],'Cost Report'!G:G,1,0),"Balance")</f>
        <v>3401-042</v>
      </c>
      <c r="AD5265" s="159">
        <f>+Table1[[#This Row],[SUBTOTAL]]+Table1[[#This Row],[IVA]]-Table1[[#This Row],[RET IVA]]-Table1[[#This Row],[RET ISR]]-Table1[[#This Row],[TOTAL]]</f>
        <v>0</v>
      </c>
      <c r="AG5265" t="s">
        <v>3420</v>
      </c>
      <c r="AK5265" s="306" t="str">
        <f>IF(ISNUMBER(Table1[[#This Row],[FECHA DE RECIBIDO]]), Table1[[#This Row],[FECHA DE RECIBIDO]]-DATE(2023,8,30), "")</f>
        <v/>
      </c>
    </row>
    <row r="5266" spans="1:37" ht="16.05" customHeight="1">
      <c r="A5266" s="172" t="s">
        <v>4856</v>
      </c>
      <c r="B5266" s="178">
        <v>1829</v>
      </c>
      <c r="C5266" s="179" t="s">
        <v>2774</v>
      </c>
      <c r="D5266">
        <v>3553</v>
      </c>
      <c r="E5266" s="125" t="s">
        <v>1603</v>
      </c>
      <c r="F5266" s="178" t="s">
        <v>1593</v>
      </c>
      <c r="G5266" s="178" t="s">
        <v>109</v>
      </c>
      <c r="H5266">
        <v>144</v>
      </c>
      <c r="I5266" s="178" t="s">
        <v>1546</v>
      </c>
      <c r="J5266" s="320" t="s">
        <v>214</v>
      </c>
      <c r="K5266" s="178" t="s">
        <v>4871</v>
      </c>
      <c r="L5266" s="125" t="s">
        <v>4849</v>
      </c>
      <c r="M5266">
        <v>190</v>
      </c>
      <c r="N5266" s="182">
        <v>17</v>
      </c>
      <c r="O5266">
        <v>3383</v>
      </c>
      <c r="P5266" s="132" t="s">
        <v>77</v>
      </c>
      <c r="Q5266" s="176">
        <v>252.72</v>
      </c>
      <c r="R5266" s="176">
        <v>40.44</v>
      </c>
      <c r="S5266" s="176"/>
      <c r="T5266" s="190"/>
      <c r="U5266" s="191">
        <v>3.16</v>
      </c>
      <c r="V5266" s="191">
        <v>289.99999999999994</v>
      </c>
      <c r="W5266">
        <v>437</v>
      </c>
      <c r="X5266" s="186" t="s">
        <v>3451</v>
      </c>
      <c r="Y5266" s="187" t="s">
        <v>55</v>
      </c>
      <c r="Z5266" s="311">
        <v>245</v>
      </c>
      <c r="AB5266" t="str">
        <f>IF(Table1[[#This Row],[TIPO2]]="costo", VLOOKUP(Table1[[#This Row],[PARTIDA PRESUPUESTAL]],'Cost Report'!G:G,1,0),"Balance")</f>
        <v>3401-042</v>
      </c>
      <c r="AD5266" s="159">
        <f>+Table1[[#This Row],[SUBTOTAL]]+Table1[[#This Row],[IVA]]-Table1[[#This Row],[RET IVA]]-Table1[[#This Row],[RET ISR]]-Table1[[#This Row],[TOTAL]]</f>
        <v>0</v>
      </c>
      <c r="AG5266" t="s">
        <v>3420</v>
      </c>
      <c r="AK5266" s="306" t="str">
        <f>IF(ISNUMBER(Table1[[#This Row],[FECHA DE RECIBIDO]]), Table1[[#This Row],[FECHA DE RECIBIDO]]-DATE(2023,8,30), "")</f>
        <v/>
      </c>
    </row>
    <row r="5267" spans="1:37" ht="16.05" customHeight="1">
      <c r="A5267" s="172" t="s">
        <v>4856</v>
      </c>
      <c r="B5267" s="178">
        <v>1829</v>
      </c>
      <c r="C5267" s="179" t="s">
        <v>2774</v>
      </c>
      <c r="D5267">
        <v>3554</v>
      </c>
      <c r="E5267" s="125" t="s">
        <v>1603</v>
      </c>
      <c r="F5267" s="178" t="s">
        <v>1593</v>
      </c>
      <c r="G5267" s="178" t="s">
        <v>109</v>
      </c>
      <c r="H5267">
        <v>144</v>
      </c>
      <c r="I5267" s="178" t="s">
        <v>1546</v>
      </c>
      <c r="J5267" s="320" t="s">
        <v>214</v>
      </c>
      <c r="K5267" s="178" t="s">
        <v>4871</v>
      </c>
      <c r="L5267" s="125" t="s">
        <v>4849</v>
      </c>
      <c r="M5267">
        <v>190</v>
      </c>
      <c r="N5267" s="182">
        <v>17</v>
      </c>
      <c r="O5267">
        <v>3384</v>
      </c>
      <c r="P5267" s="132" t="s">
        <v>77</v>
      </c>
      <c r="Q5267" s="176">
        <v>186.49</v>
      </c>
      <c r="R5267" s="176">
        <v>29.84</v>
      </c>
      <c r="S5267" s="176"/>
      <c r="T5267" s="190"/>
      <c r="U5267" s="191">
        <v>2.33</v>
      </c>
      <c r="V5267" s="191">
        <v>214</v>
      </c>
      <c r="W5267">
        <v>437</v>
      </c>
      <c r="X5267" s="186" t="s">
        <v>3451</v>
      </c>
      <c r="Y5267" s="187" t="s">
        <v>55</v>
      </c>
      <c r="Z5267" s="311">
        <v>245</v>
      </c>
      <c r="AB5267" t="str">
        <f>IF(Table1[[#This Row],[TIPO2]]="costo", VLOOKUP(Table1[[#This Row],[PARTIDA PRESUPUESTAL]],'Cost Report'!G:G,1,0),"Balance")</f>
        <v>3401-042</v>
      </c>
      <c r="AD5267" s="159">
        <f>+Table1[[#This Row],[SUBTOTAL]]+Table1[[#This Row],[IVA]]-Table1[[#This Row],[RET IVA]]-Table1[[#This Row],[RET ISR]]-Table1[[#This Row],[TOTAL]]</f>
        <v>0</v>
      </c>
      <c r="AG5267" t="s">
        <v>3420</v>
      </c>
      <c r="AK5267" s="306" t="str">
        <f>IF(ISNUMBER(Table1[[#This Row],[FECHA DE RECIBIDO]]), Table1[[#This Row],[FECHA DE RECIBIDO]]-DATE(2023,8,30), "")</f>
        <v/>
      </c>
    </row>
    <row r="5268" spans="1:37" ht="16.05" customHeight="1">
      <c r="A5268" s="172" t="s">
        <v>4856</v>
      </c>
      <c r="B5268" s="178">
        <v>1829</v>
      </c>
      <c r="C5268" s="179" t="s">
        <v>2774</v>
      </c>
      <c r="D5268">
        <v>3555</v>
      </c>
      <c r="E5268" s="125" t="s">
        <v>4850</v>
      </c>
      <c r="F5268" s="178" t="s">
        <v>1607</v>
      </c>
      <c r="G5268" s="178" t="s">
        <v>134</v>
      </c>
      <c r="H5268">
        <v>131</v>
      </c>
      <c r="I5268" s="178" t="s">
        <v>1546</v>
      </c>
      <c r="J5268" s="320" t="s">
        <v>214</v>
      </c>
      <c r="K5268" s="178" t="s">
        <v>4871</v>
      </c>
      <c r="L5268" s="125" t="s">
        <v>4849</v>
      </c>
      <c r="M5268">
        <v>172</v>
      </c>
      <c r="N5268" s="182">
        <v>17</v>
      </c>
      <c r="O5268">
        <v>3385</v>
      </c>
      <c r="P5268" s="132" t="s">
        <v>77</v>
      </c>
      <c r="Q5268" s="176">
        <v>256.02999999999997</v>
      </c>
      <c r="R5268" s="176">
        <v>40.96</v>
      </c>
      <c r="S5268" s="176"/>
      <c r="T5268" s="190"/>
      <c r="U5268" s="191"/>
      <c r="V5268" s="191">
        <v>296.98999999999995</v>
      </c>
      <c r="W5268">
        <v>437</v>
      </c>
      <c r="X5268" s="186" t="s">
        <v>3451</v>
      </c>
      <c r="Y5268" s="187" t="s">
        <v>55</v>
      </c>
      <c r="Z5268" s="311">
        <v>245</v>
      </c>
      <c r="AB5268" t="str">
        <f>IF(Table1[[#This Row],[TIPO2]]="costo", VLOOKUP(Table1[[#This Row],[PARTIDA PRESUPUESTAL]],'Cost Report'!G:G,1,0),"Balance")</f>
        <v>3401-042</v>
      </c>
      <c r="AD5268" s="159">
        <f>+Table1[[#This Row],[SUBTOTAL]]+Table1[[#This Row],[IVA]]-Table1[[#This Row],[RET IVA]]-Table1[[#This Row],[RET ISR]]-Table1[[#This Row],[TOTAL]]</f>
        <v>0</v>
      </c>
      <c r="AG5268" t="s">
        <v>3420</v>
      </c>
      <c r="AK5268" s="306" t="str">
        <f>IF(ISNUMBER(Table1[[#This Row],[FECHA DE RECIBIDO]]), Table1[[#This Row],[FECHA DE RECIBIDO]]-DATE(2023,8,30), "")</f>
        <v/>
      </c>
    </row>
    <row r="5269" spans="1:37" ht="16.05" customHeight="1">
      <c r="A5269" s="172" t="s">
        <v>4856</v>
      </c>
      <c r="B5269" s="178">
        <v>1829</v>
      </c>
      <c r="C5269" s="179" t="s">
        <v>2774</v>
      </c>
      <c r="D5269">
        <v>3556</v>
      </c>
      <c r="E5269" s="125" t="s">
        <v>1614</v>
      </c>
      <c r="F5269" s="178" t="s">
        <v>1607</v>
      </c>
      <c r="G5269" s="178" t="s">
        <v>134</v>
      </c>
      <c r="H5269">
        <v>89</v>
      </c>
      <c r="I5269" s="178" t="s">
        <v>1546</v>
      </c>
      <c r="J5269" s="320" t="s">
        <v>214</v>
      </c>
      <c r="K5269" s="178" t="s">
        <v>4871</v>
      </c>
      <c r="L5269" s="125" t="s">
        <v>4849</v>
      </c>
      <c r="M5269">
        <v>119</v>
      </c>
      <c r="N5269" s="182">
        <v>17</v>
      </c>
      <c r="O5269">
        <v>3386</v>
      </c>
      <c r="P5269" s="132" t="s">
        <v>77</v>
      </c>
      <c r="Q5269" s="176">
        <v>537.92999999999995</v>
      </c>
      <c r="R5269" s="176">
        <v>86.07</v>
      </c>
      <c r="S5269" s="176"/>
      <c r="T5269" s="190"/>
      <c r="U5269" s="191"/>
      <c r="V5269" s="191">
        <v>624</v>
      </c>
      <c r="W5269">
        <v>437</v>
      </c>
      <c r="X5269" s="186" t="s">
        <v>3451</v>
      </c>
      <c r="Y5269" s="187" t="s">
        <v>55</v>
      </c>
      <c r="Z5269" s="311">
        <v>245</v>
      </c>
      <c r="AB5269" t="str">
        <f>IF(Table1[[#This Row],[TIPO2]]="costo", VLOOKUP(Table1[[#This Row],[PARTIDA PRESUPUESTAL]],'Cost Report'!G:G,1,0),"Balance")</f>
        <v>3401-042</v>
      </c>
      <c r="AD5269" s="159">
        <f>+Table1[[#This Row],[SUBTOTAL]]+Table1[[#This Row],[IVA]]-Table1[[#This Row],[RET IVA]]-Table1[[#This Row],[RET ISR]]-Table1[[#This Row],[TOTAL]]</f>
        <v>0</v>
      </c>
      <c r="AG5269" t="s">
        <v>3420</v>
      </c>
      <c r="AK5269" s="306" t="str">
        <f>IF(ISNUMBER(Table1[[#This Row],[FECHA DE RECIBIDO]]), Table1[[#This Row],[FECHA DE RECIBIDO]]-DATE(2023,8,30), "")</f>
        <v/>
      </c>
    </row>
    <row r="5270" spans="1:37" ht="16.05" customHeight="1">
      <c r="A5270" s="172" t="s">
        <v>4856</v>
      </c>
      <c r="B5270" s="178">
        <v>1829</v>
      </c>
      <c r="C5270" s="179" t="s">
        <v>2774</v>
      </c>
      <c r="D5270">
        <v>3557</v>
      </c>
      <c r="E5270" s="125" t="s">
        <v>1596</v>
      </c>
      <c r="F5270" s="178" t="s">
        <v>1602</v>
      </c>
      <c r="G5270" s="178" t="s">
        <v>1617</v>
      </c>
      <c r="H5270">
        <v>890</v>
      </c>
      <c r="I5270" s="178" t="s">
        <v>1546</v>
      </c>
      <c r="J5270" s="320" t="s">
        <v>214</v>
      </c>
      <c r="K5270" s="178" t="s">
        <v>4871</v>
      </c>
      <c r="L5270" s="125" t="s">
        <v>4849</v>
      </c>
      <c r="M5270">
        <v>1232</v>
      </c>
      <c r="N5270" s="182">
        <v>17</v>
      </c>
      <c r="O5270">
        <v>3387</v>
      </c>
      <c r="P5270" s="132" t="s">
        <v>77</v>
      </c>
      <c r="Q5270" s="176">
        <v>365.52</v>
      </c>
      <c r="R5270" s="176">
        <v>58.48</v>
      </c>
      <c r="S5270" s="176"/>
      <c r="T5270" s="190"/>
      <c r="U5270" s="191"/>
      <c r="V5270" s="191">
        <v>424</v>
      </c>
      <c r="W5270">
        <v>437</v>
      </c>
      <c r="X5270" s="186" t="s">
        <v>3451</v>
      </c>
      <c r="Y5270" s="187" t="s">
        <v>55</v>
      </c>
      <c r="Z5270" s="311">
        <v>245</v>
      </c>
      <c r="AB5270" t="str">
        <f>IF(Table1[[#This Row],[TIPO2]]="costo", VLOOKUP(Table1[[#This Row],[PARTIDA PRESUPUESTAL]],'Cost Report'!G:G,1,0),"Balance")</f>
        <v>3401-042</v>
      </c>
      <c r="AD5270" s="159">
        <f>+Table1[[#This Row],[SUBTOTAL]]+Table1[[#This Row],[IVA]]-Table1[[#This Row],[RET IVA]]-Table1[[#This Row],[RET ISR]]-Table1[[#This Row],[TOTAL]]</f>
        <v>0</v>
      </c>
      <c r="AG5270" t="s">
        <v>3420</v>
      </c>
      <c r="AK5270" s="306" t="str">
        <f>IF(ISNUMBER(Table1[[#This Row],[FECHA DE RECIBIDO]]), Table1[[#This Row],[FECHA DE RECIBIDO]]-DATE(2023,8,30), "")</f>
        <v/>
      </c>
    </row>
    <row r="5271" spans="1:37" ht="16.05" customHeight="1">
      <c r="A5271" s="172" t="s">
        <v>4856</v>
      </c>
      <c r="B5271" s="178">
        <v>1829</v>
      </c>
      <c r="C5271" s="179" t="s">
        <v>2851</v>
      </c>
      <c r="D5271">
        <v>3558</v>
      </c>
      <c r="E5271" s="125" t="s">
        <v>1612</v>
      </c>
      <c r="F5271" s="178" t="s">
        <v>1382</v>
      </c>
      <c r="G5271" s="178" t="e">
        <v>#N/A</v>
      </c>
      <c r="H5271">
        <v>31</v>
      </c>
      <c r="I5271" s="178" t="s">
        <v>1546</v>
      </c>
      <c r="J5271" s="320" t="s">
        <v>214</v>
      </c>
      <c r="K5271" s="178" t="s">
        <v>4871</v>
      </c>
      <c r="L5271" s="125" t="s">
        <v>4849</v>
      </c>
      <c r="M5271">
        <v>69</v>
      </c>
      <c r="N5271" s="182">
        <v>17</v>
      </c>
      <c r="O5271">
        <v>3388</v>
      </c>
      <c r="P5271" s="132" t="s">
        <v>77</v>
      </c>
      <c r="Q5271" s="176">
        <v>46.55</v>
      </c>
      <c r="R5271" s="176">
        <v>7.45</v>
      </c>
      <c r="S5271" s="176"/>
      <c r="T5271" s="190"/>
      <c r="U5271" s="191"/>
      <c r="V5271" s="191">
        <v>54</v>
      </c>
      <c r="W5271">
        <v>437</v>
      </c>
      <c r="X5271" s="186" t="s">
        <v>3451</v>
      </c>
      <c r="Y5271" s="187" t="s">
        <v>55</v>
      </c>
      <c r="Z5271" s="311">
        <v>245</v>
      </c>
      <c r="AB5271" t="str">
        <f>IF(Table1[[#This Row],[TIPO2]]="costo", VLOOKUP(Table1[[#This Row],[PARTIDA PRESUPUESTAL]],'Cost Report'!G:G,1,0),"Balance")</f>
        <v>3485-003</v>
      </c>
      <c r="AD5271" s="159">
        <f>+Table1[[#This Row],[SUBTOTAL]]+Table1[[#This Row],[IVA]]-Table1[[#This Row],[RET IVA]]-Table1[[#This Row],[RET ISR]]-Table1[[#This Row],[TOTAL]]</f>
        <v>0</v>
      </c>
      <c r="AG5271" t="s">
        <v>3420</v>
      </c>
      <c r="AK5271" s="306" t="str">
        <f>IF(ISNUMBER(Table1[[#This Row],[FECHA DE RECIBIDO]]), Table1[[#This Row],[FECHA DE RECIBIDO]]-DATE(2023,8,30), "")</f>
        <v/>
      </c>
    </row>
    <row r="5272" spans="1:37" ht="16.05" customHeight="1">
      <c r="A5272" s="172" t="s">
        <v>4856</v>
      </c>
      <c r="B5272" s="178">
        <v>1829</v>
      </c>
      <c r="C5272" s="179" t="s">
        <v>2774</v>
      </c>
      <c r="D5272">
        <v>3559</v>
      </c>
      <c r="E5272" s="125" t="s">
        <v>4106</v>
      </c>
      <c r="F5272" s="178" t="s">
        <v>1382</v>
      </c>
      <c r="G5272" s="178" t="e">
        <v>#N/A</v>
      </c>
      <c r="H5272">
        <v>31</v>
      </c>
      <c r="I5272" s="178" t="s">
        <v>1546</v>
      </c>
      <c r="J5272" s="320" t="s">
        <v>214</v>
      </c>
      <c r="K5272" s="178" t="s">
        <v>4871</v>
      </c>
      <c r="L5272" s="125" t="s">
        <v>4849</v>
      </c>
      <c r="M5272">
        <v>69</v>
      </c>
      <c r="N5272" s="182">
        <v>17</v>
      </c>
      <c r="O5272">
        <v>3389</v>
      </c>
      <c r="P5272" s="132" t="s">
        <v>77</v>
      </c>
      <c r="Q5272" s="176">
        <v>56.67</v>
      </c>
      <c r="R5272" s="176">
        <v>2.83</v>
      </c>
      <c r="S5272" s="176"/>
      <c r="T5272" s="190"/>
      <c r="U5272" s="191"/>
      <c r="V5272" s="191">
        <v>59.5</v>
      </c>
      <c r="W5272">
        <v>437</v>
      </c>
      <c r="X5272" s="186" t="s">
        <v>3451</v>
      </c>
      <c r="Y5272" s="187" t="s">
        <v>55</v>
      </c>
      <c r="Z5272" s="311">
        <v>245</v>
      </c>
      <c r="AB5272" t="str">
        <f>IF(Table1[[#This Row],[TIPO2]]="costo", VLOOKUP(Table1[[#This Row],[PARTIDA PRESUPUESTAL]],'Cost Report'!G:G,1,0),"Balance")</f>
        <v>3401-042</v>
      </c>
      <c r="AD5272" s="159">
        <f>+Table1[[#This Row],[SUBTOTAL]]+Table1[[#This Row],[IVA]]-Table1[[#This Row],[RET IVA]]-Table1[[#This Row],[RET ISR]]-Table1[[#This Row],[TOTAL]]</f>
        <v>0</v>
      </c>
      <c r="AG5272" t="s">
        <v>3420</v>
      </c>
      <c r="AK5272" s="306" t="str">
        <f>IF(ISNUMBER(Table1[[#This Row],[FECHA DE RECIBIDO]]), Table1[[#This Row],[FECHA DE RECIBIDO]]-DATE(2023,8,30), "")</f>
        <v/>
      </c>
    </row>
    <row r="5273" spans="1:37" ht="16.05" customHeight="1">
      <c r="A5273" s="172" t="s">
        <v>4856</v>
      </c>
      <c r="B5273" s="178">
        <v>1829</v>
      </c>
      <c r="C5273" s="179" t="s">
        <v>2774</v>
      </c>
      <c r="D5273">
        <v>3560</v>
      </c>
      <c r="E5273" s="125" t="s">
        <v>1608</v>
      </c>
      <c r="F5273" s="178" t="s">
        <v>1382</v>
      </c>
      <c r="G5273" s="178" t="e">
        <v>#N/A</v>
      </c>
      <c r="H5273">
        <v>31</v>
      </c>
      <c r="I5273" s="178" t="s">
        <v>1546</v>
      </c>
      <c r="J5273" s="320" t="s">
        <v>214</v>
      </c>
      <c r="K5273" s="178" t="s">
        <v>4871</v>
      </c>
      <c r="L5273" s="125" t="s">
        <v>4849</v>
      </c>
      <c r="M5273">
        <v>69</v>
      </c>
      <c r="N5273" s="182">
        <v>17</v>
      </c>
      <c r="O5273">
        <v>277</v>
      </c>
      <c r="P5273" s="132" t="s">
        <v>77</v>
      </c>
      <c r="Q5273" s="176">
        <v>76.900000000000006</v>
      </c>
      <c r="R5273" s="176">
        <v>9.1</v>
      </c>
      <c r="S5273" s="176"/>
      <c r="T5273" s="190"/>
      <c r="U5273" s="191"/>
      <c r="V5273" s="191">
        <v>86</v>
      </c>
      <c r="W5273">
        <v>437</v>
      </c>
      <c r="X5273" s="186" t="s">
        <v>3451</v>
      </c>
      <c r="Y5273" s="187" t="s">
        <v>55</v>
      </c>
      <c r="Z5273" s="311">
        <v>245</v>
      </c>
      <c r="AB5273" t="str">
        <f>IF(Table1[[#This Row],[TIPO2]]="costo", VLOOKUP(Table1[[#This Row],[PARTIDA PRESUPUESTAL]],'Cost Report'!G:G,1,0),"Balance")</f>
        <v>3401-042</v>
      </c>
      <c r="AD5273" s="159">
        <f>+Table1[[#This Row],[SUBTOTAL]]+Table1[[#This Row],[IVA]]-Table1[[#This Row],[RET IVA]]-Table1[[#This Row],[RET ISR]]-Table1[[#This Row],[TOTAL]]</f>
        <v>0</v>
      </c>
      <c r="AG5273" t="s">
        <v>3420</v>
      </c>
      <c r="AK5273" s="306" t="str">
        <f>IF(ISNUMBER(Table1[[#This Row],[FECHA DE RECIBIDO]]), Table1[[#This Row],[FECHA DE RECIBIDO]]-DATE(2023,8,30), "")</f>
        <v/>
      </c>
    </row>
    <row r="5274" spans="1:37" ht="16.05" customHeight="1">
      <c r="A5274" s="172" t="s">
        <v>4856</v>
      </c>
      <c r="B5274" s="178">
        <v>1829</v>
      </c>
      <c r="C5274" s="179" t="s">
        <v>2774</v>
      </c>
      <c r="D5274">
        <v>3561</v>
      </c>
      <c r="E5274" s="125" t="s">
        <v>1612</v>
      </c>
      <c r="F5274" s="178" t="s">
        <v>1382</v>
      </c>
      <c r="G5274" s="178" t="e">
        <v>#N/A</v>
      </c>
      <c r="H5274">
        <v>31</v>
      </c>
      <c r="I5274" s="178" t="s">
        <v>1546</v>
      </c>
      <c r="J5274" s="320" t="s">
        <v>214</v>
      </c>
      <c r="K5274" s="178" t="s">
        <v>4871</v>
      </c>
      <c r="L5274" s="125" t="s">
        <v>4849</v>
      </c>
      <c r="M5274">
        <v>69</v>
      </c>
      <c r="N5274" s="182">
        <v>17</v>
      </c>
      <c r="O5274">
        <v>277</v>
      </c>
      <c r="P5274" s="132" t="s">
        <v>77</v>
      </c>
      <c r="Q5274" s="176">
        <v>60.5</v>
      </c>
      <c r="R5274" s="176"/>
      <c r="S5274" s="176"/>
      <c r="T5274" s="190"/>
      <c r="U5274" s="191"/>
      <c r="V5274" s="191">
        <v>60.5</v>
      </c>
      <c r="W5274">
        <v>437</v>
      </c>
      <c r="X5274" s="186" t="s">
        <v>3451</v>
      </c>
      <c r="Y5274" s="187" t="s">
        <v>55</v>
      </c>
      <c r="Z5274" s="311">
        <v>245</v>
      </c>
      <c r="AB5274" t="str">
        <f>IF(Table1[[#This Row],[TIPO2]]="costo", VLOOKUP(Table1[[#This Row],[PARTIDA PRESUPUESTAL]],'Cost Report'!G:G,1,0),"Balance")</f>
        <v>3401-042</v>
      </c>
      <c r="AD5274" s="159">
        <f>+Table1[[#This Row],[SUBTOTAL]]+Table1[[#This Row],[IVA]]-Table1[[#This Row],[RET IVA]]-Table1[[#This Row],[RET ISR]]-Table1[[#This Row],[TOTAL]]</f>
        <v>0</v>
      </c>
      <c r="AG5274" t="s">
        <v>3420</v>
      </c>
      <c r="AK5274" s="306" t="str">
        <f>IF(ISNUMBER(Table1[[#This Row],[FECHA DE RECIBIDO]]), Table1[[#This Row],[FECHA DE RECIBIDO]]-DATE(2023,8,30), "")</f>
        <v/>
      </c>
    </row>
    <row r="5275" spans="1:37" ht="16.05" customHeight="1">
      <c r="A5275" s="172" t="s">
        <v>4856</v>
      </c>
      <c r="B5275" s="178">
        <v>1829</v>
      </c>
      <c r="C5275" s="179" t="s">
        <v>2774</v>
      </c>
      <c r="D5275">
        <v>3562</v>
      </c>
      <c r="E5275" s="125" t="s">
        <v>4106</v>
      </c>
      <c r="F5275" s="178" t="s">
        <v>1382</v>
      </c>
      <c r="G5275" s="178" t="e">
        <v>#N/A</v>
      </c>
      <c r="H5275">
        <v>31</v>
      </c>
      <c r="I5275" s="178" t="s">
        <v>1546</v>
      </c>
      <c r="J5275" s="320" t="s">
        <v>214</v>
      </c>
      <c r="K5275" s="178" t="s">
        <v>4871</v>
      </c>
      <c r="L5275" s="125" t="s">
        <v>4849</v>
      </c>
      <c r="M5275">
        <v>69</v>
      </c>
      <c r="N5275" s="182">
        <v>17</v>
      </c>
      <c r="O5275">
        <v>3390</v>
      </c>
      <c r="P5275" s="132" t="s">
        <v>77</v>
      </c>
      <c r="Q5275" s="176">
        <v>50.86</v>
      </c>
      <c r="R5275" s="176">
        <v>8.14</v>
      </c>
      <c r="S5275" s="176"/>
      <c r="T5275" s="190"/>
      <c r="U5275" s="191"/>
      <c r="V5275" s="191">
        <v>59</v>
      </c>
      <c r="W5275">
        <v>437</v>
      </c>
      <c r="X5275" s="186" t="s">
        <v>3451</v>
      </c>
      <c r="Y5275" s="187" t="s">
        <v>55</v>
      </c>
      <c r="Z5275" s="311">
        <v>245</v>
      </c>
      <c r="AB5275" t="str">
        <f>IF(Table1[[#This Row],[TIPO2]]="costo", VLOOKUP(Table1[[#This Row],[PARTIDA PRESUPUESTAL]],'Cost Report'!G:G,1,0),"Balance")</f>
        <v>3401-042</v>
      </c>
      <c r="AD5275" s="159">
        <f>+Table1[[#This Row],[SUBTOTAL]]+Table1[[#This Row],[IVA]]-Table1[[#This Row],[RET IVA]]-Table1[[#This Row],[RET ISR]]-Table1[[#This Row],[TOTAL]]</f>
        <v>0</v>
      </c>
      <c r="AG5275" t="s">
        <v>3420</v>
      </c>
      <c r="AK5275" s="306" t="str">
        <f>IF(ISNUMBER(Table1[[#This Row],[FECHA DE RECIBIDO]]), Table1[[#This Row],[FECHA DE RECIBIDO]]-DATE(2023,8,30), "")</f>
        <v/>
      </c>
    </row>
    <row r="5276" spans="1:37" ht="16.05" customHeight="1">
      <c r="A5276" s="172" t="s">
        <v>4856</v>
      </c>
      <c r="B5276" s="178">
        <v>1829</v>
      </c>
      <c r="C5276" s="179" t="s">
        <v>2851</v>
      </c>
      <c r="D5276">
        <v>3563</v>
      </c>
      <c r="E5276" s="125" t="s">
        <v>1609</v>
      </c>
      <c r="F5276" s="178" t="s">
        <v>1382</v>
      </c>
      <c r="G5276" s="178" t="e">
        <v>#N/A</v>
      </c>
      <c r="H5276">
        <v>31</v>
      </c>
      <c r="I5276" s="178" t="s">
        <v>1546</v>
      </c>
      <c r="J5276" s="320" t="s">
        <v>214</v>
      </c>
      <c r="K5276" s="178" t="s">
        <v>4871</v>
      </c>
      <c r="L5276" s="125" t="s">
        <v>4849</v>
      </c>
      <c r="M5276">
        <v>69</v>
      </c>
      <c r="N5276" s="182">
        <v>17</v>
      </c>
      <c r="O5276">
        <v>3391</v>
      </c>
      <c r="P5276" s="132" t="s">
        <v>77</v>
      </c>
      <c r="Q5276" s="176">
        <v>80.17</v>
      </c>
      <c r="R5276" s="176">
        <v>12.83</v>
      </c>
      <c r="S5276" s="176"/>
      <c r="T5276" s="190"/>
      <c r="U5276" s="191"/>
      <c r="V5276" s="191">
        <v>93</v>
      </c>
      <c r="W5276">
        <v>437</v>
      </c>
      <c r="X5276" s="186" t="s">
        <v>3451</v>
      </c>
      <c r="Y5276" s="187" t="s">
        <v>55</v>
      </c>
      <c r="Z5276" s="311">
        <v>245</v>
      </c>
      <c r="AB5276" t="str">
        <f>IF(Table1[[#This Row],[TIPO2]]="costo", VLOOKUP(Table1[[#This Row],[PARTIDA PRESUPUESTAL]],'Cost Report'!G:G,1,0),"Balance")</f>
        <v>3485-003</v>
      </c>
      <c r="AD5276" s="159">
        <f>+Table1[[#This Row],[SUBTOTAL]]+Table1[[#This Row],[IVA]]-Table1[[#This Row],[RET IVA]]-Table1[[#This Row],[RET ISR]]-Table1[[#This Row],[TOTAL]]</f>
        <v>0</v>
      </c>
      <c r="AG5276" t="s">
        <v>3420</v>
      </c>
      <c r="AK5276" s="306" t="str">
        <f>IF(ISNUMBER(Table1[[#This Row],[FECHA DE RECIBIDO]]), Table1[[#This Row],[FECHA DE RECIBIDO]]-DATE(2023,8,30), "")</f>
        <v/>
      </c>
    </row>
    <row r="5277" spans="1:37" ht="16.05" customHeight="1">
      <c r="A5277" s="172" t="s">
        <v>4856</v>
      </c>
      <c r="B5277" s="178">
        <v>1829</v>
      </c>
      <c r="C5277" s="179" t="s">
        <v>2774</v>
      </c>
      <c r="D5277">
        <v>3564</v>
      </c>
      <c r="E5277" s="125" t="s">
        <v>1999</v>
      </c>
      <c r="F5277" s="178" t="s">
        <v>1607</v>
      </c>
      <c r="G5277" s="178" t="s">
        <v>134</v>
      </c>
      <c r="H5277">
        <v>32</v>
      </c>
      <c r="I5277" s="178" t="s">
        <v>1546</v>
      </c>
      <c r="J5277" s="320" t="s">
        <v>214</v>
      </c>
      <c r="K5277" s="178" t="s">
        <v>4871</v>
      </c>
      <c r="L5277" s="125" t="s">
        <v>4849</v>
      </c>
      <c r="M5277">
        <v>120</v>
      </c>
      <c r="N5277" s="182">
        <v>17</v>
      </c>
      <c r="O5277">
        <v>3392</v>
      </c>
      <c r="P5277" s="132" t="s">
        <v>77</v>
      </c>
      <c r="Q5277" s="176">
        <v>367.24</v>
      </c>
      <c r="R5277" s="176">
        <v>58.76</v>
      </c>
      <c r="S5277" s="176"/>
      <c r="T5277" s="190"/>
      <c r="U5277" s="191"/>
      <c r="V5277" s="191">
        <v>426</v>
      </c>
      <c r="W5277">
        <v>437</v>
      </c>
      <c r="X5277" s="186" t="s">
        <v>3451</v>
      </c>
      <c r="Y5277" s="187" t="s">
        <v>55</v>
      </c>
      <c r="Z5277" s="311">
        <v>245</v>
      </c>
      <c r="AB5277" t="str">
        <f>IF(Table1[[#This Row],[TIPO2]]="costo", VLOOKUP(Table1[[#This Row],[PARTIDA PRESUPUESTAL]],'Cost Report'!G:G,1,0),"Balance")</f>
        <v>3401-042</v>
      </c>
      <c r="AD5277" s="159">
        <f>+Table1[[#This Row],[SUBTOTAL]]+Table1[[#This Row],[IVA]]-Table1[[#This Row],[RET IVA]]-Table1[[#This Row],[RET ISR]]-Table1[[#This Row],[TOTAL]]</f>
        <v>0</v>
      </c>
      <c r="AG5277" t="s">
        <v>3420</v>
      </c>
      <c r="AK5277" s="306" t="str">
        <f>IF(ISNUMBER(Table1[[#This Row],[FECHA DE RECIBIDO]]), Table1[[#This Row],[FECHA DE RECIBIDO]]-DATE(2023,8,30), "")</f>
        <v/>
      </c>
    </row>
    <row r="5278" spans="1:37" ht="16.05" customHeight="1">
      <c r="A5278" s="172" t="s">
        <v>4856</v>
      </c>
      <c r="B5278" s="178">
        <v>1829</v>
      </c>
      <c r="C5278" s="179" t="s">
        <v>2774</v>
      </c>
      <c r="D5278">
        <v>3565</v>
      </c>
      <c r="E5278" s="125" t="s">
        <v>1611</v>
      </c>
      <c r="F5278" s="178" t="s">
        <v>1607</v>
      </c>
      <c r="G5278" s="178" t="s">
        <v>134</v>
      </c>
      <c r="H5278">
        <v>32</v>
      </c>
      <c r="I5278" s="178" t="s">
        <v>1546</v>
      </c>
      <c r="J5278" s="320" t="s">
        <v>214</v>
      </c>
      <c r="K5278" s="178" t="s">
        <v>4871</v>
      </c>
      <c r="L5278" s="125" t="s">
        <v>4849</v>
      </c>
      <c r="M5278">
        <v>120</v>
      </c>
      <c r="N5278" s="182">
        <v>17</v>
      </c>
      <c r="O5278">
        <v>3393</v>
      </c>
      <c r="P5278" s="132" t="s">
        <v>77</v>
      </c>
      <c r="Q5278" s="176">
        <v>227.59</v>
      </c>
      <c r="R5278" s="176">
        <v>36.409999999999997</v>
      </c>
      <c r="S5278" s="176"/>
      <c r="T5278" s="190"/>
      <c r="U5278" s="191"/>
      <c r="V5278" s="191">
        <v>264</v>
      </c>
      <c r="W5278">
        <v>437</v>
      </c>
      <c r="X5278" s="186" t="s">
        <v>3451</v>
      </c>
      <c r="Y5278" s="187" t="s">
        <v>55</v>
      </c>
      <c r="Z5278" s="311">
        <v>245</v>
      </c>
      <c r="AB5278" t="str">
        <f>IF(Table1[[#This Row],[TIPO2]]="costo", VLOOKUP(Table1[[#This Row],[PARTIDA PRESUPUESTAL]],'Cost Report'!G:G,1,0),"Balance")</f>
        <v>3401-042</v>
      </c>
      <c r="AD5278" s="159">
        <f>+Table1[[#This Row],[SUBTOTAL]]+Table1[[#This Row],[IVA]]-Table1[[#This Row],[RET IVA]]-Table1[[#This Row],[RET ISR]]-Table1[[#This Row],[TOTAL]]</f>
        <v>0</v>
      </c>
      <c r="AG5278" t="s">
        <v>3420</v>
      </c>
      <c r="AK5278" s="306" t="str">
        <f>IF(ISNUMBER(Table1[[#This Row],[FECHA DE RECIBIDO]]), Table1[[#This Row],[FECHA DE RECIBIDO]]-DATE(2023,8,30), "")</f>
        <v/>
      </c>
    </row>
    <row r="5279" spans="1:37" ht="16.05" customHeight="1">
      <c r="A5279" s="172" t="s">
        <v>4856</v>
      </c>
      <c r="B5279" s="178">
        <v>1829</v>
      </c>
      <c r="C5279" s="179" t="s">
        <v>2774</v>
      </c>
      <c r="D5279">
        <v>689</v>
      </c>
      <c r="E5279" s="125"/>
      <c r="F5279" s="178"/>
      <c r="G5279" s="178"/>
      <c r="H5279"/>
      <c r="I5279" s="178"/>
      <c r="J5279" s="320" t="s">
        <v>214</v>
      </c>
      <c r="K5279" s="178" t="s">
        <v>4871</v>
      </c>
      <c r="L5279" s="125" t="s">
        <v>4849</v>
      </c>
      <c r="M5279">
        <v>1233</v>
      </c>
      <c r="N5279" s="182">
        <v>17</v>
      </c>
      <c r="O5279">
        <v>3394</v>
      </c>
      <c r="P5279" s="132" t="s">
        <v>77</v>
      </c>
      <c r="Q5279" s="176">
        <v>192</v>
      </c>
      <c r="R5279" s="176"/>
      <c r="S5279" s="176"/>
      <c r="T5279" s="190"/>
      <c r="U5279" s="191"/>
      <c r="V5279" s="191">
        <v>192</v>
      </c>
      <c r="W5279">
        <v>437</v>
      </c>
      <c r="X5279" s="186" t="s">
        <v>3451</v>
      </c>
      <c r="Y5279" s="187" t="s">
        <v>55</v>
      </c>
      <c r="Z5279" s="311">
        <v>234</v>
      </c>
      <c r="AB5279" t="str">
        <f>IF(Table1[[#This Row],[TIPO2]]="costo", VLOOKUP(Table1[[#This Row],[PARTIDA PRESUPUESTAL]],'Cost Report'!G:G,1,0),"Balance")</f>
        <v>3401-042</v>
      </c>
      <c r="AD5279" s="159">
        <f>+Table1[[#This Row],[SUBTOTAL]]+Table1[[#This Row],[IVA]]-Table1[[#This Row],[RET IVA]]-Table1[[#This Row],[RET ISR]]-Table1[[#This Row],[TOTAL]]</f>
        <v>0</v>
      </c>
      <c r="AG5279" t="s">
        <v>3420</v>
      </c>
      <c r="AK5279" s="306" t="str">
        <f>IF(ISNUMBER(Table1[[#This Row],[FECHA DE RECIBIDO]]), Table1[[#This Row],[FECHA DE RECIBIDO]]-DATE(2023,8,30), "")</f>
        <v/>
      </c>
    </row>
    <row r="5280" spans="1:37" ht="16.05" customHeight="1">
      <c r="A5280" s="172" t="s">
        <v>4856</v>
      </c>
      <c r="B5280" s="178">
        <v>1829</v>
      </c>
      <c r="C5280" s="179" t="s">
        <v>2774</v>
      </c>
      <c r="D5280">
        <v>689</v>
      </c>
      <c r="E5280" s="125"/>
      <c r="F5280" s="178"/>
      <c r="G5280" s="178"/>
      <c r="H5280"/>
      <c r="I5280" s="178"/>
      <c r="J5280" s="320" t="s">
        <v>214</v>
      </c>
      <c r="K5280" s="178" t="s">
        <v>4871</v>
      </c>
      <c r="L5280" s="125" t="s">
        <v>4849</v>
      </c>
      <c r="M5280">
        <v>1046</v>
      </c>
      <c r="N5280" s="182">
        <v>17</v>
      </c>
      <c r="O5280">
        <v>277</v>
      </c>
      <c r="P5280" s="132" t="s">
        <v>77</v>
      </c>
      <c r="Q5280" s="176">
        <v>68.5</v>
      </c>
      <c r="R5280" s="176"/>
      <c r="S5280" s="176"/>
      <c r="T5280" s="190"/>
      <c r="U5280" s="191"/>
      <c r="V5280" s="191">
        <v>68.5</v>
      </c>
      <c r="W5280">
        <v>437</v>
      </c>
      <c r="X5280" s="186" t="s">
        <v>3451</v>
      </c>
      <c r="Y5280" s="187" t="s">
        <v>55</v>
      </c>
      <c r="Z5280" s="311">
        <v>236</v>
      </c>
      <c r="AB5280" t="str">
        <f>IF(Table1[[#This Row],[TIPO2]]="costo", VLOOKUP(Table1[[#This Row],[PARTIDA PRESUPUESTAL]],'Cost Report'!G:G,1,0),"Balance")</f>
        <v>3401-042</v>
      </c>
      <c r="AD5280" s="159">
        <f>+Table1[[#This Row],[SUBTOTAL]]+Table1[[#This Row],[IVA]]-Table1[[#This Row],[RET IVA]]-Table1[[#This Row],[RET ISR]]-Table1[[#This Row],[TOTAL]]</f>
        <v>0</v>
      </c>
      <c r="AG5280" t="s">
        <v>3420</v>
      </c>
      <c r="AK5280" s="306" t="str">
        <f>IF(ISNUMBER(Table1[[#This Row],[FECHA DE RECIBIDO]]), Table1[[#This Row],[FECHA DE RECIBIDO]]-DATE(2023,8,30), "")</f>
        <v/>
      </c>
    </row>
    <row r="5281" spans="1:37" ht="16.05" customHeight="1">
      <c r="A5281" s="172" t="s">
        <v>4856</v>
      </c>
      <c r="B5281" s="178">
        <v>1829</v>
      </c>
      <c r="C5281" s="179" t="s">
        <v>2774</v>
      </c>
      <c r="D5281">
        <v>689</v>
      </c>
      <c r="E5281" s="125"/>
      <c r="F5281" s="178"/>
      <c r="G5281" s="178"/>
      <c r="H5281"/>
      <c r="I5281" s="178"/>
      <c r="J5281" s="320" t="s">
        <v>214</v>
      </c>
      <c r="K5281" s="178" t="s">
        <v>4871</v>
      </c>
      <c r="L5281" s="125" t="s">
        <v>4849</v>
      </c>
      <c r="M5281">
        <v>1234</v>
      </c>
      <c r="N5281" s="182">
        <v>17</v>
      </c>
      <c r="O5281">
        <v>3395</v>
      </c>
      <c r="P5281" s="132" t="s">
        <v>77</v>
      </c>
      <c r="Q5281" s="176">
        <v>60</v>
      </c>
      <c r="R5281" s="176"/>
      <c r="S5281" s="176"/>
      <c r="T5281" s="190"/>
      <c r="U5281" s="191"/>
      <c r="V5281" s="191">
        <v>60</v>
      </c>
      <c r="W5281">
        <v>437</v>
      </c>
      <c r="X5281" s="186" t="s">
        <v>3451</v>
      </c>
      <c r="Y5281" s="187" t="s">
        <v>55</v>
      </c>
      <c r="Z5281" s="311">
        <v>239</v>
      </c>
      <c r="AB5281" t="str">
        <f>IF(Table1[[#This Row],[TIPO2]]="costo", VLOOKUP(Table1[[#This Row],[PARTIDA PRESUPUESTAL]],'Cost Report'!G:G,1,0),"Balance")</f>
        <v>3401-042</v>
      </c>
      <c r="AD5281" s="159">
        <f>+Table1[[#This Row],[SUBTOTAL]]+Table1[[#This Row],[IVA]]-Table1[[#This Row],[RET IVA]]-Table1[[#This Row],[RET ISR]]-Table1[[#This Row],[TOTAL]]</f>
        <v>0</v>
      </c>
      <c r="AG5281" t="s">
        <v>3420</v>
      </c>
      <c r="AK5281" s="306" t="str">
        <f>IF(ISNUMBER(Table1[[#This Row],[FECHA DE RECIBIDO]]), Table1[[#This Row],[FECHA DE RECIBIDO]]-DATE(2023,8,30), "")</f>
        <v/>
      </c>
    </row>
    <row r="5282" spans="1:37" ht="16.05" customHeight="1">
      <c r="A5282" s="172" t="s">
        <v>4856</v>
      </c>
      <c r="B5282" s="178">
        <v>1829</v>
      </c>
      <c r="C5282" s="179" t="s">
        <v>2774</v>
      </c>
      <c r="D5282">
        <v>689</v>
      </c>
      <c r="E5282" s="125"/>
      <c r="F5282" s="178"/>
      <c r="G5282" s="178"/>
      <c r="H5282"/>
      <c r="I5282" s="178"/>
      <c r="J5282" s="320" t="s">
        <v>214</v>
      </c>
      <c r="K5282" s="178" t="s">
        <v>4871</v>
      </c>
      <c r="L5282" s="125" t="s">
        <v>4849</v>
      </c>
      <c r="M5282">
        <v>1235</v>
      </c>
      <c r="N5282" s="182">
        <v>17</v>
      </c>
      <c r="O5282">
        <v>1389</v>
      </c>
      <c r="P5282" s="132" t="s">
        <v>77</v>
      </c>
      <c r="Q5282" s="176">
        <v>37</v>
      </c>
      <c r="R5282" s="176"/>
      <c r="S5282" s="176"/>
      <c r="T5282" s="190"/>
      <c r="U5282" s="191"/>
      <c r="V5282" s="191">
        <v>37</v>
      </c>
      <c r="W5282">
        <v>437</v>
      </c>
      <c r="X5282" s="186" t="s">
        <v>3451</v>
      </c>
      <c r="Y5282" s="187" t="s">
        <v>55</v>
      </c>
      <c r="Z5282" s="311">
        <v>239</v>
      </c>
      <c r="AB5282" t="str">
        <f>IF(Table1[[#This Row],[TIPO2]]="costo", VLOOKUP(Table1[[#This Row],[PARTIDA PRESUPUESTAL]],'Cost Report'!G:G,1,0),"Balance")</f>
        <v>3401-042</v>
      </c>
      <c r="AD5282" s="159">
        <f>+Table1[[#This Row],[SUBTOTAL]]+Table1[[#This Row],[IVA]]-Table1[[#This Row],[RET IVA]]-Table1[[#This Row],[RET ISR]]-Table1[[#This Row],[TOTAL]]</f>
        <v>0</v>
      </c>
      <c r="AG5282" t="s">
        <v>3420</v>
      </c>
      <c r="AK5282" s="306" t="str">
        <f>IF(ISNUMBER(Table1[[#This Row],[FECHA DE RECIBIDO]]), Table1[[#This Row],[FECHA DE RECIBIDO]]-DATE(2023,8,30), "")</f>
        <v/>
      </c>
    </row>
    <row r="5283" spans="1:37" ht="16.05" customHeight="1">
      <c r="A5283" s="172" t="s">
        <v>4856</v>
      </c>
      <c r="B5283" s="178">
        <v>1829</v>
      </c>
      <c r="C5283" s="179" t="s">
        <v>2774</v>
      </c>
      <c r="D5283">
        <v>689</v>
      </c>
      <c r="E5283" s="125"/>
      <c r="F5283" s="178"/>
      <c r="G5283" s="178"/>
      <c r="H5283"/>
      <c r="I5283" s="178"/>
      <c r="J5283" s="320" t="s">
        <v>214</v>
      </c>
      <c r="K5283" s="178" t="s">
        <v>4871</v>
      </c>
      <c r="L5283" s="125" t="s">
        <v>4849</v>
      </c>
      <c r="M5283">
        <v>1236</v>
      </c>
      <c r="N5283" s="182">
        <v>17</v>
      </c>
      <c r="O5283">
        <v>3396</v>
      </c>
      <c r="P5283" s="132" t="s">
        <v>77</v>
      </c>
      <c r="Q5283" s="176">
        <v>130</v>
      </c>
      <c r="R5283" s="176"/>
      <c r="S5283" s="176"/>
      <c r="T5283" s="190"/>
      <c r="U5283" s="191"/>
      <c r="V5283" s="191">
        <v>130</v>
      </c>
      <c r="W5283">
        <v>437</v>
      </c>
      <c r="X5283" s="186" t="s">
        <v>3451</v>
      </c>
      <c r="Y5283" s="187" t="s">
        <v>55</v>
      </c>
      <c r="Z5283" s="311">
        <v>240</v>
      </c>
      <c r="AB5283" t="str">
        <f>IF(Table1[[#This Row],[TIPO2]]="costo", VLOOKUP(Table1[[#This Row],[PARTIDA PRESUPUESTAL]],'Cost Report'!G:G,1,0),"Balance")</f>
        <v>3401-042</v>
      </c>
      <c r="AD5283" s="159">
        <f>+Table1[[#This Row],[SUBTOTAL]]+Table1[[#This Row],[IVA]]-Table1[[#This Row],[RET IVA]]-Table1[[#This Row],[RET ISR]]-Table1[[#This Row],[TOTAL]]</f>
        <v>0</v>
      </c>
      <c r="AG5283" t="s">
        <v>3420</v>
      </c>
      <c r="AK5283" s="306" t="str">
        <f>IF(ISNUMBER(Table1[[#This Row],[FECHA DE RECIBIDO]]), Table1[[#This Row],[FECHA DE RECIBIDO]]-DATE(2023,8,30), "")</f>
        <v/>
      </c>
    </row>
    <row r="5284" spans="1:37" ht="16.05" customHeight="1">
      <c r="A5284" s="172" t="s">
        <v>4856</v>
      </c>
      <c r="B5284" s="178">
        <v>1829</v>
      </c>
      <c r="C5284" s="179" t="s">
        <v>2774</v>
      </c>
      <c r="D5284">
        <v>689</v>
      </c>
      <c r="E5284" s="125"/>
      <c r="F5284" s="178"/>
      <c r="G5284" s="178"/>
      <c r="H5284"/>
      <c r="I5284" s="178"/>
      <c r="J5284" s="320" t="s">
        <v>214</v>
      </c>
      <c r="K5284" s="178" t="s">
        <v>4871</v>
      </c>
      <c r="L5284" s="125" t="s">
        <v>4849</v>
      </c>
      <c r="M5284">
        <v>1234</v>
      </c>
      <c r="N5284" s="182">
        <v>17</v>
      </c>
      <c r="O5284">
        <v>3395</v>
      </c>
      <c r="P5284" s="132" t="s">
        <v>77</v>
      </c>
      <c r="Q5284" s="176">
        <v>60</v>
      </c>
      <c r="R5284" s="176"/>
      <c r="S5284" s="176"/>
      <c r="T5284" s="190"/>
      <c r="U5284" s="191"/>
      <c r="V5284" s="191">
        <v>60</v>
      </c>
      <c r="W5284">
        <v>437</v>
      </c>
      <c r="X5284" s="186" t="s">
        <v>3451</v>
      </c>
      <c r="Y5284" s="187" t="s">
        <v>55</v>
      </c>
      <c r="Z5284" s="311">
        <v>240</v>
      </c>
      <c r="AB5284" t="str">
        <f>IF(Table1[[#This Row],[TIPO2]]="costo", VLOOKUP(Table1[[#This Row],[PARTIDA PRESUPUESTAL]],'Cost Report'!G:G,1,0),"Balance")</f>
        <v>3401-042</v>
      </c>
      <c r="AD5284" s="159">
        <f>+Table1[[#This Row],[SUBTOTAL]]+Table1[[#This Row],[IVA]]-Table1[[#This Row],[RET IVA]]-Table1[[#This Row],[RET ISR]]-Table1[[#This Row],[TOTAL]]</f>
        <v>0</v>
      </c>
      <c r="AG5284" t="s">
        <v>3420</v>
      </c>
      <c r="AK5284" s="306" t="str">
        <f>IF(ISNUMBER(Table1[[#This Row],[FECHA DE RECIBIDO]]), Table1[[#This Row],[FECHA DE RECIBIDO]]-DATE(2023,8,30), "")</f>
        <v/>
      </c>
    </row>
    <row r="5285" spans="1:37" ht="16.05" customHeight="1">
      <c r="A5285" s="172" t="s">
        <v>4856</v>
      </c>
      <c r="B5285" s="178">
        <v>1829</v>
      </c>
      <c r="C5285" s="179" t="s">
        <v>2774</v>
      </c>
      <c r="D5285">
        <v>689</v>
      </c>
      <c r="E5285" s="125"/>
      <c r="F5285" s="178"/>
      <c r="G5285" s="178"/>
      <c r="H5285"/>
      <c r="I5285" s="178"/>
      <c r="J5285" s="320" t="s">
        <v>214</v>
      </c>
      <c r="K5285" s="178" t="s">
        <v>4871</v>
      </c>
      <c r="L5285" s="125" t="s">
        <v>4849</v>
      </c>
      <c r="M5285">
        <v>1234</v>
      </c>
      <c r="N5285" s="182">
        <v>17</v>
      </c>
      <c r="O5285">
        <v>3397</v>
      </c>
      <c r="P5285" s="132" t="s">
        <v>77</v>
      </c>
      <c r="Q5285" s="176">
        <v>30</v>
      </c>
      <c r="R5285" s="176"/>
      <c r="S5285" s="176"/>
      <c r="T5285" s="190"/>
      <c r="U5285" s="191"/>
      <c r="V5285" s="191">
        <v>30</v>
      </c>
      <c r="W5285">
        <v>437</v>
      </c>
      <c r="X5285" s="186" t="s">
        <v>3451</v>
      </c>
      <c r="Y5285" s="187" t="s">
        <v>55</v>
      </c>
      <c r="Z5285" s="311">
        <v>244</v>
      </c>
      <c r="AB5285" t="str">
        <f>IF(Table1[[#This Row],[TIPO2]]="costo", VLOOKUP(Table1[[#This Row],[PARTIDA PRESUPUESTAL]],'Cost Report'!G:G,1,0),"Balance")</f>
        <v>3401-042</v>
      </c>
      <c r="AD5285" s="159">
        <f>+Table1[[#This Row],[SUBTOTAL]]+Table1[[#This Row],[IVA]]-Table1[[#This Row],[RET IVA]]-Table1[[#This Row],[RET ISR]]-Table1[[#This Row],[TOTAL]]</f>
        <v>0</v>
      </c>
      <c r="AG5285" t="s">
        <v>3420</v>
      </c>
      <c r="AK5285" s="306" t="str">
        <f>IF(ISNUMBER(Table1[[#This Row],[FECHA DE RECIBIDO]]), Table1[[#This Row],[FECHA DE RECIBIDO]]-DATE(2023,8,30), "")</f>
        <v/>
      </c>
    </row>
    <row r="5286" spans="1:37" ht="16.05" customHeight="1">
      <c r="A5286" s="172" t="s">
        <v>4857</v>
      </c>
      <c r="B5286" s="178">
        <v>1830</v>
      </c>
      <c r="C5286" s="179" t="s">
        <v>2461</v>
      </c>
      <c r="D5286">
        <v>3566</v>
      </c>
      <c r="E5286" s="125" t="s">
        <v>1988</v>
      </c>
      <c r="F5286" s="178" t="s">
        <v>1607</v>
      </c>
      <c r="G5286" s="178" t="s">
        <v>134</v>
      </c>
      <c r="H5286">
        <v>891</v>
      </c>
      <c r="I5286" s="178" t="s">
        <v>1546</v>
      </c>
      <c r="J5286" s="320" t="s">
        <v>214</v>
      </c>
      <c r="K5286" s="178" t="s">
        <v>4871</v>
      </c>
      <c r="L5286" s="125" t="s">
        <v>4849</v>
      </c>
      <c r="M5286">
        <v>1237</v>
      </c>
      <c r="N5286" s="182">
        <v>17</v>
      </c>
      <c r="O5286">
        <v>3398</v>
      </c>
      <c r="P5286" s="132" t="s">
        <v>77</v>
      </c>
      <c r="Q5286" s="176">
        <v>366.21</v>
      </c>
      <c r="R5286" s="176">
        <v>58.59</v>
      </c>
      <c r="S5286" s="176"/>
      <c r="T5286" s="190"/>
      <c r="U5286" s="191"/>
      <c r="V5286" s="191">
        <v>424.79999999999995</v>
      </c>
      <c r="W5286">
        <v>104</v>
      </c>
      <c r="X5286" s="186" t="s">
        <v>3451</v>
      </c>
      <c r="Y5286" s="187" t="s">
        <v>55</v>
      </c>
      <c r="Z5286" s="311">
        <v>253</v>
      </c>
      <c r="AB5286" t="str">
        <f>IF(Table1[[#This Row],[TIPO2]]="costo", VLOOKUP(Table1[[#This Row],[PARTIDA PRESUPUESTAL]],'Cost Report'!G:G,1,0),"Balance")</f>
        <v>2385-003</v>
      </c>
      <c r="AD5286" s="159">
        <f>+Table1[[#This Row],[SUBTOTAL]]+Table1[[#This Row],[IVA]]-Table1[[#This Row],[RET IVA]]-Table1[[#This Row],[RET ISR]]-Table1[[#This Row],[TOTAL]]</f>
        <v>0</v>
      </c>
      <c r="AG5286" t="s">
        <v>3420</v>
      </c>
      <c r="AK5286" s="306" t="str">
        <f>IF(ISNUMBER(Table1[[#This Row],[FECHA DE RECIBIDO]]), Table1[[#This Row],[FECHA DE RECIBIDO]]-DATE(2023,8,30), "")</f>
        <v/>
      </c>
    </row>
    <row r="5287" spans="1:37" ht="16.05" customHeight="1">
      <c r="A5287" s="172" t="s">
        <v>4857</v>
      </c>
      <c r="B5287" s="178">
        <v>1830</v>
      </c>
      <c r="C5287" s="179" t="s">
        <v>2540</v>
      </c>
      <c r="D5287">
        <v>3567</v>
      </c>
      <c r="E5287" s="125" t="s">
        <v>3275</v>
      </c>
      <c r="F5287" s="178" t="s">
        <v>1607</v>
      </c>
      <c r="G5287" s="178" t="s">
        <v>134</v>
      </c>
      <c r="H5287">
        <v>139</v>
      </c>
      <c r="I5287" s="178" t="s">
        <v>1546</v>
      </c>
      <c r="J5287" s="320" t="s">
        <v>214</v>
      </c>
      <c r="K5287" s="178" t="s">
        <v>4871</v>
      </c>
      <c r="L5287" s="125" t="s">
        <v>4849</v>
      </c>
      <c r="M5287">
        <v>181</v>
      </c>
      <c r="N5287" s="182">
        <v>17</v>
      </c>
      <c r="O5287">
        <v>3399</v>
      </c>
      <c r="P5287" s="132" t="s">
        <v>77</v>
      </c>
      <c r="Q5287" s="176">
        <v>761.55</v>
      </c>
      <c r="R5287" s="176">
        <v>121.85</v>
      </c>
      <c r="S5287" s="176"/>
      <c r="T5287" s="190"/>
      <c r="U5287" s="191"/>
      <c r="V5287" s="191">
        <v>883.4</v>
      </c>
      <c r="W5287">
        <v>104</v>
      </c>
      <c r="X5287" s="186" t="s">
        <v>3451</v>
      </c>
      <c r="Y5287" s="187" t="s">
        <v>55</v>
      </c>
      <c r="Z5287" s="311">
        <v>251</v>
      </c>
      <c r="AB5287" t="str">
        <f>IF(Table1[[#This Row],[TIPO2]]="costo", VLOOKUP(Table1[[#This Row],[PARTIDA PRESUPUESTAL]],'Cost Report'!G:G,1,0),"Balance")</f>
        <v>2494-059</v>
      </c>
      <c r="AD5287" s="159">
        <f>+Table1[[#This Row],[SUBTOTAL]]+Table1[[#This Row],[IVA]]-Table1[[#This Row],[RET IVA]]-Table1[[#This Row],[RET ISR]]-Table1[[#This Row],[TOTAL]]</f>
        <v>0</v>
      </c>
      <c r="AG5287" t="s">
        <v>3420</v>
      </c>
      <c r="AK5287" s="306" t="str">
        <f>IF(ISNUMBER(Table1[[#This Row],[FECHA DE RECIBIDO]]), Table1[[#This Row],[FECHA DE RECIBIDO]]-DATE(2023,8,30), "")</f>
        <v/>
      </c>
    </row>
    <row r="5288" spans="1:37" ht="16.05" customHeight="1">
      <c r="A5288" s="172" t="s">
        <v>4857</v>
      </c>
      <c r="B5288" s="178">
        <v>1830</v>
      </c>
      <c r="C5288" s="179" t="s">
        <v>2540</v>
      </c>
      <c r="D5288">
        <v>3568</v>
      </c>
      <c r="E5288" s="125" t="s">
        <v>1603</v>
      </c>
      <c r="F5288" s="178" t="s">
        <v>1607</v>
      </c>
      <c r="G5288" s="178" t="s">
        <v>134</v>
      </c>
      <c r="H5288">
        <v>56</v>
      </c>
      <c r="I5288" s="178" t="s">
        <v>1546</v>
      </c>
      <c r="J5288" s="320" t="s">
        <v>214</v>
      </c>
      <c r="K5288" s="178" t="s">
        <v>4871</v>
      </c>
      <c r="L5288" s="125" t="s">
        <v>4849</v>
      </c>
      <c r="M5288">
        <v>78</v>
      </c>
      <c r="N5288" s="182">
        <v>17</v>
      </c>
      <c r="O5288">
        <v>3400</v>
      </c>
      <c r="P5288" s="132" t="s">
        <v>77</v>
      </c>
      <c r="Q5288" s="176">
        <v>788.43</v>
      </c>
      <c r="R5288" s="176">
        <v>2.4700000000000002</v>
      </c>
      <c r="S5288" s="176"/>
      <c r="T5288" s="190"/>
      <c r="U5288" s="191"/>
      <c r="V5288" s="191">
        <v>790.9</v>
      </c>
      <c r="W5288">
        <v>104</v>
      </c>
      <c r="X5288" s="186" t="s">
        <v>3451</v>
      </c>
      <c r="Y5288" s="187" t="s">
        <v>55</v>
      </c>
      <c r="Z5288" s="311">
        <v>251</v>
      </c>
      <c r="AB5288" t="str">
        <f>IF(Table1[[#This Row],[TIPO2]]="costo", VLOOKUP(Table1[[#This Row],[PARTIDA PRESUPUESTAL]],'Cost Report'!G:G,1,0),"Balance")</f>
        <v>2494-059</v>
      </c>
      <c r="AD5288" s="159">
        <f>+Table1[[#This Row],[SUBTOTAL]]+Table1[[#This Row],[IVA]]-Table1[[#This Row],[RET IVA]]-Table1[[#This Row],[RET ISR]]-Table1[[#This Row],[TOTAL]]</f>
        <v>0</v>
      </c>
      <c r="AG5288" t="s">
        <v>3420</v>
      </c>
      <c r="AK5288" s="306" t="str">
        <f>IF(ISNUMBER(Table1[[#This Row],[FECHA DE RECIBIDO]]), Table1[[#This Row],[FECHA DE RECIBIDO]]-DATE(2023,8,30), "")</f>
        <v/>
      </c>
    </row>
    <row r="5289" spans="1:37" ht="16.05" customHeight="1">
      <c r="A5289" s="172" t="s">
        <v>4857</v>
      </c>
      <c r="B5289" s="178">
        <v>1830</v>
      </c>
      <c r="C5289" s="179" t="s">
        <v>2540</v>
      </c>
      <c r="D5289">
        <v>3569</v>
      </c>
      <c r="E5289" s="125" t="s">
        <v>1603</v>
      </c>
      <c r="F5289" s="178" t="s">
        <v>1607</v>
      </c>
      <c r="G5289" s="178" t="s">
        <v>134</v>
      </c>
      <c r="H5289">
        <v>56</v>
      </c>
      <c r="I5289" s="178" t="s">
        <v>1546</v>
      </c>
      <c r="J5289" s="320" t="s">
        <v>214</v>
      </c>
      <c r="K5289" s="178" t="s">
        <v>4871</v>
      </c>
      <c r="L5289" s="125" t="s">
        <v>4849</v>
      </c>
      <c r="M5289">
        <v>78</v>
      </c>
      <c r="N5289" s="182">
        <v>17</v>
      </c>
      <c r="O5289">
        <v>3401</v>
      </c>
      <c r="P5289" s="132" t="s">
        <v>77</v>
      </c>
      <c r="Q5289" s="176">
        <v>1785.42</v>
      </c>
      <c r="R5289" s="176">
        <v>4.9400000000000004</v>
      </c>
      <c r="S5289" s="176"/>
      <c r="T5289" s="190"/>
      <c r="U5289" s="191"/>
      <c r="V5289" s="191">
        <v>1790.3600000000001</v>
      </c>
      <c r="W5289">
        <v>104</v>
      </c>
      <c r="X5289" s="186" t="s">
        <v>3451</v>
      </c>
      <c r="Y5289" s="187" t="s">
        <v>55</v>
      </c>
      <c r="Z5289" s="311">
        <v>251</v>
      </c>
      <c r="AB5289" t="str">
        <f>IF(Table1[[#This Row],[TIPO2]]="costo", VLOOKUP(Table1[[#This Row],[PARTIDA PRESUPUESTAL]],'Cost Report'!G:G,1,0),"Balance")</f>
        <v>2494-059</v>
      </c>
      <c r="AD5289" s="159">
        <f>+Table1[[#This Row],[SUBTOTAL]]+Table1[[#This Row],[IVA]]-Table1[[#This Row],[RET IVA]]-Table1[[#This Row],[RET ISR]]-Table1[[#This Row],[TOTAL]]</f>
        <v>0</v>
      </c>
      <c r="AG5289" t="s">
        <v>3420</v>
      </c>
      <c r="AK5289" s="306" t="str">
        <f>IF(ISNUMBER(Table1[[#This Row],[FECHA DE RECIBIDO]]), Table1[[#This Row],[FECHA DE RECIBIDO]]-DATE(2023,8,30), "")</f>
        <v/>
      </c>
    </row>
    <row r="5290" spans="1:37" ht="16.05" customHeight="1">
      <c r="A5290" s="172" t="s">
        <v>4857</v>
      </c>
      <c r="B5290" s="178">
        <v>1830</v>
      </c>
      <c r="C5290" s="179" t="s">
        <v>2461</v>
      </c>
      <c r="D5290">
        <v>3570</v>
      </c>
      <c r="E5290" s="125" t="s">
        <v>1603</v>
      </c>
      <c r="F5290" s="178" t="s">
        <v>1607</v>
      </c>
      <c r="G5290" s="178" t="s">
        <v>134</v>
      </c>
      <c r="H5290">
        <v>91</v>
      </c>
      <c r="I5290" s="178" t="s">
        <v>1546</v>
      </c>
      <c r="J5290" s="320" t="s">
        <v>214</v>
      </c>
      <c r="K5290" s="178" t="s">
        <v>4871</v>
      </c>
      <c r="L5290" s="125" t="s">
        <v>4849</v>
      </c>
      <c r="M5290">
        <v>122</v>
      </c>
      <c r="N5290" s="182">
        <v>17</v>
      </c>
      <c r="O5290">
        <v>3402</v>
      </c>
      <c r="P5290" s="132" t="s">
        <v>77</v>
      </c>
      <c r="Q5290" s="176">
        <v>18.88</v>
      </c>
      <c r="R5290" s="176">
        <v>3.02</v>
      </c>
      <c r="S5290" s="176"/>
      <c r="T5290" s="190"/>
      <c r="U5290" s="191"/>
      <c r="V5290" s="191">
        <v>21.9</v>
      </c>
      <c r="W5290">
        <v>104</v>
      </c>
      <c r="X5290" s="186" t="s">
        <v>3451</v>
      </c>
      <c r="Y5290" s="187" t="s">
        <v>55</v>
      </c>
      <c r="Z5290" s="311">
        <v>251</v>
      </c>
      <c r="AB5290" t="str">
        <f>IF(Table1[[#This Row],[TIPO2]]="costo", VLOOKUP(Table1[[#This Row],[PARTIDA PRESUPUESTAL]],'Cost Report'!G:G,1,0),"Balance")</f>
        <v>2385-003</v>
      </c>
      <c r="AD5290" s="159">
        <f>+Table1[[#This Row],[SUBTOTAL]]+Table1[[#This Row],[IVA]]-Table1[[#This Row],[RET IVA]]-Table1[[#This Row],[RET ISR]]-Table1[[#This Row],[TOTAL]]</f>
        <v>0</v>
      </c>
      <c r="AG5290" t="s">
        <v>3420</v>
      </c>
      <c r="AK5290" s="306" t="str">
        <f>IF(ISNUMBER(Table1[[#This Row],[FECHA DE RECIBIDO]]), Table1[[#This Row],[FECHA DE RECIBIDO]]-DATE(2023,8,30), "")</f>
        <v/>
      </c>
    </row>
    <row r="5291" spans="1:37" ht="16.05" customHeight="1">
      <c r="A5291" s="172" t="s">
        <v>4857</v>
      </c>
      <c r="B5291" s="178">
        <v>1830</v>
      </c>
      <c r="C5291" s="179" t="s">
        <v>2540</v>
      </c>
      <c r="D5291">
        <v>3571</v>
      </c>
      <c r="E5291" s="125" t="s">
        <v>1987</v>
      </c>
      <c r="F5291" s="178" t="s">
        <v>1607</v>
      </c>
      <c r="G5291" s="178" t="s">
        <v>134</v>
      </c>
      <c r="H5291">
        <v>659</v>
      </c>
      <c r="I5291" s="178" t="s">
        <v>1546</v>
      </c>
      <c r="J5291" s="320" t="s">
        <v>214</v>
      </c>
      <c r="K5291" s="178" t="s">
        <v>4871</v>
      </c>
      <c r="L5291" s="125" t="s">
        <v>4849</v>
      </c>
      <c r="M5291">
        <v>928</v>
      </c>
      <c r="N5291" s="182">
        <v>17</v>
      </c>
      <c r="O5291">
        <v>3014</v>
      </c>
      <c r="P5291" s="132" t="s">
        <v>77</v>
      </c>
      <c r="Q5291" s="176">
        <v>1084.48</v>
      </c>
      <c r="R5291" s="176">
        <v>173.52</v>
      </c>
      <c r="S5291" s="176"/>
      <c r="T5291" s="190"/>
      <c r="U5291" s="191"/>
      <c r="V5291" s="191">
        <v>1258</v>
      </c>
      <c r="W5291">
        <v>104</v>
      </c>
      <c r="X5291" s="186" t="s">
        <v>3451</v>
      </c>
      <c r="Y5291" s="187" t="s">
        <v>55</v>
      </c>
      <c r="Z5291" s="311">
        <v>252</v>
      </c>
      <c r="AB5291" t="str">
        <f>IF(Table1[[#This Row],[TIPO2]]="costo", VLOOKUP(Table1[[#This Row],[PARTIDA PRESUPUESTAL]],'Cost Report'!G:G,1,0),"Balance")</f>
        <v>2494-059</v>
      </c>
      <c r="AD5291" s="159">
        <f>+Table1[[#This Row],[SUBTOTAL]]+Table1[[#This Row],[IVA]]-Table1[[#This Row],[RET IVA]]-Table1[[#This Row],[RET ISR]]-Table1[[#This Row],[TOTAL]]</f>
        <v>0</v>
      </c>
      <c r="AG5291" t="s">
        <v>3420</v>
      </c>
      <c r="AK5291" s="306" t="str">
        <f>IF(ISNUMBER(Table1[[#This Row],[FECHA DE RECIBIDO]]), Table1[[#This Row],[FECHA DE RECIBIDO]]-DATE(2023,8,30), "")</f>
        <v/>
      </c>
    </row>
    <row r="5292" spans="1:37" ht="16.05" customHeight="1">
      <c r="A5292" s="172" t="s">
        <v>4857</v>
      </c>
      <c r="B5292" s="178">
        <v>1830</v>
      </c>
      <c r="C5292" s="179" t="s">
        <v>2546</v>
      </c>
      <c r="D5292">
        <v>3572</v>
      </c>
      <c r="E5292" s="125" t="s">
        <v>3272</v>
      </c>
      <c r="F5292" s="178" t="s">
        <v>1607</v>
      </c>
      <c r="G5292" s="178" t="s">
        <v>134</v>
      </c>
      <c r="H5292">
        <v>99</v>
      </c>
      <c r="I5292" s="178" t="s">
        <v>1546</v>
      </c>
      <c r="J5292" s="320" t="s">
        <v>214</v>
      </c>
      <c r="K5292" s="178" t="s">
        <v>4871</v>
      </c>
      <c r="L5292" s="125" t="s">
        <v>4849</v>
      </c>
      <c r="M5292">
        <v>134</v>
      </c>
      <c r="N5292" s="182">
        <v>17</v>
      </c>
      <c r="O5292">
        <v>3403</v>
      </c>
      <c r="P5292" s="132" t="s">
        <v>77</v>
      </c>
      <c r="Q5292" s="176">
        <v>927.59</v>
      </c>
      <c r="R5292" s="176">
        <v>148.41</v>
      </c>
      <c r="S5292" s="176"/>
      <c r="T5292" s="190"/>
      <c r="U5292" s="191"/>
      <c r="V5292" s="191">
        <v>1076</v>
      </c>
      <c r="W5292">
        <v>104</v>
      </c>
      <c r="X5292" s="186" t="s">
        <v>3451</v>
      </c>
      <c r="Y5292" s="187" t="s">
        <v>55</v>
      </c>
      <c r="Z5292" s="311">
        <v>248</v>
      </c>
      <c r="AB5292" t="str">
        <f>IF(Table1[[#This Row],[TIPO2]]="costo", VLOOKUP(Table1[[#This Row],[PARTIDA PRESUPUESTAL]],'Cost Report'!G:G,1,0),"Balance")</f>
        <v>2494-071</v>
      </c>
      <c r="AD5292" s="159">
        <f>+Table1[[#This Row],[SUBTOTAL]]+Table1[[#This Row],[IVA]]-Table1[[#This Row],[RET IVA]]-Table1[[#This Row],[RET ISR]]-Table1[[#This Row],[TOTAL]]</f>
        <v>0</v>
      </c>
      <c r="AG5292" t="s">
        <v>3420</v>
      </c>
      <c r="AK5292" s="306" t="str">
        <f>IF(ISNUMBER(Table1[[#This Row],[FECHA DE RECIBIDO]]), Table1[[#This Row],[FECHA DE RECIBIDO]]-DATE(2023,8,30), "")</f>
        <v/>
      </c>
    </row>
    <row r="5293" spans="1:37" ht="16.05" customHeight="1">
      <c r="A5293" s="172" t="s">
        <v>4857</v>
      </c>
      <c r="B5293" s="178">
        <v>1830</v>
      </c>
      <c r="C5293" s="179" t="s">
        <v>2546</v>
      </c>
      <c r="D5293">
        <v>3573</v>
      </c>
      <c r="E5293" s="125" t="s">
        <v>3272</v>
      </c>
      <c r="F5293" s="178" t="s">
        <v>1607</v>
      </c>
      <c r="G5293" s="178" t="s">
        <v>134</v>
      </c>
      <c r="H5293">
        <v>99</v>
      </c>
      <c r="I5293" s="178" t="s">
        <v>1546</v>
      </c>
      <c r="J5293" s="320" t="s">
        <v>214</v>
      </c>
      <c r="K5293" s="178" t="s">
        <v>4871</v>
      </c>
      <c r="L5293" s="125" t="s">
        <v>4849</v>
      </c>
      <c r="M5293">
        <v>134</v>
      </c>
      <c r="N5293" s="182">
        <v>17</v>
      </c>
      <c r="O5293">
        <v>3404</v>
      </c>
      <c r="P5293" s="132" t="s">
        <v>77</v>
      </c>
      <c r="Q5293" s="176">
        <v>6212</v>
      </c>
      <c r="R5293" s="176">
        <v>444</v>
      </c>
      <c r="S5293" s="176"/>
      <c r="T5293" s="190"/>
      <c r="U5293" s="191"/>
      <c r="V5293" s="191">
        <v>6656</v>
      </c>
      <c r="W5293">
        <v>104</v>
      </c>
      <c r="X5293" s="186" t="s">
        <v>3451</v>
      </c>
      <c r="Y5293" s="187" t="s">
        <v>55</v>
      </c>
      <c r="Z5293" s="311">
        <v>248</v>
      </c>
      <c r="AB5293" t="str">
        <f>IF(Table1[[#This Row],[TIPO2]]="costo", VLOOKUP(Table1[[#This Row],[PARTIDA PRESUPUESTAL]],'Cost Report'!G:G,1,0),"Balance")</f>
        <v>2494-071</v>
      </c>
      <c r="AD5293" s="159">
        <f>+Table1[[#This Row],[SUBTOTAL]]+Table1[[#This Row],[IVA]]-Table1[[#This Row],[RET IVA]]-Table1[[#This Row],[RET ISR]]-Table1[[#This Row],[TOTAL]]</f>
        <v>0</v>
      </c>
      <c r="AG5293" t="s">
        <v>3420</v>
      </c>
      <c r="AK5293" s="306" t="str">
        <f>IF(ISNUMBER(Table1[[#This Row],[FECHA DE RECIBIDO]]), Table1[[#This Row],[FECHA DE RECIBIDO]]-DATE(2023,8,30), "")</f>
        <v/>
      </c>
    </row>
    <row r="5294" spans="1:37" ht="16.05" customHeight="1">
      <c r="A5294" s="172" t="s">
        <v>4857</v>
      </c>
      <c r="B5294" s="178">
        <v>1830</v>
      </c>
      <c r="C5294" s="179" t="s">
        <v>2546</v>
      </c>
      <c r="D5294">
        <v>3574</v>
      </c>
      <c r="E5294" s="125" t="s">
        <v>1614</v>
      </c>
      <c r="F5294" s="178" t="s">
        <v>1607</v>
      </c>
      <c r="G5294" s="178" t="s">
        <v>134</v>
      </c>
      <c r="H5294">
        <v>91</v>
      </c>
      <c r="I5294" s="178" t="s">
        <v>1546</v>
      </c>
      <c r="J5294" s="320" t="s">
        <v>214</v>
      </c>
      <c r="K5294" s="178" t="s">
        <v>4871</v>
      </c>
      <c r="L5294" s="125" t="s">
        <v>4849</v>
      </c>
      <c r="M5294">
        <v>122</v>
      </c>
      <c r="N5294" s="182">
        <v>17</v>
      </c>
      <c r="O5294">
        <v>3405</v>
      </c>
      <c r="P5294" s="132" t="s">
        <v>77</v>
      </c>
      <c r="Q5294" s="176">
        <v>226.74</v>
      </c>
      <c r="R5294" s="176">
        <v>36.28</v>
      </c>
      <c r="S5294" s="176"/>
      <c r="T5294" s="190"/>
      <c r="U5294" s="191"/>
      <c r="V5294" s="191">
        <v>263.02</v>
      </c>
      <c r="W5294">
        <v>104</v>
      </c>
      <c r="X5294" s="186" t="s">
        <v>3451</v>
      </c>
      <c r="Y5294" s="187" t="s">
        <v>55</v>
      </c>
      <c r="Z5294" s="311">
        <v>248</v>
      </c>
      <c r="AB5294" t="str">
        <f>IF(Table1[[#This Row],[TIPO2]]="costo", VLOOKUP(Table1[[#This Row],[PARTIDA PRESUPUESTAL]],'Cost Report'!G:G,1,0),"Balance")</f>
        <v>2494-071</v>
      </c>
      <c r="AD5294" s="159">
        <f>+Table1[[#This Row],[SUBTOTAL]]+Table1[[#This Row],[IVA]]-Table1[[#This Row],[RET IVA]]-Table1[[#This Row],[RET ISR]]-Table1[[#This Row],[TOTAL]]</f>
        <v>0</v>
      </c>
      <c r="AG5294" t="s">
        <v>3420</v>
      </c>
      <c r="AK5294" s="306" t="str">
        <f>IF(ISNUMBER(Table1[[#This Row],[FECHA DE RECIBIDO]]), Table1[[#This Row],[FECHA DE RECIBIDO]]-DATE(2023,8,30), "")</f>
        <v/>
      </c>
    </row>
    <row r="5295" spans="1:37" ht="16.05" customHeight="1">
      <c r="A5295" s="172" t="s">
        <v>4857</v>
      </c>
      <c r="B5295" s="178">
        <v>1830</v>
      </c>
      <c r="C5295" s="179" t="s">
        <v>2458</v>
      </c>
      <c r="D5295">
        <v>3575</v>
      </c>
      <c r="E5295" s="125" t="s">
        <v>1997</v>
      </c>
      <c r="F5295" s="178" t="s">
        <v>1589</v>
      </c>
      <c r="G5295" s="178" t="s">
        <v>129</v>
      </c>
      <c r="H5295">
        <v>718</v>
      </c>
      <c r="I5295" s="178" t="s">
        <v>1546</v>
      </c>
      <c r="J5295" s="320" t="s">
        <v>214</v>
      </c>
      <c r="K5295" s="178" t="s">
        <v>4871</v>
      </c>
      <c r="L5295" s="125" t="s">
        <v>4849</v>
      </c>
      <c r="M5295">
        <v>1000</v>
      </c>
      <c r="N5295" s="182">
        <v>17</v>
      </c>
      <c r="O5295">
        <v>3406</v>
      </c>
      <c r="P5295" s="132" t="s">
        <v>77</v>
      </c>
      <c r="Q5295" s="176">
        <v>132.76</v>
      </c>
      <c r="R5295" s="176">
        <v>21.24</v>
      </c>
      <c r="S5295" s="176"/>
      <c r="T5295" s="190"/>
      <c r="U5295" s="191"/>
      <c r="V5295" s="191">
        <v>154</v>
      </c>
      <c r="W5295">
        <v>104</v>
      </c>
      <c r="X5295" s="186" t="s">
        <v>3451</v>
      </c>
      <c r="Y5295" s="187" t="s">
        <v>55</v>
      </c>
      <c r="Z5295" s="311">
        <v>246</v>
      </c>
      <c r="AB5295" t="str">
        <f>IF(Table1[[#This Row],[TIPO2]]="costo", VLOOKUP(Table1[[#This Row],[PARTIDA PRESUPUESTAL]],'Cost Report'!G:G,1,0),"Balance")</f>
        <v>2311-003</v>
      </c>
      <c r="AD5295" s="159">
        <f>+Table1[[#This Row],[SUBTOTAL]]+Table1[[#This Row],[IVA]]-Table1[[#This Row],[RET IVA]]-Table1[[#This Row],[RET ISR]]-Table1[[#This Row],[TOTAL]]</f>
        <v>0</v>
      </c>
      <c r="AG5295" t="s">
        <v>3420</v>
      </c>
      <c r="AK5295" s="306" t="str">
        <f>IF(ISNUMBER(Table1[[#This Row],[FECHA DE RECIBIDO]]), Table1[[#This Row],[FECHA DE RECIBIDO]]-DATE(2023,8,30), "")</f>
        <v/>
      </c>
    </row>
    <row r="5296" spans="1:37" ht="16.05" customHeight="1">
      <c r="A5296" s="172" t="s">
        <v>4857</v>
      </c>
      <c r="B5296" s="178">
        <v>1830</v>
      </c>
      <c r="C5296" s="179" t="s">
        <v>1517</v>
      </c>
      <c r="D5296">
        <v>3576</v>
      </c>
      <c r="E5296" s="125" t="s">
        <v>1596</v>
      </c>
      <c r="F5296" s="178" t="s">
        <v>1589</v>
      </c>
      <c r="G5296" s="178" t="s">
        <v>129</v>
      </c>
      <c r="H5296">
        <v>892</v>
      </c>
      <c r="I5296" s="178" t="s">
        <v>1546</v>
      </c>
      <c r="J5296" s="320" t="s">
        <v>214</v>
      </c>
      <c r="K5296" s="178" t="s">
        <v>4871</v>
      </c>
      <c r="L5296" s="125" t="s">
        <v>4849</v>
      </c>
      <c r="M5296">
        <v>1238</v>
      </c>
      <c r="N5296" s="182">
        <v>17</v>
      </c>
      <c r="O5296">
        <v>3407</v>
      </c>
      <c r="P5296" s="132" t="s">
        <v>77</v>
      </c>
      <c r="Q5296" s="176">
        <v>530</v>
      </c>
      <c r="R5296" s="176">
        <v>84.8</v>
      </c>
      <c r="S5296" s="176"/>
      <c r="T5296" s="190"/>
      <c r="U5296" s="191"/>
      <c r="V5296" s="191">
        <v>614.79999999999995</v>
      </c>
      <c r="W5296">
        <v>104</v>
      </c>
      <c r="X5296" s="186" t="s">
        <v>3451</v>
      </c>
      <c r="Y5296" s="187" t="s">
        <v>55</v>
      </c>
      <c r="Z5296" s="311">
        <v>257</v>
      </c>
      <c r="AB5296" t="str">
        <f>IF(Table1[[#This Row],[TIPO2]]="costo", VLOOKUP(Table1[[#This Row],[PARTIDA PRESUPUESTAL]],'Cost Report'!G:G,1,0),"Balance")</f>
        <v>2494-027</v>
      </c>
      <c r="AD5296" s="159">
        <f>+Table1[[#This Row],[SUBTOTAL]]+Table1[[#This Row],[IVA]]-Table1[[#This Row],[RET IVA]]-Table1[[#This Row],[RET ISR]]-Table1[[#This Row],[TOTAL]]</f>
        <v>0</v>
      </c>
      <c r="AG5296" t="s">
        <v>3420</v>
      </c>
      <c r="AK5296" s="306" t="str">
        <f>IF(ISNUMBER(Table1[[#This Row],[FECHA DE RECIBIDO]]), Table1[[#This Row],[FECHA DE RECIBIDO]]-DATE(2023,8,30), "")</f>
        <v/>
      </c>
    </row>
    <row r="5297" spans="1:37" ht="16.05" customHeight="1">
      <c r="A5297" s="172" t="s">
        <v>4857</v>
      </c>
      <c r="B5297" s="178">
        <v>1830</v>
      </c>
      <c r="C5297" s="179" t="s">
        <v>1517</v>
      </c>
      <c r="D5297">
        <v>3577</v>
      </c>
      <c r="E5297" s="125" t="s">
        <v>3275</v>
      </c>
      <c r="F5297" s="178" t="s">
        <v>1607</v>
      </c>
      <c r="G5297" s="178" t="s">
        <v>134</v>
      </c>
      <c r="H5297">
        <v>139</v>
      </c>
      <c r="I5297" s="178" t="s">
        <v>1546</v>
      </c>
      <c r="J5297" s="320" t="s">
        <v>214</v>
      </c>
      <c r="K5297" s="178" t="s">
        <v>4871</v>
      </c>
      <c r="L5297" s="125" t="s">
        <v>4849</v>
      </c>
      <c r="M5297">
        <v>181</v>
      </c>
      <c r="N5297" s="182">
        <v>17</v>
      </c>
      <c r="O5297">
        <v>3408</v>
      </c>
      <c r="P5297" s="132" t="s">
        <v>77</v>
      </c>
      <c r="Q5297" s="176">
        <v>588.69000000000005</v>
      </c>
      <c r="R5297" s="176">
        <v>94.19</v>
      </c>
      <c r="S5297" s="176"/>
      <c r="T5297" s="190"/>
      <c r="U5297" s="191"/>
      <c r="V5297" s="191">
        <v>682.88000000000011</v>
      </c>
      <c r="W5297">
        <v>104</v>
      </c>
      <c r="X5297" s="186" t="s">
        <v>3451</v>
      </c>
      <c r="Y5297" s="187" t="s">
        <v>55</v>
      </c>
      <c r="Z5297" s="311">
        <v>258</v>
      </c>
      <c r="AB5297" t="str">
        <f>IF(Table1[[#This Row],[TIPO2]]="costo", VLOOKUP(Table1[[#This Row],[PARTIDA PRESUPUESTAL]],'Cost Report'!G:G,1,0),"Balance")</f>
        <v>2494-027</v>
      </c>
      <c r="AD5297" s="159">
        <f>+Table1[[#This Row],[SUBTOTAL]]+Table1[[#This Row],[IVA]]-Table1[[#This Row],[RET IVA]]-Table1[[#This Row],[RET ISR]]-Table1[[#This Row],[TOTAL]]</f>
        <v>0</v>
      </c>
      <c r="AG5297" t="s">
        <v>3420</v>
      </c>
      <c r="AK5297" s="306" t="str">
        <f>IF(ISNUMBER(Table1[[#This Row],[FECHA DE RECIBIDO]]), Table1[[#This Row],[FECHA DE RECIBIDO]]-DATE(2023,8,30), "")</f>
        <v/>
      </c>
    </row>
    <row r="5298" spans="1:37" ht="16.05" customHeight="1">
      <c r="A5298" s="172" t="s">
        <v>4857</v>
      </c>
      <c r="B5298" s="178">
        <v>1830</v>
      </c>
      <c r="C5298" s="179" t="s">
        <v>610</v>
      </c>
      <c r="D5298">
        <v>3578</v>
      </c>
      <c r="E5298" s="125" t="s">
        <v>1997</v>
      </c>
      <c r="F5298" s="178" t="s">
        <v>1589</v>
      </c>
      <c r="G5298" s="178" t="s">
        <v>129</v>
      </c>
      <c r="H5298">
        <v>718</v>
      </c>
      <c r="I5298" s="178" t="s">
        <v>1546</v>
      </c>
      <c r="J5298" s="320" t="s">
        <v>214</v>
      </c>
      <c r="K5298" s="178" t="s">
        <v>4871</v>
      </c>
      <c r="L5298" s="125" t="s">
        <v>4849</v>
      </c>
      <c r="M5298">
        <v>1000</v>
      </c>
      <c r="N5298" s="182">
        <v>17</v>
      </c>
      <c r="O5298">
        <v>3409</v>
      </c>
      <c r="P5298" s="132" t="s">
        <v>77</v>
      </c>
      <c r="Q5298" s="176">
        <v>303.45999999999998</v>
      </c>
      <c r="R5298" s="176">
        <v>48.55</v>
      </c>
      <c r="S5298" s="176"/>
      <c r="T5298" s="190"/>
      <c r="U5298" s="191"/>
      <c r="V5298" s="191">
        <v>352.01</v>
      </c>
      <c r="W5298">
        <v>104</v>
      </c>
      <c r="X5298" s="186" t="s">
        <v>3451</v>
      </c>
      <c r="Y5298" s="187" t="s">
        <v>55</v>
      </c>
      <c r="Z5298" s="311">
        <v>258</v>
      </c>
      <c r="AB5298" t="str">
        <f>IF(Table1[[#This Row],[TIPO2]]="costo", VLOOKUP(Table1[[#This Row],[PARTIDA PRESUPUESTAL]],'Cost Report'!G:G,1,0),"Balance")</f>
        <v>2485-003</v>
      </c>
      <c r="AD5298" s="159">
        <f>+Table1[[#This Row],[SUBTOTAL]]+Table1[[#This Row],[IVA]]-Table1[[#This Row],[RET IVA]]-Table1[[#This Row],[RET ISR]]-Table1[[#This Row],[TOTAL]]</f>
        <v>0</v>
      </c>
      <c r="AG5298" t="s">
        <v>3420</v>
      </c>
      <c r="AK5298" s="306" t="str">
        <f>IF(ISNUMBER(Table1[[#This Row],[FECHA DE RECIBIDO]]), Table1[[#This Row],[FECHA DE RECIBIDO]]-DATE(2023,8,30), "")</f>
        <v/>
      </c>
    </row>
    <row r="5299" spans="1:37" ht="16.05" customHeight="1">
      <c r="A5299" s="172" t="s">
        <v>4857</v>
      </c>
      <c r="B5299" s="178">
        <v>1830</v>
      </c>
      <c r="C5299" s="179" t="s">
        <v>610</v>
      </c>
      <c r="D5299">
        <v>3579</v>
      </c>
      <c r="E5299" s="125" t="s">
        <v>1603</v>
      </c>
      <c r="F5299" s="178" t="s">
        <v>1607</v>
      </c>
      <c r="G5299" s="178" t="s">
        <v>134</v>
      </c>
      <c r="H5299">
        <v>274</v>
      </c>
      <c r="I5299" s="178" t="s">
        <v>1546</v>
      </c>
      <c r="J5299" s="320" t="s">
        <v>214</v>
      </c>
      <c r="K5299" s="178" t="s">
        <v>4871</v>
      </c>
      <c r="L5299" s="125" t="s">
        <v>4849</v>
      </c>
      <c r="M5299">
        <v>365</v>
      </c>
      <c r="N5299" s="182">
        <v>17</v>
      </c>
      <c r="O5299">
        <v>3410</v>
      </c>
      <c r="P5299" s="132" t="s">
        <v>77</v>
      </c>
      <c r="Q5299" s="176">
        <v>495.6</v>
      </c>
      <c r="R5299" s="176">
        <v>79.3</v>
      </c>
      <c r="S5299" s="176"/>
      <c r="T5299" s="190"/>
      <c r="U5299" s="191"/>
      <c r="V5299" s="191">
        <v>574.9</v>
      </c>
      <c r="W5299">
        <v>104</v>
      </c>
      <c r="X5299" s="186" t="s">
        <v>3451</v>
      </c>
      <c r="Y5299" s="187" t="s">
        <v>55</v>
      </c>
      <c r="Z5299" s="311">
        <v>258</v>
      </c>
      <c r="AB5299" t="str">
        <f>IF(Table1[[#This Row],[TIPO2]]="costo", VLOOKUP(Table1[[#This Row],[PARTIDA PRESUPUESTAL]],'Cost Report'!G:G,1,0),"Balance")</f>
        <v>2485-003</v>
      </c>
      <c r="AD5299" s="159">
        <f>+Table1[[#This Row],[SUBTOTAL]]+Table1[[#This Row],[IVA]]-Table1[[#This Row],[RET IVA]]-Table1[[#This Row],[RET ISR]]-Table1[[#This Row],[TOTAL]]</f>
        <v>0</v>
      </c>
      <c r="AG5299" t="s">
        <v>3420</v>
      </c>
      <c r="AK5299" s="306" t="str">
        <f>IF(ISNUMBER(Table1[[#This Row],[FECHA DE RECIBIDO]]), Table1[[#This Row],[FECHA DE RECIBIDO]]-DATE(2023,8,30), "")</f>
        <v/>
      </c>
    </row>
    <row r="5300" spans="1:37" ht="16.05" customHeight="1">
      <c r="A5300" s="172" t="s">
        <v>4857</v>
      </c>
      <c r="B5300" s="178">
        <v>1830</v>
      </c>
      <c r="C5300" s="179" t="s">
        <v>610</v>
      </c>
      <c r="D5300">
        <v>3580</v>
      </c>
      <c r="E5300" s="125" t="s">
        <v>3363</v>
      </c>
      <c r="F5300" s="178" t="s">
        <v>1607</v>
      </c>
      <c r="G5300" s="178" t="s">
        <v>134</v>
      </c>
      <c r="H5300">
        <v>99</v>
      </c>
      <c r="I5300" s="178" t="s">
        <v>1546</v>
      </c>
      <c r="J5300" s="320" t="s">
        <v>214</v>
      </c>
      <c r="K5300" s="178" t="s">
        <v>4871</v>
      </c>
      <c r="L5300" s="125" t="s">
        <v>4849</v>
      </c>
      <c r="M5300">
        <v>134</v>
      </c>
      <c r="N5300" s="182">
        <v>17</v>
      </c>
      <c r="O5300">
        <v>3411</v>
      </c>
      <c r="P5300" s="132" t="s">
        <v>77</v>
      </c>
      <c r="Q5300" s="176">
        <v>954.65</v>
      </c>
      <c r="R5300" s="176">
        <v>152.74</v>
      </c>
      <c r="S5300" s="176"/>
      <c r="T5300" s="190"/>
      <c r="U5300" s="191"/>
      <c r="V5300" s="191">
        <v>1107.3899999999999</v>
      </c>
      <c r="W5300">
        <v>104</v>
      </c>
      <c r="X5300" s="186" t="s">
        <v>3451</v>
      </c>
      <c r="Y5300" s="187" t="s">
        <v>55</v>
      </c>
      <c r="Z5300" s="311">
        <v>258</v>
      </c>
      <c r="AB5300" t="str">
        <f>IF(Table1[[#This Row],[TIPO2]]="costo", VLOOKUP(Table1[[#This Row],[PARTIDA PRESUPUESTAL]],'Cost Report'!G:G,1,0),"Balance")</f>
        <v>2485-003</v>
      </c>
      <c r="AD5300" s="159">
        <f>+Table1[[#This Row],[SUBTOTAL]]+Table1[[#This Row],[IVA]]-Table1[[#This Row],[RET IVA]]-Table1[[#This Row],[RET ISR]]-Table1[[#This Row],[TOTAL]]</f>
        <v>0</v>
      </c>
      <c r="AG5300" t="s">
        <v>3420</v>
      </c>
      <c r="AK5300" s="306" t="str">
        <f>IF(ISNUMBER(Table1[[#This Row],[FECHA DE RECIBIDO]]), Table1[[#This Row],[FECHA DE RECIBIDO]]-DATE(2023,8,30), "")</f>
        <v/>
      </c>
    </row>
    <row r="5301" spans="1:37" ht="16.05" customHeight="1">
      <c r="A5301" s="172" t="s">
        <v>4857</v>
      </c>
      <c r="B5301" s="178">
        <v>1830</v>
      </c>
      <c r="C5301" s="179" t="s">
        <v>610</v>
      </c>
      <c r="D5301">
        <v>3581</v>
      </c>
      <c r="E5301" s="125" t="s">
        <v>1596</v>
      </c>
      <c r="F5301" s="178" t="s">
        <v>1589</v>
      </c>
      <c r="G5301" s="178" t="s">
        <v>129</v>
      </c>
      <c r="H5301">
        <v>892</v>
      </c>
      <c r="I5301" s="178" t="s">
        <v>1546</v>
      </c>
      <c r="J5301" s="320" t="s">
        <v>214</v>
      </c>
      <c r="K5301" s="178" t="s">
        <v>4871</v>
      </c>
      <c r="L5301" s="125" t="s">
        <v>4849</v>
      </c>
      <c r="M5301">
        <v>1238</v>
      </c>
      <c r="N5301" s="182">
        <v>17</v>
      </c>
      <c r="O5301">
        <v>3412</v>
      </c>
      <c r="P5301" s="132" t="s">
        <v>77</v>
      </c>
      <c r="Q5301" s="176">
        <v>1036</v>
      </c>
      <c r="R5301" s="176">
        <v>165.76</v>
      </c>
      <c r="S5301" s="176"/>
      <c r="T5301" s="190"/>
      <c r="U5301" s="191"/>
      <c r="V5301" s="191">
        <v>1201.76</v>
      </c>
      <c r="W5301">
        <v>104</v>
      </c>
      <c r="X5301" s="186" t="s">
        <v>3451</v>
      </c>
      <c r="Y5301" s="187" t="s">
        <v>55</v>
      </c>
      <c r="Z5301" s="311">
        <v>258</v>
      </c>
      <c r="AB5301" t="str">
        <f>IF(Table1[[#This Row],[TIPO2]]="costo", VLOOKUP(Table1[[#This Row],[PARTIDA PRESUPUESTAL]],'Cost Report'!G:G,1,0),"Balance")</f>
        <v>2485-003</v>
      </c>
      <c r="AD5301" s="159">
        <f>+Table1[[#This Row],[SUBTOTAL]]+Table1[[#This Row],[IVA]]-Table1[[#This Row],[RET IVA]]-Table1[[#This Row],[RET ISR]]-Table1[[#This Row],[TOTAL]]</f>
        <v>0</v>
      </c>
      <c r="AG5301" t="s">
        <v>3420</v>
      </c>
      <c r="AK5301" s="306" t="str">
        <f>IF(ISNUMBER(Table1[[#This Row],[FECHA DE RECIBIDO]]), Table1[[#This Row],[FECHA DE RECIBIDO]]-DATE(2023,8,30), "")</f>
        <v/>
      </c>
    </row>
    <row r="5302" spans="1:37" ht="16.05" customHeight="1">
      <c r="A5302" s="172" t="s">
        <v>4857</v>
      </c>
      <c r="B5302" s="178">
        <v>1830</v>
      </c>
      <c r="C5302" s="179" t="s">
        <v>1517</v>
      </c>
      <c r="D5302">
        <v>3582</v>
      </c>
      <c r="E5302" s="125" t="s">
        <v>4858</v>
      </c>
      <c r="F5302" s="178" t="s">
        <v>1607</v>
      </c>
      <c r="G5302" s="178" t="s">
        <v>134</v>
      </c>
      <c r="H5302">
        <v>310</v>
      </c>
      <c r="I5302" s="178" t="s">
        <v>1546</v>
      </c>
      <c r="J5302" s="320" t="s">
        <v>214</v>
      </c>
      <c r="K5302" s="178" t="s">
        <v>4871</v>
      </c>
      <c r="L5302" s="125" t="s">
        <v>4849</v>
      </c>
      <c r="M5302">
        <v>415</v>
      </c>
      <c r="N5302" s="182">
        <v>17</v>
      </c>
      <c r="O5302">
        <v>3413</v>
      </c>
      <c r="P5302" s="132" t="s">
        <v>77</v>
      </c>
      <c r="Q5302" s="176">
        <v>1835.69</v>
      </c>
      <c r="R5302" s="176">
        <v>293.70999999999998</v>
      </c>
      <c r="S5302" s="176"/>
      <c r="T5302" s="190"/>
      <c r="U5302" s="191"/>
      <c r="V5302" s="191">
        <v>2129.4</v>
      </c>
      <c r="W5302">
        <v>104</v>
      </c>
      <c r="X5302" s="186" t="s">
        <v>3451</v>
      </c>
      <c r="Y5302" s="187" t="s">
        <v>55</v>
      </c>
      <c r="Z5302" s="311">
        <v>259</v>
      </c>
      <c r="AB5302" t="str">
        <f>IF(Table1[[#This Row],[TIPO2]]="costo", VLOOKUP(Table1[[#This Row],[PARTIDA PRESUPUESTAL]],'Cost Report'!G:G,1,0),"Balance")</f>
        <v>2494-027</v>
      </c>
      <c r="AD5302" s="159">
        <f>+Table1[[#This Row],[SUBTOTAL]]+Table1[[#This Row],[IVA]]-Table1[[#This Row],[RET IVA]]-Table1[[#This Row],[RET ISR]]-Table1[[#This Row],[TOTAL]]</f>
        <v>0</v>
      </c>
      <c r="AG5302" t="s">
        <v>3420</v>
      </c>
      <c r="AK5302" s="306" t="str">
        <f>IF(ISNUMBER(Table1[[#This Row],[FECHA DE RECIBIDO]]), Table1[[#This Row],[FECHA DE RECIBIDO]]-DATE(2023,8,30), "")</f>
        <v/>
      </c>
    </row>
    <row r="5303" spans="1:37" ht="16.05" customHeight="1">
      <c r="A5303" s="172" t="s">
        <v>4857</v>
      </c>
      <c r="B5303" s="178">
        <v>1830</v>
      </c>
      <c r="C5303" s="179" t="s">
        <v>1517</v>
      </c>
      <c r="D5303">
        <v>3583</v>
      </c>
      <c r="E5303" s="125" t="s">
        <v>1614</v>
      </c>
      <c r="F5303" s="178" t="s">
        <v>1607</v>
      </c>
      <c r="G5303" s="178" t="s">
        <v>134</v>
      </c>
      <c r="H5303">
        <v>172</v>
      </c>
      <c r="I5303" s="178" t="s">
        <v>1546</v>
      </c>
      <c r="J5303" s="320" t="s">
        <v>214</v>
      </c>
      <c r="K5303" s="178" t="s">
        <v>4871</v>
      </c>
      <c r="L5303" s="125" t="s">
        <v>4849</v>
      </c>
      <c r="M5303">
        <v>229</v>
      </c>
      <c r="N5303" s="182">
        <v>17</v>
      </c>
      <c r="O5303">
        <v>3414</v>
      </c>
      <c r="P5303" s="132" t="s">
        <v>77</v>
      </c>
      <c r="Q5303" s="176">
        <v>344.44</v>
      </c>
      <c r="R5303" s="176">
        <v>55.11</v>
      </c>
      <c r="S5303" s="176"/>
      <c r="T5303" s="190"/>
      <c r="U5303" s="191"/>
      <c r="V5303" s="191">
        <v>399.55</v>
      </c>
      <c r="W5303">
        <v>104</v>
      </c>
      <c r="X5303" s="186" t="s">
        <v>3451</v>
      </c>
      <c r="Y5303" s="187" t="s">
        <v>55</v>
      </c>
      <c r="Z5303" s="311">
        <v>259</v>
      </c>
      <c r="AB5303" t="str">
        <f>IF(Table1[[#This Row],[TIPO2]]="costo", VLOOKUP(Table1[[#This Row],[PARTIDA PRESUPUESTAL]],'Cost Report'!G:G,1,0),"Balance")</f>
        <v>2494-027</v>
      </c>
      <c r="AD5303" s="159">
        <f>+Table1[[#This Row],[SUBTOTAL]]+Table1[[#This Row],[IVA]]-Table1[[#This Row],[RET IVA]]-Table1[[#This Row],[RET ISR]]-Table1[[#This Row],[TOTAL]]</f>
        <v>0</v>
      </c>
      <c r="AG5303" t="s">
        <v>3420</v>
      </c>
      <c r="AK5303" s="306" t="str">
        <f>IF(ISNUMBER(Table1[[#This Row],[FECHA DE RECIBIDO]]), Table1[[#This Row],[FECHA DE RECIBIDO]]-DATE(2023,8,30), "")</f>
        <v/>
      </c>
    </row>
    <row r="5304" spans="1:37" ht="16.05" customHeight="1">
      <c r="A5304" s="172" t="s">
        <v>4857</v>
      </c>
      <c r="B5304" s="178">
        <v>1830</v>
      </c>
      <c r="C5304" s="179" t="s">
        <v>1517</v>
      </c>
      <c r="D5304">
        <v>3584</v>
      </c>
      <c r="E5304" s="125" t="s">
        <v>3363</v>
      </c>
      <c r="F5304" s="178" t="s">
        <v>1607</v>
      </c>
      <c r="G5304" s="178" t="s">
        <v>134</v>
      </c>
      <c r="H5304">
        <v>99</v>
      </c>
      <c r="I5304" s="178" t="s">
        <v>1546</v>
      </c>
      <c r="J5304" s="320" t="s">
        <v>214</v>
      </c>
      <c r="K5304" s="178" t="s">
        <v>4871</v>
      </c>
      <c r="L5304" s="125" t="s">
        <v>4849</v>
      </c>
      <c r="M5304">
        <v>134</v>
      </c>
      <c r="N5304" s="182">
        <v>17</v>
      </c>
      <c r="O5304">
        <v>3415</v>
      </c>
      <c r="P5304" s="132" t="s">
        <v>77</v>
      </c>
      <c r="Q5304" s="176">
        <v>399.57</v>
      </c>
      <c r="R5304" s="176">
        <v>63.93</v>
      </c>
      <c r="S5304" s="176"/>
      <c r="T5304" s="190"/>
      <c r="U5304" s="191"/>
      <c r="V5304" s="191">
        <v>463.5</v>
      </c>
      <c r="W5304">
        <v>104</v>
      </c>
      <c r="X5304" s="186" t="s">
        <v>3451</v>
      </c>
      <c r="Y5304" s="187" t="s">
        <v>55</v>
      </c>
      <c r="Z5304" s="311">
        <v>260</v>
      </c>
      <c r="AB5304" t="str">
        <f>IF(Table1[[#This Row],[TIPO2]]="costo", VLOOKUP(Table1[[#This Row],[PARTIDA PRESUPUESTAL]],'Cost Report'!G:G,1,0),"Balance")</f>
        <v>2494-027</v>
      </c>
      <c r="AD5304" s="159">
        <f>+Table1[[#This Row],[SUBTOTAL]]+Table1[[#This Row],[IVA]]-Table1[[#This Row],[RET IVA]]-Table1[[#This Row],[RET ISR]]-Table1[[#This Row],[TOTAL]]</f>
        <v>0</v>
      </c>
      <c r="AG5304" t="s">
        <v>3420</v>
      </c>
      <c r="AK5304" s="306" t="str">
        <f>IF(ISNUMBER(Table1[[#This Row],[FECHA DE RECIBIDO]]), Table1[[#This Row],[FECHA DE RECIBIDO]]-DATE(2023,8,30), "")</f>
        <v/>
      </c>
    </row>
    <row r="5305" spans="1:37" ht="16.05" customHeight="1">
      <c r="A5305" s="172" t="s">
        <v>4857</v>
      </c>
      <c r="B5305" s="178">
        <v>1830</v>
      </c>
      <c r="C5305" s="179" t="s">
        <v>2532</v>
      </c>
      <c r="D5305">
        <v>3585</v>
      </c>
      <c r="E5305" s="125" t="s">
        <v>3354</v>
      </c>
      <c r="F5305" s="178" t="s">
        <v>1589</v>
      </c>
      <c r="G5305" s="178" t="s">
        <v>129</v>
      </c>
      <c r="H5305">
        <v>893</v>
      </c>
      <c r="I5305" s="178" t="s">
        <v>1546</v>
      </c>
      <c r="J5305" s="320" t="s">
        <v>214</v>
      </c>
      <c r="K5305" s="178" t="s">
        <v>4871</v>
      </c>
      <c r="L5305" s="125" t="s">
        <v>4849</v>
      </c>
      <c r="M5305">
        <v>1239</v>
      </c>
      <c r="N5305" s="182">
        <v>17</v>
      </c>
      <c r="O5305">
        <v>3416</v>
      </c>
      <c r="P5305" s="132" t="s">
        <v>77</v>
      </c>
      <c r="Q5305" s="176">
        <v>953.2</v>
      </c>
      <c r="R5305" s="176">
        <v>152.51</v>
      </c>
      <c r="S5305" s="176"/>
      <c r="T5305" s="190"/>
      <c r="U5305" s="191"/>
      <c r="V5305" s="191">
        <v>1105.71</v>
      </c>
      <c r="W5305">
        <v>104</v>
      </c>
      <c r="X5305" s="186" t="s">
        <v>3451</v>
      </c>
      <c r="Y5305" s="187" t="s">
        <v>55</v>
      </c>
      <c r="Z5305" s="311">
        <v>266</v>
      </c>
      <c r="AB5305" t="str">
        <f>IF(Table1[[#This Row],[TIPO2]]="costo", VLOOKUP(Table1[[#This Row],[PARTIDA PRESUPUESTAL]],'Cost Report'!G:G,1,0),"Balance")</f>
        <v>2494-043</v>
      </c>
      <c r="AD5305" s="159">
        <f>+Table1[[#This Row],[SUBTOTAL]]+Table1[[#This Row],[IVA]]-Table1[[#This Row],[RET IVA]]-Table1[[#This Row],[RET ISR]]-Table1[[#This Row],[TOTAL]]</f>
        <v>0</v>
      </c>
      <c r="AG5305" t="s">
        <v>3420</v>
      </c>
      <c r="AK5305" s="306" t="str">
        <f>IF(ISNUMBER(Table1[[#This Row],[FECHA DE RECIBIDO]]), Table1[[#This Row],[FECHA DE RECIBIDO]]-DATE(2023,8,30), "")</f>
        <v/>
      </c>
    </row>
    <row r="5306" spans="1:37" ht="16.05" customHeight="1">
      <c r="A5306" s="172" t="s">
        <v>4857</v>
      </c>
      <c r="B5306" s="178">
        <v>1830</v>
      </c>
      <c r="C5306" s="179" t="s">
        <v>1517</v>
      </c>
      <c r="D5306">
        <v>689</v>
      </c>
      <c r="E5306" s="125"/>
      <c r="F5306" s="178"/>
      <c r="G5306" s="178"/>
      <c r="H5306"/>
      <c r="I5306" s="178"/>
      <c r="J5306" s="320" t="s">
        <v>214</v>
      </c>
      <c r="K5306" s="178" t="s">
        <v>4871</v>
      </c>
      <c r="L5306" s="125" t="s">
        <v>4849</v>
      </c>
      <c r="M5306">
        <v>1240</v>
      </c>
      <c r="N5306" s="182">
        <v>17</v>
      </c>
      <c r="O5306">
        <v>3417</v>
      </c>
      <c r="P5306" s="132" t="s">
        <v>77</v>
      </c>
      <c r="Q5306" s="176">
        <v>486</v>
      </c>
      <c r="R5306" s="176"/>
      <c r="S5306" s="176"/>
      <c r="T5306" s="190"/>
      <c r="U5306" s="191"/>
      <c r="V5306" s="191">
        <v>486</v>
      </c>
      <c r="W5306">
        <v>104</v>
      </c>
      <c r="X5306" s="186" t="s">
        <v>3451</v>
      </c>
      <c r="Y5306" s="187" t="s">
        <v>55</v>
      </c>
      <c r="Z5306" s="311">
        <v>259</v>
      </c>
      <c r="AB5306" t="str">
        <f>IF(Table1[[#This Row],[TIPO2]]="costo", VLOOKUP(Table1[[#This Row],[PARTIDA PRESUPUESTAL]],'Cost Report'!G:G,1,0),"Balance")</f>
        <v>2494-027</v>
      </c>
      <c r="AD5306" s="159">
        <f>+Table1[[#This Row],[SUBTOTAL]]+Table1[[#This Row],[IVA]]-Table1[[#This Row],[RET IVA]]-Table1[[#This Row],[RET ISR]]-Table1[[#This Row],[TOTAL]]</f>
        <v>0</v>
      </c>
      <c r="AG5306" t="s">
        <v>3420</v>
      </c>
      <c r="AK5306" s="306" t="str">
        <f>IF(ISNUMBER(Table1[[#This Row],[FECHA DE RECIBIDO]]), Table1[[#This Row],[FECHA DE RECIBIDO]]-DATE(2023,8,30), "")</f>
        <v/>
      </c>
    </row>
    <row r="5307" spans="1:37" ht="16.05" customHeight="1">
      <c r="A5307" s="172" t="s">
        <v>4857</v>
      </c>
      <c r="B5307" s="178">
        <v>1830</v>
      </c>
      <c r="C5307" s="179" t="s">
        <v>1517</v>
      </c>
      <c r="D5307">
        <v>689</v>
      </c>
      <c r="E5307" s="125"/>
      <c r="F5307" s="178"/>
      <c r="G5307" s="178"/>
      <c r="H5307"/>
      <c r="I5307" s="178"/>
      <c r="J5307" s="320" t="s">
        <v>214</v>
      </c>
      <c r="K5307" s="178" t="s">
        <v>4871</v>
      </c>
      <c r="L5307" s="125" t="s">
        <v>4849</v>
      </c>
      <c r="M5307">
        <v>1241</v>
      </c>
      <c r="N5307" s="182">
        <v>17</v>
      </c>
      <c r="O5307">
        <v>3418</v>
      </c>
      <c r="P5307" s="132" t="s">
        <v>77</v>
      </c>
      <c r="Q5307" s="176">
        <v>330</v>
      </c>
      <c r="R5307" s="176"/>
      <c r="S5307" s="176"/>
      <c r="T5307" s="190"/>
      <c r="U5307" s="191"/>
      <c r="V5307" s="191">
        <v>330</v>
      </c>
      <c r="W5307">
        <v>104</v>
      </c>
      <c r="X5307" s="186" t="s">
        <v>3451</v>
      </c>
      <c r="Y5307" s="187" t="s">
        <v>55</v>
      </c>
      <c r="Z5307" s="311">
        <v>259</v>
      </c>
      <c r="AB5307" t="str">
        <f>IF(Table1[[#This Row],[TIPO2]]="costo", VLOOKUP(Table1[[#This Row],[PARTIDA PRESUPUESTAL]],'Cost Report'!G:G,1,0),"Balance")</f>
        <v>2494-027</v>
      </c>
      <c r="AD5307" s="159">
        <f>+Table1[[#This Row],[SUBTOTAL]]+Table1[[#This Row],[IVA]]-Table1[[#This Row],[RET IVA]]-Table1[[#This Row],[RET ISR]]-Table1[[#This Row],[TOTAL]]</f>
        <v>0</v>
      </c>
      <c r="AG5307" t="s">
        <v>3420</v>
      </c>
      <c r="AK5307" s="306" t="str">
        <f>IF(ISNUMBER(Table1[[#This Row],[FECHA DE RECIBIDO]]), Table1[[#This Row],[FECHA DE RECIBIDO]]-DATE(2023,8,30), "")</f>
        <v/>
      </c>
    </row>
    <row r="5308" spans="1:37" ht="16.05" customHeight="1">
      <c r="A5308" s="172" t="s">
        <v>4859</v>
      </c>
      <c r="B5308" s="178">
        <v>1831</v>
      </c>
      <c r="C5308" s="179" t="s">
        <v>2458</v>
      </c>
      <c r="D5308">
        <v>3586</v>
      </c>
      <c r="E5308" s="125" t="s">
        <v>1988</v>
      </c>
      <c r="F5308" s="178" t="s">
        <v>1607</v>
      </c>
      <c r="G5308" s="178" t="s">
        <v>134</v>
      </c>
      <c r="H5308">
        <v>891</v>
      </c>
      <c r="I5308" s="178" t="s">
        <v>1546</v>
      </c>
      <c r="J5308" s="320" t="s">
        <v>214</v>
      </c>
      <c r="K5308" s="178" t="s">
        <v>4871</v>
      </c>
      <c r="L5308" s="125" t="s">
        <v>4849</v>
      </c>
      <c r="M5308">
        <v>1237</v>
      </c>
      <c r="N5308" s="182">
        <v>17</v>
      </c>
      <c r="O5308">
        <v>3419</v>
      </c>
      <c r="P5308" s="132" t="s">
        <v>77</v>
      </c>
      <c r="Q5308" s="176">
        <v>386.38</v>
      </c>
      <c r="R5308" s="176">
        <v>61.82</v>
      </c>
      <c r="S5308" s="176"/>
      <c r="T5308" s="190"/>
      <c r="U5308" s="191"/>
      <c r="V5308" s="191">
        <v>448.2</v>
      </c>
      <c r="W5308">
        <v>166</v>
      </c>
      <c r="X5308" s="186" t="s">
        <v>3451</v>
      </c>
      <c r="Y5308" s="187" t="s">
        <v>55</v>
      </c>
      <c r="Z5308" s="311">
        <v>252</v>
      </c>
      <c r="AB5308" t="str">
        <f>IF(Table1[[#This Row],[TIPO2]]="costo", VLOOKUP(Table1[[#This Row],[PARTIDA PRESUPUESTAL]],'Cost Report'!G:G,1,0),"Balance")</f>
        <v>2311-003</v>
      </c>
      <c r="AD5308" s="159">
        <f>+Table1[[#This Row],[SUBTOTAL]]+Table1[[#This Row],[IVA]]-Table1[[#This Row],[RET IVA]]-Table1[[#This Row],[RET ISR]]-Table1[[#This Row],[TOTAL]]</f>
        <v>0</v>
      </c>
      <c r="AG5308" t="s">
        <v>3420</v>
      </c>
      <c r="AK5308" s="306" t="str">
        <f>IF(ISNUMBER(Table1[[#This Row],[FECHA DE RECIBIDO]]), Table1[[#This Row],[FECHA DE RECIBIDO]]-DATE(2023,8,30), "")</f>
        <v/>
      </c>
    </row>
    <row r="5309" spans="1:37" ht="16.05" customHeight="1">
      <c r="A5309" s="172" t="s">
        <v>4859</v>
      </c>
      <c r="B5309" s="178">
        <v>1831</v>
      </c>
      <c r="C5309" s="179" t="s">
        <v>2542</v>
      </c>
      <c r="D5309">
        <v>3587</v>
      </c>
      <c r="E5309" s="125" t="s">
        <v>1612</v>
      </c>
      <c r="F5309" s="178" t="s">
        <v>1607</v>
      </c>
      <c r="G5309" s="178" t="s">
        <v>134</v>
      </c>
      <c r="H5309">
        <v>894</v>
      </c>
      <c r="I5309" s="178" t="s">
        <v>1546</v>
      </c>
      <c r="J5309" s="320" t="s">
        <v>214</v>
      </c>
      <c r="K5309" s="178" t="s">
        <v>4871</v>
      </c>
      <c r="L5309" s="125" t="s">
        <v>4849</v>
      </c>
      <c r="M5309">
        <v>1242</v>
      </c>
      <c r="N5309" s="182">
        <v>17</v>
      </c>
      <c r="O5309">
        <v>3420</v>
      </c>
      <c r="P5309" s="132" t="s">
        <v>77</v>
      </c>
      <c r="Q5309" s="176">
        <v>775.86</v>
      </c>
      <c r="R5309" s="176">
        <v>124.14</v>
      </c>
      <c r="S5309" s="176"/>
      <c r="T5309" s="190"/>
      <c r="U5309" s="191"/>
      <c r="V5309" s="191">
        <v>900</v>
      </c>
      <c r="W5309">
        <v>166</v>
      </c>
      <c r="X5309" s="186" t="s">
        <v>3451</v>
      </c>
      <c r="Y5309" s="187" t="s">
        <v>55</v>
      </c>
      <c r="Z5309" s="311">
        <v>251</v>
      </c>
      <c r="AB5309" t="str">
        <f>IF(Table1[[#This Row],[TIPO2]]="costo", VLOOKUP(Table1[[#This Row],[PARTIDA PRESUPUESTAL]],'Cost Report'!G:G,1,0),"Balance")</f>
        <v>2494-063</v>
      </c>
      <c r="AD5309" s="159">
        <f>+Table1[[#This Row],[SUBTOTAL]]+Table1[[#This Row],[IVA]]-Table1[[#This Row],[RET IVA]]-Table1[[#This Row],[RET ISR]]-Table1[[#This Row],[TOTAL]]</f>
        <v>0</v>
      </c>
      <c r="AG5309" t="s">
        <v>3420</v>
      </c>
      <c r="AK5309" s="306" t="str">
        <f>IF(ISNUMBER(Table1[[#This Row],[FECHA DE RECIBIDO]]), Table1[[#This Row],[FECHA DE RECIBIDO]]-DATE(2023,8,30), "")</f>
        <v/>
      </c>
    </row>
    <row r="5310" spans="1:37" ht="16.05" customHeight="1">
      <c r="A5310" s="172" t="s">
        <v>4859</v>
      </c>
      <c r="B5310" s="178">
        <v>1831</v>
      </c>
      <c r="C5310" s="179" t="s">
        <v>2542</v>
      </c>
      <c r="D5310">
        <v>3588</v>
      </c>
      <c r="E5310" s="125" t="s">
        <v>1612</v>
      </c>
      <c r="F5310" s="178" t="s">
        <v>1607</v>
      </c>
      <c r="G5310" s="178" t="s">
        <v>134</v>
      </c>
      <c r="H5310">
        <v>894</v>
      </c>
      <c r="I5310" s="178" t="s">
        <v>1546</v>
      </c>
      <c r="J5310" s="320" t="s">
        <v>214</v>
      </c>
      <c r="K5310" s="178" t="s">
        <v>4871</v>
      </c>
      <c r="L5310" s="125" t="s">
        <v>4849</v>
      </c>
      <c r="M5310">
        <v>1242</v>
      </c>
      <c r="N5310" s="182">
        <v>17</v>
      </c>
      <c r="O5310">
        <v>3421</v>
      </c>
      <c r="P5310" s="132" t="s">
        <v>77</v>
      </c>
      <c r="Q5310" s="176">
        <v>1171.55</v>
      </c>
      <c r="R5310" s="176">
        <v>187.45</v>
      </c>
      <c r="S5310" s="176"/>
      <c r="T5310" s="190"/>
      <c r="U5310" s="191"/>
      <c r="V5310" s="191">
        <v>1359</v>
      </c>
      <c r="W5310">
        <v>166</v>
      </c>
      <c r="X5310" s="186" t="s">
        <v>3451</v>
      </c>
      <c r="Y5310" s="187" t="s">
        <v>55</v>
      </c>
      <c r="Z5310" s="311">
        <v>252</v>
      </c>
      <c r="AB5310" t="str">
        <f>IF(Table1[[#This Row],[TIPO2]]="costo", VLOOKUP(Table1[[#This Row],[PARTIDA PRESUPUESTAL]],'Cost Report'!G:G,1,0),"Balance")</f>
        <v>2494-063</v>
      </c>
      <c r="AD5310" s="159">
        <f>+Table1[[#This Row],[SUBTOTAL]]+Table1[[#This Row],[IVA]]-Table1[[#This Row],[RET IVA]]-Table1[[#This Row],[RET ISR]]-Table1[[#This Row],[TOTAL]]</f>
        <v>0</v>
      </c>
      <c r="AG5310" t="s">
        <v>3420</v>
      </c>
      <c r="AK5310" s="306" t="str">
        <f>IF(ISNUMBER(Table1[[#This Row],[FECHA DE RECIBIDO]]), Table1[[#This Row],[FECHA DE RECIBIDO]]-DATE(2023,8,30), "")</f>
        <v/>
      </c>
    </row>
    <row r="5311" spans="1:37" ht="16.05" customHeight="1">
      <c r="A5311" s="172" t="s">
        <v>4859</v>
      </c>
      <c r="B5311" s="178">
        <v>1831</v>
      </c>
      <c r="C5311" s="179" t="s">
        <v>2461</v>
      </c>
      <c r="D5311">
        <v>3589</v>
      </c>
      <c r="E5311" s="125" t="s">
        <v>3651</v>
      </c>
      <c r="F5311" s="178" t="s">
        <v>1593</v>
      </c>
      <c r="G5311" s="178" t="s">
        <v>109</v>
      </c>
      <c r="H5311">
        <v>895</v>
      </c>
      <c r="I5311" s="178" t="s">
        <v>1546</v>
      </c>
      <c r="J5311" s="320" t="s">
        <v>214</v>
      </c>
      <c r="K5311" s="178" t="s">
        <v>4871</v>
      </c>
      <c r="L5311" s="125" t="s">
        <v>4849</v>
      </c>
      <c r="M5311">
        <v>1243</v>
      </c>
      <c r="N5311" s="182">
        <v>17</v>
      </c>
      <c r="O5311">
        <v>3422</v>
      </c>
      <c r="P5311" s="132" t="s">
        <v>77</v>
      </c>
      <c r="Q5311" s="176">
        <v>5140</v>
      </c>
      <c r="R5311" s="176"/>
      <c r="S5311" s="176"/>
      <c r="T5311" s="190"/>
      <c r="U5311" s="191">
        <v>64.25</v>
      </c>
      <c r="V5311" s="191">
        <v>5075.75</v>
      </c>
      <c r="W5311">
        <v>166</v>
      </c>
      <c r="X5311" s="186" t="s">
        <v>3451</v>
      </c>
      <c r="Y5311" s="187" t="s">
        <v>55</v>
      </c>
      <c r="Z5311" s="311">
        <v>249</v>
      </c>
      <c r="AB5311" t="str">
        <f>IF(Table1[[#This Row],[TIPO2]]="costo", VLOOKUP(Table1[[#This Row],[PARTIDA PRESUPUESTAL]],'Cost Report'!G:G,1,0),"Balance")</f>
        <v>2385-003</v>
      </c>
      <c r="AD5311" s="159">
        <f>+Table1[[#This Row],[SUBTOTAL]]+Table1[[#This Row],[IVA]]-Table1[[#This Row],[RET IVA]]-Table1[[#This Row],[RET ISR]]-Table1[[#This Row],[TOTAL]]</f>
        <v>0</v>
      </c>
      <c r="AG5311" t="s">
        <v>3420</v>
      </c>
      <c r="AK5311" s="306" t="str">
        <f>IF(ISNUMBER(Table1[[#This Row],[FECHA DE RECIBIDO]]), Table1[[#This Row],[FECHA DE RECIBIDO]]-DATE(2023,8,30), "")</f>
        <v/>
      </c>
    </row>
    <row r="5312" spans="1:37" ht="16.05" customHeight="1">
      <c r="A5312" s="172" t="s">
        <v>4859</v>
      </c>
      <c r="B5312" s="178">
        <v>1831</v>
      </c>
      <c r="C5312" s="179" t="s">
        <v>2461</v>
      </c>
      <c r="D5312">
        <v>3590</v>
      </c>
      <c r="E5312" s="125" t="s">
        <v>1603</v>
      </c>
      <c r="F5312" s="178" t="s">
        <v>1607</v>
      </c>
      <c r="G5312" s="178" t="s">
        <v>134</v>
      </c>
      <c r="H5312">
        <v>99</v>
      </c>
      <c r="I5312" s="178" t="s">
        <v>1546</v>
      </c>
      <c r="J5312" s="320" t="s">
        <v>214</v>
      </c>
      <c r="K5312" s="178" t="s">
        <v>4871</v>
      </c>
      <c r="L5312" s="125" t="s">
        <v>4849</v>
      </c>
      <c r="M5312">
        <v>134</v>
      </c>
      <c r="N5312" s="182">
        <v>17</v>
      </c>
      <c r="O5312">
        <v>3423</v>
      </c>
      <c r="P5312" s="132" t="s">
        <v>77</v>
      </c>
      <c r="Q5312" s="176">
        <v>688.79</v>
      </c>
      <c r="R5312" s="176">
        <v>110.21</v>
      </c>
      <c r="S5312" s="176"/>
      <c r="T5312" s="190"/>
      <c r="U5312" s="191"/>
      <c r="V5312" s="191">
        <v>799</v>
      </c>
      <c r="W5312">
        <v>166</v>
      </c>
      <c r="X5312" s="186" t="s">
        <v>3451</v>
      </c>
      <c r="Y5312" s="187" t="s">
        <v>55</v>
      </c>
      <c r="Z5312" s="311">
        <v>250</v>
      </c>
      <c r="AB5312" t="str">
        <f>IF(Table1[[#This Row],[TIPO2]]="costo", VLOOKUP(Table1[[#This Row],[PARTIDA PRESUPUESTAL]],'Cost Report'!G:G,1,0),"Balance")</f>
        <v>2385-003</v>
      </c>
      <c r="AD5312" s="159">
        <f>+Table1[[#This Row],[SUBTOTAL]]+Table1[[#This Row],[IVA]]-Table1[[#This Row],[RET IVA]]-Table1[[#This Row],[RET ISR]]-Table1[[#This Row],[TOTAL]]</f>
        <v>0</v>
      </c>
      <c r="AG5312" t="s">
        <v>3420</v>
      </c>
      <c r="AK5312" s="306" t="str">
        <f>IF(ISNUMBER(Table1[[#This Row],[FECHA DE RECIBIDO]]), Table1[[#This Row],[FECHA DE RECIBIDO]]-DATE(2023,8,30), "")</f>
        <v/>
      </c>
    </row>
    <row r="5313" spans="1:37" ht="16.05" customHeight="1">
      <c r="A5313" s="172" t="s">
        <v>4859</v>
      </c>
      <c r="B5313" s="178">
        <v>1831</v>
      </c>
      <c r="C5313" s="179" t="s">
        <v>2455</v>
      </c>
      <c r="D5313">
        <v>3591</v>
      </c>
      <c r="E5313" s="125" t="s">
        <v>1603</v>
      </c>
      <c r="F5313" s="178" t="s">
        <v>1589</v>
      </c>
      <c r="G5313" s="178" t="s">
        <v>129</v>
      </c>
      <c r="H5313">
        <v>285</v>
      </c>
      <c r="I5313" s="178" t="s">
        <v>1546</v>
      </c>
      <c r="J5313" s="320" t="s">
        <v>214</v>
      </c>
      <c r="K5313" s="178" t="s">
        <v>4871</v>
      </c>
      <c r="L5313" s="125" t="s">
        <v>4849</v>
      </c>
      <c r="M5313">
        <v>379</v>
      </c>
      <c r="N5313" s="182">
        <v>17</v>
      </c>
      <c r="O5313">
        <v>3424</v>
      </c>
      <c r="P5313" s="132" t="s">
        <v>77</v>
      </c>
      <c r="Q5313" s="176">
        <v>586.54999999999995</v>
      </c>
      <c r="R5313" s="176">
        <v>15.44</v>
      </c>
      <c r="S5313" s="176"/>
      <c r="T5313" s="190"/>
      <c r="U5313" s="191"/>
      <c r="V5313" s="191">
        <v>601.99</v>
      </c>
      <c r="W5313">
        <v>166</v>
      </c>
      <c r="X5313" s="186" t="s">
        <v>3451</v>
      </c>
      <c r="Y5313" s="187" t="s">
        <v>55</v>
      </c>
      <c r="Z5313" s="311">
        <v>266</v>
      </c>
      <c r="AB5313" t="str">
        <f>IF(Table1[[#This Row],[TIPO2]]="costo", VLOOKUP(Table1[[#This Row],[PARTIDA PRESUPUESTAL]],'Cost Report'!G:G,1,0),"Balance")</f>
        <v>2285-003</v>
      </c>
      <c r="AD5313" s="159">
        <f>+Table1[[#This Row],[SUBTOTAL]]+Table1[[#This Row],[IVA]]-Table1[[#This Row],[RET IVA]]-Table1[[#This Row],[RET ISR]]-Table1[[#This Row],[TOTAL]]</f>
        <v>0</v>
      </c>
      <c r="AG5313" t="s">
        <v>3420</v>
      </c>
      <c r="AK5313" s="306" t="str">
        <f>IF(ISNUMBER(Table1[[#This Row],[FECHA DE RECIBIDO]]), Table1[[#This Row],[FECHA DE RECIBIDO]]-DATE(2023,8,30), "")</f>
        <v/>
      </c>
    </row>
    <row r="5314" spans="1:37" ht="16.05" customHeight="1">
      <c r="A5314" s="172" t="s">
        <v>4859</v>
      </c>
      <c r="B5314" s="178">
        <v>1831</v>
      </c>
      <c r="C5314" s="179" t="s">
        <v>2455</v>
      </c>
      <c r="D5314">
        <v>689</v>
      </c>
      <c r="E5314" s="125"/>
      <c r="F5314" s="178"/>
      <c r="G5314" s="178"/>
      <c r="H5314"/>
      <c r="I5314" s="178"/>
      <c r="J5314" s="320" t="s">
        <v>214</v>
      </c>
      <c r="K5314" s="178" t="s">
        <v>4871</v>
      </c>
      <c r="L5314" s="125" t="s">
        <v>4849</v>
      </c>
      <c r="M5314">
        <v>1244</v>
      </c>
      <c r="N5314" s="182">
        <v>17</v>
      </c>
      <c r="O5314">
        <v>522</v>
      </c>
      <c r="P5314" s="132" t="s">
        <v>77</v>
      </c>
      <c r="Q5314" s="176">
        <v>31.32</v>
      </c>
      <c r="R5314" s="176"/>
      <c r="S5314" s="176"/>
      <c r="T5314" s="190"/>
      <c r="U5314" s="191"/>
      <c r="V5314" s="191">
        <v>31.32</v>
      </c>
      <c r="W5314">
        <v>166</v>
      </c>
      <c r="X5314" s="186" t="s">
        <v>3451</v>
      </c>
      <c r="Y5314" s="187" t="s">
        <v>55</v>
      </c>
      <c r="Z5314" s="311">
        <v>252</v>
      </c>
      <c r="AB5314" t="str">
        <f>IF(Table1[[#This Row],[TIPO2]]="costo", VLOOKUP(Table1[[#This Row],[PARTIDA PRESUPUESTAL]],'Cost Report'!G:G,1,0),"Balance")</f>
        <v>2285-003</v>
      </c>
      <c r="AD5314" s="159">
        <f>+Table1[[#This Row],[SUBTOTAL]]+Table1[[#This Row],[IVA]]-Table1[[#This Row],[RET IVA]]-Table1[[#This Row],[RET ISR]]-Table1[[#This Row],[TOTAL]]</f>
        <v>0</v>
      </c>
      <c r="AG5314" t="s">
        <v>3420</v>
      </c>
      <c r="AK5314" s="306" t="str">
        <f>IF(ISNUMBER(Table1[[#This Row],[FECHA DE RECIBIDO]]), Table1[[#This Row],[FECHA DE RECIBIDO]]-DATE(2023,8,30), "")</f>
        <v/>
      </c>
    </row>
    <row r="5315" spans="1:37" ht="16.05" customHeight="1">
      <c r="A5315" s="172" t="s">
        <v>4859</v>
      </c>
      <c r="B5315" s="178">
        <v>1831</v>
      </c>
      <c r="C5315" s="179" t="s">
        <v>2455</v>
      </c>
      <c r="D5315">
        <v>689</v>
      </c>
      <c r="E5315" s="125"/>
      <c r="F5315" s="178"/>
      <c r="G5315" s="178"/>
      <c r="H5315"/>
      <c r="I5315" s="178"/>
      <c r="J5315" s="320" t="s">
        <v>214</v>
      </c>
      <c r="K5315" s="178" t="s">
        <v>4871</v>
      </c>
      <c r="L5315" s="125" t="s">
        <v>4849</v>
      </c>
      <c r="M5315">
        <v>1245</v>
      </c>
      <c r="N5315" s="182">
        <v>17</v>
      </c>
      <c r="O5315">
        <v>3055</v>
      </c>
      <c r="P5315" s="132" t="s">
        <v>77</v>
      </c>
      <c r="Q5315" s="176">
        <v>20</v>
      </c>
      <c r="R5315" s="176"/>
      <c r="S5315" s="176"/>
      <c r="T5315" s="190"/>
      <c r="U5315" s="191"/>
      <c r="V5315" s="191">
        <v>20</v>
      </c>
      <c r="W5315">
        <v>166</v>
      </c>
      <c r="X5315" s="186" t="s">
        <v>3451</v>
      </c>
      <c r="Y5315" s="187" t="s">
        <v>55</v>
      </c>
      <c r="Z5315" s="311">
        <v>246</v>
      </c>
      <c r="AB5315" t="str">
        <f>IF(Table1[[#This Row],[TIPO2]]="costo", VLOOKUP(Table1[[#This Row],[PARTIDA PRESUPUESTAL]],'Cost Report'!G:G,1,0),"Balance")</f>
        <v>2285-003</v>
      </c>
      <c r="AD5315" s="159">
        <f>+Table1[[#This Row],[SUBTOTAL]]+Table1[[#This Row],[IVA]]-Table1[[#This Row],[RET IVA]]-Table1[[#This Row],[RET ISR]]-Table1[[#This Row],[TOTAL]]</f>
        <v>0</v>
      </c>
      <c r="AG5315" t="s">
        <v>3420</v>
      </c>
      <c r="AK5315" s="306" t="str">
        <f>IF(ISNUMBER(Table1[[#This Row],[FECHA DE RECIBIDO]]), Table1[[#This Row],[FECHA DE RECIBIDO]]-DATE(2023,8,30), "")</f>
        <v/>
      </c>
    </row>
    <row r="5316" spans="1:37" ht="16.05" customHeight="1">
      <c r="A5316" s="172" t="s">
        <v>4859</v>
      </c>
      <c r="B5316" s="178">
        <v>1831</v>
      </c>
      <c r="C5316" s="179" t="s">
        <v>2455</v>
      </c>
      <c r="D5316">
        <v>689</v>
      </c>
      <c r="E5316" s="125"/>
      <c r="F5316" s="178"/>
      <c r="G5316" s="178"/>
      <c r="H5316"/>
      <c r="I5316" s="178"/>
      <c r="J5316" s="320" t="s">
        <v>214</v>
      </c>
      <c r="K5316" s="178" t="s">
        <v>4871</v>
      </c>
      <c r="L5316" s="125" t="s">
        <v>4849</v>
      </c>
      <c r="M5316">
        <v>1246</v>
      </c>
      <c r="N5316" s="182">
        <v>17</v>
      </c>
      <c r="O5316">
        <v>3055</v>
      </c>
      <c r="P5316" s="132" t="s">
        <v>77</v>
      </c>
      <c r="Q5316" s="176">
        <v>50</v>
      </c>
      <c r="R5316" s="176"/>
      <c r="S5316" s="176"/>
      <c r="T5316" s="190"/>
      <c r="U5316" s="191"/>
      <c r="V5316" s="191">
        <v>50</v>
      </c>
      <c r="W5316">
        <v>166</v>
      </c>
      <c r="X5316" s="186" t="s">
        <v>3451</v>
      </c>
      <c r="Y5316" s="187" t="s">
        <v>55</v>
      </c>
      <c r="Z5316" s="311">
        <v>246</v>
      </c>
      <c r="AB5316" t="str">
        <f>IF(Table1[[#This Row],[TIPO2]]="costo", VLOOKUP(Table1[[#This Row],[PARTIDA PRESUPUESTAL]],'Cost Report'!G:G,1,0),"Balance")</f>
        <v>2285-003</v>
      </c>
      <c r="AD5316" s="159">
        <f>+Table1[[#This Row],[SUBTOTAL]]+Table1[[#This Row],[IVA]]-Table1[[#This Row],[RET IVA]]-Table1[[#This Row],[RET ISR]]-Table1[[#This Row],[TOTAL]]</f>
        <v>0</v>
      </c>
      <c r="AG5316" t="s">
        <v>3420</v>
      </c>
      <c r="AK5316" s="306" t="str">
        <f>IF(ISNUMBER(Table1[[#This Row],[FECHA DE RECIBIDO]]), Table1[[#This Row],[FECHA DE RECIBIDO]]-DATE(2023,8,30), "")</f>
        <v/>
      </c>
    </row>
    <row r="5317" spans="1:37" ht="16.05" customHeight="1">
      <c r="A5317" s="172" t="s">
        <v>4859</v>
      </c>
      <c r="B5317" s="178">
        <v>1831</v>
      </c>
      <c r="C5317" s="179" t="s">
        <v>2455</v>
      </c>
      <c r="D5317">
        <v>689</v>
      </c>
      <c r="E5317" s="125"/>
      <c r="F5317" s="178"/>
      <c r="G5317" s="178"/>
      <c r="H5317"/>
      <c r="I5317" s="178"/>
      <c r="J5317" s="320" t="s">
        <v>214</v>
      </c>
      <c r="K5317" s="178" t="s">
        <v>4871</v>
      </c>
      <c r="L5317" s="125" t="s">
        <v>4849</v>
      </c>
      <c r="M5317">
        <v>1246</v>
      </c>
      <c r="N5317" s="182">
        <v>17</v>
      </c>
      <c r="O5317">
        <v>3055</v>
      </c>
      <c r="P5317" s="132" t="s">
        <v>77</v>
      </c>
      <c r="Q5317" s="176">
        <v>110</v>
      </c>
      <c r="R5317" s="176"/>
      <c r="S5317" s="176"/>
      <c r="T5317" s="190"/>
      <c r="U5317" s="191"/>
      <c r="V5317" s="191">
        <v>110</v>
      </c>
      <c r="W5317">
        <v>166</v>
      </c>
      <c r="X5317" s="186" t="s">
        <v>3451</v>
      </c>
      <c r="Y5317" s="187" t="s">
        <v>55</v>
      </c>
      <c r="Z5317" s="311" t="s">
        <v>214</v>
      </c>
      <c r="AB5317" t="str">
        <f>IF(Table1[[#This Row],[TIPO2]]="costo", VLOOKUP(Table1[[#This Row],[PARTIDA PRESUPUESTAL]],'Cost Report'!G:G,1,0),"Balance")</f>
        <v>2285-003</v>
      </c>
      <c r="AD5317" s="159">
        <f>+Table1[[#This Row],[SUBTOTAL]]+Table1[[#This Row],[IVA]]-Table1[[#This Row],[RET IVA]]-Table1[[#This Row],[RET ISR]]-Table1[[#This Row],[TOTAL]]</f>
        <v>0</v>
      </c>
      <c r="AG5317" t="s">
        <v>3420</v>
      </c>
      <c r="AK5317" s="306" t="str">
        <f>IF(ISNUMBER(Table1[[#This Row],[FECHA DE RECIBIDO]]), Table1[[#This Row],[FECHA DE RECIBIDO]]-DATE(2023,8,30), "")</f>
        <v/>
      </c>
    </row>
    <row r="5318" spans="1:37" ht="16.05" customHeight="1">
      <c r="A5318" s="172" t="s">
        <v>4860</v>
      </c>
      <c r="B5318" s="178">
        <v>1832</v>
      </c>
      <c r="C5318" s="179" t="s">
        <v>2565</v>
      </c>
      <c r="D5318">
        <v>3592</v>
      </c>
      <c r="E5318" s="125" t="s">
        <v>1993</v>
      </c>
      <c r="F5318" s="178" t="s">
        <v>1607</v>
      </c>
      <c r="G5318" s="178" t="s">
        <v>134</v>
      </c>
      <c r="H5318">
        <v>896</v>
      </c>
      <c r="I5318" s="178" t="s">
        <v>1546</v>
      </c>
      <c r="J5318" s="320" t="s">
        <v>214</v>
      </c>
      <c r="K5318" s="178" t="s">
        <v>4871</v>
      </c>
      <c r="L5318" s="125" t="s">
        <v>4849</v>
      </c>
      <c r="M5318">
        <v>1247</v>
      </c>
      <c r="N5318" s="182">
        <v>17</v>
      </c>
      <c r="O5318">
        <v>3425</v>
      </c>
      <c r="P5318" s="132" t="s">
        <v>77</v>
      </c>
      <c r="Q5318" s="176">
        <v>624</v>
      </c>
      <c r="R5318" s="176"/>
      <c r="S5318" s="176"/>
      <c r="T5318" s="190"/>
      <c r="U5318" s="191"/>
      <c r="V5318" s="191">
        <v>624</v>
      </c>
      <c r="W5318">
        <v>147</v>
      </c>
      <c r="X5318" s="186" t="s">
        <v>3451</v>
      </c>
      <c r="Y5318" s="187" t="s">
        <v>55</v>
      </c>
      <c r="Z5318" s="311">
        <v>254</v>
      </c>
      <c r="AB5318" t="str">
        <f>IF(Table1[[#This Row],[TIPO2]]="costo", VLOOKUP(Table1[[#This Row],[PARTIDA PRESUPUESTAL]],'Cost Report'!G:G,1,0),"Balance")</f>
        <v>2585-003</v>
      </c>
      <c r="AD5318" s="159">
        <f>+Table1[[#This Row],[SUBTOTAL]]+Table1[[#This Row],[IVA]]-Table1[[#This Row],[RET IVA]]-Table1[[#This Row],[RET ISR]]-Table1[[#This Row],[TOTAL]]</f>
        <v>0</v>
      </c>
      <c r="AG5318" t="s">
        <v>3420</v>
      </c>
      <c r="AK5318" s="306" t="str">
        <f>IF(ISNUMBER(Table1[[#This Row],[FECHA DE RECIBIDO]]), Table1[[#This Row],[FECHA DE RECIBIDO]]-DATE(2023,8,30), "")</f>
        <v/>
      </c>
    </row>
    <row r="5319" spans="1:37" ht="16.05" customHeight="1">
      <c r="A5319" s="172" t="s">
        <v>4860</v>
      </c>
      <c r="B5319" s="178">
        <v>1832</v>
      </c>
      <c r="C5319" s="179" t="s">
        <v>2565</v>
      </c>
      <c r="D5319">
        <v>3593</v>
      </c>
      <c r="E5319" s="125" t="s">
        <v>1600</v>
      </c>
      <c r="F5319" s="178" t="s">
        <v>1607</v>
      </c>
      <c r="G5319" s="178" t="s">
        <v>134</v>
      </c>
      <c r="H5319">
        <v>41</v>
      </c>
      <c r="I5319" s="178" t="s">
        <v>1546</v>
      </c>
      <c r="J5319" s="320" t="s">
        <v>214</v>
      </c>
      <c r="K5319" s="178" t="s">
        <v>4871</v>
      </c>
      <c r="L5319" s="125" t="s">
        <v>4849</v>
      </c>
      <c r="M5319">
        <v>323</v>
      </c>
      <c r="N5319" s="182">
        <v>17</v>
      </c>
      <c r="O5319">
        <v>3426</v>
      </c>
      <c r="P5319" s="132" t="s">
        <v>77</v>
      </c>
      <c r="Q5319" s="176">
        <v>246.21</v>
      </c>
      <c r="R5319" s="176">
        <v>21.79</v>
      </c>
      <c r="S5319" s="176"/>
      <c r="T5319" s="190"/>
      <c r="U5319" s="191"/>
      <c r="V5319" s="191">
        <v>268</v>
      </c>
      <c r="W5319">
        <v>147</v>
      </c>
      <c r="X5319" s="186" t="s">
        <v>3451</v>
      </c>
      <c r="Y5319" s="187" t="s">
        <v>55</v>
      </c>
      <c r="Z5319" s="311">
        <v>254</v>
      </c>
      <c r="AB5319" t="str">
        <f>IF(Table1[[#This Row],[TIPO2]]="costo", VLOOKUP(Table1[[#This Row],[PARTIDA PRESUPUESTAL]],'Cost Report'!G:G,1,0),"Balance")</f>
        <v>2585-003</v>
      </c>
      <c r="AD5319" s="159">
        <f>+Table1[[#This Row],[SUBTOTAL]]+Table1[[#This Row],[IVA]]-Table1[[#This Row],[RET IVA]]-Table1[[#This Row],[RET ISR]]-Table1[[#This Row],[TOTAL]]</f>
        <v>0</v>
      </c>
      <c r="AG5319" t="s">
        <v>3420</v>
      </c>
      <c r="AK5319" s="306" t="str">
        <f>IF(ISNUMBER(Table1[[#This Row],[FECHA DE RECIBIDO]]), Table1[[#This Row],[FECHA DE RECIBIDO]]-DATE(2023,8,30), "")</f>
        <v/>
      </c>
    </row>
    <row r="5320" spans="1:37" ht="16.05" customHeight="1">
      <c r="A5320" s="172" t="s">
        <v>4860</v>
      </c>
      <c r="B5320" s="178">
        <v>1832</v>
      </c>
      <c r="C5320" s="179" t="s">
        <v>2566</v>
      </c>
      <c r="D5320">
        <v>3594</v>
      </c>
      <c r="E5320" s="125" t="s">
        <v>3185</v>
      </c>
      <c r="F5320" s="178" t="s">
        <v>1607</v>
      </c>
      <c r="G5320" s="178" t="s">
        <v>134</v>
      </c>
      <c r="H5320">
        <v>273</v>
      </c>
      <c r="I5320" s="178" t="s">
        <v>1546</v>
      </c>
      <c r="J5320" s="320" t="s">
        <v>214</v>
      </c>
      <c r="K5320" s="178" t="s">
        <v>4871</v>
      </c>
      <c r="L5320" s="125" t="s">
        <v>4849</v>
      </c>
      <c r="M5320">
        <v>364</v>
      </c>
      <c r="N5320" s="182">
        <v>17</v>
      </c>
      <c r="O5320">
        <v>3427</v>
      </c>
      <c r="P5320" s="132" t="s">
        <v>77</v>
      </c>
      <c r="Q5320" s="176">
        <v>1535.17</v>
      </c>
      <c r="R5320" s="176">
        <v>245.63</v>
      </c>
      <c r="S5320" s="176"/>
      <c r="T5320" s="190"/>
      <c r="U5320" s="191"/>
      <c r="V5320" s="191">
        <v>1780.8000000000002</v>
      </c>
      <c r="W5320">
        <v>147</v>
      </c>
      <c r="X5320" s="186" t="s">
        <v>3451</v>
      </c>
      <c r="Y5320" s="187" t="s">
        <v>55</v>
      </c>
      <c r="Z5320" s="311">
        <v>254</v>
      </c>
      <c r="AB5320" t="str">
        <f>IF(Table1[[#This Row],[TIPO2]]="costo", VLOOKUP(Table1[[#This Row],[PARTIDA PRESUPUESTAL]],'Cost Report'!G:G,1,0),"Balance")</f>
        <v>2594-003</v>
      </c>
      <c r="AD5320" s="159">
        <f>+Table1[[#This Row],[SUBTOTAL]]+Table1[[#This Row],[IVA]]-Table1[[#This Row],[RET IVA]]-Table1[[#This Row],[RET ISR]]-Table1[[#This Row],[TOTAL]]</f>
        <v>0</v>
      </c>
      <c r="AG5320" t="s">
        <v>3420</v>
      </c>
      <c r="AK5320" s="306" t="str">
        <f>IF(ISNUMBER(Table1[[#This Row],[FECHA DE RECIBIDO]]), Table1[[#This Row],[FECHA DE RECIBIDO]]-DATE(2023,8,30), "")</f>
        <v/>
      </c>
    </row>
    <row r="5321" spans="1:37" ht="16.05" customHeight="1">
      <c r="A5321" s="172" t="s">
        <v>4860</v>
      </c>
      <c r="B5321" s="178">
        <v>1832</v>
      </c>
      <c r="C5321" s="179" t="s">
        <v>2566</v>
      </c>
      <c r="D5321">
        <v>3595</v>
      </c>
      <c r="E5321" s="125" t="s">
        <v>3185</v>
      </c>
      <c r="F5321" s="178" t="s">
        <v>1607</v>
      </c>
      <c r="G5321" s="178" t="s">
        <v>134</v>
      </c>
      <c r="H5321">
        <v>273</v>
      </c>
      <c r="I5321" s="178" t="s">
        <v>1546</v>
      </c>
      <c r="J5321" s="320" t="s">
        <v>214</v>
      </c>
      <c r="K5321" s="178" t="s">
        <v>4871</v>
      </c>
      <c r="L5321" s="125" t="s">
        <v>4849</v>
      </c>
      <c r="M5321">
        <v>364</v>
      </c>
      <c r="N5321" s="182">
        <v>17</v>
      </c>
      <c r="O5321">
        <v>3428</v>
      </c>
      <c r="P5321" s="132" t="s">
        <v>77</v>
      </c>
      <c r="Q5321" s="176">
        <v>823.71</v>
      </c>
      <c r="R5321" s="176">
        <v>131.79</v>
      </c>
      <c r="S5321" s="176"/>
      <c r="T5321" s="190"/>
      <c r="U5321" s="191"/>
      <c r="V5321" s="191">
        <v>955.5</v>
      </c>
      <c r="W5321">
        <v>147</v>
      </c>
      <c r="X5321" s="186" t="s">
        <v>3451</v>
      </c>
      <c r="Y5321" s="187" t="s">
        <v>55</v>
      </c>
      <c r="Z5321" s="311">
        <v>254</v>
      </c>
      <c r="AB5321" t="str">
        <f>IF(Table1[[#This Row],[TIPO2]]="costo", VLOOKUP(Table1[[#This Row],[PARTIDA PRESUPUESTAL]],'Cost Report'!G:G,1,0),"Balance")</f>
        <v>2594-003</v>
      </c>
      <c r="AD5321" s="159">
        <f>+Table1[[#This Row],[SUBTOTAL]]+Table1[[#This Row],[IVA]]-Table1[[#This Row],[RET IVA]]-Table1[[#This Row],[RET ISR]]-Table1[[#This Row],[TOTAL]]</f>
        <v>0</v>
      </c>
      <c r="AG5321" t="s">
        <v>3420</v>
      </c>
      <c r="AK5321" s="306" t="str">
        <f>IF(ISNUMBER(Table1[[#This Row],[FECHA DE RECIBIDO]]), Table1[[#This Row],[FECHA DE RECIBIDO]]-DATE(2023,8,30), "")</f>
        <v/>
      </c>
    </row>
    <row r="5322" spans="1:37" ht="16.05" customHeight="1">
      <c r="A5322" s="172" t="s">
        <v>4860</v>
      </c>
      <c r="B5322" s="178">
        <v>1832</v>
      </c>
      <c r="C5322" s="179" t="s">
        <v>2565</v>
      </c>
      <c r="D5322">
        <v>3596</v>
      </c>
      <c r="E5322" s="125" t="s">
        <v>1994</v>
      </c>
      <c r="F5322" s="178" t="s">
        <v>1382</v>
      </c>
      <c r="G5322" s="178" t="e">
        <v>#N/A</v>
      </c>
      <c r="H5322">
        <v>31</v>
      </c>
      <c r="I5322" s="178" t="s">
        <v>1546</v>
      </c>
      <c r="J5322" s="320" t="s">
        <v>214</v>
      </c>
      <c r="K5322" s="178" t="s">
        <v>4871</v>
      </c>
      <c r="L5322" s="125" t="s">
        <v>4849</v>
      </c>
      <c r="M5322">
        <v>69</v>
      </c>
      <c r="N5322" s="182">
        <v>17</v>
      </c>
      <c r="O5322">
        <v>3429</v>
      </c>
      <c r="P5322" s="132" t="s">
        <v>77</v>
      </c>
      <c r="Q5322" s="176">
        <v>160</v>
      </c>
      <c r="R5322" s="176"/>
      <c r="S5322" s="176"/>
      <c r="T5322" s="190"/>
      <c r="U5322" s="191"/>
      <c r="V5322" s="191">
        <v>160</v>
      </c>
      <c r="W5322">
        <v>147</v>
      </c>
      <c r="X5322" s="186" t="s">
        <v>3451</v>
      </c>
      <c r="Y5322" s="187" t="s">
        <v>55</v>
      </c>
      <c r="Z5322" s="311">
        <v>254</v>
      </c>
      <c r="AB5322" t="str">
        <f>IF(Table1[[#This Row],[TIPO2]]="costo", VLOOKUP(Table1[[#This Row],[PARTIDA PRESUPUESTAL]],'Cost Report'!G:G,1,0),"Balance")</f>
        <v>2585-003</v>
      </c>
      <c r="AD5322" s="159">
        <f>+Table1[[#This Row],[SUBTOTAL]]+Table1[[#This Row],[IVA]]-Table1[[#This Row],[RET IVA]]-Table1[[#This Row],[RET ISR]]-Table1[[#This Row],[TOTAL]]</f>
        <v>0</v>
      </c>
      <c r="AG5322" t="s">
        <v>3420</v>
      </c>
      <c r="AK5322" s="306" t="str">
        <f>IF(ISNUMBER(Table1[[#This Row],[FECHA DE RECIBIDO]]), Table1[[#This Row],[FECHA DE RECIBIDO]]-DATE(2023,8,30), "")</f>
        <v/>
      </c>
    </row>
    <row r="5323" spans="1:37" ht="16.05" customHeight="1">
      <c r="A5323" s="172" t="s">
        <v>4860</v>
      </c>
      <c r="B5323" s="178">
        <v>1832</v>
      </c>
      <c r="C5323" s="179" t="s">
        <v>2565</v>
      </c>
      <c r="D5323">
        <v>3597</v>
      </c>
      <c r="E5323" s="125" t="s">
        <v>3265</v>
      </c>
      <c r="F5323" s="178" t="s">
        <v>1607</v>
      </c>
      <c r="G5323" s="178" t="s">
        <v>134</v>
      </c>
      <c r="H5323">
        <v>839</v>
      </c>
      <c r="I5323" s="178" t="s">
        <v>1546</v>
      </c>
      <c r="J5323" s="320" t="s">
        <v>214</v>
      </c>
      <c r="K5323" s="178" t="s">
        <v>4871</v>
      </c>
      <c r="L5323" s="125" t="s">
        <v>4849</v>
      </c>
      <c r="M5323">
        <v>1162</v>
      </c>
      <c r="N5323" s="182">
        <v>17</v>
      </c>
      <c r="O5323">
        <v>3430</v>
      </c>
      <c r="P5323" s="132" t="s">
        <v>77</v>
      </c>
      <c r="Q5323" s="176">
        <v>1429.17</v>
      </c>
      <c r="R5323" s="176">
        <v>7.33</v>
      </c>
      <c r="S5323" s="176"/>
      <c r="T5323" s="190"/>
      <c r="U5323" s="191"/>
      <c r="V5323" s="191">
        <v>1436.5</v>
      </c>
      <c r="W5323">
        <v>147</v>
      </c>
      <c r="X5323" s="186" t="s">
        <v>3451</v>
      </c>
      <c r="Y5323" s="187" t="s">
        <v>55</v>
      </c>
      <c r="Z5323" s="311">
        <v>250</v>
      </c>
      <c r="AB5323" t="str">
        <f>IF(Table1[[#This Row],[TIPO2]]="costo", VLOOKUP(Table1[[#This Row],[PARTIDA PRESUPUESTAL]],'Cost Report'!G:G,1,0),"Balance")</f>
        <v>2585-003</v>
      </c>
      <c r="AD5323" s="159">
        <f>+Table1[[#This Row],[SUBTOTAL]]+Table1[[#This Row],[IVA]]-Table1[[#This Row],[RET IVA]]-Table1[[#This Row],[RET ISR]]-Table1[[#This Row],[TOTAL]]</f>
        <v>0</v>
      </c>
      <c r="AG5323" t="s">
        <v>3420</v>
      </c>
      <c r="AK5323" s="306" t="str">
        <f>IF(ISNUMBER(Table1[[#This Row],[FECHA DE RECIBIDO]]), Table1[[#This Row],[FECHA DE RECIBIDO]]-DATE(2023,8,30), "")</f>
        <v/>
      </c>
    </row>
    <row r="5324" spans="1:37" ht="16.05" customHeight="1">
      <c r="A5324" s="172" t="s">
        <v>4860</v>
      </c>
      <c r="B5324" s="178">
        <v>1832</v>
      </c>
      <c r="C5324" s="179" t="s">
        <v>2566</v>
      </c>
      <c r="D5324">
        <v>3598</v>
      </c>
      <c r="E5324" s="125" t="s">
        <v>4308</v>
      </c>
      <c r="F5324" s="178" t="s">
        <v>1607</v>
      </c>
      <c r="G5324" s="178" t="s">
        <v>134</v>
      </c>
      <c r="H5324">
        <v>739</v>
      </c>
      <c r="I5324" s="178" t="s">
        <v>1546</v>
      </c>
      <c r="J5324" s="320" t="s">
        <v>214</v>
      </c>
      <c r="K5324" s="178" t="s">
        <v>4871</v>
      </c>
      <c r="L5324" s="125" t="s">
        <v>4849</v>
      </c>
      <c r="M5324">
        <v>1034</v>
      </c>
      <c r="N5324" s="182">
        <v>17</v>
      </c>
      <c r="O5324">
        <v>3431</v>
      </c>
      <c r="P5324" s="132" t="s">
        <v>77</v>
      </c>
      <c r="Q5324" s="176">
        <v>1198.28</v>
      </c>
      <c r="R5324" s="176">
        <v>191.72</v>
      </c>
      <c r="S5324" s="176"/>
      <c r="T5324" s="190"/>
      <c r="U5324" s="191"/>
      <c r="V5324" s="191">
        <v>1390</v>
      </c>
      <c r="W5324">
        <v>147</v>
      </c>
      <c r="X5324" s="186" t="s">
        <v>3451</v>
      </c>
      <c r="Y5324" s="187" t="s">
        <v>55</v>
      </c>
      <c r="Z5324" s="311">
        <v>251</v>
      </c>
      <c r="AB5324" t="str">
        <f>IF(Table1[[#This Row],[TIPO2]]="costo", VLOOKUP(Table1[[#This Row],[PARTIDA PRESUPUESTAL]],'Cost Report'!G:G,1,0),"Balance")</f>
        <v>2594-003</v>
      </c>
      <c r="AD5324" s="159">
        <f>+Table1[[#This Row],[SUBTOTAL]]+Table1[[#This Row],[IVA]]-Table1[[#This Row],[RET IVA]]-Table1[[#This Row],[RET ISR]]-Table1[[#This Row],[TOTAL]]</f>
        <v>0</v>
      </c>
      <c r="AG5324" t="s">
        <v>3420</v>
      </c>
      <c r="AK5324" s="306" t="str">
        <f>IF(ISNUMBER(Table1[[#This Row],[FECHA DE RECIBIDO]]), Table1[[#This Row],[FECHA DE RECIBIDO]]-DATE(2023,8,30), "")</f>
        <v/>
      </c>
    </row>
    <row r="5325" spans="1:37" ht="16.05" customHeight="1">
      <c r="A5325" s="172" t="s">
        <v>4860</v>
      </c>
      <c r="B5325" s="178">
        <v>1832</v>
      </c>
      <c r="C5325" s="179" t="s">
        <v>2566</v>
      </c>
      <c r="D5325">
        <v>3599</v>
      </c>
      <c r="E5325" s="125" t="s">
        <v>1596</v>
      </c>
      <c r="F5325" s="178" t="s">
        <v>1607</v>
      </c>
      <c r="G5325" s="178" t="s">
        <v>134</v>
      </c>
      <c r="H5325">
        <v>177</v>
      </c>
      <c r="I5325" s="178" t="s">
        <v>1546</v>
      </c>
      <c r="J5325" s="320" t="s">
        <v>214</v>
      </c>
      <c r="K5325" s="178" t="s">
        <v>4871</v>
      </c>
      <c r="L5325" s="125" t="s">
        <v>4849</v>
      </c>
      <c r="M5325">
        <v>238</v>
      </c>
      <c r="N5325" s="182">
        <v>17</v>
      </c>
      <c r="O5325">
        <v>3432</v>
      </c>
      <c r="P5325" s="132" t="s">
        <v>77</v>
      </c>
      <c r="Q5325" s="176">
        <v>25.81</v>
      </c>
      <c r="R5325" s="176">
        <v>4.13</v>
      </c>
      <c r="S5325" s="176"/>
      <c r="T5325" s="190"/>
      <c r="U5325" s="191"/>
      <c r="V5325" s="191">
        <v>29.939999999999998</v>
      </c>
      <c r="W5325">
        <v>147</v>
      </c>
      <c r="X5325" s="186" t="s">
        <v>3451</v>
      </c>
      <c r="Y5325" s="187" t="s">
        <v>55</v>
      </c>
      <c r="Z5325" s="311">
        <v>251</v>
      </c>
      <c r="AB5325" t="str">
        <f>IF(Table1[[#This Row],[TIPO2]]="costo", VLOOKUP(Table1[[#This Row],[PARTIDA PRESUPUESTAL]],'Cost Report'!G:G,1,0),"Balance")</f>
        <v>2594-003</v>
      </c>
      <c r="AD5325" s="159">
        <f>+Table1[[#This Row],[SUBTOTAL]]+Table1[[#This Row],[IVA]]-Table1[[#This Row],[RET IVA]]-Table1[[#This Row],[RET ISR]]-Table1[[#This Row],[TOTAL]]</f>
        <v>0</v>
      </c>
      <c r="AG5325" t="s">
        <v>3420</v>
      </c>
      <c r="AK5325" s="306" t="str">
        <f>IF(ISNUMBER(Table1[[#This Row],[FECHA DE RECIBIDO]]), Table1[[#This Row],[FECHA DE RECIBIDO]]-DATE(2023,8,30), "")</f>
        <v/>
      </c>
    </row>
    <row r="5326" spans="1:37" ht="16.05" customHeight="1">
      <c r="A5326" s="172" t="s">
        <v>4860</v>
      </c>
      <c r="B5326" s="178">
        <v>1832</v>
      </c>
      <c r="C5326" s="179" t="s">
        <v>2566</v>
      </c>
      <c r="D5326">
        <v>3600</v>
      </c>
      <c r="E5326" s="125" t="s">
        <v>1596</v>
      </c>
      <c r="F5326" s="178" t="s">
        <v>1607</v>
      </c>
      <c r="G5326" s="178" t="s">
        <v>134</v>
      </c>
      <c r="H5326">
        <v>177</v>
      </c>
      <c r="I5326" s="178" t="s">
        <v>1546</v>
      </c>
      <c r="J5326" s="320" t="s">
        <v>214</v>
      </c>
      <c r="K5326" s="178" t="s">
        <v>4871</v>
      </c>
      <c r="L5326" s="125" t="s">
        <v>4849</v>
      </c>
      <c r="M5326">
        <v>238</v>
      </c>
      <c r="N5326" s="182">
        <v>17</v>
      </c>
      <c r="O5326">
        <v>3433</v>
      </c>
      <c r="P5326" s="132" t="s">
        <v>77</v>
      </c>
      <c r="Q5326" s="176">
        <v>543</v>
      </c>
      <c r="R5326" s="176">
        <v>86.88</v>
      </c>
      <c r="S5326" s="176"/>
      <c r="T5326" s="190"/>
      <c r="U5326" s="191"/>
      <c r="V5326" s="191">
        <v>629.88</v>
      </c>
      <c r="W5326">
        <v>147</v>
      </c>
      <c r="X5326" s="186" t="s">
        <v>3451</v>
      </c>
      <c r="Y5326" s="187" t="s">
        <v>55</v>
      </c>
      <c r="Z5326" s="311">
        <v>251</v>
      </c>
      <c r="AB5326" t="str">
        <f>IF(Table1[[#This Row],[TIPO2]]="costo", VLOOKUP(Table1[[#This Row],[PARTIDA PRESUPUESTAL]],'Cost Report'!G:G,1,0),"Balance")</f>
        <v>2594-003</v>
      </c>
      <c r="AD5326" s="159">
        <f>+Table1[[#This Row],[SUBTOTAL]]+Table1[[#This Row],[IVA]]-Table1[[#This Row],[RET IVA]]-Table1[[#This Row],[RET ISR]]-Table1[[#This Row],[TOTAL]]</f>
        <v>0</v>
      </c>
      <c r="AG5326" t="s">
        <v>3420</v>
      </c>
      <c r="AK5326" s="306" t="str">
        <f>IF(ISNUMBER(Table1[[#This Row],[FECHA DE RECIBIDO]]), Table1[[#This Row],[FECHA DE RECIBIDO]]-DATE(2023,8,30), "")</f>
        <v/>
      </c>
    </row>
    <row r="5327" spans="1:37" ht="16.05" customHeight="1">
      <c r="A5327" s="172" t="s">
        <v>4860</v>
      </c>
      <c r="B5327" s="178">
        <v>1832</v>
      </c>
      <c r="C5327" s="179" t="s">
        <v>2565</v>
      </c>
      <c r="D5327">
        <v>3601</v>
      </c>
      <c r="E5327" s="125" t="s">
        <v>3356</v>
      </c>
      <c r="F5327" s="178" t="s">
        <v>1607</v>
      </c>
      <c r="G5327" s="178" t="s">
        <v>134</v>
      </c>
      <c r="H5327">
        <v>91</v>
      </c>
      <c r="I5327" s="178" t="s">
        <v>1546</v>
      </c>
      <c r="J5327" s="320" t="s">
        <v>214</v>
      </c>
      <c r="K5327" s="178" t="s">
        <v>4871</v>
      </c>
      <c r="L5327" s="125" t="s">
        <v>4849</v>
      </c>
      <c r="M5327">
        <v>122</v>
      </c>
      <c r="N5327" s="182">
        <v>17</v>
      </c>
      <c r="O5327">
        <v>3434</v>
      </c>
      <c r="P5327" s="132" t="s">
        <v>77</v>
      </c>
      <c r="Q5327" s="176">
        <v>40.5</v>
      </c>
      <c r="R5327" s="176"/>
      <c r="S5327" s="176"/>
      <c r="T5327" s="190"/>
      <c r="U5327" s="191"/>
      <c r="V5327" s="191">
        <v>40.5</v>
      </c>
      <c r="W5327">
        <v>147</v>
      </c>
      <c r="X5327" s="186" t="s">
        <v>3451</v>
      </c>
      <c r="Y5327" s="187" t="s">
        <v>55</v>
      </c>
      <c r="Z5327" s="311">
        <v>254</v>
      </c>
      <c r="AB5327" t="str">
        <f>IF(Table1[[#This Row],[TIPO2]]="costo", VLOOKUP(Table1[[#This Row],[PARTIDA PRESUPUESTAL]],'Cost Report'!G:G,1,0),"Balance")</f>
        <v>2585-003</v>
      </c>
      <c r="AD5327" s="159">
        <f>+Table1[[#This Row],[SUBTOTAL]]+Table1[[#This Row],[IVA]]-Table1[[#This Row],[RET IVA]]-Table1[[#This Row],[RET ISR]]-Table1[[#This Row],[TOTAL]]</f>
        <v>0</v>
      </c>
      <c r="AG5327" t="s">
        <v>3420</v>
      </c>
      <c r="AK5327" s="306" t="str">
        <f>IF(ISNUMBER(Table1[[#This Row],[FECHA DE RECIBIDO]]), Table1[[#This Row],[FECHA DE RECIBIDO]]-DATE(2023,8,30), "")</f>
        <v/>
      </c>
    </row>
    <row r="5328" spans="1:37" ht="16.05" customHeight="1">
      <c r="A5328" s="172" t="s">
        <v>4860</v>
      </c>
      <c r="B5328" s="178">
        <v>1832</v>
      </c>
      <c r="C5328" s="179" t="s">
        <v>2566</v>
      </c>
      <c r="D5328">
        <v>3602</v>
      </c>
      <c r="E5328" s="125" t="s">
        <v>1603</v>
      </c>
      <c r="F5328" s="178" t="s">
        <v>1607</v>
      </c>
      <c r="G5328" s="178" t="s">
        <v>134</v>
      </c>
      <c r="H5328">
        <v>390</v>
      </c>
      <c r="I5328" s="178" t="s">
        <v>1546</v>
      </c>
      <c r="J5328" s="320" t="s">
        <v>214</v>
      </c>
      <c r="K5328" s="178" t="s">
        <v>4871</v>
      </c>
      <c r="L5328" s="125" t="s">
        <v>4849</v>
      </c>
      <c r="M5328">
        <v>518</v>
      </c>
      <c r="N5328" s="182">
        <v>17</v>
      </c>
      <c r="O5328">
        <v>3435</v>
      </c>
      <c r="P5328" s="132" t="s">
        <v>77</v>
      </c>
      <c r="Q5328" s="176">
        <v>310.35000000000002</v>
      </c>
      <c r="R5328" s="176">
        <v>49.65</v>
      </c>
      <c r="S5328" s="176"/>
      <c r="T5328" s="190"/>
      <c r="U5328" s="191"/>
      <c r="V5328" s="191">
        <v>360</v>
      </c>
      <c r="W5328">
        <v>147</v>
      </c>
      <c r="X5328" s="186" t="s">
        <v>3451</v>
      </c>
      <c r="Y5328" s="187" t="s">
        <v>55</v>
      </c>
      <c r="Z5328" s="311">
        <v>249</v>
      </c>
      <c r="AB5328" t="str">
        <f>IF(Table1[[#This Row],[TIPO2]]="costo", VLOOKUP(Table1[[#This Row],[PARTIDA PRESUPUESTAL]],'Cost Report'!G:G,1,0),"Balance")</f>
        <v>2594-003</v>
      </c>
      <c r="AD5328" s="159">
        <f>+Table1[[#This Row],[SUBTOTAL]]+Table1[[#This Row],[IVA]]-Table1[[#This Row],[RET IVA]]-Table1[[#This Row],[RET ISR]]-Table1[[#This Row],[TOTAL]]</f>
        <v>0</v>
      </c>
      <c r="AG5328" t="s">
        <v>3420</v>
      </c>
      <c r="AK5328" s="306" t="str">
        <f>IF(ISNUMBER(Table1[[#This Row],[FECHA DE RECIBIDO]]), Table1[[#This Row],[FECHA DE RECIBIDO]]-DATE(2023,8,30), "")</f>
        <v/>
      </c>
    </row>
    <row r="5329" spans="1:37" ht="16.05" customHeight="1">
      <c r="A5329" s="172" t="s">
        <v>4860</v>
      </c>
      <c r="B5329" s="178">
        <v>1832</v>
      </c>
      <c r="C5329" s="179" t="s">
        <v>2565</v>
      </c>
      <c r="D5329">
        <v>3603</v>
      </c>
      <c r="E5329" s="125" t="s">
        <v>3356</v>
      </c>
      <c r="F5329" s="178" t="s">
        <v>1607</v>
      </c>
      <c r="G5329" s="178" t="s">
        <v>134</v>
      </c>
      <c r="H5329">
        <v>173</v>
      </c>
      <c r="I5329" s="178" t="s">
        <v>1546</v>
      </c>
      <c r="J5329" s="320" t="s">
        <v>214</v>
      </c>
      <c r="K5329" s="178" t="s">
        <v>4871</v>
      </c>
      <c r="L5329" s="125" t="s">
        <v>4849</v>
      </c>
      <c r="M5329">
        <v>230</v>
      </c>
      <c r="N5329" s="182">
        <v>17</v>
      </c>
      <c r="O5329">
        <v>3436</v>
      </c>
      <c r="P5329" s="132" t="s">
        <v>77</v>
      </c>
      <c r="Q5329" s="176">
        <v>749.52</v>
      </c>
      <c r="R5329" s="176">
        <v>16</v>
      </c>
      <c r="S5329" s="176"/>
      <c r="T5329" s="190"/>
      <c r="U5329" s="191"/>
      <c r="V5329" s="191">
        <v>765.52</v>
      </c>
      <c r="W5329">
        <v>147</v>
      </c>
      <c r="X5329" s="186" t="s">
        <v>3451</v>
      </c>
      <c r="Y5329" s="187" t="s">
        <v>55</v>
      </c>
      <c r="Z5329" s="311">
        <v>243</v>
      </c>
      <c r="AB5329" t="str">
        <f>IF(Table1[[#This Row],[TIPO2]]="costo", VLOOKUP(Table1[[#This Row],[PARTIDA PRESUPUESTAL]],'Cost Report'!G:G,1,0),"Balance")</f>
        <v>2585-003</v>
      </c>
      <c r="AD5329" s="159">
        <f>+Table1[[#This Row],[SUBTOTAL]]+Table1[[#This Row],[IVA]]-Table1[[#This Row],[RET IVA]]-Table1[[#This Row],[RET ISR]]-Table1[[#This Row],[TOTAL]]</f>
        <v>0</v>
      </c>
      <c r="AG5329" t="s">
        <v>3420</v>
      </c>
      <c r="AK5329" s="306" t="str">
        <f>IF(ISNUMBER(Table1[[#This Row],[FECHA DE RECIBIDO]]), Table1[[#This Row],[FECHA DE RECIBIDO]]-DATE(2023,8,30), "")</f>
        <v/>
      </c>
    </row>
    <row r="5330" spans="1:37" ht="16.05" customHeight="1">
      <c r="A5330" s="172" t="s">
        <v>4860</v>
      </c>
      <c r="B5330" s="178">
        <v>1832</v>
      </c>
      <c r="C5330" s="179" t="s">
        <v>2566</v>
      </c>
      <c r="D5330">
        <v>3604</v>
      </c>
      <c r="E5330" s="125" t="s">
        <v>4109</v>
      </c>
      <c r="F5330" s="178" t="s">
        <v>1589</v>
      </c>
      <c r="G5330" s="178" t="s">
        <v>129</v>
      </c>
      <c r="H5330">
        <v>897</v>
      </c>
      <c r="I5330" s="178" t="s">
        <v>1546</v>
      </c>
      <c r="J5330" s="320" t="s">
        <v>214</v>
      </c>
      <c r="K5330" s="178" t="s">
        <v>4871</v>
      </c>
      <c r="L5330" s="125" t="s">
        <v>4849</v>
      </c>
      <c r="M5330">
        <v>1248</v>
      </c>
      <c r="N5330" s="182">
        <v>17</v>
      </c>
      <c r="O5330">
        <v>3437</v>
      </c>
      <c r="P5330" s="132" t="s">
        <v>77</v>
      </c>
      <c r="Q5330" s="176">
        <v>503.45</v>
      </c>
      <c r="R5330" s="176">
        <v>80.55</v>
      </c>
      <c r="S5330" s="176"/>
      <c r="T5330" s="190"/>
      <c r="U5330" s="191"/>
      <c r="V5330" s="191">
        <v>584</v>
      </c>
      <c r="W5330">
        <v>147</v>
      </c>
      <c r="X5330" s="186" t="s">
        <v>3451</v>
      </c>
      <c r="Y5330" s="187" t="s">
        <v>55</v>
      </c>
      <c r="Z5330" s="311">
        <v>256</v>
      </c>
      <c r="AB5330" t="str">
        <f>IF(Table1[[#This Row],[TIPO2]]="costo", VLOOKUP(Table1[[#This Row],[PARTIDA PRESUPUESTAL]],'Cost Report'!G:G,1,0),"Balance")</f>
        <v>2594-003</v>
      </c>
      <c r="AD5330" s="159">
        <f>+Table1[[#This Row],[SUBTOTAL]]+Table1[[#This Row],[IVA]]-Table1[[#This Row],[RET IVA]]-Table1[[#This Row],[RET ISR]]-Table1[[#This Row],[TOTAL]]</f>
        <v>0</v>
      </c>
      <c r="AG5330" t="s">
        <v>3420</v>
      </c>
      <c r="AK5330" s="306" t="str">
        <f>IF(ISNUMBER(Table1[[#This Row],[FECHA DE RECIBIDO]]), Table1[[#This Row],[FECHA DE RECIBIDO]]-DATE(2023,8,30), "")</f>
        <v/>
      </c>
    </row>
    <row r="5331" spans="1:37" ht="16.05" customHeight="1">
      <c r="A5331" s="172" t="s">
        <v>4860</v>
      </c>
      <c r="B5331" s="178">
        <v>1832</v>
      </c>
      <c r="C5331" s="179" t="s">
        <v>2566</v>
      </c>
      <c r="D5331">
        <v>689</v>
      </c>
      <c r="E5331" s="125"/>
      <c r="F5331" s="178"/>
      <c r="G5331" s="178"/>
      <c r="H5331"/>
      <c r="I5331" s="178"/>
      <c r="J5331" s="320" t="s">
        <v>214</v>
      </c>
      <c r="K5331" s="178" t="s">
        <v>4871</v>
      </c>
      <c r="L5331" s="125" t="s">
        <v>4849</v>
      </c>
      <c r="M5331">
        <v>514</v>
      </c>
      <c r="N5331" s="182">
        <v>17</v>
      </c>
      <c r="O5331">
        <v>3438</v>
      </c>
      <c r="P5331" s="132" t="s">
        <v>77</v>
      </c>
      <c r="Q5331" s="176">
        <v>241</v>
      </c>
      <c r="R5331" s="176"/>
      <c r="S5331" s="176"/>
      <c r="T5331" s="190"/>
      <c r="U5331" s="191"/>
      <c r="V5331" s="191">
        <v>241</v>
      </c>
      <c r="W5331">
        <v>147</v>
      </c>
      <c r="X5331" s="186" t="s">
        <v>3451</v>
      </c>
      <c r="Y5331" s="187" t="s">
        <v>55</v>
      </c>
      <c r="Z5331" s="311">
        <v>260</v>
      </c>
      <c r="AB5331" t="str">
        <f>IF(Table1[[#This Row],[TIPO2]]="costo", VLOOKUP(Table1[[#This Row],[PARTIDA PRESUPUESTAL]],'Cost Report'!G:G,1,0),"Balance")</f>
        <v>2594-003</v>
      </c>
      <c r="AD5331" s="159">
        <f>+Table1[[#This Row],[SUBTOTAL]]+Table1[[#This Row],[IVA]]-Table1[[#This Row],[RET IVA]]-Table1[[#This Row],[RET ISR]]-Table1[[#This Row],[TOTAL]]</f>
        <v>0</v>
      </c>
      <c r="AG5331" t="s">
        <v>3420</v>
      </c>
      <c r="AK5331" s="306" t="str">
        <f>IF(ISNUMBER(Table1[[#This Row],[FECHA DE RECIBIDO]]), Table1[[#This Row],[FECHA DE RECIBIDO]]-DATE(2023,8,30), "")</f>
        <v/>
      </c>
    </row>
    <row r="5332" spans="1:37" ht="16.05" customHeight="1">
      <c r="A5332" s="172" t="s">
        <v>4860</v>
      </c>
      <c r="B5332" s="178">
        <v>1832</v>
      </c>
      <c r="C5332" s="179" t="s">
        <v>2566</v>
      </c>
      <c r="D5332">
        <v>689</v>
      </c>
      <c r="E5332" s="125"/>
      <c r="F5332" s="178"/>
      <c r="G5332" s="178"/>
      <c r="H5332"/>
      <c r="I5332" s="178"/>
      <c r="J5332" s="320" t="s">
        <v>214</v>
      </c>
      <c r="K5332" s="178" t="s">
        <v>4871</v>
      </c>
      <c r="L5332" s="125" t="s">
        <v>4849</v>
      </c>
      <c r="M5332">
        <v>514</v>
      </c>
      <c r="N5332" s="182">
        <v>17</v>
      </c>
      <c r="O5332">
        <v>3438</v>
      </c>
      <c r="P5332" s="132" t="s">
        <v>77</v>
      </c>
      <c r="Q5332" s="176">
        <v>72</v>
      </c>
      <c r="R5332" s="176"/>
      <c r="S5332" s="176"/>
      <c r="T5332" s="190"/>
      <c r="U5332" s="191"/>
      <c r="V5332" s="191">
        <v>72</v>
      </c>
      <c r="W5332">
        <v>147</v>
      </c>
      <c r="X5332" s="186" t="s">
        <v>3451</v>
      </c>
      <c r="Y5332" s="187" t="s">
        <v>55</v>
      </c>
      <c r="Z5332" s="311">
        <v>260</v>
      </c>
      <c r="AB5332" t="str">
        <f>IF(Table1[[#This Row],[TIPO2]]="costo", VLOOKUP(Table1[[#This Row],[PARTIDA PRESUPUESTAL]],'Cost Report'!G:G,1,0),"Balance")</f>
        <v>2594-003</v>
      </c>
      <c r="AD5332" s="159">
        <f>+Table1[[#This Row],[SUBTOTAL]]+Table1[[#This Row],[IVA]]-Table1[[#This Row],[RET IVA]]-Table1[[#This Row],[RET ISR]]-Table1[[#This Row],[TOTAL]]</f>
        <v>0</v>
      </c>
      <c r="AG5332" t="s">
        <v>3420</v>
      </c>
      <c r="AK5332" s="306" t="str">
        <f>IF(ISNUMBER(Table1[[#This Row],[FECHA DE RECIBIDO]]), Table1[[#This Row],[FECHA DE RECIBIDO]]-DATE(2023,8,30), "")</f>
        <v/>
      </c>
    </row>
    <row r="5333" spans="1:37" ht="16.05" customHeight="1">
      <c r="A5333" s="172" t="s">
        <v>4860</v>
      </c>
      <c r="B5333" s="178">
        <v>1832</v>
      </c>
      <c r="C5333" s="179" t="s">
        <v>2566</v>
      </c>
      <c r="D5333">
        <v>689</v>
      </c>
      <c r="E5333" s="125"/>
      <c r="F5333" s="178"/>
      <c r="G5333" s="178"/>
      <c r="H5333"/>
      <c r="I5333" s="178"/>
      <c r="J5333" s="320" t="s">
        <v>214</v>
      </c>
      <c r="K5333" s="178" t="s">
        <v>4871</v>
      </c>
      <c r="L5333" s="125" t="s">
        <v>4849</v>
      </c>
      <c r="M5333">
        <v>1249</v>
      </c>
      <c r="N5333" s="182">
        <v>17</v>
      </c>
      <c r="O5333">
        <v>3439</v>
      </c>
      <c r="P5333" s="132" t="s">
        <v>77</v>
      </c>
      <c r="Q5333" s="176">
        <v>910</v>
      </c>
      <c r="R5333" s="176"/>
      <c r="S5333" s="176"/>
      <c r="T5333" s="190"/>
      <c r="U5333" s="191"/>
      <c r="V5333" s="191">
        <v>910</v>
      </c>
      <c r="W5333">
        <v>147</v>
      </c>
      <c r="X5333" s="186" t="s">
        <v>3451</v>
      </c>
      <c r="Y5333" s="187" t="s">
        <v>55</v>
      </c>
      <c r="Z5333" s="311">
        <v>256</v>
      </c>
      <c r="AB5333" t="str">
        <f>IF(Table1[[#This Row],[TIPO2]]="costo", VLOOKUP(Table1[[#This Row],[PARTIDA PRESUPUESTAL]],'Cost Report'!G:G,1,0),"Balance")</f>
        <v>2594-003</v>
      </c>
      <c r="AD5333" s="159">
        <f>+Table1[[#This Row],[SUBTOTAL]]+Table1[[#This Row],[IVA]]-Table1[[#This Row],[RET IVA]]-Table1[[#This Row],[RET ISR]]-Table1[[#This Row],[TOTAL]]</f>
        <v>0</v>
      </c>
      <c r="AG5333" t="s">
        <v>3420</v>
      </c>
      <c r="AK5333" s="306" t="str">
        <f>IF(ISNUMBER(Table1[[#This Row],[FECHA DE RECIBIDO]]), Table1[[#This Row],[FECHA DE RECIBIDO]]-DATE(2023,8,30), "")</f>
        <v/>
      </c>
    </row>
    <row r="5334" spans="1:37" ht="16.05" customHeight="1">
      <c r="A5334" s="172" t="s">
        <v>4861</v>
      </c>
      <c r="B5334" s="178">
        <v>1833</v>
      </c>
      <c r="C5334" s="179" t="s">
        <v>2546</v>
      </c>
      <c r="D5334">
        <v>3605</v>
      </c>
      <c r="E5334" s="125" t="s">
        <v>1596</v>
      </c>
      <c r="F5334" s="178" t="s">
        <v>1607</v>
      </c>
      <c r="G5334" s="178" t="s">
        <v>134</v>
      </c>
      <c r="H5334">
        <v>898</v>
      </c>
      <c r="I5334" s="178" t="s">
        <v>1546</v>
      </c>
      <c r="J5334" s="320" t="s">
        <v>214</v>
      </c>
      <c r="K5334" s="178" t="s">
        <v>4871</v>
      </c>
      <c r="L5334" s="125" t="s">
        <v>4849</v>
      </c>
      <c r="M5334">
        <v>1250</v>
      </c>
      <c r="N5334" s="182">
        <v>17</v>
      </c>
      <c r="O5334">
        <v>3440</v>
      </c>
      <c r="P5334" s="132" t="s">
        <v>77</v>
      </c>
      <c r="Q5334" s="176">
        <v>2260</v>
      </c>
      <c r="R5334" s="176">
        <v>361.6</v>
      </c>
      <c r="S5334" s="176"/>
      <c r="T5334" s="190"/>
      <c r="U5334" s="191"/>
      <c r="V5334" s="191">
        <v>2621.6</v>
      </c>
      <c r="W5334">
        <v>410</v>
      </c>
      <c r="X5334" s="186" t="s">
        <v>3451</v>
      </c>
      <c r="Y5334" s="187" t="s">
        <v>55</v>
      </c>
      <c r="Z5334" s="311">
        <v>243</v>
      </c>
      <c r="AB5334" t="str">
        <f>IF(Table1[[#This Row],[TIPO2]]="costo", VLOOKUP(Table1[[#This Row],[PARTIDA PRESUPUESTAL]],'Cost Report'!G:G,1,0),"Balance")</f>
        <v>2494-071</v>
      </c>
      <c r="AD5334" s="159">
        <f>+Table1[[#This Row],[SUBTOTAL]]+Table1[[#This Row],[IVA]]-Table1[[#This Row],[RET IVA]]-Table1[[#This Row],[RET ISR]]-Table1[[#This Row],[TOTAL]]</f>
        <v>0</v>
      </c>
      <c r="AG5334" t="s">
        <v>3420</v>
      </c>
      <c r="AK5334" s="306" t="str">
        <f>IF(ISNUMBER(Table1[[#This Row],[FECHA DE RECIBIDO]]), Table1[[#This Row],[FECHA DE RECIBIDO]]-DATE(2023,8,30), "")</f>
        <v/>
      </c>
    </row>
    <row r="5335" spans="1:37" ht="16.05" customHeight="1">
      <c r="A5335" s="172" t="s">
        <v>4861</v>
      </c>
      <c r="B5335" s="178">
        <v>1833</v>
      </c>
      <c r="C5335" s="179" t="s">
        <v>2540</v>
      </c>
      <c r="D5335">
        <v>3606</v>
      </c>
      <c r="E5335" s="125" t="s">
        <v>1997</v>
      </c>
      <c r="F5335" s="178" t="s">
        <v>1607</v>
      </c>
      <c r="G5335" s="178" t="s">
        <v>134</v>
      </c>
      <c r="H5335">
        <v>224</v>
      </c>
      <c r="I5335" s="178" t="s">
        <v>1546</v>
      </c>
      <c r="J5335" s="320" t="s">
        <v>214</v>
      </c>
      <c r="K5335" s="178" t="s">
        <v>4871</v>
      </c>
      <c r="L5335" s="125" t="s">
        <v>4849</v>
      </c>
      <c r="M5335">
        <v>290</v>
      </c>
      <c r="N5335" s="182">
        <v>17</v>
      </c>
      <c r="O5335">
        <v>3441</v>
      </c>
      <c r="P5335" s="132" t="s">
        <v>77</v>
      </c>
      <c r="Q5335" s="176">
        <v>871.98</v>
      </c>
      <c r="R5335" s="176">
        <v>139.52000000000001</v>
      </c>
      <c r="S5335" s="176"/>
      <c r="T5335" s="190"/>
      <c r="U5335" s="191"/>
      <c r="V5335" s="191">
        <v>1011.5</v>
      </c>
      <c r="W5335">
        <v>410</v>
      </c>
      <c r="X5335" s="186" t="s">
        <v>3451</v>
      </c>
      <c r="Y5335" s="187" t="s">
        <v>55</v>
      </c>
      <c r="Z5335" s="311">
        <v>252</v>
      </c>
      <c r="AB5335" t="str">
        <f>IF(Table1[[#This Row],[TIPO2]]="costo", VLOOKUP(Table1[[#This Row],[PARTIDA PRESUPUESTAL]],'Cost Report'!G:G,1,0),"Balance")</f>
        <v>2494-059</v>
      </c>
      <c r="AD5335" s="159">
        <f>+Table1[[#This Row],[SUBTOTAL]]+Table1[[#This Row],[IVA]]-Table1[[#This Row],[RET IVA]]-Table1[[#This Row],[RET ISR]]-Table1[[#This Row],[TOTAL]]</f>
        <v>0</v>
      </c>
      <c r="AG5335" t="s">
        <v>3420</v>
      </c>
      <c r="AK5335" s="306" t="str">
        <f>IF(ISNUMBER(Table1[[#This Row],[FECHA DE RECIBIDO]]), Table1[[#This Row],[FECHA DE RECIBIDO]]-DATE(2023,8,30), "")</f>
        <v/>
      </c>
    </row>
    <row r="5336" spans="1:37" ht="16.05" customHeight="1">
      <c r="A5336" s="172" t="s">
        <v>4861</v>
      </c>
      <c r="B5336" s="178">
        <v>1833</v>
      </c>
      <c r="C5336" s="179" t="s">
        <v>1517</v>
      </c>
      <c r="D5336">
        <v>3607</v>
      </c>
      <c r="E5336" s="125" t="s">
        <v>1596</v>
      </c>
      <c r="F5336" s="178" t="s">
        <v>1607</v>
      </c>
      <c r="G5336" s="178" t="s">
        <v>134</v>
      </c>
      <c r="H5336">
        <v>248</v>
      </c>
      <c r="I5336" s="178" t="s">
        <v>1546</v>
      </c>
      <c r="J5336" s="320" t="s">
        <v>214</v>
      </c>
      <c r="K5336" s="178" t="s">
        <v>4871</v>
      </c>
      <c r="L5336" s="125" t="s">
        <v>4849</v>
      </c>
      <c r="M5336">
        <v>325</v>
      </c>
      <c r="N5336" s="182">
        <v>17</v>
      </c>
      <c r="O5336">
        <v>3442</v>
      </c>
      <c r="P5336" s="132" t="s">
        <v>77</v>
      </c>
      <c r="Q5336" s="176">
        <v>155.15</v>
      </c>
      <c r="R5336" s="176">
        <v>24.82</v>
      </c>
      <c r="S5336" s="176"/>
      <c r="T5336" s="190"/>
      <c r="U5336" s="191"/>
      <c r="V5336" s="191">
        <v>179.97</v>
      </c>
      <c r="W5336">
        <v>410</v>
      </c>
      <c r="X5336" s="186" t="s">
        <v>3451</v>
      </c>
      <c r="Y5336" s="187" t="s">
        <v>55</v>
      </c>
      <c r="Z5336" s="311">
        <v>254</v>
      </c>
      <c r="AB5336" t="str">
        <f>IF(Table1[[#This Row],[TIPO2]]="costo", VLOOKUP(Table1[[#This Row],[PARTIDA PRESUPUESTAL]],'Cost Report'!G:G,1,0),"Balance")</f>
        <v>2494-027</v>
      </c>
      <c r="AD5336" s="159">
        <f>+Table1[[#This Row],[SUBTOTAL]]+Table1[[#This Row],[IVA]]-Table1[[#This Row],[RET IVA]]-Table1[[#This Row],[RET ISR]]-Table1[[#This Row],[TOTAL]]</f>
        <v>0</v>
      </c>
      <c r="AG5336" t="s">
        <v>3420</v>
      </c>
      <c r="AK5336" s="306" t="str">
        <f>IF(ISNUMBER(Table1[[#This Row],[FECHA DE RECIBIDO]]), Table1[[#This Row],[FECHA DE RECIBIDO]]-DATE(2023,8,30), "")</f>
        <v/>
      </c>
    </row>
    <row r="5337" spans="1:37" ht="16.05" customHeight="1">
      <c r="A5337" s="172" t="s">
        <v>4861</v>
      </c>
      <c r="B5337" s="178">
        <v>1833</v>
      </c>
      <c r="C5337" s="179" t="s">
        <v>1517</v>
      </c>
      <c r="D5337">
        <v>3608</v>
      </c>
      <c r="E5337" s="125" t="s">
        <v>1596</v>
      </c>
      <c r="F5337" s="178" t="s">
        <v>1607</v>
      </c>
      <c r="G5337" s="178" t="s">
        <v>134</v>
      </c>
      <c r="H5337">
        <v>177</v>
      </c>
      <c r="I5337" s="178" t="s">
        <v>1546</v>
      </c>
      <c r="J5337" s="320" t="s">
        <v>214</v>
      </c>
      <c r="K5337" s="178" t="s">
        <v>4871</v>
      </c>
      <c r="L5337" s="125" t="s">
        <v>4849</v>
      </c>
      <c r="M5337">
        <v>238</v>
      </c>
      <c r="N5337" s="182">
        <v>17</v>
      </c>
      <c r="O5337">
        <v>3443</v>
      </c>
      <c r="P5337" s="132" t="s">
        <v>77</v>
      </c>
      <c r="Q5337" s="176">
        <v>3992.1</v>
      </c>
      <c r="R5337" s="176">
        <v>638.74</v>
      </c>
      <c r="S5337" s="176"/>
      <c r="T5337" s="190"/>
      <c r="U5337" s="191"/>
      <c r="V5337" s="191">
        <v>4630.84</v>
      </c>
      <c r="W5337">
        <v>410</v>
      </c>
      <c r="X5337" s="186" t="s">
        <v>3451</v>
      </c>
      <c r="Y5337" s="187" t="s">
        <v>55</v>
      </c>
      <c r="Z5337" s="311">
        <v>254</v>
      </c>
      <c r="AB5337" t="str">
        <f>IF(Table1[[#This Row],[TIPO2]]="costo", VLOOKUP(Table1[[#This Row],[PARTIDA PRESUPUESTAL]],'Cost Report'!G:G,1,0),"Balance")</f>
        <v>2494-027</v>
      </c>
      <c r="AD5337" s="159">
        <f>+Table1[[#This Row],[SUBTOTAL]]+Table1[[#This Row],[IVA]]-Table1[[#This Row],[RET IVA]]-Table1[[#This Row],[RET ISR]]-Table1[[#This Row],[TOTAL]]</f>
        <v>0</v>
      </c>
      <c r="AG5337" t="s">
        <v>3420</v>
      </c>
      <c r="AK5337" s="306" t="str">
        <f>IF(ISNUMBER(Table1[[#This Row],[FECHA DE RECIBIDO]]), Table1[[#This Row],[FECHA DE RECIBIDO]]-DATE(2023,8,30), "")</f>
        <v/>
      </c>
    </row>
    <row r="5338" spans="1:37" ht="16.05" customHeight="1">
      <c r="A5338" s="172" t="s">
        <v>4861</v>
      </c>
      <c r="B5338" s="178">
        <v>1833</v>
      </c>
      <c r="C5338" s="179" t="s">
        <v>2546</v>
      </c>
      <c r="D5338">
        <v>3609</v>
      </c>
      <c r="E5338" s="125" t="s">
        <v>3363</v>
      </c>
      <c r="F5338" s="178" t="s">
        <v>1607</v>
      </c>
      <c r="G5338" s="178" t="s">
        <v>134</v>
      </c>
      <c r="H5338">
        <v>99</v>
      </c>
      <c r="I5338" s="178" t="s">
        <v>1546</v>
      </c>
      <c r="J5338" s="320" t="s">
        <v>214</v>
      </c>
      <c r="K5338" s="178" t="s">
        <v>4871</v>
      </c>
      <c r="L5338" s="125" t="s">
        <v>4849</v>
      </c>
      <c r="M5338">
        <v>134</v>
      </c>
      <c r="N5338" s="182">
        <v>17</v>
      </c>
      <c r="O5338">
        <v>3444</v>
      </c>
      <c r="P5338" s="132" t="s">
        <v>77</v>
      </c>
      <c r="Q5338" s="176">
        <v>955.17</v>
      </c>
      <c r="R5338" s="176">
        <v>152.83000000000001</v>
      </c>
      <c r="S5338" s="176"/>
      <c r="T5338" s="190"/>
      <c r="U5338" s="191"/>
      <c r="V5338" s="191">
        <v>1108</v>
      </c>
      <c r="W5338">
        <v>410</v>
      </c>
      <c r="X5338" s="186" t="s">
        <v>3451</v>
      </c>
      <c r="Y5338" s="187" t="s">
        <v>55</v>
      </c>
      <c r="Z5338" s="311">
        <v>254</v>
      </c>
      <c r="AB5338" t="str">
        <f>IF(Table1[[#This Row],[TIPO2]]="costo", VLOOKUP(Table1[[#This Row],[PARTIDA PRESUPUESTAL]],'Cost Report'!G:G,1,0),"Balance")</f>
        <v>2494-071</v>
      </c>
      <c r="AD5338" s="159">
        <f>+Table1[[#This Row],[SUBTOTAL]]+Table1[[#This Row],[IVA]]-Table1[[#This Row],[RET IVA]]-Table1[[#This Row],[RET ISR]]-Table1[[#This Row],[TOTAL]]</f>
        <v>0</v>
      </c>
      <c r="AG5338" t="s">
        <v>3420</v>
      </c>
      <c r="AK5338" s="306" t="str">
        <f>IF(ISNUMBER(Table1[[#This Row],[FECHA DE RECIBIDO]]), Table1[[#This Row],[FECHA DE RECIBIDO]]-DATE(2023,8,30), "")</f>
        <v/>
      </c>
    </row>
    <row r="5339" spans="1:37" ht="16.05" customHeight="1">
      <c r="A5339" s="172" t="s">
        <v>4861</v>
      </c>
      <c r="B5339" s="178">
        <v>1833</v>
      </c>
      <c r="C5339" s="179" t="s">
        <v>2478</v>
      </c>
      <c r="D5339">
        <v>3610</v>
      </c>
      <c r="E5339" s="125" t="s">
        <v>1603</v>
      </c>
      <c r="F5339" s="178" t="s">
        <v>1607</v>
      </c>
      <c r="G5339" s="178" t="s">
        <v>134</v>
      </c>
      <c r="H5339">
        <v>274</v>
      </c>
      <c r="I5339" s="178" t="s">
        <v>1546</v>
      </c>
      <c r="J5339" s="320" t="s">
        <v>214</v>
      </c>
      <c r="K5339" s="178" t="s">
        <v>4871</v>
      </c>
      <c r="L5339" s="125" t="s">
        <v>4849</v>
      </c>
      <c r="M5339">
        <v>365</v>
      </c>
      <c r="N5339" s="182">
        <v>17</v>
      </c>
      <c r="O5339">
        <v>3445</v>
      </c>
      <c r="P5339" s="132" t="s">
        <v>77</v>
      </c>
      <c r="Q5339" s="176">
        <v>662.07</v>
      </c>
      <c r="R5339" s="176">
        <v>105.93</v>
      </c>
      <c r="S5339" s="176"/>
      <c r="T5339" s="190"/>
      <c r="U5339" s="191"/>
      <c r="V5339" s="191">
        <v>768</v>
      </c>
      <c r="W5339">
        <v>410</v>
      </c>
      <c r="X5339" s="186" t="s">
        <v>3451</v>
      </c>
      <c r="Y5339" s="187" t="s">
        <v>55</v>
      </c>
      <c r="Z5339" s="311">
        <v>255</v>
      </c>
      <c r="AB5339" t="str">
        <f>IF(Table1[[#This Row],[TIPO2]]="costo", VLOOKUP(Table1[[#This Row],[PARTIDA PRESUPUESTAL]],'Cost Report'!G:G,1,0),"Balance")</f>
        <v>2394-029</v>
      </c>
      <c r="AD5339" s="159">
        <f>+Table1[[#This Row],[SUBTOTAL]]+Table1[[#This Row],[IVA]]-Table1[[#This Row],[RET IVA]]-Table1[[#This Row],[RET ISR]]-Table1[[#This Row],[TOTAL]]</f>
        <v>0</v>
      </c>
      <c r="AG5339" t="s">
        <v>3420</v>
      </c>
      <c r="AK5339" s="306" t="str">
        <f>IF(ISNUMBER(Table1[[#This Row],[FECHA DE RECIBIDO]]), Table1[[#This Row],[FECHA DE RECIBIDO]]-DATE(2023,8,30), "")</f>
        <v/>
      </c>
    </row>
    <row r="5340" spans="1:37" ht="16.05" customHeight="1">
      <c r="A5340" s="172" t="s">
        <v>4861</v>
      </c>
      <c r="B5340" s="178">
        <v>1833</v>
      </c>
      <c r="C5340" s="179" t="s">
        <v>2458</v>
      </c>
      <c r="D5340">
        <v>3611</v>
      </c>
      <c r="E5340" s="125" t="s">
        <v>1645</v>
      </c>
      <c r="F5340" s="178" t="s">
        <v>1589</v>
      </c>
      <c r="G5340" s="178" t="s">
        <v>129</v>
      </c>
      <c r="H5340">
        <v>899</v>
      </c>
      <c r="I5340" s="178" t="s">
        <v>1546</v>
      </c>
      <c r="J5340" s="320" t="s">
        <v>214</v>
      </c>
      <c r="K5340" s="178" t="s">
        <v>4871</v>
      </c>
      <c r="L5340" s="125" t="s">
        <v>4849</v>
      </c>
      <c r="M5340">
        <v>1251</v>
      </c>
      <c r="N5340" s="182">
        <v>17</v>
      </c>
      <c r="O5340">
        <v>3446</v>
      </c>
      <c r="P5340" s="132" t="s">
        <v>77</v>
      </c>
      <c r="Q5340" s="176">
        <v>44.83</v>
      </c>
      <c r="R5340" s="176">
        <v>7.17</v>
      </c>
      <c r="S5340" s="176"/>
      <c r="T5340" s="190"/>
      <c r="U5340" s="191"/>
      <c r="V5340" s="191">
        <v>52</v>
      </c>
      <c r="W5340">
        <v>410</v>
      </c>
      <c r="X5340" s="186" t="s">
        <v>3451</v>
      </c>
      <c r="Y5340" s="187" t="s">
        <v>55</v>
      </c>
      <c r="Z5340" s="311">
        <v>255</v>
      </c>
      <c r="AB5340" t="str">
        <f>IF(Table1[[#This Row],[TIPO2]]="costo", VLOOKUP(Table1[[#This Row],[PARTIDA PRESUPUESTAL]],'Cost Report'!G:G,1,0),"Balance")</f>
        <v>2311-003</v>
      </c>
      <c r="AD5340" s="159">
        <f>+Table1[[#This Row],[SUBTOTAL]]+Table1[[#This Row],[IVA]]-Table1[[#This Row],[RET IVA]]-Table1[[#This Row],[RET ISR]]-Table1[[#This Row],[TOTAL]]</f>
        <v>0</v>
      </c>
      <c r="AG5340" t="s">
        <v>3420</v>
      </c>
      <c r="AK5340" s="306" t="str">
        <f>IF(ISNUMBER(Table1[[#This Row],[FECHA DE RECIBIDO]]), Table1[[#This Row],[FECHA DE RECIBIDO]]-DATE(2023,8,30), "")</f>
        <v/>
      </c>
    </row>
    <row r="5341" spans="1:37" ht="16.05" customHeight="1">
      <c r="A5341" s="172" t="s">
        <v>4861</v>
      </c>
      <c r="B5341" s="178">
        <v>1833</v>
      </c>
      <c r="C5341" s="179" t="s">
        <v>1517</v>
      </c>
      <c r="D5341">
        <v>3612</v>
      </c>
      <c r="E5341" s="125" t="s">
        <v>3275</v>
      </c>
      <c r="F5341" s="178" t="s">
        <v>1607</v>
      </c>
      <c r="G5341" s="178" t="s">
        <v>134</v>
      </c>
      <c r="H5341">
        <v>139</v>
      </c>
      <c r="I5341" s="178" t="s">
        <v>1546</v>
      </c>
      <c r="J5341" s="320" t="s">
        <v>214</v>
      </c>
      <c r="K5341" s="178" t="s">
        <v>4871</v>
      </c>
      <c r="L5341" s="125" t="s">
        <v>4849</v>
      </c>
      <c r="M5341">
        <v>181</v>
      </c>
      <c r="N5341" s="182">
        <v>17</v>
      </c>
      <c r="O5341">
        <v>3447</v>
      </c>
      <c r="P5341" s="132" t="s">
        <v>77</v>
      </c>
      <c r="Q5341" s="176">
        <v>764.74</v>
      </c>
      <c r="R5341" s="176">
        <v>122.36</v>
      </c>
      <c r="S5341" s="176"/>
      <c r="T5341" s="190"/>
      <c r="U5341" s="191"/>
      <c r="V5341" s="191">
        <v>887.1</v>
      </c>
      <c r="W5341">
        <v>410</v>
      </c>
      <c r="X5341" s="186" t="s">
        <v>3451</v>
      </c>
      <c r="Y5341" s="187" t="s">
        <v>55</v>
      </c>
      <c r="Z5341" s="311">
        <v>255</v>
      </c>
      <c r="AB5341" t="str">
        <f>IF(Table1[[#This Row],[TIPO2]]="costo", VLOOKUP(Table1[[#This Row],[PARTIDA PRESUPUESTAL]],'Cost Report'!G:G,1,0),"Balance")</f>
        <v>2494-027</v>
      </c>
      <c r="AD5341" s="159">
        <f>+Table1[[#This Row],[SUBTOTAL]]+Table1[[#This Row],[IVA]]-Table1[[#This Row],[RET IVA]]-Table1[[#This Row],[RET ISR]]-Table1[[#This Row],[TOTAL]]</f>
        <v>0</v>
      </c>
      <c r="AG5341" t="s">
        <v>3420</v>
      </c>
      <c r="AK5341" s="306" t="str">
        <f>IF(ISNUMBER(Table1[[#This Row],[FECHA DE RECIBIDO]]), Table1[[#This Row],[FECHA DE RECIBIDO]]-DATE(2023,8,30), "")</f>
        <v/>
      </c>
    </row>
    <row r="5342" spans="1:37" ht="16.05" customHeight="1">
      <c r="A5342" s="172" t="s">
        <v>4861</v>
      </c>
      <c r="B5342" s="178">
        <v>1833</v>
      </c>
      <c r="C5342" s="179" t="s">
        <v>1517</v>
      </c>
      <c r="D5342">
        <v>3613</v>
      </c>
      <c r="E5342" s="125" t="s">
        <v>3275</v>
      </c>
      <c r="F5342" s="178" t="s">
        <v>1607</v>
      </c>
      <c r="G5342" s="178" t="s">
        <v>134</v>
      </c>
      <c r="H5342">
        <v>177</v>
      </c>
      <c r="I5342" s="178" t="s">
        <v>1546</v>
      </c>
      <c r="J5342" s="320" t="s">
        <v>214</v>
      </c>
      <c r="K5342" s="178" t="s">
        <v>4871</v>
      </c>
      <c r="L5342" s="125" t="s">
        <v>4849</v>
      </c>
      <c r="M5342">
        <v>238</v>
      </c>
      <c r="N5342" s="182">
        <v>17</v>
      </c>
      <c r="O5342">
        <v>3448</v>
      </c>
      <c r="P5342" s="132" t="s">
        <v>77</v>
      </c>
      <c r="Q5342" s="176">
        <v>4144.62</v>
      </c>
      <c r="R5342" s="176">
        <v>663.14</v>
      </c>
      <c r="S5342" s="176"/>
      <c r="T5342" s="190"/>
      <c r="U5342" s="191"/>
      <c r="V5342" s="191">
        <v>4807.76</v>
      </c>
      <c r="W5342">
        <v>410</v>
      </c>
      <c r="X5342" s="186" t="s">
        <v>3451</v>
      </c>
      <c r="Y5342" s="187" t="s">
        <v>55</v>
      </c>
      <c r="Z5342" s="311">
        <v>255</v>
      </c>
      <c r="AB5342" t="str">
        <f>IF(Table1[[#This Row],[TIPO2]]="costo", VLOOKUP(Table1[[#This Row],[PARTIDA PRESUPUESTAL]],'Cost Report'!G:G,1,0),"Balance")</f>
        <v>2494-027</v>
      </c>
      <c r="AD5342" s="159">
        <f>+Table1[[#This Row],[SUBTOTAL]]+Table1[[#This Row],[IVA]]-Table1[[#This Row],[RET IVA]]-Table1[[#This Row],[RET ISR]]-Table1[[#This Row],[TOTAL]]</f>
        <v>0</v>
      </c>
      <c r="AG5342" t="s">
        <v>3420</v>
      </c>
      <c r="AK5342" s="306" t="str">
        <f>IF(ISNUMBER(Table1[[#This Row],[FECHA DE RECIBIDO]]), Table1[[#This Row],[FECHA DE RECIBIDO]]-DATE(2023,8,30), "")</f>
        <v/>
      </c>
    </row>
    <row r="5343" spans="1:37" ht="16.05" customHeight="1">
      <c r="A5343" s="172" t="s">
        <v>4861</v>
      </c>
      <c r="B5343" s="178">
        <v>1833</v>
      </c>
      <c r="C5343" s="179" t="s">
        <v>1517</v>
      </c>
      <c r="D5343">
        <v>3614</v>
      </c>
      <c r="E5343" s="125" t="s">
        <v>3275</v>
      </c>
      <c r="F5343" s="178" t="s">
        <v>1607</v>
      </c>
      <c r="G5343" s="178" t="s">
        <v>134</v>
      </c>
      <c r="H5343">
        <v>177</v>
      </c>
      <c r="I5343" s="178" t="s">
        <v>1546</v>
      </c>
      <c r="J5343" s="320" t="s">
        <v>214</v>
      </c>
      <c r="K5343" s="178" t="s">
        <v>4871</v>
      </c>
      <c r="L5343" s="125" t="s">
        <v>4849</v>
      </c>
      <c r="M5343">
        <v>238</v>
      </c>
      <c r="N5343" s="182">
        <v>17</v>
      </c>
      <c r="O5343">
        <v>3449</v>
      </c>
      <c r="P5343" s="132" t="s">
        <v>77</v>
      </c>
      <c r="Q5343" s="176">
        <v>2326.21</v>
      </c>
      <c r="R5343" s="176">
        <v>372.19</v>
      </c>
      <c r="S5343" s="176"/>
      <c r="T5343" s="190"/>
      <c r="U5343" s="191"/>
      <c r="V5343" s="191">
        <v>2698.4</v>
      </c>
      <c r="W5343">
        <v>410</v>
      </c>
      <c r="X5343" s="186" t="s">
        <v>3451</v>
      </c>
      <c r="Y5343" s="187" t="s">
        <v>55</v>
      </c>
      <c r="Z5343" s="311">
        <v>255</v>
      </c>
      <c r="AB5343" t="str">
        <f>IF(Table1[[#This Row],[TIPO2]]="costo", VLOOKUP(Table1[[#This Row],[PARTIDA PRESUPUESTAL]],'Cost Report'!G:G,1,0),"Balance")</f>
        <v>2494-027</v>
      </c>
      <c r="AD5343" s="159">
        <f>+Table1[[#This Row],[SUBTOTAL]]+Table1[[#This Row],[IVA]]-Table1[[#This Row],[RET IVA]]-Table1[[#This Row],[RET ISR]]-Table1[[#This Row],[TOTAL]]</f>
        <v>0</v>
      </c>
      <c r="AG5343" t="s">
        <v>3420</v>
      </c>
      <c r="AK5343" s="306" t="str">
        <f>IF(ISNUMBER(Table1[[#This Row],[FECHA DE RECIBIDO]]), Table1[[#This Row],[FECHA DE RECIBIDO]]-DATE(2023,8,30), "")</f>
        <v/>
      </c>
    </row>
    <row r="5344" spans="1:37" ht="16.05" customHeight="1">
      <c r="A5344" s="172" t="s">
        <v>4861</v>
      </c>
      <c r="B5344" s="178">
        <v>1833</v>
      </c>
      <c r="C5344" s="179" t="s">
        <v>1517</v>
      </c>
      <c r="D5344">
        <v>3615</v>
      </c>
      <c r="E5344" s="125" t="s">
        <v>3275</v>
      </c>
      <c r="F5344" s="178" t="s">
        <v>1607</v>
      </c>
      <c r="G5344" s="178" t="s">
        <v>134</v>
      </c>
      <c r="H5344">
        <v>139</v>
      </c>
      <c r="I5344" s="178" t="s">
        <v>1546</v>
      </c>
      <c r="J5344" s="320" t="s">
        <v>214</v>
      </c>
      <c r="K5344" s="178" t="s">
        <v>4871</v>
      </c>
      <c r="L5344" s="125" t="s">
        <v>4849</v>
      </c>
      <c r="M5344">
        <v>181</v>
      </c>
      <c r="N5344" s="182">
        <v>17</v>
      </c>
      <c r="O5344">
        <v>3450</v>
      </c>
      <c r="P5344" s="132" t="s">
        <v>77</v>
      </c>
      <c r="Q5344" s="176">
        <v>402.98</v>
      </c>
      <c r="R5344" s="176">
        <v>64.48</v>
      </c>
      <c r="S5344" s="176"/>
      <c r="T5344" s="190"/>
      <c r="U5344" s="191"/>
      <c r="V5344" s="191">
        <v>467.46000000000004</v>
      </c>
      <c r="W5344">
        <v>410</v>
      </c>
      <c r="X5344" s="186" t="s">
        <v>3451</v>
      </c>
      <c r="Y5344" s="187" t="s">
        <v>55</v>
      </c>
      <c r="Z5344" s="311">
        <v>255</v>
      </c>
      <c r="AB5344" t="str">
        <f>IF(Table1[[#This Row],[TIPO2]]="costo", VLOOKUP(Table1[[#This Row],[PARTIDA PRESUPUESTAL]],'Cost Report'!G:G,1,0),"Balance")</f>
        <v>2494-027</v>
      </c>
      <c r="AD5344" s="159">
        <f>+Table1[[#This Row],[SUBTOTAL]]+Table1[[#This Row],[IVA]]-Table1[[#This Row],[RET IVA]]-Table1[[#This Row],[RET ISR]]-Table1[[#This Row],[TOTAL]]</f>
        <v>0</v>
      </c>
      <c r="AG5344" t="s">
        <v>3420</v>
      </c>
      <c r="AK5344" s="306" t="str">
        <f>IF(ISNUMBER(Table1[[#This Row],[FECHA DE RECIBIDO]]), Table1[[#This Row],[FECHA DE RECIBIDO]]-DATE(2023,8,30), "")</f>
        <v/>
      </c>
    </row>
    <row r="5345" spans="1:37" ht="16.05" customHeight="1">
      <c r="A5345" s="172" t="s">
        <v>4861</v>
      </c>
      <c r="B5345" s="178">
        <v>1833</v>
      </c>
      <c r="C5345" s="179" t="s">
        <v>1517</v>
      </c>
      <c r="D5345">
        <v>3616</v>
      </c>
      <c r="E5345" s="125" t="s">
        <v>3275</v>
      </c>
      <c r="F5345" s="178" t="s">
        <v>1607</v>
      </c>
      <c r="G5345" s="178" t="s">
        <v>134</v>
      </c>
      <c r="H5345">
        <v>177</v>
      </c>
      <c r="I5345" s="178" t="s">
        <v>1546</v>
      </c>
      <c r="J5345" s="320" t="s">
        <v>214</v>
      </c>
      <c r="K5345" s="178" t="s">
        <v>4871</v>
      </c>
      <c r="L5345" s="125" t="s">
        <v>4849</v>
      </c>
      <c r="M5345">
        <v>238</v>
      </c>
      <c r="N5345" s="182">
        <v>17</v>
      </c>
      <c r="O5345">
        <v>3451</v>
      </c>
      <c r="P5345" s="132" t="s">
        <v>77</v>
      </c>
      <c r="Q5345" s="176">
        <v>206.84</v>
      </c>
      <c r="R5345" s="176">
        <v>33.1</v>
      </c>
      <c r="S5345" s="176"/>
      <c r="T5345" s="190"/>
      <c r="U5345" s="191"/>
      <c r="V5345" s="191">
        <v>239.94</v>
      </c>
      <c r="W5345">
        <v>410</v>
      </c>
      <c r="X5345" s="186" t="s">
        <v>3451</v>
      </c>
      <c r="Y5345" s="187" t="s">
        <v>55</v>
      </c>
      <c r="Z5345" s="311">
        <v>255</v>
      </c>
      <c r="AB5345" t="str">
        <f>IF(Table1[[#This Row],[TIPO2]]="costo", VLOOKUP(Table1[[#This Row],[PARTIDA PRESUPUESTAL]],'Cost Report'!G:G,1,0),"Balance")</f>
        <v>2494-027</v>
      </c>
      <c r="AD5345" s="159">
        <f>+Table1[[#This Row],[SUBTOTAL]]+Table1[[#This Row],[IVA]]-Table1[[#This Row],[RET IVA]]-Table1[[#This Row],[RET ISR]]-Table1[[#This Row],[TOTAL]]</f>
        <v>0</v>
      </c>
      <c r="AG5345" t="s">
        <v>3420</v>
      </c>
      <c r="AK5345" s="306" t="str">
        <f>IF(ISNUMBER(Table1[[#This Row],[FECHA DE RECIBIDO]]), Table1[[#This Row],[FECHA DE RECIBIDO]]-DATE(2023,8,30), "")</f>
        <v/>
      </c>
    </row>
    <row r="5346" spans="1:37" ht="16.05" customHeight="1">
      <c r="A5346" s="172" t="s">
        <v>4861</v>
      </c>
      <c r="B5346" s="178">
        <v>1833</v>
      </c>
      <c r="C5346" s="179" t="s">
        <v>1517</v>
      </c>
      <c r="D5346">
        <v>3617</v>
      </c>
      <c r="E5346" s="125" t="s">
        <v>3275</v>
      </c>
      <c r="F5346" s="178" t="s">
        <v>1607</v>
      </c>
      <c r="G5346" s="178" t="s">
        <v>134</v>
      </c>
      <c r="H5346">
        <v>57</v>
      </c>
      <c r="I5346" s="178" t="s">
        <v>1546</v>
      </c>
      <c r="J5346" s="320" t="s">
        <v>214</v>
      </c>
      <c r="K5346" s="178" t="s">
        <v>4871</v>
      </c>
      <c r="L5346" s="125" t="s">
        <v>4849</v>
      </c>
      <c r="M5346">
        <v>79</v>
      </c>
      <c r="N5346" s="182">
        <v>17</v>
      </c>
      <c r="O5346">
        <v>3452</v>
      </c>
      <c r="P5346" s="132" t="s">
        <v>77</v>
      </c>
      <c r="Q5346" s="176">
        <v>207.76</v>
      </c>
      <c r="R5346" s="176">
        <v>33.24</v>
      </c>
      <c r="S5346" s="176"/>
      <c r="T5346" s="190"/>
      <c r="U5346" s="191"/>
      <c r="V5346" s="191">
        <v>241</v>
      </c>
      <c r="W5346">
        <v>410</v>
      </c>
      <c r="X5346" s="186" t="s">
        <v>3451</v>
      </c>
      <c r="Y5346" s="187" t="s">
        <v>55</v>
      </c>
      <c r="Z5346" s="311">
        <v>255</v>
      </c>
      <c r="AB5346" t="str">
        <f>IF(Table1[[#This Row],[TIPO2]]="costo", VLOOKUP(Table1[[#This Row],[PARTIDA PRESUPUESTAL]],'Cost Report'!G:G,1,0),"Balance")</f>
        <v>2494-027</v>
      </c>
      <c r="AD5346" s="159">
        <f>+Table1[[#This Row],[SUBTOTAL]]+Table1[[#This Row],[IVA]]-Table1[[#This Row],[RET IVA]]-Table1[[#This Row],[RET ISR]]-Table1[[#This Row],[TOTAL]]</f>
        <v>0</v>
      </c>
      <c r="AG5346" t="s">
        <v>3420</v>
      </c>
      <c r="AK5346" s="306" t="str">
        <f>IF(ISNUMBER(Table1[[#This Row],[FECHA DE RECIBIDO]]), Table1[[#This Row],[FECHA DE RECIBIDO]]-DATE(2023,8,30), "")</f>
        <v/>
      </c>
    </row>
    <row r="5347" spans="1:37" ht="16.05" customHeight="1">
      <c r="A5347" s="172" t="s">
        <v>4861</v>
      </c>
      <c r="B5347" s="178">
        <v>1833</v>
      </c>
      <c r="C5347" s="179" t="s">
        <v>1517</v>
      </c>
      <c r="D5347">
        <v>3618</v>
      </c>
      <c r="E5347" s="125" t="s">
        <v>1614</v>
      </c>
      <c r="F5347" s="178" t="s">
        <v>1602</v>
      </c>
      <c r="G5347" s="178" t="s">
        <v>1617</v>
      </c>
      <c r="H5347">
        <v>238</v>
      </c>
      <c r="I5347" s="178" t="s">
        <v>1546</v>
      </c>
      <c r="J5347" s="320" t="s">
        <v>214</v>
      </c>
      <c r="K5347" s="178" t="s">
        <v>4871</v>
      </c>
      <c r="L5347" s="125" t="s">
        <v>4849</v>
      </c>
      <c r="M5347">
        <v>310</v>
      </c>
      <c r="N5347" s="182">
        <v>17</v>
      </c>
      <c r="O5347">
        <v>3453</v>
      </c>
      <c r="P5347" s="132" t="s">
        <v>77</v>
      </c>
      <c r="Q5347" s="176">
        <v>1560</v>
      </c>
      <c r="R5347" s="176">
        <v>249.6</v>
      </c>
      <c r="S5347" s="176"/>
      <c r="T5347" s="190"/>
      <c r="U5347" s="191"/>
      <c r="V5347" s="191">
        <v>1809.6</v>
      </c>
      <c r="W5347">
        <v>410</v>
      </c>
      <c r="X5347" s="186" t="s">
        <v>3451</v>
      </c>
      <c r="Y5347" s="187" t="s">
        <v>55</v>
      </c>
      <c r="Z5347" s="311">
        <v>255</v>
      </c>
      <c r="AB5347" t="str">
        <f>IF(Table1[[#This Row],[TIPO2]]="costo", VLOOKUP(Table1[[#This Row],[PARTIDA PRESUPUESTAL]],'Cost Report'!G:G,1,0),"Balance")</f>
        <v>2494-027</v>
      </c>
      <c r="AD5347" s="159">
        <f>+Table1[[#This Row],[SUBTOTAL]]+Table1[[#This Row],[IVA]]-Table1[[#This Row],[RET IVA]]-Table1[[#This Row],[RET ISR]]-Table1[[#This Row],[TOTAL]]</f>
        <v>0</v>
      </c>
      <c r="AG5347" t="s">
        <v>3420</v>
      </c>
      <c r="AK5347" s="306" t="str">
        <f>IF(ISNUMBER(Table1[[#This Row],[FECHA DE RECIBIDO]]), Table1[[#This Row],[FECHA DE RECIBIDO]]-DATE(2023,8,30), "")</f>
        <v/>
      </c>
    </row>
    <row r="5348" spans="1:37" ht="16.05" customHeight="1">
      <c r="A5348" s="172" t="s">
        <v>4861</v>
      </c>
      <c r="B5348" s="178">
        <v>1833</v>
      </c>
      <c r="C5348" s="179" t="s">
        <v>1517</v>
      </c>
      <c r="D5348">
        <v>3619</v>
      </c>
      <c r="E5348" s="125" t="s">
        <v>1614</v>
      </c>
      <c r="F5348" s="178" t="s">
        <v>1602</v>
      </c>
      <c r="G5348" s="178" t="s">
        <v>1617</v>
      </c>
      <c r="H5348">
        <v>238</v>
      </c>
      <c r="I5348" s="178" t="s">
        <v>1546</v>
      </c>
      <c r="J5348" s="320" t="s">
        <v>214</v>
      </c>
      <c r="K5348" s="178" t="s">
        <v>4871</v>
      </c>
      <c r="L5348" s="125" t="s">
        <v>4849</v>
      </c>
      <c r="M5348">
        <v>310</v>
      </c>
      <c r="N5348" s="182">
        <v>17</v>
      </c>
      <c r="O5348">
        <v>3454</v>
      </c>
      <c r="P5348" s="132" t="s">
        <v>77</v>
      </c>
      <c r="Q5348" s="176">
        <v>1450</v>
      </c>
      <c r="R5348" s="176">
        <v>232</v>
      </c>
      <c r="S5348" s="176"/>
      <c r="T5348" s="190"/>
      <c r="U5348" s="191"/>
      <c r="V5348" s="191">
        <v>1682</v>
      </c>
      <c r="W5348">
        <v>410</v>
      </c>
      <c r="X5348" s="186" t="s">
        <v>3451</v>
      </c>
      <c r="Y5348" s="187" t="s">
        <v>55</v>
      </c>
      <c r="Z5348" s="311">
        <v>255</v>
      </c>
      <c r="AB5348" t="str">
        <f>IF(Table1[[#This Row],[TIPO2]]="costo", VLOOKUP(Table1[[#This Row],[PARTIDA PRESUPUESTAL]],'Cost Report'!G:G,1,0),"Balance")</f>
        <v>2494-027</v>
      </c>
      <c r="AD5348" s="159">
        <f>+Table1[[#This Row],[SUBTOTAL]]+Table1[[#This Row],[IVA]]-Table1[[#This Row],[RET IVA]]-Table1[[#This Row],[RET ISR]]-Table1[[#This Row],[TOTAL]]</f>
        <v>0</v>
      </c>
      <c r="AG5348" t="s">
        <v>3420</v>
      </c>
      <c r="AK5348" s="306" t="str">
        <f>IF(ISNUMBER(Table1[[#This Row],[FECHA DE RECIBIDO]]), Table1[[#This Row],[FECHA DE RECIBIDO]]-DATE(2023,8,30), "")</f>
        <v/>
      </c>
    </row>
    <row r="5349" spans="1:37" ht="16.05" customHeight="1">
      <c r="A5349" s="172" t="s">
        <v>4861</v>
      </c>
      <c r="B5349" s="178">
        <v>1833</v>
      </c>
      <c r="C5349" s="179" t="s">
        <v>1517</v>
      </c>
      <c r="D5349">
        <v>3620</v>
      </c>
      <c r="E5349" s="125" t="s">
        <v>1614</v>
      </c>
      <c r="F5349" s="178" t="s">
        <v>1602</v>
      </c>
      <c r="G5349" s="178" t="s">
        <v>1617</v>
      </c>
      <c r="H5349">
        <v>238</v>
      </c>
      <c r="I5349" s="178" t="s">
        <v>1546</v>
      </c>
      <c r="J5349" s="320" t="s">
        <v>214</v>
      </c>
      <c r="K5349" s="178" t="s">
        <v>4871</v>
      </c>
      <c r="L5349" s="125" t="s">
        <v>4849</v>
      </c>
      <c r="M5349">
        <v>310</v>
      </c>
      <c r="N5349" s="182">
        <v>17</v>
      </c>
      <c r="O5349">
        <v>3455</v>
      </c>
      <c r="P5349" s="132" t="s">
        <v>77</v>
      </c>
      <c r="Q5349" s="176">
        <v>1400</v>
      </c>
      <c r="R5349" s="176">
        <v>224</v>
      </c>
      <c r="S5349" s="176"/>
      <c r="T5349" s="190"/>
      <c r="U5349" s="191"/>
      <c r="V5349" s="191">
        <v>1624</v>
      </c>
      <c r="W5349">
        <v>410</v>
      </c>
      <c r="X5349" s="186" t="s">
        <v>3451</v>
      </c>
      <c r="Y5349" s="187" t="s">
        <v>55</v>
      </c>
      <c r="Z5349" s="311">
        <v>255</v>
      </c>
      <c r="AB5349" t="str">
        <f>IF(Table1[[#This Row],[TIPO2]]="costo", VLOOKUP(Table1[[#This Row],[PARTIDA PRESUPUESTAL]],'Cost Report'!G:G,1,0),"Balance")</f>
        <v>2494-027</v>
      </c>
      <c r="AD5349" s="159">
        <f>+Table1[[#This Row],[SUBTOTAL]]+Table1[[#This Row],[IVA]]-Table1[[#This Row],[RET IVA]]-Table1[[#This Row],[RET ISR]]-Table1[[#This Row],[TOTAL]]</f>
        <v>0</v>
      </c>
      <c r="AG5349" t="s">
        <v>3420</v>
      </c>
      <c r="AK5349" s="306" t="str">
        <f>IF(ISNUMBER(Table1[[#This Row],[FECHA DE RECIBIDO]]), Table1[[#This Row],[FECHA DE RECIBIDO]]-DATE(2023,8,30), "")</f>
        <v/>
      </c>
    </row>
    <row r="5350" spans="1:37" ht="16.05" customHeight="1">
      <c r="A5350" s="172" t="s">
        <v>4861</v>
      </c>
      <c r="B5350" s="178">
        <v>1833</v>
      </c>
      <c r="C5350" s="179" t="s">
        <v>1517</v>
      </c>
      <c r="D5350">
        <v>3621</v>
      </c>
      <c r="E5350" s="125" t="s">
        <v>1614</v>
      </c>
      <c r="F5350" s="178" t="s">
        <v>1602</v>
      </c>
      <c r="G5350" s="178" t="s">
        <v>1617</v>
      </c>
      <c r="H5350">
        <v>238</v>
      </c>
      <c r="I5350" s="178" t="s">
        <v>1546</v>
      </c>
      <c r="J5350" s="320" t="s">
        <v>214</v>
      </c>
      <c r="K5350" s="178" t="s">
        <v>4871</v>
      </c>
      <c r="L5350" s="125" t="s">
        <v>4849</v>
      </c>
      <c r="M5350">
        <v>310</v>
      </c>
      <c r="N5350" s="182">
        <v>17</v>
      </c>
      <c r="O5350">
        <v>3456</v>
      </c>
      <c r="P5350" s="132" t="s">
        <v>77</v>
      </c>
      <c r="Q5350" s="176">
        <v>1200</v>
      </c>
      <c r="R5350" s="176">
        <v>192</v>
      </c>
      <c r="S5350" s="176"/>
      <c r="T5350" s="190"/>
      <c r="U5350" s="191"/>
      <c r="V5350" s="191">
        <v>1392</v>
      </c>
      <c r="W5350">
        <v>410</v>
      </c>
      <c r="X5350" s="186" t="s">
        <v>3451</v>
      </c>
      <c r="Y5350" s="187" t="s">
        <v>55</v>
      </c>
      <c r="Z5350" s="311">
        <v>255</v>
      </c>
      <c r="AB5350" t="str">
        <f>IF(Table1[[#This Row],[TIPO2]]="costo", VLOOKUP(Table1[[#This Row],[PARTIDA PRESUPUESTAL]],'Cost Report'!G:G,1,0),"Balance")</f>
        <v>2494-027</v>
      </c>
      <c r="AD5350" s="159">
        <f>+Table1[[#This Row],[SUBTOTAL]]+Table1[[#This Row],[IVA]]-Table1[[#This Row],[RET IVA]]-Table1[[#This Row],[RET ISR]]-Table1[[#This Row],[TOTAL]]</f>
        <v>0</v>
      </c>
      <c r="AG5350" t="s">
        <v>3420</v>
      </c>
      <c r="AK5350" s="306" t="str">
        <f>IF(ISNUMBER(Table1[[#This Row],[FECHA DE RECIBIDO]]), Table1[[#This Row],[FECHA DE RECIBIDO]]-DATE(2023,8,30), "")</f>
        <v/>
      </c>
    </row>
    <row r="5351" spans="1:37" ht="16.05" customHeight="1">
      <c r="A5351" s="172" t="s">
        <v>4861</v>
      </c>
      <c r="B5351" s="178">
        <v>1833</v>
      </c>
      <c r="C5351" s="179" t="s">
        <v>2546</v>
      </c>
      <c r="D5351">
        <v>3622</v>
      </c>
      <c r="E5351" s="125" t="s">
        <v>4862</v>
      </c>
      <c r="F5351" s="178" t="s">
        <v>1602</v>
      </c>
      <c r="G5351" s="178" t="s">
        <v>1617</v>
      </c>
      <c r="H5351">
        <v>900</v>
      </c>
      <c r="I5351" s="178" t="s">
        <v>1546</v>
      </c>
      <c r="J5351" s="320" t="s">
        <v>214</v>
      </c>
      <c r="K5351" s="178" t="s">
        <v>4871</v>
      </c>
      <c r="L5351" s="125" t="s">
        <v>4849</v>
      </c>
      <c r="M5351">
        <v>1252</v>
      </c>
      <c r="N5351" s="182">
        <v>17</v>
      </c>
      <c r="O5351">
        <v>3457</v>
      </c>
      <c r="P5351" s="132" t="s">
        <v>77</v>
      </c>
      <c r="Q5351" s="176">
        <v>650.88</v>
      </c>
      <c r="R5351" s="176">
        <v>104.14</v>
      </c>
      <c r="S5351" s="176"/>
      <c r="T5351" s="190"/>
      <c r="U5351" s="191"/>
      <c r="V5351" s="191">
        <v>755.02</v>
      </c>
      <c r="W5351">
        <v>410</v>
      </c>
      <c r="X5351" s="186" t="s">
        <v>3451</v>
      </c>
      <c r="Y5351" s="187" t="s">
        <v>55</v>
      </c>
      <c r="Z5351" s="311">
        <v>246</v>
      </c>
      <c r="AB5351" t="str">
        <f>IF(Table1[[#This Row],[TIPO2]]="costo", VLOOKUP(Table1[[#This Row],[PARTIDA PRESUPUESTAL]],'Cost Report'!G:G,1,0),"Balance")</f>
        <v>2494-071</v>
      </c>
      <c r="AD5351" s="159">
        <f>+Table1[[#This Row],[SUBTOTAL]]+Table1[[#This Row],[IVA]]-Table1[[#This Row],[RET IVA]]-Table1[[#This Row],[RET ISR]]-Table1[[#This Row],[TOTAL]]</f>
        <v>0</v>
      </c>
      <c r="AG5351" t="s">
        <v>3420</v>
      </c>
      <c r="AK5351" s="306" t="str">
        <f>IF(ISNUMBER(Table1[[#This Row],[FECHA DE RECIBIDO]]), Table1[[#This Row],[FECHA DE RECIBIDO]]-DATE(2023,8,30), "")</f>
        <v/>
      </c>
    </row>
    <row r="5352" spans="1:37" ht="16.05" customHeight="1">
      <c r="A5352" s="172" t="s">
        <v>4861</v>
      </c>
      <c r="B5352" s="178">
        <v>1833</v>
      </c>
      <c r="C5352" s="179" t="s">
        <v>2455</v>
      </c>
      <c r="D5352">
        <v>3623</v>
      </c>
      <c r="E5352" s="125"/>
      <c r="F5352" s="178"/>
      <c r="G5352" s="178"/>
      <c r="H5352"/>
      <c r="I5352" s="178"/>
      <c r="J5352" s="320" t="s">
        <v>214</v>
      </c>
      <c r="K5352" s="178" t="s">
        <v>4871</v>
      </c>
      <c r="L5352" s="125" t="s">
        <v>4849</v>
      </c>
      <c r="M5352">
        <v>809</v>
      </c>
      <c r="N5352" s="182">
        <v>17</v>
      </c>
      <c r="O5352">
        <v>3458</v>
      </c>
      <c r="P5352" s="132" t="s">
        <v>77</v>
      </c>
      <c r="Q5352" s="176">
        <v>34.22</v>
      </c>
      <c r="R5352" s="176"/>
      <c r="S5352" s="176"/>
      <c r="T5352" s="190"/>
      <c r="U5352" s="191"/>
      <c r="V5352" s="191">
        <v>34.22</v>
      </c>
      <c r="W5352">
        <v>410</v>
      </c>
      <c r="X5352" s="186" t="s">
        <v>3451</v>
      </c>
      <c r="Y5352" s="187" t="s">
        <v>55</v>
      </c>
      <c r="Z5352" s="311">
        <v>268</v>
      </c>
      <c r="AB5352" t="str">
        <f>IF(Table1[[#This Row],[TIPO2]]="costo", VLOOKUP(Table1[[#This Row],[PARTIDA PRESUPUESTAL]],'Cost Report'!G:G,1,0),"Balance")</f>
        <v>2285-003</v>
      </c>
      <c r="AD5352" s="159">
        <f>+Table1[[#This Row],[SUBTOTAL]]+Table1[[#This Row],[IVA]]-Table1[[#This Row],[RET IVA]]-Table1[[#This Row],[RET ISR]]-Table1[[#This Row],[TOTAL]]</f>
        <v>0</v>
      </c>
      <c r="AG5352" t="s">
        <v>3420</v>
      </c>
      <c r="AK5352" s="306" t="str">
        <f>IF(ISNUMBER(Table1[[#This Row],[FECHA DE RECIBIDO]]), Table1[[#This Row],[FECHA DE RECIBIDO]]-DATE(2023,8,30), "")</f>
        <v/>
      </c>
    </row>
    <row r="5353" spans="1:37" ht="16.05" customHeight="1">
      <c r="A5353" s="172" t="s">
        <v>4864</v>
      </c>
      <c r="B5353" s="178">
        <v>1834</v>
      </c>
      <c r="C5353" s="179" t="s">
        <v>2546</v>
      </c>
      <c r="D5353">
        <v>3624</v>
      </c>
      <c r="E5353" s="125" t="s">
        <v>3262</v>
      </c>
      <c r="F5353" s="178" t="s">
        <v>1607</v>
      </c>
      <c r="G5353" s="178" t="s">
        <v>134</v>
      </c>
      <c r="H5353">
        <v>224</v>
      </c>
      <c r="I5353" s="178" t="s">
        <v>1546</v>
      </c>
      <c r="J5353" s="320" t="s">
        <v>214</v>
      </c>
      <c r="K5353" s="178" t="s">
        <v>4871</v>
      </c>
      <c r="L5353" s="125" t="s">
        <v>4849</v>
      </c>
      <c r="M5353">
        <v>290</v>
      </c>
      <c r="N5353" s="182">
        <v>17</v>
      </c>
      <c r="O5353">
        <v>3459</v>
      </c>
      <c r="P5353" s="132" t="s">
        <v>77</v>
      </c>
      <c r="Q5353" s="176">
        <v>3960.62</v>
      </c>
      <c r="R5353" s="176">
        <v>633.65</v>
      </c>
      <c r="S5353" s="176"/>
      <c r="T5353" s="190"/>
      <c r="U5353" s="191"/>
      <c r="V5353" s="191">
        <v>4594.2699999999995</v>
      </c>
      <c r="W5353">
        <v>101</v>
      </c>
      <c r="X5353" s="186" t="s">
        <v>3451</v>
      </c>
      <c r="Y5353" s="187" t="s">
        <v>55</v>
      </c>
      <c r="Z5353" s="311">
        <v>247</v>
      </c>
      <c r="AB5353" t="str">
        <f>IF(Table1[[#This Row],[TIPO2]]="costo", VLOOKUP(Table1[[#This Row],[PARTIDA PRESUPUESTAL]],'Cost Report'!G:G,1,0),"Balance")</f>
        <v>2494-071</v>
      </c>
      <c r="AD5353" s="159">
        <f>+Table1[[#This Row],[SUBTOTAL]]+Table1[[#This Row],[IVA]]-Table1[[#This Row],[RET IVA]]-Table1[[#This Row],[RET ISR]]-Table1[[#This Row],[TOTAL]]</f>
        <v>0</v>
      </c>
      <c r="AG5353" t="s">
        <v>3420</v>
      </c>
      <c r="AK5353" s="306" t="str">
        <f>IF(ISNUMBER(Table1[[#This Row],[FECHA DE RECIBIDO]]), Table1[[#This Row],[FECHA DE RECIBIDO]]-DATE(2023,8,30), "")</f>
        <v/>
      </c>
    </row>
    <row r="5354" spans="1:37" ht="16.05" customHeight="1">
      <c r="A5354" s="172" t="s">
        <v>4864</v>
      </c>
      <c r="B5354" s="178">
        <v>1834</v>
      </c>
      <c r="C5354" s="179" t="s">
        <v>2546</v>
      </c>
      <c r="D5354">
        <v>3625</v>
      </c>
      <c r="E5354" s="125" t="s">
        <v>3262</v>
      </c>
      <c r="F5354" s="178" t="s">
        <v>1607</v>
      </c>
      <c r="G5354" s="178" t="s">
        <v>134</v>
      </c>
      <c r="H5354">
        <v>224</v>
      </c>
      <c r="I5354" s="178" t="s">
        <v>1546</v>
      </c>
      <c r="J5354" s="320" t="s">
        <v>214</v>
      </c>
      <c r="K5354" s="178" t="s">
        <v>4871</v>
      </c>
      <c r="L5354" s="125" t="s">
        <v>4849</v>
      </c>
      <c r="M5354">
        <v>290</v>
      </c>
      <c r="N5354" s="182">
        <v>17</v>
      </c>
      <c r="O5354">
        <v>3460</v>
      </c>
      <c r="P5354" s="132" t="s">
        <v>77</v>
      </c>
      <c r="Q5354" s="176">
        <v>1033.22</v>
      </c>
      <c r="R5354" s="176">
        <v>165.29</v>
      </c>
      <c r="S5354" s="176"/>
      <c r="T5354" s="190"/>
      <c r="U5354" s="191"/>
      <c r="V5354" s="191">
        <v>1198.51</v>
      </c>
      <c r="W5354">
        <v>101</v>
      </c>
      <c r="X5354" s="186" t="s">
        <v>3451</v>
      </c>
      <c r="Y5354" s="187" t="s">
        <v>55</v>
      </c>
      <c r="Z5354" s="311">
        <v>248</v>
      </c>
      <c r="AB5354" t="str">
        <f>IF(Table1[[#This Row],[TIPO2]]="costo", VLOOKUP(Table1[[#This Row],[PARTIDA PRESUPUESTAL]],'Cost Report'!G:G,1,0),"Balance")</f>
        <v>2494-071</v>
      </c>
      <c r="AD5354" s="159">
        <f>+Table1[[#This Row],[SUBTOTAL]]+Table1[[#This Row],[IVA]]-Table1[[#This Row],[RET IVA]]-Table1[[#This Row],[RET ISR]]-Table1[[#This Row],[TOTAL]]</f>
        <v>0</v>
      </c>
      <c r="AG5354" t="s">
        <v>3420</v>
      </c>
      <c r="AK5354" s="306" t="str">
        <f>IF(ISNUMBER(Table1[[#This Row],[FECHA DE RECIBIDO]]), Table1[[#This Row],[FECHA DE RECIBIDO]]-DATE(2023,8,30), "")</f>
        <v/>
      </c>
    </row>
    <row r="5355" spans="1:37" ht="16.05" customHeight="1">
      <c r="A5355" s="172" t="s">
        <v>4864</v>
      </c>
      <c r="B5355" s="178">
        <v>1834</v>
      </c>
      <c r="C5355" s="179" t="s">
        <v>2540</v>
      </c>
      <c r="D5355">
        <v>3626</v>
      </c>
      <c r="E5355" s="125" t="s">
        <v>1988</v>
      </c>
      <c r="F5355" s="178" t="s">
        <v>1589</v>
      </c>
      <c r="G5355" s="178" t="s">
        <v>129</v>
      </c>
      <c r="H5355">
        <v>901</v>
      </c>
      <c r="I5355" s="178" t="s">
        <v>1546</v>
      </c>
      <c r="J5355" s="320" t="s">
        <v>214</v>
      </c>
      <c r="K5355" s="178" t="s">
        <v>4871</v>
      </c>
      <c r="L5355" s="125" t="s">
        <v>4849</v>
      </c>
      <c r="M5355">
        <v>1253</v>
      </c>
      <c r="N5355" s="182">
        <v>17</v>
      </c>
      <c r="O5355">
        <v>3461</v>
      </c>
      <c r="P5355" s="132" t="s">
        <v>77</v>
      </c>
      <c r="Q5355" s="176">
        <v>970</v>
      </c>
      <c r="R5355" s="176">
        <v>155.19999999999999</v>
      </c>
      <c r="S5355" s="176"/>
      <c r="T5355" s="190"/>
      <c r="U5355" s="191"/>
      <c r="V5355" s="191">
        <v>1125.2</v>
      </c>
      <c r="W5355">
        <v>101</v>
      </c>
      <c r="X5355" s="186" t="s">
        <v>3451</v>
      </c>
      <c r="Y5355" s="187" t="s">
        <v>55</v>
      </c>
      <c r="Z5355" s="311">
        <v>259</v>
      </c>
      <c r="AB5355" t="str">
        <f>IF(Table1[[#This Row],[TIPO2]]="costo", VLOOKUP(Table1[[#This Row],[PARTIDA PRESUPUESTAL]],'Cost Report'!G:G,1,0),"Balance")</f>
        <v>2494-059</v>
      </c>
      <c r="AD5355" s="159">
        <f>+Table1[[#This Row],[SUBTOTAL]]+Table1[[#This Row],[IVA]]-Table1[[#This Row],[RET IVA]]-Table1[[#This Row],[RET ISR]]-Table1[[#This Row],[TOTAL]]</f>
        <v>0</v>
      </c>
      <c r="AG5355" t="s">
        <v>3420</v>
      </c>
      <c r="AK5355" s="306" t="str">
        <f>IF(ISNUMBER(Table1[[#This Row],[FECHA DE RECIBIDO]]), Table1[[#This Row],[FECHA DE RECIBIDO]]-DATE(2023,8,30), "")</f>
        <v/>
      </c>
    </row>
    <row r="5356" spans="1:37" ht="16.05" customHeight="1">
      <c r="A5356" s="172" t="s">
        <v>4864</v>
      </c>
      <c r="B5356" s="178">
        <v>1834</v>
      </c>
      <c r="C5356" s="179" t="s">
        <v>2546</v>
      </c>
      <c r="D5356">
        <v>3627</v>
      </c>
      <c r="E5356" s="125" t="s">
        <v>1596</v>
      </c>
      <c r="F5356" s="178" t="s">
        <v>1607</v>
      </c>
      <c r="G5356" s="178" t="s">
        <v>134</v>
      </c>
      <c r="H5356">
        <v>57</v>
      </c>
      <c r="I5356" s="178" t="s">
        <v>1546</v>
      </c>
      <c r="J5356" s="320" t="s">
        <v>214</v>
      </c>
      <c r="K5356" s="178" t="s">
        <v>4871</v>
      </c>
      <c r="L5356" s="125" t="s">
        <v>4849</v>
      </c>
      <c r="M5356">
        <v>79</v>
      </c>
      <c r="N5356" s="182">
        <v>17</v>
      </c>
      <c r="O5356">
        <v>3462</v>
      </c>
      <c r="P5356" s="132" t="s">
        <v>77</v>
      </c>
      <c r="Q5356" s="176">
        <v>286.64</v>
      </c>
      <c r="R5356" s="176">
        <v>45.86</v>
      </c>
      <c r="S5356" s="176"/>
      <c r="T5356" s="190"/>
      <c r="U5356" s="191"/>
      <c r="V5356" s="191">
        <v>332.5</v>
      </c>
      <c r="W5356">
        <v>101</v>
      </c>
      <c r="X5356" s="186" t="s">
        <v>3451</v>
      </c>
      <c r="Y5356" s="187" t="s">
        <v>55</v>
      </c>
      <c r="Z5356" s="311">
        <v>257</v>
      </c>
      <c r="AB5356" t="str">
        <f>IF(Table1[[#This Row],[TIPO2]]="costo", VLOOKUP(Table1[[#This Row],[PARTIDA PRESUPUESTAL]],'Cost Report'!G:G,1,0),"Balance")</f>
        <v>2494-071</v>
      </c>
      <c r="AD5356" s="159">
        <f>+Table1[[#This Row],[SUBTOTAL]]+Table1[[#This Row],[IVA]]-Table1[[#This Row],[RET IVA]]-Table1[[#This Row],[RET ISR]]-Table1[[#This Row],[TOTAL]]</f>
        <v>0</v>
      </c>
      <c r="AG5356" t="s">
        <v>3420</v>
      </c>
      <c r="AK5356" s="306" t="str">
        <f>IF(ISNUMBER(Table1[[#This Row],[FECHA DE RECIBIDO]]), Table1[[#This Row],[FECHA DE RECIBIDO]]-DATE(2023,8,30), "")</f>
        <v/>
      </c>
    </row>
    <row r="5357" spans="1:37" ht="16.05" customHeight="1">
      <c r="A5357" s="172" t="s">
        <v>4864</v>
      </c>
      <c r="B5357" s="178">
        <v>1834</v>
      </c>
      <c r="C5357" s="179" t="s">
        <v>1517</v>
      </c>
      <c r="D5357">
        <v>3628</v>
      </c>
      <c r="E5357" s="125" t="s">
        <v>3354</v>
      </c>
      <c r="F5357" s="178" t="s">
        <v>1382</v>
      </c>
      <c r="G5357" s="178" t="e">
        <v>#N/A</v>
      </c>
      <c r="H5357">
        <v>31</v>
      </c>
      <c r="I5357" s="178" t="s">
        <v>1546</v>
      </c>
      <c r="J5357" s="320" t="s">
        <v>214</v>
      </c>
      <c r="K5357" s="178" t="s">
        <v>4871</v>
      </c>
      <c r="L5357" s="125" t="s">
        <v>4849</v>
      </c>
      <c r="M5357">
        <v>69</v>
      </c>
      <c r="N5357" s="182">
        <v>17</v>
      </c>
      <c r="O5357">
        <v>3463</v>
      </c>
      <c r="P5357" s="132" t="s">
        <v>77</v>
      </c>
      <c r="Q5357" s="176">
        <v>129.31</v>
      </c>
      <c r="R5357" s="176">
        <v>20.69</v>
      </c>
      <c r="S5357" s="176"/>
      <c r="T5357" s="190"/>
      <c r="U5357" s="191"/>
      <c r="V5357" s="191">
        <v>150</v>
      </c>
      <c r="W5357">
        <v>101</v>
      </c>
      <c r="X5357" s="186" t="s">
        <v>3451</v>
      </c>
      <c r="Y5357" s="187" t="s">
        <v>55</v>
      </c>
      <c r="Z5357" s="311">
        <v>260</v>
      </c>
      <c r="AB5357" t="str">
        <f>IF(Table1[[#This Row],[TIPO2]]="costo", VLOOKUP(Table1[[#This Row],[PARTIDA PRESUPUESTAL]],'Cost Report'!G:G,1,0),"Balance")</f>
        <v>2494-027</v>
      </c>
      <c r="AD5357" s="159">
        <f>+Table1[[#This Row],[SUBTOTAL]]+Table1[[#This Row],[IVA]]-Table1[[#This Row],[RET IVA]]-Table1[[#This Row],[RET ISR]]-Table1[[#This Row],[TOTAL]]</f>
        <v>0</v>
      </c>
      <c r="AG5357" t="s">
        <v>3420</v>
      </c>
      <c r="AK5357" s="306" t="str">
        <f>IF(ISNUMBER(Table1[[#This Row],[FECHA DE RECIBIDO]]), Table1[[#This Row],[FECHA DE RECIBIDO]]-DATE(2023,8,30), "")</f>
        <v/>
      </c>
    </row>
    <row r="5358" spans="1:37" ht="16.05" customHeight="1">
      <c r="A5358" s="172" t="s">
        <v>4864</v>
      </c>
      <c r="B5358" s="178">
        <v>1834</v>
      </c>
      <c r="C5358" s="179" t="s">
        <v>1517</v>
      </c>
      <c r="D5358">
        <v>3629</v>
      </c>
      <c r="E5358" s="125" t="s">
        <v>3275</v>
      </c>
      <c r="F5358" s="178" t="s">
        <v>1607</v>
      </c>
      <c r="G5358" s="178" t="s">
        <v>134</v>
      </c>
      <c r="H5358">
        <v>139</v>
      </c>
      <c r="I5358" s="178" t="s">
        <v>1546</v>
      </c>
      <c r="J5358" s="320" t="s">
        <v>214</v>
      </c>
      <c r="K5358" s="178" t="s">
        <v>4871</v>
      </c>
      <c r="L5358" s="125" t="s">
        <v>4849</v>
      </c>
      <c r="M5358">
        <v>181</v>
      </c>
      <c r="N5358" s="182">
        <v>17</v>
      </c>
      <c r="O5358">
        <v>3464</v>
      </c>
      <c r="P5358" s="132" t="s">
        <v>77</v>
      </c>
      <c r="Q5358" s="176">
        <v>441.42</v>
      </c>
      <c r="R5358" s="176">
        <v>70.63</v>
      </c>
      <c r="S5358" s="176"/>
      <c r="T5358" s="190"/>
      <c r="U5358" s="191"/>
      <c r="V5358" s="191">
        <v>512.04999999999995</v>
      </c>
      <c r="W5358">
        <v>101</v>
      </c>
      <c r="X5358" s="186" t="s">
        <v>3451</v>
      </c>
      <c r="Y5358" s="187" t="s">
        <v>55</v>
      </c>
      <c r="Z5358" s="311">
        <v>259</v>
      </c>
      <c r="AB5358" t="str">
        <f>IF(Table1[[#This Row],[TIPO2]]="costo", VLOOKUP(Table1[[#This Row],[PARTIDA PRESUPUESTAL]],'Cost Report'!G:G,1,0),"Balance")</f>
        <v>2494-027</v>
      </c>
      <c r="AD5358" s="159">
        <f>+Table1[[#This Row],[SUBTOTAL]]+Table1[[#This Row],[IVA]]-Table1[[#This Row],[RET IVA]]-Table1[[#This Row],[RET ISR]]-Table1[[#This Row],[TOTAL]]</f>
        <v>0</v>
      </c>
      <c r="AG5358" t="s">
        <v>3420</v>
      </c>
      <c r="AK5358" s="306" t="str">
        <f>IF(ISNUMBER(Table1[[#This Row],[FECHA DE RECIBIDO]]), Table1[[#This Row],[FECHA DE RECIBIDO]]-DATE(2023,8,30), "")</f>
        <v/>
      </c>
    </row>
    <row r="5359" spans="1:37" ht="16.05" customHeight="1">
      <c r="A5359" s="172" t="s">
        <v>4864</v>
      </c>
      <c r="B5359" s="178">
        <v>1834</v>
      </c>
      <c r="C5359" s="179" t="s">
        <v>1517</v>
      </c>
      <c r="D5359">
        <v>3630</v>
      </c>
      <c r="E5359" s="125" t="s">
        <v>3275</v>
      </c>
      <c r="F5359" s="178" t="s">
        <v>1607</v>
      </c>
      <c r="G5359" s="178" t="s">
        <v>134</v>
      </c>
      <c r="H5359">
        <v>139</v>
      </c>
      <c r="I5359" s="178" t="s">
        <v>1546</v>
      </c>
      <c r="J5359" s="320" t="s">
        <v>214</v>
      </c>
      <c r="K5359" s="178" t="s">
        <v>4871</v>
      </c>
      <c r="L5359" s="125" t="s">
        <v>4849</v>
      </c>
      <c r="M5359">
        <v>181</v>
      </c>
      <c r="N5359" s="182">
        <v>17</v>
      </c>
      <c r="O5359">
        <v>3465</v>
      </c>
      <c r="P5359" s="132" t="s">
        <v>77</v>
      </c>
      <c r="Q5359" s="176">
        <v>88.28</v>
      </c>
      <c r="R5359" s="176">
        <v>14.12</v>
      </c>
      <c r="S5359" s="176"/>
      <c r="T5359" s="190"/>
      <c r="U5359" s="191"/>
      <c r="V5359" s="191">
        <v>102.4</v>
      </c>
      <c r="W5359">
        <v>101</v>
      </c>
      <c r="X5359" s="186" t="s">
        <v>3451</v>
      </c>
      <c r="Y5359" s="187" t="s">
        <v>55</v>
      </c>
      <c r="Z5359" s="311">
        <v>259</v>
      </c>
      <c r="AB5359" t="str">
        <f>IF(Table1[[#This Row],[TIPO2]]="costo", VLOOKUP(Table1[[#This Row],[PARTIDA PRESUPUESTAL]],'Cost Report'!G:G,1,0),"Balance")</f>
        <v>2494-027</v>
      </c>
      <c r="AD5359" s="159">
        <f>+Table1[[#This Row],[SUBTOTAL]]+Table1[[#This Row],[IVA]]-Table1[[#This Row],[RET IVA]]-Table1[[#This Row],[RET ISR]]-Table1[[#This Row],[TOTAL]]</f>
        <v>0</v>
      </c>
      <c r="AG5359" t="s">
        <v>3420</v>
      </c>
      <c r="AK5359" s="306" t="str">
        <f>IF(ISNUMBER(Table1[[#This Row],[FECHA DE RECIBIDO]]), Table1[[#This Row],[FECHA DE RECIBIDO]]-DATE(2023,8,30), "")</f>
        <v/>
      </c>
    </row>
    <row r="5360" spans="1:37" ht="16.05" customHeight="1">
      <c r="A5360" s="172" t="s">
        <v>4864</v>
      </c>
      <c r="B5360" s="178">
        <v>1834</v>
      </c>
      <c r="C5360" s="179" t="s">
        <v>610</v>
      </c>
      <c r="D5360">
        <v>3631</v>
      </c>
      <c r="E5360" s="125" t="s">
        <v>1596</v>
      </c>
      <c r="F5360" s="178" t="s">
        <v>1382</v>
      </c>
      <c r="G5360" s="178" t="e">
        <v>#N/A</v>
      </c>
      <c r="H5360">
        <v>31</v>
      </c>
      <c r="I5360" s="178" t="s">
        <v>1546</v>
      </c>
      <c r="J5360" s="320" t="s">
        <v>214</v>
      </c>
      <c r="K5360" s="178" t="s">
        <v>4871</v>
      </c>
      <c r="L5360" s="125" t="s">
        <v>4849</v>
      </c>
      <c r="M5360">
        <v>69</v>
      </c>
      <c r="N5360" s="182">
        <v>17</v>
      </c>
      <c r="O5360">
        <v>3466</v>
      </c>
      <c r="P5360" s="132" t="s">
        <v>77</v>
      </c>
      <c r="Q5360" s="176">
        <v>878.19</v>
      </c>
      <c r="R5360" s="176">
        <v>140.51</v>
      </c>
      <c r="S5360" s="176"/>
      <c r="T5360" s="190"/>
      <c r="U5360" s="191"/>
      <c r="V5360" s="191">
        <v>1018.7</v>
      </c>
      <c r="W5360">
        <v>101</v>
      </c>
      <c r="X5360" s="186" t="s">
        <v>3451</v>
      </c>
      <c r="Y5360" s="187" t="s">
        <v>55</v>
      </c>
      <c r="Z5360" s="311">
        <v>264</v>
      </c>
      <c r="AB5360" t="str">
        <f>IF(Table1[[#This Row],[TIPO2]]="costo", VLOOKUP(Table1[[#This Row],[PARTIDA PRESUPUESTAL]],'Cost Report'!G:G,1,0),"Balance")</f>
        <v>2485-003</v>
      </c>
      <c r="AD5360" s="159">
        <f>+Table1[[#This Row],[SUBTOTAL]]+Table1[[#This Row],[IVA]]-Table1[[#This Row],[RET IVA]]-Table1[[#This Row],[RET ISR]]-Table1[[#This Row],[TOTAL]]</f>
        <v>0</v>
      </c>
      <c r="AG5360" t="s">
        <v>3420</v>
      </c>
      <c r="AK5360" s="306" t="str">
        <f>IF(ISNUMBER(Table1[[#This Row],[FECHA DE RECIBIDO]]), Table1[[#This Row],[FECHA DE RECIBIDO]]-DATE(2023,8,30), "")</f>
        <v/>
      </c>
    </row>
    <row r="5361" spans="1:37" ht="16.05" customHeight="1">
      <c r="A5361" s="172" t="s">
        <v>4864</v>
      </c>
      <c r="B5361" s="178">
        <v>1834</v>
      </c>
      <c r="C5361" s="179" t="s">
        <v>610</v>
      </c>
      <c r="D5361">
        <v>3632</v>
      </c>
      <c r="E5361" s="125" t="s">
        <v>1603</v>
      </c>
      <c r="F5361" s="178" t="s">
        <v>1607</v>
      </c>
      <c r="G5361" s="178" t="s">
        <v>134</v>
      </c>
      <c r="H5361">
        <v>99</v>
      </c>
      <c r="I5361" s="178" t="s">
        <v>1546</v>
      </c>
      <c r="J5361" s="320" t="s">
        <v>214</v>
      </c>
      <c r="K5361" s="178" t="s">
        <v>4871</v>
      </c>
      <c r="L5361" s="125" t="s">
        <v>4849</v>
      </c>
      <c r="M5361">
        <v>134</v>
      </c>
      <c r="N5361" s="182">
        <v>17</v>
      </c>
      <c r="O5361">
        <v>3467</v>
      </c>
      <c r="P5361" s="132" t="s">
        <v>77</v>
      </c>
      <c r="Q5361" s="176">
        <v>1638.79</v>
      </c>
      <c r="R5361" s="176">
        <v>262.20999999999998</v>
      </c>
      <c r="S5361" s="176"/>
      <c r="T5361" s="190"/>
      <c r="U5361" s="191"/>
      <c r="V5361" s="191">
        <v>1901</v>
      </c>
      <c r="W5361">
        <v>101</v>
      </c>
      <c r="X5361" s="186" t="s">
        <v>3451</v>
      </c>
      <c r="Y5361" s="187" t="s">
        <v>55</v>
      </c>
      <c r="Z5361" s="311">
        <v>257</v>
      </c>
      <c r="AB5361" t="str">
        <f>IF(Table1[[#This Row],[TIPO2]]="costo", VLOOKUP(Table1[[#This Row],[PARTIDA PRESUPUESTAL]],'Cost Report'!G:G,1,0),"Balance")</f>
        <v>2485-003</v>
      </c>
      <c r="AD5361" s="159">
        <f>+Table1[[#This Row],[SUBTOTAL]]+Table1[[#This Row],[IVA]]-Table1[[#This Row],[RET IVA]]-Table1[[#This Row],[RET ISR]]-Table1[[#This Row],[TOTAL]]</f>
        <v>0</v>
      </c>
      <c r="AG5361" t="s">
        <v>3420</v>
      </c>
      <c r="AK5361" s="306" t="str">
        <f>IF(ISNUMBER(Table1[[#This Row],[FECHA DE RECIBIDO]]), Table1[[#This Row],[FECHA DE RECIBIDO]]-DATE(2023,8,30), "")</f>
        <v/>
      </c>
    </row>
    <row r="5362" spans="1:37" ht="16.05" customHeight="1">
      <c r="A5362" s="172" t="s">
        <v>4864</v>
      </c>
      <c r="B5362" s="178">
        <v>1834</v>
      </c>
      <c r="C5362" s="179" t="s">
        <v>2540</v>
      </c>
      <c r="D5362">
        <v>3633</v>
      </c>
      <c r="E5362" s="125" t="s">
        <v>3356</v>
      </c>
      <c r="F5362" s="178" t="s">
        <v>1607</v>
      </c>
      <c r="G5362" s="178" t="s">
        <v>134</v>
      </c>
      <c r="H5362">
        <v>609</v>
      </c>
      <c r="I5362" s="178" t="s">
        <v>1546</v>
      </c>
      <c r="J5362" s="320" t="s">
        <v>214</v>
      </c>
      <c r="K5362" s="178" t="s">
        <v>4871</v>
      </c>
      <c r="L5362" s="125" t="s">
        <v>4849</v>
      </c>
      <c r="M5362">
        <v>863</v>
      </c>
      <c r="N5362" s="182">
        <v>17</v>
      </c>
      <c r="O5362">
        <v>3468</v>
      </c>
      <c r="P5362" s="132" t="s">
        <v>77</v>
      </c>
      <c r="Q5362" s="176">
        <v>1033.6199999999999</v>
      </c>
      <c r="R5362" s="176">
        <v>165.38</v>
      </c>
      <c r="S5362" s="176"/>
      <c r="T5362" s="190"/>
      <c r="U5362" s="191"/>
      <c r="V5362" s="191">
        <v>1199</v>
      </c>
      <c r="W5362">
        <v>101</v>
      </c>
      <c r="X5362" s="186" t="s">
        <v>3451</v>
      </c>
      <c r="Y5362" s="187" t="s">
        <v>55</v>
      </c>
      <c r="Z5362" s="311">
        <v>253</v>
      </c>
      <c r="AB5362" t="str">
        <f>IF(Table1[[#This Row],[TIPO2]]="costo", VLOOKUP(Table1[[#This Row],[PARTIDA PRESUPUESTAL]],'Cost Report'!G:G,1,0),"Balance")</f>
        <v>2494-059</v>
      </c>
      <c r="AD5362" s="159">
        <f>+Table1[[#This Row],[SUBTOTAL]]+Table1[[#This Row],[IVA]]-Table1[[#This Row],[RET IVA]]-Table1[[#This Row],[RET ISR]]-Table1[[#This Row],[TOTAL]]</f>
        <v>0</v>
      </c>
      <c r="AG5362" t="s">
        <v>3420</v>
      </c>
      <c r="AK5362" s="306" t="str">
        <f>IF(ISNUMBER(Table1[[#This Row],[FECHA DE RECIBIDO]]), Table1[[#This Row],[FECHA DE RECIBIDO]]-DATE(2023,8,30), "")</f>
        <v/>
      </c>
    </row>
    <row r="5363" spans="1:37" ht="16.05" customHeight="1">
      <c r="A5363" s="172" t="s">
        <v>4864</v>
      </c>
      <c r="B5363" s="178">
        <v>1834</v>
      </c>
      <c r="C5363" s="179" t="s">
        <v>1517</v>
      </c>
      <c r="D5363">
        <v>3634</v>
      </c>
      <c r="E5363" s="125" t="s">
        <v>3356</v>
      </c>
      <c r="F5363" s="178" t="s">
        <v>1607</v>
      </c>
      <c r="G5363" s="178" t="s">
        <v>134</v>
      </c>
      <c r="H5363">
        <v>156</v>
      </c>
      <c r="I5363" s="178" t="s">
        <v>1546</v>
      </c>
      <c r="J5363" s="320" t="s">
        <v>214</v>
      </c>
      <c r="K5363" s="178" t="s">
        <v>4871</v>
      </c>
      <c r="L5363" s="125" t="s">
        <v>4849</v>
      </c>
      <c r="M5363">
        <v>207</v>
      </c>
      <c r="N5363" s="182">
        <v>17</v>
      </c>
      <c r="O5363">
        <v>3469</v>
      </c>
      <c r="P5363" s="132" t="s">
        <v>77</v>
      </c>
      <c r="Q5363" s="176">
        <v>601.72</v>
      </c>
      <c r="R5363" s="176">
        <v>96.28</v>
      </c>
      <c r="S5363" s="176"/>
      <c r="T5363" s="190"/>
      <c r="U5363" s="191"/>
      <c r="V5363" s="191">
        <v>698</v>
      </c>
      <c r="W5363">
        <v>101</v>
      </c>
      <c r="X5363" s="186" t="s">
        <v>3451</v>
      </c>
      <c r="Y5363" s="187" t="s">
        <v>55</v>
      </c>
      <c r="Z5363" s="311">
        <v>264</v>
      </c>
      <c r="AB5363" t="str">
        <f>IF(Table1[[#This Row],[TIPO2]]="costo", VLOOKUP(Table1[[#This Row],[PARTIDA PRESUPUESTAL]],'Cost Report'!G:G,1,0),"Balance")</f>
        <v>2494-027</v>
      </c>
      <c r="AD5363" s="159">
        <f>+Table1[[#This Row],[SUBTOTAL]]+Table1[[#This Row],[IVA]]-Table1[[#This Row],[RET IVA]]-Table1[[#This Row],[RET ISR]]-Table1[[#This Row],[TOTAL]]</f>
        <v>0</v>
      </c>
      <c r="AG5363" t="s">
        <v>3420</v>
      </c>
      <c r="AK5363" s="306" t="str">
        <f>IF(ISNUMBER(Table1[[#This Row],[FECHA DE RECIBIDO]]), Table1[[#This Row],[FECHA DE RECIBIDO]]-DATE(2023,8,30), "")</f>
        <v/>
      </c>
    </row>
    <row r="5364" spans="1:37" ht="16.05" customHeight="1">
      <c r="A5364" s="172" t="s">
        <v>4864</v>
      </c>
      <c r="B5364" s="178">
        <v>1834</v>
      </c>
      <c r="C5364" s="179" t="s">
        <v>1517</v>
      </c>
      <c r="D5364">
        <v>3635</v>
      </c>
      <c r="E5364" s="125" t="s">
        <v>3356</v>
      </c>
      <c r="F5364" s="178" t="s">
        <v>1607</v>
      </c>
      <c r="G5364" s="178" t="s">
        <v>134</v>
      </c>
      <c r="H5364">
        <v>91</v>
      </c>
      <c r="I5364" s="178" t="s">
        <v>1546</v>
      </c>
      <c r="J5364" s="320" t="s">
        <v>214</v>
      </c>
      <c r="K5364" s="178" t="s">
        <v>4871</v>
      </c>
      <c r="L5364" s="125" t="s">
        <v>4849</v>
      </c>
      <c r="M5364">
        <v>122</v>
      </c>
      <c r="N5364" s="182">
        <v>17</v>
      </c>
      <c r="O5364">
        <v>3470</v>
      </c>
      <c r="P5364" s="132" t="s">
        <v>77</v>
      </c>
      <c r="Q5364" s="176">
        <v>905.18</v>
      </c>
      <c r="R5364" s="176">
        <v>144.83000000000001</v>
      </c>
      <c r="S5364" s="176"/>
      <c r="T5364" s="190"/>
      <c r="U5364" s="191"/>
      <c r="V5364" s="191">
        <v>1050.01</v>
      </c>
      <c r="W5364">
        <v>101</v>
      </c>
      <c r="X5364" s="186" t="s">
        <v>3451</v>
      </c>
      <c r="Y5364" s="187" t="s">
        <v>55</v>
      </c>
      <c r="Z5364" s="311">
        <v>259</v>
      </c>
      <c r="AB5364" t="str">
        <f>IF(Table1[[#This Row],[TIPO2]]="costo", VLOOKUP(Table1[[#This Row],[PARTIDA PRESUPUESTAL]],'Cost Report'!G:G,1,0),"Balance")</f>
        <v>2494-027</v>
      </c>
      <c r="AD5364" s="159">
        <f>+Table1[[#This Row],[SUBTOTAL]]+Table1[[#This Row],[IVA]]-Table1[[#This Row],[RET IVA]]-Table1[[#This Row],[RET ISR]]-Table1[[#This Row],[TOTAL]]</f>
        <v>0</v>
      </c>
      <c r="AG5364" t="s">
        <v>3420</v>
      </c>
      <c r="AK5364" s="306" t="str">
        <f>IF(ISNUMBER(Table1[[#This Row],[FECHA DE RECIBIDO]]), Table1[[#This Row],[FECHA DE RECIBIDO]]-DATE(2023,8,30), "")</f>
        <v/>
      </c>
    </row>
    <row r="5365" spans="1:37" ht="16.05" customHeight="1">
      <c r="A5365" s="172" t="s">
        <v>4864</v>
      </c>
      <c r="B5365" s="178">
        <v>1834</v>
      </c>
      <c r="C5365" s="179" t="s">
        <v>1517</v>
      </c>
      <c r="D5365">
        <v>3636</v>
      </c>
      <c r="E5365" s="125" t="s">
        <v>1603</v>
      </c>
      <c r="F5365" s="178" t="s">
        <v>1607</v>
      </c>
      <c r="G5365" s="178" t="s">
        <v>134</v>
      </c>
      <c r="H5365">
        <v>274</v>
      </c>
      <c r="I5365" s="178" t="s">
        <v>1546</v>
      </c>
      <c r="J5365" s="320" t="s">
        <v>214</v>
      </c>
      <c r="K5365" s="178" t="s">
        <v>4871</v>
      </c>
      <c r="L5365" s="125" t="s">
        <v>4849</v>
      </c>
      <c r="M5365">
        <v>365</v>
      </c>
      <c r="N5365" s="182">
        <v>17</v>
      </c>
      <c r="O5365">
        <v>3471</v>
      </c>
      <c r="P5365" s="132" t="s">
        <v>77</v>
      </c>
      <c r="Q5365" s="176">
        <v>181.9</v>
      </c>
      <c r="R5365" s="176">
        <v>29.1</v>
      </c>
      <c r="S5365" s="176"/>
      <c r="T5365" s="190"/>
      <c r="U5365" s="191"/>
      <c r="V5365" s="191">
        <v>211</v>
      </c>
      <c r="W5365">
        <v>101</v>
      </c>
      <c r="X5365" s="186" t="s">
        <v>3451</v>
      </c>
      <c r="Y5365" s="187" t="s">
        <v>55</v>
      </c>
      <c r="Z5365" s="311">
        <v>260</v>
      </c>
      <c r="AB5365" t="str">
        <f>IF(Table1[[#This Row],[TIPO2]]="costo", VLOOKUP(Table1[[#This Row],[PARTIDA PRESUPUESTAL]],'Cost Report'!G:G,1,0),"Balance")</f>
        <v>2494-027</v>
      </c>
      <c r="AD5365" s="159">
        <f>+Table1[[#This Row],[SUBTOTAL]]+Table1[[#This Row],[IVA]]-Table1[[#This Row],[RET IVA]]-Table1[[#This Row],[RET ISR]]-Table1[[#This Row],[TOTAL]]</f>
        <v>0</v>
      </c>
      <c r="AG5365" t="s">
        <v>3420</v>
      </c>
      <c r="AK5365" s="306" t="str">
        <f>IF(ISNUMBER(Table1[[#This Row],[FECHA DE RECIBIDO]]), Table1[[#This Row],[FECHA DE RECIBIDO]]-DATE(2023,8,30), "")</f>
        <v/>
      </c>
    </row>
    <row r="5366" spans="1:37" ht="16.05" customHeight="1">
      <c r="A5366" s="172" t="s">
        <v>4864</v>
      </c>
      <c r="B5366" s="178">
        <v>1834</v>
      </c>
      <c r="C5366" s="179" t="s">
        <v>1517</v>
      </c>
      <c r="D5366">
        <v>3637</v>
      </c>
      <c r="E5366" s="125" t="s">
        <v>2063</v>
      </c>
      <c r="F5366" s="178" t="s">
        <v>1589</v>
      </c>
      <c r="G5366" s="178" t="s">
        <v>129</v>
      </c>
      <c r="H5366">
        <v>902</v>
      </c>
      <c r="I5366" s="178" t="s">
        <v>1546</v>
      </c>
      <c r="J5366" s="320" t="s">
        <v>214</v>
      </c>
      <c r="K5366" s="178" t="s">
        <v>4871</v>
      </c>
      <c r="L5366" s="125" t="s">
        <v>4849</v>
      </c>
      <c r="M5366">
        <v>1254</v>
      </c>
      <c r="N5366" s="182">
        <v>17</v>
      </c>
      <c r="O5366">
        <v>3472</v>
      </c>
      <c r="P5366" s="132" t="s">
        <v>77</v>
      </c>
      <c r="Q5366" s="176">
        <v>100</v>
      </c>
      <c r="R5366" s="176">
        <v>16</v>
      </c>
      <c r="S5366" s="176"/>
      <c r="T5366" s="190"/>
      <c r="U5366" s="191"/>
      <c r="V5366" s="191">
        <v>116</v>
      </c>
      <c r="W5366">
        <v>101</v>
      </c>
      <c r="X5366" s="186" t="s">
        <v>3451</v>
      </c>
      <c r="Y5366" s="187" t="s">
        <v>55</v>
      </c>
      <c r="Z5366" s="311">
        <v>260</v>
      </c>
      <c r="AB5366" t="str">
        <f>IF(Table1[[#This Row],[TIPO2]]="costo", VLOOKUP(Table1[[#This Row],[PARTIDA PRESUPUESTAL]],'Cost Report'!G:G,1,0),"Balance")</f>
        <v>2494-027</v>
      </c>
      <c r="AD5366" s="159">
        <f>+Table1[[#This Row],[SUBTOTAL]]+Table1[[#This Row],[IVA]]-Table1[[#This Row],[RET IVA]]-Table1[[#This Row],[RET ISR]]-Table1[[#This Row],[TOTAL]]</f>
        <v>0</v>
      </c>
      <c r="AG5366" t="s">
        <v>3420</v>
      </c>
      <c r="AK5366" s="306" t="str">
        <f>IF(ISNUMBER(Table1[[#This Row],[FECHA DE RECIBIDO]]), Table1[[#This Row],[FECHA DE RECIBIDO]]-DATE(2023,8,30), "")</f>
        <v/>
      </c>
    </row>
    <row r="5367" spans="1:37" ht="16.05" customHeight="1">
      <c r="A5367" s="172" t="s">
        <v>4864</v>
      </c>
      <c r="B5367" s="178">
        <v>1834</v>
      </c>
      <c r="C5367" s="179" t="s">
        <v>2540</v>
      </c>
      <c r="D5367">
        <v>3638</v>
      </c>
      <c r="E5367" s="125" t="s">
        <v>3356</v>
      </c>
      <c r="F5367" s="178" t="s">
        <v>1607</v>
      </c>
      <c r="G5367" s="178" t="s">
        <v>134</v>
      </c>
      <c r="H5367">
        <v>609</v>
      </c>
      <c r="I5367" s="178" t="s">
        <v>1546</v>
      </c>
      <c r="J5367" s="320" t="s">
        <v>214</v>
      </c>
      <c r="K5367" s="178" t="s">
        <v>4871</v>
      </c>
      <c r="L5367" s="125" t="s">
        <v>4849</v>
      </c>
      <c r="M5367">
        <v>863</v>
      </c>
      <c r="N5367" s="182">
        <v>17</v>
      </c>
      <c r="O5367">
        <v>3473</v>
      </c>
      <c r="P5367" s="132" t="s">
        <v>77</v>
      </c>
      <c r="Q5367" s="176">
        <v>343.44</v>
      </c>
      <c r="R5367" s="176">
        <v>54.96</v>
      </c>
      <c r="S5367" s="176"/>
      <c r="T5367" s="190"/>
      <c r="U5367" s="191"/>
      <c r="V5367" s="191">
        <v>398.4</v>
      </c>
      <c r="W5367">
        <v>101</v>
      </c>
      <c r="X5367" s="186" t="s">
        <v>3451</v>
      </c>
      <c r="Y5367" s="187" t="s">
        <v>55</v>
      </c>
      <c r="Z5367" s="311">
        <v>253</v>
      </c>
      <c r="AB5367" t="str">
        <f>IF(Table1[[#This Row],[TIPO2]]="costo", VLOOKUP(Table1[[#This Row],[PARTIDA PRESUPUESTAL]],'Cost Report'!G:G,1,0),"Balance")</f>
        <v>2494-059</v>
      </c>
      <c r="AD5367" s="159">
        <f>+Table1[[#This Row],[SUBTOTAL]]+Table1[[#This Row],[IVA]]-Table1[[#This Row],[RET IVA]]-Table1[[#This Row],[RET ISR]]-Table1[[#This Row],[TOTAL]]</f>
        <v>0</v>
      </c>
      <c r="AG5367" t="s">
        <v>3420</v>
      </c>
      <c r="AK5367" s="306" t="str">
        <f>IF(ISNUMBER(Table1[[#This Row],[FECHA DE RECIBIDO]]), Table1[[#This Row],[FECHA DE RECIBIDO]]-DATE(2023,8,30), "")</f>
        <v/>
      </c>
    </row>
    <row r="5368" spans="1:37" ht="16.05" customHeight="1">
      <c r="A5368" s="172" t="s">
        <v>4864</v>
      </c>
      <c r="B5368" s="178">
        <v>1834</v>
      </c>
      <c r="C5368" s="179" t="s">
        <v>2455</v>
      </c>
      <c r="D5368">
        <v>3639</v>
      </c>
      <c r="E5368" s="125" t="s">
        <v>1605</v>
      </c>
      <c r="F5368" s="178" t="s">
        <v>1382</v>
      </c>
      <c r="G5368" s="178" t="e">
        <v>#N/A</v>
      </c>
      <c r="H5368">
        <v>31</v>
      </c>
      <c r="I5368" s="178" t="s">
        <v>1546</v>
      </c>
      <c r="J5368" s="320" t="s">
        <v>214</v>
      </c>
      <c r="K5368" s="178" t="s">
        <v>4871</v>
      </c>
      <c r="L5368" s="125" t="s">
        <v>4849</v>
      </c>
      <c r="M5368">
        <v>69</v>
      </c>
      <c r="N5368" s="182">
        <v>17</v>
      </c>
      <c r="O5368">
        <v>3474</v>
      </c>
      <c r="P5368" s="132" t="s">
        <v>77</v>
      </c>
      <c r="Q5368" s="176">
        <f>170.18+7.41</f>
        <v>177.59</v>
      </c>
      <c r="R5368" s="176">
        <v>12.41</v>
      </c>
      <c r="S5368" s="176">
        <v>7.41</v>
      </c>
      <c r="T5368" s="190"/>
      <c r="U5368" s="191"/>
      <c r="V5368" s="191">
        <v>190</v>
      </c>
      <c r="W5368">
        <v>101</v>
      </c>
      <c r="X5368" s="186" t="s">
        <v>3451</v>
      </c>
      <c r="Y5368" s="187" t="s">
        <v>55</v>
      </c>
      <c r="Z5368" s="311">
        <v>266</v>
      </c>
      <c r="AB5368" t="str">
        <f>IF(Table1[[#This Row],[TIPO2]]="costo", VLOOKUP(Table1[[#This Row],[PARTIDA PRESUPUESTAL]],'Cost Report'!G:G,1,0),"Balance")</f>
        <v>2285-003</v>
      </c>
      <c r="AD5368" s="159">
        <f>+Table1[[#This Row],[SUBTOTAL]]+Table1[[#This Row],[IVA]]-Table1[[#This Row],[RET IVA]]-Table1[[#This Row],[RET ISR]]-Table1[[#This Row],[TOTAL]]</f>
        <v>0</v>
      </c>
      <c r="AG5368" t="s">
        <v>3420</v>
      </c>
      <c r="AK5368" s="306" t="str">
        <f>IF(ISNUMBER(Table1[[#This Row],[FECHA DE RECIBIDO]]), Table1[[#This Row],[FECHA DE RECIBIDO]]-DATE(2023,8,30), "")</f>
        <v/>
      </c>
    </row>
    <row r="5369" spans="1:37" ht="16.05" customHeight="1">
      <c r="A5369" s="172" t="s">
        <v>4864</v>
      </c>
      <c r="B5369" s="178">
        <v>1834</v>
      </c>
      <c r="C5369" s="179" t="s">
        <v>1517</v>
      </c>
      <c r="D5369">
        <v>3640</v>
      </c>
      <c r="E5369" s="125" t="s">
        <v>1609</v>
      </c>
      <c r="F5369" s="178" t="s">
        <v>1607</v>
      </c>
      <c r="G5369" s="178" t="s">
        <v>134</v>
      </c>
      <c r="H5369">
        <v>903</v>
      </c>
      <c r="I5369" s="178" t="s">
        <v>1546</v>
      </c>
      <c r="J5369" s="320" t="s">
        <v>214</v>
      </c>
      <c r="K5369" s="178" t="s">
        <v>4871</v>
      </c>
      <c r="L5369" s="125" t="s">
        <v>4849</v>
      </c>
      <c r="M5369">
        <v>1255</v>
      </c>
      <c r="N5369" s="182">
        <v>17</v>
      </c>
      <c r="O5369">
        <v>3475</v>
      </c>
      <c r="P5369" s="132" t="s">
        <v>77</v>
      </c>
      <c r="Q5369" s="176">
        <v>3359.07</v>
      </c>
      <c r="R5369" s="176">
        <v>537.45000000000005</v>
      </c>
      <c r="S5369" s="176"/>
      <c r="T5369" s="190"/>
      <c r="U5369" s="191"/>
      <c r="V5369" s="191">
        <v>3896.5200000000004</v>
      </c>
      <c r="W5369">
        <v>101</v>
      </c>
      <c r="X5369" s="186" t="s">
        <v>3451</v>
      </c>
      <c r="Y5369" s="187" t="s">
        <v>55</v>
      </c>
      <c r="Z5369" s="311">
        <v>266</v>
      </c>
      <c r="AB5369" t="str">
        <f>IF(Table1[[#This Row],[TIPO2]]="costo", VLOOKUP(Table1[[#This Row],[PARTIDA PRESUPUESTAL]],'Cost Report'!G:G,1,0),"Balance")</f>
        <v>2494-027</v>
      </c>
      <c r="AD5369" s="159">
        <f>+Table1[[#This Row],[SUBTOTAL]]+Table1[[#This Row],[IVA]]-Table1[[#This Row],[RET IVA]]-Table1[[#This Row],[RET ISR]]-Table1[[#This Row],[TOTAL]]</f>
        <v>0</v>
      </c>
      <c r="AG5369" t="s">
        <v>3420</v>
      </c>
      <c r="AK5369" s="306" t="str">
        <f>IF(ISNUMBER(Table1[[#This Row],[FECHA DE RECIBIDO]]), Table1[[#This Row],[FECHA DE RECIBIDO]]-DATE(2023,8,30), "")</f>
        <v/>
      </c>
    </row>
    <row r="5370" spans="1:37" ht="16.05" customHeight="1">
      <c r="A5370" s="172" t="s">
        <v>4864</v>
      </c>
      <c r="B5370" s="178">
        <v>1834</v>
      </c>
      <c r="C5370" s="179" t="s">
        <v>2455</v>
      </c>
      <c r="D5370">
        <v>689</v>
      </c>
      <c r="E5370" s="125"/>
      <c r="F5370" s="178"/>
      <c r="G5370" s="178"/>
      <c r="H5370"/>
      <c r="I5370" s="178"/>
      <c r="J5370" s="320" t="s">
        <v>214</v>
      </c>
      <c r="K5370" s="178" t="s">
        <v>4871</v>
      </c>
      <c r="L5370" s="125" t="s">
        <v>4849</v>
      </c>
      <c r="M5370">
        <v>805</v>
      </c>
      <c r="N5370" s="182">
        <v>17</v>
      </c>
      <c r="O5370">
        <v>3055</v>
      </c>
      <c r="P5370" s="132" t="s">
        <v>77</v>
      </c>
      <c r="Q5370" s="176">
        <v>20</v>
      </c>
      <c r="R5370" s="176"/>
      <c r="S5370" s="176"/>
      <c r="T5370" s="190"/>
      <c r="U5370" s="191"/>
      <c r="V5370" s="191">
        <v>20</v>
      </c>
      <c r="W5370">
        <v>101</v>
      </c>
      <c r="X5370" s="186" t="s">
        <v>3451</v>
      </c>
      <c r="Y5370" s="187" t="s">
        <v>55</v>
      </c>
      <c r="Z5370" s="311">
        <v>257</v>
      </c>
      <c r="AB5370" t="str">
        <f>IF(Table1[[#This Row],[TIPO2]]="costo", VLOOKUP(Table1[[#This Row],[PARTIDA PRESUPUESTAL]],'Cost Report'!G:G,1,0),"Balance")</f>
        <v>2285-003</v>
      </c>
      <c r="AD5370" s="159">
        <f>+Table1[[#This Row],[SUBTOTAL]]+Table1[[#This Row],[IVA]]-Table1[[#This Row],[RET IVA]]-Table1[[#This Row],[RET ISR]]-Table1[[#This Row],[TOTAL]]</f>
        <v>0</v>
      </c>
      <c r="AG5370" t="s">
        <v>3420</v>
      </c>
      <c r="AK5370" s="306" t="str">
        <f>IF(ISNUMBER(Table1[[#This Row],[FECHA DE RECIBIDO]]), Table1[[#This Row],[FECHA DE RECIBIDO]]-DATE(2023,8,30), "")</f>
        <v/>
      </c>
    </row>
    <row r="5371" spans="1:37" ht="16.05" customHeight="1">
      <c r="A5371" s="172" t="s">
        <v>4864</v>
      </c>
      <c r="B5371" s="178">
        <v>1834</v>
      </c>
      <c r="C5371" s="179" t="s">
        <v>2455</v>
      </c>
      <c r="D5371">
        <v>689</v>
      </c>
      <c r="E5371" s="125"/>
      <c r="F5371" s="178"/>
      <c r="G5371" s="178"/>
      <c r="H5371"/>
      <c r="I5371" s="178"/>
      <c r="J5371" s="320" t="s">
        <v>214</v>
      </c>
      <c r="K5371" s="178" t="s">
        <v>4871</v>
      </c>
      <c r="L5371" s="125" t="s">
        <v>4849</v>
      </c>
      <c r="M5371">
        <v>1256</v>
      </c>
      <c r="N5371" s="182">
        <v>17</v>
      </c>
      <c r="O5371">
        <v>3055</v>
      </c>
      <c r="P5371" s="132" t="s">
        <v>77</v>
      </c>
      <c r="Q5371" s="176">
        <v>60</v>
      </c>
      <c r="R5371" s="176"/>
      <c r="S5371" s="176"/>
      <c r="T5371" s="190"/>
      <c r="U5371" s="191"/>
      <c r="V5371" s="191">
        <v>60</v>
      </c>
      <c r="W5371">
        <v>101</v>
      </c>
      <c r="X5371" s="186" t="s">
        <v>3451</v>
      </c>
      <c r="Y5371" s="187" t="s">
        <v>55</v>
      </c>
      <c r="Z5371" s="311">
        <v>259</v>
      </c>
      <c r="AB5371" t="str">
        <f>IF(Table1[[#This Row],[TIPO2]]="costo", VLOOKUP(Table1[[#This Row],[PARTIDA PRESUPUESTAL]],'Cost Report'!G:G,1,0),"Balance")</f>
        <v>2285-003</v>
      </c>
      <c r="AD5371" s="159">
        <f>+Table1[[#This Row],[SUBTOTAL]]+Table1[[#This Row],[IVA]]-Table1[[#This Row],[RET IVA]]-Table1[[#This Row],[RET ISR]]-Table1[[#This Row],[TOTAL]]</f>
        <v>0</v>
      </c>
      <c r="AG5371" t="s">
        <v>3420</v>
      </c>
      <c r="AK5371" s="306" t="str">
        <f>IF(ISNUMBER(Table1[[#This Row],[FECHA DE RECIBIDO]]), Table1[[#This Row],[FECHA DE RECIBIDO]]-DATE(2023,8,30), "")</f>
        <v/>
      </c>
    </row>
    <row r="5372" spans="1:37" ht="16.05" customHeight="1">
      <c r="A5372" s="172" t="s">
        <v>4864</v>
      </c>
      <c r="B5372" s="178">
        <v>1834</v>
      </c>
      <c r="C5372" s="179" t="s">
        <v>1517</v>
      </c>
      <c r="D5372">
        <v>689</v>
      </c>
      <c r="E5372" s="125"/>
      <c r="F5372" s="178"/>
      <c r="G5372" s="178"/>
      <c r="H5372"/>
      <c r="I5372" s="178"/>
      <c r="J5372" s="320" t="s">
        <v>214</v>
      </c>
      <c r="K5372" s="178" t="s">
        <v>4871</v>
      </c>
      <c r="L5372" s="125" t="s">
        <v>4849</v>
      </c>
      <c r="M5372">
        <v>1257</v>
      </c>
      <c r="N5372" s="182">
        <v>17</v>
      </c>
      <c r="O5372">
        <v>3476</v>
      </c>
      <c r="P5372" s="132" t="s">
        <v>77</v>
      </c>
      <c r="Q5372" s="176">
        <v>50</v>
      </c>
      <c r="R5372" s="176"/>
      <c r="S5372" s="176"/>
      <c r="T5372" s="190"/>
      <c r="U5372" s="191"/>
      <c r="V5372" s="191">
        <v>50</v>
      </c>
      <c r="W5372">
        <v>101</v>
      </c>
      <c r="X5372" s="186" t="s">
        <v>3451</v>
      </c>
      <c r="Y5372" s="187" t="s">
        <v>55</v>
      </c>
      <c r="Z5372" s="311">
        <v>259</v>
      </c>
      <c r="AB5372" t="str">
        <f>IF(Table1[[#This Row],[TIPO2]]="costo", VLOOKUP(Table1[[#This Row],[PARTIDA PRESUPUESTAL]],'Cost Report'!G:G,1,0),"Balance")</f>
        <v>2494-027</v>
      </c>
      <c r="AD5372" s="159">
        <f>+Table1[[#This Row],[SUBTOTAL]]+Table1[[#This Row],[IVA]]-Table1[[#This Row],[RET IVA]]-Table1[[#This Row],[RET ISR]]-Table1[[#This Row],[TOTAL]]</f>
        <v>0</v>
      </c>
      <c r="AG5372" t="s">
        <v>3420</v>
      </c>
      <c r="AK5372" s="306" t="str">
        <f>IF(ISNUMBER(Table1[[#This Row],[FECHA DE RECIBIDO]]), Table1[[#This Row],[FECHA DE RECIBIDO]]-DATE(2023,8,30), "")</f>
        <v/>
      </c>
    </row>
    <row r="5373" spans="1:37" ht="16.05" customHeight="1">
      <c r="A5373" s="172" t="s">
        <v>4864</v>
      </c>
      <c r="B5373" s="178">
        <v>1834</v>
      </c>
      <c r="C5373" s="179" t="s">
        <v>2455</v>
      </c>
      <c r="D5373">
        <v>689</v>
      </c>
      <c r="E5373" s="125"/>
      <c r="F5373" s="178"/>
      <c r="G5373" s="178"/>
      <c r="H5373"/>
      <c r="I5373" s="178"/>
      <c r="J5373" s="320" t="s">
        <v>214</v>
      </c>
      <c r="K5373" s="178" t="s">
        <v>4871</v>
      </c>
      <c r="L5373" s="125" t="s">
        <v>4849</v>
      </c>
      <c r="M5373">
        <v>215</v>
      </c>
      <c r="N5373" s="182">
        <v>17</v>
      </c>
      <c r="O5373">
        <v>3477</v>
      </c>
      <c r="P5373" s="132" t="s">
        <v>77</v>
      </c>
      <c r="Q5373" s="176">
        <v>89.9</v>
      </c>
      <c r="R5373" s="176"/>
      <c r="S5373" s="176"/>
      <c r="T5373" s="190"/>
      <c r="U5373" s="191"/>
      <c r="V5373" s="191">
        <v>89.9</v>
      </c>
      <c r="W5373">
        <v>101</v>
      </c>
      <c r="X5373" s="186" t="s">
        <v>3451</v>
      </c>
      <c r="Y5373" s="187" t="s">
        <v>55</v>
      </c>
      <c r="Z5373" s="311">
        <v>257</v>
      </c>
      <c r="AB5373" t="str">
        <f>IF(Table1[[#This Row],[TIPO2]]="costo", VLOOKUP(Table1[[#This Row],[PARTIDA PRESUPUESTAL]],'Cost Report'!G:G,1,0),"Balance")</f>
        <v>2285-003</v>
      </c>
      <c r="AD5373" s="159">
        <f>+Table1[[#This Row],[SUBTOTAL]]+Table1[[#This Row],[IVA]]-Table1[[#This Row],[RET IVA]]-Table1[[#This Row],[RET ISR]]-Table1[[#This Row],[TOTAL]]</f>
        <v>0</v>
      </c>
      <c r="AG5373" t="s">
        <v>3420</v>
      </c>
      <c r="AK5373" s="306" t="str">
        <f>IF(ISNUMBER(Table1[[#This Row],[FECHA DE RECIBIDO]]), Table1[[#This Row],[FECHA DE RECIBIDO]]-DATE(2023,8,30), "")</f>
        <v/>
      </c>
    </row>
    <row r="5374" spans="1:37" ht="16.05" customHeight="1">
      <c r="A5374" s="172" t="s">
        <v>4864</v>
      </c>
      <c r="B5374" s="178">
        <v>1834</v>
      </c>
      <c r="C5374" s="179" t="s">
        <v>1517</v>
      </c>
      <c r="D5374">
        <v>689</v>
      </c>
      <c r="E5374" s="125"/>
      <c r="F5374" s="178"/>
      <c r="G5374" s="178"/>
      <c r="H5374"/>
      <c r="I5374" s="178"/>
      <c r="J5374" s="320" t="s">
        <v>214</v>
      </c>
      <c r="K5374" s="178" t="s">
        <v>4871</v>
      </c>
      <c r="L5374" s="125" t="s">
        <v>4849</v>
      </c>
      <c r="M5374">
        <v>514</v>
      </c>
      <c r="N5374" s="182">
        <v>17</v>
      </c>
      <c r="O5374">
        <v>3478</v>
      </c>
      <c r="P5374" s="132" t="s">
        <v>77</v>
      </c>
      <c r="Q5374" s="176">
        <v>1692</v>
      </c>
      <c r="R5374" s="176"/>
      <c r="S5374" s="176"/>
      <c r="T5374" s="190"/>
      <c r="U5374" s="191"/>
      <c r="V5374" s="191">
        <v>1692</v>
      </c>
      <c r="W5374">
        <v>101</v>
      </c>
      <c r="X5374" s="186" t="s">
        <v>3451</v>
      </c>
      <c r="Y5374" s="187" t="s">
        <v>55</v>
      </c>
      <c r="Z5374" s="311">
        <v>259</v>
      </c>
      <c r="AB5374" t="str">
        <f>IF(Table1[[#This Row],[TIPO2]]="costo", VLOOKUP(Table1[[#This Row],[PARTIDA PRESUPUESTAL]],'Cost Report'!G:G,1,0),"Balance")</f>
        <v>2494-027</v>
      </c>
      <c r="AD5374" s="159">
        <f>+Table1[[#This Row],[SUBTOTAL]]+Table1[[#This Row],[IVA]]-Table1[[#This Row],[RET IVA]]-Table1[[#This Row],[RET ISR]]-Table1[[#This Row],[TOTAL]]</f>
        <v>0</v>
      </c>
      <c r="AG5374" t="s">
        <v>3420</v>
      </c>
      <c r="AK5374" s="306" t="str">
        <f>IF(ISNUMBER(Table1[[#This Row],[FECHA DE RECIBIDO]]), Table1[[#This Row],[FECHA DE RECIBIDO]]-DATE(2023,8,30), "")</f>
        <v/>
      </c>
    </row>
    <row r="5375" spans="1:37" ht="16.05" customHeight="1">
      <c r="A5375" s="172" t="s">
        <v>4865</v>
      </c>
      <c r="B5375" s="178">
        <v>1835</v>
      </c>
      <c r="C5375" s="179" t="s">
        <v>2546</v>
      </c>
      <c r="D5375">
        <v>3641</v>
      </c>
      <c r="E5375" s="125" t="s">
        <v>1645</v>
      </c>
      <c r="F5375" s="178" t="s">
        <v>1593</v>
      </c>
      <c r="G5375" s="178" t="s">
        <v>109</v>
      </c>
      <c r="H5375">
        <v>843</v>
      </c>
      <c r="I5375" s="178" t="s">
        <v>1546</v>
      </c>
      <c r="J5375" s="320" t="s">
        <v>214</v>
      </c>
      <c r="K5375" s="178" t="s">
        <v>4871</v>
      </c>
      <c r="L5375" s="125" t="s">
        <v>4849</v>
      </c>
      <c r="M5375">
        <v>1166</v>
      </c>
      <c r="N5375" s="182">
        <v>17</v>
      </c>
      <c r="O5375">
        <v>3479</v>
      </c>
      <c r="P5375" s="132" t="s">
        <v>77</v>
      </c>
      <c r="Q5375" s="176">
        <v>1700</v>
      </c>
      <c r="R5375" s="176">
        <v>21.25</v>
      </c>
      <c r="S5375" s="176"/>
      <c r="T5375" s="190"/>
      <c r="U5375" s="191">
        <v>42.5</v>
      </c>
      <c r="V5375" s="191">
        <v>1678.75</v>
      </c>
      <c r="W5375">
        <v>103</v>
      </c>
      <c r="X5375" s="186" t="s">
        <v>3451</v>
      </c>
      <c r="Y5375" s="187" t="s">
        <v>55</v>
      </c>
      <c r="Z5375" s="311">
        <v>243</v>
      </c>
      <c r="AB5375" t="str">
        <f>IF(Table1[[#This Row],[TIPO2]]="costo", VLOOKUP(Table1[[#This Row],[PARTIDA PRESUPUESTAL]],'Cost Report'!G:G,1,0),"Balance")</f>
        <v>2494-071</v>
      </c>
      <c r="AD5375" s="159">
        <f>+Table1[[#This Row],[SUBTOTAL]]+Table1[[#This Row],[IVA]]-Table1[[#This Row],[RET IVA]]-Table1[[#This Row],[RET ISR]]-Table1[[#This Row],[TOTAL]]</f>
        <v>0</v>
      </c>
      <c r="AG5375" t="s">
        <v>3420</v>
      </c>
      <c r="AK5375" s="306" t="str">
        <f>IF(ISNUMBER(Table1[[#This Row],[FECHA DE RECIBIDO]]), Table1[[#This Row],[FECHA DE RECIBIDO]]-DATE(2023,8,30), "")</f>
        <v/>
      </c>
    </row>
    <row r="5376" spans="1:37" ht="16.05" customHeight="1">
      <c r="A5376" s="172" t="s">
        <v>4865</v>
      </c>
      <c r="B5376" s="178">
        <v>1835</v>
      </c>
      <c r="C5376" s="179" t="s">
        <v>2544</v>
      </c>
      <c r="D5376">
        <v>3642</v>
      </c>
      <c r="E5376" s="125" t="s">
        <v>1611</v>
      </c>
      <c r="F5376" s="178" t="s">
        <v>1607</v>
      </c>
      <c r="G5376" s="178" t="s">
        <v>134</v>
      </c>
      <c r="H5376">
        <v>177</v>
      </c>
      <c r="I5376" s="178" t="s">
        <v>1546</v>
      </c>
      <c r="J5376" s="320" t="s">
        <v>214</v>
      </c>
      <c r="K5376" s="178" t="s">
        <v>4871</v>
      </c>
      <c r="L5376" s="125" t="s">
        <v>4849</v>
      </c>
      <c r="M5376">
        <v>238</v>
      </c>
      <c r="N5376" s="182">
        <v>17</v>
      </c>
      <c r="O5376">
        <v>3480</v>
      </c>
      <c r="P5376" s="132" t="s">
        <v>77</v>
      </c>
      <c r="Q5376" s="176">
        <v>482.69</v>
      </c>
      <c r="R5376" s="176">
        <v>77.23</v>
      </c>
      <c r="S5376" s="176"/>
      <c r="T5376" s="190"/>
      <c r="U5376" s="191"/>
      <c r="V5376" s="191">
        <v>559.91999999999996</v>
      </c>
      <c r="W5376">
        <v>103</v>
      </c>
      <c r="X5376" s="186" t="s">
        <v>3451</v>
      </c>
      <c r="Y5376" s="187" t="s">
        <v>55</v>
      </c>
      <c r="Z5376" s="311">
        <v>231</v>
      </c>
      <c r="AB5376" t="str">
        <f>IF(Table1[[#This Row],[TIPO2]]="costo", VLOOKUP(Table1[[#This Row],[PARTIDA PRESUPUESTAL]],'Cost Report'!G:G,1,0),"Balance")</f>
        <v>2494-067</v>
      </c>
      <c r="AD5376" s="159">
        <f>+Table1[[#This Row],[SUBTOTAL]]+Table1[[#This Row],[IVA]]-Table1[[#This Row],[RET IVA]]-Table1[[#This Row],[RET ISR]]-Table1[[#This Row],[TOTAL]]</f>
        <v>0</v>
      </c>
      <c r="AG5376" t="s">
        <v>3420</v>
      </c>
      <c r="AK5376" s="306" t="str">
        <f>IF(ISNUMBER(Table1[[#This Row],[FECHA DE RECIBIDO]]), Table1[[#This Row],[FECHA DE RECIBIDO]]-DATE(2023,8,30), "")</f>
        <v/>
      </c>
    </row>
    <row r="5377" spans="1:37" ht="16.05" customHeight="1">
      <c r="A5377" s="172" t="s">
        <v>4865</v>
      </c>
      <c r="B5377" s="178">
        <v>1835</v>
      </c>
      <c r="C5377" s="179" t="s">
        <v>2544</v>
      </c>
      <c r="D5377">
        <v>3643</v>
      </c>
      <c r="E5377" s="125" t="s">
        <v>1611</v>
      </c>
      <c r="F5377" s="178" t="s">
        <v>1607</v>
      </c>
      <c r="G5377" s="178" t="s">
        <v>134</v>
      </c>
      <c r="H5377">
        <v>177</v>
      </c>
      <c r="I5377" s="178" t="s">
        <v>1546</v>
      </c>
      <c r="J5377" s="320" t="s">
        <v>214</v>
      </c>
      <c r="K5377" s="178" t="s">
        <v>4871</v>
      </c>
      <c r="L5377" s="125" t="s">
        <v>4849</v>
      </c>
      <c r="M5377">
        <v>238</v>
      </c>
      <c r="N5377" s="182">
        <v>17</v>
      </c>
      <c r="O5377">
        <v>3481</v>
      </c>
      <c r="P5377" s="132" t="s">
        <v>77</v>
      </c>
      <c r="Q5377" s="176">
        <v>86.19</v>
      </c>
      <c r="R5377" s="176">
        <v>13.79</v>
      </c>
      <c r="S5377" s="176"/>
      <c r="T5377" s="190"/>
      <c r="U5377" s="191"/>
      <c r="V5377" s="191">
        <v>99.97999999999999</v>
      </c>
      <c r="W5377">
        <v>103</v>
      </c>
      <c r="X5377" s="186" t="s">
        <v>3451</v>
      </c>
      <c r="Y5377" s="187" t="s">
        <v>55</v>
      </c>
      <c r="Z5377" s="311">
        <v>231</v>
      </c>
      <c r="AB5377" t="str">
        <f>IF(Table1[[#This Row],[TIPO2]]="costo", VLOOKUP(Table1[[#This Row],[PARTIDA PRESUPUESTAL]],'Cost Report'!G:G,1,0),"Balance")</f>
        <v>2494-067</v>
      </c>
      <c r="AD5377" s="159">
        <f>+Table1[[#This Row],[SUBTOTAL]]+Table1[[#This Row],[IVA]]-Table1[[#This Row],[RET IVA]]-Table1[[#This Row],[RET ISR]]-Table1[[#This Row],[TOTAL]]</f>
        <v>0</v>
      </c>
      <c r="AG5377" t="s">
        <v>3420</v>
      </c>
      <c r="AK5377" s="306" t="str">
        <f>IF(ISNUMBER(Table1[[#This Row],[FECHA DE RECIBIDO]]), Table1[[#This Row],[FECHA DE RECIBIDO]]-DATE(2023,8,30), "")</f>
        <v/>
      </c>
    </row>
    <row r="5378" spans="1:37" ht="16.05" customHeight="1">
      <c r="A5378" s="172" t="s">
        <v>4865</v>
      </c>
      <c r="B5378" s="178">
        <v>1835</v>
      </c>
      <c r="C5378" s="179" t="s">
        <v>2540</v>
      </c>
      <c r="D5378">
        <v>3644</v>
      </c>
      <c r="E5378" s="125" t="s">
        <v>1598</v>
      </c>
      <c r="F5378" s="178" t="s">
        <v>1589</v>
      </c>
      <c r="G5378" s="178" t="s">
        <v>129</v>
      </c>
      <c r="H5378">
        <v>285</v>
      </c>
      <c r="I5378" s="178" t="s">
        <v>1546</v>
      </c>
      <c r="J5378" s="320" t="s">
        <v>214</v>
      </c>
      <c r="K5378" s="178" t="s">
        <v>4871</v>
      </c>
      <c r="L5378" s="125" t="s">
        <v>4849</v>
      </c>
      <c r="M5378">
        <v>379</v>
      </c>
      <c r="N5378" s="182">
        <v>17</v>
      </c>
      <c r="O5378">
        <v>3482</v>
      </c>
      <c r="P5378" s="132" t="s">
        <v>77</v>
      </c>
      <c r="Q5378" s="176">
        <v>650.96</v>
      </c>
      <c r="R5378" s="176">
        <v>3.03</v>
      </c>
      <c r="S5378" s="176"/>
      <c r="T5378" s="190"/>
      <c r="U5378" s="191"/>
      <c r="V5378" s="191">
        <v>653.99</v>
      </c>
      <c r="W5378">
        <v>103</v>
      </c>
      <c r="X5378" s="186" t="s">
        <v>3451</v>
      </c>
      <c r="Y5378" s="187" t="s">
        <v>55</v>
      </c>
      <c r="Z5378" s="311">
        <v>234</v>
      </c>
      <c r="AB5378" t="str">
        <f>IF(Table1[[#This Row],[TIPO2]]="costo", VLOOKUP(Table1[[#This Row],[PARTIDA PRESUPUESTAL]],'Cost Report'!G:G,1,0),"Balance")</f>
        <v>2494-059</v>
      </c>
      <c r="AD5378" s="159">
        <f>+Table1[[#This Row],[SUBTOTAL]]+Table1[[#This Row],[IVA]]-Table1[[#This Row],[RET IVA]]-Table1[[#This Row],[RET ISR]]-Table1[[#This Row],[TOTAL]]</f>
        <v>0</v>
      </c>
      <c r="AG5378" t="s">
        <v>3420</v>
      </c>
      <c r="AK5378" s="306" t="str">
        <f>IF(ISNUMBER(Table1[[#This Row],[FECHA DE RECIBIDO]]), Table1[[#This Row],[FECHA DE RECIBIDO]]-DATE(2023,8,30), "")</f>
        <v/>
      </c>
    </row>
    <row r="5379" spans="1:37" ht="16.05" customHeight="1">
      <c r="A5379" s="172" t="s">
        <v>4865</v>
      </c>
      <c r="B5379" s="178">
        <v>1835</v>
      </c>
      <c r="C5379" s="179" t="s">
        <v>2540</v>
      </c>
      <c r="D5379">
        <v>3645</v>
      </c>
      <c r="E5379" s="125" t="s">
        <v>1598</v>
      </c>
      <c r="F5379" s="178" t="s">
        <v>1607</v>
      </c>
      <c r="G5379" s="178" t="s">
        <v>134</v>
      </c>
      <c r="H5379">
        <v>156</v>
      </c>
      <c r="I5379" s="178" t="s">
        <v>1546</v>
      </c>
      <c r="J5379" s="320" t="s">
        <v>214</v>
      </c>
      <c r="K5379" s="178" t="s">
        <v>4871</v>
      </c>
      <c r="L5379" s="125" t="s">
        <v>4849</v>
      </c>
      <c r="M5379">
        <v>207</v>
      </c>
      <c r="N5379" s="182">
        <v>17</v>
      </c>
      <c r="O5379">
        <v>3483</v>
      </c>
      <c r="P5379" s="132" t="s">
        <v>77</v>
      </c>
      <c r="Q5379" s="176">
        <v>962.59</v>
      </c>
      <c r="R5379" s="176">
        <v>154.01</v>
      </c>
      <c r="S5379" s="176"/>
      <c r="T5379" s="190"/>
      <c r="U5379" s="191"/>
      <c r="V5379" s="191">
        <v>1116.5999999999999</v>
      </c>
      <c r="W5379">
        <v>103</v>
      </c>
      <c r="X5379" s="186" t="s">
        <v>3451</v>
      </c>
      <c r="Y5379" s="187" t="s">
        <v>55</v>
      </c>
      <c r="Z5379" s="311">
        <v>234</v>
      </c>
      <c r="AB5379" t="str">
        <f>IF(Table1[[#This Row],[TIPO2]]="costo", VLOOKUP(Table1[[#This Row],[PARTIDA PRESUPUESTAL]],'Cost Report'!G:G,1,0),"Balance")</f>
        <v>2494-059</v>
      </c>
      <c r="AD5379" s="159">
        <f>+Table1[[#This Row],[SUBTOTAL]]+Table1[[#This Row],[IVA]]-Table1[[#This Row],[RET IVA]]-Table1[[#This Row],[RET ISR]]-Table1[[#This Row],[TOTAL]]</f>
        <v>0</v>
      </c>
      <c r="AG5379" t="s">
        <v>3420</v>
      </c>
      <c r="AK5379" s="306" t="str">
        <f>IF(ISNUMBER(Table1[[#This Row],[FECHA DE RECIBIDO]]), Table1[[#This Row],[FECHA DE RECIBIDO]]-DATE(2023,8,30), "")</f>
        <v/>
      </c>
    </row>
    <row r="5380" spans="1:37" ht="16.05" customHeight="1">
      <c r="A5380" s="172" t="s">
        <v>4865</v>
      </c>
      <c r="B5380" s="178">
        <v>1835</v>
      </c>
      <c r="C5380" s="179" t="s">
        <v>2540</v>
      </c>
      <c r="D5380">
        <v>3646</v>
      </c>
      <c r="E5380" s="125" t="s">
        <v>1999</v>
      </c>
      <c r="F5380" s="178" t="s">
        <v>1607</v>
      </c>
      <c r="G5380" s="178" t="s">
        <v>134</v>
      </c>
      <c r="H5380">
        <v>97</v>
      </c>
      <c r="I5380" s="178" t="s">
        <v>1546</v>
      </c>
      <c r="J5380" s="320" t="s">
        <v>214</v>
      </c>
      <c r="K5380" s="178" t="s">
        <v>4871</v>
      </c>
      <c r="L5380" s="125" t="s">
        <v>4849</v>
      </c>
      <c r="M5380">
        <v>193</v>
      </c>
      <c r="N5380" s="182">
        <v>17</v>
      </c>
      <c r="O5380">
        <v>3484</v>
      </c>
      <c r="P5380" s="132" t="s">
        <v>77</v>
      </c>
      <c r="Q5380" s="176">
        <v>18709.57</v>
      </c>
      <c r="R5380" s="176">
        <v>2993.43</v>
      </c>
      <c r="S5380" s="176"/>
      <c r="T5380" s="190"/>
      <c r="U5380" s="191"/>
      <c r="V5380" s="191">
        <v>21703</v>
      </c>
      <c r="W5380">
        <v>103</v>
      </c>
      <c r="X5380" s="186" t="s">
        <v>3451</v>
      </c>
      <c r="Y5380" s="187" t="s">
        <v>55</v>
      </c>
      <c r="Z5380" s="311">
        <v>264</v>
      </c>
      <c r="AB5380" t="str">
        <f>IF(Table1[[#This Row],[TIPO2]]="costo", VLOOKUP(Table1[[#This Row],[PARTIDA PRESUPUESTAL]],'Cost Report'!G:G,1,0),"Balance")</f>
        <v>2494-059</v>
      </c>
      <c r="AD5380" s="159">
        <f>+Table1[[#This Row],[SUBTOTAL]]+Table1[[#This Row],[IVA]]-Table1[[#This Row],[RET IVA]]-Table1[[#This Row],[RET ISR]]-Table1[[#This Row],[TOTAL]]</f>
        <v>0</v>
      </c>
      <c r="AG5380" t="s">
        <v>3420</v>
      </c>
      <c r="AK5380" s="306" t="str">
        <f>IF(ISNUMBER(Table1[[#This Row],[FECHA DE RECIBIDO]]), Table1[[#This Row],[FECHA DE RECIBIDO]]-DATE(2023,8,30), "")</f>
        <v/>
      </c>
    </row>
    <row r="5381" spans="1:37" ht="16.05" customHeight="1">
      <c r="A5381" s="172" t="s">
        <v>4865</v>
      </c>
      <c r="B5381" s="178">
        <v>1835</v>
      </c>
      <c r="C5381" s="179" t="s">
        <v>2546</v>
      </c>
      <c r="D5381">
        <v>3647</v>
      </c>
      <c r="E5381" s="125" t="s">
        <v>1597</v>
      </c>
      <c r="F5381" s="178" t="s">
        <v>1589</v>
      </c>
      <c r="G5381" s="178" t="s">
        <v>129</v>
      </c>
      <c r="H5381">
        <v>169</v>
      </c>
      <c r="I5381" s="178" t="s">
        <v>1546</v>
      </c>
      <c r="J5381" s="320" t="s">
        <v>214</v>
      </c>
      <c r="K5381" s="178" t="s">
        <v>4871</v>
      </c>
      <c r="L5381" s="125" t="s">
        <v>4849</v>
      </c>
      <c r="M5381">
        <v>226</v>
      </c>
      <c r="N5381" s="182">
        <v>17</v>
      </c>
      <c r="O5381">
        <v>3485</v>
      </c>
      <c r="P5381" s="132" t="s">
        <v>77</v>
      </c>
      <c r="Q5381" s="176">
        <v>929</v>
      </c>
      <c r="R5381" s="176">
        <v>148.63999999999999</v>
      </c>
      <c r="S5381" s="176"/>
      <c r="T5381" s="190"/>
      <c r="U5381" s="191"/>
      <c r="V5381" s="191">
        <v>1077.6399999999999</v>
      </c>
      <c r="W5381">
        <v>103</v>
      </c>
      <c r="X5381" s="186" t="s">
        <v>3451</v>
      </c>
      <c r="Y5381" s="187" t="s">
        <v>55</v>
      </c>
      <c r="Z5381" s="311">
        <v>250</v>
      </c>
      <c r="AB5381" t="str">
        <f>IF(Table1[[#This Row],[TIPO2]]="costo", VLOOKUP(Table1[[#This Row],[PARTIDA PRESUPUESTAL]],'Cost Report'!G:G,1,0),"Balance")</f>
        <v>2494-071</v>
      </c>
      <c r="AD5381" s="159">
        <f>+Table1[[#This Row],[SUBTOTAL]]+Table1[[#This Row],[IVA]]-Table1[[#This Row],[RET IVA]]-Table1[[#This Row],[RET ISR]]-Table1[[#This Row],[TOTAL]]</f>
        <v>0</v>
      </c>
      <c r="AG5381" t="s">
        <v>3420</v>
      </c>
      <c r="AK5381" s="306" t="str">
        <f>IF(ISNUMBER(Table1[[#This Row],[FECHA DE RECIBIDO]]), Table1[[#This Row],[FECHA DE RECIBIDO]]-DATE(2023,8,30), "")</f>
        <v/>
      </c>
    </row>
    <row r="5382" spans="1:37" ht="16.05" customHeight="1">
      <c r="A5382" s="172" t="s">
        <v>4865</v>
      </c>
      <c r="B5382" s="178">
        <v>1835</v>
      </c>
      <c r="C5382" s="179" t="s">
        <v>2546</v>
      </c>
      <c r="D5382">
        <v>3648</v>
      </c>
      <c r="E5382" s="125" t="s">
        <v>1597</v>
      </c>
      <c r="F5382" s="178" t="s">
        <v>1589</v>
      </c>
      <c r="G5382" s="178" t="s">
        <v>129</v>
      </c>
      <c r="H5382">
        <v>169</v>
      </c>
      <c r="I5382" s="178" t="s">
        <v>1546</v>
      </c>
      <c r="J5382" s="320" t="s">
        <v>214</v>
      </c>
      <c r="K5382" s="178" t="s">
        <v>4871</v>
      </c>
      <c r="L5382" s="125" t="s">
        <v>4849</v>
      </c>
      <c r="M5382">
        <v>226</v>
      </c>
      <c r="N5382" s="182">
        <v>17</v>
      </c>
      <c r="O5382">
        <v>3486</v>
      </c>
      <c r="P5382" s="132" t="s">
        <v>77</v>
      </c>
      <c r="Q5382" s="176">
        <v>1623.79</v>
      </c>
      <c r="R5382" s="176">
        <v>259.81</v>
      </c>
      <c r="S5382" s="176"/>
      <c r="T5382" s="190"/>
      <c r="U5382" s="191"/>
      <c r="V5382" s="191">
        <v>1883.6</v>
      </c>
      <c r="W5382">
        <v>103</v>
      </c>
      <c r="X5382" s="186" t="s">
        <v>3451</v>
      </c>
      <c r="Y5382" s="187" t="s">
        <v>55</v>
      </c>
      <c r="Z5382" s="311">
        <v>250</v>
      </c>
      <c r="AB5382" t="str">
        <f>IF(Table1[[#This Row],[TIPO2]]="costo", VLOOKUP(Table1[[#This Row],[PARTIDA PRESUPUESTAL]],'Cost Report'!G:G,1,0),"Balance")</f>
        <v>2494-071</v>
      </c>
      <c r="AD5382" s="159">
        <f>+Table1[[#This Row],[SUBTOTAL]]+Table1[[#This Row],[IVA]]-Table1[[#This Row],[RET IVA]]-Table1[[#This Row],[RET ISR]]-Table1[[#This Row],[TOTAL]]</f>
        <v>0</v>
      </c>
      <c r="AG5382" t="s">
        <v>3420</v>
      </c>
      <c r="AK5382" s="306" t="str">
        <f>IF(ISNUMBER(Table1[[#This Row],[FECHA DE RECIBIDO]]), Table1[[#This Row],[FECHA DE RECIBIDO]]-DATE(2023,8,30), "")</f>
        <v/>
      </c>
    </row>
    <row r="5383" spans="1:37" ht="16.05" customHeight="1">
      <c r="A5383" s="172" t="s">
        <v>4865</v>
      </c>
      <c r="B5383" s="178">
        <v>1835</v>
      </c>
      <c r="C5383" s="179" t="s">
        <v>2546</v>
      </c>
      <c r="D5383">
        <v>3649</v>
      </c>
      <c r="E5383" s="125" t="s">
        <v>1597</v>
      </c>
      <c r="F5383" s="178" t="s">
        <v>1589</v>
      </c>
      <c r="G5383" s="178" t="s">
        <v>129</v>
      </c>
      <c r="H5383">
        <v>169</v>
      </c>
      <c r="I5383" s="178" t="s">
        <v>1546</v>
      </c>
      <c r="J5383" s="320" t="s">
        <v>214</v>
      </c>
      <c r="K5383" s="178" t="s">
        <v>4871</v>
      </c>
      <c r="L5383" s="125" t="s">
        <v>4849</v>
      </c>
      <c r="M5383">
        <v>226</v>
      </c>
      <c r="N5383" s="182">
        <v>17</v>
      </c>
      <c r="O5383">
        <v>3487</v>
      </c>
      <c r="P5383" s="132" t="s">
        <v>77</v>
      </c>
      <c r="Q5383" s="176">
        <v>2086.21</v>
      </c>
      <c r="R5383" s="176">
        <v>333.79</v>
      </c>
      <c r="S5383" s="176"/>
      <c r="T5383" s="190"/>
      <c r="U5383" s="191"/>
      <c r="V5383" s="191">
        <v>2420</v>
      </c>
      <c r="W5383">
        <v>103</v>
      </c>
      <c r="X5383" s="186" t="s">
        <v>3451</v>
      </c>
      <c r="Y5383" s="187" t="s">
        <v>55</v>
      </c>
      <c r="Z5383" s="311">
        <v>250</v>
      </c>
      <c r="AB5383" t="str">
        <f>IF(Table1[[#This Row],[TIPO2]]="costo", VLOOKUP(Table1[[#This Row],[PARTIDA PRESUPUESTAL]],'Cost Report'!G:G,1,0),"Balance")</f>
        <v>2494-071</v>
      </c>
      <c r="AD5383" s="159">
        <f>+Table1[[#This Row],[SUBTOTAL]]+Table1[[#This Row],[IVA]]-Table1[[#This Row],[RET IVA]]-Table1[[#This Row],[RET ISR]]-Table1[[#This Row],[TOTAL]]</f>
        <v>0</v>
      </c>
      <c r="AG5383" t="s">
        <v>3420</v>
      </c>
      <c r="AK5383" s="306" t="str">
        <f>IF(ISNUMBER(Table1[[#This Row],[FECHA DE RECIBIDO]]), Table1[[#This Row],[FECHA DE RECIBIDO]]-DATE(2023,8,30), "")</f>
        <v/>
      </c>
    </row>
    <row r="5384" spans="1:37" ht="16.05" customHeight="1">
      <c r="A5384" s="172" t="s">
        <v>4865</v>
      </c>
      <c r="B5384" s="178">
        <v>1835</v>
      </c>
      <c r="C5384" s="179" t="s">
        <v>2540</v>
      </c>
      <c r="D5384">
        <v>3650</v>
      </c>
      <c r="E5384" s="125" t="s">
        <v>2008</v>
      </c>
      <c r="F5384" s="178" t="s">
        <v>1607</v>
      </c>
      <c r="G5384" s="178" t="s">
        <v>134</v>
      </c>
      <c r="H5384">
        <v>234</v>
      </c>
      <c r="I5384" s="178" t="s">
        <v>1546</v>
      </c>
      <c r="J5384" s="320" t="s">
        <v>214</v>
      </c>
      <c r="K5384" s="178" t="s">
        <v>4871</v>
      </c>
      <c r="L5384" s="125" t="s">
        <v>4849</v>
      </c>
      <c r="M5384">
        <v>306</v>
      </c>
      <c r="N5384" s="182">
        <v>17</v>
      </c>
      <c r="O5384">
        <v>3488</v>
      </c>
      <c r="P5384" s="132" t="s">
        <v>77</v>
      </c>
      <c r="Q5384" s="176">
        <v>3413.8</v>
      </c>
      <c r="R5384" s="176">
        <v>546.20000000000005</v>
      </c>
      <c r="S5384" s="176"/>
      <c r="T5384" s="190"/>
      <c r="U5384" s="191"/>
      <c r="V5384" s="191">
        <v>3960</v>
      </c>
      <c r="W5384">
        <v>103</v>
      </c>
      <c r="X5384" s="186" t="s">
        <v>3451</v>
      </c>
      <c r="Y5384" s="187" t="s">
        <v>55</v>
      </c>
      <c r="Z5384" s="311">
        <v>264</v>
      </c>
      <c r="AB5384" t="str">
        <f>IF(Table1[[#This Row],[TIPO2]]="costo", VLOOKUP(Table1[[#This Row],[PARTIDA PRESUPUESTAL]],'Cost Report'!G:G,1,0),"Balance")</f>
        <v>2494-059</v>
      </c>
      <c r="AD5384" s="159">
        <f>+Table1[[#This Row],[SUBTOTAL]]+Table1[[#This Row],[IVA]]-Table1[[#This Row],[RET IVA]]-Table1[[#This Row],[RET ISR]]-Table1[[#This Row],[TOTAL]]</f>
        <v>0</v>
      </c>
      <c r="AG5384" t="s">
        <v>3420</v>
      </c>
      <c r="AK5384" s="306" t="str">
        <f>IF(ISNUMBER(Table1[[#This Row],[FECHA DE RECIBIDO]]), Table1[[#This Row],[FECHA DE RECIBIDO]]-DATE(2023,8,30), "")</f>
        <v/>
      </c>
    </row>
    <row r="5385" spans="1:37" ht="16.05" customHeight="1">
      <c r="A5385" s="172" t="s">
        <v>4865</v>
      </c>
      <c r="B5385" s="178">
        <v>1835</v>
      </c>
      <c r="C5385" s="179" t="s">
        <v>2546</v>
      </c>
      <c r="D5385">
        <v>3651</v>
      </c>
      <c r="E5385" s="125" t="s">
        <v>3275</v>
      </c>
      <c r="F5385" s="178" t="s">
        <v>1607</v>
      </c>
      <c r="G5385" s="178" t="s">
        <v>134</v>
      </c>
      <c r="H5385">
        <v>904</v>
      </c>
      <c r="I5385" s="178" t="s">
        <v>1546</v>
      </c>
      <c r="J5385" s="320" t="s">
        <v>214</v>
      </c>
      <c r="K5385" s="178" t="s">
        <v>4871</v>
      </c>
      <c r="L5385" s="125" t="s">
        <v>4849</v>
      </c>
      <c r="M5385">
        <v>1258</v>
      </c>
      <c r="N5385" s="182">
        <v>17</v>
      </c>
      <c r="O5385">
        <v>3489</v>
      </c>
      <c r="P5385" s="132" t="s">
        <v>77</v>
      </c>
      <c r="Q5385" s="176">
        <v>1119.83</v>
      </c>
      <c r="R5385" s="176">
        <v>179.17</v>
      </c>
      <c r="S5385" s="176"/>
      <c r="T5385" s="190"/>
      <c r="U5385" s="191"/>
      <c r="V5385" s="191">
        <v>1299</v>
      </c>
      <c r="W5385">
        <v>103</v>
      </c>
      <c r="X5385" s="186" t="s">
        <v>3451</v>
      </c>
      <c r="Y5385" s="187" t="s">
        <v>55</v>
      </c>
      <c r="Z5385" s="311">
        <v>266</v>
      </c>
      <c r="AB5385" t="str">
        <f>IF(Table1[[#This Row],[TIPO2]]="costo", VLOOKUP(Table1[[#This Row],[PARTIDA PRESUPUESTAL]],'Cost Report'!G:G,1,0),"Balance")</f>
        <v>2494-071</v>
      </c>
      <c r="AD5385" s="159">
        <f>+Table1[[#This Row],[SUBTOTAL]]+Table1[[#This Row],[IVA]]-Table1[[#This Row],[RET IVA]]-Table1[[#This Row],[RET ISR]]-Table1[[#This Row],[TOTAL]]</f>
        <v>0</v>
      </c>
      <c r="AG5385" t="s">
        <v>3420</v>
      </c>
      <c r="AK5385" s="306" t="str">
        <f>IF(ISNUMBER(Table1[[#This Row],[FECHA DE RECIBIDO]]), Table1[[#This Row],[FECHA DE RECIBIDO]]-DATE(2023,8,30), "")</f>
        <v/>
      </c>
    </row>
    <row r="5386" spans="1:37" ht="16.05" customHeight="1">
      <c r="A5386" s="172" t="s">
        <v>4865</v>
      </c>
      <c r="B5386" s="178">
        <v>1835</v>
      </c>
      <c r="C5386" s="179" t="s">
        <v>610</v>
      </c>
      <c r="D5386">
        <v>3652</v>
      </c>
      <c r="E5386" s="125" t="s">
        <v>3275</v>
      </c>
      <c r="F5386" s="178" t="s">
        <v>1607</v>
      </c>
      <c r="G5386" s="178" t="s">
        <v>134</v>
      </c>
      <c r="H5386">
        <v>904</v>
      </c>
      <c r="I5386" s="178" t="s">
        <v>1546</v>
      </c>
      <c r="J5386" s="320" t="s">
        <v>214</v>
      </c>
      <c r="K5386" s="178" t="s">
        <v>4871</v>
      </c>
      <c r="L5386" s="125" t="s">
        <v>4849</v>
      </c>
      <c r="M5386">
        <v>1258</v>
      </c>
      <c r="N5386" s="182">
        <v>17</v>
      </c>
      <c r="O5386">
        <v>3490</v>
      </c>
      <c r="P5386" s="132" t="s">
        <v>77</v>
      </c>
      <c r="Q5386" s="176">
        <v>25.86</v>
      </c>
      <c r="R5386" s="176">
        <v>4.1399999999999997</v>
      </c>
      <c r="S5386" s="176"/>
      <c r="T5386" s="190"/>
      <c r="U5386" s="191"/>
      <c r="V5386" s="191">
        <v>30</v>
      </c>
      <c r="W5386">
        <v>103</v>
      </c>
      <c r="X5386" s="186" t="s">
        <v>3451</v>
      </c>
      <c r="Y5386" s="187" t="s">
        <v>55</v>
      </c>
      <c r="Z5386" s="311">
        <v>266</v>
      </c>
      <c r="AB5386" t="str">
        <f>IF(Table1[[#This Row],[TIPO2]]="costo", VLOOKUP(Table1[[#This Row],[PARTIDA PRESUPUESTAL]],'Cost Report'!G:G,1,0),"Balance")</f>
        <v>2485-003</v>
      </c>
      <c r="AD5386" s="159">
        <f>+Table1[[#This Row],[SUBTOTAL]]+Table1[[#This Row],[IVA]]-Table1[[#This Row],[RET IVA]]-Table1[[#This Row],[RET ISR]]-Table1[[#This Row],[TOTAL]]</f>
        <v>0</v>
      </c>
      <c r="AG5386" t="s">
        <v>3420</v>
      </c>
      <c r="AK5386" s="306" t="str">
        <f>IF(ISNUMBER(Table1[[#This Row],[FECHA DE RECIBIDO]]), Table1[[#This Row],[FECHA DE RECIBIDO]]-DATE(2023,8,30), "")</f>
        <v/>
      </c>
    </row>
    <row r="5387" spans="1:37" ht="16.05" customHeight="1">
      <c r="A5387" s="172" t="s">
        <v>4865</v>
      </c>
      <c r="B5387" s="178">
        <v>1835</v>
      </c>
      <c r="C5387" s="179" t="s">
        <v>1505</v>
      </c>
      <c r="D5387">
        <v>3653</v>
      </c>
      <c r="E5387" s="125" t="s">
        <v>1598</v>
      </c>
      <c r="F5387" s="178" t="s">
        <v>1607</v>
      </c>
      <c r="G5387" s="178" t="s">
        <v>134</v>
      </c>
      <c r="H5387">
        <v>101</v>
      </c>
      <c r="I5387" s="178" t="s">
        <v>1546</v>
      </c>
      <c r="J5387" s="320" t="s">
        <v>214</v>
      </c>
      <c r="K5387" s="178" t="s">
        <v>4871</v>
      </c>
      <c r="L5387" s="125" t="s">
        <v>4849</v>
      </c>
      <c r="M5387">
        <v>136</v>
      </c>
      <c r="N5387" s="182">
        <v>17</v>
      </c>
      <c r="O5387">
        <v>3491</v>
      </c>
      <c r="P5387" s="132" t="s">
        <v>77</v>
      </c>
      <c r="Q5387" s="176">
        <v>8134.48</v>
      </c>
      <c r="R5387" s="176">
        <v>1301.52</v>
      </c>
      <c r="S5387" s="176"/>
      <c r="T5387" s="190"/>
      <c r="U5387" s="191"/>
      <c r="V5387" s="191">
        <v>9436</v>
      </c>
      <c r="W5387">
        <v>103</v>
      </c>
      <c r="X5387" s="186" t="s">
        <v>3451</v>
      </c>
      <c r="Y5387" s="187" t="s">
        <v>55</v>
      </c>
      <c r="Z5387" s="311">
        <v>223</v>
      </c>
      <c r="AB5387" t="str">
        <f>IF(Table1[[#This Row],[TIPO2]]="costo", VLOOKUP(Table1[[#This Row],[PARTIDA PRESUPUESTAL]],'Cost Report'!G:G,1,0),"Balance")</f>
        <v>2494-003</v>
      </c>
      <c r="AD5387" s="159">
        <f>+Table1[[#This Row],[SUBTOTAL]]+Table1[[#This Row],[IVA]]-Table1[[#This Row],[RET IVA]]-Table1[[#This Row],[RET ISR]]-Table1[[#This Row],[TOTAL]]</f>
        <v>0</v>
      </c>
      <c r="AG5387" t="s">
        <v>3420</v>
      </c>
      <c r="AK5387" s="306" t="str">
        <f>IF(ISNUMBER(Table1[[#This Row],[FECHA DE RECIBIDO]]), Table1[[#This Row],[FECHA DE RECIBIDO]]-DATE(2023,8,30), "")</f>
        <v/>
      </c>
    </row>
    <row r="5388" spans="1:37" ht="16.05" customHeight="1">
      <c r="A5388" s="172" t="s">
        <v>4865</v>
      </c>
      <c r="B5388" s="178">
        <v>1835</v>
      </c>
      <c r="C5388" s="179" t="s">
        <v>2455</v>
      </c>
      <c r="D5388">
        <v>689</v>
      </c>
      <c r="E5388" s="125"/>
      <c r="F5388" s="178"/>
      <c r="G5388" s="178"/>
      <c r="H5388"/>
      <c r="I5388" s="178"/>
      <c r="J5388" s="320" t="s">
        <v>214</v>
      </c>
      <c r="K5388" s="178" t="s">
        <v>4871</v>
      </c>
      <c r="L5388" s="125" t="s">
        <v>4849</v>
      </c>
      <c r="M5388">
        <v>809</v>
      </c>
      <c r="N5388" s="182">
        <v>17</v>
      </c>
      <c r="O5388">
        <v>3492</v>
      </c>
      <c r="P5388" s="132" t="s">
        <v>77</v>
      </c>
      <c r="Q5388" s="176">
        <v>34.22</v>
      </c>
      <c r="R5388" s="176"/>
      <c r="S5388" s="176"/>
      <c r="T5388" s="190"/>
      <c r="U5388" s="191"/>
      <c r="V5388" s="191">
        <v>34.22</v>
      </c>
      <c r="W5388">
        <v>103</v>
      </c>
      <c r="X5388" s="186" t="s">
        <v>3451</v>
      </c>
      <c r="Y5388" s="187" t="s">
        <v>55</v>
      </c>
      <c r="Z5388" s="311">
        <v>250</v>
      </c>
      <c r="AB5388" t="str">
        <f>IF(Table1[[#This Row],[TIPO2]]="costo", VLOOKUP(Table1[[#This Row],[PARTIDA PRESUPUESTAL]],'Cost Report'!G:G,1,0),"Balance")</f>
        <v>2285-003</v>
      </c>
      <c r="AD5388" s="159">
        <f>+Table1[[#This Row],[SUBTOTAL]]+Table1[[#This Row],[IVA]]-Table1[[#This Row],[RET IVA]]-Table1[[#This Row],[RET ISR]]-Table1[[#This Row],[TOTAL]]</f>
        <v>0</v>
      </c>
      <c r="AG5388" t="s">
        <v>3420</v>
      </c>
      <c r="AK5388" s="306" t="str">
        <f>IF(ISNUMBER(Table1[[#This Row],[FECHA DE RECIBIDO]]), Table1[[#This Row],[FECHA DE RECIBIDO]]-DATE(2023,8,30), "")</f>
        <v/>
      </c>
    </row>
    <row r="5389" spans="1:37" ht="16.05" customHeight="1">
      <c r="A5389" s="172" t="s">
        <v>4865</v>
      </c>
      <c r="B5389" s="178">
        <v>1835</v>
      </c>
      <c r="C5389" s="179" t="s">
        <v>1505</v>
      </c>
      <c r="D5389">
        <v>689</v>
      </c>
      <c r="E5389" s="125"/>
      <c r="F5389" s="178"/>
      <c r="G5389" s="178"/>
      <c r="H5389"/>
      <c r="I5389" s="178"/>
      <c r="J5389" s="320" t="s">
        <v>214</v>
      </c>
      <c r="K5389" s="178" t="s">
        <v>4871</v>
      </c>
      <c r="L5389" s="125" t="s">
        <v>4849</v>
      </c>
      <c r="M5389">
        <v>136</v>
      </c>
      <c r="N5389" s="182">
        <v>17</v>
      </c>
      <c r="O5389">
        <v>3493</v>
      </c>
      <c r="P5389" s="132" t="s">
        <v>77</v>
      </c>
      <c r="Q5389" s="176">
        <v>5036</v>
      </c>
      <c r="R5389" s="176"/>
      <c r="S5389" s="176"/>
      <c r="T5389" s="190"/>
      <c r="U5389" s="191"/>
      <c r="V5389" s="191">
        <v>5036</v>
      </c>
      <c r="W5389">
        <v>103</v>
      </c>
      <c r="X5389" s="186" t="s">
        <v>3451</v>
      </c>
      <c r="Y5389" s="187" t="s">
        <v>55</v>
      </c>
      <c r="Z5389" s="311">
        <v>243</v>
      </c>
      <c r="AB5389" t="str">
        <f>IF(Table1[[#This Row],[TIPO2]]="costo", VLOOKUP(Table1[[#This Row],[PARTIDA PRESUPUESTAL]],'Cost Report'!G:G,1,0),"Balance")</f>
        <v>2494-003</v>
      </c>
      <c r="AD5389" s="159">
        <f>+Table1[[#This Row],[SUBTOTAL]]+Table1[[#This Row],[IVA]]-Table1[[#This Row],[RET IVA]]-Table1[[#This Row],[RET ISR]]-Table1[[#This Row],[TOTAL]]</f>
        <v>0</v>
      </c>
      <c r="AG5389" t="s">
        <v>3420</v>
      </c>
      <c r="AK5389" s="306" t="str">
        <f>IF(ISNUMBER(Table1[[#This Row],[FECHA DE RECIBIDO]]), Table1[[#This Row],[FECHA DE RECIBIDO]]-DATE(2023,8,30), "")</f>
        <v/>
      </c>
    </row>
    <row r="5390" spans="1:37" ht="16.05" customHeight="1">
      <c r="A5390" s="172" t="s">
        <v>4866</v>
      </c>
      <c r="B5390" s="178">
        <v>1836</v>
      </c>
      <c r="C5390" s="126" t="s">
        <v>5473</v>
      </c>
      <c r="D5390">
        <v>3654</v>
      </c>
      <c r="E5390" s="125" t="s">
        <v>1997</v>
      </c>
      <c r="F5390" s="178" t="s">
        <v>1607</v>
      </c>
      <c r="G5390" s="178" t="s">
        <v>134</v>
      </c>
      <c r="H5390">
        <v>905</v>
      </c>
      <c r="I5390" s="178" t="s">
        <v>1546</v>
      </c>
      <c r="J5390" s="320" t="s">
        <v>214</v>
      </c>
      <c r="K5390" s="178" t="s">
        <v>4871</v>
      </c>
      <c r="L5390" s="125" t="s">
        <v>4849</v>
      </c>
      <c r="M5390">
        <v>1259</v>
      </c>
      <c r="N5390" s="182">
        <v>17</v>
      </c>
      <c r="O5390">
        <v>3494</v>
      </c>
      <c r="P5390" s="131" t="s">
        <v>77</v>
      </c>
      <c r="Q5390" s="176">
        <v>357.76</v>
      </c>
      <c r="R5390" s="176">
        <v>57.24</v>
      </c>
      <c r="S5390" s="176"/>
      <c r="T5390" s="190"/>
      <c r="U5390" s="191"/>
      <c r="V5390" s="191">
        <v>415</v>
      </c>
      <c r="W5390">
        <v>167</v>
      </c>
      <c r="X5390" s="186" t="s">
        <v>3451</v>
      </c>
      <c r="Y5390" s="187" t="s">
        <v>55</v>
      </c>
      <c r="Z5390" s="311">
        <v>341</v>
      </c>
      <c r="AB5390" t="str">
        <f>IF(Table1[[#This Row],[TIPO2]]="costo", VLOOKUP(Table1[[#This Row],[PARTIDA PRESUPUESTAL]],'Cost Report'!G:G,1,0),"Balance")</f>
        <v>7230-001</v>
      </c>
      <c r="AD5390" s="159">
        <f>+Table1[[#This Row],[SUBTOTAL]]+Table1[[#This Row],[IVA]]-Table1[[#This Row],[RET IVA]]-Table1[[#This Row],[RET ISR]]-Table1[[#This Row],[TOTAL]]</f>
        <v>0</v>
      </c>
      <c r="AG5390" t="s">
        <v>3420</v>
      </c>
      <c r="AJ5390" s="213" t="s">
        <v>5479</v>
      </c>
      <c r="AK5390" s="306" t="str">
        <f>IF(ISNUMBER(Table1[[#This Row],[FECHA DE RECIBIDO]]), Table1[[#This Row],[FECHA DE RECIBIDO]]-DATE(2023,8,30), "")</f>
        <v/>
      </c>
    </row>
    <row r="5391" spans="1:37" ht="16.05" customHeight="1">
      <c r="A5391" s="172" t="s">
        <v>4866</v>
      </c>
      <c r="B5391" s="178">
        <v>1836</v>
      </c>
      <c r="C5391" s="126" t="s">
        <v>5473</v>
      </c>
      <c r="D5391">
        <v>3655</v>
      </c>
      <c r="E5391" s="125" t="s">
        <v>1997</v>
      </c>
      <c r="F5391" s="178" t="s">
        <v>1593</v>
      </c>
      <c r="G5391" s="178" t="s">
        <v>109</v>
      </c>
      <c r="H5391">
        <v>872</v>
      </c>
      <c r="I5391" s="178" t="s">
        <v>1546</v>
      </c>
      <c r="J5391" s="320" t="s">
        <v>214</v>
      </c>
      <c r="K5391" s="178" t="s">
        <v>4871</v>
      </c>
      <c r="L5391" s="125" t="s">
        <v>4849</v>
      </c>
      <c r="M5391">
        <v>1207</v>
      </c>
      <c r="N5391" s="182">
        <v>17</v>
      </c>
      <c r="O5391">
        <v>3495</v>
      </c>
      <c r="P5391" s="131" t="s">
        <v>77</v>
      </c>
      <c r="Q5391" s="176">
        <v>3554.95</v>
      </c>
      <c r="R5391" s="176">
        <v>568.79</v>
      </c>
      <c r="S5391" s="176"/>
      <c r="T5391" s="190">
        <v>379.31</v>
      </c>
      <c r="U5391" s="191">
        <v>44.44</v>
      </c>
      <c r="V5391" s="191">
        <v>3699.99</v>
      </c>
      <c r="W5391">
        <v>167</v>
      </c>
      <c r="X5391" s="186" t="s">
        <v>3451</v>
      </c>
      <c r="Y5391" s="187" t="s">
        <v>55</v>
      </c>
      <c r="Z5391" s="311">
        <v>463</v>
      </c>
      <c r="AB5391" t="str">
        <f>IF(Table1[[#This Row],[TIPO2]]="costo", VLOOKUP(Table1[[#This Row],[PARTIDA PRESUPUESTAL]],'Cost Report'!G:G,1,0),"Balance")</f>
        <v>7230-001</v>
      </c>
      <c r="AD5391" s="159">
        <f>+Table1[[#This Row],[SUBTOTAL]]+Table1[[#This Row],[IVA]]-Table1[[#This Row],[RET IVA]]-Table1[[#This Row],[RET ISR]]-Table1[[#This Row],[TOTAL]]</f>
        <v>0</v>
      </c>
      <c r="AG5391" t="s">
        <v>3420</v>
      </c>
      <c r="AJ5391" s="213" t="s">
        <v>5479</v>
      </c>
      <c r="AK5391" s="306" t="str">
        <f>IF(ISNUMBER(Table1[[#This Row],[FECHA DE RECIBIDO]]), Table1[[#This Row],[FECHA DE RECIBIDO]]-DATE(2023,8,30), "")</f>
        <v/>
      </c>
    </row>
    <row r="5392" spans="1:37" ht="16.05" customHeight="1">
      <c r="A5392" s="172" t="s">
        <v>4867</v>
      </c>
      <c r="B5392" s="178">
        <v>1837</v>
      </c>
      <c r="C5392" s="179" t="s">
        <v>2596</v>
      </c>
      <c r="D5392">
        <v>689</v>
      </c>
      <c r="E5392" s="125"/>
      <c r="F5392" s="178"/>
      <c r="G5392" s="178"/>
      <c r="H5392"/>
      <c r="I5392" s="178"/>
      <c r="J5392" s="320" t="s">
        <v>214</v>
      </c>
      <c r="K5392" s="178" t="s">
        <v>4871</v>
      </c>
      <c r="L5392" s="125" t="s">
        <v>4849</v>
      </c>
      <c r="M5392">
        <v>1260</v>
      </c>
      <c r="N5392" s="182">
        <v>17</v>
      </c>
      <c r="O5392">
        <v>905</v>
      </c>
      <c r="P5392" s="132" t="s">
        <v>77</v>
      </c>
      <c r="Q5392" s="176">
        <v>8</v>
      </c>
      <c r="R5392" s="176"/>
      <c r="S5392" s="176"/>
      <c r="T5392" s="190"/>
      <c r="U5392" s="191"/>
      <c r="V5392" s="191">
        <v>8</v>
      </c>
      <c r="W5392">
        <v>61</v>
      </c>
      <c r="X5392" s="186" t="s">
        <v>3451</v>
      </c>
      <c r="Y5392" s="187" t="s">
        <v>55</v>
      </c>
      <c r="Z5392" s="311">
        <v>220</v>
      </c>
      <c r="AB5392" t="str">
        <f>IF(Table1[[#This Row],[TIPO2]]="costo", VLOOKUP(Table1[[#This Row],[PARTIDA PRESUPUESTAL]],'Cost Report'!G:G,1,0),"Balance")</f>
        <v>2794-003</v>
      </c>
      <c r="AD5392" s="159">
        <f>+Table1[[#This Row],[SUBTOTAL]]+Table1[[#This Row],[IVA]]-Table1[[#This Row],[RET IVA]]-Table1[[#This Row],[RET ISR]]-Table1[[#This Row],[TOTAL]]</f>
        <v>0</v>
      </c>
      <c r="AG5392" t="s">
        <v>3420</v>
      </c>
      <c r="AK5392" s="306" t="str">
        <f>IF(ISNUMBER(Table1[[#This Row],[FECHA DE RECIBIDO]]), Table1[[#This Row],[FECHA DE RECIBIDO]]-DATE(2023,8,30), "")</f>
        <v/>
      </c>
    </row>
    <row r="5393" spans="1:37" ht="16.05" customHeight="1">
      <c r="A5393" s="172" t="s">
        <v>4867</v>
      </c>
      <c r="B5393" s="178">
        <v>1837</v>
      </c>
      <c r="C5393" s="179" t="s">
        <v>2596</v>
      </c>
      <c r="D5393">
        <v>689</v>
      </c>
      <c r="E5393" s="125"/>
      <c r="F5393" s="178"/>
      <c r="G5393" s="178"/>
      <c r="H5393"/>
      <c r="I5393" s="178"/>
      <c r="J5393" s="320" t="s">
        <v>214</v>
      </c>
      <c r="K5393" s="178" t="s">
        <v>4871</v>
      </c>
      <c r="L5393" s="125" t="s">
        <v>4849</v>
      </c>
      <c r="M5393">
        <v>1260</v>
      </c>
      <c r="N5393" s="182">
        <v>17</v>
      </c>
      <c r="O5393">
        <v>905</v>
      </c>
      <c r="P5393" s="132" t="s">
        <v>77</v>
      </c>
      <c r="Q5393" s="176">
        <v>8</v>
      </c>
      <c r="R5393" s="176"/>
      <c r="S5393" s="176"/>
      <c r="T5393" s="190"/>
      <c r="U5393" s="191"/>
      <c r="V5393" s="191">
        <v>8</v>
      </c>
      <c r="W5393">
        <v>61</v>
      </c>
      <c r="X5393" s="186" t="s">
        <v>3451</v>
      </c>
      <c r="Y5393" s="187" t="s">
        <v>55</v>
      </c>
      <c r="Z5393" s="311">
        <v>223</v>
      </c>
      <c r="AB5393" t="str">
        <f>IF(Table1[[#This Row],[TIPO2]]="costo", VLOOKUP(Table1[[#This Row],[PARTIDA PRESUPUESTAL]],'Cost Report'!G:G,1,0),"Balance")</f>
        <v>2794-003</v>
      </c>
      <c r="AD5393" s="159">
        <f>+Table1[[#This Row],[SUBTOTAL]]+Table1[[#This Row],[IVA]]-Table1[[#This Row],[RET IVA]]-Table1[[#This Row],[RET ISR]]-Table1[[#This Row],[TOTAL]]</f>
        <v>0</v>
      </c>
      <c r="AG5393" t="s">
        <v>3420</v>
      </c>
      <c r="AK5393" s="306" t="str">
        <f>IF(ISNUMBER(Table1[[#This Row],[FECHA DE RECIBIDO]]), Table1[[#This Row],[FECHA DE RECIBIDO]]-DATE(2023,8,30), "")</f>
        <v/>
      </c>
    </row>
    <row r="5394" spans="1:37" ht="16.05" customHeight="1">
      <c r="A5394" s="172" t="s">
        <v>4867</v>
      </c>
      <c r="B5394" s="178">
        <v>1837</v>
      </c>
      <c r="C5394" s="179" t="s">
        <v>2596</v>
      </c>
      <c r="D5394">
        <v>689</v>
      </c>
      <c r="E5394" s="125"/>
      <c r="F5394" s="178"/>
      <c r="G5394" s="178"/>
      <c r="H5394"/>
      <c r="I5394" s="178"/>
      <c r="J5394" s="320" t="s">
        <v>214</v>
      </c>
      <c r="K5394" s="178" t="s">
        <v>4871</v>
      </c>
      <c r="L5394" s="125" t="s">
        <v>4849</v>
      </c>
      <c r="M5394">
        <v>1260</v>
      </c>
      <c r="N5394" s="182">
        <v>17</v>
      </c>
      <c r="O5394">
        <v>905</v>
      </c>
      <c r="P5394" s="132" t="s">
        <v>77</v>
      </c>
      <c r="Q5394" s="176">
        <v>8</v>
      </c>
      <c r="R5394" s="176"/>
      <c r="S5394" s="176"/>
      <c r="T5394" s="190"/>
      <c r="U5394" s="191"/>
      <c r="V5394" s="191">
        <v>8</v>
      </c>
      <c r="W5394">
        <v>61</v>
      </c>
      <c r="X5394" s="186" t="s">
        <v>3451</v>
      </c>
      <c r="Y5394" s="187" t="s">
        <v>55</v>
      </c>
      <c r="Z5394" s="311">
        <v>231</v>
      </c>
      <c r="AB5394" t="str">
        <f>IF(Table1[[#This Row],[TIPO2]]="costo", VLOOKUP(Table1[[#This Row],[PARTIDA PRESUPUESTAL]],'Cost Report'!G:G,1,0),"Balance")</f>
        <v>2794-003</v>
      </c>
      <c r="AD5394" s="159">
        <f>+Table1[[#This Row],[SUBTOTAL]]+Table1[[#This Row],[IVA]]-Table1[[#This Row],[RET IVA]]-Table1[[#This Row],[RET ISR]]-Table1[[#This Row],[TOTAL]]</f>
        <v>0</v>
      </c>
      <c r="AG5394" t="s">
        <v>3420</v>
      </c>
      <c r="AK5394" s="306" t="str">
        <f>IF(ISNUMBER(Table1[[#This Row],[FECHA DE RECIBIDO]]), Table1[[#This Row],[FECHA DE RECIBIDO]]-DATE(2023,8,30), "")</f>
        <v/>
      </c>
    </row>
    <row r="5395" spans="1:37" ht="16.05" customHeight="1">
      <c r="A5395" s="172" t="s">
        <v>4867</v>
      </c>
      <c r="B5395" s="178">
        <v>1837</v>
      </c>
      <c r="C5395" s="179" t="s">
        <v>2596</v>
      </c>
      <c r="D5395">
        <v>689</v>
      </c>
      <c r="E5395" s="125"/>
      <c r="F5395" s="178"/>
      <c r="G5395" s="178"/>
      <c r="H5395"/>
      <c r="I5395" s="178"/>
      <c r="J5395" s="320" t="s">
        <v>214</v>
      </c>
      <c r="K5395" s="178" t="s">
        <v>4871</v>
      </c>
      <c r="L5395" s="125" t="s">
        <v>4849</v>
      </c>
      <c r="M5395">
        <v>1261</v>
      </c>
      <c r="N5395" s="182">
        <v>17</v>
      </c>
      <c r="O5395">
        <v>905</v>
      </c>
      <c r="P5395" s="132" t="s">
        <v>77</v>
      </c>
      <c r="Q5395" s="176">
        <v>49</v>
      </c>
      <c r="R5395" s="176"/>
      <c r="S5395" s="176"/>
      <c r="T5395" s="190"/>
      <c r="U5395" s="191"/>
      <c r="V5395" s="191">
        <v>49</v>
      </c>
      <c r="W5395">
        <v>61</v>
      </c>
      <c r="X5395" s="186" t="s">
        <v>3451</v>
      </c>
      <c r="Y5395" s="187" t="s">
        <v>55</v>
      </c>
      <c r="Z5395" s="311">
        <v>250</v>
      </c>
      <c r="AB5395" t="str">
        <f>IF(Table1[[#This Row],[TIPO2]]="costo", VLOOKUP(Table1[[#This Row],[PARTIDA PRESUPUESTAL]],'Cost Report'!G:G,1,0),"Balance")</f>
        <v>2794-003</v>
      </c>
      <c r="AD5395" s="159">
        <f>+Table1[[#This Row],[SUBTOTAL]]+Table1[[#This Row],[IVA]]-Table1[[#This Row],[RET IVA]]-Table1[[#This Row],[RET ISR]]-Table1[[#This Row],[TOTAL]]</f>
        <v>0</v>
      </c>
      <c r="AG5395" t="s">
        <v>3420</v>
      </c>
      <c r="AK5395" s="306" t="str">
        <f>IF(ISNUMBER(Table1[[#This Row],[FECHA DE RECIBIDO]]), Table1[[#This Row],[FECHA DE RECIBIDO]]-DATE(2023,8,30), "")</f>
        <v/>
      </c>
    </row>
    <row r="5396" spans="1:37" ht="16.05" customHeight="1">
      <c r="A5396" s="172" t="s">
        <v>4867</v>
      </c>
      <c r="B5396" s="178">
        <v>1837</v>
      </c>
      <c r="C5396" s="179" t="s">
        <v>2596</v>
      </c>
      <c r="D5396">
        <v>689</v>
      </c>
      <c r="E5396" s="125"/>
      <c r="F5396" s="178"/>
      <c r="G5396" s="178"/>
      <c r="H5396"/>
      <c r="I5396" s="178"/>
      <c r="J5396" s="320" t="s">
        <v>214</v>
      </c>
      <c r="K5396" s="178" t="s">
        <v>4871</v>
      </c>
      <c r="L5396" s="125" t="s">
        <v>4849</v>
      </c>
      <c r="M5396">
        <v>1262</v>
      </c>
      <c r="N5396" s="182">
        <v>17</v>
      </c>
      <c r="O5396">
        <v>905</v>
      </c>
      <c r="P5396" s="132" t="s">
        <v>77</v>
      </c>
      <c r="Q5396" s="176">
        <v>34</v>
      </c>
      <c r="R5396" s="176"/>
      <c r="S5396" s="176"/>
      <c r="T5396" s="190"/>
      <c r="U5396" s="191"/>
      <c r="V5396" s="191">
        <v>34</v>
      </c>
      <c r="W5396">
        <v>61</v>
      </c>
      <c r="X5396" s="186" t="s">
        <v>3451</v>
      </c>
      <c r="Y5396" s="187" t="s">
        <v>55</v>
      </c>
      <c r="Z5396" s="311">
        <v>250</v>
      </c>
      <c r="AB5396" t="str">
        <f>IF(Table1[[#This Row],[TIPO2]]="costo", VLOOKUP(Table1[[#This Row],[PARTIDA PRESUPUESTAL]],'Cost Report'!G:G,1,0),"Balance")</f>
        <v>2794-003</v>
      </c>
      <c r="AD5396" s="159">
        <f>+Table1[[#This Row],[SUBTOTAL]]+Table1[[#This Row],[IVA]]-Table1[[#This Row],[RET IVA]]-Table1[[#This Row],[RET ISR]]-Table1[[#This Row],[TOTAL]]</f>
        <v>0</v>
      </c>
      <c r="AG5396" t="s">
        <v>3420</v>
      </c>
      <c r="AK5396" s="306" t="str">
        <f>IF(ISNUMBER(Table1[[#This Row],[FECHA DE RECIBIDO]]), Table1[[#This Row],[FECHA DE RECIBIDO]]-DATE(2023,8,30), "")</f>
        <v/>
      </c>
    </row>
    <row r="5397" spans="1:37" ht="16.05" customHeight="1">
      <c r="A5397" s="172" t="s">
        <v>4867</v>
      </c>
      <c r="B5397" s="178">
        <v>1837</v>
      </c>
      <c r="C5397" s="179" t="s">
        <v>2596</v>
      </c>
      <c r="D5397">
        <v>689</v>
      </c>
      <c r="E5397" s="125"/>
      <c r="F5397" s="178"/>
      <c r="G5397" s="178"/>
      <c r="H5397"/>
      <c r="I5397" s="178"/>
      <c r="J5397" s="320" t="s">
        <v>214</v>
      </c>
      <c r="K5397" s="178" t="s">
        <v>4871</v>
      </c>
      <c r="L5397" s="125" t="s">
        <v>4849</v>
      </c>
      <c r="M5397">
        <v>592</v>
      </c>
      <c r="N5397" s="182">
        <v>17</v>
      </c>
      <c r="O5397">
        <v>3496</v>
      </c>
      <c r="P5397" s="132" t="s">
        <v>77</v>
      </c>
      <c r="Q5397" s="176">
        <v>34.799999999999997</v>
      </c>
      <c r="R5397" s="176"/>
      <c r="S5397" s="176"/>
      <c r="T5397" s="190"/>
      <c r="U5397" s="191"/>
      <c r="V5397" s="191">
        <v>34.799999999999997</v>
      </c>
      <c r="W5397">
        <v>61</v>
      </c>
      <c r="X5397" s="186" t="s">
        <v>3451</v>
      </c>
      <c r="Y5397" s="187" t="s">
        <v>55</v>
      </c>
      <c r="Z5397" s="311">
        <v>251</v>
      </c>
      <c r="AB5397" t="str">
        <f>IF(Table1[[#This Row],[TIPO2]]="costo", VLOOKUP(Table1[[#This Row],[PARTIDA PRESUPUESTAL]],'Cost Report'!G:G,1,0),"Balance")</f>
        <v>2794-003</v>
      </c>
      <c r="AD5397" s="159">
        <f>+Table1[[#This Row],[SUBTOTAL]]+Table1[[#This Row],[IVA]]-Table1[[#This Row],[RET IVA]]-Table1[[#This Row],[RET ISR]]-Table1[[#This Row],[TOTAL]]</f>
        <v>0</v>
      </c>
      <c r="AG5397" t="s">
        <v>3420</v>
      </c>
      <c r="AK5397" s="306" t="str">
        <f>IF(ISNUMBER(Table1[[#This Row],[FECHA DE RECIBIDO]]), Table1[[#This Row],[FECHA DE RECIBIDO]]-DATE(2023,8,30), "")</f>
        <v/>
      </c>
    </row>
    <row r="5398" spans="1:37" ht="16.05" customHeight="1">
      <c r="A5398" s="172" t="s">
        <v>4867</v>
      </c>
      <c r="B5398" s="178">
        <v>1837</v>
      </c>
      <c r="C5398" s="179" t="s">
        <v>2596</v>
      </c>
      <c r="D5398">
        <v>689</v>
      </c>
      <c r="E5398" s="125"/>
      <c r="F5398" s="178"/>
      <c r="G5398" s="178"/>
      <c r="H5398"/>
      <c r="I5398" s="178"/>
      <c r="J5398" s="320" t="s">
        <v>214</v>
      </c>
      <c r="K5398" s="178" t="s">
        <v>4871</v>
      </c>
      <c r="L5398" s="125" t="s">
        <v>4849</v>
      </c>
      <c r="M5398">
        <v>1260</v>
      </c>
      <c r="N5398" s="182">
        <v>17</v>
      </c>
      <c r="O5398">
        <v>905</v>
      </c>
      <c r="P5398" s="132" t="s">
        <v>77</v>
      </c>
      <c r="Q5398" s="176">
        <v>15</v>
      </c>
      <c r="R5398" s="176"/>
      <c r="S5398" s="176"/>
      <c r="T5398" s="190"/>
      <c r="U5398" s="191"/>
      <c r="V5398" s="191">
        <v>15</v>
      </c>
      <c r="W5398">
        <v>61</v>
      </c>
      <c r="X5398" s="186" t="s">
        <v>3451</v>
      </c>
      <c r="Y5398" s="187" t="s">
        <v>55</v>
      </c>
      <c r="Z5398" s="311">
        <v>253</v>
      </c>
      <c r="AB5398" t="str">
        <f>IF(Table1[[#This Row],[TIPO2]]="costo", VLOOKUP(Table1[[#This Row],[PARTIDA PRESUPUESTAL]],'Cost Report'!G:G,1,0),"Balance")</f>
        <v>2794-003</v>
      </c>
      <c r="AD5398" s="159">
        <f>+Table1[[#This Row],[SUBTOTAL]]+Table1[[#This Row],[IVA]]-Table1[[#This Row],[RET IVA]]-Table1[[#This Row],[RET ISR]]-Table1[[#This Row],[TOTAL]]</f>
        <v>0</v>
      </c>
      <c r="AG5398" t="s">
        <v>3420</v>
      </c>
      <c r="AK5398" s="306" t="str">
        <f>IF(ISNUMBER(Table1[[#This Row],[FECHA DE RECIBIDO]]), Table1[[#This Row],[FECHA DE RECIBIDO]]-DATE(2023,8,30), "")</f>
        <v/>
      </c>
    </row>
    <row r="5399" spans="1:37" ht="16.05" customHeight="1">
      <c r="A5399" s="172" t="s">
        <v>4867</v>
      </c>
      <c r="B5399" s="178">
        <v>1837</v>
      </c>
      <c r="C5399" s="179" t="s">
        <v>2596</v>
      </c>
      <c r="D5399">
        <v>689</v>
      </c>
      <c r="E5399" s="125"/>
      <c r="F5399" s="178"/>
      <c r="G5399" s="178"/>
      <c r="H5399"/>
      <c r="I5399" s="178"/>
      <c r="J5399" s="320" t="s">
        <v>214</v>
      </c>
      <c r="K5399" s="178" t="s">
        <v>4871</v>
      </c>
      <c r="L5399" s="125" t="s">
        <v>4849</v>
      </c>
      <c r="M5399">
        <v>592</v>
      </c>
      <c r="N5399" s="182">
        <v>17</v>
      </c>
      <c r="O5399">
        <v>3496</v>
      </c>
      <c r="P5399" s="132" t="s">
        <v>77</v>
      </c>
      <c r="Q5399" s="176">
        <v>34.799999999999997</v>
      </c>
      <c r="R5399" s="176"/>
      <c r="S5399" s="176"/>
      <c r="T5399" s="190"/>
      <c r="U5399" s="191"/>
      <c r="V5399" s="191">
        <v>34.799999999999997</v>
      </c>
      <c r="W5399">
        <v>61</v>
      </c>
      <c r="X5399" s="186" t="s">
        <v>3451</v>
      </c>
      <c r="Y5399" s="187" t="s">
        <v>55</v>
      </c>
      <c r="Z5399" s="311">
        <v>254</v>
      </c>
      <c r="AB5399" t="str">
        <f>IF(Table1[[#This Row],[TIPO2]]="costo", VLOOKUP(Table1[[#This Row],[PARTIDA PRESUPUESTAL]],'Cost Report'!G:G,1,0),"Balance")</f>
        <v>2794-003</v>
      </c>
      <c r="AD5399" s="159">
        <f>+Table1[[#This Row],[SUBTOTAL]]+Table1[[#This Row],[IVA]]-Table1[[#This Row],[RET IVA]]-Table1[[#This Row],[RET ISR]]-Table1[[#This Row],[TOTAL]]</f>
        <v>0</v>
      </c>
      <c r="AG5399" t="s">
        <v>3420</v>
      </c>
      <c r="AK5399" s="306" t="str">
        <f>IF(ISNUMBER(Table1[[#This Row],[FECHA DE RECIBIDO]]), Table1[[#This Row],[FECHA DE RECIBIDO]]-DATE(2023,8,30), "")</f>
        <v/>
      </c>
    </row>
    <row r="5400" spans="1:37" ht="16.05" customHeight="1">
      <c r="A5400" s="172" t="s">
        <v>4867</v>
      </c>
      <c r="B5400" s="178">
        <v>1837</v>
      </c>
      <c r="C5400" s="179" t="s">
        <v>2596</v>
      </c>
      <c r="D5400">
        <v>689</v>
      </c>
      <c r="E5400" s="125"/>
      <c r="F5400" s="178"/>
      <c r="G5400" s="178"/>
      <c r="H5400"/>
      <c r="I5400" s="178"/>
      <c r="J5400" s="320" t="s">
        <v>214</v>
      </c>
      <c r="K5400" s="178" t="s">
        <v>4871</v>
      </c>
      <c r="L5400" s="125" t="s">
        <v>4849</v>
      </c>
      <c r="M5400">
        <v>1263</v>
      </c>
      <c r="N5400" s="182">
        <v>17</v>
      </c>
      <c r="O5400">
        <v>3497</v>
      </c>
      <c r="P5400" s="132" t="s">
        <v>77</v>
      </c>
      <c r="Q5400" s="176">
        <v>500</v>
      </c>
      <c r="R5400" s="176"/>
      <c r="S5400" s="176"/>
      <c r="T5400" s="190"/>
      <c r="U5400" s="191"/>
      <c r="V5400" s="191">
        <v>500</v>
      </c>
      <c r="W5400">
        <v>61</v>
      </c>
      <c r="X5400" s="186" t="s">
        <v>3451</v>
      </c>
      <c r="Y5400" s="187" t="s">
        <v>55</v>
      </c>
      <c r="Z5400" s="311">
        <v>254</v>
      </c>
      <c r="AB5400" t="str">
        <f>IF(Table1[[#This Row],[TIPO2]]="costo", VLOOKUP(Table1[[#This Row],[PARTIDA PRESUPUESTAL]],'Cost Report'!G:G,1,0),"Balance")</f>
        <v>2794-003</v>
      </c>
      <c r="AD5400" s="159">
        <f>+Table1[[#This Row],[SUBTOTAL]]+Table1[[#This Row],[IVA]]-Table1[[#This Row],[RET IVA]]-Table1[[#This Row],[RET ISR]]-Table1[[#This Row],[TOTAL]]</f>
        <v>0</v>
      </c>
      <c r="AG5400" t="s">
        <v>3420</v>
      </c>
      <c r="AK5400" s="306" t="str">
        <f>IF(ISNUMBER(Table1[[#This Row],[FECHA DE RECIBIDO]]), Table1[[#This Row],[FECHA DE RECIBIDO]]-DATE(2023,8,30), "")</f>
        <v/>
      </c>
    </row>
    <row r="5401" spans="1:37" ht="16.05" customHeight="1">
      <c r="A5401" s="172" t="s">
        <v>4867</v>
      </c>
      <c r="B5401" s="178">
        <v>1837</v>
      </c>
      <c r="C5401" s="179" t="s">
        <v>2596</v>
      </c>
      <c r="D5401">
        <v>689</v>
      </c>
      <c r="E5401" s="125"/>
      <c r="F5401" s="178"/>
      <c r="G5401" s="178"/>
      <c r="H5401"/>
      <c r="I5401" s="178"/>
      <c r="J5401" s="320" t="s">
        <v>214</v>
      </c>
      <c r="K5401" s="178" t="s">
        <v>4871</v>
      </c>
      <c r="L5401" s="125" t="s">
        <v>4849</v>
      </c>
      <c r="M5401">
        <v>809</v>
      </c>
      <c r="N5401" s="182">
        <v>17</v>
      </c>
      <c r="O5401">
        <v>3496</v>
      </c>
      <c r="P5401" s="132" t="s">
        <v>77</v>
      </c>
      <c r="Q5401" s="176">
        <v>34.22</v>
      </c>
      <c r="R5401" s="176"/>
      <c r="S5401" s="176"/>
      <c r="T5401" s="190"/>
      <c r="U5401" s="191"/>
      <c r="V5401" s="191">
        <v>34.22</v>
      </c>
      <c r="W5401">
        <v>61</v>
      </c>
      <c r="X5401" s="186" t="s">
        <v>3451</v>
      </c>
      <c r="Y5401" s="187" t="s">
        <v>55</v>
      </c>
      <c r="Z5401" s="311">
        <v>257</v>
      </c>
      <c r="AB5401" t="str">
        <f>IF(Table1[[#This Row],[TIPO2]]="costo", VLOOKUP(Table1[[#This Row],[PARTIDA PRESUPUESTAL]],'Cost Report'!G:G,1,0),"Balance")</f>
        <v>2794-003</v>
      </c>
      <c r="AD5401" s="159">
        <f>+Table1[[#This Row],[SUBTOTAL]]+Table1[[#This Row],[IVA]]-Table1[[#This Row],[RET IVA]]-Table1[[#This Row],[RET ISR]]-Table1[[#This Row],[TOTAL]]</f>
        <v>0</v>
      </c>
      <c r="AG5401" t="s">
        <v>3420</v>
      </c>
      <c r="AK5401" s="306" t="str">
        <f>IF(ISNUMBER(Table1[[#This Row],[FECHA DE RECIBIDO]]), Table1[[#This Row],[FECHA DE RECIBIDO]]-DATE(2023,8,30), "")</f>
        <v/>
      </c>
    </row>
    <row r="5402" spans="1:37" ht="16.05" customHeight="1">
      <c r="A5402" s="172" t="s">
        <v>4868</v>
      </c>
      <c r="B5402" s="178">
        <v>1838</v>
      </c>
      <c r="C5402" s="179" t="s">
        <v>2596</v>
      </c>
      <c r="D5402">
        <v>3656</v>
      </c>
      <c r="E5402" s="125" t="s">
        <v>1598</v>
      </c>
      <c r="F5402" s="178" t="s">
        <v>1607</v>
      </c>
      <c r="G5402" s="178" t="s">
        <v>134</v>
      </c>
      <c r="H5402">
        <v>41</v>
      </c>
      <c r="I5402" s="178" t="s">
        <v>1546</v>
      </c>
      <c r="J5402" s="320" t="s">
        <v>214</v>
      </c>
      <c r="K5402" s="178" t="s">
        <v>4871</v>
      </c>
      <c r="L5402" s="125" t="s">
        <v>4849</v>
      </c>
      <c r="M5402">
        <v>323</v>
      </c>
      <c r="N5402" s="182">
        <v>17</v>
      </c>
      <c r="O5402">
        <v>3498</v>
      </c>
      <c r="P5402" s="132" t="s">
        <v>77</v>
      </c>
      <c r="Q5402" s="176">
        <v>171.55</v>
      </c>
      <c r="R5402" s="176">
        <v>27.45</v>
      </c>
      <c r="S5402" s="176"/>
      <c r="T5402" s="190"/>
      <c r="U5402" s="191"/>
      <c r="V5402" s="191">
        <v>199</v>
      </c>
      <c r="W5402">
        <v>61</v>
      </c>
      <c r="X5402" s="186" t="s">
        <v>3451</v>
      </c>
      <c r="Y5402" s="187" t="s">
        <v>55</v>
      </c>
      <c r="Z5402" s="311">
        <v>267</v>
      </c>
      <c r="AB5402" t="str">
        <f>IF(Table1[[#This Row],[TIPO2]]="costo", VLOOKUP(Table1[[#This Row],[PARTIDA PRESUPUESTAL]],'Cost Report'!G:G,1,0),"Balance")</f>
        <v>2794-003</v>
      </c>
      <c r="AD5402" s="159">
        <f>+Table1[[#This Row],[SUBTOTAL]]+Table1[[#This Row],[IVA]]-Table1[[#This Row],[RET IVA]]-Table1[[#This Row],[RET ISR]]-Table1[[#This Row],[TOTAL]]</f>
        <v>0</v>
      </c>
      <c r="AG5402" t="s">
        <v>3420</v>
      </c>
      <c r="AK5402" s="306" t="str">
        <f>IF(ISNUMBER(Table1[[#This Row],[FECHA DE RECIBIDO]]), Table1[[#This Row],[FECHA DE RECIBIDO]]-DATE(2023,8,30), "")</f>
        <v/>
      </c>
    </row>
    <row r="5403" spans="1:37" ht="16.05" customHeight="1">
      <c r="A5403" s="172" t="s">
        <v>4868</v>
      </c>
      <c r="B5403" s="178">
        <v>1838</v>
      </c>
      <c r="C5403" s="179" t="s">
        <v>2596</v>
      </c>
      <c r="D5403">
        <v>3657</v>
      </c>
      <c r="E5403" s="125" t="s">
        <v>1993</v>
      </c>
      <c r="F5403" s="178" t="s">
        <v>1607</v>
      </c>
      <c r="G5403" s="178" t="s">
        <v>134</v>
      </c>
      <c r="H5403">
        <v>97</v>
      </c>
      <c r="I5403" s="178" t="s">
        <v>1546</v>
      </c>
      <c r="J5403" s="320" t="s">
        <v>214</v>
      </c>
      <c r="K5403" s="178" t="s">
        <v>4871</v>
      </c>
      <c r="L5403" s="125" t="s">
        <v>4849</v>
      </c>
      <c r="M5403">
        <v>132</v>
      </c>
      <c r="N5403" s="182">
        <v>17</v>
      </c>
      <c r="O5403">
        <v>1926</v>
      </c>
      <c r="P5403" s="132" t="s">
        <v>77</v>
      </c>
      <c r="Q5403" s="176">
        <v>249.14</v>
      </c>
      <c r="R5403" s="176">
        <v>39.86</v>
      </c>
      <c r="S5403" s="176"/>
      <c r="T5403" s="190"/>
      <c r="U5403" s="191"/>
      <c r="V5403" s="191">
        <v>289</v>
      </c>
      <c r="W5403">
        <v>61</v>
      </c>
      <c r="X5403" s="186" t="s">
        <v>3451</v>
      </c>
      <c r="Y5403" s="187" t="s">
        <v>55</v>
      </c>
      <c r="Z5403" s="311">
        <v>267</v>
      </c>
      <c r="AB5403" t="str">
        <f>IF(Table1[[#This Row],[TIPO2]]="costo", VLOOKUP(Table1[[#This Row],[PARTIDA PRESUPUESTAL]],'Cost Report'!G:G,1,0),"Balance")</f>
        <v>2794-003</v>
      </c>
      <c r="AD5403" s="159">
        <f>+Table1[[#This Row],[SUBTOTAL]]+Table1[[#This Row],[IVA]]-Table1[[#This Row],[RET IVA]]-Table1[[#This Row],[RET ISR]]-Table1[[#This Row],[TOTAL]]</f>
        <v>0</v>
      </c>
      <c r="AG5403" t="s">
        <v>3420</v>
      </c>
      <c r="AK5403" s="306" t="str">
        <f>IF(ISNUMBER(Table1[[#This Row],[FECHA DE RECIBIDO]]), Table1[[#This Row],[FECHA DE RECIBIDO]]-DATE(2023,8,30), "")</f>
        <v/>
      </c>
    </row>
    <row r="5404" spans="1:37" ht="16.05" customHeight="1">
      <c r="A5404" s="172" t="s">
        <v>4868</v>
      </c>
      <c r="B5404" s="178">
        <v>1838</v>
      </c>
      <c r="C5404" s="179" t="s">
        <v>2596</v>
      </c>
      <c r="D5404">
        <v>3658</v>
      </c>
      <c r="E5404" s="125" t="s">
        <v>1999</v>
      </c>
      <c r="F5404" s="178" t="s">
        <v>1607</v>
      </c>
      <c r="G5404" s="178" t="s">
        <v>134</v>
      </c>
      <c r="H5404">
        <v>79</v>
      </c>
      <c r="I5404" s="178" t="s">
        <v>1546</v>
      </c>
      <c r="J5404" s="320" t="s">
        <v>214</v>
      </c>
      <c r="K5404" s="178" t="s">
        <v>4871</v>
      </c>
      <c r="L5404" s="125" t="s">
        <v>4849</v>
      </c>
      <c r="M5404">
        <v>103</v>
      </c>
      <c r="N5404" s="182">
        <v>17</v>
      </c>
      <c r="O5404">
        <v>3499</v>
      </c>
      <c r="P5404" s="132" t="s">
        <v>77</v>
      </c>
      <c r="Q5404" s="176">
        <v>59.48</v>
      </c>
      <c r="R5404" s="176">
        <v>9.52</v>
      </c>
      <c r="S5404" s="176"/>
      <c r="T5404" s="190"/>
      <c r="U5404" s="191"/>
      <c r="V5404" s="191">
        <v>69</v>
      </c>
      <c r="W5404">
        <v>61</v>
      </c>
      <c r="X5404" s="186" t="s">
        <v>3451</v>
      </c>
      <c r="Y5404" s="187" t="s">
        <v>55</v>
      </c>
      <c r="Z5404" s="311">
        <v>267</v>
      </c>
      <c r="AB5404" t="str">
        <f>IF(Table1[[#This Row],[TIPO2]]="costo", VLOOKUP(Table1[[#This Row],[PARTIDA PRESUPUESTAL]],'Cost Report'!G:G,1,0),"Balance")</f>
        <v>2794-003</v>
      </c>
      <c r="AD5404" s="159">
        <f>+Table1[[#This Row],[SUBTOTAL]]+Table1[[#This Row],[IVA]]-Table1[[#This Row],[RET IVA]]-Table1[[#This Row],[RET ISR]]-Table1[[#This Row],[TOTAL]]</f>
        <v>0</v>
      </c>
      <c r="AG5404" t="s">
        <v>3420</v>
      </c>
      <c r="AK5404" s="306" t="str">
        <f>IF(ISNUMBER(Table1[[#This Row],[FECHA DE RECIBIDO]]), Table1[[#This Row],[FECHA DE RECIBIDO]]-DATE(2023,8,30), "")</f>
        <v/>
      </c>
    </row>
    <row r="5405" spans="1:37" ht="16.05" customHeight="1">
      <c r="A5405" s="172" t="s">
        <v>4868</v>
      </c>
      <c r="B5405" s="178">
        <v>1838</v>
      </c>
      <c r="C5405" s="179" t="s">
        <v>2596</v>
      </c>
      <c r="D5405">
        <v>3659</v>
      </c>
      <c r="E5405" s="125" t="s">
        <v>1603</v>
      </c>
      <c r="F5405" s="178" t="s">
        <v>1589</v>
      </c>
      <c r="G5405" s="178" t="s">
        <v>129</v>
      </c>
      <c r="H5405">
        <v>593</v>
      </c>
      <c r="I5405" s="178" t="s">
        <v>1546</v>
      </c>
      <c r="J5405" s="320" t="s">
        <v>214</v>
      </c>
      <c r="K5405" s="178" t="s">
        <v>4871</v>
      </c>
      <c r="L5405" s="125" t="s">
        <v>4849</v>
      </c>
      <c r="M5405">
        <v>571</v>
      </c>
      <c r="N5405" s="182">
        <v>17</v>
      </c>
      <c r="O5405">
        <v>1364</v>
      </c>
      <c r="P5405" s="132" t="s">
        <v>77</v>
      </c>
      <c r="Q5405" s="176">
        <v>480.95</v>
      </c>
      <c r="R5405" s="176">
        <v>76.95</v>
      </c>
      <c r="S5405" s="176"/>
      <c r="T5405" s="190"/>
      <c r="U5405" s="191"/>
      <c r="V5405" s="191">
        <v>557.9</v>
      </c>
      <c r="W5405">
        <v>61</v>
      </c>
      <c r="X5405" s="186" t="s">
        <v>3451</v>
      </c>
      <c r="Y5405" s="187" t="s">
        <v>55</v>
      </c>
      <c r="Z5405" s="311">
        <v>267</v>
      </c>
      <c r="AB5405" t="str">
        <f>IF(Table1[[#This Row],[TIPO2]]="costo", VLOOKUP(Table1[[#This Row],[PARTIDA PRESUPUESTAL]],'Cost Report'!G:G,1,0),"Balance")</f>
        <v>2794-003</v>
      </c>
      <c r="AD5405" s="159">
        <f>+Table1[[#This Row],[SUBTOTAL]]+Table1[[#This Row],[IVA]]-Table1[[#This Row],[RET IVA]]-Table1[[#This Row],[RET ISR]]-Table1[[#This Row],[TOTAL]]</f>
        <v>0</v>
      </c>
      <c r="AG5405" t="s">
        <v>3420</v>
      </c>
      <c r="AK5405" s="306" t="str">
        <f>IF(ISNUMBER(Table1[[#This Row],[FECHA DE RECIBIDO]]), Table1[[#This Row],[FECHA DE RECIBIDO]]-DATE(2023,8,30), "")</f>
        <v/>
      </c>
    </row>
    <row r="5406" spans="1:37" ht="16.05" customHeight="1">
      <c r="A5406" s="172" t="s">
        <v>4868</v>
      </c>
      <c r="B5406" s="178">
        <v>1838</v>
      </c>
      <c r="C5406" s="179" t="s">
        <v>2596</v>
      </c>
      <c r="D5406">
        <v>3660</v>
      </c>
      <c r="E5406" s="125" t="s">
        <v>4869</v>
      </c>
      <c r="F5406" s="178" t="s">
        <v>1593</v>
      </c>
      <c r="G5406" s="178" t="s">
        <v>109</v>
      </c>
      <c r="H5406">
        <v>906</v>
      </c>
      <c r="I5406" s="178" t="s">
        <v>1546</v>
      </c>
      <c r="J5406" s="320" t="s">
        <v>214</v>
      </c>
      <c r="K5406" s="178" t="s">
        <v>4871</v>
      </c>
      <c r="L5406" s="125" t="s">
        <v>4849</v>
      </c>
      <c r="M5406">
        <v>1264</v>
      </c>
      <c r="N5406" s="182">
        <v>17</v>
      </c>
      <c r="O5406">
        <v>3500</v>
      </c>
      <c r="P5406" s="132" t="s">
        <v>77</v>
      </c>
      <c r="Q5406" s="176">
        <v>1665</v>
      </c>
      <c r="R5406" s="176">
        <v>266.39999999999998</v>
      </c>
      <c r="S5406" s="176"/>
      <c r="T5406" s="190"/>
      <c r="U5406" s="191">
        <v>20.81</v>
      </c>
      <c r="V5406" s="191">
        <v>1910.5900000000001</v>
      </c>
      <c r="W5406">
        <v>61</v>
      </c>
      <c r="X5406" s="186" t="s">
        <v>3451</v>
      </c>
      <c r="Y5406" s="187" t="s">
        <v>55</v>
      </c>
      <c r="Z5406" s="311">
        <v>268</v>
      </c>
      <c r="AB5406" t="str">
        <f>IF(Table1[[#This Row],[TIPO2]]="costo", VLOOKUP(Table1[[#This Row],[PARTIDA PRESUPUESTAL]],'Cost Report'!G:G,1,0),"Balance")</f>
        <v>2794-003</v>
      </c>
      <c r="AD5406" s="159">
        <f>+Table1[[#This Row],[SUBTOTAL]]+Table1[[#This Row],[IVA]]-Table1[[#This Row],[RET IVA]]-Table1[[#This Row],[RET ISR]]-Table1[[#This Row],[TOTAL]]</f>
        <v>0</v>
      </c>
      <c r="AG5406" t="s">
        <v>3420</v>
      </c>
      <c r="AK5406" s="306" t="str">
        <f>IF(ISNUMBER(Table1[[#This Row],[FECHA DE RECIBIDO]]), Table1[[#This Row],[FECHA DE RECIBIDO]]-DATE(2023,8,30), "")</f>
        <v/>
      </c>
    </row>
    <row r="5407" spans="1:37" ht="16.05" customHeight="1">
      <c r="A5407" s="172" t="s">
        <v>4870</v>
      </c>
      <c r="B5407" s="178">
        <v>1839</v>
      </c>
      <c r="C5407" s="179" t="s">
        <v>2596</v>
      </c>
      <c r="D5407">
        <v>689</v>
      </c>
      <c r="E5407" s="125"/>
      <c r="F5407" s="178"/>
      <c r="G5407" s="178"/>
      <c r="H5407"/>
      <c r="I5407" s="178"/>
      <c r="J5407" s="320" t="s">
        <v>214</v>
      </c>
      <c r="K5407" s="178" t="s">
        <v>4871</v>
      </c>
      <c r="L5407" s="125" t="s">
        <v>4849</v>
      </c>
      <c r="M5407">
        <v>1265</v>
      </c>
      <c r="N5407" s="182">
        <v>17</v>
      </c>
      <c r="O5407">
        <v>3501</v>
      </c>
      <c r="P5407" s="132" t="s">
        <v>77</v>
      </c>
      <c r="Q5407" s="176">
        <v>31.32</v>
      </c>
      <c r="R5407" s="176"/>
      <c r="S5407" s="176"/>
      <c r="T5407" s="190"/>
      <c r="U5407" s="191"/>
      <c r="V5407" s="191">
        <v>31.32</v>
      </c>
      <c r="W5407">
        <v>61</v>
      </c>
      <c r="X5407" s="186" t="s">
        <v>3451</v>
      </c>
      <c r="Y5407" s="187" t="s">
        <v>55</v>
      </c>
      <c r="Z5407" s="311">
        <v>180</v>
      </c>
      <c r="AB5407" t="str">
        <f>IF(Table1[[#This Row],[TIPO2]]="costo", VLOOKUP(Table1[[#This Row],[PARTIDA PRESUPUESTAL]],'Cost Report'!G:G,1,0),"Balance")</f>
        <v>2794-003</v>
      </c>
      <c r="AD5407" s="159">
        <f>+Table1[[#This Row],[SUBTOTAL]]+Table1[[#This Row],[IVA]]-Table1[[#This Row],[RET IVA]]-Table1[[#This Row],[RET ISR]]-Table1[[#This Row],[TOTAL]]</f>
        <v>0</v>
      </c>
      <c r="AG5407" t="s">
        <v>3420</v>
      </c>
      <c r="AK5407" s="306" t="str">
        <f>IF(ISNUMBER(Table1[[#This Row],[FECHA DE RECIBIDO]]), Table1[[#This Row],[FECHA DE RECIBIDO]]-DATE(2023,8,30), "")</f>
        <v/>
      </c>
    </row>
    <row r="5408" spans="1:37" ht="16.05" customHeight="1">
      <c r="A5408" s="172" t="s">
        <v>4870</v>
      </c>
      <c r="B5408" s="178">
        <v>1839</v>
      </c>
      <c r="C5408" s="179" t="s">
        <v>2596</v>
      </c>
      <c r="D5408">
        <v>689</v>
      </c>
      <c r="E5408" s="125"/>
      <c r="F5408" s="178"/>
      <c r="G5408" s="178"/>
      <c r="H5408"/>
      <c r="I5408" s="178"/>
      <c r="J5408" s="320" t="s">
        <v>214</v>
      </c>
      <c r="K5408" s="178" t="s">
        <v>4871</v>
      </c>
      <c r="L5408" s="125" t="s">
        <v>4849</v>
      </c>
      <c r="M5408">
        <v>1265</v>
      </c>
      <c r="N5408" s="182">
        <v>17</v>
      </c>
      <c r="O5408">
        <v>3501</v>
      </c>
      <c r="P5408" s="132" t="s">
        <v>77</v>
      </c>
      <c r="Q5408" s="176">
        <v>34.22</v>
      </c>
      <c r="R5408" s="176"/>
      <c r="S5408" s="176"/>
      <c r="T5408" s="190"/>
      <c r="U5408" s="191"/>
      <c r="V5408" s="191">
        <v>34.22</v>
      </c>
      <c r="W5408">
        <v>61</v>
      </c>
      <c r="X5408" s="186" t="s">
        <v>3451</v>
      </c>
      <c r="Y5408" s="187" t="s">
        <v>55</v>
      </c>
      <c r="Z5408" s="311">
        <v>178</v>
      </c>
      <c r="AB5408" t="str">
        <f>IF(Table1[[#This Row],[TIPO2]]="costo", VLOOKUP(Table1[[#This Row],[PARTIDA PRESUPUESTAL]],'Cost Report'!G:G,1,0),"Balance")</f>
        <v>2794-003</v>
      </c>
      <c r="AD5408" s="159">
        <f>+Table1[[#This Row],[SUBTOTAL]]+Table1[[#This Row],[IVA]]-Table1[[#This Row],[RET IVA]]-Table1[[#This Row],[RET ISR]]-Table1[[#This Row],[TOTAL]]</f>
        <v>0</v>
      </c>
      <c r="AG5408" t="s">
        <v>3420</v>
      </c>
      <c r="AK5408" s="306" t="str">
        <f>IF(ISNUMBER(Table1[[#This Row],[FECHA DE RECIBIDO]]), Table1[[#This Row],[FECHA DE RECIBIDO]]-DATE(2023,8,30), "")</f>
        <v/>
      </c>
    </row>
    <row r="5409" spans="1:37" ht="16.05" customHeight="1">
      <c r="A5409" s="172" t="s">
        <v>4870</v>
      </c>
      <c r="B5409" s="178">
        <v>1839</v>
      </c>
      <c r="C5409" s="179" t="s">
        <v>2596</v>
      </c>
      <c r="D5409">
        <v>689</v>
      </c>
      <c r="E5409" s="125"/>
      <c r="F5409" s="178"/>
      <c r="G5409" s="178"/>
      <c r="H5409"/>
      <c r="I5409" s="178"/>
      <c r="J5409" s="320" t="s">
        <v>214</v>
      </c>
      <c r="K5409" s="178" t="s">
        <v>4871</v>
      </c>
      <c r="L5409" s="125" t="s">
        <v>4849</v>
      </c>
      <c r="M5409">
        <v>1265</v>
      </c>
      <c r="N5409" s="182">
        <v>17</v>
      </c>
      <c r="O5409">
        <v>3501</v>
      </c>
      <c r="P5409" s="132" t="s">
        <v>77</v>
      </c>
      <c r="Q5409" s="176">
        <v>31.32</v>
      </c>
      <c r="R5409" s="176"/>
      <c r="S5409" s="176"/>
      <c r="T5409" s="190"/>
      <c r="U5409" s="191"/>
      <c r="V5409" s="191">
        <v>31.32</v>
      </c>
      <c r="W5409">
        <v>61</v>
      </c>
      <c r="X5409" s="186" t="s">
        <v>3451</v>
      </c>
      <c r="Y5409" s="187" t="s">
        <v>55</v>
      </c>
      <c r="Z5409" s="311">
        <v>190</v>
      </c>
      <c r="AB5409" t="str">
        <f>IF(Table1[[#This Row],[TIPO2]]="costo", VLOOKUP(Table1[[#This Row],[PARTIDA PRESUPUESTAL]],'Cost Report'!G:G,1,0),"Balance")</f>
        <v>2794-003</v>
      </c>
      <c r="AD5409" s="159">
        <f>+Table1[[#This Row],[SUBTOTAL]]+Table1[[#This Row],[IVA]]-Table1[[#This Row],[RET IVA]]-Table1[[#This Row],[RET ISR]]-Table1[[#This Row],[TOTAL]]</f>
        <v>0</v>
      </c>
      <c r="AG5409" t="s">
        <v>3420</v>
      </c>
      <c r="AK5409" s="306" t="str">
        <f>IF(ISNUMBER(Table1[[#This Row],[FECHA DE RECIBIDO]]), Table1[[#This Row],[FECHA DE RECIBIDO]]-DATE(2023,8,30), "")</f>
        <v/>
      </c>
    </row>
    <row r="5410" spans="1:37" ht="16.05" customHeight="1">
      <c r="A5410" s="172" t="s">
        <v>4870</v>
      </c>
      <c r="B5410" s="178">
        <v>1839</v>
      </c>
      <c r="C5410" s="179" t="s">
        <v>2596</v>
      </c>
      <c r="D5410">
        <v>689</v>
      </c>
      <c r="E5410" s="125"/>
      <c r="F5410" s="178"/>
      <c r="G5410" s="178"/>
      <c r="H5410"/>
      <c r="I5410" s="178"/>
      <c r="J5410" s="320" t="s">
        <v>214</v>
      </c>
      <c r="K5410" s="178" t="s">
        <v>4871</v>
      </c>
      <c r="L5410" s="125" t="s">
        <v>4849</v>
      </c>
      <c r="M5410">
        <v>1265</v>
      </c>
      <c r="N5410" s="182">
        <v>17</v>
      </c>
      <c r="O5410">
        <v>3501</v>
      </c>
      <c r="P5410" s="132" t="s">
        <v>77</v>
      </c>
      <c r="Q5410" s="176">
        <v>30.16</v>
      </c>
      <c r="R5410" s="176"/>
      <c r="S5410" s="176"/>
      <c r="T5410" s="190"/>
      <c r="U5410" s="191"/>
      <c r="V5410" s="191">
        <v>30.16</v>
      </c>
      <c r="W5410">
        <v>61</v>
      </c>
      <c r="X5410" s="186" t="s">
        <v>3451</v>
      </c>
      <c r="Y5410" s="187" t="s">
        <v>55</v>
      </c>
      <c r="Z5410" s="311">
        <v>234</v>
      </c>
      <c r="AB5410" t="str">
        <f>IF(Table1[[#This Row],[TIPO2]]="costo", VLOOKUP(Table1[[#This Row],[PARTIDA PRESUPUESTAL]],'Cost Report'!G:G,1,0),"Balance")</f>
        <v>2794-003</v>
      </c>
      <c r="AD5410" s="159">
        <f>+Table1[[#This Row],[SUBTOTAL]]+Table1[[#This Row],[IVA]]-Table1[[#This Row],[RET IVA]]-Table1[[#This Row],[RET ISR]]-Table1[[#This Row],[TOTAL]]</f>
        <v>0</v>
      </c>
      <c r="AG5410" t="s">
        <v>3420</v>
      </c>
      <c r="AK5410" s="306" t="str">
        <f>IF(ISNUMBER(Table1[[#This Row],[FECHA DE RECIBIDO]]), Table1[[#This Row],[FECHA DE RECIBIDO]]-DATE(2023,8,30), "")</f>
        <v/>
      </c>
    </row>
    <row r="5411" spans="1:37" ht="16.05" customHeight="1">
      <c r="A5411" s="172" t="s">
        <v>4870</v>
      </c>
      <c r="B5411" s="178">
        <v>1839</v>
      </c>
      <c r="C5411" s="179" t="s">
        <v>2596</v>
      </c>
      <c r="D5411">
        <v>689</v>
      </c>
      <c r="E5411" s="125"/>
      <c r="F5411" s="178"/>
      <c r="G5411" s="178"/>
      <c r="H5411"/>
      <c r="I5411" s="178"/>
      <c r="J5411" s="320" t="s">
        <v>214</v>
      </c>
      <c r="K5411" s="178" t="s">
        <v>4871</v>
      </c>
      <c r="L5411" s="125" t="s">
        <v>4849</v>
      </c>
      <c r="M5411">
        <v>1266</v>
      </c>
      <c r="N5411" s="182">
        <v>17</v>
      </c>
      <c r="O5411">
        <v>1939</v>
      </c>
      <c r="P5411" s="132" t="s">
        <v>77</v>
      </c>
      <c r="Q5411" s="176">
        <v>580</v>
      </c>
      <c r="R5411" s="176"/>
      <c r="S5411" s="176"/>
      <c r="T5411" s="190"/>
      <c r="U5411" s="191"/>
      <c r="V5411" s="191">
        <v>580</v>
      </c>
      <c r="W5411">
        <v>61</v>
      </c>
      <c r="X5411" s="186" t="s">
        <v>3451</v>
      </c>
      <c r="Y5411" s="187" t="s">
        <v>55</v>
      </c>
      <c r="Z5411" s="311">
        <v>239</v>
      </c>
      <c r="AB5411" t="str">
        <f>IF(Table1[[#This Row],[TIPO2]]="costo", VLOOKUP(Table1[[#This Row],[PARTIDA PRESUPUESTAL]],'Cost Report'!G:G,1,0),"Balance")</f>
        <v>2794-003</v>
      </c>
      <c r="AD5411" s="159">
        <f>+Table1[[#This Row],[SUBTOTAL]]+Table1[[#This Row],[IVA]]-Table1[[#This Row],[RET IVA]]-Table1[[#This Row],[RET ISR]]-Table1[[#This Row],[TOTAL]]</f>
        <v>0</v>
      </c>
      <c r="AG5411" t="s">
        <v>3420</v>
      </c>
      <c r="AK5411" s="306" t="str">
        <f>IF(ISNUMBER(Table1[[#This Row],[FECHA DE RECIBIDO]]), Table1[[#This Row],[FECHA DE RECIBIDO]]-DATE(2023,8,30), "")</f>
        <v/>
      </c>
    </row>
    <row r="5412" spans="1:37" ht="16.05" customHeight="1">
      <c r="A5412" s="172" t="s">
        <v>4870</v>
      </c>
      <c r="B5412" s="178">
        <v>1839</v>
      </c>
      <c r="C5412" s="179" t="s">
        <v>2596</v>
      </c>
      <c r="D5412">
        <v>689</v>
      </c>
      <c r="E5412" s="125"/>
      <c r="F5412" s="178"/>
      <c r="G5412" s="178"/>
      <c r="H5412"/>
      <c r="I5412" s="178"/>
      <c r="J5412" s="320" t="s">
        <v>214</v>
      </c>
      <c r="K5412" s="178" t="s">
        <v>4871</v>
      </c>
      <c r="L5412" s="125" t="s">
        <v>4849</v>
      </c>
      <c r="M5412">
        <v>1265</v>
      </c>
      <c r="N5412" s="182">
        <v>17</v>
      </c>
      <c r="O5412">
        <v>3501</v>
      </c>
      <c r="P5412" s="132" t="s">
        <v>77</v>
      </c>
      <c r="Q5412" s="176">
        <v>34.22</v>
      </c>
      <c r="R5412" s="176"/>
      <c r="S5412" s="176"/>
      <c r="T5412" s="190"/>
      <c r="U5412" s="191"/>
      <c r="V5412" s="191">
        <v>34.22</v>
      </c>
      <c r="W5412">
        <v>61</v>
      </c>
      <c r="X5412" s="186" t="s">
        <v>3451</v>
      </c>
      <c r="Y5412" s="187" t="s">
        <v>55</v>
      </c>
      <c r="Z5412" s="311">
        <v>250</v>
      </c>
      <c r="AB5412" t="str">
        <f>IF(Table1[[#This Row],[TIPO2]]="costo", VLOOKUP(Table1[[#This Row],[PARTIDA PRESUPUESTAL]],'Cost Report'!G:G,1,0),"Balance")</f>
        <v>2794-003</v>
      </c>
      <c r="AD5412" s="159">
        <f>+Table1[[#This Row],[SUBTOTAL]]+Table1[[#This Row],[IVA]]-Table1[[#This Row],[RET IVA]]-Table1[[#This Row],[RET ISR]]-Table1[[#This Row],[TOTAL]]</f>
        <v>0</v>
      </c>
      <c r="AG5412" t="s">
        <v>3420</v>
      </c>
      <c r="AK5412" s="306" t="str">
        <f>IF(ISNUMBER(Table1[[#This Row],[FECHA DE RECIBIDO]]), Table1[[#This Row],[FECHA DE RECIBIDO]]-DATE(2023,8,30), "")</f>
        <v/>
      </c>
    </row>
    <row r="5413" spans="1:37" ht="16.05" customHeight="1">
      <c r="A5413" s="172" t="s">
        <v>4870</v>
      </c>
      <c r="B5413" s="178">
        <v>1839</v>
      </c>
      <c r="C5413" s="179" t="s">
        <v>2596</v>
      </c>
      <c r="D5413">
        <v>689</v>
      </c>
      <c r="E5413" s="125"/>
      <c r="F5413" s="178"/>
      <c r="G5413" s="178"/>
      <c r="H5413"/>
      <c r="I5413" s="178"/>
      <c r="J5413" s="320" t="s">
        <v>214</v>
      </c>
      <c r="K5413" s="178" t="s">
        <v>4871</v>
      </c>
      <c r="L5413" s="125" t="s">
        <v>4849</v>
      </c>
      <c r="M5413">
        <v>1265</v>
      </c>
      <c r="N5413" s="182">
        <v>17</v>
      </c>
      <c r="O5413">
        <v>3501</v>
      </c>
      <c r="P5413" s="132" t="s">
        <v>77</v>
      </c>
      <c r="Q5413" s="176">
        <v>34.799999999999997</v>
      </c>
      <c r="R5413" s="176"/>
      <c r="S5413" s="176"/>
      <c r="T5413" s="190"/>
      <c r="U5413" s="191"/>
      <c r="V5413" s="191">
        <v>34.799999999999997</v>
      </c>
      <c r="W5413">
        <v>61</v>
      </c>
      <c r="X5413" s="186" t="s">
        <v>3451</v>
      </c>
      <c r="Y5413" s="187" t="s">
        <v>55</v>
      </c>
      <c r="Z5413" s="311">
        <v>251</v>
      </c>
      <c r="AB5413" t="str">
        <f>IF(Table1[[#This Row],[TIPO2]]="costo", VLOOKUP(Table1[[#This Row],[PARTIDA PRESUPUESTAL]],'Cost Report'!G:G,1,0),"Balance")</f>
        <v>2794-003</v>
      </c>
      <c r="AD5413" s="159">
        <f>+Table1[[#This Row],[SUBTOTAL]]+Table1[[#This Row],[IVA]]-Table1[[#This Row],[RET IVA]]-Table1[[#This Row],[RET ISR]]-Table1[[#This Row],[TOTAL]]</f>
        <v>0</v>
      </c>
      <c r="AG5413" t="s">
        <v>3420</v>
      </c>
      <c r="AK5413" s="306" t="str">
        <f>IF(ISNUMBER(Table1[[#This Row],[FECHA DE RECIBIDO]]), Table1[[#This Row],[FECHA DE RECIBIDO]]-DATE(2023,8,30), "")</f>
        <v/>
      </c>
    </row>
    <row r="5414" spans="1:37" ht="16.05" customHeight="1">
      <c r="A5414" s="172" t="s">
        <v>4870</v>
      </c>
      <c r="B5414" s="178">
        <v>1839</v>
      </c>
      <c r="C5414" s="179" t="s">
        <v>2596</v>
      </c>
      <c r="D5414">
        <v>689</v>
      </c>
      <c r="E5414" s="125"/>
      <c r="F5414" s="178"/>
      <c r="G5414" s="178"/>
      <c r="H5414"/>
      <c r="I5414" s="178"/>
      <c r="J5414" s="320" t="s">
        <v>214</v>
      </c>
      <c r="K5414" s="178" t="s">
        <v>4871</v>
      </c>
      <c r="L5414" s="125" t="s">
        <v>4849</v>
      </c>
      <c r="M5414">
        <v>1265</v>
      </c>
      <c r="N5414" s="182">
        <v>17</v>
      </c>
      <c r="O5414">
        <v>3501</v>
      </c>
      <c r="P5414" s="132" t="s">
        <v>77</v>
      </c>
      <c r="Q5414" s="176">
        <v>34.22</v>
      </c>
      <c r="R5414" s="176"/>
      <c r="S5414" s="176"/>
      <c r="T5414" s="190"/>
      <c r="U5414" s="191"/>
      <c r="V5414" s="191">
        <v>34.22</v>
      </c>
      <c r="W5414">
        <v>61</v>
      </c>
      <c r="X5414" s="186" t="s">
        <v>3451</v>
      </c>
      <c r="Y5414" s="187" t="s">
        <v>55</v>
      </c>
      <c r="Z5414" s="311">
        <v>252</v>
      </c>
      <c r="AB5414" t="str">
        <f>IF(Table1[[#This Row],[TIPO2]]="costo", VLOOKUP(Table1[[#This Row],[PARTIDA PRESUPUESTAL]],'Cost Report'!G:G,1,0),"Balance")</f>
        <v>2794-003</v>
      </c>
      <c r="AD5414" s="159">
        <f>+Table1[[#This Row],[SUBTOTAL]]+Table1[[#This Row],[IVA]]-Table1[[#This Row],[RET IVA]]-Table1[[#This Row],[RET ISR]]-Table1[[#This Row],[TOTAL]]</f>
        <v>0</v>
      </c>
      <c r="AG5414" t="s">
        <v>3420</v>
      </c>
      <c r="AK5414" s="306" t="str">
        <f>IF(ISNUMBER(Table1[[#This Row],[FECHA DE RECIBIDO]]), Table1[[#This Row],[FECHA DE RECIBIDO]]-DATE(2023,8,30), "")</f>
        <v/>
      </c>
    </row>
    <row r="5415" spans="1:37" ht="16.05" customHeight="1">
      <c r="A5415" s="172" t="s">
        <v>4870</v>
      </c>
      <c r="B5415" s="178">
        <v>1839</v>
      </c>
      <c r="C5415" s="179" t="s">
        <v>2596</v>
      </c>
      <c r="D5415">
        <v>689</v>
      </c>
      <c r="E5415" s="125"/>
      <c r="F5415" s="178"/>
      <c r="G5415" s="178"/>
      <c r="H5415"/>
      <c r="I5415" s="178"/>
      <c r="J5415" s="320" t="s">
        <v>214</v>
      </c>
      <c r="K5415" s="178" t="s">
        <v>4871</v>
      </c>
      <c r="L5415" s="125" t="s">
        <v>4849</v>
      </c>
      <c r="M5415">
        <v>1265</v>
      </c>
      <c r="N5415" s="182">
        <v>17</v>
      </c>
      <c r="O5415">
        <v>3501</v>
      </c>
      <c r="P5415" s="132" t="s">
        <v>77</v>
      </c>
      <c r="Q5415" s="176">
        <v>34.22</v>
      </c>
      <c r="R5415" s="176"/>
      <c r="S5415" s="176"/>
      <c r="T5415" s="190"/>
      <c r="U5415" s="191"/>
      <c r="V5415" s="191">
        <v>34.22</v>
      </c>
      <c r="W5415">
        <v>61</v>
      </c>
      <c r="X5415" s="186" t="s">
        <v>3451</v>
      </c>
      <c r="Y5415" s="187" t="s">
        <v>55</v>
      </c>
      <c r="Z5415" s="311">
        <v>255</v>
      </c>
      <c r="AB5415" t="str">
        <f>IF(Table1[[#This Row],[TIPO2]]="costo", VLOOKUP(Table1[[#This Row],[PARTIDA PRESUPUESTAL]],'Cost Report'!G:G,1,0),"Balance")</f>
        <v>2794-003</v>
      </c>
      <c r="AD5415" s="159">
        <f>+Table1[[#This Row],[SUBTOTAL]]+Table1[[#This Row],[IVA]]-Table1[[#This Row],[RET IVA]]-Table1[[#This Row],[RET ISR]]-Table1[[#This Row],[TOTAL]]</f>
        <v>0</v>
      </c>
      <c r="AG5415" t="s">
        <v>3420</v>
      </c>
      <c r="AK5415" s="306" t="str">
        <f>IF(ISNUMBER(Table1[[#This Row],[FECHA DE RECIBIDO]]), Table1[[#This Row],[FECHA DE RECIBIDO]]-DATE(2023,8,30), "")</f>
        <v/>
      </c>
    </row>
    <row r="5416" spans="1:37" ht="16.05" customHeight="1">
      <c r="A5416" s="172" t="s">
        <v>4870</v>
      </c>
      <c r="B5416" s="178">
        <v>1839</v>
      </c>
      <c r="C5416" s="179" t="s">
        <v>2596</v>
      </c>
      <c r="D5416">
        <v>689</v>
      </c>
      <c r="E5416" s="125"/>
      <c r="F5416" s="178"/>
      <c r="G5416" s="178"/>
      <c r="H5416"/>
      <c r="I5416" s="178"/>
      <c r="J5416" s="320" t="s">
        <v>214</v>
      </c>
      <c r="K5416" s="178" t="s">
        <v>4871</v>
      </c>
      <c r="L5416" s="125" t="s">
        <v>4849</v>
      </c>
      <c r="M5416">
        <v>1265</v>
      </c>
      <c r="N5416" s="182">
        <v>17</v>
      </c>
      <c r="O5416">
        <v>3501</v>
      </c>
      <c r="P5416" s="132" t="s">
        <v>77</v>
      </c>
      <c r="Q5416" s="176">
        <v>34.22</v>
      </c>
      <c r="R5416" s="176"/>
      <c r="S5416" s="176"/>
      <c r="T5416" s="190"/>
      <c r="U5416" s="191"/>
      <c r="V5416" s="191">
        <v>34.22</v>
      </c>
      <c r="W5416">
        <v>61</v>
      </c>
      <c r="X5416" s="186" t="s">
        <v>3451</v>
      </c>
      <c r="Y5416" s="187" t="s">
        <v>55</v>
      </c>
      <c r="Z5416" s="311">
        <v>257</v>
      </c>
      <c r="AB5416" t="str">
        <f>IF(Table1[[#This Row],[TIPO2]]="costo", VLOOKUP(Table1[[#This Row],[PARTIDA PRESUPUESTAL]],'Cost Report'!G:G,1,0),"Balance")</f>
        <v>2794-003</v>
      </c>
      <c r="AD5416" s="159">
        <f>+Table1[[#This Row],[SUBTOTAL]]+Table1[[#This Row],[IVA]]-Table1[[#This Row],[RET IVA]]-Table1[[#This Row],[RET ISR]]-Table1[[#This Row],[TOTAL]]</f>
        <v>0</v>
      </c>
      <c r="AG5416" t="s">
        <v>3420</v>
      </c>
      <c r="AK5416" s="306" t="str">
        <f>IF(ISNUMBER(Table1[[#This Row],[FECHA DE RECIBIDO]]), Table1[[#This Row],[FECHA DE RECIBIDO]]-DATE(2023,8,30), "")</f>
        <v/>
      </c>
    </row>
    <row r="5417" spans="1:37">
      <c r="A5417" s="172"/>
      <c r="B5417" s="178"/>
      <c r="C5417" s="179" t="s">
        <v>71</v>
      </c>
      <c r="D5417"/>
      <c r="E5417" s="125"/>
      <c r="F5417" s="178"/>
      <c r="G5417" s="178"/>
      <c r="H5417"/>
      <c r="I5417" s="178"/>
      <c r="J5417" s="320" t="s">
        <v>214</v>
      </c>
      <c r="K5417" s="178" t="s">
        <v>4871</v>
      </c>
      <c r="L5417" s="125" t="s">
        <v>1643</v>
      </c>
      <c r="M5417">
        <v>1267</v>
      </c>
      <c r="N5417" s="182"/>
      <c r="O5417">
        <v>3502</v>
      </c>
      <c r="P5417" s="131" t="s">
        <v>78</v>
      </c>
      <c r="Q5417" s="176">
        <v>-186467.57</v>
      </c>
      <c r="R5417" s="176"/>
      <c r="S5417" s="176"/>
      <c r="T5417" s="190">
        <v>0</v>
      </c>
      <c r="U5417" s="191"/>
      <c r="V5417" s="191">
        <v>-232173.47</v>
      </c>
      <c r="W5417"/>
      <c r="X5417" s="186"/>
      <c r="Y5417" s="187"/>
      <c r="Z5417" s="311">
        <v>212</v>
      </c>
      <c r="AB5417" t="s">
        <v>78</v>
      </c>
      <c r="AD5417" s="159">
        <v>0</v>
      </c>
      <c r="AG5417" t="s">
        <v>3420</v>
      </c>
      <c r="AK5417" s="306" t="str">
        <f>IF(ISNUMBER(Table1[[#This Row],[FECHA DE RECIBIDO]]), Table1[[#This Row],[FECHA DE RECIBIDO]]-DATE(2023,8,30), "")</f>
        <v/>
      </c>
    </row>
    <row r="5418" spans="1:37">
      <c r="A5418" s="172"/>
      <c r="B5418" s="178"/>
      <c r="C5418" s="179" t="s">
        <v>3102</v>
      </c>
      <c r="D5418"/>
      <c r="E5418" s="125"/>
      <c r="F5418" s="178"/>
      <c r="G5418" s="178"/>
      <c r="H5418"/>
      <c r="I5418" s="178"/>
      <c r="J5418" s="320" t="s">
        <v>214</v>
      </c>
      <c r="K5418" s="193" t="s">
        <v>4871</v>
      </c>
      <c r="L5418" s="125" t="s">
        <v>4317</v>
      </c>
      <c r="M5418">
        <v>7</v>
      </c>
      <c r="N5418" s="182"/>
      <c r="O5418">
        <v>2645</v>
      </c>
      <c r="P5418" s="132" t="s">
        <v>77</v>
      </c>
      <c r="Q5418" s="176">
        <v>510</v>
      </c>
      <c r="R5418" s="176">
        <f>+Q5418*0.16</f>
        <v>81.600000000000009</v>
      </c>
      <c r="S5418" s="176"/>
      <c r="T5418" s="183">
        <v>0</v>
      </c>
      <c r="U5418" s="184"/>
      <c r="V5418" s="184">
        <f>+Q5418+R5418</f>
        <v>591.6</v>
      </c>
      <c r="W5418"/>
      <c r="X5418" s="186"/>
      <c r="Y5418" s="187"/>
      <c r="Z5418" s="311">
        <v>257</v>
      </c>
      <c r="AB5418" t="s">
        <v>3102</v>
      </c>
      <c r="AD5418" s="159">
        <v>0</v>
      </c>
      <c r="AK5418" s="306" t="str">
        <f>IF(ISNUMBER(Table1[[#This Row],[FECHA DE RECIBIDO]]), Table1[[#This Row],[FECHA DE RECIBIDO]]-DATE(2023,8,30), "")</f>
        <v/>
      </c>
    </row>
    <row r="5419" spans="1:37" ht="16.05" customHeight="1">
      <c r="A5419" s="172" t="s">
        <v>4873</v>
      </c>
      <c r="B5419" s="178">
        <v>1840</v>
      </c>
      <c r="C5419" s="179" t="s">
        <v>963</v>
      </c>
      <c r="D5419">
        <v>3661</v>
      </c>
      <c r="E5419" s="125" t="s">
        <v>4874</v>
      </c>
      <c r="F5419" s="178">
        <v>626</v>
      </c>
      <c r="G5419" s="178" t="s">
        <v>109</v>
      </c>
      <c r="H5419">
        <v>907</v>
      </c>
      <c r="I5419" s="178" t="s">
        <v>1546</v>
      </c>
      <c r="J5419" s="320" t="s">
        <v>214</v>
      </c>
      <c r="K5419" s="178" t="s">
        <v>4872</v>
      </c>
      <c r="L5419" s="125" t="s">
        <v>3306</v>
      </c>
      <c r="M5419">
        <v>1268</v>
      </c>
      <c r="N5419" s="182">
        <v>1</v>
      </c>
      <c r="O5419">
        <v>3503</v>
      </c>
      <c r="P5419" s="132" t="s">
        <v>77</v>
      </c>
      <c r="Q5419" s="176">
        <v>25200</v>
      </c>
      <c r="R5419" s="176">
        <v>4032</v>
      </c>
      <c r="S5419" s="176"/>
      <c r="T5419" s="190">
        <v>2688</v>
      </c>
      <c r="U5419" s="191">
        <v>315</v>
      </c>
      <c r="V5419" s="191">
        <v>26229</v>
      </c>
      <c r="W5419">
        <v>439</v>
      </c>
      <c r="X5419" s="186" t="s">
        <v>1429</v>
      </c>
      <c r="Y5419" s="187" t="s">
        <v>55</v>
      </c>
      <c r="Z5419" s="311">
        <v>271</v>
      </c>
      <c r="AB5419" t="str">
        <f>IF(Table1[[#This Row],[TIPO2]]="costo", VLOOKUP(Table1[[#This Row],[PARTIDA PRESUPUESTAL]],'Cost Report'!G:G,1,0),"Balance")</f>
        <v>3407-005</v>
      </c>
      <c r="AD5419" s="159">
        <f>+Table1[[#This Row],[SUBTOTAL]]+Table1[[#This Row],[IVA]]-Table1[[#This Row],[RET IVA]]-Table1[[#This Row],[RET ISR]]-Table1[[#This Row],[TOTAL]]</f>
        <v>0</v>
      </c>
      <c r="AK5419" s="306" t="str">
        <f>IF(ISNUMBER(Table1[[#This Row],[FECHA DE RECIBIDO]]), Table1[[#This Row],[FECHA DE RECIBIDO]]-DATE(2023,8,30), "")</f>
        <v/>
      </c>
    </row>
    <row r="5420" spans="1:37" ht="16.05" customHeight="1">
      <c r="A5420" s="172"/>
      <c r="B5420" s="178">
        <v>1841</v>
      </c>
      <c r="C5420" s="179" t="s">
        <v>963</v>
      </c>
      <c r="D5420">
        <v>3662</v>
      </c>
      <c r="E5420" s="125" t="s">
        <v>4874</v>
      </c>
      <c r="F5420" s="178">
        <v>626</v>
      </c>
      <c r="G5420" s="178" t="s">
        <v>109</v>
      </c>
      <c r="H5420">
        <v>907</v>
      </c>
      <c r="I5420" s="178" t="s">
        <v>1546</v>
      </c>
      <c r="J5420" s="320" t="s">
        <v>214</v>
      </c>
      <c r="K5420" s="178" t="s">
        <v>4872</v>
      </c>
      <c r="L5420" s="125" t="s">
        <v>3306</v>
      </c>
      <c r="M5420">
        <v>1268</v>
      </c>
      <c r="N5420" s="182">
        <v>1</v>
      </c>
      <c r="O5420">
        <v>3504</v>
      </c>
      <c r="P5420" s="132" t="s">
        <v>77</v>
      </c>
      <c r="Q5420" s="176">
        <v>9100</v>
      </c>
      <c r="R5420" s="176">
        <v>1456</v>
      </c>
      <c r="S5420" s="176"/>
      <c r="T5420" s="190">
        <v>970.67</v>
      </c>
      <c r="U5420" s="191">
        <v>113.75</v>
      </c>
      <c r="V5420" s="191">
        <v>9471.58</v>
      </c>
      <c r="W5420">
        <v>439</v>
      </c>
      <c r="X5420" s="186" t="s">
        <v>1429</v>
      </c>
      <c r="Y5420" s="187" t="s">
        <v>55</v>
      </c>
      <c r="Z5420" s="311">
        <v>271</v>
      </c>
      <c r="AB5420" t="str">
        <f>IF(Table1[[#This Row],[TIPO2]]="costo", VLOOKUP(Table1[[#This Row],[PARTIDA PRESUPUESTAL]],'Cost Report'!G:G,1,0),"Balance")</f>
        <v>3407-005</v>
      </c>
      <c r="AD5420" s="159">
        <f>+Table1[[#This Row],[SUBTOTAL]]+Table1[[#This Row],[IVA]]-Table1[[#This Row],[RET IVA]]-Table1[[#This Row],[RET ISR]]-Table1[[#This Row],[TOTAL]]</f>
        <v>0</v>
      </c>
      <c r="AK5420" s="306" t="str">
        <f>IF(ISNUMBER(Table1[[#This Row],[FECHA DE RECIBIDO]]), Table1[[#This Row],[FECHA DE RECIBIDO]]-DATE(2023,8,30), "")</f>
        <v/>
      </c>
    </row>
    <row r="5421" spans="1:37" ht="16.05" customHeight="1">
      <c r="A5421" s="172" t="s">
        <v>4875</v>
      </c>
      <c r="B5421" s="178">
        <v>1842</v>
      </c>
      <c r="C5421" s="179" t="s">
        <v>963</v>
      </c>
      <c r="D5421">
        <v>3663</v>
      </c>
      <c r="E5421" s="125" t="s">
        <v>4876</v>
      </c>
      <c r="F5421" s="178">
        <v>612</v>
      </c>
      <c r="G5421" s="178" t="s">
        <v>129</v>
      </c>
      <c r="H5421">
        <v>908</v>
      </c>
      <c r="I5421" s="178" t="s">
        <v>1546</v>
      </c>
      <c r="J5421" s="320" t="s">
        <v>214</v>
      </c>
      <c r="K5421" s="178" t="s">
        <v>4872</v>
      </c>
      <c r="L5421" s="125" t="s">
        <v>3306</v>
      </c>
      <c r="M5421">
        <v>1269</v>
      </c>
      <c r="N5421" s="182">
        <v>1</v>
      </c>
      <c r="O5421">
        <v>3505</v>
      </c>
      <c r="P5421" s="132" t="s">
        <v>77</v>
      </c>
      <c r="Q5421" s="176">
        <v>24500</v>
      </c>
      <c r="R5421" s="176">
        <v>3920</v>
      </c>
      <c r="S5421" s="176"/>
      <c r="T5421" s="190">
        <v>2613.34</v>
      </c>
      <c r="U5421" s="191">
        <v>2450</v>
      </c>
      <c r="V5421" s="191">
        <v>23356.66</v>
      </c>
      <c r="W5421">
        <v>440</v>
      </c>
      <c r="X5421" s="186" t="s">
        <v>1429</v>
      </c>
      <c r="Y5421" s="187" t="s">
        <v>55</v>
      </c>
      <c r="Z5421" s="311">
        <v>274</v>
      </c>
      <c r="AB5421" t="str">
        <f>IF(Table1[[#This Row],[TIPO2]]="costo", VLOOKUP(Table1[[#This Row],[PARTIDA PRESUPUESTAL]],'Cost Report'!G:G,1,0),"Balance")</f>
        <v>3407-005</v>
      </c>
      <c r="AD5421" s="159">
        <f>+Table1[[#This Row],[SUBTOTAL]]+Table1[[#This Row],[IVA]]-Table1[[#This Row],[RET IVA]]-Table1[[#This Row],[RET ISR]]-Table1[[#This Row],[TOTAL]]</f>
        <v>0</v>
      </c>
      <c r="AK5421" s="306" t="str">
        <f>IF(ISNUMBER(Table1[[#This Row],[FECHA DE RECIBIDO]]), Table1[[#This Row],[FECHA DE RECIBIDO]]-DATE(2023,8,30), "")</f>
        <v/>
      </c>
    </row>
    <row r="5422" spans="1:37" ht="16.05" customHeight="1">
      <c r="A5422" s="172"/>
      <c r="B5422" s="178">
        <v>1843</v>
      </c>
      <c r="C5422" s="179" t="s">
        <v>3002</v>
      </c>
      <c r="D5422">
        <v>3664</v>
      </c>
      <c r="E5422" s="125" t="s">
        <v>4876</v>
      </c>
      <c r="F5422" s="178">
        <v>612</v>
      </c>
      <c r="G5422" s="178" t="s">
        <v>129</v>
      </c>
      <c r="H5422">
        <v>908</v>
      </c>
      <c r="I5422" s="178" t="s">
        <v>1546</v>
      </c>
      <c r="J5422" s="320" t="s">
        <v>214</v>
      </c>
      <c r="K5422" s="178" t="s">
        <v>4872</v>
      </c>
      <c r="L5422" s="125" t="s">
        <v>3306</v>
      </c>
      <c r="M5422">
        <v>1269</v>
      </c>
      <c r="N5422" s="182">
        <v>1</v>
      </c>
      <c r="O5422">
        <v>3506</v>
      </c>
      <c r="P5422" s="132" t="s">
        <v>77</v>
      </c>
      <c r="Q5422" s="176">
        <v>700</v>
      </c>
      <c r="R5422" s="176">
        <v>112</v>
      </c>
      <c r="S5422" s="176"/>
      <c r="T5422" s="190">
        <v>74.67</v>
      </c>
      <c r="U5422" s="191">
        <v>70</v>
      </c>
      <c r="V5422" s="191">
        <v>667.33</v>
      </c>
      <c r="W5422">
        <v>440</v>
      </c>
      <c r="X5422" s="186" t="s">
        <v>1429</v>
      </c>
      <c r="Y5422" s="187" t="s">
        <v>55</v>
      </c>
      <c r="Z5422" s="311">
        <v>271</v>
      </c>
      <c r="AB5422" t="str">
        <f>IF(Table1[[#This Row],[TIPO2]]="costo", VLOOKUP(Table1[[#This Row],[PARTIDA PRESUPUESTAL]],'Cost Report'!G:G,1,0),"Balance")</f>
        <v>4180-003</v>
      </c>
      <c r="AD5422" s="159">
        <f>+Table1[[#This Row],[SUBTOTAL]]+Table1[[#This Row],[IVA]]-Table1[[#This Row],[RET IVA]]-Table1[[#This Row],[RET ISR]]-Table1[[#This Row],[TOTAL]]</f>
        <v>0</v>
      </c>
      <c r="AK5422" s="306" t="str">
        <f>IF(ISNUMBER(Table1[[#This Row],[FECHA DE RECIBIDO]]), Table1[[#This Row],[FECHA DE RECIBIDO]]-DATE(2023,8,30), "")</f>
        <v/>
      </c>
    </row>
    <row r="5423" spans="1:37" ht="16.05" customHeight="1">
      <c r="A5423" s="172"/>
      <c r="B5423" s="178">
        <v>1844</v>
      </c>
      <c r="C5423" s="179" t="s">
        <v>963</v>
      </c>
      <c r="D5423">
        <v>3665</v>
      </c>
      <c r="E5423" s="125" t="s">
        <v>4876</v>
      </c>
      <c r="F5423" s="178">
        <v>612</v>
      </c>
      <c r="G5423" s="178" t="s">
        <v>129</v>
      </c>
      <c r="H5423">
        <v>908</v>
      </c>
      <c r="I5423" s="178" t="s">
        <v>1546</v>
      </c>
      <c r="J5423" s="320" t="s">
        <v>214</v>
      </c>
      <c r="K5423" s="178" t="s">
        <v>4872</v>
      </c>
      <c r="L5423" s="125" t="s">
        <v>3306</v>
      </c>
      <c r="M5423">
        <v>1269</v>
      </c>
      <c r="N5423" s="182">
        <v>1</v>
      </c>
      <c r="O5423">
        <v>3507</v>
      </c>
      <c r="P5423" s="132" t="s">
        <v>77</v>
      </c>
      <c r="Q5423" s="176">
        <v>3500</v>
      </c>
      <c r="R5423" s="176">
        <v>560</v>
      </c>
      <c r="S5423" s="176"/>
      <c r="T5423" s="190">
        <v>373.33</v>
      </c>
      <c r="U5423" s="191">
        <v>350</v>
      </c>
      <c r="V5423" s="191">
        <v>3336.67</v>
      </c>
      <c r="W5423">
        <v>440</v>
      </c>
      <c r="X5423" s="186" t="s">
        <v>1429</v>
      </c>
      <c r="Y5423" s="187" t="s">
        <v>55</v>
      </c>
      <c r="Z5423" s="311">
        <v>271</v>
      </c>
      <c r="AB5423" t="str">
        <f>IF(Table1[[#This Row],[TIPO2]]="costo", VLOOKUP(Table1[[#This Row],[PARTIDA PRESUPUESTAL]],'Cost Report'!G:G,1,0),"Balance")</f>
        <v>3407-005</v>
      </c>
      <c r="AD5423" s="159">
        <f>+Table1[[#This Row],[SUBTOTAL]]+Table1[[#This Row],[IVA]]-Table1[[#This Row],[RET IVA]]-Table1[[#This Row],[RET ISR]]-Table1[[#This Row],[TOTAL]]</f>
        <v>0</v>
      </c>
      <c r="AK5423" s="306" t="str">
        <f>IF(ISNUMBER(Table1[[#This Row],[FECHA DE RECIBIDO]]), Table1[[#This Row],[FECHA DE RECIBIDO]]-DATE(2023,8,30), "")</f>
        <v/>
      </c>
    </row>
    <row r="5424" spans="1:37" ht="16.05" customHeight="1">
      <c r="A5424" s="172" t="s">
        <v>4877</v>
      </c>
      <c r="B5424" s="178">
        <v>1845</v>
      </c>
      <c r="C5424" s="179" t="s">
        <v>2786</v>
      </c>
      <c r="D5424">
        <v>3666</v>
      </c>
      <c r="E5424" s="125" t="s">
        <v>3373</v>
      </c>
      <c r="F5424" s="178">
        <v>612</v>
      </c>
      <c r="G5424" s="178" t="s">
        <v>129</v>
      </c>
      <c r="H5424">
        <v>909</v>
      </c>
      <c r="I5424" s="178" t="s">
        <v>1546</v>
      </c>
      <c r="J5424" s="320" t="s">
        <v>214</v>
      </c>
      <c r="K5424" s="178" t="s">
        <v>4872</v>
      </c>
      <c r="L5424" s="125" t="s">
        <v>3306</v>
      </c>
      <c r="M5424">
        <v>1270</v>
      </c>
      <c r="N5424" s="182">
        <v>1</v>
      </c>
      <c r="O5424">
        <v>3503</v>
      </c>
      <c r="P5424" s="132" t="s">
        <v>77</v>
      </c>
      <c r="Q5424" s="176">
        <v>16800</v>
      </c>
      <c r="R5424" s="176">
        <v>2688</v>
      </c>
      <c r="S5424" s="176"/>
      <c r="T5424" s="190">
        <v>1791.99</v>
      </c>
      <c r="U5424" s="191">
        <v>1680</v>
      </c>
      <c r="V5424" s="191">
        <v>16016.009999999998</v>
      </c>
      <c r="W5424">
        <v>441</v>
      </c>
      <c r="X5424" s="186" t="s">
        <v>1429</v>
      </c>
      <c r="Y5424" s="187" t="s">
        <v>55</v>
      </c>
      <c r="Z5424" s="311">
        <v>271</v>
      </c>
      <c r="AB5424" t="str">
        <f>IF(Table1[[#This Row],[TIPO2]]="costo", VLOOKUP(Table1[[#This Row],[PARTIDA PRESUPUESTAL]],'Cost Report'!G:G,1,0),"Balance")</f>
        <v>3407-011</v>
      </c>
      <c r="AD5424" s="159">
        <f>+Table1[[#This Row],[SUBTOTAL]]+Table1[[#This Row],[IVA]]-Table1[[#This Row],[RET IVA]]-Table1[[#This Row],[RET ISR]]-Table1[[#This Row],[TOTAL]]</f>
        <v>0</v>
      </c>
      <c r="AK5424" s="306" t="str">
        <f>IF(ISNUMBER(Table1[[#This Row],[FECHA DE RECIBIDO]]), Table1[[#This Row],[FECHA DE RECIBIDO]]-DATE(2023,8,30), "")</f>
        <v/>
      </c>
    </row>
    <row r="5425" spans="1:37" ht="16.05" customHeight="1">
      <c r="A5425" s="172" t="s">
        <v>4878</v>
      </c>
      <c r="B5425" s="178">
        <v>1846</v>
      </c>
      <c r="C5425" s="179" t="s">
        <v>3002</v>
      </c>
      <c r="D5425">
        <v>3667</v>
      </c>
      <c r="E5425" s="125" t="s">
        <v>4206</v>
      </c>
      <c r="F5425" s="178">
        <v>612</v>
      </c>
      <c r="G5425" s="178" t="s">
        <v>129</v>
      </c>
      <c r="H5425">
        <v>910</v>
      </c>
      <c r="I5425" s="178" t="s">
        <v>1546</v>
      </c>
      <c r="J5425" s="320" t="s">
        <v>214</v>
      </c>
      <c r="K5425" s="178" t="s">
        <v>4872</v>
      </c>
      <c r="L5425" s="125" t="s">
        <v>3306</v>
      </c>
      <c r="M5425">
        <v>1271</v>
      </c>
      <c r="N5425" s="182">
        <v>1</v>
      </c>
      <c r="O5425">
        <v>3506</v>
      </c>
      <c r="P5425" s="132" t="s">
        <v>77</v>
      </c>
      <c r="Q5425" s="176">
        <v>700</v>
      </c>
      <c r="R5425" s="176">
        <v>112</v>
      </c>
      <c r="S5425" s="176"/>
      <c r="T5425" s="190">
        <v>74.67</v>
      </c>
      <c r="U5425" s="191">
        <v>70</v>
      </c>
      <c r="V5425" s="191">
        <v>667.33</v>
      </c>
      <c r="W5425">
        <v>442</v>
      </c>
      <c r="X5425" s="186" t="s">
        <v>1429</v>
      </c>
      <c r="Y5425" s="187" t="s">
        <v>55</v>
      </c>
      <c r="Z5425" s="311">
        <v>271</v>
      </c>
      <c r="AB5425" t="str">
        <f>IF(Table1[[#This Row],[TIPO2]]="costo", VLOOKUP(Table1[[#This Row],[PARTIDA PRESUPUESTAL]],'Cost Report'!G:G,1,0),"Balance")</f>
        <v>4180-003</v>
      </c>
      <c r="AD5425" s="159">
        <f>+Table1[[#This Row],[SUBTOTAL]]+Table1[[#This Row],[IVA]]-Table1[[#This Row],[RET IVA]]-Table1[[#This Row],[RET ISR]]-Table1[[#This Row],[TOTAL]]</f>
        <v>0</v>
      </c>
      <c r="AK5425" s="306" t="str">
        <f>IF(ISNUMBER(Table1[[#This Row],[FECHA DE RECIBIDO]]), Table1[[#This Row],[FECHA DE RECIBIDO]]-DATE(2023,8,30), "")</f>
        <v/>
      </c>
    </row>
    <row r="5426" spans="1:37" ht="16.05" customHeight="1">
      <c r="A5426" s="172"/>
      <c r="B5426" s="178">
        <v>1847</v>
      </c>
      <c r="C5426" s="179" t="s">
        <v>964</v>
      </c>
      <c r="D5426">
        <v>3668</v>
      </c>
      <c r="E5426" s="125" t="s">
        <v>4206</v>
      </c>
      <c r="F5426" s="178">
        <v>612</v>
      </c>
      <c r="G5426" s="178" t="s">
        <v>129</v>
      </c>
      <c r="H5426">
        <v>910</v>
      </c>
      <c r="I5426" s="178" t="s">
        <v>1546</v>
      </c>
      <c r="J5426" s="320" t="s">
        <v>214</v>
      </c>
      <c r="K5426" s="178" t="s">
        <v>4872</v>
      </c>
      <c r="L5426" s="125" t="s">
        <v>3306</v>
      </c>
      <c r="M5426">
        <v>1271</v>
      </c>
      <c r="N5426" s="182">
        <v>1</v>
      </c>
      <c r="O5426">
        <v>3507</v>
      </c>
      <c r="P5426" s="132" t="s">
        <v>77</v>
      </c>
      <c r="Q5426" s="176">
        <v>4200</v>
      </c>
      <c r="R5426" s="176">
        <v>672</v>
      </c>
      <c r="S5426" s="176"/>
      <c r="T5426" s="190">
        <v>448</v>
      </c>
      <c r="U5426" s="191">
        <v>420</v>
      </c>
      <c r="V5426" s="191">
        <v>4004</v>
      </c>
      <c r="W5426">
        <v>442</v>
      </c>
      <c r="X5426" s="186" t="s">
        <v>1429</v>
      </c>
      <c r="Y5426" s="187" t="s">
        <v>55</v>
      </c>
      <c r="Z5426" s="311">
        <v>271</v>
      </c>
      <c r="AB5426" t="str">
        <f>IF(Table1[[#This Row],[TIPO2]]="costo", VLOOKUP(Table1[[#This Row],[PARTIDA PRESUPUESTAL]],'Cost Report'!G:G,1,0),"Balance")</f>
        <v>3407-006</v>
      </c>
      <c r="AD5426" s="159">
        <f>+Table1[[#This Row],[SUBTOTAL]]+Table1[[#This Row],[IVA]]-Table1[[#This Row],[RET IVA]]-Table1[[#This Row],[RET ISR]]-Table1[[#This Row],[TOTAL]]</f>
        <v>0</v>
      </c>
      <c r="AK5426" s="306" t="str">
        <f>IF(ISNUMBER(Table1[[#This Row],[FECHA DE RECIBIDO]]), Table1[[#This Row],[FECHA DE RECIBIDO]]-DATE(2023,8,30), "")</f>
        <v/>
      </c>
    </row>
    <row r="5427" spans="1:37" ht="16.05" customHeight="1">
      <c r="A5427" s="172" t="s">
        <v>4879</v>
      </c>
      <c r="B5427" s="178">
        <v>1848</v>
      </c>
      <c r="C5427" s="179" t="s">
        <v>2385</v>
      </c>
      <c r="D5427">
        <v>3669</v>
      </c>
      <c r="E5427" s="125" t="s">
        <v>1609</v>
      </c>
      <c r="F5427" s="178">
        <v>626</v>
      </c>
      <c r="G5427" s="178" t="s">
        <v>109</v>
      </c>
      <c r="H5427">
        <v>911</v>
      </c>
      <c r="I5427" s="178" t="s">
        <v>1546</v>
      </c>
      <c r="J5427" s="320" t="s">
        <v>214</v>
      </c>
      <c r="K5427" s="178" t="s">
        <v>4872</v>
      </c>
      <c r="L5427" s="125" t="s">
        <v>110</v>
      </c>
      <c r="M5427">
        <v>1272</v>
      </c>
      <c r="N5427" s="182">
        <v>220</v>
      </c>
      <c r="O5427">
        <v>3508</v>
      </c>
      <c r="P5427" s="132" t="s">
        <v>77</v>
      </c>
      <c r="Q5427" s="176">
        <v>7500</v>
      </c>
      <c r="R5427" s="176">
        <v>1200</v>
      </c>
      <c r="S5427" s="176"/>
      <c r="T5427" s="190">
        <v>800</v>
      </c>
      <c r="U5427" s="191">
        <v>93.76</v>
      </c>
      <c r="V5427" s="191">
        <v>7806.24</v>
      </c>
      <c r="W5427">
        <v>443</v>
      </c>
      <c r="X5427" s="186" t="s">
        <v>1430</v>
      </c>
      <c r="Y5427" s="187" t="s">
        <v>55</v>
      </c>
      <c r="Z5427" s="311">
        <v>272</v>
      </c>
      <c r="AB5427" t="str">
        <f>IF(Table1[[#This Row],[TIPO2]]="costo", VLOOKUP(Table1[[#This Row],[PARTIDA PRESUPUESTAL]],'Cost Report'!G:G,1,0),"Balance")</f>
        <v>2006-008</v>
      </c>
      <c r="AD5427" s="159">
        <f>+Table1[[#This Row],[SUBTOTAL]]+Table1[[#This Row],[IVA]]-Table1[[#This Row],[RET IVA]]-Table1[[#This Row],[RET ISR]]-Table1[[#This Row],[TOTAL]]</f>
        <v>0</v>
      </c>
      <c r="AK5427" s="306" t="str">
        <f>IF(ISNUMBER(Table1[[#This Row],[FECHA DE RECIBIDO]]), Table1[[#This Row],[FECHA DE RECIBIDO]]-DATE(2023,8,30), "")</f>
        <v/>
      </c>
    </row>
    <row r="5428" spans="1:37" ht="16.05" customHeight="1">
      <c r="A5428" s="172"/>
      <c r="B5428" s="178">
        <v>1848</v>
      </c>
      <c r="C5428" s="179" t="s">
        <v>2386</v>
      </c>
      <c r="D5428">
        <v>3669</v>
      </c>
      <c r="E5428" s="125" t="s">
        <v>1609</v>
      </c>
      <c r="F5428" s="178">
        <v>626</v>
      </c>
      <c r="G5428" s="178" t="s">
        <v>109</v>
      </c>
      <c r="H5428">
        <v>911</v>
      </c>
      <c r="I5428" s="178" t="s">
        <v>1546</v>
      </c>
      <c r="J5428" s="320" t="s">
        <v>214</v>
      </c>
      <c r="K5428" s="178" t="s">
        <v>4872</v>
      </c>
      <c r="L5428" s="125" t="s">
        <v>110</v>
      </c>
      <c r="M5428">
        <v>1272</v>
      </c>
      <c r="N5428" s="182">
        <v>220</v>
      </c>
      <c r="O5428">
        <v>3508</v>
      </c>
      <c r="P5428" s="132" t="s">
        <v>77</v>
      </c>
      <c r="Q5428" s="176">
        <v>10000</v>
      </c>
      <c r="R5428" s="176">
        <v>1600</v>
      </c>
      <c r="S5428" s="176"/>
      <c r="T5428" s="190">
        <v>1066.6600000000001</v>
      </c>
      <c r="U5428" s="191">
        <v>125</v>
      </c>
      <c r="V5428" s="191">
        <v>10408.34</v>
      </c>
      <c r="W5428">
        <v>443</v>
      </c>
      <c r="X5428" s="186" t="s">
        <v>1430</v>
      </c>
      <c r="Y5428" s="187" t="s">
        <v>55</v>
      </c>
      <c r="Z5428" s="311">
        <v>272</v>
      </c>
      <c r="AB5428" t="str">
        <f>IF(Table1[[#This Row],[TIPO2]]="costo", VLOOKUP(Table1[[#This Row],[PARTIDA PRESUPUESTAL]],'Cost Report'!G:G,1,0),"Balance")</f>
        <v>2006-009</v>
      </c>
      <c r="AD5428" s="159">
        <f>+Table1[[#This Row],[SUBTOTAL]]+Table1[[#This Row],[IVA]]-Table1[[#This Row],[RET IVA]]-Table1[[#This Row],[RET ISR]]-Table1[[#This Row],[TOTAL]]</f>
        <v>0</v>
      </c>
      <c r="AK5428" s="306" t="str">
        <f>IF(ISNUMBER(Table1[[#This Row],[FECHA DE RECIBIDO]]), Table1[[#This Row],[FECHA DE RECIBIDO]]-DATE(2023,8,30), "")</f>
        <v/>
      </c>
    </row>
    <row r="5429" spans="1:37" ht="16.05" customHeight="1">
      <c r="A5429" s="172" t="s">
        <v>4880</v>
      </c>
      <c r="B5429" s="178">
        <v>1849</v>
      </c>
      <c r="C5429" s="179" t="s">
        <v>2386</v>
      </c>
      <c r="D5429">
        <v>3670</v>
      </c>
      <c r="E5429" s="125" t="s">
        <v>1609</v>
      </c>
      <c r="F5429" s="178">
        <v>626</v>
      </c>
      <c r="G5429" s="178" t="s">
        <v>109</v>
      </c>
      <c r="H5429">
        <v>911</v>
      </c>
      <c r="I5429" s="178" t="s">
        <v>1546</v>
      </c>
      <c r="J5429" s="320" t="s">
        <v>214</v>
      </c>
      <c r="K5429" s="178" t="s">
        <v>4872</v>
      </c>
      <c r="L5429" s="125" t="s">
        <v>110</v>
      </c>
      <c r="M5429">
        <v>1272</v>
      </c>
      <c r="N5429" s="182">
        <v>220</v>
      </c>
      <c r="O5429">
        <v>3509</v>
      </c>
      <c r="P5429" s="132" t="s">
        <v>77</v>
      </c>
      <c r="Q5429" s="176">
        <v>3750</v>
      </c>
      <c r="R5429" s="176">
        <v>600</v>
      </c>
      <c r="S5429" s="176"/>
      <c r="T5429" s="190">
        <v>400</v>
      </c>
      <c r="U5429" s="191">
        <v>46.88</v>
      </c>
      <c r="V5429" s="191">
        <v>3903.12</v>
      </c>
      <c r="W5429">
        <v>443</v>
      </c>
      <c r="X5429" s="186" t="s">
        <v>1430</v>
      </c>
      <c r="Y5429" s="187" t="s">
        <v>55</v>
      </c>
      <c r="Z5429" s="311">
        <v>272</v>
      </c>
      <c r="AB5429" t="str">
        <f>IF(Table1[[#This Row],[TIPO2]]="costo", VLOOKUP(Table1[[#This Row],[PARTIDA PRESUPUESTAL]],'Cost Report'!G:G,1,0),"Balance")</f>
        <v>2006-009</v>
      </c>
      <c r="AD5429" s="159">
        <f>+Table1[[#This Row],[SUBTOTAL]]+Table1[[#This Row],[IVA]]-Table1[[#This Row],[RET IVA]]-Table1[[#This Row],[RET ISR]]-Table1[[#This Row],[TOTAL]]</f>
        <v>0</v>
      </c>
      <c r="AK5429" s="306" t="str">
        <f>IF(ISNUMBER(Table1[[#This Row],[FECHA DE RECIBIDO]]), Table1[[#This Row],[FECHA DE RECIBIDO]]-DATE(2023,8,30), "")</f>
        <v/>
      </c>
    </row>
    <row r="5430" spans="1:37" ht="16.05" customHeight="1">
      <c r="A5430" s="172" t="s">
        <v>4881</v>
      </c>
      <c r="B5430" s="178">
        <v>1850</v>
      </c>
      <c r="C5430" s="179" t="s">
        <v>502</v>
      </c>
      <c r="D5430">
        <v>3671</v>
      </c>
      <c r="E5430" s="125">
        <v>52790</v>
      </c>
      <c r="F5430" s="178">
        <v>612</v>
      </c>
      <c r="G5430" s="178" t="s">
        <v>129</v>
      </c>
      <c r="H5430">
        <v>912</v>
      </c>
      <c r="I5430" s="178" t="s">
        <v>1546</v>
      </c>
      <c r="J5430" s="320">
        <v>271.72663194444613</v>
      </c>
      <c r="K5430" s="178" t="s">
        <v>4872</v>
      </c>
      <c r="L5430" s="125" t="s">
        <v>110</v>
      </c>
      <c r="M5430">
        <v>1273</v>
      </c>
      <c r="N5430" s="182">
        <v>221</v>
      </c>
      <c r="O5430">
        <v>3510</v>
      </c>
      <c r="P5430" s="132" t="s">
        <v>77</v>
      </c>
      <c r="Q5430" s="176">
        <v>2333</v>
      </c>
      <c r="R5430" s="176">
        <v>373.28</v>
      </c>
      <c r="S5430" s="176"/>
      <c r="T5430" s="190">
        <v>248.85</v>
      </c>
      <c r="U5430" s="191">
        <v>233.3</v>
      </c>
      <c r="V5430" s="191">
        <v>2224.1299999999997</v>
      </c>
      <c r="W5430">
        <v>444</v>
      </c>
      <c r="X5430" s="186" t="s">
        <v>1429</v>
      </c>
      <c r="Y5430" s="187" t="s">
        <v>55</v>
      </c>
      <c r="Z5430" s="311">
        <v>272</v>
      </c>
      <c r="AB5430" t="str">
        <f>IF(Table1[[#This Row],[TIPO2]]="costo", VLOOKUP(Table1[[#This Row],[PARTIDA PRESUPUESTAL]],'Cost Report'!G:G,1,0),"Balance")</f>
        <v>2020-021</v>
      </c>
      <c r="AD5430" s="159">
        <f>+Table1[[#This Row],[SUBTOTAL]]+Table1[[#This Row],[IVA]]-Table1[[#This Row],[RET IVA]]-Table1[[#This Row],[RET ISR]]-Table1[[#This Row],[TOTAL]]</f>
        <v>0</v>
      </c>
      <c r="AK5430" s="306">
        <f>IF(ISNUMBER(Table1[[#This Row],[FECHA DE RECIBIDO]]), Table1[[#This Row],[FECHA DE RECIBIDO]]-DATE(2023,8,30), "")</f>
        <v>-44896.273368055554</v>
      </c>
    </row>
    <row r="5431" spans="1:37" ht="16.05" customHeight="1">
      <c r="A5431" s="172" t="s">
        <v>4882</v>
      </c>
      <c r="B5431" s="178">
        <v>1851</v>
      </c>
      <c r="C5431" s="179" t="s">
        <v>503</v>
      </c>
      <c r="D5431">
        <v>3672</v>
      </c>
      <c r="E5431" s="125">
        <v>52790</v>
      </c>
      <c r="F5431" s="178">
        <v>612</v>
      </c>
      <c r="G5431" s="178" t="s">
        <v>129</v>
      </c>
      <c r="H5431">
        <v>912</v>
      </c>
      <c r="I5431" s="178" t="s">
        <v>1546</v>
      </c>
      <c r="J5431" s="320">
        <v>271.70501157407125</v>
      </c>
      <c r="K5431" s="178" t="s">
        <v>4872</v>
      </c>
      <c r="L5431" s="125" t="s">
        <v>110</v>
      </c>
      <c r="M5431">
        <v>1273</v>
      </c>
      <c r="N5431" s="182">
        <v>221</v>
      </c>
      <c r="O5431">
        <v>3511</v>
      </c>
      <c r="P5431" s="132" t="s">
        <v>77</v>
      </c>
      <c r="Q5431" s="176">
        <v>14000</v>
      </c>
      <c r="R5431" s="176">
        <v>2240</v>
      </c>
      <c r="S5431" s="176"/>
      <c r="T5431" s="190">
        <v>1493.34</v>
      </c>
      <c r="U5431" s="191">
        <v>1400</v>
      </c>
      <c r="V5431" s="191">
        <v>13346.66</v>
      </c>
      <c r="W5431">
        <v>444</v>
      </c>
      <c r="X5431" s="186" t="s">
        <v>1429</v>
      </c>
      <c r="Y5431" s="187" t="s">
        <v>55</v>
      </c>
      <c r="Z5431" s="311">
        <v>272</v>
      </c>
      <c r="AB5431" t="str">
        <f>IF(Table1[[#This Row],[TIPO2]]="costo", VLOOKUP(Table1[[#This Row],[PARTIDA PRESUPUESTAL]],'Cost Report'!G:G,1,0),"Balance")</f>
        <v>2020-022</v>
      </c>
      <c r="AD5431" s="159">
        <f>+Table1[[#This Row],[SUBTOTAL]]+Table1[[#This Row],[IVA]]-Table1[[#This Row],[RET IVA]]-Table1[[#This Row],[RET ISR]]-Table1[[#This Row],[TOTAL]]</f>
        <v>0</v>
      </c>
      <c r="AK5431" s="306">
        <f>IF(ISNUMBER(Table1[[#This Row],[FECHA DE RECIBIDO]]), Table1[[#This Row],[FECHA DE RECIBIDO]]-DATE(2023,8,30), "")</f>
        <v>-44896.294988425929</v>
      </c>
    </row>
    <row r="5432" spans="1:37" ht="16.05" customHeight="1">
      <c r="A5432" s="172" t="s">
        <v>4883</v>
      </c>
      <c r="B5432" s="178">
        <v>1852</v>
      </c>
      <c r="C5432" s="179" t="s">
        <v>503</v>
      </c>
      <c r="D5432">
        <v>3673</v>
      </c>
      <c r="E5432" s="125">
        <v>52790</v>
      </c>
      <c r="F5432" s="178">
        <v>612</v>
      </c>
      <c r="G5432" s="178" t="s">
        <v>129</v>
      </c>
      <c r="H5432">
        <v>912</v>
      </c>
      <c r="I5432" s="178" t="s">
        <v>1546</v>
      </c>
      <c r="J5432" s="320">
        <v>271.72172453703388</v>
      </c>
      <c r="K5432" s="178" t="s">
        <v>4872</v>
      </c>
      <c r="L5432" s="125" t="s">
        <v>110</v>
      </c>
      <c r="M5432">
        <v>1273</v>
      </c>
      <c r="N5432" s="182">
        <v>221</v>
      </c>
      <c r="O5432">
        <v>3512</v>
      </c>
      <c r="P5432" s="132" t="s">
        <v>77</v>
      </c>
      <c r="Q5432" s="176">
        <v>14000</v>
      </c>
      <c r="R5432" s="176">
        <v>2240</v>
      </c>
      <c r="S5432" s="176"/>
      <c r="T5432" s="190">
        <v>1493.34</v>
      </c>
      <c r="U5432" s="191">
        <v>1400</v>
      </c>
      <c r="V5432" s="191">
        <v>13346.66</v>
      </c>
      <c r="W5432">
        <v>444</v>
      </c>
      <c r="X5432" s="186" t="s">
        <v>1429</v>
      </c>
      <c r="Y5432" s="187" t="s">
        <v>55</v>
      </c>
      <c r="Z5432" s="311">
        <v>272</v>
      </c>
      <c r="AB5432" t="str">
        <f>IF(Table1[[#This Row],[TIPO2]]="costo", VLOOKUP(Table1[[#This Row],[PARTIDA PRESUPUESTAL]],'Cost Report'!G:G,1,0),"Balance")</f>
        <v>2020-022</v>
      </c>
      <c r="AD5432" s="159">
        <f>+Table1[[#This Row],[SUBTOTAL]]+Table1[[#This Row],[IVA]]-Table1[[#This Row],[RET IVA]]-Table1[[#This Row],[RET ISR]]-Table1[[#This Row],[TOTAL]]</f>
        <v>0</v>
      </c>
      <c r="AK5432" s="306">
        <f>IF(ISNUMBER(Table1[[#This Row],[FECHA DE RECIBIDO]]), Table1[[#This Row],[FECHA DE RECIBIDO]]-DATE(2023,8,30), "")</f>
        <v>-44896.278275462966</v>
      </c>
    </row>
    <row r="5433" spans="1:37" ht="16.05" customHeight="1">
      <c r="A5433" s="172" t="s">
        <v>4884</v>
      </c>
      <c r="B5433" s="178">
        <v>1853</v>
      </c>
      <c r="C5433" s="179" t="s">
        <v>503</v>
      </c>
      <c r="D5433">
        <v>3674</v>
      </c>
      <c r="E5433" s="125">
        <v>52790</v>
      </c>
      <c r="F5433" s="178">
        <v>612</v>
      </c>
      <c r="G5433" s="178" t="s">
        <v>129</v>
      </c>
      <c r="H5433">
        <v>912</v>
      </c>
      <c r="I5433" s="178" t="s">
        <v>1546</v>
      </c>
      <c r="J5433" s="320">
        <v>271.72339120370452</v>
      </c>
      <c r="K5433" s="178" t="s">
        <v>4872</v>
      </c>
      <c r="L5433" s="125" t="s">
        <v>110</v>
      </c>
      <c r="M5433">
        <v>1273</v>
      </c>
      <c r="N5433" s="182">
        <v>221</v>
      </c>
      <c r="O5433">
        <v>3513</v>
      </c>
      <c r="P5433" s="132" t="s">
        <v>77</v>
      </c>
      <c r="Q5433" s="176">
        <v>14000</v>
      </c>
      <c r="R5433" s="176">
        <v>2240</v>
      </c>
      <c r="S5433" s="176"/>
      <c r="T5433" s="190">
        <v>1493.34</v>
      </c>
      <c r="U5433" s="191">
        <v>1400</v>
      </c>
      <c r="V5433" s="191">
        <v>13346.66</v>
      </c>
      <c r="W5433">
        <v>444</v>
      </c>
      <c r="X5433" s="186" t="s">
        <v>1429</v>
      </c>
      <c r="Y5433" s="187" t="s">
        <v>55</v>
      </c>
      <c r="Z5433" s="311">
        <v>272</v>
      </c>
      <c r="AB5433" t="str">
        <f>IF(Table1[[#This Row],[TIPO2]]="costo", VLOOKUP(Table1[[#This Row],[PARTIDA PRESUPUESTAL]],'Cost Report'!G:G,1,0),"Balance")</f>
        <v>2020-022</v>
      </c>
      <c r="AD5433" s="159">
        <f>+Table1[[#This Row],[SUBTOTAL]]+Table1[[#This Row],[IVA]]-Table1[[#This Row],[RET IVA]]-Table1[[#This Row],[RET ISR]]-Table1[[#This Row],[TOTAL]]</f>
        <v>0</v>
      </c>
      <c r="AK5433" s="306">
        <f>IF(ISNUMBER(Table1[[#This Row],[FECHA DE RECIBIDO]]), Table1[[#This Row],[FECHA DE RECIBIDO]]-DATE(2023,8,30), "")</f>
        <v>-44896.276608796295</v>
      </c>
    </row>
    <row r="5434" spans="1:37" ht="16.05" customHeight="1">
      <c r="A5434" s="172" t="s">
        <v>4885</v>
      </c>
      <c r="B5434" s="178">
        <v>1854</v>
      </c>
      <c r="C5434" s="179" t="s">
        <v>503</v>
      </c>
      <c r="D5434">
        <v>3675</v>
      </c>
      <c r="E5434" s="125">
        <v>52790</v>
      </c>
      <c r="F5434" s="178">
        <v>612</v>
      </c>
      <c r="G5434" s="178" t="s">
        <v>129</v>
      </c>
      <c r="H5434">
        <v>912</v>
      </c>
      <c r="I5434" s="178" t="s">
        <v>1546</v>
      </c>
      <c r="J5434" s="320">
        <v>271.71988425926247</v>
      </c>
      <c r="K5434" s="178" t="s">
        <v>4872</v>
      </c>
      <c r="L5434" s="125" t="s">
        <v>110</v>
      </c>
      <c r="M5434">
        <v>1273</v>
      </c>
      <c r="N5434" s="182">
        <v>221</v>
      </c>
      <c r="O5434">
        <v>3514</v>
      </c>
      <c r="P5434" s="132" t="s">
        <v>77</v>
      </c>
      <c r="Q5434" s="176">
        <v>7000</v>
      </c>
      <c r="R5434" s="176">
        <v>1120</v>
      </c>
      <c r="S5434" s="176"/>
      <c r="T5434" s="190">
        <v>746.67</v>
      </c>
      <c r="U5434" s="191">
        <v>700</v>
      </c>
      <c r="V5434" s="191">
        <v>6673.33</v>
      </c>
      <c r="W5434">
        <v>444</v>
      </c>
      <c r="X5434" s="186" t="s">
        <v>1429</v>
      </c>
      <c r="Y5434" s="187" t="s">
        <v>55</v>
      </c>
      <c r="Z5434" s="311">
        <v>272</v>
      </c>
      <c r="AB5434" t="str">
        <f>IF(Table1[[#This Row],[TIPO2]]="costo", VLOOKUP(Table1[[#This Row],[PARTIDA PRESUPUESTAL]],'Cost Report'!G:G,1,0),"Balance")</f>
        <v>2020-022</v>
      </c>
      <c r="AD5434" s="159">
        <f>+Table1[[#This Row],[SUBTOTAL]]+Table1[[#This Row],[IVA]]-Table1[[#This Row],[RET IVA]]-Table1[[#This Row],[RET ISR]]-Table1[[#This Row],[TOTAL]]</f>
        <v>0</v>
      </c>
      <c r="AK5434" s="306">
        <f>IF(ISNUMBER(Table1[[#This Row],[FECHA DE RECIBIDO]]), Table1[[#This Row],[FECHA DE RECIBIDO]]-DATE(2023,8,30), "")</f>
        <v>-44896.280115740738</v>
      </c>
    </row>
    <row r="5435" spans="1:37" ht="16.05" customHeight="1">
      <c r="A5435" s="172" t="s">
        <v>4886</v>
      </c>
      <c r="B5435" s="178">
        <v>1855</v>
      </c>
      <c r="C5435" s="179" t="s">
        <v>504</v>
      </c>
      <c r="D5435">
        <v>3676</v>
      </c>
      <c r="E5435" s="125">
        <v>52790</v>
      </c>
      <c r="F5435" s="178">
        <v>612</v>
      </c>
      <c r="G5435" s="178" t="s">
        <v>129</v>
      </c>
      <c r="H5435">
        <v>912</v>
      </c>
      <c r="I5435" s="178" t="s">
        <v>1546</v>
      </c>
      <c r="J5435" s="320">
        <v>271.72892361111008</v>
      </c>
      <c r="K5435" s="178" t="s">
        <v>4872</v>
      </c>
      <c r="L5435" s="125" t="s">
        <v>110</v>
      </c>
      <c r="M5435">
        <v>1273</v>
      </c>
      <c r="N5435" s="182">
        <v>221</v>
      </c>
      <c r="O5435">
        <v>3515</v>
      </c>
      <c r="P5435" s="132" t="s">
        <v>77</v>
      </c>
      <c r="Q5435" s="176">
        <v>14000</v>
      </c>
      <c r="R5435" s="176">
        <v>2240</v>
      </c>
      <c r="S5435" s="176"/>
      <c r="T5435" s="190">
        <v>1493.34</v>
      </c>
      <c r="U5435" s="191">
        <v>1400</v>
      </c>
      <c r="V5435" s="191">
        <v>13346.66</v>
      </c>
      <c r="W5435">
        <v>444</v>
      </c>
      <c r="X5435" s="186" t="s">
        <v>1429</v>
      </c>
      <c r="Y5435" s="187" t="s">
        <v>55</v>
      </c>
      <c r="Z5435" s="311">
        <v>272</v>
      </c>
      <c r="AB5435" t="str">
        <f>IF(Table1[[#This Row],[TIPO2]]="costo", VLOOKUP(Table1[[#This Row],[PARTIDA PRESUPUESTAL]],'Cost Report'!G:G,1,0),"Balance")</f>
        <v>2020-023</v>
      </c>
      <c r="AD5435" s="159">
        <f>+Table1[[#This Row],[SUBTOTAL]]+Table1[[#This Row],[IVA]]-Table1[[#This Row],[RET IVA]]-Table1[[#This Row],[RET ISR]]-Table1[[#This Row],[TOTAL]]</f>
        <v>0</v>
      </c>
      <c r="AK5435" s="306">
        <f>IF(ISNUMBER(Table1[[#This Row],[FECHA DE RECIBIDO]]), Table1[[#This Row],[FECHA DE RECIBIDO]]-DATE(2023,8,30), "")</f>
        <v>-44896.27107638889</v>
      </c>
    </row>
    <row r="5436" spans="1:37" ht="16.05" customHeight="1">
      <c r="A5436" s="172" t="s">
        <v>4887</v>
      </c>
      <c r="B5436" s="178">
        <v>1856</v>
      </c>
      <c r="C5436" s="179" t="s">
        <v>1496</v>
      </c>
      <c r="D5436">
        <v>3677</v>
      </c>
      <c r="E5436" s="125" t="s">
        <v>1599</v>
      </c>
      <c r="F5436" s="178">
        <v>612</v>
      </c>
      <c r="G5436" s="178" t="s">
        <v>129</v>
      </c>
      <c r="H5436">
        <v>20</v>
      </c>
      <c r="I5436" s="178" t="s">
        <v>1546</v>
      </c>
      <c r="J5436" s="320" t="s">
        <v>214</v>
      </c>
      <c r="K5436" s="178" t="s">
        <v>4872</v>
      </c>
      <c r="L5436" s="125" t="s">
        <v>3306</v>
      </c>
      <c r="M5436">
        <v>26</v>
      </c>
      <c r="N5436" s="182">
        <v>51</v>
      </c>
      <c r="O5436">
        <v>3516</v>
      </c>
      <c r="P5436" s="132" t="s">
        <v>77</v>
      </c>
      <c r="Q5436" s="176">
        <v>60840</v>
      </c>
      <c r="R5436" s="176">
        <v>9734.4</v>
      </c>
      <c r="S5436" s="176"/>
      <c r="T5436" s="190">
        <v>6489.6202800000001</v>
      </c>
      <c r="U5436" s="191">
        <v>6084</v>
      </c>
      <c r="V5436" s="191">
        <v>58000.779719999991</v>
      </c>
      <c r="W5436">
        <v>20</v>
      </c>
      <c r="X5436" s="186" t="s">
        <v>1980</v>
      </c>
      <c r="Y5436" s="187" t="s">
        <v>55</v>
      </c>
      <c r="Z5436" s="311">
        <v>272</v>
      </c>
      <c r="AB5436" t="str">
        <f>IF(Table1[[#This Row],[TIPO2]]="costo", VLOOKUP(Table1[[#This Row],[PARTIDA PRESUPUESTAL]],'Cost Report'!G:G,1,0),"Balance")</f>
        <v>2390-004</v>
      </c>
      <c r="AD5436" s="159">
        <f>+Table1[[#This Row],[SUBTOTAL]]+Table1[[#This Row],[IVA]]-Table1[[#This Row],[RET IVA]]-Table1[[#This Row],[RET ISR]]-Table1[[#This Row],[TOTAL]]</f>
        <v>0</v>
      </c>
      <c r="AK5436" s="306" t="str">
        <f>IF(ISNUMBER(Table1[[#This Row],[FECHA DE RECIBIDO]]), Table1[[#This Row],[FECHA DE RECIBIDO]]-DATE(2023,8,30), "")</f>
        <v/>
      </c>
    </row>
    <row r="5437" spans="1:37" ht="16.05" customHeight="1">
      <c r="A5437" s="172" t="s">
        <v>4888</v>
      </c>
      <c r="B5437" s="178">
        <v>1857</v>
      </c>
      <c r="C5437" s="179" t="s">
        <v>2529</v>
      </c>
      <c r="D5437">
        <v>3678</v>
      </c>
      <c r="E5437" s="125" t="s">
        <v>3354</v>
      </c>
      <c r="F5437" s="178">
        <v>626</v>
      </c>
      <c r="G5437" s="178" t="s">
        <v>109</v>
      </c>
      <c r="H5437">
        <v>347</v>
      </c>
      <c r="I5437" s="178" t="s">
        <v>1546</v>
      </c>
      <c r="J5437" s="320" t="s">
        <v>214</v>
      </c>
      <c r="K5437" s="178" t="s">
        <v>4872</v>
      </c>
      <c r="L5437" s="125" t="s">
        <v>3306</v>
      </c>
      <c r="M5437">
        <v>464</v>
      </c>
      <c r="N5437" s="182">
        <v>51</v>
      </c>
      <c r="O5437">
        <v>3517</v>
      </c>
      <c r="P5437" s="132" t="s">
        <v>77</v>
      </c>
      <c r="Q5437" s="176">
        <v>10000</v>
      </c>
      <c r="R5437" s="176">
        <v>1600</v>
      </c>
      <c r="S5437" s="176"/>
      <c r="T5437" s="190">
        <v>1066.67</v>
      </c>
      <c r="U5437" s="191">
        <v>125</v>
      </c>
      <c r="V5437" s="191">
        <v>10408.33</v>
      </c>
      <c r="W5437">
        <v>184</v>
      </c>
      <c r="X5437" s="186" t="s">
        <v>4889</v>
      </c>
      <c r="Y5437" s="187" t="s">
        <v>55</v>
      </c>
      <c r="Z5437" s="311">
        <v>272</v>
      </c>
      <c r="AB5437" t="str">
        <f>IF(Table1[[#This Row],[TIPO2]]="costo", VLOOKUP(Table1[[#This Row],[PARTIDA PRESUPUESTAL]],'Cost Report'!G:G,1,0),"Balance")</f>
        <v>2490-005</v>
      </c>
      <c r="AD5437" s="159">
        <f>+Table1[[#This Row],[SUBTOTAL]]+Table1[[#This Row],[IVA]]-Table1[[#This Row],[RET IVA]]-Table1[[#This Row],[RET ISR]]-Table1[[#This Row],[TOTAL]]</f>
        <v>0</v>
      </c>
      <c r="AK5437" s="306" t="str">
        <f>IF(ISNUMBER(Table1[[#This Row],[FECHA DE RECIBIDO]]), Table1[[#This Row],[FECHA DE RECIBIDO]]-DATE(2023,8,30), "")</f>
        <v/>
      </c>
    </row>
    <row r="5438" spans="1:37" ht="16.05" customHeight="1">
      <c r="A5438" s="172" t="s">
        <v>4890</v>
      </c>
      <c r="B5438" s="178">
        <v>1858</v>
      </c>
      <c r="C5438" s="179" t="s">
        <v>2830</v>
      </c>
      <c r="D5438">
        <v>3679</v>
      </c>
      <c r="E5438" s="125">
        <v>44639</v>
      </c>
      <c r="F5438" s="178">
        <v>601</v>
      </c>
      <c r="G5438" s="178" t="s">
        <v>134</v>
      </c>
      <c r="H5438">
        <v>913</v>
      </c>
      <c r="I5438" s="178" t="s">
        <v>1546</v>
      </c>
      <c r="J5438" s="320">
        <v>271.05950231481256</v>
      </c>
      <c r="K5438" s="178" t="s">
        <v>4872</v>
      </c>
      <c r="L5438" s="125" t="s">
        <v>3306</v>
      </c>
      <c r="M5438">
        <v>1274</v>
      </c>
      <c r="N5438" s="182">
        <v>24</v>
      </c>
      <c r="O5438">
        <v>3518</v>
      </c>
      <c r="P5438" s="132" t="s">
        <v>77</v>
      </c>
      <c r="Q5438" s="176">
        <v>9000</v>
      </c>
      <c r="R5438" s="176">
        <v>1440</v>
      </c>
      <c r="S5438" s="176"/>
      <c r="T5438" s="190">
        <v>0</v>
      </c>
      <c r="U5438" s="191">
        <v>0</v>
      </c>
      <c r="V5438" s="191">
        <v>10440</v>
      </c>
      <c r="W5438">
        <v>445</v>
      </c>
      <c r="X5438" s="186" t="s">
        <v>1912</v>
      </c>
      <c r="Y5438" s="187" t="s">
        <v>55</v>
      </c>
      <c r="Z5438" s="311">
        <v>272</v>
      </c>
      <c r="AB5438" t="str">
        <f>IF(Table1[[#This Row],[TIPO2]]="costo", VLOOKUP(Table1[[#This Row],[PARTIDA PRESUPUESTAL]],'Cost Report'!G:G,1,0),"Balance")</f>
        <v>3412-139</v>
      </c>
      <c r="AD5438" s="159">
        <f>+Table1[[#This Row],[SUBTOTAL]]+Table1[[#This Row],[IVA]]-Table1[[#This Row],[RET IVA]]-Table1[[#This Row],[RET ISR]]-Table1[[#This Row],[TOTAL]]</f>
        <v>0</v>
      </c>
      <c r="AK5438" s="306">
        <f>IF(ISNUMBER(Table1[[#This Row],[FECHA DE RECIBIDO]]), Table1[[#This Row],[FECHA DE RECIBIDO]]-DATE(2023,8,30), "")</f>
        <v>-44896.940497685187</v>
      </c>
    </row>
    <row r="5439" spans="1:37" ht="16.05" customHeight="1">
      <c r="A5439" s="172" t="s">
        <v>4891</v>
      </c>
      <c r="B5439" s="178">
        <v>1859</v>
      </c>
      <c r="C5439" s="179" t="s">
        <v>2830</v>
      </c>
      <c r="D5439">
        <v>3680</v>
      </c>
      <c r="E5439" s="125">
        <v>45239</v>
      </c>
      <c r="F5439" s="178">
        <v>601</v>
      </c>
      <c r="G5439" s="178" t="s">
        <v>134</v>
      </c>
      <c r="H5439">
        <v>455</v>
      </c>
      <c r="I5439" s="178" t="s">
        <v>1546</v>
      </c>
      <c r="J5439" s="320">
        <v>271.54533564814483</v>
      </c>
      <c r="K5439" s="178" t="s">
        <v>4872</v>
      </c>
      <c r="L5439" s="125" t="s">
        <v>3306</v>
      </c>
      <c r="M5439">
        <v>631</v>
      </c>
      <c r="N5439" s="182">
        <v>24</v>
      </c>
      <c r="O5439">
        <v>3519</v>
      </c>
      <c r="P5439" s="132" t="s">
        <v>77</v>
      </c>
      <c r="Q5439" s="176">
        <v>20000</v>
      </c>
      <c r="R5439" s="176">
        <v>3200</v>
      </c>
      <c r="S5439" s="176"/>
      <c r="T5439" s="190">
        <v>0</v>
      </c>
      <c r="U5439" s="191">
        <v>0</v>
      </c>
      <c r="V5439" s="191">
        <v>23200</v>
      </c>
      <c r="W5439">
        <v>243</v>
      </c>
      <c r="X5439" s="186" t="s">
        <v>1912</v>
      </c>
      <c r="Y5439" s="187" t="s">
        <v>55</v>
      </c>
      <c r="Z5439" s="311">
        <v>272</v>
      </c>
      <c r="AB5439" t="str">
        <f>IF(Table1[[#This Row],[TIPO2]]="costo", VLOOKUP(Table1[[#This Row],[PARTIDA PRESUPUESTAL]],'Cost Report'!G:G,1,0),"Balance")</f>
        <v>3412-139</v>
      </c>
      <c r="AD5439" s="159">
        <f>+Table1[[#This Row],[SUBTOTAL]]+Table1[[#This Row],[IVA]]-Table1[[#This Row],[RET IVA]]-Table1[[#This Row],[RET ISR]]-Table1[[#This Row],[TOTAL]]</f>
        <v>0</v>
      </c>
      <c r="AK5439" s="306">
        <f>IF(ISNUMBER(Table1[[#This Row],[FECHA DE RECIBIDO]]), Table1[[#This Row],[FECHA DE RECIBIDO]]-DATE(2023,8,30), "")</f>
        <v>-44896.454664351855</v>
      </c>
    </row>
    <row r="5440" spans="1:37" ht="16.05" customHeight="1">
      <c r="A5440" s="172" t="s">
        <v>4892</v>
      </c>
      <c r="B5440" s="178">
        <v>1860</v>
      </c>
      <c r="C5440" s="179" t="s">
        <v>2852</v>
      </c>
      <c r="D5440">
        <v>3681</v>
      </c>
      <c r="E5440" s="125">
        <v>45030</v>
      </c>
      <c r="F5440" s="178" t="s">
        <v>1593</v>
      </c>
      <c r="G5440" s="178" t="s">
        <v>109</v>
      </c>
      <c r="H5440">
        <v>854</v>
      </c>
      <c r="I5440" s="178" t="s">
        <v>1546</v>
      </c>
      <c r="J5440" s="320">
        <v>268.70206018518365</v>
      </c>
      <c r="K5440" s="178" t="s">
        <v>4872</v>
      </c>
      <c r="L5440" s="125" t="s">
        <v>3306</v>
      </c>
      <c r="M5440">
        <v>1187</v>
      </c>
      <c r="N5440" s="182">
        <v>24</v>
      </c>
      <c r="O5440">
        <v>3520</v>
      </c>
      <c r="P5440" s="132" t="s">
        <v>77</v>
      </c>
      <c r="Q5440" s="176">
        <v>4235.05</v>
      </c>
      <c r="R5440" s="176">
        <v>677.61</v>
      </c>
      <c r="S5440" s="176"/>
      <c r="T5440" s="190">
        <v>451.74007835000003</v>
      </c>
      <c r="U5440" s="191">
        <v>52.938125000000007</v>
      </c>
      <c r="V5440" s="191">
        <v>4407.9817966500004</v>
      </c>
      <c r="W5440">
        <v>419</v>
      </c>
      <c r="X5440" s="186" t="s">
        <v>2035</v>
      </c>
      <c r="Y5440" s="187" t="s">
        <v>55</v>
      </c>
      <c r="Z5440" s="311">
        <v>272</v>
      </c>
      <c r="AB5440" t="str">
        <f>IF(Table1[[#This Row],[TIPO2]]="costo", VLOOKUP(Table1[[#This Row],[PARTIDA PRESUPUESTAL]],'Cost Report'!G:G,1,0),"Balance")</f>
        <v>3498-003</v>
      </c>
      <c r="AD5440" s="159">
        <f>+Table1[[#This Row],[SUBTOTAL]]+Table1[[#This Row],[IVA]]-Table1[[#This Row],[RET IVA]]-Table1[[#This Row],[RET ISR]]-Table1[[#This Row],[TOTAL]]</f>
        <v>0</v>
      </c>
      <c r="AK5440" s="306">
        <f>IF(ISNUMBER(Table1[[#This Row],[FECHA DE RECIBIDO]]), Table1[[#This Row],[FECHA DE RECIBIDO]]-DATE(2023,8,30), "")</f>
        <v>-44899.297939814816</v>
      </c>
    </row>
    <row r="5441" spans="1:37" ht="16.05" customHeight="1">
      <c r="A5441" s="172" t="s">
        <v>4893</v>
      </c>
      <c r="B5441" s="178">
        <v>1861</v>
      </c>
      <c r="C5441" s="179" t="s">
        <v>2852</v>
      </c>
      <c r="D5441">
        <v>3682</v>
      </c>
      <c r="E5441" s="125" t="s">
        <v>3235</v>
      </c>
      <c r="F5441" s="178">
        <v>606</v>
      </c>
      <c r="G5441" s="178" t="s">
        <v>3297</v>
      </c>
      <c r="H5441">
        <v>260</v>
      </c>
      <c r="I5441" s="178" t="s">
        <v>1546</v>
      </c>
      <c r="J5441" s="320" t="s">
        <v>214</v>
      </c>
      <c r="K5441" s="178" t="s">
        <v>4872</v>
      </c>
      <c r="L5441" s="125" t="s">
        <v>3306</v>
      </c>
      <c r="M5441">
        <v>345</v>
      </c>
      <c r="N5441" s="182">
        <v>24</v>
      </c>
      <c r="O5441">
        <v>3521</v>
      </c>
      <c r="P5441" s="132" t="s">
        <v>77</v>
      </c>
      <c r="Q5441" s="176">
        <v>6294</v>
      </c>
      <c r="R5441" s="176">
        <v>1007.0400000000001</v>
      </c>
      <c r="S5441" s="176"/>
      <c r="T5441" s="190">
        <v>671.36209799999995</v>
      </c>
      <c r="U5441" s="191">
        <v>629.40000000000009</v>
      </c>
      <c r="V5441" s="191">
        <v>6000.2779019999998</v>
      </c>
      <c r="W5441">
        <v>159</v>
      </c>
      <c r="X5441" s="186" t="s">
        <v>2035</v>
      </c>
      <c r="Y5441" s="187" t="s">
        <v>55</v>
      </c>
      <c r="Z5441" s="311">
        <v>272</v>
      </c>
      <c r="AB5441" t="str">
        <f>IF(Table1[[#This Row],[TIPO2]]="costo", VLOOKUP(Table1[[#This Row],[PARTIDA PRESUPUESTAL]],'Cost Report'!G:G,1,0),"Balance")</f>
        <v>3498-003</v>
      </c>
      <c r="AD5441" s="159">
        <f>+Table1[[#This Row],[SUBTOTAL]]+Table1[[#This Row],[IVA]]-Table1[[#This Row],[RET IVA]]-Table1[[#This Row],[RET ISR]]-Table1[[#This Row],[TOTAL]]</f>
        <v>0</v>
      </c>
      <c r="AK5441" s="306" t="str">
        <f>IF(ISNUMBER(Table1[[#This Row],[FECHA DE RECIBIDO]]), Table1[[#This Row],[FECHA DE RECIBIDO]]-DATE(2023,8,30), "")</f>
        <v/>
      </c>
    </row>
    <row r="5442" spans="1:37" ht="16.05" customHeight="1">
      <c r="A5442" s="172" t="s">
        <v>4894</v>
      </c>
      <c r="B5442" s="178">
        <v>1862</v>
      </c>
      <c r="C5442" s="179" t="s">
        <v>471</v>
      </c>
      <c r="D5442">
        <v>3683</v>
      </c>
      <c r="E5442" s="125" t="s">
        <v>1605</v>
      </c>
      <c r="F5442" s="178">
        <v>601</v>
      </c>
      <c r="G5442" s="178" t="s">
        <v>134</v>
      </c>
      <c r="H5442">
        <v>5</v>
      </c>
      <c r="I5442" s="178" t="s">
        <v>1546</v>
      </c>
      <c r="J5442" s="320" t="s">
        <v>214</v>
      </c>
      <c r="K5442" s="178" t="s">
        <v>4872</v>
      </c>
      <c r="L5442" s="125" t="s">
        <v>3306</v>
      </c>
      <c r="M5442">
        <v>5</v>
      </c>
      <c r="N5442" s="182">
        <v>0</v>
      </c>
      <c r="O5442">
        <v>3522</v>
      </c>
      <c r="P5442" s="132" t="s">
        <v>77</v>
      </c>
      <c r="Q5442" s="176">
        <v>46000</v>
      </c>
      <c r="R5442" s="176">
        <v>7360</v>
      </c>
      <c r="S5442" s="176"/>
      <c r="T5442" s="190"/>
      <c r="U5442" s="191"/>
      <c r="V5442" s="191">
        <v>53360</v>
      </c>
      <c r="W5442">
        <v>323</v>
      </c>
      <c r="X5442" s="186" t="s">
        <v>135</v>
      </c>
      <c r="Y5442" s="187" t="s">
        <v>55</v>
      </c>
      <c r="Z5442" s="311">
        <v>272</v>
      </c>
      <c r="AB5442" t="str">
        <f>IF(Table1[[#This Row],[TIPO2]]="costo", VLOOKUP(Table1[[#This Row],[PARTIDA PRESUPUESTAL]],'Cost Report'!G:G,1,0),"Balance")</f>
        <v>2010-014</v>
      </c>
      <c r="AD5442" s="159">
        <f>+Table1[[#This Row],[SUBTOTAL]]+Table1[[#This Row],[IVA]]-Table1[[#This Row],[RET IVA]]-Table1[[#This Row],[RET ISR]]-Table1[[#This Row],[TOTAL]]</f>
        <v>0</v>
      </c>
      <c r="AK5442" s="306" t="str">
        <f>IF(ISNUMBER(Table1[[#This Row],[FECHA DE RECIBIDO]]), Table1[[#This Row],[FECHA DE RECIBIDO]]-DATE(2023,8,30), "")</f>
        <v/>
      </c>
    </row>
    <row r="5443" spans="1:37" ht="16.05" customHeight="1">
      <c r="A5443" s="172"/>
      <c r="B5443" s="178">
        <v>1862</v>
      </c>
      <c r="C5443" s="179" t="s">
        <v>2397</v>
      </c>
      <c r="D5443">
        <v>3683</v>
      </c>
      <c r="E5443" s="125" t="s">
        <v>1605</v>
      </c>
      <c r="F5443" s="178">
        <v>601</v>
      </c>
      <c r="G5443" s="178" t="s">
        <v>134</v>
      </c>
      <c r="H5443">
        <v>5</v>
      </c>
      <c r="I5443" s="178" t="s">
        <v>1546</v>
      </c>
      <c r="J5443" s="320" t="s">
        <v>214</v>
      </c>
      <c r="K5443" s="178" t="s">
        <v>4872</v>
      </c>
      <c r="L5443" s="125" t="s">
        <v>3306</v>
      </c>
      <c r="M5443">
        <v>5</v>
      </c>
      <c r="N5443" s="182">
        <v>0</v>
      </c>
      <c r="O5443">
        <v>3522</v>
      </c>
      <c r="P5443" s="132" t="s">
        <v>77</v>
      </c>
      <c r="Q5443" s="176">
        <v>24000</v>
      </c>
      <c r="R5443" s="176">
        <v>3840</v>
      </c>
      <c r="S5443" s="176"/>
      <c r="T5443" s="190"/>
      <c r="U5443" s="191"/>
      <c r="V5443" s="191">
        <v>27840</v>
      </c>
      <c r="W5443">
        <v>323</v>
      </c>
      <c r="X5443" s="186" t="s">
        <v>135</v>
      </c>
      <c r="Y5443" s="187" t="s">
        <v>55</v>
      </c>
      <c r="Z5443" s="311">
        <v>272</v>
      </c>
      <c r="AB5443" t="str">
        <f>IF(Table1[[#This Row],[TIPO2]]="costo", VLOOKUP(Table1[[#This Row],[PARTIDA PRESUPUESTAL]],'Cost Report'!G:G,1,0),"Balance")</f>
        <v>2011-007</v>
      </c>
      <c r="AD5443" s="159">
        <f>+Table1[[#This Row],[SUBTOTAL]]+Table1[[#This Row],[IVA]]-Table1[[#This Row],[RET IVA]]-Table1[[#This Row],[RET ISR]]-Table1[[#This Row],[TOTAL]]</f>
        <v>0</v>
      </c>
      <c r="AK5443" s="306" t="str">
        <f>IF(ISNUMBER(Table1[[#This Row],[FECHA DE RECIBIDO]]), Table1[[#This Row],[FECHA DE RECIBIDO]]-DATE(2023,8,30), "")</f>
        <v/>
      </c>
    </row>
    <row r="5444" spans="1:37" ht="16.05" customHeight="1">
      <c r="A5444" s="172"/>
      <c r="B5444" s="178">
        <v>1862</v>
      </c>
      <c r="C5444" s="179" t="s">
        <v>2403</v>
      </c>
      <c r="D5444">
        <v>3683</v>
      </c>
      <c r="E5444" s="125" t="s">
        <v>1605</v>
      </c>
      <c r="F5444" s="178">
        <v>601</v>
      </c>
      <c r="G5444" s="178" t="s">
        <v>134</v>
      </c>
      <c r="H5444">
        <v>5</v>
      </c>
      <c r="I5444" s="178" t="s">
        <v>1546</v>
      </c>
      <c r="J5444" s="320" t="s">
        <v>214</v>
      </c>
      <c r="K5444" s="178" t="s">
        <v>4872</v>
      </c>
      <c r="L5444" s="125" t="s">
        <v>3306</v>
      </c>
      <c r="M5444">
        <v>5</v>
      </c>
      <c r="N5444" s="182">
        <v>0</v>
      </c>
      <c r="O5444">
        <v>3522</v>
      </c>
      <c r="P5444" s="132" t="s">
        <v>77</v>
      </c>
      <c r="Q5444" s="176">
        <v>20000</v>
      </c>
      <c r="R5444" s="176">
        <v>3200</v>
      </c>
      <c r="S5444" s="176"/>
      <c r="T5444" s="190"/>
      <c r="U5444" s="191"/>
      <c r="V5444" s="191">
        <v>23200</v>
      </c>
      <c r="W5444">
        <v>323</v>
      </c>
      <c r="X5444" s="186" t="s">
        <v>135</v>
      </c>
      <c r="Y5444" s="187" t="s">
        <v>55</v>
      </c>
      <c r="Z5444" s="311">
        <v>272</v>
      </c>
      <c r="AB5444" t="str">
        <f>IF(Table1[[#This Row],[TIPO2]]="costo", VLOOKUP(Table1[[#This Row],[PARTIDA PRESUPUESTAL]],'Cost Report'!G:G,1,0),"Balance")</f>
        <v>2011-015</v>
      </c>
      <c r="AD5444" s="159">
        <f>+Table1[[#This Row],[SUBTOTAL]]+Table1[[#This Row],[IVA]]-Table1[[#This Row],[RET IVA]]-Table1[[#This Row],[RET ISR]]-Table1[[#This Row],[TOTAL]]</f>
        <v>0</v>
      </c>
      <c r="AK5444" s="306" t="str">
        <f>IF(ISNUMBER(Table1[[#This Row],[FECHA DE RECIBIDO]]), Table1[[#This Row],[FECHA DE RECIBIDO]]-DATE(2023,8,30), "")</f>
        <v/>
      </c>
    </row>
    <row r="5445" spans="1:37" ht="16.05" customHeight="1">
      <c r="A5445" s="172"/>
      <c r="B5445" s="178">
        <v>1863</v>
      </c>
      <c r="C5445" s="179" t="s">
        <v>3090</v>
      </c>
      <c r="D5445">
        <v>3684</v>
      </c>
      <c r="E5445" s="125" t="s">
        <v>1605</v>
      </c>
      <c r="F5445" s="178">
        <v>601</v>
      </c>
      <c r="G5445" s="178" t="s">
        <v>134</v>
      </c>
      <c r="H5445">
        <v>5</v>
      </c>
      <c r="I5445" s="178" t="s">
        <v>1546</v>
      </c>
      <c r="J5445" s="320" t="s">
        <v>214</v>
      </c>
      <c r="K5445" s="178" t="s">
        <v>4872</v>
      </c>
      <c r="L5445" s="125" t="s">
        <v>3306</v>
      </c>
      <c r="M5445">
        <v>5</v>
      </c>
      <c r="N5445" s="182">
        <v>0</v>
      </c>
      <c r="O5445">
        <v>3523</v>
      </c>
      <c r="P5445" s="132" t="s">
        <v>77</v>
      </c>
      <c r="Q5445" s="176">
        <v>11000</v>
      </c>
      <c r="R5445" s="176">
        <v>1760</v>
      </c>
      <c r="S5445" s="176"/>
      <c r="T5445" s="190"/>
      <c r="U5445" s="191"/>
      <c r="V5445" s="191">
        <v>12760</v>
      </c>
      <c r="W5445">
        <v>323</v>
      </c>
      <c r="X5445" s="186" t="s">
        <v>135</v>
      </c>
      <c r="Y5445" s="187" t="s">
        <v>55</v>
      </c>
      <c r="Z5445" s="311">
        <v>272</v>
      </c>
      <c r="AB5445" t="str">
        <f>IF(Table1[[#This Row],[TIPO2]]="costo", VLOOKUP(Table1[[#This Row],[PARTIDA PRESUPUESTAL]],'Cost Report'!G:G,1,0),"Balance")</f>
        <v>7001-007</v>
      </c>
      <c r="AD5445" s="159">
        <f>+Table1[[#This Row],[SUBTOTAL]]+Table1[[#This Row],[IVA]]-Table1[[#This Row],[RET IVA]]-Table1[[#This Row],[RET ISR]]-Table1[[#This Row],[TOTAL]]</f>
        <v>0</v>
      </c>
      <c r="AK5445" s="306" t="str">
        <f>IF(ISNUMBER(Table1[[#This Row],[FECHA DE RECIBIDO]]), Table1[[#This Row],[FECHA DE RECIBIDO]]-DATE(2023,8,30), "")</f>
        <v/>
      </c>
    </row>
    <row r="5446" spans="1:37" s="271" customFormat="1" ht="16.05" customHeight="1">
      <c r="A5446" s="282"/>
      <c r="B5446" s="283">
        <v>1864</v>
      </c>
      <c r="C5446" s="284" t="s">
        <v>3093</v>
      </c>
      <c r="D5446">
        <v>3685</v>
      </c>
      <c r="E5446" s="285" t="s">
        <v>1605</v>
      </c>
      <c r="F5446" s="283">
        <v>601</v>
      </c>
      <c r="G5446" s="283" t="s">
        <v>134</v>
      </c>
      <c r="H5446">
        <v>5</v>
      </c>
      <c r="I5446" s="283" t="s">
        <v>1546</v>
      </c>
      <c r="J5446" s="312" t="s">
        <v>214</v>
      </c>
      <c r="K5446" s="283" t="s">
        <v>4872</v>
      </c>
      <c r="L5446" s="285" t="s">
        <v>3306</v>
      </c>
      <c r="M5446">
        <v>5</v>
      </c>
      <c r="N5446" s="286">
        <v>0</v>
      </c>
      <c r="O5446">
        <v>3524</v>
      </c>
      <c r="P5446" s="295" t="s">
        <v>78</v>
      </c>
      <c r="Q5446" s="287">
        <v>75000</v>
      </c>
      <c r="R5446" s="287">
        <v>12000</v>
      </c>
      <c r="S5446" s="287"/>
      <c r="T5446" s="288"/>
      <c r="U5446" s="289"/>
      <c r="V5446" s="289">
        <v>87000</v>
      </c>
      <c r="W5446">
        <v>323</v>
      </c>
      <c r="X5446" s="290" t="s">
        <v>135</v>
      </c>
      <c r="Y5446" s="283" t="s">
        <v>55</v>
      </c>
      <c r="Z5446" s="312">
        <v>272</v>
      </c>
      <c r="AB5446" s="271" t="str">
        <f>IF(Table1[[#This Row],[TIPO2]]="costo", VLOOKUP(Table1[[#This Row],[PARTIDA PRESUPUESTAL]],'Cost Report'!G:G,1,0),"Balance")</f>
        <v>Balance</v>
      </c>
      <c r="AD5446" s="272">
        <f>+Table1[[#This Row],[SUBTOTAL]]+Table1[[#This Row],[IVA]]-Table1[[#This Row],[RET IVA]]-Table1[[#This Row],[RET ISR]]-Table1[[#This Row],[TOTAL]]</f>
        <v>0</v>
      </c>
      <c r="AK5446" s="306" t="str">
        <f>IF(ISNUMBER(Table1[[#This Row],[FECHA DE RECIBIDO]]), Table1[[#This Row],[FECHA DE RECIBIDO]]-DATE(2023,8,30), "")</f>
        <v/>
      </c>
    </row>
    <row r="5447" spans="1:37" ht="16.05" customHeight="1">
      <c r="A5447" s="172"/>
      <c r="B5447" s="178">
        <v>1864</v>
      </c>
      <c r="C5447" s="179" t="s">
        <v>470</v>
      </c>
      <c r="D5447">
        <v>3686</v>
      </c>
      <c r="E5447" s="125" t="s">
        <v>1605</v>
      </c>
      <c r="F5447" s="178">
        <v>601</v>
      </c>
      <c r="G5447" s="178" t="s">
        <v>134</v>
      </c>
      <c r="H5447">
        <v>5</v>
      </c>
      <c r="I5447" s="178" t="s">
        <v>1546</v>
      </c>
      <c r="J5447" s="320" t="s">
        <v>214</v>
      </c>
      <c r="K5447" s="178" t="s">
        <v>4872</v>
      </c>
      <c r="L5447" s="125" t="s">
        <v>3306</v>
      </c>
      <c r="M5447">
        <v>5</v>
      </c>
      <c r="N5447" s="182">
        <v>0</v>
      </c>
      <c r="O5447">
        <v>3525</v>
      </c>
      <c r="P5447" s="132" t="s">
        <v>77</v>
      </c>
      <c r="Q5447" s="176">
        <v>46000</v>
      </c>
      <c r="R5447" s="176">
        <v>7360</v>
      </c>
      <c r="S5447" s="176"/>
      <c r="T5447" s="190"/>
      <c r="U5447" s="191"/>
      <c r="V5447" s="191">
        <v>53360</v>
      </c>
      <c r="W5447">
        <v>323</v>
      </c>
      <c r="X5447" s="186" t="s">
        <v>135</v>
      </c>
      <c r="Y5447" s="187" t="s">
        <v>55</v>
      </c>
      <c r="Z5447" s="311">
        <v>272</v>
      </c>
      <c r="AB5447" t="str">
        <f>IF(Table1[[#This Row],[TIPO2]]="costo", VLOOKUP(Table1[[#This Row],[PARTIDA PRESUPUESTAL]],'Cost Report'!G:G,1,0),"Balance")</f>
        <v>2010-013</v>
      </c>
      <c r="AD5447" s="159">
        <f>+Table1[[#This Row],[SUBTOTAL]]+Table1[[#This Row],[IVA]]-Table1[[#This Row],[RET IVA]]-Table1[[#This Row],[RET ISR]]-Table1[[#This Row],[TOTAL]]</f>
        <v>0</v>
      </c>
      <c r="AK5447" s="306" t="str">
        <f>IF(ISNUMBER(Table1[[#This Row],[FECHA DE RECIBIDO]]), Table1[[#This Row],[FECHA DE RECIBIDO]]-DATE(2023,8,30), "")</f>
        <v/>
      </c>
    </row>
    <row r="5448" spans="1:37" ht="16.05" customHeight="1">
      <c r="A5448" s="172"/>
      <c r="B5448" s="178">
        <v>1864</v>
      </c>
      <c r="C5448" s="179" t="s">
        <v>2396</v>
      </c>
      <c r="D5448">
        <v>3686</v>
      </c>
      <c r="E5448" s="125" t="s">
        <v>1605</v>
      </c>
      <c r="F5448" s="178">
        <v>601</v>
      </c>
      <c r="G5448" s="178" t="s">
        <v>134</v>
      </c>
      <c r="H5448">
        <v>5</v>
      </c>
      <c r="I5448" s="178" t="s">
        <v>1546</v>
      </c>
      <c r="J5448" s="320" t="s">
        <v>214</v>
      </c>
      <c r="K5448" s="178" t="s">
        <v>4872</v>
      </c>
      <c r="L5448" s="125" t="s">
        <v>3306</v>
      </c>
      <c r="M5448">
        <v>5</v>
      </c>
      <c r="N5448" s="182">
        <v>0</v>
      </c>
      <c r="O5448">
        <v>3525</v>
      </c>
      <c r="P5448" s="132" t="s">
        <v>77</v>
      </c>
      <c r="Q5448" s="176">
        <v>24000</v>
      </c>
      <c r="R5448" s="176">
        <v>3840</v>
      </c>
      <c r="S5448" s="176"/>
      <c r="T5448" s="190"/>
      <c r="U5448" s="191"/>
      <c r="V5448" s="191">
        <v>27840</v>
      </c>
      <c r="W5448">
        <v>323</v>
      </c>
      <c r="X5448" s="186" t="s">
        <v>135</v>
      </c>
      <c r="Y5448" s="187" t="s">
        <v>55</v>
      </c>
      <c r="Z5448" s="311">
        <v>272</v>
      </c>
      <c r="AB5448" t="str">
        <f>IF(Table1[[#This Row],[TIPO2]]="costo", VLOOKUP(Table1[[#This Row],[PARTIDA PRESUPUESTAL]],'Cost Report'!G:G,1,0),"Balance")</f>
        <v>2011-006</v>
      </c>
      <c r="AD5448" s="159">
        <f>+Table1[[#This Row],[SUBTOTAL]]+Table1[[#This Row],[IVA]]-Table1[[#This Row],[RET IVA]]-Table1[[#This Row],[RET ISR]]-Table1[[#This Row],[TOTAL]]</f>
        <v>0</v>
      </c>
      <c r="AK5448" s="306" t="str">
        <f>IF(ISNUMBER(Table1[[#This Row],[FECHA DE RECIBIDO]]), Table1[[#This Row],[FECHA DE RECIBIDO]]-DATE(2023,8,30), "")</f>
        <v/>
      </c>
    </row>
    <row r="5449" spans="1:37" ht="16.05" customHeight="1">
      <c r="A5449" s="172"/>
      <c r="B5449" s="178">
        <v>1864</v>
      </c>
      <c r="C5449" s="179" t="s">
        <v>2402</v>
      </c>
      <c r="D5449">
        <v>3686</v>
      </c>
      <c r="E5449" s="125" t="s">
        <v>1605</v>
      </c>
      <c r="F5449" s="178">
        <v>601</v>
      </c>
      <c r="G5449" s="178" t="s">
        <v>134</v>
      </c>
      <c r="H5449">
        <v>5</v>
      </c>
      <c r="I5449" s="178" t="s">
        <v>1546</v>
      </c>
      <c r="J5449" s="320" t="s">
        <v>214</v>
      </c>
      <c r="K5449" s="178" t="s">
        <v>4872</v>
      </c>
      <c r="L5449" s="125" t="s">
        <v>3306</v>
      </c>
      <c r="M5449">
        <v>5</v>
      </c>
      <c r="N5449" s="182">
        <v>0</v>
      </c>
      <c r="O5449">
        <v>3525</v>
      </c>
      <c r="P5449" s="132" t="s">
        <v>77</v>
      </c>
      <c r="Q5449" s="176">
        <v>20000</v>
      </c>
      <c r="R5449" s="176">
        <v>3200</v>
      </c>
      <c r="S5449" s="176"/>
      <c r="T5449" s="190"/>
      <c r="U5449" s="191"/>
      <c r="V5449" s="191">
        <v>23200</v>
      </c>
      <c r="W5449">
        <v>323</v>
      </c>
      <c r="X5449" s="186" t="s">
        <v>135</v>
      </c>
      <c r="Y5449" s="187" t="s">
        <v>55</v>
      </c>
      <c r="Z5449" s="311">
        <v>272</v>
      </c>
      <c r="AB5449" t="str">
        <f>IF(Table1[[#This Row],[TIPO2]]="costo", VLOOKUP(Table1[[#This Row],[PARTIDA PRESUPUESTAL]],'Cost Report'!G:G,1,0),"Balance")</f>
        <v>2011-014</v>
      </c>
      <c r="AD5449" s="159">
        <f>+Table1[[#This Row],[SUBTOTAL]]+Table1[[#This Row],[IVA]]-Table1[[#This Row],[RET IVA]]-Table1[[#This Row],[RET ISR]]-Table1[[#This Row],[TOTAL]]</f>
        <v>0</v>
      </c>
      <c r="AK5449" s="306" t="str">
        <f>IF(ISNUMBER(Table1[[#This Row],[FECHA DE RECIBIDO]]), Table1[[#This Row],[FECHA DE RECIBIDO]]-DATE(2023,8,30), "")</f>
        <v/>
      </c>
    </row>
    <row r="5450" spans="1:37" ht="16.05" customHeight="1">
      <c r="A5450" s="172"/>
      <c r="B5450" s="178">
        <v>1866</v>
      </c>
      <c r="C5450" s="179" t="s">
        <v>3089</v>
      </c>
      <c r="D5450">
        <v>3687</v>
      </c>
      <c r="E5450" s="125" t="s">
        <v>1605</v>
      </c>
      <c r="F5450" s="178">
        <v>601</v>
      </c>
      <c r="G5450" s="178" t="s">
        <v>134</v>
      </c>
      <c r="H5450">
        <v>5</v>
      </c>
      <c r="I5450" s="178" t="s">
        <v>1546</v>
      </c>
      <c r="J5450" s="320" t="s">
        <v>214</v>
      </c>
      <c r="K5450" s="178" t="s">
        <v>4872</v>
      </c>
      <c r="L5450" s="125" t="s">
        <v>3306</v>
      </c>
      <c r="M5450">
        <v>5</v>
      </c>
      <c r="N5450" s="182">
        <v>0</v>
      </c>
      <c r="O5450">
        <v>3526</v>
      </c>
      <c r="P5450" s="132" t="s">
        <v>77</v>
      </c>
      <c r="Q5450" s="176">
        <v>11000</v>
      </c>
      <c r="R5450" s="176">
        <v>1760</v>
      </c>
      <c r="S5450" s="176"/>
      <c r="T5450" s="190"/>
      <c r="U5450" s="191"/>
      <c r="V5450" s="191">
        <v>12760</v>
      </c>
      <c r="W5450">
        <v>323</v>
      </c>
      <c r="X5450" s="186" t="s">
        <v>135</v>
      </c>
      <c r="Y5450" s="187" t="s">
        <v>55</v>
      </c>
      <c r="Z5450" s="311">
        <v>272</v>
      </c>
      <c r="AB5450" t="str">
        <f>IF(Table1[[#This Row],[TIPO2]]="costo", VLOOKUP(Table1[[#This Row],[PARTIDA PRESUPUESTAL]],'Cost Report'!G:G,1,0),"Balance")</f>
        <v>7001-006</v>
      </c>
      <c r="AD5450" s="159">
        <f>+Table1[[#This Row],[SUBTOTAL]]+Table1[[#This Row],[IVA]]-Table1[[#This Row],[RET IVA]]-Table1[[#This Row],[RET ISR]]-Table1[[#This Row],[TOTAL]]</f>
        <v>0</v>
      </c>
      <c r="AK5450" s="306" t="str">
        <f>IF(ISNUMBER(Table1[[#This Row],[FECHA DE RECIBIDO]]), Table1[[#This Row],[FECHA DE RECIBIDO]]-DATE(2023,8,30), "")</f>
        <v/>
      </c>
    </row>
    <row r="5451" spans="1:37" ht="16.05" customHeight="1">
      <c r="A5451" s="172"/>
      <c r="B5451" s="178">
        <v>1867</v>
      </c>
      <c r="C5451" s="179" t="s">
        <v>2408</v>
      </c>
      <c r="D5451">
        <v>3688</v>
      </c>
      <c r="E5451" s="125" t="s">
        <v>1605</v>
      </c>
      <c r="F5451" s="178">
        <v>601</v>
      </c>
      <c r="G5451" s="178" t="s">
        <v>134</v>
      </c>
      <c r="H5451">
        <v>5</v>
      </c>
      <c r="I5451" s="178" t="s">
        <v>1546</v>
      </c>
      <c r="J5451" s="320" t="s">
        <v>214</v>
      </c>
      <c r="K5451" s="178" t="s">
        <v>4872</v>
      </c>
      <c r="L5451" s="125" t="s">
        <v>3306</v>
      </c>
      <c r="M5451">
        <v>5</v>
      </c>
      <c r="N5451" s="182">
        <v>0</v>
      </c>
      <c r="O5451">
        <v>3527</v>
      </c>
      <c r="P5451" s="132" t="s">
        <v>77</v>
      </c>
      <c r="Q5451" s="176">
        <v>11000</v>
      </c>
      <c r="R5451" s="176">
        <v>1760</v>
      </c>
      <c r="S5451" s="176"/>
      <c r="T5451" s="190"/>
      <c r="U5451" s="191"/>
      <c r="V5451" s="191">
        <v>12760</v>
      </c>
      <c r="W5451">
        <v>323</v>
      </c>
      <c r="X5451" s="186" t="s">
        <v>135</v>
      </c>
      <c r="Y5451" s="187" t="s">
        <v>55</v>
      </c>
      <c r="Z5451" s="311">
        <v>272</v>
      </c>
      <c r="AB5451" t="str">
        <f>IF(Table1[[#This Row],[TIPO2]]="costo", VLOOKUP(Table1[[#This Row],[PARTIDA PRESUPUESTAL]],'Cost Report'!G:G,1,0),"Balance")</f>
        <v>2011-022</v>
      </c>
      <c r="AD5451" s="159">
        <f>+Table1[[#This Row],[SUBTOTAL]]+Table1[[#This Row],[IVA]]-Table1[[#This Row],[RET IVA]]-Table1[[#This Row],[RET ISR]]-Table1[[#This Row],[TOTAL]]</f>
        <v>0</v>
      </c>
      <c r="AK5451" s="306" t="str">
        <f>IF(ISNUMBER(Table1[[#This Row],[FECHA DE RECIBIDO]]), Table1[[#This Row],[FECHA DE RECIBIDO]]-DATE(2023,8,30), "")</f>
        <v/>
      </c>
    </row>
    <row r="5452" spans="1:37" ht="16.05" customHeight="1">
      <c r="A5452" s="172" t="s">
        <v>4895</v>
      </c>
      <c r="B5452" s="178">
        <v>1869</v>
      </c>
      <c r="C5452" s="179" t="s">
        <v>963</v>
      </c>
      <c r="D5452">
        <v>3689</v>
      </c>
      <c r="E5452" s="125" t="s">
        <v>4206</v>
      </c>
      <c r="F5452" s="178" t="s">
        <v>1589</v>
      </c>
      <c r="G5452" s="178" t="e">
        <v>#N/A</v>
      </c>
      <c r="H5452">
        <v>910</v>
      </c>
      <c r="I5452" s="178" t="s">
        <v>1546</v>
      </c>
      <c r="J5452" s="320" t="s">
        <v>214</v>
      </c>
      <c r="K5452" s="178" t="s">
        <v>4872</v>
      </c>
      <c r="L5452" s="125" t="s">
        <v>3306</v>
      </c>
      <c r="M5452">
        <v>1271</v>
      </c>
      <c r="N5452" s="182">
        <v>1</v>
      </c>
      <c r="O5452">
        <v>3505</v>
      </c>
      <c r="P5452" s="132" t="s">
        <v>77</v>
      </c>
      <c r="Q5452" s="176">
        <v>20300</v>
      </c>
      <c r="R5452" s="176">
        <v>3248</v>
      </c>
      <c r="S5452" s="176"/>
      <c r="T5452" s="190">
        <v>2165.34</v>
      </c>
      <c r="U5452" s="191">
        <v>2030</v>
      </c>
      <c r="V5452" s="191">
        <v>19352.66</v>
      </c>
      <c r="W5452">
        <v>442</v>
      </c>
      <c r="X5452" s="186" t="s">
        <v>1429</v>
      </c>
      <c r="Y5452" s="187" t="s">
        <v>55</v>
      </c>
      <c r="Z5452" s="311">
        <v>275</v>
      </c>
      <c r="AB5452" t="str">
        <f>IF(Table1[[#This Row],[TIPO2]]="costo", VLOOKUP(Table1[[#This Row],[PARTIDA PRESUPUESTAL]],'Cost Report'!G:G,1,0),"Balance")</f>
        <v>3407-005</v>
      </c>
      <c r="AD5452" s="159">
        <f>+Table1[[#This Row],[SUBTOTAL]]+Table1[[#This Row],[IVA]]-Table1[[#This Row],[RET IVA]]-Table1[[#This Row],[RET ISR]]-Table1[[#This Row],[TOTAL]]</f>
        <v>0</v>
      </c>
      <c r="AK5452" s="306" t="str">
        <f>IF(ISNUMBER(Table1[[#This Row],[FECHA DE RECIBIDO]]), Table1[[#This Row],[FECHA DE RECIBIDO]]-DATE(2023,8,30), "")</f>
        <v/>
      </c>
    </row>
    <row r="5453" spans="1:37" ht="16.05" customHeight="1">
      <c r="A5453" s="172" t="s">
        <v>4896</v>
      </c>
      <c r="B5453" s="178">
        <v>1870</v>
      </c>
      <c r="C5453" s="179" t="s">
        <v>2735</v>
      </c>
      <c r="D5453">
        <v>3690</v>
      </c>
      <c r="E5453" s="125">
        <v>44960</v>
      </c>
      <c r="F5453" s="178" t="s">
        <v>1589</v>
      </c>
      <c r="G5453" s="178" t="e">
        <v>#N/A</v>
      </c>
      <c r="H5453">
        <v>264</v>
      </c>
      <c r="I5453" s="178" t="s">
        <v>1546</v>
      </c>
      <c r="J5453" s="320">
        <v>271.69478009259183</v>
      </c>
      <c r="K5453" s="178" t="s">
        <v>4872</v>
      </c>
      <c r="L5453" s="125" t="s">
        <v>3306</v>
      </c>
      <c r="M5453">
        <v>351</v>
      </c>
      <c r="N5453" s="182">
        <v>1</v>
      </c>
      <c r="O5453">
        <v>3528</v>
      </c>
      <c r="P5453" s="132" t="s">
        <v>77</v>
      </c>
      <c r="Q5453" s="176">
        <v>30357</v>
      </c>
      <c r="R5453" s="176">
        <v>4857.12</v>
      </c>
      <c r="S5453" s="176"/>
      <c r="T5453" s="190">
        <v>3238.09</v>
      </c>
      <c r="U5453" s="191">
        <v>3035.7</v>
      </c>
      <c r="V5453" s="191">
        <v>28940.33</v>
      </c>
      <c r="W5453">
        <v>164</v>
      </c>
      <c r="X5453" s="186" t="s">
        <v>1429</v>
      </c>
      <c r="Y5453" s="187" t="s">
        <v>55</v>
      </c>
      <c r="Z5453" s="311">
        <v>275</v>
      </c>
      <c r="AB5453" t="str">
        <f>IF(Table1[[#This Row],[TIPO2]]="costo", VLOOKUP(Table1[[#This Row],[PARTIDA PRESUPUESTAL]],'Cost Report'!G:G,1,0),"Balance")</f>
        <v>3198-003</v>
      </c>
      <c r="AD5453" s="159">
        <f>+Table1[[#This Row],[SUBTOTAL]]+Table1[[#This Row],[IVA]]-Table1[[#This Row],[RET IVA]]-Table1[[#This Row],[RET ISR]]-Table1[[#This Row],[TOTAL]]</f>
        <v>0</v>
      </c>
      <c r="AK5453" s="306">
        <f>IF(ISNUMBER(Table1[[#This Row],[FECHA DE RECIBIDO]]), Table1[[#This Row],[FECHA DE RECIBIDO]]-DATE(2023,8,30), "")</f>
        <v>-44896.305219907408</v>
      </c>
    </row>
    <row r="5454" spans="1:37" ht="16.05" customHeight="1">
      <c r="A5454" s="172" t="s">
        <v>4897</v>
      </c>
      <c r="B5454" s="178">
        <v>1871</v>
      </c>
      <c r="C5454" s="179" t="s">
        <v>1142</v>
      </c>
      <c r="D5454">
        <v>3691</v>
      </c>
      <c r="E5454" s="125">
        <v>45110</v>
      </c>
      <c r="F5454" s="178" t="s">
        <v>1607</v>
      </c>
      <c r="G5454" s="178" t="e">
        <v>#N/A</v>
      </c>
      <c r="H5454">
        <v>24</v>
      </c>
      <c r="I5454" s="178" t="s">
        <v>1546</v>
      </c>
      <c r="J5454" s="320">
        <v>273.67425925925636</v>
      </c>
      <c r="K5454" s="178" t="s">
        <v>4872</v>
      </c>
      <c r="L5454" s="125" t="s">
        <v>3306</v>
      </c>
      <c r="M5454">
        <v>620</v>
      </c>
      <c r="N5454" s="182">
        <v>1</v>
      </c>
      <c r="O5454">
        <v>3529</v>
      </c>
      <c r="P5454" s="132" t="s">
        <v>77</v>
      </c>
      <c r="Q5454" s="176">
        <v>187375.6</v>
      </c>
      <c r="R5454" s="176">
        <v>29980.1</v>
      </c>
      <c r="S5454" s="176"/>
      <c r="T5454" s="190"/>
      <c r="U5454" s="191"/>
      <c r="V5454" s="191">
        <v>217355.7</v>
      </c>
      <c r="W5454">
        <v>26</v>
      </c>
      <c r="X5454" s="186" t="s">
        <v>1430</v>
      </c>
      <c r="Y5454" s="187" t="s">
        <v>55</v>
      </c>
      <c r="Z5454" s="311">
        <v>275</v>
      </c>
      <c r="AB5454" t="str">
        <f>IF(Table1[[#This Row],[TIPO2]]="costo", VLOOKUP(Table1[[#This Row],[PARTIDA PRESUPUESTAL]],'Cost Report'!G:G,1,0),"Balance")</f>
        <v>3902-008</v>
      </c>
      <c r="AD5454" s="159">
        <f>+Table1[[#This Row],[SUBTOTAL]]+Table1[[#This Row],[IVA]]-Table1[[#This Row],[RET IVA]]-Table1[[#This Row],[RET ISR]]-Table1[[#This Row],[TOTAL]]</f>
        <v>0</v>
      </c>
      <c r="AK5454" s="306">
        <f>IF(ISNUMBER(Table1[[#This Row],[FECHA DE RECIBIDO]]), Table1[[#This Row],[FECHA DE RECIBIDO]]-DATE(2023,8,30), "")</f>
        <v>-44894.325740740744</v>
      </c>
    </row>
    <row r="5455" spans="1:37" ht="16.05" customHeight="1">
      <c r="A5455" s="172"/>
      <c r="B5455" s="178">
        <v>1871</v>
      </c>
      <c r="C5455" s="179" t="s">
        <v>1143</v>
      </c>
      <c r="D5455">
        <v>3691</v>
      </c>
      <c r="E5455" s="125">
        <v>45110</v>
      </c>
      <c r="F5455" s="178" t="s">
        <v>1607</v>
      </c>
      <c r="G5455" s="178" t="e">
        <v>#N/A</v>
      </c>
      <c r="H5455">
        <v>24</v>
      </c>
      <c r="I5455" s="178" t="s">
        <v>1546</v>
      </c>
      <c r="J5455" s="320">
        <v>273.67425925925636</v>
      </c>
      <c r="K5455" s="178" t="s">
        <v>4872</v>
      </c>
      <c r="L5455" s="125" t="s">
        <v>3306</v>
      </c>
      <c r="M5455">
        <v>620</v>
      </c>
      <c r="N5455" s="182">
        <v>1</v>
      </c>
      <c r="O5455">
        <v>3529</v>
      </c>
      <c r="P5455" s="132" t="s">
        <v>77</v>
      </c>
      <c r="Q5455" s="176">
        <v>93687.8</v>
      </c>
      <c r="R5455" s="176">
        <v>14990.05</v>
      </c>
      <c r="S5455" s="176"/>
      <c r="T5455" s="190"/>
      <c r="U5455" s="191"/>
      <c r="V5455" s="191">
        <v>108677.85</v>
      </c>
      <c r="W5455">
        <v>26</v>
      </c>
      <c r="X5455" s="186" t="s">
        <v>1430</v>
      </c>
      <c r="Y5455" s="187" t="s">
        <v>55</v>
      </c>
      <c r="Z5455" s="311">
        <v>275</v>
      </c>
      <c r="AB5455" t="str">
        <f>IF(Table1[[#This Row],[TIPO2]]="costo", VLOOKUP(Table1[[#This Row],[PARTIDA PRESUPUESTAL]],'Cost Report'!G:G,1,0),"Balance")</f>
        <v>3902-009</v>
      </c>
      <c r="AD5455" s="159">
        <f>+Table1[[#This Row],[SUBTOTAL]]+Table1[[#This Row],[IVA]]-Table1[[#This Row],[RET IVA]]-Table1[[#This Row],[RET ISR]]-Table1[[#This Row],[TOTAL]]</f>
        <v>0</v>
      </c>
      <c r="AK5455" s="306">
        <f>IF(ISNUMBER(Table1[[#This Row],[FECHA DE RECIBIDO]]), Table1[[#This Row],[FECHA DE RECIBIDO]]-DATE(2023,8,30), "")</f>
        <v>-44894.325740740744</v>
      </c>
    </row>
    <row r="5456" spans="1:37" ht="16.05" customHeight="1">
      <c r="A5456" s="172" t="s">
        <v>4898</v>
      </c>
      <c r="B5456" s="178">
        <v>1872</v>
      </c>
      <c r="C5456" s="179" t="s">
        <v>963</v>
      </c>
      <c r="D5456">
        <v>3692</v>
      </c>
      <c r="E5456" s="125" t="s">
        <v>4874</v>
      </c>
      <c r="F5456" s="178">
        <v>626</v>
      </c>
      <c r="G5456" s="178" t="s">
        <v>109</v>
      </c>
      <c r="H5456">
        <v>907</v>
      </c>
      <c r="I5456" s="178" t="s">
        <v>1546</v>
      </c>
      <c r="J5456" s="320" t="s">
        <v>214</v>
      </c>
      <c r="K5456" s="178" t="s">
        <v>4872</v>
      </c>
      <c r="L5456" s="125" t="s">
        <v>3306</v>
      </c>
      <c r="M5456">
        <v>1268</v>
      </c>
      <c r="N5456" s="182">
        <v>1</v>
      </c>
      <c r="O5456">
        <v>3507</v>
      </c>
      <c r="P5456" s="132" t="s">
        <v>77</v>
      </c>
      <c r="Q5456" s="176">
        <v>3500</v>
      </c>
      <c r="R5456" s="176">
        <v>560</v>
      </c>
      <c r="S5456" s="176"/>
      <c r="T5456" s="190">
        <v>373.33</v>
      </c>
      <c r="U5456" s="191">
        <v>43.75</v>
      </c>
      <c r="V5456" s="191">
        <v>3642.92</v>
      </c>
      <c r="W5456">
        <v>439</v>
      </c>
      <c r="X5456" s="186" t="s">
        <v>1429</v>
      </c>
      <c r="Y5456" s="187" t="s">
        <v>55</v>
      </c>
      <c r="Z5456" s="311">
        <v>275</v>
      </c>
      <c r="AB5456" t="str">
        <f>IF(Table1[[#This Row],[TIPO2]]="costo", VLOOKUP(Table1[[#This Row],[PARTIDA PRESUPUESTAL]],'Cost Report'!G:G,1,0),"Balance")</f>
        <v>3407-005</v>
      </c>
      <c r="AD5456" s="159">
        <f>+Table1[[#This Row],[SUBTOTAL]]+Table1[[#This Row],[IVA]]-Table1[[#This Row],[RET IVA]]-Table1[[#This Row],[RET ISR]]-Table1[[#This Row],[TOTAL]]</f>
        <v>0</v>
      </c>
      <c r="AK5456" s="306" t="str">
        <f>IF(ISNUMBER(Table1[[#This Row],[FECHA DE RECIBIDO]]), Table1[[#This Row],[FECHA DE RECIBIDO]]-DATE(2023,8,30), "")</f>
        <v/>
      </c>
    </row>
    <row r="5457" spans="1:37" ht="16.05" customHeight="1">
      <c r="A5457" s="172" t="s">
        <v>4899</v>
      </c>
      <c r="B5457" s="178">
        <v>1873</v>
      </c>
      <c r="C5457" s="179" t="s">
        <v>2719</v>
      </c>
      <c r="D5457">
        <v>3693</v>
      </c>
      <c r="E5457" s="125" t="s">
        <v>1609</v>
      </c>
      <c r="F5457" s="178">
        <v>601</v>
      </c>
      <c r="G5457" s="178" t="s">
        <v>134</v>
      </c>
      <c r="H5457">
        <v>479</v>
      </c>
      <c r="I5457" s="178" t="s">
        <v>1546</v>
      </c>
      <c r="J5457" s="320" t="s">
        <v>214</v>
      </c>
      <c r="K5457" s="178" t="s">
        <v>4872</v>
      </c>
      <c r="L5457" s="125" t="s">
        <v>3306</v>
      </c>
      <c r="M5457">
        <v>700</v>
      </c>
      <c r="N5457" s="182">
        <v>1</v>
      </c>
      <c r="O5457">
        <v>3530</v>
      </c>
      <c r="P5457" s="132" t="s">
        <v>77</v>
      </c>
      <c r="Q5457" s="176">
        <v>8000</v>
      </c>
      <c r="R5457" s="176">
        <v>1280</v>
      </c>
      <c r="S5457" s="176"/>
      <c r="T5457" s="190">
        <v>0</v>
      </c>
      <c r="U5457" s="191">
        <v>0</v>
      </c>
      <c r="V5457" s="191">
        <v>9280</v>
      </c>
      <c r="W5457">
        <v>249</v>
      </c>
      <c r="X5457" s="186" t="s">
        <v>1429</v>
      </c>
      <c r="Y5457" s="187" t="s">
        <v>55</v>
      </c>
      <c r="Z5457" s="311">
        <v>275</v>
      </c>
      <c r="AB5457" t="str">
        <f>IF(Table1[[#This Row],[TIPO2]]="costo", VLOOKUP(Table1[[#This Row],[PARTIDA PRESUPUESTAL]],'Cost Report'!G:G,1,0),"Balance")</f>
        <v>3193-094</v>
      </c>
      <c r="AD5457" s="159">
        <f>+Table1[[#This Row],[SUBTOTAL]]+Table1[[#This Row],[IVA]]-Table1[[#This Row],[RET IVA]]-Table1[[#This Row],[RET ISR]]-Table1[[#This Row],[TOTAL]]</f>
        <v>0</v>
      </c>
      <c r="AK5457" s="306" t="str">
        <f>IF(ISNUMBER(Table1[[#This Row],[FECHA DE RECIBIDO]]), Table1[[#This Row],[FECHA DE RECIBIDO]]-DATE(2023,8,30), "")</f>
        <v/>
      </c>
    </row>
    <row r="5458" spans="1:37" ht="16.05" customHeight="1">
      <c r="A5458" s="172" t="s">
        <v>4900</v>
      </c>
      <c r="B5458" s="178">
        <v>1874</v>
      </c>
      <c r="C5458" s="179" t="s">
        <v>1155</v>
      </c>
      <c r="D5458">
        <v>3694</v>
      </c>
      <c r="E5458" s="125">
        <v>44520</v>
      </c>
      <c r="F5458" s="178" t="s">
        <v>1607</v>
      </c>
      <c r="G5458" s="178" t="e">
        <v>#N/A</v>
      </c>
      <c r="H5458">
        <v>47</v>
      </c>
      <c r="I5458" s="178" t="s">
        <v>1546</v>
      </c>
      <c r="J5458" s="320">
        <v>274.55083333333459</v>
      </c>
      <c r="K5458" s="178" t="s">
        <v>4872</v>
      </c>
      <c r="L5458" s="125" t="s">
        <v>3306</v>
      </c>
      <c r="M5458">
        <v>448</v>
      </c>
      <c r="N5458" s="182">
        <v>1</v>
      </c>
      <c r="O5458">
        <v>3531</v>
      </c>
      <c r="P5458" s="132" t="s">
        <v>77</v>
      </c>
      <c r="Q5458" s="176">
        <v>11470.62</v>
      </c>
      <c r="R5458" s="176">
        <v>1835.3</v>
      </c>
      <c r="S5458" s="176"/>
      <c r="T5458" s="190"/>
      <c r="U5458" s="191"/>
      <c r="V5458" s="191">
        <v>13305.92</v>
      </c>
      <c r="W5458">
        <v>36</v>
      </c>
      <c r="X5458" s="186" t="s">
        <v>1430</v>
      </c>
      <c r="Y5458" s="187" t="s">
        <v>55</v>
      </c>
      <c r="Z5458" s="311">
        <v>275</v>
      </c>
      <c r="AB5458" t="str">
        <f>IF(Table1[[#This Row],[TIPO2]]="costo", VLOOKUP(Table1[[#This Row],[PARTIDA PRESUPUESTAL]],'Cost Report'!G:G,1,0),"Balance")</f>
        <v>3902-027</v>
      </c>
      <c r="AD5458" s="159">
        <f>+Table1[[#This Row],[SUBTOTAL]]+Table1[[#This Row],[IVA]]-Table1[[#This Row],[RET IVA]]-Table1[[#This Row],[RET ISR]]-Table1[[#This Row],[TOTAL]]</f>
        <v>0</v>
      </c>
      <c r="AK5458" s="306">
        <f>IF(ISNUMBER(Table1[[#This Row],[FECHA DE RECIBIDO]]), Table1[[#This Row],[FECHA DE RECIBIDO]]-DATE(2023,8,30), "")</f>
        <v>-44893.449166666665</v>
      </c>
    </row>
    <row r="5459" spans="1:37" ht="16.05" customHeight="1">
      <c r="A5459" s="172"/>
      <c r="B5459" s="178">
        <v>1874</v>
      </c>
      <c r="C5459" s="179" t="s">
        <v>2957</v>
      </c>
      <c r="D5459">
        <v>3694</v>
      </c>
      <c r="E5459" s="125">
        <v>44520</v>
      </c>
      <c r="F5459" s="178" t="s">
        <v>1607</v>
      </c>
      <c r="G5459" s="178" t="e">
        <v>#N/A</v>
      </c>
      <c r="H5459">
        <v>47</v>
      </c>
      <c r="I5459" s="178" t="s">
        <v>1546</v>
      </c>
      <c r="J5459" s="320">
        <v>274.55083333333459</v>
      </c>
      <c r="K5459" s="178" t="s">
        <v>4872</v>
      </c>
      <c r="L5459" s="125" t="s">
        <v>3306</v>
      </c>
      <c r="M5459">
        <v>448</v>
      </c>
      <c r="N5459" s="182">
        <v>1</v>
      </c>
      <c r="O5459">
        <v>3531</v>
      </c>
      <c r="P5459" s="132" t="s">
        <v>77</v>
      </c>
      <c r="Q5459" s="176">
        <v>15882.3</v>
      </c>
      <c r="R5459" s="176">
        <v>2541.17</v>
      </c>
      <c r="S5459" s="176"/>
      <c r="T5459" s="190"/>
      <c r="U5459" s="191"/>
      <c r="V5459" s="191">
        <v>18423.47</v>
      </c>
      <c r="W5459">
        <v>36</v>
      </c>
      <c r="X5459" s="186" t="s">
        <v>1430</v>
      </c>
      <c r="Y5459" s="187" t="s">
        <v>55</v>
      </c>
      <c r="Z5459" s="311">
        <v>275</v>
      </c>
      <c r="AB5459" t="str">
        <f>IF(Table1[[#This Row],[TIPO2]]="costo", VLOOKUP(Table1[[#This Row],[PARTIDA PRESUPUESTAL]],'Cost Report'!G:G,1,0),"Balance")</f>
        <v>3902-033</v>
      </c>
      <c r="AD5459" s="159">
        <f>+Table1[[#This Row],[SUBTOTAL]]+Table1[[#This Row],[IVA]]-Table1[[#This Row],[RET IVA]]-Table1[[#This Row],[RET ISR]]-Table1[[#This Row],[TOTAL]]</f>
        <v>0</v>
      </c>
      <c r="AK5459" s="306">
        <f>IF(ISNUMBER(Table1[[#This Row],[FECHA DE RECIBIDO]]), Table1[[#This Row],[FECHA DE RECIBIDO]]-DATE(2023,8,30), "")</f>
        <v>-44893.449166666665</v>
      </c>
    </row>
    <row r="5460" spans="1:37" ht="16.05" customHeight="1">
      <c r="A5460" s="172"/>
      <c r="B5460" s="178">
        <v>1874</v>
      </c>
      <c r="C5460" s="179" t="s">
        <v>2961</v>
      </c>
      <c r="D5460">
        <v>3694</v>
      </c>
      <c r="E5460" s="125">
        <v>44520</v>
      </c>
      <c r="F5460" s="178" t="s">
        <v>1607</v>
      </c>
      <c r="G5460" s="178" t="e">
        <v>#N/A</v>
      </c>
      <c r="H5460">
        <v>47</v>
      </c>
      <c r="I5460" s="178" t="s">
        <v>1546</v>
      </c>
      <c r="J5460" s="320">
        <v>274.55083333333459</v>
      </c>
      <c r="K5460" s="178" t="s">
        <v>4872</v>
      </c>
      <c r="L5460" s="125" t="s">
        <v>3306</v>
      </c>
      <c r="M5460">
        <v>448</v>
      </c>
      <c r="N5460" s="182">
        <v>1</v>
      </c>
      <c r="O5460">
        <v>3531</v>
      </c>
      <c r="P5460" s="132" t="s">
        <v>77</v>
      </c>
      <c r="Q5460" s="176">
        <v>5090.8599999999997</v>
      </c>
      <c r="R5460" s="176">
        <v>814.54</v>
      </c>
      <c r="S5460" s="176"/>
      <c r="T5460" s="190"/>
      <c r="U5460" s="191"/>
      <c r="V5460" s="191">
        <v>5905.4</v>
      </c>
      <c r="W5460">
        <v>36</v>
      </c>
      <c r="X5460" s="186" t="s">
        <v>1430</v>
      </c>
      <c r="Y5460" s="187" t="s">
        <v>55</v>
      </c>
      <c r="Z5460" s="311">
        <v>275</v>
      </c>
      <c r="AB5460" t="str">
        <f>IF(Table1[[#This Row],[TIPO2]]="costo", VLOOKUP(Table1[[#This Row],[PARTIDA PRESUPUESTAL]],'Cost Report'!G:G,1,0),"Balance")</f>
        <v>3902-039</v>
      </c>
      <c r="AD5460" s="159">
        <f>+Table1[[#This Row],[SUBTOTAL]]+Table1[[#This Row],[IVA]]-Table1[[#This Row],[RET IVA]]-Table1[[#This Row],[RET ISR]]-Table1[[#This Row],[TOTAL]]</f>
        <v>0</v>
      </c>
      <c r="AK5460" s="306">
        <f>IF(ISNUMBER(Table1[[#This Row],[FECHA DE RECIBIDO]]), Table1[[#This Row],[FECHA DE RECIBIDO]]-DATE(2023,8,30), "")</f>
        <v>-44893.449166666665</v>
      </c>
    </row>
    <row r="5461" spans="1:37" ht="16.05" customHeight="1">
      <c r="A5461" s="172"/>
      <c r="B5461" s="178">
        <v>1874</v>
      </c>
      <c r="C5461" s="179" t="s">
        <v>1155</v>
      </c>
      <c r="D5461">
        <v>3694</v>
      </c>
      <c r="E5461" s="125">
        <v>44520</v>
      </c>
      <c r="F5461" s="178" t="s">
        <v>1607</v>
      </c>
      <c r="G5461" s="178" t="e">
        <v>#N/A</v>
      </c>
      <c r="H5461">
        <v>47</v>
      </c>
      <c r="I5461" s="178" t="s">
        <v>1546</v>
      </c>
      <c r="J5461" s="320">
        <v>274.55083333333459</v>
      </c>
      <c r="K5461" s="178" t="s">
        <v>4872</v>
      </c>
      <c r="L5461" s="125" t="s">
        <v>3306</v>
      </c>
      <c r="M5461">
        <v>448</v>
      </c>
      <c r="N5461" s="182">
        <v>1</v>
      </c>
      <c r="O5461">
        <v>3531</v>
      </c>
      <c r="P5461" s="132" t="s">
        <v>77</v>
      </c>
      <c r="Q5461" s="176">
        <v>24275.55</v>
      </c>
      <c r="R5461" s="176">
        <v>3884.09</v>
      </c>
      <c r="S5461" s="176"/>
      <c r="T5461" s="190"/>
      <c r="U5461" s="191"/>
      <c r="V5461" s="191">
        <v>28159.64</v>
      </c>
      <c r="W5461">
        <v>36</v>
      </c>
      <c r="X5461" s="186" t="s">
        <v>1430</v>
      </c>
      <c r="Y5461" s="187" t="s">
        <v>55</v>
      </c>
      <c r="Z5461" s="311">
        <v>275</v>
      </c>
      <c r="AB5461" t="str">
        <f>IF(Table1[[#This Row],[TIPO2]]="costo", VLOOKUP(Table1[[#This Row],[PARTIDA PRESUPUESTAL]],'Cost Report'!G:G,1,0),"Balance")</f>
        <v>3902-027</v>
      </c>
      <c r="AD5461" s="159">
        <f>+Table1[[#This Row],[SUBTOTAL]]+Table1[[#This Row],[IVA]]-Table1[[#This Row],[RET IVA]]-Table1[[#This Row],[RET ISR]]-Table1[[#This Row],[TOTAL]]</f>
        <v>0</v>
      </c>
      <c r="AK5461" s="306">
        <f>IF(ISNUMBER(Table1[[#This Row],[FECHA DE RECIBIDO]]), Table1[[#This Row],[FECHA DE RECIBIDO]]-DATE(2023,8,30), "")</f>
        <v>-44893.449166666665</v>
      </c>
    </row>
    <row r="5462" spans="1:37" ht="16.05" customHeight="1">
      <c r="A5462" s="172"/>
      <c r="B5462" s="178">
        <v>1874</v>
      </c>
      <c r="C5462" s="179" t="s">
        <v>1417</v>
      </c>
      <c r="D5462">
        <v>3694</v>
      </c>
      <c r="E5462" s="125">
        <v>44520</v>
      </c>
      <c r="F5462" s="178" t="s">
        <v>1607</v>
      </c>
      <c r="G5462" s="178" t="e">
        <v>#N/A</v>
      </c>
      <c r="H5462">
        <v>47</v>
      </c>
      <c r="I5462" s="178" t="s">
        <v>1546</v>
      </c>
      <c r="J5462" s="320">
        <v>274.55083333333459</v>
      </c>
      <c r="K5462" s="178" t="s">
        <v>4872</v>
      </c>
      <c r="L5462" s="125" t="s">
        <v>3306</v>
      </c>
      <c r="M5462">
        <v>448</v>
      </c>
      <c r="N5462" s="182">
        <v>1</v>
      </c>
      <c r="O5462">
        <v>3531</v>
      </c>
      <c r="P5462" s="132" t="s">
        <v>77</v>
      </c>
      <c r="Q5462" s="176">
        <v>1701.58</v>
      </c>
      <c r="R5462" s="176"/>
      <c r="S5462" s="176"/>
      <c r="T5462" s="190"/>
      <c r="U5462" s="191"/>
      <c r="V5462" s="191">
        <v>1701.58</v>
      </c>
      <c r="W5462">
        <v>36</v>
      </c>
      <c r="X5462" s="186" t="s">
        <v>1430</v>
      </c>
      <c r="Y5462" s="187" t="s">
        <v>55</v>
      </c>
      <c r="Z5462" s="311">
        <v>275</v>
      </c>
      <c r="AB5462" t="str">
        <f>IF(Table1[[#This Row],[TIPO2]]="costo", VLOOKUP(Table1[[#This Row],[PARTIDA PRESUPUESTAL]],'Cost Report'!G:G,1,0),"Balance")</f>
        <v>3999-001</v>
      </c>
      <c r="AD5462" s="159">
        <f>+Table1[[#This Row],[SUBTOTAL]]+Table1[[#This Row],[IVA]]-Table1[[#This Row],[RET IVA]]-Table1[[#This Row],[RET ISR]]-Table1[[#This Row],[TOTAL]]</f>
        <v>0</v>
      </c>
      <c r="AK5462" s="306">
        <f>IF(ISNUMBER(Table1[[#This Row],[FECHA DE RECIBIDO]]), Table1[[#This Row],[FECHA DE RECIBIDO]]-DATE(2023,8,30), "")</f>
        <v>-44893.449166666665</v>
      </c>
    </row>
    <row r="5463" spans="1:37" ht="16.05" customHeight="1">
      <c r="A5463" s="172" t="s">
        <v>4901</v>
      </c>
      <c r="B5463" s="178">
        <v>1875</v>
      </c>
      <c r="C5463" s="179" t="s">
        <v>2546</v>
      </c>
      <c r="D5463">
        <v>3695</v>
      </c>
      <c r="E5463" s="125">
        <v>44140</v>
      </c>
      <c r="F5463" s="178" t="s">
        <v>1607</v>
      </c>
      <c r="G5463" s="178" t="s">
        <v>134</v>
      </c>
      <c r="H5463">
        <v>212</v>
      </c>
      <c r="I5463" s="178" t="s">
        <v>1546</v>
      </c>
      <c r="J5463" s="320">
        <v>274.43593749999854</v>
      </c>
      <c r="K5463" s="178" t="s">
        <v>4872</v>
      </c>
      <c r="L5463" s="125" t="s">
        <v>3306</v>
      </c>
      <c r="M5463">
        <v>277</v>
      </c>
      <c r="N5463" s="182">
        <v>51</v>
      </c>
      <c r="O5463">
        <v>3532</v>
      </c>
      <c r="P5463" s="132" t="s">
        <v>77</v>
      </c>
      <c r="Q5463" s="176">
        <v>6378.75</v>
      </c>
      <c r="R5463" s="176">
        <v>1020.6</v>
      </c>
      <c r="S5463" s="176"/>
      <c r="T5463" s="190"/>
      <c r="U5463" s="191"/>
      <c r="V5463" s="191">
        <v>7399.35</v>
      </c>
      <c r="W5463">
        <v>133</v>
      </c>
      <c r="X5463" s="186" t="s">
        <v>2035</v>
      </c>
      <c r="Y5463" s="187" t="s">
        <v>55</v>
      </c>
      <c r="Z5463" s="311">
        <v>275</v>
      </c>
      <c r="AB5463" t="str">
        <f>IF(Table1[[#This Row],[TIPO2]]="costo", VLOOKUP(Table1[[#This Row],[PARTIDA PRESUPUESTAL]],'Cost Report'!G:G,1,0),"Balance")</f>
        <v>2494-071</v>
      </c>
      <c r="AD5463" s="159">
        <f>+Table1[[#This Row],[SUBTOTAL]]+Table1[[#This Row],[IVA]]-Table1[[#This Row],[RET IVA]]-Table1[[#This Row],[RET ISR]]-Table1[[#This Row],[TOTAL]]</f>
        <v>0</v>
      </c>
      <c r="AK5463" s="306">
        <f>IF(ISNUMBER(Table1[[#This Row],[FECHA DE RECIBIDO]]), Table1[[#This Row],[FECHA DE RECIBIDO]]-DATE(2023,8,30), "")</f>
        <v>-44893.564062500001</v>
      </c>
    </row>
    <row r="5464" spans="1:37" ht="16.05" customHeight="1">
      <c r="A5464" s="172"/>
      <c r="B5464" s="178">
        <v>1876</v>
      </c>
      <c r="C5464" s="179" t="s">
        <v>2546</v>
      </c>
      <c r="D5464">
        <v>3696</v>
      </c>
      <c r="E5464" s="125">
        <v>44140</v>
      </c>
      <c r="F5464" s="178" t="s">
        <v>1607</v>
      </c>
      <c r="G5464" s="178" t="s">
        <v>134</v>
      </c>
      <c r="H5464">
        <v>212</v>
      </c>
      <c r="I5464" s="178" t="s">
        <v>1546</v>
      </c>
      <c r="J5464" s="320">
        <v>274.43593749999854</v>
      </c>
      <c r="K5464" s="178" t="s">
        <v>4872</v>
      </c>
      <c r="L5464" s="125" t="s">
        <v>3306</v>
      </c>
      <c r="M5464">
        <v>277</v>
      </c>
      <c r="N5464" s="182">
        <v>51</v>
      </c>
      <c r="O5464">
        <v>3532</v>
      </c>
      <c r="P5464" s="132" t="s">
        <v>77</v>
      </c>
      <c r="Q5464" s="176">
        <v>5529.27</v>
      </c>
      <c r="R5464" s="176">
        <v>884.68320000000006</v>
      </c>
      <c r="S5464" s="176"/>
      <c r="T5464" s="190"/>
      <c r="U5464" s="191"/>
      <c r="V5464" s="191">
        <v>6413.9532000000008</v>
      </c>
      <c r="W5464">
        <v>133</v>
      </c>
      <c r="X5464" s="186" t="s">
        <v>2035</v>
      </c>
      <c r="Y5464" s="187" t="s">
        <v>55</v>
      </c>
      <c r="Z5464" s="311">
        <v>275</v>
      </c>
      <c r="AB5464" t="str">
        <f>IF(Table1[[#This Row],[TIPO2]]="costo", VLOOKUP(Table1[[#This Row],[PARTIDA PRESUPUESTAL]],'Cost Report'!G:G,1,0),"Balance")</f>
        <v>2494-071</v>
      </c>
      <c r="AD5464" s="159">
        <f>+Table1[[#This Row],[SUBTOTAL]]+Table1[[#This Row],[IVA]]-Table1[[#This Row],[RET IVA]]-Table1[[#This Row],[RET ISR]]-Table1[[#This Row],[TOTAL]]</f>
        <v>0</v>
      </c>
      <c r="AK5464" s="306">
        <f>IF(ISNUMBER(Table1[[#This Row],[FECHA DE RECIBIDO]]), Table1[[#This Row],[FECHA DE RECIBIDO]]-DATE(2023,8,30), "")</f>
        <v>-44893.564062500001</v>
      </c>
    </row>
    <row r="5465" spans="1:37" ht="16.05" customHeight="1">
      <c r="A5465" s="172" t="s">
        <v>4902</v>
      </c>
      <c r="B5465" s="178">
        <v>1877</v>
      </c>
      <c r="C5465" s="179" t="s">
        <v>2556</v>
      </c>
      <c r="D5465">
        <v>3697</v>
      </c>
      <c r="E5465" s="125">
        <v>45110</v>
      </c>
      <c r="F5465" s="178" t="s">
        <v>1607</v>
      </c>
      <c r="G5465" s="178" t="s">
        <v>134</v>
      </c>
      <c r="H5465">
        <v>449</v>
      </c>
      <c r="I5465" s="178" t="s">
        <v>1546</v>
      </c>
      <c r="J5465" s="320">
        <v>273.68609953703708</v>
      </c>
      <c r="K5465" s="178" t="s">
        <v>4872</v>
      </c>
      <c r="L5465" s="125" t="s">
        <v>3306</v>
      </c>
      <c r="M5465">
        <v>1205</v>
      </c>
      <c r="N5465" s="182">
        <v>51</v>
      </c>
      <c r="O5465">
        <v>3533</v>
      </c>
      <c r="P5465" s="132" t="s">
        <v>77</v>
      </c>
      <c r="Q5465" s="176">
        <v>1100</v>
      </c>
      <c r="R5465" s="176">
        <v>176</v>
      </c>
      <c r="S5465" s="176"/>
      <c r="T5465" s="190"/>
      <c r="U5465" s="191"/>
      <c r="V5465" s="191">
        <v>1276</v>
      </c>
      <c r="W5465">
        <v>235</v>
      </c>
      <c r="X5465" s="186" t="s">
        <v>195</v>
      </c>
      <c r="Y5465" s="187" t="s">
        <v>55</v>
      </c>
      <c r="Z5465" s="311">
        <v>275</v>
      </c>
      <c r="AB5465" t="str">
        <f>IF(Table1[[#This Row],[TIPO2]]="costo", VLOOKUP(Table1[[#This Row],[PARTIDA PRESUPUESTAL]],'Cost Report'!G:G,1,0),"Balance")</f>
        <v>2498-003</v>
      </c>
      <c r="AD5465" s="159">
        <f>+Table1[[#This Row],[SUBTOTAL]]+Table1[[#This Row],[IVA]]-Table1[[#This Row],[RET IVA]]-Table1[[#This Row],[RET ISR]]-Table1[[#This Row],[TOTAL]]</f>
        <v>0</v>
      </c>
      <c r="AK5465" s="306">
        <f>IF(ISNUMBER(Table1[[#This Row],[FECHA DE RECIBIDO]]), Table1[[#This Row],[FECHA DE RECIBIDO]]-DATE(2023,8,30), "")</f>
        <v>-44894.313900462963</v>
      </c>
    </row>
    <row r="5466" spans="1:37" ht="16.05" customHeight="1">
      <c r="A5466" s="172" t="s">
        <v>4903</v>
      </c>
      <c r="B5466" s="178">
        <v>1878</v>
      </c>
      <c r="C5466" s="179" t="s">
        <v>2466</v>
      </c>
      <c r="D5466">
        <v>3698</v>
      </c>
      <c r="E5466" s="125">
        <v>44680</v>
      </c>
      <c r="F5466" s="178" t="s">
        <v>1607</v>
      </c>
      <c r="G5466" s="178" t="s">
        <v>134</v>
      </c>
      <c r="H5466">
        <v>451</v>
      </c>
      <c r="I5466" s="178" t="s">
        <v>1546</v>
      </c>
      <c r="J5466" s="320">
        <v>273.65540509259154</v>
      </c>
      <c r="K5466" s="178" t="s">
        <v>4872</v>
      </c>
      <c r="L5466" s="125" t="s">
        <v>3306</v>
      </c>
      <c r="M5466">
        <v>763</v>
      </c>
      <c r="N5466" s="182">
        <v>51</v>
      </c>
      <c r="O5466">
        <v>3534</v>
      </c>
      <c r="P5466" s="132" t="s">
        <v>77</v>
      </c>
      <c r="Q5466" s="176">
        <v>8327.2000000000007</v>
      </c>
      <c r="R5466" s="176">
        <v>1332.3520000000001</v>
      </c>
      <c r="S5466" s="176"/>
      <c r="T5466" s="190"/>
      <c r="U5466" s="191"/>
      <c r="V5466" s="191">
        <v>9659.5520000000015</v>
      </c>
      <c r="W5466">
        <v>238</v>
      </c>
      <c r="X5466" s="186" t="s">
        <v>2035</v>
      </c>
      <c r="Y5466" s="187" t="s">
        <v>55</v>
      </c>
      <c r="Z5466" s="311">
        <v>275</v>
      </c>
      <c r="AB5466" t="str">
        <f>IF(Table1[[#This Row],[TIPO2]]="costo", VLOOKUP(Table1[[#This Row],[PARTIDA PRESUPUESTAL]],'Cost Report'!G:G,1,0),"Balance")</f>
        <v>2394-005</v>
      </c>
      <c r="AD5466" s="159">
        <f>+Table1[[#This Row],[SUBTOTAL]]+Table1[[#This Row],[IVA]]-Table1[[#This Row],[RET IVA]]-Table1[[#This Row],[RET ISR]]-Table1[[#This Row],[TOTAL]]</f>
        <v>0</v>
      </c>
      <c r="AK5466" s="306">
        <f>IF(ISNUMBER(Table1[[#This Row],[FECHA DE RECIBIDO]]), Table1[[#This Row],[FECHA DE RECIBIDO]]-DATE(2023,8,30), "")</f>
        <v>-44894.344594907408</v>
      </c>
    </row>
    <row r="5467" spans="1:37" ht="16.05" customHeight="1">
      <c r="A5467" s="172" t="s">
        <v>4904</v>
      </c>
      <c r="B5467" s="178">
        <v>1879</v>
      </c>
      <c r="C5467" s="179" t="s">
        <v>1507</v>
      </c>
      <c r="D5467">
        <v>3699</v>
      </c>
      <c r="E5467" s="125">
        <v>45138</v>
      </c>
      <c r="F5467" s="178" t="s">
        <v>1607</v>
      </c>
      <c r="G5467" s="178" t="s">
        <v>134</v>
      </c>
      <c r="H5467">
        <v>488</v>
      </c>
      <c r="I5467" s="178" t="s">
        <v>1546</v>
      </c>
      <c r="J5467" s="320">
        <v>273.73633101851738</v>
      </c>
      <c r="K5467" s="178" t="s">
        <v>4872</v>
      </c>
      <c r="L5467" s="125" t="s">
        <v>3306</v>
      </c>
      <c r="M5467">
        <v>829</v>
      </c>
      <c r="N5467" s="182">
        <v>51</v>
      </c>
      <c r="O5467">
        <v>3535</v>
      </c>
      <c r="P5467" s="132" t="s">
        <v>77</v>
      </c>
      <c r="Q5467" s="176">
        <v>6315</v>
      </c>
      <c r="R5467" s="176">
        <v>1010.4</v>
      </c>
      <c r="S5467" s="176"/>
      <c r="T5467" s="190"/>
      <c r="U5467" s="191"/>
      <c r="V5467" s="191">
        <v>7325.4</v>
      </c>
      <c r="W5467">
        <v>259</v>
      </c>
      <c r="X5467" s="186" t="s">
        <v>1912</v>
      </c>
      <c r="Y5467" s="187" t="s">
        <v>55</v>
      </c>
      <c r="Z5467" s="311">
        <v>275</v>
      </c>
      <c r="AB5467" t="str">
        <f>IF(Table1[[#This Row],[TIPO2]]="costo", VLOOKUP(Table1[[#This Row],[PARTIDA PRESUPUESTAL]],'Cost Report'!G:G,1,0),"Balance")</f>
        <v>2494-007</v>
      </c>
      <c r="AD5467" s="159">
        <f>+Table1[[#This Row],[SUBTOTAL]]+Table1[[#This Row],[IVA]]-Table1[[#This Row],[RET IVA]]-Table1[[#This Row],[RET ISR]]-Table1[[#This Row],[TOTAL]]</f>
        <v>0</v>
      </c>
      <c r="AK5467" s="306">
        <f>IF(ISNUMBER(Table1[[#This Row],[FECHA DE RECIBIDO]]), Table1[[#This Row],[FECHA DE RECIBIDO]]-DATE(2023,8,30), "")</f>
        <v>-44894.263668981483</v>
      </c>
    </row>
    <row r="5468" spans="1:37" ht="16.05" customHeight="1">
      <c r="A5468" s="172"/>
      <c r="B5468" s="178">
        <v>1880</v>
      </c>
      <c r="C5468" s="179" t="s">
        <v>1511</v>
      </c>
      <c r="D5468">
        <v>3700</v>
      </c>
      <c r="E5468" s="125">
        <v>45138</v>
      </c>
      <c r="F5468" s="178" t="s">
        <v>1607</v>
      </c>
      <c r="G5468" s="178" t="s">
        <v>134</v>
      </c>
      <c r="H5468">
        <v>488</v>
      </c>
      <c r="I5468" s="178" t="s">
        <v>1546</v>
      </c>
      <c r="J5468" s="320">
        <v>273.7365972222251</v>
      </c>
      <c r="K5468" s="178" t="s">
        <v>4872</v>
      </c>
      <c r="L5468" s="125" t="s">
        <v>3306</v>
      </c>
      <c r="M5468">
        <v>829</v>
      </c>
      <c r="N5468" s="182">
        <v>51</v>
      </c>
      <c r="O5468">
        <v>3536</v>
      </c>
      <c r="P5468" s="132" t="s">
        <v>77</v>
      </c>
      <c r="Q5468" s="176">
        <v>2650</v>
      </c>
      <c r="R5468" s="176">
        <v>424</v>
      </c>
      <c r="S5468" s="176"/>
      <c r="T5468" s="190"/>
      <c r="U5468" s="191"/>
      <c r="V5468" s="191">
        <v>3074</v>
      </c>
      <c r="W5468">
        <v>259</v>
      </c>
      <c r="X5468" s="186" t="s">
        <v>1912</v>
      </c>
      <c r="Y5468" s="187" t="s">
        <v>55</v>
      </c>
      <c r="Z5468" s="311">
        <v>275</v>
      </c>
      <c r="AB5468" t="str">
        <f>IF(Table1[[#This Row],[TIPO2]]="costo", VLOOKUP(Table1[[#This Row],[PARTIDA PRESUPUESTAL]],'Cost Report'!G:G,1,0),"Balance")</f>
        <v>2494-015</v>
      </c>
      <c r="AD5468" s="159">
        <f>+Table1[[#This Row],[SUBTOTAL]]+Table1[[#This Row],[IVA]]-Table1[[#This Row],[RET IVA]]-Table1[[#This Row],[RET ISR]]-Table1[[#This Row],[TOTAL]]</f>
        <v>0</v>
      </c>
      <c r="AK5468" s="306">
        <f>IF(ISNUMBER(Table1[[#This Row],[FECHA DE RECIBIDO]]), Table1[[#This Row],[FECHA DE RECIBIDO]]-DATE(2023,8,30), "")</f>
        <v>-44894.263402777775</v>
      </c>
    </row>
    <row r="5469" spans="1:37" ht="16.05" customHeight="1">
      <c r="A5469" s="172" t="s">
        <v>4905</v>
      </c>
      <c r="B5469" s="178">
        <v>1881</v>
      </c>
      <c r="C5469" s="179" t="s">
        <v>2538</v>
      </c>
      <c r="D5469">
        <v>3701</v>
      </c>
      <c r="E5469" s="125">
        <v>45110</v>
      </c>
      <c r="F5469" s="178" t="s">
        <v>1607</v>
      </c>
      <c r="G5469" s="178" t="s">
        <v>134</v>
      </c>
      <c r="H5469">
        <v>24</v>
      </c>
      <c r="I5469" s="178" t="s">
        <v>1546</v>
      </c>
      <c r="J5469" s="320">
        <v>273.67736111111299</v>
      </c>
      <c r="K5469" s="178" t="s">
        <v>4872</v>
      </c>
      <c r="L5469" s="125" t="s">
        <v>3306</v>
      </c>
      <c r="M5469">
        <v>33</v>
      </c>
      <c r="N5469" s="182">
        <v>51</v>
      </c>
      <c r="O5469">
        <v>3537</v>
      </c>
      <c r="P5469" s="132" t="s">
        <v>77</v>
      </c>
      <c r="Q5469" s="176">
        <v>250</v>
      </c>
      <c r="R5469" s="176">
        <v>40</v>
      </c>
      <c r="S5469" s="176"/>
      <c r="T5469" s="190"/>
      <c r="U5469" s="191"/>
      <c r="V5469" s="191">
        <v>290</v>
      </c>
      <c r="W5469">
        <v>26</v>
      </c>
      <c r="X5469" s="186" t="s">
        <v>195</v>
      </c>
      <c r="Y5469" s="187" t="s">
        <v>55</v>
      </c>
      <c r="Z5469" s="311">
        <v>275</v>
      </c>
      <c r="AB5469" t="str">
        <f>IF(Table1[[#This Row],[TIPO2]]="costo", VLOOKUP(Table1[[#This Row],[PARTIDA PRESUPUESTAL]],'Cost Report'!G:G,1,0),"Balance")</f>
        <v>2494-055</v>
      </c>
      <c r="AD5469" s="159">
        <f>+Table1[[#This Row],[SUBTOTAL]]+Table1[[#This Row],[IVA]]-Table1[[#This Row],[RET IVA]]-Table1[[#This Row],[RET ISR]]-Table1[[#This Row],[TOTAL]]</f>
        <v>0</v>
      </c>
      <c r="AK5469" s="306">
        <f>IF(ISNUMBER(Table1[[#This Row],[FECHA DE RECIBIDO]]), Table1[[#This Row],[FECHA DE RECIBIDO]]-DATE(2023,8,30), "")</f>
        <v>-44894.322638888887</v>
      </c>
    </row>
    <row r="5470" spans="1:37" ht="16.05" customHeight="1">
      <c r="A5470" s="172" t="s">
        <v>4906</v>
      </c>
      <c r="B5470" s="178">
        <v>1882</v>
      </c>
      <c r="C5470" s="179" t="s">
        <v>2466</v>
      </c>
      <c r="D5470">
        <v>3702</v>
      </c>
      <c r="E5470" s="125">
        <v>45116</v>
      </c>
      <c r="F5470" s="178" t="s">
        <v>1607</v>
      </c>
      <c r="G5470" s="178" t="s">
        <v>134</v>
      </c>
      <c r="H5470">
        <v>383</v>
      </c>
      <c r="I5470" s="178" t="s">
        <v>1546</v>
      </c>
      <c r="J5470" s="320">
        <v>272.60930555555387</v>
      </c>
      <c r="K5470" s="178" t="s">
        <v>4872</v>
      </c>
      <c r="L5470" s="125" t="s">
        <v>3306</v>
      </c>
      <c r="M5470">
        <v>1275</v>
      </c>
      <c r="N5470" s="182">
        <v>51</v>
      </c>
      <c r="O5470">
        <v>3538</v>
      </c>
      <c r="P5470" s="132" t="s">
        <v>77</v>
      </c>
      <c r="Q5470" s="176">
        <v>8296.76</v>
      </c>
      <c r="R5470" s="176">
        <v>1327.4816000000001</v>
      </c>
      <c r="S5470" s="176"/>
      <c r="T5470" s="190"/>
      <c r="U5470" s="191"/>
      <c r="V5470" s="191">
        <v>9624.2416000000012</v>
      </c>
      <c r="W5470">
        <v>223</v>
      </c>
      <c r="X5470" s="186" t="s">
        <v>3120</v>
      </c>
      <c r="Y5470" s="187" t="s">
        <v>55</v>
      </c>
      <c r="Z5470" s="311">
        <v>275</v>
      </c>
      <c r="AB5470" t="str">
        <f>IF(Table1[[#This Row],[TIPO2]]="costo", VLOOKUP(Table1[[#This Row],[PARTIDA PRESUPUESTAL]],'Cost Report'!G:G,1,0),"Balance")</f>
        <v>2394-005</v>
      </c>
      <c r="AD5470" s="159">
        <f>+Table1[[#This Row],[SUBTOTAL]]+Table1[[#This Row],[IVA]]-Table1[[#This Row],[RET IVA]]-Table1[[#This Row],[RET ISR]]-Table1[[#This Row],[TOTAL]]</f>
        <v>0</v>
      </c>
      <c r="AK5470" s="306">
        <f>IF(ISNUMBER(Table1[[#This Row],[FECHA DE RECIBIDO]]), Table1[[#This Row],[FECHA DE RECIBIDO]]-DATE(2023,8,30), "")</f>
        <v>-44895.390694444446</v>
      </c>
    </row>
    <row r="5471" spans="1:37" ht="16.05" customHeight="1">
      <c r="A5471" s="172"/>
      <c r="B5471" s="178">
        <v>1883</v>
      </c>
      <c r="C5471" s="179" t="s">
        <v>2466</v>
      </c>
      <c r="D5471">
        <v>3703</v>
      </c>
      <c r="E5471" s="125">
        <v>45116</v>
      </c>
      <c r="F5471" s="178" t="s">
        <v>1607</v>
      </c>
      <c r="G5471" s="178" t="s">
        <v>134</v>
      </c>
      <c r="H5471">
        <v>383</v>
      </c>
      <c r="I5471" s="178" t="s">
        <v>1546</v>
      </c>
      <c r="J5471" s="320">
        <v>272.61562499999854</v>
      </c>
      <c r="K5471" s="178" t="s">
        <v>4872</v>
      </c>
      <c r="L5471" s="125" t="s">
        <v>3306</v>
      </c>
      <c r="M5471">
        <v>1275</v>
      </c>
      <c r="N5471" s="182">
        <v>51</v>
      </c>
      <c r="O5471">
        <v>3538</v>
      </c>
      <c r="P5471" s="132" t="s">
        <v>77</v>
      </c>
      <c r="Q5471" s="176">
        <v>13675.52</v>
      </c>
      <c r="R5471" s="176">
        <v>2188.0832</v>
      </c>
      <c r="S5471" s="176"/>
      <c r="T5471" s="190"/>
      <c r="U5471" s="191"/>
      <c r="V5471" s="191">
        <v>15863.603200000001</v>
      </c>
      <c r="W5471">
        <v>223</v>
      </c>
      <c r="X5471" s="186" t="s">
        <v>3120</v>
      </c>
      <c r="Y5471" s="187" t="s">
        <v>55</v>
      </c>
      <c r="Z5471" s="311">
        <v>275</v>
      </c>
      <c r="AB5471" t="str">
        <f>IF(Table1[[#This Row],[TIPO2]]="costo", VLOOKUP(Table1[[#This Row],[PARTIDA PRESUPUESTAL]],'Cost Report'!G:G,1,0),"Balance")</f>
        <v>2394-005</v>
      </c>
      <c r="AD5471" s="159">
        <f>+Table1[[#This Row],[SUBTOTAL]]+Table1[[#This Row],[IVA]]-Table1[[#This Row],[RET IVA]]-Table1[[#This Row],[RET ISR]]-Table1[[#This Row],[TOTAL]]</f>
        <v>0</v>
      </c>
      <c r="AK5471" s="306">
        <f>IF(ISNUMBER(Table1[[#This Row],[FECHA DE RECIBIDO]]), Table1[[#This Row],[FECHA DE RECIBIDO]]-DATE(2023,8,30), "")</f>
        <v>-44895.384375000001</v>
      </c>
    </row>
    <row r="5472" spans="1:37" ht="16.05" customHeight="1">
      <c r="A5472" s="172" t="s">
        <v>4907</v>
      </c>
      <c r="B5472" s="178">
        <v>1884</v>
      </c>
      <c r="C5472" s="179" t="s">
        <v>2546</v>
      </c>
      <c r="D5472">
        <v>3704</v>
      </c>
      <c r="E5472" s="125">
        <v>44190</v>
      </c>
      <c r="F5472" s="178" t="s">
        <v>1589</v>
      </c>
      <c r="G5472" s="178" t="s">
        <v>129</v>
      </c>
      <c r="H5472">
        <v>348</v>
      </c>
      <c r="I5472" s="178" t="s">
        <v>1546</v>
      </c>
      <c r="J5472" s="320">
        <v>271.72120370370249</v>
      </c>
      <c r="K5472" s="178" t="s">
        <v>4872</v>
      </c>
      <c r="L5472" s="125" t="s">
        <v>3306</v>
      </c>
      <c r="M5472">
        <v>770</v>
      </c>
      <c r="N5472" s="182">
        <v>51</v>
      </c>
      <c r="O5472">
        <v>3539</v>
      </c>
      <c r="P5472" s="132" t="s">
        <v>77</v>
      </c>
      <c r="Q5472" s="176">
        <v>3990</v>
      </c>
      <c r="R5472" s="176">
        <v>638.4</v>
      </c>
      <c r="S5472" s="176"/>
      <c r="T5472" s="190">
        <v>425.60133000000002</v>
      </c>
      <c r="U5472" s="191">
        <v>399</v>
      </c>
      <c r="V5472" s="191">
        <v>3803.7986699999992</v>
      </c>
      <c r="W5472">
        <v>185</v>
      </c>
      <c r="X5472" s="186" t="s">
        <v>3120</v>
      </c>
      <c r="Y5472" s="187" t="s">
        <v>55</v>
      </c>
      <c r="Z5472" s="311">
        <v>275</v>
      </c>
      <c r="AB5472" t="str">
        <f>IF(Table1[[#This Row],[TIPO2]]="costo", VLOOKUP(Table1[[#This Row],[PARTIDA PRESUPUESTAL]],'Cost Report'!G:G,1,0),"Balance")</f>
        <v>2494-071</v>
      </c>
      <c r="AD5472" s="159">
        <f>+Table1[[#This Row],[SUBTOTAL]]+Table1[[#This Row],[IVA]]-Table1[[#This Row],[RET IVA]]-Table1[[#This Row],[RET ISR]]-Table1[[#This Row],[TOTAL]]</f>
        <v>0</v>
      </c>
      <c r="AK5472" s="306">
        <f>IF(ISNUMBER(Table1[[#This Row],[FECHA DE RECIBIDO]]), Table1[[#This Row],[FECHA DE RECIBIDO]]-DATE(2023,8,30), "")</f>
        <v>-44896.278796296298</v>
      </c>
    </row>
    <row r="5473" spans="1:37" ht="16.05" customHeight="1">
      <c r="A5473" s="172"/>
      <c r="B5473" s="178">
        <v>1885</v>
      </c>
      <c r="C5473" s="179" t="s">
        <v>1505</v>
      </c>
      <c r="D5473">
        <v>3705</v>
      </c>
      <c r="E5473" s="125">
        <v>44190</v>
      </c>
      <c r="F5473" s="178" t="s">
        <v>1589</v>
      </c>
      <c r="G5473" s="178" t="s">
        <v>129</v>
      </c>
      <c r="H5473">
        <v>348</v>
      </c>
      <c r="I5473" s="178" t="s">
        <v>1546</v>
      </c>
      <c r="J5473" s="320">
        <v>271.72363425925869</v>
      </c>
      <c r="K5473" s="178" t="s">
        <v>4872</v>
      </c>
      <c r="L5473" s="125" t="s">
        <v>3306</v>
      </c>
      <c r="M5473">
        <v>770</v>
      </c>
      <c r="N5473" s="182">
        <v>51</v>
      </c>
      <c r="O5473">
        <v>3540</v>
      </c>
      <c r="P5473" s="132" t="s">
        <v>77</v>
      </c>
      <c r="Q5473" s="176">
        <v>3780</v>
      </c>
      <c r="R5473" s="176">
        <v>604.79999999999995</v>
      </c>
      <c r="S5473" s="176"/>
      <c r="T5473" s="190">
        <v>403.20125999999999</v>
      </c>
      <c r="U5473" s="191">
        <v>378</v>
      </c>
      <c r="V5473" s="191">
        <v>3603.5987400000004</v>
      </c>
      <c r="W5473">
        <v>185</v>
      </c>
      <c r="X5473" s="186" t="s">
        <v>3120</v>
      </c>
      <c r="Y5473" s="187" t="s">
        <v>55</v>
      </c>
      <c r="Z5473" s="311">
        <v>275</v>
      </c>
      <c r="AB5473" t="str">
        <f>IF(Table1[[#This Row],[TIPO2]]="costo", VLOOKUP(Table1[[#This Row],[PARTIDA PRESUPUESTAL]],'Cost Report'!G:G,1,0),"Balance")</f>
        <v>2494-003</v>
      </c>
      <c r="AD5473" s="159">
        <f>+Table1[[#This Row],[SUBTOTAL]]+Table1[[#This Row],[IVA]]-Table1[[#This Row],[RET IVA]]-Table1[[#This Row],[RET ISR]]-Table1[[#This Row],[TOTAL]]</f>
        <v>0</v>
      </c>
      <c r="AK5473" s="306">
        <f>IF(ISNUMBER(Table1[[#This Row],[FECHA DE RECIBIDO]]), Table1[[#This Row],[FECHA DE RECIBIDO]]-DATE(2023,8,30), "")</f>
        <v>-44896.276365740741</v>
      </c>
    </row>
    <row r="5474" spans="1:37" ht="16.05" customHeight="1">
      <c r="A5474" s="172" t="s">
        <v>4908</v>
      </c>
      <c r="B5474" s="178">
        <v>1886</v>
      </c>
      <c r="C5474" s="179" t="s">
        <v>2443</v>
      </c>
      <c r="D5474">
        <v>3706</v>
      </c>
      <c r="E5474" s="125">
        <v>13508</v>
      </c>
      <c r="F5474" s="178" t="s">
        <v>1589</v>
      </c>
      <c r="G5474" s="178" t="s">
        <v>129</v>
      </c>
      <c r="H5474">
        <v>85</v>
      </c>
      <c r="I5474" s="178" t="s">
        <v>1546</v>
      </c>
      <c r="J5474" s="320" t="s">
        <v>214</v>
      </c>
      <c r="K5474" s="178" t="s">
        <v>4872</v>
      </c>
      <c r="L5474" s="125" t="s">
        <v>3306</v>
      </c>
      <c r="M5474">
        <v>115</v>
      </c>
      <c r="N5474" s="182">
        <v>1</v>
      </c>
      <c r="O5474">
        <v>3541</v>
      </c>
      <c r="P5474" s="132" t="s">
        <v>77</v>
      </c>
      <c r="Q5474" s="176">
        <v>8050</v>
      </c>
      <c r="R5474" s="176">
        <v>1288</v>
      </c>
      <c r="S5474" s="176"/>
      <c r="T5474" s="190">
        <v>0</v>
      </c>
      <c r="U5474" s="191">
        <v>0</v>
      </c>
      <c r="V5474" s="191">
        <v>9338</v>
      </c>
      <c r="W5474">
        <v>57</v>
      </c>
      <c r="X5474" s="186" t="s">
        <v>2035</v>
      </c>
      <c r="Y5474" s="187" t="s">
        <v>55</v>
      </c>
      <c r="Z5474" s="311">
        <v>275</v>
      </c>
      <c r="AB5474" t="str">
        <f>IF(Table1[[#This Row],[TIPO2]]="costo", VLOOKUP(Table1[[#This Row],[PARTIDA PRESUPUESTAL]],'Cost Report'!G:G,1,0),"Balance")</f>
        <v>2080-003</v>
      </c>
      <c r="AD5474" s="159">
        <f>+Table1[[#This Row],[SUBTOTAL]]+Table1[[#This Row],[IVA]]-Table1[[#This Row],[RET IVA]]-Table1[[#This Row],[RET ISR]]-Table1[[#This Row],[TOTAL]]</f>
        <v>0</v>
      </c>
      <c r="AK5474" s="306" t="str">
        <f>IF(ISNUMBER(Table1[[#This Row],[FECHA DE RECIBIDO]]), Table1[[#This Row],[FECHA DE RECIBIDO]]-DATE(2023,8,30), "")</f>
        <v/>
      </c>
    </row>
    <row r="5475" spans="1:37" ht="16.05" customHeight="1">
      <c r="A5475" s="172" t="s">
        <v>4909</v>
      </c>
      <c r="B5475" s="178">
        <v>1887</v>
      </c>
      <c r="C5475" s="179" t="s">
        <v>2184</v>
      </c>
      <c r="D5475">
        <v>3707</v>
      </c>
      <c r="E5475" s="125">
        <v>11520</v>
      </c>
      <c r="F5475" s="178" t="s">
        <v>1607</v>
      </c>
      <c r="G5475" s="178" t="s">
        <v>134</v>
      </c>
      <c r="H5475">
        <v>186</v>
      </c>
      <c r="I5475" s="178" t="s">
        <v>1546</v>
      </c>
      <c r="J5475" s="320">
        <v>271.48422453703824</v>
      </c>
      <c r="K5475" s="178" t="s">
        <v>4872</v>
      </c>
      <c r="L5475" s="125" t="s">
        <v>3306</v>
      </c>
      <c r="M5475">
        <v>251</v>
      </c>
      <c r="N5475" s="182">
        <v>1</v>
      </c>
      <c r="O5475">
        <v>3542</v>
      </c>
      <c r="P5475" s="132" t="s">
        <v>77</v>
      </c>
      <c r="Q5475" s="176">
        <v>339362.5</v>
      </c>
      <c r="R5475" s="176">
        <v>54298</v>
      </c>
      <c r="S5475" s="176"/>
      <c r="T5475" s="190">
        <v>0</v>
      </c>
      <c r="U5475" s="191">
        <v>0</v>
      </c>
      <c r="V5475" s="191">
        <v>393660.5</v>
      </c>
      <c r="W5475">
        <v>107</v>
      </c>
      <c r="X5475" s="186" t="s">
        <v>195</v>
      </c>
      <c r="Y5475" s="187" t="s">
        <v>55</v>
      </c>
      <c r="Z5475" s="311">
        <v>275</v>
      </c>
      <c r="AB5475" t="str">
        <f>IF(Table1[[#This Row],[TIPO2]]="costo", VLOOKUP(Table1[[#This Row],[PARTIDA PRESUPUESTAL]],'Cost Report'!G:G,1,0),"Balance")</f>
        <v>1401-071</v>
      </c>
      <c r="AD5475" s="159">
        <f>+Table1[[#This Row],[SUBTOTAL]]+Table1[[#This Row],[IVA]]-Table1[[#This Row],[RET IVA]]-Table1[[#This Row],[RET ISR]]-Table1[[#This Row],[TOTAL]]</f>
        <v>0</v>
      </c>
      <c r="AK5475" s="306">
        <f>IF(ISNUMBER(Table1[[#This Row],[FECHA DE RECIBIDO]]), Table1[[#This Row],[FECHA DE RECIBIDO]]-DATE(2023,8,30), "")</f>
        <v>-44896.515775462962</v>
      </c>
    </row>
    <row r="5476" spans="1:37" ht="16.05" customHeight="1">
      <c r="A5476" s="172" t="s">
        <v>4910</v>
      </c>
      <c r="B5476" s="178">
        <v>1888</v>
      </c>
      <c r="C5476" s="179" t="s">
        <v>332</v>
      </c>
      <c r="D5476">
        <v>3708</v>
      </c>
      <c r="E5476" s="125">
        <v>10000</v>
      </c>
      <c r="F5476" s="178" t="s">
        <v>1589</v>
      </c>
      <c r="G5476" s="178" t="s">
        <v>129</v>
      </c>
      <c r="H5476">
        <v>853</v>
      </c>
      <c r="I5476" s="178" t="s">
        <v>1546</v>
      </c>
      <c r="J5476" s="320">
        <v>274.47479166666744</v>
      </c>
      <c r="K5476" s="178" t="s">
        <v>4872</v>
      </c>
      <c r="L5476" s="125" t="s">
        <v>3306</v>
      </c>
      <c r="M5476">
        <v>1186</v>
      </c>
      <c r="N5476" s="182">
        <v>1</v>
      </c>
      <c r="O5476">
        <v>3146</v>
      </c>
      <c r="P5476" s="132" t="s">
        <v>77</v>
      </c>
      <c r="Q5476" s="176">
        <v>26250</v>
      </c>
      <c r="R5476" s="176">
        <v>4200</v>
      </c>
      <c r="S5476" s="176"/>
      <c r="T5476" s="190">
        <v>2800.00875</v>
      </c>
      <c r="U5476" s="191">
        <v>2625</v>
      </c>
      <c r="V5476" s="191">
        <v>25024.991249999999</v>
      </c>
      <c r="W5476">
        <v>418</v>
      </c>
      <c r="X5476" s="186" t="s">
        <v>2035</v>
      </c>
      <c r="Y5476" s="187" t="s">
        <v>55</v>
      </c>
      <c r="Z5476" s="311">
        <v>275</v>
      </c>
      <c r="AB5476" t="str">
        <f>IF(Table1[[#This Row],[TIPO2]]="costo", VLOOKUP(Table1[[#This Row],[PARTIDA PRESUPUESTAL]],'Cost Report'!G:G,1,0),"Balance")</f>
        <v>1403-030</v>
      </c>
      <c r="AD5476" s="159">
        <f>+Table1[[#This Row],[SUBTOTAL]]+Table1[[#This Row],[IVA]]-Table1[[#This Row],[RET IVA]]-Table1[[#This Row],[RET ISR]]-Table1[[#This Row],[TOTAL]]</f>
        <v>0</v>
      </c>
      <c r="AK5476" s="306">
        <f>IF(ISNUMBER(Table1[[#This Row],[FECHA DE RECIBIDO]]), Table1[[#This Row],[FECHA DE RECIBIDO]]-DATE(2023,8,30), "")</f>
        <v>-44893.525208333333</v>
      </c>
    </row>
    <row r="5477" spans="1:37" ht="16.05" customHeight="1">
      <c r="A5477" s="172" t="s">
        <v>4911</v>
      </c>
      <c r="B5477" s="178">
        <v>1889</v>
      </c>
      <c r="C5477" s="179" t="s">
        <v>2852</v>
      </c>
      <c r="D5477">
        <v>3709</v>
      </c>
      <c r="E5477" s="125">
        <v>45116</v>
      </c>
      <c r="F5477" s="178" t="s">
        <v>1607</v>
      </c>
      <c r="G5477" s="178" t="s">
        <v>134</v>
      </c>
      <c r="H5477">
        <v>383</v>
      </c>
      <c r="I5477" s="178" t="s">
        <v>1546</v>
      </c>
      <c r="J5477" s="320">
        <v>272.78981481481605</v>
      </c>
      <c r="K5477" s="178" t="s">
        <v>4872</v>
      </c>
      <c r="L5477" s="125" t="s">
        <v>3306</v>
      </c>
      <c r="M5477">
        <v>1275</v>
      </c>
      <c r="N5477" s="182">
        <v>24</v>
      </c>
      <c r="O5477">
        <v>3543</v>
      </c>
      <c r="P5477" s="132" t="s">
        <v>77</v>
      </c>
      <c r="Q5477" s="176">
        <v>22725.25</v>
      </c>
      <c r="R5477" s="176">
        <v>3636.04</v>
      </c>
      <c r="S5477" s="176"/>
      <c r="T5477" s="190">
        <v>0</v>
      </c>
      <c r="U5477" s="191">
        <v>0</v>
      </c>
      <c r="V5477" s="191">
        <v>26361.29</v>
      </c>
      <c r="W5477">
        <v>223</v>
      </c>
      <c r="X5477" s="186" t="s">
        <v>3120</v>
      </c>
      <c r="Y5477" s="187" t="s">
        <v>55</v>
      </c>
      <c r="Z5477" s="311">
        <v>275</v>
      </c>
      <c r="AB5477" t="str">
        <f>IF(Table1[[#This Row],[TIPO2]]="costo", VLOOKUP(Table1[[#This Row],[PARTIDA PRESUPUESTAL]],'Cost Report'!G:G,1,0),"Balance")</f>
        <v>3498-003</v>
      </c>
      <c r="AD5477" s="159">
        <f>+Table1[[#This Row],[SUBTOTAL]]+Table1[[#This Row],[IVA]]-Table1[[#This Row],[RET IVA]]-Table1[[#This Row],[RET ISR]]-Table1[[#This Row],[TOTAL]]</f>
        <v>0</v>
      </c>
      <c r="AK5477" s="306">
        <f>IF(ISNUMBER(Table1[[#This Row],[FECHA DE RECIBIDO]]), Table1[[#This Row],[FECHA DE RECIBIDO]]-DATE(2023,8,30), "")</f>
        <v>-44895.210185185184</v>
      </c>
    </row>
    <row r="5478" spans="1:37" ht="16.05" customHeight="1">
      <c r="A5478" s="172" t="s">
        <v>4912</v>
      </c>
      <c r="B5478" s="178">
        <v>1890</v>
      </c>
      <c r="C5478" s="179" t="s">
        <v>2852</v>
      </c>
      <c r="D5478">
        <v>3710</v>
      </c>
      <c r="E5478" s="125">
        <v>44140</v>
      </c>
      <c r="F5478" s="178" t="s">
        <v>3296</v>
      </c>
      <c r="G5478" s="178" t="s">
        <v>3297</v>
      </c>
      <c r="H5478">
        <v>260</v>
      </c>
      <c r="I5478" s="178" t="s">
        <v>1546</v>
      </c>
      <c r="J5478" s="320">
        <v>272.68827546296234</v>
      </c>
      <c r="K5478" s="178" t="s">
        <v>4872</v>
      </c>
      <c r="L5478" s="125" t="s">
        <v>3306</v>
      </c>
      <c r="M5478">
        <v>345</v>
      </c>
      <c r="N5478" s="182">
        <v>24</v>
      </c>
      <c r="O5478">
        <v>3544</v>
      </c>
      <c r="P5478" s="132" t="s">
        <v>77</v>
      </c>
      <c r="Q5478" s="176">
        <v>11500</v>
      </c>
      <c r="R5478" s="176">
        <v>1840</v>
      </c>
      <c r="S5478" s="176"/>
      <c r="T5478" s="190">
        <v>1226.6704999999999</v>
      </c>
      <c r="U5478" s="191">
        <v>1150</v>
      </c>
      <c r="V5478" s="191">
        <v>10963.3295</v>
      </c>
      <c r="W5478">
        <v>159</v>
      </c>
      <c r="X5478" s="186" t="s">
        <v>2035</v>
      </c>
      <c r="Y5478" s="187" t="s">
        <v>55</v>
      </c>
      <c r="Z5478" s="311">
        <v>275</v>
      </c>
      <c r="AB5478" t="str">
        <f>IF(Table1[[#This Row],[TIPO2]]="costo", VLOOKUP(Table1[[#This Row],[PARTIDA PRESUPUESTAL]],'Cost Report'!G:G,1,0),"Balance")</f>
        <v>3498-003</v>
      </c>
      <c r="AD5478" s="159">
        <f>+Table1[[#This Row],[SUBTOTAL]]+Table1[[#This Row],[IVA]]-Table1[[#This Row],[RET IVA]]-Table1[[#This Row],[RET ISR]]-Table1[[#This Row],[TOTAL]]</f>
        <v>0</v>
      </c>
      <c r="AK5478" s="306">
        <f>IF(ISNUMBER(Table1[[#This Row],[FECHA DE RECIBIDO]]), Table1[[#This Row],[FECHA DE RECIBIDO]]-DATE(2023,8,30), "")</f>
        <v>-44895.311724537038</v>
      </c>
    </row>
    <row r="5479" spans="1:37" ht="16.05" customHeight="1">
      <c r="A5479" s="172" t="s">
        <v>4913</v>
      </c>
      <c r="B5479" s="178">
        <v>1891</v>
      </c>
      <c r="C5479" s="179" t="s">
        <v>2852</v>
      </c>
      <c r="D5479">
        <v>3711</v>
      </c>
      <c r="E5479" s="125">
        <v>44280</v>
      </c>
      <c r="F5479" s="178" t="s">
        <v>1607</v>
      </c>
      <c r="G5479" s="178" t="s">
        <v>134</v>
      </c>
      <c r="H5479">
        <v>914</v>
      </c>
      <c r="I5479" s="178" t="s">
        <v>1546</v>
      </c>
      <c r="J5479" s="320">
        <v>273.53335648147913</v>
      </c>
      <c r="K5479" s="178" t="s">
        <v>4872</v>
      </c>
      <c r="L5479" s="125" t="s">
        <v>3306</v>
      </c>
      <c r="M5479">
        <v>1276</v>
      </c>
      <c r="N5479" s="182">
        <v>24</v>
      </c>
      <c r="O5479">
        <v>3545</v>
      </c>
      <c r="P5479" s="132" t="s">
        <v>77</v>
      </c>
      <c r="Q5479" s="176">
        <v>15000</v>
      </c>
      <c r="R5479" s="176">
        <v>2400</v>
      </c>
      <c r="S5479" s="176"/>
      <c r="T5479" s="190">
        <v>0</v>
      </c>
      <c r="U5479" s="191">
        <v>0</v>
      </c>
      <c r="V5479" s="191">
        <v>17400</v>
      </c>
      <c r="W5479">
        <v>446</v>
      </c>
      <c r="X5479" s="186" t="s">
        <v>1912</v>
      </c>
      <c r="Y5479" s="187" t="s">
        <v>55</v>
      </c>
      <c r="Z5479" s="311">
        <v>275</v>
      </c>
      <c r="AB5479" t="str">
        <f>IF(Table1[[#This Row],[TIPO2]]="costo", VLOOKUP(Table1[[#This Row],[PARTIDA PRESUPUESTAL]],'Cost Report'!G:G,1,0),"Balance")</f>
        <v>3498-003</v>
      </c>
      <c r="AD5479" s="159">
        <f>+Table1[[#This Row],[SUBTOTAL]]+Table1[[#This Row],[IVA]]-Table1[[#This Row],[RET IVA]]-Table1[[#This Row],[RET ISR]]-Table1[[#This Row],[TOTAL]]</f>
        <v>0</v>
      </c>
      <c r="AK5479" s="306">
        <f>IF(ISNUMBER(Table1[[#This Row],[FECHA DE RECIBIDO]]), Table1[[#This Row],[FECHA DE RECIBIDO]]-DATE(2023,8,30), "")</f>
        <v>-44894.466643518521</v>
      </c>
    </row>
    <row r="5480" spans="1:37" ht="16.05" customHeight="1">
      <c r="A5480" s="172" t="s">
        <v>4914</v>
      </c>
      <c r="B5480" s="178">
        <v>1892</v>
      </c>
      <c r="C5480" s="179" t="s">
        <v>2596</v>
      </c>
      <c r="D5480">
        <v>3712</v>
      </c>
      <c r="E5480" s="125" t="s">
        <v>1895</v>
      </c>
      <c r="F5480" s="178" t="s">
        <v>1607</v>
      </c>
      <c r="G5480" s="178" t="s">
        <v>134</v>
      </c>
      <c r="H5480">
        <v>220</v>
      </c>
      <c r="I5480" s="178" t="s">
        <v>1546</v>
      </c>
      <c r="J5480" s="320">
        <v>272.74230324073869</v>
      </c>
      <c r="K5480" s="178" t="s">
        <v>4872</v>
      </c>
      <c r="L5480" s="125" t="s">
        <v>3306</v>
      </c>
      <c r="M5480">
        <v>1111</v>
      </c>
      <c r="N5480" s="182">
        <v>172</v>
      </c>
      <c r="O5480">
        <v>3546</v>
      </c>
      <c r="P5480" s="132" t="s">
        <v>77</v>
      </c>
      <c r="Q5480" s="176">
        <v>175000</v>
      </c>
      <c r="R5480" s="176">
        <v>28000</v>
      </c>
      <c r="S5480" s="176"/>
      <c r="T5480" s="190">
        <v>0</v>
      </c>
      <c r="U5480" s="191">
        <v>0</v>
      </c>
      <c r="V5480" s="191">
        <v>203000</v>
      </c>
      <c r="W5480">
        <v>141</v>
      </c>
      <c r="X5480" s="186" t="s">
        <v>105</v>
      </c>
      <c r="Y5480" s="187" t="s">
        <v>55</v>
      </c>
      <c r="Z5480" s="311">
        <v>275</v>
      </c>
      <c r="AB5480" t="str">
        <f>IF(Table1[[#This Row],[TIPO2]]="costo", VLOOKUP(Table1[[#This Row],[PARTIDA PRESUPUESTAL]],'Cost Report'!G:G,1,0),"Balance")</f>
        <v>2794-003</v>
      </c>
      <c r="AD5480" s="159">
        <f>+Table1[[#This Row],[SUBTOTAL]]+Table1[[#This Row],[IVA]]-Table1[[#This Row],[RET IVA]]-Table1[[#This Row],[RET ISR]]-Table1[[#This Row],[TOTAL]]</f>
        <v>0</v>
      </c>
      <c r="AK5480" s="306">
        <f>IF(ISNUMBER(Table1[[#This Row],[FECHA DE RECIBIDO]]), Table1[[#This Row],[FECHA DE RECIBIDO]]-DATE(2023,8,30), "")</f>
        <v>-44895.257696759261</v>
      </c>
    </row>
    <row r="5481" spans="1:37" ht="16.05" customHeight="1">
      <c r="A5481" s="172" t="s">
        <v>4915</v>
      </c>
      <c r="B5481" s="178">
        <v>1893</v>
      </c>
      <c r="C5481" s="179" t="s">
        <v>963</v>
      </c>
      <c r="D5481">
        <v>3713</v>
      </c>
      <c r="E5481" s="125">
        <v>44720</v>
      </c>
      <c r="F5481" s="178" t="s">
        <v>1589</v>
      </c>
      <c r="G5481" s="178" t="e">
        <v>#N/A</v>
      </c>
      <c r="H5481">
        <v>915</v>
      </c>
      <c r="I5481" s="178" t="s">
        <v>1546</v>
      </c>
      <c r="J5481" s="320">
        <v>272.81143518518365</v>
      </c>
      <c r="K5481" s="178" t="s">
        <v>4872</v>
      </c>
      <c r="L5481" s="125" t="s">
        <v>3306</v>
      </c>
      <c r="M5481">
        <v>1277</v>
      </c>
      <c r="N5481" s="182">
        <v>1</v>
      </c>
      <c r="O5481">
        <v>3547</v>
      </c>
      <c r="P5481" s="132" t="s">
        <v>77</v>
      </c>
      <c r="Q5481" s="176">
        <v>26600</v>
      </c>
      <c r="R5481" s="176">
        <v>4256</v>
      </c>
      <c r="S5481" s="176"/>
      <c r="T5481" s="190">
        <v>2837.33</v>
      </c>
      <c r="U5481" s="191">
        <v>3080</v>
      </c>
      <c r="V5481" s="191">
        <v>24938.67</v>
      </c>
      <c r="W5481">
        <v>447</v>
      </c>
      <c r="X5481" s="186" t="s">
        <v>2024</v>
      </c>
      <c r="Y5481" s="187" t="s">
        <v>55</v>
      </c>
      <c r="Z5481" s="311">
        <v>275</v>
      </c>
      <c r="AB5481" t="str">
        <f>IF(Table1[[#This Row],[TIPO2]]="costo", VLOOKUP(Table1[[#This Row],[PARTIDA PRESUPUESTAL]],'Cost Report'!G:G,1,0),"Balance")</f>
        <v>3407-005</v>
      </c>
      <c r="AD5481" s="159">
        <f>+Table1[[#This Row],[SUBTOTAL]]+Table1[[#This Row],[IVA]]-Table1[[#This Row],[RET IVA]]-Table1[[#This Row],[RET ISR]]-Table1[[#This Row],[TOTAL]]</f>
        <v>0</v>
      </c>
      <c r="AK5481" s="306">
        <f>IF(ISNUMBER(Table1[[#This Row],[FECHA DE RECIBIDO]]), Table1[[#This Row],[FECHA DE RECIBIDO]]-DATE(2023,8,30), "")</f>
        <v>-44895.188564814816</v>
      </c>
    </row>
    <row r="5482" spans="1:37" ht="16.05" customHeight="1">
      <c r="A5482" s="172"/>
      <c r="B5482" s="178">
        <v>1894</v>
      </c>
      <c r="C5482" s="179" t="s">
        <v>3002</v>
      </c>
      <c r="D5482">
        <v>3714</v>
      </c>
      <c r="E5482" s="125">
        <v>44720</v>
      </c>
      <c r="F5482" s="178" t="s">
        <v>1589</v>
      </c>
      <c r="G5482" s="178" t="e">
        <v>#N/A</v>
      </c>
      <c r="H5482">
        <v>915</v>
      </c>
      <c r="I5482" s="178" t="s">
        <v>1546</v>
      </c>
      <c r="J5482" s="320">
        <v>272.8063078703708</v>
      </c>
      <c r="K5482" s="178" t="s">
        <v>4872</v>
      </c>
      <c r="L5482" s="125" t="s">
        <v>3306</v>
      </c>
      <c r="M5482">
        <v>1277</v>
      </c>
      <c r="N5482" s="182">
        <v>1</v>
      </c>
      <c r="O5482">
        <v>3506</v>
      </c>
      <c r="P5482" s="132" t="s">
        <v>77</v>
      </c>
      <c r="Q5482" s="176">
        <v>700</v>
      </c>
      <c r="R5482" s="176">
        <v>112</v>
      </c>
      <c r="S5482" s="176"/>
      <c r="T5482" s="190">
        <v>74.67</v>
      </c>
      <c r="U5482" s="191">
        <v>70</v>
      </c>
      <c r="V5482" s="191">
        <v>667.33</v>
      </c>
      <c r="W5482">
        <v>447</v>
      </c>
      <c r="X5482" s="186" t="s">
        <v>2024</v>
      </c>
      <c r="Y5482" s="187" t="s">
        <v>55</v>
      </c>
      <c r="Z5482" s="311">
        <v>275</v>
      </c>
      <c r="AB5482" t="str">
        <f>IF(Table1[[#This Row],[TIPO2]]="costo", VLOOKUP(Table1[[#This Row],[PARTIDA PRESUPUESTAL]],'Cost Report'!G:G,1,0),"Balance")</f>
        <v>4180-003</v>
      </c>
      <c r="AD5482" s="159">
        <f>+Table1[[#This Row],[SUBTOTAL]]+Table1[[#This Row],[IVA]]-Table1[[#This Row],[RET IVA]]-Table1[[#This Row],[RET ISR]]-Table1[[#This Row],[TOTAL]]</f>
        <v>0</v>
      </c>
      <c r="AK5482" s="306">
        <f>IF(ISNUMBER(Table1[[#This Row],[FECHA DE RECIBIDO]]), Table1[[#This Row],[FECHA DE RECIBIDO]]-DATE(2023,8,30), "")</f>
        <v>-44895.193692129629</v>
      </c>
    </row>
    <row r="5483" spans="1:37" ht="16.05" customHeight="1">
      <c r="A5483" s="172" t="s">
        <v>4916</v>
      </c>
      <c r="B5483" s="178">
        <v>1895</v>
      </c>
      <c r="C5483" s="179" t="s">
        <v>2786</v>
      </c>
      <c r="D5483">
        <v>3715</v>
      </c>
      <c r="E5483" s="125">
        <v>45407</v>
      </c>
      <c r="F5483" s="178" t="s">
        <v>1589</v>
      </c>
      <c r="G5483" s="178" t="e">
        <v>#N/A</v>
      </c>
      <c r="H5483">
        <v>916</v>
      </c>
      <c r="I5483" s="178" t="s">
        <v>1546</v>
      </c>
      <c r="J5483" s="320">
        <v>274.46128472222335</v>
      </c>
      <c r="K5483" s="178" t="s">
        <v>4872</v>
      </c>
      <c r="L5483" s="125" t="s">
        <v>3306</v>
      </c>
      <c r="M5483">
        <v>1278</v>
      </c>
      <c r="N5483" s="182">
        <v>1</v>
      </c>
      <c r="O5483">
        <v>3548</v>
      </c>
      <c r="P5483" s="132" t="s">
        <v>77</v>
      </c>
      <c r="Q5483" s="176">
        <v>8400</v>
      </c>
      <c r="R5483" s="176">
        <v>1344</v>
      </c>
      <c r="S5483" s="176"/>
      <c r="T5483" s="190">
        <v>896</v>
      </c>
      <c r="U5483" s="191">
        <v>840</v>
      </c>
      <c r="V5483" s="191">
        <v>8008</v>
      </c>
      <c r="W5483">
        <v>448</v>
      </c>
      <c r="X5483" s="186" t="s">
        <v>1429</v>
      </c>
      <c r="Y5483" s="187" t="s">
        <v>55</v>
      </c>
      <c r="Z5483" s="311">
        <v>275</v>
      </c>
      <c r="AB5483" t="str">
        <f>IF(Table1[[#This Row],[TIPO2]]="costo", VLOOKUP(Table1[[#This Row],[PARTIDA PRESUPUESTAL]],'Cost Report'!G:G,1,0),"Balance")</f>
        <v>3407-011</v>
      </c>
      <c r="AD5483" s="159">
        <f>+Table1[[#This Row],[SUBTOTAL]]+Table1[[#This Row],[IVA]]-Table1[[#This Row],[RET IVA]]-Table1[[#This Row],[RET ISR]]-Table1[[#This Row],[TOTAL]]</f>
        <v>0</v>
      </c>
      <c r="AK5483" s="306">
        <f>IF(ISNUMBER(Table1[[#This Row],[FECHA DE RECIBIDO]]), Table1[[#This Row],[FECHA DE RECIBIDO]]-DATE(2023,8,30), "")</f>
        <v>-44893.538715277777</v>
      </c>
    </row>
    <row r="5484" spans="1:37" ht="16.05" customHeight="1">
      <c r="A5484" s="172" t="s">
        <v>4917</v>
      </c>
      <c r="B5484" s="178">
        <v>1896</v>
      </c>
      <c r="C5484" s="179" t="s">
        <v>978</v>
      </c>
      <c r="D5484">
        <v>3716</v>
      </c>
      <c r="E5484" s="125">
        <v>44200</v>
      </c>
      <c r="F5484" s="178" t="s">
        <v>1607</v>
      </c>
      <c r="G5484" s="178" t="e">
        <v>#N/A</v>
      </c>
      <c r="H5484">
        <v>84</v>
      </c>
      <c r="I5484" s="178" t="s">
        <v>1546</v>
      </c>
      <c r="J5484" s="320">
        <v>271.59262731481431</v>
      </c>
      <c r="K5484" s="178" t="s">
        <v>4872</v>
      </c>
      <c r="L5484" s="125" t="s">
        <v>3306</v>
      </c>
      <c r="M5484">
        <v>1113</v>
      </c>
      <c r="N5484" s="182">
        <v>1</v>
      </c>
      <c r="O5484">
        <v>3549</v>
      </c>
      <c r="P5484" s="132" t="s">
        <v>77</v>
      </c>
      <c r="Q5484" s="176">
        <v>31613.34</v>
      </c>
      <c r="R5484" s="176">
        <v>5058.1400000000003</v>
      </c>
      <c r="S5484" s="176"/>
      <c r="T5484" s="190"/>
      <c r="U5484" s="191"/>
      <c r="V5484" s="191">
        <v>36671.480000000003</v>
      </c>
      <c r="W5484">
        <v>56</v>
      </c>
      <c r="X5484" s="186" t="s">
        <v>1429</v>
      </c>
      <c r="Y5484" s="187" t="s">
        <v>55</v>
      </c>
      <c r="Z5484" s="311">
        <v>275</v>
      </c>
      <c r="AB5484" t="str">
        <f>IF(Table1[[#This Row],[TIPO2]]="costo", VLOOKUP(Table1[[#This Row],[PARTIDA PRESUPUESTAL]],'Cost Report'!G:G,1,0),"Balance")</f>
        <v>3410-013</v>
      </c>
      <c r="AD5484" s="159">
        <f>+Table1[[#This Row],[SUBTOTAL]]+Table1[[#This Row],[IVA]]-Table1[[#This Row],[RET IVA]]-Table1[[#This Row],[RET ISR]]-Table1[[#This Row],[TOTAL]]</f>
        <v>0</v>
      </c>
      <c r="AK5484" s="306">
        <f>IF(ISNUMBER(Table1[[#This Row],[FECHA DE RECIBIDO]]), Table1[[#This Row],[FECHA DE RECIBIDO]]-DATE(2023,8,30), "")</f>
        <v>-44896.407372685186</v>
      </c>
    </row>
    <row r="5485" spans="1:37" ht="16.05" customHeight="1">
      <c r="A5485" s="172" t="s">
        <v>4917</v>
      </c>
      <c r="B5485" s="178">
        <v>1896</v>
      </c>
      <c r="C5485" s="179" t="s">
        <v>978</v>
      </c>
      <c r="D5485">
        <v>3716</v>
      </c>
      <c r="E5485" s="125">
        <v>44200</v>
      </c>
      <c r="F5485" s="178" t="s">
        <v>1607</v>
      </c>
      <c r="G5485" s="178" t="e">
        <v>#N/A</v>
      </c>
      <c r="H5485">
        <v>84</v>
      </c>
      <c r="I5485" s="178" t="s">
        <v>1546</v>
      </c>
      <c r="J5485" s="320">
        <v>271.59262731481431</v>
      </c>
      <c r="K5485" s="178" t="s">
        <v>4872</v>
      </c>
      <c r="L5485" s="125" t="s">
        <v>3306</v>
      </c>
      <c r="M5485">
        <v>1113</v>
      </c>
      <c r="N5485" s="182">
        <v>1</v>
      </c>
      <c r="O5485">
        <v>3549</v>
      </c>
      <c r="P5485" s="132" t="s">
        <v>77</v>
      </c>
      <c r="Q5485" s="176">
        <v>31613.34</v>
      </c>
      <c r="R5485" s="176">
        <v>5058.1400000000003</v>
      </c>
      <c r="S5485" s="176"/>
      <c r="T5485" s="190"/>
      <c r="U5485" s="191"/>
      <c r="V5485" s="191">
        <v>36671.480000000003</v>
      </c>
      <c r="W5485">
        <v>56</v>
      </c>
      <c r="X5485" s="186" t="s">
        <v>1429</v>
      </c>
      <c r="Y5485" s="187" t="s">
        <v>55</v>
      </c>
      <c r="Z5485" s="311">
        <v>275</v>
      </c>
      <c r="AB5485" t="str">
        <f>IF(Table1[[#This Row],[TIPO2]]="costo", VLOOKUP(Table1[[#This Row],[PARTIDA PRESUPUESTAL]],'Cost Report'!G:G,1,0),"Balance")</f>
        <v>3410-013</v>
      </c>
      <c r="AD5485" s="159">
        <f>+Table1[[#This Row],[SUBTOTAL]]+Table1[[#This Row],[IVA]]-Table1[[#This Row],[RET IVA]]-Table1[[#This Row],[RET ISR]]-Table1[[#This Row],[TOTAL]]</f>
        <v>0</v>
      </c>
      <c r="AK5485" s="306">
        <f>IF(ISNUMBER(Table1[[#This Row],[FECHA DE RECIBIDO]]), Table1[[#This Row],[FECHA DE RECIBIDO]]-DATE(2023,8,30), "")</f>
        <v>-44896.407372685186</v>
      </c>
    </row>
    <row r="5486" spans="1:37" ht="16.05" customHeight="1">
      <c r="A5486" s="172" t="s">
        <v>4917</v>
      </c>
      <c r="B5486" s="178">
        <v>1896</v>
      </c>
      <c r="C5486" s="179" t="s">
        <v>978</v>
      </c>
      <c r="D5486">
        <v>3716</v>
      </c>
      <c r="E5486" s="125">
        <v>44200</v>
      </c>
      <c r="F5486" s="178" t="s">
        <v>1607</v>
      </c>
      <c r="G5486" s="178" t="e">
        <v>#N/A</v>
      </c>
      <c r="H5486">
        <v>84</v>
      </c>
      <c r="I5486" s="178" t="s">
        <v>1546</v>
      </c>
      <c r="J5486" s="320">
        <v>271.59262731481431</v>
      </c>
      <c r="K5486" s="178" t="s">
        <v>4872</v>
      </c>
      <c r="L5486" s="125" t="s">
        <v>3306</v>
      </c>
      <c r="M5486">
        <v>1113</v>
      </c>
      <c r="N5486" s="182">
        <v>1</v>
      </c>
      <c r="O5486">
        <v>3549</v>
      </c>
      <c r="P5486" s="132" t="s">
        <v>77</v>
      </c>
      <c r="Q5486" s="176">
        <v>31613.34</v>
      </c>
      <c r="R5486" s="176">
        <v>5058.1400000000003</v>
      </c>
      <c r="S5486" s="176"/>
      <c r="T5486" s="190"/>
      <c r="U5486" s="191"/>
      <c r="V5486" s="191">
        <v>36671.480000000003</v>
      </c>
      <c r="W5486">
        <v>56</v>
      </c>
      <c r="X5486" s="186" t="s">
        <v>1429</v>
      </c>
      <c r="Y5486" s="187" t="s">
        <v>55</v>
      </c>
      <c r="Z5486" s="311">
        <v>275</v>
      </c>
      <c r="AB5486" t="str">
        <f>IF(Table1[[#This Row],[TIPO2]]="costo", VLOOKUP(Table1[[#This Row],[PARTIDA PRESUPUESTAL]],'Cost Report'!G:G,1,0),"Balance")</f>
        <v>3410-013</v>
      </c>
      <c r="AD5486" s="159">
        <f>+Table1[[#This Row],[SUBTOTAL]]+Table1[[#This Row],[IVA]]-Table1[[#This Row],[RET IVA]]-Table1[[#This Row],[RET ISR]]-Table1[[#This Row],[TOTAL]]</f>
        <v>0</v>
      </c>
      <c r="AK5486" s="306">
        <f>IF(ISNUMBER(Table1[[#This Row],[FECHA DE RECIBIDO]]), Table1[[#This Row],[FECHA DE RECIBIDO]]-DATE(2023,8,30), "")</f>
        <v>-44896.407372685186</v>
      </c>
    </row>
    <row r="5487" spans="1:37" ht="16.05" customHeight="1">
      <c r="A5487" s="172" t="s">
        <v>4917</v>
      </c>
      <c r="B5487" s="178">
        <v>1896</v>
      </c>
      <c r="C5487" s="179" t="s">
        <v>978</v>
      </c>
      <c r="D5487">
        <v>3716</v>
      </c>
      <c r="E5487" s="125">
        <v>44200</v>
      </c>
      <c r="F5487" s="178" t="s">
        <v>1607</v>
      </c>
      <c r="G5487" s="178" t="e">
        <v>#N/A</v>
      </c>
      <c r="H5487">
        <v>84</v>
      </c>
      <c r="I5487" s="178" t="s">
        <v>1546</v>
      </c>
      <c r="J5487" s="320">
        <v>271.59262731481431</v>
      </c>
      <c r="K5487" s="178" t="s">
        <v>4872</v>
      </c>
      <c r="L5487" s="125" t="s">
        <v>3306</v>
      </c>
      <c r="M5487">
        <v>1113</v>
      </c>
      <c r="N5487" s="182">
        <v>1</v>
      </c>
      <c r="O5487">
        <v>3549</v>
      </c>
      <c r="P5487" s="132" t="s">
        <v>77</v>
      </c>
      <c r="Q5487" s="176">
        <v>31613.33</v>
      </c>
      <c r="R5487" s="176">
        <v>5058.13</v>
      </c>
      <c r="S5487" s="176"/>
      <c r="T5487" s="190"/>
      <c r="U5487" s="191"/>
      <c r="V5487" s="191">
        <v>36671.46</v>
      </c>
      <c r="W5487">
        <v>56</v>
      </c>
      <c r="X5487" s="186" t="s">
        <v>1429</v>
      </c>
      <c r="Y5487" s="187" t="s">
        <v>55</v>
      </c>
      <c r="Z5487" s="311">
        <v>275</v>
      </c>
      <c r="AB5487" t="str">
        <f>IF(Table1[[#This Row],[TIPO2]]="costo", VLOOKUP(Table1[[#This Row],[PARTIDA PRESUPUESTAL]],'Cost Report'!G:G,1,0),"Balance")</f>
        <v>3410-013</v>
      </c>
      <c r="AD5487" s="159">
        <f>+Table1[[#This Row],[SUBTOTAL]]+Table1[[#This Row],[IVA]]-Table1[[#This Row],[RET IVA]]-Table1[[#This Row],[RET ISR]]-Table1[[#This Row],[TOTAL]]</f>
        <v>0</v>
      </c>
      <c r="AK5487" s="306">
        <f>IF(ISNUMBER(Table1[[#This Row],[FECHA DE RECIBIDO]]), Table1[[#This Row],[FECHA DE RECIBIDO]]-DATE(2023,8,30), "")</f>
        <v>-44896.407372685186</v>
      </c>
    </row>
    <row r="5488" spans="1:37" ht="16.05" customHeight="1">
      <c r="A5488" s="172" t="s">
        <v>4917</v>
      </c>
      <c r="B5488" s="178">
        <v>1896</v>
      </c>
      <c r="C5488" s="179" t="s">
        <v>978</v>
      </c>
      <c r="D5488">
        <v>3716</v>
      </c>
      <c r="E5488" s="125">
        <v>44200</v>
      </c>
      <c r="F5488" s="178" t="s">
        <v>1607</v>
      </c>
      <c r="G5488" s="178" t="e">
        <v>#N/A</v>
      </c>
      <c r="H5488">
        <v>84</v>
      </c>
      <c r="I5488" s="178" t="s">
        <v>1546</v>
      </c>
      <c r="J5488" s="320">
        <v>271.59262731481431</v>
      </c>
      <c r="K5488" s="178" t="s">
        <v>4872</v>
      </c>
      <c r="L5488" s="125" t="s">
        <v>3306</v>
      </c>
      <c r="M5488">
        <v>1113</v>
      </c>
      <c r="N5488" s="182">
        <v>1</v>
      </c>
      <c r="O5488">
        <v>3549</v>
      </c>
      <c r="P5488" s="132" t="s">
        <v>77</v>
      </c>
      <c r="Q5488" s="176">
        <v>31613.33</v>
      </c>
      <c r="R5488" s="176">
        <v>5058.13</v>
      </c>
      <c r="S5488" s="176"/>
      <c r="T5488" s="190"/>
      <c r="U5488" s="191"/>
      <c r="V5488" s="191">
        <v>36671.46</v>
      </c>
      <c r="W5488">
        <v>56</v>
      </c>
      <c r="X5488" s="186" t="s">
        <v>1429</v>
      </c>
      <c r="Y5488" s="187" t="s">
        <v>55</v>
      </c>
      <c r="Z5488" s="311">
        <v>275</v>
      </c>
      <c r="AB5488" t="str">
        <f>IF(Table1[[#This Row],[TIPO2]]="costo", VLOOKUP(Table1[[#This Row],[PARTIDA PRESUPUESTAL]],'Cost Report'!G:G,1,0),"Balance")</f>
        <v>3410-013</v>
      </c>
      <c r="AD5488" s="159">
        <f>+Table1[[#This Row],[SUBTOTAL]]+Table1[[#This Row],[IVA]]-Table1[[#This Row],[RET IVA]]-Table1[[#This Row],[RET ISR]]-Table1[[#This Row],[TOTAL]]</f>
        <v>0</v>
      </c>
      <c r="AK5488" s="306">
        <f>IF(ISNUMBER(Table1[[#This Row],[FECHA DE RECIBIDO]]), Table1[[#This Row],[FECHA DE RECIBIDO]]-DATE(2023,8,30), "")</f>
        <v>-44896.407372685186</v>
      </c>
    </row>
    <row r="5489" spans="1:37" ht="16.05" customHeight="1">
      <c r="A5489" s="172" t="s">
        <v>4917</v>
      </c>
      <c r="B5489" s="178">
        <v>1896</v>
      </c>
      <c r="C5489" s="179" t="s">
        <v>978</v>
      </c>
      <c r="D5489">
        <v>3716</v>
      </c>
      <c r="E5489" s="125">
        <v>44200</v>
      </c>
      <c r="F5489" s="178" t="s">
        <v>1607</v>
      </c>
      <c r="G5489" s="178" t="e">
        <v>#N/A</v>
      </c>
      <c r="H5489">
        <v>84</v>
      </c>
      <c r="I5489" s="178" t="s">
        <v>1546</v>
      </c>
      <c r="J5489" s="320">
        <v>271.59262731481431</v>
      </c>
      <c r="K5489" s="178" t="s">
        <v>4872</v>
      </c>
      <c r="L5489" s="125" t="s">
        <v>3306</v>
      </c>
      <c r="M5489">
        <v>1113</v>
      </c>
      <c r="N5489" s="182">
        <v>1</v>
      </c>
      <c r="O5489">
        <v>3549</v>
      </c>
      <c r="P5489" s="132" t="s">
        <v>77</v>
      </c>
      <c r="Q5489" s="176">
        <v>31613.33</v>
      </c>
      <c r="R5489" s="176">
        <v>5058.13</v>
      </c>
      <c r="S5489" s="176"/>
      <c r="T5489" s="190"/>
      <c r="U5489" s="191"/>
      <c r="V5489" s="191">
        <v>36671.46</v>
      </c>
      <c r="W5489">
        <v>56</v>
      </c>
      <c r="X5489" s="186" t="s">
        <v>1429</v>
      </c>
      <c r="Y5489" s="187" t="s">
        <v>55</v>
      </c>
      <c r="Z5489" s="311">
        <v>275</v>
      </c>
      <c r="AB5489" t="str">
        <f>IF(Table1[[#This Row],[TIPO2]]="costo", VLOOKUP(Table1[[#This Row],[PARTIDA PRESUPUESTAL]],'Cost Report'!G:G,1,0),"Balance")</f>
        <v>3410-013</v>
      </c>
      <c r="AD5489" s="159">
        <f>+Table1[[#This Row],[SUBTOTAL]]+Table1[[#This Row],[IVA]]-Table1[[#This Row],[RET IVA]]-Table1[[#This Row],[RET ISR]]-Table1[[#This Row],[TOTAL]]</f>
        <v>0</v>
      </c>
      <c r="AK5489" s="306">
        <f>IF(ISNUMBER(Table1[[#This Row],[FECHA DE RECIBIDO]]), Table1[[#This Row],[FECHA DE RECIBIDO]]-DATE(2023,8,30), "")</f>
        <v>-44896.407372685186</v>
      </c>
    </row>
    <row r="5490" spans="1:37" ht="16.05" customHeight="1">
      <c r="A5490" s="172" t="s">
        <v>4917</v>
      </c>
      <c r="B5490" s="178">
        <v>1896</v>
      </c>
      <c r="C5490" s="179" t="s">
        <v>978</v>
      </c>
      <c r="D5490">
        <v>3716</v>
      </c>
      <c r="E5490" s="125">
        <v>44200</v>
      </c>
      <c r="F5490" s="178" t="s">
        <v>1607</v>
      </c>
      <c r="G5490" s="178" t="e">
        <v>#N/A</v>
      </c>
      <c r="H5490">
        <v>84</v>
      </c>
      <c r="I5490" s="178" t="s">
        <v>1546</v>
      </c>
      <c r="J5490" s="320">
        <v>271.59262731481431</v>
      </c>
      <c r="K5490" s="178" t="s">
        <v>4872</v>
      </c>
      <c r="L5490" s="125" t="s">
        <v>3306</v>
      </c>
      <c r="M5490">
        <v>1113</v>
      </c>
      <c r="N5490" s="182">
        <v>1</v>
      </c>
      <c r="O5490">
        <v>3549</v>
      </c>
      <c r="P5490" s="132" t="s">
        <v>77</v>
      </c>
      <c r="Q5490" s="176">
        <v>31613.33</v>
      </c>
      <c r="R5490" s="176">
        <v>5058.13</v>
      </c>
      <c r="S5490" s="176"/>
      <c r="T5490" s="190"/>
      <c r="U5490" s="191"/>
      <c r="V5490" s="191">
        <v>36671.46</v>
      </c>
      <c r="W5490">
        <v>56</v>
      </c>
      <c r="X5490" s="186" t="s">
        <v>1429</v>
      </c>
      <c r="Y5490" s="187" t="s">
        <v>55</v>
      </c>
      <c r="Z5490" s="311">
        <v>275</v>
      </c>
      <c r="AB5490" t="str">
        <f>IF(Table1[[#This Row],[TIPO2]]="costo", VLOOKUP(Table1[[#This Row],[PARTIDA PRESUPUESTAL]],'Cost Report'!G:G,1,0),"Balance")</f>
        <v>3410-013</v>
      </c>
      <c r="AD5490" s="159">
        <f>+Table1[[#This Row],[SUBTOTAL]]+Table1[[#This Row],[IVA]]-Table1[[#This Row],[RET IVA]]-Table1[[#This Row],[RET ISR]]-Table1[[#This Row],[TOTAL]]</f>
        <v>0</v>
      </c>
      <c r="AK5490" s="306">
        <f>IF(ISNUMBER(Table1[[#This Row],[FECHA DE RECIBIDO]]), Table1[[#This Row],[FECHA DE RECIBIDO]]-DATE(2023,8,30), "")</f>
        <v>-44896.407372685186</v>
      </c>
    </row>
    <row r="5491" spans="1:37" ht="16.05" customHeight="1">
      <c r="A5491" s="172" t="s">
        <v>4917</v>
      </c>
      <c r="B5491" s="178">
        <v>1896</v>
      </c>
      <c r="C5491" s="179" t="s">
        <v>978</v>
      </c>
      <c r="D5491">
        <v>3716</v>
      </c>
      <c r="E5491" s="125">
        <v>44200</v>
      </c>
      <c r="F5491" s="178" t="s">
        <v>1607</v>
      </c>
      <c r="G5491" s="178" t="e">
        <v>#N/A</v>
      </c>
      <c r="H5491">
        <v>84</v>
      </c>
      <c r="I5491" s="178" t="s">
        <v>1546</v>
      </c>
      <c r="J5491" s="320">
        <v>271.59262731481431</v>
      </c>
      <c r="K5491" s="178" t="s">
        <v>4872</v>
      </c>
      <c r="L5491" s="125" t="s">
        <v>3306</v>
      </c>
      <c r="M5491">
        <v>1113</v>
      </c>
      <c r="N5491" s="182">
        <v>1</v>
      </c>
      <c r="O5491">
        <v>3549</v>
      </c>
      <c r="P5491" s="132" t="s">
        <v>77</v>
      </c>
      <c r="Q5491" s="176">
        <v>31613.33</v>
      </c>
      <c r="R5491" s="176">
        <v>5058.13</v>
      </c>
      <c r="S5491" s="176"/>
      <c r="T5491" s="190"/>
      <c r="U5491" s="191"/>
      <c r="V5491" s="191">
        <v>36671.46</v>
      </c>
      <c r="W5491">
        <v>56</v>
      </c>
      <c r="X5491" s="186" t="s">
        <v>1429</v>
      </c>
      <c r="Y5491" s="187" t="s">
        <v>55</v>
      </c>
      <c r="Z5491" s="311">
        <v>275</v>
      </c>
      <c r="AB5491" t="str">
        <f>IF(Table1[[#This Row],[TIPO2]]="costo", VLOOKUP(Table1[[#This Row],[PARTIDA PRESUPUESTAL]],'Cost Report'!G:G,1,0),"Balance")</f>
        <v>3410-013</v>
      </c>
      <c r="AD5491" s="159">
        <f>+Table1[[#This Row],[SUBTOTAL]]+Table1[[#This Row],[IVA]]-Table1[[#This Row],[RET IVA]]-Table1[[#This Row],[RET ISR]]-Table1[[#This Row],[TOTAL]]</f>
        <v>0</v>
      </c>
      <c r="AK5491" s="306">
        <f>IF(ISNUMBER(Table1[[#This Row],[FECHA DE RECIBIDO]]), Table1[[#This Row],[FECHA DE RECIBIDO]]-DATE(2023,8,30), "")</f>
        <v>-44896.407372685186</v>
      </c>
    </row>
    <row r="5492" spans="1:37" ht="16.05" customHeight="1">
      <c r="A5492" s="172" t="s">
        <v>4917</v>
      </c>
      <c r="B5492" s="178">
        <v>1896</v>
      </c>
      <c r="C5492" s="179" t="s">
        <v>978</v>
      </c>
      <c r="D5492">
        <v>3716</v>
      </c>
      <c r="E5492" s="125">
        <v>44200</v>
      </c>
      <c r="F5492" s="178" t="s">
        <v>1607</v>
      </c>
      <c r="G5492" s="178" t="e">
        <v>#N/A</v>
      </c>
      <c r="H5492">
        <v>84</v>
      </c>
      <c r="I5492" s="178" t="s">
        <v>1546</v>
      </c>
      <c r="J5492" s="320">
        <v>271.59262731481431</v>
      </c>
      <c r="K5492" s="178" t="s">
        <v>4872</v>
      </c>
      <c r="L5492" s="125" t="s">
        <v>3306</v>
      </c>
      <c r="M5492">
        <v>1113</v>
      </c>
      <c r="N5492" s="182">
        <v>1</v>
      </c>
      <c r="O5492">
        <v>3549</v>
      </c>
      <c r="P5492" s="132" t="s">
        <v>77</v>
      </c>
      <c r="Q5492" s="176">
        <v>31613.33</v>
      </c>
      <c r="R5492" s="176">
        <v>5058.13</v>
      </c>
      <c r="S5492" s="176"/>
      <c r="T5492" s="190"/>
      <c r="U5492" s="191"/>
      <c r="V5492" s="191">
        <v>36671.46</v>
      </c>
      <c r="W5492">
        <v>56</v>
      </c>
      <c r="X5492" s="186" t="s">
        <v>1429</v>
      </c>
      <c r="Y5492" s="187" t="s">
        <v>55</v>
      </c>
      <c r="Z5492" s="311">
        <v>275</v>
      </c>
      <c r="AB5492" t="str">
        <f>IF(Table1[[#This Row],[TIPO2]]="costo", VLOOKUP(Table1[[#This Row],[PARTIDA PRESUPUESTAL]],'Cost Report'!G:G,1,0),"Balance")</f>
        <v>3410-013</v>
      </c>
      <c r="AD5492" s="159">
        <f>+Table1[[#This Row],[SUBTOTAL]]+Table1[[#This Row],[IVA]]-Table1[[#This Row],[RET IVA]]-Table1[[#This Row],[RET ISR]]-Table1[[#This Row],[TOTAL]]</f>
        <v>0</v>
      </c>
      <c r="AK5492" s="306">
        <f>IF(ISNUMBER(Table1[[#This Row],[FECHA DE RECIBIDO]]), Table1[[#This Row],[FECHA DE RECIBIDO]]-DATE(2023,8,30), "")</f>
        <v>-44896.407372685186</v>
      </c>
    </row>
    <row r="5493" spans="1:37" ht="16.05" customHeight="1">
      <c r="A5493" s="172" t="s">
        <v>4918</v>
      </c>
      <c r="B5493" s="178">
        <v>1897</v>
      </c>
      <c r="C5493" s="179" t="s">
        <v>1035</v>
      </c>
      <c r="D5493">
        <v>3717</v>
      </c>
      <c r="E5493" s="125">
        <v>44150</v>
      </c>
      <c r="F5493" s="178" t="s">
        <v>1607</v>
      </c>
      <c r="G5493" s="178" t="e">
        <v>#N/A</v>
      </c>
      <c r="H5493">
        <v>23</v>
      </c>
      <c r="I5493" s="178" t="s">
        <v>1546</v>
      </c>
      <c r="J5493" s="320">
        <v>275.49274305555446</v>
      </c>
      <c r="K5493" s="178" t="s">
        <v>4872</v>
      </c>
      <c r="L5493" s="125" t="s">
        <v>3306</v>
      </c>
      <c r="M5493">
        <v>343</v>
      </c>
      <c r="N5493" s="182">
        <v>1</v>
      </c>
      <c r="O5493">
        <v>3550</v>
      </c>
      <c r="P5493" s="132" t="s">
        <v>77</v>
      </c>
      <c r="Q5493" s="176">
        <v>14109.44</v>
      </c>
      <c r="R5493" s="176">
        <v>2257.52</v>
      </c>
      <c r="S5493" s="176"/>
      <c r="T5493" s="190"/>
      <c r="U5493" s="191"/>
      <c r="V5493" s="191">
        <v>16366.960000000001</v>
      </c>
      <c r="W5493">
        <v>25</v>
      </c>
      <c r="X5493" s="186" t="s">
        <v>2024</v>
      </c>
      <c r="Y5493" s="187" t="s">
        <v>55</v>
      </c>
      <c r="Z5493" s="311">
        <v>275</v>
      </c>
      <c r="AB5493" t="str">
        <f>IF(Table1[[#This Row],[TIPO2]]="costo", VLOOKUP(Table1[[#This Row],[PARTIDA PRESUPUESTAL]],'Cost Report'!G:G,1,0),"Balance")</f>
        <v>3683-006</v>
      </c>
      <c r="AD5493" s="159">
        <f>+Table1[[#This Row],[SUBTOTAL]]+Table1[[#This Row],[IVA]]-Table1[[#This Row],[RET IVA]]-Table1[[#This Row],[RET ISR]]-Table1[[#This Row],[TOTAL]]</f>
        <v>0</v>
      </c>
      <c r="AK5493" s="306">
        <f>IF(ISNUMBER(Table1[[#This Row],[FECHA DE RECIBIDO]]), Table1[[#This Row],[FECHA DE RECIBIDO]]-DATE(2023,8,30), "")</f>
        <v>-44892.507256944446</v>
      </c>
    </row>
    <row r="5494" spans="1:37" ht="16.05" customHeight="1">
      <c r="A5494" s="172" t="s">
        <v>4918</v>
      </c>
      <c r="B5494" s="178">
        <v>1897</v>
      </c>
      <c r="C5494" s="179" t="s">
        <v>1039</v>
      </c>
      <c r="D5494">
        <v>3717</v>
      </c>
      <c r="E5494" s="125">
        <v>44150</v>
      </c>
      <c r="F5494" s="178" t="s">
        <v>1607</v>
      </c>
      <c r="G5494" s="178" t="e">
        <v>#N/A</v>
      </c>
      <c r="H5494">
        <v>23</v>
      </c>
      <c r="I5494" s="178" t="s">
        <v>1546</v>
      </c>
      <c r="J5494" s="320">
        <v>275.49274305555446</v>
      </c>
      <c r="K5494" s="178" t="s">
        <v>4872</v>
      </c>
      <c r="L5494" s="125" t="s">
        <v>3306</v>
      </c>
      <c r="M5494">
        <v>343</v>
      </c>
      <c r="N5494" s="182">
        <v>1</v>
      </c>
      <c r="O5494">
        <v>3550</v>
      </c>
      <c r="P5494" s="132" t="s">
        <v>77</v>
      </c>
      <c r="Q5494" s="176">
        <v>14713.4</v>
      </c>
      <c r="R5494" s="176">
        <v>2354.15</v>
      </c>
      <c r="S5494" s="176"/>
      <c r="T5494" s="190"/>
      <c r="U5494" s="191"/>
      <c r="V5494" s="191">
        <v>17067.55</v>
      </c>
      <c r="W5494">
        <v>25</v>
      </c>
      <c r="X5494" s="186" t="s">
        <v>2024</v>
      </c>
      <c r="Y5494" s="187" t="s">
        <v>55</v>
      </c>
      <c r="Z5494" s="311">
        <v>275</v>
      </c>
      <c r="AB5494" t="str">
        <f>IF(Table1[[#This Row],[TIPO2]]="costo", VLOOKUP(Table1[[#This Row],[PARTIDA PRESUPUESTAL]],'Cost Report'!G:G,1,0),"Balance")</f>
        <v>3683-012</v>
      </c>
      <c r="AD5494" s="159">
        <f>+Table1[[#This Row],[SUBTOTAL]]+Table1[[#This Row],[IVA]]-Table1[[#This Row],[RET IVA]]-Table1[[#This Row],[RET ISR]]-Table1[[#This Row],[TOTAL]]</f>
        <v>0</v>
      </c>
      <c r="AK5494" s="306">
        <f>IF(ISNUMBER(Table1[[#This Row],[FECHA DE RECIBIDO]]), Table1[[#This Row],[FECHA DE RECIBIDO]]-DATE(2023,8,30), "")</f>
        <v>-44892.507256944446</v>
      </c>
    </row>
    <row r="5495" spans="1:37" ht="16.05" customHeight="1">
      <c r="A5495" s="172" t="s">
        <v>4918</v>
      </c>
      <c r="B5495" s="178">
        <v>1897</v>
      </c>
      <c r="C5495" s="179" t="s">
        <v>1043</v>
      </c>
      <c r="D5495">
        <v>3717</v>
      </c>
      <c r="E5495" s="125">
        <v>44150</v>
      </c>
      <c r="F5495" s="178" t="s">
        <v>1607</v>
      </c>
      <c r="G5495" s="178" t="e">
        <v>#N/A</v>
      </c>
      <c r="H5495">
        <v>23</v>
      </c>
      <c r="I5495" s="178" t="s">
        <v>1546</v>
      </c>
      <c r="J5495" s="320">
        <v>275.49274305555446</v>
      </c>
      <c r="K5495" s="178" t="s">
        <v>4872</v>
      </c>
      <c r="L5495" s="125" t="s">
        <v>3306</v>
      </c>
      <c r="M5495">
        <v>343</v>
      </c>
      <c r="N5495" s="182">
        <v>1</v>
      </c>
      <c r="O5495">
        <v>3550</v>
      </c>
      <c r="P5495" s="132" t="s">
        <v>77</v>
      </c>
      <c r="Q5495" s="176">
        <v>21617.06</v>
      </c>
      <c r="R5495" s="176">
        <v>3458.74</v>
      </c>
      <c r="S5495" s="176"/>
      <c r="T5495" s="190"/>
      <c r="U5495" s="191"/>
      <c r="V5495" s="191">
        <v>25075.800000000003</v>
      </c>
      <c r="W5495">
        <v>25</v>
      </c>
      <c r="X5495" s="186" t="s">
        <v>2024</v>
      </c>
      <c r="Y5495" s="187" t="s">
        <v>55</v>
      </c>
      <c r="Z5495" s="311">
        <v>275</v>
      </c>
      <c r="AB5495" t="str">
        <f>IF(Table1[[#This Row],[TIPO2]]="costo", VLOOKUP(Table1[[#This Row],[PARTIDA PRESUPUESTAL]],'Cost Report'!G:G,1,0),"Balance")</f>
        <v>3683-018</v>
      </c>
      <c r="AD5495" s="159">
        <f>+Table1[[#This Row],[SUBTOTAL]]+Table1[[#This Row],[IVA]]-Table1[[#This Row],[RET IVA]]-Table1[[#This Row],[RET ISR]]-Table1[[#This Row],[TOTAL]]</f>
        <v>0</v>
      </c>
      <c r="AK5495" s="306">
        <f>IF(ISNUMBER(Table1[[#This Row],[FECHA DE RECIBIDO]]), Table1[[#This Row],[FECHA DE RECIBIDO]]-DATE(2023,8,30), "")</f>
        <v>-44892.507256944446</v>
      </c>
    </row>
    <row r="5496" spans="1:37" ht="16.05" customHeight="1">
      <c r="A5496" s="172" t="s">
        <v>4918</v>
      </c>
      <c r="B5496" s="178">
        <v>1897</v>
      </c>
      <c r="C5496" s="179" t="s">
        <v>1047</v>
      </c>
      <c r="D5496">
        <v>3717</v>
      </c>
      <c r="E5496" s="125">
        <v>44150</v>
      </c>
      <c r="F5496" s="178" t="s">
        <v>1607</v>
      </c>
      <c r="G5496" s="178" t="e">
        <v>#N/A</v>
      </c>
      <c r="H5496">
        <v>23</v>
      </c>
      <c r="I5496" s="178" t="s">
        <v>1546</v>
      </c>
      <c r="J5496" s="320">
        <v>275.49274305555446</v>
      </c>
      <c r="K5496" s="178" t="s">
        <v>4872</v>
      </c>
      <c r="L5496" s="125" t="s">
        <v>3306</v>
      </c>
      <c r="M5496">
        <v>343</v>
      </c>
      <c r="N5496" s="182">
        <v>1</v>
      </c>
      <c r="O5496">
        <v>3550</v>
      </c>
      <c r="P5496" s="132" t="s">
        <v>77</v>
      </c>
      <c r="Q5496" s="176">
        <v>10568.34</v>
      </c>
      <c r="R5496" s="176">
        <v>1690.94</v>
      </c>
      <c r="S5496" s="176"/>
      <c r="T5496" s="190"/>
      <c r="U5496" s="191"/>
      <c r="V5496" s="191">
        <v>12259.28</v>
      </c>
      <c r="W5496">
        <v>25</v>
      </c>
      <c r="X5496" s="186" t="s">
        <v>2024</v>
      </c>
      <c r="Y5496" s="187" t="s">
        <v>55</v>
      </c>
      <c r="Z5496" s="311">
        <v>275</v>
      </c>
      <c r="AB5496" t="str">
        <f>IF(Table1[[#This Row],[TIPO2]]="costo", VLOOKUP(Table1[[#This Row],[PARTIDA PRESUPUESTAL]],'Cost Report'!G:G,1,0),"Balance")</f>
        <v>3683-024</v>
      </c>
      <c r="AD5496" s="159">
        <f>+Table1[[#This Row],[SUBTOTAL]]+Table1[[#This Row],[IVA]]-Table1[[#This Row],[RET IVA]]-Table1[[#This Row],[RET ISR]]-Table1[[#This Row],[TOTAL]]</f>
        <v>0</v>
      </c>
      <c r="AK5496" s="306">
        <f>IF(ISNUMBER(Table1[[#This Row],[FECHA DE RECIBIDO]]), Table1[[#This Row],[FECHA DE RECIBIDO]]-DATE(2023,8,30), "")</f>
        <v>-44892.507256944446</v>
      </c>
    </row>
    <row r="5497" spans="1:37" ht="16.05" customHeight="1">
      <c r="A5497" s="172" t="s">
        <v>4918</v>
      </c>
      <c r="B5497" s="178">
        <v>1897</v>
      </c>
      <c r="C5497" s="179" t="s">
        <v>1051</v>
      </c>
      <c r="D5497">
        <v>3717</v>
      </c>
      <c r="E5497" s="125">
        <v>44150</v>
      </c>
      <c r="F5497" s="178" t="s">
        <v>1607</v>
      </c>
      <c r="G5497" s="178" t="e">
        <v>#N/A</v>
      </c>
      <c r="H5497">
        <v>23</v>
      </c>
      <c r="I5497" s="178" t="s">
        <v>1546</v>
      </c>
      <c r="J5497" s="320">
        <v>275.49274305555446</v>
      </c>
      <c r="K5497" s="178" t="s">
        <v>4872</v>
      </c>
      <c r="L5497" s="125" t="s">
        <v>3306</v>
      </c>
      <c r="M5497">
        <v>343</v>
      </c>
      <c r="N5497" s="182">
        <v>1</v>
      </c>
      <c r="O5497">
        <v>3550</v>
      </c>
      <c r="P5497" s="132" t="s">
        <v>77</v>
      </c>
      <c r="Q5497" s="176">
        <v>9941.41</v>
      </c>
      <c r="R5497" s="176">
        <v>1590.63</v>
      </c>
      <c r="S5497" s="176"/>
      <c r="T5497" s="190"/>
      <c r="U5497" s="191"/>
      <c r="V5497" s="191">
        <v>11532.04</v>
      </c>
      <c r="W5497">
        <v>25</v>
      </c>
      <c r="X5497" s="186" t="s">
        <v>2024</v>
      </c>
      <c r="Y5497" s="187" t="s">
        <v>55</v>
      </c>
      <c r="Z5497" s="311">
        <v>275</v>
      </c>
      <c r="AB5497" t="str">
        <f>IF(Table1[[#This Row],[TIPO2]]="costo", VLOOKUP(Table1[[#This Row],[PARTIDA PRESUPUESTAL]],'Cost Report'!G:G,1,0),"Balance")</f>
        <v>3683-030</v>
      </c>
      <c r="AD5497" s="159">
        <f>+Table1[[#This Row],[SUBTOTAL]]+Table1[[#This Row],[IVA]]-Table1[[#This Row],[RET IVA]]-Table1[[#This Row],[RET ISR]]-Table1[[#This Row],[TOTAL]]</f>
        <v>0</v>
      </c>
      <c r="AK5497" s="306">
        <f>IF(ISNUMBER(Table1[[#This Row],[FECHA DE RECIBIDO]]), Table1[[#This Row],[FECHA DE RECIBIDO]]-DATE(2023,8,30), "")</f>
        <v>-44892.507256944446</v>
      </c>
    </row>
    <row r="5498" spans="1:37" ht="16.05" customHeight="1">
      <c r="A5498" s="172" t="s">
        <v>4918</v>
      </c>
      <c r="B5498" s="178">
        <v>1897</v>
      </c>
      <c r="C5498" s="126" t="s">
        <v>2897</v>
      </c>
      <c r="D5498">
        <v>3717</v>
      </c>
      <c r="E5498" s="125">
        <v>44150</v>
      </c>
      <c r="F5498" s="178" t="s">
        <v>1607</v>
      </c>
      <c r="G5498" s="178" t="e">
        <v>#N/A</v>
      </c>
      <c r="H5498">
        <v>23</v>
      </c>
      <c r="I5498" s="178" t="s">
        <v>1546</v>
      </c>
      <c r="J5498" s="320">
        <v>275.49274305555446</v>
      </c>
      <c r="K5498" s="178" t="s">
        <v>4872</v>
      </c>
      <c r="L5498" s="125" t="s">
        <v>3306</v>
      </c>
      <c r="M5498">
        <v>343</v>
      </c>
      <c r="N5498" s="182">
        <v>1</v>
      </c>
      <c r="O5498">
        <v>3550</v>
      </c>
      <c r="P5498" s="132" t="s">
        <v>77</v>
      </c>
      <c r="Q5498" s="176">
        <v>4837.8500000000004</v>
      </c>
      <c r="R5498" s="176">
        <v>774.06</v>
      </c>
      <c r="S5498" s="176"/>
      <c r="T5498" s="190"/>
      <c r="U5498" s="191"/>
      <c r="V5498" s="191">
        <v>5611.91</v>
      </c>
      <c r="W5498">
        <v>25</v>
      </c>
      <c r="X5498" s="186" t="s">
        <v>2024</v>
      </c>
      <c r="Y5498" s="187" t="s">
        <v>55</v>
      </c>
      <c r="Z5498" s="311">
        <v>275</v>
      </c>
      <c r="AB5498" t="str">
        <f>IF(Table1[[#This Row],[TIPO2]]="costo", VLOOKUP(Table1[[#This Row],[PARTIDA PRESUPUESTAL]],'Cost Report'!G:G,1,0),"Balance")</f>
        <v>3683-138</v>
      </c>
      <c r="AD5498" s="159">
        <f>+Table1[[#This Row],[SUBTOTAL]]+Table1[[#This Row],[IVA]]-Table1[[#This Row],[RET IVA]]-Table1[[#This Row],[RET ISR]]-Table1[[#This Row],[TOTAL]]</f>
        <v>0</v>
      </c>
      <c r="AK5498" s="306">
        <f>IF(ISNUMBER(Table1[[#This Row],[FECHA DE RECIBIDO]]), Table1[[#This Row],[FECHA DE RECIBIDO]]-DATE(2023,8,30), "")</f>
        <v>-44892.507256944446</v>
      </c>
    </row>
    <row r="5499" spans="1:37" ht="16.05" customHeight="1">
      <c r="A5499" s="172" t="s">
        <v>4918</v>
      </c>
      <c r="B5499" s="178">
        <v>1897</v>
      </c>
      <c r="C5499" s="179" t="s">
        <v>1059</v>
      </c>
      <c r="D5499">
        <v>3717</v>
      </c>
      <c r="E5499" s="125">
        <v>44150</v>
      </c>
      <c r="F5499" s="178" t="s">
        <v>1607</v>
      </c>
      <c r="G5499" s="178" t="e">
        <v>#N/A</v>
      </c>
      <c r="H5499">
        <v>23</v>
      </c>
      <c r="I5499" s="178" t="s">
        <v>1546</v>
      </c>
      <c r="J5499" s="320">
        <v>275.49274305555446</v>
      </c>
      <c r="K5499" s="178" t="s">
        <v>4872</v>
      </c>
      <c r="L5499" s="125" t="s">
        <v>3306</v>
      </c>
      <c r="M5499">
        <v>343</v>
      </c>
      <c r="N5499" s="182">
        <v>1</v>
      </c>
      <c r="O5499">
        <v>3550</v>
      </c>
      <c r="P5499" s="132" t="s">
        <v>77</v>
      </c>
      <c r="Q5499" s="176">
        <v>9941.4</v>
      </c>
      <c r="R5499" s="176">
        <v>1590.63</v>
      </c>
      <c r="S5499" s="176"/>
      <c r="T5499" s="190"/>
      <c r="U5499" s="191"/>
      <c r="V5499" s="191">
        <v>11532.029999999999</v>
      </c>
      <c r="W5499">
        <v>25</v>
      </c>
      <c r="X5499" s="186" t="s">
        <v>2024</v>
      </c>
      <c r="Y5499" s="187" t="s">
        <v>55</v>
      </c>
      <c r="Z5499" s="311">
        <v>275</v>
      </c>
      <c r="AB5499" t="str">
        <f>IF(Table1[[#This Row],[TIPO2]]="costo", VLOOKUP(Table1[[#This Row],[PARTIDA PRESUPUESTAL]],'Cost Report'!G:G,1,0),"Balance")</f>
        <v>3683-042</v>
      </c>
      <c r="AD5499" s="159">
        <f>+Table1[[#This Row],[SUBTOTAL]]+Table1[[#This Row],[IVA]]-Table1[[#This Row],[RET IVA]]-Table1[[#This Row],[RET ISR]]-Table1[[#This Row],[TOTAL]]</f>
        <v>0</v>
      </c>
      <c r="AK5499" s="306">
        <f>IF(ISNUMBER(Table1[[#This Row],[FECHA DE RECIBIDO]]), Table1[[#This Row],[FECHA DE RECIBIDO]]-DATE(2023,8,30), "")</f>
        <v>-44892.507256944446</v>
      </c>
    </row>
    <row r="5500" spans="1:37" ht="16.05" customHeight="1">
      <c r="A5500" s="172" t="s">
        <v>4918</v>
      </c>
      <c r="B5500" s="178">
        <v>1897</v>
      </c>
      <c r="C5500" s="179" t="s">
        <v>1063</v>
      </c>
      <c r="D5500">
        <v>3717</v>
      </c>
      <c r="E5500" s="125">
        <v>44150</v>
      </c>
      <c r="F5500" s="178" t="s">
        <v>1607</v>
      </c>
      <c r="G5500" s="178" t="e">
        <v>#N/A</v>
      </c>
      <c r="H5500">
        <v>23</v>
      </c>
      <c r="I5500" s="178" t="s">
        <v>1546</v>
      </c>
      <c r="J5500" s="320">
        <v>275.49274305555446</v>
      </c>
      <c r="K5500" s="178" t="s">
        <v>4872</v>
      </c>
      <c r="L5500" s="125" t="s">
        <v>3306</v>
      </c>
      <c r="M5500">
        <v>343</v>
      </c>
      <c r="N5500" s="182">
        <v>1</v>
      </c>
      <c r="O5500">
        <v>3550</v>
      </c>
      <c r="P5500" s="132" t="s">
        <v>77</v>
      </c>
      <c r="Q5500" s="176">
        <v>10568.33</v>
      </c>
      <c r="R5500" s="176">
        <v>1690.94</v>
      </c>
      <c r="S5500" s="176"/>
      <c r="T5500" s="190"/>
      <c r="U5500" s="191"/>
      <c r="V5500" s="191">
        <v>12259.27</v>
      </c>
      <c r="W5500">
        <v>25</v>
      </c>
      <c r="X5500" s="186" t="s">
        <v>2024</v>
      </c>
      <c r="Y5500" s="187" t="s">
        <v>55</v>
      </c>
      <c r="Z5500" s="311">
        <v>275</v>
      </c>
      <c r="AB5500" t="str">
        <f>IF(Table1[[#This Row],[TIPO2]]="costo", VLOOKUP(Table1[[#This Row],[PARTIDA PRESUPUESTAL]],'Cost Report'!G:G,1,0),"Balance")</f>
        <v>3683-048</v>
      </c>
      <c r="AD5500" s="159">
        <f>+Table1[[#This Row],[SUBTOTAL]]+Table1[[#This Row],[IVA]]-Table1[[#This Row],[RET IVA]]-Table1[[#This Row],[RET ISR]]-Table1[[#This Row],[TOTAL]]</f>
        <v>0</v>
      </c>
      <c r="AK5500" s="306">
        <f>IF(ISNUMBER(Table1[[#This Row],[FECHA DE RECIBIDO]]), Table1[[#This Row],[FECHA DE RECIBIDO]]-DATE(2023,8,30), "")</f>
        <v>-44892.507256944446</v>
      </c>
    </row>
    <row r="5501" spans="1:37" ht="16.05" customHeight="1">
      <c r="A5501" s="172" t="s">
        <v>4918</v>
      </c>
      <c r="B5501" s="178">
        <v>1897</v>
      </c>
      <c r="C5501" s="179" t="s">
        <v>1067</v>
      </c>
      <c r="D5501">
        <v>3717</v>
      </c>
      <c r="E5501" s="125">
        <v>44150</v>
      </c>
      <c r="F5501" s="178" t="s">
        <v>1607</v>
      </c>
      <c r="G5501" s="178" t="e">
        <v>#N/A</v>
      </c>
      <c r="H5501">
        <v>23</v>
      </c>
      <c r="I5501" s="178" t="s">
        <v>1546</v>
      </c>
      <c r="J5501" s="320">
        <v>275.49274305555446</v>
      </c>
      <c r="K5501" s="178" t="s">
        <v>4872</v>
      </c>
      <c r="L5501" s="125" t="s">
        <v>3306</v>
      </c>
      <c r="M5501">
        <v>343</v>
      </c>
      <c r="N5501" s="182">
        <v>1</v>
      </c>
      <c r="O5501">
        <v>3550</v>
      </c>
      <c r="P5501" s="132" t="s">
        <v>77</v>
      </c>
      <c r="Q5501" s="176">
        <v>10125.5</v>
      </c>
      <c r="R5501" s="176">
        <v>1620.09</v>
      </c>
      <c r="S5501" s="176"/>
      <c r="T5501" s="190"/>
      <c r="U5501" s="191"/>
      <c r="V5501" s="191">
        <v>11745.59</v>
      </c>
      <c r="W5501">
        <v>25</v>
      </c>
      <c r="X5501" s="186" t="s">
        <v>2024</v>
      </c>
      <c r="Y5501" s="187" t="s">
        <v>55</v>
      </c>
      <c r="Z5501" s="311">
        <v>275</v>
      </c>
      <c r="AB5501" t="str">
        <f>IF(Table1[[#This Row],[TIPO2]]="costo", VLOOKUP(Table1[[#This Row],[PARTIDA PRESUPUESTAL]],'Cost Report'!G:G,1,0),"Balance")</f>
        <v>3683-054</v>
      </c>
      <c r="AD5501" s="159">
        <f>+Table1[[#This Row],[SUBTOTAL]]+Table1[[#This Row],[IVA]]-Table1[[#This Row],[RET IVA]]-Table1[[#This Row],[RET ISR]]-Table1[[#This Row],[TOTAL]]</f>
        <v>0</v>
      </c>
      <c r="AK5501" s="306">
        <f>IF(ISNUMBER(Table1[[#This Row],[FECHA DE RECIBIDO]]), Table1[[#This Row],[FECHA DE RECIBIDO]]-DATE(2023,8,30), "")</f>
        <v>-44892.507256944446</v>
      </c>
    </row>
    <row r="5502" spans="1:37" ht="16.05" customHeight="1">
      <c r="A5502" s="172" t="s">
        <v>4918</v>
      </c>
      <c r="B5502" s="178">
        <v>1897</v>
      </c>
      <c r="C5502" s="179" t="s">
        <v>1071</v>
      </c>
      <c r="D5502">
        <v>3717</v>
      </c>
      <c r="E5502" s="125">
        <v>44150</v>
      </c>
      <c r="F5502" s="178" t="s">
        <v>1607</v>
      </c>
      <c r="G5502" s="178" t="e">
        <v>#N/A</v>
      </c>
      <c r="H5502">
        <v>23</v>
      </c>
      <c r="I5502" s="178" t="s">
        <v>1546</v>
      </c>
      <c r="J5502" s="320">
        <v>275.49274305555446</v>
      </c>
      <c r="K5502" s="178" t="s">
        <v>4872</v>
      </c>
      <c r="L5502" s="125" t="s">
        <v>3306</v>
      </c>
      <c r="M5502">
        <v>343</v>
      </c>
      <c r="N5502" s="182">
        <v>1</v>
      </c>
      <c r="O5502">
        <v>3550</v>
      </c>
      <c r="P5502" s="132" t="s">
        <v>77</v>
      </c>
      <c r="Q5502" s="176">
        <v>7205.68</v>
      </c>
      <c r="R5502" s="176">
        <v>1152.9000000000001</v>
      </c>
      <c r="S5502" s="176"/>
      <c r="T5502" s="190"/>
      <c r="U5502" s="191"/>
      <c r="V5502" s="191">
        <v>8358.58</v>
      </c>
      <c r="W5502">
        <v>25</v>
      </c>
      <c r="X5502" s="186" t="s">
        <v>2024</v>
      </c>
      <c r="Y5502" s="187" t="s">
        <v>55</v>
      </c>
      <c r="Z5502" s="311">
        <v>275</v>
      </c>
      <c r="AB5502" t="str">
        <f>IF(Table1[[#This Row],[TIPO2]]="costo", VLOOKUP(Table1[[#This Row],[PARTIDA PRESUPUESTAL]],'Cost Report'!G:G,1,0),"Balance")</f>
        <v>3683-060</v>
      </c>
      <c r="AD5502" s="159">
        <f>+Table1[[#This Row],[SUBTOTAL]]+Table1[[#This Row],[IVA]]-Table1[[#This Row],[RET IVA]]-Table1[[#This Row],[RET ISR]]-Table1[[#This Row],[TOTAL]]</f>
        <v>0</v>
      </c>
      <c r="AK5502" s="306">
        <f>IF(ISNUMBER(Table1[[#This Row],[FECHA DE RECIBIDO]]), Table1[[#This Row],[FECHA DE RECIBIDO]]-DATE(2023,8,30), "")</f>
        <v>-44892.507256944446</v>
      </c>
    </row>
    <row r="5503" spans="1:37" ht="16.05" customHeight="1">
      <c r="A5503" s="172" t="s">
        <v>4918</v>
      </c>
      <c r="B5503" s="178">
        <v>1897</v>
      </c>
      <c r="C5503" s="179" t="s">
        <v>1075</v>
      </c>
      <c r="D5503">
        <v>3717</v>
      </c>
      <c r="E5503" s="125">
        <v>44150</v>
      </c>
      <c r="F5503" s="178" t="s">
        <v>1607</v>
      </c>
      <c r="G5503" s="178" t="e">
        <v>#N/A</v>
      </c>
      <c r="H5503">
        <v>23</v>
      </c>
      <c r="I5503" s="178" t="s">
        <v>1546</v>
      </c>
      <c r="J5503" s="320">
        <v>275.49274305555446</v>
      </c>
      <c r="K5503" s="178" t="s">
        <v>4872</v>
      </c>
      <c r="L5503" s="125" t="s">
        <v>3306</v>
      </c>
      <c r="M5503">
        <v>343</v>
      </c>
      <c r="N5503" s="182">
        <v>1</v>
      </c>
      <c r="O5503">
        <v>3550</v>
      </c>
      <c r="P5503" s="132" t="s">
        <v>77</v>
      </c>
      <c r="Q5503" s="176">
        <v>7205.68</v>
      </c>
      <c r="R5503" s="176">
        <v>1152.9000000000001</v>
      </c>
      <c r="S5503" s="176"/>
      <c r="T5503" s="190"/>
      <c r="U5503" s="191"/>
      <c r="V5503" s="191">
        <v>8358.58</v>
      </c>
      <c r="W5503">
        <v>25</v>
      </c>
      <c r="X5503" s="186" t="s">
        <v>2024</v>
      </c>
      <c r="Y5503" s="187" t="s">
        <v>55</v>
      </c>
      <c r="Z5503" s="311">
        <v>275</v>
      </c>
      <c r="AB5503" t="str">
        <f>IF(Table1[[#This Row],[TIPO2]]="costo", VLOOKUP(Table1[[#This Row],[PARTIDA PRESUPUESTAL]],'Cost Report'!G:G,1,0),"Balance")</f>
        <v>3683-066</v>
      </c>
      <c r="AD5503" s="159">
        <f>+Table1[[#This Row],[SUBTOTAL]]+Table1[[#This Row],[IVA]]-Table1[[#This Row],[RET IVA]]-Table1[[#This Row],[RET ISR]]-Table1[[#This Row],[TOTAL]]</f>
        <v>0</v>
      </c>
      <c r="AK5503" s="306">
        <f>IF(ISNUMBER(Table1[[#This Row],[FECHA DE RECIBIDO]]), Table1[[#This Row],[FECHA DE RECIBIDO]]-DATE(2023,8,30), "")</f>
        <v>-44892.507256944446</v>
      </c>
    </row>
    <row r="5504" spans="1:37" ht="16.05" customHeight="1">
      <c r="A5504" s="172" t="s">
        <v>4918</v>
      </c>
      <c r="B5504" s="178">
        <v>1897</v>
      </c>
      <c r="C5504" s="179" t="s">
        <v>1079</v>
      </c>
      <c r="D5504">
        <v>3717</v>
      </c>
      <c r="E5504" s="125">
        <v>44150</v>
      </c>
      <c r="F5504" s="178" t="s">
        <v>1607</v>
      </c>
      <c r="G5504" s="178" t="e">
        <v>#N/A</v>
      </c>
      <c r="H5504">
        <v>23</v>
      </c>
      <c r="I5504" s="178" t="s">
        <v>1546</v>
      </c>
      <c r="J5504" s="320">
        <v>275.49274305555446</v>
      </c>
      <c r="K5504" s="178" t="s">
        <v>4872</v>
      </c>
      <c r="L5504" s="125" t="s">
        <v>3306</v>
      </c>
      <c r="M5504">
        <v>343</v>
      </c>
      <c r="N5504" s="182">
        <v>1</v>
      </c>
      <c r="O5504">
        <v>3550</v>
      </c>
      <c r="P5504" s="132" t="s">
        <v>77</v>
      </c>
      <c r="Q5504" s="176">
        <v>7205.68</v>
      </c>
      <c r="R5504" s="176">
        <v>1152.9000000000001</v>
      </c>
      <c r="S5504" s="176"/>
      <c r="T5504" s="190"/>
      <c r="U5504" s="191"/>
      <c r="V5504" s="191">
        <v>8358.58</v>
      </c>
      <c r="W5504">
        <v>25</v>
      </c>
      <c r="X5504" s="186" t="s">
        <v>2024</v>
      </c>
      <c r="Y5504" s="187" t="s">
        <v>55</v>
      </c>
      <c r="Z5504" s="311">
        <v>275</v>
      </c>
      <c r="AB5504" t="str">
        <f>IF(Table1[[#This Row],[TIPO2]]="costo", VLOOKUP(Table1[[#This Row],[PARTIDA PRESUPUESTAL]],'Cost Report'!G:G,1,0),"Balance")</f>
        <v>3683-072</v>
      </c>
      <c r="AD5504" s="159">
        <f>+Table1[[#This Row],[SUBTOTAL]]+Table1[[#This Row],[IVA]]-Table1[[#This Row],[RET IVA]]-Table1[[#This Row],[RET ISR]]-Table1[[#This Row],[TOTAL]]</f>
        <v>0</v>
      </c>
      <c r="AK5504" s="306">
        <f>IF(ISNUMBER(Table1[[#This Row],[FECHA DE RECIBIDO]]), Table1[[#This Row],[FECHA DE RECIBIDO]]-DATE(2023,8,30), "")</f>
        <v>-44892.507256944446</v>
      </c>
    </row>
    <row r="5505" spans="1:37" ht="16.05" customHeight="1">
      <c r="A5505" s="172" t="s">
        <v>4918</v>
      </c>
      <c r="B5505" s="178">
        <v>1897</v>
      </c>
      <c r="C5505" s="179" t="s">
        <v>1083</v>
      </c>
      <c r="D5505">
        <v>3717</v>
      </c>
      <c r="E5505" s="125">
        <v>44150</v>
      </c>
      <c r="F5505" s="178" t="s">
        <v>1607</v>
      </c>
      <c r="G5505" s="178" t="e">
        <v>#N/A</v>
      </c>
      <c r="H5505">
        <v>23</v>
      </c>
      <c r="I5505" s="178" t="s">
        <v>1546</v>
      </c>
      <c r="J5505" s="320">
        <v>275.49274305555446</v>
      </c>
      <c r="K5505" s="178" t="s">
        <v>4872</v>
      </c>
      <c r="L5505" s="125" t="s">
        <v>3306</v>
      </c>
      <c r="M5505">
        <v>343</v>
      </c>
      <c r="N5505" s="182">
        <v>1</v>
      </c>
      <c r="O5505">
        <v>3550</v>
      </c>
      <c r="P5505" s="132" t="s">
        <v>77</v>
      </c>
      <c r="Q5505" s="176">
        <v>7205.68</v>
      </c>
      <c r="R5505" s="176">
        <v>1152.9000000000001</v>
      </c>
      <c r="S5505" s="176"/>
      <c r="T5505" s="190"/>
      <c r="U5505" s="191"/>
      <c r="V5505" s="191">
        <v>8358.58</v>
      </c>
      <c r="W5505">
        <v>25</v>
      </c>
      <c r="X5505" s="186" t="s">
        <v>2024</v>
      </c>
      <c r="Y5505" s="187" t="s">
        <v>55</v>
      </c>
      <c r="Z5505" s="311">
        <v>275</v>
      </c>
      <c r="AB5505" t="str">
        <f>IF(Table1[[#This Row],[TIPO2]]="costo", VLOOKUP(Table1[[#This Row],[PARTIDA PRESUPUESTAL]],'Cost Report'!G:G,1,0),"Balance")</f>
        <v>3683-078</v>
      </c>
      <c r="AD5505" s="159">
        <f>+Table1[[#This Row],[SUBTOTAL]]+Table1[[#This Row],[IVA]]-Table1[[#This Row],[RET IVA]]-Table1[[#This Row],[RET ISR]]-Table1[[#This Row],[TOTAL]]</f>
        <v>0</v>
      </c>
      <c r="AK5505" s="306">
        <f>IF(ISNUMBER(Table1[[#This Row],[FECHA DE RECIBIDO]]), Table1[[#This Row],[FECHA DE RECIBIDO]]-DATE(2023,8,30), "")</f>
        <v>-44892.507256944446</v>
      </c>
    </row>
    <row r="5506" spans="1:37" ht="16.05" customHeight="1">
      <c r="A5506" s="172" t="s">
        <v>4918</v>
      </c>
      <c r="B5506" s="178">
        <v>1897</v>
      </c>
      <c r="C5506" s="179" t="s">
        <v>1087</v>
      </c>
      <c r="D5506">
        <v>3717</v>
      </c>
      <c r="E5506" s="125">
        <v>44150</v>
      </c>
      <c r="F5506" s="178" t="s">
        <v>1607</v>
      </c>
      <c r="G5506" s="178" t="e">
        <v>#N/A</v>
      </c>
      <c r="H5506">
        <v>23</v>
      </c>
      <c r="I5506" s="178" t="s">
        <v>1546</v>
      </c>
      <c r="J5506" s="320">
        <v>275.49274305555446</v>
      </c>
      <c r="K5506" s="178" t="s">
        <v>4872</v>
      </c>
      <c r="L5506" s="125" t="s">
        <v>3306</v>
      </c>
      <c r="M5506">
        <v>343</v>
      </c>
      <c r="N5506" s="182">
        <v>1</v>
      </c>
      <c r="O5506">
        <v>3550</v>
      </c>
      <c r="P5506" s="132" t="s">
        <v>77</v>
      </c>
      <c r="Q5506" s="176">
        <v>10568.33</v>
      </c>
      <c r="R5506" s="176">
        <v>1690.93</v>
      </c>
      <c r="S5506" s="176"/>
      <c r="T5506" s="190"/>
      <c r="U5506" s="191"/>
      <c r="V5506" s="191">
        <v>12259.26</v>
      </c>
      <c r="W5506">
        <v>25</v>
      </c>
      <c r="X5506" s="186" t="s">
        <v>2024</v>
      </c>
      <c r="Y5506" s="187" t="s">
        <v>55</v>
      </c>
      <c r="Z5506" s="311">
        <v>275</v>
      </c>
      <c r="AB5506" t="str">
        <f>IF(Table1[[#This Row],[TIPO2]]="costo", VLOOKUP(Table1[[#This Row],[PARTIDA PRESUPUESTAL]],'Cost Report'!G:G,1,0),"Balance")</f>
        <v>3683-084</v>
      </c>
      <c r="AD5506" s="159">
        <f>+Table1[[#This Row],[SUBTOTAL]]+Table1[[#This Row],[IVA]]-Table1[[#This Row],[RET IVA]]-Table1[[#This Row],[RET ISR]]-Table1[[#This Row],[TOTAL]]</f>
        <v>0</v>
      </c>
      <c r="AK5506" s="306">
        <f>IF(ISNUMBER(Table1[[#This Row],[FECHA DE RECIBIDO]]), Table1[[#This Row],[FECHA DE RECIBIDO]]-DATE(2023,8,30), "")</f>
        <v>-44892.507256944446</v>
      </c>
    </row>
    <row r="5507" spans="1:37" ht="16.05" customHeight="1">
      <c r="A5507" s="172" t="s">
        <v>4918</v>
      </c>
      <c r="B5507" s="178">
        <v>1897</v>
      </c>
      <c r="C5507" s="179" t="s">
        <v>1091</v>
      </c>
      <c r="D5507">
        <v>3717</v>
      </c>
      <c r="E5507" s="125">
        <v>44150</v>
      </c>
      <c r="F5507" s="178" t="s">
        <v>1607</v>
      </c>
      <c r="G5507" s="178" t="e">
        <v>#N/A</v>
      </c>
      <c r="H5507">
        <v>23</v>
      </c>
      <c r="I5507" s="178" t="s">
        <v>1546</v>
      </c>
      <c r="J5507" s="320">
        <v>275.49274305555446</v>
      </c>
      <c r="K5507" s="178" t="s">
        <v>4872</v>
      </c>
      <c r="L5507" s="125" t="s">
        <v>3306</v>
      </c>
      <c r="M5507">
        <v>343</v>
      </c>
      <c r="N5507" s="182">
        <v>1</v>
      </c>
      <c r="O5507">
        <v>3550</v>
      </c>
      <c r="P5507" s="132" t="s">
        <v>77</v>
      </c>
      <c r="Q5507" s="176">
        <v>7205.68</v>
      </c>
      <c r="R5507" s="176">
        <v>1152.9000000000001</v>
      </c>
      <c r="S5507" s="176"/>
      <c r="T5507" s="190"/>
      <c r="U5507" s="191"/>
      <c r="V5507" s="191">
        <v>8358.58</v>
      </c>
      <c r="W5507">
        <v>25</v>
      </c>
      <c r="X5507" s="186" t="s">
        <v>2024</v>
      </c>
      <c r="Y5507" s="187" t="s">
        <v>55</v>
      </c>
      <c r="Z5507" s="311">
        <v>275</v>
      </c>
      <c r="AB5507" t="str">
        <f>IF(Table1[[#This Row],[TIPO2]]="costo", VLOOKUP(Table1[[#This Row],[PARTIDA PRESUPUESTAL]],'Cost Report'!G:G,1,0),"Balance")</f>
        <v>3683-090</v>
      </c>
      <c r="AD5507" s="159">
        <f>+Table1[[#This Row],[SUBTOTAL]]+Table1[[#This Row],[IVA]]-Table1[[#This Row],[RET IVA]]-Table1[[#This Row],[RET ISR]]-Table1[[#This Row],[TOTAL]]</f>
        <v>0</v>
      </c>
      <c r="AK5507" s="306">
        <f>IF(ISNUMBER(Table1[[#This Row],[FECHA DE RECIBIDO]]), Table1[[#This Row],[FECHA DE RECIBIDO]]-DATE(2023,8,30), "")</f>
        <v>-44892.507256944446</v>
      </c>
    </row>
    <row r="5508" spans="1:37" ht="16.05" customHeight="1">
      <c r="A5508" s="172" t="s">
        <v>4918</v>
      </c>
      <c r="B5508" s="178">
        <v>1897</v>
      </c>
      <c r="C5508" s="179" t="s">
        <v>1095</v>
      </c>
      <c r="D5508">
        <v>3717</v>
      </c>
      <c r="E5508" s="125">
        <v>44150</v>
      </c>
      <c r="F5508" s="178" t="s">
        <v>1607</v>
      </c>
      <c r="G5508" s="178" t="e">
        <v>#N/A</v>
      </c>
      <c r="H5508">
        <v>23</v>
      </c>
      <c r="I5508" s="178" t="s">
        <v>1546</v>
      </c>
      <c r="J5508" s="320">
        <v>275.49274305555446</v>
      </c>
      <c r="K5508" s="178" t="s">
        <v>4872</v>
      </c>
      <c r="L5508" s="125" t="s">
        <v>3306</v>
      </c>
      <c r="M5508">
        <v>343</v>
      </c>
      <c r="N5508" s="182">
        <v>1</v>
      </c>
      <c r="O5508">
        <v>3550</v>
      </c>
      <c r="P5508" s="132" t="s">
        <v>77</v>
      </c>
      <c r="Q5508" s="176">
        <v>10568.33</v>
      </c>
      <c r="R5508" s="176">
        <v>1690.93</v>
      </c>
      <c r="S5508" s="176"/>
      <c r="T5508" s="190"/>
      <c r="U5508" s="191"/>
      <c r="V5508" s="191">
        <v>12259.26</v>
      </c>
      <c r="W5508">
        <v>25</v>
      </c>
      <c r="X5508" s="186" t="s">
        <v>2024</v>
      </c>
      <c r="Y5508" s="187" t="s">
        <v>55</v>
      </c>
      <c r="Z5508" s="311">
        <v>275</v>
      </c>
      <c r="AB5508" t="str">
        <f>IF(Table1[[#This Row],[TIPO2]]="costo", VLOOKUP(Table1[[#This Row],[PARTIDA PRESUPUESTAL]],'Cost Report'!G:G,1,0),"Balance")</f>
        <v>3683-096</v>
      </c>
      <c r="AD5508" s="159">
        <f>+Table1[[#This Row],[SUBTOTAL]]+Table1[[#This Row],[IVA]]-Table1[[#This Row],[RET IVA]]-Table1[[#This Row],[RET ISR]]-Table1[[#This Row],[TOTAL]]</f>
        <v>0</v>
      </c>
      <c r="AK5508" s="306">
        <f>IF(ISNUMBER(Table1[[#This Row],[FECHA DE RECIBIDO]]), Table1[[#This Row],[FECHA DE RECIBIDO]]-DATE(2023,8,30), "")</f>
        <v>-44892.507256944446</v>
      </c>
    </row>
    <row r="5509" spans="1:37" ht="16.05" customHeight="1">
      <c r="A5509" s="172" t="s">
        <v>4918</v>
      </c>
      <c r="B5509" s="178">
        <v>1897</v>
      </c>
      <c r="C5509" s="179" t="s">
        <v>1098</v>
      </c>
      <c r="D5509">
        <v>3717</v>
      </c>
      <c r="E5509" s="125">
        <v>44150</v>
      </c>
      <c r="F5509" s="178" t="s">
        <v>1607</v>
      </c>
      <c r="G5509" s="178" t="e">
        <v>#N/A</v>
      </c>
      <c r="H5509">
        <v>23</v>
      </c>
      <c r="I5509" s="178" t="s">
        <v>1546</v>
      </c>
      <c r="J5509" s="320">
        <v>275.49274305555446</v>
      </c>
      <c r="K5509" s="178" t="s">
        <v>4872</v>
      </c>
      <c r="L5509" s="125" t="s">
        <v>3306</v>
      </c>
      <c r="M5509">
        <v>343</v>
      </c>
      <c r="N5509" s="182">
        <v>1</v>
      </c>
      <c r="O5509">
        <v>3550</v>
      </c>
      <c r="P5509" s="132" t="s">
        <v>77</v>
      </c>
      <c r="Q5509" s="176">
        <v>9902.7199999999993</v>
      </c>
      <c r="R5509" s="176">
        <v>1584.44</v>
      </c>
      <c r="S5509" s="176"/>
      <c r="T5509" s="190"/>
      <c r="U5509" s="191"/>
      <c r="V5509" s="191">
        <v>11487.16</v>
      </c>
      <c r="W5509">
        <v>25</v>
      </c>
      <c r="X5509" s="186" t="s">
        <v>2024</v>
      </c>
      <c r="Y5509" s="187" t="s">
        <v>55</v>
      </c>
      <c r="Z5509" s="311">
        <v>275</v>
      </c>
      <c r="AB5509" t="str">
        <f>IF(Table1[[#This Row],[TIPO2]]="costo", VLOOKUP(Table1[[#This Row],[PARTIDA PRESUPUESTAL]],'Cost Report'!G:G,1,0),"Balance")</f>
        <v>3683-101</v>
      </c>
      <c r="AD5509" s="159">
        <f>+Table1[[#This Row],[SUBTOTAL]]+Table1[[#This Row],[IVA]]-Table1[[#This Row],[RET IVA]]-Table1[[#This Row],[RET ISR]]-Table1[[#This Row],[TOTAL]]</f>
        <v>0</v>
      </c>
      <c r="AK5509" s="306">
        <f>IF(ISNUMBER(Table1[[#This Row],[FECHA DE RECIBIDO]]), Table1[[#This Row],[FECHA DE RECIBIDO]]-DATE(2023,8,30), "")</f>
        <v>-44892.507256944446</v>
      </c>
    </row>
    <row r="5510" spans="1:37" ht="16.05" customHeight="1">
      <c r="A5510" s="172" t="s">
        <v>4918</v>
      </c>
      <c r="B5510" s="178">
        <v>1897</v>
      </c>
      <c r="C5510" s="179" t="s">
        <v>1100</v>
      </c>
      <c r="D5510">
        <v>3717</v>
      </c>
      <c r="E5510" s="125">
        <v>44150</v>
      </c>
      <c r="F5510" s="178" t="s">
        <v>1607</v>
      </c>
      <c r="G5510" s="178" t="e">
        <v>#N/A</v>
      </c>
      <c r="H5510">
        <v>23</v>
      </c>
      <c r="I5510" s="178" t="s">
        <v>1546</v>
      </c>
      <c r="J5510" s="320">
        <v>275.49274305555446</v>
      </c>
      <c r="K5510" s="178" t="s">
        <v>4872</v>
      </c>
      <c r="L5510" s="125" t="s">
        <v>3306</v>
      </c>
      <c r="M5510">
        <v>343</v>
      </c>
      <c r="N5510" s="182">
        <v>1</v>
      </c>
      <c r="O5510">
        <v>3550</v>
      </c>
      <c r="P5510" s="132" t="s">
        <v>77</v>
      </c>
      <c r="Q5510" s="176">
        <v>12323.39</v>
      </c>
      <c r="R5510" s="176">
        <v>1971.74</v>
      </c>
      <c r="S5510" s="176"/>
      <c r="T5510" s="190"/>
      <c r="U5510" s="191"/>
      <c r="V5510" s="191">
        <v>14295.13</v>
      </c>
      <c r="W5510">
        <v>25</v>
      </c>
      <c r="X5510" s="186" t="s">
        <v>2024</v>
      </c>
      <c r="Y5510" s="187" t="s">
        <v>55</v>
      </c>
      <c r="Z5510" s="311">
        <v>275</v>
      </c>
      <c r="AB5510" t="str">
        <f>IF(Table1[[#This Row],[TIPO2]]="costo", VLOOKUP(Table1[[#This Row],[PARTIDA PRESUPUESTAL]],'Cost Report'!G:G,1,0),"Balance")</f>
        <v>3683-105</v>
      </c>
      <c r="AD5510" s="159">
        <f>+Table1[[#This Row],[SUBTOTAL]]+Table1[[#This Row],[IVA]]-Table1[[#This Row],[RET IVA]]-Table1[[#This Row],[RET ISR]]-Table1[[#This Row],[TOTAL]]</f>
        <v>0</v>
      </c>
      <c r="AK5510" s="306">
        <f>IF(ISNUMBER(Table1[[#This Row],[FECHA DE RECIBIDO]]), Table1[[#This Row],[FECHA DE RECIBIDO]]-DATE(2023,8,30), "")</f>
        <v>-44892.507256944446</v>
      </c>
    </row>
    <row r="5511" spans="1:37" ht="16.05" customHeight="1">
      <c r="A5511" s="172" t="s">
        <v>4918</v>
      </c>
      <c r="B5511" s="178">
        <v>1897</v>
      </c>
      <c r="C5511" s="179" t="s">
        <v>2880</v>
      </c>
      <c r="D5511">
        <v>3717</v>
      </c>
      <c r="E5511" s="125">
        <v>44150</v>
      </c>
      <c r="F5511" s="178" t="s">
        <v>1607</v>
      </c>
      <c r="G5511" s="178" t="e">
        <v>#N/A</v>
      </c>
      <c r="H5511">
        <v>23</v>
      </c>
      <c r="I5511" s="178" t="s">
        <v>1546</v>
      </c>
      <c r="J5511" s="320">
        <v>275.49274305555446</v>
      </c>
      <c r="K5511" s="178" t="s">
        <v>4872</v>
      </c>
      <c r="L5511" s="125" t="s">
        <v>3306</v>
      </c>
      <c r="M5511">
        <v>343</v>
      </c>
      <c r="N5511" s="182">
        <v>1</v>
      </c>
      <c r="O5511">
        <v>3550</v>
      </c>
      <c r="P5511" s="132" t="s">
        <v>77</v>
      </c>
      <c r="Q5511" s="176">
        <v>25210.39</v>
      </c>
      <c r="R5511" s="176">
        <v>4033.66</v>
      </c>
      <c r="S5511" s="176"/>
      <c r="T5511" s="190"/>
      <c r="U5511" s="191"/>
      <c r="V5511" s="191">
        <v>29244.05</v>
      </c>
      <c r="W5511">
        <v>25</v>
      </c>
      <c r="X5511" s="186" t="s">
        <v>2024</v>
      </c>
      <c r="Y5511" s="187" t="s">
        <v>55</v>
      </c>
      <c r="Z5511" s="311">
        <v>275</v>
      </c>
      <c r="AB5511" t="str">
        <f>IF(Table1[[#This Row],[TIPO2]]="costo", VLOOKUP(Table1[[#This Row],[PARTIDA PRESUPUESTAL]],'Cost Report'!G:G,1,0),"Balance")</f>
        <v>3683-109</v>
      </c>
      <c r="AD5511" s="159">
        <f>+Table1[[#This Row],[SUBTOTAL]]+Table1[[#This Row],[IVA]]-Table1[[#This Row],[RET IVA]]-Table1[[#This Row],[RET ISR]]-Table1[[#This Row],[TOTAL]]</f>
        <v>0</v>
      </c>
      <c r="AK5511" s="306">
        <f>IF(ISNUMBER(Table1[[#This Row],[FECHA DE RECIBIDO]]), Table1[[#This Row],[FECHA DE RECIBIDO]]-DATE(2023,8,30), "")</f>
        <v>-44892.507256944446</v>
      </c>
    </row>
    <row r="5512" spans="1:37" ht="16.05" customHeight="1">
      <c r="A5512" s="172" t="s">
        <v>4918</v>
      </c>
      <c r="B5512" s="178">
        <v>1897</v>
      </c>
      <c r="C5512" s="179" t="s">
        <v>2882</v>
      </c>
      <c r="D5512">
        <v>3717</v>
      </c>
      <c r="E5512" s="125">
        <v>44150</v>
      </c>
      <c r="F5512" s="178" t="s">
        <v>1607</v>
      </c>
      <c r="G5512" s="178" t="e">
        <v>#N/A</v>
      </c>
      <c r="H5512">
        <v>23</v>
      </c>
      <c r="I5512" s="178" t="s">
        <v>1546</v>
      </c>
      <c r="J5512" s="320">
        <v>275.49274305555446</v>
      </c>
      <c r="K5512" s="178" t="s">
        <v>4872</v>
      </c>
      <c r="L5512" s="125" t="s">
        <v>3306</v>
      </c>
      <c r="M5512">
        <v>343</v>
      </c>
      <c r="N5512" s="182">
        <v>1</v>
      </c>
      <c r="O5512">
        <v>3550</v>
      </c>
      <c r="P5512" s="132" t="s">
        <v>77</v>
      </c>
      <c r="Q5512" s="176">
        <v>2742.03</v>
      </c>
      <c r="R5512" s="176">
        <v>438.72</v>
      </c>
      <c r="S5512" s="176"/>
      <c r="T5512" s="190"/>
      <c r="U5512" s="191"/>
      <c r="V5512" s="191">
        <v>3180.75</v>
      </c>
      <c r="W5512">
        <v>25</v>
      </c>
      <c r="X5512" s="186" t="s">
        <v>2024</v>
      </c>
      <c r="Y5512" s="187" t="s">
        <v>55</v>
      </c>
      <c r="Z5512" s="311">
        <v>275</v>
      </c>
      <c r="AB5512" t="str">
        <f>IF(Table1[[#This Row],[TIPO2]]="costo", VLOOKUP(Table1[[#This Row],[PARTIDA PRESUPUESTAL]],'Cost Report'!G:G,1,0),"Balance")</f>
        <v>3683-113</v>
      </c>
      <c r="AD5512" s="159">
        <f>+Table1[[#This Row],[SUBTOTAL]]+Table1[[#This Row],[IVA]]-Table1[[#This Row],[RET IVA]]-Table1[[#This Row],[RET ISR]]-Table1[[#This Row],[TOTAL]]</f>
        <v>0</v>
      </c>
      <c r="AK5512" s="306">
        <f>IF(ISNUMBER(Table1[[#This Row],[FECHA DE RECIBIDO]]), Table1[[#This Row],[FECHA DE RECIBIDO]]-DATE(2023,8,30), "")</f>
        <v>-44892.507256944446</v>
      </c>
    </row>
    <row r="5513" spans="1:37" ht="16.05" customHeight="1">
      <c r="A5513" s="172" t="s">
        <v>4918</v>
      </c>
      <c r="B5513" s="178">
        <v>1897</v>
      </c>
      <c r="C5513" s="126" t="s">
        <v>2909</v>
      </c>
      <c r="D5513">
        <v>3717</v>
      </c>
      <c r="E5513" s="125">
        <v>44150</v>
      </c>
      <c r="F5513" s="178" t="s">
        <v>1607</v>
      </c>
      <c r="G5513" s="178" t="e">
        <v>#N/A</v>
      </c>
      <c r="H5513">
        <v>23</v>
      </c>
      <c r="I5513" s="178" t="s">
        <v>1546</v>
      </c>
      <c r="J5513" s="320">
        <v>275.49274305555446</v>
      </c>
      <c r="K5513" s="178" t="s">
        <v>4872</v>
      </c>
      <c r="L5513" s="125" t="s">
        <v>3306</v>
      </c>
      <c r="M5513">
        <v>343</v>
      </c>
      <c r="N5513" s="182">
        <v>1</v>
      </c>
      <c r="O5513">
        <v>3550</v>
      </c>
      <c r="P5513" s="132" t="s">
        <v>77</v>
      </c>
      <c r="Q5513" s="176">
        <v>23595.57</v>
      </c>
      <c r="R5513" s="176">
        <v>3775.29</v>
      </c>
      <c r="S5513" s="176"/>
      <c r="T5513" s="190"/>
      <c r="U5513" s="191"/>
      <c r="V5513" s="191">
        <v>27370.86</v>
      </c>
      <c r="W5513">
        <v>25</v>
      </c>
      <c r="X5513" s="186" t="s">
        <v>2024</v>
      </c>
      <c r="Y5513" s="187" t="s">
        <v>55</v>
      </c>
      <c r="Z5513" s="311">
        <v>275</v>
      </c>
      <c r="AB5513" t="str">
        <f>IF(Table1[[#This Row],[TIPO2]]="costo", VLOOKUP(Table1[[#This Row],[PARTIDA PRESUPUESTAL]],'Cost Report'!G:G,1,0),"Balance")</f>
        <v>3683-158</v>
      </c>
      <c r="AD5513" s="159">
        <f>+Table1[[#This Row],[SUBTOTAL]]+Table1[[#This Row],[IVA]]-Table1[[#This Row],[RET IVA]]-Table1[[#This Row],[RET ISR]]-Table1[[#This Row],[TOTAL]]</f>
        <v>0</v>
      </c>
      <c r="AK5513" s="306">
        <f>IF(ISNUMBER(Table1[[#This Row],[FECHA DE RECIBIDO]]), Table1[[#This Row],[FECHA DE RECIBIDO]]-DATE(2023,8,30), "")</f>
        <v>-44892.507256944446</v>
      </c>
    </row>
    <row r="5514" spans="1:37" ht="16.05" customHeight="1">
      <c r="A5514" s="172" t="s">
        <v>4918</v>
      </c>
      <c r="B5514" s="178">
        <v>1897</v>
      </c>
      <c r="C5514" s="126" t="s">
        <v>2916</v>
      </c>
      <c r="D5514">
        <v>3717</v>
      </c>
      <c r="E5514" s="125">
        <v>44150</v>
      </c>
      <c r="F5514" s="178" t="s">
        <v>1607</v>
      </c>
      <c r="G5514" s="178" t="e">
        <v>#N/A</v>
      </c>
      <c r="H5514">
        <v>23</v>
      </c>
      <c r="I5514" s="178" t="s">
        <v>1546</v>
      </c>
      <c r="J5514" s="320">
        <v>275.49274305555446</v>
      </c>
      <c r="K5514" s="178" t="s">
        <v>4872</v>
      </c>
      <c r="L5514" s="125" t="s">
        <v>3306</v>
      </c>
      <c r="M5514">
        <v>343</v>
      </c>
      <c r="N5514" s="182">
        <v>1</v>
      </c>
      <c r="O5514">
        <v>3550</v>
      </c>
      <c r="P5514" s="132" t="s">
        <v>77</v>
      </c>
      <c r="Q5514" s="176">
        <v>7674.58</v>
      </c>
      <c r="R5514" s="176">
        <v>1227.93</v>
      </c>
      <c r="S5514" s="176"/>
      <c r="T5514" s="190"/>
      <c r="U5514" s="191"/>
      <c r="V5514" s="191">
        <v>8902.51</v>
      </c>
      <c r="W5514">
        <v>25</v>
      </c>
      <c r="X5514" s="186" t="s">
        <v>2024</v>
      </c>
      <c r="Y5514" s="187" t="s">
        <v>55</v>
      </c>
      <c r="Z5514" s="311">
        <v>275</v>
      </c>
      <c r="AB5514" t="str">
        <f>IF(Table1[[#This Row],[TIPO2]]="costo", VLOOKUP(Table1[[#This Row],[PARTIDA PRESUPUESTAL]],'Cost Report'!G:G,1,0),"Balance")</f>
        <v>3683-171</v>
      </c>
      <c r="AD5514" s="159">
        <f>+Table1[[#This Row],[SUBTOTAL]]+Table1[[#This Row],[IVA]]-Table1[[#This Row],[RET IVA]]-Table1[[#This Row],[RET ISR]]-Table1[[#This Row],[TOTAL]]</f>
        <v>0</v>
      </c>
      <c r="AK5514" s="306">
        <f>IF(ISNUMBER(Table1[[#This Row],[FECHA DE RECIBIDO]]), Table1[[#This Row],[FECHA DE RECIBIDO]]-DATE(2023,8,30), "")</f>
        <v>-44892.507256944446</v>
      </c>
    </row>
    <row r="5515" spans="1:37" ht="16.05" customHeight="1">
      <c r="A5515" s="172" t="s">
        <v>4918</v>
      </c>
      <c r="B5515" s="178">
        <v>1897</v>
      </c>
      <c r="C5515" s="126" t="s">
        <v>2907</v>
      </c>
      <c r="D5515">
        <v>3717</v>
      </c>
      <c r="E5515" s="125">
        <v>44150</v>
      </c>
      <c r="F5515" s="178" t="s">
        <v>1607</v>
      </c>
      <c r="G5515" s="178" t="e">
        <v>#N/A</v>
      </c>
      <c r="H5515">
        <v>23</v>
      </c>
      <c r="I5515" s="178" t="s">
        <v>1546</v>
      </c>
      <c r="J5515" s="320">
        <v>275.49274305555446</v>
      </c>
      <c r="K5515" s="178" t="s">
        <v>4872</v>
      </c>
      <c r="L5515" s="125" t="s">
        <v>3306</v>
      </c>
      <c r="M5515">
        <v>343</v>
      </c>
      <c r="N5515" s="182">
        <v>1</v>
      </c>
      <c r="O5515">
        <v>3550</v>
      </c>
      <c r="P5515" s="132" t="s">
        <v>77</v>
      </c>
      <c r="Q5515" s="176">
        <v>4213.49</v>
      </c>
      <c r="R5515" s="176">
        <v>674.15</v>
      </c>
      <c r="S5515" s="176"/>
      <c r="T5515" s="190"/>
      <c r="U5515" s="191"/>
      <c r="V5515" s="191">
        <v>4887.6399999999994</v>
      </c>
      <c r="W5515">
        <v>25</v>
      </c>
      <c r="X5515" s="186" t="s">
        <v>2024</v>
      </c>
      <c r="Y5515" s="187" t="s">
        <v>55</v>
      </c>
      <c r="Z5515" s="311">
        <v>275</v>
      </c>
      <c r="AB5515" t="str">
        <f>IF(Table1[[#This Row],[TIPO2]]="costo", VLOOKUP(Table1[[#This Row],[PARTIDA PRESUPUESTAL]],'Cost Report'!G:G,1,0),"Balance")</f>
        <v>3683-154</v>
      </c>
      <c r="AD5515" s="159">
        <f>+Table1[[#This Row],[SUBTOTAL]]+Table1[[#This Row],[IVA]]-Table1[[#This Row],[RET IVA]]-Table1[[#This Row],[RET ISR]]-Table1[[#This Row],[TOTAL]]</f>
        <v>0</v>
      </c>
      <c r="AK5515" s="306">
        <f>IF(ISNUMBER(Table1[[#This Row],[FECHA DE RECIBIDO]]), Table1[[#This Row],[FECHA DE RECIBIDO]]-DATE(2023,8,30), "")</f>
        <v>-44892.507256944446</v>
      </c>
    </row>
    <row r="5516" spans="1:37" ht="16.05" customHeight="1">
      <c r="A5516" s="172"/>
      <c r="B5516" s="178">
        <v>1898</v>
      </c>
      <c r="C5516" s="179" t="s">
        <v>2864</v>
      </c>
      <c r="D5516">
        <v>3718</v>
      </c>
      <c r="E5516" s="125">
        <v>44150</v>
      </c>
      <c r="F5516" s="178" t="s">
        <v>1607</v>
      </c>
      <c r="G5516" s="178" t="e">
        <v>#N/A</v>
      </c>
      <c r="H5516">
        <v>23</v>
      </c>
      <c r="I5516" s="178" t="s">
        <v>1546</v>
      </c>
      <c r="J5516" s="320">
        <v>275.49329861110891</v>
      </c>
      <c r="K5516" s="178" t="s">
        <v>4872</v>
      </c>
      <c r="L5516" s="125" t="s">
        <v>3306</v>
      </c>
      <c r="M5516">
        <v>343</v>
      </c>
      <c r="N5516" s="182">
        <v>1</v>
      </c>
      <c r="O5516">
        <v>3551</v>
      </c>
      <c r="P5516" s="132" t="s">
        <v>77</v>
      </c>
      <c r="Q5516" s="176">
        <v>101023.67999999999</v>
      </c>
      <c r="R5516" s="176">
        <v>16163.79</v>
      </c>
      <c r="S5516" s="176"/>
      <c r="T5516" s="190"/>
      <c r="U5516" s="191"/>
      <c r="V5516" s="191">
        <v>117187.47</v>
      </c>
      <c r="W5516">
        <v>25</v>
      </c>
      <c r="X5516" s="186" t="s">
        <v>2024</v>
      </c>
      <c r="Y5516" s="187" t="s">
        <v>55</v>
      </c>
      <c r="Z5516" s="311">
        <v>275</v>
      </c>
      <c r="AB5516" t="str">
        <f>IF(Table1[[#This Row],[TIPO2]]="costo", VLOOKUP(Table1[[#This Row],[PARTIDA PRESUPUESTAL]],'Cost Report'!G:G,1,0),"Balance")</f>
        <v>3632-003</v>
      </c>
      <c r="AD5516" s="159">
        <f>+Table1[[#This Row],[SUBTOTAL]]+Table1[[#This Row],[IVA]]-Table1[[#This Row],[RET IVA]]-Table1[[#This Row],[RET ISR]]-Table1[[#This Row],[TOTAL]]</f>
        <v>0</v>
      </c>
      <c r="AK5516" s="306">
        <f>IF(ISNUMBER(Table1[[#This Row],[FECHA DE RECIBIDO]]), Table1[[#This Row],[FECHA DE RECIBIDO]]-DATE(2023,8,30), "")</f>
        <v>-44892.506701388891</v>
      </c>
    </row>
    <row r="5517" spans="1:37" ht="16.05" customHeight="1">
      <c r="A5517" s="172"/>
      <c r="B5517" s="178">
        <v>1899</v>
      </c>
      <c r="C5517" s="179" t="s">
        <v>2992</v>
      </c>
      <c r="D5517">
        <v>3719</v>
      </c>
      <c r="E5517" s="125">
        <v>44150</v>
      </c>
      <c r="F5517" s="178" t="s">
        <v>1607</v>
      </c>
      <c r="G5517" s="178" t="e">
        <v>#N/A</v>
      </c>
      <c r="H5517">
        <v>23</v>
      </c>
      <c r="I5517" s="178" t="s">
        <v>1546</v>
      </c>
      <c r="J5517" s="320">
        <v>275.49387731481693</v>
      </c>
      <c r="K5517" s="178" t="s">
        <v>4872</v>
      </c>
      <c r="L5517" s="125" t="s">
        <v>3306</v>
      </c>
      <c r="M5517">
        <v>343</v>
      </c>
      <c r="N5517" s="182">
        <v>1</v>
      </c>
      <c r="O5517">
        <v>3552</v>
      </c>
      <c r="P5517" s="132" t="s">
        <v>77</v>
      </c>
      <c r="Q5517" s="176">
        <v>18178.57</v>
      </c>
      <c r="R5517" s="176">
        <v>2908.57</v>
      </c>
      <c r="S5517" s="176"/>
      <c r="T5517" s="190"/>
      <c r="U5517" s="191"/>
      <c r="V5517" s="191">
        <v>21087.14</v>
      </c>
      <c r="W5517">
        <v>25</v>
      </c>
      <c r="X5517" s="186" t="s">
        <v>2024</v>
      </c>
      <c r="Y5517" s="187" t="s">
        <v>55</v>
      </c>
      <c r="Z5517" s="311">
        <v>275</v>
      </c>
      <c r="AB5517" t="str">
        <f>IF(Table1[[#This Row],[TIPO2]]="costo", VLOOKUP(Table1[[#This Row],[PARTIDA PRESUPUESTAL]],'Cost Report'!G:G,1,0),"Balance")</f>
        <v>3936-004</v>
      </c>
      <c r="AD5517" s="159">
        <f>+Table1[[#This Row],[SUBTOTAL]]+Table1[[#This Row],[IVA]]-Table1[[#This Row],[RET IVA]]-Table1[[#This Row],[RET ISR]]-Table1[[#This Row],[TOTAL]]</f>
        <v>0</v>
      </c>
      <c r="AK5517" s="306">
        <f>IF(ISNUMBER(Table1[[#This Row],[FECHA DE RECIBIDO]]), Table1[[#This Row],[FECHA DE RECIBIDO]]-DATE(2023,8,30), "")</f>
        <v>-44892.506122685183</v>
      </c>
    </row>
    <row r="5518" spans="1:37" ht="16.05" customHeight="1">
      <c r="A5518" s="172"/>
      <c r="B5518" s="178">
        <v>1900</v>
      </c>
      <c r="C5518" s="179" t="s">
        <v>2838</v>
      </c>
      <c r="D5518">
        <v>3720</v>
      </c>
      <c r="E5518" s="125">
        <v>44150</v>
      </c>
      <c r="F5518" s="178" t="s">
        <v>1607</v>
      </c>
      <c r="G5518" s="178" t="e">
        <v>#N/A</v>
      </c>
      <c r="H5518">
        <v>23</v>
      </c>
      <c r="I5518" s="178" t="s">
        <v>1546</v>
      </c>
      <c r="J5518" s="320">
        <v>275.49439814814832</v>
      </c>
      <c r="K5518" s="178" t="s">
        <v>4872</v>
      </c>
      <c r="L5518" s="125" t="s">
        <v>3306</v>
      </c>
      <c r="M5518">
        <v>343</v>
      </c>
      <c r="N5518" s="182">
        <v>1</v>
      </c>
      <c r="O5518">
        <v>3553</v>
      </c>
      <c r="P5518" s="132" t="s">
        <v>77</v>
      </c>
      <c r="Q5518" s="176">
        <v>27240</v>
      </c>
      <c r="R5518" s="176">
        <v>4358.3999999999996</v>
      </c>
      <c r="S5518" s="176"/>
      <c r="T5518" s="190"/>
      <c r="U5518" s="191"/>
      <c r="V5518" s="191">
        <v>31598.400000000001</v>
      </c>
      <c r="W5518">
        <v>25</v>
      </c>
      <c r="X5518" s="186" t="s">
        <v>2024</v>
      </c>
      <c r="Y5518" s="187" t="s">
        <v>55</v>
      </c>
      <c r="Z5518" s="311">
        <v>275</v>
      </c>
      <c r="AB5518" t="str">
        <f>IF(Table1[[#This Row],[TIPO2]]="costo", VLOOKUP(Table1[[#This Row],[PARTIDA PRESUPUESTAL]],'Cost Report'!G:G,1,0),"Balance")</f>
        <v>3442-029</v>
      </c>
      <c r="AD5518" s="159">
        <f>+Table1[[#This Row],[SUBTOTAL]]+Table1[[#This Row],[IVA]]-Table1[[#This Row],[RET IVA]]-Table1[[#This Row],[RET ISR]]-Table1[[#This Row],[TOTAL]]</f>
        <v>0</v>
      </c>
      <c r="AK5518" s="306">
        <f>IF(ISNUMBER(Table1[[#This Row],[FECHA DE RECIBIDO]]), Table1[[#This Row],[FECHA DE RECIBIDO]]-DATE(2023,8,30), "")</f>
        <v>-44892.505601851852</v>
      </c>
    </row>
    <row r="5519" spans="1:37" ht="16.05" customHeight="1">
      <c r="A5519" s="172" t="s">
        <v>4919</v>
      </c>
      <c r="B5519" s="178">
        <v>1901</v>
      </c>
      <c r="C5519" s="179" t="s">
        <v>2410</v>
      </c>
      <c r="D5519">
        <v>3721</v>
      </c>
      <c r="E5519" s="125" t="s">
        <v>1588</v>
      </c>
      <c r="F5519" s="178">
        <v>612</v>
      </c>
      <c r="G5519" s="178" t="s">
        <v>129</v>
      </c>
      <c r="H5519">
        <v>15</v>
      </c>
      <c r="I5519" s="178" t="s">
        <v>1546</v>
      </c>
      <c r="J5519" s="320" t="s">
        <v>214</v>
      </c>
      <c r="K5519" s="178" t="s">
        <v>4872</v>
      </c>
      <c r="L5519" s="125" t="s">
        <v>110</v>
      </c>
      <c r="M5519">
        <v>19</v>
      </c>
      <c r="N5519" s="182">
        <v>1</v>
      </c>
      <c r="O5519">
        <v>3554</v>
      </c>
      <c r="P5519" s="132" t="s">
        <v>77</v>
      </c>
      <c r="Q5519" s="176">
        <v>37800</v>
      </c>
      <c r="R5519" s="176">
        <v>6048</v>
      </c>
      <c r="S5519" s="176"/>
      <c r="T5519" s="190">
        <v>4032.02</v>
      </c>
      <c r="U5519" s="191">
        <v>3780</v>
      </c>
      <c r="V5519" s="191">
        <v>36035.980000000003</v>
      </c>
      <c r="W5519">
        <v>15</v>
      </c>
      <c r="X5519" s="186" t="s">
        <v>1429</v>
      </c>
      <c r="Y5519" s="187" t="s">
        <v>55</v>
      </c>
      <c r="Z5519" s="311">
        <v>275</v>
      </c>
      <c r="AB5519" t="str">
        <f>IF(Table1[[#This Row],[TIPO2]]="costo", VLOOKUP(Table1[[#This Row],[PARTIDA PRESUPUESTAL]],'Cost Report'!G:G,1,0),"Balance")</f>
        <v>2013-006</v>
      </c>
      <c r="AD5519" s="159">
        <f>+Table1[[#This Row],[SUBTOTAL]]+Table1[[#This Row],[IVA]]-Table1[[#This Row],[RET IVA]]-Table1[[#This Row],[RET ISR]]-Table1[[#This Row],[TOTAL]]</f>
        <v>0</v>
      </c>
      <c r="AK5519" s="306" t="str">
        <f>IF(ISNUMBER(Table1[[#This Row],[FECHA DE RECIBIDO]]), Table1[[#This Row],[FECHA DE RECIBIDO]]-DATE(2023,8,30), "")</f>
        <v/>
      </c>
    </row>
    <row r="5520" spans="1:37" ht="16.05" customHeight="1">
      <c r="A5520" s="172" t="s">
        <v>4920</v>
      </c>
      <c r="B5520" s="178">
        <v>1902</v>
      </c>
      <c r="C5520" s="179" t="s">
        <v>2142</v>
      </c>
      <c r="D5520">
        <v>3722</v>
      </c>
      <c r="E5520" s="125" t="s">
        <v>1590</v>
      </c>
      <c r="F5520" s="178">
        <v>612</v>
      </c>
      <c r="G5520" s="178" t="s">
        <v>129</v>
      </c>
      <c r="H5520">
        <v>16</v>
      </c>
      <c r="I5520" s="178" t="s">
        <v>1546</v>
      </c>
      <c r="J5520" s="320" t="s">
        <v>214</v>
      </c>
      <c r="K5520" s="178" t="s">
        <v>4872</v>
      </c>
      <c r="L5520" s="125" t="s">
        <v>110</v>
      </c>
      <c r="M5520">
        <v>21</v>
      </c>
      <c r="N5520" s="182">
        <v>2</v>
      </c>
      <c r="O5520">
        <v>3555</v>
      </c>
      <c r="P5520" s="132" t="s">
        <v>77</v>
      </c>
      <c r="Q5520" s="176">
        <v>42000</v>
      </c>
      <c r="R5520" s="176">
        <v>6720</v>
      </c>
      <c r="S5520" s="176"/>
      <c r="T5520" s="190">
        <v>4480.01</v>
      </c>
      <c r="U5520" s="191">
        <v>4200</v>
      </c>
      <c r="V5520" s="191">
        <v>40039.99</v>
      </c>
      <c r="W5520">
        <v>16</v>
      </c>
      <c r="X5520" s="186" t="s">
        <v>1429</v>
      </c>
      <c r="Y5520" s="187" t="s">
        <v>55</v>
      </c>
      <c r="Z5520" s="311">
        <v>275</v>
      </c>
      <c r="AB5520" t="str">
        <f>IF(Table1[[#This Row],[TIPO2]]="costo", VLOOKUP(Table1[[#This Row],[PARTIDA PRESUPUESTAL]],'Cost Report'!G:G,1,0),"Balance")</f>
        <v>1204-006</v>
      </c>
      <c r="AD5520" s="159">
        <f>+Table1[[#This Row],[SUBTOTAL]]+Table1[[#This Row],[IVA]]-Table1[[#This Row],[RET IVA]]-Table1[[#This Row],[RET ISR]]-Table1[[#This Row],[TOTAL]]</f>
        <v>0</v>
      </c>
      <c r="AK5520" s="306" t="str">
        <f>IF(ISNUMBER(Table1[[#This Row],[FECHA DE RECIBIDO]]), Table1[[#This Row],[FECHA DE RECIBIDO]]-DATE(2023,8,30), "")</f>
        <v/>
      </c>
    </row>
    <row r="5521" spans="1:37" ht="16.05" customHeight="1">
      <c r="A5521" s="172" t="s">
        <v>4921</v>
      </c>
      <c r="B5521" s="178">
        <v>1903</v>
      </c>
      <c r="C5521" s="179" t="s">
        <v>2142</v>
      </c>
      <c r="D5521">
        <v>3723</v>
      </c>
      <c r="E5521" s="125" t="s">
        <v>1590</v>
      </c>
      <c r="F5521" s="178">
        <v>612</v>
      </c>
      <c r="G5521" s="178" t="s">
        <v>129</v>
      </c>
      <c r="H5521">
        <v>16</v>
      </c>
      <c r="I5521" s="178" t="s">
        <v>1546</v>
      </c>
      <c r="J5521" s="320" t="s">
        <v>214</v>
      </c>
      <c r="K5521" s="178" t="s">
        <v>4872</v>
      </c>
      <c r="L5521" s="125" t="s">
        <v>110</v>
      </c>
      <c r="M5521">
        <v>21</v>
      </c>
      <c r="N5521" s="182">
        <v>2</v>
      </c>
      <c r="O5521">
        <v>3556</v>
      </c>
      <c r="P5521" s="132" t="s">
        <v>77</v>
      </c>
      <c r="Q5521" s="176">
        <v>42000</v>
      </c>
      <c r="R5521" s="176">
        <v>6720</v>
      </c>
      <c r="S5521" s="176"/>
      <c r="T5521" s="190">
        <v>4480.01</v>
      </c>
      <c r="U5521" s="191">
        <v>4200</v>
      </c>
      <c r="V5521" s="191">
        <v>40039.99</v>
      </c>
      <c r="W5521">
        <v>16</v>
      </c>
      <c r="X5521" s="186" t="s">
        <v>1429</v>
      </c>
      <c r="Y5521" s="187" t="s">
        <v>55</v>
      </c>
      <c r="Z5521" s="311">
        <v>275</v>
      </c>
      <c r="AB5521" t="str">
        <f>IF(Table1[[#This Row],[TIPO2]]="costo", VLOOKUP(Table1[[#This Row],[PARTIDA PRESUPUESTAL]],'Cost Report'!G:G,1,0),"Balance")</f>
        <v>1204-006</v>
      </c>
      <c r="AD5521" s="159">
        <f>+Table1[[#This Row],[SUBTOTAL]]+Table1[[#This Row],[IVA]]-Table1[[#This Row],[RET IVA]]-Table1[[#This Row],[RET ISR]]-Table1[[#This Row],[TOTAL]]</f>
        <v>0</v>
      </c>
      <c r="AK5521" s="306" t="str">
        <f>IF(ISNUMBER(Table1[[#This Row],[FECHA DE RECIBIDO]]), Table1[[#This Row],[FECHA DE RECIBIDO]]-DATE(2023,8,30), "")</f>
        <v/>
      </c>
    </row>
    <row r="5522" spans="1:37" ht="16.05" customHeight="1">
      <c r="A5522" s="172" t="s">
        <v>4922</v>
      </c>
      <c r="B5522" s="178">
        <v>1904</v>
      </c>
      <c r="C5522" s="179" t="s">
        <v>436</v>
      </c>
      <c r="D5522">
        <v>3724</v>
      </c>
      <c r="E5522" s="125" t="s">
        <v>1591</v>
      </c>
      <c r="F5522" s="178">
        <v>612</v>
      </c>
      <c r="G5522" s="178" t="s">
        <v>129</v>
      </c>
      <c r="H5522">
        <v>17</v>
      </c>
      <c r="I5522" s="178" t="s">
        <v>1546</v>
      </c>
      <c r="J5522" s="320" t="s">
        <v>214</v>
      </c>
      <c r="K5522" s="178" t="s">
        <v>4872</v>
      </c>
      <c r="L5522" s="125" t="s">
        <v>110</v>
      </c>
      <c r="M5522">
        <v>22</v>
      </c>
      <c r="N5522" s="182">
        <v>3</v>
      </c>
      <c r="O5522">
        <v>3557</v>
      </c>
      <c r="P5522" s="132" t="s">
        <v>77</v>
      </c>
      <c r="Q5522" s="176">
        <v>40000</v>
      </c>
      <c r="R5522" s="176">
        <v>6400</v>
      </c>
      <c r="S5522" s="176"/>
      <c r="T5522" s="190">
        <v>4266.68</v>
      </c>
      <c r="U5522" s="191">
        <v>4000</v>
      </c>
      <c r="V5522" s="191">
        <v>38133.32</v>
      </c>
      <c r="W5522">
        <v>17</v>
      </c>
      <c r="X5522" s="186" t="s">
        <v>1430</v>
      </c>
      <c r="Y5522" s="187" t="s">
        <v>55</v>
      </c>
      <c r="Z5522" s="311">
        <v>275</v>
      </c>
      <c r="AB5522" t="str">
        <f>IF(Table1[[#This Row],[TIPO2]]="costo", VLOOKUP(Table1[[#This Row],[PARTIDA PRESUPUESTAL]],'Cost Report'!G:G,1,0),"Balance")</f>
        <v>2001-006</v>
      </c>
      <c r="AD5522" s="159">
        <f>+Table1[[#This Row],[SUBTOTAL]]+Table1[[#This Row],[IVA]]-Table1[[#This Row],[RET IVA]]-Table1[[#This Row],[RET ISR]]-Table1[[#This Row],[TOTAL]]</f>
        <v>0</v>
      </c>
      <c r="AK5522" s="306" t="str">
        <f>IF(ISNUMBER(Table1[[#This Row],[FECHA DE RECIBIDO]]), Table1[[#This Row],[FECHA DE RECIBIDO]]-DATE(2023,8,30), "")</f>
        <v/>
      </c>
    </row>
    <row r="5523" spans="1:37" ht="16.05" customHeight="1">
      <c r="A5523" s="172" t="s">
        <v>4923</v>
      </c>
      <c r="B5523" s="178">
        <v>1905</v>
      </c>
      <c r="C5523" s="179" t="s">
        <v>2143</v>
      </c>
      <c r="D5523">
        <v>3725</v>
      </c>
      <c r="E5523" s="125" t="s">
        <v>1592</v>
      </c>
      <c r="F5523" s="178">
        <v>626</v>
      </c>
      <c r="G5523" s="178" t="s">
        <v>109</v>
      </c>
      <c r="H5523">
        <v>18</v>
      </c>
      <c r="I5523" s="178" t="s">
        <v>1546</v>
      </c>
      <c r="J5523" s="320" t="s">
        <v>214</v>
      </c>
      <c r="K5523" s="178" t="s">
        <v>4872</v>
      </c>
      <c r="L5523" s="125" t="s">
        <v>110</v>
      </c>
      <c r="M5523">
        <v>23</v>
      </c>
      <c r="N5523" s="182">
        <v>4</v>
      </c>
      <c r="O5523">
        <v>3558</v>
      </c>
      <c r="P5523" s="132" t="s">
        <v>77</v>
      </c>
      <c r="Q5523" s="176">
        <v>10000</v>
      </c>
      <c r="R5523" s="176">
        <v>1600</v>
      </c>
      <c r="S5523" s="176"/>
      <c r="T5523" s="190">
        <v>1066.67</v>
      </c>
      <c r="U5523" s="191">
        <v>125</v>
      </c>
      <c r="V5523" s="191">
        <v>10408.33</v>
      </c>
      <c r="W5523">
        <v>18</v>
      </c>
      <c r="X5523" s="186" t="s">
        <v>1429</v>
      </c>
      <c r="Y5523" s="187" t="s">
        <v>55</v>
      </c>
      <c r="Z5523" s="311">
        <v>275</v>
      </c>
      <c r="AB5523" t="str">
        <f>IF(Table1[[#This Row],[TIPO2]]="costo", VLOOKUP(Table1[[#This Row],[PARTIDA PRESUPUESTAL]],'Cost Report'!G:G,1,0),"Balance")</f>
        <v>1222-009</v>
      </c>
      <c r="AD5523" s="159">
        <f>+Table1[[#This Row],[SUBTOTAL]]+Table1[[#This Row],[IVA]]-Table1[[#This Row],[RET IVA]]-Table1[[#This Row],[RET ISR]]-Table1[[#This Row],[TOTAL]]</f>
        <v>0</v>
      </c>
      <c r="AK5523" s="306" t="str">
        <f>IF(ISNUMBER(Table1[[#This Row],[FECHA DE RECIBIDO]]), Table1[[#This Row],[FECHA DE RECIBIDO]]-DATE(2023,8,30), "")</f>
        <v/>
      </c>
    </row>
    <row r="5524" spans="1:37" ht="16.05" customHeight="1">
      <c r="A5524" s="172" t="s">
        <v>4924</v>
      </c>
      <c r="B5524" s="178">
        <v>1906</v>
      </c>
      <c r="C5524" s="179" t="s">
        <v>479</v>
      </c>
      <c r="D5524">
        <v>3726</v>
      </c>
      <c r="E5524" s="125" t="s">
        <v>1594</v>
      </c>
      <c r="F5524" s="178">
        <v>626</v>
      </c>
      <c r="G5524" s="178" t="s">
        <v>109</v>
      </c>
      <c r="H5524">
        <v>21</v>
      </c>
      <c r="I5524" s="178" t="s">
        <v>1546</v>
      </c>
      <c r="J5524" s="320" t="s">
        <v>214</v>
      </c>
      <c r="K5524" s="178" t="s">
        <v>4872</v>
      </c>
      <c r="L5524" s="125" t="s">
        <v>110</v>
      </c>
      <c r="M5524">
        <v>27</v>
      </c>
      <c r="N5524" s="182">
        <v>5</v>
      </c>
      <c r="O5524">
        <v>3559</v>
      </c>
      <c r="P5524" s="132" t="s">
        <v>77</v>
      </c>
      <c r="Q5524" s="176">
        <v>16000</v>
      </c>
      <c r="R5524" s="176">
        <v>2560</v>
      </c>
      <c r="S5524" s="176"/>
      <c r="T5524" s="190">
        <v>1706.66</v>
      </c>
      <c r="U5524" s="191">
        <v>200</v>
      </c>
      <c r="V5524" s="191">
        <v>16653.34</v>
      </c>
      <c r="W5524">
        <v>21</v>
      </c>
      <c r="X5524" s="186" t="s">
        <v>1431</v>
      </c>
      <c r="Y5524" s="187" t="s">
        <v>55</v>
      </c>
      <c r="Z5524" s="311">
        <v>275</v>
      </c>
      <c r="AB5524" t="str">
        <f>IF(Table1[[#This Row],[TIPO2]]="costo", VLOOKUP(Table1[[#This Row],[PARTIDA PRESUPUESTAL]],'Cost Report'!G:G,1,0),"Balance")</f>
        <v>2014-005</v>
      </c>
      <c r="AD5524" s="159">
        <f>+Table1[[#This Row],[SUBTOTAL]]+Table1[[#This Row],[IVA]]-Table1[[#This Row],[RET IVA]]-Table1[[#This Row],[RET ISR]]-Table1[[#This Row],[TOTAL]]</f>
        <v>0</v>
      </c>
      <c r="AK5524" s="306" t="str">
        <f>IF(ISNUMBER(Table1[[#This Row],[FECHA DE RECIBIDO]]), Table1[[#This Row],[FECHA DE RECIBIDO]]-DATE(2023,8,30), "")</f>
        <v/>
      </c>
    </row>
    <row r="5525" spans="1:37" ht="16.05" customHeight="1">
      <c r="A5525" s="172" t="s">
        <v>4925</v>
      </c>
      <c r="B5525" s="178">
        <v>1907</v>
      </c>
      <c r="C5525" s="179" t="s">
        <v>492</v>
      </c>
      <c r="D5525">
        <v>3727</v>
      </c>
      <c r="E5525" s="125" t="s">
        <v>2010</v>
      </c>
      <c r="F5525" s="178">
        <v>612</v>
      </c>
      <c r="G5525" s="178" t="s">
        <v>129</v>
      </c>
      <c r="H5525">
        <v>60</v>
      </c>
      <c r="I5525" s="178" t="s">
        <v>1546</v>
      </c>
      <c r="J5525" s="320" t="s">
        <v>214</v>
      </c>
      <c r="K5525" s="178" t="s">
        <v>4872</v>
      </c>
      <c r="L5525" s="125" t="s">
        <v>110</v>
      </c>
      <c r="M5525">
        <v>83</v>
      </c>
      <c r="N5525" s="182">
        <v>19</v>
      </c>
      <c r="O5525">
        <v>3560</v>
      </c>
      <c r="P5525" s="132" t="s">
        <v>77</v>
      </c>
      <c r="Q5525" s="176">
        <v>18900</v>
      </c>
      <c r="R5525" s="176">
        <v>3024</v>
      </c>
      <c r="S5525" s="176"/>
      <c r="T5525" s="190">
        <v>2016.01</v>
      </c>
      <c r="U5525" s="191">
        <v>1890</v>
      </c>
      <c r="V5525" s="191">
        <v>18017.990000000002</v>
      </c>
      <c r="W5525">
        <v>42</v>
      </c>
      <c r="X5525" s="186" t="s">
        <v>1430</v>
      </c>
      <c r="Y5525" s="187" t="s">
        <v>55</v>
      </c>
      <c r="Z5525" s="311">
        <v>275</v>
      </c>
      <c r="AB5525" t="str">
        <f>IF(Table1[[#This Row],[TIPO2]]="costo", VLOOKUP(Table1[[#This Row],[PARTIDA PRESUPUESTAL]],'Cost Report'!G:G,1,0),"Balance")</f>
        <v>2020-005</v>
      </c>
      <c r="AD5525" s="159">
        <f>+Table1[[#This Row],[SUBTOTAL]]+Table1[[#This Row],[IVA]]-Table1[[#This Row],[RET IVA]]-Table1[[#This Row],[RET ISR]]-Table1[[#This Row],[TOTAL]]</f>
        <v>0</v>
      </c>
      <c r="AK5525" s="306" t="str">
        <f>IF(ISNUMBER(Table1[[#This Row],[FECHA DE RECIBIDO]]), Table1[[#This Row],[FECHA DE RECIBIDO]]-DATE(2023,8,30), "")</f>
        <v/>
      </c>
    </row>
    <row r="5526" spans="1:37" ht="16.05" customHeight="1">
      <c r="A5526" s="172" t="s">
        <v>4926</v>
      </c>
      <c r="B5526" s="178">
        <v>1908</v>
      </c>
      <c r="C5526" s="179" t="s">
        <v>2417</v>
      </c>
      <c r="D5526">
        <v>3728</v>
      </c>
      <c r="E5526" s="125" t="s">
        <v>1888</v>
      </c>
      <c r="F5526" s="178">
        <v>626</v>
      </c>
      <c r="G5526" s="178" t="s">
        <v>109</v>
      </c>
      <c r="H5526">
        <v>61</v>
      </c>
      <c r="I5526" s="178" t="s">
        <v>1546</v>
      </c>
      <c r="J5526" s="320" t="s">
        <v>214</v>
      </c>
      <c r="K5526" s="178" t="s">
        <v>4872</v>
      </c>
      <c r="L5526" s="125" t="s">
        <v>110</v>
      </c>
      <c r="M5526">
        <v>84</v>
      </c>
      <c r="N5526" s="182">
        <v>21</v>
      </c>
      <c r="O5526">
        <v>3561</v>
      </c>
      <c r="P5526" s="132" t="s">
        <v>77</v>
      </c>
      <c r="Q5526" s="176">
        <v>25000</v>
      </c>
      <c r="R5526" s="176">
        <v>4000</v>
      </c>
      <c r="S5526" s="176"/>
      <c r="T5526" s="190">
        <v>2666.68</v>
      </c>
      <c r="U5526" s="191">
        <v>312.5</v>
      </c>
      <c r="V5526" s="191">
        <v>26020.82</v>
      </c>
      <c r="W5526">
        <v>43</v>
      </c>
      <c r="X5526" s="186" t="s">
        <v>1431</v>
      </c>
      <c r="Y5526" s="187" t="s">
        <v>55</v>
      </c>
      <c r="Z5526" s="311">
        <v>275</v>
      </c>
      <c r="AB5526" t="str">
        <f>IF(Table1[[#This Row],[TIPO2]]="costo", VLOOKUP(Table1[[#This Row],[PARTIDA PRESUPUESTAL]],'Cost Report'!G:G,1,0),"Balance")</f>
        <v>2017-004</v>
      </c>
      <c r="AD5526" s="159">
        <f>+Table1[[#This Row],[SUBTOTAL]]+Table1[[#This Row],[IVA]]-Table1[[#This Row],[RET IVA]]-Table1[[#This Row],[RET ISR]]-Table1[[#This Row],[TOTAL]]</f>
        <v>0</v>
      </c>
      <c r="AK5526" s="306" t="str">
        <f>IF(ISNUMBER(Table1[[#This Row],[FECHA DE RECIBIDO]]), Table1[[#This Row],[FECHA DE RECIBIDO]]-DATE(2023,8,30), "")</f>
        <v/>
      </c>
    </row>
    <row r="5527" spans="1:37" ht="16.05" customHeight="1">
      <c r="A5527" s="172" t="s">
        <v>4927</v>
      </c>
      <c r="B5527" s="178">
        <v>1909</v>
      </c>
      <c r="C5527" s="179" t="s">
        <v>2418</v>
      </c>
      <c r="D5527">
        <v>3729</v>
      </c>
      <c r="E5527" s="125" t="s">
        <v>1888</v>
      </c>
      <c r="F5527" s="178">
        <v>626</v>
      </c>
      <c r="G5527" s="178" t="s">
        <v>109</v>
      </c>
      <c r="H5527">
        <v>61</v>
      </c>
      <c r="I5527" s="178" t="s">
        <v>1546</v>
      </c>
      <c r="J5527" s="320" t="s">
        <v>214</v>
      </c>
      <c r="K5527" s="178" t="s">
        <v>4872</v>
      </c>
      <c r="L5527" s="125" t="s">
        <v>110</v>
      </c>
      <c r="M5527">
        <v>84</v>
      </c>
      <c r="N5527" s="182">
        <v>21</v>
      </c>
      <c r="O5527">
        <v>3562</v>
      </c>
      <c r="P5527" s="132" t="s">
        <v>77</v>
      </c>
      <c r="Q5527" s="176">
        <v>25000</v>
      </c>
      <c r="R5527" s="176">
        <v>4000</v>
      </c>
      <c r="S5527" s="176"/>
      <c r="T5527" s="190">
        <v>2666.68</v>
      </c>
      <c r="U5527" s="191">
        <v>312.5</v>
      </c>
      <c r="V5527" s="191">
        <v>26020.82</v>
      </c>
      <c r="W5527">
        <v>43</v>
      </c>
      <c r="X5527" s="186" t="s">
        <v>1431</v>
      </c>
      <c r="Y5527" s="187" t="s">
        <v>55</v>
      </c>
      <c r="Z5527" s="311">
        <v>275</v>
      </c>
      <c r="AB5527" t="str">
        <f>IF(Table1[[#This Row],[TIPO2]]="costo", VLOOKUP(Table1[[#This Row],[PARTIDA PRESUPUESTAL]],'Cost Report'!G:G,1,0),"Balance")</f>
        <v>2017-005</v>
      </c>
      <c r="AD5527" s="159">
        <f>+Table1[[#This Row],[SUBTOTAL]]+Table1[[#This Row],[IVA]]-Table1[[#This Row],[RET IVA]]-Table1[[#This Row],[RET ISR]]-Table1[[#This Row],[TOTAL]]</f>
        <v>0</v>
      </c>
      <c r="AK5527" s="306" t="str">
        <f>IF(ISNUMBER(Table1[[#This Row],[FECHA DE RECIBIDO]]), Table1[[#This Row],[FECHA DE RECIBIDO]]-DATE(2023,8,30), "")</f>
        <v/>
      </c>
    </row>
    <row r="5528" spans="1:37" ht="16.05" customHeight="1">
      <c r="A5528" s="172" t="s">
        <v>4928</v>
      </c>
      <c r="B5528" s="178">
        <v>1910</v>
      </c>
      <c r="C5528" s="179" t="s">
        <v>246</v>
      </c>
      <c r="D5528">
        <v>3730</v>
      </c>
      <c r="E5528" s="125" t="s">
        <v>1595</v>
      </c>
      <c r="F5528" s="178">
        <v>612</v>
      </c>
      <c r="G5528" s="178" t="s">
        <v>129</v>
      </c>
      <c r="H5528">
        <v>104</v>
      </c>
      <c r="I5528" s="178" t="s">
        <v>1546</v>
      </c>
      <c r="J5528" s="320" t="s">
        <v>214</v>
      </c>
      <c r="K5528" s="178" t="s">
        <v>4872</v>
      </c>
      <c r="L5528" s="125" t="s">
        <v>110</v>
      </c>
      <c r="M5528">
        <v>142</v>
      </c>
      <c r="N5528" s="182">
        <v>34</v>
      </c>
      <c r="O5528">
        <v>3563</v>
      </c>
      <c r="P5528" s="132" t="s">
        <v>77</v>
      </c>
      <c r="Q5528" s="176">
        <v>10500</v>
      </c>
      <c r="R5528" s="176">
        <v>1680</v>
      </c>
      <c r="S5528" s="176"/>
      <c r="T5528" s="190">
        <v>1120</v>
      </c>
      <c r="U5528" s="191">
        <v>1050</v>
      </c>
      <c r="V5528" s="191">
        <v>10010</v>
      </c>
      <c r="W5528">
        <v>66</v>
      </c>
      <c r="X5528" s="186" t="s">
        <v>1429</v>
      </c>
      <c r="Y5528" s="187" t="s">
        <v>55</v>
      </c>
      <c r="Z5528" s="311">
        <v>275</v>
      </c>
      <c r="AB5528" t="str">
        <f>IF(Table1[[#This Row],[TIPO2]]="costo", VLOOKUP(Table1[[#This Row],[PARTIDA PRESUPUESTAL]],'Cost Report'!G:G,1,0),"Balance")</f>
        <v>1222-004</v>
      </c>
      <c r="AD5528" s="159">
        <f>+Table1[[#This Row],[SUBTOTAL]]+Table1[[#This Row],[IVA]]-Table1[[#This Row],[RET IVA]]-Table1[[#This Row],[RET ISR]]-Table1[[#This Row],[TOTAL]]</f>
        <v>0</v>
      </c>
      <c r="AK5528" s="306" t="str">
        <f>IF(ISNUMBER(Table1[[#This Row],[FECHA DE RECIBIDO]]), Table1[[#This Row],[FECHA DE RECIBIDO]]-DATE(2023,8,30), "")</f>
        <v/>
      </c>
    </row>
    <row r="5529" spans="1:37" ht="16.05" customHeight="1">
      <c r="A5529" s="172" t="s">
        <v>4929</v>
      </c>
      <c r="B5529" s="178">
        <v>1911</v>
      </c>
      <c r="C5529" s="179" t="s">
        <v>2437</v>
      </c>
      <c r="D5529">
        <v>3731</v>
      </c>
      <c r="E5529" s="125">
        <v>10200</v>
      </c>
      <c r="F5529" s="178">
        <v>612</v>
      </c>
      <c r="G5529" s="178" t="s">
        <v>129</v>
      </c>
      <c r="H5529">
        <v>198</v>
      </c>
      <c r="I5529" s="178" t="s">
        <v>1546</v>
      </c>
      <c r="J5529" s="320">
        <v>273.83939814814948</v>
      </c>
      <c r="K5529" s="178" t="s">
        <v>4872</v>
      </c>
      <c r="L5529" s="125" t="s">
        <v>110</v>
      </c>
      <c r="M5529">
        <v>263</v>
      </c>
      <c r="N5529" s="182">
        <v>63</v>
      </c>
      <c r="O5529">
        <v>3564</v>
      </c>
      <c r="P5529" s="132" t="s">
        <v>77</v>
      </c>
      <c r="Q5529" s="176">
        <v>8000</v>
      </c>
      <c r="R5529" s="176">
        <v>1280</v>
      </c>
      <c r="S5529" s="176"/>
      <c r="T5529" s="190">
        <v>853.33</v>
      </c>
      <c r="U5529" s="191">
        <v>800</v>
      </c>
      <c r="V5529" s="191">
        <v>7626.67</v>
      </c>
      <c r="W5529">
        <v>119</v>
      </c>
      <c r="X5529" s="186" t="s">
        <v>1429</v>
      </c>
      <c r="Y5529" s="187" t="s">
        <v>55</v>
      </c>
      <c r="Z5529" s="311">
        <v>275</v>
      </c>
      <c r="AB5529" t="str">
        <f>IF(Table1[[#This Row],[TIPO2]]="costo", VLOOKUP(Table1[[#This Row],[PARTIDA PRESUPUESTAL]],'Cost Report'!G:G,1,0),"Balance")</f>
        <v>2045-005</v>
      </c>
      <c r="AD5529" s="159">
        <f>+Table1[[#This Row],[SUBTOTAL]]+Table1[[#This Row],[IVA]]-Table1[[#This Row],[RET IVA]]-Table1[[#This Row],[RET ISR]]-Table1[[#This Row],[TOTAL]]</f>
        <v>0</v>
      </c>
      <c r="AK5529" s="306">
        <f>IF(ISNUMBER(Table1[[#This Row],[FECHA DE RECIBIDO]]), Table1[[#This Row],[FECHA DE RECIBIDO]]-DATE(2023,8,30), "")</f>
        <v>-44894.160601851851</v>
      </c>
    </row>
    <row r="5530" spans="1:37" ht="16.05" customHeight="1">
      <c r="A5530" s="172" t="s">
        <v>4930</v>
      </c>
      <c r="B5530" s="178">
        <v>1912</v>
      </c>
      <c r="C5530" s="179" t="s">
        <v>486</v>
      </c>
      <c r="D5530">
        <v>3732</v>
      </c>
      <c r="E5530" s="125" t="s">
        <v>3169</v>
      </c>
      <c r="F5530" s="178">
        <v>626</v>
      </c>
      <c r="G5530" s="178" t="s">
        <v>109</v>
      </c>
      <c r="H5530">
        <v>200</v>
      </c>
      <c r="I5530" s="178" t="s">
        <v>1546</v>
      </c>
      <c r="J5530" s="320" t="s">
        <v>214</v>
      </c>
      <c r="K5530" s="178" t="s">
        <v>4872</v>
      </c>
      <c r="L5530" s="125" t="s">
        <v>110</v>
      </c>
      <c r="M5530">
        <v>265</v>
      </c>
      <c r="N5530" s="182">
        <v>65</v>
      </c>
      <c r="O5530">
        <v>3565</v>
      </c>
      <c r="P5530" s="132" t="s">
        <v>77</v>
      </c>
      <c r="Q5530" s="176">
        <v>9300</v>
      </c>
      <c r="R5530" s="176">
        <v>1488</v>
      </c>
      <c r="S5530" s="176"/>
      <c r="T5530" s="190">
        <v>992.01</v>
      </c>
      <c r="U5530" s="191">
        <v>116.25</v>
      </c>
      <c r="V5530" s="191">
        <v>9679.74</v>
      </c>
      <c r="W5530">
        <v>121</v>
      </c>
      <c r="X5530" s="186" t="s">
        <v>1429</v>
      </c>
      <c r="Y5530" s="187" t="s">
        <v>55</v>
      </c>
      <c r="Z5530" s="311">
        <v>275</v>
      </c>
      <c r="AB5530" t="str">
        <f>IF(Table1[[#This Row],[TIPO2]]="costo", VLOOKUP(Table1[[#This Row],[PARTIDA PRESUPUESTAL]],'Cost Report'!G:G,1,0),"Balance")</f>
        <v>2019-005</v>
      </c>
      <c r="AD5530" s="159">
        <f>+Table1[[#This Row],[SUBTOTAL]]+Table1[[#This Row],[IVA]]-Table1[[#This Row],[RET IVA]]-Table1[[#This Row],[RET ISR]]-Table1[[#This Row],[TOTAL]]</f>
        <v>0</v>
      </c>
      <c r="AK5530" s="306" t="str">
        <f>IF(ISNUMBER(Table1[[#This Row],[FECHA DE RECIBIDO]]), Table1[[#This Row],[FECHA DE RECIBIDO]]-DATE(2023,8,30), "")</f>
        <v/>
      </c>
    </row>
    <row r="5531" spans="1:37" ht="16.05" customHeight="1">
      <c r="A5531" s="172" t="s">
        <v>4931</v>
      </c>
      <c r="B5531" s="178">
        <v>1913</v>
      </c>
      <c r="C5531" s="179" t="s">
        <v>500</v>
      </c>
      <c r="D5531">
        <v>3733</v>
      </c>
      <c r="E5531" s="125" t="s">
        <v>1646</v>
      </c>
      <c r="F5531" s="178">
        <v>626</v>
      </c>
      <c r="G5531" s="178" t="s">
        <v>109</v>
      </c>
      <c r="H5531">
        <v>342</v>
      </c>
      <c r="I5531" s="178" t="s">
        <v>1546</v>
      </c>
      <c r="J5531" s="320" t="s">
        <v>214</v>
      </c>
      <c r="K5531" s="178" t="s">
        <v>4872</v>
      </c>
      <c r="L5531" s="125" t="s">
        <v>110</v>
      </c>
      <c r="M5531">
        <v>459</v>
      </c>
      <c r="N5531" s="182">
        <v>84</v>
      </c>
      <c r="O5531">
        <v>3566</v>
      </c>
      <c r="P5531" s="132" t="s">
        <v>77</v>
      </c>
      <c r="Q5531" s="176">
        <v>7000</v>
      </c>
      <c r="R5531" s="176">
        <v>1120</v>
      </c>
      <c r="S5531" s="176"/>
      <c r="T5531" s="190">
        <v>746.67</v>
      </c>
      <c r="U5531" s="191">
        <v>87.5</v>
      </c>
      <c r="V5531" s="191">
        <v>7285.83</v>
      </c>
      <c r="W5531">
        <v>179</v>
      </c>
      <c r="X5531" s="186" t="s">
        <v>1429</v>
      </c>
      <c r="Y5531" s="187" t="s">
        <v>55</v>
      </c>
      <c r="Z5531" s="311">
        <v>275</v>
      </c>
      <c r="AB5531" t="str">
        <f>IF(Table1[[#This Row],[TIPO2]]="costo", VLOOKUP(Table1[[#This Row],[PARTIDA PRESUPUESTAL]],'Cost Report'!G:G,1,0),"Balance")</f>
        <v>2020-017</v>
      </c>
      <c r="AD5531" s="159">
        <f>+Table1[[#This Row],[SUBTOTAL]]+Table1[[#This Row],[IVA]]-Table1[[#This Row],[RET IVA]]-Table1[[#This Row],[RET ISR]]-Table1[[#This Row],[TOTAL]]</f>
        <v>0</v>
      </c>
      <c r="AK5531" s="306" t="str">
        <f>IF(ISNUMBER(Table1[[#This Row],[FECHA DE RECIBIDO]]), Table1[[#This Row],[FECHA DE RECIBIDO]]-DATE(2023,8,30), "")</f>
        <v/>
      </c>
    </row>
    <row r="5532" spans="1:37" ht="16.05" customHeight="1">
      <c r="A5532" s="172" t="s">
        <v>4932</v>
      </c>
      <c r="B5532" s="178">
        <v>1914</v>
      </c>
      <c r="C5532" s="179" t="s">
        <v>506</v>
      </c>
      <c r="D5532">
        <v>3734</v>
      </c>
      <c r="E5532" s="125" t="s">
        <v>1603</v>
      </c>
      <c r="F5532" s="178">
        <v>612</v>
      </c>
      <c r="G5532" s="178" t="s">
        <v>129</v>
      </c>
      <c r="H5532">
        <v>493</v>
      </c>
      <c r="I5532" s="178" t="s">
        <v>1546</v>
      </c>
      <c r="J5532" s="320" t="s">
        <v>214</v>
      </c>
      <c r="K5532" s="178" t="s">
        <v>4872</v>
      </c>
      <c r="L5532" s="125" t="s">
        <v>110</v>
      </c>
      <c r="M5532">
        <v>717</v>
      </c>
      <c r="N5532" s="182">
        <v>122</v>
      </c>
      <c r="O5532">
        <v>3567</v>
      </c>
      <c r="P5532" s="132" t="s">
        <v>77</v>
      </c>
      <c r="Q5532" s="176">
        <v>8000</v>
      </c>
      <c r="R5532" s="176">
        <v>1280</v>
      </c>
      <c r="S5532" s="176"/>
      <c r="T5532" s="190">
        <v>853.34</v>
      </c>
      <c r="U5532" s="191">
        <v>800</v>
      </c>
      <c r="V5532" s="191">
        <v>7626.66</v>
      </c>
      <c r="W5532">
        <v>265</v>
      </c>
      <c r="X5532" s="186" t="s">
        <v>1429</v>
      </c>
      <c r="Y5532" s="187" t="s">
        <v>55</v>
      </c>
      <c r="Z5532" s="311">
        <v>275</v>
      </c>
      <c r="AB5532" t="str">
        <f>IF(Table1[[#This Row],[TIPO2]]="costo", VLOOKUP(Table1[[#This Row],[PARTIDA PRESUPUESTAL]],'Cost Report'!G:G,1,0),"Balance")</f>
        <v>2020-027</v>
      </c>
      <c r="AD5532" s="159">
        <f>+Table1[[#This Row],[SUBTOTAL]]+Table1[[#This Row],[IVA]]-Table1[[#This Row],[RET IVA]]-Table1[[#This Row],[RET ISR]]-Table1[[#This Row],[TOTAL]]</f>
        <v>0</v>
      </c>
      <c r="AK5532" s="306" t="str">
        <f>IF(ISNUMBER(Table1[[#This Row],[FECHA DE RECIBIDO]]), Table1[[#This Row],[FECHA DE RECIBIDO]]-DATE(2023,8,30), "")</f>
        <v/>
      </c>
    </row>
    <row r="5533" spans="1:37" ht="16.05" customHeight="1">
      <c r="A5533" s="172" t="s">
        <v>4933</v>
      </c>
      <c r="B5533" s="178">
        <v>1915</v>
      </c>
      <c r="C5533" s="179" t="s">
        <v>506</v>
      </c>
      <c r="D5533">
        <v>3735</v>
      </c>
      <c r="E5533" s="125" t="s">
        <v>1603</v>
      </c>
      <c r="F5533" s="178">
        <v>612</v>
      </c>
      <c r="G5533" s="178" t="s">
        <v>129</v>
      </c>
      <c r="H5533">
        <v>493</v>
      </c>
      <c r="I5533" s="178" t="s">
        <v>1546</v>
      </c>
      <c r="J5533" s="320" t="s">
        <v>214</v>
      </c>
      <c r="K5533" s="178" t="s">
        <v>4872</v>
      </c>
      <c r="L5533" s="125" t="s">
        <v>110</v>
      </c>
      <c r="M5533">
        <v>717</v>
      </c>
      <c r="N5533" s="182">
        <v>122</v>
      </c>
      <c r="O5533">
        <v>3568</v>
      </c>
      <c r="P5533" s="132" t="s">
        <v>77</v>
      </c>
      <c r="Q5533" s="176">
        <v>4000</v>
      </c>
      <c r="R5533" s="176">
        <v>640</v>
      </c>
      <c r="S5533" s="176"/>
      <c r="T5533" s="190">
        <v>426.67</v>
      </c>
      <c r="U5533" s="191">
        <v>400</v>
      </c>
      <c r="V5533" s="191">
        <v>3813.33</v>
      </c>
      <c r="W5533">
        <v>265</v>
      </c>
      <c r="X5533" s="186" t="s">
        <v>1429</v>
      </c>
      <c r="Y5533" s="187" t="s">
        <v>55</v>
      </c>
      <c r="Z5533" s="311">
        <v>275</v>
      </c>
      <c r="AB5533" t="str">
        <f>IF(Table1[[#This Row],[TIPO2]]="costo", VLOOKUP(Table1[[#This Row],[PARTIDA PRESUPUESTAL]],'Cost Report'!G:G,1,0),"Balance")</f>
        <v>2020-027</v>
      </c>
      <c r="AD5533" s="159">
        <f>+Table1[[#This Row],[SUBTOTAL]]+Table1[[#This Row],[IVA]]-Table1[[#This Row],[RET IVA]]-Table1[[#This Row],[RET ISR]]-Table1[[#This Row],[TOTAL]]</f>
        <v>0</v>
      </c>
      <c r="AK5533" s="306" t="str">
        <f>IF(ISNUMBER(Table1[[#This Row],[FECHA DE RECIBIDO]]), Table1[[#This Row],[FECHA DE RECIBIDO]]-DATE(2023,8,30), "")</f>
        <v/>
      </c>
    </row>
    <row r="5534" spans="1:37" ht="16.05" customHeight="1">
      <c r="A5534" s="172" t="s">
        <v>4934</v>
      </c>
      <c r="B5534" s="178">
        <v>1916</v>
      </c>
      <c r="C5534" s="179" t="s">
        <v>2425</v>
      </c>
      <c r="D5534">
        <v>3736</v>
      </c>
      <c r="E5534" s="125" t="s">
        <v>1997</v>
      </c>
      <c r="F5534" s="178">
        <v>612</v>
      </c>
      <c r="G5534" s="178" t="s">
        <v>129</v>
      </c>
      <c r="H5534">
        <v>494</v>
      </c>
      <c r="I5534" s="178" t="s">
        <v>1546</v>
      </c>
      <c r="J5534" s="320" t="s">
        <v>214</v>
      </c>
      <c r="K5534" s="178" t="s">
        <v>4872</v>
      </c>
      <c r="L5534" s="125" t="s">
        <v>110</v>
      </c>
      <c r="M5534">
        <v>718</v>
      </c>
      <c r="N5534" s="182">
        <v>123</v>
      </c>
      <c r="O5534">
        <v>3569</v>
      </c>
      <c r="P5534" s="132" t="s">
        <v>77</v>
      </c>
      <c r="Q5534" s="176">
        <v>9300</v>
      </c>
      <c r="R5534" s="176">
        <v>1488</v>
      </c>
      <c r="S5534" s="176"/>
      <c r="T5534" s="190">
        <v>992.01</v>
      </c>
      <c r="U5534" s="191">
        <v>930</v>
      </c>
      <c r="V5534" s="191">
        <v>8865.99</v>
      </c>
      <c r="W5534">
        <v>266</v>
      </c>
      <c r="X5534" s="186" t="s">
        <v>1429</v>
      </c>
      <c r="Y5534" s="187" t="s">
        <v>55</v>
      </c>
      <c r="Z5534" s="311">
        <v>275</v>
      </c>
      <c r="AB5534" t="str">
        <f>IF(Table1[[#This Row],[TIPO2]]="costo", VLOOKUP(Table1[[#This Row],[PARTIDA PRESUPUESTAL]],'Cost Report'!G:G,1,0),"Balance")</f>
        <v>2019-011</v>
      </c>
      <c r="AD5534" s="159">
        <f>+Table1[[#This Row],[SUBTOTAL]]+Table1[[#This Row],[IVA]]-Table1[[#This Row],[RET IVA]]-Table1[[#This Row],[RET ISR]]-Table1[[#This Row],[TOTAL]]</f>
        <v>0</v>
      </c>
      <c r="AK5534" s="306" t="str">
        <f>IF(ISNUMBER(Table1[[#This Row],[FECHA DE RECIBIDO]]), Table1[[#This Row],[FECHA DE RECIBIDO]]-DATE(2023,8,30), "")</f>
        <v/>
      </c>
    </row>
    <row r="5535" spans="1:37" ht="16.05" customHeight="1">
      <c r="A5535" s="172" t="s">
        <v>4935</v>
      </c>
      <c r="B5535" s="178">
        <v>1917</v>
      </c>
      <c r="C5535" s="179" t="s">
        <v>2420</v>
      </c>
      <c r="D5535">
        <v>3737</v>
      </c>
      <c r="E5535" s="125" t="s">
        <v>2018</v>
      </c>
      <c r="F5535" s="178">
        <v>621</v>
      </c>
      <c r="G5535" s="178" t="s">
        <v>1617</v>
      </c>
      <c r="H5535">
        <v>917</v>
      </c>
      <c r="I5535" s="178" t="s">
        <v>1546</v>
      </c>
      <c r="J5535" s="320" t="s">
        <v>214</v>
      </c>
      <c r="K5535" s="178" t="s">
        <v>4872</v>
      </c>
      <c r="L5535" s="125" t="s">
        <v>110</v>
      </c>
      <c r="M5535">
        <v>1279</v>
      </c>
      <c r="N5535" s="182">
        <v>222</v>
      </c>
      <c r="O5535">
        <v>3570</v>
      </c>
      <c r="P5535" s="132" t="s">
        <v>77</v>
      </c>
      <c r="Q5535" s="176">
        <v>12500</v>
      </c>
      <c r="R5535" s="176">
        <v>2000</v>
      </c>
      <c r="S5535" s="176"/>
      <c r="T5535" s="190">
        <v>1333.34</v>
      </c>
      <c r="U5535" s="191">
        <v>0</v>
      </c>
      <c r="V5535" s="191">
        <v>13166.66</v>
      </c>
      <c r="W5535">
        <v>449</v>
      </c>
      <c r="X5535" s="186" t="s">
        <v>1430</v>
      </c>
      <c r="Y5535" s="187" t="s">
        <v>55</v>
      </c>
      <c r="Z5535" s="311">
        <v>275</v>
      </c>
      <c r="AB5535" t="str">
        <f>IF(Table1[[#This Row],[TIPO2]]="costo", VLOOKUP(Table1[[#This Row],[PARTIDA PRESUPUESTAL]],'Cost Report'!G:G,1,0),"Balance")</f>
        <v>2017-009</v>
      </c>
      <c r="AD5535" s="159">
        <f>+Table1[[#This Row],[SUBTOTAL]]+Table1[[#This Row],[IVA]]-Table1[[#This Row],[RET IVA]]-Table1[[#This Row],[RET ISR]]-Table1[[#This Row],[TOTAL]]</f>
        <v>0</v>
      </c>
      <c r="AK5535" s="306" t="str">
        <f>IF(ISNUMBER(Table1[[#This Row],[FECHA DE RECIBIDO]]), Table1[[#This Row],[FECHA DE RECIBIDO]]-DATE(2023,8,30), "")</f>
        <v/>
      </c>
    </row>
    <row r="5536" spans="1:37" ht="16.05" customHeight="1">
      <c r="A5536" s="172" t="s">
        <v>4936</v>
      </c>
      <c r="B5536" s="178">
        <v>1918</v>
      </c>
      <c r="C5536" s="179" t="s">
        <v>2421</v>
      </c>
      <c r="D5536">
        <v>3738</v>
      </c>
      <c r="E5536" s="125" t="s">
        <v>2018</v>
      </c>
      <c r="F5536" s="178">
        <v>621</v>
      </c>
      <c r="G5536" s="178" t="s">
        <v>1617</v>
      </c>
      <c r="H5536">
        <v>917</v>
      </c>
      <c r="I5536" s="178" t="s">
        <v>1546</v>
      </c>
      <c r="J5536" s="320" t="s">
        <v>214</v>
      </c>
      <c r="K5536" s="178" t="s">
        <v>4872</v>
      </c>
      <c r="L5536" s="125" t="s">
        <v>110</v>
      </c>
      <c r="M5536">
        <v>1279</v>
      </c>
      <c r="N5536" s="182">
        <v>222</v>
      </c>
      <c r="O5536">
        <v>3571</v>
      </c>
      <c r="P5536" s="132" t="s">
        <v>77</v>
      </c>
      <c r="Q5536" s="176">
        <v>25000</v>
      </c>
      <c r="R5536" s="176">
        <v>4000</v>
      </c>
      <c r="S5536" s="176"/>
      <c r="T5536" s="190">
        <v>2666.68</v>
      </c>
      <c r="U5536" s="191">
        <v>0</v>
      </c>
      <c r="V5536" s="191">
        <v>26333.32</v>
      </c>
      <c r="W5536">
        <v>449</v>
      </c>
      <c r="X5536" s="186" t="s">
        <v>1430</v>
      </c>
      <c r="Y5536" s="187" t="s">
        <v>55</v>
      </c>
      <c r="Z5536" s="311">
        <v>275</v>
      </c>
      <c r="AB5536" t="str">
        <f>IF(Table1[[#This Row],[TIPO2]]="costo", VLOOKUP(Table1[[#This Row],[PARTIDA PRESUPUESTAL]],'Cost Report'!G:G,1,0),"Balance")</f>
        <v>2017-010</v>
      </c>
      <c r="AD5536" s="159">
        <f>+Table1[[#This Row],[SUBTOTAL]]+Table1[[#This Row],[IVA]]-Table1[[#This Row],[RET IVA]]-Table1[[#This Row],[RET ISR]]-Table1[[#This Row],[TOTAL]]</f>
        <v>0</v>
      </c>
      <c r="AK5536" s="306" t="str">
        <f>IF(ISNUMBER(Table1[[#This Row],[FECHA DE RECIBIDO]]), Table1[[#This Row],[FECHA DE RECIBIDO]]-DATE(2023,8,30), "")</f>
        <v/>
      </c>
    </row>
    <row r="5537" spans="1:37" ht="16.05" customHeight="1">
      <c r="A5537" s="172" t="s">
        <v>4937</v>
      </c>
      <c r="B5537" s="178">
        <v>1919</v>
      </c>
      <c r="C5537" s="179" t="s">
        <v>2422</v>
      </c>
      <c r="D5537">
        <v>3739</v>
      </c>
      <c r="E5537" s="125" t="s">
        <v>2018</v>
      </c>
      <c r="F5537" s="178">
        <v>621</v>
      </c>
      <c r="G5537" s="178" t="s">
        <v>1617</v>
      </c>
      <c r="H5537">
        <v>917</v>
      </c>
      <c r="I5537" s="178" t="s">
        <v>1546</v>
      </c>
      <c r="J5537" s="320" t="s">
        <v>214</v>
      </c>
      <c r="K5537" s="178" t="s">
        <v>4872</v>
      </c>
      <c r="L5537" s="125" t="s">
        <v>110</v>
      </c>
      <c r="M5537">
        <v>1279</v>
      </c>
      <c r="N5537" s="182">
        <v>222</v>
      </c>
      <c r="O5537">
        <v>3572</v>
      </c>
      <c r="P5537" s="132" t="s">
        <v>77</v>
      </c>
      <c r="Q5537" s="176">
        <v>12500</v>
      </c>
      <c r="R5537" s="176">
        <v>2000</v>
      </c>
      <c r="S5537" s="176"/>
      <c r="T5537" s="190">
        <v>1333.34</v>
      </c>
      <c r="U5537" s="191">
        <v>0</v>
      </c>
      <c r="V5537" s="191">
        <v>13166.66</v>
      </c>
      <c r="W5537">
        <v>449</v>
      </c>
      <c r="X5537" s="186" t="s">
        <v>1430</v>
      </c>
      <c r="Y5537" s="187" t="s">
        <v>55</v>
      </c>
      <c r="Z5537" s="311">
        <v>275</v>
      </c>
      <c r="AB5537" t="str">
        <f>IF(Table1[[#This Row],[TIPO2]]="costo", VLOOKUP(Table1[[#This Row],[PARTIDA PRESUPUESTAL]],'Cost Report'!G:G,1,0),"Balance")</f>
        <v>2017-011</v>
      </c>
      <c r="AD5537" s="159">
        <f>+Table1[[#This Row],[SUBTOTAL]]+Table1[[#This Row],[IVA]]-Table1[[#This Row],[RET IVA]]-Table1[[#This Row],[RET ISR]]-Table1[[#This Row],[TOTAL]]</f>
        <v>0</v>
      </c>
      <c r="AK5537" s="306" t="str">
        <f>IF(ISNUMBER(Table1[[#This Row],[FECHA DE RECIBIDO]]), Table1[[#This Row],[FECHA DE RECIBIDO]]-DATE(2023,8,30), "")</f>
        <v/>
      </c>
    </row>
    <row r="5538" spans="1:37" ht="16.05" customHeight="1">
      <c r="A5538" s="172" t="s">
        <v>4938</v>
      </c>
      <c r="B5538" s="178">
        <v>1920</v>
      </c>
      <c r="C5538" s="179" t="s">
        <v>2413</v>
      </c>
      <c r="D5538">
        <v>3740</v>
      </c>
      <c r="E5538" s="125" t="s">
        <v>4672</v>
      </c>
      <c r="F5538" s="178">
        <v>612</v>
      </c>
      <c r="G5538" s="178" t="s">
        <v>129</v>
      </c>
      <c r="H5538">
        <v>855</v>
      </c>
      <c r="I5538" s="178" t="s">
        <v>1546</v>
      </c>
      <c r="J5538" s="320" t="s">
        <v>214</v>
      </c>
      <c r="K5538" s="178" t="s">
        <v>4872</v>
      </c>
      <c r="L5538" s="125" t="s">
        <v>110</v>
      </c>
      <c r="M5538">
        <v>1189</v>
      </c>
      <c r="N5538" s="182">
        <v>211</v>
      </c>
      <c r="O5538">
        <v>3573</v>
      </c>
      <c r="P5538" s="132" t="s">
        <v>77</v>
      </c>
      <c r="Q5538" s="176">
        <v>32000</v>
      </c>
      <c r="R5538" s="176">
        <v>5120</v>
      </c>
      <c r="S5538" s="176"/>
      <c r="T5538" s="190">
        <v>3413.34</v>
      </c>
      <c r="U5538" s="191">
        <v>3200</v>
      </c>
      <c r="V5538" s="191">
        <v>30506.660000000003</v>
      </c>
      <c r="W5538">
        <v>420</v>
      </c>
      <c r="X5538" s="186" t="s">
        <v>1431</v>
      </c>
      <c r="Y5538" s="187" t="s">
        <v>55</v>
      </c>
      <c r="Z5538" s="311">
        <v>275</v>
      </c>
      <c r="AB5538" t="str">
        <f>IF(Table1[[#This Row],[TIPO2]]="costo", VLOOKUP(Table1[[#This Row],[PARTIDA PRESUPUESTAL]],'Cost Report'!G:G,1,0),"Balance")</f>
        <v>2014-016</v>
      </c>
      <c r="AD5538" s="159">
        <f>+Table1[[#This Row],[SUBTOTAL]]+Table1[[#This Row],[IVA]]-Table1[[#This Row],[RET IVA]]-Table1[[#This Row],[RET ISR]]-Table1[[#This Row],[TOTAL]]</f>
        <v>0</v>
      </c>
      <c r="AK5538" s="306" t="str">
        <f>IF(ISNUMBER(Table1[[#This Row],[FECHA DE RECIBIDO]]), Table1[[#This Row],[FECHA DE RECIBIDO]]-DATE(2023,8,30), "")</f>
        <v/>
      </c>
    </row>
    <row r="5539" spans="1:37" ht="16.05" customHeight="1">
      <c r="A5539" s="172" t="s">
        <v>4939</v>
      </c>
      <c r="B5539" s="178">
        <v>1921</v>
      </c>
      <c r="C5539" s="179" t="s">
        <v>506</v>
      </c>
      <c r="D5539">
        <v>3741</v>
      </c>
      <c r="E5539" s="125" t="s">
        <v>1608</v>
      </c>
      <c r="F5539" s="178">
        <v>626</v>
      </c>
      <c r="G5539" s="178" t="s">
        <v>109</v>
      </c>
      <c r="H5539">
        <v>918</v>
      </c>
      <c r="I5539" s="178" t="s">
        <v>1546</v>
      </c>
      <c r="J5539" s="320" t="s">
        <v>214</v>
      </c>
      <c r="K5539" s="178" t="s">
        <v>4872</v>
      </c>
      <c r="L5539" s="125" t="s">
        <v>110</v>
      </c>
      <c r="M5539">
        <v>1280</v>
      </c>
      <c r="N5539" s="182">
        <v>223</v>
      </c>
      <c r="O5539">
        <v>3574</v>
      </c>
      <c r="P5539" s="132" t="s">
        <v>77</v>
      </c>
      <c r="Q5539" s="176">
        <v>3500</v>
      </c>
      <c r="R5539" s="176">
        <v>560</v>
      </c>
      <c r="S5539" s="176"/>
      <c r="T5539" s="190">
        <v>373.45</v>
      </c>
      <c r="U5539" s="191">
        <v>43.75</v>
      </c>
      <c r="V5539" s="191">
        <v>3642.8</v>
      </c>
      <c r="W5539">
        <v>450</v>
      </c>
      <c r="X5539" s="186" t="s">
        <v>1431</v>
      </c>
      <c r="Y5539" s="187" t="s">
        <v>55</v>
      </c>
      <c r="Z5539" s="311">
        <v>275</v>
      </c>
      <c r="AB5539" t="str">
        <f>IF(Table1[[#This Row],[TIPO2]]="costo", VLOOKUP(Table1[[#This Row],[PARTIDA PRESUPUESTAL]],'Cost Report'!G:G,1,0),"Balance")</f>
        <v>2020-027</v>
      </c>
      <c r="AD5539" s="159">
        <f>+Table1[[#This Row],[SUBTOTAL]]+Table1[[#This Row],[IVA]]-Table1[[#This Row],[RET IVA]]-Table1[[#This Row],[RET ISR]]-Table1[[#This Row],[TOTAL]]</f>
        <v>0</v>
      </c>
      <c r="AK5539" s="306" t="str">
        <f>IF(ISNUMBER(Table1[[#This Row],[FECHA DE RECIBIDO]]), Table1[[#This Row],[FECHA DE RECIBIDO]]-DATE(2023,8,30), "")</f>
        <v/>
      </c>
    </row>
    <row r="5540" spans="1:37" ht="16.05" customHeight="1">
      <c r="A5540" s="172" t="s">
        <v>4940</v>
      </c>
      <c r="B5540" s="178">
        <v>1922</v>
      </c>
      <c r="C5540" s="179" t="s">
        <v>506</v>
      </c>
      <c r="D5540">
        <v>3742</v>
      </c>
      <c r="E5540" s="125" t="s">
        <v>1608</v>
      </c>
      <c r="F5540" s="178">
        <v>626</v>
      </c>
      <c r="G5540" s="178" t="s">
        <v>109</v>
      </c>
      <c r="H5540">
        <v>918</v>
      </c>
      <c r="I5540" s="178" t="s">
        <v>1546</v>
      </c>
      <c r="J5540" s="320" t="s">
        <v>214</v>
      </c>
      <c r="K5540" s="178" t="s">
        <v>4872</v>
      </c>
      <c r="L5540" s="125" t="s">
        <v>110</v>
      </c>
      <c r="M5540">
        <v>1280</v>
      </c>
      <c r="N5540" s="182">
        <v>223</v>
      </c>
      <c r="O5540">
        <v>3575</v>
      </c>
      <c r="P5540" s="132" t="s">
        <v>77</v>
      </c>
      <c r="Q5540" s="176">
        <v>3500</v>
      </c>
      <c r="R5540" s="176">
        <v>560</v>
      </c>
      <c r="S5540" s="176"/>
      <c r="T5540" s="190">
        <v>373.45</v>
      </c>
      <c r="U5540" s="191">
        <v>43.75</v>
      </c>
      <c r="V5540" s="191">
        <v>3642.8</v>
      </c>
      <c r="W5540">
        <v>450</v>
      </c>
      <c r="X5540" s="186" t="s">
        <v>1431</v>
      </c>
      <c r="Y5540" s="187" t="s">
        <v>55</v>
      </c>
      <c r="Z5540" s="311">
        <v>275</v>
      </c>
      <c r="AB5540" t="str">
        <f>IF(Table1[[#This Row],[TIPO2]]="costo", VLOOKUP(Table1[[#This Row],[PARTIDA PRESUPUESTAL]],'Cost Report'!G:G,1,0),"Balance")</f>
        <v>2020-027</v>
      </c>
      <c r="AD5540" s="159">
        <f>+Table1[[#This Row],[SUBTOTAL]]+Table1[[#This Row],[IVA]]-Table1[[#This Row],[RET IVA]]-Table1[[#This Row],[RET ISR]]-Table1[[#This Row],[TOTAL]]</f>
        <v>0</v>
      </c>
      <c r="AK5540" s="306" t="str">
        <f>IF(ISNUMBER(Table1[[#This Row],[FECHA DE RECIBIDO]]), Table1[[#This Row],[FECHA DE RECIBIDO]]-DATE(2023,8,30), "")</f>
        <v/>
      </c>
    </row>
    <row r="5541" spans="1:37" ht="16.05" customHeight="1">
      <c r="A5541" s="172" t="s">
        <v>4941</v>
      </c>
      <c r="B5541" s="178">
        <v>1923</v>
      </c>
      <c r="C5541" s="179" t="s">
        <v>506</v>
      </c>
      <c r="D5541">
        <v>3743</v>
      </c>
      <c r="E5541" s="125" t="s">
        <v>1608</v>
      </c>
      <c r="F5541" s="178">
        <v>626</v>
      </c>
      <c r="G5541" s="178" t="s">
        <v>109</v>
      </c>
      <c r="H5541">
        <v>918</v>
      </c>
      <c r="I5541" s="178" t="s">
        <v>1546</v>
      </c>
      <c r="J5541" s="320" t="s">
        <v>214</v>
      </c>
      <c r="K5541" s="178" t="s">
        <v>4872</v>
      </c>
      <c r="L5541" s="125" t="s">
        <v>110</v>
      </c>
      <c r="M5541">
        <v>1280</v>
      </c>
      <c r="N5541" s="182">
        <v>223</v>
      </c>
      <c r="O5541">
        <v>3576</v>
      </c>
      <c r="P5541" s="132" t="s">
        <v>77</v>
      </c>
      <c r="Q5541" s="176">
        <v>3500</v>
      </c>
      <c r="R5541" s="176">
        <v>560</v>
      </c>
      <c r="S5541" s="176"/>
      <c r="T5541" s="190">
        <v>373.45</v>
      </c>
      <c r="U5541" s="191">
        <v>43.75</v>
      </c>
      <c r="V5541" s="191">
        <v>3642.8</v>
      </c>
      <c r="W5541">
        <v>450</v>
      </c>
      <c r="X5541" s="186" t="s">
        <v>1431</v>
      </c>
      <c r="Y5541" s="187" t="s">
        <v>55</v>
      </c>
      <c r="Z5541" s="311">
        <v>275</v>
      </c>
      <c r="AB5541" t="str">
        <f>IF(Table1[[#This Row],[TIPO2]]="costo", VLOOKUP(Table1[[#This Row],[PARTIDA PRESUPUESTAL]],'Cost Report'!G:G,1,0),"Balance")</f>
        <v>2020-027</v>
      </c>
      <c r="AD5541" s="159">
        <f>+Table1[[#This Row],[SUBTOTAL]]+Table1[[#This Row],[IVA]]-Table1[[#This Row],[RET IVA]]-Table1[[#This Row],[RET ISR]]-Table1[[#This Row],[TOTAL]]</f>
        <v>0</v>
      </c>
      <c r="AK5541" s="306" t="str">
        <f>IF(ISNUMBER(Table1[[#This Row],[FECHA DE RECIBIDO]]), Table1[[#This Row],[FECHA DE RECIBIDO]]-DATE(2023,8,30), "")</f>
        <v/>
      </c>
    </row>
    <row r="5542" spans="1:37" ht="16.05" customHeight="1">
      <c r="A5542" s="172" t="s">
        <v>4942</v>
      </c>
      <c r="B5542" s="178">
        <v>1924</v>
      </c>
      <c r="C5542" s="179" t="s">
        <v>516</v>
      </c>
      <c r="D5542">
        <v>3744</v>
      </c>
      <c r="E5542" s="125" t="s">
        <v>4280</v>
      </c>
      <c r="F5542" s="178">
        <v>612</v>
      </c>
      <c r="G5542" s="178" t="s">
        <v>129</v>
      </c>
      <c r="H5542">
        <v>919</v>
      </c>
      <c r="I5542" s="178" t="s">
        <v>1546</v>
      </c>
      <c r="J5542" s="320" t="s">
        <v>214</v>
      </c>
      <c r="K5542" s="178" t="s">
        <v>4872</v>
      </c>
      <c r="L5542" s="125" t="s">
        <v>110</v>
      </c>
      <c r="M5542">
        <v>1281</v>
      </c>
      <c r="N5542" s="182">
        <v>224</v>
      </c>
      <c r="O5542">
        <v>3577</v>
      </c>
      <c r="P5542" s="132" t="s">
        <v>77</v>
      </c>
      <c r="Q5542" s="176">
        <v>16000</v>
      </c>
      <c r="R5542" s="176">
        <v>2560</v>
      </c>
      <c r="S5542" s="176"/>
      <c r="T5542" s="190">
        <v>1706.68</v>
      </c>
      <c r="U5542" s="191">
        <v>1600</v>
      </c>
      <c r="V5542" s="191">
        <v>15253.32</v>
      </c>
      <c r="W5542">
        <v>451</v>
      </c>
      <c r="X5542" s="186" t="s">
        <v>2024</v>
      </c>
      <c r="Y5542" s="187" t="s">
        <v>55</v>
      </c>
      <c r="Z5542" s="311">
        <v>275</v>
      </c>
      <c r="AB5542" t="str">
        <f>IF(Table1[[#This Row],[TIPO2]]="costo", VLOOKUP(Table1[[#This Row],[PARTIDA PRESUPUESTAL]],'Cost Report'!G:G,1,0),"Balance")</f>
        <v>2030-003</v>
      </c>
      <c r="AD5542" s="159">
        <f>+Table1[[#This Row],[SUBTOTAL]]+Table1[[#This Row],[IVA]]-Table1[[#This Row],[RET IVA]]-Table1[[#This Row],[RET ISR]]-Table1[[#This Row],[TOTAL]]</f>
        <v>0</v>
      </c>
      <c r="AK5542" s="306" t="str">
        <f>IF(ISNUMBER(Table1[[#This Row],[FECHA DE RECIBIDO]]), Table1[[#This Row],[FECHA DE RECIBIDO]]-DATE(2023,8,30), "")</f>
        <v/>
      </c>
    </row>
    <row r="5543" spans="1:37" ht="16.05" customHeight="1">
      <c r="A5543" s="172" t="s">
        <v>4943</v>
      </c>
      <c r="B5543" s="178">
        <v>1925</v>
      </c>
      <c r="C5543" s="179" t="s">
        <v>517</v>
      </c>
      <c r="D5543">
        <v>3745</v>
      </c>
      <c r="E5543" s="125" t="s">
        <v>4280</v>
      </c>
      <c r="F5543" s="178">
        <v>612</v>
      </c>
      <c r="G5543" s="178" t="s">
        <v>129</v>
      </c>
      <c r="H5543">
        <v>919</v>
      </c>
      <c r="I5543" s="178" t="s">
        <v>1546</v>
      </c>
      <c r="J5543" s="320" t="s">
        <v>214</v>
      </c>
      <c r="K5543" s="178" t="s">
        <v>4872</v>
      </c>
      <c r="L5543" s="125" t="s">
        <v>110</v>
      </c>
      <c r="M5543">
        <v>1281</v>
      </c>
      <c r="N5543" s="182">
        <v>224</v>
      </c>
      <c r="O5543">
        <v>3578</v>
      </c>
      <c r="P5543" s="132" t="s">
        <v>77</v>
      </c>
      <c r="Q5543" s="176">
        <v>48000</v>
      </c>
      <c r="R5543" s="176">
        <v>7680</v>
      </c>
      <c r="S5543" s="176"/>
      <c r="T5543" s="190">
        <v>5120.04</v>
      </c>
      <c r="U5543" s="191">
        <v>4800</v>
      </c>
      <c r="V5543" s="191">
        <v>45759.96</v>
      </c>
      <c r="W5543">
        <v>451</v>
      </c>
      <c r="X5543" s="186" t="s">
        <v>2024</v>
      </c>
      <c r="Y5543" s="187" t="s">
        <v>55</v>
      </c>
      <c r="Z5543" s="311">
        <v>275</v>
      </c>
      <c r="AB5543" t="str">
        <f>IF(Table1[[#This Row],[TIPO2]]="costo", VLOOKUP(Table1[[#This Row],[PARTIDA PRESUPUESTAL]],'Cost Report'!G:G,1,0),"Balance")</f>
        <v>2030-004</v>
      </c>
      <c r="AD5543" s="159">
        <f>+Table1[[#This Row],[SUBTOTAL]]+Table1[[#This Row],[IVA]]-Table1[[#This Row],[RET IVA]]-Table1[[#This Row],[RET ISR]]-Table1[[#This Row],[TOTAL]]</f>
        <v>0</v>
      </c>
      <c r="AK5543" s="306" t="str">
        <f>IF(ISNUMBER(Table1[[#This Row],[FECHA DE RECIBIDO]]), Table1[[#This Row],[FECHA DE RECIBIDO]]-DATE(2023,8,30), "")</f>
        <v/>
      </c>
    </row>
    <row r="5544" spans="1:37" ht="16.05" customHeight="1">
      <c r="A5544" s="172" t="s">
        <v>4944</v>
      </c>
      <c r="B5544" s="178">
        <v>1926</v>
      </c>
      <c r="C5544" s="179" t="s">
        <v>517</v>
      </c>
      <c r="D5544">
        <v>3746</v>
      </c>
      <c r="E5544" s="125" t="s">
        <v>4945</v>
      </c>
      <c r="F5544" s="178">
        <v>626</v>
      </c>
      <c r="G5544" s="178" t="s">
        <v>109</v>
      </c>
      <c r="H5544">
        <v>920</v>
      </c>
      <c r="I5544" s="178" t="s">
        <v>1546</v>
      </c>
      <c r="J5544" s="320" t="s">
        <v>214</v>
      </c>
      <c r="K5544" s="178" t="s">
        <v>4872</v>
      </c>
      <c r="L5544" s="125" t="s">
        <v>110</v>
      </c>
      <c r="M5544">
        <v>1282</v>
      </c>
      <c r="N5544" s="182">
        <v>225</v>
      </c>
      <c r="O5544">
        <v>3579</v>
      </c>
      <c r="P5544" s="132" t="s">
        <v>77</v>
      </c>
      <c r="Q5544" s="176">
        <v>8000</v>
      </c>
      <c r="R5544" s="176">
        <v>1280</v>
      </c>
      <c r="S5544" s="176"/>
      <c r="T5544" s="190">
        <v>853.6</v>
      </c>
      <c r="U5544" s="191">
        <v>100</v>
      </c>
      <c r="V5544" s="191">
        <v>8326.4</v>
      </c>
      <c r="W5544">
        <v>452</v>
      </c>
      <c r="X5544" s="186" t="s">
        <v>1429</v>
      </c>
      <c r="Y5544" s="187" t="s">
        <v>55</v>
      </c>
      <c r="Z5544" s="311">
        <v>275</v>
      </c>
      <c r="AB5544" t="str">
        <f>IF(Table1[[#This Row],[TIPO2]]="costo", VLOOKUP(Table1[[#This Row],[PARTIDA PRESUPUESTAL]],'Cost Report'!G:G,1,0),"Balance")</f>
        <v>2030-004</v>
      </c>
      <c r="AD5544" s="159">
        <f>+Table1[[#This Row],[SUBTOTAL]]+Table1[[#This Row],[IVA]]-Table1[[#This Row],[RET IVA]]-Table1[[#This Row],[RET ISR]]-Table1[[#This Row],[TOTAL]]</f>
        <v>0</v>
      </c>
      <c r="AK5544" s="306" t="str">
        <f>IF(ISNUMBER(Table1[[#This Row],[FECHA DE RECIBIDO]]), Table1[[#This Row],[FECHA DE RECIBIDO]]-DATE(2023,8,30), "")</f>
        <v/>
      </c>
    </row>
    <row r="5545" spans="1:37" ht="16.05" customHeight="1">
      <c r="A5545" s="172" t="s">
        <v>4946</v>
      </c>
      <c r="B5545" s="178">
        <v>1927</v>
      </c>
      <c r="C5545" s="179" t="s">
        <v>2378</v>
      </c>
      <c r="D5545">
        <v>3747</v>
      </c>
      <c r="E5545" s="125" t="s">
        <v>1595</v>
      </c>
      <c r="F5545" s="178">
        <v>612</v>
      </c>
      <c r="G5545" s="178" t="s">
        <v>129</v>
      </c>
      <c r="H5545">
        <v>7</v>
      </c>
      <c r="I5545" s="178" t="s">
        <v>1546</v>
      </c>
      <c r="J5545" s="320" t="s">
        <v>214</v>
      </c>
      <c r="K5545" s="178" t="s">
        <v>4872</v>
      </c>
      <c r="L5545" s="125" t="s">
        <v>110</v>
      </c>
      <c r="M5545">
        <v>24</v>
      </c>
      <c r="N5545" s="182">
        <v>6</v>
      </c>
      <c r="O5545">
        <v>3580</v>
      </c>
      <c r="P5545" s="132" t="s">
        <v>77</v>
      </c>
      <c r="Q5545" s="176">
        <v>26250</v>
      </c>
      <c r="R5545" s="176">
        <v>4200</v>
      </c>
      <c r="S5545" s="176"/>
      <c r="T5545" s="190">
        <v>2800.01</v>
      </c>
      <c r="U5545" s="191">
        <v>2625</v>
      </c>
      <c r="V5545" s="191">
        <v>25024.989999999998</v>
      </c>
      <c r="W5545">
        <v>7</v>
      </c>
      <c r="X5545" s="186" t="s">
        <v>1431</v>
      </c>
      <c r="Y5545" s="187" t="s">
        <v>55</v>
      </c>
      <c r="Z5545" s="311">
        <v>275</v>
      </c>
      <c r="AB5545" t="str">
        <f>IF(Table1[[#This Row],[TIPO2]]="costo", VLOOKUP(Table1[[#This Row],[PARTIDA PRESUPUESTAL]],'Cost Report'!G:G,1,0),"Balance")</f>
        <v>2004-005</v>
      </c>
      <c r="AD5545" s="159">
        <f>+Table1[[#This Row],[SUBTOTAL]]+Table1[[#This Row],[IVA]]-Table1[[#This Row],[RET IVA]]-Table1[[#This Row],[RET ISR]]-Table1[[#This Row],[TOTAL]]</f>
        <v>0</v>
      </c>
      <c r="AK5545" s="306" t="str">
        <f>IF(ISNUMBER(Table1[[#This Row],[FECHA DE RECIBIDO]]), Table1[[#This Row],[FECHA DE RECIBIDO]]-DATE(2023,8,30), "")</f>
        <v/>
      </c>
    </row>
    <row r="5546" spans="1:37" ht="16.05" customHeight="1">
      <c r="A5546" s="172" t="s">
        <v>4947</v>
      </c>
      <c r="B5546" s="178">
        <v>1928</v>
      </c>
      <c r="C5546" s="179" t="s">
        <v>456</v>
      </c>
      <c r="D5546">
        <v>3748</v>
      </c>
      <c r="E5546" s="125" t="s">
        <v>3179</v>
      </c>
      <c r="F5546" s="178">
        <v>612</v>
      </c>
      <c r="G5546" s="178" t="s">
        <v>129</v>
      </c>
      <c r="H5546">
        <v>202</v>
      </c>
      <c r="I5546" s="178" t="s">
        <v>1546</v>
      </c>
      <c r="J5546" s="320" t="s">
        <v>214</v>
      </c>
      <c r="K5546" s="178" t="s">
        <v>4872</v>
      </c>
      <c r="L5546" s="125" t="s">
        <v>110</v>
      </c>
      <c r="M5546">
        <v>267</v>
      </c>
      <c r="N5546" s="182">
        <v>67</v>
      </c>
      <c r="O5546">
        <v>3581</v>
      </c>
      <c r="P5546" s="132" t="s">
        <v>77</v>
      </c>
      <c r="Q5546" s="176">
        <v>15000</v>
      </c>
      <c r="R5546" s="176">
        <v>2400</v>
      </c>
      <c r="S5546" s="176"/>
      <c r="T5546" s="190">
        <v>1600</v>
      </c>
      <c r="U5546" s="191">
        <v>1500</v>
      </c>
      <c r="V5546" s="191">
        <v>14300</v>
      </c>
      <c r="W5546">
        <v>123</v>
      </c>
      <c r="X5546" s="186" t="s">
        <v>1430</v>
      </c>
      <c r="Y5546" s="187" t="s">
        <v>55</v>
      </c>
      <c r="Z5546" s="311">
        <v>275</v>
      </c>
      <c r="AB5546" t="str">
        <f>IF(Table1[[#This Row],[TIPO2]]="costo", VLOOKUP(Table1[[#This Row],[PARTIDA PRESUPUESTAL]],'Cost Report'!G:G,1,0),"Balance")</f>
        <v>2006-004</v>
      </c>
      <c r="AD5546" s="159">
        <f>+Table1[[#This Row],[SUBTOTAL]]+Table1[[#This Row],[IVA]]-Table1[[#This Row],[RET IVA]]-Table1[[#This Row],[RET ISR]]-Table1[[#This Row],[TOTAL]]</f>
        <v>0</v>
      </c>
      <c r="AK5546" s="306" t="str">
        <f>IF(ISNUMBER(Table1[[#This Row],[FECHA DE RECIBIDO]]), Table1[[#This Row],[FECHA DE RECIBIDO]]-DATE(2023,8,30), "")</f>
        <v/>
      </c>
    </row>
    <row r="5547" spans="1:37" ht="16.05" customHeight="1">
      <c r="A5547" s="172" t="s">
        <v>4948</v>
      </c>
      <c r="B5547" s="178">
        <v>1929</v>
      </c>
      <c r="C5547" s="179" t="s">
        <v>2149</v>
      </c>
      <c r="D5547">
        <v>3749</v>
      </c>
      <c r="E5547" s="125" t="s">
        <v>1604</v>
      </c>
      <c r="F5547" s="178">
        <v>612</v>
      </c>
      <c r="G5547" s="178" t="s">
        <v>129</v>
      </c>
      <c r="H5547">
        <v>921</v>
      </c>
      <c r="I5547" s="178" t="s">
        <v>1546</v>
      </c>
      <c r="J5547" s="320" t="s">
        <v>214</v>
      </c>
      <c r="K5547" s="178" t="s">
        <v>4872</v>
      </c>
      <c r="L5547" s="125" t="s">
        <v>110</v>
      </c>
      <c r="M5547">
        <v>1283</v>
      </c>
      <c r="N5547" s="182">
        <v>226</v>
      </c>
      <c r="O5547">
        <v>3582</v>
      </c>
      <c r="P5547" s="132" t="s">
        <v>77</v>
      </c>
      <c r="Q5547" s="176">
        <v>462000</v>
      </c>
      <c r="R5547" s="176">
        <v>73920</v>
      </c>
      <c r="S5547" s="176"/>
      <c r="T5547" s="190">
        <v>49280.15</v>
      </c>
      <c r="U5547" s="191">
        <v>46200</v>
      </c>
      <c r="V5547" s="191">
        <v>440439.85</v>
      </c>
      <c r="W5547">
        <v>453</v>
      </c>
      <c r="X5547" s="186" t="s">
        <v>1429</v>
      </c>
      <c r="Y5547" s="187" t="s">
        <v>55</v>
      </c>
      <c r="Z5547" s="311">
        <v>275</v>
      </c>
      <c r="AB5547" t="str">
        <f>IF(Table1[[#This Row],[TIPO2]]="costo", VLOOKUP(Table1[[#This Row],[PARTIDA PRESUPUESTAL]],'Cost Report'!G:G,1,0),"Balance")</f>
        <v>1301-027</v>
      </c>
      <c r="AD5547" s="159">
        <f>+Table1[[#This Row],[SUBTOTAL]]+Table1[[#This Row],[IVA]]-Table1[[#This Row],[RET IVA]]-Table1[[#This Row],[RET ISR]]-Table1[[#This Row],[TOTAL]]</f>
        <v>0</v>
      </c>
      <c r="AK5547" s="306" t="str">
        <f>IF(ISNUMBER(Table1[[#This Row],[FECHA DE RECIBIDO]]), Table1[[#This Row],[FECHA DE RECIBIDO]]-DATE(2023,8,30), "")</f>
        <v/>
      </c>
    </row>
    <row r="5548" spans="1:37" ht="16.05" customHeight="1">
      <c r="A5548" s="172" t="s">
        <v>4949</v>
      </c>
      <c r="B5548" s="178">
        <v>1930</v>
      </c>
      <c r="C5548" s="179" t="s">
        <v>2153</v>
      </c>
      <c r="D5548">
        <v>3750</v>
      </c>
      <c r="E5548" s="125" t="s">
        <v>1604</v>
      </c>
      <c r="F5548" s="178">
        <v>612</v>
      </c>
      <c r="G5548" s="178" t="s">
        <v>129</v>
      </c>
      <c r="H5548">
        <v>921</v>
      </c>
      <c r="I5548" s="178" t="s">
        <v>1546</v>
      </c>
      <c r="J5548" s="320" t="s">
        <v>214</v>
      </c>
      <c r="K5548" s="178" t="s">
        <v>4872</v>
      </c>
      <c r="L5548" s="125" t="s">
        <v>110</v>
      </c>
      <c r="M5548">
        <v>1283</v>
      </c>
      <c r="N5548" s="182">
        <v>226</v>
      </c>
      <c r="O5548">
        <v>3583</v>
      </c>
      <c r="P5548" s="132" t="s">
        <v>77</v>
      </c>
      <c r="Q5548" s="176">
        <v>17802.400000000001</v>
      </c>
      <c r="R5548" s="176">
        <v>2848.38</v>
      </c>
      <c r="S5548" s="176"/>
      <c r="T5548" s="190">
        <v>1898.93</v>
      </c>
      <c r="U5548" s="191">
        <v>1780.24</v>
      </c>
      <c r="V5548" s="191">
        <v>16971.61</v>
      </c>
      <c r="W5548">
        <v>453</v>
      </c>
      <c r="X5548" s="186" t="s">
        <v>1429</v>
      </c>
      <c r="Y5548" s="187" t="s">
        <v>55</v>
      </c>
      <c r="Z5548" s="311">
        <v>275</v>
      </c>
      <c r="AB5548" t="str">
        <f>IF(Table1[[#This Row],[TIPO2]]="costo", VLOOKUP(Table1[[#This Row],[PARTIDA PRESUPUESTAL]],'Cost Report'!G:G,1,0),"Balance")</f>
        <v>1301-031</v>
      </c>
      <c r="AD5548" s="159">
        <f>+Table1[[#This Row],[SUBTOTAL]]+Table1[[#This Row],[IVA]]-Table1[[#This Row],[RET IVA]]-Table1[[#This Row],[RET ISR]]-Table1[[#This Row],[TOTAL]]</f>
        <v>0</v>
      </c>
      <c r="AK5548" s="306" t="str">
        <f>IF(ISNUMBER(Table1[[#This Row],[FECHA DE RECIBIDO]]), Table1[[#This Row],[FECHA DE RECIBIDO]]-DATE(2023,8,30), "")</f>
        <v/>
      </c>
    </row>
    <row r="5549" spans="1:37" ht="16.05" customHeight="1">
      <c r="A5549" s="172" t="s">
        <v>4950</v>
      </c>
      <c r="B5549" s="178">
        <v>1931</v>
      </c>
      <c r="C5549" s="179" t="s">
        <v>2775</v>
      </c>
      <c r="D5549">
        <v>3751</v>
      </c>
      <c r="E5549" s="125" t="s">
        <v>1597</v>
      </c>
      <c r="F5549" s="178">
        <v>612</v>
      </c>
      <c r="G5549" s="178" t="s">
        <v>129</v>
      </c>
      <c r="H5549">
        <v>8</v>
      </c>
      <c r="I5549" s="178" t="s">
        <v>1546</v>
      </c>
      <c r="J5549" s="320" t="s">
        <v>214</v>
      </c>
      <c r="K5549" s="178" t="s">
        <v>4872</v>
      </c>
      <c r="L5549" s="125" t="s">
        <v>110</v>
      </c>
      <c r="M5549">
        <v>11</v>
      </c>
      <c r="N5549" s="182">
        <v>9</v>
      </c>
      <c r="O5549">
        <v>3584</v>
      </c>
      <c r="P5549" s="132" t="s">
        <v>77</v>
      </c>
      <c r="Q5549" s="176">
        <v>42000</v>
      </c>
      <c r="R5549" s="176">
        <v>6720</v>
      </c>
      <c r="S5549" s="176"/>
      <c r="T5549" s="190">
        <v>4480.0200000000004</v>
      </c>
      <c r="U5549" s="191">
        <v>4200</v>
      </c>
      <c r="V5549" s="191">
        <v>40039.979999999996</v>
      </c>
      <c r="W5549">
        <v>6</v>
      </c>
      <c r="X5549" s="186" t="s">
        <v>1430</v>
      </c>
      <c r="Y5549" s="187" t="s">
        <v>55</v>
      </c>
      <c r="Z5549" s="311">
        <v>275</v>
      </c>
      <c r="AB5549" t="str">
        <f>IF(Table1[[#This Row],[TIPO2]]="costo", VLOOKUP(Table1[[#This Row],[PARTIDA PRESUPUESTAL]],'Cost Report'!G:G,1,0),"Balance")</f>
        <v>3402-006</v>
      </c>
      <c r="AD5549" s="159">
        <f>+Table1[[#This Row],[SUBTOTAL]]+Table1[[#This Row],[IVA]]-Table1[[#This Row],[RET IVA]]-Table1[[#This Row],[RET ISR]]-Table1[[#This Row],[TOTAL]]</f>
        <v>0</v>
      </c>
      <c r="AK5549" s="306" t="str">
        <f>IF(ISNUMBER(Table1[[#This Row],[FECHA DE RECIBIDO]]), Table1[[#This Row],[FECHA DE RECIBIDO]]-DATE(2023,8,30), "")</f>
        <v/>
      </c>
    </row>
    <row r="5550" spans="1:37" ht="16.05" customHeight="1">
      <c r="A5550" s="172" t="s">
        <v>4951</v>
      </c>
      <c r="B5550" s="178">
        <v>1932</v>
      </c>
      <c r="C5550" s="179" t="s">
        <v>2447</v>
      </c>
      <c r="D5550">
        <v>3752</v>
      </c>
      <c r="E5550" s="125" t="s">
        <v>1599</v>
      </c>
      <c r="F5550" s="178">
        <v>612</v>
      </c>
      <c r="G5550" s="178" t="s">
        <v>129</v>
      </c>
      <c r="H5550">
        <v>20</v>
      </c>
      <c r="I5550" s="178" t="s">
        <v>1546</v>
      </c>
      <c r="J5550" s="320" t="s">
        <v>214</v>
      </c>
      <c r="K5550" s="178" t="s">
        <v>4872</v>
      </c>
      <c r="L5550" s="125" t="s">
        <v>110</v>
      </c>
      <c r="M5550">
        <v>26</v>
      </c>
      <c r="N5550" s="182">
        <v>11</v>
      </c>
      <c r="O5550">
        <v>3585</v>
      </c>
      <c r="P5550" s="132" t="s">
        <v>77</v>
      </c>
      <c r="Q5550" s="176">
        <v>64680</v>
      </c>
      <c r="R5550" s="176">
        <v>10348.799999999999</v>
      </c>
      <c r="S5550" s="176"/>
      <c r="T5550" s="190">
        <v>6899.22</v>
      </c>
      <c r="U5550" s="191">
        <v>6468</v>
      </c>
      <c r="V5550" s="191">
        <v>61661.58</v>
      </c>
      <c r="W5550">
        <v>20</v>
      </c>
      <c r="X5550" s="186" t="s">
        <v>1434</v>
      </c>
      <c r="Y5550" s="187" t="s">
        <v>55</v>
      </c>
      <c r="Z5550" s="311">
        <v>275</v>
      </c>
      <c r="AB5550" t="str">
        <f>IF(Table1[[#This Row],[TIPO2]]="costo", VLOOKUP(Table1[[#This Row],[PARTIDA PRESUPUESTAL]],'Cost Report'!G:G,1,0),"Balance")</f>
        <v>2201-006</v>
      </c>
      <c r="AD5550" s="159">
        <f>+Table1[[#This Row],[SUBTOTAL]]+Table1[[#This Row],[IVA]]-Table1[[#This Row],[RET IVA]]-Table1[[#This Row],[RET ISR]]-Table1[[#This Row],[TOTAL]]</f>
        <v>0</v>
      </c>
      <c r="AK5550" s="306" t="str">
        <f>IF(ISNUMBER(Table1[[#This Row],[FECHA DE RECIBIDO]]), Table1[[#This Row],[FECHA DE RECIBIDO]]-DATE(2023,8,30), "")</f>
        <v/>
      </c>
    </row>
    <row r="5551" spans="1:37" ht="16.05" customHeight="1">
      <c r="A5551" s="172" t="s">
        <v>4952</v>
      </c>
      <c r="B5551" s="178">
        <v>1933</v>
      </c>
      <c r="C5551" s="179" t="s">
        <v>541</v>
      </c>
      <c r="D5551">
        <v>3753</v>
      </c>
      <c r="E5551" s="125" t="s">
        <v>1600</v>
      </c>
      <c r="F5551" s="178">
        <v>626</v>
      </c>
      <c r="G5551" s="178" t="s">
        <v>109</v>
      </c>
      <c r="H5551">
        <v>26</v>
      </c>
      <c r="I5551" s="178" t="s">
        <v>1546</v>
      </c>
      <c r="J5551" s="320" t="s">
        <v>214</v>
      </c>
      <c r="K5551" s="178" t="s">
        <v>4872</v>
      </c>
      <c r="L5551" s="125" t="s">
        <v>110</v>
      </c>
      <c r="M5551">
        <v>35</v>
      </c>
      <c r="N5551" s="182">
        <v>12</v>
      </c>
      <c r="O5551">
        <v>3586</v>
      </c>
      <c r="P5551" s="132" t="s">
        <v>77</v>
      </c>
      <c r="Q5551" s="176">
        <v>43050</v>
      </c>
      <c r="R5551" s="176">
        <v>6888</v>
      </c>
      <c r="S5551" s="176"/>
      <c r="T5551" s="190">
        <v>4592.0200000000004</v>
      </c>
      <c r="U5551" s="191">
        <v>538.12</v>
      </c>
      <c r="V5551" s="191">
        <v>44807.859999999993</v>
      </c>
      <c r="W5551">
        <v>28</v>
      </c>
      <c r="X5551" s="186" t="s">
        <v>1429</v>
      </c>
      <c r="Y5551" s="187" t="s">
        <v>55</v>
      </c>
      <c r="Z5551" s="311">
        <v>275</v>
      </c>
      <c r="AB5551" t="str">
        <f>IF(Table1[[#This Row],[TIPO2]]="costo", VLOOKUP(Table1[[#This Row],[PARTIDA PRESUPUESTAL]],'Cost Report'!G:G,1,0),"Balance")</f>
        <v>2202-004</v>
      </c>
      <c r="AD5551" s="159">
        <f>+Table1[[#This Row],[SUBTOTAL]]+Table1[[#This Row],[IVA]]-Table1[[#This Row],[RET IVA]]-Table1[[#This Row],[RET ISR]]-Table1[[#This Row],[TOTAL]]</f>
        <v>0</v>
      </c>
      <c r="AK5551" s="306" t="str">
        <f>IF(ISNUMBER(Table1[[#This Row],[FECHA DE RECIBIDO]]), Table1[[#This Row],[FECHA DE RECIBIDO]]-DATE(2023,8,30), "")</f>
        <v/>
      </c>
    </row>
    <row r="5552" spans="1:37" ht="16.05" customHeight="1">
      <c r="A5552" s="172" t="s">
        <v>4953</v>
      </c>
      <c r="B5552" s="178">
        <v>1934</v>
      </c>
      <c r="C5552" s="179" t="s">
        <v>2448</v>
      </c>
      <c r="D5552">
        <v>3754</v>
      </c>
      <c r="E5552" s="125" t="s">
        <v>1600</v>
      </c>
      <c r="F5552" s="178">
        <v>626</v>
      </c>
      <c r="G5552" s="178" t="s">
        <v>109</v>
      </c>
      <c r="H5552">
        <v>26</v>
      </c>
      <c r="I5552" s="178" t="s">
        <v>1546</v>
      </c>
      <c r="J5552" s="320" t="s">
        <v>214</v>
      </c>
      <c r="K5552" s="178" t="s">
        <v>4872</v>
      </c>
      <c r="L5552" s="125" t="s">
        <v>110</v>
      </c>
      <c r="M5552">
        <v>35</v>
      </c>
      <c r="N5552" s="182">
        <v>12</v>
      </c>
      <c r="O5552">
        <v>3587</v>
      </c>
      <c r="P5552" s="132" t="s">
        <v>77</v>
      </c>
      <c r="Q5552" s="176">
        <v>43050</v>
      </c>
      <c r="R5552" s="176">
        <v>6888</v>
      </c>
      <c r="S5552" s="176"/>
      <c r="T5552" s="190">
        <v>4592.0200000000004</v>
      </c>
      <c r="U5552" s="191">
        <v>538.12</v>
      </c>
      <c r="V5552" s="191">
        <v>44807.859999999993</v>
      </c>
      <c r="W5552">
        <v>28</v>
      </c>
      <c r="X5552" s="186" t="s">
        <v>1429</v>
      </c>
      <c r="Y5552" s="187" t="s">
        <v>55</v>
      </c>
      <c r="Z5552" s="311">
        <v>275</v>
      </c>
      <c r="AB5552" t="str">
        <f>IF(Table1[[#This Row],[TIPO2]]="costo", VLOOKUP(Table1[[#This Row],[PARTIDA PRESUPUESTAL]],'Cost Report'!G:G,1,0),"Balance")</f>
        <v>2202-005</v>
      </c>
      <c r="AD5552" s="159">
        <f>+Table1[[#This Row],[SUBTOTAL]]+Table1[[#This Row],[IVA]]-Table1[[#This Row],[RET IVA]]-Table1[[#This Row],[RET ISR]]-Table1[[#This Row],[TOTAL]]</f>
        <v>0</v>
      </c>
      <c r="AK5552" s="306" t="str">
        <f>IF(ISNUMBER(Table1[[#This Row],[FECHA DE RECIBIDO]]), Table1[[#This Row],[FECHA DE RECIBIDO]]-DATE(2023,8,30), "")</f>
        <v/>
      </c>
    </row>
    <row r="5553" spans="1:37" ht="16.05" customHeight="1">
      <c r="A5553" s="172" t="s">
        <v>4954</v>
      </c>
      <c r="B5553" s="178">
        <v>1935</v>
      </c>
      <c r="C5553" s="179" t="s">
        <v>2454</v>
      </c>
      <c r="D5553">
        <v>3755</v>
      </c>
      <c r="E5553" s="125" t="s">
        <v>1601</v>
      </c>
      <c r="F5553" s="178">
        <v>621</v>
      </c>
      <c r="G5553" s="178" t="s">
        <v>1617</v>
      </c>
      <c r="H5553">
        <v>27</v>
      </c>
      <c r="I5553" s="178" t="s">
        <v>1546</v>
      </c>
      <c r="J5553" s="320" t="s">
        <v>214</v>
      </c>
      <c r="K5553" s="178" t="s">
        <v>4872</v>
      </c>
      <c r="L5553" s="125" t="s">
        <v>110</v>
      </c>
      <c r="M5553">
        <v>36</v>
      </c>
      <c r="N5553" s="182">
        <v>13</v>
      </c>
      <c r="O5553">
        <v>3588</v>
      </c>
      <c r="P5553" s="132" t="s">
        <v>77</v>
      </c>
      <c r="Q5553" s="176">
        <v>25200</v>
      </c>
      <c r="R5553" s="176">
        <v>4032</v>
      </c>
      <c r="S5553" s="176"/>
      <c r="T5553" s="190">
        <v>2688</v>
      </c>
      <c r="U5553" s="191">
        <v>0</v>
      </c>
      <c r="V5553" s="191">
        <v>26544</v>
      </c>
      <c r="W5553">
        <v>29</v>
      </c>
      <c r="X5553" s="186" t="s">
        <v>1429</v>
      </c>
      <c r="Y5553" s="187" t="s">
        <v>55</v>
      </c>
      <c r="Z5553" s="311">
        <v>275</v>
      </c>
      <c r="AB5553" t="str">
        <f>IF(Table1[[#This Row],[TIPO2]]="costo", VLOOKUP(Table1[[#This Row],[PARTIDA PRESUPUESTAL]],'Cost Report'!G:G,1,0),"Balance")</f>
        <v>2213-004</v>
      </c>
      <c r="AD5553" s="159">
        <f>+Table1[[#This Row],[SUBTOTAL]]+Table1[[#This Row],[IVA]]-Table1[[#This Row],[RET IVA]]-Table1[[#This Row],[RET ISR]]-Table1[[#This Row],[TOTAL]]</f>
        <v>0</v>
      </c>
      <c r="AK5553" s="306" t="str">
        <f>IF(ISNUMBER(Table1[[#This Row],[FECHA DE RECIBIDO]]), Table1[[#This Row],[FECHA DE RECIBIDO]]-DATE(2023,8,30), "")</f>
        <v/>
      </c>
    </row>
    <row r="5554" spans="1:37" ht="16.05" customHeight="1">
      <c r="A5554" s="172" t="s">
        <v>4955</v>
      </c>
      <c r="B5554" s="178">
        <v>1936</v>
      </c>
      <c r="C5554" s="179" t="s">
        <v>2454</v>
      </c>
      <c r="D5554">
        <v>3756</v>
      </c>
      <c r="E5554" s="125" t="s">
        <v>1601</v>
      </c>
      <c r="F5554" s="178">
        <v>621</v>
      </c>
      <c r="G5554" s="178" t="s">
        <v>1617</v>
      </c>
      <c r="H5554">
        <v>27</v>
      </c>
      <c r="I5554" s="178" t="s">
        <v>1546</v>
      </c>
      <c r="J5554" s="320" t="s">
        <v>214</v>
      </c>
      <c r="K5554" s="178" t="s">
        <v>4872</v>
      </c>
      <c r="L5554" s="125" t="s">
        <v>110</v>
      </c>
      <c r="M5554">
        <v>36</v>
      </c>
      <c r="N5554" s="182">
        <v>13</v>
      </c>
      <c r="O5554">
        <v>3589</v>
      </c>
      <c r="P5554" s="132" t="s">
        <v>77</v>
      </c>
      <c r="Q5554" s="176">
        <v>11100</v>
      </c>
      <c r="R5554" s="176">
        <v>1776</v>
      </c>
      <c r="S5554" s="176"/>
      <c r="T5554" s="190">
        <v>1184</v>
      </c>
      <c r="U5554" s="191">
        <v>0</v>
      </c>
      <c r="V5554" s="191">
        <v>11692</v>
      </c>
      <c r="W5554">
        <v>29</v>
      </c>
      <c r="X5554" s="186" t="s">
        <v>1429</v>
      </c>
      <c r="Y5554" s="187" t="s">
        <v>55</v>
      </c>
      <c r="Z5554" s="311">
        <v>275</v>
      </c>
      <c r="AB5554" t="str">
        <f>IF(Table1[[#This Row],[TIPO2]]="costo", VLOOKUP(Table1[[#This Row],[PARTIDA PRESUPUESTAL]],'Cost Report'!G:G,1,0),"Balance")</f>
        <v>2213-004</v>
      </c>
      <c r="AD5554" s="159">
        <f>+Table1[[#This Row],[SUBTOTAL]]+Table1[[#This Row],[IVA]]-Table1[[#This Row],[RET IVA]]-Table1[[#This Row],[RET ISR]]-Table1[[#This Row],[TOTAL]]</f>
        <v>0</v>
      </c>
      <c r="AK5554" s="306" t="str">
        <f>IF(ISNUMBER(Table1[[#This Row],[FECHA DE RECIBIDO]]), Table1[[#This Row],[FECHA DE RECIBIDO]]-DATE(2023,8,30), "")</f>
        <v/>
      </c>
    </row>
    <row r="5555" spans="1:37" ht="16.05" customHeight="1">
      <c r="A5555" s="172" t="s">
        <v>4956</v>
      </c>
      <c r="B5555" s="178">
        <v>1937</v>
      </c>
      <c r="C5555" s="179" t="s">
        <v>550</v>
      </c>
      <c r="D5555">
        <v>3757</v>
      </c>
      <c r="E5555" s="125" t="s">
        <v>1603</v>
      </c>
      <c r="F5555" s="178">
        <v>612</v>
      </c>
      <c r="G5555" s="178" t="s">
        <v>129</v>
      </c>
      <c r="H5555">
        <v>28</v>
      </c>
      <c r="I5555" s="178" t="s">
        <v>1546</v>
      </c>
      <c r="J5555" s="320" t="s">
        <v>214</v>
      </c>
      <c r="K5555" s="178" t="s">
        <v>4872</v>
      </c>
      <c r="L5555" s="125" t="s">
        <v>110</v>
      </c>
      <c r="M5555">
        <v>37</v>
      </c>
      <c r="N5555" s="182">
        <v>14</v>
      </c>
      <c r="O5555">
        <v>3590</v>
      </c>
      <c r="P5555" s="132" t="s">
        <v>77</v>
      </c>
      <c r="Q5555" s="176">
        <v>31500</v>
      </c>
      <c r="R5555" s="176">
        <v>5040</v>
      </c>
      <c r="S5555" s="176"/>
      <c r="T5555" s="190">
        <v>3360.02</v>
      </c>
      <c r="U5555" s="191">
        <v>3150</v>
      </c>
      <c r="V5555" s="191">
        <v>30029.980000000003</v>
      </c>
      <c r="W5555">
        <v>30</v>
      </c>
      <c r="X5555" s="186" t="s">
        <v>1432</v>
      </c>
      <c r="Y5555" s="187" t="s">
        <v>55</v>
      </c>
      <c r="Z5555" s="311">
        <v>275</v>
      </c>
      <c r="AB5555" t="str">
        <f>IF(Table1[[#This Row],[TIPO2]]="costo", VLOOKUP(Table1[[#This Row],[PARTIDA PRESUPUESTAL]],'Cost Report'!G:G,1,0),"Balance")</f>
        <v>2206-005</v>
      </c>
      <c r="AD5555" s="159">
        <f>+Table1[[#This Row],[SUBTOTAL]]+Table1[[#This Row],[IVA]]-Table1[[#This Row],[RET IVA]]-Table1[[#This Row],[RET ISR]]-Table1[[#This Row],[TOTAL]]</f>
        <v>0</v>
      </c>
      <c r="AK5555" s="306" t="str">
        <f>IF(ISNUMBER(Table1[[#This Row],[FECHA DE RECIBIDO]]), Table1[[#This Row],[FECHA DE RECIBIDO]]-DATE(2023,8,30), "")</f>
        <v/>
      </c>
    </row>
    <row r="5556" spans="1:37" ht="16.05" customHeight="1">
      <c r="A5556" s="172" t="s">
        <v>4957</v>
      </c>
      <c r="B5556" s="178">
        <v>1938</v>
      </c>
      <c r="C5556" s="179" t="s">
        <v>577</v>
      </c>
      <c r="D5556">
        <v>3758</v>
      </c>
      <c r="E5556" s="125" t="s">
        <v>1893</v>
      </c>
      <c r="F5556" s="178">
        <v>626</v>
      </c>
      <c r="G5556" s="178" t="s">
        <v>109</v>
      </c>
      <c r="H5556">
        <v>66</v>
      </c>
      <c r="I5556" s="178" t="s">
        <v>1546</v>
      </c>
      <c r="J5556" s="320" t="s">
        <v>214</v>
      </c>
      <c r="K5556" s="178" t="s">
        <v>4872</v>
      </c>
      <c r="L5556" s="125" t="s">
        <v>110</v>
      </c>
      <c r="M5556">
        <v>89</v>
      </c>
      <c r="N5556" s="182">
        <v>26</v>
      </c>
      <c r="O5556">
        <v>3591</v>
      </c>
      <c r="P5556" s="132" t="s">
        <v>77</v>
      </c>
      <c r="Q5556" s="176">
        <v>35700</v>
      </c>
      <c r="R5556" s="176">
        <v>5712</v>
      </c>
      <c r="S5556" s="176"/>
      <c r="T5556" s="190">
        <v>3808.02</v>
      </c>
      <c r="U5556" s="191">
        <v>446.26</v>
      </c>
      <c r="V5556" s="191">
        <v>37157.72</v>
      </c>
      <c r="W5556">
        <v>48</v>
      </c>
      <c r="X5556" s="186" t="s">
        <v>1430</v>
      </c>
      <c r="Y5556" s="187" t="s">
        <v>55</v>
      </c>
      <c r="Z5556" s="311">
        <v>275</v>
      </c>
      <c r="AB5556" t="str">
        <f>IF(Table1[[#This Row],[TIPO2]]="costo", VLOOKUP(Table1[[#This Row],[PARTIDA PRESUPUESTAL]],'Cost Report'!G:G,1,0),"Balance")</f>
        <v>2401-005</v>
      </c>
      <c r="AD5556" s="159">
        <f>+Table1[[#This Row],[SUBTOTAL]]+Table1[[#This Row],[IVA]]-Table1[[#This Row],[RET IVA]]-Table1[[#This Row],[RET ISR]]-Table1[[#This Row],[TOTAL]]</f>
        <v>0</v>
      </c>
      <c r="AK5556" s="306" t="str">
        <f>IF(ISNUMBER(Table1[[#This Row],[FECHA DE RECIBIDO]]), Table1[[#This Row],[FECHA DE RECIBIDO]]-DATE(2023,8,30), "")</f>
        <v/>
      </c>
    </row>
    <row r="5557" spans="1:37" ht="16.05" customHeight="1">
      <c r="A5557" s="172" t="s">
        <v>4958</v>
      </c>
      <c r="B5557" s="178">
        <v>1939</v>
      </c>
      <c r="C5557" s="179" t="s">
        <v>545</v>
      </c>
      <c r="D5557">
        <v>3759</v>
      </c>
      <c r="E5557" s="125" t="s">
        <v>1600</v>
      </c>
      <c r="F5557" s="178">
        <v>626</v>
      </c>
      <c r="G5557" s="178" t="s">
        <v>109</v>
      </c>
      <c r="H5557">
        <v>109</v>
      </c>
      <c r="I5557" s="178" t="s">
        <v>1546</v>
      </c>
      <c r="J5557" s="320" t="s">
        <v>214</v>
      </c>
      <c r="K5557" s="178" t="s">
        <v>4872</v>
      </c>
      <c r="L5557" s="125" t="s">
        <v>110</v>
      </c>
      <c r="M5557">
        <v>147</v>
      </c>
      <c r="N5557" s="182">
        <v>39</v>
      </c>
      <c r="O5557">
        <v>3592</v>
      </c>
      <c r="P5557" s="132" t="s">
        <v>77</v>
      </c>
      <c r="Q5557" s="176">
        <v>25200</v>
      </c>
      <c r="R5557" s="176">
        <v>4032</v>
      </c>
      <c r="S5557" s="176"/>
      <c r="T5557" s="190">
        <v>2688</v>
      </c>
      <c r="U5557" s="191">
        <v>315</v>
      </c>
      <c r="V5557" s="191">
        <v>26229</v>
      </c>
      <c r="W5557">
        <v>71</v>
      </c>
      <c r="X5557" s="186" t="s">
        <v>2023</v>
      </c>
      <c r="Y5557" s="187" t="s">
        <v>55</v>
      </c>
      <c r="Z5557" s="311">
        <v>275</v>
      </c>
      <c r="AB5557" t="str">
        <f>IF(Table1[[#This Row],[TIPO2]]="costo", VLOOKUP(Table1[[#This Row],[PARTIDA PRESUPUESTAL]],'Cost Report'!G:G,1,0),"Balance")</f>
        <v>2203-004</v>
      </c>
      <c r="AD5557" s="159">
        <f>+Table1[[#This Row],[SUBTOTAL]]+Table1[[#This Row],[IVA]]-Table1[[#This Row],[RET IVA]]-Table1[[#This Row],[RET ISR]]-Table1[[#This Row],[TOTAL]]</f>
        <v>0</v>
      </c>
      <c r="AK5557" s="306" t="str">
        <f>IF(ISNUMBER(Table1[[#This Row],[FECHA DE RECIBIDO]]), Table1[[#This Row],[FECHA DE RECIBIDO]]-DATE(2023,8,30), "")</f>
        <v/>
      </c>
    </row>
    <row r="5558" spans="1:37" ht="16.05" customHeight="1">
      <c r="A5558" s="172" t="s">
        <v>4959</v>
      </c>
      <c r="B5558" s="178">
        <v>1940</v>
      </c>
      <c r="C5558" s="179" t="s">
        <v>2449</v>
      </c>
      <c r="D5558">
        <v>3760</v>
      </c>
      <c r="E5558" s="125" t="s">
        <v>1600</v>
      </c>
      <c r="F5558" s="178">
        <v>626</v>
      </c>
      <c r="G5558" s="178" t="s">
        <v>109</v>
      </c>
      <c r="H5558">
        <v>109</v>
      </c>
      <c r="I5558" s="178" t="s">
        <v>1546</v>
      </c>
      <c r="J5558" s="320" t="s">
        <v>214</v>
      </c>
      <c r="K5558" s="178" t="s">
        <v>4872</v>
      </c>
      <c r="L5558" s="125" t="s">
        <v>110</v>
      </c>
      <c r="M5558">
        <v>147</v>
      </c>
      <c r="N5558" s="182">
        <v>39</v>
      </c>
      <c r="O5558">
        <v>3593</v>
      </c>
      <c r="P5558" s="132" t="s">
        <v>77</v>
      </c>
      <c r="Q5558" s="176">
        <v>12600</v>
      </c>
      <c r="R5558" s="176">
        <v>2016</v>
      </c>
      <c r="S5558" s="176"/>
      <c r="T5558" s="190">
        <v>1344</v>
      </c>
      <c r="U5558" s="191">
        <v>157.5</v>
      </c>
      <c r="V5558" s="191">
        <v>13114.5</v>
      </c>
      <c r="W5558">
        <v>71</v>
      </c>
      <c r="X5558" s="186" t="s">
        <v>2023</v>
      </c>
      <c r="Y5558" s="187" t="s">
        <v>55</v>
      </c>
      <c r="Z5558" s="311">
        <v>275</v>
      </c>
      <c r="AB5558" t="str">
        <f>IF(Table1[[#This Row],[TIPO2]]="costo", VLOOKUP(Table1[[#This Row],[PARTIDA PRESUPUESTAL]],'Cost Report'!G:G,1,0),"Balance")</f>
        <v>2203-005</v>
      </c>
      <c r="AD5558" s="159">
        <f>+Table1[[#This Row],[SUBTOTAL]]+Table1[[#This Row],[IVA]]-Table1[[#This Row],[RET IVA]]-Table1[[#This Row],[RET ISR]]-Table1[[#This Row],[TOTAL]]</f>
        <v>0</v>
      </c>
      <c r="AK5558" s="306" t="str">
        <f>IF(ISNUMBER(Table1[[#This Row],[FECHA DE RECIBIDO]]), Table1[[#This Row],[FECHA DE RECIBIDO]]-DATE(2023,8,30), "")</f>
        <v/>
      </c>
    </row>
    <row r="5559" spans="1:37" ht="16.05" customHeight="1">
      <c r="A5559" s="172" t="s">
        <v>4960</v>
      </c>
      <c r="B5559" s="178">
        <v>1941</v>
      </c>
      <c r="C5559" s="179" t="s">
        <v>2453</v>
      </c>
      <c r="D5559">
        <v>3761</v>
      </c>
      <c r="E5559" s="125" t="s">
        <v>1613</v>
      </c>
      <c r="F5559" s="178">
        <v>626</v>
      </c>
      <c r="G5559" s="178" t="s">
        <v>109</v>
      </c>
      <c r="H5559">
        <v>110</v>
      </c>
      <c r="I5559" s="178" t="s">
        <v>1546</v>
      </c>
      <c r="J5559" s="320" t="s">
        <v>214</v>
      </c>
      <c r="K5559" s="178" t="s">
        <v>4872</v>
      </c>
      <c r="L5559" s="125" t="s">
        <v>110</v>
      </c>
      <c r="M5559">
        <v>148</v>
      </c>
      <c r="N5559" s="182">
        <v>40</v>
      </c>
      <c r="O5559">
        <v>3594</v>
      </c>
      <c r="P5559" s="132" t="s">
        <v>77</v>
      </c>
      <c r="Q5559" s="176">
        <v>14000</v>
      </c>
      <c r="R5559" s="176">
        <v>2240</v>
      </c>
      <c r="S5559" s="176"/>
      <c r="T5559" s="190">
        <v>1493.34</v>
      </c>
      <c r="U5559" s="191">
        <v>175</v>
      </c>
      <c r="V5559" s="191">
        <v>14571.66</v>
      </c>
      <c r="W5559">
        <v>72</v>
      </c>
      <c r="X5559" s="186" t="s">
        <v>1429</v>
      </c>
      <c r="Y5559" s="187" t="s">
        <v>55</v>
      </c>
      <c r="Z5559" s="311">
        <v>275</v>
      </c>
      <c r="AB5559" t="str">
        <f>IF(Table1[[#This Row],[TIPO2]]="costo", VLOOKUP(Table1[[#This Row],[PARTIDA PRESUPUESTAL]],'Cost Report'!G:G,1,0),"Balance")</f>
        <v>2206-017</v>
      </c>
      <c r="AD5559" s="159">
        <f>+Table1[[#This Row],[SUBTOTAL]]+Table1[[#This Row],[IVA]]-Table1[[#This Row],[RET IVA]]-Table1[[#This Row],[RET ISR]]-Table1[[#This Row],[TOTAL]]</f>
        <v>0</v>
      </c>
      <c r="AK5559" s="306" t="str">
        <f>IF(ISNUMBER(Table1[[#This Row],[FECHA DE RECIBIDO]]), Table1[[#This Row],[FECHA DE RECIBIDO]]-DATE(2023,8,30), "")</f>
        <v/>
      </c>
    </row>
    <row r="5560" spans="1:37" ht="16.05" customHeight="1">
      <c r="A5560" s="172" t="s">
        <v>4961</v>
      </c>
      <c r="B5560" s="178">
        <v>1942</v>
      </c>
      <c r="C5560" s="179" t="s">
        <v>2527</v>
      </c>
      <c r="D5560">
        <v>3762</v>
      </c>
      <c r="E5560" s="125" t="s">
        <v>2015</v>
      </c>
      <c r="F5560" s="178">
        <v>626</v>
      </c>
      <c r="G5560" s="178" t="s">
        <v>109</v>
      </c>
      <c r="H5560">
        <v>112</v>
      </c>
      <c r="I5560" s="178" t="s">
        <v>1546</v>
      </c>
      <c r="J5560" s="320" t="s">
        <v>214</v>
      </c>
      <c r="K5560" s="178" t="s">
        <v>4872</v>
      </c>
      <c r="L5560" s="125" t="s">
        <v>110</v>
      </c>
      <c r="M5560">
        <v>150</v>
      </c>
      <c r="N5560" s="182">
        <v>42</v>
      </c>
      <c r="O5560">
        <v>3595</v>
      </c>
      <c r="P5560" s="132" t="s">
        <v>77</v>
      </c>
      <c r="Q5560" s="176">
        <v>10000</v>
      </c>
      <c r="R5560" s="176">
        <v>1600</v>
      </c>
      <c r="S5560" s="176"/>
      <c r="T5560" s="190">
        <v>1066.67</v>
      </c>
      <c r="U5560" s="191">
        <v>125</v>
      </c>
      <c r="V5560" s="191">
        <v>10408.33</v>
      </c>
      <c r="W5560">
        <v>74</v>
      </c>
      <c r="X5560" s="186" t="s">
        <v>1429</v>
      </c>
      <c r="Y5560" s="187" t="s">
        <v>55</v>
      </c>
      <c r="Z5560" s="311">
        <v>275</v>
      </c>
      <c r="AB5560" t="str">
        <f>IF(Table1[[#This Row],[TIPO2]]="costo", VLOOKUP(Table1[[#This Row],[PARTIDA PRESUPUESTAL]],'Cost Report'!G:G,1,0),"Balance")</f>
        <v>2405-025</v>
      </c>
      <c r="AD5560" s="159">
        <f>+Table1[[#This Row],[SUBTOTAL]]+Table1[[#This Row],[IVA]]-Table1[[#This Row],[RET IVA]]-Table1[[#This Row],[RET ISR]]-Table1[[#This Row],[TOTAL]]</f>
        <v>0</v>
      </c>
      <c r="AK5560" s="306" t="str">
        <f>IF(ISNUMBER(Table1[[#This Row],[FECHA DE RECIBIDO]]), Table1[[#This Row],[FECHA DE RECIBIDO]]-DATE(2023,8,30), "")</f>
        <v/>
      </c>
    </row>
    <row r="5561" spans="1:37" ht="16.05" customHeight="1">
      <c r="A5561" s="172" t="s">
        <v>4962</v>
      </c>
      <c r="B5561" s="178">
        <v>1943</v>
      </c>
      <c r="C5561" s="179" t="s">
        <v>2558</v>
      </c>
      <c r="D5561">
        <v>3763</v>
      </c>
      <c r="E5561" s="125" t="s">
        <v>2016</v>
      </c>
      <c r="F5561" s="178">
        <v>612</v>
      </c>
      <c r="G5561" s="178" t="s">
        <v>129</v>
      </c>
      <c r="H5561">
        <v>113</v>
      </c>
      <c r="I5561" s="178" t="s">
        <v>1546</v>
      </c>
      <c r="J5561" s="320" t="s">
        <v>214</v>
      </c>
      <c r="K5561" s="178" t="s">
        <v>4872</v>
      </c>
      <c r="L5561" s="125" t="s">
        <v>110</v>
      </c>
      <c r="M5561">
        <v>151</v>
      </c>
      <c r="N5561" s="182">
        <v>43</v>
      </c>
      <c r="O5561">
        <v>3596</v>
      </c>
      <c r="P5561" s="132" t="s">
        <v>77</v>
      </c>
      <c r="Q5561" s="176">
        <v>19600</v>
      </c>
      <c r="R5561" s="176">
        <v>3136</v>
      </c>
      <c r="S5561" s="176"/>
      <c r="T5561" s="190">
        <v>2090.6799999999998</v>
      </c>
      <c r="U5561" s="191">
        <v>1960</v>
      </c>
      <c r="V5561" s="191">
        <v>18685.32</v>
      </c>
      <c r="W5561">
        <v>75</v>
      </c>
      <c r="X5561" s="186" t="s">
        <v>2024</v>
      </c>
      <c r="Y5561" s="187" t="s">
        <v>55</v>
      </c>
      <c r="Z5561" s="311">
        <v>275</v>
      </c>
      <c r="AB5561" t="str">
        <f>IF(Table1[[#This Row],[TIPO2]]="costo", VLOOKUP(Table1[[#This Row],[PARTIDA PRESUPUESTAL]],'Cost Report'!G:G,1,0),"Balance")</f>
        <v>2501-010</v>
      </c>
      <c r="AD5561" s="159">
        <f>+Table1[[#This Row],[SUBTOTAL]]+Table1[[#This Row],[IVA]]-Table1[[#This Row],[RET IVA]]-Table1[[#This Row],[RET ISR]]-Table1[[#This Row],[TOTAL]]</f>
        <v>0</v>
      </c>
      <c r="AK5561" s="306" t="str">
        <f>IF(ISNUMBER(Table1[[#This Row],[FECHA DE RECIBIDO]]), Table1[[#This Row],[FECHA DE RECIBIDO]]-DATE(2023,8,30), "")</f>
        <v/>
      </c>
    </row>
    <row r="5562" spans="1:37" ht="16.05" customHeight="1">
      <c r="A5562" s="172" t="s">
        <v>4963</v>
      </c>
      <c r="B5562" s="178">
        <v>1944</v>
      </c>
      <c r="C5562" s="179" t="s">
        <v>2559</v>
      </c>
      <c r="D5562">
        <v>3764</v>
      </c>
      <c r="E5562" s="125" t="s">
        <v>2016</v>
      </c>
      <c r="F5562" s="178">
        <v>612</v>
      </c>
      <c r="G5562" s="178" t="s">
        <v>129</v>
      </c>
      <c r="H5562">
        <v>113</v>
      </c>
      <c r="I5562" s="178" t="s">
        <v>1546</v>
      </c>
      <c r="J5562" s="320" t="s">
        <v>214</v>
      </c>
      <c r="K5562" s="178" t="s">
        <v>4872</v>
      </c>
      <c r="L5562" s="125" t="s">
        <v>110</v>
      </c>
      <c r="M5562">
        <v>151</v>
      </c>
      <c r="N5562" s="182">
        <v>43</v>
      </c>
      <c r="O5562">
        <v>3597</v>
      </c>
      <c r="P5562" s="132" t="s">
        <v>77</v>
      </c>
      <c r="Q5562" s="176">
        <v>14700</v>
      </c>
      <c r="R5562" s="176">
        <v>2352</v>
      </c>
      <c r="S5562" s="176"/>
      <c r="T5562" s="190">
        <v>1568.01</v>
      </c>
      <c r="U5562" s="191">
        <v>1470</v>
      </c>
      <c r="V5562" s="191">
        <v>14013.99</v>
      </c>
      <c r="W5562">
        <v>75</v>
      </c>
      <c r="X5562" s="186" t="s">
        <v>2024</v>
      </c>
      <c r="Y5562" s="187" t="s">
        <v>55</v>
      </c>
      <c r="Z5562" s="311">
        <v>275</v>
      </c>
      <c r="AB5562" t="str">
        <f>IF(Table1[[#This Row],[TIPO2]]="costo", VLOOKUP(Table1[[#This Row],[PARTIDA PRESUPUESTAL]],'Cost Report'!G:G,1,0),"Balance")</f>
        <v>2501-011</v>
      </c>
      <c r="AD5562" s="159">
        <f>+Table1[[#This Row],[SUBTOTAL]]+Table1[[#This Row],[IVA]]-Table1[[#This Row],[RET IVA]]-Table1[[#This Row],[RET ISR]]-Table1[[#This Row],[TOTAL]]</f>
        <v>0</v>
      </c>
      <c r="AK5562" s="306" t="str">
        <f>IF(ISNUMBER(Table1[[#This Row],[FECHA DE RECIBIDO]]), Table1[[#This Row],[FECHA DE RECIBIDO]]-DATE(2023,8,30), "")</f>
        <v/>
      </c>
    </row>
    <row r="5563" spans="1:37" ht="16.05" customHeight="1">
      <c r="A5563" s="172" t="s">
        <v>4964</v>
      </c>
      <c r="B5563" s="178">
        <v>1945</v>
      </c>
      <c r="C5563" s="179" t="s">
        <v>554</v>
      </c>
      <c r="D5563">
        <v>3765</v>
      </c>
      <c r="E5563" s="125" t="s">
        <v>1614</v>
      </c>
      <c r="F5563" s="178">
        <v>626</v>
      </c>
      <c r="G5563" s="178" t="s">
        <v>109</v>
      </c>
      <c r="H5563">
        <v>114</v>
      </c>
      <c r="I5563" s="178" t="s">
        <v>1546</v>
      </c>
      <c r="J5563" s="320" t="s">
        <v>214</v>
      </c>
      <c r="K5563" s="178" t="s">
        <v>4872</v>
      </c>
      <c r="L5563" s="125" t="s">
        <v>110</v>
      </c>
      <c r="M5563">
        <v>152</v>
      </c>
      <c r="N5563" s="182">
        <v>44</v>
      </c>
      <c r="O5563">
        <v>3598</v>
      </c>
      <c r="P5563" s="132" t="s">
        <v>77</v>
      </c>
      <c r="Q5563" s="176">
        <v>15400</v>
      </c>
      <c r="R5563" s="176">
        <v>2464</v>
      </c>
      <c r="S5563" s="176"/>
      <c r="T5563" s="190">
        <v>1642.68</v>
      </c>
      <c r="U5563" s="191">
        <v>192.5</v>
      </c>
      <c r="V5563" s="191">
        <v>16028.82</v>
      </c>
      <c r="W5563">
        <v>76</v>
      </c>
      <c r="X5563" s="186" t="s">
        <v>1429</v>
      </c>
      <c r="Y5563" s="187" t="s">
        <v>55</v>
      </c>
      <c r="Z5563" s="311">
        <v>275</v>
      </c>
      <c r="AB5563" t="str">
        <f>IF(Table1[[#This Row],[TIPO2]]="costo", VLOOKUP(Table1[[#This Row],[PARTIDA PRESUPUESTAL]],'Cost Report'!G:G,1,0),"Balance")</f>
        <v>2206-011</v>
      </c>
      <c r="AD5563" s="159">
        <f>+Table1[[#This Row],[SUBTOTAL]]+Table1[[#This Row],[IVA]]-Table1[[#This Row],[RET IVA]]-Table1[[#This Row],[RET ISR]]-Table1[[#This Row],[TOTAL]]</f>
        <v>0</v>
      </c>
      <c r="AK5563" s="306" t="str">
        <f>IF(ISNUMBER(Table1[[#This Row],[FECHA DE RECIBIDO]]), Table1[[#This Row],[FECHA DE RECIBIDO]]-DATE(2023,8,30), "")</f>
        <v/>
      </c>
    </row>
    <row r="5564" spans="1:37" ht="16.05" customHeight="1">
      <c r="A5564" s="172" t="s">
        <v>4965</v>
      </c>
      <c r="B5564" s="178">
        <v>1946</v>
      </c>
      <c r="C5564" s="179" t="s">
        <v>563</v>
      </c>
      <c r="D5564">
        <v>3766</v>
      </c>
      <c r="E5564" s="125" t="s">
        <v>3354</v>
      </c>
      <c r="F5564" s="178">
        <v>626</v>
      </c>
      <c r="G5564" s="178" t="s">
        <v>109</v>
      </c>
      <c r="H5564">
        <v>347</v>
      </c>
      <c r="I5564" s="178" t="s">
        <v>1546</v>
      </c>
      <c r="J5564" s="320" t="s">
        <v>214</v>
      </c>
      <c r="K5564" s="178" t="s">
        <v>4872</v>
      </c>
      <c r="L5564" s="125" t="s">
        <v>110</v>
      </c>
      <c r="M5564">
        <v>464</v>
      </c>
      <c r="N5564" s="182">
        <v>89</v>
      </c>
      <c r="O5564">
        <v>3599</v>
      </c>
      <c r="P5564" s="132" t="s">
        <v>77</v>
      </c>
      <c r="Q5564" s="176">
        <v>7350</v>
      </c>
      <c r="R5564" s="176">
        <v>1176</v>
      </c>
      <c r="S5564" s="176"/>
      <c r="T5564" s="190">
        <v>784</v>
      </c>
      <c r="U5564" s="191">
        <v>91.88</v>
      </c>
      <c r="V5564" s="191">
        <v>7650.12</v>
      </c>
      <c r="W5564">
        <v>184</v>
      </c>
      <c r="X5564" s="186" t="s">
        <v>3684</v>
      </c>
      <c r="Y5564" s="187" t="s">
        <v>55</v>
      </c>
      <c r="Z5564" s="311">
        <v>275</v>
      </c>
      <c r="AB5564" t="str">
        <f>IF(Table1[[#This Row],[TIPO2]]="costo", VLOOKUP(Table1[[#This Row],[PARTIDA PRESUPUESTAL]],'Cost Report'!G:G,1,0),"Balance")</f>
        <v>2310-005</v>
      </c>
      <c r="AD5564" s="159">
        <f>+Table1[[#This Row],[SUBTOTAL]]+Table1[[#This Row],[IVA]]-Table1[[#This Row],[RET IVA]]-Table1[[#This Row],[RET ISR]]-Table1[[#This Row],[TOTAL]]</f>
        <v>0</v>
      </c>
      <c r="AK5564" s="306" t="str">
        <f>IF(ISNUMBER(Table1[[#This Row],[FECHA DE RECIBIDO]]), Table1[[#This Row],[FECHA DE RECIBIDO]]-DATE(2023,8,30), "")</f>
        <v/>
      </c>
    </row>
    <row r="5565" spans="1:37" ht="16.05" customHeight="1">
      <c r="A5565" s="172" t="s">
        <v>4966</v>
      </c>
      <c r="B5565" s="178">
        <v>1947</v>
      </c>
      <c r="C5565" s="179" t="s">
        <v>599</v>
      </c>
      <c r="D5565">
        <v>3767</v>
      </c>
      <c r="E5565" s="125" t="s">
        <v>3133</v>
      </c>
      <c r="F5565" s="178">
        <v>626</v>
      </c>
      <c r="G5565" s="178" t="s">
        <v>109</v>
      </c>
      <c r="H5565">
        <v>187</v>
      </c>
      <c r="I5565" s="178" t="s">
        <v>1546</v>
      </c>
      <c r="J5565" s="320" t="s">
        <v>214</v>
      </c>
      <c r="K5565" s="178" t="s">
        <v>4872</v>
      </c>
      <c r="L5565" s="125" t="s">
        <v>110</v>
      </c>
      <c r="M5565">
        <v>252</v>
      </c>
      <c r="N5565" s="182">
        <v>52</v>
      </c>
      <c r="O5565">
        <v>3600</v>
      </c>
      <c r="P5565" s="132" t="s">
        <v>77</v>
      </c>
      <c r="Q5565" s="176">
        <v>15750</v>
      </c>
      <c r="R5565" s="176">
        <v>2520</v>
      </c>
      <c r="S5565" s="176"/>
      <c r="T5565" s="190">
        <v>1680</v>
      </c>
      <c r="U5565" s="191">
        <v>196.88</v>
      </c>
      <c r="V5565" s="191">
        <v>16393.12</v>
      </c>
      <c r="W5565">
        <v>108</v>
      </c>
      <c r="X5565" s="186" t="s">
        <v>1430</v>
      </c>
      <c r="Y5565" s="187" t="s">
        <v>55</v>
      </c>
      <c r="Z5565" s="311">
        <v>275</v>
      </c>
      <c r="AB5565" t="str">
        <f>IF(Table1[[#This Row],[TIPO2]]="costo", VLOOKUP(Table1[[#This Row],[PARTIDA PRESUPUESTAL]],'Cost Report'!G:G,1,0),"Balance")</f>
        <v>2403-010</v>
      </c>
      <c r="AD5565" s="159">
        <f>+Table1[[#This Row],[SUBTOTAL]]+Table1[[#This Row],[IVA]]-Table1[[#This Row],[RET IVA]]-Table1[[#This Row],[RET ISR]]-Table1[[#This Row],[TOTAL]]</f>
        <v>0</v>
      </c>
      <c r="AK5565" s="306" t="str">
        <f>IF(ISNUMBER(Table1[[#This Row],[FECHA DE RECIBIDO]]), Table1[[#This Row],[FECHA DE RECIBIDO]]-DATE(2023,8,30), "")</f>
        <v/>
      </c>
    </row>
    <row r="5566" spans="1:37" ht="16.05" customHeight="1">
      <c r="A5566" s="172" t="s">
        <v>4967</v>
      </c>
      <c r="B5566" s="178">
        <v>1948</v>
      </c>
      <c r="C5566" s="179" t="s">
        <v>600</v>
      </c>
      <c r="D5566">
        <v>3768</v>
      </c>
      <c r="E5566" s="125" t="s">
        <v>3133</v>
      </c>
      <c r="F5566" s="178">
        <v>626</v>
      </c>
      <c r="G5566" s="178" t="s">
        <v>109</v>
      </c>
      <c r="H5566">
        <v>187</v>
      </c>
      <c r="I5566" s="178" t="s">
        <v>1546</v>
      </c>
      <c r="J5566" s="320" t="s">
        <v>214</v>
      </c>
      <c r="K5566" s="178" t="s">
        <v>4872</v>
      </c>
      <c r="L5566" s="125" t="s">
        <v>110</v>
      </c>
      <c r="M5566">
        <v>252</v>
      </c>
      <c r="N5566" s="182">
        <v>52</v>
      </c>
      <c r="O5566">
        <v>3601</v>
      </c>
      <c r="P5566" s="132" t="s">
        <v>77</v>
      </c>
      <c r="Q5566" s="176">
        <v>7875</v>
      </c>
      <c r="R5566" s="176">
        <v>1260</v>
      </c>
      <c r="S5566" s="176"/>
      <c r="T5566" s="190">
        <v>840</v>
      </c>
      <c r="U5566" s="191">
        <v>98.44</v>
      </c>
      <c r="V5566" s="191">
        <v>8196.56</v>
      </c>
      <c r="W5566">
        <v>108</v>
      </c>
      <c r="X5566" s="186" t="s">
        <v>1430</v>
      </c>
      <c r="Y5566" s="187" t="s">
        <v>55</v>
      </c>
      <c r="Z5566" s="311">
        <v>275</v>
      </c>
      <c r="AB5566" t="str">
        <f>IF(Table1[[#This Row],[TIPO2]]="costo", VLOOKUP(Table1[[#This Row],[PARTIDA PRESUPUESTAL]],'Cost Report'!G:G,1,0),"Balance")</f>
        <v>2403-011</v>
      </c>
      <c r="AD5566" s="159">
        <f>+Table1[[#This Row],[SUBTOTAL]]+Table1[[#This Row],[IVA]]-Table1[[#This Row],[RET IVA]]-Table1[[#This Row],[RET ISR]]-Table1[[#This Row],[TOTAL]]</f>
        <v>0</v>
      </c>
      <c r="AK5566" s="306" t="str">
        <f>IF(ISNUMBER(Table1[[#This Row],[FECHA DE RECIBIDO]]), Table1[[#This Row],[FECHA DE RECIBIDO]]-DATE(2023,8,30), "")</f>
        <v/>
      </c>
    </row>
    <row r="5567" spans="1:37" ht="16.05" customHeight="1">
      <c r="A5567" s="172" t="s">
        <v>4968</v>
      </c>
      <c r="B5567" s="178">
        <v>1949</v>
      </c>
      <c r="C5567" s="179" t="s">
        <v>2551</v>
      </c>
      <c r="D5567">
        <v>3769</v>
      </c>
      <c r="E5567" s="125" t="s">
        <v>3135</v>
      </c>
      <c r="F5567" s="178">
        <v>626</v>
      </c>
      <c r="G5567" s="178" t="s">
        <v>109</v>
      </c>
      <c r="H5567">
        <v>188</v>
      </c>
      <c r="I5567" s="178" t="s">
        <v>1546</v>
      </c>
      <c r="J5567" s="320" t="s">
        <v>214</v>
      </c>
      <c r="K5567" s="178" t="s">
        <v>4872</v>
      </c>
      <c r="L5567" s="125" t="s">
        <v>110</v>
      </c>
      <c r="M5567">
        <v>253</v>
      </c>
      <c r="N5567" s="182">
        <v>53</v>
      </c>
      <c r="O5567">
        <v>3602</v>
      </c>
      <c r="P5567" s="132" t="s">
        <v>77</v>
      </c>
      <c r="Q5567" s="176">
        <v>12600</v>
      </c>
      <c r="R5567" s="176">
        <v>2016</v>
      </c>
      <c r="S5567" s="176"/>
      <c r="T5567" s="190">
        <v>1344</v>
      </c>
      <c r="U5567" s="191">
        <v>157.5</v>
      </c>
      <c r="V5567" s="191">
        <v>13114.5</v>
      </c>
      <c r="W5567">
        <v>109</v>
      </c>
      <c r="X5567" s="186" t="s">
        <v>1429</v>
      </c>
      <c r="Y5567" s="187" t="s">
        <v>55</v>
      </c>
      <c r="Z5567" s="311">
        <v>275</v>
      </c>
      <c r="AB5567" t="str">
        <f>IF(Table1[[#This Row],[TIPO2]]="costo", VLOOKUP(Table1[[#This Row],[PARTIDA PRESUPUESTAL]],'Cost Report'!G:G,1,0),"Balance")</f>
        <v>2495-013</v>
      </c>
      <c r="AD5567" s="159">
        <f>+Table1[[#This Row],[SUBTOTAL]]+Table1[[#This Row],[IVA]]-Table1[[#This Row],[RET IVA]]-Table1[[#This Row],[RET ISR]]-Table1[[#This Row],[TOTAL]]</f>
        <v>0</v>
      </c>
      <c r="AK5567" s="306" t="str">
        <f>IF(ISNUMBER(Table1[[#This Row],[FECHA DE RECIBIDO]]), Table1[[#This Row],[FECHA DE RECIBIDO]]-DATE(2023,8,30), "")</f>
        <v/>
      </c>
    </row>
    <row r="5568" spans="1:37" ht="16.05" customHeight="1">
      <c r="A5568" s="172" t="s">
        <v>4969</v>
      </c>
      <c r="B5568" s="178">
        <v>1950</v>
      </c>
      <c r="C5568" s="179" t="s">
        <v>591</v>
      </c>
      <c r="D5568">
        <v>3770</v>
      </c>
      <c r="E5568" s="125" t="s">
        <v>3137</v>
      </c>
      <c r="F5568" s="178">
        <v>626</v>
      </c>
      <c r="G5568" s="178" t="s">
        <v>109</v>
      </c>
      <c r="H5568">
        <v>189</v>
      </c>
      <c r="I5568" s="178" t="s">
        <v>1546</v>
      </c>
      <c r="J5568" s="320" t="s">
        <v>214</v>
      </c>
      <c r="K5568" s="178" t="s">
        <v>4872</v>
      </c>
      <c r="L5568" s="125" t="s">
        <v>110</v>
      </c>
      <c r="M5568">
        <v>254</v>
      </c>
      <c r="N5568" s="182">
        <v>54</v>
      </c>
      <c r="O5568">
        <v>3603</v>
      </c>
      <c r="P5568" s="132" t="s">
        <v>77</v>
      </c>
      <c r="Q5568" s="176">
        <v>7350</v>
      </c>
      <c r="R5568" s="176">
        <v>1176</v>
      </c>
      <c r="S5568" s="176"/>
      <c r="T5568" s="190">
        <v>784</v>
      </c>
      <c r="U5568" s="191">
        <v>91.88</v>
      </c>
      <c r="V5568" s="191">
        <v>7650.12</v>
      </c>
      <c r="W5568">
        <v>110</v>
      </c>
      <c r="X5568" s="186" t="s">
        <v>1429</v>
      </c>
      <c r="Y5568" s="187" t="s">
        <v>55</v>
      </c>
      <c r="Z5568" s="311">
        <v>275</v>
      </c>
      <c r="AB5568" t="str">
        <f>IF(Table1[[#This Row],[TIPO2]]="costo", VLOOKUP(Table1[[#This Row],[PARTIDA PRESUPUESTAL]],'Cost Report'!G:G,1,0),"Balance")</f>
        <v>2401-027</v>
      </c>
      <c r="AD5568" s="159">
        <f>+Table1[[#This Row],[SUBTOTAL]]+Table1[[#This Row],[IVA]]-Table1[[#This Row],[RET IVA]]-Table1[[#This Row],[RET ISR]]-Table1[[#This Row],[TOTAL]]</f>
        <v>0</v>
      </c>
      <c r="AK5568" s="306" t="str">
        <f>IF(ISNUMBER(Table1[[#This Row],[FECHA DE RECIBIDO]]), Table1[[#This Row],[FECHA DE RECIBIDO]]-DATE(2023,8,30), "")</f>
        <v/>
      </c>
    </row>
    <row r="5569" spans="1:37" ht="16.05" customHeight="1">
      <c r="A5569" s="172" t="s">
        <v>4970</v>
      </c>
      <c r="B5569" s="178">
        <v>1951</v>
      </c>
      <c r="C5569" s="179" t="s">
        <v>591</v>
      </c>
      <c r="D5569">
        <v>3771</v>
      </c>
      <c r="E5569" s="125" t="s">
        <v>3137</v>
      </c>
      <c r="F5569" s="178">
        <v>626</v>
      </c>
      <c r="G5569" s="178" t="s">
        <v>109</v>
      </c>
      <c r="H5569">
        <v>189</v>
      </c>
      <c r="I5569" s="178" t="s">
        <v>1546</v>
      </c>
      <c r="J5569" s="320" t="s">
        <v>214</v>
      </c>
      <c r="K5569" s="178" t="s">
        <v>4872</v>
      </c>
      <c r="L5569" s="125" t="s">
        <v>110</v>
      </c>
      <c r="M5569">
        <v>254</v>
      </c>
      <c r="N5569" s="182">
        <v>54</v>
      </c>
      <c r="O5569">
        <v>3604</v>
      </c>
      <c r="P5569" s="132" t="s">
        <v>77</v>
      </c>
      <c r="Q5569" s="176">
        <v>7350</v>
      </c>
      <c r="R5569" s="176">
        <v>1176</v>
      </c>
      <c r="S5569" s="176"/>
      <c r="T5569" s="190">
        <v>784</v>
      </c>
      <c r="U5569" s="191">
        <v>91.88</v>
      </c>
      <c r="V5569" s="191">
        <v>7650.12</v>
      </c>
      <c r="W5569">
        <v>110</v>
      </c>
      <c r="X5569" s="186" t="s">
        <v>1429</v>
      </c>
      <c r="Y5569" s="187" t="s">
        <v>55</v>
      </c>
      <c r="Z5569" s="311">
        <v>275</v>
      </c>
      <c r="AB5569" t="str">
        <f>IF(Table1[[#This Row],[TIPO2]]="costo", VLOOKUP(Table1[[#This Row],[PARTIDA PRESUPUESTAL]],'Cost Report'!G:G,1,0),"Balance")</f>
        <v>2401-027</v>
      </c>
      <c r="AD5569" s="159">
        <f>+Table1[[#This Row],[SUBTOTAL]]+Table1[[#This Row],[IVA]]-Table1[[#This Row],[RET IVA]]-Table1[[#This Row],[RET ISR]]-Table1[[#This Row],[TOTAL]]</f>
        <v>0</v>
      </c>
      <c r="AK5569" s="306" t="str">
        <f>IF(ISNUMBER(Table1[[#This Row],[FECHA DE RECIBIDO]]), Table1[[#This Row],[FECHA DE RECIBIDO]]-DATE(2023,8,30), "")</f>
        <v/>
      </c>
    </row>
    <row r="5570" spans="1:37" ht="16.05" customHeight="1">
      <c r="A5570" s="172" t="s">
        <v>4971</v>
      </c>
      <c r="B5570" s="178">
        <v>1952</v>
      </c>
      <c r="C5570" s="179" t="s">
        <v>591</v>
      </c>
      <c r="D5570">
        <v>3772</v>
      </c>
      <c r="E5570" s="125" t="s">
        <v>3137</v>
      </c>
      <c r="F5570" s="178">
        <v>626</v>
      </c>
      <c r="G5570" s="178" t="s">
        <v>109</v>
      </c>
      <c r="H5570">
        <v>189</v>
      </c>
      <c r="I5570" s="178" t="s">
        <v>1546</v>
      </c>
      <c r="J5570" s="320" t="s">
        <v>214</v>
      </c>
      <c r="K5570" s="178" t="s">
        <v>4872</v>
      </c>
      <c r="L5570" s="125" t="s">
        <v>110</v>
      </c>
      <c r="M5570">
        <v>254</v>
      </c>
      <c r="N5570" s="182">
        <v>54</v>
      </c>
      <c r="O5570">
        <v>3605</v>
      </c>
      <c r="P5570" s="132" t="s">
        <v>77</v>
      </c>
      <c r="Q5570" s="176">
        <v>7350</v>
      </c>
      <c r="R5570" s="176">
        <v>1176</v>
      </c>
      <c r="S5570" s="176"/>
      <c r="T5570" s="190">
        <v>784</v>
      </c>
      <c r="U5570" s="191">
        <v>91.88</v>
      </c>
      <c r="V5570" s="191">
        <v>7650.12</v>
      </c>
      <c r="W5570">
        <v>110</v>
      </c>
      <c r="X5570" s="186" t="s">
        <v>1429</v>
      </c>
      <c r="Y5570" s="187" t="s">
        <v>55</v>
      </c>
      <c r="Z5570" s="311">
        <v>275</v>
      </c>
      <c r="AB5570" t="str">
        <f>IF(Table1[[#This Row],[TIPO2]]="costo", VLOOKUP(Table1[[#This Row],[PARTIDA PRESUPUESTAL]],'Cost Report'!G:G,1,0),"Balance")</f>
        <v>2401-027</v>
      </c>
      <c r="AD5570" s="159">
        <f>+Table1[[#This Row],[SUBTOTAL]]+Table1[[#This Row],[IVA]]-Table1[[#This Row],[RET IVA]]-Table1[[#This Row],[RET ISR]]-Table1[[#This Row],[TOTAL]]</f>
        <v>0</v>
      </c>
      <c r="AK5570" s="306" t="str">
        <f>IF(ISNUMBER(Table1[[#This Row],[FECHA DE RECIBIDO]]), Table1[[#This Row],[FECHA DE RECIBIDO]]-DATE(2023,8,30), "")</f>
        <v/>
      </c>
    </row>
    <row r="5571" spans="1:37" ht="16.05" customHeight="1">
      <c r="A5571" s="172" t="s">
        <v>4972</v>
      </c>
      <c r="B5571" s="178">
        <v>1953</v>
      </c>
      <c r="C5571" s="179" t="s">
        <v>1730</v>
      </c>
      <c r="D5571">
        <v>3773</v>
      </c>
      <c r="E5571" s="125" t="s">
        <v>3137</v>
      </c>
      <c r="F5571" s="178">
        <v>626</v>
      </c>
      <c r="G5571" s="178" t="s">
        <v>109</v>
      </c>
      <c r="H5571">
        <v>189</v>
      </c>
      <c r="I5571" s="178" t="s">
        <v>1546</v>
      </c>
      <c r="J5571" s="320" t="s">
        <v>214</v>
      </c>
      <c r="K5571" s="178" t="s">
        <v>4872</v>
      </c>
      <c r="L5571" s="125" t="s">
        <v>110</v>
      </c>
      <c r="M5571">
        <v>254</v>
      </c>
      <c r="N5571" s="182">
        <v>54</v>
      </c>
      <c r="O5571">
        <v>3606</v>
      </c>
      <c r="P5571" s="132" t="s">
        <v>77</v>
      </c>
      <c r="Q5571" s="176">
        <v>7350</v>
      </c>
      <c r="R5571" s="176">
        <v>1176</v>
      </c>
      <c r="S5571" s="176"/>
      <c r="T5571" s="190">
        <v>784</v>
      </c>
      <c r="U5571" s="191">
        <v>91.88</v>
      </c>
      <c r="V5571" s="191">
        <v>7650.12</v>
      </c>
      <c r="W5571">
        <v>110</v>
      </c>
      <c r="X5571" s="186" t="s">
        <v>1429</v>
      </c>
      <c r="Y5571" s="187" t="s">
        <v>55</v>
      </c>
      <c r="Z5571" s="311">
        <v>275</v>
      </c>
      <c r="AB5571" t="str">
        <f>IF(Table1[[#This Row],[TIPO2]]="costo", VLOOKUP(Table1[[#This Row],[PARTIDA PRESUPUESTAL]],'Cost Report'!G:G,1,0),"Balance")</f>
        <v>2401-028</v>
      </c>
      <c r="AD5571" s="159">
        <f>+Table1[[#This Row],[SUBTOTAL]]+Table1[[#This Row],[IVA]]-Table1[[#This Row],[RET IVA]]-Table1[[#This Row],[RET ISR]]-Table1[[#This Row],[TOTAL]]</f>
        <v>0</v>
      </c>
      <c r="AK5571" s="306" t="str">
        <f>IF(ISNUMBER(Table1[[#This Row],[FECHA DE RECIBIDO]]), Table1[[#This Row],[FECHA DE RECIBIDO]]-DATE(2023,8,30), "")</f>
        <v/>
      </c>
    </row>
    <row r="5572" spans="1:37" ht="16.05" customHeight="1">
      <c r="A5572" s="172" t="s">
        <v>4973</v>
      </c>
      <c r="B5572" s="178">
        <v>1954</v>
      </c>
      <c r="C5572" s="179" t="s">
        <v>607</v>
      </c>
      <c r="D5572">
        <v>3774</v>
      </c>
      <c r="E5572" s="125" t="s">
        <v>3638</v>
      </c>
      <c r="F5572" s="178">
        <v>626</v>
      </c>
      <c r="G5572" s="178" t="s">
        <v>109</v>
      </c>
      <c r="H5572">
        <v>338</v>
      </c>
      <c r="I5572" s="178" t="s">
        <v>1546</v>
      </c>
      <c r="J5572" s="320" t="s">
        <v>214</v>
      </c>
      <c r="K5572" s="178" t="s">
        <v>4872</v>
      </c>
      <c r="L5572" s="125" t="s">
        <v>110</v>
      </c>
      <c r="M5572">
        <v>455</v>
      </c>
      <c r="N5572" s="182">
        <v>80</v>
      </c>
      <c r="O5572">
        <v>3607</v>
      </c>
      <c r="P5572" s="132" t="s">
        <v>77</v>
      </c>
      <c r="Q5572" s="176">
        <v>3900</v>
      </c>
      <c r="R5572" s="176">
        <v>624</v>
      </c>
      <c r="S5572" s="176"/>
      <c r="T5572" s="190">
        <v>416.02</v>
      </c>
      <c r="U5572" s="191">
        <v>48.76</v>
      </c>
      <c r="V5572" s="191">
        <v>4059.2199999999993</v>
      </c>
      <c r="W5572">
        <v>175</v>
      </c>
      <c r="X5572" s="186" t="s">
        <v>2024</v>
      </c>
      <c r="Y5572" s="187" t="s">
        <v>55</v>
      </c>
      <c r="Z5572" s="311">
        <v>275</v>
      </c>
      <c r="AB5572" t="str">
        <f>IF(Table1[[#This Row],[TIPO2]]="costo", VLOOKUP(Table1[[#This Row],[PARTIDA PRESUPUESTAL]],'Cost Report'!G:G,1,0),"Balance")</f>
        <v>2403-022</v>
      </c>
      <c r="AD5572" s="159">
        <f>+Table1[[#This Row],[SUBTOTAL]]+Table1[[#This Row],[IVA]]-Table1[[#This Row],[RET IVA]]-Table1[[#This Row],[RET ISR]]-Table1[[#This Row],[TOTAL]]</f>
        <v>0</v>
      </c>
      <c r="AK5572" s="306" t="str">
        <f>IF(ISNUMBER(Table1[[#This Row],[FECHA DE RECIBIDO]]), Table1[[#This Row],[FECHA DE RECIBIDO]]-DATE(2023,8,30), "")</f>
        <v/>
      </c>
    </row>
    <row r="5573" spans="1:37" ht="16.05" customHeight="1">
      <c r="A5573" s="172" t="s">
        <v>4974</v>
      </c>
      <c r="B5573" s="178">
        <v>1955</v>
      </c>
      <c r="C5573" s="179" t="s">
        <v>607</v>
      </c>
      <c r="D5573">
        <v>3775</v>
      </c>
      <c r="E5573" s="125" t="s">
        <v>3147</v>
      </c>
      <c r="F5573" s="178">
        <v>612</v>
      </c>
      <c r="G5573" s="178" t="s">
        <v>129</v>
      </c>
      <c r="H5573">
        <v>194</v>
      </c>
      <c r="I5573" s="178" t="s">
        <v>1546</v>
      </c>
      <c r="J5573" s="320" t="s">
        <v>214</v>
      </c>
      <c r="K5573" s="178" t="s">
        <v>4872</v>
      </c>
      <c r="L5573" s="125" t="s">
        <v>110</v>
      </c>
      <c r="M5573">
        <v>259</v>
      </c>
      <c r="N5573" s="182">
        <v>59</v>
      </c>
      <c r="O5573">
        <v>3608</v>
      </c>
      <c r="P5573" s="132" t="s">
        <v>77</v>
      </c>
      <c r="Q5573" s="176">
        <v>3900</v>
      </c>
      <c r="R5573" s="176">
        <v>624</v>
      </c>
      <c r="S5573" s="176"/>
      <c r="T5573" s="190">
        <v>416</v>
      </c>
      <c r="U5573" s="191">
        <v>390</v>
      </c>
      <c r="V5573" s="191">
        <v>3718</v>
      </c>
      <c r="W5573">
        <v>115</v>
      </c>
      <c r="X5573" s="186" t="s">
        <v>1434</v>
      </c>
      <c r="Y5573" s="187" t="s">
        <v>55</v>
      </c>
      <c r="Z5573" s="311">
        <v>275</v>
      </c>
      <c r="AB5573" t="str">
        <f>IF(Table1[[#This Row],[TIPO2]]="costo", VLOOKUP(Table1[[#This Row],[PARTIDA PRESUPUESTAL]],'Cost Report'!G:G,1,0),"Balance")</f>
        <v>2403-022</v>
      </c>
      <c r="AD5573" s="159">
        <f>+Table1[[#This Row],[SUBTOTAL]]+Table1[[#This Row],[IVA]]-Table1[[#This Row],[RET IVA]]-Table1[[#This Row],[RET ISR]]-Table1[[#This Row],[TOTAL]]</f>
        <v>0</v>
      </c>
      <c r="AK5573" s="306" t="str">
        <f>IF(ISNUMBER(Table1[[#This Row],[FECHA DE RECIBIDO]]), Table1[[#This Row],[FECHA DE RECIBIDO]]-DATE(2023,8,30), "")</f>
        <v/>
      </c>
    </row>
    <row r="5574" spans="1:37" ht="16.05" customHeight="1">
      <c r="A5574" s="172" t="s">
        <v>4975</v>
      </c>
      <c r="B5574" s="178">
        <v>1956</v>
      </c>
      <c r="C5574" s="179" t="s">
        <v>607</v>
      </c>
      <c r="D5574">
        <v>3776</v>
      </c>
      <c r="E5574" s="125" t="s">
        <v>3149</v>
      </c>
      <c r="F5574" s="178">
        <v>626</v>
      </c>
      <c r="G5574" s="178" t="s">
        <v>109</v>
      </c>
      <c r="H5574">
        <v>195</v>
      </c>
      <c r="I5574" s="178" t="s">
        <v>1546</v>
      </c>
      <c r="J5574" s="320" t="s">
        <v>214</v>
      </c>
      <c r="K5574" s="178" t="s">
        <v>4872</v>
      </c>
      <c r="L5574" s="125" t="s">
        <v>110</v>
      </c>
      <c r="M5574">
        <v>260</v>
      </c>
      <c r="N5574" s="182">
        <v>60</v>
      </c>
      <c r="O5574">
        <v>3609</v>
      </c>
      <c r="P5574" s="132" t="s">
        <v>77</v>
      </c>
      <c r="Q5574" s="176">
        <v>3900</v>
      </c>
      <c r="R5574" s="176">
        <v>624</v>
      </c>
      <c r="S5574" s="176"/>
      <c r="T5574" s="190">
        <v>416</v>
      </c>
      <c r="U5574" s="191">
        <v>48.76</v>
      </c>
      <c r="V5574" s="191">
        <v>4059.24</v>
      </c>
      <c r="W5574">
        <v>116</v>
      </c>
      <c r="X5574" s="186" t="s">
        <v>1431</v>
      </c>
      <c r="Y5574" s="187" t="s">
        <v>55</v>
      </c>
      <c r="Z5574" s="311">
        <v>275</v>
      </c>
      <c r="AB5574" t="str">
        <f>IF(Table1[[#This Row],[TIPO2]]="costo", VLOOKUP(Table1[[#This Row],[PARTIDA PRESUPUESTAL]],'Cost Report'!G:G,1,0),"Balance")</f>
        <v>2403-022</v>
      </c>
      <c r="AD5574" s="159">
        <f>+Table1[[#This Row],[SUBTOTAL]]+Table1[[#This Row],[IVA]]-Table1[[#This Row],[RET IVA]]-Table1[[#This Row],[RET ISR]]-Table1[[#This Row],[TOTAL]]</f>
        <v>0</v>
      </c>
      <c r="AK5574" s="306" t="str">
        <f>IF(ISNUMBER(Table1[[#This Row],[FECHA DE RECIBIDO]]), Table1[[#This Row],[FECHA DE RECIBIDO]]-DATE(2023,8,30), "")</f>
        <v/>
      </c>
    </row>
    <row r="5575" spans="1:37" ht="16.05" customHeight="1">
      <c r="A5575" s="172" t="s">
        <v>4976</v>
      </c>
      <c r="B5575" s="178">
        <v>1957</v>
      </c>
      <c r="C5575" s="179" t="s">
        <v>1809</v>
      </c>
      <c r="D5575">
        <v>3777</v>
      </c>
      <c r="E5575" s="125" t="s">
        <v>3354</v>
      </c>
      <c r="F5575" s="178">
        <v>612</v>
      </c>
      <c r="G5575" s="178" t="s">
        <v>129</v>
      </c>
      <c r="H5575">
        <v>348</v>
      </c>
      <c r="I5575" s="178" t="s">
        <v>1546</v>
      </c>
      <c r="J5575" s="320" t="s">
        <v>214</v>
      </c>
      <c r="K5575" s="178" t="s">
        <v>4872</v>
      </c>
      <c r="L5575" s="125" t="s">
        <v>110</v>
      </c>
      <c r="M5575">
        <v>465</v>
      </c>
      <c r="N5575" s="182">
        <v>90</v>
      </c>
      <c r="O5575">
        <v>3610</v>
      </c>
      <c r="P5575" s="132" t="s">
        <v>77</v>
      </c>
      <c r="Q5575" s="176">
        <v>8400</v>
      </c>
      <c r="R5575" s="176">
        <v>1344</v>
      </c>
      <c r="S5575" s="176"/>
      <c r="T5575" s="190">
        <v>896</v>
      </c>
      <c r="U5575" s="191">
        <v>840</v>
      </c>
      <c r="V5575" s="191">
        <v>8008</v>
      </c>
      <c r="W5575">
        <v>185</v>
      </c>
      <c r="X5575" s="186" t="s">
        <v>1433</v>
      </c>
      <c r="Y5575" s="187" t="s">
        <v>55</v>
      </c>
      <c r="Z5575" s="311">
        <v>275</v>
      </c>
      <c r="AB5575" t="str">
        <f>IF(Table1[[#This Row],[TIPO2]]="costo", VLOOKUP(Table1[[#This Row],[PARTIDA PRESUPUESTAL]],'Cost Report'!G:G,1,0),"Balance")</f>
        <v>2405-009</v>
      </c>
      <c r="AD5575" s="159">
        <f>+Table1[[#This Row],[SUBTOTAL]]+Table1[[#This Row],[IVA]]-Table1[[#This Row],[RET IVA]]-Table1[[#This Row],[RET ISR]]-Table1[[#This Row],[TOTAL]]</f>
        <v>0</v>
      </c>
      <c r="AK5575" s="306" t="str">
        <f>IF(ISNUMBER(Table1[[#This Row],[FECHA DE RECIBIDO]]), Table1[[#This Row],[FECHA DE RECIBIDO]]-DATE(2023,8,30), "")</f>
        <v/>
      </c>
    </row>
    <row r="5576" spans="1:37" ht="16.05" customHeight="1">
      <c r="A5576" s="172" t="s">
        <v>4977</v>
      </c>
      <c r="B5576" s="178">
        <v>1958</v>
      </c>
      <c r="C5576" s="179" t="s">
        <v>604</v>
      </c>
      <c r="D5576">
        <v>3778</v>
      </c>
      <c r="E5576" s="125" t="s">
        <v>3934</v>
      </c>
      <c r="F5576" s="178">
        <v>626</v>
      </c>
      <c r="G5576" s="178" t="s">
        <v>109</v>
      </c>
      <c r="H5576">
        <v>505</v>
      </c>
      <c r="I5576" s="178" t="s">
        <v>1546</v>
      </c>
      <c r="J5576" s="320" t="s">
        <v>214</v>
      </c>
      <c r="K5576" s="178" t="s">
        <v>4872</v>
      </c>
      <c r="L5576" s="125" t="s">
        <v>110</v>
      </c>
      <c r="M5576">
        <v>729</v>
      </c>
      <c r="N5576" s="182">
        <v>134</v>
      </c>
      <c r="O5576">
        <v>3611</v>
      </c>
      <c r="P5576" s="132" t="s">
        <v>77</v>
      </c>
      <c r="Q5576" s="176">
        <v>7875</v>
      </c>
      <c r="R5576" s="176">
        <v>1260</v>
      </c>
      <c r="S5576" s="176"/>
      <c r="T5576" s="190">
        <v>840</v>
      </c>
      <c r="U5576" s="191">
        <v>98.44</v>
      </c>
      <c r="V5576" s="191">
        <v>8196.56</v>
      </c>
      <c r="W5576">
        <v>277</v>
      </c>
      <c r="X5576" s="186" t="s">
        <v>1429</v>
      </c>
      <c r="Y5576" s="187" t="s">
        <v>55</v>
      </c>
      <c r="Z5576" s="311">
        <v>275</v>
      </c>
      <c r="AB5576" t="str">
        <f>IF(Table1[[#This Row],[TIPO2]]="costo", VLOOKUP(Table1[[#This Row],[PARTIDA PRESUPUESTAL]],'Cost Report'!G:G,1,0),"Balance")</f>
        <v>2403-017</v>
      </c>
      <c r="AD5576" s="159">
        <f>+Table1[[#This Row],[SUBTOTAL]]+Table1[[#This Row],[IVA]]-Table1[[#This Row],[RET IVA]]-Table1[[#This Row],[RET ISR]]-Table1[[#This Row],[TOTAL]]</f>
        <v>0</v>
      </c>
      <c r="AK5576" s="306" t="str">
        <f>IF(ISNUMBER(Table1[[#This Row],[FECHA DE RECIBIDO]]), Table1[[#This Row],[FECHA DE RECIBIDO]]-DATE(2023,8,30), "")</f>
        <v/>
      </c>
    </row>
    <row r="5577" spans="1:37" ht="16.05" customHeight="1">
      <c r="A5577" s="172" t="s">
        <v>4978</v>
      </c>
      <c r="B5577" s="178">
        <v>1959</v>
      </c>
      <c r="C5577" s="179" t="s">
        <v>2527</v>
      </c>
      <c r="D5577">
        <v>3779</v>
      </c>
      <c r="E5577" s="125" t="s">
        <v>1609</v>
      </c>
      <c r="F5577" s="178">
        <v>626</v>
      </c>
      <c r="G5577" s="178" t="s">
        <v>109</v>
      </c>
      <c r="H5577">
        <v>506</v>
      </c>
      <c r="I5577" s="178" t="s">
        <v>1546</v>
      </c>
      <c r="J5577" s="320" t="s">
        <v>214</v>
      </c>
      <c r="K5577" s="178" t="s">
        <v>4872</v>
      </c>
      <c r="L5577" s="125" t="s">
        <v>110</v>
      </c>
      <c r="M5577">
        <v>730</v>
      </c>
      <c r="N5577" s="182">
        <v>136</v>
      </c>
      <c r="O5577">
        <v>3612</v>
      </c>
      <c r="P5577" s="132" t="s">
        <v>77</v>
      </c>
      <c r="Q5577" s="176">
        <v>2940</v>
      </c>
      <c r="R5577" s="176">
        <v>470.4</v>
      </c>
      <c r="S5577" s="176"/>
      <c r="T5577" s="190">
        <v>313.60000000000002</v>
      </c>
      <c r="U5577" s="191">
        <v>36.75</v>
      </c>
      <c r="V5577" s="191">
        <v>3060.05</v>
      </c>
      <c r="W5577">
        <v>278</v>
      </c>
      <c r="X5577" s="186" t="s">
        <v>1431</v>
      </c>
      <c r="Y5577" s="187" t="s">
        <v>55</v>
      </c>
      <c r="Z5577" s="311">
        <v>275</v>
      </c>
      <c r="AB5577" t="str">
        <f>IF(Table1[[#This Row],[TIPO2]]="costo", VLOOKUP(Table1[[#This Row],[PARTIDA PRESUPUESTAL]],'Cost Report'!G:G,1,0),"Balance")</f>
        <v>2405-025</v>
      </c>
      <c r="AD5577" s="159">
        <f>+Table1[[#This Row],[SUBTOTAL]]+Table1[[#This Row],[IVA]]-Table1[[#This Row],[RET IVA]]-Table1[[#This Row],[RET ISR]]-Table1[[#This Row],[TOTAL]]</f>
        <v>0</v>
      </c>
      <c r="AK5577" s="306" t="str">
        <f>IF(ISNUMBER(Table1[[#This Row],[FECHA DE RECIBIDO]]), Table1[[#This Row],[FECHA DE RECIBIDO]]-DATE(2023,8,30), "")</f>
        <v/>
      </c>
    </row>
    <row r="5578" spans="1:37" ht="16.05" customHeight="1">
      <c r="A5578" s="172" t="s">
        <v>4979</v>
      </c>
      <c r="B5578" s="178">
        <v>1961</v>
      </c>
      <c r="C5578" s="179" t="s">
        <v>2527</v>
      </c>
      <c r="D5578">
        <v>3780</v>
      </c>
      <c r="E5578" s="125" t="s">
        <v>3272</v>
      </c>
      <c r="F5578" s="178">
        <v>626</v>
      </c>
      <c r="G5578" s="178" t="s">
        <v>109</v>
      </c>
      <c r="H5578">
        <v>507</v>
      </c>
      <c r="I5578" s="178" t="s">
        <v>1546</v>
      </c>
      <c r="J5578" s="320" t="s">
        <v>214</v>
      </c>
      <c r="K5578" s="178" t="s">
        <v>4872</v>
      </c>
      <c r="L5578" s="125" t="s">
        <v>110</v>
      </c>
      <c r="M5578">
        <v>731</v>
      </c>
      <c r="N5578" s="182">
        <v>137</v>
      </c>
      <c r="O5578">
        <v>3613</v>
      </c>
      <c r="P5578" s="132" t="s">
        <v>77</v>
      </c>
      <c r="Q5578" s="176">
        <v>2940</v>
      </c>
      <c r="R5578" s="176">
        <v>470.4</v>
      </c>
      <c r="S5578" s="176"/>
      <c r="T5578" s="190">
        <v>313.60000000000002</v>
      </c>
      <c r="U5578" s="191">
        <v>36.75</v>
      </c>
      <c r="V5578" s="191">
        <v>3060.05</v>
      </c>
      <c r="W5578">
        <v>279</v>
      </c>
      <c r="X5578" s="186" t="s">
        <v>1429</v>
      </c>
      <c r="Y5578" s="187" t="s">
        <v>55</v>
      </c>
      <c r="Z5578" s="311">
        <v>275</v>
      </c>
      <c r="AB5578" t="str">
        <f>IF(Table1[[#This Row],[TIPO2]]="costo", VLOOKUP(Table1[[#This Row],[PARTIDA PRESUPUESTAL]],'Cost Report'!G:G,1,0),"Balance")</f>
        <v>2405-025</v>
      </c>
      <c r="AD5578" s="159">
        <f>+Table1[[#This Row],[SUBTOTAL]]+Table1[[#This Row],[IVA]]-Table1[[#This Row],[RET IVA]]-Table1[[#This Row],[RET ISR]]-Table1[[#This Row],[TOTAL]]</f>
        <v>0</v>
      </c>
      <c r="AK5578" s="306" t="str">
        <f>IF(ISNUMBER(Table1[[#This Row],[FECHA DE RECIBIDO]]), Table1[[#This Row],[FECHA DE RECIBIDO]]-DATE(2023,8,30), "")</f>
        <v/>
      </c>
    </row>
    <row r="5579" spans="1:37" ht="16.05" customHeight="1">
      <c r="A5579" s="172" t="s">
        <v>4980</v>
      </c>
      <c r="B5579" s="178">
        <v>1962</v>
      </c>
      <c r="C5579" s="179" t="s">
        <v>2527</v>
      </c>
      <c r="D5579">
        <v>3781</v>
      </c>
      <c r="E5579" s="125" t="s">
        <v>1990</v>
      </c>
      <c r="F5579" s="178">
        <v>612</v>
      </c>
      <c r="G5579" s="178" t="s">
        <v>129</v>
      </c>
      <c r="H5579">
        <v>509</v>
      </c>
      <c r="I5579" s="178" t="s">
        <v>1546</v>
      </c>
      <c r="J5579" s="320" t="s">
        <v>214</v>
      </c>
      <c r="K5579" s="178" t="s">
        <v>4872</v>
      </c>
      <c r="L5579" s="125" t="s">
        <v>110</v>
      </c>
      <c r="M5579">
        <v>733</v>
      </c>
      <c r="N5579" s="182">
        <v>139</v>
      </c>
      <c r="O5579">
        <v>3614</v>
      </c>
      <c r="P5579" s="132" t="s">
        <v>77</v>
      </c>
      <c r="Q5579" s="176">
        <v>14700</v>
      </c>
      <c r="R5579" s="176">
        <v>2352</v>
      </c>
      <c r="S5579" s="176"/>
      <c r="T5579" s="190">
        <v>1568.01</v>
      </c>
      <c r="U5579" s="191">
        <v>1470</v>
      </c>
      <c r="V5579" s="191">
        <v>14013.99</v>
      </c>
      <c r="W5579">
        <v>281</v>
      </c>
      <c r="X5579" s="186" t="s">
        <v>1430</v>
      </c>
      <c r="Y5579" s="187" t="s">
        <v>55</v>
      </c>
      <c r="Z5579" s="311">
        <v>275</v>
      </c>
      <c r="AB5579" t="str">
        <f>IF(Table1[[#This Row],[TIPO2]]="costo", VLOOKUP(Table1[[#This Row],[PARTIDA PRESUPUESTAL]],'Cost Report'!G:G,1,0),"Balance")</f>
        <v>2405-025</v>
      </c>
      <c r="AD5579" s="159">
        <f>+Table1[[#This Row],[SUBTOTAL]]+Table1[[#This Row],[IVA]]-Table1[[#This Row],[RET IVA]]-Table1[[#This Row],[RET ISR]]-Table1[[#This Row],[TOTAL]]</f>
        <v>0</v>
      </c>
      <c r="AK5579" s="306" t="str">
        <f>IF(ISNUMBER(Table1[[#This Row],[FECHA DE RECIBIDO]]), Table1[[#This Row],[FECHA DE RECIBIDO]]-DATE(2023,8,30), "")</f>
        <v/>
      </c>
    </row>
    <row r="5580" spans="1:37" ht="16.05" customHeight="1">
      <c r="A5580" s="172" t="s">
        <v>4981</v>
      </c>
      <c r="B5580" s="178">
        <v>1963</v>
      </c>
      <c r="C5580" s="179" t="s">
        <v>588</v>
      </c>
      <c r="D5580">
        <v>3782</v>
      </c>
      <c r="E5580" s="125" t="s">
        <v>3950</v>
      </c>
      <c r="F5580" s="178">
        <v>621</v>
      </c>
      <c r="G5580" s="178" t="s">
        <v>1617</v>
      </c>
      <c r="H5580">
        <v>512</v>
      </c>
      <c r="I5580" s="178" t="s">
        <v>1546</v>
      </c>
      <c r="J5580" s="320" t="s">
        <v>214</v>
      </c>
      <c r="K5580" s="178" t="s">
        <v>4872</v>
      </c>
      <c r="L5580" s="125" t="s">
        <v>110</v>
      </c>
      <c r="M5580">
        <v>736</v>
      </c>
      <c r="N5580" s="182">
        <v>142</v>
      </c>
      <c r="O5580">
        <v>3615</v>
      </c>
      <c r="P5580" s="132" t="s">
        <v>77</v>
      </c>
      <c r="Q5580" s="176">
        <v>8925</v>
      </c>
      <c r="R5580" s="176">
        <v>1428</v>
      </c>
      <c r="S5580" s="176"/>
      <c r="T5580" s="190">
        <v>952</v>
      </c>
      <c r="U5580" s="191">
        <v>0</v>
      </c>
      <c r="V5580" s="191">
        <v>9401</v>
      </c>
      <c r="W5580">
        <v>284</v>
      </c>
      <c r="X5580" s="186" t="s">
        <v>1430</v>
      </c>
      <c r="Y5580" s="187" t="s">
        <v>55</v>
      </c>
      <c r="Z5580" s="311">
        <v>275</v>
      </c>
      <c r="AB5580" t="str">
        <f>IF(Table1[[#This Row],[TIPO2]]="costo", VLOOKUP(Table1[[#This Row],[PARTIDA PRESUPUESTAL]],'Cost Report'!G:G,1,0),"Balance")</f>
        <v>2401-022</v>
      </c>
      <c r="AD5580" s="159">
        <f>+Table1[[#This Row],[SUBTOTAL]]+Table1[[#This Row],[IVA]]-Table1[[#This Row],[RET IVA]]-Table1[[#This Row],[RET ISR]]-Table1[[#This Row],[TOTAL]]</f>
        <v>0</v>
      </c>
      <c r="AK5580" s="306" t="str">
        <f>IF(ISNUMBER(Table1[[#This Row],[FECHA DE RECIBIDO]]), Table1[[#This Row],[FECHA DE RECIBIDO]]-DATE(2023,8,30), "")</f>
        <v/>
      </c>
    </row>
    <row r="5581" spans="1:37" ht="16.05" customHeight="1">
      <c r="A5581" s="172" t="s">
        <v>4982</v>
      </c>
      <c r="B5581" s="178">
        <v>1964</v>
      </c>
      <c r="C5581" s="179" t="s">
        <v>2527</v>
      </c>
      <c r="D5581">
        <v>3783</v>
      </c>
      <c r="E5581" s="125" t="s">
        <v>3953</v>
      </c>
      <c r="F5581" s="178">
        <v>626</v>
      </c>
      <c r="G5581" s="178" t="s">
        <v>109</v>
      </c>
      <c r="H5581">
        <v>513</v>
      </c>
      <c r="I5581" s="178" t="s">
        <v>1546</v>
      </c>
      <c r="J5581" s="320" t="s">
        <v>214</v>
      </c>
      <c r="K5581" s="178" t="s">
        <v>4872</v>
      </c>
      <c r="L5581" s="125" t="s">
        <v>110</v>
      </c>
      <c r="M5581">
        <v>737</v>
      </c>
      <c r="N5581" s="182">
        <v>143</v>
      </c>
      <c r="O5581">
        <v>3616</v>
      </c>
      <c r="P5581" s="132" t="s">
        <v>77</v>
      </c>
      <c r="Q5581" s="176">
        <v>12600</v>
      </c>
      <c r="R5581" s="176">
        <v>2016</v>
      </c>
      <c r="S5581" s="176"/>
      <c r="T5581" s="190">
        <v>1344</v>
      </c>
      <c r="U5581" s="191">
        <v>157.5</v>
      </c>
      <c r="V5581" s="191">
        <v>13114.5</v>
      </c>
      <c r="W5581">
        <v>285</v>
      </c>
      <c r="X5581" s="186" t="s">
        <v>1431</v>
      </c>
      <c r="Y5581" s="187" t="s">
        <v>55</v>
      </c>
      <c r="Z5581" s="311">
        <v>275</v>
      </c>
      <c r="AB5581" t="str">
        <f>IF(Table1[[#This Row],[TIPO2]]="costo", VLOOKUP(Table1[[#This Row],[PARTIDA PRESUPUESTAL]],'Cost Report'!G:G,1,0),"Balance")</f>
        <v>2405-025</v>
      </c>
      <c r="AD5581" s="159">
        <f>+Table1[[#This Row],[SUBTOTAL]]+Table1[[#This Row],[IVA]]-Table1[[#This Row],[RET IVA]]-Table1[[#This Row],[RET ISR]]-Table1[[#This Row],[TOTAL]]</f>
        <v>0</v>
      </c>
      <c r="AK5581" s="306" t="str">
        <f>IF(ISNUMBER(Table1[[#This Row],[FECHA DE RECIBIDO]]), Table1[[#This Row],[FECHA DE RECIBIDO]]-DATE(2023,8,30), "")</f>
        <v/>
      </c>
    </row>
    <row r="5582" spans="1:37" ht="16.05" customHeight="1">
      <c r="A5582" s="172" t="s">
        <v>4983</v>
      </c>
      <c r="B5582" s="178">
        <v>1965</v>
      </c>
      <c r="C5582" s="179" t="s">
        <v>2527</v>
      </c>
      <c r="D5582">
        <v>3784</v>
      </c>
      <c r="E5582" s="125" t="s">
        <v>4286</v>
      </c>
      <c r="F5582" s="178">
        <v>626</v>
      </c>
      <c r="G5582" s="178" t="s">
        <v>109</v>
      </c>
      <c r="H5582">
        <v>922</v>
      </c>
      <c r="I5582" s="178" t="s">
        <v>1546</v>
      </c>
      <c r="J5582" s="320" t="s">
        <v>214</v>
      </c>
      <c r="K5582" s="178" t="s">
        <v>4872</v>
      </c>
      <c r="L5582" s="125" t="s">
        <v>110</v>
      </c>
      <c r="M5582">
        <v>1284</v>
      </c>
      <c r="N5582" s="182">
        <v>227</v>
      </c>
      <c r="O5582">
        <v>3617</v>
      </c>
      <c r="P5582" s="132" t="s">
        <v>77</v>
      </c>
      <c r="Q5582" s="176">
        <v>5880</v>
      </c>
      <c r="R5582" s="176">
        <v>940.8</v>
      </c>
      <c r="S5582" s="176"/>
      <c r="T5582" s="190">
        <v>627.20000000000005</v>
      </c>
      <c r="U5582" s="191">
        <v>73.5</v>
      </c>
      <c r="V5582" s="191">
        <v>6120.1</v>
      </c>
      <c r="W5582">
        <v>454</v>
      </c>
      <c r="X5582" s="186" t="s">
        <v>1429</v>
      </c>
      <c r="Y5582" s="187" t="s">
        <v>55</v>
      </c>
      <c r="Z5582" s="311">
        <v>275</v>
      </c>
      <c r="AB5582" t="str">
        <f>IF(Table1[[#This Row],[TIPO2]]="costo", VLOOKUP(Table1[[#This Row],[PARTIDA PRESUPUESTAL]],'Cost Report'!G:G,1,0),"Balance")</f>
        <v>2405-025</v>
      </c>
      <c r="AD5582" s="159">
        <f>+Table1[[#This Row],[SUBTOTAL]]+Table1[[#This Row],[IVA]]-Table1[[#This Row],[RET IVA]]-Table1[[#This Row],[RET ISR]]-Table1[[#This Row],[TOTAL]]</f>
        <v>0</v>
      </c>
      <c r="AK5582" s="306" t="str">
        <f>IF(ISNUMBER(Table1[[#This Row],[FECHA DE RECIBIDO]]), Table1[[#This Row],[FECHA DE RECIBIDO]]-DATE(2023,8,30), "")</f>
        <v/>
      </c>
    </row>
    <row r="5583" spans="1:37" ht="16.05" customHeight="1">
      <c r="A5583" s="172" t="s">
        <v>4984</v>
      </c>
      <c r="B5583" s="178">
        <v>1966</v>
      </c>
      <c r="C5583" s="179" t="s">
        <v>2527</v>
      </c>
      <c r="D5583">
        <v>3785</v>
      </c>
      <c r="E5583" s="125" t="s">
        <v>4286</v>
      </c>
      <c r="F5583" s="178">
        <v>626</v>
      </c>
      <c r="G5583" s="178" t="s">
        <v>109</v>
      </c>
      <c r="H5583">
        <v>922</v>
      </c>
      <c r="I5583" s="178" t="s">
        <v>1546</v>
      </c>
      <c r="J5583" s="320" t="s">
        <v>214</v>
      </c>
      <c r="K5583" s="178" t="s">
        <v>4872</v>
      </c>
      <c r="L5583" s="125" t="s">
        <v>110</v>
      </c>
      <c r="M5583">
        <v>1284</v>
      </c>
      <c r="N5583" s="182">
        <v>227</v>
      </c>
      <c r="O5583">
        <v>3617</v>
      </c>
      <c r="P5583" s="132" t="s">
        <v>77</v>
      </c>
      <c r="Q5583" s="176">
        <v>1470</v>
      </c>
      <c r="R5583" s="176">
        <v>235.2</v>
      </c>
      <c r="S5583" s="176"/>
      <c r="T5583" s="190">
        <v>156.80000000000001</v>
      </c>
      <c r="U5583" s="191">
        <v>18.38</v>
      </c>
      <c r="V5583" s="191">
        <v>1530.02</v>
      </c>
      <c r="W5583">
        <v>454</v>
      </c>
      <c r="X5583" s="186" t="s">
        <v>1429</v>
      </c>
      <c r="Y5583" s="187" t="s">
        <v>55</v>
      </c>
      <c r="Z5583" s="311">
        <v>275</v>
      </c>
      <c r="AB5583" t="str">
        <f>IF(Table1[[#This Row],[TIPO2]]="costo", VLOOKUP(Table1[[#This Row],[PARTIDA PRESUPUESTAL]],'Cost Report'!G:G,1,0),"Balance")</f>
        <v>2405-025</v>
      </c>
      <c r="AD5583" s="159">
        <f>+Table1[[#This Row],[SUBTOTAL]]+Table1[[#This Row],[IVA]]-Table1[[#This Row],[RET IVA]]-Table1[[#This Row],[RET ISR]]-Table1[[#This Row],[TOTAL]]</f>
        <v>0</v>
      </c>
      <c r="AK5583" s="306" t="str">
        <f>IF(ISNUMBER(Table1[[#This Row],[FECHA DE RECIBIDO]]), Table1[[#This Row],[FECHA DE RECIBIDO]]-DATE(2023,8,30), "")</f>
        <v/>
      </c>
    </row>
    <row r="5584" spans="1:37" ht="16.05" customHeight="1">
      <c r="A5584" s="172" t="s">
        <v>4985</v>
      </c>
      <c r="B5584" s="178">
        <v>1967</v>
      </c>
      <c r="C5584" s="179" t="s">
        <v>2527</v>
      </c>
      <c r="D5584">
        <v>3786</v>
      </c>
      <c r="E5584" s="125" t="s">
        <v>4286</v>
      </c>
      <c r="F5584" s="178">
        <v>626</v>
      </c>
      <c r="G5584" s="178" t="s">
        <v>109</v>
      </c>
      <c r="H5584">
        <v>922</v>
      </c>
      <c r="I5584" s="178" t="s">
        <v>1546</v>
      </c>
      <c r="J5584" s="320" t="s">
        <v>214</v>
      </c>
      <c r="K5584" s="178" t="s">
        <v>4872</v>
      </c>
      <c r="L5584" s="125" t="s">
        <v>110</v>
      </c>
      <c r="M5584">
        <v>1284</v>
      </c>
      <c r="N5584" s="182">
        <v>227</v>
      </c>
      <c r="O5584">
        <v>3617</v>
      </c>
      <c r="P5584" s="132" t="s">
        <v>77</v>
      </c>
      <c r="Q5584" s="176">
        <v>4410</v>
      </c>
      <c r="R5584" s="176">
        <v>705.6</v>
      </c>
      <c r="S5584" s="176"/>
      <c r="T5584" s="190">
        <v>470.4</v>
      </c>
      <c r="U5584" s="191">
        <v>55.13</v>
      </c>
      <c r="V5584" s="191">
        <v>4590.0700000000006</v>
      </c>
      <c r="W5584">
        <v>454</v>
      </c>
      <c r="X5584" s="186" t="s">
        <v>1429</v>
      </c>
      <c r="Y5584" s="187" t="s">
        <v>55</v>
      </c>
      <c r="Z5584" s="311">
        <v>275</v>
      </c>
      <c r="AB5584" t="str">
        <f>IF(Table1[[#This Row],[TIPO2]]="costo", VLOOKUP(Table1[[#This Row],[PARTIDA PRESUPUESTAL]],'Cost Report'!G:G,1,0),"Balance")</f>
        <v>2405-025</v>
      </c>
      <c r="AD5584" s="159">
        <f>+Table1[[#This Row],[SUBTOTAL]]+Table1[[#This Row],[IVA]]-Table1[[#This Row],[RET IVA]]-Table1[[#This Row],[RET ISR]]-Table1[[#This Row],[TOTAL]]</f>
        <v>0</v>
      </c>
      <c r="AK5584" s="306" t="str">
        <f>IF(ISNUMBER(Table1[[#This Row],[FECHA DE RECIBIDO]]), Table1[[#This Row],[FECHA DE RECIBIDO]]-DATE(2023,8,30), "")</f>
        <v/>
      </c>
    </row>
    <row r="5585" spans="1:37" ht="16.05" customHeight="1">
      <c r="A5585" s="172" t="s">
        <v>4986</v>
      </c>
      <c r="B5585" s="178">
        <v>1968</v>
      </c>
      <c r="C5585" s="179" t="s">
        <v>2527</v>
      </c>
      <c r="D5585">
        <v>3787</v>
      </c>
      <c r="E5585" s="125" t="s">
        <v>4286</v>
      </c>
      <c r="F5585" s="178">
        <v>626</v>
      </c>
      <c r="G5585" s="178" t="s">
        <v>109</v>
      </c>
      <c r="H5585">
        <v>922</v>
      </c>
      <c r="I5585" s="178" t="s">
        <v>1546</v>
      </c>
      <c r="J5585" s="320" t="s">
        <v>214</v>
      </c>
      <c r="K5585" s="178" t="s">
        <v>4872</v>
      </c>
      <c r="L5585" s="125" t="s">
        <v>110</v>
      </c>
      <c r="M5585">
        <v>1284</v>
      </c>
      <c r="N5585" s="182">
        <v>227</v>
      </c>
      <c r="O5585">
        <v>3617</v>
      </c>
      <c r="P5585" s="132" t="s">
        <v>77</v>
      </c>
      <c r="Q5585" s="176">
        <v>8820</v>
      </c>
      <c r="R5585" s="176">
        <v>1411.2</v>
      </c>
      <c r="S5585" s="176"/>
      <c r="T5585" s="190">
        <v>940.8</v>
      </c>
      <c r="U5585" s="191">
        <v>110.25</v>
      </c>
      <c r="V5585" s="191">
        <v>9180.1500000000015</v>
      </c>
      <c r="W5585">
        <v>454</v>
      </c>
      <c r="X5585" s="186" t="s">
        <v>1429</v>
      </c>
      <c r="Y5585" s="187" t="s">
        <v>55</v>
      </c>
      <c r="Z5585" s="311">
        <v>275</v>
      </c>
      <c r="AB5585" t="str">
        <f>IF(Table1[[#This Row],[TIPO2]]="costo", VLOOKUP(Table1[[#This Row],[PARTIDA PRESUPUESTAL]],'Cost Report'!G:G,1,0),"Balance")</f>
        <v>2405-025</v>
      </c>
      <c r="AD5585" s="159">
        <f>+Table1[[#This Row],[SUBTOTAL]]+Table1[[#This Row],[IVA]]-Table1[[#This Row],[RET IVA]]-Table1[[#This Row],[RET ISR]]-Table1[[#This Row],[TOTAL]]</f>
        <v>0</v>
      </c>
      <c r="AK5585" s="306" t="str">
        <f>IF(ISNUMBER(Table1[[#This Row],[FECHA DE RECIBIDO]]), Table1[[#This Row],[FECHA DE RECIBIDO]]-DATE(2023,8,30), "")</f>
        <v/>
      </c>
    </row>
    <row r="5586" spans="1:37" ht="16.05" customHeight="1">
      <c r="A5586" s="172" t="s">
        <v>4987</v>
      </c>
      <c r="B5586" s="178">
        <v>1969</v>
      </c>
      <c r="C5586" s="179" t="s">
        <v>2527</v>
      </c>
      <c r="D5586">
        <v>3788</v>
      </c>
      <c r="E5586" s="125" t="s">
        <v>4409</v>
      </c>
      <c r="F5586" s="178">
        <v>626</v>
      </c>
      <c r="G5586" s="178" t="s">
        <v>109</v>
      </c>
      <c r="H5586">
        <v>766</v>
      </c>
      <c r="I5586" s="178" t="s">
        <v>1546</v>
      </c>
      <c r="J5586" s="320" t="s">
        <v>214</v>
      </c>
      <c r="K5586" s="178" t="s">
        <v>4872</v>
      </c>
      <c r="L5586" s="125" t="s">
        <v>110</v>
      </c>
      <c r="M5586">
        <v>1069</v>
      </c>
      <c r="N5586" s="182">
        <v>178</v>
      </c>
      <c r="O5586">
        <v>3618</v>
      </c>
      <c r="P5586" s="132" t="s">
        <v>77</v>
      </c>
      <c r="Q5586" s="176">
        <v>8820</v>
      </c>
      <c r="R5586" s="176">
        <v>1411.2</v>
      </c>
      <c r="S5586" s="176"/>
      <c r="T5586" s="190">
        <v>940.8</v>
      </c>
      <c r="U5586" s="191">
        <v>110.25</v>
      </c>
      <c r="V5586" s="191">
        <v>9180.1500000000015</v>
      </c>
      <c r="W5586">
        <v>365</v>
      </c>
      <c r="X5586" s="186" t="s">
        <v>1429</v>
      </c>
      <c r="Y5586" s="187" t="s">
        <v>55</v>
      </c>
      <c r="Z5586" s="311">
        <v>275</v>
      </c>
      <c r="AB5586" t="str">
        <f>IF(Table1[[#This Row],[TIPO2]]="costo", VLOOKUP(Table1[[#This Row],[PARTIDA PRESUPUESTAL]],'Cost Report'!G:G,1,0),"Balance")</f>
        <v>2405-025</v>
      </c>
      <c r="AD5586" s="159">
        <f>+Table1[[#This Row],[SUBTOTAL]]+Table1[[#This Row],[IVA]]-Table1[[#This Row],[RET IVA]]-Table1[[#This Row],[RET ISR]]-Table1[[#This Row],[TOTAL]]</f>
        <v>0</v>
      </c>
      <c r="AK5586" s="306" t="str">
        <f>IF(ISNUMBER(Table1[[#This Row],[FECHA DE RECIBIDO]]), Table1[[#This Row],[FECHA DE RECIBIDO]]-DATE(2023,8,30), "")</f>
        <v/>
      </c>
    </row>
    <row r="5587" spans="1:37" ht="16.05" customHeight="1">
      <c r="A5587" s="172" t="s">
        <v>4988</v>
      </c>
      <c r="B5587" s="178">
        <v>1970</v>
      </c>
      <c r="C5587" s="179" t="s">
        <v>567</v>
      </c>
      <c r="D5587">
        <v>3789</v>
      </c>
      <c r="E5587" s="125" t="s">
        <v>4311</v>
      </c>
      <c r="F5587" s="178">
        <v>626</v>
      </c>
      <c r="G5587" s="178" t="s">
        <v>109</v>
      </c>
      <c r="H5587">
        <v>857</v>
      </c>
      <c r="I5587" s="178" t="s">
        <v>1546</v>
      </c>
      <c r="J5587" s="320" t="s">
        <v>214</v>
      </c>
      <c r="K5587" s="178" t="s">
        <v>4872</v>
      </c>
      <c r="L5587" s="125" t="s">
        <v>110</v>
      </c>
      <c r="M5587">
        <v>1191</v>
      </c>
      <c r="N5587" s="182">
        <v>214</v>
      </c>
      <c r="O5587">
        <v>3619</v>
      </c>
      <c r="P5587" s="132" t="s">
        <v>77</v>
      </c>
      <c r="Q5587" s="176">
        <v>6300</v>
      </c>
      <c r="R5587" s="176">
        <v>1008</v>
      </c>
      <c r="S5587" s="176"/>
      <c r="T5587" s="190">
        <v>672</v>
      </c>
      <c r="U5587" s="191">
        <v>78.75</v>
      </c>
      <c r="V5587" s="191">
        <v>6557.25</v>
      </c>
      <c r="W5587">
        <v>422</v>
      </c>
      <c r="X5587" s="186" t="s">
        <v>1429</v>
      </c>
      <c r="Y5587" s="187" t="s">
        <v>55</v>
      </c>
      <c r="Z5587" s="311">
        <v>275</v>
      </c>
      <c r="AB5587" t="str">
        <f>IF(Table1[[#This Row],[TIPO2]]="costo", VLOOKUP(Table1[[#This Row],[PARTIDA PRESUPUESTAL]],'Cost Report'!G:G,1,0),"Balance")</f>
        <v>2310-011</v>
      </c>
      <c r="AD5587" s="159">
        <f>+Table1[[#This Row],[SUBTOTAL]]+Table1[[#This Row],[IVA]]-Table1[[#This Row],[RET IVA]]-Table1[[#This Row],[RET ISR]]-Table1[[#This Row],[TOTAL]]</f>
        <v>0</v>
      </c>
      <c r="AK5587" s="306" t="str">
        <f>IF(ISNUMBER(Table1[[#This Row],[FECHA DE RECIBIDO]]), Table1[[#This Row],[FECHA DE RECIBIDO]]-DATE(2023,8,30), "")</f>
        <v/>
      </c>
    </row>
    <row r="5588" spans="1:37" ht="16.05" customHeight="1">
      <c r="A5588" s="172" t="s">
        <v>4989</v>
      </c>
      <c r="B5588" s="178">
        <v>1971</v>
      </c>
      <c r="C5588" s="179" t="s">
        <v>2504</v>
      </c>
      <c r="D5588">
        <v>3790</v>
      </c>
      <c r="E5588" s="125" t="s">
        <v>3354</v>
      </c>
      <c r="F5588" s="178">
        <v>626</v>
      </c>
      <c r="G5588" s="178" t="s">
        <v>109</v>
      </c>
      <c r="H5588">
        <v>858</v>
      </c>
      <c r="I5588" s="178" t="s">
        <v>1546</v>
      </c>
      <c r="J5588" s="320" t="s">
        <v>214</v>
      </c>
      <c r="K5588" s="178" t="s">
        <v>4872</v>
      </c>
      <c r="L5588" s="125" t="s">
        <v>110</v>
      </c>
      <c r="M5588">
        <v>1192</v>
      </c>
      <c r="N5588" s="182">
        <v>215</v>
      </c>
      <c r="O5588">
        <v>3620</v>
      </c>
      <c r="P5588" s="132" t="s">
        <v>77</v>
      </c>
      <c r="Q5588" s="176">
        <v>51450</v>
      </c>
      <c r="R5588" s="176">
        <v>8232</v>
      </c>
      <c r="S5588" s="176"/>
      <c r="T5588" s="190">
        <v>5488</v>
      </c>
      <c r="U5588" s="191">
        <v>643.16</v>
      </c>
      <c r="V5588" s="191">
        <v>53550.84</v>
      </c>
      <c r="W5588">
        <v>423</v>
      </c>
      <c r="X5588" s="186" t="s">
        <v>1429</v>
      </c>
      <c r="Y5588" s="187" t="s">
        <v>55</v>
      </c>
      <c r="Z5588" s="311">
        <v>275</v>
      </c>
      <c r="AB5588" t="str">
        <f>IF(Table1[[#This Row],[TIPO2]]="costo", VLOOKUP(Table1[[#This Row],[PARTIDA PRESUPUESTAL]],'Cost Report'!G:G,1,0),"Balance")</f>
        <v>2401-033</v>
      </c>
      <c r="AD5588" s="159">
        <f>+Table1[[#This Row],[SUBTOTAL]]+Table1[[#This Row],[IVA]]-Table1[[#This Row],[RET IVA]]-Table1[[#This Row],[RET ISR]]-Table1[[#This Row],[TOTAL]]</f>
        <v>0</v>
      </c>
      <c r="AK5588" s="306" t="str">
        <f>IF(ISNUMBER(Table1[[#This Row],[FECHA DE RECIBIDO]]), Table1[[#This Row],[FECHA DE RECIBIDO]]-DATE(2023,8,30), "")</f>
        <v/>
      </c>
    </row>
    <row r="5589" spans="1:37" ht="16.05" customHeight="1">
      <c r="A5589" s="172" t="s">
        <v>4990</v>
      </c>
      <c r="B5589" s="178">
        <v>1972</v>
      </c>
      <c r="C5589" s="179" t="s">
        <v>2527</v>
      </c>
      <c r="D5589">
        <v>3791</v>
      </c>
      <c r="E5589" s="125" t="s">
        <v>4991</v>
      </c>
      <c r="F5589" s="178">
        <v>626</v>
      </c>
      <c r="G5589" s="178" t="s">
        <v>109</v>
      </c>
      <c r="H5589">
        <v>923</v>
      </c>
      <c r="I5589" s="178" t="s">
        <v>1546</v>
      </c>
      <c r="J5589" s="320" t="s">
        <v>214</v>
      </c>
      <c r="K5589" s="178" t="s">
        <v>4872</v>
      </c>
      <c r="L5589" s="125" t="s">
        <v>110</v>
      </c>
      <c r="M5589">
        <v>1285</v>
      </c>
      <c r="N5589" s="182">
        <v>228</v>
      </c>
      <c r="O5589">
        <v>3621</v>
      </c>
      <c r="P5589" s="132" t="s">
        <v>77</v>
      </c>
      <c r="Q5589" s="176">
        <v>8820</v>
      </c>
      <c r="R5589" s="176">
        <v>1411.2</v>
      </c>
      <c r="S5589" s="176"/>
      <c r="T5589" s="190">
        <v>940.8</v>
      </c>
      <c r="U5589" s="191">
        <v>110.25</v>
      </c>
      <c r="V5589" s="191">
        <v>9180.1500000000015</v>
      </c>
      <c r="W5589">
        <v>455</v>
      </c>
      <c r="X5589" s="186" t="s">
        <v>1429</v>
      </c>
      <c r="Y5589" s="187" t="s">
        <v>55</v>
      </c>
      <c r="Z5589" s="311">
        <v>275</v>
      </c>
      <c r="AB5589" t="str">
        <f>IF(Table1[[#This Row],[TIPO2]]="costo", VLOOKUP(Table1[[#This Row],[PARTIDA PRESUPUESTAL]],'Cost Report'!G:G,1,0),"Balance")</f>
        <v>2405-025</v>
      </c>
      <c r="AD5589" s="159">
        <f>+Table1[[#This Row],[SUBTOTAL]]+Table1[[#This Row],[IVA]]-Table1[[#This Row],[RET IVA]]-Table1[[#This Row],[RET ISR]]-Table1[[#This Row],[TOTAL]]</f>
        <v>0</v>
      </c>
      <c r="AK5589" s="306" t="str">
        <f>IF(ISNUMBER(Table1[[#This Row],[FECHA DE RECIBIDO]]), Table1[[#This Row],[FECHA DE RECIBIDO]]-DATE(2023,8,30), "")</f>
        <v/>
      </c>
    </row>
    <row r="5590" spans="1:37" ht="16.05" customHeight="1">
      <c r="A5590" s="172" t="s">
        <v>4992</v>
      </c>
      <c r="B5590" s="178">
        <v>1975</v>
      </c>
      <c r="C5590" s="179" t="s">
        <v>607</v>
      </c>
      <c r="D5590">
        <v>3792</v>
      </c>
      <c r="E5590" s="125" t="s">
        <v>4993</v>
      </c>
      <c r="F5590" s="178">
        <v>612</v>
      </c>
      <c r="G5590" s="178" t="s">
        <v>129</v>
      </c>
      <c r="H5590">
        <v>924</v>
      </c>
      <c r="I5590" s="178" t="s">
        <v>1546</v>
      </c>
      <c r="J5590" s="320" t="s">
        <v>214</v>
      </c>
      <c r="K5590" s="178" t="s">
        <v>4872</v>
      </c>
      <c r="L5590" s="125" t="s">
        <v>110</v>
      </c>
      <c r="M5590">
        <v>1286</v>
      </c>
      <c r="N5590" s="182">
        <v>229</v>
      </c>
      <c r="O5590">
        <v>3622</v>
      </c>
      <c r="P5590" s="132" t="s">
        <v>77</v>
      </c>
      <c r="Q5590" s="176">
        <v>3900</v>
      </c>
      <c r="R5590" s="176">
        <v>624</v>
      </c>
      <c r="S5590" s="176"/>
      <c r="T5590" s="190">
        <v>416</v>
      </c>
      <c r="U5590" s="191">
        <v>390</v>
      </c>
      <c r="V5590" s="191">
        <v>3718</v>
      </c>
      <c r="W5590">
        <v>456</v>
      </c>
      <c r="X5590" s="186" t="s">
        <v>3684</v>
      </c>
      <c r="Y5590" s="187" t="s">
        <v>55</v>
      </c>
      <c r="Z5590" s="311">
        <v>275</v>
      </c>
      <c r="AB5590" t="str">
        <f>IF(Table1[[#This Row],[TIPO2]]="costo", VLOOKUP(Table1[[#This Row],[PARTIDA PRESUPUESTAL]],'Cost Report'!G:G,1,0),"Balance")</f>
        <v>2403-022</v>
      </c>
      <c r="AD5590" s="159">
        <f>+Table1[[#This Row],[SUBTOTAL]]+Table1[[#This Row],[IVA]]-Table1[[#This Row],[RET IVA]]-Table1[[#This Row],[RET ISR]]-Table1[[#This Row],[TOTAL]]</f>
        <v>0</v>
      </c>
      <c r="AK5590" s="306" t="str">
        <f>IF(ISNUMBER(Table1[[#This Row],[FECHA DE RECIBIDO]]), Table1[[#This Row],[FECHA DE RECIBIDO]]-DATE(2023,8,30), "")</f>
        <v/>
      </c>
    </row>
    <row r="5591" spans="1:37" ht="16.05" customHeight="1">
      <c r="A5591" s="172" t="s">
        <v>4994</v>
      </c>
      <c r="B5591" s="178">
        <v>1976</v>
      </c>
      <c r="C5591" s="179" t="s">
        <v>2519</v>
      </c>
      <c r="D5591">
        <v>3793</v>
      </c>
      <c r="E5591" s="125" t="s">
        <v>4995</v>
      </c>
      <c r="F5591" s="178">
        <v>612</v>
      </c>
      <c r="G5591" s="178" t="s">
        <v>129</v>
      </c>
      <c r="H5591">
        <v>925</v>
      </c>
      <c r="I5591" s="178" t="s">
        <v>1546</v>
      </c>
      <c r="J5591" s="320" t="s">
        <v>214</v>
      </c>
      <c r="K5591" s="178" t="s">
        <v>4872</v>
      </c>
      <c r="L5591" s="125" t="s">
        <v>110</v>
      </c>
      <c r="M5591">
        <v>1287</v>
      </c>
      <c r="N5591" s="182">
        <v>230</v>
      </c>
      <c r="O5591">
        <v>3623</v>
      </c>
      <c r="P5591" s="132" t="s">
        <v>77</v>
      </c>
      <c r="Q5591" s="176">
        <v>3266.66</v>
      </c>
      <c r="R5591" s="176">
        <v>522.66999999999996</v>
      </c>
      <c r="S5591" s="176"/>
      <c r="T5591" s="190">
        <v>348.44</v>
      </c>
      <c r="U5591" s="191">
        <v>326.67</v>
      </c>
      <c r="V5591" s="191">
        <v>3114.22</v>
      </c>
      <c r="W5591">
        <v>457</v>
      </c>
      <c r="X5591" s="186" t="s">
        <v>1429</v>
      </c>
      <c r="Y5591" s="187" t="s">
        <v>55</v>
      </c>
      <c r="Z5591" s="311">
        <v>275</v>
      </c>
      <c r="AB5591" t="str">
        <f>IF(Table1[[#This Row],[TIPO2]]="costo", VLOOKUP(Table1[[#This Row],[PARTIDA PRESUPUESTAL]],'Cost Report'!G:G,1,0),"Balance")</f>
        <v>2403-032</v>
      </c>
      <c r="AD5591" s="159">
        <f>+Table1[[#This Row],[SUBTOTAL]]+Table1[[#This Row],[IVA]]-Table1[[#This Row],[RET IVA]]-Table1[[#This Row],[RET ISR]]-Table1[[#This Row],[TOTAL]]</f>
        <v>0</v>
      </c>
      <c r="AK5591" s="306" t="str">
        <f>IF(ISNUMBER(Table1[[#This Row],[FECHA DE RECIBIDO]]), Table1[[#This Row],[FECHA DE RECIBIDO]]-DATE(2023,8,30), "")</f>
        <v/>
      </c>
    </row>
    <row r="5592" spans="1:37" ht="16.05" customHeight="1">
      <c r="A5592" s="172" t="s">
        <v>4996</v>
      </c>
      <c r="B5592" s="178">
        <v>1977</v>
      </c>
      <c r="C5592" s="179" t="s">
        <v>2520</v>
      </c>
      <c r="D5592">
        <v>3794</v>
      </c>
      <c r="E5592" s="125" t="s">
        <v>3354</v>
      </c>
      <c r="F5592" s="178">
        <v>612</v>
      </c>
      <c r="G5592" s="178" t="s">
        <v>129</v>
      </c>
      <c r="H5592">
        <v>925</v>
      </c>
      <c r="I5592" s="178" t="s">
        <v>1546</v>
      </c>
      <c r="J5592" s="320" t="s">
        <v>214</v>
      </c>
      <c r="K5592" s="178" t="s">
        <v>4872</v>
      </c>
      <c r="L5592" s="125" t="s">
        <v>110</v>
      </c>
      <c r="M5592">
        <v>1287</v>
      </c>
      <c r="N5592" s="182">
        <v>230</v>
      </c>
      <c r="O5592">
        <v>3624</v>
      </c>
      <c r="P5592" s="132" t="s">
        <v>77</v>
      </c>
      <c r="Q5592" s="176">
        <v>5000</v>
      </c>
      <c r="R5592" s="176">
        <v>800</v>
      </c>
      <c r="S5592" s="176"/>
      <c r="T5592" s="190">
        <v>533.34</v>
      </c>
      <c r="U5592" s="191">
        <v>500</v>
      </c>
      <c r="V5592" s="191">
        <v>4766.66</v>
      </c>
      <c r="W5592">
        <v>457</v>
      </c>
      <c r="X5592" s="186" t="s">
        <v>1429</v>
      </c>
      <c r="Y5592" s="187" t="s">
        <v>55</v>
      </c>
      <c r="Z5592" s="311">
        <v>275</v>
      </c>
      <c r="AB5592" t="str">
        <f>IF(Table1[[#This Row],[TIPO2]]="costo", VLOOKUP(Table1[[#This Row],[PARTIDA PRESUPUESTAL]],'Cost Report'!G:G,1,0),"Balance")</f>
        <v>2403-033</v>
      </c>
      <c r="AD5592" s="159">
        <f>+Table1[[#This Row],[SUBTOTAL]]+Table1[[#This Row],[IVA]]-Table1[[#This Row],[RET IVA]]-Table1[[#This Row],[RET ISR]]-Table1[[#This Row],[TOTAL]]</f>
        <v>0</v>
      </c>
      <c r="AK5592" s="306" t="str">
        <f>IF(ISNUMBER(Table1[[#This Row],[FECHA DE RECIBIDO]]), Table1[[#This Row],[FECHA DE RECIBIDO]]-DATE(2023,8,30), "")</f>
        <v/>
      </c>
    </row>
    <row r="5593" spans="1:37" ht="16.05" customHeight="1">
      <c r="A5593" s="172" t="s">
        <v>4997</v>
      </c>
      <c r="B5593" s="178">
        <v>1978</v>
      </c>
      <c r="C5593" s="179" t="s">
        <v>2520</v>
      </c>
      <c r="D5593">
        <v>3795</v>
      </c>
      <c r="E5593" s="125" t="s">
        <v>3354</v>
      </c>
      <c r="F5593" s="178">
        <v>612</v>
      </c>
      <c r="G5593" s="178" t="s">
        <v>129</v>
      </c>
      <c r="H5593">
        <v>925</v>
      </c>
      <c r="I5593" s="178" t="s">
        <v>1546</v>
      </c>
      <c r="J5593" s="320" t="s">
        <v>214</v>
      </c>
      <c r="K5593" s="178" t="s">
        <v>4872</v>
      </c>
      <c r="L5593" s="125" t="s">
        <v>110</v>
      </c>
      <c r="M5593">
        <v>1287</v>
      </c>
      <c r="N5593" s="182">
        <v>230</v>
      </c>
      <c r="O5593">
        <v>3625</v>
      </c>
      <c r="P5593" s="132" t="s">
        <v>77</v>
      </c>
      <c r="Q5593" s="176">
        <v>15000</v>
      </c>
      <c r="R5593" s="176">
        <v>2400</v>
      </c>
      <c r="S5593" s="176"/>
      <c r="T5593" s="190">
        <v>1600</v>
      </c>
      <c r="U5593" s="191">
        <v>1500</v>
      </c>
      <c r="V5593" s="191">
        <v>14300</v>
      </c>
      <c r="W5593">
        <v>457</v>
      </c>
      <c r="X5593" s="186" t="s">
        <v>1429</v>
      </c>
      <c r="Y5593" s="187" t="s">
        <v>55</v>
      </c>
      <c r="Z5593" s="311">
        <v>275</v>
      </c>
      <c r="AB5593" t="str">
        <f>IF(Table1[[#This Row],[TIPO2]]="costo", VLOOKUP(Table1[[#This Row],[PARTIDA PRESUPUESTAL]],'Cost Report'!G:G,1,0),"Balance")</f>
        <v>2403-033</v>
      </c>
      <c r="AD5593" s="159">
        <f>+Table1[[#This Row],[SUBTOTAL]]+Table1[[#This Row],[IVA]]-Table1[[#This Row],[RET IVA]]-Table1[[#This Row],[RET ISR]]-Table1[[#This Row],[TOTAL]]</f>
        <v>0</v>
      </c>
      <c r="AK5593" s="306" t="str">
        <f>IF(ISNUMBER(Table1[[#This Row],[FECHA DE RECIBIDO]]), Table1[[#This Row],[FECHA DE RECIBIDO]]-DATE(2023,8,30), "")</f>
        <v/>
      </c>
    </row>
    <row r="5594" spans="1:37" ht="16.05" customHeight="1">
      <c r="A5594" s="172" t="s">
        <v>4998</v>
      </c>
      <c r="B5594" s="178">
        <v>1979</v>
      </c>
      <c r="C5594" s="179" t="s">
        <v>2521</v>
      </c>
      <c r="D5594">
        <v>3796</v>
      </c>
      <c r="E5594" s="125" t="s">
        <v>3354</v>
      </c>
      <c r="F5594" s="178">
        <v>612</v>
      </c>
      <c r="G5594" s="178" t="s">
        <v>129</v>
      </c>
      <c r="H5594">
        <v>925</v>
      </c>
      <c r="I5594" s="178" t="s">
        <v>1546</v>
      </c>
      <c r="J5594" s="320" t="s">
        <v>214</v>
      </c>
      <c r="K5594" s="178" t="s">
        <v>4872</v>
      </c>
      <c r="L5594" s="125" t="s">
        <v>110</v>
      </c>
      <c r="M5594">
        <v>1287</v>
      </c>
      <c r="N5594" s="182">
        <v>230</v>
      </c>
      <c r="O5594">
        <v>3626</v>
      </c>
      <c r="P5594" s="132" t="s">
        <v>77</v>
      </c>
      <c r="Q5594" s="176">
        <v>7500</v>
      </c>
      <c r="R5594" s="176">
        <v>1200</v>
      </c>
      <c r="S5594" s="176"/>
      <c r="T5594" s="190">
        <v>800</v>
      </c>
      <c r="U5594" s="191">
        <v>750</v>
      </c>
      <c r="V5594" s="191">
        <v>7150</v>
      </c>
      <c r="W5594">
        <v>457</v>
      </c>
      <c r="X5594" s="186" t="s">
        <v>1429</v>
      </c>
      <c r="Y5594" s="187" t="s">
        <v>55</v>
      </c>
      <c r="Z5594" s="311">
        <v>275</v>
      </c>
      <c r="AB5594" t="str">
        <f>IF(Table1[[#This Row],[TIPO2]]="costo", VLOOKUP(Table1[[#This Row],[PARTIDA PRESUPUESTAL]],'Cost Report'!G:G,1,0),"Balance")</f>
        <v>2403-034</v>
      </c>
      <c r="AD5594" s="159">
        <f>+Table1[[#This Row],[SUBTOTAL]]+Table1[[#This Row],[IVA]]-Table1[[#This Row],[RET IVA]]-Table1[[#This Row],[RET ISR]]-Table1[[#This Row],[TOTAL]]</f>
        <v>0</v>
      </c>
      <c r="AK5594" s="306" t="str">
        <f>IF(ISNUMBER(Table1[[#This Row],[FECHA DE RECIBIDO]]), Table1[[#This Row],[FECHA DE RECIBIDO]]-DATE(2023,8,30), "")</f>
        <v/>
      </c>
    </row>
    <row r="5595" spans="1:37" ht="16.05" customHeight="1">
      <c r="A5595" s="172" t="s">
        <v>4999</v>
      </c>
      <c r="B5595" s="178">
        <v>1980</v>
      </c>
      <c r="C5595" s="179" t="s">
        <v>606</v>
      </c>
      <c r="D5595">
        <v>3797</v>
      </c>
      <c r="E5595" s="125" t="s">
        <v>5000</v>
      </c>
      <c r="F5595" s="178">
        <v>626</v>
      </c>
      <c r="G5595" s="178" t="s">
        <v>109</v>
      </c>
      <c r="H5595">
        <v>926</v>
      </c>
      <c r="I5595" s="178" t="s">
        <v>1546</v>
      </c>
      <c r="J5595" s="320" t="s">
        <v>214</v>
      </c>
      <c r="K5595" s="178" t="s">
        <v>4872</v>
      </c>
      <c r="L5595" s="125" t="s">
        <v>110</v>
      </c>
      <c r="M5595">
        <v>1288</v>
      </c>
      <c r="N5595" s="182">
        <v>231</v>
      </c>
      <c r="O5595">
        <v>3627</v>
      </c>
      <c r="P5595" s="132" t="s">
        <v>77</v>
      </c>
      <c r="Q5595" s="176">
        <v>1950</v>
      </c>
      <c r="R5595" s="176">
        <v>312</v>
      </c>
      <c r="S5595" s="176"/>
      <c r="T5595" s="190">
        <v>208</v>
      </c>
      <c r="U5595" s="191">
        <v>24.38</v>
      </c>
      <c r="V5595" s="191">
        <v>2029.62</v>
      </c>
      <c r="W5595">
        <v>458</v>
      </c>
      <c r="X5595" s="186" t="s">
        <v>1429</v>
      </c>
      <c r="Y5595" s="187" t="s">
        <v>55</v>
      </c>
      <c r="Z5595" s="311">
        <v>275</v>
      </c>
      <c r="AB5595" t="str">
        <f>IF(Table1[[#This Row],[TIPO2]]="costo", VLOOKUP(Table1[[#This Row],[PARTIDA PRESUPUESTAL]],'Cost Report'!G:G,1,0),"Balance")</f>
        <v>2403-021</v>
      </c>
      <c r="AD5595" s="159">
        <f>+Table1[[#This Row],[SUBTOTAL]]+Table1[[#This Row],[IVA]]-Table1[[#This Row],[RET IVA]]-Table1[[#This Row],[RET ISR]]-Table1[[#This Row],[TOTAL]]</f>
        <v>0</v>
      </c>
      <c r="AK5595" s="306" t="str">
        <f>IF(ISNUMBER(Table1[[#This Row],[FECHA DE RECIBIDO]]), Table1[[#This Row],[FECHA DE RECIBIDO]]-DATE(2023,8,30), "")</f>
        <v/>
      </c>
    </row>
    <row r="5596" spans="1:37" ht="16.05" customHeight="1">
      <c r="A5596" s="172" t="s">
        <v>5001</v>
      </c>
      <c r="B5596" s="178">
        <v>1981</v>
      </c>
      <c r="C5596" s="179" t="s">
        <v>2585</v>
      </c>
      <c r="D5596">
        <v>3798</v>
      </c>
      <c r="E5596" s="125" t="s">
        <v>1577</v>
      </c>
      <c r="F5596" s="178">
        <v>612</v>
      </c>
      <c r="G5596" s="178" t="s">
        <v>129</v>
      </c>
      <c r="H5596">
        <v>29</v>
      </c>
      <c r="I5596" s="178" t="s">
        <v>1546</v>
      </c>
      <c r="J5596" s="320" t="s">
        <v>214</v>
      </c>
      <c r="K5596" s="178" t="s">
        <v>4872</v>
      </c>
      <c r="L5596" s="125" t="s">
        <v>110</v>
      </c>
      <c r="M5596">
        <v>38</v>
      </c>
      <c r="N5596" s="182">
        <v>16</v>
      </c>
      <c r="O5596">
        <v>3628</v>
      </c>
      <c r="P5596" s="132" t="s">
        <v>77</v>
      </c>
      <c r="Q5596" s="176">
        <v>28000</v>
      </c>
      <c r="R5596" s="176">
        <v>4480</v>
      </c>
      <c r="S5596" s="176"/>
      <c r="T5596" s="190">
        <v>2986.68</v>
      </c>
      <c r="U5596" s="191">
        <v>2800</v>
      </c>
      <c r="V5596" s="191">
        <v>26693.32</v>
      </c>
      <c r="W5596">
        <v>31</v>
      </c>
      <c r="X5596" s="186" t="s">
        <v>1429</v>
      </c>
      <c r="Y5596" s="187" t="s">
        <v>55</v>
      </c>
      <c r="Z5596" s="311">
        <v>275</v>
      </c>
      <c r="AB5596" t="str">
        <f>IF(Table1[[#This Row],[TIPO2]]="costo", VLOOKUP(Table1[[#This Row],[PARTIDA PRESUPUESTAL]],'Cost Report'!G:G,1,0),"Balance")</f>
        <v>2705-005</v>
      </c>
      <c r="AD5596" s="159">
        <f>+Table1[[#This Row],[SUBTOTAL]]+Table1[[#This Row],[IVA]]-Table1[[#This Row],[RET IVA]]-Table1[[#This Row],[RET ISR]]-Table1[[#This Row],[TOTAL]]</f>
        <v>0</v>
      </c>
      <c r="AK5596" s="306" t="str">
        <f>IF(ISNUMBER(Table1[[#This Row],[FECHA DE RECIBIDO]]), Table1[[#This Row],[FECHA DE RECIBIDO]]-DATE(2023,8,30), "")</f>
        <v/>
      </c>
    </row>
    <row r="5597" spans="1:37" ht="16.05" customHeight="1">
      <c r="A5597" s="172" t="s">
        <v>5002</v>
      </c>
      <c r="B5597" s="178">
        <v>1982</v>
      </c>
      <c r="C5597" s="179" t="s">
        <v>2584</v>
      </c>
      <c r="D5597">
        <v>3799</v>
      </c>
      <c r="E5597" s="125" t="s">
        <v>1894</v>
      </c>
      <c r="F5597" s="178">
        <v>626</v>
      </c>
      <c r="G5597" s="178" t="s">
        <v>109</v>
      </c>
      <c r="H5597">
        <v>67</v>
      </c>
      <c r="I5597" s="178" t="s">
        <v>1546</v>
      </c>
      <c r="J5597" s="320" t="s">
        <v>214</v>
      </c>
      <c r="K5597" s="178" t="s">
        <v>4872</v>
      </c>
      <c r="L5597" s="125" t="s">
        <v>110</v>
      </c>
      <c r="M5597">
        <v>90</v>
      </c>
      <c r="N5597" s="182">
        <v>27</v>
      </c>
      <c r="O5597">
        <v>3629</v>
      </c>
      <c r="P5597" s="132" t="s">
        <v>77</v>
      </c>
      <c r="Q5597" s="176">
        <v>20000</v>
      </c>
      <c r="R5597" s="176">
        <v>3200</v>
      </c>
      <c r="S5597" s="176"/>
      <c r="T5597" s="190">
        <v>2133.34</v>
      </c>
      <c r="U5597" s="191">
        <v>250</v>
      </c>
      <c r="V5597" s="191">
        <v>20816.66</v>
      </c>
      <c r="W5597">
        <v>49</v>
      </c>
      <c r="X5597" s="186" t="s">
        <v>1430</v>
      </c>
      <c r="Y5597" s="187" t="s">
        <v>55</v>
      </c>
      <c r="Z5597" s="311">
        <v>275</v>
      </c>
      <c r="AB5597" t="str">
        <f>IF(Table1[[#This Row],[TIPO2]]="costo", VLOOKUP(Table1[[#This Row],[PARTIDA PRESUPUESTAL]],'Cost Report'!G:G,1,0),"Balance")</f>
        <v>2703-005</v>
      </c>
      <c r="AD5597" s="159">
        <f>+Table1[[#This Row],[SUBTOTAL]]+Table1[[#This Row],[IVA]]-Table1[[#This Row],[RET IVA]]-Table1[[#This Row],[RET ISR]]-Table1[[#This Row],[TOTAL]]</f>
        <v>0</v>
      </c>
      <c r="AK5597" s="306" t="str">
        <f>IF(ISNUMBER(Table1[[#This Row],[FECHA DE RECIBIDO]]), Table1[[#This Row],[FECHA DE RECIBIDO]]-DATE(2023,8,30), "")</f>
        <v/>
      </c>
    </row>
    <row r="5598" spans="1:37" ht="16.05" customHeight="1">
      <c r="A5598" s="172" t="s">
        <v>5003</v>
      </c>
      <c r="B5598" s="178">
        <v>1983</v>
      </c>
      <c r="C5598" s="179" t="s">
        <v>2600</v>
      </c>
      <c r="D5598">
        <v>3800</v>
      </c>
      <c r="E5598" s="125" t="s">
        <v>1577</v>
      </c>
      <c r="F5598" s="178">
        <v>612</v>
      </c>
      <c r="G5598" s="178" t="s">
        <v>129</v>
      </c>
      <c r="H5598">
        <v>68</v>
      </c>
      <c r="I5598" s="178" t="s">
        <v>1546</v>
      </c>
      <c r="J5598" s="320" t="s">
        <v>214</v>
      </c>
      <c r="K5598" s="178" t="s">
        <v>4872</v>
      </c>
      <c r="L5598" s="125" t="s">
        <v>110</v>
      </c>
      <c r="M5598">
        <v>91</v>
      </c>
      <c r="N5598" s="182">
        <v>28</v>
      </c>
      <c r="O5598">
        <v>3630</v>
      </c>
      <c r="P5598" s="132" t="s">
        <v>77</v>
      </c>
      <c r="Q5598" s="176">
        <v>18000</v>
      </c>
      <c r="R5598" s="176">
        <v>2880</v>
      </c>
      <c r="S5598" s="176"/>
      <c r="T5598" s="190">
        <v>1920</v>
      </c>
      <c r="U5598" s="191">
        <v>1800</v>
      </c>
      <c r="V5598" s="191">
        <v>17160</v>
      </c>
      <c r="W5598">
        <v>50</v>
      </c>
      <c r="X5598" s="186" t="s">
        <v>1434</v>
      </c>
      <c r="Y5598" s="187" t="s">
        <v>55</v>
      </c>
      <c r="Z5598" s="311">
        <v>275</v>
      </c>
      <c r="AB5598" t="str">
        <f>IF(Table1[[#This Row],[TIPO2]]="costo", VLOOKUP(Table1[[#This Row],[PARTIDA PRESUPUESTAL]],'Cost Report'!G:G,1,0),"Balance")</f>
        <v>2795-013</v>
      </c>
      <c r="AD5598" s="159">
        <f>+Table1[[#This Row],[SUBTOTAL]]+Table1[[#This Row],[IVA]]-Table1[[#This Row],[RET IVA]]-Table1[[#This Row],[RET ISR]]-Table1[[#This Row],[TOTAL]]</f>
        <v>0</v>
      </c>
      <c r="AK5598" s="306" t="str">
        <f>IF(ISNUMBER(Table1[[#This Row],[FECHA DE RECIBIDO]]), Table1[[#This Row],[FECHA DE RECIBIDO]]-DATE(2023,8,30), "")</f>
        <v/>
      </c>
    </row>
    <row r="5599" spans="1:37" ht="16.05" customHeight="1">
      <c r="A5599" s="172" t="s">
        <v>5004</v>
      </c>
      <c r="B5599" s="178">
        <v>1984</v>
      </c>
      <c r="C5599" s="179" t="s">
        <v>654</v>
      </c>
      <c r="D5599">
        <v>3801</v>
      </c>
      <c r="E5599" s="125" t="s">
        <v>1895</v>
      </c>
      <c r="F5599" s="178">
        <v>612</v>
      </c>
      <c r="G5599" s="178" t="s">
        <v>129</v>
      </c>
      <c r="H5599">
        <v>69</v>
      </c>
      <c r="I5599" s="178" t="s">
        <v>1546</v>
      </c>
      <c r="J5599" s="320" t="s">
        <v>214</v>
      </c>
      <c r="K5599" s="178" t="s">
        <v>4872</v>
      </c>
      <c r="L5599" s="125" t="s">
        <v>110</v>
      </c>
      <c r="M5599">
        <v>92</v>
      </c>
      <c r="N5599" s="182">
        <v>29</v>
      </c>
      <c r="O5599">
        <v>3631</v>
      </c>
      <c r="P5599" s="132" t="s">
        <v>77</v>
      </c>
      <c r="Q5599" s="176">
        <v>22500</v>
      </c>
      <c r="R5599" s="176">
        <v>3600</v>
      </c>
      <c r="S5599" s="176"/>
      <c r="T5599" s="190">
        <v>2400.0700000000002</v>
      </c>
      <c r="U5599" s="191">
        <v>2250</v>
      </c>
      <c r="V5599" s="191">
        <v>21449.93</v>
      </c>
      <c r="W5599">
        <v>51</v>
      </c>
      <c r="X5599" s="186" t="s">
        <v>1434</v>
      </c>
      <c r="Y5599" s="187" t="s">
        <v>55</v>
      </c>
      <c r="Z5599" s="311">
        <v>275</v>
      </c>
      <c r="AB5599" t="str">
        <f>IF(Table1[[#This Row],[TIPO2]]="costo", VLOOKUP(Table1[[#This Row],[PARTIDA PRESUPUESTAL]],'Cost Report'!G:G,1,0),"Balance")</f>
        <v>2701-004</v>
      </c>
      <c r="AD5599" s="159">
        <f>+Table1[[#This Row],[SUBTOTAL]]+Table1[[#This Row],[IVA]]-Table1[[#This Row],[RET IVA]]-Table1[[#This Row],[RET ISR]]-Table1[[#This Row],[TOTAL]]</f>
        <v>0</v>
      </c>
      <c r="AK5599" s="306" t="str">
        <f>IF(ISNUMBER(Table1[[#This Row],[FECHA DE RECIBIDO]]), Table1[[#This Row],[FECHA DE RECIBIDO]]-DATE(2023,8,30), "")</f>
        <v/>
      </c>
    </row>
    <row r="5600" spans="1:37" ht="16.05" customHeight="1">
      <c r="A5600" s="172" t="s">
        <v>5005</v>
      </c>
      <c r="B5600" s="178">
        <v>1985</v>
      </c>
      <c r="C5600" s="179" t="s">
        <v>2583</v>
      </c>
      <c r="D5600">
        <v>3802</v>
      </c>
      <c r="E5600" s="125" t="s">
        <v>1895</v>
      </c>
      <c r="F5600" s="178">
        <v>612</v>
      </c>
      <c r="G5600" s="178" t="s">
        <v>129</v>
      </c>
      <c r="H5600">
        <v>69</v>
      </c>
      <c r="I5600" s="178" t="s">
        <v>1546</v>
      </c>
      <c r="J5600" s="320" t="s">
        <v>214</v>
      </c>
      <c r="K5600" s="178" t="s">
        <v>4872</v>
      </c>
      <c r="L5600" s="125" t="s">
        <v>110</v>
      </c>
      <c r="M5600">
        <v>92</v>
      </c>
      <c r="N5600" s="182">
        <v>29</v>
      </c>
      <c r="O5600">
        <v>3632</v>
      </c>
      <c r="P5600" s="132" t="s">
        <v>77</v>
      </c>
      <c r="Q5600" s="176">
        <v>22500</v>
      </c>
      <c r="R5600" s="176">
        <v>3600</v>
      </c>
      <c r="S5600" s="176"/>
      <c r="T5600" s="190">
        <v>2400.0700000000002</v>
      </c>
      <c r="U5600" s="191">
        <v>2250</v>
      </c>
      <c r="V5600" s="191">
        <v>21449.93</v>
      </c>
      <c r="W5600">
        <v>51</v>
      </c>
      <c r="X5600" s="186" t="s">
        <v>1434</v>
      </c>
      <c r="Y5600" s="187" t="s">
        <v>55</v>
      </c>
      <c r="Z5600" s="311">
        <v>275</v>
      </c>
      <c r="AB5600" t="str">
        <f>IF(Table1[[#This Row],[TIPO2]]="costo", VLOOKUP(Table1[[#This Row],[PARTIDA PRESUPUESTAL]],'Cost Report'!G:G,1,0),"Balance")</f>
        <v>2701-005</v>
      </c>
      <c r="AD5600" s="159">
        <f>+Table1[[#This Row],[SUBTOTAL]]+Table1[[#This Row],[IVA]]-Table1[[#This Row],[RET IVA]]-Table1[[#This Row],[RET ISR]]-Table1[[#This Row],[TOTAL]]</f>
        <v>0</v>
      </c>
      <c r="AK5600" s="306" t="str">
        <f>IF(ISNUMBER(Table1[[#This Row],[FECHA DE RECIBIDO]]), Table1[[#This Row],[FECHA DE RECIBIDO]]-DATE(2023,8,30), "")</f>
        <v/>
      </c>
    </row>
    <row r="5601" spans="1:37" ht="16.05" customHeight="1">
      <c r="A5601" s="172" t="s">
        <v>5006</v>
      </c>
      <c r="B5601" s="178">
        <v>1986</v>
      </c>
      <c r="C5601" s="179" t="s">
        <v>663</v>
      </c>
      <c r="D5601">
        <v>3803</v>
      </c>
      <c r="E5601" s="125" t="s">
        <v>3214</v>
      </c>
      <c r="F5601" s="178">
        <v>612</v>
      </c>
      <c r="G5601" s="178" t="s">
        <v>129</v>
      </c>
      <c r="H5601">
        <v>204</v>
      </c>
      <c r="I5601" s="178" t="s">
        <v>1546</v>
      </c>
      <c r="J5601" s="320" t="s">
        <v>214</v>
      </c>
      <c r="K5601" s="178" t="s">
        <v>4872</v>
      </c>
      <c r="L5601" s="125" t="s">
        <v>110</v>
      </c>
      <c r="M5601">
        <v>269</v>
      </c>
      <c r="N5601" s="182">
        <v>69</v>
      </c>
      <c r="O5601">
        <v>3633</v>
      </c>
      <c r="P5601" s="132" t="s">
        <v>77</v>
      </c>
      <c r="Q5601" s="176">
        <v>15000</v>
      </c>
      <c r="R5601" s="176">
        <v>2400</v>
      </c>
      <c r="S5601" s="176"/>
      <c r="T5601" s="190">
        <v>1600</v>
      </c>
      <c r="U5601" s="191">
        <v>1500</v>
      </c>
      <c r="V5601" s="191">
        <v>14300</v>
      </c>
      <c r="W5601">
        <v>125</v>
      </c>
      <c r="X5601" s="186" t="s">
        <v>1434</v>
      </c>
      <c r="Y5601" s="187" t="s">
        <v>55</v>
      </c>
      <c r="Z5601" s="311">
        <v>275</v>
      </c>
      <c r="AB5601" t="str">
        <f>IF(Table1[[#This Row],[TIPO2]]="costo", VLOOKUP(Table1[[#This Row],[PARTIDA PRESUPUESTAL]],'Cost Report'!G:G,1,0),"Balance")</f>
        <v>2707-005</v>
      </c>
      <c r="AD5601" s="159">
        <f>+Table1[[#This Row],[SUBTOTAL]]+Table1[[#This Row],[IVA]]-Table1[[#This Row],[RET IVA]]-Table1[[#This Row],[RET ISR]]-Table1[[#This Row],[TOTAL]]</f>
        <v>0</v>
      </c>
      <c r="AK5601" s="306" t="str">
        <f>IF(ISNUMBER(Table1[[#This Row],[FECHA DE RECIBIDO]]), Table1[[#This Row],[FECHA DE RECIBIDO]]-DATE(2023,8,30), "")</f>
        <v/>
      </c>
    </row>
    <row r="5602" spans="1:37" ht="16.05" customHeight="1">
      <c r="A5602" s="172" t="s">
        <v>5007</v>
      </c>
      <c r="B5602" s="178">
        <v>1987</v>
      </c>
      <c r="C5602" s="179" t="s">
        <v>1527</v>
      </c>
      <c r="D5602">
        <v>3804</v>
      </c>
      <c r="E5602" s="125" t="s">
        <v>2012</v>
      </c>
      <c r="F5602" s="178">
        <v>612</v>
      </c>
      <c r="G5602" s="178" t="s">
        <v>129</v>
      </c>
      <c r="H5602">
        <v>205</v>
      </c>
      <c r="I5602" s="178" t="s">
        <v>1546</v>
      </c>
      <c r="J5602" s="320" t="s">
        <v>214</v>
      </c>
      <c r="K5602" s="178" t="s">
        <v>4872</v>
      </c>
      <c r="L5602" s="125" t="s">
        <v>110</v>
      </c>
      <c r="M5602">
        <v>270</v>
      </c>
      <c r="N5602" s="182">
        <v>70</v>
      </c>
      <c r="O5602">
        <v>3634</v>
      </c>
      <c r="P5602" s="132" t="s">
        <v>77</v>
      </c>
      <c r="Q5602" s="176">
        <v>16000</v>
      </c>
      <c r="R5602" s="176">
        <v>2560</v>
      </c>
      <c r="S5602" s="176"/>
      <c r="T5602" s="190">
        <v>1706.68</v>
      </c>
      <c r="U5602" s="191">
        <v>1600</v>
      </c>
      <c r="V5602" s="191">
        <v>15253.32</v>
      </c>
      <c r="W5602">
        <v>126</v>
      </c>
      <c r="X5602" s="186" t="s">
        <v>1434</v>
      </c>
      <c r="Y5602" s="187" t="s">
        <v>55</v>
      </c>
      <c r="Z5602" s="311">
        <v>275</v>
      </c>
      <c r="AB5602" t="str">
        <f>IF(Table1[[#This Row],[TIPO2]]="costo", VLOOKUP(Table1[[#This Row],[PARTIDA PRESUPUESTAL]],'Cost Report'!G:G,1,0),"Balance")</f>
        <v>2706-005</v>
      </c>
      <c r="AD5602" s="159">
        <f>+Table1[[#This Row],[SUBTOTAL]]+Table1[[#This Row],[IVA]]-Table1[[#This Row],[RET IVA]]-Table1[[#This Row],[RET ISR]]-Table1[[#This Row],[TOTAL]]</f>
        <v>0</v>
      </c>
      <c r="AK5602" s="306" t="str">
        <f>IF(ISNUMBER(Table1[[#This Row],[FECHA DE RECIBIDO]]), Table1[[#This Row],[FECHA DE RECIBIDO]]-DATE(2023,8,30), "")</f>
        <v/>
      </c>
    </row>
    <row r="5603" spans="1:37" ht="16.05" customHeight="1">
      <c r="A5603" s="172" t="s">
        <v>5008</v>
      </c>
      <c r="B5603" s="178">
        <v>1988</v>
      </c>
      <c r="C5603" s="179" t="s">
        <v>2594</v>
      </c>
      <c r="D5603">
        <v>3805</v>
      </c>
      <c r="E5603" s="125" t="s">
        <v>3961</v>
      </c>
      <c r="F5603" s="178">
        <v>621</v>
      </c>
      <c r="G5603" s="178" t="s">
        <v>1617</v>
      </c>
      <c r="H5603">
        <v>514</v>
      </c>
      <c r="I5603" s="178" t="s">
        <v>1546</v>
      </c>
      <c r="J5603" s="320" t="s">
        <v>214</v>
      </c>
      <c r="K5603" s="178" t="s">
        <v>4872</v>
      </c>
      <c r="L5603" s="125" t="s">
        <v>110</v>
      </c>
      <c r="M5603">
        <v>738</v>
      </c>
      <c r="N5603" s="182">
        <v>144</v>
      </c>
      <c r="O5603">
        <v>3635</v>
      </c>
      <c r="P5603" s="132" t="s">
        <v>77</v>
      </c>
      <c r="Q5603" s="176">
        <v>21000</v>
      </c>
      <c r="R5603" s="176">
        <v>3360</v>
      </c>
      <c r="S5603" s="176"/>
      <c r="T5603" s="190">
        <v>2240</v>
      </c>
      <c r="U5603" s="191">
        <v>0</v>
      </c>
      <c r="V5603" s="191">
        <v>22120</v>
      </c>
      <c r="W5603">
        <v>286</v>
      </c>
      <c r="X5603" s="186" t="s">
        <v>1431</v>
      </c>
      <c r="Y5603" s="187" t="s">
        <v>55</v>
      </c>
      <c r="Z5603" s="311">
        <v>275</v>
      </c>
      <c r="AB5603" t="str">
        <f>IF(Table1[[#This Row],[TIPO2]]="costo", VLOOKUP(Table1[[#This Row],[PARTIDA PRESUPUESTAL]],'Cost Report'!G:G,1,0),"Balance")</f>
        <v>2707-025</v>
      </c>
      <c r="AD5603" s="159">
        <f>+Table1[[#This Row],[SUBTOTAL]]+Table1[[#This Row],[IVA]]-Table1[[#This Row],[RET IVA]]-Table1[[#This Row],[RET ISR]]-Table1[[#This Row],[TOTAL]]</f>
        <v>0</v>
      </c>
      <c r="AK5603" s="306" t="str">
        <f>IF(ISNUMBER(Table1[[#This Row],[FECHA DE RECIBIDO]]), Table1[[#This Row],[FECHA DE RECIBIDO]]-DATE(2023,8,30), "")</f>
        <v/>
      </c>
    </row>
    <row r="5604" spans="1:37" ht="16.05" customHeight="1">
      <c r="A5604" s="172" t="s">
        <v>5009</v>
      </c>
      <c r="B5604" s="178">
        <v>1989</v>
      </c>
      <c r="C5604" s="179" t="s">
        <v>2594</v>
      </c>
      <c r="D5604">
        <v>3806</v>
      </c>
      <c r="E5604" s="125" t="s">
        <v>3961</v>
      </c>
      <c r="F5604" s="178">
        <v>621</v>
      </c>
      <c r="G5604" s="178" t="s">
        <v>1617</v>
      </c>
      <c r="H5604">
        <v>514</v>
      </c>
      <c r="I5604" s="178" t="s">
        <v>1546</v>
      </c>
      <c r="J5604" s="320" t="s">
        <v>214</v>
      </c>
      <c r="K5604" s="178" t="s">
        <v>4872</v>
      </c>
      <c r="L5604" s="125" t="s">
        <v>110</v>
      </c>
      <c r="M5604">
        <v>738</v>
      </c>
      <c r="N5604" s="182">
        <v>144</v>
      </c>
      <c r="O5604">
        <v>3636</v>
      </c>
      <c r="P5604" s="132" t="s">
        <v>77</v>
      </c>
      <c r="Q5604" s="176">
        <v>9000</v>
      </c>
      <c r="R5604" s="176">
        <v>1440</v>
      </c>
      <c r="S5604" s="176"/>
      <c r="T5604" s="190">
        <v>960</v>
      </c>
      <c r="U5604" s="191">
        <v>0</v>
      </c>
      <c r="V5604" s="191">
        <v>9480</v>
      </c>
      <c r="W5604">
        <v>286</v>
      </c>
      <c r="X5604" s="186" t="s">
        <v>1431</v>
      </c>
      <c r="Y5604" s="187" t="s">
        <v>55</v>
      </c>
      <c r="Z5604" s="311">
        <v>275</v>
      </c>
      <c r="AB5604" t="str">
        <f>IF(Table1[[#This Row],[TIPO2]]="costo", VLOOKUP(Table1[[#This Row],[PARTIDA PRESUPUESTAL]],'Cost Report'!G:G,1,0),"Balance")</f>
        <v>2707-025</v>
      </c>
      <c r="AD5604" s="159">
        <f>+Table1[[#This Row],[SUBTOTAL]]+Table1[[#This Row],[IVA]]-Table1[[#This Row],[RET IVA]]-Table1[[#This Row],[RET ISR]]-Table1[[#This Row],[TOTAL]]</f>
        <v>0</v>
      </c>
      <c r="AK5604" s="306" t="str">
        <f>IF(ISNUMBER(Table1[[#This Row],[FECHA DE RECIBIDO]]), Table1[[#This Row],[FECHA DE RECIBIDO]]-DATE(2023,8,30), "")</f>
        <v/>
      </c>
    </row>
    <row r="5605" spans="1:37" ht="16.05" customHeight="1">
      <c r="A5605" s="172" t="s">
        <v>5010</v>
      </c>
      <c r="B5605" s="178">
        <v>1990</v>
      </c>
      <c r="C5605" s="179" t="s">
        <v>2594</v>
      </c>
      <c r="D5605">
        <v>3807</v>
      </c>
      <c r="E5605" s="125" t="s">
        <v>3961</v>
      </c>
      <c r="F5605" s="178">
        <v>621</v>
      </c>
      <c r="G5605" s="178" t="s">
        <v>1617</v>
      </c>
      <c r="H5605">
        <v>514</v>
      </c>
      <c r="I5605" s="178" t="s">
        <v>1546</v>
      </c>
      <c r="J5605" s="320" t="s">
        <v>214</v>
      </c>
      <c r="K5605" s="178" t="s">
        <v>4872</v>
      </c>
      <c r="L5605" s="125" t="s">
        <v>110</v>
      </c>
      <c r="M5605">
        <v>738</v>
      </c>
      <c r="N5605" s="182">
        <v>144</v>
      </c>
      <c r="O5605">
        <v>3637</v>
      </c>
      <c r="P5605" s="132" t="s">
        <v>77</v>
      </c>
      <c r="Q5605" s="176">
        <v>9000</v>
      </c>
      <c r="R5605" s="176">
        <v>1440</v>
      </c>
      <c r="S5605" s="176"/>
      <c r="T5605" s="190">
        <v>960</v>
      </c>
      <c r="U5605" s="191">
        <v>0</v>
      </c>
      <c r="V5605" s="191">
        <v>9480</v>
      </c>
      <c r="W5605">
        <v>286</v>
      </c>
      <c r="X5605" s="186" t="s">
        <v>1431</v>
      </c>
      <c r="Y5605" s="187" t="s">
        <v>55</v>
      </c>
      <c r="Z5605" s="311">
        <v>275</v>
      </c>
      <c r="AB5605" t="str">
        <f>IF(Table1[[#This Row],[TIPO2]]="costo", VLOOKUP(Table1[[#This Row],[PARTIDA PRESUPUESTAL]],'Cost Report'!G:G,1,0),"Balance")</f>
        <v>2707-025</v>
      </c>
      <c r="AD5605" s="159">
        <f>+Table1[[#This Row],[SUBTOTAL]]+Table1[[#This Row],[IVA]]-Table1[[#This Row],[RET IVA]]-Table1[[#This Row],[RET ISR]]-Table1[[#This Row],[TOTAL]]</f>
        <v>0</v>
      </c>
      <c r="AK5605" s="306" t="str">
        <f>IF(ISNUMBER(Table1[[#This Row],[FECHA DE RECIBIDO]]), Table1[[#This Row],[FECHA DE RECIBIDO]]-DATE(2023,8,30), "")</f>
        <v/>
      </c>
    </row>
    <row r="5606" spans="1:37" ht="16.05" customHeight="1">
      <c r="A5606" s="172" t="s">
        <v>5011</v>
      </c>
      <c r="B5606" s="178">
        <v>1991</v>
      </c>
      <c r="C5606" s="179" t="s">
        <v>2594</v>
      </c>
      <c r="D5606">
        <v>3808</v>
      </c>
      <c r="E5606" s="125" t="s">
        <v>1613</v>
      </c>
      <c r="F5606" s="178">
        <v>626</v>
      </c>
      <c r="G5606" s="178" t="s">
        <v>109</v>
      </c>
      <c r="H5606">
        <v>515</v>
      </c>
      <c r="I5606" s="178" t="s">
        <v>1546</v>
      </c>
      <c r="J5606" s="320" t="s">
        <v>214</v>
      </c>
      <c r="K5606" s="178" t="s">
        <v>4872</v>
      </c>
      <c r="L5606" s="125" t="s">
        <v>110</v>
      </c>
      <c r="M5606">
        <v>739</v>
      </c>
      <c r="N5606" s="182">
        <v>145</v>
      </c>
      <c r="O5606">
        <v>3638</v>
      </c>
      <c r="P5606" s="132" t="s">
        <v>77</v>
      </c>
      <c r="Q5606" s="176">
        <v>3000</v>
      </c>
      <c r="R5606" s="176">
        <v>480</v>
      </c>
      <c r="S5606" s="176"/>
      <c r="T5606" s="190">
        <v>320</v>
      </c>
      <c r="U5606" s="191">
        <v>37.5</v>
      </c>
      <c r="V5606" s="191">
        <v>3122.5</v>
      </c>
      <c r="W5606">
        <v>287</v>
      </c>
      <c r="X5606" s="186" t="s">
        <v>1429</v>
      </c>
      <c r="Y5606" s="187" t="s">
        <v>55</v>
      </c>
      <c r="Z5606" s="311">
        <v>275</v>
      </c>
      <c r="AB5606" t="str">
        <f>IF(Table1[[#This Row],[TIPO2]]="costo", VLOOKUP(Table1[[#This Row],[PARTIDA PRESUPUESTAL]],'Cost Report'!G:G,1,0),"Balance")</f>
        <v>2707-025</v>
      </c>
      <c r="AD5606" s="159">
        <f>+Table1[[#This Row],[SUBTOTAL]]+Table1[[#This Row],[IVA]]-Table1[[#This Row],[RET IVA]]-Table1[[#This Row],[RET ISR]]-Table1[[#This Row],[TOTAL]]</f>
        <v>0</v>
      </c>
      <c r="AK5606" s="306" t="str">
        <f>IF(ISNUMBER(Table1[[#This Row],[FECHA DE RECIBIDO]]), Table1[[#This Row],[FECHA DE RECIBIDO]]-DATE(2023,8,30), "")</f>
        <v/>
      </c>
    </row>
    <row r="5607" spans="1:37" ht="16.05" customHeight="1">
      <c r="A5607" s="172" t="s">
        <v>5012</v>
      </c>
      <c r="B5607" s="178">
        <v>1992</v>
      </c>
      <c r="C5607" s="179" t="s">
        <v>2594</v>
      </c>
      <c r="D5607">
        <v>3809</v>
      </c>
      <c r="E5607" s="125" t="s">
        <v>3966</v>
      </c>
      <c r="F5607" s="178">
        <v>626</v>
      </c>
      <c r="G5607" s="178" t="s">
        <v>109</v>
      </c>
      <c r="H5607">
        <v>516</v>
      </c>
      <c r="I5607" s="178" t="s">
        <v>1546</v>
      </c>
      <c r="J5607" s="320" t="s">
        <v>214</v>
      </c>
      <c r="K5607" s="178" t="s">
        <v>4872</v>
      </c>
      <c r="L5607" s="125" t="s">
        <v>110</v>
      </c>
      <c r="M5607">
        <v>740</v>
      </c>
      <c r="N5607" s="182">
        <v>146</v>
      </c>
      <c r="O5607">
        <v>3639</v>
      </c>
      <c r="P5607" s="132" t="s">
        <v>77</v>
      </c>
      <c r="Q5607" s="176">
        <v>4500</v>
      </c>
      <c r="R5607" s="176">
        <v>720</v>
      </c>
      <c r="S5607" s="176"/>
      <c r="T5607" s="190">
        <v>480</v>
      </c>
      <c r="U5607" s="191">
        <v>56.25</v>
      </c>
      <c r="V5607" s="191">
        <v>4683.75</v>
      </c>
      <c r="W5607">
        <v>288</v>
      </c>
      <c r="X5607" s="186" t="s">
        <v>1429</v>
      </c>
      <c r="Y5607" s="187" t="s">
        <v>55</v>
      </c>
      <c r="Z5607" s="311">
        <v>275</v>
      </c>
      <c r="AB5607" t="str">
        <f>IF(Table1[[#This Row],[TIPO2]]="costo", VLOOKUP(Table1[[#This Row],[PARTIDA PRESUPUESTAL]],'Cost Report'!G:G,1,0),"Balance")</f>
        <v>2707-025</v>
      </c>
      <c r="AD5607" s="159">
        <f>+Table1[[#This Row],[SUBTOTAL]]+Table1[[#This Row],[IVA]]-Table1[[#This Row],[RET IVA]]-Table1[[#This Row],[RET ISR]]-Table1[[#This Row],[TOTAL]]</f>
        <v>0</v>
      </c>
      <c r="AK5607" s="306" t="str">
        <f>IF(ISNUMBER(Table1[[#This Row],[FECHA DE RECIBIDO]]), Table1[[#This Row],[FECHA DE RECIBIDO]]-DATE(2023,8,30), "")</f>
        <v/>
      </c>
    </row>
    <row r="5608" spans="1:37" ht="16.05" customHeight="1">
      <c r="A5608" s="172" t="s">
        <v>5013</v>
      </c>
      <c r="B5608" s="178">
        <v>1993</v>
      </c>
      <c r="C5608" s="179" t="s">
        <v>2594</v>
      </c>
      <c r="D5608">
        <v>3810</v>
      </c>
      <c r="E5608" s="125" t="s">
        <v>4421</v>
      </c>
      <c r="F5608" s="178">
        <v>626</v>
      </c>
      <c r="G5608" s="178" t="s">
        <v>109</v>
      </c>
      <c r="H5608">
        <v>767</v>
      </c>
      <c r="I5608" s="178" t="s">
        <v>1546</v>
      </c>
      <c r="J5608" s="320" t="s">
        <v>214</v>
      </c>
      <c r="K5608" s="178" t="s">
        <v>4872</v>
      </c>
      <c r="L5608" s="125" t="s">
        <v>110</v>
      </c>
      <c r="M5608">
        <v>1070</v>
      </c>
      <c r="N5608" s="182">
        <v>179</v>
      </c>
      <c r="O5608">
        <v>3640</v>
      </c>
      <c r="P5608" s="132" t="s">
        <v>77</v>
      </c>
      <c r="Q5608" s="176">
        <v>4500</v>
      </c>
      <c r="R5608" s="176">
        <v>720</v>
      </c>
      <c r="S5608" s="176"/>
      <c r="T5608" s="190">
        <v>480</v>
      </c>
      <c r="U5608" s="191">
        <v>56.25</v>
      </c>
      <c r="V5608" s="191">
        <v>4683.75</v>
      </c>
      <c r="W5608">
        <v>366</v>
      </c>
      <c r="X5608" s="186" t="s">
        <v>1434</v>
      </c>
      <c r="Y5608" s="187" t="s">
        <v>55</v>
      </c>
      <c r="Z5608" s="311">
        <v>275</v>
      </c>
      <c r="AB5608" t="str">
        <f>IF(Table1[[#This Row],[TIPO2]]="costo", VLOOKUP(Table1[[#This Row],[PARTIDA PRESUPUESTAL]],'Cost Report'!G:G,1,0),"Balance")</f>
        <v>2707-025</v>
      </c>
      <c r="AD5608" s="159">
        <f>+Table1[[#This Row],[SUBTOTAL]]+Table1[[#This Row],[IVA]]-Table1[[#This Row],[RET IVA]]-Table1[[#This Row],[RET ISR]]-Table1[[#This Row],[TOTAL]]</f>
        <v>0</v>
      </c>
      <c r="AK5608" s="306" t="str">
        <f>IF(ISNUMBER(Table1[[#This Row],[FECHA DE RECIBIDO]]), Table1[[#This Row],[FECHA DE RECIBIDO]]-DATE(2023,8,30), "")</f>
        <v/>
      </c>
    </row>
    <row r="5609" spans="1:37" ht="16.05" customHeight="1">
      <c r="A5609" s="172" t="s">
        <v>5014</v>
      </c>
      <c r="B5609" s="178">
        <v>1994</v>
      </c>
      <c r="C5609" s="179" t="s">
        <v>2594</v>
      </c>
      <c r="D5609">
        <v>3811</v>
      </c>
      <c r="E5609" s="125" t="s">
        <v>4423</v>
      </c>
      <c r="F5609" s="178">
        <v>626</v>
      </c>
      <c r="G5609" s="178" t="s">
        <v>109</v>
      </c>
      <c r="H5609">
        <v>768</v>
      </c>
      <c r="I5609" s="178" t="s">
        <v>1546</v>
      </c>
      <c r="J5609" s="320" t="s">
        <v>214</v>
      </c>
      <c r="K5609" s="178" t="s">
        <v>4872</v>
      </c>
      <c r="L5609" s="125" t="s">
        <v>110</v>
      </c>
      <c r="M5609">
        <v>1071</v>
      </c>
      <c r="N5609" s="182">
        <v>180</v>
      </c>
      <c r="O5609">
        <v>3641</v>
      </c>
      <c r="P5609" s="132" t="s">
        <v>77</v>
      </c>
      <c r="Q5609" s="176">
        <v>4500</v>
      </c>
      <c r="R5609" s="176">
        <v>720</v>
      </c>
      <c r="S5609" s="176"/>
      <c r="T5609" s="190">
        <v>480</v>
      </c>
      <c r="U5609" s="191">
        <v>56.25</v>
      </c>
      <c r="V5609" s="191">
        <v>4683.75</v>
      </c>
      <c r="W5609">
        <v>367</v>
      </c>
      <c r="X5609" s="186" t="s">
        <v>1431</v>
      </c>
      <c r="Y5609" s="187" t="s">
        <v>55</v>
      </c>
      <c r="Z5609" s="311">
        <v>275</v>
      </c>
      <c r="AB5609" t="str">
        <f>IF(Table1[[#This Row],[TIPO2]]="costo", VLOOKUP(Table1[[#This Row],[PARTIDA PRESUPUESTAL]],'Cost Report'!G:G,1,0),"Balance")</f>
        <v>2707-025</v>
      </c>
      <c r="AD5609" s="159">
        <f>+Table1[[#This Row],[SUBTOTAL]]+Table1[[#This Row],[IVA]]-Table1[[#This Row],[RET IVA]]-Table1[[#This Row],[RET ISR]]-Table1[[#This Row],[TOTAL]]</f>
        <v>0</v>
      </c>
      <c r="AK5609" s="306" t="str">
        <f>IF(ISNUMBER(Table1[[#This Row],[FECHA DE RECIBIDO]]), Table1[[#This Row],[FECHA DE RECIBIDO]]-DATE(2023,8,30), "")</f>
        <v/>
      </c>
    </row>
    <row r="5610" spans="1:37" ht="16.05" customHeight="1">
      <c r="A5610" s="172" t="s">
        <v>5015</v>
      </c>
      <c r="B5610" s="178">
        <v>1995</v>
      </c>
      <c r="C5610" s="179" t="s">
        <v>3011</v>
      </c>
      <c r="D5610">
        <v>3812</v>
      </c>
      <c r="E5610" s="125" t="s">
        <v>2018</v>
      </c>
      <c r="F5610" s="178">
        <v>626</v>
      </c>
      <c r="G5610" s="178" t="s">
        <v>109</v>
      </c>
      <c r="H5610">
        <v>116</v>
      </c>
      <c r="I5610" s="178" t="s">
        <v>1546</v>
      </c>
      <c r="J5610" s="320" t="s">
        <v>214</v>
      </c>
      <c r="K5610" s="178" t="s">
        <v>4872</v>
      </c>
      <c r="L5610" s="125" t="s">
        <v>110</v>
      </c>
      <c r="M5610">
        <v>154</v>
      </c>
      <c r="N5610" s="182">
        <v>46</v>
      </c>
      <c r="O5610">
        <v>3642</v>
      </c>
      <c r="P5610" s="132" t="s">
        <v>77</v>
      </c>
      <c r="Q5610" s="176">
        <v>44000</v>
      </c>
      <c r="R5610" s="176">
        <v>7040</v>
      </c>
      <c r="S5610" s="176"/>
      <c r="T5610" s="190">
        <v>4693.34</v>
      </c>
      <c r="U5610" s="191">
        <v>550</v>
      </c>
      <c r="V5610" s="191">
        <v>45796.66</v>
      </c>
      <c r="W5610">
        <v>78</v>
      </c>
      <c r="X5610" s="186" t="s">
        <v>1430</v>
      </c>
      <c r="Y5610" s="187" t="s">
        <v>55</v>
      </c>
      <c r="Z5610" s="311">
        <v>275</v>
      </c>
      <c r="AB5610" t="str">
        <f>IF(Table1[[#This Row],[TIPO2]]="costo", VLOOKUP(Table1[[#This Row],[PARTIDA PRESUPUESTAL]],'Cost Report'!G:G,1,0),"Balance")</f>
        <v>5009-005</v>
      </c>
      <c r="AD5610" s="159">
        <f>+Table1[[#This Row],[SUBTOTAL]]+Table1[[#This Row],[IVA]]-Table1[[#This Row],[RET IVA]]-Table1[[#This Row],[RET ISR]]-Table1[[#This Row],[TOTAL]]</f>
        <v>0</v>
      </c>
      <c r="AK5610" s="306" t="str">
        <f>IF(ISNUMBER(Table1[[#This Row],[FECHA DE RECIBIDO]]), Table1[[#This Row],[FECHA DE RECIBIDO]]-DATE(2023,8,30), "")</f>
        <v/>
      </c>
    </row>
    <row r="5611" spans="1:37" ht="16.05" customHeight="1">
      <c r="A5611" s="172" t="s">
        <v>5016</v>
      </c>
      <c r="B5611" s="178">
        <v>1996</v>
      </c>
      <c r="C5611" s="179" t="s">
        <v>3012</v>
      </c>
      <c r="D5611">
        <v>3813</v>
      </c>
      <c r="E5611" s="125" t="s">
        <v>3220</v>
      </c>
      <c r="F5611" s="178">
        <v>612</v>
      </c>
      <c r="G5611" s="178" t="s">
        <v>129</v>
      </c>
      <c r="H5611">
        <v>207</v>
      </c>
      <c r="I5611" s="178" t="s">
        <v>1546</v>
      </c>
      <c r="J5611" s="320" t="s">
        <v>214</v>
      </c>
      <c r="K5611" s="178" t="s">
        <v>4872</v>
      </c>
      <c r="L5611" s="125" t="s">
        <v>110</v>
      </c>
      <c r="M5611">
        <v>272</v>
      </c>
      <c r="N5611" s="182">
        <v>72</v>
      </c>
      <c r="O5611">
        <v>3643</v>
      </c>
      <c r="P5611" s="132" t="s">
        <v>77</v>
      </c>
      <c r="Q5611" s="176">
        <v>11000</v>
      </c>
      <c r="R5611" s="176">
        <v>1760</v>
      </c>
      <c r="S5611" s="176"/>
      <c r="T5611" s="190">
        <v>1173.3399999999999</v>
      </c>
      <c r="U5611" s="191">
        <v>1100</v>
      </c>
      <c r="V5611" s="191">
        <v>10486.66</v>
      </c>
      <c r="W5611">
        <v>128</v>
      </c>
      <c r="X5611" s="186" t="s">
        <v>1431</v>
      </c>
      <c r="Y5611" s="187" t="s">
        <v>55</v>
      </c>
      <c r="Z5611" s="311">
        <v>275</v>
      </c>
      <c r="AB5611" t="str">
        <f>IF(Table1[[#This Row],[TIPO2]]="costo", VLOOKUP(Table1[[#This Row],[PARTIDA PRESUPUESTAL]],'Cost Report'!G:G,1,0),"Balance")</f>
        <v>5010-005</v>
      </c>
      <c r="AD5611" s="159">
        <f>+Table1[[#This Row],[SUBTOTAL]]+Table1[[#This Row],[IVA]]-Table1[[#This Row],[RET IVA]]-Table1[[#This Row],[RET ISR]]-Table1[[#This Row],[TOTAL]]</f>
        <v>0</v>
      </c>
      <c r="AK5611" s="306" t="str">
        <f>IF(ISNUMBER(Table1[[#This Row],[FECHA DE RECIBIDO]]), Table1[[#This Row],[FECHA DE RECIBIDO]]-DATE(2023,8,30), "")</f>
        <v/>
      </c>
    </row>
    <row r="5612" spans="1:37" ht="16.05" customHeight="1">
      <c r="A5612" s="172" t="s">
        <v>5017</v>
      </c>
      <c r="B5612" s="178">
        <v>1997</v>
      </c>
      <c r="C5612" s="179" t="s">
        <v>3012</v>
      </c>
      <c r="D5612">
        <v>3814</v>
      </c>
      <c r="E5612" s="125" t="s">
        <v>3220</v>
      </c>
      <c r="F5612" s="178">
        <v>612</v>
      </c>
      <c r="G5612" s="178" t="s">
        <v>129</v>
      </c>
      <c r="H5612">
        <v>207</v>
      </c>
      <c r="I5612" s="178" t="s">
        <v>1546</v>
      </c>
      <c r="J5612" s="320" t="s">
        <v>214</v>
      </c>
      <c r="K5612" s="178" t="s">
        <v>4872</v>
      </c>
      <c r="L5612" s="125" t="s">
        <v>110</v>
      </c>
      <c r="M5612">
        <v>272</v>
      </c>
      <c r="N5612" s="182">
        <v>72</v>
      </c>
      <c r="O5612">
        <v>3644</v>
      </c>
      <c r="P5612" s="132" t="s">
        <v>77</v>
      </c>
      <c r="Q5612" s="176">
        <v>11000</v>
      </c>
      <c r="R5612" s="176">
        <v>1760</v>
      </c>
      <c r="S5612" s="176"/>
      <c r="T5612" s="190">
        <v>1173.3399999999999</v>
      </c>
      <c r="U5612" s="191">
        <v>1100</v>
      </c>
      <c r="V5612" s="191">
        <v>10486.66</v>
      </c>
      <c r="W5612">
        <v>128</v>
      </c>
      <c r="X5612" s="186" t="s">
        <v>1431</v>
      </c>
      <c r="Y5612" s="187" t="s">
        <v>55</v>
      </c>
      <c r="Z5612" s="311">
        <v>275</v>
      </c>
      <c r="AB5612" t="str">
        <f>IF(Table1[[#This Row],[TIPO2]]="costo", VLOOKUP(Table1[[#This Row],[PARTIDA PRESUPUESTAL]],'Cost Report'!G:G,1,0),"Balance")</f>
        <v>5010-005</v>
      </c>
      <c r="AD5612" s="159">
        <f>+Table1[[#This Row],[SUBTOTAL]]+Table1[[#This Row],[IVA]]-Table1[[#This Row],[RET IVA]]-Table1[[#This Row],[RET ISR]]-Table1[[#This Row],[TOTAL]]</f>
        <v>0</v>
      </c>
      <c r="AK5612" s="306" t="str">
        <f>IF(ISNUMBER(Table1[[#This Row],[FECHA DE RECIBIDO]]), Table1[[#This Row],[FECHA DE RECIBIDO]]-DATE(2023,8,30), "")</f>
        <v/>
      </c>
    </row>
    <row r="5613" spans="1:37" ht="16.05" customHeight="1">
      <c r="A5613" s="172" t="s">
        <v>5018</v>
      </c>
      <c r="B5613" s="178">
        <v>1998</v>
      </c>
      <c r="C5613" s="179" t="s">
        <v>3417</v>
      </c>
      <c r="D5613">
        <v>3815</v>
      </c>
      <c r="E5613" s="125" t="s">
        <v>1985</v>
      </c>
      <c r="F5613" s="178">
        <v>626</v>
      </c>
      <c r="G5613" s="178" t="s">
        <v>109</v>
      </c>
      <c r="H5613">
        <v>927</v>
      </c>
      <c r="I5613" s="178" t="s">
        <v>1546</v>
      </c>
      <c r="J5613" s="320" t="s">
        <v>214</v>
      </c>
      <c r="K5613" s="178" t="s">
        <v>4872</v>
      </c>
      <c r="L5613" s="125" t="s">
        <v>110</v>
      </c>
      <c r="M5613">
        <v>1289</v>
      </c>
      <c r="N5613" s="182">
        <v>232</v>
      </c>
      <c r="O5613">
        <v>3645</v>
      </c>
      <c r="P5613" s="132" t="s">
        <v>77</v>
      </c>
      <c r="Q5613" s="176">
        <v>4000</v>
      </c>
      <c r="R5613" s="176">
        <v>640</v>
      </c>
      <c r="S5613" s="176"/>
      <c r="T5613" s="190">
        <v>426.67</v>
      </c>
      <c r="U5613" s="191">
        <v>50</v>
      </c>
      <c r="V5613" s="191">
        <v>4163.33</v>
      </c>
      <c r="W5613">
        <v>459</v>
      </c>
      <c r="X5613" s="186" t="s">
        <v>1430</v>
      </c>
      <c r="Y5613" s="187" t="s">
        <v>55</v>
      </c>
      <c r="Z5613" s="311">
        <v>275</v>
      </c>
      <c r="AB5613" t="str">
        <f>IF(Table1[[#This Row],[TIPO2]]="costo", VLOOKUP(Table1[[#This Row],[PARTIDA PRESUPUESTAL]],'Cost Report'!G:G,1,0),"Balance")</f>
        <v>5001-024</v>
      </c>
      <c r="AD5613" s="159">
        <f>+Table1[[#This Row],[SUBTOTAL]]+Table1[[#This Row],[IVA]]-Table1[[#This Row],[RET IVA]]-Table1[[#This Row],[RET ISR]]-Table1[[#This Row],[TOTAL]]</f>
        <v>0</v>
      </c>
      <c r="AK5613" s="306" t="str">
        <f>IF(ISNUMBER(Table1[[#This Row],[FECHA DE RECIBIDO]]), Table1[[#This Row],[FECHA DE RECIBIDO]]-DATE(2023,8,30), "")</f>
        <v/>
      </c>
    </row>
    <row r="5614" spans="1:37" ht="16.05" customHeight="1">
      <c r="A5614" s="172" t="s">
        <v>5019</v>
      </c>
      <c r="B5614" s="178">
        <v>1999</v>
      </c>
      <c r="C5614" s="179" t="s">
        <v>2603</v>
      </c>
      <c r="D5614">
        <v>3816</v>
      </c>
      <c r="E5614" s="125" t="s">
        <v>2019</v>
      </c>
      <c r="F5614" s="178">
        <v>621</v>
      </c>
      <c r="G5614" s="178" t="s">
        <v>1617</v>
      </c>
      <c r="H5614">
        <v>117</v>
      </c>
      <c r="I5614" s="178" t="s">
        <v>1546</v>
      </c>
      <c r="J5614" s="320" t="s">
        <v>214</v>
      </c>
      <c r="K5614" s="178" t="s">
        <v>4872</v>
      </c>
      <c r="L5614" s="125" t="s">
        <v>110</v>
      </c>
      <c r="M5614">
        <v>155</v>
      </c>
      <c r="N5614" s="182">
        <v>47</v>
      </c>
      <c r="O5614">
        <v>3646</v>
      </c>
      <c r="P5614" s="132" t="s">
        <v>77</v>
      </c>
      <c r="Q5614" s="176">
        <v>12300</v>
      </c>
      <c r="R5614" s="176">
        <v>1968</v>
      </c>
      <c r="S5614" s="176"/>
      <c r="T5614" s="190">
        <v>1312</v>
      </c>
      <c r="U5614" s="191">
        <v>0</v>
      </c>
      <c r="V5614" s="191">
        <v>12956</v>
      </c>
      <c r="W5614">
        <v>79</v>
      </c>
      <c r="X5614" s="186" t="s">
        <v>1429</v>
      </c>
      <c r="Y5614" s="187" t="s">
        <v>55</v>
      </c>
      <c r="Z5614" s="311">
        <v>275</v>
      </c>
      <c r="AB5614" t="str">
        <f>IF(Table1[[#This Row],[TIPO2]]="costo", VLOOKUP(Table1[[#This Row],[PARTIDA PRESUPUESTAL]],'Cost Report'!G:G,1,0),"Balance")</f>
        <v>2801-010</v>
      </c>
      <c r="AD5614" s="159">
        <f>+Table1[[#This Row],[SUBTOTAL]]+Table1[[#This Row],[IVA]]-Table1[[#This Row],[RET IVA]]-Table1[[#This Row],[RET ISR]]-Table1[[#This Row],[TOTAL]]</f>
        <v>0</v>
      </c>
      <c r="AK5614" s="306" t="str">
        <f>IF(ISNUMBER(Table1[[#This Row],[FECHA DE RECIBIDO]]), Table1[[#This Row],[FECHA DE RECIBIDO]]-DATE(2023,8,30), "")</f>
        <v/>
      </c>
    </row>
    <row r="5615" spans="1:37" ht="16.05" customHeight="1">
      <c r="A5615" s="172" t="s">
        <v>5020</v>
      </c>
      <c r="B5615" s="178">
        <v>2000</v>
      </c>
      <c r="C5615" s="179" t="s">
        <v>2604</v>
      </c>
      <c r="D5615">
        <v>3817</v>
      </c>
      <c r="E5615" s="125" t="s">
        <v>2019</v>
      </c>
      <c r="F5615" s="178">
        <v>621</v>
      </c>
      <c r="G5615" s="178" t="s">
        <v>1617</v>
      </c>
      <c r="H5615">
        <v>117</v>
      </c>
      <c r="I5615" s="178" t="s">
        <v>1546</v>
      </c>
      <c r="J5615" s="320" t="s">
        <v>214</v>
      </c>
      <c r="K5615" s="178" t="s">
        <v>4872</v>
      </c>
      <c r="L5615" s="125" t="s">
        <v>110</v>
      </c>
      <c r="M5615">
        <v>155</v>
      </c>
      <c r="N5615" s="182">
        <v>47</v>
      </c>
      <c r="O5615">
        <v>3647</v>
      </c>
      <c r="P5615" s="132" t="s">
        <v>77</v>
      </c>
      <c r="Q5615" s="176">
        <v>12300</v>
      </c>
      <c r="R5615" s="176">
        <v>1968</v>
      </c>
      <c r="S5615" s="176"/>
      <c r="T5615" s="190">
        <v>1312</v>
      </c>
      <c r="U5615" s="191">
        <v>0</v>
      </c>
      <c r="V5615" s="191">
        <v>12956</v>
      </c>
      <c r="W5615">
        <v>79</v>
      </c>
      <c r="X5615" s="186" t="s">
        <v>1429</v>
      </c>
      <c r="Y5615" s="187" t="s">
        <v>55</v>
      </c>
      <c r="Z5615" s="311">
        <v>275</v>
      </c>
      <c r="AB5615" t="str">
        <f>IF(Table1[[#This Row],[TIPO2]]="costo", VLOOKUP(Table1[[#This Row],[PARTIDA PRESUPUESTAL]],'Cost Report'!G:G,1,0),"Balance")</f>
        <v>2801-011</v>
      </c>
      <c r="AD5615" s="159">
        <f>+Table1[[#This Row],[SUBTOTAL]]+Table1[[#This Row],[IVA]]-Table1[[#This Row],[RET IVA]]-Table1[[#This Row],[RET ISR]]-Table1[[#This Row],[TOTAL]]</f>
        <v>0</v>
      </c>
      <c r="AK5615" s="306" t="str">
        <f>IF(ISNUMBER(Table1[[#This Row],[FECHA DE RECIBIDO]]), Table1[[#This Row],[FECHA DE RECIBIDO]]-DATE(2023,8,30), "")</f>
        <v/>
      </c>
    </row>
    <row r="5616" spans="1:37" ht="16.05" customHeight="1">
      <c r="A5616" s="172" t="s">
        <v>5021</v>
      </c>
      <c r="B5616" s="178">
        <v>2001</v>
      </c>
      <c r="C5616" s="179" t="s">
        <v>687</v>
      </c>
      <c r="D5616">
        <v>3818</v>
      </c>
      <c r="E5616" s="125" t="s">
        <v>1999</v>
      </c>
      <c r="F5616" s="178">
        <v>626</v>
      </c>
      <c r="G5616" s="178" t="s">
        <v>109</v>
      </c>
      <c r="H5616">
        <v>517</v>
      </c>
      <c r="I5616" s="178" t="s">
        <v>1546</v>
      </c>
      <c r="J5616" s="320" t="s">
        <v>214</v>
      </c>
      <c r="K5616" s="178" t="s">
        <v>4872</v>
      </c>
      <c r="L5616" s="125" t="s">
        <v>110</v>
      </c>
      <c r="M5616">
        <v>741</v>
      </c>
      <c r="N5616" s="182">
        <v>147</v>
      </c>
      <c r="O5616">
        <v>3648</v>
      </c>
      <c r="P5616" s="132" t="s">
        <v>77</v>
      </c>
      <c r="Q5616" s="176">
        <v>36000</v>
      </c>
      <c r="R5616" s="176">
        <v>5760</v>
      </c>
      <c r="S5616" s="176"/>
      <c r="T5616" s="190">
        <v>3840</v>
      </c>
      <c r="U5616" s="191">
        <v>450</v>
      </c>
      <c r="V5616" s="191">
        <v>37470</v>
      </c>
      <c r="W5616">
        <v>289</v>
      </c>
      <c r="X5616" s="186" t="s">
        <v>1430</v>
      </c>
      <c r="Y5616" s="187" t="s">
        <v>55</v>
      </c>
      <c r="Z5616" s="311">
        <v>275</v>
      </c>
      <c r="AB5616" t="str">
        <f>IF(Table1[[#This Row],[TIPO2]]="costo", VLOOKUP(Table1[[#This Row],[PARTIDA PRESUPUESTAL]],'Cost Report'!G:G,1,0),"Balance")</f>
        <v>2802-004</v>
      </c>
      <c r="AD5616" s="159">
        <f>+Table1[[#This Row],[SUBTOTAL]]+Table1[[#This Row],[IVA]]-Table1[[#This Row],[RET IVA]]-Table1[[#This Row],[RET ISR]]-Table1[[#This Row],[TOTAL]]</f>
        <v>0</v>
      </c>
      <c r="AK5616" s="306" t="str">
        <f>IF(ISNUMBER(Table1[[#This Row],[FECHA DE RECIBIDO]]), Table1[[#This Row],[FECHA DE RECIBIDO]]-DATE(2023,8,30), "")</f>
        <v/>
      </c>
    </row>
    <row r="5617" spans="1:37" ht="16.05" customHeight="1">
      <c r="A5617" s="172" t="s">
        <v>5022</v>
      </c>
      <c r="B5617" s="178">
        <v>2002</v>
      </c>
      <c r="C5617" s="179" t="s">
        <v>682</v>
      </c>
      <c r="D5617">
        <v>3819</v>
      </c>
      <c r="E5617" s="125" t="s">
        <v>2021</v>
      </c>
      <c r="F5617" s="178">
        <v>626</v>
      </c>
      <c r="G5617" s="178" t="s">
        <v>109</v>
      </c>
      <c r="H5617">
        <v>119</v>
      </c>
      <c r="I5617" s="178" t="s">
        <v>1546</v>
      </c>
      <c r="J5617" s="320" t="s">
        <v>214</v>
      </c>
      <c r="K5617" s="178" t="s">
        <v>4872</v>
      </c>
      <c r="L5617" s="125" t="s">
        <v>110</v>
      </c>
      <c r="M5617">
        <v>157</v>
      </c>
      <c r="N5617" s="182">
        <v>49</v>
      </c>
      <c r="O5617">
        <v>3649</v>
      </c>
      <c r="P5617" s="132" t="s">
        <v>77</v>
      </c>
      <c r="Q5617" s="176">
        <v>21000</v>
      </c>
      <c r="R5617" s="176">
        <v>3360</v>
      </c>
      <c r="S5617" s="176"/>
      <c r="T5617" s="190">
        <v>2240.0100000000002</v>
      </c>
      <c r="U5617" s="191">
        <v>262.5</v>
      </c>
      <c r="V5617" s="191">
        <v>21857.489999999998</v>
      </c>
      <c r="W5617">
        <v>81</v>
      </c>
      <c r="X5617" s="186" t="s">
        <v>1431</v>
      </c>
      <c r="Y5617" s="187" t="s">
        <v>55</v>
      </c>
      <c r="Z5617" s="311">
        <v>275</v>
      </c>
      <c r="AB5617" t="str">
        <f>IF(Table1[[#This Row],[TIPO2]]="costo", VLOOKUP(Table1[[#This Row],[PARTIDA PRESUPUESTAL]],'Cost Report'!G:G,1,0),"Balance")</f>
        <v>2801-005</v>
      </c>
      <c r="AD5617" s="159">
        <f>+Table1[[#This Row],[SUBTOTAL]]+Table1[[#This Row],[IVA]]-Table1[[#This Row],[RET IVA]]-Table1[[#This Row],[RET ISR]]-Table1[[#This Row],[TOTAL]]</f>
        <v>0</v>
      </c>
      <c r="AK5617" s="306" t="str">
        <f>IF(ISNUMBER(Table1[[#This Row],[FECHA DE RECIBIDO]]), Table1[[#This Row],[FECHA DE RECIBIDO]]-DATE(2023,8,30), "")</f>
        <v/>
      </c>
    </row>
    <row r="5618" spans="1:37" ht="16.05" customHeight="1">
      <c r="A5618" s="172" t="s">
        <v>5023</v>
      </c>
      <c r="B5618" s="178">
        <v>2003</v>
      </c>
      <c r="C5618" s="179" t="s">
        <v>682</v>
      </c>
      <c r="D5618">
        <v>3820</v>
      </c>
      <c r="E5618" s="125" t="s">
        <v>2021</v>
      </c>
      <c r="F5618" s="178">
        <v>626</v>
      </c>
      <c r="G5618" s="178" t="s">
        <v>109</v>
      </c>
      <c r="H5618">
        <v>119</v>
      </c>
      <c r="I5618" s="178" t="s">
        <v>1546</v>
      </c>
      <c r="J5618" s="320" t="s">
        <v>214</v>
      </c>
      <c r="K5618" s="178" t="s">
        <v>4872</v>
      </c>
      <c r="L5618" s="125" t="s">
        <v>110</v>
      </c>
      <c r="M5618">
        <v>157</v>
      </c>
      <c r="N5618" s="182">
        <v>49</v>
      </c>
      <c r="O5618">
        <v>3650</v>
      </c>
      <c r="P5618" s="132" t="s">
        <v>77</v>
      </c>
      <c r="Q5618" s="176">
        <v>13200</v>
      </c>
      <c r="R5618" s="176">
        <v>2112</v>
      </c>
      <c r="S5618" s="176"/>
      <c r="T5618" s="190">
        <v>1408</v>
      </c>
      <c r="U5618" s="191">
        <v>165</v>
      </c>
      <c r="V5618" s="191">
        <v>13739</v>
      </c>
      <c r="W5618">
        <v>81</v>
      </c>
      <c r="X5618" s="186" t="s">
        <v>1431</v>
      </c>
      <c r="Y5618" s="187" t="s">
        <v>55</v>
      </c>
      <c r="Z5618" s="311">
        <v>275</v>
      </c>
      <c r="AB5618" t="str">
        <f>IF(Table1[[#This Row],[TIPO2]]="costo", VLOOKUP(Table1[[#This Row],[PARTIDA PRESUPUESTAL]],'Cost Report'!G:G,1,0),"Balance")</f>
        <v>2801-005</v>
      </c>
      <c r="AD5618" s="159">
        <f>+Table1[[#This Row],[SUBTOTAL]]+Table1[[#This Row],[IVA]]-Table1[[#This Row],[RET IVA]]-Table1[[#This Row],[RET ISR]]-Table1[[#This Row],[TOTAL]]</f>
        <v>0</v>
      </c>
      <c r="AK5618" s="306" t="str">
        <f>IF(ISNUMBER(Table1[[#This Row],[FECHA DE RECIBIDO]]), Table1[[#This Row],[FECHA DE RECIBIDO]]-DATE(2023,8,30), "")</f>
        <v/>
      </c>
    </row>
    <row r="5619" spans="1:37" ht="16.05" customHeight="1">
      <c r="A5619" s="172" t="s">
        <v>5024</v>
      </c>
      <c r="B5619" s="178">
        <v>2004</v>
      </c>
      <c r="C5619" s="179" t="s">
        <v>699</v>
      </c>
      <c r="D5619">
        <v>3821</v>
      </c>
      <c r="E5619" s="125" t="s">
        <v>3976</v>
      </c>
      <c r="F5619" s="178">
        <v>612</v>
      </c>
      <c r="G5619" s="178" t="s">
        <v>129</v>
      </c>
      <c r="H5619">
        <v>349</v>
      </c>
      <c r="I5619" s="178" t="s">
        <v>1546</v>
      </c>
      <c r="J5619" s="320" t="s">
        <v>214</v>
      </c>
      <c r="K5619" s="178" t="s">
        <v>4872</v>
      </c>
      <c r="L5619" s="125" t="s">
        <v>110</v>
      </c>
      <c r="M5619">
        <v>466</v>
      </c>
      <c r="N5619" s="182">
        <v>91</v>
      </c>
      <c r="O5619">
        <v>3651</v>
      </c>
      <c r="P5619" s="132" t="s">
        <v>77</v>
      </c>
      <c r="Q5619" s="176">
        <v>18600</v>
      </c>
      <c r="R5619" s="176">
        <v>2976</v>
      </c>
      <c r="S5619" s="176"/>
      <c r="T5619" s="190">
        <v>1984</v>
      </c>
      <c r="U5619" s="191">
        <v>1860</v>
      </c>
      <c r="V5619" s="191">
        <v>17732</v>
      </c>
      <c r="W5619">
        <v>186</v>
      </c>
      <c r="X5619" s="186" t="s">
        <v>1430</v>
      </c>
      <c r="Y5619" s="187" t="s">
        <v>55</v>
      </c>
      <c r="Z5619" s="311">
        <v>275</v>
      </c>
      <c r="AB5619" t="str">
        <f>IF(Table1[[#This Row],[TIPO2]]="costo", VLOOKUP(Table1[[#This Row],[PARTIDA PRESUPUESTAL]],'Cost Report'!G:G,1,0),"Balance")</f>
        <v>2805-004</v>
      </c>
      <c r="AD5619" s="159">
        <f>+Table1[[#This Row],[SUBTOTAL]]+Table1[[#This Row],[IVA]]-Table1[[#This Row],[RET IVA]]-Table1[[#This Row],[RET ISR]]-Table1[[#This Row],[TOTAL]]</f>
        <v>0</v>
      </c>
      <c r="AK5619" s="306" t="str">
        <f>IF(ISNUMBER(Table1[[#This Row],[FECHA DE RECIBIDO]]), Table1[[#This Row],[FECHA DE RECIBIDO]]-DATE(2023,8,30), "")</f>
        <v/>
      </c>
    </row>
    <row r="5620" spans="1:37" ht="16.05" customHeight="1">
      <c r="A5620" s="172" t="s">
        <v>5025</v>
      </c>
      <c r="B5620" s="178">
        <v>2005</v>
      </c>
      <c r="C5620" s="179" t="s">
        <v>2615</v>
      </c>
      <c r="D5620">
        <v>3822</v>
      </c>
      <c r="E5620" s="125" t="s">
        <v>1645</v>
      </c>
      <c r="F5620" s="178">
        <v>612</v>
      </c>
      <c r="G5620" s="178" t="s">
        <v>129</v>
      </c>
      <c r="H5620">
        <v>518</v>
      </c>
      <c r="I5620" s="178" t="s">
        <v>1546</v>
      </c>
      <c r="J5620" s="320" t="s">
        <v>214</v>
      </c>
      <c r="K5620" s="178" t="s">
        <v>4872</v>
      </c>
      <c r="L5620" s="125" t="s">
        <v>110</v>
      </c>
      <c r="M5620">
        <v>742</v>
      </c>
      <c r="N5620" s="182">
        <v>148</v>
      </c>
      <c r="O5620">
        <v>3652</v>
      </c>
      <c r="P5620" s="132" t="s">
        <v>77</v>
      </c>
      <c r="Q5620" s="176">
        <v>3000</v>
      </c>
      <c r="R5620" s="176">
        <v>480</v>
      </c>
      <c r="S5620" s="176"/>
      <c r="T5620" s="190">
        <v>320</v>
      </c>
      <c r="U5620" s="191">
        <v>300</v>
      </c>
      <c r="V5620" s="191">
        <v>2860</v>
      </c>
      <c r="W5620">
        <v>290</v>
      </c>
      <c r="X5620" s="186" t="s">
        <v>1429</v>
      </c>
      <c r="Y5620" s="187" t="s">
        <v>55</v>
      </c>
      <c r="Z5620" s="311">
        <v>275</v>
      </c>
      <c r="AB5620" t="str">
        <f>IF(Table1[[#This Row],[TIPO2]]="costo", VLOOKUP(Table1[[#This Row],[PARTIDA PRESUPUESTAL]],'Cost Report'!G:G,1,0),"Balance")</f>
        <v>2805-019</v>
      </c>
      <c r="AD5620" s="159">
        <f>+Table1[[#This Row],[SUBTOTAL]]+Table1[[#This Row],[IVA]]-Table1[[#This Row],[RET IVA]]-Table1[[#This Row],[RET ISR]]-Table1[[#This Row],[TOTAL]]</f>
        <v>0</v>
      </c>
      <c r="AK5620" s="306" t="str">
        <f>IF(ISNUMBER(Table1[[#This Row],[FECHA DE RECIBIDO]]), Table1[[#This Row],[FECHA DE RECIBIDO]]-DATE(2023,8,30), "")</f>
        <v/>
      </c>
    </row>
    <row r="5621" spans="1:37" ht="16.05" customHeight="1">
      <c r="A5621" s="172" t="s">
        <v>5026</v>
      </c>
      <c r="B5621" s="178">
        <v>2006</v>
      </c>
      <c r="C5621" s="179" t="s">
        <v>2615</v>
      </c>
      <c r="D5621">
        <v>3823</v>
      </c>
      <c r="E5621" s="125" t="s">
        <v>3225</v>
      </c>
      <c r="F5621" s="178">
        <v>626</v>
      </c>
      <c r="G5621" s="178" t="s">
        <v>109</v>
      </c>
      <c r="H5621">
        <v>928</v>
      </c>
      <c r="I5621" s="178" t="s">
        <v>1546</v>
      </c>
      <c r="J5621" s="320" t="s">
        <v>214</v>
      </c>
      <c r="K5621" s="178" t="s">
        <v>4872</v>
      </c>
      <c r="L5621" s="125" t="s">
        <v>110</v>
      </c>
      <c r="M5621">
        <v>1290</v>
      </c>
      <c r="N5621" s="182">
        <v>233</v>
      </c>
      <c r="O5621">
        <v>3653</v>
      </c>
      <c r="P5621" s="132" t="s">
        <v>77</v>
      </c>
      <c r="Q5621" s="176">
        <v>7500</v>
      </c>
      <c r="R5621" s="176">
        <v>1200</v>
      </c>
      <c r="S5621" s="176"/>
      <c r="T5621" s="190">
        <v>800</v>
      </c>
      <c r="U5621" s="191">
        <v>93.75</v>
      </c>
      <c r="V5621" s="191">
        <v>7806.25</v>
      </c>
      <c r="W5621">
        <v>460</v>
      </c>
      <c r="X5621" s="186" t="s">
        <v>1434</v>
      </c>
      <c r="Y5621" s="187" t="s">
        <v>55</v>
      </c>
      <c r="Z5621" s="311">
        <v>275</v>
      </c>
      <c r="AB5621" t="str">
        <f>IF(Table1[[#This Row],[TIPO2]]="costo", VLOOKUP(Table1[[#This Row],[PARTIDA PRESUPUESTAL]],'Cost Report'!G:G,1,0),"Balance")</f>
        <v>2805-019</v>
      </c>
      <c r="AD5621" s="159">
        <f>+Table1[[#This Row],[SUBTOTAL]]+Table1[[#This Row],[IVA]]-Table1[[#This Row],[RET IVA]]-Table1[[#This Row],[RET ISR]]-Table1[[#This Row],[TOTAL]]</f>
        <v>0</v>
      </c>
      <c r="AK5621" s="306" t="str">
        <f>IF(ISNUMBER(Table1[[#This Row],[FECHA DE RECIBIDO]]), Table1[[#This Row],[FECHA DE RECIBIDO]]-DATE(2023,8,30), "")</f>
        <v/>
      </c>
    </row>
    <row r="5622" spans="1:37" ht="16.05" customHeight="1">
      <c r="A5622" s="172" t="s">
        <v>5027</v>
      </c>
      <c r="B5622" s="178">
        <v>2007</v>
      </c>
      <c r="C5622" s="179" t="s">
        <v>1838</v>
      </c>
      <c r="D5622">
        <v>3824</v>
      </c>
      <c r="E5622" s="125" t="s">
        <v>3644</v>
      </c>
      <c r="F5622" s="178">
        <v>621</v>
      </c>
      <c r="G5622" s="178" t="s">
        <v>1617</v>
      </c>
      <c r="H5622">
        <v>352</v>
      </c>
      <c r="I5622" s="178" t="s">
        <v>1546</v>
      </c>
      <c r="J5622" s="320" t="s">
        <v>214</v>
      </c>
      <c r="K5622" s="178" t="s">
        <v>4872</v>
      </c>
      <c r="L5622" s="125" t="s">
        <v>110</v>
      </c>
      <c r="M5622">
        <v>469</v>
      </c>
      <c r="N5622" s="182">
        <v>94</v>
      </c>
      <c r="O5622">
        <v>3654</v>
      </c>
      <c r="P5622" s="132" t="s">
        <v>77</v>
      </c>
      <c r="Q5622" s="176">
        <v>16250</v>
      </c>
      <c r="R5622" s="176">
        <v>2600</v>
      </c>
      <c r="S5622" s="176"/>
      <c r="T5622" s="190">
        <v>1733.33</v>
      </c>
      <c r="U5622" s="191">
        <v>0</v>
      </c>
      <c r="V5622" s="191">
        <v>17116.669999999998</v>
      </c>
      <c r="W5622">
        <v>189</v>
      </c>
      <c r="X5622" s="186" t="s">
        <v>1431</v>
      </c>
      <c r="Y5622" s="187" t="s">
        <v>55</v>
      </c>
      <c r="Z5622" s="311">
        <v>275</v>
      </c>
      <c r="AB5622" t="str">
        <f>IF(Table1[[#This Row],[TIPO2]]="costo", VLOOKUP(Table1[[#This Row],[PARTIDA PRESUPUESTAL]],'Cost Report'!G:G,1,0),"Balance")</f>
        <v>3145-021</v>
      </c>
      <c r="AD5622" s="159">
        <f>+Table1[[#This Row],[SUBTOTAL]]+Table1[[#This Row],[IVA]]-Table1[[#This Row],[RET IVA]]-Table1[[#This Row],[RET ISR]]-Table1[[#This Row],[TOTAL]]</f>
        <v>0</v>
      </c>
      <c r="AK5622" s="306" t="str">
        <f>IF(ISNUMBER(Table1[[#This Row],[FECHA DE RECIBIDO]]), Table1[[#This Row],[FECHA DE RECIBIDO]]-DATE(2023,8,30), "")</f>
        <v/>
      </c>
    </row>
    <row r="5623" spans="1:37" ht="16.05" customHeight="1">
      <c r="A5623" s="172" t="s">
        <v>5028</v>
      </c>
      <c r="B5623" s="178">
        <v>2008</v>
      </c>
      <c r="C5623" s="179" t="s">
        <v>1838</v>
      </c>
      <c r="D5623">
        <v>3825</v>
      </c>
      <c r="E5623" s="125" t="s">
        <v>3644</v>
      </c>
      <c r="F5623" s="178">
        <v>621</v>
      </c>
      <c r="G5623" s="178" t="s">
        <v>1617</v>
      </c>
      <c r="H5623">
        <v>352</v>
      </c>
      <c r="I5623" s="178" t="s">
        <v>1546</v>
      </c>
      <c r="J5623" s="320" t="s">
        <v>214</v>
      </c>
      <c r="K5623" s="178" t="s">
        <v>4872</v>
      </c>
      <c r="L5623" s="125" t="s">
        <v>110</v>
      </c>
      <c r="M5623">
        <v>469</v>
      </c>
      <c r="N5623" s="182">
        <v>94</v>
      </c>
      <c r="O5623">
        <v>3655</v>
      </c>
      <c r="P5623" s="132" t="s">
        <v>77</v>
      </c>
      <c r="Q5623" s="176">
        <v>1250</v>
      </c>
      <c r="R5623" s="176">
        <v>200</v>
      </c>
      <c r="S5623" s="176"/>
      <c r="T5623" s="190">
        <v>133.33000000000001</v>
      </c>
      <c r="U5623" s="191">
        <v>0</v>
      </c>
      <c r="V5623" s="191">
        <v>1316.67</v>
      </c>
      <c r="W5623">
        <v>189</v>
      </c>
      <c r="X5623" s="186" t="s">
        <v>1431</v>
      </c>
      <c r="Y5623" s="187" t="s">
        <v>55</v>
      </c>
      <c r="Z5623" s="311">
        <v>275</v>
      </c>
      <c r="AB5623" t="str">
        <f>IF(Table1[[#This Row],[TIPO2]]="costo", VLOOKUP(Table1[[#This Row],[PARTIDA PRESUPUESTAL]],'Cost Report'!G:G,1,0),"Balance")</f>
        <v>3145-021</v>
      </c>
      <c r="AD5623" s="159">
        <f>+Table1[[#This Row],[SUBTOTAL]]+Table1[[#This Row],[IVA]]-Table1[[#This Row],[RET IVA]]-Table1[[#This Row],[RET ISR]]-Table1[[#This Row],[TOTAL]]</f>
        <v>0</v>
      </c>
      <c r="AK5623" s="306" t="str">
        <f>IF(ISNUMBER(Table1[[#This Row],[FECHA DE RECIBIDO]]), Table1[[#This Row],[FECHA DE RECIBIDO]]-DATE(2023,8,30), "")</f>
        <v/>
      </c>
    </row>
    <row r="5624" spans="1:37" ht="16.05" customHeight="1">
      <c r="A5624" s="172" t="s">
        <v>5029</v>
      </c>
      <c r="B5624" s="178">
        <v>2009</v>
      </c>
      <c r="C5624" s="179" t="s">
        <v>1828</v>
      </c>
      <c r="D5624">
        <v>3826</v>
      </c>
      <c r="E5624" s="125" t="s">
        <v>3646</v>
      </c>
      <c r="F5624" s="178">
        <v>612</v>
      </c>
      <c r="G5624" s="178" t="s">
        <v>129</v>
      </c>
      <c r="H5624">
        <v>356</v>
      </c>
      <c r="I5624" s="178" t="s">
        <v>1546</v>
      </c>
      <c r="J5624" s="320" t="s">
        <v>214</v>
      </c>
      <c r="K5624" s="178" t="s">
        <v>4872</v>
      </c>
      <c r="L5624" s="125" t="s">
        <v>110</v>
      </c>
      <c r="M5624">
        <v>473</v>
      </c>
      <c r="N5624" s="182">
        <v>98</v>
      </c>
      <c r="O5624">
        <v>3656</v>
      </c>
      <c r="P5624" s="132" t="s">
        <v>77</v>
      </c>
      <c r="Q5624" s="176">
        <v>5750</v>
      </c>
      <c r="R5624" s="176">
        <v>920</v>
      </c>
      <c r="S5624" s="176"/>
      <c r="T5624" s="190">
        <v>613.34</v>
      </c>
      <c r="U5624" s="191">
        <v>575</v>
      </c>
      <c r="V5624" s="191">
        <v>5481.66</v>
      </c>
      <c r="W5624">
        <v>193</v>
      </c>
      <c r="X5624" s="186" t="s">
        <v>1431</v>
      </c>
      <c r="Y5624" s="187" t="s">
        <v>55</v>
      </c>
      <c r="Z5624" s="311">
        <v>275</v>
      </c>
      <c r="AB5624" t="str">
        <f>IF(Table1[[#This Row],[TIPO2]]="costo", VLOOKUP(Table1[[#This Row],[PARTIDA PRESUPUESTAL]],'Cost Report'!G:G,1,0),"Balance")</f>
        <v>3145-005</v>
      </c>
      <c r="AD5624" s="159">
        <f>+Table1[[#This Row],[SUBTOTAL]]+Table1[[#This Row],[IVA]]-Table1[[#This Row],[RET IVA]]-Table1[[#This Row],[RET ISR]]-Table1[[#This Row],[TOTAL]]</f>
        <v>0</v>
      </c>
      <c r="AK5624" s="306" t="str">
        <f>IF(ISNUMBER(Table1[[#This Row],[FECHA DE RECIBIDO]]), Table1[[#This Row],[FECHA DE RECIBIDO]]-DATE(2023,8,30), "")</f>
        <v/>
      </c>
    </row>
    <row r="5625" spans="1:37" ht="16.05" customHeight="1">
      <c r="A5625" s="172" t="s">
        <v>5030</v>
      </c>
      <c r="B5625" s="178">
        <v>2010</v>
      </c>
      <c r="C5625" s="179" t="s">
        <v>1832</v>
      </c>
      <c r="D5625">
        <v>3827</v>
      </c>
      <c r="E5625" s="125" t="s">
        <v>3371</v>
      </c>
      <c r="F5625" s="178">
        <v>612</v>
      </c>
      <c r="G5625" s="178" t="s">
        <v>129</v>
      </c>
      <c r="H5625">
        <v>522</v>
      </c>
      <c r="I5625" s="178" t="s">
        <v>1546</v>
      </c>
      <c r="J5625" s="320" t="s">
        <v>214</v>
      </c>
      <c r="K5625" s="178" t="s">
        <v>4872</v>
      </c>
      <c r="L5625" s="125" t="s">
        <v>110</v>
      </c>
      <c r="M5625">
        <v>746</v>
      </c>
      <c r="N5625" s="182">
        <v>152</v>
      </c>
      <c r="O5625">
        <v>3657</v>
      </c>
      <c r="P5625" s="132" t="s">
        <v>77</v>
      </c>
      <c r="Q5625" s="176">
        <v>5750</v>
      </c>
      <c r="R5625" s="176">
        <v>920</v>
      </c>
      <c r="S5625" s="176"/>
      <c r="T5625" s="190">
        <v>613.34</v>
      </c>
      <c r="U5625" s="191">
        <v>575</v>
      </c>
      <c r="V5625" s="191">
        <v>5481.66</v>
      </c>
      <c r="W5625">
        <v>294</v>
      </c>
      <c r="X5625" s="186" t="s">
        <v>1429</v>
      </c>
      <c r="Y5625" s="187" t="s">
        <v>55</v>
      </c>
      <c r="Z5625" s="311">
        <v>275</v>
      </c>
      <c r="AB5625" t="str">
        <f>IF(Table1[[#This Row],[TIPO2]]="costo", VLOOKUP(Table1[[#This Row],[PARTIDA PRESUPUESTAL]],'Cost Report'!G:G,1,0),"Balance")</f>
        <v>3145-011</v>
      </c>
      <c r="AD5625" s="159">
        <f>+Table1[[#This Row],[SUBTOTAL]]+Table1[[#This Row],[IVA]]-Table1[[#This Row],[RET IVA]]-Table1[[#This Row],[RET ISR]]-Table1[[#This Row],[TOTAL]]</f>
        <v>0</v>
      </c>
      <c r="AK5625" s="306" t="str">
        <f>IF(ISNUMBER(Table1[[#This Row],[FECHA DE RECIBIDO]]), Table1[[#This Row],[FECHA DE RECIBIDO]]-DATE(2023,8,30), "")</f>
        <v/>
      </c>
    </row>
    <row r="5626" spans="1:37" ht="16.05" customHeight="1">
      <c r="A5626" s="172" t="s">
        <v>5031</v>
      </c>
      <c r="B5626" s="178">
        <v>2011</v>
      </c>
      <c r="C5626" s="179" t="s">
        <v>2673</v>
      </c>
      <c r="D5626">
        <v>3828</v>
      </c>
      <c r="E5626" s="125" t="s">
        <v>4005</v>
      </c>
      <c r="F5626" s="178">
        <v>612</v>
      </c>
      <c r="G5626" s="178" t="s">
        <v>129</v>
      </c>
      <c r="H5626">
        <v>524</v>
      </c>
      <c r="I5626" s="178" t="s">
        <v>1546</v>
      </c>
      <c r="J5626" s="320" t="s">
        <v>214</v>
      </c>
      <c r="K5626" s="178" t="s">
        <v>4872</v>
      </c>
      <c r="L5626" s="125" t="s">
        <v>110</v>
      </c>
      <c r="M5626">
        <v>748</v>
      </c>
      <c r="N5626" s="182">
        <v>154</v>
      </c>
      <c r="O5626">
        <v>3658</v>
      </c>
      <c r="P5626" s="132" t="s">
        <v>77</v>
      </c>
      <c r="Q5626" s="176">
        <v>2500</v>
      </c>
      <c r="R5626" s="176">
        <v>400</v>
      </c>
      <c r="S5626" s="176"/>
      <c r="T5626" s="190">
        <v>266.67</v>
      </c>
      <c r="U5626" s="191">
        <v>250</v>
      </c>
      <c r="V5626" s="191">
        <v>2383.33</v>
      </c>
      <c r="W5626">
        <v>296</v>
      </c>
      <c r="X5626" s="186" t="s">
        <v>1430</v>
      </c>
      <c r="Y5626" s="187" t="s">
        <v>55</v>
      </c>
      <c r="Z5626" s="311">
        <v>275</v>
      </c>
      <c r="AB5626" t="str">
        <f>IF(Table1[[#This Row],[TIPO2]]="costo", VLOOKUP(Table1[[#This Row],[PARTIDA PRESUPUESTAL]],'Cost Report'!G:G,1,0),"Balance")</f>
        <v>3104-027</v>
      </c>
      <c r="AD5626" s="159">
        <f>+Table1[[#This Row],[SUBTOTAL]]+Table1[[#This Row],[IVA]]-Table1[[#This Row],[RET IVA]]-Table1[[#This Row],[RET ISR]]-Table1[[#This Row],[TOTAL]]</f>
        <v>0</v>
      </c>
      <c r="AK5626" s="306" t="str">
        <f>IF(ISNUMBER(Table1[[#This Row],[FECHA DE RECIBIDO]]), Table1[[#This Row],[FECHA DE RECIBIDO]]-DATE(2023,8,30), "")</f>
        <v/>
      </c>
    </row>
    <row r="5627" spans="1:37" ht="16.05" customHeight="1">
      <c r="A5627" s="172" t="s">
        <v>5032</v>
      </c>
      <c r="B5627" s="178">
        <v>2012</v>
      </c>
      <c r="C5627" s="179" t="s">
        <v>2673</v>
      </c>
      <c r="D5627">
        <v>3829</v>
      </c>
      <c r="E5627" s="125" t="s">
        <v>4005</v>
      </c>
      <c r="F5627" s="178">
        <v>612</v>
      </c>
      <c r="G5627" s="178" t="s">
        <v>129</v>
      </c>
      <c r="H5627">
        <v>524</v>
      </c>
      <c r="I5627" s="178" t="s">
        <v>1546</v>
      </c>
      <c r="J5627" s="320" t="s">
        <v>214</v>
      </c>
      <c r="K5627" s="178" t="s">
        <v>4872</v>
      </c>
      <c r="L5627" s="125" t="s">
        <v>110</v>
      </c>
      <c r="M5627">
        <v>748</v>
      </c>
      <c r="N5627" s="182">
        <v>154</v>
      </c>
      <c r="O5627">
        <v>3659</v>
      </c>
      <c r="P5627" s="132" t="s">
        <v>77</v>
      </c>
      <c r="Q5627" s="176">
        <v>15000</v>
      </c>
      <c r="R5627" s="176">
        <v>2400</v>
      </c>
      <c r="S5627" s="176"/>
      <c r="T5627" s="190">
        <v>1600</v>
      </c>
      <c r="U5627" s="191">
        <v>1500</v>
      </c>
      <c r="V5627" s="191">
        <v>14300</v>
      </c>
      <c r="W5627">
        <v>296</v>
      </c>
      <c r="X5627" s="186" t="s">
        <v>1430</v>
      </c>
      <c r="Y5627" s="187" t="s">
        <v>55</v>
      </c>
      <c r="Z5627" s="311">
        <v>275</v>
      </c>
      <c r="AB5627" t="str">
        <f>IF(Table1[[#This Row],[TIPO2]]="costo", VLOOKUP(Table1[[#This Row],[PARTIDA PRESUPUESTAL]],'Cost Report'!G:G,1,0),"Balance")</f>
        <v>3104-027</v>
      </c>
      <c r="AD5627" s="159">
        <f>+Table1[[#This Row],[SUBTOTAL]]+Table1[[#This Row],[IVA]]-Table1[[#This Row],[RET IVA]]-Table1[[#This Row],[RET ISR]]-Table1[[#This Row],[TOTAL]]</f>
        <v>0</v>
      </c>
      <c r="AK5627" s="306" t="str">
        <f>IF(ISNUMBER(Table1[[#This Row],[FECHA DE RECIBIDO]]), Table1[[#This Row],[FECHA DE RECIBIDO]]-DATE(2023,8,30), "")</f>
        <v/>
      </c>
    </row>
    <row r="5628" spans="1:37" ht="16.05" customHeight="1">
      <c r="A5628" s="172" t="s">
        <v>5033</v>
      </c>
      <c r="B5628" s="178">
        <v>2013</v>
      </c>
      <c r="C5628" s="179" t="s">
        <v>2671</v>
      </c>
      <c r="D5628">
        <v>3830</v>
      </c>
      <c r="E5628" s="125" t="s">
        <v>1614</v>
      </c>
      <c r="F5628" s="178">
        <v>621</v>
      </c>
      <c r="G5628" s="178" t="s">
        <v>1617</v>
      </c>
      <c r="H5628">
        <v>525</v>
      </c>
      <c r="I5628" s="178" t="s">
        <v>1546</v>
      </c>
      <c r="J5628" s="320" t="s">
        <v>214</v>
      </c>
      <c r="K5628" s="178" t="s">
        <v>4872</v>
      </c>
      <c r="L5628" s="125" t="s">
        <v>110</v>
      </c>
      <c r="M5628">
        <v>749</v>
      </c>
      <c r="N5628" s="182">
        <v>155</v>
      </c>
      <c r="O5628">
        <v>3660</v>
      </c>
      <c r="P5628" s="132" t="s">
        <v>77</v>
      </c>
      <c r="Q5628" s="176">
        <v>7166.66</v>
      </c>
      <c r="R5628" s="176">
        <v>1146.67</v>
      </c>
      <c r="S5628" s="176"/>
      <c r="T5628" s="190">
        <v>764.45</v>
      </c>
      <c r="U5628" s="191">
        <v>0</v>
      </c>
      <c r="V5628" s="191">
        <v>7548.88</v>
      </c>
      <c r="W5628">
        <v>297</v>
      </c>
      <c r="X5628" s="186" t="s">
        <v>1430</v>
      </c>
      <c r="Y5628" s="187" t="s">
        <v>55</v>
      </c>
      <c r="Z5628" s="311">
        <v>275</v>
      </c>
      <c r="AB5628" t="str">
        <f>IF(Table1[[#This Row],[TIPO2]]="costo", VLOOKUP(Table1[[#This Row],[PARTIDA PRESUPUESTAL]],'Cost Report'!G:G,1,0),"Balance")</f>
        <v>3104-023</v>
      </c>
      <c r="AD5628" s="159">
        <f>+Table1[[#This Row],[SUBTOTAL]]+Table1[[#This Row],[IVA]]-Table1[[#This Row],[RET IVA]]-Table1[[#This Row],[RET ISR]]-Table1[[#This Row],[TOTAL]]</f>
        <v>0</v>
      </c>
      <c r="AK5628" s="306" t="str">
        <f>IF(ISNUMBER(Table1[[#This Row],[FECHA DE RECIBIDO]]), Table1[[#This Row],[FECHA DE RECIBIDO]]-DATE(2023,8,30), "")</f>
        <v/>
      </c>
    </row>
    <row r="5629" spans="1:37" ht="16.05" customHeight="1">
      <c r="A5629" s="172" t="s">
        <v>5034</v>
      </c>
      <c r="B5629" s="178">
        <v>2014</v>
      </c>
      <c r="C5629" s="179" t="s">
        <v>2685</v>
      </c>
      <c r="D5629">
        <v>3831</v>
      </c>
      <c r="E5629" s="125" t="s">
        <v>4463</v>
      </c>
      <c r="F5629" s="178">
        <v>612</v>
      </c>
      <c r="G5629" s="178" t="s">
        <v>129</v>
      </c>
      <c r="H5629">
        <v>772</v>
      </c>
      <c r="I5629" s="178" t="s">
        <v>1546</v>
      </c>
      <c r="J5629" s="320" t="s">
        <v>214</v>
      </c>
      <c r="K5629" s="178" t="s">
        <v>4872</v>
      </c>
      <c r="L5629" s="125" t="s">
        <v>110</v>
      </c>
      <c r="M5629">
        <v>1075</v>
      </c>
      <c r="N5629" s="182">
        <v>184</v>
      </c>
      <c r="O5629">
        <v>3661</v>
      </c>
      <c r="P5629" s="132" t="s">
        <v>77</v>
      </c>
      <c r="Q5629" s="176">
        <v>11500</v>
      </c>
      <c r="R5629" s="176">
        <v>1840</v>
      </c>
      <c r="S5629" s="176"/>
      <c r="T5629" s="190">
        <v>1226.67</v>
      </c>
      <c r="U5629" s="191">
        <v>1150</v>
      </c>
      <c r="V5629" s="191">
        <v>10963.33</v>
      </c>
      <c r="W5629">
        <v>371</v>
      </c>
      <c r="X5629" s="186" t="s">
        <v>3684</v>
      </c>
      <c r="Y5629" s="187" t="s">
        <v>55</v>
      </c>
      <c r="Z5629" s="311">
        <v>275</v>
      </c>
      <c r="AB5629" t="str">
        <f>IF(Table1[[#This Row],[TIPO2]]="costo", VLOOKUP(Table1[[#This Row],[PARTIDA PRESUPUESTAL]],'Cost Report'!G:G,1,0),"Balance")</f>
        <v>3145-040</v>
      </c>
      <c r="AD5629" s="159">
        <f>+Table1[[#This Row],[SUBTOTAL]]+Table1[[#This Row],[IVA]]-Table1[[#This Row],[RET IVA]]-Table1[[#This Row],[RET ISR]]-Table1[[#This Row],[TOTAL]]</f>
        <v>0</v>
      </c>
      <c r="AK5629" s="306" t="str">
        <f>IF(ISNUMBER(Table1[[#This Row],[FECHA DE RECIBIDO]]), Table1[[#This Row],[FECHA DE RECIBIDO]]-DATE(2023,8,30), "")</f>
        <v/>
      </c>
    </row>
    <row r="5630" spans="1:37" ht="16.05" customHeight="1">
      <c r="A5630" s="172" t="s">
        <v>5035</v>
      </c>
      <c r="B5630" s="178">
        <v>2015</v>
      </c>
      <c r="C5630" s="179" t="s">
        <v>2685</v>
      </c>
      <c r="D5630">
        <v>3832</v>
      </c>
      <c r="E5630" s="125" t="s">
        <v>4463</v>
      </c>
      <c r="F5630" s="178">
        <v>612</v>
      </c>
      <c r="G5630" s="178" t="s">
        <v>129</v>
      </c>
      <c r="H5630">
        <v>772</v>
      </c>
      <c r="I5630" s="178" t="s">
        <v>1546</v>
      </c>
      <c r="J5630" s="320" t="s">
        <v>214</v>
      </c>
      <c r="K5630" s="178" t="s">
        <v>4872</v>
      </c>
      <c r="L5630" s="125" t="s">
        <v>110</v>
      </c>
      <c r="M5630">
        <v>1075</v>
      </c>
      <c r="N5630" s="182">
        <v>184</v>
      </c>
      <c r="O5630">
        <v>3662</v>
      </c>
      <c r="P5630" s="132" t="s">
        <v>77</v>
      </c>
      <c r="Q5630" s="176">
        <v>34500</v>
      </c>
      <c r="R5630" s="176">
        <v>5520</v>
      </c>
      <c r="S5630" s="176"/>
      <c r="T5630" s="190">
        <v>3680.02</v>
      </c>
      <c r="U5630" s="191">
        <v>3450</v>
      </c>
      <c r="V5630" s="191">
        <v>32889.980000000003</v>
      </c>
      <c r="W5630">
        <v>371</v>
      </c>
      <c r="X5630" s="186" t="s">
        <v>3684</v>
      </c>
      <c r="Y5630" s="187" t="s">
        <v>55</v>
      </c>
      <c r="Z5630" s="311">
        <v>275</v>
      </c>
      <c r="AB5630" t="str">
        <f>IF(Table1[[#This Row],[TIPO2]]="costo", VLOOKUP(Table1[[#This Row],[PARTIDA PRESUPUESTAL]],'Cost Report'!G:G,1,0),"Balance")</f>
        <v>3145-040</v>
      </c>
      <c r="AD5630" s="159">
        <f>+Table1[[#This Row],[SUBTOTAL]]+Table1[[#This Row],[IVA]]-Table1[[#This Row],[RET IVA]]-Table1[[#This Row],[RET ISR]]-Table1[[#This Row],[TOTAL]]</f>
        <v>0</v>
      </c>
      <c r="AK5630" s="306" t="str">
        <f>IF(ISNUMBER(Table1[[#This Row],[FECHA DE RECIBIDO]]), Table1[[#This Row],[FECHA DE RECIBIDO]]-DATE(2023,8,30), "")</f>
        <v/>
      </c>
    </row>
    <row r="5631" spans="1:37" ht="16.05" customHeight="1">
      <c r="A5631" s="172" t="s">
        <v>5036</v>
      </c>
      <c r="B5631" s="178">
        <v>2016</v>
      </c>
      <c r="C5631" s="179" t="s">
        <v>2664</v>
      </c>
      <c r="D5631">
        <v>3833</v>
      </c>
      <c r="E5631" s="125" t="s">
        <v>3292</v>
      </c>
      <c r="F5631" s="178">
        <v>612</v>
      </c>
      <c r="G5631" s="178" t="s">
        <v>129</v>
      </c>
      <c r="H5631">
        <v>775</v>
      </c>
      <c r="I5631" s="178" t="s">
        <v>1546</v>
      </c>
      <c r="J5631" s="320" t="s">
        <v>214</v>
      </c>
      <c r="K5631" s="178" t="s">
        <v>4872</v>
      </c>
      <c r="L5631" s="125" t="s">
        <v>110</v>
      </c>
      <c r="M5631">
        <v>1078</v>
      </c>
      <c r="N5631" s="182">
        <v>187</v>
      </c>
      <c r="O5631">
        <v>3663</v>
      </c>
      <c r="P5631" s="132" t="s">
        <v>77</v>
      </c>
      <c r="Q5631" s="176">
        <v>93333.32</v>
      </c>
      <c r="R5631" s="176">
        <v>14933.34</v>
      </c>
      <c r="S5631" s="176"/>
      <c r="T5631" s="190">
        <v>9955.58</v>
      </c>
      <c r="U5631" s="191">
        <v>9333.34</v>
      </c>
      <c r="V5631" s="191">
        <v>88977.74</v>
      </c>
      <c r="W5631">
        <v>374</v>
      </c>
      <c r="X5631" s="186" t="s">
        <v>1429</v>
      </c>
      <c r="Y5631" s="187" t="s">
        <v>55</v>
      </c>
      <c r="Z5631" s="311">
        <v>275</v>
      </c>
      <c r="AB5631" t="str">
        <f>IF(Table1[[#This Row],[TIPO2]]="costo", VLOOKUP(Table1[[#This Row],[PARTIDA PRESUPUESTAL]],'Cost Report'!G:G,1,0),"Balance")</f>
        <v>3102-025</v>
      </c>
      <c r="AD5631" s="159">
        <f>+Table1[[#This Row],[SUBTOTAL]]+Table1[[#This Row],[IVA]]-Table1[[#This Row],[RET IVA]]-Table1[[#This Row],[RET ISR]]-Table1[[#This Row],[TOTAL]]</f>
        <v>0</v>
      </c>
      <c r="AK5631" s="306" t="str">
        <f>IF(ISNUMBER(Table1[[#This Row],[FECHA DE RECIBIDO]]), Table1[[#This Row],[FECHA DE RECIBIDO]]-DATE(2023,8,30), "")</f>
        <v/>
      </c>
    </row>
    <row r="5632" spans="1:37" ht="16.05" customHeight="1">
      <c r="A5632" s="172" t="s">
        <v>5037</v>
      </c>
      <c r="B5632" s="178">
        <v>2017</v>
      </c>
      <c r="C5632" s="179" t="s">
        <v>2699</v>
      </c>
      <c r="D5632">
        <v>3834</v>
      </c>
      <c r="E5632" s="125" t="s">
        <v>4567</v>
      </c>
      <c r="F5632" s="178">
        <v>621</v>
      </c>
      <c r="G5632" s="178" t="s">
        <v>1617</v>
      </c>
      <c r="H5632">
        <v>798</v>
      </c>
      <c r="I5632" s="178" t="s">
        <v>1546</v>
      </c>
      <c r="J5632" s="320" t="s">
        <v>214</v>
      </c>
      <c r="K5632" s="178" t="s">
        <v>4872</v>
      </c>
      <c r="L5632" s="125" t="s">
        <v>110</v>
      </c>
      <c r="M5632">
        <v>1101</v>
      </c>
      <c r="N5632" s="182">
        <v>210</v>
      </c>
      <c r="O5632">
        <v>3664</v>
      </c>
      <c r="P5632" s="132" t="s">
        <v>77</v>
      </c>
      <c r="Q5632" s="176">
        <v>8625</v>
      </c>
      <c r="R5632" s="176">
        <v>1380</v>
      </c>
      <c r="S5632" s="176"/>
      <c r="T5632" s="190">
        <v>920.01</v>
      </c>
      <c r="U5632" s="191">
        <v>0</v>
      </c>
      <c r="V5632" s="191">
        <v>9084.99</v>
      </c>
      <c r="W5632">
        <v>397</v>
      </c>
      <c r="X5632" s="186" t="s">
        <v>2024</v>
      </c>
      <c r="Y5632" s="187" t="s">
        <v>55</v>
      </c>
      <c r="Z5632" s="311">
        <v>275</v>
      </c>
      <c r="AB5632" t="str">
        <f>IF(Table1[[#This Row],[TIPO2]]="costo", VLOOKUP(Table1[[#This Row],[PARTIDA PRESUPUESTAL]],'Cost Report'!G:G,1,0),"Balance")</f>
        <v>3145-064</v>
      </c>
      <c r="AD5632" s="159">
        <f>+Table1[[#This Row],[SUBTOTAL]]+Table1[[#This Row],[IVA]]-Table1[[#This Row],[RET IVA]]-Table1[[#This Row],[RET ISR]]-Table1[[#This Row],[TOTAL]]</f>
        <v>0</v>
      </c>
      <c r="AK5632" s="306" t="str">
        <f>IF(ISNUMBER(Table1[[#This Row],[FECHA DE RECIBIDO]]), Table1[[#This Row],[FECHA DE RECIBIDO]]-DATE(2023,8,30), "")</f>
        <v/>
      </c>
    </row>
    <row r="5633" spans="1:37" ht="16.05" customHeight="1">
      <c r="A5633" s="172" t="s">
        <v>5038</v>
      </c>
      <c r="B5633" s="178">
        <v>2018</v>
      </c>
      <c r="C5633" s="179" t="s">
        <v>2699</v>
      </c>
      <c r="D5633">
        <v>3835</v>
      </c>
      <c r="E5633" s="125" t="s">
        <v>4567</v>
      </c>
      <c r="F5633" s="178">
        <v>621</v>
      </c>
      <c r="G5633" s="178" t="s">
        <v>1617</v>
      </c>
      <c r="H5633">
        <v>798</v>
      </c>
      <c r="I5633" s="178" t="s">
        <v>1546</v>
      </c>
      <c r="J5633" s="320" t="s">
        <v>214</v>
      </c>
      <c r="K5633" s="178" t="s">
        <v>4872</v>
      </c>
      <c r="L5633" s="125" t="s">
        <v>110</v>
      </c>
      <c r="M5633">
        <v>1101</v>
      </c>
      <c r="N5633" s="182">
        <v>210</v>
      </c>
      <c r="O5633">
        <v>3665</v>
      </c>
      <c r="P5633" s="132" t="s">
        <v>77</v>
      </c>
      <c r="Q5633" s="176">
        <v>1250</v>
      </c>
      <c r="R5633" s="176">
        <v>200</v>
      </c>
      <c r="S5633" s="176"/>
      <c r="T5633" s="190">
        <v>133.33000000000001</v>
      </c>
      <c r="U5633" s="191">
        <v>0</v>
      </c>
      <c r="V5633" s="191">
        <v>1316.67</v>
      </c>
      <c r="W5633">
        <v>397</v>
      </c>
      <c r="X5633" s="186" t="s">
        <v>2024</v>
      </c>
      <c r="Y5633" s="187" t="s">
        <v>55</v>
      </c>
      <c r="Z5633" s="311">
        <v>275</v>
      </c>
      <c r="AB5633" t="str">
        <f>IF(Table1[[#This Row],[TIPO2]]="costo", VLOOKUP(Table1[[#This Row],[PARTIDA PRESUPUESTAL]],'Cost Report'!G:G,1,0),"Balance")</f>
        <v>3145-064</v>
      </c>
      <c r="AD5633" s="159">
        <f>+Table1[[#This Row],[SUBTOTAL]]+Table1[[#This Row],[IVA]]-Table1[[#This Row],[RET IVA]]-Table1[[#This Row],[RET ISR]]-Table1[[#This Row],[TOTAL]]</f>
        <v>0</v>
      </c>
      <c r="AK5633" s="306" t="str">
        <f>IF(ISNUMBER(Table1[[#This Row],[FECHA DE RECIBIDO]]), Table1[[#This Row],[FECHA DE RECIBIDO]]-DATE(2023,8,30), "")</f>
        <v/>
      </c>
    </row>
    <row r="5634" spans="1:37" ht="16.05" customHeight="1">
      <c r="A5634" s="172" t="s">
        <v>5039</v>
      </c>
      <c r="B5634" s="178">
        <v>2019</v>
      </c>
      <c r="C5634" s="179" t="s">
        <v>2692</v>
      </c>
      <c r="D5634">
        <v>3836</v>
      </c>
      <c r="E5634" s="125" t="s">
        <v>4567</v>
      </c>
      <c r="F5634" s="178">
        <v>621</v>
      </c>
      <c r="G5634" s="178" t="s">
        <v>1617</v>
      </c>
      <c r="H5634">
        <v>798</v>
      </c>
      <c r="I5634" s="178" t="s">
        <v>1546</v>
      </c>
      <c r="J5634" s="320" t="s">
        <v>214</v>
      </c>
      <c r="K5634" s="178" t="s">
        <v>4872</v>
      </c>
      <c r="L5634" s="125" t="s">
        <v>110</v>
      </c>
      <c r="M5634">
        <v>1101</v>
      </c>
      <c r="N5634" s="182">
        <v>210</v>
      </c>
      <c r="O5634">
        <v>3666</v>
      </c>
      <c r="P5634" s="132" t="s">
        <v>77</v>
      </c>
      <c r="Q5634" s="176">
        <v>7500</v>
      </c>
      <c r="R5634" s="176">
        <v>1200</v>
      </c>
      <c r="S5634" s="176"/>
      <c r="T5634" s="190">
        <v>800</v>
      </c>
      <c r="U5634" s="191">
        <v>0</v>
      </c>
      <c r="V5634" s="191">
        <v>7900</v>
      </c>
      <c r="W5634">
        <v>397</v>
      </c>
      <c r="X5634" s="186" t="s">
        <v>2024</v>
      </c>
      <c r="Y5634" s="187" t="s">
        <v>55</v>
      </c>
      <c r="Z5634" s="311">
        <v>275</v>
      </c>
      <c r="AB5634" t="str">
        <f>IF(Table1[[#This Row],[TIPO2]]="costo", VLOOKUP(Table1[[#This Row],[PARTIDA PRESUPUESTAL]],'Cost Report'!G:G,1,0),"Balance")</f>
        <v>3145-051</v>
      </c>
      <c r="AD5634" s="159">
        <f>+Table1[[#This Row],[SUBTOTAL]]+Table1[[#This Row],[IVA]]-Table1[[#This Row],[RET IVA]]-Table1[[#This Row],[RET ISR]]-Table1[[#This Row],[TOTAL]]</f>
        <v>0</v>
      </c>
      <c r="AK5634" s="306" t="str">
        <f>IF(ISNUMBER(Table1[[#This Row],[FECHA DE RECIBIDO]]), Table1[[#This Row],[FECHA DE RECIBIDO]]-DATE(2023,8,30), "")</f>
        <v/>
      </c>
    </row>
    <row r="5635" spans="1:37" ht="16.05" customHeight="1">
      <c r="A5635" s="172" t="s">
        <v>5040</v>
      </c>
      <c r="B5635" s="178">
        <v>2020</v>
      </c>
      <c r="C5635" s="179" t="s">
        <v>912</v>
      </c>
      <c r="D5635">
        <v>3837</v>
      </c>
      <c r="E5635" s="125" t="s">
        <v>1629</v>
      </c>
      <c r="F5635" s="178">
        <v>626</v>
      </c>
      <c r="G5635" s="178" t="s">
        <v>109</v>
      </c>
      <c r="H5635">
        <v>361</v>
      </c>
      <c r="I5635" s="178" t="s">
        <v>1546</v>
      </c>
      <c r="J5635" s="320" t="s">
        <v>214</v>
      </c>
      <c r="K5635" s="178" t="s">
        <v>4872</v>
      </c>
      <c r="L5635" s="125" t="s">
        <v>110</v>
      </c>
      <c r="M5635">
        <v>479</v>
      </c>
      <c r="N5635" s="182">
        <v>103</v>
      </c>
      <c r="O5635">
        <v>3667</v>
      </c>
      <c r="P5635" s="132" t="s">
        <v>77</v>
      </c>
      <c r="Q5635" s="176">
        <v>16000</v>
      </c>
      <c r="R5635" s="176">
        <v>2560</v>
      </c>
      <c r="S5635" s="176"/>
      <c r="T5635" s="190">
        <v>1706.67</v>
      </c>
      <c r="U5635" s="191">
        <v>200</v>
      </c>
      <c r="V5635" s="191">
        <v>16653.330000000002</v>
      </c>
      <c r="W5635">
        <v>198</v>
      </c>
      <c r="X5635" s="186" t="s">
        <v>1430</v>
      </c>
      <c r="Y5635" s="187" t="s">
        <v>55</v>
      </c>
      <c r="Z5635" s="311">
        <v>275</v>
      </c>
      <c r="AB5635" t="str">
        <f>IF(Table1[[#This Row],[TIPO2]]="costo", VLOOKUP(Table1[[#This Row],[PARTIDA PRESUPUESTAL]],'Cost Report'!G:G,1,0),"Balance")</f>
        <v>3201-005</v>
      </c>
      <c r="AD5635" s="159">
        <f>+Table1[[#This Row],[SUBTOTAL]]+Table1[[#This Row],[IVA]]-Table1[[#This Row],[RET IVA]]-Table1[[#This Row],[RET ISR]]-Table1[[#This Row],[TOTAL]]</f>
        <v>0</v>
      </c>
      <c r="AK5635" s="306" t="str">
        <f>IF(ISNUMBER(Table1[[#This Row],[FECHA DE RECIBIDO]]), Table1[[#This Row],[FECHA DE RECIBIDO]]-DATE(2023,8,30), "")</f>
        <v/>
      </c>
    </row>
    <row r="5636" spans="1:37" ht="16.05" customHeight="1">
      <c r="A5636" s="172" t="s">
        <v>5041</v>
      </c>
      <c r="B5636" s="178">
        <v>2021</v>
      </c>
      <c r="C5636" s="179" t="s">
        <v>912</v>
      </c>
      <c r="D5636">
        <v>3838</v>
      </c>
      <c r="E5636" s="125" t="s">
        <v>1629</v>
      </c>
      <c r="F5636" s="178">
        <v>626</v>
      </c>
      <c r="G5636" s="178" t="s">
        <v>109</v>
      </c>
      <c r="H5636">
        <v>361</v>
      </c>
      <c r="I5636" s="178" t="s">
        <v>1546</v>
      </c>
      <c r="J5636" s="320" t="s">
        <v>214</v>
      </c>
      <c r="K5636" s="178" t="s">
        <v>4872</v>
      </c>
      <c r="L5636" s="125" t="s">
        <v>110</v>
      </c>
      <c r="M5636">
        <v>479</v>
      </c>
      <c r="N5636" s="182">
        <v>103</v>
      </c>
      <c r="O5636">
        <v>3668</v>
      </c>
      <c r="P5636" s="132" t="s">
        <v>77</v>
      </c>
      <c r="Q5636" s="176">
        <v>12000</v>
      </c>
      <c r="R5636" s="176">
        <v>1920</v>
      </c>
      <c r="S5636" s="176"/>
      <c r="T5636" s="190">
        <v>1280</v>
      </c>
      <c r="U5636" s="191">
        <v>150</v>
      </c>
      <c r="V5636" s="191">
        <v>12490</v>
      </c>
      <c r="W5636">
        <v>198</v>
      </c>
      <c r="X5636" s="186" t="s">
        <v>1430</v>
      </c>
      <c r="Y5636" s="187" t="s">
        <v>55</v>
      </c>
      <c r="Z5636" s="311">
        <v>275</v>
      </c>
      <c r="AB5636" t="str">
        <f>IF(Table1[[#This Row],[TIPO2]]="costo", VLOOKUP(Table1[[#This Row],[PARTIDA PRESUPUESTAL]],'Cost Report'!G:G,1,0),"Balance")</f>
        <v>3201-005</v>
      </c>
      <c r="AD5636" s="159">
        <f>+Table1[[#This Row],[SUBTOTAL]]+Table1[[#This Row],[IVA]]-Table1[[#This Row],[RET IVA]]-Table1[[#This Row],[RET ISR]]-Table1[[#This Row],[TOTAL]]</f>
        <v>0</v>
      </c>
      <c r="AK5636" s="306" t="str">
        <f>IF(ISNUMBER(Table1[[#This Row],[FECHA DE RECIBIDO]]), Table1[[#This Row],[FECHA DE RECIBIDO]]-DATE(2023,8,30), "")</f>
        <v/>
      </c>
    </row>
    <row r="5637" spans="1:37" ht="16.05" customHeight="1">
      <c r="A5637" s="172" t="s">
        <v>5042</v>
      </c>
      <c r="B5637" s="178">
        <v>2022</v>
      </c>
      <c r="C5637" s="179" t="s">
        <v>2619</v>
      </c>
      <c r="D5637">
        <v>3839</v>
      </c>
      <c r="E5637" s="125" t="s">
        <v>4027</v>
      </c>
      <c r="F5637" s="178">
        <v>626</v>
      </c>
      <c r="G5637" s="178" t="s">
        <v>109</v>
      </c>
      <c r="H5637">
        <v>528</v>
      </c>
      <c r="I5637" s="178" t="s">
        <v>1546</v>
      </c>
      <c r="J5637" s="320" t="s">
        <v>214</v>
      </c>
      <c r="K5637" s="178" t="s">
        <v>4872</v>
      </c>
      <c r="L5637" s="125" t="s">
        <v>110</v>
      </c>
      <c r="M5637">
        <v>752</v>
      </c>
      <c r="N5637" s="182">
        <v>158</v>
      </c>
      <c r="O5637">
        <v>3669</v>
      </c>
      <c r="P5637" s="132" t="s">
        <v>77</v>
      </c>
      <c r="Q5637" s="176">
        <v>2385.8000000000002</v>
      </c>
      <c r="R5637" s="176">
        <v>381.73</v>
      </c>
      <c r="S5637" s="176"/>
      <c r="T5637" s="190">
        <v>254.49</v>
      </c>
      <c r="U5637" s="191">
        <v>29.82</v>
      </c>
      <c r="V5637" s="191">
        <v>2483.2199999999998</v>
      </c>
      <c r="W5637">
        <v>300</v>
      </c>
      <c r="X5637" s="186" t="s">
        <v>1429</v>
      </c>
      <c r="Y5637" s="187" t="s">
        <v>55</v>
      </c>
      <c r="Z5637" s="311">
        <v>275</v>
      </c>
      <c r="AB5637" t="str">
        <f>IF(Table1[[#This Row],[TIPO2]]="costo", VLOOKUP(Table1[[#This Row],[PARTIDA PRESUPUESTAL]],'Cost Report'!G:G,1,0),"Balance")</f>
        <v>2902-022</v>
      </c>
      <c r="AD5637" s="159">
        <f>+Table1[[#This Row],[SUBTOTAL]]+Table1[[#This Row],[IVA]]-Table1[[#This Row],[RET IVA]]-Table1[[#This Row],[RET ISR]]-Table1[[#This Row],[TOTAL]]</f>
        <v>0</v>
      </c>
      <c r="AK5637" s="306" t="str">
        <f>IF(ISNUMBER(Table1[[#This Row],[FECHA DE RECIBIDO]]), Table1[[#This Row],[FECHA DE RECIBIDO]]-DATE(2023,8,30), "")</f>
        <v/>
      </c>
    </row>
    <row r="5638" spans="1:37" ht="16.05" customHeight="1">
      <c r="A5638" s="172" t="s">
        <v>5043</v>
      </c>
      <c r="B5638" s="178">
        <v>2023</v>
      </c>
      <c r="C5638" s="179" t="s">
        <v>2623</v>
      </c>
      <c r="D5638">
        <v>3840</v>
      </c>
      <c r="E5638" s="125" t="s">
        <v>3373</v>
      </c>
      <c r="F5638" s="178">
        <v>626</v>
      </c>
      <c r="G5638" s="178" t="s">
        <v>109</v>
      </c>
      <c r="H5638">
        <v>929</v>
      </c>
      <c r="I5638" s="178" t="s">
        <v>1546</v>
      </c>
      <c r="J5638" s="320" t="s">
        <v>214</v>
      </c>
      <c r="K5638" s="178" t="s">
        <v>4872</v>
      </c>
      <c r="L5638" s="125" t="s">
        <v>110</v>
      </c>
      <c r="M5638">
        <v>1291</v>
      </c>
      <c r="N5638" s="182">
        <v>234</v>
      </c>
      <c r="O5638">
        <v>3670</v>
      </c>
      <c r="P5638" s="132" t="s">
        <v>77</v>
      </c>
      <c r="Q5638" s="176">
        <v>28634</v>
      </c>
      <c r="R5638" s="176">
        <v>4581.4399999999996</v>
      </c>
      <c r="S5638" s="176"/>
      <c r="T5638" s="190">
        <v>3054.3</v>
      </c>
      <c r="U5638" s="191">
        <v>357.92</v>
      </c>
      <c r="V5638" s="191">
        <v>29803.220000000005</v>
      </c>
      <c r="W5638">
        <v>461</v>
      </c>
      <c r="X5638" s="186" t="s">
        <v>1429</v>
      </c>
      <c r="Y5638" s="187" t="s">
        <v>55</v>
      </c>
      <c r="Z5638" s="311">
        <v>275</v>
      </c>
      <c r="AB5638" t="str">
        <f>IF(Table1[[#This Row],[TIPO2]]="costo", VLOOKUP(Table1[[#This Row],[PARTIDA PRESUPUESTAL]],'Cost Report'!G:G,1,0),"Balance")</f>
        <v>2902-028</v>
      </c>
      <c r="AD5638" s="159">
        <f>+Table1[[#This Row],[SUBTOTAL]]+Table1[[#This Row],[IVA]]-Table1[[#This Row],[RET IVA]]-Table1[[#This Row],[RET ISR]]-Table1[[#This Row],[TOTAL]]</f>
        <v>0</v>
      </c>
      <c r="AK5638" s="306" t="str">
        <f>IF(ISNUMBER(Table1[[#This Row],[FECHA DE RECIBIDO]]), Table1[[#This Row],[FECHA DE RECIBIDO]]-DATE(2023,8,30), "")</f>
        <v/>
      </c>
    </row>
    <row r="5639" spans="1:37" ht="16.05" customHeight="1">
      <c r="A5639" s="172" t="s">
        <v>5044</v>
      </c>
      <c r="B5639" s="178">
        <v>2024</v>
      </c>
      <c r="C5639" s="179" t="s">
        <v>758</v>
      </c>
      <c r="D5639">
        <v>3841</v>
      </c>
      <c r="E5639" s="125" t="s">
        <v>3653</v>
      </c>
      <c r="F5639" s="178">
        <v>612</v>
      </c>
      <c r="G5639" s="178" t="s">
        <v>129</v>
      </c>
      <c r="H5639">
        <v>369</v>
      </c>
      <c r="I5639" s="178" t="s">
        <v>1546</v>
      </c>
      <c r="J5639" s="320" t="s">
        <v>214</v>
      </c>
      <c r="K5639" s="178" t="s">
        <v>4872</v>
      </c>
      <c r="L5639" s="125" t="s">
        <v>110</v>
      </c>
      <c r="M5639">
        <v>488</v>
      </c>
      <c r="N5639" s="182">
        <v>111</v>
      </c>
      <c r="O5639">
        <v>3671</v>
      </c>
      <c r="P5639" s="132" t="s">
        <v>77</v>
      </c>
      <c r="Q5639" s="176">
        <v>4023.32</v>
      </c>
      <c r="R5639" s="176">
        <v>643.73</v>
      </c>
      <c r="S5639" s="176"/>
      <c r="T5639" s="190">
        <v>429.16</v>
      </c>
      <c r="U5639" s="191">
        <v>402.33</v>
      </c>
      <c r="V5639" s="191">
        <v>3835.5600000000004</v>
      </c>
      <c r="W5639">
        <v>207</v>
      </c>
      <c r="X5639" s="186" t="s">
        <v>1433</v>
      </c>
      <c r="Y5639" s="187" t="s">
        <v>55</v>
      </c>
      <c r="Z5639" s="311">
        <v>275</v>
      </c>
      <c r="AB5639" t="str">
        <f>IF(Table1[[#This Row],[TIPO2]]="costo", VLOOKUP(Table1[[#This Row],[PARTIDA PRESUPUESTAL]],'Cost Report'!G:G,1,0),"Balance")</f>
        <v>3003-005</v>
      </c>
      <c r="AD5639" s="159">
        <f>+Table1[[#This Row],[SUBTOTAL]]+Table1[[#This Row],[IVA]]-Table1[[#This Row],[RET IVA]]-Table1[[#This Row],[RET ISR]]-Table1[[#This Row],[TOTAL]]</f>
        <v>0</v>
      </c>
      <c r="AK5639" s="306" t="str">
        <f>IF(ISNUMBER(Table1[[#This Row],[FECHA DE RECIBIDO]]), Table1[[#This Row],[FECHA DE RECIBIDO]]-DATE(2023,8,30), "")</f>
        <v/>
      </c>
    </row>
    <row r="5640" spans="1:37" ht="16.05" customHeight="1">
      <c r="A5640" s="172" t="s">
        <v>5045</v>
      </c>
      <c r="B5640" s="178">
        <v>2025</v>
      </c>
      <c r="C5640" s="179" t="s">
        <v>762</v>
      </c>
      <c r="D5640">
        <v>3842</v>
      </c>
      <c r="E5640" s="125" t="s">
        <v>3654</v>
      </c>
      <c r="F5640" s="178">
        <v>626</v>
      </c>
      <c r="G5640" s="178" t="s">
        <v>109</v>
      </c>
      <c r="H5640">
        <v>370</v>
      </c>
      <c r="I5640" s="178" t="s">
        <v>1546</v>
      </c>
      <c r="J5640" s="320" t="s">
        <v>214</v>
      </c>
      <c r="K5640" s="178" t="s">
        <v>4872</v>
      </c>
      <c r="L5640" s="125" t="s">
        <v>110</v>
      </c>
      <c r="M5640">
        <v>489</v>
      </c>
      <c r="N5640" s="182">
        <v>112</v>
      </c>
      <c r="O5640">
        <v>3672</v>
      </c>
      <c r="P5640" s="132" t="s">
        <v>77</v>
      </c>
      <c r="Q5640" s="176">
        <v>3258.33</v>
      </c>
      <c r="R5640" s="176">
        <v>521.33000000000004</v>
      </c>
      <c r="S5640" s="176"/>
      <c r="T5640" s="190">
        <v>347.55</v>
      </c>
      <c r="U5640" s="191">
        <v>40.729999999999997</v>
      </c>
      <c r="V5640" s="191">
        <v>3391.3799999999997</v>
      </c>
      <c r="W5640">
        <v>208</v>
      </c>
      <c r="X5640" s="186" t="s">
        <v>1431</v>
      </c>
      <c r="Y5640" s="187" t="s">
        <v>55</v>
      </c>
      <c r="Z5640" s="311">
        <v>275</v>
      </c>
      <c r="AB5640" t="str">
        <f>IF(Table1[[#This Row],[TIPO2]]="costo", VLOOKUP(Table1[[#This Row],[PARTIDA PRESUPUESTAL]],'Cost Report'!G:G,1,0),"Balance")</f>
        <v>3003-011</v>
      </c>
      <c r="AD5640" s="159">
        <f>+Table1[[#This Row],[SUBTOTAL]]+Table1[[#This Row],[IVA]]-Table1[[#This Row],[RET IVA]]-Table1[[#This Row],[RET ISR]]-Table1[[#This Row],[TOTAL]]</f>
        <v>0</v>
      </c>
      <c r="AK5640" s="306" t="str">
        <f>IF(ISNUMBER(Table1[[#This Row],[FECHA DE RECIBIDO]]), Table1[[#This Row],[FECHA DE RECIBIDO]]-DATE(2023,8,30), "")</f>
        <v/>
      </c>
    </row>
    <row r="5641" spans="1:37" ht="16.05" customHeight="1">
      <c r="A5641" s="172" t="s">
        <v>5046</v>
      </c>
      <c r="B5641" s="178">
        <v>2026</v>
      </c>
      <c r="C5641" s="179" t="s">
        <v>770</v>
      </c>
      <c r="D5641">
        <v>3843</v>
      </c>
      <c r="E5641" s="125" t="s">
        <v>3655</v>
      </c>
      <c r="F5641" s="178">
        <v>626</v>
      </c>
      <c r="G5641" s="178" t="s">
        <v>109</v>
      </c>
      <c r="H5641">
        <v>371</v>
      </c>
      <c r="I5641" s="178" t="s">
        <v>1546</v>
      </c>
      <c r="J5641" s="320" t="s">
        <v>214</v>
      </c>
      <c r="K5641" s="178" t="s">
        <v>4872</v>
      </c>
      <c r="L5641" s="125" t="s">
        <v>110</v>
      </c>
      <c r="M5641">
        <v>490</v>
      </c>
      <c r="N5641" s="182">
        <v>113</v>
      </c>
      <c r="O5641">
        <v>3673</v>
      </c>
      <c r="P5641" s="132" t="s">
        <v>77</v>
      </c>
      <c r="Q5641" s="176">
        <v>3450</v>
      </c>
      <c r="R5641" s="176">
        <v>552</v>
      </c>
      <c r="S5641" s="176"/>
      <c r="T5641" s="190">
        <v>368</v>
      </c>
      <c r="U5641" s="191">
        <v>43.13</v>
      </c>
      <c r="V5641" s="191">
        <v>3590.87</v>
      </c>
      <c r="W5641">
        <v>209</v>
      </c>
      <c r="X5641" s="186" t="s">
        <v>1429</v>
      </c>
      <c r="Y5641" s="187" t="s">
        <v>55</v>
      </c>
      <c r="Z5641" s="311">
        <v>275</v>
      </c>
      <c r="AB5641" t="str">
        <f>IF(Table1[[#This Row],[TIPO2]]="costo", VLOOKUP(Table1[[#This Row],[PARTIDA PRESUPUESTAL]],'Cost Report'!G:G,1,0),"Balance")</f>
        <v>3003-023</v>
      </c>
      <c r="AD5641" s="159">
        <f>+Table1[[#This Row],[SUBTOTAL]]+Table1[[#This Row],[IVA]]-Table1[[#This Row],[RET IVA]]-Table1[[#This Row],[RET ISR]]-Table1[[#This Row],[TOTAL]]</f>
        <v>0</v>
      </c>
      <c r="AK5641" s="306" t="str">
        <f>IF(ISNUMBER(Table1[[#This Row],[FECHA DE RECIBIDO]]), Table1[[#This Row],[FECHA DE RECIBIDO]]-DATE(2023,8,30), "")</f>
        <v/>
      </c>
    </row>
    <row r="5642" spans="1:37" ht="16.05" customHeight="1">
      <c r="A5642" s="172" t="s">
        <v>5047</v>
      </c>
      <c r="B5642" s="178">
        <v>2027</v>
      </c>
      <c r="C5642" s="179" t="s">
        <v>766</v>
      </c>
      <c r="D5642">
        <v>3844</v>
      </c>
      <c r="E5642" s="125" t="s">
        <v>3782</v>
      </c>
      <c r="F5642" s="178">
        <v>626</v>
      </c>
      <c r="G5642" s="178" t="s">
        <v>109</v>
      </c>
      <c r="H5642">
        <v>441</v>
      </c>
      <c r="I5642" s="178" t="s">
        <v>1546</v>
      </c>
      <c r="J5642" s="320" t="s">
        <v>214</v>
      </c>
      <c r="K5642" s="178" t="s">
        <v>4872</v>
      </c>
      <c r="L5642" s="125" t="s">
        <v>110</v>
      </c>
      <c r="M5642">
        <v>610</v>
      </c>
      <c r="N5642" s="182">
        <v>119</v>
      </c>
      <c r="O5642">
        <v>3674</v>
      </c>
      <c r="P5642" s="132" t="s">
        <v>77</v>
      </c>
      <c r="Q5642" s="176">
        <v>3450</v>
      </c>
      <c r="R5642" s="176">
        <v>552</v>
      </c>
      <c r="S5642" s="176"/>
      <c r="T5642" s="190">
        <v>368</v>
      </c>
      <c r="U5642" s="191">
        <v>43.13</v>
      </c>
      <c r="V5642" s="191">
        <v>3590.87</v>
      </c>
      <c r="W5642">
        <v>228</v>
      </c>
      <c r="X5642" s="186" t="s">
        <v>1429</v>
      </c>
      <c r="Y5642" s="187" t="s">
        <v>55</v>
      </c>
      <c r="Z5642" s="311">
        <v>275</v>
      </c>
      <c r="AB5642" t="str">
        <f>IF(Table1[[#This Row],[TIPO2]]="costo", VLOOKUP(Table1[[#This Row],[PARTIDA PRESUPUESTAL]],'Cost Report'!G:G,1,0),"Balance")</f>
        <v>3003-017</v>
      </c>
      <c r="AD5642" s="159">
        <f>+Table1[[#This Row],[SUBTOTAL]]+Table1[[#This Row],[IVA]]-Table1[[#This Row],[RET IVA]]-Table1[[#This Row],[RET ISR]]-Table1[[#This Row],[TOTAL]]</f>
        <v>0</v>
      </c>
      <c r="AK5642" s="306" t="str">
        <f>IF(ISNUMBER(Table1[[#This Row],[FECHA DE RECIBIDO]]), Table1[[#This Row],[FECHA DE RECIBIDO]]-DATE(2023,8,30), "")</f>
        <v/>
      </c>
    </row>
    <row r="5643" spans="1:37" ht="16.05" customHeight="1">
      <c r="A5643" s="172" t="s">
        <v>5048</v>
      </c>
      <c r="B5643" s="178">
        <v>2028</v>
      </c>
      <c r="C5643" s="179" t="s">
        <v>1028</v>
      </c>
      <c r="D5643">
        <v>3845</v>
      </c>
      <c r="E5643" s="125" t="s">
        <v>3656</v>
      </c>
      <c r="F5643" s="178">
        <v>612</v>
      </c>
      <c r="G5643" s="178" t="s">
        <v>129</v>
      </c>
      <c r="H5643">
        <v>372</v>
      </c>
      <c r="I5643" s="178" t="s">
        <v>1546</v>
      </c>
      <c r="J5643" s="320" t="s">
        <v>214</v>
      </c>
      <c r="K5643" s="178" t="s">
        <v>4872</v>
      </c>
      <c r="L5643" s="125" t="s">
        <v>110</v>
      </c>
      <c r="M5643">
        <v>491</v>
      </c>
      <c r="N5643" s="182">
        <v>114</v>
      </c>
      <c r="O5643">
        <v>3675</v>
      </c>
      <c r="P5643" s="132" t="s">
        <v>77</v>
      </c>
      <c r="Q5643" s="176">
        <v>8000</v>
      </c>
      <c r="R5643" s="176">
        <v>1280</v>
      </c>
      <c r="S5643" s="176"/>
      <c r="T5643" s="190">
        <v>853.34</v>
      </c>
      <c r="U5643" s="191">
        <v>800</v>
      </c>
      <c r="V5643" s="191">
        <v>7626.66</v>
      </c>
      <c r="W5643">
        <v>210</v>
      </c>
      <c r="X5643" s="186" t="s">
        <v>3684</v>
      </c>
      <c r="Y5643" s="187" t="s">
        <v>55</v>
      </c>
      <c r="Z5643" s="311">
        <v>275</v>
      </c>
      <c r="AB5643" t="str">
        <f>IF(Table1[[#This Row],[TIPO2]]="costo", VLOOKUP(Table1[[#This Row],[PARTIDA PRESUPUESTAL]],'Cost Report'!G:G,1,0),"Balance")</f>
        <v>3601-005</v>
      </c>
      <c r="AD5643" s="159">
        <f>+Table1[[#This Row],[SUBTOTAL]]+Table1[[#This Row],[IVA]]-Table1[[#This Row],[RET IVA]]-Table1[[#This Row],[RET ISR]]-Table1[[#This Row],[TOTAL]]</f>
        <v>0</v>
      </c>
      <c r="AK5643" s="306" t="str">
        <f>IF(ISNUMBER(Table1[[#This Row],[FECHA DE RECIBIDO]]), Table1[[#This Row],[FECHA DE RECIBIDO]]-DATE(2023,8,30), "")</f>
        <v/>
      </c>
    </row>
    <row r="5644" spans="1:37" ht="16.05" customHeight="1">
      <c r="A5644" s="172" t="s">
        <v>5049</v>
      </c>
      <c r="B5644" s="178">
        <v>2029</v>
      </c>
      <c r="C5644" s="179" t="s">
        <v>312</v>
      </c>
      <c r="D5644">
        <v>3846</v>
      </c>
      <c r="E5644" s="125" t="s">
        <v>1645</v>
      </c>
      <c r="F5644" s="178">
        <v>612</v>
      </c>
      <c r="G5644" s="178" t="s">
        <v>129</v>
      </c>
      <c r="H5644">
        <v>531</v>
      </c>
      <c r="I5644" s="178" t="s">
        <v>1546</v>
      </c>
      <c r="J5644" s="320" t="s">
        <v>214</v>
      </c>
      <c r="K5644" s="178" t="s">
        <v>4872</v>
      </c>
      <c r="L5644" s="125" t="s">
        <v>110</v>
      </c>
      <c r="M5644">
        <v>755</v>
      </c>
      <c r="N5644" s="182">
        <v>161</v>
      </c>
      <c r="O5644">
        <v>3676</v>
      </c>
      <c r="P5644" s="132" t="s">
        <v>77</v>
      </c>
      <c r="Q5644" s="176">
        <v>47250</v>
      </c>
      <c r="R5644" s="176">
        <v>7560</v>
      </c>
      <c r="S5644" s="176"/>
      <c r="T5644" s="190">
        <v>5040.0200000000004</v>
      </c>
      <c r="U5644" s="191">
        <v>4725</v>
      </c>
      <c r="V5644" s="191">
        <v>45044.979999999996</v>
      </c>
      <c r="W5644">
        <v>303</v>
      </c>
      <c r="X5644" s="186" t="s">
        <v>1430</v>
      </c>
      <c r="Y5644" s="187" t="s">
        <v>55</v>
      </c>
      <c r="Z5644" s="311">
        <v>275</v>
      </c>
      <c r="AB5644" t="str">
        <f>IF(Table1[[#This Row],[TIPO2]]="costo", VLOOKUP(Table1[[#This Row],[PARTIDA PRESUPUESTAL]],'Cost Report'!G:G,1,0),"Balance")</f>
        <v>1403-002</v>
      </c>
      <c r="AD5644" s="159">
        <f>+Table1[[#This Row],[SUBTOTAL]]+Table1[[#This Row],[IVA]]-Table1[[#This Row],[RET IVA]]-Table1[[#This Row],[RET ISR]]-Table1[[#This Row],[TOTAL]]</f>
        <v>0</v>
      </c>
      <c r="AK5644" s="306" t="str">
        <f>IF(ISNUMBER(Table1[[#This Row],[FECHA DE RECIBIDO]]), Table1[[#This Row],[FECHA DE RECIBIDO]]-DATE(2023,8,30), "")</f>
        <v/>
      </c>
    </row>
    <row r="5645" spans="1:37" ht="16.05" customHeight="1">
      <c r="A5645" s="172" t="s">
        <v>5050</v>
      </c>
      <c r="B5645" s="178">
        <v>2030</v>
      </c>
      <c r="C5645" s="179" t="s">
        <v>2206</v>
      </c>
      <c r="D5645">
        <v>3847</v>
      </c>
      <c r="E5645" s="125" t="s">
        <v>4559</v>
      </c>
      <c r="F5645" s="178">
        <v>626</v>
      </c>
      <c r="G5645" s="178" t="s">
        <v>109</v>
      </c>
      <c r="H5645">
        <v>793</v>
      </c>
      <c r="I5645" s="178" t="s">
        <v>1546</v>
      </c>
      <c r="J5645" s="320" t="s">
        <v>214</v>
      </c>
      <c r="K5645" s="178" t="s">
        <v>4872</v>
      </c>
      <c r="L5645" s="125" t="s">
        <v>110</v>
      </c>
      <c r="M5645">
        <v>1096</v>
      </c>
      <c r="N5645" s="182">
        <v>205</v>
      </c>
      <c r="O5645">
        <v>3677</v>
      </c>
      <c r="P5645" s="132" t="s">
        <v>77</v>
      </c>
      <c r="Q5645" s="176">
        <v>38850</v>
      </c>
      <c r="R5645" s="176">
        <v>6216</v>
      </c>
      <c r="S5645" s="176"/>
      <c r="T5645" s="190">
        <v>4144.01</v>
      </c>
      <c r="U5645" s="191">
        <v>485.63</v>
      </c>
      <c r="V5645" s="191">
        <v>40436.36</v>
      </c>
      <c r="W5645">
        <v>392</v>
      </c>
      <c r="X5645" s="186" t="s">
        <v>2024</v>
      </c>
      <c r="Y5645" s="187" t="s">
        <v>55</v>
      </c>
      <c r="Z5645" s="311">
        <v>275</v>
      </c>
      <c r="AB5645" t="str">
        <f>IF(Table1[[#This Row],[TIPO2]]="costo", VLOOKUP(Table1[[#This Row],[PARTIDA PRESUPUESTAL]],'Cost Report'!G:G,1,0),"Balance")</f>
        <v>1403-079</v>
      </c>
      <c r="AD5645" s="159">
        <f>+Table1[[#This Row],[SUBTOTAL]]+Table1[[#This Row],[IVA]]-Table1[[#This Row],[RET IVA]]-Table1[[#This Row],[RET ISR]]-Table1[[#This Row],[TOTAL]]</f>
        <v>0</v>
      </c>
      <c r="AK5645" s="306" t="str">
        <f>IF(ISNUMBER(Table1[[#This Row],[FECHA DE RECIBIDO]]), Table1[[#This Row],[FECHA DE RECIBIDO]]-DATE(2023,8,30), "")</f>
        <v/>
      </c>
    </row>
    <row r="5646" spans="1:37" ht="16.05" customHeight="1">
      <c r="A5646" s="172" t="s">
        <v>5051</v>
      </c>
      <c r="B5646" s="178">
        <v>2031</v>
      </c>
      <c r="C5646" s="179" t="s">
        <v>356</v>
      </c>
      <c r="D5646">
        <v>3848</v>
      </c>
      <c r="E5646" s="125" t="s">
        <v>4185</v>
      </c>
      <c r="F5646" s="178">
        <v>612</v>
      </c>
      <c r="G5646" s="178" t="s">
        <v>129</v>
      </c>
      <c r="H5646">
        <v>930</v>
      </c>
      <c r="I5646" s="178" t="s">
        <v>1546</v>
      </c>
      <c r="J5646" s="320" t="s">
        <v>214</v>
      </c>
      <c r="K5646" s="178" t="s">
        <v>4872</v>
      </c>
      <c r="L5646" s="125" t="s">
        <v>110</v>
      </c>
      <c r="M5646">
        <v>1292</v>
      </c>
      <c r="N5646" s="182">
        <v>235</v>
      </c>
      <c r="O5646">
        <v>3678</v>
      </c>
      <c r="P5646" s="132" t="s">
        <v>77</v>
      </c>
      <c r="Q5646" s="176">
        <v>4285</v>
      </c>
      <c r="R5646" s="176">
        <v>685.6</v>
      </c>
      <c r="S5646" s="176"/>
      <c r="T5646" s="190">
        <v>457.07</v>
      </c>
      <c r="U5646" s="191">
        <v>428.5</v>
      </c>
      <c r="V5646" s="191">
        <v>4085.0300000000007</v>
      </c>
      <c r="W5646">
        <v>462</v>
      </c>
      <c r="X5646" s="186" t="s">
        <v>1431</v>
      </c>
      <c r="Y5646" s="187" t="s">
        <v>55</v>
      </c>
      <c r="Z5646" s="311">
        <v>275</v>
      </c>
      <c r="AB5646" t="str">
        <f>IF(Table1[[#This Row],[TIPO2]]="costo", VLOOKUP(Table1[[#This Row],[PARTIDA PRESUPUESTAL]],'Cost Report'!G:G,1,0),"Balance")</f>
        <v>1404-005</v>
      </c>
      <c r="AD5646" s="159">
        <f>+Table1[[#This Row],[SUBTOTAL]]+Table1[[#This Row],[IVA]]-Table1[[#This Row],[RET IVA]]-Table1[[#This Row],[RET ISR]]-Table1[[#This Row],[TOTAL]]</f>
        <v>0</v>
      </c>
      <c r="AK5646" s="306" t="str">
        <f>IF(ISNUMBER(Table1[[#This Row],[FECHA DE RECIBIDO]]), Table1[[#This Row],[FECHA DE RECIBIDO]]-DATE(2023,8,30), "")</f>
        <v/>
      </c>
    </row>
    <row r="5647" spans="1:37" ht="16.05" customHeight="1">
      <c r="A5647" s="172" t="s">
        <v>5052</v>
      </c>
      <c r="B5647" s="178">
        <v>2032</v>
      </c>
      <c r="C5647" s="179" t="s">
        <v>356</v>
      </c>
      <c r="D5647">
        <v>3849</v>
      </c>
      <c r="E5647" s="125" t="s">
        <v>3357</v>
      </c>
      <c r="F5647" s="178">
        <v>612</v>
      </c>
      <c r="G5647" s="178" t="s">
        <v>129</v>
      </c>
      <c r="H5647">
        <v>931</v>
      </c>
      <c r="I5647" s="178" t="s">
        <v>1546</v>
      </c>
      <c r="J5647" s="320" t="s">
        <v>214</v>
      </c>
      <c r="K5647" s="178" t="s">
        <v>4872</v>
      </c>
      <c r="L5647" s="125" t="s">
        <v>110</v>
      </c>
      <c r="M5647">
        <v>1293</v>
      </c>
      <c r="N5647" s="182">
        <v>236</v>
      </c>
      <c r="O5647">
        <v>3679</v>
      </c>
      <c r="P5647" s="132" t="s">
        <v>77</v>
      </c>
      <c r="Q5647" s="176">
        <v>4285</v>
      </c>
      <c r="R5647" s="176">
        <v>685.6</v>
      </c>
      <c r="S5647" s="176"/>
      <c r="T5647" s="190">
        <v>457.07</v>
      </c>
      <c r="U5647" s="191">
        <v>428.5</v>
      </c>
      <c r="V5647" s="191">
        <v>4085.0300000000007</v>
      </c>
      <c r="W5647">
        <v>463</v>
      </c>
      <c r="X5647" s="186" t="s">
        <v>2024</v>
      </c>
      <c r="Y5647" s="187" t="s">
        <v>55</v>
      </c>
      <c r="Z5647" s="311">
        <v>275</v>
      </c>
      <c r="AB5647" t="str">
        <f>IF(Table1[[#This Row],[TIPO2]]="costo", VLOOKUP(Table1[[#This Row],[PARTIDA PRESUPUESTAL]],'Cost Report'!G:G,1,0),"Balance")</f>
        <v>1404-005</v>
      </c>
      <c r="AD5647" s="159">
        <f>+Table1[[#This Row],[SUBTOTAL]]+Table1[[#This Row],[IVA]]-Table1[[#This Row],[RET IVA]]-Table1[[#This Row],[RET ISR]]-Table1[[#This Row],[TOTAL]]</f>
        <v>0</v>
      </c>
      <c r="AK5647" s="306" t="str">
        <f>IF(ISNUMBER(Table1[[#This Row],[FECHA DE RECIBIDO]]), Table1[[#This Row],[FECHA DE RECIBIDO]]-DATE(2023,8,30), "")</f>
        <v/>
      </c>
    </row>
    <row r="5648" spans="1:37" ht="16.05" customHeight="1">
      <c r="A5648" s="172" t="s">
        <v>5053</v>
      </c>
      <c r="B5648" s="178">
        <v>2033</v>
      </c>
      <c r="C5648" s="179" t="s">
        <v>2169</v>
      </c>
      <c r="D5648">
        <v>3850</v>
      </c>
      <c r="E5648" s="125" t="s">
        <v>5054</v>
      </c>
      <c r="F5648" s="178">
        <v>612</v>
      </c>
      <c r="G5648" s="178" t="s">
        <v>129</v>
      </c>
      <c r="H5648">
        <v>932</v>
      </c>
      <c r="I5648" s="178" t="s">
        <v>1546</v>
      </c>
      <c r="J5648" s="320" t="s">
        <v>214</v>
      </c>
      <c r="K5648" s="178" t="s">
        <v>4872</v>
      </c>
      <c r="L5648" s="125" t="s">
        <v>110</v>
      </c>
      <c r="M5648">
        <v>1294</v>
      </c>
      <c r="N5648" s="182">
        <v>237</v>
      </c>
      <c r="O5648">
        <v>3680</v>
      </c>
      <c r="P5648" s="132" t="s">
        <v>77</v>
      </c>
      <c r="Q5648" s="176">
        <v>352800</v>
      </c>
      <c r="R5648" s="176">
        <v>56448</v>
      </c>
      <c r="S5648" s="176"/>
      <c r="T5648" s="190">
        <v>37632.120000000003</v>
      </c>
      <c r="U5648" s="191">
        <v>35280</v>
      </c>
      <c r="V5648" s="191">
        <v>336335.88</v>
      </c>
      <c r="W5648">
        <v>464</v>
      </c>
      <c r="X5648" s="186" t="s">
        <v>1431</v>
      </c>
      <c r="Y5648" s="187" t="s">
        <v>55</v>
      </c>
      <c r="Z5648" s="311">
        <v>275</v>
      </c>
      <c r="AB5648" t="str">
        <f>IF(Table1[[#This Row],[TIPO2]]="costo", VLOOKUP(Table1[[#This Row],[PARTIDA PRESUPUESTAL]],'Cost Report'!G:G,1,0),"Balance")</f>
        <v>1401-050</v>
      </c>
      <c r="AD5648" s="159">
        <f>+Table1[[#This Row],[SUBTOTAL]]+Table1[[#This Row],[IVA]]-Table1[[#This Row],[RET IVA]]-Table1[[#This Row],[RET ISR]]-Table1[[#This Row],[TOTAL]]</f>
        <v>0</v>
      </c>
      <c r="AK5648" s="306" t="str">
        <f>IF(ISNUMBER(Table1[[#This Row],[FECHA DE RECIBIDO]]), Table1[[#This Row],[FECHA DE RECIBIDO]]-DATE(2023,8,30), "")</f>
        <v/>
      </c>
    </row>
    <row r="5649" spans="1:37" ht="16.05" customHeight="1">
      <c r="A5649" s="172" t="s">
        <v>5055</v>
      </c>
      <c r="B5649" s="178">
        <v>2034</v>
      </c>
      <c r="C5649" s="179" t="s">
        <v>2186</v>
      </c>
      <c r="D5649">
        <v>3851</v>
      </c>
      <c r="E5649" s="125" t="s">
        <v>5056</v>
      </c>
      <c r="F5649" s="178">
        <v>626</v>
      </c>
      <c r="G5649" s="178" t="s">
        <v>109</v>
      </c>
      <c r="H5649">
        <v>933</v>
      </c>
      <c r="I5649" s="178" t="s">
        <v>1546</v>
      </c>
      <c r="J5649" s="320" t="s">
        <v>214</v>
      </c>
      <c r="K5649" s="178" t="s">
        <v>4872</v>
      </c>
      <c r="L5649" s="125" t="s">
        <v>110</v>
      </c>
      <c r="M5649">
        <v>1295</v>
      </c>
      <c r="N5649" s="182">
        <v>238</v>
      </c>
      <c r="O5649">
        <v>3681</v>
      </c>
      <c r="P5649" s="132" t="s">
        <v>77</v>
      </c>
      <c r="Q5649" s="176">
        <v>416000</v>
      </c>
      <c r="R5649" s="176">
        <v>66560</v>
      </c>
      <c r="S5649" s="176"/>
      <c r="T5649" s="190">
        <v>44373.47</v>
      </c>
      <c r="U5649" s="191">
        <v>5200</v>
      </c>
      <c r="V5649" s="191">
        <v>432986.53</v>
      </c>
      <c r="W5649">
        <v>465</v>
      </c>
      <c r="X5649" s="186" t="s">
        <v>1431</v>
      </c>
      <c r="Y5649" s="187" t="s">
        <v>55</v>
      </c>
      <c r="Z5649" s="311">
        <v>275</v>
      </c>
      <c r="AB5649" t="str">
        <f>IF(Table1[[#This Row],[TIPO2]]="costo", VLOOKUP(Table1[[#This Row],[PARTIDA PRESUPUESTAL]],'Cost Report'!G:G,1,0),"Balance")</f>
        <v>1401-075</v>
      </c>
      <c r="AD5649" s="159">
        <f>+Table1[[#This Row],[SUBTOTAL]]+Table1[[#This Row],[IVA]]-Table1[[#This Row],[RET IVA]]-Table1[[#This Row],[RET ISR]]-Table1[[#This Row],[TOTAL]]</f>
        <v>0</v>
      </c>
      <c r="AK5649" s="306" t="str">
        <f>IF(ISNUMBER(Table1[[#This Row],[FECHA DE RECIBIDO]]), Table1[[#This Row],[FECHA DE RECIBIDO]]-DATE(2023,8,30), "")</f>
        <v/>
      </c>
    </row>
    <row r="5650" spans="1:37" ht="16.05" customHeight="1">
      <c r="A5650" s="172" t="s">
        <v>5057</v>
      </c>
      <c r="B5650" s="178">
        <v>2035</v>
      </c>
      <c r="C5650" s="179" t="s">
        <v>2174</v>
      </c>
      <c r="D5650">
        <v>3852</v>
      </c>
      <c r="E5650" s="125" t="s">
        <v>5058</v>
      </c>
      <c r="F5650" s="178">
        <v>612</v>
      </c>
      <c r="G5650" s="178" t="s">
        <v>129</v>
      </c>
      <c r="H5650">
        <v>934</v>
      </c>
      <c r="I5650" s="178" t="s">
        <v>1546</v>
      </c>
      <c r="J5650" s="320" t="s">
        <v>214</v>
      </c>
      <c r="K5650" s="178" t="s">
        <v>4872</v>
      </c>
      <c r="L5650" s="125" t="s">
        <v>110</v>
      </c>
      <c r="M5650">
        <v>1296</v>
      </c>
      <c r="N5650" s="182">
        <v>239</v>
      </c>
      <c r="O5650">
        <v>3682</v>
      </c>
      <c r="P5650" s="132" t="s">
        <v>77</v>
      </c>
      <c r="Q5650" s="176">
        <v>199500</v>
      </c>
      <c r="R5650" s="176">
        <v>31920</v>
      </c>
      <c r="S5650" s="176"/>
      <c r="T5650" s="190">
        <v>21279.87</v>
      </c>
      <c r="U5650" s="191">
        <v>19950</v>
      </c>
      <c r="V5650" s="191">
        <v>190190.13</v>
      </c>
      <c r="W5650">
        <v>466</v>
      </c>
      <c r="X5650" s="186" t="s">
        <v>4209</v>
      </c>
      <c r="Y5650" s="187" t="s">
        <v>55</v>
      </c>
      <c r="Z5650" s="311">
        <v>275</v>
      </c>
      <c r="AB5650" t="str">
        <f>IF(Table1[[#This Row],[TIPO2]]="costo", VLOOKUP(Table1[[#This Row],[PARTIDA PRESUPUESTAL]],'Cost Report'!G:G,1,0),"Balance")</f>
        <v>1401-057</v>
      </c>
      <c r="AD5650" s="159">
        <f>+Table1[[#This Row],[SUBTOTAL]]+Table1[[#This Row],[IVA]]-Table1[[#This Row],[RET IVA]]-Table1[[#This Row],[RET ISR]]-Table1[[#This Row],[TOTAL]]</f>
        <v>0</v>
      </c>
      <c r="AK5650" s="306" t="str">
        <f>IF(ISNUMBER(Table1[[#This Row],[FECHA DE RECIBIDO]]), Table1[[#This Row],[FECHA DE RECIBIDO]]-DATE(2023,8,30), "")</f>
        <v/>
      </c>
    </row>
    <row r="5651" spans="1:37" ht="16.05" customHeight="1">
      <c r="A5651" s="172" t="s">
        <v>5059</v>
      </c>
      <c r="B5651" s="178">
        <v>2036</v>
      </c>
      <c r="C5651" s="179" t="s">
        <v>2191</v>
      </c>
      <c r="D5651">
        <v>3853</v>
      </c>
      <c r="E5651" s="125" t="s">
        <v>3651</v>
      </c>
      <c r="F5651" s="178">
        <v>626</v>
      </c>
      <c r="G5651" s="178" t="s">
        <v>109</v>
      </c>
      <c r="H5651">
        <v>935</v>
      </c>
      <c r="I5651" s="178" t="s">
        <v>1546</v>
      </c>
      <c r="J5651" s="320" t="s">
        <v>214</v>
      </c>
      <c r="K5651" s="178" t="s">
        <v>4872</v>
      </c>
      <c r="L5651" s="125" t="s">
        <v>110</v>
      </c>
      <c r="M5651">
        <v>1297</v>
      </c>
      <c r="N5651" s="182">
        <v>240</v>
      </c>
      <c r="O5651">
        <v>3683</v>
      </c>
      <c r="P5651" s="132" t="s">
        <v>77</v>
      </c>
      <c r="Q5651" s="176">
        <v>50400</v>
      </c>
      <c r="R5651" s="176">
        <v>8064</v>
      </c>
      <c r="S5651" s="176"/>
      <c r="T5651" s="190">
        <v>5376.02</v>
      </c>
      <c r="U5651" s="191">
        <v>630</v>
      </c>
      <c r="V5651" s="191">
        <v>52457.979999999996</v>
      </c>
      <c r="W5651">
        <v>467</v>
      </c>
      <c r="X5651" s="186" t="s">
        <v>5060</v>
      </c>
      <c r="Y5651" s="187" t="s">
        <v>55</v>
      </c>
      <c r="Z5651" s="311">
        <v>275</v>
      </c>
      <c r="AB5651" t="str">
        <f>IF(Table1[[#This Row],[TIPO2]]="costo", VLOOKUP(Table1[[#This Row],[PARTIDA PRESUPUESTAL]],'Cost Report'!G:G,1,0),"Balance")</f>
        <v>1403-058</v>
      </c>
      <c r="AD5651" s="159">
        <f>+Table1[[#This Row],[SUBTOTAL]]+Table1[[#This Row],[IVA]]-Table1[[#This Row],[RET IVA]]-Table1[[#This Row],[RET ISR]]-Table1[[#This Row],[TOTAL]]</f>
        <v>0</v>
      </c>
      <c r="AK5651" s="306" t="str">
        <f>IF(ISNUMBER(Table1[[#This Row],[FECHA DE RECIBIDO]]), Table1[[#This Row],[FECHA DE RECIBIDO]]-DATE(2023,8,30), "")</f>
        <v/>
      </c>
    </row>
    <row r="5652" spans="1:37" ht="16.05" customHeight="1">
      <c r="A5652" s="172" t="s">
        <v>5061</v>
      </c>
      <c r="B5652" s="178">
        <v>2037</v>
      </c>
      <c r="C5652" s="179" t="s">
        <v>356</v>
      </c>
      <c r="D5652">
        <v>3854</v>
      </c>
      <c r="E5652" s="125">
        <v>45027</v>
      </c>
      <c r="F5652" s="178">
        <v>626</v>
      </c>
      <c r="G5652" s="178" t="s">
        <v>109</v>
      </c>
      <c r="H5652">
        <v>936</v>
      </c>
      <c r="I5652" s="178" t="s">
        <v>1546</v>
      </c>
      <c r="J5652" s="320">
        <v>273.68888888888614</v>
      </c>
      <c r="K5652" s="178" t="s">
        <v>4872</v>
      </c>
      <c r="L5652" s="125" t="s">
        <v>110</v>
      </c>
      <c r="M5652">
        <v>1298</v>
      </c>
      <c r="N5652" s="182">
        <v>241</v>
      </c>
      <c r="O5652">
        <v>3684</v>
      </c>
      <c r="P5652" s="132" t="s">
        <v>77</v>
      </c>
      <c r="Q5652" s="176">
        <v>5000</v>
      </c>
      <c r="R5652" s="176">
        <v>800</v>
      </c>
      <c r="S5652" s="176"/>
      <c r="T5652" s="190">
        <v>533.34</v>
      </c>
      <c r="U5652" s="191">
        <v>62.5</v>
      </c>
      <c r="V5652" s="191">
        <v>5204.16</v>
      </c>
      <c r="W5652">
        <v>468</v>
      </c>
      <c r="X5652" s="186" t="s">
        <v>1429</v>
      </c>
      <c r="Y5652" s="187" t="s">
        <v>55</v>
      </c>
      <c r="Z5652" s="311">
        <v>275</v>
      </c>
      <c r="AB5652" t="str">
        <f>IF(Table1[[#This Row],[TIPO2]]="costo", VLOOKUP(Table1[[#This Row],[PARTIDA PRESUPUESTAL]],'Cost Report'!G:G,1,0),"Balance")</f>
        <v>1404-005</v>
      </c>
      <c r="AD5652" s="159">
        <f>+Table1[[#This Row],[SUBTOTAL]]+Table1[[#This Row],[IVA]]-Table1[[#This Row],[RET IVA]]-Table1[[#This Row],[RET ISR]]-Table1[[#This Row],[TOTAL]]</f>
        <v>0</v>
      </c>
      <c r="AK5652" s="306">
        <f>IF(ISNUMBER(Table1[[#This Row],[FECHA DE RECIBIDO]]), Table1[[#This Row],[FECHA DE RECIBIDO]]-DATE(2023,8,30), "")</f>
        <v>-44894.311111111114</v>
      </c>
    </row>
    <row r="5653" spans="1:37" ht="16.05" customHeight="1">
      <c r="A5653" s="172" t="s">
        <v>5062</v>
      </c>
      <c r="B5653" s="178">
        <v>2038</v>
      </c>
      <c r="C5653" s="179" t="s">
        <v>3002</v>
      </c>
      <c r="D5653">
        <v>3855</v>
      </c>
      <c r="E5653" s="125" t="s">
        <v>4050</v>
      </c>
      <c r="F5653" s="178">
        <v>626</v>
      </c>
      <c r="G5653" s="178" t="s">
        <v>109</v>
      </c>
      <c r="H5653">
        <v>534</v>
      </c>
      <c r="I5653" s="178" t="s">
        <v>1546</v>
      </c>
      <c r="J5653" s="320" t="s">
        <v>214</v>
      </c>
      <c r="K5653" s="178" t="s">
        <v>4872</v>
      </c>
      <c r="L5653" s="125" t="s">
        <v>110</v>
      </c>
      <c r="M5653">
        <v>758</v>
      </c>
      <c r="N5653" s="182">
        <v>164</v>
      </c>
      <c r="O5653">
        <v>3685</v>
      </c>
      <c r="P5653" s="132" t="s">
        <v>77</v>
      </c>
      <c r="Q5653" s="176">
        <v>6900</v>
      </c>
      <c r="R5653" s="176">
        <v>1104</v>
      </c>
      <c r="S5653" s="176"/>
      <c r="T5653" s="190">
        <v>736</v>
      </c>
      <c r="U5653" s="191">
        <v>86.25</v>
      </c>
      <c r="V5653" s="191">
        <v>7181.75</v>
      </c>
      <c r="W5653">
        <v>306</v>
      </c>
      <c r="X5653" s="186" t="s">
        <v>1429</v>
      </c>
      <c r="Y5653" s="187" t="s">
        <v>55</v>
      </c>
      <c r="Z5653" s="311">
        <v>275</v>
      </c>
      <c r="AB5653" t="str">
        <f>IF(Table1[[#This Row],[TIPO2]]="costo", VLOOKUP(Table1[[#This Row],[PARTIDA PRESUPUESTAL]],'Cost Report'!G:G,1,0),"Balance")</f>
        <v>4180-003</v>
      </c>
      <c r="AD5653" s="159">
        <f>+Table1[[#This Row],[SUBTOTAL]]+Table1[[#This Row],[IVA]]-Table1[[#This Row],[RET IVA]]-Table1[[#This Row],[RET ISR]]-Table1[[#This Row],[TOTAL]]</f>
        <v>0</v>
      </c>
      <c r="AK5653" s="306" t="str">
        <f>IF(ISNUMBER(Table1[[#This Row],[FECHA DE RECIBIDO]]), Table1[[#This Row],[FECHA DE RECIBIDO]]-DATE(2023,8,30), "")</f>
        <v/>
      </c>
    </row>
    <row r="5654" spans="1:37" ht="16.05" customHeight="1">
      <c r="A5654" s="172" t="s">
        <v>5063</v>
      </c>
      <c r="B5654" s="178">
        <v>2039</v>
      </c>
      <c r="C5654" s="179" t="s">
        <v>2679</v>
      </c>
      <c r="D5654">
        <v>3856</v>
      </c>
      <c r="E5654" s="125" t="s">
        <v>4526</v>
      </c>
      <c r="F5654" s="178">
        <v>612</v>
      </c>
      <c r="G5654" s="178" t="s">
        <v>129</v>
      </c>
      <c r="H5654">
        <v>789</v>
      </c>
      <c r="I5654" s="178" t="s">
        <v>1546</v>
      </c>
      <c r="J5654" s="320" t="s">
        <v>214</v>
      </c>
      <c r="K5654" s="178" t="s">
        <v>4872</v>
      </c>
      <c r="L5654" s="125" t="s">
        <v>110</v>
      </c>
      <c r="M5654">
        <v>1092</v>
      </c>
      <c r="N5654" s="182">
        <v>201</v>
      </c>
      <c r="O5654">
        <v>3686</v>
      </c>
      <c r="P5654" s="132" t="s">
        <v>77</v>
      </c>
      <c r="Q5654" s="176">
        <v>14000</v>
      </c>
      <c r="R5654" s="176">
        <v>2240</v>
      </c>
      <c r="S5654" s="176"/>
      <c r="T5654" s="190">
        <v>1493.34</v>
      </c>
      <c r="U5654" s="191">
        <v>1400</v>
      </c>
      <c r="V5654" s="191">
        <v>13346.66</v>
      </c>
      <c r="W5654">
        <v>388</v>
      </c>
      <c r="X5654" s="186" t="s">
        <v>1434</v>
      </c>
      <c r="Y5654" s="187" t="s">
        <v>55</v>
      </c>
      <c r="Z5654" s="311">
        <v>275</v>
      </c>
      <c r="AB5654" t="str">
        <f>IF(Table1[[#This Row],[TIPO2]]="costo", VLOOKUP(Table1[[#This Row],[PARTIDA PRESUPUESTAL]],'Cost Report'!G:G,1,0),"Balance")</f>
        <v>3108-008</v>
      </c>
      <c r="AD5654" s="159">
        <f>+Table1[[#This Row],[SUBTOTAL]]+Table1[[#This Row],[IVA]]-Table1[[#This Row],[RET IVA]]-Table1[[#This Row],[RET ISR]]-Table1[[#This Row],[TOTAL]]</f>
        <v>0</v>
      </c>
      <c r="AK5654" s="306" t="str">
        <f>IF(ISNUMBER(Table1[[#This Row],[FECHA DE RECIBIDO]]), Table1[[#This Row],[FECHA DE RECIBIDO]]-DATE(2023,8,30), "")</f>
        <v/>
      </c>
    </row>
    <row r="5655" spans="1:37" ht="16.05" customHeight="1">
      <c r="A5655" s="172" t="s">
        <v>5064</v>
      </c>
      <c r="B5655" s="178">
        <v>2040</v>
      </c>
      <c r="C5655" s="179" t="s">
        <v>2679</v>
      </c>
      <c r="D5655">
        <v>3857</v>
      </c>
      <c r="E5655" s="125" t="s">
        <v>2011</v>
      </c>
      <c r="F5655" s="178">
        <v>612</v>
      </c>
      <c r="G5655" s="178" t="s">
        <v>129</v>
      </c>
      <c r="H5655">
        <v>788</v>
      </c>
      <c r="I5655" s="178" t="s">
        <v>1546</v>
      </c>
      <c r="J5655" s="320" t="s">
        <v>214</v>
      </c>
      <c r="K5655" s="178" t="s">
        <v>4872</v>
      </c>
      <c r="L5655" s="125" t="s">
        <v>110</v>
      </c>
      <c r="M5655">
        <v>1091</v>
      </c>
      <c r="N5655" s="182">
        <v>200</v>
      </c>
      <c r="O5655">
        <v>3687</v>
      </c>
      <c r="P5655" s="132" t="s">
        <v>77</v>
      </c>
      <c r="Q5655" s="176">
        <v>14000</v>
      </c>
      <c r="R5655" s="176">
        <v>2240</v>
      </c>
      <c r="S5655" s="176"/>
      <c r="T5655" s="190">
        <v>1493.34</v>
      </c>
      <c r="U5655" s="191">
        <v>1400</v>
      </c>
      <c r="V5655" s="191">
        <v>13346.66</v>
      </c>
      <c r="W5655">
        <v>387</v>
      </c>
      <c r="X5655" s="186" t="s">
        <v>1431</v>
      </c>
      <c r="Y5655" s="187" t="s">
        <v>55</v>
      </c>
      <c r="Z5655" s="311">
        <v>275</v>
      </c>
      <c r="AB5655" t="str">
        <f>IF(Table1[[#This Row],[TIPO2]]="costo", VLOOKUP(Table1[[#This Row],[PARTIDA PRESUPUESTAL]],'Cost Report'!G:G,1,0),"Balance")</f>
        <v>3108-008</v>
      </c>
      <c r="AD5655" s="159">
        <f>+Table1[[#This Row],[SUBTOTAL]]+Table1[[#This Row],[IVA]]-Table1[[#This Row],[RET IVA]]-Table1[[#This Row],[RET ISR]]-Table1[[#This Row],[TOTAL]]</f>
        <v>0</v>
      </c>
      <c r="AK5655" s="306" t="str">
        <f>IF(ISNUMBER(Table1[[#This Row],[FECHA DE RECIBIDO]]), Table1[[#This Row],[FECHA DE RECIBIDO]]-DATE(2023,8,30), "")</f>
        <v/>
      </c>
    </row>
    <row r="5656" spans="1:37" ht="16.05" customHeight="1">
      <c r="A5656" s="172" t="s">
        <v>5065</v>
      </c>
      <c r="B5656" s="178">
        <v>2041</v>
      </c>
      <c r="C5656" s="179" t="s">
        <v>368</v>
      </c>
      <c r="D5656">
        <v>3858</v>
      </c>
      <c r="E5656" s="125" t="s">
        <v>4053</v>
      </c>
      <c r="F5656" s="178">
        <v>612</v>
      </c>
      <c r="G5656" s="178" t="s">
        <v>129</v>
      </c>
      <c r="H5656">
        <v>536</v>
      </c>
      <c r="I5656" s="178" t="s">
        <v>1546</v>
      </c>
      <c r="J5656" s="320" t="s">
        <v>214</v>
      </c>
      <c r="K5656" s="178" t="s">
        <v>4872</v>
      </c>
      <c r="L5656" s="125" t="s">
        <v>110</v>
      </c>
      <c r="M5656">
        <v>760</v>
      </c>
      <c r="N5656" s="182">
        <v>166</v>
      </c>
      <c r="O5656">
        <v>3688</v>
      </c>
      <c r="P5656" s="132" t="s">
        <v>77</v>
      </c>
      <c r="Q5656" s="176">
        <v>14154</v>
      </c>
      <c r="R5656" s="176">
        <v>2264.64</v>
      </c>
      <c r="S5656" s="176"/>
      <c r="T5656" s="190">
        <v>1509.76</v>
      </c>
      <c r="U5656" s="191">
        <v>1415.4</v>
      </c>
      <c r="V5656" s="191">
        <v>13493.48</v>
      </c>
      <c r="W5656">
        <v>308</v>
      </c>
      <c r="X5656" s="186" t="s">
        <v>1429</v>
      </c>
      <c r="Y5656" s="187" t="s">
        <v>55</v>
      </c>
      <c r="Z5656" s="311">
        <v>275</v>
      </c>
      <c r="AB5656" t="str">
        <f>IF(Table1[[#This Row],[TIPO2]]="costo", VLOOKUP(Table1[[#This Row],[PARTIDA PRESUPUESTAL]],'Cost Report'!G:G,1,0),"Balance")</f>
        <v>1410-008</v>
      </c>
      <c r="AD5656" s="159">
        <f>+Table1[[#This Row],[SUBTOTAL]]+Table1[[#This Row],[IVA]]-Table1[[#This Row],[RET IVA]]-Table1[[#This Row],[RET ISR]]-Table1[[#This Row],[TOTAL]]</f>
        <v>0</v>
      </c>
      <c r="AK5656" s="306" t="str">
        <f>IF(ISNUMBER(Table1[[#This Row],[FECHA DE RECIBIDO]]), Table1[[#This Row],[FECHA DE RECIBIDO]]-DATE(2023,8,30), "")</f>
        <v/>
      </c>
    </row>
    <row r="5657" spans="1:37" ht="16.05" customHeight="1">
      <c r="A5657" s="172" t="s">
        <v>5066</v>
      </c>
      <c r="B5657" s="178">
        <v>2042</v>
      </c>
      <c r="C5657" s="179" t="s">
        <v>368</v>
      </c>
      <c r="D5657">
        <v>3859</v>
      </c>
      <c r="E5657" s="125" t="s">
        <v>4053</v>
      </c>
      <c r="F5657" s="178">
        <v>612</v>
      </c>
      <c r="G5657" s="178" t="s">
        <v>129</v>
      </c>
      <c r="H5657">
        <v>536</v>
      </c>
      <c r="I5657" s="178" t="s">
        <v>1546</v>
      </c>
      <c r="J5657" s="320" t="s">
        <v>214</v>
      </c>
      <c r="K5657" s="178" t="s">
        <v>4872</v>
      </c>
      <c r="L5657" s="125" t="s">
        <v>110</v>
      </c>
      <c r="M5657">
        <v>760</v>
      </c>
      <c r="N5657" s="182">
        <v>166</v>
      </c>
      <c r="O5657">
        <v>3689</v>
      </c>
      <c r="P5657" s="132" t="s">
        <v>77</v>
      </c>
      <c r="Q5657" s="176">
        <v>20154</v>
      </c>
      <c r="R5657" s="176">
        <v>3224.64</v>
      </c>
      <c r="S5657" s="176"/>
      <c r="T5657" s="190">
        <v>2149.77</v>
      </c>
      <c r="U5657" s="191">
        <v>2015.4</v>
      </c>
      <c r="V5657" s="191">
        <v>19213.469999999998</v>
      </c>
      <c r="W5657">
        <v>308</v>
      </c>
      <c r="X5657" s="186" t="s">
        <v>1429</v>
      </c>
      <c r="Y5657" s="187" t="s">
        <v>55</v>
      </c>
      <c r="Z5657" s="311">
        <v>275</v>
      </c>
      <c r="AB5657" t="str">
        <f>IF(Table1[[#This Row],[TIPO2]]="costo", VLOOKUP(Table1[[#This Row],[PARTIDA PRESUPUESTAL]],'Cost Report'!G:G,1,0),"Balance")</f>
        <v>1410-008</v>
      </c>
      <c r="AD5657" s="159">
        <f>+Table1[[#This Row],[SUBTOTAL]]+Table1[[#This Row],[IVA]]-Table1[[#This Row],[RET IVA]]-Table1[[#This Row],[RET ISR]]-Table1[[#This Row],[TOTAL]]</f>
        <v>0</v>
      </c>
      <c r="AK5657" s="306" t="str">
        <f>IF(ISNUMBER(Table1[[#This Row],[FECHA DE RECIBIDO]]), Table1[[#This Row],[FECHA DE RECIBIDO]]-DATE(2023,8,30), "")</f>
        <v/>
      </c>
    </row>
    <row r="5658" spans="1:37" ht="16.05" customHeight="1">
      <c r="A5658" s="172" t="s">
        <v>5067</v>
      </c>
      <c r="B5658" s="178">
        <v>2043</v>
      </c>
      <c r="C5658" s="179" t="s">
        <v>1844</v>
      </c>
      <c r="D5658">
        <v>3860</v>
      </c>
      <c r="E5658" s="125" t="s">
        <v>3987</v>
      </c>
      <c r="F5658" s="178">
        <v>612</v>
      </c>
      <c r="G5658" s="178" t="s">
        <v>129</v>
      </c>
      <c r="H5658">
        <v>537</v>
      </c>
      <c r="I5658" s="178" t="s">
        <v>1546</v>
      </c>
      <c r="J5658" s="320" t="s">
        <v>214</v>
      </c>
      <c r="K5658" s="178" t="s">
        <v>4872</v>
      </c>
      <c r="L5658" s="125" t="s">
        <v>110</v>
      </c>
      <c r="M5658">
        <v>761</v>
      </c>
      <c r="N5658" s="182">
        <v>167</v>
      </c>
      <c r="O5658">
        <v>3690</v>
      </c>
      <c r="P5658" s="132" t="s">
        <v>77</v>
      </c>
      <c r="Q5658" s="176">
        <v>2500</v>
      </c>
      <c r="R5658" s="176">
        <v>400</v>
      </c>
      <c r="S5658" s="176"/>
      <c r="T5658" s="190">
        <v>266.67</v>
      </c>
      <c r="U5658" s="191">
        <v>250</v>
      </c>
      <c r="V5658" s="191">
        <v>2383.33</v>
      </c>
      <c r="W5658">
        <v>309</v>
      </c>
      <c r="X5658" s="186" t="s">
        <v>1429</v>
      </c>
      <c r="Y5658" s="187" t="s">
        <v>55</v>
      </c>
      <c r="Z5658" s="311">
        <v>275</v>
      </c>
      <c r="AB5658" t="str">
        <f>IF(Table1[[#This Row],[TIPO2]]="costo", VLOOKUP(Table1[[#This Row],[PARTIDA PRESUPUESTAL]],'Cost Report'!G:G,1,0),"Balance")</f>
        <v>3145-031</v>
      </c>
      <c r="AD5658" s="159">
        <f>+Table1[[#This Row],[SUBTOTAL]]+Table1[[#This Row],[IVA]]-Table1[[#This Row],[RET IVA]]-Table1[[#This Row],[RET ISR]]-Table1[[#This Row],[TOTAL]]</f>
        <v>0</v>
      </c>
      <c r="AK5658" s="306" t="str">
        <f>IF(ISNUMBER(Table1[[#This Row],[FECHA DE RECIBIDO]]), Table1[[#This Row],[FECHA DE RECIBIDO]]-DATE(2023,8,30), "")</f>
        <v/>
      </c>
    </row>
    <row r="5659" spans="1:37" ht="16.05" customHeight="1">
      <c r="A5659" s="172" t="s">
        <v>5068</v>
      </c>
      <c r="B5659" s="178">
        <v>2044</v>
      </c>
      <c r="C5659" s="179" t="s">
        <v>1869</v>
      </c>
      <c r="D5659">
        <v>3861</v>
      </c>
      <c r="E5659" s="125" t="s">
        <v>4311</v>
      </c>
      <c r="F5659" s="178">
        <v>626</v>
      </c>
      <c r="G5659" s="178" t="s">
        <v>109</v>
      </c>
      <c r="H5659">
        <v>857</v>
      </c>
      <c r="I5659" s="178" t="s">
        <v>1546</v>
      </c>
      <c r="J5659" s="320" t="s">
        <v>214</v>
      </c>
      <c r="K5659" s="178" t="s">
        <v>4872</v>
      </c>
      <c r="L5659" s="125" t="s">
        <v>4782</v>
      </c>
      <c r="M5659">
        <v>1191</v>
      </c>
      <c r="N5659" s="182">
        <v>214</v>
      </c>
      <c r="O5659">
        <v>3691</v>
      </c>
      <c r="P5659" s="132" t="s">
        <v>77</v>
      </c>
      <c r="Q5659" s="176">
        <v>720</v>
      </c>
      <c r="R5659" s="176">
        <v>115.2</v>
      </c>
      <c r="S5659" s="176"/>
      <c r="T5659" s="190">
        <v>76.8</v>
      </c>
      <c r="U5659" s="191">
        <v>9</v>
      </c>
      <c r="V5659" s="191">
        <v>749.40000000000009</v>
      </c>
      <c r="W5659">
        <v>422</v>
      </c>
      <c r="X5659" s="186" t="s">
        <v>1429</v>
      </c>
      <c r="Y5659" s="187" t="s">
        <v>55</v>
      </c>
      <c r="Z5659" s="311">
        <v>275</v>
      </c>
      <c r="AB5659" t="str">
        <f>IF(Table1[[#This Row],[TIPO2]]="costo", VLOOKUP(Table1[[#This Row],[PARTIDA PRESUPUESTAL]],'Cost Report'!G:G,1,0),"Balance")</f>
        <v>3442-007</v>
      </c>
      <c r="AD5659" s="159">
        <f>+Table1[[#This Row],[SUBTOTAL]]+Table1[[#This Row],[IVA]]-Table1[[#This Row],[RET IVA]]-Table1[[#This Row],[RET ISR]]-Table1[[#This Row],[TOTAL]]</f>
        <v>0</v>
      </c>
      <c r="AK5659" s="306" t="str">
        <f>IF(ISNUMBER(Table1[[#This Row],[FECHA DE RECIBIDO]]), Table1[[#This Row],[FECHA DE RECIBIDO]]-DATE(2023,8,30), "")</f>
        <v/>
      </c>
    </row>
    <row r="5660" spans="1:37" ht="16.05" customHeight="1">
      <c r="A5660" s="172" t="s">
        <v>5069</v>
      </c>
      <c r="B5660" s="178">
        <v>2045</v>
      </c>
      <c r="C5660" s="179" t="s">
        <v>1868</v>
      </c>
      <c r="D5660">
        <v>3862</v>
      </c>
      <c r="E5660" s="125" t="s">
        <v>3354</v>
      </c>
      <c r="F5660" s="178">
        <v>626</v>
      </c>
      <c r="G5660" s="178" t="s">
        <v>109</v>
      </c>
      <c r="H5660">
        <v>858</v>
      </c>
      <c r="I5660" s="178" t="s">
        <v>1546</v>
      </c>
      <c r="J5660" s="320" t="s">
        <v>214</v>
      </c>
      <c r="K5660" s="178" t="s">
        <v>4872</v>
      </c>
      <c r="L5660" s="125" t="s">
        <v>4782</v>
      </c>
      <c r="M5660">
        <v>1192</v>
      </c>
      <c r="N5660" s="182">
        <v>215</v>
      </c>
      <c r="O5660">
        <v>3692</v>
      </c>
      <c r="P5660" s="132" t="s">
        <v>77</v>
      </c>
      <c r="Q5660" s="176">
        <v>3933.33</v>
      </c>
      <c r="R5660" s="176">
        <v>629.33000000000004</v>
      </c>
      <c r="S5660" s="176"/>
      <c r="T5660" s="190">
        <v>419.56</v>
      </c>
      <c r="U5660" s="191">
        <v>49.17</v>
      </c>
      <c r="V5660" s="191">
        <v>4093.9299999999994</v>
      </c>
      <c r="W5660">
        <v>423</v>
      </c>
      <c r="X5660" s="186" t="s">
        <v>1429</v>
      </c>
      <c r="Y5660" s="187" t="s">
        <v>55</v>
      </c>
      <c r="Z5660" s="311">
        <v>275</v>
      </c>
      <c r="AB5660" t="str">
        <f>IF(Table1[[#This Row],[TIPO2]]="costo", VLOOKUP(Table1[[#This Row],[PARTIDA PRESUPUESTAL]],'Cost Report'!G:G,1,0),"Balance")</f>
        <v>3442-006</v>
      </c>
      <c r="AD5660" s="159">
        <f>+Table1[[#This Row],[SUBTOTAL]]+Table1[[#This Row],[IVA]]-Table1[[#This Row],[RET IVA]]-Table1[[#This Row],[RET ISR]]-Table1[[#This Row],[TOTAL]]</f>
        <v>0</v>
      </c>
      <c r="AK5660" s="306" t="str">
        <f>IF(ISNUMBER(Table1[[#This Row],[FECHA DE RECIBIDO]]), Table1[[#This Row],[FECHA DE RECIBIDO]]-DATE(2023,8,30), "")</f>
        <v/>
      </c>
    </row>
    <row r="5661" spans="1:37" ht="16.05" customHeight="1">
      <c r="A5661" s="172" t="s">
        <v>5070</v>
      </c>
      <c r="B5661" s="178">
        <v>2046</v>
      </c>
      <c r="C5661" s="179" t="s">
        <v>1868</v>
      </c>
      <c r="D5661">
        <v>3863</v>
      </c>
      <c r="E5661" s="125" t="s">
        <v>3354</v>
      </c>
      <c r="F5661" s="178">
        <v>626</v>
      </c>
      <c r="G5661" s="178" t="s">
        <v>109</v>
      </c>
      <c r="H5661">
        <v>858</v>
      </c>
      <c r="I5661" s="178" t="s">
        <v>1546</v>
      </c>
      <c r="J5661" s="320" t="s">
        <v>214</v>
      </c>
      <c r="K5661" s="178" t="s">
        <v>4872</v>
      </c>
      <c r="L5661" s="125" t="s">
        <v>4782</v>
      </c>
      <c r="M5661">
        <v>1192</v>
      </c>
      <c r="N5661" s="182">
        <v>215</v>
      </c>
      <c r="O5661">
        <v>3693</v>
      </c>
      <c r="P5661" s="132" t="s">
        <v>77</v>
      </c>
      <c r="Q5661" s="176">
        <v>3933.33</v>
      </c>
      <c r="R5661" s="176">
        <v>629.33000000000004</v>
      </c>
      <c r="S5661" s="176"/>
      <c r="T5661" s="190">
        <v>419.56</v>
      </c>
      <c r="U5661" s="191">
        <v>49.17</v>
      </c>
      <c r="V5661" s="191">
        <v>4093.9299999999994</v>
      </c>
      <c r="W5661">
        <v>423</v>
      </c>
      <c r="X5661" s="186" t="s">
        <v>1429</v>
      </c>
      <c r="Y5661" s="187" t="s">
        <v>55</v>
      </c>
      <c r="Z5661" s="311">
        <v>275</v>
      </c>
      <c r="AB5661" t="str">
        <f>IF(Table1[[#This Row],[TIPO2]]="costo", VLOOKUP(Table1[[#This Row],[PARTIDA PRESUPUESTAL]],'Cost Report'!G:G,1,0),"Balance")</f>
        <v>3442-006</v>
      </c>
      <c r="AD5661" s="159">
        <f>+Table1[[#This Row],[SUBTOTAL]]+Table1[[#This Row],[IVA]]-Table1[[#This Row],[RET IVA]]-Table1[[#This Row],[RET ISR]]-Table1[[#This Row],[TOTAL]]</f>
        <v>0</v>
      </c>
      <c r="AK5661" s="306" t="str">
        <f>IF(ISNUMBER(Table1[[#This Row],[FECHA DE RECIBIDO]]), Table1[[#This Row],[FECHA DE RECIBIDO]]-DATE(2023,8,30), "")</f>
        <v/>
      </c>
    </row>
    <row r="5662" spans="1:37" ht="16.05" customHeight="1">
      <c r="A5662" s="172" t="s">
        <v>5071</v>
      </c>
      <c r="B5662" s="178">
        <v>2047</v>
      </c>
      <c r="C5662" s="179" t="s">
        <v>1868</v>
      </c>
      <c r="D5662">
        <v>3864</v>
      </c>
      <c r="E5662" s="125" t="s">
        <v>3354</v>
      </c>
      <c r="F5662" s="178">
        <v>626</v>
      </c>
      <c r="G5662" s="178" t="s">
        <v>109</v>
      </c>
      <c r="H5662">
        <v>858</v>
      </c>
      <c r="I5662" s="178" t="s">
        <v>1546</v>
      </c>
      <c r="J5662" s="320" t="s">
        <v>214</v>
      </c>
      <c r="K5662" s="178" t="s">
        <v>4872</v>
      </c>
      <c r="L5662" s="125" t="s">
        <v>4782</v>
      </c>
      <c r="M5662">
        <v>1192</v>
      </c>
      <c r="N5662" s="182">
        <v>215</v>
      </c>
      <c r="O5662">
        <v>3694</v>
      </c>
      <c r="P5662" s="132" t="s">
        <v>77</v>
      </c>
      <c r="Q5662" s="176">
        <v>1966.66</v>
      </c>
      <c r="R5662" s="176">
        <v>314.67</v>
      </c>
      <c r="S5662" s="176"/>
      <c r="T5662" s="190">
        <v>209.78</v>
      </c>
      <c r="U5662" s="191">
        <v>24.58</v>
      </c>
      <c r="V5662" s="191">
        <v>2046.9699999999998</v>
      </c>
      <c r="W5662">
        <v>423</v>
      </c>
      <c r="X5662" s="186" t="s">
        <v>1429</v>
      </c>
      <c r="Y5662" s="187" t="s">
        <v>55</v>
      </c>
      <c r="Z5662" s="311">
        <v>275</v>
      </c>
      <c r="AB5662" t="str">
        <f>IF(Table1[[#This Row],[TIPO2]]="costo", VLOOKUP(Table1[[#This Row],[PARTIDA PRESUPUESTAL]],'Cost Report'!G:G,1,0),"Balance")</f>
        <v>3442-006</v>
      </c>
      <c r="AD5662" s="159">
        <f>+Table1[[#This Row],[SUBTOTAL]]+Table1[[#This Row],[IVA]]-Table1[[#This Row],[RET IVA]]-Table1[[#This Row],[RET ISR]]-Table1[[#This Row],[TOTAL]]</f>
        <v>0</v>
      </c>
      <c r="AK5662" s="306" t="str">
        <f>IF(ISNUMBER(Table1[[#This Row],[FECHA DE RECIBIDO]]), Table1[[#This Row],[FECHA DE RECIBIDO]]-DATE(2023,8,30), "")</f>
        <v/>
      </c>
    </row>
    <row r="5663" spans="1:37" ht="16.05" customHeight="1">
      <c r="A5663" s="172" t="s">
        <v>5072</v>
      </c>
      <c r="B5663" s="178">
        <v>2048</v>
      </c>
      <c r="C5663" s="179" t="s">
        <v>1869</v>
      </c>
      <c r="D5663">
        <v>3865</v>
      </c>
      <c r="E5663" s="125" t="s">
        <v>3354</v>
      </c>
      <c r="F5663" s="178">
        <v>626</v>
      </c>
      <c r="G5663" s="178" t="s">
        <v>109</v>
      </c>
      <c r="H5663">
        <v>858</v>
      </c>
      <c r="I5663" s="178" t="s">
        <v>1546</v>
      </c>
      <c r="J5663" s="320" t="s">
        <v>214</v>
      </c>
      <c r="K5663" s="178" t="s">
        <v>4872</v>
      </c>
      <c r="L5663" s="125" t="s">
        <v>4782</v>
      </c>
      <c r="M5663">
        <v>1192</v>
      </c>
      <c r="N5663" s="182">
        <v>215</v>
      </c>
      <c r="O5663">
        <v>3695</v>
      </c>
      <c r="P5663" s="132" t="s">
        <v>77</v>
      </c>
      <c r="Q5663" s="176">
        <v>1966.66</v>
      </c>
      <c r="R5663" s="176">
        <v>314.67</v>
      </c>
      <c r="S5663" s="176"/>
      <c r="T5663" s="190">
        <v>209.78</v>
      </c>
      <c r="U5663" s="191">
        <v>24.58</v>
      </c>
      <c r="V5663" s="191">
        <v>2046.9699999999998</v>
      </c>
      <c r="W5663">
        <v>423</v>
      </c>
      <c r="X5663" s="186" t="s">
        <v>1429</v>
      </c>
      <c r="Y5663" s="187" t="s">
        <v>55</v>
      </c>
      <c r="Z5663" s="311">
        <v>275</v>
      </c>
      <c r="AB5663" t="str">
        <f>IF(Table1[[#This Row],[TIPO2]]="costo", VLOOKUP(Table1[[#This Row],[PARTIDA PRESUPUESTAL]],'Cost Report'!G:G,1,0),"Balance")</f>
        <v>3442-007</v>
      </c>
      <c r="AD5663" s="159">
        <f>+Table1[[#This Row],[SUBTOTAL]]+Table1[[#This Row],[IVA]]-Table1[[#This Row],[RET IVA]]-Table1[[#This Row],[RET ISR]]-Table1[[#This Row],[TOTAL]]</f>
        <v>0</v>
      </c>
      <c r="AK5663" s="306" t="str">
        <f>IF(ISNUMBER(Table1[[#This Row],[FECHA DE RECIBIDO]]), Table1[[#This Row],[FECHA DE RECIBIDO]]-DATE(2023,8,30), "")</f>
        <v/>
      </c>
    </row>
    <row r="5664" spans="1:37" ht="16.05" customHeight="1">
      <c r="A5664" s="172" t="s">
        <v>5073</v>
      </c>
      <c r="B5664" s="178">
        <v>2049</v>
      </c>
      <c r="C5664" s="179" t="s">
        <v>1869</v>
      </c>
      <c r="D5664">
        <v>3866</v>
      </c>
      <c r="E5664" s="125" t="s">
        <v>5074</v>
      </c>
      <c r="F5664" s="178">
        <v>626</v>
      </c>
      <c r="G5664" s="178" t="s">
        <v>109</v>
      </c>
      <c r="H5664">
        <v>937</v>
      </c>
      <c r="I5664" s="178" t="s">
        <v>1546</v>
      </c>
      <c r="J5664" s="320" t="s">
        <v>214</v>
      </c>
      <c r="K5664" s="178" t="s">
        <v>4872</v>
      </c>
      <c r="L5664" s="125" t="s">
        <v>4782</v>
      </c>
      <c r="M5664">
        <v>1299</v>
      </c>
      <c r="N5664" s="182">
        <v>242</v>
      </c>
      <c r="O5664">
        <v>3696</v>
      </c>
      <c r="P5664" s="132" t="s">
        <v>77</v>
      </c>
      <c r="Q5664" s="176">
        <v>720</v>
      </c>
      <c r="R5664" s="176">
        <v>115.2</v>
      </c>
      <c r="S5664" s="176"/>
      <c r="T5664" s="190">
        <v>76.8</v>
      </c>
      <c r="U5664" s="191">
        <v>9</v>
      </c>
      <c r="V5664" s="191">
        <v>749.40000000000009</v>
      </c>
      <c r="W5664">
        <v>469</v>
      </c>
      <c r="X5664" s="186" t="s">
        <v>1429</v>
      </c>
      <c r="Y5664" s="187" t="s">
        <v>55</v>
      </c>
      <c r="Z5664" s="311">
        <v>275</v>
      </c>
      <c r="AB5664" t="str">
        <f>IF(Table1[[#This Row],[TIPO2]]="costo", VLOOKUP(Table1[[#This Row],[PARTIDA PRESUPUESTAL]],'Cost Report'!G:G,1,0),"Balance")</f>
        <v>3442-007</v>
      </c>
      <c r="AD5664" s="159">
        <f>+Table1[[#This Row],[SUBTOTAL]]+Table1[[#This Row],[IVA]]-Table1[[#This Row],[RET IVA]]-Table1[[#This Row],[RET ISR]]-Table1[[#This Row],[TOTAL]]</f>
        <v>0</v>
      </c>
      <c r="AK5664" s="306" t="str">
        <f>IF(ISNUMBER(Table1[[#This Row],[FECHA DE RECIBIDO]]), Table1[[#This Row],[FECHA DE RECIBIDO]]-DATE(2023,8,30), "")</f>
        <v/>
      </c>
    </row>
    <row r="5665" spans="1:37" ht="16.05" customHeight="1">
      <c r="A5665" s="172" t="s">
        <v>5075</v>
      </c>
      <c r="B5665" s="178">
        <v>2050</v>
      </c>
      <c r="C5665" s="179" t="s">
        <v>1869</v>
      </c>
      <c r="D5665">
        <v>3867</v>
      </c>
      <c r="E5665" s="125" t="s">
        <v>3953</v>
      </c>
      <c r="F5665" s="178">
        <v>626</v>
      </c>
      <c r="G5665" s="178" t="s">
        <v>109</v>
      </c>
      <c r="H5665">
        <v>513</v>
      </c>
      <c r="I5665" s="178" t="s">
        <v>1546</v>
      </c>
      <c r="J5665" s="320" t="s">
        <v>214</v>
      </c>
      <c r="K5665" s="178" t="s">
        <v>4872</v>
      </c>
      <c r="L5665" s="125" t="s">
        <v>4782</v>
      </c>
      <c r="M5665">
        <v>737</v>
      </c>
      <c r="N5665" s="182">
        <v>143</v>
      </c>
      <c r="O5665">
        <v>3697</v>
      </c>
      <c r="P5665" s="132" t="s">
        <v>77</v>
      </c>
      <c r="Q5665" s="176">
        <v>2120</v>
      </c>
      <c r="R5665" s="176">
        <v>339.2</v>
      </c>
      <c r="S5665" s="176"/>
      <c r="T5665" s="190">
        <v>226.13</v>
      </c>
      <c r="U5665" s="191">
        <v>26.5</v>
      </c>
      <c r="V5665" s="191">
        <v>2206.5699999999997</v>
      </c>
      <c r="W5665">
        <v>285</v>
      </c>
      <c r="X5665" s="186" t="s">
        <v>1431</v>
      </c>
      <c r="Y5665" s="187" t="s">
        <v>55</v>
      </c>
      <c r="Z5665" s="311">
        <v>275</v>
      </c>
      <c r="AB5665" t="str">
        <f>IF(Table1[[#This Row],[TIPO2]]="costo", VLOOKUP(Table1[[#This Row],[PARTIDA PRESUPUESTAL]],'Cost Report'!G:G,1,0),"Balance")</f>
        <v>3442-007</v>
      </c>
      <c r="AD5665" s="159">
        <f>+Table1[[#This Row],[SUBTOTAL]]+Table1[[#This Row],[IVA]]-Table1[[#This Row],[RET IVA]]-Table1[[#This Row],[RET ISR]]-Table1[[#This Row],[TOTAL]]</f>
        <v>0</v>
      </c>
      <c r="AK5665" s="306" t="str">
        <f>IF(ISNUMBER(Table1[[#This Row],[FECHA DE RECIBIDO]]), Table1[[#This Row],[FECHA DE RECIBIDO]]-DATE(2023,8,30), "")</f>
        <v/>
      </c>
    </row>
    <row r="5666" spans="1:37" ht="16.05" customHeight="1">
      <c r="A5666" s="172" t="s">
        <v>5076</v>
      </c>
      <c r="B5666" s="178">
        <v>2051</v>
      </c>
      <c r="C5666" s="179" t="s">
        <v>1869</v>
      </c>
      <c r="D5666">
        <v>3868</v>
      </c>
      <c r="E5666" s="125" t="s">
        <v>1614</v>
      </c>
      <c r="F5666" s="178">
        <v>626</v>
      </c>
      <c r="G5666" s="178" t="s">
        <v>109</v>
      </c>
      <c r="H5666">
        <v>114</v>
      </c>
      <c r="I5666" s="178" t="s">
        <v>1546</v>
      </c>
      <c r="J5666" s="320" t="s">
        <v>214</v>
      </c>
      <c r="K5666" s="178" t="s">
        <v>4872</v>
      </c>
      <c r="L5666" s="125" t="s">
        <v>4782</v>
      </c>
      <c r="M5666">
        <v>152</v>
      </c>
      <c r="N5666" s="182">
        <v>44</v>
      </c>
      <c r="O5666">
        <v>3698</v>
      </c>
      <c r="P5666" s="132" t="s">
        <v>77</v>
      </c>
      <c r="Q5666" s="176">
        <v>1560</v>
      </c>
      <c r="R5666" s="176">
        <v>249.6</v>
      </c>
      <c r="S5666" s="176"/>
      <c r="T5666" s="190">
        <v>166.4</v>
      </c>
      <c r="U5666" s="191">
        <v>19.5</v>
      </c>
      <c r="V5666" s="191">
        <v>1623.6999999999998</v>
      </c>
      <c r="W5666">
        <v>76</v>
      </c>
      <c r="X5666" s="186" t="s">
        <v>1429</v>
      </c>
      <c r="Y5666" s="187" t="s">
        <v>55</v>
      </c>
      <c r="Z5666" s="311">
        <v>275</v>
      </c>
      <c r="AB5666" t="str">
        <f>IF(Table1[[#This Row],[TIPO2]]="costo", VLOOKUP(Table1[[#This Row],[PARTIDA PRESUPUESTAL]],'Cost Report'!G:G,1,0),"Balance")</f>
        <v>3442-007</v>
      </c>
      <c r="AD5666" s="159">
        <f>+Table1[[#This Row],[SUBTOTAL]]+Table1[[#This Row],[IVA]]-Table1[[#This Row],[RET IVA]]-Table1[[#This Row],[RET ISR]]-Table1[[#This Row],[TOTAL]]</f>
        <v>0</v>
      </c>
      <c r="AK5666" s="306" t="str">
        <f>IF(ISNUMBER(Table1[[#This Row],[FECHA DE RECIBIDO]]), Table1[[#This Row],[FECHA DE RECIBIDO]]-DATE(2023,8,30), "")</f>
        <v/>
      </c>
    </row>
    <row r="5667" spans="1:37" ht="16.05" customHeight="1">
      <c r="A5667" s="172" t="s">
        <v>5077</v>
      </c>
      <c r="B5667" s="178">
        <v>2052</v>
      </c>
      <c r="C5667" s="179" t="s">
        <v>1868</v>
      </c>
      <c r="D5667">
        <v>3869</v>
      </c>
      <c r="E5667" s="125" t="s">
        <v>3137</v>
      </c>
      <c r="F5667" s="178">
        <v>626</v>
      </c>
      <c r="G5667" s="178" t="s">
        <v>109</v>
      </c>
      <c r="H5667">
        <v>189</v>
      </c>
      <c r="I5667" s="178" t="s">
        <v>1546</v>
      </c>
      <c r="J5667" s="320" t="s">
        <v>214</v>
      </c>
      <c r="K5667" s="178" t="s">
        <v>4872</v>
      </c>
      <c r="L5667" s="125" t="s">
        <v>4782</v>
      </c>
      <c r="M5667">
        <v>254</v>
      </c>
      <c r="N5667" s="182">
        <v>54</v>
      </c>
      <c r="O5667">
        <v>3699</v>
      </c>
      <c r="P5667" s="132" t="s">
        <v>77</v>
      </c>
      <c r="Q5667" s="176">
        <v>2273.34</v>
      </c>
      <c r="R5667" s="176">
        <v>363.73</v>
      </c>
      <c r="S5667" s="176"/>
      <c r="T5667" s="190">
        <v>242.49</v>
      </c>
      <c r="U5667" s="191">
        <v>28.42</v>
      </c>
      <c r="V5667" s="191">
        <v>2366.16</v>
      </c>
      <c r="W5667">
        <v>110</v>
      </c>
      <c r="X5667" s="186" t="s">
        <v>1429</v>
      </c>
      <c r="Y5667" s="187" t="s">
        <v>55</v>
      </c>
      <c r="Z5667" s="311">
        <v>275</v>
      </c>
      <c r="AB5667" t="str">
        <f>IF(Table1[[#This Row],[TIPO2]]="costo", VLOOKUP(Table1[[#This Row],[PARTIDA PRESUPUESTAL]],'Cost Report'!G:G,1,0),"Balance")</f>
        <v>3442-006</v>
      </c>
      <c r="AD5667" s="159">
        <f>+Table1[[#This Row],[SUBTOTAL]]+Table1[[#This Row],[IVA]]-Table1[[#This Row],[RET IVA]]-Table1[[#This Row],[RET ISR]]-Table1[[#This Row],[TOTAL]]</f>
        <v>0</v>
      </c>
      <c r="AK5667" s="306" t="str">
        <f>IF(ISNUMBER(Table1[[#This Row],[FECHA DE RECIBIDO]]), Table1[[#This Row],[FECHA DE RECIBIDO]]-DATE(2023,8,30), "")</f>
        <v/>
      </c>
    </row>
    <row r="5668" spans="1:37" ht="16.05" customHeight="1">
      <c r="A5668" s="172" t="s">
        <v>5078</v>
      </c>
      <c r="B5668" s="178">
        <v>2053</v>
      </c>
      <c r="C5668" s="179" t="s">
        <v>1869</v>
      </c>
      <c r="D5668">
        <v>3870</v>
      </c>
      <c r="E5668" s="125" t="s">
        <v>1603</v>
      </c>
      <c r="F5668" s="178">
        <v>612</v>
      </c>
      <c r="G5668" s="178" t="s">
        <v>129</v>
      </c>
      <c r="H5668">
        <v>28</v>
      </c>
      <c r="I5668" s="178" t="s">
        <v>1546</v>
      </c>
      <c r="J5668" s="320" t="s">
        <v>214</v>
      </c>
      <c r="K5668" s="178" t="s">
        <v>4872</v>
      </c>
      <c r="L5668" s="125" t="s">
        <v>4782</v>
      </c>
      <c r="M5668">
        <v>37</v>
      </c>
      <c r="N5668" s="182">
        <v>14</v>
      </c>
      <c r="O5668">
        <v>3700</v>
      </c>
      <c r="P5668" s="132" t="s">
        <v>77</v>
      </c>
      <c r="Q5668" s="176">
        <v>1080</v>
      </c>
      <c r="R5668" s="176">
        <v>172.8</v>
      </c>
      <c r="S5668" s="176"/>
      <c r="T5668" s="190">
        <v>115.2</v>
      </c>
      <c r="U5668" s="191">
        <v>108</v>
      </c>
      <c r="V5668" s="191">
        <v>1029.5999999999999</v>
      </c>
      <c r="W5668">
        <v>30</v>
      </c>
      <c r="X5668" s="186" t="s">
        <v>1432</v>
      </c>
      <c r="Y5668" s="187" t="s">
        <v>55</v>
      </c>
      <c r="Z5668" s="311">
        <v>275</v>
      </c>
      <c r="AB5668" t="str">
        <f>IF(Table1[[#This Row],[TIPO2]]="costo", VLOOKUP(Table1[[#This Row],[PARTIDA PRESUPUESTAL]],'Cost Report'!G:G,1,0),"Balance")</f>
        <v>3442-007</v>
      </c>
      <c r="AD5668" s="159">
        <f>+Table1[[#This Row],[SUBTOTAL]]+Table1[[#This Row],[IVA]]-Table1[[#This Row],[RET IVA]]-Table1[[#This Row],[RET ISR]]-Table1[[#This Row],[TOTAL]]</f>
        <v>0</v>
      </c>
      <c r="AK5668" s="306" t="str">
        <f>IF(ISNUMBER(Table1[[#This Row],[FECHA DE RECIBIDO]]), Table1[[#This Row],[FECHA DE RECIBIDO]]-DATE(2023,8,30), "")</f>
        <v/>
      </c>
    </row>
    <row r="5669" spans="1:37" ht="16.05" customHeight="1">
      <c r="A5669" s="172" t="s">
        <v>5079</v>
      </c>
      <c r="B5669" s="178">
        <v>2054</v>
      </c>
      <c r="C5669" s="179" t="s">
        <v>1869</v>
      </c>
      <c r="D5669">
        <v>3434</v>
      </c>
      <c r="E5669" s="125" t="s">
        <v>3934</v>
      </c>
      <c r="F5669" s="178">
        <v>626</v>
      </c>
      <c r="G5669" s="178" t="s">
        <v>109</v>
      </c>
      <c r="H5669">
        <v>505</v>
      </c>
      <c r="I5669" s="178" t="s">
        <v>1546</v>
      </c>
      <c r="J5669" s="320" t="s">
        <v>214</v>
      </c>
      <c r="K5669" s="178" t="s">
        <v>4872</v>
      </c>
      <c r="L5669" s="125" t="s">
        <v>4782</v>
      </c>
      <c r="M5669">
        <v>729</v>
      </c>
      <c r="N5669" s="182">
        <v>134</v>
      </c>
      <c r="O5669">
        <v>3284</v>
      </c>
      <c r="P5669" s="132" t="s">
        <v>77</v>
      </c>
      <c r="Q5669" s="176">
        <v>1813</v>
      </c>
      <c r="R5669" s="176">
        <v>290.08</v>
      </c>
      <c r="S5669" s="176"/>
      <c r="T5669" s="190">
        <v>193.39</v>
      </c>
      <c r="U5669" s="191">
        <v>22.66</v>
      </c>
      <c r="V5669" s="191">
        <v>1887.03</v>
      </c>
      <c r="W5669">
        <v>277</v>
      </c>
      <c r="X5669" s="186" t="s">
        <v>1429</v>
      </c>
      <c r="Y5669" s="187" t="s">
        <v>55</v>
      </c>
      <c r="Z5669" s="311">
        <v>275</v>
      </c>
      <c r="AB5669" t="str">
        <f>IF(Table1[[#This Row],[TIPO2]]="costo", VLOOKUP(Table1[[#This Row],[PARTIDA PRESUPUESTAL]],'Cost Report'!G:G,1,0),"Balance")</f>
        <v>3442-007</v>
      </c>
      <c r="AD5669" s="159">
        <f>+Table1[[#This Row],[SUBTOTAL]]+Table1[[#This Row],[IVA]]-Table1[[#This Row],[RET IVA]]-Table1[[#This Row],[RET ISR]]-Table1[[#This Row],[TOTAL]]</f>
        <v>0</v>
      </c>
      <c r="AK5669" s="306" t="str">
        <f>IF(ISNUMBER(Table1[[#This Row],[FECHA DE RECIBIDO]]), Table1[[#This Row],[FECHA DE RECIBIDO]]-DATE(2023,8,30), "")</f>
        <v/>
      </c>
    </row>
    <row r="5670" spans="1:37" ht="16.05" customHeight="1">
      <c r="A5670" s="172" t="s">
        <v>5080</v>
      </c>
      <c r="B5670" s="178">
        <v>2055</v>
      </c>
      <c r="C5670" s="179" t="s">
        <v>1869</v>
      </c>
      <c r="D5670">
        <v>3871</v>
      </c>
      <c r="E5670" s="125" t="s">
        <v>1601</v>
      </c>
      <c r="F5670" s="178">
        <v>621</v>
      </c>
      <c r="G5670" s="178" t="s">
        <v>1617</v>
      </c>
      <c r="H5670">
        <v>27</v>
      </c>
      <c r="I5670" s="178" t="s">
        <v>1546</v>
      </c>
      <c r="J5670" s="320" t="s">
        <v>214</v>
      </c>
      <c r="K5670" s="178" t="s">
        <v>4872</v>
      </c>
      <c r="L5670" s="125" t="s">
        <v>4782</v>
      </c>
      <c r="M5670">
        <v>36</v>
      </c>
      <c r="N5670" s="182">
        <v>13</v>
      </c>
      <c r="O5670">
        <v>3701</v>
      </c>
      <c r="P5670" s="132" t="s">
        <v>77</v>
      </c>
      <c r="Q5670" s="176">
        <v>840</v>
      </c>
      <c r="R5670" s="176">
        <v>134.4</v>
      </c>
      <c r="S5670" s="176"/>
      <c r="T5670" s="190">
        <v>89.6</v>
      </c>
      <c r="U5670" s="191">
        <v>0</v>
      </c>
      <c r="V5670" s="191">
        <v>884.8</v>
      </c>
      <c r="W5670">
        <v>29</v>
      </c>
      <c r="X5670" s="186" t="s">
        <v>1429</v>
      </c>
      <c r="Y5670" s="187" t="s">
        <v>55</v>
      </c>
      <c r="Z5670" s="311">
        <v>275</v>
      </c>
      <c r="AB5670" t="str">
        <f>IF(Table1[[#This Row],[TIPO2]]="costo", VLOOKUP(Table1[[#This Row],[PARTIDA PRESUPUESTAL]],'Cost Report'!G:G,1,0),"Balance")</f>
        <v>3442-007</v>
      </c>
      <c r="AD5670" s="159">
        <f>+Table1[[#This Row],[SUBTOTAL]]+Table1[[#This Row],[IVA]]-Table1[[#This Row],[RET IVA]]-Table1[[#This Row],[RET ISR]]-Table1[[#This Row],[TOTAL]]</f>
        <v>0</v>
      </c>
      <c r="AK5670" s="306" t="str">
        <f>IF(ISNUMBER(Table1[[#This Row],[FECHA DE RECIBIDO]]), Table1[[#This Row],[FECHA DE RECIBIDO]]-DATE(2023,8,30), "")</f>
        <v/>
      </c>
    </row>
    <row r="5671" spans="1:37" ht="16.05" customHeight="1">
      <c r="A5671" s="172" t="s">
        <v>5081</v>
      </c>
      <c r="B5671" s="178">
        <v>2056</v>
      </c>
      <c r="C5671" s="179" t="s">
        <v>1868</v>
      </c>
      <c r="D5671">
        <v>3872</v>
      </c>
      <c r="E5671" s="125" t="s">
        <v>3354</v>
      </c>
      <c r="F5671" s="178">
        <v>612</v>
      </c>
      <c r="G5671" s="178" t="s">
        <v>129</v>
      </c>
      <c r="H5671">
        <v>925</v>
      </c>
      <c r="I5671" s="178" t="s">
        <v>1546</v>
      </c>
      <c r="J5671" s="320" t="s">
        <v>214</v>
      </c>
      <c r="K5671" s="178" t="s">
        <v>4872</v>
      </c>
      <c r="L5671" s="125" t="s">
        <v>4782</v>
      </c>
      <c r="M5671">
        <v>1287</v>
      </c>
      <c r="N5671" s="182">
        <v>230</v>
      </c>
      <c r="O5671">
        <v>3702</v>
      </c>
      <c r="P5671" s="132" t="s">
        <v>77</v>
      </c>
      <c r="Q5671" s="176">
        <v>2440</v>
      </c>
      <c r="R5671" s="176">
        <v>390.4</v>
      </c>
      <c r="S5671" s="176"/>
      <c r="T5671" s="190">
        <v>260.27</v>
      </c>
      <c r="U5671" s="191">
        <v>244</v>
      </c>
      <c r="V5671" s="191">
        <v>2326.13</v>
      </c>
      <c r="W5671">
        <v>457</v>
      </c>
      <c r="X5671" s="186" t="s">
        <v>1429</v>
      </c>
      <c r="Y5671" s="187" t="s">
        <v>55</v>
      </c>
      <c r="Z5671" s="311">
        <v>275</v>
      </c>
      <c r="AB5671" t="str">
        <f>IF(Table1[[#This Row],[TIPO2]]="costo", VLOOKUP(Table1[[#This Row],[PARTIDA PRESUPUESTAL]],'Cost Report'!G:G,1,0),"Balance")</f>
        <v>3442-006</v>
      </c>
      <c r="AD5671" s="159">
        <f>+Table1[[#This Row],[SUBTOTAL]]+Table1[[#This Row],[IVA]]-Table1[[#This Row],[RET IVA]]-Table1[[#This Row],[RET ISR]]-Table1[[#This Row],[TOTAL]]</f>
        <v>0</v>
      </c>
      <c r="AK5671" s="306" t="str">
        <f>IF(ISNUMBER(Table1[[#This Row],[FECHA DE RECIBIDO]]), Table1[[#This Row],[FECHA DE RECIBIDO]]-DATE(2023,8,30), "")</f>
        <v/>
      </c>
    </row>
    <row r="5672" spans="1:37" ht="16.05" customHeight="1">
      <c r="A5672" s="172" t="s">
        <v>5082</v>
      </c>
      <c r="B5672" s="178">
        <v>2057</v>
      </c>
      <c r="C5672" s="179" t="s">
        <v>1868</v>
      </c>
      <c r="D5672">
        <v>3873</v>
      </c>
      <c r="E5672" s="125" t="s">
        <v>3354</v>
      </c>
      <c r="F5672" s="178">
        <v>612</v>
      </c>
      <c r="G5672" s="178" t="s">
        <v>129</v>
      </c>
      <c r="H5672">
        <v>925</v>
      </c>
      <c r="I5672" s="178" t="s">
        <v>1546</v>
      </c>
      <c r="J5672" s="320" t="s">
        <v>214</v>
      </c>
      <c r="K5672" s="178" t="s">
        <v>4872</v>
      </c>
      <c r="L5672" s="125" t="s">
        <v>4782</v>
      </c>
      <c r="M5672">
        <v>1287</v>
      </c>
      <c r="N5672" s="182">
        <v>230</v>
      </c>
      <c r="O5672">
        <v>3703</v>
      </c>
      <c r="P5672" s="132" t="s">
        <v>77</v>
      </c>
      <c r="Q5672" s="176">
        <v>1220</v>
      </c>
      <c r="R5672" s="176">
        <v>195.2</v>
      </c>
      <c r="S5672" s="176"/>
      <c r="T5672" s="190">
        <v>130.13</v>
      </c>
      <c r="U5672" s="191">
        <v>122</v>
      </c>
      <c r="V5672" s="191">
        <v>1163.0700000000002</v>
      </c>
      <c r="W5672">
        <v>457</v>
      </c>
      <c r="X5672" s="186" t="s">
        <v>1429</v>
      </c>
      <c r="Y5672" s="187" t="s">
        <v>55</v>
      </c>
      <c r="Z5672" s="311">
        <v>275</v>
      </c>
      <c r="AB5672" t="str">
        <f>IF(Table1[[#This Row],[TIPO2]]="costo", VLOOKUP(Table1[[#This Row],[PARTIDA PRESUPUESTAL]],'Cost Report'!G:G,1,0),"Balance")</f>
        <v>3442-006</v>
      </c>
      <c r="AD5672" s="159">
        <f>+Table1[[#This Row],[SUBTOTAL]]+Table1[[#This Row],[IVA]]-Table1[[#This Row],[RET IVA]]-Table1[[#This Row],[RET ISR]]-Table1[[#This Row],[TOTAL]]</f>
        <v>0</v>
      </c>
      <c r="AK5672" s="306" t="str">
        <f>IF(ISNUMBER(Table1[[#This Row],[FECHA DE RECIBIDO]]), Table1[[#This Row],[FECHA DE RECIBIDO]]-DATE(2023,8,30), "")</f>
        <v/>
      </c>
    </row>
    <row r="5673" spans="1:37" ht="16.05" customHeight="1">
      <c r="A5673" s="172" t="s">
        <v>5083</v>
      </c>
      <c r="B5673" s="178">
        <v>2058</v>
      </c>
      <c r="C5673" s="179" t="s">
        <v>1869</v>
      </c>
      <c r="D5673">
        <v>3874</v>
      </c>
      <c r="E5673" s="125" t="s">
        <v>3354</v>
      </c>
      <c r="F5673" s="178">
        <v>612</v>
      </c>
      <c r="G5673" s="178" t="s">
        <v>129</v>
      </c>
      <c r="H5673">
        <v>925</v>
      </c>
      <c r="I5673" s="178" t="s">
        <v>1546</v>
      </c>
      <c r="J5673" s="320" t="s">
        <v>214</v>
      </c>
      <c r="K5673" s="178" t="s">
        <v>4872</v>
      </c>
      <c r="L5673" s="125" t="s">
        <v>4782</v>
      </c>
      <c r="M5673">
        <v>1287</v>
      </c>
      <c r="N5673" s="182">
        <v>230</v>
      </c>
      <c r="O5673">
        <v>3704</v>
      </c>
      <c r="P5673" s="132" t="s">
        <v>77</v>
      </c>
      <c r="Q5673" s="176">
        <v>1220</v>
      </c>
      <c r="R5673" s="176">
        <v>195.2</v>
      </c>
      <c r="S5673" s="176"/>
      <c r="T5673" s="190">
        <v>130.13</v>
      </c>
      <c r="U5673" s="191">
        <v>122</v>
      </c>
      <c r="V5673" s="191">
        <v>1163.0700000000002</v>
      </c>
      <c r="W5673">
        <v>457</v>
      </c>
      <c r="X5673" s="186" t="s">
        <v>1429</v>
      </c>
      <c r="Y5673" s="187" t="s">
        <v>55</v>
      </c>
      <c r="Z5673" s="311">
        <v>275</v>
      </c>
      <c r="AB5673" t="str">
        <f>IF(Table1[[#This Row],[TIPO2]]="costo", VLOOKUP(Table1[[#This Row],[PARTIDA PRESUPUESTAL]],'Cost Report'!G:G,1,0),"Balance")</f>
        <v>3442-007</v>
      </c>
      <c r="AD5673" s="159">
        <f>+Table1[[#This Row],[SUBTOTAL]]+Table1[[#This Row],[IVA]]-Table1[[#This Row],[RET IVA]]-Table1[[#This Row],[RET ISR]]-Table1[[#This Row],[TOTAL]]</f>
        <v>0</v>
      </c>
      <c r="AK5673" s="306" t="str">
        <f>IF(ISNUMBER(Table1[[#This Row],[FECHA DE RECIBIDO]]), Table1[[#This Row],[FECHA DE RECIBIDO]]-DATE(2023,8,30), "")</f>
        <v/>
      </c>
    </row>
    <row r="5674" spans="1:37" ht="16.05" customHeight="1">
      <c r="A5674" s="172" t="s">
        <v>5084</v>
      </c>
      <c r="B5674" s="178">
        <v>2059</v>
      </c>
      <c r="C5674" s="179" t="s">
        <v>2476</v>
      </c>
      <c r="D5674">
        <v>3875</v>
      </c>
      <c r="E5674" s="125">
        <v>44190</v>
      </c>
      <c r="F5674" s="178" t="s">
        <v>1593</v>
      </c>
      <c r="G5674" s="178" t="s">
        <v>109</v>
      </c>
      <c r="H5674">
        <v>347</v>
      </c>
      <c r="I5674" s="178" t="s">
        <v>1546</v>
      </c>
      <c r="J5674" s="320">
        <v>274.56541666666453</v>
      </c>
      <c r="K5674" s="178" t="s">
        <v>4872</v>
      </c>
      <c r="L5674" s="125" t="s">
        <v>3306</v>
      </c>
      <c r="M5674">
        <v>464</v>
      </c>
      <c r="N5674" s="182">
        <v>51</v>
      </c>
      <c r="O5674">
        <v>3705</v>
      </c>
      <c r="P5674" s="132" t="s">
        <v>77</v>
      </c>
      <c r="Q5674" s="176">
        <v>4000</v>
      </c>
      <c r="R5674" s="176">
        <v>640</v>
      </c>
      <c r="S5674" s="176"/>
      <c r="T5674" s="190">
        <v>426.66800000000001</v>
      </c>
      <c r="U5674" s="191">
        <v>50</v>
      </c>
      <c r="V5674" s="191">
        <v>4163.3320000000003</v>
      </c>
      <c r="W5674">
        <v>184</v>
      </c>
      <c r="X5674" s="186" t="s">
        <v>4889</v>
      </c>
      <c r="Y5674" s="187" t="s">
        <v>55</v>
      </c>
      <c r="Z5674" s="311">
        <v>275</v>
      </c>
      <c r="AB5674" t="str">
        <f>IF(Table1[[#This Row],[TIPO2]]="costo", VLOOKUP(Table1[[#This Row],[PARTIDA PRESUPUESTAL]],'Cost Report'!G:G,1,0),"Balance")</f>
        <v>2394-025</v>
      </c>
      <c r="AD5674" s="159">
        <f>+Table1[[#This Row],[SUBTOTAL]]+Table1[[#This Row],[IVA]]-Table1[[#This Row],[RET IVA]]-Table1[[#This Row],[RET ISR]]-Table1[[#This Row],[TOTAL]]</f>
        <v>0</v>
      </c>
      <c r="AK5674" s="306">
        <f>IF(ISNUMBER(Table1[[#This Row],[FECHA DE RECIBIDO]]), Table1[[#This Row],[FECHA DE RECIBIDO]]-DATE(2023,8,30), "")</f>
        <v>-44893.434583333335</v>
      </c>
    </row>
    <row r="5675" spans="1:37" ht="16.05" customHeight="1">
      <c r="A5675" s="172" t="s">
        <v>5085</v>
      </c>
      <c r="B5675" s="178">
        <v>2060</v>
      </c>
      <c r="C5675" s="179" t="s">
        <v>2546</v>
      </c>
      <c r="D5675">
        <v>3876</v>
      </c>
      <c r="E5675" s="125">
        <v>45070</v>
      </c>
      <c r="F5675" s="178" t="s">
        <v>1593</v>
      </c>
      <c r="G5675" s="178" t="s">
        <v>109</v>
      </c>
      <c r="H5675">
        <v>341</v>
      </c>
      <c r="I5675" s="178" t="s">
        <v>1546</v>
      </c>
      <c r="J5675" s="320">
        <v>274.50118055555504</v>
      </c>
      <c r="K5675" s="178" t="s">
        <v>4872</v>
      </c>
      <c r="L5675" s="125" t="s">
        <v>3306</v>
      </c>
      <c r="M5675">
        <v>458</v>
      </c>
      <c r="N5675" s="182">
        <v>51</v>
      </c>
      <c r="O5675">
        <v>3706</v>
      </c>
      <c r="P5675" s="132" t="s">
        <v>77</v>
      </c>
      <c r="Q5675" s="176">
        <v>2000</v>
      </c>
      <c r="R5675" s="176">
        <v>320</v>
      </c>
      <c r="S5675" s="176"/>
      <c r="T5675" s="190">
        <v>213.334</v>
      </c>
      <c r="U5675" s="191">
        <v>25</v>
      </c>
      <c r="V5675" s="191">
        <v>2081.6660000000002</v>
      </c>
      <c r="W5675">
        <v>470</v>
      </c>
      <c r="X5675" s="186" t="s">
        <v>105</v>
      </c>
      <c r="Y5675" s="187" t="s">
        <v>55</v>
      </c>
      <c r="Z5675" s="311">
        <v>275</v>
      </c>
      <c r="AB5675" t="str">
        <f>IF(Table1[[#This Row],[TIPO2]]="costo", VLOOKUP(Table1[[#This Row],[PARTIDA PRESUPUESTAL]],'Cost Report'!G:G,1,0),"Balance")</f>
        <v>2494-071</v>
      </c>
      <c r="AD5675" s="159">
        <f>+Table1[[#This Row],[SUBTOTAL]]+Table1[[#This Row],[IVA]]-Table1[[#This Row],[RET IVA]]-Table1[[#This Row],[RET ISR]]-Table1[[#This Row],[TOTAL]]</f>
        <v>0</v>
      </c>
      <c r="AK5675" s="306">
        <f>IF(ISNUMBER(Table1[[#This Row],[FECHA DE RECIBIDO]]), Table1[[#This Row],[FECHA DE RECIBIDO]]-DATE(2023,8,30), "")</f>
        <v>-44893.498819444445</v>
      </c>
    </row>
    <row r="5676" spans="1:37" ht="16.05" customHeight="1">
      <c r="A5676" s="172" t="s">
        <v>5086</v>
      </c>
      <c r="B5676" s="178">
        <v>2061</v>
      </c>
      <c r="C5676" s="179" t="s">
        <v>2556</v>
      </c>
      <c r="D5676">
        <v>3877</v>
      </c>
      <c r="E5676" s="125" t="s">
        <v>2046</v>
      </c>
      <c r="F5676" s="178" t="s">
        <v>1607</v>
      </c>
      <c r="G5676" s="178" t="s">
        <v>134</v>
      </c>
      <c r="H5676">
        <v>128</v>
      </c>
      <c r="I5676" s="178" t="s">
        <v>1546</v>
      </c>
      <c r="J5676" s="320">
        <v>274.51353009259037</v>
      </c>
      <c r="K5676" s="178" t="s">
        <v>4872</v>
      </c>
      <c r="L5676" s="125" t="s">
        <v>3306</v>
      </c>
      <c r="M5676">
        <v>1300</v>
      </c>
      <c r="N5676" s="182">
        <v>51</v>
      </c>
      <c r="O5676">
        <v>3707</v>
      </c>
      <c r="P5676" s="132" t="s">
        <v>77</v>
      </c>
      <c r="Q5676" s="176">
        <v>3950</v>
      </c>
      <c r="R5676" s="176">
        <v>632</v>
      </c>
      <c r="S5676" s="176"/>
      <c r="T5676" s="190">
        <v>0</v>
      </c>
      <c r="U5676" s="191">
        <v>0</v>
      </c>
      <c r="V5676" s="191">
        <v>4582</v>
      </c>
      <c r="W5676">
        <v>64</v>
      </c>
      <c r="X5676" s="186" t="s">
        <v>2047</v>
      </c>
      <c r="Y5676" s="187" t="s">
        <v>55</v>
      </c>
      <c r="Z5676" s="311">
        <v>275</v>
      </c>
      <c r="AB5676" t="str">
        <f>IF(Table1[[#This Row],[TIPO2]]="costo", VLOOKUP(Table1[[#This Row],[PARTIDA PRESUPUESTAL]],'Cost Report'!G:G,1,0),"Balance")</f>
        <v>2498-003</v>
      </c>
      <c r="AD5676" s="159">
        <f>+Table1[[#This Row],[SUBTOTAL]]+Table1[[#This Row],[IVA]]-Table1[[#This Row],[RET IVA]]-Table1[[#This Row],[RET ISR]]-Table1[[#This Row],[TOTAL]]</f>
        <v>0</v>
      </c>
      <c r="AK5676" s="306">
        <f>IF(ISNUMBER(Table1[[#This Row],[FECHA DE RECIBIDO]]), Table1[[#This Row],[FECHA DE RECIBIDO]]-DATE(2023,8,30), "")</f>
        <v>-44893.48646990741</v>
      </c>
    </row>
    <row r="5677" spans="1:37" ht="16.05" customHeight="1">
      <c r="A5677" s="172" t="s">
        <v>5087</v>
      </c>
      <c r="B5677" s="178">
        <v>2062</v>
      </c>
      <c r="C5677" s="179" t="s">
        <v>1113</v>
      </c>
      <c r="D5677">
        <v>3878</v>
      </c>
      <c r="E5677" s="125">
        <v>54080</v>
      </c>
      <c r="F5677" s="178" t="s">
        <v>1607</v>
      </c>
      <c r="G5677" s="178" t="s">
        <v>134</v>
      </c>
      <c r="H5677">
        <v>938</v>
      </c>
      <c r="I5677" s="178" t="s">
        <v>1546</v>
      </c>
      <c r="J5677" s="320">
        <v>271.60392361111008</v>
      </c>
      <c r="K5677" s="178" t="s">
        <v>4872</v>
      </c>
      <c r="L5677" s="125" t="s">
        <v>3306</v>
      </c>
      <c r="M5677">
        <v>1301</v>
      </c>
      <c r="N5677" s="182">
        <v>1</v>
      </c>
      <c r="O5677">
        <v>3708</v>
      </c>
      <c r="P5677" s="132" t="s">
        <v>77</v>
      </c>
      <c r="Q5677" s="176">
        <v>21459.02</v>
      </c>
      <c r="R5677" s="176">
        <v>3433.4432000000002</v>
      </c>
      <c r="S5677" s="176"/>
      <c r="T5677" s="190">
        <v>0</v>
      </c>
      <c r="U5677" s="191">
        <v>0</v>
      </c>
      <c r="V5677" s="191">
        <v>24892.463200000002</v>
      </c>
      <c r="W5677">
        <v>471</v>
      </c>
      <c r="X5677" s="186" t="s">
        <v>105</v>
      </c>
      <c r="Y5677" s="187" t="s">
        <v>55</v>
      </c>
      <c r="Z5677" s="311">
        <v>275</v>
      </c>
      <c r="AB5677" t="str">
        <f>IF(Table1[[#This Row],[TIPO2]]="costo", VLOOKUP(Table1[[#This Row],[PARTIDA PRESUPUESTAL]],'Cost Report'!G:G,1,0),"Balance")</f>
        <v>3813-003</v>
      </c>
      <c r="AD5677" s="159">
        <f>+Table1[[#This Row],[SUBTOTAL]]+Table1[[#This Row],[IVA]]-Table1[[#This Row],[RET IVA]]-Table1[[#This Row],[RET ISR]]-Table1[[#This Row],[TOTAL]]</f>
        <v>0</v>
      </c>
      <c r="AK5677" s="306">
        <f>IF(ISNUMBER(Table1[[#This Row],[FECHA DE RECIBIDO]]), Table1[[#This Row],[FECHA DE RECIBIDO]]-DATE(2023,8,30), "")</f>
        <v>-44896.39607638889</v>
      </c>
    </row>
    <row r="5678" spans="1:37" ht="16.05" customHeight="1">
      <c r="A5678" s="172" t="s">
        <v>5088</v>
      </c>
      <c r="B5678" s="178">
        <v>2063</v>
      </c>
      <c r="C5678" s="179" t="s">
        <v>1722</v>
      </c>
      <c r="D5678">
        <v>3879</v>
      </c>
      <c r="E5678" s="125">
        <v>44690</v>
      </c>
      <c r="F5678" s="178" t="s">
        <v>1607</v>
      </c>
      <c r="G5678" s="178" t="s">
        <v>134</v>
      </c>
      <c r="H5678">
        <v>229</v>
      </c>
      <c r="I5678" s="178" t="s">
        <v>1546</v>
      </c>
      <c r="J5678" s="320">
        <v>265.68910879629402</v>
      </c>
      <c r="K5678" s="178" t="s">
        <v>4872</v>
      </c>
      <c r="L5678" s="125" t="s">
        <v>3306</v>
      </c>
      <c r="M5678">
        <v>298</v>
      </c>
      <c r="N5678" s="182">
        <v>51</v>
      </c>
      <c r="O5678">
        <v>3709</v>
      </c>
      <c r="P5678" s="132" t="s">
        <v>77</v>
      </c>
      <c r="Q5678" s="176">
        <v>5200</v>
      </c>
      <c r="R5678" s="176">
        <v>832</v>
      </c>
      <c r="S5678" s="176"/>
      <c r="T5678" s="190">
        <v>0</v>
      </c>
      <c r="U5678" s="191">
        <v>0</v>
      </c>
      <c r="V5678" s="191">
        <v>6032</v>
      </c>
      <c r="W5678">
        <v>472</v>
      </c>
      <c r="X5678" s="186" t="s">
        <v>2041</v>
      </c>
      <c r="Y5678" s="187" t="s">
        <v>55</v>
      </c>
      <c r="Z5678" s="311">
        <v>275</v>
      </c>
      <c r="AB5678" t="str">
        <f>IF(Table1[[#This Row],[TIPO2]]="costo", VLOOKUP(Table1[[#This Row],[PARTIDA PRESUPUESTAL]],'Cost Report'!G:G,1,0),"Balance")</f>
        <v>1641-004</v>
      </c>
      <c r="AD5678" s="159">
        <f>+Table1[[#This Row],[SUBTOTAL]]+Table1[[#This Row],[IVA]]-Table1[[#This Row],[RET IVA]]-Table1[[#This Row],[RET ISR]]-Table1[[#This Row],[TOTAL]]</f>
        <v>0</v>
      </c>
      <c r="AK5678" s="306">
        <f>IF(ISNUMBER(Table1[[#This Row],[FECHA DE RECIBIDO]]), Table1[[#This Row],[FECHA DE RECIBIDO]]-DATE(2023,8,30), "")</f>
        <v>-44902.310891203706</v>
      </c>
    </row>
    <row r="5679" spans="1:37" ht="16.05" customHeight="1">
      <c r="A5679" s="172" t="s">
        <v>5089</v>
      </c>
      <c r="B5679" s="178">
        <v>2064</v>
      </c>
      <c r="C5679" s="179" t="s">
        <v>2150</v>
      </c>
      <c r="D5679">
        <v>3880</v>
      </c>
      <c r="E5679" s="125" t="s">
        <v>3354</v>
      </c>
      <c r="F5679" s="178" t="s">
        <v>1371</v>
      </c>
      <c r="G5679" s="178" t="s">
        <v>2065</v>
      </c>
      <c r="H5679">
        <v>454</v>
      </c>
      <c r="I5679" s="178" t="s">
        <v>1546</v>
      </c>
      <c r="J5679" s="320">
        <v>274.71009259259154</v>
      </c>
      <c r="K5679" s="178" t="s">
        <v>4872</v>
      </c>
      <c r="L5679" s="125" t="s">
        <v>3306</v>
      </c>
      <c r="M5679">
        <v>1110</v>
      </c>
      <c r="N5679" s="182">
        <v>51</v>
      </c>
      <c r="O5679">
        <v>3710</v>
      </c>
      <c r="P5679" s="132" t="s">
        <v>77</v>
      </c>
      <c r="Q5679" s="176">
        <v>5829.94</v>
      </c>
      <c r="R5679" s="176">
        <v>932.76</v>
      </c>
      <c r="S5679" s="176"/>
      <c r="T5679" s="190">
        <v>0</v>
      </c>
      <c r="U5679" s="191">
        <v>0</v>
      </c>
      <c r="V5679" s="191">
        <v>6762.7</v>
      </c>
      <c r="W5679">
        <v>242</v>
      </c>
      <c r="X5679" s="186" t="s">
        <v>2035</v>
      </c>
      <c r="Y5679" s="187" t="s">
        <v>55</v>
      </c>
      <c r="Z5679" s="311">
        <v>275</v>
      </c>
      <c r="AB5679" t="str">
        <f>IF(Table1[[#This Row],[TIPO2]]="costo", VLOOKUP(Table1[[#This Row],[PARTIDA PRESUPUESTAL]],'Cost Report'!G:G,1,0),"Balance")</f>
        <v>1301-028</v>
      </c>
      <c r="AD5679" s="159">
        <f>+Table1[[#This Row],[SUBTOTAL]]+Table1[[#This Row],[IVA]]-Table1[[#This Row],[RET IVA]]-Table1[[#This Row],[RET ISR]]-Table1[[#This Row],[TOTAL]]</f>
        <v>0</v>
      </c>
      <c r="AK5679" s="306">
        <f>IF(ISNUMBER(Table1[[#This Row],[FECHA DE RECIBIDO]]), Table1[[#This Row],[FECHA DE RECIBIDO]]-DATE(2023,8,30), "")</f>
        <v>-44893.289907407408</v>
      </c>
    </row>
    <row r="5680" spans="1:37" ht="16.05" customHeight="1">
      <c r="A5680" s="172" t="s">
        <v>5089</v>
      </c>
      <c r="B5680" s="178">
        <v>2064</v>
      </c>
      <c r="C5680" s="179" t="s">
        <v>2151</v>
      </c>
      <c r="D5680">
        <v>3880</v>
      </c>
      <c r="E5680" s="125" t="s">
        <v>3354</v>
      </c>
      <c r="F5680" s="178" t="s">
        <v>1371</v>
      </c>
      <c r="G5680" s="178" t="s">
        <v>2065</v>
      </c>
      <c r="H5680">
        <v>454</v>
      </c>
      <c r="I5680" s="178" t="s">
        <v>1546</v>
      </c>
      <c r="J5680" s="320">
        <v>274.71009259259154</v>
      </c>
      <c r="K5680" s="178" t="s">
        <v>4872</v>
      </c>
      <c r="L5680" s="125" t="s">
        <v>3306</v>
      </c>
      <c r="M5680">
        <v>1110</v>
      </c>
      <c r="N5680" s="182">
        <v>51</v>
      </c>
      <c r="O5680">
        <v>3710</v>
      </c>
      <c r="P5680" s="132" t="s">
        <v>77</v>
      </c>
      <c r="Q5680" s="176">
        <v>5829.94</v>
      </c>
      <c r="R5680" s="176">
        <v>932.79</v>
      </c>
      <c r="S5680" s="176"/>
      <c r="T5680" s="190">
        <v>0</v>
      </c>
      <c r="U5680" s="191">
        <v>0</v>
      </c>
      <c r="V5680" s="191">
        <v>6762.73</v>
      </c>
      <c r="W5680">
        <v>242</v>
      </c>
      <c r="X5680" s="186" t="s">
        <v>2035</v>
      </c>
      <c r="Y5680" s="187" t="s">
        <v>55</v>
      </c>
      <c r="Z5680" s="311">
        <v>275</v>
      </c>
      <c r="AB5680" t="str">
        <f>IF(Table1[[#This Row],[TIPO2]]="costo", VLOOKUP(Table1[[#This Row],[PARTIDA PRESUPUESTAL]],'Cost Report'!G:G,1,0),"Balance")</f>
        <v>1301-029</v>
      </c>
      <c r="AD5680" s="159">
        <f>+Table1[[#This Row],[SUBTOTAL]]+Table1[[#This Row],[IVA]]-Table1[[#This Row],[RET IVA]]-Table1[[#This Row],[RET ISR]]-Table1[[#This Row],[TOTAL]]</f>
        <v>0</v>
      </c>
      <c r="AK5680" s="306">
        <f>IF(ISNUMBER(Table1[[#This Row],[FECHA DE RECIBIDO]]), Table1[[#This Row],[FECHA DE RECIBIDO]]-DATE(2023,8,30), "")</f>
        <v>-44893.289907407408</v>
      </c>
    </row>
    <row r="5681" spans="1:37" ht="16.05" customHeight="1">
      <c r="A5681" s="172" t="s">
        <v>5089</v>
      </c>
      <c r="B5681" s="178">
        <v>2064</v>
      </c>
      <c r="C5681" s="179" t="s">
        <v>2152</v>
      </c>
      <c r="D5681">
        <v>3880</v>
      </c>
      <c r="E5681" s="125" t="s">
        <v>3354</v>
      </c>
      <c r="F5681" s="178" t="s">
        <v>1371</v>
      </c>
      <c r="G5681" s="178" t="s">
        <v>2065</v>
      </c>
      <c r="H5681">
        <v>454</v>
      </c>
      <c r="I5681" s="178" t="s">
        <v>1546</v>
      </c>
      <c r="J5681" s="320">
        <v>274.71009259259154</v>
      </c>
      <c r="K5681" s="178" t="s">
        <v>4872</v>
      </c>
      <c r="L5681" s="125" t="s">
        <v>3306</v>
      </c>
      <c r="M5681">
        <v>1110</v>
      </c>
      <c r="N5681" s="182">
        <v>51</v>
      </c>
      <c r="O5681">
        <v>3710</v>
      </c>
      <c r="P5681" s="132" t="s">
        <v>77</v>
      </c>
      <c r="Q5681" s="176">
        <v>5829.94</v>
      </c>
      <c r="R5681" s="176">
        <v>932.79</v>
      </c>
      <c r="S5681" s="176"/>
      <c r="T5681" s="190">
        <v>0</v>
      </c>
      <c r="U5681" s="191">
        <v>0</v>
      </c>
      <c r="V5681" s="191">
        <v>6762.73</v>
      </c>
      <c r="W5681">
        <v>242</v>
      </c>
      <c r="X5681" s="186" t="s">
        <v>2035</v>
      </c>
      <c r="Y5681" s="187" t="s">
        <v>55</v>
      </c>
      <c r="Z5681" s="311">
        <v>275</v>
      </c>
      <c r="AB5681" t="str">
        <f>IF(Table1[[#This Row],[TIPO2]]="costo", VLOOKUP(Table1[[#This Row],[PARTIDA PRESUPUESTAL]],'Cost Report'!G:G,1,0),"Balance")</f>
        <v>1301-030</v>
      </c>
      <c r="AD5681" s="159">
        <f>+Table1[[#This Row],[SUBTOTAL]]+Table1[[#This Row],[IVA]]-Table1[[#This Row],[RET IVA]]-Table1[[#This Row],[RET ISR]]-Table1[[#This Row],[TOTAL]]</f>
        <v>0</v>
      </c>
      <c r="AK5681" s="306">
        <f>IF(ISNUMBER(Table1[[#This Row],[FECHA DE RECIBIDO]]), Table1[[#This Row],[FECHA DE RECIBIDO]]-DATE(2023,8,30), "")</f>
        <v>-44893.289907407408</v>
      </c>
    </row>
    <row r="5682" spans="1:37" ht="16.05" customHeight="1">
      <c r="A5682" s="172" t="s">
        <v>5089</v>
      </c>
      <c r="B5682" s="178">
        <v>2064</v>
      </c>
      <c r="C5682" s="179" t="s">
        <v>2153</v>
      </c>
      <c r="D5682">
        <v>3880</v>
      </c>
      <c r="E5682" s="125" t="s">
        <v>3354</v>
      </c>
      <c r="F5682" s="178" t="s">
        <v>1371</v>
      </c>
      <c r="G5682" s="178" t="s">
        <v>2065</v>
      </c>
      <c r="H5682">
        <v>454</v>
      </c>
      <c r="I5682" s="178" t="s">
        <v>1546</v>
      </c>
      <c r="J5682" s="320">
        <v>274.71009259259154</v>
      </c>
      <c r="K5682" s="178" t="s">
        <v>4872</v>
      </c>
      <c r="L5682" s="125" t="s">
        <v>3306</v>
      </c>
      <c r="M5682">
        <v>1110</v>
      </c>
      <c r="N5682" s="182">
        <v>51</v>
      </c>
      <c r="O5682">
        <v>3710</v>
      </c>
      <c r="P5682" s="132" t="s">
        <v>77</v>
      </c>
      <c r="Q5682" s="176">
        <v>5829.94</v>
      </c>
      <c r="R5682" s="176">
        <v>932.79</v>
      </c>
      <c r="S5682" s="176"/>
      <c r="T5682" s="190">
        <v>0</v>
      </c>
      <c r="U5682" s="191">
        <v>0</v>
      </c>
      <c r="V5682" s="191">
        <v>6762.73</v>
      </c>
      <c r="W5682">
        <v>242</v>
      </c>
      <c r="X5682" s="186" t="s">
        <v>2035</v>
      </c>
      <c r="Y5682" s="187" t="s">
        <v>55</v>
      </c>
      <c r="Z5682" s="311">
        <v>275</v>
      </c>
      <c r="AB5682" t="str">
        <f>IF(Table1[[#This Row],[TIPO2]]="costo", VLOOKUP(Table1[[#This Row],[PARTIDA PRESUPUESTAL]],'Cost Report'!G:G,1,0),"Balance")</f>
        <v>1301-031</v>
      </c>
      <c r="AD5682" s="159">
        <f>+Table1[[#This Row],[SUBTOTAL]]+Table1[[#This Row],[IVA]]-Table1[[#This Row],[RET IVA]]-Table1[[#This Row],[RET ISR]]-Table1[[#This Row],[TOTAL]]</f>
        <v>0</v>
      </c>
      <c r="AK5682" s="306">
        <f>IF(ISNUMBER(Table1[[#This Row],[FECHA DE RECIBIDO]]), Table1[[#This Row],[FECHA DE RECIBIDO]]-DATE(2023,8,30), "")</f>
        <v>-44893.289907407408</v>
      </c>
    </row>
    <row r="5683" spans="1:37" ht="16.05" customHeight="1">
      <c r="A5683" s="172" t="s">
        <v>5089</v>
      </c>
      <c r="B5683" s="178">
        <v>2064</v>
      </c>
      <c r="C5683" s="179" t="s">
        <v>2156</v>
      </c>
      <c r="D5683">
        <v>3880</v>
      </c>
      <c r="E5683" s="125" t="s">
        <v>3354</v>
      </c>
      <c r="F5683" s="178" t="s">
        <v>1371</v>
      </c>
      <c r="G5683" s="178" t="s">
        <v>2065</v>
      </c>
      <c r="H5683">
        <v>454</v>
      </c>
      <c r="I5683" s="178" t="s">
        <v>1546</v>
      </c>
      <c r="J5683" s="320">
        <v>274.71009259259154</v>
      </c>
      <c r="K5683" s="178" t="s">
        <v>4872</v>
      </c>
      <c r="L5683" s="125" t="s">
        <v>3306</v>
      </c>
      <c r="M5683">
        <v>1110</v>
      </c>
      <c r="N5683" s="182">
        <v>51</v>
      </c>
      <c r="O5683">
        <v>3710</v>
      </c>
      <c r="P5683" s="132" t="s">
        <v>77</v>
      </c>
      <c r="Q5683" s="176">
        <v>5829.94</v>
      </c>
      <c r="R5683" s="176">
        <v>932.79</v>
      </c>
      <c r="S5683" s="176"/>
      <c r="T5683" s="190">
        <v>0</v>
      </c>
      <c r="U5683" s="191">
        <v>0</v>
      </c>
      <c r="V5683" s="191">
        <v>6762.73</v>
      </c>
      <c r="W5683">
        <v>242</v>
      </c>
      <c r="X5683" s="186" t="s">
        <v>2035</v>
      </c>
      <c r="Y5683" s="187" t="s">
        <v>55</v>
      </c>
      <c r="Z5683" s="311">
        <v>275</v>
      </c>
      <c r="AB5683" t="str">
        <f>IF(Table1[[#This Row],[TIPO2]]="costo", VLOOKUP(Table1[[#This Row],[PARTIDA PRESUPUESTAL]],'Cost Report'!G:G,1,0),"Balance")</f>
        <v>1301-036</v>
      </c>
      <c r="AD5683" s="159">
        <f>+Table1[[#This Row],[SUBTOTAL]]+Table1[[#This Row],[IVA]]-Table1[[#This Row],[RET IVA]]-Table1[[#This Row],[RET ISR]]-Table1[[#This Row],[TOTAL]]</f>
        <v>0</v>
      </c>
      <c r="AK5683" s="306">
        <f>IF(ISNUMBER(Table1[[#This Row],[FECHA DE RECIBIDO]]), Table1[[#This Row],[FECHA DE RECIBIDO]]-DATE(2023,8,30), "")</f>
        <v>-44893.289907407408</v>
      </c>
    </row>
    <row r="5684" spans="1:37" ht="16.05" customHeight="1">
      <c r="A5684" s="172" t="s">
        <v>5089</v>
      </c>
      <c r="B5684" s="178">
        <v>2064</v>
      </c>
      <c r="C5684" s="179" t="s">
        <v>2157</v>
      </c>
      <c r="D5684">
        <v>3880</v>
      </c>
      <c r="E5684" s="125" t="s">
        <v>3354</v>
      </c>
      <c r="F5684" s="178" t="s">
        <v>1371</v>
      </c>
      <c r="G5684" s="178" t="s">
        <v>2065</v>
      </c>
      <c r="H5684">
        <v>454</v>
      </c>
      <c r="I5684" s="178" t="s">
        <v>1546</v>
      </c>
      <c r="J5684" s="320">
        <v>274.71009259259154</v>
      </c>
      <c r="K5684" s="178" t="s">
        <v>4872</v>
      </c>
      <c r="L5684" s="125" t="s">
        <v>3306</v>
      </c>
      <c r="M5684">
        <v>1110</v>
      </c>
      <c r="N5684" s="182">
        <v>51</v>
      </c>
      <c r="O5684">
        <v>3710</v>
      </c>
      <c r="P5684" s="132" t="s">
        <v>77</v>
      </c>
      <c r="Q5684" s="176">
        <v>5829.94</v>
      </c>
      <c r="R5684" s="176">
        <v>932.79</v>
      </c>
      <c r="S5684" s="176"/>
      <c r="T5684" s="190">
        <v>0</v>
      </c>
      <c r="U5684" s="191">
        <v>0</v>
      </c>
      <c r="V5684" s="191">
        <v>6762.73</v>
      </c>
      <c r="W5684">
        <v>242</v>
      </c>
      <c r="X5684" s="186" t="s">
        <v>2035</v>
      </c>
      <c r="Y5684" s="187" t="s">
        <v>55</v>
      </c>
      <c r="Z5684" s="311">
        <v>275</v>
      </c>
      <c r="AB5684" t="str">
        <f>IF(Table1[[#This Row],[TIPO2]]="costo", VLOOKUP(Table1[[#This Row],[PARTIDA PRESUPUESTAL]],'Cost Report'!G:G,1,0),"Balance")</f>
        <v>1301-037</v>
      </c>
      <c r="AD5684" s="159">
        <f>+Table1[[#This Row],[SUBTOTAL]]+Table1[[#This Row],[IVA]]-Table1[[#This Row],[RET IVA]]-Table1[[#This Row],[RET ISR]]-Table1[[#This Row],[TOTAL]]</f>
        <v>0</v>
      </c>
      <c r="AK5684" s="306">
        <f>IF(ISNUMBER(Table1[[#This Row],[FECHA DE RECIBIDO]]), Table1[[#This Row],[FECHA DE RECIBIDO]]-DATE(2023,8,30), "")</f>
        <v>-44893.289907407408</v>
      </c>
    </row>
    <row r="5685" spans="1:37" ht="16.05" customHeight="1">
      <c r="A5685" s="172" t="s">
        <v>5089</v>
      </c>
      <c r="B5685" s="178">
        <v>2064</v>
      </c>
      <c r="C5685" s="179" t="s">
        <v>2158</v>
      </c>
      <c r="D5685">
        <v>3880</v>
      </c>
      <c r="E5685" s="125" t="s">
        <v>3354</v>
      </c>
      <c r="F5685" s="178" t="s">
        <v>1371</v>
      </c>
      <c r="G5685" s="178" t="s">
        <v>2065</v>
      </c>
      <c r="H5685">
        <v>454</v>
      </c>
      <c r="I5685" s="178" t="s">
        <v>1546</v>
      </c>
      <c r="J5685" s="320">
        <v>274.71009259259154</v>
      </c>
      <c r="K5685" s="178" t="s">
        <v>4872</v>
      </c>
      <c r="L5685" s="125" t="s">
        <v>3306</v>
      </c>
      <c r="M5685">
        <v>1110</v>
      </c>
      <c r="N5685" s="182">
        <v>51</v>
      </c>
      <c r="O5685">
        <v>3710</v>
      </c>
      <c r="P5685" s="132" t="s">
        <v>77</v>
      </c>
      <c r="Q5685" s="176">
        <v>5829.94</v>
      </c>
      <c r="R5685" s="176">
        <v>932.79</v>
      </c>
      <c r="S5685" s="176"/>
      <c r="T5685" s="190">
        <v>0</v>
      </c>
      <c r="U5685" s="191">
        <v>0</v>
      </c>
      <c r="V5685" s="191">
        <v>6762.73</v>
      </c>
      <c r="W5685">
        <v>242</v>
      </c>
      <c r="X5685" s="186" t="s">
        <v>2035</v>
      </c>
      <c r="Y5685" s="187" t="s">
        <v>55</v>
      </c>
      <c r="Z5685" s="311">
        <v>275</v>
      </c>
      <c r="AB5685" t="str">
        <f>IF(Table1[[#This Row],[TIPO2]]="costo", VLOOKUP(Table1[[#This Row],[PARTIDA PRESUPUESTAL]],'Cost Report'!G:G,1,0),"Balance")</f>
        <v>1301-038</v>
      </c>
      <c r="AD5685" s="159">
        <f>+Table1[[#This Row],[SUBTOTAL]]+Table1[[#This Row],[IVA]]-Table1[[#This Row],[RET IVA]]-Table1[[#This Row],[RET ISR]]-Table1[[#This Row],[TOTAL]]</f>
        <v>0</v>
      </c>
      <c r="AK5685" s="306">
        <f>IF(ISNUMBER(Table1[[#This Row],[FECHA DE RECIBIDO]]), Table1[[#This Row],[FECHA DE RECIBIDO]]-DATE(2023,8,30), "")</f>
        <v>-44893.289907407408</v>
      </c>
    </row>
    <row r="5686" spans="1:37" ht="16.05" customHeight="1">
      <c r="A5686" s="172" t="s">
        <v>5089</v>
      </c>
      <c r="B5686" s="178">
        <v>2064</v>
      </c>
      <c r="C5686" s="179" t="s">
        <v>2159</v>
      </c>
      <c r="D5686">
        <v>3880</v>
      </c>
      <c r="E5686" s="125" t="s">
        <v>3354</v>
      </c>
      <c r="F5686" s="178" t="s">
        <v>1371</v>
      </c>
      <c r="G5686" s="178" t="s">
        <v>2065</v>
      </c>
      <c r="H5686">
        <v>454</v>
      </c>
      <c r="I5686" s="178" t="s">
        <v>1546</v>
      </c>
      <c r="J5686" s="320">
        <v>274.71009259259154</v>
      </c>
      <c r="K5686" s="178" t="s">
        <v>4872</v>
      </c>
      <c r="L5686" s="125" t="s">
        <v>3306</v>
      </c>
      <c r="M5686">
        <v>1110</v>
      </c>
      <c r="N5686" s="182">
        <v>51</v>
      </c>
      <c r="O5686">
        <v>3710</v>
      </c>
      <c r="P5686" s="132" t="s">
        <v>77</v>
      </c>
      <c r="Q5686" s="176">
        <v>5829.94</v>
      </c>
      <c r="R5686" s="176">
        <v>932.79</v>
      </c>
      <c r="S5686" s="176"/>
      <c r="T5686" s="190">
        <v>0</v>
      </c>
      <c r="U5686" s="191">
        <v>0</v>
      </c>
      <c r="V5686" s="191">
        <v>6762.73</v>
      </c>
      <c r="W5686">
        <v>242</v>
      </c>
      <c r="X5686" s="186" t="s">
        <v>2035</v>
      </c>
      <c r="Y5686" s="187" t="s">
        <v>55</v>
      </c>
      <c r="Z5686" s="311">
        <v>275</v>
      </c>
      <c r="AB5686" t="str">
        <f>IF(Table1[[#This Row],[TIPO2]]="costo", VLOOKUP(Table1[[#This Row],[PARTIDA PRESUPUESTAL]],'Cost Report'!G:G,1,0),"Balance")</f>
        <v>1301-039</v>
      </c>
      <c r="AD5686" s="159">
        <f>+Table1[[#This Row],[SUBTOTAL]]+Table1[[#This Row],[IVA]]-Table1[[#This Row],[RET IVA]]-Table1[[#This Row],[RET ISR]]-Table1[[#This Row],[TOTAL]]</f>
        <v>0</v>
      </c>
      <c r="AK5686" s="306">
        <f>IF(ISNUMBER(Table1[[#This Row],[FECHA DE RECIBIDO]]), Table1[[#This Row],[FECHA DE RECIBIDO]]-DATE(2023,8,30), "")</f>
        <v>-44893.289907407408</v>
      </c>
    </row>
    <row r="5687" spans="1:37" ht="16.05" customHeight="1">
      <c r="A5687" s="172" t="s">
        <v>5089</v>
      </c>
      <c r="B5687" s="178">
        <v>2064</v>
      </c>
      <c r="C5687" s="179" t="s">
        <v>273</v>
      </c>
      <c r="D5687">
        <v>3880</v>
      </c>
      <c r="E5687" s="125" t="s">
        <v>3354</v>
      </c>
      <c r="F5687" s="178" t="s">
        <v>1371</v>
      </c>
      <c r="G5687" s="178" t="s">
        <v>2065</v>
      </c>
      <c r="H5687">
        <v>454</v>
      </c>
      <c r="I5687" s="178" t="s">
        <v>1546</v>
      </c>
      <c r="J5687" s="320">
        <v>274.71009259259154</v>
      </c>
      <c r="K5687" s="178" t="s">
        <v>4872</v>
      </c>
      <c r="L5687" s="125" t="s">
        <v>3306</v>
      </c>
      <c r="M5687">
        <v>1110</v>
      </c>
      <c r="N5687" s="182">
        <v>51</v>
      </c>
      <c r="O5687">
        <v>3710</v>
      </c>
      <c r="P5687" s="132" t="s">
        <v>77</v>
      </c>
      <c r="Q5687" s="176">
        <v>5829.94</v>
      </c>
      <c r="R5687" s="176">
        <v>932.79</v>
      </c>
      <c r="S5687" s="176"/>
      <c r="T5687" s="190">
        <v>0</v>
      </c>
      <c r="U5687" s="191">
        <v>0</v>
      </c>
      <c r="V5687" s="191">
        <v>6762.73</v>
      </c>
      <c r="W5687">
        <v>242</v>
      </c>
      <c r="X5687" s="186" t="s">
        <v>2035</v>
      </c>
      <c r="Y5687" s="187" t="s">
        <v>55</v>
      </c>
      <c r="Z5687" s="311">
        <v>275</v>
      </c>
      <c r="AB5687" t="str">
        <f>IF(Table1[[#This Row],[TIPO2]]="costo", VLOOKUP(Table1[[#This Row],[PARTIDA PRESUPUESTAL]],'Cost Report'!G:G,1,0),"Balance")</f>
        <v>1302-005</v>
      </c>
      <c r="AD5687" s="159">
        <f>+Table1[[#This Row],[SUBTOTAL]]+Table1[[#This Row],[IVA]]-Table1[[#This Row],[RET IVA]]-Table1[[#This Row],[RET ISR]]-Table1[[#This Row],[TOTAL]]</f>
        <v>0</v>
      </c>
      <c r="AK5687" s="306">
        <f>IF(ISNUMBER(Table1[[#This Row],[FECHA DE RECIBIDO]]), Table1[[#This Row],[FECHA DE RECIBIDO]]-DATE(2023,8,30), "")</f>
        <v>-44893.289907407408</v>
      </c>
    </row>
    <row r="5688" spans="1:37" ht="16.05" customHeight="1">
      <c r="A5688" s="172" t="s">
        <v>5089</v>
      </c>
      <c r="B5688" s="178">
        <v>2064</v>
      </c>
      <c r="C5688" s="179" t="s">
        <v>274</v>
      </c>
      <c r="D5688">
        <v>3880</v>
      </c>
      <c r="E5688" s="125" t="s">
        <v>3354</v>
      </c>
      <c r="F5688" s="178" t="s">
        <v>1371</v>
      </c>
      <c r="G5688" s="178" t="s">
        <v>2065</v>
      </c>
      <c r="H5688">
        <v>454</v>
      </c>
      <c r="I5688" s="178" t="s">
        <v>1546</v>
      </c>
      <c r="J5688" s="320">
        <v>274.71009259259154</v>
      </c>
      <c r="K5688" s="178" t="s">
        <v>4872</v>
      </c>
      <c r="L5688" s="125" t="s">
        <v>3306</v>
      </c>
      <c r="M5688">
        <v>1110</v>
      </c>
      <c r="N5688" s="182">
        <v>51</v>
      </c>
      <c r="O5688">
        <v>3710</v>
      </c>
      <c r="P5688" s="132" t="s">
        <v>77</v>
      </c>
      <c r="Q5688" s="176">
        <v>5829.94</v>
      </c>
      <c r="R5688" s="176">
        <v>932.79</v>
      </c>
      <c r="S5688" s="176"/>
      <c r="T5688" s="190">
        <v>0</v>
      </c>
      <c r="U5688" s="191">
        <v>0</v>
      </c>
      <c r="V5688" s="191">
        <v>6762.73</v>
      </c>
      <c r="W5688">
        <v>242</v>
      </c>
      <c r="X5688" s="186" t="s">
        <v>2035</v>
      </c>
      <c r="Y5688" s="187" t="s">
        <v>55</v>
      </c>
      <c r="Z5688" s="311">
        <v>275</v>
      </c>
      <c r="AB5688" t="str">
        <f>IF(Table1[[#This Row],[TIPO2]]="costo", VLOOKUP(Table1[[#This Row],[PARTIDA PRESUPUESTAL]],'Cost Report'!G:G,1,0),"Balance")</f>
        <v>1302-006</v>
      </c>
      <c r="AD5688" s="159">
        <f>+Table1[[#This Row],[SUBTOTAL]]+Table1[[#This Row],[IVA]]-Table1[[#This Row],[RET IVA]]-Table1[[#This Row],[RET ISR]]-Table1[[#This Row],[TOTAL]]</f>
        <v>0</v>
      </c>
      <c r="AK5688" s="306">
        <f>IF(ISNUMBER(Table1[[#This Row],[FECHA DE RECIBIDO]]), Table1[[#This Row],[FECHA DE RECIBIDO]]-DATE(2023,8,30), "")</f>
        <v>-44893.289907407408</v>
      </c>
    </row>
    <row r="5689" spans="1:37" ht="16.05" customHeight="1">
      <c r="A5689" s="172" t="s">
        <v>5089</v>
      </c>
      <c r="B5689" s="178">
        <v>2064</v>
      </c>
      <c r="C5689" s="179" t="s">
        <v>2160</v>
      </c>
      <c r="D5689">
        <v>3880</v>
      </c>
      <c r="E5689" s="125" t="s">
        <v>3354</v>
      </c>
      <c r="F5689" s="178" t="s">
        <v>1371</v>
      </c>
      <c r="G5689" s="178" t="s">
        <v>2065</v>
      </c>
      <c r="H5689">
        <v>454</v>
      </c>
      <c r="I5689" s="178" t="s">
        <v>1546</v>
      </c>
      <c r="J5689" s="320">
        <v>274.71009259259154</v>
      </c>
      <c r="K5689" s="178" t="s">
        <v>4872</v>
      </c>
      <c r="L5689" s="125" t="s">
        <v>3306</v>
      </c>
      <c r="M5689">
        <v>1110</v>
      </c>
      <c r="N5689" s="182">
        <v>51</v>
      </c>
      <c r="O5689">
        <v>3710</v>
      </c>
      <c r="P5689" s="132" t="s">
        <v>77</v>
      </c>
      <c r="Q5689" s="176">
        <v>5829.94</v>
      </c>
      <c r="R5689" s="176">
        <v>932.79</v>
      </c>
      <c r="S5689" s="176"/>
      <c r="T5689" s="190">
        <v>0</v>
      </c>
      <c r="U5689" s="191">
        <v>0</v>
      </c>
      <c r="V5689" s="191">
        <v>6762.73</v>
      </c>
      <c r="W5689">
        <v>242</v>
      </c>
      <c r="X5689" s="186" t="s">
        <v>2035</v>
      </c>
      <c r="Y5689" s="187" t="s">
        <v>55</v>
      </c>
      <c r="Z5689" s="311">
        <v>275</v>
      </c>
      <c r="AB5689" t="str">
        <f>IF(Table1[[#This Row],[TIPO2]]="costo", VLOOKUP(Table1[[#This Row],[PARTIDA PRESUPUESTAL]],'Cost Report'!G:G,1,0),"Balance")</f>
        <v>1302-007</v>
      </c>
      <c r="AD5689" s="159">
        <f>+Table1[[#This Row],[SUBTOTAL]]+Table1[[#This Row],[IVA]]-Table1[[#This Row],[RET IVA]]-Table1[[#This Row],[RET ISR]]-Table1[[#This Row],[TOTAL]]</f>
        <v>0</v>
      </c>
      <c r="AK5689" s="306">
        <f>IF(ISNUMBER(Table1[[#This Row],[FECHA DE RECIBIDO]]), Table1[[#This Row],[FECHA DE RECIBIDO]]-DATE(2023,8,30), "")</f>
        <v>-44893.289907407408</v>
      </c>
    </row>
    <row r="5690" spans="1:37" ht="16.05" customHeight="1">
      <c r="A5690" s="172" t="s">
        <v>5089</v>
      </c>
      <c r="B5690" s="178">
        <v>2064</v>
      </c>
      <c r="C5690" s="179" t="s">
        <v>2161</v>
      </c>
      <c r="D5690">
        <v>3880</v>
      </c>
      <c r="E5690" s="125" t="s">
        <v>3354</v>
      </c>
      <c r="F5690" s="178" t="s">
        <v>1371</v>
      </c>
      <c r="G5690" s="178" t="s">
        <v>2065</v>
      </c>
      <c r="H5690">
        <v>454</v>
      </c>
      <c r="I5690" s="178" t="s">
        <v>1546</v>
      </c>
      <c r="J5690" s="320">
        <v>274.71009259259154</v>
      </c>
      <c r="K5690" s="178" t="s">
        <v>4872</v>
      </c>
      <c r="L5690" s="125" t="s">
        <v>3306</v>
      </c>
      <c r="M5690">
        <v>1110</v>
      </c>
      <c r="N5690" s="182">
        <v>51</v>
      </c>
      <c r="O5690">
        <v>3710</v>
      </c>
      <c r="P5690" s="132" t="s">
        <v>77</v>
      </c>
      <c r="Q5690" s="176">
        <v>5829.94</v>
      </c>
      <c r="R5690" s="176">
        <v>932.79</v>
      </c>
      <c r="S5690" s="176"/>
      <c r="T5690" s="190">
        <v>0</v>
      </c>
      <c r="U5690" s="191">
        <v>0</v>
      </c>
      <c r="V5690" s="191">
        <v>6762.73</v>
      </c>
      <c r="W5690">
        <v>242</v>
      </c>
      <c r="X5690" s="186" t="s">
        <v>2035</v>
      </c>
      <c r="Y5690" s="187" t="s">
        <v>55</v>
      </c>
      <c r="Z5690" s="311">
        <v>275</v>
      </c>
      <c r="AB5690" t="str">
        <f>IF(Table1[[#This Row],[TIPO2]]="costo", VLOOKUP(Table1[[#This Row],[PARTIDA PRESUPUESTAL]],'Cost Report'!G:G,1,0),"Balance")</f>
        <v>1302-008</v>
      </c>
      <c r="AD5690" s="159">
        <f>+Table1[[#This Row],[SUBTOTAL]]+Table1[[#This Row],[IVA]]-Table1[[#This Row],[RET IVA]]-Table1[[#This Row],[RET ISR]]-Table1[[#This Row],[TOTAL]]</f>
        <v>0</v>
      </c>
      <c r="AK5690" s="306">
        <f>IF(ISNUMBER(Table1[[#This Row],[FECHA DE RECIBIDO]]), Table1[[#This Row],[FECHA DE RECIBIDO]]-DATE(2023,8,30), "")</f>
        <v>-44893.289907407408</v>
      </c>
    </row>
    <row r="5691" spans="1:37" ht="16.05" customHeight="1">
      <c r="A5691" s="172"/>
      <c r="B5691" s="178">
        <v>2065</v>
      </c>
      <c r="C5691" s="179" t="s">
        <v>2330</v>
      </c>
      <c r="D5691">
        <v>3881</v>
      </c>
      <c r="E5691" s="125" t="s">
        <v>3354</v>
      </c>
      <c r="F5691" s="178" t="s">
        <v>1371</v>
      </c>
      <c r="G5691" s="178" t="s">
        <v>2065</v>
      </c>
      <c r="H5691">
        <v>454</v>
      </c>
      <c r="I5691" s="178" t="s">
        <v>1546</v>
      </c>
      <c r="J5691" s="320">
        <v>274.74731481481285</v>
      </c>
      <c r="K5691" s="178" t="s">
        <v>4872</v>
      </c>
      <c r="L5691" s="125" t="s">
        <v>3306</v>
      </c>
      <c r="M5691">
        <v>1110</v>
      </c>
      <c r="N5691" s="182">
        <v>51</v>
      </c>
      <c r="O5691">
        <v>3711</v>
      </c>
      <c r="P5691" s="132" t="s">
        <v>77</v>
      </c>
      <c r="Q5691" s="176">
        <v>70000</v>
      </c>
      <c r="R5691" s="176">
        <v>11200</v>
      </c>
      <c r="S5691" s="176"/>
      <c r="T5691" s="190">
        <v>0</v>
      </c>
      <c r="U5691" s="191">
        <v>0</v>
      </c>
      <c r="V5691" s="191">
        <v>81200</v>
      </c>
      <c r="W5691">
        <v>242</v>
      </c>
      <c r="X5691" s="186" t="s">
        <v>2035</v>
      </c>
      <c r="Y5691" s="187" t="s">
        <v>55</v>
      </c>
      <c r="Z5691" s="311">
        <v>275</v>
      </c>
      <c r="AB5691" t="str">
        <f>IF(Table1[[#This Row],[TIPO2]]="costo", VLOOKUP(Table1[[#This Row],[PARTIDA PRESUPUESTAL]],'Cost Report'!G:G,1,0),"Balance")</f>
        <v>1480-003</v>
      </c>
      <c r="AD5691" s="159">
        <f>+Table1[[#This Row],[SUBTOTAL]]+Table1[[#This Row],[IVA]]-Table1[[#This Row],[RET IVA]]-Table1[[#This Row],[RET ISR]]-Table1[[#This Row],[TOTAL]]</f>
        <v>0</v>
      </c>
      <c r="AK5691" s="306">
        <f>IF(ISNUMBER(Table1[[#This Row],[FECHA DE RECIBIDO]]), Table1[[#This Row],[FECHA DE RECIBIDO]]-DATE(2023,8,30), "")</f>
        <v>-44893.252685185187</v>
      </c>
    </row>
    <row r="5692" spans="1:37" ht="16.05" customHeight="1">
      <c r="A5692" s="172" t="s">
        <v>4813</v>
      </c>
      <c r="B5692" s="178">
        <v>1790</v>
      </c>
      <c r="C5692" s="179" t="s">
        <v>71</v>
      </c>
      <c r="D5692">
        <v>3882</v>
      </c>
      <c r="E5692" s="125">
        <v>6100</v>
      </c>
      <c r="F5692" s="178">
        <v>601</v>
      </c>
      <c r="G5692" s="178" t="s">
        <v>134</v>
      </c>
      <c r="H5692">
        <v>48</v>
      </c>
      <c r="I5692" s="178" t="s">
        <v>1546</v>
      </c>
      <c r="J5692" s="320">
        <v>273.53047453703766</v>
      </c>
      <c r="K5692" s="178" t="s">
        <v>4872</v>
      </c>
      <c r="L5692" s="125" t="s">
        <v>1579</v>
      </c>
      <c r="M5692">
        <v>82</v>
      </c>
      <c r="N5692" s="182">
        <v>243</v>
      </c>
      <c r="O5692">
        <v>3712</v>
      </c>
      <c r="P5692" s="131" t="s">
        <v>78</v>
      </c>
      <c r="Q5692" s="176">
        <v>1000</v>
      </c>
      <c r="R5692" s="176"/>
      <c r="S5692" s="176"/>
      <c r="T5692" s="190"/>
      <c r="U5692" s="191"/>
      <c r="V5692" s="191">
        <v>1000</v>
      </c>
      <c r="W5692"/>
      <c r="X5692" s="186" t="s">
        <v>1639</v>
      </c>
      <c r="Y5692" s="187" t="s">
        <v>55</v>
      </c>
      <c r="Z5692" s="311">
        <v>274</v>
      </c>
      <c r="AB5692" t="str">
        <f>IF(Table1[[#This Row],[TIPO2]]="costo", VLOOKUP(Table1[[#This Row],[PARTIDA PRESUPUESTAL]],'Cost Report'!G:G,1,0),"Balance")</f>
        <v>Balance</v>
      </c>
      <c r="AD5692" s="159">
        <f>+Table1[[#This Row],[SUBTOTAL]]+Table1[[#This Row],[IVA]]-Table1[[#This Row],[RET IVA]]-Table1[[#This Row],[RET ISR]]-Table1[[#This Row],[TOTAL]]</f>
        <v>0</v>
      </c>
      <c r="AK5692" s="306">
        <f>IF(ISNUMBER(Table1[[#This Row],[FECHA DE RECIBIDO]]), Table1[[#This Row],[FECHA DE RECIBIDO]]-DATE(2023,8,30), "")</f>
        <v>-44894.469525462962</v>
      </c>
    </row>
    <row r="5693" spans="1:37" ht="16.05" customHeight="1">
      <c r="A5693" s="172" t="s">
        <v>4813</v>
      </c>
      <c r="B5693" s="178">
        <v>1790</v>
      </c>
      <c r="C5693" s="179" t="s">
        <v>3103</v>
      </c>
      <c r="D5693"/>
      <c r="E5693" s="125"/>
      <c r="F5693" s="178"/>
      <c r="G5693" s="178"/>
      <c r="H5693"/>
      <c r="I5693" s="178"/>
      <c r="J5693" s="320" t="s">
        <v>214</v>
      </c>
      <c r="K5693" s="178" t="s">
        <v>4872</v>
      </c>
      <c r="L5693" s="125" t="s">
        <v>1579</v>
      </c>
      <c r="M5693">
        <v>82</v>
      </c>
      <c r="N5693" s="182">
        <v>243</v>
      </c>
      <c r="O5693">
        <v>553</v>
      </c>
      <c r="P5693" s="132" t="s">
        <v>77</v>
      </c>
      <c r="Q5693" s="176">
        <v>400</v>
      </c>
      <c r="R5693" s="176">
        <v>64</v>
      </c>
      <c r="S5693" s="176"/>
      <c r="T5693" s="190"/>
      <c r="U5693" s="191"/>
      <c r="V5693" s="191">
        <v>464</v>
      </c>
      <c r="W5693"/>
      <c r="X5693" s="186" t="s">
        <v>1639</v>
      </c>
      <c r="Y5693" s="187" t="s">
        <v>55</v>
      </c>
      <c r="Z5693" s="311">
        <v>274</v>
      </c>
      <c r="AB5693" t="str">
        <f>IF(Table1[[#This Row],[TIPO2]]="costo", VLOOKUP(Table1[[#This Row],[PARTIDA PRESUPUESTAL]],'Cost Report'!G:G,1,0),"Balance")</f>
        <v>7038-009</v>
      </c>
      <c r="AD5693" s="159">
        <f>+Table1[[#This Row],[SUBTOTAL]]+Table1[[#This Row],[IVA]]-Table1[[#This Row],[RET IVA]]-Table1[[#This Row],[RET ISR]]-Table1[[#This Row],[TOTAL]]</f>
        <v>0</v>
      </c>
      <c r="AK5693" s="306" t="str">
        <f>IF(ISNUMBER(Table1[[#This Row],[FECHA DE RECIBIDO]]), Table1[[#This Row],[FECHA DE RECIBIDO]]-DATE(2023,8,30), "")</f>
        <v/>
      </c>
    </row>
    <row r="5694" spans="1:37" ht="16.05" customHeight="1">
      <c r="A5694" s="172" t="s">
        <v>4814</v>
      </c>
      <c r="B5694" s="178">
        <v>1791</v>
      </c>
      <c r="C5694" s="179" t="s">
        <v>71</v>
      </c>
      <c r="D5694"/>
      <c r="E5694" s="125" t="e">
        <v>#N/A</v>
      </c>
      <c r="F5694" s="178" t="e">
        <v>#N/A</v>
      </c>
      <c r="G5694" s="178" t="e">
        <v>#N/A</v>
      </c>
      <c r="H5694">
        <v>36</v>
      </c>
      <c r="I5694" s="178" t="e">
        <v>#N/A</v>
      </c>
      <c r="J5694" s="320" t="s">
        <v>214</v>
      </c>
      <c r="K5694" s="178" t="s">
        <v>4872</v>
      </c>
      <c r="L5694" s="125" t="s">
        <v>1579</v>
      </c>
      <c r="M5694">
        <v>82</v>
      </c>
      <c r="N5694" s="182">
        <v>243</v>
      </c>
      <c r="O5694">
        <v>3713</v>
      </c>
      <c r="P5694" s="131" t="s">
        <v>78</v>
      </c>
      <c r="Q5694" s="176">
        <v>1000</v>
      </c>
      <c r="R5694" s="176"/>
      <c r="S5694" s="176"/>
      <c r="T5694" s="190"/>
      <c r="U5694" s="191"/>
      <c r="V5694" s="191">
        <v>1000</v>
      </c>
      <c r="W5694"/>
      <c r="X5694" s="186" t="s">
        <v>1484</v>
      </c>
      <c r="Y5694" s="187" t="s">
        <v>55</v>
      </c>
      <c r="Z5694" s="311">
        <v>274</v>
      </c>
      <c r="AB5694" t="str">
        <f>IF(Table1[[#This Row],[TIPO2]]="costo", VLOOKUP(Table1[[#This Row],[PARTIDA PRESUPUESTAL]],'Cost Report'!G:G,1,0),"Balance")</f>
        <v>Balance</v>
      </c>
      <c r="AD5694" s="159">
        <f>+Table1[[#This Row],[SUBTOTAL]]+Table1[[#This Row],[IVA]]-Table1[[#This Row],[RET IVA]]-Table1[[#This Row],[RET ISR]]-Table1[[#This Row],[TOTAL]]</f>
        <v>0</v>
      </c>
      <c r="AK5694" s="306" t="str">
        <f>IF(ISNUMBER(Table1[[#This Row],[FECHA DE RECIBIDO]]), Table1[[#This Row],[FECHA DE RECIBIDO]]-DATE(2023,8,30), "")</f>
        <v/>
      </c>
    </row>
    <row r="5695" spans="1:37" ht="16.05" customHeight="1">
      <c r="A5695" s="172" t="s">
        <v>5090</v>
      </c>
      <c r="B5695" s="178">
        <v>2066</v>
      </c>
      <c r="C5695" s="126" t="s">
        <v>5473</v>
      </c>
      <c r="D5695">
        <v>3883</v>
      </c>
      <c r="E5695" s="125" t="s">
        <v>1603</v>
      </c>
      <c r="F5695" s="178">
        <v>601</v>
      </c>
      <c r="G5695" s="178" t="s">
        <v>134</v>
      </c>
      <c r="H5695">
        <v>91</v>
      </c>
      <c r="I5695" s="178" t="s">
        <v>1546</v>
      </c>
      <c r="J5695" s="320" t="s">
        <v>214</v>
      </c>
      <c r="K5695" s="178" t="s">
        <v>4872</v>
      </c>
      <c r="L5695" s="125" t="s">
        <v>1579</v>
      </c>
      <c r="M5695">
        <v>514</v>
      </c>
      <c r="N5695" s="182">
        <v>243</v>
      </c>
      <c r="O5695">
        <v>3714</v>
      </c>
      <c r="P5695" s="131" t="s">
        <v>77</v>
      </c>
      <c r="Q5695" s="176">
        <v>837.82</v>
      </c>
      <c r="R5695" s="176"/>
      <c r="S5695" s="176"/>
      <c r="T5695" s="190"/>
      <c r="U5695" s="191"/>
      <c r="V5695" s="191">
        <v>837.82</v>
      </c>
      <c r="W5695">
        <v>227</v>
      </c>
      <c r="X5695" s="186" t="s">
        <v>1644</v>
      </c>
      <c r="Y5695" s="187" t="s">
        <v>55</v>
      </c>
      <c r="Z5695" s="311" t="s">
        <v>214</v>
      </c>
      <c r="AB5695" t="str">
        <f>IF(Table1[[#This Row],[TIPO2]]="costo", VLOOKUP(Table1[[#This Row],[PARTIDA PRESUPUESTAL]],'Cost Report'!G:G,1,0),"Balance")</f>
        <v>7230-001</v>
      </c>
      <c r="AD5695" s="159">
        <f>+Table1[[#This Row],[SUBTOTAL]]+Table1[[#This Row],[IVA]]-Table1[[#This Row],[RET IVA]]-Table1[[#This Row],[RET ISR]]-Table1[[#This Row],[TOTAL]]</f>
        <v>0</v>
      </c>
      <c r="AG5695" t="s">
        <v>3420</v>
      </c>
      <c r="AJ5695" s="213" t="s">
        <v>5479</v>
      </c>
      <c r="AK5695" s="306" t="str">
        <f>IF(ISNUMBER(Table1[[#This Row],[FECHA DE RECIBIDO]]), Table1[[#This Row],[FECHA DE RECIBIDO]]-DATE(2023,8,30), "")</f>
        <v/>
      </c>
    </row>
    <row r="5696" spans="1:37" ht="16.05" customHeight="1">
      <c r="A5696" s="172" t="s">
        <v>5090</v>
      </c>
      <c r="B5696" s="178">
        <v>2066</v>
      </c>
      <c r="C5696" s="126" t="s">
        <v>5475</v>
      </c>
      <c r="D5696">
        <v>3884</v>
      </c>
      <c r="E5696" s="125" t="s">
        <v>1645</v>
      </c>
      <c r="F5696" s="178">
        <v>601</v>
      </c>
      <c r="G5696" s="178" t="s">
        <v>134</v>
      </c>
      <c r="H5696">
        <v>939</v>
      </c>
      <c r="I5696" s="178" t="s">
        <v>1546</v>
      </c>
      <c r="J5696" s="320" t="s">
        <v>214</v>
      </c>
      <c r="K5696" s="178" t="s">
        <v>4872</v>
      </c>
      <c r="L5696" s="125" t="s">
        <v>1579</v>
      </c>
      <c r="M5696">
        <v>331</v>
      </c>
      <c r="N5696" s="182">
        <v>243</v>
      </c>
      <c r="O5696">
        <v>3715</v>
      </c>
      <c r="P5696" s="131" t="s">
        <v>77</v>
      </c>
      <c r="Q5696" s="176">
        <v>9095.68</v>
      </c>
      <c r="R5696" s="176">
        <v>1455.31</v>
      </c>
      <c r="S5696" s="176"/>
      <c r="T5696" s="190"/>
      <c r="U5696" s="191"/>
      <c r="V5696" s="191">
        <v>10550.99</v>
      </c>
      <c r="W5696">
        <v>227</v>
      </c>
      <c r="X5696" s="186" t="s">
        <v>1644</v>
      </c>
      <c r="Y5696" s="187" t="s">
        <v>55</v>
      </c>
      <c r="Z5696" s="311" t="s">
        <v>214</v>
      </c>
      <c r="AB5696" t="str">
        <f>IF(Table1[[#This Row],[TIPO2]]="costo", VLOOKUP(Table1[[#This Row],[PARTIDA PRESUPUESTAL]],'Cost Report'!G:G,1,0),"Balance")</f>
        <v>7230-003</v>
      </c>
      <c r="AD5696" s="159">
        <f>+Table1[[#This Row],[SUBTOTAL]]+Table1[[#This Row],[IVA]]-Table1[[#This Row],[RET IVA]]-Table1[[#This Row],[RET ISR]]-Table1[[#This Row],[TOTAL]]</f>
        <v>0</v>
      </c>
      <c r="AG5696" t="s">
        <v>3420</v>
      </c>
      <c r="AJ5696" s="213" t="s">
        <v>5479</v>
      </c>
      <c r="AK5696" s="306" t="str">
        <f>IF(ISNUMBER(Table1[[#This Row],[FECHA DE RECIBIDO]]), Table1[[#This Row],[FECHA DE RECIBIDO]]-DATE(2023,8,30), "")</f>
        <v/>
      </c>
    </row>
    <row r="5697" spans="1:37" ht="16.05" customHeight="1">
      <c r="A5697" s="172" t="s">
        <v>5090</v>
      </c>
      <c r="B5697" s="178">
        <v>2066</v>
      </c>
      <c r="C5697" s="126" t="s">
        <v>5475</v>
      </c>
      <c r="D5697">
        <v>3885</v>
      </c>
      <c r="E5697" s="125" t="s">
        <v>1645</v>
      </c>
      <c r="F5697" s="178">
        <v>601</v>
      </c>
      <c r="G5697" s="178" t="s">
        <v>134</v>
      </c>
      <c r="H5697">
        <v>939</v>
      </c>
      <c r="I5697" s="178" t="s">
        <v>1546</v>
      </c>
      <c r="J5697" s="320" t="s">
        <v>214</v>
      </c>
      <c r="K5697" s="178" t="s">
        <v>4872</v>
      </c>
      <c r="L5697" s="125" t="s">
        <v>1579</v>
      </c>
      <c r="M5697">
        <v>331</v>
      </c>
      <c r="N5697" s="182">
        <v>243</v>
      </c>
      <c r="O5697">
        <v>3715</v>
      </c>
      <c r="P5697" s="131" t="s">
        <v>77</v>
      </c>
      <c r="Q5697" s="176">
        <v>990</v>
      </c>
      <c r="R5697" s="176"/>
      <c r="S5697" s="176"/>
      <c r="T5697" s="190"/>
      <c r="U5697" s="191"/>
      <c r="V5697" s="191">
        <v>990</v>
      </c>
      <c r="W5697">
        <v>227</v>
      </c>
      <c r="X5697" s="186" t="s">
        <v>1644</v>
      </c>
      <c r="Y5697" s="187" t="s">
        <v>55</v>
      </c>
      <c r="Z5697" s="311" t="s">
        <v>214</v>
      </c>
      <c r="AB5697" t="str">
        <f>IF(Table1[[#This Row],[TIPO2]]="costo", VLOOKUP(Table1[[#This Row],[PARTIDA PRESUPUESTAL]],'Cost Report'!G:G,1,0),"Balance")</f>
        <v>7230-003</v>
      </c>
      <c r="AD5697" s="159">
        <f>+Table1[[#This Row],[SUBTOTAL]]+Table1[[#This Row],[IVA]]-Table1[[#This Row],[RET IVA]]-Table1[[#This Row],[RET ISR]]-Table1[[#This Row],[TOTAL]]</f>
        <v>0</v>
      </c>
      <c r="AG5697" t="s">
        <v>3420</v>
      </c>
      <c r="AJ5697" s="213" t="s">
        <v>5479</v>
      </c>
      <c r="AK5697" s="306" t="str">
        <f>IF(ISNUMBER(Table1[[#This Row],[FECHA DE RECIBIDO]]), Table1[[#This Row],[FECHA DE RECIBIDO]]-DATE(2023,8,30), "")</f>
        <v/>
      </c>
    </row>
    <row r="5698" spans="1:37" ht="16.05" customHeight="1">
      <c r="A5698" s="172" t="s">
        <v>5091</v>
      </c>
      <c r="B5698" s="178">
        <v>2067</v>
      </c>
      <c r="C5698" s="126" t="s">
        <v>5475</v>
      </c>
      <c r="D5698">
        <v>3886</v>
      </c>
      <c r="E5698" s="125" t="s">
        <v>1603</v>
      </c>
      <c r="F5698" s="178">
        <v>601</v>
      </c>
      <c r="G5698" s="178" t="s">
        <v>134</v>
      </c>
      <c r="H5698">
        <v>459</v>
      </c>
      <c r="I5698" s="178" t="s">
        <v>1546</v>
      </c>
      <c r="J5698" s="320" t="s">
        <v>214</v>
      </c>
      <c r="K5698" s="178" t="s">
        <v>4872</v>
      </c>
      <c r="L5698" s="125" t="s">
        <v>1579</v>
      </c>
      <c r="M5698">
        <v>635</v>
      </c>
      <c r="N5698" s="182">
        <v>243</v>
      </c>
      <c r="O5698">
        <v>3716</v>
      </c>
      <c r="P5698" s="131" t="s">
        <v>77</v>
      </c>
      <c r="Q5698" s="176">
        <v>2093.2399999999998</v>
      </c>
      <c r="R5698" s="176">
        <v>10.76</v>
      </c>
      <c r="S5698" s="176"/>
      <c r="T5698" s="190"/>
      <c r="U5698" s="191"/>
      <c r="V5698" s="191">
        <v>2104</v>
      </c>
      <c r="W5698">
        <v>227</v>
      </c>
      <c r="X5698" s="186" t="s">
        <v>1644</v>
      </c>
      <c r="Y5698" s="187" t="s">
        <v>55</v>
      </c>
      <c r="Z5698" s="311">
        <v>372</v>
      </c>
      <c r="AB5698" t="str">
        <f>IF(Table1[[#This Row],[TIPO2]]="costo", VLOOKUP(Table1[[#This Row],[PARTIDA PRESUPUESTAL]],'Cost Report'!G:G,1,0),"Balance")</f>
        <v>7230-003</v>
      </c>
      <c r="AD5698" s="159">
        <f>+Table1[[#This Row],[SUBTOTAL]]+Table1[[#This Row],[IVA]]-Table1[[#This Row],[RET IVA]]-Table1[[#This Row],[RET ISR]]-Table1[[#This Row],[TOTAL]]</f>
        <v>0</v>
      </c>
      <c r="AG5698" t="s">
        <v>3420</v>
      </c>
      <c r="AJ5698" s="213" t="s">
        <v>5479</v>
      </c>
      <c r="AK5698" s="306" t="str">
        <f>IF(ISNUMBER(Table1[[#This Row],[FECHA DE RECIBIDO]]), Table1[[#This Row],[FECHA DE RECIBIDO]]-DATE(2023,8,30), "")</f>
        <v/>
      </c>
    </row>
    <row r="5699" spans="1:37" ht="16.05" customHeight="1">
      <c r="A5699" s="172" t="s">
        <v>5091</v>
      </c>
      <c r="B5699" s="178">
        <v>2067</v>
      </c>
      <c r="C5699" s="126" t="s">
        <v>5476</v>
      </c>
      <c r="D5699">
        <v>3887</v>
      </c>
      <c r="E5699" s="125" t="s">
        <v>5092</v>
      </c>
      <c r="F5699" s="178">
        <v>612</v>
      </c>
      <c r="G5699" s="178" t="s">
        <v>129</v>
      </c>
      <c r="H5699">
        <v>940</v>
      </c>
      <c r="I5699" s="178" t="s">
        <v>1546</v>
      </c>
      <c r="J5699" s="320" t="s">
        <v>214</v>
      </c>
      <c r="K5699" s="178" t="s">
        <v>4872</v>
      </c>
      <c r="L5699" s="125" t="s">
        <v>1579</v>
      </c>
      <c r="M5699">
        <v>1302</v>
      </c>
      <c r="N5699" s="182">
        <v>243</v>
      </c>
      <c r="O5699">
        <v>3717</v>
      </c>
      <c r="P5699" s="131" t="s">
        <v>77</v>
      </c>
      <c r="Q5699" s="176">
        <v>1500</v>
      </c>
      <c r="R5699" s="176"/>
      <c r="S5699" s="176"/>
      <c r="T5699" s="190"/>
      <c r="U5699" s="191">
        <v>150</v>
      </c>
      <c r="V5699" s="191">
        <v>1350</v>
      </c>
      <c r="W5699">
        <v>227</v>
      </c>
      <c r="X5699" s="186" t="s">
        <v>1644</v>
      </c>
      <c r="Y5699" s="187" t="s">
        <v>55</v>
      </c>
      <c r="Z5699" s="311" t="s">
        <v>214</v>
      </c>
      <c r="AB5699" t="str">
        <f>IF(Table1[[#This Row],[TIPO2]]="costo", VLOOKUP(Table1[[#This Row],[PARTIDA PRESUPUESTAL]],'Cost Report'!G:G,1,0),"Balance")</f>
        <v>7230-004</v>
      </c>
      <c r="AD5699" s="159">
        <f>+Table1[[#This Row],[SUBTOTAL]]+Table1[[#This Row],[IVA]]-Table1[[#This Row],[RET IVA]]-Table1[[#This Row],[RET ISR]]-Table1[[#This Row],[TOTAL]]</f>
        <v>0</v>
      </c>
      <c r="AG5699" t="s">
        <v>3420</v>
      </c>
      <c r="AJ5699" s="213" t="s">
        <v>5479</v>
      </c>
      <c r="AK5699" s="306" t="str">
        <f>IF(ISNUMBER(Table1[[#This Row],[FECHA DE RECIBIDO]]), Table1[[#This Row],[FECHA DE RECIBIDO]]-DATE(2023,8,30), "")</f>
        <v/>
      </c>
    </row>
    <row r="5700" spans="1:37" ht="16.05" customHeight="1">
      <c r="A5700" s="172" t="s">
        <v>5093</v>
      </c>
      <c r="B5700" s="178">
        <v>2068</v>
      </c>
      <c r="C5700" s="179" t="s">
        <v>1724</v>
      </c>
      <c r="D5700">
        <v>3888</v>
      </c>
      <c r="E5700" s="125" t="s">
        <v>1997</v>
      </c>
      <c r="F5700" s="178">
        <v>625</v>
      </c>
      <c r="G5700" s="178" t="s">
        <v>1625</v>
      </c>
      <c r="H5700">
        <v>941</v>
      </c>
      <c r="I5700" s="178" t="s">
        <v>1546</v>
      </c>
      <c r="J5700" s="320" t="s">
        <v>214</v>
      </c>
      <c r="K5700" s="178" t="s">
        <v>4872</v>
      </c>
      <c r="L5700" s="125" t="s">
        <v>1579</v>
      </c>
      <c r="M5700">
        <v>1303</v>
      </c>
      <c r="N5700" s="182">
        <v>243</v>
      </c>
      <c r="O5700">
        <v>3718</v>
      </c>
      <c r="P5700" s="132" t="s">
        <v>77</v>
      </c>
      <c r="Q5700" s="176">
        <v>53150</v>
      </c>
      <c r="R5700" s="176">
        <v>8504</v>
      </c>
      <c r="S5700" s="176"/>
      <c r="T5700" s="190"/>
      <c r="U5700" s="191"/>
      <c r="V5700" s="191">
        <v>61654</v>
      </c>
      <c r="W5700">
        <v>167</v>
      </c>
      <c r="X5700" s="186" t="s">
        <v>1644</v>
      </c>
      <c r="Y5700" s="187" t="s">
        <v>55</v>
      </c>
      <c r="Z5700" s="311" t="s">
        <v>214</v>
      </c>
      <c r="AB5700" t="str">
        <f>IF(Table1[[#This Row],[TIPO2]]="costo", VLOOKUP(Table1[[#This Row],[PARTIDA PRESUPUESTAL]],'Cost Report'!G:G,1,0),"Balance")</f>
        <v>1641-008</v>
      </c>
      <c r="AD5700" s="159">
        <f>+Table1[[#This Row],[SUBTOTAL]]+Table1[[#This Row],[IVA]]-Table1[[#This Row],[RET IVA]]-Table1[[#This Row],[RET ISR]]-Table1[[#This Row],[TOTAL]]</f>
        <v>0</v>
      </c>
      <c r="AG5700" t="s">
        <v>3420</v>
      </c>
      <c r="AK5700" s="306" t="str">
        <f>IF(ISNUMBER(Table1[[#This Row],[FECHA DE RECIBIDO]]), Table1[[#This Row],[FECHA DE RECIBIDO]]-DATE(2023,8,30), "")</f>
        <v/>
      </c>
    </row>
    <row r="5701" spans="1:37" ht="16.05" customHeight="1">
      <c r="A5701" s="172" t="s">
        <v>5094</v>
      </c>
      <c r="B5701" s="178">
        <v>2069</v>
      </c>
      <c r="C5701" s="179" t="s">
        <v>2538</v>
      </c>
      <c r="D5701">
        <v>3889</v>
      </c>
      <c r="E5701" s="125" t="s">
        <v>1603</v>
      </c>
      <c r="F5701" s="178">
        <v>601</v>
      </c>
      <c r="G5701" s="178" t="s">
        <v>134</v>
      </c>
      <c r="H5701">
        <v>99</v>
      </c>
      <c r="I5701" s="178" t="s">
        <v>1546</v>
      </c>
      <c r="J5701" s="320" t="s">
        <v>214</v>
      </c>
      <c r="K5701" s="178" t="s">
        <v>4872</v>
      </c>
      <c r="L5701" s="125" t="s">
        <v>1579</v>
      </c>
      <c r="M5701">
        <v>134</v>
      </c>
      <c r="N5701" s="182">
        <v>243</v>
      </c>
      <c r="O5701">
        <v>3719</v>
      </c>
      <c r="P5701" s="132" t="s">
        <v>77</v>
      </c>
      <c r="Q5701" s="176">
        <v>2672.41</v>
      </c>
      <c r="R5701" s="176">
        <v>427.59</v>
      </c>
      <c r="S5701" s="176"/>
      <c r="T5701" s="190"/>
      <c r="U5701" s="191"/>
      <c r="V5701" s="191">
        <v>3100</v>
      </c>
      <c r="W5701">
        <v>145</v>
      </c>
      <c r="X5701" s="186" t="s">
        <v>1644</v>
      </c>
      <c r="Y5701" s="187" t="s">
        <v>55</v>
      </c>
      <c r="Z5701" s="311">
        <v>254</v>
      </c>
      <c r="AB5701" t="str">
        <f>IF(Table1[[#This Row],[TIPO2]]="costo", VLOOKUP(Table1[[#This Row],[PARTIDA PRESUPUESTAL]],'Cost Report'!G:G,1,0),"Balance")</f>
        <v>2494-055</v>
      </c>
      <c r="AD5701" s="159">
        <f>+Table1[[#This Row],[SUBTOTAL]]+Table1[[#This Row],[IVA]]-Table1[[#This Row],[RET IVA]]-Table1[[#This Row],[RET ISR]]-Table1[[#This Row],[TOTAL]]</f>
        <v>0</v>
      </c>
      <c r="AG5701" t="s">
        <v>3420</v>
      </c>
      <c r="AK5701" s="306" t="str">
        <f>IF(ISNUMBER(Table1[[#This Row],[FECHA DE RECIBIDO]]), Table1[[#This Row],[FECHA DE RECIBIDO]]-DATE(2023,8,30), "")</f>
        <v/>
      </c>
    </row>
    <row r="5702" spans="1:37" ht="16.05" customHeight="1">
      <c r="A5702" s="172" t="s">
        <v>5094</v>
      </c>
      <c r="B5702" s="178">
        <v>2069</v>
      </c>
      <c r="C5702" s="179" t="s">
        <v>2461</v>
      </c>
      <c r="D5702">
        <v>3890</v>
      </c>
      <c r="E5702" s="125" t="s">
        <v>1603</v>
      </c>
      <c r="F5702" s="178">
        <v>601</v>
      </c>
      <c r="G5702" s="178" t="s">
        <v>134</v>
      </c>
      <c r="H5702">
        <v>99</v>
      </c>
      <c r="I5702" s="178" t="s">
        <v>1546</v>
      </c>
      <c r="J5702" s="320" t="s">
        <v>214</v>
      </c>
      <c r="K5702" s="178" t="s">
        <v>4872</v>
      </c>
      <c r="L5702" s="125" t="s">
        <v>1579</v>
      </c>
      <c r="M5702">
        <v>134</v>
      </c>
      <c r="N5702" s="182">
        <v>243</v>
      </c>
      <c r="O5702">
        <v>3720</v>
      </c>
      <c r="P5702" s="132" t="s">
        <v>77</v>
      </c>
      <c r="Q5702" s="176">
        <v>279.31</v>
      </c>
      <c r="R5702" s="176">
        <v>44.69</v>
      </c>
      <c r="S5702" s="176"/>
      <c r="T5702" s="190"/>
      <c r="U5702" s="191"/>
      <c r="V5702" s="191">
        <v>324</v>
      </c>
      <c r="W5702">
        <v>145</v>
      </c>
      <c r="X5702" s="186" t="s">
        <v>1644</v>
      </c>
      <c r="Y5702" s="187" t="s">
        <v>55</v>
      </c>
      <c r="Z5702" s="311">
        <v>254</v>
      </c>
      <c r="AB5702" t="str">
        <f>IF(Table1[[#This Row],[TIPO2]]="costo", VLOOKUP(Table1[[#This Row],[PARTIDA PRESUPUESTAL]],'Cost Report'!G:G,1,0),"Balance")</f>
        <v>2385-003</v>
      </c>
      <c r="AD5702" s="159">
        <f>+Table1[[#This Row],[SUBTOTAL]]+Table1[[#This Row],[IVA]]-Table1[[#This Row],[RET IVA]]-Table1[[#This Row],[RET ISR]]-Table1[[#This Row],[TOTAL]]</f>
        <v>0</v>
      </c>
      <c r="AG5702" t="s">
        <v>3420</v>
      </c>
      <c r="AK5702" s="306" t="str">
        <f>IF(ISNUMBER(Table1[[#This Row],[FECHA DE RECIBIDO]]), Table1[[#This Row],[FECHA DE RECIBIDO]]-DATE(2023,8,30), "")</f>
        <v/>
      </c>
    </row>
    <row r="5703" spans="1:37" ht="16.05" customHeight="1">
      <c r="A5703" s="172" t="s">
        <v>5094</v>
      </c>
      <c r="B5703" s="178">
        <v>2069</v>
      </c>
      <c r="C5703" s="179" t="s">
        <v>2461</v>
      </c>
      <c r="D5703">
        <v>3891</v>
      </c>
      <c r="E5703" s="125" t="s">
        <v>1603</v>
      </c>
      <c r="F5703" s="178">
        <v>601</v>
      </c>
      <c r="G5703" s="178" t="s">
        <v>134</v>
      </c>
      <c r="H5703">
        <v>99</v>
      </c>
      <c r="I5703" s="178" t="s">
        <v>1546</v>
      </c>
      <c r="J5703" s="320" t="s">
        <v>214</v>
      </c>
      <c r="K5703" s="178" t="s">
        <v>4872</v>
      </c>
      <c r="L5703" s="125" t="s">
        <v>1579</v>
      </c>
      <c r="M5703">
        <v>134</v>
      </c>
      <c r="N5703" s="182">
        <v>243</v>
      </c>
      <c r="O5703">
        <v>3721</v>
      </c>
      <c r="P5703" s="132" t="s">
        <v>77</v>
      </c>
      <c r="Q5703" s="176">
        <v>2881.03</v>
      </c>
      <c r="R5703" s="176">
        <v>460.96</v>
      </c>
      <c r="S5703" s="176"/>
      <c r="T5703" s="190"/>
      <c r="U5703" s="191"/>
      <c r="V5703" s="191">
        <v>3341.9900000000002</v>
      </c>
      <c r="W5703">
        <v>145</v>
      </c>
      <c r="X5703" s="186" t="s">
        <v>1644</v>
      </c>
      <c r="Y5703" s="187" t="s">
        <v>55</v>
      </c>
      <c r="Z5703" s="311">
        <v>254</v>
      </c>
      <c r="AB5703" t="str">
        <f>IF(Table1[[#This Row],[TIPO2]]="costo", VLOOKUP(Table1[[#This Row],[PARTIDA PRESUPUESTAL]],'Cost Report'!G:G,1,0),"Balance")</f>
        <v>2385-003</v>
      </c>
      <c r="AD5703" s="159">
        <f>+Table1[[#This Row],[SUBTOTAL]]+Table1[[#This Row],[IVA]]-Table1[[#This Row],[RET IVA]]-Table1[[#This Row],[RET ISR]]-Table1[[#This Row],[TOTAL]]</f>
        <v>0</v>
      </c>
      <c r="AG5703" t="s">
        <v>3420</v>
      </c>
      <c r="AK5703" s="306" t="str">
        <f>IF(ISNUMBER(Table1[[#This Row],[FECHA DE RECIBIDO]]), Table1[[#This Row],[FECHA DE RECIBIDO]]-DATE(2023,8,30), "")</f>
        <v/>
      </c>
    </row>
    <row r="5704" spans="1:37" ht="16.05" customHeight="1">
      <c r="A5704" s="172" t="s">
        <v>5094</v>
      </c>
      <c r="B5704" s="178">
        <v>2069</v>
      </c>
      <c r="C5704" s="179" t="s">
        <v>610</v>
      </c>
      <c r="D5704">
        <v>3892</v>
      </c>
      <c r="E5704" s="125" t="s">
        <v>1596</v>
      </c>
      <c r="F5704" s="178">
        <v>612</v>
      </c>
      <c r="G5704" s="178" t="s">
        <v>129</v>
      </c>
      <c r="H5704">
        <v>892</v>
      </c>
      <c r="I5704" s="178" t="s">
        <v>1546</v>
      </c>
      <c r="J5704" s="320" t="s">
        <v>214</v>
      </c>
      <c r="K5704" s="178" t="s">
        <v>4872</v>
      </c>
      <c r="L5704" s="125" t="s">
        <v>1579</v>
      </c>
      <c r="M5704">
        <v>1238</v>
      </c>
      <c r="N5704" s="182">
        <v>243</v>
      </c>
      <c r="O5704">
        <v>3722</v>
      </c>
      <c r="P5704" s="132" t="s">
        <v>77</v>
      </c>
      <c r="Q5704" s="176">
        <v>734</v>
      </c>
      <c r="R5704" s="176">
        <v>117.44</v>
      </c>
      <c r="S5704" s="176"/>
      <c r="T5704" s="190"/>
      <c r="U5704" s="191"/>
      <c r="V5704" s="191">
        <v>851.44</v>
      </c>
      <c r="W5704">
        <v>145</v>
      </c>
      <c r="X5704" s="186" t="s">
        <v>1644</v>
      </c>
      <c r="Y5704" s="187" t="s">
        <v>55</v>
      </c>
      <c r="Z5704" s="311">
        <v>255</v>
      </c>
      <c r="AB5704" t="str">
        <f>IF(Table1[[#This Row],[TIPO2]]="costo", VLOOKUP(Table1[[#This Row],[PARTIDA PRESUPUESTAL]],'Cost Report'!G:G,1,0),"Balance")</f>
        <v>2485-003</v>
      </c>
      <c r="AD5704" s="159">
        <f>+Table1[[#This Row],[SUBTOTAL]]+Table1[[#This Row],[IVA]]-Table1[[#This Row],[RET IVA]]-Table1[[#This Row],[RET ISR]]-Table1[[#This Row],[TOTAL]]</f>
        <v>0</v>
      </c>
      <c r="AG5704" t="s">
        <v>3420</v>
      </c>
      <c r="AK5704" s="306" t="str">
        <f>IF(ISNUMBER(Table1[[#This Row],[FECHA DE RECIBIDO]]), Table1[[#This Row],[FECHA DE RECIBIDO]]-DATE(2023,8,30), "")</f>
        <v/>
      </c>
    </row>
    <row r="5705" spans="1:37" ht="16.05" customHeight="1">
      <c r="A5705" s="172" t="s">
        <v>5094</v>
      </c>
      <c r="B5705" s="178">
        <v>2069</v>
      </c>
      <c r="C5705" s="179" t="s">
        <v>2461</v>
      </c>
      <c r="D5705">
        <v>3893</v>
      </c>
      <c r="E5705" s="125" t="s">
        <v>3232</v>
      </c>
      <c r="F5705" s="178">
        <v>612</v>
      </c>
      <c r="G5705" s="178" t="s">
        <v>129</v>
      </c>
      <c r="H5705">
        <v>211</v>
      </c>
      <c r="I5705" s="178" t="s">
        <v>1546</v>
      </c>
      <c r="J5705" s="320" t="s">
        <v>214</v>
      </c>
      <c r="K5705" s="178" t="s">
        <v>4872</v>
      </c>
      <c r="L5705" s="125" t="s">
        <v>1579</v>
      </c>
      <c r="M5705">
        <v>275</v>
      </c>
      <c r="N5705" s="182">
        <v>243</v>
      </c>
      <c r="O5705">
        <v>3723</v>
      </c>
      <c r="P5705" s="132" t="s">
        <v>77</v>
      </c>
      <c r="Q5705" s="176">
        <v>7932.57</v>
      </c>
      <c r="R5705" s="176">
        <v>1269.21</v>
      </c>
      <c r="S5705" s="176"/>
      <c r="T5705" s="190"/>
      <c r="U5705" s="191"/>
      <c r="V5705" s="191">
        <v>9201.7799999999988</v>
      </c>
      <c r="W5705">
        <v>145</v>
      </c>
      <c r="X5705" s="186" t="s">
        <v>1644</v>
      </c>
      <c r="Y5705" s="187" t="s">
        <v>55</v>
      </c>
      <c r="Z5705" s="311">
        <v>255</v>
      </c>
      <c r="AB5705" t="str">
        <f>IF(Table1[[#This Row],[TIPO2]]="costo", VLOOKUP(Table1[[#This Row],[PARTIDA PRESUPUESTAL]],'Cost Report'!G:G,1,0),"Balance")</f>
        <v>2385-003</v>
      </c>
      <c r="AD5705" s="159">
        <f>+Table1[[#This Row],[SUBTOTAL]]+Table1[[#This Row],[IVA]]-Table1[[#This Row],[RET IVA]]-Table1[[#This Row],[RET ISR]]-Table1[[#This Row],[TOTAL]]</f>
        <v>0</v>
      </c>
      <c r="AG5705" t="s">
        <v>3420</v>
      </c>
      <c r="AK5705" s="306" t="str">
        <f>IF(ISNUMBER(Table1[[#This Row],[FECHA DE RECIBIDO]]), Table1[[#This Row],[FECHA DE RECIBIDO]]-DATE(2023,8,30), "")</f>
        <v/>
      </c>
    </row>
    <row r="5706" spans="1:37" ht="16.05" customHeight="1">
      <c r="A5706" s="172" t="s">
        <v>5094</v>
      </c>
      <c r="B5706" s="178">
        <v>2069</v>
      </c>
      <c r="C5706" s="179" t="s">
        <v>2538</v>
      </c>
      <c r="D5706">
        <v>3894</v>
      </c>
      <c r="E5706" s="125" t="s">
        <v>3272</v>
      </c>
      <c r="F5706" s="178">
        <v>601</v>
      </c>
      <c r="G5706" s="178" t="s">
        <v>134</v>
      </c>
      <c r="H5706">
        <v>99</v>
      </c>
      <c r="I5706" s="178" t="s">
        <v>1546</v>
      </c>
      <c r="J5706" s="320" t="s">
        <v>214</v>
      </c>
      <c r="K5706" s="178" t="s">
        <v>4872</v>
      </c>
      <c r="L5706" s="125" t="s">
        <v>1579</v>
      </c>
      <c r="M5706">
        <v>134</v>
      </c>
      <c r="N5706" s="182">
        <v>243</v>
      </c>
      <c r="O5706">
        <v>3724</v>
      </c>
      <c r="P5706" s="132" t="s">
        <v>77</v>
      </c>
      <c r="Q5706" s="176">
        <v>7012.93</v>
      </c>
      <c r="R5706" s="176">
        <v>1122.07</v>
      </c>
      <c r="S5706" s="176"/>
      <c r="T5706" s="190"/>
      <c r="U5706" s="191"/>
      <c r="V5706" s="191">
        <v>8135</v>
      </c>
      <c r="W5706">
        <v>145</v>
      </c>
      <c r="X5706" s="186" t="s">
        <v>1644</v>
      </c>
      <c r="Y5706" s="187" t="s">
        <v>55</v>
      </c>
      <c r="Z5706" s="311">
        <v>255</v>
      </c>
      <c r="AB5706" t="str">
        <f>IF(Table1[[#This Row],[TIPO2]]="costo", VLOOKUP(Table1[[#This Row],[PARTIDA PRESUPUESTAL]],'Cost Report'!G:G,1,0),"Balance")</f>
        <v>2494-055</v>
      </c>
      <c r="AD5706" s="159">
        <f>+Table1[[#This Row],[SUBTOTAL]]+Table1[[#This Row],[IVA]]-Table1[[#This Row],[RET IVA]]-Table1[[#This Row],[RET ISR]]-Table1[[#This Row],[TOTAL]]</f>
        <v>0</v>
      </c>
      <c r="AG5706" t="s">
        <v>3420</v>
      </c>
      <c r="AK5706" s="306" t="str">
        <f>IF(ISNUMBER(Table1[[#This Row],[FECHA DE RECIBIDO]]), Table1[[#This Row],[FECHA DE RECIBIDO]]-DATE(2023,8,30), "")</f>
        <v/>
      </c>
    </row>
    <row r="5707" spans="1:37" ht="16.05" customHeight="1">
      <c r="A5707" s="172" t="s">
        <v>5094</v>
      </c>
      <c r="B5707" s="178">
        <v>2069</v>
      </c>
      <c r="C5707" s="179" t="s">
        <v>610</v>
      </c>
      <c r="D5707">
        <v>3895</v>
      </c>
      <c r="E5707" s="125" t="s">
        <v>3275</v>
      </c>
      <c r="F5707" s="178">
        <v>601</v>
      </c>
      <c r="G5707" s="178" t="s">
        <v>134</v>
      </c>
      <c r="H5707">
        <v>57</v>
      </c>
      <c r="I5707" s="178" t="s">
        <v>1546</v>
      </c>
      <c r="J5707" s="320" t="s">
        <v>214</v>
      </c>
      <c r="K5707" s="178" t="s">
        <v>4872</v>
      </c>
      <c r="L5707" s="125" t="s">
        <v>1579</v>
      </c>
      <c r="M5707">
        <v>79</v>
      </c>
      <c r="N5707" s="182">
        <v>243</v>
      </c>
      <c r="O5707">
        <v>3725</v>
      </c>
      <c r="P5707" s="132" t="s">
        <v>77</v>
      </c>
      <c r="Q5707" s="176">
        <v>937.67</v>
      </c>
      <c r="R5707" s="176">
        <v>150.03</v>
      </c>
      <c r="S5707" s="176"/>
      <c r="T5707" s="190"/>
      <c r="U5707" s="191"/>
      <c r="V5707" s="191">
        <v>1087.7</v>
      </c>
      <c r="W5707">
        <v>145</v>
      </c>
      <c r="X5707" s="186" t="s">
        <v>1644</v>
      </c>
      <c r="Y5707" s="187" t="s">
        <v>55</v>
      </c>
      <c r="Z5707" s="311">
        <v>257</v>
      </c>
      <c r="AB5707" t="str">
        <f>IF(Table1[[#This Row],[TIPO2]]="costo", VLOOKUP(Table1[[#This Row],[PARTIDA PRESUPUESTAL]],'Cost Report'!G:G,1,0),"Balance")</f>
        <v>2485-003</v>
      </c>
      <c r="AD5707" s="159">
        <f>+Table1[[#This Row],[SUBTOTAL]]+Table1[[#This Row],[IVA]]-Table1[[#This Row],[RET IVA]]-Table1[[#This Row],[RET ISR]]-Table1[[#This Row],[TOTAL]]</f>
        <v>0</v>
      </c>
      <c r="AG5707" t="s">
        <v>3420</v>
      </c>
      <c r="AK5707" s="306" t="str">
        <f>IF(ISNUMBER(Table1[[#This Row],[FECHA DE RECIBIDO]]), Table1[[#This Row],[FECHA DE RECIBIDO]]-DATE(2023,8,30), "")</f>
        <v/>
      </c>
    </row>
    <row r="5708" spans="1:37" ht="16.05" customHeight="1">
      <c r="A5708" s="172" t="s">
        <v>5094</v>
      </c>
      <c r="B5708" s="178">
        <v>2069</v>
      </c>
      <c r="C5708" s="179" t="s">
        <v>610</v>
      </c>
      <c r="D5708">
        <v>3896</v>
      </c>
      <c r="E5708" s="125" t="s">
        <v>1997</v>
      </c>
      <c r="F5708" s="178">
        <v>612</v>
      </c>
      <c r="G5708" s="178" t="s">
        <v>129</v>
      </c>
      <c r="H5708">
        <v>718</v>
      </c>
      <c r="I5708" s="178" t="s">
        <v>1546</v>
      </c>
      <c r="J5708" s="320" t="s">
        <v>214</v>
      </c>
      <c r="K5708" s="178" t="s">
        <v>4872</v>
      </c>
      <c r="L5708" s="125" t="s">
        <v>1579</v>
      </c>
      <c r="M5708">
        <v>1000</v>
      </c>
      <c r="N5708" s="182">
        <v>243</v>
      </c>
      <c r="O5708">
        <v>3726</v>
      </c>
      <c r="P5708" s="132" t="s">
        <v>77</v>
      </c>
      <c r="Q5708" s="176">
        <v>551.76</v>
      </c>
      <c r="R5708" s="176">
        <v>88.28</v>
      </c>
      <c r="S5708" s="176"/>
      <c r="T5708" s="190"/>
      <c r="U5708" s="191"/>
      <c r="V5708" s="191">
        <v>640.04</v>
      </c>
      <c r="W5708">
        <v>145</v>
      </c>
      <c r="X5708" s="186" t="s">
        <v>1644</v>
      </c>
      <c r="Y5708" s="187" t="s">
        <v>55</v>
      </c>
      <c r="Z5708" s="311">
        <v>257</v>
      </c>
      <c r="AB5708" t="str">
        <f>IF(Table1[[#This Row],[TIPO2]]="costo", VLOOKUP(Table1[[#This Row],[PARTIDA PRESUPUESTAL]],'Cost Report'!G:G,1,0),"Balance")</f>
        <v>2485-003</v>
      </c>
      <c r="AD5708" s="159">
        <f>+Table1[[#This Row],[SUBTOTAL]]+Table1[[#This Row],[IVA]]-Table1[[#This Row],[RET IVA]]-Table1[[#This Row],[RET ISR]]-Table1[[#This Row],[TOTAL]]</f>
        <v>0</v>
      </c>
      <c r="AG5708" t="s">
        <v>3420</v>
      </c>
      <c r="AK5708" s="306" t="str">
        <f>IF(ISNUMBER(Table1[[#This Row],[FECHA DE RECIBIDO]]), Table1[[#This Row],[FECHA DE RECIBIDO]]-DATE(2023,8,30), "")</f>
        <v/>
      </c>
    </row>
    <row r="5709" spans="1:37" ht="16.05" customHeight="1">
      <c r="A5709" s="172" t="s">
        <v>5094</v>
      </c>
      <c r="B5709" s="178">
        <v>2069</v>
      </c>
      <c r="C5709" s="179" t="s">
        <v>2546</v>
      </c>
      <c r="D5709">
        <v>3897</v>
      </c>
      <c r="E5709" s="125" t="s">
        <v>3356</v>
      </c>
      <c r="F5709" s="178">
        <v>601</v>
      </c>
      <c r="G5709" s="178" t="s">
        <v>134</v>
      </c>
      <c r="H5709">
        <v>942</v>
      </c>
      <c r="I5709" s="178" t="s">
        <v>1546</v>
      </c>
      <c r="J5709" s="320" t="s">
        <v>214</v>
      </c>
      <c r="K5709" s="178" t="s">
        <v>4872</v>
      </c>
      <c r="L5709" s="125" t="s">
        <v>1579</v>
      </c>
      <c r="M5709">
        <v>1304</v>
      </c>
      <c r="N5709" s="182">
        <v>243</v>
      </c>
      <c r="O5709">
        <v>3727</v>
      </c>
      <c r="P5709" s="132" t="s">
        <v>77</v>
      </c>
      <c r="Q5709" s="176">
        <v>493.1</v>
      </c>
      <c r="R5709" s="176">
        <v>78.900000000000006</v>
      </c>
      <c r="S5709" s="176"/>
      <c r="T5709" s="190"/>
      <c r="U5709" s="191"/>
      <c r="V5709" s="191">
        <v>572</v>
      </c>
      <c r="W5709">
        <v>145</v>
      </c>
      <c r="X5709" s="186" t="s">
        <v>1644</v>
      </c>
      <c r="Y5709" s="187" t="s">
        <v>55</v>
      </c>
      <c r="Z5709" s="311">
        <v>264</v>
      </c>
      <c r="AB5709" t="str">
        <f>IF(Table1[[#This Row],[TIPO2]]="costo", VLOOKUP(Table1[[#This Row],[PARTIDA PRESUPUESTAL]],'Cost Report'!G:G,1,0),"Balance")</f>
        <v>2494-071</v>
      </c>
      <c r="AD5709" s="159">
        <f>+Table1[[#This Row],[SUBTOTAL]]+Table1[[#This Row],[IVA]]-Table1[[#This Row],[RET IVA]]-Table1[[#This Row],[RET ISR]]-Table1[[#This Row],[TOTAL]]</f>
        <v>0</v>
      </c>
      <c r="AG5709" t="s">
        <v>3420</v>
      </c>
      <c r="AK5709" s="306" t="str">
        <f>IF(ISNUMBER(Table1[[#This Row],[FECHA DE RECIBIDO]]), Table1[[#This Row],[FECHA DE RECIBIDO]]-DATE(2023,8,30), "")</f>
        <v/>
      </c>
    </row>
    <row r="5710" spans="1:37" ht="16.05" customHeight="1">
      <c r="A5710" s="172" t="s">
        <v>5094</v>
      </c>
      <c r="B5710" s="178">
        <v>2069</v>
      </c>
      <c r="C5710" s="179" t="s">
        <v>2540</v>
      </c>
      <c r="D5710">
        <v>3898</v>
      </c>
      <c r="E5710" s="125" t="s">
        <v>3356</v>
      </c>
      <c r="F5710" s="178">
        <v>601</v>
      </c>
      <c r="G5710" s="178" t="s">
        <v>134</v>
      </c>
      <c r="H5710">
        <v>156</v>
      </c>
      <c r="I5710" s="178" t="s">
        <v>1546</v>
      </c>
      <c r="J5710" s="320" t="s">
        <v>214</v>
      </c>
      <c r="K5710" s="178" t="s">
        <v>4872</v>
      </c>
      <c r="L5710" s="125" t="s">
        <v>1579</v>
      </c>
      <c r="M5710">
        <v>207</v>
      </c>
      <c r="N5710" s="182">
        <v>243</v>
      </c>
      <c r="O5710">
        <v>3728</v>
      </c>
      <c r="P5710" s="132" t="s">
        <v>77</v>
      </c>
      <c r="Q5710" s="176">
        <v>1464.78</v>
      </c>
      <c r="R5710" s="176">
        <v>234.36</v>
      </c>
      <c r="S5710" s="176"/>
      <c r="T5710" s="190"/>
      <c r="U5710" s="191"/>
      <c r="V5710" s="191">
        <v>1699.1399999999999</v>
      </c>
      <c r="W5710">
        <v>145</v>
      </c>
      <c r="X5710" s="186" t="s">
        <v>1644</v>
      </c>
      <c r="Y5710" s="187" t="s">
        <v>55</v>
      </c>
      <c r="Z5710" s="311">
        <v>252</v>
      </c>
      <c r="AB5710" t="str">
        <f>IF(Table1[[#This Row],[TIPO2]]="costo", VLOOKUP(Table1[[#This Row],[PARTIDA PRESUPUESTAL]],'Cost Report'!G:G,1,0),"Balance")</f>
        <v>2494-059</v>
      </c>
      <c r="AD5710" s="159">
        <f>+Table1[[#This Row],[SUBTOTAL]]+Table1[[#This Row],[IVA]]-Table1[[#This Row],[RET IVA]]-Table1[[#This Row],[RET ISR]]-Table1[[#This Row],[TOTAL]]</f>
        <v>0</v>
      </c>
      <c r="AG5710" t="s">
        <v>3420</v>
      </c>
      <c r="AK5710" s="306" t="str">
        <f>IF(ISNUMBER(Table1[[#This Row],[FECHA DE RECIBIDO]]), Table1[[#This Row],[FECHA DE RECIBIDO]]-DATE(2023,8,30), "")</f>
        <v/>
      </c>
    </row>
    <row r="5711" spans="1:37" ht="16.05" customHeight="1">
      <c r="A5711" s="172" t="s">
        <v>5094</v>
      </c>
      <c r="B5711" s="178">
        <v>2069</v>
      </c>
      <c r="C5711" s="179" t="s">
        <v>1517</v>
      </c>
      <c r="D5711">
        <v>3899</v>
      </c>
      <c r="E5711" s="125" t="s">
        <v>1614</v>
      </c>
      <c r="F5711" s="178">
        <v>621</v>
      </c>
      <c r="G5711" s="178" t="s">
        <v>1617</v>
      </c>
      <c r="H5711">
        <v>238</v>
      </c>
      <c r="I5711" s="178" t="s">
        <v>1546</v>
      </c>
      <c r="J5711" s="320" t="s">
        <v>214</v>
      </c>
      <c r="K5711" s="178" t="s">
        <v>4872</v>
      </c>
      <c r="L5711" s="125" t="s">
        <v>1579</v>
      </c>
      <c r="M5711">
        <v>310</v>
      </c>
      <c r="N5711" s="182">
        <v>243</v>
      </c>
      <c r="O5711">
        <v>3729</v>
      </c>
      <c r="P5711" s="132" t="s">
        <v>77</v>
      </c>
      <c r="Q5711" s="176">
        <v>1471</v>
      </c>
      <c r="R5711" s="176">
        <v>235.36</v>
      </c>
      <c r="S5711" s="176"/>
      <c r="T5711" s="190"/>
      <c r="U5711" s="191"/>
      <c r="V5711" s="191">
        <v>1706.3600000000001</v>
      </c>
      <c r="W5711">
        <v>145</v>
      </c>
      <c r="X5711" s="186" t="s">
        <v>1644</v>
      </c>
      <c r="Y5711" s="187" t="s">
        <v>55</v>
      </c>
      <c r="Z5711" s="311">
        <v>255</v>
      </c>
      <c r="AB5711" t="str">
        <f>IF(Table1[[#This Row],[TIPO2]]="costo", VLOOKUP(Table1[[#This Row],[PARTIDA PRESUPUESTAL]],'Cost Report'!G:G,1,0),"Balance")</f>
        <v>2494-027</v>
      </c>
      <c r="AD5711" s="159">
        <f>+Table1[[#This Row],[SUBTOTAL]]+Table1[[#This Row],[IVA]]-Table1[[#This Row],[RET IVA]]-Table1[[#This Row],[RET ISR]]-Table1[[#This Row],[TOTAL]]</f>
        <v>0</v>
      </c>
      <c r="AG5711" t="s">
        <v>3420</v>
      </c>
      <c r="AK5711" s="306" t="str">
        <f>IF(ISNUMBER(Table1[[#This Row],[FECHA DE RECIBIDO]]), Table1[[#This Row],[FECHA DE RECIBIDO]]-DATE(2023,8,30), "")</f>
        <v/>
      </c>
    </row>
    <row r="5712" spans="1:37" ht="16.05" customHeight="1">
      <c r="A5712" s="172" t="s">
        <v>5094</v>
      </c>
      <c r="B5712" s="178">
        <v>2069</v>
      </c>
      <c r="C5712" s="179" t="s">
        <v>1517</v>
      </c>
      <c r="D5712">
        <v>3900</v>
      </c>
      <c r="E5712" s="125" t="s">
        <v>1614</v>
      </c>
      <c r="F5712" s="178">
        <v>621</v>
      </c>
      <c r="G5712" s="178" t="s">
        <v>1617</v>
      </c>
      <c r="H5712">
        <v>238</v>
      </c>
      <c r="I5712" s="178" t="s">
        <v>1546</v>
      </c>
      <c r="J5712" s="320" t="s">
        <v>214</v>
      </c>
      <c r="K5712" s="178" t="s">
        <v>4872</v>
      </c>
      <c r="L5712" s="125" t="s">
        <v>1579</v>
      </c>
      <c r="M5712">
        <v>310</v>
      </c>
      <c r="N5712" s="182">
        <v>243</v>
      </c>
      <c r="O5712">
        <v>3729</v>
      </c>
      <c r="P5712" s="132" t="s">
        <v>77</v>
      </c>
      <c r="Q5712" s="176">
        <v>1604</v>
      </c>
      <c r="R5712" s="176">
        <v>256.64</v>
      </c>
      <c r="S5712" s="176"/>
      <c r="T5712" s="190"/>
      <c r="U5712" s="191"/>
      <c r="V5712" s="191">
        <v>1860.6399999999999</v>
      </c>
      <c r="W5712">
        <v>145</v>
      </c>
      <c r="X5712" s="186" t="s">
        <v>1644</v>
      </c>
      <c r="Y5712" s="187" t="s">
        <v>55</v>
      </c>
      <c r="Z5712" s="311">
        <v>255</v>
      </c>
      <c r="AB5712" t="str">
        <f>IF(Table1[[#This Row],[TIPO2]]="costo", VLOOKUP(Table1[[#This Row],[PARTIDA PRESUPUESTAL]],'Cost Report'!G:G,1,0),"Balance")</f>
        <v>2494-027</v>
      </c>
      <c r="AD5712" s="159">
        <f>+Table1[[#This Row],[SUBTOTAL]]+Table1[[#This Row],[IVA]]-Table1[[#This Row],[RET IVA]]-Table1[[#This Row],[RET ISR]]-Table1[[#This Row],[TOTAL]]</f>
        <v>0</v>
      </c>
      <c r="AG5712" t="s">
        <v>3420</v>
      </c>
      <c r="AK5712" s="306" t="str">
        <f>IF(ISNUMBER(Table1[[#This Row],[FECHA DE RECIBIDO]]), Table1[[#This Row],[FECHA DE RECIBIDO]]-DATE(2023,8,30), "")</f>
        <v/>
      </c>
    </row>
    <row r="5713" spans="1:37" ht="16.05" customHeight="1">
      <c r="A5713" s="172" t="s">
        <v>5094</v>
      </c>
      <c r="B5713" s="178">
        <v>2069</v>
      </c>
      <c r="C5713" s="179" t="s">
        <v>1517</v>
      </c>
      <c r="D5713">
        <v>3901</v>
      </c>
      <c r="E5713" s="125" t="s">
        <v>1614</v>
      </c>
      <c r="F5713" s="178">
        <v>621</v>
      </c>
      <c r="G5713" s="178" t="s">
        <v>1617</v>
      </c>
      <c r="H5713">
        <v>238</v>
      </c>
      <c r="I5713" s="178" t="s">
        <v>1546</v>
      </c>
      <c r="J5713" s="320" t="s">
        <v>214</v>
      </c>
      <c r="K5713" s="178" t="s">
        <v>4872</v>
      </c>
      <c r="L5713" s="125" t="s">
        <v>1579</v>
      </c>
      <c r="M5713">
        <v>310</v>
      </c>
      <c r="N5713" s="182">
        <v>243</v>
      </c>
      <c r="O5713">
        <v>3729</v>
      </c>
      <c r="P5713" s="132" t="s">
        <v>77</v>
      </c>
      <c r="Q5713" s="176">
        <v>1471</v>
      </c>
      <c r="R5713" s="176">
        <v>235.36</v>
      </c>
      <c r="S5713" s="176"/>
      <c r="T5713" s="190"/>
      <c r="U5713" s="191"/>
      <c r="V5713" s="191">
        <v>1706.3600000000001</v>
      </c>
      <c r="W5713">
        <v>145</v>
      </c>
      <c r="X5713" s="186" t="s">
        <v>1644</v>
      </c>
      <c r="Y5713" s="187" t="s">
        <v>55</v>
      </c>
      <c r="Z5713" s="311">
        <v>255</v>
      </c>
      <c r="AB5713" t="str">
        <f>IF(Table1[[#This Row],[TIPO2]]="costo", VLOOKUP(Table1[[#This Row],[PARTIDA PRESUPUESTAL]],'Cost Report'!G:G,1,0),"Balance")</f>
        <v>2494-027</v>
      </c>
      <c r="AD5713" s="159">
        <f>+Table1[[#This Row],[SUBTOTAL]]+Table1[[#This Row],[IVA]]-Table1[[#This Row],[RET IVA]]-Table1[[#This Row],[RET ISR]]-Table1[[#This Row],[TOTAL]]</f>
        <v>0</v>
      </c>
      <c r="AG5713" t="s">
        <v>3420</v>
      </c>
      <c r="AK5713" s="306" t="str">
        <f>IF(ISNUMBER(Table1[[#This Row],[FECHA DE RECIBIDO]]), Table1[[#This Row],[FECHA DE RECIBIDO]]-DATE(2023,8,30), "")</f>
        <v/>
      </c>
    </row>
    <row r="5714" spans="1:37" ht="16.05" customHeight="1">
      <c r="A5714" s="172" t="s">
        <v>5094</v>
      </c>
      <c r="B5714" s="178">
        <v>2069</v>
      </c>
      <c r="C5714" s="179" t="s">
        <v>1517</v>
      </c>
      <c r="D5714">
        <v>3902</v>
      </c>
      <c r="E5714" s="125" t="s">
        <v>1614</v>
      </c>
      <c r="F5714" s="178">
        <v>621</v>
      </c>
      <c r="G5714" s="178" t="s">
        <v>1617</v>
      </c>
      <c r="H5714">
        <v>238</v>
      </c>
      <c r="I5714" s="178" t="s">
        <v>1546</v>
      </c>
      <c r="J5714" s="320" t="s">
        <v>214</v>
      </c>
      <c r="K5714" s="178" t="s">
        <v>4872</v>
      </c>
      <c r="L5714" s="125" t="s">
        <v>1579</v>
      </c>
      <c r="M5714">
        <v>310</v>
      </c>
      <c r="N5714" s="182">
        <v>243</v>
      </c>
      <c r="O5714">
        <v>3729</v>
      </c>
      <c r="P5714" s="132" t="s">
        <v>77</v>
      </c>
      <c r="Q5714" s="176">
        <v>1444</v>
      </c>
      <c r="R5714" s="176">
        <v>231.04</v>
      </c>
      <c r="S5714" s="176"/>
      <c r="T5714" s="190"/>
      <c r="U5714" s="191"/>
      <c r="V5714" s="191">
        <v>1675.04</v>
      </c>
      <c r="W5714">
        <v>145</v>
      </c>
      <c r="X5714" s="186" t="s">
        <v>1644</v>
      </c>
      <c r="Y5714" s="187" t="s">
        <v>55</v>
      </c>
      <c r="Z5714" s="311">
        <v>255</v>
      </c>
      <c r="AB5714" t="str">
        <f>IF(Table1[[#This Row],[TIPO2]]="costo", VLOOKUP(Table1[[#This Row],[PARTIDA PRESUPUESTAL]],'Cost Report'!G:G,1,0),"Balance")</f>
        <v>2494-027</v>
      </c>
      <c r="AD5714" s="159">
        <f>+Table1[[#This Row],[SUBTOTAL]]+Table1[[#This Row],[IVA]]-Table1[[#This Row],[RET IVA]]-Table1[[#This Row],[RET ISR]]-Table1[[#This Row],[TOTAL]]</f>
        <v>0</v>
      </c>
      <c r="AG5714" t="s">
        <v>3420</v>
      </c>
      <c r="AK5714" s="306" t="str">
        <f>IF(ISNUMBER(Table1[[#This Row],[FECHA DE RECIBIDO]]), Table1[[#This Row],[FECHA DE RECIBIDO]]-DATE(2023,8,30), "")</f>
        <v/>
      </c>
    </row>
    <row r="5715" spans="1:37" ht="16.05" customHeight="1">
      <c r="A5715" s="172" t="s">
        <v>5094</v>
      </c>
      <c r="B5715" s="178">
        <v>2069</v>
      </c>
      <c r="C5715" s="179" t="s">
        <v>2546</v>
      </c>
      <c r="D5715">
        <v>3903</v>
      </c>
      <c r="E5715" s="125" t="s">
        <v>1596</v>
      </c>
      <c r="F5715" s="178">
        <v>612</v>
      </c>
      <c r="G5715" s="178" t="s">
        <v>129</v>
      </c>
      <c r="H5715">
        <v>943</v>
      </c>
      <c r="I5715" s="178" t="s">
        <v>1546</v>
      </c>
      <c r="J5715" s="320" t="s">
        <v>214</v>
      </c>
      <c r="K5715" s="178" t="s">
        <v>4872</v>
      </c>
      <c r="L5715" s="125" t="s">
        <v>1579</v>
      </c>
      <c r="M5715">
        <v>1305</v>
      </c>
      <c r="N5715" s="182">
        <v>243</v>
      </c>
      <c r="O5715">
        <v>3730</v>
      </c>
      <c r="P5715" s="132" t="s">
        <v>77</v>
      </c>
      <c r="Q5715" s="176">
        <v>284.48</v>
      </c>
      <c r="R5715" s="176">
        <v>45.52</v>
      </c>
      <c r="S5715" s="176"/>
      <c r="T5715" s="190"/>
      <c r="U5715" s="191"/>
      <c r="V5715" s="191">
        <v>330</v>
      </c>
      <c r="W5715">
        <v>145</v>
      </c>
      <c r="X5715" s="186" t="s">
        <v>1644</v>
      </c>
      <c r="Y5715" s="187" t="s">
        <v>55</v>
      </c>
      <c r="Z5715" s="311">
        <v>243</v>
      </c>
      <c r="AB5715" t="str">
        <f>IF(Table1[[#This Row],[TIPO2]]="costo", VLOOKUP(Table1[[#This Row],[PARTIDA PRESUPUESTAL]],'Cost Report'!G:G,1,0),"Balance")</f>
        <v>2494-071</v>
      </c>
      <c r="AD5715" s="159">
        <f>+Table1[[#This Row],[SUBTOTAL]]+Table1[[#This Row],[IVA]]-Table1[[#This Row],[RET IVA]]-Table1[[#This Row],[RET ISR]]-Table1[[#This Row],[TOTAL]]</f>
        <v>0</v>
      </c>
      <c r="AG5715" t="s">
        <v>3420</v>
      </c>
      <c r="AK5715" s="306" t="str">
        <f>IF(ISNUMBER(Table1[[#This Row],[FECHA DE RECIBIDO]]), Table1[[#This Row],[FECHA DE RECIBIDO]]-DATE(2023,8,30), "")</f>
        <v/>
      </c>
    </row>
    <row r="5716" spans="1:37" ht="16.05" customHeight="1">
      <c r="A5716" s="172" t="s">
        <v>5094</v>
      </c>
      <c r="B5716" s="178">
        <v>2069</v>
      </c>
      <c r="C5716" s="179" t="s">
        <v>2534</v>
      </c>
      <c r="D5716">
        <v>3904</v>
      </c>
      <c r="E5716" s="125" t="s">
        <v>1603</v>
      </c>
      <c r="F5716" s="178">
        <v>601</v>
      </c>
      <c r="G5716" s="178" t="s">
        <v>134</v>
      </c>
      <c r="H5716">
        <v>273</v>
      </c>
      <c r="I5716" s="178" t="s">
        <v>1546</v>
      </c>
      <c r="J5716" s="320" t="s">
        <v>214</v>
      </c>
      <c r="K5716" s="178" t="s">
        <v>4872</v>
      </c>
      <c r="L5716" s="125" t="s">
        <v>1579</v>
      </c>
      <c r="M5716">
        <v>364</v>
      </c>
      <c r="N5716" s="182">
        <v>243</v>
      </c>
      <c r="O5716">
        <v>3731</v>
      </c>
      <c r="P5716" s="132" t="s">
        <v>77</v>
      </c>
      <c r="Q5716" s="176">
        <v>1785.19</v>
      </c>
      <c r="R5716" s="176">
        <v>285.63</v>
      </c>
      <c r="S5716" s="176"/>
      <c r="T5716" s="190"/>
      <c r="U5716" s="191"/>
      <c r="V5716" s="191">
        <v>2070.8200000000002</v>
      </c>
      <c r="W5716">
        <v>145</v>
      </c>
      <c r="X5716" s="186" t="s">
        <v>1644</v>
      </c>
      <c r="Y5716" s="187" t="s">
        <v>55</v>
      </c>
      <c r="Z5716" s="311">
        <v>245</v>
      </c>
      <c r="AB5716" t="str">
        <f>IF(Table1[[#This Row],[TIPO2]]="costo", VLOOKUP(Table1[[#This Row],[PARTIDA PRESUPUESTAL]],'Cost Report'!G:G,1,0),"Balance")</f>
        <v>2494-047</v>
      </c>
      <c r="AD5716" s="159">
        <f>+Table1[[#This Row],[SUBTOTAL]]+Table1[[#This Row],[IVA]]-Table1[[#This Row],[RET IVA]]-Table1[[#This Row],[RET ISR]]-Table1[[#This Row],[TOTAL]]</f>
        <v>0</v>
      </c>
      <c r="AG5716" t="s">
        <v>3420</v>
      </c>
      <c r="AK5716" s="306" t="str">
        <f>IF(ISNUMBER(Table1[[#This Row],[FECHA DE RECIBIDO]]), Table1[[#This Row],[FECHA DE RECIBIDO]]-DATE(2023,8,30), "")</f>
        <v/>
      </c>
    </row>
    <row r="5717" spans="1:37" ht="16.05" customHeight="1">
      <c r="A5717" s="172" t="s">
        <v>5094</v>
      </c>
      <c r="B5717" s="178">
        <v>2069</v>
      </c>
      <c r="C5717" s="179" t="s">
        <v>2534</v>
      </c>
      <c r="D5717">
        <v>3905</v>
      </c>
      <c r="E5717" s="125" t="s">
        <v>3167</v>
      </c>
      <c r="F5717" s="178">
        <v>601</v>
      </c>
      <c r="G5717" s="178" t="s">
        <v>134</v>
      </c>
      <c r="H5717">
        <v>944</v>
      </c>
      <c r="I5717" s="178" t="s">
        <v>1546</v>
      </c>
      <c r="J5717" s="320" t="s">
        <v>214</v>
      </c>
      <c r="K5717" s="178" t="s">
        <v>4872</v>
      </c>
      <c r="L5717" s="125" t="s">
        <v>1579</v>
      </c>
      <c r="M5717">
        <v>1306</v>
      </c>
      <c r="N5717" s="182">
        <v>243</v>
      </c>
      <c r="O5717">
        <v>3732</v>
      </c>
      <c r="P5717" s="132" t="s">
        <v>77</v>
      </c>
      <c r="Q5717" s="176">
        <v>9434.49</v>
      </c>
      <c r="R5717" s="176">
        <v>1509.51</v>
      </c>
      <c r="S5717" s="176"/>
      <c r="T5717" s="190"/>
      <c r="U5717" s="191"/>
      <c r="V5717" s="191">
        <v>10944</v>
      </c>
      <c r="W5717">
        <v>145</v>
      </c>
      <c r="X5717" s="186" t="s">
        <v>1644</v>
      </c>
      <c r="Y5717" s="187" t="s">
        <v>55</v>
      </c>
      <c r="Z5717" s="311">
        <v>247</v>
      </c>
      <c r="AB5717" t="str">
        <f>IF(Table1[[#This Row],[TIPO2]]="costo", VLOOKUP(Table1[[#This Row],[PARTIDA PRESUPUESTAL]],'Cost Report'!G:G,1,0),"Balance")</f>
        <v>2494-047</v>
      </c>
      <c r="AD5717" s="159">
        <f>+Table1[[#This Row],[SUBTOTAL]]+Table1[[#This Row],[IVA]]-Table1[[#This Row],[RET IVA]]-Table1[[#This Row],[RET ISR]]-Table1[[#This Row],[TOTAL]]</f>
        <v>0</v>
      </c>
      <c r="AG5717" t="s">
        <v>3420</v>
      </c>
      <c r="AK5717" s="306" t="str">
        <f>IF(ISNUMBER(Table1[[#This Row],[FECHA DE RECIBIDO]]), Table1[[#This Row],[FECHA DE RECIBIDO]]-DATE(2023,8,30), "")</f>
        <v/>
      </c>
    </row>
    <row r="5718" spans="1:37" ht="16.05" customHeight="1">
      <c r="A5718" s="172" t="s">
        <v>5094</v>
      </c>
      <c r="B5718" s="178">
        <v>2069</v>
      </c>
      <c r="C5718" s="179" t="s">
        <v>2542</v>
      </c>
      <c r="D5718">
        <v>3906</v>
      </c>
      <c r="E5718" s="125" t="s">
        <v>3262</v>
      </c>
      <c r="F5718" s="178">
        <v>601</v>
      </c>
      <c r="G5718" s="178" t="s">
        <v>134</v>
      </c>
      <c r="H5718">
        <v>224</v>
      </c>
      <c r="I5718" s="178" t="s">
        <v>1546</v>
      </c>
      <c r="J5718" s="320" t="s">
        <v>214</v>
      </c>
      <c r="K5718" s="178" t="s">
        <v>4872</v>
      </c>
      <c r="L5718" s="125" t="s">
        <v>1579</v>
      </c>
      <c r="M5718">
        <v>290</v>
      </c>
      <c r="N5718" s="182">
        <v>243</v>
      </c>
      <c r="O5718">
        <v>3733</v>
      </c>
      <c r="P5718" s="132" t="s">
        <v>77</v>
      </c>
      <c r="Q5718" s="176">
        <v>5067.0600000000004</v>
      </c>
      <c r="R5718" s="176">
        <v>810.72</v>
      </c>
      <c r="S5718" s="176"/>
      <c r="T5718" s="190"/>
      <c r="U5718" s="191"/>
      <c r="V5718" s="191">
        <v>5877.7800000000007</v>
      </c>
      <c r="W5718">
        <v>145</v>
      </c>
      <c r="X5718" s="186" t="s">
        <v>1644</v>
      </c>
      <c r="Y5718" s="187" t="s">
        <v>55</v>
      </c>
      <c r="Z5718" s="311">
        <v>244</v>
      </c>
      <c r="AB5718" t="str">
        <f>IF(Table1[[#This Row],[TIPO2]]="costo", VLOOKUP(Table1[[#This Row],[PARTIDA PRESUPUESTAL]],'Cost Report'!G:G,1,0),"Balance")</f>
        <v>2494-063</v>
      </c>
      <c r="AD5718" s="159">
        <f>+Table1[[#This Row],[SUBTOTAL]]+Table1[[#This Row],[IVA]]-Table1[[#This Row],[RET IVA]]-Table1[[#This Row],[RET ISR]]-Table1[[#This Row],[TOTAL]]</f>
        <v>0</v>
      </c>
      <c r="AG5718" t="s">
        <v>3420</v>
      </c>
      <c r="AK5718" s="306" t="str">
        <f>IF(ISNUMBER(Table1[[#This Row],[FECHA DE RECIBIDO]]), Table1[[#This Row],[FECHA DE RECIBIDO]]-DATE(2023,8,30), "")</f>
        <v/>
      </c>
    </row>
    <row r="5719" spans="1:37" ht="16.05" customHeight="1">
      <c r="A5719" s="172" t="s">
        <v>5094</v>
      </c>
      <c r="B5719" s="178">
        <v>2069</v>
      </c>
      <c r="C5719" s="179" t="s">
        <v>2532</v>
      </c>
      <c r="D5719">
        <v>3907</v>
      </c>
      <c r="E5719" s="125" t="s">
        <v>3167</v>
      </c>
      <c r="F5719" s="178">
        <v>626</v>
      </c>
      <c r="G5719" s="178" t="s">
        <v>109</v>
      </c>
      <c r="H5719">
        <v>663</v>
      </c>
      <c r="I5719" s="178" t="s">
        <v>1546</v>
      </c>
      <c r="J5719" s="320" t="s">
        <v>214</v>
      </c>
      <c r="K5719" s="178" t="s">
        <v>4872</v>
      </c>
      <c r="L5719" s="125" t="s">
        <v>1579</v>
      </c>
      <c r="M5719">
        <v>933</v>
      </c>
      <c r="N5719" s="182">
        <v>243</v>
      </c>
      <c r="O5719">
        <v>3734</v>
      </c>
      <c r="P5719" s="132" t="s">
        <v>77</v>
      </c>
      <c r="Q5719" s="176">
        <v>517.24</v>
      </c>
      <c r="R5719" s="176">
        <v>82.76</v>
      </c>
      <c r="S5719" s="176"/>
      <c r="T5719" s="190"/>
      <c r="U5719" s="191"/>
      <c r="V5719" s="191">
        <v>600</v>
      </c>
      <c r="W5719">
        <v>145</v>
      </c>
      <c r="X5719" s="186" t="s">
        <v>1644</v>
      </c>
      <c r="Y5719" s="187" t="s">
        <v>55</v>
      </c>
      <c r="Z5719" s="311">
        <v>250</v>
      </c>
      <c r="AB5719" t="str">
        <f>IF(Table1[[#This Row],[TIPO2]]="costo", VLOOKUP(Table1[[#This Row],[PARTIDA PRESUPUESTAL]],'Cost Report'!G:G,1,0),"Balance")</f>
        <v>2494-043</v>
      </c>
      <c r="AD5719" s="159">
        <f>+Table1[[#This Row],[SUBTOTAL]]+Table1[[#This Row],[IVA]]-Table1[[#This Row],[RET IVA]]-Table1[[#This Row],[RET ISR]]-Table1[[#This Row],[TOTAL]]</f>
        <v>0</v>
      </c>
      <c r="AG5719" t="s">
        <v>3420</v>
      </c>
      <c r="AK5719" s="306" t="str">
        <f>IF(ISNUMBER(Table1[[#This Row],[FECHA DE RECIBIDO]]), Table1[[#This Row],[FECHA DE RECIBIDO]]-DATE(2023,8,30), "")</f>
        <v/>
      </c>
    </row>
    <row r="5720" spans="1:37" ht="16.05" customHeight="1">
      <c r="A5720" s="172" t="s">
        <v>5094</v>
      </c>
      <c r="B5720" s="178">
        <v>2069</v>
      </c>
      <c r="C5720" s="179" t="s">
        <v>2542</v>
      </c>
      <c r="D5720">
        <v>3908</v>
      </c>
      <c r="E5720" s="125" t="s">
        <v>3262</v>
      </c>
      <c r="F5720" s="178">
        <v>601</v>
      </c>
      <c r="G5720" s="178" t="s">
        <v>134</v>
      </c>
      <c r="H5720">
        <v>224</v>
      </c>
      <c r="I5720" s="178" t="s">
        <v>1546</v>
      </c>
      <c r="J5720" s="320" t="s">
        <v>214</v>
      </c>
      <c r="K5720" s="178" t="s">
        <v>4872</v>
      </c>
      <c r="L5720" s="125" t="s">
        <v>1579</v>
      </c>
      <c r="M5720">
        <v>290</v>
      </c>
      <c r="N5720" s="182">
        <v>243</v>
      </c>
      <c r="O5720">
        <v>3735</v>
      </c>
      <c r="P5720" s="132" t="s">
        <v>77</v>
      </c>
      <c r="Q5720" s="176">
        <v>2799.13</v>
      </c>
      <c r="R5720" s="176">
        <v>447.87</v>
      </c>
      <c r="S5720" s="176"/>
      <c r="T5720" s="190"/>
      <c r="U5720" s="191"/>
      <c r="V5720" s="191">
        <v>3247</v>
      </c>
      <c r="W5720">
        <v>145</v>
      </c>
      <c r="X5720" s="186" t="s">
        <v>1644</v>
      </c>
      <c r="Y5720" s="187" t="s">
        <v>55</v>
      </c>
      <c r="Z5720" s="311">
        <v>244</v>
      </c>
      <c r="AB5720" t="str">
        <f>IF(Table1[[#This Row],[TIPO2]]="costo", VLOOKUP(Table1[[#This Row],[PARTIDA PRESUPUESTAL]],'Cost Report'!G:G,1,0),"Balance")</f>
        <v>2494-063</v>
      </c>
      <c r="AD5720" s="159">
        <f>+Table1[[#This Row],[SUBTOTAL]]+Table1[[#This Row],[IVA]]-Table1[[#This Row],[RET IVA]]-Table1[[#This Row],[RET ISR]]-Table1[[#This Row],[TOTAL]]</f>
        <v>0</v>
      </c>
      <c r="AG5720" t="s">
        <v>3420</v>
      </c>
      <c r="AK5720" s="306" t="str">
        <f>IF(ISNUMBER(Table1[[#This Row],[FECHA DE RECIBIDO]]), Table1[[#This Row],[FECHA DE RECIBIDO]]-DATE(2023,8,30), "")</f>
        <v/>
      </c>
    </row>
    <row r="5721" spans="1:37" ht="16.05" customHeight="1">
      <c r="A5721" s="172" t="s">
        <v>5094</v>
      </c>
      <c r="B5721" s="178">
        <v>2069</v>
      </c>
      <c r="C5721" s="179" t="s">
        <v>2455</v>
      </c>
      <c r="D5721">
        <v>689</v>
      </c>
      <c r="E5721" s="125"/>
      <c r="F5721" s="178"/>
      <c r="G5721" s="178"/>
      <c r="H5721"/>
      <c r="I5721" s="178"/>
      <c r="J5721" s="320" t="s">
        <v>214</v>
      </c>
      <c r="K5721" s="178" t="s">
        <v>4872</v>
      </c>
      <c r="L5721" s="125" t="s">
        <v>1579</v>
      </c>
      <c r="M5721">
        <v>809</v>
      </c>
      <c r="N5721" s="182">
        <v>243</v>
      </c>
      <c r="O5721">
        <v>522</v>
      </c>
      <c r="P5721" s="132" t="s">
        <v>77</v>
      </c>
      <c r="Q5721" s="176">
        <v>34.22</v>
      </c>
      <c r="R5721" s="176"/>
      <c r="S5721" s="176"/>
      <c r="T5721" s="190"/>
      <c r="U5721" s="191"/>
      <c r="V5721" s="191">
        <v>34.22</v>
      </c>
      <c r="W5721">
        <v>145</v>
      </c>
      <c r="X5721" s="186" t="s">
        <v>1644</v>
      </c>
      <c r="Y5721" s="187" t="s">
        <v>55</v>
      </c>
      <c r="Z5721" s="311">
        <v>268</v>
      </c>
      <c r="AB5721" t="str">
        <f>IF(Table1[[#This Row],[TIPO2]]="costo", VLOOKUP(Table1[[#This Row],[PARTIDA PRESUPUESTAL]],'Cost Report'!G:G,1,0),"Balance")</f>
        <v>2285-003</v>
      </c>
      <c r="AD5721" s="159">
        <f>+Table1[[#This Row],[SUBTOTAL]]+Table1[[#This Row],[IVA]]-Table1[[#This Row],[RET IVA]]-Table1[[#This Row],[RET ISR]]-Table1[[#This Row],[TOTAL]]</f>
        <v>0</v>
      </c>
      <c r="AG5721" t="s">
        <v>3420</v>
      </c>
      <c r="AK5721" s="306" t="str">
        <f>IF(ISNUMBER(Table1[[#This Row],[FECHA DE RECIBIDO]]), Table1[[#This Row],[FECHA DE RECIBIDO]]-DATE(2023,8,30), "")</f>
        <v/>
      </c>
    </row>
    <row r="5722" spans="1:37" ht="16.05" customHeight="1">
      <c r="A5722" s="172" t="s">
        <v>5094</v>
      </c>
      <c r="B5722" s="178">
        <v>2069</v>
      </c>
      <c r="C5722" s="179" t="s">
        <v>2455</v>
      </c>
      <c r="D5722">
        <v>689</v>
      </c>
      <c r="E5722" s="125"/>
      <c r="F5722" s="178"/>
      <c r="G5722" s="178"/>
      <c r="H5722"/>
      <c r="I5722" s="178"/>
      <c r="J5722" s="320" t="s">
        <v>214</v>
      </c>
      <c r="K5722" s="178" t="s">
        <v>4872</v>
      </c>
      <c r="L5722" s="125" t="s">
        <v>1579</v>
      </c>
      <c r="M5722">
        <v>809</v>
      </c>
      <c r="N5722" s="182">
        <v>243</v>
      </c>
      <c r="O5722">
        <v>522</v>
      </c>
      <c r="P5722" s="132" t="s">
        <v>77</v>
      </c>
      <c r="Q5722" s="176">
        <v>34.22</v>
      </c>
      <c r="R5722" s="176"/>
      <c r="S5722" s="176"/>
      <c r="T5722" s="190"/>
      <c r="U5722" s="191"/>
      <c r="V5722" s="191">
        <v>34.22</v>
      </c>
      <c r="W5722">
        <v>145</v>
      </c>
      <c r="X5722" s="186" t="s">
        <v>1644</v>
      </c>
      <c r="Y5722" s="187" t="s">
        <v>55</v>
      </c>
      <c r="Z5722" s="311">
        <v>268</v>
      </c>
      <c r="AB5722" t="str">
        <f>IF(Table1[[#This Row],[TIPO2]]="costo", VLOOKUP(Table1[[#This Row],[PARTIDA PRESUPUESTAL]],'Cost Report'!G:G,1,0),"Balance")</f>
        <v>2285-003</v>
      </c>
      <c r="AD5722" s="159">
        <f>+Table1[[#This Row],[SUBTOTAL]]+Table1[[#This Row],[IVA]]-Table1[[#This Row],[RET IVA]]-Table1[[#This Row],[RET ISR]]-Table1[[#This Row],[TOTAL]]</f>
        <v>0</v>
      </c>
      <c r="AG5722" t="s">
        <v>3420</v>
      </c>
      <c r="AK5722" s="306" t="str">
        <f>IF(ISNUMBER(Table1[[#This Row],[FECHA DE RECIBIDO]]), Table1[[#This Row],[FECHA DE RECIBIDO]]-DATE(2023,8,30), "")</f>
        <v/>
      </c>
    </row>
    <row r="5723" spans="1:37" ht="16.05" customHeight="1">
      <c r="A5723" s="172" t="s">
        <v>5094</v>
      </c>
      <c r="B5723" s="178">
        <v>2069</v>
      </c>
      <c r="C5723" s="179" t="s">
        <v>2461</v>
      </c>
      <c r="D5723">
        <v>689</v>
      </c>
      <c r="E5723" s="125"/>
      <c r="F5723" s="178"/>
      <c r="G5723" s="178"/>
      <c r="H5723"/>
      <c r="I5723" s="178"/>
      <c r="J5723" s="320" t="s">
        <v>214</v>
      </c>
      <c r="K5723" s="178" t="s">
        <v>4872</v>
      </c>
      <c r="L5723" s="125" t="s">
        <v>1579</v>
      </c>
      <c r="M5723">
        <v>1307</v>
      </c>
      <c r="N5723" s="182">
        <v>243</v>
      </c>
      <c r="O5723">
        <v>3736</v>
      </c>
      <c r="P5723" s="132" t="s">
        <v>77</v>
      </c>
      <c r="Q5723" s="176">
        <v>22</v>
      </c>
      <c r="R5723" s="176"/>
      <c r="S5723" s="176"/>
      <c r="T5723" s="190"/>
      <c r="U5723" s="191"/>
      <c r="V5723" s="191">
        <v>22</v>
      </c>
      <c r="W5723">
        <v>145</v>
      </c>
      <c r="X5723" s="186" t="s">
        <v>1644</v>
      </c>
      <c r="Y5723" s="187" t="s">
        <v>55</v>
      </c>
      <c r="Z5723" s="311">
        <v>268</v>
      </c>
      <c r="AB5723" t="str">
        <f>IF(Table1[[#This Row],[TIPO2]]="costo", VLOOKUP(Table1[[#This Row],[PARTIDA PRESUPUESTAL]],'Cost Report'!G:G,1,0),"Balance")</f>
        <v>2385-003</v>
      </c>
      <c r="AD5723" s="159">
        <f>+Table1[[#This Row],[SUBTOTAL]]+Table1[[#This Row],[IVA]]-Table1[[#This Row],[RET IVA]]-Table1[[#This Row],[RET ISR]]-Table1[[#This Row],[TOTAL]]</f>
        <v>0</v>
      </c>
      <c r="AG5723" t="s">
        <v>3420</v>
      </c>
      <c r="AK5723" s="306" t="str">
        <f>IF(ISNUMBER(Table1[[#This Row],[FECHA DE RECIBIDO]]), Table1[[#This Row],[FECHA DE RECIBIDO]]-DATE(2023,8,30), "")</f>
        <v/>
      </c>
    </row>
    <row r="5724" spans="1:37" ht="16.05" customHeight="1">
      <c r="A5724" s="172" t="s">
        <v>5095</v>
      </c>
      <c r="B5724" s="178">
        <v>2070</v>
      </c>
      <c r="C5724" s="179" t="s">
        <v>2455</v>
      </c>
      <c r="D5724">
        <v>3909</v>
      </c>
      <c r="E5724" s="125" t="s">
        <v>1999</v>
      </c>
      <c r="F5724" s="178">
        <v>623</v>
      </c>
      <c r="G5724" s="178" t="s">
        <v>5096</v>
      </c>
      <c r="H5724">
        <v>31</v>
      </c>
      <c r="I5724" s="178" t="s">
        <v>1546</v>
      </c>
      <c r="J5724" s="320" t="s">
        <v>214</v>
      </c>
      <c r="K5724" s="178" t="s">
        <v>4872</v>
      </c>
      <c r="L5724" s="125" t="s">
        <v>1579</v>
      </c>
      <c r="M5724">
        <v>69</v>
      </c>
      <c r="N5724" s="182">
        <v>243</v>
      </c>
      <c r="O5724">
        <v>3737</v>
      </c>
      <c r="P5724" s="132" t="s">
        <v>77</v>
      </c>
      <c r="Q5724" s="176">
        <v>51.72</v>
      </c>
      <c r="R5724" s="176">
        <v>8.2799999999999994</v>
      </c>
      <c r="S5724" s="176"/>
      <c r="T5724" s="190"/>
      <c r="U5724" s="191"/>
      <c r="V5724" s="191">
        <v>60</v>
      </c>
      <c r="W5724">
        <v>104</v>
      </c>
      <c r="X5724" s="186" t="s">
        <v>1644</v>
      </c>
      <c r="Y5724" s="187" t="s">
        <v>55</v>
      </c>
      <c r="Z5724" s="311">
        <v>266</v>
      </c>
      <c r="AB5724" t="str">
        <f>IF(Table1[[#This Row],[TIPO2]]="costo", VLOOKUP(Table1[[#This Row],[PARTIDA PRESUPUESTAL]],'Cost Report'!G:G,1,0),"Balance")</f>
        <v>2285-003</v>
      </c>
      <c r="AD5724" s="159">
        <f>+Table1[[#This Row],[SUBTOTAL]]+Table1[[#This Row],[IVA]]-Table1[[#This Row],[RET IVA]]-Table1[[#This Row],[RET ISR]]-Table1[[#This Row],[TOTAL]]</f>
        <v>0</v>
      </c>
      <c r="AG5724" t="s">
        <v>3420</v>
      </c>
      <c r="AK5724" s="306" t="str">
        <f>IF(ISNUMBER(Table1[[#This Row],[FECHA DE RECIBIDO]]), Table1[[#This Row],[FECHA DE RECIBIDO]]-DATE(2023,8,30), "")</f>
        <v/>
      </c>
    </row>
    <row r="5725" spans="1:37" ht="16.05" customHeight="1">
      <c r="A5725" s="172" t="s">
        <v>5095</v>
      </c>
      <c r="B5725" s="178">
        <v>2070</v>
      </c>
      <c r="C5725" s="179" t="s">
        <v>610</v>
      </c>
      <c r="D5725">
        <v>3910</v>
      </c>
      <c r="E5725" s="125" t="s">
        <v>1992</v>
      </c>
      <c r="F5725" s="178">
        <v>612</v>
      </c>
      <c r="G5725" s="178" t="s">
        <v>129</v>
      </c>
      <c r="H5725">
        <v>171</v>
      </c>
      <c r="I5725" s="178" t="s">
        <v>1546</v>
      </c>
      <c r="J5725" s="320" t="s">
        <v>214</v>
      </c>
      <c r="K5725" s="178" t="s">
        <v>4872</v>
      </c>
      <c r="L5725" s="125" t="s">
        <v>1579</v>
      </c>
      <c r="M5725">
        <v>228</v>
      </c>
      <c r="N5725" s="182">
        <v>243</v>
      </c>
      <c r="O5725">
        <v>3738</v>
      </c>
      <c r="P5725" s="132" t="s">
        <v>77</v>
      </c>
      <c r="Q5725" s="176">
        <v>4500</v>
      </c>
      <c r="R5725" s="176">
        <v>720</v>
      </c>
      <c r="S5725" s="176"/>
      <c r="T5725" s="190"/>
      <c r="U5725" s="191"/>
      <c r="V5725" s="191">
        <v>5220</v>
      </c>
      <c r="W5725">
        <v>104</v>
      </c>
      <c r="X5725" s="186" t="s">
        <v>1644</v>
      </c>
      <c r="Y5725" s="187" t="s">
        <v>55</v>
      </c>
      <c r="Z5725" s="311">
        <v>258</v>
      </c>
      <c r="AB5725" t="str">
        <f>IF(Table1[[#This Row],[TIPO2]]="costo", VLOOKUP(Table1[[#This Row],[PARTIDA PRESUPUESTAL]],'Cost Report'!G:G,1,0),"Balance")</f>
        <v>2485-003</v>
      </c>
      <c r="AD5725" s="159">
        <f>+Table1[[#This Row],[SUBTOTAL]]+Table1[[#This Row],[IVA]]-Table1[[#This Row],[RET IVA]]-Table1[[#This Row],[RET ISR]]-Table1[[#This Row],[TOTAL]]</f>
        <v>0</v>
      </c>
      <c r="AG5725" t="s">
        <v>3420</v>
      </c>
      <c r="AK5725" s="306" t="str">
        <f>IF(ISNUMBER(Table1[[#This Row],[FECHA DE RECIBIDO]]), Table1[[#This Row],[FECHA DE RECIBIDO]]-DATE(2023,8,30), "")</f>
        <v/>
      </c>
    </row>
    <row r="5726" spans="1:37" ht="16.05" customHeight="1">
      <c r="A5726" s="172" t="s">
        <v>5095</v>
      </c>
      <c r="B5726" s="178">
        <v>2070</v>
      </c>
      <c r="C5726" s="179" t="s">
        <v>2534</v>
      </c>
      <c r="D5726">
        <v>3911</v>
      </c>
      <c r="E5726" s="125" t="s">
        <v>3275</v>
      </c>
      <c r="F5726" s="178">
        <v>601</v>
      </c>
      <c r="G5726" s="178" t="s">
        <v>134</v>
      </c>
      <c r="H5726">
        <v>57</v>
      </c>
      <c r="I5726" s="178" t="s">
        <v>1546</v>
      </c>
      <c r="J5726" s="320" t="s">
        <v>214</v>
      </c>
      <c r="K5726" s="178" t="s">
        <v>4872</v>
      </c>
      <c r="L5726" s="125" t="s">
        <v>1579</v>
      </c>
      <c r="M5726">
        <v>79</v>
      </c>
      <c r="N5726" s="182">
        <v>243</v>
      </c>
      <c r="O5726">
        <v>3739</v>
      </c>
      <c r="P5726" s="132" t="s">
        <v>77</v>
      </c>
      <c r="Q5726" s="176">
        <v>3361.21</v>
      </c>
      <c r="R5726" s="176">
        <v>537.79</v>
      </c>
      <c r="S5726" s="176"/>
      <c r="T5726" s="190"/>
      <c r="U5726" s="191"/>
      <c r="V5726" s="191">
        <v>3899</v>
      </c>
      <c r="W5726">
        <v>104</v>
      </c>
      <c r="X5726" s="186" t="s">
        <v>1644</v>
      </c>
      <c r="Y5726" s="187" t="s">
        <v>55</v>
      </c>
      <c r="Z5726" s="311">
        <v>234</v>
      </c>
      <c r="AB5726" t="str">
        <f>IF(Table1[[#This Row],[TIPO2]]="costo", VLOOKUP(Table1[[#This Row],[PARTIDA PRESUPUESTAL]],'Cost Report'!G:G,1,0),"Balance")</f>
        <v>2494-047</v>
      </c>
      <c r="AD5726" s="159">
        <f>+Table1[[#This Row],[SUBTOTAL]]+Table1[[#This Row],[IVA]]-Table1[[#This Row],[RET IVA]]-Table1[[#This Row],[RET ISR]]-Table1[[#This Row],[TOTAL]]</f>
        <v>0</v>
      </c>
      <c r="AG5726" t="s">
        <v>3420</v>
      </c>
      <c r="AK5726" s="306" t="str">
        <f>IF(ISNUMBER(Table1[[#This Row],[FECHA DE RECIBIDO]]), Table1[[#This Row],[FECHA DE RECIBIDO]]-DATE(2023,8,30), "")</f>
        <v/>
      </c>
    </row>
    <row r="5727" spans="1:37" ht="16.05" customHeight="1">
      <c r="A5727" s="172" t="s">
        <v>5095</v>
      </c>
      <c r="B5727" s="178">
        <v>2070</v>
      </c>
      <c r="C5727" s="179" t="s">
        <v>2534</v>
      </c>
      <c r="D5727">
        <v>3912</v>
      </c>
      <c r="E5727" s="125" t="s">
        <v>3275</v>
      </c>
      <c r="F5727" s="178">
        <v>601</v>
      </c>
      <c r="G5727" s="178" t="s">
        <v>134</v>
      </c>
      <c r="H5727">
        <v>57</v>
      </c>
      <c r="I5727" s="178" t="s">
        <v>1546</v>
      </c>
      <c r="J5727" s="320" t="s">
        <v>214</v>
      </c>
      <c r="K5727" s="178" t="s">
        <v>4872</v>
      </c>
      <c r="L5727" s="125" t="s">
        <v>1579</v>
      </c>
      <c r="M5727">
        <v>79</v>
      </c>
      <c r="N5727" s="182">
        <v>243</v>
      </c>
      <c r="O5727">
        <v>3740</v>
      </c>
      <c r="P5727" s="132" t="s">
        <v>77</v>
      </c>
      <c r="Q5727" s="176">
        <v>827.07</v>
      </c>
      <c r="R5727" s="176">
        <v>132.33000000000001</v>
      </c>
      <c r="S5727" s="176"/>
      <c r="T5727" s="190"/>
      <c r="U5727" s="191"/>
      <c r="V5727" s="191">
        <v>959.40000000000009</v>
      </c>
      <c r="W5727">
        <v>104</v>
      </c>
      <c r="X5727" s="186" t="s">
        <v>1644</v>
      </c>
      <c r="Y5727" s="187" t="s">
        <v>55</v>
      </c>
      <c r="Z5727" s="311">
        <v>234</v>
      </c>
      <c r="AB5727" t="str">
        <f>IF(Table1[[#This Row],[TIPO2]]="costo", VLOOKUP(Table1[[#This Row],[PARTIDA PRESUPUESTAL]],'Cost Report'!G:G,1,0),"Balance")</f>
        <v>2494-047</v>
      </c>
      <c r="AD5727" s="159">
        <f>+Table1[[#This Row],[SUBTOTAL]]+Table1[[#This Row],[IVA]]-Table1[[#This Row],[RET IVA]]-Table1[[#This Row],[RET ISR]]-Table1[[#This Row],[TOTAL]]</f>
        <v>0</v>
      </c>
      <c r="AG5727" t="s">
        <v>3420</v>
      </c>
      <c r="AK5727" s="306" t="str">
        <f>IF(ISNUMBER(Table1[[#This Row],[FECHA DE RECIBIDO]]), Table1[[#This Row],[FECHA DE RECIBIDO]]-DATE(2023,8,30), "")</f>
        <v/>
      </c>
    </row>
    <row r="5728" spans="1:37" ht="16.05" customHeight="1">
      <c r="A5728" s="172" t="s">
        <v>5095</v>
      </c>
      <c r="B5728" s="178">
        <v>2070</v>
      </c>
      <c r="C5728" s="179" t="s">
        <v>1505</v>
      </c>
      <c r="D5728">
        <v>3913</v>
      </c>
      <c r="E5728" s="125" t="s">
        <v>3133</v>
      </c>
      <c r="F5728" s="178">
        <v>621</v>
      </c>
      <c r="G5728" s="178" t="s">
        <v>1617</v>
      </c>
      <c r="H5728">
        <v>945</v>
      </c>
      <c r="I5728" s="178" t="s">
        <v>1546</v>
      </c>
      <c r="J5728" s="320" t="s">
        <v>214</v>
      </c>
      <c r="K5728" s="178" t="s">
        <v>4872</v>
      </c>
      <c r="L5728" s="125" t="s">
        <v>1579</v>
      </c>
      <c r="M5728">
        <v>1308</v>
      </c>
      <c r="N5728" s="182">
        <v>243</v>
      </c>
      <c r="O5728">
        <v>3741</v>
      </c>
      <c r="P5728" s="132" t="s">
        <v>77</v>
      </c>
      <c r="Q5728" s="176">
        <v>1500</v>
      </c>
      <c r="R5728" s="176">
        <v>240</v>
      </c>
      <c r="S5728" s="176"/>
      <c r="T5728" s="190"/>
      <c r="U5728" s="191"/>
      <c r="V5728" s="191">
        <v>1740</v>
      </c>
      <c r="W5728">
        <v>104</v>
      </c>
      <c r="X5728" s="186" t="s">
        <v>1644</v>
      </c>
      <c r="Y5728" s="187" t="s">
        <v>55</v>
      </c>
      <c r="Z5728" s="311">
        <v>238</v>
      </c>
      <c r="AB5728" t="str">
        <f>IF(Table1[[#This Row],[TIPO2]]="costo", VLOOKUP(Table1[[#This Row],[PARTIDA PRESUPUESTAL]],'Cost Report'!G:G,1,0),"Balance")</f>
        <v>2494-003</v>
      </c>
      <c r="AD5728" s="159">
        <f>+Table1[[#This Row],[SUBTOTAL]]+Table1[[#This Row],[IVA]]-Table1[[#This Row],[RET IVA]]-Table1[[#This Row],[RET ISR]]-Table1[[#This Row],[TOTAL]]</f>
        <v>0</v>
      </c>
      <c r="AG5728" t="s">
        <v>3420</v>
      </c>
      <c r="AK5728" s="306" t="str">
        <f>IF(ISNUMBER(Table1[[#This Row],[FECHA DE RECIBIDO]]), Table1[[#This Row],[FECHA DE RECIBIDO]]-DATE(2023,8,30), "")</f>
        <v/>
      </c>
    </row>
    <row r="5729" spans="1:37" ht="16.05" customHeight="1">
      <c r="A5729" s="172" t="s">
        <v>5095</v>
      </c>
      <c r="B5729" s="178">
        <v>2070</v>
      </c>
      <c r="C5729" s="179" t="s">
        <v>610</v>
      </c>
      <c r="D5729">
        <v>3914</v>
      </c>
      <c r="E5729" s="125" t="s">
        <v>3232</v>
      </c>
      <c r="F5729" s="178">
        <v>612</v>
      </c>
      <c r="G5729" s="178" t="s">
        <v>129</v>
      </c>
      <c r="H5729">
        <v>211</v>
      </c>
      <c r="I5729" s="178" t="s">
        <v>1546</v>
      </c>
      <c r="J5729" s="320" t="s">
        <v>214</v>
      </c>
      <c r="K5729" s="178" t="s">
        <v>4872</v>
      </c>
      <c r="L5729" s="125" t="s">
        <v>1579</v>
      </c>
      <c r="M5729">
        <v>275</v>
      </c>
      <c r="N5729" s="182">
        <v>243</v>
      </c>
      <c r="O5729">
        <v>3742</v>
      </c>
      <c r="P5729" s="132" t="s">
        <v>77</v>
      </c>
      <c r="Q5729" s="176">
        <v>1081.03</v>
      </c>
      <c r="R5729" s="176">
        <v>172.97</v>
      </c>
      <c r="S5729" s="176"/>
      <c r="T5729" s="190"/>
      <c r="U5729" s="191"/>
      <c r="V5729" s="191">
        <v>1254</v>
      </c>
      <c r="W5729">
        <v>104</v>
      </c>
      <c r="X5729" s="186" t="s">
        <v>1644</v>
      </c>
      <c r="Y5729" s="187" t="s">
        <v>55</v>
      </c>
      <c r="Z5729" s="311">
        <v>264</v>
      </c>
      <c r="AB5729" t="str">
        <f>IF(Table1[[#This Row],[TIPO2]]="costo", VLOOKUP(Table1[[#This Row],[PARTIDA PRESUPUESTAL]],'Cost Report'!G:G,1,0),"Balance")</f>
        <v>2485-003</v>
      </c>
      <c r="AD5729" s="159">
        <f>+Table1[[#This Row],[SUBTOTAL]]+Table1[[#This Row],[IVA]]-Table1[[#This Row],[RET IVA]]-Table1[[#This Row],[RET ISR]]-Table1[[#This Row],[TOTAL]]</f>
        <v>0</v>
      </c>
      <c r="AG5729" t="s">
        <v>3420</v>
      </c>
      <c r="AK5729" s="306" t="str">
        <f>IF(ISNUMBER(Table1[[#This Row],[FECHA DE RECIBIDO]]), Table1[[#This Row],[FECHA DE RECIBIDO]]-DATE(2023,8,30), "")</f>
        <v/>
      </c>
    </row>
    <row r="5730" spans="1:37" ht="16.05" customHeight="1">
      <c r="A5730" s="172" t="s">
        <v>5095</v>
      </c>
      <c r="B5730" s="178">
        <v>2070</v>
      </c>
      <c r="C5730" s="179" t="s">
        <v>610</v>
      </c>
      <c r="D5730">
        <v>3915</v>
      </c>
      <c r="E5730" s="125" t="s">
        <v>3232</v>
      </c>
      <c r="F5730" s="178">
        <v>612</v>
      </c>
      <c r="G5730" s="178" t="s">
        <v>129</v>
      </c>
      <c r="H5730">
        <v>211</v>
      </c>
      <c r="I5730" s="178" t="s">
        <v>1546</v>
      </c>
      <c r="J5730" s="320" t="s">
        <v>214</v>
      </c>
      <c r="K5730" s="178" t="s">
        <v>4872</v>
      </c>
      <c r="L5730" s="125" t="s">
        <v>1579</v>
      </c>
      <c r="M5730">
        <v>275</v>
      </c>
      <c r="N5730" s="182">
        <v>243</v>
      </c>
      <c r="O5730">
        <v>3743</v>
      </c>
      <c r="P5730" s="132" t="s">
        <v>77</v>
      </c>
      <c r="Q5730" s="176">
        <v>495.69</v>
      </c>
      <c r="R5730" s="176">
        <v>79.31</v>
      </c>
      <c r="S5730" s="176"/>
      <c r="T5730" s="190"/>
      <c r="U5730" s="191"/>
      <c r="V5730" s="191">
        <v>575</v>
      </c>
      <c r="W5730">
        <v>104</v>
      </c>
      <c r="X5730" s="186" t="s">
        <v>1644</v>
      </c>
      <c r="Y5730" s="187" t="s">
        <v>55</v>
      </c>
      <c r="Z5730" s="311">
        <v>264</v>
      </c>
      <c r="AB5730" t="str">
        <f>IF(Table1[[#This Row],[TIPO2]]="costo", VLOOKUP(Table1[[#This Row],[PARTIDA PRESUPUESTAL]],'Cost Report'!G:G,1,0),"Balance")</f>
        <v>2485-003</v>
      </c>
      <c r="AD5730" s="159">
        <f>+Table1[[#This Row],[SUBTOTAL]]+Table1[[#This Row],[IVA]]-Table1[[#This Row],[RET IVA]]-Table1[[#This Row],[RET ISR]]-Table1[[#This Row],[TOTAL]]</f>
        <v>0</v>
      </c>
      <c r="AG5730" t="s">
        <v>3420</v>
      </c>
      <c r="AK5730" s="306" t="str">
        <f>IF(ISNUMBER(Table1[[#This Row],[FECHA DE RECIBIDO]]), Table1[[#This Row],[FECHA DE RECIBIDO]]-DATE(2023,8,30), "")</f>
        <v/>
      </c>
    </row>
    <row r="5731" spans="1:37" ht="16.05" customHeight="1">
      <c r="A5731" s="172" t="s">
        <v>5095</v>
      </c>
      <c r="B5731" s="178">
        <v>2070</v>
      </c>
      <c r="C5731" s="179" t="s">
        <v>2455</v>
      </c>
      <c r="D5731">
        <v>3916</v>
      </c>
      <c r="E5731" s="125" t="s">
        <v>3115</v>
      </c>
      <c r="F5731" s="178">
        <v>623</v>
      </c>
      <c r="G5731" s="178" t="s">
        <v>5096</v>
      </c>
      <c r="H5731">
        <v>31</v>
      </c>
      <c r="I5731" s="178" t="s">
        <v>1546</v>
      </c>
      <c r="J5731" s="320" t="s">
        <v>214</v>
      </c>
      <c r="K5731" s="178" t="s">
        <v>4872</v>
      </c>
      <c r="L5731" s="125" t="s">
        <v>1579</v>
      </c>
      <c r="M5731">
        <v>69</v>
      </c>
      <c r="N5731" s="182">
        <v>243</v>
      </c>
      <c r="O5731">
        <v>3744</v>
      </c>
      <c r="P5731" s="132" t="s">
        <v>77</v>
      </c>
      <c r="Q5731" s="176">
        <v>115.64</v>
      </c>
      <c r="R5731" s="176">
        <v>9.8699999999999992</v>
      </c>
      <c r="S5731" s="176"/>
      <c r="T5731" s="190"/>
      <c r="U5731" s="191"/>
      <c r="V5731" s="191">
        <v>125.51</v>
      </c>
      <c r="W5731">
        <v>104</v>
      </c>
      <c r="X5731" s="186" t="s">
        <v>1644</v>
      </c>
      <c r="Y5731" s="187" t="s">
        <v>55</v>
      </c>
      <c r="Z5731" s="311">
        <v>268</v>
      </c>
      <c r="AB5731" t="str">
        <f>IF(Table1[[#This Row],[TIPO2]]="costo", VLOOKUP(Table1[[#This Row],[PARTIDA PRESUPUESTAL]],'Cost Report'!G:G,1,0),"Balance")</f>
        <v>2285-003</v>
      </c>
      <c r="AD5731" s="159">
        <f>+Table1[[#This Row],[SUBTOTAL]]+Table1[[#This Row],[IVA]]-Table1[[#This Row],[RET IVA]]-Table1[[#This Row],[RET ISR]]-Table1[[#This Row],[TOTAL]]</f>
        <v>0</v>
      </c>
      <c r="AG5731" t="s">
        <v>3420</v>
      </c>
      <c r="AK5731" s="306" t="str">
        <f>IF(ISNUMBER(Table1[[#This Row],[FECHA DE RECIBIDO]]), Table1[[#This Row],[FECHA DE RECIBIDO]]-DATE(2023,8,30), "")</f>
        <v/>
      </c>
    </row>
    <row r="5732" spans="1:37" ht="16.05" customHeight="1">
      <c r="A5732" s="172" t="s">
        <v>5095</v>
      </c>
      <c r="B5732" s="178">
        <v>2070</v>
      </c>
      <c r="C5732" s="179" t="s">
        <v>610</v>
      </c>
      <c r="D5732">
        <v>3917</v>
      </c>
      <c r="E5732" s="125" t="s">
        <v>1603</v>
      </c>
      <c r="F5732" s="178">
        <v>601</v>
      </c>
      <c r="G5732" s="178" t="s">
        <v>134</v>
      </c>
      <c r="H5732">
        <v>273</v>
      </c>
      <c r="I5732" s="178" t="s">
        <v>1546</v>
      </c>
      <c r="J5732" s="320" t="s">
        <v>214</v>
      </c>
      <c r="K5732" s="178" t="s">
        <v>4872</v>
      </c>
      <c r="L5732" s="125" t="s">
        <v>1579</v>
      </c>
      <c r="M5732">
        <v>364</v>
      </c>
      <c r="N5732" s="182">
        <v>243</v>
      </c>
      <c r="O5732">
        <v>3745</v>
      </c>
      <c r="P5732" s="132" t="s">
        <v>77</v>
      </c>
      <c r="Q5732" s="176">
        <v>219.57</v>
      </c>
      <c r="R5732" s="176">
        <v>35.130000000000003</v>
      </c>
      <c r="S5732" s="176"/>
      <c r="T5732" s="190"/>
      <c r="U5732" s="191"/>
      <c r="V5732" s="191">
        <v>254.7</v>
      </c>
      <c r="W5732">
        <v>104</v>
      </c>
      <c r="X5732" s="186" t="s">
        <v>1644</v>
      </c>
      <c r="Y5732" s="187" t="s">
        <v>55</v>
      </c>
      <c r="Z5732" s="311">
        <v>268</v>
      </c>
      <c r="AB5732" t="str">
        <f>IF(Table1[[#This Row],[TIPO2]]="costo", VLOOKUP(Table1[[#This Row],[PARTIDA PRESUPUESTAL]],'Cost Report'!G:G,1,0),"Balance")</f>
        <v>2485-003</v>
      </c>
      <c r="AD5732" s="159">
        <f>+Table1[[#This Row],[SUBTOTAL]]+Table1[[#This Row],[IVA]]-Table1[[#This Row],[RET IVA]]-Table1[[#This Row],[RET ISR]]-Table1[[#This Row],[TOTAL]]</f>
        <v>0</v>
      </c>
      <c r="AG5732" t="s">
        <v>3420</v>
      </c>
      <c r="AK5732" s="306" t="str">
        <f>IF(ISNUMBER(Table1[[#This Row],[FECHA DE RECIBIDO]]), Table1[[#This Row],[FECHA DE RECIBIDO]]-DATE(2023,8,30), "")</f>
        <v/>
      </c>
    </row>
    <row r="5733" spans="1:37" ht="16.05" customHeight="1">
      <c r="A5733" s="172" t="s">
        <v>5095</v>
      </c>
      <c r="B5733" s="178">
        <v>2070</v>
      </c>
      <c r="C5733" s="179" t="s">
        <v>2461</v>
      </c>
      <c r="D5733">
        <v>3918</v>
      </c>
      <c r="E5733" s="125" t="s">
        <v>3232</v>
      </c>
      <c r="F5733" s="178">
        <v>612</v>
      </c>
      <c r="G5733" s="178" t="s">
        <v>129</v>
      </c>
      <c r="H5733">
        <v>211</v>
      </c>
      <c r="I5733" s="178" t="s">
        <v>1546</v>
      </c>
      <c r="J5733" s="320" t="s">
        <v>214</v>
      </c>
      <c r="K5733" s="178" t="s">
        <v>4872</v>
      </c>
      <c r="L5733" s="125" t="s">
        <v>1579</v>
      </c>
      <c r="M5733">
        <v>275</v>
      </c>
      <c r="N5733" s="182">
        <v>243</v>
      </c>
      <c r="O5733">
        <v>3746</v>
      </c>
      <c r="P5733" s="132" t="s">
        <v>77</v>
      </c>
      <c r="Q5733" s="176">
        <v>836.21</v>
      </c>
      <c r="R5733" s="176">
        <v>133.79</v>
      </c>
      <c r="S5733" s="176"/>
      <c r="T5733" s="190"/>
      <c r="U5733" s="191"/>
      <c r="V5733" s="191">
        <v>970</v>
      </c>
      <c r="W5733">
        <v>104</v>
      </c>
      <c r="X5733" s="186" t="s">
        <v>1644</v>
      </c>
      <c r="Y5733" s="187" t="s">
        <v>55</v>
      </c>
      <c r="Z5733" s="311">
        <v>265</v>
      </c>
      <c r="AB5733" t="str">
        <f>IF(Table1[[#This Row],[TIPO2]]="costo", VLOOKUP(Table1[[#This Row],[PARTIDA PRESUPUESTAL]],'Cost Report'!G:G,1,0),"Balance")</f>
        <v>2385-003</v>
      </c>
      <c r="AD5733" s="159">
        <f>+Table1[[#This Row],[SUBTOTAL]]+Table1[[#This Row],[IVA]]-Table1[[#This Row],[RET IVA]]-Table1[[#This Row],[RET ISR]]-Table1[[#This Row],[TOTAL]]</f>
        <v>0</v>
      </c>
      <c r="AG5733" t="s">
        <v>3420</v>
      </c>
      <c r="AK5733" s="306" t="str">
        <f>IF(ISNUMBER(Table1[[#This Row],[FECHA DE RECIBIDO]]), Table1[[#This Row],[FECHA DE RECIBIDO]]-DATE(2023,8,30), "")</f>
        <v/>
      </c>
    </row>
    <row r="5734" spans="1:37" ht="16.05" customHeight="1">
      <c r="A5734" s="172" t="s">
        <v>5095</v>
      </c>
      <c r="B5734" s="178">
        <v>2070</v>
      </c>
      <c r="C5734" s="179" t="s">
        <v>2461</v>
      </c>
      <c r="D5734">
        <v>3919</v>
      </c>
      <c r="E5734" s="125" t="s">
        <v>3232</v>
      </c>
      <c r="F5734" s="178">
        <v>612</v>
      </c>
      <c r="G5734" s="178" t="s">
        <v>129</v>
      </c>
      <c r="H5734">
        <v>211</v>
      </c>
      <c r="I5734" s="178" t="s">
        <v>1546</v>
      </c>
      <c r="J5734" s="320" t="s">
        <v>214</v>
      </c>
      <c r="K5734" s="178" t="s">
        <v>4872</v>
      </c>
      <c r="L5734" s="125" t="s">
        <v>1579</v>
      </c>
      <c r="M5734">
        <v>275</v>
      </c>
      <c r="N5734" s="182">
        <v>243</v>
      </c>
      <c r="O5734">
        <v>3747</v>
      </c>
      <c r="P5734" s="132" t="s">
        <v>77</v>
      </c>
      <c r="Q5734" s="176">
        <v>544.83000000000004</v>
      </c>
      <c r="R5734" s="176">
        <v>87.17</v>
      </c>
      <c r="S5734" s="176"/>
      <c r="T5734" s="190"/>
      <c r="U5734" s="191"/>
      <c r="V5734" s="191">
        <v>632</v>
      </c>
      <c r="W5734">
        <v>104</v>
      </c>
      <c r="X5734" s="186" t="s">
        <v>1644</v>
      </c>
      <c r="Y5734" s="187" t="s">
        <v>55</v>
      </c>
      <c r="Z5734" s="311">
        <v>265</v>
      </c>
      <c r="AB5734" t="str">
        <f>IF(Table1[[#This Row],[TIPO2]]="costo", VLOOKUP(Table1[[#This Row],[PARTIDA PRESUPUESTAL]],'Cost Report'!G:G,1,0),"Balance")</f>
        <v>2385-003</v>
      </c>
      <c r="AD5734" s="159">
        <f>+Table1[[#This Row],[SUBTOTAL]]+Table1[[#This Row],[IVA]]-Table1[[#This Row],[RET IVA]]-Table1[[#This Row],[RET ISR]]-Table1[[#This Row],[TOTAL]]</f>
        <v>0</v>
      </c>
      <c r="AG5734" t="s">
        <v>3420</v>
      </c>
      <c r="AK5734" s="306" t="str">
        <f>IF(ISNUMBER(Table1[[#This Row],[FECHA DE RECIBIDO]]), Table1[[#This Row],[FECHA DE RECIBIDO]]-DATE(2023,8,30), "")</f>
        <v/>
      </c>
    </row>
    <row r="5735" spans="1:37" ht="16.05" customHeight="1">
      <c r="A5735" s="172" t="s">
        <v>5095</v>
      </c>
      <c r="B5735" s="178">
        <v>2070</v>
      </c>
      <c r="C5735" s="179" t="s">
        <v>2461</v>
      </c>
      <c r="D5735">
        <v>3920</v>
      </c>
      <c r="E5735" s="125" t="s">
        <v>1997</v>
      </c>
      <c r="F5735" s="178">
        <v>612</v>
      </c>
      <c r="G5735" s="178" t="s">
        <v>129</v>
      </c>
      <c r="H5735">
        <v>718</v>
      </c>
      <c r="I5735" s="178" t="s">
        <v>1546</v>
      </c>
      <c r="J5735" s="320" t="s">
        <v>214</v>
      </c>
      <c r="K5735" s="178" t="s">
        <v>4872</v>
      </c>
      <c r="L5735" s="125" t="s">
        <v>1579</v>
      </c>
      <c r="M5735">
        <v>1000</v>
      </c>
      <c r="N5735" s="182">
        <v>243</v>
      </c>
      <c r="O5735">
        <v>3748</v>
      </c>
      <c r="P5735" s="132" t="s">
        <v>77</v>
      </c>
      <c r="Q5735" s="176">
        <v>1261.21</v>
      </c>
      <c r="R5735" s="176">
        <v>201.78</v>
      </c>
      <c r="S5735" s="176"/>
      <c r="T5735" s="190"/>
      <c r="U5735" s="191"/>
      <c r="V5735" s="191">
        <v>1462.99</v>
      </c>
      <c r="W5735">
        <v>104</v>
      </c>
      <c r="X5735" s="186" t="s">
        <v>1644</v>
      </c>
      <c r="Y5735" s="187" t="s">
        <v>55</v>
      </c>
      <c r="Z5735" s="311">
        <v>266</v>
      </c>
      <c r="AB5735" t="str">
        <f>IF(Table1[[#This Row],[TIPO2]]="costo", VLOOKUP(Table1[[#This Row],[PARTIDA PRESUPUESTAL]],'Cost Report'!G:G,1,0),"Balance")</f>
        <v>2385-003</v>
      </c>
      <c r="AD5735" s="159">
        <f>+Table1[[#This Row],[SUBTOTAL]]+Table1[[#This Row],[IVA]]-Table1[[#This Row],[RET IVA]]-Table1[[#This Row],[RET ISR]]-Table1[[#This Row],[TOTAL]]</f>
        <v>0</v>
      </c>
      <c r="AG5735" t="s">
        <v>3420</v>
      </c>
      <c r="AK5735" s="306" t="str">
        <f>IF(ISNUMBER(Table1[[#This Row],[FECHA DE RECIBIDO]]), Table1[[#This Row],[FECHA DE RECIBIDO]]-DATE(2023,8,30), "")</f>
        <v/>
      </c>
    </row>
    <row r="5736" spans="1:37" ht="16.05" customHeight="1">
      <c r="A5736" s="172" t="s">
        <v>5095</v>
      </c>
      <c r="B5736" s="178">
        <v>2070</v>
      </c>
      <c r="C5736" s="179" t="s">
        <v>610</v>
      </c>
      <c r="D5736">
        <v>3921</v>
      </c>
      <c r="E5736" s="125" t="s">
        <v>3363</v>
      </c>
      <c r="F5736" s="178">
        <v>601</v>
      </c>
      <c r="G5736" s="178" t="s">
        <v>134</v>
      </c>
      <c r="H5736">
        <v>99</v>
      </c>
      <c r="I5736" s="178" t="s">
        <v>1546</v>
      </c>
      <c r="J5736" s="320" t="s">
        <v>214</v>
      </c>
      <c r="K5736" s="178" t="s">
        <v>4872</v>
      </c>
      <c r="L5736" s="125" t="s">
        <v>1579</v>
      </c>
      <c r="M5736">
        <v>134</v>
      </c>
      <c r="N5736" s="182">
        <v>243</v>
      </c>
      <c r="O5736">
        <v>3749</v>
      </c>
      <c r="P5736" s="132" t="s">
        <v>77</v>
      </c>
      <c r="Q5736" s="176">
        <v>50.51</v>
      </c>
      <c r="R5736" s="176">
        <v>8.08</v>
      </c>
      <c r="S5736" s="176"/>
      <c r="T5736" s="190"/>
      <c r="U5736" s="191"/>
      <c r="V5736" s="191">
        <v>58.589999999999996</v>
      </c>
      <c r="W5736">
        <v>104</v>
      </c>
      <c r="X5736" s="186" t="s">
        <v>1644</v>
      </c>
      <c r="Y5736" s="187" t="s">
        <v>55</v>
      </c>
      <c r="Z5736" s="311">
        <v>266</v>
      </c>
      <c r="AB5736" t="str">
        <f>IF(Table1[[#This Row],[TIPO2]]="costo", VLOOKUP(Table1[[#This Row],[PARTIDA PRESUPUESTAL]],'Cost Report'!G:G,1,0),"Balance")</f>
        <v>2485-003</v>
      </c>
      <c r="AD5736" s="159">
        <f>+Table1[[#This Row],[SUBTOTAL]]+Table1[[#This Row],[IVA]]-Table1[[#This Row],[RET IVA]]-Table1[[#This Row],[RET ISR]]-Table1[[#This Row],[TOTAL]]</f>
        <v>0</v>
      </c>
      <c r="AG5736" t="s">
        <v>3420</v>
      </c>
      <c r="AK5736" s="306" t="str">
        <f>IF(ISNUMBER(Table1[[#This Row],[FECHA DE RECIBIDO]]), Table1[[#This Row],[FECHA DE RECIBIDO]]-DATE(2023,8,30), "")</f>
        <v/>
      </c>
    </row>
    <row r="5737" spans="1:37" ht="16.05" customHeight="1">
      <c r="A5737" s="172" t="s">
        <v>5095</v>
      </c>
      <c r="B5737" s="178">
        <v>2070</v>
      </c>
      <c r="C5737" s="179" t="s">
        <v>610</v>
      </c>
      <c r="D5737">
        <v>3922</v>
      </c>
      <c r="E5737" s="125" t="s">
        <v>3278</v>
      </c>
      <c r="F5737" s="178">
        <v>601</v>
      </c>
      <c r="G5737" s="178" t="s">
        <v>134</v>
      </c>
      <c r="H5737">
        <v>56</v>
      </c>
      <c r="I5737" s="178" t="s">
        <v>1546</v>
      </c>
      <c r="J5737" s="320" t="s">
        <v>214</v>
      </c>
      <c r="K5737" s="178" t="s">
        <v>4872</v>
      </c>
      <c r="L5737" s="125" t="s">
        <v>1579</v>
      </c>
      <c r="M5737">
        <v>78</v>
      </c>
      <c r="N5737" s="182">
        <v>243</v>
      </c>
      <c r="O5737">
        <v>3750</v>
      </c>
      <c r="P5737" s="132" t="s">
        <v>77</v>
      </c>
      <c r="Q5737" s="176">
        <v>20.260000000000002</v>
      </c>
      <c r="R5737" s="176">
        <v>3.24</v>
      </c>
      <c r="S5737" s="176"/>
      <c r="T5737" s="190"/>
      <c r="U5737" s="191"/>
      <c r="V5737" s="191">
        <v>23.5</v>
      </c>
      <c r="W5737">
        <v>104</v>
      </c>
      <c r="X5737" s="186" t="s">
        <v>1644</v>
      </c>
      <c r="Y5737" s="187" t="s">
        <v>55</v>
      </c>
      <c r="Z5737" s="311">
        <v>266</v>
      </c>
      <c r="AB5737" t="str">
        <f>IF(Table1[[#This Row],[TIPO2]]="costo", VLOOKUP(Table1[[#This Row],[PARTIDA PRESUPUESTAL]],'Cost Report'!G:G,1,0),"Balance")</f>
        <v>2485-003</v>
      </c>
      <c r="AD5737" s="159">
        <f>+Table1[[#This Row],[SUBTOTAL]]+Table1[[#This Row],[IVA]]-Table1[[#This Row],[RET IVA]]-Table1[[#This Row],[RET ISR]]-Table1[[#This Row],[TOTAL]]</f>
        <v>0</v>
      </c>
      <c r="AG5737" t="s">
        <v>3420</v>
      </c>
      <c r="AK5737" s="306" t="str">
        <f>IF(ISNUMBER(Table1[[#This Row],[FECHA DE RECIBIDO]]), Table1[[#This Row],[FECHA DE RECIBIDO]]-DATE(2023,8,30), "")</f>
        <v/>
      </c>
    </row>
    <row r="5738" spans="1:37" ht="16.05" customHeight="1">
      <c r="A5738" s="172" t="s">
        <v>5095</v>
      </c>
      <c r="B5738" s="178">
        <v>2070</v>
      </c>
      <c r="C5738" s="179" t="s">
        <v>2556</v>
      </c>
      <c r="D5738">
        <v>3923</v>
      </c>
      <c r="E5738" s="125" t="s">
        <v>3636</v>
      </c>
      <c r="F5738" s="178">
        <v>601</v>
      </c>
      <c r="G5738" s="178" t="s">
        <v>134</v>
      </c>
      <c r="H5738">
        <v>326</v>
      </c>
      <c r="I5738" s="178" t="s">
        <v>1546</v>
      </c>
      <c r="J5738" s="320" t="s">
        <v>214</v>
      </c>
      <c r="K5738" s="178" t="s">
        <v>4872</v>
      </c>
      <c r="L5738" s="125" t="s">
        <v>1579</v>
      </c>
      <c r="M5738">
        <v>435</v>
      </c>
      <c r="N5738" s="182">
        <v>243</v>
      </c>
      <c r="O5738">
        <v>3751</v>
      </c>
      <c r="P5738" s="132" t="s">
        <v>77</v>
      </c>
      <c r="Q5738" s="176">
        <v>1353.45</v>
      </c>
      <c r="R5738" s="176">
        <v>216.55</v>
      </c>
      <c r="S5738" s="176"/>
      <c r="T5738" s="190"/>
      <c r="U5738" s="191"/>
      <c r="V5738" s="191">
        <v>1570</v>
      </c>
      <c r="W5738">
        <v>104</v>
      </c>
      <c r="X5738" s="186" t="s">
        <v>1644</v>
      </c>
      <c r="Y5738" s="187" t="s">
        <v>55</v>
      </c>
      <c r="Z5738" s="311">
        <v>266</v>
      </c>
      <c r="AB5738" t="str">
        <f>IF(Table1[[#This Row],[TIPO2]]="costo", VLOOKUP(Table1[[#This Row],[PARTIDA PRESUPUESTAL]],'Cost Report'!G:G,1,0),"Balance")</f>
        <v>2498-003</v>
      </c>
      <c r="AD5738" s="159">
        <f>+Table1[[#This Row],[SUBTOTAL]]+Table1[[#This Row],[IVA]]-Table1[[#This Row],[RET IVA]]-Table1[[#This Row],[RET ISR]]-Table1[[#This Row],[TOTAL]]</f>
        <v>0</v>
      </c>
      <c r="AG5738" t="s">
        <v>3420</v>
      </c>
      <c r="AK5738" s="306" t="str">
        <f>IF(ISNUMBER(Table1[[#This Row],[FECHA DE RECIBIDO]]), Table1[[#This Row],[FECHA DE RECIBIDO]]-DATE(2023,8,30), "")</f>
        <v/>
      </c>
    </row>
    <row r="5739" spans="1:37" ht="16.05" customHeight="1">
      <c r="A5739" s="172" t="s">
        <v>5095</v>
      </c>
      <c r="B5739" s="178">
        <v>2070</v>
      </c>
      <c r="C5739" s="179" t="s">
        <v>2461</v>
      </c>
      <c r="D5739">
        <v>3924</v>
      </c>
      <c r="E5739" s="125" t="s">
        <v>1603</v>
      </c>
      <c r="F5739" s="178">
        <v>601</v>
      </c>
      <c r="G5739" s="178" t="s">
        <v>134</v>
      </c>
      <c r="H5739">
        <v>99</v>
      </c>
      <c r="I5739" s="178" t="s">
        <v>1546</v>
      </c>
      <c r="J5739" s="320" t="s">
        <v>214</v>
      </c>
      <c r="K5739" s="178" t="s">
        <v>4872</v>
      </c>
      <c r="L5739" s="125" t="s">
        <v>1579</v>
      </c>
      <c r="M5739">
        <v>134</v>
      </c>
      <c r="N5739" s="182">
        <v>243</v>
      </c>
      <c r="O5739">
        <v>3752</v>
      </c>
      <c r="P5739" s="132" t="s">
        <v>77</v>
      </c>
      <c r="Q5739" s="176">
        <v>730</v>
      </c>
      <c r="R5739" s="176">
        <v>116.8</v>
      </c>
      <c r="S5739" s="176"/>
      <c r="T5739" s="190"/>
      <c r="U5739" s="191"/>
      <c r="V5739" s="191">
        <v>846.8</v>
      </c>
      <c r="W5739">
        <v>104</v>
      </c>
      <c r="X5739" s="186" t="s">
        <v>1644</v>
      </c>
      <c r="Y5739" s="187" t="s">
        <v>55</v>
      </c>
      <c r="Z5739" s="311">
        <v>205</v>
      </c>
      <c r="AB5739" t="str">
        <f>IF(Table1[[#This Row],[TIPO2]]="costo", VLOOKUP(Table1[[#This Row],[PARTIDA PRESUPUESTAL]],'Cost Report'!G:G,1,0),"Balance")</f>
        <v>2385-003</v>
      </c>
      <c r="AD5739" s="159">
        <f>+Table1[[#This Row],[SUBTOTAL]]+Table1[[#This Row],[IVA]]-Table1[[#This Row],[RET IVA]]-Table1[[#This Row],[RET ISR]]-Table1[[#This Row],[TOTAL]]</f>
        <v>0</v>
      </c>
      <c r="AG5739" t="s">
        <v>3420</v>
      </c>
      <c r="AK5739" s="306" t="str">
        <f>IF(ISNUMBER(Table1[[#This Row],[FECHA DE RECIBIDO]]), Table1[[#This Row],[FECHA DE RECIBIDO]]-DATE(2023,8,30), "")</f>
        <v/>
      </c>
    </row>
    <row r="5740" spans="1:37" ht="16.05" customHeight="1">
      <c r="A5740" s="172" t="s">
        <v>5095</v>
      </c>
      <c r="B5740" s="178">
        <v>2070</v>
      </c>
      <c r="C5740" s="179" t="s">
        <v>2461</v>
      </c>
      <c r="D5740">
        <v>3925</v>
      </c>
      <c r="E5740" s="125" t="s">
        <v>1603</v>
      </c>
      <c r="F5740" s="178">
        <v>601</v>
      </c>
      <c r="G5740" s="178" t="s">
        <v>134</v>
      </c>
      <c r="H5740">
        <v>99</v>
      </c>
      <c r="I5740" s="178" t="s">
        <v>1546</v>
      </c>
      <c r="J5740" s="320" t="s">
        <v>214</v>
      </c>
      <c r="K5740" s="178" t="s">
        <v>4872</v>
      </c>
      <c r="L5740" s="125" t="s">
        <v>1579</v>
      </c>
      <c r="M5740">
        <v>134</v>
      </c>
      <c r="N5740" s="182">
        <v>243</v>
      </c>
      <c r="O5740">
        <v>3753</v>
      </c>
      <c r="P5740" s="132" t="s">
        <v>77</v>
      </c>
      <c r="Q5740" s="176">
        <v>388.79</v>
      </c>
      <c r="R5740" s="176">
        <v>62.21</v>
      </c>
      <c r="S5740" s="176"/>
      <c r="T5740" s="190"/>
      <c r="U5740" s="191"/>
      <c r="V5740" s="191">
        <v>451</v>
      </c>
      <c r="W5740">
        <v>104</v>
      </c>
      <c r="X5740" s="186" t="s">
        <v>1644</v>
      </c>
      <c r="Y5740" s="187" t="s">
        <v>55</v>
      </c>
      <c r="Z5740" s="311">
        <v>206</v>
      </c>
      <c r="AB5740" t="str">
        <f>IF(Table1[[#This Row],[TIPO2]]="costo", VLOOKUP(Table1[[#This Row],[PARTIDA PRESUPUESTAL]],'Cost Report'!G:G,1,0),"Balance")</f>
        <v>2385-003</v>
      </c>
      <c r="AD5740" s="159">
        <f>+Table1[[#This Row],[SUBTOTAL]]+Table1[[#This Row],[IVA]]-Table1[[#This Row],[RET IVA]]-Table1[[#This Row],[RET ISR]]-Table1[[#This Row],[TOTAL]]</f>
        <v>0</v>
      </c>
      <c r="AG5740" t="s">
        <v>3420</v>
      </c>
      <c r="AK5740" s="306" t="str">
        <f>IF(ISNUMBER(Table1[[#This Row],[FECHA DE RECIBIDO]]), Table1[[#This Row],[FECHA DE RECIBIDO]]-DATE(2023,8,30), "")</f>
        <v/>
      </c>
    </row>
    <row r="5741" spans="1:37" ht="16.05" customHeight="1">
      <c r="A5741" s="172" t="s">
        <v>5095</v>
      </c>
      <c r="B5741" s="178">
        <v>2070</v>
      </c>
      <c r="C5741" s="179" t="s">
        <v>2546</v>
      </c>
      <c r="D5741">
        <v>3926</v>
      </c>
      <c r="E5741" s="125" t="s">
        <v>3636</v>
      </c>
      <c r="F5741" s="178">
        <v>601</v>
      </c>
      <c r="G5741" s="178" t="s">
        <v>134</v>
      </c>
      <c r="H5741">
        <v>946</v>
      </c>
      <c r="I5741" s="178" t="s">
        <v>1546</v>
      </c>
      <c r="J5741" s="320" t="s">
        <v>214</v>
      </c>
      <c r="K5741" s="178" t="s">
        <v>4872</v>
      </c>
      <c r="L5741" s="125" t="s">
        <v>1579</v>
      </c>
      <c r="M5741">
        <v>1309</v>
      </c>
      <c r="N5741" s="182">
        <v>243</v>
      </c>
      <c r="O5741">
        <v>3754</v>
      </c>
      <c r="P5741" s="132" t="s">
        <v>77</v>
      </c>
      <c r="Q5741" s="176">
        <v>6300</v>
      </c>
      <c r="R5741" s="176">
        <v>1008</v>
      </c>
      <c r="S5741" s="176"/>
      <c r="T5741" s="190"/>
      <c r="U5741" s="191"/>
      <c r="V5741" s="191">
        <v>7308</v>
      </c>
      <c r="W5741">
        <v>104</v>
      </c>
      <c r="X5741" s="186" t="s">
        <v>1644</v>
      </c>
      <c r="Y5741" s="187" t="s">
        <v>55</v>
      </c>
      <c r="Z5741" s="311">
        <v>266</v>
      </c>
      <c r="AB5741" t="str">
        <f>IF(Table1[[#This Row],[TIPO2]]="costo", VLOOKUP(Table1[[#This Row],[PARTIDA PRESUPUESTAL]],'Cost Report'!G:G,1,0),"Balance")</f>
        <v>2494-071</v>
      </c>
      <c r="AD5741" s="159">
        <f>+Table1[[#This Row],[SUBTOTAL]]+Table1[[#This Row],[IVA]]-Table1[[#This Row],[RET IVA]]-Table1[[#This Row],[RET ISR]]-Table1[[#This Row],[TOTAL]]</f>
        <v>0</v>
      </c>
      <c r="AG5741" t="s">
        <v>3420</v>
      </c>
      <c r="AK5741" s="306" t="str">
        <f>IF(ISNUMBER(Table1[[#This Row],[FECHA DE RECIBIDO]]), Table1[[#This Row],[FECHA DE RECIBIDO]]-DATE(2023,8,30), "")</f>
        <v/>
      </c>
    </row>
    <row r="5742" spans="1:37" ht="16.05" customHeight="1">
      <c r="A5742" s="172" t="s">
        <v>5095</v>
      </c>
      <c r="B5742" s="178">
        <v>2070</v>
      </c>
      <c r="C5742" s="179" t="s">
        <v>2461</v>
      </c>
      <c r="D5742">
        <v>689</v>
      </c>
      <c r="E5742" s="125"/>
      <c r="F5742" s="178"/>
      <c r="G5742" s="178"/>
      <c r="H5742"/>
      <c r="I5742" s="178"/>
      <c r="J5742" s="320" t="s">
        <v>214</v>
      </c>
      <c r="K5742" s="178" t="s">
        <v>4872</v>
      </c>
      <c r="L5742" s="125" t="s">
        <v>1579</v>
      </c>
      <c r="M5742">
        <v>1310</v>
      </c>
      <c r="N5742" s="182">
        <v>243</v>
      </c>
      <c r="O5742">
        <v>3755</v>
      </c>
      <c r="P5742" s="132" t="s">
        <v>77</v>
      </c>
      <c r="Q5742" s="176">
        <v>93</v>
      </c>
      <c r="R5742" s="176"/>
      <c r="S5742" s="176"/>
      <c r="T5742" s="190"/>
      <c r="U5742" s="191"/>
      <c r="V5742" s="191">
        <v>93</v>
      </c>
      <c r="W5742">
        <v>104</v>
      </c>
      <c r="X5742" s="186" t="s">
        <v>1644</v>
      </c>
      <c r="Y5742" s="187" t="s">
        <v>55</v>
      </c>
      <c r="Z5742" s="311">
        <v>224</v>
      </c>
      <c r="AB5742" t="str">
        <f>IF(Table1[[#This Row],[TIPO2]]="costo", VLOOKUP(Table1[[#This Row],[PARTIDA PRESUPUESTAL]],'Cost Report'!G:G,1,0),"Balance")</f>
        <v>2385-003</v>
      </c>
      <c r="AD5742" s="159">
        <f>+Table1[[#This Row],[SUBTOTAL]]+Table1[[#This Row],[IVA]]-Table1[[#This Row],[RET IVA]]-Table1[[#This Row],[RET ISR]]-Table1[[#This Row],[TOTAL]]</f>
        <v>0</v>
      </c>
      <c r="AG5742" t="s">
        <v>3420</v>
      </c>
      <c r="AK5742" s="306" t="str">
        <f>IF(ISNUMBER(Table1[[#This Row],[FECHA DE RECIBIDO]]), Table1[[#This Row],[FECHA DE RECIBIDO]]-DATE(2023,8,30), "")</f>
        <v/>
      </c>
    </row>
    <row r="5743" spans="1:37" ht="16.05" customHeight="1">
      <c r="A5743" s="172" t="s">
        <v>5095</v>
      </c>
      <c r="B5743" s="178">
        <v>2070</v>
      </c>
      <c r="C5743" s="179" t="s">
        <v>610</v>
      </c>
      <c r="D5743">
        <v>689</v>
      </c>
      <c r="E5743" s="125"/>
      <c r="F5743" s="178"/>
      <c r="G5743" s="178"/>
      <c r="H5743"/>
      <c r="I5743" s="178"/>
      <c r="J5743" s="320" t="s">
        <v>214</v>
      </c>
      <c r="K5743" s="178" t="s">
        <v>4872</v>
      </c>
      <c r="L5743" s="125" t="s">
        <v>1579</v>
      </c>
      <c r="M5743">
        <v>1311</v>
      </c>
      <c r="N5743" s="182">
        <v>243</v>
      </c>
      <c r="O5743">
        <v>3756</v>
      </c>
      <c r="P5743" s="132" t="s">
        <v>77</v>
      </c>
      <c r="Q5743" s="176">
        <v>295</v>
      </c>
      <c r="R5743" s="176"/>
      <c r="S5743" s="176"/>
      <c r="T5743" s="190"/>
      <c r="U5743" s="191"/>
      <c r="V5743" s="191">
        <v>295</v>
      </c>
      <c r="W5743">
        <v>104</v>
      </c>
      <c r="X5743" s="186" t="s">
        <v>1644</v>
      </c>
      <c r="Y5743" s="187" t="s">
        <v>55</v>
      </c>
      <c r="Z5743" s="311">
        <v>226</v>
      </c>
      <c r="AB5743" t="str">
        <f>IF(Table1[[#This Row],[TIPO2]]="costo", VLOOKUP(Table1[[#This Row],[PARTIDA PRESUPUESTAL]],'Cost Report'!G:G,1,0),"Balance")</f>
        <v>2485-003</v>
      </c>
      <c r="AD5743" s="159">
        <f>+Table1[[#This Row],[SUBTOTAL]]+Table1[[#This Row],[IVA]]-Table1[[#This Row],[RET IVA]]-Table1[[#This Row],[RET ISR]]-Table1[[#This Row],[TOTAL]]</f>
        <v>0</v>
      </c>
      <c r="AG5743" t="s">
        <v>3420</v>
      </c>
      <c r="AK5743" s="306" t="str">
        <f>IF(ISNUMBER(Table1[[#This Row],[FECHA DE RECIBIDO]]), Table1[[#This Row],[FECHA DE RECIBIDO]]-DATE(2023,8,30), "")</f>
        <v/>
      </c>
    </row>
    <row r="5744" spans="1:37" ht="16.05" customHeight="1">
      <c r="A5744" s="172" t="s">
        <v>5095</v>
      </c>
      <c r="B5744" s="178">
        <v>2070</v>
      </c>
      <c r="C5744" s="179" t="s">
        <v>610</v>
      </c>
      <c r="D5744">
        <v>689</v>
      </c>
      <c r="E5744" s="125"/>
      <c r="F5744" s="178"/>
      <c r="G5744" s="178"/>
      <c r="H5744"/>
      <c r="I5744" s="178"/>
      <c r="J5744" s="320" t="s">
        <v>214</v>
      </c>
      <c r="K5744" s="178" t="s">
        <v>4872</v>
      </c>
      <c r="L5744" s="125" t="s">
        <v>1579</v>
      </c>
      <c r="M5744">
        <v>676</v>
      </c>
      <c r="N5744" s="182">
        <v>243</v>
      </c>
      <c r="O5744">
        <v>3757</v>
      </c>
      <c r="P5744" s="132" t="s">
        <v>77</v>
      </c>
      <c r="Q5744" s="176">
        <v>240</v>
      </c>
      <c r="R5744" s="176"/>
      <c r="S5744" s="176"/>
      <c r="T5744" s="190"/>
      <c r="U5744" s="191"/>
      <c r="V5744" s="191">
        <v>240</v>
      </c>
      <c r="W5744">
        <v>104</v>
      </c>
      <c r="X5744" s="186" t="s">
        <v>1644</v>
      </c>
      <c r="Y5744" s="187" t="s">
        <v>55</v>
      </c>
      <c r="Z5744" s="311">
        <v>227</v>
      </c>
      <c r="AB5744" t="str">
        <f>IF(Table1[[#This Row],[TIPO2]]="costo", VLOOKUP(Table1[[#This Row],[PARTIDA PRESUPUESTAL]],'Cost Report'!G:G,1,0),"Balance")</f>
        <v>2485-003</v>
      </c>
      <c r="AD5744" s="159">
        <f>+Table1[[#This Row],[SUBTOTAL]]+Table1[[#This Row],[IVA]]-Table1[[#This Row],[RET IVA]]-Table1[[#This Row],[RET ISR]]-Table1[[#This Row],[TOTAL]]</f>
        <v>0</v>
      </c>
      <c r="AG5744" t="s">
        <v>3420</v>
      </c>
      <c r="AK5744" s="306" t="str">
        <f>IF(ISNUMBER(Table1[[#This Row],[FECHA DE RECIBIDO]]), Table1[[#This Row],[FECHA DE RECIBIDO]]-DATE(2023,8,30), "")</f>
        <v/>
      </c>
    </row>
    <row r="5745" spans="1:37" ht="16.05" customHeight="1">
      <c r="A5745" s="172" t="s">
        <v>5097</v>
      </c>
      <c r="B5745" s="178">
        <v>2071</v>
      </c>
      <c r="C5745" s="179" t="s">
        <v>2565</v>
      </c>
      <c r="D5745">
        <v>3927</v>
      </c>
      <c r="E5745" s="125" t="s">
        <v>1613</v>
      </c>
      <c r="F5745" s="178">
        <v>626</v>
      </c>
      <c r="G5745" s="178" t="s">
        <v>109</v>
      </c>
      <c r="H5745">
        <v>732</v>
      </c>
      <c r="I5745" s="178" t="s">
        <v>1546</v>
      </c>
      <c r="J5745" s="320" t="s">
        <v>214</v>
      </c>
      <c r="K5745" s="178" t="s">
        <v>4872</v>
      </c>
      <c r="L5745" s="125" t="s">
        <v>1579</v>
      </c>
      <c r="M5745">
        <v>1016</v>
      </c>
      <c r="N5745" s="182">
        <v>243</v>
      </c>
      <c r="O5745">
        <v>3758</v>
      </c>
      <c r="P5745" s="132" t="s">
        <v>77</v>
      </c>
      <c r="Q5745" s="176">
        <v>2765</v>
      </c>
      <c r="R5745" s="176">
        <v>442.4</v>
      </c>
      <c r="S5745" s="176"/>
      <c r="T5745" s="190"/>
      <c r="U5745" s="191">
        <v>34.56</v>
      </c>
      <c r="V5745" s="191">
        <v>3172.84</v>
      </c>
      <c r="W5745">
        <v>148</v>
      </c>
      <c r="X5745" s="186" t="s">
        <v>1644</v>
      </c>
      <c r="Y5745" s="187" t="s">
        <v>55</v>
      </c>
      <c r="Z5745" s="311">
        <v>258</v>
      </c>
      <c r="AB5745" t="str">
        <f>IF(Table1[[#This Row],[TIPO2]]="costo", VLOOKUP(Table1[[#This Row],[PARTIDA PRESUPUESTAL]],'Cost Report'!G:G,1,0),"Balance")</f>
        <v>2585-003</v>
      </c>
      <c r="AD5745" s="159">
        <f>+Table1[[#This Row],[SUBTOTAL]]+Table1[[#This Row],[IVA]]-Table1[[#This Row],[RET IVA]]-Table1[[#This Row],[RET ISR]]-Table1[[#This Row],[TOTAL]]</f>
        <v>0</v>
      </c>
      <c r="AG5745" t="s">
        <v>3420</v>
      </c>
      <c r="AK5745" s="306" t="str">
        <f>IF(ISNUMBER(Table1[[#This Row],[FECHA DE RECIBIDO]]), Table1[[#This Row],[FECHA DE RECIBIDO]]-DATE(2023,8,30), "")</f>
        <v/>
      </c>
    </row>
    <row r="5746" spans="1:37" ht="16.05" customHeight="1">
      <c r="A5746" s="172" t="s">
        <v>5097</v>
      </c>
      <c r="B5746" s="178">
        <v>2071</v>
      </c>
      <c r="C5746" s="179" t="s">
        <v>2565</v>
      </c>
      <c r="D5746">
        <v>3928</v>
      </c>
      <c r="E5746" s="125" t="s">
        <v>1603</v>
      </c>
      <c r="F5746" s="178">
        <v>601</v>
      </c>
      <c r="G5746" s="178" t="s">
        <v>134</v>
      </c>
      <c r="H5746">
        <v>273</v>
      </c>
      <c r="I5746" s="178" t="s">
        <v>1546</v>
      </c>
      <c r="J5746" s="320" t="s">
        <v>214</v>
      </c>
      <c r="K5746" s="178" t="s">
        <v>4872</v>
      </c>
      <c r="L5746" s="125" t="s">
        <v>1579</v>
      </c>
      <c r="M5746">
        <v>364</v>
      </c>
      <c r="N5746" s="182">
        <v>243</v>
      </c>
      <c r="O5746">
        <v>3759</v>
      </c>
      <c r="P5746" s="132" t="s">
        <v>77</v>
      </c>
      <c r="Q5746" s="176">
        <v>266.81</v>
      </c>
      <c r="R5746" s="176">
        <v>42.69</v>
      </c>
      <c r="S5746" s="176"/>
      <c r="T5746" s="190"/>
      <c r="U5746" s="191"/>
      <c r="V5746" s="191">
        <v>309.5</v>
      </c>
      <c r="W5746">
        <v>148</v>
      </c>
      <c r="X5746" s="186" t="s">
        <v>1644</v>
      </c>
      <c r="Y5746" s="187" t="s">
        <v>55</v>
      </c>
      <c r="Z5746" s="311">
        <v>243</v>
      </c>
      <c r="AB5746" t="str">
        <f>IF(Table1[[#This Row],[TIPO2]]="costo", VLOOKUP(Table1[[#This Row],[PARTIDA PRESUPUESTAL]],'Cost Report'!G:G,1,0),"Balance")</f>
        <v>2585-003</v>
      </c>
      <c r="AD5746" s="159">
        <f>+Table1[[#This Row],[SUBTOTAL]]+Table1[[#This Row],[IVA]]-Table1[[#This Row],[RET IVA]]-Table1[[#This Row],[RET ISR]]-Table1[[#This Row],[TOTAL]]</f>
        <v>0</v>
      </c>
      <c r="AG5746" t="s">
        <v>3420</v>
      </c>
      <c r="AK5746" s="306" t="str">
        <f>IF(ISNUMBER(Table1[[#This Row],[FECHA DE RECIBIDO]]), Table1[[#This Row],[FECHA DE RECIBIDO]]-DATE(2023,8,30), "")</f>
        <v/>
      </c>
    </row>
    <row r="5747" spans="1:37" ht="16.05" customHeight="1">
      <c r="A5747" s="172" t="s">
        <v>5098</v>
      </c>
      <c r="B5747" s="178">
        <v>2072</v>
      </c>
      <c r="C5747" s="179" t="s">
        <v>2455</v>
      </c>
      <c r="D5747">
        <v>3929</v>
      </c>
      <c r="E5747" s="125" t="s">
        <v>3275</v>
      </c>
      <c r="F5747" s="178">
        <v>601</v>
      </c>
      <c r="G5747" s="178" t="s">
        <v>134</v>
      </c>
      <c r="H5747">
        <v>57</v>
      </c>
      <c r="I5747" s="178" t="s">
        <v>1546</v>
      </c>
      <c r="J5747" s="320" t="s">
        <v>214</v>
      </c>
      <c r="K5747" s="178" t="s">
        <v>4872</v>
      </c>
      <c r="L5747" s="125" t="s">
        <v>1579</v>
      </c>
      <c r="M5747">
        <v>79</v>
      </c>
      <c r="N5747" s="182">
        <v>243</v>
      </c>
      <c r="O5747">
        <v>3760</v>
      </c>
      <c r="P5747" s="132" t="s">
        <v>77</v>
      </c>
      <c r="Q5747" s="176">
        <v>72.41</v>
      </c>
      <c r="R5747" s="176">
        <v>11.59</v>
      </c>
      <c r="S5747" s="176"/>
      <c r="T5747" s="190"/>
      <c r="U5747" s="191"/>
      <c r="V5747" s="191">
        <v>84</v>
      </c>
      <c r="W5747">
        <v>101</v>
      </c>
      <c r="X5747" s="186" t="s">
        <v>1644</v>
      </c>
      <c r="Y5747" s="187" t="s">
        <v>55</v>
      </c>
      <c r="Z5747" s="311">
        <v>261</v>
      </c>
      <c r="AB5747" t="str">
        <f>IF(Table1[[#This Row],[TIPO2]]="costo", VLOOKUP(Table1[[#This Row],[PARTIDA PRESUPUESTAL]],'Cost Report'!G:G,1,0),"Balance")</f>
        <v>2285-003</v>
      </c>
      <c r="AD5747" s="159">
        <f>+Table1[[#This Row],[SUBTOTAL]]+Table1[[#This Row],[IVA]]-Table1[[#This Row],[RET IVA]]-Table1[[#This Row],[RET ISR]]-Table1[[#This Row],[TOTAL]]</f>
        <v>0</v>
      </c>
      <c r="AG5747" t="s">
        <v>3420</v>
      </c>
      <c r="AK5747" s="306" t="str">
        <f>IF(ISNUMBER(Table1[[#This Row],[FECHA DE RECIBIDO]]), Table1[[#This Row],[FECHA DE RECIBIDO]]-DATE(2023,8,30), "")</f>
        <v/>
      </c>
    </row>
    <row r="5748" spans="1:37" ht="16.05" customHeight="1">
      <c r="A5748" s="172" t="s">
        <v>5098</v>
      </c>
      <c r="B5748" s="178">
        <v>2072</v>
      </c>
      <c r="C5748" s="179" t="s">
        <v>1517</v>
      </c>
      <c r="D5748">
        <v>3930</v>
      </c>
      <c r="E5748" s="125" t="s">
        <v>1609</v>
      </c>
      <c r="F5748" s="178">
        <v>601</v>
      </c>
      <c r="G5748" s="178" t="s">
        <v>134</v>
      </c>
      <c r="H5748">
        <v>903</v>
      </c>
      <c r="I5748" s="178" t="s">
        <v>1546</v>
      </c>
      <c r="J5748" s="320" t="s">
        <v>214</v>
      </c>
      <c r="K5748" s="178" t="s">
        <v>4872</v>
      </c>
      <c r="L5748" s="125" t="s">
        <v>1579</v>
      </c>
      <c r="M5748">
        <v>1255</v>
      </c>
      <c r="N5748" s="182">
        <v>243</v>
      </c>
      <c r="O5748">
        <v>3761</v>
      </c>
      <c r="P5748" s="132" t="s">
        <v>77</v>
      </c>
      <c r="Q5748" s="176">
        <v>80.510000000000005</v>
      </c>
      <c r="R5748" s="176">
        <v>12.88</v>
      </c>
      <c r="S5748" s="176"/>
      <c r="T5748" s="190"/>
      <c r="U5748" s="191"/>
      <c r="V5748" s="191">
        <v>93.39</v>
      </c>
      <c r="W5748">
        <v>101</v>
      </c>
      <c r="X5748" s="186" t="s">
        <v>1644</v>
      </c>
      <c r="Y5748" s="187" t="s">
        <v>55</v>
      </c>
      <c r="Z5748" s="311">
        <v>267</v>
      </c>
      <c r="AB5748" t="str">
        <f>IF(Table1[[#This Row],[TIPO2]]="costo", VLOOKUP(Table1[[#This Row],[PARTIDA PRESUPUESTAL]],'Cost Report'!G:G,1,0),"Balance")</f>
        <v>2494-027</v>
      </c>
      <c r="AD5748" s="159">
        <f>+Table1[[#This Row],[SUBTOTAL]]+Table1[[#This Row],[IVA]]-Table1[[#This Row],[RET IVA]]-Table1[[#This Row],[RET ISR]]-Table1[[#This Row],[TOTAL]]</f>
        <v>0</v>
      </c>
      <c r="AG5748" t="s">
        <v>3420</v>
      </c>
      <c r="AK5748" s="306" t="str">
        <f>IF(ISNUMBER(Table1[[#This Row],[FECHA DE RECIBIDO]]), Table1[[#This Row],[FECHA DE RECIBIDO]]-DATE(2023,8,30), "")</f>
        <v/>
      </c>
    </row>
    <row r="5749" spans="1:37" ht="16.05" customHeight="1">
      <c r="A5749" s="172" t="s">
        <v>5098</v>
      </c>
      <c r="B5749" s="178">
        <v>2072</v>
      </c>
      <c r="C5749" s="179" t="s">
        <v>2501</v>
      </c>
      <c r="D5749">
        <v>3931</v>
      </c>
      <c r="E5749" s="125" t="s">
        <v>3976</v>
      </c>
      <c r="F5749" s="178">
        <v>601</v>
      </c>
      <c r="G5749" s="178" t="s">
        <v>134</v>
      </c>
      <c r="H5749">
        <v>273</v>
      </c>
      <c r="I5749" s="178" t="s">
        <v>1546</v>
      </c>
      <c r="J5749" s="320" t="s">
        <v>214</v>
      </c>
      <c r="K5749" s="178" t="s">
        <v>4872</v>
      </c>
      <c r="L5749" s="125" t="s">
        <v>1579</v>
      </c>
      <c r="M5749">
        <v>364</v>
      </c>
      <c r="N5749" s="182">
        <v>243</v>
      </c>
      <c r="O5749">
        <v>3762</v>
      </c>
      <c r="P5749" s="132" t="s">
        <v>77</v>
      </c>
      <c r="Q5749" s="176">
        <v>945.95</v>
      </c>
      <c r="R5749" s="176">
        <v>151.35</v>
      </c>
      <c r="S5749" s="176"/>
      <c r="T5749" s="190"/>
      <c r="U5749" s="191"/>
      <c r="V5749" s="191">
        <v>1097.3</v>
      </c>
      <c r="W5749">
        <v>101</v>
      </c>
      <c r="X5749" s="186" t="s">
        <v>1644</v>
      </c>
      <c r="Y5749" s="187" t="s">
        <v>55</v>
      </c>
      <c r="Z5749" s="311">
        <v>267</v>
      </c>
      <c r="AB5749" t="str">
        <f>IF(Table1[[#This Row],[TIPO2]]="costo", VLOOKUP(Table1[[#This Row],[PARTIDA PRESUPUESTAL]],'Cost Report'!G:G,1,0),"Balance")</f>
        <v>2398-003</v>
      </c>
      <c r="AD5749" s="159">
        <f>+Table1[[#This Row],[SUBTOTAL]]+Table1[[#This Row],[IVA]]-Table1[[#This Row],[RET IVA]]-Table1[[#This Row],[RET ISR]]-Table1[[#This Row],[TOTAL]]</f>
        <v>0</v>
      </c>
      <c r="AG5749" t="s">
        <v>3420</v>
      </c>
      <c r="AK5749" s="306" t="str">
        <f>IF(ISNUMBER(Table1[[#This Row],[FECHA DE RECIBIDO]]), Table1[[#This Row],[FECHA DE RECIBIDO]]-DATE(2023,8,30), "")</f>
        <v/>
      </c>
    </row>
    <row r="5750" spans="1:37" ht="16.05" customHeight="1">
      <c r="A5750" s="172" t="s">
        <v>5098</v>
      </c>
      <c r="B5750" s="178">
        <v>2072</v>
      </c>
      <c r="C5750" s="179" t="s">
        <v>2501</v>
      </c>
      <c r="D5750">
        <v>3932</v>
      </c>
      <c r="E5750" s="125" t="s">
        <v>1603</v>
      </c>
      <c r="F5750" s="178">
        <v>601</v>
      </c>
      <c r="G5750" s="178" t="s">
        <v>134</v>
      </c>
      <c r="H5750">
        <v>273</v>
      </c>
      <c r="I5750" s="178" t="s">
        <v>1546</v>
      </c>
      <c r="J5750" s="320" t="s">
        <v>214</v>
      </c>
      <c r="K5750" s="178" t="s">
        <v>4872</v>
      </c>
      <c r="L5750" s="125" t="s">
        <v>1579</v>
      </c>
      <c r="M5750">
        <v>364</v>
      </c>
      <c r="N5750" s="182">
        <v>243</v>
      </c>
      <c r="O5750">
        <v>3763</v>
      </c>
      <c r="P5750" s="132" t="s">
        <v>77</v>
      </c>
      <c r="Q5750" s="176">
        <v>755.52</v>
      </c>
      <c r="R5750" s="176">
        <v>120.88</v>
      </c>
      <c r="S5750" s="176"/>
      <c r="T5750" s="190"/>
      <c r="U5750" s="191"/>
      <c r="V5750" s="191">
        <v>876.4</v>
      </c>
      <c r="W5750">
        <v>101</v>
      </c>
      <c r="X5750" s="186" t="s">
        <v>1644</v>
      </c>
      <c r="Y5750" s="187" t="s">
        <v>55</v>
      </c>
      <c r="Z5750" s="311">
        <v>267</v>
      </c>
      <c r="AB5750" t="str">
        <f>IF(Table1[[#This Row],[TIPO2]]="costo", VLOOKUP(Table1[[#This Row],[PARTIDA PRESUPUESTAL]],'Cost Report'!G:G,1,0),"Balance")</f>
        <v>2398-003</v>
      </c>
      <c r="AD5750" s="159">
        <f>+Table1[[#This Row],[SUBTOTAL]]+Table1[[#This Row],[IVA]]-Table1[[#This Row],[RET IVA]]-Table1[[#This Row],[RET ISR]]-Table1[[#This Row],[TOTAL]]</f>
        <v>0</v>
      </c>
      <c r="AG5750" t="s">
        <v>3420</v>
      </c>
      <c r="AK5750" s="306" t="str">
        <f>IF(ISNUMBER(Table1[[#This Row],[FECHA DE RECIBIDO]]), Table1[[#This Row],[FECHA DE RECIBIDO]]-DATE(2023,8,30), "")</f>
        <v/>
      </c>
    </row>
    <row r="5751" spans="1:37" ht="16.05" customHeight="1">
      <c r="A5751" s="172" t="s">
        <v>5098</v>
      </c>
      <c r="B5751" s="178">
        <v>2072</v>
      </c>
      <c r="C5751" s="179" t="s">
        <v>1515</v>
      </c>
      <c r="D5751">
        <v>3933</v>
      </c>
      <c r="E5751" s="125" t="s">
        <v>1603</v>
      </c>
      <c r="F5751" s="178">
        <v>601</v>
      </c>
      <c r="G5751" s="178" t="s">
        <v>134</v>
      </c>
      <c r="H5751">
        <v>273</v>
      </c>
      <c r="I5751" s="178" t="s">
        <v>1546</v>
      </c>
      <c r="J5751" s="320" t="s">
        <v>214</v>
      </c>
      <c r="K5751" s="178" t="s">
        <v>4872</v>
      </c>
      <c r="L5751" s="125" t="s">
        <v>1579</v>
      </c>
      <c r="M5751">
        <v>364</v>
      </c>
      <c r="N5751" s="182">
        <v>243</v>
      </c>
      <c r="O5751">
        <v>3764</v>
      </c>
      <c r="P5751" s="132" t="s">
        <v>77</v>
      </c>
      <c r="Q5751" s="176">
        <v>215.52</v>
      </c>
      <c r="R5751" s="176">
        <v>34.479999999999997</v>
      </c>
      <c r="S5751" s="176"/>
      <c r="T5751" s="190"/>
      <c r="U5751" s="191"/>
      <c r="V5751" s="191">
        <v>250</v>
      </c>
      <c r="W5751">
        <v>101</v>
      </c>
      <c r="X5751" s="186" t="s">
        <v>1644</v>
      </c>
      <c r="Y5751" s="187" t="s">
        <v>55</v>
      </c>
      <c r="Z5751" s="311">
        <v>267</v>
      </c>
      <c r="AB5751" t="str">
        <f>IF(Table1[[#This Row],[TIPO2]]="costo", VLOOKUP(Table1[[#This Row],[PARTIDA PRESUPUESTAL]],'Cost Report'!G:G,1,0),"Balance")</f>
        <v>2494-023</v>
      </c>
      <c r="AD5751" s="159">
        <f>+Table1[[#This Row],[SUBTOTAL]]+Table1[[#This Row],[IVA]]-Table1[[#This Row],[RET IVA]]-Table1[[#This Row],[RET ISR]]-Table1[[#This Row],[TOTAL]]</f>
        <v>0</v>
      </c>
      <c r="AG5751" t="s">
        <v>3420</v>
      </c>
      <c r="AK5751" s="306" t="str">
        <f>IF(ISNUMBER(Table1[[#This Row],[FECHA DE RECIBIDO]]), Table1[[#This Row],[FECHA DE RECIBIDO]]-DATE(2023,8,30), "")</f>
        <v/>
      </c>
    </row>
    <row r="5752" spans="1:37" ht="16.05" customHeight="1">
      <c r="A5752" s="172" t="s">
        <v>5098</v>
      </c>
      <c r="B5752" s="178">
        <v>2072</v>
      </c>
      <c r="C5752" s="179" t="s">
        <v>1515</v>
      </c>
      <c r="D5752">
        <v>3934</v>
      </c>
      <c r="E5752" s="125" t="s">
        <v>1596</v>
      </c>
      <c r="F5752" s="178">
        <v>601</v>
      </c>
      <c r="G5752" s="178" t="s">
        <v>134</v>
      </c>
      <c r="H5752">
        <v>139</v>
      </c>
      <c r="I5752" s="178" t="s">
        <v>1546</v>
      </c>
      <c r="J5752" s="320" t="s">
        <v>214</v>
      </c>
      <c r="K5752" s="178" t="s">
        <v>4872</v>
      </c>
      <c r="L5752" s="125" t="s">
        <v>1579</v>
      </c>
      <c r="M5752">
        <v>181</v>
      </c>
      <c r="N5752" s="182">
        <v>243</v>
      </c>
      <c r="O5752">
        <v>3765</v>
      </c>
      <c r="P5752" s="132" t="s">
        <v>77</v>
      </c>
      <c r="Q5752" s="176">
        <v>89.44</v>
      </c>
      <c r="R5752" s="176">
        <v>14.31</v>
      </c>
      <c r="S5752" s="176"/>
      <c r="T5752" s="190"/>
      <c r="U5752" s="191"/>
      <c r="V5752" s="191">
        <v>103.75</v>
      </c>
      <c r="W5752">
        <v>101</v>
      </c>
      <c r="X5752" s="186" t="s">
        <v>1644</v>
      </c>
      <c r="Y5752" s="187" t="s">
        <v>55</v>
      </c>
      <c r="Z5752" s="311">
        <v>262</v>
      </c>
      <c r="AB5752" t="str">
        <f>IF(Table1[[#This Row],[TIPO2]]="costo", VLOOKUP(Table1[[#This Row],[PARTIDA PRESUPUESTAL]],'Cost Report'!G:G,1,0),"Balance")</f>
        <v>2494-023</v>
      </c>
      <c r="AD5752" s="159">
        <f>+Table1[[#This Row],[SUBTOTAL]]+Table1[[#This Row],[IVA]]-Table1[[#This Row],[RET IVA]]-Table1[[#This Row],[RET ISR]]-Table1[[#This Row],[TOTAL]]</f>
        <v>0</v>
      </c>
      <c r="AG5752" t="s">
        <v>3420</v>
      </c>
      <c r="AK5752" s="306" t="str">
        <f>IF(ISNUMBER(Table1[[#This Row],[FECHA DE RECIBIDO]]), Table1[[#This Row],[FECHA DE RECIBIDO]]-DATE(2023,8,30), "")</f>
        <v/>
      </c>
    </row>
    <row r="5753" spans="1:37" ht="16.05" customHeight="1">
      <c r="A5753" s="172" t="s">
        <v>5098</v>
      </c>
      <c r="B5753" s="178">
        <v>2072</v>
      </c>
      <c r="C5753" s="179" t="s">
        <v>1517</v>
      </c>
      <c r="D5753">
        <v>3935</v>
      </c>
      <c r="E5753" s="125" t="s">
        <v>3179</v>
      </c>
      <c r="F5753" s="178">
        <v>612</v>
      </c>
      <c r="G5753" s="178" t="s">
        <v>129</v>
      </c>
      <c r="H5753">
        <v>619</v>
      </c>
      <c r="I5753" s="178" t="s">
        <v>1546</v>
      </c>
      <c r="J5753" s="320" t="s">
        <v>214</v>
      </c>
      <c r="K5753" s="178" t="s">
        <v>4872</v>
      </c>
      <c r="L5753" s="125" t="s">
        <v>1579</v>
      </c>
      <c r="M5753">
        <v>874</v>
      </c>
      <c r="N5753" s="182">
        <v>243</v>
      </c>
      <c r="O5753">
        <v>3766</v>
      </c>
      <c r="P5753" s="132" t="s">
        <v>77</v>
      </c>
      <c r="Q5753" s="176">
        <v>1400</v>
      </c>
      <c r="R5753" s="176">
        <v>224</v>
      </c>
      <c r="S5753" s="176"/>
      <c r="T5753" s="190"/>
      <c r="U5753" s="191"/>
      <c r="V5753" s="191">
        <v>1624</v>
      </c>
      <c r="W5753">
        <v>101</v>
      </c>
      <c r="X5753" s="186" t="s">
        <v>1644</v>
      </c>
      <c r="Y5753" s="187" t="s">
        <v>55</v>
      </c>
      <c r="Z5753" s="311">
        <v>266</v>
      </c>
      <c r="AB5753" t="str">
        <f>IF(Table1[[#This Row],[TIPO2]]="costo", VLOOKUP(Table1[[#This Row],[PARTIDA PRESUPUESTAL]],'Cost Report'!G:G,1,0),"Balance")</f>
        <v>2494-027</v>
      </c>
      <c r="AD5753" s="159">
        <f>+Table1[[#This Row],[SUBTOTAL]]+Table1[[#This Row],[IVA]]-Table1[[#This Row],[RET IVA]]-Table1[[#This Row],[RET ISR]]-Table1[[#This Row],[TOTAL]]</f>
        <v>0</v>
      </c>
      <c r="AG5753" t="s">
        <v>3420</v>
      </c>
      <c r="AK5753" s="306" t="str">
        <f>IF(ISNUMBER(Table1[[#This Row],[FECHA DE RECIBIDO]]), Table1[[#This Row],[FECHA DE RECIBIDO]]-DATE(2023,8,30), "")</f>
        <v/>
      </c>
    </row>
    <row r="5754" spans="1:37" ht="16.05" customHeight="1">
      <c r="A5754" s="172" t="s">
        <v>5098</v>
      </c>
      <c r="B5754" s="178">
        <v>2072</v>
      </c>
      <c r="C5754" s="179" t="s">
        <v>2455</v>
      </c>
      <c r="D5754">
        <v>3936</v>
      </c>
      <c r="E5754" s="125" t="s">
        <v>1603</v>
      </c>
      <c r="F5754" s="178">
        <v>601</v>
      </c>
      <c r="G5754" s="178" t="s">
        <v>134</v>
      </c>
      <c r="H5754">
        <v>739</v>
      </c>
      <c r="I5754" s="178" t="s">
        <v>1546</v>
      </c>
      <c r="J5754" s="320" t="s">
        <v>214</v>
      </c>
      <c r="K5754" s="178" t="s">
        <v>4872</v>
      </c>
      <c r="L5754" s="125" t="s">
        <v>1579</v>
      </c>
      <c r="M5754">
        <v>1034</v>
      </c>
      <c r="N5754" s="182">
        <v>243</v>
      </c>
      <c r="O5754">
        <v>3767</v>
      </c>
      <c r="P5754" s="132" t="s">
        <v>77</v>
      </c>
      <c r="Q5754" s="176">
        <v>1284.48</v>
      </c>
      <c r="R5754" s="176">
        <v>205.52</v>
      </c>
      <c r="S5754" s="176"/>
      <c r="T5754" s="190"/>
      <c r="U5754" s="191"/>
      <c r="V5754" s="191">
        <v>1490</v>
      </c>
      <c r="W5754">
        <v>101</v>
      </c>
      <c r="X5754" s="186" t="s">
        <v>1644</v>
      </c>
      <c r="Y5754" s="187" t="s">
        <v>55</v>
      </c>
      <c r="Z5754" s="311">
        <v>266</v>
      </c>
      <c r="AB5754" t="str">
        <f>IF(Table1[[#This Row],[TIPO2]]="costo", VLOOKUP(Table1[[#This Row],[PARTIDA PRESUPUESTAL]],'Cost Report'!G:G,1,0),"Balance")</f>
        <v>2285-003</v>
      </c>
      <c r="AD5754" s="159">
        <f>+Table1[[#This Row],[SUBTOTAL]]+Table1[[#This Row],[IVA]]-Table1[[#This Row],[RET IVA]]-Table1[[#This Row],[RET ISR]]-Table1[[#This Row],[TOTAL]]</f>
        <v>0</v>
      </c>
      <c r="AG5754" t="s">
        <v>3420</v>
      </c>
      <c r="AK5754" s="306" t="str">
        <f>IF(ISNUMBER(Table1[[#This Row],[FECHA DE RECIBIDO]]), Table1[[#This Row],[FECHA DE RECIBIDO]]-DATE(2023,8,30), "")</f>
        <v/>
      </c>
    </row>
    <row r="5755" spans="1:37" ht="16.05" customHeight="1">
      <c r="A5755" s="172" t="s">
        <v>5098</v>
      </c>
      <c r="B5755" s="178">
        <v>2072</v>
      </c>
      <c r="C5755" s="179" t="s">
        <v>2455</v>
      </c>
      <c r="D5755">
        <v>689</v>
      </c>
      <c r="E5755" s="125"/>
      <c r="F5755" s="178"/>
      <c r="G5755" s="178"/>
      <c r="H5755"/>
      <c r="I5755" s="178"/>
      <c r="J5755" s="320" t="s">
        <v>214</v>
      </c>
      <c r="K5755" s="178" t="s">
        <v>4872</v>
      </c>
      <c r="L5755" s="125" t="s">
        <v>1579</v>
      </c>
      <c r="M5755">
        <v>691</v>
      </c>
      <c r="N5755" s="182">
        <v>243</v>
      </c>
      <c r="O5755">
        <v>3768</v>
      </c>
      <c r="P5755" s="132" t="s">
        <v>77</v>
      </c>
      <c r="Q5755" s="176">
        <v>34.799999999999997</v>
      </c>
      <c r="R5755" s="176"/>
      <c r="S5755" s="176"/>
      <c r="T5755" s="190"/>
      <c r="U5755" s="191"/>
      <c r="V5755" s="191">
        <v>34.799999999999997</v>
      </c>
      <c r="W5755">
        <v>101</v>
      </c>
      <c r="X5755" s="186" t="s">
        <v>1644</v>
      </c>
      <c r="Y5755" s="187" t="s">
        <v>55</v>
      </c>
      <c r="Z5755" s="311">
        <v>234</v>
      </c>
      <c r="AB5755" t="str">
        <f>IF(Table1[[#This Row],[TIPO2]]="costo", VLOOKUP(Table1[[#This Row],[PARTIDA PRESUPUESTAL]],'Cost Report'!G:G,1,0),"Balance")</f>
        <v>2285-003</v>
      </c>
      <c r="AD5755" s="159">
        <f>+Table1[[#This Row],[SUBTOTAL]]+Table1[[#This Row],[IVA]]-Table1[[#This Row],[RET IVA]]-Table1[[#This Row],[RET ISR]]-Table1[[#This Row],[TOTAL]]</f>
        <v>0</v>
      </c>
      <c r="AG5755" t="s">
        <v>3420</v>
      </c>
      <c r="AK5755" s="306" t="str">
        <f>IF(ISNUMBER(Table1[[#This Row],[FECHA DE RECIBIDO]]), Table1[[#This Row],[FECHA DE RECIBIDO]]-DATE(2023,8,30), "")</f>
        <v/>
      </c>
    </row>
    <row r="5756" spans="1:37" ht="16.05" customHeight="1">
      <c r="A5756" s="172" t="s">
        <v>5098</v>
      </c>
      <c r="B5756" s="178">
        <v>2072</v>
      </c>
      <c r="C5756" s="179" t="s">
        <v>2461</v>
      </c>
      <c r="D5756">
        <v>689</v>
      </c>
      <c r="E5756" s="125"/>
      <c r="F5756" s="178"/>
      <c r="G5756" s="178"/>
      <c r="H5756"/>
      <c r="I5756" s="178"/>
      <c r="J5756" s="320" t="s">
        <v>214</v>
      </c>
      <c r="K5756" s="178" t="s">
        <v>4872</v>
      </c>
      <c r="L5756" s="125" t="s">
        <v>1579</v>
      </c>
      <c r="M5756">
        <v>676</v>
      </c>
      <c r="N5756" s="182">
        <v>243</v>
      </c>
      <c r="O5756">
        <v>3769</v>
      </c>
      <c r="P5756" s="132" t="s">
        <v>77</v>
      </c>
      <c r="Q5756" s="176">
        <v>187</v>
      </c>
      <c r="R5756" s="176"/>
      <c r="S5756" s="176"/>
      <c r="T5756" s="190"/>
      <c r="U5756" s="191"/>
      <c r="V5756" s="191">
        <v>187</v>
      </c>
      <c r="W5756">
        <v>101</v>
      </c>
      <c r="X5756" s="186" t="s">
        <v>1644</v>
      </c>
      <c r="Y5756" s="187" t="s">
        <v>55</v>
      </c>
      <c r="Z5756" s="311">
        <v>267</v>
      </c>
      <c r="AB5756" t="str">
        <f>IF(Table1[[#This Row],[TIPO2]]="costo", VLOOKUP(Table1[[#This Row],[PARTIDA PRESUPUESTAL]],'Cost Report'!G:G,1,0),"Balance")</f>
        <v>2385-003</v>
      </c>
      <c r="AD5756" s="159">
        <f>+Table1[[#This Row],[SUBTOTAL]]+Table1[[#This Row],[IVA]]-Table1[[#This Row],[RET IVA]]-Table1[[#This Row],[RET ISR]]-Table1[[#This Row],[TOTAL]]</f>
        <v>0</v>
      </c>
      <c r="AG5756" t="s">
        <v>3420</v>
      </c>
      <c r="AK5756" s="306" t="str">
        <f>IF(ISNUMBER(Table1[[#This Row],[FECHA DE RECIBIDO]]), Table1[[#This Row],[FECHA DE RECIBIDO]]-DATE(2023,8,30), "")</f>
        <v/>
      </c>
    </row>
    <row r="5757" spans="1:37" ht="16.05" customHeight="1">
      <c r="A5757" s="172" t="s">
        <v>5098</v>
      </c>
      <c r="B5757" s="178">
        <v>2072</v>
      </c>
      <c r="C5757" s="179" t="s">
        <v>610</v>
      </c>
      <c r="D5757">
        <v>689</v>
      </c>
      <c r="E5757" s="125"/>
      <c r="F5757" s="178"/>
      <c r="G5757" s="178"/>
      <c r="H5757"/>
      <c r="I5757" s="178"/>
      <c r="J5757" s="320" t="s">
        <v>214</v>
      </c>
      <c r="K5757" s="178" t="s">
        <v>4872</v>
      </c>
      <c r="L5757" s="125" t="s">
        <v>1579</v>
      </c>
      <c r="M5757">
        <v>1307</v>
      </c>
      <c r="N5757" s="182">
        <v>243</v>
      </c>
      <c r="O5757">
        <v>3770</v>
      </c>
      <c r="P5757" s="132" t="s">
        <v>77</v>
      </c>
      <c r="Q5757" s="176">
        <v>36</v>
      </c>
      <c r="R5757" s="176"/>
      <c r="S5757" s="176"/>
      <c r="T5757" s="190"/>
      <c r="U5757" s="191"/>
      <c r="V5757" s="191">
        <v>36</v>
      </c>
      <c r="W5757">
        <v>101</v>
      </c>
      <c r="X5757" s="186" t="s">
        <v>1644</v>
      </c>
      <c r="Y5757" s="187" t="s">
        <v>55</v>
      </c>
      <c r="Z5757" s="311">
        <v>267</v>
      </c>
      <c r="AB5757" t="str">
        <f>IF(Table1[[#This Row],[TIPO2]]="costo", VLOOKUP(Table1[[#This Row],[PARTIDA PRESUPUESTAL]],'Cost Report'!G:G,1,0),"Balance")</f>
        <v>2485-003</v>
      </c>
      <c r="AD5757" s="159">
        <f>+Table1[[#This Row],[SUBTOTAL]]+Table1[[#This Row],[IVA]]-Table1[[#This Row],[RET IVA]]-Table1[[#This Row],[RET ISR]]-Table1[[#This Row],[TOTAL]]</f>
        <v>0</v>
      </c>
      <c r="AG5757" t="s">
        <v>3420</v>
      </c>
      <c r="AK5757" s="306" t="str">
        <f>IF(ISNUMBER(Table1[[#This Row],[FECHA DE RECIBIDO]]), Table1[[#This Row],[FECHA DE RECIBIDO]]-DATE(2023,8,30), "")</f>
        <v/>
      </c>
    </row>
    <row r="5758" spans="1:37" ht="16.05" customHeight="1">
      <c r="A5758" s="172" t="s">
        <v>5098</v>
      </c>
      <c r="B5758" s="178">
        <v>2072</v>
      </c>
      <c r="C5758" s="179" t="s">
        <v>1517</v>
      </c>
      <c r="D5758">
        <v>689</v>
      </c>
      <c r="E5758" s="125"/>
      <c r="F5758" s="178"/>
      <c r="G5758" s="178"/>
      <c r="H5758"/>
      <c r="I5758" s="178"/>
      <c r="J5758" s="320" t="s">
        <v>214</v>
      </c>
      <c r="K5758" s="178" t="s">
        <v>4872</v>
      </c>
      <c r="L5758" s="125" t="s">
        <v>1579</v>
      </c>
      <c r="M5758">
        <v>1312</v>
      </c>
      <c r="N5758" s="182">
        <v>243</v>
      </c>
      <c r="O5758">
        <v>3771</v>
      </c>
      <c r="P5758" s="132" t="s">
        <v>77</v>
      </c>
      <c r="Q5758" s="176">
        <v>210</v>
      </c>
      <c r="R5758" s="176"/>
      <c r="S5758" s="176"/>
      <c r="T5758" s="190"/>
      <c r="U5758" s="191"/>
      <c r="V5758" s="191">
        <v>210</v>
      </c>
      <c r="W5758">
        <v>101</v>
      </c>
      <c r="X5758" s="186" t="s">
        <v>1644</v>
      </c>
      <c r="Y5758" s="187" t="s">
        <v>55</v>
      </c>
      <c r="Z5758" s="311">
        <v>259</v>
      </c>
      <c r="AB5758" t="str">
        <f>IF(Table1[[#This Row],[TIPO2]]="costo", VLOOKUP(Table1[[#This Row],[PARTIDA PRESUPUESTAL]],'Cost Report'!G:G,1,0),"Balance")</f>
        <v>2494-027</v>
      </c>
      <c r="AD5758" s="159">
        <f>+Table1[[#This Row],[SUBTOTAL]]+Table1[[#This Row],[IVA]]-Table1[[#This Row],[RET IVA]]-Table1[[#This Row],[RET ISR]]-Table1[[#This Row],[TOTAL]]</f>
        <v>0</v>
      </c>
      <c r="AG5758" t="s">
        <v>3420</v>
      </c>
      <c r="AK5758" s="306" t="str">
        <f>IF(ISNUMBER(Table1[[#This Row],[FECHA DE RECIBIDO]]), Table1[[#This Row],[FECHA DE RECIBIDO]]-DATE(2023,8,30), "")</f>
        <v/>
      </c>
    </row>
    <row r="5759" spans="1:37" ht="16.05" customHeight="1">
      <c r="A5759" s="172" t="s">
        <v>5099</v>
      </c>
      <c r="B5759" s="178">
        <v>2073</v>
      </c>
      <c r="C5759" s="179" t="s">
        <v>1505</v>
      </c>
      <c r="D5759">
        <v>3937</v>
      </c>
      <c r="E5759" s="125" t="s">
        <v>2107</v>
      </c>
      <c r="F5759" s="178">
        <v>612</v>
      </c>
      <c r="G5759" s="178" t="s">
        <v>129</v>
      </c>
      <c r="H5759">
        <v>620</v>
      </c>
      <c r="I5759" s="178" t="s">
        <v>1546</v>
      </c>
      <c r="J5759" s="320" t="s">
        <v>214</v>
      </c>
      <c r="K5759" s="178" t="s">
        <v>4872</v>
      </c>
      <c r="L5759" s="125" t="s">
        <v>1579</v>
      </c>
      <c r="M5759">
        <v>875</v>
      </c>
      <c r="N5759" s="182">
        <v>243</v>
      </c>
      <c r="O5759">
        <v>3772</v>
      </c>
      <c r="P5759" s="132" t="s">
        <v>77</v>
      </c>
      <c r="Q5759" s="176">
        <v>1300</v>
      </c>
      <c r="R5759" s="176">
        <v>208</v>
      </c>
      <c r="S5759" s="176"/>
      <c r="T5759" s="190"/>
      <c r="U5759" s="191"/>
      <c r="V5759" s="191">
        <v>1508</v>
      </c>
      <c r="W5759">
        <v>410</v>
      </c>
      <c r="X5759" s="186" t="s">
        <v>1644</v>
      </c>
      <c r="Y5759" s="187" t="s">
        <v>55</v>
      </c>
      <c r="Z5759" s="311">
        <v>267</v>
      </c>
      <c r="AB5759" t="str">
        <f>IF(Table1[[#This Row],[TIPO2]]="costo", VLOOKUP(Table1[[#This Row],[PARTIDA PRESUPUESTAL]],'Cost Report'!G:G,1,0),"Balance")</f>
        <v>2494-003</v>
      </c>
      <c r="AD5759" s="159">
        <f>+Table1[[#This Row],[SUBTOTAL]]+Table1[[#This Row],[IVA]]-Table1[[#This Row],[RET IVA]]-Table1[[#This Row],[RET ISR]]-Table1[[#This Row],[TOTAL]]</f>
        <v>0</v>
      </c>
      <c r="AG5759" t="s">
        <v>3420</v>
      </c>
      <c r="AK5759" s="306" t="str">
        <f>IF(ISNUMBER(Table1[[#This Row],[FECHA DE RECIBIDO]]), Table1[[#This Row],[FECHA DE RECIBIDO]]-DATE(2023,8,30), "")</f>
        <v/>
      </c>
    </row>
    <row r="5760" spans="1:37" ht="16.05" customHeight="1">
      <c r="A5760" s="172" t="s">
        <v>5099</v>
      </c>
      <c r="B5760" s="178">
        <v>2073</v>
      </c>
      <c r="C5760" s="179" t="s">
        <v>2546</v>
      </c>
      <c r="D5760">
        <v>3938</v>
      </c>
      <c r="E5760" s="125" t="s">
        <v>5100</v>
      </c>
      <c r="F5760" s="178">
        <v>612</v>
      </c>
      <c r="G5760" s="178" t="s">
        <v>129</v>
      </c>
      <c r="H5760">
        <v>947</v>
      </c>
      <c r="I5760" s="178" t="s">
        <v>1546</v>
      </c>
      <c r="J5760" s="320" t="s">
        <v>214</v>
      </c>
      <c r="K5760" s="178" t="s">
        <v>4872</v>
      </c>
      <c r="L5760" s="125" t="s">
        <v>1579</v>
      </c>
      <c r="M5760">
        <v>1313</v>
      </c>
      <c r="N5760" s="182">
        <v>243</v>
      </c>
      <c r="O5760">
        <v>3773</v>
      </c>
      <c r="P5760" s="132" t="s">
        <v>77</v>
      </c>
      <c r="Q5760" s="176">
        <v>1130</v>
      </c>
      <c r="R5760" s="176">
        <v>180.8</v>
      </c>
      <c r="S5760" s="176"/>
      <c r="T5760" s="190"/>
      <c r="U5760" s="191"/>
      <c r="V5760" s="191">
        <v>1310.8</v>
      </c>
      <c r="W5760">
        <v>410</v>
      </c>
      <c r="X5760" s="186" t="s">
        <v>1644</v>
      </c>
      <c r="Y5760" s="187" t="s">
        <v>55</v>
      </c>
      <c r="Z5760" s="311">
        <v>267</v>
      </c>
      <c r="AB5760" t="str">
        <f>IF(Table1[[#This Row],[TIPO2]]="costo", VLOOKUP(Table1[[#This Row],[PARTIDA PRESUPUESTAL]],'Cost Report'!G:G,1,0),"Balance")</f>
        <v>2494-071</v>
      </c>
      <c r="AD5760" s="159">
        <f>+Table1[[#This Row],[SUBTOTAL]]+Table1[[#This Row],[IVA]]-Table1[[#This Row],[RET IVA]]-Table1[[#This Row],[RET ISR]]-Table1[[#This Row],[TOTAL]]</f>
        <v>0</v>
      </c>
      <c r="AG5760" t="s">
        <v>3420</v>
      </c>
      <c r="AK5760" s="306" t="str">
        <f>IF(ISNUMBER(Table1[[#This Row],[FECHA DE RECIBIDO]]), Table1[[#This Row],[FECHA DE RECIBIDO]]-DATE(2023,8,30), "")</f>
        <v/>
      </c>
    </row>
    <row r="5761" spans="1:37" ht="16.05" customHeight="1">
      <c r="A5761" s="172" t="s">
        <v>5099</v>
      </c>
      <c r="B5761" s="178">
        <v>2073</v>
      </c>
      <c r="C5761" s="179" t="s">
        <v>2546</v>
      </c>
      <c r="D5761">
        <v>3939</v>
      </c>
      <c r="E5761" s="125" t="s">
        <v>5100</v>
      </c>
      <c r="F5761" s="178">
        <v>612</v>
      </c>
      <c r="G5761" s="178" t="s">
        <v>129</v>
      </c>
      <c r="H5761">
        <v>947</v>
      </c>
      <c r="I5761" s="178" t="s">
        <v>1546</v>
      </c>
      <c r="J5761" s="320" t="s">
        <v>214</v>
      </c>
      <c r="K5761" s="178" t="s">
        <v>4872</v>
      </c>
      <c r="L5761" s="125" t="s">
        <v>1579</v>
      </c>
      <c r="M5761">
        <v>1313</v>
      </c>
      <c r="N5761" s="182">
        <v>243</v>
      </c>
      <c r="O5761">
        <v>3773</v>
      </c>
      <c r="P5761" s="132" t="s">
        <v>77</v>
      </c>
      <c r="Q5761" s="176">
        <v>1070</v>
      </c>
      <c r="R5761" s="176">
        <v>171.2</v>
      </c>
      <c r="S5761" s="176"/>
      <c r="T5761" s="190"/>
      <c r="U5761" s="191"/>
      <c r="V5761" s="191">
        <v>1241.2</v>
      </c>
      <c r="W5761">
        <v>410</v>
      </c>
      <c r="X5761" s="186" t="s">
        <v>1644</v>
      </c>
      <c r="Y5761" s="187" t="s">
        <v>55</v>
      </c>
      <c r="Z5761" s="311">
        <v>267</v>
      </c>
      <c r="AB5761" t="str">
        <f>IF(Table1[[#This Row],[TIPO2]]="costo", VLOOKUP(Table1[[#This Row],[PARTIDA PRESUPUESTAL]],'Cost Report'!G:G,1,0),"Balance")</f>
        <v>2494-071</v>
      </c>
      <c r="AD5761" s="159">
        <f>+Table1[[#This Row],[SUBTOTAL]]+Table1[[#This Row],[IVA]]-Table1[[#This Row],[RET IVA]]-Table1[[#This Row],[RET ISR]]-Table1[[#This Row],[TOTAL]]</f>
        <v>0</v>
      </c>
      <c r="AG5761" t="s">
        <v>3420</v>
      </c>
      <c r="AK5761" s="306" t="str">
        <f>IF(ISNUMBER(Table1[[#This Row],[FECHA DE RECIBIDO]]), Table1[[#This Row],[FECHA DE RECIBIDO]]-DATE(2023,8,30), "")</f>
        <v/>
      </c>
    </row>
    <row r="5762" spans="1:37" ht="16.05" customHeight="1">
      <c r="A5762" s="172" t="s">
        <v>5099</v>
      </c>
      <c r="B5762" s="178">
        <v>2073</v>
      </c>
      <c r="C5762" s="179" t="s">
        <v>2546</v>
      </c>
      <c r="D5762">
        <v>3940</v>
      </c>
      <c r="E5762" s="125" t="s">
        <v>3179</v>
      </c>
      <c r="F5762" s="178">
        <v>612</v>
      </c>
      <c r="G5762" s="178" t="s">
        <v>129</v>
      </c>
      <c r="H5762">
        <v>619</v>
      </c>
      <c r="I5762" s="178" t="s">
        <v>1546</v>
      </c>
      <c r="J5762" s="320" t="s">
        <v>214</v>
      </c>
      <c r="K5762" s="178" t="s">
        <v>4872</v>
      </c>
      <c r="L5762" s="125" t="s">
        <v>1579</v>
      </c>
      <c r="M5762">
        <v>874</v>
      </c>
      <c r="N5762" s="182">
        <v>243</v>
      </c>
      <c r="O5762">
        <v>3774</v>
      </c>
      <c r="P5762" s="132" t="s">
        <v>77</v>
      </c>
      <c r="Q5762" s="176">
        <v>1410</v>
      </c>
      <c r="R5762" s="176">
        <v>225.6</v>
      </c>
      <c r="S5762" s="176"/>
      <c r="T5762" s="190"/>
      <c r="U5762" s="191"/>
      <c r="V5762" s="191">
        <v>1635.6</v>
      </c>
      <c r="W5762">
        <v>410</v>
      </c>
      <c r="X5762" s="186" t="s">
        <v>1644</v>
      </c>
      <c r="Y5762" s="187" t="s">
        <v>55</v>
      </c>
      <c r="Z5762" s="311">
        <v>268</v>
      </c>
      <c r="AB5762" t="str">
        <f>IF(Table1[[#This Row],[TIPO2]]="costo", VLOOKUP(Table1[[#This Row],[PARTIDA PRESUPUESTAL]],'Cost Report'!G:G,1,0),"Balance")</f>
        <v>2494-071</v>
      </c>
      <c r="AD5762" s="159">
        <f>+Table1[[#This Row],[SUBTOTAL]]+Table1[[#This Row],[IVA]]-Table1[[#This Row],[RET IVA]]-Table1[[#This Row],[RET ISR]]-Table1[[#This Row],[TOTAL]]</f>
        <v>0</v>
      </c>
      <c r="AG5762" t="s">
        <v>3420</v>
      </c>
      <c r="AK5762" s="306" t="str">
        <f>IF(ISNUMBER(Table1[[#This Row],[FECHA DE RECIBIDO]]), Table1[[#This Row],[FECHA DE RECIBIDO]]-DATE(2023,8,30), "")</f>
        <v/>
      </c>
    </row>
    <row r="5763" spans="1:37" ht="16.05" customHeight="1">
      <c r="A5763" s="172" t="s">
        <v>5099</v>
      </c>
      <c r="B5763" s="178">
        <v>2073</v>
      </c>
      <c r="C5763" s="179" t="s">
        <v>2546</v>
      </c>
      <c r="D5763">
        <v>3941</v>
      </c>
      <c r="E5763" s="125" t="s">
        <v>3179</v>
      </c>
      <c r="F5763" s="178">
        <v>612</v>
      </c>
      <c r="G5763" s="178" t="s">
        <v>129</v>
      </c>
      <c r="H5763">
        <v>619</v>
      </c>
      <c r="I5763" s="178" t="s">
        <v>1546</v>
      </c>
      <c r="J5763" s="320" t="s">
        <v>214</v>
      </c>
      <c r="K5763" s="178" t="s">
        <v>4872</v>
      </c>
      <c r="L5763" s="125" t="s">
        <v>1579</v>
      </c>
      <c r="M5763">
        <v>874</v>
      </c>
      <c r="N5763" s="182">
        <v>243</v>
      </c>
      <c r="O5763">
        <v>3775</v>
      </c>
      <c r="P5763" s="132" t="s">
        <v>77</v>
      </c>
      <c r="Q5763" s="176">
        <v>1551.72</v>
      </c>
      <c r="R5763" s="176">
        <v>248.28</v>
      </c>
      <c r="S5763" s="176"/>
      <c r="T5763" s="190"/>
      <c r="U5763" s="191"/>
      <c r="V5763" s="191">
        <v>1800</v>
      </c>
      <c r="W5763">
        <v>410</v>
      </c>
      <c r="X5763" s="186" t="s">
        <v>1644</v>
      </c>
      <c r="Y5763" s="187" t="s">
        <v>55</v>
      </c>
      <c r="Z5763" s="311">
        <v>268</v>
      </c>
      <c r="AB5763" t="str">
        <f>IF(Table1[[#This Row],[TIPO2]]="costo", VLOOKUP(Table1[[#This Row],[PARTIDA PRESUPUESTAL]],'Cost Report'!G:G,1,0),"Balance")</f>
        <v>2494-071</v>
      </c>
      <c r="AD5763" s="159">
        <f>+Table1[[#This Row],[SUBTOTAL]]+Table1[[#This Row],[IVA]]-Table1[[#This Row],[RET IVA]]-Table1[[#This Row],[RET ISR]]-Table1[[#This Row],[TOTAL]]</f>
        <v>0</v>
      </c>
      <c r="AG5763" t="s">
        <v>3420</v>
      </c>
      <c r="AK5763" s="306" t="str">
        <f>IF(ISNUMBER(Table1[[#This Row],[FECHA DE RECIBIDO]]), Table1[[#This Row],[FECHA DE RECIBIDO]]-DATE(2023,8,30), "")</f>
        <v/>
      </c>
    </row>
    <row r="5764" spans="1:37" ht="16.05" customHeight="1">
      <c r="A5764" s="172" t="s">
        <v>5099</v>
      </c>
      <c r="B5764" s="178">
        <v>2073</v>
      </c>
      <c r="C5764" s="179" t="s">
        <v>2546</v>
      </c>
      <c r="D5764">
        <v>3942</v>
      </c>
      <c r="E5764" s="125" t="s">
        <v>3179</v>
      </c>
      <c r="F5764" s="178">
        <v>612</v>
      </c>
      <c r="G5764" s="178" t="s">
        <v>129</v>
      </c>
      <c r="H5764">
        <v>619</v>
      </c>
      <c r="I5764" s="178" t="s">
        <v>1546</v>
      </c>
      <c r="J5764" s="320" t="s">
        <v>214</v>
      </c>
      <c r="K5764" s="178" t="s">
        <v>4872</v>
      </c>
      <c r="L5764" s="125" t="s">
        <v>1579</v>
      </c>
      <c r="M5764">
        <v>874</v>
      </c>
      <c r="N5764" s="182">
        <v>243</v>
      </c>
      <c r="O5764">
        <v>3776</v>
      </c>
      <c r="P5764" s="132" t="s">
        <v>77</v>
      </c>
      <c r="Q5764" s="176">
        <v>1658.1</v>
      </c>
      <c r="R5764" s="176">
        <v>265.3</v>
      </c>
      <c r="S5764" s="176"/>
      <c r="T5764" s="190"/>
      <c r="U5764" s="191"/>
      <c r="V5764" s="191">
        <v>1923.3999999999999</v>
      </c>
      <c r="W5764">
        <v>410</v>
      </c>
      <c r="X5764" s="186" t="s">
        <v>1644</v>
      </c>
      <c r="Y5764" s="187" t="s">
        <v>55</v>
      </c>
      <c r="Z5764" s="311">
        <v>268</v>
      </c>
      <c r="AB5764" t="str">
        <f>IF(Table1[[#This Row],[TIPO2]]="costo", VLOOKUP(Table1[[#This Row],[PARTIDA PRESUPUESTAL]],'Cost Report'!G:G,1,0),"Balance")</f>
        <v>2494-071</v>
      </c>
      <c r="AD5764" s="159">
        <f>+Table1[[#This Row],[SUBTOTAL]]+Table1[[#This Row],[IVA]]-Table1[[#This Row],[RET IVA]]-Table1[[#This Row],[RET ISR]]-Table1[[#This Row],[TOTAL]]</f>
        <v>0</v>
      </c>
      <c r="AG5764" t="s">
        <v>3420</v>
      </c>
      <c r="AK5764" s="306" t="str">
        <f>IF(ISNUMBER(Table1[[#This Row],[FECHA DE RECIBIDO]]), Table1[[#This Row],[FECHA DE RECIBIDO]]-DATE(2023,8,30), "")</f>
        <v/>
      </c>
    </row>
    <row r="5765" spans="1:37" ht="16.05" customHeight="1">
      <c r="A5765" s="172" t="s">
        <v>5099</v>
      </c>
      <c r="B5765" s="178">
        <v>2073</v>
      </c>
      <c r="C5765" s="179" t="s">
        <v>2538</v>
      </c>
      <c r="D5765">
        <v>3943</v>
      </c>
      <c r="E5765" s="125" t="s">
        <v>3179</v>
      </c>
      <c r="F5765" s="178">
        <v>612</v>
      </c>
      <c r="G5765" s="178" t="s">
        <v>129</v>
      </c>
      <c r="H5765">
        <v>619</v>
      </c>
      <c r="I5765" s="178" t="s">
        <v>1546</v>
      </c>
      <c r="J5765" s="320" t="s">
        <v>214</v>
      </c>
      <c r="K5765" s="178" t="s">
        <v>4872</v>
      </c>
      <c r="L5765" s="125" t="s">
        <v>1579</v>
      </c>
      <c r="M5765">
        <v>874</v>
      </c>
      <c r="N5765" s="182">
        <v>243</v>
      </c>
      <c r="O5765">
        <v>3777</v>
      </c>
      <c r="P5765" s="132" t="s">
        <v>77</v>
      </c>
      <c r="Q5765" s="176">
        <v>1293.0999999999999</v>
      </c>
      <c r="R5765" s="176">
        <v>206.9</v>
      </c>
      <c r="S5765" s="176"/>
      <c r="T5765" s="190"/>
      <c r="U5765" s="191"/>
      <c r="V5765" s="191">
        <v>1500</v>
      </c>
      <c r="W5765">
        <v>410</v>
      </c>
      <c r="X5765" s="186" t="s">
        <v>1644</v>
      </c>
      <c r="Y5765" s="187" t="s">
        <v>55</v>
      </c>
      <c r="Z5765" s="311">
        <v>268</v>
      </c>
      <c r="AB5765" t="str">
        <f>IF(Table1[[#This Row],[TIPO2]]="costo", VLOOKUP(Table1[[#This Row],[PARTIDA PRESUPUESTAL]],'Cost Report'!G:G,1,0),"Balance")</f>
        <v>2494-055</v>
      </c>
      <c r="AD5765" s="159">
        <f>+Table1[[#This Row],[SUBTOTAL]]+Table1[[#This Row],[IVA]]-Table1[[#This Row],[RET IVA]]-Table1[[#This Row],[RET ISR]]-Table1[[#This Row],[TOTAL]]</f>
        <v>0</v>
      </c>
      <c r="AG5765" t="s">
        <v>3420</v>
      </c>
      <c r="AK5765" s="306" t="str">
        <f>IF(ISNUMBER(Table1[[#This Row],[FECHA DE RECIBIDO]]), Table1[[#This Row],[FECHA DE RECIBIDO]]-DATE(2023,8,30), "")</f>
        <v/>
      </c>
    </row>
    <row r="5766" spans="1:37" ht="16.05" customHeight="1">
      <c r="A5766" s="172" t="s">
        <v>5099</v>
      </c>
      <c r="B5766" s="178">
        <v>2073</v>
      </c>
      <c r="C5766" s="179" t="s">
        <v>2538</v>
      </c>
      <c r="D5766">
        <v>3944</v>
      </c>
      <c r="E5766" s="125" t="s">
        <v>3179</v>
      </c>
      <c r="F5766" s="178">
        <v>612</v>
      </c>
      <c r="G5766" s="178" t="s">
        <v>129</v>
      </c>
      <c r="H5766">
        <v>619</v>
      </c>
      <c r="I5766" s="178" t="s">
        <v>1546</v>
      </c>
      <c r="J5766" s="320" t="s">
        <v>214</v>
      </c>
      <c r="K5766" s="178" t="s">
        <v>4872</v>
      </c>
      <c r="L5766" s="125" t="s">
        <v>1579</v>
      </c>
      <c r="M5766">
        <v>874</v>
      </c>
      <c r="N5766" s="182">
        <v>243</v>
      </c>
      <c r="O5766">
        <v>3778</v>
      </c>
      <c r="P5766" s="132" t="s">
        <v>77</v>
      </c>
      <c r="Q5766" s="176">
        <v>1465.52</v>
      </c>
      <c r="R5766" s="176">
        <v>234.48</v>
      </c>
      <c r="S5766" s="176"/>
      <c r="T5766" s="190"/>
      <c r="U5766" s="191"/>
      <c r="V5766" s="191">
        <v>1700</v>
      </c>
      <c r="W5766">
        <v>410</v>
      </c>
      <c r="X5766" s="186" t="s">
        <v>1644</v>
      </c>
      <c r="Y5766" s="187" t="s">
        <v>55</v>
      </c>
      <c r="Z5766" s="311">
        <v>268</v>
      </c>
      <c r="AB5766" t="str">
        <f>IF(Table1[[#This Row],[TIPO2]]="costo", VLOOKUP(Table1[[#This Row],[PARTIDA PRESUPUESTAL]],'Cost Report'!G:G,1,0),"Balance")</f>
        <v>2494-055</v>
      </c>
      <c r="AD5766" s="159">
        <f>+Table1[[#This Row],[SUBTOTAL]]+Table1[[#This Row],[IVA]]-Table1[[#This Row],[RET IVA]]-Table1[[#This Row],[RET ISR]]-Table1[[#This Row],[TOTAL]]</f>
        <v>0</v>
      </c>
      <c r="AG5766" t="s">
        <v>3420</v>
      </c>
      <c r="AK5766" s="306" t="str">
        <f>IF(ISNUMBER(Table1[[#This Row],[FECHA DE RECIBIDO]]), Table1[[#This Row],[FECHA DE RECIBIDO]]-DATE(2023,8,30), "")</f>
        <v/>
      </c>
    </row>
    <row r="5767" spans="1:37" ht="16.05" customHeight="1">
      <c r="A5767" s="172" t="s">
        <v>5099</v>
      </c>
      <c r="B5767" s="178">
        <v>2073</v>
      </c>
      <c r="C5767" s="179" t="s">
        <v>2538</v>
      </c>
      <c r="D5767">
        <v>3945</v>
      </c>
      <c r="E5767" s="125" t="s">
        <v>3179</v>
      </c>
      <c r="F5767" s="178">
        <v>612</v>
      </c>
      <c r="G5767" s="178" t="s">
        <v>129</v>
      </c>
      <c r="H5767">
        <v>619</v>
      </c>
      <c r="I5767" s="178" t="s">
        <v>1546</v>
      </c>
      <c r="J5767" s="320" t="s">
        <v>214</v>
      </c>
      <c r="K5767" s="178" t="s">
        <v>4872</v>
      </c>
      <c r="L5767" s="125" t="s">
        <v>1579</v>
      </c>
      <c r="M5767">
        <v>874</v>
      </c>
      <c r="N5767" s="182">
        <v>243</v>
      </c>
      <c r="O5767">
        <v>3779</v>
      </c>
      <c r="P5767" s="132" t="s">
        <v>77</v>
      </c>
      <c r="Q5767" s="176">
        <v>1336.21</v>
      </c>
      <c r="R5767" s="176">
        <v>213.79</v>
      </c>
      <c r="S5767" s="176"/>
      <c r="T5767" s="190"/>
      <c r="U5767" s="191"/>
      <c r="V5767" s="191">
        <v>1550</v>
      </c>
      <c r="W5767">
        <v>410</v>
      </c>
      <c r="X5767" s="186" t="s">
        <v>1644</v>
      </c>
      <c r="Y5767" s="187" t="s">
        <v>55</v>
      </c>
      <c r="Z5767" s="311">
        <v>268</v>
      </c>
      <c r="AB5767" t="str">
        <f>IF(Table1[[#This Row],[TIPO2]]="costo", VLOOKUP(Table1[[#This Row],[PARTIDA PRESUPUESTAL]],'Cost Report'!G:G,1,0),"Balance")</f>
        <v>2494-055</v>
      </c>
      <c r="AD5767" s="159">
        <f>+Table1[[#This Row],[SUBTOTAL]]+Table1[[#This Row],[IVA]]-Table1[[#This Row],[RET IVA]]-Table1[[#This Row],[RET ISR]]-Table1[[#This Row],[TOTAL]]</f>
        <v>0</v>
      </c>
      <c r="AG5767" t="s">
        <v>3420</v>
      </c>
      <c r="AK5767" s="306" t="str">
        <f>IF(ISNUMBER(Table1[[#This Row],[FECHA DE RECIBIDO]]), Table1[[#This Row],[FECHA DE RECIBIDO]]-DATE(2023,8,30), "")</f>
        <v/>
      </c>
    </row>
    <row r="5768" spans="1:37" ht="16.05" customHeight="1">
      <c r="A5768" s="172" t="s">
        <v>5099</v>
      </c>
      <c r="B5768" s="178">
        <v>2073</v>
      </c>
      <c r="C5768" s="179" t="s">
        <v>2538</v>
      </c>
      <c r="D5768">
        <v>3946</v>
      </c>
      <c r="E5768" s="125" t="s">
        <v>3179</v>
      </c>
      <c r="F5768" s="178">
        <v>612</v>
      </c>
      <c r="G5768" s="178" t="s">
        <v>129</v>
      </c>
      <c r="H5768">
        <v>619</v>
      </c>
      <c r="I5768" s="178" t="s">
        <v>1546</v>
      </c>
      <c r="J5768" s="320" t="s">
        <v>214</v>
      </c>
      <c r="K5768" s="178" t="s">
        <v>4872</v>
      </c>
      <c r="L5768" s="125" t="s">
        <v>1579</v>
      </c>
      <c r="M5768">
        <v>874</v>
      </c>
      <c r="N5768" s="182">
        <v>243</v>
      </c>
      <c r="O5768">
        <v>3780</v>
      </c>
      <c r="P5768" s="132" t="s">
        <v>77</v>
      </c>
      <c r="Q5768" s="176">
        <v>1508.62</v>
      </c>
      <c r="R5768" s="176">
        <v>241.38</v>
      </c>
      <c r="S5768" s="176"/>
      <c r="T5768" s="190"/>
      <c r="U5768" s="191"/>
      <c r="V5768" s="191">
        <v>1750</v>
      </c>
      <c r="W5768">
        <v>410</v>
      </c>
      <c r="X5768" s="186" t="s">
        <v>1644</v>
      </c>
      <c r="Y5768" s="187" t="s">
        <v>55</v>
      </c>
      <c r="Z5768" s="311">
        <v>268</v>
      </c>
      <c r="AB5768" t="str">
        <f>IF(Table1[[#This Row],[TIPO2]]="costo", VLOOKUP(Table1[[#This Row],[PARTIDA PRESUPUESTAL]],'Cost Report'!G:G,1,0),"Balance")</f>
        <v>2494-055</v>
      </c>
      <c r="AD5768" s="159">
        <f>+Table1[[#This Row],[SUBTOTAL]]+Table1[[#This Row],[IVA]]-Table1[[#This Row],[RET IVA]]-Table1[[#This Row],[RET ISR]]-Table1[[#This Row],[TOTAL]]</f>
        <v>0</v>
      </c>
      <c r="AG5768" t="s">
        <v>3420</v>
      </c>
      <c r="AK5768" s="306" t="str">
        <f>IF(ISNUMBER(Table1[[#This Row],[FECHA DE RECIBIDO]]), Table1[[#This Row],[FECHA DE RECIBIDO]]-DATE(2023,8,30), "")</f>
        <v/>
      </c>
    </row>
    <row r="5769" spans="1:37" ht="16.05" customHeight="1">
      <c r="A5769" s="172" t="s">
        <v>5099</v>
      </c>
      <c r="B5769" s="178">
        <v>2073</v>
      </c>
      <c r="C5769" s="179" t="s">
        <v>2455</v>
      </c>
      <c r="D5769">
        <v>689</v>
      </c>
      <c r="E5769" s="125"/>
      <c r="F5769" s="178"/>
      <c r="G5769" s="178"/>
      <c r="H5769"/>
      <c r="I5769" s="178"/>
      <c r="J5769" s="320" t="s">
        <v>214</v>
      </c>
      <c r="K5769" s="178" t="s">
        <v>4872</v>
      </c>
      <c r="L5769" s="125" t="s">
        <v>1579</v>
      </c>
      <c r="M5769">
        <v>1314</v>
      </c>
      <c r="N5769" s="182">
        <v>243</v>
      </c>
      <c r="O5769">
        <v>1573</v>
      </c>
      <c r="P5769" s="132" t="s">
        <v>77</v>
      </c>
      <c r="Q5769" s="176">
        <v>35.840000000000003</v>
      </c>
      <c r="R5769" s="176"/>
      <c r="S5769" s="176"/>
      <c r="T5769" s="190"/>
      <c r="U5769" s="191"/>
      <c r="V5769" s="191">
        <v>35.840000000000003</v>
      </c>
      <c r="W5769">
        <v>410</v>
      </c>
      <c r="X5769" s="186" t="s">
        <v>1644</v>
      </c>
      <c r="Y5769" s="187" t="s">
        <v>55</v>
      </c>
      <c r="Z5769" s="311">
        <v>267</v>
      </c>
      <c r="AB5769" t="str">
        <f>IF(Table1[[#This Row],[TIPO2]]="costo", VLOOKUP(Table1[[#This Row],[PARTIDA PRESUPUESTAL]],'Cost Report'!G:G,1,0),"Balance")</f>
        <v>2285-003</v>
      </c>
      <c r="AD5769" s="159">
        <f>+Table1[[#This Row],[SUBTOTAL]]+Table1[[#This Row],[IVA]]-Table1[[#This Row],[RET IVA]]-Table1[[#This Row],[RET ISR]]-Table1[[#This Row],[TOTAL]]</f>
        <v>0</v>
      </c>
      <c r="AG5769" t="s">
        <v>3420</v>
      </c>
      <c r="AK5769" s="306" t="str">
        <f>IF(ISNUMBER(Table1[[#This Row],[FECHA DE RECIBIDO]]), Table1[[#This Row],[FECHA DE RECIBIDO]]-DATE(2023,8,30), "")</f>
        <v/>
      </c>
    </row>
    <row r="5770" spans="1:37" ht="16.05" customHeight="1">
      <c r="A5770" s="172" t="s">
        <v>5101</v>
      </c>
      <c r="B5770" s="178">
        <v>2074</v>
      </c>
      <c r="C5770" s="179" t="s">
        <v>2556</v>
      </c>
      <c r="D5770">
        <v>3947</v>
      </c>
      <c r="E5770" s="125" t="s">
        <v>1614</v>
      </c>
      <c r="F5770" s="178">
        <v>612</v>
      </c>
      <c r="G5770" s="178" t="s">
        <v>129</v>
      </c>
      <c r="H5770">
        <v>948</v>
      </c>
      <c r="I5770" s="178" t="s">
        <v>1546</v>
      </c>
      <c r="J5770" s="320" t="s">
        <v>214</v>
      </c>
      <c r="K5770" s="178">
        <v>2</v>
      </c>
      <c r="L5770" s="125" t="s">
        <v>1579</v>
      </c>
      <c r="M5770">
        <v>1315</v>
      </c>
      <c r="N5770" s="182">
        <v>243</v>
      </c>
      <c r="O5770">
        <v>3781</v>
      </c>
      <c r="P5770" s="132" t="s">
        <v>77</v>
      </c>
      <c r="Q5770" s="176">
        <v>11800</v>
      </c>
      <c r="R5770" s="176">
        <v>1888</v>
      </c>
      <c r="S5770" s="176"/>
      <c r="T5770" s="190"/>
      <c r="U5770" s="191"/>
      <c r="V5770" s="191">
        <v>13688</v>
      </c>
      <c r="W5770">
        <v>166</v>
      </c>
      <c r="X5770" s="186" t="s">
        <v>1644</v>
      </c>
      <c r="Y5770" s="187" t="s">
        <v>55</v>
      </c>
      <c r="Z5770" s="311">
        <v>239</v>
      </c>
      <c r="AB5770" t="str">
        <f>IF(Table1[[#This Row],[TIPO2]]="costo", VLOOKUP(Table1[[#This Row],[PARTIDA PRESUPUESTAL]],'Cost Report'!G:G,1,0),"Balance")</f>
        <v>2498-003</v>
      </c>
      <c r="AD5770" s="159">
        <f>+Table1[[#This Row],[SUBTOTAL]]+Table1[[#This Row],[IVA]]-Table1[[#This Row],[RET IVA]]-Table1[[#This Row],[RET ISR]]-Table1[[#This Row],[TOTAL]]</f>
        <v>0</v>
      </c>
      <c r="AG5770" t="s">
        <v>3420</v>
      </c>
      <c r="AK5770" s="306" t="str">
        <f>IF(ISNUMBER(Table1[[#This Row],[FECHA DE RECIBIDO]]), Table1[[#This Row],[FECHA DE RECIBIDO]]-DATE(2023,8,30), "")</f>
        <v/>
      </c>
    </row>
    <row r="5771" spans="1:37" ht="16.05" customHeight="1">
      <c r="A5771" s="172" t="s">
        <v>5101</v>
      </c>
      <c r="B5771" s="178">
        <v>2074</v>
      </c>
      <c r="C5771" s="179" t="s">
        <v>1505</v>
      </c>
      <c r="D5771">
        <v>3948</v>
      </c>
      <c r="E5771" s="125" t="s">
        <v>1598</v>
      </c>
      <c r="F5771" s="178">
        <v>601</v>
      </c>
      <c r="G5771" s="178" t="s">
        <v>134</v>
      </c>
      <c r="H5771">
        <v>156</v>
      </c>
      <c r="I5771" s="178" t="s">
        <v>1546</v>
      </c>
      <c r="J5771" s="320" t="s">
        <v>214</v>
      </c>
      <c r="K5771" s="178" t="s">
        <v>4872</v>
      </c>
      <c r="L5771" s="125" t="s">
        <v>1579</v>
      </c>
      <c r="M5771">
        <v>207</v>
      </c>
      <c r="N5771" s="182">
        <v>243</v>
      </c>
      <c r="O5771">
        <v>3782</v>
      </c>
      <c r="P5771" s="132" t="s">
        <v>77</v>
      </c>
      <c r="Q5771" s="176">
        <v>20862.419999999998</v>
      </c>
      <c r="R5771" s="176">
        <v>3337.98</v>
      </c>
      <c r="S5771" s="176"/>
      <c r="T5771" s="190"/>
      <c r="U5771" s="191"/>
      <c r="V5771" s="191">
        <v>24200.399999999998</v>
      </c>
      <c r="W5771">
        <v>166</v>
      </c>
      <c r="X5771" s="186" t="s">
        <v>1644</v>
      </c>
      <c r="Y5771" s="187" t="s">
        <v>55</v>
      </c>
      <c r="Z5771" s="311">
        <v>232</v>
      </c>
      <c r="AB5771" t="str">
        <f>IF(Table1[[#This Row],[TIPO2]]="costo", VLOOKUP(Table1[[#This Row],[PARTIDA PRESUPUESTAL]],'Cost Report'!G:G,1,0),"Balance")</f>
        <v>2494-003</v>
      </c>
      <c r="AD5771" s="159">
        <f>+Table1[[#This Row],[SUBTOTAL]]+Table1[[#This Row],[IVA]]-Table1[[#This Row],[RET IVA]]-Table1[[#This Row],[RET ISR]]-Table1[[#This Row],[TOTAL]]</f>
        <v>0</v>
      </c>
      <c r="AG5771" t="s">
        <v>3420</v>
      </c>
      <c r="AK5771" s="306" t="str">
        <f>IF(ISNUMBER(Table1[[#This Row],[FECHA DE RECIBIDO]]), Table1[[#This Row],[FECHA DE RECIBIDO]]-DATE(2023,8,30), "")</f>
        <v/>
      </c>
    </row>
    <row r="5772" spans="1:37" ht="16.05" customHeight="1">
      <c r="A5772" s="172" t="s">
        <v>5101</v>
      </c>
      <c r="B5772" s="178">
        <v>2074</v>
      </c>
      <c r="C5772" s="179" t="s">
        <v>2542</v>
      </c>
      <c r="D5772">
        <v>3949</v>
      </c>
      <c r="E5772" s="125" t="s">
        <v>3360</v>
      </c>
      <c r="F5772" s="178">
        <v>612</v>
      </c>
      <c r="G5772" s="178" t="s">
        <v>129</v>
      </c>
      <c r="H5772">
        <v>949</v>
      </c>
      <c r="I5772" s="178" t="s">
        <v>1546</v>
      </c>
      <c r="J5772" s="320" t="s">
        <v>214</v>
      </c>
      <c r="K5772" s="178" t="s">
        <v>4872</v>
      </c>
      <c r="L5772" s="125" t="s">
        <v>1579</v>
      </c>
      <c r="M5772">
        <v>1316</v>
      </c>
      <c r="N5772" s="182">
        <v>243</v>
      </c>
      <c r="O5772">
        <v>3783</v>
      </c>
      <c r="P5772" s="132" t="s">
        <v>77</v>
      </c>
      <c r="Q5772" s="176">
        <v>695</v>
      </c>
      <c r="R5772" s="176"/>
      <c r="S5772" s="176"/>
      <c r="T5772" s="190"/>
      <c r="U5772" s="191"/>
      <c r="V5772" s="191">
        <v>695</v>
      </c>
      <c r="W5772">
        <v>166</v>
      </c>
      <c r="X5772" s="186" t="s">
        <v>1644</v>
      </c>
      <c r="Y5772" s="187" t="s">
        <v>55</v>
      </c>
      <c r="Z5772" s="311">
        <v>244</v>
      </c>
      <c r="AB5772" t="str">
        <f>IF(Table1[[#This Row],[TIPO2]]="costo", VLOOKUP(Table1[[#This Row],[PARTIDA PRESUPUESTAL]],'Cost Report'!G:G,1,0),"Balance")</f>
        <v>2494-063</v>
      </c>
      <c r="AD5772" s="159">
        <f>+Table1[[#This Row],[SUBTOTAL]]+Table1[[#This Row],[IVA]]-Table1[[#This Row],[RET IVA]]-Table1[[#This Row],[RET ISR]]-Table1[[#This Row],[TOTAL]]</f>
        <v>0</v>
      </c>
      <c r="AG5772" t="s">
        <v>3420</v>
      </c>
      <c r="AK5772" s="306" t="str">
        <f>IF(ISNUMBER(Table1[[#This Row],[FECHA DE RECIBIDO]]), Table1[[#This Row],[FECHA DE RECIBIDO]]-DATE(2023,8,30), "")</f>
        <v/>
      </c>
    </row>
    <row r="5773" spans="1:37" ht="16.05" customHeight="1">
      <c r="A5773" s="172" t="s">
        <v>5102</v>
      </c>
      <c r="B5773" s="178">
        <v>2075</v>
      </c>
      <c r="C5773" s="179" t="s">
        <v>2556</v>
      </c>
      <c r="D5773">
        <v>3950</v>
      </c>
      <c r="E5773" s="125" t="s">
        <v>3673</v>
      </c>
      <c r="F5773" s="178">
        <v>601</v>
      </c>
      <c r="G5773" s="178" t="s">
        <v>134</v>
      </c>
      <c r="H5773">
        <v>156</v>
      </c>
      <c r="I5773" s="178" t="s">
        <v>1546</v>
      </c>
      <c r="J5773" s="320" t="s">
        <v>214</v>
      </c>
      <c r="K5773" s="178" t="s">
        <v>4872</v>
      </c>
      <c r="L5773" s="125" t="s">
        <v>1579</v>
      </c>
      <c r="M5773">
        <v>207</v>
      </c>
      <c r="N5773" s="182">
        <v>243</v>
      </c>
      <c r="O5773">
        <v>3784</v>
      </c>
      <c r="P5773" s="132" t="s">
        <v>77</v>
      </c>
      <c r="Q5773" s="176">
        <v>226.42</v>
      </c>
      <c r="R5773" s="176">
        <v>36.229999999999997</v>
      </c>
      <c r="S5773" s="176"/>
      <c r="T5773" s="190"/>
      <c r="U5773" s="191"/>
      <c r="V5773" s="191">
        <v>262.64999999999998</v>
      </c>
      <c r="W5773">
        <v>103</v>
      </c>
      <c r="X5773" s="186" t="s">
        <v>1644</v>
      </c>
      <c r="Y5773" s="187" t="s">
        <v>55</v>
      </c>
      <c r="Z5773" s="311">
        <v>217</v>
      </c>
      <c r="AB5773" t="str">
        <f>IF(Table1[[#This Row],[TIPO2]]="costo", VLOOKUP(Table1[[#This Row],[PARTIDA PRESUPUESTAL]],'Cost Report'!G:G,1,0),"Balance")</f>
        <v>2498-003</v>
      </c>
      <c r="AD5773" s="159">
        <f>+Table1[[#This Row],[SUBTOTAL]]+Table1[[#This Row],[IVA]]-Table1[[#This Row],[RET IVA]]-Table1[[#This Row],[RET ISR]]-Table1[[#This Row],[TOTAL]]</f>
        <v>0</v>
      </c>
      <c r="AG5773" t="s">
        <v>3420</v>
      </c>
      <c r="AK5773" s="306" t="str">
        <f>IF(ISNUMBER(Table1[[#This Row],[FECHA DE RECIBIDO]]), Table1[[#This Row],[FECHA DE RECIBIDO]]-DATE(2023,8,30), "")</f>
        <v/>
      </c>
    </row>
    <row r="5774" spans="1:37" ht="16.05" customHeight="1">
      <c r="A5774" s="172" t="s">
        <v>5102</v>
      </c>
      <c r="B5774" s="178">
        <v>2075</v>
      </c>
      <c r="C5774" s="179" t="s">
        <v>1505</v>
      </c>
      <c r="D5774">
        <v>3951</v>
      </c>
      <c r="E5774" s="125" t="s">
        <v>1598</v>
      </c>
      <c r="F5774" s="178">
        <v>601</v>
      </c>
      <c r="G5774" s="178" t="s">
        <v>134</v>
      </c>
      <c r="H5774">
        <v>156</v>
      </c>
      <c r="I5774" s="178" t="s">
        <v>1546</v>
      </c>
      <c r="J5774" s="320" t="s">
        <v>214</v>
      </c>
      <c r="K5774" s="178" t="s">
        <v>4872</v>
      </c>
      <c r="L5774" s="125" t="s">
        <v>1579</v>
      </c>
      <c r="M5774">
        <v>207</v>
      </c>
      <c r="N5774" s="182">
        <v>243</v>
      </c>
      <c r="O5774">
        <v>3785</v>
      </c>
      <c r="P5774" s="132" t="s">
        <v>77</v>
      </c>
      <c r="Q5774" s="176">
        <v>2616.21</v>
      </c>
      <c r="R5774" s="176">
        <v>418.59</v>
      </c>
      <c r="S5774" s="176"/>
      <c r="T5774" s="190"/>
      <c r="U5774" s="191"/>
      <c r="V5774" s="191">
        <v>3034.8</v>
      </c>
      <c r="W5774">
        <v>103</v>
      </c>
      <c r="X5774" s="186" t="s">
        <v>1644</v>
      </c>
      <c r="Y5774" s="187" t="s">
        <v>55</v>
      </c>
      <c r="Z5774" s="311">
        <v>232</v>
      </c>
      <c r="AB5774" t="str">
        <f>IF(Table1[[#This Row],[TIPO2]]="costo", VLOOKUP(Table1[[#This Row],[PARTIDA PRESUPUESTAL]],'Cost Report'!G:G,1,0),"Balance")</f>
        <v>2494-003</v>
      </c>
      <c r="AD5774" s="159">
        <f>+Table1[[#This Row],[SUBTOTAL]]+Table1[[#This Row],[IVA]]-Table1[[#This Row],[RET IVA]]-Table1[[#This Row],[RET ISR]]-Table1[[#This Row],[TOTAL]]</f>
        <v>0</v>
      </c>
      <c r="AG5774" t="s">
        <v>3420</v>
      </c>
      <c r="AK5774" s="306" t="str">
        <f>IF(ISNUMBER(Table1[[#This Row],[FECHA DE RECIBIDO]]), Table1[[#This Row],[FECHA DE RECIBIDO]]-DATE(2023,8,30), "")</f>
        <v/>
      </c>
    </row>
    <row r="5775" spans="1:37" ht="16.05" customHeight="1">
      <c r="A5775" s="172" t="s">
        <v>5103</v>
      </c>
      <c r="B5775" s="178">
        <v>2076</v>
      </c>
      <c r="C5775" s="179" t="s">
        <v>2542</v>
      </c>
      <c r="D5775">
        <v>3952</v>
      </c>
      <c r="E5775" s="125" t="s">
        <v>3262</v>
      </c>
      <c r="F5775" s="178">
        <v>601</v>
      </c>
      <c r="G5775" s="178" t="s">
        <v>134</v>
      </c>
      <c r="H5775">
        <v>224</v>
      </c>
      <c r="I5775" s="178" t="s">
        <v>1546</v>
      </c>
      <c r="J5775" s="320" t="s">
        <v>214</v>
      </c>
      <c r="K5775" s="178" t="s">
        <v>4872</v>
      </c>
      <c r="L5775" s="125" t="s">
        <v>1579</v>
      </c>
      <c r="M5775">
        <v>290</v>
      </c>
      <c r="N5775" s="182">
        <v>243</v>
      </c>
      <c r="O5775">
        <v>3786</v>
      </c>
      <c r="P5775" s="132" t="s">
        <v>77</v>
      </c>
      <c r="Q5775" s="176">
        <v>362.71</v>
      </c>
      <c r="R5775" s="176">
        <v>58.04</v>
      </c>
      <c r="S5775" s="176"/>
      <c r="T5775" s="190"/>
      <c r="U5775" s="191"/>
      <c r="V5775" s="191">
        <v>420.75</v>
      </c>
      <c r="W5775">
        <v>145</v>
      </c>
      <c r="X5775" s="186" t="s">
        <v>1644</v>
      </c>
      <c r="Y5775" s="187" t="s">
        <v>55</v>
      </c>
      <c r="Z5775" s="311">
        <v>244</v>
      </c>
      <c r="AB5775" t="str">
        <f>IF(Table1[[#This Row],[TIPO2]]="costo", VLOOKUP(Table1[[#This Row],[PARTIDA PRESUPUESTAL]],'Cost Report'!G:G,1,0),"Balance")</f>
        <v>2494-063</v>
      </c>
      <c r="AD5775" s="159">
        <f>+Table1[[#This Row],[SUBTOTAL]]+Table1[[#This Row],[IVA]]-Table1[[#This Row],[RET IVA]]-Table1[[#This Row],[RET ISR]]-Table1[[#This Row],[TOTAL]]</f>
        <v>0</v>
      </c>
      <c r="AG5775" t="s">
        <v>3420</v>
      </c>
      <c r="AK5775" s="306" t="str">
        <f>IF(ISNUMBER(Table1[[#This Row],[FECHA DE RECIBIDO]]), Table1[[#This Row],[FECHA DE RECIBIDO]]-DATE(2023,8,30), "")</f>
        <v/>
      </c>
    </row>
    <row r="5776" spans="1:37" ht="16.05" customHeight="1">
      <c r="A5776" s="172" t="s">
        <v>5103</v>
      </c>
      <c r="B5776" s="178">
        <v>2076</v>
      </c>
      <c r="C5776" s="179" t="s">
        <v>2534</v>
      </c>
      <c r="D5776">
        <v>3953</v>
      </c>
      <c r="E5776" s="125" t="s">
        <v>1603</v>
      </c>
      <c r="F5776" s="178">
        <v>601</v>
      </c>
      <c r="G5776" s="178" t="s">
        <v>134</v>
      </c>
      <c r="H5776">
        <v>274</v>
      </c>
      <c r="I5776" s="178" t="s">
        <v>1546</v>
      </c>
      <c r="J5776" s="320" t="s">
        <v>214</v>
      </c>
      <c r="K5776" s="178" t="s">
        <v>4872</v>
      </c>
      <c r="L5776" s="125" t="s">
        <v>1579</v>
      </c>
      <c r="M5776">
        <v>365</v>
      </c>
      <c r="N5776" s="182">
        <v>243</v>
      </c>
      <c r="O5776">
        <v>3787</v>
      </c>
      <c r="P5776" s="132" t="s">
        <v>77</v>
      </c>
      <c r="Q5776" s="176">
        <v>375</v>
      </c>
      <c r="R5776" s="176">
        <v>60</v>
      </c>
      <c r="S5776" s="176"/>
      <c r="T5776" s="190"/>
      <c r="U5776" s="191"/>
      <c r="V5776" s="191">
        <v>435</v>
      </c>
      <c r="W5776">
        <v>145</v>
      </c>
      <c r="X5776" s="186" t="s">
        <v>1644</v>
      </c>
      <c r="Y5776" s="187" t="s">
        <v>55</v>
      </c>
      <c r="Z5776" s="311">
        <v>244</v>
      </c>
      <c r="AB5776" t="str">
        <f>IF(Table1[[#This Row],[TIPO2]]="costo", VLOOKUP(Table1[[#This Row],[PARTIDA PRESUPUESTAL]],'Cost Report'!G:G,1,0),"Balance")</f>
        <v>2494-047</v>
      </c>
      <c r="AD5776" s="159">
        <f>+Table1[[#This Row],[SUBTOTAL]]+Table1[[#This Row],[IVA]]-Table1[[#This Row],[RET IVA]]-Table1[[#This Row],[RET ISR]]-Table1[[#This Row],[TOTAL]]</f>
        <v>0</v>
      </c>
      <c r="AG5776" t="s">
        <v>3420</v>
      </c>
      <c r="AK5776" s="306" t="str">
        <f>IF(ISNUMBER(Table1[[#This Row],[FECHA DE RECIBIDO]]), Table1[[#This Row],[FECHA DE RECIBIDO]]-DATE(2023,8,30), "")</f>
        <v/>
      </c>
    </row>
    <row r="5777" spans="1:37" ht="16.05" customHeight="1">
      <c r="A5777" s="172" t="s">
        <v>5103</v>
      </c>
      <c r="B5777" s="178">
        <v>2076</v>
      </c>
      <c r="C5777" s="179" t="s">
        <v>1505</v>
      </c>
      <c r="D5777">
        <v>3954</v>
      </c>
      <c r="E5777" s="125" t="s">
        <v>3356</v>
      </c>
      <c r="F5777" s="178">
        <v>601</v>
      </c>
      <c r="G5777" s="178" t="s">
        <v>134</v>
      </c>
      <c r="H5777">
        <v>950</v>
      </c>
      <c r="I5777" s="178" t="s">
        <v>1546</v>
      </c>
      <c r="J5777" s="320" t="s">
        <v>214</v>
      </c>
      <c r="K5777" s="178" t="s">
        <v>4872</v>
      </c>
      <c r="L5777" s="125" t="s">
        <v>1579</v>
      </c>
      <c r="M5777">
        <v>1317</v>
      </c>
      <c r="N5777" s="182">
        <v>243</v>
      </c>
      <c r="O5777">
        <v>3788</v>
      </c>
      <c r="P5777" s="132" t="s">
        <v>77</v>
      </c>
      <c r="Q5777" s="176">
        <v>1580.88</v>
      </c>
      <c r="R5777" s="176">
        <v>252.92</v>
      </c>
      <c r="S5777" s="176"/>
      <c r="T5777" s="190"/>
      <c r="U5777" s="191"/>
      <c r="V5777" s="191">
        <v>1833.8000000000002</v>
      </c>
      <c r="W5777">
        <v>145</v>
      </c>
      <c r="X5777" s="186" t="s">
        <v>1644</v>
      </c>
      <c r="Y5777" s="187" t="s">
        <v>55</v>
      </c>
      <c r="Z5777" s="311">
        <v>251</v>
      </c>
      <c r="AB5777" t="str">
        <f>IF(Table1[[#This Row],[TIPO2]]="costo", VLOOKUP(Table1[[#This Row],[PARTIDA PRESUPUESTAL]],'Cost Report'!G:G,1,0),"Balance")</f>
        <v>2494-003</v>
      </c>
      <c r="AD5777" s="159">
        <f>+Table1[[#This Row],[SUBTOTAL]]+Table1[[#This Row],[IVA]]-Table1[[#This Row],[RET IVA]]-Table1[[#This Row],[RET ISR]]-Table1[[#This Row],[TOTAL]]</f>
        <v>0</v>
      </c>
      <c r="AG5777" t="s">
        <v>3420</v>
      </c>
      <c r="AK5777" s="306" t="str">
        <f>IF(ISNUMBER(Table1[[#This Row],[FECHA DE RECIBIDO]]), Table1[[#This Row],[FECHA DE RECIBIDO]]-DATE(2023,8,30), "")</f>
        <v/>
      </c>
    </row>
    <row r="5778" spans="1:37" ht="16.05" customHeight="1">
      <c r="A5778" s="172" t="s">
        <v>5103</v>
      </c>
      <c r="B5778" s="178">
        <v>2076</v>
      </c>
      <c r="C5778" s="179" t="s">
        <v>1505</v>
      </c>
      <c r="D5778">
        <v>3955</v>
      </c>
      <c r="E5778" s="125" t="s">
        <v>3356</v>
      </c>
      <c r="F5778" s="178">
        <v>601</v>
      </c>
      <c r="G5778" s="178" t="s">
        <v>134</v>
      </c>
      <c r="H5778">
        <v>291</v>
      </c>
      <c r="I5778" s="178" t="s">
        <v>1546</v>
      </c>
      <c r="J5778" s="320" t="s">
        <v>214</v>
      </c>
      <c r="K5778" s="178" t="s">
        <v>4872</v>
      </c>
      <c r="L5778" s="125" t="s">
        <v>1579</v>
      </c>
      <c r="M5778">
        <v>385</v>
      </c>
      <c r="N5778" s="182">
        <v>243</v>
      </c>
      <c r="O5778">
        <v>3789</v>
      </c>
      <c r="P5778" s="132" t="s">
        <v>77</v>
      </c>
      <c r="Q5778" s="176">
        <v>654.65</v>
      </c>
      <c r="R5778" s="176">
        <v>104.75</v>
      </c>
      <c r="S5778" s="176"/>
      <c r="T5778" s="190"/>
      <c r="U5778" s="191"/>
      <c r="V5778" s="191">
        <v>759.4</v>
      </c>
      <c r="W5778">
        <v>145</v>
      </c>
      <c r="X5778" s="186" t="s">
        <v>1644</v>
      </c>
      <c r="Y5778" s="187" t="s">
        <v>55</v>
      </c>
      <c r="Z5778" s="311">
        <v>251</v>
      </c>
      <c r="AB5778" t="str">
        <f>IF(Table1[[#This Row],[TIPO2]]="costo", VLOOKUP(Table1[[#This Row],[PARTIDA PRESUPUESTAL]],'Cost Report'!G:G,1,0),"Balance")</f>
        <v>2494-003</v>
      </c>
      <c r="AD5778" s="159">
        <f>+Table1[[#This Row],[SUBTOTAL]]+Table1[[#This Row],[IVA]]-Table1[[#This Row],[RET IVA]]-Table1[[#This Row],[RET ISR]]-Table1[[#This Row],[TOTAL]]</f>
        <v>0</v>
      </c>
      <c r="AG5778" t="s">
        <v>3420</v>
      </c>
      <c r="AK5778" s="306" t="str">
        <f>IF(ISNUMBER(Table1[[#This Row],[FECHA DE RECIBIDO]]), Table1[[#This Row],[FECHA DE RECIBIDO]]-DATE(2023,8,30), "")</f>
        <v/>
      </c>
    </row>
    <row r="5779" spans="1:37" ht="16.05" customHeight="1">
      <c r="A5779" s="172" t="s">
        <v>5103</v>
      </c>
      <c r="B5779" s="178">
        <v>2076</v>
      </c>
      <c r="C5779" s="179" t="s">
        <v>1505</v>
      </c>
      <c r="D5779">
        <v>3956</v>
      </c>
      <c r="E5779" s="125" t="s">
        <v>3356</v>
      </c>
      <c r="F5779" s="178">
        <v>601</v>
      </c>
      <c r="G5779" s="178" t="s">
        <v>134</v>
      </c>
      <c r="H5779">
        <v>156</v>
      </c>
      <c r="I5779" s="178" t="s">
        <v>1546</v>
      </c>
      <c r="J5779" s="320" t="s">
        <v>214</v>
      </c>
      <c r="K5779" s="178" t="s">
        <v>4872</v>
      </c>
      <c r="L5779" s="125" t="s">
        <v>1579</v>
      </c>
      <c r="M5779">
        <v>207</v>
      </c>
      <c r="N5779" s="182">
        <v>243</v>
      </c>
      <c r="O5779">
        <v>3790</v>
      </c>
      <c r="P5779" s="132" t="s">
        <v>77</v>
      </c>
      <c r="Q5779" s="176">
        <v>175.6</v>
      </c>
      <c r="R5779" s="176">
        <v>28.1</v>
      </c>
      <c r="S5779" s="176"/>
      <c r="T5779" s="190"/>
      <c r="U5779" s="191"/>
      <c r="V5779" s="191">
        <v>203.7</v>
      </c>
      <c r="W5779">
        <v>145</v>
      </c>
      <c r="X5779" s="186" t="s">
        <v>1644</v>
      </c>
      <c r="Y5779" s="187" t="s">
        <v>55</v>
      </c>
      <c r="Z5779" s="311">
        <v>247</v>
      </c>
      <c r="AB5779" t="str">
        <f>IF(Table1[[#This Row],[TIPO2]]="costo", VLOOKUP(Table1[[#This Row],[PARTIDA PRESUPUESTAL]],'Cost Report'!G:G,1,0),"Balance")</f>
        <v>2494-003</v>
      </c>
      <c r="AD5779" s="159">
        <f>+Table1[[#This Row],[SUBTOTAL]]+Table1[[#This Row],[IVA]]-Table1[[#This Row],[RET IVA]]-Table1[[#This Row],[RET ISR]]-Table1[[#This Row],[TOTAL]]</f>
        <v>0</v>
      </c>
      <c r="AG5779" t="s">
        <v>3420</v>
      </c>
      <c r="AK5779" s="306" t="str">
        <f>IF(ISNUMBER(Table1[[#This Row],[FECHA DE RECIBIDO]]), Table1[[#This Row],[FECHA DE RECIBIDO]]-DATE(2023,8,30), "")</f>
        <v/>
      </c>
    </row>
    <row r="5780" spans="1:37" ht="16.05" customHeight="1">
      <c r="A5780" s="172" t="s">
        <v>5103</v>
      </c>
      <c r="B5780" s="178">
        <v>2076</v>
      </c>
      <c r="C5780" s="179" t="s">
        <v>1505</v>
      </c>
      <c r="D5780">
        <v>3957</v>
      </c>
      <c r="E5780" s="125" t="s">
        <v>4186</v>
      </c>
      <c r="F5780" s="178">
        <v>601</v>
      </c>
      <c r="G5780" s="178" t="s">
        <v>134</v>
      </c>
      <c r="H5780">
        <v>153</v>
      </c>
      <c r="I5780" s="178" t="s">
        <v>1546</v>
      </c>
      <c r="J5780" s="320" t="s">
        <v>214</v>
      </c>
      <c r="K5780" s="178" t="s">
        <v>4872</v>
      </c>
      <c r="L5780" s="125" t="s">
        <v>1579</v>
      </c>
      <c r="M5780">
        <v>204</v>
      </c>
      <c r="N5780" s="182">
        <v>243</v>
      </c>
      <c r="O5780">
        <v>3791</v>
      </c>
      <c r="P5780" s="132" t="s">
        <v>77</v>
      </c>
      <c r="Q5780" s="176">
        <v>6022.41</v>
      </c>
      <c r="R5780" s="176">
        <v>963.59</v>
      </c>
      <c r="S5780" s="176"/>
      <c r="T5780" s="190"/>
      <c r="U5780" s="191"/>
      <c r="V5780" s="191">
        <v>6986</v>
      </c>
      <c r="W5780">
        <v>145</v>
      </c>
      <c r="X5780" s="186" t="s">
        <v>1644</v>
      </c>
      <c r="Y5780" s="187" t="s">
        <v>55</v>
      </c>
      <c r="Z5780" s="311">
        <v>251</v>
      </c>
      <c r="AB5780" t="str">
        <f>IF(Table1[[#This Row],[TIPO2]]="costo", VLOOKUP(Table1[[#This Row],[PARTIDA PRESUPUESTAL]],'Cost Report'!G:G,1,0),"Balance")</f>
        <v>2494-003</v>
      </c>
      <c r="AD5780" s="159">
        <f>+Table1[[#This Row],[SUBTOTAL]]+Table1[[#This Row],[IVA]]-Table1[[#This Row],[RET IVA]]-Table1[[#This Row],[RET ISR]]-Table1[[#This Row],[TOTAL]]</f>
        <v>0</v>
      </c>
      <c r="AG5780" t="s">
        <v>3420</v>
      </c>
      <c r="AK5780" s="306" t="str">
        <f>IF(ISNUMBER(Table1[[#This Row],[FECHA DE RECIBIDO]]), Table1[[#This Row],[FECHA DE RECIBIDO]]-DATE(2023,8,30), "")</f>
        <v/>
      </c>
    </row>
    <row r="5781" spans="1:37" ht="16.05" customHeight="1">
      <c r="A5781" s="172" t="s">
        <v>5103</v>
      </c>
      <c r="B5781" s="178">
        <v>2076</v>
      </c>
      <c r="C5781" s="179" t="s">
        <v>2540</v>
      </c>
      <c r="D5781">
        <v>3958</v>
      </c>
      <c r="E5781" s="125" t="s">
        <v>3356</v>
      </c>
      <c r="F5781" s="178">
        <v>601</v>
      </c>
      <c r="G5781" s="178" t="s">
        <v>134</v>
      </c>
      <c r="H5781">
        <v>156</v>
      </c>
      <c r="I5781" s="178" t="s">
        <v>1546</v>
      </c>
      <c r="J5781" s="320" t="s">
        <v>214</v>
      </c>
      <c r="K5781" s="178" t="s">
        <v>4872</v>
      </c>
      <c r="L5781" s="125" t="s">
        <v>1579</v>
      </c>
      <c r="M5781">
        <v>207</v>
      </c>
      <c r="N5781" s="182">
        <v>243</v>
      </c>
      <c r="O5781">
        <v>3014</v>
      </c>
      <c r="P5781" s="132" t="s">
        <v>77</v>
      </c>
      <c r="Q5781" s="176">
        <v>3776.51</v>
      </c>
      <c r="R5781" s="176">
        <v>604.24</v>
      </c>
      <c r="S5781" s="176"/>
      <c r="T5781" s="190"/>
      <c r="U5781" s="191"/>
      <c r="V5781" s="191">
        <v>4380.75</v>
      </c>
      <c r="W5781">
        <v>145</v>
      </c>
      <c r="X5781" s="186" t="s">
        <v>1644</v>
      </c>
      <c r="Y5781" s="187" t="s">
        <v>55</v>
      </c>
      <c r="Z5781" s="311">
        <v>252</v>
      </c>
      <c r="AB5781" t="str">
        <f>IF(Table1[[#This Row],[TIPO2]]="costo", VLOOKUP(Table1[[#This Row],[PARTIDA PRESUPUESTAL]],'Cost Report'!G:G,1,0),"Balance")</f>
        <v>2494-059</v>
      </c>
      <c r="AD5781" s="159">
        <f>+Table1[[#This Row],[SUBTOTAL]]+Table1[[#This Row],[IVA]]-Table1[[#This Row],[RET IVA]]-Table1[[#This Row],[RET ISR]]-Table1[[#This Row],[TOTAL]]</f>
        <v>0</v>
      </c>
      <c r="AG5781" t="s">
        <v>3420</v>
      </c>
      <c r="AK5781" s="306" t="str">
        <f>IF(ISNUMBER(Table1[[#This Row],[FECHA DE RECIBIDO]]), Table1[[#This Row],[FECHA DE RECIBIDO]]-DATE(2023,8,30), "")</f>
        <v/>
      </c>
    </row>
    <row r="5782" spans="1:37" ht="16.05" customHeight="1">
      <c r="A5782" s="172" t="s">
        <v>5103</v>
      </c>
      <c r="B5782" s="178">
        <v>2076</v>
      </c>
      <c r="C5782" s="179" t="s">
        <v>2540</v>
      </c>
      <c r="D5782">
        <v>3959</v>
      </c>
      <c r="E5782" s="125" t="s">
        <v>3356</v>
      </c>
      <c r="F5782" s="178">
        <v>601</v>
      </c>
      <c r="G5782" s="178" t="s">
        <v>134</v>
      </c>
      <c r="H5782">
        <v>609</v>
      </c>
      <c r="I5782" s="178" t="s">
        <v>1546</v>
      </c>
      <c r="J5782" s="320" t="s">
        <v>214</v>
      </c>
      <c r="K5782" s="178" t="s">
        <v>4872</v>
      </c>
      <c r="L5782" s="125" t="s">
        <v>1579</v>
      </c>
      <c r="M5782">
        <v>863</v>
      </c>
      <c r="N5782" s="182">
        <v>243</v>
      </c>
      <c r="O5782">
        <v>3014</v>
      </c>
      <c r="P5782" s="132" t="s">
        <v>77</v>
      </c>
      <c r="Q5782" s="176">
        <v>613.71</v>
      </c>
      <c r="R5782" s="176">
        <v>98.19</v>
      </c>
      <c r="S5782" s="176"/>
      <c r="T5782" s="190"/>
      <c r="U5782" s="191"/>
      <c r="V5782" s="191">
        <v>711.90000000000009</v>
      </c>
      <c r="W5782">
        <v>145</v>
      </c>
      <c r="X5782" s="186" t="s">
        <v>1644</v>
      </c>
      <c r="Y5782" s="187" t="s">
        <v>55</v>
      </c>
      <c r="Z5782" s="311">
        <v>254</v>
      </c>
      <c r="AB5782" t="str">
        <f>IF(Table1[[#This Row],[TIPO2]]="costo", VLOOKUP(Table1[[#This Row],[PARTIDA PRESUPUESTAL]],'Cost Report'!G:G,1,0),"Balance")</f>
        <v>2494-059</v>
      </c>
      <c r="AD5782" s="159">
        <f>+Table1[[#This Row],[SUBTOTAL]]+Table1[[#This Row],[IVA]]-Table1[[#This Row],[RET IVA]]-Table1[[#This Row],[RET ISR]]-Table1[[#This Row],[TOTAL]]</f>
        <v>0</v>
      </c>
      <c r="AG5782" t="s">
        <v>3420</v>
      </c>
      <c r="AK5782" s="306" t="str">
        <f>IF(ISNUMBER(Table1[[#This Row],[FECHA DE RECIBIDO]]), Table1[[#This Row],[FECHA DE RECIBIDO]]-DATE(2023,8,30), "")</f>
        <v/>
      </c>
    </row>
    <row r="5783" spans="1:37" ht="16.05" customHeight="1">
      <c r="A5783" s="172" t="s">
        <v>5104</v>
      </c>
      <c r="B5783" s="178">
        <v>2077</v>
      </c>
      <c r="C5783" s="179" t="s">
        <v>1402</v>
      </c>
      <c r="D5783">
        <v>3960</v>
      </c>
      <c r="E5783" s="125" t="s">
        <v>1986</v>
      </c>
      <c r="F5783" s="178">
        <v>612</v>
      </c>
      <c r="G5783" s="178" t="s">
        <v>129</v>
      </c>
      <c r="H5783">
        <v>951</v>
      </c>
      <c r="I5783" s="178" t="s">
        <v>1546</v>
      </c>
      <c r="J5783" s="320" t="s">
        <v>214</v>
      </c>
      <c r="K5783" s="178" t="s">
        <v>4872</v>
      </c>
      <c r="L5783" s="125" t="s">
        <v>1579</v>
      </c>
      <c r="M5783">
        <v>1318</v>
      </c>
      <c r="N5783" s="182">
        <v>243</v>
      </c>
      <c r="O5783">
        <v>3792</v>
      </c>
      <c r="P5783" s="132" t="s">
        <v>77</v>
      </c>
      <c r="Q5783" s="176">
        <v>750</v>
      </c>
      <c r="R5783" s="176">
        <v>120</v>
      </c>
      <c r="S5783" s="176"/>
      <c r="T5783" s="190"/>
      <c r="U5783" s="191"/>
      <c r="V5783" s="191">
        <v>870</v>
      </c>
      <c r="W5783">
        <v>93</v>
      </c>
      <c r="X5783" s="186" t="s">
        <v>1644</v>
      </c>
      <c r="Y5783" s="187" t="s">
        <v>55</v>
      </c>
      <c r="Z5783" s="311">
        <v>402</v>
      </c>
      <c r="AB5783" t="str">
        <f>IF(Table1[[#This Row],[TIPO2]]="costo", VLOOKUP(Table1[[#This Row],[PARTIDA PRESUPUESTAL]],'Cost Report'!G:G,1,0),"Balance")</f>
        <v>7050-003</v>
      </c>
      <c r="AD5783" s="159">
        <f>+Table1[[#This Row],[SUBTOTAL]]+Table1[[#This Row],[IVA]]-Table1[[#This Row],[RET IVA]]-Table1[[#This Row],[RET ISR]]-Table1[[#This Row],[TOTAL]]</f>
        <v>0</v>
      </c>
      <c r="AG5783" t="s">
        <v>3420</v>
      </c>
      <c r="AK5783" s="306" t="str">
        <f>IF(ISNUMBER(Table1[[#This Row],[FECHA DE RECIBIDO]]), Table1[[#This Row],[FECHA DE RECIBIDO]]-DATE(2023,8,30), "")</f>
        <v/>
      </c>
    </row>
    <row r="5784" spans="1:37" ht="16.05" customHeight="1">
      <c r="A5784" s="172" t="s">
        <v>5104</v>
      </c>
      <c r="B5784" s="178">
        <v>2077</v>
      </c>
      <c r="C5784" s="179" t="s">
        <v>1770</v>
      </c>
      <c r="D5784">
        <v>3961</v>
      </c>
      <c r="E5784" s="125" t="s">
        <v>1624</v>
      </c>
      <c r="F5784" s="178">
        <v>601</v>
      </c>
      <c r="G5784" s="178" t="s">
        <v>134</v>
      </c>
      <c r="H5784">
        <v>46</v>
      </c>
      <c r="I5784" s="178" t="s">
        <v>1546</v>
      </c>
      <c r="J5784" s="320" t="s">
        <v>214</v>
      </c>
      <c r="K5784" s="178" t="s">
        <v>4872</v>
      </c>
      <c r="L5784" s="125" t="s">
        <v>1579</v>
      </c>
      <c r="M5784">
        <v>58</v>
      </c>
      <c r="N5784" s="182">
        <v>243</v>
      </c>
      <c r="O5784">
        <v>3793</v>
      </c>
      <c r="P5784" s="132" t="s">
        <v>77</v>
      </c>
      <c r="Q5784" s="176">
        <v>3159.58</v>
      </c>
      <c r="R5784" s="176">
        <v>341.66</v>
      </c>
      <c r="S5784" s="176"/>
      <c r="T5784" s="190"/>
      <c r="U5784" s="191"/>
      <c r="V5784" s="191">
        <v>3501.24</v>
      </c>
      <c r="W5784">
        <v>93</v>
      </c>
      <c r="X5784" s="186" t="s">
        <v>1644</v>
      </c>
      <c r="Y5784" s="187" t="s">
        <v>55</v>
      </c>
      <c r="Z5784" s="311" t="s">
        <v>214</v>
      </c>
      <c r="AB5784" t="str">
        <f>IF(Table1[[#This Row],[TIPO2]]="costo", VLOOKUP(Table1[[#This Row],[PARTIDA PRESUPUESTAL]],'Cost Report'!G:G,1,0),"Balance")</f>
        <v>3901-038</v>
      </c>
      <c r="AD5784" s="159">
        <f>+Table1[[#This Row],[SUBTOTAL]]+Table1[[#This Row],[IVA]]-Table1[[#This Row],[RET IVA]]-Table1[[#This Row],[RET ISR]]-Table1[[#This Row],[TOTAL]]</f>
        <v>0</v>
      </c>
      <c r="AG5784" t="s">
        <v>3420</v>
      </c>
      <c r="AK5784" s="306" t="str">
        <f>IF(ISNUMBER(Table1[[#This Row],[FECHA DE RECIBIDO]]), Table1[[#This Row],[FECHA DE RECIBIDO]]-DATE(2023,8,30), "")</f>
        <v/>
      </c>
    </row>
    <row r="5785" spans="1:37" ht="16.05" customHeight="1">
      <c r="A5785" s="172" t="s">
        <v>5104</v>
      </c>
      <c r="B5785" s="178">
        <v>2077</v>
      </c>
      <c r="C5785" s="179" t="s">
        <v>1402</v>
      </c>
      <c r="D5785">
        <v>3962</v>
      </c>
      <c r="E5785" s="125" t="s">
        <v>1986</v>
      </c>
      <c r="F5785" s="178">
        <v>612</v>
      </c>
      <c r="G5785" s="178" t="s">
        <v>129</v>
      </c>
      <c r="H5785">
        <v>951</v>
      </c>
      <c r="I5785" s="178" t="s">
        <v>1546</v>
      </c>
      <c r="J5785" s="320" t="s">
        <v>214</v>
      </c>
      <c r="K5785" s="178" t="s">
        <v>4872</v>
      </c>
      <c r="L5785" s="125" t="s">
        <v>1579</v>
      </c>
      <c r="M5785">
        <v>1318</v>
      </c>
      <c r="N5785" s="182">
        <v>243</v>
      </c>
      <c r="O5785">
        <v>3794</v>
      </c>
      <c r="P5785" s="132" t="s">
        <v>77</v>
      </c>
      <c r="Q5785" s="176">
        <v>750</v>
      </c>
      <c r="R5785" s="176">
        <v>120</v>
      </c>
      <c r="S5785" s="176"/>
      <c r="T5785" s="190"/>
      <c r="U5785" s="191"/>
      <c r="V5785" s="191">
        <v>870</v>
      </c>
      <c r="W5785">
        <v>93</v>
      </c>
      <c r="X5785" s="186" t="s">
        <v>1644</v>
      </c>
      <c r="Y5785" s="187" t="s">
        <v>55</v>
      </c>
      <c r="Z5785" s="311" t="s">
        <v>214</v>
      </c>
      <c r="AB5785" t="str">
        <f>IF(Table1[[#This Row],[TIPO2]]="costo", VLOOKUP(Table1[[#This Row],[PARTIDA PRESUPUESTAL]],'Cost Report'!G:G,1,0),"Balance")</f>
        <v>7050-003</v>
      </c>
      <c r="AD5785" s="159">
        <f>+Table1[[#This Row],[SUBTOTAL]]+Table1[[#This Row],[IVA]]-Table1[[#This Row],[RET IVA]]-Table1[[#This Row],[RET ISR]]-Table1[[#This Row],[TOTAL]]</f>
        <v>0</v>
      </c>
      <c r="AG5785" t="s">
        <v>3420</v>
      </c>
      <c r="AK5785" s="306" t="str">
        <f>IF(ISNUMBER(Table1[[#This Row],[FECHA DE RECIBIDO]]), Table1[[#This Row],[FECHA DE RECIBIDO]]-DATE(2023,8,30), "")</f>
        <v/>
      </c>
    </row>
    <row r="5786" spans="1:37" ht="16.05" customHeight="1">
      <c r="A5786" s="172" t="s">
        <v>5104</v>
      </c>
      <c r="B5786" s="178">
        <v>2077</v>
      </c>
      <c r="C5786" s="179" t="s">
        <v>1402</v>
      </c>
      <c r="D5786">
        <v>3963</v>
      </c>
      <c r="E5786" s="125" t="s">
        <v>1986</v>
      </c>
      <c r="F5786" s="178">
        <v>612</v>
      </c>
      <c r="G5786" s="178" t="s">
        <v>129</v>
      </c>
      <c r="H5786">
        <v>951</v>
      </c>
      <c r="I5786" s="178" t="s">
        <v>1546</v>
      </c>
      <c r="J5786" s="320" t="s">
        <v>214</v>
      </c>
      <c r="K5786" s="178" t="s">
        <v>4872</v>
      </c>
      <c r="L5786" s="125" t="s">
        <v>1579</v>
      </c>
      <c r="M5786">
        <v>1318</v>
      </c>
      <c r="N5786" s="182">
        <v>243</v>
      </c>
      <c r="O5786">
        <v>3795</v>
      </c>
      <c r="P5786" s="132" t="s">
        <v>77</v>
      </c>
      <c r="Q5786" s="176">
        <v>1434.48</v>
      </c>
      <c r="R5786" s="176">
        <v>229.52</v>
      </c>
      <c r="S5786" s="176"/>
      <c r="T5786" s="190"/>
      <c r="U5786" s="191"/>
      <c r="V5786" s="191">
        <v>1664</v>
      </c>
      <c r="W5786">
        <v>93</v>
      </c>
      <c r="X5786" s="186" t="s">
        <v>1644</v>
      </c>
      <c r="Y5786" s="187" t="s">
        <v>55</v>
      </c>
      <c r="Z5786" s="311" t="s">
        <v>214</v>
      </c>
      <c r="AB5786" t="str">
        <f>IF(Table1[[#This Row],[TIPO2]]="costo", VLOOKUP(Table1[[#This Row],[PARTIDA PRESUPUESTAL]],'Cost Report'!G:G,1,0),"Balance")</f>
        <v>7050-003</v>
      </c>
      <c r="AD5786" s="159">
        <f>+Table1[[#This Row],[SUBTOTAL]]+Table1[[#This Row],[IVA]]-Table1[[#This Row],[RET IVA]]-Table1[[#This Row],[RET ISR]]-Table1[[#This Row],[TOTAL]]</f>
        <v>0</v>
      </c>
      <c r="AG5786" t="s">
        <v>3420</v>
      </c>
      <c r="AK5786" s="306" t="str">
        <f>IF(ISNUMBER(Table1[[#This Row],[FECHA DE RECIBIDO]]), Table1[[#This Row],[FECHA DE RECIBIDO]]-DATE(2023,8,30), "")</f>
        <v/>
      </c>
    </row>
    <row r="5787" spans="1:37" ht="16.05" customHeight="1">
      <c r="A5787" s="172" t="s">
        <v>5104</v>
      </c>
      <c r="B5787" s="178">
        <v>2077</v>
      </c>
      <c r="C5787" s="179" t="s">
        <v>1770</v>
      </c>
      <c r="D5787">
        <v>3964</v>
      </c>
      <c r="E5787" s="125" t="s">
        <v>1624</v>
      </c>
      <c r="F5787" s="178">
        <v>601</v>
      </c>
      <c r="G5787" s="178" t="s">
        <v>134</v>
      </c>
      <c r="H5787">
        <v>46</v>
      </c>
      <c r="I5787" s="178" t="s">
        <v>1546</v>
      </c>
      <c r="J5787" s="320" t="s">
        <v>214</v>
      </c>
      <c r="K5787" s="178" t="s">
        <v>4872</v>
      </c>
      <c r="L5787" s="125" t="s">
        <v>1579</v>
      </c>
      <c r="M5787">
        <v>58</v>
      </c>
      <c r="N5787" s="182">
        <v>243</v>
      </c>
      <c r="O5787">
        <v>3796</v>
      </c>
      <c r="P5787" s="132" t="s">
        <v>77</v>
      </c>
      <c r="Q5787" s="176">
        <v>3558.22</v>
      </c>
      <c r="R5787" s="176">
        <v>391.37</v>
      </c>
      <c r="S5787" s="176"/>
      <c r="T5787" s="190"/>
      <c r="U5787" s="191"/>
      <c r="V5787" s="191">
        <v>3949.5899999999997</v>
      </c>
      <c r="W5787">
        <v>93</v>
      </c>
      <c r="X5787" s="186" t="s">
        <v>1644</v>
      </c>
      <c r="Y5787" s="187" t="s">
        <v>55</v>
      </c>
      <c r="Z5787" s="311" t="s">
        <v>214</v>
      </c>
      <c r="AB5787" t="str">
        <f>IF(Table1[[#This Row],[TIPO2]]="costo", VLOOKUP(Table1[[#This Row],[PARTIDA PRESUPUESTAL]],'Cost Report'!G:G,1,0),"Balance")</f>
        <v>3901-038</v>
      </c>
      <c r="AD5787" s="159">
        <f>+Table1[[#This Row],[SUBTOTAL]]+Table1[[#This Row],[IVA]]-Table1[[#This Row],[RET IVA]]-Table1[[#This Row],[RET ISR]]-Table1[[#This Row],[TOTAL]]</f>
        <v>0</v>
      </c>
      <c r="AG5787" t="s">
        <v>3420</v>
      </c>
      <c r="AK5787" s="306" t="str">
        <f>IF(ISNUMBER(Table1[[#This Row],[FECHA DE RECIBIDO]]), Table1[[#This Row],[FECHA DE RECIBIDO]]-DATE(2023,8,30), "")</f>
        <v/>
      </c>
    </row>
    <row r="5788" spans="1:37" ht="16.05" customHeight="1">
      <c r="A5788" s="172" t="s">
        <v>5104</v>
      </c>
      <c r="B5788" s="178">
        <v>2077</v>
      </c>
      <c r="C5788" s="179" t="s">
        <v>3108</v>
      </c>
      <c r="D5788">
        <v>3965</v>
      </c>
      <c r="E5788" s="125" t="s">
        <v>1603</v>
      </c>
      <c r="F5788" s="178">
        <v>601</v>
      </c>
      <c r="G5788" s="178" t="s">
        <v>134</v>
      </c>
      <c r="H5788">
        <v>273</v>
      </c>
      <c r="I5788" s="178" t="s">
        <v>1546</v>
      </c>
      <c r="J5788" s="320" t="s">
        <v>214</v>
      </c>
      <c r="K5788" s="178" t="s">
        <v>4872</v>
      </c>
      <c r="L5788" s="125" t="s">
        <v>1579</v>
      </c>
      <c r="M5788">
        <v>364</v>
      </c>
      <c r="N5788" s="182">
        <v>243</v>
      </c>
      <c r="O5788">
        <v>3797</v>
      </c>
      <c r="P5788" s="132" t="s">
        <v>77</v>
      </c>
      <c r="Q5788" s="176">
        <v>317.24</v>
      </c>
      <c r="R5788" s="176">
        <v>50.76</v>
      </c>
      <c r="S5788" s="176"/>
      <c r="T5788" s="190"/>
      <c r="U5788" s="191"/>
      <c r="V5788" s="191">
        <v>368</v>
      </c>
      <c r="W5788">
        <v>93</v>
      </c>
      <c r="X5788" s="186" t="s">
        <v>1644</v>
      </c>
      <c r="Y5788" s="187" t="s">
        <v>55</v>
      </c>
      <c r="Z5788" s="311" t="s">
        <v>214</v>
      </c>
      <c r="AB5788" t="str">
        <f>IF(Table1[[#This Row],[TIPO2]]="costo", VLOOKUP(Table1[[#This Row],[PARTIDA PRESUPUESTAL]],'Cost Report'!G:G,1,0),"Balance")</f>
        <v>7080-003</v>
      </c>
      <c r="AD5788" s="159">
        <f>+Table1[[#This Row],[SUBTOTAL]]+Table1[[#This Row],[IVA]]-Table1[[#This Row],[RET IVA]]-Table1[[#This Row],[RET ISR]]-Table1[[#This Row],[TOTAL]]</f>
        <v>0</v>
      </c>
      <c r="AG5788" t="s">
        <v>3420</v>
      </c>
      <c r="AK5788" s="306" t="str">
        <f>IF(ISNUMBER(Table1[[#This Row],[FECHA DE RECIBIDO]]), Table1[[#This Row],[FECHA DE RECIBIDO]]-DATE(2023,8,30), "")</f>
        <v/>
      </c>
    </row>
    <row r="5789" spans="1:37" ht="16.05" customHeight="1">
      <c r="A5789" s="172" t="s">
        <v>5104</v>
      </c>
      <c r="B5789" s="178">
        <v>2077</v>
      </c>
      <c r="C5789" s="179" t="s">
        <v>3108</v>
      </c>
      <c r="D5789">
        <v>3966</v>
      </c>
      <c r="E5789" s="125" t="s">
        <v>3185</v>
      </c>
      <c r="F5789" s="178">
        <v>601</v>
      </c>
      <c r="G5789" s="178" t="s">
        <v>134</v>
      </c>
      <c r="H5789">
        <v>273</v>
      </c>
      <c r="I5789" s="178" t="s">
        <v>1546</v>
      </c>
      <c r="J5789" s="320" t="s">
        <v>214</v>
      </c>
      <c r="K5789" s="178" t="s">
        <v>4872</v>
      </c>
      <c r="L5789" s="125" t="s">
        <v>1579</v>
      </c>
      <c r="M5789">
        <v>364</v>
      </c>
      <c r="N5789" s="182">
        <v>243</v>
      </c>
      <c r="O5789">
        <v>3798</v>
      </c>
      <c r="P5789" s="132" t="s">
        <v>77</v>
      </c>
      <c r="Q5789" s="176">
        <v>168.1</v>
      </c>
      <c r="R5789" s="176">
        <v>26.9</v>
      </c>
      <c r="S5789" s="176"/>
      <c r="T5789" s="190"/>
      <c r="U5789" s="191"/>
      <c r="V5789" s="191">
        <v>195</v>
      </c>
      <c r="W5789">
        <v>93</v>
      </c>
      <c r="X5789" s="186" t="s">
        <v>1644</v>
      </c>
      <c r="Y5789" s="187" t="s">
        <v>55</v>
      </c>
      <c r="Z5789" s="311" t="s">
        <v>214</v>
      </c>
      <c r="AB5789" t="str">
        <f>IF(Table1[[#This Row],[TIPO2]]="costo", VLOOKUP(Table1[[#This Row],[PARTIDA PRESUPUESTAL]],'Cost Report'!G:G,1,0),"Balance")</f>
        <v>7080-003</v>
      </c>
      <c r="AD5789" s="159">
        <f>+Table1[[#This Row],[SUBTOTAL]]+Table1[[#This Row],[IVA]]-Table1[[#This Row],[RET IVA]]-Table1[[#This Row],[RET ISR]]-Table1[[#This Row],[TOTAL]]</f>
        <v>0</v>
      </c>
      <c r="AG5789" t="s">
        <v>3420</v>
      </c>
      <c r="AK5789" s="306" t="str">
        <f>IF(ISNUMBER(Table1[[#This Row],[FECHA DE RECIBIDO]]), Table1[[#This Row],[FECHA DE RECIBIDO]]-DATE(2023,8,30), "")</f>
        <v/>
      </c>
    </row>
    <row r="5790" spans="1:37" ht="16.05" customHeight="1">
      <c r="A5790" s="172" t="s">
        <v>5104</v>
      </c>
      <c r="B5790" s="178">
        <v>2077</v>
      </c>
      <c r="C5790" s="179" t="s">
        <v>2354</v>
      </c>
      <c r="D5790">
        <v>3967</v>
      </c>
      <c r="E5790" s="125" t="s">
        <v>1647</v>
      </c>
      <c r="F5790" s="178">
        <v>601</v>
      </c>
      <c r="G5790" s="178" t="s">
        <v>134</v>
      </c>
      <c r="H5790">
        <v>316</v>
      </c>
      <c r="I5790" s="178" t="s">
        <v>1546</v>
      </c>
      <c r="J5790" s="320" t="s">
        <v>214</v>
      </c>
      <c r="K5790" s="178" t="s">
        <v>4872</v>
      </c>
      <c r="L5790" s="125" t="s">
        <v>1579</v>
      </c>
      <c r="M5790">
        <v>1319</v>
      </c>
      <c r="N5790" s="182">
        <v>243</v>
      </c>
      <c r="O5790">
        <v>3799</v>
      </c>
      <c r="P5790" s="132" t="s">
        <v>77</v>
      </c>
      <c r="Q5790" s="176">
        <f>1787.32+62.56</f>
        <v>1849.8799999999999</v>
      </c>
      <c r="R5790" s="176">
        <v>285.97000000000003</v>
      </c>
      <c r="S5790" s="176">
        <v>62.56</v>
      </c>
      <c r="T5790" s="190"/>
      <c r="U5790" s="191"/>
      <c r="V5790" s="191">
        <v>2135.85</v>
      </c>
      <c r="W5790">
        <v>93</v>
      </c>
      <c r="X5790" s="186" t="s">
        <v>1644</v>
      </c>
      <c r="Y5790" s="187" t="s">
        <v>55</v>
      </c>
      <c r="Z5790" s="311" t="s">
        <v>214</v>
      </c>
      <c r="AB5790" t="str">
        <f>IF(Table1[[#This Row],[TIPO2]]="costo", VLOOKUP(Table1[[#This Row],[PARTIDA PRESUPUESTAL]],'Cost Report'!G:G,1,0),"Balance")</f>
        <v>1641-012</v>
      </c>
      <c r="AD5790" s="159">
        <f>+Table1[[#This Row],[SUBTOTAL]]+Table1[[#This Row],[IVA]]-Table1[[#This Row],[RET IVA]]-Table1[[#This Row],[RET ISR]]-Table1[[#This Row],[TOTAL]]</f>
        <v>0</v>
      </c>
      <c r="AG5790" t="s">
        <v>3420</v>
      </c>
      <c r="AK5790" s="306" t="str">
        <f>IF(ISNUMBER(Table1[[#This Row],[FECHA DE RECIBIDO]]), Table1[[#This Row],[FECHA DE RECIBIDO]]-DATE(2023,8,30), "")</f>
        <v/>
      </c>
    </row>
    <row r="5791" spans="1:37" ht="16.05" customHeight="1">
      <c r="A5791" s="172" t="s">
        <v>5104</v>
      </c>
      <c r="B5791" s="178">
        <v>2077</v>
      </c>
      <c r="C5791" s="126" t="s">
        <v>5476</v>
      </c>
      <c r="D5791">
        <v>3968</v>
      </c>
      <c r="E5791" s="125" t="s">
        <v>1611</v>
      </c>
      <c r="F5791" s="178">
        <v>601</v>
      </c>
      <c r="G5791" s="178" t="s">
        <v>134</v>
      </c>
      <c r="H5791">
        <v>952</v>
      </c>
      <c r="I5791" s="178" t="s">
        <v>1546</v>
      </c>
      <c r="J5791" s="320" t="s">
        <v>214</v>
      </c>
      <c r="K5791" s="178" t="s">
        <v>4872</v>
      </c>
      <c r="L5791" s="125" t="s">
        <v>1579</v>
      </c>
      <c r="M5791">
        <v>1320</v>
      </c>
      <c r="N5791" s="182">
        <v>243</v>
      </c>
      <c r="O5791">
        <v>3800</v>
      </c>
      <c r="P5791" s="131" t="s">
        <v>77</v>
      </c>
      <c r="Q5791" s="176">
        <v>1525.87</v>
      </c>
      <c r="R5791" s="176">
        <v>244.14</v>
      </c>
      <c r="S5791" s="176"/>
      <c r="T5791" s="190"/>
      <c r="U5791" s="191"/>
      <c r="V5791" s="191">
        <v>1770.0099999999998</v>
      </c>
      <c r="W5791">
        <v>93</v>
      </c>
      <c r="X5791" s="186" t="s">
        <v>1644</v>
      </c>
      <c r="Y5791" s="187" t="s">
        <v>55</v>
      </c>
      <c r="Z5791" s="311" t="s">
        <v>214</v>
      </c>
      <c r="AB5791" t="str">
        <f>IF(Table1[[#This Row],[TIPO2]]="costo", VLOOKUP(Table1[[#This Row],[PARTIDA PRESUPUESTAL]],'Cost Report'!G:G,1,0),"Balance")</f>
        <v>7230-004</v>
      </c>
      <c r="AD5791" s="159">
        <f>+Table1[[#This Row],[SUBTOTAL]]+Table1[[#This Row],[IVA]]-Table1[[#This Row],[RET IVA]]-Table1[[#This Row],[RET ISR]]-Table1[[#This Row],[TOTAL]]</f>
        <v>0</v>
      </c>
      <c r="AG5791" t="s">
        <v>3420</v>
      </c>
      <c r="AJ5791" s="213" t="s">
        <v>5479</v>
      </c>
      <c r="AK5791" s="306" t="str">
        <f>IF(ISNUMBER(Table1[[#This Row],[FECHA DE RECIBIDO]]), Table1[[#This Row],[FECHA DE RECIBIDO]]-DATE(2023,8,30), "")</f>
        <v/>
      </c>
    </row>
    <row r="5792" spans="1:37" ht="16.05" customHeight="1">
      <c r="A5792" s="172" t="s">
        <v>5104</v>
      </c>
      <c r="B5792" s="178">
        <v>2077</v>
      </c>
      <c r="C5792" s="179" t="s">
        <v>4210</v>
      </c>
      <c r="D5792">
        <v>689</v>
      </c>
      <c r="E5792" s="125"/>
      <c r="F5792" s="178"/>
      <c r="G5792" s="178"/>
      <c r="H5792"/>
      <c r="I5792" s="178"/>
      <c r="J5792" s="320" t="s">
        <v>214</v>
      </c>
      <c r="K5792" s="178" t="s">
        <v>4872</v>
      </c>
      <c r="L5792" s="125" t="s">
        <v>1579</v>
      </c>
      <c r="M5792">
        <v>1321</v>
      </c>
      <c r="N5792" s="182">
        <v>243</v>
      </c>
      <c r="O5792">
        <v>3801</v>
      </c>
      <c r="P5792" s="132" t="s">
        <v>77</v>
      </c>
      <c r="Q5792" s="176">
        <v>523.5</v>
      </c>
      <c r="R5792" s="176"/>
      <c r="S5792" s="176"/>
      <c r="T5792" s="190"/>
      <c r="U5792" s="191"/>
      <c r="V5792" s="191">
        <v>523.5</v>
      </c>
      <c r="W5792">
        <v>93</v>
      </c>
      <c r="X5792" s="186" t="s">
        <v>1644</v>
      </c>
      <c r="Y5792" s="187" t="s">
        <v>55</v>
      </c>
      <c r="Z5792" s="311" t="s">
        <v>214</v>
      </c>
      <c r="AB5792" t="str">
        <f>IF(Table1[[#This Row],[TIPO2]]="costo", VLOOKUP(Table1[[#This Row],[PARTIDA PRESUPUESTAL]],'Cost Report'!G:G,1,0),"Balance")</f>
        <v>3901-051</v>
      </c>
      <c r="AD5792" s="159">
        <f>+Table1[[#This Row],[SUBTOTAL]]+Table1[[#This Row],[IVA]]-Table1[[#This Row],[RET IVA]]-Table1[[#This Row],[RET ISR]]-Table1[[#This Row],[TOTAL]]</f>
        <v>0</v>
      </c>
      <c r="AG5792" t="s">
        <v>3420</v>
      </c>
      <c r="AK5792" s="306" t="str">
        <f>IF(ISNUMBER(Table1[[#This Row],[FECHA DE RECIBIDO]]), Table1[[#This Row],[FECHA DE RECIBIDO]]-DATE(2023,8,30), "")</f>
        <v/>
      </c>
    </row>
    <row r="5793" spans="1:37" ht="16.05" customHeight="1">
      <c r="A5793" s="172" t="s">
        <v>5104</v>
      </c>
      <c r="B5793" s="178">
        <v>2077</v>
      </c>
      <c r="C5793" s="179" t="s">
        <v>977</v>
      </c>
      <c r="D5793">
        <v>689</v>
      </c>
      <c r="E5793" s="125"/>
      <c r="F5793" s="178"/>
      <c r="G5793" s="178"/>
      <c r="H5793"/>
      <c r="I5793" s="178"/>
      <c r="J5793" s="320" t="s">
        <v>214</v>
      </c>
      <c r="K5793" s="178" t="s">
        <v>4872</v>
      </c>
      <c r="L5793" s="125" t="s">
        <v>1579</v>
      </c>
      <c r="M5793">
        <v>1322</v>
      </c>
      <c r="N5793" s="182">
        <v>243</v>
      </c>
      <c r="O5793">
        <v>3802</v>
      </c>
      <c r="P5793" s="132" t="s">
        <v>77</v>
      </c>
      <c r="Q5793" s="176">
        <v>165</v>
      </c>
      <c r="R5793" s="176"/>
      <c r="S5793" s="176"/>
      <c r="T5793" s="190"/>
      <c r="U5793" s="191"/>
      <c r="V5793" s="191">
        <v>165</v>
      </c>
      <c r="W5793">
        <v>93</v>
      </c>
      <c r="X5793" s="186" t="s">
        <v>1644</v>
      </c>
      <c r="Y5793" s="187" t="s">
        <v>55</v>
      </c>
      <c r="Z5793" s="311" t="s">
        <v>214</v>
      </c>
      <c r="AB5793" t="str">
        <f>IF(Table1[[#This Row],[TIPO2]]="costo", VLOOKUP(Table1[[#This Row],[PARTIDA PRESUPUESTAL]],'Cost Report'!G:G,1,0),"Balance")</f>
        <v>3410-012</v>
      </c>
      <c r="AD5793" s="159">
        <f>+Table1[[#This Row],[SUBTOTAL]]+Table1[[#This Row],[IVA]]-Table1[[#This Row],[RET IVA]]-Table1[[#This Row],[RET ISR]]-Table1[[#This Row],[TOTAL]]</f>
        <v>0</v>
      </c>
      <c r="AG5793" t="s">
        <v>3420</v>
      </c>
      <c r="AK5793" s="306" t="str">
        <f>IF(ISNUMBER(Table1[[#This Row],[FECHA DE RECIBIDO]]), Table1[[#This Row],[FECHA DE RECIBIDO]]-DATE(2023,8,30), "")</f>
        <v/>
      </c>
    </row>
    <row r="5794" spans="1:37" ht="16.05" customHeight="1">
      <c r="A5794" s="172" t="s">
        <v>5104</v>
      </c>
      <c r="B5794" s="178">
        <v>2077</v>
      </c>
      <c r="C5794" s="179" t="s">
        <v>2829</v>
      </c>
      <c r="D5794">
        <v>689</v>
      </c>
      <c r="E5794" s="125"/>
      <c r="F5794" s="178"/>
      <c r="G5794" s="178"/>
      <c r="H5794"/>
      <c r="I5794" s="178"/>
      <c r="J5794" s="320" t="s">
        <v>214</v>
      </c>
      <c r="K5794" s="178" t="s">
        <v>4872</v>
      </c>
      <c r="L5794" s="125" t="s">
        <v>1579</v>
      </c>
      <c r="M5794">
        <v>1156</v>
      </c>
      <c r="N5794" s="182">
        <v>243</v>
      </c>
      <c r="O5794">
        <v>3803</v>
      </c>
      <c r="P5794" s="132" t="s">
        <v>77</v>
      </c>
      <c r="Q5794" s="176">
        <v>11</v>
      </c>
      <c r="R5794" s="176"/>
      <c r="S5794" s="176"/>
      <c r="T5794" s="190"/>
      <c r="U5794" s="191"/>
      <c r="V5794" s="191">
        <v>11</v>
      </c>
      <c r="W5794">
        <v>93</v>
      </c>
      <c r="X5794" s="186" t="s">
        <v>1644</v>
      </c>
      <c r="Y5794" s="187" t="s">
        <v>55</v>
      </c>
      <c r="Z5794" s="311">
        <v>188</v>
      </c>
      <c r="AB5794" t="str">
        <f>IF(Table1[[#This Row],[TIPO2]]="costo", VLOOKUP(Table1[[#This Row],[PARTIDA PRESUPUESTAL]],'Cost Report'!G:G,1,0),"Balance")</f>
        <v>3412-138</v>
      </c>
      <c r="AD5794" s="159">
        <f>+Table1[[#This Row],[SUBTOTAL]]+Table1[[#This Row],[IVA]]-Table1[[#This Row],[RET IVA]]-Table1[[#This Row],[RET ISR]]-Table1[[#This Row],[TOTAL]]</f>
        <v>0</v>
      </c>
      <c r="AG5794" t="s">
        <v>3420</v>
      </c>
      <c r="AK5794" s="306" t="str">
        <f>IF(ISNUMBER(Table1[[#This Row],[FECHA DE RECIBIDO]]), Table1[[#This Row],[FECHA DE RECIBIDO]]-DATE(2023,8,30), "")</f>
        <v/>
      </c>
    </row>
    <row r="5795" spans="1:37" ht="16.05" customHeight="1">
      <c r="A5795" s="172" t="s">
        <v>5104</v>
      </c>
      <c r="B5795" s="178">
        <v>2077</v>
      </c>
      <c r="C5795" s="179" t="s">
        <v>977</v>
      </c>
      <c r="D5795">
        <v>689</v>
      </c>
      <c r="E5795" s="125"/>
      <c r="F5795" s="178"/>
      <c r="G5795" s="178"/>
      <c r="H5795"/>
      <c r="I5795" s="178"/>
      <c r="J5795" s="320" t="s">
        <v>214</v>
      </c>
      <c r="K5795" s="178" t="s">
        <v>4872</v>
      </c>
      <c r="L5795" s="125" t="s">
        <v>1579</v>
      </c>
      <c r="M5795">
        <v>513</v>
      </c>
      <c r="N5795" s="182">
        <v>243</v>
      </c>
      <c r="O5795">
        <v>3804</v>
      </c>
      <c r="P5795" s="132" t="s">
        <v>77</v>
      </c>
      <c r="Q5795" s="176">
        <v>925</v>
      </c>
      <c r="R5795" s="176"/>
      <c r="S5795" s="176"/>
      <c r="T5795" s="190"/>
      <c r="U5795" s="191"/>
      <c r="V5795" s="191">
        <v>925</v>
      </c>
      <c r="W5795">
        <v>93</v>
      </c>
      <c r="X5795" s="186" t="s">
        <v>1644</v>
      </c>
      <c r="Y5795" s="187" t="s">
        <v>55</v>
      </c>
      <c r="Z5795" s="311">
        <v>219</v>
      </c>
      <c r="AB5795" t="str">
        <f>IF(Table1[[#This Row],[TIPO2]]="costo", VLOOKUP(Table1[[#This Row],[PARTIDA PRESUPUESTAL]],'Cost Report'!G:G,1,0),"Balance")</f>
        <v>3410-012</v>
      </c>
      <c r="AD5795" s="159">
        <f>+Table1[[#This Row],[SUBTOTAL]]+Table1[[#This Row],[IVA]]-Table1[[#This Row],[RET IVA]]-Table1[[#This Row],[RET ISR]]-Table1[[#This Row],[TOTAL]]</f>
        <v>0</v>
      </c>
      <c r="AG5795" t="s">
        <v>3420</v>
      </c>
      <c r="AK5795" s="306" t="str">
        <f>IF(ISNUMBER(Table1[[#This Row],[FECHA DE RECIBIDO]]), Table1[[#This Row],[FECHA DE RECIBIDO]]-DATE(2023,8,30), "")</f>
        <v/>
      </c>
    </row>
    <row r="5796" spans="1:37" ht="16.05" customHeight="1">
      <c r="A5796" s="172" t="s">
        <v>5104</v>
      </c>
      <c r="B5796" s="178">
        <v>2077</v>
      </c>
      <c r="C5796" s="179" t="s">
        <v>977</v>
      </c>
      <c r="D5796">
        <v>689</v>
      </c>
      <c r="E5796" s="125"/>
      <c r="F5796" s="178"/>
      <c r="G5796" s="178"/>
      <c r="H5796"/>
      <c r="I5796" s="178"/>
      <c r="J5796" s="320" t="s">
        <v>214</v>
      </c>
      <c r="K5796" s="178" t="s">
        <v>4872</v>
      </c>
      <c r="L5796" s="125" t="s">
        <v>1579</v>
      </c>
      <c r="M5796">
        <v>817</v>
      </c>
      <c r="N5796" s="182">
        <v>243</v>
      </c>
      <c r="O5796">
        <v>3805</v>
      </c>
      <c r="P5796" s="132" t="s">
        <v>77</v>
      </c>
      <c r="Q5796" s="176">
        <v>3996</v>
      </c>
      <c r="R5796" s="176"/>
      <c r="S5796" s="176"/>
      <c r="T5796" s="190"/>
      <c r="U5796" s="191"/>
      <c r="V5796" s="191">
        <v>3996</v>
      </c>
      <c r="W5796">
        <v>93</v>
      </c>
      <c r="X5796" s="186" t="s">
        <v>1644</v>
      </c>
      <c r="Y5796" s="187" t="s">
        <v>55</v>
      </c>
      <c r="Z5796" s="311">
        <v>310</v>
      </c>
      <c r="AB5796" t="str">
        <f>IF(Table1[[#This Row],[TIPO2]]="costo", VLOOKUP(Table1[[#This Row],[PARTIDA PRESUPUESTAL]],'Cost Report'!G:G,1,0),"Balance")</f>
        <v>3410-012</v>
      </c>
      <c r="AD5796" s="159">
        <f>+Table1[[#This Row],[SUBTOTAL]]+Table1[[#This Row],[IVA]]-Table1[[#This Row],[RET IVA]]-Table1[[#This Row],[RET ISR]]-Table1[[#This Row],[TOTAL]]</f>
        <v>0</v>
      </c>
      <c r="AG5796" t="s">
        <v>3420</v>
      </c>
      <c r="AK5796" s="306" t="str">
        <f>IF(ISNUMBER(Table1[[#This Row],[FECHA DE RECIBIDO]]), Table1[[#This Row],[FECHA DE RECIBIDO]]-DATE(2023,8,30), "")</f>
        <v/>
      </c>
    </row>
    <row r="5797" spans="1:37" ht="16.05" customHeight="1">
      <c r="A5797" s="172" t="s">
        <v>5104</v>
      </c>
      <c r="B5797" s="178">
        <v>2077</v>
      </c>
      <c r="C5797" s="179" t="s">
        <v>3103</v>
      </c>
      <c r="D5797">
        <v>689</v>
      </c>
      <c r="E5797" s="125"/>
      <c r="F5797" s="178"/>
      <c r="G5797" s="178"/>
      <c r="H5797"/>
      <c r="I5797" s="178"/>
      <c r="J5797" s="320" t="s">
        <v>214</v>
      </c>
      <c r="K5797" s="178" t="s">
        <v>4872</v>
      </c>
      <c r="L5797" s="125" t="s">
        <v>1579</v>
      </c>
      <c r="M5797">
        <v>383</v>
      </c>
      <c r="N5797" s="182">
        <v>243</v>
      </c>
      <c r="O5797">
        <v>162</v>
      </c>
      <c r="P5797" s="132" t="s">
        <v>77</v>
      </c>
      <c r="Q5797" s="176">
        <v>30.74</v>
      </c>
      <c r="R5797" s="176"/>
      <c r="S5797" s="176"/>
      <c r="T5797" s="190"/>
      <c r="U5797" s="191"/>
      <c r="V5797" s="191">
        <v>30.74</v>
      </c>
      <c r="W5797">
        <v>93</v>
      </c>
      <c r="X5797" s="186" t="s">
        <v>1644</v>
      </c>
      <c r="Y5797" s="187" t="s">
        <v>55</v>
      </c>
      <c r="Z5797" s="311" t="s">
        <v>214</v>
      </c>
      <c r="AB5797" t="str">
        <f>IF(Table1[[#This Row],[TIPO2]]="costo", VLOOKUP(Table1[[#This Row],[PARTIDA PRESUPUESTAL]],'Cost Report'!G:G,1,0),"Balance")</f>
        <v>7038-009</v>
      </c>
      <c r="AD5797" s="159">
        <f>+Table1[[#This Row],[SUBTOTAL]]+Table1[[#This Row],[IVA]]-Table1[[#This Row],[RET IVA]]-Table1[[#This Row],[RET ISR]]-Table1[[#This Row],[TOTAL]]</f>
        <v>0</v>
      </c>
      <c r="AG5797" t="s">
        <v>3420</v>
      </c>
      <c r="AK5797" s="306" t="str">
        <f>IF(ISNUMBER(Table1[[#This Row],[FECHA DE RECIBIDO]]), Table1[[#This Row],[FECHA DE RECIBIDO]]-DATE(2023,8,30), "")</f>
        <v/>
      </c>
    </row>
    <row r="5798" spans="1:37" ht="16.05" customHeight="1">
      <c r="A5798" s="172" t="s">
        <v>5105</v>
      </c>
      <c r="B5798" s="178">
        <v>2078</v>
      </c>
      <c r="C5798" s="126" t="s">
        <v>3415</v>
      </c>
      <c r="D5798">
        <v>947</v>
      </c>
      <c r="E5798" s="125" t="s">
        <v>1623</v>
      </c>
      <c r="F5798" s="178">
        <v>601</v>
      </c>
      <c r="G5798" s="178" t="s">
        <v>134</v>
      </c>
      <c r="H5798">
        <v>45</v>
      </c>
      <c r="I5798" s="178" t="s">
        <v>1546</v>
      </c>
      <c r="J5798" s="320" t="s">
        <v>214</v>
      </c>
      <c r="K5798" s="178" t="s">
        <v>4872</v>
      </c>
      <c r="L5798" s="125" t="s">
        <v>1579</v>
      </c>
      <c r="M5798">
        <v>656</v>
      </c>
      <c r="N5798" s="182">
        <v>243</v>
      </c>
      <c r="O5798">
        <v>3806</v>
      </c>
      <c r="P5798" s="132" t="s">
        <v>77</v>
      </c>
      <c r="Q5798" s="176">
        <v>172.41</v>
      </c>
      <c r="R5798" s="176">
        <v>27.59</v>
      </c>
      <c r="S5798" s="176"/>
      <c r="T5798" s="190"/>
      <c r="U5798" s="191"/>
      <c r="V5798" s="191">
        <v>200</v>
      </c>
      <c r="W5798">
        <v>167</v>
      </c>
      <c r="X5798" s="186" t="s">
        <v>1644</v>
      </c>
      <c r="Y5798" s="187" t="s">
        <v>55</v>
      </c>
      <c r="Z5798" s="311" t="s">
        <v>214</v>
      </c>
      <c r="AB5798" t="str">
        <f>IF(Table1[[#This Row],[TIPO2]]="costo", VLOOKUP(Table1[[#This Row],[PARTIDA PRESUPUESTAL]],'Cost Report'!G:G,1,0),"Balance")</f>
        <v>3629-006</v>
      </c>
      <c r="AD5798" s="159">
        <f>+Table1[[#This Row],[SUBTOTAL]]+Table1[[#This Row],[IVA]]-Table1[[#This Row],[RET IVA]]-Table1[[#This Row],[RET ISR]]-Table1[[#This Row],[TOTAL]]</f>
        <v>0</v>
      </c>
      <c r="AG5798" t="s">
        <v>3420</v>
      </c>
      <c r="AK5798" s="306" t="str">
        <f>IF(ISNUMBER(Table1[[#This Row],[FECHA DE RECIBIDO]]), Table1[[#This Row],[FECHA DE RECIBIDO]]-DATE(2023,8,30), "")</f>
        <v/>
      </c>
    </row>
    <row r="5799" spans="1:37" ht="16.05" customHeight="1">
      <c r="A5799" s="172" t="s">
        <v>5105</v>
      </c>
      <c r="B5799" s="178">
        <v>2078</v>
      </c>
      <c r="C5799" s="126" t="s">
        <v>3415</v>
      </c>
      <c r="D5799">
        <v>3969</v>
      </c>
      <c r="E5799" s="125" t="s">
        <v>1623</v>
      </c>
      <c r="F5799" s="178">
        <v>601</v>
      </c>
      <c r="G5799" s="178" t="s">
        <v>134</v>
      </c>
      <c r="H5799">
        <v>45</v>
      </c>
      <c r="I5799" s="178" t="s">
        <v>1546</v>
      </c>
      <c r="J5799" s="320" t="s">
        <v>214</v>
      </c>
      <c r="K5799" s="178" t="s">
        <v>4872</v>
      </c>
      <c r="L5799" s="125" t="s">
        <v>1579</v>
      </c>
      <c r="M5799">
        <v>656</v>
      </c>
      <c r="N5799" s="182">
        <v>243</v>
      </c>
      <c r="O5799">
        <v>3806</v>
      </c>
      <c r="P5799" s="132" t="s">
        <v>77</v>
      </c>
      <c r="Q5799" s="176">
        <v>948.28</v>
      </c>
      <c r="R5799" s="176">
        <v>151.72</v>
      </c>
      <c r="S5799" s="176"/>
      <c r="T5799" s="190"/>
      <c r="U5799" s="191"/>
      <c r="V5799" s="191">
        <v>1100</v>
      </c>
      <c r="W5799">
        <v>167</v>
      </c>
      <c r="X5799" s="186" t="s">
        <v>1644</v>
      </c>
      <c r="Y5799" s="187" t="s">
        <v>55</v>
      </c>
      <c r="Z5799" s="311" t="s">
        <v>214</v>
      </c>
      <c r="AB5799" t="str">
        <f>IF(Table1[[#This Row],[TIPO2]]="costo", VLOOKUP(Table1[[#This Row],[PARTIDA PRESUPUESTAL]],'Cost Report'!G:G,1,0),"Balance")</f>
        <v>3629-006</v>
      </c>
      <c r="AD5799" s="159">
        <f>+Table1[[#This Row],[SUBTOTAL]]+Table1[[#This Row],[IVA]]-Table1[[#This Row],[RET IVA]]-Table1[[#This Row],[RET ISR]]-Table1[[#This Row],[TOTAL]]</f>
        <v>0</v>
      </c>
      <c r="AG5799" t="s">
        <v>3420</v>
      </c>
      <c r="AK5799" s="306" t="str">
        <f>IF(ISNUMBER(Table1[[#This Row],[FECHA DE RECIBIDO]]), Table1[[#This Row],[FECHA DE RECIBIDO]]-DATE(2023,8,30), "")</f>
        <v/>
      </c>
    </row>
    <row r="5800" spans="1:37" ht="16.05" customHeight="1">
      <c r="A5800" s="172" t="s">
        <v>5105</v>
      </c>
      <c r="B5800" s="178">
        <v>2078</v>
      </c>
      <c r="C5800" s="179" t="s">
        <v>2860</v>
      </c>
      <c r="D5800">
        <v>3970</v>
      </c>
      <c r="E5800" s="125" t="s">
        <v>1603</v>
      </c>
      <c r="F5800" s="178">
        <v>601</v>
      </c>
      <c r="G5800" s="178" t="s">
        <v>134</v>
      </c>
      <c r="H5800">
        <v>43</v>
      </c>
      <c r="I5800" s="178" t="s">
        <v>1546</v>
      </c>
      <c r="J5800" s="320" t="s">
        <v>214</v>
      </c>
      <c r="K5800" s="178" t="s">
        <v>4872</v>
      </c>
      <c r="L5800" s="125" t="s">
        <v>1579</v>
      </c>
      <c r="M5800">
        <v>442</v>
      </c>
      <c r="N5800" s="182">
        <v>243</v>
      </c>
      <c r="O5800">
        <v>3807</v>
      </c>
      <c r="P5800" s="132" t="s">
        <v>77</v>
      </c>
      <c r="Q5800" s="176">
        <v>10.34</v>
      </c>
      <c r="R5800" s="176">
        <v>1.66</v>
      </c>
      <c r="S5800" s="176"/>
      <c r="T5800" s="190"/>
      <c r="U5800" s="191"/>
      <c r="V5800" s="191">
        <v>12</v>
      </c>
      <c r="W5800">
        <v>167</v>
      </c>
      <c r="X5800" s="186" t="s">
        <v>1644</v>
      </c>
      <c r="Y5800" s="187" t="s">
        <v>55</v>
      </c>
      <c r="Z5800" s="311">
        <v>433</v>
      </c>
      <c r="AB5800" t="str">
        <f>IF(Table1[[#This Row],[TIPO2]]="costo", VLOOKUP(Table1[[#This Row],[PARTIDA PRESUPUESTAL]],'Cost Report'!G:G,1,0),"Balance")</f>
        <v>3629-003</v>
      </c>
      <c r="AD5800" s="159">
        <f>+Table1[[#This Row],[SUBTOTAL]]+Table1[[#This Row],[IVA]]-Table1[[#This Row],[RET IVA]]-Table1[[#This Row],[RET ISR]]-Table1[[#This Row],[TOTAL]]</f>
        <v>0</v>
      </c>
      <c r="AG5800" t="s">
        <v>3420</v>
      </c>
      <c r="AK5800" s="306" t="str">
        <f>IF(ISNUMBER(Table1[[#This Row],[FECHA DE RECIBIDO]]), Table1[[#This Row],[FECHA DE RECIBIDO]]-DATE(2023,8,30), "")</f>
        <v/>
      </c>
    </row>
    <row r="5801" spans="1:37" ht="16.05" customHeight="1">
      <c r="A5801" s="172" t="s">
        <v>5105</v>
      </c>
      <c r="B5801" s="178">
        <v>2078</v>
      </c>
      <c r="C5801" s="179" t="s">
        <v>3108</v>
      </c>
      <c r="D5801">
        <v>3971</v>
      </c>
      <c r="E5801" s="125" t="s">
        <v>1609</v>
      </c>
      <c r="F5801" s="178">
        <v>601</v>
      </c>
      <c r="G5801" s="178" t="s">
        <v>134</v>
      </c>
      <c r="H5801">
        <v>43</v>
      </c>
      <c r="I5801" s="178" t="s">
        <v>1546</v>
      </c>
      <c r="J5801" s="320" t="s">
        <v>214</v>
      </c>
      <c r="K5801" s="178" t="s">
        <v>4872</v>
      </c>
      <c r="L5801" s="125" t="s">
        <v>1579</v>
      </c>
      <c r="M5801">
        <v>442</v>
      </c>
      <c r="N5801" s="182">
        <v>243</v>
      </c>
      <c r="O5801">
        <v>3808</v>
      </c>
      <c r="P5801" s="132" t="s">
        <v>77</v>
      </c>
      <c r="Q5801" s="176">
        <v>53.45</v>
      </c>
      <c r="R5801" s="176">
        <v>8.5500000000000007</v>
      </c>
      <c r="S5801" s="176"/>
      <c r="T5801" s="190"/>
      <c r="U5801" s="191"/>
      <c r="V5801" s="191">
        <v>62</v>
      </c>
      <c r="W5801">
        <v>167</v>
      </c>
      <c r="X5801" s="186" t="s">
        <v>1644</v>
      </c>
      <c r="Y5801" s="187" t="s">
        <v>55</v>
      </c>
      <c r="Z5801" s="311">
        <v>433</v>
      </c>
      <c r="AB5801" t="str">
        <f>IF(Table1[[#This Row],[TIPO2]]="costo", VLOOKUP(Table1[[#This Row],[PARTIDA PRESUPUESTAL]],'Cost Report'!G:G,1,0),"Balance")</f>
        <v>7080-003</v>
      </c>
      <c r="AD5801" s="159">
        <f>+Table1[[#This Row],[SUBTOTAL]]+Table1[[#This Row],[IVA]]-Table1[[#This Row],[RET IVA]]-Table1[[#This Row],[RET ISR]]-Table1[[#This Row],[TOTAL]]</f>
        <v>0</v>
      </c>
      <c r="AG5801" t="s">
        <v>3420</v>
      </c>
      <c r="AK5801" s="306" t="str">
        <f>IF(ISNUMBER(Table1[[#This Row],[FECHA DE RECIBIDO]]), Table1[[#This Row],[FECHA DE RECIBIDO]]-DATE(2023,8,30), "")</f>
        <v/>
      </c>
    </row>
    <row r="5802" spans="1:37" ht="16.05" customHeight="1">
      <c r="A5802" s="172" t="s">
        <v>5105</v>
      </c>
      <c r="B5802" s="178">
        <v>2078</v>
      </c>
      <c r="C5802" s="179" t="s">
        <v>2860</v>
      </c>
      <c r="D5802">
        <v>3972</v>
      </c>
      <c r="E5802" s="125" t="s">
        <v>1603</v>
      </c>
      <c r="F5802" s="178">
        <v>601</v>
      </c>
      <c r="G5802" s="178" t="s">
        <v>134</v>
      </c>
      <c r="H5802">
        <v>43</v>
      </c>
      <c r="I5802" s="178" t="s">
        <v>1546</v>
      </c>
      <c r="J5802" s="320" t="s">
        <v>214</v>
      </c>
      <c r="K5802" s="178" t="s">
        <v>4872</v>
      </c>
      <c r="L5802" s="125" t="s">
        <v>1579</v>
      </c>
      <c r="M5802">
        <v>442</v>
      </c>
      <c r="N5802" s="182">
        <v>243</v>
      </c>
      <c r="O5802">
        <v>3807</v>
      </c>
      <c r="P5802" s="132" t="s">
        <v>77</v>
      </c>
      <c r="Q5802" s="176">
        <v>10.34</v>
      </c>
      <c r="R5802" s="176">
        <v>1.66</v>
      </c>
      <c r="S5802" s="176"/>
      <c r="T5802" s="190"/>
      <c r="U5802" s="191"/>
      <c r="V5802" s="191">
        <v>12</v>
      </c>
      <c r="W5802">
        <v>167</v>
      </c>
      <c r="X5802" s="186" t="s">
        <v>1644</v>
      </c>
      <c r="Y5802" s="187" t="s">
        <v>55</v>
      </c>
      <c r="Z5802" s="311">
        <v>433</v>
      </c>
      <c r="AB5802" t="str">
        <f>IF(Table1[[#This Row],[TIPO2]]="costo", VLOOKUP(Table1[[#This Row],[PARTIDA PRESUPUESTAL]],'Cost Report'!G:G,1,0),"Balance")</f>
        <v>3629-003</v>
      </c>
      <c r="AD5802" s="159">
        <f>+Table1[[#This Row],[SUBTOTAL]]+Table1[[#This Row],[IVA]]-Table1[[#This Row],[RET IVA]]-Table1[[#This Row],[RET ISR]]-Table1[[#This Row],[TOTAL]]</f>
        <v>0</v>
      </c>
      <c r="AG5802" t="s">
        <v>3420</v>
      </c>
      <c r="AK5802" s="306" t="str">
        <f>IF(ISNUMBER(Table1[[#This Row],[FECHA DE RECIBIDO]]), Table1[[#This Row],[FECHA DE RECIBIDO]]-DATE(2023,8,30), "")</f>
        <v/>
      </c>
    </row>
    <row r="5803" spans="1:37" ht="16.05" customHeight="1">
      <c r="A5803" s="172" t="s">
        <v>5105</v>
      </c>
      <c r="B5803" s="178">
        <v>2078</v>
      </c>
      <c r="C5803" s="179" t="s">
        <v>2443</v>
      </c>
      <c r="D5803">
        <v>3973</v>
      </c>
      <c r="E5803" s="125" t="s">
        <v>3272</v>
      </c>
      <c r="F5803" s="178">
        <v>601</v>
      </c>
      <c r="G5803" s="178" t="s">
        <v>134</v>
      </c>
      <c r="H5803">
        <v>99</v>
      </c>
      <c r="I5803" s="178" t="s">
        <v>1546</v>
      </c>
      <c r="J5803" s="320" t="s">
        <v>214</v>
      </c>
      <c r="K5803" s="178" t="s">
        <v>4872</v>
      </c>
      <c r="L5803" s="125" t="s">
        <v>1579</v>
      </c>
      <c r="M5803">
        <v>134</v>
      </c>
      <c r="N5803" s="182">
        <v>243</v>
      </c>
      <c r="O5803">
        <v>3809</v>
      </c>
      <c r="P5803" s="132" t="s">
        <v>77</v>
      </c>
      <c r="Q5803" s="176">
        <v>55.17</v>
      </c>
      <c r="R5803" s="176">
        <v>8.83</v>
      </c>
      <c r="S5803" s="176"/>
      <c r="T5803" s="190"/>
      <c r="U5803" s="191"/>
      <c r="V5803" s="191">
        <v>64</v>
      </c>
      <c r="W5803">
        <v>167</v>
      </c>
      <c r="X5803" s="186" t="s">
        <v>1644</v>
      </c>
      <c r="Y5803" s="187" t="s">
        <v>55</v>
      </c>
      <c r="Z5803" s="311">
        <v>433</v>
      </c>
      <c r="AB5803" t="str">
        <f>IF(Table1[[#This Row],[TIPO2]]="costo", VLOOKUP(Table1[[#This Row],[PARTIDA PRESUPUESTAL]],'Cost Report'!G:G,1,0),"Balance")</f>
        <v>2080-003</v>
      </c>
      <c r="AD5803" s="159">
        <f>+Table1[[#This Row],[SUBTOTAL]]+Table1[[#This Row],[IVA]]-Table1[[#This Row],[RET IVA]]-Table1[[#This Row],[RET ISR]]-Table1[[#This Row],[TOTAL]]</f>
        <v>0</v>
      </c>
      <c r="AG5803" t="s">
        <v>3420</v>
      </c>
      <c r="AK5803" s="306" t="str">
        <f>IF(ISNUMBER(Table1[[#This Row],[FECHA DE RECIBIDO]]), Table1[[#This Row],[FECHA DE RECIBIDO]]-DATE(2023,8,30), "")</f>
        <v/>
      </c>
    </row>
    <row r="5804" spans="1:37" ht="16.05" customHeight="1">
      <c r="A5804" s="172" t="s">
        <v>5105</v>
      </c>
      <c r="B5804" s="178">
        <v>2078</v>
      </c>
      <c r="C5804" s="179" t="s">
        <v>977</v>
      </c>
      <c r="D5804">
        <v>3974</v>
      </c>
      <c r="E5804" s="125" t="s">
        <v>1603</v>
      </c>
      <c r="F5804" s="178">
        <v>601</v>
      </c>
      <c r="G5804" s="178" t="s">
        <v>134</v>
      </c>
      <c r="H5804">
        <v>43</v>
      </c>
      <c r="I5804" s="178" t="s">
        <v>1546</v>
      </c>
      <c r="J5804" s="320" t="s">
        <v>214</v>
      </c>
      <c r="K5804" s="178" t="s">
        <v>4872</v>
      </c>
      <c r="L5804" s="125" t="s">
        <v>1579</v>
      </c>
      <c r="M5804">
        <v>442</v>
      </c>
      <c r="N5804" s="182">
        <v>243</v>
      </c>
      <c r="O5804">
        <v>3810</v>
      </c>
      <c r="P5804" s="132" t="s">
        <v>77</v>
      </c>
      <c r="Q5804" s="176">
        <v>205.59</v>
      </c>
      <c r="R5804" s="176">
        <v>0.41</v>
      </c>
      <c r="S5804" s="176"/>
      <c r="T5804" s="190"/>
      <c r="U5804" s="191"/>
      <c r="V5804" s="191">
        <v>206</v>
      </c>
      <c r="W5804">
        <v>167</v>
      </c>
      <c r="X5804" s="186" t="s">
        <v>1644</v>
      </c>
      <c r="Y5804" s="187" t="s">
        <v>55</v>
      </c>
      <c r="Z5804" s="311" t="s">
        <v>214</v>
      </c>
      <c r="AB5804" t="str">
        <f>IF(Table1[[#This Row],[TIPO2]]="costo", VLOOKUP(Table1[[#This Row],[PARTIDA PRESUPUESTAL]],'Cost Report'!G:G,1,0),"Balance")</f>
        <v>3410-012</v>
      </c>
      <c r="AD5804" s="159">
        <f>+Table1[[#This Row],[SUBTOTAL]]+Table1[[#This Row],[IVA]]-Table1[[#This Row],[RET IVA]]-Table1[[#This Row],[RET ISR]]-Table1[[#This Row],[TOTAL]]</f>
        <v>0</v>
      </c>
      <c r="AG5804" t="s">
        <v>3420</v>
      </c>
      <c r="AK5804" s="306" t="str">
        <f>IF(ISNUMBER(Table1[[#This Row],[FECHA DE RECIBIDO]]), Table1[[#This Row],[FECHA DE RECIBIDO]]-DATE(2023,8,30), "")</f>
        <v/>
      </c>
    </row>
    <row r="5805" spans="1:37" ht="16.05" customHeight="1">
      <c r="A5805" s="172" t="s">
        <v>5105</v>
      </c>
      <c r="B5805" s="178">
        <v>2078</v>
      </c>
      <c r="C5805" s="179" t="s">
        <v>2860</v>
      </c>
      <c r="D5805">
        <v>3975</v>
      </c>
      <c r="E5805" s="125" t="s">
        <v>1603</v>
      </c>
      <c r="F5805" s="178">
        <v>601</v>
      </c>
      <c r="G5805" s="178" t="s">
        <v>134</v>
      </c>
      <c r="H5805">
        <v>43</v>
      </c>
      <c r="I5805" s="178" t="s">
        <v>1546</v>
      </c>
      <c r="J5805" s="320" t="s">
        <v>214</v>
      </c>
      <c r="K5805" s="178" t="s">
        <v>4872</v>
      </c>
      <c r="L5805" s="125" t="s">
        <v>1579</v>
      </c>
      <c r="M5805">
        <v>442</v>
      </c>
      <c r="N5805" s="182">
        <v>243</v>
      </c>
      <c r="O5805">
        <v>3807</v>
      </c>
      <c r="P5805" s="132" t="s">
        <v>77</v>
      </c>
      <c r="Q5805" s="176">
        <v>93.1</v>
      </c>
      <c r="R5805" s="176">
        <v>14.9</v>
      </c>
      <c r="S5805" s="176"/>
      <c r="T5805" s="190"/>
      <c r="U5805" s="191"/>
      <c r="V5805" s="191">
        <v>108</v>
      </c>
      <c r="W5805">
        <v>167</v>
      </c>
      <c r="X5805" s="186" t="s">
        <v>1644</v>
      </c>
      <c r="Y5805" s="187" t="s">
        <v>55</v>
      </c>
      <c r="Z5805" s="311" t="s">
        <v>214</v>
      </c>
      <c r="AB5805" t="str">
        <f>IF(Table1[[#This Row],[TIPO2]]="costo", VLOOKUP(Table1[[#This Row],[PARTIDA PRESUPUESTAL]],'Cost Report'!G:G,1,0),"Balance")</f>
        <v>3629-003</v>
      </c>
      <c r="AD5805" s="159">
        <f>+Table1[[#This Row],[SUBTOTAL]]+Table1[[#This Row],[IVA]]-Table1[[#This Row],[RET IVA]]-Table1[[#This Row],[RET ISR]]-Table1[[#This Row],[TOTAL]]</f>
        <v>0</v>
      </c>
      <c r="AG5805" t="s">
        <v>3420</v>
      </c>
      <c r="AK5805" s="306" t="str">
        <f>IF(ISNUMBER(Table1[[#This Row],[FECHA DE RECIBIDO]]), Table1[[#This Row],[FECHA DE RECIBIDO]]-DATE(2023,8,30), "")</f>
        <v/>
      </c>
    </row>
    <row r="5806" spans="1:37" ht="16.05" customHeight="1">
      <c r="A5806" s="172" t="s">
        <v>5105</v>
      </c>
      <c r="B5806" s="178">
        <v>2078</v>
      </c>
      <c r="C5806" s="126" t="s">
        <v>3415</v>
      </c>
      <c r="D5806">
        <v>3976</v>
      </c>
      <c r="E5806" s="125" t="s">
        <v>1623</v>
      </c>
      <c r="F5806" s="178">
        <v>601</v>
      </c>
      <c r="G5806" s="178" t="s">
        <v>134</v>
      </c>
      <c r="H5806">
        <v>45</v>
      </c>
      <c r="I5806" s="178" t="s">
        <v>1546</v>
      </c>
      <c r="J5806" s="320" t="s">
        <v>214</v>
      </c>
      <c r="K5806" s="178" t="s">
        <v>4872</v>
      </c>
      <c r="L5806" s="125" t="s">
        <v>1579</v>
      </c>
      <c r="M5806">
        <v>656</v>
      </c>
      <c r="N5806" s="182">
        <v>243</v>
      </c>
      <c r="O5806">
        <v>3806</v>
      </c>
      <c r="P5806" s="132" t="s">
        <v>77</v>
      </c>
      <c r="Q5806" s="176">
        <v>862.07</v>
      </c>
      <c r="R5806" s="176">
        <v>137.93</v>
      </c>
      <c r="S5806" s="176"/>
      <c r="T5806" s="190"/>
      <c r="U5806" s="191"/>
      <c r="V5806" s="191">
        <v>1000</v>
      </c>
      <c r="W5806">
        <v>167</v>
      </c>
      <c r="X5806" s="186" t="s">
        <v>1644</v>
      </c>
      <c r="Y5806" s="187" t="s">
        <v>55</v>
      </c>
      <c r="Z5806" s="311" t="s">
        <v>214</v>
      </c>
      <c r="AB5806" t="str">
        <f>IF(Table1[[#This Row],[TIPO2]]="costo", VLOOKUP(Table1[[#This Row],[PARTIDA PRESUPUESTAL]],'Cost Report'!G:G,1,0),"Balance")</f>
        <v>3629-006</v>
      </c>
      <c r="AD5806" s="159">
        <f>+Table1[[#This Row],[SUBTOTAL]]+Table1[[#This Row],[IVA]]-Table1[[#This Row],[RET IVA]]-Table1[[#This Row],[RET ISR]]-Table1[[#This Row],[TOTAL]]</f>
        <v>0</v>
      </c>
      <c r="AG5806" t="s">
        <v>3420</v>
      </c>
      <c r="AK5806" s="306" t="str">
        <f>IF(ISNUMBER(Table1[[#This Row],[FECHA DE RECIBIDO]]), Table1[[#This Row],[FECHA DE RECIBIDO]]-DATE(2023,8,30), "")</f>
        <v/>
      </c>
    </row>
    <row r="5807" spans="1:37" ht="16.05" customHeight="1">
      <c r="A5807" s="172" t="s">
        <v>5105</v>
      </c>
      <c r="B5807" s="178">
        <v>2078</v>
      </c>
      <c r="C5807" s="126" t="s">
        <v>3415</v>
      </c>
      <c r="D5807">
        <v>3977</v>
      </c>
      <c r="E5807" s="125" t="s">
        <v>1623</v>
      </c>
      <c r="F5807" s="178">
        <v>601</v>
      </c>
      <c r="G5807" s="178" t="s">
        <v>134</v>
      </c>
      <c r="H5807">
        <v>45</v>
      </c>
      <c r="I5807" s="178" t="s">
        <v>1546</v>
      </c>
      <c r="J5807" s="320" t="s">
        <v>214</v>
      </c>
      <c r="K5807" s="178" t="s">
        <v>4872</v>
      </c>
      <c r="L5807" s="125" t="s">
        <v>1579</v>
      </c>
      <c r="M5807">
        <v>656</v>
      </c>
      <c r="N5807" s="182">
        <v>243</v>
      </c>
      <c r="O5807">
        <v>3806</v>
      </c>
      <c r="P5807" s="132" t="s">
        <v>77</v>
      </c>
      <c r="Q5807" s="176">
        <v>862.07</v>
      </c>
      <c r="R5807" s="176">
        <v>137.93</v>
      </c>
      <c r="S5807" s="176"/>
      <c r="T5807" s="190"/>
      <c r="U5807" s="191"/>
      <c r="V5807" s="191">
        <v>1000</v>
      </c>
      <c r="W5807">
        <v>167</v>
      </c>
      <c r="X5807" s="186" t="s">
        <v>1644</v>
      </c>
      <c r="Y5807" s="187" t="s">
        <v>55</v>
      </c>
      <c r="Z5807" s="311" t="s">
        <v>214</v>
      </c>
      <c r="AB5807" t="str">
        <f>IF(Table1[[#This Row],[TIPO2]]="costo", VLOOKUP(Table1[[#This Row],[PARTIDA PRESUPUESTAL]],'Cost Report'!G:G,1,0),"Balance")</f>
        <v>3629-006</v>
      </c>
      <c r="AD5807" s="159">
        <f>+Table1[[#This Row],[SUBTOTAL]]+Table1[[#This Row],[IVA]]-Table1[[#This Row],[RET IVA]]-Table1[[#This Row],[RET ISR]]-Table1[[#This Row],[TOTAL]]</f>
        <v>0</v>
      </c>
      <c r="AG5807" t="s">
        <v>3420</v>
      </c>
      <c r="AK5807" s="306" t="str">
        <f>IF(ISNUMBER(Table1[[#This Row],[FECHA DE RECIBIDO]]), Table1[[#This Row],[FECHA DE RECIBIDO]]-DATE(2023,8,30), "")</f>
        <v/>
      </c>
    </row>
    <row r="5808" spans="1:37" ht="16.05" customHeight="1">
      <c r="A5808" s="172" t="s">
        <v>5105</v>
      </c>
      <c r="B5808" s="178">
        <v>2078</v>
      </c>
      <c r="C5808" s="126" t="s">
        <v>3415</v>
      </c>
      <c r="D5808">
        <v>3978</v>
      </c>
      <c r="E5808" s="125" t="s">
        <v>1623</v>
      </c>
      <c r="F5808" s="178">
        <v>601</v>
      </c>
      <c r="G5808" s="178" t="s">
        <v>134</v>
      </c>
      <c r="H5808">
        <v>45</v>
      </c>
      <c r="I5808" s="178" t="s">
        <v>1546</v>
      </c>
      <c r="J5808" s="320" t="s">
        <v>214</v>
      </c>
      <c r="K5808" s="178" t="s">
        <v>4872</v>
      </c>
      <c r="L5808" s="125" t="s">
        <v>1579</v>
      </c>
      <c r="M5808">
        <v>656</v>
      </c>
      <c r="N5808" s="182">
        <v>243</v>
      </c>
      <c r="O5808">
        <v>3806</v>
      </c>
      <c r="P5808" s="132" t="s">
        <v>77</v>
      </c>
      <c r="Q5808" s="176">
        <v>1293.0999999999999</v>
      </c>
      <c r="R5808" s="176">
        <v>206.9</v>
      </c>
      <c r="S5808" s="176"/>
      <c r="T5808" s="190"/>
      <c r="U5808" s="191"/>
      <c r="V5808" s="191">
        <v>1500</v>
      </c>
      <c r="W5808">
        <v>167</v>
      </c>
      <c r="X5808" s="186" t="s">
        <v>1644</v>
      </c>
      <c r="Y5808" s="187" t="s">
        <v>55</v>
      </c>
      <c r="Z5808" s="311" t="s">
        <v>214</v>
      </c>
      <c r="AB5808" t="str">
        <f>IF(Table1[[#This Row],[TIPO2]]="costo", VLOOKUP(Table1[[#This Row],[PARTIDA PRESUPUESTAL]],'Cost Report'!G:G,1,0),"Balance")</f>
        <v>3629-006</v>
      </c>
      <c r="AD5808" s="159">
        <f>+Table1[[#This Row],[SUBTOTAL]]+Table1[[#This Row],[IVA]]-Table1[[#This Row],[RET IVA]]-Table1[[#This Row],[RET ISR]]-Table1[[#This Row],[TOTAL]]</f>
        <v>0</v>
      </c>
      <c r="AG5808" t="s">
        <v>3420</v>
      </c>
      <c r="AK5808" s="306" t="str">
        <f>IF(ISNUMBER(Table1[[#This Row],[FECHA DE RECIBIDO]]), Table1[[#This Row],[FECHA DE RECIBIDO]]-DATE(2023,8,30), "")</f>
        <v/>
      </c>
    </row>
    <row r="5809" spans="1:37" ht="16.05" customHeight="1">
      <c r="A5809" s="172" t="s">
        <v>5105</v>
      </c>
      <c r="B5809" s="178">
        <v>2078</v>
      </c>
      <c r="C5809" s="126" t="s">
        <v>3415</v>
      </c>
      <c r="D5809">
        <v>3979</v>
      </c>
      <c r="E5809" s="125" t="s">
        <v>1623</v>
      </c>
      <c r="F5809" s="178">
        <v>601</v>
      </c>
      <c r="G5809" s="178" t="s">
        <v>134</v>
      </c>
      <c r="H5809">
        <v>45</v>
      </c>
      <c r="I5809" s="178" t="s">
        <v>1546</v>
      </c>
      <c r="J5809" s="320" t="s">
        <v>214</v>
      </c>
      <c r="K5809" s="178" t="s">
        <v>4872</v>
      </c>
      <c r="L5809" s="125" t="s">
        <v>1579</v>
      </c>
      <c r="M5809">
        <v>656</v>
      </c>
      <c r="N5809" s="182">
        <v>243</v>
      </c>
      <c r="O5809">
        <v>3806</v>
      </c>
      <c r="P5809" s="132" t="s">
        <v>77</v>
      </c>
      <c r="Q5809" s="176">
        <v>1724.14</v>
      </c>
      <c r="R5809" s="176">
        <v>275.86</v>
      </c>
      <c r="S5809" s="176"/>
      <c r="T5809" s="190"/>
      <c r="U5809" s="191"/>
      <c r="V5809" s="191">
        <v>2000</v>
      </c>
      <c r="W5809">
        <v>167</v>
      </c>
      <c r="X5809" s="186" t="s">
        <v>1644</v>
      </c>
      <c r="Y5809" s="187" t="s">
        <v>55</v>
      </c>
      <c r="Z5809" s="311" t="s">
        <v>214</v>
      </c>
      <c r="AB5809" t="str">
        <f>IF(Table1[[#This Row],[TIPO2]]="costo", VLOOKUP(Table1[[#This Row],[PARTIDA PRESUPUESTAL]],'Cost Report'!G:G,1,0),"Balance")</f>
        <v>3629-006</v>
      </c>
      <c r="AD5809" s="159">
        <f>+Table1[[#This Row],[SUBTOTAL]]+Table1[[#This Row],[IVA]]-Table1[[#This Row],[RET IVA]]-Table1[[#This Row],[RET ISR]]-Table1[[#This Row],[TOTAL]]</f>
        <v>0</v>
      </c>
      <c r="AG5809" t="s">
        <v>3420</v>
      </c>
      <c r="AK5809" s="306" t="str">
        <f>IF(ISNUMBER(Table1[[#This Row],[FECHA DE RECIBIDO]]), Table1[[#This Row],[FECHA DE RECIBIDO]]-DATE(2023,8,30), "")</f>
        <v/>
      </c>
    </row>
    <row r="5810" spans="1:37" ht="16.05" customHeight="1">
      <c r="A5810" s="172" t="s">
        <v>5105</v>
      </c>
      <c r="B5810" s="178">
        <v>2078</v>
      </c>
      <c r="C5810" s="126" t="s">
        <v>3415</v>
      </c>
      <c r="D5810">
        <v>3980</v>
      </c>
      <c r="E5810" s="125" t="s">
        <v>1623</v>
      </c>
      <c r="F5810" s="178">
        <v>601</v>
      </c>
      <c r="G5810" s="178" t="s">
        <v>134</v>
      </c>
      <c r="H5810">
        <v>45</v>
      </c>
      <c r="I5810" s="178" t="s">
        <v>1546</v>
      </c>
      <c r="J5810" s="320" t="s">
        <v>214</v>
      </c>
      <c r="K5810" s="178" t="s">
        <v>4872</v>
      </c>
      <c r="L5810" s="125" t="s">
        <v>1579</v>
      </c>
      <c r="M5810">
        <v>656</v>
      </c>
      <c r="N5810" s="182">
        <v>243</v>
      </c>
      <c r="O5810">
        <v>3806</v>
      </c>
      <c r="P5810" s="132" t="s">
        <v>77</v>
      </c>
      <c r="Q5810" s="176">
        <v>1724.14</v>
      </c>
      <c r="R5810" s="176">
        <v>275.86</v>
      </c>
      <c r="S5810" s="176"/>
      <c r="T5810" s="190"/>
      <c r="U5810" s="191"/>
      <c r="V5810" s="191">
        <v>2000</v>
      </c>
      <c r="W5810">
        <v>167</v>
      </c>
      <c r="X5810" s="186" t="s">
        <v>1644</v>
      </c>
      <c r="Y5810" s="187" t="s">
        <v>55</v>
      </c>
      <c r="Z5810" s="311" t="s">
        <v>214</v>
      </c>
      <c r="AB5810" t="str">
        <f>IF(Table1[[#This Row],[TIPO2]]="costo", VLOOKUP(Table1[[#This Row],[PARTIDA PRESUPUESTAL]],'Cost Report'!G:G,1,0),"Balance")</f>
        <v>3629-006</v>
      </c>
      <c r="AD5810" s="159">
        <f>+Table1[[#This Row],[SUBTOTAL]]+Table1[[#This Row],[IVA]]-Table1[[#This Row],[RET IVA]]-Table1[[#This Row],[RET ISR]]-Table1[[#This Row],[TOTAL]]</f>
        <v>0</v>
      </c>
      <c r="AG5810" t="s">
        <v>3420</v>
      </c>
      <c r="AK5810" s="306" t="str">
        <f>IF(ISNUMBER(Table1[[#This Row],[FECHA DE RECIBIDO]]), Table1[[#This Row],[FECHA DE RECIBIDO]]-DATE(2023,8,30), "")</f>
        <v/>
      </c>
    </row>
    <row r="5811" spans="1:37" ht="16.05" customHeight="1">
      <c r="A5811" s="172" t="s">
        <v>5105</v>
      </c>
      <c r="B5811" s="178">
        <v>2078</v>
      </c>
      <c r="C5811" s="126" t="s">
        <v>3415</v>
      </c>
      <c r="D5811">
        <v>3981</v>
      </c>
      <c r="E5811" s="125" t="s">
        <v>1623</v>
      </c>
      <c r="F5811" s="178">
        <v>601</v>
      </c>
      <c r="G5811" s="178" t="s">
        <v>134</v>
      </c>
      <c r="H5811">
        <v>45</v>
      </c>
      <c r="I5811" s="178" t="s">
        <v>1546</v>
      </c>
      <c r="J5811" s="320" t="s">
        <v>214</v>
      </c>
      <c r="K5811" s="178" t="s">
        <v>4872</v>
      </c>
      <c r="L5811" s="125" t="s">
        <v>1579</v>
      </c>
      <c r="M5811">
        <v>656</v>
      </c>
      <c r="N5811" s="182">
        <v>243</v>
      </c>
      <c r="O5811">
        <v>3806</v>
      </c>
      <c r="P5811" s="132" t="s">
        <v>77</v>
      </c>
      <c r="Q5811" s="176">
        <v>1724.14</v>
      </c>
      <c r="R5811" s="176">
        <v>275.86</v>
      </c>
      <c r="S5811" s="176"/>
      <c r="T5811" s="190"/>
      <c r="U5811" s="191"/>
      <c r="V5811" s="191">
        <v>2000</v>
      </c>
      <c r="W5811">
        <v>167</v>
      </c>
      <c r="X5811" s="186" t="s">
        <v>1644</v>
      </c>
      <c r="Y5811" s="187" t="s">
        <v>55</v>
      </c>
      <c r="Z5811" s="311" t="s">
        <v>214</v>
      </c>
      <c r="AB5811" t="str">
        <f>IF(Table1[[#This Row],[TIPO2]]="costo", VLOOKUP(Table1[[#This Row],[PARTIDA PRESUPUESTAL]],'Cost Report'!G:G,1,0),"Balance")</f>
        <v>3629-006</v>
      </c>
      <c r="AD5811" s="159">
        <f>+Table1[[#This Row],[SUBTOTAL]]+Table1[[#This Row],[IVA]]-Table1[[#This Row],[RET IVA]]-Table1[[#This Row],[RET ISR]]-Table1[[#This Row],[TOTAL]]</f>
        <v>0</v>
      </c>
      <c r="AG5811" t="s">
        <v>3420</v>
      </c>
      <c r="AK5811" s="306" t="str">
        <f>IF(ISNUMBER(Table1[[#This Row],[FECHA DE RECIBIDO]]), Table1[[#This Row],[FECHA DE RECIBIDO]]-DATE(2023,8,30), "")</f>
        <v/>
      </c>
    </row>
    <row r="5812" spans="1:37" ht="16.05" customHeight="1">
      <c r="A5812" s="172" t="s">
        <v>5105</v>
      </c>
      <c r="B5812" s="178">
        <v>2078</v>
      </c>
      <c r="C5812" s="126" t="s">
        <v>3415</v>
      </c>
      <c r="D5812">
        <v>3982</v>
      </c>
      <c r="E5812" s="125" t="s">
        <v>1623</v>
      </c>
      <c r="F5812" s="178">
        <v>601</v>
      </c>
      <c r="G5812" s="178" t="s">
        <v>134</v>
      </c>
      <c r="H5812">
        <v>45</v>
      </c>
      <c r="I5812" s="178" t="s">
        <v>1546</v>
      </c>
      <c r="J5812" s="320" t="s">
        <v>214</v>
      </c>
      <c r="K5812" s="178" t="s">
        <v>4872</v>
      </c>
      <c r="L5812" s="125" t="s">
        <v>1579</v>
      </c>
      <c r="M5812">
        <v>656</v>
      </c>
      <c r="N5812" s="182">
        <v>243</v>
      </c>
      <c r="O5812">
        <v>3806</v>
      </c>
      <c r="P5812" s="132" t="s">
        <v>77</v>
      </c>
      <c r="Q5812" s="176">
        <v>1724.14</v>
      </c>
      <c r="R5812" s="176">
        <v>275.86</v>
      </c>
      <c r="S5812" s="176"/>
      <c r="T5812" s="190"/>
      <c r="U5812" s="191"/>
      <c r="V5812" s="191">
        <v>2000</v>
      </c>
      <c r="W5812">
        <v>167</v>
      </c>
      <c r="X5812" s="186" t="s">
        <v>1644</v>
      </c>
      <c r="Y5812" s="187" t="s">
        <v>55</v>
      </c>
      <c r="Z5812" s="311" t="s">
        <v>214</v>
      </c>
      <c r="AB5812" t="str">
        <f>IF(Table1[[#This Row],[TIPO2]]="costo", VLOOKUP(Table1[[#This Row],[PARTIDA PRESUPUESTAL]],'Cost Report'!G:G,1,0),"Balance")</f>
        <v>3629-006</v>
      </c>
      <c r="AD5812" s="159">
        <f>+Table1[[#This Row],[SUBTOTAL]]+Table1[[#This Row],[IVA]]-Table1[[#This Row],[RET IVA]]-Table1[[#This Row],[RET ISR]]-Table1[[#This Row],[TOTAL]]</f>
        <v>0</v>
      </c>
      <c r="AG5812" t="s">
        <v>3420</v>
      </c>
      <c r="AK5812" s="306" t="str">
        <f>IF(ISNUMBER(Table1[[#This Row],[FECHA DE RECIBIDO]]), Table1[[#This Row],[FECHA DE RECIBIDO]]-DATE(2023,8,30), "")</f>
        <v/>
      </c>
    </row>
    <row r="5813" spans="1:37" ht="16.05" customHeight="1">
      <c r="A5813" s="172" t="s">
        <v>5105</v>
      </c>
      <c r="B5813" s="178">
        <v>2078</v>
      </c>
      <c r="C5813" s="126" t="s">
        <v>3415</v>
      </c>
      <c r="D5813">
        <v>3983</v>
      </c>
      <c r="E5813" s="125" t="s">
        <v>1623</v>
      </c>
      <c r="F5813" s="178">
        <v>601</v>
      </c>
      <c r="G5813" s="178" t="s">
        <v>134</v>
      </c>
      <c r="H5813">
        <v>45</v>
      </c>
      <c r="I5813" s="178" t="s">
        <v>1546</v>
      </c>
      <c r="J5813" s="320" t="s">
        <v>214</v>
      </c>
      <c r="K5813" s="178" t="s">
        <v>4872</v>
      </c>
      <c r="L5813" s="125" t="s">
        <v>1579</v>
      </c>
      <c r="M5813">
        <v>656</v>
      </c>
      <c r="N5813" s="182">
        <v>243</v>
      </c>
      <c r="O5813">
        <v>3806</v>
      </c>
      <c r="P5813" s="132" t="s">
        <v>77</v>
      </c>
      <c r="Q5813" s="176">
        <v>1724.14</v>
      </c>
      <c r="R5813" s="176">
        <v>275.86</v>
      </c>
      <c r="S5813" s="176"/>
      <c r="T5813" s="190"/>
      <c r="U5813" s="191"/>
      <c r="V5813" s="191">
        <v>2000</v>
      </c>
      <c r="W5813">
        <v>167</v>
      </c>
      <c r="X5813" s="186" t="s">
        <v>1644</v>
      </c>
      <c r="Y5813" s="187" t="s">
        <v>55</v>
      </c>
      <c r="Z5813" s="311" t="s">
        <v>214</v>
      </c>
      <c r="AB5813" t="str">
        <f>IF(Table1[[#This Row],[TIPO2]]="costo", VLOOKUP(Table1[[#This Row],[PARTIDA PRESUPUESTAL]],'Cost Report'!G:G,1,0),"Balance")</f>
        <v>3629-006</v>
      </c>
      <c r="AD5813" s="159">
        <f>+Table1[[#This Row],[SUBTOTAL]]+Table1[[#This Row],[IVA]]-Table1[[#This Row],[RET IVA]]-Table1[[#This Row],[RET ISR]]-Table1[[#This Row],[TOTAL]]</f>
        <v>0</v>
      </c>
      <c r="AG5813" t="s">
        <v>3420</v>
      </c>
      <c r="AK5813" s="306" t="str">
        <f>IF(ISNUMBER(Table1[[#This Row],[FECHA DE RECIBIDO]]), Table1[[#This Row],[FECHA DE RECIBIDO]]-DATE(2023,8,30), "")</f>
        <v/>
      </c>
    </row>
    <row r="5814" spans="1:37" ht="16.05" customHeight="1">
      <c r="A5814" s="172" t="s">
        <v>5105</v>
      </c>
      <c r="B5814" s="178">
        <v>2078</v>
      </c>
      <c r="C5814" s="179" t="s">
        <v>4210</v>
      </c>
      <c r="D5814">
        <v>3984</v>
      </c>
      <c r="E5814" s="125" t="s">
        <v>2075</v>
      </c>
      <c r="F5814" s="178">
        <v>624</v>
      </c>
      <c r="G5814" s="178" t="s">
        <v>5106</v>
      </c>
      <c r="H5814">
        <v>146</v>
      </c>
      <c r="I5814" s="178" t="s">
        <v>1546</v>
      </c>
      <c r="J5814" s="320" t="s">
        <v>214</v>
      </c>
      <c r="K5814" s="178" t="s">
        <v>4872</v>
      </c>
      <c r="L5814" s="125" t="s">
        <v>1579</v>
      </c>
      <c r="M5814">
        <v>661</v>
      </c>
      <c r="N5814" s="182">
        <v>243</v>
      </c>
      <c r="O5814">
        <v>3811</v>
      </c>
      <c r="P5814" s="132" t="s">
        <v>77</v>
      </c>
      <c r="Q5814" s="176">
        <v>771.55</v>
      </c>
      <c r="R5814" s="176">
        <v>123.45</v>
      </c>
      <c r="S5814" s="176"/>
      <c r="T5814" s="190"/>
      <c r="U5814" s="191"/>
      <c r="V5814" s="191">
        <v>895</v>
      </c>
      <c r="W5814">
        <v>167</v>
      </c>
      <c r="X5814" s="186" t="s">
        <v>1644</v>
      </c>
      <c r="Y5814" s="187" t="s">
        <v>55</v>
      </c>
      <c r="Z5814" s="311" t="s">
        <v>214</v>
      </c>
      <c r="AB5814" t="str">
        <f>IF(Table1[[#This Row],[TIPO2]]="costo", VLOOKUP(Table1[[#This Row],[PARTIDA PRESUPUESTAL]],'Cost Report'!G:G,1,0),"Balance")</f>
        <v>3901-051</v>
      </c>
      <c r="AD5814" s="159">
        <f>+Table1[[#This Row],[SUBTOTAL]]+Table1[[#This Row],[IVA]]-Table1[[#This Row],[RET IVA]]-Table1[[#This Row],[RET ISR]]-Table1[[#This Row],[TOTAL]]</f>
        <v>0</v>
      </c>
      <c r="AG5814" t="s">
        <v>3420</v>
      </c>
      <c r="AK5814" s="306" t="str">
        <f>IF(ISNUMBER(Table1[[#This Row],[FECHA DE RECIBIDO]]), Table1[[#This Row],[FECHA DE RECIBIDO]]-DATE(2023,8,30), "")</f>
        <v/>
      </c>
    </row>
    <row r="5815" spans="1:37" ht="16.05" customHeight="1">
      <c r="A5815" s="172" t="s">
        <v>5105</v>
      </c>
      <c r="B5815" s="178">
        <v>2078</v>
      </c>
      <c r="C5815" s="126" t="s">
        <v>3415</v>
      </c>
      <c r="D5815">
        <v>3985</v>
      </c>
      <c r="E5815" s="125" t="s">
        <v>1623</v>
      </c>
      <c r="F5815" s="178">
        <v>601</v>
      </c>
      <c r="G5815" s="178" t="s">
        <v>134</v>
      </c>
      <c r="H5815">
        <v>45</v>
      </c>
      <c r="I5815" s="178" t="s">
        <v>1546</v>
      </c>
      <c r="J5815" s="320" t="s">
        <v>214</v>
      </c>
      <c r="K5815" s="178" t="s">
        <v>4872</v>
      </c>
      <c r="L5815" s="125" t="s">
        <v>1579</v>
      </c>
      <c r="M5815">
        <v>656</v>
      </c>
      <c r="N5815" s="182">
        <v>243</v>
      </c>
      <c r="O5815">
        <v>3806</v>
      </c>
      <c r="P5815" s="132" t="s">
        <v>77</v>
      </c>
      <c r="Q5815" s="176">
        <v>862.07</v>
      </c>
      <c r="R5815" s="176">
        <v>137.93</v>
      </c>
      <c r="S5815" s="176"/>
      <c r="T5815" s="190"/>
      <c r="U5815" s="191"/>
      <c r="V5815" s="191">
        <v>1000</v>
      </c>
      <c r="W5815">
        <v>167</v>
      </c>
      <c r="X5815" s="186" t="s">
        <v>1644</v>
      </c>
      <c r="Y5815" s="187" t="s">
        <v>55</v>
      </c>
      <c r="Z5815" s="311" t="s">
        <v>214</v>
      </c>
      <c r="AB5815" t="str">
        <f>IF(Table1[[#This Row],[TIPO2]]="costo", VLOOKUP(Table1[[#This Row],[PARTIDA PRESUPUESTAL]],'Cost Report'!G:G,1,0),"Balance")</f>
        <v>3629-006</v>
      </c>
      <c r="AD5815" s="159">
        <f>+Table1[[#This Row],[SUBTOTAL]]+Table1[[#This Row],[IVA]]-Table1[[#This Row],[RET IVA]]-Table1[[#This Row],[RET ISR]]-Table1[[#This Row],[TOTAL]]</f>
        <v>0</v>
      </c>
      <c r="AG5815" t="s">
        <v>3420</v>
      </c>
      <c r="AK5815" s="306" t="str">
        <f>IF(ISNUMBER(Table1[[#This Row],[FECHA DE RECIBIDO]]), Table1[[#This Row],[FECHA DE RECIBIDO]]-DATE(2023,8,30), "")</f>
        <v/>
      </c>
    </row>
    <row r="5816" spans="1:37" ht="16.05" customHeight="1">
      <c r="A5816" s="172" t="s">
        <v>5105</v>
      </c>
      <c r="B5816" s="178">
        <v>2078</v>
      </c>
      <c r="C5816" s="126" t="s">
        <v>3415</v>
      </c>
      <c r="D5816">
        <v>3986</v>
      </c>
      <c r="E5816" s="125" t="s">
        <v>1623</v>
      </c>
      <c r="F5816" s="178">
        <v>601</v>
      </c>
      <c r="G5816" s="178" t="s">
        <v>134</v>
      </c>
      <c r="H5816">
        <v>45</v>
      </c>
      <c r="I5816" s="178" t="s">
        <v>1546</v>
      </c>
      <c r="J5816" s="320" t="s">
        <v>214</v>
      </c>
      <c r="K5816" s="178" t="s">
        <v>4872</v>
      </c>
      <c r="L5816" s="125" t="s">
        <v>1579</v>
      </c>
      <c r="M5816">
        <v>656</v>
      </c>
      <c r="N5816" s="182">
        <v>243</v>
      </c>
      <c r="O5816">
        <v>3806</v>
      </c>
      <c r="P5816" s="132" t="s">
        <v>77</v>
      </c>
      <c r="Q5816" s="176">
        <v>1293.0999999999999</v>
      </c>
      <c r="R5816" s="176">
        <v>206.9</v>
      </c>
      <c r="S5816" s="176"/>
      <c r="T5816" s="190"/>
      <c r="U5816" s="191"/>
      <c r="V5816" s="191">
        <v>1500</v>
      </c>
      <c r="W5816">
        <v>167</v>
      </c>
      <c r="X5816" s="186" t="s">
        <v>1644</v>
      </c>
      <c r="Y5816" s="187" t="s">
        <v>55</v>
      </c>
      <c r="Z5816" s="311" t="s">
        <v>214</v>
      </c>
      <c r="AB5816" t="str">
        <f>IF(Table1[[#This Row],[TIPO2]]="costo", VLOOKUP(Table1[[#This Row],[PARTIDA PRESUPUESTAL]],'Cost Report'!G:G,1,0),"Balance")</f>
        <v>3629-006</v>
      </c>
      <c r="AD5816" s="159">
        <f>+Table1[[#This Row],[SUBTOTAL]]+Table1[[#This Row],[IVA]]-Table1[[#This Row],[RET IVA]]-Table1[[#This Row],[RET ISR]]-Table1[[#This Row],[TOTAL]]</f>
        <v>0</v>
      </c>
      <c r="AG5816" t="s">
        <v>3420</v>
      </c>
      <c r="AK5816" s="306" t="str">
        <f>IF(ISNUMBER(Table1[[#This Row],[FECHA DE RECIBIDO]]), Table1[[#This Row],[FECHA DE RECIBIDO]]-DATE(2023,8,30), "")</f>
        <v/>
      </c>
    </row>
    <row r="5817" spans="1:37" ht="16.05" customHeight="1">
      <c r="A5817" s="172" t="s">
        <v>5105</v>
      </c>
      <c r="B5817" s="178">
        <v>2078</v>
      </c>
      <c r="C5817" s="179" t="s">
        <v>2860</v>
      </c>
      <c r="D5817">
        <v>3987</v>
      </c>
      <c r="E5817" s="125" t="s">
        <v>1603</v>
      </c>
      <c r="F5817" s="178">
        <v>601</v>
      </c>
      <c r="G5817" s="178" t="s">
        <v>134</v>
      </c>
      <c r="H5817">
        <v>43</v>
      </c>
      <c r="I5817" s="178" t="s">
        <v>1546</v>
      </c>
      <c r="J5817" s="320" t="s">
        <v>214</v>
      </c>
      <c r="K5817" s="178" t="s">
        <v>4872</v>
      </c>
      <c r="L5817" s="125" t="s">
        <v>1579</v>
      </c>
      <c r="M5817">
        <v>442</v>
      </c>
      <c r="N5817" s="182">
        <v>243</v>
      </c>
      <c r="O5817">
        <v>3807</v>
      </c>
      <c r="P5817" s="132" t="s">
        <v>77</v>
      </c>
      <c r="Q5817" s="176">
        <v>10.34</v>
      </c>
      <c r="R5817" s="176">
        <v>1.66</v>
      </c>
      <c r="S5817" s="176"/>
      <c r="T5817" s="190"/>
      <c r="U5817" s="191"/>
      <c r="V5817" s="191">
        <v>12</v>
      </c>
      <c r="W5817">
        <v>167</v>
      </c>
      <c r="X5817" s="186" t="s">
        <v>1644</v>
      </c>
      <c r="Y5817" s="187" t="s">
        <v>55</v>
      </c>
      <c r="Z5817" s="311" t="s">
        <v>214</v>
      </c>
      <c r="AB5817" t="str">
        <f>IF(Table1[[#This Row],[TIPO2]]="costo", VLOOKUP(Table1[[#This Row],[PARTIDA PRESUPUESTAL]],'Cost Report'!G:G,1,0),"Balance")</f>
        <v>3629-003</v>
      </c>
      <c r="AD5817" s="159">
        <f>+Table1[[#This Row],[SUBTOTAL]]+Table1[[#This Row],[IVA]]-Table1[[#This Row],[RET IVA]]-Table1[[#This Row],[RET ISR]]-Table1[[#This Row],[TOTAL]]</f>
        <v>0</v>
      </c>
      <c r="AG5817" t="s">
        <v>3420</v>
      </c>
      <c r="AK5817" s="306" t="str">
        <f>IF(ISNUMBER(Table1[[#This Row],[FECHA DE RECIBIDO]]), Table1[[#This Row],[FECHA DE RECIBIDO]]-DATE(2023,8,30), "")</f>
        <v/>
      </c>
    </row>
    <row r="5818" spans="1:37" ht="16.05" customHeight="1">
      <c r="A5818" s="172" t="s">
        <v>5105</v>
      </c>
      <c r="B5818" s="178">
        <v>2078</v>
      </c>
      <c r="C5818" s="179" t="s">
        <v>2860</v>
      </c>
      <c r="D5818">
        <v>3988</v>
      </c>
      <c r="E5818" s="125" t="s">
        <v>1603</v>
      </c>
      <c r="F5818" s="178">
        <v>601</v>
      </c>
      <c r="G5818" s="178" t="s">
        <v>134</v>
      </c>
      <c r="H5818">
        <v>43</v>
      </c>
      <c r="I5818" s="178" t="s">
        <v>1546</v>
      </c>
      <c r="J5818" s="320" t="s">
        <v>214</v>
      </c>
      <c r="K5818" s="178" t="s">
        <v>4872</v>
      </c>
      <c r="L5818" s="125" t="s">
        <v>1579</v>
      </c>
      <c r="M5818">
        <v>442</v>
      </c>
      <c r="N5818" s="182">
        <v>243</v>
      </c>
      <c r="O5818">
        <v>3807</v>
      </c>
      <c r="P5818" s="132" t="s">
        <v>77</v>
      </c>
      <c r="Q5818" s="176">
        <v>10.34</v>
      </c>
      <c r="R5818" s="176">
        <v>1.66</v>
      </c>
      <c r="S5818" s="176"/>
      <c r="T5818" s="190"/>
      <c r="U5818" s="191"/>
      <c r="V5818" s="191">
        <v>12</v>
      </c>
      <c r="W5818">
        <v>167</v>
      </c>
      <c r="X5818" s="186" t="s">
        <v>1644</v>
      </c>
      <c r="Y5818" s="187" t="s">
        <v>55</v>
      </c>
      <c r="Z5818" s="311" t="s">
        <v>214</v>
      </c>
      <c r="AB5818" t="str">
        <f>IF(Table1[[#This Row],[TIPO2]]="costo", VLOOKUP(Table1[[#This Row],[PARTIDA PRESUPUESTAL]],'Cost Report'!G:G,1,0),"Balance")</f>
        <v>3629-003</v>
      </c>
      <c r="AD5818" s="159">
        <f>+Table1[[#This Row],[SUBTOTAL]]+Table1[[#This Row],[IVA]]-Table1[[#This Row],[RET IVA]]-Table1[[#This Row],[RET ISR]]-Table1[[#This Row],[TOTAL]]</f>
        <v>0</v>
      </c>
      <c r="AG5818" t="s">
        <v>3420</v>
      </c>
      <c r="AK5818" s="306" t="str">
        <f>IF(ISNUMBER(Table1[[#This Row],[FECHA DE RECIBIDO]]), Table1[[#This Row],[FECHA DE RECIBIDO]]-DATE(2023,8,30), "")</f>
        <v/>
      </c>
    </row>
    <row r="5819" spans="1:37" ht="16.05" customHeight="1">
      <c r="A5819" s="172" t="s">
        <v>5105</v>
      </c>
      <c r="B5819" s="178">
        <v>2078</v>
      </c>
      <c r="C5819" s="179" t="s">
        <v>2860</v>
      </c>
      <c r="D5819">
        <v>3989</v>
      </c>
      <c r="E5819" s="125" t="s">
        <v>1603</v>
      </c>
      <c r="F5819" s="178">
        <v>601</v>
      </c>
      <c r="G5819" s="178" t="s">
        <v>134</v>
      </c>
      <c r="H5819">
        <v>43</v>
      </c>
      <c r="I5819" s="178" t="s">
        <v>1546</v>
      </c>
      <c r="J5819" s="320" t="s">
        <v>214</v>
      </c>
      <c r="K5819" s="178" t="s">
        <v>4872</v>
      </c>
      <c r="L5819" s="125" t="s">
        <v>1579</v>
      </c>
      <c r="M5819">
        <v>442</v>
      </c>
      <c r="N5819" s="182">
        <v>243</v>
      </c>
      <c r="O5819">
        <v>3807</v>
      </c>
      <c r="P5819" s="132" t="s">
        <v>77</v>
      </c>
      <c r="Q5819" s="176">
        <v>10.34</v>
      </c>
      <c r="R5819" s="176">
        <v>1.66</v>
      </c>
      <c r="S5819" s="176"/>
      <c r="T5819" s="190"/>
      <c r="U5819" s="191"/>
      <c r="V5819" s="191">
        <v>12</v>
      </c>
      <c r="W5819">
        <v>167</v>
      </c>
      <c r="X5819" s="186" t="s">
        <v>1644</v>
      </c>
      <c r="Y5819" s="187" t="s">
        <v>55</v>
      </c>
      <c r="Z5819" s="311" t="s">
        <v>214</v>
      </c>
      <c r="AB5819" t="str">
        <f>IF(Table1[[#This Row],[TIPO2]]="costo", VLOOKUP(Table1[[#This Row],[PARTIDA PRESUPUESTAL]],'Cost Report'!G:G,1,0),"Balance")</f>
        <v>3629-003</v>
      </c>
      <c r="AD5819" s="159">
        <f>+Table1[[#This Row],[SUBTOTAL]]+Table1[[#This Row],[IVA]]-Table1[[#This Row],[RET IVA]]-Table1[[#This Row],[RET ISR]]-Table1[[#This Row],[TOTAL]]</f>
        <v>0</v>
      </c>
      <c r="AG5819" t="s">
        <v>3420</v>
      </c>
      <c r="AK5819" s="306" t="str">
        <f>IF(ISNUMBER(Table1[[#This Row],[FECHA DE RECIBIDO]]), Table1[[#This Row],[FECHA DE RECIBIDO]]-DATE(2023,8,30), "")</f>
        <v/>
      </c>
    </row>
    <row r="5820" spans="1:37" ht="16.05" customHeight="1">
      <c r="A5820" s="172" t="s">
        <v>5105</v>
      </c>
      <c r="B5820" s="178">
        <v>2078</v>
      </c>
      <c r="C5820" s="179" t="s">
        <v>2860</v>
      </c>
      <c r="D5820">
        <v>3990</v>
      </c>
      <c r="E5820" s="125" t="s">
        <v>1603</v>
      </c>
      <c r="F5820" s="178">
        <v>601</v>
      </c>
      <c r="G5820" s="178" t="s">
        <v>134</v>
      </c>
      <c r="H5820">
        <v>43</v>
      </c>
      <c r="I5820" s="178" t="s">
        <v>1546</v>
      </c>
      <c r="J5820" s="320" t="s">
        <v>214</v>
      </c>
      <c r="K5820" s="178" t="s">
        <v>4872</v>
      </c>
      <c r="L5820" s="125" t="s">
        <v>1579</v>
      </c>
      <c r="M5820">
        <v>442</v>
      </c>
      <c r="N5820" s="182">
        <v>243</v>
      </c>
      <c r="O5820">
        <v>3807</v>
      </c>
      <c r="P5820" s="132" t="s">
        <v>77</v>
      </c>
      <c r="Q5820" s="176">
        <v>10.34</v>
      </c>
      <c r="R5820" s="176">
        <v>1.66</v>
      </c>
      <c r="S5820" s="176"/>
      <c r="T5820" s="190"/>
      <c r="U5820" s="191"/>
      <c r="V5820" s="191">
        <v>12</v>
      </c>
      <c r="W5820">
        <v>167</v>
      </c>
      <c r="X5820" s="186" t="s">
        <v>1644</v>
      </c>
      <c r="Y5820" s="187" t="s">
        <v>55</v>
      </c>
      <c r="Z5820" s="311" t="s">
        <v>214</v>
      </c>
      <c r="AB5820" t="str">
        <f>IF(Table1[[#This Row],[TIPO2]]="costo", VLOOKUP(Table1[[#This Row],[PARTIDA PRESUPUESTAL]],'Cost Report'!G:G,1,0),"Balance")</f>
        <v>3629-003</v>
      </c>
      <c r="AD5820" s="159">
        <f>+Table1[[#This Row],[SUBTOTAL]]+Table1[[#This Row],[IVA]]-Table1[[#This Row],[RET IVA]]-Table1[[#This Row],[RET ISR]]-Table1[[#This Row],[TOTAL]]</f>
        <v>0</v>
      </c>
      <c r="AG5820" t="s">
        <v>3420</v>
      </c>
      <c r="AK5820" s="306" t="str">
        <f>IF(ISNUMBER(Table1[[#This Row],[FECHA DE RECIBIDO]]), Table1[[#This Row],[FECHA DE RECIBIDO]]-DATE(2023,8,30), "")</f>
        <v/>
      </c>
    </row>
    <row r="5821" spans="1:37" ht="16.05" customHeight="1">
      <c r="A5821" s="172" t="s">
        <v>5105</v>
      </c>
      <c r="B5821" s="178">
        <v>2078</v>
      </c>
      <c r="C5821" s="126" t="s">
        <v>3415</v>
      </c>
      <c r="D5821">
        <v>945</v>
      </c>
      <c r="E5821" s="125" t="s">
        <v>1623</v>
      </c>
      <c r="F5821" s="178">
        <v>601</v>
      </c>
      <c r="G5821" s="178" t="s">
        <v>134</v>
      </c>
      <c r="H5821">
        <v>45</v>
      </c>
      <c r="I5821" s="178" t="s">
        <v>1546</v>
      </c>
      <c r="J5821" s="320" t="s">
        <v>214</v>
      </c>
      <c r="K5821" s="178" t="s">
        <v>4872</v>
      </c>
      <c r="L5821" s="125" t="s">
        <v>1579</v>
      </c>
      <c r="M5821">
        <v>656</v>
      </c>
      <c r="N5821" s="182">
        <v>243</v>
      </c>
      <c r="O5821">
        <v>3806</v>
      </c>
      <c r="P5821" s="132" t="s">
        <v>77</v>
      </c>
      <c r="Q5821" s="176">
        <v>1551.72</v>
      </c>
      <c r="R5821" s="176">
        <v>248.28</v>
      </c>
      <c r="S5821" s="176"/>
      <c r="T5821" s="190"/>
      <c r="U5821" s="191"/>
      <c r="V5821" s="191">
        <v>1800</v>
      </c>
      <c r="W5821">
        <v>167</v>
      </c>
      <c r="X5821" s="186" t="s">
        <v>1644</v>
      </c>
      <c r="Y5821" s="187" t="s">
        <v>55</v>
      </c>
      <c r="Z5821" s="311" t="s">
        <v>214</v>
      </c>
      <c r="AB5821" t="str">
        <f>IF(Table1[[#This Row],[TIPO2]]="costo", VLOOKUP(Table1[[#This Row],[PARTIDA PRESUPUESTAL]],'Cost Report'!G:G,1,0),"Balance")</f>
        <v>3629-006</v>
      </c>
      <c r="AD5821" s="159">
        <f>+Table1[[#This Row],[SUBTOTAL]]+Table1[[#This Row],[IVA]]-Table1[[#This Row],[RET IVA]]-Table1[[#This Row],[RET ISR]]-Table1[[#This Row],[TOTAL]]</f>
        <v>0</v>
      </c>
      <c r="AG5821" t="s">
        <v>3420</v>
      </c>
      <c r="AK5821" s="306" t="str">
        <f>IF(ISNUMBER(Table1[[#This Row],[FECHA DE RECIBIDO]]), Table1[[#This Row],[FECHA DE RECIBIDO]]-DATE(2023,8,30), "")</f>
        <v/>
      </c>
    </row>
    <row r="5822" spans="1:37" ht="16.05" customHeight="1">
      <c r="A5822" s="172" t="s">
        <v>5105</v>
      </c>
      <c r="B5822" s="178">
        <v>2078</v>
      </c>
      <c r="C5822" s="179" t="s">
        <v>977</v>
      </c>
      <c r="D5822">
        <v>3991</v>
      </c>
      <c r="E5822" s="125" t="s">
        <v>1603</v>
      </c>
      <c r="F5822" s="178">
        <v>601</v>
      </c>
      <c r="G5822" s="178" t="s">
        <v>134</v>
      </c>
      <c r="H5822">
        <v>56</v>
      </c>
      <c r="I5822" s="178" t="s">
        <v>1546</v>
      </c>
      <c r="J5822" s="320" t="s">
        <v>214</v>
      </c>
      <c r="K5822" s="178" t="s">
        <v>4872</v>
      </c>
      <c r="L5822" s="125" t="s">
        <v>1579</v>
      </c>
      <c r="M5822">
        <v>184</v>
      </c>
      <c r="N5822" s="182">
        <v>243</v>
      </c>
      <c r="O5822">
        <v>3812</v>
      </c>
      <c r="P5822" s="132" t="s">
        <v>77</v>
      </c>
      <c r="Q5822" s="176">
        <v>861.7</v>
      </c>
      <c r="R5822" s="176"/>
      <c r="S5822" s="176"/>
      <c r="T5822" s="190"/>
      <c r="U5822" s="191"/>
      <c r="V5822" s="191">
        <v>861.7</v>
      </c>
      <c r="W5822">
        <v>167</v>
      </c>
      <c r="X5822" s="186" t="s">
        <v>1644</v>
      </c>
      <c r="Y5822" s="187" t="s">
        <v>55</v>
      </c>
      <c r="Z5822" s="311" t="s">
        <v>214</v>
      </c>
      <c r="AB5822" t="str">
        <f>IF(Table1[[#This Row],[TIPO2]]="costo", VLOOKUP(Table1[[#This Row],[PARTIDA PRESUPUESTAL]],'Cost Report'!G:G,1,0),"Balance")</f>
        <v>3410-012</v>
      </c>
      <c r="AD5822" s="159">
        <f>+Table1[[#This Row],[SUBTOTAL]]+Table1[[#This Row],[IVA]]-Table1[[#This Row],[RET IVA]]-Table1[[#This Row],[RET ISR]]-Table1[[#This Row],[TOTAL]]</f>
        <v>0</v>
      </c>
      <c r="AG5822" t="s">
        <v>3420</v>
      </c>
      <c r="AK5822" s="306" t="str">
        <f>IF(ISNUMBER(Table1[[#This Row],[FECHA DE RECIBIDO]]), Table1[[#This Row],[FECHA DE RECIBIDO]]-DATE(2023,8,30), "")</f>
        <v/>
      </c>
    </row>
    <row r="5823" spans="1:37" ht="16.05" customHeight="1">
      <c r="A5823" s="172" t="s">
        <v>5105</v>
      </c>
      <c r="B5823" s="178">
        <v>2078</v>
      </c>
      <c r="C5823" s="179" t="s">
        <v>2860</v>
      </c>
      <c r="D5823">
        <v>3992</v>
      </c>
      <c r="E5823" s="125" t="s">
        <v>1603</v>
      </c>
      <c r="F5823" s="178">
        <v>601</v>
      </c>
      <c r="G5823" s="178" t="s">
        <v>134</v>
      </c>
      <c r="H5823">
        <v>43</v>
      </c>
      <c r="I5823" s="178" t="s">
        <v>1546</v>
      </c>
      <c r="J5823" s="320" t="s">
        <v>214</v>
      </c>
      <c r="K5823" s="178" t="s">
        <v>4872</v>
      </c>
      <c r="L5823" s="125" t="s">
        <v>1579</v>
      </c>
      <c r="M5823">
        <v>442</v>
      </c>
      <c r="N5823" s="182">
        <v>243</v>
      </c>
      <c r="O5823">
        <v>3807</v>
      </c>
      <c r="P5823" s="132" t="s">
        <v>77</v>
      </c>
      <c r="Q5823" s="176">
        <v>10.34</v>
      </c>
      <c r="R5823" s="176">
        <v>1.66</v>
      </c>
      <c r="S5823" s="176"/>
      <c r="T5823" s="190"/>
      <c r="U5823" s="191"/>
      <c r="V5823" s="191">
        <v>12</v>
      </c>
      <c r="W5823">
        <v>167</v>
      </c>
      <c r="X5823" s="186" t="s">
        <v>1644</v>
      </c>
      <c r="Y5823" s="187" t="s">
        <v>55</v>
      </c>
      <c r="Z5823" s="311" t="s">
        <v>214</v>
      </c>
      <c r="AB5823" t="str">
        <f>IF(Table1[[#This Row],[TIPO2]]="costo", VLOOKUP(Table1[[#This Row],[PARTIDA PRESUPUESTAL]],'Cost Report'!G:G,1,0),"Balance")</f>
        <v>3629-003</v>
      </c>
      <c r="AD5823" s="159">
        <f>+Table1[[#This Row],[SUBTOTAL]]+Table1[[#This Row],[IVA]]-Table1[[#This Row],[RET IVA]]-Table1[[#This Row],[RET ISR]]-Table1[[#This Row],[TOTAL]]</f>
        <v>0</v>
      </c>
      <c r="AG5823" t="s">
        <v>3420</v>
      </c>
      <c r="AK5823" s="306" t="str">
        <f>IF(ISNUMBER(Table1[[#This Row],[FECHA DE RECIBIDO]]), Table1[[#This Row],[FECHA DE RECIBIDO]]-DATE(2023,8,30), "")</f>
        <v/>
      </c>
    </row>
    <row r="5824" spans="1:37" ht="16.05" customHeight="1">
      <c r="A5824" s="172" t="s">
        <v>5105</v>
      </c>
      <c r="B5824" s="178">
        <v>2078</v>
      </c>
      <c r="C5824" s="179" t="s">
        <v>2860</v>
      </c>
      <c r="D5824">
        <v>3993</v>
      </c>
      <c r="E5824" s="125" t="s">
        <v>1603</v>
      </c>
      <c r="F5824" s="178">
        <v>601</v>
      </c>
      <c r="G5824" s="178" t="s">
        <v>134</v>
      </c>
      <c r="H5824">
        <v>43</v>
      </c>
      <c r="I5824" s="178" t="s">
        <v>1546</v>
      </c>
      <c r="J5824" s="320" t="s">
        <v>214</v>
      </c>
      <c r="K5824" s="178" t="s">
        <v>4872</v>
      </c>
      <c r="L5824" s="125" t="s">
        <v>1579</v>
      </c>
      <c r="M5824">
        <v>442</v>
      </c>
      <c r="N5824" s="182">
        <v>243</v>
      </c>
      <c r="O5824">
        <v>3807</v>
      </c>
      <c r="P5824" s="132" t="s">
        <v>77</v>
      </c>
      <c r="Q5824" s="176">
        <v>10.34</v>
      </c>
      <c r="R5824" s="176">
        <v>1.66</v>
      </c>
      <c r="S5824" s="176"/>
      <c r="T5824" s="190"/>
      <c r="U5824" s="191"/>
      <c r="V5824" s="191">
        <v>12</v>
      </c>
      <c r="W5824">
        <v>167</v>
      </c>
      <c r="X5824" s="186" t="s">
        <v>1644</v>
      </c>
      <c r="Y5824" s="187" t="s">
        <v>55</v>
      </c>
      <c r="Z5824" s="311" t="s">
        <v>214</v>
      </c>
      <c r="AB5824" t="str">
        <f>IF(Table1[[#This Row],[TIPO2]]="costo", VLOOKUP(Table1[[#This Row],[PARTIDA PRESUPUESTAL]],'Cost Report'!G:G,1,0),"Balance")</f>
        <v>3629-003</v>
      </c>
      <c r="AD5824" s="159">
        <f>+Table1[[#This Row],[SUBTOTAL]]+Table1[[#This Row],[IVA]]-Table1[[#This Row],[RET IVA]]-Table1[[#This Row],[RET ISR]]-Table1[[#This Row],[TOTAL]]</f>
        <v>0</v>
      </c>
      <c r="AG5824" t="s">
        <v>3420</v>
      </c>
      <c r="AK5824" s="306" t="str">
        <f>IF(ISNUMBER(Table1[[#This Row],[FECHA DE RECIBIDO]]), Table1[[#This Row],[FECHA DE RECIBIDO]]-DATE(2023,8,30), "")</f>
        <v/>
      </c>
    </row>
    <row r="5825" spans="1:37" ht="16.05" customHeight="1">
      <c r="A5825" s="172" t="s">
        <v>5105</v>
      </c>
      <c r="B5825" s="178">
        <v>2078</v>
      </c>
      <c r="C5825" s="179" t="s">
        <v>2860</v>
      </c>
      <c r="D5825">
        <v>3994</v>
      </c>
      <c r="E5825" s="125" t="s">
        <v>1603</v>
      </c>
      <c r="F5825" s="178">
        <v>601</v>
      </c>
      <c r="G5825" s="178" t="s">
        <v>134</v>
      </c>
      <c r="H5825">
        <v>43</v>
      </c>
      <c r="I5825" s="178" t="s">
        <v>1546</v>
      </c>
      <c r="J5825" s="320" t="s">
        <v>214</v>
      </c>
      <c r="K5825" s="178" t="s">
        <v>4872</v>
      </c>
      <c r="L5825" s="125" t="s">
        <v>1579</v>
      </c>
      <c r="M5825">
        <v>442</v>
      </c>
      <c r="N5825" s="182">
        <v>243</v>
      </c>
      <c r="O5825">
        <v>3807</v>
      </c>
      <c r="P5825" s="132" t="s">
        <v>77</v>
      </c>
      <c r="Q5825" s="176">
        <v>10.34</v>
      </c>
      <c r="R5825" s="176">
        <v>1.66</v>
      </c>
      <c r="S5825" s="176"/>
      <c r="T5825" s="190"/>
      <c r="U5825" s="191"/>
      <c r="V5825" s="191">
        <v>12</v>
      </c>
      <c r="W5825">
        <v>167</v>
      </c>
      <c r="X5825" s="186" t="s">
        <v>1644</v>
      </c>
      <c r="Y5825" s="187" t="s">
        <v>55</v>
      </c>
      <c r="Z5825" s="311" t="s">
        <v>214</v>
      </c>
      <c r="AB5825" t="str">
        <f>IF(Table1[[#This Row],[TIPO2]]="costo", VLOOKUP(Table1[[#This Row],[PARTIDA PRESUPUESTAL]],'Cost Report'!G:G,1,0),"Balance")</f>
        <v>3629-003</v>
      </c>
      <c r="AD5825" s="159">
        <f>+Table1[[#This Row],[SUBTOTAL]]+Table1[[#This Row],[IVA]]-Table1[[#This Row],[RET IVA]]-Table1[[#This Row],[RET ISR]]-Table1[[#This Row],[TOTAL]]</f>
        <v>0</v>
      </c>
      <c r="AG5825" t="s">
        <v>3420</v>
      </c>
      <c r="AK5825" s="306" t="str">
        <f>IF(ISNUMBER(Table1[[#This Row],[FECHA DE RECIBIDO]]), Table1[[#This Row],[FECHA DE RECIBIDO]]-DATE(2023,8,30), "")</f>
        <v/>
      </c>
    </row>
    <row r="5826" spans="1:37" ht="16.05" customHeight="1">
      <c r="A5826" s="172" t="s">
        <v>5105</v>
      </c>
      <c r="B5826" s="178">
        <v>2078</v>
      </c>
      <c r="C5826" s="179" t="s">
        <v>977</v>
      </c>
      <c r="D5826">
        <v>3995</v>
      </c>
      <c r="E5826" s="125" t="s">
        <v>1996</v>
      </c>
      <c r="F5826" s="178">
        <v>601</v>
      </c>
      <c r="G5826" s="178" t="s">
        <v>134</v>
      </c>
      <c r="H5826">
        <v>32</v>
      </c>
      <c r="I5826" s="178" t="s">
        <v>1546</v>
      </c>
      <c r="J5826" s="320" t="s">
        <v>214</v>
      </c>
      <c r="K5826" s="178" t="s">
        <v>4872</v>
      </c>
      <c r="L5826" s="125" t="s">
        <v>1579</v>
      </c>
      <c r="M5826">
        <v>510</v>
      </c>
      <c r="N5826" s="182">
        <v>243</v>
      </c>
      <c r="O5826">
        <v>3813</v>
      </c>
      <c r="P5826" s="132" t="s">
        <v>77</v>
      </c>
      <c r="Q5826" s="176">
        <v>241.38</v>
      </c>
      <c r="R5826" s="176">
        <v>38.619999999999997</v>
      </c>
      <c r="S5826" s="176"/>
      <c r="T5826" s="190"/>
      <c r="U5826" s="191"/>
      <c r="V5826" s="191">
        <v>280</v>
      </c>
      <c r="W5826">
        <v>167</v>
      </c>
      <c r="X5826" s="186" t="s">
        <v>1644</v>
      </c>
      <c r="Y5826" s="187" t="s">
        <v>55</v>
      </c>
      <c r="Z5826" s="311" t="s">
        <v>214</v>
      </c>
      <c r="AB5826" t="str">
        <f>IF(Table1[[#This Row],[TIPO2]]="costo", VLOOKUP(Table1[[#This Row],[PARTIDA PRESUPUESTAL]],'Cost Report'!G:G,1,0),"Balance")</f>
        <v>3410-012</v>
      </c>
      <c r="AD5826" s="159">
        <f>+Table1[[#This Row],[SUBTOTAL]]+Table1[[#This Row],[IVA]]-Table1[[#This Row],[RET IVA]]-Table1[[#This Row],[RET ISR]]-Table1[[#This Row],[TOTAL]]</f>
        <v>0</v>
      </c>
      <c r="AG5826" t="s">
        <v>3420</v>
      </c>
      <c r="AK5826" s="306" t="str">
        <f>IF(ISNUMBER(Table1[[#This Row],[FECHA DE RECIBIDO]]), Table1[[#This Row],[FECHA DE RECIBIDO]]-DATE(2023,8,30), "")</f>
        <v/>
      </c>
    </row>
    <row r="5827" spans="1:37" ht="16.05" customHeight="1">
      <c r="A5827" s="172" t="s">
        <v>5105</v>
      </c>
      <c r="B5827" s="178">
        <v>2078</v>
      </c>
      <c r="C5827" s="126" t="s">
        <v>5477</v>
      </c>
      <c r="D5827">
        <v>3996</v>
      </c>
      <c r="E5827" s="125" t="s">
        <v>1603</v>
      </c>
      <c r="F5827" s="178">
        <v>601</v>
      </c>
      <c r="G5827" s="178" t="s">
        <v>134</v>
      </c>
      <c r="H5827">
        <v>91</v>
      </c>
      <c r="I5827" s="178" t="s">
        <v>1546</v>
      </c>
      <c r="J5827" s="320" t="s">
        <v>214</v>
      </c>
      <c r="K5827" s="178" t="s">
        <v>4872</v>
      </c>
      <c r="L5827" s="125" t="s">
        <v>1579</v>
      </c>
      <c r="M5827">
        <v>122</v>
      </c>
      <c r="N5827" s="182">
        <v>243</v>
      </c>
      <c r="O5827">
        <v>3814</v>
      </c>
      <c r="P5827" s="131" t="s">
        <v>77</v>
      </c>
      <c r="Q5827" s="176">
        <v>89.23</v>
      </c>
      <c r="R5827" s="176">
        <v>14.27</v>
      </c>
      <c r="S5827" s="176"/>
      <c r="T5827" s="190"/>
      <c r="U5827" s="191"/>
      <c r="V5827" s="191">
        <v>103.5</v>
      </c>
      <c r="W5827">
        <v>167</v>
      </c>
      <c r="X5827" s="186" t="s">
        <v>1644</v>
      </c>
      <c r="Y5827" s="187" t="s">
        <v>55</v>
      </c>
      <c r="Z5827" s="311" t="s">
        <v>214</v>
      </c>
      <c r="AB5827" t="str">
        <f>IF(Table1[[#This Row],[TIPO2]]="costo", VLOOKUP(Table1[[#This Row],[PARTIDA PRESUPUESTAL]],'Cost Report'!G:G,1,0),"Balance")</f>
        <v>7230-005</v>
      </c>
      <c r="AD5827" s="159">
        <f>+Table1[[#This Row],[SUBTOTAL]]+Table1[[#This Row],[IVA]]-Table1[[#This Row],[RET IVA]]-Table1[[#This Row],[RET ISR]]-Table1[[#This Row],[TOTAL]]</f>
        <v>0</v>
      </c>
      <c r="AG5827" t="s">
        <v>3420</v>
      </c>
      <c r="AJ5827" s="213" t="s">
        <v>5479</v>
      </c>
      <c r="AK5827" s="306" t="str">
        <f>IF(ISNUMBER(Table1[[#This Row],[FECHA DE RECIBIDO]]), Table1[[#This Row],[FECHA DE RECIBIDO]]-DATE(2023,8,30), "")</f>
        <v/>
      </c>
    </row>
    <row r="5828" spans="1:37" ht="16.05" customHeight="1">
      <c r="A5828" s="172" t="s">
        <v>5105</v>
      </c>
      <c r="B5828" s="178">
        <v>2078</v>
      </c>
      <c r="C5828" s="179" t="s">
        <v>3103</v>
      </c>
      <c r="D5828">
        <v>689</v>
      </c>
      <c r="E5828" s="125"/>
      <c r="F5828" s="178"/>
      <c r="G5828" s="178"/>
      <c r="H5828"/>
      <c r="I5828" s="178"/>
      <c r="J5828" s="320" t="s">
        <v>214</v>
      </c>
      <c r="K5828" s="178" t="s">
        <v>4872</v>
      </c>
      <c r="L5828" s="125" t="s">
        <v>1579</v>
      </c>
      <c r="M5828">
        <v>1323</v>
      </c>
      <c r="N5828" s="182">
        <v>243</v>
      </c>
      <c r="O5828">
        <v>162</v>
      </c>
      <c r="P5828" s="132" t="s">
        <v>77</v>
      </c>
      <c r="Q5828" s="176">
        <v>34.22</v>
      </c>
      <c r="R5828" s="176"/>
      <c r="S5828" s="176"/>
      <c r="T5828" s="190"/>
      <c r="U5828" s="191"/>
      <c r="V5828" s="191">
        <v>34.22</v>
      </c>
      <c r="W5828">
        <v>167</v>
      </c>
      <c r="X5828" s="186" t="s">
        <v>1644</v>
      </c>
      <c r="Y5828" s="187" t="s">
        <v>55</v>
      </c>
      <c r="Z5828" s="311">
        <v>310</v>
      </c>
      <c r="AB5828" t="str">
        <f>IF(Table1[[#This Row],[TIPO2]]="costo", VLOOKUP(Table1[[#This Row],[PARTIDA PRESUPUESTAL]],'Cost Report'!G:G,1,0),"Balance")</f>
        <v>7038-009</v>
      </c>
      <c r="AD5828" s="159">
        <f>+Table1[[#This Row],[SUBTOTAL]]+Table1[[#This Row],[IVA]]-Table1[[#This Row],[RET IVA]]-Table1[[#This Row],[RET ISR]]-Table1[[#This Row],[TOTAL]]</f>
        <v>0</v>
      </c>
      <c r="AG5828" t="s">
        <v>3420</v>
      </c>
      <c r="AK5828" s="306" t="str">
        <f>IF(ISNUMBER(Table1[[#This Row],[FECHA DE RECIBIDO]]), Table1[[#This Row],[FECHA DE RECIBIDO]]-DATE(2023,8,30), "")</f>
        <v/>
      </c>
    </row>
    <row r="5829" spans="1:37" ht="16.05" customHeight="1">
      <c r="A5829" s="172" t="s">
        <v>5105</v>
      </c>
      <c r="B5829" s="178">
        <v>2078</v>
      </c>
      <c r="C5829" s="179" t="s">
        <v>3103</v>
      </c>
      <c r="D5829">
        <v>689</v>
      </c>
      <c r="E5829" s="125"/>
      <c r="F5829" s="178"/>
      <c r="G5829" s="178"/>
      <c r="H5829"/>
      <c r="I5829" s="178"/>
      <c r="J5829" s="320" t="s">
        <v>214</v>
      </c>
      <c r="K5829" s="178" t="s">
        <v>4872</v>
      </c>
      <c r="L5829" s="125" t="s">
        <v>1579</v>
      </c>
      <c r="M5829">
        <v>884</v>
      </c>
      <c r="N5829" s="182">
        <v>243</v>
      </c>
      <c r="O5829">
        <v>162</v>
      </c>
      <c r="P5829" s="132" t="s">
        <v>77</v>
      </c>
      <c r="Q5829" s="176">
        <v>30.74</v>
      </c>
      <c r="R5829" s="176"/>
      <c r="S5829" s="176"/>
      <c r="T5829" s="190"/>
      <c r="U5829" s="191"/>
      <c r="V5829" s="191">
        <v>30.74</v>
      </c>
      <c r="W5829">
        <v>167</v>
      </c>
      <c r="X5829" s="186" t="s">
        <v>1644</v>
      </c>
      <c r="Y5829" s="187" t="s">
        <v>55</v>
      </c>
      <c r="Z5829" s="311">
        <v>372</v>
      </c>
      <c r="AB5829" t="str">
        <f>IF(Table1[[#This Row],[TIPO2]]="costo", VLOOKUP(Table1[[#This Row],[PARTIDA PRESUPUESTAL]],'Cost Report'!G:G,1,0),"Balance")</f>
        <v>7038-009</v>
      </c>
      <c r="AD5829" s="159">
        <f>+Table1[[#This Row],[SUBTOTAL]]+Table1[[#This Row],[IVA]]-Table1[[#This Row],[RET IVA]]-Table1[[#This Row],[RET ISR]]-Table1[[#This Row],[TOTAL]]</f>
        <v>0</v>
      </c>
      <c r="AG5829" t="s">
        <v>3420</v>
      </c>
      <c r="AK5829" s="306" t="str">
        <f>IF(ISNUMBER(Table1[[#This Row],[FECHA DE RECIBIDO]]), Table1[[#This Row],[FECHA DE RECIBIDO]]-DATE(2023,8,30), "")</f>
        <v/>
      </c>
    </row>
    <row r="5830" spans="1:37" ht="16.05" customHeight="1">
      <c r="A5830" s="172" t="s">
        <v>5105</v>
      </c>
      <c r="B5830" s="178">
        <v>2078</v>
      </c>
      <c r="C5830" s="179" t="s">
        <v>3103</v>
      </c>
      <c r="D5830">
        <v>689</v>
      </c>
      <c r="E5830" s="125"/>
      <c r="F5830" s="178"/>
      <c r="G5830" s="178"/>
      <c r="H5830"/>
      <c r="I5830" s="178"/>
      <c r="J5830" s="320" t="s">
        <v>214</v>
      </c>
      <c r="K5830" s="178" t="s">
        <v>4872</v>
      </c>
      <c r="L5830" s="125" t="s">
        <v>1579</v>
      </c>
      <c r="M5830">
        <v>884</v>
      </c>
      <c r="N5830" s="182">
        <v>243</v>
      </c>
      <c r="O5830">
        <v>162</v>
      </c>
      <c r="P5830" s="132" t="s">
        <v>77</v>
      </c>
      <c r="Q5830" s="176">
        <v>30.74</v>
      </c>
      <c r="R5830" s="176"/>
      <c r="S5830" s="176"/>
      <c r="T5830" s="190"/>
      <c r="U5830" s="191"/>
      <c r="V5830" s="191">
        <v>30.74</v>
      </c>
      <c r="W5830">
        <v>167</v>
      </c>
      <c r="X5830" s="186" t="s">
        <v>1644</v>
      </c>
      <c r="Y5830" s="187" t="s">
        <v>55</v>
      </c>
      <c r="Z5830" s="311" t="s">
        <v>214</v>
      </c>
      <c r="AB5830" t="str">
        <f>IF(Table1[[#This Row],[TIPO2]]="costo", VLOOKUP(Table1[[#This Row],[PARTIDA PRESUPUESTAL]],'Cost Report'!G:G,1,0),"Balance")</f>
        <v>7038-009</v>
      </c>
      <c r="AD5830" s="159">
        <f>+Table1[[#This Row],[SUBTOTAL]]+Table1[[#This Row],[IVA]]-Table1[[#This Row],[RET IVA]]-Table1[[#This Row],[RET ISR]]-Table1[[#This Row],[TOTAL]]</f>
        <v>0</v>
      </c>
      <c r="AG5830" t="s">
        <v>3420</v>
      </c>
      <c r="AK5830" s="306" t="str">
        <f>IF(ISNUMBER(Table1[[#This Row],[FECHA DE RECIBIDO]]), Table1[[#This Row],[FECHA DE RECIBIDO]]-DATE(2023,8,30), "")</f>
        <v/>
      </c>
    </row>
    <row r="5831" spans="1:37" ht="16.05" customHeight="1">
      <c r="A5831" s="172" t="s">
        <v>5105</v>
      </c>
      <c r="B5831" s="178">
        <v>2078</v>
      </c>
      <c r="C5831" s="179" t="s">
        <v>3103</v>
      </c>
      <c r="D5831">
        <v>689</v>
      </c>
      <c r="E5831" s="125"/>
      <c r="F5831" s="178"/>
      <c r="G5831" s="178"/>
      <c r="H5831"/>
      <c r="I5831" s="178"/>
      <c r="J5831" s="320" t="s">
        <v>214</v>
      </c>
      <c r="K5831" s="178" t="s">
        <v>4872</v>
      </c>
      <c r="L5831" s="125" t="s">
        <v>1579</v>
      </c>
      <c r="M5831">
        <v>1323</v>
      </c>
      <c r="N5831" s="182">
        <v>243</v>
      </c>
      <c r="O5831">
        <v>162</v>
      </c>
      <c r="P5831" s="132" t="s">
        <v>77</v>
      </c>
      <c r="Q5831" s="176">
        <v>34.22</v>
      </c>
      <c r="R5831" s="176"/>
      <c r="S5831" s="176"/>
      <c r="T5831" s="190"/>
      <c r="U5831" s="191"/>
      <c r="V5831" s="191">
        <v>34.22</v>
      </c>
      <c r="W5831">
        <v>167</v>
      </c>
      <c r="X5831" s="186" t="s">
        <v>1644</v>
      </c>
      <c r="Y5831" s="187" t="s">
        <v>55</v>
      </c>
      <c r="Z5831" s="311" t="s">
        <v>214</v>
      </c>
      <c r="AB5831" t="str">
        <f>IF(Table1[[#This Row],[TIPO2]]="costo", VLOOKUP(Table1[[#This Row],[PARTIDA PRESUPUESTAL]],'Cost Report'!G:G,1,0),"Balance")</f>
        <v>7038-009</v>
      </c>
      <c r="AD5831" s="159">
        <f>+Table1[[#This Row],[SUBTOTAL]]+Table1[[#This Row],[IVA]]-Table1[[#This Row],[RET IVA]]-Table1[[#This Row],[RET ISR]]-Table1[[#This Row],[TOTAL]]</f>
        <v>0</v>
      </c>
      <c r="AG5831" t="s">
        <v>3420</v>
      </c>
      <c r="AK5831" s="306" t="str">
        <f>IF(ISNUMBER(Table1[[#This Row],[FECHA DE RECIBIDO]]), Table1[[#This Row],[FECHA DE RECIBIDO]]-DATE(2023,8,30), "")</f>
        <v/>
      </c>
    </row>
    <row r="5832" spans="1:37" ht="16.05" customHeight="1">
      <c r="A5832" s="172" t="s">
        <v>5107</v>
      </c>
      <c r="B5832" s="178">
        <v>2079</v>
      </c>
      <c r="C5832" s="179" t="s">
        <v>2443</v>
      </c>
      <c r="D5832">
        <v>3997</v>
      </c>
      <c r="E5832" s="125" t="s">
        <v>3354</v>
      </c>
      <c r="F5832" s="178">
        <v>601</v>
      </c>
      <c r="G5832" s="178" t="s">
        <v>134</v>
      </c>
      <c r="H5832">
        <v>953</v>
      </c>
      <c r="I5832" s="178" t="s">
        <v>1546</v>
      </c>
      <c r="J5832" s="320" t="s">
        <v>214</v>
      </c>
      <c r="K5832" s="178" t="s">
        <v>4872</v>
      </c>
      <c r="L5832" s="125" t="s">
        <v>1579</v>
      </c>
      <c r="M5832">
        <v>1324</v>
      </c>
      <c r="N5832" s="182">
        <v>243</v>
      </c>
      <c r="O5832">
        <v>3815</v>
      </c>
      <c r="P5832" s="132" t="s">
        <v>77</v>
      </c>
      <c r="Q5832" s="176">
        <v>554.55999999999995</v>
      </c>
      <c r="R5832" s="176">
        <v>88.73</v>
      </c>
      <c r="S5832" s="176"/>
      <c r="T5832" s="190"/>
      <c r="U5832" s="191"/>
      <c r="V5832" s="191">
        <v>643.29</v>
      </c>
      <c r="W5832">
        <v>227</v>
      </c>
      <c r="X5832" s="186" t="s">
        <v>1644</v>
      </c>
      <c r="Y5832" s="187" t="s">
        <v>55</v>
      </c>
      <c r="Z5832" s="311">
        <v>341</v>
      </c>
      <c r="AB5832" t="str">
        <f>IF(Table1[[#This Row],[TIPO2]]="costo", VLOOKUP(Table1[[#This Row],[PARTIDA PRESUPUESTAL]],'Cost Report'!G:G,1,0),"Balance")</f>
        <v>2080-003</v>
      </c>
      <c r="AD5832" s="159">
        <f>+Table1[[#This Row],[SUBTOTAL]]+Table1[[#This Row],[IVA]]-Table1[[#This Row],[RET IVA]]-Table1[[#This Row],[RET ISR]]-Table1[[#This Row],[TOTAL]]</f>
        <v>0</v>
      </c>
      <c r="AG5832" t="s">
        <v>3420</v>
      </c>
      <c r="AK5832" s="306" t="str">
        <f>IF(ISNUMBER(Table1[[#This Row],[FECHA DE RECIBIDO]]), Table1[[#This Row],[FECHA DE RECIBIDO]]-DATE(2023,8,30), "")</f>
        <v/>
      </c>
    </row>
    <row r="5833" spans="1:37" ht="16.05" customHeight="1">
      <c r="A5833" s="172" t="s">
        <v>5107</v>
      </c>
      <c r="B5833" s="178">
        <v>2079</v>
      </c>
      <c r="C5833" s="179" t="s">
        <v>2443</v>
      </c>
      <c r="D5833">
        <v>3998</v>
      </c>
      <c r="E5833" s="125" t="s">
        <v>3354</v>
      </c>
      <c r="F5833" s="178">
        <v>601</v>
      </c>
      <c r="G5833" s="178" t="s">
        <v>134</v>
      </c>
      <c r="H5833">
        <v>954</v>
      </c>
      <c r="I5833" s="178" t="s">
        <v>1546</v>
      </c>
      <c r="J5833" s="320" t="s">
        <v>214</v>
      </c>
      <c r="K5833" s="178" t="s">
        <v>4872</v>
      </c>
      <c r="L5833" s="125" t="s">
        <v>1579</v>
      </c>
      <c r="M5833">
        <v>1325</v>
      </c>
      <c r="N5833" s="182">
        <v>243</v>
      </c>
      <c r="O5833">
        <v>3816</v>
      </c>
      <c r="P5833" s="132" t="s">
        <v>77</v>
      </c>
      <c r="Q5833" s="176">
        <v>166.38</v>
      </c>
      <c r="R5833" s="176">
        <v>26.62</v>
      </c>
      <c r="S5833" s="176"/>
      <c r="T5833" s="190"/>
      <c r="U5833" s="191"/>
      <c r="V5833" s="191">
        <v>193</v>
      </c>
      <c r="W5833">
        <v>227</v>
      </c>
      <c r="X5833" s="186" t="s">
        <v>1644</v>
      </c>
      <c r="Y5833" s="187" t="s">
        <v>55</v>
      </c>
      <c r="Z5833" s="311" t="s">
        <v>214</v>
      </c>
      <c r="AB5833" t="str">
        <f>IF(Table1[[#This Row],[TIPO2]]="costo", VLOOKUP(Table1[[#This Row],[PARTIDA PRESUPUESTAL]],'Cost Report'!G:G,1,0),"Balance")</f>
        <v>2080-003</v>
      </c>
      <c r="AD5833" s="159">
        <f>+Table1[[#This Row],[SUBTOTAL]]+Table1[[#This Row],[IVA]]-Table1[[#This Row],[RET IVA]]-Table1[[#This Row],[RET ISR]]-Table1[[#This Row],[TOTAL]]</f>
        <v>0</v>
      </c>
      <c r="AG5833" t="s">
        <v>3420</v>
      </c>
      <c r="AK5833" s="306" t="str">
        <f>IF(ISNUMBER(Table1[[#This Row],[FECHA DE RECIBIDO]]), Table1[[#This Row],[FECHA DE RECIBIDO]]-DATE(2023,8,30), "")</f>
        <v/>
      </c>
    </row>
    <row r="5834" spans="1:37" ht="16.05" customHeight="1">
      <c r="A5834" s="172" t="s">
        <v>5107</v>
      </c>
      <c r="B5834" s="178">
        <v>2079</v>
      </c>
      <c r="C5834" s="179" t="s">
        <v>3104</v>
      </c>
      <c r="D5834">
        <v>3999</v>
      </c>
      <c r="E5834" s="125" t="s">
        <v>3354</v>
      </c>
      <c r="F5834" s="178">
        <v>626</v>
      </c>
      <c r="G5834" s="178" t="s">
        <v>109</v>
      </c>
      <c r="H5834">
        <v>955</v>
      </c>
      <c r="I5834" s="178" t="s">
        <v>1546</v>
      </c>
      <c r="J5834" s="320" t="s">
        <v>214</v>
      </c>
      <c r="K5834" s="178" t="s">
        <v>4872</v>
      </c>
      <c r="L5834" s="125" t="s">
        <v>1579</v>
      </c>
      <c r="M5834">
        <v>1326</v>
      </c>
      <c r="N5834" s="182">
        <v>243</v>
      </c>
      <c r="O5834">
        <v>3817</v>
      </c>
      <c r="P5834" s="132" t="s">
        <v>77</v>
      </c>
      <c r="Q5834" s="176">
        <v>758.1</v>
      </c>
      <c r="R5834" s="176">
        <v>121.3</v>
      </c>
      <c r="S5834" s="176"/>
      <c r="T5834" s="190"/>
      <c r="U5834" s="191">
        <v>9.3800000000000008</v>
      </c>
      <c r="V5834" s="191">
        <v>870.02</v>
      </c>
      <c r="W5834">
        <v>227</v>
      </c>
      <c r="X5834" s="186" t="s">
        <v>1644</v>
      </c>
      <c r="Y5834" s="187" t="s">
        <v>55</v>
      </c>
      <c r="Z5834" s="311" t="s">
        <v>214</v>
      </c>
      <c r="AB5834" t="str">
        <f>IF(Table1[[#This Row],[TIPO2]]="costo", VLOOKUP(Table1[[#This Row],[PARTIDA PRESUPUESTAL]],'Cost Report'!G:G,1,0),"Balance")</f>
        <v>7050-004</v>
      </c>
      <c r="AD5834" s="159">
        <f>+Table1[[#This Row],[SUBTOTAL]]+Table1[[#This Row],[IVA]]-Table1[[#This Row],[RET IVA]]-Table1[[#This Row],[RET ISR]]-Table1[[#This Row],[TOTAL]]</f>
        <v>0</v>
      </c>
      <c r="AG5834" t="s">
        <v>3420</v>
      </c>
      <c r="AK5834" s="306" t="str">
        <f>IF(ISNUMBER(Table1[[#This Row],[FECHA DE RECIBIDO]]), Table1[[#This Row],[FECHA DE RECIBIDO]]-DATE(2023,8,30), "")</f>
        <v/>
      </c>
    </row>
    <row r="5835" spans="1:37" ht="16.05" customHeight="1">
      <c r="A5835" s="172" t="s">
        <v>5107</v>
      </c>
      <c r="B5835" s="178">
        <v>2079</v>
      </c>
      <c r="C5835" s="179" t="s">
        <v>977</v>
      </c>
      <c r="D5835">
        <v>4000</v>
      </c>
      <c r="E5835" s="125" t="s">
        <v>1614</v>
      </c>
      <c r="F5835" s="178">
        <v>601</v>
      </c>
      <c r="G5835" s="178" t="s">
        <v>134</v>
      </c>
      <c r="H5835">
        <v>91</v>
      </c>
      <c r="I5835" s="178" t="s">
        <v>1546</v>
      </c>
      <c r="J5835" s="320" t="s">
        <v>214</v>
      </c>
      <c r="K5835" s="178" t="s">
        <v>4872</v>
      </c>
      <c r="L5835" s="125" t="s">
        <v>1579</v>
      </c>
      <c r="M5835">
        <v>122</v>
      </c>
      <c r="N5835" s="182">
        <v>243</v>
      </c>
      <c r="O5835">
        <v>3818</v>
      </c>
      <c r="P5835" s="132" t="s">
        <v>77</v>
      </c>
      <c r="Q5835" s="176">
        <v>193.88</v>
      </c>
      <c r="R5835" s="176">
        <v>11.52</v>
      </c>
      <c r="S5835" s="176"/>
      <c r="T5835" s="190"/>
      <c r="U5835" s="191"/>
      <c r="V5835" s="191">
        <v>205.4</v>
      </c>
      <c r="W5835">
        <v>227</v>
      </c>
      <c r="X5835" s="186" t="s">
        <v>1644</v>
      </c>
      <c r="Y5835" s="187" t="s">
        <v>55</v>
      </c>
      <c r="Z5835" s="311" t="s">
        <v>214</v>
      </c>
      <c r="AB5835" t="str">
        <f>IF(Table1[[#This Row],[TIPO2]]="costo", VLOOKUP(Table1[[#This Row],[PARTIDA PRESUPUESTAL]],'Cost Report'!G:G,1,0),"Balance")</f>
        <v>3410-012</v>
      </c>
      <c r="AD5835" s="159">
        <f>+Table1[[#This Row],[SUBTOTAL]]+Table1[[#This Row],[IVA]]-Table1[[#This Row],[RET IVA]]-Table1[[#This Row],[RET ISR]]-Table1[[#This Row],[TOTAL]]</f>
        <v>0</v>
      </c>
      <c r="AG5835" t="s">
        <v>3420</v>
      </c>
      <c r="AK5835" s="306" t="str">
        <f>IF(ISNUMBER(Table1[[#This Row],[FECHA DE RECIBIDO]]), Table1[[#This Row],[FECHA DE RECIBIDO]]-DATE(2023,8,30), "")</f>
        <v/>
      </c>
    </row>
    <row r="5836" spans="1:37" ht="16.05" customHeight="1">
      <c r="A5836" s="172" t="s">
        <v>5107</v>
      </c>
      <c r="B5836" s="178">
        <v>2079</v>
      </c>
      <c r="C5836" s="179" t="s">
        <v>977</v>
      </c>
      <c r="D5836">
        <v>4001</v>
      </c>
      <c r="E5836" s="125" t="s">
        <v>1645</v>
      </c>
      <c r="F5836" s="178">
        <v>601</v>
      </c>
      <c r="G5836" s="178" t="s">
        <v>134</v>
      </c>
      <c r="H5836">
        <v>956</v>
      </c>
      <c r="I5836" s="178" t="s">
        <v>1546</v>
      </c>
      <c r="J5836" s="320" t="s">
        <v>214</v>
      </c>
      <c r="K5836" s="178" t="s">
        <v>4872</v>
      </c>
      <c r="L5836" s="125" t="s">
        <v>1579</v>
      </c>
      <c r="M5836">
        <v>1327</v>
      </c>
      <c r="N5836" s="182">
        <v>243</v>
      </c>
      <c r="O5836">
        <v>2938</v>
      </c>
      <c r="P5836" s="132" t="s">
        <v>77</v>
      </c>
      <c r="Q5836" s="176">
        <v>343.1</v>
      </c>
      <c r="R5836" s="176">
        <v>54.9</v>
      </c>
      <c r="S5836" s="176"/>
      <c r="T5836" s="190"/>
      <c r="U5836" s="191"/>
      <c r="V5836" s="191">
        <v>398</v>
      </c>
      <c r="W5836">
        <v>227</v>
      </c>
      <c r="X5836" s="186" t="s">
        <v>1644</v>
      </c>
      <c r="Y5836" s="187" t="s">
        <v>55</v>
      </c>
      <c r="Z5836" s="311" t="s">
        <v>214</v>
      </c>
      <c r="AB5836" t="str">
        <f>IF(Table1[[#This Row],[TIPO2]]="costo", VLOOKUP(Table1[[#This Row],[PARTIDA PRESUPUESTAL]],'Cost Report'!G:G,1,0),"Balance")</f>
        <v>3410-012</v>
      </c>
      <c r="AD5836" s="159">
        <f>+Table1[[#This Row],[SUBTOTAL]]+Table1[[#This Row],[IVA]]-Table1[[#This Row],[RET IVA]]-Table1[[#This Row],[RET ISR]]-Table1[[#This Row],[TOTAL]]</f>
        <v>0</v>
      </c>
      <c r="AG5836" t="s">
        <v>3420</v>
      </c>
      <c r="AK5836" s="306" t="str">
        <f>IF(ISNUMBER(Table1[[#This Row],[FECHA DE RECIBIDO]]), Table1[[#This Row],[FECHA DE RECIBIDO]]-DATE(2023,8,30), "")</f>
        <v/>
      </c>
    </row>
    <row r="5837" spans="1:37" ht="16.05" customHeight="1">
      <c r="A5837" s="172" t="s">
        <v>5107</v>
      </c>
      <c r="B5837" s="178">
        <v>2079</v>
      </c>
      <c r="C5837" s="179" t="s">
        <v>3104</v>
      </c>
      <c r="D5837">
        <v>4002</v>
      </c>
      <c r="E5837" s="125" t="s">
        <v>5108</v>
      </c>
      <c r="F5837" s="178">
        <v>612</v>
      </c>
      <c r="G5837" s="178" t="s">
        <v>129</v>
      </c>
      <c r="H5837">
        <v>957</v>
      </c>
      <c r="I5837" s="178" t="s">
        <v>1546</v>
      </c>
      <c r="J5837" s="320" t="s">
        <v>214</v>
      </c>
      <c r="K5837" s="178" t="s">
        <v>4872</v>
      </c>
      <c r="L5837" s="125" t="s">
        <v>1579</v>
      </c>
      <c r="M5837">
        <v>1328</v>
      </c>
      <c r="N5837" s="182">
        <v>243</v>
      </c>
      <c r="O5837">
        <v>3819</v>
      </c>
      <c r="P5837" s="132" t="s">
        <v>77</v>
      </c>
      <c r="Q5837" s="176">
        <v>1853.45</v>
      </c>
      <c r="R5837" s="176">
        <v>296.55</v>
      </c>
      <c r="S5837" s="176"/>
      <c r="T5837" s="190"/>
      <c r="U5837" s="191"/>
      <c r="V5837" s="191">
        <v>2150</v>
      </c>
      <c r="W5837">
        <v>227</v>
      </c>
      <c r="X5837" s="186" t="s">
        <v>1644</v>
      </c>
      <c r="Y5837" s="187" t="s">
        <v>55</v>
      </c>
      <c r="Z5837" s="311" t="s">
        <v>214</v>
      </c>
      <c r="AB5837" t="str">
        <f>IF(Table1[[#This Row],[TIPO2]]="costo", VLOOKUP(Table1[[#This Row],[PARTIDA PRESUPUESTAL]],'Cost Report'!G:G,1,0),"Balance")</f>
        <v>7050-004</v>
      </c>
      <c r="AD5837" s="159">
        <f>+Table1[[#This Row],[SUBTOTAL]]+Table1[[#This Row],[IVA]]-Table1[[#This Row],[RET IVA]]-Table1[[#This Row],[RET ISR]]-Table1[[#This Row],[TOTAL]]</f>
        <v>0</v>
      </c>
      <c r="AG5837" t="s">
        <v>3420</v>
      </c>
      <c r="AK5837" s="306" t="str">
        <f>IF(ISNUMBER(Table1[[#This Row],[FECHA DE RECIBIDO]]), Table1[[#This Row],[FECHA DE RECIBIDO]]-DATE(2023,8,30), "")</f>
        <v/>
      </c>
    </row>
    <row r="5838" spans="1:37" ht="16.05" customHeight="1">
      <c r="A5838" s="172" t="s">
        <v>5107</v>
      </c>
      <c r="B5838" s="178">
        <v>2079</v>
      </c>
      <c r="C5838" s="179" t="s">
        <v>977</v>
      </c>
      <c r="D5838">
        <v>4003</v>
      </c>
      <c r="E5838" s="125">
        <v>45659</v>
      </c>
      <c r="F5838" s="178">
        <v>623</v>
      </c>
      <c r="G5838" s="178" t="s">
        <v>5096</v>
      </c>
      <c r="H5838">
        <v>31</v>
      </c>
      <c r="I5838" s="178" t="s">
        <v>1546</v>
      </c>
      <c r="J5838" s="320">
        <v>273.58325231481285</v>
      </c>
      <c r="K5838" s="178" t="s">
        <v>4872</v>
      </c>
      <c r="L5838" s="125" t="s">
        <v>1579</v>
      </c>
      <c r="M5838">
        <v>69</v>
      </c>
      <c r="N5838" s="182">
        <v>243</v>
      </c>
      <c r="O5838">
        <v>3820</v>
      </c>
      <c r="P5838" s="132" t="s">
        <v>77</v>
      </c>
      <c r="Q5838" s="176">
        <v>87.84</v>
      </c>
      <c r="R5838" s="176">
        <v>1.65</v>
      </c>
      <c r="S5838" s="176"/>
      <c r="T5838" s="190"/>
      <c r="U5838" s="191"/>
      <c r="V5838" s="191">
        <v>89.490000000000009</v>
      </c>
      <c r="W5838">
        <v>227</v>
      </c>
      <c r="X5838" s="186" t="s">
        <v>1644</v>
      </c>
      <c r="Y5838" s="187" t="s">
        <v>55</v>
      </c>
      <c r="Z5838" s="311" t="s">
        <v>214</v>
      </c>
      <c r="AB5838" t="str">
        <f>IF(Table1[[#This Row],[TIPO2]]="costo", VLOOKUP(Table1[[#This Row],[PARTIDA PRESUPUESTAL]],'Cost Report'!G:G,1,0),"Balance")</f>
        <v>3410-012</v>
      </c>
      <c r="AD5838" s="159">
        <f>+Table1[[#This Row],[SUBTOTAL]]+Table1[[#This Row],[IVA]]-Table1[[#This Row],[RET IVA]]-Table1[[#This Row],[RET ISR]]-Table1[[#This Row],[TOTAL]]</f>
        <v>0</v>
      </c>
      <c r="AG5838" t="s">
        <v>3420</v>
      </c>
      <c r="AK5838" s="306">
        <f>IF(ISNUMBER(Table1[[#This Row],[FECHA DE RECIBIDO]]), Table1[[#This Row],[FECHA DE RECIBIDO]]-DATE(2023,8,30), "")</f>
        <v>-44894.416747685187</v>
      </c>
    </row>
    <row r="5839" spans="1:37" ht="16.05" customHeight="1">
      <c r="A5839" s="172" t="s">
        <v>5107</v>
      </c>
      <c r="B5839" s="178">
        <v>2079</v>
      </c>
      <c r="C5839" s="179" t="s">
        <v>2860</v>
      </c>
      <c r="D5839">
        <v>4004</v>
      </c>
      <c r="E5839" s="125">
        <v>11000</v>
      </c>
      <c r="F5839" s="178">
        <v>601</v>
      </c>
      <c r="G5839" s="178" t="s">
        <v>134</v>
      </c>
      <c r="H5839">
        <v>436</v>
      </c>
      <c r="I5839" s="178" t="s">
        <v>1546</v>
      </c>
      <c r="J5839" s="320">
        <v>273.77585648147942</v>
      </c>
      <c r="K5839" s="178" t="s">
        <v>4872</v>
      </c>
      <c r="L5839" s="125" t="s">
        <v>1579</v>
      </c>
      <c r="M5839">
        <v>885</v>
      </c>
      <c r="N5839" s="182">
        <v>243</v>
      </c>
      <c r="O5839">
        <v>3821</v>
      </c>
      <c r="P5839" s="132" t="s">
        <v>77</v>
      </c>
      <c r="Q5839" s="176">
        <v>88.79</v>
      </c>
      <c r="R5839" s="176">
        <v>14.21</v>
      </c>
      <c r="S5839" s="176"/>
      <c r="T5839" s="190"/>
      <c r="U5839" s="191"/>
      <c r="V5839" s="191">
        <v>103</v>
      </c>
      <c r="W5839">
        <v>227</v>
      </c>
      <c r="X5839" s="186" t="s">
        <v>1644</v>
      </c>
      <c r="Y5839" s="187" t="s">
        <v>55</v>
      </c>
      <c r="Z5839" s="311" t="s">
        <v>214</v>
      </c>
      <c r="AB5839" t="str">
        <f>IF(Table1[[#This Row],[TIPO2]]="costo", VLOOKUP(Table1[[#This Row],[PARTIDA PRESUPUESTAL]],'Cost Report'!G:G,1,0),"Balance")</f>
        <v>3629-003</v>
      </c>
      <c r="AD5839" s="159">
        <f>+Table1[[#This Row],[SUBTOTAL]]+Table1[[#This Row],[IVA]]-Table1[[#This Row],[RET IVA]]-Table1[[#This Row],[RET ISR]]-Table1[[#This Row],[TOTAL]]</f>
        <v>0</v>
      </c>
      <c r="AG5839" t="s">
        <v>3420</v>
      </c>
      <c r="AK5839" s="306">
        <f>IF(ISNUMBER(Table1[[#This Row],[FECHA DE RECIBIDO]]), Table1[[#This Row],[FECHA DE RECIBIDO]]-DATE(2023,8,30), "")</f>
        <v>-44894.224143518521</v>
      </c>
    </row>
    <row r="5840" spans="1:37" ht="16.05" customHeight="1">
      <c r="A5840" s="172" t="s">
        <v>5107</v>
      </c>
      <c r="B5840" s="178">
        <v>2079</v>
      </c>
      <c r="C5840" s="179" t="s">
        <v>2829</v>
      </c>
      <c r="D5840">
        <v>4005</v>
      </c>
      <c r="E5840" s="125">
        <v>45640</v>
      </c>
      <c r="F5840" s="178">
        <v>601</v>
      </c>
      <c r="G5840" s="178" t="s">
        <v>134</v>
      </c>
      <c r="H5840">
        <v>958</v>
      </c>
      <c r="I5840" s="178" t="s">
        <v>1546</v>
      </c>
      <c r="J5840" s="320">
        <v>273.63516203704057</v>
      </c>
      <c r="K5840" s="178" t="s">
        <v>4872</v>
      </c>
      <c r="L5840" s="125" t="s">
        <v>1579</v>
      </c>
      <c r="M5840">
        <v>1329</v>
      </c>
      <c r="N5840" s="182">
        <v>243</v>
      </c>
      <c r="O5840">
        <v>3822</v>
      </c>
      <c r="P5840" s="132" t="s">
        <v>77</v>
      </c>
      <c r="Q5840" s="176">
        <v>119.83</v>
      </c>
      <c r="R5840" s="176">
        <v>19.170000000000002</v>
      </c>
      <c r="S5840" s="176"/>
      <c r="T5840" s="190"/>
      <c r="U5840" s="191"/>
      <c r="V5840" s="191">
        <v>139</v>
      </c>
      <c r="W5840">
        <v>227</v>
      </c>
      <c r="X5840" s="186" t="s">
        <v>1644</v>
      </c>
      <c r="Y5840" s="187" t="s">
        <v>55</v>
      </c>
      <c r="Z5840" s="311" t="s">
        <v>214</v>
      </c>
      <c r="AB5840" t="str">
        <f>IF(Table1[[#This Row],[TIPO2]]="costo", VLOOKUP(Table1[[#This Row],[PARTIDA PRESUPUESTAL]],'Cost Report'!G:G,1,0),"Balance")</f>
        <v>3412-138</v>
      </c>
      <c r="AD5840" s="159">
        <f>+Table1[[#This Row],[SUBTOTAL]]+Table1[[#This Row],[IVA]]-Table1[[#This Row],[RET IVA]]-Table1[[#This Row],[RET ISR]]-Table1[[#This Row],[TOTAL]]</f>
        <v>0</v>
      </c>
      <c r="AG5840" t="s">
        <v>3420</v>
      </c>
      <c r="AK5840" s="306">
        <f>IF(ISNUMBER(Table1[[#This Row],[FECHA DE RECIBIDO]]), Table1[[#This Row],[FECHA DE RECIBIDO]]-DATE(2023,8,30), "")</f>
        <v>-44894.364837962959</v>
      </c>
    </row>
    <row r="5841" spans="1:37" ht="16.05" customHeight="1">
      <c r="A5841" s="172" t="s">
        <v>5107</v>
      </c>
      <c r="B5841" s="178">
        <v>2079</v>
      </c>
      <c r="C5841" s="179" t="s">
        <v>2829</v>
      </c>
      <c r="D5841">
        <v>4006</v>
      </c>
      <c r="E5841" s="125">
        <v>45640</v>
      </c>
      <c r="F5841" s="178">
        <v>601</v>
      </c>
      <c r="G5841" s="178" t="s">
        <v>134</v>
      </c>
      <c r="H5841">
        <v>958</v>
      </c>
      <c r="I5841" s="178" t="s">
        <v>1546</v>
      </c>
      <c r="J5841" s="320">
        <v>273.6402199074073</v>
      </c>
      <c r="K5841" s="178" t="s">
        <v>4872</v>
      </c>
      <c r="L5841" s="125" t="s">
        <v>1579</v>
      </c>
      <c r="M5841">
        <v>1329</v>
      </c>
      <c r="N5841" s="182">
        <v>243</v>
      </c>
      <c r="O5841">
        <v>3823</v>
      </c>
      <c r="P5841" s="132" t="s">
        <v>77</v>
      </c>
      <c r="Q5841" s="176">
        <v>119.83</v>
      </c>
      <c r="R5841" s="176">
        <v>19.170000000000002</v>
      </c>
      <c r="S5841" s="176"/>
      <c r="T5841" s="190"/>
      <c r="U5841" s="191"/>
      <c r="V5841" s="191">
        <v>139</v>
      </c>
      <c r="W5841">
        <v>227</v>
      </c>
      <c r="X5841" s="186" t="s">
        <v>1644</v>
      </c>
      <c r="Y5841" s="187" t="s">
        <v>55</v>
      </c>
      <c r="Z5841" s="311" t="s">
        <v>214</v>
      </c>
      <c r="AB5841" t="str">
        <f>IF(Table1[[#This Row],[TIPO2]]="costo", VLOOKUP(Table1[[#This Row],[PARTIDA PRESUPUESTAL]],'Cost Report'!G:G,1,0),"Balance")</f>
        <v>3412-138</v>
      </c>
      <c r="AD5841" s="159">
        <f>+Table1[[#This Row],[SUBTOTAL]]+Table1[[#This Row],[IVA]]-Table1[[#This Row],[RET IVA]]-Table1[[#This Row],[RET ISR]]-Table1[[#This Row],[TOTAL]]</f>
        <v>0</v>
      </c>
      <c r="AG5841" t="s">
        <v>3420</v>
      </c>
      <c r="AK5841" s="306">
        <f>IF(ISNUMBER(Table1[[#This Row],[FECHA DE RECIBIDO]]), Table1[[#This Row],[FECHA DE RECIBIDO]]-DATE(2023,8,30), "")</f>
        <v>-44894.359780092593</v>
      </c>
    </row>
    <row r="5842" spans="1:37" ht="16.05" customHeight="1">
      <c r="A5842" s="172" t="s">
        <v>5107</v>
      </c>
      <c r="B5842" s="178">
        <v>2079</v>
      </c>
      <c r="C5842" s="179" t="s">
        <v>2443</v>
      </c>
      <c r="D5842">
        <v>4007</v>
      </c>
      <c r="E5842" s="125">
        <v>45110</v>
      </c>
      <c r="F5842" s="178">
        <v>601</v>
      </c>
      <c r="G5842" s="178" t="s">
        <v>134</v>
      </c>
      <c r="H5842">
        <v>91</v>
      </c>
      <c r="I5842" s="178" t="s">
        <v>1546</v>
      </c>
      <c r="J5842" s="320">
        <v>273.62714120370219</v>
      </c>
      <c r="K5842" s="178" t="s">
        <v>4872</v>
      </c>
      <c r="L5842" s="125" t="s">
        <v>1579</v>
      </c>
      <c r="M5842">
        <v>122</v>
      </c>
      <c r="N5842" s="182">
        <v>243</v>
      </c>
      <c r="O5842">
        <v>3824</v>
      </c>
      <c r="P5842" s="132" t="s">
        <v>77</v>
      </c>
      <c r="Q5842" s="176">
        <v>24.5</v>
      </c>
      <c r="R5842" s="176"/>
      <c r="S5842" s="176"/>
      <c r="T5842" s="190"/>
      <c r="U5842" s="191"/>
      <c r="V5842" s="191">
        <v>24.5</v>
      </c>
      <c r="W5842">
        <v>227</v>
      </c>
      <c r="X5842" s="186" t="s">
        <v>1644</v>
      </c>
      <c r="Y5842" s="187" t="s">
        <v>55</v>
      </c>
      <c r="Z5842" s="311" t="s">
        <v>214</v>
      </c>
      <c r="AB5842" t="str">
        <f>IF(Table1[[#This Row],[TIPO2]]="costo", VLOOKUP(Table1[[#This Row],[PARTIDA PRESUPUESTAL]],'Cost Report'!G:G,1,0),"Balance")</f>
        <v>2080-003</v>
      </c>
      <c r="AD5842" s="159">
        <f>+Table1[[#This Row],[SUBTOTAL]]+Table1[[#This Row],[IVA]]-Table1[[#This Row],[RET IVA]]-Table1[[#This Row],[RET ISR]]-Table1[[#This Row],[TOTAL]]</f>
        <v>0</v>
      </c>
      <c r="AG5842" t="s">
        <v>3420</v>
      </c>
      <c r="AK5842" s="306">
        <f>IF(ISNUMBER(Table1[[#This Row],[FECHA DE RECIBIDO]]), Table1[[#This Row],[FECHA DE RECIBIDO]]-DATE(2023,8,30), "")</f>
        <v>-44894.372858796298</v>
      </c>
    </row>
    <row r="5843" spans="1:37" ht="16.05" customHeight="1">
      <c r="A5843" s="172" t="s">
        <v>5107</v>
      </c>
      <c r="B5843" s="178">
        <v>2079</v>
      </c>
      <c r="C5843" s="179" t="s">
        <v>2443</v>
      </c>
      <c r="D5843">
        <v>4008</v>
      </c>
      <c r="E5843" s="125">
        <v>45110</v>
      </c>
      <c r="F5843" s="178">
        <v>601</v>
      </c>
      <c r="G5843" s="178" t="s">
        <v>134</v>
      </c>
      <c r="H5843">
        <v>99</v>
      </c>
      <c r="I5843" s="178" t="s">
        <v>1546</v>
      </c>
      <c r="J5843" s="320">
        <v>273.58616898148466</v>
      </c>
      <c r="K5843" s="178" t="s">
        <v>4872</v>
      </c>
      <c r="L5843" s="125" t="s">
        <v>1579</v>
      </c>
      <c r="M5843">
        <v>134</v>
      </c>
      <c r="N5843" s="182">
        <v>243</v>
      </c>
      <c r="O5843">
        <v>3825</v>
      </c>
      <c r="P5843" s="132" t="s">
        <v>77</v>
      </c>
      <c r="Q5843" s="176">
        <v>644.66999999999996</v>
      </c>
      <c r="R5843" s="176">
        <v>103.15</v>
      </c>
      <c r="S5843" s="176"/>
      <c r="T5843" s="190"/>
      <c r="U5843" s="191"/>
      <c r="V5843" s="191">
        <v>747.81999999999994</v>
      </c>
      <c r="W5843">
        <v>227</v>
      </c>
      <c r="X5843" s="186" t="s">
        <v>1644</v>
      </c>
      <c r="Y5843" s="187" t="s">
        <v>55</v>
      </c>
      <c r="Z5843" s="311" t="s">
        <v>214</v>
      </c>
      <c r="AB5843" t="str">
        <f>IF(Table1[[#This Row],[TIPO2]]="costo", VLOOKUP(Table1[[#This Row],[PARTIDA PRESUPUESTAL]],'Cost Report'!G:G,1,0),"Balance")</f>
        <v>2080-003</v>
      </c>
      <c r="AD5843" s="159">
        <f>+Table1[[#This Row],[SUBTOTAL]]+Table1[[#This Row],[IVA]]-Table1[[#This Row],[RET IVA]]-Table1[[#This Row],[RET ISR]]-Table1[[#This Row],[TOTAL]]</f>
        <v>0</v>
      </c>
      <c r="AG5843" t="s">
        <v>3420</v>
      </c>
      <c r="AK5843" s="306">
        <f>IF(ISNUMBER(Table1[[#This Row],[FECHA DE RECIBIDO]]), Table1[[#This Row],[FECHA DE RECIBIDO]]-DATE(2023,8,30), "")</f>
        <v>-44894.413831018515</v>
      </c>
    </row>
    <row r="5844" spans="1:37" ht="16.05" customHeight="1">
      <c r="A5844" s="172" t="s">
        <v>5107</v>
      </c>
      <c r="B5844" s="178">
        <v>2079</v>
      </c>
      <c r="C5844" s="179" t="s">
        <v>977</v>
      </c>
      <c r="D5844">
        <v>4009</v>
      </c>
      <c r="E5844" s="125">
        <v>45050</v>
      </c>
      <c r="F5844" s="178">
        <v>612</v>
      </c>
      <c r="G5844" s="178" t="s">
        <v>129</v>
      </c>
      <c r="H5844">
        <v>959</v>
      </c>
      <c r="I5844" s="178" t="s">
        <v>1546</v>
      </c>
      <c r="J5844" s="320">
        <v>273.61065972222423</v>
      </c>
      <c r="K5844" s="178" t="s">
        <v>4872</v>
      </c>
      <c r="L5844" s="125" t="s">
        <v>1579</v>
      </c>
      <c r="M5844">
        <v>1330</v>
      </c>
      <c r="N5844" s="182">
        <v>243</v>
      </c>
      <c r="O5844">
        <v>3826</v>
      </c>
      <c r="P5844" s="132" t="s">
        <v>77</v>
      </c>
      <c r="Q5844" s="176">
        <v>205.18</v>
      </c>
      <c r="R5844" s="176">
        <v>32.83</v>
      </c>
      <c r="S5844" s="176"/>
      <c r="T5844" s="190"/>
      <c r="U5844" s="191"/>
      <c r="V5844" s="191">
        <v>238.01</v>
      </c>
      <c r="W5844">
        <v>227</v>
      </c>
      <c r="X5844" s="186" t="s">
        <v>1644</v>
      </c>
      <c r="Y5844" s="187" t="s">
        <v>55</v>
      </c>
      <c r="Z5844" s="311" t="s">
        <v>214</v>
      </c>
      <c r="AB5844" t="str">
        <f>IF(Table1[[#This Row],[TIPO2]]="costo", VLOOKUP(Table1[[#This Row],[PARTIDA PRESUPUESTAL]],'Cost Report'!G:G,1,0),"Balance")</f>
        <v>3410-012</v>
      </c>
      <c r="AD5844" s="159">
        <f>+Table1[[#This Row],[SUBTOTAL]]+Table1[[#This Row],[IVA]]-Table1[[#This Row],[RET IVA]]-Table1[[#This Row],[RET ISR]]-Table1[[#This Row],[TOTAL]]</f>
        <v>0</v>
      </c>
      <c r="AG5844" t="s">
        <v>3420</v>
      </c>
      <c r="AK5844" s="306">
        <f>IF(ISNUMBER(Table1[[#This Row],[FECHA DE RECIBIDO]]), Table1[[#This Row],[FECHA DE RECIBIDO]]-DATE(2023,8,30), "")</f>
        <v>-44894.389340277776</v>
      </c>
    </row>
    <row r="5845" spans="1:37" ht="16.05" customHeight="1">
      <c r="A5845" s="172" t="s">
        <v>5107</v>
      </c>
      <c r="B5845" s="178">
        <v>2079</v>
      </c>
      <c r="C5845" s="179" t="s">
        <v>2860</v>
      </c>
      <c r="D5845">
        <v>4010</v>
      </c>
      <c r="E5845" s="125">
        <v>5120</v>
      </c>
      <c r="F5845" s="178">
        <v>601</v>
      </c>
      <c r="G5845" s="178" t="s">
        <v>134</v>
      </c>
      <c r="H5845">
        <v>438</v>
      </c>
      <c r="I5845" s="178" t="s">
        <v>1546</v>
      </c>
      <c r="J5845" s="320">
        <v>273.7707986111127</v>
      </c>
      <c r="K5845" s="178" t="s">
        <v>4872</v>
      </c>
      <c r="L5845" s="125" t="s">
        <v>1579</v>
      </c>
      <c r="M5845">
        <v>598</v>
      </c>
      <c r="N5845" s="182">
        <v>243</v>
      </c>
      <c r="O5845">
        <v>3821</v>
      </c>
      <c r="P5845" s="132" t="s">
        <v>77</v>
      </c>
      <c r="Q5845" s="176">
        <v>117.24</v>
      </c>
      <c r="R5845" s="176">
        <v>18.760000000000002</v>
      </c>
      <c r="S5845" s="176"/>
      <c r="T5845" s="190"/>
      <c r="U5845" s="191"/>
      <c r="V5845" s="191">
        <v>136</v>
      </c>
      <c r="W5845">
        <v>227</v>
      </c>
      <c r="X5845" s="186" t="s">
        <v>1644</v>
      </c>
      <c r="Y5845" s="187" t="s">
        <v>55</v>
      </c>
      <c r="Z5845" s="311" t="s">
        <v>214</v>
      </c>
      <c r="AB5845" t="str">
        <f>IF(Table1[[#This Row],[TIPO2]]="costo", VLOOKUP(Table1[[#This Row],[PARTIDA PRESUPUESTAL]],'Cost Report'!G:G,1,0),"Balance")</f>
        <v>3629-003</v>
      </c>
      <c r="AD5845" s="159">
        <f>+Table1[[#This Row],[SUBTOTAL]]+Table1[[#This Row],[IVA]]-Table1[[#This Row],[RET IVA]]-Table1[[#This Row],[RET ISR]]-Table1[[#This Row],[TOTAL]]</f>
        <v>0</v>
      </c>
      <c r="AG5845" t="s">
        <v>3420</v>
      </c>
      <c r="AK5845" s="306">
        <f>IF(ISNUMBER(Table1[[#This Row],[FECHA DE RECIBIDO]]), Table1[[#This Row],[FECHA DE RECIBIDO]]-DATE(2023,8,30), "")</f>
        <v>-44894.229201388887</v>
      </c>
    </row>
    <row r="5846" spans="1:37" ht="16.05" customHeight="1">
      <c r="A5846" s="172" t="s">
        <v>5107</v>
      </c>
      <c r="B5846" s="178">
        <v>2079</v>
      </c>
      <c r="C5846" s="179" t="s">
        <v>2860</v>
      </c>
      <c r="D5846">
        <v>4011</v>
      </c>
      <c r="E5846" s="125">
        <v>5120</v>
      </c>
      <c r="F5846" s="178">
        <v>601</v>
      </c>
      <c r="G5846" s="178" t="s">
        <v>134</v>
      </c>
      <c r="H5846">
        <v>438</v>
      </c>
      <c r="I5846" s="178" t="s">
        <v>1546</v>
      </c>
      <c r="J5846" s="320">
        <v>273.77488425926276</v>
      </c>
      <c r="K5846" s="178" t="s">
        <v>4872</v>
      </c>
      <c r="L5846" s="125" t="s">
        <v>1579</v>
      </c>
      <c r="M5846">
        <v>598</v>
      </c>
      <c r="N5846" s="182">
        <v>243</v>
      </c>
      <c r="O5846">
        <v>3821</v>
      </c>
      <c r="P5846" s="132" t="s">
        <v>77</v>
      </c>
      <c r="Q5846" s="176">
        <v>181.03</v>
      </c>
      <c r="R5846" s="176">
        <v>28.97</v>
      </c>
      <c r="S5846" s="176"/>
      <c r="T5846" s="190"/>
      <c r="U5846" s="191"/>
      <c r="V5846" s="191">
        <v>210</v>
      </c>
      <c r="W5846">
        <v>227</v>
      </c>
      <c r="X5846" s="186" t="s">
        <v>1644</v>
      </c>
      <c r="Y5846" s="187" t="s">
        <v>55</v>
      </c>
      <c r="Z5846" s="311" t="s">
        <v>214</v>
      </c>
      <c r="AB5846" t="str">
        <f>IF(Table1[[#This Row],[TIPO2]]="costo", VLOOKUP(Table1[[#This Row],[PARTIDA PRESUPUESTAL]],'Cost Report'!G:G,1,0),"Balance")</f>
        <v>3629-003</v>
      </c>
      <c r="AD5846" s="159">
        <f>+Table1[[#This Row],[SUBTOTAL]]+Table1[[#This Row],[IVA]]-Table1[[#This Row],[RET IVA]]-Table1[[#This Row],[RET ISR]]-Table1[[#This Row],[TOTAL]]</f>
        <v>0</v>
      </c>
      <c r="AG5846" t="s">
        <v>3420</v>
      </c>
      <c r="AK5846" s="306">
        <f>IF(ISNUMBER(Table1[[#This Row],[FECHA DE RECIBIDO]]), Table1[[#This Row],[FECHA DE RECIBIDO]]-DATE(2023,8,30), "")</f>
        <v>-44894.225115740737</v>
      </c>
    </row>
    <row r="5847" spans="1:37" ht="16.05" customHeight="1">
      <c r="A5847" s="172" t="s">
        <v>5107</v>
      </c>
      <c r="B5847" s="178">
        <v>2079</v>
      </c>
      <c r="C5847" s="179" t="s">
        <v>2860</v>
      </c>
      <c r="D5847">
        <v>4012</v>
      </c>
      <c r="E5847" s="125">
        <v>44610</v>
      </c>
      <c r="F5847" s="178">
        <v>601</v>
      </c>
      <c r="G5847" s="178" t="s">
        <v>134</v>
      </c>
      <c r="H5847">
        <v>319</v>
      </c>
      <c r="I5847" s="178" t="s">
        <v>1546</v>
      </c>
      <c r="J5847" s="320">
        <v>273.80008101851854</v>
      </c>
      <c r="K5847" s="178" t="s">
        <v>4872</v>
      </c>
      <c r="L5847" s="125" t="s">
        <v>1579</v>
      </c>
      <c r="M5847">
        <v>424</v>
      </c>
      <c r="N5847" s="182">
        <v>243</v>
      </c>
      <c r="O5847">
        <v>3821</v>
      </c>
      <c r="P5847" s="132" t="s">
        <v>77</v>
      </c>
      <c r="Q5847" s="176">
        <v>204.31</v>
      </c>
      <c r="R5847" s="176">
        <v>32.69</v>
      </c>
      <c r="S5847" s="176"/>
      <c r="T5847" s="190"/>
      <c r="U5847" s="191"/>
      <c r="V5847" s="191">
        <v>237</v>
      </c>
      <c r="W5847">
        <v>227</v>
      </c>
      <c r="X5847" s="186" t="s">
        <v>1644</v>
      </c>
      <c r="Y5847" s="187" t="s">
        <v>55</v>
      </c>
      <c r="Z5847" s="311" t="s">
        <v>214</v>
      </c>
      <c r="AB5847" t="str">
        <f>IF(Table1[[#This Row],[TIPO2]]="costo", VLOOKUP(Table1[[#This Row],[PARTIDA PRESUPUESTAL]],'Cost Report'!G:G,1,0),"Balance")</f>
        <v>3629-003</v>
      </c>
      <c r="AD5847" s="159">
        <f>+Table1[[#This Row],[SUBTOTAL]]+Table1[[#This Row],[IVA]]-Table1[[#This Row],[RET IVA]]-Table1[[#This Row],[RET ISR]]-Table1[[#This Row],[TOTAL]]</f>
        <v>0</v>
      </c>
      <c r="AG5847" t="s">
        <v>3420</v>
      </c>
      <c r="AK5847" s="306">
        <f>IF(ISNUMBER(Table1[[#This Row],[FECHA DE RECIBIDO]]), Table1[[#This Row],[FECHA DE RECIBIDO]]-DATE(2023,8,30), "")</f>
        <v>-44894.199918981481</v>
      </c>
    </row>
    <row r="5848" spans="1:37" ht="16.05" customHeight="1">
      <c r="A5848" s="172" t="s">
        <v>5107</v>
      </c>
      <c r="B5848" s="178">
        <v>2079</v>
      </c>
      <c r="C5848" s="179" t="s">
        <v>2860</v>
      </c>
      <c r="D5848">
        <v>4013</v>
      </c>
      <c r="E5848" s="125">
        <v>1219</v>
      </c>
      <c r="F5848" s="178">
        <v>603</v>
      </c>
      <c r="G5848" s="178" t="s">
        <v>2065</v>
      </c>
      <c r="H5848">
        <v>576</v>
      </c>
      <c r="I5848" s="178" t="s">
        <v>1546</v>
      </c>
      <c r="J5848" s="320">
        <v>273.78004629629868</v>
      </c>
      <c r="K5848" s="178" t="s">
        <v>4872</v>
      </c>
      <c r="L5848" s="125" t="s">
        <v>1579</v>
      </c>
      <c r="M5848">
        <v>813</v>
      </c>
      <c r="N5848" s="182">
        <v>243</v>
      </c>
      <c r="O5848">
        <v>3821</v>
      </c>
      <c r="P5848" s="132" t="s">
        <v>77</v>
      </c>
      <c r="Q5848" s="176">
        <v>93.1</v>
      </c>
      <c r="R5848" s="176">
        <v>14.9</v>
      </c>
      <c r="S5848" s="176"/>
      <c r="T5848" s="190"/>
      <c r="U5848" s="191"/>
      <c r="V5848" s="191">
        <v>108</v>
      </c>
      <c r="W5848">
        <v>227</v>
      </c>
      <c r="X5848" s="186" t="s">
        <v>1644</v>
      </c>
      <c r="Y5848" s="187" t="s">
        <v>55</v>
      </c>
      <c r="Z5848" s="311" t="s">
        <v>214</v>
      </c>
      <c r="AB5848" t="str">
        <f>IF(Table1[[#This Row],[TIPO2]]="costo", VLOOKUP(Table1[[#This Row],[PARTIDA PRESUPUESTAL]],'Cost Report'!G:G,1,0),"Balance")</f>
        <v>3629-003</v>
      </c>
      <c r="AD5848" s="159">
        <f>+Table1[[#This Row],[SUBTOTAL]]+Table1[[#This Row],[IVA]]-Table1[[#This Row],[RET IVA]]-Table1[[#This Row],[RET ISR]]-Table1[[#This Row],[TOTAL]]</f>
        <v>0</v>
      </c>
      <c r="AG5848" t="s">
        <v>3420</v>
      </c>
      <c r="AK5848" s="306">
        <f>IF(ISNUMBER(Table1[[#This Row],[FECHA DE RECIBIDO]]), Table1[[#This Row],[FECHA DE RECIBIDO]]-DATE(2023,8,30), "")</f>
        <v>-44894.219953703701</v>
      </c>
    </row>
    <row r="5849" spans="1:37" ht="16.05" customHeight="1">
      <c r="A5849" s="172" t="s">
        <v>5107</v>
      </c>
      <c r="B5849" s="178">
        <v>2079</v>
      </c>
      <c r="C5849" s="179" t="s">
        <v>2860</v>
      </c>
      <c r="D5849">
        <v>4014</v>
      </c>
      <c r="E5849" s="125">
        <v>1219</v>
      </c>
      <c r="F5849" s="178">
        <v>603</v>
      </c>
      <c r="G5849" s="178" t="s">
        <v>2065</v>
      </c>
      <c r="H5849">
        <v>469</v>
      </c>
      <c r="I5849" s="178" t="s">
        <v>1546</v>
      </c>
      <c r="J5849" s="320">
        <v>273.79297453703475</v>
      </c>
      <c r="K5849" s="178" t="s">
        <v>4872</v>
      </c>
      <c r="L5849" s="125" t="s">
        <v>1579</v>
      </c>
      <c r="M5849">
        <v>659</v>
      </c>
      <c r="N5849" s="182">
        <v>243</v>
      </c>
      <c r="O5849">
        <v>3821</v>
      </c>
      <c r="P5849" s="132" t="s">
        <v>77</v>
      </c>
      <c r="Q5849" s="176">
        <v>106.9</v>
      </c>
      <c r="R5849" s="176">
        <v>17.100000000000001</v>
      </c>
      <c r="S5849" s="176"/>
      <c r="T5849" s="190"/>
      <c r="U5849" s="191"/>
      <c r="V5849" s="191">
        <v>124</v>
      </c>
      <c r="W5849">
        <v>227</v>
      </c>
      <c r="X5849" s="186" t="s">
        <v>1644</v>
      </c>
      <c r="Y5849" s="187" t="s">
        <v>55</v>
      </c>
      <c r="Z5849" s="311" t="s">
        <v>214</v>
      </c>
      <c r="AB5849" t="str">
        <f>IF(Table1[[#This Row],[TIPO2]]="costo", VLOOKUP(Table1[[#This Row],[PARTIDA PRESUPUESTAL]],'Cost Report'!G:G,1,0),"Balance")</f>
        <v>3629-003</v>
      </c>
      <c r="AD5849" s="159">
        <f>+Table1[[#This Row],[SUBTOTAL]]+Table1[[#This Row],[IVA]]-Table1[[#This Row],[RET IVA]]-Table1[[#This Row],[RET ISR]]-Table1[[#This Row],[TOTAL]]</f>
        <v>0</v>
      </c>
      <c r="AG5849" t="s">
        <v>3420</v>
      </c>
      <c r="AK5849" s="306">
        <f>IF(ISNUMBER(Table1[[#This Row],[FECHA DE RECIBIDO]]), Table1[[#This Row],[FECHA DE RECIBIDO]]-DATE(2023,8,30), "")</f>
        <v>-44894.207025462965</v>
      </c>
    </row>
    <row r="5850" spans="1:37" ht="16.05" customHeight="1">
      <c r="A5850" s="172" t="s">
        <v>5107</v>
      </c>
      <c r="B5850" s="178">
        <v>2079</v>
      </c>
      <c r="C5850" s="179" t="s">
        <v>977</v>
      </c>
      <c r="D5850">
        <v>4015</v>
      </c>
      <c r="E5850" s="125">
        <v>50434</v>
      </c>
      <c r="F5850" s="178">
        <v>612</v>
      </c>
      <c r="G5850" s="178" t="s">
        <v>129</v>
      </c>
      <c r="H5850">
        <v>960</v>
      </c>
      <c r="I5850" s="178" t="s">
        <v>1546</v>
      </c>
      <c r="J5850" s="320">
        <v>274.51016203704057</v>
      </c>
      <c r="K5850" s="178" t="s">
        <v>4872</v>
      </c>
      <c r="L5850" s="125" t="s">
        <v>1579</v>
      </c>
      <c r="M5850">
        <v>1331</v>
      </c>
      <c r="N5850" s="182">
        <v>243</v>
      </c>
      <c r="O5850">
        <v>3827</v>
      </c>
      <c r="P5850" s="132" t="s">
        <v>77</v>
      </c>
      <c r="Q5850" s="176">
        <v>349.14</v>
      </c>
      <c r="R5850" s="176">
        <v>55.86</v>
      </c>
      <c r="S5850" s="176"/>
      <c r="T5850" s="190"/>
      <c r="U5850" s="191"/>
      <c r="V5850" s="191">
        <v>405</v>
      </c>
      <c r="W5850">
        <v>225</v>
      </c>
      <c r="X5850" s="186" t="s">
        <v>1644</v>
      </c>
      <c r="Y5850" s="187" t="s">
        <v>55</v>
      </c>
      <c r="Z5850" s="311">
        <v>274</v>
      </c>
      <c r="AB5850" t="str">
        <f>IF(Table1[[#This Row],[TIPO2]]="costo", VLOOKUP(Table1[[#This Row],[PARTIDA PRESUPUESTAL]],'Cost Report'!G:G,1,0),"Balance")</f>
        <v>3410-012</v>
      </c>
      <c r="AD5850" s="159">
        <f>+Table1[[#This Row],[SUBTOTAL]]+Table1[[#This Row],[IVA]]-Table1[[#This Row],[RET IVA]]-Table1[[#This Row],[RET ISR]]-Table1[[#This Row],[TOTAL]]</f>
        <v>0</v>
      </c>
      <c r="AG5850" t="s">
        <v>3420</v>
      </c>
      <c r="AK5850" s="306">
        <f>IF(ISNUMBER(Table1[[#This Row],[FECHA DE RECIBIDO]]), Table1[[#This Row],[FECHA DE RECIBIDO]]-DATE(2023,8,30), "")</f>
        <v>-44893.489837962959</v>
      </c>
    </row>
    <row r="5851" spans="1:37" ht="16.05" customHeight="1">
      <c r="A5851" s="172" t="s">
        <v>5107</v>
      </c>
      <c r="B5851" s="178">
        <v>2079</v>
      </c>
      <c r="C5851" s="179" t="s">
        <v>3103</v>
      </c>
      <c r="D5851">
        <v>689</v>
      </c>
      <c r="E5851" s="125"/>
      <c r="F5851" s="178"/>
      <c r="G5851" s="178"/>
      <c r="H5851"/>
      <c r="I5851" s="178"/>
      <c r="J5851" s="320" t="s">
        <v>214</v>
      </c>
      <c r="K5851" s="178" t="s">
        <v>4872</v>
      </c>
      <c r="L5851" s="125" t="s">
        <v>1579</v>
      </c>
      <c r="M5851">
        <v>809</v>
      </c>
      <c r="N5851" s="182">
        <v>243</v>
      </c>
      <c r="O5851">
        <v>3828</v>
      </c>
      <c r="P5851" s="132" t="s">
        <v>77</v>
      </c>
      <c r="Q5851" s="176">
        <v>34.22</v>
      </c>
      <c r="R5851" s="176"/>
      <c r="S5851" s="176"/>
      <c r="T5851" s="190"/>
      <c r="U5851" s="191"/>
      <c r="V5851" s="191">
        <v>34.22</v>
      </c>
      <c r="W5851">
        <v>227</v>
      </c>
      <c r="X5851" s="186" t="s">
        <v>1644</v>
      </c>
      <c r="Y5851" s="187" t="s">
        <v>55</v>
      </c>
      <c r="Z5851" s="311">
        <v>280</v>
      </c>
      <c r="AB5851" t="str">
        <f>IF(Table1[[#This Row],[TIPO2]]="costo", VLOOKUP(Table1[[#This Row],[PARTIDA PRESUPUESTAL]],'Cost Report'!G:G,1,0),"Balance")</f>
        <v>7038-009</v>
      </c>
      <c r="AD5851" s="159">
        <f>+Table1[[#This Row],[SUBTOTAL]]+Table1[[#This Row],[IVA]]-Table1[[#This Row],[RET IVA]]-Table1[[#This Row],[RET ISR]]-Table1[[#This Row],[TOTAL]]</f>
        <v>0</v>
      </c>
      <c r="AG5851" t="s">
        <v>3420</v>
      </c>
      <c r="AK5851" s="306" t="str">
        <f>IF(ISNUMBER(Table1[[#This Row],[FECHA DE RECIBIDO]]), Table1[[#This Row],[FECHA DE RECIBIDO]]-DATE(2023,8,30), "")</f>
        <v/>
      </c>
    </row>
    <row r="5852" spans="1:37" ht="16.05" customHeight="1">
      <c r="A5852" s="172" t="s">
        <v>5107</v>
      </c>
      <c r="B5852" s="178">
        <v>2079</v>
      </c>
      <c r="C5852" s="179" t="s">
        <v>977</v>
      </c>
      <c r="D5852">
        <v>689</v>
      </c>
      <c r="E5852" s="125"/>
      <c r="F5852" s="178"/>
      <c r="G5852" s="178"/>
      <c r="H5852"/>
      <c r="I5852" s="178"/>
      <c r="J5852" s="320" t="s">
        <v>214</v>
      </c>
      <c r="K5852" s="178" t="s">
        <v>4872</v>
      </c>
      <c r="L5852" s="125" t="s">
        <v>1579</v>
      </c>
      <c r="M5852">
        <v>1332</v>
      </c>
      <c r="N5852" s="182">
        <v>243</v>
      </c>
      <c r="O5852">
        <v>3829</v>
      </c>
      <c r="P5852" s="132" t="s">
        <v>77</v>
      </c>
      <c r="Q5852" s="176">
        <v>260</v>
      </c>
      <c r="R5852" s="176"/>
      <c r="S5852" s="176"/>
      <c r="T5852" s="190"/>
      <c r="U5852" s="191"/>
      <c r="V5852" s="191">
        <v>260</v>
      </c>
      <c r="W5852">
        <v>227</v>
      </c>
      <c r="X5852" s="186" t="s">
        <v>1644</v>
      </c>
      <c r="Y5852" s="187" t="s">
        <v>55</v>
      </c>
      <c r="Z5852" s="311" t="s">
        <v>214</v>
      </c>
      <c r="AB5852" t="str">
        <f>IF(Table1[[#This Row],[TIPO2]]="costo", VLOOKUP(Table1[[#This Row],[PARTIDA PRESUPUESTAL]],'Cost Report'!G:G,1,0),"Balance")</f>
        <v>3410-012</v>
      </c>
      <c r="AD5852" s="159">
        <f>+Table1[[#This Row],[SUBTOTAL]]+Table1[[#This Row],[IVA]]-Table1[[#This Row],[RET IVA]]-Table1[[#This Row],[RET ISR]]-Table1[[#This Row],[TOTAL]]</f>
        <v>0</v>
      </c>
      <c r="AG5852" t="s">
        <v>3420</v>
      </c>
      <c r="AK5852" s="306" t="str">
        <f>IF(ISNUMBER(Table1[[#This Row],[FECHA DE RECIBIDO]]), Table1[[#This Row],[FECHA DE RECIBIDO]]-DATE(2023,8,30), "")</f>
        <v/>
      </c>
    </row>
    <row r="5853" spans="1:37" ht="16.05" customHeight="1">
      <c r="A5853" s="172" t="s">
        <v>5107</v>
      </c>
      <c r="B5853" s="178">
        <v>2079</v>
      </c>
      <c r="C5853" s="179" t="s">
        <v>2443</v>
      </c>
      <c r="D5853">
        <v>689</v>
      </c>
      <c r="E5853" s="125"/>
      <c r="F5853" s="178"/>
      <c r="G5853" s="178"/>
      <c r="H5853"/>
      <c r="I5853" s="178"/>
      <c r="J5853" s="320" t="s">
        <v>214</v>
      </c>
      <c r="K5853" s="178" t="s">
        <v>4872</v>
      </c>
      <c r="L5853" s="125" t="s">
        <v>1579</v>
      </c>
      <c r="M5853">
        <v>1333</v>
      </c>
      <c r="N5853" s="182">
        <v>243</v>
      </c>
      <c r="O5853">
        <v>3830</v>
      </c>
      <c r="P5853" s="132" t="s">
        <v>77</v>
      </c>
      <c r="Q5853" s="176">
        <v>498.01</v>
      </c>
      <c r="R5853" s="176"/>
      <c r="S5853" s="176"/>
      <c r="T5853" s="190"/>
      <c r="U5853" s="191"/>
      <c r="V5853" s="191">
        <v>498.01</v>
      </c>
      <c r="W5853">
        <v>227</v>
      </c>
      <c r="X5853" s="186" t="s">
        <v>1644</v>
      </c>
      <c r="Y5853" s="187" t="s">
        <v>55</v>
      </c>
      <c r="Z5853" s="311" t="s">
        <v>214</v>
      </c>
      <c r="AB5853" t="str">
        <f>IF(Table1[[#This Row],[TIPO2]]="costo", VLOOKUP(Table1[[#This Row],[PARTIDA PRESUPUESTAL]],'Cost Report'!G:G,1,0),"Balance")</f>
        <v>2080-003</v>
      </c>
      <c r="AD5853" s="159">
        <f>+Table1[[#This Row],[SUBTOTAL]]+Table1[[#This Row],[IVA]]-Table1[[#This Row],[RET IVA]]-Table1[[#This Row],[RET ISR]]-Table1[[#This Row],[TOTAL]]</f>
        <v>0</v>
      </c>
      <c r="AG5853" t="s">
        <v>3420</v>
      </c>
      <c r="AK5853" s="306" t="str">
        <f>IF(ISNUMBER(Table1[[#This Row],[FECHA DE RECIBIDO]]), Table1[[#This Row],[FECHA DE RECIBIDO]]-DATE(2023,8,30), "")</f>
        <v/>
      </c>
    </row>
    <row r="5854" spans="1:37" ht="16.05" customHeight="1">
      <c r="A5854" s="172" t="s">
        <v>5107</v>
      </c>
      <c r="B5854" s="178">
        <v>2079</v>
      </c>
      <c r="C5854" s="179" t="s">
        <v>3103</v>
      </c>
      <c r="D5854">
        <v>689</v>
      </c>
      <c r="E5854" s="125"/>
      <c r="F5854" s="178"/>
      <c r="G5854" s="178"/>
      <c r="H5854"/>
      <c r="I5854" s="178"/>
      <c r="J5854" s="320" t="s">
        <v>214</v>
      </c>
      <c r="K5854" s="178" t="s">
        <v>4872</v>
      </c>
      <c r="L5854" s="125" t="s">
        <v>1579</v>
      </c>
      <c r="M5854">
        <v>809</v>
      </c>
      <c r="N5854" s="182">
        <v>243</v>
      </c>
      <c r="O5854">
        <v>3828</v>
      </c>
      <c r="P5854" s="132" t="s">
        <v>77</v>
      </c>
      <c r="Q5854" s="176">
        <v>34.22</v>
      </c>
      <c r="R5854" s="176"/>
      <c r="S5854" s="176"/>
      <c r="T5854" s="190"/>
      <c r="U5854" s="191"/>
      <c r="V5854" s="191">
        <v>34.22</v>
      </c>
      <c r="W5854">
        <v>227</v>
      </c>
      <c r="X5854" s="186" t="s">
        <v>1644</v>
      </c>
      <c r="Y5854" s="187" t="s">
        <v>55</v>
      </c>
      <c r="Z5854" s="311" t="s">
        <v>214</v>
      </c>
      <c r="AB5854" t="str">
        <f>IF(Table1[[#This Row],[TIPO2]]="costo", VLOOKUP(Table1[[#This Row],[PARTIDA PRESUPUESTAL]],'Cost Report'!G:G,1,0),"Balance")</f>
        <v>7038-009</v>
      </c>
      <c r="AD5854" s="159">
        <f>+Table1[[#This Row],[SUBTOTAL]]+Table1[[#This Row],[IVA]]-Table1[[#This Row],[RET IVA]]-Table1[[#This Row],[RET ISR]]-Table1[[#This Row],[TOTAL]]</f>
        <v>0</v>
      </c>
      <c r="AG5854" t="s">
        <v>3420</v>
      </c>
      <c r="AK5854" s="306" t="str">
        <f>IF(ISNUMBER(Table1[[#This Row],[FECHA DE RECIBIDO]]), Table1[[#This Row],[FECHA DE RECIBIDO]]-DATE(2023,8,30), "")</f>
        <v/>
      </c>
    </row>
    <row r="5855" spans="1:37" ht="16.05" customHeight="1">
      <c r="A5855" s="172" t="s">
        <v>5107</v>
      </c>
      <c r="B5855" s="178">
        <v>2079</v>
      </c>
      <c r="C5855" s="179" t="s">
        <v>3105</v>
      </c>
      <c r="D5855">
        <v>689</v>
      </c>
      <c r="E5855" s="125"/>
      <c r="F5855" s="178"/>
      <c r="G5855" s="178"/>
      <c r="H5855"/>
      <c r="I5855" s="178"/>
      <c r="J5855" s="320" t="s">
        <v>214</v>
      </c>
      <c r="K5855" s="178" t="s">
        <v>4872</v>
      </c>
      <c r="L5855" s="125" t="s">
        <v>1579</v>
      </c>
      <c r="M5855">
        <v>1334</v>
      </c>
      <c r="N5855" s="182">
        <v>243</v>
      </c>
      <c r="O5855">
        <v>3831</v>
      </c>
      <c r="P5855" s="132" t="s">
        <v>77</v>
      </c>
      <c r="Q5855" s="176">
        <v>736.95</v>
      </c>
      <c r="R5855" s="176"/>
      <c r="S5855" s="176"/>
      <c r="T5855" s="190"/>
      <c r="U5855" s="191"/>
      <c r="V5855" s="191">
        <v>736.95</v>
      </c>
      <c r="W5855">
        <v>227</v>
      </c>
      <c r="X5855" s="186" t="s">
        <v>1644</v>
      </c>
      <c r="Y5855" s="187" t="s">
        <v>55</v>
      </c>
      <c r="Z5855" s="311" t="s">
        <v>214</v>
      </c>
      <c r="AB5855" t="str">
        <f>IF(Table1[[#This Row],[TIPO2]]="costo", VLOOKUP(Table1[[#This Row],[PARTIDA PRESUPUESTAL]],'Cost Report'!G:G,1,0),"Balance")</f>
        <v>7050-005</v>
      </c>
      <c r="AD5855" s="159">
        <f>+Table1[[#This Row],[SUBTOTAL]]+Table1[[#This Row],[IVA]]-Table1[[#This Row],[RET IVA]]-Table1[[#This Row],[RET ISR]]-Table1[[#This Row],[TOTAL]]</f>
        <v>0</v>
      </c>
      <c r="AG5855" t="s">
        <v>3420</v>
      </c>
      <c r="AK5855" s="306" t="str">
        <f>IF(ISNUMBER(Table1[[#This Row],[FECHA DE RECIBIDO]]), Table1[[#This Row],[FECHA DE RECIBIDO]]-DATE(2023,8,30), "")</f>
        <v/>
      </c>
    </row>
    <row r="5856" spans="1:37" ht="16.05" customHeight="1">
      <c r="A5856" s="172" t="s">
        <v>5109</v>
      </c>
      <c r="B5856" s="178">
        <v>2080</v>
      </c>
      <c r="C5856" s="179" t="s">
        <v>2596</v>
      </c>
      <c r="D5856">
        <v>689</v>
      </c>
      <c r="E5856" s="125"/>
      <c r="F5856" s="178"/>
      <c r="G5856" s="178"/>
      <c r="H5856"/>
      <c r="I5856" s="178"/>
      <c r="J5856" s="320" t="s">
        <v>214</v>
      </c>
      <c r="K5856" s="178" t="s">
        <v>4872</v>
      </c>
      <c r="L5856" s="125" t="s">
        <v>1579</v>
      </c>
      <c r="M5856">
        <v>135</v>
      </c>
      <c r="N5856" s="182">
        <v>243</v>
      </c>
      <c r="O5856">
        <v>3832</v>
      </c>
      <c r="P5856" s="132" t="s">
        <v>77</v>
      </c>
      <c r="Q5856" s="176">
        <v>-698</v>
      </c>
      <c r="R5856" s="176"/>
      <c r="S5856" s="176"/>
      <c r="T5856" s="190"/>
      <c r="U5856" s="191"/>
      <c r="V5856" s="191">
        <v>-698</v>
      </c>
      <c r="W5856">
        <v>61</v>
      </c>
      <c r="X5856" s="186" t="s">
        <v>1644</v>
      </c>
      <c r="Y5856" s="187" t="s">
        <v>55</v>
      </c>
      <c r="Z5856" s="311">
        <v>195</v>
      </c>
      <c r="AB5856" t="str">
        <f>IF(Table1[[#This Row],[TIPO2]]="costo", VLOOKUP(Table1[[#This Row],[PARTIDA PRESUPUESTAL]],'Cost Report'!G:G,1,0),"Balance")</f>
        <v>2794-003</v>
      </c>
      <c r="AD5856" s="159">
        <f>+Table1[[#This Row],[SUBTOTAL]]+Table1[[#This Row],[IVA]]-Table1[[#This Row],[RET IVA]]-Table1[[#This Row],[RET ISR]]-Table1[[#This Row],[TOTAL]]</f>
        <v>0</v>
      </c>
      <c r="AG5856" t="s">
        <v>3420</v>
      </c>
      <c r="AK5856" s="306" t="str">
        <f>IF(ISNUMBER(Table1[[#This Row],[FECHA DE RECIBIDO]]), Table1[[#This Row],[FECHA DE RECIBIDO]]-DATE(2023,8,30), "")</f>
        <v/>
      </c>
    </row>
    <row r="5857" spans="1:37" ht="16.05" customHeight="1">
      <c r="A5857" s="172" t="s">
        <v>5109</v>
      </c>
      <c r="B5857" s="178">
        <v>2080</v>
      </c>
      <c r="C5857" s="179" t="s">
        <v>2596</v>
      </c>
      <c r="D5857">
        <v>689</v>
      </c>
      <c r="E5857" s="125"/>
      <c r="F5857" s="178"/>
      <c r="G5857" s="178"/>
      <c r="H5857"/>
      <c r="I5857" s="178"/>
      <c r="J5857" s="320" t="s">
        <v>214</v>
      </c>
      <c r="K5857" s="178" t="s">
        <v>4872</v>
      </c>
      <c r="L5857" s="125" t="s">
        <v>1579</v>
      </c>
      <c r="M5857">
        <v>206</v>
      </c>
      <c r="N5857" s="182">
        <v>243</v>
      </c>
      <c r="O5857">
        <v>3833</v>
      </c>
      <c r="P5857" s="132" t="s">
        <v>77</v>
      </c>
      <c r="Q5857" s="176">
        <v>-1529.32</v>
      </c>
      <c r="R5857" s="176"/>
      <c r="S5857" s="176"/>
      <c r="T5857" s="190"/>
      <c r="U5857" s="191"/>
      <c r="V5857" s="191">
        <v>-1529.32</v>
      </c>
      <c r="W5857">
        <v>61</v>
      </c>
      <c r="X5857" s="186" t="s">
        <v>1644</v>
      </c>
      <c r="Y5857" s="187" t="s">
        <v>55</v>
      </c>
      <c r="Z5857" s="311">
        <v>202</v>
      </c>
      <c r="AB5857" t="str">
        <f>IF(Table1[[#This Row],[TIPO2]]="costo", VLOOKUP(Table1[[#This Row],[PARTIDA PRESUPUESTAL]],'Cost Report'!G:G,1,0),"Balance")</f>
        <v>2794-003</v>
      </c>
      <c r="AD5857" s="159">
        <f>+Table1[[#This Row],[SUBTOTAL]]+Table1[[#This Row],[IVA]]-Table1[[#This Row],[RET IVA]]-Table1[[#This Row],[RET ISR]]-Table1[[#This Row],[TOTAL]]</f>
        <v>0</v>
      </c>
      <c r="AG5857" t="s">
        <v>3420</v>
      </c>
      <c r="AK5857" s="306" t="str">
        <f>IF(ISNUMBER(Table1[[#This Row],[FECHA DE RECIBIDO]]), Table1[[#This Row],[FECHA DE RECIBIDO]]-DATE(2023,8,30), "")</f>
        <v/>
      </c>
    </row>
    <row r="5858" spans="1:37" ht="16.05" customHeight="1">
      <c r="A5858" s="172" t="s">
        <v>5109</v>
      </c>
      <c r="B5858" s="178">
        <v>2080</v>
      </c>
      <c r="C5858" s="179" t="s">
        <v>2596</v>
      </c>
      <c r="D5858">
        <v>689</v>
      </c>
      <c r="E5858" s="125"/>
      <c r="F5858" s="178"/>
      <c r="G5858" s="178"/>
      <c r="H5858"/>
      <c r="I5858" s="178"/>
      <c r="J5858" s="320" t="s">
        <v>214</v>
      </c>
      <c r="K5858" s="178" t="s">
        <v>4872</v>
      </c>
      <c r="L5858" s="125" t="s">
        <v>1579</v>
      </c>
      <c r="M5858">
        <v>1335</v>
      </c>
      <c r="N5858" s="182">
        <v>243</v>
      </c>
      <c r="O5858">
        <v>3834</v>
      </c>
      <c r="P5858" s="132" t="s">
        <v>77</v>
      </c>
      <c r="Q5858" s="176">
        <v>-4098</v>
      </c>
      <c r="R5858" s="176"/>
      <c r="S5858" s="176"/>
      <c r="T5858" s="190"/>
      <c r="U5858" s="191"/>
      <c r="V5858" s="191">
        <v>-4098</v>
      </c>
      <c r="W5858">
        <v>61</v>
      </c>
      <c r="X5858" s="186" t="s">
        <v>1644</v>
      </c>
      <c r="Y5858" s="187" t="s">
        <v>55</v>
      </c>
      <c r="Z5858" s="311">
        <v>180</v>
      </c>
      <c r="AB5858" t="str">
        <f>IF(Table1[[#This Row],[TIPO2]]="costo", VLOOKUP(Table1[[#This Row],[PARTIDA PRESUPUESTAL]],'Cost Report'!G:G,1,0),"Balance")</f>
        <v>2794-003</v>
      </c>
      <c r="AD5858" s="159">
        <f>+Table1[[#This Row],[SUBTOTAL]]+Table1[[#This Row],[IVA]]-Table1[[#This Row],[RET IVA]]-Table1[[#This Row],[RET ISR]]-Table1[[#This Row],[TOTAL]]</f>
        <v>0</v>
      </c>
      <c r="AG5858" t="s">
        <v>3420</v>
      </c>
      <c r="AK5858" s="306" t="str">
        <f>IF(ISNUMBER(Table1[[#This Row],[FECHA DE RECIBIDO]]), Table1[[#This Row],[FECHA DE RECIBIDO]]-DATE(2023,8,30), "")</f>
        <v/>
      </c>
    </row>
    <row r="5859" spans="1:37" ht="16.05" customHeight="1">
      <c r="A5859" s="172" t="s">
        <v>5110</v>
      </c>
      <c r="B5859" s="178">
        <v>2081</v>
      </c>
      <c r="C5859" s="179" t="s">
        <v>2596</v>
      </c>
      <c r="D5859">
        <v>689</v>
      </c>
      <c r="E5859" s="125"/>
      <c r="F5859" s="178"/>
      <c r="G5859" s="178"/>
      <c r="H5859"/>
      <c r="I5859" s="178"/>
      <c r="J5859" s="320" t="s">
        <v>214</v>
      </c>
      <c r="K5859" s="178" t="s">
        <v>4872</v>
      </c>
      <c r="L5859" s="125" t="s">
        <v>1579</v>
      </c>
      <c r="M5859">
        <v>202</v>
      </c>
      <c r="N5859" s="182">
        <v>243</v>
      </c>
      <c r="O5859">
        <v>3835</v>
      </c>
      <c r="P5859" s="132" t="s">
        <v>77</v>
      </c>
      <c r="Q5859" s="176">
        <v>-1599</v>
      </c>
      <c r="R5859" s="176"/>
      <c r="S5859" s="176"/>
      <c r="T5859" s="190"/>
      <c r="U5859" s="191"/>
      <c r="V5859" s="191">
        <v>-1599</v>
      </c>
      <c r="W5859">
        <v>62</v>
      </c>
      <c r="X5859" s="186" t="s">
        <v>1644</v>
      </c>
      <c r="Y5859" s="187" t="s">
        <v>55</v>
      </c>
      <c r="Z5859" s="311">
        <v>187</v>
      </c>
      <c r="AB5859" t="str">
        <f>IF(Table1[[#This Row],[TIPO2]]="costo", VLOOKUP(Table1[[#This Row],[PARTIDA PRESUPUESTAL]],'Cost Report'!G:G,1,0),"Balance")</f>
        <v>2794-003</v>
      </c>
      <c r="AD5859" s="159">
        <f>+Table1[[#This Row],[SUBTOTAL]]+Table1[[#This Row],[IVA]]-Table1[[#This Row],[RET IVA]]-Table1[[#This Row],[RET ISR]]-Table1[[#This Row],[TOTAL]]</f>
        <v>0</v>
      </c>
      <c r="AG5859" t="s">
        <v>3420</v>
      </c>
      <c r="AK5859" s="306" t="str">
        <f>IF(ISNUMBER(Table1[[#This Row],[FECHA DE RECIBIDO]]), Table1[[#This Row],[FECHA DE RECIBIDO]]-DATE(2023,8,30), "")</f>
        <v/>
      </c>
    </row>
    <row r="5860" spans="1:37" ht="16.05" customHeight="1">
      <c r="A5860" s="172" t="s">
        <v>5111</v>
      </c>
      <c r="B5860" s="178">
        <v>2082</v>
      </c>
      <c r="C5860" s="179" t="s">
        <v>2616</v>
      </c>
      <c r="D5860">
        <v>4016</v>
      </c>
      <c r="E5860" s="125" t="s">
        <v>3354</v>
      </c>
      <c r="F5860" s="178">
        <v>601</v>
      </c>
      <c r="G5860" s="178" t="s">
        <v>134</v>
      </c>
      <c r="H5860">
        <v>472</v>
      </c>
      <c r="I5860" s="178" t="s">
        <v>1546</v>
      </c>
      <c r="J5860" s="320" t="s">
        <v>214</v>
      </c>
      <c r="K5860" s="178" t="s">
        <v>4872</v>
      </c>
      <c r="L5860" s="125" t="s">
        <v>1579</v>
      </c>
      <c r="M5860">
        <v>682</v>
      </c>
      <c r="N5860" s="182">
        <v>243</v>
      </c>
      <c r="O5860">
        <v>3836</v>
      </c>
      <c r="P5860" s="132" t="s">
        <v>77</v>
      </c>
      <c r="Q5860" s="176">
        <v>280</v>
      </c>
      <c r="R5860" s="176">
        <v>44.8</v>
      </c>
      <c r="S5860" s="176"/>
      <c r="T5860" s="190"/>
      <c r="U5860" s="191"/>
      <c r="V5860" s="191">
        <v>324.8</v>
      </c>
      <c r="W5860">
        <v>146</v>
      </c>
      <c r="X5860" s="186" t="s">
        <v>1644</v>
      </c>
      <c r="Y5860" s="187" t="s">
        <v>55</v>
      </c>
      <c r="Z5860" s="311">
        <v>261</v>
      </c>
      <c r="AB5860" t="str">
        <f>IF(Table1[[#This Row],[TIPO2]]="costo", VLOOKUP(Table1[[#This Row],[PARTIDA PRESUPUESTAL]],'Cost Report'!G:G,1,0),"Balance")</f>
        <v>2808-003</v>
      </c>
      <c r="AD5860" s="159">
        <f>+Table1[[#This Row],[SUBTOTAL]]+Table1[[#This Row],[IVA]]-Table1[[#This Row],[RET IVA]]-Table1[[#This Row],[RET ISR]]-Table1[[#This Row],[TOTAL]]</f>
        <v>0</v>
      </c>
      <c r="AG5860" t="s">
        <v>3420</v>
      </c>
      <c r="AK5860" s="306" t="str">
        <f>IF(ISNUMBER(Table1[[#This Row],[FECHA DE RECIBIDO]]), Table1[[#This Row],[FECHA DE RECIBIDO]]-DATE(2023,8,30), "")</f>
        <v/>
      </c>
    </row>
    <row r="5861" spans="1:37" ht="16.05" customHeight="1">
      <c r="A5861" s="172" t="s">
        <v>5111</v>
      </c>
      <c r="B5861" s="178">
        <v>2082</v>
      </c>
      <c r="C5861" s="179" t="s">
        <v>2616</v>
      </c>
      <c r="D5861">
        <v>4017</v>
      </c>
      <c r="E5861" s="125" t="s">
        <v>1999</v>
      </c>
      <c r="F5861" s="178">
        <v>601</v>
      </c>
      <c r="G5861" s="178" t="s">
        <v>134</v>
      </c>
      <c r="H5861">
        <v>142</v>
      </c>
      <c r="I5861" s="178" t="s">
        <v>1546</v>
      </c>
      <c r="J5861" s="320" t="s">
        <v>214</v>
      </c>
      <c r="K5861" s="178" t="s">
        <v>4872</v>
      </c>
      <c r="L5861" s="125" t="s">
        <v>1579</v>
      </c>
      <c r="M5861">
        <v>185</v>
      </c>
      <c r="N5861" s="182">
        <v>243</v>
      </c>
      <c r="O5861">
        <v>2217</v>
      </c>
      <c r="P5861" s="132" t="s">
        <v>77</v>
      </c>
      <c r="Q5861" s="176">
        <v>593.53</v>
      </c>
      <c r="R5861" s="176">
        <v>94.97</v>
      </c>
      <c r="S5861" s="176"/>
      <c r="T5861" s="190"/>
      <c r="U5861" s="191"/>
      <c r="V5861" s="191">
        <v>688.5</v>
      </c>
      <c r="W5861">
        <v>146</v>
      </c>
      <c r="X5861" s="186" t="s">
        <v>1644</v>
      </c>
      <c r="Y5861" s="187" t="s">
        <v>55</v>
      </c>
      <c r="Z5861" s="311">
        <v>261</v>
      </c>
      <c r="AB5861" t="str">
        <f>IF(Table1[[#This Row],[TIPO2]]="costo", VLOOKUP(Table1[[#This Row],[PARTIDA PRESUPUESTAL]],'Cost Report'!G:G,1,0),"Balance")</f>
        <v>2808-003</v>
      </c>
      <c r="AD5861" s="159">
        <f>+Table1[[#This Row],[SUBTOTAL]]+Table1[[#This Row],[IVA]]-Table1[[#This Row],[RET IVA]]-Table1[[#This Row],[RET ISR]]-Table1[[#This Row],[TOTAL]]</f>
        <v>0</v>
      </c>
      <c r="AG5861" t="s">
        <v>3420</v>
      </c>
      <c r="AK5861" s="306" t="str">
        <f>IF(ISNUMBER(Table1[[#This Row],[FECHA DE RECIBIDO]]), Table1[[#This Row],[FECHA DE RECIBIDO]]-DATE(2023,8,30), "")</f>
        <v/>
      </c>
    </row>
    <row r="5862" spans="1:37" ht="16.05" customHeight="1">
      <c r="A5862" s="172" t="s">
        <v>5111</v>
      </c>
      <c r="B5862" s="178">
        <v>2082</v>
      </c>
      <c r="C5862" s="179" t="s">
        <v>2616</v>
      </c>
      <c r="D5862">
        <v>4018</v>
      </c>
      <c r="E5862" s="125" t="s">
        <v>1999</v>
      </c>
      <c r="F5862" s="178">
        <v>601</v>
      </c>
      <c r="G5862" s="178" t="s">
        <v>134</v>
      </c>
      <c r="H5862">
        <v>142</v>
      </c>
      <c r="I5862" s="178" t="s">
        <v>1546</v>
      </c>
      <c r="J5862" s="320" t="s">
        <v>214</v>
      </c>
      <c r="K5862" s="178" t="s">
        <v>4872</v>
      </c>
      <c r="L5862" s="125" t="s">
        <v>1579</v>
      </c>
      <c r="M5862">
        <v>185</v>
      </c>
      <c r="N5862" s="182">
        <v>243</v>
      </c>
      <c r="O5862">
        <v>3837</v>
      </c>
      <c r="P5862" s="132" t="s">
        <v>77</v>
      </c>
      <c r="Q5862" s="176">
        <v>137.76</v>
      </c>
      <c r="R5862" s="176">
        <v>22.04</v>
      </c>
      <c r="S5862" s="176"/>
      <c r="T5862" s="190"/>
      <c r="U5862" s="191"/>
      <c r="V5862" s="191">
        <v>159.79999999999998</v>
      </c>
      <c r="W5862">
        <v>146</v>
      </c>
      <c r="X5862" s="186" t="s">
        <v>1644</v>
      </c>
      <c r="Y5862" s="187" t="s">
        <v>55</v>
      </c>
      <c r="Z5862" s="311">
        <v>261</v>
      </c>
      <c r="AB5862" t="str">
        <f>IF(Table1[[#This Row],[TIPO2]]="costo", VLOOKUP(Table1[[#This Row],[PARTIDA PRESUPUESTAL]],'Cost Report'!G:G,1,0),"Balance")</f>
        <v>2808-003</v>
      </c>
      <c r="AD5862" s="159">
        <f>+Table1[[#This Row],[SUBTOTAL]]+Table1[[#This Row],[IVA]]-Table1[[#This Row],[RET IVA]]-Table1[[#This Row],[RET ISR]]-Table1[[#This Row],[TOTAL]]</f>
        <v>0</v>
      </c>
      <c r="AG5862" t="s">
        <v>3420</v>
      </c>
      <c r="AK5862" s="306" t="str">
        <f>IF(ISNUMBER(Table1[[#This Row],[FECHA DE RECIBIDO]]), Table1[[#This Row],[FECHA DE RECIBIDO]]-DATE(2023,8,30), "")</f>
        <v/>
      </c>
    </row>
    <row r="5863" spans="1:37" ht="16.05" customHeight="1">
      <c r="A5863" s="172" t="s">
        <v>5111</v>
      </c>
      <c r="B5863" s="178">
        <v>2082</v>
      </c>
      <c r="C5863" s="179" t="s">
        <v>2616</v>
      </c>
      <c r="D5863">
        <v>4019</v>
      </c>
      <c r="E5863" s="125" t="s">
        <v>3662</v>
      </c>
      <c r="F5863" s="178">
        <v>621</v>
      </c>
      <c r="G5863" s="178" t="s">
        <v>1617</v>
      </c>
      <c r="H5863">
        <v>961</v>
      </c>
      <c r="I5863" s="178" t="s">
        <v>1546</v>
      </c>
      <c r="J5863" s="320" t="s">
        <v>214</v>
      </c>
      <c r="K5863" s="178" t="s">
        <v>4872</v>
      </c>
      <c r="L5863" s="125" t="s">
        <v>1579</v>
      </c>
      <c r="M5863">
        <v>1336</v>
      </c>
      <c r="N5863" s="182">
        <v>243</v>
      </c>
      <c r="O5863">
        <v>3838</v>
      </c>
      <c r="P5863" s="132" t="s">
        <v>77</v>
      </c>
      <c r="Q5863" s="176">
        <v>43.1</v>
      </c>
      <c r="R5863" s="176">
        <v>6.9</v>
      </c>
      <c r="S5863" s="176"/>
      <c r="T5863" s="190"/>
      <c r="U5863" s="191"/>
      <c r="V5863" s="191">
        <v>50</v>
      </c>
      <c r="W5863">
        <v>146</v>
      </c>
      <c r="X5863" s="186" t="s">
        <v>1644</v>
      </c>
      <c r="Y5863" s="187" t="s">
        <v>55</v>
      </c>
      <c r="Z5863" s="311">
        <v>261</v>
      </c>
      <c r="AB5863" t="str">
        <f>IF(Table1[[#This Row],[TIPO2]]="costo", VLOOKUP(Table1[[#This Row],[PARTIDA PRESUPUESTAL]],'Cost Report'!G:G,1,0),"Balance")</f>
        <v>2808-003</v>
      </c>
      <c r="AD5863" s="159">
        <f>+Table1[[#This Row],[SUBTOTAL]]+Table1[[#This Row],[IVA]]-Table1[[#This Row],[RET IVA]]-Table1[[#This Row],[RET ISR]]-Table1[[#This Row],[TOTAL]]</f>
        <v>0</v>
      </c>
      <c r="AG5863" t="s">
        <v>3420</v>
      </c>
      <c r="AK5863" s="306" t="str">
        <f>IF(ISNUMBER(Table1[[#This Row],[FECHA DE RECIBIDO]]), Table1[[#This Row],[FECHA DE RECIBIDO]]-DATE(2023,8,30), "")</f>
        <v/>
      </c>
    </row>
    <row r="5864" spans="1:37" ht="16.05" customHeight="1">
      <c r="A5864" s="172" t="s">
        <v>5111</v>
      </c>
      <c r="B5864" s="178">
        <v>2082</v>
      </c>
      <c r="C5864" s="179" t="s">
        <v>2616</v>
      </c>
      <c r="D5864">
        <v>4020</v>
      </c>
      <c r="E5864" s="125" t="s">
        <v>1596</v>
      </c>
      <c r="F5864" s="178">
        <v>626</v>
      </c>
      <c r="G5864" s="178" t="s">
        <v>109</v>
      </c>
      <c r="H5864">
        <v>962</v>
      </c>
      <c r="I5864" s="178" t="s">
        <v>1546</v>
      </c>
      <c r="J5864" s="320" t="s">
        <v>214</v>
      </c>
      <c r="K5864" s="178" t="s">
        <v>4872</v>
      </c>
      <c r="L5864" s="125" t="s">
        <v>1579</v>
      </c>
      <c r="M5864">
        <v>1337</v>
      </c>
      <c r="N5864" s="182">
        <v>243</v>
      </c>
      <c r="O5864">
        <v>3839</v>
      </c>
      <c r="P5864" s="132" t="s">
        <v>77</v>
      </c>
      <c r="Q5864" s="176">
        <v>142.68</v>
      </c>
      <c r="R5864" s="176">
        <v>22.82</v>
      </c>
      <c r="S5864" s="176"/>
      <c r="T5864" s="190"/>
      <c r="U5864" s="191"/>
      <c r="V5864" s="191">
        <v>165.5</v>
      </c>
      <c r="W5864">
        <v>146</v>
      </c>
      <c r="X5864" s="186" t="s">
        <v>1644</v>
      </c>
      <c r="Y5864" s="187" t="s">
        <v>55</v>
      </c>
      <c r="Z5864" s="311">
        <v>261</v>
      </c>
      <c r="AB5864" t="str">
        <f>IF(Table1[[#This Row],[TIPO2]]="costo", VLOOKUP(Table1[[#This Row],[PARTIDA PRESUPUESTAL]],'Cost Report'!G:G,1,0),"Balance")</f>
        <v>2808-003</v>
      </c>
      <c r="AD5864" s="159">
        <f>+Table1[[#This Row],[SUBTOTAL]]+Table1[[#This Row],[IVA]]-Table1[[#This Row],[RET IVA]]-Table1[[#This Row],[RET ISR]]-Table1[[#This Row],[TOTAL]]</f>
        <v>0</v>
      </c>
      <c r="AG5864" t="s">
        <v>3420</v>
      </c>
      <c r="AK5864" s="306" t="str">
        <f>IF(ISNUMBER(Table1[[#This Row],[FECHA DE RECIBIDO]]), Table1[[#This Row],[FECHA DE RECIBIDO]]-DATE(2023,8,30), "")</f>
        <v/>
      </c>
    </row>
    <row r="5865" spans="1:37" ht="16.05" customHeight="1">
      <c r="A5865" s="172" t="s">
        <v>5111</v>
      </c>
      <c r="B5865" s="178">
        <v>2082</v>
      </c>
      <c r="C5865" s="179" t="s">
        <v>2616</v>
      </c>
      <c r="D5865">
        <v>4021</v>
      </c>
      <c r="E5865" s="125" t="s">
        <v>1596</v>
      </c>
      <c r="F5865" s="178">
        <v>601</v>
      </c>
      <c r="G5865" s="178" t="s">
        <v>134</v>
      </c>
      <c r="H5865">
        <v>963</v>
      </c>
      <c r="I5865" s="178" t="s">
        <v>1546</v>
      </c>
      <c r="J5865" s="320" t="s">
        <v>214</v>
      </c>
      <c r="K5865" s="178" t="s">
        <v>4872</v>
      </c>
      <c r="L5865" s="125" t="s">
        <v>1579</v>
      </c>
      <c r="M5865">
        <v>1338</v>
      </c>
      <c r="N5865" s="182">
        <v>243</v>
      </c>
      <c r="O5865">
        <v>3840</v>
      </c>
      <c r="P5865" s="132" t="s">
        <v>77</v>
      </c>
      <c r="Q5865" s="176">
        <v>2013.67</v>
      </c>
      <c r="R5865" s="176">
        <v>322.18</v>
      </c>
      <c r="S5865" s="176"/>
      <c r="T5865" s="190"/>
      <c r="U5865" s="191"/>
      <c r="V5865" s="191">
        <v>2335.85</v>
      </c>
      <c r="W5865">
        <v>146</v>
      </c>
      <c r="X5865" s="186" t="s">
        <v>1644</v>
      </c>
      <c r="Y5865" s="187" t="s">
        <v>55</v>
      </c>
      <c r="Z5865" s="311">
        <v>261</v>
      </c>
      <c r="AB5865" t="str">
        <f>IF(Table1[[#This Row],[TIPO2]]="costo", VLOOKUP(Table1[[#This Row],[PARTIDA PRESUPUESTAL]],'Cost Report'!G:G,1,0),"Balance")</f>
        <v>2808-003</v>
      </c>
      <c r="AD5865" s="159">
        <f>+Table1[[#This Row],[SUBTOTAL]]+Table1[[#This Row],[IVA]]-Table1[[#This Row],[RET IVA]]-Table1[[#This Row],[RET ISR]]-Table1[[#This Row],[TOTAL]]</f>
        <v>0</v>
      </c>
      <c r="AG5865" t="s">
        <v>3420</v>
      </c>
      <c r="AK5865" s="306" t="str">
        <f>IF(ISNUMBER(Table1[[#This Row],[FECHA DE RECIBIDO]]), Table1[[#This Row],[FECHA DE RECIBIDO]]-DATE(2023,8,30), "")</f>
        <v/>
      </c>
    </row>
    <row r="5866" spans="1:37" ht="16.05" customHeight="1">
      <c r="A5866" s="172" t="s">
        <v>5111</v>
      </c>
      <c r="B5866" s="178">
        <v>2082</v>
      </c>
      <c r="C5866" s="179" t="s">
        <v>2616</v>
      </c>
      <c r="D5866">
        <v>4022</v>
      </c>
      <c r="E5866" s="125" t="s">
        <v>3356</v>
      </c>
      <c r="F5866" s="178">
        <v>601</v>
      </c>
      <c r="G5866" s="178" t="s">
        <v>134</v>
      </c>
      <c r="H5866">
        <v>177</v>
      </c>
      <c r="I5866" s="178" t="s">
        <v>1546</v>
      </c>
      <c r="J5866" s="320" t="s">
        <v>214</v>
      </c>
      <c r="K5866" s="178" t="s">
        <v>4872</v>
      </c>
      <c r="L5866" s="125" t="s">
        <v>1579</v>
      </c>
      <c r="M5866">
        <v>238</v>
      </c>
      <c r="N5866" s="182">
        <v>243</v>
      </c>
      <c r="O5866">
        <v>3841</v>
      </c>
      <c r="P5866" s="132" t="s">
        <v>77</v>
      </c>
      <c r="Q5866" s="176">
        <v>172.3</v>
      </c>
      <c r="R5866" s="176">
        <v>27.57</v>
      </c>
      <c r="S5866" s="176"/>
      <c r="T5866" s="190"/>
      <c r="U5866" s="191"/>
      <c r="V5866" s="191">
        <v>199.87</v>
      </c>
      <c r="W5866">
        <v>146</v>
      </c>
      <c r="X5866" s="186" t="s">
        <v>1644</v>
      </c>
      <c r="Y5866" s="187" t="s">
        <v>55</v>
      </c>
      <c r="Z5866" s="311">
        <v>255</v>
      </c>
      <c r="AB5866" t="str">
        <f>IF(Table1[[#This Row],[TIPO2]]="costo", VLOOKUP(Table1[[#This Row],[PARTIDA PRESUPUESTAL]],'Cost Report'!G:G,1,0),"Balance")</f>
        <v>2808-003</v>
      </c>
      <c r="AD5866" s="159">
        <f>+Table1[[#This Row],[SUBTOTAL]]+Table1[[#This Row],[IVA]]-Table1[[#This Row],[RET IVA]]-Table1[[#This Row],[RET ISR]]-Table1[[#This Row],[TOTAL]]</f>
        <v>0</v>
      </c>
      <c r="AG5866" t="s">
        <v>3420</v>
      </c>
      <c r="AK5866" s="306" t="str">
        <f>IF(ISNUMBER(Table1[[#This Row],[FECHA DE RECIBIDO]]), Table1[[#This Row],[FECHA DE RECIBIDO]]-DATE(2023,8,30), "")</f>
        <v/>
      </c>
    </row>
    <row r="5867" spans="1:37" ht="16.05" customHeight="1">
      <c r="A5867" s="172" t="s">
        <v>5111</v>
      </c>
      <c r="B5867" s="178">
        <v>2082</v>
      </c>
      <c r="C5867" s="179" t="s">
        <v>2616</v>
      </c>
      <c r="D5867">
        <v>4023</v>
      </c>
      <c r="E5867" s="125" t="s">
        <v>1999</v>
      </c>
      <c r="F5867" s="178">
        <v>601</v>
      </c>
      <c r="G5867" s="178" t="s">
        <v>134</v>
      </c>
      <c r="H5867">
        <v>97</v>
      </c>
      <c r="I5867" s="178" t="s">
        <v>1546</v>
      </c>
      <c r="J5867" s="320" t="s">
        <v>214</v>
      </c>
      <c r="K5867" s="178" t="s">
        <v>4872</v>
      </c>
      <c r="L5867" s="125" t="s">
        <v>1579</v>
      </c>
      <c r="M5867">
        <v>132</v>
      </c>
      <c r="N5867" s="182">
        <v>243</v>
      </c>
      <c r="O5867">
        <v>2217</v>
      </c>
      <c r="P5867" s="132" t="s">
        <v>77</v>
      </c>
      <c r="Q5867" s="176">
        <v>437.07</v>
      </c>
      <c r="R5867" s="176">
        <v>69.930000000000007</v>
      </c>
      <c r="S5867" s="176"/>
      <c r="T5867" s="190"/>
      <c r="U5867" s="191"/>
      <c r="V5867" s="191">
        <v>507</v>
      </c>
      <c r="W5867">
        <v>146</v>
      </c>
      <c r="X5867" s="186" t="s">
        <v>1644</v>
      </c>
      <c r="Y5867" s="187" t="s">
        <v>55</v>
      </c>
      <c r="Z5867" s="311">
        <v>261</v>
      </c>
      <c r="AB5867" t="str">
        <f>IF(Table1[[#This Row],[TIPO2]]="costo", VLOOKUP(Table1[[#This Row],[PARTIDA PRESUPUESTAL]],'Cost Report'!G:G,1,0),"Balance")</f>
        <v>2808-003</v>
      </c>
      <c r="AD5867" s="159">
        <f>+Table1[[#This Row],[SUBTOTAL]]+Table1[[#This Row],[IVA]]-Table1[[#This Row],[RET IVA]]-Table1[[#This Row],[RET ISR]]-Table1[[#This Row],[TOTAL]]</f>
        <v>0</v>
      </c>
      <c r="AG5867" t="s">
        <v>3420</v>
      </c>
      <c r="AK5867" s="306" t="str">
        <f>IF(ISNUMBER(Table1[[#This Row],[FECHA DE RECIBIDO]]), Table1[[#This Row],[FECHA DE RECIBIDO]]-DATE(2023,8,30), "")</f>
        <v/>
      </c>
    </row>
    <row r="5868" spans="1:37" ht="16.05" customHeight="1">
      <c r="A5868" s="172" t="s">
        <v>5111</v>
      </c>
      <c r="B5868" s="178">
        <v>2082</v>
      </c>
      <c r="C5868" s="179" t="s">
        <v>2616</v>
      </c>
      <c r="D5868">
        <v>4024</v>
      </c>
      <c r="E5868" s="125" t="s">
        <v>1992</v>
      </c>
      <c r="F5868" s="178">
        <v>612</v>
      </c>
      <c r="G5868" s="178" t="s">
        <v>129</v>
      </c>
      <c r="H5868">
        <v>226</v>
      </c>
      <c r="I5868" s="178" t="s">
        <v>1546</v>
      </c>
      <c r="J5868" s="320" t="s">
        <v>214</v>
      </c>
      <c r="K5868" s="178" t="s">
        <v>4872</v>
      </c>
      <c r="L5868" s="125" t="s">
        <v>1579</v>
      </c>
      <c r="M5868">
        <v>919</v>
      </c>
      <c r="N5868" s="182">
        <v>243</v>
      </c>
      <c r="O5868">
        <v>3842</v>
      </c>
      <c r="P5868" s="132" t="s">
        <v>77</v>
      </c>
      <c r="Q5868" s="176">
        <v>1453.53</v>
      </c>
      <c r="R5868" s="176">
        <v>232.56</v>
      </c>
      <c r="S5868" s="176"/>
      <c r="T5868" s="190"/>
      <c r="U5868" s="191"/>
      <c r="V5868" s="191">
        <v>1686.09</v>
      </c>
      <c r="W5868">
        <v>146</v>
      </c>
      <c r="X5868" s="186" t="s">
        <v>1644</v>
      </c>
      <c r="Y5868" s="187" t="s">
        <v>55</v>
      </c>
      <c r="Z5868" s="311">
        <v>261</v>
      </c>
      <c r="AB5868" t="str">
        <f>IF(Table1[[#This Row],[TIPO2]]="costo", VLOOKUP(Table1[[#This Row],[PARTIDA PRESUPUESTAL]],'Cost Report'!G:G,1,0),"Balance")</f>
        <v>2808-003</v>
      </c>
      <c r="AD5868" s="159">
        <f>+Table1[[#This Row],[SUBTOTAL]]+Table1[[#This Row],[IVA]]-Table1[[#This Row],[RET IVA]]-Table1[[#This Row],[RET ISR]]-Table1[[#This Row],[TOTAL]]</f>
        <v>0</v>
      </c>
      <c r="AG5868" t="s">
        <v>3420</v>
      </c>
      <c r="AK5868" s="306" t="str">
        <f>IF(ISNUMBER(Table1[[#This Row],[FECHA DE RECIBIDO]]), Table1[[#This Row],[FECHA DE RECIBIDO]]-DATE(2023,8,30), "")</f>
        <v/>
      </c>
    </row>
    <row r="5869" spans="1:37" ht="16.05" customHeight="1">
      <c r="A5869" s="172" t="s">
        <v>5111</v>
      </c>
      <c r="B5869" s="178">
        <v>2082</v>
      </c>
      <c r="C5869" s="179" t="s">
        <v>2616</v>
      </c>
      <c r="D5869">
        <v>4025</v>
      </c>
      <c r="E5869" s="125" t="s">
        <v>1603</v>
      </c>
      <c r="F5869" s="178">
        <v>626</v>
      </c>
      <c r="G5869" s="178" t="s">
        <v>109</v>
      </c>
      <c r="H5869">
        <v>653</v>
      </c>
      <c r="I5869" s="178" t="s">
        <v>1546</v>
      </c>
      <c r="J5869" s="320" t="s">
        <v>214</v>
      </c>
      <c r="K5869" s="178" t="s">
        <v>4872</v>
      </c>
      <c r="L5869" s="125" t="s">
        <v>1579</v>
      </c>
      <c r="M5869">
        <v>920</v>
      </c>
      <c r="N5869" s="182">
        <v>243</v>
      </c>
      <c r="O5869">
        <v>3843</v>
      </c>
      <c r="P5869" s="132" t="s">
        <v>77</v>
      </c>
      <c r="Q5869" s="176">
        <v>313.72000000000003</v>
      </c>
      <c r="R5869" s="176">
        <v>50.2</v>
      </c>
      <c r="S5869" s="176"/>
      <c r="T5869" s="190"/>
      <c r="U5869" s="191">
        <v>3.92</v>
      </c>
      <c r="V5869" s="191">
        <v>360</v>
      </c>
      <c r="W5869">
        <v>146</v>
      </c>
      <c r="X5869" s="186" t="s">
        <v>1644</v>
      </c>
      <c r="Y5869" s="187" t="s">
        <v>55</v>
      </c>
      <c r="Z5869" s="311">
        <v>257</v>
      </c>
      <c r="AB5869" t="str">
        <f>IF(Table1[[#This Row],[TIPO2]]="costo", VLOOKUP(Table1[[#This Row],[PARTIDA PRESUPUESTAL]],'Cost Report'!G:G,1,0),"Balance")</f>
        <v>2808-003</v>
      </c>
      <c r="AD5869" s="159">
        <f>+Table1[[#This Row],[SUBTOTAL]]+Table1[[#This Row],[IVA]]-Table1[[#This Row],[RET IVA]]-Table1[[#This Row],[RET ISR]]-Table1[[#This Row],[TOTAL]]</f>
        <v>0</v>
      </c>
      <c r="AG5869" t="s">
        <v>3420</v>
      </c>
      <c r="AK5869" s="306" t="str">
        <f>IF(ISNUMBER(Table1[[#This Row],[FECHA DE RECIBIDO]]), Table1[[#This Row],[FECHA DE RECIBIDO]]-DATE(2023,8,30), "")</f>
        <v/>
      </c>
    </row>
    <row r="5870" spans="1:37" ht="16.05" customHeight="1">
      <c r="A5870" s="172" t="s">
        <v>5111</v>
      </c>
      <c r="B5870" s="178">
        <v>2082</v>
      </c>
      <c r="C5870" s="179" t="s">
        <v>2616</v>
      </c>
      <c r="D5870">
        <v>4026</v>
      </c>
      <c r="E5870" s="125" t="s">
        <v>1603</v>
      </c>
      <c r="F5870" s="178">
        <v>626</v>
      </c>
      <c r="G5870" s="178" t="s">
        <v>109</v>
      </c>
      <c r="H5870">
        <v>653</v>
      </c>
      <c r="I5870" s="178" t="s">
        <v>1546</v>
      </c>
      <c r="J5870" s="320" t="s">
        <v>214</v>
      </c>
      <c r="K5870" s="178" t="s">
        <v>4872</v>
      </c>
      <c r="L5870" s="125" t="s">
        <v>1579</v>
      </c>
      <c r="M5870">
        <v>920</v>
      </c>
      <c r="N5870" s="182">
        <v>243</v>
      </c>
      <c r="O5870">
        <v>2223</v>
      </c>
      <c r="P5870" s="132" t="s">
        <v>77</v>
      </c>
      <c r="Q5870" s="176">
        <v>392.16</v>
      </c>
      <c r="R5870" s="176">
        <v>62.75</v>
      </c>
      <c r="S5870" s="176"/>
      <c r="T5870" s="190"/>
      <c r="U5870" s="191">
        <v>4.9000000000000004</v>
      </c>
      <c r="V5870" s="191">
        <v>450.01000000000005</v>
      </c>
      <c r="W5870">
        <v>146</v>
      </c>
      <c r="X5870" s="186" t="s">
        <v>1644</v>
      </c>
      <c r="Y5870" s="187" t="s">
        <v>55</v>
      </c>
      <c r="Z5870" s="311">
        <v>264</v>
      </c>
      <c r="AB5870" t="str">
        <f>IF(Table1[[#This Row],[TIPO2]]="costo", VLOOKUP(Table1[[#This Row],[PARTIDA PRESUPUESTAL]],'Cost Report'!G:G,1,0),"Balance")</f>
        <v>2808-003</v>
      </c>
      <c r="AD5870" s="159">
        <f>+Table1[[#This Row],[SUBTOTAL]]+Table1[[#This Row],[IVA]]-Table1[[#This Row],[RET IVA]]-Table1[[#This Row],[RET ISR]]-Table1[[#This Row],[TOTAL]]</f>
        <v>0</v>
      </c>
      <c r="AG5870" t="s">
        <v>3420</v>
      </c>
      <c r="AK5870" s="306" t="str">
        <f>IF(ISNUMBER(Table1[[#This Row],[FECHA DE RECIBIDO]]), Table1[[#This Row],[FECHA DE RECIBIDO]]-DATE(2023,8,30), "")</f>
        <v/>
      </c>
    </row>
    <row r="5871" spans="1:37" ht="16.05" customHeight="1">
      <c r="A5871" s="172" t="s">
        <v>5111</v>
      </c>
      <c r="B5871" s="178">
        <v>2082</v>
      </c>
      <c r="C5871" s="179" t="s">
        <v>2616</v>
      </c>
      <c r="D5871">
        <v>4027</v>
      </c>
      <c r="E5871" s="125" t="s">
        <v>1603</v>
      </c>
      <c r="F5871" s="178">
        <v>626</v>
      </c>
      <c r="G5871" s="178" t="s">
        <v>109</v>
      </c>
      <c r="H5871">
        <v>653</v>
      </c>
      <c r="I5871" s="178" t="s">
        <v>1546</v>
      </c>
      <c r="J5871" s="320" t="s">
        <v>214</v>
      </c>
      <c r="K5871" s="178" t="s">
        <v>4872</v>
      </c>
      <c r="L5871" s="125" t="s">
        <v>1579</v>
      </c>
      <c r="M5871">
        <v>920</v>
      </c>
      <c r="N5871" s="182">
        <v>243</v>
      </c>
      <c r="O5871">
        <v>3844</v>
      </c>
      <c r="P5871" s="132" t="s">
        <v>77</v>
      </c>
      <c r="Q5871" s="176">
        <v>575.16</v>
      </c>
      <c r="R5871" s="176">
        <v>92.03</v>
      </c>
      <c r="S5871" s="176"/>
      <c r="T5871" s="190"/>
      <c r="U5871" s="191">
        <v>7.19</v>
      </c>
      <c r="V5871" s="191">
        <v>659.99999999999989</v>
      </c>
      <c r="W5871">
        <v>146</v>
      </c>
      <c r="X5871" s="186" t="s">
        <v>1644</v>
      </c>
      <c r="Y5871" s="187" t="s">
        <v>55</v>
      </c>
      <c r="Z5871" s="311">
        <v>251</v>
      </c>
      <c r="AB5871" t="str">
        <f>IF(Table1[[#This Row],[TIPO2]]="costo", VLOOKUP(Table1[[#This Row],[PARTIDA PRESUPUESTAL]],'Cost Report'!G:G,1,0),"Balance")</f>
        <v>2808-003</v>
      </c>
      <c r="AD5871" s="159">
        <f>+Table1[[#This Row],[SUBTOTAL]]+Table1[[#This Row],[IVA]]-Table1[[#This Row],[RET IVA]]-Table1[[#This Row],[RET ISR]]-Table1[[#This Row],[TOTAL]]</f>
        <v>0</v>
      </c>
      <c r="AG5871" t="s">
        <v>3420</v>
      </c>
      <c r="AK5871" s="306" t="str">
        <f>IF(ISNUMBER(Table1[[#This Row],[FECHA DE RECIBIDO]]), Table1[[#This Row],[FECHA DE RECIBIDO]]-DATE(2023,8,30), "")</f>
        <v/>
      </c>
    </row>
    <row r="5872" spans="1:37" ht="16.05" customHeight="1">
      <c r="A5872" s="172" t="s">
        <v>5111</v>
      </c>
      <c r="B5872" s="178">
        <v>2082</v>
      </c>
      <c r="C5872" s="179" t="s">
        <v>2616</v>
      </c>
      <c r="D5872">
        <v>4028</v>
      </c>
      <c r="E5872" s="125" t="e">
        <v>#N/A</v>
      </c>
      <c r="F5872" s="178" t="e">
        <v>#N/A</v>
      </c>
      <c r="G5872" s="178" t="e">
        <v>#N/A</v>
      </c>
      <c r="H5872">
        <v>36</v>
      </c>
      <c r="I5872" s="178" t="e">
        <v>#N/A</v>
      </c>
      <c r="J5872" s="320" t="s">
        <v>214</v>
      </c>
      <c r="K5872" s="178" t="s">
        <v>4872</v>
      </c>
      <c r="L5872" s="125" t="s">
        <v>1579</v>
      </c>
      <c r="M5872">
        <v>294</v>
      </c>
      <c r="N5872" s="182">
        <v>243</v>
      </c>
      <c r="O5872">
        <v>3845</v>
      </c>
      <c r="P5872" s="132" t="s">
        <v>77</v>
      </c>
      <c r="Q5872" s="176">
        <v>1389.52</v>
      </c>
      <c r="R5872" s="176">
        <v>222.32</v>
      </c>
      <c r="S5872" s="176"/>
      <c r="T5872" s="190"/>
      <c r="U5872" s="191"/>
      <c r="V5872" s="191">
        <v>1611.84</v>
      </c>
      <c r="W5872">
        <v>146</v>
      </c>
      <c r="X5872" s="186" t="s">
        <v>1644</v>
      </c>
      <c r="Y5872" s="187" t="s">
        <v>55</v>
      </c>
      <c r="Z5872" s="311">
        <v>250</v>
      </c>
      <c r="AB5872" t="str">
        <f>IF(Table1[[#This Row],[TIPO2]]="costo", VLOOKUP(Table1[[#This Row],[PARTIDA PRESUPUESTAL]],'Cost Report'!G:G,1,0),"Balance")</f>
        <v>2808-003</v>
      </c>
      <c r="AD5872" s="159">
        <f>+Table1[[#This Row],[SUBTOTAL]]+Table1[[#This Row],[IVA]]-Table1[[#This Row],[RET IVA]]-Table1[[#This Row],[RET ISR]]-Table1[[#This Row],[TOTAL]]</f>
        <v>0</v>
      </c>
      <c r="AG5872" t="s">
        <v>3420</v>
      </c>
      <c r="AK5872" s="306" t="str">
        <f>IF(ISNUMBER(Table1[[#This Row],[FECHA DE RECIBIDO]]), Table1[[#This Row],[FECHA DE RECIBIDO]]-DATE(2023,8,30), "")</f>
        <v/>
      </c>
    </row>
    <row r="5873" spans="1:37" ht="16.05" customHeight="1">
      <c r="A5873" s="172" t="s">
        <v>5111</v>
      </c>
      <c r="B5873" s="178">
        <v>2082</v>
      </c>
      <c r="C5873" s="179" t="s">
        <v>2616</v>
      </c>
      <c r="D5873">
        <v>4029</v>
      </c>
      <c r="E5873" s="125" t="e">
        <v>#N/A</v>
      </c>
      <c r="F5873" s="178" t="e">
        <v>#N/A</v>
      </c>
      <c r="G5873" s="178" t="e">
        <v>#N/A</v>
      </c>
      <c r="H5873">
        <v>36</v>
      </c>
      <c r="I5873" s="178" t="e">
        <v>#N/A</v>
      </c>
      <c r="J5873" s="320" t="s">
        <v>214</v>
      </c>
      <c r="K5873" s="178" t="s">
        <v>4872</v>
      </c>
      <c r="L5873" s="125" t="s">
        <v>1579</v>
      </c>
      <c r="M5873">
        <v>294</v>
      </c>
      <c r="N5873" s="182">
        <v>243</v>
      </c>
      <c r="O5873">
        <v>3846</v>
      </c>
      <c r="P5873" s="132" t="s">
        <v>77</v>
      </c>
      <c r="Q5873" s="176">
        <v>4090.68</v>
      </c>
      <c r="R5873" s="176">
        <v>654.52</v>
      </c>
      <c r="S5873" s="176"/>
      <c r="T5873" s="190"/>
      <c r="U5873" s="191"/>
      <c r="V5873" s="191">
        <v>4745.2</v>
      </c>
      <c r="W5873">
        <v>146</v>
      </c>
      <c r="X5873" s="186" t="s">
        <v>1644</v>
      </c>
      <c r="Y5873" s="187" t="s">
        <v>55</v>
      </c>
      <c r="Z5873" s="311">
        <v>267</v>
      </c>
      <c r="AB5873" t="str">
        <f>IF(Table1[[#This Row],[TIPO2]]="costo", VLOOKUP(Table1[[#This Row],[PARTIDA PRESUPUESTAL]],'Cost Report'!G:G,1,0),"Balance")</f>
        <v>2808-003</v>
      </c>
      <c r="AD5873" s="159">
        <f>+Table1[[#This Row],[SUBTOTAL]]+Table1[[#This Row],[IVA]]-Table1[[#This Row],[RET IVA]]-Table1[[#This Row],[RET ISR]]-Table1[[#This Row],[TOTAL]]</f>
        <v>0</v>
      </c>
      <c r="AG5873" t="s">
        <v>3420</v>
      </c>
      <c r="AK5873" s="306" t="str">
        <f>IF(ISNUMBER(Table1[[#This Row],[FECHA DE RECIBIDO]]), Table1[[#This Row],[FECHA DE RECIBIDO]]-DATE(2023,8,30), "")</f>
        <v/>
      </c>
    </row>
    <row r="5874" spans="1:37" ht="16.05" customHeight="1">
      <c r="A5874" s="172" t="s">
        <v>5111</v>
      </c>
      <c r="B5874" s="178">
        <v>2082</v>
      </c>
      <c r="C5874" s="179" t="s">
        <v>2616</v>
      </c>
      <c r="D5874">
        <v>4030</v>
      </c>
      <c r="E5874" s="125" t="s">
        <v>1598</v>
      </c>
      <c r="F5874" s="178">
        <v>601</v>
      </c>
      <c r="G5874" s="178" t="s">
        <v>134</v>
      </c>
      <c r="H5874">
        <v>41</v>
      </c>
      <c r="I5874" s="178" t="s">
        <v>1546</v>
      </c>
      <c r="J5874" s="320" t="s">
        <v>214</v>
      </c>
      <c r="K5874" s="178" t="s">
        <v>4872</v>
      </c>
      <c r="L5874" s="125" t="s">
        <v>1579</v>
      </c>
      <c r="M5874">
        <v>323</v>
      </c>
      <c r="N5874" s="182">
        <v>243</v>
      </c>
      <c r="O5874">
        <v>3847</v>
      </c>
      <c r="P5874" s="132" t="s">
        <v>77</v>
      </c>
      <c r="Q5874" s="176">
        <v>171.98</v>
      </c>
      <c r="R5874" s="176">
        <v>27.52</v>
      </c>
      <c r="S5874" s="176"/>
      <c r="T5874" s="190"/>
      <c r="U5874" s="191"/>
      <c r="V5874" s="191">
        <v>199.5</v>
      </c>
      <c r="W5874">
        <v>146</v>
      </c>
      <c r="X5874" s="186" t="s">
        <v>1644</v>
      </c>
      <c r="Y5874" s="187" t="s">
        <v>55</v>
      </c>
      <c r="Z5874" s="311">
        <v>246</v>
      </c>
      <c r="AB5874" t="str">
        <f>IF(Table1[[#This Row],[TIPO2]]="costo", VLOOKUP(Table1[[#This Row],[PARTIDA PRESUPUESTAL]],'Cost Report'!G:G,1,0),"Balance")</f>
        <v>2808-003</v>
      </c>
      <c r="AD5874" s="159">
        <f>+Table1[[#This Row],[SUBTOTAL]]+Table1[[#This Row],[IVA]]-Table1[[#This Row],[RET IVA]]-Table1[[#This Row],[RET ISR]]-Table1[[#This Row],[TOTAL]]</f>
        <v>0</v>
      </c>
      <c r="AG5874" t="s">
        <v>3420</v>
      </c>
      <c r="AK5874" s="306" t="str">
        <f>IF(ISNUMBER(Table1[[#This Row],[FECHA DE RECIBIDO]]), Table1[[#This Row],[FECHA DE RECIBIDO]]-DATE(2023,8,30), "")</f>
        <v/>
      </c>
    </row>
    <row r="5875" spans="1:37" ht="16.05" customHeight="1">
      <c r="A5875" s="172" t="s">
        <v>5111</v>
      </c>
      <c r="B5875" s="178">
        <v>2082</v>
      </c>
      <c r="C5875" s="179" t="s">
        <v>2616</v>
      </c>
      <c r="D5875">
        <v>4031</v>
      </c>
      <c r="E5875" s="125" t="s">
        <v>1993</v>
      </c>
      <c r="F5875" s="178">
        <v>601</v>
      </c>
      <c r="G5875" s="178" t="s">
        <v>134</v>
      </c>
      <c r="H5875">
        <v>292</v>
      </c>
      <c r="I5875" s="178" t="s">
        <v>1546</v>
      </c>
      <c r="J5875" s="320" t="s">
        <v>214</v>
      </c>
      <c r="K5875" s="178" t="s">
        <v>4872</v>
      </c>
      <c r="L5875" s="125" t="s">
        <v>1579</v>
      </c>
      <c r="M5875">
        <v>386</v>
      </c>
      <c r="N5875" s="182">
        <v>243</v>
      </c>
      <c r="O5875">
        <v>3848</v>
      </c>
      <c r="P5875" s="132" t="s">
        <v>77</v>
      </c>
      <c r="Q5875" s="176">
        <v>1064.6500000000001</v>
      </c>
      <c r="R5875" s="176">
        <v>170.35</v>
      </c>
      <c r="S5875" s="176"/>
      <c r="T5875" s="190"/>
      <c r="U5875" s="191"/>
      <c r="V5875" s="191">
        <v>1235</v>
      </c>
      <c r="W5875">
        <v>146</v>
      </c>
      <c r="X5875" s="186" t="s">
        <v>1644</v>
      </c>
      <c r="Y5875" s="187" t="s">
        <v>55</v>
      </c>
      <c r="Z5875" s="311">
        <v>246</v>
      </c>
      <c r="AB5875" t="str">
        <f>IF(Table1[[#This Row],[TIPO2]]="costo", VLOOKUP(Table1[[#This Row],[PARTIDA PRESUPUESTAL]],'Cost Report'!G:G,1,0),"Balance")</f>
        <v>2808-003</v>
      </c>
      <c r="AD5875" s="159">
        <f>+Table1[[#This Row],[SUBTOTAL]]+Table1[[#This Row],[IVA]]-Table1[[#This Row],[RET IVA]]-Table1[[#This Row],[RET ISR]]-Table1[[#This Row],[TOTAL]]</f>
        <v>0</v>
      </c>
      <c r="AG5875" t="s">
        <v>3420</v>
      </c>
      <c r="AK5875" s="306" t="str">
        <f>IF(ISNUMBER(Table1[[#This Row],[FECHA DE RECIBIDO]]), Table1[[#This Row],[FECHA DE RECIBIDO]]-DATE(2023,8,30), "")</f>
        <v/>
      </c>
    </row>
    <row r="5876" spans="1:37" ht="16.05" customHeight="1">
      <c r="A5876" s="172" t="s">
        <v>5111</v>
      </c>
      <c r="B5876" s="178">
        <v>2082</v>
      </c>
      <c r="C5876" s="179" t="s">
        <v>2616</v>
      </c>
      <c r="D5876">
        <v>4032</v>
      </c>
      <c r="E5876" s="125" t="s">
        <v>1993</v>
      </c>
      <c r="F5876" s="178">
        <v>601</v>
      </c>
      <c r="G5876" s="178" t="s">
        <v>134</v>
      </c>
      <c r="H5876">
        <v>141</v>
      </c>
      <c r="I5876" s="178" t="s">
        <v>1546</v>
      </c>
      <c r="J5876" s="320" t="s">
        <v>214</v>
      </c>
      <c r="K5876" s="178" t="s">
        <v>4872</v>
      </c>
      <c r="L5876" s="125" t="s">
        <v>1579</v>
      </c>
      <c r="M5876">
        <v>296</v>
      </c>
      <c r="N5876" s="182">
        <v>243</v>
      </c>
      <c r="O5876">
        <v>3849</v>
      </c>
      <c r="P5876" s="132" t="s">
        <v>77</v>
      </c>
      <c r="Q5876" s="176">
        <v>14991.4</v>
      </c>
      <c r="R5876" s="176">
        <v>2398.6</v>
      </c>
      <c r="S5876" s="176"/>
      <c r="T5876" s="190"/>
      <c r="U5876" s="191"/>
      <c r="V5876" s="191">
        <v>17390</v>
      </c>
      <c r="W5876">
        <v>146</v>
      </c>
      <c r="X5876" s="186" t="s">
        <v>1644</v>
      </c>
      <c r="Y5876" s="187" t="s">
        <v>55</v>
      </c>
      <c r="Z5876" s="311">
        <v>266</v>
      </c>
      <c r="AB5876" t="str">
        <f>IF(Table1[[#This Row],[TIPO2]]="costo", VLOOKUP(Table1[[#This Row],[PARTIDA PRESUPUESTAL]],'Cost Report'!G:G,1,0),"Balance")</f>
        <v>2808-003</v>
      </c>
      <c r="AD5876" s="159">
        <f>+Table1[[#This Row],[SUBTOTAL]]+Table1[[#This Row],[IVA]]-Table1[[#This Row],[RET IVA]]-Table1[[#This Row],[RET ISR]]-Table1[[#This Row],[TOTAL]]</f>
        <v>0</v>
      </c>
      <c r="AG5876" t="s">
        <v>3420</v>
      </c>
      <c r="AK5876" s="306" t="str">
        <f>IF(ISNUMBER(Table1[[#This Row],[FECHA DE RECIBIDO]]), Table1[[#This Row],[FECHA DE RECIBIDO]]-DATE(2023,8,30), "")</f>
        <v/>
      </c>
    </row>
    <row r="5877" spans="1:37" ht="16.05" customHeight="1">
      <c r="A5877" s="172" t="s">
        <v>5111</v>
      </c>
      <c r="B5877" s="178">
        <v>2082</v>
      </c>
      <c r="C5877" s="179" t="s">
        <v>2616</v>
      </c>
      <c r="D5877">
        <v>4033</v>
      </c>
      <c r="E5877" s="125" t="s">
        <v>1993</v>
      </c>
      <c r="F5877" s="178">
        <v>601</v>
      </c>
      <c r="G5877" s="178" t="s">
        <v>134</v>
      </c>
      <c r="H5877">
        <v>141</v>
      </c>
      <c r="I5877" s="178" t="s">
        <v>1546</v>
      </c>
      <c r="J5877" s="320" t="s">
        <v>214</v>
      </c>
      <c r="K5877" s="178" t="s">
        <v>4872</v>
      </c>
      <c r="L5877" s="125" t="s">
        <v>1579</v>
      </c>
      <c r="M5877">
        <v>296</v>
      </c>
      <c r="N5877" s="182">
        <v>243</v>
      </c>
      <c r="O5877">
        <v>3850</v>
      </c>
      <c r="P5877" s="132" t="s">
        <v>77</v>
      </c>
      <c r="Q5877" s="176">
        <v>6978.44</v>
      </c>
      <c r="R5877" s="176">
        <v>1116.56</v>
      </c>
      <c r="S5877" s="176"/>
      <c r="T5877" s="190"/>
      <c r="U5877" s="191"/>
      <c r="V5877" s="191">
        <v>8095</v>
      </c>
      <c r="W5877">
        <v>146</v>
      </c>
      <c r="X5877" s="186" t="s">
        <v>1644</v>
      </c>
      <c r="Y5877" s="187" t="s">
        <v>55</v>
      </c>
      <c r="Z5877" s="311">
        <v>246</v>
      </c>
      <c r="AB5877" t="str">
        <f>IF(Table1[[#This Row],[TIPO2]]="costo", VLOOKUP(Table1[[#This Row],[PARTIDA PRESUPUESTAL]],'Cost Report'!G:G,1,0),"Balance")</f>
        <v>2808-003</v>
      </c>
      <c r="AD5877" s="159">
        <f>+Table1[[#This Row],[SUBTOTAL]]+Table1[[#This Row],[IVA]]-Table1[[#This Row],[RET IVA]]-Table1[[#This Row],[RET ISR]]-Table1[[#This Row],[TOTAL]]</f>
        <v>0</v>
      </c>
      <c r="AG5877" t="s">
        <v>3420</v>
      </c>
      <c r="AK5877" s="306" t="str">
        <f>IF(ISNUMBER(Table1[[#This Row],[FECHA DE RECIBIDO]]), Table1[[#This Row],[FECHA DE RECIBIDO]]-DATE(2023,8,30), "")</f>
        <v/>
      </c>
    </row>
    <row r="5878" spans="1:37" ht="16.05" customHeight="1">
      <c r="A5878" s="172" t="s">
        <v>5112</v>
      </c>
      <c r="B5878" s="178" t="s">
        <v>1576</v>
      </c>
      <c r="C5878" s="179" t="s">
        <v>74</v>
      </c>
      <c r="D5878">
        <v>4034</v>
      </c>
      <c r="E5878" s="125" t="s">
        <v>1577</v>
      </c>
      <c r="F5878" s="178">
        <v>616</v>
      </c>
      <c r="G5878" s="178" t="s">
        <v>1490</v>
      </c>
      <c r="H5878">
        <v>0</v>
      </c>
      <c r="I5878" s="178" t="s">
        <v>1546</v>
      </c>
      <c r="J5878" s="320">
        <v>265.74399305555562</v>
      </c>
      <c r="K5878" s="178" t="s">
        <v>4872</v>
      </c>
      <c r="L5878" s="125" t="s">
        <v>98</v>
      </c>
      <c r="M5878">
        <v>28</v>
      </c>
      <c r="N5878" s="182"/>
      <c r="O5878">
        <v>1425</v>
      </c>
      <c r="P5878" s="131" t="s">
        <v>78</v>
      </c>
      <c r="Q5878" s="176">
        <v>4315842.24</v>
      </c>
      <c r="R5878" s="176">
        <v>0</v>
      </c>
      <c r="S5878" s="176"/>
      <c r="T5878" s="190">
        <v>0</v>
      </c>
      <c r="U5878" s="191">
        <v>0</v>
      </c>
      <c r="V5878" s="194">
        <v>4315842.24</v>
      </c>
      <c r="W5878">
        <v>34</v>
      </c>
      <c r="X5878" s="186" t="s">
        <v>1576</v>
      </c>
      <c r="Y5878" s="187" t="s">
        <v>55</v>
      </c>
      <c r="Z5878" s="311">
        <v>268</v>
      </c>
      <c r="AB5878" t="str">
        <f>IF(Table1[[#This Row],[TIPO2]]="costo", VLOOKUP(Table1[[#This Row],[PARTIDA PRESUPUESTAL]],'Cost Report'!G:G,1,0),"Balance")</f>
        <v>Balance</v>
      </c>
      <c r="AD5878" s="159">
        <f>+Table1[[#This Row],[SUBTOTAL]]+Table1[[#This Row],[IVA]]-Table1[[#This Row],[RET IVA]]-Table1[[#This Row],[RET ISR]]-Table1[[#This Row],[TOTAL]]</f>
        <v>0</v>
      </c>
      <c r="AK5878" s="306">
        <f>IF(ISNUMBER(Table1[[#This Row],[FECHA DE RECIBIDO]]), Table1[[#This Row],[FECHA DE RECIBIDO]]-DATE(2023,8,30), "")</f>
        <v>-44902.256006944444</v>
      </c>
    </row>
    <row r="5879" spans="1:37" ht="16.05" customHeight="1">
      <c r="A5879" s="172" t="s">
        <v>5113</v>
      </c>
      <c r="B5879" s="178" t="s">
        <v>1576</v>
      </c>
      <c r="C5879" s="179" t="s">
        <v>75</v>
      </c>
      <c r="D5879">
        <v>4035</v>
      </c>
      <c r="E5879" s="125" t="s">
        <v>1577</v>
      </c>
      <c r="F5879" s="178">
        <v>616</v>
      </c>
      <c r="G5879" s="178" t="s">
        <v>1490</v>
      </c>
      <c r="H5879">
        <v>0</v>
      </c>
      <c r="I5879" s="178" t="s">
        <v>1546</v>
      </c>
      <c r="J5879" s="320">
        <v>265.7458333333343</v>
      </c>
      <c r="K5879" s="178" t="s">
        <v>4872</v>
      </c>
      <c r="L5879" s="125" t="s">
        <v>98</v>
      </c>
      <c r="M5879">
        <v>28</v>
      </c>
      <c r="N5879" s="182"/>
      <c r="O5879">
        <v>23</v>
      </c>
      <c r="P5879" s="131" t="s">
        <v>78</v>
      </c>
      <c r="Q5879" s="176">
        <v>690534.76</v>
      </c>
      <c r="R5879" s="176">
        <v>0</v>
      </c>
      <c r="S5879" s="176"/>
      <c r="T5879" s="190">
        <v>0</v>
      </c>
      <c r="U5879" s="191">
        <v>0</v>
      </c>
      <c r="V5879" s="194">
        <v>690534.76</v>
      </c>
      <c r="W5879">
        <v>34</v>
      </c>
      <c r="X5879" s="186" t="s">
        <v>1576</v>
      </c>
      <c r="Y5879" s="187" t="s">
        <v>55</v>
      </c>
      <c r="Z5879" s="311">
        <v>268</v>
      </c>
      <c r="AB5879" t="str">
        <f>IF(Table1[[#This Row],[TIPO2]]="costo", VLOOKUP(Table1[[#This Row],[PARTIDA PRESUPUESTAL]],'Cost Report'!G:G,1,0),"Balance")</f>
        <v>Balance</v>
      </c>
      <c r="AD5879" s="159">
        <f>+Table1[[#This Row],[SUBTOTAL]]+Table1[[#This Row],[IVA]]-Table1[[#This Row],[RET IVA]]-Table1[[#This Row],[RET ISR]]-Table1[[#This Row],[TOTAL]]</f>
        <v>0</v>
      </c>
      <c r="AK5879" s="306">
        <f>IF(ISNUMBER(Table1[[#This Row],[FECHA DE RECIBIDO]]), Table1[[#This Row],[FECHA DE RECIBIDO]]-DATE(2023,8,30), "")</f>
        <v>-44902.254166666666</v>
      </c>
    </row>
    <row r="5880" spans="1:37">
      <c r="A5880" s="172"/>
      <c r="B5880" s="178"/>
      <c r="C5880" s="179" t="s">
        <v>71</v>
      </c>
      <c r="D5880"/>
      <c r="E5880" s="125"/>
      <c r="F5880" s="178"/>
      <c r="G5880" s="178"/>
      <c r="H5880"/>
      <c r="I5880" s="178"/>
      <c r="J5880" s="320" t="s">
        <v>214</v>
      </c>
      <c r="K5880" s="178" t="s">
        <v>4872</v>
      </c>
      <c r="L5880" s="125" t="s">
        <v>1643</v>
      </c>
      <c r="M5880">
        <v>1339</v>
      </c>
      <c r="N5880" s="182"/>
      <c r="O5880">
        <v>3851</v>
      </c>
      <c r="P5880" s="131" t="s">
        <v>78</v>
      </c>
      <c r="Q5880" s="176">
        <v>-332279.42</v>
      </c>
      <c r="R5880" s="176"/>
      <c r="S5880" s="176"/>
      <c r="T5880" s="190">
        <v>0</v>
      </c>
      <c r="U5880" s="191"/>
      <c r="V5880" s="191">
        <f>+Table1[[#This Row],[SUBTOTAL]]</f>
        <v>-332279.42</v>
      </c>
      <c r="W5880"/>
      <c r="X5880" s="186"/>
      <c r="Y5880" s="187"/>
      <c r="Z5880" s="311">
        <v>212</v>
      </c>
      <c r="AB5880" t="s">
        <v>78</v>
      </c>
      <c r="AD5880" s="159">
        <v>0</v>
      </c>
      <c r="AG5880" t="s">
        <v>3420</v>
      </c>
      <c r="AK5880" s="306" t="str">
        <f>IF(ISNUMBER(Table1[[#This Row],[FECHA DE RECIBIDO]]), Table1[[#This Row],[FECHA DE RECIBIDO]]-DATE(2023,8,30), "")</f>
        <v/>
      </c>
    </row>
    <row r="5881" spans="1:37">
      <c r="A5881" s="172"/>
      <c r="B5881" s="178"/>
      <c r="C5881" s="179" t="s">
        <v>5114</v>
      </c>
      <c r="D5881"/>
      <c r="E5881" s="125"/>
      <c r="F5881" s="178"/>
      <c r="G5881" s="178"/>
      <c r="H5881"/>
      <c r="I5881" s="178"/>
      <c r="J5881" s="320" t="s">
        <v>214</v>
      </c>
      <c r="K5881" s="178" t="s">
        <v>4872</v>
      </c>
      <c r="L5881" s="125"/>
      <c r="M5881">
        <v>1340</v>
      </c>
      <c r="N5881" s="182"/>
      <c r="O5881">
        <v>3852</v>
      </c>
      <c r="P5881" s="131" t="s">
        <v>78</v>
      </c>
      <c r="Q5881" s="176">
        <v>333646.3</v>
      </c>
      <c r="R5881" s="176"/>
      <c r="S5881" s="176"/>
      <c r="T5881" s="190">
        <v>0</v>
      </c>
      <c r="U5881" s="191"/>
      <c r="V5881" s="194">
        <f>+Table1[[#This Row],[SUBTOTAL]]+Table1[[#This Row],[IVA]]-Table1[[#This Row],[RET IVA]]-Table1[[#This Row],[RET ISR]]</f>
        <v>333646.3</v>
      </c>
      <c r="W5881"/>
      <c r="X5881" s="186"/>
      <c r="Y5881" s="187"/>
      <c r="Z5881" s="311" t="s">
        <v>214</v>
      </c>
      <c r="AB5881" t="str">
        <f>IF(Table1[[#This Row],[TIPO2]]="costo", VLOOKUP(Table1[[#This Row],[PARTIDA PRESUPUESTAL]],'Cost Report'!G:G,1,0),"Balance")</f>
        <v>Balance</v>
      </c>
      <c r="AD5881" s="159">
        <f>+Table1[[#This Row],[SUBTOTAL]]+Table1[[#This Row],[IVA]]-Table1[[#This Row],[RET IVA]]-Table1[[#This Row],[RET ISR]]-Table1[[#This Row],[TOTAL]]</f>
        <v>0</v>
      </c>
      <c r="AK5881" s="306" t="str">
        <f>IF(ISNUMBER(Table1[[#This Row],[FECHA DE RECIBIDO]]), Table1[[#This Row],[FECHA DE RECIBIDO]]-DATE(2023,8,30), "")</f>
        <v/>
      </c>
    </row>
    <row r="5882" spans="1:37" ht="16.95" customHeight="1">
      <c r="A5882" s="172"/>
      <c r="B5882" s="178"/>
      <c r="C5882" s="179" t="s">
        <v>5114</v>
      </c>
      <c r="D5882">
        <v>4036</v>
      </c>
      <c r="E5882" s="125"/>
      <c r="F5882" s="178"/>
      <c r="G5882" s="178"/>
      <c r="H5882"/>
      <c r="I5882" s="178"/>
      <c r="J5882" s="320" t="s">
        <v>214</v>
      </c>
      <c r="K5882" s="178" t="s">
        <v>4872</v>
      </c>
      <c r="L5882" s="125" t="s">
        <v>5115</v>
      </c>
      <c r="M5882">
        <v>1341</v>
      </c>
      <c r="N5882" s="182"/>
      <c r="O5882">
        <v>3853</v>
      </c>
      <c r="P5882" s="131" t="s">
        <v>78</v>
      </c>
      <c r="Q5882" s="176">
        <v>-9955.5431034482808</v>
      </c>
      <c r="R5882" s="176">
        <f>-Table1[[#This Row],[SUBTOTAL]]*0.16</f>
        <v>1592.8868965517249</v>
      </c>
      <c r="S5882" s="176"/>
      <c r="T5882" s="190">
        <v>0</v>
      </c>
      <c r="U5882" s="191"/>
      <c r="V5882" s="191">
        <f>+Table1[[#This Row],[SUBTOTAL]]+Table1[[#This Row],[IVA]]-Table1[[#This Row],[RET IVA]]-Table1[[#This Row],[RET ISR]]</f>
        <v>-8362.6562068965559</v>
      </c>
      <c r="W5882"/>
      <c r="X5882" s="186"/>
      <c r="Y5882" s="187"/>
      <c r="Z5882" s="311" t="s">
        <v>214</v>
      </c>
      <c r="AB5882" t="str">
        <f>IF(Table1[[#This Row],[TIPO2]]="costo", VLOOKUP(Table1[[#This Row],[PARTIDA PRESUPUESTAL]],'Cost Report'!G:G,1,0),"Balance")</f>
        <v>Balance</v>
      </c>
      <c r="AD5882" s="159">
        <f>+Table1[[#This Row],[SUBTOTAL]]+Table1[[#This Row],[IVA]]-Table1[[#This Row],[RET IVA]]-Table1[[#This Row],[RET ISR]]-Table1[[#This Row],[TOTAL]]</f>
        <v>0</v>
      </c>
      <c r="AK5882" s="306" t="str">
        <f>IF(ISNUMBER(Table1[[#This Row],[FECHA DE RECIBIDO]]), Table1[[#This Row],[FECHA DE RECIBIDO]]-DATE(2023,8,30), "")</f>
        <v/>
      </c>
    </row>
    <row r="5883" spans="1:37">
      <c r="A5883" s="172"/>
      <c r="B5883" s="178"/>
      <c r="C5883" s="179" t="s">
        <v>5114</v>
      </c>
      <c r="D5883">
        <v>4037</v>
      </c>
      <c r="E5883" s="125"/>
      <c r="F5883" s="178"/>
      <c r="G5883" s="178"/>
      <c r="H5883"/>
      <c r="I5883" s="178"/>
      <c r="J5883" s="320" t="s">
        <v>214</v>
      </c>
      <c r="K5883" s="178" t="s">
        <v>4872</v>
      </c>
      <c r="L5883" s="125" t="s">
        <v>5115</v>
      </c>
      <c r="M5883">
        <v>1341</v>
      </c>
      <c r="N5883" s="182"/>
      <c r="O5883">
        <v>3854</v>
      </c>
      <c r="P5883" s="131" t="s">
        <v>78</v>
      </c>
      <c r="Q5883" s="176">
        <v>-7560.8879310344801</v>
      </c>
      <c r="R5883" s="176">
        <f>-Table1[[#This Row],[SUBTOTAL]]*0.16</f>
        <v>1209.7420689655169</v>
      </c>
      <c r="S5883" s="176"/>
      <c r="T5883" s="190">
        <v>0</v>
      </c>
      <c r="U5883" s="191"/>
      <c r="V5883" s="191">
        <f>+Table1[[#This Row],[SUBTOTAL]]+Table1[[#This Row],[IVA]]-Table1[[#This Row],[RET IVA]]-Table1[[#This Row],[RET ISR]]</f>
        <v>-6351.1458620689627</v>
      </c>
      <c r="W5883"/>
      <c r="X5883" s="186"/>
      <c r="Y5883" s="187"/>
      <c r="Z5883" s="311" t="s">
        <v>214</v>
      </c>
      <c r="AB5883" t="str">
        <f>IF(Table1[[#This Row],[TIPO2]]="costo", VLOOKUP(Table1[[#This Row],[PARTIDA PRESUPUESTAL]],'Cost Report'!G:G,1,0),"Balance")</f>
        <v>Balance</v>
      </c>
      <c r="AD5883" s="159">
        <f>+Table1[[#This Row],[SUBTOTAL]]+Table1[[#This Row],[IVA]]-Table1[[#This Row],[RET IVA]]-Table1[[#This Row],[RET ISR]]-Table1[[#This Row],[TOTAL]]</f>
        <v>0</v>
      </c>
      <c r="AK5883" s="306" t="str">
        <f>IF(ISNUMBER(Table1[[#This Row],[FECHA DE RECIBIDO]]), Table1[[#This Row],[FECHA DE RECIBIDO]]-DATE(2023,8,30), "")</f>
        <v/>
      </c>
    </row>
    <row r="5884" spans="1:37" ht="16.95" customHeight="1">
      <c r="A5884" s="172" t="s">
        <v>4648</v>
      </c>
      <c r="B5884" s="178">
        <v>1623</v>
      </c>
      <c r="C5884" s="179" t="s">
        <v>332</v>
      </c>
      <c r="D5884">
        <v>3294</v>
      </c>
      <c r="E5884" s="125" t="s">
        <v>4649</v>
      </c>
      <c r="F5884" s="178" t="s">
        <v>1589</v>
      </c>
      <c r="G5884" s="178" t="s">
        <v>129</v>
      </c>
      <c r="H5884">
        <v>853</v>
      </c>
      <c r="I5884" s="178" t="s">
        <v>1546</v>
      </c>
      <c r="J5884" s="320" t="s">
        <v>214</v>
      </c>
      <c r="K5884" s="178" t="s">
        <v>4872</v>
      </c>
      <c r="L5884" s="125" t="s">
        <v>3306</v>
      </c>
      <c r="M5884">
        <v>1186</v>
      </c>
      <c r="N5884" s="182">
        <v>1</v>
      </c>
      <c r="O5884">
        <v>3146</v>
      </c>
      <c r="P5884" s="132" t="s">
        <v>77</v>
      </c>
      <c r="Q5884" s="176">
        <v>-32813</v>
      </c>
      <c r="R5884" s="176">
        <v>-5250.08</v>
      </c>
      <c r="S5884" s="176">
        <v>0</v>
      </c>
      <c r="T5884" s="190">
        <v>-3500.06</v>
      </c>
      <c r="U5884" s="191">
        <v>-3281.3</v>
      </c>
      <c r="V5884" s="194">
        <f>+Table1[[#This Row],[SUBTOTAL]]+Table1[[#This Row],[IVA]]-Table1[[#This Row],[RET IVA]]-Table1[[#This Row],[RET ISR]]</f>
        <v>-31281.720000000005</v>
      </c>
      <c r="W5884">
        <v>418</v>
      </c>
      <c r="X5884" s="186" t="s">
        <v>2035</v>
      </c>
      <c r="Y5884" s="187" t="s">
        <v>55</v>
      </c>
      <c r="Z5884" s="311">
        <v>266</v>
      </c>
      <c r="AB5884" t="s">
        <v>332</v>
      </c>
      <c r="AD5884" s="159">
        <v>0</v>
      </c>
      <c r="AK5884" s="306" t="str">
        <f>IF(ISNUMBER(Table1[[#This Row],[FECHA DE RECIBIDO]]), Table1[[#This Row],[FECHA DE RECIBIDO]]-DATE(2023,8,30), "")</f>
        <v/>
      </c>
    </row>
    <row r="5885" spans="1:37">
      <c r="A5885" s="172"/>
      <c r="B5885" s="178"/>
      <c r="C5885" s="179" t="s">
        <v>3102</v>
      </c>
      <c r="D5885"/>
      <c r="E5885" s="125"/>
      <c r="F5885" s="178"/>
      <c r="G5885" s="178"/>
      <c r="H5885"/>
      <c r="I5885" s="178"/>
      <c r="J5885" s="320" t="s">
        <v>214</v>
      </c>
      <c r="K5885" s="178" t="s">
        <v>4872</v>
      </c>
      <c r="L5885" s="125" t="s">
        <v>4317</v>
      </c>
      <c r="M5885">
        <v>7</v>
      </c>
      <c r="N5885" s="182"/>
      <c r="O5885">
        <v>3855</v>
      </c>
      <c r="P5885" s="132" t="s">
        <v>77</v>
      </c>
      <c r="Q5885" s="176">
        <v>-33.119999999999997</v>
      </c>
      <c r="R5885" s="176"/>
      <c r="S5885" s="176"/>
      <c r="T5885" s="190">
        <v>0</v>
      </c>
      <c r="U5885" s="191"/>
      <c r="V5885" s="194">
        <f>+Table1[[#This Row],[SUBTOTAL]]+Table1[[#This Row],[IVA]]-Table1[[#This Row],[RET IVA]]-Table1[[#This Row],[RET ISR]]</f>
        <v>-33.119999999999997</v>
      </c>
      <c r="W5885"/>
      <c r="X5885" s="186"/>
      <c r="Y5885" s="187"/>
      <c r="Z5885" s="311" t="s">
        <v>214</v>
      </c>
      <c r="AB5885" t="str">
        <f>IF(Table1[[#This Row],[TIPO2]]="costo", VLOOKUP(Table1[[#This Row],[PARTIDA PRESUPUESTAL]],'Cost Report'!G:G,1,0),"Balance")</f>
        <v>7038-008</v>
      </c>
      <c r="AD5885" s="159">
        <f>+Table1[[#This Row],[SUBTOTAL]]+Table1[[#This Row],[IVA]]-Table1[[#This Row],[RET IVA]]-Table1[[#This Row],[RET ISR]]-Table1[[#This Row],[TOTAL]]</f>
        <v>0</v>
      </c>
      <c r="AK5885" s="306" t="str">
        <f>IF(ISNUMBER(Table1[[#This Row],[FECHA DE RECIBIDO]]), Table1[[#This Row],[FECHA DE RECIBIDO]]-DATE(2023,8,30), "")</f>
        <v/>
      </c>
    </row>
    <row r="5886" spans="1:37" ht="16.05" customHeight="1">
      <c r="A5886" s="172" t="s">
        <v>5118</v>
      </c>
      <c r="B5886" s="178">
        <v>2083</v>
      </c>
      <c r="C5886" s="179" t="s">
        <v>2852</v>
      </c>
      <c r="D5886">
        <v>4038</v>
      </c>
      <c r="E5886" s="125" t="s">
        <v>3679</v>
      </c>
      <c r="F5886" s="178">
        <v>601</v>
      </c>
      <c r="G5886" s="178" t="s">
        <v>134</v>
      </c>
      <c r="H5886">
        <v>964</v>
      </c>
      <c r="I5886" s="178" t="s">
        <v>1546</v>
      </c>
      <c r="J5886" s="320" t="s">
        <v>214</v>
      </c>
      <c r="K5886" s="178" t="s">
        <v>5167</v>
      </c>
      <c r="L5886" s="125" t="s">
        <v>3306</v>
      </c>
      <c r="M5886">
        <v>1342</v>
      </c>
      <c r="N5886" s="182">
        <v>1</v>
      </c>
      <c r="O5886">
        <v>3856</v>
      </c>
      <c r="P5886" s="132" t="s">
        <v>77</v>
      </c>
      <c r="Q5886" s="176">
        <v>3200</v>
      </c>
      <c r="R5886" s="176">
        <v>512</v>
      </c>
      <c r="S5886" s="176"/>
      <c r="T5886" s="190">
        <v>0</v>
      </c>
      <c r="U5886" s="191">
        <v>0</v>
      </c>
      <c r="V5886" s="191">
        <v>3712</v>
      </c>
      <c r="W5886">
        <v>473</v>
      </c>
      <c r="X5886" s="186" t="s">
        <v>2035</v>
      </c>
      <c r="Y5886" s="187" t="s">
        <v>55</v>
      </c>
      <c r="Z5886" s="311">
        <v>282</v>
      </c>
      <c r="AB5886" t="str">
        <f>IF(Table1[[#This Row],[TIPO2]]="costo", VLOOKUP(Table1[[#This Row],[PARTIDA PRESUPUESTAL]],'Cost Report'!G:G,1,0),"Balance")</f>
        <v>3498-003</v>
      </c>
      <c r="AD5886" s="159">
        <f>+Table1[[#This Row],[SUBTOTAL]]+Table1[[#This Row],[IVA]]-Table1[[#This Row],[RET IVA]]-Table1[[#This Row],[RET ISR]]-Table1[[#This Row],[TOTAL]]</f>
        <v>0</v>
      </c>
      <c r="AK5886" s="306" t="str">
        <f>IF(ISNUMBER(Table1[[#This Row],[FECHA DE RECIBIDO]]), Table1[[#This Row],[FECHA DE RECIBIDO]]-DATE(2023,8,30), "")</f>
        <v/>
      </c>
    </row>
    <row r="5887" spans="1:37" ht="16.05" customHeight="1">
      <c r="A5887" s="172" t="s">
        <v>5119</v>
      </c>
      <c r="B5887" s="178">
        <v>2084</v>
      </c>
      <c r="C5887" s="179" t="s">
        <v>2147</v>
      </c>
      <c r="D5887">
        <v>4039</v>
      </c>
      <c r="E5887" s="125">
        <v>6100</v>
      </c>
      <c r="F5887" s="178">
        <v>626</v>
      </c>
      <c r="G5887" s="178" t="s">
        <v>109</v>
      </c>
      <c r="H5887">
        <v>123</v>
      </c>
      <c r="I5887" s="178" t="s">
        <v>1546</v>
      </c>
      <c r="J5887" s="320">
        <v>278.71864583333081</v>
      </c>
      <c r="K5887" s="178" t="s">
        <v>5167</v>
      </c>
      <c r="L5887" s="125" t="s">
        <v>110</v>
      </c>
      <c r="M5887">
        <v>29</v>
      </c>
      <c r="N5887" s="182">
        <v>50</v>
      </c>
      <c r="O5887">
        <v>3857</v>
      </c>
      <c r="P5887" s="132" t="s">
        <v>77</v>
      </c>
      <c r="Q5887" s="176">
        <v>109000</v>
      </c>
      <c r="R5887" s="176">
        <v>17440</v>
      </c>
      <c r="S5887" s="176"/>
      <c r="T5887" s="190">
        <v>11626.7</v>
      </c>
      <c r="U5887" s="191">
        <v>1362.5</v>
      </c>
      <c r="V5887" s="191">
        <v>113450.8</v>
      </c>
      <c r="W5887">
        <v>22</v>
      </c>
      <c r="X5887" s="186" t="s">
        <v>1429</v>
      </c>
      <c r="Y5887" s="187" t="s">
        <v>55</v>
      </c>
      <c r="Z5887" s="311">
        <v>279</v>
      </c>
      <c r="AB5887" t="str">
        <f>IF(Table1[[#This Row],[TIPO2]]="costo", VLOOKUP(Table1[[#This Row],[PARTIDA PRESUPUESTAL]],'Cost Report'!G:G,1,0),"Balance")</f>
        <v>1287-013</v>
      </c>
      <c r="AD5887" s="159">
        <f>+Table1[[#This Row],[SUBTOTAL]]+Table1[[#This Row],[IVA]]-Table1[[#This Row],[RET IVA]]-Table1[[#This Row],[RET ISR]]-Table1[[#This Row],[TOTAL]]</f>
        <v>0</v>
      </c>
      <c r="AK5887" s="306">
        <f>IF(ISNUMBER(Table1[[#This Row],[FECHA DE RECIBIDO]]), Table1[[#This Row],[FECHA DE RECIBIDO]]-DATE(2023,8,30), "")</f>
        <v>-44889.281354166669</v>
      </c>
    </row>
    <row r="5888" spans="1:37" ht="16.05" customHeight="1">
      <c r="A5888" s="172" t="s">
        <v>5120</v>
      </c>
      <c r="B5888" s="178">
        <v>2085</v>
      </c>
      <c r="C5888" s="179" t="s">
        <v>2555</v>
      </c>
      <c r="D5888">
        <v>4040</v>
      </c>
      <c r="E5888" s="125" t="s">
        <v>3278</v>
      </c>
      <c r="F5888" s="178">
        <v>612</v>
      </c>
      <c r="G5888" s="178" t="s">
        <v>129</v>
      </c>
      <c r="H5888">
        <v>445</v>
      </c>
      <c r="I5888" s="178" t="s">
        <v>1546</v>
      </c>
      <c r="J5888" s="320" t="s">
        <v>214</v>
      </c>
      <c r="K5888" s="178" t="s">
        <v>5167</v>
      </c>
      <c r="L5888" s="125" t="s">
        <v>3306</v>
      </c>
      <c r="M5888">
        <v>1343</v>
      </c>
      <c r="N5888" s="182">
        <v>1</v>
      </c>
      <c r="O5888">
        <v>3858</v>
      </c>
      <c r="P5888" s="132" t="s">
        <v>77</v>
      </c>
      <c r="Q5888" s="176">
        <v>3000</v>
      </c>
      <c r="R5888" s="176">
        <v>480</v>
      </c>
      <c r="S5888" s="176"/>
      <c r="T5888" s="190"/>
      <c r="U5888" s="191"/>
      <c r="V5888" s="191">
        <v>3480</v>
      </c>
      <c r="W5888">
        <v>232</v>
      </c>
      <c r="X5888" s="186" t="s">
        <v>1433</v>
      </c>
      <c r="Y5888" s="187" t="s">
        <v>55</v>
      </c>
      <c r="Z5888" s="311">
        <v>280</v>
      </c>
      <c r="AB5888" t="str">
        <f>IF(Table1[[#This Row],[TIPO2]]="costo", VLOOKUP(Table1[[#This Row],[PARTIDA PRESUPUESTAL]],'Cost Report'!G:G,1,0),"Balance")</f>
        <v>2495-021</v>
      </c>
      <c r="AD5888" s="159">
        <f>+Table1[[#This Row],[SUBTOTAL]]+Table1[[#This Row],[IVA]]-Table1[[#This Row],[RET IVA]]-Table1[[#This Row],[RET ISR]]-Table1[[#This Row],[TOTAL]]</f>
        <v>0</v>
      </c>
      <c r="AK5888" s="306" t="str">
        <f>IF(ISNUMBER(Table1[[#This Row],[FECHA DE RECIBIDO]]), Table1[[#This Row],[FECHA DE RECIBIDO]]-DATE(2023,8,30), "")</f>
        <v/>
      </c>
    </row>
    <row r="5889" spans="1:37" ht="16.05" customHeight="1">
      <c r="A5889" s="172" t="s">
        <v>5121</v>
      </c>
      <c r="B5889" s="178">
        <v>2086</v>
      </c>
      <c r="C5889" s="179" t="s">
        <v>1055</v>
      </c>
      <c r="D5889">
        <v>4041</v>
      </c>
      <c r="E5889" s="125">
        <v>44520</v>
      </c>
      <c r="F5889" s="178">
        <v>626</v>
      </c>
      <c r="G5889" s="178" t="s">
        <v>109</v>
      </c>
      <c r="H5889">
        <v>965</v>
      </c>
      <c r="I5889" s="178" t="s">
        <v>1546</v>
      </c>
      <c r="J5889" s="320">
        <v>279.59049768518162</v>
      </c>
      <c r="K5889" s="178" t="s">
        <v>5167</v>
      </c>
      <c r="L5889" s="125" t="s">
        <v>3306</v>
      </c>
      <c r="M5889">
        <v>1344</v>
      </c>
      <c r="N5889" s="182">
        <v>1</v>
      </c>
      <c r="O5889">
        <v>3859</v>
      </c>
      <c r="P5889" s="132" t="s">
        <v>77</v>
      </c>
      <c r="Q5889" s="176">
        <v>8780</v>
      </c>
      <c r="R5889" s="176">
        <v>1404.8</v>
      </c>
      <c r="S5889" s="176"/>
      <c r="T5889" s="190"/>
      <c r="U5889" s="191"/>
      <c r="V5889" s="191">
        <v>10184.799999999999</v>
      </c>
      <c r="W5889">
        <v>474</v>
      </c>
      <c r="X5889" s="186" t="s">
        <v>1897</v>
      </c>
      <c r="Y5889" s="187" t="s">
        <v>55</v>
      </c>
      <c r="Z5889" s="311">
        <v>280</v>
      </c>
      <c r="AB5889" t="str">
        <f>IF(Table1[[#This Row],[TIPO2]]="costo", VLOOKUP(Table1[[#This Row],[PARTIDA PRESUPUESTAL]],'Cost Report'!G:G,1,0),"Balance")</f>
        <v>3683-036</v>
      </c>
      <c r="AD5889" s="159">
        <f>+Table1[[#This Row],[SUBTOTAL]]+Table1[[#This Row],[IVA]]-Table1[[#This Row],[RET IVA]]-Table1[[#This Row],[RET ISR]]-Table1[[#This Row],[TOTAL]]</f>
        <v>0</v>
      </c>
      <c r="AK5889" s="306">
        <f>IF(ISNUMBER(Table1[[#This Row],[FECHA DE RECIBIDO]]), Table1[[#This Row],[FECHA DE RECIBIDO]]-DATE(2023,8,30), "")</f>
        <v>-44888.409502314818</v>
      </c>
    </row>
    <row r="5890" spans="1:37" ht="16.05" customHeight="1">
      <c r="A5890" s="172" t="s">
        <v>5122</v>
      </c>
      <c r="B5890" s="178">
        <v>2088</v>
      </c>
      <c r="C5890" s="179" t="s">
        <v>2596</v>
      </c>
      <c r="D5890">
        <v>4042</v>
      </c>
      <c r="E5890" s="125" t="s">
        <v>1624</v>
      </c>
      <c r="F5890" s="178">
        <v>601</v>
      </c>
      <c r="G5890" s="178" t="s">
        <v>134</v>
      </c>
      <c r="H5890">
        <v>46</v>
      </c>
      <c r="I5890" s="178" t="s">
        <v>1546</v>
      </c>
      <c r="J5890" s="320" t="s">
        <v>214</v>
      </c>
      <c r="K5890" s="178" t="s">
        <v>5167</v>
      </c>
      <c r="L5890" s="125" t="s">
        <v>1579</v>
      </c>
      <c r="M5890">
        <v>58</v>
      </c>
      <c r="N5890" s="182">
        <v>17</v>
      </c>
      <c r="O5890">
        <v>3860</v>
      </c>
      <c r="P5890" s="132" t="s">
        <v>77</v>
      </c>
      <c r="Q5890" s="176">
        <v>828.45</v>
      </c>
      <c r="R5890" s="176">
        <v>132.55000000000001</v>
      </c>
      <c r="S5890" s="176"/>
      <c r="T5890" s="190"/>
      <c r="U5890" s="191"/>
      <c r="V5890" s="191">
        <v>961</v>
      </c>
      <c r="W5890"/>
      <c r="X5890" s="186" t="s">
        <v>5123</v>
      </c>
      <c r="Y5890" s="187" t="s">
        <v>55</v>
      </c>
      <c r="Z5890" s="311">
        <v>282</v>
      </c>
      <c r="AB5890" t="str">
        <f>IF(Table1[[#This Row],[TIPO2]]="costo", VLOOKUP(Table1[[#This Row],[PARTIDA PRESUPUESTAL]],'Cost Report'!G:G,1,0),"Balance")</f>
        <v>2794-003</v>
      </c>
      <c r="AD5890" s="159">
        <f>+Table1[[#This Row],[SUBTOTAL]]+Table1[[#This Row],[IVA]]-Table1[[#This Row],[RET IVA]]-Table1[[#This Row],[RET ISR]]-Table1[[#This Row],[TOTAL]]</f>
        <v>0</v>
      </c>
      <c r="AK5890" s="306" t="str">
        <f>IF(ISNUMBER(Table1[[#This Row],[FECHA DE RECIBIDO]]), Table1[[#This Row],[FECHA DE RECIBIDO]]-DATE(2023,8,30), "")</f>
        <v/>
      </c>
    </row>
    <row r="5891" spans="1:37" ht="16.05" customHeight="1">
      <c r="A5891" s="172" t="s">
        <v>5124</v>
      </c>
      <c r="B5891" s="178">
        <v>2089</v>
      </c>
      <c r="C5891" s="179" t="s">
        <v>2596</v>
      </c>
      <c r="D5891">
        <v>4043</v>
      </c>
      <c r="E5891" s="125" t="s">
        <v>2010</v>
      </c>
      <c r="F5891" s="178">
        <v>601</v>
      </c>
      <c r="G5891" s="178" t="s">
        <v>134</v>
      </c>
      <c r="H5891">
        <v>327</v>
      </c>
      <c r="I5891" s="178" t="s">
        <v>1546</v>
      </c>
      <c r="J5891" s="320" t="s">
        <v>214</v>
      </c>
      <c r="K5891" s="178" t="s">
        <v>5167</v>
      </c>
      <c r="L5891" s="125" t="s">
        <v>1579</v>
      </c>
      <c r="M5891">
        <v>436</v>
      </c>
      <c r="N5891" s="182">
        <v>17</v>
      </c>
      <c r="O5891">
        <v>3861</v>
      </c>
      <c r="P5891" s="132" t="s">
        <v>77</v>
      </c>
      <c r="Q5891" s="176">
        <v>861.21</v>
      </c>
      <c r="R5891" s="176">
        <v>137.79</v>
      </c>
      <c r="S5891" s="176"/>
      <c r="T5891" s="190"/>
      <c r="U5891" s="191"/>
      <c r="V5891" s="191">
        <v>999</v>
      </c>
      <c r="W5891"/>
      <c r="X5891" s="186" t="s">
        <v>2041</v>
      </c>
      <c r="Y5891" s="187" t="s">
        <v>55</v>
      </c>
      <c r="Z5891" s="311">
        <v>282</v>
      </c>
      <c r="AB5891" t="str">
        <f>IF(Table1[[#This Row],[TIPO2]]="costo", VLOOKUP(Table1[[#This Row],[PARTIDA PRESUPUESTAL]],'Cost Report'!G:G,1,0),"Balance")</f>
        <v>2794-003</v>
      </c>
      <c r="AD5891" s="159">
        <f>+Table1[[#This Row],[SUBTOTAL]]+Table1[[#This Row],[IVA]]-Table1[[#This Row],[RET IVA]]-Table1[[#This Row],[RET ISR]]-Table1[[#This Row],[TOTAL]]</f>
        <v>0</v>
      </c>
      <c r="AK5891" s="306" t="str">
        <f>IF(ISNUMBER(Table1[[#This Row],[FECHA DE RECIBIDO]]), Table1[[#This Row],[FECHA DE RECIBIDO]]-DATE(2023,8,30), "")</f>
        <v/>
      </c>
    </row>
    <row r="5892" spans="1:37" ht="16.05" customHeight="1">
      <c r="A5892" s="172" t="s">
        <v>5124</v>
      </c>
      <c r="B5892" s="178">
        <v>2089</v>
      </c>
      <c r="C5892" s="179" t="s">
        <v>2596</v>
      </c>
      <c r="D5892">
        <v>4044</v>
      </c>
      <c r="E5892" s="125" t="s">
        <v>2082</v>
      </c>
      <c r="F5892" s="178">
        <v>601</v>
      </c>
      <c r="G5892" s="178" t="s">
        <v>134</v>
      </c>
      <c r="H5892">
        <v>156</v>
      </c>
      <c r="I5892" s="178" t="s">
        <v>1546</v>
      </c>
      <c r="J5892" s="320" t="s">
        <v>214</v>
      </c>
      <c r="K5892" s="178" t="s">
        <v>5167</v>
      </c>
      <c r="L5892" s="125" t="s">
        <v>1579</v>
      </c>
      <c r="M5892">
        <v>207</v>
      </c>
      <c r="N5892" s="182">
        <v>17</v>
      </c>
      <c r="O5892">
        <v>3862</v>
      </c>
      <c r="P5892" s="132" t="s">
        <v>77</v>
      </c>
      <c r="Q5892" s="176">
        <v>1593.97</v>
      </c>
      <c r="R5892" s="176">
        <v>255.04</v>
      </c>
      <c r="S5892" s="176"/>
      <c r="T5892" s="190"/>
      <c r="U5892" s="191"/>
      <c r="V5892" s="191">
        <v>1849.01</v>
      </c>
      <c r="W5892"/>
      <c r="X5892" s="186" t="s">
        <v>2041</v>
      </c>
      <c r="Y5892" s="187" t="s">
        <v>55</v>
      </c>
      <c r="Z5892" s="311">
        <v>282</v>
      </c>
      <c r="AB5892" t="str">
        <f>IF(Table1[[#This Row],[TIPO2]]="costo", VLOOKUP(Table1[[#This Row],[PARTIDA PRESUPUESTAL]],'Cost Report'!G:G,1,0),"Balance")</f>
        <v>2794-003</v>
      </c>
      <c r="AD5892" s="159">
        <f>+Table1[[#This Row],[SUBTOTAL]]+Table1[[#This Row],[IVA]]-Table1[[#This Row],[RET IVA]]-Table1[[#This Row],[RET ISR]]-Table1[[#This Row],[TOTAL]]</f>
        <v>0</v>
      </c>
      <c r="AK5892" s="306" t="str">
        <f>IF(ISNUMBER(Table1[[#This Row],[FECHA DE RECIBIDO]]), Table1[[#This Row],[FECHA DE RECIBIDO]]-DATE(2023,8,30), "")</f>
        <v/>
      </c>
    </row>
    <row r="5893" spans="1:37" ht="16.05" customHeight="1">
      <c r="A5893" s="172" t="s">
        <v>5125</v>
      </c>
      <c r="B5893" s="178">
        <v>2090</v>
      </c>
      <c r="C5893" s="179" t="s">
        <v>1154</v>
      </c>
      <c r="D5893">
        <v>4045</v>
      </c>
      <c r="E5893" s="125">
        <v>44520</v>
      </c>
      <c r="F5893" s="178">
        <v>601</v>
      </c>
      <c r="G5893" s="178" t="s">
        <v>134</v>
      </c>
      <c r="H5893">
        <v>47</v>
      </c>
      <c r="I5893" s="178" t="s">
        <v>1546</v>
      </c>
      <c r="J5893" s="320">
        <v>281.55333333333692</v>
      </c>
      <c r="K5893" s="178" t="s">
        <v>5167</v>
      </c>
      <c r="L5893" s="125" t="s">
        <v>3306</v>
      </c>
      <c r="M5893">
        <v>448</v>
      </c>
      <c r="N5893" s="182">
        <v>1</v>
      </c>
      <c r="O5893">
        <v>3863</v>
      </c>
      <c r="P5893" s="132" t="s">
        <v>77</v>
      </c>
      <c r="Q5893" s="176">
        <v>15529.41</v>
      </c>
      <c r="R5893" s="176">
        <v>2484.71</v>
      </c>
      <c r="S5893" s="176"/>
      <c r="T5893" s="190"/>
      <c r="U5893" s="191"/>
      <c r="V5893" s="191">
        <v>18014.12</v>
      </c>
      <c r="W5893">
        <v>36</v>
      </c>
      <c r="X5893" s="186" t="s">
        <v>1430</v>
      </c>
      <c r="Y5893" s="187" t="s">
        <v>55</v>
      </c>
      <c r="Z5893" s="311">
        <v>282</v>
      </c>
      <c r="AB5893" t="str">
        <f>IF(Table1[[#This Row],[TIPO2]]="costo", VLOOKUP(Table1[[#This Row],[PARTIDA PRESUPUESTAL]],'Cost Report'!G:G,1,0),"Balance")</f>
        <v>3902-026</v>
      </c>
      <c r="AD5893" s="159">
        <f>+Table1[[#This Row],[SUBTOTAL]]+Table1[[#This Row],[IVA]]-Table1[[#This Row],[RET IVA]]-Table1[[#This Row],[RET ISR]]-Table1[[#This Row],[TOTAL]]</f>
        <v>0</v>
      </c>
      <c r="AK5893" s="306">
        <f>IF(ISNUMBER(Table1[[#This Row],[FECHA DE RECIBIDO]]), Table1[[#This Row],[FECHA DE RECIBIDO]]-DATE(2023,8,30), "")</f>
        <v>-44886.446666666663</v>
      </c>
    </row>
    <row r="5894" spans="1:37" ht="16.05" customHeight="1">
      <c r="A5894" s="172"/>
      <c r="B5894" s="178"/>
      <c r="C5894" s="179" t="s">
        <v>1417</v>
      </c>
      <c r="D5894">
        <v>4045</v>
      </c>
      <c r="E5894" s="125">
        <v>44520</v>
      </c>
      <c r="F5894" s="178">
        <v>601</v>
      </c>
      <c r="G5894" s="178" t="s">
        <v>134</v>
      </c>
      <c r="H5894">
        <v>47</v>
      </c>
      <c r="I5894" s="178" t="s">
        <v>1546</v>
      </c>
      <c r="J5894" s="320">
        <v>281.55333333333692</v>
      </c>
      <c r="K5894" s="178" t="s">
        <v>5167</v>
      </c>
      <c r="L5894" s="125" t="s">
        <v>3306</v>
      </c>
      <c r="M5894">
        <v>448</v>
      </c>
      <c r="N5894" s="182">
        <v>1</v>
      </c>
      <c r="O5894">
        <v>3863</v>
      </c>
      <c r="P5894" s="132" t="s">
        <v>77</v>
      </c>
      <c r="Q5894" s="176">
        <v>465.88</v>
      </c>
      <c r="R5894" s="176"/>
      <c r="S5894" s="176"/>
      <c r="T5894" s="190"/>
      <c r="U5894" s="191"/>
      <c r="V5894" s="191">
        <v>465.88</v>
      </c>
      <c r="W5894">
        <v>36</v>
      </c>
      <c r="X5894" s="186" t="s">
        <v>1430</v>
      </c>
      <c r="Y5894" s="187" t="s">
        <v>55</v>
      </c>
      <c r="Z5894" s="311">
        <v>282</v>
      </c>
      <c r="AB5894" t="str">
        <f>IF(Table1[[#This Row],[TIPO2]]="costo", VLOOKUP(Table1[[#This Row],[PARTIDA PRESUPUESTAL]],'Cost Report'!G:G,1,0),"Balance")</f>
        <v>3999-001</v>
      </c>
      <c r="AD5894" s="159">
        <f>+Table1[[#This Row],[SUBTOTAL]]+Table1[[#This Row],[IVA]]-Table1[[#This Row],[RET IVA]]-Table1[[#This Row],[RET ISR]]-Table1[[#This Row],[TOTAL]]</f>
        <v>0</v>
      </c>
      <c r="AK5894" s="306">
        <f>IF(ISNUMBER(Table1[[#This Row],[FECHA DE RECIBIDO]]), Table1[[#This Row],[FECHA DE RECIBIDO]]-DATE(2023,8,30), "")</f>
        <v>-44886.446666666663</v>
      </c>
    </row>
    <row r="5895" spans="1:37" ht="16.05" customHeight="1">
      <c r="A5895" s="172" t="s">
        <v>5126</v>
      </c>
      <c r="B5895" s="178">
        <v>2091</v>
      </c>
      <c r="C5895" s="179" t="s">
        <v>1055</v>
      </c>
      <c r="D5895">
        <v>807</v>
      </c>
      <c r="E5895" s="125">
        <v>45693</v>
      </c>
      <c r="F5895" s="178">
        <v>601</v>
      </c>
      <c r="G5895" s="178" t="s">
        <v>134</v>
      </c>
      <c r="H5895">
        <v>37</v>
      </c>
      <c r="I5895" s="178" t="s">
        <v>1546</v>
      </c>
      <c r="J5895" s="320" t="s">
        <v>214</v>
      </c>
      <c r="K5895" s="178" t="s">
        <v>5167</v>
      </c>
      <c r="L5895" s="125" t="s">
        <v>3306</v>
      </c>
      <c r="M5895">
        <v>337</v>
      </c>
      <c r="N5895" s="182">
        <v>1</v>
      </c>
      <c r="O5895">
        <v>3864</v>
      </c>
      <c r="P5895" s="132" t="s">
        <v>77</v>
      </c>
      <c r="Q5895" s="176">
        <v>1800</v>
      </c>
      <c r="R5895" s="176">
        <v>288</v>
      </c>
      <c r="S5895" s="176"/>
      <c r="T5895" s="190"/>
      <c r="U5895" s="191"/>
      <c r="V5895" s="191">
        <v>2088</v>
      </c>
      <c r="W5895">
        <v>32</v>
      </c>
      <c r="X5895" s="186" t="s">
        <v>3689</v>
      </c>
      <c r="Y5895" s="187" t="s">
        <v>55</v>
      </c>
      <c r="Z5895" s="311">
        <v>282</v>
      </c>
      <c r="AB5895" t="str">
        <f>IF(Table1[[#This Row],[TIPO2]]="costo", VLOOKUP(Table1[[#This Row],[PARTIDA PRESUPUESTAL]],'Cost Report'!G:G,1,0),"Balance")</f>
        <v>3683-036</v>
      </c>
      <c r="AD5895" s="159">
        <f>+Table1[[#This Row],[SUBTOTAL]]+Table1[[#This Row],[IVA]]-Table1[[#This Row],[RET IVA]]-Table1[[#This Row],[RET ISR]]-Table1[[#This Row],[TOTAL]]</f>
        <v>0</v>
      </c>
      <c r="AK5895" s="306" t="str">
        <f>IF(ISNUMBER(Table1[[#This Row],[FECHA DE RECIBIDO]]), Table1[[#This Row],[FECHA DE RECIBIDO]]-DATE(2023,8,30), "")</f>
        <v/>
      </c>
    </row>
    <row r="5896" spans="1:37" ht="16.05" customHeight="1">
      <c r="A5896" s="172"/>
      <c r="B5896" s="178">
        <v>2092</v>
      </c>
      <c r="C5896" s="179" t="s">
        <v>1055</v>
      </c>
      <c r="D5896">
        <v>807</v>
      </c>
      <c r="E5896" s="125">
        <v>45693</v>
      </c>
      <c r="F5896" s="178">
        <v>601</v>
      </c>
      <c r="G5896" s="178" t="s">
        <v>134</v>
      </c>
      <c r="H5896">
        <v>37</v>
      </c>
      <c r="I5896" s="178" t="s">
        <v>1546</v>
      </c>
      <c r="J5896" s="320" t="s">
        <v>214</v>
      </c>
      <c r="K5896" s="178" t="s">
        <v>5167</v>
      </c>
      <c r="L5896" s="125" t="s">
        <v>3306</v>
      </c>
      <c r="M5896">
        <v>337</v>
      </c>
      <c r="N5896" s="182">
        <v>1</v>
      </c>
      <c r="O5896">
        <v>3864</v>
      </c>
      <c r="P5896" s="132" t="s">
        <v>77</v>
      </c>
      <c r="Q5896" s="176">
        <v>9000</v>
      </c>
      <c r="R5896" s="176">
        <v>1440</v>
      </c>
      <c r="S5896" s="176"/>
      <c r="T5896" s="190"/>
      <c r="U5896" s="191"/>
      <c r="V5896" s="191">
        <v>10440</v>
      </c>
      <c r="W5896">
        <v>32</v>
      </c>
      <c r="X5896" s="186" t="s">
        <v>3689</v>
      </c>
      <c r="Y5896" s="187" t="s">
        <v>55</v>
      </c>
      <c r="Z5896" s="311">
        <v>282</v>
      </c>
      <c r="AB5896" t="str">
        <f>IF(Table1[[#This Row],[TIPO2]]="costo", VLOOKUP(Table1[[#This Row],[PARTIDA PRESUPUESTAL]],'Cost Report'!G:G,1,0),"Balance")</f>
        <v>3683-036</v>
      </c>
      <c r="AD5896" s="159">
        <f>+Table1[[#This Row],[SUBTOTAL]]+Table1[[#This Row],[IVA]]-Table1[[#This Row],[RET IVA]]-Table1[[#This Row],[RET ISR]]-Table1[[#This Row],[TOTAL]]</f>
        <v>0</v>
      </c>
      <c r="AK5896" s="306" t="str">
        <f>IF(ISNUMBER(Table1[[#This Row],[FECHA DE RECIBIDO]]), Table1[[#This Row],[FECHA DE RECIBIDO]]-DATE(2023,8,30), "")</f>
        <v/>
      </c>
    </row>
    <row r="5897" spans="1:37" ht="16.05" customHeight="1">
      <c r="A5897" s="172"/>
      <c r="B5897" s="178">
        <v>2093</v>
      </c>
      <c r="C5897" s="179" t="s">
        <v>1055</v>
      </c>
      <c r="D5897">
        <v>807</v>
      </c>
      <c r="E5897" s="125">
        <v>45693</v>
      </c>
      <c r="F5897" s="178">
        <v>601</v>
      </c>
      <c r="G5897" s="178" t="s">
        <v>134</v>
      </c>
      <c r="H5897">
        <v>37</v>
      </c>
      <c r="I5897" s="178" t="s">
        <v>1546</v>
      </c>
      <c r="J5897" s="320" t="s">
        <v>214</v>
      </c>
      <c r="K5897" s="178" t="s">
        <v>5167</v>
      </c>
      <c r="L5897" s="125" t="s">
        <v>3306</v>
      </c>
      <c r="M5897">
        <v>337</v>
      </c>
      <c r="N5897" s="182">
        <v>1</v>
      </c>
      <c r="O5897">
        <v>3864</v>
      </c>
      <c r="P5897" s="132" t="s">
        <v>77</v>
      </c>
      <c r="Q5897" s="176">
        <v>25100</v>
      </c>
      <c r="R5897" s="176">
        <v>4016</v>
      </c>
      <c r="S5897" s="176"/>
      <c r="T5897" s="190"/>
      <c r="U5897" s="191"/>
      <c r="V5897" s="191">
        <v>29116</v>
      </c>
      <c r="W5897">
        <v>32</v>
      </c>
      <c r="X5897" s="186" t="s">
        <v>3689</v>
      </c>
      <c r="Y5897" s="187" t="s">
        <v>55</v>
      </c>
      <c r="Z5897" s="311">
        <v>282</v>
      </c>
      <c r="AB5897" t="str">
        <f>IF(Table1[[#This Row],[TIPO2]]="costo", VLOOKUP(Table1[[#This Row],[PARTIDA PRESUPUESTAL]],'Cost Report'!G:G,1,0),"Balance")</f>
        <v>3683-036</v>
      </c>
      <c r="AD5897" s="159">
        <f>+Table1[[#This Row],[SUBTOTAL]]+Table1[[#This Row],[IVA]]-Table1[[#This Row],[RET IVA]]-Table1[[#This Row],[RET ISR]]-Table1[[#This Row],[TOTAL]]</f>
        <v>0</v>
      </c>
      <c r="AK5897" s="306" t="str">
        <f>IF(ISNUMBER(Table1[[#This Row],[FECHA DE RECIBIDO]]), Table1[[#This Row],[FECHA DE RECIBIDO]]-DATE(2023,8,30), "")</f>
        <v/>
      </c>
    </row>
    <row r="5898" spans="1:37" ht="16.05" customHeight="1">
      <c r="A5898" s="172" t="s">
        <v>5127</v>
      </c>
      <c r="B5898" s="178">
        <v>2094</v>
      </c>
      <c r="C5898" s="179" t="s">
        <v>615</v>
      </c>
      <c r="D5898">
        <v>4046</v>
      </c>
      <c r="E5898" s="125">
        <v>45040</v>
      </c>
      <c r="F5898" s="178">
        <v>626</v>
      </c>
      <c r="G5898" s="178" t="s">
        <v>109</v>
      </c>
      <c r="H5898">
        <v>334</v>
      </c>
      <c r="I5898" s="178" t="s">
        <v>1546</v>
      </c>
      <c r="J5898" s="320">
        <v>280.38311342592351</v>
      </c>
      <c r="K5898" s="178" t="s">
        <v>5167</v>
      </c>
      <c r="L5898" s="125" t="s">
        <v>3306</v>
      </c>
      <c r="M5898">
        <v>449</v>
      </c>
      <c r="N5898" s="182">
        <v>1</v>
      </c>
      <c r="O5898">
        <v>3865</v>
      </c>
      <c r="P5898" s="132" t="s">
        <v>77</v>
      </c>
      <c r="Q5898" s="176">
        <v>35000</v>
      </c>
      <c r="R5898" s="176">
        <v>5600</v>
      </c>
      <c r="S5898" s="176"/>
      <c r="T5898" s="190">
        <v>3733.35</v>
      </c>
      <c r="U5898" s="191">
        <v>437.5</v>
      </c>
      <c r="V5898" s="191">
        <v>36429.15</v>
      </c>
      <c r="W5898">
        <v>132</v>
      </c>
      <c r="X5898" s="186" t="s">
        <v>1430</v>
      </c>
      <c r="Y5898" s="187" t="s">
        <v>55</v>
      </c>
      <c r="Z5898" s="311">
        <v>282</v>
      </c>
      <c r="AB5898" t="str">
        <f>IF(Table1[[#This Row],[TIPO2]]="costo", VLOOKUP(Table1[[#This Row],[PARTIDA PRESUPUESTAL]],'Cost Report'!G:G,1,0),"Balance")</f>
        <v>2495-003</v>
      </c>
      <c r="AD5898" s="159">
        <f>+Table1[[#This Row],[SUBTOTAL]]+Table1[[#This Row],[IVA]]-Table1[[#This Row],[RET IVA]]-Table1[[#This Row],[RET ISR]]-Table1[[#This Row],[TOTAL]]</f>
        <v>0</v>
      </c>
      <c r="AK5898" s="306">
        <f>IF(ISNUMBER(Table1[[#This Row],[FECHA DE RECIBIDO]]), Table1[[#This Row],[FECHA DE RECIBIDO]]-DATE(2023,8,30), "")</f>
        <v>-44887.616886574076</v>
      </c>
    </row>
    <row r="5899" spans="1:37" ht="16.05" customHeight="1">
      <c r="A5899" s="172" t="s">
        <v>5128</v>
      </c>
      <c r="B5899" s="178">
        <v>2095</v>
      </c>
      <c r="C5899" s="179" t="s">
        <v>2892</v>
      </c>
      <c r="D5899">
        <v>4047</v>
      </c>
      <c r="E5899" s="125" t="s">
        <v>3171</v>
      </c>
      <c r="F5899" s="178">
        <v>621</v>
      </c>
      <c r="G5899" s="178" t="s">
        <v>1617</v>
      </c>
      <c r="H5899">
        <v>201</v>
      </c>
      <c r="I5899" s="178" t="s">
        <v>1546</v>
      </c>
      <c r="J5899" s="320" t="s">
        <v>214</v>
      </c>
      <c r="K5899" s="178" t="s">
        <v>5167</v>
      </c>
      <c r="L5899" s="125" t="s">
        <v>110</v>
      </c>
      <c r="M5899">
        <v>266</v>
      </c>
      <c r="N5899" s="182">
        <v>66</v>
      </c>
      <c r="O5899">
        <v>3866</v>
      </c>
      <c r="P5899" s="132" t="s">
        <v>77</v>
      </c>
      <c r="Q5899" s="176">
        <v>10000</v>
      </c>
      <c r="R5899" s="176">
        <v>1600</v>
      </c>
      <c r="S5899" s="176"/>
      <c r="T5899" s="190">
        <v>1066.68</v>
      </c>
      <c r="U5899" s="191">
        <v>0</v>
      </c>
      <c r="V5899" s="191">
        <v>10533.32</v>
      </c>
      <c r="W5899">
        <v>122</v>
      </c>
      <c r="X5899" s="186" t="s">
        <v>1434</v>
      </c>
      <c r="Y5899" s="187" t="s">
        <v>55</v>
      </c>
      <c r="Z5899" s="311">
        <v>282</v>
      </c>
      <c r="AB5899" t="str">
        <f>IF(Table1[[#This Row],[TIPO2]]="costo", VLOOKUP(Table1[[#This Row],[PARTIDA PRESUPUESTAL]],'Cost Report'!G:G,1,0),"Balance")</f>
        <v>3683-129</v>
      </c>
      <c r="AD5899" s="159">
        <f>+Table1[[#This Row],[SUBTOTAL]]+Table1[[#This Row],[IVA]]-Table1[[#This Row],[RET IVA]]-Table1[[#This Row],[RET ISR]]-Table1[[#This Row],[TOTAL]]</f>
        <v>0</v>
      </c>
      <c r="AK5899" s="306" t="str">
        <f>IF(ISNUMBER(Table1[[#This Row],[FECHA DE RECIBIDO]]), Table1[[#This Row],[FECHA DE RECIBIDO]]-DATE(2023,8,30), "")</f>
        <v/>
      </c>
    </row>
    <row r="5900" spans="1:37" ht="16.05" customHeight="1">
      <c r="A5900" s="172" t="s">
        <v>5129</v>
      </c>
      <c r="B5900" s="178">
        <v>2096</v>
      </c>
      <c r="C5900" s="179" t="s">
        <v>309</v>
      </c>
      <c r="D5900">
        <v>4048</v>
      </c>
      <c r="E5900" s="125">
        <v>62584</v>
      </c>
      <c r="F5900" s="178">
        <v>612</v>
      </c>
      <c r="G5900" s="178" t="s">
        <v>129</v>
      </c>
      <c r="H5900">
        <v>966</v>
      </c>
      <c r="I5900" s="178" t="s">
        <v>1546</v>
      </c>
      <c r="J5900" s="320">
        <v>279.86244212962629</v>
      </c>
      <c r="K5900" s="178" t="s">
        <v>5167</v>
      </c>
      <c r="L5900" s="125" t="s">
        <v>110</v>
      </c>
      <c r="M5900">
        <v>1345</v>
      </c>
      <c r="N5900" s="182">
        <v>244</v>
      </c>
      <c r="O5900">
        <v>3867</v>
      </c>
      <c r="P5900" s="132" t="s">
        <v>77</v>
      </c>
      <c r="Q5900" s="176">
        <v>456750</v>
      </c>
      <c r="R5900" s="176">
        <v>73080</v>
      </c>
      <c r="S5900" s="176"/>
      <c r="T5900" s="190">
        <v>48720.15</v>
      </c>
      <c r="U5900" s="191">
        <v>45675</v>
      </c>
      <c r="V5900" s="191">
        <v>435434.85</v>
      </c>
      <c r="W5900">
        <v>475</v>
      </c>
      <c r="X5900" s="186" t="s">
        <v>2024</v>
      </c>
      <c r="Y5900" s="187" t="s">
        <v>55</v>
      </c>
      <c r="Z5900" s="311">
        <v>282</v>
      </c>
      <c r="AB5900" t="str">
        <f>IF(Table1[[#This Row],[TIPO2]]="costo", VLOOKUP(Table1[[#This Row],[PARTIDA PRESUPUESTAL]],'Cost Report'!G:G,1,0),"Balance")</f>
        <v>1401-043</v>
      </c>
      <c r="AD5900" s="159">
        <f>+Table1[[#This Row],[SUBTOTAL]]+Table1[[#This Row],[IVA]]-Table1[[#This Row],[RET IVA]]-Table1[[#This Row],[RET ISR]]-Table1[[#This Row],[TOTAL]]</f>
        <v>0</v>
      </c>
      <c r="AK5900" s="306">
        <f>IF(ISNUMBER(Table1[[#This Row],[FECHA DE RECIBIDO]]), Table1[[#This Row],[FECHA DE RECIBIDO]]-DATE(2023,8,30), "")</f>
        <v>-44888.137557870374</v>
      </c>
    </row>
    <row r="5901" spans="1:37" ht="16.05" customHeight="1">
      <c r="A5901" s="172" t="s">
        <v>5130</v>
      </c>
      <c r="B5901" s="178">
        <v>2097</v>
      </c>
      <c r="C5901" s="179" t="s">
        <v>2179</v>
      </c>
      <c r="D5901">
        <v>4049</v>
      </c>
      <c r="E5901" s="125">
        <v>11550</v>
      </c>
      <c r="F5901" s="178">
        <v>612</v>
      </c>
      <c r="G5901" s="178" t="s">
        <v>129</v>
      </c>
      <c r="H5901">
        <v>967</v>
      </c>
      <c r="I5901" s="178" t="s">
        <v>1546</v>
      </c>
      <c r="J5901" s="320">
        <v>279.66917824074335</v>
      </c>
      <c r="K5901" s="178" t="s">
        <v>5167</v>
      </c>
      <c r="L5901" s="125" t="s">
        <v>110</v>
      </c>
      <c r="M5901">
        <v>1346</v>
      </c>
      <c r="N5901" s="182">
        <v>245</v>
      </c>
      <c r="O5901">
        <v>3868</v>
      </c>
      <c r="P5901" s="132" t="s">
        <v>77</v>
      </c>
      <c r="Q5901" s="176">
        <v>386400</v>
      </c>
      <c r="R5901" s="176">
        <v>61824</v>
      </c>
      <c r="S5901" s="176"/>
      <c r="T5901" s="190">
        <v>41216.129999999997</v>
      </c>
      <c r="U5901" s="191">
        <v>38640</v>
      </c>
      <c r="V5901" s="191">
        <v>368367.87</v>
      </c>
      <c r="W5901">
        <v>476</v>
      </c>
      <c r="X5901" s="186" t="s">
        <v>1431</v>
      </c>
      <c r="Y5901" s="187" t="s">
        <v>55</v>
      </c>
      <c r="Z5901" s="311">
        <v>282</v>
      </c>
      <c r="AB5901" t="str">
        <f>IF(Table1[[#This Row],[TIPO2]]="costo", VLOOKUP(Table1[[#This Row],[PARTIDA PRESUPUESTAL]],'Cost Report'!G:G,1,0),"Balance")</f>
        <v>1401-064</v>
      </c>
      <c r="AD5901" s="159">
        <f>+Table1[[#This Row],[SUBTOTAL]]+Table1[[#This Row],[IVA]]-Table1[[#This Row],[RET IVA]]-Table1[[#This Row],[RET ISR]]-Table1[[#This Row],[TOTAL]]</f>
        <v>0</v>
      </c>
      <c r="AK5901" s="306">
        <f>IF(ISNUMBER(Table1[[#This Row],[FECHA DE RECIBIDO]]), Table1[[#This Row],[FECHA DE RECIBIDO]]-DATE(2023,8,30), "")</f>
        <v>-44888.330821759257</v>
      </c>
    </row>
    <row r="5902" spans="1:37" ht="16.05" customHeight="1">
      <c r="A5902" s="172" t="s">
        <v>5131</v>
      </c>
      <c r="B5902" s="178">
        <v>2098</v>
      </c>
      <c r="C5902" s="179" t="s">
        <v>2527</v>
      </c>
      <c r="D5902">
        <v>4050</v>
      </c>
      <c r="E5902" s="125" t="s">
        <v>5132</v>
      </c>
      <c r="F5902" s="178">
        <v>626</v>
      </c>
      <c r="G5902" s="178" t="s">
        <v>109</v>
      </c>
      <c r="H5902">
        <v>968</v>
      </c>
      <c r="I5902" s="178" t="s">
        <v>1546</v>
      </c>
      <c r="J5902" s="320" t="s">
        <v>214</v>
      </c>
      <c r="K5902" s="178" t="s">
        <v>5167</v>
      </c>
      <c r="L5902" s="125" t="s">
        <v>110</v>
      </c>
      <c r="M5902">
        <v>1347</v>
      </c>
      <c r="N5902" s="182">
        <v>246</v>
      </c>
      <c r="O5902">
        <v>3869</v>
      </c>
      <c r="P5902" s="132" t="s">
        <v>77</v>
      </c>
      <c r="Q5902" s="176">
        <v>1470</v>
      </c>
      <c r="R5902" s="176">
        <v>235.2</v>
      </c>
      <c r="S5902" s="176"/>
      <c r="T5902" s="190">
        <v>156.80000000000001</v>
      </c>
      <c r="U5902" s="191">
        <v>18.38</v>
      </c>
      <c r="V5902" s="191">
        <v>1530.02</v>
      </c>
      <c r="W5902">
        <v>477</v>
      </c>
      <c r="X5902" s="186" t="s">
        <v>1430</v>
      </c>
      <c r="Y5902" s="187" t="s">
        <v>55</v>
      </c>
      <c r="Z5902" s="311">
        <v>282</v>
      </c>
      <c r="AB5902" t="str">
        <f>IF(Table1[[#This Row],[TIPO2]]="costo", VLOOKUP(Table1[[#This Row],[PARTIDA PRESUPUESTAL]],'Cost Report'!G:G,1,0),"Balance")</f>
        <v>2405-025</v>
      </c>
      <c r="AD5902" s="159">
        <f>+Table1[[#This Row],[SUBTOTAL]]+Table1[[#This Row],[IVA]]-Table1[[#This Row],[RET IVA]]-Table1[[#This Row],[RET ISR]]-Table1[[#This Row],[TOTAL]]</f>
        <v>0</v>
      </c>
      <c r="AK5902" s="306" t="str">
        <f>IF(ISNUMBER(Table1[[#This Row],[FECHA DE RECIBIDO]]), Table1[[#This Row],[FECHA DE RECIBIDO]]-DATE(2023,8,30), "")</f>
        <v/>
      </c>
    </row>
    <row r="5903" spans="1:37" ht="16.05" customHeight="1">
      <c r="A5903" s="172" t="s">
        <v>5133</v>
      </c>
      <c r="B5903" s="178">
        <v>2099</v>
      </c>
      <c r="C5903" s="179" t="s">
        <v>2523</v>
      </c>
      <c r="D5903">
        <v>4051</v>
      </c>
      <c r="E5903" s="125" t="s">
        <v>5132</v>
      </c>
      <c r="F5903" s="178">
        <v>626</v>
      </c>
      <c r="G5903" s="178" t="s">
        <v>109</v>
      </c>
      <c r="H5903">
        <v>968</v>
      </c>
      <c r="I5903" s="178" t="s">
        <v>1546</v>
      </c>
      <c r="J5903" s="320" t="s">
        <v>214</v>
      </c>
      <c r="K5903" s="178" t="s">
        <v>5167</v>
      </c>
      <c r="L5903" s="125" t="s">
        <v>110</v>
      </c>
      <c r="M5903">
        <v>1347</v>
      </c>
      <c r="N5903" s="182">
        <v>246</v>
      </c>
      <c r="O5903">
        <v>3870</v>
      </c>
      <c r="P5903" s="132" t="s">
        <v>77</v>
      </c>
      <c r="Q5903" s="176">
        <v>7500</v>
      </c>
      <c r="R5903" s="176">
        <v>1200</v>
      </c>
      <c r="S5903" s="176"/>
      <c r="T5903" s="190">
        <v>800</v>
      </c>
      <c r="U5903" s="191">
        <v>93.75</v>
      </c>
      <c r="V5903" s="191">
        <v>7806.25</v>
      </c>
      <c r="W5903">
        <v>477</v>
      </c>
      <c r="X5903" s="186" t="s">
        <v>1430</v>
      </c>
      <c r="Y5903" s="187" t="s">
        <v>55</v>
      </c>
      <c r="Z5903" s="311">
        <v>282</v>
      </c>
      <c r="AB5903" t="str">
        <f>IF(Table1[[#This Row],[TIPO2]]="costo", VLOOKUP(Table1[[#This Row],[PARTIDA PRESUPUESTAL]],'Cost Report'!G:G,1,0),"Balance")</f>
        <v>2405-019</v>
      </c>
      <c r="AD5903" s="159">
        <f>+Table1[[#This Row],[SUBTOTAL]]+Table1[[#This Row],[IVA]]-Table1[[#This Row],[RET IVA]]-Table1[[#This Row],[RET ISR]]-Table1[[#This Row],[TOTAL]]</f>
        <v>0</v>
      </c>
      <c r="AK5903" s="306" t="str">
        <f>IF(ISNUMBER(Table1[[#This Row],[FECHA DE RECIBIDO]]), Table1[[#This Row],[FECHA DE RECIBIDO]]-DATE(2023,8,30), "")</f>
        <v/>
      </c>
    </row>
    <row r="5904" spans="1:37" ht="16.05" customHeight="1">
      <c r="A5904" s="172" t="s">
        <v>5134</v>
      </c>
      <c r="B5904" s="178">
        <v>2100</v>
      </c>
      <c r="C5904" s="179" t="s">
        <v>2524</v>
      </c>
      <c r="D5904">
        <v>4052</v>
      </c>
      <c r="E5904" s="125" t="s">
        <v>5132</v>
      </c>
      <c r="F5904" s="178">
        <v>626</v>
      </c>
      <c r="G5904" s="178" t="s">
        <v>109</v>
      </c>
      <c r="H5904">
        <v>968</v>
      </c>
      <c r="I5904" s="178" t="s">
        <v>1546</v>
      </c>
      <c r="J5904" s="320" t="s">
        <v>214</v>
      </c>
      <c r="K5904" s="178" t="s">
        <v>5167</v>
      </c>
      <c r="L5904" s="125" t="s">
        <v>110</v>
      </c>
      <c r="M5904">
        <v>1347</v>
      </c>
      <c r="N5904" s="182">
        <v>246</v>
      </c>
      <c r="O5904">
        <v>3871</v>
      </c>
      <c r="P5904" s="132" t="s">
        <v>77</v>
      </c>
      <c r="Q5904" s="176">
        <v>15000</v>
      </c>
      <c r="R5904" s="176">
        <v>2400</v>
      </c>
      <c r="S5904" s="176"/>
      <c r="T5904" s="190">
        <v>1600</v>
      </c>
      <c r="U5904" s="191">
        <v>187.5</v>
      </c>
      <c r="V5904" s="191">
        <v>15612.5</v>
      </c>
      <c r="W5904">
        <v>477</v>
      </c>
      <c r="X5904" s="186" t="s">
        <v>1430</v>
      </c>
      <c r="Y5904" s="187" t="s">
        <v>55</v>
      </c>
      <c r="Z5904" s="311">
        <v>282</v>
      </c>
      <c r="AB5904" t="str">
        <f>IF(Table1[[#This Row],[TIPO2]]="costo", VLOOKUP(Table1[[#This Row],[PARTIDA PRESUPUESTAL]],'Cost Report'!G:G,1,0),"Balance")</f>
        <v>2405-020</v>
      </c>
      <c r="AD5904" s="159">
        <f>+Table1[[#This Row],[SUBTOTAL]]+Table1[[#This Row],[IVA]]-Table1[[#This Row],[RET IVA]]-Table1[[#This Row],[RET ISR]]-Table1[[#This Row],[TOTAL]]</f>
        <v>0</v>
      </c>
      <c r="AK5904" s="306" t="str">
        <f>IF(ISNUMBER(Table1[[#This Row],[FECHA DE RECIBIDO]]), Table1[[#This Row],[FECHA DE RECIBIDO]]-DATE(2023,8,30), "")</f>
        <v/>
      </c>
    </row>
    <row r="5905" spans="1:37" ht="16.05" customHeight="1">
      <c r="A5905" s="172" t="s">
        <v>5135</v>
      </c>
      <c r="B5905" s="178">
        <v>2101</v>
      </c>
      <c r="C5905" s="179" t="s">
        <v>1868</v>
      </c>
      <c r="D5905">
        <v>4053</v>
      </c>
      <c r="E5905" s="125" t="s">
        <v>5132</v>
      </c>
      <c r="F5905" s="178">
        <v>626</v>
      </c>
      <c r="G5905" s="178" t="s">
        <v>109</v>
      </c>
      <c r="H5905">
        <v>968</v>
      </c>
      <c r="I5905" s="178" t="s">
        <v>1546</v>
      </c>
      <c r="J5905" s="320" t="s">
        <v>214</v>
      </c>
      <c r="K5905" s="178" t="s">
        <v>5167</v>
      </c>
      <c r="L5905" s="125" t="s">
        <v>110</v>
      </c>
      <c r="M5905">
        <v>1347</v>
      </c>
      <c r="N5905" s="182">
        <v>246</v>
      </c>
      <c r="O5905">
        <v>3872</v>
      </c>
      <c r="P5905" s="132" t="s">
        <v>77</v>
      </c>
      <c r="Q5905" s="176">
        <v>720</v>
      </c>
      <c r="R5905" s="176">
        <v>115.2</v>
      </c>
      <c r="S5905" s="176"/>
      <c r="T5905" s="190">
        <v>76.8</v>
      </c>
      <c r="U5905" s="191">
        <v>9</v>
      </c>
      <c r="V5905" s="191">
        <v>749.40000000000009</v>
      </c>
      <c r="W5905">
        <v>477</v>
      </c>
      <c r="X5905" s="186" t="s">
        <v>1430</v>
      </c>
      <c r="Y5905" s="187" t="s">
        <v>55</v>
      </c>
      <c r="Z5905" s="311">
        <v>282</v>
      </c>
      <c r="AB5905" t="str">
        <f>IF(Table1[[#This Row],[TIPO2]]="costo", VLOOKUP(Table1[[#This Row],[PARTIDA PRESUPUESTAL]],'Cost Report'!G:G,1,0),"Balance")</f>
        <v>3442-006</v>
      </c>
      <c r="AD5905" s="159">
        <f>+Table1[[#This Row],[SUBTOTAL]]+Table1[[#This Row],[IVA]]-Table1[[#This Row],[RET IVA]]-Table1[[#This Row],[RET ISR]]-Table1[[#This Row],[TOTAL]]</f>
        <v>0</v>
      </c>
      <c r="AK5905" s="306" t="str">
        <f>IF(ISNUMBER(Table1[[#This Row],[FECHA DE RECIBIDO]]), Table1[[#This Row],[FECHA DE RECIBIDO]]-DATE(2023,8,30), "")</f>
        <v/>
      </c>
    </row>
    <row r="5906" spans="1:37" ht="16.05" customHeight="1">
      <c r="A5906" s="172" t="s">
        <v>5136</v>
      </c>
      <c r="B5906" s="178">
        <v>2102</v>
      </c>
      <c r="C5906" s="179" t="s">
        <v>1844</v>
      </c>
      <c r="D5906">
        <v>4054</v>
      </c>
      <c r="E5906" s="125">
        <v>3400</v>
      </c>
      <c r="F5906" s="178">
        <v>612</v>
      </c>
      <c r="G5906" s="178" t="s">
        <v>129</v>
      </c>
      <c r="H5906">
        <v>537</v>
      </c>
      <c r="I5906" s="178" t="s">
        <v>1546</v>
      </c>
      <c r="J5906" s="320">
        <v>279.95385416666977</v>
      </c>
      <c r="K5906" s="178" t="s">
        <v>5167</v>
      </c>
      <c r="L5906" s="125" t="s">
        <v>110</v>
      </c>
      <c r="M5906">
        <v>761</v>
      </c>
      <c r="N5906" s="182">
        <v>167</v>
      </c>
      <c r="O5906">
        <v>3690</v>
      </c>
      <c r="P5906" s="132" t="s">
        <v>77</v>
      </c>
      <c r="Q5906" s="176">
        <v>1250</v>
      </c>
      <c r="R5906" s="176">
        <v>200</v>
      </c>
      <c r="S5906" s="176"/>
      <c r="T5906" s="190">
        <v>133.33000000000001</v>
      </c>
      <c r="U5906" s="191">
        <v>125</v>
      </c>
      <c r="V5906" s="191">
        <v>1191.67</v>
      </c>
      <c r="W5906">
        <v>309</v>
      </c>
      <c r="X5906" s="186" t="s">
        <v>1429</v>
      </c>
      <c r="Y5906" s="187" t="s">
        <v>55</v>
      </c>
      <c r="Z5906" s="311">
        <v>282</v>
      </c>
      <c r="AB5906" t="str">
        <f>IF(Table1[[#This Row],[TIPO2]]="costo", VLOOKUP(Table1[[#This Row],[PARTIDA PRESUPUESTAL]],'Cost Report'!G:G,1,0),"Balance")</f>
        <v>3145-031</v>
      </c>
      <c r="AD5906" s="159">
        <f>+Table1[[#This Row],[SUBTOTAL]]+Table1[[#This Row],[IVA]]-Table1[[#This Row],[RET IVA]]-Table1[[#This Row],[RET ISR]]-Table1[[#This Row],[TOTAL]]</f>
        <v>0</v>
      </c>
      <c r="AK5906" s="306">
        <f>IF(ISNUMBER(Table1[[#This Row],[FECHA DE RECIBIDO]]), Table1[[#This Row],[FECHA DE RECIBIDO]]-DATE(2023,8,30), "")</f>
        <v>-44888.04614583333</v>
      </c>
    </row>
    <row r="5907" spans="1:37" ht="16.05" customHeight="1">
      <c r="A5907" s="172" t="s">
        <v>5137</v>
      </c>
      <c r="B5907" s="178">
        <v>2103</v>
      </c>
      <c r="C5907" s="179" t="s">
        <v>2939</v>
      </c>
      <c r="D5907">
        <v>4055</v>
      </c>
      <c r="E5907" s="125">
        <v>45133</v>
      </c>
      <c r="F5907" s="178">
        <v>626</v>
      </c>
      <c r="G5907" s="178" t="s">
        <v>109</v>
      </c>
      <c r="H5907">
        <v>546</v>
      </c>
      <c r="I5907" s="178" t="s">
        <v>1546</v>
      </c>
      <c r="J5907" s="320">
        <v>281.43379629629635</v>
      </c>
      <c r="K5907" s="178" t="s">
        <v>5167</v>
      </c>
      <c r="L5907" s="125" t="s">
        <v>3306</v>
      </c>
      <c r="M5907">
        <v>772</v>
      </c>
      <c r="N5907" s="182">
        <v>1</v>
      </c>
      <c r="O5907">
        <v>3873</v>
      </c>
      <c r="P5907" s="132" t="s">
        <v>77</v>
      </c>
      <c r="Q5907" s="176">
        <v>4800</v>
      </c>
      <c r="R5907" s="176">
        <v>768</v>
      </c>
      <c r="S5907" s="176"/>
      <c r="T5907" s="190">
        <v>0</v>
      </c>
      <c r="U5907" s="191">
        <v>60</v>
      </c>
      <c r="V5907" s="191">
        <v>5508</v>
      </c>
      <c r="W5907">
        <v>318</v>
      </c>
      <c r="X5907" s="186" t="s">
        <v>111</v>
      </c>
      <c r="Y5907" s="187" t="s">
        <v>55</v>
      </c>
      <c r="Z5907" s="311">
        <v>282</v>
      </c>
      <c r="AB5907" t="str">
        <f>IF(Table1[[#This Row],[TIPO2]]="costo", VLOOKUP(Table1[[#This Row],[PARTIDA PRESUPUESTAL]],'Cost Report'!G:G,1,0),"Balance")</f>
        <v>3716-003</v>
      </c>
      <c r="AD5907" s="159">
        <f>+Table1[[#This Row],[SUBTOTAL]]+Table1[[#This Row],[IVA]]-Table1[[#This Row],[RET IVA]]-Table1[[#This Row],[RET ISR]]-Table1[[#This Row],[TOTAL]]</f>
        <v>0</v>
      </c>
      <c r="AK5907" s="306">
        <f>IF(ISNUMBER(Table1[[#This Row],[FECHA DE RECIBIDO]]), Table1[[#This Row],[FECHA DE RECIBIDO]]-DATE(2023,8,30), "")</f>
        <v>-44886.566203703704</v>
      </c>
    </row>
    <row r="5908" spans="1:37" ht="16.05" customHeight="1">
      <c r="A5908" s="172"/>
      <c r="B5908" s="178"/>
      <c r="C5908" s="179" t="s">
        <v>1722</v>
      </c>
      <c r="D5908">
        <v>4055</v>
      </c>
      <c r="E5908" s="125">
        <v>45133</v>
      </c>
      <c r="F5908" s="178">
        <v>626</v>
      </c>
      <c r="G5908" s="178" t="s">
        <v>109</v>
      </c>
      <c r="H5908">
        <v>546</v>
      </c>
      <c r="I5908" s="178" t="s">
        <v>1546</v>
      </c>
      <c r="J5908" s="320">
        <v>281.43379629629635</v>
      </c>
      <c r="K5908" s="178" t="s">
        <v>5167</v>
      </c>
      <c r="L5908" s="125" t="s">
        <v>3306</v>
      </c>
      <c r="M5908">
        <v>772</v>
      </c>
      <c r="N5908" s="182">
        <v>1</v>
      </c>
      <c r="O5908">
        <v>3873</v>
      </c>
      <c r="P5908" s="132" t="s">
        <v>77</v>
      </c>
      <c r="Q5908" s="176">
        <v>9600</v>
      </c>
      <c r="R5908" s="176">
        <v>1536</v>
      </c>
      <c r="S5908" s="176"/>
      <c r="T5908" s="190">
        <v>0</v>
      </c>
      <c r="U5908" s="191">
        <v>120</v>
      </c>
      <c r="V5908" s="191">
        <v>11016</v>
      </c>
      <c r="W5908">
        <v>318</v>
      </c>
      <c r="X5908" s="186" t="s">
        <v>111</v>
      </c>
      <c r="Y5908" s="187" t="s">
        <v>55</v>
      </c>
      <c r="Z5908" s="311">
        <v>282</v>
      </c>
      <c r="AB5908" t="str">
        <f>IF(Table1[[#This Row],[TIPO2]]="costo", VLOOKUP(Table1[[#This Row],[PARTIDA PRESUPUESTAL]],'Cost Report'!G:G,1,0),"Balance")</f>
        <v>1641-004</v>
      </c>
      <c r="AD5908" s="159">
        <f>+Table1[[#This Row],[SUBTOTAL]]+Table1[[#This Row],[IVA]]-Table1[[#This Row],[RET IVA]]-Table1[[#This Row],[RET ISR]]-Table1[[#This Row],[TOTAL]]</f>
        <v>0</v>
      </c>
      <c r="AK5908" s="306">
        <f>IF(ISNUMBER(Table1[[#This Row],[FECHA DE RECIBIDO]]), Table1[[#This Row],[FECHA DE RECIBIDO]]-DATE(2023,8,30), "")</f>
        <v>-44886.566203703704</v>
      </c>
    </row>
    <row r="5909" spans="1:37" ht="16.05" customHeight="1">
      <c r="A5909" s="172"/>
      <c r="B5909" s="178"/>
      <c r="C5909" s="179" t="s">
        <v>2846</v>
      </c>
      <c r="D5909">
        <v>4055</v>
      </c>
      <c r="E5909" s="125">
        <v>45133</v>
      </c>
      <c r="F5909" s="178">
        <v>626</v>
      </c>
      <c r="G5909" s="178" t="s">
        <v>109</v>
      </c>
      <c r="H5909">
        <v>546</v>
      </c>
      <c r="I5909" s="178" t="s">
        <v>1546</v>
      </c>
      <c r="J5909" s="320">
        <v>281.43379629629635</v>
      </c>
      <c r="K5909" s="178" t="s">
        <v>5167</v>
      </c>
      <c r="L5909" s="125" t="s">
        <v>3306</v>
      </c>
      <c r="M5909">
        <v>772</v>
      </c>
      <c r="N5909" s="182">
        <v>1</v>
      </c>
      <c r="O5909">
        <v>3873</v>
      </c>
      <c r="P5909" s="132" t="s">
        <v>77</v>
      </c>
      <c r="Q5909" s="176">
        <v>7500</v>
      </c>
      <c r="R5909" s="176">
        <v>1200</v>
      </c>
      <c r="S5909" s="176"/>
      <c r="T5909" s="190">
        <v>0</v>
      </c>
      <c r="U5909" s="191">
        <v>93.75</v>
      </c>
      <c r="V5909" s="191">
        <v>8606.25</v>
      </c>
      <c r="W5909">
        <v>318</v>
      </c>
      <c r="X5909" s="186" t="s">
        <v>111</v>
      </c>
      <c r="Y5909" s="187" t="s">
        <v>55</v>
      </c>
      <c r="Z5909" s="311">
        <v>282</v>
      </c>
      <c r="AB5909" t="str">
        <f>IF(Table1[[#This Row],[TIPO2]]="costo", VLOOKUP(Table1[[#This Row],[PARTIDA PRESUPUESTAL]],'Cost Report'!G:G,1,0),"Balance")</f>
        <v>3480-003</v>
      </c>
      <c r="AD5909" s="159">
        <f>+Table1[[#This Row],[SUBTOTAL]]+Table1[[#This Row],[IVA]]-Table1[[#This Row],[RET IVA]]-Table1[[#This Row],[RET ISR]]-Table1[[#This Row],[TOTAL]]</f>
        <v>0</v>
      </c>
      <c r="AK5909" s="306">
        <f>IF(ISNUMBER(Table1[[#This Row],[FECHA DE RECIBIDO]]), Table1[[#This Row],[FECHA DE RECIBIDO]]-DATE(2023,8,30), "")</f>
        <v>-44886.566203703704</v>
      </c>
    </row>
    <row r="5910" spans="1:37" ht="16.05" customHeight="1">
      <c r="A5910" s="172"/>
      <c r="B5910" s="178"/>
      <c r="C5910" s="179" t="s">
        <v>2852</v>
      </c>
      <c r="D5910">
        <v>4055</v>
      </c>
      <c r="E5910" s="125">
        <v>45133</v>
      </c>
      <c r="F5910" s="178">
        <v>626</v>
      </c>
      <c r="G5910" s="178" t="s">
        <v>109</v>
      </c>
      <c r="H5910">
        <v>546</v>
      </c>
      <c r="I5910" s="178" t="s">
        <v>1546</v>
      </c>
      <c r="J5910" s="320">
        <v>281.43379629629635</v>
      </c>
      <c r="K5910" s="178" t="s">
        <v>5167</v>
      </c>
      <c r="L5910" s="125" t="s">
        <v>3306</v>
      </c>
      <c r="M5910">
        <v>772</v>
      </c>
      <c r="N5910" s="182">
        <v>1</v>
      </c>
      <c r="O5910">
        <v>3873</v>
      </c>
      <c r="P5910" s="132" t="s">
        <v>77</v>
      </c>
      <c r="Q5910" s="176">
        <v>75100</v>
      </c>
      <c r="R5910" s="176">
        <v>12016</v>
      </c>
      <c r="S5910" s="176"/>
      <c r="T5910" s="190">
        <v>0</v>
      </c>
      <c r="U5910" s="191">
        <v>938.75</v>
      </c>
      <c r="V5910" s="191">
        <v>86177.25</v>
      </c>
      <c r="W5910">
        <v>318</v>
      </c>
      <c r="X5910" s="186" t="s">
        <v>111</v>
      </c>
      <c r="Y5910" s="187" t="s">
        <v>55</v>
      </c>
      <c r="Z5910" s="311">
        <v>282</v>
      </c>
      <c r="AB5910" t="str">
        <f>IF(Table1[[#This Row],[TIPO2]]="costo", VLOOKUP(Table1[[#This Row],[PARTIDA PRESUPUESTAL]],'Cost Report'!G:G,1,0),"Balance")</f>
        <v>3498-003</v>
      </c>
      <c r="AD5910" s="159">
        <f>+Table1[[#This Row],[SUBTOTAL]]+Table1[[#This Row],[IVA]]-Table1[[#This Row],[RET IVA]]-Table1[[#This Row],[RET ISR]]-Table1[[#This Row],[TOTAL]]</f>
        <v>0</v>
      </c>
      <c r="AK5910" s="306">
        <f>IF(ISNUMBER(Table1[[#This Row],[FECHA DE RECIBIDO]]), Table1[[#This Row],[FECHA DE RECIBIDO]]-DATE(2023,8,30), "")</f>
        <v>-44886.566203703704</v>
      </c>
    </row>
    <row r="5911" spans="1:37" ht="16.05" customHeight="1">
      <c r="A5911" s="172" t="s">
        <v>5138</v>
      </c>
      <c r="B5911" s="178">
        <v>2104</v>
      </c>
      <c r="C5911" s="179" t="s">
        <v>2852</v>
      </c>
      <c r="D5911">
        <v>4056</v>
      </c>
      <c r="E5911" s="125">
        <v>45070</v>
      </c>
      <c r="F5911" s="178">
        <v>626</v>
      </c>
      <c r="G5911" s="178" t="s">
        <v>109</v>
      </c>
      <c r="H5911">
        <v>969</v>
      </c>
      <c r="I5911" s="178" t="s">
        <v>1546</v>
      </c>
      <c r="J5911" s="320">
        <v>281.57896990740846</v>
      </c>
      <c r="K5911" s="178" t="s">
        <v>5167</v>
      </c>
      <c r="L5911" s="125" t="s">
        <v>3306</v>
      </c>
      <c r="M5911">
        <v>1348</v>
      </c>
      <c r="N5911" s="182">
        <v>1</v>
      </c>
      <c r="O5911">
        <v>3874</v>
      </c>
      <c r="P5911" s="132" t="s">
        <v>77</v>
      </c>
      <c r="Q5911" s="176">
        <v>17000</v>
      </c>
      <c r="R5911" s="176">
        <v>2720</v>
      </c>
      <c r="S5911" s="176"/>
      <c r="T5911" s="190">
        <v>0</v>
      </c>
      <c r="U5911" s="191">
        <v>212.5</v>
      </c>
      <c r="V5911" s="191">
        <v>19507.5</v>
      </c>
      <c r="W5911">
        <v>478</v>
      </c>
      <c r="X5911" s="186" t="s">
        <v>105</v>
      </c>
      <c r="Y5911" s="187" t="s">
        <v>55</v>
      </c>
      <c r="Z5911" s="311">
        <v>282</v>
      </c>
      <c r="AB5911" t="str">
        <f>IF(Table1[[#This Row],[TIPO2]]="costo", VLOOKUP(Table1[[#This Row],[PARTIDA PRESUPUESTAL]],'Cost Report'!G:G,1,0),"Balance")</f>
        <v>3498-003</v>
      </c>
      <c r="AD5911" s="159">
        <f>+Table1[[#This Row],[SUBTOTAL]]+Table1[[#This Row],[IVA]]-Table1[[#This Row],[RET IVA]]-Table1[[#This Row],[RET ISR]]-Table1[[#This Row],[TOTAL]]</f>
        <v>0</v>
      </c>
      <c r="AK5911" s="306">
        <f>IF(ISNUMBER(Table1[[#This Row],[FECHA DE RECIBIDO]]), Table1[[#This Row],[FECHA DE RECIBIDO]]-DATE(2023,8,30), "")</f>
        <v>-44886.421030092592</v>
      </c>
    </row>
    <row r="5912" spans="1:37" ht="16.05" customHeight="1">
      <c r="A5912" s="172" t="s">
        <v>5139</v>
      </c>
      <c r="B5912" s="178">
        <v>2105</v>
      </c>
      <c r="C5912" s="179" t="s">
        <v>2747</v>
      </c>
      <c r="D5912">
        <v>4057</v>
      </c>
      <c r="E5912" s="125">
        <v>45500</v>
      </c>
      <c r="F5912" s="178">
        <v>612</v>
      </c>
      <c r="G5912" s="178" t="s">
        <v>129</v>
      </c>
      <c r="H5912">
        <v>377</v>
      </c>
      <c r="I5912" s="178" t="s">
        <v>1546</v>
      </c>
      <c r="J5912" s="320">
        <v>278.73517361110862</v>
      </c>
      <c r="K5912" s="178" t="s">
        <v>5167</v>
      </c>
      <c r="L5912" s="125" t="s">
        <v>3306</v>
      </c>
      <c r="M5912">
        <v>497</v>
      </c>
      <c r="N5912" s="182">
        <v>1</v>
      </c>
      <c r="O5912">
        <v>3875</v>
      </c>
      <c r="P5912" s="132" t="s">
        <v>77</v>
      </c>
      <c r="Q5912" s="176">
        <v>27050</v>
      </c>
      <c r="R5912" s="176">
        <v>4328</v>
      </c>
      <c r="S5912" s="176"/>
      <c r="T5912" s="190">
        <v>2885.3423499999999</v>
      </c>
      <c r="U5912" s="191">
        <v>2705</v>
      </c>
      <c r="V5912" s="191">
        <v>25787.657650000001</v>
      </c>
      <c r="W5912">
        <v>216</v>
      </c>
      <c r="X5912" s="186" t="s">
        <v>2041</v>
      </c>
      <c r="Y5912" s="187" t="s">
        <v>55</v>
      </c>
      <c r="Z5912" s="311">
        <v>282</v>
      </c>
      <c r="AB5912" t="str">
        <f>IF(Table1[[#This Row],[TIPO2]]="costo", VLOOKUP(Table1[[#This Row],[PARTIDA PRESUPUESTAL]],'Cost Report'!G:G,1,0),"Balance")</f>
        <v>3298-003</v>
      </c>
      <c r="AD5912" s="159">
        <f>+Table1[[#This Row],[SUBTOTAL]]+Table1[[#This Row],[IVA]]-Table1[[#This Row],[RET IVA]]-Table1[[#This Row],[RET ISR]]-Table1[[#This Row],[TOTAL]]</f>
        <v>0</v>
      </c>
      <c r="AK5912" s="306">
        <f>IF(ISNUMBER(Table1[[#This Row],[FECHA DE RECIBIDO]]), Table1[[#This Row],[FECHA DE RECIBIDO]]-DATE(2023,8,30), "")</f>
        <v>-44889.264826388891</v>
      </c>
    </row>
    <row r="5913" spans="1:37" ht="16.05" customHeight="1">
      <c r="A5913" s="172" t="s">
        <v>5140</v>
      </c>
      <c r="B5913" s="178">
        <v>2106</v>
      </c>
      <c r="C5913" s="179" t="s">
        <v>2829</v>
      </c>
      <c r="D5913">
        <v>4058</v>
      </c>
      <c r="E5913" s="125">
        <v>44100</v>
      </c>
      <c r="F5913" s="178">
        <v>606</v>
      </c>
      <c r="G5913" s="178" t="s">
        <v>3297</v>
      </c>
      <c r="H5913">
        <v>970</v>
      </c>
      <c r="I5913" s="178" t="s">
        <v>1546</v>
      </c>
      <c r="J5913" s="320">
        <v>278.67752314815152</v>
      </c>
      <c r="K5913" s="178" t="s">
        <v>5167</v>
      </c>
      <c r="L5913" s="125" t="s">
        <v>3306</v>
      </c>
      <c r="M5913">
        <v>1349</v>
      </c>
      <c r="N5913" s="182">
        <v>24</v>
      </c>
      <c r="O5913">
        <v>3876</v>
      </c>
      <c r="P5913" s="132" t="s">
        <v>77</v>
      </c>
      <c r="Q5913" s="176">
        <v>9000</v>
      </c>
      <c r="R5913" s="176">
        <v>1440</v>
      </c>
      <c r="S5913" s="176"/>
      <c r="T5913" s="190">
        <v>960.00299999999993</v>
      </c>
      <c r="U5913" s="191">
        <v>900</v>
      </c>
      <c r="V5913" s="191">
        <v>8579.9969999999994</v>
      </c>
      <c r="W5913">
        <v>223</v>
      </c>
      <c r="X5913" s="186" t="s">
        <v>3120</v>
      </c>
      <c r="Y5913" s="187" t="s">
        <v>55</v>
      </c>
      <c r="Z5913" s="311">
        <v>282</v>
      </c>
      <c r="AB5913" t="str">
        <f>IF(Table1[[#This Row],[TIPO2]]="costo", VLOOKUP(Table1[[#This Row],[PARTIDA PRESUPUESTAL]],'Cost Report'!G:G,1,0),"Balance")</f>
        <v>3412-138</v>
      </c>
      <c r="AD5913" s="159">
        <f>+Table1[[#This Row],[SUBTOTAL]]+Table1[[#This Row],[IVA]]-Table1[[#This Row],[RET IVA]]-Table1[[#This Row],[RET ISR]]-Table1[[#This Row],[TOTAL]]</f>
        <v>0</v>
      </c>
      <c r="AK5913" s="306">
        <f>IF(ISNUMBER(Table1[[#This Row],[FECHA DE RECIBIDO]]), Table1[[#This Row],[FECHA DE RECIBIDO]]-DATE(2023,8,30), "")</f>
        <v>-44889.322476851848</v>
      </c>
    </row>
    <row r="5914" spans="1:37" ht="16.05" customHeight="1">
      <c r="A5914" s="172" t="s">
        <v>5141</v>
      </c>
      <c r="B5914" s="178">
        <v>2107</v>
      </c>
      <c r="C5914" s="179" t="s">
        <v>2852</v>
      </c>
      <c r="D5914">
        <v>4059</v>
      </c>
      <c r="E5914" s="125">
        <v>45116</v>
      </c>
      <c r="F5914" s="178">
        <v>601</v>
      </c>
      <c r="G5914" s="178" t="s">
        <v>134</v>
      </c>
      <c r="H5914">
        <v>383</v>
      </c>
      <c r="I5914" s="178" t="s">
        <v>1546</v>
      </c>
      <c r="J5914" s="320">
        <v>280.5582523148114</v>
      </c>
      <c r="K5914" s="178" t="s">
        <v>5167</v>
      </c>
      <c r="L5914" s="125" t="s">
        <v>3306</v>
      </c>
      <c r="M5914">
        <v>1275</v>
      </c>
      <c r="N5914" s="182">
        <v>24</v>
      </c>
      <c r="O5914">
        <v>3877</v>
      </c>
      <c r="P5914" s="132" t="s">
        <v>77</v>
      </c>
      <c r="Q5914" s="176">
        <v>2480</v>
      </c>
      <c r="R5914" s="176">
        <v>396.8</v>
      </c>
      <c r="S5914" s="176"/>
      <c r="T5914" s="190">
        <v>0</v>
      </c>
      <c r="U5914" s="191">
        <v>0</v>
      </c>
      <c r="V5914" s="191">
        <v>2876.8</v>
      </c>
      <c r="W5914">
        <v>223</v>
      </c>
      <c r="X5914" s="186" t="s">
        <v>3120</v>
      </c>
      <c r="Y5914" s="187" t="s">
        <v>55</v>
      </c>
      <c r="Z5914" s="311">
        <v>282</v>
      </c>
      <c r="AB5914" t="str">
        <f>IF(Table1[[#This Row],[TIPO2]]="costo", VLOOKUP(Table1[[#This Row],[PARTIDA PRESUPUESTAL]],'Cost Report'!G:G,1,0),"Balance")</f>
        <v>3498-003</v>
      </c>
      <c r="AD5914" s="159">
        <f>+Table1[[#This Row],[SUBTOTAL]]+Table1[[#This Row],[IVA]]-Table1[[#This Row],[RET IVA]]-Table1[[#This Row],[RET ISR]]-Table1[[#This Row],[TOTAL]]</f>
        <v>0</v>
      </c>
      <c r="AK5914" s="306">
        <f>IF(ISNUMBER(Table1[[#This Row],[FECHA DE RECIBIDO]]), Table1[[#This Row],[FECHA DE RECIBIDO]]-DATE(2023,8,30), "")</f>
        <v>-44887.441747685189</v>
      </c>
    </row>
    <row r="5915" spans="1:37" ht="16.05" customHeight="1">
      <c r="A5915" s="172" t="s">
        <v>5142</v>
      </c>
      <c r="B5915" s="178">
        <v>2108</v>
      </c>
      <c r="C5915" s="179" t="s">
        <v>2852</v>
      </c>
      <c r="D5915">
        <v>4060</v>
      </c>
      <c r="E5915" s="125">
        <v>45110</v>
      </c>
      <c r="F5915" s="178">
        <v>601</v>
      </c>
      <c r="G5915" s="178" t="s">
        <v>134</v>
      </c>
      <c r="H5915">
        <v>971</v>
      </c>
      <c r="I5915" s="178" t="s">
        <v>1546</v>
      </c>
      <c r="J5915" s="320">
        <v>280.72003472222423</v>
      </c>
      <c r="K5915" s="178" t="s">
        <v>5167</v>
      </c>
      <c r="L5915" s="125" t="s">
        <v>3306</v>
      </c>
      <c r="M5915">
        <v>1350</v>
      </c>
      <c r="N5915" s="182">
        <v>24</v>
      </c>
      <c r="O5915">
        <v>3878</v>
      </c>
      <c r="P5915" s="132" t="s">
        <v>77</v>
      </c>
      <c r="Q5915" s="176">
        <v>4300</v>
      </c>
      <c r="R5915" s="176">
        <v>688</v>
      </c>
      <c r="S5915" s="176"/>
      <c r="T5915" s="190">
        <v>0</v>
      </c>
      <c r="U5915" s="191">
        <v>0</v>
      </c>
      <c r="V5915" s="191">
        <v>4988</v>
      </c>
      <c r="W5915">
        <v>479</v>
      </c>
      <c r="X5915" s="186" t="s">
        <v>195</v>
      </c>
      <c r="Y5915" s="187" t="s">
        <v>55</v>
      </c>
      <c r="Z5915" s="311">
        <v>282</v>
      </c>
      <c r="AB5915" t="str">
        <f>IF(Table1[[#This Row],[TIPO2]]="costo", VLOOKUP(Table1[[#This Row],[PARTIDA PRESUPUESTAL]],'Cost Report'!G:G,1,0),"Balance")</f>
        <v>3498-003</v>
      </c>
      <c r="AD5915" s="159">
        <f>+Table1[[#This Row],[SUBTOTAL]]+Table1[[#This Row],[IVA]]-Table1[[#This Row],[RET IVA]]-Table1[[#This Row],[RET ISR]]-Table1[[#This Row],[TOTAL]]</f>
        <v>0</v>
      </c>
      <c r="AK5915" s="306">
        <f>IF(ISNUMBER(Table1[[#This Row],[FECHA DE RECIBIDO]]), Table1[[#This Row],[FECHA DE RECIBIDO]]-DATE(2023,8,30), "")</f>
        <v>-44887.279965277776</v>
      </c>
    </row>
    <row r="5916" spans="1:37" ht="16.05" customHeight="1">
      <c r="A5916" s="172" t="s">
        <v>5122</v>
      </c>
      <c r="B5916" s="178">
        <v>2109</v>
      </c>
      <c r="C5916" s="179" t="s">
        <v>1517</v>
      </c>
      <c r="D5916">
        <v>4061</v>
      </c>
      <c r="E5916" s="125" t="s">
        <v>1999</v>
      </c>
      <c r="F5916" s="178">
        <v>601</v>
      </c>
      <c r="G5916" s="178" t="s">
        <v>134</v>
      </c>
      <c r="H5916">
        <v>97</v>
      </c>
      <c r="I5916" s="178" t="s">
        <v>1546</v>
      </c>
      <c r="J5916" s="320" t="s">
        <v>214</v>
      </c>
      <c r="K5916" s="178" t="s">
        <v>5167</v>
      </c>
      <c r="L5916" s="125" t="s">
        <v>1579</v>
      </c>
      <c r="M5916">
        <v>132</v>
      </c>
      <c r="N5916" s="182">
        <v>17</v>
      </c>
      <c r="O5916">
        <v>3879</v>
      </c>
      <c r="P5916" s="132" t="s">
        <v>77</v>
      </c>
      <c r="Q5916" s="176">
        <v>3836.22</v>
      </c>
      <c r="R5916" s="176">
        <v>613.78</v>
      </c>
      <c r="S5916" s="176"/>
      <c r="T5916" s="190"/>
      <c r="U5916" s="191"/>
      <c r="V5916" s="191">
        <v>4450</v>
      </c>
      <c r="W5916">
        <v>103</v>
      </c>
      <c r="X5916" s="186" t="s">
        <v>1644</v>
      </c>
      <c r="Y5916" s="187" t="s">
        <v>55</v>
      </c>
      <c r="Z5916" s="311">
        <v>267</v>
      </c>
      <c r="AB5916" t="str">
        <f>IF(Table1[[#This Row],[TIPO2]]="costo", VLOOKUP(Table1[[#This Row],[PARTIDA PRESUPUESTAL]],'Cost Report'!G:G,1,0),"Balance")</f>
        <v>2494-027</v>
      </c>
      <c r="AD5916" s="159">
        <f>+Table1[[#This Row],[SUBTOTAL]]+Table1[[#This Row],[IVA]]-Table1[[#This Row],[RET IVA]]-Table1[[#This Row],[RET ISR]]-Table1[[#This Row],[TOTAL]]</f>
        <v>0</v>
      </c>
      <c r="AG5916" t="s">
        <v>3420</v>
      </c>
      <c r="AK5916" s="306" t="str">
        <f>IF(ISNUMBER(Table1[[#This Row],[FECHA DE RECIBIDO]]), Table1[[#This Row],[FECHA DE RECIBIDO]]-DATE(2023,8,30), "")</f>
        <v/>
      </c>
    </row>
    <row r="5917" spans="1:37" ht="16.05" customHeight="1">
      <c r="A5917" s="172" t="s">
        <v>5122</v>
      </c>
      <c r="B5917" s="178">
        <v>2109</v>
      </c>
      <c r="C5917" s="179" t="s">
        <v>1517</v>
      </c>
      <c r="D5917">
        <v>4062</v>
      </c>
      <c r="E5917" s="125" t="s">
        <v>1999</v>
      </c>
      <c r="F5917" s="178">
        <v>601</v>
      </c>
      <c r="G5917" s="178" t="s">
        <v>134</v>
      </c>
      <c r="H5917">
        <v>97</v>
      </c>
      <c r="I5917" s="178" t="s">
        <v>1546</v>
      </c>
      <c r="J5917" s="320" t="s">
        <v>214</v>
      </c>
      <c r="K5917" s="178" t="s">
        <v>5167</v>
      </c>
      <c r="L5917" s="125" t="s">
        <v>1579</v>
      </c>
      <c r="M5917">
        <v>132</v>
      </c>
      <c r="N5917" s="182">
        <v>17</v>
      </c>
      <c r="O5917">
        <v>3879</v>
      </c>
      <c r="P5917" s="132" t="s">
        <v>77</v>
      </c>
      <c r="Q5917" s="176">
        <v>43.1</v>
      </c>
      <c r="R5917" s="176">
        <v>6.9</v>
      </c>
      <c r="S5917" s="176"/>
      <c r="T5917" s="190"/>
      <c r="U5917" s="191"/>
      <c r="V5917" s="191">
        <v>50</v>
      </c>
      <c r="W5917">
        <v>103</v>
      </c>
      <c r="X5917" s="186" t="s">
        <v>1644</v>
      </c>
      <c r="Y5917" s="187" t="s">
        <v>55</v>
      </c>
      <c r="Z5917" s="311">
        <v>267</v>
      </c>
      <c r="AB5917" t="str">
        <f>IF(Table1[[#This Row],[TIPO2]]="costo", VLOOKUP(Table1[[#This Row],[PARTIDA PRESUPUESTAL]],'Cost Report'!G:G,1,0),"Balance")</f>
        <v>2494-027</v>
      </c>
      <c r="AD5917" s="159">
        <f>+Table1[[#This Row],[SUBTOTAL]]+Table1[[#This Row],[IVA]]-Table1[[#This Row],[RET IVA]]-Table1[[#This Row],[RET ISR]]-Table1[[#This Row],[TOTAL]]</f>
        <v>0</v>
      </c>
      <c r="AG5917" t="s">
        <v>3420</v>
      </c>
      <c r="AK5917" s="306" t="str">
        <f>IF(ISNUMBER(Table1[[#This Row],[FECHA DE RECIBIDO]]), Table1[[#This Row],[FECHA DE RECIBIDO]]-DATE(2023,8,30), "")</f>
        <v/>
      </c>
    </row>
    <row r="5918" spans="1:37" ht="16.05" customHeight="1">
      <c r="A5918" s="172" t="s">
        <v>5122</v>
      </c>
      <c r="B5918" s="178">
        <v>2109</v>
      </c>
      <c r="C5918" s="179" t="s">
        <v>610</v>
      </c>
      <c r="D5918">
        <v>4063</v>
      </c>
      <c r="E5918" s="125" t="s">
        <v>5143</v>
      </c>
      <c r="F5918" s="178">
        <v>612</v>
      </c>
      <c r="G5918" s="178" t="s">
        <v>129</v>
      </c>
      <c r="H5918">
        <v>972</v>
      </c>
      <c r="I5918" s="178" t="s">
        <v>1546</v>
      </c>
      <c r="J5918" s="320" t="s">
        <v>214</v>
      </c>
      <c r="K5918" s="178" t="s">
        <v>5167</v>
      </c>
      <c r="L5918" s="125" t="s">
        <v>1579</v>
      </c>
      <c r="M5918">
        <v>1351</v>
      </c>
      <c r="N5918" s="182">
        <v>17</v>
      </c>
      <c r="O5918">
        <v>3880</v>
      </c>
      <c r="P5918" s="132" t="s">
        <v>77</v>
      </c>
      <c r="Q5918" s="176">
        <v>319.39999999999998</v>
      </c>
      <c r="R5918" s="176">
        <v>51.1</v>
      </c>
      <c r="S5918" s="176"/>
      <c r="T5918" s="190"/>
      <c r="U5918" s="191"/>
      <c r="V5918" s="191">
        <v>370.5</v>
      </c>
      <c r="W5918">
        <v>103</v>
      </c>
      <c r="X5918" s="186" t="s">
        <v>1644</v>
      </c>
      <c r="Y5918" s="187" t="s">
        <v>55</v>
      </c>
      <c r="Z5918" s="311">
        <v>273</v>
      </c>
      <c r="AB5918" t="str">
        <f>IF(Table1[[#This Row],[TIPO2]]="costo", VLOOKUP(Table1[[#This Row],[PARTIDA PRESUPUESTAL]],'Cost Report'!G:G,1,0),"Balance")</f>
        <v>2485-003</v>
      </c>
      <c r="AD5918" s="159">
        <f>+Table1[[#This Row],[SUBTOTAL]]+Table1[[#This Row],[IVA]]-Table1[[#This Row],[RET IVA]]-Table1[[#This Row],[RET ISR]]-Table1[[#This Row],[TOTAL]]</f>
        <v>0</v>
      </c>
      <c r="AG5918" t="s">
        <v>3420</v>
      </c>
      <c r="AK5918" s="306" t="str">
        <f>IF(ISNUMBER(Table1[[#This Row],[FECHA DE RECIBIDO]]), Table1[[#This Row],[FECHA DE RECIBIDO]]-DATE(2023,8,30), "")</f>
        <v/>
      </c>
    </row>
    <row r="5919" spans="1:37" ht="16.05" customHeight="1">
      <c r="A5919" s="172" t="s">
        <v>5122</v>
      </c>
      <c r="B5919" s="178">
        <v>2109</v>
      </c>
      <c r="C5919" s="179" t="s">
        <v>2556</v>
      </c>
      <c r="D5919">
        <v>4064</v>
      </c>
      <c r="E5919" s="125" t="s">
        <v>3671</v>
      </c>
      <c r="F5919" s="178">
        <v>601</v>
      </c>
      <c r="G5919" s="178" t="s">
        <v>134</v>
      </c>
      <c r="H5919">
        <v>973</v>
      </c>
      <c r="I5919" s="178" t="s">
        <v>1546</v>
      </c>
      <c r="J5919" s="320" t="s">
        <v>214</v>
      </c>
      <c r="K5919" s="178" t="s">
        <v>5167</v>
      </c>
      <c r="L5919" s="125" t="s">
        <v>1579</v>
      </c>
      <c r="M5919">
        <v>1352</v>
      </c>
      <c r="N5919" s="182">
        <v>17</v>
      </c>
      <c r="O5919">
        <v>3881</v>
      </c>
      <c r="P5919" s="132" t="s">
        <v>77</v>
      </c>
      <c r="Q5919" s="176">
        <v>2893.97</v>
      </c>
      <c r="R5919" s="176">
        <v>463.03</v>
      </c>
      <c r="S5919" s="176"/>
      <c r="T5919" s="190"/>
      <c r="U5919" s="191"/>
      <c r="V5919" s="191">
        <v>3357</v>
      </c>
      <c r="W5919">
        <v>103</v>
      </c>
      <c r="X5919" s="186" t="s">
        <v>1644</v>
      </c>
      <c r="Y5919" s="187" t="s">
        <v>55</v>
      </c>
      <c r="Z5919" s="311">
        <v>274</v>
      </c>
      <c r="AB5919" t="str">
        <f>IF(Table1[[#This Row],[TIPO2]]="costo", VLOOKUP(Table1[[#This Row],[PARTIDA PRESUPUESTAL]],'Cost Report'!G:G,1,0),"Balance")</f>
        <v>2498-003</v>
      </c>
      <c r="AD5919" s="159">
        <f>+Table1[[#This Row],[SUBTOTAL]]+Table1[[#This Row],[IVA]]-Table1[[#This Row],[RET IVA]]-Table1[[#This Row],[RET ISR]]-Table1[[#This Row],[TOTAL]]</f>
        <v>0</v>
      </c>
      <c r="AG5919" t="s">
        <v>3420</v>
      </c>
      <c r="AK5919" s="306" t="str">
        <f>IF(ISNUMBER(Table1[[#This Row],[FECHA DE RECIBIDO]]), Table1[[#This Row],[FECHA DE RECIBIDO]]-DATE(2023,8,30), "")</f>
        <v/>
      </c>
    </row>
    <row r="5920" spans="1:37" ht="16.05" customHeight="1">
      <c r="A5920" s="172" t="s">
        <v>5122</v>
      </c>
      <c r="B5920" s="178">
        <v>2109</v>
      </c>
      <c r="C5920" s="179" t="s">
        <v>2556</v>
      </c>
      <c r="D5920">
        <v>4065</v>
      </c>
      <c r="E5920" s="125" t="s">
        <v>3675</v>
      </c>
      <c r="F5920" s="178">
        <v>626</v>
      </c>
      <c r="G5920" s="178" t="s">
        <v>109</v>
      </c>
      <c r="H5920">
        <v>974</v>
      </c>
      <c r="I5920" s="178" t="s">
        <v>1546</v>
      </c>
      <c r="J5920" s="320" t="s">
        <v>214</v>
      </c>
      <c r="K5920" s="178" t="s">
        <v>5167</v>
      </c>
      <c r="L5920" s="125" t="s">
        <v>1579</v>
      </c>
      <c r="M5920">
        <v>1353</v>
      </c>
      <c r="N5920" s="182">
        <v>17</v>
      </c>
      <c r="O5920">
        <v>3882</v>
      </c>
      <c r="P5920" s="132" t="s">
        <v>77</v>
      </c>
      <c r="Q5920" s="176">
        <v>435.73</v>
      </c>
      <c r="R5920" s="176">
        <v>69.72</v>
      </c>
      <c r="S5920" s="176"/>
      <c r="T5920" s="190"/>
      <c r="U5920" s="191">
        <v>5.45</v>
      </c>
      <c r="V5920" s="191">
        <v>500.00000000000006</v>
      </c>
      <c r="W5920">
        <v>103</v>
      </c>
      <c r="X5920" s="186" t="s">
        <v>1644</v>
      </c>
      <c r="Y5920" s="187" t="s">
        <v>55</v>
      </c>
      <c r="Z5920" s="311">
        <v>274</v>
      </c>
      <c r="AB5920" t="str">
        <f>IF(Table1[[#This Row],[TIPO2]]="costo", VLOOKUP(Table1[[#This Row],[PARTIDA PRESUPUESTAL]],'Cost Report'!G:G,1,0),"Balance")</f>
        <v>2498-003</v>
      </c>
      <c r="AD5920" s="159">
        <f>+Table1[[#This Row],[SUBTOTAL]]+Table1[[#This Row],[IVA]]-Table1[[#This Row],[RET IVA]]-Table1[[#This Row],[RET ISR]]-Table1[[#This Row],[TOTAL]]</f>
        <v>0</v>
      </c>
      <c r="AG5920" t="s">
        <v>3420</v>
      </c>
      <c r="AK5920" s="306" t="str">
        <f>IF(ISNUMBER(Table1[[#This Row],[FECHA DE RECIBIDO]]), Table1[[#This Row],[FECHA DE RECIBIDO]]-DATE(2023,8,30), "")</f>
        <v/>
      </c>
    </row>
    <row r="5921" spans="1:37" ht="16.05" customHeight="1">
      <c r="A5921" s="172" t="s">
        <v>5122</v>
      </c>
      <c r="B5921" s="178">
        <v>2109</v>
      </c>
      <c r="C5921" s="179" t="s">
        <v>2556</v>
      </c>
      <c r="D5921">
        <v>4066</v>
      </c>
      <c r="E5921" s="125" t="s">
        <v>3675</v>
      </c>
      <c r="F5921" s="178">
        <v>626</v>
      </c>
      <c r="G5921" s="178" t="s">
        <v>109</v>
      </c>
      <c r="H5921">
        <v>974</v>
      </c>
      <c r="I5921" s="178" t="s">
        <v>1546</v>
      </c>
      <c r="J5921" s="320" t="s">
        <v>214</v>
      </c>
      <c r="K5921" s="178" t="s">
        <v>5167</v>
      </c>
      <c r="L5921" s="125" t="s">
        <v>1579</v>
      </c>
      <c r="M5921">
        <v>1353</v>
      </c>
      <c r="N5921" s="182">
        <v>17</v>
      </c>
      <c r="O5921">
        <v>3882</v>
      </c>
      <c r="P5921" s="132" t="s">
        <v>77</v>
      </c>
      <c r="Q5921" s="176">
        <v>958.61</v>
      </c>
      <c r="R5921" s="176">
        <v>153.38</v>
      </c>
      <c r="S5921" s="176"/>
      <c r="T5921" s="190"/>
      <c r="U5921" s="191">
        <v>11.98</v>
      </c>
      <c r="V5921" s="191">
        <v>1100.01</v>
      </c>
      <c r="W5921">
        <v>103</v>
      </c>
      <c r="X5921" s="186" t="s">
        <v>1644</v>
      </c>
      <c r="Y5921" s="187" t="s">
        <v>55</v>
      </c>
      <c r="Z5921" s="311">
        <v>274</v>
      </c>
      <c r="AB5921" t="str">
        <f>IF(Table1[[#This Row],[TIPO2]]="costo", VLOOKUP(Table1[[#This Row],[PARTIDA PRESUPUESTAL]],'Cost Report'!G:G,1,0),"Balance")</f>
        <v>2498-003</v>
      </c>
      <c r="AD5921" s="159">
        <f>+Table1[[#This Row],[SUBTOTAL]]+Table1[[#This Row],[IVA]]-Table1[[#This Row],[RET IVA]]-Table1[[#This Row],[RET ISR]]-Table1[[#This Row],[TOTAL]]</f>
        <v>0</v>
      </c>
      <c r="AG5921" t="s">
        <v>3420</v>
      </c>
      <c r="AK5921" s="306" t="str">
        <f>IF(ISNUMBER(Table1[[#This Row],[FECHA DE RECIBIDO]]), Table1[[#This Row],[FECHA DE RECIBIDO]]-DATE(2023,8,30), "")</f>
        <v/>
      </c>
    </row>
    <row r="5922" spans="1:37" ht="16.05" customHeight="1">
      <c r="A5922" s="172" t="s">
        <v>5122</v>
      </c>
      <c r="B5922" s="178">
        <v>2109</v>
      </c>
      <c r="C5922" s="179" t="s">
        <v>2556</v>
      </c>
      <c r="D5922">
        <v>4067</v>
      </c>
      <c r="E5922" s="125" t="s">
        <v>3278</v>
      </c>
      <c r="F5922" s="178">
        <v>601</v>
      </c>
      <c r="G5922" s="178" t="s">
        <v>134</v>
      </c>
      <c r="H5922">
        <v>56</v>
      </c>
      <c r="I5922" s="178" t="s">
        <v>1546</v>
      </c>
      <c r="J5922" s="320" t="s">
        <v>214</v>
      </c>
      <c r="K5922" s="178" t="s">
        <v>5167</v>
      </c>
      <c r="L5922" s="125" t="s">
        <v>1579</v>
      </c>
      <c r="M5922">
        <v>78</v>
      </c>
      <c r="N5922" s="182">
        <v>17</v>
      </c>
      <c r="O5922">
        <v>3883</v>
      </c>
      <c r="P5922" s="132" t="s">
        <v>77</v>
      </c>
      <c r="Q5922" s="176">
        <v>137.07</v>
      </c>
      <c r="R5922" s="176">
        <v>21.93</v>
      </c>
      <c r="S5922" s="176"/>
      <c r="T5922" s="190"/>
      <c r="U5922" s="191"/>
      <c r="V5922" s="191">
        <v>159</v>
      </c>
      <c r="W5922">
        <v>103</v>
      </c>
      <c r="X5922" s="186" t="s">
        <v>1644</v>
      </c>
      <c r="Y5922" s="187" t="s">
        <v>55</v>
      </c>
      <c r="Z5922" s="311">
        <v>274</v>
      </c>
      <c r="AB5922" t="str">
        <f>IF(Table1[[#This Row],[TIPO2]]="costo", VLOOKUP(Table1[[#This Row],[PARTIDA PRESUPUESTAL]],'Cost Report'!G:G,1,0),"Balance")</f>
        <v>2498-003</v>
      </c>
      <c r="AD5922" s="159">
        <f>+Table1[[#This Row],[SUBTOTAL]]+Table1[[#This Row],[IVA]]-Table1[[#This Row],[RET IVA]]-Table1[[#This Row],[RET ISR]]-Table1[[#This Row],[TOTAL]]</f>
        <v>0</v>
      </c>
      <c r="AG5922" t="s">
        <v>3420</v>
      </c>
      <c r="AK5922" s="306" t="str">
        <f>IF(ISNUMBER(Table1[[#This Row],[FECHA DE RECIBIDO]]), Table1[[#This Row],[FECHA DE RECIBIDO]]-DATE(2023,8,30), "")</f>
        <v/>
      </c>
    </row>
    <row r="5923" spans="1:37" ht="16.05" customHeight="1">
      <c r="A5923" s="172" t="s">
        <v>5122</v>
      </c>
      <c r="B5923" s="178">
        <v>2109</v>
      </c>
      <c r="C5923" s="179" t="s">
        <v>610</v>
      </c>
      <c r="D5923">
        <v>4068</v>
      </c>
      <c r="E5923" s="125" t="s">
        <v>3338</v>
      </c>
      <c r="F5923" s="178">
        <v>601</v>
      </c>
      <c r="G5923" s="178" t="s">
        <v>134</v>
      </c>
      <c r="H5923">
        <v>413</v>
      </c>
      <c r="I5923" s="178" t="s">
        <v>1546</v>
      </c>
      <c r="J5923" s="320" t="s">
        <v>214</v>
      </c>
      <c r="K5923" s="178" t="s">
        <v>5167</v>
      </c>
      <c r="L5923" s="125" t="s">
        <v>1579</v>
      </c>
      <c r="M5923">
        <v>550</v>
      </c>
      <c r="N5923" s="182">
        <v>17</v>
      </c>
      <c r="O5923">
        <v>3884</v>
      </c>
      <c r="P5923" s="132" t="s">
        <v>77</v>
      </c>
      <c r="Q5923" s="176">
        <v>64.31</v>
      </c>
      <c r="R5923" s="176">
        <v>10.29</v>
      </c>
      <c r="S5923" s="176"/>
      <c r="T5923" s="190"/>
      <c r="U5923" s="191"/>
      <c r="V5923" s="191">
        <v>74.599999999999994</v>
      </c>
      <c r="W5923">
        <v>103</v>
      </c>
      <c r="X5923" s="186" t="s">
        <v>1644</v>
      </c>
      <c r="Y5923" s="187" t="s">
        <v>55</v>
      </c>
      <c r="Z5923" s="311">
        <v>273</v>
      </c>
      <c r="AB5923" t="str">
        <f>IF(Table1[[#This Row],[TIPO2]]="costo", VLOOKUP(Table1[[#This Row],[PARTIDA PRESUPUESTAL]],'Cost Report'!G:G,1,0),"Balance")</f>
        <v>2485-003</v>
      </c>
      <c r="AD5923" s="159">
        <f>+Table1[[#This Row],[SUBTOTAL]]+Table1[[#This Row],[IVA]]-Table1[[#This Row],[RET IVA]]-Table1[[#This Row],[RET ISR]]-Table1[[#This Row],[TOTAL]]</f>
        <v>0</v>
      </c>
      <c r="AG5923" t="s">
        <v>3420</v>
      </c>
      <c r="AK5923" s="306" t="str">
        <f>IF(ISNUMBER(Table1[[#This Row],[FECHA DE RECIBIDO]]), Table1[[#This Row],[FECHA DE RECIBIDO]]-DATE(2023,8,30), "")</f>
        <v/>
      </c>
    </row>
    <row r="5924" spans="1:37" ht="16.05" customHeight="1">
      <c r="A5924" s="172" t="s">
        <v>5122</v>
      </c>
      <c r="B5924" s="178">
        <v>2109</v>
      </c>
      <c r="C5924" s="179" t="s">
        <v>2556</v>
      </c>
      <c r="D5924">
        <v>4069</v>
      </c>
      <c r="E5924" s="125" t="s">
        <v>1598</v>
      </c>
      <c r="F5924" s="178">
        <v>601</v>
      </c>
      <c r="G5924" s="178" t="s">
        <v>134</v>
      </c>
      <c r="H5924">
        <v>156</v>
      </c>
      <c r="I5924" s="178" t="s">
        <v>1546</v>
      </c>
      <c r="J5924" s="320" t="s">
        <v>214</v>
      </c>
      <c r="K5924" s="178" t="s">
        <v>5167</v>
      </c>
      <c r="L5924" s="125" t="s">
        <v>1579</v>
      </c>
      <c r="M5924">
        <v>207</v>
      </c>
      <c r="N5924" s="182">
        <v>17</v>
      </c>
      <c r="O5924">
        <v>3885</v>
      </c>
      <c r="P5924" s="132" t="s">
        <v>77</v>
      </c>
      <c r="Q5924" s="176">
        <v>3309.83</v>
      </c>
      <c r="R5924" s="176">
        <v>529.57000000000005</v>
      </c>
      <c r="S5924" s="176"/>
      <c r="T5924" s="190"/>
      <c r="U5924" s="191"/>
      <c r="V5924" s="191">
        <v>3839.4</v>
      </c>
      <c r="W5924">
        <v>103</v>
      </c>
      <c r="X5924" s="186" t="s">
        <v>1644</v>
      </c>
      <c r="Y5924" s="187" t="s">
        <v>55</v>
      </c>
      <c r="Z5924" s="311">
        <v>274</v>
      </c>
      <c r="AB5924" t="str">
        <f>IF(Table1[[#This Row],[TIPO2]]="costo", VLOOKUP(Table1[[#This Row],[PARTIDA PRESUPUESTAL]],'Cost Report'!G:G,1,0),"Balance")</f>
        <v>2498-003</v>
      </c>
      <c r="AD5924" s="159">
        <f>+Table1[[#This Row],[SUBTOTAL]]+Table1[[#This Row],[IVA]]-Table1[[#This Row],[RET IVA]]-Table1[[#This Row],[RET ISR]]-Table1[[#This Row],[TOTAL]]</f>
        <v>0</v>
      </c>
      <c r="AG5924" t="s">
        <v>3420</v>
      </c>
      <c r="AK5924" s="306" t="str">
        <f>IF(ISNUMBER(Table1[[#This Row],[FECHA DE RECIBIDO]]), Table1[[#This Row],[FECHA DE RECIBIDO]]-DATE(2023,8,30), "")</f>
        <v/>
      </c>
    </row>
    <row r="5925" spans="1:37" ht="16.05" customHeight="1">
      <c r="A5925" s="172" t="s">
        <v>5122</v>
      </c>
      <c r="B5925" s="178">
        <v>2109</v>
      </c>
      <c r="C5925" s="179" t="s">
        <v>610</v>
      </c>
      <c r="D5925">
        <v>4070</v>
      </c>
      <c r="E5925" s="125" t="s">
        <v>3338</v>
      </c>
      <c r="F5925" s="178">
        <v>601</v>
      </c>
      <c r="G5925" s="178" t="s">
        <v>134</v>
      </c>
      <c r="H5925">
        <v>413</v>
      </c>
      <c r="I5925" s="178" t="s">
        <v>1546</v>
      </c>
      <c r="J5925" s="320" t="s">
        <v>214</v>
      </c>
      <c r="K5925" s="178" t="s">
        <v>5167</v>
      </c>
      <c r="L5925" s="125" t="s">
        <v>1579</v>
      </c>
      <c r="M5925">
        <v>550</v>
      </c>
      <c r="N5925" s="182">
        <v>17</v>
      </c>
      <c r="O5925">
        <v>3886</v>
      </c>
      <c r="P5925" s="132" t="s">
        <v>77</v>
      </c>
      <c r="Q5925" s="176">
        <v>181.03</v>
      </c>
      <c r="R5925" s="176">
        <v>28.97</v>
      </c>
      <c r="S5925" s="176"/>
      <c r="T5925" s="190"/>
      <c r="U5925" s="191"/>
      <c r="V5925" s="191">
        <v>210</v>
      </c>
      <c r="W5925">
        <v>103</v>
      </c>
      <c r="X5925" s="186" t="s">
        <v>1644</v>
      </c>
      <c r="Y5925" s="187" t="s">
        <v>55</v>
      </c>
      <c r="Z5925" s="311">
        <v>273</v>
      </c>
      <c r="AB5925" t="str">
        <f>IF(Table1[[#This Row],[TIPO2]]="costo", VLOOKUP(Table1[[#This Row],[PARTIDA PRESUPUESTAL]],'Cost Report'!G:G,1,0),"Balance")</f>
        <v>2485-003</v>
      </c>
      <c r="AD5925" s="159">
        <f>+Table1[[#This Row],[SUBTOTAL]]+Table1[[#This Row],[IVA]]-Table1[[#This Row],[RET IVA]]-Table1[[#This Row],[RET ISR]]-Table1[[#This Row],[TOTAL]]</f>
        <v>0</v>
      </c>
      <c r="AG5925" t="s">
        <v>3420</v>
      </c>
      <c r="AK5925" s="306" t="str">
        <f>IF(ISNUMBER(Table1[[#This Row],[FECHA DE RECIBIDO]]), Table1[[#This Row],[FECHA DE RECIBIDO]]-DATE(2023,8,30), "")</f>
        <v/>
      </c>
    </row>
    <row r="5926" spans="1:37" ht="16.05" customHeight="1">
      <c r="A5926" s="172" t="s">
        <v>5122</v>
      </c>
      <c r="B5926" s="178">
        <v>2109</v>
      </c>
      <c r="C5926" s="179" t="s">
        <v>2556</v>
      </c>
      <c r="D5926">
        <v>4071</v>
      </c>
      <c r="E5926" s="125" t="s">
        <v>2008</v>
      </c>
      <c r="F5926" s="178">
        <v>601</v>
      </c>
      <c r="G5926" s="178" t="s">
        <v>134</v>
      </c>
      <c r="H5926">
        <v>234</v>
      </c>
      <c r="I5926" s="178" t="s">
        <v>1546</v>
      </c>
      <c r="J5926" s="320" t="s">
        <v>214</v>
      </c>
      <c r="K5926" s="178" t="s">
        <v>5167</v>
      </c>
      <c r="L5926" s="125" t="s">
        <v>1579</v>
      </c>
      <c r="M5926">
        <v>306</v>
      </c>
      <c r="N5926" s="182">
        <v>17</v>
      </c>
      <c r="O5926">
        <v>3887</v>
      </c>
      <c r="P5926" s="132" t="s">
        <v>77</v>
      </c>
      <c r="Q5926" s="176">
        <v>7236.19</v>
      </c>
      <c r="R5926" s="176">
        <v>1157.81</v>
      </c>
      <c r="S5926" s="176"/>
      <c r="T5926" s="190"/>
      <c r="U5926" s="191"/>
      <c r="V5926" s="191">
        <v>8394</v>
      </c>
      <c r="W5926">
        <v>103</v>
      </c>
      <c r="X5926" s="186" t="s">
        <v>1644</v>
      </c>
      <c r="Y5926" s="187" t="s">
        <v>55</v>
      </c>
      <c r="Z5926" s="311">
        <v>275</v>
      </c>
      <c r="AB5926" t="str">
        <f>IF(Table1[[#This Row],[TIPO2]]="costo", VLOOKUP(Table1[[#This Row],[PARTIDA PRESUPUESTAL]],'Cost Report'!G:G,1,0),"Balance")</f>
        <v>2498-003</v>
      </c>
      <c r="AD5926" s="159">
        <f>+Table1[[#This Row],[SUBTOTAL]]+Table1[[#This Row],[IVA]]-Table1[[#This Row],[RET IVA]]-Table1[[#This Row],[RET ISR]]-Table1[[#This Row],[TOTAL]]</f>
        <v>0</v>
      </c>
      <c r="AG5926" t="s">
        <v>3420</v>
      </c>
      <c r="AK5926" s="306" t="str">
        <f>IF(ISNUMBER(Table1[[#This Row],[FECHA DE RECIBIDO]]), Table1[[#This Row],[FECHA DE RECIBIDO]]-DATE(2023,8,30), "")</f>
        <v/>
      </c>
    </row>
    <row r="5927" spans="1:37" ht="16.05" customHeight="1">
      <c r="A5927" s="172" t="s">
        <v>5122</v>
      </c>
      <c r="B5927" s="178">
        <v>2109</v>
      </c>
      <c r="C5927" s="179" t="s">
        <v>2455</v>
      </c>
      <c r="D5927">
        <v>689</v>
      </c>
      <c r="E5927" s="125"/>
      <c r="F5927" s="178"/>
      <c r="G5927" s="178"/>
      <c r="H5927"/>
      <c r="I5927" s="178"/>
      <c r="J5927" s="320" t="s">
        <v>214</v>
      </c>
      <c r="K5927" s="178" t="s">
        <v>5167</v>
      </c>
      <c r="L5927" s="125" t="s">
        <v>1579</v>
      </c>
      <c r="M5927">
        <v>809</v>
      </c>
      <c r="N5927" s="182">
        <v>17</v>
      </c>
      <c r="O5927">
        <v>522</v>
      </c>
      <c r="P5927" s="132" t="s">
        <v>77</v>
      </c>
      <c r="Q5927" s="176">
        <v>34.22</v>
      </c>
      <c r="R5927" s="176"/>
      <c r="S5927" s="176"/>
      <c r="T5927" s="190"/>
      <c r="U5927" s="191"/>
      <c r="V5927" s="191">
        <v>34.22</v>
      </c>
      <c r="W5927">
        <v>103</v>
      </c>
      <c r="X5927" s="186" t="s">
        <v>1644</v>
      </c>
      <c r="Y5927" s="187" t="s">
        <v>55</v>
      </c>
      <c r="Z5927" s="311">
        <v>274</v>
      </c>
      <c r="AB5927" t="str">
        <f>IF(Table1[[#This Row],[TIPO2]]="costo", VLOOKUP(Table1[[#This Row],[PARTIDA PRESUPUESTAL]],'Cost Report'!G:G,1,0),"Balance")</f>
        <v>2285-003</v>
      </c>
      <c r="AD5927" s="159">
        <f>+Table1[[#This Row],[SUBTOTAL]]+Table1[[#This Row],[IVA]]-Table1[[#This Row],[RET IVA]]-Table1[[#This Row],[RET ISR]]-Table1[[#This Row],[TOTAL]]</f>
        <v>0</v>
      </c>
      <c r="AG5927" t="s">
        <v>3420</v>
      </c>
      <c r="AK5927" s="306" t="str">
        <f>IF(ISNUMBER(Table1[[#This Row],[FECHA DE RECIBIDO]]), Table1[[#This Row],[FECHA DE RECIBIDO]]-DATE(2023,8,30), "")</f>
        <v/>
      </c>
    </row>
    <row r="5928" spans="1:37" ht="16.05" customHeight="1">
      <c r="A5928" s="172" t="s">
        <v>5122</v>
      </c>
      <c r="B5928" s="178">
        <v>2109</v>
      </c>
      <c r="C5928" s="179" t="s">
        <v>2556</v>
      </c>
      <c r="D5928">
        <v>689</v>
      </c>
      <c r="E5928" s="125"/>
      <c r="F5928" s="178"/>
      <c r="G5928" s="178"/>
      <c r="H5928"/>
      <c r="I5928" s="178"/>
      <c r="J5928" s="320" t="s">
        <v>214</v>
      </c>
      <c r="K5928" s="178" t="s">
        <v>5167</v>
      </c>
      <c r="L5928" s="125" t="s">
        <v>1579</v>
      </c>
      <c r="M5928">
        <v>1354</v>
      </c>
      <c r="N5928" s="182">
        <v>17</v>
      </c>
      <c r="O5928">
        <v>3888</v>
      </c>
      <c r="P5928" s="132" t="s">
        <v>77</v>
      </c>
      <c r="Q5928" s="176">
        <v>92</v>
      </c>
      <c r="R5928" s="176"/>
      <c r="S5928" s="176"/>
      <c r="T5928" s="190"/>
      <c r="U5928" s="191"/>
      <c r="V5928" s="191">
        <v>92</v>
      </c>
      <c r="W5928">
        <v>103</v>
      </c>
      <c r="X5928" s="186" t="s">
        <v>1644</v>
      </c>
      <c r="Y5928" s="187" t="s">
        <v>55</v>
      </c>
      <c r="Z5928" s="311">
        <v>273</v>
      </c>
      <c r="AB5928" t="str">
        <f>IF(Table1[[#This Row],[TIPO2]]="costo", VLOOKUP(Table1[[#This Row],[PARTIDA PRESUPUESTAL]],'Cost Report'!G:G,1,0),"Balance")</f>
        <v>2498-003</v>
      </c>
      <c r="AD5928" s="159">
        <f>+Table1[[#This Row],[SUBTOTAL]]+Table1[[#This Row],[IVA]]-Table1[[#This Row],[RET IVA]]-Table1[[#This Row],[RET ISR]]-Table1[[#This Row],[TOTAL]]</f>
        <v>0</v>
      </c>
      <c r="AG5928" t="s">
        <v>3420</v>
      </c>
      <c r="AK5928" s="306" t="str">
        <f>IF(ISNUMBER(Table1[[#This Row],[FECHA DE RECIBIDO]]), Table1[[#This Row],[FECHA DE RECIBIDO]]-DATE(2023,8,30), "")</f>
        <v/>
      </c>
    </row>
    <row r="5929" spans="1:37" ht="16.05" customHeight="1">
      <c r="A5929" s="172" t="s">
        <v>5124</v>
      </c>
      <c r="B5929" s="178">
        <v>2110</v>
      </c>
      <c r="C5929" s="179" t="s">
        <v>1505</v>
      </c>
      <c r="D5929">
        <v>4072</v>
      </c>
      <c r="E5929" s="125" t="s">
        <v>1614</v>
      </c>
      <c r="F5929" s="178">
        <v>601</v>
      </c>
      <c r="G5929" s="178" t="s">
        <v>134</v>
      </c>
      <c r="H5929">
        <v>172</v>
      </c>
      <c r="I5929" s="178" t="s">
        <v>1546</v>
      </c>
      <c r="J5929" s="320" t="s">
        <v>214</v>
      </c>
      <c r="K5929" s="178" t="s">
        <v>5167</v>
      </c>
      <c r="L5929" s="125" t="s">
        <v>1579</v>
      </c>
      <c r="M5929">
        <v>229</v>
      </c>
      <c r="N5929" s="182">
        <v>17</v>
      </c>
      <c r="O5929">
        <v>3889</v>
      </c>
      <c r="P5929" s="132" t="s">
        <v>77</v>
      </c>
      <c r="Q5929" s="176">
        <v>767.22</v>
      </c>
      <c r="R5929" s="176">
        <v>122.76</v>
      </c>
      <c r="S5929" s="176"/>
      <c r="T5929" s="190"/>
      <c r="U5929" s="191"/>
      <c r="V5929" s="191">
        <v>889.98</v>
      </c>
      <c r="W5929">
        <v>410</v>
      </c>
      <c r="X5929" s="186" t="s">
        <v>1644</v>
      </c>
      <c r="Y5929" s="187" t="s">
        <v>55</v>
      </c>
      <c r="Z5929" s="311">
        <v>226</v>
      </c>
      <c r="AB5929" t="str">
        <f>IF(Table1[[#This Row],[TIPO2]]="costo", VLOOKUP(Table1[[#This Row],[PARTIDA PRESUPUESTAL]],'Cost Report'!G:G,1,0),"Balance")</f>
        <v>2494-003</v>
      </c>
      <c r="AD5929" s="159">
        <f>+Table1[[#This Row],[SUBTOTAL]]+Table1[[#This Row],[IVA]]-Table1[[#This Row],[RET IVA]]-Table1[[#This Row],[RET ISR]]-Table1[[#This Row],[TOTAL]]</f>
        <v>0</v>
      </c>
      <c r="AG5929" t="s">
        <v>3420</v>
      </c>
      <c r="AK5929" s="306" t="str">
        <f>IF(ISNUMBER(Table1[[#This Row],[FECHA DE RECIBIDO]]), Table1[[#This Row],[FECHA DE RECIBIDO]]-DATE(2023,8,30), "")</f>
        <v/>
      </c>
    </row>
    <row r="5930" spans="1:37" ht="16.05" customHeight="1">
      <c r="A5930" s="172" t="s">
        <v>5124</v>
      </c>
      <c r="B5930" s="178">
        <v>2110</v>
      </c>
      <c r="C5930" s="179" t="s">
        <v>1505</v>
      </c>
      <c r="D5930">
        <v>4073</v>
      </c>
      <c r="E5930" s="125" t="s">
        <v>1614</v>
      </c>
      <c r="F5930" s="178">
        <v>601</v>
      </c>
      <c r="G5930" s="178" t="s">
        <v>134</v>
      </c>
      <c r="H5930">
        <v>172</v>
      </c>
      <c r="I5930" s="178" t="s">
        <v>1546</v>
      </c>
      <c r="J5930" s="320" t="s">
        <v>214</v>
      </c>
      <c r="K5930" s="178" t="s">
        <v>5167</v>
      </c>
      <c r="L5930" s="125" t="s">
        <v>1579</v>
      </c>
      <c r="M5930">
        <v>229</v>
      </c>
      <c r="N5930" s="182">
        <v>17</v>
      </c>
      <c r="O5930">
        <v>3890</v>
      </c>
      <c r="P5930" s="132" t="s">
        <v>77</v>
      </c>
      <c r="Q5930" s="176">
        <v>1168.3599999999999</v>
      </c>
      <c r="R5930" s="176">
        <v>186.94</v>
      </c>
      <c r="S5930" s="176"/>
      <c r="T5930" s="190"/>
      <c r="U5930" s="191"/>
      <c r="V5930" s="191">
        <v>1355.3</v>
      </c>
      <c r="W5930">
        <v>410</v>
      </c>
      <c r="X5930" s="186" t="s">
        <v>1644</v>
      </c>
      <c r="Y5930" s="187" t="s">
        <v>55</v>
      </c>
      <c r="Z5930" s="311">
        <v>226</v>
      </c>
      <c r="AB5930" t="str">
        <f>IF(Table1[[#This Row],[TIPO2]]="costo", VLOOKUP(Table1[[#This Row],[PARTIDA PRESUPUESTAL]],'Cost Report'!G:G,1,0),"Balance")</f>
        <v>2494-003</v>
      </c>
      <c r="AD5930" s="159">
        <f>+Table1[[#This Row],[SUBTOTAL]]+Table1[[#This Row],[IVA]]-Table1[[#This Row],[RET IVA]]-Table1[[#This Row],[RET ISR]]-Table1[[#This Row],[TOTAL]]</f>
        <v>0</v>
      </c>
      <c r="AG5930" t="s">
        <v>3420</v>
      </c>
      <c r="AK5930" s="306" t="str">
        <f>IF(ISNUMBER(Table1[[#This Row],[FECHA DE RECIBIDO]]), Table1[[#This Row],[FECHA DE RECIBIDO]]-DATE(2023,8,30), "")</f>
        <v/>
      </c>
    </row>
    <row r="5931" spans="1:37" ht="16.05" customHeight="1">
      <c r="A5931" s="172" t="s">
        <v>5124</v>
      </c>
      <c r="B5931" s="178">
        <v>2110</v>
      </c>
      <c r="C5931" s="179" t="s">
        <v>2538</v>
      </c>
      <c r="D5931">
        <v>4074</v>
      </c>
      <c r="E5931" s="125" t="s">
        <v>1598</v>
      </c>
      <c r="F5931" s="178">
        <v>601</v>
      </c>
      <c r="G5931" s="178" t="s">
        <v>134</v>
      </c>
      <c r="H5931">
        <v>156</v>
      </c>
      <c r="I5931" s="178" t="s">
        <v>1546</v>
      </c>
      <c r="J5931" s="320" t="s">
        <v>214</v>
      </c>
      <c r="K5931" s="178" t="s">
        <v>5167</v>
      </c>
      <c r="L5931" s="125" t="s">
        <v>1579</v>
      </c>
      <c r="M5931">
        <v>207</v>
      </c>
      <c r="N5931" s="182">
        <v>17</v>
      </c>
      <c r="O5931">
        <v>3891</v>
      </c>
      <c r="P5931" s="132" t="s">
        <v>77</v>
      </c>
      <c r="Q5931" s="176">
        <v>2928.1</v>
      </c>
      <c r="R5931" s="176">
        <v>468.5</v>
      </c>
      <c r="S5931" s="176"/>
      <c r="T5931" s="190"/>
      <c r="U5931" s="191"/>
      <c r="V5931" s="191">
        <v>3396.6</v>
      </c>
      <c r="W5931">
        <v>410</v>
      </c>
      <c r="X5931" s="186" t="s">
        <v>1644</v>
      </c>
      <c r="Y5931" s="187" t="s">
        <v>55</v>
      </c>
      <c r="Z5931" s="311">
        <v>256</v>
      </c>
      <c r="AB5931" t="str">
        <f>IF(Table1[[#This Row],[TIPO2]]="costo", VLOOKUP(Table1[[#This Row],[PARTIDA PRESUPUESTAL]],'Cost Report'!G:G,1,0),"Balance")</f>
        <v>2494-055</v>
      </c>
      <c r="AD5931" s="159">
        <f>+Table1[[#This Row],[SUBTOTAL]]+Table1[[#This Row],[IVA]]-Table1[[#This Row],[RET IVA]]-Table1[[#This Row],[RET ISR]]-Table1[[#This Row],[TOTAL]]</f>
        <v>0</v>
      </c>
      <c r="AG5931" t="s">
        <v>3420</v>
      </c>
      <c r="AK5931" s="306" t="str">
        <f>IF(ISNUMBER(Table1[[#This Row],[FECHA DE RECIBIDO]]), Table1[[#This Row],[FECHA DE RECIBIDO]]-DATE(2023,8,30), "")</f>
        <v/>
      </c>
    </row>
    <row r="5932" spans="1:37" ht="16.05" customHeight="1">
      <c r="A5932" s="172" t="s">
        <v>5124</v>
      </c>
      <c r="B5932" s="178">
        <v>2110</v>
      </c>
      <c r="C5932" s="179" t="s">
        <v>1517</v>
      </c>
      <c r="D5932">
        <v>4075</v>
      </c>
      <c r="E5932" s="125" t="s">
        <v>3262</v>
      </c>
      <c r="F5932" s="178">
        <v>601</v>
      </c>
      <c r="G5932" s="178" t="s">
        <v>134</v>
      </c>
      <c r="H5932">
        <v>224</v>
      </c>
      <c r="I5932" s="178" t="s">
        <v>1546</v>
      </c>
      <c r="J5932" s="320" t="s">
        <v>214</v>
      </c>
      <c r="K5932" s="178" t="s">
        <v>5167</v>
      </c>
      <c r="L5932" s="125" t="s">
        <v>1579</v>
      </c>
      <c r="M5932">
        <v>290</v>
      </c>
      <c r="N5932" s="182">
        <v>17</v>
      </c>
      <c r="O5932">
        <v>3892</v>
      </c>
      <c r="P5932" s="132" t="s">
        <v>77</v>
      </c>
      <c r="Q5932" s="176">
        <v>2381.4699999999998</v>
      </c>
      <c r="R5932" s="176">
        <v>381.02</v>
      </c>
      <c r="S5932" s="176"/>
      <c r="T5932" s="190"/>
      <c r="U5932" s="191"/>
      <c r="V5932" s="191">
        <v>2762.49</v>
      </c>
      <c r="W5932">
        <v>410</v>
      </c>
      <c r="X5932" s="186" t="s">
        <v>1644</v>
      </c>
      <c r="Y5932" s="187" t="s">
        <v>55</v>
      </c>
      <c r="Z5932" s="311">
        <v>258</v>
      </c>
      <c r="AB5932" t="str">
        <f>IF(Table1[[#This Row],[TIPO2]]="costo", VLOOKUP(Table1[[#This Row],[PARTIDA PRESUPUESTAL]],'Cost Report'!G:G,1,0),"Balance")</f>
        <v>2494-027</v>
      </c>
      <c r="AD5932" s="159">
        <f>+Table1[[#This Row],[SUBTOTAL]]+Table1[[#This Row],[IVA]]-Table1[[#This Row],[RET IVA]]-Table1[[#This Row],[RET ISR]]-Table1[[#This Row],[TOTAL]]</f>
        <v>0</v>
      </c>
      <c r="AG5932" t="s">
        <v>3420</v>
      </c>
      <c r="AK5932" s="306" t="str">
        <f>IF(ISNUMBER(Table1[[#This Row],[FECHA DE RECIBIDO]]), Table1[[#This Row],[FECHA DE RECIBIDO]]-DATE(2023,8,30), "")</f>
        <v/>
      </c>
    </row>
    <row r="5933" spans="1:37" ht="16.05" customHeight="1">
      <c r="A5933" s="172" t="s">
        <v>5144</v>
      </c>
      <c r="B5933" s="178">
        <v>2111</v>
      </c>
      <c r="C5933" s="179" t="s">
        <v>2556</v>
      </c>
      <c r="D5933">
        <v>4076</v>
      </c>
      <c r="E5933" s="125" t="s">
        <v>3357</v>
      </c>
      <c r="F5933" s="178">
        <v>601</v>
      </c>
      <c r="G5933" s="178" t="s">
        <v>134</v>
      </c>
      <c r="H5933">
        <v>975</v>
      </c>
      <c r="I5933" s="178" t="s">
        <v>1546</v>
      </c>
      <c r="J5933" s="320" t="s">
        <v>214</v>
      </c>
      <c r="K5933" s="178" t="s">
        <v>5167</v>
      </c>
      <c r="L5933" s="125" t="s">
        <v>1579</v>
      </c>
      <c r="M5933">
        <v>1355</v>
      </c>
      <c r="N5933" s="182">
        <v>17</v>
      </c>
      <c r="O5933">
        <v>3893</v>
      </c>
      <c r="P5933" s="132" t="s">
        <v>77</v>
      </c>
      <c r="Q5933" s="176">
        <v>4688.79</v>
      </c>
      <c r="R5933" s="176">
        <v>750.21</v>
      </c>
      <c r="S5933" s="176"/>
      <c r="T5933" s="190"/>
      <c r="U5933" s="191"/>
      <c r="V5933" s="191">
        <v>5439</v>
      </c>
      <c r="W5933">
        <v>166</v>
      </c>
      <c r="X5933" s="186" t="s">
        <v>1644</v>
      </c>
      <c r="Y5933" s="187" t="s">
        <v>55</v>
      </c>
      <c r="Z5933" s="311">
        <v>268</v>
      </c>
      <c r="AB5933" t="str">
        <f>IF(Table1[[#This Row],[TIPO2]]="costo", VLOOKUP(Table1[[#This Row],[PARTIDA PRESUPUESTAL]],'Cost Report'!G:G,1,0),"Balance")</f>
        <v>2498-003</v>
      </c>
      <c r="AD5933" s="159">
        <f>+Table1[[#This Row],[SUBTOTAL]]+Table1[[#This Row],[IVA]]-Table1[[#This Row],[RET IVA]]-Table1[[#This Row],[RET ISR]]-Table1[[#This Row],[TOTAL]]</f>
        <v>0</v>
      </c>
      <c r="AG5933" t="s">
        <v>3420</v>
      </c>
      <c r="AK5933" s="306" t="str">
        <f>IF(ISNUMBER(Table1[[#This Row],[FECHA DE RECIBIDO]]), Table1[[#This Row],[FECHA DE RECIBIDO]]-DATE(2023,8,30), "")</f>
        <v/>
      </c>
    </row>
    <row r="5934" spans="1:37" ht="16.05" customHeight="1">
      <c r="A5934" s="172" t="s">
        <v>5144</v>
      </c>
      <c r="B5934" s="178">
        <v>2111</v>
      </c>
      <c r="C5934" s="179" t="s">
        <v>2556</v>
      </c>
      <c r="D5934">
        <v>4077</v>
      </c>
      <c r="E5934" s="125" t="s">
        <v>3357</v>
      </c>
      <c r="F5934" s="178">
        <v>601</v>
      </c>
      <c r="G5934" s="178" t="s">
        <v>134</v>
      </c>
      <c r="H5934">
        <v>975</v>
      </c>
      <c r="I5934" s="178" t="s">
        <v>1546</v>
      </c>
      <c r="J5934" s="320" t="s">
        <v>214</v>
      </c>
      <c r="K5934" s="178" t="s">
        <v>5167</v>
      </c>
      <c r="L5934" s="125" t="s">
        <v>1579</v>
      </c>
      <c r="M5934">
        <v>1355</v>
      </c>
      <c r="N5934" s="182">
        <v>17</v>
      </c>
      <c r="O5934">
        <v>3893</v>
      </c>
      <c r="P5934" s="132" t="s">
        <v>77</v>
      </c>
      <c r="Q5934" s="176">
        <v>10344.83</v>
      </c>
      <c r="R5934" s="176">
        <v>1655.17</v>
      </c>
      <c r="S5934" s="176"/>
      <c r="T5934" s="190"/>
      <c r="U5934" s="191"/>
      <c r="V5934" s="191">
        <v>12000</v>
      </c>
      <c r="W5934">
        <v>166</v>
      </c>
      <c r="X5934" s="186" t="s">
        <v>1644</v>
      </c>
      <c r="Y5934" s="187" t="s">
        <v>55</v>
      </c>
      <c r="Z5934" s="311">
        <v>268</v>
      </c>
      <c r="AB5934" t="str">
        <f>IF(Table1[[#This Row],[TIPO2]]="costo", VLOOKUP(Table1[[#This Row],[PARTIDA PRESUPUESTAL]],'Cost Report'!G:G,1,0),"Balance")</f>
        <v>2498-003</v>
      </c>
      <c r="AD5934" s="159">
        <f>+Table1[[#This Row],[SUBTOTAL]]+Table1[[#This Row],[IVA]]-Table1[[#This Row],[RET IVA]]-Table1[[#This Row],[RET ISR]]-Table1[[#This Row],[TOTAL]]</f>
        <v>0</v>
      </c>
      <c r="AG5934" t="s">
        <v>3420</v>
      </c>
      <c r="AK5934" s="306" t="str">
        <f>IF(ISNUMBER(Table1[[#This Row],[FECHA DE RECIBIDO]]), Table1[[#This Row],[FECHA DE RECIBIDO]]-DATE(2023,8,30), "")</f>
        <v/>
      </c>
    </row>
    <row r="5935" spans="1:37" ht="16.05" customHeight="1">
      <c r="A5935" s="172" t="s">
        <v>5144</v>
      </c>
      <c r="B5935" s="178">
        <v>2111</v>
      </c>
      <c r="C5935" s="179" t="s">
        <v>610</v>
      </c>
      <c r="D5935">
        <v>4078</v>
      </c>
      <c r="E5935" s="125" t="s">
        <v>3662</v>
      </c>
      <c r="F5935" s="178">
        <v>601</v>
      </c>
      <c r="G5935" s="178" t="s">
        <v>134</v>
      </c>
      <c r="H5935">
        <v>41</v>
      </c>
      <c r="I5935" s="178" t="s">
        <v>1546</v>
      </c>
      <c r="J5935" s="320" t="s">
        <v>214</v>
      </c>
      <c r="K5935" s="178" t="s">
        <v>5167</v>
      </c>
      <c r="L5935" s="125" t="s">
        <v>1579</v>
      </c>
      <c r="M5935">
        <v>323</v>
      </c>
      <c r="N5935" s="182">
        <v>17</v>
      </c>
      <c r="O5935">
        <v>3894</v>
      </c>
      <c r="P5935" s="132" t="s">
        <v>77</v>
      </c>
      <c r="Q5935" s="176">
        <v>270.36</v>
      </c>
      <c r="R5935" s="176">
        <v>9.93</v>
      </c>
      <c r="S5935" s="176"/>
      <c r="T5935" s="190"/>
      <c r="U5935" s="191"/>
      <c r="V5935" s="191">
        <v>280.29000000000002</v>
      </c>
      <c r="W5935">
        <v>166</v>
      </c>
      <c r="X5935" s="186" t="s">
        <v>1644</v>
      </c>
      <c r="Y5935" s="187" t="s">
        <v>55</v>
      </c>
      <c r="Z5935" s="311">
        <v>273</v>
      </c>
      <c r="AB5935" t="str">
        <f>IF(Table1[[#This Row],[TIPO2]]="costo", VLOOKUP(Table1[[#This Row],[PARTIDA PRESUPUESTAL]],'Cost Report'!G:G,1,0),"Balance")</f>
        <v>2485-003</v>
      </c>
      <c r="AD5935" s="159">
        <f>+Table1[[#This Row],[SUBTOTAL]]+Table1[[#This Row],[IVA]]-Table1[[#This Row],[RET IVA]]-Table1[[#This Row],[RET ISR]]-Table1[[#This Row],[TOTAL]]</f>
        <v>0</v>
      </c>
      <c r="AG5935" t="s">
        <v>3420</v>
      </c>
      <c r="AK5935" s="306" t="str">
        <f>IF(ISNUMBER(Table1[[#This Row],[FECHA DE RECIBIDO]]), Table1[[#This Row],[FECHA DE RECIBIDO]]-DATE(2023,8,30), "")</f>
        <v/>
      </c>
    </row>
    <row r="5936" spans="1:37" ht="16.05" customHeight="1">
      <c r="A5936" s="172" t="s">
        <v>5144</v>
      </c>
      <c r="B5936" s="178">
        <v>2111</v>
      </c>
      <c r="C5936" s="179" t="s">
        <v>610</v>
      </c>
      <c r="D5936">
        <v>4079</v>
      </c>
      <c r="E5936" s="125" t="s">
        <v>3356</v>
      </c>
      <c r="F5936" s="178">
        <v>601</v>
      </c>
      <c r="G5936" s="178" t="s">
        <v>134</v>
      </c>
      <c r="H5936">
        <v>976</v>
      </c>
      <c r="I5936" s="178" t="s">
        <v>1546</v>
      </c>
      <c r="J5936" s="320" t="s">
        <v>214</v>
      </c>
      <c r="K5936" s="178" t="s">
        <v>5167</v>
      </c>
      <c r="L5936" s="125" t="s">
        <v>1579</v>
      </c>
      <c r="M5936">
        <v>1356</v>
      </c>
      <c r="N5936" s="182">
        <v>17</v>
      </c>
      <c r="O5936">
        <v>3895</v>
      </c>
      <c r="P5936" s="132" t="s">
        <v>77</v>
      </c>
      <c r="Q5936" s="176">
        <v>584.13</v>
      </c>
      <c r="R5936" s="176">
        <v>93.46</v>
      </c>
      <c r="S5936" s="176"/>
      <c r="T5936" s="190"/>
      <c r="U5936" s="191"/>
      <c r="V5936" s="191">
        <v>677.59</v>
      </c>
      <c r="W5936">
        <v>166</v>
      </c>
      <c r="X5936" s="186" t="s">
        <v>1644</v>
      </c>
      <c r="Y5936" s="187" t="s">
        <v>55</v>
      </c>
      <c r="Z5936" s="311">
        <v>273</v>
      </c>
      <c r="AB5936" t="str">
        <f>IF(Table1[[#This Row],[TIPO2]]="costo", VLOOKUP(Table1[[#This Row],[PARTIDA PRESUPUESTAL]],'Cost Report'!G:G,1,0),"Balance")</f>
        <v>2485-003</v>
      </c>
      <c r="AD5936" s="159">
        <f>+Table1[[#This Row],[SUBTOTAL]]+Table1[[#This Row],[IVA]]-Table1[[#This Row],[RET IVA]]-Table1[[#This Row],[RET ISR]]-Table1[[#This Row],[TOTAL]]</f>
        <v>0</v>
      </c>
      <c r="AG5936" t="s">
        <v>3420</v>
      </c>
      <c r="AK5936" s="306" t="str">
        <f>IF(ISNUMBER(Table1[[#This Row],[FECHA DE RECIBIDO]]), Table1[[#This Row],[FECHA DE RECIBIDO]]-DATE(2023,8,30), "")</f>
        <v/>
      </c>
    </row>
    <row r="5937" spans="1:37" ht="16.05" customHeight="1">
      <c r="A5937" s="172" t="s">
        <v>5144</v>
      </c>
      <c r="B5937" s="178">
        <v>2111</v>
      </c>
      <c r="C5937" s="179" t="s">
        <v>2458</v>
      </c>
      <c r="D5937">
        <v>4080</v>
      </c>
      <c r="E5937" s="125" t="s">
        <v>1997</v>
      </c>
      <c r="F5937" s="178">
        <v>612</v>
      </c>
      <c r="G5937" s="178" t="s">
        <v>129</v>
      </c>
      <c r="H5937">
        <v>718</v>
      </c>
      <c r="I5937" s="178" t="s">
        <v>1546</v>
      </c>
      <c r="J5937" s="320" t="s">
        <v>214</v>
      </c>
      <c r="K5937" s="178" t="s">
        <v>5167</v>
      </c>
      <c r="L5937" s="125" t="s">
        <v>1579</v>
      </c>
      <c r="M5937">
        <v>1000</v>
      </c>
      <c r="N5937" s="182">
        <v>17</v>
      </c>
      <c r="O5937">
        <v>3896</v>
      </c>
      <c r="P5937" s="132" t="s">
        <v>77</v>
      </c>
      <c r="Q5937" s="176">
        <v>2007.76</v>
      </c>
      <c r="R5937" s="176">
        <v>321.23</v>
      </c>
      <c r="S5937" s="176"/>
      <c r="T5937" s="190"/>
      <c r="U5937" s="191"/>
      <c r="V5937" s="191">
        <v>2328.9899999999998</v>
      </c>
      <c r="W5937">
        <v>166</v>
      </c>
      <c r="X5937" s="186" t="s">
        <v>1644</v>
      </c>
      <c r="Y5937" s="187" t="s">
        <v>55</v>
      </c>
      <c r="Z5937" s="311">
        <v>257</v>
      </c>
      <c r="AB5937" t="str">
        <f>IF(Table1[[#This Row],[TIPO2]]="costo", VLOOKUP(Table1[[#This Row],[PARTIDA PRESUPUESTAL]],'Cost Report'!G:G,1,0),"Balance")</f>
        <v>2311-003</v>
      </c>
      <c r="AD5937" s="159">
        <f>+Table1[[#This Row],[SUBTOTAL]]+Table1[[#This Row],[IVA]]-Table1[[#This Row],[RET IVA]]-Table1[[#This Row],[RET ISR]]-Table1[[#This Row],[TOTAL]]</f>
        <v>0</v>
      </c>
      <c r="AG5937" t="s">
        <v>3420</v>
      </c>
      <c r="AK5937" s="306" t="str">
        <f>IF(ISNUMBER(Table1[[#This Row],[FECHA DE RECIBIDO]]), Table1[[#This Row],[FECHA DE RECIBIDO]]-DATE(2023,8,30), "")</f>
        <v/>
      </c>
    </row>
    <row r="5938" spans="1:37" ht="16.05" customHeight="1">
      <c r="A5938" s="172" t="s">
        <v>5144</v>
      </c>
      <c r="B5938" s="178">
        <v>2111</v>
      </c>
      <c r="C5938" s="179" t="s">
        <v>2556</v>
      </c>
      <c r="D5938">
        <v>4081</v>
      </c>
      <c r="E5938" s="125" t="s">
        <v>3360</v>
      </c>
      <c r="F5938" s="178">
        <v>612</v>
      </c>
      <c r="G5938" s="178" t="s">
        <v>129</v>
      </c>
      <c r="H5938">
        <v>977</v>
      </c>
      <c r="I5938" s="178" t="s">
        <v>1546</v>
      </c>
      <c r="J5938" s="320" t="s">
        <v>214</v>
      </c>
      <c r="K5938" s="178" t="s">
        <v>5167</v>
      </c>
      <c r="L5938" s="125" t="s">
        <v>1579</v>
      </c>
      <c r="M5938">
        <v>1357</v>
      </c>
      <c r="N5938" s="182">
        <v>17</v>
      </c>
      <c r="O5938">
        <v>3897</v>
      </c>
      <c r="P5938" s="132" t="s">
        <v>77</v>
      </c>
      <c r="Q5938" s="176">
        <v>646.55999999999995</v>
      </c>
      <c r="R5938" s="176">
        <v>103.45</v>
      </c>
      <c r="S5938" s="176"/>
      <c r="T5938" s="190"/>
      <c r="U5938" s="191"/>
      <c r="V5938" s="191">
        <v>750.01</v>
      </c>
      <c r="W5938">
        <v>166</v>
      </c>
      <c r="X5938" s="186" t="s">
        <v>1644</v>
      </c>
      <c r="Y5938" s="187" t="s">
        <v>55</v>
      </c>
      <c r="Z5938" s="311">
        <v>274</v>
      </c>
      <c r="AB5938" t="str">
        <f>IF(Table1[[#This Row],[TIPO2]]="costo", VLOOKUP(Table1[[#This Row],[PARTIDA PRESUPUESTAL]],'Cost Report'!G:G,1,0),"Balance")</f>
        <v>2498-003</v>
      </c>
      <c r="AD5938" s="159">
        <f>+Table1[[#This Row],[SUBTOTAL]]+Table1[[#This Row],[IVA]]-Table1[[#This Row],[RET IVA]]-Table1[[#This Row],[RET ISR]]-Table1[[#This Row],[TOTAL]]</f>
        <v>0</v>
      </c>
      <c r="AG5938" t="s">
        <v>3420</v>
      </c>
      <c r="AK5938" s="306" t="str">
        <f>IF(ISNUMBER(Table1[[#This Row],[FECHA DE RECIBIDO]]), Table1[[#This Row],[FECHA DE RECIBIDO]]-DATE(2023,8,30), "")</f>
        <v/>
      </c>
    </row>
    <row r="5939" spans="1:37" ht="16.05" customHeight="1">
      <c r="A5939" s="172" t="s">
        <v>5144</v>
      </c>
      <c r="B5939" s="178">
        <v>2111</v>
      </c>
      <c r="C5939" s="179" t="s">
        <v>2556</v>
      </c>
      <c r="D5939">
        <v>4082</v>
      </c>
      <c r="E5939" s="125" t="s">
        <v>3267</v>
      </c>
      <c r="F5939" s="178">
        <v>601</v>
      </c>
      <c r="G5939" s="178" t="s">
        <v>134</v>
      </c>
      <c r="H5939">
        <v>409</v>
      </c>
      <c r="I5939" s="178" t="s">
        <v>1546</v>
      </c>
      <c r="J5939" s="320" t="s">
        <v>214</v>
      </c>
      <c r="K5939" s="178" t="s">
        <v>5167</v>
      </c>
      <c r="L5939" s="125" t="s">
        <v>1579</v>
      </c>
      <c r="M5939">
        <v>1358</v>
      </c>
      <c r="N5939" s="182">
        <v>17</v>
      </c>
      <c r="O5939">
        <v>3898</v>
      </c>
      <c r="P5939" s="132" t="s">
        <v>77</v>
      </c>
      <c r="Q5939" s="176">
        <v>4308.62</v>
      </c>
      <c r="R5939" s="176">
        <v>689.38</v>
      </c>
      <c r="S5939" s="176"/>
      <c r="T5939" s="190"/>
      <c r="U5939" s="191"/>
      <c r="V5939" s="191">
        <v>4998</v>
      </c>
      <c r="W5939">
        <v>166</v>
      </c>
      <c r="X5939" s="186" t="s">
        <v>1644</v>
      </c>
      <c r="Y5939" s="187" t="s">
        <v>55</v>
      </c>
      <c r="Z5939" s="311">
        <v>274</v>
      </c>
      <c r="AB5939" t="str">
        <f>IF(Table1[[#This Row],[TIPO2]]="costo", VLOOKUP(Table1[[#This Row],[PARTIDA PRESUPUESTAL]],'Cost Report'!G:G,1,0),"Balance")</f>
        <v>2498-003</v>
      </c>
      <c r="AD5939" s="159">
        <f>+Table1[[#This Row],[SUBTOTAL]]+Table1[[#This Row],[IVA]]-Table1[[#This Row],[RET IVA]]-Table1[[#This Row],[RET ISR]]-Table1[[#This Row],[TOTAL]]</f>
        <v>0</v>
      </c>
      <c r="AG5939" t="s">
        <v>3420</v>
      </c>
      <c r="AK5939" s="306" t="str">
        <f>IF(ISNUMBER(Table1[[#This Row],[FECHA DE RECIBIDO]]), Table1[[#This Row],[FECHA DE RECIBIDO]]-DATE(2023,8,30), "")</f>
        <v/>
      </c>
    </row>
    <row r="5940" spans="1:37" ht="16.05" customHeight="1">
      <c r="A5940" s="172" t="s">
        <v>5144</v>
      </c>
      <c r="B5940" s="178">
        <v>2111</v>
      </c>
      <c r="C5940" s="179" t="s">
        <v>2458</v>
      </c>
      <c r="D5940">
        <v>4083</v>
      </c>
      <c r="E5940" s="125" t="s">
        <v>3671</v>
      </c>
      <c r="F5940" s="178">
        <v>601</v>
      </c>
      <c r="G5940" s="178" t="s">
        <v>134</v>
      </c>
      <c r="H5940">
        <v>978</v>
      </c>
      <c r="I5940" s="178" t="s">
        <v>1546</v>
      </c>
      <c r="J5940" s="320" t="s">
        <v>214</v>
      </c>
      <c r="K5940" s="178" t="s">
        <v>5167</v>
      </c>
      <c r="L5940" s="125" t="s">
        <v>1579</v>
      </c>
      <c r="M5940">
        <v>1359</v>
      </c>
      <c r="N5940" s="182">
        <v>17</v>
      </c>
      <c r="O5940">
        <v>3899</v>
      </c>
      <c r="P5940" s="132" t="s">
        <v>77</v>
      </c>
      <c r="Q5940" s="176">
        <v>478.64</v>
      </c>
      <c r="R5940" s="176">
        <v>76.58</v>
      </c>
      <c r="S5940" s="176"/>
      <c r="T5940" s="190"/>
      <c r="U5940" s="191"/>
      <c r="V5940" s="191">
        <v>555.22</v>
      </c>
      <c r="W5940">
        <v>166</v>
      </c>
      <c r="X5940" s="186" t="s">
        <v>1644</v>
      </c>
      <c r="Y5940" s="187" t="s">
        <v>55</v>
      </c>
      <c r="Z5940" s="311">
        <v>259</v>
      </c>
      <c r="AB5940" t="str">
        <f>IF(Table1[[#This Row],[TIPO2]]="costo", VLOOKUP(Table1[[#This Row],[PARTIDA PRESUPUESTAL]],'Cost Report'!G:G,1,0),"Balance")</f>
        <v>2311-003</v>
      </c>
      <c r="AD5940" s="159">
        <f>+Table1[[#This Row],[SUBTOTAL]]+Table1[[#This Row],[IVA]]-Table1[[#This Row],[RET IVA]]-Table1[[#This Row],[RET ISR]]-Table1[[#This Row],[TOTAL]]</f>
        <v>0</v>
      </c>
      <c r="AG5940" t="s">
        <v>3420</v>
      </c>
      <c r="AK5940" s="306" t="str">
        <f>IF(ISNUMBER(Table1[[#This Row],[FECHA DE RECIBIDO]]), Table1[[#This Row],[FECHA DE RECIBIDO]]-DATE(2023,8,30), "")</f>
        <v/>
      </c>
    </row>
    <row r="5941" spans="1:37" ht="16.05" customHeight="1">
      <c r="A5941" s="172" t="s">
        <v>5144</v>
      </c>
      <c r="B5941" s="178">
        <v>2111</v>
      </c>
      <c r="C5941" s="179" t="s">
        <v>2455</v>
      </c>
      <c r="D5941">
        <v>689</v>
      </c>
      <c r="E5941" s="125"/>
      <c r="F5941" s="178"/>
      <c r="G5941" s="178"/>
      <c r="H5941"/>
      <c r="I5941" s="178"/>
      <c r="J5941" s="320" t="s">
        <v>214</v>
      </c>
      <c r="K5941" s="178" t="s">
        <v>5167</v>
      </c>
      <c r="L5941" s="125" t="s">
        <v>1579</v>
      </c>
      <c r="M5941">
        <v>1360</v>
      </c>
      <c r="N5941" s="182">
        <v>17</v>
      </c>
      <c r="O5941">
        <v>3458</v>
      </c>
      <c r="P5941" s="132" t="s">
        <v>77</v>
      </c>
      <c r="Q5941" s="176">
        <v>26.68</v>
      </c>
      <c r="R5941" s="176"/>
      <c r="S5941" s="176"/>
      <c r="T5941" s="190"/>
      <c r="U5941" s="191"/>
      <c r="V5941" s="191">
        <v>26.68</v>
      </c>
      <c r="W5941">
        <v>166</v>
      </c>
      <c r="X5941" s="186" t="s">
        <v>1644</v>
      </c>
      <c r="Y5941" s="187" t="s">
        <v>55</v>
      </c>
      <c r="Z5941" s="311">
        <v>259</v>
      </c>
      <c r="AB5941" t="str">
        <f>IF(Table1[[#This Row],[TIPO2]]="costo", VLOOKUP(Table1[[#This Row],[PARTIDA PRESUPUESTAL]],'Cost Report'!G:G,1,0),"Balance")</f>
        <v>2285-003</v>
      </c>
      <c r="AD5941" s="159">
        <f>+Table1[[#This Row],[SUBTOTAL]]+Table1[[#This Row],[IVA]]-Table1[[#This Row],[RET IVA]]-Table1[[#This Row],[RET ISR]]-Table1[[#This Row],[TOTAL]]</f>
        <v>0</v>
      </c>
      <c r="AG5941" t="s">
        <v>3420</v>
      </c>
      <c r="AK5941" s="306" t="str">
        <f>IF(ISNUMBER(Table1[[#This Row],[FECHA DE RECIBIDO]]), Table1[[#This Row],[FECHA DE RECIBIDO]]-DATE(2023,8,30), "")</f>
        <v/>
      </c>
    </row>
    <row r="5942" spans="1:37" ht="16.05" customHeight="1">
      <c r="A5942" s="172" t="s">
        <v>5145</v>
      </c>
      <c r="B5942" s="178">
        <v>2112</v>
      </c>
      <c r="C5942" s="179" t="s">
        <v>2566</v>
      </c>
      <c r="D5942">
        <v>4084</v>
      </c>
      <c r="E5942" s="125" t="s">
        <v>1596</v>
      </c>
      <c r="F5942" s="178">
        <v>612</v>
      </c>
      <c r="G5942" s="178" t="s">
        <v>129</v>
      </c>
      <c r="H5942">
        <v>979</v>
      </c>
      <c r="I5942" s="178" t="s">
        <v>1546</v>
      </c>
      <c r="J5942" s="320" t="s">
        <v>214</v>
      </c>
      <c r="K5942" s="178" t="s">
        <v>5167</v>
      </c>
      <c r="L5942" s="125" t="s">
        <v>1579</v>
      </c>
      <c r="M5942">
        <v>1361</v>
      </c>
      <c r="N5942" s="182">
        <v>17</v>
      </c>
      <c r="O5942">
        <v>3900</v>
      </c>
      <c r="P5942" s="132" t="s">
        <v>77</v>
      </c>
      <c r="Q5942" s="176">
        <v>975</v>
      </c>
      <c r="R5942" s="176">
        <v>156</v>
      </c>
      <c r="S5942" s="176"/>
      <c r="T5942" s="190"/>
      <c r="U5942" s="191"/>
      <c r="V5942" s="191">
        <v>1131</v>
      </c>
      <c r="W5942">
        <v>147</v>
      </c>
      <c r="X5942" s="186" t="s">
        <v>1644</v>
      </c>
      <c r="Y5942" s="187" t="s">
        <v>55</v>
      </c>
      <c r="Z5942" s="311">
        <v>264</v>
      </c>
      <c r="AB5942" t="str">
        <f>IF(Table1[[#This Row],[TIPO2]]="costo", VLOOKUP(Table1[[#This Row],[PARTIDA PRESUPUESTAL]],'Cost Report'!G:G,1,0),"Balance")</f>
        <v>2594-003</v>
      </c>
      <c r="AD5942" s="159">
        <f>+Table1[[#This Row],[SUBTOTAL]]+Table1[[#This Row],[IVA]]-Table1[[#This Row],[RET IVA]]-Table1[[#This Row],[RET ISR]]-Table1[[#This Row],[TOTAL]]</f>
        <v>0</v>
      </c>
      <c r="AG5942" t="s">
        <v>3420</v>
      </c>
      <c r="AK5942" s="306" t="str">
        <f>IF(ISNUMBER(Table1[[#This Row],[FECHA DE RECIBIDO]]), Table1[[#This Row],[FECHA DE RECIBIDO]]-DATE(2023,8,30), "")</f>
        <v/>
      </c>
    </row>
    <row r="5943" spans="1:37" ht="16.05" customHeight="1">
      <c r="A5943" s="172" t="s">
        <v>5145</v>
      </c>
      <c r="B5943" s="178">
        <v>2112</v>
      </c>
      <c r="C5943" s="179" t="s">
        <v>2565</v>
      </c>
      <c r="D5943">
        <v>4085</v>
      </c>
      <c r="E5943" s="125" t="s">
        <v>3356</v>
      </c>
      <c r="F5943" s="178">
        <v>601</v>
      </c>
      <c r="G5943" s="178" t="s">
        <v>134</v>
      </c>
      <c r="H5943">
        <v>173</v>
      </c>
      <c r="I5943" s="178" t="s">
        <v>1546</v>
      </c>
      <c r="J5943" s="320" t="s">
        <v>214</v>
      </c>
      <c r="K5943" s="178" t="s">
        <v>5167</v>
      </c>
      <c r="L5943" s="125" t="s">
        <v>1579</v>
      </c>
      <c r="M5943">
        <v>230</v>
      </c>
      <c r="N5943" s="182">
        <v>17</v>
      </c>
      <c r="O5943">
        <v>3901</v>
      </c>
      <c r="P5943" s="132" t="s">
        <v>77</v>
      </c>
      <c r="Q5943" s="176">
        <v>2196.54</v>
      </c>
      <c r="R5943" s="176">
        <v>69.42</v>
      </c>
      <c r="S5943" s="176"/>
      <c r="T5943" s="190"/>
      <c r="U5943" s="191"/>
      <c r="V5943" s="191">
        <v>2265.96</v>
      </c>
      <c r="W5943">
        <v>147</v>
      </c>
      <c r="X5943" s="186" t="s">
        <v>1644</v>
      </c>
      <c r="Y5943" s="187" t="s">
        <v>55</v>
      </c>
      <c r="Z5943" s="311">
        <v>271</v>
      </c>
      <c r="AB5943" t="str">
        <f>IF(Table1[[#This Row],[TIPO2]]="costo", VLOOKUP(Table1[[#This Row],[PARTIDA PRESUPUESTAL]],'Cost Report'!G:G,1,0),"Balance")</f>
        <v>2585-003</v>
      </c>
      <c r="AD5943" s="159">
        <f>+Table1[[#This Row],[SUBTOTAL]]+Table1[[#This Row],[IVA]]-Table1[[#This Row],[RET IVA]]-Table1[[#This Row],[RET ISR]]-Table1[[#This Row],[TOTAL]]</f>
        <v>0</v>
      </c>
      <c r="AG5943" t="s">
        <v>3420</v>
      </c>
      <c r="AK5943" s="306" t="str">
        <f>IF(ISNUMBER(Table1[[#This Row],[FECHA DE RECIBIDO]]), Table1[[#This Row],[FECHA DE RECIBIDO]]-DATE(2023,8,30), "")</f>
        <v/>
      </c>
    </row>
    <row r="5944" spans="1:37" ht="16.05" customHeight="1">
      <c r="A5944" s="172" t="s">
        <v>5145</v>
      </c>
      <c r="B5944" s="178">
        <v>2112</v>
      </c>
      <c r="C5944" s="179" t="s">
        <v>2566</v>
      </c>
      <c r="D5944">
        <v>4086</v>
      </c>
      <c r="E5944" s="125" t="s">
        <v>3356</v>
      </c>
      <c r="F5944" s="178">
        <v>601</v>
      </c>
      <c r="G5944" s="178" t="s">
        <v>134</v>
      </c>
      <c r="H5944">
        <v>173</v>
      </c>
      <c r="I5944" s="178" t="s">
        <v>1546</v>
      </c>
      <c r="J5944" s="320" t="s">
        <v>214</v>
      </c>
      <c r="K5944" s="178" t="s">
        <v>5167</v>
      </c>
      <c r="L5944" s="125" t="s">
        <v>1579</v>
      </c>
      <c r="M5944">
        <v>230</v>
      </c>
      <c r="N5944" s="182">
        <v>17</v>
      </c>
      <c r="O5944">
        <v>3902</v>
      </c>
      <c r="P5944" s="132" t="s">
        <v>77</v>
      </c>
      <c r="Q5944" s="176">
        <v>2000</v>
      </c>
      <c r="R5944" s="176"/>
      <c r="S5944" s="176"/>
      <c r="T5944" s="190"/>
      <c r="U5944" s="191"/>
      <c r="V5944" s="191">
        <v>2000</v>
      </c>
      <c r="W5944">
        <v>147</v>
      </c>
      <c r="X5944" s="186" t="s">
        <v>1644</v>
      </c>
      <c r="Y5944" s="187" t="s">
        <v>55</v>
      </c>
      <c r="Z5944" s="311">
        <v>271</v>
      </c>
      <c r="AB5944" t="str">
        <f>IF(Table1[[#This Row],[TIPO2]]="costo", VLOOKUP(Table1[[#This Row],[PARTIDA PRESUPUESTAL]],'Cost Report'!G:G,1,0),"Balance")</f>
        <v>2594-003</v>
      </c>
      <c r="AD5944" s="159">
        <f>+Table1[[#This Row],[SUBTOTAL]]+Table1[[#This Row],[IVA]]-Table1[[#This Row],[RET IVA]]-Table1[[#This Row],[RET ISR]]-Table1[[#This Row],[TOTAL]]</f>
        <v>0</v>
      </c>
      <c r="AG5944" t="s">
        <v>3420</v>
      </c>
      <c r="AK5944" s="306" t="str">
        <f>IF(ISNUMBER(Table1[[#This Row],[FECHA DE RECIBIDO]]), Table1[[#This Row],[FECHA DE RECIBIDO]]-DATE(2023,8,30), "")</f>
        <v/>
      </c>
    </row>
    <row r="5945" spans="1:37" ht="16.05" customHeight="1">
      <c r="A5945" s="172" t="s">
        <v>5145</v>
      </c>
      <c r="B5945" s="178">
        <v>2112</v>
      </c>
      <c r="C5945" s="179" t="s">
        <v>2566</v>
      </c>
      <c r="D5945">
        <v>4087</v>
      </c>
      <c r="E5945" s="125" t="s">
        <v>1596</v>
      </c>
      <c r="F5945" s="178">
        <v>601</v>
      </c>
      <c r="G5945" s="178" t="s">
        <v>134</v>
      </c>
      <c r="H5945">
        <v>401</v>
      </c>
      <c r="I5945" s="178" t="s">
        <v>1546</v>
      </c>
      <c r="J5945" s="320" t="s">
        <v>214</v>
      </c>
      <c r="K5945" s="178" t="s">
        <v>5167</v>
      </c>
      <c r="L5945" s="125" t="s">
        <v>1579</v>
      </c>
      <c r="M5945">
        <v>533</v>
      </c>
      <c r="N5945" s="182">
        <v>17</v>
      </c>
      <c r="O5945">
        <v>3903</v>
      </c>
      <c r="P5945" s="132" t="s">
        <v>77</v>
      </c>
      <c r="Q5945" s="176">
        <v>3530.17</v>
      </c>
      <c r="R5945" s="176">
        <v>564.83000000000004</v>
      </c>
      <c r="S5945" s="176"/>
      <c r="T5945" s="190"/>
      <c r="U5945" s="191"/>
      <c r="V5945" s="191">
        <v>4095</v>
      </c>
      <c r="W5945">
        <v>147</v>
      </c>
      <c r="X5945" s="186" t="s">
        <v>1644</v>
      </c>
      <c r="Y5945" s="187" t="s">
        <v>55</v>
      </c>
      <c r="Z5945" s="311">
        <v>258</v>
      </c>
      <c r="AB5945" t="str">
        <f>IF(Table1[[#This Row],[TIPO2]]="costo", VLOOKUP(Table1[[#This Row],[PARTIDA PRESUPUESTAL]],'Cost Report'!G:G,1,0),"Balance")</f>
        <v>2594-003</v>
      </c>
      <c r="AD5945" s="159">
        <f>+Table1[[#This Row],[SUBTOTAL]]+Table1[[#This Row],[IVA]]-Table1[[#This Row],[RET IVA]]-Table1[[#This Row],[RET ISR]]-Table1[[#This Row],[TOTAL]]</f>
        <v>0</v>
      </c>
      <c r="AG5945" t="s">
        <v>3420</v>
      </c>
      <c r="AK5945" s="306" t="str">
        <f>IF(ISNUMBER(Table1[[#This Row],[FECHA DE RECIBIDO]]), Table1[[#This Row],[FECHA DE RECIBIDO]]-DATE(2023,8,30), "")</f>
        <v/>
      </c>
    </row>
    <row r="5946" spans="1:37" ht="16.05" customHeight="1">
      <c r="A5946" s="172" t="s">
        <v>5145</v>
      </c>
      <c r="B5946" s="178">
        <v>2112</v>
      </c>
      <c r="C5946" s="179" t="s">
        <v>2566</v>
      </c>
      <c r="D5946">
        <v>4088</v>
      </c>
      <c r="E5946" s="125" t="s">
        <v>1596</v>
      </c>
      <c r="F5946" s="178">
        <v>612</v>
      </c>
      <c r="G5946" s="178" t="s">
        <v>129</v>
      </c>
      <c r="H5946">
        <v>296</v>
      </c>
      <c r="I5946" s="178" t="s">
        <v>1546</v>
      </c>
      <c r="J5946" s="320" t="s">
        <v>214</v>
      </c>
      <c r="K5946" s="178" t="s">
        <v>5167</v>
      </c>
      <c r="L5946" s="125" t="s">
        <v>1579</v>
      </c>
      <c r="M5946">
        <v>1015</v>
      </c>
      <c r="N5946" s="182">
        <v>17</v>
      </c>
      <c r="O5946">
        <v>3904</v>
      </c>
      <c r="P5946" s="132" t="s">
        <v>77</v>
      </c>
      <c r="Q5946" s="176">
        <v>501</v>
      </c>
      <c r="R5946" s="176"/>
      <c r="S5946" s="176"/>
      <c r="T5946" s="190"/>
      <c r="U5946" s="191"/>
      <c r="V5946" s="191">
        <v>501</v>
      </c>
      <c r="W5946">
        <v>147</v>
      </c>
      <c r="X5946" s="186" t="s">
        <v>1644</v>
      </c>
      <c r="Y5946" s="187" t="s">
        <v>55</v>
      </c>
      <c r="Z5946" s="311">
        <v>258</v>
      </c>
      <c r="AB5946" t="str">
        <f>IF(Table1[[#This Row],[TIPO2]]="costo", VLOOKUP(Table1[[#This Row],[PARTIDA PRESUPUESTAL]],'Cost Report'!G:G,1,0),"Balance")</f>
        <v>2594-003</v>
      </c>
      <c r="AD5946" s="159">
        <f>+Table1[[#This Row],[SUBTOTAL]]+Table1[[#This Row],[IVA]]-Table1[[#This Row],[RET IVA]]-Table1[[#This Row],[RET ISR]]-Table1[[#This Row],[TOTAL]]</f>
        <v>0</v>
      </c>
      <c r="AG5946" t="s">
        <v>3420</v>
      </c>
      <c r="AK5946" s="306" t="str">
        <f>IF(ISNUMBER(Table1[[#This Row],[FECHA DE RECIBIDO]]), Table1[[#This Row],[FECHA DE RECIBIDO]]-DATE(2023,8,30), "")</f>
        <v/>
      </c>
    </row>
    <row r="5947" spans="1:37" ht="16.05" customHeight="1">
      <c r="A5947" s="172" t="s">
        <v>5145</v>
      </c>
      <c r="B5947" s="178">
        <v>2112</v>
      </c>
      <c r="C5947" s="179" t="s">
        <v>2566</v>
      </c>
      <c r="D5947">
        <v>4089</v>
      </c>
      <c r="E5947" s="125" t="s">
        <v>3378</v>
      </c>
      <c r="F5947" s="178">
        <v>601</v>
      </c>
      <c r="G5947" s="178" t="s">
        <v>134</v>
      </c>
      <c r="H5947">
        <v>57</v>
      </c>
      <c r="I5947" s="178" t="s">
        <v>1546</v>
      </c>
      <c r="J5947" s="320" t="s">
        <v>214</v>
      </c>
      <c r="K5947" s="178" t="s">
        <v>5167</v>
      </c>
      <c r="L5947" s="125" t="s">
        <v>1579</v>
      </c>
      <c r="M5947">
        <v>79</v>
      </c>
      <c r="N5947" s="182">
        <v>17</v>
      </c>
      <c r="O5947">
        <v>3905</v>
      </c>
      <c r="P5947" s="132" t="s">
        <v>77</v>
      </c>
      <c r="Q5947" s="176">
        <v>806.21</v>
      </c>
      <c r="R5947" s="176">
        <v>128.99</v>
      </c>
      <c r="S5947" s="176"/>
      <c r="T5947" s="190"/>
      <c r="U5947" s="191"/>
      <c r="V5947" s="191">
        <v>935.2</v>
      </c>
      <c r="W5947">
        <v>147</v>
      </c>
      <c r="X5947" s="186" t="s">
        <v>1644</v>
      </c>
      <c r="Y5947" s="187" t="s">
        <v>55</v>
      </c>
      <c r="Z5947" s="311">
        <v>258</v>
      </c>
      <c r="AB5947" t="str">
        <f>IF(Table1[[#This Row],[TIPO2]]="costo", VLOOKUP(Table1[[#This Row],[PARTIDA PRESUPUESTAL]],'Cost Report'!G:G,1,0),"Balance")</f>
        <v>2594-003</v>
      </c>
      <c r="AD5947" s="159">
        <f>+Table1[[#This Row],[SUBTOTAL]]+Table1[[#This Row],[IVA]]-Table1[[#This Row],[RET IVA]]-Table1[[#This Row],[RET ISR]]-Table1[[#This Row],[TOTAL]]</f>
        <v>0</v>
      </c>
      <c r="AG5947" t="s">
        <v>3420</v>
      </c>
      <c r="AK5947" s="306" t="str">
        <f>IF(ISNUMBER(Table1[[#This Row],[FECHA DE RECIBIDO]]), Table1[[#This Row],[FECHA DE RECIBIDO]]-DATE(2023,8,30), "")</f>
        <v/>
      </c>
    </row>
    <row r="5948" spans="1:37" ht="16.05" customHeight="1">
      <c r="A5948" s="172" t="s">
        <v>5145</v>
      </c>
      <c r="B5948" s="178">
        <v>2112</v>
      </c>
      <c r="C5948" s="179" t="s">
        <v>2565</v>
      </c>
      <c r="D5948">
        <v>4090</v>
      </c>
      <c r="E5948" s="125" t="s">
        <v>1603</v>
      </c>
      <c r="F5948" s="178">
        <v>601</v>
      </c>
      <c r="G5948" s="178" t="s">
        <v>134</v>
      </c>
      <c r="H5948">
        <v>273</v>
      </c>
      <c r="I5948" s="178" t="s">
        <v>1546</v>
      </c>
      <c r="J5948" s="320" t="s">
        <v>214</v>
      </c>
      <c r="K5948" s="178" t="s">
        <v>5167</v>
      </c>
      <c r="L5948" s="125" t="s">
        <v>1579</v>
      </c>
      <c r="M5948">
        <v>364</v>
      </c>
      <c r="N5948" s="182">
        <v>17</v>
      </c>
      <c r="O5948">
        <v>3906</v>
      </c>
      <c r="P5948" s="132" t="s">
        <v>77</v>
      </c>
      <c r="Q5948" s="176">
        <v>900.86</v>
      </c>
      <c r="R5948" s="176">
        <v>144.13999999999999</v>
      </c>
      <c r="S5948" s="176"/>
      <c r="T5948" s="190"/>
      <c r="U5948" s="191"/>
      <c r="V5948" s="191">
        <v>1045</v>
      </c>
      <c r="W5948">
        <v>147</v>
      </c>
      <c r="X5948" s="186" t="s">
        <v>1644</v>
      </c>
      <c r="Y5948" s="187" t="s">
        <v>55</v>
      </c>
      <c r="Z5948" s="311">
        <v>271</v>
      </c>
      <c r="AB5948" t="str">
        <f>IF(Table1[[#This Row],[TIPO2]]="costo", VLOOKUP(Table1[[#This Row],[PARTIDA PRESUPUESTAL]],'Cost Report'!G:G,1,0),"Balance")</f>
        <v>2585-003</v>
      </c>
      <c r="AD5948" s="159">
        <f>+Table1[[#This Row],[SUBTOTAL]]+Table1[[#This Row],[IVA]]-Table1[[#This Row],[RET IVA]]-Table1[[#This Row],[RET ISR]]-Table1[[#This Row],[TOTAL]]</f>
        <v>0</v>
      </c>
      <c r="AG5948" t="s">
        <v>3420</v>
      </c>
      <c r="AK5948" s="306" t="str">
        <f>IF(ISNUMBER(Table1[[#This Row],[FECHA DE RECIBIDO]]), Table1[[#This Row],[FECHA DE RECIBIDO]]-DATE(2023,8,30), "")</f>
        <v/>
      </c>
    </row>
    <row r="5949" spans="1:37" ht="16.05" customHeight="1">
      <c r="A5949" s="172" t="s">
        <v>5145</v>
      </c>
      <c r="B5949" s="178">
        <v>2112</v>
      </c>
      <c r="C5949" s="179" t="s">
        <v>2565</v>
      </c>
      <c r="D5949">
        <v>4091</v>
      </c>
      <c r="E5949" s="125" t="s">
        <v>3354</v>
      </c>
      <c r="F5949" s="178">
        <v>601</v>
      </c>
      <c r="G5949" s="178" t="s">
        <v>134</v>
      </c>
      <c r="H5949">
        <v>91</v>
      </c>
      <c r="I5949" s="178" t="s">
        <v>1546</v>
      </c>
      <c r="J5949" s="320" t="s">
        <v>214</v>
      </c>
      <c r="K5949" s="178" t="s">
        <v>5167</v>
      </c>
      <c r="L5949" s="125" t="s">
        <v>1579</v>
      </c>
      <c r="M5949">
        <v>122</v>
      </c>
      <c r="N5949" s="182">
        <v>17</v>
      </c>
      <c r="O5949">
        <v>3907</v>
      </c>
      <c r="P5949" s="132" t="s">
        <v>77</v>
      </c>
      <c r="Q5949" s="176">
        <v>507.69</v>
      </c>
      <c r="R5949" s="176">
        <v>35.31</v>
      </c>
      <c r="S5949" s="176"/>
      <c r="T5949" s="190"/>
      <c r="U5949" s="191"/>
      <c r="V5949" s="191">
        <v>543</v>
      </c>
      <c r="W5949">
        <v>147</v>
      </c>
      <c r="X5949" s="186" t="s">
        <v>1644</v>
      </c>
      <c r="Y5949" s="187" t="s">
        <v>55</v>
      </c>
      <c r="Z5949" s="311">
        <v>271</v>
      </c>
      <c r="AB5949" t="str">
        <f>IF(Table1[[#This Row],[TIPO2]]="costo", VLOOKUP(Table1[[#This Row],[PARTIDA PRESUPUESTAL]],'Cost Report'!G:G,1,0),"Balance")</f>
        <v>2585-003</v>
      </c>
      <c r="AD5949" s="159">
        <f>+Table1[[#This Row],[SUBTOTAL]]+Table1[[#This Row],[IVA]]-Table1[[#This Row],[RET IVA]]-Table1[[#This Row],[RET ISR]]-Table1[[#This Row],[TOTAL]]</f>
        <v>0</v>
      </c>
      <c r="AG5949" t="s">
        <v>3420</v>
      </c>
      <c r="AK5949" s="306" t="str">
        <f>IF(ISNUMBER(Table1[[#This Row],[FECHA DE RECIBIDO]]), Table1[[#This Row],[FECHA DE RECIBIDO]]-DATE(2023,8,30), "")</f>
        <v/>
      </c>
    </row>
    <row r="5950" spans="1:37" ht="16.05" customHeight="1">
      <c r="A5950" s="172" t="s">
        <v>5145</v>
      </c>
      <c r="B5950" s="178">
        <v>2112</v>
      </c>
      <c r="C5950" s="179" t="s">
        <v>2565</v>
      </c>
      <c r="D5950">
        <v>4092</v>
      </c>
      <c r="E5950" s="125" t="s">
        <v>3275</v>
      </c>
      <c r="F5950" s="178">
        <v>601</v>
      </c>
      <c r="G5950" s="178" t="s">
        <v>134</v>
      </c>
      <c r="H5950">
        <v>57</v>
      </c>
      <c r="I5950" s="178" t="s">
        <v>1546</v>
      </c>
      <c r="J5950" s="320" t="s">
        <v>214</v>
      </c>
      <c r="K5950" s="178" t="s">
        <v>5167</v>
      </c>
      <c r="L5950" s="125" t="s">
        <v>1579</v>
      </c>
      <c r="M5950">
        <v>79</v>
      </c>
      <c r="N5950" s="182">
        <v>17</v>
      </c>
      <c r="O5950">
        <v>3908</v>
      </c>
      <c r="P5950" s="132" t="s">
        <v>77</v>
      </c>
      <c r="Q5950" s="176">
        <v>101.72</v>
      </c>
      <c r="R5950" s="176">
        <v>16.28</v>
      </c>
      <c r="S5950" s="176"/>
      <c r="T5950" s="190"/>
      <c r="U5950" s="191"/>
      <c r="V5950" s="191">
        <v>118</v>
      </c>
      <c r="W5950">
        <v>147</v>
      </c>
      <c r="X5950" s="186" t="s">
        <v>1644</v>
      </c>
      <c r="Y5950" s="187" t="s">
        <v>55</v>
      </c>
      <c r="Z5950" s="311">
        <v>264</v>
      </c>
      <c r="AB5950" t="str">
        <f>IF(Table1[[#This Row],[TIPO2]]="costo", VLOOKUP(Table1[[#This Row],[PARTIDA PRESUPUESTAL]],'Cost Report'!G:G,1,0),"Balance")</f>
        <v>2585-003</v>
      </c>
      <c r="AD5950" s="159">
        <f>+Table1[[#This Row],[SUBTOTAL]]+Table1[[#This Row],[IVA]]-Table1[[#This Row],[RET IVA]]-Table1[[#This Row],[RET ISR]]-Table1[[#This Row],[TOTAL]]</f>
        <v>0</v>
      </c>
      <c r="AG5950" t="s">
        <v>3420</v>
      </c>
      <c r="AK5950" s="306" t="str">
        <f>IF(ISNUMBER(Table1[[#This Row],[FECHA DE RECIBIDO]]), Table1[[#This Row],[FECHA DE RECIBIDO]]-DATE(2023,8,30), "")</f>
        <v/>
      </c>
    </row>
    <row r="5951" spans="1:37" ht="16.05" customHeight="1">
      <c r="A5951" s="172" t="s">
        <v>5145</v>
      </c>
      <c r="B5951" s="178">
        <v>2112</v>
      </c>
      <c r="C5951" s="179" t="s">
        <v>2567</v>
      </c>
      <c r="D5951">
        <v>4093</v>
      </c>
      <c r="E5951" s="125" t="s">
        <v>3272</v>
      </c>
      <c r="F5951" s="178">
        <v>601</v>
      </c>
      <c r="G5951" s="178" t="s">
        <v>134</v>
      </c>
      <c r="H5951">
        <v>980</v>
      </c>
      <c r="I5951" s="178" t="s">
        <v>1546</v>
      </c>
      <c r="J5951" s="320" t="s">
        <v>214</v>
      </c>
      <c r="K5951" s="178" t="s">
        <v>5167</v>
      </c>
      <c r="L5951" s="125" t="s">
        <v>1579</v>
      </c>
      <c r="M5951">
        <v>1362</v>
      </c>
      <c r="N5951" s="182">
        <v>17</v>
      </c>
      <c r="O5951">
        <v>3909</v>
      </c>
      <c r="P5951" s="132" t="s">
        <v>77</v>
      </c>
      <c r="Q5951" s="176">
        <v>2067.36</v>
      </c>
      <c r="R5951" s="176">
        <v>330.78</v>
      </c>
      <c r="S5951" s="176"/>
      <c r="T5951" s="190"/>
      <c r="U5951" s="191"/>
      <c r="V5951" s="191">
        <v>2398.1400000000003</v>
      </c>
      <c r="W5951">
        <v>147</v>
      </c>
      <c r="X5951" s="186" t="s">
        <v>1644</v>
      </c>
      <c r="Y5951" s="187" t="s">
        <v>55</v>
      </c>
      <c r="Z5951" s="311">
        <v>267</v>
      </c>
      <c r="AB5951" t="str">
        <f>IF(Table1[[#This Row],[TIPO2]]="costo", VLOOKUP(Table1[[#This Row],[PARTIDA PRESUPUESTAL]],'Cost Report'!G:G,1,0),"Balance")</f>
        <v>2598-003</v>
      </c>
      <c r="AD5951" s="159">
        <f>+Table1[[#This Row],[SUBTOTAL]]+Table1[[#This Row],[IVA]]-Table1[[#This Row],[RET IVA]]-Table1[[#This Row],[RET ISR]]-Table1[[#This Row],[TOTAL]]</f>
        <v>0</v>
      </c>
      <c r="AG5951" t="s">
        <v>3420</v>
      </c>
      <c r="AK5951" s="306" t="str">
        <f>IF(ISNUMBER(Table1[[#This Row],[FECHA DE RECIBIDO]]), Table1[[#This Row],[FECHA DE RECIBIDO]]-DATE(2023,8,30), "")</f>
        <v/>
      </c>
    </row>
    <row r="5952" spans="1:37" ht="16.05" customHeight="1">
      <c r="A5952" s="172" t="s">
        <v>5145</v>
      </c>
      <c r="B5952" s="178">
        <v>2112</v>
      </c>
      <c r="C5952" s="179" t="s">
        <v>2567</v>
      </c>
      <c r="D5952">
        <v>4094</v>
      </c>
      <c r="E5952" s="125" t="s">
        <v>3363</v>
      </c>
      <c r="F5952" s="178">
        <v>601</v>
      </c>
      <c r="G5952" s="178" t="s">
        <v>134</v>
      </c>
      <c r="H5952">
        <v>99</v>
      </c>
      <c r="I5952" s="178" t="s">
        <v>1546</v>
      </c>
      <c r="J5952" s="320" t="s">
        <v>214</v>
      </c>
      <c r="K5952" s="178" t="s">
        <v>5167</v>
      </c>
      <c r="L5952" s="125" t="s">
        <v>1579</v>
      </c>
      <c r="M5952">
        <v>134</v>
      </c>
      <c r="N5952" s="182">
        <v>17</v>
      </c>
      <c r="O5952">
        <v>3910</v>
      </c>
      <c r="P5952" s="132" t="s">
        <v>77</v>
      </c>
      <c r="Q5952" s="176">
        <v>1188.79</v>
      </c>
      <c r="R5952" s="176">
        <v>190.21</v>
      </c>
      <c r="S5952" s="176"/>
      <c r="T5952" s="190"/>
      <c r="U5952" s="191"/>
      <c r="V5952" s="191">
        <v>1379</v>
      </c>
      <c r="W5952">
        <v>147</v>
      </c>
      <c r="X5952" s="186" t="s">
        <v>1644</v>
      </c>
      <c r="Y5952" s="187" t="s">
        <v>55</v>
      </c>
      <c r="Z5952" s="311">
        <v>271</v>
      </c>
      <c r="AB5952" t="str">
        <f>IF(Table1[[#This Row],[TIPO2]]="costo", VLOOKUP(Table1[[#This Row],[PARTIDA PRESUPUESTAL]],'Cost Report'!G:G,1,0),"Balance")</f>
        <v>2598-003</v>
      </c>
      <c r="AD5952" s="159">
        <f>+Table1[[#This Row],[SUBTOTAL]]+Table1[[#This Row],[IVA]]-Table1[[#This Row],[RET IVA]]-Table1[[#This Row],[RET ISR]]-Table1[[#This Row],[TOTAL]]</f>
        <v>0</v>
      </c>
      <c r="AG5952" t="s">
        <v>3420</v>
      </c>
      <c r="AK5952" s="306" t="str">
        <f>IF(ISNUMBER(Table1[[#This Row],[FECHA DE RECIBIDO]]), Table1[[#This Row],[FECHA DE RECIBIDO]]-DATE(2023,8,30), "")</f>
        <v/>
      </c>
    </row>
    <row r="5953" spans="1:37" ht="16.05" customHeight="1">
      <c r="A5953" s="172" t="s">
        <v>5145</v>
      </c>
      <c r="B5953" s="178">
        <v>2112</v>
      </c>
      <c r="C5953" s="179" t="s">
        <v>2567</v>
      </c>
      <c r="D5953">
        <v>4095</v>
      </c>
      <c r="E5953" s="125" t="s">
        <v>1614</v>
      </c>
      <c r="F5953" s="178">
        <v>601</v>
      </c>
      <c r="G5953" s="178" t="s">
        <v>134</v>
      </c>
      <c r="H5953">
        <v>844</v>
      </c>
      <c r="I5953" s="178" t="s">
        <v>1546</v>
      </c>
      <c r="J5953" s="320" t="s">
        <v>214</v>
      </c>
      <c r="K5953" s="178" t="s">
        <v>5167</v>
      </c>
      <c r="L5953" s="125" t="s">
        <v>1579</v>
      </c>
      <c r="M5953">
        <v>1170</v>
      </c>
      <c r="N5953" s="182">
        <v>17</v>
      </c>
      <c r="O5953">
        <v>3911</v>
      </c>
      <c r="P5953" s="132" t="s">
        <v>77</v>
      </c>
      <c r="Q5953" s="176">
        <v>143.1</v>
      </c>
      <c r="R5953" s="176">
        <v>22.9</v>
      </c>
      <c r="S5953" s="176"/>
      <c r="T5953" s="190"/>
      <c r="U5953" s="191"/>
      <c r="V5953" s="191">
        <v>166</v>
      </c>
      <c r="W5953">
        <v>147</v>
      </c>
      <c r="X5953" s="186" t="s">
        <v>1644</v>
      </c>
      <c r="Y5953" s="187" t="s">
        <v>55</v>
      </c>
      <c r="Z5953" s="311">
        <v>267</v>
      </c>
      <c r="AB5953" t="str">
        <f>IF(Table1[[#This Row],[TIPO2]]="costo", VLOOKUP(Table1[[#This Row],[PARTIDA PRESUPUESTAL]],'Cost Report'!G:G,1,0),"Balance")</f>
        <v>2598-003</v>
      </c>
      <c r="AD5953" s="159">
        <f>+Table1[[#This Row],[SUBTOTAL]]+Table1[[#This Row],[IVA]]-Table1[[#This Row],[RET IVA]]-Table1[[#This Row],[RET ISR]]-Table1[[#This Row],[TOTAL]]</f>
        <v>0</v>
      </c>
      <c r="AG5953" t="s">
        <v>3420</v>
      </c>
      <c r="AK5953" s="306" t="str">
        <f>IF(ISNUMBER(Table1[[#This Row],[FECHA DE RECIBIDO]]), Table1[[#This Row],[FECHA DE RECIBIDO]]-DATE(2023,8,30), "")</f>
        <v/>
      </c>
    </row>
    <row r="5954" spans="1:37" ht="16.05" customHeight="1">
      <c r="A5954" s="172" t="s">
        <v>5145</v>
      </c>
      <c r="B5954" s="178">
        <v>2112</v>
      </c>
      <c r="C5954" s="179" t="s">
        <v>2567</v>
      </c>
      <c r="D5954">
        <v>4096</v>
      </c>
      <c r="E5954" s="125" t="s">
        <v>3275</v>
      </c>
      <c r="F5954" s="178">
        <v>601</v>
      </c>
      <c r="G5954" s="178" t="s">
        <v>134</v>
      </c>
      <c r="H5954">
        <v>41</v>
      </c>
      <c r="I5954" s="178" t="s">
        <v>1546</v>
      </c>
      <c r="J5954" s="320" t="s">
        <v>214</v>
      </c>
      <c r="K5954" s="178" t="s">
        <v>5167</v>
      </c>
      <c r="L5954" s="125" t="s">
        <v>1579</v>
      </c>
      <c r="M5954">
        <v>323</v>
      </c>
      <c r="N5954" s="182">
        <v>17</v>
      </c>
      <c r="O5954">
        <v>3912</v>
      </c>
      <c r="P5954" s="132" t="s">
        <v>77</v>
      </c>
      <c r="Q5954" s="176">
        <v>197.41</v>
      </c>
      <c r="R5954" s="176">
        <v>31.59</v>
      </c>
      <c r="S5954" s="176"/>
      <c r="T5954" s="190"/>
      <c r="U5954" s="191"/>
      <c r="V5954" s="191">
        <v>229</v>
      </c>
      <c r="W5954">
        <v>147</v>
      </c>
      <c r="X5954" s="186" t="s">
        <v>1644</v>
      </c>
      <c r="Y5954" s="187" t="s">
        <v>55</v>
      </c>
      <c r="Z5954" s="311">
        <v>271</v>
      </c>
      <c r="AB5954" t="str">
        <f>IF(Table1[[#This Row],[TIPO2]]="costo", VLOOKUP(Table1[[#This Row],[PARTIDA PRESUPUESTAL]],'Cost Report'!G:G,1,0),"Balance")</f>
        <v>2598-003</v>
      </c>
      <c r="AD5954" s="159">
        <f>+Table1[[#This Row],[SUBTOTAL]]+Table1[[#This Row],[IVA]]-Table1[[#This Row],[RET IVA]]-Table1[[#This Row],[RET ISR]]-Table1[[#This Row],[TOTAL]]</f>
        <v>0</v>
      </c>
      <c r="AG5954" t="s">
        <v>3420</v>
      </c>
      <c r="AK5954" s="306" t="str">
        <f>IF(ISNUMBER(Table1[[#This Row],[FECHA DE RECIBIDO]]), Table1[[#This Row],[FECHA DE RECIBIDO]]-DATE(2023,8,30), "")</f>
        <v/>
      </c>
    </row>
    <row r="5955" spans="1:37" ht="16.05" customHeight="1">
      <c r="A5955" s="172" t="s">
        <v>5145</v>
      </c>
      <c r="B5955" s="178">
        <v>2112</v>
      </c>
      <c r="C5955" s="179" t="s">
        <v>2565</v>
      </c>
      <c r="D5955">
        <v>4097</v>
      </c>
      <c r="E5955" s="125" t="s">
        <v>3292</v>
      </c>
      <c r="F5955" s="178">
        <v>601</v>
      </c>
      <c r="G5955" s="178" t="s">
        <v>134</v>
      </c>
      <c r="H5955">
        <v>57</v>
      </c>
      <c r="I5955" s="178" t="s">
        <v>1546</v>
      </c>
      <c r="J5955" s="320" t="s">
        <v>214</v>
      </c>
      <c r="K5955" s="178" t="s">
        <v>5167</v>
      </c>
      <c r="L5955" s="125" t="s">
        <v>1579</v>
      </c>
      <c r="M5955">
        <v>79</v>
      </c>
      <c r="N5955" s="182">
        <v>17</v>
      </c>
      <c r="O5955">
        <v>3913</v>
      </c>
      <c r="P5955" s="132" t="s">
        <v>77</v>
      </c>
      <c r="Q5955" s="176">
        <v>488.79</v>
      </c>
      <c r="R5955" s="176">
        <v>78.209999999999994</v>
      </c>
      <c r="S5955" s="176"/>
      <c r="T5955" s="190"/>
      <c r="U5955" s="191"/>
      <c r="V5955" s="191">
        <v>567</v>
      </c>
      <c r="W5955">
        <v>147</v>
      </c>
      <c r="X5955" s="186" t="s">
        <v>1644</v>
      </c>
      <c r="Y5955" s="187" t="s">
        <v>55</v>
      </c>
      <c r="Z5955" s="311">
        <v>229</v>
      </c>
      <c r="AB5955" t="str">
        <f>IF(Table1[[#This Row],[TIPO2]]="costo", VLOOKUP(Table1[[#This Row],[PARTIDA PRESUPUESTAL]],'Cost Report'!G:G,1,0),"Balance")</f>
        <v>2585-003</v>
      </c>
      <c r="AD5955" s="159">
        <f>+Table1[[#This Row],[SUBTOTAL]]+Table1[[#This Row],[IVA]]-Table1[[#This Row],[RET IVA]]-Table1[[#This Row],[RET ISR]]-Table1[[#This Row],[TOTAL]]</f>
        <v>0</v>
      </c>
      <c r="AG5955" t="s">
        <v>3420</v>
      </c>
      <c r="AK5955" s="306" t="str">
        <f>IF(ISNUMBER(Table1[[#This Row],[FECHA DE RECIBIDO]]), Table1[[#This Row],[FECHA DE RECIBIDO]]-DATE(2023,8,30), "")</f>
        <v/>
      </c>
    </row>
    <row r="5956" spans="1:37" ht="16.05" customHeight="1">
      <c r="A5956" s="172" t="s">
        <v>5145</v>
      </c>
      <c r="B5956" s="178">
        <v>2112</v>
      </c>
      <c r="C5956" s="179" t="s">
        <v>2565</v>
      </c>
      <c r="D5956">
        <v>4098</v>
      </c>
      <c r="E5956" s="125" t="s">
        <v>1608</v>
      </c>
      <c r="F5956" s="178">
        <v>601</v>
      </c>
      <c r="G5956" s="178" t="s">
        <v>134</v>
      </c>
      <c r="H5956">
        <v>981</v>
      </c>
      <c r="I5956" s="178" t="s">
        <v>1546</v>
      </c>
      <c r="J5956" s="320" t="s">
        <v>214</v>
      </c>
      <c r="K5956" s="178" t="s">
        <v>5167</v>
      </c>
      <c r="L5956" s="125" t="s">
        <v>1579</v>
      </c>
      <c r="M5956">
        <v>1363</v>
      </c>
      <c r="N5956" s="182">
        <v>17</v>
      </c>
      <c r="O5956">
        <v>3914</v>
      </c>
      <c r="P5956" s="132" t="s">
        <v>77</v>
      </c>
      <c r="Q5956" s="176">
        <v>50</v>
      </c>
      <c r="R5956" s="176">
        <v>8</v>
      </c>
      <c r="S5956" s="176"/>
      <c r="T5956" s="190"/>
      <c r="U5956" s="191"/>
      <c r="V5956" s="191">
        <v>58</v>
      </c>
      <c r="W5956">
        <v>147</v>
      </c>
      <c r="X5956" s="186" t="s">
        <v>1644</v>
      </c>
      <c r="Y5956" s="187" t="s">
        <v>55</v>
      </c>
      <c r="Z5956" s="311">
        <v>241</v>
      </c>
      <c r="AB5956" t="str">
        <f>IF(Table1[[#This Row],[TIPO2]]="costo", VLOOKUP(Table1[[#This Row],[PARTIDA PRESUPUESTAL]],'Cost Report'!G:G,1,0),"Balance")</f>
        <v>2585-003</v>
      </c>
      <c r="AD5956" s="159">
        <f>+Table1[[#This Row],[SUBTOTAL]]+Table1[[#This Row],[IVA]]-Table1[[#This Row],[RET IVA]]-Table1[[#This Row],[RET ISR]]-Table1[[#This Row],[TOTAL]]</f>
        <v>0</v>
      </c>
      <c r="AG5956" t="s">
        <v>3420</v>
      </c>
      <c r="AK5956" s="306" t="str">
        <f>IF(ISNUMBER(Table1[[#This Row],[FECHA DE RECIBIDO]]), Table1[[#This Row],[FECHA DE RECIBIDO]]-DATE(2023,8,30), "")</f>
        <v/>
      </c>
    </row>
    <row r="5957" spans="1:37" ht="16.05" customHeight="1">
      <c r="A5957" s="172" t="s">
        <v>5145</v>
      </c>
      <c r="B5957" s="178">
        <v>2112</v>
      </c>
      <c r="C5957" s="179" t="s">
        <v>2565</v>
      </c>
      <c r="D5957">
        <v>4099</v>
      </c>
      <c r="E5957" s="125" t="s">
        <v>1608</v>
      </c>
      <c r="F5957" s="178">
        <v>601</v>
      </c>
      <c r="G5957" s="178" t="s">
        <v>134</v>
      </c>
      <c r="H5957">
        <v>273</v>
      </c>
      <c r="I5957" s="178" t="s">
        <v>1546</v>
      </c>
      <c r="J5957" s="320" t="s">
        <v>214</v>
      </c>
      <c r="K5957" s="178" t="s">
        <v>5167</v>
      </c>
      <c r="L5957" s="125" t="s">
        <v>1579</v>
      </c>
      <c r="M5957">
        <v>364</v>
      </c>
      <c r="N5957" s="182">
        <v>17</v>
      </c>
      <c r="O5957">
        <v>3915</v>
      </c>
      <c r="P5957" s="132" t="s">
        <v>77</v>
      </c>
      <c r="Q5957" s="176">
        <v>833.53</v>
      </c>
      <c r="R5957" s="176">
        <v>133.37</v>
      </c>
      <c r="S5957" s="176"/>
      <c r="T5957" s="190"/>
      <c r="U5957" s="191"/>
      <c r="V5957" s="191">
        <v>966.9</v>
      </c>
      <c r="W5957">
        <v>147</v>
      </c>
      <c r="X5957" s="186" t="s">
        <v>1644</v>
      </c>
      <c r="Y5957" s="187" t="s">
        <v>55</v>
      </c>
      <c r="Z5957" s="311">
        <v>241</v>
      </c>
      <c r="AB5957" t="str">
        <f>IF(Table1[[#This Row],[TIPO2]]="costo", VLOOKUP(Table1[[#This Row],[PARTIDA PRESUPUESTAL]],'Cost Report'!G:G,1,0),"Balance")</f>
        <v>2585-003</v>
      </c>
      <c r="AD5957" s="159">
        <f>+Table1[[#This Row],[SUBTOTAL]]+Table1[[#This Row],[IVA]]-Table1[[#This Row],[RET IVA]]-Table1[[#This Row],[RET ISR]]-Table1[[#This Row],[TOTAL]]</f>
        <v>0</v>
      </c>
      <c r="AG5957" t="s">
        <v>3420</v>
      </c>
      <c r="AK5957" s="306" t="str">
        <f>IF(ISNUMBER(Table1[[#This Row],[FECHA DE RECIBIDO]]), Table1[[#This Row],[FECHA DE RECIBIDO]]-DATE(2023,8,30), "")</f>
        <v/>
      </c>
    </row>
    <row r="5958" spans="1:37" ht="16.05" customHeight="1">
      <c r="A5958" s="172" t="s">
        <v>5145</v>
      </c>
      <c r="B5958" s="178">
        <v>2112</v>
      </c>
      <c r="C5958" s="179" t="s">
        <v>2566</v>
      </c>
      <c r="D5958">
        <v>689</v>
      </c>
      <c r="E5958" s="125"/>
      <c r="F5958" s="178"/>
      <c r="G5958" s="178"/>
      <c r="H5958"/>
      <c r="I5958" s="178"/>
      <c r="J5958" s="320" t="s">
        <v>214</v>
      </c>
      <c r="K5958" s="178" t="s">
        <v>5167</v>
      </c>
      <c r="L5958" s="125" t="s">
        <v>1579</v>
      </c>
      <c r="M5958">
        <v>1364</v>
      </c>
      <c r="N5958" s="182">
        <v>17</v>
      </c>
      <c r="O5958">
        <v>3916</v>
      </c>
      <c r="P5958" s="132" t="s">
        <v>77</v>
      </c>
      <c r="Q5958" s="176">
        <v>113.68</v>
      </c>
      <c r="R5958" s="176"/>
      <c r="S5958" s="176"/>
      <c r="T5958" s="190"/>
      <c r="U5958" s="191"/>
      <c r="V5958" s="191">
        <v>113.68</v>
      </c>
      <c r="W5958">
        <v>147</v>
      </c>
      <c r="X5958" s="186" t="s">
        <v>1644</v>
      </c>
      <c r="Y5958" s="187" t="s">
        <v>55</v>
      </c>
      <c r="Z5958" s="311">
        <v>251</v>
      </c>
      <c r="AB5958" t="str">
        <f>IF(Table1[[#This Row],[TIPO2]]="costo", VLOOKUP(Table1[[#This Row],[PARTIDA PRESUPUESTAL]],'Cost Report'!G:G,1,0),"Balance")</f>
        <v>2594-003</v>
      </c>
      <c r="AD5958" s="159">
        <f>+Table1[[#This Row],[SUBTOTAL]]+Table1[[#This Row],[IVA]]-Table1[[#This Row],[RET IVA]]-Table1[[#This Row],[RET ISR]]-Table1[[#This Row],[TOTAL]]</f>
        <v>0</v>
      </c>
      <c r="AG5958" t="s">
        <v>3420</v>
      </c>
      <c r="AK5958" s="306" t="str">
        <f>IF(ISNUMBER(Table1[[#This Row],[FECHA DE RECIBIDO]]), Table1[[#This Row],[FECHA DE RECIBIDO]]-DATE(2023,8,30), "")</f>
        <v/>
      </c>
    </row>
    <row r="5959" spans="1:37" ht="16.05" customHeight="1">
      <c r="A5959" s="172" t="s">
        <v>5145</v>
      </c>
      <c r="B5959" s="178">
        <v>2112</v>
      </c>
      <c r="C5959" s="179" t="s">
        <v>2566</v>
      </c>
      <c r="D5959">
        <v>689</v>
      </c>
      <c r="E5959" s="125"/>
      <c r="F5959" s="178"/>
      <c r="G5959" s="178"/>
      <c r="H5959"/>
      <c r="I5959" s="178"/>
      <c r="J5959" s="320" t="s">
        <v>214</v>
      </c>
      <c r="K5959" s="178" t="s">
        <v>5167</v>
      </c>
      <c r="L5959" s="125" t="s">
        <v>1579</v>
      </c>
      <c r="M5959">
        <v>1365</v>
      </c>
      <c r="N5959" s="182">
        <v>17</v>
      </c>
      <c r="O5959">
        <v>3917</v>
      </c>
      <c r="P5959" s="132" t="s">
        <v>77</v>
      </c>
      <c r="Q5959" s="176">
        <v>296</v>
      </c>
      <c r="R5959" s="176"/>
      <c r="S5959" s="176"/>
      <c r="T5959" s="190"/>
      <c r="U5959" s="191"/>
      <c r="V5959" s="191">
        <v>296</v>
      </c>
      <c r="W5959">
        <v>147</v>
      </c>
      <c r="X5959" s="186" t="s">
        <v>1644</v>
      </c>
      <c r="Y5959" s="187" t="s">
        <v>55</v>
      </c>
      <c r="Z5959" s="311">
        <v>238</v>
      </c>
      <c r="AB5959" t="str">
        <f>IF(Table1[[#This Row],[TIPO2]]="costo", VLOOKUP(Table1[[#This Row],[PARTIDA PRESUPUESTAL]],'Cost Report'!G:G,1,0),"Balance")</f>
        <v>2594-003</v>
      </c>
      <c r="AD5959" s="159">
        <f>+Table1[[#This Row],[SUBTOTAL]]+Table1[[#This Row],[IVA]]-Table1[[#This Row],[RET IVA]]-Table1[[#This Row],[RET ISR]]-Table1[[#This Row],[TOTAL]]</f>
        <v>0</v>
      </c>
      <c r="AG5959" t="s">
        <v>3420</v>
      </c>
      <c r="AK5959" s="306" t="str">
        <f>IF(ISNUMBER(Table1[[#This Row],[FECHA DE RECIBIDO]]), Table1[[#This Row],[FECHA DE RECIBIDO]]-DATE(2023,8,30), "")</f>
        <v/>
      </c>
    </row>
    <row r="5960" spans="1:37" ht="16.05" customHeight="1">
      <c r="A5960" s="172" t="s">
        <v>5145</v>
      </c>
      <c r="B5960" s="178">
        <v>2112</v>
      </c>
      <c r="C5960" s="179" t="s">
        <v>2565</v>
      </c>
      <c r="D5960">
        <v>689</v>
      </c>
      <c r="E5960" s="125"/>
      <c r="F5960" s="178"/>
      <c r="G5960" s="178"/>
      <c r="H5960"/>
      <c r="I5960" s="178"/>
      <c r="J5960" s="320" t="s">
        <v>214</v>
      </c>
      <c r="K5960" s="178" t="s">
        <v>5167</v>
      </c>
      <c r="L5960" s="125" t="s">
        <v>1579</v>
      </c>
      <c r="M5960">
        <v>1218</v>
      </c>
      <c r="N5960" s="182">
        <v>17</v>
      </c>
      <c r="O5960">
        <v>3918</v>
      </c>
      <c r="P5960" s="132" t="s">
        <v>77</v>
      </c>
      <c r="Q5960" s="176">
        <v>1093</v>
      </c>
      <c r="R5960" s="176"/>
      <c r="S5960" s="176"/>
      <c r="T5960" s="190"/>
      <c r="U5960" s="191"/>
      <c r="V5960" s="191">
        <v>1093</v>
      </c>
      <c r="W5960">
        <v>147</v>
      </c>
      <c r="X5960" s="186" t="s">
        <v>1644</v>
      </c>
      <c r="Y5960" s="187" t="s">
        <v>55</v>
      </c>
      <c r="Z5960" s="311">
        <v>237</v>
      </c>
      <c r="AB5960" t="str">
        <f>IF(Table1[[#This Row],[TIPO2]]="costo", VLOOKUP(Table1[[#This Row],[PARTIDA PRESUPUESTAL]],'Cost Report'!G:G,1,0),"Balance")</f>
        <v>2585-003</v>
      </c>
      <c r="AD5960" s="159">
        <f>+Table1[[#This Row],[SUBTOTAL]]+Table1[[#This Row],[IVA]]-Table1[[#This Row],[RET IVA]]-Table1[[#This Row],[RET ISR]]-Table1[[#This Row],[TOTAL]]</f>
        <v>0</v>
      </c>
      <c r="AG5960" t="s">
        <v>3420</v>
      </c>
      <c r="AK5960" s="306" t="str">
        <f>IF(ISNUMBER(Table1[[#This Row],[FECHA DE RECIBIDO]]), Table1[[#This Row],[FECHA DE RECIBIDO]]-DATE(2023,8,30), "")</f>
        <v/>
      </c>
    </row>
    <row r="5961" spans="1:37" ht="16.05" customHeight="1">
      <c r="A5961" s="172" t="s">
        <v>5146</v>
      </c>
      <c r="B5961" s="178">
        <v>2113</v>
      </c>
      <c r="C5961" s="179" t="s">
        <v>2566</v>
      </c>
      <c r="D5961">
        <v>689</v>
      </c>
      <c r="E5961" s="125"/>
      <c r="F5961" s="178"/>
      <c r="G5961" s="178"/>
      <c r="H5961"/>
      <c r="I5961" s="178"/>
      <c r="J5961" s="320" t="s">
        <v>214</v>
      </c>
      <c r="K5961" s="178" t="s">
        <v>5167</v>
      </c>
      <c r="L5961" s="125" t="s">
        <v>1579</v>
      </c>
      <c r="M5961">
        <v>1159</v>
      </c>
      <c r="N5961" s="182">
        <v>17</v>
      </c>
      <c r="O5961">
        <v>3919</v>
      </c>
      <c r="P5961" s="132" t="s">
        <v>77</v>
      </c>
      <c r="Q5961" s="176">
        <v>419</v>
      </c>
      <c r="R5961" s="176"/>
      <c r="S5961" s="176"/>
      <c r="T5961" s="190"/>
      <c r="U5961" s="191"/>
      <c r="V5961" s="191">
        <v>419</v>
      </c>
      <c r="W5961">
        <v>148</v>
      </c>
      <c r="X5961" s="186" t="s">
        <v>1644</v>
      </c>
      <c r="Y5961" s="187" t="s">
        <v>55</v>
      </c>
      <c r="Z5961" s="311">
        <v>231</v>
      </c>
      <c r="AB5961" t="str">
        <f>IF(Table1[[#This Row],[TIPO2]]="costo", VLOOKUP(Table1[[#This Row],[PARTIDA PRESUPUESTAL]],'Cost Report'!G:G,1,0),"Balance")</f>
        <v>2594-003</v>
      </c>
      <c r="AD5961" s="159">
        <f>+Table1[[#This Row],[SUBTOTAL]]+Table1[[#This Row],[IVA]]-Table1[[#This Row],[RET IVA]]-Table1[[#This Row],[RET ISR]]-Table1[[#This Row],[TOTAL]]</f>
        <v>0</v>
      </c>
      <c r="AG5961" t="s">
        <v>3420</v>
      </c>
      <c r="AK5961" s="306" t="str">
        <f>IF(ISNUMBER(Table1[[#This Row],[FECHA DE RECIBIDO]]), Table1[[#This Row],[FECHA DE RECIBIDO]]-DATE(2023,8,30), "")</f>
        <v/>
      </c>
    </row>
    <row r="5962" spans="1:37" ht="16.05" customHeight="1">
      <c r="A5962" s="172" t="s">
        <v>5147</v>
      </c>
      <c r="B5962" s="178">
        <v>2114</v>
      </c>
      <c r="C5962" s="179" t="s">
        <v>2542</v>
      </c>
      <c r="D5962">
        <v>4100</v>
      </c>
      <c r="E5962" s="125" t="s">
        <v>1603</v>
      </c>
      <c r="F5962" s="178">
        <v>601</v>
      </c>
      <c r="G5962" s="178" t="s">
        <v>134</v>
      </c>
      <c r="H5962">
        <v>91</v>
      </c>
      <c r="I5962" s="178" t="s">
        <v>1546</v>
      </c>
      <c r="J5962" s="320" t="s">
        <v>214</v>
      </c>
      <c r="K5962" s="178" t="s">
        <v>5167</v>
      </c>
      <c r="L5962" s="125" t="s">
        <v>1579</v>
      </c>
      <c r="M5962">
        <v>122</v>
      </c>
      <c r="N5962" s="182">
        <v>17</v>
      </c>
      <c r="O5962">
        <v>3920</v>
      </c>
      <c r="P5962" s="132" t="s">
        <v>77</v>
      </c>
      <c r="Q5962" s="176">
        <v>43.1</v>
      </c>
      <c r="R5962" s="176">
        <v>6.9</v>
      </c>
      <c r="S5962" s="176"/>
      <c r="T5962" s="190"/>
      <c r="U5962" s="191"/>
      <c r="V5962" s="191">
        <v>50</v>
      </c>
      <c r="W5962">
        <v>145</v>
      </c>
      <c r="X5962" s="186" t="s">
        <v>1644</v>
      </c>
      <c r="Y5962" s="187" t="s">
        <v>55</v>
      </c>
      <c r="Z5962" s="311">
        <v>274</v>
      </c>
      <c r="AB5962" t="str">
        <f>IF(Table1[[#This Row],[TIPO2]]="costo", VLOOKUP(Table1[[#This Row],[PARTIDA PRESUPUESTAL]],'Cost Report'!G:G,1,0),"Balance")</f>
        <v>2494-063</v>
      </c>
      <c r="AD5962" s="159">
        <f>+Table1[[#This Row],[SUBTOTAL]]+Table1[[#This Row],[IVA]]-Table1[[#This Row],[RET IVA]]-Table1[[#This Row],[RET ISR]]-Table1[[#This Row],[TOTAL]]</f>
        <v>0</v>
      </c>
      <c r="AG5962" t="s">
        <v>3420</v>
      </c>
      <c r="AK5962" s="306" t="str">
        <f>IF(ISNUMBER(Table1[[#This Row],[FECHA DE RECIBIDO]]), Table1[[#This Row],[FECHA DE RECIBIDO]]-DATE(2023,8,30), "")</f>
        <v/>
      </c>
    </row>
    <row r="5963" spans="1:37" ht="16.05" customHeight="1">
      <c r="A5963" s="172" t="s">
        <v>5147</v>
      </c>
      <c r="B5963" s="178">
        <v>2114</v>
      </c>
      <c r="C5963" s="179" t="s">
        <v>1505</v>
      </c>
      <c r="D5963">
        <v>4101</v>
      </c>
      <c r="E5963" s="125" t="s">
        <v>3356</v>
      </c>
      <c r="F5963" s="178">
        <v>601</v>
      </c>
      <c r="G5963" s="178" t="s">
        <v>134</v>
      </c>
      <c r="H5963">
        <v>156</v>
      </c>
      <c r="I5963" s="178" t="s">
        <v>1546</v>
      </c>
      <c r="J5963" s="320" t="s">
        <v>214</v>
      </c>
      <c r="K5963" s="178" t="s">
        <v>5167</v>
      </c>
      <c r="L5963" s="125" t="s">
        <v>1579</v>
      </c>
      <c r="M5963">
        <v>207</v>
      </c>
      <c r="N5963" s="182">
        <v>17</v>
      </c>
      <c r="O5963">
        <v>3921</v>
      </c>
      <c r="P5963" s="132" t="s">
        <v>77</v>
      </c>
      <c r="Q5963" s="176">
        <v>4464.25</v>
      </c>
      <c r="R5963" s="176">
        <v>714.27</v>
      </c>
      <c r="S5963" s="176"/>
      <c r="T5963" s="190"/>
      <c r="U5963" s="191"/>
      <c r="V5963" s="191">
        <v>5178.5200000000004</v>
      </c>
      <c r="W5963">
        <v>145</v>
      </c>
      <c r="X5963" s="186" t="s">
        <v>1644</v>
      </c>
      <c r="Y5963" s="187" t="s">
        <v>55</v>
      </c>
      <c r="Z5963" s="311">
        <v>271</v>
      </c>
      <c r="AB5963" t="str">
        <f>IF(Table1[[#This Row],[TIPO2]]="costo", VLOOKUP(Table1[[#This Row],[PARTIDA PRESUPUESTAL]],'Cost Report'!G:G,1,0),"Balance")</f>
        <v>2494-003</v>
      </c>
      <c r="AD5963" s="159">
        <f>+Table1[[#This Row],[SUBTOTAL]]+Table1[[#This Row],[IVA]]-Table1[[#This Row],[RET IVA]]-Table1[[#This Row],[RET ISR]]-Table1[[#This Row],[TOTAL]]</f>
        <v>0</v>
      </c>
      <c r="AG5963" t="s">
        <v>3420</v>
      </c>
      <c r="AK5963" s="306" t="str">
        <f>IF(ISNUMBER(Table1[[#This Row],[FECHA DE RECIBIDO]]), Table1[[#This Row],[FECHA DE RECIBIDO]]-DATE(2023,8,30), "")</f>
        <v/>
      </c>
    </row>
    <row r="5964" spans="1:37" ht="16.05" customHeight="1">
      <c r="A5964" s="172" t="s">
        <v>5147</v>
      </c>
      <c r="B5964" s="178">
        <v>2114</v>
      </c>
      <c r="C5964" s="179" t="s">
        <v>2540</v>
      </c>
      <c r="D5964">
        <v>4102</v>
      </c>
      <c r="E5964" s="125" t="s">
        <v>3262</v>
      </c>
      <c r="F5964" s="178">
        <v>601</v>
      </c>
      <c r="G5964" s="178" t="s">
        <v>134</v>
      </c>
      <c r="H5964">
        <v>224</v>
      </c>
      <c r="I5964" s="178" t="s">
        <v>1546</v>
      </c>
      <c r="J5964" s="320" t="s">
        <v>214</v>
      </c>
      <c r="K5964" s="178" t="s">
        <v>5167</v>
      </c>
      <c r="L5964" s="125" t="s">
        <v>1579</v>
      </c>
      <c r="M5964">
        <v>290</v>
      </c>
      <c r="N5964" s="182">
        <v>17</v>
      </c>
      <c r="O5964">
        <v>3922</v>
      </c>
      <c r="P5964" s="132" t="s">
        <v>77</v>
      </c>
      <c r="Q5964" s="176">
        <v>1743.96</v>
      </c>
      <c r="R5964" s="176">
        <v>279.04000000000002</v>
      </c>
      <c r="S5964" s="176"/>
      <c r="T5964" s="190"/>
      <c r="U5964" s="191"/>
      <c r="V5964" s="191">
        <v>2023</v>
      </c>
      <c r="W5964">
        <v>145</v>
      </c>
      <c r="X5964" s="186" t="s">
        <v>1644</v>
      </c>
      <c r="Y5964" s="187" t="s">
        <v>55</v>
      </c>
      <c r="Z5964" s="311">
        <v>252</v>
      </c>
      <c r="AB5964" t="str">
        <f>IF(Table1[[#This Row],[TIPO2]]="costo", VLOOKUP(Table1[[#This Row],[PARTIDA PRESUPUESTAL]],'Cost Report'!G:G,1,0),"Balance")</f>
        <v>2494-059</v>
      </c>
      <c r="AD5964" s="159">
        <f>+Table1[[#This Row],[SUBTOTAL]]+Table1[[#This Row],[IVA]]-Table1[[#This Row],[RET IVA]]-Table1[[#This Row],[RET ISR]]-Table1[[#This Row],[TOTAL]]</f>
        <v>0</v>
      </c>
      <c r="AG5964" t="s">
        <v>3420</v>
      </c>
      <c r="AK5964" s="306" t="str">
        <f>IF(ISNUMBER(Table1[[#This Row],[FECHA DE RECIBIDO]]), Table1[[#This Row],[FECHA DE RECIBIDO]]-DATE(2023,8,30), "")</f>
        <v/>
      </c>
    </row>
    <row r="5965" spans="1:37" ht="16.05" customHeight="1">
      <c r="A5965" s="172" t="s">
        <v>5147</v>
      </c>
      <c r="B5965" s="178">
        <v>2114</v>
      </c>
      <c r="C5965" s="179" t="s">
        <v>610</v>
      </c>
      <c r="D5965">
        <v>689</v>
      </c>
      <c r="E5965" s="125"/>
      <c r="F5965" s="178"/>
      <c r="G5965" s="178"/>
      <c r="H5965"/>
      <c r="I5965" s="178"/>
      <c r="J5965" s="320" t="s">
        <v>214</v>
      </c>
      <c r="K5965" s="178" t="s">
        <v>5167</v>
      </c>
      <c r="L5965" s="125" t="s">
        <v>1579</v>
      </c>
      <c r="M5965">
        <v>801</v>
      </c>
      <c r="N5965" s="182">
        <v>17</v>
      </c>
      <c r="O5965">
        <v>3923</v>
      </c>
      <c r="P5965" s="132" t="s">
        <v>77</v>
      </c>
      <c r="Q5965" s="176">
        <v>10</v>
      </c>
      <c r="R5965" s="176"/>
      <c r="S5965" s="176"/>
      <c r="T5965" s="190"/>
      <c r="U5965" s="191"/>
      <c r="V5965" s="191">
        <v>10</v>
      </c>
      <c r="W5965">
        <v>145</v>
      </c>
      <c r="X5965" s="186" t="s">
        <v>1644</v>
      </c>
      <c r="Y5965" s="187" t="s">
        <v>55</v>
      </c>
      <c r="Z5965" s="311">
        <v>257</v>
      </c>
      <c r="AB5965" t="str">
        <f>IF(Table1[[#This Row],[TIPO2]]="costo", VLOOKUP(Table1[[#This Row],[PARTIDA PRESUPUESTAL]],'Cost Report'!G:G,1,0),"Balance")</f>
        <v>2485-003</v>
      </c>
      <c r="AD5965" s="159">
        <f>+Table1[[#This Row],[SUBTOTAL]]+Table1[[#This Row],[IVA]]-Table1[[#This Row],[RET IVA]]-Table1[[#This Row],[RET ISR]]-Table1[[#This Row],[TOTAL]]</f>
        <v>0</v>
      </c>
      <c r="AG5965" t="s">
        <v>3420</v>
      </c>
      <c r="AK5965" s="306" t="str">
        <f>IF(ISNUMBER(Table1[[#This Row],[FECHA DE RECIBIDO]]), Table1[[#This Row],[FECHA DE RECIBIDO]]-DATE(2023,8,30), "")</f>
        <v/>
      </c>
    </row>
    <row r="5966" spans="1:37" ht="16.05" customHeight="1">
      <c r="A5966" s="172" t="s">
        <v>5148</v>
      </c>
      <c r="B5966" s="178">
        <v>2115</v>
      </c>
      <c r="C5966" s="179" t="s">
        <v>1517</v>
      </c>
      <c r="D5966">
        <v>4103</v>
      </c>
      <c r="E5966" s="125" t="s">
        <v>3262</v>
      </c>
      <c r="F5966" s="178">
        <v>601</v>
      </c>
      <c r="G5966" s="178" t="s">
        <v>134</v>
      </c>
      <c r="H5966">
        <v>224</v>
      </c>
      <c r="I5966" s="178" t="s">
        <v>1546</v>
      </c>
      <c r="J5966" s="320" t="s">
        <v>214</v>
      </c>
      <c r="K5966" s="178" t="s">
        <v>5167</v>
      </c>
      <c r="L5966" s="125" t="s">
        <v>1579</v>
      </c>
      <c r="M5966">
        <v>290</v>
      </c>
      <c r="N5966" s="182">
        <v>17</v>
      </c>
      <c r="O5966">
        <v>3924</v>
      </c>
      <c r="P5966" s="132" t="s">
        <v>77</v>
      </c>
      <c r="Q5966" s="176">
        <v>157.54</v>
      </c>
      <c r="R5966" s="176">
        <v>25.21</v>
      </c>
      <c r="S5966" s="176"/>
      <c r="T5966" s="190"/>
      <c r="U5966" s="191"/>
      <c r="V5966" s="191">
        <v>182.75</v>
      </c>
      <c r="W5966">
        <v>101</v>
      </c>
      <c r="X5966" s="186" t="s">
        <v>1644</v>
      </c>
      <c r="Y5966" s="187" t="s">
        <v>55</v>
      </c>
      <c r="Z5966" s="311">
        <v>259</v>
      </c>
      <c r="AB5966" t="str">
        <f>IF(Table1[[#This Row],[TIPO2]]="costo", VLOOKUP(Table1[[#This Row],[PARTIDA PRESUPUESTAL]],'Cost Report'!G:G,1,0),"Balance")</f>
        <v>2494-027</v>
      </c>
      <c r="AD5966" s="159">
        <f>+Table1[[#This Row],[SUBTOTAL]]+Table1[[#This Row],[IVA]]-Table1[[#This Row],[RET IVA]]-Table1[[#This Row],[RET ISR]]-Table1[[#This Row],[TOTAL]]</f>
        <v>0</v>
      </c>
      <c r="AG5966" t="s">
        <v>3420</v>
      </c>
      <c r="AK5966" s="306" t="str">
        <f>IF(ISNUMBER(Table1[[#This Row],[FECHA DE RECIBIDO]]), Table1[[#This Row],[FECHA DE RECIBIDO]]-DATE(2023,8,30), "")</f>
        <v/>
      </c>
    </row>
    <row r="5967" spans="1:37" ht="16.05" customHeight="1">
      <c r="A5967" s="172" t="s">
        <v>5148</v>
      </c>
      <c r="B5967" s="178">
        <v>2115</v>
      </c>
      <c r="C5967" s="179" t="s">
        <v>2455</v>
      </c>
      <c r="D5967">
        <v>4104</v>
      </c>
      <c r="E5967" s="125" t="s">
        <v>3122</v>
      </c>
      <c r="F5967" s="178">
        <v>601</v>
      </c>
      <c r="G5967" s="178" t="s">
        <v>134</v>
      </c>
      <c r="H5967">
        <v>982</v>
      </c>
      <c r="I5967" s="178" t="s">
        <v>1546</v>
      </c>
      <c r="J5967" s="320" t="s">
        <v>214</v>
      </c>
      <c r="K5967" s="178" t="s">
        <v>5167</v>
      </c>
      <c r="L5967" s="125" t="s">
        <v>1579</v>
      </c>
      <c r="M5967">
        <v>1366</v>
      </c>
      <c r="N5967" s="182">
        <v>17</v>
      </c>
      <c r="O5967">
        <v>3925</v>
      </c>
      <c r="P5967" s="132" t="s">
        <v>77</v>
      </c>
      <c r="Q5967" s="176">
        <v>51.72</v>
      </c>
      <c r="R5967" s="176">
        <v>8.2799999999999994</v>
      </c>
      <c r="S5967" s="176"/>
      <c r="T5967" s="190"/>
      <c r="U5967" s="191"/>
      <c r="V5967" s="191">
        <v>60</v>
      </c>
      <c r="W5967">
        <v>101</v>
      </c>
      <c r="X5967" s="186" t="s">
        <v>1644</v>
      </c>
      <c r="Y5967" s="187" t="s">
        <v>55</v>
      </c>
      <c r="Z5967" s="311">
        <v>274</v>
      </c>
      <c r="AB5967" t="str">
        <f>IF(Table1[[#This Row],[TIPO2]]="costo", VLOOKUP(Table1[[#This Row],[PARTIDA PRESUPUESTAL]],'Cost Report'!G:G,1,0),"Balance")</f>
        <v>2285-003</v>
      </c>
      <c r="AD5967" s="159">
        <f>+Table1[[#This Row],[SUBTOTAL]]+Table1[[#This Row],[IVA]]-Table1[[#This Row],[RET IVA]]-Table1[[#This Row],[RET ISR]]-Table1[[#This Row],[TOTAL]]</f>
        <v>0</v>
      </c>
      <c r="AG5967" t="s">
        <v>3420</v>
      </c>
      <c r="AK5967" s="306" t="str">
        <f>IF(ISNUMBER(Table1[[#This Row],[FECHA DE RECIBIDO]]), Table1[[#This Row],[FECHA DE RECIBIDO]]-DATE(2023,8,30), "")</f>
        <v/>
      </c>
    </row>
    <row r="5968" spans="1:37" ht="16.05" customHeight="1">
      <c r="A5968" s="172" t="s">
        <v>5148</v>
      </c>
      <c r="B5968" s="178">
        <v>2115</v>
      </c>
      <c r="C5968" s="179" t="s">
        <v>2556</v>
      </c>
      <c r="D5968">
        <v>4105</v>
      </c>
      <c r="E5968" s="125" t="s">
        <v>3229</v>
      </c>
      <c r="F5968" s="178">
        <v>612</v>
      </c>
      <c r="G5968" s="178" t="s">
        <v>129</v>
      </c>
      <c r="H5968">
        <v>983</v>
      </c>
      <c r="I5968" s="178" t="s">
        <v>1546</v>
      </c>
      <c r="J5968" s="320" t="s">
        <v>214</v>
      </c>
      <c r="K5968" s="178" t="s">
        <v>5167</v>
      </c>
      <c r="L5968" s="125" t="s">
        <v>1579</v>
      </c>
      <c r="M5968">
        <v>1367</v>
      </c>
      <c r="N5968" s="182">
        <v>17</v>
      </c>
      <c r="O5968">
        <v>3926</v>
      </c>
      <c r="P5968" s="132" t="s">
        <v>77</v>
      </c>
      <c r="Q5968" s="176">
        <v>1675</v>
      </c>
      <c r="R5968" s="176">
        <v>268</v>
      </c>
      <c r="S5968" s="176"/>
      <c r="T5968" s="190"/>
      <c r="U5968" s="191"/>
      <c r="V5968" s="191">
        <v>1943</v>
      </c>
      <c r="W5968">
        <v>101</v>
      </c>
      <c r="X5968" s="186" t="s">
        <v>1644</v>
      </c>
      <c r="Y5968" s="187" t="s">
        <v>55</v>
      </c>
      <c r="Z5968" s="311">
        <v>275</v>
      </c>
      <c r="AB5968" t="str">
        <f>IF(Table1[[#This Row],[TIPO2]]="costo", VLOOKUP(Table1[[#This Row],[PARTIDA PRESUPUESTAL]],'Cost Report'!G:G,1,0),"Balance")</f>
        <v>2498-003</v>
      </c>
      <c r="AD5968" s="159">
        <f>+Table1[[#This Row],[SUBTOTAL]]+Table1[[#This Row],[IVA]]-Table1[[#This Row],[RET IVA]]-Table1[[#This Row],[RET ISR]]-Table1[[#This Row],[TOTAL]]</f>
        <v>0</v>
      </c>
      <c r="AG5968" t="s">
        <v>3420</v>
      </c>
      <c r="AK5968" s="306" t="str">
        <f>IF(ISNUMBER(Table1[[#This Row],[FECHA DE RECIBIDO]]), Table1[[#This Row],[FECHA DE RECIBIDO]]-DATE(2023,8,30), "")</f>
        <v/>
      </c>
    </row>
    <row r="5969" spans="1:37" ht="16.05" customHeight="1">
      <c r="A5969" s="172" t="s">
        <v>5148</v>
      </c>
      <c r="B5969" s="178">
        <v>2115</v>
      </c>
      <c r="C5969" s="179" t="s">
        <v>2556</v>
      </c>
      <c r="D5969">
        <v>4106</v>
      </c>
      <c r="E5969" s="125" t="s">
        <v>2022</v>
      </c>
      <c r="F5969" s="178">
        <v>612</v>
      </c>
      <c r="G5969" s="178" t="s">
        <v>129</v>
      </c>
      <c r="H5969">
        <v>984</v>
      </c>
      <c r="I5969" s="178" t="s">
        <v>1546</v>
      </c>
      <c r="J5969" s="320" t="s">
        <v>214</v>
      </c>
      <c r="K5969" s="178" t="s">
        <v>5167</v>
      </c>
      <c r="L5969" s="125" t="s">
        <v>1579</v>
      </c>
      <c r="M5969">
        <v>1368</v>
      </c>
      <c r="N5969" s="182">
        <v>17</v>
      </c>
      <c r="O5969">
        <v>3927</v>
      </c>
      <c r="P5969" s="132" t="s">
        <v>77</v>
      </c>
      <c r="Q5969" s="176">
        <v>590</v>
      </c>
      <c r="R5969" s="176">
        <v>94.4</v>
      </c>
      <c r="S5969" s="176"/>
      <c r="T5969" s="190"/>
      <c r="U5969" s="191"/>
      <c r="V5969" s="191">
        <v>684.4</v>
      </c>
      <c r="W5969">
        <v>101</v>
      </c>
      <c r="X5969" s="186" t="s">
        <v>1644</v>
      </c>
      <c r="Y5969" s="187" t="s">
        <v>55</v>
      </c>
      <c r="Z5969" s="311">
        <v>274</v>
      </c>
      <c r="AB5969" t="str">
        <f>IF(Table1[[#This Row],[TIPO2]]="costo", VLOOKUP(Table1[[#This Row],[PARTIDA PRESUPUESTAL]],'Cost Report'!G:G,1,0),"Balance")</f>
        <v>2498-003</v>
      </c>
      <c r="AD5969" s="159">
        <f>+Table1[[#This Row],[SUBTOTAL]]+Table1[[#This Row],[IVA]]-Table1[[#This Row],[RET IVA]]-Table1[[#This Row],[RET ISR]]-Table1[[#This Row],[TOTAL]]</f>
        <v>0</v>
      </c>
      <c r="AG5969" t="s">
        <v>3420</v>
      </c>
      <c r="AK5969" s="306" t="str">
        <f>IF(ISNUMBER(Table1[[#This Row],[FECHA DE RECIBIDO]]), Table1[[#This Row],[FECHA DE RECIBIDO]]-DATE(2023,8,30), "")</f>
        <v/>
      </c>
    </row>
    <row r="5970" spans="1:37" ht="16.05" customHeight="1">
      <c r="A5970" s="172" t="s">
        <v>5148</v>
      </c>
      <c r="B5970" s="178">
        <v>2115</v>
      </c>
      <c r="C5970" s="179" t="s">
        <v>1505</v>
      </c>
      <c r="D5970">
        <v>4107</v>
      </c>
      <c r="E5970" s="125" t="s">
        <v>3360</v>
      </c>
      <c r="F5970" s="178">
        <v>612</v>
      </c>
      <c r="G5970" s="178" t="s">
        <v>129</v>
      </c>
      <c r="H5970">
        <v>977</v>
      </c>
      <c r="I5970" s="178" t="s">
        <v>1546</v>
      </c>
      <c r="J5970" s="320" t="s">
        <v>214</v>
      </c>
      <c r="K5970" s="178" t="s">
        <v>5167</v>
      </c>
      <c r="L5970" s="125" t="s">
        <v>1579</v>
      </c>
      <c r="M5970">
        <v>1357</v>
      </c>
      <c r="N5970" s="182">
        <v>17</v>
      </c>
      <c r="O5970">
        <v>3928</v>
      </c>
      <c r="P5970" s="132" t="s">
        <v>77</v>
      </c>
      <c r="Q5970" s="176">
        <v>1715.52</v>
      </c>
      <c r="R5970" s="176">
        <v>274.48</v>
      </c>
      <c r="S5970" s="176"/>
      <c r="T5970" s="190"/>
      <c r="U5970" s="191"/>
      <c r="V5970" s="191">
        <v>1990</v>
      </c>
      <c r="W5970">
        <v>101</v>
      </c>
      <c r="X5970" s="186" t="s">
        <v>1644</v>
      </c>
      <c r="Y5970" s="187" t="s">
        <v>55</v>
      </c>
      <c r="Z5970" s="311">
        <v>275</v>
      </c>
      <c r="AB5970" t="str">
        <f>IF(Table1[[#This Row],[TIPO2]]="costo", VLOOKUP(Table1[[#This Row],[PARTIDA PRESUPUESTAL]],'Cost Report'!G:G,1,0),"Balance")</f>
        <v>2494-003</v>
      </c>
      <c r="AD5970" s="159">
        <f>+Table1[[#This Row],[SUBTOTAL]]+Table1[[#This Row],[IVA]]-Table1[[#This Row],[RET IVA]]-Table1[[#This Row],[RET ISR]]-Table1[[#This Row],[TOTAL]]</f>
        <v>0</v>
      </c>
      <c r="AG5970" t="s">
        <v>3420</v>
      </c>
      <c r="AK5970" s="306" t="str">
        <f>IF(ISNUMBER(Table1[[#This Row],[FECHA DE RECIBIDO]]), Table1[[#This Row],[FECHA DE RECIBIDO]]-DATE(2023,8,30), "")</f>
        <v/>
      </c>
    </row>
    <row r="5971" spans="1:37" ht="16.05" customHeight="1">
      <c r="A5971" s="172" t="s">
        <v>5148</v>
      </c>
      <c r="B5971" s="178">
        <v>2115</v>
      </c>
      <c r="C5971" s="179" t="s">
        <v>610</v>
      </c>
      <c r="D5971">
        <v>4108</v>
      </c>
      <c r="E5971" s="125" t="s">
        <v>3360</v>
      </c>
      <c r="F5971" s="178">
        <v>612</v>
      </c>
      <c r="G5971" s="178" t="s">
        <v>129</v>
      </c>
      <c r="H5971">
        <v>977</v>
      </c>
      <c r="I5971" s="178" t="s">
        <v>1546</v>
      </c>
      <c r="J5971" s="320" t="s">
        <v>214</v>
      </c>
      <c r="K5971" s="178" t="s">
        <v>5167</v>
      </c>
      <c r="L5971" s="125" t="s">
        <v>1579</v>
      </c>
      <c r="M5971">
        <v>1357</v>
      </c>
      <c r="N5971" s="182">
        <v>17</v>
      </c>
      <c r="O5971">
        <v>3929</v>
      </c>
      <c r="P5971" s="132" t="s">
        <v>77</v>
      </c>
      <c r="Q5971" s="176">
        <v>215.52</v>
      </c>
      <c r="R5971" s="176">
        <v>34.479999999999997</v>
      </c>
      <c r="S5971" s="176"/>
      <c r="T5971" s="190"/>
      <c r="U5971" s="191"/>
      <c r="V5971" s="191">
        <v>250</v>
      </c>
      <c r="W5971">
        <v>101</v>
      </c>
      <c r="X5971" s="186" t="s">
        <v>1644</v>
      </c>
      <c r="Y5971" s="187" t="s">
        <v>55</v>
      </c>
      <c r="Z5971" s="311">
        <v>275</v>
      </c>
      <c r="AB5971" t="str">
        <f>IF(Table1[[#This Row],[TIPO2]]="costo", VLOOKUP(Table1[[#This Row],[PARTIDA PRESUPUESTAL]],'Cost Report'!G:G,1,0),"Balance")</f>
        <v>2485-003</v>
      </c>
      <c r="AD5971" s="159">
        <f>+Table1[[#This Row],[SUBTOTAL]]+Table1[[#This Row],[IVA]]-Table1[[#This Row],[RET IVA]]-Table1[[#This Row],[RET ISR]]-Table1[[#This Row],[TOTAL]]</f>
        <v>0</v>
      </c>
      <c r="AG5971" t="s">
        <v>3420</v>
      </c>
      <c r="AK5971" s="306" t="str">
        <f>IF(ISNUMBER(Table1[[#This Row],[FECHA DE RECIBIDO]]), Table1[[#This Row],[FECHA DE RECIBIDO]]-DATE(2023,8,30), "")</f>
        <v/>
      </c>
    </row>
    <row r="5972" spans="1:37" ht="16.05" customHeight="1">
      <c r="A5972" s="172" t="s">
        <v>5148</v>
      </c>
      <c r="B5972" s="178">
        <v>2115</v>
      </c>
      <c r="C5972" s="179" t="s">
        <v>2556</v>
      </c>
      <c r="D5972">
        <v>4109</v>
      </c>
      <c r="E5972" s="125" t="s">
        <v>2002</v>
      </c>
      <c r="F5972" s="178">
        <v>601</v>
      </c>
      <c r="G5972" s="178" t="s">
        <v>134</v>
      </c>
      <c r="H5972">
        <v>413</v>
      </c>
      <c r="I5972" s="178" t="s">
        <v>1546</v>
      </c>
      <c r="J5972" s="320" t="s">
        <v>214</v>
      </c>
      <c r="K5972" s="178" t="s">
        <v>5167</v>
      </c>
      <c r="L5972" s="125" t="s">
        <v>1579</v>
      </c>
      <c r="M5972">
        <v>550</v>
      </c>
      <c r="N5972" s="182">
        <v>17</v>
      </c>
      <c r="O5972">
        <v>3930</v>
      </c>
      <c r="P5972" s="132" t="s">
        <v>77</v>
      </c>
      <c r="Q5972" s="176">
        <v>423.19</v>
      </c>
      <c r="R5972" s="176">
        <v>67.709999999999994</v>
      </c>
      <c r="S5972" s="176"/>
      <c r="T5972" s="190"/>
      <c r="U5972" s="191"/>
      <c r="V5972" s="191">
        <v>490.9</v>
      </c>
      <c r="W5972">
        <v>101</v>
      </c>
      <c r="X5972" s="186" t="s">
        <v>1644</v>
      </c>
      <c r="Y5972" s="187" t="s">
        <v>55</v>
      </c>
      <c r="Z5972" s="311">
        <v>272</v>
      </c>
      <c r="AB5972" t="str">
        <f>IF(Table1[[#This Row],[TIPO2]]="costo", VLOOKUP(Table1[[#This Row],[PARTIDA PRESUPUESTAL]],'Cost Report'!G:G,1,0),"Balance")</f>
        <v>2498-003</v>
      </c>
      <c r="AD5972" s="159">
        <f>+Table1[[#This Row],[SUBTOTAL]]+Table1[[#This Row],[IVA]]-Table1[[#This Row],[RET IVA]]-Table1[[#This Row],[RET ISR]]-Table1[[#This Row],[TOTAL]]</f>
        <v>0</v>
      </c>
      <c r="AG5972" t="s">
        <v>3420</v>
      </c>
      <c r="AK5972" s="306" t="str">
        <f>IF(ISNUMBER(Table1[[#This Row],[FECHA DE RECIBIDO]]), Table1[[#This Row],[FECHA DE RECIBIDO]]-DATE(2023,8,30), "")</f>
        <v/>
      </c>
    </row>
    <row r="5973" spans="1:37" ht="16.05" customHeight="1">
      <c r="A5973" s="172" t="s">
        <v>5148</v>
      </c>
      <c r="B5973" s="178">
        <v>2115</v>
      </c>
      <c r="C5973" s="179" t="s">
        <v>2556</v>
      </c>
      <c r="D5973">
        <v>4110</v>
      </c>
      <c r="E5973" s="125" t="s">
        <v>1621</v>
      </c>
      <c r="F5973" s="178">
        <v>601</v>
      </c>
      <c r="G5973" s="178" t="s">
        <v>134</v>
      </c>
      <c r="H5973">
        <v>176</v>
      </c>
      <c r="I5973" s="178" t="s">
        <v>1546</v>
      </c>
      <c r="J5973" s="320" t="s">
        <v>214</v>
      </c>
      <c r="K5973" s="178" t="s">
        <v>5167</v>
      </c>
      <c r="L5973" s="125" t="s">
        <v>1579</v>
      </c>
      <c r="M5973">
        <v>237</v>
      </c>
      <c r="N5973" s="182">
        <v>17</v>
      </c>
      <c r="O5973">
        <v>3931</v>
      </c>
      <c r="P5973" s="132" t="s">
        <v>77</v>
      </c>
      <c r="Q5973" s="176">
        <v>573.28</v>
      </c>
      <c r="R5973" s="176">
        <v>91.72</v>
      </c>
      <c r="S5973" s="176"/>
      <c r="T5973" s="190"/>
      <c r="U5973" s="191"/>
      <c r="V5973" s="191">
        <v>665</v>
      </c>
      <c r="W5973">
        <v>101</v>
      </c>
      <c r="X5973" s="186" t="s">
        <v>1644</v>
      </c>
      <c r="Y5973" s="187" t="s">
        <v>55</v>
      </c>
      <c r="Z5973" s="311">
        <v>272</v>
      </c>
      <c r="AB5973" t="str">
        <f>IF(Table1[[#This Row],[TIPO2]]="costo", VLOOKUP(Table1[[#This Row],[PARTIDA PRESUPUESTAL]],'Cost Report'!G:G,1,0),"Balance")</f>
        <v>2498-003</v>
      </c>
      <c r="AD5973" s="159">
        <f>+Table1[[#This Row],[SUBTOTAL]]+Table1[[#This Row],[IVA]]-Table1[[#This Row],[RET IVA]]-Table1[[#This Row],[RET ISR]]-Table1[[#This Row],[TOTAL]]</f>
        <v>0</v>
      </c>
      <c r="AG5973" t="s">
        <v>3420</v>
      </c>
      <c r="AK5973" s="306" t="str">
        <f>IF(ISNUMBER(Table1[[#This Row],[FECHA DE RECIBIDO]]), Table1[[#This Row],[FECHA DE RECIBIDO]]-DATE(2023,8,30), "")</f>
        <v/>
      </c>
    </row>
    <row r="5974" spans="1:37" ht="16.05" customHeight="1">
      <c r="A5974" s="172" t="s">
        <v>5148</v>
      </c>
      <c r="B5974" s="178">
        <v>2115</v>
      </c>
      <c r="C5974" s="179" t="s">
        <v>610</v>
      </c>
      <c r="D5974">
        <v>4111</v>
      </c>
      <c r="E5974" s="125" t="s">
        <v>2002</v>
      </c>
      <c r="F5974" s="178">
        <v>601</v>
      </c>
      <c r="G5974" s="178" t="s">
        <v>134</v>
      </c>
      <c r="H5974">
        <v>413</v>
      </c>
      <c r="I5974" s="178" t="s">
        <v>1546</v>
      </c>
      <c r="J5974" s="320" t="s">
        <v>214</v>
      </c>
      <c r="K5974" s="178" t="s">
        <v>5167</v>
      </c>
      <c r="L5974" s="125" t="s">
        <v>1579</v>
      </c>
      <c r="M5974">
        <v>550</v>
      </c>
      <c r="N5974" s="182">
        <v>17</v>
      </c>
      <c r="O5974">
        <v>3932</v>
      </c>
      <c r="P5974" s="132" t="s">
        <v>77</v>
      </c>
      <c r="Q5974" s="176">
        <v>8.6199999999999992</v>
      </c>
      <c r="R5974" s="176">
        <v>1.38</v>
      </c>
      <c r="S5974" s="176"/>
      <c r="T5974" s="190"/>
      <c r="U5974" s="191"/>
      <c r="V5974" s="191">
        <v>10</v>
      </c>
      <c r="W5974">
        <v>101</v>
      </c>
      <c r="X5974" s="186" t="s">
        <v>1644</v>
      </c>
      <c r="Y5974" s="187" t="s">
        <v>55</v>
      </c>
      <c r="Z5974" s="311">
        <v>272</v>
      </c>
      <c r="AB5974" t="str">
        <f>IF(Table1[[#This Row],[TIPO2]]="costo", VLOOKUP(Table1[[#This Row],[PARTIDA PRESUPUESTAL]],'Cost Report'!G:G,1,0),"Balance")</f>
        <v>2485-003</v>
      </c>
      <c r="AD5974" s="159">
        <f>+Table1[[#This Row],[SUBTOTAL]]+Table1[[#This Row],[IVA]]-Table1[[#This Row],[RET IVA]]-Table1[[#This Row],[RET ISR]]-Table1[[#This Row],[TOTAL]]</f>
        <v>0</v>
      </c>
      <c r="AG5974" t="s">
        <v>3420</v>
      </c>
      <c r="AK5974" s="306" t="str">
        <f>IF(ISNUMBER(Table1[[#This Row],[FECHA DE RECIBIDO]]), Table1[[#This Row],[FECHA DE RECIBIDO]]-DATE(2023,8,30), "")</f>
        <v/>
      </c>
    </row>
    <row r="5975" spans="1:37" ht="16.05" customHeight="1">
      <c r="A5975" s="172" t="s">
        <v>5148</v>
      </c>
      <c r="B5975" s="178">
        <v>2115</v>
      </c>
      <c r="C5975" s="179" t="s">
        <v>2455</v>
      </c>
      <c r="D5975">
        <v>689</v>
      </c>
      <c r="E5975" s="125"/>
      <c r="F5975" s="178"/>
      <c r="G5975" s="178"/>
      <c r="H5975"/>
      <c r="I5975" s="178"/>
      <c r="J5975" s="320" t="s">
        <v>214</v>
      </c>
      <c r="K5975" s="178" t="s">
        <v>5167</v>
      </c>
      <c r="L5975" s="125" t="s">
        <v>1579</v>
      </c>
      <c r="M5975">
        <v>1369</v>
      </c>
      <c r="N5975" s="182">
        <v>17</v>
      </c>
      <c r="O5975">
        <v>3925</v>
      </c>
      <c r="P5975" s="132" t="s">
        <v>77</v>
      </c>
      <c r="Q5975" s="176">
        <v>80</v>
      </c>
      <c r="R5975" s="176"/>
      <c r="S5975" s="176"/>
      <c r="T5975" s="190"/>
      <c r="U5975" s="191"/>
      <c r="V5975" s="191">
        <v>80</v>
      </c>
      <c r="W5975">
        <v>101</v>
      </c>
      <c r="X5975" s="186" t="s">
        <v>1644</v>
      </c>
      <c r="Y5975" s="187" t="s">
        <v>55</v>
      </c>
      <c r="Z5975" s="311">
        <v>272</v>
      </c>
      <c r="AB5975" t="str">
        <f>IF(Table1[[#This Row],[TIPO2]]="costo", VLOOKUP(Table1[[#This Row],[PARTIDA PRESUPUESTAL]],'Cost Report'!G:G,1,0),"Balance")</f>
        <v>2285-003</v>
      </c>
      <c r="AD5975" s="159">
        <f>+Table1[[#This Row],[SUBTOTAL]]+Table1[[#This Row],[IVA]]-Table1[[#This Row],[RET IVA]]-Table1[[#This Row],[RET ISR]]-Table1[[#This Row],[TOTAL]]</f>
        <v>0</v>
      </c>
      <c r="AG5975" t="s">
        <v>3420</v>
      </c>
      <c r="AK5975" s="306" t="str">
        <f>IF(ISNUMBER(Table1[[#This Row],[FECHA DE RECIBIDO]]), Table1[[#This Row],[FECHA DE RECIBIDO]]-DATE(2023,8,30), "")</f>
        <v/>
      </c>
    </row>
    <row r="5976" spans="1:37" ht="16.05" customHeight="1">
      <c r="A5976" s="172" t="s">
        <v>5148</v>
      </c>
      <c r="B5976" s="178">
        <v>2115</v>
      </c>
      <c r="C5976" s="179" t="s">
        <v>2455</v>
      </c>
      <c r="D5976">
        <v>689</v>
      </c>
      <c r="E5976" s="125"/>
      <c r="F5976" s="178"/>
      <c r="G5976" s="178"/>
      <c r="H5976"/>
      <c r="I5976" s="178"/>
      <c r="J5976" s="320" t="s">
        <v>214</v>
      </c>
      <c r="K5976" s="178" t="s">
        <v>5167</v>
      </c>
      <c r="L5976" s="125" t="s">
        <v>1579</v>
      </c>
      <c r="M5976">
        <v>1370</v>
      </c>
      <c r="N5976" s="182">
        <v>17</v>
      </c>
      <c r="O5976">
        <v>3458</v>
      </c>
      <c r="P5976" s="132" t="s">
        <v>77</v>
      </c>
      <c r="Q5976" s="176">
        <v>30.74</v>
      </c>
      <c r="R5976" s="176"/>
      <c r="S5976" s="176"/>
      <c r="T5976" s="190"/>
      <c r="U5976" s="191"/>
      <c r="V5976" s="191">
        <v>30.74</v>
      </c>
      <c r="W5976">
        <v>101</v>
      </c>
      <c r="X5976" s="186" t="s">
        <v>1644</v>
      </c>
      <c r="Y5976" s="187" t="s">
        <v>55</v>
      </c>
      <c r="Z5976" s="311">
        <v>274</v>
      </c>
      <c r="AB5976" t="str">
        <f>IF(Table1[[#This Row],[TIPO2]]="costo", VLOOKUP(Table1[[#This Row],[PARTIDA PRESUPUESTAL]],'Cost Report'!G:G,1,0),"Balance")</f>
        <v>2285-003</v>
      </c>
      <c r="AD5976" s="159">
        <f>+Table1[[#This Row],[SUBTOTAL]]+Table1[[#This Row],[IVA]]-Table1[[#This Row],[RET IVA]]-Table1[[#This Row],[RET ISR]]-Table1[[#This Row],[TOTAL]]</f>
        <v>0</v>
      </c>
      <c r="AG5976" t="s">
        <v>3420</v>
      </c>
      <c r="AK5976" s="306" t="str">
        <f>IF(ISNUMBER(Table1[[#This Row],[FECHA DE RECIBIDO]]), Table1[[#This Row],[FECHA DE RECIBIDO]]-DATE(2023,8,30), "")</f>
        <v/>
      </c>
    </row>
    <row r="5977" spans="1:37" ht="16.05" customHeight="1">
      <c r="A5977" s="172" t="s">
        <v>5148</v>
      </c>
      <c r="B5977" s="178">
        <v>2115</v>
      </c>
      <c r="C5977" s="179" t="s">
        <v>2455</v>
      </c>
      <c r="D5977">
        <v>689</v>
      </c>
      <c r="E5977" s="125"/>
      <c r="F5977" s="178"/>
      <c r="G5977" s="178"/>
      <c r="H5977"/>
      <c r="I5977" s="178"/>
      <c r="J5977" s="320" t="s">
        <v>214</v>
      </c>
      <c r="K5977" s="178" t="s">
        <v>5167</v>
      </c>
      <c r="L5977" s="125" t="s">
        <v>1579</v>
      </c>
      <c r="M5977">
        <v>1371</v>
      </c>
      <c r="N5977" s="182">
        <v>17</v>
      </c>
      <c r="O5977">
        <v>3458</v>
      </c>
      <c r="P5977" s="132" t="s">
        <v>77</v>
      </c>
      <c r="Q5977" s="176">
        <v>31.32</v>
      </c>
      <c r="R5977" s="176"/>
      <c r="S5977" s="176"/>
      <c r="T5977" s="190"/>
      <c r="U5977" s="191"/>
      <c r="V5977" s="191">
        <v>31.32</v>
      </c>
      <c r="W5977">
        <v>101</v>
      </c>
      <c r="X5977" s="186" t="s">
        <v>1644</v>
      </c>
      <c r="Y5977" s="187" t="s">
        <v>55</v>
      </c>
      <c r="Z5977" s="311">
        <v>272</v>
      </c>
      <c r="AB5977" t="str">
        <f>IF(Table1[[#This Row],[TIPO2]]="costo", VLOOKUP(Table1[[#This Row],[PARTIDA PRESUPUESTAL]],'Cost Report'!G:G,1,0),"Balance")</f>
        <v>2285-003</v>
      </c>
      <c r="AD5977" s="159">
        <f>+Table1[[#This Row],[SUBTOTAL]]+Table1[[#This Row],[IVA]]-Table1[[#This Row],[RET IVA]]-Table1[[#This Row],[RET ISR]]-Table1[[#This Row],[TOTAL]]</f>
        <v>0</v>
      </c>
      <c r="AG5977" t="s">
        <v>3420</v>
      </c>
      <c r="AK5977" s="306" t="str">
        <f>IF(ISNUMBER(Table1[[#This Row],[FECHA DE RECIBIDO]]), Table1[[#This Row],[FECHA DE RECIBIDO]]-DATE(2023,8,30), "")</f>
        <v/>
      </c>
    </row>
    <row r="5978" spans="1:37" ht="16.05" customHeight="1">
      <c r="A5978" s="172" t="s">
        <v>5149</v>
      </c>
      <c r="B5978" s="178">
        <v>2116</v>
      </c>
      <c r="C5978" s="179" t="s">
        <v>2455</v>
      </c>
      <c r="D5978">
        <v>4112</v>
      </c>
      <c r="E5978" s="125" t="s">
        <v>3790</v>
      </c>
      <c r="F5978" s="178">
        <v>625</v>
      </c>
      <c r="G5978" s="178" t="s">
        <v>1625</v>
      </c>
      <c r="H5978">
        <v>985</v>
      </c>
      <c r="I5978" s="178" t="s">
        <v>1546</v>
      </c>
      <c r="J5978" s="320" t="s">
        <v>214</v>
      </c>
      <c r="K5978" s="178" t="s">
        <v>5167</v>
      </c>
      <c r="L5978" s="125" t="s">
        <v>1579</v>
      </c>
      <c r="M5978">
        <v>1372</v>
      </c>
      <c r="N5978" s="182">
        <v>17</v>
      </c>
      <c r="O5978">
        <v>3933</v>
      </c>
      <c r="P5978" s="132" t="s">
        <v>77</v>
      </c>
      <c r="Q5978" s="176">
        <v>58.49</v>
      </c>
      <c r="R5978" s="176">
        <v>9.36</v>
      </c>
      <c r="S5978" s="176"/>
      <c r="T5978" s="190"/>
      <c r="U5978" s="191"/>
      <c r="V5978" s="191">
        <v>67.849999999999994</v>
      </c>
      <c r="W5978">
        <v>104</v>
      </c>
      <c r="X5978" s="186" t="s">
        <v>1644</v>
      </c>
      <c r="Y5978" s="187" t="s">
        <v>55</v>
      </c>
      <c r="Z5978" s="311">
        <v>254</v>
      </c>
      <c r="AB5978" t="str">
        <f>IF(Table1[[#This Row],[TIPO2]]="costo", VLOOKUP(Table1[[#This Row],[PARTIDA PRESUPUESTAL]],'Cost Report'!G:G,1,0),"Balance")</f>
        <v>2285-003</v>
      </c>
      <c r="AD5978" s="159">
        <f>+Table1[[#This Row],[SUBTOTAL]]+Table1[[#This Row],[IVA]]-Table1[[#This Row],[RET IVA]]-Table1[[#This Row],[RET ISR]]-Table1[[#This Row],[TOTAL]]</f>
        <v>0</v>
      </c>
      <c r="AG5978" t="s">
        <v>3420</v>
      </c>
      <c r="AK5978" s="306" t="str">
        <f>IF(ISNUMBER(Table1[[#This Row],[FECHA DE RECIBIDO]]), Table1[[#This Row],[FECHA DE RECIBIDO]]-DATE(2023,8,30), "")</f>
        <v/>
      </c>
    </row>
    <row r="5979" spans="1:37" ht="16.05" customHeight="1">
      <c r="A5979" s="172" t="s">
        <v>5149</v>
      </c>
      <c r="B5979" s="178">
        <v>2116</v>
      </c>
      <c r="C5979" s="179" t="s">
        <v>2455</v>
      </c>
      <c r="D5979">
        <v>4113</v>
      </c>
      <c r="E5979" s="125" t="s">
        <v>5150</v>
      </c>
      <c r="F5979" s="178">
        <v>625</v>
      </c>
      <c r="G5979" s="178" t="s">
        <v>1625</v>
      </c>
      <c r="H5979">
        <v>986</v>
      </c>
      <c r="I5979" s="178" t="s">
        <v>1546</v>
      </c>
      <c r="J5979" s="320" t="s">
        <v>214</v>
      </c>
      <c r="K5979" s="178" t="s">
        <v>5167</v>
      </c>
      <c r="L5979" s="125" t="s">
        <v>1579</v>
      </c>
      <c r="M5979">
        <v>1373</v>
      </c>
      <c r="N5979" s="182">
        <v>17</v>
      </c>
      <c r="O5979">
        <v>3934</v>
      </c>
      <c r="P5979" s="132" t="s">
        <v>77</v>
      </c>
      <c r="Q5979" s="176">
        <v>103.4</v>
      </c>
      <c r="R5979" s="176">
        <v>16.54</v>
      </c>
      <c r="S5979" s="176"/>
      <c r="T5979" s="190"/>
      <c r="U5979" s="191"/>
      <c r="V5979" s="191">
        <v>119.94</v>
      </c>
      <c r="W5979">
        <v>104</v>
      </c>
      <c r="X5979" s="186" t="s">
        <v>1644</v>
      </c>
      <c r="Y5979" s="187" t="s">
        <v>55</v>
      </c>
      <c r="Z5979" s="311">
        <v>259</v>
      </c>
      <c r="AB5979" t="str">
        <f>IF(Table1[[#This Row],[TIPO2]]="costo", VLOOKUP(Table1[[#This Row],[PARTIDA PRESUPUESTAL]],'Cost Report'!G:G,1,0),"Balance")</f>
        <v>2285-003</v>
      </c>
      <c r="AD5979" s="159">
        <f>+Table1[[#This Row],[SUBTOTAL]]+Table1[[#This Row],[IVA]]-Table1[[#This Row],[RET IVA]]-Table1[[#This Row],[RET ISR]]-Table1[[#This Row],[TOTAL]]</f>
        <v>0</v>
      </c>
      <c r="AG5979" t="s">
        <v>3420</v>
      </c>
      <c r="AK5979" s="306" t="str">
        <f>IF(ISNUMBER(Table1[[#This Row],[FECHA DE RECIBIDO]]), Table1[[#This Row],[FECHA DE RECIBIDO]]-DATE(2023,8,30), "")</f>
        <v/>
      </c>
    </row>
    <row r="5980" spans="1:37" ht="16.05" customHeight="1">
      <c r="A5980" s="172" t="s">
        <v>5149</v>
      </c>
      <c r="B5980" s="178">
        <v>2116</v>
      </c>
      <c r="C5980" s="179" t="s">
        <v>2455</v>
      </c>
      <c r="D5980">
        <v>4114</v>
      </c>
      <c r="E5980" s="125" t="s">
        <v>5151</v>
      </c>
      <c r="F5980" s="178">
        <v>625</v>
      </c>
      <c r="G5980" s="178" t="s">
        <v>1625</v>
      </c>
      <c r="H5980">
        <v>987</v>
      </c>
      <c r="I5980" s="178" t="s">
        <v>1546</v>
      </c>
      <c r="J5980" s="320" t="s">
        <v>214</v>
      </c>
      <c r="K5980" s="178" t="s">
        <v>5167</v>
      </c>
      <c r="L5980" s="125" t="s">
        <v>1579</v>
      </c>
      <c r="M5980">
        <v>1374</v>
      </c>
      <c r="N5980" s="182">
        <v>17</v>
      </c>
      <c r="O5980">
        <v>3935</v>
      </c>
      <c r="P5980" s="132" t="s">
        <v>77</v>
      </c>
      <c r="Q5980" s="176">
        <v>86.16</v>
      </c>
      <c r="R5980" s="176">
        <v>13.79</v>
      </c>
      <c r="S5980" s="176"/>
      <c r="T5980" s="190"/>
      <c r="U5980" s="191"/>
      <c r="V5980" s="191">
        <v>99.949999999999989</v>
      </c>
      <c r="W5980">
        <v>104</v>
      </c>
      <c r="X5980" s="186" t="s">
        <v>1644</v>
      </c>
      <c r="Y5980" s="187" t="s">
        <v>55</v>
      </c>
      <c r="Z5980" s="311">
        <v>260</v>
      </c>
      <c r="AB5980" t="str">
        <f>IF(Table1[[#This Row],[TIPO2]]="costo", VLOOKUP(Table1[[#This Row],[PARTIDA PRESUPUESTAL]],'Cost Report'!G:G,1,0),"Balance")</f>
        <v>2285-003</v>
      </c>
      <c r="AD5980" s="159">
        <f>+Table1[[#This Row],[SUBTOTAL]]+Table1[[#This Row],[IVA]]-Table1[[#This Row],[RET IVA]]-Table1[[#This Row],[RET ISR]]-Table1[[#This Row],[TOTAL]]</f>
        <v>0</v>
      </c>
      <c r="AG5980" t="s">
        <v>3420</v>
      </c>
      <c r="AK5980" s="306" t="str">
        <f>IF(ISNUMBER(Table1[[#This Row],[FECHA DE RECIBIDO]]), Table1[[#This Row],[FECHA DE RECIBIDO]]-DATE(2023,8,30), "")</f>
        <v/>
      </c>
    </row>
    <row r="5981" spans="1:37" ht="16.05" customHeight="1">
      <c r="A5981" s="172" t="s">
        <v>5149</v>
      </c>
      <c r="B5981" s="178">
        <v>2116</v>
      </c>
      <c r="C5981" s="179" t="s">
        <v>2455</v>
      </c>
      <c r="D5981">
        <v>4115</v>
      </c>
      <c r="E5981" s="125" t="s">
        <v>4203</v>
      </c>
      <c r="F5981" s="178">
        <v>625</v>
      </c>
      <c r="G5981" s="178" t="s">
        <v>1625</v>
      </c>
      <c r="H5981">
        <v>988</v>
      </c>
      <c r="I5981" s="178" t="s">
        <v>1546</v>
      </c>
      <c r="J5981" s="320" t="s">
        <v>214</v>
      </c>
      <c r="K5981" s="178" t="s">
        <v>5167</v>
      </c>
      <c r="L5981" s="125" t="s">
        <v>1579</v>
      </c>
      <c r="M5981">
        <v>1375</v>
      </c>
      <c r="N5981" s="182">
        <v>17</v>
      </c>
      <c r="O5981">
        <v>3935</v>
      </c>
      <c r="P5981" s="132" t="s">
        <v>77</v>
      </c>
      <c r="Q5981" s="176">
        <v>129.28</v>
      </c>
      <c r="R5981" s="176">
        <v>20.69</v>
      </c>
      <c r="S5981" s="176"/>
      <c r="T5981" s="190"/>
      <c r="U5981" s="191"/>
      <c r="V5981" s="191">
        <v>149.97</v>
      </c>
      <c r="W5981">
        <v>104</v>
      </c>
      <c r="X5981" s="186" t="s">
        <v>1644</v>
      </c>
      <c r="Y5981" s="187" t="s">
        <v>55</v>
      </c>
      <c r="Z5981" s="311">
        <v>261</v>
      </c>
      <c r="AB5981" t="str">
        <f>IF(Table1[[#This Row],[TIPO2]]="costo", VLOOKUP(Table1[[#This Row],[PARTIDA PRESUPUESTAL]],'Cost Report'!G:G,1,0),"Balance")</f>
        <v>2285-003</v>
      </c>
      <c r="AD5981" s="159">
        <f>+Table1[[#This Row],[SUBTOTAL]]+Table1[[#This Row],[IVA]]-Table1[[#This Row],[RET IVA]]-Table1[[#This Row],[RET ISR]]-Table1[[#This Row],[TOTAL]]</f>
        <v>0</v>
      </c>
      <c r="AG5981" t="s">
        <v>3420</v>
      </c>
      <c r="AK5981" s="306" t="str">
        <f>IF(ISNUMBER(Table1[[#This Row],[FECHA DE RECIBIDO]]), Table1[[#This Row],[FECHA DE RECIBIDO]]-DATE(2023,8,30), "")</f>
        <v/>
      </c>
    </row>
    <row r="5982" spans="1:37" ht="16.05" customHeight="1">
      <c r="A5982" s="172" t="s">
        <v>5149</v>
      </c>
      <c r="B5982" s="178">
        <v>2116</v>
      </c>
      <c r="C5982" s="179" t="s">
        <v>2455</v>
      </c>
      <c r="D5982">
        <v>4116</v>
      </c>
      <c r="E5982" s="125" t="s">
        <v>2021</v>
      </c>
      <c r="F5982" s="178">
        <v>625</v>
      </c>
      <c r="G5982" s="178" t="s">
        <v>1625</v>
      </c>
      <c r="H5982">
        <v>989</v>
      </c>
      <c r="I5982" s="178" t="s">
        <v>1546</v>
      </c>
      <c r="J5982" s="320" t="s">
        <v>214</v>
      </c>
      <c r="K5982" s="178" t="s">
        <v>5167</v>
      </c>
      <c r="L5982" s="125" t="s">
        <v>1579</v>
      </c>
      <c r="M5982">
        <v>1376</v>
      </c>
      <c r="N5982" s="182">
        <v>17</v>
      </c>
      <c r="O5982">
        <v>3936</v>
      </c>
      <c r="P5982" s="132" t="s">
        <v>77</v>
      </c>
      <c r="Q5982" s="176">
        <v>460.73</v>
      </c>
      <c r="R5982" s="176">
        <v>73.72</v>
      </c>
      <c r="S5982" s="176"/>
      <c r="T5982" s="190"/>
      <c r="U5982" s="191"/>
      <c r="V5982" s="191">
        <v>534.45000000000005</v>
      </c>
      <c r="W5982">
        <v>104</v>
      </c>
      <c r="X5982" s="186" t="s">
        <v>1644</v>
      </c>
      <c r="Y5982" s="187" t="s">
        <v>55</v>
      </c>
      <c r="Z5982" s="311">
        <v>271</v>
      </c>
      <c r="AB5982" t="str">
        <f>IF(Table1[[#This Row],[TIPO2]]="costo", VLOOKUP(Table1[[#This Row],[PARTIDA PRESUPUESTAL]],'Cost Report'!G:G,1,0),"Balance")</f>
        <v>2285-003</v>
      </c>
      <c r="AD5982" s="159">
        <f>+Table1[[#This Row],[SUBTOTAL]]+Table1[[#This Row],[IVA]]-Table1[[#This Row],[RET IVA]]-Table1[[#This Row],[RET ISR]]-Table1[[#This Row],[TOTAL]]</f>
        <v>0</v>
      </c>
      <c r="AG5982" t="s">
        <v>3420</v>
      </c>
      <c r="AK5982" s="306" t="str">
        <f>IF(ISNUMBER(Table1[[#This Row],[FECHA DE RECIBIDO]]), Table1[[#This Row],[FECHA DE RECIBIDO]]-DATE(2023,8,30), "")</f>
        <v/>
      </c>
    </row>
    <row r="5983" spans="1:37" ht="16.05" customHeight="1">
      <c r="A5983" s="172" t="s">
        <v>5149</v>
      </c>
      <c r="B5983" s="178">
        <v>2116</v>
      </c>
      <c r="C5983" s="179" t="s">
        <v>2455</v>
      </c>
      <c r="D5983">
        <v>4117</v>
      </c>
      <c r="E5983" s="125" t="s">
        <v>5152</v>
      </c>
      <c r="F5983" s="178">
        <v>625</v>
      </c>
      <c r="G5983" s="178" t="s">
        <v>1625</v>
      </c>
      <c r="H5983">
        <v>990</v>
      </c>
      <c r="I5983" s="178" t="s">
        <v>1546</v>
      </c>
      <c r="J5983" s="320" t="s">
        <v>214</v>
      </c>
      <c r="K5983" s="178" t="s">
        <v>5167</v>
      </c>
      <c r="L5983" s="125" t="s">
        <v>1579</v>
      </c>
      <c r="M5983">
        <v>1377</v>
      </c>
      <c r="N5983" s="182">
        <v>17</v>
      </c>
      <c r="O5983">
        <v>3936</v>
      </c>
      <c r="P5983" s="132" t="s">
        <v>77</v>
      </c>
      <c r="Q5983" s="176">
        <v>45.13</v>
      </c>
      <c r="R5983" s="176">
        <v>7.22</v>
      </c>
      <c r="S5983" s="176"/>
      <c r="T5983" s="190"/>
      <c r="U5983" s="191"/>
      <c r="V5983" s="191">
        <v>52.35</v>
      </c>
      <c r="W5983">
        <v>104</v>
      </c>
      <c r="X5983" s="186" t="s">
        <v>1644</v>
      </c>
      <c r="Y5983" s="187" t="s">
        <v>55</v>
      </c>
      <c r="Z5983" s="311">
        <v>271</v>
      </c>
      <c r="AB5983" t="str">
        <f>IF(Table1[[#This Row],[TIPO2]]="costo", VLOOKUP(Table1[[#This Row],[PARTIDA PRESUPUESTAL]],'Cost Report'!G:G,1,0),"Balance")</f>
        <v>2285-003</v>
      </c>
      <c r="AD5983" s="159">
        <f>+Table1[[#This Row],[SUBTOTAL]]+Table1[[#This Row],[IVA]]-Table1[[#This Row],[RET IVA]]-Table1[[#This Row],[RET ISR]]-Table1[[#This Row],[TOTAL]]</f>
        <v>0</v>
      </c>
      <c r="AG5983" t="s">
        <v>3420</v>
      </c>
      <c r="AK5983" s="306" t="str">
        <f>IF(ISNUMBER(Table1[[#This Row],[FECHA DE RECIBIDO]]), Table1[[#This Row],[FECHA DE RECIBIDO]]-DATE(2023,8,30), "")</f>
        <v/>
      </c>
    </row>
    <row r="5984" spans="1:37" ht="16.05" customHeight="1">
      <c r="A5984" s="172" t="s">
        <v>5149</v>
      </c>
      <c r="B5984" s="178">
        <v>2116</v>
      </c>
      <c r="C5984" s="179" t="s">
        <v>2455</v>
      </c>
      <c r="D5984">
        <v>4118</v>
      </c>
      <c r="E5984" s="125" t="s">
        <v>1895</v>
      </c>
      <c r="F5984" s="178">
        <v>601</v>
      </c>
      <c r="G5984" s="178" t="s">
        <v>134</v>
      </c>
      <c r="H5984">
        <v>635</v>
      </c>
      <c r="I5984" s="178" t="s">
        <v>1546</v>
      </c>
      <c r="J5984" s="320" t="s">
        <v>214</v>
      </c>
      <c r="K5984" s="178" t="s">
        <v>5167</v>
      </c>
      <c r="L5984" s="125" t="s">
        <v>1579</v>
      </c>
      <c r="M5984">
        <v>901</v>
      </c>
      <c r="N5984" s="182">
        <v>17</v>
      </c>
      <c r="O5984">
        <v>3937</v>
      </c>
      <c r="P5984" s="132" t="s">
        <v>77</v>
      </c>
      <c r="Q5984" s="176">
        <v>129.27000000000001</v>
      </c>
      <c r="R5984" s="176">
        <v>20.68</v>
      </c>
      <c r="S5984" s="176"/>
      <c r="T5984" s="190"/>
      <c r="U5984" s="191"/>
      <c r="V5984" s="191">
        <v>149.95000000000002</v>
      </c>
      <c r="W5984">
        <v>104</v>
      </c>
      <c r="X5984" s="186" t="s">
        <v>1644</v>
      </c>
      <c r="Y5984" s="187" t="s">
        <v>55</v>
      </c>
      <c r="Z5984" s="311">
        <v>275</v>
      </c>
      <c r="AB5984" t="str">
        <f>IF(Table1[[#This Row],[TIPO2]]="costo", VLOOKUP(Table1[[#This Row],[PARTIDA PRESUPUESTAL]],'Cost Report'!G:G,1,0),"Balance")</f>
        <v>2285-003</v>
      </c>
      <c r="AD5984" s="159">
        <f>+Table1[[#This Row],[SUBTOTAL]]+Table1[[#This Row],[IVA]]-Table1[[#This Row],[RET IVA]]-Table1[[#This Row],[RET ISR]]-Table1[[#This Row],[TOTAL]]</f>
        <v>0</v>
      </c>
      <c r="AG5984" t="s">
        <v>3420</v>
      </c>
      <c r="AK5984" s="306" t="str">
        <f>IF(ISNUMBER(Table1[[#This Row],[FECHA DE RECIBIDO]]), Table1[[#This Row],[FECHA DE RECIBIDO]]-DATE(2023,8,30), "")</f>
        <v/>
      </c>
    </row>
    <row r="5985" spans="1:37" ht="16.05" customHeight="1">
      <c r="A5985" s="172" t="s">
        <v>5149</v>
      </c>
      <c r="B5985" s="178">
        <v>2116</v>
      </c>
      <c r="C5985" s="179" t="s">
        <v>2455</v>
      </c>
      <c r="D5985">
        <v>4119</v>
      </c>
      <c r="E5985" s="125" t="s">
        <v>3282</v>
      </c>
      <c r="F5985" s="178">
        <v>625</v>
      </c>
      <c r="G5985" s="178" t="s">
        <v>1625</v>
      </c>
      <c r="H5985">
        <v>991</v>
      </c>
      <c r="I5985" s="178" t="s">
        <v>1546</v>
      </c>
      <c r="J5985" s="320" t="s">
        <v>214</v>
      </c>
      <c r="K5985" s="178" t="s">
        <v>5167</v>
      </c>
      <c r="L5985" s="125" t="s">
        <v>1579</v>
      </c>
      <c r="M5985">
        <v>1378</v>
      </c>
      <c r="N5985" s="182">
        <v>17</v>
      </c>
      <c r="O5985">
        <v>3938</v>
      </c>
      <c r="P5985" s="132" t="s">
        <v>77</v>
      </c>
      <c r="Q5985" s="176">
        <v>103.37</v>
      </c>
      <c r="R5985" s="176">
        <v>16.54</v>
      </c>
      <c r="S5985" s="176"/>
      <c r="T5985" s="190"/>
      <c r="U5985" s="191"/>
      <c r="V5985" s="191">
        <v>119.91</v>
      </c>
      <c r="W5985">
        <v>104</v>
      </c>
      <c r="X5985" s="186" t="s">
        <v>1644</v>
      </c>
      <c r="Y5985" s="187" t="s">
        <v>55</v>
      </c>
      <c r="Z5985" s="311">
        <v>254</v>
      </c>
      <c r="AB5985" t="str">
        <f>IF(Table1[[#This Row],[TIPO2]]="costo", VLOOKUP(Table1[[#This Row],[PARTIDA PRESUPUESTAL]],'Cost Report'!G:G,1,0),"Balance")</f>
        <v>2285-003</v>
      </c>
      <c r="AD5985" s="159">
        <f>+Table1[[#This Row],[SUBTOTAL]]+Table1[[#This Row],[IVA]]-Table1[[#This Row],[RET IVA]]-Table1[[#This Row],[RET ISR]]-Table1[[#This Row],[TOTAL]]</f>
        <v>0</v>
      </c>
      <c r="AG5985" t="s">
        <v>3420</v>
      </c>
      <c r="AK5985" s="306" t="str">
        <f>IF(ISNUMBER(Table1[[#This Row],[FECHA DE RECIBIDO]]), Table1[[#This Row],[FECHA DE RECIBIDO]]-DATE(2023,8,30), "")</f>
        <v/>
      </c>
    </row>
    <row r="5986" spans="1:37" ht="16.05" customHeight="1">
      <c r="A5986" s="172" t="s">
        <v>5149</v>
      </c>
      <c r="B5986" s="178">
        <v>2116</v>
      </c>
      <c r="C5986" s="179" t="s">
        <v>2455</v>
      </c>
      <c r="D5986">
        <v>4120</v>
      </c>
      <c r="E5986" s="125" t="s">
        <v>3833</v>
      </c>
      <c r="F5986" s="178">
        <v>625</v>
      </c>
      <c r="G5986" s="178" t="s">
        <v>1625</v>
      </c>
      <c r="H5986">
        <v>992</v>
      </c>
      <c r="I5986" s="178" t="s">
        <v>1546</v>
      </c>
      <c r="J5986" s="320" t="s">
        <v>214</v>
      </c>
      <c r="K5986" s="178" t="s">
        <v>5167</v>
      </c>
      <c r="L5986" s="125" t="s">
        <v>1579</v>
      </c>
      <c r="M5986">
        <v>1379</v>
      </c>
      <c r="N5986" s="182">
        <v>17</v>
      </c>
      <c r="O5986">
        <v>3938</v>
      </c>
      <c r="P5986" s="132" t="s">
        <v>77</v>
      </c>
      <c r="Q5986" s="176">
        <v>77.52</v>
      </c>
      <c r="R5986" s="176">
        <v>12.4</v>
      </c>
      <c r="S5986" s="176"/>
      <c r="T5986" s="190"/>
      <c r="U5986" s="191"/>
      <c r="V5986" s="191">
        <v>89.92</v>
      </c>
      <c r="W5986">
        <v>104</v>
      </c>
      <c r="X5986" s="186" t="s">
        <v>1644</v>
      </c>
      <c r="Y5986" s="187" t="s">
        <v>55</v>
      </c>
      <c r="Z5986" s="311">
        <v>252</v>
      </c>
      <c r="AB5986" t="str">
        <f>IF(Table1[[#This Row],[TIPO2]]="costo", VLOOKUP(Table1[[#This Row],[PARTIDA PRESUPUESTAL]],'Cost Report'!G:G,1,0),"Balance")</f>
        <v>2285-003</v>
      </c>
      <c r="AD5986" s="159">
        <f>+Table1[[#This Row],[SUBTOTAL]]+Table1[[#This Row],[IVA]]-Table1[[#This Row],[RET IVA]]-Table1[[#This Row],[RET ISR]]-Table1[[#This Row],[TOTAL]]</f>
        <v>0</v>
      </c>
      <c r="AG5986" t="s">
        <v>3420</v>
      </c>
      <c r="AK5986" s="306" t="str">
        <f>IF(ISNUMBER(Table1[[#This Row],[FECHA DE RECIBIDO]]), Table1[[#This Row],[FECHA DE RECIBIDO]]-DATE(2023,8,30), "")</f>
        <v/>
      </c>
    </row>
    <row r="5987" spans="1:37" ht="16.05" customHeight="1">
      <c r="A5987" s="172" t="s">
        <v>5149</v>
      </c>
      <c r="B5987" s="178">
        <v>2116</v>
      </c>
      <c r="C5987" s="179" t="s">
        <v>2455</v>
      </c>
      <c r="D5987">
        <v>4121</v>
      </c>
      <c r="E5987" s="125" t="s">
        <v>4200</v>
      </c>
      <c r="F5987" s="178">
        <v>625</v>
      </c>
      <c r="G5987" s="178" t="s">
        <v>1625</v>
      </c>
      <c r="H5987">
        <v>643</v>
      </c>
      <c r="I5987" s="178" t="s">
        <v>1546</v>
      </c>
      <c r="J5987" s="320" t="s">
        <v>214</v>
      </c>
      <c r="K5987" s="178" t="s">
        <v>5167</v>
      </c>
      <c r="L5987" s="125" t="s">
        <v>1579</v>
      </c>
      <c r="M5987">
        <v>909</v>
      </c>
      <c r="N5987" s="182">
        <v>17</v>
      </c>
      <c r="O5987">
        <v>3938</v>
      </c>
      <c r="P5987" s="132" t="s">
        <v>77</v>
      </c>
      <c r="Q5987" s="176">
        <v>77.56</v>
      </c>
      <c r="R5987" s="176">
        <v>12.41</v>
      </c>
      <c r="S5987" s="176"/>
      <c r="T5987" s="190"/>
      <c r="U5987" s="191"/>
      <c r="V5987" s="191">
        <v>89.97</v>
      </c>
      <c r="W5987">
        <v>104</v>
      </c>
      <c r="X5987" s="186" t="s">
        <v>1644</v>
      </c>
      <c r="Y5987" s="187" t="s">
        <v>55</v>
      </c>
      <c r="Z5987" s="311">
        <v>248</v>
      </c>
      <c r="AB5987" t="str">
        <f>IF(Table1[[#This Row],[TIPO2]]="costo", VLOOKUP(Table1[[#This Row],[PARTIDA PRESUPUESTAL]],'Cost Report'!G:G,1,0),"Balance")</f>
        <v>2285-003</v>
      </c>
      <c r="AD5987" s="159">
        <f>+Table1[[#This Row],[SUBTOTAL]]+Table1[[#This Row],[IVA]]-Table1[[#This Row],[RET IVA]]-Table1[[#This Row],[RET ISR]]-Table1[[#This Row],[TOTAL]]</f>
        <v>0</v>
      </c>
      <c r="AG5987" t="s">
        <v>3420</v>
      </c>
      <c r="AK5987" s="306" t="str">
        <f>IF(ISNUMBER(Table1[[#This Row],[FECHA DE RECIBIDO]]), Table1[[#This Row],[FECHA DE RECIBIDO]]-DATE(2023,8,30), "")</f>
        <v/>
      </c>
    </row>
    <row r="5988" spans="1:37" ht="16.05" customHeight="1">
      <c r="A5988" s="172" t="s">
        <v>5149</v>
      </c>
      <c r="B5988" s="178">
        <v>2116</v>
      </c>
      <c r="C5988" s="179" t="s">
        <v>2455</v>
      </c>
      <c r="D5988">
        <v>4122</v>
      </c>
      <c r="E5988" s="125" t="s">
        <v>4091</v>
      </c>
      <c r="F5988" s="178">
        <v>625</v>
      </c>
      <c r="G5988" s="178" t="s">
        <v>1625</v>
      </c>
      <c r="H5988">
        <v>993</v>
      </c>
      <c r="I5988" s="178" t="s">
        <v>1546</v>
      </c>
      <c r="J5988" s="320" t="s">
        <v>214</v>
      </c>
      <c r="K5988" s="178" t="s">
        <v>5167</v>
      </c>
      <c r="L5988" s="125" t="s">
        <v>1579</v>
      </c>
      <c r="M5988">
        <v>1380</v>
      </c>
      <c r="N5988" s="182">
        <v>17</v>
      </c>
      <c r="O5988">
        <v>3939</v>
      </c>
      <c r="P5988" s="132" t="s">
        <v>77</v>
      </c>
      <c r="Q5988" s="176">
        <v>94.81</v>
      </c>
      <c r="R5988" s="176">
        <v>15.17</v>
      </c>
      <c r="S5988" s="176"/>
      <c r="T5988" s="190"/>
      <c r="U5988" s="191"/>
      <c r="V5988" s="191">
        <v>109.98</v>
      </c>
      <c r="W5988">
        <v>104</v>
      </c>
      <c r="X5988" s="186" t="s">
        <v>1644</v>
      </c>
      <c r="Y5988" s="187" t="s">
        <v>55</v>
      </c>
      <c r="Z5988" s="311">
        <v>248</v>
      </c>
      <c r="AB5988" t="str">
        <f>IF(Table1[[#This Row],[TIPO2]]="costo", VLOOKUP(Table1[[#This Row],[PARTIDA PRESUPUESTAL]],'Cost Report'!G:G,1,0),"Balance")</f>
        <v>2285-003</v>
      </c>
      <c r="AD5988" s="159">
        <f>+Table1[[#This Row],[SUBTOTAL]]+Table1[[#This Row],[IVA]]-Table1[[#This Row],[RET IVA]]-Table1[[#This Row],[RET ISR]]-Table1[[#This Row],[TOTAL]]</f>
        <v>0</v>
      </c>
      <c r="AG5988" t="s">
        <v>3420</v>
      </c>
      <c r="AK5988" s="306" t="str">
        <f>IF(ISNUMBER(Table1[[#This Row],[FECHA DE RECIBIDO]]), Table1[[#This Row],[FECHA DE RECIBIDO]]-DATE(2023,8,30), "")</f>
        <v/>
      </c>
    </row>
    <row r="5989" spans="1:37" ht="16.05" customHeight="1">
      <c r="A5989" s="172" t="s">
        <v>5149</v>
      </c>
      <c r="B5989" s="178">
        <v>2116</v>
      </c>
      <c r="C5989" s="179" t="s">
        <v>2455</v>
      </c>
      <c r="D5989">
        <v>4123</v>
      </c>
      <c r="E5989" s="125" t="s">
        <v>1646</v>
      </c>
      <c r="F5989" s="178">
        <v>625</v>
      </c>
      <c r="G5989" s="178" t="s">
        <v>1625</v>
      </c>
      <c r="H5989">
        <v>994</v>
      </c>
      <c r="I5989" s="178" t="s">
        <v>1546</v>
      </c>
      <c r="J5989" s="320" t="s">
        <v>214</v>
      </c>
      <c r="K5989" s="178" t="s">
        <v>5167</v>
      </c>
      <c r="L5989" s="125" t="s">
        <v>1579</v>
      </c>
      <c r="M5989">
        <v>1381</v>
      </c>
      <c r="N5989" s="182">
        <v>17</v>
      </c>
      <c r="O5989">
        <v>3940</v>
      </c>
      <c r="P5989" s="132" t="s">
        <v>77</v>
      </c>
      <c r="Q5989" s="176">
        <v>120.68</v>
      </c>
      <c r="R5989" s="176">
        <v>19.309999999999999</v>
      </c>
      <c r="S5989" s="176"/>
      <c r="T5989" s="190"/>
      <c r="U5989" s="191"/>
      <c r="V5989" s="191">
        <v>139.99</v>
      </c>
      <c r="W5989">
        <v>104</v>
      </c>
      <c r="X5989" s="186" t="s">
        <v>1644</v>
      </c>
      <c r="Y5989" s="187" t="s">
        <v>55</v>
      </c>
      <c r="Z5989" s="311">
        <v>247</v>
      </c>
      <c r="AB5989" t="str">
        <f>IF(Table1[[#This Row],[TIPO2]]="costo", VLOOKUP(Table1[[#This Row],[PARTIDA PRESUPUESTAL]],'Cost Report'!G:G,1,0),"Balance")</f>
        <v>2285-003</v>
      </c>
      <c r="AD5989" s="159">
        <f>+Table1[[#This Row],[SUBTOTAL]]+Table1[[#This Row],[IVA]]-Table1[[#This Row],[RET IVA]]-Table1[[#This Row],[RET ISR]]-Table1[[#This Row],[TOTAL]]</f>
        <v>0</v>
      </c>
      <c r="AG5989" t="s">
        <v>3420</v>
      </c>
      <c r="AK5989" s="306" t="str">
        <f>IF(ISNUMBER(Table1[[#This Row],[FECHA DE RECIBIDO]]), Table1[[#This Row],[FECHA DE RECIBIDO]]-DATE(2023,8,30), "")</f>
        <v/>
      </c>
    </row>
    <row r="5990" spans="1:37" ht="16.05" customHeight="1">
      <c r="A5990" s="172" t="s">
        <v>5149</v>
      </c>
      <c r="B5990" s="178">
        <v>2116</v>
      </c>
      <c r="C5990" s="179" t="s">
        <v>2455</v>
      </c>
      <c r="D5990">
        <v>4124</v>
      </c>
      <c r="E5990" s="125" t="s">
        <v>1610</v>
      </c>
      <c r="F5990" s="178">
        <v>625</v>
      </c>
      <c r="G5990" s="178" t="s">
        <v>1625</v>
      </c>
      <c r="H5990">
        <v>995</v>
      </c>
      <c r="I5990" s="178" t="s">
        <v>1546</v>
      </c>
      <c r="J5990" s="320" t="s">
        <v>214</v>
      </c>
      <c r="K5990" s="178" t="s">
        <v>5167</v>
      </c>
      <c r="L5990" s="125" t="s">
        <v>1579</v>
      </c>
      <c r="M5990">
        <v>1382</v>
      </c>
      <c r="N5990" s="182">
        <v>17</v>
      </c>
      <c r="O5990">
        <v>3941</v>
      </c>
      <c r="P5990" s="132" t="s">
        <v>77</v>
      </c>
      <c r="Q5990" s="176">
        <v>86.2</v>
      </c>
      <c r="R5990" s="176">
        <v>13.79</v>
      </c>
      <c r="S5990" s="176"/>
      <c r="T5990" s="190"/>
      <c r="U5990" s="191"/>
      <c r="V5990" s="191">
        <v>99.990000000000009</v>
      </c>
      <c r="W5990">
        <v>104</v>
      </c>
      <c r="X5990" s="186" t="s">
        <v>1644</v>
      </c>
      <c r="Y5990" s="187" t="s">
        <v>55</v>
      </c>
      <c r="Z5990" s="311">
        <v>247</v>
      </c>
      <c r="AB5990" t="str">
        <f>IF(Table1[[#This Row],[TIPO2]]="costo", VLOOKUP(Table1[[#This Row],[PARTIDA PRESUPUESTAL]],'Cost Report'!G:G,1,0),"Balance")</f>
        <v>2285-003</v>
      </c>
      <c r="AD5990" s="159">
        <f>+Table1[[#This Row],[SUBTOTAL]]+Table1[[#This Row],[IVA]]-Table1[[#This Row],[RET IVA]]-Table1[[#This Row],[RET ISR]]-Table1[[#This Row],[TOTAL]]</f>
        <v>0</v>
      </c>
      <c r="AG5990" t="s">
        <v>3420</v>
      </c>
      <c r="AK5990" s="306" t="str">
        <f>IF(ISNUMBER(Table1[[#This Row],[FECHA DE RECIBIDO]]), Table1[[#This Row],[FECHA DE RECIBIDO]]-DATE(2023,8,30), "")</f>
        <v/>
      </c>
    </row>
    <row r="5991" spans="1:37" ht="16.05" customHeight="1">
      <c r="A5991" s="172" t="s">
        <v>5149</v>
      </c>
      <c r="B5991" s="178">
        <v>2116</v>
      </c>
      <c r="C5991" s="179" t="s">
        <v>2455</v>
      </c>
      <c r="D5991">
        <v>4125</v>
      </c>
      <c r="E5991" s="125" t="s">
        <v>1608</v>
      </c>
      <c r="F5991" s="178">
        <v>612</v>
      </c>
      <c r="G5991" s="178" t="s">
        <v>129</v>
      </c>
      <c r="H5991">
        <v>996</v>
      </c>
      <c r="I5991" s="178" t="s">
        <v>1546</v>
      </c>
      <c r="J5991" s="320" t="s">
        <v>214</v>
      </c>
      <c r="K5991" s="178" t="s">
        <v>5167</v>
      </c>
      <c r="L5991" s="125" t="s">
        <v>1579</v>
      </c>
      <c r="M5991">
        <v>1383</v>
      </c>
      <c r="N5991" s="182">
        <v>17</v>
      </c>
      <c r="O5991">
        <v>3942</v>
      </c>
      <c r="P5991" s="132" t="s">
        <v>77</v>
      </c>
      <c r="Q5991" s="176">
        <v>94.78</v>
      </c>
      <c r="R5991" s="176">
        <v>94.78</v>
      </c>
      <c r="S5991" s="176"/>
      <c r="T5991" s="190"/>
      <c r="U5991" s="191"/>
      <c r="V5991" s="191">
        <v>189.56</v>
      </c>
      <c r="W5991">
        <v>104</v>
      </c>
      <c r="X5991" s="186" t="s">
        <v>1644</v>
      </c>
      <c r="Y5991" s="187" t="s">
        <v>55</v>
      </c>
      <c r="Z5991" s="311">
        <v>246</v>
      </c>
      <c r="AB5991" t="str">
        <f>IF(Table1[[#This Row],[TIPO2]]="costo", VLOOKUP(Table1[[#This Row],[PARTIDA PRESUPUESTAL]],'Cost Report'!G:G,1,0),"Balance")</f>
        <v>2285-003</v>
      </c>
      <c r="AD5991" s="159">
        <f>+Table1[[#This Row],[SUBTOTAL]]+Table1[[#This Row],[IVA]]-Table1[[#This Row],[RET IVA]]-Table1[[#This Row],[RET ISR]]-Table1[[#This Row],[TOTAL]]</f>
        <v>0</v>
      </c>
      <c r="AG5991" t="s">
        <v>3420</v>
      </c>
      <c r="AK5991" s="306" t="str">
        <f>IF(ISNUMBER(Table1[[#This Row],[FECHA DE RECIBIDO]]), Table1[[#This Row],[FECHA DE RECIBIDO]]-DATE(2023,8,30), "")</f>
        <v/>
      </c>
    </row>
    <row r="5992" spans="1:37" ht="16.05" customHeight="1">
      <c r="A5992" s="172" t="s">
        <v>5149</v>
      </c>
      <c r="B5992" s="178">
        <v>2116</v>
      </c>
      <c r="C5992" s="179" t="s">
        <v>2455</v>
      </c>
      <c r="D5992">
        <v>4126</v>
      </c>
      <c r="E5992" s="125" t="s">
        <v>3133</v>
      </c>
      <c r="F5992" s="178">
        <v>625</v>
      </c>
      <c r="G5992" s="178" t="s">
        <v>1625</v>
      </c>
      <c r="H5992">
        <v>997</v>
      </c>
      <c r="I5992" s="178" t="s">
        <v>1546</v>
      </c>
      <c r="J5992" s="320" t="s">
        <v>214</v>
      </c>
      <c r="K5992" s="178" t="s">
        <v>5167</v>
      </c>
      <c r="L5992" s="125" t="s">
        <v>1579</v>
      </c>
      <c r="M5992">
        <v>1384</v>
      </c>
      <c r="N5992" s="182">
        <v>17</v>
      </c>
      <c r="O5992">
        <v>3941</v>
      </c>
      <c r="P5992" s="132" t="s">
        <v>77</v>
      </c>
      <c r="Q5992" s="176">
        <v>86.12</v>
      </c>
      <c r="R5992" s="176">
        <v>13.78</v>
      </c>
      <c r="S5992" s="176"/>
      <c r="T5992" s="190"/>
      <c r="U5992" s="191"/>
      <c r="V5992" s="191">
        <v>99.9</v>
      </c>
      <c r="W5992">
        <v>104</v>
      </c>
      <c r="X5992" s="186" t="s">
        <v>1644</v>
      </c>
      <c r="Y5992" s="187" t="s">
        <v>55</v>
      </c>
      <c r="Z5992" s="311">
        <v>246</v>
      </c>
      <c r="AB5992" t="str">
        <f>IF(Table1[[#This Row],[TIPO2]]="costo", VLOOKUP(Table1[[#This Row],[PARTIDA PRESUPUESTAL]],'Cost Report'!G:G,1,0),"Balance")</f>
        <v>2285-003</v>
      </c>
      <c r="AD5992" s="159">
        <f>+Table1[[#This Row],[SUBTOTAL]]+Table1[[#This Row],[IVA]]-Table1[[#This Row],[RET IVA]]-Table1[[#This Row],[RET ISR]]-Table1[[#This Row],[TOTAL]]</f>
        <v>0</v>
      </c>
      <c r="AG5992" t="s">
        <v>3420</v>
      </c>
      <c r="AK5992" s="306" t="str">
        <f>IF(ISNUMBER(Table1[[#This Row],[FECHA DE RECIBIDO]]), Table1[[#This Row],[FECHA DE RECIBIDO]]-DATE(2023,8,30), "")</f>
        <v/>
      </c>
    </row>
    <row r="5993" spans="1:37" ht="16.05" customHeight="1">
      <c r="A5993" s="172" t="s">
        <v>5149</v>
      </c>
      <c r="B5993" s="178">
        <v>2116</v>
      </c>
      <c r="C5993" s="179" t="s">
        <v>2455</v>
      </c>
      <c r="D5993">
        <v>4127</v>
      </c>
      <c r="E5993" s="125" t="s">
        <v>3135</v>
      </c>
      <c r="F5993" s="178">
        <v>625</v>
      </c>
      <c r="G5993" s="178" t="s">
        <v>1625</v>
      </c>
      <c r="H5993">
        <v>998</v>
      </c>
      <c r="I5993" s="178" t="s">
        <v>1546</v>
      </c>
      <c r="J5993" s="320" t="s">
        <v>214</v>
      </c>
      <c r="K5993" s="178" t="s">
        <v>5167</v>
      </c>
      <c r="L5993" s="125" t="s">
        <v>1579</v>
      </c>
      <c r="M5993">
        <v>1385</v>
      </c>
      <c r="N5993" s="182">
        <v>17</v>
      </c>
      <c r="O5993">
        <v>3939</v>
      </c>
      <c r="P5993" s="132" t="s">
        <v>77</v>
      </c>
      <c r="Q5993" s="176">
        <v>94.79</v>
      </c>
      <c r="R5993" s="176">
        <v>15.17</v>
      </c>
      <c r="S5993" s="176"/>
      <c r="T5993" s="190"/>
      <c r="U5993" s="191"/>
      <c r="V5993" s="191">
        <v>109.96000000000001</v>
      </c>
      <c r="W5993">
        <v>104</v>
      </c>
      <c r="X5993" s="186" t="s">
        <v>1644</v>
      </c>
      <c r="Y5993" s="187" t="s">
        <v>55</v>
      </c>
      <c r="Z5993" s="311">
        <v>245</v>
      </c>
      <c r="AB5993" t="str">
        <f>IF(Table1[[#This Row],[TIPO2]]="costo", VLOOKUP(Table1[[#This Row],[PARTIDA PRESUPUESTAL]],'Cost Report'!G:G,1,0),"Balance")</f>
        <v>2285-003</v>
      </c>
      <c r="AD5993" s="159">
        <f>+Table1[[#This Row],[SUBTOTAL]]+Table1[[#This Row],[IVA]]-Table1[[#This Row],[RET IVA]]-Table1[[#This Row],[RET ISR]]-Table1[[#This Row],[TOTAL]]</f>
        <v>0</v>
      </c>
      <c r="AG5993" t="s">
        <v>3420</v>
      </c>
      <c r="AK5993" s="306" t="str">
        <f>IF(ISNUMBER(Table1[[#This Row],[FECHA DE RECIBIDO]]), Table1[[#This Row],[FECHA DE RECIBIDO]]-DATE(2023,8,30), "")</f>
        <v/>
      </c>
    </row>
    <row r="5994" spans="1:37" ht="16.05" customHeight="1">
      <c r="A5994" s="172" t="s">
        <v>5149</v>
      </c>
      <c r="B5994" s="178">
        <v>2116</v>
      </c>
      <c r="C5994" s="179" t="s">
        <v>2455</v>
      </c>
      <c r="D5994">
        <v>4128</v>
      </c>
      <c r="E5994" s="125" t="s">
        <v>5153</v>
      </c>
      <c r="F5994" s="178">
        <v>625</v>
      </c>
      <c r="G5994" s="178" t="s">
        <v>1625</v>
      </c>
      <c r="H5994">
        <v>999</v>
      </c>
      <c r="I5994" s="178" t="s">
        <v>1546</v>
      </c>
      <c r="J5994" s="320" t="s">
        <v>214</v>
      </c>
      <c r="K5994" s="178" t="s">
        <v>5167</v>
      </c>
      <c r="L5994" s="125" t="s">
        <v>1579</v>
      </c>
      <c r="M5994">
        <v>1386</v>
      </c>
      <c r="N5994" s="182">
        <v>17</v>
      </c>
      <c r="O5994">
        <v>3941</v>
      </c>
      <c r="P5994" s="132" t="s">
        <v>77</v>
      </c>
      <c r="Q5994" s="176">
        <v>79.11</v>
      </c>
      <c r="R5994" s="176">
        <v>12.66</v>
      </c>
      <c r="S5994" s="176"/>
      <c r="T5994" s="190"/>
      <c r="U5994" s="191"/>
      <c r="V5994" s="191">
        <v>91.77</v>
      </c>
      <c r="W5994">
        <v>104</v>
      </c>
      <c r="X5994" s="186" t="s">
        <v>1644</v>
      </c>
      <c r="Y5994" s="187" t="s">
        <v>55</v>
      </c>
      <c r="Z5994" s="311">
        <v>245</v>
      </c>
      <c r="AB5994" t="str">
        <f>IF(Table1[[#This Row],[TIPO2]]="costo", VLOOKUP(Table1[[#This Row],[PARTIDA PRESUPUESTAL]],'Cost Report'!G:G,1,0),"Balance")</f>
        <v>2285-003</v>
      </c>
      <c r="AD5994" s="159">
        <f>+Table1[[#This Row],[SUBTOTAL]]+Table1[[#This Row],[IVA]]-Table1[[#This Row],[RET IVA]]-Table1[[#This Row],[RET ISR]]-Table1[[#This Row],[TOTAL]]</f>
        <v>0</v>
      </c>
      <c r="AG5994" t="s">
        <v>3420</v>
      </c>
      <c r="AK5994" s="306" t="str">
        <f>IF(ISNUMBER(Table1[[#This Row],[FECHA DE RECIBIDO]]), Table1[[#This Row],[FECHA DE RECIBIDO]]-DATE(2023,8,30), "")</f>
        <v/>
      </c>
    </row>
    <row r="5995" spans="1:37" ht="16.05" customHeight="1">
      <c r="A5995" s="172" t="s">
        <v>5149</v>
      </c>
      <c r="B5995" s="178">
        <v>2116</v>
      </c>
      <c r="C5995" s="179" t="s">
        <v>2455</v>
      </c>
      <c r="D5995">
        <v>4129</v>
      </c>
      <c r="E5995" s="125" t="s">
        <v>1895</v>
      </c>
      <c r="F5995" s="178">
        <v>601</v>
      </c>
      <c r="G5995" s="178" t="s">
        <v>134</v>
      </c>
      <c r="H5995">
        <v>635</v>
      </c>
      <c r="I5995" s="178" t="s">
        <v>1546</v>
      </c>
      <c r="J5995" s="320" t="s">
        <v>214</v>
      </c>
      <c r="K5995" s="178" t="s">
        <v>5167</v>
      </c>
      <c r="L5995" s="125" t="s">
        <v>1579</v>
      </c>
      <c r="M5995">
        <v>901</v>
      </c>
      <c r="N5995" s="182">
        <v>17</v>
      </c>
      <c r="O5995">
        <v>3941</v>
      </c>
      <c r="P5995" s="132" t="s">
        <v>77</v>
      </c>
      <c r="Q5995" s="176">
        <v>137.9</v>
      </c>
      <c r="R5995" s="176">
        <v>22.06</v>
      </c>
      <c r="S5995" s="176"/>
      <c r="T5995" s="190"/>
      <c r="U5995" s="191"/>
      <c r="V5995" s="191">
        <v>159.96</v>
      </c>
      <c r="W5995">
        <v>104</v>
      </c>
      <c r="X5995" s="186" t="s">
        <v>1644</v>
      </c>
      <c r="Y5995" s="187" t="s">
        <v>55</v>
      </c>
      <c r="Z5995" s="311">
        <v>274</v>
      </c>
      <c r="AB5995" t="str">
        <f>IF(Table1[[#This Row],[TIPO2]]="costo", VLOOKUP(Table1[[#This Row],[PARTIDA PRESUPUESTAL]],'Cost Report'!G:G,1,0),"Balance")</f>
        <v>2285-003</v>
      </c>
      <c r="AD5995" s="159">
        <f>+Table1[[#This Row],[SUBTOTAL]]+Table1[[#This Row],[IVA]]-Table1[[#This Row],[RET IVA]]-Table1[[#This Row],[RET ISR]]-Table1[[#This Row],[TOTAL]]</f>
        <v>0</v>
      </c>
      <c r="AG5995" t="s">
        <v>3420</v>
      </c>
      <c r="AK5995" s="306" t="str">
        <f>IF(ISNUMBER(Table1[[#This Row],[FECHA DE RECIBIDO]]), Table1[[#This Row],[FECHA DE RECIBIDO]]-DATE(2023,8,30), "")</f>
        <v/>
      </c>
    </row>
    <row r="5996" spans="1:37" ht="16.05" customHeight="1">
      <c r="A5996" s="172" t="s">
        <v>5149</v>
      </c>
      <c r="B5996" s="178">
        <v>2116</v>
      </c>
      <c r="C5996" s="179" t="s">
        <v>2455</v>
      </c>
      <c r="D5996">
        <v>4130</v>
      </c>
      <c r="E5996" s="125" t="s">
        <v>1895</v>
      </c>
      <c r="F5996" s="178">
        <v>601</v>
      </c>
      <c r="G5996" s="178" t="s">
        <v>134</v>
      </c>
      <c r="H5996">
        <v>635</v>
      </c>
      <c r="I5996" s="178" t="s">
        <v>1546</v>
      </c>
      <c r="J5996" s="320" t="s">
        <v>214</v>
      </c>
      <c r="K5996" s="178" t="s">
        <v>5167</v>
      </c>
      <c r="L5996" s="125" t="s">
        <v>1579</v>
      </c>
      <c r="M5996">
        <v>901</v>
      </c>
      <c r="N5996" s="182">
        <v>17</v>
      </c>
      <c r="O5996">
        <v>3939</v>
      </c>
      <c r="P5996" s="132" t="s">
        <v>77</v>
      </c>
      <c r="Q5996" s="176">
        <v>86.17</v>
      </c>
      <c r="R5996" s="176">
        <v>13.79</v>
      </c>
      <c r="S5996" s="176"/>
      <c r="T5996" s="190"/>
      <c r="U5996" s="191"/>
      <c r="V5996" s="191">
        <v>99.960000000000008</v>
      </c>
      <c r="W5996">
        <v>104</v>
      </c>
      <c r="X5996" s="186" t="s">
        <v>1644</v>
      </c>
      <c r="Y5996" s="187" t="s">
        <v>55</v>
      </c>
      <c r="Z5996" s="311">
        <v>273</v>
      </c>
      <c r="AB5996" t="str">
        <f>IF(Table1[[#This Row],[TIPO2]]="costo", VLOOKUP(Table1[[#This Row],[PARTIDA PRESUPUESTAL]],'Cost Report'!G:G,1,0),"Balance")</f>
        <v>2285-003</v>
      </c>
      <c r="AD5996" s="159">
        <f>+Table1[[#This Row],[SUBTOTAL]]+Table1[[#This Row],[IVA]]-Table1[[#This Row],[RET IVA]]-Table1[[#This Row],[RET ISR]]-Table1[[#This Row],[TOTAL]]</f>
        <v>0</v>
      </c>
      <c r="AG5996" t="s">
        <v>3420</v>
      </c>
      <c r="AK5996" s="306" t="str">
        <f>IF(ISNUMBER(Table1[[#This Row],[FECHA DE RECIBIDO]]), Table1[[#This Row],[FECHA DE RECIBIDO]]-DATE(2023,8,30), "")</f>
        <v/>
      </c>
    </row>
    <row r="5997" spans="1:37" ht="16.05" customHeight="1">
      <c r="A5997" s="172" t="s">
        <v>5149</v>
      </c>
      <c r="B5997" s="178">
        <v>2116</v>
      </c>
      <c r="C5997" s="179" t="s">
        <v>2455</v>
      </c>
      <c r="D5997">
        <v>4131</v>
      </c>
      <c r="E5997" s="125" t="s">
        <v>1895</v>
      </c>
      <c r="F5997" s="178">
        <v>601</v>
      </c>
      <c r="G5997" s="178" t="s">
        <v>134</v>
      </c>
      <c r="H5997">
        <v>635</v>
      </c>
      <c r="I5997" s="178" t="s">
        <v>1546</v>
      </c>
      <c r="J5997" s="320" t="s">
        <v>214</v>
      </c>
      <c r="K5997" s="178" t="s">
        <v>5167</v>
      </c>
      <c r="L5997" s="125" t="s">
        <v>1579</v>
      </c>
      <c r="M5997">
        <v>901</v>
      </c>
      <c r="N5997" s="182">
        <v>17</v>
      </c>
      <c r="O5997">
        <v>3941</v>
      </c>
      <c r="P5997" s="132" t="s">
        <v>77</v>
      </c>
      <c r="Q5997" s="176">
        <v>94.81</v>
      </c>
      <c r="R5997" s="176">
        <v>15.17</v>
      </c>
      <c r="S5997" s="176"/>
      <c r="T5997" s="190"/>
      <c r="U5997" s="191"/>
      <c r="V5997" s="191">
        <v>109.98</v>
      </c>
      <c r="W5997">
        <v>104</v>
      </c>
      <c r="X5997" s="186" t="s">
        <v>1644</v>
      </c>
      <c r="Y5997" s="187" t="s">
        <v>55</v>
      </c>
      <c r="Z5997" s="311">
        <v>271</v>
      </c>
      <c r="AB5997" t="str">
        <f>IF(Table1[[#This Row],[TIPO2]]="costo", VLOOKUP(Table1[[#This Row],[PARTIDA PRESUPUESTAL]],'Cost Report'!G:G,1,0),"Balance")</f>
        <v>2285-003</v>
      </c>
      <c r="AD5997" s="159">
        <f>+Table1[[#This Row],[SUBTOTAL]]+Table1[[#This Row],[IVA]]-Table1[[#This Row],[RET IVA]]-Table1[[#This Row],[RET ISR]]-Table1[[#This Row],[TOTAL]]</f>
        <v>0</v>
      </c>
      <c r="AG5997" t="s">
        <v>3420</v>
      </c>
      <c r="AK5997" s="306" t="str">
        <f>IF(ISNUMBER(Table1[[#This Row],[FECHA DE RECIBIDO]]), Table1[[#This Row],[FECHA DE RECIBIDO]]-DATE(2023,8,30), "")</f>
        <v/>
      </c>
    </row>
    <row r="5998" spans="1:37" ht="16.05" customHeight="1">
      <c r="A5998" s="172" t="s">
        <v>5149</v>
      </c>
      <c r="B5998" s="178">
        <v>2116</v>
      </c>
      <c r="C5998" s="179" t="s">
        <v>2455</v>
      </c>
      <c r="D5998">
        <v>689</v>
      </c>
      <c r="E5998" s="125"/>
      <c r="F5998" s="178"/>
      <c r="G5998" s="178"/>
      <c r="H5998"/>
      <c r="I5998" s="178"/>
      <c r="J5998" s="320" t="s">
        <v>214</v>
      </c>
      <c r="K5998" s="178" t="s">
        <v>5167</v>
      </c>
      <c r="L5998" s="125" t="s">
        <v>1579</v>
      </c>
      <c r="M5998">
        <v>215</v>
      </c>
      <c r="N5998" s="182">
        <v>17</v>
      </c>
      <c r="O5998">
        <v>3943</v>
      </c>
      <c r="P5998" s="132" t="s">
        <v>77</v>
      </c>
      <c r="Q5998" s="176">
        <v>109.97</v>
      </c>
      <c r="R5998" s="176"/>
      <c r="S5998" s="176"/>
      <c r="T5998" s="190"/>
      <c r="U5998" s="191"/>
      <c r="V5998" s="191">
        <v>109.97</v>
      </c>
      <c r="W5998">
        <v>104</v>
      </c>
      <c r="X5998" s="186" t="s">
        <v>1644</v>
      </c>
      <c r="Y5998" s="187" t="s">
        <v>55</v>
      </c>
      <c r="Z5998" s="311">
        <v>223</v>
      </c>
      <c r="AB5998" t="str">
        <f>IF(Table1[[#This Row],[TIPO2]]="costo", VLOOKUP(Table1[[#This Row],[PARTIDA PRESUPUESTAL]],'Cost Report'!G:G,1,0),"Balance")</f>
        <v>2285-003</v>
      </c>
      <c r="AD5998" s="159">
        <f>+Table1[[#This Row],[SUBTOTAL]]+Table1[[#This Row],[IVA]]-Table1[[#This Row],[RET IVA]]-Table1[[#This Row],[RET ISR]]-Table1[[#This Row],[TOTAL]]</f>
        <v>0</v>
      </c>
      <c r="AG5998" t="s">
        <v>3420</v>
      </c>
      <c r="AK5998" s="306" t="str">
        <f>IF(ISNUMBER(Table1[[#This Row],[FECHA DE RECIBIDO]]), Table1[[#This Row],[FECHA DE RECIBIDO]]-DATE(2023,8,30), "")</f>
        <v/>
      </c>
    </row>
    <row r="5999" spans="1:37" ht="16.05" customHeight="1">
      <c r="A5999" s="172" t="s">
        <v>5149</v>
      </c>
      <c r="B5999" s="178">
        <v>2116</v>
      </c>
      <c r="C5999" s="179" t="s">
        <v>2455</v>
      </c>
      <c r="D5999">
        <v>689</v>
      </c>
      <c r="E5999" s="125"/>
      <c r="F5999" s="178"/>
      <c r="G5999" s="178"/>
      <c r="H5999"/>
      <c r="I5999" s="178"/>
      <c r="J5999" s="320" t="s">
        <v>214</v>
      </c>
      <c r="K5999" s="178" t="s">
        <v>5167</v>
      </c>
      <c r="L5999" s="125" t="s">
        <v>1579</v>
      </c>
      <c r="M5999">
        <v>215</v>
      </c>
      <c r="N5999" s="182">
        <v>17</v>
      </c>
      <c r="O5999">
        <v>3943</v>
      </c>
      <c r="P5999" s="132" t="s">
        <v>77</v>
      </c>
      <c r="Q5999" s="176">
        <v>89.99</v>
      </c>
      <c r="R5999" s="176"/>
      <c r="S5999" s="176"/>
      <c r="T5999" s="190"/>
      <c r="U5999" s="191"/>
      <c r="V5999" s="191">
        <v>89.99</v>
      </c>
      <c r="W5999">
        <v>104</v>
      </c>
      <c r="X5999" s="186" t="s">
        <v>1644</v>
      </c>
      <c r="Y5999" s="187" t="s">
        <v>55</v>
      </c>
      <c r="Z5999" s="311">
        <v>224</v>
      </c>
      <c r="AB5999" t="str">
        <f>IF(Table1[[#This Row],[TIPO2]]="costo", VLOOKUP(Table1[[#This Row],[PARTIDA PRESUPUESTAL]],'Cost Report'!G:G,1,0),"Balance")</f>
        <v>2285-003</v>
      </c>
      <c r="AD5999" s="159">
        <f>+Table1[[#This Row],[SUBTOTAL]]+Table1[[#This Row],[IVA]]-Table1[[#This Row],[RET IVA]]-Table1[[#This Row],[RET ISR]]-Table1[[#This Row],[TOTAL]]</f>
        <v>0</v>
      </c>
      <c r="AG5999" t="s">
        <v>3420</v>
      </c>
      <c r="AK5999" s="306" t="str">
        <f>IF(ISNUMBER(Table1[[#This Row],[FECHA DE RECIBIDO]]), Table1[[#This Row],[FECHA DE RECIBIDO]]-DATE(2023,8,30), "")</f>
        <v/>
      </c>
    </row>
    <row r="6000" spans="1:37" ht="16.05" customHeight="1">
      <c r="A6000" s="172" t="s">
        <v>5149</v>
      </c>
      <c r="B6000" s="178">
        <v>2116</v>
      </c>
      <c r="C6000" s="179" t="s">
        <v>2455</v>
      </c>
      <c r="D6000">
        <v>689</v>
      </c>
      <c r="E6000" s="125"/>
      <c r="F6000" s="178"/>
      <c r="G6000" s="178"/>
      <c r="H6000"/>
      <c r="I6000" s="178"/>
      <c r="J6000" s="320" t="s">
        <v>214</v>
      </c>
      <c r="K6000" s="178" t="s">
        <v>5167</v>
      </c>
      <c r="L6000" s="125" t="s">
        <v>1579</v>
      </c>
      <c r="M6000">
        <v>215</v>
      </c>
      <c r="N6000" s="182">
        <v>17</v>
      </c>
      <c r="O6000">
        <v>3943</v>
      </c>
      <c r="P6000" s="132" t="s">
        <v>77</v>
      </c>
      <c r="Q6000" s="176">
        <v>99.93</v>
      </c>
      <c r="R6000" s="176"/>
      <c r="S6000" s="176"/>
      <c r="T6000" s="190"/>
      <c r="U6000" s="191"/>
      <c r="V6000" s="191">
        <v>99.93</v>
      </c>
      <c r="W6000">
        <v>104</v>
      </c>
      <c r="X6000" s="186" t="s">
        <v>1644</v>
      </c>
      <c r="Y6000" s="187" t="s">
        <v>55</v>
      </c>
      <c r="Z6000" s="311">
        <v>226</v>
      </c>
      <c r="AB6000" t="str">
        <f>IF(Table1[[#This Row],[TIPO2]]="costo", VLOOKUP(Table1[[#This Row],[PARTIDA PRESUPUESTAL]],'Cost Report'!G:G,1,0),"Balance")</f>
        <v>2285-003</v>
      </c>
      <c r="AD6000" s="159">
        <f>+Table1[[#This Row],[SUBTOTAL]]+Table1[[#This Row],[IVA]]-Table1[[#This Row],[RET IVA]]-Table1[[#This Row],[RET ISR]]-Table1[[#This Row],[TOTAL]]</f>
        <v>0</v>
      </c>
      <c r="AG6000" t="s">
        <v>3420</v>
      </c>
      <c r="AK6000" s="306" t="str">
        <f>IF(ISNUMBER(Table1[[#This Row],[FECHA DE RECIBIDO]]), Table1[[#This Row],[FECHA DE RECIBIDO]]-DATE(2023,8,30), "")</f>
        <v/>
      </c>
    </row>
    <row r="6001" spans="1:37" ht="16.05" customHeight="1">
      <c r="A6001" s="172" t="s">
        <v>5149</v>
      </c>
      <c r="B6001" s="178">
        <v>2116</v>
      </c>
      <c r="C6001" s="179" t="s">
        <v>2455</v>
      </c>
      <c r="D6001">
        <v>689</v>
      </c>
      <c r="E6001" s="125"/>
      <c r="F6001" s="178"/>
      <c r="G6001" s="178"/>
      <c r="H6001"/>
      <c r="I6001" s="178"/>
      <c r="J6001" s="320" t="s">
        <v>214</v>
      </c>
      <c r="K6001" s="178" t="s">
        <v>5167</v>
      </c>
      <c r="L6001" s="125" t="s">
        <v>1579</v>
      </c>
      <c r="M6001">
        <v>215</v>
      </c>
      <c r="N6001" s="182">
        <v>17</v>
      </c>
      <c r="O6001">
        <v>3943</v>
      </c>
      <c r="P6001" s="132" t="s">
        <v>77</v>
      </c>
      <c r="Q6001" s="176">
        <v>91.94</v>
      </c>
      <c r="R6001" s="176"/>
      <c r="S6001" s="176"/>
      <c r="T6001" s="190"/>
      <c r="U6001" s="191"/>
      <c r="V6001" s="191">
        <v>91.94</v>
      </c>
      <c r="W6001">
        <v>104</v>
      </c>
      <c r="X6001" s="186" t="s">
        <v>1644</v>
      </c>
      <c r="Y6001" s="187" t="s">
        <v>55</v>
      </c>
      <c r="Z6001" s="311">
        <v>227</v>
      </c>
      <c r="AB6001" t="str">
        <f>IF(Table1[[#This Row],[TIPO2]]="costo", VLOOKUP(Table1[[#This Row],[PARTIDA PRESUPUESTAL]],'Cost Report'!G:G,1,0),"Balance")</f>
        <v>2285-003</v>
      </c>
      <c r="AD6001" s="159">
        <f>+Table1[[#This Row],[SUBTOTAL]]+Table1[[#This Row],[IVA]]-Table1[[#This Row],[RET IVA]]-Table1[[#This Row],[RET ISR]]-Table1[[#This Row],[TOTAL]]</f>
        <v>0</v>
      </c>
      <c r="AG6001" t="s">
        <v>3420</v>
      </c>
      <c r="AK6001" s="306" t="str">
        <f>IF(ISNUMBER(Table1[[#This Row],[FECHA DE RECIBIDO]]), Table1[[#This Row],[FECHA DE RECIBIDO]]-DATE(2023,8,30), "")</f>
        <v/>
      </c>
    </row>
    <row r="6002" spans="1:37" ht="16.05" customHeight="1">
      <c r="A6002" s="172" t="s">
        <v>5149</v>
      </c>
      <c r="B6002" s="178">
        <v>2116</v>
      </c>
      <c r="C6002" s="179" t="s">
        <v>2455</v>
      </c>
      <c r="D6002">
        <v>689</v>
      </c>
      <c r="E6002" s="125"/>
      <c r="F6002" s="178"/>
      <c r="G6002" s="178"/>
      <c r="H6002"/>
      <c r="I6002" s="178"/>
      <c r="J6002" s="320" t="s">
        <v>214</v>
      </c>
      <c r="K6002" s="178" t="s">
        <v>5167</v>
      </c>
      <c r="L6002" s="125" t="s">
        <v>1579</v>
      </c>
      <c r="M6002">
        <v>215</v>
      </c>
      <c r="N6002" s="182">
        <v>17</v>
      </c>
      <c r="O6002">
        <v>3944</v>
      </c>
      <c r="P6002" s="132" t="s">
        <v>77</v>
      </c>
      <c r="Q6002" s="176">
        <v>99.91</v>
      </c>
      <c r="R6002" s="176"/>
      <c r="S6002" s="176"/>
      <c r="T6002" s="190"/>
      <c r="U6002" s="191"/>
      <c r="V6002" s="191">
        <v>99.91</v>
      </c>
      <c r="W6002">
        <v>104</v>
      </c>
      <c r="X6002" s="186" t="s">
        <v>1644</v>
      </c>
      <c r="Y6002" s="187" t="s">
        <v>55</v>
      </c>
      <c r="Z6002" s="311">
        <v>227</v>
      </c>
      <c r="AB6002" t="str">
        <f>IF(Table1[[#This Row],[TIPO2]]="costo", VLOOKUP(Table1[[#This Row],[PARTIDA PRESUPUESTAL]],'Cost Report'!G:G,1,0),"Balance")</f>
        <v>2285-003</v>
      </c>
      <c r="AD6002" s="159">
        <f>+Table1[[#This Row],[SUBTOTAL]]+Table1[[#This Row],[IVA]]-Table1[[#This Row],[RET IVA]]-Table1[[#This Row],[RET ISR]]-Table1[[#This Row],[TOTAL]]</f>
        <v>0</v>
      </c>
      <c r="AG6002" t="s">
        <v>3420</v>
      </c>
      <c r="AK6002" s="306" t="str">
        <f>IF(ISNUMBER(Table1[[#This Row],[FECHA DE RECIBIDO]]), Table1[[#This Row],[FECHA DE RECIBIDO]]-DATE(2023,8,30), "")</f>
        <v/>
      </c>
    </row>
    <row r="6003" spans="1:37" ht="16.05" customHeight="1">
      <c r="A6003" s="172" t="s">
        <v>5149</v>
      </c>
      <c r="B6003" s="178">
        <v>2116</v>
      </c>
      <c r="C6003" s="179" t="s">
        <v>2455</v>
      </c>
      <c r="D6003">
        <v>689</v>
      </c>
      <c r="E6003" s="125"/>
      <c r="F6003" s="178"/>
      <c r="G6003" s="178"/>
      <c r="H6003"/>
      <c r="I6003" s="178"/>
      <c r="J6003" s="320" t="s">
        <v>214</v>
      </c>
      <c r="K6003" s="178" t="s">
        <v>5167</v>
      </c>
      <c r="L6003" s="125" t="s">
        <v>1579</v>
      </c>
      <c r="M6003">
        <v>215</v>
      </c>
      <c r="N6003" s="182">
        <v>17</v>
      </c>
      <c r="O6003">
        <v>3944</v>
      </c>
      <c r="P6003" s="132" t="s">
        <v>77</v>
      </c>
      <c r="Q6003" s="176">
        <v>109.93</v>
      </c>
      <c r="R6003" s="176"/>
      <c r="S6003" s="176"/>
      <c r="T6003" s="190"/>
      <c r="U6003" s="191"/>
      <c r="V6003" s="191">
        <v>109.93</v>
      </c>
      <c r="W6003">
        <v>104</v>
      </c>
      <c r="X6003" s="186" t="s">
        <v>1644</v>
      </c>
      <c r="Y6003" s="187" t="s">
        <v>55</v>
      </c>
      <c r="Z6003" s="311">
        <v>244</v>
      </c>
      <c r="AB6003" t="str">
        <f>IF(Table1[[#This Row],[TIPO2]]="costo", VLOOKUP(Table1[[#This Row],[PARTIDA PRESUPUESTAL]],'Cost Report'!G:G,1,0),"Balance")</f>
        <v>2285-003</v>
      </c>
      <c r="AD6003" s="159">
        <f>+Table1[[#This Row],[SUBTOTAL]]+Table1[[#This Row],[IVA]]-Table1[[#This Row],[RET IVA]]-Table1[[#This Row],[RET ISR]]-Table1[[#This Row],[TOTAL]]</f>
        <v>0</v>
      </c>
      <c r="AG6003" t="s">
        <v>3420</v>
      </c>
      <c r="AK6003" s="306" t="str">
        <f>IF(ISNUMBER(Table1[[#This Row],[FECHA DE RECIBIDO]]), Table1[[#This Row],[FECHA DE RECIBIDO]]-DATE(2023,8,30), "")</f>
        <v/>
      </c>
    </row>
    <row r="6004" spans="1:37" ht="16.05" customHeight="1">
      <c r="A6004" s="172" t="s">
        <v>5149</v>
      </c>
      <c r="B6004" s="178">
        <v>2116</v>
      </c>
      <c r="C6004" s="179" t="s">
        <v>2455</v>
      </c>
      <c r="D6004">
        <v>689</v>
      </c>
      <c r="E6004" s="125"/>
      <c r="F6004" s="178"/>
      <c r="G6004" s="178"/>
      <c r="H6004"/>
      <c r="I6004" s="178"/>
      <c r="J6004" s="320" t="s">
        <v>214</v>
      </c>
      <c r="K6004" s="178" t="s">
        <v>5167</v>
      </c>
      <c r="L6004" s="125" t="s">
        <v>1579</v>
      </c>
      <c r="M6004">
        <v>215</v>
      </c>
      <c r="N6004" s="182">
        <v>17</v>
      </c>
      <c r="O6004">
        <v>3945</v>
      </c>
      <c r="P6004" s="132" t="s">
        <v>77</v>
      </c>
      <c r="Q6004" s="176">
        <v>179.92</v>
      </c>
      <c r="R6004" s="176"/>
      <c r="S6004" s="176"/>
      <c r="T6004" s="190"/>
      <c r="U6004" s="191"/>
      <c r="V6004" s="191">
        <v>179.92</v>
      </c>
      <c r="W6004">
        <v>104</v>
      </c>
      <c r="X6004" s="186" t="s">
        <v>1644</v>
      </c>
      <c r="Y6004" s="187" t="s">
        <v>55</v>
      </c>
      <c r="Z6004" s="311">
        <v>257</v>
      </c>
      <c r="AB6004" t="str">
        <f>IF(Table1[[#This Row],[TIPO2]]="costo", VLOOKUP(Table1[[#This Row],[PARTIDA PRESUPUESTAL]],'Cost Report'!G:G,1,0),"Balance")</f>
        <v>2285-003</v>
      </c>
      <c r="AD6004" s="159">
        <f>+Table1[[#This Row],[SUBTOTAL]]+Table1[[#This Row],[IVA]]-Table1[[#This Row],[RET IVA]]-Table1[[#This Row],[RET ISR]]-Table1[[#This Row],[TOTAL]]</f>
        <v>0</v>
      </c>
      <c r="AG6004" t="s">
        <v>3420</v>
      </c>
      <c r="AK6004" s="306" t="str">
        <f>IF(ISNUMBER(Table1[[#This Row],[FECHA DE RECIBIDO]]), Table1[[#This Row],[FECHA DE RECIBIDO]]-DATE(2023,8,30), "")</f>
        <v/>
      </c>
    </row>
    <row r="6005" spans="1:37" ht="16.05" customHeight="1">
      <c r="A6005" s="172" t="s">
        <v>5149</v>
      </c>
      <c r="B6005" s="178">
        <v>2116</v>
      </c>
      <c r="C6005" s="179" t="s">
        <v>2455</v>
      </c>
      <c r="D6005">
        <v>689</v>
      </c>
      <c r="E6005" s="125"/>
      <c r="F6005" s="178"/>
      <c r="G6005" s="178"/>
      <c r="H6005"/>
      <c r="I6005" s="178"/>
      <c r="J6005" s="320" t="s">
        <v>214</v>
      </c>
      <c r="K6005" s="178" t="s">
        <v>5167</v>
      </c>
      <c r="L6005" s="125" t="s">
        <v>1579</v>
      </c>
      <c r="M6005">
        <v>215</v>
      </c>
      <c r="N6005" s="182">
        <v>17</v>
      </c>
      <c r="O6005">
        <v>3946</v>
      </c>
      <c r="P6005" s="132" t="s">
        <v>77</v>
      </c>
      <c r="Q6005" s="176">
        <v>99.93</v>
      </c>
      <c r="R6005" s="176"/>
      <c r="S6005" s="176"/>
      <c r="T6005" s="190"/>
      <c r="U6005" s="191"/>
      <c r="V6005" s="191">
        <v>99.93</v>
      </c>
      <c r="W6005">
        <v>104</v>
      </c>
      <c r="X6005" s="186" t="s">
        <v>1644</v>
      </c>
      <c r="Y6005" s="187" t="s">
        <v>55</v>
      </c>
      <c r="Z6005" s="311">
        <v>258</v>
      </c>
      <c r="AB6005" t="str">
        <f>IF(Table1[[#This Row],[TIPO2]]="costo", VLOOKUP(Table1[[#This Row],[PARTIDA PRESUPUESTAL]],'Cost Report'!G:G,1,0),"Balance")</f>
        <v>2285-003</v>
      </c>
      <c r="AD6005" s="159">
        <f>+Table1[[#This Row],[SUBTOTAL]]+Table1[[#This Row],[IVA]]-Table1[[#This Row],[RET IVA]]-Table1[[#This Row],[RET ISR]]-Table1[[#This Row],[TOTAL]]</f>
        <v>0</v>
      </c>
      <c r="AG6005" t="s">
        <v>3420</v>
      </c>
      <c r="AK6005" s="306" t="str">
        <f>IF(ISNUMBER(Table1[[#This Row],[FECHA DE RECIBIDO]]), Table1[[#This Row],[FECHA DE RECIBIDO]]-DATE(2023,8,30), "")</f>
        <v/>
      </c>
    </row>
    <row r="6006" spans="1:37" ht="16.05" customHeight="1">
      <c r="A6006" s="172" t="s">
        <v>5149</v>
      </c>
      <c r="B6006" s="178">
        <v>2116</v>
      </c>
      <c r="C6006" s="179" t="s">
        <v>2455</v>
      </c>
      <c r="D6006">
        <v>689</v>
      </c>
      <c r="E6006" s="125"/>
      <c r="F6006" s="178"/>
      <c r="G6006" s="178"/>
      <c r="H6006"/>
      <c r="I6006" s="178"/>
      <c r="J6006" s="320" t="s">
        <v>214</v>
      </c>
      <c r="K6006" s="178" t="s">
        <v>5167</v>
      </c>
      <c r="L6006" s="125" t="s">
        <v>1579</v>
      </c>
      <c r="M6006">
        <v>215</v>
      </c>
      <c r="N6006" s="182">
        <v>17</v>
      </c>
      <c r="O6006">
        <v>3947</v>
      </c>
      <c r="P6006" s="132" t="s">
        <v>77</v>
      </c>
      <c r="Q6006" s="176">
        <v>99.98</v>
      </c>
      <c r="R6006" s="176"/>
      <c r="S6006" s="176"/>
      <c r="T6006" s="190"/>
      <c r="U6006" s="191"/>
      <c r="V6006" s="191">
        <v>99.98</v>
      </c>
      <c r="W6006">
        <v>104</v>
      </c>
      <c r="X6006" s="186" t="s">
        <v>1644</v>
      </c>
      <c r="Y6006" s="187" t="s">
        <v>55</v>
      </c>
      <c r="Z6006" s="311">
        <v>258</v>
      </c>
      <c r="AB6006" t="str">
        <f>IF(Table1[[#This Row],[TIPO2]]="costo", VLOOKUP(Table1[[#This Row],[PARTIDA PRESUPUESTAL]],'Cost Report'!G:G,1,0),"Balance")</f>
        <v>2285-003</v>
      </c>
      <c r="AD6006" s="159">
        <f>+Table1[[#This Row],[SUBTOTAL]]+Table1[[#This Row],[IVA]]-Table1[[#This Row],[RET IVA]]-Table1[[#This Row],[RET ISR]]-Table1[[#This Row],[TOTAL]]</f>
        <v>0</v>
      </c>
      <c r="AG6006" t="s">
        <v>3420</v>
      </c>
      <c r="AK6006" s="306" t="str">
        <f>IF(ISNUMBER(Table1[[#This Row],[FECHA DE RECIBIDO]]), Table1[[#This Row],[FECHA DE RECIBIDO]]-DATE(2023,8,30), "")</f>
        <v/>
      </c>
    </row>
    <row r="6007" spans="1:37" ht="16.05" customHeight="1">
      <c r="A6007" s="172" t="s">
        <v>5149</v>
      </c>
      <c r="B6007" s="178">
        <v>2116</v>
      </c>
      <c r="C6007" s="179" t="s">
        <v>2455</v>
      </c>
      <c r="D6007">
        <v>689</v>
      </c>
      <c r="E6007" s="125"/>
      <c r="F6007" s="178"/>
      <c r="G6007" s="178"/>
      <c r="H6007"/>
      <c r="I6007" s="178"/>
      <c r="J6007" s="320" t="s">
        <v>214</v>
      </c>
      <c r="K6007" s="178" t="s">
        <v>5167</v>
      </c>
      <c r="L6007" s="125" t="s">
        <v>1579</v>
      </c>
      <c r="M6007">
        <v>215</v>
      </c>
      <c r="N6007" s="182">
        <v>17</v>
      </c>
      <c r="O6007">
        <v>3948</v>
      </c>
      <c r="P6007" s="132" t="s">
        <v>77</v>
      </c>
      <c r="Q6007" s="176">
        <v>119.98</v>
      </c>
      <c r="R6007" s="176"/>
      <c r="S6007" s="176"/>
      <c r="T6007" s="190"/>
      <c r="U6007" s="191"/>
      <c r="V6007" s="191">
        <v>119.98</v>
      </c>
      <c r="W6007">
        <v>104</v>
      </c>
      <c r="X6007" s="186" t="s">
        <v>1644</v>
      </c>
      <c r="Y6007" s="187" t="s">
        <v>55</v>
      </c>
      <c r="Z6007" s="311">
        <v>259</v>
      </c>
      <c r="AB6007" t="str">
        <f>IF(Table1[[#This Row],[TIPO2]]="costo", VLOOKUP(Table1[[#This Row],[PARTIDA PRESUPUESTAL]],'Cost Report'!G:G,1,0),"Balance")</f>
        <v>2285-003</v>
      </c>
      <c r="AD6007" s="159">
        <f>+Table1[[#This Row],[SUBTOTAL]]+Table1[[#This Row],[IVA]]-Table1[[#This Row],[RET IVA]]-Table1[[#This Row],[RET ISR]]-Table1[[#This Row],[TOTAL]]</f>
        <v>0</v>
      </c>
      <c r="AG6007" t="s">
        <v>3420</v>
      </c>
      <c r="AK6007" s="306" t="str">
        <f>IF(ISNUMBER(Table1[[#This Row],[FECHA DE RECIBIDO]]), Table1[[#This Row],[FECHA DE RECIBIDO]]-DATE(2023,8,30), "")</f>
        <v/>
      </c>
    </row>
    <row r="6008" spans="1:37" ht="16.05" customHeight="1">
      <c r="A6008" s="172" t="s">
        <v>5149</v>
      </c>
      <c r="B6008" s="178">
        <v>2116</v>
      </c>
      <c r="C6008" s="179" t="s">
        <v>2455</v>
      </c>
      <c r="D6008">
        <v>689</v>
      </c>
      <c r="E6008" s="125"/>
      <c r="F6008" s="178"/>
      <c r="G6008" s="178"/>
      <c r="H6008"/>
      <c r="I6008" s="178"/>
      <c r="J6008" s="320" t="s">
        <v>214</v>
      </c>
      <c r="K6008" s="178" t="s">
        <v>5167</v>
      </c>
      <c r="L6008" s="125" t="s">
        <v>1579</v>
      </c>
      <c r="M6008">
        <v>215</v>
      </c>
      <c r="N6008" s="182">
        <v>17</v>
      </c>
      <c r="O6008">
        <v>3947</v>
      </c>
      <c r="P6008" s="132" t="s">
        <v>77</v>
      </c>
      <c r="Q6008" s="176">
        <v>109.98</v>
      </c>
      <c r="R6008" s="176"/>
      <c r="S6008" s="176"/>
      <c r="T6008" s="190"/>
      <c r="U6008" s="191"/>
      <c r="V6008" s="191">
        <v>109.98</v>
      </c>
      <c r="W6008">
        <v>104</v>
      </c>
      <c r="X6008" s="186" t="s">
        <v>1644</v>
      </c>
      <c r="Y6008" s="187" t="s">
        <v>55</v>
      </c>
      <c r="Z6008" s="311">
        <v>259</v>
      </c>
      <c r="AB6008" t="str">
        <f>IF(Table1[[#This Row],[TIPO2]]="costo", VLOOKUP(Table1[[#This Row],[PARTIDA PRESUPUESTAL]],'Cost Report'!G:G,1,0),"Balance")</f>
        <v>2285-003</v>
      </c>
      <c r="AD6008" s="159">
        <f>+Table1[[#This Row],[SUBTOTAL]]+Table1[[#This Row],[IVA]]-Table1[[#This Row],[RET IVA]]-Table1[[#This Row],[RET ISR]]-Table1[[#This Row],[TOTAL]]</f>
        <v>0</v>
      </c>
      <c r="AG6008" t="s">
        <v>3420</v>
      </c>
      <c r="AK6008" s="306" t="str">
        <f>IF(ISNUMBER(Table1[[#This Row],[FECHA DE RECIBIDO]]), Table1[[#This Row],[FECHA DE RECIBIDO]]-DATE(2023,8,30), "")</f>
        <v/>
      </c>
    </row>
    <row r="6009" spans="1:37" ht="16.05" customHeight="1">
      <c r="A6009" s="172" t="s">
        <v>5149</v>
      </c>
      <c r="B6009" s="178">
        <v>2116</v>
      </c>
      <c r="C6009" s="179" t="s">
        <v>2455</v>
      </c>
      <c r="D6009">
        <v>689</v>
      </c>
      <c r="E6009" s="125"/>
      <c r="F6009" s="178"/>
      <c r="G6009" s="178"/>
      <c r="H6009"/>
      <c r="I6009" s="178"/>
      <c r="J6009" s="320" t="s">
        <v>214</v>
      </c>
      <c r="K6009" s="178" t="s">
        <v>5167</v>
      </c>
      <c r="L6009" s="125" t="s">
        <v>1579</v>
      </c>
      <c r="M6009">
        <v>215</v>
      </c>
      <c r="N6009" s="182">
        <v>17</v>
      </c>
      <c r="O6009">
        <v>3946</v>
      </c>
      <c r="P6009" s="132" t="s">
        <v>77</v>
      </c>
      <c r="Q6009" s="176">
        <v>99.94</v>
      </c>
      <c r="R6009" s="176"/>
      <c r="S6009" s="176"/>
      <c r="T6009" s="190"/>
      <c r="U6009" s="191"/>
      <c r="V6009" s="191">
        <v>99.94</v>
      </c>
      <c r="W6009">
        <v>104</v>
      </c>
      <c r="X6009" s="186" t="s">
        <v>1644</v>
      </c>
      <c r="Y6009" s="187" t="s">
        <v>55</v>
      </c>
      <c r="Z6009" s="311">
        <v>260</v>
      </c>
      <c r="AB6009" t="str">
        <f>IF(Table1[[#This Row],[TIPO2]]="costo", VLOOKUP(Table1[[#This Row],[PARTIDA PRESUPUESTAL]],'Cost Report'!G:G,1,0),"Balance")</f>
        <v>2285-003</v>
      </c>
      <c r="AD6009" s="159">
        <f>+Table1[[#This Row],[SUBTOTAL]]+Table1[[#This Row],[IVA]]-Table1[[#This Row],[RET IVA]]-Table1[[#This Row],[RET ISR]]-Table1[[#This Row],[TOTAL]]</f>
        <v>0</v>
      </c>
      <c r="AG6009" t="s">
        <v>3420</v>
      </c>
      <c r="AK6009" s="306" t="str">
        <f>IF(ISNUMBER(Table1[[#This Row],[FECHA DE RECIBIDO]]), Table1[[#This Row],[FECHA DE RECIBIDO]]-DATE(2023,8,30), "")</f>
        <v/>
      </c>
    </row>
    <row r="6010" spans="1:37" ht="16.05" customHeight="1">
      <c r="A6010" s="172" t="s">
        <v>5149</v>
      </c>
      <c r="B6010" s="178">
        <v>2116</v>
      </c>
      <c r="C6010" s="179" t="s">
        <v>2455</v>
      </c>
      <c r="D6010">
        <v>689</v>
      </c>
      <c r="E6010" s="125"/>
      <c r="F6010" s="178"/>
      <c r="G6010" s="178"/>
      <c r="H6010"/>
      <c r="I6010" s="178"/>
      <c r="J6010" s="320" t="s">
        <v>214</v>
      </c>
      <c r="K6010" s="178" t="s">
        <v>5167</v>
      </c>
      <c r="L6010" s="125" t="s">
        <v>1579</v>
      </c>
      <c r="M6010">
        <v>215</v>
      </c>
      <c r="N6010" s="182">
        <v>17</v>
      </c>
      <c r="O6010">
        <v>3947</v>
      </c>
      <c r="P6010" s="132" t="s">
        <v>77</v>
      </c>
      <c r="Q6010" s="176">
        <v>109.98</v>
      </c>
      <c r="R6010" s="176"/>
      <c r="S6010" s="176"/>
      <c r="T6010" s="190"/>
      <c r="U6010" s="191"/>
      <c r="V6010" s="191">
        <v>109.98</v>
      </c>
      <c r="W6010">
        <v>104</v>
      </c>
      <c r="X6010" s="186" t="s">
        <v>1644</v>
      </c>
      <c r="Y6010" s="187" t="s">
        <v>55</v>
      </c>
      <c r="Z6010" s="311">
        <v>260</v>
      </c>
      <c r="AB6010" t="str">
        <f>IF(Table1[[#This Row],[TIPO2]]="costo", VLOOKUP(Table1[[#This Row],[PARTIDA PRESUPUESTAL]],'Cost Report'!G:G,1,0),"Balance")</f>
        <v>2285-003</v>
      </c>
      <c r="AD6010" s="159">
        <f>+Table1[[#This Row],[SUBTOTAL]]+Table1[[#This Row],[IVA]]-Table1[[#This Row],[RET IVA]]-Table1[[#This Row],[RET ISR]]-Table1[[#This Row],[TOTAL]]</f>
        <v>0</v>
      </c>
      <c r="AG6010" t="s">
        <v>3420</v>
      </c>
      <c r="AK6010" s="306" t="str">
        <f>IF(ISNUMBER(Table1[[#This Row],[FECHA DE RECIBIDO]]), Table1[[#This Row],[FECHA DE RECIBIDO]]-DATE(2023,8,30), "")</f>
        <v/>
      </c>
    </row>
    <row r="6011" spans="1:37" ht="16.05" customHeight="1">
      <c r="A6011" s="172" t="s">
        <v>5149</v>
      </c>
      <c r="B6011" s="178">
        <v>2116</v>
      </c>
      <c r="C6011" s="179" t="s">
        <v>2455</v>
      </c>
      <c r="D6011">
        <v>689</v>
      </c>
      <c r="E6011" s="125"/>
      <c r="F6011" s="178"/>
      <c r="G6011" s="178"/>
      <c r="H6011"/>
      <c r="I6011" s="178"/>
      <c r="J6011" s="320" t="s">
        <v>214</v>
      </c>
      <c r="K6011" s="178" t="s">
        <v>5167</v>
      </c>
      <c r="L6011" s="125" t="s">
        <v>1579</v>
      </c>
      <c r="M6011">
        <v>215</v>
      </c>
      <c r="N6011" s="182">
        <v>17</v>
      </c>
      <c r="O6011">
        <v>3947</v>
      </c>
      <c r="P6011" s="132" t="s">
        <v>77</v>
      </c>
      <c r="Q6011" s="176">
        <v>99.92</v>
      </c>
      <c r="R6011" s="176"/>
      <c r="S6011" s="176"/>
      <c r="T6011" s="190"/>
      <c r="U6011" s="191"/>
      <c r="V6011" s="191">
        <v>99.92</v>
      </c>
      <c r="W6011">
        <v>104</v>
      </c>
      <c r="X6011" s="186" t="s">
        <v>1644</v>
      </c>
      <c r="Y6011" s="187" t="s">
        <v>55</v>
      </c>
      <c r="Z6011" s="311">
        <v>261</v>
      </c>
      <c r="AB6011" t="str">
        <f>IF(Table1[[#This Row],[TIPO2]]="costo", VLOOKUP(Table1[[#This Row],[PARTIDA PRESUPUESTAL]],'Cost Report'!G:G,1,0),"Balance")</f>
        <v>2285-003</v>
      </c>
      <c r="AD6011" s="159">
        <f>+Table1[[#This Row],[SUBTOTAL]]+Table1[[#This Row],[IVA]]-Table1[[#This Row],[RET IVA]]-Table1[[#This Row],[RET ISR]]-Table1[[#This Row],[TOTAL]]</f>
        <v>0</v>
      </c>
      <c r="AG6011" t="s">
        <v>3420</v>
      </c>
      <c r="AK6011" s="306" t="str">
        <f>IF(ISNUMBER(Table1[[#This Row],[FECHA DE RECIBIDO]]), Table1[[#This Row],[FECHA DE RECIBIDO]]-DATE(2023,8,30), "")</f>
        <v/>
      </c>
    </row>
    <row r="6012" spans="1:37" ht="16.05" customHeight="1">
      <c r="A6012" s="172" t="s">
        <v>5149</v>
      </c>
      <c r="B6012" s="178">
        <v>2116</v>
      </c>
      <c r="C6012" s="179" t="s">
        <v>2455</v>
      </c>
      <c r="D6012">
        <v>689</v>
      </c>
      <c r="E6012" s="125"/>
      <c r="F6012" s="178"/>
      <c r="G6012" s="178"/>
      <c r="H6012"/>
      <c r="I6012" s="178"/>
      <c r="J6012" s="320" t="s">
        <v>214</v>
      </c>
      <c r="K6012" s="178" t="s">
        <v>5167</v>
      </c>
      <c r="L6012" s="125" t="s">
        <v>1579</v>
      </c>
      <c r="M6012">
        <v>215</v>
      </c>
      <c r="N6012" s="182">
        <v>17</v>
      </c>
      <c r="O6012">
        <v>3947</v>
      </c>
      <c r="P6012" s="132" t="s">
        <v>77</v>
      </c>
      <c r="Q6012" s="176">
        <v>109.9</v>
      </c>
      <c r="R6012" s="176"/>
      <c r="S6012" s="176"/>
      <c r="T6012" s="190"/>
      <c r="U6012" s="191"/>
      <c r="V6012" s="191">
        <v>109.9</v>
      </c>
      <c r="W6012">
        <v>104</v>
      </c>
      <c r="X6012" s="186" t="s">
        <v>1644</v>
      </c>
      <c r="Y6012" s="187" t="s">
        <v>55</v>
      </c>
      <c r="Z6012" s="311">
        <v>262</v>
      </c>
      <c r="AB6012" t="str">
        <f>IF(Table1[[#This Row],[TIPO2]]="costo", VLOOKUP(Table1[[#This Row],[PARTIDA PRESUPUESTAL]],'Cost Report'!G:G,1,0),"Balance")</f>
        <v>2285-003</v>
      </c>
      <c r="AD6012" s="159">
        <f>+Table1[[#This Row],[SUBTOTAL]]+Table1[[#This Row],[IVA]]-Table1[[#This Row],[RET IVA]]-Table1[[#This Row],[RET ISR]]-Table1[[#This Row],[TOTAL]]</f>
        <v>0</v>
      </c>
      <c r="AG6012" t="s">
        <v>3420</v>
      </c>
      <c r="AK6012" s="306" t="str">
        <f>IF(ISNUMBER(Table1[[#This Row],[FECHA DE RECIBIDO]]), Table1[[#This Row],[FECHA DE RECIBIDO]]-DATE(2023,8,30), "")</f>
        <v/>
      </c>
    </row>
    <row r="6013" spans="1:37" ht="16.05" customHeight="1">
      <c r="A6013" s="172" t="s">
        <v>5149</v>
      </c>
      <c r="B6013" s="178">
        <v>2116</v>
      </c>
      <c r="C6013" s="179" t="s">
        <v>2455</v>
      </c>
      <c r="D6013">
        <v>689</v>
      </c>
      <c r="E6013" s="125"/>
      <c r="F6013" s="178"/>
      <c r="G6013" s="178"/>
      <c r="H6013"/>
      <c r="I6013" s="178"/>
      <c r="J6013" s="320" t="s">
        <v>214</v>
      </c>
      <c r="K6013" s="178" t="s">
        <v>5167</v>
      </c>
      <c r="L6013" s="125" t="s">
        <v>1579</v>
      </c>
      <c r="M6013">
        <v>215</v>
      </c>
      <c r="N6013" s="182">
        <v>17</v>
      </c>
      <c r="O6013">
        <v>3947</v>
      </c>
      <c r="P6013" s="132" t="s">
        <v>77</v>
      </c>
      <c r="Q6013" s="176">
        <v>169.98</v>
      </c>
      <c r="R6013" s="176"/>
      <c r="S6013" s="176"/>
      <c r="T6013" s="190"/>
      <c r="U6013" s="191"/>
      <c r="V6013" s="191">
        <v>169.98</v>
      </c>
      <c r="W6013">
        <v>104</v>
      </c>
      <c r="X6013" s="186" t="s">
        <v>1644</v>
      </c>
      <c r="Y6013" s="187" t="s">
        <v>55</v>
      </c>
      <c r="Z6013" s="311">
        <v>275</v>
      </c>
      <c r="AB6013" t="str">
        <f>IF(Table1[[#This Row],[TIPO2]]="costo", VLOOKUP(Table1[[#This Row],[PARTIDA PRESUPUESTAL]],'Cost Report'!G:G,1,0),"Balance")</f>
        <v>2285-003</v>
      </c>
      <c r="AD6013" s="159">
        <f>+Table1[[#This Row],[SUBTOTAL]]+Table1[[#This Row],[IVA]]-Table1[[#This Row],[RET IVA]]-Table1[[#This Row],[RET ISR]]-Table1[[#This Row],[TOTAL]]</f>
        <v>0</v>
      </c>
      <c r="AG6013" t="s">
        <v>3420</v>
      </c>
      <c r="AK6013" s="306" t="str">
        <f>IF(ISNUMBER(Table1[[#This Row],[FECHA DE RECIBIDO]]), Table1[[#This Row],[FECHA DE RECIBIDO]]-DATE(2023,8,30), "")</f>
        <v/>
      </c>
    </row>
    <row r="6014" spans="1:37" ht="16.05" customHeight="1">
      <c r="A6014" s="172" t="s">
        <v>5149</v>
      </c>
      <c r="B6014" s="178">
        <v>2116</v>
      </c>
      <c r="C6014" s="179" t="s">
        <v>2455</v>
      </c>
      <c r="D6014">
        <v>689</v>
      </c>
      <c r="E6014" s="125"/>
      <c r="F6014" s="178"/>
      <c r="G6014" s="178"/>
      <c r="H6014"/>
      <c r="I6014" s="178"/>
      <c r="J6014" s="320" t="s">
        <v>214</v>
      </c>
      <c r="K6014" s="178" t="s">
        <v>5167</v>
      </c>
      <c r="L6014" s="125" t="s">
        <v>1579</v>
      </c>
      <c r="M6014">
        <v>215</v>
      </c>
      <c r="N6014" s="182">
        <v>17</v>
      </c>
      <c r="O6014">
        <v>3947</v>
      </c>
      <c r="P6014" s="132" t="s">
        <v>77</v>
      </c>
      <c r="Q6014" s="176">
        <v>89.94</v>
      </c>
      <c r="R6014" s="176"/>
      <c r="S6014" s="176"/>
      <c r="T6014" s="190"/>
      <c r="U6014" s="191"/>
      <c r="V6014" s="191">
        <v>89.94</v>
      </c>
      <c r="W6014">
        <v>104</v>
      </c>
      <c r="X6014" s="186" t="s">
        <v>1644</v>
      </c>
      <c r="Y6014" s="187" t="s">
        <v>55</v>
      </c>
      <c r="Z6014" s="311">
        <v>229</v>
      </c>
      <c r="AB6014" t="str">
        <f>IF(Table1[[#This Row],[TIPO2]]="costo", VLOOKUP(Table1[[#This Row],[PARTIDA PRESUPUESTAL]],'Cost Report'!G:G,1,0),"Balance")</f>
        <v>2285-003</v>
      </c>
      <c r="AD6014" s="159">
        <f>+Table1[[#This Row],[SUBTOTAL]]+Table1[[#This Row],[IVA]]-Table1[[#This Row],[RET IVA]]-Table1[[#This Row],[RET ISR]]-Table1[[#This Row],[TOTAL]]</f>
        <v>0</v>
      </c>
      <c r="AG6014" t="s">
        <v>3420</v>
      </c>
      <c r="AK6014" s="306" t="str">
        <f>IF(ISNUMBER(Table1[[#This Row],[FECHA DE RECIBIDO]]), Table1[[#This Row],[FECHA DE RECIBIDO]]-DATE(2023,8,30), "")</f>
        <v/>
      </c>
    </row>
    <row r="6015" spans="1:37" ht="16.05" customHeight="1">
      <c r="A6015" s="172" t="s">
        <v>5149</v>
      </c>
      <c r="B6015" s="178">
        <v>2116</v>
      </c>
      <c r="C6015" s="179" t="s">
        <v>2455</v>
      </c>
      <c r="D6015">
        <v>689</v>
      </c>
      <c r="E6015" s="125"/>
      <c r="F6015" s="178"/>
      <c r="G6015" s="178"/>
      <c r="H6015"/>
      <c r="I6015" s="178"/>
      <c r="J6015" s="320" t="s">
        <v>214</v>
      </c>
      <c r="K6015" s="178" t="s">
        <v>5167</v>
      </c>
      <c r="L6015" s="125" t="s">
        <v>1579</v>
      </c>
      <c r="M6015">
        <v>215</v>
      </c>
      <c r="N6015" s="182">
        <v>17</v>
      </c>
      <c r="O6015">
        <v>3949</v>
      </c>
      <c r="P6015" s="132" t="s">
        <v>77</v>
      </c>
      <c r="Q6015" s="176">
        <v>89.97</v>
      </c>
      <c r="R6015" s="176"/>
      <c r="S6015" s="176"/>
      <c r="T6015" s="190"/>
      <c r="U6015" s="191"/>
      <c r="V6015" s="191">
        <v>89.97</v>
      </c>
      <c r="W6015">
        <v>104</v>
      </c>
      <c r="X6015" s="186" t="s">
        <v>1644</v>
      </c>
      <c r="Y6015" s="187" t="s">
        <v>55</v>
      </c>
      <c r="Z6015" s="311">
        <v>230</v>
      </c>
      <c r="AB6015" t="str">
        <f>IF(Table1[[#This Row],[TIPO2]]="costo", VLOOKUP(Table1[[#This Row],[PARTIDA PRESUPUESTAL]],'Cost Report'!G:G,1,0),"Balance")</f>
        <v>2285-003</v>
      </c>
      <c r="AD6015" s="159">
        <f>+Table1[[#This Row],[SUBTOTAL]]+Table1[[#This Row],[IVA]]-Table1[[#This Row],[RET IVA]]-Table1[[#This Row],[RET ISR]]-Table1[[#This Row],[TOTAL]]</f>
        <v>0</v>
      </c>
      <c r="AG6015" t="s">
        <v>3420</v>
      </c>
      <c r="AK6015" s="306" t="str">
        <f>IF(ISNUMBER(Table1[[#This Row],[FECHA DE RECIBIDO]]), Table1[[#This Row],[FECHA DE RECIBIDO]]-DATE(2023,8,30), "")</f>
        <v/>
      </c>
    </row>
    <row r="6016" spans="1:37" ht="16.05" customHeight="1">
      <c r="A6016" s="172" t="s">
        <v>5149</v>
      </c>
      <c r="B6016" s="178">
        <v>2116</v>
      </c>
      <c r="C6016" s="179" t="s">
        <v>2455</v>
      </c>
      <c r="D6016">
        <v>689</v>
      </c>
      <c r="E6016" s="125"/>
      <c r="F6016" s="178"/>
      <c r="G6016" s="178"/>
      <c r="H6016"/>
      <c r="I6016" s="178"/>
      <c r="J6016" s="320" t="s">
        <v>214</v>
      </c>
      <c r="K6016" s="178" t="s">
        <v>5167</v>
      </c>
      <c r="L6016" s="125" t="s">
        <v>1579</v>
      </c>
      <c r="M6016">
        <v>215</v>
      </c>
      <c r="N6016" s="182">
        <v>17</v>
      </c>
      <c r="O6016">
        <v>3950</v>
      </c>
      <c r="P6016" s="132" t="s">
        <v>77</v>
      </c>
      <c r="Q6016" s="176">
        <v>64.13</v>
      </c>
      <c r="R6016" s="176"/>
      <c r="S6016" s="176"/>
      <c r="T6016" s="190"/>
      <c r="U6016" s="191"/>
      <c r="V6016" s="191">
        <v>64.13</v>
      </c>
      <c r="W6016">
        <v>104</v>
      </c>
      <c r="X6016" s="186" t="s">
        <v>1644</v>
      </c>
      <c r="Y6016" s="187" t="s">
        <v>55</v>
      </c>
      <c r="Z6016" s="311">
        <v>231</v>
      </c>
      <c r="AB6016" t="str">
        <f>IF(Table1[[#This Row],[TIPO2]]="costo", VLOOKUP(Table1[[#This Row],[PARTIDA PRESUPUESTAL]],'Cost Report'!G:G,1,0),"Balance")</f>
        <v>2285-003</v>
      </c>
      <c r="AD6016" s="159">
        <f>+Table1[[#This Row],[SUBTOTAL]]+Table1[[#This Row],[IVA]]-Table1[[#This Row],[RET IVA]]-Table1[[#This Row],[RET ISR]]-Table1[[#This Row],[TOTAL]]</f>
        <v>0</v>
      </c>
      <c r="AG6016" t="s">
        <v>3420</v>
      </c>
      <c r="AK6016" s="306" t="str">
        <f>IF(ISNUMBER(Table1[[#This Row],[FECHA DE RECIBIDO]]), Table1[[#This Row],[FECHA DE RECIBIDO]]-DATE(2023,8,30), "")</f>
        <v/>
      </c>
    </row>
    <row r="6017" spans="1:37" ht="16.05" customHeight="1">
      <c r="A6017" s="172" t="s">
        <v>5149</v>
      </c>
      <c r="B6017" s="178">
        <v>2116</v>
      </c>
      <c r="C6017" s="179" t="s">
        <v>2455</v>
      </c>
      <c r="D6017">
        <v>689</v>
      </c>
      <c r="E6017" s="125"/>
      <c r="F6017" s="178"/>
      <c r="G6017" s="178"/>
      <c r="H6017"/>
      <c r="I6017" s="178"/>
      <c r="J6017" s="320" t="s">
        <v>214</v>
      </c>
      <c r="K6017" s="178" t="s">
        <v>5167</v>
      </c>
      <c r="L6017" s="125" t="s">
        <v>1579</v>
      </c>
      <c r="M6017">
        <v>215</v>
      </c>
      <c r="N6017" s="182">
        <v>17</v>
      </c>
      <c r="O6017">
        <v>3951</v>
      </c>
      <c r="P6017" s="132" t="s">
        <v>77</v>
      </c>
      <c r="Q6017" s="176">
        <v>180.58</v>
      </c>
      <c r="R6017" s="176"/>
      <c r="S6017" s="176"/>
      <c r="T6017" s="190"/>
      <c r="U6017" s="191"/>
      <c r="V6017" s="191">
        <v>180.58</v>
      </c>
      <c r="W6017">
        <v>104</v>
      </c>
      <c r="X6017" s="186" t="s">
        <v>1644</v>
      </c>
      <c r="Y6017" s="187" t="s">
        <v>55</v>
      </c>
      <c r="Z6017" s="311">
        <v>234</v>
      </c>
      <c r="AB6017" t="str">
        <f>IF(Table1[[#This Row],[TIPO2]]="costo", VLOOKUP(Table1[[#This Row],[PARTIDA PRESUPUESTAL]],'Cost Report'!G:G,1,0),"Balance")</f>
        <v>2285-003</v>
      </c>
      <c r="AD6017" s="159">
        <f>+Table1[[#This Row],[SUBTOTAL]]+Table1[[#This Row],[IVA]]-Table1[[#This Row],[RET IVA]]-Table1[[#This Row],[RET ISR]]-Table1[[#This Row],[TOTAL]]</f>
        <v>0</v>
      </c>
      <c r="AG6017" t="s">
        <v>3420</v>
      </c>
      <c r="AK6017" s="306" t="str">
        <f>IF(ISNUMBER(Table1[[#This Row],[FECHA DE RECIBIDO]]), Table1[[#This Row],[FECHA DE RECIBIDO]]-DATE(2023,8,30), "")</f>
        <v/>
      </c>
    </row>
    <row r="6018" spans="1:37" ht="16.05" customHeight="1">
      <c r="A6018" s="172" t="s">
        <v>5154</v>
      </c>
      <c r="B6018" s="178">
        <v>2117</v>
      </c>
      <c r="C6018" s="179" t="s">
        <v>2455</v>
      </c>
      <c r="D6018">
        <v>4132</v>
      </c>
      <c r="E6018" s="125" t="s">
        <v>4991</v>
      </c>
      <c r="F6018" s="178">
        <v>625</v>
      </c>
      <c r="G6018" s="178" t="s">
        <v>1625</v>
      </c>
      <c r="H6018">
        <v>1000</v>
      </c>
      <c r="I6018" s="178" t="s">
        <v>1546</v>
      </c>
      <c r="J6018" s="320" t="s">
        <v>214</v>
      </c>
      <c r="K6018" s="178" t="s">
        <v>5167</v>
      </c>
      <c r="L6018" s="125" t="s">
        <v>1579</v>
      </c>
      <c r="M6018">
        <v>1387</v>
      </c>
      <c r="N6018" s="182">
        <v>17</v>
      </c>
      <c r="O6018">
        <v>3939</v>
      </c>
      <c r="P6018" s="132" t="s">
        <v>77</v>
      </c>
      <c r="Q6018" s="176">
        <v>86.16</v>
      </c>
      <c r="R6018" s="176">
        <v>13.78</v>
      </c>
      <c r="S6018" s="176"/>
      <c r="T6018" s="190"/>
      <c r="U6018" s="191"/>
      <c r="V6018" s="191">
        <v>99.94</v>
      </c>
      <c r="W6018">
        <v>104</v>
      </c>
      <c r="X6018" s="186" t="s">
        <v>1644</v>
      </c>
      <c r="Y6018" s="187" t="s">
        <v>55</v>
      </c>
      <c r="Z6018" s="311">
        <v>252</v>
      </c>
      <c r="AB6018" t="str">
        <f>IF(Table1[[#This Row],[TIPO2]]="costo", VLOOKUP(Table1[[#This Row],[PARTIDA PRESUPUESTAL]],'Cost Report'!G:G,1,0),"Balance")</f>
        <v>2285-003</v>
      </c>
      <c r="AD6018" s="159">
        <f>+Table1[[#This Row],[SUBTOTAL]]+Table1[[#This Row],[IVA]]-Table1[[#This Row],[RET IVA]]-Table1[[#This Row],[RET ISR]]-Table1[[#This Row],[TOTAL]]</f>
        <v>0</v>
      </c>
      <c r="AG6018" t="s">
        <v>3420</v>
      </c>
      <c r="AK6018" s="306" t="str">
        <f>IF(ISNUMBER(Table1[[#This Row],[FECHA DE RECIBIDO]]), Table1[[#This Row],[FECHA DE RECIBIDO]]-DATE(2023,8,30), "")</f>
        <v/>
      </c>
    </row>
    <row r="6019" spans="1:37" ht="16.05" customHeight="1">
      <c r="A6019" s="172" t="s">
        <v>5154</v>
      </c>
      <c r="B6019" s="178">
        <v>2117</v>
      </c>
      <c r="C6019" s="179" t="s">
        <v>2455</v>
      </c>
      <c r="D6019">
        <v>689</v>
      </c>
      <c r="E6019" s="125"/>
      <c r="F6019" s="178"/>
      <c r="G6019" s="178"/>
      <c r="H6019"/>
      <c r="I6019" s="178"/>
      <c r="J6019" s="320" t="s">
        <v>214</v>
      </c>
      <c r="K6019" s="178" t="s">
        <v>5167</v>
      </c>
      <c r="L6019" s="125" t="s">
        <v>1579</v>
      </c>
      <c r="M6019">
        <v>215</v>
      </c>
      <c r="N6019" s="182">
        <v>17</v>
      </c>
      <c r="O6019">
        <v>3952</v>
      </c>
      <c r="P6019" s="132" t="s">
        <v>77</v>
      </c>
      <c r="Q6019" s="176">
        <v>99.93</v>
      </c>
      <c r="R6019" s="176"/>
      <c r="S6019" s="176"/>
      <c r="T6019" s="190"/>
      <c r="U6019" s="191"/>
      <c r="V6019" s="191">
        <v>99.93</v>
      </c>
      <c r="W6019">
        <v>104</v>
      </c>
      <c r="X6019" s="186" t="s">
        <v>1644</v>
      </c>
      <c r="Y6019" s="187" t="s">
        <v>55</v>
      </c>
      <c r="Z6019" s="311">
        <v>236</v>
      </c>
      <c r="AB6019" t="str">
        <f>IF(Table1[[#This Row],[TIPO2]]="costo", VLOOKUP(Table1[[#This Row],[PARTIDA PRESUPUESTAL]],'Cost Report'!G:G,1,0),"Balance")</f>
        <v>2285-003</v>
      </c>
      <c r="AD6019" s="159">
        <f>+Table1[[#This Row],[SUBTOTAL]]+Table1[[#This Row],[IVA]]-Table1[[#This Row],[RET IVA]]-Table1[[#This Row],[RET ISR]]-Table1[[#This Row],[TOTAL]]</f>
        <v>0</v>
      </c>
      <c r="AG6019" t="s">
        <v>3420</v>
      </c>
      <c r="AK6019" s="306" t="str">
        <f>IF(ISNUMBER(Table1[[#This Row],[FECHA DE RECIBIDO]]), Table1[[#This Row],[FECHA DE RECIBIDO]]-DATE(2023,8,30), "")</f>
        <v/>
      </c>
    </row>
    <row r="6020" spans="1:37" ht="16.05" customHeight="1">
      <c r="A6020" s="172" t="s">
        <v>5154</v>
      </c>
      <c r="B6020" s="178">
        <v>2117</v>
      </c>
      <c r="C6020" s="179" t="s">
        <v>2455</v>
      </c>
      <c r="D6020">
        <v>689</v>
      </c>
      <c r="E6020" s="125"/>
      <c r="F6020" s="178"/>
      <c r="G6020" s="178"/>
      <c r="H6020"/>
      <c r="I6020" s="178"/>
      <c r="J6020" s="320" t="s">
        <v>214</v>
      </c>
      <c r="K6020" s="178" t="s">
        <v>5167</v>
      </c>
      <c r="L6020" s="125" t="s">
        <v>1579</v>
      </c>
      <c r="M6020">
        <v>215</v>
      </c>
      <c r="N6020" s="182">
        <v>17</v>
      </c>
      <c r="O6020">
        <v>3953</v>
      </c>
      <c r="P6020" s="132" t="s">
        <v>77</v>
      </c>
      <c r="Q6020" s="176">
        <v>142.83000000000001</v>
      </c>
      <c r="R6020" s="176"/>
      <c r="S6020" s="176"/>
      <c r="T6020" s="190"/>
      <c r="U6020" s="191"/>
      <c r="V6020" s="191">
        <v>142.83000000000001</v>
      </c>
      <c r="W6020">
        <v>104</v>
      </c>
      <c r="X6020" s="186" t="s">
        <v>1644</v>
      </c>
      <c r="Y6020" s="187" t="s">
        <v>55</v>
      </c>
      <c r="Z6020" s="311">
        <v>239</v>
      </c>
      <c r="AB6020" t="str">
        <f>IF(Table1[[#This Row],[TIPO2]]="costo", VLOOKUP(Table1[[#This Row],[PARTIDA PRESUPUESTAL]],'Cost Report'!G:G,1,0),"Balance")</f>
        <v>2285-003</v>
      </c>
      <c r="AD6020" s="159">
        <f>+Table1[[#This Row],[SUBTOTAL]]+Table1[[#This Row],[IVA]]-Table1[[#This Row],[RET IVA]]-Table1[[#This Row],[RET ISR]]-Table1[[#This Row],[TOTAL]]</f>
        <v>0</v>
      </c>
      <c r="AG6020" t="s">
        <v>3420</v>
      </c>
      <c r="AK6020" s="306" t="str">
        <f>IF(ISNUMBER(Table1[[#This Row],[FECHA DE RECIBIDO]]), Table1[[#This Row],[FECHA DE RECIBIDO]]-DATE(2023,8,30), "")</f>
        <v/>
      </c>
    </row>
    <row r="6021" spans="1:37" ht="16.05" customHeight="1">
      <c r="A6021" s="172" t="s">
        <v>5154</v>
      </c>
      <c r="B6021" s="178">
        <v>2117</v>
      </c>
      <c r="C6021" s="179" t="s">
        <v>2455</v>
      </c>
      <c r="D6021">
        <v>689</v>
      </c>
      <c r="E6021" s="125"/>
      <c r="F6021" s="178"/>
      <c r="G6021" s="178"/>
      <c r="H6021"/>
      <c r="I6021" s="178"/>
      <c r="J6021" s="320" t="s">
        <v>214</v>
      </c>
      <c r="K6021" s="178" t="s">
        <v>5167</v>
      </c>
      <c r="L6021" s="125" t="s">
        <v>1579</v>
      </c>
      <c r="M6021">
        <v>215</v>
      </c>
      <c r="N6021" s="182">
        <v>17</v>
      </c>
      <c r="O6021">
        <v>3954</v>
      </c>
      <c r="P6021" s="132" t="s">
        <v>77</v>
      </c>
      <c r="Q6021" s="176">
        <v>109.97</v>
      </c>
      <c r="R6021" s="176"/>
      <c r="S6021" s="176"/>
      <c r="T6021" s="190"/>
      <c r="U6021" s="191"/>
      <c r="V6021" s="191">
        <v>109.97</v>
      </c>
      <c r="W6021">
        <v>104</v>
      </c>
      <c r="X6021" s="186" t="s">
        <v>1644</v>
      </c>
      <c r="Y6021" s="187" t="s">
        <v>55</v>
      </c>
      <c r="Z6021" s="311">
        <v>239</v>
      </c>
      <c r="AB6021" t="str">
        <f>IF(Table1[[#This Row],[TIPO2]]="costo", VLOOKUP(Table1[[#This Row],[PARTIDA PRESUPUESTAL]],'Cost Report'!G:G,1,0),"Balance")</f>
        <v>2285-003</v>
      </c>
      <c r="AD6021" s="159">
        <f>+Table1[[#This Row],[SUBTOTAL]]+Table1[[#This Row],[IVA]]-Table1[[#This Row],[RET IVA]]-Table1[[#This Row],[RET ISR]]-Table1[[#This Row],[TOTAL]]</f>
        <v>0</v>
      </c>
      <c r="AG6021" t="s">
        <v>3420</v>
      </c>
      <c r="AK6021" s="306" t="str">
        <f>IF(ISNUMBER(Table1[[#This Row],[FECHA DE RECIBIDO]]), Table1[[#This Row],[FECHA DE RECIBIDO]]-DATE(2023,8,30), "")</f>
        <v/>
      </c>
    </row>
    <row r="6022" spans="1:37" ht="16.05" customHeight="1">
      <c r="A6022" s="172" t="s">
        <v>5154</v>
      </c>
      <c r="B6022" s="178">
        <v>2117</v>
      </c>
      <c r="C6022" s="179" t="s">
        <v>2455</v>
      </c>
      <c r="D6022">
        <v>689</v>
      </c>
      <c r="E6022" s="125"/>
      <c r="F6022" s="178"/>
      <c r="G6022" s="178"/>
      <c r="H6022"/>
      <c r="I6022" s="178"/>
      <c r="J6022" s="320" t="s">
        <v>214</v>
      </c>
      <c r="K6022" s="178" t="s">
        <v>5167</v>
      </c>
      <c r="L6022" s="125" t="s">
        <v>1579</v>
      </c>
      <c r="M6022">
        <v>215</v>
      </c>
      <c r="N6022" s="182">
        <v>17</v>
      </c>
      <c r="O6022">
        <v>3955</v>
      </c>
      <c r="P6022" s="132" t="s">
        <v>77</v>
      </c>
      <c r="Q6022" s="176">
        <v>69.97</v>
      </c>
      <c r="R6022" s="176"/>
      <c r="S6022" s="176"/>
      <c r="T6022" s="190"/>
      <c r="U6022" s="191"/>
      <c r="V6022" s="191">
        <v>69.97</v>
      </c>
      <c r="W6022">
        <v>104</v>
      </c>
      <c r="X6022" s="186" t="s">
        <v>1644</v>
      </c>
      <c r="Y6022" s="187" t="s">
        <v>55</v>
      </c>
      <c r="Z6022" s="311">
        <v>240</v>
      </c>
      <c r="AB6022" t="str">
        <f>IF(Table1[[#This Row],[TIPO2]]="costo", VLOOKUP(Table1[[#This Row],[PARTIDA PRESUPUESTAL]],'Cost Report'!G:G,1,0),"Balance")</f>
        <v>2285-003</v>
      </c>
      <c r="AD6022" s="159">
        <f>+Table1[[#This Row],[SUBTOTAL]]+Table1[[#This Row],[IVA]]-Table1[[#This Row],[RET IVA]]-Table1[[#This Row],[RET ISR]]-Table1[[#This Row],[TOTAL]]</f>
        <v>0</v>
      </c>
      <c r="AG6022" t="s">
        <v>3420</v>
      </c>
      <c r="AK6022" s="306" t="str">
        <f>IF(ISNUMBER(Table1[[#This Row],[FECHA DE RECIBIDO]]), Table1[[#This Row],[FECHA DE RECIBIDO]]-DATE(2023,8,30), "")</f>
        <v/>
      </c>
    </row>
    <row r="6023" spans="1:37" ht="16.05" customHeight="1">
      <c r="A6023" s="172" t="s">
        <v>5154</v>
      </c>
      <c r="B6023" s="178">
        <v>2117</v>
      </c>
      <c r="C6023" s="179" t="s">
        <v>2455</v>
      </c>
      <c r="D6023">
        <v>689</v>
      </c>
      <c r="E6023" s="125"/>
      <c r="F6023" s="178"/>
      <c r="G6023" s="178"/>
      <c r="H6023"/>
      <c r="I6023" s="178"/>
      <c r="J6023" s="320" t="s">
        <v>214</v>
      </c>
      <c r="K6023" s="178" t="s">
        <v>5167</v>
      </c>
      <c r="L6023" s="125" t="s">
        <v>1579</v>
      </c>
      <c r="M6023">
        <v>215</v>
      </c>
      <c r="N6023" s="182">
        <v>17</v>
      </c>
      <c r="O6023">
        <v>3954</v>
      </c>
      <c r="P6023" s="132" t="s">
        <v>77</v>
      </c>
      <c r="Q6023" s="176">
        <v>169.92</v>
      </c>
      <c r="R6023" s="176"/>
      <c r="S6023" s="176"/>
      <c r="T6023" s="190"/>
      <c r="U6023" s="191"/>
      <c r="V6023" s="191">
        <v>169.92</v>
      </c>
      <c r="W6023">
        <v>104</v>
      </c>
      <c r="X6023" s="186" t="s">
        <v>1644</v>
      </c>
      <c r="Y6023" s="187" t="s">
        <v>55</v>
      </c>
      <c r="Z6023" s="311">
        <v>240</v>
      </c>
      <c r="AB6023" t="str">
        <f>IF(Table1[[#This Row],[TIPO2]]="costo", VLOOKUP(Table1[[#This Row],[PARTIDA PRESUPUESTAL]],'Cost Report'!G:G,1,0),"Balance")</f>
        <v>2285-003</v>
      </c>
      <c r="AD6023" s="159">
        <f>+Table1[[#This Row],[SUBTOTAL]]+Table1[[#This Row],[IVA]]-Table1[[#This Row],[RET IVA]]-Table1[[#This Row],[RET ISR]]-Table1[[#This Row],[TOTAL]]</f>
        <v>0</v>
      </c>
      <c r="AG6023" t="s">
        <v>3420</v>
      </c>
      <c r="AK6023" s="306" t="str">
        <f>IF(ISNUMBER(Table1[[#This Row],[FECHA DE RECIBIDO]]), Table1[[#This Row],[FECHA DE RECIBIDO]]-DATE(2023,8,30), "")</f>
        <v/>
      </c>
    </row>
    <row r="6024" spans="1:37" ht="16.05" customHeight="1">
      <c r="A6024" s="172" t="s">
        <v>5154</v>
      </c>
      <c r="B6024" s="178">
        <v>2117</v>
      </c>
      <c r="C6024" s="179" t="s">
        <v>2455</v>
      </c>
      <c r="D6024">
        <v>689</v>
      </c>
      <c r="E6024" s="125"/>
      <c r="F6024" s="178"/>
      <c r="G6024" s="178"/>
      <c r="H6024"/>
      <c r="I6024" s="178"/>
      <c r="J6024" s="320" t="s">
        <v>214</v>
      </c>
      <c r="K6024" s="178" t="s">
        <v>5167</v>
      </c>
      <c r="L6024" s="125" t="s">
        <v>1579</v>
      </c>
      <c r="M6024">
        <v>215</v>
      </c>
      <c r="N6024" s="182">
        <v>17</v>
      </c>
      <c r="O6024">
        <v>3956</v>
      </c>
      <c r="P6024" s="132" t="s">
        <v>77</v>
      </c>
      <c r="Q6024" s="176">
        <v>102.13</v>
      </c>
      <c r="R6024" s="176"/>
      <c r="S6024" s="176"/>
      <c r="T6024" s="190"/>
      <c r="U6024" s="191"/>
      <c r="V6024" s="191">
        <v>102.13</v>
      </c>
      <c r="W6024">
        <v>104</v>
      </c>
      <c r="X6024" s="186" t="s">
        <v>1644</v>
      </c>
      <c r="Y6024" s="187" t="s">
        <v>55</v>
      </c>
      <c r="Z6024" s="311">
        <v>253</v>
      </c>
      <c r="AB6024" t="str">
        <f>IF(Table1[[#This Row],[TIPO2]]="costo", VLOOKUP(Table1[[#This Row],[PARTIDA PRESUPUESTAL]],'Cost Report'!G:G,1,0),"Balance")</f>
        <v>2285-003</v>
      </c>
      <c r="AD6024" s="159">
        <f>+Table1[[#This Row],[SUBTOTAL]]+Table1[[#This Row],[IVA]]-Table1[[#This Row],[RET IVA]]-Table1[[#This Row],[RET ISR]]-Table1[[#This Row],[TOTAL]]</f>
        <v>0</v>
      </c>
      <c r="AG6024" t="s">
        <v>3420</v>
      </c>
      <c r="AK6024" s="306" t="str">
        <f>IF(ISNUMBER(Table1[[#This Row],[FECHA DE RECIBIDO]]), Table1[[#This Row],[FECHA DE RECIBIDO]]-DATE(2023,8,30), "")</f>
        <v/>
      </c>
    </row>
    <row r="6025" spans="1:37" ht="16.05" customHeight="1">
      <c r="A6025" s="172" t="s">
        <v>5154</v>
      </c>
      <c r="B6025" s="178">
        <v>2117</v>
      </c>
      <c r="C6025" s="179" t="s">
        <v>2455</v>
      </c>
      <c r="D6025">
        <v>689</v>
      </c>
      <c r="E6025" s="125"/>
      <c r="F6025" s="178"/>
      <c r="G6025" s="178"/>
      <c r="H6025"/>
      <c r="I6025" s="178"/>
      <c r="J6025" s="320" t="s">
        <v>214</v>
      </c>
      <c r="K6025" s="178" t="s">
        <v>5167</v>
      </c>
      <c r="L6025" s="125" t="s">
        <v>1579</v>
      </c>
      <c r="M6025">
        <v>215</v>
      </c>
      <c r="N6025" s="182">
        <v>17</v>
      </c>
      <c r="O6025">
        <v>3957</v>
      </c>
      <c r="P6025" s="132" t="s">
        <v>77</v>
      </c>
      <c r="Q6025" s="176">
        <v>144.51</v>
      </c>
      <c r="R6025" s="176"/>
      <c r="S6025" s="176"/>
      <c r="T6025" s="190"/>
      <c r="U6025" s="191"/>
      <c r="V6025" s="191">
        <v>144.51</v>
      </c>
      <c r="W6025">
        <v>104</v>
      </c>
      <c r="X6025" s="186" t="s">
        <v>1644</v>
      </c>
      <c r="Y6025" s="187" t="s">
        <v>55</v>
      </c>
      <c r="Z6025" s="311">
        <v>252</v>
      </c>
      <c r="AB6025" t="str">
        <f>IF(Table1[[#This Row],[TIPO2]]="costo", VLOOKUP(Table1[[#This Row],[PARTIDA PRESUPUESTAL]],'Cost Report'!G:G,1,0),"Balance")</f>
        <v>2285-003</v>
      </c>
      <c r="AD6025" s="159">
        <f>+Table1[[#This Row],[SUBTOTAL]]+Table1[[#This Row],[IVA]]-Table1[[#This Row],[RET IVA]]-Table1[[#This Row],[RET ISR]]-Table1[[#This Row],[TOTAL]]</f>
        <v>0</v>
      </c>
      <c r="AG6025" t="s">
        <v>3420</v>
      </c>
      <c r="AK6025" s="306" t="str">
        <f>IF(ISNUMBER(Table1[[#This Row],[FECHA DE RECIBIDO]]), Table1[[#This Row],[FECHA DE RECIBIDO]]-DATE(2023,8,30), "")</f>
        <v/>
      </c>
    </row>
    <row r="6026" spans="1:37" ht="16.05" customHeight="1">
      <c r="A6026" s="172" t="s">
        <v>5154</v>
      </c>
      <c r="B6026" s="178">
        <v>2117</v>
      </c>
      <c r="C6026" s="179" t="s">
        <v>2455</v>
      </c>
      <c r="D6026">
        <v>689</v>
      </c>
      <c r="E6026" s="125"/>
      <c r="F6026" s="178"/>
      <c r="G6026" s="178"/>
      <c r="H6026"/>
      <c r="I6026" s="178"/>
      <c r="J6026" s="320" t="s">
        <v>214</v>
      </c>
      <c r="K6026" s="178" t="s">
        <v>5167</v>
      </c>
      <c r="L6026" s="125" t="s">
        <v>1579</v>
      </c>
      <c r="M6026">
        <v>215</v>
      </c>
      <c r="N6026" s="182">
        <v>17</v>
      </c>
      <c r="O6026">
        <v>3958</v>
      </c>
      <c r="P6026" s="132" t="s">
        <v>77</v>
      </c>
      <c r="Q6026" s="176">
        <v>99.92</v>
      </c>
      <c r="R6026" s="176"/>
      <c r="S6026" s="176"/>
      <c r="T6026" s="190"/>
      <c r="U6026" s="191"/>
      <c r="V6026" s="191">
        <v>99.92</v>
      </c>
      <c r="W6026">
        <v>104</v>
      </c>
      <c r="X6026" s="186" t="s">
        <v>1644</v>
      </c>
      <c r="Y6026" s="187" t="s">
        <v>55</v>
      </c>
      <c r="Z6026" s="311">
        <v>251</v>
      </c>
      <c r="AB6026" t="str">
        <f>IF(Table1[[#This Row],[TIPO2]]="costo", VLOOKUP(Table1[[#This Row],[PARTIDA PRESUPUESTAL]],'Cost Report'!G:G,1,0),"Balance")</f>
        <v>2285-003</v>
      </c>
      <c r="AD6026" s="159">
        <f>+Table1[[#This Row],[SUBTOTAL]]+Table1[[#This Row],[IVA]]-Table1[[#This Row],[RET IVA]]-Table1[[#This Row],[RET ISR]]-Table1[[#This Row],[TOTAL]]</f>
        <v>0</v>
      </c>
      <c r="AG6026" t="s">
        <v>3420</v>
      </c>
      <c r="AK6026" s="306" t="str">
        <f>IF(ISNUMBER(Table1[[#This Row],[FECHA DE RECIBIDO]]), Table1[[#This Row],[FECHA DE RECIBIDO]]-DATE(2023,8,30), "")</f>
        <v/>
      </c>
    </row>
    <row r="6027" spans="1:37" ht="16.05" customHeight="1">
      <c r="A6027" s="172" t="s">
        <v>5154</v>
      </c>
      <c r="B6027" s="178">
        <v>2117</v>
      </c>
      <c r="C6027" s="179" t="s">
        <v>2455</v>
      </c>
      <c r="D6027">
        <v>689</v>
      </c>
      <c r="E6027" s="125"/>
      <c r="F6027" s="178"/>
      <c r="G6027" s="178"/>
      <c r="H6027"/>
      <c r="I6027" s="178"/>
      <c r="J6027" s="320" t="s">
        <v>214</v>
      </c>
      <c r="K6027" s="178" t="s">
        <v>5167</v>
      </c>
      <c r="L6027" s="125" t="s">
        <v>1579</v>
      </c>
      <c r="M6027">
        <v>215</v>
      </c>
      <c r="N6027" s="182">
        <v>17</v>
      </c>
      <c r="O6027">
        <v>3956</v>
      </c>
      <c r="P6027" s="132" t="s">
        <v>77</v>
      </c>
      <c r="Q6027" s="176">
        <v>89.94</v>
      </c>
      <c r="R6027" s="176"/>
      <c r="S6027" s="176"/>
      <c r="T6027" s="190"/>
      <c r="U6027" s="191"/>
      <c r="V6027" s="191">
        <v>89.94</v>
      </c>
      <c r="W6027">
        <v>104</v>
      </c>
      <c r="X6027" s="186" t="s">
        <v>1644</v>
      </c>
      <c r="Y6027" s="187" t="s">
        <v>55</v>
      </c>
      <c r="Z6027" s="311">
        <v>251</v>
      </c>
      <c r="AB6027" t="str">
        <f>IF(Table1[[#This Row],[TIPO2]]="costo", VLOOKUP(Table1[[#This Row],[PARTIDA PRESUPUESTAL]],'Cost Report'!G:G,1,0),"Balance")</f>
        <v>2285-003</v>
      </c>
      <c r="AD6027" s="159">
        <f>+Table1[[#This Row],[SUBTOTAL]]+Table1[[#This Row],[IVA]]-Table1[[#This Row],[RET IVA]]-Table1[[#This Row],[RET ISR]]-Table1[[#This Row],[TOTAL]]</f>
        <v>0</v>
      </c>
      <c r="AG6027" t="s">
        <v>3420</v>
      </c>
      <c r="AK6027" s="306" t="str">
        <f>IF(ISNUMBER(Table1[[#This Row],[FECHA DE RECIBIDO]]), Table1[[#This Row],[FECHA DE RECIBIDO]]-DATE(2023,8,30), "")</f>
        <v/>
      </c>
    </row>
    <row r="6028" spans="1:37" ht="16.05" customHeight="1">
      <c r="A6028" s="172" t="s">
        <v>5154</v>
      </c>
      <c r="B6028" s="178">
        <v>2117</v>
      </c>
      <c r="C6028" s="179" t="s">
        <v>2455</v>
      </c>
      <c r="D6028">
        <v>689</v>
      </c>
      <c r="E6028" s="125"/>
      <c r="F6028" s="178"/>
      <c r="G6028" s="178"/>
      <c r="H6028"/>
      <c r="I6028" s="178"/>
      <c r="J6028" s="320" t="s">
        <v>214</v>
      </c>
      <c r="K6028" s="178" t="s">
        <v>5167</v>
      </c>
      <c r="L6028" s="125" t="s">
        <v>1579</v>
      </c>
      <c r="M6028">
        <v>215</v>
      </c>
      <c r="N6028" s="182">
        <v>17</v>
      </c>
      <c r="O6028">
        <v>3958</v>
      </c>
      <c r="P6028" s="132" t="s">
        <v>77</v>
      </c>
      <c r="Q6028" s="176">
        <v>89.9</v>
      </c>
      <c r="R6028" s="176"/>
      <c r="S6028" s="176"/>
      <c r="T6028" s="190"/>
      <c r="U6028" s="191"/>
      <c r="V6028" s="191">
        <v>89.9</v>
      </c>
      <c r="W6028">
        <v>104</v>
      </c>
      <c r="X6028" s="186" t="s">
        <v>1644</v>
      </c>
      <c r="Y6028" s="187" t="s">
        <v>55</v>
      </c>
      <c r="Z6028" s="311">
        <v>250</v>
      </c>
      <c r="AB6028" t="str">
        <f>IF(Table1[[#This Row],[TIPO2]]="costo", VLOOKUP(Table1[[#This Row],[PARTIDA PRESUPUESTAL]],'Cost Report'!G:G,1,0),"Balance")</f>
        <v>2285-003</v>
      </c>
      <c r="AD6028" s="159">
        <f>+Table1[[#This Row],[SUBTOTAL]]+Table1[[#This Row],[IVA]]-Table1[[#This Row],[RET IVA]]-Table1[[#This Row],[RET ISR]]-Table1[[#This Row],[TOTAL]]</f>
        <v>0</v>
      </c>
      <c r="AG6028" t="s">
        <v>3420</v>
      </c>
      <c r="AK6028" s="306" t="str">
        <f>IF(ISNUMBER(Table1[[#This Row],[FECHA DE RECIBIDO]]), Table1[[#This Row],[FECHA DE RECIBIDO]]-DATE(2023,8,30), "")</f>
        <v/>
      </c>
    </row>
    <row r="6029" spans="1:37" ht="16.05" customHeight="1">
      <c r="A6029" s="172" t="s">
        <v>5154</v>
      </c>
      <c r="B6029" s="178">
        <v>2117</v>
      </c>
      <c r="C6029" s="179" t="s">
        <v>2455</v>
      </c>
      <c r="D6029">
        <v>689</v>
      </c>
      <c r="E6029" s="125"/>
      <c r="F6029" s="178"/>
      <c r="G6029" s="178"/>
      <c r="H6029"/>
      <c r="I6029" s="178"/>
      <c r="J6029" s="320" t="s">
        <v>214</v>
      </c>
      <c r="K6029" s="178" t="s">
        <v>5167</v>
      </c>
      <c r="L6029" s="125" t="s">
        <v>1579</v>
      </c>
      <c r="M6029">
        <v>215</v>
      </c>
      <c r="N6029" s="182">
        <v>17</v>
      </c>
      <c r="O6029">
        <v>3956</v>
      </c>
      <c r="P6029" s="132" t="s">
        <v>77</v>
      </c>
      <c r="Q6029" s="176">
        <v>89.91</v>
      </c>
      <c r="R6029" s="176"/>
      <c r="S6029" s="176"/>
      <c r="T6029" s="190"/>
      <c r="U6029" s="191"/>
      <c r="V6029" s="191">
        <v>89.91</v>
      </c>
      <c r="W6029">
        <v>104</v>
      </c>
      <c r="X6029" s="186" t="s">
        <v>1644</v>
      </c>
      <c r="Y6029" s="187" t="s">
        <v>55</v>
      </c>
      <c r="Z6029" s="311">
        <v>250</v>
      </c>
      <c r="AB6029" t="str">
        <f>IF(Table1[[#This Row],[TIPO2]]="costo", VLOOKUP(Table1[[#This Row],[PARTIDA PRESUPUESTAL]],'Cost Report'!G:G,1,0),"Balance")</f>
        <v>2285-003</v>
      </c>
      <c r="AD6029" s="159">
        <f>+Table1[[#This Row],[SUBTOTAL]]+Table1[[#This Row],[IVA]]-Table1[[#This Row],[RET IVA]]-Table1[[#This Row],[RET ISR]]-Table1[[#This Row],[TOTAL]]</f>
        <v>0</v>
      </c>
      <c r="AG6029" t="s">
        <v>3420</v>
      </c>
      <c r="AK6029" s="306" t="str">
        <f>IF(ISNUMBER(Table1[[#This Row],[FECHA DE RECIBIDO]]), Table1[[#This Row],[FECHA DE RECIBIDO]]-DATE(2023,8,30), "")</f>
        <v/>
      </c>
    </row>
    <row r="6030" spans="1:37" ht="16.05" customHeight="1">
      <c r="A6030" s="172" t="s">
        <v>5154</v>
      </c>
      <c r="B6030" s="178">
        <v>2117</v>
      </c>
      <c r="C6030" s="179" t="s">
        <v>2455</v>
      </c>
      <c r="D6030">
        <v>689</v>
      </c>
      <c r="E6030" s="125"/>
      <c r="F6030" s="178"/>
      <c r="G6030" s="178"/>
      <c r="H6030"/>
      <c r="I6030" s="178"/>
      <c r="J6030" s="320" t="s">
        <v>214</v>
      </c>
      <c r="K6030" s="178" t="s">
        <v>5167</v>
      </c>
      <c r="L6030" s="125" t="s">
        <v>1579</v>
      </c>
      <c r="M6030">
        <v>215</v>
      </c>
      <c r="N6030" s="182">
        <v>17</v>
      </c>
      <c r="O6030">
        <v>3959</v>
      </c>
      <c r="P6030" s="132" t="s">
        <v>77</v>
      </c>
      <c r="Q6030" s="176">
        <v>109.95</v>
      </c>
      <c r="R6030" s="176"/>
      <c r="S6030" s="176"/>
      <c r="T6030" s="190"/>
      <c r="U6030" s="191"/>
      <c r="V6030" s="191">
        <v>109.95</v>
      </c>
      <c r="W6030">
        <v>104</v>
      </c>
      <c r="X6030" s="186" t="s">
        <v>1644</v>
      </c>
      <c r="Y6030" s="187" t="s">
        <v>55</v>
      </c>
      <c r="Z6030" s="311">
        <v>248</v>
      </c>
      <c r="AB6030" t="str">
        <f>IF(Table1[[#This Row],[TIPO2]]="costo", VLOOKUP(Table1[[#This Row],[PARTIDA PRESUPUESTAL]],'Cost Report'!G:G,1,0),"Balance")</f>
        <v>2285-003</v>
      </c>
      <c r="AD6030" s="159">
        <f>+Table1[[#This Row],[SUBTOTAL]]+Table1[[#This Row],[IVA]]-Table1[[#This Row],[RET IVA]]-Table1[[#This Row],[RET ISR]]-Table1[[#This Row],[TOTAL]]</f>
        <v>0</v>
      </c>
      <c r="AG6030" t="s">
        <v>3420</v>
      </c>
      <c r="AK6030" s="306" t="str">
        <f>IF(ISNUMBER(Table1[[#This Row],[FECHA DE RECIBIDO]]), Table1[[#This Row],[FECHA DE RECIBIDO]]-DATE(2023,8,30), "")</f>
        <v/>
      </c>
    </row>
    <row r="6031" spans="1:37" ht="16.05" customHeight="1">
      <c r="A6031" s="172" t="s">
        <v>5154</v>
      </c>
      <c r="B6031" s="178">
        <v>2117</v>
      </c>
      <c r="C6031" s="179" t="s">
        <v>2455</v>
      </c>
      <c r="D6031">
        <v>689</v>
      </c>
      <c r="E6031" s="125"/>
      <c r="F6031" s="178"/>
      <c r="G6031" s="178"/>
      <c r="H6031"/>
      <c r="I6031" s="178"/>
      <c r="J6031" s="320" t="s">
        <v>214</v>
      </c>
      <c r="K6031" s="178" t="s">
        <v>5167</v>
      </c>
      <c r="L6031" s="125" t="s">
        <v>1579</v>
      </c>
      <c r="M6031">
        <v>215</v>
      </c>
      <c r="N6031" s="182">
        <v>17</v>
      </c>
      <c r="O6031">
        <v>3960</v>
      </c>
      <c r="P6031" s="132" t="s">
        <v>77</v>
      </c>
      <c r="Q6031" s="176">
        <v>149.94999999999999</v>
      </c>
      <c r="R6031" s="176"/>
      <c r="S6031" s="176"/>
      <c r="T6031" s="190"/>
      <c r="U6031" s="191"/>
      <c r="V6031" s="191">
        <v>149.94999999999999</v>
      </c>
      <c r="W6031">
        <v>104</v>
      </c>
      <c r="X6031" s="186" t="s">
        <v>1644</v>
      </c>
      <c r="Y6031" s="187" t="s">
        <v>55</v>
      </c>
      <c r="Z6031" s="311">
        <v>248</v>
      </c>
      <c r="AB6031" t="str">
        <f>IF(Table1[[#This Row],[TIPO2]]="costo", VLOOKUP(Table1[[#This Row],[PARTIDA PRESUPUESTAL]],'Cost Report'!G:G,1,0),"Balance")</f>
        <v>2285-003</v>
      </c>
      <c r="AD6031" s="159">
        <f>+Table1[[#This Row],[SUBTOTAL]]+Table1[[#This Row],[IVA]]-Table1[[#This Row],[RET IVA]]-Table1[[#This Row],[RET ISR]]-Table1[[#This Row],[TOTAL]]</f>
        <v>0</v>
      </c>
      <c r="AG6031" t="s">
        <v>3420</v>
      </c>
      <c r="AK6031" s="306" t="str">
        <f>IF(ISNUMBER(Table1[[#This Row],[FECHA DE RECIBIDO]]), Table1[[#This Row],[FECHA DE RECIBIDO]]-DATE(2023,8,30), "")</f>
        <v/>
      </c>
    </row>
    <row r="6032" spans="1:37" ht="16.05" customHeight="1">
      <c r="A6032" s="172" t="s">
        <v>5154</v>
      </c>
      <c r="B6032" s="178">
        <v>2117</v>
      </c>
      <c r="C6032" s="179" t="s">
        <v>2455</v>
      </c>
      <c r="D6032">
        <v>689</v>
      </c>
      <c r="E6032" s="125"/>
      <c r="F6032" s="178"/>
      <c r="G6032" s="178"/>
      <c r="H6032"/>
      <c r="I6032" s="178"/>
      <c r="J6032" s="320" t="s">
        <v>214</v>
      </c>
      <c r="K6032" s="178" t="s">
        <v>5167</v>
      </c>
      <c r="L6032" s="125" t="s">
        <v>1579</v>
      </c>
      <c r="M6032">
        <v>215</v>
      </c>
      <c r="N6032" s="182">
        <v>17</v>
      </c>
      <c r="O6032">
        <v>3961</v>
      </c>
      <c r="P6032" s="132" t="s">
        <v>77</v>
      </c>
      <c r="Q6032" s="176">
        <v>154.71</v>
      </c>
      <c r="R6032" s="176"/>
      <c r="S6032" s="176"/>
      <c r="T6032" s="190"/>
      <c r="U6032" s="191"/>
      <c r="V6032" s="191">
        <v>154.71</v>
      </c>
      <c r="W6032">
        <v>104</v>
      </c>
      <c r="X6032" s="186" t="s">
        <v>1644</v>
      </c>
      <c r="Y6032" s="187" t="s">
        <v>55</v>
      </c>
      <c r="Z6032" s="311">
        <v>248</v>
      </c>
      <c r="AB6032" t="str">
        <f>IF(Table1[[#This Row],[TIPO2]]="costo", VLOOKUP(Table1[[#This Row],[PARTIDA PRESUPUESTAL]],'Cost Report'!G:G,1,0),"Balance")</f>
        <v>2285-003</v>
      </c>
      <c r="AD6032" s="159">
        <f>+Table1[[#This Row],[SUBTOTAL]]+Table1[[#This Row],[IVA]]-Table1[[#This Row],[RET IVA]]-Table1[[#This Row],[RET ISR]]-Table1[[#This Row],[TOTAL]]</f>
        <v>0</v>
      </c>
      <c r="AG6032" t="s">
        <v>3420</v>
      </c>
      <c r="AK6032" s="306" t="str">
        <f>IF(ISNUMBER(Table1[[#This Row],[FECHA DE RECIBIDO]]), Table1[[#This Row],[FECHA DE RECIBIDO]]-DATE(2023,8,30), "")</f>
        <v/>
      </c>
    </row>
    <row r="6033" spans="1:37" ht="16.05" customHeight="1">
      <c r="A6033" s="172" t="s">
        <v>5154</v>
      </c>
      <c r="B6033" s="178">
        <v>2117</v>
      </c>
      <c r="C6033" s="179" t="s">
        <v>2455</v>
      </c>
      <c r="D6033">
        <v>689</v>
      </c>
      <c r="E6033" s="125"/>
      <c r="F6033" s="178"/>
      <c r="G6033" s="178"/>
      <c r="H6033"/>
      <c r="I6033" s="178"/>
      <c r="J6033" s="320" t="s">
        <v>214</v>
      </c>
      <c r="K6033" s="178" t="s">
        <v>5167</v>
      </c>
      <c r="L6033" s="125" t="s">
        <v>1579</v>
      </c>
      <c r="M6033">
        <v>215</v>
      </c>
      <c r="N6033" s="182">
        <v>17</v>
      </c>
      <c r="O6033">
        <v>3962</v>
      </c>
      <c r="P6033" s="132" t="s">
        <v>77</v>
      </c>
      <c r="Q6033" s="176">
        <v>151.75</v>
      </c>
      <c r="R6033" s="176"/>
      <c r="S6033" s="176"/>
      <c r="T6033" s="190"/>
      <c r="U6033" s="191"/>
      <c r="V6033" s="191">
        <v>151.75</v>
      </c>
      <c r="W6033">
        <v>104</v>
      </c>
      <c r="X6033" s="186" t="s">
        <v>1644</v>
      </c>
      <c r="Y6033" s="187" t="s">
        <v>55</v>
      </c>
      <c r="Z6033" s="311">
        <v>247</v>
      </c>
      <c r="AB6033" t="str">
        <f>IF(Table1[[#This Row],[TIPO2]]="costo", VLOOKUP(Table1[[#This Row],[PARTIDA PRESUPUESTAL]],'Cost Report'!G:G,1,0),"Balance")</f>
        <v>2285-003</v>
      </c>
      <c r="AD6033" s="159">
        <f>+Table1[[#This Row],[SUBTOTAL]]+Table1[[#This Row],[IVA]]-Table1[[#This Row],[RET IVA]]-Table1[[#This Row],[RET ISR]]-Table1[[#This Row],[TOTAL]]</f>
        <v>0</v>
      </c>
      <c r="AG6033" t="s">
        <v>3420</v>
      </c>
      <c r="AK6033" s="306" t="str">
        <f>IF(ISNUMBER(Table1[[#This Row],[FECHA DE RECIBIDO]]), Table1[[#This Row],[FECHA DE RECIBIDO]]-DATE(2023,8,30), "")</f>
        <v/>
      </c>
    </row>
    <row r="6034" spans="1:37" ht="16.05" customHeight="1">
      <c r="A6034" s="172" t="s">
        <v>5154</v>
      </c>
      <c r="B6034" s="178">
        <v>2117</v>
      </c>
      <c r="C6034" s="179" t="s">
        <v>2455</v>
      </c>
      <c r="D6034">
        <v>689</v>
      </c>
      <c r="E6034" s="125"/>
      <c r="F6034" s="178"/>
      <c r="G6034" s="178"/>
      <c r="H6034"/>
      <c r="I6034" s="178"/>
      <c r="J6034" s="320" t="s">
        <v>214</v>
      </c>
      <c r="K6034" s="178" t="s">
        <v>5167</v>
      </c>
      <c r="L6034" s="125" t="s">
        <v>1579</v>
      </c>
      <c r="M6034">
        <v>215</v>
      </c>
      <c r="N6034" s="182">
        <v>17</v>
      </c>
      <c r="O6034">
        <v>3963</v>
      </c>
      <c r="P6034" s="132" t="s">
        <v>77</v>
      </c>
      <c r="Q6034" s="176">
        <v>46.32</v>
      </c>
      <c r="R6034" s="176"/>
      <c r="S6034" s="176"/>
      <c r="T6034" s="190"/>
      <c r="U6034" s="191"/>
      <c r="V6034" s="191">
        <v>46.32</v>
      </c>
      <c r="W6034">
        <v>104</v>
      </c>
      <c r="X6034" s="186" t="s">
        <v>1644</v>
      </c>
      <c r="Y6034" s="187" t="s">
        <v>55</v>
      </c>
      <c r="Z6034" s="311">
        <v>247</v>
      </c>
      <c r="AB6034" t="str">
        <f>IF(Table1[[#This Row],[TIPO2]]="costo", VLOOKUP(Table1[[#This Row],[PARTIDA PRESUPUESTAL]],'Cost Report'!G:G,1,0),"Balance")</f>
        <v>2285-003</v>
      </c>
      <c r="AD6034" s="159">
        <f>+Table1[[#This Row],[SUBTOTAL]]+Table1[[#This Row],[IVA]]-Table1[[#This Row],[RET IVA]]-Table1[[#This Row],[RET ISR]]-Table1[[#This Row],[TOTAL]]</f>
        <v>0</v>
      </c>
      <c r="AG6034" t="s">
        <v>3420</v>
      </c>
      <c r="AK6034" s="306" t="str">
        <f>IF(ISNUMBER(Table1[[#This Row],[FECHA DE RECIBIDO]]), Table1[[#This Row],[FECHA DE RECIBIDO]]-DATE(2023,8,30), "")</f>
        <v/>
      </c>
    </row>
    <row r="6035" spans="1:37" ht="16.05" customHeight="1">
      <c r="A6035" s="172" t="s">
        <v>5154</v>
      </c>
      <c r="B6035" s="178">
        <v>2117</v>
      </c>
      <c r="C6035" s="179" t="s">
        <v>2455</v>
      </c>
      <c r="D6035">
        <v>689</v>
      </c>
      <c r="E6035" s="125"/>
      <c r="F6035" s="178"/>
      <c r="G6035" s="178"/>
      <c r="H6035"/>
      <c r="I6035" s="178"/>
      <c r="J6035" s="320" t="s">
        <v>214</v>
      </c>
      <c r="K6035" s="178" t="s">
        <v>5167</v>
      </c>
      <c r="L6035" s="125" t="s">
        <v>1579</v>
      </c>
      <c r="M6035">
        <v>215</v>
      </c>
      <c r="N6035" s="182">
        <v>17</v>
      </c>
      <c r="O6035">
        <v>3964</v>
      </c>
      <c r="P6035" s="132" t="s">
        <v>77</v>
      </c>
      <c r="Q6035" s="176">
        <v>99.9</v>
      </c>
      <c r="R6035" s="176"/>
      <c r="S6035" s="176"/>
      <c r="T6035" s="190"/>
      <c r="U6035" s="191"/>
      <c r="V6035" s="191">
        <v>99.9</v>
      </c>
      <c r="W6035">
        <v>104</v>
      </c>
      <c r="X6035" s="186" t="s">
        <v>1644</v>
      </c>
      <c r="Y6035" s="187" t="s">
        <v>55</v>
      </c>
      <c r="Z6035" s="311">
        <v>247</v>
      </c>
      <c r="AB6035" t="str">
        <f>IF(Table1[[#This Row],[TIPO2]]="costo", VLOOKUP(Table1[[#This Row],[PARTIDA PRESUPUESTAL]],'Cost Report'!G:G,1,0),"Balance")</f>
        <v>2285-003</v>
      </c>
      <c r="AD6035" s="159">
        <f>+Table1[[#This Row],[SUBTOTAL]]+Table1[[#This Row],[IVA]]-Table1[[#This Row],[RET IVA]]-Table1[[#This Row],[RET ISR]]-Table1[[#This Row],[TOTAL]]</f>
        <v>0</v>
      </c>
      <c r="AG6035" t="s">
        <v>3420</v>
      </c>
      <c r="AK6035" s="306" t="str">
        <f>IF(ISNUMBER(Table1[[#This Row],[FECHA DE RECIBIDO]]), Table1[[#This Row],[FECHA DE RECIBIDO]]-DATE(2023,8,30), "")</f>
        <v/>
      </c>
    </row>
    <row r="6036" spans="1:37" ht="16.05" customHeight="1">
      <c r="A6036" s="172" t="s">
        <v>5154</v>
      </c>
      <c r="B6036" s="178">
        <v>2117</v>
      </c>
      <c r="C6036" s="179" t="s">
        <v>2455</v>
      </c>
      <c r="D6036">
        <v>689</v>
      </c>
      <c r="E6036" s="125"/>
      <c r="F6036" s="178"/>
      <c r="G6036" s="178"/>
      <c r="H6036"/>
      <c r="I6036" s="178"/>
      <c r="J6036" s="320" t="s">
        <v>214</v>
      </c>
      <c r="K6036" s="178" t="s">
        <v>5167</v>
      </c>
      <c r="L6036" s="125" t="s">
        <v>1579</v>
      </c>
      <c r="M6036">
        <v>215</v>
      </c>
      <c r="N6036" s="182">
        <v>17</v>
      </c>
      <c r="O6036">
        <v>3956</v>
      </c>
      <c r="P6036" s="132" t="s">
        <v>77</v>
      </c>
      <c r="Q6036" s="176">
        <v>99.94</v>
      </c>
      <c r="R6036" s="176"/>
      <c r="S6036" s="176"/>
      <c r="T6036" s="190"/>
      <c r="U6036" s="191"/>
      <c r="V6036" s="191">
        <v>99.94</v>
      </c>
      <c r="W6036">
        <v>104</v>
      </c>
      <c r="X6036" s="186" t="s">
        <v>1644</v>
      </c>
      <c r="Y6036" s="187" t="s">
        <v>55</v>
      </c>
      <c r="Z6036" s="311">
        <v>246</v>
      </c>
      <c r="AB6036" t="str">
        <f>IF(Table1[[#This Row],[TIPO2]]="costo", VLOOKUP(Table1[[#This Row],[PARTIDA PRESUPUESTAL]],'Cost Report'!G:G,1,0),"Balance")</f>
        <v>2285-003</v>
      </c>
      <c r="AD6036" s="159">
        <f>+Table1[[#This Row],[SUBTOTAL]]+Table1[[#This Row],[IVA]]-Table1[[#This Row],[RET IVA]]-Table1[[#This Row],[RET ISR]]-Table1[[#This Row],[TOTAL]]</f>
        <v>0</v>
      </c>
      <c r="AG6036" t="s">
        <v>3420</v>
      </c>
      <c r="AK6036" s="306" t="str">
        <f>IF(ISNUMBER(Table1[[#This Row],[FECHA DE RECIBIDO]]), Table1[[#This Row],[FECHA DE RECIBIDO]]-DATE(2023,8,30), "")</f>
        <v/>
      </c>
    </row>
    <row r="6037" spans="1:37" ht="16.05" customHeight="1">
      <c r="A6037" s="172" t="s">
        <v>5154</v>
      </c>
      <c r="B6037" s="178">
        <v>2117</v>
      </c>
      <c r="C6037" s="179" t="s">
        <v>2455</v>
      </c>
      <c r="D6037">
        <v>689</v>
      </c>
      <c r="E6037" s="125"/>
      <c r="F6037" s="178"/>
      <c r="G6037" s="178"/>
      <c r="H6037"/>
      <c r="I6037" s="178"/>
      <c r="J6037" s="320" t="s">
        <v>214</v>
      </c>
      <c r="K6037" s="178" t="s">
        <v>5167</v>
      </c>
      <c r="L6037" s="125" t="s">
        <v>1579</v>
      </c>
      <c r="M6037">
        <v>215</v>
      </c>
      <c r="N6037" s="182">
        <v>17</v>
      </c>
      <c r="O6037">
        <v>3965</v>
      </c>
      <c r="P6037" s="132" t="s">
        <v>77</v>
      </c>
      <c r="Q6037" s="176">
        <v>119.95</v>
      </c>
      <c r="R6037" s="176"/>
      <c r="S6037" s="176"/>
      <c r="T6037" s="190"/>
      <c r="U6037" s="191"/>
      <c r="V6037" s="191">
        <v>119.95</v>
      </c>
      <c r="W6037">
        <v>104</v>
      </c>
      <c r="X6037" s="186" t="s">
        <v>1644</v>
      </c>
      <c r="Y6037" s="187" t="s">
        <v>55</v>
      </c>
      <c r="Z6037" s="311">
        <v>244</v>
      </c>
      <c r="AB6037" t="str">
        <f>IF(Table1[[#This Row],[TIPO2]]="costo", VLOOKUP(Table1[[#This Row],[PARTIDA PRESUPUESTAL]],'Cost Report'!G:G,1,0),"Balance")</f>
        <v>2285-003</v>
      </c>
      <c r="AD6037" s="159">
        <f>+Table1[[#This Row],[SUBTOTAL]]+Table1[[#This Row],[IVA]]-Table1[[#This Row],[RET IVA]]-Table1[[#This Row],[RET ISR]]-Table1[[#This Row],[TOTAL]]</f>
        <v>0</v>
      </c>
      <c r="AG6037" t="s">
        <v>3420</v>
      </c>
      <c r="AK6037" s="306" t="str">
        <f>IF(ISNUMBER(Table1[[#This Row],[FECHA DE RECIBIDO]]), Table1[[#This Row],[FECHA DE RECIBIDO]]-DATE(2023,8,30), "")</f>
        <v/>
      </c>
    </row>
    <row r="6038" spans="1:37" ht="16.05" customHeight="1">
      <c r="A6038" s="172" t="s">
        <v>5154</v>
      </c>
      <c r="B6038" s="178">
        <v>2117</v>
      </c>
      <c r="C6038" s="179" t="s">
        <v>2455</v>
      </c>
      <c r="D6038">
        <v>689</v>
      </c>
      <c r="E6038" s="125"/>
      <c r="F6038" s="178"/>
      <c r="G6038" s="178"/>
      <c r="H6038"/>
      <c r="I6038" s="178"/>
      <c r="J6038" s="320" t="s">
        <v>214</v>
      </c>
      <c r="K6038" s="178" t="s">
        <v>5167</v>
      </c>
      <c r="L6038" s="125" t="s">
        <v>1579</v>
      </c>
      <c r="M6038">
        <v>215</v>
      </c>
      <c r="N6038" s="182">
        <v>17</v>
      </c>
      <c r="O6038">
        <v>3960</v>
      </c>
      <c r="P6038" s="132" t="s">
        <v>77</v>
      </c>
      <c r="Q6038" s="176">
        <v>169.91</v>
      </c>
      <c r="R6038" s="176"/>
      <c r="S6038" s="176"/>
      <c r="T6038" s="190"/>
      <c r="U6038" s="191"/>
      <c r="V6038" s="191">
        <v>169.91</v>
      </c>
      <c r="W6038">
        <v>104</v>
      </c>
      <c r="X6038" s="186" t="s">
        <v>1644</v>
      </c>
      <c r="Y6038" s="187" t="s">
        <v>55</v>
      </c>
      <c r="Z6038" s="311">
        <v>243</v>
      </c>
      <c r="AB6038" t="str">
        <f>IF(Table1[[#This Row],[TIPO2]]="costo", VLOOKUP(Table1[[#This Row],[PARTIDA PRESUPUESTAL]],'Cost Report'!G:G,1,0),"Balance")</f>
        <v>2285-003</v>
      </c>
      <c r="AD6038" s="159">
        <f>+Table1[[#This Row],[SUBTOTAL]]+Table1[[#This Row],[IVA]]-Table1[[#This Row],[RET IVA]]-Table1[[#This Row],[RET ISR]]-Table1[[#This Row],[TOTAL]]</f>
        <v>0</v>
      </c>
      <c r="AG6038" t="s">
        <v>3420</v>
      </c>
      <c r="AK6038" s="306" t="str">
        <f>IF(ISNUMBER(Table1[[#This Row],[FECHA DE RECIBIDO]]), Table1[[#This Row],[FECHA DE RECIBIDO]]-DATE(2023,8,30), "")</f>
        <v/>
      </c>
    </row>
    <row r="6039" spans="1:37" ht="16.05" customHeight="1">
      <c r="A6039" s="172" t="s">
        <v>5155</v>
      </c>
      <c r="B6039" s="178">
        <v>2118</v>
      </c>
      <c r="C6039" s="179" t="s">
        <v>2455</v>
      </c>
      <c r="D6039">
        <v>689</v>
      </c>
      <c r="E6039" s="125"/>
      <c r="F6039" s="178"/>
      <c r="G6039" s="178"/>
      <c r="H6039"/>
      <c r="I6039" s="178"/>
      <c r="J6039" s="320" t="s">
        <v>214</v>
      </c>
      <c r="K6039" s="178" t="s">
        <v>5167</v>
      </c>
      <c r="L6039" s="125" t="s">
        <v>1579</v>
      </c>
      <c r="M6039">
        <v>215</v>
      </c>
      <c r="N6039" s="182">
        <v>17</v>
      </c>
      <c r="O6039">
        <v>3966</v>
      </c>
      <c r="P6039" s="132" t="s">
        <v>77</v>
      </c>
      <c r="Q6039" s="176">
        <v>84.32</v>
      </c>
      <c r="R6039" s="176"/>
      <c r="S6039" s="176"/>
      <c r="T6039" s="190"/>
      <c r="U6039" s="191"/>
      <c r="V6039" s="191">
        <v>84.32</v>
      </c>
      <c r="W6039">
        <v>104</v>
      </c>
      <c r="X6039" s="186" t="s">
        <v>1644</v>
      </c>
      <c r="Y6039" s="187" t="s">
        <v>55</v>
      </c>
      <c r="Z6039" s="311">
        <v>243</v>
      </c>
      <c r="AB6039" t="str">
        <f>IF(Table1[[#This Row],[TIPO2]]="costo", VLOOKUP(Table1[[#This Row],[PARTIDA PRESUPUESTAL]],'Cost Report'!G:G,1,0),"Balance")</f>
        <v>2285-003</v>
      </c>
      <c r="AD6039" s="159">
        <f>+Table1[[#This Row],[SUBTOTAL]]+Table1[[#This Row],[IVA]]-Table1[[#This Row],[RET IVA]]-Table1[[#This Row],[RET ISR]]-Table1[[#This Row],[TOTAL]]</f>
        <v>0</v>
      </c>
      <c r="AG6039" t="s">
        <v>3420</v>
      </c>
      <c r="AK6039" s="306" t="str">
        <f>IF(ISNUMBER(Table1[[#This Row],[FECHA DE RECIBIDO]]), Table1[[#This Row],[FECHA DE RECIBIDO]]-DATE(2023,8,30), "")</f>
        <v/>
      </c>
    </row>
    <row r="6040" spans="1:37" ht="16.05" customHeight="1">
      <c r="A6040" s="172" t="s">
        <v>5155</v>
      </c>
      <c r="B6040" s="178">
        <v>2118</v>
      </c>
      <c r="C6040" s="179" t="s">
        <v>2455</v>
      </c>
      <c r="D6040">
        <v>689</v>
      </c>
      <c r="E6040" s="125"/>
      <c r="F6040" s="178"/>
      <c r="G6040" s="178"/>
      <c r="H6040"/>
      <c r="I6040" s="178"/>
      <c r="J6040" s="320" t="s">
        <v>214</v>
      </c>
      <c r="K6040" s="178" t="s">
        <v>5167</v>
      </c>
      <c r="L6040" s="125" t="s">
        <v>1579</v>
      </c>
      <c r="M6040">
        <v>215</v>
      </c>
      <c r="N6040" s="182">
        <v>17</v>
      </c>
      <c r="O6040">
        <v>3956</v>
      </c>
      <c r="P6040" s="132" t="s">
        <v>77</v>
      </c>
      <c r="Q6040" s="176">
        <v>99.95</v>
      </c>
      <c r="R6040" s="176"/>
      <c r="S6040" s="176"/>
      <c r="T6040" s="190"/>
      <c r="U6040" s="191"/>
      <c r="V6040" s="191">
        <v>99.95</v>
      </c>
      <c r="W6040">
        <v>104</v>
      </c>
      <c r="X6040" s="186" t="s">
        <v>1644</v>
      </c>
      <c r="Y6040" s="187" t="s">
        <v>55</v>
      </c>
      <c r="Z6040" s="311">
        <v>243</v>
      </c>
      <c r="AB6040" t="str">
        <f>IF(Table1[[#This Row],[TIPO2]]="costo", VLOOKUP(Table1[[#This Row],[PARTIDA PRESUPUESTAL]],'Cost Report'!G:G,1,0),"Balance")</f>
        <v>2285-003</v>
      </c>
      <c r="AD6040" s="159">
        <f>+Table1[[#This Row],[SUBTOTAL]]+Table1[[#This Row],[IVA]]-Table1[[#This Row],[RET IVA]]-Table1[[#This Row],[RET ISR]]-Table1[[#This Row],[TOTAL]]</f>
        <v>0</v>
      </c>
      <c r="AG6040" t="s">
        <v>3420</v>
      </c>
      <c r="AK6040" s="306" t="str">
        <f>IF(ISNUMBER(Table1[[#This Row],[FECHA DE RECIBIDO]]), Table1[[#This Row],[FECHA DE RECIBIDO]]-DATE(2023,8,30), "")</f>
        <v/>
      </c>
    </row>
    <row r="6041" spans="1:37" ht="16.05" customHeight="1">
      <c r="A6041" s="172" t="s">
        <v>5155</v>
      </c>
      <c r="B6041" s="178">
        <v>2118</v>
      </c>
      <c r="C6041" s="179" t="s">
        <v>2455</v>
      </c>
      <c r="D6041">
        <v>689</v>
      </c>
      <c r="E6041" s="125"/>
      <c r="F6041" s="178"/>
      <c r="G6041" s="178"/>
      <c r="H6041"/>
      <c r="I6041" s="178"/>
      <c r="J6041" s="320" t="s">
        <v>214</v>
      </c>
      <c r="K6041" s="178" t="s">
        <v>5167</v>
      </c>
      <c r="L6041" s="125" t="s">
        <v>1579</v>
      </c>
      <c r="M6041">
        <v>215</v>
      </c>
      <c r="N6041" s="182">
        <v>17</v>
      </c>
      <c r="O6041">
        <v>3956</v>
      </c>
      <c r="P6041" s="132" t="s">
        <v>77</v>
      </c>
      <c r="Q6041" s="176">
        <v>89.9</v>
      </c>
      <c r="R6041" s="176"/>
      <c r="S6041" s="176"/>
      <c r="T6041" s="190"/>
      <c r="U6041" s="191"/>
      <c r="V6041" s="191">
        <v>89.9</v>
      </c>
      <c r="W6041">
        <v>104</v>
      </c>
      <c r="X6041" s="186" t="s">
        <v>1644</v>
      </c>
      <c r="Y6041" s="187" t="s">
        <v>55</v>
      </c>
      <c r="Z6041" s="311">
        <v>241</v>
      </c>
      <c r="AB6041" t="str">
        <f>IF(Table1[[#This Row],[TIPO2]]="costo", VLOOKUP(Table1[[#This Row],[PARTIDA PRESUPUESTAL]],'Cost Report'!G:G,1,0),"Balance")</f>
        <v>2285-003</v>
      </c>
      <c r="AD6041" s="159">
        <f>+Table1[[#This Row],[SUBTOTAL]]+Table1[[#This Row],[IVA]]-Table1[[#This Row],[RET IVA]]-Table1[[#This Row],[RET ISR]]-Table1[[#This Row],[TOTAL]]</f>
        <v>0</v>
      </c>
      <c r="AG6041" t="s">
        <v>3420</v>
      </c>
      <c r="AK6041" s="306" t="str">
        <f>IF(ISNUMBER(Table1[[#This Row],[FECHA DE RECIBIDO]]), Table1[[#This Row],[FECHA DE RECIBIDO]]-DATE(2023,8,30), "")</f>
        <v/>
      </c>
    </row>
    <row r="6042" spans="1:37" ht="16.05" customHeight="1">
      <c r="A6042" s="172" t="s">
        <v>5155</v>
      </c>
      <c r="B6042" s="178">
        <v>2118</v>
      </c>
      <c r="C6042" s="179" t="s">
        <v>2455</v>
      </c>
      <c r="D6042">
        <v>689</v>
      </c>
      <c r="E6042" s="125"/>
      <c r="F6042" s="178"/>
      <c r="G6042" s="178"/>
      <c r="H6042"/>
      <c r="I6042" s="178"/>
      <c r="J6042" s="320" t="s">
        <v>214</v>
      </c>
      <c r="K6042" s="178" t="s">
        <v>5167</v>
      </c>
      <c r="L6042" s="125" t="s">
        <v>1579</v>
      </c>
      <c r="M6042">
        <v>215</v>
      </c>
      <c r="N6042" s="182">
        <v>17</v>
      </c>
      <c r="O6042">
        <v>3967</v>
      </c>
      <c r="P6042" s="132" t="s">
        <v>77</v>
      </c>
      <c r="Q6042" s="176">
        <v>34.89</v>
      </c>
      <c r="R6042" s="176"/>
      <c r="S6042" s="176"/>
      <c r="T6042" s="190"/>
      <c r="U6042" s="191"/>
      <c r="V6042" s="191">
        <v>34.89</v>
      </c>
      <c r="W6042">
        <v>104</v>
      </c>
      <c r="X6042" s="186" t="s">
        <v>1644</v>
      </c>
      <c r="Y6042" s="187" t="s">
        <v>55</v>
      </c>
      <c r="Z6042" s="311">
        <v>244</v>
      </c>
      <c r="AB6042" t="str">
        <f>IF(Table1[[#This Row],[TIPO2]]="costo", VLOOKUP(Table1[[#This Row],[PARTIDA PRESUPUESTAL]],'Cost Report'!G:G,1,0),"Balance")</f>
        <v>2285-003</v>
      </c>
      <c r="AD6042" s="159">
        <f>+Table1[[#This Row],[SUBTOTAL]]+Table1[[#This Row],[IVA]]-Table1[[#This Row],[RET IVA]]-Table1[[#This Row],[RET ISR]]-Table1[[#This Row],[TOTAL]]</f>
        <v>0</v>
      </c>
      <c r="AG6042" t="s">
        <v>3420</v>
      </c>
      <c r="AK6042" s="306" t="str">
        <f>IF(ISNUMBER(Table1[[#This Row],[FECHA DE RECIBIDO]]), Table1[[#This Row],[FECHA DE RECIBIDO]]-DATE(2023,8,30), "")</f>
        <v/>
      </c>
    </row>
    <row r="6043" spans="1:37" ht="16.05" customHeight="1">
      <c r="A6043" s="172" t="s">
        <v>5155</v>
      </c>
      <c r="B6043" s="178">
        <v>2118</v>
      </c>
      <c r="C6043" s="179" t="s">
        <v>2455</v>
      </c>
      <c r="D6043">
        <v>689</v>
      </c>
      <c r="E6043" s="125"/>
      <c r="F6043" s="178"/>
      <c r="G6043" s="178"/>
      <c r="H6043"/>
      <c r="I6043" s="178"/>
      <c r="J6043" s="320" t="s">
        <v>214</v>
      </c>
      <c r="K6043" s="178" t="s">
        <v>5167</v>
      </c>
      <c r="L6043" s="125" t="s">
        <v>1579</v>
      </c>
      <c r="M6043">
        <v>215</v>
      </c>
      <c r="N6043" s="182">
        <v>17</v>
      </c>
      <c r="O6043">
        <v>3968</v>
      </c>
      <c r="P6043" s="132" t="s">
        <v>77</v>
      </c>
      <c r="Q6043" s="176">
        <v>109.99</v>
      </c>
      <c r="R6043" s="176"/>
      <c r="S6043" s="176"/>
      <c r="T6043" s="190"/>
      <c r="U6043" s="191"/>
      <c r="V6043" s="191">
        <v>109.99</v>
      </c>
      <c r="W6043">
        <v>104</v>
      </c>
      <c r="X6043" s="186" t="s">
        <v>1644</v>
      </c>
      <c r="Y6043" s="187" t="s">
        <v>55</v>
      </c>
      <c r="Z6043" s="311">
        <v>234</v>
      </c>
      <c r="AB6043" t="str">
        <f>IF(Table1[[#This Row],[TIPO2]]="costo", VLOOKUP(Table1[[#This Row],[PARTIDA PRESUPUESTAL]],'Cost Report'!G:G,1,0),"Balance")</f>
        <v>2285-003</v>
      </c>
      <c r="AD6043" s="159">
        <f>+Table1[[#This Row],[SUBTOTAL]]+Table1[[#This Row],[IVA]]-Table1[[#This Row],[RET IVA]]-Table1[[#This Row],[RET ISR]]-Table1[[#This Row],[TOTAL]]</f>
        <v>0</v>
      </c>
      <c r="AG6043" t="s">
        <v>3420</v>
      </c>
      <c r="AK6043" s="306" t="str">
        <f>IF(ISNUMBER(Table1[[#This Row],[FECHA DE RECIBIDO]]), Table1[[#This Row],[FECHA DE RECIBIDO]]-DATE(2023,8,30), "")</f>
        <v/>
      </c>
    </row>
    <row r="6044" spans="1:37" ht="16.05" customHeight="1">
      <c r="A6044" s="172" t="s">
        <v>5155</v>
      </c>
      <c r="B6044" s="178">
        <v>2118</v>
      </c>
      <c r="C6044" s="179" t="s">
        <v>2455</v>
      </c>
      <c r="D6044">
        <v>689</v>
      </c>
      <c r="E6044" s="125"/>
      <c r="F6044" s="178"/>
      <c r="G6044" s="178"/>
      <c r="H6044"/>
      <c r="I6044" s="178"/>
      <c r="J6044" s="320" t="s">
        <v>214</v>
      </c>
      <c r="K6044" s="178" t="s">
        <v>5167</v>
      </c>
      <c r="L6044" s="125" t="s">
        <v>1579</v>
      </c>
      <c r="M6044">
        <v>215</v>
      </c>
      <c r="N6044" s="182">
        <v>17</v>
      </c>
      <c r="O6044">
        <v>3969</v>
      </c>
      <c r="P6044" s="132" t="s">
        <v>77</v>
      </c>
      <c r="Q6044" s="176">
        <v>137.25</v>
      </c>
      <c r="R6044" s="176"/>
      <c r="S6044" s="176"/>
      <c r="T6044" s="190"/>
      <c r="U6044" s="191"/>
      <c r="V6044" s="191">
        <v>137.25</v>
      </c>
      <c r="W6044">
        <v>104</v>
      </c>
      <c r="X6044" s="186" t="s">
        <v>1644</v>
      </c>
      <c r="Y6044" s="187" t="s">
        <v>55</v>
      </c>
      <c r="Z6044" s="311">
        <v>237</v>
      </c>
      <c r="AB6044" t="str">
        <f>IF(Table1[[#This Row],[TIPO2]]="costo", VLOOKUP(Table1[[#This Row],[PARTIDA PRESUPUESTAL]],'Cost Report'!G:G,1,0),"Balance")</f>
        <v>2285-003</v>
      </c>
      <c r="AD6044" s="159">
        <f>+Table1[[#This Row],[SUBTOTAL]]+Table1[[#This Row],[IVA]]-Table1[[#This Row],[RET IVA]]-Table1[[#This Row],[RET ISR]]-Table1[[#This Row],[TOTAL]]</f>
        <v>0</v>
      </c>
      <c r="AG6044" t="s">
        <v>3420</v>
      </c>
      <c r="AK6044" s="306" t="str">
        <f>IF(ISNUMBER(Table1[[#This Row],[FECHA DE RECIBIDO]]), Table1[[#This Row],[FECHA DE RECIBIDO]]-DATE(2023,8,30), "")</f>
        <v/>
      </c>
    </row>
    <row r="6045" spans="1:37" ht="16.05" customHeight="1">
      <c r="A6045" s="172" t="s">
        <v>5156</v>
      </c>
      <c r="B6045" s="178">
        <v>2119</v>
      </c>
      <c r="C6045" s="179" t="s">
        <v>2455</v>
      </c>
      <c r="D6045">
        <v>689</v>
      </c>
      <c r="E6045" s="125"/>
      <c r="F6045" s="178"/>
      <c r="G6045" s="178"/>
      <c r="H6045"/>
      <c r="I6045" s="178"/>
      <c r="J6045" s="320" t="s">
        <v>214</v>
      </c>
      <c r="K6045" s="178" t="s">
        <v>5167</v>
      </c>
      <c r="L6045" s="125" t="s">
        <v>1579</v>
      </c>
      <c r="M6045"/>
      <c r="N6045" s="182">
        <v>17</v>
      </c>
      <c r="O6045">
        <v>3970</v>
      </c>
      <c r="P6045" s="132" t="s">
        <v>77</v>
      </c>
      <c r="Q6045" s="176">
        <v>1000</v>
      </c>
      <c r="R6045" s="176"/>
      <c r="S6045" s="176"/>
      <c r="T6045" s="190"/>
      <c r="U6045" s="191"/>
      <c r="V6045" s="191">
        <v>1000</v>
      </c>
      <c r="W6045">
        <v>104</v>
      </c>
      <c r="X6045" s="186" t="s">
        <v>1644</v>
      </c>
      <c r="Y6045" s="187" t="s">
        <v>55</v>
      </c>
      <c r="Z6045" s="311">
        <v>271</v>
      </c>
      <c r="AB6045" t="str">
        <f>IF(Table1[[#This Row],[TIPO2]]="costo", VLOOKUP(Table1[[#This Row],[PARTIDA PRESUPUESTAL]],'Cost Report'!G:G,1,0),"Balance")</f>
        <v>2285-003</v>
      </c>
      <c r="AD6045" s="159">
        <f>+Table1[[#This Row],[SUBTOTAL]]+Table1[[#This Row],[IVA]]-Table1[[#This Row],[RET IVA]]-Table1[[#This Row],[RET ISR]]-Table1[[#This Row],[TOTAL]]</f>
        <v>0</v>
      </c>
      <c r="AG6045" t="s">
        <v>3420</v>
      </c>
      <c r="AK6045" s="306" t="str">
        <f>IF(ISNUMBER(Table1[[#This Row],[FECHA DE RECIBIDO]]), Table1[[#This Row],[FECHA DE RECIBIDO]]-DATE(2023,8,30), "")</f>
        <v/>
      </c>
    </row>
    <row r="6046" spans="1:37" ht="16.05" customHeight="1">
      <c r="A6046" s="172" t="s">
        <v>5157</v>
      </c>
      <c r="B6046" s="178">
        <v>2120</v>
      </c>
      <c r="C6046" s="179" t="s">
        <v>610</v>
      </c>
      <c r="D6046">
        <v>4133</v>
      </c>
      <c r="E6046" s="125" t="s">
        <v>1612</v>
      </c>
      <c r="F6046" s="178">
        <v>612</v>
      </c>
      <c r="G6046" s="178" t="s">
        <v>129</v>
      </c>
      <c r="H6046">
        <v>1001</v>
      </c>
      <c r="I6046" s="178" t="s">
        <v>1546</v>
      </c>
      <c r="J6046" s="320" t="s">
        <v>214</v>
      </c>
      <c r="K6046" s="178" t="s">
        <v>5167</v>
      </c>
      <c r="L6046" s="125" t="s">
        <v>1579</v>
      </c>
      <c r="M6046">
        <v>1388</v>
      </c>
      <c r="N6046" s="182">
        <v>17</v>
      </c>
      <c r="O6046">
        <v>3971</v>
      </c>
      <c r="P6046" s="132" t="s">
        <v>77</v>
      </c>
      <c r="Q6046" s="176">
        <v>1139.67</v>
      </c>
      <c r="R6046" s="176">
        <v>182.33</v>
      </c>
      <c r="S6046" s="176"/>
      <c r="T6046" s="190"/>
      <c r="U6046" s="191"/>
      <c r="V6046" s="191">
        <v>1322</v>
      </c>
      <c r="W6046">
        <v>166</v>
      </c>
      <c r="X6046" s="186" t="s">
        <v>1644</v>
      </c>
      <c r="Y6046" s="187" t="s">
        <v>55</v>
      </c>
      <c r="Z6046" s="311">
        <v>273</v>
      </c>
      <c r="AB6046" t="str">
        <f>IF(Table1[[#This Row],[TIPO2]]="costo", VLOOKUP(Table1[[#This Row],[PARTIDA PRESUPUESTAL]],'Cost Report'!G:G,1,0),"Balance")</f>
        <v>2485-003</v>
      </c>
      <c r="AD6046" s="159">
        <f>+Table1[[#This Row],[SUBTOTAL]]+Table1[[#This Row],[IVA]]-Table1[[#This Row],[RET IVA]]-Table1[[#This Row],[RET ISR]]-Table1[[#This Row],[TOTAL]]</f>
        <v>0</v>
      </c>
      <c r="AG6046" t="s">
        <v>3420</v>
      </c>
      <c r="AK6046" s="306" t="str">
        <f>IF(ISNUMBER(Table1[[#This Row],[FECHA DE RECIBIDO]]), Table1[[#This Row],[FECHA DE RECIBIDO]]-DATE(2023,8,30), "")</f>
        <v/>
      </c>
    </row>
    <row r="6047" spans="1:37" ht="16.05" customHeight="1">
      <c r="A6047" s="172" t="s">
        <v>5157</v>
      </c>
      <c r="B6047" s="178">
        <v>2120</v>
      </c>
      <c r="C6047" s="179" t="s">
        <v>2532</v>
      </c>
      <c r="D6047">
        <v>4134</v>
      </c>
      <c r="E6047" s="125" t="s">
        <v>3137</v>
      </c>
      <c r="F6047" s="178">
        <v>601</v>
      </c>
      <c r="G6047" s="178" t="s">
        <v>134</v>
      </c>
      <c r="H6047">
        <v>1002</v>
      </c>
      <c r="I6047" s="178" t="s">
        <v>1546</v>
      </c>
      <c r="J6047" s="320" t="s">
        <v>214</v>
      </c>
      <c r="K6047" s="178" t="s">
        <v>5167</v>
      </c>
      <c r="L6047" s="125" t="s">
        <v>1579</v>
      </c>
      <c r="M6047">
        <v>1389</v>
      </c>
      <c r="N6047" s="182">
        <v>17</v>
      </c>
      <c r="O6047">
        <v>3972</v>
      </c>
      <c r="P6047" s="132" t="s">
        <v>77</v>
      </c>
      <c r="Q6047" s="176">
        <v>793.11</v>
      </c>
      <c r="R6047" s="176">
        <v>126.89</v>
      </c>
      <c r="S6047" s="176"/>
      <c r="T6047" s="190"/>
      <c r="U6047" s="191"/>
      <c r="V6047" s="191">
        <v>920</v>
      </c>
      <c r="W6047">
        <v>166</v>
      </c>
      <c r="X6047" s="186" t="s">
        <v>1644</v>
      </c>
      <c r="Y6047" s="187" t="s">
        <v>55</v>
      </c>
      <c r="Z6047" s="311">
        <v>265</v>
      </c>
      <c r="AB6047" t="str">
        <f>IF(Table1[[#This Row],[TIPO2]]="costo", VLOOKUP(Table1[[#This Row],[PARTIDA PRESUPUESTAL]],'Cost Report'!G:G,1,0),"Balance")</f>
        <v>2494-043</v>
      </c>
      <c r="AD6047" s="159">
        <f>+Table1[[#This Row],[SUBTOTAL]]+Table1[[#This Row],[IVA]]-Table1[[#This Row],[RET IVA]]-Table1[[#This Row],[RET ISR]]-Table1[[#This Row],[TOTAL]]</f>
        <v>0</v>
      </c>
      <c r="AG6047" t="s">
        <v>3420</v>
      </c>
      <c r="AK6047" s="306" t="str">
        <f>IF(ISNUMBER(Table1[[#This Row],[FECHA DE RECIBIDO]]), Table1[[#This Row],[FECHA DE RECIBIDO]]-DATE(2023,8,30), "")</f>
        <v/>
      </c>
    </row>
    <row r="6048" spans="1:37" ht="16.05" customHeight="1">
      <c r="A6048" s="172" t="s">
        <v>5157</v>
      </c>
      <c r="B6048" s="178">
        <v>2120</v>
      </c>
      <c r="C6048" s="179" t="s">
        <v>2532</v>
      </c>
      <c r="D6048">
        <v>4135</v>
      </c>
      <c r="E6048" s="125" t="s">
        <v>3137</v>
      </c>
      <c r="F6048" s="178">
        <v>601</v>
      </c>
      <c r="G6048" s="178" t="s">
        <v>134</v>
      </c>
      <c r="H6048">
        <v>1002</v>
      </c>
      <c r="I6048" s="178" t="s">
        <v>1546</v>
      </c>
      <c r="J6048" s="320" t="s">
        <v>214</v>
      </c>
      <c r="K6048" s="178" t="s">
        <v>5167</v>
      </c>
      <c r="L6048" s="125" t="s">
        <v>1579</v>
      </c>
      <c r="M6048">
        <v>1389</v>
      </c>
      <c r="N6048" s="182">
        <v>17</v>
      </c>
      <c r="O6048">
        <v>3973</v>
      </c>
      <c r="P6048" s="132" t="s">
        <v>77</v>
      </c>
      <c r="Q6048" s="176">
        <v>1206.9000000000001</v>
      </c>
      <c r="R6048" s="176">
        <v>193.1</v>
      </c>
      <c r="S6048" s="176"/>
      <c r="T6048" s="190"/>
      <c r="U6048" s="191"/>
      <c r="V6048" s="191">
        <v>1400</v>
      </c>
      <c r="W6048">
        <v>166</v>
      </c>
      <c r="X6048" s="186" t="s">
        <v>1644</v>
      </c>
      <c r="Y6048" s="187" t="s">
        <v>55</v>
      </c>
      <c r="Z6048" s="311">
        <v>265</v>
      </c>
      <c r="AB6048" t="str">
        <f>IF(Table1[[#This Row],[TIPO2]]="costo", VLOOKUP(Table1[[#This Row],[PARTIDA PRESUPUESTAL]],'Cost Report'!G:G,1,0),"Balance")</f>
        <v>2494-043</v>
      </c>
      <c r="AD6048" s="159">
        <f>+Table1[[#This Row],[SUBTOTAL]]+Table1[[#This Row],[IVA]]-Table1[[#This Row],[RET IVA]]-Table1[[#This Row],[RET ISR]]-Table1[[#This Row],[TOTAL]]</f>
        <v>0</v>
      </c>
      <c r="AG6048" t="s">
        <v>3420</v>
      </c>
      <c r="AK6048" s="306" t="str">
        <f>IF(ISNUMBER(Table1[[#This Row],[FECHA DE RECIBIDO]]), Table1[[#This Row],[FECHA DE RECIBIDO]]-DATE(2023,8,30), "")</f>
        <v/>
      </c>
    </row>
    <row r="6049" spans="1:37" ht="16.05" customHeight="1">
      <c r="A6049" s="172" t="s">
        <v>5158</v>
      </c>
      <c r="B6049" s="178">
        <v>2121</v>
      </c>
      <c r="C6049" s="179" t="s">
        <v>2616</v>
      </c>
      <c r="D6049">
        <v>689</v>
      </c>
      <c r="E6049" s="125"/>
      <c r="F6049" s="178"/>
      <c r="G6049" s="178"/>
      <c r="H6049"/>
      <c r="I6049" s="178"/>
      <c r="J6049" s="320" t="s">
        <v>214</v>
      </c>
      <c r="K6049" s="178" t="s">
        <v>5167</v>
      </c>
      <c r="L6049" s="125" t="s">
        <v>1579</v>
      </c>
      <c r="M6049">
        <v>383</v>
      </c>
      <c r="N6049" s="182">
        <v>17</v>
      </c>
      <c r="O6049">
        <v>3974</v>
      </c>
      <c r="P6049" s="132" t="s">
        <v>77</v>
      </c>
      <c r="Q6049" s="176">
        <v>30.74</v>
      </c>
      <c r="R6049" s="176"/>
      <c r="S6049" s="176"/>
      <c r="T6049" s="190"/>
      <c r="U6049" s="191"/>
      <c r="V6049" s="191">
        <v>30.74</v>
      </c>
      <c r="W6049">
        <v>146</v>
      </c>
      <c r="X6049" s="186" t="s">
        <v>1644</v>
      </c>
      <c r="Y6049" s="187" t="s">
        <v>55</v>
      </c>
      <c r="Z6049" s="311">
        <v>229</v>
      </c>
      <c r="AB6049" t="str">
        <f>IF(Table1[[#This Row],[TIPO2]]="costo", VLOOKUP(Table1[[#This Row],[PARTIDA PRESUPUESTAL]],'Cost Report'!G:G,1,0),"Balance")</f>
        <v>2808-003</v>
      </c>
      <c r="AD6049" s="159">
        <f>+Table1[[#This Row],[SUBTOTAL]]+Table1[[#This Row],[IVA]]-Table1[[#This Row],[RET IVA]]-Table1[[#This Row],[RET ISR]]-Table1[[#This Row],[TOTAL]]</f>
        <v>0</v>
      </c>
      <c r="AG6049" t="s">
        <v>3420</v>
      </c>
      <c r="AK6049" s="306" t="str">
        <f>IF(ISNUMBER(Table1[[#This Row],[FECHA DE RECIBIDO]]), Table1[[#This Row],[FECHA DE RECIBIDO]]-DATE(2023,8,30), "")</f>
        <v/>
      </c>
    </row>
    <row r="6050" spans="1:37" ht="16.05" customHeight="1">
      <c r="A6050" s="172" t="s">
        <v>5158</v>
      </c>
      <c r="B6050" s="178">
        <v>2121</v>
      </c>
      <c r="C6050" s="179" t="s">
        <v>2616</v>
      </c>
      <c r="D6050">
        <v>689</v>
      </c>
      <c r="E6050" s="125"/>
      <c r="F6050" s="178"/>
      <c r="G6050" s="178"/>
      <c r="H6050"/>
      <c r="I6050" s="178"/>
      <c r="J6050" s="320" t="s">
        <v>214</v>
      </c>
      <c r="K6050" s="178" t="s">
        <v>5167</v>
      </c>
      <c r="L6050" s="125" t="s">
        <v>1579</v>
      </c>
      <c r="M6050">
        <v>1390</v>
      </c>
      <c r="N6050" s="182">
        <v>17</v>
      </c>
      <c r="O6050">
        <v>3975</v>
      </c>
      <c r="P6050" s="132" t="s">
        <v>77</v>
      </c>
      <c r="Q6050" s="176">
        <v>50</v>
      </c>
      <c r="R6050" s="176"/>
      <c r="S6050" s="176"/>
      <c r="T6050" s="190"/>
      <c r="U6050" s="191"/>
      <c r="V6050" s="191">
        <v>50</v>
      </c>
      <c r="W6050">
        <v>146</v>
      </c>
      <c r="X6050" s="186" t="s">
        <v>1644</v>
      </c>
      <c r="Y6050" s="187" t="s">
        <v>55</v>
      </c>
      <c r="Z6050" s="311">
        <v>238</v>
      </c>
      <c r="AB6050" t="str">
        <f>IF(Table1[[#This Row],[TIPO2]]="costo", VLOOKUP(Table1[[#This Row],[PARTIDA PRESUPUESTAL]],'Cost Report'!G:G,1,0),"Balance")</f>
        <v>2808-003</v>
      </c>
      <c r="AD6050" s="159">
        <f>+Table1[[#This Row],[SUBTOTAL]]+Table1[[#This Row],[IVA]]-Table1[[#This Row],[RET IVA]]-Table1[[#This Row],[RET ISR]]-Table1[[#This Row],[TOTAL]]</f>
        <v>0</v>
      </c>
      <c r="AG6050" t="s">
        <v>3420</v>
      </c>
      <c r="AK6050" s="306" t="str">
        <f>IF(ISNUMBER(Table1[[#This Row],[FECHA DE RECIBIDO]]), Table1[[#This Row],[FECHA DE RECIBIDO]]-DATE(2023,8,30), "")</f>
        <v/>
      </c>
    </row>
    <row r="6051" spans="1:37" ht="16.05" customHeight="1">
      <c r="A6051" s="172" t="s">
        <v>5158</v>
      </c>
      <c r="B6051" s="178">
        <v>2121</v>
      </c>
      <c r="C6051" s="179" t="s">
        <v>2616</v>
      </c>
      <c r="D6051">
        <v>689</v>
      </c>
      <c r="E6051" s="125"/>
      <c r="F6051" s="178"/>
      <c r="G6051" s="178"/>
      <c r="H6051"/>
      <c r="I6051" s="178"/>
      <c r="J6051" s="320" t="s">
        <v>214</v>
      </c>
      <c r="K6051" s="178" t="s">
        <v>5167</v>
      </c>
      <c r="L6051" s="125" t="s">
        <v>1579</v>
      </c>
      <c r="M6051">
        <v>1390</v>
      </c>
      <c r="N6051" s="182">
        <v>17</v>
      </c>
      <c r="O6051">
        <v>3976</v>
      </c>
      <c r="P6051" s="132" t="s">
        <v>77</v>
      </c>
      <c r="Q6051" s="176">
        <v>50</v>
      </c>
      <c r="R6051" s="176"/>
      <c r="S6051" s="176"/>
      <c r="T6051" s="190"/>
      <c r="U6051" s="191"/>
      <c r="V6051" s="191">
        <v>50</v>
      </c>
      <c r="W6051">
        <v>146</v>
      </c>
      <c r="X6051" s="186" t="s">
        <v>1644</v>
      </c>
      <c r="Y6051" s="187" t="s">
        <v>55</v>
      </c>
      <c r="Z6051" s="311">
        <v>241</v>
      </c>
      <c r="AB6051" t="str">
        <f>IF(Table1[[#This Row],[TIPO2]]="costo", VLOOKUP(Table1[[#This Row],[PARTIDA PRESUPUESTAL]],'Cost Report'!G:G,1,0),"Balance")</f>
        <v>2808-003</v>
      </c>
      <c r="AD6051" s="159">
        <f>+Table1[[#This Row],[SUBTOTAL]]+Table1[[#This Row],[IVA]]-Table1[[#This Row],[RET IVA]]-Table1[[#This Row],[RET ISR]]-Table1[[#This Row],[TOTAL]]</f>
        <v>0</v>
      </c>
      <c r="AG6051" t="s">
        <v>3420</v>
      </c>
      <c r="AK6051" s="306" t="str">
        <f>IF(ISNUMBER(Table1[[#This Row],[FECHA DE RECIBIDO]]), Table1[[#This Row],[FECHA DE RECIBIDO]]-DATE(2023,8,30), "")</f>
        <v/>
      </c>
    </row>
    <row r="6052" spans="1:37" ht="16.05" customHeight="1">
      <c r="A6052" s="172" t="s">
        <v>5159</v>
      </c>
      <c r="B6052" s="178">
        <v>2122</v>
      </c>
      <c r="C6052" s="179" t="s">
        <v>396</v>
      </c>
      <c r="D6052">
        <v>4136</v>
      </c>
      <c r="E6052" s="125" t="s">
        <v>2067</v>
      </c>
      <c r="F6052" s="178">
        <v>601</v>
      </c>
      <c r="G6052" s="178" t="s">
        <v>134</v>
      </c>
      <c r="H6052">
        <v>136</v>
      </c>
      <c r="I6052" s="178" t="s">
        <v>1546</v>
      </c>
      <c r="J6052" s="320" t="s">
        <v>214</v>
      </c>
      <c r="K6052" s="178" t="s">
        <v>5167</v>
      </c>
      <c r="L6052" s="125" t="s">
        <v>1579</v>
      </c>
      <c r="M6052">
        <v>1391</v>
      </c>
      <c r="N6052" s="182">
        <v>17</v>
      </c>
      <c r="O6052">
        <v>2052</v>
      </c>
      <c r="P6052" s="132" t="s">
        <v>77</v>
      </c>
      <c r="Q6052" s="176">
        <v>5358.52</v>
      </c>
      <c r="R6052" s="176">
        <v>774.48</v>
      </c>
      <c r="S6052" s="176"/>
      <c r="T6052" s="190"/>
      <c r="U6052" s="191"/>
      <c r="V6052" s="191">
        <v>6133</v>
      </c>
      <c r="W6052">
        <v>225</v>
      </c>
      <c r="X6052" s="186" t="s">
        <v>1644</v>
      </c>
      <c r="Y6052" s="187" t="s">
        <v>55</v>
      </c>
      <c r="Z6052" s="311" t="s">
        <v>214</v>
      </c>
      <c r="AB6052" t="str">
        <f>IF(Table1[[#This Row],[TIPO2]]="costo", VLOOKUP(Table1[[#This Row],[PARTIDA PRESUPUESTAL]],'Cost Report'!G:G,1,0),"Balance")</f>
        <v>1620-004</v>
      </c>
      <c r="AD6052" s="159">
        <f>+Table1[[#This Row],[SUBTOTAL]]+Table1[[#This Row],[IVA]]-Table1[[#This Row],[RET IVA]]-Table1[[#This Row],[RET ISR]]-Table1[[#This Row],[TOTAL]]</f>
        <v>0</v>
      </c>
      <c r="AG6052" t="s">
        <v>3420</v>
      </c>
      <c r="AK6052" s="306" t="str">
        <f>IF(ISNUMBER(Table1[[#This Row],[FECHA DE RECIBIDO]]), Table1[[#This Row],[FECHA DE RECIBIDO]]-DATE(2023,8,30), "")</f>
        <v/>
      </c>
    </row>
    <row r="6053" spans="1:37" ht="16.05" customHeight="1">
      <c r="A6053" s="172" t="s">
        <v>5159</v>
      </c>
      <c r="B6053" s="178">
        <v>2122</v>
      </c>
      <c r="C6053" s="179" t="s">
        <v>1771</v>
      </c>
      <c r="D6053">
        <v>4137</v>
      </c>
      <c r="E6053" s="125" t="s">
        <v>1624</v>
      </c>
      <c r="F6053" s="178">
        <v>601</v>
      </c>
      <c r="G6053" s="178" t="s">
        <v>134</v>
      </c>
      <c r="H6053">
        <v>46</v>
      </c>
      <c r="I6053" s="178" t="s">
        <v>1546</v>
      </c>
      <c r="J6053" s="320" t="s">
        <v>214</v>
      </c>
      <c r="K6053" s="178">
        <v>3</v>
      </c>
      <c r="L6053" s="125" t="s">
        <v>1579</v>
      </c>
      <c r="M6053">
        <v>58</v>
      </c>
      <c r="N6053" s="182">
        <v>17</v>
      </c>
      <c r="O6053">
        <v>2600</v>
      </c>
      <c r="P6053" s="132" t="s">
        <v>77</v>
      </c>
      <c r="Q6053" s="176">
        <v>180.44</v>
      </c>
      <c r="R6053" s="176">
        <v>28.87</v>
      </c>
      <c r="S6053" s="176"/>
      <c r="T6053" s="190"/>
      <c r="U6053" s="191"/>
      <c r="V6053" s="191">
        <v>209.31</v>
      </c>
      <c r="W6053">
        <v>225</v>
      </c>
      <c r="X6053" s="186" t="s">
        <v>1644</v>
      </c>
      <c r="Y6053" s="187" t="s">
        <v>55</v>
      </c>
      <c r="Z6053" s="311">
        <v>187</v>
      </c>
      <c r="AB6053" t="str">
        <f>IF(Table1[[#This Row],[TIPO2]]="costo", VLOOKUP(Table1[[#This Row],[PARTIDA PRESUPUESTAL]],'Cost Report'!G:G,1,0),"Balance")</f>
        <v>3901-039</v>
      </c>
      <c r="AD6053" s="159">
        <f>+Table1[[#This Row],[SUBTOTAL]]+Table1[[#This Row],[IVA]]-Table1[[#This Row],[RET IVA]]-Table1[[#This Row],[RET ISR]]-Table1[[#This Row],[TOTAL]]</f>
        <v>0</v>
      </c>
      <c r="AG6053" t="s">
        <v>3420</v>
      </c>
      <c r="AK6053" s="306" t="str">
        <f>IF(ISNUMBER(Table1[[#This Row],[FECHA DE RECIBIDO]]), Table1[[#This Row],[FECHA DE RECIBIDO]]-DATE(2023,8,30), "")</f>
        <v/>
      </c>
    </row>
    <row r="6054" spans="1:37" ht="16.05" customHeight="1">
      <c r="A6054" s="172" t="s">
        <v>5159</v>
      </c>
      <c r="B6054" s="178">
        <v>2122</v>
      </c>
      <c r="C6054" s="179" t="s">
        <v>1771</v>
      </c>
      <c r="D6054">
        <v>4138</v>
      </c>
      <c r="E6054" s="125" t="s">
        <v>1624</v>
      </c>
      <c r="F6054" s="178">
        <v>601</v>
      </c>
      <c r="G6054" s="178" t="s">
        <v>134</v>
      </c>
      <c r="H6054">
        <v>46</v>
      </c>
      <c r="I6054" s="178" t="s">
        <v>1546</v>
      </c>
      <c r="J6054" s="320" t="s">
        <v>214</v>
      </c>
      <c r="K6054" s="178">
        <v>3</v>
      </c>
      <c r="L6054" s="125" t="s">
        <v>1579</v>
      </c>
      <c r="M6054">
        <v>58</v>
      </c>
      <c r="N6054" s="182">
        <v>17</v>
      </c>
      <c r="O6054">
        <v>3977</v>
      </c>
      <c r="P6054" s="132" t="s">
        <v>77</v>
      </c>
      <c r="Q6054" s="176">
        <v>2012.22</v>
      </c>
      <c r="R6054" s="176">
        <v>240.01</v>
      </c>
      <c r="S6054" s="176"/>
      <c r="T6054" s="190"/>
      <c r="U6054" s="191"/>
      <c r="V6054" s="191">
        <v>2252.23</v>
      </c>
      <c r="W6054">
        <v>225</v>
      </c>
      <c r="X6054" s="186" t="s">
        <v>1644</v>
      </c>
      <c r="Y6054" s="187" t="s">
        <v>55</v>
      </c>
      <c r="Z6054" s="311">
        <v>187</v>
      </c>
      <c r="AB6054" t="str">
        <f>IF(Table1[[#This Row],[TIPO2]]="costo", VLOOKUP(Table1[[#This Row],[PARTIDA PRESUPUESTAL]],'Cost Report'!G:G,1,0),"Balance")</f>
        <v>3901-039</v>
      </c>
      <c r="AD6054" s="159">
        <f>+Table1[[#This Row],[SUBTOTAL]]+Table1[[#This Row],[IVA]]-Table1[[#This Row],[RET IVA]]-Table1[[#This Row],[RET ISR]]-Table1[[#This Row],[TOTAL]]</f>
        <v>0</v>
      </c>
      <c r="AG6054" t="s">
        <v>3420</v>
      </c>
      <c r="AK6054" s="306" t="str">
        <f>IF(ISNUMBER(Table1[[#This Row],[FECHA DE RECIBIDO]]), Table1[[#This Row],[FECHA DE RECIBIDO]]-DATE(2023,8,30), "")</f>
        <v/>
      </c>
    </row>
    <row r="6055" spans="1:37" ht="16.05" customHeight="1">
      <c r="A6055" s="172" t="s">
        <v>5159</v>
      </c>
      <c r="B6055" s="178">
        <v>2122</v>
      </c>
      <c r="C6055" s="179" t="s">
        <v>2953</v>
      </c>
      <c r="D6055">
        <v>4139</v>
      </c>
      <c r="E6055" s="125" t="e">
        <v>#N/A</v>
      </c>
      <c r="F6055" s="178" t="e">
        <v>#N/A</v>
      </c>
      <c r="G6055" s="178" t="e">
        <v>#N/A</v>
      </c>
      <c r="H6055">
        <v>36</v>
      </c>
      <c r="I6055" s="178" t="e">
        <v>#N/A</v>
      </c>
      <c r="J6055" s="320" t="s">
        <v>214</v>
      </c>
      <c r="K6055" s="178">
        <v>3</v>
      </c>
      <c r="L6055" s="125" t="s">
        <v>1579</v>
      </c>
      <c r="M6055">
        <v>58</v>
      </c>
      <c r="N6055" s="182">
        <v>17</v>
      </c>
      <c r="O6055">
        <v>2958</v>
      </c>
      <c r="P6055" s="132" t="s">
        <v>77</v>
      </c>
      <c r="Q6055" s="176">
        <v>4317.6499999999996</v>
      </c>
      <c r="R6055" s="176">
        <v>512.88</v>
      </c>
      <c r="S6055" s="176"/>
      <c r="T6055" s="190"/>
      <c r="U6055" s="191"/>
      <c r="V6055" s="191">
        <v>4830.53</v>
      </c>
      <c r="W6055">
        <v>225</v>
      </c>
      <c r="X6055" s="186" t="s">
        <v>1644</v>
      </c>
      <c r="Y6055" s="187" t="s">
        <v>55</v>
      </c>
      <c r="Z6055" s="311" t="s">
        <v>214</v>
      </c>
      <c r="AB6055" t="str">
        <f>IF(Table1[[#This Row],[TIPO2]]="costo", VLOOKUP(Table1[[#This Row],[PARTIDA PRESUPUESTAL]],'Cost Report'!G:G,1,0),"Balance")</f>
        <v>3901-049</v>
      </c>
      <c r="AD6055" s="159">
        <f>+Table1[[#This Row],[SUBTOTAL]]+Table1[[#This Row],[IVA]]-Table1[[#This Row],[RET IVA]]-Table1[[#This Row],[RET ISR]]-Table1[[#This Row],[TOTAL]]</f>
        <v>0</v>
      </c>
      <c r="AG6055" t="s">
        <v>3420</v>
      </c>
      <c r="AK6055" s="306" t="str">
        <f>IF(ISNUMBER(Table1[[#This Row],[FECHA DE RECIBIDO]]), Table1[[#This Row],[FECHA DE RECIBIDO]]-DATE(2023,8,30), "")</f>
        <v/>
      </c>
    </row>
    <row r="6056" spans="1:37" ht="16.05" customHeight="1">
      <c r="A6056" s="172" t="s">
        <v>5160</v>
      </c>
      <c r="B6056" s="178">
        <v>2123</v>
      </c>
      <c r="C6056" s="179" t="s">
        <v>2953</v>
      </c>
      <c r="D6056">
        <v>4140</v>
      </c>
      <c r="E6056" s="125" t="s">
        <v>1624</v>
      </c>
      <c r="F6056" s="178">
        <v>601</v>
      </c>
      <c r="G6056" s="178" t="s">
        <v>134</v>
      </c>
      <c r="H6056">
        <v>46</v>
      </c>
      <c r="I6056" s="178" t="s">
        <v>1546</v>
      </c>
      <c r="J6056" s="320" t="s">
        <v>214</v>
      </c>
      <c r="K6056" s="178" t="s">
        <v>5167</v>
      </c>
      <c r="L6056" s="125" t="s">
        <v>1579</v>
      </c>
      <c r="M6056">
        <v>58</v>
      </c>
      <c r="N6056" s="182">
        <v>17</v>
      </c>
      <c r="O6056">
        <v>2600</v>
      </c>
      <c r="P6056" s="132" t="s">
        <v>77</v>
      </c>
      <c r="Q6056" s="176">
        <v>870.69</v>
      </c>
      <c r="R6056" s="176">
        <v>139.31</v>
      </c>
      <c r="S6056" s="176"/>
      <c r="T6056" s="190"/>
      <c r="U6056" s="191"/>
      <c r="V6056" s="191">
        <v>1010</v>
      </c>
      <c r="W6056">
        <v>225</v>
      </c>
      <c r="X6056" s="186" t="s">
        <v>1644</v>
      </c>
      <c r="Y6056" s="187" t="s">
        <v>55</v>
      </c>
      <c r="Z6056" s="311" t="s">
        <v>214</v>
      </c>
      <c r="AB6056" t="str">
        <f>IF(Table1[[#This Row],[TIPO2]]="costo", VLOOKUP(Table1[[#This Row],[PARTIDA PRESUPUESTAL]],'Cost Report'!G:G,1,0),"Balance")</f>
        <v>3901-049</v>
      </c>
      <c r="AD6056" s="159">
        <f>+Table1[[#This Row],[SUBTOTAL]]+Table1[[#This Row],[IVA]]-Table1[[#This Row],[RET IVA]]-Table1[[#This Row],[RET ISR]]-Table1[[#This Row],[TOTAL]]</f>
        <v>0</v>
      </c>
      <c r="AG6056" t="s">
        <v>3420</v>
      </c>
      <c r="AK6056" s="306" t="str">
        <f>IF(ISNUMBER(Table1[[#This Row],[FECHA DE RECIBIDO]]), Table1[[#This Row],[FECHA DE RECIBIDO]]-DATE(2023,8,30), "")</f>
        <v/>
      </c>
    </row>
    <row r="6057" spans="1:37" ht="16.05" customHeight="1">
      <c r="A6057" s="172" t="s">
        <v>5160</v>
      </c>
      <c r="B6057" s="178">
        <v>2123</v>
      </c>
      <c r="C6057" s="179" t="s">
        <v>2953</v>
      </c>
      <c r="D6057">
        <v>4141</v>
      </c>
      <c r="E6057" s="125" t="s">
        <v>1624</v>
      </c>
      <c r="F6057" s="178">
        <v>601</v>
      </c>
      <c r="G6057" s="178" t="s">
        <v>134</v>
      </c>
      <c r="H6057">
        <v>46</v>
      </c>
      <c r="I6057" s="178" t="s">
        <v>1546</v>
      </c>
      <c r="J6057" s="320" t="s">
        <v>214</v>
      </c>
      <c r="K6057" s="178" t="s">
        <v>5167</v>
      </c>
      <c r="L6057" s="125" t="s">
        <v>1579</v>
      </c>
      <c r="M6057">
        <v>58</v>
      </c>
      <c r="N6057" s="182">
        <v>17</v>
      </c>
      <c r="O6057">
        <v>3978</v>
      </c>
      <c r="P6057" s="132" t="s">
        <v>77</v>
      </c>
      <c r="Q6057" s="176">
        <v>4299.3</v>
      </c>
      <c r="R6057" s="176">
        <v>605.95000000000005</v>
      </c>
      <c r="S6057" s="176"/>
      <c r="T6057" s="190"/>
      <c r="U6057" s="191"/>
      <c r="V6057" s="191">
        <v>4905.25</v>
      </c>
      <c r="W6057">
        <v>225</v>
      </c>
      <c r="X6057" s="186" t="s">
        <v>1644</v>
      </c>
      <c r="Y6057" s="187" t="s">
        <v>55</v>
      </c>
      <c r="Z6057" s="311" t="s">
        <v>214</v>
      </c>
      <c r="AB6057" t="str">
        <f>IF(Table1[[#This Row],[TIPO2]]="costo", VLOOKUP(Table1[[#This Row],[PARTIDA PRESUPUESTAL]],'Cost Report'!G:G,1,0),"Balance")</f>
        <v>3901-049</v>
      </c>
      <c r="AD6057" s="159">
        <f>+Table1[[#This Row],[SUBTOTAL]]+Table1[[#This Row],[IVA]]-Table1[[#This Row],[RET IVA]]-Table1[[#This Row],[RET ISR]]-Table1[[#This Row],[TOTAL]]</f>
        <v>0</v>
      </c>
      <c r="AG6057" t="s">
        <v>3420</v>
      </c>
      <c r="AK6057" s="306" t="str">
        <f>IF(ISNUMBER(Table1[[#This Row],[FECHA DE RECIBIDO]]), Table1[[#This Row],[FECHA DE RECIBIDO]]-DATE(2023,8,30), "")</f>
        <v/>
      </c>
    </row>
    <row r="6058" spans="1:37" ht="16.05" customHeight="1">
      <c r="A6058" s="172" t="s">
        <v>5160</v>
      </c>
      <c r="B6058" s="178">
        <v>2123</v>
      </c>
      <c r="C6058" s="179" t="s">
        <v>2953</v>
      </c>
      <c r="D6058">
        <v>4142</v>
      </c>
      <c r="E6058" s="125" t="s">
        <v>1624</v>
      </c>
      <c r="F6058" s="178">
        <v>601</v>
      </c>
      <c r="G6058" s="178" t="s">
        <v>134</v>
      </c>
      <c r="H6058">
        <v>46</v>
      </c>
      <c r="I6058" s="178" t="s">
        <v>1546</v>
      </c>
      <c r="J6058" s="320" t="s">
        <v>214</v>
      </c>
      <c r="K6058" s="178" t="s">
        <v>5167</v>
      </c>
      <c r="L6058" s="125" t="s">
        <v>1579</v>
      </c>
      <c r="M6058">
        <v>58</v>
      </c>
      <c r="N6058" s="182">
        <v>17</v>
      </c>
      <c r="O6058">
        <v>3979</v>
      </c>
      <c r="P6058" s="132" t="s">
        <v>77</v>
      </c>
      <c r="Q6058" s="176">
        <v>4652.0200000000004</v>
      </c>
      <c r="R6058" s="176">
        <v>744</v>
      </c>
      <c r="S6058" s="176"/>
      <c r="T6058" s="190"/>
      <c r="U6058" s="191"/>
      <c r="V6058" s="191">
        <v>5396.02</v>
      </c>
      <c r="W6058">
        <v>225</v>
      </c>
      <c r="X6058" s="186" t="s">
        <v>1644</v>
      </c>
      <c r="Y6058" s="187" t="s">
        <v>55</v>
      </c>
      <c r="Z6058" s="311" t="s">
        <v>214</v>
      </c>
      <c r="AB6058" t="str">
        <f>IF(Table1[[#This Row],[TIPO2]]="costo", VLOOKUP(Table1[[#This Row],[PARTIDA PRESUPUESTAL]],'Cost Report'!G:G,1,0),"Balance")</f>
        <v>3901-049</v>
      </c>
      <c r="AD6058" s="159">
        <f>+Table1[[#This Row],[SUBTOTAL]]+Table1[[#This Row],[IVA]]-Table1[[#This Row],[RET IVA]]-Table1[[#This Row],[RET ISR]]-Table1[[#This Row],[TOTAL]]</f>
        <v>0</v>
      </c>
      <c r="AG6058" t="s">
        <v>3420</v>
      </c>
      <c r="AK6058" s="306" t="str">
        <f>IF(ISNUMBER(Table1[[#This Row],[FECHA DE RECIBIDO]]), Table1[[#This Row],[FECHA DE RECIBIDO]]-DATE(2023,8,30), "")</f>
        <v/>
      </c>
    </row>
    <row r="6059" spans="1:37" ht="16.05" customHeight="1">
      <c r="A6059" s="172" t="s">
        <v>5160</v>
      </c>
      <c r="B6059" s="178">
        <v>2123</v>
      </c>
      <c r="C6059" s="179" t="s">
        <v>1130</v>
      </c>
      <c r="D6059">
        <v>4143</v>
      </c>
      <c r="E6059" s="125" t="s">
        <v>1624</v>
      </c>
      <c r="F6059" s="178">
        <v>601</v>
      </c>
      <c r="G6059" s="178" t="s">
        <v>134</v>
      </c>
      <c r="H6059">
        <v>46</v>
      </c>
      <c r="I6059" s="178" t="s">
        <v>1546</v>
      </c>
      <c r="J6059" s="320" t="s">
        <v>214</v>
      </c>
      <c r="K6059" s="178" t="s">
        <v>5167</v>
      </c>
      <c r="L6059" s="125" t="s">
        <v>1579</v>
      </c>
      <c r="M6059">
        <v>58</v>
      </c>
      <c r="N6059" s="182">
        <v>17</v>
      </c>
      <c r="O6059">
        <v>3980</v>
      </c>
      <c r="P6059" s="132" t="s">
        <v>77</v>
      </c>
      <c r="Q6059" s="176">
        <v>3827.73</v>
      </c>
      <c r="R6059" s="176">
        <v>612.28</v>
      </c>
      <c r="S6059" s="176"/>
      <c r="T6059" s="190"/>
      <c r="U6059" s="191"/>
      <c r="V6059" s="191">
        <v>4440.01</v>
      </c>
      <c r="W6059">
        <v>225</v>
      </c>
      <c r="X6059" s="186" t="s">
        <v>1644</v>
      </c>
      <c r="Y6059" s="187" t="s">
        <v>55</v>
      </c>
      <c r="Z6059" s="311" t="s">
        <v>214</v>
      </c>
      <c r="AB6059" t="str">
        <f>IF(Table1[[#This Row],[TIPO2]]="costo", VLOOKUP(Table1[[#This Row],[PARTIDA PRESUPUESTAL]],'Cost Report'!G:G,1,0),"Balance")</f>
        <v>3901-019</v>
      </c>
      <c r="AD6059" s="159">
        <f>+Table1[[#This Row],[SUBTOTAL]]+Table1[[#This Row],[IVA]]-Table1[[#This Row],[RET IVA]]-Table1[[#This Row],[RET ISR]]-Table1[[#This Row],[TOTAL]]</f>
        <v>0</v>
      </c>
      <c r="AG6059" t="s">
        <v>3420</v>
      </c>
      <c r="AK6059" s="306" t="str">
        <f>IF(ISNUMBER(Table1[[#This Row],[FECHA DE RECIBIDO]]), Table1[[#This Row],[FECHA DE RECIBIDO]]-DATE(2023,8,30), "")</f>
        <v/>
      </c>
    </row>
    <row r="6060" spans="1:37" ht="16.05" customHeight="1">
      <c r="A6060" s="172" t="s">
        <v>5160</v>
      </c>
      <c r="B6060" s="178">
        <v>2123</v>
      </c>
      <c r="C6060" s="179" t="s">
        <v>4210</v>
      </c>
      <c r="D6060">
        <v>4144</v>
      </c>
      <c r="E6060" s="125" t="s">
        <v>2075</v>
      </c>
      <c r="F6060" s="178">
        <v>624</v>
      </c>
      <c r="G6060" s="178" t="s">
        <v>5106</v>
      </c>
      <c r="H6060">
        <v>146</v>
      </c>
      <c r="I6060" s="178" t="s">
        <v>1546</v>
      </c>
      <c r="J6060" s="320" t="s">
        <v>214</v>
      </c>
      <c r="K6060" s="178" t="s">
        <v>5167</v>
      </c>
      <c r="L6060" s="125" t="s">
        <v>1579</v>
      </c>
      <c r="M6060">
        <v>840</v>
      </c>
      <c r="N6060" s="182">
        <v>17</v>
      </c>
      <c r="O6060">
        <v>3981</v>
      </c>
      <c r="P6060" s="132" t="s">
        <v>77</v>
      </c>
      <c r="Q6060" s="176">
        <v>327.58999999999997</v>
      </c>
      <c r="R6060" s="176">
        <v>52.41</v>
      </c>
      <c r="S6060" s="176"/>
      <c r="T6060" s="190"/>
      <c r="U6060" s="191"/>
      <c r="V6060" s="191">
        <v>380</v>
      </c>
      <c r="W6060">
        <v>225</v>
      </c>
      <c r="X6060" s="186" t="s">
        <v>1644</v>
      </c>
      <c r="Y6060" s="187" t="s">
        <v>55</v>
      </c>
      <c r="Z6060" s="311" t="s">
        <v>214</v>
      </c>
      <c r="AB6060" t="str">
        <f>IF(Table1[[#This Row],[TIPO2]]="costo", VLOOKUP(Table1[[#This Row],[PARTIDA PRESUPUESTAL]],'Cost Report'!G:G,1,0),"Balance")</f>
        <v>3901-051</v>
      </c>
      <c r="AD6060" s="159">
        <f>+Table1[[#This Row],[SUBTOTAL]]+Table1[[#This Row],[IVA]]-Table1[[#This Row],[RET IVA]]-Table1[[#This Row],[RET ISR]]-Table1[[#This Row],[TOTAL]]</f>
        <v>0</v>
      </c>
      <c r="AG6060" t="s">
        <v>3420</v>
      </c>
      <c r="AK6060" s="306" t="str">
        <f>IF(ISNUMBER(Table1[[#This Row],[FECHA DE RECIBIDO]]), Table1[[#This Row],[FECHA DE RECIBIDO]]-DATE(2023,8,30), "")</f>
        <v/>
      </c>
    </row>
    <row r="6061" spans="1:37" ht="16.05" customHeight="1">
      <c r="A6061" s="172" t="s">
        <v>5160</v>
      </c>
      <c r="B6061" s="178">
        <v>2123</v>
      </c>
      <c r="C6061" s="179" t="s">
        <v>416</v>
      </c>
      <c r="D6061">
        <v>4145</v>
      </c>
      <c r="E6061" s="125" t="s">
        <v>2067</v>
      </c>
      <c r="F6061" s="178">
        <v>601</v>
      </c>
      <c r="G6061" s="178" t="s">
        <v>134</v>
      </c>
      <c r="H6061">
        <v>136</v>
      </c>
      <c r="I6061" s="178" t="s">
        <v>1546</v>
      </c>
      <c r="J6061" s="320" t="s">
        <v>214</v>
      </c>
      <c r="K6061" s="178" t="s">
        <v>5167</v>
      </c>
      <c r="L6061" s="125" t="s">
        <v>1579</v>
      </c>
      <c r="M6061">
        <v>1391</v>
      </c>
      <c r="N6061" s="182">
        <v>17</v>
      </c>
      <c r="O6061">
        <v>3982</v>
      </c>
      <c r="P6061" s="132" t="s">
        <v>77</v>
      </c>
      <c r="Q6061" s="176">
        <v>1163.79</v>
      </c>
      <c r="R6061" s="176">
        <v>186.21</v>
      </c>
      <c r="S6061" s="176"/>
      <c r="T6061" s="190"/>
      <c r="U6061" s="191"/>
      <c r="V6061" s="191">
        <v>1350</v>
      </c>
      <c r="W6061">
        <v>225</v>
      </c>
      <c r="X6061" s="186" t="s">
        <v>1644</v>
      </c>
      <c r="Y6061" s="187" t="s">
        <v>55</v>
      </c>
      <c r="Z6061" s="311" t="s">
        <v>214</v>
      </c>
      <c r="AB6061" t="str">
        <f>IF(Table1[[#This Row],[TIPO2]]="costo", VLOOKUP(Table1[[#This Row],[PARTIDA PRESUPUESTAL]],'Cost Report'!G:G,1,0),"Balance")</f>
        <v>1640-004</v>
      </c>
      <c r="AD6061" s="159">
        <f>+Table1[[#This Row],[SUBTOTAL]]+Table1[[#This Row],[IVA]]-Table1[[#This Row],[RET IVA]]-Table1[[#This Row],[RET ISR]]-Table1[[#This Row],[TOTAL]]</f>
        <v>0</v>
      </c>
      <c r="AG6061" t="s">
        <v>3420</v>
      </c>
      <c r="AK6061" s="306" t="str">
        <f>IF(ISNUMBER(Table1[[#This Row],[FECHA DE RECIBIDO]]), Table1[[#This Row],[FECHA DE RECIBIDO]]-DATE(2023,8,30), "")</f>
        <v/>
      </c>
    </row>
    <row r="6062" spans="1:37" ht="16.05" customHeight="1">
      <c r="A6062" s="172" t="s">
        <v>5160</v>
      </c>
      <c r="B6062" s="178">
        <v>2123</v>
      </c>
      <c r="C6062" s="179" t="s">
        <v>416</v>
      </c>
      <c r="D6062">
        <v>4146</v>
      </c>
      <c r="E6062" s="125" t="s">
        <v>2067</v>
      </c>
      <c r="F6062" s="178">
        <v>601</v>
      </c>
      <c r="G6062" s="178" t="s">
        <v>134</v>
      </c>
      <c r="H6062">
        <v>136</v>
      </c>
      <c r="I6062" s="178" t="s">
        <v>1546</v>
      </c>
      <c r="J6062" s="320" t="s">
        <v>214</v>
      </c>
      <c r="K6062" s="178" t="s">
        <v>5167</v>
      </c>
      <c r="L6062" s="125" t="s">
        <v>1579</v>
      </c>
      <c r="M6062">
        <v>1391</v>
      </c>
      <c r="N6062" s="182">
        <v>17</v>
      </c>
      <c r="O6062">
        <v>2470</v>
      </c>
      <c r="P6062" s="132" t="s">
        <v>77</v>
      </c>
      <c r="Q6062" s="176">
        <v>259.48</v>
      </c>
      <c r="R6062" s="176">
        <v>41.52</v>
      </c>
      <c r="S6062" s="176"/>
      <c r="T6062" s="190"/>
      <c r="U6062" s="191"/>
      <c r="V6062" s="191">
        <v>301</v>
      </c>
      <c r="W6062">
        <v>225</v>
      </c>
      <c r="X6062" s="186" t="s">
        <v>1644</v>
      </c>
      <c r="Y6062" s="187" t="s">
        <v>55</v>
      </c>
      <c r="Z6062" s="311" t="s">
        <v>214</v>
      </c>
      <c r="AB6062" t="str">
        <f>IF(Table1[[#This Row],[TIPO2]]="costo", VLOOKUP(Table1[[#This Row],[PARTIDA PRESUPUESTAL]],'Cost Report'!G:G,1,0),"Balance")</f>
        <v>1640-004</v>
      </c>
      <c r="AD6062" s="159">
        <f>+Table1[[#This Row],[SUBTOTAL]]+Table1[[#This Row],[IVA]]-Table1[[#This Row],[RET IVA]]-Table1[[#This Row],[RET ISR]]-Table1[[#This Row],[TOTAL]]</f>
        <v>0</v>
      </c>
      <c r="AG6062" t="s">
        <v>3420</v>
      </c>
      <c r="AK6062" s="306" t="str">
        <f>IF(ISNUMBER(Table1[[#This Row],[FECHA DE RECIBIDO]]), Table1[[#This Row],[FECHA DE RECIBIDO]]-DATE(2023,8,30), "")</f>
        <v/>
      </c>
    </row>
    <row r="6063" spans="1:37" ht="16.05" customHeight="1">
      <c r="A6063" s="172" t="s">
        <v>5160</v>
      </c>
      <c r="B6063" s="178">
        <v>2123</v>
      </c>
      <c r="C6063" s="179" t="s">
        <v>416</v>
      </c>
      <c r="D6063">
        <v>4147</v>
      </c>
      <c r="E6063" s="125" t="s">
        <v>2067</v>
      </c>
      <c r="F6063" s="178">
        <v>601</v>
      </c>
      <c r="G6063" s="178" t="s">
        <v>134</v>
      </c>
      <c r="H6063">
        <v>136</v>
      </c>
      <c r="I6063" s="178" t="s">
        <v>1546</v>
      </c>
      <c r="J6063" s="320" t="s">
        <v>214</v>
      </c>
      <c r="K6063" s="178" t="s">
        <v>5167</v>
      </c>
      <c r="L6063" s="125" t="s">
        <v>1579</v>
      </c>
      <c r="M6063">
        <v>1391</v>
      </c>
      <c r="N6063" s="182">
        <v>17</v>
      </c>
      <c r="O6063">
        <v>2470</v>
      </c>
      <c r="P6063" s="132" t="s">
        <v>77</v>
      </c>
      <c r="Q6063" s="176">
        <v>259.48</v>
      </c>
      <c r="R6063" s="176">
        <v>41.52</v>
      </c>
      <c r="S6063" s="176"/>
      <c r="T6063" s="190"/>
      <c r="U6063" s="191"/>
      <c r="V6063" s="191">
        <v>301</v>
      </c>
      <c r="W6063">
        <v>225</v>
      </c>
      <c r="X6063" s="186" t="s">
        <v>1644</v>
      </c>
      <c r="Y6063" s="187" t="s">
        <v>55</v>
      </c>
      <c r="Z6063" s="311" t="s">
        <v>214</v>
      </c>
      <c r="AB6063" t="str">
        <f>IF(Table1[[#This Row],[TIPO2]]="costo", VLOOKUP(Table1[[#This Row],[PARTIDA PRESUPUESTAL]],'Cost Report'!G:G,1,0),"Balance")</f>
        <v>1640-004</v>
      </c>
      <c r="AD6063" s="159">
        <f>+Table1[[#This Row],[SUBTOTAL]]+Table1[[#This Row],[IVA]]-Table1[[#This Row],[RET IVA]]-Table1[[#This Row],[RET ISR]]-Table1[[#This Row],[TOTAL]]</f>
        <v>0</v>
      </c>
      <c r="AG6063" t="s">
        <v>3420</v>
      </c>
      <c r="AK6063" s="306" t="str">
        <f>IF(ISNUMBER(Table1[[#This Row],[FECHA DE RECIBIDO]]), Table1[[#This Row],[FECHA DE RECIBIDO]]-DATE(2023,8,30), "")</f>
        <v/>
      </c>
    </row>
    <row r="6064" spans="1:37" ht="16.05" customHeight="1">
      <c r="A6064" s="172" t="s">
        <v>5160</v>
      </c>
      <c r="B6064" s="178">
        <v>2123</v>
      </c>
      <c r="C6064" s="179" t="s">
        <v>396</v>
      </c>
      <c r="D6064">
        <v>4148</v>
      </c>
      <c r="E6064" s="125" t="s">
        <v>2067</v>
      </c>
      <c r="F6064" s="178">
        <v>601</v>
      </c>
      <c r="G6064" s="178" t="s">
        <v>134</v>
      </c>
      <c r="H6064">
        <v>136</v>
      </c>
      <c r="I6064" s="178" t="s">
        <v>1546</v>
      </c>
      <c r="J6064" s="320" t="s">
        <v>214</v>
      </c>
      <c r="K6064" s="178" t="s">
        <v>5167</v>
      </c>
      <c r="L6064" s="125" t="s">
        <v>1579</v>
      </c>
      <c r="M6064">
        <v>1391</v>
      </c>
      <c r="N6064" s="182">
        <v>17</v>
      </c>
      <c r="O6064">
        <v>3983</v>
      </c>
      <c r="P6064" s="132" t="s">
        <v>77</v>
      </c>
      <c r="Q6064" s="176">
        <v>5473.17</v>
      </c>
      <c r="R6064" s="176">
        <v>792.83</v>
      </c>
      <c r="S6064" s="176"/>
      <c r="T6064" s="190"/>
      <c r="U6064" s="191"/>
      <c r="V6064" s="191">
        <v>6266</v>
      </c>
      <c r="W6064">
        <v>225</v>
      </c>
      <c r="X6064" s="186" t="s">
        <v>1644</v>
      </c>
      <c r="Y6064" s="187" t="s">
        <v>55</v>
      </c>
      <c r="Z6064" s="311" t="s">
        <v>214</v>
      </c>
      <c r="AB6064" t="str">
        <f>IF(Table1[[#This Row],[TIPO2]]="costo", VLOOKUP(Table1[[#This Row],[PARTIDA PRESUPUESTAL]],'Cost Report'!G:G,1,0),"Balance")</f>
        <v>1620-004</v>
      </c>
      <c r="AD6064" s="159">
        <f>+Table1[[#This Row],[SUBTOTAL]]+Table1[[#This Row],[IVA]]-Table1[[#This Row],[RET IVA]]-Table1[[#This Row],[RET ISR]]-Table1[[#This Row],[TOTAL]]</f>
        <v>0</v>
      </c>
      <c r="AG6064" t="s">
        <v>3420</v>
      </c>
      <c r="AK6064" s="306" t="str">
        <f>IF(ISNUMBER(Table1[[#This Row],[FECHA DE RECIBIDO]]), Table1[[#This Row],[FECHA DE RECIBIDO]]-DATE(2023,8,30), "")</f>
        <v/>
      </c>
    </row>
    <row r="6065" spans="1:37" ht="16.05" customHeight="1">
      <c r="A6065" s="172" t="s">
        <v>5160</v>
      </c>
      <c r="B6065" s="178">
        <v>2123</v>
      </c>
      <c r="C6065" s="179" t="s">
        <v>2953</v>
      </c>
      <c r="D6065">
        <v>4149</v>
      </c>
      <c r="E6065" s="125" t="s">
        <v>1624</v>
      </c>
      <c r="F6065" s="178">
        <v>601</v>
      </c>
      <c r="G6065" s="178" t="s">
        <v>134</v>
      </c>
      <c r="H6065">
        <v>46</v>
      </c>
      <c r="I6065" s="178" t="s">
        <v>1546</v>
      </c>
      <c r="J6065" s="320" t="s">
        <v>214</v>
      </c>
      <c r="K6065" s="178" t="s">
        <v>5167</v>
      </c>
      <c r="L6065" s="125" t="s">
        <v>1579</v>
      </c>
      <c r="M6065">
        <v>58</v>
      </c>
      <c r="N6065" s="182">
        <v>17</v>
      </c>
      <c r="O6065">
        <v>3984</v>
      </c>
      <c r="P6065" s="132" t="s">
        <v>77</v>
      </c>
      <c r="Q6065" s="176">
        <v>2591.0100000000002</v>
      </c>
      <c r="R6065" s="176">
        <v>318.76</v>
      </c>
      <c r="S6065" s="176"/>
      <c r="T6065" s="190"/>
      <c r="U6065" s="191"/>
      <c r="V6065" s="191">
        <v>2909.7700000000004</v>
      </c>
      <c r="W6065">
        <v>225</v>
      </c>
      <c r="X6065" s="186" t="s">
        <v>1644</v>
      </c>
      <c r="Y6065" s="187" t="s">
        <v>55</v>
      </c>
      <c r="Z6065" s="311" t="s">
        <v>214</v>
      </c>
      <c r="AB6065" t="str">
        <f>IF(Table1[[#This Row],[TIPO2]]="costo", VLOOKUP(Table1[[#This Row],[PARTIDA PRESUPUESTAL]],'Cost Report'!G:G,1,0),"Balance")</f>
        <v>3901-049</v>
      </c>
      <c r="AD6065" s="159">
        <f>+Table1[[#This Row],[SUBTOTAL]]+Table1[[#This Row],[IVA]]-Table1[[#This Row],[RET IVA]]-Table1[[#This Row],[RET ISR]]-Table1[[#This Row],[TOTAL]]</f>
        <v>0</v>
      </c>
      <c r="AG6065" t="s">
        <v>3420</v>
      </c>
      <c r="AK6065" s="306" t="str">
        <f>IF(ISNUMBER(Table1[[#This Row],[FECHA DE RECIBIDO]]), Table1[[#This Row],[FECHA DE RECIBIDO]]-DATE(2023,8,30), "")</f>
        <v/>
      </c>
    </row>
    <row r="6066" spans="1:37" ht="16.05" customHeight="1">
      <c r="A6066" s="172" t="s">
        <v>5160</v>
      </c>
      <c r="B6066" s="178">
        <v>2123</v>
      </c>
      <c r="C6066" s="179" t="s">
        <v>2953</v>
      </c>
      <c r="D6066">
        <v>4150</v>
      </c>
      <c r="E6066" s="125" t="s">
        <v>1624</v>
      </c>
      <c r="F6066" s="178">
        <v>601</v>
      </c>
      <c r="G6066" s="178" t="s">
        <v>134</v>
      </c>
      <c r="H6066">
        <v>46</v>
      </c>
      <c r="I6066" s="178" t="s">
        <v>1546</v>
      </c>
      <c r="J6066" s="320" t="s">
        <v>214</v>
      </c>
      <c r="K6066" s="178" t="s">
        <v>5167</v>
      </c>
      <c r="L6066" s="125" t="s">
        <v>1579</v>
      </c>
      <c r="M6066">
        <v>58</v>
      </c>
      <c r="N6066" s="182">
        <v>17</v>
      </c>
      <c r="O6066">
        <v>3985</v>
      </c>
      <c r="P6066" s="132" t="s">
        <v>77</v>
      </c>
      <c r="Q6066" s="176">
        <v>2433.75</v>
      </c>
      <c r="R6066" s="176">
        <v>293.58999999999997</v>
      </c>
      <c r="S6066" s="176"/>
      <c r="T6066" s="190"/>
      <c r="U6066" s="191"/>
      <c r="V6066" s="191">
        <v>2727.34</v>
      </c>
      <c r="W6066">
        <v>225</v>
      </c>
      <c r="X6066" s="186" t="s">
        <v>1644</v>
      </c>
      <c r="Y6066" s="187" t="s">
        <v>55</v>
      </c>
      <c r="Z6066" s="311" t="s">
        <v>214</v>
      </c>
      <c r="AB6066" t="str">
        <f>IF(Table1[[#This Row],[TIPO2]]="costo", VLOOKUP(Table1[[#This Row],[PARTIDA PRESUPUESTAL]],'Cost Report'!G:G,1,0),"Balance")</f>
        <v>3901-049</v>
      </c>
      <c r="AD6066" s="159">
        <f>+Table1[[#This Row],[SUBTOTAL]]+Table1[[#This Row],[IVA]]-Table1[[#This Row],[RET IVA]]-Table1[[#This Row],[RET ISR]]-Table1[[#This Row],[TOTAL]]</f>
        <v>0</v>
      </c>
      <c r="AG6066" t="s">
        <v>3420</v>
      </c>
      <c r="AK6066" s="306" t="str">
        <f>IF(ISNUMBER(Table1[[#This Row],[FECHA DE RECIBIDO]]), Table1[[#This Row],[FECHA DE RECIBIDO]]-DATE(2023,8,30), "")</f>
        <v/>
      </c>
    </row>
    <row r="6067" spans="1:37" ht="16.05" customHeight="1">
      <c r="A6067" s="172" t="s">
        <v>5161</v>
      </c>
      <c r="B6067" s="178">
        <v>2124</v>
      </c>
      <c r="C6067" s="179" t="s">
        <v>4210</v>
      </c>
      <c r="D6067">
        <v>4151</v>
      </c>
      <c r="E6067" s="125" t="s">
        <v>2075</v>
      </c>
      <c r="F6067" s="178">
        <v>624</v>
      </c>
      <c r="G6067" s="178" t="s">
        <v>5106</v>
      </c>
      <c r="H6067">
        <v>146</v>
      </c>
      <c r="I6067" s="178" t="s">
        <v>1546</v>
      </c>
      <c r="J6067" s="320" t="s">
        <v>214</v>
      </c>
      <c r="K6067" s="178" t="s">
        <v>5167</v>
      </c>
      <c r="L6067" s="125" t="s">
        <v>1579</v>
      </c>
      <c r="M6067">
        <v>840</v>
      </c>
      <c r="N6067" s="182">
        <v>17</v>
      </c>
      <c r="O6067">
        <v>3986</v>
      </c>
      <c r="P6067" s="132" t="s">
        <v>77</v>
      </c>
      <c r="Q6067" s="176">
        <v>1059.05</v>
      </c>
      <c r="R6067" s="176">
        <v>169.45</v>
      </c>
      <c r="S6067" s="176"/>
      <c r="T6067" s="190"/>
      <c r="U6067" s="191"/>
      <c r="V6067" s="191">
        <v>1228.5</v>
      </c>
      <c r="W6067">
        <v>225</v>
      </c>
      <c r="X6067" s="186" t="s">
        <v>1644</v>
      </c>
      <c r="Y6067" s="187" t="s">
        <v>55</v>
      </c>
      <c r="Z6067" s="311" t="s">
        <v>214</v>
      </c>
      <c r="AB6067" t="str">
        <f>IF(Table1[[#This Row],[TIPO2]]="costo", VLOOKUP(Table1[[#This Row],[PARTIDA PRESUPUESTAL]],'Cost Report'!G:G,1,0),"Balance")</f>
        <v>3901-051</v>
      </c>
      <c r="AD6067" s="159">
        <f>+Table1[[#This Row],[SUBTOTAL]]+Table1[[#This Row],[IVA]]-Table1[[#This Row],[RET IVA]]-Table1[[#This Row],[RET ISR]]-Table1[[#This Row],[TOTAL]]</f>
        <v>0</v>
      </c>
      <c r="AG6067" t="s">
        <v>3420</v>
      </c>
      <c r="AK6067" s="306" t="str">
        <f>IF(ISNUMBER(Table1[[#This Row],[FECHA DE RECIBIDO]]), Table1[[#This Row],[FECHA DE RECIBIDO]]-DATE(2023,8,30), "")</f>
        <v/>
      </c>
    </row>
    <row r="6068" spans="1:37" ht="16.05" customHeight="1">
      <c r="A6068" s="172" t="s">
        <v>5161</v>
      </c>
      <c r="B6068" s="178">
        <v>2124</v>
      </c>
      <c r="C6068" s="179" t="s">
        <v>2953</v>
      </c>
      <c r="D6068">
        <v>4152</v>
      </c>
      <c r="E6068" s="125" t="s">
        <v>1624</v>
      </c>
      <c r="F6068" s="178">
        <v>601</v>
      </c>
      <c r="G6068" s="178" t="s">
        <v>134</v>
      </c>
      <c r="H6068">
        <v>46</v>
      </c>
      <c r="I6068" s="178" t="s">
        <v>1546</v>
      </c>
      <c r="J6068" s="320" t="s">
        <v>214</v>
      </c>
      <c r="K6068" s="178" t="s">
        <v>5167</v>
      </c>
      <c r="L6068" s="125" t="s">
        <v>1579</v>
      </c>
      <c r="M6068">
        <v>58</v>
      </c>
      <c r="N6068" s="182">
        <v>17</v>
      </c>
      <c r="O6068">
        <v>3987</v>
      </c>
      <c r="P6068" s="132" t="s">
        <v>77</v>
      </c>
      <c r="Q6068" s="176">
        <v>2271.62</v>
      </c>
      <c r="R6068" s="176">
        <v>185.71</v>
      </c>
      <c r="S6068" s="176"/>
      <c r="T6068" s="190"/>
      <c r="U6068" s="191"/>
      <c r="V6068" s="191">
        <v>2457.33</v>
      </c>
      <c r="W6068">
        <v>225</v>
      </c>
      <c r="X6068" s="186" t="s">
        <v>1644</v>
      </c>
      <c r="Y6068" s="187" t="s">
        <v>55</v>
      </c>
      <c r="Z6068" s="311" t="s">
        <v>214</v>
      </c>
      <c r="AB6068" t="str">
        <f>IF(Table1[[#This Row],[TIPO2]]="costo", VLOOKUP(Table1[[#This Row],[PARTIDA PRESUPUESTAL]],'Cost Report'!G:G,1,0),"Balance")</f>
        <v>3901-049</v>
      </c>
      <c r="AD6068" s="159">
        <f>+Table1[[#This Row],[SUBTOTAL]]+Table1[[#This Row],[IVA]]-Table1[[#This Row],[RET IVA]]-Table1[[#This Row],[RET ISR]]-Table1[[#This Row],[TOTAL]]</f>
        <v>0</v>
      </c>
      <c r="AG6068" t="s">
        <v>3420</v>
      </c>
      <c r="AK6068" s="306" t="str">
        <f>IF(ISNUMBER(Table1[[#This Row],[FECHA DE RECIBIDO]]), Table1[[#This Row],[FECHA DE RECIBIDO]]-DATE(2023,8,30), "")</f>
        <v/>
      </c>
    </row>
    <row r="6069" spans="1:37" ht="16.05" customHeight="1">
      <c r="A6069" s="172" t="s">
        <v>5161</v>
      </c>
      <c r="B6069" s="178">
        <v>2124</v>
      </c>
      <c r="C6069" s="179" t="s">
        <v>2953</v>
      </c>
      <c r="D6069">
        <v>4153</v>
      </c>
      <c r="E6069" s="125" t="s">
        <v>1624</v>
      </c>
      <c r="F6069" s="178">
        <v>601</v>
      </c>
      <c r="G6069" s="178" t="s">
        <v>134</v>
      </c>
      <c r="H6069">
        <v>46</v>
      </c>
      <c r="I6069" s="178" t="s">
        <v>1546</v>
      </c>
      <c r="J6069" s="320" t="s">
        <v>214</v>
      </c>
      <c r="K6069" s="178" t="s">
        <v>5167</v>
      </c>
      <c r="L6069" s="125" t="s">
        <v>1579</v>
      </c>
      <c r="M6069">
        <v>58</v>
      </c>
      <c r="N6069" s="182">
        <v>17</v>
      </c>
      <c r="O6069">
        <v>3988</v>
      </c>
      <c r="P6069" s="132" t="s">
        <v>77</v>
      </c>
      <c r="Q6069" s="176">
        <v>1773.44</v>
      </c>
      <c r="R6069" s="176">
        <v>201.81</v>
      </c>
      <c r="S6069" s="176"/>
      <c r="T6069" s="190"/>
      <c r="U6069" s="191"/>
      <c r="V6069" s="191">
        <v>1975.25</v>
      </c>
      <c r="W6069">
        <v>225</v>
      </c>
      <c r="X6069" s="186" t="s">
        <v>1644</v>
      </c>
      <c r="Y6069" s="187" t="s">
        <v>55</v>
      </c>
      <c r="Z6069" s="311">
        <v>188</v>
      </c>
      <c r="AB6069" t="str">
        <f>IF(Table1[[#This Row],[TIPO2]]="costo", VLOOKUP(Table1[[#This Row],[PARTIDA PRESUPUESTAL]],'Cost Report'!G:G,1,0),"Balance")</f>
        <v>3901-049</v>
      </c>
      <c r="AD6069" s="159">
        <f>+Table1[[#This Row],[SUBTOTAL]]+Table1[[#This Row],[IVA]]-Table1[[#This Row],[RET IVA]]-Table1[[#This Row],[RET ISR]]-Table1[[#This Row],[TOTAL]]</f>
        <v>0</v>
      </c>
      <c r="AG6069" t="s">
        <v>3420</v>
      </c>
      <c r="AK6069" s="306" t="str">
        <f>IF(ISNUMBER(Table1[[#This Row],[FECHA DE RECIBIDO]]), Table1[[#This Row],[FECHA DE RECIBIDO]]-DATE(2023,8,30), "")</f>
        <v/>
      </c>
    </row>
    <row r="6070" spans="1:37" ht="16.05" customHeight="1">
      <c r="A6070" s="172" t="s">
        <v>5162</v>
      </c>
      <c r="B6070" s="178">
        <v>2125</v>
      </c>
      <c r="C6070" s="179" t="s">
        <v>2860</v>
      </c>
      <c r="D6070">
        <v>4154</v>
      </c>
      <c r="E6070" s="125" t="s">
        <v>1623</v>
      </c>
      <c r="F6070" s="178">
        <v>601</v>
      </c>
      <c r="G6070" s="178" t="s">
        <v>134</v>
      </c>
      <c r="H6070">
        <v>45</v>
      </c>
      <c r="I6070" s="178" t="s">
        <v>1546</v>
      </c>
      <c r="J6070" s="320" t="s">
        <v>214</v>
      </c>
      <c r="K6070" s="178" t="s">
        <v>5167</v>
      </c>
      <c r="L6070" s="125" t="s">
        <v>1579</v>
      </c>
      <c r="M6070">
        <v>56</v>
      </c>
      <c r="N6070" s="182">
        <v>17</v>
      </c>
      <c r="O6070">
        <v>3989</v>
      </c>
      <c r="P6070" s="132" t="s">
        <v>77</v>
      </c>
      <c r="Q6070" s="176">
        <v>258.62</v>
      </c>
      <c r="R6070" s="176">
        <v>41.38</v>
      </c>
      <c r="S6070" s="176"/>
      <c r="T6070" s="190"/>
      <c r="U6070" s="191"/>
      <c r="V6070" s="191">
        <v>300</v>
      </c>
      <c r="W6070">
        <v>93</v>
      </c>
      <c r="X6070" s="186" t="s">
        <v>1644</v>
      </c>
      <c r="Y6070" s="187" t="s">
        <v>55</v>
      </c>
      <c r="Z6070" s="311" t="s">
        <v>214</v>
      </c>
      <c r="AB6070" t="str">
        <f>IF(Table1[[#This Row],[TIPO2]]="costo", VLOOKUP(Table1[[#This Row],[PARTIDA PRESUPUESTAL]],'Cost Report'!G:G,1,0),"Balance")</f>
        <v>3629-003</v>
      </c>
      <c r="AD6070" s="159">
        <f>+Table1[[#This Row],[SUBTOTAL]]+Table1[[#This Row],[IVA]]-Table1[[#This Row],[RET IVA]]-Table1[[#This Row],[RET ISR]]-Table1[[#This Row],[TOTAL]]</f>
        <v>0</v>
      </c>
      <c r="AG6070" t="s">
        <v>3420</v>
      </c>
      <c r="AK6070" s="306" t="str">
        <f>IF(ISNUMBER(Table1[[#This Row],[FECHA DE RECIBIDO]]), Table1[[#This Row],[FECHA DE RECIBIDO]]-DATE(2023,8,30), "")</f>
        <v/>
      </c>
    </row>
    <row r="6071" spans="1:37" ht="16.05" customHeight="1">
      <c r="A6071" s="172" t="s">
        <v>5162</v>
      </c>
      <c r="B6071" s="178">
        <v>2125</v>
      </c>
      <c r="C6071" s="126" t="s">
        <v>5477</v>
      </c>
      <c r="D6071">
        <v>4155</v>
      </c>
      <c r="E6071" s="125" t="s">
        <v>3662</v>
      </c>
      <c r="F6071" s="178">
        <v>626</v>
      </c>
      <c r="G6071" s="178" t="s">
        <v>109</v>
      </c>
      <c r="H6071">
        <v>1003</v>
      </c>
      <c r="I6071" s="178" t="s">
        <v>1546</v>
      </c>
      <c r="J6071" s="320" t="s">
        <v>214</v>
      </c>
      <c r="K6071" s="178" t="s">
        <v>5167</v>
      </c>
      <c r="L6071" s="125" t="s">
        <v>1579</v>
      </c>
      <c r="M6071">
        <v>1392</v>
      </c>
      <c r="N6071" s="182">
        <v>17</v>
      </c>
      <c r="O6071">
        <v>3990</v>
      </c>
      <c r="P6071" s="131" t="s">
        <v>77</v>
      </c>
      <c r="Q6071" s="176">
        <v>708.86</v>
      </c>
      <c r="R6071" s="176"/>
      <c r="S6071" s="176"/>
      <c r="T6071" s="190"/>
      <c r="U6071" s="191">
        <v>8.86</v>
      </c>
      <c r="V6071" s="191">
        <v>700</v>
      </c>
      <c r="W6071">
        <v>93</v>
      </c>
      <c r="X6071" s="186" t="s">
        <v>1644</v>
      </c>
      <c r="Y6071" s="187" t="s">
        <v>55</v>
      </c>
      <c r="Z6071" s="311" t="s">
        <v>214</v>
      </c>
      <c r="AB6071" t="str">
        <f>IF(Table1[[#This Row],[TIPO2]]="costo", VLOOKUP(Table1[[#This Row],[PARTIDA PRESUPUESTAL]],'Cost Report'!G:G,1,0),"Balance")</f>
        <v>7230-005</v>
      </c>
      <c r="AD6071" s="159">
        <f>+Table1[[#This Row],[SUBTOTAL]]+Table1[[#This Row],[IVA]]-Table1[[#This Row],[RET IVA]]-Table1[[#This Row],[RET ISR]]-Table1[[#This Row],[TOTAL]]</f>
        <v>0</v>
      </c>
      <c r="AG6071" t="s">
        <v>3420</v>
      </c>
      <c r="AJ6071" s="213" t="s">
        <v>5479</v>
      </c>
      <c r="AK6071" s="306" t="str">
        <f>IF(ISNUMBER(Table1[[#This Row],[FECHA DE RECIBIDO]]), Table1[[#This Row],[FECHA DE RECIBIDO]]-DATE(2023,8,30), "")</f>
        <v/>
      </c>
    </row>
    <row r="6072" spans="1:37" ht="16.05" customHeight="1">
      <c r="A6072" s="172" t="s">
        <v>5162</v>
      </c>
      <c r="B6072" s="178">
        <v>2125</v>
      </c>
      <c r="C6072" s="179" t="s">
        <v>2860</v>
      </c>
      <c r="D6072">
        <v>4156</v>
      </c>
      <c r="E6072" s="125" t="s">
        <v>1623</v>
      </c>
      <c r="F6072" s="178">
        <v>601</v>
      </c>
      <c r="G6072" s="178" t="s">
        <v>134</v>
      </c>
      <c r="H6072">
        <v>45</v>
      </c>
      <c r="I6072" s="178" t="s">
        <v>1546</v>
      </c>
      <c r="J6072" s="320" t="s">
        <v>214</v>
      </c>
      <c r="K6072" s="178" t="s">
        <v>5167</v>
      </c>
      <c r="L6072" s="125" t="s">
        <v>1579</v>
      </c>
      <c r="M6072">
        <v>56</v>
      </c>
      <c r="N6072" s="182">
        <v>17</v>
      </c>
      <c r="O6072">
        <v>3989</v>
      </c>
      <c r="P6072" s="132" t="s">
        <v>77</v>
      </c>
      <c r="Q6072" s="176">
        <v>431.03</v>
      </c>
      <c r="R6072" s="176">
        <v>68.97</v>
      </c>
      <c r="S6072" s="176"/>
      <c r="T6072" s="190"/>
      <c r="U6072" s="191"/>
      <c r="V6072" s="191">
        <v>500</v>
      </c>
      <c r="W6072">
        <v>93</v>
      </c>
      <c r="X6072" s="186" t="s">
        <v>1644</v>
      </c>
      <c r="Y6072" s="187" t="s">
        <v>55</v>
      </c>
      <c r="Z6072" s="311" t="s">
        <v>214</v>
      </c>
      <c r="AB6072" t="str">
        <f>IF(Table1[[#This Row],[TIPO2]]="costo", VLOOKUP(Table1[[#This Row],[PARTIDA PRESUPUESTAL]],'Cost Report'!G:G,1,0),"Balance")</f>
        <v>3629-003</v>
      </c>
      <c r="AD6072" s="159">
        <f>+Table1[[#This Row],[SUBTOTAL]]+Table1[[#This Row],[IVA]]-Table1[[#This Row],[RET IVA]]-Table1[[#This Row],[RET ISR]]-Table1[[#This Row],[TOTAL]]</f>
        <v>0</v>
      </c>
      <c r="AG6072" t="s">
        <v>3420</v>
      </c>
      <c r="AK6072" s="306" t="str">
        <f>IF(ISNUMBER(Table1[[#This Row],[FECHA DE RECIBIDO]]), Table1[[#This Row],[FECHA DE RECIBIDO]]-DATE(2023,8,30), "")</f>
        <v/>
      </c>
    </row>
    <row r="6073" spans="1:37" ht="16.05" customHeight="1">
      <c r="A6073" s="172" t="s">
        <v>5162</v>
      </c>
      <c r="B6073" s="178">
        <v>2125</v>
      </c>
      <c r="C6073" s="179" t="s">
        <v>2860</v>
      </c>
      <c r="D6073">
        <v>4157</v>
      </c>
      <c r="E6073" s="125" t="s">
        <v>1623</v>
      </c>
      <c r="F6073" s="178">
        <v>601</v>
      </c>
      <c r="G6073" s="178" t="s">
        <v>134</v>
      </c>
      <c r="H6073">
        <v>45</v>
      </c>
      <c r="I6073" s="178" t="s">
        <v>1546</v>
      </c>
      <c r="J6073" s="320" t="s">
        <v>214</v>
      </c>
      <c r="K6073" s="178" t="s">
        <v>5167</v>
      </c>
      <c r="L6073" s="125" t="s">
        <v>1579</v>
      </c>
      <c r="M6073">
        <v>56</v>
      </c>
      <c r="N6073" s="182">
        <v>17</v>
      </c>
      <c r="O6073">
        <v>3989</v>
      </c>
      <c r="P6073" s="132" t="s">
        <v>77</v>
      </c>
      <c r="Q6073" s="176">
        <v>431.03</v>
      </c>
      <c r="R6073" s="176">
        <v>68.97</v>
      </c>
      <c r="S6073" s="176"/>
      <c r="T6073" s="190"/>
      <c r="U6073" s="191"/>
      <c r="V6073" s="191">
        <v>500</v>
      </c>
      <c r="W6073">
        <v>93</v>
      </c>
      <c r="X6073" s="186" t="s">
        <v>1644</v>
      </c>
      <c r="Y6073" s="187" t="s">
        <v>55</v>
      </c>
      <c r="Z6073" s="311" t="s">
        <v>214</v>
      </c>
      <c r="AB6073" t="str">
        <f>IF(Table1[[#This Row],[TIPO2]]="costo", VLOOKUP(Table1[[#This Row],[PARTIDA PRESUPUESTAL]],'Cost Report'!G:G,1,0),"Balance")</f>
        <v>3629-003</v>
      </c>
      <c r="AD6073" s="159">
        <f>+Table1[[#This Row],[SUBTOTAL]]+Table1[[#This Row],[IVA]]-Table1[[#This Row],[RET IVA]]-Table1[[#This Row],[RET ISR]]-Table1[[#This Row],[TOTAL]]</f>
        <v>0</v>
      </c>
      <c r="AG6073" t="s">
        <v>3420</v>
      </c>
      <c r="AK6073" s="306" t="str">
        <f>IF(ISNUMBER(Table1[[#This Row],[FECHA DE RECIBIDO]]), Table1[[#This Row],[FECHA DE RECIBIDO]]-DATE(2023,8,30), "")</f>
        <v/>
      </c>
    </row>
    <row r="6074" spans="1:37" ht="16.05" customHeight="1">
      <c r="A6074" s="172" t="s">
        <v>5162</v>
      </c>
      <c r="B6074" s="178">
        <v>2125</v>
      </c>
      <c r="C6074" s="179" t="s">
        <v>2860</v>
      </c>
      <c r="D6074">
        <v>4158</v>
      </c>
      <c r="E6074" s="125" t="s">
        <v>1623</v>
      </c>
      <c r="F6074" s="178">
        <v>601</v>
      </c>
      <c r="G6074" s="178" t="s">
        <v>134</v>
      </c>
      <c r="H6074">
        <v>45</v>
      </c>
      <c r="I6074" s="178" t="s">
        <v>1546</v>
      </c>
      <c r="J6074" s="320" t="s">
        <v>214</v>
      </c>
      <c r="K6074" s="178" t="s">
        <v>5167</v>
      </c>
      <c r="L6074" s="125" t="s">
        <v>1579</v>
      </c>
      <c r="M6074">
        <v>56</v>
      </c>
      <c r="N6074" s="182">
        <v>17</v>
      </c>
      <c r="O6074">
        <v>3989</v>
      </c>
      <c r="P6074" s="132" t="s">
        <v>77</v>
      </c>
      <c r="Q6074" s="176">
        <v>431.03</v>
      </c>
      <c r="R6074" s="176">
        <v>68.97</v>
      </c>
      <c r="S6074" s="176"/>
      <c r="T6074" s="190"/>
      <c r="U6074" s="191"/>
      <c r="V6074" s="191">
        <v>500</v>
      </c>
      <c r="W6074">
        <v>93</v>
      </c>
      <c r="X6074" s="186" t="s">
        <v>1644</v>
      </c>
      <c r="Y6074" s="187" t="s">
        <v>55</v>
      </c>
      <c r="Z6074" s="311" t="s">
        <v>214</v>
      </c>
      <c r="AB6074" t="str">
        <f>IF(Table1[[#This Row],[TIPO2]]="costo", VLOOKUP(Table1[[#This Row],[PARTIDA PRESUPUESTAL]],'Cost Report'!G:G,1,0),"Balance")</f>
        <v>3629-003</v>
      </c>
      <c r="AD6074" s="159">
        <f>+Table1[[#This Row],[SUBTOTAL]]+Table1[[#This Row],[IVA]]-Table1[[#This Row],[RET IVA]]-Table1[[#This Row],[RET ISR]]-Table1[[#This Row],[TOTAL]]</f>
        <v>0</v>
      </c>
      <c r="AG6074" t="s">
        <v>3420</v>
      </c>
      <c r="AK6074" s="306" t="str">
        <f>IF(ISNUMBER(Table1[[#This Row],[FECHA DE RECIBIDO]]), Table1[[#This Row],[FECHA DE RECIBIDO]]-DATE(2023,8,30), "")</f>
        <v/>
      </c>
    </row>
    <row r="6075" spans="1:37" ht="16.05" customHeight="1">
      <c r="A6075" s="172" t="s">
        <v>5162</v>
      </c>
      <c r="B6075" s="178">
        <v>2125</v>
      </c>
      <c r="C6075" s="179" t="s">
        <v>2860</v>
      </c>
      <c r="D6075">
        <v>4159</v>
      </c>
      <c r="E6075" s="125" t="s">
        <v>1623</v>
      </c>
      <c r="F6075" s="178">
        <v>601</v>
      </c>
      <c r="G6075" s="178" t="s">
        <v>134</v>
      </c>
      <c r="H6075">
        <v>45</v>
      </c>
      <c r="I6075" s="178" t="s">
        <v>1546</v>
      </c>
      <c r="J6075" s="320" t="s">
        <v>214</v>
      </c>
      <c r="K6075" s="178" t="s">
        <v>5167</v>
      </c>
      <c r="L6075" s="125" t="s">
        <v>1579</v>
      </c>
      <c r="M6075">
        <v>56</v>
      </c>
      <c r="N6075" s="182">
        <v>17</v>
      </c>
      <c r="O6075">
        <v>3989</v>
      </c>
      <c r="P6075" s="132" t="s">
        <v>77</v>
      </c>
      <c r="Q6075" s="176">
        <v>431.03</v>
      </c>
      <c r="R6075" s="176">
        <v>68.97</v>
      </c>
      <c r="S6075" s="176"/>
      <c r="T6075" s="190"/>
      <c r="U6075" s="191"/>
      <c r="V6075" s="191">
        <v>500</v>
      </c>
      <c r="W6075">
        <v>93</v>
      </c>
      <c r="X6075" s="186" t="s">
        <v>1644</v>
      </c>
      <c r="Y6075" s="187" t="s">
        <v>55</v>
      </c>
      <c r="Z6075" s="311" t="s">
        <v>214</v>
      </c>
      <c r="AB6075" t="str">
        <f>IF(Table1[[#This Row],[TIPO2]]="costo", VLOOKUP(Table1[[#This Row],[PARTIDA PRESUPUESTAL]],'Cost Report'!G:G,1,0),"Balance")</f>
        <v>3629-003</v>
      </c>
      <c r="AD6075" s="159">
        <f>+Table1[[#This Row],[SUBTOTAL]]+Table1[[#This Row],[IVA]]-Table1[[#This Row],[RET IVA]]-Table1[[#This Row],[RET ISR]]-Table1[[#This Row],[TOTAL]]</f>
        <v>0</v>
      </c>
      <c r="AG6075" t="s">
        <v>3420</v>
      </c>
      <c r="AK6075" s="306" t="str">
        <f>IF(ISNUMBER(Table1[[#This Row],[FECHA DE RECIBIDO]]), Table1[[#This Row],[FECHA DE RECIBIDO]]-DATE(2023,8,30), "")</f>
        <v/>
      </c>
    </row>
    <row r="6076" spans="1:37" ht="16.05" customHeight="1">
      <c r="A6076" s="172" t="s">
        <v>5162</v>
      </c>
      <c r="B6076" s="178">
        <v>2125</v>
      </c>
      <c r="C6076" s="179" t="s">
        <v>2860</v>
      </c>
      <c r="D6076">
        <v>4160</v>
      </c>
      <c r="E6076" s="125" t="s">
        <v>1623</v>
      </c>
      <c r="F6076" s="178">
        <v>601</v>
      </c>
      <c r="G6076" s="178" t="s">
        <v>134</v>
      </c>
      <c r="H6076">
        <v>45</v>
      </c>
      <c r="I6076" s="178" t="s">
        <v>1546</v>
      </c>
      <c r="J6076" s="320" t="s">
        <v>214</v>
      </c>
      <c r="K6076" s="178" t="s">
        <v>5167</v>
      </c>
      <c r="L6076" s="125" t="s">
        <v>1579</v>
      </c>
      <c r="M6076">
        <v>56</v>
      </c>
      <c r="N6076" s="182">
        <v>17</v>
      </c>
      <c r="O6076">
        <v>3989</v>
      </c>
      <c r="P6076" s="132" t="s">
        <v>77</v>
      </c>
      <c r="Q6076" s="176">
        <v>517.24</v>
      </c>
      <c r="R6076" s="176">
        <v>82.76</v>
      </c>
      <c r="S6076" s="176"/>
      <c r="T6076" s="190"/>
      <c r="U6076" s="191"/>
      <c r="V6076" s="191">
        <v>600</v>
      </c>
      <c r="W6076">
        <v>93</v>
      </c>
      <c r="X6076" s="186" t="s">
        <v>1644</v>
      </c>
      <c r="Y6076" s="187" t="s">
        <v>55</v>
      </c>
      <c r="Z6076" s="311" t="s">
        <v>214</v>
      </c>
      <c r="AB6076" t="str">
        <f>IF(Table1[[#This Row],[TIPO2]]="costo", VLOOKUP(Table1[[#This Row],[PARTIDA PRESUPUESTAL]],'Cost Report'!G:G,1,0),"Balance")</f>
        <v>3629-003</v>
      </c>
      <c r="AD6076" s="159">
        <f>+Table1[[#This Row],[SUBTOTAL]]+Table1[[#This Row],[IVA]]-Table1[[#This Row],[RET IVA]]-Table1[[#This Row],[RET ISR]]-Table1[[#This Row],[TOTAL]]</f>
        <v>0</v>
      </c>
      <c r="AG6076" t="s">
        <v>3420</v>
      </c>
      <c r="AK6076" s="306" t="str">
        <f>IF(ISNUMBER(Table1[[#This Row],[FECHA DE RECIBIDO]]), Table1[[#This Row],[FECHA DE RECIBIDO]]-DATE(2023,8,30), "")</f>
        <v/>
      </c>
    </row>
    <row r="6077" spans="1:37" ht="16.05" customHeight="1">
      <c r="A6077" s="172" t="s">
        <v>5162</v>
      </c>
      <c r="B6077" s="178">
        <v>2125</v>
      </c>
      <c r="C6077" s="179" t="s">
        <v>3108</v>
      </c>
      <c r="D6077">
        <v>4161</v>
      </c>
      <c r="E6077" s="125" t="s">
        <v>1985</v>
      </c>
      <c r="F6077" s="178">
        <v>612</v>
      </c>
      <c r="G6077" s="178" t="s">
        <v>129</v>
      </c>
      <c r="H6077">
        <v>629</v>
      </c>
      <c r="I6077" s="178" t="s">
        <v>1546</v>
      </c>
      <c r="J6077" s="320" t="s">
        <v>214</v>
      </c>
      <c r="K6077" s="178" t="s">
        <v>5167</v>
      </c>
      <c r="L6077" s="125" t="s">
        <v>1579</v>
      </c>
      <c r="M6077">
        <v>889</v>
      </c>
      <c r="N6077" s="182">
        <v>17</v>
      </c>
      <c r="O6077">
        <v>3991</v>
      </c>
      <c r="P6077" s="132" t="s">
        <v>77</v>
      </c>
      <c r="Q6077" s="176">
        <v>800</v>
      </c>
      <c r="R6077" s="176">
        <v>128</v>
      </c>
      <c r="S6077" s="176"/>
      <c r="T6077" s="190"/>
      <c r="U6077" s="191"/>
      <c r="V6077" s="191">
        <v>928</v>
      </c>
      <c r="W6077">
        <v>93</v>
      </c>
      <c r="X6077" s="186" t="s">
        <v>1644</v>
      </c>
      <c r="Y6077" s="187" t="s">
        <v>55</v>
      </c>
      <c r="Z6077" s="311" t="s">
        <v>214</v>
      </c>
      <c r="AB6077" t="str">
        <f>IF(Table1[[#This Row],[TIPO2]]="costo", VLOOKUP(Table1[[#This Row],[PARTIDA PRESUPUESTAL]],'Cost Report'!G:G,1,0),"Balance")</f>
        <v>7080-003</v>
      </c>
      <c r="AD6077" s="159">
        <f>+Table1[[#This Row],[SUBTOTAL]]+Table1[[#This Row],[IVA]]-Table1[[#This Row],[RET IVA]]-Table1[[#This Row],[RET ISR]]-Table1[[#This Row],[TOTAL]]</f>
        <v>0</v>
      </c>
      <c r="AG6077" t="s">
        <v>3420</v>
      </c>
      <c r="AK6077" s="306" t="str">
        <f>IF(ISNUMBER(Table1[[#This Row],[FECHA DE RECIBIDO]]), Table1[[#This Row],[FECHA DE RECIBIDO]]-DATE(2023,8,30), "")</f>
        <v/>
      </c>
    </row>
    <row r="6078" spans="1:37" ht="16.05" customHeight="1">
      <c r="A6078" s="172" t="s">
        <v>5162</v>
      </c>
      <c r="B6078" s="178">
        <v>2125</v>
      </c>
      <c r="C6078" s="179" t="s">
        <v>420</v>
      </c>
      <c r="D6078">
        <v>4162</v>
      </c>
      <c r="E6078" s="125" t="s">
        <v>4102</v>
      </c>
      <c r="F6078" s="178">
        <v>601</v>
      </c>
      <c r="G6078" s="178" t="s">
        <v>134</v>
      </c>
      <c r="H6078">
        <v>1004</v>
      </c>
      <c r="I6078" s="178" t="s">
        <v>1546</v>
      </c>
      <c r="J6078" s="320" t="s">
        <v>214</v>
      </c>
      <c r="K6078" s="178" t="s">
        <v>5167</v>
      </c>
      <c r="L6078" s="125" t="s">
        <v>1579</v>
      </c>
      <c r="M6078">
        <v>1393</v>
      </c>
      <c r="N6078" s="182">
        <v>17</v>
      </c>
      <c r="O6078">
        <v>3992</v>
      </c>
      <c r="P6078" s="132" t="s">
        <v>77</v>
      </c>
      <c r="Q6078" s="176">
        <v>1795.7</v>
      </c>
      <c r="R6078" s="176">
        <v>287.31</v>
      </c>
      <c r="S6078" s="176"/>
      <c r="T6078" s="190"/>
      <c r="U6078" s="191"/>
      <c r="V6078" s="191">
        <v>2083.0100000000002</v>
      </c>
      <c r="W6078">
        <v>93</v>
      </c>
      <c r="X6078" s="186" t="s">
        <v>1644</v>
      </c>
      <c r="Y6078" s="187" t="s">
        <v>55</v>
      </c>
      <c r="Z6078" s="311" t="s">
        <v>214</v>
      </c>
      <c r="AB6078" t="str">
        <f>IF(Table1[[#This Row],[TIPO2]]="costo", VLOOKUP(Table1[[#This Row],[PARTIDA PRESUPUESTAL]],'Cost Report'!G:G,1,0),"Balance")</f>
        <v>1641-003</v>
      </c>
      <c r="AD6078" s="159">
        <f>+Table1[[#This Row],[SUBTOTAL]]+Table1[[#This Row],[IVA]]-Table1[[#This Row],[RET IVA]]-Table1[[#This Row],[RET ISR]]-Table1[[#This Row],[TOTAL]]</f>
        <v>0</v>
      </c>
      <c r="AG6078" t="s">
        <v>3420</v>
      </c>
      <c r="AK6078" s="306" t="str">
        <f>IF(ISNUMBER(Table1[[#This Row],[FECHA DE RECIBIDO]]), Table1[[#This Row],[FECHA DE RECIBIDO]]-DATE(2023,8,30), "")</f>
        <v/>
      </c>
    </row>
    <row r="6079" spans="1:37" ht="16.05" customHeight="1">
      <c r="A6079" s="172" t="s">
        <v>5162</v>
      </c>
      <c r="B6079" s="178">
        <v>2125</v>
      </c>
      <c r="C6079" s="179" t="s">
        <v>2443</v>
      </c>
      <c r="D6079">
        <v>4163</v>
      </c>
      <c r="E6079" s="125" t="s">
        <v>5163</v>
      </c>
      <c r="F6079" s="178">
        <v>601</v>
      </c>
      <c r="G6079" s="178" t="s">
        <v>134</v>
      </c>
      <c r="H6079">
        <v>99</v>
      </c>
      <c r="I6079" s="178" t="s">
        <v>1546</v>
      </c>
      <c r="J6079" s="320" t="s">
        <v>214</v>
      </c>
      <c r="K6079" s="178" t="s">
        <v>5167</v>
      </c>
      <c r="L6079" s="125" t="s">
        <v>1579</v>
      </c>
      <c r="M6079">
        <v>134</v>
      </c>
      <c r="N6079" s="182">
        <v>17</v>
      </c>
      <c r="O6079">
        <v>3993</v>
      </c>
      <c r="P6079" s="132" t="s">
        <v>77</v>
      </c>
      <c r="Q6079" s="176">
        <v>587.92999999999995</v>
      </c>
      <c r="R6079" s="176">
        <v>94.07</v>
      </c>
      <c r="S6079" s="176"/>
      <c r="T6079" s="190"/>
      <c r="U6079" s="191"/>
      <c r="V6079" s="191">
        <v>682</v>
      </c>
      <c r="W6079">
        <v>93</v>
      </c>
      <c r="X6079" s="186" t="s">
        <v>1644</v>
      </c>
      <c r="Y6079" s="187" t="s">
        <v>55</v>
      </c>
      <c r="Z6079" s="311" t="s">
        <v>214</v>
      </c>
      <c r="AB6079" t="str">
        <f>IF(Table1[[#This Row],[TIPO2]]="costo", VLOOKUP(Table1[[#This Row],[PARTIDA PRESUPUESTAL]],'Cost Report'!G:G,1,0),"Balance")</f>
        <v>2080-003</v>
      </c>
      <c r="AD6079" s="159">
        <f>+Table1[[#This Row],[SUBTOTAL]]+Table1[[#This Row],[IVA]]-Table1[[#This Row],[RET IVA]]-Table1[[#This Row],[RET ISR]]-Table1[[#This Row],[TOTAL]]</f>
        <v>0</v>
      </c>
      <c r="AG6079" t="s">
        <v>3420</v>
      </c>
      <c r="AK6079" s="306" t="str">
        <f>IF(ISNUMBER(Table1[[#This Row],[FECHA DE RECIBIDO]]), Table1[[#This Row],[FECHA DE RECIBIDO]]-DATE(2023,8,30), "")</f>
        <v/>
      </c>
    </row>
    <row r="6080" spans="1:37" ht="16.05" customHeight="1">
      <c r="A6080" s="172" t="s">
        <v>5162</v>
      </c>
      <c r="B6080" s="178">
        <v>2125</v>
      </c>
      <c r="C6080" s="179" t="s">
        <v>3108</v>
      </c>
      <c r="D6080">
        <v>4164</v>
      </c>
      <c r="E6080" s="125" t="s">
        <v>1614</v>
      </c>
      <c r="F6080" s="178">
        <v>612</v>
      </c>
      <c r="G6080" s="178" t="s">
        <v>129</v>
      </c>
      <c r="H6080">
        <v>1005</v>
      </c>
      <c r="I6080" s="178" t="s">
        <v>1546</v>
      </c>
      <c r="J6080" s="320" t="s">
        <v>214</v>
      </c>
      <c r="K6080" s="178" t="s">
        <v>5167</v>
      </c>
      <c r="L6080" s="125" t="s">
        <v>1579</v>
      </c>
      <c r="M6080">
        <v>1394</v>
      </c>
      <c r="N6080" s="182">
        <v>17</v>
      </c>
      <c r="O6080">
        <v>3994</v>
      </c>
      <c r="P6080" s="132" t="s">
        <v>77</v>
      </c>
      <c r="Q6080" s="176">
        <v>650</v>
      </c>
      <c r="R6080" s="176">
        <v>104</v>
      </c>
      <c r="S6080" s="176"/>
      <c r="T6080" s="190"/>
      <c r="U6080" s="191"/>
      <c r="V6080" s="191">
        <v>754</v>
      </c>
      <c r="W6080">
        <v>93</v>
      </c>
      <c r="X6080" s="186" t="s">
        <v>1644</v>
      </c>
      <c r="Y6080" s="187" t="s">
        <v>55</v>
      </c>
      <c r="Z6080" s="311" t="s">
        <v>214</v>
      </c>
      <c r="AB6080" t="str">
        <f>IF(Table1[[#This Row],[TIPO2]]="costo", VLOOKUP(Table1[[#This Row],[PARTIDA PRESUPUESTAL]],'Cost Report'!G:G,1,0),"Balance")</f>
        <v>7080-003</v>
      </c>
      <c r="AD6080" s="159">
        <f>+Table1[[#This Row],[SUBTOTAL]]+Table1[[#This Row],[IVA]]-Table1[[#This Row],[RET IVA]]-Table1[[#This Row],[RET ISR]]-Table1[[#This Row],[TOTAL]]</f>
        <v>0</v>
      </c>
      <c r="AG6080" t="s">
        <v>3420</v>
      </c>
      <c r="AK6080" s="306" t="str">
        <f>IF(ISNUMBER(Table1[[#This Row],[FECHA DE RECIBIDO]]), Table1[[#This Row],[FECHA DE RECIBIDO]]-DATE(2023,8,30), "")</f>
        <v/>
      </c>
    </row>
    <row r="6081" spans="1:37" ht="16.05" customHeight="1">
      <c r="A6081" s="172" t="s">
        <v>5162</v>
      </c>
      <c r="B6081" s="178">
        <v>2125</v>
      </c>
      <c r="C6081" s="179" t="s">
        <v>977</v>
      </c>
      <c r="D6081">
        <v>4165</v>
      </c>
      <c r="E6081" s="125" t="s">
        <v>5164</v>
      </c>
      <c r="F6081" s="178">
        <v>601</v>
      </c>
      <c r="G6081" s="178" t="s">
        <v>134</v>
      </c>
      <c r="H6081">
        <v>41</v>
      </c>
      <c r="I6081" s="178" t="s">
        <v>1546</v>
      </c>
      <c r="J6081" s="320" t="s">
        <v>214</v>
      </c>
      <c r="K6081" s="178" t="s">
        <v>5167</v>
      </c>
      <c r="L6081" s="125" t="s">
        <v>1579</v>
      </c>
      <c r="M6081">
        <v>101</v>
      </c>
      <c r="N6081" s="182">
        <v>17</v>
      </c>
      <c r="O6081">
        <v>3995</v>
      </c>
      <c r="P6081" s="132" t="s">
        <v>77</v>
      </c>
      <c r="Q6081" s="176">
        <v>313.04000000000002</v>
      </c>
      <c r="R6081" s="176">
        <v>28.97</v>
      </c>
      <c r="S6081" s="176"/>
      <c r="T6081" s="190"/>
      <c r="U6081" s="191"/>
      <c r="V6081" s="191">
        <v>342.01</v>
      </c>
      <c r="W6081">
        <v>93</v>
      </c>
      <c r="X6081" s="186" t="s">
        <v>1644</v>
      </c>
      <c r="Y6081" s="187" t="s">
        <v>55</v>
      </c>
      <c r="Z6081" s="311" t="s">
        <v>214</v>
      </c>
      <c r="AB6081" t="str">
        <f>IF(Table1[[#This Row],[TIPO2]]="costo", VLOOKUP(Table1[[#This Row],[PARTIDA PRESUPUESTAL]],'Cost Report'!G:G,1,0),"Balance")</f>
        <v>3410-012</v>
      </c>
      <c r="AD6081" s="159">
        <f>+Table1[[#This Row],[SUBTOTAL]]+Table1[[#This Row],[IVA]]-Table1[[#This Row],[RET IVA]]-Table1[[#This Row],[RET ISR]]-Table1[[#This Row],[TOTAL]]</f>
        <v>0</v>
      </c>
      <c r="AG6081" t="s">
        <v>3420</v>
      </c>
      <c r="AK6081" s="306" t="str">
        <f>IF(ISNUMBER(Table1[[#This Row],[FECHA DE RECIBIDO]]), Table1[[#This Row],[FECHA DE RECIBIDO]]-DATE(2023,8,30), "")</f>
        <v/>
      </c>
    </row>
    <row r="6082" spans="1:37" ht="16.05" customHeight="1">
      <c r="A6082" s="172" t="s">
        <v>5162</v>
      </c>
      <c r="B6082" s="178">
        <v>2125</v>
      </c>
      <c r="C6082" s="179" t="s">
        <v>2860</v>
      </c>
      <c r="D6082">
        <v>4166</v>
      </c>
      <c r="E6082" s="125" t="s">
        <v>1603</v>
      </c>
      <c r="F6082" s="178">
        <v>601</v>
      </c>
      <c r="G6082" s="178" t="s">
        <v>134</v>
      </c>
      <c r="H6082">
        <v>43</v>
      </c>
      <c r="I6082" s="178" t="s">
        <v>1546</v>
      </c>
      <c r="J6082" s="320" t="s">
        <v>214</v>
      </c>
      <c r="K6082" s="178" t="s">
        <v>5167</v>
      </c>
      <c r="L6082" s="125" t="s">
        <v>1579</v>
      </c>
      <c r="M6082">
        <v>67</v>
      </c>
      <c r="N6082" s="182">
        <v>17</v>
      </c>
      <c r="O6082">
        <v>3996</v>
      </c>
      <c r="P6082" s="132" t="s">
        <v>77</v>
      </c>
      <c r="Q6082" s="176">
        <v>10.34</v>
      </c>
      <c r="R6082" s="176">
        <v>1.66</v>
      </c>
      <c r="S6082" s="176"/>
      <c r="T6082" s="190"/>
      <c r="U6082" s="191"/>
      <c r="V6082" s="191">
        <v>12</v>
      </c>
      <c r="W6082">
        <v>93</v>
      </c>
      <c r="X6082" s="186" t="s">
        <v>1644</v>
      </c>
      <c r="Y6082" s="187" t="s">
        <v>55</v>
      </c>
      <c r="Z6082" s="311" t="s">
        <v>214</v>
      </c>
      <c r="AB6082" t="str">
        <f>IF(Table1[[#This Row],[TIPO2]]="costo", VLOOKUP(Table1[[#This Row],[PARTIDA PRESUPUESTAL]],'Cost Report'!G:G,1,0),"Balance")</f>
        <v>3629-003</v>
      </c>
      <c r="AD6082" s="159">
        <f>+Table1[[#This Row],[SUBTOTAL]]+Table1[[#This Row],[IVA]]-Table1[[#This Row],[RET IVA]]-Table1[[#This Row],[RET ISR]]-Table1[[#This Row],[TOTAL]]</f>
        <v>0</v>
      </c>
      <c r="AG6082" t="s">
        <v>3420</v>
      </c>
      <c r="AK6082" s="306" t="str">
        <f>IF(ISNUMBER(Table1[[#This Row],[FECHA DE RECIBIDO]]), Table1[[#This Row],[FECHA DE RECIBIDO]]-DATE(2023,8,30), "")</f>
        <v/>
      </c>
    </row>
    <row r="6083" spans="1:37" ht="16.05" customHeight="1">
      <c r="A6083" s="172" t="s">
        <v>5162</v>
      </c>
      <c r="B6083" s="178">
        <v>2125</v>
      </c>
      <c r="C6083" s="179" t="s">
        <v>2860</v>
      </c>
      <c r="D6083">
        <v>4167</v>
      </c>
      <c r="E6083" s="125" t="s">
        <v>1623</v>
      </c>
      <c r="F6083" s="178">
        <v>601</v>
      </c>
      <c r="G6083" s="178" t="s">
        <v>134</v>
      </c>
      <c r="H6083">
        <v>45</v>
      </c>
      <c r="I6083" s="178" t="s">
        <v>1546</v>
      </c>
      <c r="J6083" s="320" t="s">
        <v>214</v>
      </c>
      <c r="K6083" s="178" t="s">
        <v>5167</v>
      </c>
      <c r="L6083" s="125" t="s">
        <v>1579</v>
      </c>
      <c r="M6083">
        <v>56</v>
      </c>
      <c r="N6083" s="182">
        <v>17</v>
      </c>
      <c r="O6083">
        <v>3997</v>
      </c>
      <c r="P6083" s="132" t="s">
        <v>77</v>
      </c>
      <c r="Q6083" s="176">
        <v>1724.14</v>
      </c>
      <c r="R6083" s="176">
        <v>275.86</v>
      </c>
      <c r="S6083" s="176"/>
      <c r="T6083" s="190"/>
      <c r="U6083" s="191"/>
      <c r="V6083" s="191">
        <v>2000</v>
      </c>
      <c r="W6083">
        <v>93</v>
      </c>
      <c r="X6083" s="186" t="s">
        <v>1644</v>
      </c>
      <c r="Y6083" s="187" t="s">
        <v>55</v>
      </c>
      <c r="Z6083" s="311" t="s">
        <v>214</v>
      </c>
      <c r="AB6083" t="str">
        <f>IF(Table1[[#This Row],[TIPO2]]="costo", VLOOKUP(Table1[[#This Row],[PARTIDA PRESUPUESTAL]],'Cost Report'!G:G,1,0),"Balance")</f>
        <v>3629-003</v>
      </c>
      <c r="AD6083" s="159">
        <f>+Table1[[#This Row],[SUBTOTAL]]+Table1[[#This Row],[IVA]]-Table1[[#This Row],[RET IVA]]-Table1[[#This Row],[RET ISR]]-Table1[[#This Row],[TOTAL]]</f>
        <v>0</v>
      </c>
      <c r="AG6083" t="s">
        <v>3420</v>
      </c>
      <c r="AK6083" s="306" t="str">
        <f>IF(ISNUMBER(Table1[[#This Row],[FECHA DE RECIBIDO]]), Table1[[#This Row],[FECHA DE RECIBIDO]]-DATE(2023,8,30), "")</f>
        <v/>
      </c>
    </row>
    <row r="6084" spans="1:37" ht="16.05" customHeight="1">
      <c r="A6084" s="172" t="s">
        <v>5162</v>
      </c>
      <c r="B6084" s="178">
        <v>2125</v>
      </c>
      <c r="C6084" s="179" t="s">
        <v>3108</v>
      </c>
      <c r="D6084">
        <v>4168</v>
      </c>
      <c r="E6084" s="125" t="s">
        <v>1603</v>
      </c>
      <c r="F6084" s="178">
        <v>601</v>
      </c>
      <c r="G6084" s="178" t="s">
        <v>134</v>
      </c>
      <c r="H6084">
        <v>273</v>
      </c>
      <c r="I6084" s="178" t="s">
        <v>1546</v>
      </c>
      <c r="J6084" s="320" t="s">
        <v>214</v>
      </c>
      <c r="K6084" s="178" t="s">
        <v>5167</v>
      </c>
      <c r="L6084" s="125" t="s">
        <v>1579</v>
      </c>
      <c r="M6084">
        <v>364</v>
      </c>
      <c r="N6084" s="182">
        <v>17</v>
      </c>
      <c r="O6084">
        <v>3998</v>
      </c>
      <c r="P6084" s="132" t="s">
        <v>77</v>
      </c>
      <c r="Q6084" s="176">
        <v>159.47999999999999</v>
      </c>
      <c r="R6084" s="176">
        <v>25.52</v>
      </c>
      <c r="S6084" s="176"/>
      <c r="T6084" s="190"/>
      <c r="U6084" s="191"/>
      <c r="V6084" s="191">
        <v>185</v>
      </c>
      <c r="W6084">
        <v>93</v>
      </c>
      <c r="X6084" s="186" t="s">
        <v>1644</v>
      </c>
      <c r="Y6084" s="187" t="s">
        <v>55</v>
      </c>
      <c r="Z6084" s="311" t="s">
        <v>214</v>
      </c>
      <c r="AB6084" t="str">
        <f>IF(Table1[[#This Row],[TIPO2]]="costo", VLOOKUP(Table1[[#This Row],[PARTIDA PRESUPUESTAL]],'Cost Report'!G:G,1,0),"Balance")</f>
        <v>7080-003</v>
      </c>
      <c r="AD6084" s="159">
        <f>+Table1[[#This Row],[SUBTOTAL]]+Table1[[#This Row],[IVA]]-Table1[[#This Row],[RET IVA]]-Table1[[#This Row],[RET ISR]]-Table1[[#This Row],[TOTAL]]</f>
        <v>0</v>
      </c>
      <c r="AG6084" t="s">
        <v>3420</v>
      </c>
      <c r="AK6084" s="306" t="str">
        <f>IF(ISNUMBER(Table1[[#This Row],[FECHA DE RECIBIDO]]), Table1[[#This Row],[FECHA DE RECIBIDO]]-DATE(2023,8,30), "")</f>
        <v/>
      </c>
    </row>
    <row r="6085" spans="1:37" ht="16.05" customHeight="1">
      <c r="A6085" s="172" t="s">
        <v>5162</v>
      </c>
      <c r="B6085" s="178">
        <v>2125</v>
      </c>
      <c r="C6085" s="179" t="s">
        <v>977</v>
      </c>
      <c r="D6085">
        <v>4169</v>
      </c>
      <c r="E6085" s="125" t="s">
        <v>1997</v>
      </c>
      <c r="F6085" s="178">
        <v>623</v>
      </c>
      <c r="G6085" s="178" t="s">
        <v>5096</v>
      </c>
      <c r="H6085">
        <v>31</v>
      </c>
      <c r="I6085" s="178" t="s">
        <v>1546</v>
      </c>
      <c r="J6085" s="320" t="s">
        <v>214</v>
      </c>
      <c r="K6085" s="178" t="s">
        <v>5167</v>
      </c>
      <c r="L6085" s="125" t="s">
        <v>1579</v>
      </c>
      <c r="M6085">
        <v>69</v>
      </c>
      <c r="N6085" s="182">
        <v>17</v>
      </c>
      <c r="O6085">
        <v>3999</v>
      </c>
      <c r="P6085" s="132" t="s">
        <v>77</v>
      </c>
      <c r="Q6085" s="176">
        <v>59</v>
      </c>
      <c r="R6085" s="176"/>
      <c r="S6085" s="176"/>
      <c r="T6085" s="190"/>
      <c r="U6085" s="191"/>
      <c r="V6085" s="191">
        <v>59</v>
      </c>
      <c r="W6085">
        <v>93</v>
      </c>
      <c r="X6085" s="186" t="s">
        <v>1644</v>
      </c>
      <c r="Y6085" s="187" t="s">
        <v>55</v>
      </c>
      <c r="Z6085" s="311">
        <v>189</v>
      </c>
      <c r="AB6085" t="str">
        <f>IF(Table1[[#This Row],[TIPO2]]="costo", VLOOKUP(Table1[[#This Row],[PARTIDA PRESUPUESTAL]],'Cost Report'!G:G,1,0),"Balance")</f>
        <v>3410-012</v>
      </c>
      <c r="AD6085" s="159">
        <f>+Table1[[#This Row],[SUBTOTAL]]+Table1[[#This Row],[IVA]]-Table1[[#This Row],[RET IVA]]-Table1[[#This Row],[RET ISR]]-Table1[[#This Row],[TOTAL]]</f>
        <v>0</v>
      </c>
      <c r="AG6085" t="s">
        <v>3420</v>
      </c>
      <c r="AK6085" s="306" t="str">
        <f>IF(ISNUMBER(Table1[[#This Row],[FECHA DE RECIBIDO]]), Table1[[#This Row],[FECHA DE RECIBIDO]]-DATE(2023,8,30), "")</f>
        <v/>
      </c>
    </row>
    <row r="6086" spans="1:37" ht="16.05" customHeight="1">
      <c r="A6086" s="172" t="s">
        <v>5162</v>
      </c>
      <c r="B6086" s="178">
        <v>2125</v>
      </c>
      <c r="C6086" s="179" t="s">
        <v>3103</v>
      </c>
      <c r="D6086">
        <v>689</v>
      </c>
      <c r="E6086" s="125"/>
      <c r="F6086" s="178"/>
      <c r="G6086" s="178"/>
      <c r="H6086"/>
      <c r="I6086" s="178"/>
      <c r="J6086" s="320" t="s">
        <v>214</v>
      </c>
      <c r="K6086" s="178" t="s">
        <v>5167</v>
      </c>
      <c r="L6086" s="125" t="s">
        <v>1579</v>
      </c>
      <c r="M6086">
        <v>668</v>
      </c>
      <c r="N6086" s="182">
        <v>17</v>
      </c>
      <c r="O6086">
        <v>162</v>
      </c>
      <c r="P6086" s="132" t="s">
        <v>77</v>
      </c>
      <c r="Q6086" s="176">
        <v>30.74</v>
      </c>
      <c r="R6086" s="176"/>
      <c r="S6086" s="176"/>
      <c r="T6086" s="190"/>
      <c r="U6086" s="191"/>
      <c r="V6086" s="191">
        <v>30.74</v>
      </c>
      <c r="W6086">
        <v>93</v>
      </c>
      <c r="X6086" s="186" t="s">
        <v>1644</v>
      </c>
      <c r="Y6086" s="187" t="s">
        <v>55</v>
      </c>
      <c r="Z6086" s="311" t="s">
        <v>214</v>
      </c>
      <c r="AB6086" t="str">
        <f>IF(Table1[[#This Row],[TIPO2]]="costo", VLOOKUP(Table1[[#This Row],[PARTIDA PRESUPUESTAL]],'Cost Report'!G:G,1,0),"Balance")</f>
        <v>7038-009</v>
      </c>
      <c r="AD6086" s="159">
        <f>+Table1[[#This Row],[SUBTOTAL]]+Table1[[#This Row],[IVA]]-Table1[[#This Row],[RET IVA]]-Table1[[#This Row],[RET ISR]]-Table1[[#This Row],[TOTAL]]</f>
        <v>0</v>
      </c>
      <c r="AG6086" t="s">
        <v>3420</v>
      </c>
      <c r="AK6086" s="306" t="str">
        <f>IF(ISNUMBER(Table1[[#This Row],[FECHA DE RECIBIDO]]), Table1[[#This Row],[FECHA DE RECIBIDO]]-DATE(2023,8,30), "")</f>
        <v/>
      </c>
    </row>
    <row r="6087" spans="1:37" ht="16.05" customHeight="1">
      <c r="A6087" s="172" t="s">
        <v>5162</v>
      </c>
      <c r="B6087" s="178">
        <v>2125</v>
      </c>
      <c r="C6087" s="179" t="s">
        <v>977</v>
      </c>
      <c r="D6087">
        <v>689</v>
      </c>
      <c r="E6087" s="125"/>
      <c r="F6087" s="178"/>
      <c r="G6087" s="178"/>
      <c r="H6087"/>
      <c r="I6087" s="178"/>
      <c r="J6087" s="320" t="s">
        <v>214</v>
      </c>
      <c r="K6087" s="178" t="s">
        <v>5167</v>
      </c>
      <c r="L6087" s="125" t="s">
        <v>1579</v>
      </c>
      <c r="M6087">
        <v>1395</v>
      </c>
      <c r="N6087" s="182">
        <v>17</v>
      </c>
      <c r="O6087">
        <v>4000</v>
      </c>
      <c r="P6087" s="132" t="s">
        <v>77</v>
      </c>
      <c r="Q6087" s="176">
        <v>80</v>
      </c>
      <c r="R6087" s="176"/>
      <c r="S6087" s="176"/>
      <c r="T6087" s="190"/>
      <c r="U6087" s="191"/>
      <c r="V6087" s="191">
        <v>80</v>
      </c>
      <c r="W6087">
        <v>93</v>
      </c>
      <c r="X6087" s="186" t="s">
        <v>1644</v>
      </c>
      <c r="Y6087" s="187" t="s">
        <v>55</v>
      </c>
      <c r="Z6087" s="311" t="s">
        <v>214</v>
      </c>
      <c r="AB6087" t="str">
        <f>IF(Table1[[#This Row],[TIPO2]]="costo", VLOOKUP(Table1[[#This Row],[PARTIDA PRESUPUESTAL]],'Cost Report'!G:G,1,0),"Balance")</f>
        <v>3410-012</v>
      </c>
      <c r="AD6087" s="159">
        <f>+Table1[[#This Row],[SUBTOTAL]]+Table1[[#This Row],[IVA]]-Table1[[#This Row],[RET IVA]]-Table1[[#This Row],[RET ISR]]-Table1[[#This Row],[TOTAL]]</f>
        <v>0</v>
      </c>
      <c r="AG6087" t="s">
        <v>3420</v>
      </c>
      <c r="AK6087" s="306" t="str">
        <f>IF(ISNUMBER(Table1[[#This Row],[FECHA DE RECIBIDO]]), Table1[[#This Row],[FECHA DE RECIBIDO]]-DATE(2023,8,30), "")</f>
        <v/>
      </c>
    </row>
    <row r="6088" spans="1:37" ht="16.05" customHeight="1">
      <c r="A6088" s="172" t="s">
        <v>5162</v>
      </c>
      <c r="B6088" s="178">
        <v>2125</v>
      </c>
      <c r="C6088" s="179" t="s">
        <v>2860</v>
      </c>
      <c r="D6088">
        <v>689</v>
      </c>
      <c r="E6088" s="125"/>
      <c r="F6088" s="178"/>
      <c r="G6088" s="178"/>
      <c r="H6088"/>
      <c r="I6088" s="178"/>
      <c r="J6088" s="320" t="s">
        <v>214</v>
      </c>
      <c r="K6088" s="178" t="s">
        <v>5167</v>
      </c>
      <c r="L6088" s="125" t="s">
        <v>1579</v>
      </c>
      <c r="M6088">
        <v>1396</v>
      </c>
      <c r="N6088" s="182">
        <v>17</v>
      </c>
      <c r="O6088">
        <v>4001</v>
      </c>
      <c r="P6088" s="132" t="s">
        <v>77</v>
      </c>
      <c r="Q6088" s="176">
        <v>54</v>
      </c>
      <c r="R6088" s="176"/>
      <c r="S6088" s="176"/>
      <c r="T6088" s="190"/>
      <c r="U6088" s="191"/>
      <c r="V6088" s="191">
        <v>54</v>
      </c>
      <c r="W6088">
        <v>93</v>
      </c>
      <c r="X6088" s="186" t="s">
        <v>1644</v>
      </c>
      <c r="Y6088" s="187" t="s">
        <v>55</v>
      </c>
      <c r="Z6088" s="311" t="s">
        <v>214</v>
      </c>
      <c r="AB6088" t="str">
        <f>IF(Table1[[#This Row],[TIPO2]]="costo", VLOOKUP(Table1[[#This Row],[PARTIDA PRESUPUESTAL]],'Cost Report'!G:G,1,0),"Balance")</f>
        <v>3629-003</v>
      </c>
      <c r="AD6088" s="159">
        <f>+Table1[[#This Row],[SUBTOTAL]]+Table1[[#This Row],[IVA]]-Table1[[#This Row],[RET IVA]]-Table1[[#This Row],[RET ISR]]-Table1[[#This Row],[TOTAL]]</f>
        <v>0</v>
      </c>
      <c r="AG6088" t="s">
        <v>3420</v>
      </c>
      <c r="AK6088" s="306" t="str">
        <f>IF(ISNUMBER(Table1[[#This Row],[FECHA DE RECIBIDO]]), Table1[[#This Row],[FECHA DE RECIBIDO]]-DATE(2023,8,30), "")</f>
        <v/>
      </c>
    </row>
    <row r="6089" spans="1:37" ht="16.05" customHeight="1">
      <c r="A6089" s="172" t="s">
        <v>5162</v>
      </c>
      <c r="B6089" s="178">
        <v>2125</v>
      </c>
      <c r="C6089" s="179" t="s">
        <v>2860</v>
      </c>
      <c r="D6089">
        <v>689</v>
      </c>
      <c r="E6089" s="125"/>
      <c r="F6089" s="178"/>
      <c r="G6089" s="178"/>
      <c r="H6089"/>
      <c r="I6089" s="178"/>
      <c r="J6089" s="320" t="s">
        <v>214</v>
      </c>
      <c r="K6089" s="178" t="s">
        <v>5167</v>
      </c>
      <c r="L6089" s="125" t="s">
        <v>1579</v>
      </c>
      <c r="M6089">
        <v>667</v>
      </c>
      <c r="N6089" s="182">
        <v>17</v>
      </c>
      <c r="O6089">
        <v>4001</v>
      </c>
      <c r="P6089" s="132" t="s">
        <v>77</v>
      </c>
      <c r="Q6089" s="176">
        <v>103</v>
      </c>
      <c r="R6089" s="176"/>
      <c r="S6089" s="176"/>
      <c r="T6089" s="190"/>
      <c r="U6089" s="191"/>
      <c r="V6089" s="191">
        <v>103</v>
      </c>
      <c r="W6089">
        <v>93</v>
      </c>
      <c r="X6089" s="186" t="s">
        <v>1644</v>
      </c>
      <c r="Y6089" s="187" t="s">
        <v>55</v>
      </c>
      <c r="Z6089" s="311" t="s">
        <v>214</v>
      </c>
      <c r="AB6089" t="str">
        <f>IF(Table1[[#This Row],[TIPO2]]="costo", VLOOKUP(Table1[[#This Row],[PARTIDA PRESUPUESTAL]],'Cost Report'!G:G,1,0),"Balance")</f>
        <v>3629-003</v>
      </c>
      <c r="AD6089" s="159">
        <f>+Table1[[#This Row],[SUBTOTAL]]+Table1[[#This Row],[IVA]]-Table1[[#This Row],[RET IVA]]-Table1[[#This Row],[RET ISR]]-Table1[[#This Row],[TOTAL]]</f>
        <v>0</v>
      </c>
      <c r="AG6089" t="s">
        <v>3420</v>
      </c>
      <c r="AK6089" s="306" t="str">
        <f>IF(ISNUMBER(Table1[[#This Row],[FECHA DE RECIBIDO]]), Table1[[#This Row],[FECHA DE RECIBIDO]]-DATE(2023,8,30), "")</f>
        <v/>
      </c>
    </row>
    <row r="6090" spans="1:37" ht="16.05" customHeight="1">
      <c r="A6090" s="172" t="s">
        <v>5162</v>
      </c>
      <c r="B6090" s="178">
        <v>2125</v>
      </c>
      <c r="C6090" s="179" t="s">
        <v>3103</v>
      </c>
      <c r="D6090">
        <v>689</v>
      </c>
      <c r="E6090" s="125"/>
      <c r="F6090" s="178"/>
      <c r="G6090" s="178"/>
      <c r="H6090"/>
      <c r="I6090" s="178"/>
      <c r="J6090" s="320" t="s">
        <v>214</v>
      </c>
      <c r="K6090" s="178" t="s">
        <v>5167</v>
      </c>
      <c r="L6090" s="125" t="s">
        <v>1579</v>
      </c>
      <c r="M6090">
        <v>1371</v>
      </c>
      <c r="N6090" s="182">
        <v>17</v>
      </c>
      <c r="O6090">
        <v>162</v>
      </c>
      <c r="P6090" s="132" t="s">
        <v>77</v>
      </c>
      <c r="Q6090" s="176">
        <v>31.32</v>
      </c>
      <c r="R6090" s="176"/>
      <c r="S6090" s="176"/>
      <c r="T6090" s="190"/>
      <c r="U6090" s="191"/>
      <c r="V6090" s="191">
        <v>31.32</v>
      </c>
      <c r="W6090">
        <v>93</v>
      </c>
      <c r="X6090" s="186" t="s">
        <v>1644</v>
      </c>
      <c r="Y6090" s="187" t="s">
        <v>55</v>
      </c>
      <c r="Z6090" s="311" t="s">
        <v>214</v>
      </c>
      <c r="AB6090" t="str">
        <f>IF(Table1[[#This Row],[TIPO2]]="costo", VLOOKUP(Table1[[#This Row],[PARTIDA PRESUPUESTAL]],'Cost Report'!G:G,1,0),"Balance")</f>
        <v>7038-009</v>
      </c>
      <c r="AD6090" s="159">
        <f>+Table1[[#This Row],[SUBTOTAL]]+Table1[[#This Row],[IVA]]-Table1[[#This Row],[RET IVA]]-Table1[[#This Row],[RET ISR]]-Table1[[#This Row],[TOTAL]]</f>
        <v>0</v>
      </c>
      <c r="AG6090" t="s">
        <v>3420</v>
      </c>
      <c r="AK6090" s="306" t="str">
        <f>IF(ISNUMBER(Table1[[#This Row],[FECHA DE RECIBIDO]]), Table1[[#This Row],[FECHA DE RECIBIDO]]-DATE(2023,8,30), "")</f>
        <v/>
      </c>
    </row>
    <row r="6091" spans="1:37" ht="16.05" customHeight="1">
      <c r="A6091" s="172" t="s">
        <v>5162</v>
      </c>
      <c r="B6091" s="178">
        <v>2125</v>
      </c>
      <c r="C6091" s="179" t="s">
        <v>3103</v>
      </c>
      <c r="D6091">
        <v>689</v>
      </c>
      <c r="E6091" s="125"/>
      <c r="F6091" s="178"/>
      <c r="G6091" s="178"/>
      <c r="H6091"/>
      <c r="I6091" s="178"/>
      <c r="J6091" s="320" t="s">
        <v>214</v>
      </c>
      <c r="K6091" s="178" t="s">
        <v>5167</v>
      </c>
      <c r="L6091" s="125" t="s">
        <v>1579</v>
      </c>
      <c r="M6091">
        <v>1371</v>
      </c>
      <c r="N6091" s="182">
        <v>17</v>
      </c>
      <c r="O6091">
        <v>162</v>
      </c>
      <c r="P6091" s="132" t="s">
        <v>77</v>
      </c>
      <c r="Q6091" s="176">
        <v>31.32</v>
      </c>
      <c r="R6091" s="176"/>
      <c r="S6091" s="176"/>
      <c r="T6091" s="190"/>
      <c r="U6091" s="191"/>
      <c r="V6091" s="191">
        <v>31.32</v>
      </c>
      <c r="W6091">
        <v>93</v>
      </c>
      <c r="X6091" s="186" t="s">
        <v>1644</v>
      </c>
      <c r="Y6091" s="187" t="s">
        <v>55</v>
      </c>
      <c r="Z6091" s="311" t="s">
        <v>214</v>
      </c>
      <c r="AB6091" t="str">
        <f>IF(Table1[[#This Row],[TIPO2]]="costo", VLOOKUP(Table1[[#This Row],[PARTIDA PRESUPUESTAL]],'Cost Report'!G:G,1,0),"Balance")</f>
        <v>7038-009</v>
      </c>
      <c r="AD6091" s="159">
        <f>+Table1[[#This Row],[SUBTOTAL]]+Table1[[#This Row],[IVA]]-Table1[[#This Row],[RET IVA]]-Table1[[#This Row],[RET ISR]]-Table1[[#This Row],[TOTAL]]</f>
        <v>0</v>
      </c>
      <c r="AG6091" t="s">
        <v>3420</v>
      </c>
      <c r="AK6091" s="306" t="str">
        <f>IF(ISNUMBER(Table1[[#This Row],[FECHA DE RECIBIDO]]), Table1[[#This Row],[FECHA DE RECIBIDO]]-DATE(2023,8,30), "")</f>
        <v/>
      </c>
    </row>
    <row r="6092" spans="1:37" ht="16.05" customHeight="1">
      <c r="A6092" s="172" t="s">
        <v>5162</v>
      </c>
      <c r="B6092" s="178">
        <v>2125</v>
      </c>
      <c r="C6092" s="179" t="s">
        <v>2443</v>
      </c>
      <c r="D6092">
        <v>689</v>
      </c>
      <c r="E6092" s="125"/>
      <c r="F6092" s="178"/>
      <c r="G6092" s="178"/>
      <c r="H6092"/>
      <c r="I6092" s="178"/>
      <c r="J6092" s="320" t="s">
        <v>214</v>
      </c>
      <c r="K6092" s="178" t="s">
        <v>5167</v>
      </c>
      <c r="L6092" s="125" t="s">
        <v>1579</v>
      </c>
      <c r="M6092">
        <v>1397</v>
      </c>
      <c r="N6092" s="182">
        <v>17</v>
      </c>
      <c r="O6092">
        <v>4002</v>
      </c>
      <c r="P6092" s="132" t="s">
        <v>77</v>
      </c>
      <c r="Q6092" s="176">
        <v>1856</v>
      </c>
      <c r="R6092" s="176"/>
      <c r="S6092" s="176"/>
      <c r="T6092" s="190"/>
      <c r="U6092" s="191"/>
      <c r="V6092" s="191">
        <v>1856</v>
      </c>
      <c r="W6092">
        <v>93</v>
      </c>
      <c r="X6092" s="186" t="s">
        <v>1644</v>
      </c>
      <c r="Y6092" s="187" t="s">
        <v>55</v>
      </c>
      <c r="Z6092" s="311">
        <v>189</v>
      </c>
      <c r="AB6092" t="str">
        <f>IF(Table1[[#This Row],[TIPO2]]="costo", VLOOKUP(Table1[[#This Row],[PARTIDA PRESUPUESTAL]],'Cost Report'!G:G,1,0),"Balance")</f>
        <v>2080-003</v>
      </c>
      <c r="AD6092" s="159">
        <f>+Table1[[#This Row],[SUBTOTAL]]+Table1[[#This Row],[IVA]]-Table1[[#This Row],[RET IVA]]-Table1[[#This Row],[RET ISR]]-Table1[[#This Row],[TOTAL]]</f>
        <v>0</v>
      </c>
      <c r="AG6092" t="s">
        <v>3420</v>
      </c>
      <c r="AK6092" s="306" t="str">
        <f>IF(ISNUMBER(Table1[[#This Row],[FECHA DE RECIBIDO]]), Table1[[#This Row],[FECHA DE RECIBIDO]]-DATE(2023,8,30), "")</f>
        <v/>
      </c>
    </row>
    <row r="6093" spans="1:37" ht="16.05" customHeight="1">
      <c r="A6093" s="172" t="s">
        <v>5165</v>
      </c>
      <c r="B6093" s="178">
        <v>2126</v>
      </c>
      <c r="C6093" s="126" t="s">
        <v>5477</v>
      </c>
      <c r="D6093">
        <v>4170</v>
      </c>
      <c r="E6093" s="125">
        <v>45050</v>
      </c>
      <c r="F6093" s="178">
        <v>626</v>
      </c>
      <c r="G6093" s="178" t="s">
        <v>109</v>
      </c>
      <c r="H6093">
        <v>335</v>
      </c>
      <c r="I6093" s="178" t="s">
        <v>1546</v>
      </c>
      <c r="J6093" s="320">
        <v>278.64603009259008</v>
      </c>
      <c r="K6093" s="178" t="s">
        <v>5167</v>
      </c>
      <c r="L6093" s="125" t="s">
        <v>1579</v>
      </c>
      <c r="M6093">
        <v>1398</v>
      </c>
      <c r="N6093" s="182">
        <v>17</v>
      </c>
      <c r="O6093">
        <v>4003</v>
      </c>
      <c r="P6093" s="131" t="s">
        <v>77</v>
      </c>
      <c r="Q6093" s="176">
        <v>522.20000000000005</v>
      </c>
      <c r="R6093" s="176"/>
      <c r="S6093" s="176"/>
      <c r="T6093" s="190">
        <v>15.67</v>
      </c>
      <c r="U6093" s="191">
        <v>6.53</v>
      </c>
      <c r="V6093" s="191">
        <v>500.00000000000006</v>
      </c>
      <c r="W6093">
        <v>167</v>
      </c>
      <c r="X6093" s="186" t="s">
        <v>1644</v>
      </c>
      <c r="Y6093" s="187" t="s">
        <v>55</v>
      </c>
      <c r="Z6093" s="311">
        <v>189</v>
      </c>
      <c r="AB6093" t="str">
        <f>IF(Table1[[#This Row],[TIPO2]]="costo", VLOOKUP(Table1[[#This Row],[PARTIDA PRESUPUESTAL]],'Cost Report'!G:G,1,0),"Balance")</f>
        <v>7230-005</v>
      </c>
      <c r="AD6093" s="159">
        <f>+Table1[[#This Row],[SUBTOTAL]]+Table1[[#This Row],[IVA]]-Table1[[#This Row],[RET IVA]]-Table1[[#This Row],[RET ISR]]-Table1[[#This Row],[TOTAL]]</f>
        <v>0</v>
      </c>
      <c r="AG6093" t="s">
        <v>3420</v>
      </c>
      <c r="AJ6093" s="213" t="s">
        <v>5479</v>
      </c>
      <c r="AK6093" s="306">
        <f>IF(ISNUMBER(Table1[[#This Row],[FECHA DE RECIBIDO]]), Table1[[#This Row],[FECHA DE RECIBIDO]]-DATE(2023,8,30), "")</f>
        <v>-44889.35396990741</v>
      </c>
    </row>
    <row r="6094" spans="1:37" ht="16.05" customHeight="1">
      <c r="A6094" s="172" t="s">
        <v>5166</v>
      </c>
      <c r="B6094" s="178">
        <v>2127</v>
      </c>
      <c r="C6094" s="126" t="s">
        <v>5473</v>
      </c>
      <c r="D6094">
        <v>4171</v>
      </c>
      <c r="E6094" s="125">
        <v>45070</v>
      </c>
      <c r="F6094" s="178">
        <v>626</v>
      </c>
      <c r="G6094" s="178" t="s">
        <v>109</v>
      </c>
      <c r="H6094">
        <v>872</v>
      </c>
      <c r="I6094" s="178" t="s">
        <v>1546</v>
      </c>
      <c r="J6094" s="320">
        <v>279.48615740740934</v>
      </c>
      <c r="K6094" s="178" t="s">
        <v>5167</v>
      </c>
      <c r="L6094" s="125" t="s">
        <v>1579</v>
      </c>
      <c r="M6094">
        <v>1207</v>
      </c>
      <c r="N6094" s="182">
        <v>17</v>
      </c>
      <c r="O6094">
        <v>4004</v>
      </c>
      <c r="P6094" s="131" t="s">
        <v>77</v>
      </c>
      <c r="Q6094" s="176">
        <v>672.55</v>
      </c>
      <c r="R6094" s="176">
        <v>107.61</v>
      </c>
      <c r="S6094" s="176"/>
      <c r="T6094" s="190">
        <v>71.760000000000005</v>
      </c>
      <c r="U6094" s="191">
        <v>8.41</v>
      </c>
      <c r="V6094" s="191">
        <v>699.99</v>
      </c>
      <c r="W6094">
        <v>148</v>
      </c>
      <c r="X6094" s="186" t="s">
        <v>1644</v>
      </c>
      <c r="Y6094" s="187" t="s">
        <v>55</v>
      </c>
      <c r="Z6094" s="311">
        <v>220</v>
      </c>
      <c r="AB6094" t="str">
        <f>IF(Table1[[#This Row],[TIPO2]]="costo", VLOOKUP(Table1[[#This Row],[PARTIDA PRESUPUESTAL]],'Cost Report'!G:G,1,0),"Balance")</f>
        <v>7230-001</v>
      </c>
      <c r="AD6094" s="159">
        <f>+Table1[[#This Row],[SUBTOTAL]]+Table1[[#This Row],[IVA]]-Table1[[#This Row],[RET IVA]]-Table1[[#This Row],[RET ISR]]-Table1[[#This Row],[TOTAL]]</f>
        <v>0</v>
      </c>
      <c r="AG6094" t="s">
        <v>3420</v>
      </c>
      <c r="AJ6094" s="213" t="s">
        <v>5479</v>
      </c>
      <c r="AK6094" s="306">
        <f>IF(ISNUMBER(Table1[[#This Row],[FECHA DE RECIBIDO]]), Table1[[#This Row],[FECHA DE RECIBIDO]]-DATE(2023,8,30), "")</f>
        <v>-44888.513842592591</v>
      </c>
    </row>
    <row r="6095" spans="1:37">
      <c r="A6095" s="172"/>
      <c r="B6095" s="178"/>
      <c r="C6095" s="179" t="s">
        <v>71</v>
      </c>
      <c r="D6095"/>
      <c r="E6095" s="125"/>
      <c r="F6095" s="178"/>
      <c r="G6095" s="178"/>
      <c r="H6095"/>
      <c r="I6095" s="178"/>
      <c r="J6095" s="320" t="s">
        <v>214</v>
      </c>
      <c r="K6095" s="178" t="s">
        <v>5167</v>
      </c>
      <c r="L6095" s="125" t="s">
        <v>1643</v>
      </c>
      <c r="M6095">
        <v>1339</v>
      </c>
      <c r="N6095" s="182"/>
      <c r="O6095">
        <v>4005</v>
      </c>
      <c r="P6095" s="131" t="s">
        <v>78</v>
      </c>
      <c r="Q6095" s="176">
        <v>-167845.72</v>
      </c>
      <c r="R6095" s="176"/>
      <c r="S6095" s="176"/>
      <c r="T6095" s="190">
        <v>0</v>
      </c>
      <c r="U6095" s="191"/>
      <c r="V6095" s="191">
        <f>+Table1[[#This Row],[SUBTOTAL]]</f>
        <v>-167845.72</v>
      </c>
      <c r="W6095"/>
      <c r="X6095" s="186"/>
      <c r="Y6095" s="187"/>
      <c r="Z6095" s="311">
        <v>212</v>
      </c>
      <c r="AB6095" t="s">
        <v>78</v>
      </c>
      <c r="AD6095" s="159">
        <v>0</v>
      </c>
      <c r="AG6095" t="s">
        <v>3420</v>
      </c>
      <c r="AK6095" s="306" t="str">
        <f>IF(ISNUMBER(Table1[[#This Row],[FECHA DE RECIBIDO]]), Table1[[#This Row],[FECHA DE RECIBIDO]]-DATE(2023,8,30), "")</f>
        <v/>
      </c>
    </row>
    <row r="6096" spans="1:37" ht="16.05" customHeight="1">
      <c r="A6096" s="172" t="s">
        <v>5168</v>
      </c>
      <c r="B6096" s="178">
        <v>2128</v>
      </c>
      <c r="C6096" s="179" t="s">
        <v>71</v>
      </c>
      <c r="D6096"/>
      <c r="E6096" s="125"/>
      <c r="F6096" s="178"/>
      <c r="G6096" s="178"/>
      <c r="H6096"/>
      <c r="I6096" s="178"/>
      <c r="J6096" s="320" t="s">
        <v>214</v>
      </c>
      <c r="K6096" s="178" t="s">
        <v>5167</v>
      </c>
      <c r="L6096" s="125" t="s">
        <v>5169</v>
      </c>
      <c r="M6096">
        <v>1399</v>
      </c>
      <c r="N6096" s="182">
        <v>17</v>
      </c>
      <c r="O6096">
        <v>4006</v>
      </c>
      <c r="P6096" s="131" t="s">
        <v>78</v>
      </c>
      <c r="Q6096" s="176">
        <v>-450</v>
      </c>
      <c r="R6096" s="176"/>
      <c r="S6096" s="176"/>
      <c r="T6096" s="190">
        <v>0</v>
      </c>
      <c r="U6096" s="191"/>
      <c r="V6096" s="191">
        <f>+Table1[[#This Row],[SUBTOTAL]]</f>
        <v>-450</v>
      </c>
      <c r="W6096">
        <v>480</v>
      </c>
      <c r="X6096" s="186" t="s">
        <v>5170</v>
      </c>
      <c r="Y6096" s="187" t="s">
        <v>55</v>
      </c>
      <c r="Z6096" s="311" t="s">
        <v>214</v>
      </c>
      <c r="AB6096" t="str">
        <f>IF(Table1[[#This Row],[TIPO2]]="costo", VLOOKUP(Table1[[#This Row],[PARTIDA PRESUPUESTAL]],'Cost Report'!G:G,1,0),"Balance")</f>
        <v>Balance</v>
      </c>
      <c r="AD6096" s="159">
        <f>+Table1[[#This Row],[SUBTOTAL]]+Table1[[#This Row],[IVA]]-Table1[[#This Row],[RET IVA]]-Table1[[#This Row],[RET ISR]]-Table1[[#This Row],[TOTAL]]</f>
        <v>0</v>
      </c>
      <c r="AK6096" s="306" t="str">
        <f>IF(ISNUMBER(Table1[[#This Row],[FECHA DE RECIBIDO]]), Table1[[#This Row],[FECHA DE RECIBIDO]]-DATE(2023,8,30), "")</f>
        <v/>
      </c>
    </row>
    <row r="6097" spans="1:37" ht="16.05" customHeight="1">
      <c r="A6097" s="172" t="s">
        <v>5171</v>
      </c>
      <c r="B6097" s="178" t="s">
        <v>1576</v>
      </c>
      <c r="C6097" s="179" t="s">
        <v>74</v>
      </c>
      <c r="D6097">
        <v>4172</v>
      </c>
      <c r="E6097" s="125" t="s">
        <v>1577</v>
      </c>
      <c r="F6097" s="178">
        <v>616</v>
      </c>
      <c r="G6097" s="178" t="s">
        <v>1490</v>
      </c>
      <c r="H6097">
        <v>0</v>
      </c>
      <c r="I6097" s="178" t="s">
        <v>1546</v>
      </c>
      <c r="J6097" s="320">
        <v>280.8830208333311</v>
      </c>
      <c r="K6097" s="178" t="s">
        <v>5322</v>
      </c>
      <c r="L6097" s="125" t="s">
        <v>98</v>
      </c>
      <c r="M6097">
        <v>28</v>
      </c>
      <c r="N6097" s="182"/>
      <c r="O6097">
        <v>1425</v>
      </c>
      <c r="P6097" s="131" t="s">
        <v>78</v>
      </c>
      <c r="Q6097" s="176">
        <v>8697617</v>
      </c>
      <c r="R6097" s="176">
        <v>0</v>
      </c>
      <c r="S6097" s="176"/>
      <c r="T6097" s="190">
        <v>0</v>
      </c>
      <c r="U6097" s="191">
        <v>0</v>
      </c>
      <c r="V6097" s="191">
        <v>8697617</v>
      </c>
      <c r="W6097">
        <v>34</v>
      </c>
      <c r="X6097" s="186" t="s">
        <v>1576</v>
      </c>
      <c r="Y6097" s="187" t="s">
        <v>55</v>
      </c>
      <c r="Z6097" s="311">
        <v>289</v>
      </c>
      <c r="AB6097" t="str">
        <f>IF(Table1[[#This Row],[TIPO2]]="costo", VLOOKUP(Table1[[#This Row],[PARTIDA PRESUPUESTAL]],'Cost Report'!G:G,1,0),"Balance")</f>
        <v>Balance</v>
      </c>
      <c r="AD6097" s="159">
        <f>+Table1[[#This Row],[SUBTOTAL]]+Table1[[#This Row],[IVA]]-Table1[[#This Row],[RET IVA]]-Table1[[#This Row],[RET ISR]]-Table1[[#This Row],[TOTAL]]</f>
        <v>0</v>
      </c>
      <c r="AK6097" s="306">
        <f>IF(ISNUMBER(Table1[[#This Row],[FECHA DE RECIBIDO]]), Table1[[#This Row],[FECHA DE RECIBIDO]]-DATE(2023,8,30), "")</f>
        <v>-44887.116979166669</v>
      </c>
    </row>
    <row r="6098" spans="1:37" ht="16.05" customHeight="1">
      <c r="A6098" s="172" t="s">
        <v>5172</v>
      </c>
      <c r="B6098" s="178" t="s">
        <v>1576</v>
      </c>
      <c r="C6098" s="179" t="s">
        <v>75</v>
      </c>
      <c r="D6098">
        <v>4173</v>
      </c>
      <c r="E6098" s="125" t="s">
        <v>1577</v>
      </c>
      <c r="F6098" s="178">
        <v>616</v>
      </c>
      <c r="G6098" s="178" t="s">
        <v>1490</v>
      </c>
      <c r="H6098">
        <v>0</v>
      </c>
      <c r="I6098" s="178" t="s">
        <v>1546</v>
      </c>
      <c r="J6098" s="320">
        <v>280.88553240741021</v>
      </c>
      <c r="K6098" s="178" t="s">
        <v>5322</v>
      </c>
      <c r="L6098" s="125" t="s">
        <v>98</v>
      </c>
      <c r="M6098">
        <v>28</v>
      </c>
      <c r="N6098" s="182"/>
      <c r="O6098">
        <v>23</v>
      </c>
      <c r="P6098" s="131" t="s">
        <v>78</v>
      </c>
      <c r="Q6098" s="176">
        <v>1391618.72</v>
      </c>
      <c r="R6098" s="176">
        <v>0</v>
      </c>
      <c r="S6098" s="176"/>
      <c r="T6098" s="190">
        <v>0</v>
      </c>
      <c r="U6098" s="191">
        <v>0</v>
      </c>
      <c r="V6098" s="191">
        <v>1391618.72</v>
      </c>
      <c r="W6098">
        <v>34</v>
      </c>
      <c r="X6098" s="186" t="s">
        <v>1576</v>
      </c>
      <c r="Y6098" s="187" t="s">
        <v>55</v>
      </c>
      <c r="Z6098" s="311">
        <v>289</v>
      </c>
      <c r="AB6098" t="str">
        <f>IF(Table1[[#This Row],[TIPO2]]="costo", VLOOKUP(Table1[[#This Row],[PARTIDA PRESUPUESTAL]],'Cost Report'!G:G,1,0),"Balance")</f>
        <v>Balance</v>
      </c>
      <c r="AD6098" s="159">
        <f>+Table1[[#This Row],[SUBTOTAL]]+Table1[[#This Row],[IVA]]-Table1[[#This Row],[RET IVA]]-Table1[[#This Row],[RET ISR]]-Table1[[#This Row],[TOTAL]]</f>
        <v>0</v>
      </c>
      <c r="AK6098" s="306">
        <f>IF(ISNUMBER(Table1[[#This Row],[FECHA DE RECIBIDO]]), Table1[[#This Row],[FECHA DE RECIBIDO]]-DATE(2023,8,30), "")</f>
        <v>-44887.11446759259</v>
      </c>
    </row>
    <row r="6099" spans="1:37" ht="16.05" customHeight="1">
      <c r="A6099" s="172" t="s">
        <v>5142</v>
      </c>
      <c r="B6099" s="178">
        <v>2128</v>
      </c>
      <c r="C6099" s="179" t="s">
        <v>2466</v>
      </c>
      <c r="D6099">
        <v>4174</v>
      </c>
      <c r="E6099" s="125">
        <v>44190</v>
      </c>
      <c r="F6099" s="178">
        <v>626</v>
      </c>
      <c r="G6099" s="178" t="s">
        <v>109</v>
      </c>
      <c r="H6099">
        <v>347</v>
      </c>
      <c r="I6099" s="178" t="s">
        <v>1546</v>
      </c>
      <c r="J6099" s="320">
        <v>279.66609953704028</v>
      </c>
      <c r="K6099" s="178" t="s">
        <v>5322</v>
      </c>
      <c r="L6099" s="125" t="s">
        <v>3306</v>
      </c>
      <c r="M6099">
        <v>464</v>
      </c>
      <c r="N6099" s="182">
        <v>51</v>
      </c>
      <c r="O6099">
        <v>4007</v>
      </c>
      <c r="P6099" s="132" t="s">
        <v>77</v>
      </c>
      <c r="Q6099" s="176">
        <v>5500</v>
      </c>
      <c r="R6099" s="176">
        <v>880</v>
      </c>
      <c r="S6099" s="176"/>
      <c r="T6099" s="190">
        <v>586.66999999999996</v>
      </c>
      <c r="U6099" s="191">
        <v>68.75</v>
      </c>
      <c r="V6099" s="191">
        <v>5724.58</v>
      </c>
      <c r="W6099">
        <v>184</v>
      </c>
      <c r="X6099" s="186" t="s">
        <v>4889</v>
      </c>
      <c r="Y6099" s="187" t="s">
        <v>55</v>
      </c>
      <c r="Z6099" s="311">
        <v>286</v>
      </c>
      <c r="AB6099" t="str">
        <f>IF(Table1[[#This Row],[TIPO2]]="costo", VLOOKUP(Table1[[#This Row],[PARTIDA PRESUPUESTAL]],'Cost Report'!G:G,1,0),"Balance")</f>
        <v>2394-005</v>
      </c>
      <c r="AD6099" s="159">
        <f>+Table1[[#This Row],[SUBTOTAL]]+Table1[[#This Row],[IVA]]-Table1[[#This Row],[RET IVA]]-Table1[[#This Row],[RET ISR]]-Table1[[#This Row],[TOTAL]]</f>
        <v>0</v>
      </c>
      <c r="AK6099" s="306">
        <f>IF(ISNUMBER(Table1[[#This Row],[FECHA DE RECIBIDO]]), Table1[[#This Row],[FECHA DE RECIBIDO]]-DATE(2023,8,30), "")</f>
        <v>-44888.33390046296</v>
      </c>
    </row>
    <row r="6100" spans="1:37" ht="16.05" customHeight="1">
      <c r="A6100" s="172" t="s">
        <v>5173</v>
      </c>
      <c r="B6100" s="178">
        <v>2129</v>
      </c>
      <c r="C6100" s="179" t="s">
        <v>1505</v>
      </c>
      <c r="D6100">
        <v>4175</v>
      </c>
      <c r="E6100" s="125">
        <v>3920</v>
      </c>
      <c r="F6100" s="178">
        <v>612</v>
      </c>
      <c r="G6100" s="178" t="s">
        <v>129</v>
      </c>
      <c r="H6100">
        <v>1006</v>
      </c>
      <c r="I6100" s="178" t="s">
        <v>1546</v>
      </c>
      <c r="J6100" s="320">
        <v>279.40783564814774</v>
      </c>
      <c r="K6100" s="178" t="s">
        <v>5322</v>
      </c>
      <c r="L6100" s="125" t="s">
        <v>3306</v>
      </c>
      <c r="M6100">
        <v>1400</v>
      </c>
      <c r="N6100" s="182">
        <v>51</v>
      </c>
      <c r="O6100">
        <v>4008</v>
      </c>
      <c r="P6100" s="132" t="s">
        <v>77</v>
      </c>
      <c r="Q6100" s="176">
        <v>15000</v>
      </c>
      <c r="R6100" s="176">
        <v>2400</v>
      </c>
      <c r="S6100" s="176"/>
      <c r="T6100" s="190">
        <v>1600</v>
      </c>
      <c r="U6100" s="191">
        <v>1500</v>
      </c>
      <c r="V6100" s="191">
        <v>14300</v>
      </c>
      <c r="W6100">
        <v>481</v>
      </c>
      <c r="X6100" s="186" t="s">
        <v>195</v>
      </c>
      <c r="Y6100" s="187" t="s">
        <v>55</v>
      </c>
      <c r="Z6100" s="311">
        <v>286</v>
      </c>
      <c r="AB6100" t="str">
        <f>IF(Table1[[#This Row],[TIPO2]]="costo", VLOOKUP(Table1[[#This Row],[PARTIDA PRESUPUESTAL]],'Cost Report'!G:G,1,0),"Balance")</f>
        <v>2494-003</v>
      </c>
      <c r="AD6100" s="159">
        <f>+Table1[[#This Row],[SUBTOTAL]]+Table1[[#This Row],[IVA]]-Table1[[#This Row],[RET IVA]]-Table1[[#This Row],[RET ISR]]-Table1[[#This Row],[TOTAL]]</f>
        <v>0</v>
      </c>
      <c r="AK6100" s="306">
        <f>IF(ISNUMBER(Table1[[#This Row],[FECHA DE RECIBIDO]]), Table1[[#This Row],[FECHA DE RECIBIDO]]-DATE(2023,8,30), "")</f>
        <v>-44888.592164351852</v>
      </c>
    </row>
    <row r="6101" spans="1:37" ht="16.05" customHeight="1">
      <c r="A6101" s="172" t="s">
        <v>5174</v>
      </c>
      <c r="B6101" s="178">
        <v>2130</v>
      </c>
      <c r="C6101" s="179" t="s">
        <v>2546</v>
      </c>
      <c r="D6101">
        <v>4176</v>
      </c>
      <c r="E6101" s="125">
        <v>44200</v>
      </c>
      <c r="F6101" s="178">
        <v>612</v>
      </c>
      <c r="G6101" s="178" t="s">
        <v>129</v>
      </c>
      <c r="H6101">
        <v>486</v>
      </c>
      <c r="I6101" s="178" t="s">
        <v>1546</v>
      </c>
      <c r="J6101" s="320">
        <v>281.47149305555649</v>
      </c>
      <c r="K6101" s="178" t="s">
        <v>5322</v>
      </c>
      <c r="L6101" s="125" t="s">
        <v>3306</v>
      </c>
      <c r="M6101">
        <v>625</v>
      </c>
      <c r="N6101" s="182">
        <v>51</v>
      </c>
      <c r="O6101">
        <v>4009</v>
      </c>
      <c r="P6101" s="132" t="s">
        <v>77</v>
      </c>
      <c r="Q6101" s="176">
        <v>12420</v>
      </c>
      <c r="R6101" s="176">
        <v>1987.2</v>
      </c>
      <c r="S6101" s="176"/>
      <c r="T6101" s="190">
        <v>1324.8</v>
      </c>
      <c r="U6101" s="191">
        <v>0</v>
      </c>
      <c r="V6101" s="191">
        <v>13082.400000000001</v>
      </c>
      <c r="W6101">
        <v>237</v>
      </c>
      <c r="X6101" s="186" t="s">
        <v>2035</v>
      </c>
      <c r="Y6101" s="187" t="s">
        <v>55</v>
      </c>
      <c r="Z6101" s="311">
        <v>286</v>
      </c>
      <c r="AB6101" t="str">
        <f>IF(Table1[[#This Row],[TIPO2]]="costo", VLOOKUP(Table1[[#This Row],[PARTIDA PRESUPUESTAL]],'Cost Report'!G:G,1,0),"Balance")</f>
        <v>2494-071</v>
      </c>
      <c r="AD6101" s="159">
        <f>+Table1[[#This Row],[SUBTOTAL]]+Table1[[#This Row],[IVA]]-Table1[[#This Row],[RET IVA]]-Table1[[#This Row],[RET ISR]]-Table1[[#This Row],[TOTAL]]</f>
        <v>0</v>
      </c>
      <c r="AK6101" s="306">
        <f>IF(ISNUMBER(Table1[[#This Row],[FECHA DE RECIBIDO]]), Table1[[#This Row],[FECHA DE RECIBIDO]]-DATE(2023,8,30), "")</f>
        <v>-44886.528506944444</v>
      </c>
    </row>
    <row r="6102" spans="1:37" ht="16.05" customHeight="1">
      <c r="A6102" s="172" t="s">
        <v>5175</v>
      </c>
      <c r="B6102" s="178">
        <v>2131</v>
      </c>
      <c r="C6102" s="179" t="s">
        <v>2556</v>
      </c>
      <c r="D6102">
        <v>4177</v>
      </c>
      <c r="E6102" s="125">
        <v>9860</v>
      </c>
      <c r="F6102" s="178">
        <v>626</v>
      </c>
      <c r="G6102" s="178" t="s">
        <v>109</v>
      </c>
      <c r="H6102">
        <v>195</v>
      </c>
      <c r="I6102" s="178" t="s">
        <v>1546</v>
      </c>
      <c r="J6102" s="320">
        <v>278.85181712963094</v>
      </c>
      <c r="K6102" s="178" t="s">
        <v>5322</v>
      </c>
      <c r="L6102" s="125" t="s">
        <v>3306</v>
      </c>
      <c r="M6102">
        <v>260</v>
      </c>
      <c r="N6102" s="182">
        <v>51</v>
      </c>
      <c r="O6102">
        <v>4010</v>
      </c>
      <c r="P6102" s="132" t="s">
        <v>77</v>
      </c>
      <c r="Q6102" s="176">
        <v>6000</v>
      </c>
      <c r="R6102" s="176">
        <v>960</v>
      </c>
      <c r="S6102" s="176"/>
      <c r="T6102" s="190">
        <v>640</v>
      </c>
      <c r="U6102" s="191">
        <v>75</v>
      </c>
      <c r="V6102" s="191">
        <v>6245</v>
      </c>
      <c r="W6102">
        <v>116</v>
      </c>
      <c r="X6102" s="186" t="s">
        <v>2041</v>
      </c>
      <c r="Y6102" s="187" t="s">
        <v>55</v>
      </c>
      <c r="Z6102" s="311">
        <v>286</v>
      </c>
      <c r="AB6102" t="str">
        <f>IF(Table1[[#This Row],[TIPO2]]="costo", VLOOKUP(Table1[[#This Row],[PARTIDA PRESUPUESTAL]],'Cost Report'!G:G,1,0),"Balance")</f>
        <v>2498-003</v>
      </c>
      <c r="AD6102" s="159">
        <f>+Table1[[#This Row],[SUBTOTAL]]+Table1[[#This Row],[IVA]]-Table1[[#This Row],[RET IVA]]-Table1[[#This Row],[RET ISR]]-Table1[[#This Row],[TOTAL]]</f>
        <v>0</v>
      </c>
      <c r="AK6102" s="306">
        <f>IF(ISNUMBER(Table1[[#This Row],[FECHA DE RECIBIDO]]), Table1[[#This Row],[FECHA DE RECIBIDO]]-DATE(2023,8,30), "")</f>
        <v>-44889.148182870369</v>
      </c>
    </row>
    <row r="6103" spans="1:37" ht="16.05" customHeight="1">
      <c r="A6103" s="172" t="s">
        <v>5176</v>
      </c>
      <c r="B6103" s="178">
        <v>2132</v>
      </c>
      <c r="C6103" s="179" t="s">
        <v>2556</v>
      </c>
      <c r="D6103">
        <v>4178</v>
      </c>
      <c r="E6103" s="125">
        <v>6800</v>
      </c>
      <c r="F6103" s="178">
        <v>601</v>
      </c>
      <c r="G6103" s="178" t="s">
        <v>134</v>
      </c>
      <c r="H6103">
        <v>128</v>
      </c>
      <c r="I6103" s="178" t="s">
        <v>1546</v>
      </c>
      <c r="J6103" s="320">
        <v>279.55568287037022</v>
      </c>
      <c r="K6103" s="178" t="s">
        <v>5322</v>
      </c>
      <c r="L6103" s="125" t="s">
        <v>3306</v>
      </c>
      <c r="M6103">
        <v>1300</v>
      </c>
      <c r="N6103" s="182">
        <v>51</v>
      </c>
      <c r="O6103">
        <v>4011</v>
      </c>
      <c r="P6103" s="132" t="s">
        <v>77</v>
      </c>
      <c r="Q6103" s="176">
        <v>500</v>
      </c>
      <c r="R6103" s="176">
        <v>80</v>
      </c>
      <c r="S6103" s="176"/>
      <c r="T6103" s="190">
        <v>0</v>
      </c>
      <c r="U6103" s="191">
        <v>0</v>
      </c>
      <c r="V6103" s="191">
        <v>580</v>
      </c>
      <c r="W6103">
        <v>64</v>
      </c>
      <c r="X6103" s="186" t="s">
        <v>2047</v>
      </c>
      <c r="Y6103" s="187" t="s">
        <v>55</v>
      </c>
      <c r="Z6103" s="311">
        <v>286</v>
      </c>
      <c r="AB6103" t="str">
        <f>IF(Table1[[#This Row],[TIPO2]]="costo", VLOOKUP(Table1[[#This Row],[PARTIDA PRESUPUESTAL]],'Cost Report'!G:G,1,0),"Balance")</f>
        <v>2498-003</v>
      </c>
      <c r="AD6103" s="159">
        <f>+Table1[[#This Row],[SUBTOTAL]]+Table1[[#This Row],[IVA]]-Table1[[#This Row],[RET IVA]]-Table1[[#This Row],[RET ISR]]-Table1[[#This Row],[TOTAL]]</f>
        <v>0</v>
      </c>
      <c r="AK6103" s="306">
        <f>IF(ISNUMBER(Table1[[#This Row],[FECHA DE RECIBIDO]]), Table1[[#This Row],[FECHA DE RECIBIDO]]-DATE(2023,8,30), "")</f>
        <v>-44888.44431712963</v>
      </c>
    </row>
    <row r="6104" spans="1:37" ht="16.05" customHeight="1">
      <c r="A6104" s="172"/>
      <c r="B6104" s="178">
        <v>2133</v>
      </c>
      <c r="C6104" s="179" t="s">
        <v>2556</v>
      </c>
      <c r="D6104">
        <v>4179</v>
      </c>
      <c r="E6104" s="125">
        <v>6800</v>
      </c>
      <c r="F6104" s="178">
        <v>601</v>
      </c>
      <c r="G6104" s="178" t="s">
        <v>134</v>
      </c>
      <c r="H6104">
        <v>128</v>
      </c>
      <c r="I6104" s="178" t="s">
        <v>1546</v>
      </c>
      <c r="J6104" s="320">
        <v>279.56119212962949</v>
      </c>
      <c r="K6104" s="178" t="s">
        <v>5322</v>
      </c>
      <c r="L6104" s="125" t="s">
        <v>3306</v>
      </c>
      <c r="M6104">
        <v>1300</v>
      </c>
      <c r="N6104" s="182">
        <v>51</v>
      </c>
      <c r="O6104">
        <v>4012</v>
      </c>
      <c r="P6104" s="132" t="s">
        <v>77</v>
      </c>
      <c r="Q6104" s="176">
        <v>500</v>
      </c>
      <c r="R6104" s="176">
        <v>80</v>
      </c>
      <c r="S6104" s="176"/>
      <c r="T6104" s="190">
        <v>0</v>
      </c>
      <c r="U6104" s="191">
        <v>0</v>
      </c>
      <c r="V6104" s="191">
        <v>580</v>
      </c>
      <c r="W6104">
        <v>64</v>
      </c>
      <c r="X6104" s="186" t="s">
        <v>2047</v>
      </c>
      <c r="Y6104" s="187" t="s">
        <v>55</v>
      </c>
      <c r="Z6104" s="311">
        <v>286</v>
      </c>
      <c r="AB6104" t="str">
        <f>IF(Table1[[#This Row],[TIPO2]]="costo", VLOOKUP(Table1[[#This Row],[PARTIDA PRESUPUESTAL]],'Cost Report'!G:G,1,0),"Balance")</f>
        <v>2498-003</v>
      </c>
      <c r="AD6104" s="159">
        <f>+Table1[[#This Row],[SUBTOTAL]]+Table1[[#This Row],[IVA]]-Table1[[#This Row],[RET IVA]]-Table1[[#This Row],[RET ISR]]-Table1[[#This Row],[TOTAL]]</f>
        <v>0</v>
      </c>
      <c r="AK6104" s="306">
        <f>IF(ISNUMBER(Table1[[#This Row],[FECHA DE RECIBIDO]]), Table1[[#This Row],[FECHA DE RECIBIDO]]-DATE(2023,8,30), "")</f>
        <v>-44888.438807870371</v>
      </c>
    </row>
    <row r="6105" spans="1:37" ht="16.05" customHeight="1">
      <c r="A6105" s="172"/>
      <c r="B6105" s="178">
        <v>2134</v>
      </c>
      <c r="C6105" s="179" t="s">
        <v>2556</v>
      </c>
      <c r="D6105">
        <v>4180</v>
      </c>
      <c r="E6105" s="125">
        <v>6800</v>
      </c>
      <c r="F6105" s="178">
        <v>601</v>
      </c>
      <c r="G6105" s="178" t="s">
        <v>134</v>
      </c>
      <c r="H6105">
        <v>128</v>
      </c>
      <c r="I6105" s="178" t="s">
        <v>1546</v>
      </c>
      <c r="J6105" s="320">
        <v>279.56436342592497</v>
      </c>
      <c r="K6105" s="178" t="s">
        <v>5322</v>
      </c>
      <c r="L6105" s="125" t="s">
        <v>3306</v>
      </c>
      <c r="M6105">
        <v>1300</v>
      </c>
      <c r="N6105" s="182">
        <v>51</v>
      </c>
      <c r="O6105">
        <v>4013</v>
      </c>
      <c r="P6105" s="132" t="s">
        <v>77</v>
      </c>
      <c r="Q6105" s="176">
        <v>1050</v>
      </c>
      <c r="R6105" s="176">
        <v>168</v>
      </c>
      <c r="S6105" s="176"/>
      <c r="T6105" s="190">
        <v>0</v>
      </c>
      <c r="U6105" s="191">
        <v>0</v>
      </c>
      <c r="V6105" s="191">
        <v>1218</v>
      </c>
      <c r="W6105">
        <v>64</v>
      </c>
      <c r="X6105" s="186" t="s">
        <v>2047</v>
      </c>
      <c r="Y6105" s="187" t="s">
        <v>55</v>
      </c>
      <c r="Z6105" s="311">
        <v>286</v>
      </c>
      <c r="AB6105" t="str">
        <f>IF(Table1[[#This Row],[TIPO2]]="costo", VLOOKUP(Table1[[#This Row],[PARTIDA PRESUPUESTAL]],'Cost Report'!G:G,1,0),"Balance")</f>
        <v>2498-003</v>
      </c>
      <c r="AD6105" s="159">
        <f>+Table1[[#This Row],[SUBTOTAL]]+Table1[[#This Row],[IVA]]-Table1[[#This Row],[RET IVA]]-Table1[[#This Row],[RET ISR]]-Table1[[#This Row],[TOTAL]]</f>
        <v>0</v>
      </c>
      <c r="AK6105" s="306">
        <f>IF(ISNUMBER(Table1[[#This Row],[FECHA DE RECIBIDO]]), Table1[[#This Row],[FECHA DE RECIBIDO]]-DATE(2023,8,30), "")</f>
        <v>-44888.435636574075</v>
      </c>
    </row>
    <row r="6106" spans="1:37" ht="16.05" customHeight="1">
      <c r="A6106" s="172" t="s">
        <v>5177</v>
      </c>
      <c r="B6106" s="178">
        <v>2135</v>
      </c>
      <c r="C6106" s="179" t="s">
        <v>1503</v>
      </c>
      <c r="D6106">
        <v>4181</v>
      </c>
      <c r="E6106" s="125">
        <v>4480</v>
      </c>
      <c r="F6106" s="178">
        <v>626</v>
      </c>
      <c r="G6106" s="178" t="s">
        <v>109</v>
      </c>
      <c r="H6106">
        <v>66</v>
      </c>
      <c r="I6106" s="178" t="s">
        <v>1546</v>
      </c>
      <c r="J6106" s="320">
        <v>280.4789930555562</v>
      </c>
      <c r="K6106" s="178" t="s">
        <v>5322</v>
      </c>
      <c r="L6106" s="125" t="s">
        <v>3306</v>
      </c>
      <c r="M6106">
        <v>89</v>
      </c>
      <c r="N6106" s="182">
        <v>51</v>
      </c>
      <c r="O6106">
        <v>4014</v>
      </c>
      <c r="P6106" s="132" t="s">
        <v>77</v>
      </c>
      <c r="Q6106" s="176">
        <v>19000</v>
      </c>
      <c r="R6106" s="176">
        <v>3040</v>
      </c>
      <c r="S6106" s="176"/>
      <c r="T6106" s="190">
        <v>2026.67</v>
      </c>
      <c r="U6106" s="191">
        <v>237.5</v>
      </c>
      <c r="V6106" s="191">
        <v>19775.830000000002</v>
      </c>
      <c r="W6106">
        <v>48</v>
      </c>
      <c r="X6106" s="186" t="s">
        <v>195</v>
      </c>
      <c r="Y6106" s="187" t="s">
        <v>55</v>
      </c>
      <c r="Z6106" s="311">
        <v>286</v>
      </c>
      <c r="AB6106" t="str">
        <f>IF(Table1[[#This Row],[TIPO2]]="costo", VLOOKUP(Table1[[#This Row],[PARTIDA PRESUPUESTAL]],'Cost Report'!G:G,1,0),"Balance")</f>
        <v>2490-003</v>
      </c>
      <c r="AD6106" s="159">
        <f>+Table1[[#This Row],[SUBTOTAL]]+Table1[[#This Row],[IVA]]-Table1[[#This Row],[RET IVA]]-Table1[[#This Row],[RET ISR]]-Table1[[#This Row],[TOTAL]]</f>
        <v>0</v>
      </c>
      <c r="AK6106" s="306">
        <f>IF(ISNUMBER(Table1[[#This Row],[FECHA DE RECIBIDO]]), Table1[[#This Row],[FECHA DE RECIBIDO]]-DATE(2023,8,30), "")</f>
        <v>-44887.521006944444</v>
      </c>
    </row>
    <row r="6107" spans="1:37" ht="16.05" customHeight="1">
      <c r="A6107" s="172" t="s">
        <v>5178</v>
      </c>
      <c r="B6107" s="178">
        <v>2136</v>
      </c>
      <c r="C6107" s="179" t="s">
        <v>1503</v>
      </c>
      <c r="D6107">
        <v>4182</v>
      </c>
      <c r="E6107" s="125">
        <v>45110</v>
      </c>
      <c r="F6107" s="178">
        <v>612</v>
      </c>
      <c r="G6107" s="178" t="s">
        <v>129</v>
      </c>
      <c r="H6107">
        <v>28</v>
      </c>
      <c r="I6107" s="178" t="s">
        <v>1546</v>
      </c>
      <c r="J6107" s="320">
        <v>279.53660879629751</v>
      </c>
      <c r="K6107" s="178" t="s">
        <v>5322</v>
      </c>
      <c r="L6107" s="125" t="s">
        <v>3306</v>
      </c>
      <c r="M6107">
        <v>37</v>
      </c>
      <c r="N6107" s="182">
        <v>51</v>
      </c>
      <c r="O6107">
        <v>4015</v>
      </c>
      <c r="P6107" s="132" t="s">
        <v>77</v>
      </c>
      <c r="Q6107" s="176">
        <v>15000</v>
      </c>
      <c r="R6107" s="176">
        <v>2400</v>
      </c>
      <c r="S6107" s="176"/>
      <c r="T6107" s="190">
        <v>1600</v>
      </c>
      <c r="U6107" s="191">
        <v>1500</v>
      </c>
      <c r="V6107" s="191">
        <v>14300</v>
      </c>
      <c r="W6107">
        <v>30</v>
      </c>
      <c r="X6107" s="186" t="s">
        <v>1912</v>
      </c>
      <c r="Y6107" s="187" t="s">
        <v>55</v>
      </c>
      <c r="Z6107" s="311">
        <v>286</v>
      </c>
      <c r="AB6107" t="str">
        <f>IF(Table1[[#This Row],[TIPO2]]="costo", VLOOKUP(Table1[[#This Row],[PARTIDA PRESUPUESTAL]],'Cost Report'!G:G,1,0),"Balance")</f>
        <v>2490-003</v>
      </c>
      <c r="AD6107" s="159">
        <f>+Table1[[#This Row],[SUBTOTAL]]+Table1[[#This Row],[IVA]]-Table1[[#This Row],[RET IVA]]-Table1[[#This Row],[RET ISR]]-Table1[[#This Row],[TOTAL]]</f>
        <v>0</v>
      </c>
      <c r="AK6107" s="306">
        <f>IF(ISNUMBER(Table1[[#This Row],[FECHA DE RECIBIDO]]), Table1[[#This Row],[FECHA DE RECIBIDO]]-DATE(2023,8,30), "")</f>
        <v>-44888.463391203702</v>
      </c>
    </row>
    <row r="6108" spans="1:37" ht="16.05" customHeight="1">
      <c r="A6108" s="172" t="s">
        <v>5179</v>
      </c>
      <c r="B6108" s="178">
        <v>2137</v>
      </c>
      <c r="C6108" s="179" t="s">
        <v>2462</v>
      </c>
      <c r="D6108">
        <v>4183</v>
      </c>
      <c r="E6108" s="125">
        <v>29020</v>
      </c>
      <c r="F6108" s="178">
        <v>612</v>
      </c>
      <c r="G6108" s="178" t="s">
        <v>129</v>
      </c>
      <c r="H6108">
        <v>65</v>
      </c>
      <c r="I6108" s="178" t="s">
        <v>1546</v>
      </c>
      <c r="J6108" s="320">
        <v>280.54953703703359</v>
      </c>
      <c r="K6108" s="178" t="s">
        <v>5322</v>
      </c>
      <c r="L6108" s="125" t="s">
        <v>3306</v>
      </c>
      <c r="M6108">
        <v>88</v>
      </c>
      <c r="N6108" s="182">
        <v>51</v>
      </c>
      <c r="O6108">
        <v>4016</v>
      </c>
      <c r="P6108" s="132" t="s">
        <v>77</v>
      </c>
      <c r="Q6108" s="176">
        <v>2000</v>
      </c>
      <c r="R6108" s="176">
        <v>320</v>
      </c>
      <c r="S6108" s="176"/>
      <c r="T6108" s="190">
        <v>213.33</v>
      </c>
      <c r="U6108" s="191">
        <v>200</v>
      </c>
      <c r="V6108" s="191">
        <v>1906.67</v>
      </c>
      <c r="W6108">
        <v>47</v>
      </c>
      <c r="X6108" s="186" t="s">
        <v>2037</v>
      </c>
      <c r="Y6108" s="187" t="s">
        <v>55</v>
      </c>
      <c r="Z6108" s="311">
        <v>286</v>
      </c>
      <c r="AB6108" t="str">
        <f>IF(Table1[[#This Row],[TIPO2]]="costo", VLOOKUP(Table1[[#This Row],[PARTIDA PRESUPUESTAL]],'Cost Report'!G:G,1,0),"Balance")</f>
        <v>2390-005</v>
      </c>
      <c r="AD6108" s="159">
        <f>+Table1[[#This Row],[SUBTOTAL]]+Table1[[#This Row],[IVA]]-Table1[[#This Row],[RET IVA]]-Table1[[#This Row],[RET ISR]]-Table1[[#This Row],[TOTAL]]</f>
        <v>0</v>
      </c>
      <c r="AK6108" s="306">
        <f>IF(ISNUMBER(Table1[[#This Row],[FECHA DE RECIBIDO]]), Table1[[#This Row],[FECHA DE RECIBIDO]]-DATE(2023,8,30), "")</f>
        <v>-44887.450462962966</v>
      </c>
    </row>
    <row r="6109" spans="1:37" ht="16.05" customHeight="1">
      <c r="A6109" s="172" t="s">
        <v>5180</v>
      </c>
      <c r="B6109" s="178">
        <v>2138</v>
      </c>
      <c r="C6109" s="179" t="s">
        <v>2556</v>
      </c>
      <c r="D6109">
        <v>4184</v>
      </c>
      <c r="E6109" s="125">
        <v>6800</v>
      </c>
      <c r="F6109" s="178">
        <v>601</v>
      </c>
      <c r="G6109" s="178" t="s">
        <v>134</v>
      </c>
      <c r="H6109">
        <v>128</v>
      </c>
      <c r="I6109" s="178" t="s">
        <v>1546</v>
      </c>
      <c r="J6109" s="320">
        <v>281.4817361111127</v>
      </c>
      <c r="K6109" s="178" t="s">
        <v>5322</v>
      </c>
      <c r="L6109" s="125" t="s">
        <v>3306</v>
      </c>
      <c r="M6109">
        <v>1300</v>
      </c>
      <c r="N6109" s="182">
        <v>51</v>
      </c>
      <c r="O6109">
        <v>4017</v>
      </c>
      <c r="P6109" s="132" t="s">
        <v>77</v>
      </c>
      <c r="Q6109" s="176">
        <v>1400</v>
      </c>
      <c r="R6109" s="176">
        <v>224</v>
      </c>
      <c r="S6109" s="176"/>
      <c r="T6109" s="190">
        <v>0</v>
      </c>
      <c r="U6109" s="191">
        <v>0</v>
      </c>
      <c r="V6109" s="191">
        <v>1624</v>
      </c>
      <c r="W6109">
        <v>64</v>
      </c>
      <c r="X6109" s="186" t="s">
        <v>2047</v>
      </c>
      <c r="Y6109" s="187" t="s">
        <v>55</v>
      </c>
      <c r="Z6109" s="311">
        <v>286</v>
      </c>
      <c r="AB6109" t="str">
        <f>IF(Table1[[#This Row],[TIPO2]]="costo", VLOOKUP(Table1[[#This Row],[PARTIDA PRESUPUESTAL]],'Cost Report'!G:G,1,0),"Balance")</f>
        <v>2498-003</v>
      </c>
      <c r="AD6109" s="159">
        <f>+Table1[[#This Row],[SUBTOTAL]]+Table1[[#This Row],[IVA]]-Table1[[#This Row],[RET IVA]]-Table1[[#This Row],[RET ISR]]-Table1[[#This Row],[TOTAL]]</f>
        <v>0</v>
      </c>
      <c r="AK6109" s="306">
        <f>IF(ISNUMBER(Table1[[#This Row],[FECHA DE RECIBIDO]]), Table1[[#This Row],[FECHA DE RECIBIDO]]-DATE(2023,8,30), "")</f>
        <v>-44886.518263888887</v>
      </c>
    </row>
    <row r="6110" spans="1:37" ht="16.05" customHeight="1">
      <c r="A6110" s="172" t="s">
        <v>5181</v>
      </c>
      <c r="B6110" s="178">
        <v>2139</v>
      </c>
      <c r="C6110" s="179" t="s">
        <v>2501</v>
      </c>
      <c r="D6110">
        <v>4185</v>
      </c>
      <c r="E6110" s="125">
        <v>9830</v>
      </c>
      <c r="F6110" s="178">
        <v>601</v>
      </c>
      <c r="G6110" s="178" t="s">
        <v>134</v>
      </c>
      <c r="H6110">
        <v>262</v>
      </c>
      <c r="I6110" s="178" t="s">
        <v>1546</v>
      </c>
      <c r="J6110" s="320">
        <v>280.72563657407591</v>
      </c>
      <c r="K6110" s="178" t="s">
        <v>5322</v>
      </c>
      <c r="L6110" s="125" t="s">
        <v>3306</v>
      </c>
      <c r="M6110">
        <v>349</v>
      </c>
      <c r="N6110" s="182">
        <v>51</v>
      </c>
      <c r="O6110">
        <v>4018</v>
      </c>
      <c r="P6110" s="132" t="s">
        <v>77</v>
      </c>
      <c r="Q6110" s="176">
        <v>35000</v>
      </c>
      <c r="R6110" s="176">
        <v>5600</v>
      </c>
      <c r="S6110" s="176"/>
      <c r="T6110" s="190">
        <v>0</v>
      </c>
      <c r="U6110" s="191">
        <v>0</v>
      </c>
      <c r="V6110" s="191">
        <v>40600</v>
      </c>
      <c r="W6110">
        <v>87</v>
      </c>
      <c r="X6110" s="186" t="s">
        <v>2037</v>
      </c>
      <c r="Y6110" s="187" t="s">
        <v>55</v>
      </c>
      <c r="Z6110" s="311">
        <v>286</v>
      </c>
      <c r="AB6110" t="str">
        <f>IF(Table1[[#This Row],[TIPO2]]="costo", VLOOKUP(Table1[[#This Row],[PARTIDA PRESUPUESTAL]],'Cost Report'!G:G,1,0),"Balance")</f>
        <v>2398-003</v>
      </c>
      <c r="AD6110" s="159">
        <f>+Table1[[#This Row],[SUBTOTAL]]+Table1[[#This Row],[IVA]]-Table1[[#This Row],[RET IVA]]-Table1[[#This Row],[RET ISR]]-Table1[[#This Row],[TOTAL]]</f>
        <v>0</v>
      </c>
      <c r="AK6110" s="306">
        <f>IF(ISNUMBER(Table1[[#This Row],[FECHA DE RECIBIDO]]), Table1[[#This Row],[FECHA DE RECIBIDO]]-DATE(2023,8,30), "")</f>
        <v>-44887.274363425924</v>
      </c>
    </row>
    <row r="6111" spans="1:37" ht="16.05" customHeight="1">
      <c r="A6111" s="172"/>
      <c r="B6111" s="178">
        <v>2140</v>
      </c>
      <c r="C6111" s="179" t="s">
        <v>2556</v>
      </c>
      <c r="D6111">
        <v>4186</v>
      </c>
      <c r="E6111" s="125">
        <v>9830</v>
      </c>
      <c r="F6111" s="178">
        <v>601</v>
      </c>
      <c r="G6111" s="178" t="s">
        <v>134</v>
      </c>
      <c r="H6111">
        <v>262</v>
      </c>
      <c r="I6111" s="178" t="s">
        <v>1546</v>
      </c>
      <c r="J6111" s="320">
        <v>281.41180555555911</v>
      </c>
      <c r="K6111" s="178" t="s">
        <v>5322</v>
      </c>
      <c r="L6111" s="125" t="s">
        <v>3306</v>
      </c>
      <c r="M6111">
        <v>349</v>
      </c>
      <c r="N6111" s="182">
        <v>51</v>
      </c>
      <c r="O6111">
        <v>4019</v>
      </c>
      <c r="P6111" s="132" t="s">
        <v>77</v>
      </c>
      <c r="Q6111" s="176">
        <v>800</v>
      </c>
      <c r="R6111" s="176">
        <v>128</v>
      </c>
      <c r="S6111" s="176"/>
      <c r="T6111" s="190">
        <v>0</v>
      </c>
      <c r="U6111" s="191">
        <v>0</v>
      </c>
      <c r="V6111" s="191">
        <v>928</v>
      </c>
      <c r="W6111">
        <v>87</v>
      </c>
      <c r="X6111" s="186" t="s">
        <v>2037</v>
      </c>
      <c r="Y6111" s="187" t="s">
        <v>55</v>
      </c>
      <c r="Z6111" s="311">
        <v>286</v>
      </c>
      <c r="AB6111" t="str">
        <f>IF(Table1[[#This Row],[TIPO2]]="costo", VLOOKUP(Table1[[#This Row],[PARTIDA PRESUPUESTAL]],'Cost Report'!G:G,1,0),"Balance")</f>
        <v>2498-003</v>
      </c>
      <c r="AD6111" s="159">
        <f>+Table1[[#This Row],[SUBTOTAL]]+Table1[[#This Row],[IVA]]-Table1[[#This Row],[RET IVA]]-Table1[[#This Row],[RET ISR]]-Table1[[#This Row],[TOTAL]]</f>
        <v>0</v>
      </c>
      <c r="AK6111" s="306">
        <f>IF(ISNUMBER(Table1[[#This Row],[FECHA DE RECIBIDO]]), Table1[[#This Row],[FECHA DE RECIBIDO]]-DATE(2023,8,30), "")</f>
        <v>-44886.588194444441</v>
      </c>
    </row>
    <row r="6112" spans="1:37" ht="16.05" customHeight="1">
      <c r="A6112" s="172" t="s">
        <v>5182</v>
      </c>
      <c r="B6112" s="178">
        <v>2141</v>
      </c>
      <c r="C6112" s="179" t="s">
        <v>2501</v>
      </c>
      <c r="D6112">
        <v>4187</v>
      </c>
      <c r="E6112" s="125">
        <v>44200</v>
      </c>
      <c r="F6112" s="178">
        <v>612</v>
      </c>
      <c r="G6112" s="178" t="s">
        <v>129</v>
      </c>
      <c r="H6112">
        <v>486</v>
      </c>
      <c r="I6112" s="178" t="s">
        <v>1546</v>
      </c>
      <c r="J6112" s="320">
        <v>280.74108796296059</v>
      </c>
      <c r="K6112" s="178" t="s">
        <v>5322</v>
      </c>
      <c r="L6112" s="125" t="s">
        <v>3306</v>
      </c>
      <c r="M6112">
        <v>625</v>
      </c>
      <c r="N6112" s="182">
        <v>51</v>
      </c>
      <c r="O6112">
        <v>4020</v>
      </c>
      <c r="P6112" s="132" t="s">
        <v>77</v>
      </c>
      <c r="Q6112" s="176">
        <v>3500</v>
      </c>
      <c r="R6112" s="176">
        <v>560</v>
      </c>
      <c r="S6112" s="176"/>
      <c r="T6112" s="190">
        <v>373.33</v>
      </c>
      <c r="U6112" s="191">
        <v>0</v>
      </c>
      <c r="V6112" s="191">
        <v>3686.67</v>
      </c>
      <c r="W6112">
        <v>237</v>
      </c>
      <c r="X6112" s="186" t="s">
        <v>2035</v>
      </c>
      <c r="Y6112" s="187" t="s">
        <v>55</v>
      </c>
      <c r="Z6112" s="311">
        <v>286</v>
      </c>
      <c r="AB6112" t="str">
        <f>IF(Table1[[#This Row],[TIPO2]]="costo", VLOOKUP(Table1[[#This Row],[PARTIDA PRESUPUESTAL]],'Cost Report'!G:G,1,0),"Balance")</f>
        <v>2398-003</v>
      </c>
      <c r="AD6112" s="159">
        <f>+Table1[[#This Row],[SUBTOTAL]]+Table1[[#This Row],[IVA]]-Table1[[#This Row],[RET IVA]]-Table1[[#This Row],[RET ISR]]-Table1[[#This Row],[TOTAL]]</f>
        <v>0</v>
      </c>
      <c r="AK6112" s="306">
        <f>IF(ISNUMBER(Table1[[#This Row],[FECHA DE RECIBIDO]]), Table1[[#This Row],[FECHA DE RECIBIDO]]-DATE(2023,8,30), "")</f>
        <v>-44887.258912037039</v>
      </c>
    </row>
    <row r="6113" spans="1:37" ht="16.05" customHeight="1">
      <c r="A6113" s="172"/>
      <c r="B6113" s="178">
        <v>2142</v>
      </c>
      <c r="C6113" s="179" t="s">
        <v>2538</v>
      </c>
      <c r="D6113">
        <v>4188</v>
      </c>
      <c r="E6113" s="125">
        <v>44200</v>
      </c>
      <c r="F6113" s="178">
        <v>612</v>
      </c>
      <c r="G6113" s="178" t="s">
        <v>129</v>
      </c>
      <c r="H6113">
        <v>486</v>
      </c>
      <c r="I6113" s="178" t="s">
        <v>1546</v>
      </c>
      <c r="J6113" s="320">
        <v>280.7842013888876</v>
      </c>
      <c r="K6113" s="178" t="s">
        <v>5322</v>
      </c>
      <c r="L6113" s="125" t="s">
        <v>3306</v>
      </c>
      <c r="M6113">
        <v>625</v>
      </c>
      <c r="N6113" s="182">
        <v>51</v>
      </c>
      <c r="O6113">
        <v>4021</v>
      </c>
      <c r="P6113" s="132" t="s">
        <v>77</v>
      </c>
      <c r="Q6113" s="176">
        <v>3050</v>
      </c>
      <c r="R6113" s="176">
        <v>488</v>
      </c>
      <c r="S6113" s="176"/>
      <c r="T6113" s="190">
        <v>325.33</v>
      </c>
      <c r="U6113" s="191">
        <v>0</v>
      </c>
      <c r="V6113" s="191">
        <v>3212.67</v>
      </c>
      <c r="W6113">
        <v>237</v>
      </c>
      <c r="X6113" s="186" t="s">
        <v>2035</v>
      </c>
      <c r="Y6113" s="187" t="s">
        <v>55</v>
      </c>
      <c r="Z6113" s="311">
        <v>286</v>
      </c>
      <c r="AB6113" t="str">
        <f>IF(Table1[[#This Row],[TIPO2]]="costo", VLOOKUP(Table1[[#This Row],[PARTIDA PRESUPUESTAL]],'Cost Report'!G:G,1,0),"Balance")</f>
        <v>2494-055</v>
      </c>
      <c r="AD6113" s="159">
        <f>+Table1[[#This Row],[SUBTOTAL]]+Table1[[#This Row],[IVA]]-Table1[[#This Row],[RET IVA]]-Table1[[#This Row],[RET ISR]]-Table1[[#This Row],[TOTAL]]</f>
        <v>0</v>
      </c>
      <c r="AK6113" s="306">
        <f>IF(ISNUMBER(Table1[[#This Row],[FECHA DE RECIBIDO]]), Table1[[#This Row],[FECHA DE RECIBIDO]]-DATE(2023,8,30), "")</f>
        <v>-44887.215798611112</v>
      </c>
    </row>
    <row r="6114" spans="1:37" ht="16.05" customHeight="1">
      <c r="A6114" s="172" t="s">
        <v>5183</v>
      </c>
      <c r="B6114" s="178">
        <v>2143</v>
      </c>
      <c r="C6114" s="179" t="s">
        <v>2556</v>
      </c>
      <c r="D6114">
        <v>4189</v>
      </c>
      <c r="E6114" s="125">
        <v>44190</v>
      </c>
      <c r="F6114" s="178">
        <v>612</v>
      </c>
      <c r="G6114" s="178" t="s">
        <v>129</v>
      </c>
      <c r="H6114">
        <v>348</v>
      </c>
      <c r="I6114" s="178" t="s">
        <v>1546</v>
      </c>
      <c r="J6114" s="320">
        <v>282.73216435185168</v>
      </c>
      <c r="K6114" s="178" t="s">
        <v>5322</v>
      </c>
      <c r="L6114" s="125" t="s">
        <v>3306</v>
      </c>
      <c r="M6114">
        <v>770</v>
      </c>
      <c r="N6114" s="182">
        <v>51</v>
      </c>
      <c r="O6114">
        <v>4022</v>
      </c>
      <c r="P6114" s="132" t="s">
        <v>77</v>
      </c>
      <c r="Q6114" s="176">
        <v>2270</v>
      </c>
      <c r="R6114" s="176">
        <v>363.2</v>
      </c>
      <c r="S6114" s="176"/>
      <c r="T6114" s="190">
        <v>242.13</v>
      </c>
      <c r="U6114" s="191">
        <v>227</v>
      </c>
      <c r="V6114" s="191">
        <v>2164.0699999999997</v>
      </c>
      <c r="W6114">
        <v>185</v>
      </c>
      <c r="X6114" s="186" t="s">
        <v>3120</v>
      </c>
      <c r="Y6114" s="187" t="s">
        <v>55</v>
      </c>
      <c r="Z6114" s="311">
        <v>286</v>
      </c>
      <c r="AB6114" t="str">
        <f>IF(Table1[[#This Row],[TIPO2]]="costo", VLOOKUP(Table1[[#This Row],[PARTIDA PRESUPUESTAL]],'Cost Report'!G:G,1,0),"Balance")</f>
        <v>2498-003</v>
      </c>
      <c r="AD6114" s="159">
        <f>+Table1[[#This Row],[SUBTOTAL]]+Table1[[#This Row],[IVA]]-Table1[[#This Row],[RET IVA]]-Table1[[#This Row],[RET ISR]]-Table1[[#This Row],[TOTAL]]</f>
        <v>0</v>
      </c>
      <c r="AK6114" s="306">
        <f>IF(ISNUMBER(Table1[[#This Row],[FECHA DE RECIBIDO]]), Table1[[#This Row],[FECHA DE RECIBIDO]]-DATE(2023,8,30), "")</f>
        <v>-44885.267835648148</v>
      </c>
    </row>
    <row r="6115" spans="1:37" ht="16.05" customHeight="1">
      <c r="A6115" s="172" t="s">
        <v>5184</v>
      </c>
      <c r="B6115" s="178">
        <v>2144</v>
      </c>
      <c r="C6115" s="179" t="s">
        <v>2556</v>
      </c>
      <c r="D6115">
        <v>4190</v>
      </c>
      <c r="E6115" s="125">
        <v>4600</v>
      </c>
      <c r="F6115" s="178">
        <v>612</v>
      </c>
      <c r="G6115" s="178" t="s">
        <v>129</v>
      </c>
      <c r="H6115">
        <v>210</v>
      </c>
      <c r="I6115" s="178" t="s">
        <v>1546</v>
      </c>
      <c r="J6115" s="320">
        <v>282.62929398148117</v>
      </c>
      <c r="K6115" s="178" t="s">
        <v>5322</v>
      </c>
      <c r="L6115" s="125" t="s">
        <v>3306</v>
      </c>
      <c r="M6115">
        <v>160</v>
      </c>
      <c r="N6115" s="182">
        <v>51</v>
      </c>
      <c r="O6115">
        <v>4023</v>
      </c>
      <c r="P6115" s="132" t="s">
        <v>77</v>
      </c>
      <c r="Q6115" s="176">
        <v>11450</v>
      </c>
      <c r="R6115" s="176">
        <v>1832</v>
      </c>
      <c r="S6115" s="176"/>
      <c r="T6115" s="190">
        <v>1221.3399999999999</v>
      </c>
      <c r="U6115" s="191">
        <v>0</v>
      </c>
      <c r="V6115" s="191">
        <v>12060.66</v>
      </c>
      <c r="W6115">
        <v>482</v>
      </c>
      <c r="X6115" s="186" t="s">
        <v>3817</v>
      </c>
      <c r="Y6115" s="187" t="s">
        <v>55</v>
      </c>
      <c r="Z6115" s="311">
        <v>287</v>
      </c>
      <c r="AB6115" t="str">
        <f>IF(Table1[[#This Row],[TIPO2]]="costo", VLOOKUP(Table1[[#This Row],[PARTIDA PRESUPUESTAL]],'Cost Report'!G:G,1,0),"Balance")</f>
        <v>2498-003</v>
      </c>
      <c r="AD6115" s="159">
        <f>+Table1[[#This Row],[SUBTOTAL]]+Table1[[#This Row],[IVA]]-Table1[[#This Row],[RET IVA]]-Table1[[#This Row],[RET ISR]]-Table1[[#This Row],[TOTAL]]</f>
        <v>0</v>
      </c>
      <c r="AK6115" s="306">
        <f>IF(ISNUMBER(Table1[[#This Row],[FECHA DE RECIBIDO]]), Table1[[#This Row],[FECHA DE RECIBIDO]]-DATE(2023,8,30), "")</f>
        <v>-44885.370706018519</v>
      </c>
    </row>
    <row r="6116" spans="1:37" ht="16.05" customHeight="1">
      <c r="A6116" s="172" t="s">
        <v>5185</v>
      </c>
      <c r="B6116" s="178">
        <v>2145</v>
      </c>
      <c r="C6116" s="179" t="s">
        <v>2556</v>
      </c>
      <c r="D6116">
        <v>4191</v>
      </c>
      <c r="E6116" s="125">
        <v>45138</v>
      </c>
      <c r="F6116" s="178">
        <v>601</v>
      </c>
      <c r="G6116" s="178" t="s">
        <v>134</v>
      </c>
      <c r="H6116">
        <v>488</v>
      </c>
      <c r="I6116" s="178" t="s">
        <v>1546</v>
      </c>
      <c r="J6116" s="320">
        <v>280.46168981481605</v>
      </c>
      <c r="K6116" s="178" t="s">
        <v>5322</v>
      </c>
      <c r="L6116" s="125" t="s">
        <v>3306</v>
      </c>
      <c r="M6116">
        <v>1401</v>
      </c>
      <c r="N6116" s="182">
        <v>51</v>
      </c>
      <c r="O6116">
        <v>4024</v>
      </c>
      <c r="P6116" s="132" t="s">
        <v>77</v>
      </c>
      <c r="Q6116" s="176">
        <v>1832.98</v>
      </c>
      <c r="R6116" s="176">
        <v>293.27999999999997</v>
      </c>
      <c r="S6116" s="176"/>
      <c r="T6116" s="190">
        <v>0</v>
      </c>
      <c r="U6116" s="191">
        <v>0</v>
      </c>
      <c r="V6116" s="191">
        <v>2126.2600000000002</v>
      </c>
      <c r="W6116">
        <v>259</v>
      </c>
      <c r="X6116" s="186" t="s">
        <v>1912</v>
      </c>
      <c r="Y6116" s="187" t="s">
        <v>55</v>
      </c>
      <c r="Z6116" s="311">
        <v>286</v>
      </c>
      <c r="AB6116" t="str">
        <f>IF(Table1[[#This Row],[TIPO2]]="costo", VLOOKUP(Table1[[#This Row],[PARTIDA PRESUPUESTAL]],'Cost Report'!G:G,1,0),"Balance")</f>
        <v>2498-003</v>
      </c>
      <c r="AD6116" s="159">
        <f>+Table1[[#This Row],[SUBTOTAL]]+Table1[[#This Row],[IVA]]-Table1[[#This Row],[RET IVA]]-Table1[[#This Row],[RET ISR]]-Table1[[#This Row],[TOTAL]]</f>
        <v>0</v>
      </c>
      <c r="AK6116" s="306">
        <f>IF(ISNUMBER(Table1[[#This Row],[FECHA DE RECIBIDO]]), Table1[[#This Row],[FECHA DE RECIBIDO]]-DATE(2023,8,30), "")</f>
        <v>-44887.538310185184</v>
      </c>
    </row>
    <row r="6117" spans="1:37" ht="16.05" customHeight="1">
      <c r="A6117" s="172" t="s">
        <v>5186</v>
      </c>
      <c r="B6117" s="178">
        <v>2146</v>
      </c>
      <c r="C6117" s="179" t="s">
        <v>2556</v>
      </c>
      <c r="D6117">
        <v>4192</v>
      </c>
      <c r="E6117" s="125">
        <v>9830</v>
      </c>
      <c r="F6117" s="178">
        <v>601</v>
      </c>
      <c r="G6117" s="178" t="s">
        <v>134</v>
      </c>
      <c r="H6117">
        <v>262</v>
      </c>
      <c r="I6117" s="178" t="s">
        <v>1546</v>
      </c>
      <c r="J6117" s="320">
        <v>281.78402777777956</v>
      </c>
      <c r="K6117" s="178" t="s">
        <v>5322</v>
      </c>
      <c r="L6117" s="125" t="s">
        <v>3306</v>
      </c>
      <c r="M6117">
        <v>349</v>
      </c>
      <c r="N6117" s="182">
        <v>51</v>
      </c>
      <c r="O6117">
        <v>4019</v>
      </c>
      <c r="P6117" s="132" t="s">
        <v>77</v>
      </c>
      <c r="Q6117" s="176">
        <v>800</v>
      </c>
      <c r="R6117" s="176">
        <v>128</v>
      </c>
      <c r="S6117" s="176"/>
      <c r="T6117" s="190">
        <v>0</v>
      </c>
      <c r="U6117" s="191">
        <v>0</v>
      </c>
      <c r="V6117" s="191">
        <v>928</v>
      </c>
      <c r="W6117">
        <v>87</v>
      </c>
      <c r="X6117" s="186" t="s">
        <v>2037</v>
      </c>
      <c r="Y6117" s="187" t="s">
        <v>55</v>
      </c>
      <c r="Z6117" s="311">
        <v>286</v>
      </c>
      <c r="AB6117" t="str">
        <f>IF(Table1[[#This Row],[TIPO2]]="costo", VLOOKUP(Table1[[#This Row],[PARTIDA PRESUPUESTAL]],'Cost Report'!G:G,1,0),"Balance")</f>
        <v>2498-003</v>
      </c>
      <c r="AD6117" s="159">
        <f>+Table1[[#This Row],[SUBTOTAL]]+Table1[[#This Row],[IVA]]-Table1[[#This Row],[RET IVA]]-Table1[[#This Row],[RET ISR]]-Table1[[#This Row],[TOTAL]]</f>
        <v>0</v>
      </c>
      <c r="AK6117" s="306">
        <f>IF(ISNUMBER(Table1[[#This Row],[FECHA DE RECIBIDO]]), Table1[[#This Row],[FECHA DE RECIBIDO]]-DATE(2023,8,30), "")</f>
        <v>-44886.21597222222</v>
      </c>
    </row>
    <row r="6118" spans="1:37" ht="16.05" customHeight="1">
      <c r="A6118" s="172" t="s">
        <v>5187</v>
      </c>
      <c r="B6118" s="178">
        <v>2147</v>
      </c>
      <c r="C6118" s="179" t="s">
        <v>2556</v>
      </c>
      <c r="D6118">
        <v>4193</v>
      </c>
      <c r="E6118" s="125">
        <v>1030</v>
      </c>
      <c r="F6118" s="178">
        <v>612</v>
      </c>
      <c r="G6118" s="178" t="s">
        <v>129</v>
      </c>
      <c r="H6118">
        <v>20</v>
      </c>
      <c r="I6118" s="178" t="s">
        <v>1546</v>
      </c>
      <c r="J6118" s="320">
        <v>280.71597222222044</v>
      </c>
      <c r="K6118" s="178" t="s">
        <v>5322</v>
      </c>
      <c r="L6118" s="125" t="s">
        <v>3306</v>
      </c>
      <c r="M6118">
        <v>26</v>
      </c>
      <c r="N6118" s="182">
        <v>51</v>
      </c>
      <c r="O6118">
        <v>4025</v>
      </c>
      <c r="P6118" s="132" t="s">
        <v>77</v>
      </c>
      <c r="Q6118" s="176">
        <v>12700</v>
      </c>
      <c r="R6118" s="176">
        <v>2032</v>
      </c>
      <c r="S6118" s="176"/>
      <c r="T6118" s="190">
        <v>1354.67</v>
      </c>
      <c r="U6118" s="191">
        <v>1270</v>
      </c>
      <c r="V6118" s="191">
        <v>12107.33</v>
      </c>
      <c r="W6118">
        <v>20</v>
      </c>
      <c r="X6118" s="186" t="s">
        <v>1980</v>
      </c>
      <c r="Y6118" s="187" t="s">
        <v>55</v>
      </c>
      <c r="Z6118" s="311">
        <v>286</v>
      </c>
      <c r="AB6118" t="str">
        <f>IF(Table1[[#This Row],[TIPO2]]="costo", VLOOKUP(Table1[[#This Row],[PARTIDA PRESUPUESTAL]],'Cost Report'!G:G,1,0),"Balance")</f>
        <v>2498-003</v>
      </c>
      <c r="AD6118" s="159">
        <f>+Table1[[#This Row],[SUBTOTAL]]+Table1[[#This Row],[IVA]]-Table1[[#This Row],[RET IVA]]-Table1[[#This Row],[RET ISR]]-Table1[[#This Row],[TOTAL]]</f>
        <v>0</v>
      </c>
      <c r="AK6118" s="306">
        <f>IF(ISNUMBER(Table1[[#This Row],[FECHA DE RECIBIDO]]), Table1[[#This Row],[FECHA DE RECIBIDO]]-DATE(2023,8,30), "")</f>
        <v>-44887.28402777778</v>
      </c>
    </row>
    <row r="6119" spans="1:37" ht="16.05" customHeight="1">
      <c r="A6119" s="172" t="s">
        <v>5188</v>
      </c>
      <c r="B6119" s="178">
        <v>2148</v>
      </c>
      <c r="C6119" s="179" t="s">
        <v>2501</v>
      </c>
      <c r="D6119">
        <v>4194</v>
      </c>
      <c r="E6119" s="125">
        <v>9830</v>
      </c>
      <c r="F6119" s="178">
        <v>601</v>
      </c>
      <c r="G6119" s="178" t="s">
        <v>134</v>
      </c>
      <c r="H6119">
        <v>262</v>
      </c>
      <c r="I6119" s="178" t="s">
        <v>1546</v>
      </c>
      <c r="J6119" s="320">
        <v>282.82776620370714</v>
      </c>
      <c r="K6119" s="178" t="s">
        <v>5322</v>
      </c>
      <c r="L6119" s="125" t="s">
        <v>3306</v>
      </c>
      <c r="M6119">
        <v>349</v>
      </c>
      <c r="N6119" s="182">
        <v>51</v>
      </c>
      <c r="O6119">
        <v>4026</v>
      </c>
      <c r="P6119" s="132" t="s">
        <v>77</v>
      </c>
      <c r="Q6119" s="176">
        <v>18200</v>
      </c>
      <c r="R6119" s="176">
        <v>2912</v>
      </c>
      <c r="S6119" s="176"/>
      <c r="T6119" s="190">
        <v>0</v>
      </c>
      <c r="U6119" s="191">
        <v>0</v>
      </c>
      <c r="V6119" s="191">
        <v>21112</v>
      </c>
      <c r="W6119">
        <v>87</v>
      </c>
      <c r="X6119" s="186" t="s">
        <v>2037</v>
      </c>
      <c r="Y6119" s="187" t="s">
        <v>55</v>
      </c>
      <c r="Z6119" s="311">
        <v>286</v>
      </c>
      <c r="AB6119" t="str">
        <f>IF(Table1[[#This Row],[TIPO2]]="costo", VLOOKUP(Table1[[#This Row],[PARTIDA PRESUPUESTAL]],'Cost Report'!G:G,1,0),"Balance")</f>
        <v>2398-003</v>
      </c>
      <c r="AD6119" s="159">
        <f>+Table1[[#This Row],[SUBTOTAL]]+Table1[[#This Row],[IVA]]-Table1[[#This Row],[RET IVA]]-Table1[[#This Row],[RET ISR]]-Table1[[#This Row],[TOTAL]]</f>
        <v>0</v>
      </c>
      <c r="AK6119" s="306">
        <f>IF(ISNUMBER(Table1[[#This Row],[FECHA DE RECIBIDO]]), Table1[[#This Row],[FECHA DE RECIBIDO]]-DATE(2023,8,30), "")</f>
        <v>-44885.172233796293</v>
      </c>
    </row>
    <row r="6120" spans="1:37" ht="16.05" customHeight="1">
      <c r="A6120" s="172" t="s">
        <v>5189</v>
      </c>
      <c r="B6120" s="178">
        <v>2149</v>
      </c>
      <c r="C6120" s="179" t="s">
        <v>995</v>
      </c>
      <c r="D6120">
        <v>4195</v>
      </c>
      <c r="E6120" s="125">
        <v>44660</v>
      </c>
      <c r="F6120" s="178">
        <v>603</v>
      </c>
      <c r="G6120" s="178" t="s">
        <v>2065</v>
      </c>
      <c r="H6120">
        <v>590</v>
      </c>
      <c r="I6120" s="178" t="s">
        <v>1546</v>
      </c>
      <c r="J6120" s="320">
        <v>289.53422453703388</v>
      </c>
      <c r="K6120" s="178" t="s">
        <v>5322</v>
      </c>
      <c r="L6120" s="125" t="s">
        <v>3306</v>
      </c>
      <c r="M6120">
        <v>836</v>
      </c>
      <c r="N6120" s="182">
        <v>24</v>
      </c>
      <c r="O6120">
        <v>4027</v>
      </c>
      <c r="P6120" s="132" t="s">
        <v>77</v>
      </c>
      <c r="Q6120" s="176">
        <v>140000</v>
      </c>
      <c r="R6120" s="176">
        <v>0</v>
      </c>
      <c r="S6120" s="176"/>
      <c r="T6120" s="190">
        <v>0</v>
      </c>
      <c r="U6120" s="191">
        <v>0</v>
      </c>
      <c r="V6120" s="191">
        <v>140000</v>
      </c>
      <c r="W6120">
        <v>337</v>
      </c>
      <c r="X6120" s="186" t="s">
        <v>1912</v>
      </c>
      <c r="Y6120" s="187" t="s">
        <v>55</v>
      </c>
      <c r="Z6120" s="311">
        <v>286</v>
      </c>
      <c r="AB6120" t="str">
        <f>IF(Table1[[#This Row],[TIPO2]]="costo", VLOOKUP(Table1[[#This Row],[PARTIDA PRESUPUESTAL]],'Cost Report'!G:G,1,0),"Balance")</f>
        <v>3412-027</v>
      </c>
      <c r="AD6120" s="159">
        <f>+Table1[[#This Row],[SUBTOTAL]]+Table1[[#This Row],[IVA]]-Table1[[#This Row],[RET IVA]]-Table1[[#This Row],[RET ISR]]-Table1[[#This Row],[TOTAL]]</f>
        <v>0</v>
      </c>
      <c r="AK6120" s="306">
        <f>IF(ISNUMBER(Table1[[#This Row],[FECHA DE RECIBIDO]]), Table1[[#This Row],[FECHA DE RECIBIDO]]-DATE(2023,8,30), "")</f>
        <v>-44878.465775462966</v>
      </c>
    </row>
    <row r="6121" spans="1:37" ht="16.05" customHeight="1">
      <c r="A6121" s="172" t="s">
        <v>5190</v>
      </c>
      <c r="B6121" s="178">
        <v>2150</v>
      </c>
      <c r="C6121" s="179" t="s">
        <v>3413</v>
      </c>
      <c r="D6121">
        <v>4196</v>
      </c>
      <c r="E6121" s="125">
        <v>44150</v>
      </c>
      <c r="F6121" s="178">
        <v>601</v>
      </c>
      <c r="G6121" s="178" t="s">
        <v>134</v>
      </c>
      <c r="H6121">
        <v>23</v>
      </c>
      <c r="I6121" s="178" t="s">
        <v>1546</v>
      </c>
      <c r="J6121" s="320">
        <v>286.83526620370685</v>
      </c>
      <c r="K6121" s="178" t="s">
        <v>5322</v>
      </c>
      <c r="L6121" s="125" t="s">
        <v>3306</v>
      </c>
      <c r="M6121">
        <v>343</v>
      </c>
      <c r="N6121" s="182">
        <v>1</v>
      </c>
      <c r="O6121">
        <v>4028</v>
      </c>
      <c r="P6121" s="132" t="s">
        <v>77</v>
      </c>
      <c r="Q6121" s="176">
        <v>308.42</v>
      </c>
      <c r="R6121" s="176">
        <v>49.35</v>
      </c>
      <c r="S6121" s="176"/>
      <c r="T6121" s="190"/>
      <c r="U6121" s="191"/>
      <c r="V6121" s="191">
        <v>357.77000000000004</v>
      </c>
      <c r="W6121">
        <v>25</v>
      </c>
      <c r="X6121" s="186" t="s">
        <v>2024</v>
      </c>
      <c r="Y6121" s="187" t="s">
        <v>55</v>
      </c>
      <c r="Z6121" s="311">
        <v>288</v>
      </c>
      <c r="AB6121" t="str">
        <f>IF(Table1[[#This Row],[TIPO2]]="costo", VLOOKUP(Table1[[#This Row],[PARTIDA PRESUPUESTAL]],'Cost Report'!G:G,1,0),"Balance")</f>
        <v>3683-202</v>
      </c>
      <c r="AD6121" s="159">
        <f>+Table1[[#This Row],[SUBTOTAL]]+Table1[[#This Row],[IVA]]-Table1[[#This Row],[RET IVA]]-Table1[[#This Row],[RET ISR]]-Table1[[#This Row],[TOTAL]]</f>
        <v>0</v>
      </c>
      <c r="AK6121" s="306">
        <f>IF(ISNUMBER(Table1[[#This Row],[FECHA DE RECIBIDO]]), Table1[[#This Row],[FECHA DE RECIBIDO]]-DATE(2023,8,30), "")</f>
        <v>-44881.164733796293</v>
      </c>
    </row>
    <row r="6122" spans="1:37" ht="16.05" customHeight="1">
      <c r="A6122" s="172" t="s">
        <v>5190</v>
      </c>
      <c r="B6122" s="178">
        <v>2150</v>
      </c>
      <c r="C6122" s="179" t="s">
        <v>3413</v>
      </c>
      <c r="D6122">
        <v>4196</v>
      </c>
      <c r="E6122" s="125">
        <v>44150</v>
      </c>
      <c r="F6122" s="178">
        <v>601</v>
      </c>
      <c r="G6122" s="178" t="s">
        <v>134</v>
      </c>
      <c r="H6122">
        <v>23</v>
      </c>
      <c r="I6122" s="178" t="s">
        <v>1546</v>
      </c>
      <c r="J6122" s="320">
        <v>286.83526620370685</v>
      </c>
      <c r="K6122" s="178" t="s">
        <v>5322</v>
      </c>
      <c r="L6122" s="125" t="s">
        <v>3306</v>
      </c>
      <c r="M6122">
        <v>343</v>
      </c>
      <c r="N6122" s="182">
        <v>1</v>
      </c>
      <c r="O6122">
        <v>4028</v>
      </c>
      <c r="P6122" s="132" t="s">
        <v>77</v>
      </c>
      <c r="Q6122" s="176">
        <v>308.42</v>
      </c>
      <c r="R6122" s="176">
        <v>49.35</v>
      </c>
      <c r="S6122" s="176"/>
      <c r="T6122" s="190"/>
      <c r="U6122" s="191"/>
      <c r="V6122" s="191">
        <v>357.77000000000004</v>
      </c>
      <c r="W6122">
        <v>25</v>
      </c>
      <c r="X6122" s="186" t="s">
        <v>2024</v>
      </c>
      <c r="Y6122" s="187" t="s">
        <v>55</v>
      </c>
      <c r="Z6122" s="311">
        <v>288</v>
      </c>
      <c r="AB6122" t="str">
        <f>IF(Table1[[#This Row],[TIPO2]]="costo", VLOOKUP(Table1[[#This Row],[PARTIDA PRESUPUESTAL]],'Cost Report'!G:G,1,0),"Balance")</f>
        <v>3683-202</v>
      </c>
      <c r="AD6122" s="159">
        <f>+Table1[[#This Row],[SUBTOTAL]]+Table1[[#This Row],[IVA]]-Table1[[#This Row],[RET IVA]]-Table1[[#This Row],[RET ISR]]-Table1[[#This Row],[TOTAL]]</f>
        <v>0</v>
      </c>
      <c r="AK6122" s="306">
        <f>IF(ISNUMBER(Table1[[#This Row],[FECHA DE RECIBIDO]]), Table1[[#This Row],[FECHA DE RECIBIDO]]-DATE(2023,8,30), "")</f>
        <v>-44881.164733796293</v>
      </c>
    </row>
    <row r="6123" spans="1:37" ht="16.05" customHeight="1">
      <c r="A6123" s="172" t="s">
        <v>5190</v>
      </c>
      <c r="B6123" s="178">
        <v>2150</v>
      </c>
      <c r="C6123" s="179" t="s">
        <v>3413</v>
      </c>
      <c r="D6123">
        <v>4196</v>
      </c>
      <c r="E6123" s="125">
        <v>44150</v>
      </c>
      <c r="F6123" s="178">
        <v>601</v>
      </c>
      <c r="G6123" s="178" t="s">
        <v>134</v>
      </c>
      <c r="H6123">
        <v>23</v>
      </c>
      <c r="I6123" s="178" t="s">
        <v>1546</v>
      </c>
      <c r="J6123" s="320">
        <v>286.83526620370685</v>
      </c>
      <c r="K6123" s="178" t="s">
        <v>5322</v>
      </c>
      <c r="L6123" s="125" t="s">
        <v>3306</v>
      </c>
      <c r="M6123">
        <v>343</v>
      </c>
      <c r="N6123" s="182">
        <v>1</v>
      </c>
      <c r="O6123">
        <v>4028</v>
      </c>
      <c r="P6123" s="132" t="s">
        <v>77</v>
      </c>
      <c r="Q6123" s="176">
        <v>462.62</v>
      </c>
      <c r="R6123" s="176">
        <v>74.02</v>
      </c>
      <c r="S6123" s="176"/>
      <c r="T6123" s="190"/>
      <c r="U6123" s="191"/>
      <c r="V6123" s="191">
        <v>536.64</v>
      </c>
      <c r="W6123">
        <v>25</v>
      </c>
      <c r="X6123" s="186" t="s">
        <v>2024</v>
      </c>
      <c r="Y6123" s="187" t="s">
        <v>55</v>
      </c>
      <c r="Z6123" s="311">
        <v>288</v>
      </c>
      <c r="AB6123" t="str">
        <f>IF(Table1[[#This Row],[TIPO2]]="costo", VLOOKUP(Table1[[#This Row],[PARTIDA PRESUPUESTAL]],'Cost Report'!G:G,1,0),"Balance")</f>
        <v>3683-202</v>
      </c>
      <c r="AD6123" s="159">
        <f>+Table1[[#This Row],[SUBTOTAL]]+Table1[[#This Row],[IVA]]-Table1[[#This Row],[RET IVA]]-Table1[[#This Row],[RET ISR]]-Table1[[#This Row],[TOTAL]]</f>
        <v>0</v>
      </c>
      <c r="AK6123" s="306">
        <f>IF(ISNUMBER(Table1[[#This Row],[FECHA DE RECIBIDO]]), Table1[[#This Row],[FECHA DE RECIBIDO]]-DATE(2023,8,30), "")</f>
        <v>-44881.164733796293</v>
      </c>
    </row>
    <row r="6124" spans="1:37" ht="16.05" customHeight="1">
      <c r="A6124" s="172" t="s">
        <v>5190</v>
      </c>
      <c r="B6124" s="178">
        <v>2150</v>
      </c>
      <c r="C6124" s="179" t="s">
        <v>3413</v>
      </c>
      <c r="D6124">
        <v>4196</v>
      </c>
      <c r="E6124" s="125">
        <v>44150</v>
      </c>
      <c r="F6124" s="178">
        <v>601</v>
      </c>
      <c r="G6124" s="178" t="s">
        <v>134</v>
      </c>
      <c r="H6124">
        <v>23</v>
      </c>
      <c r="I6124" s="178" t="s">
        <v>1546</v>
      </c>
      <c r="J6124" s="320">
        <v>286.83526620370685</v>
      </c>
      <c r="K6124" s="178" t="s">
        <v>5322</v>
      </c>
      <c r="L6124" s="125" t="s">
        <v>3306</v>
      </c>
      <c r="M6124">
        <v>343</v>
      </c>
      <c r="N6124" s="182">
        <v>1</v>
      </c>
      <c r="O6124">
        <v>4028</v>
      </c>
      <c r="P6124" s="132" t="s">
        <v>77</v>
      </c>
      <c r="Q6124" s="176">
        <v>226.17</v>
      </c>
      <c r="R6124" s="176">
        <v>36.19</v>
      </c>
      <c r="S6124" s="176"/>
      <c r="T6124" s="190"/>
      <c r="U6124" s="191"/>
      <c r="V6124" s="191">
        <v>262.36</v>
      </c>
      <c r="W6124">
        <v>25</v>
      </c>
      <c r="X6124" s="186" t="s">
        <v>2024</v>
      </c>
      <c r="Y6124" s="187" t="s">
        <v>55</v>
      </c>
      <c r="Z6124" s="311">
        <v>288</v>
      </c>
      <c r="AB6124" t="str">
        <f>IF(Table1[[#This Row],[TIPO2]]="costo", VLOOKUP(Table1[[#This Row],[PARTIDA PRESUPUESTAL]],'Cost Report'!G:G,1,0),"Balance")</f>
        <v>3683-202</v>
      </c>
      <c r="AD6124" s="159">
        <f>+Table1[[#This Row],[SUBTOTAL]]+Table1[[#This Row],[IVA]]-Table1[[#This Row],[RET IVA]]-Table1[[#This Row],[RET ISR]]-Table1[[#This Row],[TOTAL]]</f>
        <v>0</v>
      </c>
      <c r="AK6124" s="306">
        <f>IF(ISNUMBER(Table1[[#This Row],[FECHA DE RECIBIDO]]), Table1[[#This Row],[FECHA DE RECIBIDO]]-DATE(2023,8,30), "")</f>
        <v>-44881.164733796293</v>
      </c>
    </row>
    <row r="6125" spans="1:37" ht="16.05" customHeight="1">
      <c r="A6125" s="172" t="s">
        <v>5190</v>
      </c>
      <c r="B6125" s="178">
        <v>2150</v>
      </c>
      <c r="C6125" s="179" t="s">
        <v>3413</v>
      </c>
      <c r="D6125">
        <v>4196</v>
      </c>
      <c r="E6125" s="125">
        <v>44150</v>
      </c>
      <c r="F6125" s="178">
        <v>601</v>
      </c>
      <c r="G6125" s="178" t="s">
        <v>134</v>
      </c>
      <c r="H6125">
        <v>23</v>
      </c>
      <c r="I6125" s="178" t="s">
        <v>1546</v>
      </c>
      <c r="J6125" s="320">
        <v>286.83526620370685</v>
      </c>
      <c r="K6125" s="178" t="s">
        <v>5322</v>
      </c>
      <c r="L6125" s="125" t="s">
        <v>3306</v>
      </c>
      <c r="M6125">
        <v>343</v>
      </c>
      <c r="N6125" s="182">
        <v>1</v>
      </c>
      <c r="O6125">
        <v>4028</v>
      </c>
      <c r="P6125" s="132" t="s">
        <v>77</v>
      </c>
      <c r="Q6125" s="176">
        <v>222.06</v>
      </c>
      <c r="R6125" s="176">
        <v>35.53</v>
      </c>
      <c r="S6125" s="176"/>
      <c r="T6125" s="190"/>
      <c r="U6125" s="191"/>
      <c r="V6125" s="191">
        <v>257.59000000000003</v>
      </c>
      <c r="W6125">
        <v>25</v>
      </c>
      <c r="X6125" s="186" t="s">
        <v>2024</v>
      </c>
      <c r="Y6125" s="187" t="s">
        <v>55</v>
      </c>
      <c r="Z6125" s="311">
        <v>288</v>
      </c>
      <c r="AB6125" t="str">
        <f>IF(Table1[[#This Row],[TIPO2]]="costo", VLOOKUP(Table1[[#This Row],[PARTIDA PRESUPUESTAL]],'Cost Report'!G:G,1,0),"Balance")</f>
        <v>3683-202</v>
      </c>
      <c r="AD6125" s="159">
        <f>+Table1[[#This Row],[SUBTOTAL]]+Table1[[#This Row],[IVA]]-Table1[[#This Row],[RET IVA]]-Table1[[#This Row],[RET ISR]]-Table1[[#This Row],[TOTAL]]</f>
        <v>0</v>
      </c>
      <c r="AK6125" s="306">
        <f>IF(ISNUMBER(Table1[[#This Row],[FECHA DE RECIBIDO]]), Table1[[#This Row],[FECHA DE RECIBIDO]]-DATE(2023,8,30), "")</f>
        <v>-44881.164733796293</v>
      </c>
    </row>
    <row r="6126" spans="1:37" ht="16.05" customHeight="1">
      <c r="A6126" s="172" t="s">
        <v>5190</v>
      </c>
      <c r="B6126" s="178">
        <v>2150</v>
      </c>
      <c r="C6126" s="179" t="s">
        <v>3413</v>
      </c>
      <c r="D6126">
        <v>4196</v>
      </c>
      <c r="E6126" s="125">
        <v>44150</v>
      </c>
      <c r="F6126" s="178">
        <v>601</v>
      </c>
      <c r="G6126" s="178" t="s">
        <v>134</v>
      </c>
      <c r="H6126">
        <v>23</v>
      </c>
      <c r="I6126" s="178" t="s">
        <v>1546</v>
      </c>
      <c r="J6126" s="320">
        <v>286.83526620370685</v>
      </c>
      <c r="K6126" s="178" t="s">
        <v>5322</v>
      </c>
      <c r="L6126" s="125" t="s">
        <v>3306</v>
      </c>
      <c r="M6126">
        <v>343</v>
      </c>
      <c r="N6126" s="182">
        <v>1</v>
      </c>
      <c r="O6126">
        <v>4028</v>
      </c>
      <c r="P6126" s="132" t="s">
        <v>77</v>
      </c>
      <c r="Q6126" s="176">
        <v>111.03</v>
      </c>
      <c r="R6126" s="176">
        <v>17.760000000000002</v>
      </c>
      <c r="S6126" s="176"/>
      <c r="T6126" s="190"/>
      <c r="U6126" s="191"/>
      <c r="V6126" s="191">
        <v>128.79</v>
      </c>
      <c r="W6126">
        <v>25</v>
      </c>
      <c r="X6126" s="186" t="s">
        <v>2024</v>
      </c>
      <c r="Y6126" s="187" t="s">
        <v>55</v>
      </c>
      <c r="Z6126" s="311">
        <v>288</v>
      </c>
      <c r="AB6126" t="str">
        <f>IF(Table1[[#This Row],[TIPO2]]="costo", VLOOKUP(Table1[[#This Row],[PARTIDA PRESUPUESTAL]],'Cost Report'!G:G,1,0),"Balance")</f>
        <v>3683-202</v>
      </c>
      <c r="AD6126" s="159">
        <f>+Table1[[#This Row],[SUBTOTAL]]+Table1[[#This Row],[IVA]]-Table1[[#This Row],[RET IVA]]-Table1[[#This Row],[RET ISR]]-Table1[[#This Row],[TOTAL]]</f>
        <v>0</v>
      </c>
      <c r="AK6126" s="306">
        <f>IF(ISNUMBER(Table1[[#This Row],[FECHA DE RECIBIDO]]), Table1[[#This Row],[FECHA DE RECIBIDO]]-DATE(2023,8,30), "")</f>
        <v>-44881.164733796293</v>
      </c>
    </row>
    <row r="6127" spans="1:37" ht="16.05" customHeight="1">
      <c r="A6127" s="172" t="s">
        <v>5190</v>
      </c>
      <c r="B6127" s="178">
        <v>2150</v>
      </c>
      <c r="C6127" s="179" t="s">
        <v>3413</v>
      </c>
      <c r="D6127">
        <v>4196</v>
      </c>
      <c r="E6127" s="125">
        <v>44150</v>
      </c>
      <c r="F6127" s="178">
        <v>601</v>
      </c>
      <c r="G6127" s="178" t="s">
        <v>134</v>
      </c>
      <c r="H6127">
        <v>23</v>
      </c>
      <c r="I6127" s="178" t="s">
        <v>1546</v>
      </c>
      <c r="J6127" s="320">
        <v>286.83526620370685</v>
      </c>
      <c r="K6127" s="178" t="s">
        <v>5322</v>
      </c>
      <c r="L6127" s="125" t="s">
        <v>3306</v>
      </c>
      <c r="M6127">
        <v>343</v>
      </c>
      <c r="N6127" s="182">
        <v>1</v>
      </c>
      <c r="O6127">
        <v>4028</v>
      </c>
      <c r="P6127" s="132" t="s">
        <v>77</v>
      </c>
      <c r="Q6127" s="176">
        <v>222.06</v>
      </c>
      <c r="R6127" s="176">
        <v>35.53</v>
      </c>
      <c r="S6127" s="176"/>
      <c r="T6127" s="190"/>
      <c r="U6127" s="191"/>
      <c r="V6127" s="191">
        <v>257.59000000000003</v>
      </c>
      <c r="W6127">
        <v>25</v>
      </c>
      <c r="X6127" s="186" t="s">
        <v>2024</v>
      </c>
      <c r="Y6127" s="187" t="s">
        <v>55</v>
      </c>
      <c r="Z6127" s="311">
        <v>288</v>
      </c>
      <c r="AB6127" t="str">
        <f>IF(Table1[[#This Row],[TIPO2]]="costo", VLOOKUP(Table1[[#This Row],[PARTIDA PRESUPUESTAL]],'Cost Report'!G:G,1,0),"Balance")</f>
        <v>3683-202</v>
      </c>
      <c r="AD6127" s="159">
        <f>+Table1[[#This Row],[SUBTOTAL]]+Table1[[#This Row],[IVA]]-Table1[[#This Row],[RET IVA]]-Table1[[#This Row],[RET ISR]]-Table1[[#This Row],[TOTAL]]</f>
        <v>0</v>
      </c>
      <c r="AK6127" s="306">
        <f>IF(ISNUMBER(Table1[[#This Row],[FECHA DE RECIBIDO]]), Table1[[#This Row],[FECHA DE RECIBIDO]]-DATE(2023,8,30), "")</f>
        <v>-44881.164733796293</v>
      </c>
    </row>
    <row r="6128" spans="1:37" ht="16.05" customHeight="1">
      <c r="A6128" s="172" t="s">
        <v>5190</v>
      </c>
      <c r="B6128" s="178">
        <v>2150</v>
      </c>
      <c r="C6128" s="179" t="s">
        <v>3413</v>
      </c>
      <c r="D6128">
        <v>4196</v>
      </c>
      <c r="E6128" s="125">
        <v>44150</v>
      </c>
      <c r="F6128" s="178">
        <v>601</v>
      </c>
      <c r="G6128" s="178" t="s">
        <v>134</v>
      </c>
      <c r="H6128">
        <v>23</v>
      </c>
      <c r="I6128" s="178" t="s">
        <v>1546</v>
      </c>
      <c r="J6128" s="320">
        <v>286.83526620370685</v>
      </c>
      <c r="K6128" s="178" t="s">
        <v>5322</v>
      </c>
      <c r="L6128" s="125" t="s">
        <v>3306</v>
      </c>
      <c r="M6128">
        <v>343</v>
      </c>
      <c r="N6128" s="182">
        <v>1</v>
      </c>
      <c r="O6128">
        <v>4028</v>
      </c>
      <c r="P6128" s="132" t="s">
        <v>77</v>
      </c>
      <c r="Q6128" s="176">
        <v>226.17</v>
      </c>
      <c r="R6128" s="176">
        <v>36.19</v>
      </c>
      <c r="S6128" s="176"/>
      <c r="T6128" s="190"/>
      <c r="U6128" s="191"/>
      <c r="V6128" s="191">
        <v>262.36</v>
      </c>
      <c r="W6128">
        <v>25</v>
      </c>
      <c r="X6128" s="186" t="s">
        <v>2024</v>
      </c>
      <c r="Y6128" s="187" t="s">
        <v>55</v>
      </c>
      <c r="Z6128" s="311">
        <v>288</v>
      </c>
      <c r="AB6128" t="str">
        <f>IF(Table1[[#This Row],[TIPO2]]="costo", VLOOKUP(Table1[[#This Row],[PARTIDA PRESUPUESTAL]],'Cost Report'!G:G,1,0),"Balance")</f>
        <v>3683-202</v>
      </c>
      <c r="AD6128" s="159">
        <f>+Table1[[#This Row],[SUBTOTAL]]+Table1[[#This Row],[IVA]]-Table1[[#This Row],[RET IVA]]-Table1[[#This Row],[RET ISR]]-Table1[[#This Row],[TOTAL]]</f>
        <v>0</v>
      </c>
      <c r="AK6128" s="306">
        <f>IF(ISNUMBER(Table1[[#This Row],[FECHA DE RECIBIDO]]), Table1[[#This Row],[FECHA DE RECIBIDO]]-DATE(2023,8,30), "")</f>
        <v>-44881.164733796293</v>
      </c>
    </row>
    <row r="6129" spans="1:37" ht="16.05" customHeight="1">
      <c r="A6129" s="172" t="s">
        <v>5190</v>
      </c>
      <c r="B6129" s="178">
        <v>2150</v>
      </c>
      <c r="C6129" s="179" t="s">
        <v>3413</v>
      </c>
      <c r="D6129">
        <v>4196</v>
      </c>
      <c r="E6129" s="125">
        <v>44150</v>
      </c>
      <c r="F6129" s="178">
        <v>601</v>
      </c>
      <c r="G6129" s="178" t="s">
        <v>134</v>
      </c>
      <c r="H6129">
        <v>23</v>
      </c>
      <c r="I6129" s="178" t="s">
        <v>1546</v>
      </c>
      <c r="J6129" s="320">
        <v>286.83526620370685</v>
      </c>
      <c r="K6129" s="178" t="s">
        <v>5322</v>
      </c>
      <c r="L6129" s="125" t="s">
        <v>3306</v>
      </c>
      <c r="M6129">
        <v>343</v>
      </c>
      <c r="N6129" s="182">
        <v>1</v>
      </c>
      <c r="O6129">
        <v>4028</v>
      </c>
      <c r="P6129" s="132" t="s">
        <v>77</v>
      </c>
      <c r="Q6129" s="176">
        <v>226.17</v>
      </c>
      <c r="R6129" s="176">
        <v>36.19</v>
      </c>
      <c r="S6129" s="176"/>
      <c r="T6129" s="190"/>
      <c r="U6129" s="191"/>
      <c r="V6129" s="191">
        <v>262.36</v>
      </c>
      <c r="W6129">
        <v>25</v>
      </c>
      <c r="X6129" s="186" t="s">
        <v>2024</v>
      </c>
      <c r="Y6129" s="187" t="s">
        <v>55</v>
      </c>
      <c r="Z6129" s="311">
        <v>288</v>
      </c>
      <c r="AB6129" t="str">
        <f>IF(Table1[[#This Row],[TIPO2]]="costo", VLOOKUP(Table1[[#This Row],[PARTIDA PRESUPUESTAL]],'Cost Report'!G:G,1,0),"Balance")</f>
        <v>3683-202</v>
      </c>
      <c r="AD6129" s="159">
        <f>+Table1[[#This Row],[SUBTOTAL]]+Table1[[#This Row],[IVA]]-Table1[[#This Row],[RET IVA]]-Table1[[#This Row],[RET ISR]]-Table1[[#This Row],[TOTAL]]</f>
        <v>0</v>
      </c>
      <c r="AK6129" s="306">
        <f>IF(ISNUMBER(Table1[[#This Row],[FECHA DE RECIBIDO]]), Table1[[#This Row],[FECHA DE RECIBIDO]]-DATE(2023,8,30), "")</f>
        <v>-44881.164733796293</v>
      </c>
    </row>
    <row r="6130" spans="1:37" ht="16.05" customHeight="1">
      <c r="A6130" s="172" t="s">
        <v>5190</v>
      </c>
      <c r="B6130" s="178">
        <v>2150</v>
      </c>
      <c r="C6130" s="179" t="s">
        <v>3413</v>
      </c>
      <c r="D6130">
        <v>4196</v>
      </c>
      <c r="E6130" s="125">
        <v>44150</v>
      </c>
      <c r="F6130" s="178">
        <v>601</v>
      </c>
      <c r="G6130" s="178" t="s">
        <v>134</v>
      </c>
      <c r="H6130">
        <v>23</v>
      </c>
      <c r="I6130" s="178" t="s">
        <v>1546</v>
      </c>
      <c r="J6130" s="320">
        <v>286.83526620370685</v>
      </c>
      <c r="K6130" s="178" t="s">
        <v>5322</v>
      </c>
      <c r="L6130" s="125" t="s">
        <v>3306</v>
      </c>
      <c r="M6130">
        <v>343</v>
      </c>
      <c r="N6130" s="182">
        <v>1</v>
      </c>
      <c r="O6130">
        <v>4028</v>
      </c>
      <c r="P6130" s="132" t="s">
        <v>77</v>
      </c>
      <c r="Q6130" s="176">
        <v>154.21</v>
      </c>
      <c r="R6130" s="176">
        <v>24.67</v>
      </c>
      <c r="S6130" s="176"/>
      <c r="T6130" s="190"/>
      <c r="U6130" s="191"/>
      <c r="V6130" s="191">
        <v>178.88</v>
      </c>
      <c r="W6130">
        <v>25</v>
      </c>
      <c r="X6130" s="186" t="s">
        <v>2024</v>
      </c>
      <c r="Y6130" s="187" t="s">
        <v>55</v>
      </c>
      <c r="Z6130" s="311">
        <v>288</v>
      </c>
      <c r="AB6130" t="str">
        <f>IF(Table1[[#This Row],[TIPO2]]="costo", VLOOKUP(Table1[[#This Row],[PARTIDA PRESUPUESTAL]],'Cost Report'!G:G,1,0),"Balance")</f>
        <v>3683-202</v>
      </c>
      <c r="AD6130" s="159">
        <f>+Table1[[#This Row],[SUBTOTAL]]+Table1[[#This Row],[IVA]]-Table1[[#This Row],[RET IVA]]-Table1[[#This Row],[RET ISR]]-Table1[[#This Row],[TOTAL]]</f>
        <v>0</v>
      </c>
      <c r="AK6130" s="306">
        <f>IF(ISNUMBER(Table1[[#This Row],[FECHA DE RECIBIDO]]), Table1[[#This Row],[FECHA DE RECIBIDO]]-DATE(2023,8,30), "")</f>
        <v>-44881.164733796293</v>
      </c>
    </row>
    <row r="6131" spans="1:37" ht="16.05" customHeight="1">
      <c r="A6131" s="172" t="s">
        <v>5190</v>
      </c>
      <c r="B6131" s="178">
        <v>2150</v>
      </c>
      <c r="C6131" s="179" t="s">
        <v>3413</v>
      </c>
      <c r="D6131">
        <v>4196</v>
      </c>
      <c r="E6131" s="125">
        <v>44150</v>
      </c>
      <c r="F6131" s="178">
        <v>601</v>
      </c>
      <c r="G6131" s="178" t="s">
        <v>134</v>
      </c>
      <c r="H6131">
        <v>23</v>
      </c>
      <c r="I6131" s="178" t="s">
        <v>1546</v>
      </c>
      <c r="J6131" s="320">
        <v>286.83526620370685</v>
      </c>
      <c r="K6131" s="178" t="s">
        <v>5322</v>
      </c>
      <c r="L6131" s="125" t="s">
        <v>3306</v>
      </c>
      <c r="M6131">
        <v>343</v>
      </c>
      <c r="N6131" s="182">
        <v>1</v>
      </c>
      <c r="O6131">
        <v>4028</v>
      </c>
      <c r="P6131" s="132" t="s">
        <v>77</v>
      </c>
      <c r="Q6131" s="176">
        <v>154.21</v>
      </c>
      <c r="R6131" s="176">
        <v>24.67</v>
      </c>
      <c r="S6131" s="176"/>
      <c r="T6131" s="190"/>
      <c r="U6131" s="191"/>
      <c r="V6131" s="191">
        <v>178.88</v>
      </c>
      <c r="W6131">
        <v>25</v>
      </c>
      <c r="X6131" s="186" t="s">
        <v>2024</v>
      </c>
      <c r="Y6131" s="187" t="s">
        <v>55</v>
      </c>
      <c r="Z6131" s="311">
        <v>288</v>
      </c>
      <c r="AB6131" t="str">
        <f>IF(Table1[[#This Row],[TIPO2]]="costo", VLOOKUP(Table1[[#This Row],[PARTIDA PRESUPUESTAL]],'Cost Report'!G:G,1,0),"Balance")</f>
        <v>3683-202</v>
      </c>
      <c r="AD6131" s="159">
        <f>+Table1[[#This Row],[SUBTOTAL]]+Table1[[#This Row],[IVA]]-Table1[[#This Row],[RET IVA]]-Table1[[#This Row],[RET ISR]]-Table1[[#This Row],[TOTAL]]</f>
        <v>0</v>
      </c>
      <c r="AK6131" s="306">
        <f>IF(ISNUMBER(Table1[[#This Row],[FECHA DE RECIBIDO]]), Table1[[#This Row],[FECHA DE RECIBIDO]]-DATE(2023,8,30), "")</f>
        <v>-44881.164733796293</v>
      </c>
    </row>
    <row r="6132" spans="1:37" ht="16.05" customHeight="1">
      <c r="A6132" s="172" t="s">
        <v>5190</v>
      </c>
      <c r="B6132" s="178">
        <v>2150</v>
      </c>
      <c r="C6132" s="179" t="s">
        <v>3413</v>
      </c>
      <c r="D6132">
        <v>4196</v>
      </c>
      <c r="E6132" s="125">
        <v>44150</v>
      </c>
      <c r="F6132" s="178">
        <v>601</v>
      </c>
      <c r="G6132" s="178" t="s">
        <v>134</v>
      </c>
      <c r="H6132">
        <v>23</v>
      </c>
      <c r="I6132" s="178" t="s">
        <v>1546</v>
      </c>
      <c r="J6132" s="320">
        <v>286.83526620370685</v>
      </c>
      <c r="K6132" s="178" t="s">
        <v>5322</v>
      </c>
      <c r="L6132" s="125" t="s">
        <v>3306</v>
      </c>
      <c r="M6132">
        <v>343</v>
      </c>
      <c r="N6132" s="182">
        <v>1</v>
      </c>
      <c r="O6132">
        <v>4028</v>
      </c>
      <c r="P6132" s="132" t="s">
        <v>77</v>
      </c>
      <c r="Q6132" s="176">
        <v>154.21</v>
      </c>
      <c r="R6132" s="176">
        <v>24.67</v>
      </c>
      <c r="S6132" s="176"/>
      <c r="T6132" s="190"/>
      <c r="U6132" s="191"/>
      <c r="V6132" s="191">
        <v>178.88</v>
      </c>
      <c r="W6132">
        <v>25</v>
      </c>
      <c r="X6132" s="186" t="s">
        <v>2024</v>
      </c>
      <c r="Y6132" s="187" t="s">
        <v>55</v>
      </c>
      <c r="Z6132" s="311">
        <v>288</v>
      </c>
      <c r="AB6132" t="str">
        <f>IF(Table1[[#This Row],[TIPO2]]="costo", VLOOKUP(Table1[[#This Row],[PARTIDA PRESUPUESTAL]],'Cost Report'!G:G,1,0),"Balance")</f>
        <v>3683-202</v>
      </c>
      <c r="AD6132" s="159">
        <f>+Table1[[#This Row],[SUBTOTAL]]+Table1[[#This Row],[IVA]]-Table1[[#This Row],[RET IVA]]-Table1[[#This Row],[RET ISR]]-Table1[[#This Row],[TOTAL]]</f>
        <v>0</v>
      </c>
      <c r="AK6132" s="306">
        <f>IF(ISNUMBER(Table1[[#This Row],[FECHA DE RECIBIDO]]), Table1[[#This Row],[FECHA DE RECIBIDO]]-DATE(2023,8,30), "")</f>
        <v>-44881.164733796293</v>
      </c>
    </row>
    <row r="6133" spans="1:37" ht="16.05" customHeight="1">
      <c r="A6133" s="172" t="s">
        <v>5190</v>
      </c>
      <c r="B6133" s="178">
        <v>2150</v>
      </c>
      <c r="C6133" s="179" t="s">
        <v>3413</v>
      </c>
      <c r="D6133">
        <v>4196</v>
      </c>
      <c r="E6133" s="125">
        <v>44150</v>
      </c>
      <c r="F6133" s="178">
        <v>601</v>
      </c>
      <c r="G6133" s="178" t="s">
        <v>134</v>
      </c>
      <c r="H6133">
        <v>23</v>
      </c>
      <c r="I6133" s="178" t="s">
        <v>1546</v>
      </c>
      <c r="J6133" s="320">
        <v>286.83526620370685</v>
      </c>
      <c r="K6133" s="178" t="s">
        <v>5322</v>
      </c>
      <c r="L6133" s="125" t="s">
        <v>3306</v>
      </c>
      <c r="M6133">
        <v>343</v>
      </c>
      <c r="N6133" s="182">
        <v>1</v>
      </c>
      <c r="O6133">
        <v>4028</v>
      </c>
      <c r="P6133" s="132" t="s">
        <v>77</v>
      </c>
      <c r="Q6133" s="176">
        <v>154.21</v>
      </c>
      <c r="R6133" s="176">
        <v>24.67</v>
      </c>
      <c r="S6133" s="176"/>
      <c r="T6133" s="190"/>
      <c r="U6133" s="191"/>
      <c r="V6133" s="191">
        <v>178.88</v>
      </c>
      <c r="W6133">
        <v>25</v>
      </c>
      <c r="X6133" s="186" t="s">
        <v>2024</v>
      </c>
      <c r="Y6133" s="187" t="s">
        <v>55</v>
      </c>
      <c r="Z6133" s="311">
        <v>288</v>
      </c>
      <c r="AB6133" t="str">
        <f>IF(Table1[[#This Row],[TIPO2]]="costo", VLOOKUP(Table1[[#This Row],[PARTIDA PRESUPUESTAL]],'Cost Report'!G:G,1,0),"Balance")</f>
        <v>3683-202</v>
      </c>
      <c r="AD6133" s="159">
        <f>+Table1[[#This Row],[SUBTOTAL]]+Table1[[#This Row],[IVA]]-Table1[[#This Row],[RET IVA]]-Table1[[#This Row],[RET ISR]]-Table1[[#This Row],[TOTAL]]</f>
        <v>0</v>
      </c>
      <c r="AK6133" s="306">
        <f>IF(ISNUMBER(Table1[[#This Row],[FECHA DE RECIBIDO]]), Table1[[#This Row],[FECHA DE RECIBIDO]]-DATE(2023,8,30), "")</f>
        <v>-44881.164733796293</v>
      </c>
    </row>
    <row r="6134" spans="1:37" ht="16.05" customHeight="1">
      <c r="A6134" s="172" t="s">
        <v>5190</v>
      </c>
      <c r="B6134" s="178">
        <v>2150</v>
      </c>
      <c r="C6134" s="179" t="s">
        <v>3413</v>
      </c>
      <c r="D6134">
        <v>4196</v>
      </c>
      <c r="E6134" s="125">
        <v>44150</v>
      </c>
      <c r="F6134" s="178">
        <v>601</v>
      </c>
      <c r="G6134" s="178" t="s">
        <v>134</v>
      </c>
      <c r="H6134">
        <v>23</v>
      </c>
      <c r="I6134" s="178" t="s">
        <v>1546</v>
      </c>
      <c r="J6134" s="320">
        <v>286.83526620370685</v>
      </c>
      <c r="K6134" s="178" t="s">
        <v>5322</v>
      </c>
      <c r="L6134" s="125" t="s">
        <v>3306</v>
      </c>
      <c r="M6134">
        <v>343</v>
      </c>
      <c r="N6134" s="182">
        <v>1</v>
      </c>
      <c r="O6134">
        <v>4028</v>
      </c>
      <c r="P6134" s="132" t="s">
        <v>77</v>
      </c>
      <c r="Q6134" s="176">
        <v>226.17</v>
      </c>
      <c r="R6134" s="176">
        <v>36.19</v>
      </c>
      <c r="S6134" s="176"/>
      <c r="T6134" s="190"/>
      <c r="U6134" s="191"/>
      <c r="V6134" s="191">
        <v>262.36</v>
      </c>
      <c r="W6134">
        <v>25</v>
      </c>
      <c r="X6134" s="186" t="s">
        <v>2024</v>
      </c>
      <c r="Y6134" s="187" t="s">
        <v>55</v>
      </c>
      <c r="Z6134" s="311">
        <v>288</v>
      </c>
      <c r="AB6134" t="str">
        <f>IF(Table1[[#This Row],[TIPO2]]="costo", VLOOKUP(Table1[[#This Row],[PARTIDA PRESUPUESTAL]],'Cost Report'!G:G,1,0),"Balance")</f>
        <v>3683-202</v>
      </c>
      <c r="AD6134" s="159">
        <f>+Table1[[#This Row],[SUBTOTAL]]+Table1[[#This Row],[IVA]]-Table1[[#This Row],[RET IVA]]-Table1[[#This Row],[RET ISR]]-Table1[[#This Row],[TOTAL]]</f>
        <v>0</v>
      </c>
      <c r="AK6134" s="306">
        <f>IF(ISNUMBER(Table1[[#This Row],[FECHA DE RECIBIDO]]), Table1[[#This Row],[FECHA DE RECIBIDO]]-DATE(2023,8,30), "")</f>
        <v>-44881.164733796293</v>
      </c>
    </row>
    <row r="6135" spans="1:37" ht="16.05" customHeight="1">
      <c r="A6135" s="172" t="s">
        <v>5190</v>
      </c>
      <c r="B6135" s="178">
        <v>2150</v>
      </c>
      <c r="C6135" s="179" t="s">
        <v>3413</v>
      </c>
      <c r="D6135">
        <v>4196</v>
      </c>
      <c r="E6135" s="125">
        <v>44150</v>
      </c>
      <c r="F6135" s="178">
        <v>601</v>
      </c>
      <c r="G6135" s="178" t="s">
        <v>134</v>
      </c>
      <c r="H6135">
        <v>23</v>
      </c>
      <c r="I6135" s="178" t="s">
        <v>1546</v>
      </c>
      <c r="J6135" s="320">
        <v>286.83526620370685</v>
      </c>
      <c r="K6135" s="178" t="s">
        <v>5322</v>
      </c>
      <c r="L6135" s="125" t="s">
        <v>3306</v>
      </c>
      <c r="M6135">
        <v>343</v>
      </c>
      <c r="N6135" s="182">
        <v>1</v>
      </c>
      <c r="O6135">
        <v>4028</v>
      </c>
      <c r="P6135" s="132" t="s">
        <v>77</v>
      </c>
      <c r="Q6135" s="176">
        <v>154.21</v>
      </c>
      <c r="R6135" s="176">
        <v>24.67</v>
      </c>
      <c r="S6135" s="176"/>
      <c r="T6135" s="190"/>
      <c r="U6135" s="191"/>
      <c r="V6135" s="191">
        <v>178.88</v>
      </c>
      <c r="W6135">
        <v>25</v>
      </c>
      <c r="X6135" s="186" t="s">
        <v>2024</v>
      </c>
      <c r="Y6135" s="187" t="s">
        <v>55</v>
      </c>
      <c r="Z6135" s="311">
        <v>288</v>
      </c>
      <c r="AB6135" t="str">
        <f>IF(Table1[[#This Row],[TIPO2]]="costo", VLOOKUP(Table1[[#This Row],[PARTIDA PRESUPUESTAL]],'Cost Report'!G:G,1,0),"Balance")</f>
        <v>3683-202</v>
      </c>
      <c r="AD6135" s="159">
        <f>+Table1[[#This Row],[SUBTOTAL]]+Table1[[#This Row],[IVA]]-Table1[[#This Row],[RET IVA]]-Table1[[#This Row],[RET ISR]]-Table1[[#This Row],[TOTAL]]</f>
        <v>0</v>
      </c>
      <c r="AK6135" s="306">
        <f>IF(ISNUMBER(Table1[[#This Row],[FECHA DE RECIBIDO]]), Table1[[#This Row],[FECHA DE RECIBIDO]]-DATE(2023,8,30), "")</f>
        <v>-44881.164733796293</v>
      </c>
    </row>
    <row r="6136" spans="1:37" ht="16.05" customHeight="1">
      <c r="A6136" s="172" t="s">
        <v>5190</v>
      </c>
      <c r="B6136" s="178">
        <v>2150</v>
      </c>
      <c r="C6136" s="179" t="s">
        <v>3413</v>
      </c>
      <c r="D6136">
        <v>4196</v>
      </c>
      <c r="E6136" s="125">
        <v>44150</v>
      </c>
      <c r="F6136" s="178">
        <v>601</v>
      </c>
      <c r="G6136" s="178" t="s">
        <v>134</v>
      </c>
      <c r="H6136">
        <v>23</v>
      </c>
      <c r="I6136" s="178" t="s">
        <v>1546</v>
      </c>
      <c r="J6136" s="320">
        <v>286.83526620370685</v>
      </c>
      <c r="K6136" s="178" t="s">
        <v>5322</v>
      </c>
      <c r="L6136" s="125" t="s">
        <v>3306</v>
      </c>
      <c r="M6136">
        <v>343</v>
      </c>
      <c r="N6136" s="182">
        <v>1</v>
      </c>
      <c r="O6136">
        <v>4028</v>
      </c>
      <c r="P6136" s="132" t="s">
        <v>77</v>
      </c>
      <c r="Q6136" s="176">
        <v>226.16</v>
      </c>
      <c r="R6136" s="176">
        <v>36.19</v>
      </c>
      <c r="S6136" s="176"/>
      <c r="T6136" s="190"/>
      <c r="U6136" s="191"/>
      <c r="V6136" s="191">
        <v>262.35000000000002</v>
      </c>
      <c r="W6136">
        <v>25</v>
      </c>
      <c r="X6136" s="186" t="s">
        <v>2024</v>
      </c>
      <c r="Y6136" s="187" t="s">
        <v>55</v>
      </c>
      <c r="Z6136" s="311">
        <v>288</v>
      </c>
      <c r="AB6136" t="str">
        <f>IF(Table1[[#This Row],[TIPO2]]="costo", VLOOKUP(Table1[[#This Row],[PARTIDA PRESUPUESTAL]],'Cost Report'!G:G,1,0),"Balance")</f>
        <v>3683-202</v>
      </c>
      <c r="AD6136" s="159">
        <f>+Table1[[#This Row],[SUBTOTAL]]+Table1[[#This Row],[IVA]]-Table1[[#This Row],[RET IVA]]-Table1[[#This Row],[RET ISR]]-Table1[[#This Row],[TOTAL]]</f>
        <v>0</v>
      </c>
      <c r="AK6136" s="306">
        <f>IF(ISNUMBER(Table1[[#This Row],[FECHA DE RECIBIDO]]), Table1[[#This Row],[FECHA DE RECIBIDO]]-DATE(2023,8,30), "")</f>
        <v>-44881.164733796293</v>
      </c>
    </row>
    <row r="6137" spans="1:37" ht="16.05" customHeight="1">
      <c r="A6137" s="172" t="s">
        <v>5190</v>
      </c>
      <c r="B6137" s="178">
        <v>2150</v>
      </c>
      <c r="C6137" s="179" t="s">
        <v>3413</v>
      </c>
      <c r="D6137">
        <v>4196</v>
      </c>
      <c r="E6137" s="125">
        <v>44150</v>
      </c>
      <c r="F6137" s="178">
        <v>601</v>
      </c>
      <c r="G6137" s="178" t="s">
        <v>134</v>
      </c>
      <c r="H6137">
        <v>23</v>
      </c>
      <c r="I6137" s="178" t="s">
        <v>1546</v>
      </c>
      <c r="J6137" s="320">
        <v>286.83526620370685</v>
      </c>
      <c r="K6137" s="178" t="s">
        <v>5322</v>
      </c>
      <c r="L6137" s="125" t="s">
        <v>3306</v>
      </c>
      <c r="M6137">
        <v>343</v>
      </c>
      <c r="N6137" s="182">
        <v>1</v>
      </c>
      <c r="O6137">
        <v>4028</v>
      </c>
      <c r="P6137" s="132" t="s">
        <v>77</v>
      </c>
      <c r="Q6137" s="176">
        <v>231.3</v>
      </c>
      <c r="R6137" s="176">
        <v>37.01</v>
      </c>
      <c r="S6137" s="176"/>
      <c r="T6137" s="190"/>
      <c r="U6137" s="191"/>
      <c r="V6137" s="191">
        <v>268.31</v>
      </c>
      <c r="W6137">
        <v>25</v>
      </c>
      <c r="X6137" s="186" t="s">
        <v>2024</v>
      </c>
      <c r="Y6137" s="187" t="s">
        <v>55</v>
      </c>
      <c r="Z6137" s="311">
        <v>288</v>
      </c>
      <c r="AB6137" t="str">
        <f>IF(Table1[[#This Row],[TIPO2]]="costo", VLOOKUP(Table1[[#This Row],[PARTIDA PRESUPUESTAL]],'Cost Report'!G:G,1,0),"Balance")</f>
        <v>3683-202</v>
      </c>
      <c r="AD6137" s="159">
        <f>+Table1[[#This Row],[SUBTOTAL]]+Table1[[#This Row],[IVA]]-Table1[[#This Row],[RET IVA]]-Table1[[#This Row],[RET ISR]]-Table1[[#This Row],[TOTAL]]</f>
        <v>0</v>
      </c>
      <c r="AK6137" s="306">
        <f>IF(ISNUMBER(Table1[[#This Row],[FECHA DE RECIBIDO]]), Table1[[#This Row],[FECHA DE RECIBIDO]]-DATE(2023,8,30), "")</f>
        <v>-44881.164733796293</v>
      </c>
    </row>
    <row r="6138" spans="1:37" ht="16.05" customHeight="1">
      <c r="A6138" s="172" t="s">
        <v>5190</v>
      </c>
      <c r="B6138" s="178">
        <v>2150</v>
      </c>
      <c r="C6138" s="179" t="s">
        <v>3413</v>
      </c>
      <c r="D6138">
        <v>4196</v>
      </c>
      <c r="E6138" s="125">
        <v>44150</v>
      </c>
      <c r="F6138" s="178">
        <v>601</v>
      </c>
      <c r="G6138" s="178" t="s">
        <v>134</v>
      </c>
      <c r="H6138">
        <v>23</v>
      </c>
      <c r="I6138" s="178" t="s">
        <v>1546</v>
      </c>
      <c r="J6138" s="320">
        <v>286.83526620370685</v>
      </c>
      <c r="K6138" s="178" t="s">
        <v>5322</v>
      </c>
      <c r="L6138" s="125" t="s">
        <v>3306</v>
      </c>
      <c r="M6138">
        <v>343</v>
      </c>
      <c r="N6138" s="182">
        <v>1</v>
      </c>
      <c r="O6138">
        <v>4028</v>
      </c>
      <c r="P6138" s="132" t="s">
        <v>77</v>
      </c>
      <c r="Q6138" s="176">
        <v>287.83999999999997</v>
      </c>
      <c r="R6138" s="176">
        <v>46.05</v>
      </c>
      <c r="S6138" s="176"/>
      <c r="T6138" s="190"/>
      <c r="U6138" s="191"/>
      <c r="V6138" s="191">
        <v>333.89</v>
      </c>
      <c r="W6138">
        <v>25</v>
      </c>
      <c r="X6138" s="186" t="s">
        <v>2024</v>
      </c>
      <c r="Y6138" s="187" t="s">
        <v>55</v>
      </c>
      <c r="Z6138" s="311">
        <v>288</v>
      </c>
      <c r="AB6138" t="str">
        <f>IF(Table1[[#This Row],[TIPO2]]="costo", VLOOKUP(Table1[[#This Row],[PARTIDA PRESUPUESTAL]],'Cost Report'!G:G,1,0),"Balance")</f>
        <v>3683-202</v>
      </c>
      <c r="AD6138" s="159">
        <f>+Table1[[#This Row],[SUBTOTAL]]+Table1[[#This Row],[IVA]]-Table1[[#This Row],[RET IVA]]-Table1[[#This Row],[RET ISR]]-Table1[[#This Row],[TOTAL]]</f>
        <v>0</v>
      </c>
      <c r="AK6138" s="306">
        <f>IF(ISNUMBER(Table1[[#This Row],[FECHA DE RECIBIDO]]), Table1[[#This Row],[FECHA DE RECIBIDO]]-DATE(2023,8,30), "")</f>
        <v>-44881.164733796293</v>
      </c>
    </row>
    <row r="6139" spans="1:37" ht="16.05" customHeight="1">
      <c r="A6139" s="172" t="s">
        <v>5190</v>
      </c>
      <c r="B6139" s="178">
        <v>2150</v>
      </c>
      <c r="C6139" s="179" t="s">
        <v>3413</v>
      </c>
      <c r="D6139">
        <v>4196</v>
      </c>
      <c r="E6139" s="125">
        <v>44150</v>
      </c>
      <c r="F6139" s="178">
        <v>601</v>
      </c>
      <c r="G6139" s="178" t="s">
        <v>134</v>
      </c>
      <c r="H6139">
        <v>23</v>
      </c>
      <c r="I6139" s="178" t="s">
        <v>1546</v>
      </c>
      <c r="J6139" s="320">
        <v>286.83526620370685</v>
      </c>
      <c r="K6139" s="178" t="s">
        <v>5322</v>
      </c>
      <c r="L6139" s="125" t="s">
        <v>3306</v>
      </c>
      <c r="M6139">
        <v>343</v>
      </c>
      <c r="N6139" s="182">
        <v>1</v>
      </c>
      <c r="O6139">
        <v>4028</v>
      </c>
      <c r="P6139" s="132" t="s">
        <v>77</v>
      </c>
      <c r="Q6139" s="176">
        <v>575.69000000000005</v>
      </c>
      <c r="R6139" s="176">
        <v>92.12</v>
      </c>
      <c r="S6139" s="176"/>
      <c r="T6139" s="190"/>
      <c r="U6139" s="191"/>
      <c r="V6139" s="191">
        <v>667.81000000000006</v>
      </c>
      <c r="W6139">
        <v>25</v>
      </c>
      <c r="X6139" s="186" t="s">
        <v>2024</v>
      </c>
      <c r="Y6139" s="187" t="s">
        <v>55</v>
      </c>
      <c r="Z6139" s="311">
        <v>288</v>
      </c>
      <c r="AB6139" t="str">
        <f>IF(Table1[[#This Row],[TIPO2]]="costo", VLOOKUP(Table1[[#This Row],[PARTIDA PRESUPUESTAL]],'Cost Report'!G:G,1,0),"Balance")</f>
        <v>3683-202</v>
      </c>
      <c r="AD6139" s="159">
        <f>+Table1[[#This Row],[SUBTOTAL]]+Table1[[#This Row],[IVA]]-Table1[[#This Row],[RET IVA]]-Table1[[#This Row],[RET ISR]]-Table1[[#This Row],[TOTAL]]</f>
        <v>0</v>
      </c>
      <c r="AK6139" s="306">
        <f>IF(ISNUMBER(Table1[[#This Row],[FECHA DE RECIBIDO]]), Table1[[#This Row],[FECHA DE RECIBIDO]]-DATE(2023,8,30), "")</f>
        <v>-44881.164733796293</v>
      </c>
    </row>
    <row r="6140" spans="1:37" ht="16.05" customHeight="1">
      <c r="A6140" s="172" t="s">
        <v>5190</v>
      </c>
      <c r="B6140" s="178">
        <v>2150</v>
      </c>
      <c r="C6140" s="179" t="s">
        <v>3413</v>
      </c>
      <c r="D6140">
        <v>4196</v>
      </c>
      <c r="E6140" s="125">
        <v>44150</v>
      </c>
      <c r="F6140" s="178">
        <v>601</v>
      </c>
      <c r="G6140" s="178" t="s">
        <v>134</v>
      </c>
      <c r="H6140">
        <v>23</v>
      </c>
      <c r="I6140" s="178" t="s">
        <v>1546</v>
      </c>
      <c r="J6140" s="320">
        <v>286.83526620370685</v>
      </c>
      <c r="K6140" s="178" t="s">
        <v>5322</v>
      </c>
      <c r="L6140" s="125" t="s">
        <v>3306</v>
      </c>
      <c r="M6140">
        <v>343</v>
      </c>
      <c r="N6140" s="182">
        <v>1</v>
      </c>
      <c r="O6140">
        <v>4028</v>
      </c>
      <c r="P6140" s="132" t="s">
        <v>77</v>
      </c>
      <c r="Q6140" s="176">
        <v>287.83999999999997</v>
      </c>
      <c r="R6140" s="176">
        <v>46.05</v>
      </c>
      <c r="S6140" s="176"/>
      <c r="T6140" s="190"/>
      <c r="U6140" s="191"/>
      <c r="V6140" s="191">
        <v>333.89</v>
      </c>
      <c r="W6140">
        <v>25</v>
      </c>
      <c r="X6140" s="186" t="s">
        <v>2024</v>
      </c>
      <c r="Y6140" s="187" t="s">
        <v>55</v>
      </c>
      <c r="Z6140" s="311">
        <v>288</v>
      </c>
      <c r="AB6140" t="str">
        <f>IF(Table1[[#This Row],[TIPO2]]="costo", VLOOKUP(Table1[[#This Row],[PARTIDA PRESUPUESTAL]],'Cost Report'!G:G,1,0),"Balance")</f>
        <v>3683-202</v>
      </c>
      <c r="AD6140" s="159">
        <f>+Table1[[#This Row],[SUBTOTAL]]+Table1[[#This Row],[IVA]]-Table1[[#This Row],[RET IVA]]-Table1[[#This Row],[RET ISR]]-Table1[[#This Row],[TOTAL]]</f>
        <v>0</v>
      </c>
      <c r="AK6140" s="306">
        <f>IF(ISNUMBER(Table1[[#This Row],[FECHA DE RECIBIDO]]), Table1[[#This Row],[FECHA DE RECIBIDO]]-DATE(2023,8,30), "")</f>
        <v>-44881.164733796293</v>
      </c>
    </row>
    <row r="6141" spans="1:37" ht="16.05" customHeight="1">
      <c r="A6141" s="172" t="s">
        <v>5190</v>
      </c>
      <c r="B6141" s="178">
        <v>2150</v>
      </c>
      <c r="C6141" s="179" t="s">
        <v>3413</v>
      </c>
      <c r="D6141">
        <v>4196</v>
      </c>
      <c r="E6141" s="125">
        <v>44150</v>
      </c>
      <c r="F6141" s="178">
        <v>601</v>
      </c>
      <c r="G6141" s="178" t="s">
        <v>134</v>
      </c>
      <c r="H6141">
        <v>23</v>
      </c>
      <c r="I6141" s="178" t="s">
        <v>1546</v>
      </c>
      <c r="J6141" s="320">
        <v>286.83526620370685</v>
      </c>
      <c r="K6141" s="178" t="s">
        <v>5322</v>
      </c>
      <c r="L6141" s="125" t="s">
        <v>3306</v>
      </c>
      <c r="M6141">
        <v>343</v>
      </c>
      <c r="N6141" s="182">
        <v>1</v>
      </c>
      <c r="O6141">
        <v>4028</v>
      </c>
      <c r="P6141" s="132" t="s">
        <v>77</v>
      </c>
      <c r="Q6141" s="176">
        <v>287.83999999999997</v>
      </c>
      <c r="R6141" s="176">
        <v>46.05</v>
      </c>
      <c r="S6141" s="176"/>
      <c r="T6141" s="190"/>
      <c r="U6141" s="191"/>
      <c r="V6141" s="191">
        <v>333.89</v>
      </c>
      <c r="W6141">
        <v>25</v>
      </c>
      <c r="X6141" s="186" t="s">
        <v>2024</v>
      </c>
      <c r="Y6141" s="187" t="s">
        <v>55</v>
      </c>
      <c r="Z6141" s="311">
        <v>288</v>
      </c>
      <c r="AB6141" t="str">
        <f>IF(Table1[[#This Row],[TIPO2]]="costo", VLOOKUP(Table1[[#This Row],[PARTIDA PRESUPUESTAL]],'Cost Report'!G:G,1,0),"Balance")</f>
        <v>3683-202</v>
      </c>
      <c r="AD6141" s="159">
        <f>+Table1[[#This Row],[SUBTOTAL]]+Table1[[#This Row],[IVA]]-Table1[[#This Row],[RET IVA]]-Table1[[#This Row],[RET ISR]]-Table1[[#This Row],[TOTAL]]</f>
        <v>0</v>
      </c>
      <c r="AK6141" s="306">
        <f>IF(ISNUMBER(Table1[[#This Row],[FECHA DE RECIBIDO]]), Table1[[#This Row],[FECHA DE RECIBIDO]]-DATE(2023,8,30), "")</f>
        <v>-44881.164733796293</v>
      </c>
    </row>
    <row r="6142" spans="1:37" ht="16.05" customHeight="1">
      <c r="A6142" s="172" t="s">
        <v>5190</v>
      </c>
      <c r="B6142" s="178">
        <v>2150</v>
      </c>
      <c r="C6142" s="179" t="s">
        <v>3413</v>
      </c>
      <c r="D6142">
        <v>4196</v>
      </c>
      <c r="E6142" s="125">
        <v>44150</v>
      </c>
      <c r="F6142" s="178">
        <v>601</v>
      </c>
      <c r="G6142" s="178" t="s">
        <v>134</v>
      </c>
      <c r="H6142">
        <v>23</v>
      </c>
      <c r="I6142" s="178" t="s">
        <v>1546</v>
      </c>
      <c r="J6142" s="320">
        <v>286.83526620370685</v>
      </c>
      <c r="K6142" s="178" t="s">
        <v>5322</v>
      </c>
      <c r="L6142" s="125" t="s">
        <v>3306</v>
      </c>
      <c r="M6142">
        <v>343</v>
      </c>
      <c r="N6142" s="182">
        <v>1</v>
      </c>
      <c r="O6142">
        <v>4028</v>
      </c>
      <c r="P6142" s="132" t="s">
        <v>77</v>
      </c>
      <c r="Q6142" s="176">
        <v>93.62</v>
      </c>
      <c r="R6142" s="176">
        <v>14.98</v>
      </c>
      <c r="S6142" s="176"/>
      <c r="T6142" s="190"/>
      <c r="U6142" s="191"/>
      <c r="V6142" s="191">
        <v>108.60000000000001</v>
      </c>
      <c r="W6142">
        <v>25</v>
      </c>
      <c r="X6142" s="186" t="s">
        <v>2024</v>
      </c>
      <c r="Y6142" s="187" t="s">
        <v>55</v>
      </c>
      <c r="Z6142" s="311">
        <v>288</v>
      </c>
      <c r="AB6142" t="str">
        <f>IF(Table1[[#This Row],[TIPO2]]="costo", VLOOKUP(Table1[[#This Row],[PARTIDA PRESUPUESTAL]],'Cost Report'!G:G,1,0),"Balance")</f>
        <v>3683-202</v>
      </c>
      <c r="AD6142" s="159">
        <f>+Table1[[#This Row],[SUBTOTAL]]+Table1[[#This Row],[IVA]]-Table1[[#This Row],[RET IVA]]-Table1[[#This Row],[RET ISR]]-Table1[[#This Row],[TOTAL]]</f>
        <v>0</v>
      </c>
      <c r="AK6142" s="306">
        <f>IF(ISNUMBER(Table1[[#This Row],[FECHA DE RECIBIDO]]), Table1[[#This Row],[FECHA DE RECIBIDO]]-DATE(2023,8,30), "")</f>
        <v>-44881.164733796293</v>
      </c>
    </row>
    <row r="6143" spans="1:37" ht="16.05" customHeight="1">
      <c r="A6143" s="172" t="s">
        <v>5190</v>
      </c>
      <c r="B6143" s="178">
        <v>2150</v>
      </c>
      <c r="C6143" s="179" t="s">
        <v>3413</v>
      </c>
      <c r="D6143">
        <v>4196</v>
      </c>
      <c r="E6143" s="125">
        <v>44150</v>
      </c>
      <c r="F6143" s="178">
        <v>601</v>
      </c>
      <c r="G6143" s="178" t="s">
        <v>134</v>
      </c>
      <c r="H6143">
        <v>23</v>
      </c>
      <c r="I6143" s="178" t="s">
        <v>1546</v>
      </c>
      <c r="J6143" s="320">
        <v>286.83526620370685</v>
      </c>
      <c r="K6143" s="178" t="s">
        <v>5322</v>
      </c>
      <c r="L6143" s="125" t="s">
        <v>3306</v>
      </c>
      <c r="M6143">
        <v>343</v>
      </c>
      <c r="N6143" s="182">
        <v>1</v>
      </c>
      <c r="O6143">
        <v>4028</v>
      </c>
      <c r="P6143" s="132" t="s">
        <v>77</v>
      </c>
      <c r="Q6143" s="176">
        <v>51.4</v>
      </c>
      <c r="R6143" s="176">
        <v>8.2200000000000006</v>
      </c>
      <c r="S6143" s="176"/>
      <c r="T6143" s="190"/>
      <c r="U6143" s="191"/>
      <c r="V6143" s="191">
        <v>59.62</v>
      </c>
      <c r="W6143">
        <v>25</v>
      </c>
      <c r="X6143" s="186" t="s">
        <v>2024</v>
      </c>
      <c r="Y6143" s="187" t="s">
        <v>55</v>
      </c>
      <c r="Z6143" s="311">
        <v>288</v>
      </c>
      <c r="AB6143" t="str">
        <f>IF(Table1[[#This Row],[TIPO2]]="costo", VLOOKUP(Table1[[#This Row],[PARTIDA PRESUPUESTAL]],'Cost Report'!G:G,1,0),"Balance")</f>
        <v>3683-202</v>
      </c>
      <c r="AD6143" s="159">
        <f>+Table1[[#This Row],[SUBTOTAL]]+Table1[[#This Row],[IVA]]-Table1[[#This Row],[RET IVA]]-Table1[[#This Row],[RET ISR]]-Table1[[#This Row],[TOTAL]]</f>
        <v>0</v>
      </c>
      <c r="AK6143" s="306">
        <f>IF(ISNUMBER(Table1[[#This Row],[FECHA DE RECIBIDO]]), Table1[[#This Row],[FECHA DE RECIBIDO]]-DATE(2023,8,30), "")</f>
        <v>-44881.164733796293</v>
      </c>
    </row>
    <row r="6144" spans="1:37" ht="16.05" customHeight="1">
      <c r="A6144" s="172" t="s">
        <v>5191</v>
      </c>
      <c r="B6144" s="178">
        <v>2151</v>
      </c>
      <c r="C6144" s="179" t="s">
        <v>3413</v>
      </c>
      <c r="D6144">
        <v>4197</v>
      </c>
      <c r="E6144" s="125">
        <v>44150</v>
      </c>
      <c r="F6144" s="178">
        <v>601</v>
      </c>
      <c r="G6144" s="178" t="s">
        <v>134</v>
      </c>
      <c r="H6144">
        <v>23</v>
      </c>
      <c r="I6144" s="178" t="s">
        <v>1546</v>
      </c>
      <c r="J6144" s="320">
        <v>287.44578703703883</v>
      </c>
      <c r="K6144" s="178" t="s">
        <v>5322</v>
      </c>
      <c r="L6144" s="125" t="s">
        <v>3306</v>
      </c>
      <c r="M6144">
        <v>343</v>
      </c>
      <c r="N6144" s="182">
        <v>1</v>
      </c>
      <c r="O6144">
        <v>4029</v>
      </c>
      <c r="P6144" s="132" t="s">
        <v>77</v>
      </c>
      <c r="Q6144" s="176">
        <v>6860.06</v>
      </c>
      <c r="R6144" s="176">
        <v>1097.6099999999999</v>
      </c>
      <c r="S6144" s="176"/>
      <c r="T6144" s="190"/>
      <c r="U6144" s="191"/>
      <c r="V6144" s="191">
        <v>7957.67</v>
      </c>
      <c r="W6144">
        <v>25</v>
      </c>
      <c r="X6144" s="186" t="s">
        <v>2024</v>
      </c>
      <c r="Y6144" s="187" t="s">
        <v>55</v>
      </c>
      <c r="Z6144" s="311">
        <v>288</v>
      </c>
      <c r="AB6144" t="str">
        <f>IF(Table1[[#This Row],[TIPO2]]="costo", VLOOKUP(Table1[[#This Row],[PARTIDA PRESUPUESTAL]],'Cost Report'!G:G,1,0),"Balance")</f>
        <v>3683-202</v>
      </c>
      <c r="AD6144" s="159">
        <f>+Table1[[#This Row],[SUBTOTAL]]+Table1[[#This Row],[IVA]]-Table1[[#This Row],[RET IVA]]-Table1[[#This Row],[RET ISR]]-Table1[[#This Row],[TOTAL]]</f>
        <v>0</v>
      </c>
      <c r="AK6144" s="306">
        <f>IF(ISNUMBER(Table1[[#This Row],[FECHA DE RECIBIDO]]), Table1[[#This Row],[FECHA DE RECIBIDO]]-DATE(2023,8,30), "")</f>
        <v>-44880.554212962961</v>
      </c>
    </row>
    <row r="6145" spans="1:37" ht="16.05" customHeight="1">
      <c r="A6145" s="172" t="s">
        <v>5191</v>
      </c>
      <c r="B6145" s="178">
        <v>2151</v>
      </c>
      <c r="C6145" s="179" t="s">
        <v>3413</v>
      </c>
      <c r="D6145">
        <v>4197</v>
      </c>
      <c r="E6145" s="125">
        <v>44150</v>
      </c>
      <c r="F6145" s="178">
        <v>601</v>
      </c>
      <c r="G6145" s="178" t="s">
        <v>134</v>
      </c>
      <c r="H6145">
        <v>23</v>
      </c>
      <c r="I6145" s="178" t="s">
        <v>1546</v>
      </c>
      <c r="J6145" s="320">
        <v>287.44578703703883</v>
      </c>
      <c r="K6145" s="178" t="s">
        <v>5322</v>
      </c>
      <c r="L6145" s="125" t="s">
        <v>3306</v>
      </c>
      <c r="M6145">
        <v>343</v>
      </c>
      <c r="N6145" s="182">
        <v>1</v>
      </c>
      <c r="O6145">
        <v>4029</v>
      </c>
      <c r="P6145" s="132" t="s">
        <v>77</v>
      </c>
      <c r="Q6145" s="176">
        <v>6860.06</v>
      </c>
      <c r="R6145" s="176">
        <v>1097.6099999999999</v>
      </c>
      <c r="S6145" s="176"/>
      <c r="T6145" s="190"/>
      <c r="U6145" s="191"/>
      <c r="V6145" s="191">
        <v>7957.67</v>
      </c>
      <c r="W6145">
        <v>25</v>
      </c>
      <c r="X6145" s="186" t="s">
        <v>2024</v>
      </c>
      <c r="Y6145" s="187" t="s">
        <v>55</v>
      </c>
      <c r="Z6145" s="311">
        <v>288</v>
      </c>
      <c r="AB6145" t="str">
        <f>IF(Table1[[#This Row],[TIPO2]]="costo", VLOOKUP(Table1[[#This Row],[PARTIDA PRESUPUESTAL]],'Cost Report'!G:G,1,0),"Balance")</f>
        <v>3683-202</v>
      </c>
      <c r="AD6145" s="159">
        <f>+Table1[[#This Row],[SUBTOTAL]]+Table1[[#This Row],[IVA]]-Table1[[#This Row],[RET IVA]]-Table1[[#This Row],[RET ISR]]-Table1[[#This Row],[TOTAL]]</f>
        <v>0</v>
      </c>
      <c r="AK6145" s="306">
        <f>IF(ISNUMBER(Table1[[#This Row],[FECHA DE RECIBIDO]]), Table1[[#This Row],[FECHA DE RECIBIDO]]-DATE(2023,8,30), "")</f>
        <v>-44880.554212962961</v>
      </c>
    </row>
    <row r="6146" spans="1:37" ht="16.05" customHeight="1">
      <c r="A6146" s="172" t="s">
        <v>5191</v>
      </c>
      <c r="B6146" s="178">
        <v>2151</v>
      </c>
      <c r="C6146" s="179" t="s">
        <v>3413</v>
      </c>
      <c r="D6146">
        <v>4197</v>
      </c>
      <c r="E6146" s="125">
        <v>44150</v>
      </c>
      <c r="F6146" s="178">
        <v>601</v>
      </c>
      <c r="G6146" s="178" t="s">
        <v>134</v>
      </c>
      <c r="H6146">
        <v>23</v>
      </c>
      <c r="I6146" s="178" t="s">
        <v>1546</v>
      </c>
      <c r="J6146" s="320">
        <v>287.44578703703883</v>
      </c>
      <c r="K6146" s="178" t="s">
        <v>5322</v>
      </c>
      <c r="L6146" s="125" t="s">
        <v>3306</v>
      </c>
      <c r="M6146">
        <v>343</v>
      </c>
      <c r="N6146" s="182">
        <v>1</v>
      </c>
      <c r="O6146">
        <v>4029</v>
      </c>
      <c r="P6146" s="132" t="s">
        <v>77</v>
      </c>
      <c r="Q6146" s="176">
        <v>10290.129999999999</v>
      </c>
      <c r="R6146" s="176">
        <v>1646.42</v>
      </c>
      <c r="S6146" s="176"/>
      <c r="T6146" s="190"/>
      <c r="U6146" s="191"/>
      <c r="V6146" s="191">
        <v>11936.55</v>
      </c>
      <c r="W6146">
        <v>25</v>
      </c>
      <c r="X6146" s="186" t="s">
        <v>2024</v>
      </c>
      <c r="Y6146" s="187" t="s">
        <v>55</v>
      </c>
      <c r="Z6146" s="311">
        <v>288</v>
      </c>
      <c r="AB6146" t="str">
        <f>IF(Table1[[#This Row],[TIPO2]]="costo", VLOOKUP(Table1[[#This Row],[PARTIDA PRESUPUESTAL]],'Cost Report'!G:G,1,0),"Balance")</f>
        <v>3683-202</v>
      </c>
      <c r="AD6146" s="159">
        <f>+Table1[[#This Row],[SUBTOTAL]]+Table1[[#This Row],[IVA]]-Table1[[#This Row],[RET IVA]]-Table1[[#This Row],[RET ISR]]-Table1[[#This Row],[TOTAL]]</f>
        <v>0</v>
      </c>
      <c r="AK6146" s="306">
        <f>IF(ISNUMBER(Table1[[#This Row],[FECHA DE RECIBIDO]]), Table1[[#This Row],[FECHA DE RECIBIDO]]-DATE(2023,8,30), "")</f>
        <v>-44880.554212962961</v>
      </c>
    </row>
    <row r="6147" spans="1:37" ht="16.05" customHeight="1">
      <c r="A6147" s="172" t="s">
        <v>5191</v>
      </c>
      <c r="B6147" s="178">
        <v>2151</v>
      </c>
      <c r="C6147" s="179" t="s">
        <v>3413</v>
      </c>
      <c r="D6147">
        <v>4197</v>
      </c>
      <c r="E6147" s="125">
        <v>44150</v>
      </c>
      <c r="F6147" s="178">
        <v>601</v>
      </c>
      <c r="G6147" s="178" t="s">
        <v>134</v>
      </c>
      <c r="H6147">
        <v>23</v>
      </c>
      <c r="I6147" s="178" t="s">
        <v>1546</v>
      </c>
      <c r="J6147" s="320">
        <v>287.44578703703883</v>
      </c>
      <c r="K6147" s="178" t="s">
        <v>5322</v>
      </c>
      <c r="L6147" s="125" t="s">
        <v>3306</v>
      </c>
      <c r="M6147">
        <v>343</v>
      </c>
      <c r="N6147" s="182">
        <v>1</v>
      </c>
      <c r="O6147">
        <v>4029</v>
      </c>
      <c r="P6147" s="132" t="s">
        <v>77</v>
      </c>
      <c r="Q6147" s="176">
        <v>5030.7299999999996</v>
      </c>
      <c r="R6147" s="176">
        <v>804.92</v>
      </c>
      <c r="S6147" s="176"/>
      <c r="T6147" s="190"/>
      <c r="U6147" s="191"/>
      <c r="V6147" s="191">
        <v>5835.65</v>
      </c>
      <c r="W6147">
        <v>25</v>
      </c>
      <c r="X6147" s="186" t="s">
        <v>2024</v>
      </c>
      <c r="Y6147" s="187" t="s">
        <v>55</v>
      </c>
      <c r="Z6147" s="311">
        <v>288</v>
      </c>
      <c r="AB6147" t="str">
        <f>IF(Table1[[#This Row],[TIPO2]]="costo", VLOOKUP(Table1[[#This Row],[PARTIDA PRESUPUESTAL]],'Cost Report'!G:G,1,0),"Balance")</f>
        <v>3683-202</v>
      </c>
      <c r="AD6147" s="159">
        <f>+Table1[[#This Row],[SUBTOTAL]]+Table1[[#This Row],[IVA]]-Table1[[#This Row],[RET IVA]]-Table1[[#This Row],[RET ISR]]-Table1[[#This Row],[TOTAL]]</f>
        <v>0</v>
      </c>
      <c r="AK6147" s="306">
        <f>IF(ISNUMBER(Table1[[#This Row],[FECHA DE RECIBIDO]]), Table1[[#This Row],[FECHA DE RECIBIDO]]-DATE(2023,8,30), "")</f>
        <v>-44880.554212962961</v>
      </c>
    </row>
    <row r="6148" spans="1:37" ht="16.05" customHeight="1">
      <c r="A6148" s="172" t="s">
        <v>5191</v>
      </c>
      <c r="B6148" s="178">
        <v>2151</v>
      </c>
      <c r="C6148" s="179" t="s">
        <v>3413</v>
      </c>
      <c r="D6148">
        <v>4197</v>
      </c>
      <c r="E6148" s="125">
        <v>44150</v>
      </c>
      <c r="F6148" s="178">
        <v>601</v>
      </c>
      <c r="G6148" s="178" t="s">
        <v>134</v>
      </c>
      <c r="H6148">
        <v>23</v>
      </c>
      <c r="I6148" s="178" t="s">
        <v>1546</v>
      </c>
      <c r="J6148" s="320">
        <v>287.44578703703883</v>
      </c>
      <c r="K6148" s="178" t="s">
        <v>5322</v>
      </c>
      <c r="L6148" s="125" t="s">
        <v>3306</v>
      </c>
      <c r="M6148">
        <v>343</v>
      </c>
      <c r="N6148" s="182">
        <v>1</v>
      </c>
      <c r="O6148">
        <v>4029</v>
      </c>
      <c r="P6148" s="132" t="s">
        <v>77</v>
      </c>
      <c r="Q6148" s="176">
        <v>4939.24</v>
      </c>
      <c r="R6148" s="176">
        <v>790.28</v>
      </c>
      <c r="S6148" s="176"/>
      <c r="T6148" s="190"/>
      <c r="U6148" s="191"/>
      <c r="V6148" s="191">
        <v>5729.5199999999995</v>
      </c>
      <c r="W6148">
        <v>25</v>
      </c>
      <c r="X6148" s="186" t="s">
        <v>2024</v>
      </c>
      <c r="Y6148" s="187" t="s">
        <v>55</v>
      </c>
      <c r="Z6148" s="311">
        <v>288</v>
      </c>
      <c r="AB6148" t="str">
        <f>IF(Table1[[#This Row],[TIPO2]]="costo", VLOOKUP(Table1[[#This Row],[PARTIDA PRESUPUESTAL]],'Cost Report'!G:G,1,0),"Balance")</f>
        <v>3683-202</v>
      </c>
      <c r="AD6148" s="159">
        <f>+Table1[[#This Row],[SUBTOTAL]]+Table1[[#This Row],[IVA]]-Table1[[#This Row],[RET IVA]]-Table1[[#This Row],[RET ISR]]-Table1[[#This Row],[TOTAL]]</f>
        <v>0</v>
      </c>
      <c r="AK6148" s="306">
        <f>IF(ISNUMBER(Table1[[#This Row],[FECHA DE RECIBIDO]]), Table1[[#This Row],[FECHA DE RECIBIDO]]-DATE(2023,8,30), "")</f>
        <v>-44880.554212962961</v>
      </c>
    </row>
    <row r="6149" spans="1:37" ht="16.05" customHeight="1">
      <c r="A6149" s="172" t="s">
        <v>5191</v>
      </c>
      <c r="B6149" s="178">
        <v>2151</v>
      </c>
      <c r="C6149" s="179" t="s">
        <v>3413</v>
      </c>
      <c r="D6149">
        <v>4197</v>
      </c>
      <c r="E6149" s="125">
        <v>44150</v>
      </c>
      <c r="F6149" s="178">
        <v>601</v>
      </c>
      <c r="G6149" s="178" t="s">
        <v>134</v>
      </c>
      <c r="H6149">
        <v>23</v>
      </c>
      <c r="I6149" s="178" t="s">
        <v>1546</v>
      </c>
      <c r="J6149" s="320">
        <v>287.44578703703883</v>
      </c>
      <c r="K6149" s="178" t="s">
        <v>5322</v>
      </c>
      <c r="L6149" s="125" t="s">
        <v>3306</v>
      </c>
      <c r="M6149">
        <v>343</v>
      </c>
      <c r="N6149" s="182">
        <v>1</v>
      </c>
      <c r="O6149">
        <v>4029</v>
      </c>
      <c r="P6149" s="132" t="s">
        <v>77</v>
      </c>
      <c r="Q6149" s="176">
        <v>2469.64</v>
      </c>
      <c r="R6149" s="176">
        <v>395.14</v>
      </c>
      <c r="S6149" s="176"/>
      <c r="T6149" s="190"/>
      <c r="U6149" s="191"/>
      <c r="V6149" s="191">
        <v>2864.7799999999997</v>
      </c>
      <c r="W6149">
        <v>25</v>
      </c>
      <c r="X6149" s="186" t="s">
        <v>2024</v>
      </c>
      <c r="Y6149" s="187" t="s">
        <v>55</v>
      </c>
      <c r="Z6149" s="311">
        <v>288</v>
      </c>
      <c r="AB6149" t="str">
        <f>IF(Table1[[#This Row],[TIPO2]]="costo", VLOOKUP(Table1[[#This Row],[PARTIDA PRESUPUESTAL]],'Cost Report'!G:G,1,0),"Balance")</f>
        <v>3683-202</v>
      </c>
      <c r="AD6149" s="159">
        <f>+Table1[[#This Row],[SUBTOTAL]]+Table1[[#This Row],[IVA]]-Table1[[#This Row],[RET IVA]]-Table1[[#This Row],[RET ISR]]-Table1[[#This Row],[TOTAL]]</f>
        <v>0</v>
      </c>
      <c r="AK6149" s="306">
        <f>IF(ISNUMBER(Table1[[#This Row],[FECHA DE RECIBIDO]]), Table1[[#This Row],[FECHA DE RECIBIDO]]-DATE(2023,8,30), "")</f>
        <v>-44880.554212962961</v>
      </c>
    </row>
    <row r="6150" spans="1:37" ht="16.05" customHeight="1">
      <c r="A6150" s="172" t="s">
        <v>5191</v>
      </c>
      <c r="B6150" s="178">
        <v>2151</v>
      </c>
      <c r="C6150" s="179" t="s">
        <v>3413</v>
      </c>
      <c r="D6150">
        <v>4197</v>
      </c>
      <c r="E6150" s="125">
        <v>44150</v>
      </c>
      <c r="F6150" s="178">
        <v>601</v>
      </c>
      <c r="G6150" s="178" t="s">
        <v>134</v>
      </c>
      <c r="H6150">
        <v>23</v>
      </c>
      <c r="I6150" s="178" t="s">
        <v>1546</v>
      </c>
      <c r="J6150" s="320">
        <v>287.44578703703883</v>
      </c>
      <c r="K6150" s="178" t="s">
        <v>5322</v>
      </c>
      <c r="L6150" s="125" t="s">
        <v>3306</v>
      </c>
      <c r="M6150">
        <v>343</v>
      </c>
      <c r="N6150" s="182">
        <v>1</v>
      </c>
      <c r="O6150">
        <v>4029</v>
      </c>
      <c r="P6150" s="132" t="s">
        <v>77</v>
      </c>
      <c r="Q6150" s="176">
        <v>4939.24</v>
      </c>
      <c r="R6150" s="176">
        <v>790.28</v>
      </c>
      <c r="S6150" s="176"/>
      <c r="T6150" s="190"/>
      <c r="U6150" s="191"/>
      <c r="V6150" s="191">
        <v>5729.5199999999995</v>
      </c>
      <c r="W6150">
        <v>25</v>
      </c>
      <c r="X6150" s="186" t="s">
        <v>2024</v>
      </c>
      <c r="Y6150" s="187" t="s">
        <v>55</v>
      </c>
      <c r="Z6150" s="311">
        <v>288</v>
      </c>
      <c r="AB6150" t="str">
        <f>IF(Table1[[#This Row],[TIPO2]]="costo", VLOOKUP(Table1[[#This Row],[PARTIDA PRESUPUESTAL]],'Cost Report'!G:G,1,0),"Balance")</f>
        <v>3683-202</v>
      </c>
      <c r="AD6150" s="159">
        <f>+Table1[[#This Row],[SUBTOTAL]]+Table1[[#This Row],[IVA]]-Table1[[#This Row],[RET IVA]]-Table1[[#This Row],[RET ISR]]-Table1[[#This Row],[TOTAL]]</f>
        <v>0</v>
      </c>
      <c r="AK6150" s="306">
        <f>IF(ISNUMBER(Table1[[#This Row],[FECHA DE RECIBIDO]]), Table1[[#This Row],[FECHA DE RECIBIDO]]-DATE(2023,8,30), "")</f>
        <v>-44880.554212962961</v>
      </c>
    </row>
    <row r="6151" spans="1:37" ht="16.05" customHeight="1">
      <c r="A6151" s="172" t="s">
        <v>5191</v>
      </c>
      <c r="B6151" s="178">
        <v>2151</v>
      </c>
      <c r="C6151" s="179" t="s">
        <v>3413</v>
      </c>
      <c r="D6151">
        <v>4197</v>
      </c>
      <c r="E6151" s="125">
        <v>44150</v>
      </c>
      <c r="F6151" s="178">
        <v>601</v>
      </c>
      <c r="G6151" s="178" t="s">
        <v>134</v>
      </c>
      <c r="H6151">
        <v>23</v>
      </c>
      <c r="I6151" s="178" t="s">
        <v>1546</v>
      </c>
      <c r="J6151" s="320">
        <v>287.44578703703883</v>
      </c>
      <c r="K6151" s="178" t="s">
        <v>5322</v>
      </c>
      <c r="L6151" s="125" t="s">
        <v>3306</v>
      </c>
      <c r="M6151">
        <v>343</v>
      </c>
      <c r="N6151" s="182">
        <v>1</v>
      </c>
      <c r="O6151">
        <v>4029</v>
      </c>
      <c r="P6151" s="132" t="s">
        <v>77</v>
      </c>
      <c r="Q6151" s="176">
        <v>5030.7299999999996</v>
      </c>
      <c r="R6151" s="176">
        <v>804.92</v>
      </c>
      <c r="S6151" s="176"/>
      <c r="T6151" s="190"/>
      <c r="U6151" s="191"/>
      <c r="V6151" s="191">
        <v>5835.65</v>
      </c>
      <c r="W6151">
        <v>25</v>
      </c>
      <c r="X6151" s="186" t="s">
        <v>2024</v>
      </c>
      <c r="Y6151" s="187" t="s">
        <v>55</v>
      </c>
      <c r="Z6151" s="311">
        <v>288</v>
      </c>
      <c r="AB6151" t="str">
        <f>IF(Table1[[#This Row],[TIPO2]]="costo", VLOOKUP(Table1[[#This Row],[PARTIDA PRESUPUESTAL]],'Cost Report'!G:G,1,0),"Balance")</f>
        <v>3683-202</v>
      </c>
      <c r="AD6151" s="159">
        <f>+Table1[[#This Row],[SUBTOTAL]]+Table1[[#This Row],[IVA]]-Table1[[#This Row],[RET IVA]]-Table1[[#This Row],[RET ISR]]-Table1[[#This Row],[TOTAL]]</f>
        <v>0</v>
      </c>
      <c r="AK6151" s="306">
        <f>IF(ISNUMBER(Table1[[#This Row],[FECHA DE RECIBIDO]]), Table1[[#This Row],[FECHA DE RECIBIDO]]-DATE(2023,8,30), "")</f>
        <v>-44880.554212962961</v>
      </c>
    </row>
    <row r="6152" spans="1:37" ht="16.05" customHeight="1">
      <c r="A6152" s="172" t="s">
        <v>5191</v>
      </c>
      <c r="B6152" s="178">
        <v>2151</v>
      </c>
      <c r="C6152" s="179" t="s">
        <v>3413</v>
      </c>
      <c r="D6152">
        <v>4197</v>
      </c>
      <c r="E6152" s="125">
        <v>44150</v>
      </c>
      <c r="F6152" s="178">
        <v>601</v>
      </c>
      <c r="G6152" s="178" t="s">
        <v>134</v>
      </c>
      <c r="H6152">
        <v>23</v>
      </c>
      <c r="I6152" s="178" t="s">
        <v>1546</v>
      </c>
      <c r="J6152" s="320">
        <v>287.44578703703883</v>
      </c>
      <c r="K6152" s="178" t="s">
        <v>5322</v>
      </c>
      <c r="L6152" s="125" t="s">
        <v>3306</v>
      </c>
      <c r="M6152">
        <v>343</v>
      </c>
      <c r="N6152" s="182">
        <v>1</v>
      </c>
      <c r="O6152">
        <v>4029</v>
      </c>
      <c r="P6152" s="132" t="s">
        <v>77</v>
      </c>
      <c r="Q6152" s="176">
        <v>5030.7299999999996</v>
      </c>
      <c r="R6152" s="176">
        <v>804.92</v>
      </c>
      <c r="S6152" s="176"/>
      <c r="T6152" s="190"/>
      <c r="U6152" s="191"/>
      <c r="V6152" s="191">
        <v>5835.65</v>
      </c>
      <c r="W6152">
        <v>25</v>
      </c>
      <c r="X6152" s="186" t="s">
        <v>2024</v>
      </c>
      <c r="Y6152" s="187" t="s">
        <v>55</v>
      </c>
      <c r="Z6152" s="311">
        <v>288</v>
      </c>
      <c r="AB6152" t="str">
        <f>IF(Table1[[#This Row],[TIPO2]]="costo", VLOOKUP(Table1[[#This Row],[PARTIDA PRESUPUESTAL]],'Cost Report'!G:G,1,0),"Balance")</f>
        <v>3683-202</v>
      </c>
      <c r="AD6152" s="159">
        <f>+Table1[[#This Row],[SUBTOTAL]]+Table1[[#This Row],[IVA]]-Table1[[#This Row],[RET IVA]]-Table1[[#This Row],[RET ISR]]-Table1[[#This Row],[TOTAL]]</f>
        <v>0</v>
      </c>
      <c r="AK6152" s="306">
        <f>IF(ISNUMBER(Table1[[#This Row],[FECHA DE RECIBIDO]]), Table1[[#This Row],[FECHA DE RECIBIDO]]-DATE(2023,8,30), "")</f>
        <v>-44880.554212962961</v>
      </c>
    </row>
    <row r="6153" spans="1:37" ht="16.05" customHeight="1">
      <c r="A6153" s="172" t="s">
        <v>5191</v>
      </c>
      <c r="B6153" s="178">
        <v>2151</v>
      </c>
      <c r="C6153" s="179" t="s">
        <v>3413</v>
      </c>
      <c r="D6153">
        <v>4197</v>
      </c>
      <c r="E6153" s="125">
        <v>44150</v>
      </c>
      <c r="F6153" s="178">
        <v>601</v>
      </c>
      <c r="G6153" s="178" t="s">
        <v>134</v>
      </c>
      <c r="H6153">
        <v>23</v>
      </c>
      <c r="I6153" s="178" t="s">
        <v>1546</v>
      </c>
      <c r="J6153" s="320">
        <v>287.44578703703883</v>
      </c>
      <c r="K6153" s="178" t="s">
        <v>5322</v>
      </c>
      <c r="L6153" s="125" t="s">
        <v>3306</v>
      </c>
      <c r="M6153">
        <v>343</v>
      </c>
      <c r="N6153" s="182">
        <v>1</v>
      </c>
      <c r="O6153">
        <v>4029</v>
      </c>
      <c r="P6153" s="132" t="s">
        <v>77</v>
      </c>
      <c r="Q6153" s="176">
        <v>3430.03</v>
      </c>
      <c r="R6153" s="176">
        <v>548.79999999999995</v>
      </c>
      <c r="S6153" s="176"/>
      <c r="T6153" s="190"/>
      <c r="U6153" s="191"/>
      <c r="V6153" s="191">
        <v>3978.83</v>
      </c>
      <c r="W6153">
        <v>25</v>
      </c>
      <c r="X6153" s="186" t="s">
        <v>2024</v>
      </c>
      <c r="Y6153" s="187" t="s">
        <v>55</v>
      </c>
      <c r="Z6153" s="311">
        <v>288</v>
      </c>
      <c r="AB6153" t="str">
        <f>IF(Table1[[#This Row],[TIPO2]]="costo", VLOOKUP(Table1[[#This Row],[PARTIDA PRESUPUESTAL]],'Cost Report'!G:G,1,0),"Balance")</f>
        <v>3683-202</v>
      </c>
      <c r="AD6153" s="159">
        <f>+Table1[[#This Row],[SUBTOTAL]]+Table1[[#This Row],[IVA]]-Table1[[#This Row],[RET IVA]]-Table1[[#This Row],[RET ISR]]-Table1[[#This Row],[TOTAL]]</f>
        <v>0</v>
      </c>
      <c r="AK6153" s="306">
        <f>IF(ISNUMBER(Table1[[#This Row],[FECHA DE RECIBIDO]]), Table1[[#This Row],[FECHA DE RECIBIDO]]-DATE(2023,8,30), "")</f>
        <v>-44880.554212962961</v>
      </c>
    </row>
    <row r="6154" spans="1:37" ht="16.05" customHeight="1">
      <c r="A6154" s="172" t="s">
        <v>5191</v>
      </c>
      <c r="B6154" s="178">
        <v>2151</v>
      </c>
      <c r="C6154" s="179" t="s">
        <v>3413</v>
      </c>
      <c r="D6154">
        <v>4197</v>
      </c>
      <c r="E6154" s="125">
        <v>44150</v>
      </c>
      <c r="F6154" s="178">
        <v>601</v>
      </c>
      <c r="G6154" s="178" t="s">
        <v>134</v>
      </c>
      <c r="H6154">
        <v>23</v>
      </c>
      <c r="I6154" s="178" t="s">
        <v>1546</v>
      </c>
      <c r="J6154" s="320">
        <v>287.44578703703883</v>
      </c>
      <c r="K6154" s="178" t="s">
        <v>5322</v>
      </c>
      <c r="L6154" s="125" t="s">
        <v>3306</v>
      </c>
      <c r="M6154">
        <v>343</v>
      </c>
      <c r="N6154" s="182">
        <v>1</v>
      </c>
      <c r="O6154">
        <v>4029</v>
      </c>
      <c r="P6154" s="132" t="s">
        <v>77</v>
      </c>
      <c r="Q6154" s="176">
        <v>3430.03</v>
      </c>
      <c r="R6154" s="176">
        <v>548.79999999999995</v>
      </c>
      <c r="S6154" s="176"/>
      <c r="T6154" s="190"/>
      <c r="U6154" s="191"/>
      <c r="V6154" s="191">
        <v>3978.83</v>
      </c>
      <c r="W6154">
        <v>25</v>
      </c>
      <c r="X6154" s="186" t="s">
        <v>2024</v>
      </c>
      <c r="Y6154" s="187" t="s">
        <v>55</v>
      </c>
      <c r="Z6154" s="311">
        <v>288</v>
      </c>
      <c r="AB6154" t="str">
        <f>IF(Table1[[#This Row],[TIPO2]]="costo", VLOOKUP(Table1[[#This Row],[PARTIDA PRESUPUESTAL]],'Cost Report'!G:G,1,0),"Balance")</f>
        <v>3683-202</v>
      </c>
      <c r="AD6154" s="159">
        <f>+Table1[[#This Row],[SUBTOTAL]]+Table1[[#This Row],[IVA]]-Table1[[#This Row],[RET IVA]]-Table1[[#This Row],[RET ISR]]-Table1[[#This Row],[TOTAL]]</f>
        <v>0</v>
      </c>
      <c r="AK6154" s="306">
        <f>IF(ISNUMBER(Table1[[#This Row],[FECHA DE RECIBIDO]]), Table1[[#This Row],[FECHA DE RECIBIDO]]-DATE(2023,8,30), "")</f>
        <v>-44880.554212962961</v>
      </c>
    </row>
    <row r="6155" spans="1:37" ht="16.05" customHeight="1">
      <c r="A6155" s="172" t="s">
        <v>5191</v>
      </c>
      <c r="B6155" s="178">
        <v>2151</v>
      </c>
      <c r="C6155" s="179" t="s">
        <v>3413</v>
      </c>
      <c r="D6155">
        <v>4197</v>
      </c>
      <c r="E6155" s="125">
        <v>44150</v>
      </c>
      <c r="F6155" s="178">
        <v>601</v>
      </c>
      <c r="G6155" s="178" t="s">
        <v>134</v>
      </c>
      <c r="H6155">
        <v>23</v>
      </c>
      <c r="I6155" s="178" t="s">
        <v>1546</v>
      </c>
      <c r="J6155" s="320">
        <v>287.44578703703883</v>
      </c>
      <c r="K6155" s="178" t="s">
        <v>5322</v>
      </c>
      <c r="L6155" s="125" t="s">
        <v>3306</v>
      </c>
      <c r="M6155">
        <v>343</v>
      </c>
      <c r="N6155" s="182">
        <v>1</v>
      </c>
      <c r="O6155">
        <v>4029</v>
      </c>
      <c r="P6155" s="132" t="s">
        <v>77</v>
      </c>
      <c r="Q6155" s="176">
        <v>3430.03</v>
      </c>
      <c r="R6155" s="176">
        <v>548.79999999999995</v>
      </c>
      <c r="S6155" s="176"/>
      <c r="T6155" s="190"/>
      <c r="U6155" s="191"/>
      <c r="V6155" s="191">
        <v>3978.83</v>
      </c>
      <c r="W6155">
        <v>25</v>
      </c>
      <c r="X6155" s="186" t="s">
        <v>2024</v>
      </c>
      <c r="Y6155" s="187" t="s">
        <v>55</v>
      </c>
      <c r="Z6155" s="311">
        <v>288</v>
      </c>
      <c r="AB6155" t="str">
        <f>IF(Table1[[#This Row],[TIPO2]]="costo", VLOOKUP(Table1[[#This Row],[PARTIDA PRESUPUESTAL]],'Cost Report'!G:G,1,0),"Balance")</f>
        <v>3683-202</v>
      </c>
      <c r="AD6155" s="159">
        <f>+Table1[[#This Row],[SUBTOTAL]]+Table1[[#This Row],[IVA]]-Table1[[#This Row],[RET IVA]]-Table1[[#This Row],[RET ISR]]-Table1[[#This Row],[TOTAL]]</f>
        <v>0</v>
      </c>
      <c r="AK6155" s="306">
        <f>IF(ISNUMBER(Table1[[#This Row],[FECHA DE RECIBIDO]]), Table1[[#This Row],[FECHA DE RECIBIDO]]-DATE(2023,8,30), "")</f>
        <v>-44880.554212962961</v>
      </c>
    </row>
    <row r="6156" spans="1:37" ht="16.05" customHeight="1">
      <c r="A6156" s="172" t="s">
        <v>5191</v>
      </c>
      <c r="B6156" s="178">
        <v>2151</v>
      </c>
      <c r="C6156" s="179" t="s">
        <v>3413</v>
      </c>
      <c r="D6156">
        <v>4197</v>
      </c>
      <c r="E6156" s="125">
        <v>44150</v>
      </c>
      <c r="F6156" s="178">
        <v>601</v>
      </c>
      <c r="G6156" s="178" t="s">
        <v>134</v>
      </c>
      <c r="H6156">
        <v>23</v>
      </c>
      <c r="I6156" s="178" t="s">
        <v>1546</v>
      </c>
      <c r="J6156" s="320">
        <v>287.44578703703883</v>
      </c>
      <c r="K6156" s="178" t="s">
        <v>5322</v>
      </c>
      <c r="L6156" s="125" t="s">
        <v>3306</v>
      </c>
      <c r="M6156">
        <v>343</v>
      </c>
      <c r="N6156" s="182">
        <v>1</v>
      </c>
      <c r="O6156">
        <v>4029</v>
      </c>
      <c r="P6156" s="132" t="s">
        <v>77</v>
      </c>
      <c r="Q6156" s="176">
        <v>3430.03</v>
      </c>
      <c r="R6156" s="176">
        <v>548.79999999999995</v>
      </c>
      <c r="S6156" s="176"/>
      <c r="T6156" s="190"/>
      <c r="U6156" s="191"/>
      <c r="V6156" s="191">
        <v>3978.83</v>
      </c>
      <c r="W6156">
        <v>25</v>
      </c>
      <c r="X6156" s="186" t="s">
        <v>2024</v>
      </c>
      <c r="Y6156" s="187" t="s">
        <v>55</v>
      </c>
      <c r="Z6156" s="311">
        <v>288</v>
      </c>
      <c r="AB6156" t="str">
        <f>IF(Table1[[#This Row],[TIPO2]]="costo", VLOOKUP(Table1[[#This Row],[PARTIDA PRESUPUESTAL]],'Cost Report'!G:G,1,0),"Balance")</f>
        <v>3683-202</v>
      </c>
      <c r="AD6156" s="159">
        <f>+Table1[[#This Row],[SUBTOTAL]]+Table1[[#This Row],[IVA]]-Table1[[#This Row],[RET IVA]]-Table1[[#This Row],[RET ISR]]-Table1[[#This Row],[TOTAL]]</f>
        <v>0</v>
      </c>
      <c r="AK6156" s="306">
        <f>IF(ISNUMBER(Table1[[#This Row],[FECHA DE RECIBIDO]]), Table1[[#This Row],[FECHA DE RECIBIDO]]-DATE(2023,8,30), "")</f>
        <v>-44880.554212962961</v>
      </c>
    </row>
    <row r="6157" spans="1:37" ht="16.05" customHeight="1">
      <c r="A6157" s="172" t="s">
        <v>5191</v>
      </c>
      <c r="B6157" s="178">
        <v>2151</v>
      </c>
      <c r="C6157" s="179" t="s">
        <v>3413</v>
      </c>
      <c r="D6157">
        <v>4197</v>
      </c>
      <c r="E6157" s="125">
        <v>44150</v>
      </c>
      <c r="F6157" s="178">
        <v>601</v>
      </c>
      <c r="G6157" s="178" t="s">
        <v>134</v>
      </c>
      <c r="H6157">
        <v>23</v>
      </c>
      <c r="I6157" s="178" t="s">
        <v>1546</v>
      </c>
      <c r="J6157" s="320">
        <v>287.44578703703883</v>
      </c>
      <c r="K6157" s="178" t="s">
        <v>5322</v>
      </c>
      <c r="L6157" s="125" t="s">
        <v>3306</v>
      </c>
      <c r="M6157">
        <v>343</v>
      </c>
      <c r="N6157" s="182">
        <v>1</v>
      </c>
      <c r="O6157">
        <v>4029</v>
      </c>
      <c r="P6157" s="132" t="s">
        <v>77</v>
      </c>
      <c r="Q6157" s="176">
        <v>5030.72</v>
      </c>
      <c r="R6157" s="176">
        <v>804.92</v>
      </c>
      <c r="S6157" s="176"/>
      <c r="T6157" s="190"/>
      <c r="U6157" s="191"/>
      <c r="V6157" s="191">
        <v>5835.64</v>
      </c>
      <c r="W6157">
        <v>25</v>
      </c>
      <c r="X6157" s="186" t="s">
        <v>2024</v>
      </c>
      <c r="Y6157" s="187" t="s">
        <v>55</v>
      </c>
      <c r="Z6157" s="311">
        <v>288</v>
      </c>
      <c r="AB6157" t="str">
        <f>IF(Table1[[#This Row],[TIPO2]]="costo", VLOOKUP(Table1[[#This Row],[PARTIDA PRESUPUESTAL]],'Cost Report'!G:G,1,0),"Balance")</f>
        <v>3683-202</v>
      </c>
      <c r="AD6157" s="159">
        <f>+Table1[[#This Row],[SUBTOTAL]]+Table1[[#This Row],[IVA]]-Table1[[#This Row],[RET IVA]]-Table1[[#This Row],[RET ISR]]-Table1[[#This Row],[TOTAL]]</f>
        <v>0</v>
      </c>
      <c r="AK6157" s="306">
        <f>IF(ISNUMBER(Table1[[#This Row],[FECHA DE RECIBIDO]]), Table1[[#This Row],[FECHA DE RECIBIDO]]-DATE(2023,8,30), "")</f>
        <v>-44880.554212962961</v>
      </c>
    </row>
    <row r="6158" spans="1:37" ht="16.05" customHeight="1">
      <c r="A6158" s="172" t="s">
        <v>5191</v>
      </c>
      <c r="B6158" s="178">
        <v>2151</v>
      </c>
      <c r="C6158" s="179" t="s">
        <v>3413</v>
      </c>
      <c r="D6158">
        <v>4197</v>
      </c>
      <c r="E6158" s="125">
        <v>44150</v>
      </c>
      <c r="F6158" s="178">
        <v>601</v>
      </c>
      <c r="G6158" s="178" t="s">
        <v>134</v>
      </c>
      <c r="H6158">
        <v>23</v>
      </c>
      <c r="I6158" s="178" t="s">
        <v>1546</v>
      </c>
      <c r="J6158" s="320">
        <v>287.44578703703883</v>
      </c>
      <c r="K6158" s="178" t="s">
        <v>5322</v>
      </c>
      <c r="L6158" s="125" t="s">
        <v>3306</v>
      </c>
      <c r="M6158">
        <v>343</v>
      </c>
      <c r="N6158" s="182">
        <v>1</v>
      </c>
      <c r="O6158">
        <v>4029</v>
      </c>
      <c r="P6158" s="132" t="s">
        <v>77</v>
      </c>
      <c r="Q6158" s="176">
        <v>3430.03</v>
      </c>
      <c r="R6158" s="176">
        <v>548.79999999999995</v>
      </c>
      <c r="S6158" s="176"/>
      <c r="T6158" s="190"/>
      <c r="U6158" s="191"/>
      <c r="V6158" s="191">
        <v>3978.83</v>
      </c>
      <c r="W6158">
        <v>25</v>
      </c>
      <c r="X6158" s="186" t="s">
        <v>2024</v>
      </c>
      <c r="Y6158" s="187" t="s">
        <v>55</v>
      </c>
      <c r="Z6158" s="311">
        <v>288</v>
      </c>
      <c r="AB6158" t="str">
        <f>IF(Table1[[#This Row],[TIPO2]]="costo", VLOOKUP(Table1[[#This Row],[PARTIDA PRESUPUESTAL]],'Cost Report'!G:G,1,0),"Balance")</f>
        <v>3683-202</v>
      </c>
      <c r="AD6158" s="159">
        <f>+Table1[[#This Row],[SUBTOTAL]]+Table1[[#This Row],[IVA]]-Table1[[#This Row],[RET IVA]]-Table1[[#This Row],[RET ISR]]-Table1[[#This Row],[TOTAL]]</f>
        <v>0</v>
      </c>
      <c r="AK6158" s="306">
        <f>IF(ISNUMBER(Table1[[#This Row],[FECHA DE RECIBIDO]]), Table1[[#This Row],[FECHA DE RECIBIDO]]-DATE(2023,8,30), "")</f>
        <v>-44880.554212962961</v>
      </c>
    </row>
    <row r="6159" spans="1:37" ht="16.05" customHeight="1">
      <c r="A6159" s="172" t="s">
        <v>5191</v>
      </c>
      <c r="B6159" s="178">
        <v>2151</v>
      </c>
      <c r="C6159" s="179" t="s">
        <v>3413</v>
      </c>
      <c r="D6159">
        <v>4197</v>
      </c>
      <c r="E6159" s="125">
        <v>44150</v>
      </c>
      <c r="F6159" s="178">
        <v>601</v>
      </c>
      <c r="G6159" s="178" t="s">
        <v>134</v>
      </c>
      <c r="H6159">
        <v>23</v>
      </c>
      <c r="I6159" s="178" t="s">
        <v>1546</v>
      </c>
      <c r="J6159" s="320">
        <v>287.44578703703883</v>
      </c>
      <c r="K6159" s="178" t="s">
        <v>5322</v>
      </c>
      <c r="L6159" s="125" t="s">
        <v>3306</v>
      </c>
      <c r="M6159">
        <v>343</v>
      </c>
      <c r="N6159" s="182">
        <v>1</v>
      </c>
      <c r="O6159">
        <v>4029</v>
      </c>
      <c r="P6159" s="132" t="s">
        <v>77</v>
      </c>
      <c r="Q6159" s="176">
        <v>5030.72</v>
      </c>
      <c r="R6159" s="176">
        <v>804.92</v>
      </c>
      <c r="S6159" s="176"/>
      <c r="T6159" s="190"/>
      <c r="U6159" s="191"/>
      <c r="V6159" s="191">
        <v>5835.64</v>
      </c>
      <c r="W6159">
        <v>25</v>
      </c>
      <c r="X6159" s="186" t="s">
        <v>2024</v>
      </c>
      <c r="Y6159" s="187" t="s">
        <v>55</v>
      </c>
      <c r="Z6159" s="311">
        <v>288</v>
      </c>
      <c r="AB6159" t="str">
        <f>IF(Table1[[#This Row],[TIPO2]]="costo", VLOOKUP(Table1[[#This Row],[PARTIDA PRESUPUESTAL]],'Cost Report'!G:G,1,0),"Balance")</f>
        <v>3683-202</v>
      </c>
      <c r="AD6159" s="159">
        <f>+Table1[[#This Row],[SUBTOTAL]]+Table1[[#This Row],[IVA]]-Table1[[#This Row],[RET IVA]]-Table1[[#This Row],[RET ISR]]-Table1[[#This Row],[TOTAL]]</f>
        <v>0</v>
      </c>
      <c r="AK6159" s="306">
        <f>IF(ISNUMBER(Table1[[#This Row],[FECHA DE RECIBIDO]]), Table1[[#This Row],[FECHA DE RECIBIDO]]-DATE(2023,8,30), "")</f>
        <v>-44880.554212962961</v>
      </c>
    </row>
    <row r="6160" spans="1:37" ht="16.05" customHeight="1">
      <c r="A6160" s="172" t="s">
        <v>5191</v>
      </c>
      <c r="B6160" s="178">
        <v>2151</v>
      </c>
      <c r="C6160" s="179" t="s">
        <v>3413</v>
      </c>
      <c r="D6160">
        <v>4197</v>
      </c>
      <c r="E6160" s="125">
        <v>44150</v>
      </c>
      <c r="F6160" s="178">
        <v>601</v>
      </c>
      <c r="G6160" s="178" t="s">
        <v>134</v>
      </c>
      <c r="H6160">
        <v>23</v>
      </c>
      <c r="I6160" s="178" t="s">
        <v>1546</v>
      </c>
      <c r="J6160" s="320">
        <v>287.44578703703883</v>
      </c>
      <c r="K6160" s="178" t="s">
        <v>5322</v>
      </c>
      <c r="L6160" s="125" t="s">
        <v>3306</v>
      </c>
      <c r="M6160">
        <v>343</v>
      </c>
      <c r="N6160" s="182">
        <v>1</v>
      </c>
      <c r="O6160">
        <v>4029</v>
      </c>
      <c r="P6160" s="132" t="s">
        <v>77</v>
      </c>
      <c r="Q6160" s="176">
        <v>5145.0600000000004</v>
      </c>
      <c r="R6160" s="176">
        <v>823.21</v>
      </c>
      <c r="S6160" s="176"/>
      <c r="T6160" s="190"/>
      <c r="U6160" s="191"/>
      <c r="V6160" s="191">
        <v>5968.27</v>
      </c>
      <c r="W6160">
        <v>25</v>
      </c>
      <c r="X6160" s="186" t="s">
        <v>2024</v>
      </c>
      <c r="Y6160" s="187" t="s">
        <v>55</v>
      </c>
      <c r="Z6160" s="311">
        <v>288</v>
      </c>
      <c r="AB6160" t="str">
        <f>IF(Table1[[#This Row],[TIPO2]]="costo", VLOOKUP(Table1[[#This Row],[PARTIDA PRESUPUESTAL]],'Cost Report'!G:G,1,0),"Balance")</f>
        <v>3683-202</v>
      </c>
      <c r="AD6160" s="159">
        <f>+Table1[[#This Row],[SUBTOTAL]]+Table1[[#This Row],[IVA]]-Table1[[#This Row],[RET IVA]]-Table1[[#This Row],[RET ISR]]-Table1[[#This Row],[TOTAL]]</f>
        <v>0</v>
      </c>
      <c r="AK6160" s="306">
        <f>IF(ISNUMBER(Table1[[#This Row],[FECHA DE RECIBIDO]]), Table1[[#This Row],[FECHA DE RECIBIDO]]-DATE(2023,8,30), "")</f>
        <v>-44880.554212962961</v>
      </c>
    </row>
    <row r="6161" spans="1:37" ht="16.05" customHeight="1">
      <c r="A6161" s="172" t="s">
        <v>5191</v>
      </c>
      <c r="B6161" s="178">
        <v>2151</v>
      </c>
      <c r="C6161" s="179" t="s">
        <v>3413</v>
      </c>
      <c r="D6161">
        <v>4197</v>
      </c>
      <c r="E6161" s="125">
        <v>44150</v>
      </c>
      <c r="F6161" s="178">
        <v>601</v>
      </c>
      <c r="G6161" s="178" t="s">
        <v>134</v>
      </c>
      <c r="H6161">
        <v>23</v>
      </c>
      <c r="I6161" s="178" t="s">
        <v>1546</v>
      </c>
      <c r="J6161" s="320">
        <v>287.44578703703883</v>
      </c>
      <c r="K6161" s="178" t="s">
        <v>5322</v>
      </c>
      <c r="L6161" s="125" t="s">
        <v>3306</v>
      </c>
      <c r="M6161">
        <v>343</v>
      </c>
      <c r="N6161" s="182">
        <v>1</v>
      </c>
      <c r="O6161">
        <v>4029</v>
      </c>
      <c r="P6161" s="132" t="s">
        <v>77</v>
      </c>
      <c r="Q6161" s="176">
        <v>6402.72</v>
      </c>
      <c r="R6161" s="176">
        <v>1024.44</v>
      </c>
      <c r="S6161" s="176"/>
      <c r="T6161" s="190"/>
      <c r="U6161" s="191"/>
      <c r="V6161" s="191">
        <v>7427.16</v>
      </c>
      <c r="W6161">
        <v>25</v>
      </c>
      <c r="X6161" s="186" t="s">
        <v>2024</v>
      </c>
      <c r="Y6161" s="187" t="s">
        <v>55</v>
      </c>
      <c r="Z6161" s="311">
        <v>288</v>
      </c>
      <c r="AB6161" t="str">
        <f>IF(Table1[[#This Row],[TIPO2]]="costo", VLOOKUP(Table1[[#This Row],[PARTIDA PRESUPUESTAL]],'Cost Report'!G:G,1,0),"Balance")</f>
        <v>3683-202</v>
      </c>
      <c r="AD6161" s="159">
        <f>+Table1[[#This Row],[SUBTOTAL]]+Table1[[#This Row],[IVA]]-Table1[[#This Row],[RET IVA]]-Table1[[#This Row],[RET ISR]]-Table1[[#This Row],[TOTAL]]</f>
        <v>0</v>
      </c>
      <c r="AK6161" s="306">
        <f>IF(ISNUMBER(Table1[[#This Row],[FECHA DE RECIBIDO]]), Table1[[#This Row],[FECHA DE RECIBIDO]]-DATE(2023,8,30), "")</f>
        <v>-44880.554212962961</v>
      </c>
    </row>
    <row r="6162" spans="1:37" ht="16.05" customHeight="1">
      <c r="A6162" s="172" t="s">
        <v>5191</v>
      </c>
      <c r="B6162" s="178">
        <v>2151</v>
      </c>
      <c r="C6162" s="179" t="s">
        <v>3413</v>
      </c>
      <c r="D6162">
        <v>4197</v>
      </c>
      <c r="E6162" s="125">
        <v>44150</v>
      </c>
      <c r="F6162" s="178">
        <v>601</v>
      </c>
      <c r="G6162" s="178" t="s">
        <v>134</v>
      </c>
      <c r="H6162">
        <v>23</v>
      </c>
      <c r="I6162" s="178" t="s">
        <v>1546</v>
      </c>
      <c r="J6162" s="320">
        <v>287.44578703703883</v>
      </c>
      <c r="K6162" s="178" t="s">
        <v>5322</v>
      </c>
      <c r="L6162" s="125" t="s">
        <v>3306</v>
      </c>
      <c r="M6162">
        <v>343</v>
      </c>
      <c r="N6162" s="182">
        <v>1</v>
      </c>
      <c r="O6162">
        <v>4029</v>
      </c>
      <c r="P6162" s="132" t="s">
        <v>77</v>
      </c>
      <c r="Q6162" s="176">
        <v>12805.44</v>
      </c>
      <c r="R6162" s="176">
        <v>2048.87</v>
      </c>
      <c r="S6162" s="176"/>
      <c r="T6162" s="190"/>
      <c r="U6162" s="191"/>
      <c r="V6162" s="191">
        <v>14854.310000000001</v>
      </c>
      <c r="W6162">
        <v>25</v>
      </c>
      <c r="X6162" s="186" t="s">
        <v>2024</v>
      </c>
      <c r="Y6162" s="187" t="s">
        <v>55</v>
      </c>
      <c r="Z6162" s="311">
        <v>288</v>
      </c>
      <c r="AB6162" t="str">
        <f>IF(Table1[[#This Row],[TIPO2]]="costo", VLOOKUP(Table1[[#This Row],[PARTIDA PRESUPUESTAL]],'Cost Report'!G:G,1,0),"Balance")</f>
        <v>3683-202</v>
      </c>
      <c r="AD6162" s="159">
        <f>+Table1[[#This Row],[SUBTOTAL]]+Table1[[#This Row],[IVA]]-Table1[[#This Row],[RET IVA]]-Table1[[#This Row],[RET ISR]]-Table1[[#This Row],[TOTAL]]</f>
        <v>0</v>
      </c>
      <c r="AK6162" s="306">
        <f>IF(ISNUMBER(Table1[[#This Row],[FECHA DE RECIBIDO]]), Table1[[#This Row],[FECHA DE RECIBIDO]]-DATE(2023,8,30), "")</f>
        <v>-44880.554212962961</v>
      </c>
    </row>
    <row r="6163" spans="1:37" ht="16.05" customHeight="1">
      <c r="A6163" s="172" t="s">
        <v>5191</v>
      </c>
      <c r="B6163" s="178">
        <v>2151</v>
      </c>
      <c r="C6163" s="179" t="s">
        <v>3413</v>
      </c>
      <c r="D6163">
        <v>4197</v>
      </c>
      <c r="E6163" s="125">
        <v>44150</v>
      </c>
      <c r="F6163" s="178">
        <v>601</v>
      </c>
      <c r="G6163" s="178" t="s">
        <v>134</v>
      </c>
      <c r="H6163">
        <v>23</v>
      </c>
      <c r="I6163" s="178" t="s">
        <v>1546</v>
      </c>
      <c r="J6163" s="320">
        <v>287.44578703703883</v>
      </c>
      <c r="K6163" s="178" t="s">
        <v>5322</v>
      </c>
      <c r="L6163" s="125" t="s">
        <v>3306</v>
      </c>
      <c r="M6163">
        <v>343</v>
      </c>
      <c r="N6163" s="182">
        <v>1</v>
      </c>
      <c r="O6163">
        <v>4029</v>
      </c>
      <c r="P6163" s="132" t="s">
        <v>77</v>
      </c>
      <c r="Q6163" s="176">
        <v>6402.72</v>
      </c>
      <c r="R6163" s="176">
        <v>1024.44</v>
      </c>
      <c r="S6163" s="176"/>
      <c r="T6163" s="190"/>
      <c r="U6163" s="191"/>
      <c r="V6163" s="191">
        <v>7427.16</v>
      </c>
      <c r="W6163">
        <v>25</v>
      </c>
      <c r="X6163" s="186" t="s">
        <v>2024</v>
      </c>
      <c r="Y6163" s="187" t="s">
        <v>55</v>
      </c>
      <c r="Z6163" s="311">
        <v>288</v>
      </c>
      <c r="AB6163" t="str">
        <f>IF(Table1[[#This Row],[TIPO2]]="costo", VLOOKUP(Table1[[#This Row],[PARTIDA PRESUPUESTAL]],'Cost Report'!G:G,1,0),"Balance")</f>
        <v>3683-202</v>
      </c>
      <c r="AD6163" s="159">
        <f>+Table1[[#This Row],[SUBTOTAL]]+Table1[[#This Row],[IVA]]-Table1[[#This Row],[RET IVA]]-Table1[[#This Row],[RET ISR]]-Table1[[#This Row],[TOTAL]]</f>
        <v>0</v>
      </c>
      <c r="AK6163" s="306">
        <f>IF(ISNUMBER(Table1[[#This Row],[FECHA DE RECIBIDO]]), Table1[[#This Row],[FECHA DE RECIBIDO]]-DATE(2023,8,30), "")</f>
        <v>-44880.554212962961</v>
      </c>
    </row>
    <row r="6164" spans="1:37" ht="16.05" customHeight="1">
      <c r="A6164" s="172" t="s">
        <v>5191</v>
      </c>
      <c r="B6164" s="178">
        <v>2151</v>
      </c>
      <c r="C6164" s="179" t="s">
        <v>3413</v>
      </c>
      <c r="D6164">
        <v>4197</v>
      </c>
      <c r="E6164" s="125">
        <v>44150</v>
      </c>
      <c r="F6164" s="178">
        <v>601</v>
      </c>
      <c r="G6164" s="178" t="s">
        <v>134</v>
      </c>
      <c r="H6164">
        <v>23</v>
      </c>
      <c r="I6164" s="178" t="s">
        <v>1546</v>
      </c>
      <c r="J6164" s="320">
        <v>287.44578703703883</v>
      </c>
      <c r="K6164" s="178" t="s">
        <v>5322</v>
      </c>
      <c r="L6164" s="125" t="s">
        <v>3306</v>
      </c>
      <c r="M6164">
        <v>343</v>
      </c>
      <c r="N6164" s="182">
        <v>1</v>
      </c>
      <c r="O6164">
        <v>4029</v>
      </c>
      <c r="P6164" s="132" t="s">
        <v>77</v>
      </c>
      <c r="Q6164" s="176">
        <v>6402.72</v>
      </c>
      <c r="R6164" s="176">
        <v>1024.44</v>
      </c>
      <c r="S6164" s="176"/>
      <c r="T6164" s="190"/>
      <c r="U6164" s="191"/>
      <c r="V6164" s="191">
        <v>7427.16</v>
      </c>
      <c r="W6164">
        <v>25</v>
      </c>
      <c r="X6164" s="186" t="s">
        <v>2024</v>
      </c>
      <c r="Y6164" s="187" t="s">
        <v>55</v>
      </c>
      <c r="Z6164" s="311">
        <v>288</v>
      </c>
      <c r="AB6164" t="str">
        <f>IF(Table1[[#This Row],[TIPO2]]="costo", VLOOKUP(Table1[[#This Row],[PARTIDA PRESUPUESTAL]],'Cost Report'!G:G,1,0),"Balance")</f>
        <v>3683-202</v>
      </c>
      <c r="AD6164" s="159">
        <f>+Table1[[#This Row],[SUBTOTAL]]+Table1[[#This Row],[IVA]]-Table1[[#This Row],[RET IVA]]-Table1[[#This Row],[RET ISR]]-Table1[[#This Row],[TOTAL]]</f>
        <v>0</v>
      </c>
      <c r="AK6164" s="306">
        <f>IF(ISNUMBER(Table1[[#This Row],[FECHA DE RECIBIDO]]), Table1[[#This Row],[FECHA DE RECIBIDO]]-DATE(2023,8,30), "")</f>
        <v>-44880.554212962961</v>
      </c>
    </row>
    <row r="6165" spans="1:37" ht="16.05" customHeight="1">
      <c r="A6165" s="172" t="s">
        <v>5191</v>
      </c>
      <c r="B6165" s="178">
        <v>2151</v>
      </c>
      <c r="C6165" s="179" t="s">
        <v>3413</v>
      </c>
      <c r="D6165">
        <v>4197</v>
      </c>
      <c r="E6165" s="125">
        <v>44150</v>
      </c>
      <c r="F6165" s="178">
        <v>601</v>
      </c>
      <c r="G6165" s="178" t="s">
        <v>134</v>
      </c>
      <c r="H6165">
        <v>23</v>
      </c>
      <c r="I6165" s="178" t="s">
        <v>1546</v>
      </c>
      <c r="J6165" s="320">
        <v>287.44578703703883</v>
      </c>
      <c r="K6165" s="178" t="s">
        <v>5322</v>
      </c>
      <c r="L6165" s="125" t="s">
        <v>3306</v>
      </c>
      <c r="M6165">
        <v>343</v>
      </c>
      <c r="N6165" s="182">
        <v>1</v>
      </c>
      <c r="O6165">
        <v>4029</v>
      </c>
      <c r="P6165" s="132" t="s">
        <v>77</v>
      </c>
      <c r="Q6165" s="176">
        <v>2082.5100000000002</v>
      </c>
      <c r="R6165" s="176">
        <v>333.2</v>
      </c>
      <c r="S6165" s="176"/>
      <c r="T6165" s="190"/>
      <c r="U6165" s="191"/>
      <c r="V6165" s="191">
        <v>2415.71</v>
      </c>
      <c r="W6165">
        <v>25</v>
      </c>
      <c r="X6165" s="186" t="s">
        <v>2024</v>
      </c>
      <c r="Y6165" s="187" t="s">
        <v>55</v>
      </c>
      <c r="Z6165" s="311">
        <v>288</v>
      </c>
      <c r="AB6165" t="str">
        <f>IF(Table1[[#This Row],[TIPO2]]="costo", VLOOKUP(Table1[[#This Row],[PARTIDA PRESUPUESTAL]],'Cost Report'!G:G,1,0),"Balance")</f>
        <v>3683-202</v>
      </c>
      <c r="AD6165" s="159">
        <f>+Table1[[#This Row],[SUBTOTAL]]+Table1[[#This Row],[IVA]]-Table1[[#This Row],[RET IVA]]-Table1[[#This Row],[RET ISR]]-Table1[[#This Row],[TOTAL]]</f>
        <v>0</v>
      </c>
      <c r="AK6165" s="306">
        <f>IF(ISNUMBER(Table1[[#This Row],[FECHA DE RECIBIDO]]), Table1[[#This Row],[FECHA DE RECIBIDO]]-DATE(2023,8,30), "")</f>
        <v>-44880.554212962961</v>
      </c>
    </row>
    <row r="6166" spans="1:37" ht="16.05" customHeight="1">
      <c r="A6166" s="172" t="s">
        <v>5191</v>
      </c>
      <c r="B6166" s="178">
        <v>2151</v>
      </c>
      <c r="C6166" s="179" t="s">
        <v>3413</v>
      </c>
      <c r="D6166">
        <v>4197</v>
      </c>
      <c r="E6166" s="125">
        <v>44150</v>
      </c>
      <c r="F6166" s="178">
        <v>601</v>
      </c>
      <c r="G6166" s="178" t="s">
        <v>134</v>
      </c>
      <c r="H6166">
        <v>23</v>
      </c>
      <c r="I6166" s="178" t="s">
        <v>1546</v>
      </c>
      <c r="J6166" s="320">
        <v>287.44578703703883</v>
      </c>
      <c r="K6166" s="178" t="s">
        <v>5322</v>
      </c>
      <c r="L6166" s="125" t="s">
        <v>3306</v>
      </c>
      <c r="M6166">
        <v>343</v>
      </c>
      <c r="N6166" s="182">
        <v>1</v>
      </c>
      <c r="O6166">
        <v>4029</v>
      </c>
      <c r="P6166" s="132" t="s">
        <v>77</v>
      </c>
      <c r="Q6166" s="176">
        <v>1143.32</v>
      </c>
      <c r="R6166" s="176">
        <v>182.93</v>
      </c>
      <c r="S6166" s="176"/>
      <c r="T6166" s="190"/>
      <c r="U6166" s="191"/>
      <c r="V6166" s="191">
        <v>1326.25</v>
      </c>
      <c r="W6166">
        <v>25</v>
      </c>
      <c r="X6166" s="186" t="s">
        <v>2024</v>
      </c>
      <c r="Y6166" s="187" t="s">
        <v>55</v>
      </c>
      <c r="Z6166" s="311">
        <v>288</v>
      </c>
      <c r="AB6166" t="str">
        <f>IF(Table1[[#This Row],[TIPO2]]="costo", VLOOKUP(Table1[[#This Row],[PARTIDA PRESUPUESTAL]],'Cost Report'!G:G,1,0),"Balance")</f>
        <v>3683-202</v>
      </c>
      <c r="AD6166" s="159">
        <f>+Table1[[#This Row],[SUBTOTAL]]+Table1[[#This Row],[IVA]]-Table1[[#This Row],[RET IVA]]-Table1[[#This Row],[RET ISR]]-Table1[[#This Row],[TOTAL]]</f>
        <v>0</v>
      </c>
      <c r="AK6166" s="306">
        <f>IF(ISNUMBER(Table1[[#This Row],[FECHA DE RECIBIDO]]), Table1[[#This Row],[FECHA DE RECIBIDO]]-DATE(2023,8,30), "")</f>
        <v>-44880.554212962961</v>
      </c>
    </row>
    <row r="6167" spans="1:37" ht="16.05" customHeight="1">
      <c r="A6167" s="172"/>
      <c r="B6167" s="178">
        <v>2152</v>
      </c>
      <c r="C6167" s="179" t="s">
        <v>2836</v>
      </c>
      <c r="D6167">
        <v>4198</v>
      </c>
      <c r="E6167" s="125">
        <v>44150</v>
      </c>
      <c r="F6167" s="178">
        <v>601</v>
      </c>
      <c r="G6167" s="178" t="s">
        <v>134</v>
      </c>
      <c r="H6167">
        <v>23</v>
      </c>
      <c r="I6167" s="178" t="s">
        <v>1546</v>
      </c>
      <c r="J6167" s="320">
        <v>286.82996527777868</v>
      </c>
      <c r="K6167" s="178" t="s">
        <v>5322</v>
      </c>
      <c r="L6167" s="125" t="s">
        <v>3306</v>
      </c>
      <c r="M6167">
        <v>343</v>
      </c>
      <c r="N6167" s="182">
        <v>1</v>
      </c>
      <c r="O6167">
        <v>4030</v>
      </c>
      <c r="P6167" s="132" t="s">
        <v>77</v>
      </c>
      <c r="Q6167" s="176">
        <v>9240</v>
      </c>
      <c r="R6167" s="176">
        <v>1478.4</v>
      </c>
      <c r="S6167" s="176"/>
      <c r="T6167" s="190"/>
      <c r="U6167" s="191"/>
      <c r="V6167" s="191">
        <v>10718.4</v>
      </c>
      <c r="W6167">
        <v>25</v>
      </c>
      <c r="X6167" s="186" t="s">
        <v>2024</v>
      </c>
      <c r="Y6167" s="187" t="s">
        <v>55</v>
      </c>
      <c r="Z6167" s="311">
        <v>288</v>
      </c>
      <c r="AB6167" t="str">
        <f>IF(Table1[[#This Row],[TIPO2]]="costo", VLOOKUP(Table1[[#This Row],[PARTIDA PRESUPUESTAL]],'Cost Report'!G:G,1,0),"Balance")</f>
        <v>3442-025</v>
      </c>
      <c r="AD6167" s="159">
        <f>+Table1[[#This Row],[SUBTOTAL]]+Table1[[#This Row],[IVA]]-Table1[[#This Row],[RET IVA]]-Table1[[#This Row],[RET ISR]]-Table1[[#This Row],[TOTAL]]</f>
        <v>0</v>
      </c>
      <c r="AK6167" s="306">
        <f>IF(ISNUMBER(Table1[[#This Row],[FECHA DE RECIBIDO]]), Table1[[#This Row],[FECHA DE RECIBIDO]]-DATE(2023,8,30), "")</f>
        <v>-44881.170034722221</v>
      </c>
    </row>
    <row r="6168" spans="1:37" ht="16.05" customHeight="1">
      <c r="A6168" s="172"/>
      <c r="B6168" s="178">
        <v>2153</v>
      </c>
      <c r="C6168" s="179" t="s">
        <v>2992</v>
      </c>
      <c r="D6168">
        <v>4199</v>
      </c>
      <c r="E6168" s="125">
        <v>44150</v>
      </c>
      <c r="F6168" s="178">
        <v>601</v>
      </c>
      <c r="G6168" s="178" t="s">
        <v>134</v>
      </c>
      <c r="H6168">
        <v>23</v>
      </c>
      <c r="I6168" s="178" t="s">
        <v>1546</v>
      </c>
      <c r="J6168" s="320">
        <v>286.82895833333168</v>
      </c>
      <c r="K6168" s="178" t="s">
        <v>5322</v>
      </c>
      <c r="L6168" s="125" t="s">
        <v>3306</v>
      </c>
      <c r="M6168">
        <v>343</v>
      </c>
      <c r="N6168" s="182">
        <v>1</v>
      </c>
      <c r="O6168">
        <v>4031</v>
      </c>
      <c r="P6168" s="132" t="s">
        <v>77</v>
      </c>
      <c r="Q6168" s="176">
        <v>12419.21</v>
      </c>
      <c r="R6168" s="176">
        <v>1987.07</v>
      </c>
      <c r="S6168" s="176"/>
      <c r="T6168" s="190"/>
      <c r="U6168" s="191"/>
      <c r="V6168" s="191">
        <v>14406.279999999999</v>
      </c>
      <c r="W6168">
        <v>25</v>
      </c>
      <c r="X6168" s="186" t="s">
        <v>2024</v>
      </c>
      <c r="Y6168" s="187" t="s">
        <v>55</v>
      </c>
      <c r="Z6168" s="311">
        <v>288</v>
      </c>
      <c r="AB6168" t="str">
        <f>IF(Table1[[#This Row],[TIPO2]]="costo", VLOOKUP(Table1[[#This Row],[PARTIDA PRESUPUESTAL]],'Cost Report'!G:G,1,0),"Balance")</f>
        <v>3936-004</v>
      </c>
      <c r="AD6168" s="159">
        <f>+Table1[[#This Row],[SUBTOTAL]]+Table1[[#This Row],[IVA]]-Table1[[#This Row],[RET IVA]]-Table1[[#This Row],[RET ISR]]-Table1[[#This Row],[TOTAL]]</f>
        <v>0</v>
      </c>
      <c r="AK6168" s="306">
        <f>IF(ISNUMBER(Table1[[#This Row],[FECHA DE RECIBIDO]]), Table1[[#This Row],[FECHA DE RECIBIDO]]-DATE(2023,8,30), "")</f>
        <v>-44881.171041666668</v>
      </c>
    </row>
    <row r="6169" spans="1:37" ht="16.05" customHeight="1">
      <c r="A6169" s="172"/>
      <c r="B6169" s="178">
        <v>2154</v>
      </c>
      <c r="C6169" s="179" t="s">
        <v>2864</v>
      </c>
      <c r="D6169">
        <v>4200</v>
      </c>
      <c r="E6169" s="125">
        <v>44150</v>
      </c>
      <c r="F6169" s="178">
        <v>601</v>
      </c>
      <c r="G6169" s="178" t="s">
        <v>134</v>
      </c>
      <c r="H6169">
        <v>23</v>
      </c>
      <c r="I6169" s="178" t="s">
        <v>1546</v>
      </c>
      <c r="J6169" s="320">
        <v>286.82820601851563</v>
      </c>
      <c r="K6169" s="178" t="s">
        <v>5322</v>
      </c>
      <c r="L6169" s="125" t="s">
        <v>3306</v>
      </c>
      <c r="M6169">
        <v>343</v>
      </c>
      <c r="N6169" s="182">
        <v>1</v>
      </c>
      <c r="O6169">
        <v>4032</v>
      </c>
      <c r="P6169" s="132" t="s">
        <v>77</v>
      </c>
      <c r="Q6169" s="176">
        <v>51630.14</v>
      </c>
      <c r="R6169" s="176">
        <v>8260.82</v>
      </c>
      <c r="S6169" s="176"/>
      <c r="T6169" s="190"/>
      <c r="U6169" s="191"/>
      <c r="V6169" s="191">
        <v>59890.96</v>
      </c>
      <c r="W6169">
        <v>25</v>
      </c>
      <c r="X6169" s="186" t="s">
        <v>2024</v>
      </c>
      <c r="Y6169" s="187" t="s">
        <v>55</v>
      </c>
      <c r="Z6169" s="311">
        <v>288</v>
      </c>
      <c r="AB6169" t="str">
        <f>IF(Table1[[#This Row],[TIPO2]]="costo", VLOOKUP(Table1[[#This Row],[PARTIDA PRESUPUESTAL]],'Cost Report'!G:G,1,0),"Balance")</f>
        <v>3632-003</v>
      </c>
      <c r="AD6169" s="159">
        <f>+Table1[[#This Row],[SUBTOTAL]]+Table1[[#This Row],[IVA]]-Table1[[#This Row],[RET IVA]]-Table1[[#This Row],[RET ISR]]-Table1[[#This Row],[TOTAL]]</f>
        <v>0</v>
      </c>
      <c r="AK6169" s="306">
        <f>IF(ISNUMBER(Table1[[#This Row],[FECHA DE RECIBIDO]]), Table1[[#This Row],[FECHA DE RECIBIDO]]-DATE(2023,8,30), "")</f>
        <v>-44881.171793981484</v>
      </c>
    </row>
    <row r="6170" spans="1:37" ht="16.05" customHeight="1">
      <c r="A6170" s="172" t="s">
        <v>5192</v>
      </c>
      <c r="B6170" s="178">
        <v>2155</v>
      </c>
      <c r="C6170" s="179" t="s">
        <v>2864</v>
      </c>
      <c r="D6170">
        <v>4201</v>
      </c>
      <c r="E6170" s="125">
        <v>44150</v>
      </c>
      <c r="F6170" s="178">
        <v>601</v>
      </c>
      <c r="G6170" s="178" t="s">
        <v>134</v>
      </c>
      <c r="H6170">
        <v>23</v>
      </c>
      <c r="I6170" s="178" t="s">
        <v>1546</v>
      </c>
      <c r="J6170" s="320">
        <v>286.83325231481285</v>
      </c>
      <c r="K6170" s="178" t="s">
        <v>5322</v>
      </c>
      <c r="L6170" s="125" t="s">
        <v>3306</v>
      </c>
      <c r="M6170">
        <v>343</v>
      </c>
      <c r="N6170" s="182">
        <v>1</v>
      </c>
      <c r="O6170">
        <v>4033</v>
      </c>
      <c r="P6170" s="132" t="s">
        <v>77</v>
      </c>
      <c r="Q6170" s="176">
        <v>7510</v>
      </c>
      <c r="R6170" s="176">
        <v>1201.5999999999999</v>
      </c>
      <c r="S6170" s="176"/>
      <c r="T6170" s="190"/>
      <c r="U6170" s="191"/>
      <c r="V6170" s="191">
        <v>8711.6</v>
      </c>
      <c r="W6170">
        <v>25</v>
      </c>
      <c r="X6170" s="186" t="s">
        <v>2024</v>
      </c>
      <c r="Y6170" s="187" t="s">
        <v>55</v>
      </c>
      <c r="Z6170" s="311">
        <v>288</v>
      </c>
      <c r="AB6170" t="str">
        <f>IF(Table1[[#This Row],[TIPO2]]="costo", VLOOKUP(Table1[[#This Row],[PARTIDA PRESUPUESTAL]],'Cost Report'!G:G,1,0),"Balance")</f>
        <v>3632-003</v>
      </c>
      <c r="AD6170" s="159">
        <f>+Table1[[#This Row],[SUBTOTAL]]+Table1[[#This Row],[IVA]]-Table1[[#This Row],[RET IVA]]-Table1[[#This Row],[RET ISR]]-Table1[[#This Row],[TOTAL]]</f>
        <v>0</v>
      </c>
      <c r="AK6170" s="306">
        <f>IF(ISNUMBER(Table1[[#This Row],[FECHA DE RECIBIDO]]), Table1[[#This Row],[FECHA DE RECIBIDO]]-DATE(2023,8,30), "")</f>
        <v>-44881.166747685187</v>
      </c>
    </row>
    <row r="6171" spans="1:37" ht="16.05" customHeight="1">
      <c r="A6171" s="172"/>
      <c r="B6171" s="178">
        <v>2156</v>
      </c>
      <c r="C6171" s="179" t="s">
        <v>2836</v>
      </c>
      <c r="D6171">
        <v>4202</v>
      </c>
      <c r="E6171" s="125">
        <v>44150</v>
      </c>
      <c r="F6171" s="178">
        <v>601</v>
      </c>
      <c r="G6171" s="178" t="s">
        <v>134</v>
      </c>
      <c r="H6171">
        <v>23</v>
      </c>
      <c r="I6171" s="178" t="s">
        <v>1546</v>
      </c>
      <c r="J6171" s="320">
        <v>286.83394675925956</v>
      </c>
      <c r="K6171" s="178" t="s">
        <v>5322</v>
      </c>
      <c r="L6171" s="125" t="s">
        <v>3306</v>
      </c>
      <c r="M6171">
        <v>343</v>
      </c>
      <c r="N6171" s="182">
        <v>1</v>
      </c>
      <c r="O6171">
        <v>4034</v>
      </c>
      <c r="P6171" s="132" t="s">
        <v>77</v>
      </c>
      <c r="Q6171" s="176">
        <v>2520</v>
      </c>
      <c r="R6171" s="176">
        <v>403.2</v>
      </c>
      <c r="S6171" s="176"/>
      <c r="T6171" s="190"/>
      <c r="U6171" s="191"/>
      <c r="V6171" s="191">
        <v>2923.2</v>
      </c>
      <c r="W6171">
        <v>25</v>
      </c>
      <c r="X6171" s="186" t="s">
        <v>2024</v>
      </c>
      <c r="Y6171" s="187" t="s">
        <v>55</v>
      </c>
      <c r="Z6171" s="311">
        <v>288</v>
      </c>
      <c r="AB6171" t="str">
        <f>IF(Table1[[#This Row],[TIPO2]]="costo", VLOOKUP(Table1[[#This Row],[PARTIDA PRESUPUESTAL]],'Cost Report'!G:G,1,0),"Balance")</f>
        <v>3442-025</v>
      </c>
      <c r="AD6171" s="159">
        <f>+Table1[[#This Row],[SUBTOTAL]]+Table1[[#This Row],[IVA]]-Table1[[#This Row],[RET IVA]]-Table1[[#This Row],[RET ISR]]-Table1[[#This Row],[TOTAL]]</f>
        <v>0</v>
      </c>
      <c r="AK6171" s="306">
        <f>IF(ISNUMBER(Table1[[#This Row],[FECHA DE RECIBIDO]]), Table1[[#This Row],[FECHA DE RECIBIDO]]-DATE(2023,8,30), "")</f>
        <v>-44881.16605324074</v>
      </c>
    </row>
    <row r="6172" spans="1:37" ht="16.05" customHeight="1">
      <c r="A6172" s="172" t="s">
        <v>5193</v>
      </c>
      <c r="B6172" s="178">
        <v>2157</v>
      </c>
      <c r="C6172" s="179" t="s">
        <v>3002</v>
      </c>
      <c r="D6172">
        <v>4203</v>
      </c>
      <c r="E6172" s="125">
        <v>44150</v>
      </c>
      <c r="F6172" s="178">
        <v>601</v>
      </c>
      <c r="G6172" s="178" t="s">
        <v>134</v>
      </c>
      <c r="H6172">
        <v>23</v>
      </c>
      <c r="I6172" s="178" t="s">
        <v>1546</v>
      </c>
      <c r="J6172" s="320">
        <v>287.62454861111473</v>
      </c>
      <c r="K6172" s="178" t="s">
        <v>5322</v>
      </c>
      <c r="L6172" s="125" t="s">
        <v>3306</v>
      </c>
      <c r="M6172">
        <v>343</v>
      </c>
      <c r="N6172" s="182">
        <v>1</v>
      </c>
      <c r="O6172">
        <v>4035</v>
      </c>
      <c r="P6172" s="132" t="s">
        <v>77</v>
      </c>
      <c r="Q6172" s="176">
        <v>121546.42</v>
      </c>
      <c r="R6172" s="176">
        <v>19447.43</v>
      </c>
      <c r="S6172" s="176"/>
      <c r="T6172" s="190"/>
      <c r="U6172" s="191"/>
      <c r="V6172" s="191">
        <v>140993.85</v>
      </c>
      <c r="W6172">
        <v>25</v>
      </c>
      <c r="X6172" s="186" t="s">
        <v>2024</v>
      </c>
      <c r="Y6172" s="187" t="s">
        <v>55</v>
      </c>
      <c r="Z6172" s="311">
        <v>288</v>
      </c>
      <c r="AB6172" t="str">
        <f>IF(Table1[[#This Row],[TIPO2]]="costo", VLOOKUP(Table1[[#This Row],[PARTIDA PRESUPUESTAL]],'Cost Report'!G:G,1,0),"Balance")</f>
        <v>4180-003</v>
      </c>
      <c r="AD6172" s="159">
        <f>+Table1[[#This Row],[SUBTOTAL]]+Table1[[#This Row],[IVA]]-Table1[[#This Row],[RET IVA]]-Table1[[#This Row],[RET ISR]]-Table1[[#This Row],[TOTAL]]</f>
        <v>0</v>
      </c>
      <c r="AK6172" s="306">
        <f>IF(ISNUMBER(Table1[[#This Row],[FECHA DE RECIBIDO]]), Table1[[#This Row],[FECHA DE RECIBIDO]]-DATE(2023,8,30), "")</f>
        <v>-44880.375451388885</v>
      </c>
    </row>
    <row r="6173" spans="1:37" ht="16.05" customHeight="1">
      <c r="A6173" s="172" t="s">
        <v>5194</v>
      </c>
      <c r="B6173" s="178">
        <v>2158</v>
      </c>
      <c r="C6173" s="179" t="s">
        <v>2840</v>
      </c>
      <c r="D6173">
        <v>4204</v>
      </c>
      <c r="E6173" s="125">
        <v>44200</v>
      </c>
      <c r="F6173" s="178">
        <v>601</v>
      </c>
      <c r="G6173" s="178" t="s">
        <v>134</v>
      </c>
      <c r="H6173">
        <v>84</v>
      </c>
      <c r="I6173" s="178" t="s">
        <v>1546</v>
      </c>
      <c r="J6173" s="320">
        <v>288.51320601852058</v>
      </c>
      <c r="K6173" s="178" t="s">
        <v>5322</v>
      </c>
      <c r="L6173" s="125" t="s">
        <v>3306</v>
      </c>
      <c r="M6173">
        <v>832</v>
      </c>
      <c r="N6173" s="182">
        <v>1</v>
      </c>
      <c r="O6173">
        <v>4036</v>
      </c>
      <c r="P6173" s="132" t="s">
        <v>77</v>
      </c>
      <c r="Q6173" s="176">
        <v>16200</v>
      </c>
      <c r="R6173" s="176">
        <v>2592</v>
      </c>
      <c r="S6173" s="176"/>
      <c r="T6173" s="190"/>
      <c r="U6173" s="191"/>
      <c r="V6173" s="191">
        <v>18792</v>
      </c>
      <c r="W6173">
        <v>56</v>
      </c>
      <c r="X6173" s="186" t="s">
        <v>1429</v>
      </c>
      <c r="Y6173" s="187" t="s">
        <v>55</v>
      </c>
      <c r="Z6173" s="311">
        <v>288</v>
      </c>
      <c r="AB6173" t="str">
        <f>IF(Table1[[#This Row],[TIPO2]]="costo", VLOOKUP(Table1[[#This Row],[PARTIDA PRESUPUESTAL]],'Cost Report'!G:G,1,0),"Balance")</f>
        <v>3442-033</v>
      </c>
      <c r="AD6173" s="159">
        <f>+Table1[[#This Row],[SUBTOTAL]]+Table1[[#This Row],[IVA]]-Table1[[#This Row],[RET IVA]]-Table1[[#This Row],[RET ISR]]-Table1[[#This Row],[TOTAL]]</f>
        <v>0</v>
      </c>
      <c r="AK6173" s="306">
        <f>IF(ISNUMBER(Table1[[#This Row],[FECHA DE RECIBIDO]]), Table1[[#This Row],[FECHA DE RECIBIDO]]-DATE(2023,8,30), "")</f>
        <v>-44879.486793981479</v>
      </c>
    </row>
    <row r="6174" spans="1:37" ht="16.05" customHeight="1">
      <c r="A6174" s="172" t="s">
        <v>5194</v>
      </c>
      <c r="B6174" s="178">
        <v>2158</v>
      </c>
      <c r="C6174" s="179" t="s">
        <v>2841</v>
      </c>
      <c r="D6174">
        <v>4204</v>
      </c>
      <c r="E6174" s="125">
        <v>44200</v>
      </c>
      <c r="F6174" s="178">
        <v>601</v>
      </c>
      <c r="G6174" s="178" t="s">
        <v>134</v>
      </c>
      <c r="H6174">
        <v>84</v>
      </c>
      <c r="I6174" s="178" t="s">
        <v>1546</v>
      </c>
      <c r="J6174" s="320">
        <v>288.51320601852058</v>
      </c>
      <c r="K6174" s="178" t="s">
        <v>5322</v>
      </c>
      <c r="L6174" s="125" t="s">
        <v>3306</v>
      </c>
      <c r="M6174">
        <v>832</v>
      </c>
      <c r="N6174" s="182">
        <v>1</v>
      </c>
      <c r="O6174">
        <v>4036</v>
      </c>
      <c r="P6174" s="132" t="s">
        <v>77</v>
      </c>
      <c r="Q6174" s="176">
        <v>152640</v>
      </c>
      <c r="R6174" s="176">
        <v>24422.400000000001</v>
      </c>
      <c r="S6174" s="176"/>
      <c r="T6174" s="190"/>
      <c r="U6174" s="191"/>
      <c r="V6174" s="191">
        <v>177062.39999999999</v>
      </c>
      <c r="W6174">
        <v>56</v>
      </c>
      <c r="X6174" s="186" t="s">
        <v>1429</v>
      </c>
      <c r="Y6174" s="187" t="s">
        <v>55</v>
      </c>
      <c r="Z6174" s="311">
        <v>288</v>
      </c>
      <c r="AB6174" t="str">
        <f>IF(Table1[[#This Row],[TIPO2]]="costo", VLOOKUP(Table1[[#This Row],[PARTIDA PRESUPUESTAL]],'Cost Report'!G:G,1,0),"Balance")</f>
        <v>3442-034</v>
      </c>
      <c r="AD6174" s="159">
        <f>+Table1[[#This Row],[SUBTOTAL]]+Table1[[#This Row],[IVA]]-Table1[[#This Row],[RET IVA]]-Table1[[#This Row],[RET ISR]]-Table1[[#This Row],[TOTAL]]</f>
        <v>0</v>
      </c>
      <c r="AK6174" s="306">
        <f>IF(ISNUMBER(Table1[[#This Row],[FECHA DE RECIBIDO]]), Table1[[#This Row],[FECHA DE RECIBIDO]]-DATE(2023,8,30), "")</f>
        <v>-44879.486793981479</v>
      </c>
    </row>
    <row r="6175" spans="1:37" ht="16.05" customHeight="1">
      <c r="A6175" s="172" t="s">
        <v>5194</v>
      </c>
      <c r="B6175" s="178">
        <v>2158</v>
      </c>
      <c r="C6175" s="179" t="s">
        <v>2843</v>
      </c>
      <c r="D6175">
        <v>4204</v>
      </c>
      <c r="E6175" s="125">
        <v>44200</v>
      </c>
      <c r="F6175" s="178">
        <v>601</v>
      </c>
      <c r="G6175" s="178" t="s">
        <v>134</v>
      </c>
      <c r="H6175">
        <v>84</v>
      </c>
      <c r="I6175" s="178" t="s">
        <v>1546</v>
      </c>
      <c r="J6175" s="320">
        <v>288.51320601852058</v>
      </c>
      <c r="K6175" s="178" t="s">
        <v>5322</v>
      </c>
      <c r="L6175" s="125" t="s">
        <v>3306</v>
      </c>
      <c r="M6175">
        <v>832</v>
      </c>
      <c r="N6175" s="182">
        <v>1</v>
      </c>
      <c r="O6175">
        <v>4036</v>
      </c>
      <c r="P6175" s="132" t="s">
        <v>77</v>
      </c>
      <c r="Q6175" s="176">
        <v>17280</v>
      </c>
      <c r="R6175" s="176">
        <v>2764.8</v>
      </c>
      <c r="S6175" s="176"/>
      <c r="T6175" s="190"/>
      <c r="U6175" s="191"/>
      <c r="V6175" s="191">
        <v>20044.8</v>
      </c>
      <c r="W6175">
        <v>56</v>
      </c>
      <c r="X6175" s="186" t="s">
        <v>1429</v>
      </c>
      <c r="Y6175" s="187" t="s">
        <v>55</v>
      </c>
      <c r="Z6175" s="311">
        <v>288</v>
      </c>
      <c r="AB6175" t="str">
        <f>IF(Table1[[#This Row],[TIPO2]]="costo", VLOOKUP(Table1[[#This Row],[PARTIDA PRESUPUESTAL]],'Cost Report'!G:G,1,0),"Balance")</f>
        <v>3442-038</v>
      </c>
      <c r="AD6175" s="159">
        <f>+Table1[[#This Row],[SUBTOTAL]]+Table1[[#This Row],[IVA]]-Table1[[#This Row],[RET IVA]]-Table1[[#This Row],[RET ISR]]-Table1[[#This Row],[TOTAL]]</f>
        <v>0</v>
      </c>
      <c r="AK6175" s="306">
        <f>IF(ISNUMBER(Table1[[#This Row],[FECHA DE RECIBIDO]]), Table1[[#This Row],[FECHA DE RECIBIDO]]-DATE(2023,8,30), "")</f>
        <v>-44879.486793981479</v>
      </c>
    </row>
    <row r="6176" spans="1:37" ht="16.05" customHeight="1">
      <c r="A6176" s="172" t="s">
        <v>5195</v>
      </c>
      <c r="B6176" s="178">
        <v>2159</v>
      </c>
      <c r="C6176" s="179" t="s">
        <v>978</v>
      </c>
      <c r="D6176">
        <v>4205</v>
      </c>
      <c r="E6176" s="125">
        <v>44200</v>
      </c>
      <c r="F6176" s="178">
        <v>601</v>
      </c>
      <c r="G6176" s="178" t="s">
        <v>134</v>
      </c>
      <c r="H6176">
        <v>84</v>
      </c>
      <c r="I6176" s="178" t="s">
        <v>1546</v>
      </c>
      <c r="J6176" s="320">
        <v>288.51431712962949</v>
      </c>
      <c r="K6176" s="178" t="s">
        <v>5322</v>
      </c>
      <c r="L6176" s="125" t="s">
        <v>3306</v>
      </c>
      <c r="M6176">
        <v>832</v>
      </c>
      <c r="N6176" s="182">
        <v>1</v>
      </c>
      <c r="O6176">
        <v>4037</v>
      </c>
      <c r="P6176" s="132" t="s">
        <v>77</v>
      </c>
      <c r="Q6176" s="176">
        <v>145965</v>
      </c>
      <c r="R6176" s="176">
        <v>23354.400000000001</v>
      </c>
      <c r="S6176" s="176"/>
      <c r="T6176" s="190"/>
      <c r="U6176" s="191"/>
      <c r="V6176" s="191">
        <v>169319.4</v>
      </c>
      <c r="W6176">
        <v>56</v>
      </c>
      <c r="X6176" s="186" t="s">
        <v>1429</v>
      </c>
      <c r="Y6176" s="187" t="s">
        <v>55</v>
      </c>
      <c r="Z6176" s="311">
        <v>288</v>
      </c>
      <c r="AB6176" t="str">
        <f>IF(Table1[[#This Row],[TIPO2]]="costo", VLOOKUP(Table1[[#This Row],[PARTIDA PRESUPUESTAL]],'Cost Report'!G:G,1,0),"Balance")</f>
        <v>3410-013</v>
      </c>
      <c r="AD6176" s="159">
        <f>+Table1[[#This Row],[SUBTOTAL]]+Table1[[#This Row],[IVA]]-Table1[[#This Row],[RET IVA]]-Table1[[#This Row],[RET ISR]]-Table1[[#This Row],[TOTAL]]</f>
        <v>0</v>
      </c>
      <c r="AK6176" s="306">
        <f>IF(ISNUMBER(Table1[[#This Row],[FECHA DE RECIBIDO]]), Table1[[#This Row],[FECHA DE RECIBIDO]]-DATE(2023,8,30), "")</f>
        <v>-44879.485682870371</v>
      </c>
    </row>
    <row r="6177" spans="1:37" ht="16.05" customHeight="1">
      <c r="A6177" s="172" t="s">
        <v>5196</v>
      </c>
      <c r="B6177" s="178">
        <v>2160</v>
      </c>
      <c r="C6177" s="179" t="s">
        <v>2540</v>
      </c>
      <c r="D6177">
        <v>4206</v>
      </c>
      <c r="E6177" s="125">
        <v>45070</v>
      </c>
      <c r="F6177" s="178">
        <v>612</v>
      </c>
      <c r="G6177" s="178" t="s">
        <v>129</v>
      </c>
      <c r="H6177">
        <v>1007</v>
      </c>
      <c r="I6177" s="178" t="s">
        <v>1546</v>
      </c>
      <c r="J6177" s="320">
        <v>287.46173611110862</v>
      </c>
      <c r="K6177" s="178" t="s">
        <v>5322</v>
      </c>
      <c r="L6177" s="125" t="s">
        <v>3306</v>
      </c>
      <c r="M6177">
        <v>1402</v>
      </c>
      <c r="N6177" s="182">
        <v>51</v>
      </c>
      <c r="O6177">
        <v>4038</v>
      </c>
      <c r="P6177" s="132" t="s">
        <v>77</v>
      </c>
      <c r="Q6177" s="176">
        <v>7560</v>
      </c>
      <c r="R6177" s="176">
        <v>1209.6000000000001</v>
      </c>
      <c r="S6177" s="176"/>
      <c r="T6177" s="190">
        <v>806.40251999999998</v>
      </c>
      <c r="U6177" s="191">
        <v>0</v>
      </c>
      <c r="V6177" s="191">
        <v>7963.1974800000007</v>
      </c>
      <c r="W6177">
        <v>483</v>
      </c>
      <c r="X6177" s="186" t="s">
        <v>2041</v>
      </c>
      <c r="Y6177" s="187" t="s">
        <v>55</v>
      </c>
      <c r="Z6177" s="311">
        <v>288</v>
      </c>
      <c r="AB6177" t="str">
        <f>IF(Table1[[#This Row],[TIPO2]]="costo", VLOOKUP(Table1[[#This Row],[PARTIDA PRESUPUESTAL]],'Cost Report'!G:G,1,0),"Balance")</f>
        <v>2494-059</v>
      </c>
      <c r="AD6177" s="159">
        <f>+Table1[[#This Row],[SUBTOTAL]]+Table1[[#This Row],[IVA]]-Table1[[#This Row],[RET IVA]]-Table1[[#This Row],[RET ISR]]-Table1[[#This Row],[TOTAL]]</f>
        <v>0</v>
      </c>
      <c r="AK6177" s="306">
        <f>IF(ISNUMBER(Table1[[#This Row],[FECHA DE RECIBIDO]]), Table1[[#This Row],[FECHA DE RECIBIDO]]-DATE(2023,8,30), "")</f>
        <v>-44880.538263888891</v>
      </c>
    </row>
    <row r="6178" spans="1:37" ht="16.05" customHeight="1">
      <c r="A6178" s="172" t="s">
        <v>5197</v>
      </c>
      <c r="B6178" s="178">
        <v>2161</v>
      </c>
      <c r="C6178" s="179" t="s">
        <v>1507</v>
      </c>
      <c r="D6178">
        <v>4207</v>
      </c>
      <c r="E6178" s="125">
        <v>44160</v>
      </c>
      <c r="F6178" s="178">
        <v>626</v>
      </c>
      <c r="G6178" s="178" t="s">
        <v>109</v>
      </c>
      <c r="H6178">
        <v>1008</v>
      </c>
      <c r="I6178" s="178" t="s">
        <v>1546</v>
      </c>
      <c r="J6178" s="320">
        <v>286.48358796296088</v>
      </c>
      <c r="K6178" s="178" t="s">
        <v>5322</v>
      </c>
      <c r="L6178" s="125" t="s">
        <v>3306</v>
      </c>
      <c r="M6178">
        <v>1403</v>
      </c>
      <c r="N6178" s="182">
        <v>51</v>
      </c>
      <c r="O6178">
        <v>4039</v>
      </c>
      <c r="P6178" s="132" t="s">
        <v>77</v>
      </c>
      <c r="Q6178" s="176">
        <v>5000</v>
      </c>
      <c r="R6178" s="176">
        <v>800</v>
      </c>
      <c r="S6178" s="176"/>
      <c r="T6178" s="190">
        <v>0</v>
      </c>
      <c r="U6178" s="191">
        <v>0</v>
      </c>
      <c r="V6178" s="191">
        <v>5800</v>
      </c>
      <c r="W6178">
        <v>484</v>
      </c>
      <c r="X6178" s="186" t="s">
        <v>1912</v>
      </c>
      <c r="Y6178" s="187" t="s">
        <v>55</v>
      </c>
      <c r="Z6178" s="311">
        <v>288</v>
      </c>
      <c r="AB6178" t="str">
        <f>IF(Table1[[#This Row],[TIPO2]]="costo", VLOOKUP(Table1[[#This Row],[PARTIDA PRESUPUESTAL]],'Cost Report'!G:G,1,0),"Balance")</f>
        <v>2494-007</v>
      </c>
      <c r="AD6178" s="159">
        <f>+Table1[[#This Row],[SUBTOTAL]]+Table1[[#This Row],[IVA]]-Table1[[#This Row],[RET IVA]]-Table1[[#This Row],[RET ISR]]-Table1[[#This Row],[TOTAL]]</f>
        <v>0</v>
      </c>
      <c r="AK6178" s="306">
        <f>IF(ISNUMBER(Table1[[#This Row],[FECHA DE RECIBIDO]]), Table1[[#This Row],[FECHA DE RECIBIDO]]-DATE(2023,8,30), "")</f>
        <v>-44881.516412037039</v>
      </c>
    </row>
    <row r="6179" spans="1:37" ht="16.05" customHeight="1">
      <c r="A6179" s="172" t="s">
        <v>5198</v>
      </c>
      <c r="B6179" s="178">
        <v>2162</v>
      </c>
      <c r="C6179" s="179" t="s">
        <v>365</v>
      </c>
      <c r="D6179">
        <v>4208</v>
      </c>
      <c r="E6179" s="125">
        <v>3610</v>
      </c>
      <c r="F6179" s="178">
        <v>612</v>
      </c>
      <c r="G6179" s="178" t="s">
        <v>129</v>
      </c>
      <c r="H6179">
        <v>453</v>
      </c>
      <c r="I6179" s="178" t="s">
        <v>1546</v>
      </c>
      <c r="J6179" s="320">
        <v>285.55626157407096</v>
      </c>
      <c r="K6179" s="178" t="s">
        <v>5322</v>
      </c>
      <c r="L6179" s="125" t="s">
        <v>3306</v>
      </c>
      <c r="M6179">
        <v>628</v>
      </c>
      <c r="N6179" s="182">
        <v>1</v>
      </c>
      <c r="O6179">
        <v>4040</v>
      </c>
      <c r="P6179" s="132" t="s">
        <v>77</v>
      </c>
      <c r="Q6179" s="176">
        <v>10000</v>
      </c>
      <c r="R6179" s="176">
        <v>1600</v>
      </c>
      <c r="S6179" s="176"/>
      <c r="T6179" s="190">
        <v>1066.67</v>
      </c>
      <c r="U6179" s="191">
        <v>1000</v>
      </c>
      <c r="V6179" s="191">
        <v>9533.33</v>
      </c>
      <c r="W6179">
        <v>240</v>
      </c>
      <c r="X6179" s="186" t="s">
        <v>2041</v>
      </c>
      <c r="Y6179" s="187" t="s">
        <v>55</v>
      </c>
      <c r="Z6179" s="311">
        <v>288</v>
      </c>
      <c r="AB6179" t="str">
        <f>IF(Table1[[#This Row],[TIPO2]]="costo", VLOOKUP(Table1[[#This Row],[PARTIDA PRESUPUESTAL]],'Cost Report'!G:G,1,0),"Balance")</f>
        <v>1410-005</v>
      </c>
      <c r="AD6179" s="159">
        <f>+Table1[[#This Row],[SUBTOTAL]]+Table1[[#This Row],[IVA]]-Table1[[#This Row],[RET IVA]]-Table1[[#This Row],[RET ISR]]-Table1[[#This Row],[TOTAL]]</f>
        <v>0</v>
      </c>
      <c r="AK6179" s="306">
        <f>IF(ISNUMBER(Table1[[#This Row],[FECHA DE RECIBIDO]]), Table1[[#This Row],[FECHA DE RECIBIDO]]-DATE(2023,8,30), "")</f>
        <v>-44882.443738425929</v>
      </c>
    </row>
    <row r="6180" spans="1:37" ht="16.05" customHeight="1">
      <c r="A6180" s="172" t="s">
        <v>5199</v>
      </c>
      <c r="B6180" s="178">
        <v>2163</v>
      </c>
      <c r="C6180" s="179" t="s">
        <v>1722</v>
      </c>
      <c r="D6180">
        <v>4209</v>
      </c>
      <c r="E6180" s="125">
        <v>45133</v>
      </c>
      <c r="F6180" s="178">
        <v>626</v>
      </c>
      <c r="G6180" s="178" t="s">
        <v>109</v>
      </c>
      <c r="H6180">
        <v>546</v>
      </c>
      <c r="I6180" s="178" t="s">
        <v>1546</v>
      </c>
      <c r="J6180" s="320">
        <v>286.41690972222568</v>
      </c>
      <c r="K6180" s="178" t="s">
        <v>5322</v>
      </c>
      <c r="L6180" s="125" t="s">
        <v>3306</v>
      </c>
      <c r="M6180">
        <v>772</v>
      </c>
      <c r="N6180" s="182">
        <v>1</v>
      </c>
      <c r="O6180">
        <v>4041</v>
      </c>
      <c r="P6180" s="132" t="s">
        <v>77</v>
      </c>
      <c r="Q6180" s="176">
        <v>1600</v>
      </c>
      <c r="R6180" s="176">
        <v>256</v>
      </c>
      <c r="S6180" s="176"/>
      <c r="T6180" s="190">
        <v>0</v>
      </c>
      <c r="U6180" s="191">
        <v>20</v>
      </c>
      <c r="V6180" s="191">
        <v>1836</v>
      </c>
      <c r="W6180">
        <v>318</v>
      </c>
      <c r="X6180" s="186" t="s">
        <v>2041</v>
      </c>
      <c r="Y6180" s="187" t="s">
        <v>55</v>
      </c>
      <c r="Z6180" s="311">
        <v>288</v>
      </c>
      <c r="AB6180" t="str">
        <f>IF(Table1[[#This Row],[TIPO2]]="costo", VLOOKUP(Table1[[#This Row],[PARTIDA PRESUPUESTAL]],'Cost Report'!G:G,1,0),"Balance")</f>
        <v>1641-004</v>
      </c>
      <c r="AD6180" s="159">
        <f>+Table1[[#This Row],[SUBTOTAL]]+Table1[[#This Row],[IVA]]-Table1[[#This Row],[RET IVA]]-Table1[[#This Row],[RET ISR]]-Table1[[#This Row],[TOTAL]]</f>
        <v>0</v>
      </c>
      <c r="AK6180" s="306">
        <f>IF(ISNUMBER(Table1[[#This Row],[FECHA DE RECIBIDO]]), Table1[[#This Row],[FECHA DE RECIBIDO]]-DATE(2023,8,30), "")</f>
        <v>-44881.583090277774</v>
      </c>
    </row>
    <row r="6181" spans="1:37" ht="16.05" customHeight="1">
      <c r="A6181" s="172" t="s">
        <v>5200</v>
      </c>
      <c r="B6181" s="178">
        <v>2164</v>
      </c>
      <c r="C6181" s="179" t="s">
        <v>997</v>
      </c>
      <c r="D6181">
        <v>4210</v>
      </c>
      <c r="E6181" s="125">
        <v>44160</v>
      </c>
      <c r="F6181" s="178">
        <v>601</v>
      </c>
      <c r="G6181" s="178" t="s">
        <v>134</v>
      </c>
      <c r="H6181">
        <v>1009</v>
      </c>
      <c r="I6181" s="178" t="s">
        <v>1546</v>
      </c>
      <c r="J6181" s="320">
        <v>285.55592592592438</v>
      </c>
      <c r="K6181" s="178" t="s">
        <v>5322</v>
      </c>
      <c r="L6181" s="125" t="s">
        <v>3306</v>
      </c>
      <c r="M6181">
        <v>1404</v>
      </c>
      <c r="N6181" s="182">
        <v>24</v>
      </c>
      <c r="O6181">
        <v>4042</v>
      </c>
      <c r="P6181" s="132" t="s">
        <v>77</v>
      </c>
      <c r="Q6181" s="176">
        <v>60000</v>
      </c>
      <c r="R6181" s="176">
        <v>9600</v>
      </c>
      <c r="S6181" s="176"/>
      <c r="T6181" s="190">
        <v>0</v>
      </c>
      <c r="U6181" s="191">
        <v>0</v>
      </c>
      <c r="V6181" s="191">
        <v>69600</v>
      </c>
      <c r="W6181">
        <v>485</v>
      </c>
      <c r="X6181" s="186" t="s">
        <v>195</v>
      </c>
      <c r="Y6181" s="187" t="s">
        <v>55</v>
      </c>
      <c r="Z6181" s="311">
        <v>288</v>
      </c>
      <c r="AB6181" t="str">
        <f>IF(Table1[[#This Row],[TIPO2]]="costo", VLOOKUP(Table1[[#This Row],[PARTIDA PRESUPUESTAL]],'Cost Report'!G:G,1,0),"Balance")</f>
        <v>3412-031</v>
      </c>
      <c r="AD6181" s="159">
        <f>+Table1[[#This Row],[SUBTOTAL]]+Table1[[#This Row],[IVA]]-Table1[[#This Row],[RET IVA]]-Table1[[#This Row],[RET ISR]]-Table1[[#This Row],[TOTAL]]</f>
        <v>0</v>
      </c>
      <c r="AK6181" s="306">
        <f>IF(ISNUMBER(Table1[[#This Row],[FECHA DE RECIBIDO]]), Table1[[#This Row],[FECHA DE RECIBIDO]]-DATE(2023,8,30), "")</f>
        <v>-44882.444074074076</v>
      </c>
    </row>
    <row r="6182" spans="1:37" ht="16.05" customHeight="1">
      <c r="A6182" s="172" t="s">
        <v>5201</v>
      </c>
      <c r="B6182" s="178">
        <v>2165</v>
      </c>
      <c r="C6182" s="179" t="s">
        <v>471</v>
      </c>
      <c r="D6182">
        <v>4211</v>
      </c>
      <c r="E6182" s="125">
        <v>44200</v>
      </c>
      <c r="F6182" s="178">
        <v>601</v>
      </c>
      <c r="G6182" s="178" t="s">
        <v>134</v>
      </c>
      <c r="H6182">
        <v>5</v>
      </c>
      <c r="I6182" s="178" t="s">
        <v>1546</v>
      </c>
      <c r="J6182" s="320">
        <v>285.51787037037138</v>
      </c>
      <c r="K6182" s="178" t="s">
        <v>5322</v>
      </c>
      <c r="L6182" s="125" t="s">
        <v>3306</v>
      </c>
      <c r="M6182">
        <v>5</v>
      </c>
      <c r="N6182" s="182">
        <v>0</v>
      </c>
      <c r="O6182">
        <v>4043</v>
      </c>
      <c r="P6182" s="132" t="s">
        <v>77</v>
      </c>
      <c r="Q6182" s="176">
        <v>46000</v>
      </c>
      <c r="R6182" s="176">
        <v>7360</v>
      </c>
      <c r="S6182" s="176"/>
      <c r="T6182" s="190">
        <v>0</v>
      </c>
      <c r="U6182" s="191">
        <v>0</v>
      </c>
      <c r="V6182" s="191">
        <v>53360</v>
      </c>
      <c r="W6182">
        <v>4</v>
      </c>
      <c r="X6182" s="186" t="s">
        <v>135</v>
      </c>
      <c r="Y6182" s="187" t="s">
        <v>55</v>
      </c>
      <c r="Z6182" s="311">
        <v>288</v>
      </c>
      <c r="AB6182" t="str">
        <f>IF(Table1[[#This Row],[TIPO2]]="costo", VLOOKUP(Table1[[#This Row],[PARTIDA PRESUPUESTAL]],'Cost Report'!G:G,1,0),"Balance")</f>
        <v>2010-014</v>
      </c>
      <c r="AD6182" s="159">
        <f>+Table1[[#This Row],[SUBTOTAL]]+Table1[[#This Row],[IVA]]-Table1[[#This Row],[RET IVA]]-Table1[[#This Row],[RET ISR]]-Table1[[#This Row],[TOTAL]]</f>
        <v>0</v>
      </c>
      <c r="AK6182" s="306">
        <f>IF(ISNUMBER(Table1[[#This Row],[FECHA DE RECIBIDO]]), Table1[[#This Row],[FECHA DE RECIBIDO]]-DATE(2023,8,30), "")</f>
        <v>-44882.482129629629</v>
      </c>
    </row>
    <row r="6183" spans="1:37" ht="16.05" customHeight="1">
      <c r="A6183" s="172" t="s">
        <v>5201</v>
      </c>
      <c r="B6183" s="178">
        <v>2165</v>
      </c>
      <c r="C6183" s="179" t="s">
        <v>2397</v>
      </c>
      <c r="D6183">
        <v>4211</v>
      </c>
      <c r="E6183" s="125">
        <v>44200</v>
      </c>
      <c r="F6183" s="178">
        <v>601</v>
      </c>
      <c r="G6183" s="178" t="s">
        <v>134</v>
      </c>
      <c r="H6183">
        <v>5</v>
      </c>
      <c r="I6183" s="178" t="s">
        <v>1546</v>
      </c>
      <c r="J6183" s="320">
        <v>285.51787037037138</v>
      </c>
      <c r="K6183" s="178" t="s">
        <v>5322</v>
      </c>
      <c r="L6183" s="125" t="s">
        <v>3306</v>
      </c>
      <c r="M6183">
        <v>5</v>
      </c>
      <c r="N6183" s="182">
        <v>0</v>
      </c>
      <c r="O6183">
        <v>4043</v>
      </c>
      <c r="P6183" s="132" t="s">
        <v>77</v>
      </c>
      <c r="Q6183" s="176">
        <v>24000</v>
      </c>
      <c r="R6183" s="176">
        <v>3840</v>
      </c>
      <c r="S6183" s="176"/>
      <c r="T6183" s="190">
        <v>0</v>
      </c>
      <c r="U6183" s="191">
        <v>0</v>
      </c>
      <c r="V6183" s="191">
        <v>27840</v>
      </c>
      <c r="W6183">
        <v>4</v>
      </c>
      <c r="X6183" s="186" t="s">
        <v>135</v>
      </c>
      <c r="Y6183" s="187" t="s">
        <v>55</v>
      </c>
      <c r="Z6183" s="311">
        <v>288</v>
      </c>
      <c r="AB6183" t="str">
        <f>IF(Table1[[#This Row],[TIPO2]]="costo", VLOOKUP(Table1[[#This Row],[PARTIDA PRESUPUESTAL]],'Cost Report'!G:G,1,0),"Balance")</f>
        <v>2011-007</v>
      </c>
      <c r="AD6183" s="159">
        <f>+Table1[[#This Row],[SUBTOTAL]]+Table1[[#This Row],[IVA]]-Table1[[#This Row],[RET IVA]]-Table1[[#This Row],[RET ISR]]-Table1[[#This Row],[TOTAL]]</f>
        <v>0</v>
      </c>
      <c r="AK6183" s="306">
        <f>IF(ISNUMBER(Table1[[#This Row],[FECHA DE RECIBIDO]]), Table1[[#This Row],[FECHA DE RECIBIDO]]-DATE(2023,8,30), "")</f>
        <v>-44882.482129629629</v>
      </c>
    </row>
    <row r="6184" spans="1:37" ht="16.05" customHeight="1">
      <c r="A6184" s="172" t="s">
        <v>5201</v>
      </c>
      <c r="B6184" s="178">
        <v>2165</v>
      </c>
      <c r="C6184" s="179" t="s">
        <v>2403</v>
      </c>
      <c r="D6184">
        <v>4211</v>
      </c>
      <c r="E6184" s="125">
        <v>44200</v>
      </c>
      <c r="F6184" s="178">
        <v>601</v>
      </c>
      <c r="G6184" s="178" t="s">
        <v>134</v>
      </c>
      <c r="H6184">
        <v>5</v>
      </c>
      <c r="I6184" s="178" t="s">
        <v>1546</v>
      </c>
      <c r="J6184" s="320">
        <v>285.51787037037138</v>
      </c>
      <c r="K6184" s="178" t="s">
        <v>5322</v>
      </c>
      <c r="L6184" s="125" t="s">
        <v>3306</v>
      </c>
      <c r="M6184">
        <v>5</v>
      </c>
      <c r="N6184" s="182">
        <v>0</v>
      </c>
      <c r="O6184">
        <v>4043</v>
      </c>
      <c r="P6184" s="132" t="s">
        <v>77</v>
      </c>
      <c r="Q6184" s="176">
        <v>20000</v>
      </c>
      <c r="R6184" s="176">
        <v>3200</v>
      </c>
      <c r="S6184" s="176"/>
      <c r="T6184" s="190">
        <v>0</v>
      </c>
      <c r="U6184" s="191">
        <v>0</v>
      </c>
      <c r="V6184" s="191">
        <v>23200</v>
      </c>
      <c r="W6184">
        <v>4</v>
      </c>
      <c r="X6184" s="186" t="s">
        <v>135</v>
      </c>
      <c r="Y6184" s="187" t="s">
        <v>55</v>
      </c>
      <c r="Z6184" s="311">
        <v>288</v>
      </c>
      <c r="AB6184" t="str">
        <f>IF(Table1[[#This Row],[TIPO2]]="costo", VLOOKUP(Table1[[#This Row],[PARTIDA PRESUPUESTAL]],'Cost Report'!G:G,1,0),"Balance")</f>
        <v>2011-015</v>
      </c>
      <c r="AD6184" s="159">
        <f>+Table1[[#This Row],[SUBTOTAL]]+Table1[[#This Row],[IVA]]-Table1[[#This Row],[RET IVA]]-Table1[[#This Row],[RET ISR]]-Table1[[#This Row],[TOTAL]]</f>
        <v>0</v>
      </c>
      <c r="AK6184" s="306">
        <f>IF(ISNUMBER(Table1[[#This Row],[FECHA DE RECIBIDO]]), Table1[[#This Row],[FECHA DE RECIBIDO]]-DATE(2023,8,30), "")</f>
        <v>-44882.482129629629</v>
      </c>
    </row>
    <row r="6185" spans="1:37" s="271" customFormat="1" ht="16.05" customHeight="1">
      <c r="A6185" s="282"/>
      <c r="B6185" s="283">
        <v>2166</v>
      </c>
      <c r="C6185" s="284" t="s">
        <v>3093</v>
      </c>
      <c r="D6185">
        <v>4212</v>
      </c>
      <c r="E6185" s="285">
        <v>44200</v>
      </c>
      <c r="F6185" s="283">
        <v>601</v>
      </c>
      <c r="G6185" s="283" t="s">
        <v>134</v>
      </c>
      <c r="H6185">
        <v>5</v>
      </c>
      <c r="I6185" s="283" t="s">
        <v>1546</v>
      </c>
      <c r="J6185" s="312">
        <v>285.51557870370016</v>
      </c>
      <c r="K6185" s="283" t="s">
        <v>5322</v>
      </c>
      <c r="L6185" s="285" t="s">
        <v>3306</v>
      </c>
      <c r="M6185">
        <v>5</v>
      </c>
      <c r="N6185" s="286">
        <v>0</v>
      </c>
      <c r="O6185">
        <v>3524</v>
      </c>
      <c r="P6185" s="296" t="s">
        <v>78</v>
      </c>
      <c r="Q6185" s="287">
        <v>75000</v>
      </c>
      <c r="R6185" s="287">
        <v>12000</v>
      </c>
      <c r="S6185" s="287"/>
      <c r="T6185" s="288">
        <v>0</v>
      </c>
      <c r="U6185" s="289">
        <v>0</v>
      </c>
      <c r="V6185" s="289">
        <v>87000</v>
      </c>
      <c r="W6185">
        <v>4</v>
      </c>
      <c r="X6185" s="290" t="s">
        <v>135</v>
      </c>
      <c r="Y6185" s="283" t="s">
        <v>55</v>
      </c>
      <c r="Z6185" s="312">
        <v>288</v>
      </c>
      <c r="AB6185" s="271" t="str">
        <f>IF(Table1[[#This Row],[TIPO2]]="costo", VLOOKUP(Table1[[#This Row],[PARTIDA PRESUPUESTAL]],'Cost Report'!G:G,1,0),"Balance")</f>
        <v>Balance</v>
      </c>
      <c r="AD6185" s="272">
        <f>+Table1[[#This Row],[SUBTOTAL]]+Table1[[#This Row],[IVA]]-Table1[[#This Row],[RET IVA]]-Table1[[#This Row],[RET ISR]]-Table1[[#This Row],[TOTAL]]</f>
        <v>0</v>
      </c>
      <c r="AK6185" s="306">
        <f>IF(ISNUMBER(Table1[[#This Row],[FECHA DE RECIBIDO]]), Table1[[#This Row],[FECHA DE RECIBIDO]]-DATE(2023,8,30), "")</f>
        <v>-44882.4844212963</v>
      </c>
    </row>
    <row r="6186" spans="1:37" ht="16.05" customHeight="1">
      <c r="A6186" s="172"/>
      <c r="B6186" s="178">
        <v>2167</v>
      </c>
      <c r="C6186" s="179" t="s">
        <v>3090</v>
      </c>
      <c r="D6186">
        <v>4213</v>
      </c>
      <c r="E6186" s="125">
        <v>44200</v>
      </c>
      <c r="F6186" s="178">
        <v>601</v>
      </c>
      <c r="G6186" s="178" t="s">
        <v>134</v>
      </c>
      <c r="H6186">
        <v>5</v>
      </c>
      <c r="I6186" s="178" t="s">
        <v>1546</v>
      </c>
      <c r="J6186" s="320">
        <v>285.52793981481227</v>
      </c>
      <c r="K6186" s="178" t="s">
        <v>5322</v>
      </c>
      <c r="L6186" s="125" t="s">
        <v>3306</v>
      </c>
      <c r="M6186">
        <v>5</v>
      </c>
      <c r="N6186" s="182">
        <v>0</v>
      </c>
      <c r="O6186">
        <v>4044</v>
      </c>
      <c r="P6186" s="132" t="s">
        <v>77</v>
      </c>
      <c r="Q6186" s="176">
        <v>11000</v>
      </c>
      <c r="R6186" s="176">
        <v>1760</v>
      </c>
      <c r="S6186" s="176"/>
      <c r="T6186" s="190">
        <v>0</v>
      </c>
      <c r="U6186" s="191">
        <v>0</v>
      </c>
      <c r="V6186" s="191">
        <v>12760</v>
      </c>
      <c r="W6186">
        <v>4</v>
      </c>
      <c r="X6186" s="186" t="s">
        <v>135</v>
      </c>
      <c r="Y6186" s="187" t="s">
        <v>55</v>
      </c>
      <c r="Z6186" s="311">
        <v>288</v>
      </c>
      <c r="AB6186" t="str">
        <f>IF(Table1[[#This Row],[TIPO2]]="costo", VLOOKUP(Table1[[#This Row],[PARTIDA PRESUPUESTAL]],'Cost Report'!G:G,1,0),"Balance")</f>
        <v>7001-007</v>
      </c>
      <c r="AD6186" s="159">
        <f>+Table1[[#This Row],[SUBTOTAL]]+Table1[[#This Row],[IVA]]-Table1[[#This Row],[RET IVA]]-Table1[[#This Row],[RET ISR]]-Table1[[#This Row],[TOTAL]]</f>
        <v>0</v>
      </c>
      <c r="AK6186" s="306">
        <f>IF(ISNUMBER(Table1[[#This Row],[FECHA DE RECIBIDO]]), Table1[[#This Row],[FECHA DE RECIBIDO]]-DATE(2023,8,30), "")</f>
        <v>-44882.472060185188</v>
      </c>
    </row>
    <row r="6187" spans="1:37" ht="16.05" customHeight="1">
      <c r="A6187" s="172"/>
      <c r="B6187" s="178">
        <v>2168</v>
      </c>
      <c r="C6187" s="179" t="s">
        <v>2408</v>
      </c>
      <c r="D6187">
        <v>4214</v>
      </c>
      <c r="E6187" s="125">
        <v>44200</v>
      </c>
      <c r="F6187" s="178">
        <v>601</v>
      </c>
      <c r="G6187" s="178" t="s">
        <v>134</v>
      </c>
      <c r="H6187">
        <v>5</v>
      </c>
      <c r="I6187" s="178" t="s">
        <v>1546</v>
      </c>
      <c r="J6187" s="320">
        <v>285.52024305555824</v>
      </c>
      <c r="K6187" s="178" t="s">
        <v>5322</v>
      </c>
      <c r="L6187" s="125" t="s">
        <v>3306</v>
      </c>
      <c r="M6187">
        <v>5</v>
      </c>
      <c r="N6187" s="182">
        <v>0</v>
      </c>
      <c r="O6187">
        <v>4045</v>
      </c>
      <c r="P6187" s="132" t="s">
        <v>77</v>
      </c>
      <c r="Q6187" s="176">
        <v>11000</v>
      </c>
      <c r="R6187" s="176">
        <v>1760</v>
      </c>
      <c r="S6187" s="176"/>
      <c r="T6187" s="190">
        <v>0</v>
      </c>
      <c r="U6187" s="191">
        <v>0</v>
      </c>
      <c r="V6187" s="191">
        <v>12760</v>
      </c>
      <c r="W6187">
        <v>4</v>
      </c>
      <c r="X6187" s="186" t="s">
        <v>135</v>
      </c>
      <c r="Y6187" s="187" t="s">
        <v>55</v>
      </c>
      <c r="Z6187" s="311">
        <v>288</v>
      </c>
      <c r="AB6187" t="str">
        <f>IF(Table1[[#This Row],[TIPO2]]="costo", VLOOKUP(Table1[[#This Row],[PARTIDA PRESUPUESTAL]],'Cost Report'!G:G,1,0),"Balance")</f>
        <v>2011-022</v>
      </c>
      <c r="AD6187" s="159">
        <f>+Table1[[#This Row],[SUBTOTAL]]+Table1[[#This Row],[IVA]]-Table1[[#This Row],[RET IVA]]-Table1[[#This Row],[RET ISR]]-Table1[[#This Row],[TOTAL]]</f>
        <v>0</v>
      </c>
      <c r="AK6187" s="306">
        <f>IF(ISNUMBER(Table1[[#This Row],[FECHA DE RECIBIDO]]), Table1[[#This Row],[FECHA DE RECIBIDO]]-DATE(2023,8,30), "")</f>
        <v>-44882.479756944442</v>
      </c>
    </row>
    <row r="6188" spans="1:37" ht="16.05" customHeight="1">
      <c r="A6188" s="172"/>
      <c r="B6188" s="178">
        <v>2169</v>
      </c>
      <c r="C6188" s="179" t="s">
        <v>3089</v>
      </c>
      <c r="D6188">
        <v>4215</v>
      </c>
      <c r="E6188" s="125">
        <v>44200</v>
      </c>
      <c r="F6188" s="178">
        <v>601</v>
      </c>
      <c r="G6188" s="178" t="s">
        <v>134</v>
      </c>
      <c r="H6188">
        <v>5</v>
      </c>
      <c r="I6188" s="178" t="s">
        <v>1546</v>
      </c>
      <c r="J6188" s="320">
        <v>285.52370370370045</v>
      </c>
      <c r="K6188" s="178" t="s">
        <v>5322</v>
      </c>
      <c r="L6188" s="125" t="s">
        <v>3306</v>
      </c>
      <c r="M6188">
        <v>5</v>
      </c>
      <c r="N6188" s="182">
        <v>0</v>
      </c>
      <c r="O6188">
        <v>4046</v>
      </c>
      <c r="P6188" s="132" t="s">
        <v>77</v>
      </c>
      <c r="Q6188" s="176">
        <v>11000</v>
      </c>
      <c r="R6188" s="176">
        <v>1760</v>
      </c>
      <c r="S6188" s="176"/>
      <c r="T6188" s="190">
        <v>0</v>
      </c>
      <c r="U6188" s="191">
        <v>0</v>
      </c>
      <c r="V6188" s="191">
        <v>12760</v>
      </c>
      <c r="W6188">
        <v>4</v>
      </c>
      <c r="X6188" s="186" t="s">
        <v>135</v>
      </c>
      <c r="Y6188" s="187" t="s">
        <v>55</v>
      </c>
      <c r="Z6188" s="311">
        <v>288</v>
      </c>
      <c r="AB6188" t="str">
        <f>IF(Table1[[#This Row],[TIPO2]]="costo", VLOOKUP(Table1[[#This Row],[PARTIDA PRESUPUESTAL]],'Cost Report'!G:G,1,0),"Balance")</f>
        <v>7001-006</v>
      </c>
      <c r="AD6188" s="159">
        <f>+Table1[[#This Row],[SUBTOTAL]]+Table1[[#This Row],[IVA]]-Table1[[#This Row],[RET IVA]]-Table1[[#This Row],[RET ISR]]-Table1[[#This Row],[TOTAL]]</f>
        <v>0</v>
      </c>
      <c r="AK6188" s="306">
        <f>IF(ISNUMBER(Table1[[#This Row],[FECHA DE RECIBIDO]]), Table1[[#This Row],[FECHA DE RECIBIDO]]-DATE(2023,8,30), "")</f>
        <v>-44882.4762962963</v>
      </c>
    </row>
    <row r="6189" spans="1:37" ht="16.05" customHeight="1">
      <c r="A6189" s="172"/>
      <c r="B6189" s="178">
        <v>2170</v>
      </c>
      <c r="C6189" s="179" t="s">
        <v>470</v>
      </c>
      <c r="D6189">
        <v>4216</v>
      </c>
      <c r="E6189" s="125">
        <v>44200</v>
      </c>
      <c r="F6189" s="178">
        <v>601</v>
      </c>
      <c r="G6189" s="178" t="s">
        <v>134</v>
      </c>
      <c r="H6189">
        <v>5</v>
      </c>
      <c r="I6189" s="178" t="s">
        <v>1546</v>
      </c>
      <c r="J6189" s="320">
        <v>285.51158564814978</v>
      </c>
      <c r="K6189" s="178" t="s">
        <v>5322</v>
      </c>
      <c r="L6189" s="125" t="s">
        <v>3306</v>
      </c>
      <c r="M6189">
        <v>5</v>
      </c>
      <c r="N6189" s="182">
        <v>0</v>
      </c>
      <c r="O6189">
        <v>4047</v>
      </c>
      <c r="P6189" s="132" t="s">
        <v>77</v>
      </c>
      <c r="Q6189" s="176">
        <v>46000</v>
      </c>
      <c r="R6189" s="176">
        <v>7360</v>
      </c>
      <c r="S6189" s="176"/>
      <c r="T6189" s="190">
        <v>0</v>
      </c>
      <c r="U6189" s="191">
        <v>0</v>
      </c>
      <c r="V6189" s="191">
        <v>53360</v>
      </c>
      <c r="W6189">
        <v>4</v>
      </c>
      <c r="X6189" s="186" t="s">
        <v>135</v>
      </c>
      <c r="Y6189" s="187" t="s">
        <v>55</v>
      </c>
      <c r="Z6189" s="311">
        <v>288</v>
      </c>
      <c r="AB6189" t="str">
        <f>IF(Table1[[#This Row],[TIPO2]]="costo", VLOOKUP(Table1[[#This Row],[PARTIDA PRESUPUESTAL]],'Cost Report'!G:G,1,0),"Balance")</f>
        <v>2010-013</v>
      </c>
      <c r="AD6189" s="159">
        <f>+Table1[[#This Row],[SUBTOTAL]]+Table1[[#This Row],[IVA]]-Table1[[#This Row],[RET IVA]]-Table1[[#This Row],[RET ISR]]-Table1[[#This Row],[TOTAL]]</f>
        <v>0</v>
      </c>
      <c r="AK6189" s="306">
        <f>IF(ISNUMBER(Table1[[#This Row],[FECHA DE RECIBIDO]]), Table1[[#This Row],[FECHA DE RECIBIDO]]-DATE(2023,8,30), "")</f>
        <v>-44882.48841435185</v>
      </c>
    </row>
    <row r="6190" spans="1:37" ht="16.05" customHeight="1">
      <c r="A6190" s="172"/>
      <c r="B6190" s="178">
        <v>2170</v>
      </c>
      <c r="C6190" s="179" t="s">
        <v>2396</v>
      </c>
      <c r="D6190">
        <v>4216</v>
      </c>
      <c r="E6190" s="125">
        <v>44200</v>
      </c>
      <c r="F6190" s="178">
        <v>601</v>
      </c>
      <c r="G6190" s="178" t="s">
        <v>134</v>
      </c>
      <c r="H6190">
        <v>5</v>
      </c>
      <c r="I6190" s="178" t="s">
        <v>1546</v>
      </c>
      <c r="J6190" s="320">
        <v>285.51158564814978</v>
      </c>
      <c r="K6190" s="178" t="s">
        <v>5322</v>
      </c>
      <c r="L6190" s="125" t="s">
        <v>3306</v>
      </c>
      <c r="M6190">
        <v>5</v>
      </c>
      <c r="N6190" s="182">
        <v>0</v>
      </c>
      <c r="O6190">
        <v>4047</v>
      </c>
      <c r="P6190" s="132" t="s">
        <v>77</v>
      </c>
      <c r="Q6190" s="176">
        <v>24000</v>
      </c>
      <c r="R6190" s="176">
        <v>3840</v>
      </c>
      <c r="S6190" s="176"/>
      <c r="T6190" s="190">
        <v>0</v>
      </c>
      <c r="U6190" s="191">
        <v>0</v>
      </c>
      <c r="V6190" s="191">
        <v>27840</v>
      </c>
      <c r="W6190">
        <v>4</v>
      </c>
      <c r="X6190" s="186" t="s">
        <v>135</v>
      </c>
      <c r="Y6190" s="187" t="s">
        <v>55</v>
      </c>
      <c r="Z6190" s="311">
        <v>288</v>
      </c>
      <c r="AB6190" t="str">
        <f>IF(Table1[[#This Row],[TIPO2]]="costo", VLOOKUP(Table1[[#This Row],[PARTIDA PRESUPUESTAL]],'Cost Report'!G:G,1,0),"Balance")</f>
        <v>2011-006</v>
      </c>
      <c r="AD6190" s="159">
        <f>+Table1[[#This Row],[SUBTOTAL]]+Table1[[#This Row],[IVA]]-Table1[[#This Row],[RET IVA]]-Table1[[#This Row],[RET ISR]]-Table1[[#This Row],[TOTAL]]</f>
        <v>0</v>
      </c>
      <c r="AK6190" s="306">
        <f>IF(ISNUMBER(Table1[[#This Row],[FECHA DE RECIBIDO]]), Table1[[#This Row],[FECHA DE RECIBIDO]]-DATE(2023,8,30), "")</f>
        <v>-44882.48841435185</v>
      </c>
    </row>
    <row r="6191" spans="1:37" ht="16.05" customHeight="1">
      <c r="A6191" s="172"/>
      <c r="B6191" s="178">
        <v>2170</v>
      </c>
      <c r="C6191" s="179" t="s">
        <v>2402</v>
      </c>
      <c r="D6191">
        <v>4216</v>
      </c>
      <c r="E6191" s="125">
        <v>44200</v>
      </c>
      <c r="F6191" s="178">
        <v>601</v>
      </c>
      <c r="G6191" s="178" t="s">
        <v>134</v>
      </c>
      <c r="H6191">
        <v>5</v>
      </c>
      <c r="I6191" s="178" t="s">
        <v>1546</v>
      </c>
      <c r="J6191" s="320">
        <v>285.51158564814978</v>
      </c>
      <c r="K6191" s="178" t="s">
        <v>5322</v>
      </c>
      <c r="L6191" s="125" t="s">
        <v>3306</v>
      </c>
      <c r="M6191">
        <v>5</v>
      </c>
      <c r="N6191" s="182">
        <v>0</v>
      </c>
      <c r="O6191">
        <v>4047</v>
      </c>
      <c r="P6191" s="132" t="s">
        <v>77</v>
      </c>
      <c r="Q6191" s="176">
        <v>20000</v>
      </c>
      <c r="R6191" s="176">
        <v>3200</v>
      </c>
      <c r="S6191" s="176"/>
      <c r="T6191" s="190">
        <v>0</v>
      </c>
      <c r="U6191" s="191">
        <v>0</v>
      </c>
      <c r="V6191" s="191">
        <v>23200</v>
      </c>
      <c r="W6191">
        <v>4</v>
      </c>
      <c r="X6191" s="186" t="s">
        <v>135</v>
      </c>
      <c r="Y6191" s="187" t="s">
        <v>55</v>
      </c>
      <c r="Z6191" s="311">
        <v>288</v>
      </c>
      <c r="AB6191" t="str">
        <f>IF(Table1[[#This Row],[TIPO2]]="costo", VLOOKUP(Table1[[#This Row],[PARTIDA PRESUPUESTAL]],'Cost Report'!G:G,1,0),"Balance")</f>
        <v>2011-014</v>
      </c>
      <c r="AD6191" s="159">
        <f>+Table1[[#This Row],[SUBTOTAL]]+Table1[[#This Row],[IVA]]-Table1[[#This Row],[RET IVA]]-Table1[[#This Row],[RET ISR]]-Table1[[#This Row],[TOTAL]]</f>
        <v>0</v>
      </c>
      <c r="AK6191" s="306">
        <f>IF(ISNUMBER(Table1[[#This Row],[FECHA DE RECIBIDO]]), Table1[[#This Row],[FECHA DE RECIBIDO]]-DATE(2023,8,30), "")</f>
        <v>-44882.48841435185</v>
      </c>
    </row>
    <row r="6192" spans="1:37" ht="16.05" customHeight="1">
      <c r="A6192" s="172" t="s">
        <v>5202</v>
      </c>
      <c r="B6192" s="178">
        <v>2171</v>
      </c>
      <c r="C6192" s="179" t="s">
        <v>1505</v>
      </c>
      <c r="D6192">
        <v>4217</v>
      </c>
      <c r="E6192" s="125">
        <v>3100</v>
      </c>
      <c r="F6192" s="178">
        <v>626</v>
      </c>
      <c r="G6192" s="178" t="s">
        <v>109</v>
      </c>
      <c r="H6192">
        <v>252</v>
      </c>
      <c r="I6192" s="178" t="s">
        <v>1546</v>
      </c>
      <c r="J6192" s="320">
        <v>286.51750000000175</v>
      </c>
      <c r="K6192" s="178" t="s">
        <v>5322</v>
      </c>
      <c r="L6192" s="125" t="s">
        <v>3306</v>
      </c>
      <c r="M6192">
        <v>330</v>
      </c>
      <c r="N6192" s="182">
        <v>51</v>
      </c>
      <c r="O6192">
        <v>4048</v>
      </c>
      <c r="P6192" s="132" t="s">
        <v>77</v>
      </c>
      <c r="Q6192" s="176">
        <v>25000</v>
      </c>
      <c r="R6192" s="176">
        <v>4000</v>
      </c>
      <c r="S6192" s="176"/>
      <c r="T6192" s="190">
        <v>2666.67</v>
      </c>
      <c r="U6192" s="191">
        <v>312.5</v>
      </c>
      <c r="V6192" s="191">
        <v>26020.83</v>
      </c>
      <c r="W6192">
        <v>151</v>
      </c>
      <c r="X6192" s="186" t="s">
        <v>2041</v>
      </c>
      <c r="Y6192" s="187" t="s">
        <v>55</v>
      </c>
      <c r="Z6192" s="311">
        <v>289</v>
      </c>
      <c r="AB6192" t="str">
        <f>IF(Table1[[#This Row],[TIPO2]]="costo", VLOOKUP(Table1[[#This Row],[PARTIDA PRESUPUESTAL]],'Cost Report'!G:G,1,0),"Balance")</f>
        <v>2494-003</v>
      </c>
      <c r="AD6192" s="159">
        <f>+Table1[[#This Row],[SUBTOTAL]]+Table1[[#This Row],[IVA]]-Table1[[#This Row],[RET IVA]]-Table1[[#This Row],[RET ISR]]-Table1[[#This Row],[TOTAL]]</f>
        <v>0</v>
      </c>
      <c r="AK6192" s="306">
        <f>IF(ISNUMBER(Table1[[#This Row],[FECHA DE RECIBIDO]]), Table1[[#This Row],[FECHA DE RECIBIDO]]-DATE(2023,8,30), "")</f>
        <v>-44881.482499999998</v>
      </c>
    </row>
    <row r="6193" spans="1:37" ht="16.05" customHeight="1">
      <c r="A6193" s="172" t="s">
        <v>5203</v>
      </c>
      <c r="B6193" s="178">
        <v>2172</v>
      </c>
      <c r="C6193" s="179" t="s">
        <v>1732</v>
      </c>
      <c r="D6193">
        <v>4218</v>
      </c>
      <c r="E6193" s="125">
        <v>44670</v>
      </c>
      <c r="F6193" s="178">
        <v>626</v>
      </c>
      <c r="G6193" s="178" t="s">
        <v>109</v>
      </c>
      <c r="H6193">
        <v>1010</v>
      </c>
      <c r="I6193" s="178" t="s">
        <v>1546</v>
      </c>
      <c r="J6193" s="320">
        <v>287.67724537036702</v>
      </c>
      <c r="K6193" s="178" t="s">
        <v>5322</v>
      </c>
      <c r="L6193" s="125" t="s">
        <v>3306</v>
      </c>
      <c r="M6193">
        <v>1405</v>
      </c>
      <c r="N6193" s="182">
        <v>51</v>
      </c>
      <c r="O6193">
        <v>4049</v>
      </c>
      <c r="P6193" s="132" t="s">
        <v>77</v>
      </c>
      <c r="Q6193" s="176">
        <v>6000</v>
      </c>
      <c r="R6193" s="176">
        <v>960</v>
      </c>
      <c r="S6193" s="176"/>
      <c r="T6193" s="190">
        <v>0</v>
      </c>
      <c r="U6193" s="191">
        <v>75</v>
      </c>
      <c r="V6193" s="191">
        <v>6885</v>
      </c>
      <c r="W6193">
        <v>486</v>
      </c>
      <c r="X6193" s="186" t="s">
        <v>2035</v>
      </c>
      <c r="Y6193" s="187" t="s">
        <v>55</v>
      </c>
      <c r="Z6193" s="311">
        <v>289</v>
      </c>
      <c r="AB6193" t="str">
        <f>IF(Table1[[#This Row],[TIPO2]]="costo", VLOOKUP(Table1[[#This Row],[PARTIDA PRESUPUESTAL]],'Cost Report'!G:G,1,0),"Balance")</f>
        <v>2494-035</v>
      </c>
      <c r="AD6193" s="159">
        <f>+Table1[[#This Row],[SUBTOTAL]]+Table1[[#This Row],[IVA]]-Table1[[#This Row],[RET IVA]]-Table1[[#This Row],[RET ISR]]-Table1[[#This Row],[TOTAL]]</f>
        <v>0</v>
      </c>
      <c r="AK6193" s="306">
        <f>IF(ISNUMBER(Table1[[#This Row],[FECHA DE RECIBIDO]]), Table1[[#This Row],[FECHA DE RECIBIDO]]-DATE(2023,8,30), "")</f>
        <v>-44880.322754629633</v>
      </c>
    </row>
    <row r="6194" spans="1:37" ht="16.05" customHeight="1">
      <c r="A6194" s="172" t="s">
        <v>5204</v>
      </c>
      <c r="B6194" s="178">
        <v>2173</v>
      </c>
      <c r="C6194" s="179" t="s">
        <v>2968</v>
      </c>
      <c r="D6194">
        <v>4219</v>
      </c>
      <c r="E6194" s="125">
        <v>45116</v>
      </c>
      <c r="F6194" s="178">
        <v>601</v>
      </c>
      <c r="G6194" s="178" t="s">
        <v>134</v>
      </c>
      <c r="H6194">
        <v>851</v>
      </c>
      <c r="I6194" s="178" t="s">
        <v>1546</v>
      </c>
      <c r="J6194" s="320">
        <v>289.36892361110949</v>
      </c>
      <c r="K6194" s="178" t="s">
        <v>5322</v>
      </c>
      <c r="L6194" s="125" t="s">
        <v>3306</v>
      </c>
      <c r="M6194">
        <v>1181</v>
      </c>
      <c r="N6194" s="182">
        <v>1</v>
      </c>
      <c r="O6194">
        <v>4050</v>
      </c>
      <c r="P6194" s="132" t="s">
        <v>77</v>
      </c>
      <c r="Q6194" s="176">
        <v>1056.8</v>
      </c>
      <c r="R6194" s="176">
        <v>169.08799999999999</v>
      </c>
      <c r="S6194" s="176"/>
      <c r="T6194" s="190">
        <v>0</v>
      </c>
      <c r="U6194" s="191">
        <v>0</v>
      </c>
      <c r="V6194" s="191">
        <v>1225.8879999999999</v>
      </c>
      <c r="W6194">
        <v>414</v>
      </c>
      <c r="X6194" s="186" t="s">
        <v>2035</v>
      </c>
      <c r="Y6194" s="187" t="s">
        <v>55</v>
      </c>
      <c r="Z6194" s="311">
        <v>289</v>
      </c>
      <c r="AB6194" t="str">
        <f>IF(Table1[[#This Row],[TIPO2]]="costo", VLOOKUP(Table1[[#This Row],[PARTIDA PRESUPUESTAL]],'Cost Report'!G:G,1,0),"Balance")</f>
        <v>3902-052</v>
      </c>
      <c r="AD6194" s="159">
        <f>+Table1[[#This Row],[SUBTOTAL]]+Table1[[#This Row],[IVA]]-Table1[[#This Row],[RET IVA]]-Table1[[#This Row],[RET ISR]]-Table1[[#This Row],[TOTAL]]</f>
        <v>0</v>
      </c>
      <c r="AK6194" s="306">
        <f>IF(ISNUMBER(Table1[[#This Row],[FECHA DE RECIBIDO]]), Table1[[#This Row],[FECHA DE RECIBIDO]]-DATE(2023,8,30), "")</f>
        <v>-44878.631076388891</v>
      </c>
    </row>
    <row r="6195" spans="1:37" ht="16.05" customHeight="1">
      <c r="A6195" s="172" t="s">
        <v>5205</v>
      </c>
      <c r="B6195" s="178">
        <v>2174</v>
      </c>
      <c r="C6195" s="179" t="s">
        <v>3093</v>
      </c>
      <c r="D6195">
        <v>4220</v>
      </c>
      <c r="E6195" s="125" t="s">
        <v>2010</v>
      </c>
      <c r="F6195" s="178">
        <v>612</v>
      </c>
      <c r="G6195" s="178" t="s">
        <v>129</v>
      </c>
      <c r="H6195">
        <v>867</v>
      </c>
      <c r="I6195" s="178" t="s">
        <v>1546</v>
      </c>
      <c r="J6195" s="320">
        <v>288.39571759258979</v>
      </c>
      <c r="K6195" s="178" t="s">
        <v>5322</v>
      </c>
      <c r="L6195" s="125" t="s">
        <v>3306</v>
      </c>
      <c r="M6195">
        <v>1202</v>
      </c>
      <c r="N6195" s="182">
        <v>1</v>
      </c>
      <c r="O6195">
        <v>4051</v>
      </c>
      <c r="P6195" s="132" t="s">
        <v>77</v>
      </c>
      <c r="Q6195" s="176">
        <v>30000</v>
      </c>
      <c r="R6195" s="176">
        <v>4800</v>
      </c>
      <c r="S6195" s="176"/>
      <c r="T6195" s="190">
        <v>3199.98</v>
      </c>
      <c r="U6195" s="191">
        <v>3000</v>
      </c>
      <c r="V6195" s="191">
        <v>28600.02</v>
      </c>
      <c r="W6195">
        <v>434</v>
      </c>
      <c r="X6195" s="186" t="s">
        <v>2037</v>
      </c>
      <c r="Y6195" s="187" t="s">
        <v>55</v>
      </c>
      <c r="Z6195" s="311">
        <v>289</v>
      </c>
      <c r="AB6195" t="str">
        <f>IF(Table1[[#This Row],[TIPO2]]="costo", VLOOKUP(Table1[[#This Row],[PARTIDA PRESUPUESTAL]],'Cost Report'!G:G,1,0),"Balance")</f>
        <v>7002-003</v>
      </c>
      <c r="AD6195" s="159">
        <f>+Table1[[#This Row],[SUBTOTAL]]+Table1[[#This Row],[IVA]]-Table1[[#This Row],[RET IVA]]-Table1[[#This Row],[RET ISR]]-Table1[[#This Row],[TOTAL]]</f>
        <v>0</v>
      </c>
      <c r="AK6195" s="306">
        <f>IF(ISNUMBER(Table1[[#This Row],[FECHA DE RECIBIDO]]), Table1[[#This Row],[FECHA DE RECIBIDO]]-DATE(2023,8,30), "")</f>
        <v>-44879.60428240741</v>
      </c>
    </row>
    <row r="6196" spans="1:37" ht="16.05" customHeight="1">
      <c r="A6196" s="172" t="s">
        <v>5206</v>
      </c>
      <c r="B6196" s="178">
        <v>2175</v>
      </c>
      <c r="C6196" s="179" t="s">
        <v>2942</v>
      </c>
      <c r="D6196">
        <v>4221</v>
      </c>
      <c r="E6196" s="125">
        <v>44200</v>
      </c>
      <c r="F6196" s="178">
        <v>601</v>
      </c>
      <c r="G6196" s="178" t="s">
        <v>134</v>
      </c>
      <c r="H6196">
        <v>6</v>
      </c>
      <c r="I6196" s="178" t="s">
        <v>1546</v>
      </c>
      <c r="J6196" s="320">
        <v>288.55496527777723</v>
      </c>
      <c r="K6196" s="178" t="s">
        <v>5322</v>
      </c>
      <c r="L6196" s="125" t="s">
        <v>3306</v>
      </c>
      <c r="M6196">
        <v>1185</v>
      </c>
      <c r="N6196" s="182">
        <v>1</v>
      </c>
      <c r="O6196">
        <v>4052</v>
      </c>
      <c r="P6196" s="132" t="s">
        <v>77</v>
      </c>
      <c r="Q6196" s="176">
        <v>80000</v>
      </c>
      <c r="R6196" s="176">
        <v>12800</v>
      </c>
      <c r="S6196" s="176"/>
      <c r="T6196" s="190">
        <v>0</v>
      </c>
      <c r="U6196" s="191">
        <v>0</v>
      </c>
      <c r="V6196" s="191">
        <v>92800</v>
      </c>
      <c r="W6196">
        <v>434</v>
      </c>
      <c r="X6196" s="186" t="s">
        <v>2037</v>
      </c>
      <c r="Y6196" s="187" t="s">
        <v>55</v>
      </c>
      <c r="Z6196" s="311">
        <v>289</v>
      </c>
      <c r="AB6196" t="str">
        <f>IF(Table1[[#This Row],[TIPO2]]="costo", VLOOKUP(Table1[[#This Row],[PARTIDA PRESUPUESTAL]],'Cost Report'!G:G,1,0),"Balance")</f>
        <v>3793-003</v>
      </c>
      <c r="AD6196" s="159">
        <f>+Table1[[#This Row],[SUBTOTAL]]+Table1[[#This Row],[IVA]]-Table1[[#This Row],[RET IVA]]-Table1[[#This Row],[RET ISR]]-Table1[[#This Row],[TOTAL]]</f>
        <v>0</v>
      </c>
      <c r="AK6196" s="306">
        <f>IF(ISNUMBER(Table1[[#This Row],[FECHA DE RECIBIDO]]), Table1[[#This Row],[FECHA DE RECIBIDO]]-DATE(2023,8,30), "")</f>
        <v>-44879.445034722223</v>
      </c>
    </row>
    <row r="6197" spans="1:37" ht="16.05" customHeight="1">
      <c r="A6197" s="172" t="s">
        <v>5207</v>
      </c>
      <c r="B6197" s="178">
        <v>2176</v>
      </c>
      <c r="C6197" s="179" t="s">
        <v>3109</v>
      </c>
      <c r="D6197">
        <v>4222</v>
      </c>
      <c r="E6197" s="125">
        <v>44200</v>
      </c>
      <c r="F6197" s="178">
        <v>601</v>
      </c>
      <c r="G6197" s="178" t="s">
        <v>134</v>
      </c>
      <c r="H6197">
        <v>6</v>
      </c>
      <c r="I6197" s="178" t="s">
        <v>1546</v>
      </c>
      <c r="J6197" s="320">
        <v>288.55251157407474</v>
      </c>
      <c r="K6197" s="178" t="s">
        <v>5322</v>
      </c>
      <c r="L6197" s="125" t="s">
        <v>3306</v>
      </c>
      <c r="M6197">
        <v>1185</v>
      </c>
      <c r="N6197" s="182">
        <v>1</v>
      </c>
      <c r="O6197">
        <v>4053</v>
      </c>
      <c r="P6197" s="132" t="s">
        <v>77</v>
      </c>
      <c r="Q6197" s="176">
        <v>582177.36</v>
      </c>
      <c r="R6197" s="176">
        <v>93148.38</v>
      </c>
      <c r="S6197" s="176"/>
      <c r="T6197" s="190">
        <v>0</v>
      </c>
      <c r="U6197" s="191">
        <v>0</v>
      </c>
      <c r="V6197" s="191">
        <v>675325.74</v>
      </c>
      <c r="W6197">
        <v>434</v>
      </c>
      <c r="X6197" s="186" t="s">
        <v>2037</v>
      </c>
      <c r="Y6197" s="187" t="s">
        <v>55</v>
      </c>
      <c r="Z6197" s="311">
        <v>289</v>
      </c>
      <c r="AB6197" t="str">
        <f>IF(Table1[[#This Row],[TIPO2]]="costo", VLOOKUP(Table1[[#This Row],[PARTIDA PRESUPUESTAL]],'Cost Report'!G:G,1,0),"Balance")</f>
        <v>7094-003</v>
      </c>
      <c r="AD6197" s="159">
        <f>+Table1[[#This Row],[SUBTOTAL]]+Table1[[#This Row],[IVA]]-Table1[[#This Row],[RET IVA]]-Table1[[#This Row],[RET ISR]]-Table1[[#This Row],[TOTAL]]</f>
        <v>0</v>
      </c>
      <c r="AK6197" s="306">
        <f>IF(ISNUMBER(Table1[[#This Row],[FECHA DE RECIBIDO]]), Table1[[#This Row],[FECHA DE RECIBIDO]]-DATE(2023,8,30), "")</f>
        <v>-44879.447488425925</v>
      </c>
    </row>
    <row r="6198" spans="1:37" ht="16.05" customHeight="1">
      <c r="A6198" s="172" t="s">
        <v>5208</v>
      </c>
      <c r="B6198" s="178">
        <v>2177</v>
      </c>
      <c r="C6198" s="179" t="s">
        <v>965</v>
      </c>
      <c r="D6198">
        <v>4223</v>
      </c>
      <c r="E6198" s="125">
        <v>44810</v>
      </c>
      <c r="F6198" s="178">
        <v>612</v>
      </c>
      <c r="G6198" s="178" t="s">
        <v>129</v>
      </c>
      <c r="H6198">
        <v>1011</v>
      </c>
      <c r="I6198" s="178" t="s">
        <v>1546</v>
      </c>
      <c r="J6198" s="320">
        <v>289.49033564814454</v>
      </c>
      <c r="K6198" s="178" t="s">
        <v>5322</v>
      </c>
      <c r="L6198" s="125" t="s">
        <v>3306</v>
      </c>
      <c r="M6198">
        <v>1406</v>
      </c>
      <c r="N6198" s="182">
        <v>1</v>
      </c>
      <c r="O6198">
        <v>3503</v>
      </c>
      <c r="P6198" s="132" t="s">
        <v>77</v>
      </c>
      <c r="Q6198" s="176">
        <v>14000</v>
      </c>
      <c r="R6198" s="176">
        <v>2240</v>
      </c>
      <c r="S6198" s="176"/>
      <c r="T6198" s="190">
        <v>1493.32</v>
      </c>
      <c r="U6198" s="191">
        <v>1400</v>
      </c>
      <c r="V6198" s="191">
        <v>13346.68</v>
      </c>
      <c r="W6198">
        <v>434</v>
      </c>
      <c r="X6198" s="186" t="s">
        <v>2037</v>
      </c>
      <c r="Y6198" s="187" t="s">
        <v>55</v>
      </c>
      <c r="Z6198" s="311">
        <v>289</v>
      </c>
      <c r="AB6198" t="str">
        <f>IF(Table1[[#This Row],[TIPO2]]="costo", VLOOKUP(Table1[[#This Row],[PARTIDA PRESUPUESTAL]],'Cost Report'!G:G,1,0),"Balance")</f>
        <v>3407-007</v>
      </c>
      <c r="AD6198" s="159">
        <f>+Table1[[#This Row],[SUBTOTAL]]+Table1[[#This Row],[IVA]]-Table1[[#This Row],[RET IVA]]-Table1[[#This Row],[RET ISR]]-Table1[[#This Row],[TOTAL]]</f>
        <v>0</v>
      </c>
      <c r="AK6198" s="306">
        <f>IF(ISNUMBER(Table1[[#This Row],[FECHA DE RECIBIDO]]), Table1[[#This Row],[FECHA DE RECIBIDO]]-DATE(2023,8,30), "")</f>
        <v>-44878.509664351855</v>
      </c>
    </row>
    <row r="6199" spans="1:37" ht="16.05" customHeight="1">
      <c r="A6199" s="172" t="s">
        <v>5209</v>
      </c>
      <c r="B6199" s="178">
        <v>2178</v>
      </c>
      <c r="C6199" s="179" t="s">
        <v>2410</v>
      </c>
      <c r="D6199">
        <v>4224</v>
      </c>
      <c r="E6199" s="125">
        <v>1620</v>
      </c>
      <c r="F6199" s="178">
        <v>612</v>
      </c>
      <c r="G6199" s="178" t="s">
        <v>129</v>
      </c>
      <c r="H6199">
        <v>15</v>
      </c>
      <c r="I6199" s="178" t="s">
        <v>1546</v>
      </c>
      <c r="J6199" s="320">
        <v>280.59824074074277</v>
      </c>
      <c r="K6199" s="178" t="s">
        <v>5322</v>
      </c>
      <c r="L6199" s="125" t="s">
        <v>110</v>
      </c>
      <c r="M6199">
        <v>19</v>
      </c>
      <c r="N6199" s="182">
        <v>1</v>
      </c>
      <c r="O6199">
        <v>4054</v>
      </c>
      <c r="P6199" s="132" t="s">
        <v>77</v>
      </c>
      <c r="Q6199" s="176">
        <v>37800</v>
      </c>
      <c r="R6199" s="176">
        <v>6048</v>
      </c>
      <c r="S6199" s="176"/>
      <c r="T6199" s="190">
        <v>4032.02</v>
      </c>
      <c r="U6199" s="191">
        <v>3780</v>
      </c>
      <c r="V6199" s="191">
        <v>36035.980000000003</v>
      </c>
      <c r="W6199">
        <v>15</v>
      </c>
      <c r="X6199" s="186" t="s">
        <v>1429</v>
      </c>
      <c r="Y6199" s="187" t="s">
        <v>55</v>
      </c>
      <c r="Z6199" s="311">
        <v>289</v>
      </c>
      <c r="AB6199" t="str">
        <f>IF(Table1[[#This Row],[TIPO2]]="costo", VLOOKUP(Table1[[#This Row],[PARTIDA PRESUPUESTAL]],'Cost Report'!G:G,1,0),"Balance")</f>
        <v>2013-006</v>
      </c>
      <c r="AD6199" s="159">
        <f>+Table1[[#This Row],[SUBTOTAL]]+Table1[[#This Row],[IVA]]-Table1[[#This Row],[RET IVA]]-Table1[[#This Row],[RET ISR]]-Table1[[#This Row],[TOTAL]]</f>
        <v>0</v>
      </c>
      <c r="AK6199" s="306">
        <f>IF(ISNUMBER(Table1[[#This Row],[FECHA DE RECIBIDO]]), Table1[[#This Row],[FECHA DE RECIBIDO]]-DATE(2023,8,30), "")</f>
        <v>-44887.401759259257</v>
      </c>
    </row>
    <row r="6200" spans="1:37" ht="16.05" customHeight="1">
      <c r="A6200" s="172" t="s">
        <v>5210</v>
      </c>
      <c r="B6200" s="178">
        <v>2179</v>
      </c>
      <c r="C6200" s="179" t="s">
        <v>239</v>
      </c>
      <c r="D6200">
        <v>4225</v>
      </c>
      <c r="E6200" s="125" t="s">
        <v>1887</v>
      </c>
      <c r="F6200" s="178">
        <v>626</v>
      </c>
      <c r="G6200" s="178" t="s">
        <v>109</v>
      </c>
      <c r="H6200">
        <v>10</v>
      </c>
      <c r="I6200" s="178" t="s">
        <v>1546</v>
      </c>
      <c r="J6200" s="320" t="s">
        <v>214</v>
      </c>
      <c r="K6200" s="178" t="s">
        <v>5322</v>
      </c>
      <c r="L6200" s="125" t="s">
        <v>110</v>
      </c>
      <c r="M6200">
        <v>13</v>
      </c>
      <c r="N6200" s="182">
        <v>20</v>
      </c>
      <c r="O6200">
        <v>4055</v>
      </c>
      <c r="P6200" s="132" t="s">
        <v>77</v>
      </c>
      <c r="Q6200" s="176">
        <v>33500</v>
      </c>
      <c r="R6200" s="176">
        <v>5360</v>
      </c>
      <c r="S6200" s="176"/>
      <c r="T6200" s="190">
        <v>3573.34</v>
      </c>
      <c r="U6200" s="191">
        <v>418.75</v>
      </c>
      <c r="V6200" s="191">
        <v>34867.910000000003</v>
      </c>
      <c r="W6200">
        <v>9</v>
      </c>
      <c r="X6200" s="186" t="s">
        <v>1429</v>
      </c>
      <c r="Y6200" s="187" t="s">
        <v>55</v>
      </c>
      <c r="Z6200" s="311">
        <v>289</v>
      </c>
      <c r="AB6200" t="str">
        <f>IF(Table1[[#This Row],[TIPO2]]="costo", VLOOKUP(Table1[[#This Row],[PARTIDA PRESUPUESTAL]],'Cost Report'!G:G,1,0),"Balance")</f>
        <v>1202-005</v>
      </c>
      <c r="AD6200" s="159">
        <f>+Table1[[#This Row],[SUBTOTAL]]+Table1[[#This Row],[IVA]]-Table1[[#This Row],[RET IVA]]-Table1[[#This Row],[RET ISR]]-Table1[[#This Row],[TOTAL]]</f>
        <v>0</v>
      </c>
      <c r="AK6200" s="306" t="str">
        <f>IF(ISNUMBER(Table1[[#This Row],[FECHA DE RECIBIDO]]), Table1[[#This Row],[FECHA DE RECIBIDO]]-DATE(2023,8,30), "")</f>
        <v/>
      </c>
    </row>
    <row r="6201" spans="1:37" ht="16.05" customHeight="1">
      <c r="A6201" s="172" t="s">
        <v>5211</v>
      </c>
      <c r="B6201" s="178">
        <v>2180</v>
      </c>
      <c r="C6201" s="179" t="s">
        <v>2141</v>
      </c>
      <c r="D6201">
        <v>4226</v>
      </c>
      <c r="E6201" s="125" t="s">
        <v>1887</v>
      </c>
      <c r="F6201" s="178">
        <v>626</v>
      </c>
      <c r="G6201" s="178" t="s">
        <v>109</v>
      </c>
      <c r="H6201">
        <v>10</v>
      </c>
      <c r="I6201" s="178" t="s">
        <v>1546</v>
      </c>
      <c r="J6201" s="320" t="s">
        <v>214</v>
      </c>
      <c r="K6201" s="178" t="s">
        <v>5322</v>
      </c>
      <c r="L6201" s="125" t="s">
        <v>110</v>
      </c>
      <c r="M6201">
        <v>13</v>
      </c>
      <c r="N6201" s="182">
        <v>20</v>
      </c>
      <c r="O6201">
        <v>4056</v>
      </c>
      <c r="P6201" s="132" t="s">
        <v>77</v>
      </c>
      <c r="Q6201" s="176">
        <v>67000</v>
      </c>
      <c r="R6201" s="176">
        <v>10720</v>
      </c>
      <c r="S6201" s="176"/>
      <c r="T6201" s="190">
        <v>7146.68</v>
      </c>
      <c r="U6201" s="191">
        <v>837.5</v>
      </c>
      <c r="V6201" s="191">
        <v>69735.820000000007</v>
      </c>
      <c r="W6201">
        <v>9</v>
      </c>
      <c r="X6201" s="186" t="s">
        <v>1429</v>
      </c>
      <c r="Y6201" s="187" t="s">
        <v>55</v>
      </c>
      <c r="Z6201" s="311">
        <v>289</v>
      </c>
      <c r="AB6201" t="str">
        <f>IF(Table1[[#This Row],[TIPO2]]="costo", VLOOKUP(Table1[[#This Row],[PARTIDA PRESUPUESTAL]],'Cost Report'!G:G,1,0),"Balance")</f>
        <v>1202-006</v>
      </c>
      <c r="AD6201" s="159">
        <f>+Table1[[#This Row],[SUBTOTAL]]+Table1[[#This Row],[IVA]]-Table1[[#This Row],[RET IVA]]-Table1[[#This Row],[RET ISR]]-Table1[[#This Row],[TOTAL]]</f>
        <v>0</v>
      </c>
      <c r="AK6201" s="306" t="str">
        <f>IF(ISNUMBER(Table1[[#This Row],[FECHA DE RECIBIDO]]), Table1[[#This Row],[FECHA DE RECIBIDO]]-DATE(2023,8,30), "")</f>
        <v/>
      </c>
    </row>
    <row r="6202" spans="1:37" ht="16.05" customHeight="1">
      <c r="A6202" s="172" t="s">
        <v>5212</v>
      </c>
      <c r="B6202" s="178">
        <v>2181</v>
      </c>
      <c r="C6202" s="179" t="s">
        <v>2141</v>
      </c>
      <c r="D6202">
        <v>4227</v>
      </c>
      <c r="E6202" s="125" t="s">
        <v>1887</v>
      </c>
      <c r="F6202" s="178">
        <v>626</v>
      </c>
      <c r="G6202" s="178" t="s">
        <v>109</v>
      </c>
      <c r="H6202">
        <v>10</v>
      </c>
      <c r="I6202" s="178" t="s">
        <v>1546</v>
      </c>
      <c r="J6202" s="320" t="s">
        <v>214</v>
      </c>
      <c r="K6202" s="178" t="s">
        <v>5322</v>
      </c>
      <c r="L6202" s="125" t="s">
        <v>110</v>
      </c>
      <c r="M6202">
        <v>13</v>
      </c>
      <c r="N6202" s="182">
        <v>20</v>
      </c>
      <c r="O6202">
        <v>4057</v>
      </c>
      <c r="P6202" s="132" t="s">
        <v>77</v>
      </c>
      <c r="Q6202" s="176">
        <v>67000</v>
      </c>
      <c r="R6202" s="176">
        <v>10720</v>
      </c>
      <c r="S6202" s="176"/>
      <c r="T6202" s="190">
        <v>7146.68</v>
      </c>
      <c r="U6202" s="191">
        <v>837.5</v>
      </c>
      <c r="V6202" s="191">
        <v>69735.820000000007</v>
      </c>
      <c r="W6202">
        <v>9</v>
      </c>
      <c r="X6202" s="186" t="s">
        <v>1429</v>
      </c>
      <c r="Y6202" s="187" t="s">
        <v>55</v>
      </c>
      <c r="Z6202" s="311">
        <v>289</v>
      </c>
      <c r="AB6202" t="str">
        <f>IF(Table1[[#This Row],[TIPO2]]="costo", VLOOKUP(Table1[[#This Row],[PARTIDA PRESUPUESTAL]],'Cost Report'!G:G,1,0),"Balance")</f>
        <v>1202-006</v>
      </c>
      <c r="AD6202" s="159">
        <f>+Table1[[#This Row],[SUBTOTAL]]+Table1[[#This Row],[IVA]]-Table1[[#This Row],[RET IVA]]-Table1[[#This Row],[RET ISR]]-Table1[[#This Row],[TOTAL]]</f>
        <v>0</v>
      </c>
      <c r="AK6202" s="306" t="str">
        <f>IF(ISNUMBER(Table1[[#This Row],[FECHA DE RECIBIDO]]), Table1[[#This Row],[FECHA DE RECIBIDO]]-DATE(2023,8,30), "")</f>
        <v/>
      </c>
    </row>
    <row r="6203" spans="1:37" ht="16.05" customHeight="1">
      <c r="A6203" s="172" t="s">
        <v>5213</v>
      </c>
      <c r="B6203" s="178">
        <v>2182</v>
      </c>
      <c r="C6203" s="179" t="s">
        <v>2142</v>
      </c>
      <c r="D6203">
        <v>4228</v>
      </c>
      <c r="E6203" s="125">
        <v>4210</v>
      </c>
      <c r="F6203" s="178">
        <v>612</v>
      </c>
      <c r="G6203" s="178" t="s">
        <v>129</v>
      </c>
      <c r="H6203">
        <v>16</v>
      </c>
      <c r="I6203" s="178" t="s">
        <v>1546</v>
      </c>
      <c r="J6203" s="320">
        <v>278.84004629629635</v>
      </c>
      <c r="K6203" s="178" t="s">
        <v>5322</v>
      </c>
      <c r="L6203" s="125" t="s">
        <v>110</v>
      </c>
      <c r="M6203">
        <v>21</v>
      </c>
      <c r="N6203" s="182">
        <v>2</v>
      </c>
      <c r="O6203">
        <v>4058</v>
      </c>
      <c r="P6203" s="132" t="s">
        <v>77</v>
      </c>
      <c r="Q6203" s="176">
        <v>42000</v>
      </c>
      <c r="R6203" s="176">
        <v>6720</v>
      </c>
      <c r="S6203" s="176"/>
      <c r="T6203" s="190">
        <v>4480.01</v>
      </c>
      <c r="U6203" s="191">
        <v>4200</v>
      </c>
      <c r="V6203" s="191">
        <v>40039.99</v>
      </c>
      <c r="W6203">
        <v>16</v>
      </c>
      <c r="X6203" s="186" t="s">
        <v>1429</v>
      </c>
      <c r="Y6203" s="187" t="s">
        <v>55</v>
      </c>
      <c r="Z6203" s="311">
        <v>289</v>
      </c>
      <c r="AB6203" t="str">
        <f>IF(Table1[[#This Row],[TIPO2]]="costo", VLOOKUP(Table1[[#This Row],[PARTIDA PRESUPUESTAL]],'Cost Report'!G:G,1,0),"Balance")</f>
        <v>1204-006</v>
      </c>
      <c r="AD6203" s="159">
        <f>+Table1[[#This Row],[SUBTOTAL]]+Table1[[#This Row],[IVA]]-Table1[[#This Row],[RET IVA]]-Table1[[#This Row],[RET ISR]]-Table1[[#This Row],[TOTAL]]</f>
        <v>0</v>
      </c>
      <c r="AK6203" s="306">
        <f>IF(ISNUMBER(Table1[[#This Row],[FECHA DE RECIBIDO]]), Table1[[#This Row],[FECHA DE RECIBIDO]]-DATE(2023,8,30), "")</f>
        <v>-44889.159953703704</v>
      </c>
    </row>
    <row r="6204" spans="1:37" ht="16.05" customHeight="1">
      <c r="A6204" s="172" t="s">
        <v>5214</v>
      </c>
      <c r="B6204" s="178">
        <v>2183</v>
      </c>
      <c r="C6204" s="179" t="s">
        <v>2142</v>
      </c>
      <c r="D6204">
        <v>4229</v>
      </c>
      <c r="E6204" s="125">
        <v>4210</v>
      </c>
      <c r="F6204" s="178">
        <v>612</v>
      </c>
      <c r="G6204" s="178" t="s">
        <v>129</v>
      </c>
      <c r="H6204">
        <v>16</v>
      </c>
      <c r="I6204" s="178" t="s">
        <v>1546</v>
      </c>
      <c r="J6204" s="320">
        <v>278.8413194444438</v>
      </c>
      <c r="K6204" s="178" t="s">
        <v>5322</v>
      </c>
      <c r="L6204" s="125" t="s">
        <v>110</v>
      </c>
      <c r="M6204">
        <v>21</v>
      </c>
      <c r="N6204" s="182">
        <v>2</v>
      </c>
      <c r="O6204">
        <v>4059</v>
      </c>
      <c r="P6204" s="132" t="s">
        <v>77</v>
      </c>
      <c r="Q6204" s="176">
        <v>42000</v>
      </c>
      <c r="R6204" s="176">
        <v>6720</v>
      </c>
      <c r="S6204" s="176"/>
      <c r="T6204" s="190">
        <v>4480.01</v>
      </c>
      <c r="U6204" s="191">
        <v>4200</v>
      </c>
      <c r="V6204" s="191">
        <v>40039.99</v>
      </c>
      <c r="W6204">
        <v>16</v>
      </c>
      <c r="X6204" s="186" t="s">
        <v>1429</v>
      </c>
      <c r="Y6204" s="187" t="s">
        <v>55</v>
      </c>
      <c r="Z6204" s="311">
        <v>289</v>
      </c>
      <c r="AB6204" t="str">
        <f>IF(Table1[[#This Row],[TIPO2]]="costo", VLOOKUP(Table1[[#This Row],[PARTIDA PRESUPUESTAL]],'Cost Report'!G:G,1,0),"Balance")</f>
        <v>1204-006</v>
      </c>
      <c r="AD6204" s="159">
        <f>+Table1[[#This Row],[SUBTOTAL]]+Table1[[#This Row],[IVA]]-Table1[[#This Row],[RET IVA]]-Table1[[#This Row],[RET ISR]]-Table1[[#This Row],[TOTAL]]</f>
        <v>0</v>
      </c>
      <c r="AK6204" s="306">
        <f>IF(ISNUMBER(Table1[[#This Row],[FECHA DE RECIBIDO]]), Table1[[#This Row],[FECHA DE RECIBIDO]]-DATE(2023,8,30), "")</f>
        <v>-44889.158680555556</v>
      </c>
    </row>
    <row r="6205" spans="1:37" ht="16.05" customHeight="1">
      <c r="A6205" s="172" t="s">
        <v>5215</v>
      </c>
      <c r="B6205" s="178">
        <v>2184</v>
      </c>
      <c r="C6205" s="179" t="s">
        <v>436</v>
      </c>
      <c r="D6205">
        <v>4230</v>
      </c>
      <c r="E6205" s="125">
        <v>7050</v>
      </c>
      <c r="F6205" s="178">
        <v>612</v>
      </c>
      <c r="G6205" s="178" t="s">
        <v>129</v>
      </c>
      <c r="H6205">
        <v>17</v>
      </c>
      <c r="I6205" s="178" t="s">
        <v>1546</v>
      </c>
      <c r="J6205" s="320">
        <v>280.91423611110804</v>
      </c>
      <c r="K6205" s="178" t="s">
        <v>5322</v>
      </c>
      <c r="L6205" s="125" t="s">
        <v>110</v>
      </c>
      <c r="M6205">
        <v>22</v>
      </c>
      <c r="N6205" s="182">
        <v>3</v>
      </c>
      <c r="O6205">
        <v>4060</v>
      </c>
      <c r="P6205" s="132" t="s">
        <v>77</v>
      </c>
      <c r="Q6205" s="176">
        <v>20000</v>
      </c>
      <c r="R6205" s="176">
        <v>3200</v>
      </c>
      <c r="S6205" s="176"/>
      <c r="T6205" s="190">
        <v>2133.34</v>
      </c>
      <c r="U6205" s="191">
        <v>2000</v>
      </c>
      <c r="V6205" s="191">
        <v>19066.66</v>
      </c>
      <c r="W6205">
        <v>17</v>
      </c>
      <c r="X6205" s="186" t="s">
        <v>1430</v>
      </c>
      <c r="Y6205" s="187" t="s">
        <v>55</v>
      </c>
      <c r="Z6205" s="311">
        <v>289</v>
      </c>
      <c r="AB6205" t="str">
        <f>IF(Table1[[#This Row],[TIPO2]]="costo", VLOOKUP(Table1[[#This Row],[PARTIDA PRESUPUESTAL]],'Cost Report'!G:G,1,0),"Balance")</f>
        <v>2001-006</v>
      </c>
      <c r="AD6205" s="159">
        <f>+Table1[[#This Row],[SUBTOTAL]]+Table1[[#This Row],[IVA]]-Table1[[#This Row],[RET IVA]]-Table1[[#This Row],[RET ISR]]-Table1[[#This Row],[TOTAL]]</f>
        <v>0</v>
      </c>
      <c r="AK6205" s="306">
        <f>IF(ISNUMBER(Table1[[#This Row],[FECHA DE RECIBIDO]]), Table1[[#This Row],[FECHA DE RECIBIDO]]-DATE(2023,8,30), "")</f>
        <v>-44887.085763888892</v>
      </c>
    </row>
    <row r="6206" spans="1:37" ht="16.05" customHeight="1">
      <c r="A6206" s="172" t="s">
        <v>5216</v>
      </c>
      <c r="B6206" s="178">
        <v>2185</v>
      </c>
      <c r="C6206" s="179" t="s">
        <v>479</v>
      </c>
      <c r="D6206">
        <v>4231</v>
      </c>
      <c r="E6206" s="125">
        <v>3023</v>
      </c>
      <c r="F6206" s="178">
        <v>626</v>
      </c>
      <c r="G6206" s="178" t="s">
        <v>109</v>
      </c>
      <c r="H6206">
        <v>21</v>
      </c>
      <c r="I6206" s="178" t="s">
        <v>1546</v>
      </c>
      <c r="J6206" s="320">
        <v>279.43702546296117</v>
      </c>
      <c r="K6206" s="178" t="s">
        <v>5322</v>
      </c>
      <c r="L6206" s="125" t="s">
        <v>110</v>
      </c>
      <c r="M6206">
        <v>27</v>
      </c>
      <c r="N6206" s="182">
        <v>5</v>
      </c>
      <c r="O6206">
        <v>4061</v>
      </c>
      <c r="P6206" s="132" t="s">
        <v>77</v>
      </c>
      <c r="Q6206" s="176">
        <v>16000</v>
      </c>
      <c r="R6206" s="176">
        <v>2560</v>
      </c>
      <c r="S6206" s="176"/>
      <c r="T6206" s="190">
        <v>1706.66</v>
      </c>
      <c r="U6206" s="191">
        <v>200</v>
      </c>
      <c r="V6206" s="191">
        <v>16653.34</v>
      </c>
      <c r="W6206">
        <v>21</v>
      </c>
      <c r="X6206" s="186" t="s">
        <v>1431</v>
      </c>
      <c r="Y6206" s="187" t="s">
        <v>55</v>
      </c>
      <c r="Z6206" s="311">
        <v>289</v>
      </c>
      <c r="AB6206" t="str">
        <f>IF(Table1[[#This Row],[TIPO2]]="costo", VLOOKUP(Table1[[#This Row],[PARTIDA PRESUPUESTAL]],'Cost Report'!G:G,1,0),"Balance")</f>
        <v>2014-005</v>
      </c>
      <c r="AD6206" s="159">
        <f>+Table1[[#This Row],[SUBTOTAL]]+Table1[[#This Row],[IVA]]-Table1[[#This Row],[RET IVA]]-Table1[[#This Row],[RET ISR]]-Table1[[#This Row],[TOTAL]]</f>
        <v>0</v>
      </c>
      <c r="AK6206" s="306">
        <f>IF(ISNUMBER(Table1[[#This Row],[FECHA DE RECIBIDO]]), Table1[[#This Row],[FECHA DE RECIBIDO]]-DATE(2023,8,30), "")</f>
        <v>-44888.562974537039</v>
      </c>
    </row>
    <row r="6207" spans="1:37" ht="16.05" customHeight="1">
      <c r="A6207" s="172" t="s">
        <v>5217</v>
      </c>
      <c r="B6207" s="178">
        <v>2186</v>
      </c>
      <c r="C6207" s="179" t="s">
        <v>2418</v>
      </c>
      <c r="D6207">
        <v>4232</v>
      </c>
      <c r="E6207" s="125">
        <v>70380</v>
      </c>
      <c r="F6207" s="178">
        <v>626</v>
      </c>
      <c r="G6207" s="178" t="s">
        <v>109</v>
      </c>
      <c r="H6207">
        <v>61</v>
      </c>
      <c r="I6207" s="178" t="s">
        <v>1546</v>
      </c>
      <c r="J6207" s="320">
        <v>279.52013888888905</v>
      </c>
      <c r="K6207" s="178" t="s">
        <v>5322</v>
      </c>
      <c r="L6207" s="125" t="s">
        <v>110</v>
      </c>
      <c r="M6207">
        <v>84</v>
      </c>
      <c r="N6207" s="182">
        <v>21</v>
      </c>
      <c r="O6207">
        <v>4062</v>
      </c>
      <c r="P6207" s="132" t="s">
        <v>77</v>
      </c>
      <c r="Q6207" s="176">
        <v>12500</v>
      </c>
      <c r="R6207" s="176">
        <v>2000</v>
      </c>
      <c r="S6207" s="176"/>
      <c r="T6207" s="190">
        <v>1333.34</v>
      </c>
      <c r="U6207" s="191">
        <v>156.25</v>
      </c>
      <c r="V6207" s="191">
        <v>13010.41</v>
      </c>
      <c r="W6207">
        <v>43</v>
      </c>
      <c r="X6207" s="186" t="s">
        <v>1431</v>
      </c>
      <c r="Y6207" s="187" t="s">
        <v>55</v>
      </c>
      <c r="Z6207" s="311">
        <v>289</v>
      </c>
      <c r="AB6207" t="str">
        <f>IF(Table1[[#This Row],[TIPO2]]="costo", VLOOKUP(Table1[[#This Row],[PARTIDA PRESUPUESTAL]],'Cost Report'!G:G,1,0),"Balance")</f>
        <v>2017-005</v>
      </c>
      <c r="AD6207" s="159">
        <f>+Table1[[#This Row],[SUBTOTAL]]+Table1[[#This Row],[IVA]]-Table1[[#This Row],[RET IVA]]-Table1[[#This Row],[RET ISR]]-Table1[[#This Row],[TOTAL]]</f>
        <v>0</v>
      </c>
      <c r="AK6207" s="306">
        <f>IF(ISNUMBER(Table1[[#This Row],[FECHA DE RECIBIDO]]), Table1[[#This Row],[FECHA DE RECIBIDO]]-DATE(2023,8,30), "")</f>
        <v>-44888.479861111111</v>
      </c>
    </row>
    <row r="6208" spans="1:37" ht="16.05" customHeight="1">
      <c r="A6208" s="172" t="s">
        <v>5218</v>
      </c>
      <c r="B6208" s="178">
        <v>2187</v>
      </c>
      <c r="C6208" s="179" t="s">
        <v>2418</v>
      </c>
      <c r="D6208">
        <v>4233</v>
      </c>
      <c r="E6208" s="125">
        <v>70380</v>
      </c>
      <c r="F6208" s="178">
        <v>626</v>
      </c>
      <c r="G6208" s="178" t="s">
        <v>109</v>
      </c>
      <c r="H6208">
        <v>61</v>
      </c>
      <c r="I6208" s="178" t="s">
        <v>1546</v>
      </c>
      <c r="J6208" s="320">
        <v>279.50792824073869</v>
      </c>
      <c r="K6208" s="178" t="s">
        <v>5322</v>
      </c>
      <c r="L6208" s="125" t="s">
        <v>4782</v>
      </c>
      <c r="M6208">
        <v>84</v>
      </c>
      <c r="N6208" s="182">
        <v>21</v>
      </c>
      <c r="O6208">
        <v>4063</v>
      </c>
      <c r="P6208" s="132" t="s">
        <v>77</v>
      </c>
      <c r="Q6208" s="176">
        <v>3500</v>
      </c>
      <c r="R6208" s="176">
        <v>560</v>
      </c>
      <c r="S6208" s="176"/>
      <c r="T6208" s="190">
        <v>373.33</v>
      </c>
      <c r="U6208" s="191">
        <v>43.75</v>
      </c>
      <c r="V6208" s="191">
        <v>3642.92</v>
      </c>
      <c r="W6208">
        <v>43</v>
      </c>
      <c r="X6208" s="186" t="s">
        <v>1431</v>
      </c>
      <c r="Y6208" s="187" t="s">
        <v>55</v>
      </c>
      <c r="Z6208" s="311">
        <v>289</v>
      </c>
      <c r="AB6208" t="str">
        <f>IF(Table1[[#This Row],[TIPO2]]="costo", VLOOKUP(Table1[[#This Row],[PARTIDA PRESUPUESTAL]],'Cost Report'!G:G,1,0),"Balance")</f>
        <v>2017-005</v>
      </c>
      <c r="AD6208" s="159">
        <f>+Table1[[#This Row],[SUBTOTAL]]+Table1[[#This Row],[IVA]]-Table1[[#This Row],[RET IVA]]-Table1[[#This Row],[RET ISR]]-Table1[[#This Row],[TOTAL]]</f>
        <v>0</v>
      </c>
      <c r="AK6208" s="306">
        <f>IF(ISNUMBER(Table1[[#This Row],[FECHA DE RECIBIDO]]), Table1[[#This Row],[FECHA DE RECIBIDO]]-DATE(2023,8,30), "")</f>
        <v>-44888.492071759261</v>
      </c>
    </row>
    <row r="6209" spans="1:37" ht="16.05" customHeight="1">
      <c r="A6209" s="172" t="s">
        <v>5219</v>
      </c>
      <c r="B6209" s="178">
        <v>2188</v>
      </c>
      <c r="C6209" s="179" t="s">
        <v>496</v>
      </c>
      <c r="D6209">
        <v>4234</v>
      </c>
      <c r="E6209" s="125">
        <v>44650</v>
      </c>
      <c r="F6209" s="178">
        <v>626</v>
      </c>
      <c r="G6209" s="178" t="s">
        <v>109</v>
      </c>
      <c r="H6209">
        <v>199</v>
      </c>
      <c r="I6209" s="178" t="s">
        <v>1546</v>
      </c>
      <c r="J6209" s="320">
        <v>279.85908564814599</v>
      </c>
      <c r="K6209" s="178" t="s">
        <v>5322</v>
      </c>
      <c r="L6209" s="125" t="s">
        <v>110</v>
      </c>
      <c r="M6209">
        <v>264</v>
      </c>
      <c r="N6209" s="182">
        <v>64</v>
      </c>
      <c r="O6209">
        <v>4064</v>
      </c>
      <c r="P6209" s="132" t="s">
        <v>77</v>
      </c>
      <c r="Q6209" s="176">
        <v>18000</v>
      </c>
      <c r="R6209" s="176">
        <v>2880</v>
      </c>
      <c r="S6209" s="176"/>
      <c r="T6209" s="190">
        <v>1920</v>
      </c>
      <c r="U6209" s="191">
        <v>225</v>
      </c>
      <c r="V6209" s="191">
        <v>18735</v>
      </c>
      <c r="W6209">
        <v>120</v>
      </c>
      <c r="X6209" s="186" t="s">
        <v>1429</v>
      </c>
      <c r="Y6209" s="187" t="s">
        <v>55</v>
      </c>
      <c r="Z6209" s="311">
        <v>289</v>
      </c>
      <c r="AB6209" t="str">
        <f>IF(Table1[[#This Row],[TIPO2]]="costo", VLOOKUP(Table1[[#This Row],[PARTIDA PRESUPUESTAL]],'Cost Report'!G:G,1,0),"Balance")</f>
        <v>2020-011</v>
      </c>
      <c r="AD6209" s="159">
        <f>+Table1[[#This Row],[SUBTOTAL]]+Table1[[#This Row],[IVA]]-Table1[[#This Row],[RET IVA]]-Table1[[#This Row],[RET ISR]]-Table1[[#This Row],[TOTAL]]</f>
        <v>0</v>
      </c>
      <c r="AK6209" s="306">
        <f>IF(ISNUMBER(Table1[[#This Row],[FECHA DE RECIBIDO]]), Table1[[#This Row],[FECHA DE RECIBIDO]]-DATE(2023,8,30), "")</f>
        <v>-44888.140914351854</v>
      </c>
    </row>
    <row r="6210" spans="1:37" ht="16.05" customHeight="1">
      <c r="A6210" s="172" t="s">
        <v>5220</v>
      </c>
      <c r="B6210" s="178">
        <v>2189</v>
      </c>
      <c r="C6210" s="179" t="s">
        <v>496</v>
      </c>
      <c r="D6210">
        <v>4235</v>
      </c>
      <c r="E6210" s="125">
        <v>44650</v>
      </c>
      <c r="F6210" s="178">
        <v>626</v>
      </c>
      <c r="G6210" s="178" t="s">
        <v>109</v>
      </c>
      <c r="H6210">
        <v>199</v>
      </c>
      <c r="I6210" s="178" t="s">
        <v>1546</v>
      </c>
      <c r="J6210" s="320">
        <v>279.86085648147855</v>
      </c>
      <c r="K6210" s="178" t="s">
        <v>5322</v>
      </c>
      <c r="L6210" s="125" t="s">
        <v>110</v>
      </c>
      <c r="M6210">
        <v>264</v>
      </c>
      <c r="N6210" s="182">
        <v>64</v>
      </c>
      <c r="O6210">
        <v>4065</v>
      </c>
      <c r="P6210" s="132" t="s">
        <v>77</v>
      </c>
      <c r="Q6210" s="176">
        <v>9000</v>
      </c>
      <c r="R6210" s="176">
        <v>1440</v>
      </c>
      <c r="S6210" s="176"/>
      <c r="T6210" s="190">
        <v>960</v>
      </c>
      <c r="U6210" s="191">
        <v>112.5</v>
      </c>
      <c r="V6210" s="191">
        <v>9367.5</v>
      </c>
      <c r="W6210">
        <v>120</v>
      </c>
      <c r="X6210" s="186" t="s">
        <v>1429</v>
      </c>
      <c r="Y6210" s="187" t="s">
        <v>55</v>
      </c>
      <c r="Z6210" s="311">
        <v>289</v>
      </c>
      <c r="AB6210" t="str">
        <f>IF(Table1[[#This Row],[TIPO2]]="costo", VLOOKUP(Table1[[#This Row],[PARTIDA PRESUPUESTAL]],'Cost Report'!G:G,1,0),"Balance")</f>
        <v>2020-011</v>
      </c>
      <c r="AD6210" s="159">
        <f>+Table1[[#This Row],[SUBTOTAL]]+Table1[[#This Row],[IVA]]-Table1[[#This Row],[RET IVA]]-Table1[[#This Row],[RET ISR]]-Table1[[#This Row],[TOTAL]]</f>
        <v>0</v>
      </c>
      <c r="AK6210" s="306">
        <f>IF(ISNUMBER(Table1[[#This Row],[FECHA DE RECIBIDO]]), Table1[[#This Row],[FECHA DE RECIBIDO]]-DATE(2023,8,30), "")</f>
        <v>-44888.139143518521</v>
      </c>
    </row>
    <row r="6211" spans="1:37" ht="16.05" customHeight="1">
      <c r="A6211" s="172" t="s">
        <v>5221</v>
      </c>
      <c r="B6211" s="178">
        <v>2190</v>
      </c>
      <c r="C6211" s="179" t="s">
        <v>486</v>
      </c>
      <c r="D6211">
        <v>4236</v>
      </c>
      <c r="E6211" s="125">
        <v>46600</v>
      </c>
      <c r="F6211" s="178">
        <v>626</v>
      </c>
      <c r="G6211" s="178" t="s">
        <v>109</v>
      </c>
      <c r="H6211">
        <v>200</v>
      </c>
      <c r="I6211" s="178" t="s">
        <v>1546</v>
      </c>
      <c r="J6211" s="320">
        <v>279.86660879629926</v>
      </c>
      <c r="K6211" s="178" t="s">
        <v>5322</v>
      </c>
      <c r="L6211" s="125" t="s">
        <v>110</v>
      </c>
      <c r="M6211">
        <v>265</v>
      </c>
      <c r="N6211" s="182">
        <v>65</v>
      </c>
      <c r="O6211">
        <v>4066</v>
      </c>
      <c r="P6211" s="132" t="s">
        <v>77</v>
      </c>
      <c r="Q6211" s="176">
        <v>9300</v>
      </c>
      <c r="R6211" s="176">
        <v>1488</v>
      </c>
      <c r="S6211" s="176"/>
      <c r="T6211" s="190">
        <v>992.01</v>
      </c>
      <c r="U6211" s="191">
        <v>116.25</v>
      </c>
      <c r="V6211" s="191">
        <v>9679.74</v>
      </c>
      <c r="W6211">
        <v>121</v>
      </c>
      <c r="X6211" s="186" t="s">
        <v>1429</v>
      </c>
      <c r="Y6211" s="187" t="s">
        <v>55</v>
      </c>
      <c r="Z6211" s="311">
        <v>289</v>
      </c>
      <c r="AB6211" t="str">
        <f>IF(Table1[[#This Row],[TIPO2]]="costo", VLOOKUP(Table1[[#This Row],[PARTIDA PRESUPUESTAL]],'Cost Report'!G:G,1,0),"Balance")</f>
        <v>2019-005</v>
      </c>
      <c r="AD6211" s="159">
        <f>+Table1[[#This Row],[SUBTOTAL]]+Table1[[#This Row],[IVA]]-Table1[[#This Row],[RET IVA]]-Table1[[#This Row],[RET ISR]]-Table1[[#This Row],[TOTAL]]</f>
        <v>0</v>
      </c>
      <c r="AK6211" s="306">
        <f>IF(ISNUMBER(Table1[[#This Row],[FECHA DE RECIBIDO]]), Table1[[#This Row],[FECHA DE RECIBIDO]]-DATE(2023,8,30), "")</f>
        <v>-44888.133391203701</v>
      </c>
    </row>
    <row r="6212" spans="1:37" ht="16.05" customHeight="1">
      <c r="A6212" s="172" t="s">
        <v>5222</v>
      </c>
      <c r="B6212" s="178">
        <v>2191</v>
      </c>
      <c r="C6212" s="179" t="s">
        <v>500</v>
      </c>
      <c r="D6212">
        <v>4237</v>
      </c>
      <c r="E6212" s="125">
        <v>45010</v>
      </c>
      <c r="F6212" s="178">
        <v>626</v>
      </c>
      <c r="G6212" s="178" t="s">
        <v>109</v>
      </c>
      <c r="H6212">
        <v>342</v>
      </c>
      <c r="I6212" s="178" t="s">
        <v>1546</v>
      </c>
      <c r="J6212" s="320">
        <v>279.75239583333314</v>
      </c>
      <c r="K6212" s="178" t="s">
        <v>5322</v>
      </c>
      <c r="L6212" s="125" t="s">
        <v>110</v>
      </c>
      <c r="M6212">
        <v>459</v>
      </c>
      <c r="N6212" s="182">
        <v>84</v>
      </c>
      <c r="O6212">
        <v>4067</v>
      </c>
      <c r="P6212" s="132" t="s">
        <v>77</v>
      </c>
      <c r="Q6212" s="176">
        <v>7000</v>
      </c>
      <c r="R6212" s="176">
        <v>1120</v>
      </c>
      <c r="S6212" s="176"/>
      <c r="T6212" s="190">
        <v>746.67</v>
      </c>
      <c r="U6212" s="191">
        <v>87.5</v>
      </c>
      <c r="V6212" s="191">
        <v>7285.83</v>
      </c>
      <c r="W6212">
        <v>179</v>
      </c>
      <c r="X6212" s="186" t="s">
        <v>1429</v>
      </c>
      <c r="Y6212" s="187" t="s">
        <v>55</v>
      </c>
      <c r="Z6212" s="311">
        <v>289</v>
      </c>
      <c r="AB6212" t="str">
        <f>IF(Table1[[#This Row],[TIPO2]]="costo", VLOOKUP(Table1[[#This Row],[PARTIDA PRESUPUESTAL]],'Cost Report'!G:G,1,0),"Balance")</f>
        <v>2020-017</v>
      </c>
      <c r="AD6212" s="159">
        <f>+Table1[[#This Row],[SUBTOTAL]]+Table1[[#This Row],[IVA]]-Table1[[#This Row],[RET IVA]]-Table1[[#This Row],[RET ISR]]-Table1[[#This Row],[TOTAL]]</f>
        <v>0</v>
      </c>
      <c r="AK6212" s="306">
        <f>IF(ISNUMBER(Table1[[#This Row],[FECHA DE RECIBIDO]]), Table1[[#This Row],[FECHA DE RECIBIDO]]-DATE(2023,8,30), "")</f>
        <v>-44888.247604166667</v>
      </c>
    </row>
    <row r="6213" spans="1:37" ht="16.05" customHeight="1">
      <c r="A6213" s="172" t="s">
        <v>5223</v>
      </c>
      <c r="B6213" s="178">
        <v>2192</v>
      </c>
      <c r="C6213" s="179" t="s">
        <v>2425</v>
      </c>
      <c r="D6213">
        <v>4238</v>
      </c>
      <c r="E6213" s="125">
        <v>45070</v>
      </c>
      <c r="F6213" s="178">
        <v>612</v>
      </c>
      <c r="G6213" s="178" t="s">
        <v>129</v>
      </c>
      <c r="H6213">
        <v>494</v>
      </c>
      <c r="I6213" s="178" t="s">
        <v>1546</v>
      </c>
      <c r="J6213" s="320">
        <v>279.85356481481722</v>
      </c>
      <c r="K6213" s="178" t="s">
        <v>5322</v>
      </c>
      <c r="L6213" s="125" t="s">
        <v>110</v>
      </c>
      <c r="M6213">
        <v>718</v>
      </c>
      <c r="N6213" s="182">
        <v>123</v>
      </c>
      <c r="O6213">
        <v>4068</v>
      </c>
      <c r="P6213" s="132" t="s">
        <v>77</v>
      </c>
      <c r="Q6213" s="176">
        <v>3100</v>
      </c>
      <c r="R6213" s="176">
        <v>496</v>
      </c>
      <c r="S6213" s="176"/>
      <c r="T6213" s="190">
        <v>330.67</v>
      </c>
      <c r="U6213" s="191">
        <v>310</v>
      </c>
      <c r="V6213" s="191">
        <v>2955.33</v>
      </c>
      <c r="W6213">
        <v>266</v>
      </c>
      <c r="X6213" s="186" t="s">
        <v>1429</v>
      </c>
      <c r="Y6213" s="187" t="s">
        <v>55</v>
      </c>
      <c r="Z6213" s="311">
        <v>289</v>
      </c>
      <c r="AB6213" t="str">
        <f>IF(Table1[[#This Row],[TIPO2]]="costo", VLOOKUP(Table1[[#This Row],[PARTIDA PRESUPUESTAL]],'Cost Report'!G:G,1,0),"Balance")</f>
        <v>2019-011</v>
      </c>
      <c r="AD6213" s="159">
        <f>+Table1[[#This Row],[SUBTOTAL]]+Table1[[#This Row],[IVA]]-Table1[[#This Row],[RET IVA]]-Table1[[#This Row],[RET ISR]]-Table1[[#This Row],[TOTAL]]</f>
        <v>0</v>
      </c>
      <c r="AK6213" s="306">
        <f>IF(ISNUMBER(Table1[[#This Row],[FECHA DE RECIBIDO]]), Table1[[#This Row],[FECHA DE RECIBIDO]]-DATE(2023,8,30), "")</f>
        <v>-44888.146435185183</v>
      </c>
    </row>
    <row r="6214" spans="1:37" ht="16.05" customHeight="1">
      <c r="A6214" s="172" t="s">
        <v>5224</v>
      </c>
      <c r="B6214" s="178">
        <v>2193</v>
      </c>
      <c r="C6214" s="179" t="s">
        <v>2413</v>
      </c>
      <c r="D6214">
        <v>4239</v>
      </c>
      <c r="E6214" s="125">
        <v>15000</v>
      </c>
      <c r="F6214" s="178">
        <v>612</v>
      </c>
      <c r="G6214" s="178" t="s">
        <v>129</v>
      </c>
      <c r="H6214">
        <v>855</v>
      </c>
      <c r="I6214" s="178" t="s">
        <v>1546</v>
      </c>
      <c r="J6214" s="320">
        <v>279.50234953704057</v>
      </c>
      <c r="K6214" s="178" t="s">
        <v>5322</v>
      </c>
      <c r="L6214" s="125" t="s">
        <v>110</v>
      </c>
      <c r="M6214">
        <v>1189</v>
      </c>
      <c r="N6214" s="182">
        <v>211</v>
      </c>
      <c r="O6214">
        <v>4069</v>
      </c>
      <c r="P6214" s="132" t="s">
        <v>77</v>
      </c>
      <c r="Q6214" s="176">
        <v>32000</v>
      </c>
      <c r="R6214" s="176">
        <v>5120</v>
      </c>
      <c r="S6214" s="176"/>
      <c r="T6214" s="190">
        <v>3413.34</v>
      </c>
      <c r="U6214" s="191">
        <v>3200</v>
      </c>
      <c r="V6214" s="191">
        <v>30506.660000000003</v>
      </c>
      <c r="W6214">
        <v>420</v>
      </c>
      <c r="X6214" s="186" t="s">
        <v>1431</v>
      </c>
      <c r="Y6214" s="187" t="s">
        <v>55</v>
      </c>
      <c r="Z6214" s="311">
        <v>289</v>
      </c>
      <c r="AB6214" t="str">
        <f>IF(Table1[[#This Row],[TIPO2]]="costo", VLOOKUP(Table1[[#This Row],[PARTIDA PRESUPUESTAL]],'Cost Report'!G:G,1,0),"Balance")</f>
        <v>2014-016</v>
      </c>
      <c r="AD6214" s="159">
        <f>+Table1[[#This Row],[SUBTOTAL]]+Table1[[#This Row],[IVA]]-Table1[[#This Row],[RET IVA]]-Table1[[#This Row],[RET ISR]]-Table1[[#This Row],[TOTAL]]</f>
        <v>0</v>
      </c>
      <c r="AK6214" s="306">
        <f>IF(ISNUMBER(Table1[[#This Row],[FECHA DE RECIBIDO]]), Table1[[#This Row],[FECHA DE RECIBIDO]]-DATE(2023,8,30), "")</f>
        <v>-44888.497650462959</v>
      </c>
    </row>
    <row r="6215" spans="1:37" ht="16.05" customHeight="1">
      <c r="A6215" s="172" t="s">
        <v>5225</v>
      </c>
      <c r="B6215" s="178">
        <v>2194</v>
      </c>
      <c r="C6215" s="179" t="s">
        <v>506</v>
      </c>
      <c r="D6215">
        <v>4240</v>
      </c>
      <c r="E6215" s="125">
        <v>45645</v>
      </c>
      <c r="F6215" s="178">
        <v>626</v>
      </c>
      <c r="G6215" s="178" t="s">
        <v>109</v>
      </c>
      <c r="H6215">
        <v>918</v>
      </c>
      <c r="I6215" s="178" t="s">
        <v>1546</v>
      </c>
      <c r="J6215" s="320">
        <v>279.54416666666657</v>
      </c>
      <c r="K6215" s="178" t="s">
        <v>5322</v>
      </c>
      <c r="L6215" s="125" t="s">
        <v>110</v>
      </c>
      <c r="M6215">
        <v>1280</v>
      </c>
      <c r="N6215" s="182">
        <v>223</v>
      </c>
      <c r="O6215">
        <v>4070</v>
      </c>
      <c r="P6215" s="132" t="s">
        <v>77</v>
      </c>
      <c r="Q6215" s="176">
        <v>5000</v>
      </c>
      <c r="R6215" s="176">
        <v>800</v>
      </c>
      <c r="S6215" s="176"/>
      <c r="T6215" s="190">
        <v>533.5</v>
      </c>
      <c r="U6215" s="191">
        <v>62.5</v>
      </c>
      <c r="V6215" s="191">
        <v>5204</v>
      </c>
      <c r="W6215">
        <v>450</v>
      </c>
      <c r="X6215" s="186" t="s">
        <v>1431</v>
      </c>
      <c r="Y6215" s="187" t="s">
        <v>55</v>
      </c>
      <c r="Z6215" s="311">
        <v>289</v>
      </c>
      <c r="AB6215" t="str">
        <f>IF(Table1[[#This Row],[TIPO2]]="costo", VLOOKUP(Table1[[#This Row],[PARTIDA PRESUPUESTAL]],'Cost Report'!G:G,1,0),"Balance")</f>
        <v>2020-027</v>
      </c>
      <c r="AD6215" s="159">
        <f>+Table1[[#This Row],[SUBTOTAL]]+Table1[[#This Row],[IVA]]-Table1[[#This Row],[RET IVA]]-Table1[[#This Row],[RET ISR]]-Table1[[#This Row],[TOTAL]]</f>
        <v>0</v>
      </c>
      <c r="AK6215" s="306">
        <f>IF(ISNUMBER(Table1[[#This Row],[FECHA DE RECIBIDO]]), Table1[[#This Row],[FECHA DE RECIBIDO]]-DATE(2023,8,30), "")</f>
        <v>-44888.455833333333</v>
      </c>
    </row>
    <row r="6216" spans="1:37" ht="16.05" customHeight="1">
      <c r="A6216" s="172" t="s">
        <v>5226</v>
      </c>
      <c r="B6216" s="178">
        <v>2195</v>
      </c>
      <c r="C6216" s="179" t="s">
        <v>506</v>
      </c>
      <c r="D6216">
        <v>4241</v>
      </c>
      <c r="E6216" s="125">
        <v>45645</v>
      </c>
      <c r="F6216" s="178">
        <v>626</v>
      </c>
      <c r="G6216" s="178" t="s">
        <v>109</v>
      </c>
      <c r="H6216">
        <v>918</v>
      </c>
      <c r="I6216" s="178" t="s">
        <v>1546</v>
      </c>
      <c r="J6216" s="320">
        <v>279.54642361111473</v>
      </c>
      <c r="K6216" s="178" t="s">
        <v>5322</v>
      </c>
      <c r="L6216" s="125" t="s">
        <v>110</v>
      </c>
      <c r="M6216">
        <v>1280</v>
      </c>
      <c r="N6216" s="182">
        <v>223</v>
      </c>
      <c r="O6216">
        <v>4071</v>
      </c>
      <c r="P6216" s="132" t="s">
        <v>77</v>
      </c>
      <c r="Q6216" s="176">
        <v>3500</v>
      </c>
      <c r="R6216" s="176">
        <v>560</v>
      </c>
      <c r="S6216" s="176"/>
      <c r="T6216" s="190">
        <v>373.45</v>
      </c>
      <c r="U6216" s="191">
        <v>43.75</v>
      </c>
      <c r="V6216" s="191">
        <v>3642.8</v>
      </c>
      <c r="W6216">
        <v>450</v>
      </c>
      <c r="X6216" s="186" t="s">
        <v>1431</v>
      </c>
      <c r="Y6216" s="187" t="s">
        <v>55</v>
      </c>
      <c r="Z6216" s="311">
        <v>289</v>
      </c>
      <c r="AB6216" t="str">
        <f>IF(Table1[[#This Row],[TIPO2]]="costo", VLOOKUP(Table1[[#This Row],[PARTIDA PRESUPUESTAL]],'Cost Report'!G:G,1,0),"Balance")</f>
        <v>2020-027</v>
      </c>
      <c r="AD6216" s="159">
        <f>+Table1[[#This Row],[SUBTOTAL]]+Table1[[#This Row],[IVA]]-Table1[[#This Row],[RET IVA]]-Table1[[#This Row],[RET ISR]]-Table1[[#This Row],[TOTAL]]</f>
        <v>0</v>
      </c>
      <c r="AK6216" s="306">
        <f>IF(ISNUMBER(Table1[[#This Row],[FECHA DE RECIBIDO]]), Table1[[#This Row],[FECHA DE RECIBIDO]]-DATE(2023,8,30), "")</f>
        <v>-44888.453576388885</v>
      </c>
    </row>
    <row r="6217" spans="1:37" ht="16.05" customHeight="1">
      <c r="A6217" s="172" t="s">
        <v>5227</v>
      </c>
      <c r="B6217" s="178">
        <v>2196</v>
      </c>
      <c r="C6217" s="179" t="s">
        <v>1727</v>
      </c>
      <c r="D6217">
        <v>4242</v>
      </c>
      <c r="E6217" s="125">
        <v>45019</v>
      </c>
      <c r="F6217" s="178">
        <v>626</v>
      </c>
      <c r="G6217" s="178" t="s">
        <v>109</v>
      </c>
      <c r="H6217">
        <v>197</v>
      </c>
      <c r="I6217" s="178" t="s">
        <v>1546</v>
      </c>
      <c r="J6217" s="320">
        <v>280.67603009259619</v>
      </c>
      <c r="K6217" s="178" t="s">
        <v>5322</v>
      </c>
      <c r="L6217" s="125" t="s">
        <v>110</v>
      </c>
      <c r="M6217">
        <v>262</v>
      </c>
      <c r="N6217" s="182">
        <v>62</v>
      </c>
      <c r="O6217">
        <v>4072</v>
      </c>
      <c r="P6217" s="132" t="s">
        <v>77</v>
      </c>
      <c r="Q6217" s="176">
        <v>36000</v>
      </c>
      <c r="R6217" s="176">
        <v>5760</v>
      </c>
      <c r="S6217" s="176"/>
      <c r="T6217" s="190">
        <v>3840</v>
      </c>
      <c r="U6217" s="191">
        <v>450</v>
      </c>
      <c r="V6217" s="191">
        <v>37470</v>
      </c>
      <c r="W6217">
        <v>118</v>
      </c>
      <c r="X6217" s="186" t="s">
        <v>1429</v>
      </c>
      <c r="Y6217" s="187" t="s">
        <v>55</v>
      </c>
      <c r="Z6217" s="311">
        <v>289</v>
      </c>
      <c r="AB6217" t="str">
        <f>IF(Table1[[#This Row],[TIPO2]]="costo", VLOOKUP(Table1[[#This Row],[PARTIDA PRESUPUESTAL]],'Cost Report'!G:G,1,0),"Balance")</f>
        <v>2014-011</v>
      </c>
      <c r="AD6217" s="159">
        <f>+Table1[[#This Row],[SUBTOTAL]]+Table1[[#This Row],[IVA]]-Table1[[#This Row],[RET IVA]]-Table1[[#This Row],[RET ISR]]-Table1[[#This Row],[TOTAL]]</f>
        <v>0</v>
      </c>
      <c r="AK6217" s="306">
        <f>IF(ISNUMBER(Table1[[#This Row],[FECHA DE RECIBIDO]]), Table1[[#This Row],[FECHA DE RECIBIDO]]-DATE(2023,8,30), "")</f>
        <v>-44887.323969907404</v>
      </c>
    </row>
    <row r="6218" spans="1:37" ht="16.05" customHeight="1">
      <c r="A6218" s="172" t="s">
        <v>5228</v>
      </c>
      <c r="B6218" s="178">
        <v>2197</v>
      </c>
      <c r="C6218" s="179" t="s">
        <v>2383</v>
      </c>
      <c r="D6218">
        <v>4243</v>
      </c>
      <c r="E6218" s="125">
        <v>97138</v>
      </c>
      <c r="F6218" s="178">
        <v>612</v>
      </c>
      <c r="G6218" s="178" t="s">
        <v>129</v>
      </c>
      <c r="H6218">
        <v>1012</v>
      </c>
      <c r="I6218" s="178" t="s">
        <v>1546</v>
      </c>
      <c r="J6218" s="320">
        <v>278.83201388888847</v>
      </c>
      <c r="K6218" s="178" t="s">
        <v>5322</v>
      </c>
      <c r="L6218" s="125" t="s">
        <v>110</v>
      </c>
      <c r="M6218">
        <v>1407</v>
      </c>
      <c r="N6218" s="182">
        <v>247</v>
      </c>
      <c r="O6218">
        <v>4073</v>
      </c>
      <c r="P6218" s="132" t="s">
        <v>77</v>
      </c>
      <c r="Q6218" s="176">
        <v>45000</v>
      </c>
      <c r="R6218" s="176">
        <v>7200</v>
      </c>
      <c r="S6218" s="176"/>
      <c r="T6218" s="190">
        <v>4800</v>
      </c>
      <c r="U6218" s="191">
        <v>4500</v>
      </c>
      <c r="V6218" s="191">
        <v>42900</v>
      </c>
      <c r="W6218">
        <v>487</v>
      </c>
      <c r="X6218" s="186" t="s">
        <v>1429</v>
      </c>
      <c r="Y6218" s="187" t="s">
        <v>55</v>
      </c>
      <c r="Z6218" s="311">
        <v>289</v>
      </c>
      <c r="AB6218" t="str">
        <f>IF(Table1[[#This Row],[TIPO2]]="costo", VLOOKUP(Table1[[#This Row],[PARTIDA PRESUPUESTAL]],'Cost Report'!G:G,1,0),"Balance")</f>
        <v>2005-020</v>
      </c>
      <c r="AD6218" s="159">
        <f>+Table1[[#This Row],[SUBTOTAL]]+Table1[[#This Row],[IVA]]-Table1[[#This Row],[RET IVA]]-Table1[[#This Row],[RET ISR]]-Table1[[#This Row],[TOTAL]]</f>
        <v>0</v>
      </c>
      <c r="AK6218" s="306">
        <f>IF(ISNUMBER(Table1[[#This Row],[FECHA DE RECIBIDO]]), Table1[[#This Row],[FECHA DE RECIBIDO]]-DATE(2023,8,30), "")</f>
        <v>-44889.167986111112</v>
      </c>
    </row>
    <row r="6219" spans="1:37" ht="16.05" customHeight="1">
      <c r="A6219" s="172" t="s">
        <v>5229</v>
      </c>
      <c r="B6219" s="178">
        <v>2198</v>
      </c>
      <c r="C6219" s="179" t="s">
        <v>2775</v>
      </c>
      <c r="D6219">
        <v>4244</v>
      </c>
      <c r="E6219" s="125">
        <v>44890</v>
      </c>
      <c r="F6219" s="178">
        <v>612</v>
      </c>
      <c r="G6219" s="178" t="s">
        <v>129</v>
      </c>
      <c r="H6219">
        <v>8</v>
      </c>
      <c r="I6219" s="178" t="s">
        <v>1546</v>
      </c>
      <c r="J6219" s="320">
        <v>278.69914351851912</v>
      </c>
      <c r="K6219" s="178" t="s">
        <v>5322</v>
      </c>
      <c r="L6219" s="125" t="s">
        <v>110</v>
      </c>
      <c r="M6219">
        <v>11</v>
      </c>
      <c r="N6219" s="182">
        <v>9</v>
      </c>
      <c r="O6219">
        <v>4074</v>
      </c>
      <c r="P6219" s="132" t="s">
        <v>77</v>
      </c>
      <c r="Q6219" s="176">
        <v>7000</v>
      </c>
      <c r="R6219" s="176">
        <v>1120</v>
      </c>
      <c r="S6219" s="176"/>
      <c r="T6219" s="190">
        <v>746.67</v>
      </c>
      <c r="U6219" s="191">
        <v>700</v>
      </c>
      <c r="V6219" s="191">
        <v>6673.33</v>
      </c>
      <c r="W6219">
        <v>6</v>
      </c>
      <c r="X6219" s="186" t="s">
        <v>1430</v>
      </c>
      <c r="Y6219" s="187" t="s">
        <v>55</v>
      </c>
      <c r="Z6219" s="311">
        <v>289</v>
      </c>
      <c r="AB6219" t="str">
        <f>IF(Table1[[#This Row],[TIPO2]]="costo", VLOOKUP(Table1[[#This Row],[PARTIDA PRESUPUESTAL]],'Cost Report'!G:G,1,0),"Balance")</f>
        <v>3402-006</v>
      </c>
      <c r="AD6219" s="159">
        <f>+Table1[[#This Row],[SUBTOTAL]]+Table1[[#This Row],[IVA]]-Table1[[#This Row],[RET IVA]]-Table1[[#This Row],[RET ISR]]-Table1[[#This Row],[TOTAL]]</f>
        <v>0</v>
      </c>
      <c r="AK6219" s="306">
        <f>IF(ISNUMBER(Table1[[#This Row],[FECHA DE RECIBIDO]]), Table1[[#This Row],[FECHA DE RECIBIDO]]-DATE(2023,8,30), "")</f>
        <v>-44889.300856481481</v>
      </c>
    </row>
    <row r="6220" spans="1:37" ht="16.05" customHeight="1">
      <c r="A6220" s="172" t="s">
        <v>5230</v>
      </c>
      <c r="B6220" s="178">
        <v>2199</v>
      </c>
      <c r="C6220" s="179" t="s">
        <v>958</v>
      </c>
      <c r="D6220">
        <v>4245</v>
      </c>
      <c r="E6220" s="125">
        <v>45050</v>
      </c>
      <c r="F6220" s="178">
        <v>612</v>
      </c>
      <c r="G6220" s="178" t="s">
        <v>129</v>
      </c>
      <c r="H6220">
        <v>500</v>
      </c>
      <c r="I6220" s="178" t="s">
        <v>1546</v>
      </c>
      <c r="J6220" s="320">
        <v>278.86665509259183</v>
      </c>
      <c r="K6220" s="178" t="s">
        <v>5322</v>
      </c>
      <c r="L6220" s="125" t="s">
        <v>110</v>
      </c>
      <c r="M6220">
        <v>724</v>
      </c>
      <c r="N6220" s="182">
        <v>129</v>
      </c>
      <c r="O6220">
        <v>4075</v>
      </c>
      <c r="P6220" s="132" t="s">
        <v>77</v>
      </c>
      <c r="Q6220" s="176">
        <v>10000</v>
      </c>
      <c r="R6220" s="176">
        <v>1600</v>
      </c>
      <c r="S6220" s="176"/>
      <c r="T6220" s="190">
        <v>1066.67</v>
      </c>
      <c r="U6220" s="191">
        <v>1000</v>
      </c>
      <c r="V6220" s="191">
        <v>9533.33</v>
      </c>
      <c r="W6220">
        <v>272</v>
      </c>
      <c r="X6220" s="186" t="s">
        <v>1429</v>
      </c>
      <c r="Y6220" s="187" t="s">
        <v>55</v>
      </c>
      <c r="Z6220" s="311">
        <v>289</v>
      </c>
      <c r="AB6220" t="str">
        <f>IF(Table1[[#This Row],[TIPO2]]="costo", VLOOKUP(Table1[[#This Row],[PARTIDA PRESUPUESTAL]],'Cost Report'!G:G,1,0),"Balance")</f>
        <v>3403-020</v>
      </c>
      <c r="AD6220" s="159">
        <f>+Table1[[#This Row],[SUBTOTAL]]+Table1[[#This Row],[IVA]]-Table1[[#This Row],[RET IVA]]-Table1[[#This Row],[RET ISR]]-Table1[[#This Row],[TOTAL]]</f>
        <v>0</v>
      </c>
      <c r="AK6220" s="306">
        <f>IF(ISNUMBER(Table1[[#This Row],[FECHA DE RECIBIDO]]), Table1[[#This Row],[FECHA DE RECIBIDO]]-DATE(2023,8,30), "")</f>
        <v>-44889.133344907408</v>
      </c>
    </row>
    <row r="6221" spans="1:37" ht="16.05" customHeight="1">
      <c r="A6221" s="172" t="s">
        <v>5231</v>
      </c>
      <c r="B6221" s="178">
        <v>2200</v>
      </c>
      <c r="C6221" s="179" t="s">
        <v>2784</v>
      </c>
      <c r="D6221">
        <v>4246</v>
      </c>
      <c r="E6221" s="125">
        <v>34200</v>
      </c>
      <c r="F6221" s="178">
        <v>612</v>
      </c>
      <c r="G6221" s="178" t="s">
        <v>129</v>
      </c>
      <c r="H6221">
        <v>499</v>
      </c>
      <c r="I6221" s="178" t="s">
        <v>1546</v>
      </c>
      <c r="J6221" s="320">
        <v>280.48140046296612</v>
      </c>
      <c r="K6221" s="178" t="s">
        <v>5322</v>
      </c>
      <c r="L6221" s="125" t="s">
        <v>110</v>
      </c>
      <c r="M6221">
        <v>723</v>
      </c>
      <c r="N6221" s="182">
        <v>128</v>
      </c>
      <c r="O6221">
        <v>4076</v>
      </c>
      <c r="P6221" s="132" t="s">
        <v>77</v>
      </c>
      <c r="Q6221" s="176">
        <v>2940</v>
      </c>
      <c r="R6221" s="176">
        <v>470.4</v>
      </c>
      <c r="S6221" s="176"/>
      <c r="T6221" s="190">
        <v>313.60000000000002</v>
      </c>
      <c r="U6221" s="191">
        <v>294</v>
      </c>
      <c r="V6221" s="191">
        <v>2802.8</v>
      </c>
      <c r="W6221">
        <v>271</v>
      </c>
      <c r="X6221" s="186" t="s">
        <v>1429</v>
      </c>
      <c r="Y6221" s="187" t="s">
        <v>55</v>
      </c>
      <c r="Z6221" s="311">
        <v>289</v>
      </c>
      <c r="AB6221" t="str">
        <f>IF(Table1[[#This Row],[TIPO2]]="costo", VLOOKUP(Table1[[#This Row],[PARTIDA PRESUPUESTAL]],'Cost Report'!G:G,1,0),"Balance")</f>
        <v>3403-038</v>
      </c>
      <c r="AD6221" s="159">
        <f>+Table1[[#This Row],[SUBTOTAL]]+Table1[[#This Row],[IVA]]-Table1[[#This Row],[RET IVA]]-Table1[[#This Row],[RET ISR]]-Table1[[#This Row],[TOTAL]]</f>
        <v>0</v>
      </c>
      <c r="AK6221" s="306">
        <f>IF(ISNUMBER(Table1[[#This Row],[FECHA DE RECIBIDO]]), Table1[[#This Row],[FECHA DE RECIBIDO]]-DATE(2023,8,30), "")</f>
        <v>-44887.518599537034</v>
      </c>
    </row>
    <row r="6222" spans="1:37" ht="16.05" customHeight="1">
      <c r="A6222" s="172" t="s">
        <v>5232</v>
      </c>
      <c r="B6222" s="178">
        <v>2201</v>
      </c>
      <c r="C6222" s="179" t="s">
        <v>948</v>
      </c>
      <c r="D6222">
        <v>4247</v>
      </c>
      <c r="E6222" s="125">
        <v>63157</v>
      </c>
      <c r="F6222" s="178">
        <v>612</v>
      </c>
      <c r="G6222" s="178" t="s">
        <v>129</v>
      </c>
      <c r="H6222">
        <v>64</v>
      </c>
      <c r="I6222" s="178" t="s">
        <v>1546</v>
      </c>
      <c r="J6222" s="320">
        <v>280.48280092592904</v>
      </c>
      <c r="K6222" s="178" t="s">
        <v>5322</v>
      </c>
      <c r="L6222" s="125" t="s">
        <v>110</v>
      </c>
      <c r="M6222">
        <v>87</v>
      </c>
      <c r="N6222" s="182">
        <v>24</v>
      </c>
      <c r="O6222">
        <v>4077</v>
      </c>
      <c r="P6222" s="132" t="s">
        <v>77</v>
      </c>
      <c r="Q6222" s="176">
        <v>37800</v>
      </c>
      <c r="R6222" s="176">
        <v>6048</v>
      </c>
      <c r="S6222" s="176"/>
      <c r="T6222" s="190">
        <v>4032</v>
      </c>
      <c r="U6222" s="191">
        <v>3780</v>
      </c>
      <c r="V6222" s="191">
        <v>36036</v>
      </c>
      <c r="W6222">
        <v>46</v>
      </c>
      <c r="X6222" s="186" t="s">
        <v>1429</v>
      </c>
      <c r="Y6222" s="187" t="s">
        <v>55</v>
      </c>
      <c r="Z6222" s="311">
        <v>289</v>
      </c>
      <c r="AB6222" t="str">
        <f>IF(Table1[[#This Row],[TIPO2]]="costo", VLOOKUP(Table1[[#This Row],[PARTIDA PRESUPUESTAL]],'Cost Report'!G:G,1,0),"Balance")</f>
        <v>3403-004</v>
      </c>
      <c r="AD6222" s="159">
        <f>+Table1[[#This Row],[SUBTOTAL]]+Table1[[#This Row],[IVA]]-Table1[[#This Row],[RET IVA]]-Table1[[#This Row],[RET ISR]]-Table1[[#This Row],[TOTAL]]</f>
        <v>0</v>
      </c>
      <c r="AK6222" s="306">
        <f>IF(ISNUMBER(Table1[[#This Row],[FECHA DE RECIBIDO]]), Table1[[#This Row],[FECHA DE RECIBIDO]]-DATE(2023,8,30), "")</f>
        <v>-44887.517199074071</v>
      </c>
    </row>
    <row r="6223" spans="1:37" ht="16.05" customHeight="1">
      <c r="A6223" s="172" t="s">
        <v>5233</v>
      </c>
      <c r="B6223" s="178">
        <v>2202</v>
      </c>
      <c r="C6223" s="179" t="s">
        <v>949</v>
      </c>
      <c r="D6223">
        <v>4248</v>
      </c>
      <c r="E6223" s="125">
        <v>63157</v>
      </c>
      <c r="F6223" s="178">
        <v>612</v>
      </c>
      <c r="G6223" s="178" t="s">
        <v>129</v>
      </c>
      <c r="H6223">
        <v>64</v>
      </c>
      <c r="I6223" s="178" t="s">
        <v>1546</v>
      </c>
      <c r="J6223" s="320">
        <v>280.48906249999709</v>
      </c>
      <c r="K6223" s="178" t="s">
        <v>5322</v>
      </c>
      <c r="L6223" s="125" t="s">
        <v>110</v>
      </c>
      <c r="M6223">
        <v>87</v>
      </c>
      <c r="N6223" s="182">
        <v>24</v>
      </c>
      <c r="O6223">
        <v>4078</v>
      </c>
      <c r="P6223" s="132" t="s">
        <v>77</v>
      </c>
      <c r="Q6223" s="176">
        <v>12600</v>
      </c>
      <c r="R6223" s="176">
        <v>2016</v>
      </c>
      <c r="S6223" s="176"/>
      <c r="T6223" s="190">
        <v>1344</v>
      </c>
      <c r="U6223" s="191">
        <v>1260</v>
      </c>
      <c r="V6223" s="191">
        <v>12012</v>
      </c>
      <c r="W6223">
        <v>46</v>
      </c>
      <c r="X6223" s="186" t="s">
        <v>1429</v>
      </c>
      <c r="Y6223" s="187" t="s">
        <v>55</v>
      </c>
      <c r="Z6223" s="311">
        <v>289</v>
      </c>
      <c r="AB6223" t="str">
        <f>IF(Table1[[#This Row],[TIPO2]]="costo", VLOOKUP(Table1[[#This Row],[PARTIDA PRESUPUESTAL]],'Cost Report'!G:G,1,0),"Balance")</f>
        <v>3403-005</v>
      </c>
      <c r="AD6223" s="159">
        <f>+Table1[[#This Row],[SUBTOTAL]]+Table1[[#This Row],[IVA]]-Table1[[#This Row],[RET IVA]]-Table1[[#This Row],[RET ISR]]-Table1[[#This Row],[TOTAL]]</f>
        <v>0</v>
      </c>
      <c r="AK6223" s="306">
        <f>IF(ISNUMBER(Table1[[#This Row],[FECHA DE RECIBIDO]]), Table1[[#This Row],[FECHA DE RECIBIDO]]-DATE(2023,8,30), "")</f>
        <v>-44887.510937500003</v>
      </c>
    </row>
    <row r="6224" spans="1:37" ht="16.05" customHeight="1">
      <c r="A6224" s="172" t="s">
        <v>5234</v>
      </c>
      <c r="B6224" s="178">
        <v>2203</v>
      </c>
      <c r="C6224" s="179" t="s">
        <v>949</v>
      </c>
      <c r="D6224">
        <v>4249</v>
      </c>
      <c r="E6224" s="125">
        <v>63157</v>
      </c>
      <c r="F6224" s="178">
        <v>612</v>
      </c>
      <c r="G6224" s="178" t="s">
        <v>129</v>
      </c>
      <c r="H6224">
        <v>64</v>
      </c>
      <c r="I6224" s="178" t="s">
        <v>1546</v>
      </c>
      <c r="J6224" s="320">
        <v>280.49195601851534</v>
      </c>
      <c r="K6224" s="178" t="s">
        <v>5322</v>
      </c>
      <c r="L6224" s="125" t="s">
        <v>110</v>
      </c>
      <c r="M6224">
        <v>87</v>
      </c>
      <c r="N6224" s="182">
        <v>24</v>
      </c>
      <c r="O6224">
        <v>4079</v>
      </c>
      <c r="P6224" s="132" t="s">
        <v>77</v>
      </c>
      <c r="Q6224" s="176">
        <v>12600</v>
      </c>
      <c r="R6224" s="176">
        <v>2016</v>
      </c>
      <c r="S6224" s="176"/>
      <c r="T6224" s="190">
        <v>1344</v>
      </c>
      <c r="U6224" s="191">
        <v>1260</v>
      </c>
      <c r="V6224" s="191">
        <v>12012</v>
      </c>
      <c r="W6224">
        <v>46</v>
      </c>
      <c r="X6224" s="186" t="s">
        <v>1429</v>
      </c>
      <c r="Y6224" s="187" t="s">
        <v>55</v>
      </c>
      <c r="Z6224" s="311">
        <v>289</v>
      </c>
      <c r="AB6224" t="str">
        <f>IF(Table1[[#This Row],[TIPO2]]="costo", VLOOKUP(Table1[[#This Row],[PARTIDA PRESUPUESTAL]],'Cost Report'!G:G,1,0),"Balance")</f>
        <v>3403-005</v>
      </c>
      <c r="AD6224" s="159">
        <f>+Table1[[#This Row],[SUBTOTAL]]+Table1[[#This Row],[IVA]]-Table1[[#This Row],[RET IVA]]-Table1[[#This Row],[RET ISR]]-Table1[[#This Row],[TOTAL]]</f>
        <v>0</v>
      </c>
      <c r="AK6224" s="306">
        <f>IF(ISNUMBER(Table1[[#This Row],[FECHA DE RECIBIDO]]), Table1[[#This Row],[FECHA DE RECIBIDO]]-DATE(2023,8,30), "")</f>
        <v>-44887.508043981485</v>
      </c>
    </row>
    <row r="6225" spans="1:37" ht="16.05" customHeight="1">
      <c r="A6225" s="172" t="s">
        <v>5235</v>
      </c>
      <c r="B6225" s="178">
        <v>2204</v>
      </c>
      <c r="C6225" s="179" t="s">
        <v>949</v>
      </c>
      <c r="D6225">
        <v>4250</v>
      </c>
      <c r="E6225" s="125">
        <v>63157</v>
      </c>
      <c r="F6225" s="178">
        <v>612</v>
      </c>
      <c r="G6225" s="178" t="s">
        <v>129</v>
      </c>
      <c r="H6225">
        <v>64</v>
      </c>
      <c r="I6225" s="178" t="s">
        <v>1546</v>
      </c>
      <c r="J6225" s="320">
        <v>280.49479166666424</v>
      </c>
      <c r="K6225" s="178" t="s">
        <v>5322</v>
      </c>
      <c r="L6225" s="125" t="s">
        <v>110</v>
      </c>
      <c r="M6225">
        <v>87</v>
      </c>
      <c r="N6225" s="182">
        <v>24</v>
      </c>
      <c r="O6225">
        <v>4080</v>
      </c>
      <c r="P6225" s="132" t="s">
        <v>77</v>
      </c>
      <c r="Q6225" s="176">
        <v>12600</v>
      </c>
      <c r="R6225" s="176">
        <v>2016</v>
      </c>
      <c r="S6225" s="176"/>
      <c r="T6225" s="190">
        <v>1344</v>
      </c>
      <c r="U6225" s="191">
        <v>1260</v>
      </c>
      <c r="V6225" s="191">
        <v>12012</v>
      </c>
      <c r="W6225">
        <v>46</v>
      </c>
      <c r="X6225" s="186" t="s">
        <v>1429</v>
      </c>
      <c r="Y6225" s="187" t="s">
        <v>55</v>
      </c>
      <c r="Z6225" s="311">
        <v>289</v>
      </c>
      <c r="AB6225" t="str">
        <f>IF(Table1[[#This Row],[TIPO2]]="costo", VLOOKUP(Table1[[#This Row],[PARTIDA PRESUPUESTAL]],'Cost Report'!G:G,1,0),"Balance")</f>
        <v>3403-005</v>
      </c>
      <c r="AD6225" s="159">
        <f>+Table1[[#This Row],[SUBTOTAL]]+Table1[[#This Row],[IVA]]-Table1[[#This Row],[RET IVA]]-Table1[[#This Row],[RET ISR]]-Table1[[#This Row],[TOTAL]]</f>
        <v>0</v>
      </c>
      <c r="AK6225" s="306">
        <f>IF(ISNUMBER(Table1[[#This Row],[FECHA DE RECIBIDO]]), Table1[[#This Row],[FECHA DE RECIBIDO]]-DATE(2023,8,30), "")</f>
        <v>-44887.505208333336</v>
      </c>
    </row>
    <row r="6226" spans="1:37" ht="16.05" customHeight="1">
      <c r="A6226" s="172" t="s">
        <v>5236</v>
      </c>
      <c r="B6226" s="178">
        <v>2205</v>
      </c>
      <c r="C6226" s="179" t="s">
        <v>550</v>
      </c>
      <c r="D6226">
        <v>4251</v>
      </c>
      <c r="E6226" s="125">
        <v>45110</v>
      </c>
      <c r="F6226" s="178">
        <v>612</v>
      </c>
      <c r="G6226" s="178" t="s">
        <v>129</v>
      </c>
      <c r="H6226">
        <v>28</v>
      </c>
      <c r="I6226" s="178" t="s">
        <v>1546</v>
      </c>
      <c r="J6226" s="320">
        <v>278.60787037036789</v>
      </c>
      <c r="K6226" s="178" t="s">
        <v>5322</v>
      </c>
      <c r="L6226" s="125" t="s">
        <v>110</v>
      </c>
      <c r="M6226">
        <v>37</v>
      </c>
      <c r="N6226" s="182">
        <v>14</v>
      </c>
      <c r="O6226">
        <v>4081</v>
      </c>
      <c r="P6226" s="132" t="s">
        <v>77</v>
      </c>
      <c r="Q6226" s="176">
        <v>15750</v>
      </c>
      <c r="R6226" s="176">
        <v>2520</v>
      </c>
      <c r="S6226" s="176"/>
      <c r="T6226" s="190">
        <v>1680.01</v>
      </c>
      <c r="U6226" s="191">
        <v>1575</v>
      </c>
      <c r="V6226" s="191">
        <v>15014.990000000002</v>
      </c>
      <c r="W6226">
        <v>30</v>
      </c>
      <c r="X6226" s="186" t="s">
        <v>1432</v>
      </c>
      <c r="Y6226" s="187" t="s">
        <v>55</v>
      </c>
      <c r="Z6226" s="311">
        <v>289</v>
      </c>
      <c r="AB6226" t="str">
        <f>IF(Table1[[#This Row],[TIPO2]]="costo", VLOOKUP(Table1[[#This Row],[PARTIDA PRESUPUESTAL]],'Cost Report'!G:G,1,0),"Balance")</f>
        <v>2206-005</v>
      </c>
      <c r="AD6226" s="159">
        <f>+Table1[[#This Row],[SUBTOTAL]]+Table1[[#This Row],[IVA]]-Table1[[#This Row],[RET IVA]]-Table1[[#This Row],[RET ISR]]-Table1[[#This Row],[TOTAL]]</f>
        <v>0</v>
      </c>
      <c r="AK6226" s="306">
        <f>IF(ISNUMBER(Table1[[#This Row],[FECHA DE RECIBIDO]]), Table1[[#This Row],[FECHA DE RECIBIDO]]-DATE(2023,8,30), "")</f>
        <v>-44889.392129629632</v>
      </c>
    </row>
    <row r="6227" spans="1:37" ht="16.05" customHeight="1">
      <c r="A6227" s="172" t="s">
        <v>5237</v>
      </c>
      <c r="B6227" s="178">
        <v>2206</v>
      </c>
      <c r="C6227" s="179" t="s">
        <v>2527</v>
      </c>
      <c r="D6227">
        <v>4252</v>
      </c>
      <c r="E6227" s="125">
        <v>14479</v>
      </c>
      <c r="F6227" s="178">
        <v>626</v>
      </c>
      <c r="G6227" s="178" t="s">
        <v>109</v>
      </c>
      <c r="H6227">
        <v>112</v>
      </c>
      <c r="I6227" s="178" t="s">
        <v>1546</v>
      </c>
      <c r="J6227" s="320">
        <v>278.81723379629693</v>
      </c>
      <c r="K6227" s="178" t="s">
        <v>5322</v>
      </c>
      <c r="L6227" s="125" t="s">
        <v>110</v>
      </c>
      <c r="M6227">
        <v>150</v>
      </c>
      <c r="N6227" s="182">
        <v>42</v>
      </c>
      <c r="O6227">
        <v>4082</v>
      </c>
      <c r="P6227" s="132" t="s">
        <v>77</v>
      </c>
      <c r="Q6227" s="176">
        <v>10000</v>
      </c>
      <c r="R6227" s="176">
        <v>1600</v>
      </c>
      <c r="S6227" s="176"/>
      <c r="T6227" s="190">
        <v>1066.67</v>
      </c>
      <c r="U6227" s="191">
        <v>125</v>
      </c>
      <c r="V6227" s="191">
        <v>10408.33</v>
      </c>
      <c r="W6227">
        <v>74</v>
      </c>
      <c r="X6227" s="186" t="s">
        <v>1429</v>
      </c>
      <c r="Y6227" s="187" t="s">
        <v>55</v>
      </c>
      <c r="Z6227" s="311">
        <v>289</v>
      </c>
      <c r="AB6227" t="str">
        <f>IF(Table1[[#This Row],[TIPO2]]="costo", VLOOKUP(Table1[[#This Row],[PARTIDA PRESUPUESTAL]],'Cost Report'!G:G,1,0),"Balance")</f>
        <v>2405-025</v>
      </c>
      <c r="AD6227" s="159">
        <f>+Table1[[#This Row],[SUBTOTAL]]+Table1[[#This Row],[IVA]]-Table1[[#This Row],[RET IVA]]-Table1[[#This Row],[RET ISR]]-Table1[[#This Row],[TOTAL]]</f>
        <v>0</v>
      </c>
      <c r="AK6227" s="306">
        <f>IF(ISNUMBER(Table1[[#This Row],[FECHA DE RECIBIDO]]), Table1[[#This Row],[FECHA DE RECIBIDO]]-DATE(2023,8,30), "")</f>
        <v>-44889.182766203703</v>
      </c>
    </row>
    <row r="6228" spans="1:37" ht="16.05" customHeight="1">
      <c r="A6228" s="172" t="s">
        <v>5238</v>
      </c>
      <c r="B6228" s="178">
        <v>2207</v>
      </c>
      <c r="C6228" s="179" t="s">
        <v>2527</v>
      </c>
      <c r="D6228">
        <v>4253</v>
      </c>
      <c r="E6228" s="125">
        <v>14479</v>
      </c>
      <c r="F6228" s="178">
        <v>626</v>
      </c>
      <c r="G6228" s="178" t="s">
        <v>109</v>
      </c>
      <c r="H6228">
        <v>112</v>
      </c>
      <c r="I6228" s="178" t="s">
        <v>1546</v>
      </c>
      <c r="J6228" s="320">
        <v>278.81946759259154</v>
      </c>
      <c r="K6228" s="178" t="s">
        <v>5322</v>
      </c>
      <c r="L6228" s="125" t="s">
        <v>110</v>
      </c>
      <c r="M6228">
        <v>150</v>
      </c>
      <c r="N6228" s="182">
        <v>42</v>
      </c>
      <c r="O6228">
        <v>4083</v>
      </c>
      <c r="P6228" s="132" t="s">
        <v>77</v>
      </c>
      <c r="Q6228" s="176">
        <v>3415</v>
      </c>
      <c r="R6228" s="176">
        <v>546.4</v>
      </c>
      <c r="S6228" s="176"/>
      <c r="T6228" s="190">
        <v>364.27</v>
      </c>
      <c r="U6228" s="191">
        <v>42.69</v>
      </c>
      <c r="V6228" s="191">
        <v>3554.44</v>
      </c>
      <c r="W6228">
        <v>74</v>
      </c>
      <c r="X6228" s="186" t="s">
        <v>1429</v>
      </c>
      <c r="Y6228" s="187" t="s">
        <v>55</v>
      </c>
      <c r="Z6228" s="311">
        <v>289</v>
      </c>
      <c r="AB6228" t="str">
        <f>IF(Table1[[#This Row],[TIPO2]]="costo", VLOOKUP(Table1[[#This Row],[PARTIDA PRESUPUESTAL]],'Cost Report'!G:G,1,0),"Balance")</f>
        <v>2405-025</v>
      </c>
      <c r="AD6228" s="159">
        <f>+Table1[[#This Row],[SUBTOTAL]]+Table1[[#This Row],[IVA]]-Table1[[#This Row],[RET IVA]]-Table1[[#This Row],[RET ISR]]-Table1[[#This Row],[TOTAL]]</f>
        <v>0</v>
      </c>
      <c r="AK6228" s="306">
        <f>IF(ISNUMBER(Table1[[#This Row],[FECHA DE RECIBIDO]]), Table1[[#This Row],[FECHA DE RECIBIDO]]-DATE(2023,8,30), "")</f>
        <v>-44889.180532407408</v>
      </c>
    </row>
    <row r="6229" spans="1:37" ht="16.05" customHeight="1">
      <c r="A6229" s="172" t="s">
        <v>5239</v>
      </c>
      <c r="B6229" s="178">
        <v>2208</v>
      </c>
      <c r="C6229" s="179" t="s">
        <v>554</v>
      </c>
      <c r="D6229">
        <v>4254</v>
      </c>
      <c r="E6229" s="125">
        <v>44600</v>
      </c>
      <c r="F6229" s="178">
        <v>626</v>
      </c>
      <c r="G6229" s="178" t="s">
        <v>109</v>
      </c>
      <c r="H6229">
        <v>114</v>
      </c>
      <c r="I6229" s="178" t="s">
        <v>1546</v>
      </c>
      <c r="J6229" s="320">
        <v>278.6017708333311</v>
      </c>
      <c r="K6229" s="178" t="s">
        <v>5322</v>
      </c>
      <c r="L6229" s="125" t="s">
        <v>110</v>
      </c>
      <c r="M6229">
        <v>152</v>
      </c>
      <c r="N6229" s="182">
        <v>44</v>
      </c>
      <c r="O6229">
        <v>4084</v>
      </c>
      <c r="P6229" s="132" t="s">
        <v>77</v>
      </c>
      <c r="Q6229" s="176">
        <v>7700</v>
      </c>
      <c r="R6229" s="176">
        <v>1232</v>
      </c>
      <c r="S6229" s="176"/>
      <c r="T6229" s="190">
        <v>821.34</v>
      </c>
      <c r="U6229" s="191">
        <v>96.25</v>
      </c>
      <c r="V6229" s="191">
        <v>8014.41</v>
      </c>
      <c r="W6229">
        <v>76</v>
      </c>
      <c r="X6229" s="186" t="s">
        <v>1429</v>
      </c>
      <c r="Y6229" s="187" t="s">
        <v>55</v>
      </c>
      <c r="Z6229" s="311">
        <v>289</v>
      </c>
      <c r="AB6229" t="str">
        <f>IF(Table1[[#This Row],[TIPO2]]="costo", VLOOKUP(Table1[[#This Row],[PARTIDA PRESUPUESTAL]],'Cost Report'!G:G,1,0),"Balance")</f>
        <v>2206-011</v>
      </c>
      <c r="AD6229" s="159">
        <f>+Table1[[#This Row],[SUBTOTAL]]+Table1[[#This Row],[IVA]]-Table1[[#This Row],[RET IVA]]-Table1[[#This Row],[RET ISR]]-Table1[[#This Row],[TOTAL]]</f>
        <v>0</v>
      </c>
      <c r="AK6229" s="306">
        <f>IF(ISNUMBER(Table1[[#This Row],[FECHA DE RECIBIDO]]), Table1[[#This Row],[FECHA DE RECIBIDO]]-DATE(2023,8,30), "")</f>
        <v>-44889.398229166669</v>
      </c>
    </row>
    <row r="6230" spans="1:37" ht="16.05" customHeight="1">
      <c r="A6230" s="172" t="s">
        <v>5240</v>
      </c>
      <c r="B6230" s="178">
        <v>2209</v>
      </c>
      <c r="C6230" s="179" t="s">
        <v>2551</v>
      </c>
      <c r="D6230">
        <v>4255</v>
      </c>
      <c r="E6230" s="125">
        <v>45590</v>
      </c>
      <c r="F6230" s="178">
        <v>626</v>
      </c>
      <c r="G6230" s="178" t="s">
        <v>109</v>
      </c>
      <c r="H6230">
        <v>188</v>
      </c>
      <c r="I6230" s="178" t="s">
        <v>1546</v>
      </c>
      <c r="J6230" s="320">
        <v>279.72341435185081</v>
      </c>
      <c r="K6230" s="178" t="s">
        <v>5322</v>
      </c>
      <c r="L6230" s="125" t="s">
        <v>110</v>
      </c>
      <c r="M6230">
        <v>253</v>
      </c>
      <c r="N6230" s="182">
        <v>53</v>
      </c>
      <c r="O6230">
        <v>4085</v>
      </c>
      <c r="P6230" s="132" t="s">
        <v>77</v>
      </c>
      <c r="Q6230" s="176">
        <v>8820</v>
      </c>
      <c r="R6230" s="176">
        <v>1411.2</v>
      </c>
      <c r="S6230" s="176"/>
      <c r="T6230" s="190">
        <v>940.8</v>
      </c>
      <c r="U6230" s="191">
        <v>110.25</v>
      </c>
      <c r="V6230" s="191">
        <v>9180.1500000000015</v>
      </c>
      <c r="W6230">
        <v>109</v>
      </c>
      <c r="X6230" s="186" t="s">
        <v>1429</v>
      </c>
      <c r="Y6230" s="187" t="s">
        <v>55</v>
      </c>
      <c r="Z6230" s="311">
        <v>289</v>
      </c>
      <c r="AB6230" t="str">
        <f>IF(Table1[[#This Row],[TIPO2]]="costo", VLOOKUP(Table1[[#This Row],[PARTIDA PRESUPUESTAL]],'Cost Report'!G:G,1,0),"Balance")</f>
        <v>2495-013</v>
      </c>
      <c r="AD6230" s="159">
        <f>+Table1[[#This Row],[SUBTOTAL]]+Table1[[#This Row],[IVA]]-Table1[[#This Row],[RET IVA]]-Table1[[#This Row],[RET ISR]]-Table1[[#This Row],[TOTAL]]</f>
        <v>0</v>
      </c>
      <c r="AK6230" s="306">
        <f>IF(ISNUMBER(Table1[[#This Row],[FECHA DE RECIBIDO]]), Table1[[#This Row],[FECHA DE RECIBIDO]]-DATE(2023,8,30), "")</f>
        <v>-44888.276585648149</v>
      </c>
    </row>
    <row r="6231" spans="1:37" ht="16.05" customHeight="1">
      <c r="A6231" s="172" t="s">
        <v>5241</v>
      </c>
      <c r="B6231" s="178">
        <v>2210</v>
      </c>
      <c r="C6231" s="179" t="s">
        <v>603</v>
      </c>
      <c r="D6231">
        <v>4256</v>
      </c>
      <c r="E6231" s="125">
        <v>45685</v>
      </c>
      <c r="F6231" s="178">
        <v>626</v>
      </c>
      <c r="G6231" s="178" t="s">
        <v>109</v>
      </c>
      <c r="H6231">
        <v>505</v>
      </c>
      <c r="I6231" s="178" t="s">
        <v>1546</v>
      </c>
      <c r="J6231" s="320">
        <v>280.53697916666715</v>
      </c>
      <c r="K6231" s="178" t="s">
        <v>5322</v>
      </c>
      <c r="L6231" s="125" t="s">
        <v>110</v>
      </c>
      <c r="M6231">
        <v>729</v>
      </c>
      <c r="N6231" s="182">
        <v>134</v>
      </c>
      <c r="O6231">
        <v>4086</v>
      </c>
      <c r="P6231" s="132" t="s">
        <v>77</v>
      </c>
      <c r="Q6231" s="176">
        <v>15750</v>
      </c>
      <c r="R6231" s="176">
        <v>2520</v>
      </c>
      <c r="S6231" s="176"/>
      <c r="T6231" s="190">
        <v>1680</v>
      </c>
      <c r="U6231" s="191">
        <v>196.88</v>
      </c>
      <c r="V6231" s="191">
        <v>16393.12</v>
      </c>
      <c r="W6231">
        <v>277</v>
      </c>
      <c r="X6231" s="186" t="s">
        <v>1429</v>
      </c>
      <c r="Y6231" s="187" t="s">
        <v>55</v>
      </c>
      <c r="Z6231" s="311">
        <v>289</v>
      </c>
      <c r="AB6231" t="str">
        <f>IF(Table1[[#This Row],[TIPO2]]="costo", VLOOKUP(Table1[[#This Row],[PARTIDA PRESUPUESTAL]],'Cost Report'!G:G,1,0),"Balance")</f>
        <v>2403-016</v>
      </c>
      <c r="AD6231" s="159">
        <f>+Table1[[#This Row],[SUBTOTAL]]+Table1[[#This Row],[IVA]]-Table1[[#This Row],[RET IVA]]-Table1[[#This Row],[RET ISR]]-Table1[[#This Row],[TOTAL]]</f>
        <v>0</v>
      </c>
      <c r="AK6231" s="306">
        <f>IF(ISNUMBER(Table1[[#This Row],[FECHA DE RECIBIDO]]), Table1[[#This Row],[FECHA DE RECIBIDO]]-DATE(2023,8,30), "")</f>
        <v>-44887.463020833333</v>
      </c>
    </row>
    <row r="6232" spans="1:37" ht="16.05" customHeight="1">
      <c r="A6232" s="172" t="s">
        <v>5242</v>
      </c>
      <c r="B6232" s="178">
        <v>2211</v>
      </c>
      <c r="C6232" s="179" t="s">
        <v>2527</v>
      </c>
      <c r="D6232">
        <v>4257</v>
      </c>
      <c r="E6232" s="125">
        <v>44920</v>
      </c>
      <c r="F6232" s="178">
        <v>626</v>
      </c>
      <c r="G6232" s="178" t="s">
        <v>109</v>
      </c>
      <c r="H6232">
        <v>507</v>
      </c>
      <c r="I6232" s="178" t="s">
        <v>1546</v>
      </c>
      <c r="J6232" s="320">
        <v>280.78827546296088</v>
      </c>
      <c r="K6232" s="178" t="s">
        <v>5322</v>
      </c>
      <c r="L6232" s="125" t="s">
        <v>110</v>
      </c>
      <c r="M6232">
        <v>731</v>
      </c>
      <c r="N6232" s="182">
        <v>137</v>
      </c>
      <c r="O6232">
        <v>4087</v>
      </c>
      <c r="P6232" s="132" t="s">
        <v>77</v>
      </c>
      <c r="Q6232" s="176">
        <v>13230</v>
      </c>
      <c r="R6232" s="176">
        <v>2116.8000000000002</v>
      </c>
      <c r="S6232" s="176"/>
      <c r="T6232" s="190">
        <v>1411.2</v>
      </c>
      <c r="U6232" s="191">
        <v>165.38</v>
      </c>
      <c r="V6232" s="191">
        <v>13770.22</v>
      </c>
      <c r="W6232">
        <v>279</v>
      </c>
      <c r="X6232" s="186" t="s">
        <v>1429</v>
      </c>
      <c r="Y6232" s="187" t="s">
        <v>55</v>
      </c>
      <c r="Z6232" s="311">
        <v>289</v>
      </c>
      <c r="AB6232" t="str">
        <f>IF(Table1[[#This Row],[TIPO2]]="costo", VLOOKUP(Table1[[#This Row],[PARTIDA PRESUPUESTAL]],'Cost Report'!G:G,1,0),"Balance")</f>
        <v>2405-025</v>
      </c>
      <c r="AD6232" s="159">
        <f>+Table1[[#This Row],[SUBTOTAL]]+Table1[[#This Row],[IVA]]-Table1[[#This Row],[RET IVA]]-Table1[[#This Row],[RET ISR]]-Table1[[#This Row],[TOTAL]]</f>
        <v>0</v>
      </c>
      <c r="AK6232" s="306">
        <f>IF(ISNUMBER(Table1[[#This Row],[FECHA DE RECIBIDO]]), Table1[[#This Row],[FECHA DE RECIBIDO]]-DATE(2023,8,30), "")</f>
        <v>-44887.211724537039</v>
      </c>
    </row>
    <row r="6233" spans="1:37" ht="16.05" customHeight="1">
      <c r="A6233" s="172" t="s">
        <v>5243</v>
      </c>
      <c r="B6233" s="178">
        <v>2212</v>
      </c>
      <c r="C6233" s="179" t="s">
        <v>2527</v>
      </c>
      <c r="D6233">
        <v>4258</v>
      </c>
      <c r="E6233" s="125">
        <v>23070</v>
      </c>
      <c r="F6233" s="178">
        <v>626</v>
      </c>
      <c r="G6233" s="178" t="s">
        <v>109</v>
      </c>
      <c r="H6233">
        <v>513</v>
      </c>
      <c r="I6233" s="178" t="s">
        <v>1546</v>
      </c>
      <c r="J6233" s="320">
        <v>279.0521412037051</v>
      </c>
      <c r="K6233" s="178" t="s">
        <v>5322</v>
      </c>
      <c r="L6233" s="125" t="s">
        <v>110</v>
      </c>
      <c r="M6233">
        <v>737</v>
      </c>
      <c r="N6233" s="182">
        <v>143</v>
      </c>
      <c r="O6233">
        <v>4088</v>
      </c>
      <c r="P6233" s="132" t="s">
        <v>77</v>
      </c>
      <c r="Q6233" s="176">
        <v>1520</v>
      </c>
      <c r="R6233" s="176">
        <v>243.2</v>
      </c>
      <c r="S6233" s="176"/>
      <c r="T6233" s="190">
        <v>162.13</v>
      </c>
      <c r="U6233" s="191">
        <v>19</v>
      </c>
      <c r="V6233" s="191">
        <v>1582.0700000000002</v>
      </c>
      <c r="W6233">
        <v>285</v>
      </c>
      <c r="X6233" s="186" t="s">
        <v>1431</v>
      </c>
      <c r="Y6233" s="187" t="s">
        <v>55</v>
      </c>
      <c r="Z6233" s="311">
        <v>289</v>
      </c>
      <c r="AB6233" t="str">
        <f>IF(Table1[[#This Row],[TIPO2]]="costo", VLOOKUP(Table1[[#This Row],[PARTIDA PRESUPUESTAL]],'Cost Report'!G:G,1,0),"Balance")</f>
        <v>2405-025</v>
      </c>
      <c r="AD6233" s="159">
        <f>+Table1[[#This Row],[SUBTOTAL]]+Table1[[#This Row],[IVA]]-Table1[[#This Row],[RET IVA]]-Table1[[#This Row],[RET ISR]]-Table1[[#This Row],[TOTAL]]</f>
        <v>0</v>
      </c>
      <c r="AK6233" s="306">
        <f>IF(ISNUMBER(Table1[[#This Row],[FECHA DE RECIBIDO]]), Table1[[#This Row],[FECHA DE RECIBIDO]]-DATE(2023,8,30), "")</f>
        <v>-44888.947858796295</v>
      </c>
    </row>
    <row r="6234" spans="1:37" ht="16.05" customHeight="1">
      <c r="A6234" s="172" t="s">
        <v>5244</v>
      </c>
      <c r="B6234" s="178">
        <v>2213</v>
      </c>
      <c r="C6234" s="179" t="s">
        <v>2527</v>
      </c>
      <c r="D6234">
        <v>4259</v>
      </c>
      <c r="E6234" s="125">
        <v>45066</v>
      </c>
      <c r="F6234" s="178">
        <v>626</v>
      </c>
      <c r="G6234" s="178" t="s">
        <v>109</v>
      </c>
      <c r="H6234">
        <v>922</v>
      </c>
      <c r="I6234" s="178" t="s">
        <v>1546</v>
      </c>
      <c r="J6234" s="320">
        <v>278.62726851851767</v>
      </c>
      <c r="K6234" s="178" t="s">
        <v>5322</v>
      </c>
      <c r="L6234" s="125" t="s">
        <v>110</v>
      </c>
      <c r="M6234">
        <v>1284</v>
      </c>
      <c r="N6234" s="182">
        <v>227</v>
      </c>
      <c r="O6234">
        <v>3617</v>
      </c>
      <c r="P6234" s="132" t="s">
        <v>77</v>
      </c>
      <c r="Q6234" s="176">
        <v>2940</v>
      </c>
      <c r="R6234" s="176">
        <v>470.4</v>
      </c>
      <c r="S6234" s="176"/>
      <c r="T6234" s="190">
        <v>313.60000000000002</v>
      </c>
      <c r="U6234" s="191">
        <v>36.75</v>
      </c>
      <c r="V6234" s="191">
        <v>3060.05</v>
      </c>
      <c r="W6234">
        <v>454</v>
      </c>
      <c r="X6234" s="186" t="s">
        <v>1429</v>
      </c>
      <c r="Y6234" s="187" t="s">
        <v>55</v>
      </c>
      <c r="Z6234" s="311">
        <v>289</v>
      </c>
      <c r="AB6234" t="str">
        <f>IF(Table1[[#This Row],[TIPO2]]="costo", VLOOKUP(Table1[[#This Row],[PARTIDA PRESUPUESTAL]],'Cost Report'!G:G,1,0),"Balance")</f>
        <v>2405-025</v>
      </c>
      <c r="AD6234" s="159">
        <f>+Table1[[#This Row],[SUBTOTAL]]+Table1[[#This Row],[IVA]]-Table1[[#This Row],[RET IVA]]-Table1[[#This Row],[RET ISR]]-Table1[[#This Row],[TOTAL]]</f>
        <v>0</v>
      </c>
      <c r="AK6234" s="306">
        <f>IF(ISNUMBER(Table1[[#This Row],[FECHA DE RECIBIDO]]), Table1[[#This Row],[FECHA DE RECIBIDO]]-DATE(2023,8,30), "")</f>
        <v>-44889.372731481482</v>
      </c>
    </row>
    <row r="6235" spans="1:37" ht="16.05" customHeight="1">
      <c r="A6235" s="172" t="s">
        <v>5245</v>
      </c>
      <c r="B6235" s="178">
        <v>2214</v>
      </c>
      <c r="C6235" s="179" t="s">
        <v>2527</v>
      </c>
      <c r="D6235">
        <v>4260</v>
      </c>
      <c r="E6235" s="125">
        <v>45605</v>
      </c>
      <c r="F6235" s="178">
        <v>626</v>
      </c>
      <c r="G6235" s="178" t="s">
        <v>109</v>
      </c>
      <c r="H6235">
        <v>766</v>
      </c>
      <c r="I6235" s="178" t="s">
        <v>1546</v>
      </c>
      <c r="J6235" s="320">
        <v>279.360381944447</v>
      </c>
      <c r="K6235" s="178" t="s">
        <v>5322</v>
      </c>
      <c r="L6235" s="125" t="s">
        <v>110</v>
      </c>
      <c r="M6235">
        <v>1069</v>
      </c>
      <c r="N6235" s="182">
        <v>178</v>
      </c>
      <c r="O6235">
        <v>4089</v>
      </c>
      <c r="P6235" s="132" t="s">
        <v>77</v>
      </c>
      <c r="Q6235" s="176">
        <v>1470</v>
      </c>
      <c r="R6235" s="176">
        <v>235.2</v>
      </c>
      <c r="S6235" s="176"/>
      <c r="T6235" s="190">
        <v>156.80000000000001</v>
      </c>
      <c r="U6235" s="191">
        <v>18.38</v>
      </c>
      <c r="V6235" s="191">
        <v>1530.02</v>
      </c>
      <c r="W6235">
        <v>365</v>
      </c>
      <c r="X6235" s="186" t="s">
        <v>1429</v>
      </c>
      <c r="Y6235" s="187" t="s">
        <v>55</v>
      </c>
      <c r="Z6235" s="311">
        <v>289</v>
      </c>
      <c r="AB6235" t="str">
        <f>IF(Table1[[#This Row],[TIPO2]]="costo", VLOOKUP(Table1[[#This Row],[PARTIDA PRESUPUESTAL]],'Cost Report'!G:G,1,0),"Balance")</f>
        <v>2405-025</v>
      </c>
      <c r="AD6235" s="159">
        <f>+Table1[[#This Row],[SUBTOTAL]]+Table1[[#This Row],[IVA]]-Table1[[#This Row],[RET IVA]]-Table1[[#This Row],[RET ISR]]-Table1[[#This Row],[TOTAL]]</f>
        <v>0</v>
      </c>
      <c r="AK6235" s="306">
        <f>IF(ISNUMBER(Table1[[#This Row],[FECHA DE RECIBIDO]]), Table1[[#This Row],[FECHA DE RECIBIDO]]-DATE(2023,8,30), "")</f>
        <v>-44888.639618055553</v>
      </c>
    </row>
    <row r="6236" spans="1:37" ht="16.05" customHeight="1">
      <c r="A6236" s="172" t="s">
        <v>5246</v>
      </c>
      <c r="B6236" s="178">
        <v>2215</v>
      </c>
      <c r="C6236" s="179" t="s">
        <v>607</v>
      </c>
      <c r="D6236">
        <v>4261</v>
      </c>
      <c r="E6236" s="125" t="s">
        <v>5074</v>
      </c>
      <c r="F6236" s="178">
        <v>626</v>
      </c>
      <c r="G6236" s="178" t="s">
        <v>109</v>
      </c>
      <c r="H6236">
        <v>937</v>
      </c>
      <c r="I6236" s="178" t="s">
        <v>1546</v>
      </c>
      <c r="J6236" s="320" t="s">
        <v>214</v>
      </c>
      <c r="K6236" s="178" t="s">
        <v>5322</v>
      </c>
      <c r="L6236" s="125" t="s">
        <v>110</v>
      </c>
      <c r="M6236">
        <v>1299</v>
      </c>
      <c r="N6236" s="182">
        <v>242</v>
      </c>
      <c r="O6236">
        <v>4090</v>
      </c>
      <c r="P6236" s="132" t="s">
        <v>77</v>
      </c>
      <c r="Q6236" s="176">
        <v>4410</v>
      </c>
      <c r="R6236" s="176">
        <v>705.6</v>
      </c>
      <c r="S6236" s="176"/>
      <c r="T6236" s="190">
        <v>470.4</v>
      </c>
      <c r="U6236" s="191">
        <v>55.13</v>
      </c>
      <c r="V6236" s="191">
        <v>4590.0700000000006</v>
      </c>
      <c r="W6236">
        <v>469</v>
      </c>
      <c r="X6236" s="186" t="s">
        <v>1429</v>
      </c>
      <c r="Y6236" s="187" t="s">
        <v>55</v>
      </c>
      <c r="Z6236" s="311">
        <v>289</v>
      </c>
      <c r="AB6236" t="str">
        <f>IF(Table1[[#This Row],[TIPO2]]="costo", VLOOKUP(Table1[[#This Row],[PARTIDA PRESUPUESTAL]],'Cost Report'!G:G,1,0),"Balance")</f>
        <v>2403-022</v>
      </c>
      <c r="AD6236" s="159">
        <f>+Table1[[#This Row],[SUBTOTAL]]+Table1[[#This Row],[IVA]]-Table1[[#This Row],[RET IVA]]-Table1[[#This Row],[RET ISR]]-Table1[[#This Row],[TOTAL]]</f>
        <v>0</v>
      </c>
      <c r="AK6236" s="306" t="str">
        <f>IF(ISNUMBER(Table1[[#This Row],[FECHA DE RECIBIDO]]), Table1[[#This Row],[FECHA DE RECIBIDO]]-DATE(2023,8,30), "")</f>
        <v/>
      </c>
    </row>
    <row r="6237" spans="1:37" ht="16.05" customHeight="1">
      <c r="A6237" s="172" t="s">
        <v>5247</v>
      </c>
      <c r="B6237" s="178">
        <v>2216</v>
      </c>
      <c r="C6237" s="179" t="s">
        <v>607</v>
      </c>
      <c r="D6237">
        <v>4262</v>
      </c>
      <c r="E6237" s="125" t="s">
        <v>5074</v>
      </c>
      <c r="F6237" s="178">
        <v>626</v>
      </c>
      <c r="G6237" s="178" t="s">
        <v>109</v>
      </c>
      <c r="H6237">
        <v>937</v>
      </c>
      <c r="I6237" s="178" t="s">
        <v>1546</v>
      </c>
      <c r="J6237" s="320" t="s">
        <v>214</v>
      </c>
      <c r="K6237" s="178" t="s">
        <v>5322</v>
      </c>
      <c r="L6237" s="125" t="s">
        <v>110</v>
      </c>
      <c r="M6237">
        <v>1299</v>
      </c>
      <c r="N6237" s="182">
        <v>242</v>
      </c>
      <c r="O6237">
        <v>4091</v>
      </c>
      <c r="P6237" s="132" t="s">
        <v>77</v>
      </c>
      <c r="Q6237" s="176">
        <v>7350</v>
      </c>
      <c r="R6237" s="176">
        <v>1176</v>
      </c>
      <c r="S6237" s="176"/>
      <c r="T6237" s="190">
        <v>784</v>
      </c>
      <c r="U6237" s="191">
        <v>91.88</v>
      </c>
      <c r="V6237" s="191">
        <v>7650.12</v>
      </c>
      <c r="W6237">
        <v>469</v>
      </c>
      <c r="X6237" s="186" t="s">
        <v>1429</v>
      </c>
      <c r="Y6237" s="187" t="s">
        <v>55</v>
      </c>
      <c r="Z6237" s="311">
        <v>289</v>
      </c>
      <c r="AB6237" t="str">
        <f>IF(Table1[[#This Row],[TIPO2]]="costo", VLOOKUP(Table1[[#This Row],[PARTIDA PRESUPUESTAL]],'Cost Report'!G:G,1,0),"Balance")</f>
        <v>2403-022</v>
      </c>
      <c r="AD6237" s="159">
        <f>+Table1[[#This Row],[SUBTOTAL]]+Table1[[#This Row],[IVA]]-Table1[[#This Row],[RET IVA]]-Table1[[#This Row],[RET ISR]]-Table1[[#This Row],[TOTAL]]</f>
        <v>0</v>
      </c>
      <c r="AK6237" s="306" t="str">
        <f>IF(ISNUMBER(Table1[[#This Row],[FECHA DE RECIBIDO]]), Table1[[#This Row],[FECHA DE RECIBIDO]]-DATE(2023,8,30), "")</f>
        <v/>
      </c>
    </row>
    <row r="6238" spans="1:37" ht="16.05" customHeight="1">
      <c r="A6238" s="172" t="s">
        <v>5248</v>
      </c>
      <c r="B6238" s="178">
        <v>2217</v>
      </c>
      <c r="C6238" s="179" t="s">
        <v>607</v>
      </c>
      <c r="D6238">
        <v>4263</v>
      </c>
      <c r="E6238" s="125">
        <v>1270</v>
      </c>
      <c r="F6238" s="178">
        <v>626</v>
      </c>
      <c r="G6238" s="178" t="s">
        <v>109</v>
      </c>
      <c r="H6238">
        <v>926</v>
      </c>
      <c r="I6238" s="178" t="s">
        <v>1546</v>
      </c>
      <c r="J6238" s="320">
        <v>280.9477430555562</v>
      </c>
      <c r="K6238" s="178" t="s">
        <v>5322</v>
      </c>
      <c r="L6238" s="125" t="s">
        <v>110</v>
      </c>
      <c r="M6238">
        <v>1288</v>
      </c>
      <c r="N6238" s="182">
        <v>231</v>
      </c>
      <c r="O6238">
        <v>4092</v>
      </c>
      <c r="P6238" s="132" t="s">
        <v>77</v>
      </c>
      <c r="Q6238" s="176">
        <v>1950</v>
      </c>
      <c r="R6238" s="176">
        <v>312</v>
      </c>
      <c r="S6238" s="176"/>
      <c r="T6238" s="190">
        <v>208</v>
      </c>
      <c r="U6238" s="191">
        <v>24.38</v>
      </c>
      <c r="V6238" s="191">
        <v>2029.62</v>
      </c>
      <c r="W6238">
        <v>458</v>
      </c>
      <c r="X6238" s="186" t="s">
        <v>1429</v>
      </c>
      <c r="Y6238" s="187" t="s">
        <v>55</v>
      </c>
      <c r="Z6238" s="311">
        <v>289</v>
      </c>
      <c r="AB6238" t="str">
        <f>IF(Table1[[#This Row],[TIPO2]]="costo", VLOOKUP(Table1[[#This Row],[PARTIDA PRESUPUESTAL]],'Cost Report'!G:G,1,0),"Balance")</f>
        <v>2403-022</v>
      </c>
      <c r="AD6238" s="159">
        <f>+Table1[[#This Row],[SUBTOTAL]]+Table1[[#This Row],[IVA]]-Table1[[#This Row],[RET IVA]]-Table1[[#This Row],[RET ISR]]-Table1[[#This Row],[TOTAL]]</f>
        <v>0</v>
      </c>
      <c r="AK6238" s="306">
        <f>IF(ISNUMBER(Table1[[#This Row],[FECHA DE RECIBIDO]]), Table1[[#This Row],[FECHA DE RECIBIDO]]-DATE(2023,8,30), "")</f>
        <v>-44887.052256944444</v>
      </c>
    </row>
    <row r="6239" spans="1:37" ht="16.05" customHeight="1">
      <c r="A6239" s="172" t="s">
        <v>5249</v>
      </c>
      <c r="B6239" s="178">
        <v>2218</v>
      </c>
      <c r="C6239" s="179" t="s">
        <v>606</v>
      </c>
      <c r="D6239">
        <v>4264</v>
      </c>
      <c r="E6239" s="125" t="s">
        <v>5250</v>
      </c>
      <c r="F6239" s="178">
        <v>626</v>
      </c>
      <c r="G6239" s="178" t="s">
        <v>109</v>
      </c>
      <c r="H6239">
        <v>1013</v>
      </c>
      <c r="I6239" s="178" t="s">
        <v>1546</v>
      </c>
      <c r="J6239" s="320" t="s">
        <v>214</v>
      </c>
      <c r="K6239" s="178" t="s">
        <v>5322</v>
      </c>
      <c r="L6239" s="125" t="s">
        <v>110</v>
      </c>
      <c r="M6239">
        <v>1408</v>
      </c>
      <c r="N6239" s="182">
        <v>248</v>
      </c>
      <c r="O6239">
        <v>4093</v>
      </c>
      <c r="P6239" s="132" t="s">
        <v>77</v>
      </c>
      <c r="Q6239" s="176">
        <v>3900</v>
      </c>
      <c r="R6239" s="176">
        <v>624</v>
      </c>
      <c r="S6239" s="176"/>
      <c r="T6239" s="190">
        <v>416</v>
      </c>
      <c r="U6239" s="191">
        <v>48.75</v>
      </c>
      <c r="V6239" s="191">
        <v>4059.25</v>
      </c>
      <c r="W6239">
        <v>488</v>
      </c>
      <c r="X6239" s="186" t="s">
        <v>1431</v>
      </c>
      <c r="Y6239" s="187" t="s">
        <v>55</v>
      </c>
      <c r="Z6239" s="311">
        <v>289</v>
      </c>
      <c r="AB6239" t="str">
        <f>IF(Table1[[#This Row],[TIPO2]]="costo", VLOOKUP(Table1[[#This Row],[PARTIDA PRESUPUESTAL]],'Cost Report'!G:G,1,0),"Balance")</f>
        <v>2403-021</v>
      </c>
      <c r="AD6239" s="159">
        <f>+Table1[[#This Row],[SUBTOTAL]]+Table1[[#This Row],[IVA]]-Table1[[#This Row],[RET IVA]]-Table1[[#This Row],[RET ISR]]-Table1[[#This Row],[TOTAL]]</f>
        <v>0</v>
      </c>
      <c r="AK6239" s="306" t="str">
        <f>IF(ISNUMBER(Table1[[#This Row],[FECHA DE RECIBIDO]]), Table1[[#This Row],[FECHA DE RECIBIDO]]-DATE(2023,8,30), "")</f>
        <v/>
      </c>
    </row>
    <row r="6240" spans="1:37" ht="16.05" customHeight="1">
      <c r="A6240" s="172" t="s">
        <v>5251</v>
      </c>
      <c r="B6240" s="178">
        <v>2219</v>
      </c>
      <c r="C6240" s="179" t="s">
        <v>2527</v>
      </c>
      <c r="D6240">
        <v>4265</v>
      </c>
      <c r="E6240" s="125" t="s">
        <v>5252</v>
      </c>
      <c r="F6240" s="178">
        <v>626</v>
      </c>
      <c r="G6240" s="178" t="s">
        <v>109</v>
      </c>
      <c r="H6240">
        <v>1014</v>
      </c>
      <c r="I6240" s="178" t="s">
        <v>1546</v>
      </c>
      <c r="J6240" s="320" t="s">
        <v>214</v>
      </c>
      <c r="K6240" s="178" t="s">
        <v>5322</v>
      </c>
      <c r="L6240" s="125" t="s">
        <v>110</v>
      </c>
      <c r="M6240">
        <v>1409</v>
      </c>
      <c r="N6240" s="182">
        <v>249</v>
      </c>
      <c r="O6240">
        <v>4094</v>
      </c>
      <c r="P6240" s="132" t="s">
        <v>77</v>
      </c>
      <c r="Q6240" s="176">
        <v>4410</v>
      </c>
      <c r="R6240" s="176">
        <v>705.6</v>
      </c>
      <c r="S6240" s="176"/>
      <c r="T6240" s="190">
        <v>470.55</v>
      </c>
      <c r="U6240" s="191">
        <v>55.13</v>
      </c>
      <c r="V6240" s="191">
        <v>4589.92</v>
      </c>
      <c r="W6240">
        <v>489</v>
      </c>
      <c r="X6240" s="186" t="s">
        <v>1429</v>
      </c>
      <c r="Y6240" s="187" t="s">
        <v>55</v>
      </c>
      <c r="Z6240" s="311">
        <v>289</v>
      </c>
      <c r="AB6240" t="str">
        <f>IF(Table1[[#This Row],[TIPO2]]="costo", VLOOKUP(Table1[[#This Row],[PARTIDA PRESUPUESTAL]],'Cost Report'!G:G,1,0),"Balance")</f>
        <v>2405-025</v>
      </c>
      <c r="AD6240" s="159">
        <f>+Table1[[#This Row],[SUBTOTAL]]+Table1[[#This Row],[IVA]]-Table1[[#This Row],[RET IVA]]-Table1[[#This Row],[RET ISR]]-Table1[[#This Row],[TOTAL]]</f>
        <v>0</v>
      </c>
      <c r="AK6240" s="306" t="str">
        <f>IF(ISNUMBER(Table1[[#This Row],[FECHA DE RECIBIDO]]), Table1[[#This Row],[FECHA DE RECIBIDO]]-DATE(2023,8,30), "")</f>
        <v/>
      </c>
    </row>
    <row r="6241" spans="1:37" ht="16.05" customHeight="1">
      <c r="A6241" s="172" t="s">
        <v>5253</v>
      </c>
      <c r="B6241" s="178">
        <v>2220</v>
      </c>
      <c r="C6241" s="179" t="s">
        <v>2527</v>
      </c>
      <c r="D6241">
        <v>4266</v>
      </c>
      <c r="E6241" s="125" t="s">
        <v>5252</v>
      </c>
      <c r="F6241" s="178">
        <v>626</v>
      </c>
      <c r="G6241" s="178" t="s">
        <v>109</v>
      </c>
      <c r="H6241">
        <v>1014</v>
      </c>
      <c r="I6241" s="178" t="s">
        <v>1546</v>
      </c>
      <c r="J6241" s="320" t="s">
        <v>214</v>
      </c>
      <c r="K6241" s="178" t="s">
        <v>5322</v>
      </c>
      <c r="L6241" s="125" t="s">
        <v>110</v>
      </c>
      <c r="M6241">
        <v>1409</v>
      </c>
      <c r="N6241" s="182">
        <v>249</v>
      </c>
      <c r="O6241">
        <v>4095</v>
      </c>
      <c r="P6241" s="132" t="s">
        <v>77</v>
      </c>
      <c r="Q6241" s="176">
        <v>4410</v>
      </c>
      <c r="R6241" s="176">
        <v>705.6</v>
      </c>
      <c r="S6241" s="176"/>
      <c r="T6241" s="190">
        <v>470.55</v>
      </c>
      <c r="U6241" s="191">
        <v>55.13</v>
      </c>
      <c r="V6241" s="191">
        <v>4589.92</v>
      </c>
      <c r="W6241">
        <v>489</v>
      </c>
      <c r="X6241" s="186" t="s">
        <v>1429</v>
      </c>
      <c r="Y6241" s="187" t="s">
        <v>55</v>
      </c>
      <c r="Z6241" s="311">
        <v>289</v>
      </c>
      <c r="AB6241" t="str">
        <f>IF(Table1[[#This Row],[TIPO2]]="costo", VLOOKUP(Table1[[#This Row],[PARTIDA PRESUPUESTAL]],'Cost Report'!G:G,1,0),"Balance")</f>
        <v>2405-025</v>
      </c>
      <c r="AD6241" s="159">
        <f>+Table1[[#This Row],[SUBTOTAL]]+Table1[[#This Row],[IVA]]-Table1[[#This Row],[RET IVA]]-Table1[[#This Row],[RET ISR]]-Table1[[#This Row],[TOTAL]]</f>
        <v>0</v>
      </c>
      <c r="AK6241" s="306" t="str">
        <f>IF(ISNUMBER(Table1[[#This Row],[FECHA DE RECIBIDO]]), Table1[[#This Row],[FECHA DE RECIBIDO]]-DATE(2023,8,30), "")</f>
        <v/>
      </c>
    </row>
    <row r="6242" spans="1:37" ht="16.05" customHeight="1">
      <c r="A6242" s="172" t="s">
        <v>5254</v>
      </c>
      <c r="B6242" s="178">
        <v>2221</v>
      </c>
      <c r="C6242" s="179" t="s">
        <v>606</v>
      </c>
      <c r="D6242">
        <v>4267</v>
      </c>
      <c r="E6242" s="125">
        <v>52928</v>
      </c>
      <c r="F6242" s="178">
        <v>626</v>
      </c>
      <c r="G6242" s="178" t="s">
        <v>109</v>
      </c>
      <c r="H6242">
        <v>1015</v>
      </c>
      <c r="I6242" s="178" t="s">
        <v>1546</v>
      </c>
      <c r="J6242" s="320">
        <v>279.504050925927</v>
      </c>
      <c r="K6242" s="178" t="s">
        <v>5322</v>
      </c>
      <c r="L6242" s="125" t="s">
        <v>110</v>
      </c>
      <c r="M6242">
        <v>1410</v>
      </c>
      <c r="N6242" s="182">
        <v>250</v>
      </c>
      <c r="O6242">
        <v>4096</v>
      </c>
      <c r="P6242" s="132" t="s">
        <v>77</v>
      </c>
      <c r="Q6242" s="176">
        <v>3900</v>
      </c>
      <c r="R6242" s="176">
        <v>624</v>
      </c>
      <c r="S6242" s="176"/>
      <c r="T6242" s="190">
        <v>416</v>
      </c>
      <c r="U6242" s="191">
        <v>48.75</v>
      </c>
      <c r="V6242" s="191">
        <v>4059.25</v>
      </c>
      <c r="W6242">
        <v>490</v>
      </c>
      <c r="X6242" s="186" t="s">
        <v>1429</v>
      </c>
      <c r="Y6242" s="187" t="s">
        <v>55</v>
      </c>
      <c r="Z6242" s="311">
        <v>289</v>
      </c>
      <c r="AB6242" t="str">
        <f>IF(Table1[[#This Row],[TIPO2]]="costo", VLOOKUP(Table1[[#This Row],[PARTIDA PRESUPUESTAL]],'Cost Report'!G:G,1,0),"Balance")</f>
        <v>2403-021</v>
      </c>
      <c r="AD6242" s="159">
        <f>+Table1[[#This Row],[SUBTOTAL]]+Table1[[#This Row],[IVA]]-Table1[[#This Row],[RET IVA]]-Table1[[#This Row],[RET ISR]]-Table1[[#This Row],[TOTAL]]</f>
        <v>0</v>
      </c>
      <c r="AK6242" s="306">
        <f>IF(ISNUMBER(Table1[[#This Row],[FECHA DE RECIBIDO]]), Table1[[#This Row],[FECHA DE RECIBIDO]]-DATE(2023,8,30), "")</f>
        <v>-44888.495949074073</v>
      </c>
    </row>
    <row r="6243" spans="1:37" ht="16.05" customHeight="1">
      <c r="A6243" s="172" t="s">
        <v>5255</v>
      </c>
      <c r="B6243" s="178">
        <v>2222</v>
      </c>
      <c r="C6243" s="179" t="s">
        <v>595</v>
      </c>
      <c r="D6243">
        <v>4268</v>
      </c>
      <c r="E6243" s="125">
        <v>45647</v>
      </c>
      <c r="F6243" s="178">
        <v>612</v>
      </c>
      <c r="G6243" s="178" t="s">
        <v>129</v>
      </c>
      <c r="H6243">
        <v>192</v>
      </c>
      <c r="I6243" s="178" t="s">
        <v>1546</v>
      </c>
      <c r="J6243" s="320">
        <v>279.53859953703795</v>
      </c>
      <c r="K6243" s="178" t="s">
        <v>5322</v>
      </c>
      <c r="L6243" s="125" t="s">
        <v>110</v>
      </c>
      <c r="M6243">
        <v>257</v>
      </c>
      <c r="N6243" s="182">
        <v>57</v>
      </c>
      <c r="O6243">
        <v>4097</v>
      </c>
      <c r="P6243" s="132" t="s">
        <v>77</v>
      </c>
      <c r="Q6243" s="176">
        <v>23625</v>
      </c>
      <c r="R6243" s="176">
        <v>3780</v>
      </c>
      <c r="S6243" s="176"/>
      <c r="T6243" s="190">
        <v>2520</v>
      </c>
      <c r="U6243" s="191">
        <v>2362.5</v>
      </c>
      <c r="V6243" s="191">
        <v>22522.5</v>
      </c>
      <c r="W6243">
        <v>113</v>
      </c>
      <c r="X6243" s="186" t="s">
        <v>1429</v>
      </c>
      <c r="Y6243" s="187" t="s">
        <v>55</v>
      </c>
      <c r="Z6243" s="311">
        <v>289</v>
      </c>
      <c r="AB6243" t="str">
        <f>IF(Table1[[#This Row],[TIPO2]]="costo", VLOOKUP(Table1[[#This Row],[PARTIDA PRESUPUESTAL]],'Cost Report'!G:G,1,0),"Balance")</f>
        <v>2403-004</v>
      </c>
      <c r="AD6243" s="159">
        <f>+Table1[[#This Row],[SUBTOTAL]]+Table1[[#This Row],[IVA]]-Table1[[#This Row],[RET IVA]]-Table1[[#This Row],[RET ISR]]-Table1[[#This Row],[TOTAL]]</f>
        <v>0</v>
      </c>
      <c r="AK6243" s="306">
        <f>IF(ISNUMBER(Table1[[#This Row],[FECHA DE RECIBIDO]]), Table1[[#This Row],[FECHA DE RECIBIDO]]-DATE(2023,8,30), "")</f>
        <v>-44888.461400462962</v>
      </c>
    </row>
    <row r="6244" spans="1:37" ht="16.05" customHeight="1">
      <c r="A6244" s="172" t="s">
        <v>5256</v>
      </c>
      <c r="B6244" s="178">
        <v>2223</v>
      </c>
      <c r="C6244" s="179" t="s">
        <v>596</v>
      </c>
      <c r="D6244">
        <v>4269</v>
      </c>
      <c r="E6244" s="125">
        <v>45647</v>
      </c>
      <c r="F6244" s="178">
        <v>612</v>
      </c>
      <c r="G6244" s="178" t="s">
        <v>129</v>
      </c>
      <c r="H6244">
        <v>192</v>
      </c>
      <c r="I6244" s="178" t="s">
        <v>1546</v>
      </c>
      <c r="J6244" s="320">
        <v>279.56332175926218</v>
      </c>
      <c r="K6244" s="178" t="s">
        <v>5322</v>
      </c>
      <c r="L6244" s="125" t="s">
        <v>110</v>
      </c>
      <c r="M6244">
        <v>257</v>
      </c>
      <c r="N6244" s="182">
        <v>57</v>
      </c>
      <c r="O6244">
        <v>4098</v>
      </c>
      <c r="P6244" s="132" t="s">
        <v>77</v>
      </c>
      <c r="Q6244" s="176">
        <v>15750</v>
      </c>
      <c r="R6244" s="176">
        <v>2520</v>
      </c>
      <c r="S6244" s="176"/>
      <c r="T6244" s="190">
        <v>1680</v>
      </c>
      <c r="U6244" s="191">
        <v>1575</v>
      </c>
      <c r="V6244" s="191">
        <v>15015</v>
      </c>
      <c r="W6244">
        <v>113</v>
      </c>
      <c r="X6244" s="186" t="s">
        <v>1429</v>
      </c>
      <c r="Y6244" s="187" t="s">
        <v>55</v>
      </c>
      <c r="Z6244" s="311">
        <v>289</v>
      </c>
      <c r="AB6244" t="str">
        <f>IF(Table1[[#This Row],[TIPO2]]="costo", VLOOKUP(Table1[[#This Row],[PARTIDA PRESUPUESTAL]],'Cost Report'!G:G,1,0),"Balance")</f>
        <v>2403-005</v>
      </c>
      <c r="AD6244" s="159">
        <f>+Table1[[#This Row],[SUBTOTAL]]+Table1[[#This Row],[IVA]]-Table1[[#This Row],[RET IVA]]-Table1[[#This Row],[RET ISR]]-Table1[[#This Row],[TOTAL]]</f>
        <v>0</v>
      </c>
      <c r="AK6244" s="306">
        <f>IF(ISNUMBER(Table1[[#This Row],[FECHA DE RECIBIDO]]), Table1[[#This Row],[FECHA DE RECIBIDO]]-DATE(2023,8,30), "")</f>
        <v>-44888.436678240738</v>
      </c>
    </row>
    <row r="6245" spans="1:37" ht="16.05" customHeight="1">
      <c r="A6245" s="172" t="s">
        <v>5257</v>
      </c>
      <c r="B6245" s="178">
        <v>2224</v>
      </c>
      <c r="C6245" s="179" t="s">
        <v>596</v>
      </c>
      <c r="D6245">
        <v>4270</v>
      </c>
      <c r="E6245" s="125">
        <v>45647</v>
      </c>
      <c r="F6245" s="178">
        <v>612</v>
      </c>
      <c r="G6245" s="178" t="s">
        <v>129</v>
      </c>
      <c r="H6245">
        <v>192</v>
      </c>
      <c r="I6245" s="178" t="s">
        <v>1546</v>
      </c>
      <c r="J6245" s="320">
        <v>279.57821759259241</v>
      </c>
      <c r="K6245" s="178" t="s">
        <v>5322</v>
      </c>
      <c r="L6245" s="125" t="s">
        <v>110</v>
      </c>
      <c r="M6245">
        <v>257</v>
      </c>
      <c r="N6245" s="182">
        <v>57</v>
      </c>
      <c r="O6245">
        <v>4099</v>
      </c>
      <c r="P6245" s="132" t="s">
        <v>77</v>
      </c>
      <c r="Q6245" s="176">
        <v>8820</v>
      </c>
      <c r="R6245" s="176">
        <v>1411.2</v>
      </c>
      <c r="S6245" s="176"/>
      <c r="T6245" s="190">
        <v>940.8</v>
      </c>
      <c r="U6245" s="191">
        <v>882</v>
      </c>
      <c r="V6245" s="191">
        <v>8408.4000000000015</v>
      </c>
      <c r="W6245">
        <v>113</v>
      </c>
      <c r="X6245" s="186" t="s">
        <v>1429</v>
      </c>
      <c r="Y6245" s="187" t="s">
        <v>55</v>
      </c>
      <c r="Z6245" s="311">
        <v>289</v>
      </c>
      <c r="AB6245" t="str">
        <f>IF(Table1[[#This Row],[TIPO2]]="costo", VLOOKUP(Table1[[#This Row],[PARTIDA PRESUPUESTAL]],'Cost Report'!G:G,1,0),"Balance")</f>
        <v>2403-005</v>
      </c>
      <c r="AD6245" s="159">
        <f>+Table1[[#This Row],[SUBTOTAL]]+Table1[[#This Row],[IVA]]-Table1[[#This Row],[RET IVA]]-Table1[[#This Row],[RET ISR]]-Table1[[#This Row],[TOTAL]]</f>
        <v>0</v>
      </c>
      <c r="AK6245" s="306">
        <f>IF(ISNUMBER(Table1[[#This Row],[FECHA DE RECIBIDO]]), Table1[[#This Row],[FECHA DE RECIBIDO]]-DATE(2023,8,30), "")</f>
        <v>-44888.421782407408</v>
      </c>
    </row>
    <row r="6246" spans="1:37" ht="16.05" customHeight="1">
      <c r="A6246" s="172" t="s">
        <v>5258</v>
      </c>
      <c r="B6246" s="178">
        <v>2225</v>
      </c>
      <c r="C6246" s="179" t="s">
        <v>626</v>
      </c>
      <c r="D6246">
        <v>4271</v>
      </c>
      <c r="E6246" s="125">
        <v>44620</v>
      </c>
      <c r="F6246" s="178">
        <v>626</v>
      </c>
      <c r="G6246" s="178" t="s">
        <v>109</v>
      </c>
      <c r="H6246">
        <v>107</v>
      </c>
      <c r="I6246" s="178" t="s">
        <v>1546</v>
      </c>
      <c r="J6246" s="320">
        <v>278.80379629629897</v>
      </c>
      <c r="K6246" s="178" t="s">
        <v>5322</v>
      </c>
      <c r="L6246" s="125" t="s">
        <v>110</v>
      </c>
      <c r="M6246">
        <v>145</v>
      </c>
      <c r="N6246" s="182">
        <v>37</v>
      </c>
      <c r="O6246">
        <v>4100</v>
      </c>
      <c r="P6246" s="132" t="s">
        <v>77</v>
      </c>
      <c r="Q6246" s="176">
        <v>34000</v>
      </c>
      <c r="R6246" s="176">
        <v>5440</v>
      </c>
      <c r="S6246" s="176"/>
      <c r="T6246" s="190">
        <v>3626.66</v>
      </c>
      <c r="U6246" s="191">
        <v>425</v>
      </c>
      <c r="V6246" s="191">
        <v>35388.339999999997</v>
      </c>
      <c r="W6246">
        <v>69</v>
      </c>
      <c r="X6246" s="186" t="s">
        <v>1430</v>
      </c>
      <c r="Y6246" s="187" t="s">
        <v>55</v>
      </c>
      <c r="Z6246" s="311">
        <v>289</v>
      </c>
      <c r="AB6246" t="str">
        <f>IF(Table1[[#This Row],[TIPO2]]="costo", VLOOKUP(Table1[[#This Row],[PARTIDA PRESUPUESTAL]],'Cost Report'!G:G,1,0),"Balance")</f>
        <v>2501-005</v>
      </c>
      <c r="AD6246" s="159">
        <f>+Table1[[#This Row],[SUBTOTAL]]+Table1[[#This Row],[IVA]]-Table1[[#This Row],[RET IVA]]-Table1[[#This Row],[RET ISR]]-Table1[[#This Row],[TOTAL]]</f>
        <v>0</v>
      </c>
      <c r="AK6246" s="306">
        <f>IF(ISNUMBER(Table1[[#This Row],[FECHA DE RECIBIDO]]), Table1[[#This Row],[FECHA DE RECIBIDO]]-DATE(2023,8,30), "")</f>
        <v>-44889.196203703701</v>
      </c>
    </row>
    <row r="6247" spans="1:37" ht="16.05" customHeight="1">
      <c r="A6247" s="172" t="s">
        <v>5259</v>
      </c>
      <c r="B6247" s="178">
        <v>2227</v>
      </c>
      <c r="C6247" s="179" t="s">
        <v>596</v>
      </c>
      <c r="D6247">
        <v>4272</v>
      </c>
      <c r="E6247" s="125">
        <v>44950</v>
      </c>
      <c r="F6247" s="178">
        <v>626</v>
      </c>
      <c r="G6247" s="178" t="s">
        <v>109</v>
      </c>
      <c r="H6247">
        <v>796</v>
      </c>
      <c r="I6247" s="178" t="s">
        <v>1546</v>
      </c>
      <c r="J6247" s="320">
        <v>279.72309027778101</v>
      </c>
      <c r="K6247" s="178" t="s">
        <v>5322</v>
      </c>
      <c r="L6247" s="125" t="s">
        <v>110</v>
      </c>
      <c r="M6247">
        <v>1099</v>
      </c>
      <c r="N6247" s="182">
        <v>208</v>
      </c>
      <c r="O6247">
        <v>4101</v>
      </c>
      <c r="P6247" s="132" t="s">
        <v>77</v>
      </c>
      <c r="Q6247" s="176">
        <v>7350</v>
      </c>
      <c r="R6247" s="176">
        <v>1176</v>
      </c>
      <c r="S6247" s="176"/>
      <c r="T6247" s="190">
        <v>784</v>
      </c>
      <c r="U6247" s="191">
        <v>91.88</v>
      </c>
      <c r="V6247" s="191">
        <v>7650.12</v>
      </c>
      <c r="W6247">
        <v>395</v>
      </c>
      <c r="X6247" s="186" t="s">
        <v>1429</v>
      </c>
      <c r="Y6247" s="187" t="s">
        <v>55</v>
      </c>
      <c r="Z6247" s="311">
        <v>289</v>
      </c>
      <c r="AB6247" t="str">
        <f>IF(Table1[[#This Row],[TIPO2]]="costo", VLOOKUP(Table1[[#This Row],[PARTIDA PRESUPUESTAL]],'Cost Report'!G:G,1,0),"Balance")</f>
        <v>2403-005</v>
      </c>
      <c r="AD6247" s="159">
        <f>+Table1[[#This Row],[SUBTOTAL]]+Table1[[#This Row],[IVA]]-Table1[[#This Row],[RET IVA]]-Table1[[#This Row],[RET ISR]]-Table1[[#This Row],[TOTAL]]</f>
        <v>0</v>
      </c>
      <c r="AK6247" s="306">
        <f>IF(ISNUMBER(Table1[[#This Row],[FECHA DE RECIBIDO]]), Table1[[#This Row],[FECHA DE RECIBIDO]]-DATE(2023,8,30), "")</f>
        <v>-44888.276909722219</v>
      </c>
    </row>
    <row r="6248" spans="1:37" ht="16.05" customHeight="1">
      <c r="A6248" s="172" t="s">
        <v>5260</v>
      </c>
      <c r="B6248" s="178">
        <v>2228</v>
      </c>
      <c r="C6248" s="179" t="s">
        <v>596</v>
      </c>
      <c r="D6248">
        <v>4273</v>
      </c>
      <c r="E6248" s="125">
        <v>48970</v>
      </c>
      <c r="F6248" s="178">
        <v>612</v>
      </c>
      <c r="G6248" s="178" t="s">
        <v>129</v>
      </c>
      <c r="H6248">
        <v>1016</v>
      </c>
      <c r="I6248" s="178" t="s">
        <v>1546</v>
      </c>
      <c r="J6248" s="320">
        <v>279.78726851852116</v>
      </c>
      <c r="K6248" s="178" t="s">
        <v>5322</v>
      </c>
      <c r="L6248" s="125" t="s">
        <v>110</v>
      </c>
      <c r="M6248">
        <v>1411</v>
      </c>
      <c r="N6248" s="182">
        <v>251</v>
      </c>
      <c r="O6248">
        <v>4102</v>
      </c>
      <c r="P6248" s="132" t="s">
        <v>77</v>
      </c>
      <c r="Q6248" s="176">
        <v>1470</v>
      </c>
      <c r="R6248" s="176">
        <v>235.2</v>
      </c>
      <c r="S6248" s="176"/>
      <c r="T6248" s="190">
        <v>156.85</v>
      </c>
      <c r="U6248" s="191">
        <v>147</v>
      </c>
      <c r="V6248" s="191">
        <v>1401.3500000000001</v>
      </c>
      <c r="W6248">
        <v>491</v>
      </c>
      <c r="X6248" s="186" t="s">
        <v>1429</v>
      </c>
      <c r="Y6248" s="187" t="s">
        <v>55</v>
      </c>
      <c r="Z6248" s="311">
        <v>289</v>
      </c>
      <c r="AB6248" t="str">
        <f>IF(Table1[[#This Row],[TIPO2]]="costo", VLOOKUP(Table1[[#This Row],[PARTIDA PRESUPUESTAL]],'Cost Report'!G:G,1,0),"Balance")</f>
        <v>2403-005</v>
      </c>
      <c r="AD6248" s="159">
        <f>+Table1[[#This Row],[SUBTOTAL]]+Table1[[#This Row],[IVA]]-Table1[[#This Row],[RET IVA]]-Table1[[#This Row],[RET ISR]]-Table1[[#This Row],[TOTAL]]</f>
        <v>0</v>
      </c>
      <c r="AK6248" s="306">
        <f>IF(ISNUMBER(Table1[[#This Row],[FECHA DE RECIBIDO]]), Table1[[#This Row],[FECHA DE RECIBIDO]]-DATE(2023,8,30), "")</f>
        <v>-44888.212731481479</v>
      </c>
    </row>
    <row r="6249" spans="1:37" ht="16.05" customHeight="1">
      <c r="A6249" s="172" t="s">
        <v>5261</v>
      </c>
      <c r="B6249" s="178">
        <v>2229</v>
      </c>
      <c r="C6249" s="179" t="s">
        <v>596</v>
      </c>
      <c r="D6249">
        <v>4274</v>
      </c>
      <c r="E6249" s="125">
        <v>48970</v>
      </c>
      <c r="F6249" s="178">
        <v>612</v>
      </c>
      <c r="G6249" s="178" t="s">
        <v>129</v>
      </c>
      <c r="H6249">
        <v>1016</v>
      </c>
      <c r="I6249" s="178" t="s">
        <v>1546</v>
      </c>
      <c r="J6249" s="320">
        <v>279.7920138888876</v>
      </c>
      <c r="K6249" s="178" t="s">
        <v>5322</v>
      </c>
      <c r="L6249" s="125" t="s">
        <v>110</v>
      </c>
      <c r="M6249">
        <v>1411</v>
      </c>
      <c r="N6249" s="182">
        <v>251</v>
      </c>
      <c r="O6249">
        <v>4103</v>
      </c>
      <c r="P6249" s="132" t="s">
        <v>77</v>
      </c>
      <c r="Q6249" s="176">
        <v>4410</v>
      </c>
      <c r="R6249" s="176">
        <v>705.6</v>
      </c>
      <c r="S6249" s="176"/>
      <c r="T6249" s="190">
        <v>470.55</v>
      </c>
      <c r="U6249" s="191">
        <v>441</v>
      </c>
      <c r="V6249" s="191">
        <v>4204.05</v>
      </c>
      <c r="W6249">
        <v>491</v>
      </c>
      <c r="X6249" s="186" t="s">
        <v>1429</v>
      </c>
      <c r="Y6249" s="187" t="s">
        <v>55</v>
      </c>
      <c r="Z6249" s="311">
        <v>289</v>
      </c>
      <c r="AB6249" t="str">
        <f>IF(Table1[[#This Row],[TIPO2]]="costo", VLOOKUP(Table1[[#This Row],[PARTIDA PRESUPUESTAL]],'Cost Report'!G:G,1,0),"Balance")</f>
        <v>2403-005</v>
      </c>
      <c r="AD6249" s="159">
        <f>+Table1[[#This Row],[SUBTOTAL]]+Table1[[#This Row],[IVA]]-Table1[[#This Row],[RET IVA]]-Table1[[#This Row],[RET ISR]]-Table1[[#This Row],[TOTAL]]</f>
        <v>0</v>
      </c>
      <c r="AK6249" s="306">
        <f>IF(ISNUMBER(Table1[[#This Row],[FECHA DE RECIBIDO]]), Table1[[#This Row],[FECHA DE RECIBIDO]]-DATE(2023,8,30), "")</f>
        <v>-44888.207986111112</v>
      </c>
    </row>
    <row r="6250" spans="1:37" ht="16.05" customHeight="1">
      <c r="A6250" s="172" t="s">
        <v>5262</v>
      </c>
      <c r="B6250" s="178">
        <v>2230</v>
      </c>
      <c r="C6250" s="179" t="s">
        <v>2508</v>
      </c>
      <c r="D6250">
        <v>4275</v>
      </c>
      <c r="E6250" s="125">
        <v>44810</v>
      </c>
      <c r="F6250" s="178">
        <v>612</v>
      </c>
      <c r="G6250" s="178" t="s">
        <v>129</v>
      </c>
      <c r="H6250">
        <v>504</v>
      </c>
      <c r="I6250" s="178" t="s">
        <v>1546</v>
      </c>
      <c r="J6250" s="320">
        <v>280.01526620370714</v>
      </c>
      <c r="K6250" s="178" t="s">
        <v>5322</v>
      </c>
      <c r="L6250" s="125" t="s">
        <v>110</v>
      </c>
      <c r="M6250">
        <v>728</v>
      </c>
      <c r="N6250" s="182">
        <v>133</v>
      </c>
      <c r="O6250">
        <v>4104</v>
      </c>
      <c r="P6250" s="132" t="s">
        <v>77</v>
      </c>
      <c r="Q6250" s="176">
        <v>8333.35</v>
      </c>
      <c r="R6250" s="176">
        <v>1333.34</v>
      </c>
      <c r="S6250" s="176"/>
      <c r="T6250" s="190">
        <v>888.89</v>
      </c>
      <c r="U6250" s="191">
        <v>833.34</v>
      </c>
      <c r="V6250" s="191">
        <v>7944.4600000000009</v>
      </c>
      <c r="W6250">
        <v>276</v>
      </c>
      <c r="X6250" s="186" t="s">
        <v>1431</v>
      </c>
      <c r="Y6250" s="187" t="s">
        <v>55</v>
      </c>
      <c r="Z6250" s="311">
        <v>289</v>
      </c>
      <c r="AB6250" t="str">
        <f>IF(Table1[[#This Row],[TIPO2]]="costo", VLOOKUP(Table1[[#This Row],[PARTIDA PRESUPUESTAL]],'Cost Report'!G:G,1,0),"Balance")</f>
        <v>2401-039</v>
      </c>
      <c r="AD6250" s="159">
        <f>+Table1[[#This Row],[SUBTOTAL]]+Table1[[#This Row],[IVA]]-Table1[[#This Row],[RET IVA]]-Table1[[#This Row],[RET ISR]]-Table1[[#This Row],[TOTAL]]</f>
        <v>0</v>
      </c>
      <c r="AK6250" s="306">
        <f>IF(ISNUMBER(Table1[[#This Row],[FECHA DE RECIBIDO]]), Table1[[#This Row],[FECHA DE RECIBIDO]]-DATE(2023,8,30), "")</f>
        <v>-44887.984733796293</v>
      </c>
    </row>
    <row r="6251" spans="1:37" ht="16.05" customHeight="1">
      <c r="A6251" s="172" t="s">
        <v>5263</v>
      </c>
      <c r="B6251" s="178">
        <v>2231</v>
      </c>
      <c r="C6251" s="179" t="s">
        <v>584</v>
      </c>
      <c r="D6251">
        <v>4276</v>
      </c>
      <c r="E6251" s="125">
        <v>45059</v>
      </c>
      <c r="F6251" s="178">
        <v>612</v>
      </c>
      <c r="G6251" s="178" t="s">
        <v>129</v>
      </c>
      <c r="H6251">
        <v>111</v>
      </c>
      <c r="I6251" s="178" t="s">
        <v>1546</v>
      </c>
      <c r="J6251" s="320">
        <v>279.81211805555358</v>
      </c>
      <c r="K6251" s="178" t="s">
        <v>5322</v>
      </c>
      <c r="L6251" s="125" t="s">
        <v>110</v>
      </c>
      <c r="M6251">
        <v>149</v>
      </c>
      <c r="N6251" s="182">
        <v>41</v>
      </c>
      <c r="O6251">
        <v>4105</v>
      </c>
      <c r="P6251" s="132" t="s">
        <v>77</v>
      </c>
      <c r="Q6251" s="176">
        <v>8925</v>
      </c>
      <c r="R6251" s="176">
        <v>1428</v>
      </c>
      <c r="S6251" s="176"/>
      <c r="T6251" s="190">
        <v>952</v>
      </c>
      <c r="U6251" s="191">
        <v>892.5</v>
      </c>
      <c r="V6251" s="191">
        <v>8508.5</v>
      </c>
      <c r="W6251">
        <v>73</v>
      </c>
      <c r="X6251" s="186" t="s">
        <v>1430</v>
      </c>
      <c r="Y6251" s="187" t="s">
        <v>55</v>
      </c>
      <c r="Z6251" s="311">
        <v>289</v>
      </c>
      <c r="AB6251" t="str">
        <f>IF(Table1[[#This Row],[TIPO2]]="costo", VLOOKUP(Table1[[#This Row],[PARTIDA PRESUPUESTAL]],'Cost Report'!G:G,1,0),"Balance")</f>
        <v>2401-016</v>
      </c>
      <c r="AD6251" s="159">
        <f>+Table1[[#This Row],[SUBTOTAL]]+Table1[[#This Row],[IVA]]-Table1[[#This Row],[RET IVA]]-Table1[[#This Row],[RET ISR]]-Table1[[#This Row],[TOTAL]]</f>
        <v>0</v>
      </c>
      <c r="AK6251" s="306">
        <f>IF(ISNUMBER(Table1[[#This Row],[FECHA DE RECIBIDO]]), Table1[[#This Row],[FECHA DE RECIBIDO]]-DATE(2023,8,30), "")</f>
        <v>-44888.187881944446</v>
      </c>
    </row>
    <row r="6252" spans="1:37" ht="16.05" customHeight="1">
      <c r="A6252" s="172" t="s">
        <v>5264</v>
      </c>
      <c r="B6252" s="178">
        <v>2232</v>
      </c>
      <c r="C6252" s="179" t="s">
        <v>584</v>
      </c>
      <c r="D6252">
        <v>4277</v>
      </c>
      <c r="E6252" s="125">
        <v>45059</v>
      </c>
      <c r="F6252" s="178">
        <v>612</v>
      </c>
      <c r="G6252" s="178" t="s">
        <v>129</v>
      </c>
      <c r="H6252">
        <v>111</v>
      </c>
      <c r="I6252" s="178" t="s">
        <v>1546</v>
      </c>
      <c r="J6252" s="320">
        <v>279.8419212962981</v>
      </c>
      <c r="K6252" s="178" t="s">
        <v>5322</v>
      </c>
      <c r="L6252" s="125" t="s">
        <v>110</v>
      </c>
      <c r="M6252">
        <v>149</v>
      </c>
      <c r="N6252" s="182">
        <v>41</v>
      </c>
      <c r="O6252">
        <v>4106</v>
      </c>
      <c r="P6252" s="132" t="s">
        <v>77</v>
      </c>
      <c r="Q6252" s="176">
        <v>8333.35</v>
      </c>
      <c r="R6252" s="176">
        <v>1333.34</v>
      </c>
      <c r="S6252" s="176"/>
      <c r="T6252" s="190">
        <v>888.89</v>
      </c>
      <c r="U6252" s="191">
        <v>833.34</v>
      </c>
      <c r="V6252" s="191">
        <v>7944.4600000000009</v>
      </c>
      <c r="W6252">
        <v>73</v>
      </c>
      <c r="X6252" s="186" t="s">
        <v>1430</v>
      </c>
      <c r="Y6252" s="187" t="s">
        <v>55</v>
      </c>
      <c r="Z6252" s="311">
        <v>289</v>
      </c>
      <c r="AB6252" t="str">
        <f>IF(Table1[[#This Row],[TIPO2]]="costo", VLOOKUP(Table1[[#This Row],[PARTIDA PRESUPUESTAL]],'Cost Report'!G:G,1,0),"Balance")</f>
        <v>2401-016</v>
      </c>
      <c r="AD6252" s="159">
        <f>+Table1[[#This Row],[SUBTOTAL]]+Table1[[#This Row],[IVA]]-Table1[[#This Row],[RET IVA]]-Table1[[#This Row],[RET ISR]]-Table1[[#This Row],[TOTAL]]</f>
        <v>0</v>
      </c>
      <c r="AK6252" s="306">
        <f>IF(ISNUMBER(Table1[[#This Row],[FECHA DE RECIBIDO]]), Table1[[#This Row],[FECHA DE RECIBIDO]]-DATE(2023,8,30), "")</f>
        <v>-44888.158078703702</v>
      </c>
    </row>
    <row r="6253" spans="1:37" ht="16.05" customHeight="1">
      <c r="A6253" s="172" t="s">
        <v>5265</v>
      </c>
      <c r="B6253" s="178">
        <v>2233</v>
      </c>
      <c r="C6253" s="179" t="s">
        <v>580</v>
      </c>
      <c r="D6253">
        <v>4278</v>
      </c>
      <c r="E6253" s="125">
        <v>29020</v>
      </c>
      <c r="F6253" s="178">
        <v>612</v>
      </c>
      <c r="G6253" s="178" t="s">
        <v>129</v>
      </c>
      <c r="H6253">
        <v>65</v>
      </c>
      <c r="I6253" s="178" t="s">
        <v>1546</v>
      </c>
      <c r="J6253" s="320">
        <v>280.53188657407736</v>
      </c>
      <c r="K6253" s="178" t="s">
        <v>5322</v>
      </c>
      <c r="L6253" s="125" t="s">
        <v>110</v>
      </c>
      <c r="M6253">
        <v>88</v>
      </c>
      <c r="N6253" s="182">
        <v>25</v>
      </c>
      <c r="O6253">
        <v>4107</v>
      </c>
      <c r="P6253" s="132" t="s">
        <v>77</v>
      </c>
      <c r="Q6253" s="176">
        <v>1470</v>
      </c>
      <c r="R6253" s="176">
        <v>235.2</v>
      </c>
      <c r="S6253" s="176"/>
      <c r="T6253" s="190">
        <v>156.80000000000001</v>
      </c>
      <c r="U6253" s="191">
        <v>147</v>
      </c>
      <c r="V6253" s="191">
        <v>1401.4</v>
      </c>
      <c r="W6253">
        <v>47</v>
      </c>
      <c r="X6253" s="186" t="s">
        <v>1897</v>
      </c>
      <c r="Y6253" s="187" t="s">
        <v>55</v>
      </c>
      <c r="Z6253" s="311">
        <v>289</v>
      </c>
      <c r="AB6253" t="str">
        <f>IF(Table1[[#This Row],[TIPO2]]="costo", VLOOKUP(Table1[[#This Row],[PARTIDA PRESUPUESTAL]],'Cost Report'!G:G,1,0),"Balance")</f>
        <v>2401-010</v>
      </c>
      <c r="AD6253" s="159">
        <f>+Table1[[#This Row],[SUBTOTAL]]+Table1[[#This Row],[IVA]]-Table1[[#This Row],[RET IVA]]-Table1[[#This Row],[RET ISR]]-Table1[[#This Row],[TOTAL]]</f>
        <v>0</v>
      </c>
      <c r="AK6253" s="306">
        <f>IF(ISNUMBER(Table1[[#This Row],[FECHA DE RECIBIDO]]), Table1[[#This Row],[FECHA DE RECIBIDO]]-DATE(2023,8,30), "")</f>
        <v>-44887.468113425923</v>
      </c>
    </row>
    <row r="6254" spans="1:37" ht="16.05" customHeight="1">
      <c r="A6254" s="172" t="s">
        <v>5266</v>
      </c>
      <c r="B6254" s="178">
        <v>2234</v>
      </c>
      <c r="C6254" s="179" t="s">
        <v>580</v>
      </c>
      <c r="D6254">
        <v>4279</v>
      </c>
      <c r="E6254" s="125">
        <v>29020</v>
      </c>
      <c r="F6254" s="178">
        <v>612</v>
      </c>
      <c r="G6254" s="178" t="s">
        <v>129</v>
      </c>
      <c r="H6254">
        <v>65</v>
      </c>
      <c r="I6254" s="178" t="s">
        <v>1546</v>
      </c>
      <c r="J6254" s="320">
        <v>280.54607638889138</v>
      </c>
      <c r="K6254" s="178" t="s">
        <v>5322</v>
      </c>
      <c r="L6254" s="125" t="s">
        <v>110</v>
      </c>
      <c r="M6254">
        <v>88</v>
      </c>
      <c r="N6254" s="182">
        <v>25</v>
      </c>
      <c r="O6254">
        <v>4108</v>
      </c>
      <c r="P6254" s="132" t="s">
        <v>77</v>
      </c>
      <c r="Q6254" s="176">
        <v>1498.29</v>
      </c>
      <c r="R6254" s="176">
        <v>239.73</v>
      </c>
      <c r="S6254" s="176"/>
      <c r="T6254" s="190">
        <v>159.82</v>
      </c>
      <c r="U6254" s="191">
        <v>149.83000000000001</v>
      </c>
      <c r="V6254" s="191">
        <v>1428.3700000000001</v>
      </c>
      <c r="W6254">
        <v>47</v>
      </c>
      <c r="X6254" s="186" t="s">
        <v>1897</v>
      </c>
      <c r="Y6254" s="187" t="s">
        <v>55</v>
      </c>
      <c r="Z6254" s="311">
        <v>289</v>
      </c>
      <c r="AB6254" t="str">
        <f>IF(Table1[[#This Row],[TIPO2]]="costo", VLOOKUP(Table1[[#This Row],[PARTIDA PRESUPUESTAL]],'Cost Report'!G:G,1,0),"Balance")</f>
        <v>2401-010</v>
      </c>
      <c r="AD6254" s="159">
        <f>+Table1[[#This Row],[SUBTOTAL]]+Table1[[#This Row],[IVA]]-Table1[[#This Row],[RET IVA]]-Table1[[#This Row],[RET ISR]]-Table1[[#This Row],[TOTAL]]</f>
        <v>0</v>
      </c>
      <c r="AK6254" s="306">
        <f>IF(ISNUMBER(Table1[[#This Row],[FECHA DE RECIBIDO]]), Table1[[#This Row],[FECHA DE RECIBIDO]]-DATE(2023,8,30), "")</f>
        <v>-44887.453923611109</v>
      </c>
    </row>
    <row r="6255" spans="1:37" ht="16.05" customHeight="1">
      <c r="A6255" s="172" t="s">
        <v>5267</v>
      </c>
      <c r="B6255" s="178">
        <v>2235</v>
      </c>
      <c r="C6255" s="179" t="s">
        <v>580</v>
      </c>
      <c r="D6255">
        <v>4280</v>
      </c>
      <c r="E6255" s="125">
        <v>29020</v>
      </c>
      <c r="F6255" s="178">
        <v>612</v>
      </c>
      <c r="G6255" s="178" t="s">
        <v>129</v>
      </c>
      <c r="H6255">
        <v>65</v>
      </c>
      <c r="I6255" s="178" t="s">
        <v>1546</v>
      </c>
      <c r="J6255" s="320">
        <v>280.53792824073753</v>
      </c>
      <c r="K6255" s="178" t="s">
        <v>5322</v>
      </c>
      <c r="L6255" s="125" t="s">
        <v>110</v>
      </c>
      <c r="M6255">
        <v>88</v>
      </c>
      <c r="N6255" s="182">
        <v>25</v>
      </c>
      <c r="O6255">
        <v>4109</v>
      </c>
      <c r="P6255" s="132" t="s">
        <v>77</v>
      </c>
      <c r="Q6255" s="176">
        <v>3333.34</v>
      </c>
      <c r="R6255" s="176">
        <v>533.34</v>
      </c>
      <c r="S6255" s="176"/>
      <c r="T6255" s="190">
        <v>355.56</v>
      </c>
      <c r="U6255" s="191">
        <v>333.34</v>
      </c>
      <c r="V6255" s="191">
        <v>3177.78</v>
      </c>
      <c r="W6255">
        <v>47</v>
      </c>
      <c r="X6255" s="186" t="s">
        <v>1897</v>
      </c>
      <c r="Y6255" s="187" t="s">
        <v>55</v>
      </c>
      <c r="Z6255" s="311">
        <v>289</v>
      </c>
      <c r="AB6255" t="str">
        <f>IF(Table1[[#This Row],[TIPO2]]="costo", VLOOKUP(Table1[[#This Row],[PARTIDA PRESUPUESTAL]],'Cost Report'!G:G,1,0),"Balance")</f>
        <v>2401-010</v>
      </c>
      <c r="AD6255" s="159">
        <f>+Table1[[#This Row],[SUBTOTAL]]+Table1[[#This Row],[IVA]]-Table1[[#This Row],[RET IVA]]-Table1[[#This Row],[RET ISR]]-Table1[[#This Row],[TOTAL]]</f>
        <v>0</v>
      </c>
      <c r="AK6255" s="306">
        <f>IF(ISNUMBER(Table1[[#This Row],[FECHA DE RECIBIDO]]), Table1[[#This Row],[FECHA DE RECIBIDO]]-DATE(2023,8,30), "")</f>
        <v>-44887.462071759262</v>
      </c>
    </row>
    <row r="6256" spans="1:37" ht="16.05" customHeight="1">
      <c r="A6256" s="172" t="s">
        <v>5268</v>
      </c>
      <c r="B6256" s="178">
        <v>2236</v>
      </c>
      <c r="C6256" s="179" t="s">
        <v>2527</v>
      </c>
      <c r="D6256">
        <v>4281</v>
      </c>
      <c r="E6256" s="125">
        <v>44130</v>
      </c>
      <c r="F6256" s="178">
        <v>626</v>
      </c>
      <c r="G6256" s="178" t="s">
        <v>109</v>
      </c>
      <c r="H6256">
        <v>791</v>
      </c>
      <c r="I6256" s="178" t="s">
        <v>1546</v>
      </c>
      <c r="J6256" s="320">
        <v>280.65724537037022</v>
      </c>
      <c r="K6256" s="178" t="s">
        <v>5322</v>
      </c>
      <c r="L6256" s="125" t="s">
        <v>110</v>
      </c>
      <c r="M6256">
        <v>1094</v>
      </c>
      <c r="N6256" s="182">
        <v>203</v>
      </c>
      <c r="O6256">
        <v>4110</v>
      </c>
      <c r="P6256" s="132" t="s">
        <v>77</v>
      </c>
      <c r="Q6256" s="176">
        <v>5880</v>
      </c>
      <c r="R6256" s="176">
        <v>940.8</v>
      </c>
      <c r="S6256" s="176"/>
      <c r="T6256" s="190">
        <v>627.20000000000005</v>
      </c>
      <c r="U6256" s="191">
        <v>73.510000000000005</v>
      </c>
      <c r="V6256" s="191">
        <v>6120.09</v>
      </c>
      <c r="W6256">
        <v>390</v>
      </c>
      <c r="X6256" s="186" t="s">
        <v>1429</v>
      </c>
      <c r="Y6256" s="187" t="s">
        <v>55</v>
      </c>
      <c r="Z6256" s="311">
        <v>289</v>
      </c>
      <c r="AB6256" t="str">
        <f>IF(Table1[[#This Row],[TIPO2]]="costo", VLOOKUP(Table1[[#This Row],[PARTIDA PRESUPUESTAL]],'Cost Report'!G:G,1,0),"Balance")</f>
        <v>2405-025</v>
      </c>
      <c r="AD6256" s="159">
        <f>+Table1[[#This Row],[SUBTOTAL]]+Table1[[#This Row],[IVA]]-Table1[[#This Row],[RET IVA]]-Table1[[#This Row],[RET ISR]]-Table1[[#This Row],[TOTAL]]</f>
        <v>0</v>
      </c>
      <c r="AK6256" s="306">
        <f>IF(ISNUMBER(Table1[[#This Row],[FECHA DE RECIBIDO]]), Table1[[#This Row],[FECHA DE RECIBIDO]]-DATE(2023,8,30), "")</f>
        <v>-44887.34275462963</v>
      </c>
    </row>
    <row r="6257" spans="1:37" ht="16.05" customHeight="1">
      <c r="A6257" s="172" t="s">
        <v>5269</v>
      </c>
      <c r="B6257" s="178">
        <v>2237</v>
      </c>
      <c r="C6257" s="179" t="s">
        <v>663</v>
      </c>
      <c r="D6257">
        <v>4282</v>
      </c>
      <c r="E6257" s="125">
        <v>1600</v>
      </c>
      <c r="F6257" s="178">
        <v>612</v>
      </c>
      <c r="G6257" s="178" t="s">
        <v>129</v>
      </c>
      <c r="H6257">
        <v>204</v>
      </c>
      <c r="I6257" s="178" t="s">
        <v>1546</v>
      </c>
      <c r="J6257" s="320">
        <v>278.65694444444671</v>
      </c>
      <c r="K6257" s="178" t="s">
        <v>5322</v>
      </c>
      <c r="L6257" s="125" t="s">
        <v>110</v>
      </c>
      <c r="M6257">
        <v>269</v>
      </c>
      <c r="N6257" s="182">
        <v>69</v>
      </c>
      <c r="O6257">
        <v>4111</v>
      </c>
      <c r="P6257" s="132" t="s">
        <v>77</v>
      </c>
      <c r="Q6257" s="176">
        <v>7500</v>
      </c>
      <c r="R6257" s="176">
        <v>1200</v>
      </c>
      <c r="S6257" s="176"/>
      <c r="T6257" s="190">
        <v>800</v>
      </c>
      <c r="U6257" s="191">
        <v>750</v>
      </c>
      <c r="V6257" s="191">
        <v>7150</v>
      </c>
      <c r="W6257">
        <v>125</v>
      </c>
      <c r="X6257" s="186" t="s">
        <v>1434</v>
      </c>
      <c r="Y6257" s="187" t="s">
        <v>55</v>
      </c>
      <c r="Z6257" s="311">
        <v>289</v>
      </c>
      <c r="AB6257" t="str">
        <f>IF(Table1[[#This Row],[TIPO2]]="costo", VLOOKUP(Table1[[#This Row],[PARTIDA PRESUPUESTAL]],'Cost Report'!G:G,1,0),"Balance")</f>
        <v>2707-005</v>
      </c>
      <c r="AD6257" s="159">
        <f>+Table1[[#This Row],[SUBTOTAL]]+Table1[[#This Row],[IVA]]-Table1[[#This Row],[RET IVA]]-Table1[[#This Row],[RET ISR]]-Table1[[#This Row],[TOTAL]]</f>
        <v>0</v>
      </c>
      <c r="AK6257" s="306">
        <f>IF(ISNUMBER(Table1[[#This Row],[FECHA DE RECIBIDO]]), Table1[[#This Row],[FECHA DE RECIBIDO]]-DATE(2023,8,30), "")</f>
        <v>-44889.343055555553</v>
      </c>
    </row>
    <row r="6258" spans="1:37" ht="16.05" customHeight="1">
      <c r="A6258" s="172" t="s">
        <v>5270</v>
      </c>
      <c r="B6258" s="178">
        <v>2238</v>
      </c>
      <c r="C6258" s="179" t="s">
        <v>3011</v>
      </c>
      <c r="D6258">
        <v>4283</v>
      </c>
      <c r="E6258" s="125">
        <v>6400</v>
      </c>
      <c r="F6258" s="178">
        <v>626</v>
      </c>
      <c r="G6258" s="178" t="s">
        <v>109</v>
      </c>
      <c r="H6258">
        <v>116</v>
      </c>
      <c r="I6258" s="178" t="s">
        <v>1546</v>
      </c>
      <c r="J6258" s="320">
        <v>279.70938657407532</v>
      </c>
      <c r="K6258" s="178" t="s">
        <v>5322</v>
      </c>
      <c r="L6258" s="125" t="s">
        <v>110</v>
      </c>
      <c r="M6258">
        <v>154</v>
      </c>
      <c r="N6258" s="182">
        <v>46</v>
      </c>
      <c r="O6258">
        <v>4112</v>
      </c>
      <c r="P6258" s="132" t="s">
        <v>77</v>
      </c>
      <c r="Q6258" s="176">
        <v>44000</v>
      </c>
      <c r="R6258" s="176">
        <v>7040</v>
      </c>
      <c r="S6258" s="176"/>
      <c r="T6258" s="190">
        <v>4693.34</v>
      </c>
      <c r="U6258" s="191">
        <v>550</v>
      </c>
      <c r="V6258" s="191">
        <v>45796.66</v>
      </c>
      <c r="W6258">
        <v>78</v>
      </c>
      <c r="X6258" s="186" t="s">
        <v>1430</v>
      </c>
      <c r="Y6258" s="187" t="s">
        <v>55</v>
      </c>
      <c r="Z6258" s="311">
        <v>289</v>
      </c>
      <c r="AB6258" t="str">
        <f>IF(Table1[[#This Row],[TIPO2]]="costo", VLOOKUP(Table1[[#This Row],[PARTIDA PRESUPUESTAL]],'Cost Report'!G:G,1,0),"Balance")</f>
        <v>5009-005</v>
      </c>
      <c r="AD6258" s="159">
        <f>+Table1[[#This Row],[SUBTOTAL]]+Table1[[#This Row],[IVA]]-Table1[[#This Row],[RET IVA]]-Table1[[#This Row],[RET ISR]]-Table1[[#This Row],[TOTAL]]</f>
        <v>0</v>
      </c>
      <c r="AK6258" s="306">
        <f>IF(ISNUMBER(Table1[[#This Row],[FECHA DE RECIBIDO]]), Table1[[#This Row],[FECHA DE RECIBIDO]]-DATE(2023,8,30), "")</f>
        <v>-44888.290613425925</v>
      </c>
    </row>
    <row r="6259" spans="1:37" ht="16.05" customHeight="1">
      <c r="A6259" s="172" t="s">
        <v>5271</v>
      </c>
      <c r="B6259" s="178">
        <v>2239</v>
      </c>
      <c r="C6259" s="179" t="s">
        <v>3012</v>
      </c>
      <c r="D6259">
        <v>4284</v>
      </c>
      <c r="E6259" s="125">
        <v>4260</v>
      </c>
      <c r="F6259" s="178">
        <v>612</v>
      </c>
      <c r="G6259" s="178" t="s">
        <v>129</v>
      </c>
      <c r="H6259">
        <v>207</v>
      </c>
      <c r="I6259" s="178" t="s">
        <v>1546</v>
      </c>
      <c r="J6259" s="320">
        <v>278.71797453703766</v>
      </c>
      <c r="K6259" s="178" t="s">
        <v>5322</v>
      </c>
      <c r="L6259" s="125" t="s">
        <v>110</v>
      </c>
      <c r="M6259">
        <v>272</v>
      </c>
      <c r="N6259" s="182">
        <v>72</v>
      </c>
      <c r="O6259">
        <v>4113</v>
      </c>
      <c r="P6259" s="132" t="s">
        <v>77</v>
      </c>
      <c r="Q6259" s="176">
        <v>22000</v>
      </c>
      <c r="R6259" s="176">
        <v>3520</v>
      </c>
      <c r="S6259" s="176"/>
      <c r="T6259" s="190">
        <v>2346.6799999999998</v>
      </c>
      <c r="U6259" s="191">
        <v>2200</v>
      </c>
      <c r="V6259" s="191">
        <v>20973.32</v>
      </c>
      <c r="W6259">
        <v>128</v>
      </c>
      <c r="X6259" s="186" t="s">
        <v>1431</v>
      </c>
      <c r="Y6259" s="187" t="s">
        <v>55</v>
      </c>
      <c r="Z6259" s="311">
        <v>289</v>
      </c>
      <c r="AB6259" t="str">
        <f>IF(Table1[[#This Row],[TIPO2]]="costo", VLOOKUP(Table1[[#This Row],[PARTIDA PRESUPUESTAL]],'Cost Report'!G:G,1,0),"Balance")</f>
        <v>5010-005</v>
      </c>
      <c r="AD6259" s="159">
        <f>+Table1[[#This Row],[SUBTOTAL]]+Table1[[#This Row],[IVA]]-Table1[[#This Row],[RET IVA]]-Table1[[#This Row],[RET ISR]]-Table1[[#This Row],[TOTAL]]</f>
        <v>0</v>
      </c>
      <c r="AK6259" s="306">
        <f>IF(ISNUMBER(Table1[[#This Row],[FECHA DE RECIBIDO]]), Table1[[#This Row],[FECHA DE RECIBIDO]]-DATE(2023,8,30), "")</f>
        <v>-44889.282025462962</v>
      </c>
    </row>
    <row r="6260" spans="1:37" ht="16.05" customHeight="1">
      <c r="A6260" s="172" t="s">
        <v>5272</v>
      </c>
      <c r="B6260" s="178">
        <v>2240</v>
      </c>
      <c r="C6260" s="179" t="s">
        <v>2615</v>
      </c>
      <c r="D6260">
        <v>4285</v>
      </c>
      <c r="E6260" s="125" t="s">
        <v>3225</v>
      </c>
      <c r="F6260" s="178">
        <v>612</v>
      </c>
      <c r="G6260" s="178" t="s">
        <v>129</v>
      </c>
      <c r="H6260">
        <v>1017</v>
      </c>
      <c r="I6260" s="178" t="s">
        <v>1546</v>
      </c>
      <c r="J6260" s="320" t="s">
        <v>214</v>
      </c>
      <c r="K6260" s="178" t="s">
        <v>5322</v>
      </c>
      <c r="L6260" s="125" t="s">
        <v>110</v>
      </c>
      <c r="M6260">
        <v>1412</v>
      </c>
      <c r="N6260" s="182">
        <v>252</v>
      </c>
      <c r="O6260">
        <v>4114</v>
      </c>
      <c r="P6260" s="132" t="s">
        <v>77</v>
      </c>
      <c r="Q6260" s="176">
        <v>3000</v>
      </c>
      <c r="R6260" s="176">
        <v>480</v>
      </c>
      <c r="S6260" s="176"/>
      <c r="T6260" s="190">
        <v>320</v>
      </c>
      <c r="U6260" s="191">
        <v>300</v>
      </c>
      <c r="V6260" s="191">
        <v>2860</v>
      </c>
      <c r="W6260">
        <v>492</v>
      </c>
      <c r="X6260" s="186" t="s">
        <v>1429</v>
      </c>
      <c r="Y6260" s="187" t="s">
        <v>55</v>
      </c>
      <c r="Z6260" s="311">
        <v>289</v>
      </c>
      <c r="AB6260" t="str">
        <f>IF(Table1[[#This Row],[TIPO2]]="costo", VLOOKUP(Table1[[#This Row],[PARTIDA PRESUPUESTAL]],'Cost Report'!G:G,1,0),"Balance")</f>
        <v>2805-019</v>
      </c>
      <c r="AD6260" s="159">
        <f>+Table1[[#This Row],[SUBTOTAL]]+Table1[[#This Row],[IVA]]-Table1[[#This Row],[RET IVA]]-Table1[[#This Row],[RET ISR]]-Table1[[#This Row],[TOTAL]]</f>
        <v>0</v>
      </c>
      <c r="AK6260" s="306" t="str">
        <f>IF(ISNUMBER(Table1[[#This Row],[FECHA DE RECIBIDO]]), Table1[[#This Row],[FECHA DE RECIBIDO]]-DATE(2023,8,30), "")</f>
        <v/>
      </c>
    </row>
    <row r="6261" spans="1:37" ht="16.05" customHeight="1">
      <c r="A6261" s="172" t="s">
        <v>5273</v>
      </c>
      <c r="B6261" s="178">
        <v>2241</v>
      </c>
      <c r="C6261" s="179" t="s">
        <v>794</v>
      </c>
      <c r="D6261">
        <v>4286</v>
      </c>
      <c r="E6261" s="125" t="s">
        <v>2017</v>
      </c>
      <c r="F6261" s="178">
        <v>626</v>
      </c>
      <c r="G6261" s="178" t="s">
        <v>109</v>
      </c>
      <c r="H6261">
        <v>115</v>
      </c>
      <c r="I6261" s="178" t="s">
        <v>1546</v>
      </c>
      <c r="J6261" s="320" t="s">
        <v>214</v>
      </c>
      <c r="K6261" s="178" t="s">
        <v>5322</v>
      </c>
      <c r="L6261" s="125" t="s">
        <v>110</v>
      </c>
      <c r="M6261">
        <v>153</v>
      </c>
      <c r="N6261" s="182">
        <v>45</v>
      </c>
      <c r="O6261">
        <v>4115</v>
      </c>
      <c r="P6261" s="132" t="s">
        <v>77</v>
      </c>
      <c r="Q6261" s="176">
        <v>105000</v>
      </c>
      <c r="R6261" s="176">
        <v>16800</v>
      </c>
      <c r="S6261" s="176"/>
      <c r="T6261" s="190">
        <v>11200.04</v>
      </c>
      <c r="U6261" s="191">
        <v>1312.5</v>
      </c>
      <c r="V6261" s="191">
        <v>109287.45999999999</v>
      </c>
      <c r="W6261">
        <v>77</v>
      </c>
      <c r="X6261" s="186" t="s">
        <v>1431</v>
      </c>
      <c r="Y6261" s="187" t="s">
        <v>55</v>
      </c>
      <c r="Z6261" s="311">
        <v>289</v>
      </c>
      <c r="AB6261" t="str">
        <f>IF(Table1[[#This Row],[TIPO2]]="costo", VLOOKUP(Table1[[#This Row],[PARTIDA PRESUPUESTAL]],'Cost Report'!G:G,1,0),"Balance")</f>
        <v>3101-005</v>
      </c>
      <c r="AD6261" s="159">
        <f>+Table1[[#This Row],[SUBTOTAL]]+Table1[[#This Row],[IVA]]-Table1[[#This Row],[RET IVA]]-Table1[[#This Row],[RET ISR]]-Table1[[#This Row],[TOTAL]]</f>
        <v>0</v>
      </c>
      <c r="AK6261" s="306" t="str">
        <f>IF(ISNUMBER(Table1[[#This Row],[FECHA DE RECIBIDO]]), Table1[[#This Row],[FECHA DE RECIBIDO]]-DATE(2023,8,30), "")</f>
        <v/>
      </c>
    </row>
    <row r="6262" spans="1:37" ht="16.05" customHeight="1">
      <c r="A6262" s="172" t="s">
        <v>5274</v>
      </c>
      <c r="B6262" s="178">
        <v>2242</v>
      </c>
      <c r="C6262" s="179" t="s">
        <v>794</v>
      </c>
      <c r="D6262">
        <v>4287</v>
      </c>
      <c r="E6262" s="125" t="s">
        <v>2017</v>
      </c>
      <c r="F6262" s="178">
        <v>626</v>
      </c>
      <c r="G6262" s="178" t="s">
        <v>109</v>
      </c>
      <c r="H6262">
        <v>115</v>
      </c>
      <c r="I6262" s="178" t="s">
        <v>1546</v>
      </c>
      <c r="J6262" s="320" t="s">
        <v>214</v>
      </c>
      <c r="K6262" s="178" t="s">
        <v>5322</v>
      </c>
      <c r="L6262" s="125" t="s">
        <v>110</v>
      </c>
      <c r="M6262">
        <v>153</v>
      </c>
      <c r="N6262" s="182">
        <v>45</v>
      </c>
      <c r="O6262">
        <v>4116</v>
      </c>
      <c r="P6262" s="132" t="s">
        <v>77</v>
      </c>
      <c r="Q6262" s="176">
        <v>105000</v>
      </c>
      <c r="R6262" s="176">
        <v>16800</v>
      </c>
      <c r="S6262" s="176"/>
      <c r="T6262" s="190">
        <v>11200.04</v>
      </c>
      <c r="U6262" s="191">
        <v>1312.5</v>
      </c>
      <c r="V6262" s="191">
        <v>109287.45999999999</v>
      </c>
      <c r="W6262">
        <v>77</v>
      </c>
      <c r="X6262" s="186" t="s">
        <v>1431</v>
      </c>
      <c r="Y6262" s="187" t="s">
        <v>55</v>
      </c>
      <c r="Z6262" s="311">
        <v>289</v>
      </c>
      <c r="AB6262" t="str">
        <f>IF(Table1[[#This Row],[TIPO2]]="costo", VLOOKUP(Table1[[#This Row],[PARTIDA PRESUPUESTAL]],'Cost Report'!G:G,1,0),"Balance")</f>
        <v>3101-005</v>
      </c>
      <c r="AD6262" s="159">
        <f>+Table1[[#This Row],[SUBTOTAL]]+Table1[[#This Row],[IVA]]-Table1[[#This Row],[RET IVA]]-Table1[[#This Row],[RET ISR]]-Table1[[#This Row],[TOTAL]]</f>
        <v>0</v>
      </c>
      <c r="AK6262" s="306" t="str">
        <f>IF(ISNUMBER(Table1[[#This Row],[FECHA DE RECIBIDO]]), Table1[[#This Row],[FECHA DE RECIBIDO]]-DATE(2023,8,30), "")</f>
        <v/>
      </c>
    </row>
    <row r="6263" spans="1:37" ht="16.05" customHeight="1">
      <c r="A6263" s="172" t="s">
        <v>5275</v>
      </c>
      <c r="B6263" s="178">
        <v>2243</v>
      </c>
      <c r="C6263" s="179" t="s">
        <v>1823</v>
      </c>
      <c r="D6263">
        <v>4288</v>
      </c>
      <c r="E6263" s="125">
        <v>44600</v>
      </c>
      <c r="F6263" s="178">
        <v>621</v>
      </c>
      <c r="G6263" s="178" t="s">
        <v>1617</v>
      </c>
      <c r="H6263">
        <v>525</v>
      </c>
      <c r="I6263" s="178" t="s">
        <v>1546</v>
      </c>
      <c r="J6263" s="320">
        <v>280.59304398148379</v>
      </c>
      <c r="K6263" s="178" t="s">
        <v>5322</v>
      </c>
      <c r="L6263" s="125" t="s">
        <v>110</v>
      </c>
      <c r="M6263">
        <v>749</v>
      </c>
      <c r="N6263" s="182">
        <v>155</v>
      </c>
      <c r="O6263">
        <v>4117</v>
      </c>
      <c r="P6263" s="132" t="s">
        <v>77</v>
      </c>
      <c r="Q6263" s="176">
        <v>7166.66</v>
      </c>
      <c r="R6263" s="176">
        <v>1146.67</v>
      </c>
      <c r="S6263" s="176"/>
      <c r="T6263" s="190">
        <v>764.45</v>
      </c>
      <c r="U6263" s="191">
        <v>0</v>
      </c>
      <c r="V6263" s="191">
        <v>7548.88</v>
      </c>
      <c r="W6263">
        <v>297</v>
      </c>
      <c r="X6263" s="186" t="s">
        <v>1430</v>
      </c>
      <c r="Y6263" s="187" t="s">
        <v>55</v>
      </c>
      <c r="Z6263" s="311">
        <v>289</v>
      </c>
      <c r="AB6263" t="str">
        <f>IF(Table1[[#This Row],[TIPO2]]="costo", VLOOKUP(Table1[[#This Row],[PARTIDA PRESUPUESTAL]],'Cost Report'!G:G,1,0),"Balance")</f>
        <v>3104-014</v>
      </c>
      <c r="AD6263" s="159">
        <f>+Table1[[#This Row],[SUBTOTAL]]+Table1[[#This Row],[IVA]]-Table1[[#This Row],[RET IVA]]-Table1[[#This Row],[RET ISR]]-Table1[[#This Row],[TOTAL]]</f>
        <v>0</v>
      </c>
      <c r="AK6263" s="306">
        <f>IF(ISNUMBER(Table1[[#This Row],[FECHA DE RECIBIDO]]), Table1[[#This Row],[FECHA DE RECIBIDO]]-DATE(2023,8,30), "")</f>
        <v>-44887.406956018516</v>
      </c>
    </row>
    <row r="6264" spans="1:37" ht="16.05" customHeight="1">
      <c r="A6264" s="172" t="s">
        <v>5276</v>
      </c>
      <c r="B6264" s="178">
        <v>2244</v>
      </c>
      <c r="C6264" s="179" t="s">
        <v>2693</v>
      </c>
      <c r="D6264">
        <v>4289</v>
      </c>
      <c r="E6264" s="125">
        <v>56377</v>
      </c>
      <c r="F6264" s="178">
        <v>621</v>
      </c>
      <c r="G6264" s="178" t="s">
        <v>1617</v>
      </c>
      <c r="H6264">
        <v>798</v>
      </c>
      <c r="I6264" s="178" t="s">
        <v>1546</v>
      </c>
      <c r="J6264" s="320">
        <v>280.82076388888527</v>
      </c>
      <c r="K6264" s="178" t="s">
        <v>5322</v>
      </c>
      <c r="L6264" s="125" t="s">
        <v>110</v>
      </c>
      <c r="M6264">
        <v>1101</v>
      </c>
      <c r="N6264" s="182">
        <v>210</v>
      </c>
      <c r="O6264">
        <v>4118</v>
      </c>
      <c r="P6264" s="132" t="s">
        <v>77</v>
      </c>
      <c r="Q6264" s="176">
        <v>32500</v>
      </c>
      <c r="R6264" s="176">
        <v>5200</v>
      </c>
      <c r="S6264" s="176"/>
      <c r="T6264" s="190">
        <v>3466.67</v>
      </c>
      <c r="U6264" s="191">
        <v>0</v>
      </c>
      <c r="V6264" s="191">
        <v>34233.33</v>
      </c>
      <c r="W6264">
        <v>397</v>
      </c>
      <c r="X6264" s="186" t="s">
        <v>2024</v>
      </c>
      <c r="Y6264" s="187" t="s">
        <v>55</v>
      </c>
      <c r="Z6264" s="311">
        <v>289</v>
      </c>
      <c r="AB6264" t="str">
        <f>IF(Table1[[#This Row],[TIPO2]]="costo", VLOOKUP(Table1[[#This Row],[PARTIDA PRESUPUESTAL]],'Cost Report'!G:G,1,0),"Balance")</f>
        <v>3145-052</v>
      </c>
      <c r="AD6264" s="159">
        <f>+Table1[[#This Row],[SUBTOTAL]]+Table1[[#This Row],[IVA]]-Table1[[#This Row],[RET IVA]]-Table1[[#This Row],[RET ISR]]-Table1[[#This Row],[TOTAL]]</f>
        <v>0</v>
      </c>
      <c r="AK6264" s="306">
        <f>IF(ISNUMBER(Table1[[#This Row],[FECHA DE RECIBIDO]]), Table1[[#This Row],[FECHA DE RECIBIDO]]-DATE(2023,8,30), "")</f>
        <v>-44887.179236111115</v>
      </c>
    </row>
    <row r="6265" spans="1:37" ht="16.05" customHeight="1">
      <c r="A6265" s="172" t="s">
        <v>5277</v>
      </c>
      <c r="B6265" s="178">
        <v>2245</v>
      </c>
      <c r="C6265" s="179" t="s">
        <v>809</v>
      </c>
      <c r="D6265">
        <v>4290</v>
      </c>
      <c r="E6265" s="125" t="s">
        <v>3273</v>
      </c>
      <c r="F6265" s="178">
        <v>612</v>
      </c>
      <c r="G6265" s="178" t="s">
        <v>129</v>
      </c>
      <c r="H6265">
        <v>350</v>
      </c>
      <c r="I6265" s="178" t="s">
        <v>1546</v>
      </c>
      <c r="J6265" s="320" t="s">
        <v>214</v>
      </c>
      <c r="K6265" s="178" t="s">
        <v>5322</v>
      </c>
      <c r="L6265" s="125" t="s">
        <v>110</v>
      </c>
      <c r="M6265">
        <v>467</v>
      </c>
      <c r="N6265" s="182">
        <v>92</v>
      </c>
      <c r="O6265">
        <v>4119</v>
      </c>
      <c r="P6265" s="132" t="s">
        <v>77</v>
      </c>
      <c r="Q6265" s="176">
        <v>7166.66</v>
      </c>
      <c r="R6265" s="176">
        <v>1146.67</v>
      </c>
      <c r="S6265" s="176"/>
      <c r="T6265" s="190">
        <v>764.45</v>
      </c>
      <c r="U6265" s="191">
        <v>716.67</v>
      </c>
      <c r="V6265" s="191">
        <v>6832.21</v>
      </c>
      <c r="W6265">
        <v>187</v>
      </c>
      <c r="X6265" s="186" t="s">
        <v>1429</v>
      </c>
      <c r="Y6265" s="187" t="s">
        <v>55</v>
      </c>
      <c r="Z6265" s="311">
        <v>289</v>
      </c>
      <c r="AB6265" t="str">
        <f>IF(Table1[[#This Row],[TIPO2]]="costo", VLOOKUP(Table1[[#This Row],[PARTIDA PRESUPUESTAL]],'Cost Report'!G:G,1,0),"Balance")</f>
        <v>3104-004</v>
      </c>
      <c r="AD6265" s="159">
        <f>+Table1[[#This Row],[SUBTOTAL]]+Table1[[#This Row],[IVA]]-Table1[[#This Row],[RET IVA]]-Table1[[#This Row],[RET ISR]]-Table1[[#This Row],[TOTAL]]</f>
        <v>0</v>
      </c>
      <c r="AK6265" s="306" t="str">
        <f>IF(ISNUMBER(Table1[[#This Row],[FECHA DE RECIBIDO]]), Table1[[#This Row],[FECHA DE RECIBIDO]]-DATE(2023,8,30), "")</f>
        <v/>
      </c>
    </row>
    <row r="6266" spans="1:37" ht="16.05" customHeight="1">
      <c r="A6266" s="172" t="s">
        <v>5278</v>
      </c>
      <c r="B6266" s="178">
        <v>2246</v>
      </c>
      <c r="C6266" s="179" t="s">
        <v>231</v>
      </c>
      <c r="D6266">
        <v>4291</v>
      </c>
      <c r="E6266" s="125">
        <v>1730</v>
      </c>
      <c r="F6266" s="178">
        <v>626</v>
      </c>
      <c r="G6266" s="178" t="s">
        <v>109</v>
      </c>
      <c r="H6266">
        <v>13</v>
      </c>
      <c r="I6266" s="178" t="s">
        <v>1546</v>
      </c>
      <c r="J6266" s="320">
        <v>286.59053240740468</v>
      </c>
      <c r="K6266" s="178" t="s">
        <v>5322</v>
      </c>
      <c r="L6266" s="125" t="s">
        <v>110</v>
      </c>
      <c r="M6266">
        <v>1413</v>
      </c>
      <c r="N6266" s="182">
        <v>120</v>
      </c>
      <c r="O6266">
        <v>4120</v>
      </c>
      <c r="P6266" s="132" t="s">
        <v>77</v>
      </c>
      <c r="Q6266" s="176">
        <v>649000</v>
      </c>
      <c r="R6266" s="176">
        <v>103840</v>
      </c>
      <c r="S6266" s="176"/>
      <c r="T6266" s="190">
        <v>69226.880000000005</v>
      </c>
      <c r="U6266" s="191">
        <v>8112.5</v>
      </c>
      <c r="V6266" s="191">
        <v>675500.62</v>
      </c>
      <c r="W6266">
        <v>13</v>
      </c>
      <c r="X6266" s="186" t="s">
        <v>1431</v>
      </c>
      <c r="Y6266" s="187" t="s">
        <v>55</v>
      </c>
      <c r="Z6266" s="311">
        <v>289</v>
      </c>
      <c r="AB6266" t="str">
        <f>IF(Table1[[#This Row],[TIPO2]]="costo", VLOOKUP(Table1[[#This Row],[PARTIDA PRESUPUESTAL]],'Cost Report'!G:G,1,0),"Balance")</f>
        <v>1201-006</v>
      </c>
      <c r="AD6266" s="159">
        <f>+Table1[[#This Row],[SUBTOTAL]]+Table1[[#This Row],[IVA]]-Table1[[#This Row],[RET IVA]]-Table1[[#This Row],[RET ISR]]-Table1[[#This Row],[TOTAL]]</f>
        <v>0</v>
      </c>
      <c r="AK6266" s="306">
        <f>IF(ISNUMBER(Table1[[#This Row],[FECHA DE RECIBIDO]]), Table1[[#This Row],[FECHA DE RECIBIDO]]-DATE(2023,8,30), "")</f>
        <v>-44881.409467592595</v>
      </c>
    </row>
    <row r="6267" spans="1:37" ht="16.05" customHeight="1">
      <c r="A6267" s="172" t="s">
        <v>5279</v>
      </c>
      <c r="B6267" s="178">
        <v>2247</v>
      </c>
      <c r="C6267" s="179" t="s">
        <v>733</v>
      </c>
      <c r="D6267">
        <v>4292</v>
      </c>
      <c r="E6267" s="125">
        <v>44210</v>
      </c>
      <c r="F6267" s="178">
        <v>626</v>
      </c>
      <c r="G6267" s="178" t="s">
        <v>109</v>
      </c>
      <c r="H6267">
        <v>255</v>
      </c>
      <c r="I6267" s="178" t="s">
        <v>1546</v>
      </c>
      <c r="J6267" s="320">
        <v>279.71163194444671</v>
      </c>
      <c r="K6267" s="178" t="s">
        <v>5322</v>
      </c>
      <c r="L6267" s="125" t="s">
        <v>110</v>
      </c>
      <c r="M6267">
        <v>486</v>
      </c>
      <c r="N6267" s="182">
        <v>1</v>
      </c>
      <c r="O6267">
        <v>4121</v>
      </c>
      <c r="P6267" s="132" t="s">
        <v>77</v>
      </c>
      <c r="Q6267" s="176">
        <v>17622.150000000001</v>
      </c>
      <c r="R6267" s="176">
        <v>2819.54</v>
      </c>
      <c r="S6267" s="176"/>
      <c r="T6267" s="190">
        <v>1879.58</v>
      </c>
      <c r="U6267" s="191">
        <v>220.28</v>
      </c>
      <c r="V6267" s="191">
        <v>18341.830000000002</v>
      </c>
      <c r="W6267">
        <v>205</v>
      </c>
      <c r="X6267" s="186" t="s">
        <v>2024</v>
      </c>
      <c r="Y6267" s="187" t="s">
        <v>55</v>
      </c>
      <c r="Z6267" s="311">
        <v>289</v>
      </c>
      <c r="AB6267" t="str">
        <f>IF(Table1[[#This Row],[TIPO2]]="costo", VLOOKUP(Table1[[#This Row],[PARTIDA PRESUPUESTAL]],'Cost Report'!G:G,1,0),"Balance")</f>
        <v>3001-003</v>
      </c>
      <c r="AD6267" s="159">
        <f>+Table1[[#This Row],[SUBTOTAL]]+Table1[[#This Row],[IVA]]-Table1[[#This Row],[RET IVA]]-Table1[[#This Row],[RET ISR]]-Table1[[#This Row],[TOTAL]]</f>
        <v>0</v>
      </c>
      <c r="AK6267" s="306">
        <f>IF(ISNUMBER(Table1[[#This Row],[FECHA DE RECIBIDO]]), Table1[[#This Row],[FECHA DE RECIBIDO]]-DATE(2023,8,30), "")</f>
        <v>-44888.288368055553</v>
      </c>
    </row>
    <row r="6268" spans="1:37" ht="16.05" customHeight="1">
      <c r="A6268" s="172" t="s">
        <v>5280</v>
      </c>
      <c r="B6268" s="178">
        <v>2248</v>
      </c>
      <c r="C6268" s="179" t="s">
        <v>747</v>
      </c>
      <c r="D6268">
        <v>4293</v>
      </c>
      <c r="E6268" s="125">
        <v>45070</v>
      </c>
      <c r="F6268" s="178">
        <v>626</v>
      </c>
      <c r="G6268" s="178" t="s">
        <v>109</v>
      </c>
      <c r="H6268">
        <v>366</v>
      </c>
      <c r="I6268" s="178" t="s">
        <v>1546</v>
      </c>
      <c r="J6268" s="320">
        <v>279.75766203703824</v>
      </c>
      <c r="K6268" s="178" t="s">
        <v>5322</v>
      </c>
      <c r="L6268" s="125" t="s">
        <v>110</v>
      </c>
      <c r="M6268">
        <v>484</v>
      </c>
      <c r="N6268" s="182">
        <v>108</v>
      </c>
      <c r="O6268">
        <v>4122</v>
      </c>
      <c r="P6268" s="132" t="s">
        <v>77</v>
      </c>
      <c r="Q6268" s="176">
        <v>7157.4</v>
      </c>
      <c r="R6268" s="176">
        <v>1145.18</v>
      </c>
      <c r="S6268" s="176"/>
      <c r="T6268" s="190">
        <v>763.46</v>
      </c>
      <c r="U6268" s="191">
        <v>89.47</v>
      </c>
      <c r="V6268" s="191">
        <v>7449.65</v>
      </c>
      <c r="W6268">
        <v>203</v>
      </c>
      <c r="X6268" s="186" t="s">
        <v>1434</v>
      </c>
      <c r="Y6268" s="187" t="s">
        <v>55</v>
      </c>
      <c r="Z6268" s="311">
        <v>289</v>
      </c>
      <c r="AB6268" t="str">
        <f>IF(Table1[[#This Row],[TIPO2]]="costo", VLOOKUP(Table1[[#This Row],[PARTIDA PRESUPUESTAL]],'Cost Report'!G:G,1,0),"Balance")</f>
        <v>3002-015</v>
      </c>
      <c r="AD6268" s="159">
        <f>+Table1[[#This Row],[SUBTOTAL]]+Table1[[#This Row],[IVA]]-Table1[[#This Row],[RET IVA]]-Table1[[#This Row],[RET ISR]]-Table1[[#This Row],[TOTAL]]</f>
        <v>0</v>
      </c>
      <c r="AK6268" s="306">
        <f>IF(ISNUMBER(Table1[[#This Row],[FECHA DE RECIBIDO]]), Table1[[#This Row],[FECHA DE RECIBIDO]]-DATE(2023,8,30), "")</f>
        <v>-44888.242337962962</v>
      </c>
    </row>
    <row r="6269" spans="1:37" ht="16.05" customHeight="1">
      <c r="A6269" s="172" t="s">
        <v>5281</v>
      </c>
      <c r="B6269" s="178">
        <v>2249</v>
      </c>
      <c r="C6269" s="179" t="s">
        <v>721</v>
      </c>
      <c r="D6269">
        <v>4294</v>
      </c>
      <c r="E6269" s="125">
        <v>45350</v>
      </c>
      <c r="F6269" s="178">
        <v>612</v>
      </c>
      <c r="G6269" s="178" t="s">
        <v>129</v>
      </c>
      <c r="H6269">
        <v>363</v>
      </c>
      <c r="I6269" s="178" t="s">
        <v>1546</v>
      </c>
      <c r="J6269" s="320">
        <v>279.9529282407384</v>
      </c>
      <c r="K6269" s="178" t="s">
        <v>5322</v>
      </c>
      <c r="L6269" s="125" t="s">
        <v>110</v>
      </c>
      <c r="M6269">
        <v>481</v>
      </c>
      <c r="N6269" s="182">
        <v>105</v>
      </c>
      <c r="O6269">
        <v>4123</v>
      </c>
      <c r="P6269" s="132" t="s">
        <v>77</v>
      </c>
      <c r="Q6269" s="176">
        <v>7157.4</v>
      </c>
      <c r="R6269" s="176">
        <v>1145.18</v>
      </c>
      <c r="S6269" s="176"/>
      <c r="T6269" s="190">
        <v>763.46</v>
      </c>
      <c r="U6269" s="191">
        <v>715.74</v>
      </c>
      <c r="V6269" s="191">
        <v>6823.38</v>
      </c>
      <c r="W6269">
        <v>200</v>
      </c>
      <c r="X6269" s="186" t="s">
        <v>1434</v>
      </c>
      <c r="Y6269" s="187" t="s">
        <v>55</v>
      </c>
      <c r="Z6269" s="311">
        <v>289</v>
      </c>
      <c r="AB6269" t="str">
        <f>IF(Table1[[#This Row],[TIPO2]]="costo", VLOOKUP(Table1[[#This Row],[PARTIDA PRESUPUESTAL]],'Cost Report'!G:G,1,0),"Balance")</f>
        <v>2902-017</v>
      </c>
      <c r="AD6269" s="159">
        <f>+Table1[[#This Row],[SUBTOTAL]]+Table1[[#This Row],[IVA]]-Table1[[#This Row],[RET IVA]]-Table1[[#This Row],[RET ISR]]-Table1[[#This Row],[TOTAL]]</f>
        <v>0</v>
      </c>
      <c r="AK6269" s="306">
        <f>IF(ISNUMBER(Table1[[#This Row],[FECHA DE RECIBIDO]]), Table1[[#This Row],[FECHA DE RECIBIDO]]-DATE(2023,8,30), "")</f>
        <v>-44888.047071759262</v>
      </c>
    </row>
    <row r="6270" spans="1:37" ht="16.05" customHeight="1">
      <c r="A6270" s="172" t="s">
        <v>5282</v>
      </c>
      <c r="B6270" s="178">
        <v>2250</v>
      </c>
      <c r="C6270" s="179" t="s">
        <v>739</v>
      </c>
      <c r="D6270">
        <v>4295</v>
      </c>
      <c r="E6270" s="125">
        <v>45654</v>
      </c>
      <c r="F6270" s="178">
        <v>626</v>
      </c>
      <c r="G6270" s="178" t="s">
        <v>109</v>
      </c>
      <c r="H6270">
        <v>365</v>
      </c>
      <c r="I6270" s="178" t="s">
        <v>1546</v>
      </c>
      <c r="J6270" s="320">
        <v>280.40649305555417</v>
      </c>
      <c r="K6270" s="178" t="s">
        <v>5322</v>
      </c>
      <c r="L6270" s="125" t="s">
        <v>110</v>
      </c>
      <c r="M6270">
        <v>483</v>
      </c>
      <c r="N6270" s="182">
        <v>107</v>
      </c>
      <c r="O6270">
        <v>4124</v>
      </c>
      <c r="P6270" s="132" t="s">
        <v>77</v>
      </c>
      <c r="Q6270" s="176">
        <v>7157.4</v>
      </c>
      <c r="R6270" s="176">
        <v>1145.18</v>
      </c>
      <c r="S6270" s="176"/>
      <c r="T6270" s="190">
        <v>763.45</v>
      </c>
      <c r="U6270" s="191">
        <v>89.46</v>
      </c>
      <c r="V6270" s="191">
        <v>7449.67</v>
      </c>
      <c r="W6270">
        <v>202</v>
      </c>
      <c r="X6270" s="186" t="s">
        <v>3684</v>
      </c>
      <c r="Y6270" s="187" t="s">
        <v>55</v>
      </c>
      <c r="Z6270" s="311">
        <v>289</v>
      </c>
      <c r="AB6270" t="str">
        <f>IF(Table1[[#This Row],[TIPO2]]="costo", VLOOKUP(Table1[[#This Row],[PARTIDA PRESUPUESTAL]],'Cost Report'!G:G,1,0),"Balance")</f>
        <v>3002-003</v>
      </c>
      <c r="AD6270" s="159">
        <f>+Table1[[#This Row],[SUBTOTAL]]+Table1[[#This Row],[IVA]]-Table1[[#This Row],[RET IVA]]-Table1[[#This Row],[RET ISR]]-Table1[[#This Row],[TOTAL]]</f>
        <v>0</v>
      </c>
      <c r="AK6270" s="306">
        <f>IF(ISNUMBER(Table1[[#This Row],[FECHA DE RECIBIDO]]), Table1[[#This Row],[FECHA DE RECIBIDO]]-DATE(2023,8,30), "")</f>
        <v>-44887.593506944446</v>
      </c>
    </row>
    <row r="6271" spans="1:37" ht="16.05" customHeight="1">
      <c r="A6271" s="172" t="s">
        <v>5283</v>
      </c>
      <c r="B6271" s="178">
        <v>2251</v>
      </c>
      <c r="C6271" s="179" t="s">
        <v>744</v>
      </c>
      <c r="D6271">
        <v>4296</v>
      </c>
      <c r="E6271" s="125">
        <v>45138</v>
      </c>
      <c r="F6271" s="178">
        <v>626</v>
      </c>
      <c r="G6271" s="178" t="s">
        <v>109</v>
      </c>
      <c r="H6271">
        <v>367</v>
      </c>
      <c r="I6271" s="178" t="s">
        <v>1546</v>
      </c>
      <c r="J6271" s="320">
        <v>280.43409722221986</v>
      </c>
      <c r="K6271" s="178" t="s">
        <v>5322</v>
      </c>
      <c r="L6271" s="125" t="s">
        <v>110</v>
      </c>
      <c r="M6271">
        <v>485</v>
      </c>
      <c r="N6271" s="182">
        <v>109</v>
      </c>
      <c r="O6271">
        <v>4124</v>
      </c>
      <c r="P6271" s="132" t="s">
        <v>77</v>
      </c>
      <c r="Q6271" s="176">
        <v>7157.4</v>
      </c>
      <c r="R6271" s="176">
        <v>1145.18</v>
      </c>
      <c r="S6271" s="176"/>
      <c r="T6271" s="190">
        <v>763.45</v>
      </c>
      <c r="U6271" s="191">
        <v>89.46</v>
      </c>
      <c r="V6271" s="191">
        <v>7449.67</v>
      </c>
      <c r="W6271">
        <v>204</v>
      </c>
      <c r="X6271" s="186" t="s">
        <v>3684</v>
      </c>
      <c r="Y6271" s="187" t="s">
        <v>55</v>
      </c>
      <c r="Z6271" s="311">
        <v>289</v>
      </c>
      <c r="AB6271" t="str">
        <f>IF(Table1[[#This Row],[TIPO2]]="costo", VLOOKUP(Table1[[#This Row],[PARTIDA PRESUPUESTAL]],'Cost Report'!G:G,1,0),"Balance")</f>
        <v>3002-010</v>
      </c>
      <c r="AD6271" s="159">
        <f>+Table1[[#This Row],[SUBTOTAL]]+Table1[[#This Row],[IVA]]-Table1[[#This Row],[RET IVA]]-Table1[[#This Row],[RET ISR]]-Table1[[#This Row],[TOTAL]]</f>
        <v>0</v>
      </c>
      <c r="AK6271" s="306">
        <f>IF(ISNUMBER(Table1[[#This Row],[FECHA DE RECIBIDO]]), Table1[[#This Row],[FECHA DE RECIBIDO]]-DATE(2023,8,30), "")</f>
        <v>-44887.56590277778</v>
      </c>
    </row>
    <row r="6272" spans="1:37" ht="16.05" customHeight="1">
      <c r="A6272" s="172" t="s">
        <v>5284</v>
      </c>
      <c r="B6272" s="178">
        <v>2252</v>
      </c>
      <c r="C6272" s="179" t="s">
        <v>779</v>
      </c>
      <c r="D6272">
        <v>4297</v>
      </c>
      <c r="E6272" s="125">
        <v>9780</v>
      </c>
      <c r="F6272" s="178">
        <v>612</v>
      </c>
      <c r="G6272" s="178" t="s">
        <v>129</v>
      </c>
      <c r="H6272">
        <v>368</v>
      </c>
      <c r="I6272" s="178" t="s">
        <v>1546</v>
      </c>
      <c r="J6272" s="320">
        <v>280.66358796296117</v>
      </c>
      <c r="K6272" s="178" t="s">
        <v>5322</v>
      </c>
      <c r="L6272" s="125" t="s">
        <v>110</v>
      </c>
      <c r="M6272">
        <v>487</v>
      </c>
      <c r="N6272" s="182">
        <v>110</v>
      </c>
      <c r="O6272">
        <v>4125</v>
      </c>
      <c r="P6272" s="132" t="s">
        <v>77</v>
      </c>
      <c r="Q6272" s="176">
        <v>19550</v>
      </c>
      <c r="R6272" s="176">
        <v>3128</v>
      </c>
      <c r="S6272" s="176"/>
      <c r="T6272" s="190">
        <v>2085.34</v>
      </c>
      <c r="U6272" s="191">
        <v>1955</v>
      </c>
      <c r="V6272" s="191">
        <v>18637.66</v>
      </c>
      <c r="W6272">
        <v>206</v>
      </c>
      <c r="X6272" s="186" t="s">
        <v>1434</v>
      </c>
      <c r="Y6272" s="187" t="s">
        <v>55</v>
      </c>
      <c r="Z6272" s="311">
        <v>289</v>
      </c>
      <c r="AB6272" t="str">
        <f>IF(Table1[[#This Row],[TIPO2]]="costo", VLOOKUP(Table1[[#This Row],[PARTIDA PRESUPUESTAL]],'Cost Report'!G:G,1,0),"Balance")</f>
        <v>3004-004</v>
      </c>
      <c r="AD6272" s="159">
        <f>+Table1[[#This Row],[SUBTOTAL]]+Table1[[#This Row],[IVA]]-Table1[[#This Row],[RET IVA]]-Table1[[#This Row],[RET ISR]]-Table1[[#This Row],[TOTAL]]</f>
        <v>0</v>
      </c>
      <c r="AK6272" s="306">
        <f>IF(ISNUMBER(Table1[[#This Row],[FECHA DE RECIBIDO]]), Table1[[#This Row],[FECHA DE RECIBIDO]]-DATE(2023,8,30), "")</f>
        <v>-44887.336412037039</v>
      </c>
    </row>
    <row r="6273" spans="1:37" ht="16.05" customHeight="1">
      <c r="A6273" s="172" t="s">
        <v>5285</v>
      </c>
      <c r="B6273" s="178">
        <v>2253</v>
      </c>
      <c r="C6273" s="179" t="s">
        <v>780</v>
      </c>
      <c r="D6273">
        <v>4298</v>
      </c>
      <c r="E6273" s="125">
        <v>9780</v>
      </c>
      <c r="F6273" s="178">
        <v>612</v>
      </c>
      <c r="G6273" s="178" t="s">
        <v>129</v>
      </c>
      <c r="H6273">
        <v>368</v>
      </c>
      <c r="I6273" s="178" t="s">
        <v>1546</v>
      </c>
      <c r="J6273" s="320">
        <v>280.65232638888847</v>
      </c>
      <c r="K6273" s="178" t="s">
        <v>5322</v>
      </c>
      <c r="L6273" s="125" t="s">
        <v>110</v>
      </c>
      <c r="M6273">
        <v>487</v>
      </c>
      <c r="N6273" s="182">
        <v>110</v>
      </c>
      <c r="O6273">
        <v>4126</v>
      </c>
      <c r="P6273" s="132" t="s">
        <v>77</v>
      </c>
      <c r="Q6273" s="176">
        <v>3258.32</v>
      </c>
      <c r="R6273" s="176">
        <v>521.33000000000004</v>
      </c>
      <c r="S6273" s="176"/>
      <c r="T6273" s="190">
        <v>347.56</v>
      </c>
      <c r="U6273" s="191">
        <v>325.83</v>
      </c>
      <c r="V6273" s="191">
        <v>3106.26</v>
      </c>
      <c r="W6273">
        <v>206</v>
      </c>
      <c r="X6273" s="186" t="s">
        <v>1434</v>
      </c>
      <c r="Y6273" s="187" t="s">
        <v>55</v>
      </c>
      <c r="Z6273" s="311">
        <v>289</v>
      </c>
      <c r="AB6273" t="str">
        <f>IF(Table1[[#This Row],[TIPO2]]="costo", VLOOKUP(Table1[[#This Row],[PARTIDA PRESUPUESTAL]],'Cost Report'!G:G,1,0),"Balance")</f>
        <v>3004-005</v>
      </c>
      <c r="AD6273" s="159">
        <f>+Table1[[#This Row],[SUBTOTAL]]+Table1[[#This Row],[IVA]]-Table1[[#This Row],[RET IVA]]-Table1[[#This Row],[RET ISR]]-Table1[[#This Row],[TOTAL]]</f>
        <v>0</v>
      </c>
      <c r="AK6273" s="306">
        <f>IF(ISNUMBER(Table1[[#This Row],[FECHA DE RECIBIDO]]), Table1[[#This Row],[FECHA DE RECIBIDO]]-DATE(2023,8,30), "")</f>
        <v>-44887.347673611112</v>
      </c>
    </row>
    <row r="6274" spans="1:37" ht="16.05" customHeight="1">
      <c r="A6274" s="172" t="s">
        <v>5286</v>
      </c>
      <c r="B6274" s="178">
        <v>2254</v>
      </c>
      <c r="C6274" s="179" t="s">
        <v>1028</v>
      </c>
      <c r="D6274">
        <v>4299</v>
      </c>
      <c r="E6274" s="125">
        <v>80301</v>
      </c>
      <c r="F6274" s="178">
        <v>612</v>
      </c>
      <c r="G6274" s="178" t="s">
        <v>129</v>
      </c>
      <c r="H6274">
        <v>372</v>
      </c>
      <c r="I6274" s="178" t="s">
        <v>1546</v>
      </c>
      <c r="J6274" s="320">
        <v>280.64417824074189</v>
      </c>
      <c r="K6274" s="178" t="s">
        <v>5322</v>
      </c>
      <c r="L6274" s="125" t="s">
        <v>110</v>
      </c>
      <c r="M6274">
        <v>491</v>
      </c>
      <c r="N6274" s="182">
        <v>114</v>
      </c>
      <c r="O6274">
        <v>4127</v>
      </c>
      <c r="P6274" s="132" t="s">
        <v>77</v>
      </c>
      <c r="Q6274" s="176">
        <v>8000</v>
      </c>
      <c r="R6274" s="176">
        <v>1280</v>
      </c>
      <c r="S6274" s="176"/>
      <c r="T6274" s="190">
        <v>853.34</v>
      </c>
      <c r="U6274" s="191">
        <v>800</v>
      </c>
      <c r="V6274" s="191">
        <v>7626.66</v>
      </c>
      <c r="W6274">
        <v>210</v>
      </c>
      <c r="X6274" s="186" t="s">
        <v>3684</v>
      </c>
      <c r="Y6274" s="187" t="s">
        <v>55</v>
      </c>
      <c r="Z6274" s="311">
        <v>289</v>
      </c>
      <c r="AB6274" t="str">
        <f>IF(Table1[[#This Row],[TIPO2]]="costo", VLOOKUP(Table1[[#This Row],[PARTIDA PRESUPUESTAL]],'Cost Report'!G:G,1,0),"Balance")</f>
        <v>3601-005</v>
      </c>
      <c r="AD6274" s="159">
        <f>+Table1[[#This Row],[SUBTOTAL]]+Table1[[#This Row],[IVA]]-Table1[[#This Row],[RET IVA]]-Table1[[#This Row],[RET ISR]]-Table1[[#This Row],[TOTAL]]</f>
        <v>0</v>
      </c>
      <c r="AK6274" s="306">
        <f>IF(ISNUMBER(Table1[[#This Row],[FECHA DE RECIBIDO]]), Table1[[#This Row],[FECHA DE RECIBIDO]]-DATE(2023,8,30), "")</f>
        <v>-44887.355821759258</v>
      </c>
    </row>
    <row r="6275" spans="1:37" ht="16.05" customHeight="1">
      <c r="A6275" s="172" t="s">
        <v>5287</v>
      </c>
      <c r="B6275" s="178">
        <v>2255</v>
      </c>
      <c r="C6275" s="179" t="s">
        <v>2211</v>
      </c>
      <c r="D6275">
        <v>4300</v>
      </c>
      <c r="E6275" s="125">
        <v>4100</v>
      </c>
      <c r="F6275" s="178">
        <v>626</v>
      </c>
      <c r="G6275" s="178" t="s">
        <v>109</v>
      </c>
      <c r="H6275">
        <v>1018</v>
      </c>
      <c r="I6275" s="178" t="s">
        <v>1546</v>
      </c>
      <c r="J6275" s="320">
        <v>279.772430555553</v>
      </c>
      <c r="K6275" s="178" t="s">
        <v>5322</v>
      </c>
      <c r="L6275" s="125" t="s">
        <v>110</v>
      </c>
      <c r="M6275">
        <v>1414</v>
      </c>
      <c r="N6275" s="182">
        <v>253</v>
      </c>
      <c r="O6275">
        <v>4128</v>
      </c>
      <c r="P6275" s="132" t="s">
        <v>77</v>
      </c>
      <c r="Q6275" s="176">
        <v>84000</v>
      </c>
      <c r="R6275" s="176">
        <v>13440</v>
      </c>
      <c r="S6275" s="176"/>
      <c r="T6275" s="190">
        <v>8959.94</v>
      </c>
      <c r="U6275" s="191">
        <v>1050</v>
      </c>
      <c r="V6275" s="191">
        <v>87430.06</v>
      </c>
      <c r="W6275">
        <v>493</v>
      </c>
      <c r="X6275" s="186" t="s">
        <v>1431</v>
      </c>
      <c r="Y6275" s="187" t="s">
        <v>55</v>
      </c>
      <c r="Z6275" s="311">
        <v>289</v>
      </c>
      <c r="AB6275" t="str">
        <f>IF(Table1[[#This Row],[TIPO2]]="costo", VLOOKUP(Table1[[#This Row],[PARTIDA PRESUPUESTAL]],'Cost Report'!G:G,1,0),"Balance")</f>
        <v>1403-086</v>
      </c>
      <c r="AD6275" s="159">
        <f>+Table1[[#This Row],[SUBTOTAL]]+Table1[[#This Row],[IVA]]-Table1[[#This Row],[RET IVA]]-Table1[[#This Row],[RET ISR]]-Table1[[#This Row],[TOTAL]]</f>
        <v>0</v>
      </c>
      <c r="AK6275" s="306">
        <f>IF(ISNUMBER(Table1[[#This Row],[FECHA DE RECIBIDO]]), Table1[[#This Row],[FECHA DE RECIBIDO]]-DATE(2023,8,30), "")</f>
        <v>-44888.227569444447</v>
      </c>
    </row>
    <row r="6276" spans="1:37" ht="16.05" customHeight="1">
      <c r="A6276" s="172" t="s">
        <v>5288</v>
      </c>
      <c r="B6276" s="178">
        <v>2256</v>
      </c>
      <c r="C6276" s="179" t="s">
        <v>327</v>
      </c>
      <c r="D6276">
        <v>4301</v>
      </c>
      <c r="E6276" s="125">
        <v>45609</v>
      </c>
      <c r="F6276" s="178">
        <v>626</v>
      </c>
      <c r="G6276" s="178" t="s">
        <v>109</v>
      </c>
      <c r="H6276">
        <v>530</v>
      </c>
      <c r="I6276" s="178" t="s">
        <v>1546</v>
      </c>
      <c r="J6276" s="320">
        <v>280.63855324074393</v>
      </c>
      <c r="K6276" s="178" t="s">
        <v>5322</v>
      </c>
      <c r="L6276" s="125" t="s">
        <v>110</v>
      </c>
      <c r="M6276">
        <v>754</v>
      </c>
      <c r="N6276" s="182">
        <v>160</v>
      </c>
      <c r="O6276">
        <v>4129</v>
      </c>
      <c r="P6276" s="132" t="s">
        <v>77</v>
      </c>
      <c r="Q6276" s="176">
        <v>12600</v>
      </c>
      <c r="R6276" s="176">
        <v>2016</v>
      </c>
      <c r="S6276" s="176"/>
      <c r="T6276" s="190">
        <v>1344</v>
      </c>
      <c r="U6276" s="191">
        <v>157.5</v>
      </c>
      <c r="V6276" s="191">
        <v>13114.5</v>
      </c>
      <c r="W6276">
        <v>302</v>
      </c>
      <c r="X6276" s="186" t="s">
        <v>1429</v>
      </c>
      <c r="Y6276" s="187" t="s">
        <v>55</v>
      </c>
      <c r="Z6276" s="311">
        <v>289</v>
      </c>
      <c r="AB6276" t="str">
        <f>IF(Table1[[#This Row],[TIPO2]]="costo", VLOOKUP(Table1[[#This Row],[PARTIDA PRESUPUESTAL]],'Cost Report'!G:G,1,0),"Balance")</f>
        <v>1403-023</v>
      </c>
      <c r="AD6276" s="159">
        <f>+Table1[[#This Row],[SUBTOTAL]]+Table1[[#This Row],[IVA]]-Table1[[#This Row],[RET IVA]]-Table1[[#This Row],[RET ISR]]-Table1[[#This Row],[TOTAL]]</f>
        <v>0</v>
      </c>
      <c r="AK6276" s="306">
        <f>IF(ISNUMBER(Table1[[#This Row],[FECHA DE RECIBIDO]]), Table1[[#This Row],[FECHA DE RECIBIDO]]-DATE(2023,8,30), "")</f>
        <v>-44887.361446759256</v>
      </c>
    </row>
    <row r="6277" spans="1:37" ht="16.05" customHeight="1">
      <c r="A6277" s="172" t="s">
        <v>5289</v>
      </c>
      <c r="B6277" s="178">
        <v>2258</v>
      </c>
      <c r="C6277" s="179" t="s">
        <v>347</v>
      </c>
      <c r="D6277">
        <v>4302</v>
      </c>
      <c r="E6277" s="125">
        <v>45066</v>
      </c>
      <c r="F6277" s="178">
        <v>626</v>
      </c>
      <c r="G6277" s="178" t="s">
        <v>109</v>
      </c>
      <c r="H6277">
        <v>1019</v>
      </c>
      <c r="I6277" s="178" t="s">
        <v>1546</v>
      </c>
      <c r="J6277" s="320">
        <v>280.66137731481285</v>
      </c>
      <c r="K6277" s="178" t="s">
        <v>5322</v>
      </c>
      <c r="L6277" s="125" t="s">
        <v>110</v>
      </c>
      <c r="M6277">
        <v>1415</v>
      </c>
      <c r="N6277" s="182">
        <v>254</v>
      </c>
      <c r="O6277">
        <v>4130</v>
      </c>
      <c r="P6277" s="132" t="s">
        <v>77</v>
      </c>
      <c r="Q6277" s="176">
        <v>50400</v>
      </c>
      <c r="R6277" s="176">
        <v>8064</v>
      </c>
      <c r="S6277" s="176"/>
      <c r="T6277" s="190">
        <v>5376.01</v>
      </c>
      <c r="U6277" s="191">
        <v>630</v>
      </c>
      <c r="V6277" s="191">
        <v>52457.99</v>
      </c>
      <c r="W6277">
        <v>494</v>
      </c>
      <c r="X6277" s="186" t="s">
        <v>1897</v>
      </c>
      <c r="Y6277" s="187" t="s">
        <v>55</v>
      </c>
      <c r="Z6277" s="311">
        <v>289</v>
      </c>
      <c r="AB6277" t="str">
        <f>IF(Table1[[#This Row],[TIPO2]]="costo", VLOOKUP(Table1[[#This Row],[PARTIDA PRESUPUESTAL]],'Cost Report'!G:G,1,0),"Balance")</f>
        <v>1403-051</v>
      </c>
      <c r="AD6277" s="159">
        <f>+Table1[[#This Row],[SUBTOTAL]]+Table1[[#This Row],[IVA]]-Table1[[#This Row],[RET IVA]]-Table1[[#This Row],[RET ISR]]-Table1[[#This Row],[TOTAL]]</f>
        <v>0</v>
      </c>
      <c r="AK6277" s="306">
        <f>IF(ISNUMBER(Table1[[#This Row],[FECHA DE RECIBIDO]]), Table1[[#This Row],[FECHA DE RECIBIDO]]-DATE(2023,8,30), "")</f>
        <v>-44887.338622685187</v>
      </c>
    </row>
    <row r="6278" spans="1:37" ht="16.05" customHeight="1">
      <c r="A6278" s="172" t="s">
        <v>5290</v>
      </c>
      <c r="B6278" s="178">
        <v>2259</v>
      </c>
      <c r="C6278" s="179" t="s">
        <v>1859</v>
      </c>
      <c r="D6278">
        <v>4303</v>
      </c>
      <c r="E6278" s="125">
        <v>7269</v>
      </c>
      <c r="F6278" s="178">
        <v>612</v>
      </c>
      <c r="G6278" s="178" t="s">
        <v>129</v>
      </c>
      <c r="H6278">
        <v>209</v>
      </c>
      <c r="I6278" s="178" t="s">
        <v>1546</v>
      </c>
      <c r="J6278" s="320">
        <v>280.76085648148</v>
      </c>
      <c r="K6278" s="178" t="s">
        <v>5322</v>
      </c>
      <c r="L6278" s="125" t="s">
        <v>110</v>
      </c>
      <c r="M6278">
        <v>274</v>
      </c>
      <c r="N6278" s="182">
        <v>74</v>
      </c>
      <c r="O6278">
        <v>4131</v>
      </c>
      <c r="P6278" s="132" t="s">
        <v>77</v>
      </c>
      <c r="Q6278" s="176">
        <v>2000</v>
      </c>
      <c r="R6278" s="176">
        <v>0</v>
      </c>
      <c r="S6278" s="176"/>
      <c r="T6278" s="190">
        <v>0</v>
      </c>
      <c r="U6278" s="191">
        <v>200</v>
      </c>
      <c r="V6278" s="191">
        <v>1800</v>
      </c>
      <c r="W6278">
        <v>130</v>
      </c>
      <c r="X6278" s="186" t="s">
        <v>1434</v>
      </c>
      <c r="Y6278" s="187" t="s">
        <v>55</v>
      </c>
      <c r="Z6278" s="311">
        <v>289</v>
      </c>
      <c r="AB6278" t="str">
        <f>IF(Table1[[#This Row],[TIPO2]]="costo", VLOOKUP(Table1[[#This Row],[PARTIDA PRESUPUESTAL]],'Cost Report'!G:G,1,0),"Balance")</f>
        <v>3416-004</v>
      </c>
      <c r="AD6278" s="159">
        <f>+Table1[[#This Row],[SUBTOTAL]]+Table1[[#This Row],[IVA]]-Table1[[#This Row],[RET IVA]]-Table1[[#This Row],[RET ISR]]-Table1[[#This Row],[TOTAL]]</f>
        <v>0</v>
      </c>
      <c r="AK6278" s="306">
        <f>IF(ISNUMBER(Table1[[#This Row],[FECHA DE RECIBIDO]]), Table1[[#This Row],[FECHA DE RECIBIDO]]-DATE(2023,8,30), "")</f>
        <v>-44887.23914351852</v>
      </c>
    </row>
    <row r="6279" spans="1:37" ht="16.05" customHeight="1">
      <c r="A6279" s="172" t="s">
        <v>5291</v>
      </c>
      <c r="B6279" s="178">
        <v>2263</v>
      </c>
      <c r="C6279" s="179" t="s">
        <v>2252</v>
      </c>
      <c r="D6279">
        <v>4304</v>
      </c>
      <c r="E6279" s="125" t="s">
        <v>5292</v>
      </c>
      <c r="F6279" s="178">
        <v>612</v>
      </c>
      <c r="G6279" s="178" t="s">
        <v>129</v>
      </c>
      <c r="H6279">
        <v>1020</v>
      </c>
      <c r="I6279" s="178" t="s">
        <v>1546</v>
      </c>
      <c r="J6279" s="320" t="s">
        <v>214</v>
      </c>
      <c r="K6279" s="178" t="s">
        <v>5322</v>
      </c>
      <c r="L6279" s="125" t="s">
        <v>110</v>
      </c>
      <c r="M6279">
        <v>1416</v>
      </c>
      <c r="N6279" s="182">
        <v>255</v>
      </c>
      <c r="O6279">
        <v>4132</v>
      </c>
      <c r="P6279" s="132" t="s">
        <v>77</v>
      </c>
      <c r="Q6279" s="176">
        <v>4154</v>
      </c>
      <c r="R6279" s="176">
        <v>664.64</v>
      </c>
      <c r="S6279" s="176"/>
      <c r="T6279" s="190">
        <v>443.09</v>
      </c>
      <c r="U6279" s="191">
        <v>415.4</v>
      </c>
      <c r="V6279" s="191">
        <v>3960.15</v>
      </c>
      <c r="W6279">
        <v>495</v>
      </c>
      <c r="X6279" s="186" t="s">
        <v>1429</v>
      </c>
      <c r="Y6279" s="187" t="s">
        <v>55</v>
      </c>
      <c r="Z6279" s="311">
        <v>289</v>
      </c>
      <c r="AB6279" t="str">
        <f>IF(Table1[[#This Row],[TIPO2]]="costo", VLOOKUP(Table1[[#This Row],[PARTIDA PRESUPUESTAL]],'Cost Report'!G:G,1,0),"Balance")</f>
        <v>1411-033</v>
      </c>
      <c r="AD6279" s="159">
        <f>+Table1[[#This Row],[SUBTOTAL]]+Table1[[#This Row],[IVA]]-Table1[[#This Row],[RET IVA]]-Table1[[#This Row],[RET ISR]]-Table1[[#This Row],[TOTAL]]</f>
        <v>0</v>
      </c>
      <c r="AK6279" s="306" t="str">
        <f>IF(ISNUMBER(Table1[[#This Row],[FECHA DE RECIBIDO]]), Table1[[#This Row],[FECHA DE RECIBIDO]]-DATE(2023,8,30), "")</f>
        <v/>
      </c>
    </row>
    <row r="6280" spans="1:37" ht="16.05" customHeight="1">
      <c r="A6280" s="172" t="s">
        <v>5293</v>
      </c>
      <c r="B6280" s="178">
        <v>2264</v>
      </c>
      <c r="C6280" s="179" t="s">
        <v>2257</v>
      </c>
      <c r="D6280">
        <v>4305</v>
      </c>
      <c r="E6280" s="125" t="s">
        <v>5292</v>
      </c>
      <c r="F6280" s="178">
        <v>612</v>
      </c>
      <c r="G6280" s="178" t="s">
        <v>129</v>
      </c>
      <c r="H6280">
        <v>1020</v>
      </c>
      <c r="I6280" s="178" t="s">
        <v>1546</v>
      </c>
      <c r="J6280" s="320" t="s">
        <v>214</v>
      </c>
      <c r="K6280" s="178" t="s">
        <v>5322</v>
      </c>
      <c r="L6280" s="125" t="s">
        <v>110</v>
      </c>
      <c r="M6280">
        <v>1416</v>
      </c>
      <c r="N6280" s="182">
        <v>255</v>
      </c>
      <c r="O6280">
        <v>4133</v>
      </c>
      <c r="P6280" s="132" t="s">
        <v>77</v>
      </c>
      <c r="Q6280" s="176">
        <v>7654</v>
      </c>
      <c r="R6280" s="176">
        <v>1224.6400000000001</v>
      </c>
      <c r="S6280" s="176"/>
      <c r="T6280" s="190">
        <v>816.43</v>
      </c>
      <c r="U6280" s="191">
        <v>765.4</v>
      </c>
      <c r="V6280" s="191">
        <v>7296.8099999999995</v>
      </c>
      <c r="W6280">
        <v>495</v>
      </c>
      <c r="X6280" s="186" t="s">
        <v>1429</v>
      </c>
      <c r="Y6280" s="187" t="s">
        <v>55</v>
      </c>
      <c r="Z6280" s="311">
        <v>289</v>
      </c>
      <c r="AB6280" t="str">
        <f>IF(Table1[[#This Row],[TIPO2]]="costo", VLOOKUP(Table1[[#This Row],[PARTIDA PRESUPUESTAL]],'Cost Report'!G:G,1,0),"Balance")</f>
        <v>1411-038</v>
      </c>
      <c r="AD6280" s="159">
        <f>+Table1[[#This Row],[SUBTOTAL]]+Table1[[#This Row],[IVA]]-Table1[[#This Row],[RET IVA]]-Table1[[#This Row],[RET ISR]]-Table1[[#This Row],[TOTAL]]</f>
        <v>0</v>
      </c>
      <c r="AK6280" s="306" t="str">
        <f>IF(ISNUMBER(Table1[[#This Row],[FECHA DE RECIBIDO]]), Table1[[#This Row],[FECHA DE RECIBIDO]]-DATE(2023,8,30), "")</f>
        <v/>
      </c>
    </row>
    <row r="6281" spans="1:37" ht="16.05" customHeight="1">
      <c r="A6281" s="172" t="s">
        <v>5294</v>
      </c>
      <c r="B6281" s="178">
        <v>2265</v>
      </c>
      <c r="C6281" s="179" t="s">
        <v>2252</v>
      </c>
      <c r="D6281">
        <v>4306</v>
      </c>
      <c r="E6281" s="125" t="s">
        <v>5292</v>
      </c>
      <c r="F6281" s="178">
        <v>612</v>
      </c>
      <c r="G6281" s="178" t="s">
        <v>129</v>
      </c>
      <c r="H6281">
        <v>1020</v>
      </c>
      <c r="I6281" s="178" t="s">
        <v>1546</v>
      </c>
      <c r="J6281" s="320" t="s">
        <v>214</v>
      </c>
      <c r="K6281" s="178" t="s">
        <v>5322</v>
      </c>
      <c r="L6281" s="125" t="s">
        <v>110</v>
      </c>
      <c r="M6281">
        <v>1416</v>
      </c>
      <c r="N6281" s="182">
        <v>255</v>
      </c>
      <c r="O6281">
        <v>4134</v>
      </c>
      <c r="P6281" s="132" t="s">
        <v>77</v>
      </c>
      <c r="Q6281" s="176">
        <v>8090</v>
      </c>
      <c r="R6281" s="176">
        <v>1294.4000000000001</v>
      </c>
      <c r="S6281" s="176"/>
      <c r="T6281" s="190">
        <v>862.94</v>
      </c>
      <c r="U6281" s="191">
        <v>809</v>
      </c>
      <c r="V6281" s="191">
        <v>7712.4599999999991</v>
      </c>
      <c r="W6281">
        <v>495</v>
      </c>
      <c r="X6281" s="186" t="s">
        <v>1429</v>
      </c>
      <c r="Y6281" s="187" t="s">
        <v>55</v>
      </c>
      <c r="Z6281" s="311">
        <v>289</v>
      </c>
      <c r="AB6281" t="str">
        <f>IF(Table1[[#This Row],[TIPO2]]="costo", VLOOKUP(Table1[[#This Row],[PARTIDA PRESUPUESTAL]],'Cost Report'!G:G,1,0),"Balance")</f>
        <v>1411-033</v>
      </c>
      <c r="AD6281" s="159">
        <f>+Table1[[#This Row],[SUBTOTAL]]+Table1[[#This Row],[IVA]]-Table1[[#This Row],[RET IVA]]-Table1[[#This Row],[RET ISR]]-Table1[[#This Row],[TOTAL]]</f>
        <v>0</v>
      </c>
      <c r="AK6281" s="306" t="str">
        <f>IF(ISNUMBER(Table1[[#This Row],[FECHA DE RECIBIDO]]), Table1[[#This Row],[FECHA DE RECIBIDO]]-DATE(2023,8,30), "")</f>
        <v/>
      </c>
    </row>
    <row r="6282" spans="1:37" ht="16.05" customHeight="1">
      <c r="A6282" s="172" t="s">
        <v>5295</v>
      </c>
      <c r="B6282" s="178">
        <v>2266</v>
      </c>
      <c r="C6282" s="179" t="s">
        <v>610</v>
      </c>
      <c r="D6282">
        <v>4307</v>
      </c>
      <c r="E6282" s="125" t="s">
        <v>1603</v>
      </c>
      <c r="F6282" s="178">
        <v>601</v>
      </c>
      <c r="G6282" s="178" t="s">
        <v>134</v>
      </c>
      <c r="H6282">
        <v>610</v>
      </c>
      <c r="I6282" s="178" t="s">
        <v>1546</v>
      </c>
      <c r="J6282" s="320" t="s">
        <v>214</v>
      </c>
      <c r="K6282" s="178" t="s">
        <v>5322</v>
      </c>
      <c r="L6282" s="125" t="s">
        <v>1579</v>
      </c>
      <c r="M6282">
        <v>864</v>
      </c>
      <c r="N6282" s="182">
        <v>17</v>
      </c>
      <c r="O6282">
        <v>4135</v>
      </c>
      <c r="P6282" s="132" t="s">
        <v>77</v>
      </c>
      <c r="Q6282" s="176">
        <v>2317.2399999999998</v>
      </c>
      <c r="R6282" s="176">
        <v>370.75</v>
      </c>
      <c r="S6282" s="176"/>
      <c r="T6282" s="190"/>
      <c r="U6282" s="191"/>
      <c r="V6282" s="191">
        <v>2687.99</v>
      </c>
      <c r="W6282">
        <v>103</v>
      </c>
      <c r="X6282" s="186" t="s">
        <v>1644</v>
      </c>
      <c r="Y6282" s="187" t="s">
        <v>55</v>
      </c>
      <c r="Z6282" s="311">
        <v>273</v>
      </c>
      <c r="AB6282" t="str">
        <f>IF(Table1[[#This Row],[TIPO2]]="costo", VLOOKUP(Table1[[#This Row],[PARTIDA PRESUPUESTAL]],'Cost Report'!G:G,1,0),"Balance")</f>
        <v>2485-003</v>
      </c>
      <c r="AD6282" s="159">
        <f>+Table1[[#This Row],[SUBTOTAL]]+Table1[[#This Row],[IVA]]-Table1[[#This Row],[RET IVA]]-Table1[[#This Row],[RET ISR]]-Table1[[#This Row],[TOTAL]]</f>
        <v>0</v>
      </c>
      <c r="AG6282" t="s">
        <v>3420</v>
      </c>
      <c r="AK6282" s="306" t="str">
        <f>IF(ISNUMBER(Table1[[#This Row],[FECHA DE RECIBIDO]]), Table1[[#This Row],[FECHA DE RECIBIDO]]-DATE(2023,8,30), "")</f>
        <v/>
      </c>
    </row>
    <row r="6283" spans="1:37" ht="16.05" customHeight="1">
      <c r="A6283" s="172" t="s">
        <v>5295</v>
      </c>
      <c r="B6283" s="178">
        <v>2266</v>
      </c>
      <c r="C6283" s="179" t="s">
        <v>610</v>
      </c>
      <c r="D6283">
        <v>4308</v>
      </c>
      <c r="E6283" s="125" t="s">
        <v>2003</v>
      </c>
      <c r="F6283" s="178">
        <v>601</v>
      </c>
      <c r="G6283" s="178" t="s">
        <v>134</v>
      </c>
      <c r="H6283">
        <v>1021</v>
      </c>
      <c r="I6283" s="178" t="s">
        <v>1546</v>
      </c>
      <c r="J6283" s="320" t="s">
        <v>214</v>
      </c>
      <c r="K6283" s="178" t="s">
        <v>5322</v>
      </c>
      <c r="L6283" s="125" t="s">
        <v>1579</v>
      </c>
      <c r="M6283">
        <v>1417</v>
      </c>
      <c r="N6283" s="182">
        <v>17</v>
      </c>
      <c r="O6283">
        <v>4136</v>
      </c>
      <c r="P6283" s="132" t="s">
        <v>77</v>
      </c>
      <c r="Q6283" s="176">
        <v>1189.6600000000001</v>
      </c>
      <c r="R6283" s="176">
        <v>190.34</v>
      </c>
      <c r="S6283" s="176"/>
      <c r="T6283" s="190"/>
      <c r="U6283" s="191"/>
      <c r="V6283" s="191">
        <v>1380</v>
      </c>
      <c r="W6283">
        <v>103</v>
      </c>
      <c r="X6283" s="186" t="s">
        <v>1644</v>
      </c>
      <c r="Y6283" s="187" t="s">
        <v>55</v>
      </c>
      <c r="Z6283" s="311">
        <v>199</v>
      </c>
      <c r="AB6283" t="str">
        <f>IF(Table1[[#This Row],[TIPO2]]="costo", VLOOKUP(Table1[[#This Row],[PARTIDA PRESUPUESTAL]],'Cost Report'!G:G,1,0),"Balance")</f>
        <v>2485-003</v>
      </c>
      <c r="AD6283" s="159">
        <f>+Table1[[#This Row],[SUBTOTAL]]+Table1[[#This Row],[IVA]]-Table1[[#This Row],[RET IVA]]-Table1[[#This Row],[RET ISR]]-Table1[[#This Row],[TOTAL]]</f>
        <v>0</v>
      </c>
      <c r="AG6283" t="s">
        <v>3420</v>
      </c>
      <c r="AK6283" s="306" t="str">
        <f>IF(ISNUMBER(Table1[[#This Row],[FECHA DE RECIBIDO]]), Table1[[#This Row],[FECHA DE RECIBIDO]]-DATE(2023,8,30), "")</f>
        <v/>
      </c>
    </row>
    <row r="6284" spans="1:37" ht="16.05" customHeight="1">
      <c r="A6284" s="172" t="s">
        <v>5295</v>
      </c>
      <c r="B6284" s="178">
        <v>2266</v>
      </c>
      <c r="C6284" s="179" t="s">
        <v>610</v>
      </c>
      <c r="D6284">
        <v>4309</v>
      </c>
      <c r="E6284" s="125" t="s">
        <v>3275</v>
      </c>
      <c r="F6284" s="178">
        <v>612</v>
      </c>
      <c r="G6284" s="178" t="s">
        <v>129</v>
      </c>
      <c r="H6284">
        <v>840</v>
      </c>
      <c r="I6284" s="178" t="s">
        <v>1546</v>
      </c>
      <c r="J6284" s="320" t="s">
        <v>214</v>
      </c>
      <c r="K6284" s="178" t="s">
        <v>5322</v>
      </c>
      <c r="L6284" s="125" t="s">
        <v>1579</v>
      </c>
      <c r="M6284">
        <v>1163</v>
      </c>
      <c r="N6284" s="182">
        <v>17</v>
      </c>
      <c r="O6284">
        <v>4137</v>
      </c>
      <c r="P6284" s="132" t="s">
        <v>77</v>
      </c>
      <c r="Q6284" s="176">
        <v>314.66000000000003</v>
      </c>
      <c r="R6284" s="176">
        <v>50.34</v>
      </c>
      <c r="S6284" s="176"/>
      <c r="T6284" s="190"/>
      <c r="U6284" s="191"/>
      <c r="V6284" s="191">
        <v>365</v>
      </c>
      <c r="W6284">
        <v>103</v>
      </c>
      <c r="X6284" s="186" t="s">
        <v>1644</v>
      </c>
      <c r="Y6284" s="187" t="s">
        <v>55</v>
      </c>
      <c r="Z6284" s="311">
        <v>246</v>
      </c>
      <c r="AB6284" t="str">
        <f>IF(Table1[[#This Row],[TIPO2]]="costo", VLOOKUP(Table1[[#This Row],[PARTIDA PRESUPUESTAL]],'Cost Report'!G:G,1,0),"Balance")</f>
        <v>2485-003</v>
      </c>
      <c r="AD6284" s="159">
        <f>+Table1[[#This Row],[SUBTOTAL]]+Table1[[#This Row],[IVA]]-Table1[[#This Row],[RET IVA]]-Table1[[#This Row],[RET ISR]]-Table1[[#This Row],[TOTAL]]</f>
        <v>0</v>
      </c>
      <c r="AG6284" t="s">
        <v>3420</v>
      </c>
      <c r="AK6284" s="306" t="str">
        <f>IF(ISNUMBER(Table1[[#This Row],[FECHA DE RECIBIDO]]), Table1[[#This Row],[FECHA DE RECIBIDO]]-DATE(2023,8,30), "")</f>
        <v/>
      </c>
    </row>
    <row r="6285" spans="1:37" ht="16.05" customHeight="1">
      <c r="A6285" s="172" t="s">
        <v>5295</v>
      </c>
      <c r="B6285" s="178">
        <v>2266</v>
      </c>
      <c r="C6285" s="179" t="s">
        <v>2556</v>
      </c>
      <c r="D6285">
        <v>4310</v>
      </c>
      <c r="E6285" s="125">
        <v>21100</v>
      </c>
      <c r="F6285" s="178">
        <v>601</v>
      </c>
      <c r="G6285" s="178" t="s">
        <v>134</v>
      </c>
      <c r="H6285">
        <v>156</v>
      </c>
      <c r="I6285" s="178" t="s">
        <v>1546</v>
      </c>
      <c r="J6285" s="320">
        <v>283.72018518518598</v>
      </c>
      <c r="K6285" s="178" t="s">
        <v>5322</v>
      </c>
      <c r="L6285" s="125" t="s">
        <v>1579</v>
      </c>
      <c r="M6285">
        <v>207</v>
      </c>
      <c r="N6285" s="182">
        <v>17</v>
      </c>
      <c r="O6285">
        <v>4138</v>
      </c>
      <c r="P6285" s="132" t="s">
        <v>77</v>
      </c>
      <c r="Q6285" s="176">
        <v>1206.47</v>
      </c>
      <c r="R6285" s="176">
        <v>193.04</v>
      </c>
      <c r="S6285" s="176"/>
      <c r="T6285" s="190"/>
      <c r="U6285" s="191"/>
      <c r="V6285" s="191">
        <v>1399.51</v>
      </c>
      <c r="W6285">
        <v>103</v>
      </c>
      <c r="X6285" s="186" t="s">
        <v>1644</v>
      </c>
      <c r="Y6285" s="187" t="s">
        <v>55</v>
      </c>
      <c r="Z6285" s="311">
        <v>283</v>
      </c>
      <c r="AB6285" t="str">
        <f>IF(Table1[[#This Row],[TIPO2]]="costo", VLOOKUP(Table1[[#This Row],[PARTIDA PRESUPUESTAL]],'Cost Report'!G:G,1,0),"Balance")</f>
        <v>2498-003</v>
      </c>
      <c r="AD6285" s="159">
        <f>+Table1[[#This Row],[SUBTOTAL]]+Table1[[#This Row],[IVA]]-Table1[[#This Row],[RET IVA]]-Table1[[#This Row],[RET ISR]]-Table1[[#This Row],[TOTAL]]</f>
        <v>0</v>
      </c>
      <c r="AG6285" t="s">
        <v>3420</v>
      </c>
      <c r="AK6285" s="306">
        <f>IF(ISNUMBER(Table1[[#This Row],[FECHA DE RECIBIDO]]), Table1[[#This Row],[FECHA DE RECIBIDO]]-DATE(2023,8,30), "")</f>
        <v>-44884.279814814814</v>
      </c>
    </row>
    <row r="6286" spans="1:37" ht="16.05" customHeight="1">
      <c r="A6286" s="172" t="s">
        <v>5295</v>
      </c>
      <c r="B6286" s="178">
        <v>2266</v>
      </c>
      <c r="C6286" s="179" t="s">
        <v>2455</v>
      </c>
      <c r="D6286">
        <v>689</v>
      </c>
      <c r="E6286" s="125"/>
      <c r="F6286" s="178"/>
      <c r="G6286" s="178"/>
      <c r="H6286"/>
      <c r="I6286" s="178"/>
      <c r="J6286" s="320" t="s">
        <v>214</v>
      </c>
      <c r="K6286" s="178" t="s">
        <v>5322</v>
      </c>
      <c r="L6286" s="125" t="s">
        <v>1579</v>
      </c>
      <c r="M6286">
        <v>592</v>
      </c>
      <c r="N6286" s="182">
        <v>17</v>
      </c>
      <c r="O6286">
        <v>522</v>
      </c>
      <c r="P6286" s="132" t="s">
        <v>77</v>
      </c>
      <c r="Q6286" s="176">
        <v>34.799999999999997</v>
      </c>
      <c r="R6286" s="176"/>
      <c r="S6286" s="176"/>
      <c r="T6286" s="190"/>
      <c r="U6286" s="191"/>
      <c r="V6286" s="191">
        <v>34.799999999999997</v>
      </c>
      <c r="W6286">
        <v>103</v>
      </c>
      <c r="X6286" s="186" t="s">
        <v>1644</v>
      </c>
      <c r="Y6286" s="187" t="s">
        <v>55</v>
      </c>
      <c r="Z6286" s="311">
        <v>276</v>
      </c>
      <c r="AB6286" t="str">
        <f>IF(Table1[[#This Row],[TIPO2]]="costo", VLOOKUP(Table1[[#This Row],[PARTIDA PRESUPUESTAL]],'Cost Report'!G:G,1,0),"Balance")</f>
        <v>2285-003</v>
      </c>
      <c r="AD6286" s="159">
        <f>+Table1[[#This Row],[SUBTOTAL]]+Table1[[#This Row],[IVA]]-Table1[[#This Row],[RET IVA]]-Table1[[#This Row],[RET ISR]]-Table1[[#This Row],[TOTAL]]</f>
        <v>0</v>
      </c>
      <c r="AG6286" t="s">
        <v>3420</v>
      </c>
      <c r="AK6286" s="306" t="str">
        <f>IF(ISNUMBER(Table1[[#This Row],[FECHA DE RECIBIDO]]), Table1[[#This Row],[FECHA DE RECIBIDO]]-DATE(2023,8,30), "")</f>
        <v/>
      </c>
    </row>
    <row r="6287" spans="1:37" ht="16.05" customHeight="1">
      <c r="A6287" s="172" t="s">
        <v>5295</v>
      </c>
      <c r="B6287" s="178">
        <v>2266</v>
      </c>
      <c r="C6287" s="179" t="s">
        <v>2556</v>
      </c>
      <c r="D6287">
        <v>689</v>
      </c>
      <c r="E6287" s="125"/>
      <c r="F6287" s="178"/>
      <c r="G6287" s="178"/>
      <c r="H6287"/>
      <c r="I6287" s="178"/>
      <c r="J6287" s="320" t="s">
        <v>214</v>
      </c>
      <c r="K6287" s="178" t="s">
        <v>5322</v>
      </c>
      <c r="L6287" s="125" t="s">
        <v>1579</v>
      </c>
      <c r="M6287">
        <v>1418</v>
      </c>
      <c r="N6287" s="182">
        <v>17</v>
      </c>
      <c r="O6287">
        <v>4139</v>
      </c>
      <c r="P6287" s="132" t="s">
        <v>77</v>
      </c>
      <c r="Q6287" s="176">
        <v>250</v>
      </c>
      <c r="R6287" s="176"/>
      <c r="S6287" s="176"/>
      <c r="T6287" s="190"/>
      <c r="U6287" s="191"/>
      <c r="V6287" s="191">
        <v>250</v>
      </c>
      <c r="W6287">
        <v>103</v>
      </c>
      <c r="X6287" s="186" t="s">
        <v>1644</v>
      </c>
      <c r="Y6287" s="187" t="s">
        <v>55</v>
      </c>
      <c r="Z6287" s="311">
        <v>281</v>
      </c>
      <c r="AB6287" t="str">
        <f>IF(Table1[[#This Row],[TIPO2]]="costo", VLOOKUP(Table1[[#This Row],[PARTIDA PRESUPUESTAL]],'Cost Report'!G:G,1,0),"Balance")</f>
        <v>2498-003</v>
      </c>
      <c r="AD6287" s="159">
        <f>+Table1[[#This Row],[SUBTOTAL]]+Table1[[#This Row],[IVA]]-Table1[[#This Row],[RET IVA]]-Table1[[#This Row],[RET ISR]]-Table1[[#This Row],[TOTAL]]</f>
        <v>0</v>
      </c>
      <c r="AG6287" t="s">
        <v>3420</v>
      </c>
      <c r="AK6287" s="306" t="str">
        <f>IF(ISNUMBER(Table1[[#This Row],[FECHA DE RECIBIDO]]), Table1[[#This Row],[FECHA DE RECIBIDO]]-DATE(2023,8,30), "")</f>
        <v/>
      </c>
    </row>
    <row r="6288" spans="1:37" ht="16.05" customHeight="1">
      <c r="A6288" s="172" t="s">
        <v>5296</v>
      </c>
      <c r="B6288" s="178">
        <v>2267</v>
      </c>
      <c r="C6288" s="179" t="s">
        <v>2546</v>
      </c>
      <c r="D6288">
        <v>4311</v>
      </c>
      <c r="E6288" s="125" t="s">
        <v>3179</v>
      </c>
      <c r="F6288" s="178">
        <v>612</v>
      </c>
      <c r="G6288" s="178" t="s">
        <v>129</v>
      </c>
      <c r="H6288">
        <v>619</v>
      </c>
      <c r="I6288" s="178" t="s">
        <v>1546</v>
      </c>
      <c r="J6288" s="320" t="s">
        <v>214</v>
      </c>
      <c r="K6288" s="178" t="s">
        <v>5322</v>
      </c>
      <c r="L6288" s="125" t="s">
        <v>1579</v>
      </c>
      <c r="M6288">
        <v>874</v>
      </c>
      <c r="N6288" s="182">
        <v>17</v>
      </c>
      <c r="O6288">
        <v>4140</v>
      </c>
      <c r="P6288" s="132" t="s">
        <v>77</v>
      </c>
      <c r="Q6288" s="176">
        <v>485</v>
      </c>
      <c r="R6288" s="176">
        <v>77.599999999999994</v>
      </c>
      <c r="S6288" s="176"/>
      <c r="T6288" s="190"/>
      <c r="U6288" s="191"/>
      <c r="V6288" s="191">
        <v>562.6</v>
      </c>
      <c r="W6288">
        <v>101</v>
      </c>
      <c r="X6288" s="186" t="s">
        <v>1644</v>
      </c>
      <c r="Y6288" s="187" t="s">
        <v>55</v>
      </c>
      <c r="Z6288" s="311">
        <v>278</v>
      </c>
      <c r="AB6288" t="str">
        <f>IF(Table1[[#This Row],[TIPO2]]="costo", VLOOKUP(Table1[[#This Row],[PARTIDA PRESUPUESTAL]],'Cost Report'!G:G,1,0),"Balance")</f>
        <v>2494-071</v>
      </c>
      <c r="AD6288" s="159">
        <f>+Table1[[#This Row],[SUBTOTAL]]+Table1[[#This Row],[IVA]]-Table1[[#This Row],[RET IVA]]-Table1[[#This Row],[RET ISR]]-Table1[[#This Row],[TOTAL]]</f>
        <v>0</v>
      </c>
      <c r="AG6288" t="s">
        <v>3420</v>
      </c>
      <c r="AK6288" s="306" t="str">
        <f>IF(ISNUMBER(Table1[[#This Row],[FECHA DE RECIBIDO]]), Table1[[#This Row],[FECHA DE RECIBIDO]]-DATE(2023,8,30), "")</f>
        <v/>
      </c>
    </row>
    <row r="6289" spans="1:37" ht="16.05" customHeight="1">
      <c r="A6289" s="172" t="s">
        <v>5296</v>
      </c>
      <c r="B6289" s="178">
        <v>2267</v>
      </c>
      <c r="C6289" s="179" t="s">
        <v>2556</v>
      </c>
      <c r="D6289">
        <v>4312</v>
      </c>
      <c r="E6289" s="125">
        <v>5109</v>
      </c>
      <c r="F6289" s="178">
        <v>601</v>
      </c>
      <c r="G6289" s="178" t="s">
        <v>134</v>
      </c>
      <c r="H6289">
        <v>160</v>
      </c>
      <c r="I6289" s="178" t="s">
        <v>1546</v>
      </c>
      <c r="J6289" s="320">
        <v>278.72597222222248</v>
      </c>
      <c r="K6289" s="178" t="s">
        <v>5322</v>
      </c>
      <c r="L6289" s="125" t="s">
        <v>1579</v>
      </c>
      <c r="M6289">
        <v>213</v>
      </c>
      <c r="N6289" s="182">
        <v>17</v>
      </c>
      <c r="O6289">
        <v>4141</v>
      </c>
      <c r="P6289" s="132" t="s">
        <v>77</v>
      </c>
      <c r="Q6289" s="176">
        <v>1982.75</v>
      </c>
      <c r="R6289" s="176">
        <v>317.26</v>
      </c>
      <c r="S6289" s="176"/>
      <c r="T6289" s="190"/>
      <c r="U6289" s="191"/>
      <c r="V6289" s="191">
        <v>2300.0100000000002</v>
      </c>
      <c r="W6289">
        <v>101</v>
      </c>
      <c r="X6289" s="186" t="s">
        <v>1644</v>
      </c>
      <c r="Y6289" s="187" t="s">
        <v>55</v>
      </c>
      <c r="Z6289" s="311">
        <v>278</v>
      </c>
      <c r="AB6289" t="str">
        <f>IF(Table1[[#This Row],[TIPO2]]="costo", VLOOKUP(Table1[[#This Row],[PARTIDA PRESUPUESTAL]],'Cost Report'!G:G,1,0),"Balance")</f>
        <v>2498-003</v>
      </c>
      <c r="AD6289" s="159">
        <f>+Table1[[#This Row],[SUBTOTAL]]+Table1[[#This Row],[IVA]]-Table1[[#This Row],[RET IVA]]-Table1[[#This Row],[RET ISR]]-Table1[[#This Row],[TOTAL]]</f>
        <v>0</v>
      </c>
      <c r="AG6289" t="s">
        <v>3420</v>
      </c>
      <c r="AK6289" s="306">
        <f>IF(ISNUMBER(Table1[[#This Row],[FECHA DE RECIBIDO]]), Table1[[#This Row],[FECHA DE RECIBIDO]]-DATE(2023,8,30), "")</f>
        <v>-44889.274027777778</v>
      </c>
    </row>
    <row r="6290" spans="1:37" ht="16.05" customHeight="1">
      <c r="A6290" s="172" t="s">
        <v>5296</v>
      </c>
      <c r="B6290" s="178">
        <v>2267</v>
      </c>
      <c r="C6290" s="179" t="s">
        <v>2556</v>
      </c>
      <c r="D6290">
        <v>4313</v>
      </c>
      <c r="E6290" s="125">
        <v>3660</v>
      </c>
      <c r="F6290" s="178">
        <v>612</v>
      </c>
      <c r="G6290" s="178" t="s">
        <v>129</v>
      </c>
      <c r="H6290">
        <v>1022</v>
      </c>
      <c r="I6290" s="178" t="s">
        <v>1546</v>
      </c>
      <c r="J6290" s="320">
        <v>281.79457175925927</v>
      </c>
      <c r="K6290" s="178" t="s">
        <v>5322</v>
      </c>
      <c r="L6290" s="125" t="s">
        <v>1579</v>
      </c>
      <c r="M6290">
        <v>1419</v>
      </c>
      <c r="N6290" s="182">
        <v>17</v>
      </c>
      <c r="O6290">
        <v>4142</v>
      </c>
      <c r="P6290" s="132" t="s">
        <v>77</v>
      </c>
      <c r="Q6290" s="176">
        <v>1640</v>
      </c>
      <c r="R6290" s="176">
        <v>262.39999999999998</v>
      </c>
      <c r="S6290" s="176"/>
      <c r="T6290" s="190"/>
      <c r="U6290" s="191"/>
      <c r="V6290" s="191">
        <v>1902.4</v>
      </c>
      <c r="W6290">
        <v>101</v>
      </c>
      <c r="X6290" s="186" t="s">
        <v>1644</v>
      </c>
      <c r="Y6290" s="187" t="s">
        <v>55</v>
      </c>
      <c r="Z6290" s="311">
        <v>281</v>
      </c>
      <c r="AB6290" t="str">
        <f>IF(Table1[[#This Row],[TIPO2]]="costo", VLOOKUP(Table1[[#This Row],[PARTIDA PRESUPUESTAL]],'Cost Report'!G:G,1,0),"Balance")</f>
        <v>2498-003</v>
      </c>
      <c r="AD6290" s="159">
        <f>+Table1[[#This Row],[SUBTOTAL]]+Table1[[#This Row],[IVA]]-Table1[[#This Row],[RET IVA]]-Table1[[#This Row],[RET ISR]]-Table1[[#This Row],[TOTAL]]</f>
        <v>0</v>
      </c>
      <c r="AG6290" t="s">
        <v>3420</v>
      </c>
      <c r="AK6290" s="306">
        <f>IF(ISNUMBER(Table1[[#This Row],[FECHA DE RECIBIDO]]), Table1[[#This Row],[FECHA DE RECIBIDO]]-DATE(2023,8,30), "")</f>
        <v>-44886.205428240741</v>
      </c>
    </row>
    <row r="6291" spans="1:37" ht="16.05" customHeight="1">
      <c r="A6291" s="172" t="s">
        <v>5296</v>
      </c>
      <c r="B6291" s="178">
        <v>2267</v>
      </c>
      <c r="C6291" s="179" t="s">
        <v>2556</v>
      </c>
      <c r="D6291">
        <v>4314</v>
      </c>
      <c r="E6291" s="125">
        <v>3660</v>
      </c>
      <c r="F6291" s="178">
        <v>603</v>
      </c>
      <c r="G6291" s="178" t="s">
        <v>2065</v>
      </c>
      <c r="H6291">
        <v>1023</v>
      </c>
      <c r="I6291" s="178" t="s">
        <v>1546</v>
      </c>
      <c r="J6291" s="320">
        <v>282.43553240740584</v>
      </c>
      <c r="K6291" s="178" t="s">
        <v>5322</v>
      </c>
      <c r="L6291" s="125" t="s">
        <v>1579</v>
      </c>
      <c r="M6291">
        <v>1420</v>
      </c>
      <c r="N6291" s="182">
        <v>17</v>
      </c>
      <c r="O6291">
        <v>4143</v>
      </c>
      <c r="P6291" s="132" t="s">
        <v>77</v>
      </c>
      <c r="Q6291" s="176">
        <v>980</v>
      </c>
      <c r="R6291" s="176">
        <v>156.80000000000001</v>
      </c>
      <c r="S6291" s="176"/>
      <c r="T6291" s="190"/>
      <c r="U6291" s="191"/>
      <c r="V6291" s="191">
        <v>1136.8</v>
      </c>
      <c r="W6291">
        <v>101</v>
      </c>
      <c r="X6291" s="186" t="s">
        <v>1644</v>
      </c>
      <c r="Y6291" s="187" t="s">
        <v>55</v>
      </c>
      <c r="Z6291" s="311">
        <v>282</v>
      </c>
      <c r="AB6291" t="str">
        <f>IF(Table1[[#This Row],[TIPO2]]="costo", VLOOKUP(Table1[[#This Row],[PARTIDA PRESUPUESTAL]],'Cost Report'!G:G,1,0),"Balance")</f>
        <v>2498-003</v>
      </c>
      <c r="AD6291" s="159">
        <f>+Table1[[#This Row],[SUBTOTAL]]+Table1[[#This Row],[IVA]]-Table1[[#This Row],[RET IVA]]-Table1[[#This Row],[RET ISR]]-Table1[[#This Row],[TOTAL]]</f>
        <v>0</v>
      </c>
      <c r="AG6291" t="s">
        <v>3420</v>
      </c>
      <c r="AK6291" s="306">
        <f>IF(ISNUMBER(Table1[[#This Row],[FECHA DE RECIBIDO]]), Table1[[#This Row],[FECHA DE RECIBIDO]]-DATE(2023,8,30), "")</f>
        <v>-44885.564467592594</v>
      </c>
    </row>
    <row r="6292" spans="1:37" ht="16.05" customHeight="1">
      <c r="A6292" s="172" t="s">
        <v>5296</v>
      </c>
      <c r="B6292" s="178">
        <v>2267</v>
      </c>
      <c r="C6292" s="179" t="s">
        <v>2556</v>
      </c>
      <c r="D6292">
        <v>4315</v>
      </c>
      <c r="E6292" s="125">
        <v>9080</v>
      </c>
      <c r="F6292" s="178">
        <v>601</v>
      </c>
      <c r="G6292" s="178" t="s">
        <v>134</v>
      </c>
      <c r="H6292">
        <v>57</v>
      </c>
      <c r="I6292" s="178" t="s">
        <v>1546</v>
      </c>
      <c r="J6292" s="320">
        <v>282.46552083333518</v>
      </c>
      <c r="K6292" s="178" t="s">
        <v>5322</v>
      </c>
      <c r="L6292" s="125" t="s">
        <v>1579</v>
      </c>
      <c r="M6292">
        <v>79</v>
      </c>
      <c r="N6292" s="182">
        <v>17</v>
      </c>
      <c r="O6292">
        <v>4144</v>
      </c>
      <c r="P6292" s="132" t="s">
        <v>77</v>
      </c>
      <c r="Q6292" s="176">
        <v>59.74</v>
      </c>
      <c r="R6292" s="176">
        <v>9.56</v>
      </c>
      <c r="S6292" s="176"/>
      <c r="T6292" s="190"/>
      <c r="U6292" s="191"/>
      <c r="V6292" s="191">
        <v>69.3</v>
      </c>
      <c r="W6292">
        <v>101</v>
      </c>
      <c r="X6292" s="186" t="s">
        <v>1644</v>
      </c>
      <c r="Y6292" s="187" t="s">
        <v>55</v>
      </c>
      <c r="Z6292" s="311">
        <v>282</v>
      </c>
      <c r="AB6292" t="str">
        <f>IF(Table1[[#This Row],[TIPO2]]="costo", VLOOKUP(Table1[[#This Row],[PARTIDA PRESUPUESTAL]],'Cost Report'!G:G,1,0),"Balance")</f>
        <v>2498-003</v>
      </c>
      <c r="AD6292" s="159">
        <f>+Table1[[#This Row],[SUBTOTAL]]+Table1[[#This Row],[IVA]]-Table1[[#This Row],[RET IVA]]-Table1[[#This Row],[RET ISR]]-Table1[[#This Row],[TOTAL]]</f>
        <v>0</v>
      </c>
      <c r="AG6292" t="s">
        <v>3420</v>
      </c>
      <c r="AK6292" s="306">
        <f>IF(ISNUMBER(Table1[[#This Row],[FECHA DE RECIBIDO]]), Table1[[#This Row],[FECHA DE RECIBIDO]]-DATE(2023,8,30), "")</f>
        <v>-44885.534479166665</v>
      </c>
    </row>
    <row r="6293" spans="1:37" ht="16.05" customHeight="1">
      <c r="A6293" s="172" t="s">
        <v>5296</v>
      </c>
      <c r="B6293" s="178">
        <v>2267</v>
      </c>
      <c r="C6293" s="179" t="s">
        <v>2556</v>
      </c>
      <c r="D6293">
        <v>4316</v>
      </c>
      <c r="E6293" s="125">
        <v>11000</v>
      </c>
      <c r="F6293" s="178">
        <v>601</v>
      </c>
      <c r="G6293" s="178" t="s">
        <v>134</v>
      </c>
      <c r="H6293">
        <v>224</v>
      </c>
      <c r="I6293" s="178" t="s">
        <v>1546</v>
      </c>
      <c r="J6293" s="320">
        <v>282.5538773148146</v>
      </c>
      <c r="K6293" s="178" t="s">
        <v>5322</v>
      </c>
      <c r="L6293" s="125" t="s">
        <v>1579</v>
      </c>
      <c r="M6293">
        <v>290</v>
      </c>
      <c r="N6293" s="182">
        <v>17</v>
      </c>
      <c r="O6293">
        <v>4145</v>
      </c>
      <c r="P6293" s="132" t="s">
        <v>77</v>
      </c>
      <c r="Q6293" s="176">
        <v>358.3</v>
      </c>
      <c r="R6293" s="176">
        <v>57.33</v>
      </c>
      <c r="S6293" s="176"/>
      <c r="T6293" s="190"/>
      <c r="U6293" s="191"/>
      <c r="V6293" s="191">
        <v>415.63</v>
      </c>
      <c r="W6293">
        <v>101</v>
      </c>
      <c r="X6293" s="186" t="s">
        <v>1644</v>
      </c>
      <c r="Y6293" s="187" t="s">
        <v>55</v>
      </c>
      <c r="Z6293" s="311">
        <v>282</v>
      </c>
      <c r="AB6293" t="str">
        <f>IF(Table1[[#This Row],[TIPO2]]="costo", VLOOKUP(Table1[[#This Row],[PARTIDA PRESUPUESTAL]],'Cost Report'!G:G,1,0),"Balance")</f>
        <v>2498-003</v>
      </c>
      <c r="AD6293" s="159">
        <f>+Table1[[#This Row],[SUBTOTAL]]+Table1[[#This Row],[IVA]]-Table1[[#This Row],[RET IVA]]-Table1[[#This Row],[RET ISR]]-Table1[[#This Row],[TOTAL]]</f>
        <v>0</v>
      </c>
      <c r="AG6293" t="s">
        <v>3420</v>
      </c>
      <c r="AK6293" s="306">
        <f>IF(ISNUMBER(Table1[[#This Row],[FECHA DE RECIBIDO]]), Table1[[#This Row],[FECHA DE RECIBIDO]]-DATE(2023,8,30), "")</f>
        <v>-44885.446122685185</v>
      </c>
    </row>
    <row r="6294" spans="1:37" ht="16.05" customHeight="1">
      <c r="A6294" s="172" t="s">
        <v>5296</v>
      </c>
      <c r="B6294" s="178">
        <v>2267</v>
      </c>
      <c r="C6294" s="179" t="s">
        <v>2556</v>
      </c>
      <c r="D6294">
        <v>4317</v>
      </c>
      <c r="E6294" s="125">
        <v>6050</v>
      </c>
      <c r="F6294" s="178">
        <v>601</v>
      </c>
      <c r="G6294" s="178" t="s">
        <v>134</v>
      </c>
      <c r="H6294">
        <v>1024</v>
      </c>
      <c r="I6294" s="178" t="s">
        <v>1546</v>
      </c>
      <c r="J6294" s="320">
        <v>279.59158564815152</v>
      </c>
      <c r="K6294" s="178" t="s">
        <v>5322</v>
      </c>
      <c r="L6294" s="125" t="s">
        <v>1579</v>
      </c>
      <c r="M6294">
        <v>1421</v>
      </c>
      <c r="N6294" s="182">
        <v>17</v>
      </c>
      <c r="O6294">
        <v>4146</v>
      </c>
      <c r="P6294" s="132" t="s">
        <v>77</v>
      </c>
      <c r="Q6294" s="176">
        <v>1040</v>
      </c>
      <c r="R6294" s="176">
        <v>166.4</v>
      </c>
      <c r="S6294" s="176"/>
      <c r="T6294" s="190"/>
      <c r="U6294" s="191"/>
      <c r="V6294" s="191">
        <v>1206.4000000000001</v>
      </c>
      <c r="W6294">
        <v>101</v>
      </c>
      <c r="X6294" s="186" t="s">
        <v>1644</v>
      </c>
      <c r="Y6294" s="187" t="s">
        <v>55</v>
      </c>
      <c r="Z6294" s="311">
        <v>279</v>
      </c>
      <c r="AB6294" t="str">
        <f>IF(Table1[[#This Row],[TIPO2]]="costo", VLOOKUP(Table1[[#This Row],[PARTIDA PRESUPUESTAL]],'Cost Report'!G:G,1,0),"Balance")</f>
        <v>2498-003</v>
      </c>
      <c r="AD6294" s="159">
        <f>+Table1[[#This Row],[SUBTOTAL]]+Table1[[#This Row],[IVA]]-Table1[[#This Row],[RET IVA]]-Table1[[#This Row],[RET ISR]]-Table1[[#This Row],[TOTAL]]</f>
        <v>0</v>
      </c>
      <c r="AG6294" t="s">
        <v>3420</v>
      </c>
      <c r="AK6294" s="306">
        <f>IF(ISNUMBER(Table1[[#This Row],[FECHA DE RECIBIDO]]), Table1[[#This Row],[FECHA DE RECIBIDO]]-DATE(2023,8,30), "")</f>
        <v>-44888.408414351848</v>
      </c>
    </row>
    <row r="6295" spans="1:37" ht="16.05" customHeight="1">
      <c r="A6295" s="172" t="s">
        <v>5296</v>
      </c>
      <c r="B6295" s="178">
        <v>2267</v>
      </c>
      <c r="C6295" s="179" t="s">
        <v>2556</v>
      </c>
      <c r="D6295">
        <v>4318</v>
      </c>
      <c r="E6295" s="125">
        <v>3012</v>
      </c>
      <c r="F6295" s="178">
        <v>601</v>
      </c>
      <c r="G6295" s="178" t="s">
        <v>134</v>
      </c>
      <c r="H6295">
        <v>56</v>
      </c>
      <c r="I6295" s="178" t="s">
        <v>1546</v>
      </c>
      <c r="J6295" s="320">
        <v>283.73207175925927</v>
      </c>
      <c r="K6295" s="178" t="s">
        <v>5322</v>
      </c>
      <c r="L6295" s="125" t="s">
        <v>1579</v>
      </c>
      <c r="M6295">
        <v>1422</v>
      </c>
      <c r="N6295" s="182">
        <v>17</v>
      </c>
      <c r="O6295">
        <v>4147</v>
      </c>
      <c r="P6295" s="132" t="s">
        <v>77</v>
      </c>
      <c r="Q6295" s="176">
        <v>748.29</v>
      </c>
      <c r="R6295" s="176">
        <v>119.71</v>
      </c>
      <c r="S6295" s="176"/>
      <c r="T6295" s="190"/>
      <c r="U6295" s="191"/>
      <c r="V6295" s="191">
        <v>868</v>
      </c>
      <c r="W6295">
        <v>101</v>
      </c>
      <c r="X6295" s="186" t="s">
        <v>1644</v>
      </c>
      <c r="Y6295" s="187" t="s">
        <v>55</v>
      </c>
      <c r="Z6295" s="311">
        <v>283</v>
      </c>
      <c r="AB6295" t="str">
        <f>IF(Table1[[#This Row],[TIPO2]]="costo", VLOOKUP(Table1[[#This Row],[PARTIDA PRESUPUESTAL]],'Cost Report'!G:G,1,0),"Balance")</f>
        <v>2498-003</v>
      </c>
      <c r="AD6295" s="159">
        <f>+Table1[[#This Row],[SUBTOTAL]]+Table1[[#This Row],[IVA]]-Table1[[#This Row],[RET IVA]]-Table1[[#This Row],[RET ISR]]-Table1[[#This Row],[TOTAL]]</f>
        <v>0</v>
      </c>
      <c r="AG6295" t="s">
        <v>3420</v>
      </c>
      <c r="AK6295" s="306">
        <f>IF(ISNUMBER(Table1[[#This Row],[FECHA DE RECIBIDO]]), Table1[[#This Row],[FECHA DE RECIBIDO]]-DATE(2023,8,30), "")</f>
        <v>-44884.267928240741</v>
      </c>
    </row>
    <row r="6296" spans="1:37" ht="16.05" customHeight="1">
      <c r="A6296" s="172" t="s">
        <v>5296</v>
      </c>
      <c r="B6296" s="178">
        <v>2267</v>
      </c>
      <c r="C6296" s="179" t="s">
        <v>2556</v>
      </c>
      <c r="D6296">
        <v>4319</v>
      </c>
      <c r="E6296" s="125">
        <v>3000</v>
      </c>
      <c r="F6296" s="178">
        <v>601</v>
      </c>
      <c r="G6296" s="178" t="s">
        <v>134</v>
      </c>
      <c r="H6296">
        <v>249</v>
      </c>
      <c r="I6296" s="178" t="s">
        <v>1546</v>
      </c>
      <c r="J6296" s="320">
        <v>282.56619212962687</v>
      </c>
      <c r="K6296" s="178" t="s">
        <v>5322</v>
      </c>
      <c r="L6296" s="125" t="s">
        <v>1579</v>
      </c>
      <c r="M6296">
        <v>326</v>
      </c>
      <c r="N6296" s="182">
        <v>17</v>
      </c>
      <c r="O6296">
        <v>4148</v>
      </c>
      <c r="P6296" s="132" t="s">
        <v>77</v>
      </c>
      <c r="Q6296" s="176">
        <v>899.4</v>
      </c>
      <c r="R6296" s="176">
        <v>143.9</v>
      </c>
      <c r="S6296" s="176"/>
      <c r="T6296" s="190"/>
      <c r="U6296" s="191"/>
      <c r="V6296" s="191">
        <v>1043.3</v>
      </c>
      <c r="W6296">
        <v>101</v>
      </c>
      <c r="X6296" s="186" t="s">
        <v>1644</v>
      </c>
      <c r="Y6296" s="187" t="s">
        <v>55</v>
      </c>
      <c r="Z6296" s="311">
        <v>282</v>
      </c>
      <c r="AB6296" t="str">
        <f>IF(Table1[[#This Row],[TIPO2]]="costo", VLOOKUP(Table1[[#This Row],[PARTIDA PRESUPUESTAL]],'Cost Report'!G:G,1,0),"Balance")</f>
        <v>2498-003</v>
      </c>
      <c r="AD6296" s="159">
        <f>+Table1[[#This Row],[SUBTOTAL]]+Table1[[#This Row],[IVA]]-Table1[[#This Row],[RET IVA]]-Table1[[#This Row],[RET ISR]]-Table1[[#This Row],[TOTAL]]</f>
        <v>0</v>
      </c>
      <c r="AG6296" t="s">
        <v>3420</v>
      </c>
      <c r="AK6296" s="306">
        <f>IF(ISNUMBER(Table1[[#This Row],[FECHA DE RECIBIDO]]), Table1[[#This Row],[FECHA DE RECIBIDO]]-DATE(2023,8,30), "")</f>
        <v>-44885.433807870373</v>
      </c>
    </row>
    <row r="6297" spans="1:37" ht="16.05" customHeight="1">
      <c r="A6297" s="172" t="s">
        <v>5296</v>
      </c>
      <c r="B6297" s="178">
        <v>2267</v>
      </c>
      <c r="C6297" s="179" t="s">
        <v>2556</v>
      </c>
      <c r="D6297">
        <v>4320</v>
      </c>
      <c r="E6297" s="125">
        <v>9089</v>
      </c>
      <c r="F6297" s="178">
        <v>601</v>
      </c>
      <c r="G6297" s="178" t="s">
        <v>134</v>
      </c>
      <c r="H6297">
        <v>56</v>
      </c>
      <c r="I6297" s="178" t="s">
        <v>1546</v>
      </c>
      <c r="J6297" s="320">
        <v>283.75196759259416</v>
      </c>
      <c r="K6297" s="178" t="s">
        <v>5322</v>
      </c>
      <c r="L6297" s="125" t="s">
        <v>1579</v>
      </c>
      <c r="M6297">
        <v>1422</v>
      </c>
      <c r="N6297" s="182">
        <v>17</v>
      </c>
      <c r="O6297">
        <v>4149</v>
      </c>
      <c r="P6297" s="132" t="s">
        <v>77</v>
      </c>
      <c r="Q6297" s="176">
        <v>851.73</v>
      </c>
      <c r="R6297" s="176">
        <v>136.27000000000001</v>
      </c>
      <c r="S6297" s="176"/>
      <c r="T6297" s="190"/>
      <c r="U6297" s="191"/>
      <c r="V6297" s="191">
        <v>988</v>
      </c>
      <c r="W6297">
        <v>101</v>
      </c>
      <c r="X6297" s="186" t="s">
        <v>1644</v>
      </c>
      <c r="Y6297" s="187" t="s">
        <v>55</v>
      </c>
      <c r="Z6297" s="311">
        <v>283</v>
      </c>
      <c r="AB6297" t="str">
        <f>IF(Table1[[#This Row],[TIPO2]]="costo", VLOOKUP(Table1[[#This Row],[PARTIDA PRESUPUESTAL]],'Cost Report'!G:G,1,0),"Balance")</f>
        <v>2498-003</v>
      </c>
      <c r="AD6297" s="159">
        <f>+Table1[[#This Row],[SUBTOTAL]]+Table1[[#This Row],[IVA]]-Table1[[#This Row],[RET IVA]]-Table1[[#This Row],[RET ISR]]-Table1[[#This Row],[TOTAL]]</f>
        <v>0</v>
      </c>
      <c r="AG6297" t="s">
        <v>3420</v>
      </c>
      <c r="AK6297" s="306">
        <f>IF(ISNUMBER(Table1[[#This Row],[FECHA DE RECIBIDO]]), Table1[[#This Row],[FECHA DE RECIBIDO]]-DATE(2023,8,30), "")</f>
        <v>-44884.248032407406</v>
      </c>
    </row>
    <row r="6298" spans="1:37" ht="16.05" customHeight="1">
      <c r="A6298" s="172" t="s">
        <v>5296</v>
      </c>
      <c r="B6298" s="178">
        <v>2267</v>
      </c>
      <c r="C6298" s="179" t="s">
        <v>2556</v>
      </c>
      <c r="D6298">
        <v>4321</v>
      </c>
      <c r="E6298" s="125">
        <v>6000</v>
      </c>
      <c r="F6298" s="178">
        <v>612</v>
      </c>
      <c r="G6298" s="178" t="s">
        <v>129</v>
      </c>
      <c r="H6298">
        <v>314</v>
      </c>
      <c r="I6298" s="178" t="s">
        <v>1546</v>
      </c>
      <c r="J6298" s="320">
        <v>279.764618055553</v>
      </c>
      <c r="K6298" s="178" t="s">
        <v>5322</v>
      </c>
      <c r="L6298" s="125" t="s">
        <v>1579</v>
      </c>
      <c r="M6298">
        <v>419</v>
      </c>
      <c r="N6298" s="182">
        <v>17</v>
      </c>
      <c r="O6298">
        <v>4150</v>
      </c>
      <c r="P6298" s="132" t="s">
        <v>77</v>
      </c>
      <c r="Q6298" s="176">
        <v>1724.14</v>
      </c>
      <c r="R6298" s="176">
        <v>275.86</v>
      </c>
      <c r="S6298" s="176"/>
      <c r="T6298" s="190"/>
      <c r="U6298" s="191"/>
      <c r="V6298" s="191">
        <v>2000</v>
      </c>
      <c r="W6298">
        <v>101</v>
      </c>
      <c r="X6298" s="186" t="s">
        <v>1644</v>
      </c>
      <c r="Y6298" s="187" t="s">
        <v>55</v>
      </c>
      <c r="Z6298" s="311">
        <v>279</v>
      </c>
      <c r="AB6298" t="str">
        <f>IF(Table1[[#This Row],[TIPO2]]="costo", VLOOKUP(Table1[[#This Row],[PARTIDA PRESUPUESTAL]],'Cost Report'!G:G,1,0),"Balance")</f>
        <v>2498-003</v>
      </c>
      <c r="AD6298" s="159">
        <f>+Table1[[#This Row],[SUBTOTAL]]+Table1[[#This Row],[IVA]]-Table1[[#This Row],[RET IVA]]-Table1[[#This Row],[RET ISR]]-Table1[[#This Row],[TOTAL]]</f>
        <v>0</v>
      </c>
      <c r="AG6298" t="s">
        <v>3420</v>
      </c>
      <c r="AK6298" s="306">
        <f>IF(ISNUMBER(Table1[[#This Row],[FECHA DE RECIBIDO]]), Table1[[#This Row],[FECHA DE RECIBIDO]]-DATE(2023,8,30), "")</f>
        <v>-44888.235381944447</v>
      </c>
    </row>
    <row r="6299" spans="1:37" ht="16.05" customHeight="1">
      <c r="A6299" s="172" t="s">
        <v>5296</v>
      </c>
      <c r="B6299" s="178">
        <v>2267</v>
      </c>
      <c r="C6299" s="179" t="s">
        <v>2556</v>
      </c>
      <c r="D6299">
        <v>4322</v>
      </c>
      <c r="E6299" s="125">
        <v>6000</v>
      </c>
      <c r="F6299" s="178">
        <v>612</v>
      </c>
      <c r="G6299" s="178" t="s">
        <v>129</v>
      </c>
      <c r="H6299">
        <v>314</v>
      </c>
      <c r="I6299" s="178" t="s">
        <v>1546</v>
      </c>
      <c r="J6299" s="320">
        <v>279.76741898147884</v>
      </c>
      <c r="K6299" s="178" t="s">
        <v>5322</v>
      </c>
      <c r="L6299" s="125" t="s">
        <v>1579</v>
      </c>
      <c r="M6299">
        <v>419</v>
      </c>
      <c r="N6299" s="182">
        <v>17</v>
      </c>
      <c r="O6299">
        <v>4151</v>
      </c>
      <c r="P6299" s="132" t="s">
        <v>77</v>
      </c>
      <c r="Q6299" s="176">
        <v>732.76</v>
      </c>
      <c r="R6299" s="176">
        <v>117.24</v>
      </c>
      <c r="S6299" s="176"/>
      <c r="T6299" s="190"/>
      <c r="U6299" s="191"/>
      <c r="V6299" s="191">
        <v>850</v>
      </c>
      <c r="W6299">
        <v>101</v>
      </c>
      <c r="X6299" s="186" t="s">
        <v>1644</v>
      </c>
      <c r="Y6299" s="187" t="s">
        <v>55</v>
      </c>
      <c r="Z6299" s="311">
        <v>279</v>
      </c>
      <c r="AB6299" t="str">
        <f>IF(Table1[[#This Row],[TIPO2]]="costo", VLOOKUP(Table1[[#This Row],[PARTIDA PRESUPUESTAL]],'Cost Report'!G:G,1,0),"Balance")</f>
        <v>2498-003</v>
      </c>
      <c r="AD6299" s="159">
        <f>+Table1[[#This Row],[SUBTOTAL]]+Table1[[#This Row],[IVA]]-Table1[[#This Row],[RET IVA]]-Table1[[#This Row],[RET ISR]]-Table1[[#This Row],[TOTAL]]</f>
        <v>0</v>
      </c>
      <c r="AG6299" t="s">
        <v>3420</v>
      </c>
      <c r="AK6299" s="306">
        <f>IF(ISNUMBER(Table1[[#This Row],[FECHA DE RECIBIDO]]), Table1[[#This Row],[FECHA DE RECIBIDO]]-DATE(2023,8,30), "")</f>
        <v>-44888.232581018521</v>
      </c>
    </row>
    <row r="6300" spans="1:37" ht="16.05" customHeight="1">
      <c r="A6300" s="172" t="s">
        <v>5296</v>
      </c>
      <c r="B6300" s="178">
        <v>2267</v>
      </c>
      <c r="C6300" s="179" t="s">
        <v>2556</v>
      </c>
      <c r="D6300">
        <v>4323</v>
      </c>
      <c r="E6300" s="125">
        <v>21100</v>
      </c>
      <c r="F6300" s="178">
        <v>601</v>
      </c>
      <c r="G6300" s="178" t="s">
        <v>134</v>
      </c>
      <c r="H6300">
        <v>156</v>
      </c>
      <c r="I6300" s="178" t="s">
        <v>1546</v>
      </c>
      <c r="J6300" s="320">
        <v>283.72084490740963</v>
      </c>
      <c r="K6300" s="178" t="s">
        <v>5322</v>
      </c>
      <c r="L6300" s="125" t="s">
        <v>1579</v>
      </c>
      <c r="M6300">
        <v>207</v>
      </c>
      <c r="N6300" s="182">
        <v>17</v>
      </c>
      <c r="O6300">
        <v>4152</v>
      </c>
      <c r="P6300" s="132" t="s">
        <v>77</v>
      </c>
      <c r="Q6300" s="176">
        <v>1206.47</v>
      </c>
      <c r="R6300" s="176">
        <v>193.04</v>
      </c>
      <c r="S6300" s="176"/>
      <c r="T6300" s="190"/>
      <c r="U6300" s="191"/>
      <c r="V6300" s="191">
        <v>1399.51</v>
      </c>
      <c r="W6300">
        <v>101</v>
      </c>
      <c r="X6300" s="186" t="s">
        <v>1644</v>
      </c>
      <c r="Y6300" s="187" t="s">
        <v>55</v>
      </c>
      <c r="Z6300" s="311">
        <v>283</v>
      </c>
      <c r="AB6300" t="str">
        <f>IF(Table1[[#This Row],[TIPO2]]="costo", VLOOKUP(Table1[[#This Row],[PARTIDA PRESUPUESTAL]],'Cost Report'!G:G,1,0),"Balance")</f>
        <v>2498-003</v>
      </c>
      <c r="AD6300" s="159">
        <f>+Table1[[#This Row],[SUBTOTAL]]+Table1[[#This Row],[IVA]]-Table1[[#This Row],[RET IVA]]-Table1[[#This Row],[RET ISR]]-Table1[[#This Row],[TOTAL]]</f>
        <v>0</v>
      </c>
      <c r="AG6300" t="s">
        <v>3420</v>
      </c>
      <c r="AK6300" s="306">
        <f>IF(ISNUMBER(Table1[[#This Row],[FECHA DE RECIBIDO]]), Table1[[#This Row],[FECHA DE RECIBIDO]]-DATE(2023,8,30), "")</f>
        <v>-44884.27915509259</v>
      </c>
    </row>
    <row r="6301" spans="1:37" ht="16.05" customHeight="1">
      <c r="A6301" s="172" t="s">
        <v>5296</v>
      </c>
      <c r="B6301" s="178">
        <v>2267</v>
      </c>
      <c r="C6301" s="179" t="s">
        <v>2556</v>
      </c>
      <c r="D6301">
        <v>689</v>
      </c>
      <c r="E6301" s="125"/>
      <c r="F6301" s="178"/>
      <c r="G6301" s="178"/>
      <c r="H6301"/>
      <c r="I6301" s="178"/>
      <c r="J6301" s="320" t="s">
        <v>214</v>
      </c>
      <c r="K6301" s="178" t="s">
        <v>5322</v>
      </c>
      <c r="L6301" s="125" t="s">
        <v>1579</v>
      </c>
      <c r="M6301">
        <v>1423</v>
      </c>
      <c r="N6301" s="182">
        <v>17</v>
      </c>
      <c r="O6301">
        <v>4153</v>
      </c>
      <c r="P6301" s="132" t="s">
        <v>77</v>
      </c>
      <c r="Q6301" s="176">
        <v>180</v>
      </c>
      <c r="R6301" s="176"/>
      <c r="S6301" s="176"/>
      <c r="T6301" s="190"/>
      <c r="U6301" s="191"/>
      <c r="V6301" s="191">
        <v>180</v>
      </c>
      <c r="W6301">
        <v>101</v>
      </c>
      <c r="X6301" s="186" t="s">
        <v>1644</v>
      </c>
      <c r="Y6301" s="187" t="s">
        <v>55</v>
      </c>
      <c r="Z6301" s="311">
        <v>279</v>
      </c>
      <c r="AB6301" t="str">
        <f>IF(Table1[[#This Row],[TIPO2]]="costo", VLOOKUP(Table1[[#This Row],[PARTIDA PRESUPUESTAL]],'Cost Report'!G:G,1,0),"Balance")</f>
        <v>2498-003</v>
      </c>
      <c r="AD6301" s="159">
        <f>+Table1[[#This Row],[SUBTOTAL]]+Table1[[#This Row],[IVA]]-Table1[[#This Row],[RET IVA]]-Table1[[#This Row],[RET ISR]]-Table1[[#This Row],[TOTAL]]</f>
        <v>0</v>
      </c>
      <c r="AG6301" t="s">
        <v>3420</v>
      </c>
      <c r="AK6301" s="306" t="str">
        <f>IF(ISNUMBER(Table1[[#This Row],[FECHA DE RECIBIDO]]), Table1[[#This Row],[FECHA DE RECIBIDO]]-DATE(2023,8,30), "")</f>
        <v/>
      </c>
    </row>
    <row r="6302" spans="1:37" ht="16.05" customHeight="1">
      <c r="A6302" s="172" t="s">
        <v>5296</v>
      </c>
      <c r="B6302" s="178">
        <v>2267</v>
      </c>
      <c r="C6302" s="179" t="s">
        <v>2556</v>
      </c>
      <c r="D6302">
        <v>689</v>
      </c>
      <c r="E6302" s="125"/>
      <c r="F6302" s="178"/>
      <c r="G6302" s="178"/>
      <c r="H6302"/>
      <c r="I6302" s="178"/>
      <c r="J6302" s="320" t="s">
        <v>214</v>
      </c>
      <c r="K6302" s="178" t="s">
        <v>5322</v>
      </c>
      <c r="L6302" s="125" t="s">
        <v>1579</v>
      </c>
      <c r="M6302">
        <v>1424</v>
      </c>
      <c r="N6302" s="182">
        <v>17</v>
      </c>
      <c r="O6302">
        <v>4154</v>
      </c>
      <c r="P6302" s="132" t="s">
        <v>77</v>
      </c>
      <c r="Q6302" s="176">
        <v>790</v>
      </c>
      <c r="R6302" s="176"/>
      <c r="S6302" s="176"/>
      <c r="T6302" s="190"/>
      <c r="U6302" s="191"/>
      <c r="V6302" s="191">
        <v>790</v>
      </c>
      <c r="W6302">
        <v>101</v>
      </c>
      <c r="X6302" s="186" t="s">
        <v>1644</v>
      </c>
      <c r="Y6302" s="187" t="s">
        <v>55</v>
      </c>
      <c r="Z6302" s="311">
        <v>279</v>
      </c>
      <c r="AB6302" t="str">
        <f>IF(Table1[[#This Row],[TIPO2]]="costo", VLOOKUP(Table1[[#This Row],[PARTIDA PRESUPUESTAL]],'Cost Report'!G:G,1,0),"Balance")</f>
        <v>2498-003</v>
      </c>
      <c r="AD6302" s="159">
        <f>+Table1[[#This Row],[SUBTOTAL]]+Table1[[#This Row],[IVA]]-Table1[[#This Row],[RET IVA]]-Table1[[#This Row],[RET ISR]]-Table1[[#This Row],[TOTAL]]</f>
        <v>0</v>
      </c>
      <c r="AG6302" t="s">
        <v>3420</v>
      </c>
      <c r="AK6302" s="306" t="str">
        <f>IF(ISNUMBER(Table1[[#This Row],[FECHA DE RECIBIDO]]), Table1[[#This Row],[FECHA DE RECIBIDO]]-DATE(2023,8,30), "")</f>
        <v/>
      </c>
    </row>
    <row r="6303" spans="1:37" ht="16.05" customHeight="1">
      <c r="A6303" s="172" t="s">
        <v>5296</v>
      </c>
      <c r="B6303" s="178">
        <v>2267</v>
      </c>
      <c r="C6303" s="179" t="s">
        <v>2556</v>
      </c>
      <c r="D6303">
        <v>689</v>
      </c>
      <c r="E6303" s="125"/>
      <c r="F6303" s="178"/>
      <c r="G6303" s="178"/>
      <c r="H6303"/>
      <c r="I6303" s="178"/>
      <c r="J6303" s="320" t="s">
        <v>214</v>
      </c>
      <c r="K6303" s="178" t="s">
        <v>5322</v>
      </c>
      <c r="L6303" s="125" t="s">
        <v>1579</v>
      </c>
      <c r="M6303">
        <v>1425</v>
      </c>
      <c r="N6303" s="182">
        <v>17</v>
      </c>
      <c r="O6303">
        <v>4155</v>
      </c>
      <c r="P6303" s="132" t="s">
        <v>77</v>
      </c>
      <c r="Q6303" s="176">
        <v>350</v>
      </c>
      <c r="R6303" s="176"/>
      <c r="S6303" s="176"/>
      <c r="T6303" s="190"/>
      <c r="U6303" s="191"/>
      <c r="V6303" s="191">
        <v>350</v>
      </c>
      <c r="W6303">
        <v>101</v>
      </c>
      <c r="X6303" s="186" t="s">
        <v>1644</v>
      </c>
      <c r="Y6303" s="187" t="s">
        <v>55</v>
      </c>
      <c r="Z6303" s="311">
        <v>278</v>
      </c>
      <c r="AB6303" t="str">
        <f>IF(Table1[[#This Row],[TIPO2]]="costo", VLOOKUP(Table1[[#This Row],[PARTIDA PRESUPUESTAL]],'Cost Report'!G:G,1,0),"Balance")</f>
        <v>2498-003</v>
      </c>
      <c r="AD6303" s="159">
        <f>+Table1[[#This Row],[SUBTOTAL]]+Table1[[#This Row],[IVA]]-Table1[[#This Row],[RET IVA]]-Table1[[#This Row],[RET ISR]]-Table1[[#This Row],[TOTAL]]</f>
        <v>0</v>
      </c>
      <c r="AG6303" t="s">
        <v>3420</v>
      </c>
      <c r="AK6303" s="306" t="str">
        <f>IF(ISNUMBER(Table1[[#This Row],[FECHA DE RECIBIDO]]), Table1[[#This Row],[FECHA DE RECIBIDO]]-DATE(2023,8,30), "")</f>
        <v/>
      </c>
    </row>
    <row r="6304" spans="1:37" ht="16.05" customHeight="1">
      <c r="A6304" s="172" t="s">
        <v>5296</v>
      </c>
      <c r="B6304" s="178">
        <v>2267</v>
      </c>
      <c r="C6304" s="179" t="s">
        <v>2455</v>
      </c>
      <c r="D6304">
        <v>689</v>
      </c>
      <c r="E6304" s="125"/>
      <c r="F6304" s="178"/>
      <c r="G6304" s="178"/>
      <c r="H6304"/>
      <c r="I6304" s="178"/>
      <c r="J6304" s="320" t="s">
        <v>214</v>
      </c>
      <c r="K6304" s="178" t="s">
        <v>5322</v>
      </c>
      <c r="L6304" s="125" t="s">
        <v>1579</v>
      </c>
      <c r="M6304">
        <v>1426</v>
      </c>
      <c r="N6304" s="182">
        <v>17</v>
      </c>
      <c r="O6304">
        <v>3055</v>
      </c>
      <c r="P6304" s="132" t="s">
        <v>77</v>
      </c>
      <c r="Q6304" s="176">
        <v>132</v>
      </c>
      <c r="R6304" s="176"/>
      <c r="S6304" s="176"/>
      <c r="T6304" s="190"/>
      <c r="U6304" s="191"/>
      <c r="V6304" s="191">
        <v>132</v>
      </c>
      <c r="W6304">
        <v>101</v>
      </c>
      <c r="X6304" s="186" t="s">
        <v>1644</v>
      </c>
      <c r="Y6304" s="187" t="s">
        <v>55</v>
      </c>
      <c r="Z6304" s="311">
        <v>279</v>
      </c>
      <c r="AB6304" t="str">
        <f>IF(Table1[[#This Row],[TIPO2]]="costo", VLOOKUP(Table1[[#This Row],[PARTIDA PRESUPUESTAL]],'Cost Report'!G:G,1,0),"Balance")</f>
        <v>2285-003</v>
      </c>
      <c r="AD6304" s="159">
        <f>+Table1[[#This Row],[SUBTOTAL]]+Table1[[#This Row],[IVA]]-Table1[[#This Row],[RET IVA]]-Table1[[#This Row],[RET ISR]]-Table1[[#This Row],[TOTAL]]</f>
        <v>0</v>
      </c>
      <c r="AG6304" t="s">
        <v>3420</v>
      </c>
      <c r="AK6304" s="306" t="str">
        <f>IF(ISNUMBER(Table1[[#This Row],[FECHA DE RECIBIDO]]), Table1[[#This Row],[FECHA DE RECIBIDO]]-DATE(2023,8,30), "")</f>
        <v/>
      </c>
    </row>
    <row r="6305" spans="1:37" ht="16.05" customHeight="1">
      <c r="A6305" s="172" t="s">
        <v>5296</v>
      </c>
      <c r="B6305" s="178">
        <v>2267</v>
      </c>
      <c r="C6305" s="179" t="s">
        <v>2455</v>
      </c>
      <c r="D6305">
        <v>689</v>
      </c>
      <c r="E6305" s="125"/>
      <c r="F6305" s="178"/>
      <c r="G6305" s="178"/>
      <c r="H6305"/>
      <c r="I6305" s="178"/>
      <c r="J6305" s="320" t="s">
        <v>214</v>
      </c>
      <c r="K6305" s="178" t="s">
        <v>5322</v>
      </c>
      <c r="L6305" s="125" t="s">
        <v>1579</v>
      </c>
      <c r="M6305">
        <v>1426</v>
      </c>
      <c r="N6305" s="182">
        <v>17</v>
      </c>
      <c r="O6305">
        <v>3055</v>
      </c>
      <c r="P6305" s="132" t="s">
        <v>77</v>
      </c>
      <c r="Q6305" s="176">
        <v>48</v>
      </c>
      <c r="R6305" s="176"/>
      <c r="S6305" s="176"/>
      <c r="T6305" s="190"/>
      <c r="U6305" s="191"/>
      <c r="V6305" s="191">
        <v>48</v>
      </c>
      <c r="W6305">
        <v>101</v>
      </c>
      <c r="X6305" s="186" t="s">
        <v>1644</v>
      </c>
      <c r="Y6305" s="187" t="s">
        <v>55</v>
      </c>
      <c r="Z6305" s="311">
        <v>278</v>
      </c>
      <c r="AB6305" t="str">
        <f>IF(Table1[[#This Row],[TIPO2]]="costo", VLOOKUP(Table1[[#This Row],[PARTIDA PRESUPUESTAL]],'Cost Report'!G:G,1,0),"Balance")</f>
        <v>2285-003</v>
      </c>
      <c r="AD6305" s="159">
        <f>+Table1[[#This Row],[SUBTOTAL]]+Table1[[#This Row],[IVA]]-Table1[[#This Row],[RET IVA]]-Table1[[#This Row],[RET ISR]]-Table1[[#This Row],[TOTAL]]</f>
        <v>0</v>
      </c>
      <c r="AG6305" t="s">
        <v>3420</v>
      </c>
      <c r="AK6305" s="306" t="str">
        <f>IF(ISNUMBER(Table1[[#This Row],[FECHA DE RECIBIDO]]), Table1[[#This Row],[FECHA DE RECIBIDO]]-DATE(2023,8,30), "")</f>
        <v/>
      </c>
    </row>
    <row r="6306" spans="1:37" ht="16.05" customHeight="1">
      <c r="A6306" s="172" t="s">
        <v>5296</v>
      </c>
      <c r="B6306" s="178">
        <v>2267</v>
      </c>
      <c r="C6306" s="179" t="s">
        <v>2455</v>
      </c>
      <c r="D6306">
        <v>689</v>
      </c>
      <c r="E6306" s="125"/>
      <c r="F6306" s="178"/>
      <c r="G6306" s="178"/>
      <c r="H6306"/>
      <c r="I6306" s="178"/>
      <c r="J6306" s="320" t="s">
        <v>214</v>
      </c>
      <c r="K6306" s="178" t="s">
        <v>5322</v>
      </c>
      <c r="L6306" s="125" t="s">
        <v>1579</v>
      </c>
      <c r="M6306">
        <v>850</v>
      </c>
      <c r="N6306" s="182">
        <v>17</v>
      </c>
      <c r="O6306">
        <v>3055</v>
      </c>
      <c r="P6306" s="132" t="s">
        <v>77</v>
      </c>
      <c r="Q6306" s="176">
        <v>95</v>
      </c>
      <c r="R6306" s="176"/>
      <c r="S6306" s="176"/>
      <c r="T6306" s="190"/>
      <c r="U6306" s="191"/>
      <c r="V6306" s="191">
        <v>95</v>
      </c>
      <c r="W6306">
        <v>101</v>
      </c>
      <c r="X6306" s="186" t="s">
        <v>1644</v>
      </c>
      <c r="Y6306" s="187" t="s">
        <v>55</v>
      </c>
      <c r="Z6306" s="311">
        <v>278</v>
      </c>
      <c r="AB6306" t="str">
        <f>IF(Table1[[#This Row],[TIPO2]]="costo", VLOOKUP(Table1[[#This Row],[PARTIDA PRESUPUESTAL]],'Cost Report'!G:G,1,0),"Balance")</f>
        <v>2285-003</v>
      </c>
      <c r="AD6306" s="159">
        <f>+Table1[[#This Row],[SUBTOTAL]]+Table1[[#This Row],[IVA]]-Table1[[#This Row],[RET IVA]]-Table1[[#This Row],[RET ISR]]-Table1[[#This Row],[TOTAL]]</f>
        <v>0</v>
      </c>
      <c r="AG6306" t="s">
        <v>3420</v>
      </c>
      <c r="AK6306" s="306" t="str">
        <f>IF(ISNUMBER(Table1[[#This Row],[FECHA DE RECIBIDO]]), Table1[[#This Row],[FECHA DE RECIBIDO]]-DATE(2023,8,30), "")</f>
        <v/>
      </c>
    </row>
    <row r="6307" spans="1:37" ht="16.05" customHeight="1">
      <c r="A6307" s="172" t="s">
        <v>5296</v>
      </c>
      <c r="B6307" s="178">
        <v>2267</v>
      </c>
      <c r="C6307" s="179" t="s">
        <v>2455</v>
      </c>
      <c r="D6307">
        <v>689</v>
      </c>
      <c r="E6307" s="125"/>
      <c r="F6307" s="178"/>
      <c r="G6307" s="178"/>
      <c r="H6307"/>
      <c r="I6307" s="178"/>
      <c r="J6307" s="320" t="s">
        <v>214</v>
      </c>
      <c r="K6307" s="178" t="s">
        <v>5322</v>
      </c>
      <c r="L6307" s="125" t="s">
        <v>1579</v>
      </c>
      <c r="M6307">
        <v>1427</v>
      </c>
      <c r="N6307" s="182">
        <v>17</v>
      </c>
      <c r="O6307">
        <v>3458</v>
      </c>
      <c r="P6307" s="132" t="s">
        <v>77</v>
      </c>
      <c r="Q6307" s="176">
        <v>34.799999999999997</v>
      </c>
      <c r="R6307" s="176"/>
      <c r="S6307" s="176"/>
      <c r="T6307" s="190"/>
      <c r="U6307" s="191"/>
      <c r="V6307" s="191">
        <v>34.799999999999997</v>
      </c>
      <c r="W6307">
        <v>101</v>
      </c>
      <c r="X6307" s="186" t="s">
        <v>1644</v>
      </c>
      <c r="Y6307" s="187" t="s">
        <v>55</v>
      </c>
      <c r="Z6307" s="311">
        <v>279</v>
      </c>
      <c r="AB6307" t="str">
        <f>IF(Table1[[#This Row],[TIPO2]]="costo", VLOOKUP(Table1[[#This Row],[PARTIDA PRESUPUESTAL]],'Cost Report'!G:G,1,0),"Balance")</f>
        <v>2285-003</v>
      </c>
      <c r="AD6307" s="159">
        <f>+Table1[[#This Row],[SUBTOTAL]]+Table1[[#This Row],[IVA]]-Table1[[#This Row],[RET IVA]]-Table1[[#This Row],[RET ISR]]-Table1[[#This Row],[TOTAL]]</f>
        <v>0</v>
      </c>
      <c r="AG6307" t="s">
        <v>3420</v>
      </c>
      <c r="AK6307" s="306" t="str">
        <f>IF(ISNUMBER(Table1[[#This Row],[FECHA DE RECIBIDO]]), Table1[[#This Row],[FECHA DE RECIBIDO]]-DATE(2023,8,30), "")</f>
        <v/>
      </c>
    </row>
    <row r="6308" spans="1:37" ht="16.05" customHeight="1">
      <c r="A6308" s="172" t="s">
        <v>5296</v>
      </c>
      <c r="B6308" s="178">
        <v>2267</v>
      </c>
      <c r="C6308" s="179" t="s">
        <v>2556</v>
      </c>
      <c r="D6308">
        <v>689</v>
      </c>
      <c r="E6308" s="125"/>
      <c r="F6308" s="178"/>
      <c r="G6308" s="178"/>
      <c r="H6308"/>
      <c r="I6308" s="178"/>
      <c r="J6308" s="320" t="s">
        <v>214</v>
      </c>
      <c r="K6308" s="178" t="s">
        <v>5322</v>
      </c>
      <c r="L6308" s="125" t="s">
        <v>1579</v>
      </c>
      <c r="M6308">
        <v>1428</v>
      </c>
      <c r="N6308" s="182">
        <v>17</v>
      </c>
      <c r="O6308">
        <v>4156</v>
      </c>
      <c r="P6308" s="132" t="s">
        <v>77</v>
      </c>
      <c r="Q6308" s="176">
        <v>261</v>
      </c>
      <c r="R6308" s="176"/>
      <c r="S6308" s="176"/>
      <c r="T6308" s="190"/>
      <c r="U6308" s="191"/>
      <c r="V6308" s="191">
        <v>261</v>
      </c>
      <c r="W6308">
        <v>101</v>
      </c>
      <c r="X6308" s="186" t="s">
        <v>1644</v>
      </c>
      <c r="Y6308" s="187" t="s">
        <v>55</v>
      </c>
      <c r="Z6308" s="311">
        <v>279</v>
      </c>
      <c r="AB6308" t="str">
        <f>IF(Table1[[#This Row],[TIPO2]]="costo", VLOOKUP(Table1[[#This Row],[PARTIDA PRESUPUESTAL]],'Cost Report'!G:G,1,0),"Balance")</f>
        <v>2498-003</v>
      </c>
      <c r="AD6308" s="159">
        <f>+Table1[[#This Row],[SUBTOTAL]]+Table1[[#This Row],[IVA]]-Table1[[#This Row],[RET IVA]]-Table1[[#This Row],[RET ISR]]-Table1[[#This Row],[TOTAL]]</f>
        <v>0</v>
      </c>
      <c r="AG6308" t="s">
        <v>3420</v>
      </c>
      <c r="AK6308" s="306" t="str">
        <f>IF(ISNUMBER(Table1[[#This Row],[FECHA DE RECIBIDO]]), Table1[[#This Row],[FECHA DE RECIBIDO]]-DATE(2023,8,30), "")</f>
        <v/>
      </c>
    </row>
    <row r="6309" spans="1:37" ht="16.05" customHeight="1">
      <c r="A6309" s="172" t="s">
        <v>5296</v>
      </c>
      <c r="B6309" s="178">
        <v>2267</v>
      </c>
      <c r="C6309" s="179" t="s">
        <v>2556</v>
      </c>
      <c r="D6309">
        <v>689</v>
      </c>
      <c r="E6309" s="125"/>
      <c r="F6309" s="178"/>
      <c r="G6309" s="178"/>
      <c r="H6309"/>
      <c r="I6309" s="178"/>
      <c r="J6309" s="320" t="s">
        <v>214</v>
      </c>
      <c r="K6309" s="178" t="s">
        <v>5322</v>
      </c>
      <c r="L6309" s="125" t="s">
        <v>1579</v>
      </c>
      <c r="M6309">
        <v>1418</v>
      </c>
      <c r="N6309" s="182">
        <v>17</v>
      </c>
      <c r="O6309">
        <v>4157</v>
      </c>
      <c r="P6309" s="132" t="s">
        <v>77</v>
      </c>
      <c r="Q6309" s="176">
        <v>750</v>
      </c>
      <c r="R6309" s="176"/>
      <c r="S6309" s="176"/>
      <c r="T6309" s="190"/>
      <c r="U6309" s="191"/>
      <c r="V6309" s="191">
        <v>750</v>
      </c>
      <c r="W6309">
        <v>101</v>
      </c>
      <c r="X6309" s="186" t="s">
        <v>1644</v>
      </c>
      <c r="Y6309" s="187" t="s">
        <v>55</v>
      </c>
      <c r="Z6309" s="311">
        <v>281</v>
      </c>
      <c r="AB6309" t="str">
        <f>IF(Table1[[#This Row],[TIPO2]]="costo", VLOOKUP(Table1[[#This Row],[PARTIDA PRESUPUESTAL]],'Cost Report'!G:G,1,0),"Balance")</f>
        <v>2498-003</v>
      </c>
      <c r="AD6309" s="159">
        <f>+Table1[[#This Row],[SUBTOTAL]]+Table1[[#This Row],[IVA]]-Table1[[#This Row],[RET IVA]]-Table1[[#This Row],[RET ISR]]-Table1[[#This Row],[TOTAL]]</f>
        <v>0</v>
      </c>
      <c r="AG6309" t="s">
        <v>3420</v>
      </c>
      <c r="AK6309" s="306" t="str">
        <f>IF(ISNUMBER(Table1[[#This Row],[FECHA DE RECIBIDO]]), Table1[[#This Row],[FECHA DE RECIBIDO]]-DATE(2023,8,30), "")</f>
        <v/>
      </c>
    </row>
    <row r="6310" spans="1:37" ht="16.05" customHeight="1">
      <c r="A6310" s="172" t="s">
        <v>5296</v>
      </c>
      <c r="B6310" s="178">
        <v>2267</v>
      </c>
      <c r="C6310" s="179" t="s">
        <v>2455</v>
      </c>
      <c r="D6310">
        <v>689</v>
      </c>
      <c r="E6310" s="125"/>
      <c r="F6310" s="178"/>
      <c r="G6310" s="178"/>
      <c r="H6310"/>
      <c r="I6310" s="178"/>
      <c r="J6310" s="320" t="s">
        <v>214</v>
      </c>
      <c r="K6310" s="178" t="s">
        <v>5322</v>
      </c>
      <c r="L6310" s="125" t="s">
        <v>1579</v>
      </c>
      <c r="M6310">
        <v>1429</v>
      </c>
      <c r="N6310" s="182">
        <v>17</v>
      </c>
      <c r="O6310">
        <v>4158</v>
      </c>
      <c r="P6310" s="132" t="s">
        <v>77</v>
      </c>
      <c r="Q6310" s="176">
        <v>600</v>
      </c>
      <c r="R6310" s="176"/>
      <c r="S6310" s="176"/>
      <c r="T6310" s="190"/>
      <c r="U6310" s="191"/>
      <c r="V6310" s="191">
        <v>600</v>
      </c>
      <c r="W6310">
        <v>101</v>
      </c>
      <c r="X6310" s="186" t="s">
        <v>1644</v>
      </c>
      <c r="Y6310" s="187" t="s">
        <v>55</v>
      </c>
      <c r="Z6310" s="311">
        <v>280</v>
      </c>
      <c r="AB6310" t="str">
        <f>IF(Table1[[#This Row],[TIPO2]]="costo", VLOOKUP(Table1[[#This Row],[PARTIDA PRESUPUESTAL]],'Cost Report'!G:G,1,0),"Balance")</f>
        <v>2285-003</v>
      </c>
      <c r="AD6310" s="159">
        <f>+Table1[[#This Row],[SUBTOTAL]]+Table1[[#This Row],[IVA]]-Table1[[#This Row],[RET IVA]]-Table1[[#This Row],[RET ISR]]-Table1[[#This Row],[TOTAL]]</f>
        <v>0</v>
      </c>
      <c r="AG6310" t="s">
        <v>3420</v>
      </c>
      <c r="AK6310" s="306" t="str">
        <f>IF(ISNUMBER(Table1[[#This Row],[FECHA DE RECIBIDO]]), Table1[[#This Row],[FECHA DE RECIBIDO]]-DATE(2023,8,30), "")</f>
        <v/>
      </c>
    </row>
    <row r="6311" spans="1:37" ht="16.05" customHeight="1">
      <c r="A6311" s="172" t="s">
        <v>5296</v>
      </c>
      <c r="B6311" s="178">
        <v>2267</v>
      </c>
      <c r="C6311" s="179" t="s">
        <v>2556</v>
      </c>
      <c r="D6311">
        <v>689</v>
      </c>
      <c r="E6311" s="125"/>
      <c r="F6311" s="178"/>
      <c r="G6311" s="178"/>
      <c r="H6311"/>
      <c r="I6311" s="178"/>
      <c r="J6311" s="320" t="s">
        <v>214</v>
      </c>
      <c r="K6311" s="178" t="s">
        <v>5322</v>
      </c>
      <c r="L6311" s="125" t="s">
        <v>1579</v>
      </c>
      <c r="M6311">
        <v>1418</v>
      </c>
      <c r="N6311" s="182">
        <v>17</v>
      </c>
      <c r="O6311">
        <v>4159</v>
      </c>
      <c r="P6311" s="132" t="s">
        <v>77</v>
      </c>
      <c r="Q6311" s="176">
        <v>135</v>
      </c>
      <c r="R6311" s="176"/>
      <c r="S6311" s="176"/>
      <c r="T6311" s="190"/>
      <c r="U6311" s="191"/>
      <c r="V6311" s="191">
        <v>135</v>
      </c>
      <c r="W6311">
        <v>101</v>
      </c>
      <c r="X6311" s="186" t="s">
        <v>1644</v>
      </c>
      <c r="Y6311" s="187" t="s">
        <v>55</v>
      </c>
      <c r="Z6311" s="311">
        <v>279</v>
      </c>
      <c r="AB6311" t="str">
        <f>IF(Table1[[#This Row],[TIPO2]]="costo", VLOOKUP(Table1[[#This Row],[PARTIDA PRESUPUESTAL]],'Cost Report'!G:G,1,0),"Balance")</f>
        <v>2498-003</v>
      </c>
      <c r="AD6311" s="159">
        <f>+Table1[[#This Row],[SUBTOTAL]]+Table1[[#This Row],[IVA]]-Table1[[#This Row],[RET IVA]]-Table1[[#This Row],[RET ISR]]-Table1[[#This Row],[TOTAL]]</f>
        <v>0</v>
      </c>
      <c r="AG6311" t="s">
        <v>3420</v>
      </c>
      <c r="AK6311" s="306" t="str">
        <f>IF(ISNUMBER(Table1[[#This Row],[FECHA DE RECIBIDO]]), Table1[[#This Row],[FECHA DE RECIBIDO]]-DATE(2023,8,30), "")</f>
        <v/>
      </c>
    </row>
    <row r="6312" spans="1:37" ht="16.05" customHeight="1">
      <c r="A6312" s="172" t="s">
        <v>5297</v>
      </c>
      <c r="B6312" s="178">
        <v>2268</v>
      </c>
      <c r="C6312" s="179" t="s">
        <v>2567</v>
      </c>
      <c r="D6312">
        <v>4324</v>
      </c>
      <c r="E6312" s="125">
        <v>1020</v>
      </c>
      <c r="F6312" s="178">
        <v>601</v>
      </c>
      <c r="G6312" s="178" t="s">
        <v>134</v>
      </c>
      <c r="H6312">
        <v>1025</v>
      </c>
      <c r="I6312" s="178" t="s">
        <v>1546</v>
      </c>
      <c r="J6312" s="320">
        <v>282.56346064814716</v>
      </c>
      <c r="K6312" s="178" t="s">
        <v>5322</v>
      </c>
      <c r="L6312" s="125" t="s">
        <v>1579</v>
      </c>
      <c r="M6312">
        <v>1430</v>
      </c>
      <c r="N6312" s="182">
        <v>17</v>
      </c>
      <c r="O6312">
        <v>4160</v>
      </c>
      <c r="P6312" s="132" t="s">
        <v>77</v>
      </c>
      <c r="Q6312" s="176">
        <v>343.97</v>
      </c>
      <c r="R6312" s="176">
        <v>55.03</v>
      </c>
      <c r="S6312" s="176"/>
      <c r="T6312" s="190"/>
      <c r="U6312" s="191"/>
      <c r="V6312" s="191">
        <v>399</v>
      </c>
      <c r="W6312">
        <v>147</v>
      </c>
      <c r="X6312" s="186" t="s">
        <v>1644</v>
      </c>
      <c r="Y6312" s="187" t="s">
        <v>55</v>
      </c>
      <c r="Z6312" s="311">
        <v>282</v>
      </c>
      <c r="AB6312" t="str">
        <f>IF(Table1[[#This Row],[TIPO2]]="costo", VLOOKUP(Table1[[#This Row],[PARTIDA PRESUPUESTAL]],'Cost Report'!G:G,1,0),"Balance")</f>
        <v>2598-003</v>
      </c>
      <c r="AD6312" s="159">
        <f>+Table1[[#This Row],[SUBTOTAL]]+Table1[[#This Row],[IVA]]-Table1[[#This Row],[RET IVA]]-Table1[[#This Row],[RET ISR]]-Table1[[#This Row],[TOTAL]]</f>
        <v>0</v>
      </c>
      <c r="AG6312" t="s">
        <v>3420</v>
      </c>
      <c r="AK6312" s="306">
        <f>IF(ISNUMBER(Table1[[#This Row],[FECHA DE RECIBIDO]]), Table1[[#This Row],[FECHA DE RECIBIDO]]-DATE(2023,8,30), "")</f>
        <v>-44885.436539351853</v>
      </c>
    </row>
    <row r="6313" spans="1:37" ht="16.05" customHeight="1">
      <c r="A6313" s="172" t="s">
        <v>5297</v>
      </c>
      <c r="B6313" s="178">
        <v>2268</v>
      </c>
      <c r="C6313" s="179" t="s">
        <v>2567</v>
      </c>
      <c r="D6313">
        <v>4325</v>
      </c>
      <c r="E6313" s="125">
        <v>6000</v>
      </c>
      <c r="F6313" s="178">
        <v>612</v>
      </c>
      <c r="G6313" s="178" t="s">
        <v>129</v>
      </c>
      <c r="H6313">
        <v>1026</v>
      </c>
      <c r="I6313" s="178" t="s">
        <v>1546</v>
      </c>
      <c r="J6313" s="320">
        <v>282.87273148148233</v>
      </c>
      <c r="K6313" s="178" t="s">
        <v>5322</v>
      </c>
      <c r="L6313" s="125" t="s">
        <v>1579</v>
      </c>
      <c r="M6313">
        <v>1431</v>
      </c>
      <c r="N6313" s="182">
        <v>17</v>
      </c>
      <c r="O6313">
        <v>4161</v>
      </c>
      <c r="P6313" s="132" t="s">
        <v>77</v>
      </c>
      <c r="Q6313" s="176">
        <v>2800</v>
      </c>
      <c r="R6313" s="176">
        <v>448</v>
      </c>
      <c r="S6313" s="176"/>
      <c r="T6313" s="190"/>
      <c r="U6313" s="191"/>
      <c r="V6313" s="191">
        <v>3248</v>
      </c>
      <c r="W6313">
        <v>147</v>
      </c>
      <c r="X6313" s="186" t="s">
        <v>1644</v>
      </c>
      <c r="Y6313" s="187" t="s">
        <v>55</v>
      </c>
      <c r="Z6313" s="311">
        <v>282</v>
      </c>
      <c r="AB6313" t="str">
        <f>IF(Table1[[#This Row],[TIPO2]]="costo", VLOOKUP(Table1[[#This Row],[PARTIDA PRESUPUESTAL]],'Cost Report'!G:G,1,0),"Balance")</f>
        <v>2598-003</v>
      </c>
      <c r="AD6313" s="159">
        <f>+Table1[[#This Row],[SUBTOTAL]]+Table1[[#This Row],[IVA]]-Table1[[#This Row],[RET IVA]]-Table1[[#This Row],[RET ISR]]-Table1[[#This Row],[TOTAL]]</f>
        <v>0</v>
      </c>
      <c r="AG6313" t="s">
        <v>3420</v>
      </c>
      <c r="AK6313" s="306">
        <f>IF(ISNUMBER(Table1[[#This Row],[FECHA DE RECIBIDO]]), Table1[[#This Row],[FECHA DE RECIBIDO]]-DATE(2023,8,30), "")</f>
        <v>-44885.127268518518</v>
      </c>
    </row>
    <row r="6314" spans="1:37" ht="16.05" customHeight="1">
      <c r="A6314" s="172" t="s">
        <v>5298</v>
      </c>
      <c r="B6314" s="178">
        <v>2269</v>
      </c>
      <c r="C6314" s="179" t="s">
        <v>2461</v>
      </c>
      <c r="D6314">
        <v>4326</v>
      </c>
      <c r="E6314" s="125" t="s">
        <v>1613</v>
      </c>
      <c r="F6314" s="178">
        <v>601</v>
      </c>
      <c r="G6314" s="178" t="s">
        <v>134</v>
      </c>
      <c r="H6314">
        <v>721</v>
      </c>
      <c r="I6314" s="178" t="s">
        <v>1546</v>
      </c>
      <c r="J6314" s="320" t="s">
        <v>214</v>
      </c>
      <c r="K6314" s="178" t="s">
        <v>5322</v>
      </c>
      <c r="L6314" s="125" t="s">
        <v>1579</v>
      </c>
      <c r="M6314">
        <v>1004</v>
      </c>
      <c r="N6314" s="182">
        <v>17</v>
      </c>
      <c r="O6314">
        <v>4162</v>
      </c>
      <c r="P6314" s="132" t="s">
        <v>77</v>
      </c>
      <c r="Q6314" s="176">
        <v>1670.26</v>
      </c>
      <c r="R6314" s="176">
        <v>267.24</v>
      </c>
      <c r="S6314" s="176"/>
      <c r="T6314" s="190"/>
      <c r="U6314" s="191"/>
      <c r="V6314" s="191">
        <v>1937.5</v>
      </c>
      <c r="W6314">
        <v>166</v>
      </c>
      <c r="X6314" s="186" t="s">
        <v>1644</v>
      </c>
      <c r="Y6314" s="187" t="s">
        <v>55</v>
      </c>
      <c r="Z6314" s="311">
        <v>250</v>
      </c>
      <c r="AB6314" t="str">
        <f>IF(Table1[[#This Row],[TIPO2]]="costo", VLOOKUP(Table1[[#This Row],[PARTIDA PRESUPUESTAL]],'Cost Report'!G:G,1,0),"Balance")</f>
        <v>2385-003</v>
      </c>
      <c r="AD6314" s="159">
        <f>+Table1[[#This Row],[SUBTOTAL]]+Table1[[#This Row],[IVA]]-Table1[[#This Row],[RET IVA]]-Table1[[#This Row],[RET ISR]]-Table1[[#This Row],[TOTAL]]</f>
        <v>0</v>
      </c>
      <c r="AG6314" t="s">
        <v>3420</v>
      </c>
      <c r="AK6314" s="306" t="str">
        <f>IF(ISNUMBER(Table1[[#This Row],[FECHA DE RECIBIDO]]), Table1[[#This Row],[FECHA DE RECIBIDO]]-DATE(2023,8,30), "")</f>
        <v/>
      </c>
    </row>
    <row r="6315" spans="1:37" ht="16.05" customHeight="1">
      <c r="A6315" s="172" t="s">
        <v>5299</v>
      </c>
      <c r="B6315" s="178">
        <v>2270</v>
      </c>
      <c r="C6315" s="179" t="s">
        <v>2455</v>
      </c>
      <c r="D6315">
        <v>4327</v>
      </c>
      <c r="E6315" s="125">
        <v>45130</v>
      </c>
      <c r="F6315" s="178">
        <v>605</v>
      </c>
      <c r="G6315" s="178" t="s">
        <v>4305</v>
      </c>
      <c r="H6315">
        <v>1027</v>
      </c>
      <c r="I6315" s="178" t="s">
        <v>1546</v>
      </c>
      <c r="J6315" s="320">
        <v>281.49362268518598</v>
      </c>
      <c r="K6315" s="178" t="s">
        <v>5322</v>
      </c>
      <c r="L6315" s="125" t="s">
        <v>1579</v>
      </c>
      <c r="M6315">
        <v>1432</v>
      </c>
      <c r="N6315" s="182">
        <v>17</v>
      </c>
      <c r="O6315">
        <v>4163</v>
      </c>
      <c r="P6315" s="132" t="s">
        <v>77</v>
      </c>
      <c r="Q6315" s="176">
        <v>47.02</v>
      </c>
      <c r="R6315" s="176">
        <v>7.52</v>
      </c>
      <c r="S6315" s="176"/>
      <c r="T6315" s="190"/>
      <c r="U6315" s="191"/>
      <c r="V6315" s="191">
        <v>54.540000000000006</v>
      </c>
      <c r="W6315">
        <v>104</v>
      </c>
      <c r="X6315" s="186" t="s">
        <v>1644</v>
      </c>
      <c r="Y6315" s="187" t="s">
        <v>55</v>
      </c>
      <c r="Z6315" s="311">
        <v>281</v>
      </c>
      <c r="AB6315" t="str">
        <f>IF(Table1[[#This Row],[TIPO2]]="costo", VLOOKUP(Table1[[#This Row],[PARTIDA PRESUPUESTAL]],'Cost Report'!G:G,1,0),"Balance")</f>
        <v>2285-003</v>
      </c>
      <c r="AD6315" s="159">
        <f>+Table1[[#This Row],[SUBTOTAL]]+Table1[[#This Row],[IVA]]-Table1[[#This Row],[RET IVA]]-Table1[[#This Row],[RET ISR]]-Table1[[#This Row],[TOTAL]]</f>
        <v>0</v>
      </c>
      <c r="AG6315" t="s">
        <v>3420</v>
      </c>
      <c r="AK6315" s="306">
        <f>IF(ISNUMBER(Table1[[#This Row],[FECHA DE RECIBIDO]]), Table1[[#This Row],[FECHA DE RECIBIDO]]-DATE(2023,8,30), "")</f>
        <v>-44886.506377314814</v>
      </c>
    </row>
    <row r="6316" spans="1:37" ht="16.05" customHeight="1">
      <c r="A6316" s="172" t="s">
        <v>5300</v>
      </c>
      <c r="B6316" s="178">
        <v>2271</v>
      </c>
      <c r="C6316" s="179" t="s">
        <v>2461</v>
      </c>
      <c r="D6316">
        <v>689</v>
      </c>
      <c r="E6316" s="125"/>
      <c r="F6316" s="178"/>
      <c r="G6316" s="178"/>
      <c r="H6316"/>
      <c r="I6316" s="178"/>
      <c r="J6316" s="320" t="s">
        <v>214</v>
      </c>
      <c r="K6316" s="178" t="s">
        <v>5322</v>
      </c>
      <c r="L6316" s="125" t="s">
        <v>1579</v>
      </c>
      <c r="M6316">
        <v>1433</v>
      </c>
      <c r="N6316" s="182">
        <v>17</v>
      </c>
      <c r="O6316">
        <v>4164</v>
      </c>
      <c r="P6316" s="132" t="s">
        <v>77</v>
      </c>
      <c r="Q6316" s="176">
        <v>48.62</v>
      </c>
      <c r="R6316" s="176"/>
      <c r="S6316" s="176"/>
      <c r="T6316" s="190"/>
      <c r="U6316" s="191"/>
      <c r="V6316" s="191">
        <v>48.62</v>
      </c>
      <c r="W6316">
        <v>104</v>
      </c>
      <c r="X6316" s="186" t="s">
        <v>1644</v>
      </c>
      <c r="Y6316" s="187" t="s">
        <v>55</v>
      </c>
      <c r="Z6316" s="311">
        <v>251</v>
      </c>
      <c r="AB6316" t="str">
        <f>IF(Table1[[#This Row],[TIPO2]]="costo", VLOOKUP(Table1[[#This Row],[PARTIDA PRESUPUESTAL]],'Cost Report'!G:G,1,0),"Balance")</f>
        <v>2385-003</v>
      </c>
      <c r="AD6316" s="159">
        <f>+Table1[[#This Row],[SUBTOTAL]]+Table1[[#This Row],[IVA]]-Table1[[#This Row],[RET IVA]]-Table1[[#This Row],[RET ISR]]-Table1[[#This Row],[TOTAL]]</f>
        <v>0</v>
      </c>
      <c r="AG6316" t="s">
        <v>3420</v>
      </c>
      <c r="AK6316" s="306" t="str">
        <f>IF(ISNUMBER(Table1[[#This Row],[FECHA DE RECIBIDO]]), Table1[[#This Row],[FECHA DE RECIBIDO]]-DATE(2023,8,30), "")</f>
        <v/>
      </c>
    </row>
    <row r="6317" spans="1:37" ht="16.05" customHeight="1">
      <c r="A6317" s="172" t="s">
        <v>5300</v>
      </c>
      <c r="B6317" s="178">
        <v>2271</v>
      </c>
      <c r="C6317" s="179" t="s">
        <v>1505</v>
      </c>
      <c r="D6317">
        <v>689</v>
      </c>
      <c r="E6317" s="125"/>
      <c r="F6317" s="178"/>
      <c r="G6317" s="178"/>
      <c r="H6317"/>
      <c r="I6317" s="178"/>
      <c r="J6317" s="320" t="s">
        <v>214</v>
      </c>
      <c r="K6317" s="178" t="s">
        <v>5322</v>
      </c>
      <c r="L6317" s="125" t="s">
        <v>1579</v>
      </c>
      <c r="M6317">
        <v>1434</v>
      </c>
      <c r="N6317" s="182">
        <v>17</v>
      </c>
      <c r="O6317">
        <v>4165</v>
      </c>
      <c r="P6317" s="132" t="s">
        <v>77</v>
      </c>
      <c r="Q6317" s="176">
        <v>11410.79</v>
      </c>
      <c r="R6317" s="176"/>
      <c r="S6317" s="176"/>
      <c r="T6317" s="190"/>
      <c r="U6317" s="191"/>
      <c r="V6317" s="191">
        <v>11410.79</v>
      </c>
      <c r="W6317">
        <v>104</v>
      </c>
      <c r="X6317" s="186" t="s">
        <v>1644</v>
      </c>
      <c r="Y6317" s="187" t="s">
        <v>55</v>
      </c>
      <c r="Z6317" s="311">
        <v>231</v>
      </c>
      <c r="AB6317" t="str">
        <f>IF(Table1[[#This Row],[TIPO2]]="costo", VLOOKUP(Table1[[#This Row],[PARTIDA PRESUPUESTAL]],'Cost Report'!G:G,1,0),"Balance")</f>
        <v>2494-003</v>
      </c>
      <c r="AD6317" s="159">
        <f>+Table1[[#This Row],[SUBTOTAL]]+Table1[[#This Row],[IVA]]-Table1[[#This Row],[RET IVA]]-Table1[[#This Row],[RET ISR]]-Table1[[#This Row],[TOTAL]]</f>
        <v>0</v>
      </c>
      <c r="AG6317" t="s">
        <v>3420</v>
      </c>
      <c r="AK6317" s="306" t="str">
        <f>IF(ISNUMBER(Table1[[#This Row],[FECHA DE RECIBIDO]]), Table1[[#This Row],[FECHA DE RECIBIDO]]-DATE(2023,8,30), "")</f>
        <v/>
      </c>
    </row>
    <row r="6318" spans="1:37" ht="16.05" customHeight="1">
      <c r="A6318" s="172" t="s">
        <v>5301</v>
      </c>
      <c r="B6318" s="178">
        <v>2272</v>
      </c>
      <c r="C6318" s="179" t="s">
        <v>2556</v>
      </c>
      <c r="D6318">
        <v>4328</v>
      </c>
      <c r="E6318" s="125">
        <v>21100</v>
      </c>
      <c r="F6318" s="178">
        <v>601</v>
      </c>
      <c r="G6318" s="178" t="s">
        <v>134</v>
      </c>
      <c r="H6318">
        <v>156</v>
      </c>
      <c r="I6318" s="178" t="s">
        <v>1546</v>
      </c>
      <c r="J6318" s="320">
        <v>285.3811921296292</v>
      </c>
      <c r="K6318" s="178" t="s">
        <v>5322</v>
      </c>
      <c r="L6318" s="125" t="s">
        <v>1579</v>
      </c>
      <c r="M6318">
        <v>207</v>
      </c>
      <c r="N6318" s="182">
        <v>17</v>
      </c>
      <c r="O6318">
        <v>4166</v>
      </c>
      <c r="P6318" s="132" t="s">
        <v>77</v>
      </c>
      <c r="Q6318" s="176">
        <v>2533.88</v>
      </c>
      <c r="R6318" s="176">
        <v>405.42</v>
      </c>
      <c r="S6318" s="176"/>
      <c r="T6318" s="190"/>
      <c r="U6318" s="191"/>
      <c r="V6318" s="191">
        <v>2939.3</v>
      </c>
      <c r="W6318">
        <v>101</v>
      </c>
      <c r="X6318" s="186" t="s">
        <v>1644</v>
      </c>
      <c r="Y6318" s="187" t="s">
        <v>55</v>
      </c>
      <c r="Z6318" s="311">
        <v>285</v>
      </c>
      <c r="AB6318" t="str">
        <f>IF(Table1[[#This Row],[TIPO2]]="costo", VLOOKUP(Table1[[#This Row],[PARTIDA PRESUPUESTAL]],'Cost Report'!G:G,1,0),"Balance")</f>
        <v>2498-003</v>
      </c>
      <c r="AD6318" s="159">
        <f>+Table1[[#This Row],[SUBTOTAL]]+Table1[[#This Row],[IVA]]-Table1[[#This Row],[RET IVA]]-Table1[[#This Row],[RET ISR]]-Table1[[#This Row],[TOTAL]]</f>
        <v>0</v>
      </c>
      <c r="AG6318" t="s">
        <v>3420</v>
      </c>
      <c r="AK6318" s="306">
        <f>IF(ISNUMBER(Table1[[#This Row],[FECHA DE RECIBIDO]]), Table1[[#This Row],[FECHA DE RECIBIDO]]-DATE(2023,8,30), "")</f>
        <v>-44882.618807870371</v>
      </c>
    </row>
    <row r="6319" spans="1:37" ht="16.05" customHeight="1">
      <c r="A6319" s="172" t="s">
        <v>5301</v>
      </c>
      <c r="B6319" s="178">
        <v>2272</v>
      </c>
      <c r="C6319" s="179" t="s">
        <v>1505</v>
      </c>
      <c r="D6319">
        <v>4329</v>
      </c>
      <c r="E6319" s="125">
        <v>45047</v>
      </c>
      <c r="F6319" s="178">
        <v>612</v>
      </c>
      <c r="G6319" s="178" t="s">
        <v>129</v>
      </c>
      <c r="H6319">
        <v>1028</v>
      </c>
      <c r="I6319" s="178" t="s">
        <v>1546</v>
      </c>
      <c r="J6319" s="320">
        <v>285.67594907407329</v>
      </c>
      <c r="K6319" s="178" t="s">
        <v>5322</v>
      </c>
      <c r="L6319" s="125" t="s">
        <v>1579</v>
      </c>
      <c r="M6319">
        <v>1435</v>
      </c>
      <c r="N6319" s="182">
        <v>17</v>
      </c>
      <c r="O6319">
        <v>4167</v>
      </c>
      <c r="P6319" s="132" t="s">
        <v>77</v>
      </c>
      <c r="Q6319" s="176">
        <v>1000</v>
      </c>
      <c r="R6319" s="176">
        <v>160</v>
      </c>
      <c r="S6319" s="176"/>
      <c r="T6319" s="190"/>
      <c r="U6319" s="191"/>
      <c r="V6319" s="191">
        <v>1160</v>
      </c>
      <c r="W6319">
        <v>101</v>
      </c>
      <c r="X6319" s="186" t="s">
        <v>1644</v>
      </c>
      <c r="Y6319" s="187" t="s">
        <v>55</v>
      </c>
      <c r="Z6319" s="311">
        <v>285</v>
      </c>
      <c r="AB6319" t="str">
        <f>IF(Table1[[#This Row],[TIPO2]]="costo", VLOOKUP(Table1[[#This Row],[PARTIDA PRESUPUESTAL]],'Cost Report'!G:G,1,0),"Balance")</f>
        <v>2494-003</v>
      </c>
      <c r="AD6319" s="159">
        <f>+Table1[[#This Row],[SUBTOTAL]]+Table1[[#This Row],[IVA]]-Table1[[#This Row],[RET IVA]]-Table1[[#This Row],[RET ISR]]-Table1[[#This Row],[TOTAL]]</f>
        <v>0</v>
      </c>
      <c r="AG6319" t="s">
        <v>3420</v>
      </c>
      <c r="AK6319" s="306">
        <f>IF(ISNUMBER(Table1[[#This Row],[FECHA DE RECIBIDO]]), Table1[[#This Row],[FECHA DE RECIBIDO]]-DATE(2023,8,30), "")</f>
        <v>-44882.324050925927</v>
      </c>
    </row>
    <row r="6320" spans="1:37" ht="16.05" customHeight="1">
      <c r="A6320" s="172" t="s">
        <v>5302</v>
      </c>
      <c r="B6320" s="178">
        <v>2273</v>
      </c>
      <c r="C6320" s="179" t="s">
        <v>977</v>
      </c>
      <c r="D6320">
        <v>4330</v>
      </c>
      <c r="E6320" s="125" t="s">
        <v>3681</v>
      </c>
      <c r="F6320" s="178">
        <v>601</v>
      </c>
      <c r="G6320" s="178" t="s">
        <v>134</v>
      </c>
      <c r="H6320">
        <v>1029</v>
      </c>
      <c r="I6320" s="178" t="s">
        <v>1546</v>
      </c>
      <c r="J6320" s="320" t="s">
        <v>214</v>
      </c>
      <c r="K6320" s="178" t="s">
        <v>5322</v>
      </c>
      <c r="L6320" s="125" t="s">
        <v>1579</v>
      </c>
      <c r="M6320">
        <v>1436</v>
      </c>
      <c r="N6320" s="182">
        <v>17</v>
      </c>
      <c r="O6320">
        <v>4168</v>
      </c>
      <c r="P6320" s="132" t="s">
        <v>77</v>
      </c>
      <c r="Q6320" s="176">
        <v>1549.14</v>
      </c>
      <c r="R6320" s="176">
        <v>247.86</v>
      </c>
      <c r="S6320" s="176"/>
      <c r="T6320" s="190"/>
      <c r="U6320" s="191"/>
      <c r="V6320" s="191">
        <v>1797</v>
      </c>
      <c r="W6320">
        <v>225</v>
      </c>
      <c r="X6320" s="186" t="s">
        <v>1644</v>
      </c>
      <c r="Y6320" s="187" t="s">
        <v>55</v>
      </c>
      <c r="Z6320" s="311" t="s">
        <v>214</v>
      </c>
      <c r="AB6320" t="str">
        <f>IF(Table1[[#This Row],[TIPO2]]="costo", VLOOKUP(Table1[[#This Row],[PARTIDA PRESUPUESTAL]],'Cost Report'!G:G,1,0),"Balance")</f>
        <v>3410-012</v>
      </c>
      <c r="AD6320" s="159">
        <f>+Table1[[#This Row],[SUBTOTAL]]+Table1[[#This Row],[IVA]]-Table1[[#This Row],[RET IVA]]-Table1[[#This Row],[RET ISR]]-Table1[[#This Row],[TOTAL]]</f>
        <v>0</v>
      </c>
      <c r="AG6320" t="s">
        <v>3420</v>
      </c>
      <c r="AK6320" s="306" t="str">
        <f>IF(ISNUMBER(Table1[[#This Row],[FECHA DE RECIBIDO]]), Table1[[#This Row],[FECHA DE RECIBIDO]]-DATE(2023,8,30), "")</f>
        <v/>
      </c>
    </row>
    <row r="6321" spans="1:37" ht="16.05" customHeight="1">
      <c r="A6321" s="172" t="s">
        <v>5302</v>
      </c>
      <c r="B6321" s="178">
        <v>2273</v>
      </c>
      <c r="C6321" s="179" t="s">
        <v>2868</v>
      </c>
      <c r="D6321">
        <v>4331</v>
      </c>
      <c r="E6321" s="125" t="s">
        <v>5303</v>
      </c>
      <c r="F6321" s="178">
        <v>601</v>
      </c>
      <c r="G6321" s="178" t="s">
        <v>134</v>
      </c>
      <c r="H6321">
        <v>1030</v>
      </c>
      <c r="I6321" s="178" t="s">
        <v>1546</v>
      </c>
      <c r="J6321" s="320" t="s">
        <v>214</v>
      </c>
      <c r="K6321" s="178" t="s">
        <v>5322</v>
      </c>
      <c r="L6321" s="125" t="s">
        <v>1579</v>
      </c>
      <c r="M6321">
        <v>1437</v>
      </c>
      <c r="N6321" s="182">
        <v>17</v>
      </c>
      <c r="O6321">
        <v>4169</v>
      </c>
      <c r="P6321" s="132" t="s">
        <v>77</v>
      </c>
      <c r="Q6321" s="176">
        <v>595.28</v>
      </c>
      <c r="R6321" s="176">
        <v>92.7</v>
      </c>
      <c r="S6321" s="176"/>
      <c r="T6321" s="190"/>
      <c r="U6321" s="191"/>
      <c r="V6321" s="191">
        <v>687.98</v>
      </c>
      <c r="W6321">
        <v>225</v>
      </c>
      <c r="X6321" s="186" t="s">
        <v>1644</v>
      </c>
      <c r="Y6321" s="187" t="s">
        <v>55</v>
      </c>
      <c r="Z6321" s="311" t="s">
        <v>214</v>
      </c>
      <c r="AB6321" t="str">
        <f>IF(Table1[[#This Row],[TIPO2]]="costo", VLOOKUP(Table1[[#This Row],[PARTIDA PRESUPUESTAL]],'Cost Report'!G:G,1,0),"Balance")</f>
        <v>3632-009</v>
      </c>
      <c r="AD6321" s="159">
        <f>+Table1[[#This Row],[SUBTOTAL]]+Table1[[#This Row],[IVA]]-Table1[[#This Row],[RET IVA]]-Table1[[#This Row],[RET ISR]]-Table1[[#This Row],[TOTAL]]</f>
        <v>0</v>
      </c>
      <c r="AG6321" t="s">
        <v>3420</v>
      </c>
      <c r="AK6321" s="306" t="str">
        <f>IF(ISNUMBER(Table1[[#This Row],[FECHA DE RECIBIDO]]), Table1[[#This Row],[FECHA DE RECIBIDO]]-DATE(2023,8,30), "")</f>
        <v/>
      </c>
    </row>
    <row r="6322" spans="1:37" ht="16.05" customHeight="1">
      <c r="A6322" s="172" t="s">
        <v>5302</v>
      </c>
      <c r="B6322" s="178">
        <v>2273</v>
      </c>
      <c r="C6322" s="179" t="s">
        <v>3415</v>
      </c>
      <c r="D6322">
        <v>4332</v>
      </c>
      <c r="E6322" s="125" t="s">
        <v>3679</v>
      </c>
      <c r="F6322" s="178">
        <v>601</v>
      </c>
      <c r="G6322" s="178" t="s">
        <v>134</v>
      </c>
      <c r="H6322">
        <v>438</v>
      </c>
      <c r="I6322" s="178" t="s">
        <v>1546</v>
      </c>
      <c r="J6322" s="320" t="s">
        <v>214</v>
      </c>
      <c r="K6322" s="178" t="s">
        <v>5322</v>
      </c>
      <c r="L6322" s="125" t="s">
        <v>1579</v>
      </c>
      <c r="M6322">
        <v>598</v>
      </c>
      <c r="N6322" s="182">
        <v>17</v>
      </c>
      <c r="O6322">
        <v>4170</v>
      </c>
      <c r="P6322" s="132" t="s">
        <v>77</v>
      </c>
      <c r="Q6322" s="176">
        <v>58.62</v>
      </c>
      <c r="R6322" s="176">
        <v>9.3800000000000008</v>
      </c>
      <c r="S6322" s="176"/>
      <c r="T6322" s="190"/>
      <c r="U6322" s="191"/>
      <c r="V6322" s="191">
        <v>68</v>
      </c>
      <c r="W6322">
        <v>225</v>
      </c>
      <c r="X6322" s="186" t="s">
        <v>1644</v>
      </c>
      <c r="Y6322" s="187" t="s">
        <v>55</v>
      </c>
      <c r="Z6322" s="311" t="s">
        <v>214</v>
      </c>
      <c r="AB6322" t="str">
        <f>IF(Table1[[#This Row],[TIPO2]]="costo", VLOOKUP(Table1[[#This Row],[PARTIDA PRESUPUESTAL]],'Cost Report'!G:G,1,0),"Balance")</f>
        <v>3629-006</v>
      </c>
      <c r="AD6322" s="159">
        <f>+Table1[[#This Row],[SUBTOTAL]]+Table1[[#This Row],[IVA]]-Table1[[#This Row],[RET IVA]]-Table1[[#This Row],[RET ISR]]-Table1[[#This Row],[TOTAL]]</f>
        <v>0</v>
      </c>
      <c r="AG6322" t="s">
        <v>3420</v>
      </c>
      <c r="AK6322" s="306" t="str">
        <f>IF(ISNUMBER(Table1[[#This Row],[FECHA DE RECIBIDO]]), Table1[[#This Row],[FECHA DE RECIBIDO]]-DATE(2023,8,30), "")</f>
        <v/>
      </c>
    </row>
    <row r="6323" spans="1:37" ht="16.05" customHeight="1">
      <c r="A6323" s="172" t="s">
        <v>5302</v>
      </c>
      <c r="B6323" s="178">
        <v>2273</v>
      </c>
      <c r="C6323" s="179" t="s">
        <v>3415</v>
      </c>
      <c r="D6323">
        <v>4333</v>
      </c>
      <c r="E6323" s="125" t="s">
        <v>3679</v>
      </c>
      <c r="F6323" s="178">
        <v>601</v>
      </c>
      <c r="G6323" s="178" t="s">
        <v>134</v>
      </c>
      <c r="H6323">
        <v>438</v>
      </c>
      <c r="I6323" s="178" t="s">
        <v>1546</v>
      </c>
      <c r="J6323" s="320" t="s">
        <v>214</v>
      </c>
      <c r="K6323" s="178" t="s">
        <v>5322</v>
      </c>
      <c r="L6323" s="125" t="s">
        <v>1579</v>
      </c>
      <c r="M6323">
        <v>598</v>
      </c>
      <c r="N6323" s="182">
        <v>17</v>
      </c>
      <c r="O6323">
        <v>4170</v>
      </c>
      <c r="P6323" s="132" t="s">
        <v>77</v>
      </c>
      <c r="Q6323" s="176">
        <v>90.52</v>
      </c>
      <c r="R6323" s="176">
        <v>14.48</v>
      </c>
      <c r="S6323" s="176"/>
      <c r="T6323" s="190"/>
      <c r="U6323" s="191"/>
      <c r="V6323" s="191">
        <v>105</v>
      </c>
      <c r="W6323">
        <v>225</v>
      </c>
      <c r="X6323" s="186" t="s">
        <v>1644</v>
      </c>
      <c r="Y6323" s="187" t="s">
        <v>55</v>
      </c>
      <c r="Z6323" s="311" t="s">
        <v>214</v>
      </c>
      <c r="AB6323" t="str">
        <f>IF(Table1[[#This Row],[TIPO2]]="costo", VLOOKUP(Table1[[#This Row],[PARTIDA PRESUPUESTAL]],'Cost Report'!G:G,1,0),"Balance")</f>
        <v>3629-006</v>
      </c>
      <c r="AD6323" s="159">
        <f>+Table1[[#This Row],[SUBTOTAL]]+Table1[[#This Row],[IVA]]-Table1[[#This Row],[RET IVA]]-Table1[[#This Row],[RET ISR]]-Table1[[#This Row],[TOTAL]]</f>
        <v>0</v>
      </c>
      <c r="AG6323" t="s">
        <v>3420</v>
      </c>
      <c r="AK6323" s="306" t="str">
        <f>IF(ISNUMBER(Table1[[#This Row],[FECHA DE RECIBIDO]]), Table1[[#This Row],[FECHA DE RECIBIDO]]-DATE(2023,8,30), "")</f>
        <v/>
      </c>
    </row>
    <row r="6324" spans="1:37" ht="16.05" customHeight="1">
      <c r="A6324" s="172" t="s">
        <v>5302</v>
      </c>
      <c r="B6324" s="178">
        <v>2273</v>
      </c>
      <c r="C6324" s="179" t="s">
        <v>3415</v>
      </c>
      <c r="D6324">
        <v>4334</v>
      </c>
      <c r="E6324" s="125" t="s">
        <v>3670</v>
      </c>
      <c r="F6324" s="178">
        <v>601</v>
      </c>
      <c r="G6324" s="178" t="s">
        <v>134</v>
      </c>
      <c r="H6324">
        <v>319</v>
      </c>
      <c r="I6324" s="178" t="s">
        <v>1546</v>
      </c>
      <c r="J6324" s="320" t="s">
        <v>214</v>
      </c>
      <c r="K6324" s="178" t="s">
        <v>5322</v>
      </c>
      <c r="L6324" s="125" t="s">
        <v>1579</v>
      </c>
      <c r="M6324">
        <v>424</v>
      </c>
      <c r="N6324" s="182">
        <v>17</v>
      </c>
      <c r="O6324">
        <v>4171</v>
      </c>
      <c r="P6324" s="132" t="s">
        <v>77</v>
      </c>
      <c r="Q6324" s="176">
        <v>481.9</v>
      </c>
      <c r="R6324" s="176">
        <v>77.099999999999994</v>
      </c>
      <c r="S6324" s="176"/>
      <c r="T6324" s="190"/>
      <c r="U6324" s="191"/>
      <c r="V6324" s="191">
        <v>559</v>
      </c>
      <c r="W6324">
        <v>225</v>
      </c>
      <c r="X6324" s="186" t="s">
        <v>1644</v>
      </c>
      <c r="Y6324" s="187" t="s">
        <v>55</v>
      </c>
      <c r="Z6324" s="311" t="s">
        <v>214</v>
      </c>
      <c r="AB6324" t="str">
        <f>IF(Table1[[#This Row],[TIPO2]]="costo", VLOOKUP(Table1[[#This Row],[PARTIDA PRESUPUESTAL]],'Cost Report'!G:G,1,0),"Balance")</f>
        <v>3629-006</v>
      </c>
      <c r="AD6324" s="159">
        <f>+Table1[[#This Row],[SUBTOTAL]]+Table1[[#This Row],[IVA]]-Table1[[#This Row],[RET IVA]]-Table1[[#This Row],[RET ISR]]-Table1[[#This Row],[TOTAL]]</f>
        <v>0</v>
      </c>
      <c r="AG6324" t="s">
        <v>3420</v>
      </c>
      <c r="AK6324" s="306" t="str">
        <f>IF(ISNUMBER(Table1[[#This Row],[FECHA DE RECIBIDO]]), Table1[[#This Row],[FECHA DE RECIBIDO]]-DATE(2023,8,30), "")</f>
        <v/>
      </c>
    </row>
    <row r="6325" spans="1:37" ht="16.05" customHeight="1">
      <c r="A6325" s="172" t="s">
        <v>5302</v>
      </c>
      <c r="B6325" s="178">
        <v>2273</v>
      </c>
      <c r="C6325" s="179" t="s">
        <v>2868</v>
      </c>
      <c r="D6325">
        <v>4335</v>
      </c>
      <c r="E6325" s="125" t="s">
        <v>5304</v>
      </c>
      <c r="F6325" s="178">
        <v>601</v>
      </c>
      <c r="G6325" s="178" t="s">
        <v>134</v>
      </c>
      <c r="H6325">
        <v>1031</v>
      </c>
      <c r="I6325" s="178" t="s">
        <v>1546</v>
      </c>
      <c r="J6325" s="320" t="s">
        <v>214</v>
      </c>
      <c r="K6325" s="178" t="s">
        <v>5322</v>
      </c>
      <c r="L6325" s="125" t="s">
        <v>1579</v>
      </c>
      <c r="M6325">
        <v>1438</v>
      </c>
      <c r="N6325" s="182">
        <v>17</v>
      </c>
      <c r="O6325">
        <v>4172</v>
      </c>
      <c r="P6325" s="132" t="s">
        <v>77</v>
      </c>
      <c r="Q6325" s="176">
        <v>623.33000000000004</v>
      </c>
      <c r="R6325" s="176">
        <v>97.03</v>
      </c>
      <c r="S6325" s="176"/>
      <c r="T6325" s="190"/>
      <c r="U6325" s="191"/>
      <c r="V6325" s="191">
        <v>720.36</v>
      </c>
      <c r="W6325">
        <v>225</v>
      </c>
      <c r="X6325" s="186" t="s">
        <v>1644</v>
      </c>
      <c r="Y6325" s="187" t="s">
        <v>55</v>
      </c>
      <c r="Z6325" s="311" t="s">
        <v>214</v>
      </c>
      <c r="AB6325" t="str">
        <f>IF(Table1[[#This Row],[TIPO2]]="costo", VLOOKUP(Table1[[#This Row],[PARTIDA PRESUPUESTAL]],'Cost Report'!G:G,1,0),"Balance")</f>
        <v>3632-009</v>
      </c>
      <c r="AD6325" s="159">
        <f>+Table1[[#This Row],[SUBTOTAL]]+Table1[[#This Row],[IVA]]-Table1[[#This Row],[RET IVA]]-Table1[[#This Row],[RET ISR]]-Table1[[#This Row],[TOTAL]]</f>
        <v>0</v>
      </c>
      <c r="AG6325" t="s">
        <v>3420</v>
      </c>
      <c r="AK6325" s="306" t="str">
        <f>IF(ISNUMBER(Table1[[#This Row],[FECHA DE RECIBIDO]]), Table1[[#This Row],[FECHA DE RECIBIDO]]-DATE(2023,8,30), "")</f>
        <v/>
      </c>
    </row>
    <row r="6326" spans="1:37" ht="16.05" customHeight="1">
      <c r="A6326" s="172" t="s">
        <v>5302</v>
      </c>
      <c r="B6326" s="178">
        <v>2273</v>
      </c>
      <c r="C6326" s="179" t="s">
        <v>3415</v>
      </c>
      <c r="D6326">
        <v>4336</v>
      </c>
      <c r="E6326" s="125" t="s">
        <v>3794</v>
      </c>
      <c r="F6326" s="178">
        <v>603</v>
      </c>
      <c r="G6326" s="178" t="s">
        <v>2065</v>
      </c>
      <c r="H6326">
        <v>469</v>
      </c>
      <c r="I6326" s="178" t="s">
        <v>1546</v>
      </c>
      <c r="J6326" s="320" t="s">
        <v>214</v>
      </c>
      <c r="K6326" s="178" t="s">
        <v>5322</v>
      </c>
      <c r="L6326" s="125" t="s">
        <v>1579</v>
      </c>
      <c r="M6326">
        <v>659</v>
      </c>
      <c r="N6326" s="182">
        <v>17</v>
      </c>
      <c r="O6326">
        <v>4171</v>
      </c>
      <c r="P6326" s="132" t="s">
        <v>77</v>
      </c>
      <c r="Q6326" s="176">
        <v>106.9</v>
      </c>
      <c r="R6326" s="176">
        <v>17.100000000000001</v>
      </c>
      <c r="S6326" s="176"/>
      <c r="T6326" s="190"/>
      <c r="U6326" s="191"/>
      <c r="V6326" s="191">
        <v>124</v>
      </c>
      <c r="W6326">
        <v>225</v>
      </c>
      <c r="X6326" s="186" t="s">
        <v>1644</v>
      </c>
      <c r="Y6326" s="187" t="s">
        <v>55</v>
      </c>
      <c r="Z6326" s="311" t="s">
        <v>214</v>
      </c>
      <c r="AB6326" t="str">
        <f>IF(Table1[[#This Row],[TIPO2]]="costo", VLOOKUP(Table1[[#This Row],[PARTIDA PRESUPUESTAL]],'Cost Report'!G:G,1,0),"Balance")</f>
        <v>3629-006</v>
      </c>
      <c r="AD6326" s="159">
        <f>+Table1[[#This Row],[SUBTOTAL]]+Table1[[#This Row],[IVA]]-Table1[[#This Row],[RET IVA]]-Table1[[#This Row],[RET ISR]]-Table1[[#This Row],[TOTAL]]</f>
        <v>0</v>
      </c>
      <c r="AG6326" t="s">
        <v>3420</v>
      </c>
      <c r="AK6326" s="306" t="str">
        <f>IF(ISNUMBER(Table1[[#This Row],[FECHA DE RECIBIDO]]), Table1[[#This Row],[FECHA DE RECIBIDO]]-DATE(2023,8,30), "")</f>
        <v/>
      </c>
    </row>
    <row r="6327" spans="1:37" ht="16.05" customHeight="1">
      <c r="A6327" s="172" t="s">
        <v>5302</v>
      </c>
      <c r="B6327" s="178">
        <v>2273</v>
      </c>
      <c r="C6327" s="179" t="s">
        <v>977</v>
      </c>
      <c r="D6327">
        <v>4337</v>
      </c>
      <c r="E6327" s="125" t="s">
        <v>1596</v>
      </c>
      <c r="F6327" s="178">
        <v>601</v>
      </c>
      <c r="G6327" s="178" t="s">
        <v>134</v>
      </c>
      <c r="H6327">
        <v>1032</v>
      </c>
      <c r="I6327" s="178" t="s">
        <v>1546</v>
      </c>
      <c r="J6327" s="320" t="s">
        <v>214</v>
      </c>
      <c r="K6327" s="178" t="s">
        <v>5322</v>
      </c>
      <c r="L6327" s="125" t="s">
        <v>1579</v>
      </c>
      <c r="M6327">
        <v>1439</v>
      </c>
      <c r="N6327" s="182">
        <v>17</v>
      </c>
      <c r="O6327">
        <v>4173</v>
      </c>
      <c r="P6327" s="132" t="s">
        <v>77</v>
      </c>
      <c r="Q6327" s="176">
        <v>929.31</v>
      </c>
      <c r="R6327" s="176">
        <v>148.69</v>
      </c>
      <c r="S6327" s="176"/>
      <c r="T6327" s="190"/>
      <c r="U6327" s="191"/>
      <c r="V6327" s="191">
        <v>1078</v>
      </c>
      <c r="W6327">
        <v>225</v>
      </c>
      <c r="X6327" s="186" t="s">
        <v>1644</v>
      </c>
      <c r="Y6327" s="187" t="s">
        <v>55</v>
      </c>
      <c r="Z6327" s="311" t="s">
        <v>214</v>
      </c>
      <c r="AB6327" t="str">
        <f>IF(Table1[[#This Row],[TIPO2]]="costo", VLOOKUP(Table1[[#This Row],[PARTIDA PRESUPUESTAL]],'Cost Report'!G:G,1,0),"Balance")</f>
        <v>3410-012</v>
      </c>
      <c r="AD6327" s="159">
        <f>+Table1[[#This Row],[SUBTOTAL]]+Table1[[#This Row],[IVA]]-Table1[[#This Row],[RET IVA]]-Table1[[#This Row],[RET ISR]]-Table1[[#This Row],[TOTAL]]</f>
        <v>0</v>
      </c>
      <c r="AG6327" t="s">
        <v>3420</v>
      </c>
      <c r="AK6327" s="306" t="str">
        <f>IF(ISNUMBER(Table1[[#This Row],[FECHA DE RECIBIDO]]), Table1[[#This Row],[FECHA DE RECIBIDO]]-DATE(2023,8,30), "")</f>
        <v/>
      </c>
    </row>
    <row r="6328" spans="1:37" ht="16.05" customHeight="1">
      <c r="A6328" s="172" t="s">
        <v>5302</v>
      </c>
      <c r="B6328" s="178">
        <v>2273</v>
      </c>
      <c r="C6328" s="179" t="s">
        <v>3108</v>
      </c>
      <c r="D6328">
        <v>4338</v>
      </c>
      <c r="E6328" s="125">
        <v>55248</v>
      </c>
      <c r="F6328" s="178">
        <v>612</v>
      </c>
      <c r="G6328" s="178" t="s">
        <v>129</v>
      </c>
      <c r="H6328">
        <v>1033</v>
      </c>
      <c r="I6328" s="178" t="s">
        <v>1546</v>
      </c>
      <c r="J6328" s="320">
        <v>278.89070601851563</v>
      </c>
      <c r="K6328" s="178" t="s">
        <v>5322</v>
      </c>
      <c r="L6328" s="125" t="s">
        <v>1579</v>
      </c>
      <c r="M6328">
        <v>1440</v>
      </c>
      <c r="N6328" s="182">
        <v>17</v>
      </c>
      <c r="O6328">
        <v>4174</v>
      </c>
      <c r="P6328" s="132" t="s">
        <v>77</v>
      </c>
      <c r="Q6328" s="176">
        <v>2570.56</v>
      </c>
      <c r="R6328" s="176">
        <v>411.29</v>
      </c>
      <c r="S6328" s="176"/>
      <c r="T6328" s="190"/>
      <c r="U6328" s="191"/>
      <c r="V6328" s="191">
        <v>2981.85</v>
      </c>
      <c r="W6328">
        <v>225</v>
      </c>
      <c r="X6328" s="186" t="s">
        <v>1644</v>
      </c>
      <c r="Y6328" s="187" t="s">
        <v>55</v>
      </c>
      <c r="Z6328" s="311">
        <v>189</v>
      </c>
      <c r="AB6328" t="str">
        <f>IF(Table1[[#This Row],[TIPO2]]="costo", VLOOKUP(Table1[[#This Row],[PARTIDA PRESUPUESTAL]],'Cost Report'!G:G,1,0),"Balance")</f>
        <v>7080-003</v>
      </c>
      <c r="AD6328" s="159">
        <f>+Table1[[#This Row],[SUBTOTAL]]+Table1[[#This Row],[IVA]]-Table1[[#This Row],[RET IVA]]-Table1[[#This Row],[RET ISR]]-Table1[[#This Row],[TOTAL]]</f>
        <v>0</v>
      </c>
      <c r="AG6328" t="s">
        <v>3420</v>
      </c>
      <c r="AK6328" s="306">
        <f>IF(ISNUMBER(Table1[[#This Row],[FECHA DE RECIBIDO]]), Table1[[#This Row],[FECHA DE RECIBIDO]]-DATE(2023,8,30), "")</f>
        <v>-44889.109293981484</v>
      </c>
    </row>
    <row r="6329" spans="1:37" ht="16.05" customHeight="1">
      <c r="A6329" s="172" t="s">
        <v>5302</v>
      </c>
      <c r="B6329" s="178">
        <v>2273</v>
      </c>
      <c r="C6329" s="179" t="s">
        <v>977</v>
      </c>
      <c r="D6329">
        <v>689</v>
      </c>
      <c r="E6329" s="125"/>
      <c r="F6329" s="178"/>
      <c r="G6329" s="178"/>
      <c r="H6329"/>
      <c r="I6329" s="178"/>
      <c r="J6329" s="320" t="s">
        <v>214</v>
      </c>
      <c r="K6329" s="178" t="s">
        <v>5322</v>
      </c>
      <c r="L6329" s="125" t="s">
        <v>1579</v>
      </c>
      <c r="M6329">
        <v>1441</v>
      </c>
      <c r="N6329" s="182">
        <v>17</v>
      </c>
      <c r="O6329">
        <v>4175</v>
      </c>
      <c r="P6329" s="132" t="s">
        <v>77</v>
      </c>
      <c r="Q6329" s="176">
        <v>1067</v>
      </c>
      <c r="R6329" s="176"/>
      <c r="S6329" s="176"/>
      <c r="T6329" s="190"/>
      <c r="U6329" s="191"/>
      <c r="V6329" s="191">
        <v>1067</v>
      </c>
      <c r="W6329">
        <v>225</v>
      </c>
      <c r="X6329" s="186" t="s">
        <v>1644</v>
      </c>
      <c r="Y6329" s="187" t="s">
        <v>55</v>
      </c>
      <c r="Z6329" s="311">
        <v>128</v>
      </c>
      <c r="AB6329" t="str">
        <f>IF(Table1[[#This Row],[TIPO2]]="costo", VLOOKUP(Table1[[#This Row],[PARTIDA PRESUPUESTAL]],'Cost Report'!G:G,1,0),"Balance")</f>
        <v>3410-012</v>
      </c>
      <c r="AD6329" s="159">
        <f>+Table1[[#This Row],[SUBTOTAL]]+Table1[[#This Row],[IVA]]-Table1[[#This Row],[RET IVA]]-Table1[[#This Row],[RET ISR]]-Table1[[#This Row],[TOTAL]]</f>
        <v>0</v>
      </c>
      <c r="AG6329" t="s">
        <v>3420</v>
      </c>
      <c r="AK6329" s="306" t="str">
        <f>IF(ISNUMBER(Table1[[#This Row],[FECHA DE RECIBIDO]]), Table1[[#This Row],[FECHA DE RECIBIDO]]-DATE(2023,8,30), "")</f>
        <v/>
      </c>
    </row>
    <row r="6330" spans="1:37" ht="16.05" customHeight="1">
      <c r="A6330" s="172" t="s">
        <v>5302</v>
      </c>
      <c r="B6330" s="178">
        <v>2273</v>
      </c>
      <c r="C6330" s="179" t="s">
        <v>977</v>
      </c>
      <c r="D6330">
        <v>689</v>
      </c>
      <c r="E6330" s="125"/>
      <c r="F6330" s="178"/>
      <c r="G6330" s="178"/>
      <c r="H6330"/>
      <c r="I6330" s="178"/>
      <c r="J6330" s="320" t="s">
        <v>214</v>
      </c>
      <c r="K6330" s="178" t="s">
        <v>5322</v>
      </c>
      <c r="L6330" s="125" t="s">
        <v>1579</v>
      </c>
      <c r="M6330">
        <v>1442</v>
      </c>
      <c r="N6330" s="182">
        <v>17</v>
      </c>
      <c r="O6330">
        <v>4176</v>
      </c>
      <c r="P6330" s="132" t="s">
        <v>77</v>
      </c>
      <c r="Q6330" s="176">
        <v>1567.59</v>
      </c>
      <c r="R6330" s="176"/>
      <c r="S6330" s="176"/>
      <c r="T6330" s="190"/>
      <c r="U6330" s="191"/>
      <c r="V6330" s="191">
        <v>1567.59</v>
      </c>
      <c r="W6330">
        <v>225</v>
      </c>
      <c r="X6330" s="186" t="s">
        <v>1644</v>
      </c>
      <c r="Y6330" s="187" t="s">
        <v>55</v>
      </c>
      <c r="Z6330" s="311" t="s">
        <v>214</v>
      </c>
      <c r="AB6330" t="str">
        <f>IF(Table1[[#This Row],[TIPO2]]="costo", VLOOKUP(Table1[[#This Row],[PARTIDA PRESUPUESTAL]],'Cost Report'!G:G,1,0),"Balance")</f>
        <v>3410-012</v>
      </c>
      <c r="AD6330" s="159">
        <f>+Table1[[#This Row],[SUBTOTAL]]+Table1[[#This Row],[IVA]]-Table1[[#This Row],[RET IVA]]-Table1[[#This Row],[RET ISR]]-Table1[[#This Row],[TOTAL]]</f>
        <v>0</v>
      </c>
      <c r="AG6330" t="s">
        <v>3420</v>
      </c>
      <c r="AK6330" s="306" t="str">
        <f>IF(ISNUMBER(Table1[[#This Row],[FECHA DE RECIBIDO]]), Table1[[#This Row],[FECHA DE RECIBIDO]]-DATE(2023,8,30), "")</f>
        <v/>
      </c>
    </row>
    <row r="6331" spans="1:37" ht="16.05" customHeight="1">
      <c r="A6331" s="172" t="s">
        <v>5305</v>
      </c>
      <c r="B6331" s="178">
        <v>2274</v>
      </c>
      <c r="C6331" s="126" t="s">
        <v>5473</v>
      </c>
      <c r="D6331">
        <v>4339</v>
      </c>
      <c r="E6331" s="125">
        <v>45070</v>
      </c>
      <c r="F6331" s="178">
        <v>626</v>
      </c>
      <c r="G6331" s="178" t="s">
        <v>109</v>
      </c>
      <c r="H6331">
        <v>872</v>
      </c>
      <c r="I6331" s="178" t="s">
        <v>1546</v>
      </c>
      <c r="J6331" s="320">
        <v>282.53021990740672</v>
      </c>
      <c r="K6331" s="178" t="s">
        <v>5322</v>
      </c>
      <c r="L6331" s="125" t="s">
        <v>1579</v>
      </c>
      <c r="M6331">
        <v>1207</v>
      </c>
      <c r="N6331" s="182">
        <v>17</v>
      </c>
      <c r="O6331">
        <v>4177</v>
      </c>
      <c r="P6331" s="131" t="s">
        <v>77</v>
      </c>
      <c r="Q6331" s="176">
        <v>2882.4</v>
      </c>
      <c r="R6331" s="176">
        <v>461.18</v>
      </c>
      <c r="S6331" s="176"/>
      <c r="T6331" s="190">
        <v>36.03</v>
      </c>
      <c r="U6331" s="191">
        <v>307.55</v>
      </c>
      <c r="V6331" s="191">
        <v>2999.9999999999995</v>
      </c>
      <c r="W6331">
        <v>148</v>
      </c>
      <c r="X6331" s="186" t="s">
        <v>1644</v>
      </c>
      <c r="Y6331" s="187" t="s">
        <v>55</v>
      </c>
      <c r="Z6331" s="311">
        <v>311</v>
      </c>
      <c r="AB6331" t="str">
        <f>IF(Table1[[#This Row],[TIPO2]]="costo", VLOOKUP(Table1[[#This Row],[PARTIDA PRESUPUESTAL]],'Cost Report'!G:G,1,0),"Balance")</f>
        <v>7230-001</v>
      </c>
      <c r="AD6331" s="159">
        <f>+Table1[[#This Row],[SUBTOTAL]]+Table1[[#This Row],[IVA]]-Table1[[#This Row],[RET IVA]]-Table1[[#This Row],[RET ISR]]-Table1[[#This Row],[TOTAL]]</f>
        <v>0</v>
      </c>
      <c r="AG6331" t="s">
        <v>3420</v>
      </c>
      <c r="AJ6331" s="213" t="s">
        <v>5479</v>
      </c>
      <c r="AK6331" s="306">
        <f>IF(ISNUMBER(Table1[[#This Row],[FECHA DE RECIBIDO]]), Table1[[#This Row],[FECHA DE RECIBIDO]]-DATE(2023,8,30), "")</f>
        <v>-44885.469780092593</v>
      </c>
    </row>
    <row r="6332" spans="1:37" ht="16.05" customHeight="1">
      <c r="A6332" s="172" t="s">
        <v>5306</v>
      </c>
      <c r="B6332" s="178">
        <v>2275</v>
      </c>
      <c r="C6332" s="179" t="s">
        <v>1181</v>
      </c>
      <c r="D6332">
        <v>4340</v>
      </c>
      <c r="E6332" s="125" t="s">
        <v>1895</v>
      </c>
      <c r="F6332" s="178">
        <v>601</v>
      </c>
      <c r="G6332" s="178" t="s">
        <v>134</v>
      </c>
      <c r="H6332">
        <v>635</v>
      </c>
      <c r="I6332" s="178" t="s">
        <v>1546</v>
      </c>
      <c r="J6332" s="320" t="s">
        <v>214</v>
      </c>
      <c r="K6332" s="178" t="s">
        <v>5322</v>
      </c>
      <c r="L6332" s="125" t="s">
        <v>1579</v>
      </c>
      <c r="M6332">
        <v>901</v>
      </c>
      <c r="N6332" s="182">
        <v>17</v>
      </c>
      <c r="O6332">
        <v>4178</v>
      </c>
      <c r="P6332" s="132" t="s">
        <v>77</v>
      </c>
      <c r="Q6332" s="176">
        <v>338.29</v>
      </c>
      <c r="R6332" s="176">
        <v>54.13</v>
      </c>
      <c r="S6332" s="176"/>
      <c r="T6332" s="190"/>
      <c r="U6332" s="191"/>
      <c r="V6332" s="191">
        <v>392.42</v>
      </c>
      <c r="W6332">
        <v>167</v>
      </c>
      <c r="X6332" s="186" t="s">
        <v>1644</v>
      </c>
      <c r="Y6332" s="187" t="s">
        <v>55</v>
      </c>
      <c r="Z6332" s="311">
        <v>128</v>
      </c>
      <c r="AB6332" t="str">
        <f>IF(Table1[[#This Row],[TIPO2]]="costo", VLOOKUP(Table1[[#This Row],[PARTIDA PRESUPUESTAL]],'Cost Report'!G:G,1,0),"Balance")</f>
        <v>3904-003</v>
      </c>
      <c r="AD6332" s="159">
        <f>+Table1[[#This Row],[SUBTOTAL]]+Table1[[#This Row],[IVA]]-Table1[[#This Row],[RET IVA]]-Table1[[#This Row],[RET ISR]]-Table1[[#This Row],[TOTAL]]</f>
        <v>0</v>
      </c>
      <c r="AG6332" t="s">
        <v>3420</v>
      </c>
      <c r="AK6332" s="306" t="str">
        <f>IF(ISNUMBER(Table1[[#This Row],[FECHA DE RECIBIDO]]), Table1[[#This Row],[FECHA DE RECIBIDO]]-DATE(2023,8,30), "")</f>
        <v/>
      </c>
    </row>
    <row r="6333" spans="1:37" ht="16.05" customHeight="1">
      <c r="A6333" s="172" t="s">
        <v>5306</v>
      </c>
      <c r="B6333" s="178">
        <v>2275</v>
      </c>
      <c r="C6333" s="179" t="s">
        <v>1181</v>
      </c>
      <c r="D6333">
        <v>4341</v>
      </c>
      <c r="E6333" s="125" t="s">
        <v>1895</v>
      </c>
      <c r="F6333" s="178">
        <v>601</v>
      </c>
      <c r="G6333" s="178" t="s">
        <v>134</v>
      </c>
      <c r="H6333">
        <v>635</v>
      </c>
      <c r="I6333" s="178" t="s">
        <v>1546</v>
      </c>
      <c r="J6333" s="320" t="s">
        <v>214</v>
      </c>
      <c r="K6333" s="178" t="s">
        <v>5322</v>
      </c>
      <c r="L6333" s="125" t="s">
        <v>1579</v>
      </c>
      <c r="M6333">
        <v>901</v>
      </c>
      <c r="N6333" s="182">
        <v>17</v>
      </c>
      <c r="O6333">
        <v>4179</v>
      </c>
      <c r="P6333" s="132" t="s">
        <v>77</v>
      </c>
      <c r="Q6333" s="176">
        <v>78.510000000000005</v>
      </c>
      <c r="R6333" s="176">
        <v>12.56</v>
      </c>
      <c r="S6333" s="176"/>
      <c r="T6333" s="190"/>
      <c r="U6333" s="191"/>
      <c r="V6333" s="191">
        <v>91.070000000000007</v>
      </c>
      <c r="W6333">
        <v>167</v>
      </c>
      <c r="X6333" s="186" t="s">
        <v>1644</v>
      </c>
      <c r="Y6333" s="187" t="s">
        <v>55</v>
      </c>
      <c r="Z6333" s="311">
        <v>188</v>
      </c>
      <c r="AB6333" t="str">
        <f>IF(Table1[[#This Row],[TIPO2]]="costo", VLOOKUP(Table1[[#This Row],[PARTIDA PRESUPUESTAL]],'Cost Report'!G:G,1,0),"Balance")</f>
        <v>3904-003</v>
      </c>
      <c r="AD6333" s="159">
        <f>+Table1[[#This Row],[SUBTOTAL]]+Table1[[#This Row],[IVA]]-Table1[[#This Row],[RET IVA]]-Table1[[#This Row],[RET ISR]]-Table1[[#This Row],[TOTAL]]</f>
        <v>0</v>
      </c>
      <c r="AG6333" t="s">
        <v>3420</v>
      </c>
      <c r="AK6333" s="306" t="str">
        <f>IF(ISNUMBER(Table1[[#This Row],[FECHA DE RECIBIDO]]), Table1[[#This Row],[FECHA DE RECIBIDO]]-DATE(2023,8,30), "")</f>
        <v/>
      </c>
    </row>
    <row r="6334" spans="1:37" ht="16.05" customHeight="1">
      <c r="A6334" s="172" t="s">
        <v>5306</v>
      </c>
      <c r="B6334" s="178">
        <v>2275</v>
      </c>
      <c r="C6334" s="179" t="s">
        <v>1181</v>
      </c>
      <c r="D6334">
        <v>4342</v>
      </c>
      <c r="E6334" s="125" t="s">
        <v>5307</v>
      </c>
      <c r="F6334" s="178">
        <v>625</v>
      </c>
      <c r="G6334" s="178" t="s">
        <v>1625</v>
      </c>
      <c r="H6334">
        <v>1034</v>
      </c>
      <c r="I6334" s="178" t="s">
        <v>1546</v>
      </c>
      <c r="J6334" s="320" t="s">
        <v>214</v>
      </c>
      <c r="K6334" s="178" t="s">
        <v>5322</v>
      </c>
      <c r="L6334" s="125" t="s">
        <v>1579</v>
      </c>
      <c r="M6334">
        <v>1443</v>
      </c>
      <c r="N6334" s="182">
        <v>17</v>
      </c>
      <c r="O6334">
        <v>2210</v>
      </c>
      <c r="P6334" s="132" t="s">
        <v>77</v>
      </c>
      <c r="Q6334" s="176">
        <v>51.65</v>
      </c>
      <c r="R6334" s="176">
        <v>8.26</v>
      </c>
      <c r="S6334" s="176"/>
      <c r="T6334" s="190"/>
      <c r="U6334" s="191"/>
      <c r="V6334" s="191">
        <v>59.91</v>
      </c>
      <c r="W6334">
        <v>167</v>
      </c>
      <c r="X6334" s="186" t="s">
        <v>1644</v>
      </c>
      <c r="Y6334" s="187" t="s">
        <v>55</v>
      </c>
      <c r="Z6334" s="311">
        <v>188</v>
      </c>
      <c r="AB6334" t="str">
        <f>IF(Table1[[#This Row],[TIPO2]]="costo", VLOOKUP(Table1[[#This Row],[PARTIDA PRESUPUESTAL]],'Cost Report'!G:G,1,0),"Balance")</f>
        <v>3904-003</v>
      </c>
      <c r="AD6334" s="159">
        <f>+Table1[[#This Row],[SUBTOTAL]]+Table1[[#This Row],[IVA]]-Table1[[#This Row],[RET IVA]]-Table1[[#This Row],[RET ISR]]-Table1[[#This Row],[TOTAL]]</f>
        <v>0</v>
      </c>
      <c r="AG6334" t="s">
        <v>3420</v>
      </c>
      <c r="AK6334" s="306" t="str">
        <f>IF(ISNUMBER(Table1[[#This Row],[FECHA DE RECIBIDO]]), Table1[[#This Row],[FECHA DE RECIBIDO]]-DATE(2023,8,30), "")</f>
        <v/>
      </c>
    </row>
    <row r="6335" spans="1:37" ht="16.05" customHeight="1">
      <c r="A6335" s="172" t="s">
        <v>5306</v>
      </c>
      <c r="B6335" s="178">
        <v>2275</v>
      </c>
      <c r="C6335" s="179" t="s">
        <v>1181</v>
      </c>
      <c r="D6335">
        <v>4343</v>
      </c>
      <c r="E6335" s="125" t="s">
        <v>4423</v>
      </c>
      <c r="F6335" s="178">
        <v>625</v>
      </c>
      <c r="G6335" s="178" t="s">
        <v>1625</v>
      </c>
      <c r="H6335">
        <v>1035</v>
      </c>
      <c r="I6335" s="178" t="s">
        <v>1546</v>
      </c>
      <c r="J6335" s="320" t="s">
        <v>214</v>
      </c>
      <c r="K6335" s="178" t="s">
        <v>5322</v>
      </c>
      <c r="L6335" s="125" t="s">
        <v>1579</v>
      </c>
      <c r="M6335">
        <v>1444</v>
      </c>
      <c r="N6335" s="182">
        <v>17</v>
      </c>
      <c r="O6335">
        <v>2211</v>
      </c>
      <c r="P6335" s="132" t="s">
        <v>77</v>
      </c>
      <c r="Q6335" s="176">
        <v>77.52</v>
      </c>
      <c r="R6335" s="176">
        <v>12.4</v>
      </c>
      <c r="S6335" s="176"/>
      <c r="T6335" s="190"/>
      <c r="U6335" s="191"/>
      <c r="V6335" s="191">
        <v>89.92</v>
      </c>
      <c r="W6335">
        <v>167</v>
      </c>
      <c r="X6335" s="186" t="s">
        <v>1644</v>
      </c>
      <c r="Y6335" s="187" t="s">
        <v>55</v>
      </c>
      <c r="Z6335" s="311">
        <v>188</v>
      </c>
      <c r="AB6335" t="str">
        <f>IF(Table1[[#This Row],[TIPO2]]="costo", VLOOKUP(Table1[[#This Row],[PARTIDA PRESUPUESTAL]],'Cost Report'!G:G,1,0),"Balance")</f>
        <v>3904-003</v>
      </c>
      <c r="AD6335" s="159">
        <f>+Table1[[#This Row],[SUBTOTAL]]+Table1[[#This Row],[IVA]]-Table1[[#This Row],[RET IVA]]-Table1[[#This Row],[RET ISR]]-Table1[[#This Row],[TOTAL]]</f>
        <v>0</v>
      </c>
      <c r="AG6335" t="s">
        <v>3420</v>
      </c>
      <c r="AK6335" s="306" t="str">
        <f>IF(ISNUMBER(Table1[[#This Row],[FECHA DE RECIBIDO]]), Table1[[#This Row],[FECHA DE RECIBIDO]]-DATE(2023,8,30), "")</f>
        <v/>
      </c>
    </row>
    <row r="6336" spans="1:37" ht="16.05" customHeight="1">
      <c r="A6336" s="172" t="s">
        <v>5306</v>
      </c>
      <c r="B6336" s="178">
        <v>2275</v>
      </c>
      <c r="C6336" s="179" t="s">
        <v>1181</v>
      </c>
      <c r="D6336">
        <v>4344</v>
      </c>
      <c r="E6336" s="125" t="s">
        <v>3675</v>
      </c>
      <c r="F6336" s="178">
        <v>625</v>
      </c>
      <c r="G6336" s="178" t="s">
        <v>1625</v>
      </c>
      <c r="H6336">
        <v>1036</v>
      </c>
      <c r="I6336" s="178" t="s">
        <v>1546</v>
      </c>
      <c r="J6336" s="320" t="s">
        <v>214</v>
      </c>
      <c r="K6336" s="178" t="s">
        <v>5322</v>
      </c>
      <c r="L6336" s="125" t="s">
        <v>1579</v>
      </c>
      <c r="M6336">
        <v>1445</v>
      </c>
      <c r="N6336" s="182">
        <v>17</v>
      </c>
      <c r="O6336">
        <v>4178</v>
      </c>
      <c r="P6336" s="132" t="s">
        <v>77</v>
      </c>
      <c r="Q6336" s="176">
        <v>310.29000000000002</v>
      </c>
      <c r="R6336" s="176">
        <v>49.65</v>
      </c>
      <c r="S6336" s="176"/>
      <c r="T6336" s="190"/>
      <c r="U6336" s="191"/>
      <c r="V6336" s="191">
        <v>359.94</v>
      </c>
      <c r="W6336">
        <v>167</v>
      </c>
      <c r="X6336" s="186" t="s">
        <v>1644</v>
      </c>
      <c r="Y6336" s="187" t="s">
        <v>55</v>
      </c>
      <c r="Z6336" s="311">
        <v>249</v>
      </c>
      <c r="AB6336" t="str">
        <f>IF(Table1[[#This Row],[TIPO2]]="costo", VLOOKUP(Table1[[#This Row],[PARTIDA PRESUPUESTAL]],'Cost Report'!G:G,1,0),"Balance")</f>
        <v>3904-003</v>
      </c>
      <c r="AD6336" s="159">
        <f>+Table1[[#This Row],[SUBTOTAL]]+Table1[[#This Row],[IVA]]-Table1[[#This Row],[RET IVA]]-Table1[[#This Row],[RET ISR]]-Table1[[#This Row],[TOTAL]]</f>
        <v>0</v>
      </c>
      <c r="AG6336" t="s">
        <v>3420</v>
      </c>
      <c r="AK6336" s="306" t="str">
        <f>IF(ISNUMBER(Table1[[#This Row],[FECHA DE RECIBIDO]]), Table1[[#This Row],[FECHA DE RECIBIDO]]-DATE(2023,8,30), "")</f>
        <v/>
      </c>
    </row>
    <row r="6337" spans="1:37" ht="16.05" customHeight="1">
      <c r="A6337" s="172" t="s">
        <v>5306</v>
      </c>
      <c r="B6337" s="178">
        <v>2275</v>
      </c>
      <c r="C6337" s="179" t="s">
        <v>1181</v>
      </c>
      <c r="D6337">
        <v>4345</v>
      </c>
      <c r="E6337" s="125" t="s">
        <v>1992</v>
      </c>
      <c r="F6337" s="178">
        <v>625</v>
      </c>
      <c r="G6337" s="178" t="s">
        <v>1625</v>
      </c>
      <c r="H6337">
        <v>1037</v>
      </c>
      <c r="I6337" s="178" t="s">
        <v>1546</v>
      </c>
      <c r="J6337" s="320" t="s">
        <v>214</v>
      </c>
      <c r="K6337" s="178" t="s">
        <v>5322</v>
      </c>
      <c r="L6337" s="125" t="s">
        <v>1579</v>
      </c>
      <c r="M6337">
        <v>1446</v>
      </c>
      <c r="N6337" s="182">
        <v>17</v>
      </c>
      <c r="O6337">
        <v>2211</v>
      </c>
      <c r="P6337" s="132" t="s">
        <v>77</v>
      </c>
      <c r="Q6337" s="176">
        <v>188.09</v>
      </c>
      <c r="R6337" s="176">
        <v>30.09</v>
      </c>
      <c r="S6337" s="176"/>
      <c r="T6337" s="190"/>
      <c r="U6337" s="191"/>
      <c r="V6337" s="191">
        <v>218.18</v>
      </c>
      <c r="W6337">
        <v>167</v>
      </c>
      <c r="X6337" s="186" t="s">
        <v>1644</v>
      </c>
      <c r="Y6337" s="187" t="s">
        <v>55</v>
      </c>
      <c r="Z6337" s="311">
        <v>249</v>
      </c>
      <c r="AB6337" t="str">
        <f>IF(Table1[[#This Row],[TIPO2]]="costo", VLOOKUP(Table1[[#This Row],[PARTIDA PRESUPUESTAL]],'Cost Report'!G:G,1,0),"Balance")</f>
        <v>3904-003</v>
      </c>
      <c r="AD6337" s="159">
        <f>+Table1[[#This Row],[SUBTOTAL]]+Table1[[#This Row],[IVA]]-Table1[[#This Row],[RET IVA]]-Table1[[#This Row],[RET ISR]]-Table1[[#This Row],[TOTAL]]</f>
        <v>0</v>
      </c>
      <c r="AG6337" t="s">
        <v>3420</v>
      </c>
      <c r="AK6337" s="306" t="str">
        <f>IF(ISNUMBER(Table1[[#This Row],[FECHA DE RECIBIDO]]), Table1[[#This Row],[FECHA DE RECIBIDO]]-DATE(2023,8,30), "")</f>
        <v/>
      </c>
    </row>
    <row r="6338" spans="1:37" ht="16.05" customHeight="1">
      <c r="A6338" s="172" t="s">
        <v>5306</v>
      </c>
      <c r="B6338" s="178">
        <v>2275</v>
      </c>
      <c r="C6338" s="179" t="s">
        <v>1181</v>
      </c>
      <c r="D6338">
        <v>4346</v>
      </c>
      <c r="E6338" s="125" t="s">
        <v>5308</v>
      </c>
      <c r="F6338" s="178">
        <v>625</v>
      </c>
      <c r="G6338" s="178" t="s">
        <v>1625</v>
      </c>
      <c r="H6338">
        <v>1038</v>
      </c>
      <c r="I6338" s="178" t="s">
        <v>1546</v>
      </c>
      <c r="J6338" s="320" t="s">
        <v>214</v>
      </c>
      <c r="K6338" s="178" t="s">
        <v>5322</v>
      </c>
      <c r="L6338" s="125" t="s">
        <v>1579</v>
      </c>
      <c r="M6338">
        <v>1447</v>
      </c>
      <c r="N6338" s="182">
        <v>17</v>
      </c>
      <c r="O6338">
        <v>4180</v>
      </c>
      <c r="P6338" s="132" t="s">
        <v>77</v>
      </c>
      <c r="Q6338" s="176">
        <v>68.94</v>
      </c>
      <c r="R6338" s="176">
        <v>11.03</v>
      </c>
      <c r="S6338" s="176"/>
      <c r="T6338" s="190"/>
      <c r="U6338" s="191"/>
      <c r="V6338" s="191">
        <v>79.97</v>
      </c>
      <c r="W6338">
        <v>167</v>
      </c>
      <c r="X6338" s="186" t="s">
        <v>1644</v>
      </c>
      <c r="Y6338" s="187" t="s">
        <v>55</v>
      </c>
      <c r="Z6338" s="311">
        <v>280</v>
      </c>
      <c r="AB6338" t="str">
        <f>IF(Table1[[#This Row],[TIPO2]]="costo", VLOOKUP(Table1[[#This Row],[PARTIDA PRESUPUESTAL]],'Cost Report'!G:G,1,0),"Balance")</f>
        <v>3904-003</v>
      </c>
      <c r="AD6338" s="159">
        <f>+Table1[[#This Row],[SUBTOTAL]]+Table1[[#This Row],[IVA]]-Table1[[#This Row],[RET IVA]]-Table1[[#This Row],[RET ISR]]-Table1[[#This Row],[TOTAL]]</f>
        <v>0</v>
      </c>
      <c r="AG6338" t="s">
        <v>3420</v>
      </c>
      <c r="AK6338" s="306" t="str">
        <f>IF(ISNUMBER(Table1[[#This Row],[FECHA DE RECIBIDO]]), Table1[[#This Row],[FECHA DE RECIBIDO]]-DATE(2023,8,30), "")</f>
        <v/>
      </c>
    </row>
    <row r="6339" spans="1:37" ht="16.05" customHeight="1">
      <c r="A6339" s="172" t="s">
        <v>5306</v>
      </c>
      <c r="B6339" s="178">
        <v>2275</v>
      </c>
      <c r="C6339" s="179" t="s">
        <v>1181</v>
      </c>
      <c r="D6339">
        <v>4347</v>
      </c>
      <c r="E6339" s="125" t="s">
        <v>3276</v>
      </c>
      <c r="F6339" s="178">
        <v>605</v>
      </c>
      <c r="G6339" s="178" t="s">
        <v>4305</v>
      </c>
      <c r="H6339">
        <v>1039</v>
      </c>
      <c r="I6339" s="178" t="s">
        <v>1546</v>
      </c>
      <c r="J6339" s="320" t="s">
        <v>214</v>
      </c>
      <c r="K6339" s="178" t="s">
        <v>5322</v>
      </c>
      <c r="L6339" s="125" t="s">
        <v>1579</v>
      </c>
      <c r="M6339">
        <v>1448</v>
      </c>
      <c r="N6339" s="182">
        <v>17</v>
      </c>
      <c r="O6339">
        <v>4180</v>
      </c>
      <c r="P6339" s="132" t="s">
        <v>77</v>
      </c>
      <c r="Q6339" s="176">
        <v>77.569999999999993</v>
      </c>
      <c r="R6339" s="176">
        <v>12.41</v>
      </c>
      <c r="S6339" s="176"/>
      <c r="T6339" s="190"/>
      <c r="U6339" s="191"/>
      <c r="V6339" s="191">
        <v>89.97999999999999</v>
      </c>
      <c r="W6339">
        <v>167</v>
      </c>
      <c r="X6339" s="186" t="s">
        <v>1644</v>
      </c>
      <c r="Y6339" s="187" t="s">
        <v>55</v>
      </c>
      <c r="Z6339" s="311">
        <v>280</v>
      </c>
      <c r="AB6339" t="str">
        <f>IF(Table1[[#This Row],[TIPO2]]="costo", VLOOKUP(Table1[[#This Row],[PARTIDA PRESUPUESTAL]],'Cost Report'!G:G,1,0),"Balance")</f>
        <v>3904-003</v>
      </c>
      <c r="AD6339" s="159">
        <f>+Table1[[#This Row],[SUBTOTAL]]+Table1[[#This Row],[IVA]]-Table1[[#This Row],[RET IVA]]-Table1[[#This Row],[RET ISR]]-Table1[[#This Row],[TOTAL]]</f>
        <v>0</v>
      </c>
      <c r="AG6339" t="s">
        <v>3420</v>
      </c>
      <c r="AK6339" s="306" t="str">
        <f>IF(ISNUMBER(Table1[[#This Row],[FECHA DE RECIBIDO]]), Table1[[#This Row],[FECHA DE RECIBIDO]]-DATE(2023,8,30), "")</f>
        <v/>
      </c>
    </row>
    <row r="6340" spans="1:37" ht="16.05" customHeight="1">
      <c r="A6340" s="172" t="s">
        <v>5306</v>
      </c>
      <c r="B6340" s="178">
        <v>2275</v>
      </c>
      <c r="C6340" s="179" t="s">
        <v>1181</v>
      </c>
      <c r="D6340">
        <v>4348</v>
      </c>
      <c r="E6340" s="125" t="s">
        <v>3171</v>
      </c>
      <c r="F6340" s="178">
        <v>625</v>
      </c>
      <c r="G6340" s="178" t="s">
        <v>1625</v>
      </c>
      <c r="H6340">
        <v>1040</v>
      </c>
      <c r="I6340" s="178" t="s">
        <v>1546</v>
      </c>
      <c r="J6340" s="320" t="s">
        <v>214</v>
      </c>
      <c r="K6340" s="178" t="s">
        <v>5322</v>
      </c>
      <c r="L6340" s="125" t="s">
        <v>1579</v>
      </c>
      <c r="M6340">
        <v>1449</v>
      </c>
      <c r="N6340" s="182">
        <v>17</v>
      </c>
      <c r="O6340">
        <v>4179</v>
      </c>
      <c r="P6340" s="132" t="s">
        <v>77</v>
      </c>
      <c r="Q6340" s="176">
        <v>87.96</v>
      </c>
      <c r="R6340" s="176">
        <v>14.07</v>
      </c>
      <c r="S6340" s="176"/>
      <c r="T6340" s="190"/>
      <c r="U6340" s="191"/>
      <c r="V6340" s="191">
        <v>102.03</v>
      </c>
      <c r="W6340">
        <v>167</v>
      </c>
      <c r="X6340" s="186" t="s">
        <v>1644</v>
      </c>
      <c r="Y6340" s="187" t="s">
        <v>55</v>
      </c>
      <c r="Z6340" s="311">
        <v>341</v>
      </c>
      <c r="AB6340" t="str">
        <f>IF(Table1[[#This Row],[TIPO2]]="costo", VLOOKUP(Table1[[#This Row],[PARTIDA PRESUPUESTAL]],'Cost Report'!G:G,1,0),"Balance")</f>
        <v>3904-003</v>
      </c>
      <c r="AD6340" s="159">
        <f>+Table1[[#This Row],[SUBTOTAL]]+Table1[[#This Row],[IVA]]-Table1[[#This Row],[RET IVA]]-Table1[[#This Row],[RET ISR]]-Table1[[#This Row],[TOTAL]]</f>
        <v>0</v>
      </c>
      <c r="AG6340" t="s">
        <v>3420</v>
      </c>
      <c r="AK6340" s="306" t="str">
        <f>IF(ISNUMBER(Table1[[#This Row],[FECHA DE RECIBIDO]]), Table1[[#This Row],[FECHA DE RECIBIDO]]-DATE(2023,8,30), "")</f>
        <v/>
      </c>
    </row>
    <row r="6341" spans="1:37" ht="16.05" customHeight="1">
      <c r="A6341" s="172" t="s">
        <v>5306</v>
      </c>
      <c r="B6341" s="178">
        <v>2275</v>
      </c>
      <c r="C6341" s="179" t="s">
        <v>1181</v>
      </c>
      <c r="D6341">
        <v>4349</v>
      </c>
      <c r="E6341" s="125">
        <v>1020</v>
      </c>
      <c r="F6341" s="178">
        <v>601</v>
      </c>
      <c r="G6341" s="178" t="s">
        <v>134</v>
      </c>
      <c r="H6341">
        <v>635</v>
      </c>
      <c r="I6341" s="178" t="s">
        <v>1546</v>
      </c>
      <c r="J6341" s="320">
        <v>285.69927083333459</v>
      </c>
      <c r="K6341" s="178" t="s">
        <v>5322</v>
      </c>
      <c r="L6341" s="125" t="s">
        <v>1579</v>
      </c>
      <c r="M6341">
        <v>901</v>
      </c>
      <c r="N6341" s="182">
        <v>17</v>
      </c>
      <c r="O6341">
        <v>4178</v>
      </c>
      <c r="P6341" s="132" t="s">
        <v>77</v>
      </c>
      <c r="Q6341" s="176">
        <v>336.18</v>
      </c>
      <c r="R6341" s="176">
        <v>53.79</v>
      </c>
      <c r="S6341" s="176"/>
      <c r="T6341" s="190"/>
      <c r="U6341" s="191"/>
      <c r="V6341" s="191">
        <v>389.97</v>
      </c>
      <c r="W6341">
        <v>167</v>
      </c>
      <c r="X6341" s="186" t="s">
        <v>1644</v>
      </c>
      <c r="Y6341" s="187" t="s">
        <v>55</v>
      </c>
      <c r="Z6341" s="311">
        <v>402</v>
      </c>
      <c r="AB6341" t="str">
        <f>IF(Table1[[#This Row],[TIPO2]]="costo", VLOOKUP(Table1[[#This Row],[PARTIDA PRESUPUESTAL]],'Cost Report'!G:G,1,0),"Balance")</f>
        <v>3904-003</v>
      </c>
      <c r="AD6341" s="159">
        <f>+Table1[[#This Row],[SUBTOTAL]]+Table1[[#This Row],[IVA]]-Table1[[#This Row],[RET IVA]]-Table1[[#This Row],[RET ISR]]-Table1[[#This Row],[TOTAL]]</f>
        <v>0</v>
      </c>
      <c r="AG6341" t="s">
        <v>3420</v>
      </c>
      <c r="AK6341" s="306">
        <f>IF(ISNUMBER(Table1[[#This Row],[FECHA DE RECIBIDO]]), Table1[[#This Row],[FECHA DE RECIBIDO]]-DATE(2023,8,30), "")</f>
        <v>-44882.300729166665</v>
      </c>
    </row>
    <row r="6342" spans="1:37" ht="16.05" customHeight="1">
      <c r="A6342" s="172" t="s">
        <v>5306</v>
      </c>
      <c r="B6342" s="178">
        <v>2275</v>
      </c>
      <c r="C6342" s="179" t="s">
        <v>1181</v>
      </c>
      <c r="D6342">
        <v>4350</v>
      </c>
      <c r="E6342" s="125" t="s">
        <v>1997</v>
      </c>
      <c r="F6342" s="178">
        <v>625</v>
      </c>
      <c r="G6342" s="178" t="s">
        <v>1625</v>
      </c>
      <c r="H6342">
        <v>1041</v>
      </c>
      <c r="I6342" s="178" t="s">
        <v>1546</v>
      </c>
      <c r="J6342" s="320" t="s">
        <v>214</v>
      </c>
      <c r="K6342" s="178" t="s">
        <v>5322</v>
      </c>
      <c r="L6342" s="125" t="s">
        <v>1579</v>
      </c>
      <c r="M6342">
        <v>1450</v>
      </c>
      <c r="N6342" s="182">
        <v>17</v>
      </c>
      <c r="O6342">
        <v>4178</v>
      </c>
      <c r="P6342" s="132" t="s">
        <v>77</v>
      </c>
      <c r="Q6342" s="176">
        <v>297.57</v>
      </c>
      <c r="R6342" s="176">
        <v>47.61</v>
      </c>
      <c r="S6342" s="176"/>
      <c r="T6342" s="190"/>
      <c r="U6342" s="191"/>
      <c r="V6342" s="191">
        <v>345.18</v>
      </c>
      <c r="W6342">
        <v>167</v>
      </c>
      <c r="X6342" s="186" t="s">
        <v>1644</v>
      </c>
      <c r="Y6342" s="187" t="s">
        <v>55</v>
      </c>
      <c r="Z6342" s="311">
        <v>402</v>
      </c>
      <c r="AB6342" t="str">
        <f>IF(Table1[[#This Row],[TIPO2]]="costo", VLOOKUP(Table1[[#This Row],[PARTIDA PRESUPUESTAL]],'Cost Report'!G:G,1,0),"Balance")</f>
        <v>3904-003</v>
      </c>
      <c r="AD6342" s="159">
        <f>+Table1[[#This Row],[SUBTOTAL]]+Table1[[#This Row],[IVA]]-Table1[[#This Row],[RET IVA]]-Table1[[#This Row],[RET ISR]]-Table1[[#This Row],[TOTAL]]</f>
        <v>0</v>
      </c>
      <c r="AG6342" t="s">
        <v>3420</v>
      </c>
      <c r="AK6342" s="306" t="str">
        <f>IF(ISNUMBER(Table1[[#This Row],[FECHA DE RECIBIDO]]), Table1[[#This Row],[FECHA DE RECIBIDO]]-DATE(2023,8,30), "")</f>
        <v/>
      </c>
    </row>
    <row r="6343" spans="1:37" ht="16.05" customHeight="1">
      <c r="A6343" s="172" t="s">
        <v>5306</v>
      </c>
      <c r="B6343" s="178">
        <v>2275</v>
      </c>
      <c r="C6343" s="179" t="s">
        <v>1181</v>
      </c>
      <c r="D6343">
        <v>4351</v>
      </c>
      <c r="E6343" s="125" t="s">
        <v>4280</v>
      </c>
      <c r="F6343" s="178">
        <v>601</v>
      </c>
      <c r="G6343" s="178" t="s">
        <v>134</v>
      </c>
      <c r="H6343">
        <v>1042</v>
      </c>
      <c r="I6343" s="178" t="s">
        <v>1546</v>
      </c>
      <c r="J6343" s="320" t="s">
        <v>214</v>
      </c>
      <c r="K6343" s="178" t="s">
        <v>5322</v>
      </c>
      <c r="L6343" s="125" t="s">
        <v>1579</v>
      </c>
      <c r="M6343">
        <v>1451</v>
      </c>
      <c r="N6343" s="182">
        <v>17</v>
      </c>
      <c r="O6343">
        <v>2211</v>
      </c>
      <c r="P6343" s="132" t="s">
        <v>77</v>
      </c>
      <c r="Q6343" s="176">
        <v>103.41</v>
      </c>
      <c r="R6343" s="176">
        <v>16.55</v>
      </c>
      <c r="S6343" s="176"/>
      <c r="T6343" s="190"/>
      <c r="U6343" s="191"/>
      <c r="V6343" s="191">
        <v>119.96</v>
      </c>
      <c r="W6343">
        <v>167</v>
      </c>
      <c r="X6343" s="186" t="s">
        <v>1644</v>
      </c>
      <c r="Y6343" s="187" t="s">
        <v>55</v>
      </c>
      <c r="Z6343" s="311">
        <v>433</v>
      </c>
      <c r="AB6343" t="str">
        <f>IF(Table1[[#This Row],[TIPO2]]="costo", VLOOKUP(Table1[[#This Row],[PARTIDA PRESUPUESTAL]],'Cost Report'!G:G,1,0),"Balance")</f>
        <v>3904-003</v>
      </c>
      <c r="AD6343" s="159">
        <f>+Table1[[#This Row],[SUBTOTAL]]+Table1[[#This Row],[IVA]]-Table1[[#This Row],[RET IVA]]-Table1[[#This Row],[RET ISR]]-Table1[[#This Row],[TOTAL]]</f>
        <v>0</v>
      </c>
      <c r="AG6343" t="s">
        <v>3420</v>
      </c>
      <c r="AK6343" s="306" t="str">
        <f>IF(ISNUMBER(Table1[[#This Row],[FECHA DE RECIBIDO]]), Table1[[#This Row],[FECHA DE RECIBIDO]]-DATE(2023,8,30), "")</f>
        <v/>
      </c>
    </row>
    <row r="6344" spans="1:37" ht="16.05" customHeight="1">
      <c r="A6344" s="172" t="s">
        <v>5306</v>
      </c>
      <c r="B6344" s="178">
        <v>2275</v>
      </c>
      <c r="C6344" s="179" t="s">
        <v>1181</v>
      </c>
      <c r="D6344">
        <v>4352</v>
      </c>
      <c r="E6344" s="125" t="s">
        <v>4862</v>
      </c>
      <c r="F6344" s="178">
        <v>625</v>
      </c>
      <c r="G6344" s="178" t="s">
        <v>1625</v>
      </c>
      <c r="H6344">
        <v>1043</v>
      </c>
      <c r="I6344" s="178" t="s">
        <v>1546</v>
      </c>
      <c r="J6344" s="320" t="s">
        <v>214</v>
      </c>
      <c r="K6344" s="178" t="s">
        <v>5322</v>
      </c>
      <c r="L6344" s="125" t="s">
        <v>1579</v>
      </c>
      <c r="M6344">
        <v>1452</v>
      </c>
      <c r="N6344" s="182">
        <v>17</v>
      </c>
      <c r="O6344">
        <v>2210</v>
      </c>
      <c r="P6344" s="132" t="s">
        <v>77</v>
      </c>
      <c r="Q6344" s="176">
        <v>38.159999999999997</v>
      </c>
      <c r="R6344" s="176">
        <v>6.11</v>
      </c>
      <c r="S6344" s="176"/>
      <c r="T6344" s="190"/>
      <c r="U6344" s="191"/>
      <c r="V6344" s="191">
        <v>44.269999999999996</v>
      </c>
      <c r="W6344">
        <v>167</v>
      </c>
      <c r="X6344" s="186" t="s">
        <v>1644</v>
      </c>
      <c r="Y6344" s="187" t="s">
        <v>55</v>
      </c>
      <c r="Z6344" s="311">
        <v>433</v>
      </c>
      <c r="AB6344" t="str">
        <f>IF(Table1[[#This Row],[TIPO2]]="costo", VLOOKUP(Table1[[#This Row],[PARTIDA PRESUPUESTAL]],'Cost Report'!G:G,1,0),"Balance")</f>
        <v>3904-003</v>
      </c>
      <c r="AD6344" s="159">
        <f>+Table1[[#This Row],[SUBTOTAL]]+Table1[[#This Row],[IVA]]-Table1[[#This Row],[RET IVA]]-Table1[[#This Row],[RET ISR]]-Table1[[#This Row],[TOTAL]]</f>
        <v>0</v>
      </c>
      <c r="AG6344" t="s">
        <v>3420</v>
      </c>
      <c r="AK6344" s="306" t="str">
        <f>IF(ISNUMBER(Table1[[#This Row],[FECHA DE RECIBIDO]]), Table1[[#This Row],[FECHA DE RECIBIDO]]-DATE(2023,8,30), "")</f>
        <v/>
      </c>
    </row>
    <row r="6345" spans="1:37" ht="16.05" customHeight="1">
      <c r="A6345" s="172" t="s">
        <v>5306</v>
      </c>
      <c r="B6345" s="178">
        <v>2275</v>
      </c>
      <c r="C6345" s="179" t="s">
        <v>1181</v>
      </c>
      <c r="D6345">
        <v>4353</v>
      </c>
      <c r="E6345" s="125" t="s">
        <v>3357</v>
      </c>
      <c r="F6345" s="178">
        <v>625</v>
      </c>
      <c r="G6345" s="178" t="s">
        <v>1625</v>
      </c>
      <c r="H6345">
        <v>1044</v>
      </c>
      <c r="I6345" s="178" t="s">
        <v>1546</v>
      </c>
      <c r="J6345" s="320" t="s">
        <v>214</v>
      </c>
      <c r="K6345" s="178" t="s">
        <v>5322</v>
      </c>
      <c r="L6345" s="125" t="s">
        <v>1579</v>
      </c>
      <c r="M6345">
        <v>1453</v>
      </c>
      <c r="N6345" s="182">
        <v>17</v>
      </c>
      <c r="O6345">
        <v>4180</v>
      </c>
      <c r="P6345" s="132" t="s">
        <v>77</v>
      </c>
      <c r="Q6345" s="176">
        <v>86.12</v>
      </c>
      <c r="R6345" s="176">
        <v>13.78</v>
      </c>
      <c r="S6345" s="176"/>
      <c r="T6345" s="190"/>
      <c r="U6345" s="191"/>
      <c r="V6345" s="191">
        <v>99.9</v>
      </c>
      <c r="W6345">
        <v>167</v>
      </c>
      <c r="X6345" s="186" t="s">
        <v>1644</v>
      </c>
      <c r="Y6345" s="187" t="s">
        <v>55</v>
      </c>
      <c r="Z6345" s="311">
        <v>433</v>
      </c>
      <c r="AB6345" t="str">
        <f>IF(Table1[[#This Row],[TIPO2]]="costo", VLOOKUP(Table1[[#This Row],[PARTIDA PRESUPUESTAL]],'Cost Report'!G:G,1,0),"Balance")</f>
        <v>3904-003</v>
      </c>
      <c r="AD6345" s="159">
        <f>+Table1[[#This Row],[SUBTOTAL]]+Table1[[#This Row],[IVA]]-Table1[[#This Row],[RET IVA]]-Table1[[#This Row],[RET ISR]]-Table1[[#This Row],[TOTAL]]</f>
        <v>0</v>
      </c>
      <c r="AG6345" t="s">
        <v>3420</v>
      </c>
      <c r="AK6345" s="306" t="str">
        <f>IF(ISNUMBER(Table1[[#This Row],[FECHA DE RECIBIDO]]), Table1[[#This Row],[FECHA DE RECIBIDO]]-DATE(2023,8,30), "")</f>
        <v/>
      </c>
    </row>
    <row r="6346" spans="1:37" ht="16.05" customHeight="1">
      <c r="A6346" s="172" t="s">
        <v>5306</v>
      </c>
      <c r="B6346" s="178">
        <v>2275</v>
      </c>
      <c r="C6346" s="179" t="s">
        <v>1181</v>
      </c>
      <c r="D6346">
        <v>4354</v>
      </c>
      <c r="E6346" s="125" t="s">
        <v>5309</v>
      </c>
      <c r="F6346" s="178">
        <v>625</v>
      </c>
      <c r="G6346" s="178" t="s">
        <v>1625</v>
      </c>
      <c r="H6346">
        <v>1045</v>
      </c>
      <c r="I6346" s="178" t="s">
        <v>1546</v>
      </c>
      <c r="J6346" s="320" t="s">
        <v>214</v>
      </c>
      <c r="K6346" s="178" t="s">
        <v>5322</v>
      </c>
      <c r="L6346" s="125" t="s">
        <v>1579</v>
      </c>
      <c r="M6346">
        <v>1454</v>
      </c>
      <c r="N6346" s="182">
        <v>17</v>
      </c>
      <c r="O6346">
        <v>2211</v>
      </c>
      <c r="P6346" s="132" t="s">
        <v>77</v>
      </c>
      <c r="Q6346" s="176">
        <v>108.41</v>
      </c>
      <c r="R6346" s="176">
        <v>17.350000000000001</v>
      </c>
      <c r="S6346" s="176"/>
      <c r="T6346" s="190"/>
      <c r="U6346" s="191"/>
      <c r="V6346" s="191">
        <v>125.75999999999999</v>
      </c>
      <c r="W6346">
        <v>167</v>
      </c>
      <c r="X6346" s="186" t="s">
        <v>1644</v>
      </c>
      <c r="Y6346" s="187" t="s">
        <v>55</v>
      </c>
      <c r="Z6346" s="311" t="s">
        <v>214</v>
      </c>
      <c r="AB6346" t="str">
        <f>IF(Table1[[#This Row],[TIPO2]]="costo", VLOOKUP(Table1[[#This Row],[PARTIDA PRESUPUESTAL]],'Cost Report'!G:G,1,0),"Balance")</f>
        <v>3904-003</v>
      </c>
      <c r="AD6346" s="159">
        <f>+Table1[[#This Row],[SUBTOTAL]]+Table1[[#This Row],[IVA]]-Table1[[#This Row],[RET IVA]]-Table1[[#This Row],[RET ISR]]-Table1[[#This Row],[TOTAL]]</f>
        <v>0</v>
      </c>
      <c r="AG6346" t="s">
        <v>3420</v>
      </c>
      <c r="AK6346" s="306" t="str">
        <f>IF(ISNUMBER(Table1[[#This Row],[FECHA DE RECIBIDO]]), Table1[[#This Row],[FECHA DE RECIBIDO]]-DATE(2023,8,30), "")</f>
        <v/>
      </c>
    </row>
    <row r="6347" spans="1:37" ht="16.05" customHeight="1">
      <c r="A6347" s="172" t="s">
        <v>5306</v>
      </c>
      <c r="B6347" s="178">
        <v>2275</v>
      </c>
      <c r="C6347" s="179" t="s">
        <v>1181</v>
      </c>
      <c r="D6347">
        <v>4355</v>
      </c>
      <c r="E6347" s="125" t="s">
        <v>1895</v>
      </c>
      <c r="F6347" s="178">
        <v>601</v>
      </c>
      <c r="G6347" s="178" t="s">
        <v>134</v>
      </c>
      <c r="H6347">
        <v>635</v>
      </c>
      <c r="I6347" s="178" t="s">
        <v>1546</v>
      </c>
      <c r="J6347" s="320" t="s">
        <v>214</v>
      </c>
      <c r="K6347" s="178" t="s">
        <v>5322</v>
      </c>
      <c r="L6347" s="125" t="s">
        <v>1579</v>
      </c>
      <c r="M6347">
        <v>901</v>
      </c>
      <c r="N6347" s="182">
        <v>17</v>
      </c>
      <c r="O6347">
        <v>4178</v>
      </c>
      <c r="P6347" s="132" t="s">
        <v>77</v>
      </c>
      <c r="Q6347" s="176">
        <v>229.62</v>
      </c>
      <c r="R6347" s="176">
        <v>36.74</v>
      </c>
      <c r="S6347" s="176"/>
      <c r="T6347" s="190"/>
      <c r="U6347" s="191"/>
      <c r="V6347" s="191">
        <v>266.36</v>
      </c>
      <c r="W6347">
        <v>167</v>
      </c>
      <c r="X6347" s="186" t="s">
        <v>1644</v>
      </c>
      <c r="Y6347" s="187" t="s">
        <v>55</v>
      </c>
      <c r="Z6347" s="311" t="s">
        <v>214</v>
      </c>
      <c r="AB6347" t="str">
        <f>IF(Table1[[#This Row],[TIPO2]]="costo", VLOOKUP(Table1[[#This Row],[PARTIDA PRESUPUESTAL]],'Cost Report'!G:G,1,0),"Balance")</f>
        <v>3904-003</v>
      </c>
      <c r="AD6347" s="159">
        <f>+Table1[[#This Row],[SUBTOTAL]]+Table1[[#This Row],[IVA]]-Table1[[#This Row],[RET IVA]]-Table1[[#This Row],[RET ISR]]-Table1[[#This Row],[TOTAL]]</f>
        <v>0</v>
      </c>
      <c r="AG6347" t="s">
        <v>3420</v>
      </c>
      <c r="AK6347" s="306" t="str">
        <f>IF(ISNUMBER(Table1[[#This Row],[FECHA DE RECIBIDO]]), Table1[[#This Row],[FECHA DE RECIBIDO]]-DATE(2023,8,30), "")</f>
        <v/>
      </c>
    </row>
    <row r="6348" spans="1:37" ht="16.05" customHeight="1">
      <c r="A6348" s="172" t="s">
        <v>5306</v>
      </c>
      <c r="B6348" s="178">
        <v>2275</v>
      </c>
      <c r="C6348" s="179" t="s">
        <v>1181</v>
      </c>
      <c r="D6348">
        <v>4356</v>
      </c>
      <c r="E6348" s="125" t="s">
        <v>5310</v>
      </c>
      <c r="F6348" s="178">
        <v>625</v>
      </c>
      <c r="G6348" s="178" t="s">
        <v>1625</v>
      </c>
      <c r="H6348">
        <v>1046</v>
      </c>
      <c r="I6348" s="178" t="s">
        <v>1546</v>
      </c>
      <c r="J6348" s="320" t="s">
        <v>214</v>
      </c>
      <c r="K6348" s="178" t="s">
        <v>5322</v>
      </c>
      <c r="L6348" s="125" t="s">
        <v>1579</v>
      </c>
      <c r="M6348">
        <v>1455</v>
      </c>
      <c r="N6348" s="182">
        <v>17</v>
      </c>
      <c r="O6348">
        <v>2211</v>
      </c>
      <c r="P6348" s="132" t="s">
        <v>77</v>
      </c>
      <c r="Q6348" s="176">
        <v>112.05</v>
      </c>
      <c r="R6348" s="176">
        <v>17.93</v>
      </c>
      <c r="S6348" s="176"/>
      <c r="T6348" s="190"/>
      <c r="U6348" s="191"/>
      <c r="V6348" s="191">
        <v>129.97999999999999</v>
      </c>
      <c r="W6348">
        <v>167</v>
      </c>
      <c r="X6348" s="186" t="s">
        <v>1644</v>
      </c>
      <c r="Y6348" s="187" t="s">
        <v>55</v>
      </c>
      <c r="Z6348" s="311" t="s">
        <v>214</v>
      </c>
      <c r="AB6348" t="str">
        <f>IF(Table1[[#This Row],[TIPO2]]="costo", VLOOKUP(Table1[[#This Row],[PARTIDA PRESUPUESTAL]],'Cost Report'!G:G,1,0),"Balance")</f>
        <v>3904-003</v>
      </c>
      <c r="AD6348" s="159">
        <f>+Table1[[#This Row],[SUBTOTAL]]+Table1[[#This Row],[IVA]]-Table1[[#This Row],[RET IVA]]-Table1[[#This Row],[RET ISR]]-Table1[[#This Row],[TOTAL]]</f>
        <v>0</v>
      </c>
      <c r="AG6348" t="s">
        <v>3420</v>
      </c>
      <c r="AK6348" s="306" t="str">
        <f>IF(ISNUMBER(Table1[[#This Row],[FECHA DE RECIBIDO]]), Table1[[#This Row],[FECHA DE RECIBIDO]]-DATE(2023,8,30), "")</f>
        <v/>
      </c>
    </row>
    <row r="6349" spans="1:37" ht="16.05" customHeight="1">
      <c r="A6349" s="172" t="s">
        <v>5306</v>
      </c>
      <c r="B6349" s="178">
        <v>2275</v>
      </c>
      <c r="C6349" s="179" t="s">
        <v>1181</v>
      </c>
      <c r="D6349">
        <v>4357</v>
      </c>
      <c r="E6349" s="125" t="s">
        <v>4091</v>
      </c>
      <c r="F6349" s="178">
        <v>625</v>
      </c>
      <c r="G6349" s="178" t="s">
        <v>1625</v>
      </c>
      <c r="H6349">
        <v>1047</v>
      </c>
      <c r="I6349" s="178" t="s">
        <v>1546</v>
      </c>
      <c r="J6349" s="320" t="s">
        <v>214</v>
      </c>
      <c r="K6349" s="178" t="s">
        <v>5322</v>
      </c>
      <c r="L6349" s="125" t="s">
        <v>1579</v>
      </c>
      <c r="M6349">
        <v>1456</v>
      </c>
      <c r="N6349" s="182">
        <v>17</v>
      </c>
      <c r="O6349">
        <v>2211</v>
      </c>
      <c r="P6349" s="132" t="s">
        <v>77</v>
      </c>
      <c r="Q6349" s="176">
        <v>292.55</v>
      </c>
      <c r="R6349" s="176">
        <v>46.81</v>
      </c>
      <c r="S6349" s="176"/>
      <c r="T6349" s="190"/>
      <c r="U6349" s="191"/>
      <c r="V6349" s="191">
        <v>339.36</v>
      </c>
      <c r="W6349">
        <v>167</v>
      </c>
      <c r="X6349" s="186" t="s">
        <v>1644</v>
      </c>
      <c r="Y6349" s="187" t="s">
        <v>55</v>
      </c>
      <c r="Z6349" s="311" t="s">
        <v>214</v>
      </c>
      <c r="AB6349" t="str">
        <f>IF(Table1[[#This Row],[TIPO2]]="costo", VLOOKUP(Table1[[#This Row],[PARTIDA PRESUPUESTAL]],'Cost Report'!G:G,1,0),"Balance")</f>
        <v>3904-003</v>
      </c>
      <c r="AD6349" s="159">
        <f>+Table1[[#This Row],[SUBTOTAL]]+Table1[[#This Row],[IVA]]-Table1[[#This Row],[RET IVA]]-Table1[[#This Row],[RET ISR]]-Table1[[#This Row],[TOTAL]]</f>
        <v>0</v>
      </c>
      <c r="AG6349" t="s">
        <v>3420</v>
      </c>
      <c r="AK6349" s="306" t="str">
        <f>IF(ISNUMBER(Table1[[#This Row],[FECHA DE RECIBIDO]]), Table1[[#This Row],[FECHA DE RECIBIDO]]-DATE(2023,8,30), "")</f>
        <v/>
      </c>
    </row>
    <row r="6350" spans="1:37" ht="16.05" customHeight="1">
      <c r="A6350" s="172" t="s">
        <v>5306</v>
      </c>
      <c r="B6350" s="178">
        <v>2275</v>
      </c>
      <c r="C6350" s="179" t="s">
        <v>1181</v>
      </c>
      <c r="D6350">
        <v>4358</v>
      </c>
      <c r="E6350" s="125" t="s">
        <v>3789</v>
      </c>
      <c r="F6350" s="178">
        <v>625</v>
      </c>
      <c r="G6350" s="178" t="s">
        <v>1625</v>
      </c>
      <c r="H6350">
        <v>1048</v>
      </c>
      <c r="I6350" s="178" t="s">
        <v>1546</v>
      </c>
      <c r="J6350" s="320" t="s">
        <v>214</v>
      </c>
      <c r="K6350" s="178" t="s">
        <v>5322</v>
      </c>
      <c r="L6350" s="125" t="s">
        <v>1579</v>
      </c>
      <c r="M6350">
        <v>1457</v>
      </c>
      <c r="N6350" s="182">
        <v>17</v>
      </c>
      <c r="O6350">
        <v>4179</v>
      </c>
      <c r="P6350" s="132" t="s">
        <v>77</v>
      </c>
      <c r="Q6350" s="176">
        <v>104.47</v>
      </c>
      <c r="R6350" s="176">
        <v>16.72</v>
      </c>
      <c r="S6350" s="176"/>
      <c r="T6350" s="190"/>
      <c r="U6350" s="191"/>
      <c r="V6350" s="191">
        <v>121.19</v>
      </c>
      <c r="W6350">
        <v>167</v>
      </c>
      <c r="X6350" s="186" t="s">
        <v>1644</v>
      </c>
      <c r="Y6350" s="187" t="s">
        <v>55</v>
      </c>
      <c r="Z6350" s="311" t="s">
        <v>214</v>
      </c>
      <c r="AB6350" t="str">
        <f>IF(Table1[[#This Row],[TIPO2]]="costo", VLOOKUP(Table1[[#This Row],[PARTIDA PRESUPUESTAL]],'Cost Report'!G:G,1,0),"Balance")</f>
        <v>3904-003</v>
      </c>
      <c r="AD6350" s="159">
        <f>+Table1[[#This Row],[SUBTOTAL]]+Table1[[#This Row],[IVA]]-Table1[[#This Row],[RET IVA]]-Table1[[#This Row],[RET ISR]]-Table1[[#This Row],[TOTAL]]</f>
        <v>0</v>
      </c>
      <c r="AG6350" t="s">
        <v>3420</v>
      </c>
      <c r="AK6350" s="306" t="str">
        <f>IF(ISNUMBER(Table1[[#This Row],[FECHA DE RECIBIDO]]), Table1[[#This Row],[FECHA DE RECIBIDO]]-DATE(2023,8,30), "")</f>
        <v/>
      </c>
    </row>
    <row r="6351" spans="1:37" ht="16.05" customHeight="1">
      <c r="A6351" s="172" t="s">
        <v>5306</v>
      </c>
      <c r="B6351" s="178">
        <v>2275</v>
      </c>
      <c r="C6351" s="179" t="s">
        <v>1181</v>
      </c>
      <c r="D6351">
        <v>4359</v>
      </c>
      <c r="E6351" s="125" t="s">
        <v>5311</v>
      </c>
      <c r="F6351" s="178">
        <v>625</v>
      </c>
      <c r="G6351" s="178" t="s">
        <v>1625</v>
      </c>
      <c r="H6351">
        <v>1049</v>
      </c>
      <c r="I6351" s="178" t="s">
        <v>1546</v>
      </c>
      <c r="J6351" s="320" t="s">
        <v>214</v>
      </c>
      <c r="K6351" s="178" t="s">
        <v>5322</v>
      </c>
      <c r="L6351" s="125" t="s">
        <v>1579</v>
      </c>
      <c r="M6351">
        <v>1458</v>
      </c>
      <c r="N6351" s="182">
        <v>17</v>
      </c>
      <c r="O6351">
        <v>2211</v>
      </c>
      <c r="P6351" s="132" t="s">
        <v>77</v>
      </c>
      <c r="Q6351" s="176">
        <v>224.97</v>
      </c>
      <c r="R6351" s="176">
        <v>36</v>
      </c>
      <c r="S6351" s="176"/>
      <c r="T6351" s="190"/>
      <c r="U6351" s="191"/>
      <c r="V6351" s="191">
        <v>260.97000000000003</v>
      </c>
      <c r="W6351">
        <v>167</v>
      </c>
      <c r="X6351" s="186" t="s">
        <v>1644</v>
      </c>
      <c r="Y6351" s="187" t="s">
        <v>55</v>
      </c>
      <c r="Z6351" s="311" t="s">
        <v>214</v>
      </c>
      <c r="AB6351" t="str">
        <f>IF(Table1[[#This Row],[TIPO2]]="costo", VLOOKUP(Table1[[#This Row],[PARTIDA PRESUPUESTAL]],'Cost Report'!G:G,1,0),"Balance")</f>
        <v>3904-003</v>
      </c>
      <c r="AD6351" s="159">
        <f>+Table1[[#This Row],[SUBTOTAL]]+Table1[[#This Row],[IVA]]-Table1[[#This Row],[RET IVA]]-Table1[[#This Row],[RET ISR]]-Table1[[#This Row],[TOTAL]]</f>
        <v>0</v>
      </c>
      <c r="AG6351" t="s">
        <v>3420</v>
      </c>
      <c r="AK6351" s="306" t="str">
        <f>IF(ISNUMBER(Table1[[#This Row],[FECHA DE RECIBIDO]]), Table1[[#This Row],[FECHA DE RECIBIDO]]-DATE(2023,8,30), "")</f>
        <v/>
      </c>
    </row>
    <row r="6352" spans="1:37" ht="16.05" customHeight="1">
      <c r="A6352" s="172" t="s">
        <v>5306</v>
      </c>
      <c r="B6352" s="178">
        <v>2275</v>
      </c>
      <c r="C6352" s="179" t="s">
        <v>1181</v>
      </c>
      <c r="D6352">
        <v>4360</v>
      </c>
      <c r="E6352" s="125" t="s">
        <v>1893</v>
      </c>
      <c r="F6352" s="178">
        <v>625</v>
      </c>
      <c r="G6352" s="178" t="s">
        <v>1625</v>
      </c>
      <c r="H6352">
        <v>1050</v>
      </c>
      <c r="I6352" s="178" t="s">
        <v>1546</v>
      </c>
      <c r="J6352" s="320" t="s">
        <v>214</v>
      </c>
      <c r="K6352" s="178" t="s">
        <v>5322</v>
      </c>
      <c r="L6352" s="125" t="s">
        <v>1579</v>
      </c>
      <c r="M6352">
        <v>1459</v>
      </c>
      <c r="N6352" s="182">
        <v>17</v>
      </c>
      <c r="O6352">
        <v>2210</v>
      </c>
      <c r="P6352" s="132" t="s">
        <v>77</v>
      </c>
      <c r="Q6352" s="176">
        <v>51.69</v>
      </c>
      <c r="R6352" s="176">
        <v>8.27</v>
      </c>
      <c r="S6352" s="176"/>
      <c r="T6352" s="190"/>
      <c r="U6352" s="191"/>
      <c r="V6352" s="191">
        <v>59.959999999999994</v>
      </c>
      <c r="W6352">
        <v>167</v>
      </c>
      <c r="X6352" s="186" t="s">
        <v>1644</v>
      </c>
      <c r="Y6352" s="187" t="s">
        <v>55</v>
      </c>
      <c r="Z6352" s="311" t="s">
        <v>214</v>
      </c>
      <c r="AB6352" t="str">
        <f>IF(Table1[[#This Row],[TIPO2]]="costo", VLOOKUP(Table1[[#This Row],[PARTIDA PRESUPUESTAL]],'Cost Report'!G:G,1,0),"Balance")</f>
        <v>3904-003</v>
      </c>
      <c r="AD6352" s="159">
        <f>+Table1[[#This Row],[SUBTOTAL]]+Table1[[#This Row],[IVA]]-Table1[[#This Row],[RET IVA]]-Table1[[#This Row],[RET ISR]]-Table1[[#This Row],[TOTAL]]</f>
        <v>0</v>
      </c>
      <c r="AG6352" t="s">
        <v>3420</v>
      </c>
      <c r="AK6352" s="306" t="str">
        <f>IF(ISNUMBER(Table1[[#This Row],[FECHA DE RECIBIDO]]), Table1[[#This Row],[FECHA DE RECIBIDO]]-DATE(2023,8,30), "")</f>
        <v/>
      </c>
    </row>
    <row r="6353" spans="1:37" ht="16.05" customHeight="1">
      <c r="A6353" s="172" t="s">
        <v>5306</v>
      </c>
      <c r="B6353" s="178">
        <v>2275</v>
      </c>
      <c r="C6353" s="179" t="s">
        <v>1181</v>
      </c>
      <c r="D6353">
        <v>4361</v>
      </c>
      <c r="E6353" s="125" t="s">
        <v>3811</v>
      </c>
      <c r="F6353" s="178">
        <v>625</v>
      </c>
      <c r="G6353" s="178" t="s">
        <v>1625</v>
      </c>
      <c r="H6353">
        <v>1051</v>
      </c>
      <c r="I6353" s="178" t="s">
        <v>1546</v>
      </c>
      <c r="J6353" s="320" t="s">
        <v>214</v>
      </c>
      <c r="K6353" s="178" t="s">
        <v>5322</v>
      </c>
      <c r="L6353" s="125" t="s">
        <v>1579</v>
      </c>
      <c r="M6353">
        <v>1460</v>
      </c>
      <c r="N6353" s="182">
        <v>17</v>
      </c>
      <c r="O6353">
        <v>2211</v>
      </c>
      <c r="P6353" s="132" t="s">
        <v>77</v>
      </c>
      <c r="Q6353" s="176">
        <v>163.71</v>
      </c>
      <c r="R6353" s="176">
        <v>26.19</v>
      </c>
      <c r="S6353" s="176"/>
      <c r="T6353" s="190"/>
      <c r="U6353" s="191"/>
      <c r="V6353" s="191">
        <v>189.9</v>
      </c>
      <c r="W6353">
        <v>167</v>
      </c>
      <c r="X6353" s="186" t="s">
        <v>1644</v>
      </c>
      <c r="Y6353" s="187" t="s">
        <v>55</v>
      </c>
      <c r="Z6353" s="311" t="s">
        <v>214</v>
      </c>
      <c r="AB6353" t="str">
        <f>IF(Table1[[#This Row],[TIPO2]]="costo", VLOOKUP(Table1[[#This Row],[PARTIDA PRESUPUESTAL]],'Cost Report'!G:G,1,0),"Balance")</f>
        <v>3904-003</v>
      </c>
      <c r="AD6353" s="159">
        <f>+Table1[[#This Row],[SUBTOTAL]]+Table1[[#This Row],[IVA]]-Table1[[#This Row],[RET IVA]]-Table1[[#This Row],[RET ISR]]-Table1[[#This Row],[TOTAL]]</f>
        <v>0</v>
      </c>
      <c r="AG6353" t="s">
        <v>3420</v>
      </c>
      <c r="AK6353" s="306" t="str">
        <f>IF(ISNUMBER(Table1[[#This Row],[FECHA DE RECIBIDO]]), Table1[[#This Row],[FECHA DE RECIBIDO]]-DATE(2023,8,30), "")</f>
        <v/>
      </c>
    </row>
    <row r="6354" spans="1:37" ht="16.05" customHeight="1">
      <c r="A6354" s="172" t="s">
        <v>5306</v>
      </c>
      <c r="B6354" s="178">
        <v>2275</v>
      </c>
      <c r="C6354" s="179" t="s">
        <v>1181</v>
      </c>
      <c r="D6354">
        <v>4362</v>
      </c>
      <c r="E6354" s="125" t="s">
        <v>5312</v>
      </c>
      <c r="F6354" s="178">
        <v>625</v>
      </c>
      <c r="G6354" s="178" t="s">
        <v>1625</v>
      </c>
      <c r="H6354">
        <v>1052</v>
      </c>
      <c r="I6354" s="178" t="s">
        <v>1546</v>
      </c>
      <c r="J6354" s="320" t="s">
        <v>214</v>
      </c>
      <c r="K6354" s="178" t="s">
        <v>5322</v>
      </c>
      <c r="L6354" s="125" t="s">
        <v>1579</v>
      </c>
      <c r="M6354">
        <v>1461</v>
      </c>
      <c r="N6354" s="182">
        <v>17</v>
      </c>
      <c r="O6354">
        <v>4180</v>
      </c>
      <c r="P6354" s="132" t="s">
        <v>77</v>
      </c>
      <c r="Q6354" s="176">
        <v>77.56</v>
      </c>
      <c r="R6354" s="176">
        <v>12.41</v>
      </c>
      <c r="S6354" s="176"/>
      <c r="T6354" s="190"/>
      <c r="U6354" s="191"/>
      <c r="V6354" s="191">
        <v>89.97</v>
      </c>
      <c r="W6354">
        <v>167</v>
      </c>
      <c r="X6354" s="186" t="s">
        <v>1644</v>
      </c>
      <c r="Y6354" s="187" t="s">
        <v>55</v>
      </c>
      <c r="Z6354" s="311" t="s">
        <v>214</v>
      </c>
      <c r="AB6354" t="str">
        <f>IF(Table1[[#This Row],[TIPO2]]="costo", VLOOKUP(Table1[[#This Row],[PARTIDA PRESUPUESTAL]],'Cost Report'!G:G,1,0),"Balance")</f>
        <v>3904-003</v>
      </c>
      <c r="AD6354" s="159">
        <f>+Table1[[#This Row],[SUBTOTAL]]+Table1[[#This Row],[IVA]]-Table1[[#This Row],[RET IVA]]-Table1[[#This Row],[RET ISR]]-Table1[[#This Row],[TOTAL]]</f>
        <v>0</v>
      </c>
      <c r="AG6354" t="s">
        <v>3420</v>
      </c>
      <c r="AK6354" s="306" t="str">
        <f>IF(ISNUMBER(Table1[[#This Row],[FECHA DE RECIBIDO]]), Table1[[#This Row],[FECHA DE RECIBIDO]]-DATE(2023,8,30), "")</f>
        <v/>
      </c>
    </row>
    <row r="6355" spans="1:37" ht="16.05" customHeight="1">
      <c r="A6355" s="172" t="s">
        <v>5306</v>
      </c>
      <c r="B6355" s="178">
        <v>2275</v>
      </c>
      <c r="C6355" s="179" t="s">
        <v>1181</v>
      </c>
      <c r="D6355">
        <v>4363</v>
      </c>
      <c r="E6355" s="125" t="s">
        <v>1895</v>
      </c>
      <c r="F6355" s="178">
        <v>601</v>
      </c>
      <c r="G6355" s="178" t="s">
        <v>134</v>
      </c>
      <c r="H6355">
        <v>635</v>
      </c>
      <c r="I6355" s="178" t="s">
        <v>1546</v>
      </c>
      <c r="J6355" s="320" t="s">
        <v>214</v>
      </c>
      <c r="K6355" s="178" t="s">
        <v>5322</v>
      </c>
      <c r="L6355" s="125" t="s">
        <v>1579</v>
      </c>
      <c r="M6355">
        <v>901</v>
      </c>
      <c r="N6355" s="182">
        <v>17</v>
      </c>
      <c r="O6355">
        <v>4180</v>
      </c>
      <c r="P6355" s="132" t="s">
        <v>77</v>
      </c>
      <c r="Q6355" s="176">
        <v>86.16</v>
      </c>
      <c r="R6355" s="176">
        <v>13.79</v>
      </c>
      <c r="S6355" s="176"/>
      <c r="T6355" s="190"/>
      <c r="U6355" s="191"/>
      <c r="V6355" s="191">
        <v>99.949999999999989</v>
      </c>
      <c r="W6355">
        <v>167</v>
      </c>
      <c r="X6355" s="186" t="s">
        <v>1644</v>
      </c>
      <c r="Y6355" s="187" t="s">
        <v>55</v>
      </c>
      <c r="Z6355" s="311" t="s">
        <v>214</v>
      </c>
      <c r="AB6355" t="str">
        <f>IF(Table1[[#This Row],[TIPO2]]="costo", VLOOKUP(Table1[[#This Row],[PARTIDA PRESUPUESTAL]],'Cost Report'!G:G,1,0),"Balance")</f>
        <v>3904-003</v>
      </c>
      <c r="AD6355" s="159">
        <f>+Table1[[#This Row],[SUBTOTAL]]+Table1[[#This Row],[IVA]]-Table1[[#This Row],[RET IVA]]-Table1[[#This Row],[RET ISR]]-Table1[[#This Row],[TOTAL]]</f>
        <v>0</v>
      </c>
      <c r="AG6355" t="s">
        <v>3420</v>
      </c>
      <c r="AK6355" s="306" t="str">
        <f>IF(ISNUMBER(Table1[[#This Row],[FECHA DE RECIBIDO]]), Table1[[#This Row],[FECHA DE RECIBIDO]]-DATE(2023,8,30), "")</f>
        <v/>
      </c>
    </row>
    <row r="6356" spans="1:37" ht="16.05" customHeight="1">
      <c r="A6356" s="172" t="s">
        <v>5306</v>
      </c>
      <c r="B6356" s="178">
        <v>2275</v>
      </c>
      <c r="C6356" s="179" t="s">
        <v>1181</v>
      </c>
      <c r="D6356">
        <v>4364</v>
      </c>
      <c r="E6356" s="125">
        <v>57180</v>
      </c>
      <c r="F6356" s="178">
        <v>625</v>
      </c>
      <c r="G6356" s="178" t="s">
        <v>1625</v>
      </c>
      <c r="H6356">
        <v>1053</v>
      </c>
      <c r="I6356" s="178" t="s">
        <v>1546</v>
      </c>
      <c r="J6356" s="320">
        <v>285.54012731481635</v>
      </c>
      <c r="K6356" s="178" t="s">
        <v>5322</v>
      </c>
      <c r="L6356" s="125" t="s">
        <v>1579</v>
      </c>
      <c r="M6356">
        <v>1462</v>
      </c>
      <c r="N6356" s="182">
        <v>17</v>
      </c>
      <c r="O6356">
        <v>4178</v>
      </c>
      <c r="P6356" s="132" t="s">
        <v>77</v>
      </c>
      <c r="Q6356" s="176">
        <v>200.46</v>
      </c>
      <c r="R6356" s="176">
        <v>32.07</v>
      </c>
      <c r="S6356" s="176"/>
      <c r="T6356" s="190"/>
      <c r="U6356" s="191"/>
      <c r="V6356" s="191">
        <v>232.53</v>
      </c>
      <c r="W6356">
        <v>167</v>
      </c>
      <c r="X6356" s="186" t="s">
        <v>1644</v>
      </c>
      <c r="Y6356" s="187" t="s">
        <v>55</v>
      </c>
      <c r="Z6356" s="311">
        <v>403</v>
      </c>
      <c r="AB6356" t="str">
        <f>IF(Table1[[#This Row],[TIPO2]]="costo", VLOOKUP(Table1[[#This Row],[PARTIDA PRESUPUESTAL]],'Cost Report'!G:G,1,0),"Balance")</f>
        <v>3904-003</v>
      </c>
      <c r="AD6356" s="159">
        <f>+Table1[[#This Row],[SUBTOTAL]]+Table1[[#This Row],[IVA]]-Table1[[#This Row],[RET IVA]]-Table1[[#This Row],[RET ISR]]-Table1[[#This Row],[TOTAL]]</f>
        <v>0</v>
      </c>
      <c r="AG6356" t="s">
        <v>3420</v>
      </c>
      <c r="AK6356" s="306">
        <f>IF(ISNUMBER(Table1[[#This Row],[FECHA DE RECIBIDO]]), Table1[[#This Row],[FECHA DE RECIBIDO]]-DATE(2023,8,30), "")</f>
        <v>-44882.459872685184</v>
      </c>
    </row>
    <row r="6357" spans="1:37" ht="16.05" customHeight="1">
      <c r="A6357" s="172" t="s">
        <v>5306</v>
      </c>
      <c r="B6357" s="178">
        <v>2275</v>
      </c>
      <c r="C6357" s="179" t="s">
        <v>1181</v>
      </c>
      <c r="D6357">
        <v>4365</v>
      </c>
      <c r="E6357" s="125">
        <v>45130</v>
      </c>
      <c r="F6357" s="178">
        <v>625</v>
      </c>
      <c r="G6357" s="178" t="s">
        <v>1625</v>
      </c>
      <c r="H6357">
        <v>649</v>
      </c>
      <c r="I6357" s="178" t="s">
        <v>1546</v>
      </c>
      <c r="J6357" s="320">
        <v>285.54049768518598</v>
      </c>
      <c r="K6357" s="178" t="s">
        <v>5322</v>
      </c>
      <c r="L6357" s="125" t="s">
        <v>1579</v>
      </c>
      <c r="M6357">
        <v>915</v>
      </c>
      <c r="N6357" s="182">
        <v>17</v>
      </c>
      <c r="O6357">
        <v>4181</v>
      </c>
      <c r="P6357" s="132" t="s">
        <v>77</v>
      </c>
      <c r="Q6357" s="176">
        <v>86.16</v>
      </c>
      <c r="R6357" s="176">
        <v>13.79</v>
      </c>
      <c r="S6357" s="176"/>
      <c r="T6357" s="190"/>
      <c r="U6357" s="191"/>
      <c r="V6357" s="191">
        <v>99.949999999999989</v>
      </c>
      <c r="W6357">
        <v>167</v>
      </c>
      <c r="X6357" s="186" t="s">
        <v>1644</v>
      </c>
      <c r="Y6357" s="187" t="s">
        <v>55</v>
      </c>
      <c r="Z6357" s="311">
        <v>403</v>
      </c>
      <c r="AB6357" t="str">
        <f>IF(Table1[[#This Row],[TIPO2]]="costo", VLOOKUP(Table1[[#This Row],[PARTIDA PRESUPUESTAL]],'Cost Report'!G:G,1,0),"Balance")</f>
        <v>3904-003</v>
      </c>
      <c r="AD6357" s="159">
        <f>+Table1[[#This Row],[SUBTOTAL]]+Table1[[#This Row],[IVA]]-Table1[[#This Row],[RET IVA]]-Table1[[#This Row],[RET ISR]]-Table1[[#This Row],[TOTAL]]</f>
        <v>0</v>
      </c>
      <c r="AG6357" t="s">
        <v>3420</v>
      </c>
      <c r="AK6357" s="306">
        <f>IF(ISNUMBER(Table1[[#This Row],[FECHA DE RECIBIDO]]), Table1[[#This Row],[FECHA DE RECIBIDO]]-DATE(2023,8,30), "")</f>
        <v>-44882.459502314814</v>
      </c>
    </row>
    <row r="6358" spans="1:37" ht="16.05" customHeight="1">
      <c r="A6358" s="172" t="s">
        <v>5306</v>
      </c>
      <c r="B6358" s="178">
        <v>2275</v>
      </c>
      <c r="C6358" s="179" t="s">
        <v>1181</v>
      </c>
      <c r="D6358">
        <v>4366</v>
      </c>
      <c r="E6358" s="125">
        <v>45130</v>
      </c>
      <c r="F6358" s="178">
        <v>625</v>
      </c>
      <c r="G6358" s="178" t="s">
        <v>1625</v>
      </c>
      <c r="H6358">
        <v>1054</v>
      </c>
      <c r="I6358" s="178" t="s">
        <v>1546</v>
      </c>
      <c r="J6358" s="320">
        <v>285.53936342592351</v>
      </c>
      <c r="K6358" s="178" t="s">
        <v>5322</v>
      </c>
      <c r="L6358" s="125" t="s">
        <v>1579</v>
      </c>
      <c r="M6358">
        <v>1463</v>
      </c>
      <c r="N6358" s="182">
        <v>17</v>
      </c>
      <c r="O6358">
        <v>4182</v>
      </c>
      <c r="P6358" s="132" t="s">
        <v>77</v>
      </c>
      <c r="Q6358" s="176">
        <v>120.64</v>
      </c>
      <c r="R6358" s="176">
        <v>19.3</v>
      </c>
      <c r="S6358" s="176"/>
      <c r="T6358" s="190"/>
      <c r="U6358" s="191"/>
      <c r="V6358" s="191">
        <v>139.94</v>
      </c>
      <c r="W6358">
        <v>167</v>
      </c>
      <c r="X6358" s="186" t="s">
        <v>1644</v>
      </c>
      <c r="Y6358" s="187" t="s">
        <v>55</v>
      </c>
      <c r="Z6358" s="311">
        <v>403</v>
      </c>
      <c r="AB6358" t="str">
        <f>IF(Table1[[#This Row],[TIPO2]]="costo", VLOOKUP(Table1[[#This Row],[PARTIDA PRESUPUESTAL]],'Cost Report'!G:G,1,0),"Balance")</f>
        <v>3904-003</v>
      </c>
      <c r="AD6358" s="159">
        <f>+Table1[[#This Row],[SUBTOTAL]]+Table1[[#This Row],[IVA]]-Table1[[#This Row],[RET IVA]]-Table1[[#This Row],[RET ISR]]-Table1[[#This Row],[TOTAL]]</f>
        <v>0</v>
      </c>
      <c r="AG6358" t="s">
        <v>3420</v>
      </c>
      <c r="AK6358" s="306">
        <f>IF(ISNUMBER(Table1[[#This Row],[FECHA DE RECIBIDO]]), Table1[[#This Row],[FECHA DE RECIBIDO]]-DATE(2023,8,30), "")</f>
        <v>-44882.460636574076</v>
      </c>
    </row>
    <row r="6359" spans="1:37" ht="16.05" customHeight="1">
      <c r="A6359" s="172" t="s">
        <v>5313</v>
      </c>
      <c r="B6359" s="178">
        <v>2276</v>
      </c>
      <c r="C6359" s="179" t="s">
        <v>3415</v>
      </c>
      <c r="D6359">
        <v>4367</v>
      </c>
      <c r="E6359" s="125">
        <v>11529</v>
      </c>
      <c r="F6359" s="178">
        <v>601</v>
      </c>
      <c r="G6359" s="178" t="s">
        <v>134</v>
      </c>
      <c r="H6359">
        <v>45</v>
      </c>
      <c r="I6359" s="178" t="s">
        <v>1546</v>
      </c>
      <c r="J6359" s="320">
        <v>285.76240740740468</v>
      </c>
      <c r="K6359" s="178" t="s">
        <v>5322</v>
      </c>
      <c r="L6359" s="125" t="s">
        <v>1579</v>
      </c>
      <c r="M6359">
        <v>56</v>
      </c>
      <c r="N6359" s="182">
        <v>17</v>
      </c>
      <c r="O6359">
        <v>4183</v>
      </c>
      <c r="P6359" s="132" t="s">
        <v>77</v>
      </c>
      <c r="Q6359" s="176">
        <v>1120.69</v>
      </c>
      <c r="R6359" s="176">
        <v>179.31</v>
      </c>
      <c r="S6359" s="176"/>
      <c r="T6359" s="190"/>
      <c r="U6359" s="191"/>
      <c r="V6359" s="191">
        <v>1300</v>
      </c>
      <c r="W6359">
        <v>225</v>
      </c>
      <c r="X6359" s="186" t="s">
        <v>1644</v>
      </c>
      <c r="Y6359" s="187" t="s">
        <v>55</v>
      </c>
      <c r="Z6359" s="311">
        <v>403</v>
      </c>
      <c r="AB6359" t="str">
        <f>IF(Table1[[#This Row],[TIPO2]]="costo", VLOOKUP(Table1[[#This Row],[PARTIDA PRESUPUESTAL]],'Cost Report'!G:G,1,0),"Balance")</f>
        <v>3629-006</v>
      </c>
      <c r="AD6359" s="159">
        <f>+Table1[[#This Row],[SUBTOTAL]]+Table1[[#This Row],[IVA]]-Table1[[#This Row],[RET IVA]]-Table1[[#This Row],[RET ISR]]-Table1[[#This Row],[TOTAL]]</f>
        <v>0</v>
      </c>
      <c r="AG6359" t="s">
        <v>3420</v>
      </c>
      <c r="AK6359" s="306">
        <f>IF(ISNUMBER(Table1[[#This Row],[FECHA DE RECIBIDO]]), Table1[[#This Row],[FECHA DE RECIBIDO]]-DATE(2023,8,30), "")</f>
        <v>-44882.237592592595</v>
      </c>
    </row>
    <row r="6360" spans="1:37" ht="16.05" customHeight="1">
      <c r="A6360" s="172" t="s">
        <v>5314</v>
      </c>
      <c r="B6360" s="178">
        <v>2277</v>
      </c>
      <c r="C6360" s="179" t="s">
        <v>2774</v>
      </c>
      <c r="D6360">
        <v>4368</v>
      </c>
      <c r="E6360" s="125" t="s">
        <v>3670</v>
      </c>
      <c r="F6360" s="178">
        <v>601</v>
      </c>
      <c r="G6360" s="178" t="s">
        <v>134</v>
      </c>
      <c r="H6360">
        <v>1055</v>
      </c>
      <c r="I6360" s="178" t="s">
        <v>1546</v>
      </c>
      <c r="J6360" s="320" t="s">
        <v>214</v>
      </c>
      <c r="K6360" s="178" t="s">
        <v>5322</v>
      </c>
      <c r="L6360" s="125" t="s">
        <v>1579</v>
      </c>
      <c r="M6360">
        <v>1464</v>
      </c>
      <c r="N6360" s="182">
        <v>17</v>
      </c>
      <c r="O6360">
        <v>4184</v>
      </c>
      <c r="P6360" s="132" t="s">
        <v>77</v>
      </c>
      <c r="Q6360" s="176">
        <v>318.97000000000003</v>
      </c>
      <c r="R6360" s="176">
        <v>51.04</v>
      </c>
      <c r="S6360" s="176"/>
      <c r="T6360" s="190"/>
      <c r="U6360" s="191"/>
      <c r="V6360" s="191">
        <v>370.01000000000005</v>
      </c>
      <c r="W6360">
        <v>226</v>
      </c>
      <c r="X6360" s="186" t="s">
        <v>1644</v>
      </c>
      <c r="Y6360" s="187" t="s">
        <v>55</v>
      </c>
      <c r="Z6360" s="311">
        <v>266</v>
      </c>
      <c r="AB6360" t="str">
        <f>IF(Table1[[#This Row],[TIPO2]]="costo", VLOOKUP(Table1[[#This Row],[PARTIDA PRESUPUESTAL]],'Cost Report'!G:G,1,0),"Balance")</f>
        <v>3401-042</v>
      </c>
      <c r="AD6360" s="159">
        <f>+Table1[[#This Row],[SUBTOTAL]]+Table1[[#This Row],[IVA]]-Table1[[#This Row],[RET IVA]]-Table1[[#This Row],[RET ISR]]-Table1[[#This Row],[TOTAL]]</f>
        <v>0</v>
      </c>
      <c r="AG6360" t="s">
        <v>3420</v>
      </c>
      <c r="AK6360" s="306" t="str">
        <f>IF(ISNUMBER(Table1[[#This Row],[FECHA DE RECIBIDO]]), Table1[[#This Row],[FECHA DE RECIBIDO]]-DATE(2023,8,30), "")</f>
        <v/>
      </c>
    </row>
    <row r="6361" spans="1:37" ht="16.05" customHeight="1">
      <c r="A6361" s="172" t="s">
        <v>5314</v>
      </c>
      <c r="B6361" s="178">
        <v>2277</v>
      </c>
      <c r="C6361" s="179" t="s">
        <v>2774</v>
      </c>
      <c r="D6361">
        <v>4369</v>
      </c>
      <c r="E6361" s="125" t="s">
        <v>1603</v>
      </c>
      <c r="F6361" s="178">
        <v>601</v>
      </c>
      <c r="G6361" s="178" t="s">
        <v>134</v>
      </c>
      <c r="H6361">
        <v>575</v>
      </c>
      <c r="I6361" s="178" t="s">
        <v>1546</v>
      </c>
      <c r="J6361" s="320" t="s">
        <v>214</v>
      </c>
      <c r="K6361" s="178" t="s">
        <v>5322</v>
      </c>
      <c r="L6361" s="125" t="s">
        <v>1579</v>
      </c>
      <c r="M6361">
        <v>573</v>
      </c>
      <c r="N6361" s="182">
        <v>17</v>
      </c>
      <c r="O6361">
        <v>4185</v>
      </c>
      <c r="P6361" s="132" t="s">
        <v>77</v>
      </c>
      <c r="Q6361" s="176">
        <v>178.45</v>
      </c>
      <c r="R6361" s="176">
        <v>28.55</v>
      </c>
      <c r="S6361" s="176"/>
      <c r="T6361" s="190"/>
      <c r="U6361" s="191"/>
      <c r="V6361" s="191">
        <v>207</v>
      </c>
      <c r="W6361">
        <v>226</v>
      </c>
      <c r="X6361" s="186" t="s">
        <v>1644</v>
      </c>
      <c r="Y6361" s="187" t="s">
        <v>55</v>
      </c>
      <c r="Z6361" s="311">
        <v>268</v>
      </c>
      <c r="AB6361" t="str">
        <f>IF(Table1[[#This Row],[TIPO2]]="costo", VLOOKUP(Table1[[#This Row],[PARTIDA PRESUPUESTAL]],'Cost Report'!G:G,1,0),"Balance")</f>
        <v>3401-042</v>
      </c>
      <c r="AD6361" s="159">
        <f>+Table1[[#This Row],[SUBTOTAL]]+Table1[[#This Row],[IVA]]-Table1[[#This Row],[RET IVA]]-Table1[[#This Row],[RET ISR]]-Table1[[#This Row],[TOTAL]]</f>
        <v>0</v>
      </c>
      <c r="AG6361" t="s">
        <v>3420</v>
      </c>
      <c r="AK6361" s="306" t="str">
        <f>IF(ISNUMBER(Table1[[#This Row],[FECHA DE RECIBIDO]]), Table1[[#This Row],[FECHA DE RECIBIDO]]-DATE(2023,8,30), "")</f>
        <v/>
      </c>
    </row>
    <row r="6362" spans="1:37" ht="16.05" customHeight="1">
      <c r="A6362" s="172" t="s">
        <v>5314</v>
      </c>
      <c r="B6362" s="178">
        <v>2277</v>
      </c>
      <c r="C6362" s="179" t="s">
        <v>2852</v>
      </c>
      <c r="D6362">
        <v>4370</v>
      </c>
      <c r="E6362" s="125" t="s">
        <v>1611</v>
      </c>
      <c r="F6362" s="178">
        <v>612</v>
      </c>
      <c r="G6362" s="178" t="s">
        <v>129</v>
      </c>
      <c r="H6362">
        <v>1056</v>
      </c>
      <c r="I6362" s="178" t="s">
        <v>1546</v>
      </c>
      <c r="J6362" s="320" t="s">
        <v>214</v>
      </c>
      <c r="K6362" s="178" t="s">
        <v>5322</v>
      </c>
      <c r="L6362" s="125" t="s">
        <v>1579</v>
      </c>
      <c r="M6362">
        <v>1465</v>
      </c>
      <c r="N6362" s="182">
        <v>17</v>
      </c>
      <c r="O6362">
        <v>4186</v>
      </c>
      <c r="P6362" s="132" t="s">
        <v>77</v>
      </c>
      <c r="Q6362" s="176">
        <v>1706.41</v>
      </c>
      <c r="R6362" s="176">
        <v>73.59</v>
      </c>
      <c r="S6362" s="176"/>
      <c r="T6362" s="190"/>
      <c r="U6362" s="191"/>
      <c r="V6362" s="191">
        <v>1780</v>
      </c>
      <c r="W6362">
        <v>226</v>
      </c>
      <c r="X6362" s="186" t="s">
        <v>1644</v>
      </c>
      <c r="Y6362" s="187" t="s">
        <v>55</v>
      </c>
      <c r="Z6362" s="311">
        <v>268</v>
      </c>
      <c r="AB6362" t="str">
        <f>IF(Table1[[#This Row],[TIPO2]]="costo", VLOOKUP(Table1[[#This Row],[PARTIDA PRESUPUESTAL]],'Cost Report'!G:G,1,0),"Balance")</f>
        <v>3498-003</v>
      </c>
      <c r="AD6362" s="159">
        <f>+Table1[[#This Row],[SUBTOTAL]]+Table1[[#This Row],[IVA]]-Table1[[#This Row],[RET IVA]]-Table1[[#This Row],[RET ISR]]-Table1[[#This Row],[TOTAL]]</f>
        <v>0</v>
      </c>
      <c r="AG6362" t="s">
        <v>3420</v>
      </c>
      <c r="AK6362" s="306" t="str">
        <f>IF(ISNUMBER(Table1[[#This Row],[FECHA DE RECIBIDO]]), Table1[[#This Row],[FECHA DE RECIBIDO]]-DATE(2023,8,30), "")</f>
        <v/>
      </c>
    </row>
    <row r="6363" spans="1:37" ht="16.05" customHeight="1">
      <c r="A6363" s="172" t="s">
        <v>5314</v>
      </c>
      <c r="B6363" s="178">
        <v>2277</v>
      </c>
      <c r="C6363" s="179" t="s">
        <v>2774</v>
      </c>
      <c r="D6363">
        <v>4371</v>
      </c>
      <c r="E6363" s="125" t="s">
        <v>3356</v>
      </c>
      <c r="F6363" s="178">
        <v>601</v>
      </c>
      <c r="G6363" s="178" t="s">
        <v>134</v>
      </c>
      <c r="H6363">
        <v>91</v>
      </c>
      <c r="I6363" s="178" t="s">
        <v>1546</v>
      </c>
      <c r="J6363" s="320" t="s">
        <v>214</v>
      </c>
      <c r="K6363" s="178" t="s">
        <v>5322</v>
      </c>
      <c r="L6363" s="125" t="s">
        <v>1579</v>
      </c>
      <c r="M6363">
        <v>122</v>
      </c>
      <c r="N6363" s="182">
        <v>17</v>
      </c>
      <c r="O6363">
        <v>4187</v>
      </c>
      <c r="P6363" s="132" t="s">
        <v>77</v>
      </c>
      <c r="Q6363" s="176">
        <v>53.02</v>
      </c>
      <c r="R6363" s="176">
        <v>8.48</v>
      </c>
      <c r="S6363" s="176"/>
      <c r="T6363" s="190"/>
      <c r="U6363" s="191"/>
      <c r="V6363" s="191">
        <v>61.5</v>
      </c>
      <c r="W6363">
        <v>226</v>
      </c>
      <c r="X6363" s="186" t="s">
        <v>1644</v>
      </c>
      <c r="Y6363" s="187" t="s">
        <v>55</v>
      </c>
      <c r="Z6363" s="311">
        <v>272</v>
      </c>
      <c r="AB6363" t="str">
        <f>IF(Table1[[#This Row],[TIPO2]]="costo", VLOOKUP(Table1[[#This Row],[PARTIDA PRESUPUESTAL]],'Cost Report'!G:G,1,0),"Balance")</f>
        <v>3401-042</v>
      </c>
      <c r="AD6363" s="159">
        <f>+Table1[[#This Row],[SUBTOTAL]]+Table1[[#This Row],[IVA]]-Table1[[#This Row],[RET IVA]]-Table1[[#This Row],[RET ISR]]-Table1[[#This Row],[TOTAL]]</f>
        <v>0</v>
      </c>
      <c r="AG6363" t="s">
        <v>3420</v>
      </c>
      <c r="AK6363" s="306" t="str">
        <f>IF(ISNUMBER(Table1[[#This Row],[FECHA DE RECIBIDO]]), Table1[[#This Row],[FECHA DE RECIBIDO]]-DATE(2023,8,30), "")</f>
        <v/>
      </c>
    </row>
    <row r="6364" spans="1:37" ht="16.05" customHeight="1">
      <c r="A6364" s="172" t="s">
        <v>5314</v>
      </c>
      <c r="B6364" s="178">
        <v>2277</v>
      </c>
      <c r="C6364" s="179" t="s">
        <v>2774</v>
      </c>
      <c r="D6364">
        <v>4372</v>
      </c>
      <c r="E6364" s="125" t="s">
        <v>3356</v>
      </c>
      <c r="F6364" s="178">
        <v>601</v>
      </c>
      <c r="G6364" s="178" t="s">
        <v>134</v>
      </c>
      <c r="H6364">
        <v>91</v>
      </c>
      <c r="I6364" s="178" t="s">
        <v>1546</v>
      </c>
      <c r="J6364" s="320" t="s">
        <v>214</v>
      </c>
      <c r="K6364" s="178" t="s">
        <v>5322</v>
      </c>
      <c r="L6364" s="125" t="s">
        <v>1579</v>
      </c>
      <c r="M6364">
        <v>122</v>
      </c>
      <c r="N6364" s="182">
        <v>17</v>
      </c>
      <c r="O6364">
        <v>4188</v>
      </c>
      <c r="P6364" s="132" t="s">
        <v>77</v>
      </c>
      <c r="Q6364" s="176">
        <v>23.71</v>
      </c>
      <c r="R6364" s="176">
        <v>1.79</v>
      </c>
      <c r="S6364" s="176"/>
      <c r="T6364" s="190"/>
      <c r="U6364" s="191"/>
      <c r="V6364" s="191">
        <v>25.5</v>
      </c>
      <c r="W6364">
        <v>226</v>
      </c>
      <c r="X6364" s="186" t="s">
        <v>1644</v>
      </c>
      <c r="Y6364" s="187" t="s">
        <v>55</v>
      </c>
      <c r="Z6364" s="311">
        <v>272</v>
      </c>
      <c r="AB6364" t="str">
        <f>IF(Table1[[#This Row],[TIPO2]]="costo", VLOOKUP(Table1[[#This Row],[PARTIDA PRESUPUESTAL]],'Cost Report'!G:G,1,0),"Balance")</f>
        <v>3401-042</v>
      </c>
      <c r="AD6364" s="159">
        <f>+Table1[[#This Row],[SUBTOTAL]]+Table1[[#This Row],[IVA]]-Table1[[#This Row],[RET IVA]]-Table1[[#This Row],[RET ISR]]-Table1[[#This Row],[TOTAL]]</f>
        <v>0</v>
      </c>
      <c r="AG6364" t="s">
        <v>3420</v>
      </c>
      <c r="AK6364" s="306" t="str">
        <f>IF(ISNUMBER(Table1[[#This Row],[FECHA DE RECIBIDO]]), Table1[[#This Row],[FECHA DE RECIBIDO]]-DATE(2023,8,30), "")</f>
        <v/>
      </c>
    </row>
    <row r="6365" spans="1:37" ht="16.05" customHeight="1">
      <c r="A6365" s="172" t="s">
        <v>5314</v>
      </c>
      <c r="B6365" s="178">
        <v>2277</v>
      </c>
      <c r="C6365" s="179" t="s">
        <v>2774</v>
      </c>
      <c r="D6365">
        <v>4373</v>
      </c>
      <c r="E6365" s="125" t="s">
        <v>3356</v>
      </c>
      <c r="F6365" s="178">
        <v>601</v>
      </c>
      <c r="G6365" s="178" t="s">
        <v>134</v>
      </c>
      <c r="H6365">
        <v>91</v>
      </c>
      <c r="I6365" s="178" t="s">
        <v>1546</v>
      </c>
      <c r="J6365" s="320" t="s">
        <v>214</v>
      </c>
      <c r="K6365" s="178" t="s">
        <v>5322</v>
      </c>
      <c r="L6365" s="125" t="s">
        <v>1579</v>
      </c>
      <c r="M6365">
        <v>122</v>
      </c>
      <c r="N6365" s="182">
        <v>17</v>
      </c>
      <c r="O6365">
        <v>4187</v>
      </c>
      <c r="P6365" s="132" t="s">
        <v>77</v>
      </c>
      <c r="Q6365" s="176">
        <v>53.02</v>
      </c>
      <c r="R6365" s="176">
        <v>8.48</v>
      </c>
      <c r="S6365" s="176"/>
      <c r="T6365" s="190"/>
      <c r="U6365" s="191"/>
      <c r="V6365" s="191">
        <v>61.5</v>
      </c>
      <c r="W6365">
        <v>226</v>
      </c>
      <c r="X6365" s="186" t="s">
        <v>1644</v>
      </c>
      <c r="Y6365" s="187" t="s">
        <v>55</v>
      </c>
      <c r="Z6365" s="311">
        <v>272</v>
      </c>
      <c r="AB6365" t="str">
        <f>IF(Table1[[#This Row],[TIPO2]]="costo", VLOOKUP(Table1[[#This Row],[PARTIDA PRESUPUESTAL]],'Cost Report'!G:G,1,0),"Balance")</f>
        <v>3401-042</v>
      </c>
      <c r="AD6365" s="159">
        <f>+Table1[[#This Row],[SUBTOTAL]]+Table1[[#This Row],[IVA]]-Table1[[#This Row],[RET IVA]]-Table1[[#This Row],[RET ISR]]-Table1[[#This Row],[TOTAL]]</f>
        <v>0</v>
      </c>
      <c r="AG6365" t="s">
        <v>3420</v>
      </c>
      <c r="AK6365" s="306" t="str">
        <f>IF(ISNUMBER(Table1[[#This Row],[FECHA DE RECIBIDO]]), Table1[[#This Row],[FECHA DE RECIBIDO]]-DATE(2023,8,30), "")</f>
        <v/>
      </c>
    </row>
    <row r="6366" spans="1:37" ht="16.05" customHeight="1">
      <c r="A6366" s="172" t="s">
        <v>5314</v>
      </c>
      <c r="B6366" s="178">
        <v>2277</v>
      </c>
      <c r="C6366" s="179" t="s">
        <v>2851</v>
      </c>
      <c r="D6366">
        <v>4374</v>
      </c>
      <c r="E6366" s="125" t="s">
        <v>3272</v>
      </c>
      <c r="F6366" s="178">
        <v>601</v>
      </c>
      <c r="G6366" s="178" t="s">
        <v>134</v>
      </c>
      <c r="H6366">
        <v>286</v>
      </c>
      <c r="I6366" s="178" t="s">
        <v>1546</v>
      </c>
      <c r="J6366" s="320" t="s">
        <v>214</v>
      </c>
      <c r="K6366" s="178" t="s">
        <v>5322</v>
      </c>
      <c r="L6366" s="125" t="s">
        <v>1579</v>
      </c>
      <c r="M6366">
        <v>380</v>
      </c>
      <c r="N6366" s="182">
        <v>17</v>
      </c>
      <c r="O6366">
        <v>4189</v>
      </c>
      <c r="P6366" s="132" t="s">
        <v>77</v>
      </c>
      <c r="Q6366" s="176">
        <v>58.62</v>
      </c>
      <c r="R6366" s="176">
        <v>9.3800000000000008</v>
      </c>
      <c r="S6366" s="176"/>
      <c r="T6366" s="190"/>
      <c r="U6366" s="191"/>
      <c r="V6366" s="191">
        <v>68</v>
      </c>
      <c r="W6366">
        <v>226</v>
      </c>
      <c r="X6366" s="186" t="s">
        <v>1644</v>
      </c>
      <c r="Y6366" s="187" t="s">
        <v>55</v>
      </c>
      <c r="Z6366" s="311">
        <v>272</v>
      </c>
      <c r="AB6366" t="str">
        <f>IF(Table1[[#This Row],[TIPO2]]="costo", VLOOKUP(Table1[[#This Row],[PARTIDA PRESUPUESTAL]],'Cost Report'!G:G,1,0),"Balance")</f>
        <v>3485-003</v>
      </c>
      <c r="AD6366" s="159">
        <f>+Table1[[#This Row],[SUBTOTAL]]+Table1[[#This Row],[IVA]]-Table1[[#This Row],[RET IVA]]-Table1[[#This Row],[RET ISR]]-Table1[[#This Row],[TOTAL]]</f>
        <v>0</v>
      </c>
      <c r="AG6366" t="s">
        <v>3420</v>
      </c>
      <c r="AK6366" s="306" t="str">
        <f>IF(ISNUMBER(Table1[[#This Row],[FECHA DE RECIBIDO]]), Table1[[#This Row],[FECHA DE RECIBIDO]]-DATE(2023,8,30), "")</f>
        <v/>
      </c>
    </row>
    <row r="6367" spans="1:37" ht="16.05" customHeight="1">
      <c r="A6367" s="172" t="s">
        <v>5314</v>
      </c>
      <c r="B6367" s="178">
        <v>2277</v>
      </c>
      <c r="C6367" s="179" t="s">
        <v>2852</v>
      </c>
      <c r="D6367">
        <v>4375</v>
      </c>
      <c r="E6367" s="125" t="s">
        <v>3272</v>
      </c>
      <c r="F6367" s="178">
        <v>601</v>
      </c>
      <c r="G6367" s="178" t="s">
        <v>134</v>
      </c>
      <c r="H6367">
        <v>286</v>
      </c>
      <c r="I6367" s="178" t="s">
        <v>1546</v>
      </c>
      <c r="J6367" s="320" t="s">
        <v>214</v>
      </c>
      <c r="K6367" s="178" t="s">
        <v>5322</v>
      </c>
      <c r="L6367" s="125" t="s">
        <v>1579</v>
      </c>
      <c r="M6367">
        <v>380</v>
      </c>
      <c r="N6367" s="182">
        <v>17</v>
      </c>
      <c r="O6367">
        <v>4190</v>
      </c>
      <c r="P6367" s="132" t="s">
        <v>77</v>
      </c>
      <c r="Q6367" s="176">
        <v>103.45</v>
      </c>
      <c r="R6367" s="176">
        <v>16.55</v>
      </c>
      <c r="S6367" s="176"/>
      <c r="T6367" s="190"/>
      <c r="U6367" s="191"/>
      <c r="V6367" s="191">
        <v>120</v>
      </c>
      <c r="W6367">
        <v>226</v>
      </c>
      <c r="X6367" s="186" t="s">
        <v>1644</v>
      </c>
      <c r="Y6367" s="187" t="s">
        <v>55</v>
      </c>
      <c r="Z6367" s="311">
        <v>272</v>
      </c>
      <c r="AB6367" t="str">
        <f>IF(Table1[[#This Row],[TIPO2]]="costo", VLOOKUP(Table1[[#This Row],[PARTIDA PRESUPUESTAL]],'Cost Report'!G:G,1,0),"Balance")</f>
        <v>3498-003</v>
      </c>
      <c r="AD6367" s="159">
        <f>+Table1[[#This Row],[SUBTOTAL]]+Table1[[#This Row],[IVA]]-Table1[[#This Row],[RET IVA]]-Table1[[#This Row],[RET ISR]]-Table1[[#This Row],[TOTAL]]</f>
        <v>0</v>
      </c>
      <c r="AG6367" t="s">
        <v>3420</v>
      </c>
      <c r="AK6367" s="306" t="str">
        <f>IF(ISNUMBER(Table1[[#This Row],[FECHA DE RECIBIDO]]), Table1[[#This Row],[FECHA DE RECIBIDO]]-DATE(2023,8,30), "")</f>
        <v/>
      </c>
    </row>
    <row r="6368" spans="1:37" ht="16.05" customHeight="1">
      <c r="A6368" s="172" t="s">
        <v>5314</v>
      </c>
      <c r="B6368" s="178">
        <v>2277</v>
      </c>
      <c r="C6368" s="179" t="s">
        <v>2852</v>
      </c>
      <c r="D6368">
        <v>4376</v>
      </c>
      <c r="E6368" s="125" t="s">
        <v>3272</v>
      </c>
      <c r="F6368" s="178">
        <v>601</v>
      </c>
      <c r="G6368" s="178" t="s">
        <v>134</v>
      </c>
      <c r="H6368">
        <v>286</v>
      </c>
      <c r="I6368" s="178" t="s">
        <v>1546</v>
      </c>
      <c r="J6368" s="320" t="s">
        <v>214</v>
      </c>
      <c r="K6368" s="178" t="s">
        <v>5322</v>
      </c>
      <c r="L6368" s="125" t="s">
        <v>1579</v>
      </c>
      <c r="M6368">
        <v>380</v>
      </c>
      <c r="N6368" s="182">
        <v>17</v>
      </c>
      <c r="O6368">
        <v>4191</v>
      </c>
      <c r="P6368" s="132" t="s">
        <v>77</v>
      </c>
      <c r="Q6368" s="176">
        <v>248.28</v>
      </c>
      <c r="R6368" s="176">
        <v>39.729999999999997</v>
      </c>
      <c r="S6368" s="176"/>
      <c r="T6368" s="190"/>
      <c r="U6368" s="191"/>
      <c r="V6368" s="191">
        <v>288.01</v>
      </c>
      <c r="W6368">
        <v>226</v>
      </c>
      <c r="X6368" s="186" t="s">
        <v>1644</v>
      </c>
      <c r="Y6368" s="187" t="s">
        <v>55</v>
      </c>
      <c r="Z6368" s="311">
        <v>272</v>
      </c>
      <c r="AB6368" t="str">
        <f>IF(Table1[[#This Row],[TIPO2]]="costo", VLOOKUP(Table1[[#This Row],[PARTIDA PRESUPUESTAL]],'Cost Report'!G:G,1,0),"Balance")</f>
        <v>3498-003</v>
      </c>
      <c r="AD6368" s="159">
        <f>+Table1[[#This Row],[SUBTOTAL]]+Table1[[#This Row],[IVA]]-Table1[[#This Row],[RET IVA]]-Table1[[#This Row],[RET ISR]]-Table1[[#This Row],[TOTAL]]</f>
        <v>0</v>
      </c>
      <c r="AG6368" t="s">
        <v>3420</v>
      </c>
      <c r="AK6368" s="306" t="str">
        <f>IF(ISNUMBER(Table1[[#This Row],[FECHA DE RECIBIDO]]), Table1[[#This Row],[FECHA DE RECIBIDO]]-DATE(2023,8,30), "")</f>
        <v/>
      </c>
    </row>
    <row r="6369" spans="1:37" ht="16.05" customHeight="1">
      <c r="A6369" s="172" t="s">
        <v>5314</v>
      </c>
      <c r="B6369" s="178">
        <v>2277</v>
      </c>
      <c r="C6369" s="179" t="s">
        <v>2822</v>
      </c>
      <c r="D6369">
        <v>4377</v>
      </c>
      <c r="E6369" s="125" t="s">
        <v>1998</v>
      </c>
      <c r="F6369" s="178">
        <v>601</v>
      </c>
      <c r="G6369" s="178" t="s">
        <v>134</v>
      </c>
      <c r="H6369">
        <v>1057</v>
      </c>
      <c r="I6369" s="178" t="s">
        <v>1546</v>
      </c>
      <c r="J6369" s="320" t="s">
        <v>214</v>
      </c>
      <c r="K6369" s="178" t="s">
        <v>5322</v>
      </c>
      <c r="L6369" s="125" t="s">
        <v>1579</v>
      </c>
      <c r="M6369">
        <v>1466</v>
      </c>
      <c r="N6369" s="182">
        <v>17</v>
      </c>
      <c r="O6369">
        <v>4192</v>
      </c>
      <c r="P6369" s="132" t="s">
        <v>77</v>
      </c>
      <c r="Q6369" s="176">
        <v>2155.17</v>
      </c>
      <c r="R6369" s="176">
        <v>344.83</v>
      </c>
      <c r="S6369" s="176"/>
      <c r="T6369" s="190"/>
      <c r="U6369" s="191"/>
      <c r="V6369" s="191">
        <v>2500</v>
      </c>
      <c r="W6369">
        <v>226</v>
      </c>
      <c r="X6369" s="186" t="s">
        <v>1644</v>
      </c>
      <c r="Y6369" s="187" t="s">
        <v>55</v>
      </c>
      <c r="Z6369" s="311">
        <v>275</v>
      </c>
      <c r="AB6369" t="str">
        <f>IF(Table1[[#This Row],[TIPO2]]="costo", VLOOKUP(Table1[[#This Row],[PARTIDA PRESUPUESTAL]],'Cost Report'!G:G,1,0),"Balance")</f>
        <v>3412-127</v>
      </c>
      <c r="AD6369" s="159">
        <f>+Table1[[#This Row],[SUBTOTAL]]+Table1[[#This Row],[IVA]]-Table1[[#This Row],[RET IVA]]-Table1[[#This Row],[RET ISR]]-Table1[[#This Row],[TOTAL]]</f>
        <v>0</v>
      </c>
      <c r="AG6369" t="s">
        <v>3420</v>
      </c>
      <c r="AK6369" s="306" t="str">
        <f>IF(ISNUMBER(Table1[[#This Row],[FECHA DE RECIBIDO]]), Table1[[#This Row],[FECHA DE RECIBIDO]]-DATE(2023,8,30), "")</f>
        <v/>
      </c>
    </row>
    <row r="6370" spans="1:37" ht="16.05" customHeight="1">
      <c r="A6370" s="172" t="s">
        <v>5314</v>
      </c>
      <c r="B6370" s="178">
        <v>2277</v>
      </c>
      <c r="C6370" s="179" t="s">
        <v>2774</v>
      </c>
      <c r="D6370">
        <v>3623</v>
      </c>
      <c r="E6370" s="125"/>
      <c r="F6370" s="178"/>
      <c r="G6370" s="178"/>
      <c r="H6370"/>
      <c r="I6370" s="178"/>
      <c r="J6370" s="320" t="s">
        <v>214</v>
      </c>
      <c r="K6370" s="178" t="s">
        <v>5322</v>
      </c>
      <c r="L6370" s="125" t="s">
        <v>1579</v>
      </c>
      <c r="M6370">
        <v>1467</v>
      </c>
      <c r="N6370" s="182">
        <v>17</v>
      </c>
      <c r="O6370">
        <v>3016</v>
      </c>
      <c r="P6370" s="132" t="s">
        <v>77</v>
      </c>
      <c r="Q6370" s="176">
        <v>34.22</v>
      </c>
      <c r="R6370" s="176"/>
      <c r="S6370" s="176"/>
      <c r="T6370" s="190"/>
      <c r="U6370" s="191"/>
      <c r="V6370" s="191">
        <v>34.22</v>
      </c>
      <c r="W6370">
        <v>226</v>
      </c>
      <c r="X6370" s="186" t="s">
        <v>1644</v>
      </c>
      <c r="Y6370" s="187" t="s">
        <v>55</v>
      </c>
      <c r="Z6370" s="311">
        <v>210</v>
      </c>
      <c r="AB6370" t="str">
        <f>IF(Table1[[#This Row],[TIPO2]]="costo", VLOOKUP(Table1[[#This Row],[PARTIDA PRESUPUESTAL]],'Cost Report'!G:G,1,0),"Balance")</f>
        <v>3401-042</v>
      </c>
      <c r="AD6370" s="159">
        <f>+Table1[[#This Row],[SUBTOTAL]]+Table1[[#This Row],[IVA]]-Table1[[#This Row],[RET IVA]]-Table1[[#This Row],[RET ISR]]-Table1[[#This Row],[TOTAL]]</f>
        <v>0</v>
      </c>
      <c r="AG6370" t="s">
        <v>3420</v>
      </c>
      <c r="AK6370" s="306" t="str">
        <f>IF(ISNUMBER(Table1[[#This Row],[FECHA DE RECIBIDO]]), Table1[[#This Row],[FECHA DE RECIBIDO]]-DATE(2023,8,30), "")</f>
        <v/>
      </c>
    </row>
    <row r="6371" spans="1:37" ht="16.05" customHeight="1">
      <c r="A6371" s="172" t="s">
        <v>5314</v>
      </c>
      <c r="B6371" s="178">
        <v>2277</v>
      </c>
      <c r="C6371" s="179" t="s">
        <v>2774</v>
      </c>
      <c r="D6371">
        <v>3623</v>
      </c>
      <c r="E6371" s="125"/>
      <c r="F6371" s="178"/>
      <c r="G6371" s="178"/>
      <c r="H6371"/>
      <c r="I6371" s="178"/>
      <c r="J6371" s="320" t="s">
        <v>214</v>
      </c>
      <c r="K6371" s="178" t="s">
        <v>5322</v>
      </c>
      <c r="L6371" s="125" t="s">
        <v>1579</v>
      </c>
      <c r="M6371">
        <v>1468</v>
      </c>
      <c r="N6371" s="182">
        <v>17</v>
      </c>
      <c r="O6371">
        <v>4193</v>
      </c>
      <c r="P6371" s="132" t="s">
        <v>77</v>
      </c>
      <c r="Q6371" s="176">
        <v>328</v>
      </c>
      <c r="R6371" s="176"/>
      <c r="S6371" s="176"/>
      <c r="T6371" s="190"/>
      <c r="U6371" s="191"/>
      <c r="V6371" s="191">
        <v>328</v>
      </c>
      <c r="W6371">
        <v>226</v>
      </c>
      <c r="X6371" s="186" t="s">
        <v>1644</v>
      </c>
      <c r="Y6371" s="187" t="s">
        <v>55</v>
      </c>
      <c r="Z6371" s="311">
        <v>210</v>
      </c>
      <c r="AB6371" t="str">
        <f>IF(Table1[[#This Row],[TIPO2]]="costo", VLOOKUP(Table1[[#This Row],[PARTIDA PRESUPUESTAL]],'Cost Report'!G:G,1,0),"Balance")</f>
        <v>3401-042</v>
      </c>
      <c r="AD6371" s="159">
        <f>+Table1[[#This Row],[SUBTOTAL]]+Table1[[#This Row],[IVA]]-Table1[[#This Row],[RET IVA]]-Table1[[#This Row],[RET ISR]]-Table1[[#This Row],[TOTAL]]</f>
        <v>0</v>
      </c>
      <c r="AG6371" t="s">
        <v>3420</v>
      </c>
      <c r="AK6371" s="306" t="str">
        <f>IF(ISNUMBER(Table1[[#This Row],[FECHA DE RECIBIDO]]), Table1[[#This Row],[FECHA DE RECIBIDO]]-DATE(2023,8,30), "")</f>
        <v/>
      </c>
    </row>
    <row r="6372" spans="1:37" ht="16.05" customHeight="1">
      <c r="A6372" s="172" t="s">
        <v>5314</v>
      </c>
      <c r="B6372" s="178">
        <v>2277</v>
      </c>
      <c r="C6372" s="179" t="s">
        <v>2774</v>
      </c>
      <c r="D6372">
        <v>3623</v>
      </c>
      <c r="E6372" s="125"/>
      <c r="F6372" s="178"/>
      <c r="G6372" s="178"/>
      <c r="H6372"/>
      <c r="I6372" s="178"/>
      <c r="J6372" s="320" t="s">
        <v>214</v>
      </c>
      <c r="K6372" s="178" t="s">
        <v>5322</v>
      </c>
      <c r="L6372" s="125" t="s">
        <v>1579</v>
      </c>
      <c r="M6372">
        <v>1469</v>
      </c>
      <c r="N6372" s="182">
        <v>17</v>
      </c>
      <c r="O6372">
        <v>1573</v>
      </c>
      <c r="P6372" s="132" t="s">
        <v>77</v>
      </c>
      <c r="Q6372" s="176">
        <v>34.799999999999997</v>
      </c>
      <c r="R6372" s="176"/>
      <c r="S6372" s="176"/>
      <c r="T6372" s="190"/>
      <c r="U6372" s="191"/>
      <c r="V6372" s="191">
        <v>34.799999999999997</v>
      </c>
      <c r="W6372">
        <v>226</v>
      </c>
      <c r="X6372" s="186" t="s">
        <v>1644</v>
      </c>
      <c r="Y6372" s="187" t="s">
        <v>55</v>
      </c>
      <c r="Z6372" s="311">
        <v>218</v>
      </c>
      <c r="AB6372" t="str">
        <f>IF(Table1[[#This Row],[TIPO2]]="costo", VLOOKUP(Table1[[#This Row],[PARTIDA PRESUPUESTAL]],'Cost Report'!G:G,1,0),"Balance")</f>
        <v>3401-042</v>
      </c>
      <c r="AD6372" s="159">
        <f>+Table1[[#This Row],[SUBTOTAL]]+Table1[[#This Row],[IVA]]-Table1[[#This Row],[RET IVA]]-Table1[[#This Row],[RET ISR]]-Table1[[#This Row],[TOTAL]]</f>
        <v>0</v>
      </c>
      <c r="AG6372" t="s">
        <v>3420</v>
      </c>
      <c r="AK6372" s="306" t="str">
        <f>IF(ISNUMBER(Table1[[#This Row],[FECHA DE RECIBIDO]]), Table1[[#This Row],[FECHA DE RECIBIDO]]-DATE(2023,8,30), "")</f>
        <v/>
      </c>
    </row>
    <row r="6373" spans="1:37" ht="16.05" customHeight="1">
      <c r="A6373" s="172" t="s">
        <v>5314</v>
      </c>
      <c r="B6373" s="178">
        <v>2277</v>
      </c>
      <c r="C6373" s="179" t="s">
        <v>2774</v>
      </c>
      <c r="D6373">
        <v>3623</v>
      </c>
      <c r="E6373" s="125"/>
      <c r="F6373" s="178"/>
      <c r="G6373" s="178"/>
      <c r="H6373"/>
      <c r="I6373" s="178"/>
      <c r="J6373" s="320" t="s">
        <v>214</v>
      </c>
      <c r="K6373" s="178" t="s">
        <v>5322</v>
      </c>
      <c r="L6373" s="125" t="s">
        <v>1579</v>
      </c>
      <c r="M6373">
        <v>1469</v>
      </c>
      <c r="N6373" s="182">
        <v>17</v>
      </c>
      <c r="O6373">
        <v>1573</v>
      </c>
      <c r="P6373" s="132" t="s">
        <v>77</v>
      </c>
      <c r="Q6373" s="176">
        <v>34.799999999999997</v>
      </c>
      <c r="R6373" s="176"/>
      <c r="S6373" s="176"/>
      <c r="T6373" s="190"/>
      <c r="U6373" s="191"/>
      <c r="V6373" s="191">
        <v>34.799999999999997</v>
      </c>
      <c r="W6373">
        <v>226</v>
      </c>
      <c r="X6373" s="186" t="s">
        <v>1644</v>
      </c>
      <c r="Y6373" s="187" t="s">
        <v>55</v>
      </c>
      <c r="Z6373" s="311">
        <v>266</v>
      </c>
      <c r="AB6373" t="str">
        <f>IF(Table1[[#This Row],[TIPO2]]="costo", VLOOKUP(Table1[[#This Row],[PARTIDA PRESUPUESTAL]],'Cost Report'!G:G,1,0),"Balance")</f>
        <v>3401-042</v>
      </c>
      <c r="AD6373" s="159">
        <f>+Table1[[#This Row],[SUBTOTAL]]+Table1[[#This Row],[IVA]]-Table1[[#This Row],[RET IVA]]-Table1[[#This Row],[RET ISR]]-Table1[[#This Row],[TOTAL]]</f>
        <v>0</v>
      </c>
      <c r="AG6373" t="s">
        <v>3420</v>
      </c>
      <c r="AK6373" s="306" t="str">
        <f>IF(ISNUMBER(Table1[[#This Row],[FECHA DE RECIBIDO]]), Table1[[#This Row],[FECHA DE RECIBIDO]]-DATE(2023,8,30), "")</f>
        <v/>
      </c>
    </row>
    <row r="6374" spans="1:37" ht="16.05" customHeight="1">
      <c r="A6374" s="172" t="s">
        <v>5314</v>
      </c>
      <c r="B6374" s="178">
        <v>2277</v>
      </c>
      <c r="C6374" s="179" t="s">
        <v>2774</v>
      </c>
      <c r="D6374">
        <v>3623</v>
      </c>
      <c r="E6374" s="125"/>
      <c r="F6374" s="178"/>
      <c r="G6374" s="178"/>
      <c r="H6374"/>
      <c r="I6374" s="178"/>
      <c r="J6374" s="320" t="s">
        <v>214</v>
      </c>
      <c r="K6374" s="178" t="s">
        <v>5322</v>
      </c>
      <c r="L6374" s="125" t="s">
        <v>1579</v>
      </c>
      <c r="M6374">
        <v>1470</v>
      </c>
      <c r="N6374" s="182">
        <v>17</v>
      </c>
      <c r="O6374">
        <v>1573</v>
      </c>
      <c r="P6374" s="132" t="s">
        <v>77</v>
      </c>
      <c r="Q6374" s="176">
        <v>30.74</v>
      </c>
      <c r="R6374" s="176"/>
      <c r="S6374" s="176"/>
      <c r="T6374" s="190"/>
      <c r="U6374" s="191"/>
      <c r="V6374" s="191">
        <v>30.74</v>
      </c>
      <c r="W6374">
        <v>226</v>
      </c>
      <c r="X6374" s="186" t="s">
        <v>1644</v>
      </c>
      <c r="Y6374" s="187" t="s">
        <v>55</v>
      </c>
      <c r="Z6374" s="311">
        <v>272</v>
      </c>
      <c r="AB6374" t="str">
        <f>IF(Table1[[#This Row],[TIPO2]]="costo", VLOOKUP(Table1[[#This Row],[PARTIDA PRESUPUESTAL]],'Cost Report'!G:G,1,0),"Balance")</f>
        <v>3401-042</v>
      </c>
      <c r="AD6374" s="159">
        <f>+Table1[[#This Row],[SUBTOTAL]]+Table1[[#This Row],[IVA]]-Table1[[#This Row],[RET IVA]]-Table1[[#This Row],[RET ISR]]-Table1[[#This Row],[TOTAL]]</f>
        <v>0</v>
      </c>
      <c r="AG6374" t="s">
        <v>3420</v>
      </c>
      <c r="AK6374" s="306" t="str">
        <f>IF(ISNUMBER(Table1[[#This Row],[FECHA DE RECIBIDO]]), Table1[[#This Row],[FECHA DE RECIBIDO]]-DATE(2023,8,30), "")</f>
        <v/>
      </c>
    </row>
    <row r="6375" spans="1:37" ht="16.05" customHeight="1">
      <c r="A6375" s="172" t="s">
        <v>5315</v>
      </c>
      <c r="B6375" s="178">
        <v>2278</v>
      </c>
      <c r="C6375" s="179" t="s">
        <v>2852</v>
      </c>
      <c r="D6375">
        <v>4378</v>
      </c>
      <c r="E6375" s="125" t="s">
        <v>4203</v>
      </c>
      <c r="F6375" s="178">
        <v>612</v>
      </c>
      <c r="G6375" s="178" t="s">
        <v>129</v>
      </c>
      <c r="H6375">
        <v>1058</v>
      </c>
      <c r="I6375" s="178" t="s">
        <v>1546</v>
      </c>
      <c r="J6375" s="320" t="s">
        <v>214</v>
      </c>
      <c r="K6375" s="178" t="s">
        <v>5322</v>
      </c>
      <c r="L6375" s="125" t="s">
        <v>1579</v>
      </c>
      <c r="M6375">
        <v>1471</v>
      </c>
      <c r="N6375" s="182">
        <v>17</v>
      </c>
      <c r="O6375">
        <v>4194</v>
      </c>
      <c r="P6375" s="132" t="s">
        <v>77</v>
      </c>
      <c r="Q6375" s="176">
        <v>528.86</v>
      </c>
      <c r="R6375" s="176">
        <v>84.62</v>
      </c>
      <c r="S6375" s="176"/>
      <c r="T6375" s="190"/>
      <c r="U6375" s="191"/>
      <c r="V6375" s="191">
        <v>613.48</v>
      </c>
      <c r="W6375">
        <v>438</v>
      </c>
      <c r="X6375" s="186" t="s">
        <v>1644</v>
      </c>
      <c r="Y6375" s="187" t="s">
        <v>55</v>
      </c>
      <c r="Z6375" s="311">
        <v>258</v>
      </c>
      <c r="AB6375" t="str">
        <f>IF(Table1[[#This Row],[TIPO2]]="costo", VLOOKUP(Table1[[#This Row],[PARTIDA PRESUPUESTAL]],'Cost Report'!G:G,1,0),"Balance")</f>
        <v>3498-003</v>
      </c>
      <c r="AD6375" s="159">
        <f>+Table1[[#This Row],[SUBTOTAL]]+Table1[[#This Row],[IVA]]-Table1[[#This Row],[RET IVA]]-Table1[[#This Row],[RET ISR]]-Table1[[#This Row],[TOTAL]]</f>
        <v>0</v>
      </c>
      <c r="AG6375" t="s">
        <v>3420</v>
      </c>
      <c r="AK6375" s="306" t="str">
        <f>IF(ISNUMBER(Table1[[#This Row],[FECHA DE RECIBIDO]]), Table1[[#This Row],[FECHA DE RECIBIDO]]-DATE(2023,8,30), "")</f>
        <v/>
      </c>
    </row>
    <row r="6376" spans="1:37" ht="16.05" customHeight="1">
      <c r="A6376" s="172" t="s">
        <v>5315</v>
      </c>
      <c r="B6376" s="178">
        <v>2278</v>
      </c>
      <c r="C6376" s="179" t="s">
        <v>2852</v>
      </c>
      <c r="D6376">
        <v>4379</v>
      </c>
      <c r="E6376" s="125" t="s">
        <v>3272</v>
      </c>
      <c r="F6376" s="178">
        <v>601</v>
      </c>
      <c r="G6376" s="178" t="s">
        <v>134</v>
      </c>
      <c r="H6376">
        <v>286</v>
      </c>
      <c r="I6376" s="178" t="s">
        <v>1546</v>
      </c>
      <c r="J6376" s="320" t="s">
        <v>214</v>
      </c>
      <c r="K6376" s="178" t="s">
        <v>5322</v>
      </c>
      <c r="L6376" s="125" t="s">
        <v>1579</v>
      </c>
      <c r="M6376">
        <v>380</v>
      </c>
      <c r="N6376" s="182">
        <v>17</v>
      </c>
      <c r="O6376">
        <v>4195</v>
      </c>
      <c r="P6376" s="132" t="s">
        <v>77</v>
      </c>
      <c r="Q6376" s="176">
        <v>159.05000000000001</v>
      </c>
      <c r="R6376" s="176">
        <v>25.45</v>
      </c>
      <c r="S6376" s="176"/>
      <c r="T6376" s="190"/>
      <c r="U6376" s="191"/>
      <c r="V6376" s="191">
        <v>184.5</v>
      </c>
      <c r="W6376">
        <v>438</v>
      </c>
      <c r="X6376" s="186" t="s">
        <v>1644</v>
      </c>
      <c r="Y6376" s="187" t="s">
        <v>55</v>
      </c>
      <c r="Z6376" s="311">
        <v>265</v>
      </c>
      <c r="AB6376" t="str">
        <f>IF(Table1[[#This Row],[TIPO2]]="costo", VLOOKUP(Table1[[#This Row],[PARTIDA PRESUPUESTAL]],'Cost Report'!G:G,1,0),"Balance")</f>
        <v>3498-003</v>
      </c>
      <c r="AD6376" s="159">
        <f>+Table1[[#This Row],[SUBTOTAL]]+Table1[[#This Row],[IVA]]-Table1[[#This Row],[RET IVA]]-Table1[[#This Row],[RET ISR]]-Table1[[#This Row],[TOTAL]]</f>
        <v>0</v>
      </c>
      <c r="AG6376" t="s">
        <v>3420</v>
      </c>
      <c r="AK6376" s="306" t="str">
        <f>IF(ISNUMBER(Table1[[#This Row],[FECHA DE RECIBIDO]]), Table1[[#This Row],[FECHA DE RECIBIDO]]-DATE(2023,8,30), "")</f>
        <v/>
      </c>
    </row>
    <row r="6377" spans="1:37" ht="16.05" customHeight="1">
      <c r="A6377" s="172" t="s">
        <v>5315</v>
      </c>
      <c r="B6377" s="178">
        <v>2278</v>
      </c>
      <c r="C6377" s="179" t="s">
        <v>2774</v>
      </c>
      <c r="D6377">
        <v>4380</v>
      </c>
      <c r="E6377" s="125" t="s">
        <v>1612</v>
      </c>
      <c r="F6377" s="178">
        <v>612</v>
      </c>
      <c r="G6377" s="178" t="s">
        <v>129</v>
      </c>
      <c r="H6377">
        <v>1059</v>
      </c>
      <c r="I6377" s="178" t="s">
        <v>1546</v>
      </c>
      <c r="J6377" s="320" t="s">
        <v>214</v>
      </c>
      <c r="K6377" s="178" t="s">
        <v>5322</v>
      </c>
      <c r="L6377" s="125" t="s">
        <v>1579</v>
      </c>
      <c r="M6377">
        <v>1472</v>
      </c>
      <c r="N6377" s="182">
        <v>17</v>
      </c>
      <c r="O6377">
        <v>4196</v>
      </c>
      <c r="P6377" s="132" t="s">
        <v>77</v>
      </c>
      <c r="Q6377" s="176">
        <v>507.76</v>
      </c>
      <c r="R6377" s="176">
        <v>81.239999999999995</v>
      </c>
      <c r="S6377" s="176"/>
      <c r="T6377" s="190"/>
      <c r="U6377" s="191"/>
      <c r="V6377" s="191">
        <v>589</v>
      </c>
      <c r="W6377">
        <v>438</v>
      </c>
      <c r="X6377" s="186" t="s">
        <v>1644</v>
      </c>
      <c r="Y6377" s="187" t="s">
        <v>55</v>
      </c>
      <c r="Z6377" s="311">
        <v>274</v>
      </c>
      <c r="AB6377" t="str">
        <f>IF(Table1[[#This Row],[TIPO2]]="costo", VLOOKUP(Table1[[#This Row],[PARTIDA PRESUPUESTAL]],'Cost Report'!G:G,1,0),"Balance")</f>
        <v>3401-042</v>
      </c>
      <c r="AD6377" s="159">
        <f>+Table1[[#This Row],[SUBTOTAL]]+Table1[[#This Row],[IVA]]-Table1[[#This Row],[RET IVA]]-Table1[[#This Row],[RET ISR]]-Table1[[#This Row],[TOTAL]]</f>
        <v>0</v>
      </c>
      <c r="AG6377" t="s">
        <v>3420</v>
      </c>
      <c r="AK6377" s="306" t="str">
        <f>IF(ISNUMBER(Table1[[#This Row],[FECHA DE RECIBIDO]]), Table1[[#This Row],[FECHA DE RECIBIDO]]-DATE(2023,8,30), "")</f>
        <v/>
      </c>
    </row>
    <row r="6378" spans="1:37" ht="16.05" customHeight="1">
      <c r="A6378" s="172" t="s">
        <v>5315</v>
      </c>
      <c r="B6378" s="178">
        <v>2278</v>
      </c>
      <c r="C6378" s="179" t="s">
        <v>2851</v>
      </c>
      <c r="D6378">
        <v>4381</v>
      </c>
      <c r="E6378" s="125" t="s">
        <v>3275</v>
      </c>
      <c r="F6378" s="178">
        <v>601</v>
      </c>
      <c r="G6378" s="178" t="s">
        <v>134</v>
      </c>
      <c r="H6378">
        <v>57</v>
      </c>
      <c r="I6378" s="178" t="s">
        <v>1546</v>
      </c>
      <c r="J6378" s="320" t="s">
        <v>214</v>
      </c>
      <c r="K6378" s="178" t="s">
        <v>5322</v>
      </c>
      <c r="L6378" s="125" t="s">
        <v>1579</v>
      </c>
      <c r="M6378">
        <v>79</v>
      </c>
      <c r="N6378" s="182">
        <v>17</v>
      </c>
      <c r="O6378">
        <v>4197</v>
      </c>
      <c r="P6378" s="132" t="s">
        <v>77</v>
      </c>
      <c r="Q6378" s="176">
        <v>1463.79</v>
      </c>
      <c r="R6378" s="176">
        <v>234.21</v>
      </c>
      <c r="S6378" s="176"/>
      <c r="T6378" s="190"/>
      <c r="U6378" s="191"/>
      <c r="V6378" s="191">
        <v>1698</v>
      </c>
      <c r="W6378">
        <v>438</v>
      </c>
      <c r="X6378" s="186" t="s">
        <v>1644</v>
      </c>
      <c r="Y6378" s="187" t="s">
        <v>55</v>
      </c>
      <c r="Z6378" s="311">
        <v>276</v>
      </c>
      <c r="AB6378" t="str">
        <f>IF(Table1[[#This Row],[TIPO2]]="costo", VLOOKUP(Table1[[#This Row],[PARTIDA PRESUPUESTAL]],'Cost Report'!G:G,1,0),"Balance")</f>
        <v>3485-003</v>
      </c>
      <c r="AD6378" s="159">
        <f>+Table1[[#This Row],[SUBTOTAL]]+Table1[[#This Row],[IVA]]-Table1[[#This Row],[RET IVA]]-Table1[[#This Row],[RET ISR]]-Table1[[#This Row],[TOTAL]]</f>
        <v>0</v>
      </c>
      <c r="AG6378" t="s">
        <v>3420</v>
      </c>
      <c r="AK6378" s="306" t="str">
        <f>IF(ISNUMBER(Table1[[#This Row],[FECHA DE RECIBIDO]]), Table1[[#This Row],[FECHA DE RECIBIDO]]-DATE(2023,8,30), "")</f>
        <v/>
      </c>
    </row>
    <row r="6379" spans="1:37" ht="16.05" customHeight="1">
      <c r="A6379" s="172" t="s">
        <v>5315</v>
      </c>
      <c r="B6379" s="178">
        <v>2278</v>
      </c>
      <c r="C6379" s="179" t="s">
        <v>2774</v>
      </c>
      <c r="D6379">
        <v>3623</v>
      </c>
      <c r="E6379" s="125"/>
      <c r="F6379" s="178"/>
      <c r="G6379" s="178"/>
      <c r="H6379"/>
      <c r="I6379" s="178"/>
      <c r="J6379" s="320" t="s">
        <v>214</v>
      </c>
      <c r="K6379" s="178" t="s">
        <v>5322</v>
      </c>
      <c r="L6379" s="125" t="s">
        <v>1579</v>
      </c>
      <c r="M6379">
        <v>584</v>
      </c>
      <c r="N6379" s="182">
        <v>17</v>
      </c>
      <c r="O6379">
        <v>1387</v>
      </c>
      <c r="P6379" s="132" t="s">
        <v>77</v>
      </c>
      <c r="Q6379" s="176">
        <v>34.22</v>
      </c>
      <c r="R6379" s="176"/>
      <c r="S6379" s="176"/>
      <c r="T6379" s="190"/>
      <c r="U6379" s="191"/>
      <c r="V6379" s="191">
        <v>34.22</v>
      </c>
      <c r="W6379">
        <v>438</v>
      </c>
      <c r="X6379" s="186" t="s">
        <v>1644</v>
      </c>
      <c r="Y6379" s="187" t="s">
        <v>55</v>
      </c>
      <c r="Z6379" s="311">
        <v>268</v>
      </c>
      <c r="AB6379" t="str">
        <f>IF(Table1[[#This Row],[TIPO2]]="costo", VLOOKUP(Table1[[#This Row],[PARTIDA PRESUPUESTAL]],'Cost Report'!G:G,1,0),"Balance")</f>
        <v>3401-042</v>
      </c>
      <c r="AD6379" s="159">
        <f>+Table1[[#This Row],[SUBTOTAL]]+Table1[[#This Row],[IVA]]-Table1[[#This Row],[RET IVA]]-Table1[[#This Row],[RET ISR]]-Table1[[#This Row],[TOTAL]]</f>
        <v>0</v>
      </c>
      <c r="AG6379" t="s">
        <v>3420</v>
      </c>
      <c r="AK6379" s="306" t="str">
        <f>IF(ISNUMBER(Table1[[#This Row],[FECHA DE RECIBIDO]]), Table1[[#This Row],[FECHA DE RECIBIDO]]-DATE(2023,8,30), "")</f>
        <v/>
      </c>
    </row>
    <row r="6380" spans="1:37" ht="16.05" customHeight="1">
      <c r="A6380" s="172" t="s">
        <v>5316</v>
      </c>
      <c r="B6380" s="178">
        <v>2279</v>
      </c>
      <c r="C6380" s="179" t="s">
        <v>1505</v>
      </c>
      <c r="D6380">
        <v>4382</v>
      </c>
      <c r="E6380" s="125">
        <v>5000</v>
      </c>
      <c r="F6380" s="178">
        <v>612</v>
      </c>
      <c r="G6380" s="178" t="s">
        <v>129</v>
      </c>
      <c r="H6380">
        <v>1060</v>
      </c>
      <c r="I6380" s="178" t="s">
        <v>1546</v>
      </c>
      <c r="J6380" s="320">
        <v>286.79228009259532</v>
      </c>
      <c r="K6380" s="178" t="s">
        <v>5322</v>
      </c>
      <c r="L6380" s="125" t="s">
        <v>1579</v>
      </c>
      <c r="M6380">
        <v>1473</v>
      </c>
      <c r="N6380" s="182">
        <v>17</v>
      </c>
      <c r="O6380">
        <v>4198</v>
      </c>
      <c r="P6380" s="132" t="s">
        <v>77</v>
      </c>
      <c r="Q6380" s="176">
        <v>400</v>
      </c>
      <c r="R6380" s="176">
        <v>64</v>
      </c>
      <c r="S6380" s="176"/>
      <c r="T6380" s="190"/>
      <c r="U6380" s="191"/>
      <c r="V6380" s="191">
        <v>464</v>
      </c>
      <c r="W6380">
        <v>104</v>
      </c>
      <c r="X6380" s="186" t="s">
        <v>1644</v>
      </c>
      <c r="Y6380" s="187" t="s">
        <v>55</v>
      </c>
      <c r="Z6380" s="311">
        <v>286</v>
      </c>
      <c r="AB6380" t="str">
        <f>IF(Table1[[#This Row],[TIPO2]]="costo", VLOOKUP(Table1[[#This Row],[PARTIDA PRESUPUESTAL]],'Cost Report'!G:G,1,0),"Balance")</f>
        <v>2494-003</v>
      </c>
      <c r="AD6380" s="159">
        <f>+Table1[[#This Row],[SUBTOTAL]]+Table1[[#This Row],[IVA]]-Table1[[#This Row],[RET IVA]]-Table1[[#This Row],[RET ISR]]-Table1[[#This Row],[TOTAL]]</f>
        <v>0</v>
      </c>
      <c r="AG6380" t="s">
        <v>3420</v>
      </c>
      <c r="AK6380" s="306">
        <f>IF(ISNUMBER(Table1[[#This Row],[FECHA DE RECIBIDO]]), Table1[[#This Row],[FECHA DE RECIBIDO]]-DATE(2023,8,30), "")</f>
        <v>-44881.207719907405</v>
      </c>
    </row>
    <row r="6381" spans="1:37" ht="16.05" customHeight="1">
      <c r="A6381" s="172" t="s">
        <v>5316</v>
      </c>
      <c r="B6381" s="178">
        <v>2279</v>
      </c>
      <c r="C6381" s="179" t="s">
        <v>1505</v>
      </c>
      <c r="D6381">
        <v>4383</v>
      </c>
      <c r="E6381" s="125">
        <v>5000</v>
      </c>
      <c r="F6381" s="178">
        <v>612</v>
      </c>
      <c r="G6381" s="178" t="s">
        <v>129</v>
      </c>
      <c r="H6381">
        <v>1060</v>
      </c>
      <c r="I6381" s="178" t="s">
        <v>1546</v>
      </c>
      <c r="J6381" s="320">
        <v>286.79019675926247</v>
      </c>
      <c r="K6381" s="178" t="s">
        <v>5322</v>
      </c>
      <c r="L6381" s="125" t="s">
        <v>1579</v>
      </c>
      <c r="M6381">
        <v>1473</v>
      </c>
      <c r="N6381" s="182">
        <v>17</v>
      </c>
      <c r="O6381">
        <v>4199</v>
      </c>
      <c r="P6381" s="132" t="s">
        <v>77</v>
      </c>
      <c r="Q6381" s="176">
        <v>1600</v>
      </c>
      <c r="R6381" s="176">
        <v>256</v>
      </c>
      <c r="S6381" s="176"/>
      <c r="T6381" s="190"/>
      <c r="U6381" s="191"/>
      <c r="V6381" s="191">
        <v>1856</v>
      </c>
      <c r="W6381">
        <v>104</v>
      </c>
      <c r="X6381" s="186" t="s">
        <v>1644</v>
      </c>
      <c r="Y6381" s="187" t="s">
        <v>55</v>
      </c>
      <c r="Z6381" s="311">
        <v>286</v>
      </c>
      <c r="AB6381" t="str">
        <f>IF(Table1[[#This Row],[TIPO2]]="costo", VLOOKUP(Table1[[#This Row],[PARTIDA PRESUPUESTAL]],'Cost Report'!G:G,1,0),"Balance")</f>
        <v>2494-003</v>
      </c>
      <c r="AD6381" s="159">
        <f>+Table1[[#This Row],[SUBTOTAL]]+Table1[[#This Row],[IVA]]-Table1[[#This Row],[RET IVA]]-Table1[[#This Row],[RET ISR]]-Table1[[#This Row],[TOTAL]]</f>
        <v>0</v>
      </c>
      <c r="AG6381" t="s">
        <v>3420</v>
      </c>
      <c r="AK6381" s="306">
        <f>IF(ISNUMBER(Table1[[#This Row],[FECHA DE RECIBIDO]]), Table1[[#This Row],[FECHA DE RECIBIDO]]-DATE(2023,8,30), "")</f>
        <v>-44881.209803240738</v>
      </c>
    </row>
    <row r="6382" spans="1:37" ht="16.05" customHeight="1">
      <c r="A6382" s="172" t="s">
        <v>5317</v>
      </c>
      <c r="B6382" s="178">
        <v>2280</v>
      </c>
      <c r="C6382" s="179" t="s">
        <v>4210</v>
      </c>
      <c r="D6382">
        <v>3623</v>
      </c>
      <c r="E6382" s="125"/>
      <c r="F6382" s="178"/>
      <c r="G6382" s="178"/>
      <c r="H6382"/>
      <c r="I6382" s="178"/>
      <c r="J6382" s="320" t="s">
        <v>214</v>
      </c>
      <c r="K6382" s="178" t="s">
        <v>5322</v>
      </c>
      <c r="L6382" s="125" t="s">
        <v>1579</v>
      </c>
      <c r="M6382">
        <v>661</v>
      </c>
      <c r="N6382" s="182">
        <v>17</v>
      </c>
      <c r="O6382">
        <v>4200</v>
      </c>
      <c r="P6382" s="132" t="s">
        <v>77</v>
      </c>
      <c r="Q6382" s="176">
        <v>15</v>
      </c>
      <c r="R6382" s="176"/>
      <c r="S6382" s="176"/>
      <c r="T6382" s="190"/>
      <c r="U6382" s="191"/>
      <c r="V6382" s="191">
        <v>15</v>
      </c>
      <c r="W6382">
        <v>225</v>
      </c>
      <c r="X6382" s="186" t="s">
        <v>1644</v>
      </c>
      <c r="Y6382" s="187" t="s">
        <v>55</v>
      </c>
      <c r="Z6382" s="311">
        <v>187</v>
      </c>
      <c r="AB6382" t="str">
        <f>IF(Table1[[#This Row],[TIPO2]]="costo", VLOOKUP(Table1[[#This Row],[PARTIDA PRESUPUESTAL]],'Cost Report'!G:G,1,0),"Balance")</f>
        <v>3901-051</v>
      </c>
      <c r="AD6382" s="159">
        <f>+Table1[[#This Row],[SUBTOTAL]]+Table1[[#This Row],[IVA]]-Table1[[#This Row],[RET IVA]]-Table1[[#This Row],[RET ISR]]-Table1[[#This Row],[TOTAL]]</f>
        <v>0</v>
      </c>
      <c r="AG6382" t="s">
        <v>3420</v>
      </c>
      <c r="AK6382" s="306" t="str">
        <f>IF(ISNUMBER(Table1[[#This Row],[FECHA DE RECIBIDO]]), Table1[[#This Row],[FECHA DE RECIBIDO]]-DATE(2023,8,30), "")</f>
        <v/>
      </c>
    </row>
    <row r="6383" spans="1:37" ht="16.05" customHeight="1">
      <c r="A6383" s="172" t="s">
        <v>5317</v>
      </c>
      <c r="B6383" s="178">
        <v>2280</v>
      </c>
      <c r="C6383" s="179" t="s">
        <v>4210</v>
      </c>
      <c r="D6383">
        <v>3623</v>
      </c>
      <c r="E6383" s="125"/>
      <c r="F6383" s="178"/>
      <c r="G6383" s="178"/>
      <c r="H6383"/>
      <c r="I6383" s="178"/>
      <c r="J6383" s="320" t="s">
        <v>214</v>
      </c>
      <c r="K6383" s="178" t="s">
        <v>5322</v>
      </c>
      <c r="L6383" s="125" t="s">
        <v>1579</v>
      </c>
      <c r="M6383">
        <v>661</v>
      </c>
      <c r="N6383" s="182">
        <v>17</v>
      </c>
      <c r="O6383">
        <v>4200</v>
      </c>
      <c r="P6383" s="132" t="s">
        <v>77</v>
      </c>
      <c r="Q6383" s="176">
        <v>15</v>
      </c>
      <c r="R6383" s="176"/>
      <c r="S6383" s="176"/>
      <c r="T6383" s="190"/>
      <c r="U6383" s="191"/>
      <c r="V6383" s="191">
        <v>15</v>
      </c>
      <c r="W6383">
        <v>225</v>
      </c>
      <c r="X6383" s="186" t="s">
        <v>1644</v>
      </c>
      <c r="Y6383" s="187" t="s">
        <v>55</v>
      </c>
      <c r="Z6383" s="311" t="s">
        <v>214</v>
      </c>
      <c r="AB6383" t="str">
        <f>IF(Table1[[#This Row],[TIPO2]]="costo", VLOOKUP(Table1[[#This Row],[PARTIDA PRESUPUESTAL]],'Cost Report'!G:G,1,0),"Balance")</f>
        <v>3901-051</v>
      </c>
      <c r="AD6383" s="159">
        <f>+Table1[[#This Row],[SUBTOTAL]]+Table1[[#This Row],[IVA]]-Table1[[#This Row],[RET IVA]]-Table1[[#This Row],[RET ISR]]-Table1[[#This Row],[TOTAL]]</f>
        <v>0</v>
      </c>
      <c r="AG6383" t="s">
        <v>3420</v>
      </c>
      <c r="AK6383" s="306" t="str">
        <f>IF(ISNUMBER(Table1[[#This Row],[FECHA DE RECIBIDO]]), Table1[[#This Row],[FECHA DE RECIBIDO]]-DATE(2023,8,30), "")</f>
        <v/>
      </c>
    </row>
    <row r="6384" spans="1:37" ht="16.05" customHeight="1">
      <c r="A6384" s="172" t="s">
        <v>5317</v>
      </c>
      <c r="B6384" s="178">
        <v>2280</v>
      </c>
      <c r="C6384" s="179" t="s">
        <v>4210</v>
      </c>
      <c r="D6384">
        <v>3623</v>
      </c>
      <c r="E6384" s="125"/>
      <c r="F6384" s="178"/>
      <c r="G6384" s="178"/>
      <c r="H6384"/>
      <c r="I6384" s="178"/>
      <c r="J6384" s="320" t="s">
        <v>214</v>
      </c>
      <c r="K6384" s="178" t="s">
        <v>5322</v>
      </c>
      <c r="L6384" s="125" t="s">
        <v>1579</v>
      </c>
      <c r="M6384">
        <v>661</v>
      </c>
      <c r="N6384" s="182">
        <v>17</v>
      </c>
      <c r="O6384">
        <v>4200</v>
      </c>
      <c r="P6384" s="132" t="s">
        <v>77</v>
      </c>
      <c r="Q6384" s="176">
        <v>15</v>
      </c>
      <c r="R6384" s="176"/>
      <c r="S6384" s="176"/>
      <c r="T6384" s="190"/>
      <c r="U6384" s="191"/>
      <c r="V6384" s="191">
        <v>15</v>
      </c>
      <c r="W6384">
        <v>225</v>
      </c>
      <c r="X6384" s="186" t="s">
        <v>1644</v>
      </c>
      <c r="Y6384" s="187" t="s">
        <v>55</v>
      </c>
      <c r="Z6384" s="311" t="s">
        <v>214</v>
      </c>
      <c r="AB6384" t="str">
        <f>IF(Table1[[#This Row],[TIPO2]]="costo", VLOOKUP(Table1[[#This Row],[PARTIDA PRESUPUESTAL]],'Cost Report'!G:G,1,0),"Balance")</f>
        <v>3901-051</v>
      </c>
      <c r="AD6384" s="159">
        <f>+Table1[[#This Row],[SUBTOTAL]]+Table1[[#This Row],[IVA]]-Table1[[#This Row],[RET IVA]]-Table1[[#This Row],[RET ISR]]-Table1[[#This Row],[TOTAL]]</f>
        <v>0</v>
      </c>
      <c r="AG6384" t="s">
        <v>3420</v>
      </c>
      <c r="AK6384" s="306" t="str">
        <f>IF(ISNUMBER(Table1[[#This Row],[FECHA DE RECIBIDO]]), Table1[[#This Row],[FECHA DE RECIBIDO]]-DATE(2023,8,30), "")</f>
        <v/>
      </c>
    </row>
    <row r="6385" spans="1:37" ht="16.05" customHeight="1">
      <c r="A6385" s="172" t="s">
        <v>5317</v>
      </c>
      <c r="B6385" s="178">
        <v>2280</v>
      </c>
      <c r="C6385" s="179" t="s">
        <v>4210</v>
      </c>
      <c r="D6385">
        <v>3623</v>
      </c>
      <c r="E6385" s="125"/>
      <c r="F6385" s="178"/>
      <c r="G6385" s="178"/>
      <c r="H6385"/>
      <c r="I6385" s="178"/>
      <c r="J6385" s="320" t="s">
        <v>214</v>
      </c>
      <c r="K6385" s="178" t="s">
        <v>5322</v>
      </c>
      <c r="L6385" s="125" t="s">
        <v>1579</v>
      </c>
      <c r="M6385">
        <v>661</v>
      </c>
      <c r="N6385" s="182">
        <v>17</v>
      </c>
      <c r="O6385">
        <v>4201</v>
      </c>
      <c r="P6385" s="132" t="s">
        <v>77</v>
      </c>
      <c r="Q6385" s="176">
        <v>15</v>
      </c>
      <c r="R6385" s="176"/>
      <c r="S6385" s="176"/>
      <c r="T6385" s="190"/>
      <c r="U6385" s="191"/>
      <c r="V6385" s="191">
        <v>15</v>
      </c>
      <c r="W6385">
        <v>225</v>
      </c>
      <c r="X6385" s="186" t="s">
        <v>1644</v>
      </c>
      <c r="Y6385" s="187" t="s">
        <v>55</v>
      </c>
      <c r="Z6385" s="311" t="s">
        <v>214</v>
      </c>
      <c r="AB6385" t="str">
        <f>IF(Table1[[#This Row],[TIPO2]]="costo", VLOOKUP(Table1[[#This Row],[PARTIDA PRESUPUESTAL]],'Cost Report'!G:G,1,0),"Balance")</f>
        <v>3901-051</v>
      </c>
      <c r="AD6385" s="159">
        <f>+Table1[[#This Row],[SUBTOTAL]]+Table1[[#This Row],[IVA]]-Table1[[#This Row],[RET IVA]]-Table1[[#This Row],[RET ISR]]-Table1[[#This Row],[TOTAL]]</f>
        <v>0</v>
      </c>
      <c r="AG6385" t="s">
        <v>3420</v>
      </c>
      <c r="AK6385" s="306" t="str">
        <f>IF(ISNUMBER(Table1[[#This Row],[FECHA DE RECIBIDO]]), Table1[[#This Row],[FECHA DE RECIBIDO]]-DATE(2023,8,30), "")</f>
        <v/>
      </c>
    </row>
    <row r="6386" spans="1:37" ht="16.05" customHeight="1">
      <c r="A6386" s="172" t="s">
        <v>5317</v>
      </c>
      <c r="B6386" s="178">
        <v>2280</v>
      </c>
      <c r="C6386" s="179" t="s">
        <v>4210</v>
      </c>
      <c r="D6386">
        <v>3623</v>
      </c>
      <c r="E6386" s="125"/>
      <c r="F6386" s="178"/>
      <c r="G6386" s="178"/>
      <c r="H6386"/>
      <c r="I6386" s="178"/>
      <c r="J6386" s="320" t="s">
        <v>214</v>
      </c>
      <c r="K6386" s="178" t="s">
        <v>5322</v>
      </c>
      <c r="L6386" s="125" t="s">
        <v>1579</v>
      </c>
      <c r="M6386">
        <v>661</v>
      </c>
      <c r="N6386" s="182">
        <v>17</v>
      </c>
      <c r="O6386">
        <v>4202</v>
      </c>
      <c r="P6386" s="132" t="s">
        <v>77</v>
      </c>
      <c r="Q6386" s="176">
        <v>15</v>
      </c>
      <c r="R6386" s="176"/>
      <c r="S6386" s="176"/>
      <c r="T6386" s="190"/>
      <c r="U6386" s="191"/>
      <c r="V6386" s="191">
        <v>15</v>
      </c>
      <c r="W6386">
        <v>225</v>
      </c>
      <c r="X6386" s="186" t="s">
        <v>1644</v>
      </c>
      <c r="Y6386" s="187" t="s">
        <v>55</v>
      </c>
      <c r="Z6386" s="311">
        <v>219</v>
      </c>
      <c r="AB6386" t="str">
        <f>IF(Table1[[#This Row],[TIPO2]]="costo", VLOOKUP(Table1[[#This Row],[PARTIDA PRESUPUESTAL]],'Cost Report'!G:G,1,0),"Balance")</f>
        <v>3901-051</v>
      </c>
      <c r="AD6386" s="159">
        <f>+Table1[[#This Row],[SUBTOTAL]]+Table1[[#This Row],[IVA]]-Table1[[#This Row],[RET IVA]]-Table1[[#This Row],[RET ISR]]-Table1[[#This Row],[TOTAL]]</f>
        <v>0</v>
      </c>
      <c r="AG6386" t="s">
        <v>3420</v>
      </c>
      <c r="AK6386" s="306" t="str">
        <f>IF(ISNUMBER(Table1[[#This Row],[FECHA DE RECIBIDO]]), Table1[[#This Row],[FECHA DE RECIBIDO]]-DATE(2023,8,30), "")</f>
        <v/>
      </c>
    </row>
    <row r="6387" spans="1:37" ht="16.05" customHeight="1">
      <c r="A6387" s="172" t="s">
        <v>5317</v>
      </c>
      <c r="B6387" s="178">
        <v>2280</v>
      </c>
      <c r="C6387" s="179" t="s">
        <v>4210</v>
      </c>
      <c r="D6387">
        <v>3623</v>
      </c>
      <c r="E6387" s="125"/>
      <c r="F6387" s="178"/>
      <c r="G6387" s="178"/>
      <c r="H6387"/>
      <c r="I6387" s="178"/>
      <c r="J6387" s="320" t="s">
        <v>214</v>
      </c>
      <c r="K6387" s="178" t="s">
        <v>5322</v>
      </c>
      <c r="L6387" s="125" t="s">
        <v>1579</v>
      </c>
      <c r="M6387">
        <v>661</v>
      </c>
      <c r="N6387" s="182">
        <v>17</v>
      </c>
      <c r="O6387">
        <v>4203</v>
      </c>
      <c r="P6387" s="132" t="s">
        <v>77</v>
      </c>
      <c r="Q6387" s="176">
        <v>15</v>
      </c>
      <c r="R6387" s="176"/>
      <c r="S6387" s="176"/>
      <c r="T6387" s="190"/>
      <c r="U6387" s="191"/>
      <c r="V6387" s="191">
        <v>15</v>
      </c>
      <c r="W6387">
        <v>225</v>
      </c>
      <c r="X6387" s="186" t="s">
        <v>1644</v>
      </c>
      <c r="Y6387" s="187" t="s">
        <v>55</v>
      </c>
      <c r="Z6387" s="311">
        <v>219</v>
      </c>
      <c r="AB6387" t="str">
        <f>IF(Table1[[#This Row],[TIPO2]]="costo", VLOOKUP(Table1[[#This Row],[PARTIDA PRESUPUESTAL]],'Cost Report'!G:G,1,0),"Balance")</f>
        <v>3901-051</v>
      </c>
      <c r="AD6387" s="159">
        <f>+Table1[[#This Row],[SUBTOTAL]]+Table1[[#This Row],[IVA]]-Table1[[#This Row],[RET IVA]]-Table1[[#This Row],[RET ISR]]-Table1[[#This Row],[TOTAL]]</f>
        <v>0</v>
      </c>
      <c r="AG6387" t="s">
        <v>3420</v>
      </c>
      <c r="AK6387" s="306" t="str">
        <f>IF(ISNUMBER(Table1[[#This Row],[FECHA DE RECIBIDO]]), Table1[[#This Row],[FECHA DE RECIBIDO]]-DATE(2023,8,30), "")</f>
        <v/>
      </c>
    </row>
    <row r="6388" spans="1:37" ht="16.05" customHeight="1">
      <c r="A6388" s="172" t="s">
        <v>5317</v>
      </c>
      <c r="B6388" s="178">
        <v>2280</v>
      </c>
      <c r="C6388" s="179" t="s">
        <v>4210</v>
      </c>
      <c r="D6388">
        <v>3623</v>
      </c>
      <c r="E6388" s="125"/>
      <c r="F6388" s="178"/>
      <c r="G6388" s="178"/>
      <c r="H6388"/>
      <c r="I6388" s="178"/>
      <c r="J6388" s="320" t="s">
        <v>214</v>
      </c>
      <c r="K6388" s="178" t="s">
        <v>5322</v>
      </c>
      <c r="L6388" s="125" t="s">
        <v>1579</v>
      </c>
      <c r="M6388">
        <v>661</v>
      </c>
      <c r="N6388" s="182">
        <v>17</v>
      </c>
      <c r="O6388">
        <v>4202</v>
      </c>
      <c r="P6388" s="132" t="s">
        <v>77</v>
      </c>
      <c r="Q6388" s="176">
        <v>15</v>
      </c>
      <c r="R6388" s="176"/>
      <c r="S6388" s="176"/>
      <c r="T6388" s="190"/>
      <c r="U6388" s="191"/>
      <c r="V6388" s="191">
        <v>15</v>
      </c>
      <c r="W6388">
        <v>225</v>
      </c>
      <c r="X6388" s="186" t="s">
        <v>1644</v>
      </c>
      <c r="Y6388" s="187" t="s">
        <v>55</v>
      </c>
      <c r="Z6388" s="311">
        <v>341</v>
      </c>
      <c r="AB6388" t="str">
        <f>IF(Table1[[#This Row],[TIPO2]]="costo", VLOOKUP(Table1[[#This Row],[PARTIDA PRESUPUESTAL]],'Cost Report'!G:G,1,0),"Balance")</f>
        <v>3901-051</v>
      </c>
      <c r="AD6388" s="159">
        <f>+Table1[[#This Row],[SUBTOTAL]]+Table1[[#This Row],[IVA]]-Table1[[#This Row],[RET IVA]]-Table1[[#This Row],[RET ISR]]-Table1[[#This Row],[TOTAL]]</f>
        <v>0</v>
      </c>
      <c r="AG6388" t="s">
        <v>3420</v>
      </c>
      <c r="AK6388" s="306" t="str">
        <f>IF(ISNUMBER(Table1[[#This Row],[FECHA DE RECIBIDO]]), Table1[[#This Row],[FECHA DE RECIBIDO]]-DATE(2023,8,30), "")</f>
        <v/>
      </c>
    </row>
    <row r="6389" spans="1:37" ht="16.05" customHeight="1">
      <c r="A6389" s="172" t="s">
        <v>5317</v>
      </c>
      <c r="B6389" s="178">
        <v>2280</v>
      </c>
      <c r="C6389" s="179" t="s">
        <v>4210</v>
      </c>
      <c r="D6389">
        <v>3623</v>
      </c>
      <c r="E6389" s="125"/>
      <c r="F6389" s="178"/>
      <c r="G6389" s="178"/>
      <c r="H6389"/>
      <c r="I6389" s="178"/>
      <c r="J6389" s="320" t="s">
        <v>214</v>
      </c>
      <c r="K6389" s="178" t="s">
        <v>5322</v>
      </c>
      <c r="L6389" s="125" t="s">
        <v>1579</v>
      </c>
      <c r="M6389">
        <v>661</v>
      </c>
      <c r="N6389" s="182">
        <v>17</v>
      </c>
      <c r="O6389">
        <v>4204</v>
      </c>
      <c r="P6389" s="132" t="s">
        <v>77</v>
      </c>
      <c r="Q6389" s="176">
        <v>15</v>
      </c>
      <c r="R6389" s="176"/>
      <c r="S6389" s="176"/>
      <c r="T6389" s="190"/>
      <c r="U6389" s="191"/>
      <c r="V6389" s="191">
        <v>15</v>
      </c>
      <c r="W6389">
        <v>225</v>
      </c>
      <c r="X6389" s="186" t="s">
        <v>1644</v>
      </c>
      <c r="Y6389" s="187" t="s">
        <v>55</v>
      </c>
      <c r="Z6389" s="311" t="s">
        <v>214</v>
      </c>
      <c r="AB6389" t="str">
        <f>IF(Table1[[#This Row],[TIPO2]]="costo", VLOOKUP(Table1[[#This Row],[PARTIDA PRESUPUESTAL]],'Cost Report'!G:G,1,0),"Balance")</f>
        <v>3901-051</v>
      </c>
      <c r="AD6389" s="159">
        <f>+Table1[[#This Row],[SUBTOTAL]]+Table1[[#This Row],[IVA]]-Table1[[#This Row],[RET IVA]]-Table1[[#This Row],[RET ISR]]-Table1[[#This Row],[TOTAL]]</f>
        <v>0</v>
      </c>
      <c r="AG6389" t="s">
        <v>3420</v>
      </c>
      <c r="AK6389" s="306" t="str">
        <f>IF(ISNUMBER(Table1[[#This Row],[FECHA DE RECIBIDO]]), Table1[[#This Row],[FECHA DE RECIBIDO]]-DATE(2023,8,30), "")</f>
        <v/>
      </c>
    </row>
    <row r="6390" spans="1:37" ht="16.05" customHeight="1">
      <c r="A6390" s="172" t="s">
        <v>5317</v>
      </c>
      <c r="B6390" s="178">
        <v>2280</v>
      </c>
      <c r="C6390" s="179" t="s">
        <v>3108</v>
      </c>
      <c r="D6390">
        <v>3623</v>
      </c>
      <c r="E6390" s="125"/>
      <c r="F6390" s="178"/>
      <c r="G6390" s="178"/>
      <c r="H6390"/>
      <c r="I6390" s="178"/>
      <c r="J6390" s="320" t="s">
        <v>214</v>
      </c>
      <c r="K6390" s="178" t="s">
        <v>5322</v>
      </c>
      <c r="L6390" s="125" t="s">
        <v>1579</v>
      </c>
      <c r="M6390">
        <v>395</v>
      </c>
      <c r="N6390" s="182">
        <v>17</v>
      </c>
      <c r="O6390">
        <v>4205</v>
      </c>
      <c r="P6390" s="132" t="s">
        <v>77</v>
      </c>
      <c r="Q6390" s="176">
        <v>20</v>
      </c>
      <c r="R6390" s="176"/>
      <c r="S6390" s="176"/>
      <c r="T6390" s="190"/>
      <c r="U6390" s="191"/>
      <c r="V6390" s="191">
        <v>20</v>
      </c>
      <c r="W6390">
        <v>225</v>
      </c>
      <c r="X6390" s="186" t="s">
        <v>1644</v>
      </c>
      <c r="Y6390" s="187" t="s">
        <v>55</v>
      </c>
      <c r="Z6390" s="311" t="s">
        <v>214</v>
      </c>
      <c r="AB6390" t="str">
        <f>IF(Table1[[#This Row],[TIPO2]]="costo", VLOOKUP(Table1[[#This Row],[PARTIDA PRESUPUESTAL]],'Cost Report'!G:G,1,0),"Balance")</f>
        <v>7080-003</v>
      </c>
      <c r="AD6390" s="159">
        <f>+Table1[[#This Row],[SUBTOTAL]]+Table1[[#This Row],[IVA]]-Table1[[#This Row],[RET IVA]]-Table1[[#This Row],[RET ISR]]-Table1[[#This Row],[TOTAL]]</f>
        <v>0</v>
      </c>
      <c r="AG6390" t="s">
        <v>3420</v>
      </c>
      <c r="AK6390" s="306" t="str">
        <f>IF(ISNUMBER(Table1[[#This Row],[FECHA DE RECIBIDO]]), Table1[[#This Row],[FECHA DE RECIBIDO]]-DATE(2023,8,30), "")</f>
        <v/>
      </c>
    </row>
    <row r="6391" spans="1:37" ht="16.05" customHeight="1">
      <c r="A6391" s="172" t="s">
        <v>5317</v>
      </c>
      <c r="B6391" s="178">
        <v>2280</v>
      </c>
      <c r="C6391" s="179" t="s">
        <v>3108</v>
      </c>
      <c r="D6391">
        <v>3623</v>
      </c>
      <c r="E6391" s="125"/>
      <c r="F6391" s="178"/>
      <c r="G6391" s="178"/>
      <c r="H6391"/>
      <c r="I6391" s="178"/>
      <c r="J6391" s="320" t="s">
        <v>214</v>
      </c>
      <c r="K6391" s="178" t="s">
        <v>5322</v>
      </c>
      <c r="L6391" s="125" t="s">
        <v>1579</v>
      </c>
      <c r="M6391">
        <v>395</v>
      </c>
      <c r="N6391" s="182">
        <v>17</v>
      </c>
      <c r="O6391">
        <v>4205</v>
      </c>
      <c r="P6391" s="132" t="s">
        <v>77</v>
      </c>
      <c r="Q6391" s="176">
        <v>20</v>
      </c>
      <c r="R6391" s="176"/>
      <c r="S6391" s="176"/>
      <c r="T6391" s="190"/>
      <c r="U6391" s="191"/>
      <c r="V6391" s="191">
        <v>20</v>
      </c>
      <c r="W6391">
        <v>225</v>
      </c>
      <c r="X6391" s="186" t="s">
        <v>1644</v>
      </c>
      <c r="Y6391" s="187" t="s">
        <v>55</v>
      </c>
      <c r="Z6391" s="311" t="s">
        <v>214</v>
      </c>
      <c r="AB6391" t="str">
        <f>IF(Table1[[#This Row],[TIPO2]]="costo", VLOOKUP(Table1[[#This Row],[PARTIDA PRESUPUESTAL]],'Cost Report'!G:G,1,0),"Balance")</f>
        <v>7080-003</v>
      </c>
      <c r="AD6391" s="159">
        <f>+Table1[[#This Row],[SUBTOTAL]]+Table1[[#This Row],[IVA]]-Table1[[#This Row],[RET IVA]]-Table1[[#This Row],[RET ISR]]-Table1[[#This Row],[TOTAL]]</f>
        <v>0</v>
      </c>
      <c r="AG6391" t="s">
        <v>3420</v>
      </c>
      <c r="AK6391" s="306" t="str">
        <f>IF(ISNUMBER(Table1[[#This Row],[FECHA DE RECIBIDO]]), Table1[[#This Row],[FECHA DE RECIBIDO]]-DATE(2023,8,30), "")</f>
        <v/>
      </c>
    </row>
    <row r="6392" spans="1:37" ht="16.05" customHeight="1">
      <c r="A6392" s="172" t="s">
        <v>5317</v>
      </c>
      <c r="B6392" s="178">
        <v>2280</v>
      </c>
      <c r="C6392" s="179" t="s">
        <v>3108</v>
      </c>
      <c r="D6392">
        <v>3623</v>
      </c>
      <c r="E6392" s="125"/>
      <c r="F6392" s="178"/>
      <c r="G6392" s="178"/>
      <c r="H6392"/>
      <c r="I6392" s="178"/>
      <c r="J6392" s="320" t="s">
        <v>214</v>
      </c>
      <c r="K6392" s="178" t="s">
        <v>5322</v>
      </c>
      <c r="L6392" s="125" t="s">
        <v>1579</v>
      </c>
      <c r="M6392">
        <v>1474</v>
      </c>
      <c r="N6392" s="182">
        <v>17</v>
      </c>
      <c r="O6392">
        <v>4206</v>
      </c>
      <c r="P6392" s="132" t="s">
        <v>77</v>
      </c>
      <c r="Q6392" s="176">
        <v>630</v>
      </c>
      <c r="R6392" s="176"/>
      <c r="S6392" s="176"/>
      <c r="T6392" s="190"/>
      <c r="U6392" s="191"/>
      <c r="V6392" s="191">
        <v>630</v>
      </c>
      <c r="W6392">
        <v>225</v>
      </c>
      <c r="X6392" s="186" t="s">
        <v>1644</v>
      </c>
      <c r="Y6392" s="187" t="s">
        <v>55</v>
      </c>
      <c r="Z6392" s="311">
        <v>311</v>
      </c>
      <c r="AB6392" t="str">
        <f>IF(Table1[[#This Row],[TIPO2]]="costo", VLOOKUP(Table1[[#This Row],[PARTIDA PRESUPUESTAL]],'Cost Report'!G:G,1,0),"Balance")</f>
        <v>7080-003</v>
      </c>
      <c r="AD6392" s="159">
        <f>+Table1[[#This Row],[SUBTOTAL]]+Table1[[#This Row],[IVA]]-Table1[[#This Row],[RET IVA]]-Table1[[#This Row],[RET ISR]]-Table1[[#This Row],[TOTAL]]</f>
        <v>0</v>
      </c>
      <c r="AG6392" t="s">
        <v>3420</v>
      </c>
      <c r="AK6392" s="306" t="str">
        <f>IF(ISNUMBER(Table1[[#This Row],[FECHA DE RECIBIDO]]), Table1[[#This Row],[FECHA DE RECIBIDO]]-DATE(2023,8,30), "")</f>
        <v/>
      </c>
    </row>
    <row r="6393" spans="1:37" ht="16.05" customHeight="1">
      <c r="A6393" s="172" t="s">
        <v>5317</v>
      </c>
      <c r="B6393" s="178">
        <v>2280</v>
      </c>
      <c r="C6393" s="179" t="s">
        <v>3108</v>
      </c>
      <c r="D6393">
        <v>3623</v>
      </c>
      <c r="E6393" s="125"/>
      <c r="F6393" s="178"/>
      <c r="G6393" s="178"/>
      <c r="H6393"/>
      <c r="I6393" s="178"/>
      <c r="J6393" s="320" t="s">
        <v>214</v>
      </c>
      <c r="K6393" s="178" t="s">
        <v>5322</v>
      </c>
      <c r="L6393" s="125" t="s">
        <v>1579</v>
      </c>
      <c r="M6393">
        <v>1474</v>
      </c>
      <c r="N6393" s="182">
        <v>17</v>
      </c>
      <c r="O6393">
        <v>4207</v>
      </c>
      <c r="P6393" s="132" t="s">
        <v>77</v>
      </c>
      <c r="Q6393" s="176">
        <v>350</v>
      </c>
      <c r="R6393" s="176"/>
      <c r="S6393" s="176"/>
      <c r="T6393" s="190"/>
      <c r="U6393" s="191"/>
      <c r="V6393" s="191">
        <v>350</v>
      </c>
      <c r="W6393">
        <v>225</v>
      </c>
      <c r="X6393" s="186" t="s">
        <v>1644</v>
      </c>
      <c r="Y6393" s="187" t="s">
        <v>55</v>
      </c>
      <c r="Z6393" s="311">
        <v>311</v>
      </c>
      <c r="AB6393" t="str">
        <f>IF(Table1[[#This Row],[TIPO2]]="costo", VLOOKUP(Table1[[#This Row],[PARTIDA PRESUPUESTAL]],'Cost Report'!G:G,1,0),"Balance")</f>
        <v>7080-003</v>
      </c>
      <c r="AD6393" s="159">
        <f>+Table1[[#This Row],[SUBTOTAL]]+Table1[[#This Row],[IVA]]-Table1[[#This Row],[RET IVA]]-Table1[[#This Row],[RET ISR]]-Table1[[#This Row],[TOTAL]]</f>
        <v>0</v>
      </c>
      <c r="AG6393" t="s">
        <v>3420</v>
      </c>
      <c r="AK6393" s="306" t="str">
        <f>IF(ISNUMBER(Table1[[#This Row],[FECHA DE RECIBIDO]]), Table1[[#This Row],[FECHA DE RECIBIDO]]-DATE(2023,8,30), "")</f>
        <v/>
      </c>
    </row>
    <row r="6394" spans="1:37" ht="16.05" customHeight="1">
      <c r="A6394" s="172" t="s">
        <v>5317</v>
      </c>
      <c r="B6394" s="178">
        <v>2280</v>
      </c>
      <c r="C6394" s="179" t="s">
        <v>3103</v>
      </c>
      <c r="D6394">
        <v>3623</v>
      </c>
      <c r="E6394" s="125"/>
      <c r="F6394" s="178"/>
      <c r="G6394" s="178"/>
      <c r="H6394"/>
      <c r="I6394" s="178"/>
      <c r="J6394" s="320" t="s">
        <v>214</v>
      </c>
      <c r="K6394" s="178" t="s">
        <v>5322</v>
      </c>
      <c r="L6394" s="125" t="s">
        <v>1579</v>
      </c>
      <c r="M6394">
        <v>559</v>
      </c>
      <c r="N6394" s="182">
        <v>17</v>
      </c>
      <c r="O6394">
        <v>162</v>
      </c>
      <c r="P6394" s="132" t="s">
        <v>77</v>
      </c>
      <c r="Q6394" s="176">
        <v>34.22</v>
      </c>
      <c r="R6394" s="176"/>
      <c r="S6394" s="176"/>
      <c r="T6394" s="190"/>
      <c r="U6394" s="191"/>
      <c r="V6394" s="191">
        <v>34.22</v>
      </c>
      <c r="W6394">
        <v>225</v>
      </c>
      <c r="X6394" s="186" t="s">
        <v>1644</v>
      </c>
      <c r="Y6394" s="187" t="s">
        <v>55</v>
      </c>
      <c r="Z6394" s="311">
        <v>311</v>
      </c>
      <c r="AB6394" t="str">
        <f>IF(Table1[[#This Row],[TIPO2]]="costo", VLOOKUP(Table1[[#This Row],[PARTIDA PRESUPUESTAL]],'Cost Report'!G:G,1,0),"Balance")</f>
        <v>7038-009</v>
      </c>
      <c r="AD6394" s="159">
        <f>+Table1[[#This Row],[SUBTOTAL]]+Table1[[#This Row],[IVA]]-Table1[[#This Row],[RET IVA]]-Table1[[#This Row],[RET ISR]]-Table1[[#This Row],[TOTAL]]</f>
        <v>0</v>
      </c>
      <c r="AG6394" t="s">
        <v>3420</v>
      </c>
      <c r="AK6394" s="306" t="str">
        <f>IF(ISNUMBER(Table1[[#This Row],[FECHA DE RECIBIDO]]), Table1[[#This Row],[FECHA DE RECIBIDO]]-DATE(2023,8,30), "")</f>
        <v/>
      </c>
    </row>
    <row r="6395" spans="1:37" ht="16.05" customHeight="1">
      <c r="A6395" s="172" t="s">
        <v>5317</v>
      </c>
      <c r="B6395" s="178">
        <v>2280</v>
      </c>
      <c r="C6395" s="179" t="s">
        <v>3108</v>
      </c>
      <c r="D6395">
        <v>3623</v>
      </c>
      <c r="E6395" s="125"/>
      <c r="F6395" s="178"/>
      <c r="G6395" s="178"/>
      <c r="H6395"/>
      <c r="I6395" s="178"/>
      <c r="J6395" s="320" t="s">
        <v>214</v>
      </c>
      <c r="K6395" s="178" t="s">
        <v>5322</v>
      </c>
      <c r="L6395" s="125" t="s">
        <v>1579</v>
      </c>
      <c r="M6395">
        <v>69</v>
      </c>
      <c r="N6395" s="182">
        <v>17</v>
      </c>
      <c r="O6395">
        <v>4208</v>
      </c>
      <c r="P6395" s="132" t="s">
        <v>77</v>
      </c>
      <c r="Q6395" s="176">
        <v>17</v>
      </c>
      <c r="R6395" s="176"/>
      <c r="S6395" s="176"/>
      <c r="T6395" s="190"/>
      <c r="U6395" s="191"/>
      <c r="V6395" s="191">
        <v>17</v>
      </c>
      <c r="W6395">
        <v>225</v>
      </c>
      <c r="X6395" s="186" t="s">
        <v>1644</v>
      </c>
      <c r="Y6395" s="187" t="s">
        <v>55</v>
      </c>
      <c r="Z6395" s="311">
        <v>311</v>
      </c>
      <c r="AB6395" t="str">
        <f>IF(Table1[[#This Row],[TIPO2]]="costo", VLOOKUP(Table1[[#This Row],[PARTIDA PRESUPUESTAL]],'Cost Report'!G:G,1,0),"Balance")</f>
        <v>7080-003</v>
      </c>
      <c r="AD6395" s="159">
        <f>+Table1[[#This Row],[SUBTOTAL]]+Table1[[#This Row],[IVA]]-Table1[[#This Row],[RET IVA]]-Table1[[#This Row],[RET ISR]]-Table1[[#This Row],[TOTAL]]</f>
        <v>0</v>
      </c>
      <c r="AG6395" t="s">
        <v>3420</v>
      </c>
      <c r="AK6395" s="306" t="str">
        <f>IF(ISNUMBER(Table1[[#This Row],[FECHA DE RECIBIDO]]), Table1[[#This Row],[FECHA DE RECIBIDO]]-DATE(2023,8,30), "")</f>
        <v/>
      </c>
    </row>
    <row r="6396" spans="1:37" ht="16.05" customHeight="1">
      <c r="A6396" s="172" t="s">
        <v>5317</v>
      </c>
      <c r="B6396" s="178">
        <v>2280</v>
      </c>
      <c r="C6396" s="179" t="s">
        <v>3415</v>
      </c>
      <c r="D6396">
        <v>3623</v>
      </c>
      <c r="E6396" s="125"/>
      <c r="F6396" s="178"/>
      <c r="G6396" s="178"/>
      <c r="H6396"/>
      <c r="I6396" s="178"/>
      <c r="J6396" s="320" t="s">
        <v>214</v>
      </c>
      <c r="K6396" s="178" t="s">
        <v>5322</v>
      </c>
      <c r="L6396" s="125" t="s">
        <v>1579</v>
      </c>
      <c r="M6396">
        <v>69</v>
      </c>
      <c r="N6396" s="182">
        <v>17</v>
      </c>
      <c r="O6396">
        <v>4209</v>
      </c>
      <c r="P6396" s="132" t="s">
        <v>77</v>
      </c>
      <c r="Q6396" s="176">
        <v>14</v>
      </c>
      <c r="R6396" s="176"/>
      <c r="S6396" s="176"/>
      <c r="T6396" s="190"/>
      <c r="U6396" s="191"/>
      <c r="V6396" s="191">
        <v>14</v>
      </c>
      <c r="W6396">
        <v>225</v>
      </c>
      <c r="X6396" s="186" t="s">
        <v>1644</v>
      </c>
      <c r="Y6396" s="187" t="s">
        <v>55</v>
      </c>
      <c r="Z6396" s="311">
        <v>403</v>
      </c>
      <c r="AB6396" t="str">
        <f>IF(Table1[[#This Row],[TIPO2]]="costo", VLOOKUP(Table1[[#This Row],[PARTIDA PRESUPUESTAL]],'Cost Report'!G:G,1,0),"Balance")</f>
        <v>3629-006</v>
      </c>
      <c r="AD6396" s="159">
        <f>+Table1[[#This Row],[SUBTOTAL]]+Table1[[#This Row],[IVA]]-Table1[[#This Row],[RET IVA]]-Table1[[#This Row],[RET ISR]]-Table1[[#This Row],[TOTAL]]</f>
        <v>0</v>
      </c>
      <c r="AG6396" t="s">
        <v>3420</v>
      </c>
      <c r="AK6396" s="306" t="str">
        <f>IF(ISNUMBER(Table1[[#This Row],[FECHA DE RECIBIDO]]), Table1[[#This Row],[FECHA DE RECIBIDO]]-DATE(2023,8,30), "")</f>
        <v/>
      </c>
    </row>
    <row r="6397" spans="1:37" ht="16.05" customHeight="1">
      <c r="A6397" s="172" t="s">
        <v>5318</v>
      </c>
      <c r="B6397" s="178">
        <v>2281</v>
      </c>
      <c r="C6397" s="179" t="s">
        <v>3108</v>
      </c>
      <c r="D6397">
        <v>4384</v>
      </c>
      <c r="E6397" s="125">
        <v>2300</v>
      </c>
      <c r="F6397" s="178">
        <v>601</v>
      </c>
      <c r="G6397" s="178" t="s">
        <v>134</v>
      </c>
      <c r="H6397">
        <v>102</v>
      </c>
      <c r="I6397" s="178" t="s">
        <v>1546</v>
      </c>
      <c r="J6397" s="320">
        <v>286.62535879629286</v>
      </c>
      <c r="K6397" s="178" t="s">
        <v>5322</v>
      </c>
      <c r="L6397" s="125" t="s">
        <v>1579</v>
      </c>
      <c r="M6397">
        <v>1475</v>
      </c>
      <c r="N6397" s="182">
        <v>17</v>
      </c>
      <c r="O6397">
        <v>4210</v>
      </c>
      <c r="P6397" s="132" t="s">
        <v>77</v>
      </c>
      <c r="Q6397" s="176">
        <v>602.59</v>
      </c>
      <c r="R6397" s="176">
        <v>96.41</v>
      </c>
      <c r="S6397" s="176"/>
      <c r="T6397" s="190"/>
      <c r="U6397" s="191"/>
      <c r="V6397" s="191">
        <v>699</v>
      </c>
      <c r="W6397">
        <v>93</v>
      </c>
      <c r="X6397" s="186" t="s">
        <v>1644</v>
      </c>
      <c r="Y6397" s="187" t="s">
        <v>55</v>
      </c>
      <c r="Z6397" s="311">
        <v>434</v>
      </c>
      <c r="AB6397" t="str">
        <f>IF(Table1[[#This Row],[TIPO2]]="costo", VLOOKUP(Table1[[#This Row],[PARTIDA PRESUPUESTAL]],'Cost Report'!G:G,1,0),"Balance")</f>
        <v>7080-003</v>
      </c>
      <c r="AD6397" s="159">
        <f>+Table1[[#This Row],[SUBTOTAL]]+Table1[[#This Row],[IVA]]-Table1[[#This Row],[RET IVA]]-Table1[[#This Row],[RET ISR]]-Table1[[#This Row],[TOTAL]]</f>
        <v>0</v>
      </c>
      <c r="AG6397" t="s">
        <v>3420</v>
      </c>
      <c r="AK6397" s="306">
        <f>IF(ISNUMBER(Table1[[#This Row],[FECHA DE RECIBIDO]]), Table1[[#This Row],[FECHA DE RECIBIDO]]-DATE(2023,8,30), "")</f>
        <v>-44881.374641203707</v>
      </c>
    </row>
    <row r="6398" spans="1:37" ht="16.05" customHeight="1">
      <c r="A6398" s="172" t="s">
        <v>5318</v>
      </c>
      <c r="B6398" s="178">
        <v>2281</v>
      </c>
      <c r="C6398" s="179" t="s">
        <v>3108</v>
      </c>
      <c r="D6398">
        <v>3623</v>
      </c>
      <c r="E6398" s="125"/>
      <c r="F6398" s="178"/>
      <c r="G6398" s="178"/>
      <c r="H6398"/>
      <c r="I6398" s="178"/>
      <c r="J6398" s="320" t="s">
        <v>214</v>
      </c>
      <c r="K6398" s="178" t="s">
        <v>5322</v>
      </c>
      <c r="L6398" s="125" t="s">
        <v>1579</v>
      </c>
      <c r="M6398">
        <v>1474</v>
      </c>
      <c r="N6398" s="182">
        <v>17</v>
      </c>
      <c r="O6398">
        <v>4211</v>
      </c>
      <c r="P6398" s="132" t="s">
        <v>77</v>
      </c>
      <c r="Q6398" s="176">
        <v>609</v>
      </c>
      <c r="R6398" s="176"/>
      <c r="S6398" s="176"/>
      <c r="T6398" s="190"/>
      <c r="U6398" s="191"/>
      <c r="V6398" s="191">
        <v>609</v>
      </c>
      <c r="W6398">
        <v>93</v>
      </c>
      <c r="X6398" s="186" t="s">
        <v>1644</v>
      </c>
      <c r="Y6398" s="187" t="s">
        <v>55</v>
      </c>
      <c r="Z6398" s="311" t="s">
        <v>214</v>
      </c>
      <c r="AB6398" t="str">
        <f>IF(Table1[[#This Row],[TIPO2]]="costo", VLOOKUP(Table1[[#This Row],[PARTIDA PRESUPUESTAL]],'Cost Report'!G:G,1,0),"Balance")</f>
        <v>7080-003</v>
      </c>
      <c r="AD6398" s="159">
        <f>+Table1[[#This Row],[SUBTOTAL]]+Table1[[#This Row],[IVA]]-Table1[[#This Row],[RET IVA]]-Table1[[#This Row],[RET ISR]]-Table1[[#This Row],[TOTAL]]</f>
        <v>0</v>
      </c>
      <c r="AG6398" t="s">
        <v>3420</v>
      </c>
      <c r="AK6398" s="306" t="str">
        <f>IF(ISNUMBER(Table1[[#This Row],[FECHA DE RECIBIDO]]), Table1[[#This Row],[FECHA DE RECIBIDO]]-DATE(2023,8,30), "")</f>
        <v/>
      </c>
    </row>
    <row r="6399" spans="1:37" ht="16.05" customHeight="1">
      <c r="A6399" s="172" t="s">
        <v>5319</v>
      </c>
      <c r="B6399" s="178">
        <v>2282</v>
      </c>
      <c r="C6399" s="179" t="s">
        <v>3108</v>
      </c>
      <c r="D6399">
        <v>3623</v>
      </c>
      <c r="E6399" s="125"/>
      <c r="F6399" s="178"/>
      <c r="G6399" s="178"/>
      <c r="H6399"/>
      <c r="I6399" s="178"/>
      <c r="J6399" s="320" t="s">
        <v>214</v>
      </c>
      <c r="K6399" s="178" t="s">
        <v>5322</v>
      </c>
      <c r="L6399" s="125" t="s">
        <v>1579</v>
      </c>
      <c r="M6399">
        <v>1476</v>
      </c>
      <c r="N6399" s="182">
        <v>17</v>
      </c>
      <c r="O6399">
        <v>4212</v>
      </c>
      <c r="P6399" s="132" t="s">
        <v>77</v>
      </c>
      <c r="Q6399" s="176">
        <v>300</v>
      </c>
      <c r="R6399" s="176"/>
      <c r="S6399" s="176"/>
      <c r="T6399" s="190"/>
      <c r="U6399" s="191"/>
      <c r="V6399" s="191">
        <v>300</v>
      </c>
      <c r="W6399">
        <v>93</v>
      </c>
      <c r="X6399" s="186" t="s">
        <v>1644</v>
      </c>
      <c r="Y6399" s="187" t="s">
        <v>55</v>
      </c>
      <c r="Z6399" s="311" t="s">
        <v>214</v>
      </c>
      <c r="AB6399" t="str">
        <f>IF(Table1[[#This Row],[TIPO2]]="costo", VLOOKUP(Table1[[#This Row],[PARTIDA PRESUPUESTAL]],'Cost Report'!G:G,1,0),"Balance")</f>
        <v>7080-003</v>
      </c>
      <c r="AD6399" s="159">
        <f>+Table1[[#This Row],[SUBTOTAL]]+Table1[[#This Row],[IVA]]-Table1[[#This Row],[RET IVA]]-Table1[[#This Row],[RET ISR]]-Table1[[#This Row],[TOTAL]]</f>
        <v>0</v>
      </c>
      <c r="AG6399" t="s">
        <v>3420</v>
      </c>
      <c r="AK6399" s="306" t="str">
        <f>IF(ISNUMBER(Table1[[#This Row],[FECHA DE RECIBIDO]]), Table1[[#This Row],[FECHA DE RECIBIDO]]-DATE(2023,8,30), "")</f>
        <v/>
      </c>
    </row>
    <row r="6400" spans="1:37" ht="16.05" customHeight="1">
      <c r="A6400" s="172" t="s">
        <v>5319</v>
      </c>
      <c r="B6400" s="178">
        <v>2282</v>
      </c>
      <c r="C6400" t="s">
        <v>3002</v>
      </c>
      <c r="D6400">
        <v>3623</v>
      </c>
      <c r="E6400" s="125"/>
      <c r="F6400" s="178"/>
      <c r="G6400" s="178"/>
      <c r="H6400"/>
      <c r="I6400" s="178"/>
      <c r="J6400" s="320" t="s">
        <v>214</v>
      </c>
      <c r="K6400" s="178" t="s">
        <v>5322</v>
      </c>
      <c r="L6400" s="125" t="s">
        <v>1579</v>
      </c>
      <c r="M6400">
        <v>176</v>
      </c>
      <c r="N6400" s="182">
        <v>17</v>
      </c>
      <c r="O6400">
        <v>4213</v>
      </c>
      <c r="P6400" s="132" t="s">
        <v>77</v>
      </c>
      <c r="Q6400" s="176">
        <v>237</v>
      </c>
      <c r="R6400" s="176"/>
      <c r="S6400" s="176"/>
      <c r="T6400" s="190"/>
      <c r="U6400" s="191"/>
      <c r="V6400" s="191">
        <v>237</v>
      </c>
      <c r="W6400">
        <v>93</v>
      </c>
      <c r="X6400" s="186" t="s">
        <v>1644</v>
      </c>
      <c r="Y6400" s="187" t="s">
        <v>55</v>
      </c>
      <c r="Z6400" s="311" t="s">
        <v>214</v>
      </c>
      <c r="AB6400" t="str">
        <f>IF(Table1[[#This Row],[TIPO2]]="costo", VLOOKUP(Table1[[#This Row],[PARTIDA PRESUPUESTAL]],'Cost Report'!G:G,1,0),"Balance")</f>
        <v>4180-003</v>
      </c>
      <c r="AD6400" s="159">
        <f>+Table1[[#This Row],[SUBTOTAL]]+Table1[[#This Row],[IVA]]-Table1[[#This Row],[RET IVA]]-Table1[[#This Row],[RET ISR]]-Table1[[#This Row],[TOTAL]]</f>
        <v>0</v>
      </c>
      <c r="AG6400" t="s">
        <v>3420</v>
      </c>
      <c r="AK6400" s="306" t="str">
        <f>IF(ISNUMBER(Table1[[#This Row],[FECHA DE RECIBIDO]]), Table1[[#This Row],[FECHA DE RECIBIDO]]-DATE(2023,8,30), "")</f>
        <v/>
      </c>
    </row>
    <row r="6401" spans="1:37" ht="16.05" customHeight="1">
      <c r="A6401" s="172" t="s">
        <v>5319</v>
      </c>
      <c r="B6401" s="178">
        <v>2282</v>
      </c>
      <c r="C6401" s="179" t="s">
        <v>3108</v>
      </c>
      <c r="D6401">
        <v>3623</v>
      </c>
      <c r="E6401" s="125"/>
      <c r="F6401" s="178"/>
      <c r="G6401" s="178"/>
      <c r="H6401"/>
      <c r="I6401" s="178"/>
      <c r="J6401" s="320" t="s">
        <v>214</v>
      </c>
      <c r="K6401" s="178" t="s">
        <v>5322</v>
      </c>
      <c r="L6401" s="125" t="s">
        <v>1579</v>
      </c>
      <c r="M6401">
        <v>512</v>
      </c>
      <c r="N6401" s="182">
        <v>17</v>
      </c>
      <c r="O6401">
        <v>162</v>
      </c>
      <c r="P6401" s="132" t="s">
        <v>77</v>
      </c>
      <c r="Q6401" s="176">
        <v>34.22</v>
      </c>
      <c r="R6401" s="176"/>
      <c r="S6401" s="176"/>
      <c r="T6401" s="190"/>
      <c r="U6401" s="191"/>
      <c r="V6401" s="191">
        <v>34.22</v>
      </c>
      <c r="W6401">
        <v>93</v>
      </c>
      <c r="X6401" s="186" t="s">
        <v>1644</v>
      </c>
      <c r="Y6401" s="187" t="s">
        <v>55</v>
      </c>
      <c r="Z6401" s="311" t="s">
        <v>214</v>
      </c>
      <c r="AB6401" t="str">
        <f>IF(Table1[[#This Row],[TIPO2]]="costo", VLOOKUP(Table1[[#This Row],[PARTIDA PRESUPUESTAL]],'Cost Report'!G:G,1,0),"Balance")</f>
        <v>7080-003</v>
      </c>
      <c r="AD6401" s="159">
        <f>+Table1[[#This Row],[SUBTOTAL]]+Table1[[#This Row],[IVA]]-Table1[[#This Row],[RET IVA]]-Table1[[#This Row],[RET ISR]]-Table1[[#This Row],[TOTAL]]</f>
        <v>0</v>
      </c>
      <c r="AG6401" t="s">
        <v>3420</v>
      </c>
      <c r="AK6401" s="306" t="str">
        <f>IF(ISNUMBER(Table1[[#This Row],[FECHA DE RECIBIDO]]), Table1[[#This Row],[FECHA DE RECIBIDO]]-DATE(2023,8,30), "")</f>
        <v/>
      </c>
    </row>
    <row r="6402" spans="1:37" ht="16.05" customHeight="1">
      <c r="A6402" s="172" t="s">
        <v>5319</v>
      </c>
      <c r="B6402" s="178">
        <v>2282</v>
      </c>
      <c r="C6402" s="179" t="s">
        <v>2436</v>
      </c>
      <c r="D6402">
        <v>3623</v>
      </c>
      <c r="E6402" s="125"/>
      <c r="F6402" s="178"/>
      <c r="G6402" s="178"/>
      <c r="H6402"/>
      <c r="I6402" s="178"/>
      <c r="J6402" s="320" t="s">
        <v>214</v>
      </c>
      <c r="K6402" s="178" t="s">
        <v>5322</v>
      </c>
      <c r="L6402" s="125" t="s">
        <v>1579</v>
      </c>
      <c r="M6402">
        <v>1477</v>
      </c>
      <c r="N6402" s="182">
        <v>17</v>
      </c>
      <c r="O6402">
        <v>4214</v>
      </c>
      <c r="P6402" s="132" t="s">
        <v>77</v>
      </c>
      <c r="Q6402" s="176">
        <v>635.25</v>
      </c>
      <c r="R6402" s="176"/>
      <c r="S6402" s="176"/>
      <c r="T6402" s="190"/>
      <c r="U6402" s="191"/>
      <c r="V6402" s="191">
        <v>635.25</v>
      </c>
      <c r="W6402">
        <v>93</v>
      </c>
      <c r="X6402" s="186" t="s">
        <v>1644</v>
      </c>
      <c r="Y6402" s="187" t="s">
        <v>55</v>
      </c>
      <c r="Z6402" s="311" t="s">
        <v>214</v>
      </c>
      <c r="AB6402" t="str">
        <f>IF(Table1[[#This Row],[TIPO2]]="costo", VLOOKUP(Table1[[#This Row],[PARTIDA PRESUPUESTAL]],'Cost Report'!G:G,1,0),"Balance")</f>
        <v>2042-003</v>
      </c>
      <c r="AD6402" s="159">
        <f>+Table1[[#This Row],[SUBTOTAL]]+Table1[[#This Row],[IVA]]-Table1[[#This Row],[RET IVA]]-Table1[[#This Row],[RET ISR]]-Table1[[#This Row],[TOTAL]]</f>
        <v>0</v>
      </c>
      <c r="AG6402" t="s">
        <v>3420</v>
      </c>
      <c r="AK6402" s="306" t="str">
        <f>IF(ISNUMBER(Table1[[#This Row],[FECHA DE RECIBIDO]]), Table1[[#This Row],[FECHA DE RECIBIDO]]-DATE(2023,8,30), "")</f>
        <v/>
      </c>
    </row>
    <row r="6403" spans="1:37" ht="16.05" customHeight="1">
      <c r="A6403" s="172" t="s">
        <v>5320</v>
      </c>
      <c r="B6403" s="178">
        <v>2283</v>
      </c>
      <c r="C6403" s="179" t="s">
        <v>3108</v>
      </c>
      <c r="D6403">
        <v>4385</v>
      </c>
      <c r="E6403" s="125" t="s">
        <v>1615</v>
      </c>
      <c r="F6403" s="178">
        <v>601</v>
      </c>
      <c r="G6403" s="178" t="s">
        <v>134</v>
      </c>
      <c r="H6403">
        <v>274</v>
      </c>
      <c r="I6403" s="178" t="s">
        <v>1546</v>
      </c>
      <c r="J6403" s="320" t="s">
        <v>214</v>
      </c>
      <c r="K6403" s="178" t="s">
        <v>5322</v>
      </c>
      <c r="L6403" s="125" t="s">
        <v>1579</v>
      </c>
      <c r="M6403">
        <v>365</v>
      </c>
      <c r="N6403" s="182">
        <v>17</v>
      </c>
      <c r="O6403">
        <v>4215</v>
      </c>
      <c r="P6403" s="132" t="s">
        <v>77</v>
      </c>
      <c r="Q6403" s="176">
        <v>765.96</v>
      </c>
      <c r="R6403" s="176">
        <v>122.55</v>
      </c>
      <c r="S6403" s="176"/>
      <c r="T6403" s="190"/>
      <c r="U6403" s="191"/>
      <c r="V6403" s="191">
        <v>888.51</v>
      </c>
      <c r="W6403">
        <v>167</v>
      </c>
      <c r="X6403" s="186" t="s">
        <v>1644</v>
      </c>
      <c r="Y6403" s="187" t="s">
        <v>55</v>
      </c>
      <c r="Z6403" s="311" t="s">
        <v>214</v>
      </c>
      <c r="AB6403" t="str">
        <f>IF(Table1[[#This Row],[TIPO2]]="costo", VLOOKUP(Table1[[#This Row],[PARTIDA PRESUPUESTAL]],'Cost Report'!G:G,1,0),"Balance")</f>
        <v>7080-003</v>
      </c>
      <c r="AD6403" s="159">
        <f>+Table1[[#This Row],[SUBTOTAL]]+Table1[[#This Row],[IVA]]-Table1[[#This Row],[RET IVA]]-Table1[[#This Row],[RET ISR]]-Table1[[#This Row],[TOTAL]]</f>
        <v>0</v>
      </c>
      <c r="AG6403" t="s">
        <v>3420</v>
      </c>
      <c r="AK6403" s="306" t="str">
        <f>IF(ISNUMBER(Table1[[#This Row],[FECHA DE RECIBIDO]]), Table1[[#This Row],[FECHA DE RECIBIDO]]-DATE(2023,8,30), "")</f>
        <v/>
      </c>
    </row>
    <row r="6404" spans="1:37" ht="16.05" customHeight="1">
      <c r="A6404" s="172" t="s">
        <v>5321</v>
      </c>
      <c r="B6404" s="178">
        <v>2284</v>
      </c>
      <c r="C6404" s="179" t="s">
        <v>71</v>
      </c>
      <c r="D6404"/>
      <c r="E6404" s="125"/>
      <c r="F6404" s="178"/>
      <c r="G6404" s="178"/>
      <c r="H6404"/>
      <c r="I6404" s="178"/>
      <c r="J6404" s="320" t="s">
        <v>214</v>
      </c>
      <c r="K6404" s="178" t="s">
        <v>5322</v>
      </c>
      <c r="L6404" s="125" t="s">
        <v>1579</v>
      </c>
      <c r="M6404">
        <v>1478</v>
      </c>
      <c r="N6404" s="182">
        <v>17</v>
      </c>
      <c r="O6404">
        <v>4216</v>
      </c>
      <c r="P6404" s="131" t="s">
        <v>78</v>
      </c>
      <c r="Q6404" s="176">
        <v>-26422.09</v>
      </c>
      <c r="R6404" s="176"/>
      <c r="S6404" s="176"/>
      <c r="T6404" s="190"/>
      <c r="U6404" s="191"/>
      <c r="V6404" s="191">
        <v>-26422.09</v>
      </c>
      <c r="W6404">
        <v>104</v>
      </c>
      <c r="X6404" s="186" t="s">
        <v>1644</v>
      </c>
      <c r="Y6404" s="187" t="s">
        <v>55</v>
      </c>
      <c r="Z6404" s="311">
        <v>289</v>
      </c>
      <c r="AB6404" t="str">
        <f>IF(Table1[[#This Row],[TIPO2]]="costo", VLOOKUP(Table1[[#This Row],[PARTIDA PRESUPUESTAL]],'Cost Report'!G:G,1,0),"Balance")</f>
        <v>Balance</v>
      </c>
      <c r="AD6404" s="159">
        <f>+Table1[[#This Row],[SUBTOTAL]]+Table1[[#This Row],[IVA]]-Table1[[#This Row],[RET IVA]]-Table1[[#This Row],[RET ISR]]-Table1[[#This Row],[TOTAL]]</f>
        <v>0</v>
      </c>
      <c r="AK6404" s="306" t="str">
        <f>IF(ISNUMBER(Table1[[#This Row],[FECHA DE RECIBIDO]]), Table1[[#This Row],[FECHA DE RECIBIDO]]-DATE(2023,8,30), "")</f>
        <v/>
      </c>
    </row>
    <row r="6405" spans="1:37">
      <c r="A6405" s="172"/>
      <c r="B6405" s="178"/>
      <c r="C6405" s="179" t="s">
        <v>71</v>
      </c>
      <c r="D6405"/>
      <c r="E6405" s="125"/>
      <c r="F6405" s="178"/>
      <c r="G6405" s="178"/>
      <c r="H6405"/>
      <c r="I6405" s="178"/>
      <c r="J6405" s="320" t="s">
        <v>214</v>
      </c>
      <c r="K6405" s="178" t="s">
        <v>5322</v>
      </c>
      <c r="L6405" s="125" t="s">
        <v>1643</v>
      </c>
      <c r="M6405">
        <v>1479</v>
      </c>
      <c r="N6405" s="182"/>
      <c r="O6405">
        <v>4217</v>
      </c>
      <c r="P6405" s="131" t="s">
        <v>78</v>
      </c>
      <c r="Q6405" s="176">
        <v>-81118.58</v>
      </c>
      <c r="R6405" s="176"/>
      <c r="S6405" s="176"/>
      <c r="T6405" s="190">
        <v>0</v>
      </c>
      <c r="U6405" s="191"/>
      <c r="V6405" s="191">
        <f>+Table1[[#This Row],[SUBTOTAL]]</f>
        <v>-81118.58</v>
      </c>
      <c r="W6405"/>
      <c r="X6405" s="186"/>
      <c r="Y6405" s="187"/>
      <c r="Z6405" s="311" t="s">
        <v>214</v>
      </c>
      <c r="AB6405" t="str">
        <f>IF(Table1[[#This Row],[TIPO2]]="costo", VLOOKUP(Table1[[#This Row],[PARTIDA PRESUPUESTAL]],'Cost Report'!G:G,1,0),"Balance")</f>
        <v>Balance</v>
      </c>
      <c r="AD6405" s="159">
        <f>+Table1[[#This Row],[SUBTOTAL]]+Table1[[#This Row],[IVA]]-Table1[[#This Row],[RET IVA]]-Table1[[#This Row],[RET ISR]]-Table1[[#This Row],[TOTAL]]</f>
        <v>0</v>
      </c>
      <c r="AG6405" t="s">
        <v>3420</v>
      </c>
      <c r="AK6405" s="306" t="str">
        <f>IF(ISNUMBER(Table1[[#This Row],[FECHA DE RECIBIDO]]), Table1[[#This Row],[FECHA DE RECIBIDO]]-DATE(2023,8,30), "")</f>
        <v/>
      </c>
    </row>
    <row r="6406" spans="1:37" ht="16.95" customHeight="1">
      <c r="A6406" s="172" t="s">
        <v>1924</v>
      </c>
      <c r="B6406" s="178">
        <v>190</v>
      </c>
      <c r="C6406" s="179" t="s">
        <v>69</v>
      </c>
      <c r="D6406"/>
      <c r="E6406" s="125" t="s">
        <v>1911</v>
      </c>
      <c r="F6406" s="178" t="s">
        <v>1911</v>
      </c>
      <c r="G6406" s="178" t="s">
        <v>1911</v>
      </c>
      <c r="H6406"/>
      <c r="I6406" s="178" t="s">
        <v>1911</v>
      </c>
      <c r="J6406" s="320" t="s">
        <v>214</v>
      </c>
      <c r="K6406" s="178" t="s">
        <v>5322</v>
      </c>
      <c r="L6406" s="125" t="s">
        <v>118</v>
      </c>
      <c r="M6406">
        <v>139</v>
      </c>
      <c r="N6406" s="182">
        <v>1</v>
      </c>
      <c r="O6406">
        <v>308</v>
      </c>
      <c r="P6406" s="176" t="s">
        <v>78</v>
      </c>
      <c r="Q6406" s="237">
        <v>-15000</v>
      </c>
      <c r="R6406" s="176">
        <v>0</v>
      </c>
      <c r="S6406" s="176">
        <v>0</v>
      </c>
      <c r="T6406" s="190">
        <v>0</v>
      </c>
      <c r="U6406" s="191">
        <v>0</v>
      </c>
      <c r="V6406" s="191">
        <v>-15000</v>
      </c>
      <c r="W6406">
        <v>64</v>
      </c>
      <c r="X6406" s="186" t="s">
        <v>1925</v>
      </c>
      <c r="Y6406" s="187" t="s">
        <v>55</v>
      </c>
      <c r="Z6406" s="311" t="s">
        <v>214</v>
      </c>
      <c r="AB6406" t="str">
        <f>IF(Table1[[#This Row],[TIPO2]]="costo", VLOOKUP(Table1[[#This Row],[PARTIDA PRESUPUESTAL]],'Cost Report'!G:G,1,0),"Balance")</f>
        <v>Balance</v>
      </c>
      <c r="AD6406" s="159">
        <f>+Table1[[#This Row],[SUBTOTAL]]+Table1[[#This Row],[IVA]]-Table1[[#This Row],[RET IVA]]-Table1[[#This Row],[RET ISR]]-Table1[[#This Row],[TOTAL]]</f>
        <v>0</v>
      </c>
      <c r="AK6406" s="306" t="str">
        <f>IF(ISNUMBER(Table1[[#This Row],[FECHA DE RECIBIDO]]), Table1[[#This Row],[FECHA DE RECIBIDO]]-DATE(2023,8,30), "")</f>
        <v/>
      </c>
    </row>
    <row r="6407" spans="1:37" ht="16.95" customHeight="1">
      <c r="A6407" s="172" t="s">
        <v>1979</v>
      </c>
      <c r="B6407" s="178">
        <v>245</v>
      </c>
      <c r="C6407" s="179" t="s">
        <v>69</v>
      </c>
      <c r="D6407"/>
      <c r="E6407" s="125" t="s">
        <v>1911</v>
      </c>
      <c r="F6407" s="178" t="s">
        <v>1911</v>
      </c>
      <c r="G6407" s="178" t="s">
        <v>1911</v>
      </c>
      <c r="H6407"/>
      <c r="I6407" s="178" t="s">
        <v>1911</v>
      </c>
      <c r="J6407" s="320" t="s">
        <v>214</v>
      </c>
      <c r="K6407" s="178" t="s">
        <v>5322</v>
      </c>
      <c r="L6407" s="125" t="s">
        <v>118</v>
      </c>
      <c r="M6407">
        <v>160</v>
      </c>
      <c r="N6407" s="182">
        <v>1</v>
      </c>
      <c r="O6407">
        <v>363</v>
      </c>
      <c r="P6407" s="176" t="s">
        <v>78</v>
      </c>
      <c r="Q6407" s="237">
        <v>-14000</v>
      </c>
      <c r="R6407" s="176">
        <v>0</v>
      </c>
      <c r="S6407" s="176">
        <v>0</v>
      </c>
      <c r="T6407" s="190">
        <v>0</v>
      </c>
      <c r="U6407" s="191">
        <v>0</v>
      </c>
      <c r="V6407" s="191">
        <v>-14000</v>
      </c>
      <c r="W6407">
        <v>84</v>
      </c>
      <c r="X6407" s="186" t="s">
        <v>1980</v>
      </c>
      <c r="Y6407" s="187" t="s">
        <v>55</v>
      </c>
      <c r="Z6407" s="311">
        <v>198</v>
      </c>
      <c r="AB6407" t="str">
        <f>IF(Table1[[#This Row],[TIPO2]]="costo", VLOOKUP(Table1[[#This Row],[PARTIDA PRESUPUESTAL]],'Cost Report'!G:G,1,0),"Balance")</f>
        <v>Balance</v>
      </c>
      <c r="AD6407" s="159">
        <f>+Table1[[#This Row],[SUBTOTAL]]+Table1[[#This Row],[IVA]]-Table1[[#This Row],[RET IVA]]-Table1[[#This Row],[RET ISR]]-Table1[[#This Row],[TOTAL]]</f>
        <v>0</v>
      </c>
      <c r="AK6407" s="306" t="str">
        <f>IF(ISNUMBER(Table1[[#This Row],[FECHA DE RECIBIDO]]), Table1[[#This Row],[FECHA DE RECIBIDO]]-DATE(2023,8,30), "")</f>
        <v/>
      </c>
    </row>
    <row r="6408" spans="1:37" ht="16.95" customHeight="1">
      <c r="A6408" s="172" t="s">
        <v>2036</v>
      </c>
      <c r="B6408" s="178">
        <v>271</v>
      </c>
      <c r="C6408" s="179" t="s">
        <v>69</v>
      </c>
      <c r="D6408"/>
      <c r="E6408" s="125" t="s">
        <v>1911</v>
      </c>
      <c r="F6408" s="178" t="s">
        <v>1911</v>
      </c>
      <c r="G6408" s="178" t="s">
        <v>1911</v>
      </c>
      <c r="H6408"/>
      <c r="I6408" s="178" t="s">
        <v>1911</v>
      </c>
      <c r="J6408" s="320" t="s">
        <v>214</v>
      </c>
      <c r="K6408" s="178" t="s">
        <v>5322</v>
      </c>
      <c r="L6408" s="125" t="s">
        <v>118</v>
      </c>
      <c r="M6408">
        <v>164</v>
      </c>
      <c r="N6408" s="182">
        <v>51</v>
      </c>
      <c r="O6408">
        <v>377</v>
      </c>
      <c r="P6408" s="176" t="s">
        <v>78</v>
      </c>
      <c r="Q6408" s="237">
        <v>-30000</v>
      </c>
      <c r="R6408" s="176">
        <v>0</v>
      </c>
      <c r="S6408" s="176">
        <v>0</v>
      </c>
      <c r="T6408" s="190">
        <v>0</v>
      </c>
      <c r="U6408" s="191">
        <v>0</v>
      </c>
      <c r="V6408" s="191">
        <v>-30000</v>
      </c>
      <c r="W6408">
        <v>87</v>
      </c>
      <c r="X6408" s="186" t="s">
        <v>2037</v>
      </c>
      <c r="Y6408" s="187" t="s">
        <v>55</v>
      </c>
      <c r="Z6408" s="311">
        <v>203</v>
      </c>
      <c r="AB6408" t="str">
        <f>IF(Table1[[#This Row],[TIPO2]]="costo", VLOOKUP(Table1[[#This Row],[PARTIDA PRESUPUESTAL]],'Cost Report'!G:G,1,0),"Balance")</f>
        <v>Balance</v>
      </c>
      <c r="AD6408" s="159">
        <f>+Table1[[#This Row],[SUBTOTAL]]+Table1[[#This Row],[IVA]]-Table1[[#This Row],[RET IVA]]-Table1[[#This Row],[RET ISR]]-Table1[[#This Row],[TOTAL]]</f>
        <v>0</v>
      </c>
      <c r="AK6408" s="306" t="str">
        <f>IF(ISNUMBER(Table1[[#This Row],[FECHA DE RECIBIDO]]), Table1[[#This Row],[FECHA DE RECIBIDO]]-DATE(2023,8,30), "")</f>
        <v/>
      </c>
    </row>
    <row r="6409" spans="1:37" ht="16.95" customHeight="1">
      <c r="A6409" s="172" t="s">
        <v>2044</v>
      </c>
      <c r="B6409" s="178">
        <v>287</v>
      </c>
      <c r="C6409" s="179" t="s">
        <v>69</v>
      </c>
      <c r="D6409"/>
      <c r="E6409" s="125" t="s">
        <v>1911</v>
      </c>
      <c r="F6409" s="178" t="s">
        <v>1911</v>
      </c>
      <c r="G6409" s="178" t="s">
        <v>1911</v>
      </c>
      <c r="H6409"/>
      <c r="I6409" s="178" t="s">
        <v>1911</v>
      </c>
      <c r="J6409" s="320" t="s">
        <v>214</v>
      </c>
      <c r="K6409" s="178" t="s">
        <v>5322</v>
      </c>
      <c r="L6409" s="125" t="s">
        <v>118</v>
      </c>
      <c r="M6409">
        <v>160</v>
      </c>
      <c r="N6409" s="182">
        <v>51</v>
      </c>
      <c r="O6409">
        <v>384</v>
      </c>
      <c r="P6409" s="176" t="s">
        <v>78</v>
      </c>
      <c r="Q6409" s="237">
        <v>-10000</v>
      </c>
      <c r="R6409" s="176">
        <v>0</v>
      </c>
      <c r="S6409" s="176">
        <v>0</v>
      </c>
      <c r="T6409" s="190">
        <v>0</v>
      </c>
      <c r="U6409" s="191">
        <v>0</v>
      </c>
      <c r="V6409" s="191">
        <v>-10000</v>
      </c>
      <c r="W6409">
        <v>84</v>
      </c>
      <c r="X6409" s="186" t="s">
        <v>1980</v>
      </c>
      <c r="Y6409" s="187" t="s">
        <v>55</v>
      </c>
      <c r="Z6409" s="311">
        <v>203</v>
      </c>
      <c r="AB6409" t="str">
        <f>IF(Table1[[#This Row],[TIPO2]]="costo", VLOOKUP(Table1[[#This Row],[PARTIDA PRESUPUESTAL]],'Cost Report'!G:G,1,0),"Balance")</f>
        <v>Balance</v>
      </c>
      <c r="AD6409" s="159">
        <f>+Table1[[#This Row],[SUBTOTAL]]+Table1[[#This Row],[IVA]]-Table1[[#This Row],[RET IVA]]-Table1[[#This Row],[RET ISR]]-Table1[[#This Row],[TOTAL]]</f>
        <v>0</v>
      </c>
      <c r="AK6409" s="306" t="str">
        <f>IF(ISNUMBER(Table1[[#This Row],[FECHA DE RECIBIDO]]), Table1[[#This Row],[FECHA DE RECIBIDO]]-DATE(2023,8,30), "")</f>
        <v/>
      </c>
    </row>
    <row r="6410" spans="1:37" ht="16.95" customHeight="1">
      <c r="A6410" s="172" t="s">
        <v>3749</v>
      </c>
      <c r="B6410" s="178">
        <v>774</v>
      </c>
      <c r="C6410" s="179" t="s">
        <v>69</v>
      </c>
      <c r="D6410"/>
      <c r="E6410" s="125" t="s">
        <v>1911</v>
      </c>
      <c r="F6410" s="178" t="s">
        <v>1911</v>
      </c>
      <c r="G6410" s="178" t="s">
        <v>1911</v>
      </c>
      <c r="H6410"/>
      <c r="I6410" s="178" t="s">
        <v>1911</v>
      </c>
      <c r="J6410" s="320" t="s">
        <v>214</v>
      </c>
      <c r="K6410" s="178" t="s">
        <v>5322</v>
      </c>
      <c r="L6410" s="125" t="s">
        <v>3306</v>
      </c>
      <c r="M6410">
        <v>625</v>
      </c>
      <c r="N6410" s="182">
        <v>51</v>
      </c>
      <c r="O6410">
        <v>1475</v>
      </c>
      <c r="P6410" s="176" t="s">
        <v>78</v>
      </c>
      <c r="Q6410" s="237">
        <v>-90400</v>
      </c>
      <c r="R6410" s="176">
        <v>0</v>
      </c>
      <c r="S6410" s="176">
        <v>0</v>
      </c>
      <c r="T6410" s="190">
        <v>0</v>
      </c>
      <c r="U6410" s="191">
        <v>0</v>
      </c>
      <c r="V6410" s="191">
        <v>-90440</v>
      </c>
      <c r="W6410">
        <v>237</v>
      </c>
      <c r="X6410" s="186" t="s">
        <v>2035</v>
      </c>
      <c r="Y6410" s="187" t="s">
        <v>55</v>
      </c>
      <c r="Z6410" s="311">
        <v>233</v>
      </c>
      <c r="AB6410" t="str">
        <f>IF(Table1[[#This Row],[TIPO2]]="costo", VLOOKUP(Table1[[#This Row],[PARTIDA PRESUPUESTAL]],'Cost Report'!G:G,1,0),"Balance")</f>
        <v>Balance</v>
      </c>
      <c r="AD6410" s="159">
        <f>+Table1[[#This Row],[SUBTOTAL]]+Table1[[#This Row],[IVA]]-Table1[[#This Row],[RET IVA]]-Table1[[#This Row],[RET ISR]]-Table1[[#This Row],[TOTAL]]</f>
        <v>40</v>
      </c>
      <c r="AK6410" s="306" t="str">
        <f>IF(ISNUMBER(Table1[[#This Row],[FECHA DE RECIBIDO]]), Table1[[#This Row],[FECHA DE RECIBIDO]]-DATE(2023,8,30), "")</f>
        <v/>
      </c>
    </row>
    <row r="6411" spans="1:37" ht="16.05" customHeight="1">
      <c r="A6411" s="172" t="s">
        <v>5326</v>
      </c>
      <c r="B6411" s="198">
        <v>2226</v>
      </c>
      <c r="C6411" s="179" t="s">
        <v>596</v>
      </c>
      <c r="D6411">
        <v>4386</v>
      </c>
      <c r="E6411" s="125" t="s">
        <v>3147</v>
      </c>
      <c r="F6411" s="178">
        <v>612</v>
      </c>
      <c r="G6411" s="178" t="s">
        <v>129</v>
      </c>
      <c r="H6411">
        <v>1061</v>
      </c>
      <c r="I6411" s="178" t="s">
        <v>1546</v>
      </c>
      <c r="J6411" s="320" t="s">
        <v>214</v>
      </c>
      <c r="K6411" s="178" t="s">
        <v>5325</v>
      </c>
      <c r="L6411" s="125" t="s">
        <v>110</v>
      </c>
      <c r="M6411">
        <v>1480</v>
      </c>
      <c r="N6411" s="182">
        <v>256</v>
      </c>
      <c r="O6411">
        <v>4218</v>
      </c>
      <c r="P6411" s="176" t="s">
        <v>77</v>
      </c>
      <c r="Q6411" s="202">
        <v>3900</v>
      </c>
      <c r="R6411" s="176">
        <v>624</v>
      </c>
      <c r="S6411" s="176"/>
      <c r="T6411" s="190">
        <v>416</v>
      </c>
      <c r="U6411" s="191">
        <v>390</v>
      </c>
      <c r="V6411" s="191">
        <f t="shared" ref="V6411:V6492" si="67">+Q6411+R6411-T6411-U6411</f>
        <v>3718</v>
      </c>
      <c r="W6411">
        <v>496</v>
      </c>
      <c r="X6411" s="186" t="s">
        <v>1429</v>
      </c>
      <c r="Y6411" s="187" t="s">
        <v>55</v>
      </c>
      <c r="Z6411" s="311">
        <v>293</v>
      </c>
      <c r="AB6411" t="str">
        <f>IF(Table1[[#This Row],[TIPO2]]="costo", VLOOKUP(Table1[[#This Row],[PARTIDA PRESUPUESTAL]],'Cost Report'!G:G,1,0),"Balance")</f>
        <v>2403-005</v>
      </c>
      <c r="AD6411" s="159">
        <f>+Table1[[#This Row],[SUBTOTAL]]+Table1[[#This Row],[IVA]]-Table1[[#This Row],[RET IVA]]-Table1[[#This Row],[RET ISR]]-Table1[[#This Row],[TOTAL]]</f>
        <v>0</v>
      </c>
      <c r="AK6411" s="306" t="str">
        <f>IF(ISNUMBER(Table1[[#This Row],[FECHA DE RECIBIDO]]), Table1[[#This Row],[FECHA DE RECIBIDO]]-DATE(2023,8,30), "")</f>
        <v/>
      </c>
    </row>
    <row r="6412" spans="1:37" ht="16.05" customHeight="1">
      <c r="A6412" s="172" t="s">
        <v>5327</v>
      </c>
      <c r="B6412" s="198">
        <v>2257</v>
      </c>
      <c r="C6412" s="179" t="s">
        <v>327</v>
      </c>
      <c r="D6412">
        <v>4387</v>
      </c>
      <c r="E6412" s="125">
        <v>45609</v>
      </c>
      <c r="F6412" s="178">
        <v>626</v>
      </c>
      <c r="G6412" s="178" t="s">
        <v>109</v>
      </c>
      <c r="H6412">
        <v>530</v>
      </c>
      <c r="I6412" s="178" t="s">
        <v>1546</v>
      </c>
      <c r="J6412" s="320">
        <v>280.6430555555562</v>
      </c>
      <c r="K6412" s="178" t="s">
        <v>5325</v>
      </c>
      <c r="L6412" s="125" t="s">
        <v>110</v>
      </c>
      <c r="M6412">
        <v>754</v>
      </c>
      <c r="N6412" s="182">
        <v>160</v>
      </c>
      <c r="O6412">
        <v>4219</v>
      </c>
      <c r="P6412" s="176" t="s">
        <v>77</v>
      </c>
      <c r="Q6412" s="202">
        <v>12600</v>
      </c>
      <c r="R6412" s="176">
        <v>2016</v>
      </c>
      <c r="S6412" s="176"/>
      <c r="T6412" s="190">
        <v>1344</v>
      </c>
      <c r="U6412" s="191">
        <v>157.5</v>
      </c>
      <c r="V6412" s="191">
        <f t="shared" si="67"/>
        <v>13114.5</v>
      </c>
      <c r="W6412">
        <v>302</v>
      </c>
      <c r="X6412" s="186" t="s">
        <v>1429</v>
      </c>
      <c r="Y6412" s="187" t="s">
        <v>55</v>
      </c>
      <c r="Z6412" s="311">
        <v>294</v>
      </c>
      <c r="AB6412" t="str">
        <f>IF(Table1[[#This Row],[TIPO2]]="costo", VLOOKUP(Table1[[#This Row],[PARTIDA PRESUPUESTAL]],'Cost Report'!G:G,1,0),"Balance")</f>
        <v>1403-023</v>
      </c>
      <c r="AD6412" s="159">
        <f>+Table1[[#This Row],[SUBTOTAL]]+Table1[[#This Row],[IVA]]-Table1[[#This Row],[RET IVA]]-Table1[[#This Row],[RET ISR]]-Table1[[#This Row],[TOTAL]]</f>
        <v>0</v>
      </c>
      <c r="AK6412" s="306">
        <f>IF(ISNUMBER(Table1[[#This Row],[FECHA DE RECIBIDO]]), Table1[[#This Row],[FECHA DE RECIBIDO]]-DATE(2023,8,30), "")</f>
        <v>-44887.356944444444</v>
      </c>
    </row>
    <row r="6413" spans="1:37" ht="16.05" customHeight="1">
      <c r="A6413" s="172" t="s">
        <v>5328</v>
      </c>
      <c r="B6413" s="198">
        <v>2260</v>
      </c>
      <c r="C6413" s="179" t="s">
        <v>1712</v>
      </c>
      <c r="D6413">
        <v>4388</v>
      </c>
      <c r="E6413" s="125" t="s">
        <v>3145</v>
      </c>
      <c r="F6413" s="178">
        <v>612</v>
      </c>
      <c r="G6413" s="178" t="s">
        <v>129</v>
      </c>
      <c r="H6413">
        <v>1062</v>
      </c>
      <c r="I6413" s="178" t="s">
        <v>1546</v>
      </c>
      <c r="J6413" s="320" t="s">
        <v>214</v>
      </c>
      <c r="K6413" s="178" t="s">
        <v>5325</v>
      </c>
      <c r="L6413" s="125" t="s">
        <v>110</v>
      </c>
      <c r="M6413">
        <v>1481</v>
      </c>
      <c r="N6413" s="182">
        <v>257</v>
      </c>
      <c r="O6413">
        <v>4220</v>
      </c>
      <c r="P6413" s="176" t="s">
        <v>77</v>
      </c>
      <c r="Q6413" s="202">
        <v>9154</v>
      </c>
      <c r="R6413" s="176">
        <v>1464.64</v>
      </c>
      <c r="S6413" s="176"/>
      <c r="T6413" s="190">
        <v>976.43</v>
      </c>
      <c r="U6413" s="191">
        <v>915.4</v>
      </c>
      <c r="V6413" s="191">
        <f t="shared" si="67"/>
        <v>8726.81</v>
      </c>
      <c r="W6413">
        <v>497</v>
      </c>
      <c r="X6413" s="186" t="s">
        <v>1433</v>
      </c>
      <c r="Y6413" s="187" t="s">
        <v>55</v>
      </c>
      <c r="Z6413" s="311">
        <v>293</v>
      </c>
      <c r="AB6413" t="str">
        <f>IF(Table1[[#This Row],[TIPO2]]="costo", VLOOKUP(Table1[[#This Row],[PARTIDA PRESUPUESTAL]],'Cost Report'!G:G,1,0),"Balance")</f>
        <v>1411-007</v>
      </c>
      <c r="AD6413" s="159">
        <f>+Table1[[#This Row],[SUBTOTAL]]+Table1[[#This Row],[IVA]]-Table1[[#This Row],[RET IVA]]-Table1[[#This Row],[RET ISR]]-Table1[[#This Row],[TOTAL]]</f>
        <v>0</v>
      </c>
      <c r="AK6413" s="306" t="str">
        <f>IF(ISNUMBER(Table1[[#This Row],[FECHA DE RECIBIDO]]), Table1[[#This Row],[FECHA DE RECIBIDO]]-DATE(2023,8,30), "")</f>
        <v/>
      </c>
    </row>
    <row r="6414" spans="1:37" ht="16.05" customHeight="1">
      <c r="A6414" s="172" t="s">
        <v>5329</v>
      </c>
      <c r="B6414" s="198">
        <v>2261</v>
      </c>
      <c r="C6414" s="179" t="s">
        <v>2264</v>
      </c>
      <c r="D6414">
        <v>4389</v>
      </c>
      <c r="E6414" s="125" t="s">
        <v>3145</v>
      </c>
      <c r="F6414" s="178">
        <v>612</v>
      </c>
      <c r="G6414" s="178" t="s">
        <v>129</v>
      </c>
      <c r="H6414">
        <v>1062</v>
      </c>
      <c r="I6414" s="178" t="s">
        <v>1546</v>
      </c>
      <c r="J6414" s="320" t="s">
        <v>214</v>
      </c>
      <c r="K6414" s="178" t="s">
        <v>5325</v>
      </c>
      <c r="L6414" s="125" t="s">
        <v>110</v>
      </c>
      <c r="M6414">
        <v>1481</v>
      </c>
      <c r="N6414" s="182">
        <v>257</v>
      </c>
      <c r="O6414">
        <v>4221</v>
      </c>
      <c r="P6414" s="176" t="s">
        <v>77</v>
      </c>
      <c r="Q6414" s="202">
        <v>8936</v>
      </c>
      <c r="R6414" s="176">
        <v>1429.76</v>
      </c>
      <c r="S6414" s="176"/>
      <c r="T6414" s="190">
        <v>953.18</v>
      </c>
      <c r="U6414" s="191">
        <v>893.6</v>
      </c>
      <c r="V6414" s="191">
        <f t="shared" si="67"/>
        <v>8518.98</v>
      </c>
      <c r="W6414">
        <v>497</v>
      </c>
      <c r="X6414" s="186" t="s">
        <v>1433</v>
      </c>
      <c r="Y6414" s="187" t="s">
        <v>55</v>
      </c>
      <c r="Z6414" s="311">
        <v>293</v>
      </c>
      <c r="AB6414" t="str">
        <f>IF(Table1[[#This Row],[TIPO2]]="costo", VLOOKUP(Table1[[#This Row],[PARTIDA PRESUPUESTAL]],'Cost Report'!G:G,1,0),"Balance")</f>
        <v>1411-047</v>
      </c>
      <c r="AD6414" s="159">
        <f>+Table1[[#This Row],[SUBTOTAL]]+Table1[[#This Row],[IVA]]-Table1[[#This Row],[RET IVA]]-Table1[[#This Row],[RET ISR]]-Table1[[#This Row],[TOTAL]]</f>
        <v>0</v>
      </c>
      <c r="AK6414" s="306" t="str">
        <f>IF(ISNUMBER(Table1[[#This Row],[FECHA DE RECIBIDO]]), Table1[[#This Row],[FECHA DE RECIBIDO]]-DATE(2023,8,30), "")</f>
        <v/>
      </c>
    </row>
    <row r="6415" spans="1:37" ht="16.05" customHeight="1">
      <c r="A6415" s="172" t="s">
        <v>5330</v>
      </c>
      <c r="B6415" s="198">
        <v>2262</v>
      </c>
      <c r="C6415" s="179" t="s">
        <v>2264</v>
      </c>
      <c r="D6415">
        <v>4390</v>
      </c>
      <c r="E6415" s="125" t="s">
        <v>3145</v>
      </c>
      <c r="F6415" s="178">
        <v>612</v>
      </c>
      <c r="G6415" s="178" t="s">
        <v>129</v>
      </c>
      <c r="H6415">
        <v>1062</v>
      </c>
      <c r="I6415" s="178" t="s">
        <v>1546</v>
      </c>
      <c r="J6415" s="320" t="s">
        <v>214</v>
      </c>
      <c r="K6415" s="178" t="s">
        <v>5325</v>
      </c>
      <c r="L6415" s="125" t="s">
        <v>110</v>
      </c>
      <c r="M6415">
        <v>1481</v>
      </c>
      <c r="N6415" s="182">
        <v>257</v>
      </c>
      <c r="O6415">
        <v>4222</v>
      </c>
      <c r="P6415" s="176" t="s">
        <v>77</v>
      </c>
      <c r="Q6415" s="202">
        <v>11090</v>
      </c>
      <c r="R6415" s="176">
        <v>1774.4</v>
      </c>
      <c r="S6415" s="176"/>
      <c r="T6415" s="190">
        <v>1182.94</v>
      </c>
      <c r="U6415" s="191">
        <v>1109</v>
      </c>
      <c r="V6415" s="191">
        <f t="shared" si="67"/>
        <v>10572.46</v>
      </c>
      <c r="W6415">
        <v>497</v>
      </c>
      <c r="X6415" s="186" t="s">
        <v>1433</v>
      </c>
      <c r="Y6415" s="187" t="s">
        <v>55</v>
      </c>
      <c r="Z6415" s="311">
        <v>293</v>
      </c>
      <c r="AB6415" t="str">
        <f>IF(Table1[[#This Row],[TIPO2]]="costo", VLOOKUP(Table1[[#This Row],[PARTIDA PRESUPUESTAL]],'Cost Report'!G:G,1,0),"Balance")</f>
        <v>1411-047</v>
      </c>
      <c r="AD6415" s="159">
        <f>+Table1[[#This Row],[SUBTOTAL]]+Table1[[#This Row],[IVA]]-Table1[[#This Row],[RET IVA]]-Table1[[#This Row],[RET ISR]]-Table1[[#This Row],[TOTAL]]</f>
        <v>0</v>
      </c>
      <c r="AK6415" s="306" t="str">
        <f>IF(ISNUMBER(Table1[[#This Row],[FECHA DE RECIBIDO]]), Table1[[#This Row],[FECHA DE RECIBIDO]]-DATE(2023,8,30), "")</f>
        <v/>
      </c>
    </row>
    <row r="6416" spans="1:37" ht="16.05" customHeight="1">
      <c r="A6416" s="195" t="s">
        <v>5331</v>
      </c>
      <c r="B6416" s="199">
        <v>2263</v>
      </c>
      <c r="C6416" s="179" t="s">
        <v>615</v>
      </c>
      <c r="D6416">
        <v>4391</v>
      </c>
      <c r="E6416" s="125">
        <v>45040</v>
      </c>
      <c r="F6416" s="178">
        <v>626</v>
      </c>
      <c r="G6416" s="178" t="s">
        <v>109</v>
      </c>
      <c r="H6416">
        <v>334</v>
      </c>
      <c r="I6416" s="178" t="s">
        <v>1546</v>
      </c>
      <c r="J6416" s="320">
        <v>289.56461805555591</v>
      </c>
      <c r="K6416" s="178" t="s">
        <v>5325</v>
      </c>
      <c r="L6416" s="125" t="s">
        <v>3306</v>
      </c>
      <c r="M6416">
        <v>449</v>
      </c>
      <c r="N6416" s="182">
        <v>1</v>
      </c>
      <c r="O6416">
        <v>4223</v>
      </c>
      <c r="P6416" s="176" t="s">
        <v>77</v>
      </c>
      <c r="Q6416" s="202">
        <v>35689.35</v>
      </c>
      <c r="R6416" s="176">
        <v>5710.3</v>
      </c>
      <c r="S6416" s="176"/>
      <c r="T6416" s="190">
        <v>3806.88</v>
      </c>
      <c r="U6416" s="191">
        <v>446.12</v>
      </c>
      <c r="V6416" s="191">
        <f t="shared" si="67"/>
        <v>37146.65</v>
      </c>
      <c r="W6416">
        <v>132</v>
      </c>
      <c r="X6416" s="186" t="s">
        <v>1430</v>
      </c>
      <c r="Y6416" s="187" t="s">
        <v>55</v>
      </c>
      <c r="Z6416" s="311">
        <v>293</v>
      </c>
      <c r="AB6416" t="str">
        <f>IF(Table1[[#This Row],[TIPO2]]="costo", VLOOKUP(Table1[[#This Row],[PARTIDA PRESUPUESTAL]],'Cost Report'!G:G,1,0),"Balance")</f>
        <v>2495-003</v>
      </c>
      <c r="AD6416" s="159">
        <f>+Table1[[#This Row],[SUBTOTAL]]+Table1[[#This Row],[IVA]]-Table1[[#This Row],[RET IVA]]-Table1[[#This Row],[RET ISR]]-Table1[[#This Row],[TOTAL]]</f>
        <v>0</v>
      </c>
      <c r="AK6416" s="306">
        <f>IF(ISNUMBER(Table1[[#This Row],[FECHA DE RECIBIDO]]), Table1[[#This Row],[FECHA DE RECIBIDO]]-DATE(2023,8,30), "")</f>
        <v>-44878.435381944444</v>
      </c>
    </row>
    <row r="6417" spans="1:37" ht="16.05" customHeight="1">
      <c r="A6417" s="195" t="s">
        <v>5332</v>
      </c>
      <c r="B6417" s="199">
        <v>2264</v>
      </c>
      <c r="C6417" s="179" t="s">
        <v>787</v>
      </c>
      <c r="D6417">
        <v>4392</v>
      </c>
      <c r="E6417" s="125">
        <v>44150</v>
      </c>
      <c r="F6417" s="178">
        <v>601</v>
      </c>
      <c r="G6417" s="178" t="s">
        <v>134</v>
      </c>
      <c r="H6417">
        <v>23</v>
      </c>
      <c r="I6417" s="178" t="s">
        <v>1546</v>
      </c>
      <c r="J6417" s="320">
        <v>286.83241898148117</v>
      </c>
      <c r="K6417" s="178" t="s">
        <v>5325</v>
      </c>
      <c r="L6417" s="125" t="s">
        <v>3306</v>
      </c>
      <c r="M6417">
        <v>343</v>
      </c>
      <c r="N6417" s="182">
        <v>1</v>
      </c>
      <c r="O6417">
        <v>4224</v>
      </c>
      <c r="P6417" s="176" t="s">
        <v>77</v>
      </c>
      <c r="Q6417" s="202">
        <v>976.2</v>
      </c>
      <c r="R6417" s="176">
        <v>156.19999999999999</v>
      </c>
      <c r="S6417" s="176"/>
      <c r="T6417" s="190">
        <v>0</v>
      </c>
      <c r="U6417" s="191"/>
      <c r="V6417" s="191">
        <f t="shared" si="67"/>
        <v>1132.4000000000001</v>
      </c>
      <c r="W6417">
        <v>25</v>
      </c>
      <c r="X6417" s="186" t="s">
        <v>2024</v>
      </c>
      <c r="Y6417" s="187" t="s">
        <v>55</v>
      </c>
      <c r="Z6417" s="311">
        <v>293</v>
      </c>
      <c r="AB6417" t="str">
        <f>IF(Table1[[#This Row],[TIPO2]]="costo", VLOOKUP(Table1[[#This Row],[PARTIDA PRESUPUESTAL]],'Cost Report'!G:G,1,0),"Balance")</f>
        <v>3091-003</v>
      </c>
      <c r="AD6417" s="159">
        <f>+Table1[[#This Row],[SUBTOTAL]]+Table1[[#This Row],[IVA]]-Table1[[#This Row],[RET IVA]]-Table1[[#This Row],[RET ISR]]-Table1[[#This Row],[TOTAL]]</f>
        <v>0</v>
      </c>
      <c r="AK6417" s="306">
        <f>IF(ISNUMBER(Table1[[#This Row],[FECHA DE RECIBIDO]]), Table1[[#This Row],[FECHA DE RECIBIDO]]-DATE(2023,8,30), "")</f>
        <v>-44881.167581018519</v>
      </c>
    </row>
    <row r="6418" spans="1:37" ht="16.05" customHeight="1">
      <c r="A6418" s="195"/>
      <c r="B6418" s="199"/>
      <c r="C6418" s="179" t="s">
        <v>787</v>
      </c>
      <c r="D6418">
        <v>4392</v>
      </c>
      <c r="E6418" s="125">
        <v>44150</v>
      </c>
      <c r="F6418" s="178">
        <v>601</v>
      </c>
      <c r="G6418" s="178" t="s">
        <v>134</v>
      </c>
      <c r="H6418">
        <v>23</v>
      </c>
      <c r="I6418" s="178" t="s">
        <v>1546</v>
      </c>
      <c r="J6418" s="320">
        <v>286.83241898148117</v>
      </c>
      <c r="K6418" s="178" t="s">
        <v>5325</v>
      </c>
      <c r="L6418" s="125" t="s">
        <v>3306</v>
      </c>
      <c r="M6418">
        <v>343</v>
      </c>
      <c r="N6418" s="182">
        <v>1</v>
      </c>
      <c r="O6418">
        <v>4224</v>
      </c>
      <c r="P6418" s="176" t="s">
        <v>77</v>
      </c>
      <c r="Q6418" s="202">
        <v>976.19</v>
      </c>
      <c r="R6418" s="176">
        <v>156.19</v>
      </c>
      <c r="S6418" s="176"/>
      <c r="T6418" s="190">
        <v>0</v>
      </c>
      <c r="U6418" s="191"/>
      <c r="V6418" s="191">
        <f t="shared" si="67"/>
        <v>1132.3800000000001</v>
      </c>
      <c r="W6418">
        <v>25</v>
      </c>
      <c r="X6418" s="186" t="s">
        <v>2024</v>
      </c>
      <c r="Y6418" s="187" t="s">
        <v>55</v>
      </c>
      <c r="Z6418" s="311">
        <v>293</v>
      </c>
      <c r="AB6418" t="str">
        <f>IF(Table1[[#This Row],[TIPO2]]="costo", VLOOKUP(Table1[[#This Row],[PARTIDA PRESUPUESTAL]],'Cost Report'!G:G,1,0),"Balance")</f>
        <v>3091-003</v>
      </c>
      <c r="AD6418" s="159">
        <f>+Table1[[#This Row],[SUBTOTAL]]+Table1[[#This Row],[IVA]]-Table1[[#This Row],[RET IVA]]-Table1[[#This Row],[RET ISR]]-Table1[[#This Row],[TOTAL]]</f>
        <v>0</v>
      </c>
      <c r="AK6418" s="306">
        <f>IF(ISNUMBER(Table1[[#This Row],[FECHA DE RECIBIDO]]), Table1[[#This Row],[FECHA DE RECIBIDO]]-DATE(2023,8,30), "")</f>
        <v>-44881.167581018519</v>
      </c>
    </row>
    <row r="6419" spans="1:37" ht="16.05" customHeight="1">
      <c r="A6419" s="195"/>
      <c r="B6419" s="199"/>
      <c r="C6419" s="179" t="s">
        <v>787</v>
      </c>
      <c r="D6419">
        <v>4392</v>
      </c>
      <c r="E6419" s="125">
        <v>44150</v>
      </c>
      <c r="F6419" s="178">
        <v>601</v>
      </c>
      <c r="G6419" s="178" t="s">
        <v>134</v>
      </c>
      <c r="H6419">
        <v>23</v>
      </c>
      <c r="I6419" s="178" t="s">
        <v>1546</v>
      </c>
      <c r="J6419" s="320">
        <v>286.83241898148117</v>
      </c>
      <c r="K6419" s="178" t="s">
        <v>5325</v>
      </c>
      <c r="L6419" s="125" t="s">
        <v>3306</v>
      </c>
      <c r="M6419">
        <v>343</v>
      </c>
      <c r="N6419" s="182">
        <v>1</v>
      </c>
      <c r="O6419">
        <v>4224</v>
      </c>
      <c r="P6419" s="176" t="s">
        <v>77</v>
      </c>
      <c r="Q6419" s="202">
        <v>976.19</v>
      </c>
      <c r="R6419" s="176">
        <v>156.19</v>
      </c>
      <c r="S6419" s="176"/>
      <c r="T6419" s="190">
        <v>0</v>
      </c>
      <c r="U6419" s="191"/>
      <c r="V6419" s="191">
        <f t="shared" si="67"/>
        <v>1132.3800000000001</v>
      </c>
      <c r="W6419">
        <v>25</v>
      </c>
      <c r="X6419" s="186" t="s">
        <v>2024</v>
      </c>
      <c r="Y6419" s="187" t="s">
        <v>55</v>
      </c>
      <c r="Z6419" s="311">
        <v>293</v>
      </c>
      <c r="AB6419" t="str">
        <f>IF(Table1[[#This Row],[TIPO2]]="costo", VLOOKUP(Table1[[#This Row],[PARTIDA PRESUPUESTAL]],'Cost Report'!G:G,1,0),"Balance")</f>
        <v>3091-003</v>
      </c>
      <c r="AD6419" s="159">
        <f>+Table1[[#This Row],[SUBTOTAL]]+Table1[[#This Row],[IVA]]-Table1[[#This Row],[RET IVA]]-Table1[[#This Row],[RET ISR]]-Table1[[#This Row],[TOTAL]]</f>
        <v>0</v>
      </c>
      <c r="AK6419" s="306">
        <f>IF(ISNUMBER(Table1[[#This Row],[FECHA DE RECIBIDO]]), Table1[[#This Row],[FECHA DE RECIBIDO]]-DATE(2023,8,30), "")</f>
        <v>-44881.167581018519</v>
      </c>
    </row>
    <row r="6420" spans="1:37" ht="16.05" customHeight="1">
      <c r="A6420" s="195"/>
      <c r="B6420" s="199"/>
      <c r="C6420" s="179" t="s">
        <v>787</v>
      </c>
      <c r="D6420">
        <v>4392</v>
      </c>
      <c r="E6420" s="125">
        <v>44150</v>
      </c>
      <c r="F6420" s="178">
        <v>601</v>
      </c>
      <c r="G6420" s="178" t="s">
        <v>134</v>
      </c>
      <c r="H6420">
        <v>23</v>
      </c>
      <c r="I6420" s="178" t="s">
        <v>1546</v>
      </c>
      <c r="J6420" s="320">
        <v>286.83241898148117</v>
      </c>
      <c r="K6420" s="178" t="s">
        <v>5325</v>
      </c>
      <c r="L6420" s="125" t="s">
        <v>3306</v>
      </c>
      <c r="M6420">
        <v>343</v>
      </c>
      <c r="N6420" s="182">
        <v>1</v>
      </c>
      <c r="O6420">
        <v>4224</v>
      </c>
      <c r="P6420" s="176" t="s">
        <v>77</v>
      </c>
      <c r="Q6420" s="202">
        <v>976.19</v>
      </c>
      <c r="R6420" s="176">
        <v>156.19</v>
      </c>
      <c r="S6420" s="176"/>
      <c r="T6420" s="190">
        <v>0</v>
      </c>
      <c r="U6420" s="191"/>
      <c r="V6420" s="191">
        <f t="shared" si="67"/>
        <v>1132.3800000000001</v>
      </c>
      <c r="W6420">
        <v>25</v>
      </c>
      <c r="X6420" s="186" t="s">
        <v>2024</v>
      </c>
      <c r="Y6420" s="187" t="s">
        <v>55</v>
      </c>
      <c r="Z6420" s="311">
        <v>293</v>
      </c>
      <c r="AB6420" t="str">
        <f>IF(Table1[[#This Row],[TIPO2]]="costo", VLOOKUP(Table1[[#This Row],[PARTIDA PRESUPUESTAL]],'Cost Report'!G:G,1,0),"Balance")</f>
        <v>3091-003</v>
      </c>
      <c r="AD6420" s="159">
        <f>+Table1[[#This Row],[SUBTOTAL]]+Table1[[#This Row],[IVA]]-Table1[[#This Row],[RET IVA]]-Table1[[#This Row],[RET ISR]]-Table1[[#This Row],[TOTAL]]</f>
        <v>0</v>
      </c>
      <c r="AK6420" s="306">
        <f>IF(ISNUMBER(Table1[[#This Row],[FECHA DE RECIBIDO]]), Table1[[#This Row],[FECHA DE RECIBIDO]]-DATE(2023,8,30), "")</f>
        <v>-44881.167581018519</v>
      </c>
    </row>
    <row r="6421" spans="1:37" ht="16.05" customHeight="1">
      <c r="A6421" s="195"/>
      <c r="B6421" s="199"/>
      <c r="C6421" s="179" t="s">
        <v>787</v>
      </c>
      <c r="D6421">
        <v>4392</v>
      </c>
      <c r="E6421" s="125">
        <v>44150</v>
      </c>
      <c r="F6421" s="178">
        <v>601</v>
      </c>
      <c r="G6421" s="178" t="s">
        <v>134</v>
      </c>
      <c r="H6421">
        <v>23</v>
      </c>
      <c r="I6421" s="178" t="s">
        <v>1546</v>
      </c>
      <c r="J6421" s="320">
        <v>286.83241898148117</v>
      </c>
      <c r="K6421" s="178" t="s">
        <v>5325</v>
      </c>
      <c r="L6421" s="125" t="s">
        <v>3306</v>
      </c>
      <c r="M6421">
        <v>343</v>
      </c>
      <c r="N6421" s="182">
        <v>1</v>
      </c>
      <c r="O6421">
        <v>4224</v>
      </c>
      <c r="P6421" s="176" t="s">
        <v>77</v>
      </c>
      <c r="Q6421" s="202">
        <v>976.19</v>
      </c>
      <c r="R6421" s="176">
        <v>156.19</v>
      </c>
      <c r="S6421" s="176"/>
      <c r="T6421" s="190">
        <v>0</v>
      </c>
      <c r="U6421" s="191"/>
      <c r="V6421" s="191">
        <f t="shared" si="67"/>
        <v>1132.3800000000001</v>
      </c>
      <c r="W6421">
        <v>25</v>
      </c>
      <c r="X6421" s="186" t="s">
        <v>2024</v>
      </c>
      <c r="Y6421" s="187" t="s">
        <v>55</v>
      </c>
      <c r="Z6421" s="311">
        <v>293</v>
      </c>
      <c r="AB6421" t="str">
        <f>IF(Table1[[#This Row],[TIPO2]]="costo", VLOOKUP(Table1[[#This Row],[PARTIDA PRESUPUESTAL]],'Cost Report'!G:G,1,0),"Balance")</f>
        <v>3091-003</v>
      </c>
      <c r="AD6421" s="159">
        <f>+Table1[[#This Row],[SUBTOTAL]]+Table1[[#This Row],[IVA]]-Table1[[#This Row],[RET IVA]]-Table1[[#This Row],[RET ISR]]-Table1[[#This Row],[TOTAL]]</f>
        <v>0</v>
      </c>
      <c r="AK6421" s="306">
        <f>IF(ISNUMBER(Table1[[#This Row],[FECHA DE RECIBIDO]]), Table1[[#This Row],[FECHA DE RECIBIDO]]-DATE(2023,8,30), "")</f>
        <v>-44881.167581018519</v>
      </c>
    </row>
    <row r="6422" spans="1:37" ht="16.05" customHeight="1">
      <c r="A6422" s="195"/>
      <c r="B6422" s="199"/>
      <c r="C6422" s="179" t="s">
        <v>787</v>
      </c>
      <c r="D6422">
        <v>4392</v>
      </c>
      <c r="E6422" s="125">
        <v>44150</v>
      </c>
      <c r="F6422" s="178">
        <v>601</v>
      </c>
      <c r="G6422" s="178" t="s">
        <v>134</v>
      </c>
      <c r="H6422">
        <v>23</v>
      </c>
      <c r="I6422" s="178" t="s">
        <v>1546</v>
      </c>
      <c r="J6422" s="320">
        <v>286.83241898148117</v>
      </c>
      <c r="K6422" s="178" t="s">
        <v>5325</v>
      </c>
      <c r="L6422" s="125" t="s">
        <v>3306</v>
      </c>
      <c r="M6422">
        <v>343</v>
      </c>
      <c r="N6422" s="182">
        <v>1</v>
      </c>
      <c r="O6422">
        <v>4224</v>
      </c>
      <c r="P6422" s="176" t="s">
        <v>77</v>
      </c>
      <c r="Q6422" s="202">
        <v>976.19</v>
      </c>
      <c r="R6422" s="176">
        <v>156.19</v>
      </c>
      <c r="S6422" s="176"/>
      <c r="T6422" s="190">
        <v>0</v>
      </c>
      <c r="U6422" s="191"/>
      <c r="V6422" s="191">
        <f t="shared" si="67"/>
        <v>1132.3800000000001</v>
      </c>
      <c r="W6422">
        <v>25</v>
      </c>
      <c r="X6422" s="186" t="s">
        <v>2024</v>
      </c>
      <c r="Y6422" s="187" t="s">
        <v>55</v>
      </c>
      <c r="Z6422" s="311">
        <v>293</v>
      </c>
      <c r="AB6422" t="str">
        <f>IF(Table1[[#This Row],[TIPO2]]="costo", VLOOKUP(Table1[[#This Row],[PARTIDA PRESUPUESTAL]],'Cost Report'!G:G,1,0),"Balance")</f>
        <v>3091-003</v>
      </c>
      <c r="AD6422" s="159">
        <f>+Table1[[#This Row],[SUBTOTAL]]+Table1[[#This Row],[IVA]]-Table1[[#This Row],[RET IVA]]-Table1[[#This Row],[RET ISR]]-Table1[[#This Row],[TOTAL]]</f>
        <v>0</v>
      </c>
      <c r="AK6422" s="306">
        <f>IF(ISNUMBER(Table1[[#This Row],[FECHA DE RECIBIDO]]), Table1[[#This Row],[FECHA DE RECIBIDO]]-DATE(2023,8,30), "")</f>
        <v>-44881.167581018519</v>
      </c>
    </row>
    <row r="6423" spans="1:37" ht="16.05" customHeight="1">
      <c r="A6423" s="195"/>
      <c r="B6423" s="199"/>
      <c r="C6423" s="179" t="s">
        <v>787</v>
      </c>
      <c r="D6423">
        <v>4392</v>
      </c>
      <c r="E6423" s="125">
        <v>44150</v>
      </c>
      <c r="F6423" s="178">
        <v>601</v>
      </c>
      <c r="G6423" s="178" t="s">
        <v>134</v>
      </c>
      <c r="H6423">
        <v>23</v>
      </c>
      <c r="I6423" s="178" t="s">
        <v>1546</v>
      </c>
      <c r="J6423" s="320">
        <v>286.83241898148117</v>
      </c>
      <c r="K6423" s="178" t="s">
        <v>5325</v>
      </c>
      <c r="L6423" s="125" t="s">
        <v>3306</v>
      </c>
      <c r="M6423">
        <v>343</v>
      </c>
      <c r="N6423" s="182">
        <v>1</v>
      </c>
      <c r="O6423">
        <v>4224</v>
      </c>
      <c r="P6423" s="176" t="s">
        <v>77</v>
      </c>
      <c r="Q6423" s="202">
        <v>976.19</v>
      </c>
      <c r="R6423" s="176">
        <v>156.19</v>
      </c>
      <c r="S6423" s="176"/>
      <c r="T6423" s="190">
        <v>0</v>
      </c>
      <c r="U6423" s="191"/>
      <c r="V6423" s="191">
        <f t="shared" si="67"/>
        <v>1132.3800000000001</v>
      </c>
      <c r="W6423">
        <v>25</v>
      </c>
      <c r="X6423" s="186" t="s">
        <v>2024</v>
      </c>
      <c r="Y6423" s="187" t="s">
        <v>55</v>
      </c>
      <c r="Z6423" s="311">
        <v>293</v>
      </c>
      <c r="AB6423" t="str">
        <f>IF(Table1[[#This Row],[TIPO2]]="costo", VLOOKUP(Table1[[#This Row],[PARTIDA PRESUPUESTAL]],'Cost Report'!G:G,1,0),"Balance")</f>
        <v>3091-003</v>
      </c>
      <c r="AD6423" s="159">
        <f>+Table1[[#This Row],[SUBTOTAL]]+Table1[[#This Row],[IVA]]-Table1[[#This Row],[RET IVA]]-Table1[[#This Row],[RET ISR]]-Table1[[#This Row],[TOTAL]]</f>
        <v>0</v>
      </c>
      <c r="AK6423" s="306">
        <f>IF(ISNUMBER(Table1[[#This Row],[FECHA DE RECIBIDO]]), Table1[[#This Row],[FECHA DE RECIBIDO]]-DATE(2023,8,30), "")</f>
        <v>-44881.167581018519</v>
      </c>
    </row>
    <row r="6424" spans="1:37" ht="16.05" customHeight="1">
      <c r="A6424" s="195"/>
      <c r="B6424" s="199"/>
      <c r="C6424" s="179" t="s">
        <v>787</v>
      </c>
      <c r="D6424">
        <v>4392</v>
      </c>
      <c r="E6424" s="125">
        <v>44150</v>
      </c>
      <c r="F6424" s="178">
        <v>601</v>
      </c>
      <c r="G6424" s="178" t="s">
        <v>134</v>
      </c>
      <c r="H6424">
        <v>23</v>
      </c>
      <c r="I6424" s="178" t="s">
        <v>1546</v>
      </c>
      <c r="J6424" s="320">
        <v>286.83241898148117</v>
      </c>
      <c r="K6424" s="178" t="s">
        <v>5325</v>
      </c>
      <c r="L6424" s="125" t="s">
        <v>3306</v>
      </c>
      <c r="M6424">
        <v>343</v>
      </c>
      <c r="N6424" s="182">
        <v>1</v>
      </c>
      <c r="O6424">
        <v>4224</v>
      </c>
      <c r="P6424" s="176" t="s">
        <v>77</v>
      </c>
      <c r="Q6424" s="202">
        <v>976.19</v>
      </c>
      <c r="R6424" s="176">
        <v>156.19</v>
      </c>
      <c r="S6424" s="176"/>
      <c r="T6424" s="190">
        <v>0</v>
      </c>
      <c r="U6424" s="191"/>
      <c r="V6424" s="191">
        <f t="shared" si="67"/>
        <v>1132.3800000000001</v>
      </c>
      <c r="W6424">
        <v>25</v>
      </c>
      <c r="X6424" s="186" t="s">
        <v>2024</v>
      </c>
      <c r="Y6424" s="187" t="s">
        <v>55</v>
      </c>
      <c r="Z6424" s="311">
        <v>293</v>
      </c>
      <c r="AB6424" t="str">
        <f>IF(Table1[[#This Row],[TIPO2]]="costo", VLOOKUP(Table1[[#This Row],[PARTIDA PRESUPUESTAL]],'Cost Report'!G:G,1,0),"Balance")</f>
        <v>3091-003</v>
      </c>
      <c r="AD6424" s="159">
        <f>+Table1[[#This Row],[SUBTOTAL]]+Table1[[#This Row],[IVA]]-Table1[[#This Row],[RET IVA]]-Table1[[#This Row],[RET ISR]]-Table1[[#This Row],[TOTAL]]</f>
        <v>0</v>
      </c>
      <c r="AK6424" s="306">
        <f>IF(ISNUMBER(Table1[[#This Row],[FECHA DE RECIBIDO]]), Table1[[#This Row],[FECHA DE RECIBIDO]]-DATE(2023,8,30), "")</f>
        <v>-44881.167581018519</v>
      </c>
    </row>
    <row r="6425" spans="1:37" ht="16.05" customHeight="1">
      <c r="A6425" s="195"/>
      <c r="B6425" s="199"/>
      <c r="C6425" s="179" t="s">
        <v>787</v>
      </c>
      <c r="D6425">
        <v>4392</v>
      </c>
      <c r="E6425" s="125">
        <v>44150</v>
      </c>
      <c r="F6425" s="178">
        <v>601</v>
      </c>
      <c r="G6425" s="178" t="s">
        <v>134</v>
      </c>
      <c r="H6425">
        <v>23</v>
      </c>
      <c r="I6425" s="178" t="s">
        <v>1546</v>
      </c>
      <c r="J6425" s="320">
        <v>286.83241898148117</v>
      </c>
      <c r="K6425" s="178" t="s">
        <v>5325</v>
      </c>
      <c r="L6425" s="125" t="s">
        <v>3306</v>
      </c>
      <c r="M6425">
        <v>343</v>
      </c>
      <c r="N6425" s="182">
        <v>1</v>
      </c>
      <c r="O6425">
        <v>4224</v>
      </c>
      <c r="P6425" s="176" t="s">
        <v>77</v>
      </c>
      <c r="Q6425" s="202">
        <v>976.19</v>
      </c>
      <c r="R6425" s="176">
        <v>156.19</v>
      </c>
      <c r="S6425" s="176"/>
      <c r="T6425" s="190">
        <v>0</v>
      </c>
      <c r="U6425" s="191"/>
      <c r="V6425" s="191">
        <f t="shared" si="67"/>
        <v>1132.3800000000001</v>
      </c>
      <c r="W6425">
        <v>25</v>
      </c>
      <c r="X6425" s="186" t="s">
        <v>2024</v>
      </c>
      <c r="Y6425" s="187" t="s">
        <v>55</v>
      </c>
      <c r="Z6425" s="311">
        <v>293</v>
      </c>
      <c r="AB6425" t="str">
        <f>IF(Table1[[#This Row],[TIPO2]]="costo", VLOOKUP(Table1[[#This Row],[PARTIDA PRESUPUESTAL]],'Cost Report'!G:G,1,0),"Balance")</f>
        <v>3091-003</v>
      </c>
      <c r="AD6425" s="159">
        <f>+Table1[[#This Row],[SUBTOTAL]]+Table1[[#This Row],[IVA]]-Table1[[#This Row],[RET IVA]]-Table1[[#This Row],[RET ISR]]-Table1[[#This Row],[TOTAL]]</f>
        <v>0</v>
      </c>
      <c r="AK6425" s="306">
        <f>IF(ISNUMBER(Table1[[#This Row],[FECHA DE RECIBIDO]]), Table1[[#This Row],[FECHA DE RECIBIDO]]-DATE(2023,8,30), "")</f>
        <v>-44881.167581018519</v>
      </c>
    </row>
    <row r="6426" spans="1:37" ht="16.05" customHeight="1">
      <c r="A6426" s="195"/>
      <c r="B6426" s="199"/>
      <c r="C6426" s="179" t="s">
        <v>787</v>
      </c>
      <c r="D6426">
        <v>4392</v>
      </c>
      <c r="E6426" s="125">
        <v>44150</v>
      </c>
      <c r="F6426" s="178">
        <v>601</v>
      </c>
      <c r="G6426" s="178" t="s">
        <v>134</v>
      </c>
      <c r="H6426">
        <v>23</v>
      </c>
      <c r="I6426" s="178" t="s">
        <v>1546</v>
      </c>
      <c r="J6426" s="320">
        <v>286.83241898148117</v>
      </c>
      <c r="K6426" s="178" t="s">
        <v>5325</v>
      </c>
      <c r="L6426" s="125" t="s">
        <v>3306</v>
      </c>
      <c r="M6426">
        <v>343</v>
      </c>
      <c r="N6426" s="182">
        <v>1</v>
      </c>
      <c r="O6426">
        <v>4224</v>
      </c>
      <c r="P6426" s="176" t="s">
        <v>77</v>
      </c>
      <c r="Q6426" s="202">
        <v>976.19</v>
      </c>
      <c r="R6426" s="176">
        <v>156.19</v>
      </c>
      <c r="S6426" s="176"/>
      <c r="T6426" s="190">
        <v>0</v>
      </c>
      <c r="U6426" s="191"/>
      <c r="V6426" s="191">
        <f t="shared" si="67"/>
        <v>1132.3800000000001</v>
      </c>
      <c r="W6426">
        <v>25</v>
      </c>
      <c r="X6426" s="186" t="s">
        <v>2024</v>
      </c>
      <c r="Y6426" s="187" t="s">
        <v>55</v>
      </c>
      <c r="Z6426" s="311">
        <v>293</v>
      </c>
      <c r="AB6426" t="str">
        <f>IF(Table1[[#This Row],[TIPO2]]="costo", VLOOKUP(Table1[[#This Row],[PARTIDA PRESUPUESTAL]],'Cost Report'!G:G,1,0),"Balance")</f>
        <v>3091-003</v>
      </c>
      <c r="AD6426" s="159">
        <f>+Table1[[#This Row],[SUBTOTAL]]+Table1[[#This Row],[IVA]]-Table1[[#This Row],[RET IVA]]-Table1[[#This Row],[RET ISR]]-Table1[[#This Row],[TOTAL]]</f>
        <v>0</v>
      </c>
      <c r="AK6426" s="306">
        <f>IF(ISNUMBER(Table1[[#This Row],[FECHA DE RECIBIDO]]), Table1[[#This Row],[FECHA DE RECIBIDO]]-DATE(2023,8,30), "")</f>
        <v>-44881.167581018519</v>
      </c>
    </row>
    <row r="6427" spans="1:37" ht="16.05" customHeight="1">
      <c r="A6427" s="195"/>
      <c r="B6427" s="199"/>
      <c r="C6427" s="179" t="s">
        <v>787</v>
      </c>
      <c r="D6427">
        <v>4392</v>
      </c>
      <c r="E6427" s="125">
        <v>44150</v>
      </c>
      <c r="F6427" s="178">
        <v>601</v>
      </c>
      <c r="G6427" s="178" t="s">
        <v>134</v>
      </c>
      <c r="H6427">
        <v>23</v>
      </c>
      <c r="I6427" s="178" t="s">
        <v>1546</v>
      </c>
      <c r="J6427" s="320">
        <v>286.83241898148117</v>
      </c>
      <c r="K6427" s="178" t="s">
        <v>5325</v>
      </c>
      <c r="L6427" s="125" t="s">
        <v>3306</v>
      </c>
      <c r="M6427">
        <v>343</v>
      </c>
      <c r="N6427" s="182">
        <v>1</v>
      </c>
      <c r="O6427">
        <v>4224</v>
      </c>
      <c r="P6427" s="176" t="s">
        <v>77</v>
      </c>
      <c r="Q6427" s="202">
        <v>976.19</v>
      </c>
      <c r="R6427" s="176">
        <v>156.19</v>
      </c>
      <c r="S6427" s="176"/>
      <c r="T6427" s="190">
        <v>0</v>
      </c>
      <c r="U6427" s="191"/>
      <c r="V6427" s="191">
        <f t="shared" si="67"/>
        <v>1132.3800000000001</v>
      </c>
      <c r="W6427">
        <v>25</v>
      </c>
      <c r="X6427" s="186" t="s">
        <v>2024</v>
      </c>
      <c r="Y6427" s="187" t="s">
        <v>55</v>
      </c>
      <c r="Z6427" s="311">
        <v>293</v>
      </c>
      <c r="AB6427" t="str">
        <f>IF(Table1[[#This Row],[TIPO2]]="costo", VLOOKUP(Table1[[#This Row],[PARTIDA PRESUPUESTAL]],'Cost Report'!G:G,1,0),"Balance")</f>
        <v>3091-003</v>
      </c>
      <c r="AD6427" s="159">
        <f>+Table1[[#This Row],[SUBTOTAL]]+Table1[[#This Row],[IVA]]-Table1[[#This Row],[RET IVA]]-Table1[[#This Row],[RET ISR]]-Table1[[#This Row],[TOTAL]]</f>
        <v>0</v>
      </c>
      <c r="AK6427" s="306">
        <f>IF(ISNUMBER(Table1[[#This Row],[FECHA DE RECIBIDO]]), Table1[[#This Row],[FECHA DE RECIBIDO]]-DATE(2023,8,30), "")</f>
        <v>-44881.167581018519</v>
      </c>
    </row>
    <row r="6428" spans="1:37" ht="16.05" customHeight="1">
      <c r="A6428" s="195"/>
      <c r="B6428" s="199"/>
      <c r="C6428" s="179" t="s">
        <v>787</v>
      </c>
      <c r="D6428">
        <v>4392</v>
      </c>
      <c r="E6428" s="125">
        <v>44150</v>
      </c>
      <c r="F6428" s="178">
        <v>601</v>
      </c>
      <c r="G6428" s="178" t="s">
        <v>134</v>
      </c>
      <c r="H6428">
        <v>23</v>
      </c>
      <c r="I6428" s="178" t="s">
        <v>1546</v>
      </c>
      <c r="J6428" s="320">
        <v>286.83241898148117</v>
      </c>
      <c r="K6428" s="178" t="s">
        <v>5325</v>
      </c>
      <c r="L6428" s="125" t="s">
        <v>3306</v>
      </c>
      <c r="M6428">
        <v>343</v>
      </c>
      <c r="N6428" s="182">
        <v>1</v>
      </c>
      <c r="O6428">
        <v>4224</v>
      </c>
      <c r="P6428" s="176" t="s">
        <v>77</v>
      </c>
      <c r="Q6428" s="202">
        <v>976.19</v>
      </c>
      <c r="R6428" s="176">
        <v>156.19</v>
      </c>
      <c r="S6428" s="176"/>
      <c r="T6428" s="190">
        <v>0</v>
      </c>
      <c r="U6428" s="191"/>
      <c r="V6428" s="191">
        <f t="shared" si="67"/>
        <v>1132.3800000000001</v>
      </c>
      <c r="W6428">
        <v>25</v>
      </c>
      <c r="X6428" s="186" t="s">
        <v>2024</v>
      </c>
      <c r="Y6428" s="187" t="s">
        <v>55</v>
      </c>
      <c r="Z6428" s="311">
        <v>293</v>
      </c>
      <c r="AB6428" t="str">
        <f>IF(Table1[[#This Row],[TIPO2]]="costo", VLOOKUP(Table1[[#This Row],[PARTIDA PRESUPUESTAL]],'Cost Report'!G:G,1,0),"Balance")</f>
        <v>3091-003</v>
      </c>
      <c r="AD6428" s="159">
        <f>+Table1[[#This Row],[SUBTOTAL]]+Table1[[#This Row],[IVA]]-Table1[[#This Row],[RET IVA]]-Table1[[#This Row],[RET ISR]]-Table1[[#This Row],[TOTAL]]</f>
        <v>0</v>
      </c>
      <c r="AK6428" s="306">
        <f>IF(ISNUMBER(Table1[[#This Row],[FECHA DE RECIBIDO]]), Table1[[#This Row],[FECHA DE RECIBIDO]]-DATE(2023,8,30), "")</f>
        <v>-44881.167581018519</v>
      </c>
    </row>
    <row r="6429" spans="1:37" ht="16.05" customHeight="1">
      <c r="A6429" s="195"/>
      <c r="B6429" s="199"/>
      <c r="C6429" s="179" t="s">
        <v>787</v>
      </c>
      <c r="D6429">
        <v>4392</v>
      </c>
      <c r="E6429" s="125">
        <v>44150</v>
      </c>
      <c r="F6429" s="178">
        <v>601</v>
      </c>
      <c r="G6429" s="178" t="s">
        <v>134</v>
      </c>
      <c r="H6429">
        <v>23</v>
      </c>
      <c r="I6429" s="178" t="s">
        <v>1546</v>
      </c>
      <c r="J6429" s="320">
        <v>286.83241898148117</v>
      </c>
      <c r="K6429" s="178" t="s">
        <v>5325</v>
      </c>
      <c r="L6429" s="125" t="s">
        <v>3306</v>
      </c>
      <c r="M6429">
        <v>343</v>
      </c>
      <c r="N6429" s="182">
        <v>1</v>
      </c>
      <c r="O6429">
        <v>4224</v>
      </c>
      <c r="P6429" s="176" t="s">
        <v>77</v>
      </c>
      <c r="Q6429" s="202">
        <v>976.19</v>
      </c>
      <c r="R6429" s="176">
        <v>156.19</v>
      </c>
      <c r="S6429" s="176"/>
      <c r="T6429" s="190">
        <v>0</v>
      </c>
      <c r="U6429" s="191"/>
      <c r="V6429" s="191">
        <f t="shared" si="67"/>
        <v>1132.3800000000001</v>
      </c>
      <c r="W6429">
        <v>25</v>
      </c>
      <c r="X6429" s="186" t="s">
        <v>2024</v>
      </c>
      <c r="Y6429" s="187" t="s">
        <v>55</v>
      </c>
      <c r="Z6429" s="311">
        <v>293</v>
      </c>
      <c r="AB6429" t="str">
        <f>IF(Table1[[#This Row],[TIPO2]]="costo", VLOOKUP(Table1[[#This Row],[PARTIDA PRESUPUESTAL]],'Cost Report'!G:G,1,0),"Balance")</f>
        <v>3091-003</v>
      </c>
      <c r="AD6429" s="159">
        <f>+Table1[[#This Row],[SUBTOTAL]]+Table1[[#This Row],[IVA]]-Table1[[#This Row],[RET IVA]]-Table1[[#This Row],[RET ISR]]-Table1[[#This Row],[TOTAL]]</f>
        <v>0</v>
      </c>
      <c r="AK6429" s="306">
        <f>IF(ISNUMBER(Table1[[#This Row],[FECHA DE RECIBIDO]]), Table1[[#This Row],[FECHA DE RECIBIDO]]-DATE(2023,8,30), "")</f>
        <v>-44881.167581018519</v>
      </c>
    </row>
    <row r="6430" spans="1:37" ht="16.05" customHeight="1">
      <c r="A6430" s="195"/>
      <c r="B6430" s="199"/>
      <c r="C6430" s="179" t="s">
        <v>787</v>
      </c>
      <c r="D6430">
        <v>4392</v>
      </c>
      <c r="E6430" s="125">
        <v>44150</v>
      </c>
      <c r="F6430" s="178">
        <v>601</v>
      </c>
      <c r="G6430" s="178" t="s">
        <v>134</v>
      </c>
      <c r="H6430">
        <v>23</v>
      </c>
      <c r="I6430" s="178" t="s">
        <v>1546</v>
      </c>
      <c r="J6430" s="320">
        <v>286.83241898148117</v>
      </c>
      <c r="K6430" s="178" t="s">
        <v>5325</v>
      </c>
      <c r="L6430" s="125" t="s">
        <v>3306</v>
      </c>
      <c r="M6430">
        <v>343</v>
      </c>
      <c r="N6430" s="182">
        <v>1</v>
      </c>
      <c r="O6430">
        <v>4224</v>
      </c>
      <c r="P6430" s="176" t="s">
        <v>77</v>
      </c>
      <c r="Q6430" s="202">
        <v>976.19</v>
      </c>
      <c r="R6430" s="176">
        <v>156.19</v>
      </c>
      <c r="S6430" s="176"/>
      <c r="T6430" s="190">
        <v>0</v>
      </c>
      <c r="U6430" s="191"/>
      <c r="V6430" s="191">
        <f t="shared" si="67"/>
        <v>1132.3800000000001</v>
      </c>
      <c r="W6430">
        <v>25</v>
      </c>
      <c r="X6430" s="186" t="s">
        <v>2024</v>
      </c>
      <c r="Y6430" s="187" t="s">
        <v>55</v>
      </c>
      <c r="Z6430" s="311">
        <v>293</v>
      </c>
      <c r="AB6430" t="str">
        <f>IF(Table1[[#This Row],[TIPO2]]="costo", VLOOKUP(Table1[[#This Row],[PARTIDA PRESUPUESTAL]],'Cost Report'!G:G,1,0),"Balance")</f>
        <v>3091-003</v>
      </c>
      <c r="AD6430" s="159">
        <f>+Table1[[#This Row],[SUBTOTAL]]+Table1[[#This Row],[IVA]]-Table1[[#This Row],[RET IVA]]-Table1[[#This Row],[RET ISR]]-Table1[[#This Row],[TOTAL]]</f>
        <v>0</v>
      </c>
      <c r="AK6430" s="306">
        <f>IF(ISNUMBER(Table1[[#This Row],[FECHA DE RECIBIDO]]), Table1[[#This Row],[FECHA DE RECIBIDO]]-DATE(2023,8,30), "")</f>
        <v>-44881.167581018519</v>
      </c>
    </row>
    <row r="6431" spans="1:37" ht="16.05" customHeight="1">
      <c r="A6431" s="195"/>
      <c r="B6431" s="199"/>
      <c r="C6431" s="179" t="s">
        <v>787</v>
      </c>
      <c r="D6431">
        <v>4392</v>
      </c>
      <c r="E6431" s="125">
        <v>44150</v>
      </c>
      <c r="F6431" s="178">
        <v>601</v>
      </c>
      <c r="G6431" s="178" t="s">
        <v>134</v>
      </c>
      <c r="H6431">
        <v>23</v>
      </c>
      <c r="I6431" s="178" t="s">
        <v>1546</v>
      </c>
      <c r="J6431" s="320">
        <v>286.83241898148117</v>
      </c>
      <c r="K6431" s="178" t="s">
        <v>5325</v>
      </c>
      <c r="L6431" s="125" t="s">
        <v>3306</v>
      </c>
      <c r="M6431">
        <v>343</v>
      </c>
      <c r="N6431" s="182">
        <v>1</v>
      </c>
      <c r="O6431">
        <v>4224</v>
      </c>
      <c r="P6431" s="176" t="s">
        <v>77</v>
      </c>
      <c r="Q6431" s="202">
        <v>976.19</v>
      </c>
      <c r="R6431" s="176">
        <v>156.19</v>
      </c>
      <c r="S6431" s="176"/>
      <c r="T6431" s="190">
        <v>0</v>
      </c>
      <c r="U6431" s="191"/>
      <c r="V6431" s="191">
        <f t="shared" si="67"/>
        <v>1132.3800000000001</v>
      </c>
      <c r="W6431">
        <v>25</v>
      </c>
      <c r="X6431" s="186" t="s">
        <v>2024</v>
      </c>
      <c r="Y6431" s="187" t="s">
        <v>55</v>
      </c>
      <c r="Z6431" s="311">
        <v>293</v>
      </c>
      <c r="AB6431" t="str">
        <f>IF(Table1[[#This Row],[TIPO2]]="costo", VLOOKUP(Table1[[#This Row],[PARTIDA PRESUPUESTAL]],'Cost Report'!G:G,1,0),"Balance")</f>
        <v>3091-003</v>
      </c>
      <c r="AD6431" s="159">
        <f>+Table1[[#This Row],[SUBTOTAL]]+Table1[[#This Row],[IVA]]-Table1[[#This Row],[RET IVA]]-Table1[[#This Row],[RET ISR]]-Table1[[#This Row],[TOTAL]]</f>
        <v>0</v>
      </c>
      <c r="AK6431" s="306">
        <f>IF(ISNUMBER(Table1[[#This Row],[FECHA DE RECIBIDO]]), Table1[[#This Row],[FECHA DE RECIBIDO]]-DATE(2023,8,30), "")</f>
        <v>-44881.167581018519</v>
      </c>
    </row>
    <row r="6432" spans="1:37" ht="16.05" customHeight="1">
      <c r="A6432" s="195"/>
      <c r="B6432" s="199"/>
      <c r="C6432" s="179" t="s">
        <v>787</v>
      </c>
      <c r="D6432">
        <v>4392</v>
      </c>
      <c r="E6432" s="125">
        <v>44150</v>
      </c>
      <c r="F6432" s="178">
        <v>601</v>
      </c>
      <c r="G6432" s="178" t="s">
        <v>134</v>
      </c>
      <c r="H6432">
        <v>23</v>
      </c>
      <c r="I6432" s="178" t="s">
        <v>1546</v>
      </c>
      <c r="J6432" s="320">
        <v>286.83241898148117</v>
      </c>
      <c r="K6432" s="178" t="s">
        <v>5325</v>
      </c>
      <c r="L6432" s="125" t="s">
        <v>3306</v>
      </c>
      <c r="M6432">
        <v>343</v>
      </c>
      <c r="N6432" s="182">
        <v>1</v>
      </c>
      <c r="O6432">
        <v>4224</v>
      </c>
      <c r="P6432" s="176" t="s">
        <v>77</v>
      </c>
      <c r="Q6432" s="202">
        <v>976.19</v>
      </c>
      <c r="R6432" s="176">
        <v>156.19</v>
      </c>
      <c r="S6432" s="176"/>
      <c r="T6432" s="190">
        <v>0</v>
      </c>
      <c r="U6432" s="191"/>
      <c r="V6432" s="191">
        <f t="shared" si="67"/>
        <v>1132.3800000000001</v>
      </c>
      <c r="W6432">
        <v>25</v>
      </c>
      <c r="X6432" s="186" t="s">
        <v>2024</v>
      </c>
      <c r="Y6432" s="187" t="s">
        <v>55</v>
      </c>
      <c r="Z6432" s="311">
        <v>293</v>
      </c>
      <c r="AB6432" t="str">
        <f>IF(Table1[[#This Row],[TIPO2]]="costo", VLOOKUP(Table1[[#This Row],[PARTIDA PRESUPUESTAL]],'Cost Report'!G:G,1,0),"Balance")</f>
        <v>3091-003</v>
      </c>
      <c r="AD6432" s="159">
        <f>+Table1[[#This Row],[SUBTOTAL]]+Table1[[#This Row],[IVA]]-Table1[[#This Row],[RET IVA]]-Table1[[#This Row],[RET ISR]]-Table1[[#This Row],[TOTAL]]</f>
        <v>0</v>
      </c>
      <c r="AK6432" s="306">
        <f>IF(ISNUMBER(Table1[[#This Row],[FECHA DE RECIBIDO]]), Table1[[#This Row],[FECHA DE RECIBIDO]]-DATE(2023,8,30), "")</f>
        <v>-44881.167581018519</v>
      </c>
    </row>
    <row r="6433" spans="1:37" ht="16.05" customHeight="1">
      <c r="A6433" s="195"/>
      <c r="B6433" s="199"/>
      <c r="C6433" s="179" t="s">
        <v>787</v>
      </c>
      <c r="D6433">
        <v>4392</v>
      </c>
      <c r="E6433" s="125">
        <v>44150</v>
      </c>
      <c r="F6433" s="178">
        <v>601</v>
      </c>
      <c r="G6433" s="178" t="s">
        <v>134</v>
      </c>
      <c r="H6433">
        <v>23</v>
      </c>
      <c r="I6433" s="178" t="s">
        <v>1546</v>
      </c>
      <c r="J6433" s="320">
        <v>286.83241898148117</v>
      </c>
      <c r="K6433" s="178" t="s">
        <v>5325</v>
      </c>
      <c r="L6433" s="125" t="s">
        <v>3306</v>
      </c>
      <c r="M6433">
        <v>343</v>
      </c>
      <c r="N6433" s="182">
        <v>1</v>
      </c>
      <c r="O6433">
        <v>4224</v>
      </c>
      <c r="P6433" s="176" t="s">
        <v>77</v>
      </c>
      <c r="Q6433" s="202">
        <v>976.19</v>
      </c>
      <c r="R6433" s="176">
        <v>156.19</v>
      </c>
      <c r="S6433" s="176"/>
      <c r="T6433" s="190">
        <v>0</v>
      </c>
      <c r="U6433" s="191"/>
      <c r="V6433" s="191">
        <f t="shared" si="67"/>
        <v>1132.3800000000001</v>
      </c>
      <c r="W6433">
        <v>25</v>
      </c>
      <c r="X6433" s="186" t="s">
        <v>2024</v>
      </c>
      <c r="Y6433" s="187" t="s">
        <v>55</v>
      </c>
      <c r="Z6433" s="311">
        <v>293</v>
      </c>
      <c r="AB6433" t="str">
        <f>IF(Table1[[#This Row],[TIPO2]]="costo", VLOOKUP(Table1[[#This Row],[PARTIDA PRESUPUESTAL]],'Cost Report'!G:G,1,0),"Balance")</f>
        <v>3091-003</v>
      </c>
      <c r="AD6433" s="159">
        <f>+Table1[[#This Row],[SUBTOTAL]]+Table1[[#This Row],[IVA]]-Table1[[#This Row],[RET IVA]]-Table1[[#This Row],[RET ISR]]-Table1[[#This Row],[TOTAL]]</f>
        <v>0</v>
      </c>
      <c r="AK6433" s="306">
        <f>IF(ISNUMBER(Table1[[#This Row],[FECHA DE RECIBIDO]]), Table1[[#This Row],[FECHA DE RECIBIDO]]-DATE(2023,8,30), "")</f>
        <v>-44881.167581018519</v>
      </c>
    </row>
    <row r="6434" spans="1:37" ht="16.05" customHeight="1">
      <c r="A6434" s="195"/>
      <c r="B6434" s="199"/>
      <c r="C6434" s="179" t="s">
        <v>787</v>
      </c>
      <c r="D6434">
        <v>4392</v>
      </c>
      <c r="E6434" s="125">
        <v>44150</v>
      </c>
      <c r="F6434" s="178">
        <v>601</v>
      </c>
      <c r="G6434" s="178" t="s">
        <v>134</v>
      </c>
      <c r="H6434">
        <v>23</v>
      </c>
      <c r="I6434" s="178" t="s">
        <v>1546</v>
      </c>
      <c r="J6434" s="320">
        <v>286.83241898148117</v>
      </c>
      <c r="K6434" s="178" t="s">
        <v>5325</v>
      </c>
      <c r="L6434" s="125" t="s">
        <v>3306</v>
      </c>
      <c r="M6434">
        <v>343</v>
      </c>
      <c r="N6434" s="182">
        <v>1</v>
      </c>
      <c r="O6434">
        <v>4224</v>
      </c>
      <c r="P6434" s="176" t="s">
        <v>77</v>
      </c>
      <c r="Q6434" s="202">
        <v>976.19</v>
      </c>
      <c r="R6434" s="176">
        <v>156.19</v>
      </c>
      <c r="S6434" s="176"/>
      <c r="T6434" s="190">
        <v>0</v>
      </c>
      <c r="U6434" s="191"/>
      <c r="V6434" s="191">
        <f t="shared" si="67"/>
        <v>1132.3800000000001</v>
      </c>
      <c r="W6434">
        <v>25</v>
      </c>
      <c r="X6434" s="186" t="s">
        <v>2024</v>
      </c>
      <c r="Y6434" s="187" t="s">
        <v>55</v>
      </c>
      <c r="Z6434" s="311">
        <v>293</v>
      </c>
      <c r="AB6434" t="str">
        <f>IF(Table1[[#This Row],[TIPO2]]="costo", VLOOKUP(Table1[[#This Row],[PARTIDA PRESUPUESTAL]],'Cost Report'!G:G,1,0),"Balance")</f>
        <v>3091-003</v>
      </c>
      <c r="AD6434" s="159">
        <f>+Table1[[#This Row],[SUBTOTAL]]+Table1[[#This Row],[IVA]]-Table1[[#This Row],[RET IVA]]-Table1[[#This Row],[RET ISR]]-Table1[[#This Row],[TOTAL]]</f>
        <v>0</v>
      </c>
      <c r="AK6434" s="306">
        <f>IF(ISNUMBER(Table1[[#This Row],[FECHA DE RECIBIDO]]), Table1[[#This Row],[FECHA DE RECIBIDO]]-DATE(2023,8,30), "")</f>
        <v>-44881.167581018519</v>
      </c>
    </row>
    <row r="6435" spans="1:37" ht="16.05" customHeight="1">
      <c r="A6435" s="195"/>
      <c r="B6435" s="199"/>
      <c r="C6435" s="179" t="s">
        <v>787</v>
      </c>
      <c r="D6435">
        <v>4392</v>
      </c>
      <c r="E6435" s="125">
        <v>44150</v>
      </c>
      <c r="F6435" s="178">
        <v>601</v>
      </c>
      <c r="G6435" s="178" t="s">
        <v>134</v>
      </c>
      <c r="H6435">
        <v>23</v>
      </c>
      <c r="I6435" s="178" t="s">
        <v>1546</v>
      </c>
      <c r="J6435" s="320">
        <v>286.83241898148117</v>
      </c>
      <c r="K6435" s="178" t="s">
        <v>5325</v>
      </c>
      <c r="L6435" s="125" t="s">
        <v>3306</v>
      </c>
      <c r="M6435">
        <v>343</v>
      </c>
      <c r="N6435" s="182">
        <v>1</v>
      </c>
      <c r="O6435">
        <v>4224</v>
      </c>
      <c r="P6435" s="176" t="s">
        <v>77</v>
      </c>
      <c r="Q6435" s="202">
        <v>976.19</v>
      </c>
      <c r="R6435" s="176">
        <v>156.19</v>
      </c>
      <c r="S6435" s="176"/>
      <c r="T6435" s="190">
        <v>0</v>
      </c>
      <c r="U6435" s="191"/>
      <c r="V6435" s="191">
        <f t="shared" si="67"/>
        <v>1132.3800000000001</v>
      </c>
      <c r="W6435">
        <v>25</v>
      </c>
      <c r="X6435" s="186" t="s">
        <v>2024</v>
      </c>
      <c r="Y6435" s="187" t="s">
        <v>55</v>
      </c>
      <c r="Z6435" s="311">
        <v>293</v>
      </c>
      <c r="AB6435" t="str">
        <f>IF(Table1[[#This Row],[TIPO2]]="costo", VLOOKUP(Table1[[#This Row],[PARTIDA PRESUPUESTAL]],'Cost Report'!G:G,1,0),"Balance")</f>
        <v>3091-003</v>
      </c>
      <c r="AD6435" s="159">
        <f>+Table1[[#This Row],[SUBTOTAL]]+Table1[[#This Row],[IVA]]-Table1[[#This Row],[RET IVA]]-Table1[[#This Row],[RET ISR]]-Table1[[#This Row],[TOTAL]]</f>
        <v>0</v>
      </c>
      <c r="AK6435" s="306">
        <f>IF(ISNUMBER(Table1[[#This Row],[FECHA DE RECIBIDO]]), Table1[[#This Row],[FECHA DE RECIBIDO]]-DATE(2023,8,30), "")</f>
        <v>-44881.167581018519</v>
      </c>
    </row>
    <row r="6436" spans="1:37" ht="16.05" customHeight="1">
      <c r="A6436" s="195"/>
      <c r="B6436" s="199"/>
      <c r="C6436" s="179" t="s">
        <v>787</v>
      </c>
      <c r="D6436">
        <v>4392</v>
      </c>
      <c r="E6436" s="125">
        <v>44150</v>
      </c>
      <c r="F6436" s="178">
        <v>601</v>
      </c>
      <c r="G6436" s="178" t="s">
        <v>134</v>
      </c>
      <c r="H6436">
        <v>23</v>
      </c>
      <c r="I6436" s="178" t="s">
        <v>1546</v>
      </c>
      <c r="J6436" s="320">
        <v>286.83241898148117</v>
      </c>
      <c r="K6436" s="178" t="s">
        <v>5325</v>
      </c>
      <c r="L6436" s="125" t="s">
        <v>3306</v>
      </c>
      <c r="M6436">
        <v>343</v>
      </c>
      <c r="N6436" s="182">
        <v>1</v>
      </c>
      <c r="O6436">
        <v>4224</v>
      </c>
      <c r="P6436" s="176" t="s">
        <v>77</v>
      </c>
      <c r="Q6436" s="202">
        <v>976.19</v>
      </c>
      <c r="R6436" s="176">
        <v>156.19</v>
      </c>
      <c r="S6436" s="176"/>
      <c r="T6436" s="190">
        <v>0</v>
      </c>
      <c r="U6436" s="191"/>
      <c r="V6436" s="191">
        <f t="shared" si="67"/>
        <v>1132.3800000000001</v>
      </c>
      <c r="W6436">
        <v>25</v>
      </c>
      <c r="X6436" s="186" t="s">
        <v>2024</v>
      </c>
      <c r="Y6436" s="187" t="s">
        <v>55</v>
      </c>
      <c r="Z6436" s="311">
        <v>293</v>
      </c>
      <c r="AB6436" t="str">
        <f>IF(Table1[[#This Row],[TIPO2]]="costo", VLOOKUP(Table1[[#This Row],[PARTIDA PRESUPUESTAL]],'Cost Report'!G:G,1,0),"Balance")</f>
        <v>3091-003</v>
      </c>
      <c r="AD6436" s="159">
        <f>+Table1[[#This Row],[SUBTOTAL]]+Table1[[#This Row],[IVA]]-Table1[[#This Row],[RET IVA]]-Table1[[#This Row],[RET ISR]]-Table1[[#This Row],[TOTAL]]</f>
        <v>0</v>
      </c>
      <c r="AK6436" s="306">
        <f>IF(ISNUMBER(Table1[[#This Row],[FECHA DE RECIBIDO]]), Table1[[#This Row],[FECHA DE RECIBIDO]]-DATE(2023,8,30), "")</f>
        <v>-44881.167581018519</v>
      </c>
    </row>
    <row r="6437" spans="1:37" ht="16.05" customHeight="1">
      <c r="A6437" s="195"/>
      <c r="B6437" s="199"/>
      <c r="C6437" s="179" t="s">
        <v>787</v>
      </c>
      <c r="D6437">
        <v>4392</v>
      </c>
      <c r="E6437" s="125">
        <v>44150</v>
      </c>
      <c r="F6437" s="178">
        <v>601</v>
      </c>
      <c r="G6437" s="178" t="s">
        <v>134</v>
      </c>
      <c r="H6437">
        <v>23</v>
      </c>
      <c r="I6437" s="178" t="s">
        <v>1546</v>
      </c>
      <c r="J6437" s="320">
        <v>286.83241898148117</v>
      </c>
      <c r="K6437" s="178" t="s">
        <v>5325</v>
      </c>
      <c r="L6437" s="125" t="s">
        <v>3306</v>
      </c>
      <c r="M6437">
        <v>343</v>
      </c>
      <c r="N6437" s="182">
        <v>1</v>
      </c>
      <c r="O6437">
        <v>4224</v>
      </c>
      <c r="P6437" s="176" t="s">
        <v>77</v>
      </c>
      <c r="Q6437" s="202">
        <v>976.19</v>
      </c>
      <c r="R6437" s="176">
        <v>156.19</v>
      </c>
      <c r="S6437" s="176"/>
      <c r="T6437" s="190">
        <v>0</v>
      </c>
      <c r="U6437" s="191"/>
      <c r="V6437" s="191">
        <f t="shared" si="67"/>
        <v>1132.3800000000001</v>
      </c>
      <c r="W6437">
        <v>25</v>
      </c>
      <c r="X6437" s="186" t="s">
        <v>2024</v>
      </c>
      <c r="Y6437" s="187" t="s">
        <v>55</v>
      </c>
      <c r="Z6437" s="311">
        <v>293</v>
      </c>
      <c r="AB6437" t="str">
        <f>IF(Table1[[#This Row],[TIPO2]]="costo", VLOOKUP(Table1[[#This Row],[PARTIDA PRESUPUESTAL]],'Cost Report'!G:G,1,0),"Balance")</f>
        <v>3091-003</v>
      </c>
      <c r="AD6437" s="159">
        <f>+Table1[[#This Row],[SUBTOTAL]]+Table1[[#This Row],[IVA]]-Table1[[#This Row],[RET IVA]]-Table1[[#This Row],[RET ISR]]-Table1[[#This Row],[TOTAL]]</f>
        <v>0</v>
      </c>
      <c r="AK6437" s="306">
        <f>IF(ISNUMBER(Table1[[#This Row],[FECHA DE RECIBIDO]]), Table1[[#This Row],[FECHA DE RECIBIDO]]-DATE(2023,8,30), "")</f>
        <v>-44881.167581018519</v>
      </c>
    </row>
    <row r="6438" spans="1:37" ht="16.05" customHeight="1">
      <c r="A6438" s="195" t="s">
        <v>5333</v>
      </c>
      <c r="B6438" s="199">
        <v>2265</v>
      </c>
      <c r="C6438" s="179" t="s">
        <v>965</v>
      </c>
      <c r="D6438">
        <v>4393</v>
      </c>
      <c r="E6438" s="125" t="s">
        <v>3373</v>
      </c>
      <c r="F6438" s="178">
        <v>612</v>
      </c>
      <c r="G6438" s="178" t="s">
        <v>129</v>
      </c>
      <c r="H6438">
        <v>909</v>
      </c>
      <c r="I6438" s="178" t="s">
        <v>1546</v>
      </c>
      <c r="J6438" s="320" t="s">
        <v>214</v>
      </c>
      <c r="K6438" s="178" t="s">
        <v>5325</v>
      </c>
      <c r="L6438" s="125" t="s">
        <v>3306</v>
      </c>
      <c r="M6438">
        <v>1482</v>
      </c>
      <c r="N6438" s="182">
        <v>1</v>
      </c>
      <c r="O6438">
        <v>3507</v>
      </c>
      <c r="P6438" s="176" t="s">
        <v>77</v>
      </c>
      <c r="Q6438" s="202">
        <v>4200</v>
      </c>
      <c r="R6438" s="176">
        <v>672</v>
      </c>
      <c r="S6438" s="176"/>
      <c r="T6438" s="190">
        <v>448</v>
      </c>
      <c r="U6438" s="191">
        <v>420</v>
      </c>
      <c r="V6438" s="191">
        <f t="shared" si="67"/>
        <v>4004</v>
      </c>
      <c r="W6438">
        <v>441</v>
      </c>
      <c r="X6438" s="186" t="s">
        <v>1429</v>
      </c>
      <c r="Y6438" s="187" t="s">
        <v>55</v>
      </c>
      <c r="Z6438" s="311">
        <v>293</v>
      </c>
      <c r="AB6438" t="str">
        <f>IF(Table1[[#This Row],[TIPO2]]="costo", VLOOKUP(Table1[[#This Row],[PARTIDA PRESUPUESTAL]],'Cost Report'!G:G,1,0),"Balance")</f>
        <v>3407-007</v>
      </c>
      <c r="AD6438" s="159">
        <f>+Table1[[#This Row],[SUBTOTAL]]+Table1[[#This Row],[IVA]]-Table1[[#This Row],[RET IVA]]-Table1[[#This Row],[RET ISR]]-Table1[[#This Row],[TOTAL]]</f>
        <v>0</v>
      </c>
      <c r="AK6438" s="306" t="str">
        <f>IF(ISNUMBER(Table1[[#This Row],[FECHA DE RECIBIDO]]), Table1[[#This Row],[FECHA DE RECIBIDO]]-DATE(2023,8,30), "")</f>
        <v/>
      </c>
    </row>
    <row r="6439" spans="1:37" ht="16.05" customHeight="1">
      <c r="A6439" s="172" t="s">
        <v>5334</v>
      </c>
      <c r="B6439" s="198">
        <v>2266</v>
      </c>
      <c r="C6439" s="179" t="s">
        <v>2890</v>
      </c>
      <c r="D6439">
        <v>4394</v>
      </c>
      <c r="E6439" s="125">
        <v>9200</v>
      </c>
      <c r="F6439" s="178">
        <v>621</v>
      </c>
      <c r="G6439" s="178" t="s">
        <v>1617</v>
      </c>
      <c r="H6439">
        <v>201</v>
      </c>
      <c r="I6439" s="178" t="s">
        <v>1546</v>
      </c>
      <c r="J6439" s="320">
        <v>286.63655092592671</v>
      </c>
      <c r="K6439" s="178" t="s">
        <v>5325</v>
      </c>
      <c r="L6439" s="125" t="s">
        <v>110</v>
      </c>
      <c r="M6439">
        <v>266</v>
      </c>
      <c r="N6439" s="182">
        <v>66</v>
      </c>
      <c r="O6439">
        <v>4225</v>
      </c>
      <c r="P6439" s="176" t="s">
        <v>77</v>
      </c>
      <c r="Q6439" s="202">
        <v>5000</v>
      </c>
      <c r="R6439" s="176">
        <v>800</v>
      </c>
      <c r="S6439" s="176"/>
      <c r="T6439" s="190">
        <v>533.34</v>
      </c>
      <c r="U6439" s="191">
        <v>0</v>
      </c>
      <c r="V6439" s="191">
        <f t="shared" si="67"/>
        <v>5266.66</v>
      </c>
      <c r="W6439">
        <v>122</v>
      </c>
      <c r="X6439" s="186" t="s">
        <v>1434</v>
      </c>
      <c r="Y6439" s="187" t="s">
        <v>55</v>
      </c>
      <c r="Z6439" s="311">
        <v>293</v>
      </c>
      <c r="AB6439" t="str">
        <f>IF(Table1[[#This Row],[TIPO2]]="costo", VLOOKUP(Table1[[#This Row],[PARTIDA PRESUPUESTAL]],'Cost Report'!G:G,1,0),"Balance")</f>
        <v>3683-127</v>
      </c>
      <c r="AD6439" s="159">
        <f>+Table1[[#This Row],[SUBTOTAL]]+Table1[[#This Row],[IVA]]-Table1[[#This Row],[RET IVA]]-Table1[[#This Row],[RET ISR]]-Table1[[#This Row],[TOTAL]]</f>
        <v>0</v>
      </c>
      <c r="AK6439" s="306">
        <f>IF(ISNUMBER(Table1[[#This Row],[FECHA DE RECIBIDO]]), Table1[[#This Row],[FECHA DE RECIBIDO]]-DATE(2023,8,30), "")</f>
        <v>-44881.363449074073</v>
      </c>
    </row>
    <row r="6440" spans="1:37" ht="16.05" customHeight="1">
      <c r="A6440" s="172" t="s">
        <v>5335</v>
      </c>
      <c r="B6440" s="198">
        <v>2267</v>
      </c>
      <c r="C6440" s="179" t="s">
        <v>2892</v>
      </c>
      <c r="D6440">
        <v>4395</v>
      </c>
      <c r="E6440" s="125">
        <v>9200</v>
      </c>
      <c r="F6440" s="178">
        <v>621</v>
      </c>
      <c r="G6440" s="178" t="s">
        <v>1617</v>
      </c>
      <c r="H6440">
        <v>201</v>
      </c>
      <c r="I6440" s="178" t="s">
        <v>1546</v>
      </c>
      <c r="J6440" s="320">
        <v>286.64024305555358</v>
      </c>
      <c r="K6440" s="178" t="s">
        <v>5325</v>
      </c>
      <c r="L6440" s="125" t="s">
        <v>110</v>
      </c>
      <c r="M6440">
        <v>266</v>
      </c>
      <c r="N6440" s="182">
        <v>66</v>
      </c>
      <c r="O6440">
        <v>4226</v>
      </c>
      <c r="P6440" s="176" t="s">
        <v>77</v>
      </c>
      <c r="Q6440" s="202">
        <v>10000</v>
      </c>
      <c r="R6440" s="176">
        <v>1600</v>
      </c>
      <c r="S6440" s="176"/>
      <c r="T6440" s="190">
        <v>1066.68</v>
      </c>
      <c r="U6440" s="191">
        <v>0</v>
      </c>
      <c r="V6440" s="191">
        <f t="shared" si="67"/>
        <v>10533.32</v>
      </c>
      <c r="W6440">
        <v>122</v>
      </c>
      <c r="X6440" s="186" t="s">
        <v>1434</v>
      </c>
      <c r="Y6440" s="187" t="s">
        <v>55</v>
      </c>
      <c r="Z6440" s="311">
        <v>293</v>
      </c>
      <c r="AB6440" t="str">
        <f>IF(Table1[[#This Row],[TIPO2]]="costo", VLOOKUP(Table1[[#This Row],[PARTIDA PRESUPUESTAL]],'Cost Report'!G:G,1,0),"Balance")</f>
        <v>3683-129</v>
      </c>
      <c r="AD6440" s="159">
        <f>+Table1[[#This Row],[SUBTOTAL]]+Table1[[#This Row],[IVA]]-Table1[[#This Row],[RET IVA]]-Table1[[#This Row],[RET ISR]]-Table1[[#This Row],[TOTAL]]</f>
        <v>0</v>
      </c>
      <c r="AK6440" s="306">
        <f>IF(ISNUMBER(Table1[[#This Row],[FECHA DE RECIBIDO]]), Table1[[#This Row],[FECHA DE RECIBIDO]]-DATE(2023,8,30), "")</f>
        <v>-44881.359756944446</v>
      </c>
    </row>
    <row r="6441" spans="1:37" ht="16.05" customHeight="1">
      <c r="A6441" s="172" t="s">
        <v>5336</v>
      </c>
      <c r="B6441" s="198">
        <v>2268</v>
      </c>
      <c r="C6441" s="179" t="s">
        <v>506</v>
      </c>
      <c r="D6441">
        <v>4396</v>
      </c>
      <c r="E6441" s="125">
        <v>45645</v>
      </c>
      <c r="F6441" s="178">
        <v>626</v>
      </c>
      <c r="G6441" s="178" t="s">
        <v>109</v>
      </c>
      <c r="H6441">
        <v>918</v>
      </c>
      <c r="I6441" s="178" t="s">
        <v>1546</v>
      </c>
      <c r="J6441" s="320">
        <v>280.79924768518686</v>
      </c>
      <c r="K6441" s="178" t="s">
        <v>5325</v>
      </c>
      <c r="L6441" s="125" t="s">
        <v>110</v>
      </c>
      <c r="M6441">
        <v>1280</v>
      </c>
      <c r="N6441" s="182">
        <v>223</v>
      </c>
      <c r="O6441">
        <v>4227</v>
      </c>
      <c r="P6441" s="176" t="s">
        <v>77</v>
      </c>
      <c r="Q6441" s="202">
        <v>18000</v>
      </c>
      <c r="R6441" s="176">
        <v>2880</v>
      </c>
      <c r="S6441" s="176"/>
      <c r="T6441" s="190">
        <v>1920.6</v>
      </c>
      <c r="U6441" s="191">
        <v>225</v>
      </c>
      <c r="V6441" s="191">
        <f t="shared" si="67"/>
        <v>18734.400000000001</v>
      </c>
      <c r="W6441">
        <v>450</v>
      </c>
      <c r="X6441" s="186" t="s">
        <v>1431</v>
      </c>
      <c r="Y6441" s="187" t="s">
        <v>55</v>
      </c>
      <c r="Z6441" s="311">
        <v>293</v>
      </c>
      <c r="AB6441" t="str">
        <f>IF(Table1[[#This Row],[TIPO2]]="costo", VLOOKUP(Table1[[#This Row],[PARTIDA PRESUPUESTAL]],'Cost Report'!G:G,1,0),"Balance")</f>
        <v>2020-027</v>
      </c>
      <c r="AD6441" s="159">
        <f>+Table1[[#This Row],[SUBTOTAL]]+Table1[[#This Row],[IVA]]-Table1[[#This Row],[RET IVA]]-Table1[[#This Row],[RET ISR]]-Table1[[#This Row],[TOTAL]]</f>
        <v>0</v>
      </c>
      <c r="AK6441" s="306">
        <f>IF(ISNUMBER(Table1[[#This Row],[FECHA DE RECIBIDO]]), Table1[[#This Row],[FECHA DE RECIBIDO]]-DATE(2023,8,30), "")</f>
        <v>-44887.200752314813</v>
      </c>
    </row>
    <row r="6442" spans="1:37" ht="16.05" customHeight="1">
      <c r="A6442" s="172" t="s">
        <v>5337</v>
      </c>
      <c r="B6442" s="198">
        <v>2269</v>
      </c>
      <c r="C6442" s="179" t="s">
        <v>1806</v>
      </c>
      <c r="D6442">
        <v>4397</v>
      </c>
      <c r="E6442" s="125">
        <v>45070</v>
      </c>
      <c r="F6442" s="178">
        <v>626</v>
      </c>
      <c r="G6442" s="178" t="s">
        <v>109</v>
      </c>
      <c r="H6442">
        <v>341</v>
      </c>
      <c r="I6442" s="178" t="s">
        <v>1546</v>
      </c>
      <c r="J6442" s="320">
        <v>278.74396990740934</v>
      </c>
      <c r="K6442" s="178" t="s">
        <v>5325</v>
      </c>
      <c r="L6442" s="125" t="s">
        <v>110</v>
      </c>
      <c r="M6442">
        <v>458</v>
      </c>
      <c r="N6442" s="182">
        <v>83</v>
      </c>
      <c r="O6442">
        <v>4228</v>
      </c>
      <c r="P6442" s="176" t="s">
        <v>77</v>
      </c>
      <c r="Q6442" s="202">
        <v>5880</v>
      </c>
      <c r="R6442" s="176">
        <v>940.8</v>
      </c>
      <c r="S6442" s="176"/>
      <c r="T6442" s="190">
        <v>627.20000000000005</v>
      </c>
      <c r="U6442" s="191">
        <v>73.5</v>
      </c>
      <c r="V6442" s="191">
        <f t="shared" si="67"/>
        <v>6120.1</v>
      </c>
      <c r="W6442">
        <v>178</v>
      </c>
      <c r="X6442" s="186" t="s">
        <v>2024</v>
      </c>
      <c r="Y6442" s="187" t="s">
        <v>55</v>
      </c>
      <c r="Z6442" s="311">
        <v>293</v>
      </c>
      <c r="AB6442" t="str">
        <f>IF(Table1[[#This Row],[TIPO2]]="costo", VLOOKUP(Table1[[#This Row],[PARTIDA PRESUPUESTAL]],'Cost Report'!G:G,1,0),"Balance")</f>
        <v>2405-004</v>
      </c>
      <c r="AD6442" s="159">
        <f>+Table1[[#This Row],[SUBTOTAL]]+Table1[[#This Row],[IVA]]-Table1[[#This Row],[RET IVA]]-Table1[[#This Row],[RET ISR]]-Table1[[#This Row],[TOTAL]]</f>
        <v>0</v>
      </c>
      <c r="AK6442" s="306">
        <f>IF(ISNUMBER(Table1[[#This Row],[FECHA DE RECIBIDO]]), Table1[[#This Row],[FECHA DE RECIBIDO]]-DATE(2023,8,30), "")</f>
        <v>-44889.256030092591</v>
      </c>
    </row>
    <row r="6443" spans="1:37" ht="16.05" customHeight="1">
      <c r="A6443" s="172" t="s">
        <v>5338</v>
      </c>
      <c r="B6443" s="198">
        <v>2270</v>
      </c>
      <c r="C6443" s="179" t="s">
        <v>2453</v>
      </c>
      <c r="D6443">
        <v>4398</v>
      </c>
      <c r="E6443" s="125">
        <v>45019</v>
      </c>
      <c r="F6443" s="178">
        <v>626</v>
      </c>
      <c r="G6443" s="178" t="s">
        <v>109</v>
      </c>
      <c r="H6443">
        <v>110</v>
      </c>
      <c r="I6443" s="178" t="s">
        <v>1546</v>
      </c>
      <c r="J6443" s="320">
        <v>279.63913194444467</v>
      </c>
      <c r="K6443" s="178" t="s">
        <v>5325</v>
      </c>
      <c r="L6443" s="125" t="s">
        <v>110</v>
      </c>
      <c r="M6443">
        <v>148</v>
      </c>
      <c r="N6443" s="182">
        <v>40</v>
      </c>
      <c r="O6443">
        <v>4229</v>
      </c>
      <c r="P6443" s="176" t="s">
        <v>77</v>
      </c>
      <c r="Q6443" s="202">
        <v>2940</v>
      </c>
      <c r="R6443" s="176">
        <v>470.4</v>
      </c>
      <c r="S6443" s="176"/>
      <c r="T6443" s="190">
        <v>313.60000000000002</v>
      </c>
      <c r="U6443" s="191">
        <v>36.75</v>
      </c>
      <c r="V6443" s="191">
        <f t="shared" si="67"/>
        <v>3060.05</v>
      </c>
      <c r="W6443">
        <v>72</v>
      </c>
      <c r="X6443" s="186" t="s">
        <v>1429</v>
      </c>
      <c r="Y6443" s="187" t="s">
        <v>55</v>
      </c>
      <c r="Z6443" s="311">
        <v>293</v>
      </c>
      <c r="AB6443" t="str">
        <f>IF(Table1[[#This Row],[TIPO2]]="costo", VLOOKUP(Table1[[#This Row],[PARTIDA PRESUPUESTAL]],'Cost Report'!G:G,1,0),"Balance")</f>
        <v>2206-017</v>
      </c>
      <c r="AD6443" s="159">
        <f>+Table1[[#This Row],[SUBTOTAL]]+Table1[[#This Row],[IVA]]-Table1[[#This Row],[RET IVA]]-Table1[[#This Row],[RET ISR]]-Table1[[#This Row],[TOTAL]]</f>
        <v>0</v>
      </c>
      <c r="AK6443" s="306">
        <f>IF(ISNUMBER(Table1[[#This Row],[FECHA DE RECIBIDO]]), Table1[[#This Row],[FECHA DE RECIBIDO]]-DATE(2023,8,30), "")</f>
        <v>-44888.360868055555</v>
      </c>
    </row>
    <row r="6444" spans="1:37" ht="16.05" customHeight="1">
      <c r="A6444" s="172" t="s">
        <v>5339</v>
      </c>
      <c r="B6444" s="198">
        <v>2271</v>
      </c>
      <c r="C6444" s="179" t="s">
        <v>2527</v>
      </c>
      <c r="D6444">
        <v>4399</v>
      </c>
      <c r="E6444" s="125">
        <v>45560</v>
      </c>
      <c r="F6444" s="178">
        <v>626</v>
      </c>
      <c r="G6444" s="178" t="s">
        <v>109</v>
      </c>
      <c r="H6444">
        <v>1063</v>
      </c>
      <c r="I6444" s="178" t="s">
        <v>1546</v>
      </c>
      <c r="J6444" s="320">
        <v>280.97112268518686</v>
      </c>
      <c r="K6444" s="178" t="s">
        <v>5325</v>
      </c>
      <c r="L6444" s="125" t="s">
        <v>110</v>
      </c>
      <c r="M6444">
        <v>1483</v>
      </c>
      <c r="N6444" s="182">
        <v>258</v>
      </c>
      <c r="O6444">
        <v>4230</v>
      </c>
      <c r="P6444" s="176" t="s">
        <v>77</v>
      </c>
      <c r="Q6444" s="202">
        <v>5880</v>
      </c>
      <c r="R6444" s="176">
        <v>940.8</v>
      </c>
      <c r="S6444" s="176"/>
      <c r="T6444" s="190">
        <v>627.20000000000005</v>
      </c>
      <c r="U6444" s="191">
        <v>73.5</v>
      </c>
      <c r="V6444" s="191">
        <f t="shared" si="67"/>
        <v>6120.1</v>
      </c>
      <c r="W6444">
        <v>498</v>
      </c>
      <c r="X6444" s="186" t="s">
        <v>1429</v>
      </c>
      <c r="Y6444" s="187" t="s">
        <v>55</v>
      </c>
      <c r="Z6444" s="311">
        <v>293</v>
      </c>
      <c r="AB6444" t="str">
        <f>IF(Table1[[#This Row],[TIPO2]]="costo", VLOOKUP(Table1[[#This Row],[PARTIDA PRESUPUESTAL]],'Cost Report'!G:G,1,0),"Balance")</f>
        <v>2405-025</v>
      </c>
      <c r="AD6444" s="159">
        <f>+Table1[[#This Row],[SUBTOTAL]]+Table1[[#This Row],[IVA]]-Table1[[#This Row],[RET IVA]]-Table1[[#This Row],[RET ISR]]-Table1[[#This Row],[TOTAL]]</f>
        <v>0</v>
      </c>
      <c r="AK6444" s="306">
        <f>IF(ISNUMBER(Table1[[#This Row],[FECHA DE RECIBIDO]]), Table1[[#This Row],[FECHA DE RECIBIDO]]-DATE(2023,8,30), "")</f>
        <v>-44887.028877314813</v>
      </c>
    </row>
    <row r="6445" spans="1:37" ht="16.05" customHeight="1">
      <c r="A6445" s="172" t="s">
        <v>5340</v>
      </c>
      <c r="B6445" s="198">
        <v>2272</v>
      </c>
      <c r="C6445" s="179" t="s">
        <v>2594</v>
      </c>
      <c r="D6445">
        <v>4400</v>
      </c>
      <c r="E6445" s="125">
        <v>14430</v>
      </c>
      <c r="F6445" s="178">
        <v>612</v>
      </c>
      <c r="G6445" s="178" t="s">
        <v>129</v>
      </c>
      <c r="H6445">
        <v>1064</v>
      </c>
      <c r="I6445" s="178" t="s">
        <v>1546</v>
      </c>
      <c r="J6445" s="320">
        <v>280.69185185185052</v>
      </c>
      <c r="K6445" s="178" t="s">
        <v>5325</v>
      </c>
      <c r="L6445" s="125" t="s">
        <v>110</v>
      </c>
      <c r="M6445">
        <v>1484</v>
      </c>
      <c r="N6445" s="182">
        <v>259</v>
      </c>
      <c r="O6445">
        <v>4231</v>
      </c>
      <c r="P6445" s="176" t="s">
        <v>77</v>
      </c>
      <c r="Q6445" s="202">
        <v>1500</v>
      </c>
      <c r="R6445" s="176">
        <v>240</v>
      </c>
      <c r="S6445" s="176"/>
      <c r="T6445" s="190">
        <v>160</v>
      </c>
      <c r="U6445" s="191">
        <v>150</v>
      </c>
      <c r="V6445" s="191">
        <f t="shared" si="67"/>
        <v>1430</v>
      </c>
      <c r="W6445">
        <v>499</v>
      </c>
      <c r="X6445" s="186" t="s">
        <v>1434</v>
      </c>
      <c r="Y6445" s="187" t="s">
        <v>55</v>
      </c>
      <c r="Z6445" s="311">
        <v>293</v>
      </c>
      <c r="AB6445" t="str">
        <f>IF(Table1[[#This Row],[TIPO2]]="costo", VLOOKUP(Table1[[#This Row],[PARTIDA PRESUPUESTAL]],'Cost Report'!G:G,1,0),"Balance")</f>
        <v>2707-025</v>
      </c>
      <c r="AD6445" s="159">
        <f>+Table1[[#This Row],[SUBTOTAL]]+Table1[[#This Row],[IVA]]-Table1[[#This Row],[RET IVA]]-Table1[[#This Row],[RET ISR]]-Table1[[#This Row],[TOTAL]]</f>
        <v>0</v>
      </c>
      <c r="AK6445" s="306">
        <f>IF(ISNUMBER(Table1[[#This Row],[FECHA DE RECIBIDO]]), Table1[[#This Row],[FECHA DE RECIBIDO]]-DATE(2023,8,30), "")</f>
        <v>-44887.308148148149</v>
      </c>
    </row>
    <row r="6446" spans="1:37" ht="16.05" customHeight="1">
      <c r="A6446" s="172" t="s">
        <v>5341</v>
      </c>
      <c r="B6446" s="198">
        <v>2273</v>
      </c>
      <c r="C6446" s="179" t="s">
        <v>2625</v>
      </c>
      <c r="D6446">
        <v>4401</v>
      </c>
      <c r="E6446" s="125">
        <v>10900</v>
      </c>
      <c r="F6446" s="178">
        <v>626</v>
      </c>
      <c r="G6446" s="178" t="s">
        <v>109</v>
      </c>
      <c r="H6446">
        <v>1065</v>
      </c>
      <c r="I6446" s="178" t="s">
        <v>1546</v>
      </c>
      <c r="J6446" s="320">
        <v>281.56957175926073</v>
      </c>
      <c r="K6446" s="178" t="s">
        <v>5325</v>
      </c>
      <c r="L6446" s="125" t="s">
        <v>110</v>
      </c>
      <c r="M6446">
        <v>1485</v>
      </c>
      <c r="N6446" s="182">
        <v>260</v>
      </c>
      <c r="O6446">
        <v>4232</v>
      </c>
      <c r="P6446" s="176" t="s">
        <v>77</v>
      </c>
      <c r="Q6446" s="202">
        <v>2385.8000000000002</v>
      </c>
      <c r="R6446" s="176">
        <v>381.73</v>
      </c>
      <c r="S6446" s="176"/>
      <c r="T6446" s="190">
        <v>254.49</v>
      </c>
      <c r="U6446" s="191">
        <v>29.82</v>
      </c>
      <c r="V6446" s="191">
        <f t="shared" si="67"/>
        <v>2483.2199999999998</v>
      </c>
      <c r="W6446">
        <v>500</v>
      </c>
      <c r="X6446" s="186" t="s">
        <v>3684</v>
      </c>
      <c r="Y6446" s="187" t="s">
        <v>55</v>
      </c>
      <c r="Z6446" s="311">
        <v>293</v>
      </c>
      <c r="AB6446" t="str">
        <f>IF(Table1[[#This Row],[TIPO2]]="costo", VLOOKUP(Table1[[#This Row],[PARTIDA PRESUPUESTAL]],'Cost Report'!G:G,1,0),"Balance")</f>
        <v>2911-003</v>
      </c>
      <c r="AD6446" s="159">
        <f>+Table1[[#This Row],[SUBTOTAL]]+Table1[[#This Row],[IVA]]-Table1[[#This Row],[RET IVA]]-Table1[[#This Row],[RET ISR]]-Table1[[#This Row],[TOTAL]]</f>
        <v>0</v>
      </c>
      <c r="AK6446" s="306">
        <f>IF(ISNUMBER(Table1[[#This Row],[FECHA DE RECIBIDO]]), Table1[[#This Row],[FECHA DE RECIBIDO]]-DATE(2023,8,30), "")</f>
        <v>-44886.430428240739</v>
      </c>
    </row>
    <row r="6447" spans="1:37" ht="16.05" customHeight="1">
      <c r="A6447" s="196" t="s">
        <v>5342</v>
      </c>
      <c r="B6447" s="200">
        <v>2274</v>
      </c>
      <c r="C6447" s="179" t="s">
        <v>2409</v>
      </c>
      <c r="D6447">
        <v>4402</v>
      </c>
      <c r="E6447" s="125">
        <v>44200</v>
      </c>
      <c r="F6447" s="178">
        <v>601</v>
      </c>
      <c r="G6447" s="178" t="s">
        <v>134</v>
      </c>
      <c r="H6447">
        <v>5</v>
      </c>
      <c r="I6447" s="178" t="s">
        <v>1546</v>
      </c>
      <c r="J6447" s="320">
        <v>285.55520833333139</v>
      </c>
      <c r="K6447" s="178" t="s">
        <v>5325</v>
      </c>
      <c r="L6447" s="125" t="s">
        <v>3306</v>
      </c>
      <c r="M6447">
        <v>5</v>
      </c>
      <c r="N6447" s="182">
        <v>0</v>
      </c>
      <c r="O6447">
        <v>4233</v>
      </c>
      <c r="P6447" s="176" t="s">
        <v>77</v>
      </c>
      <c r="Q6447" s="202">
        <v>11000</v>
      </c>
      <c r="R6447" s="176">
        <v>1760</v>
      </c>
      <c r="S6447" s="176"/>
      <c r="T6447" s="190">
        <v>0</v>
      </c>
      <c r="U6447" s="191">
        <v>0</v>
      </c>
      <c r="V6447" s="191">
        <f t="shared" si="67"/>
        <v>12760</v>
      </c>
      <c r="W6447">
        <v>4</v>
      </c>
      <c r="X6447" s="186" t="s">
        <v>135</v>
      </c>
      <c r="Y6447" s="187" t="s">
        <v>55</v>
      </c>
      <c r="Z6447" s="311">
        <v>293</v>
      </c>
      <c r="AB6447" t="str">
        <f>IF(Table1[[#This Row],[TIPO2]]="costo", VLOOKUP(Table1[[#This Row],[PARTIDA PRESUPUESTAL]],'Cost Report'!G:G,1,0),"Balance")</f>
        <v>2011-023</v>
      </c>
      <c r="AD6447" s="159">
        <f>+Table1[[#This Row],[SUBTOTAL]]+Table1[[#This Row],[IVA]]-Table1[[#This Row],[RET IVA]]-Table1[[#This Row],[RET ISR]]-Table1[[#This Row],[TOTAL]]</f>
        <v>0</v>
      </c>
      <c r="AK6447" s="306">
        <f>IF(ISNUMBER(Table1[[#This Row],[FECHA DE RECIBIDO]]), Table1[[#This Row],[FECHA DE RECIBIDO]]-DATE(2023,8,30), "")</f>
        <v>-44882.444791666669</v>
      </c>
    </row>
    <row r="6448" spans="1:37" ht="16.05" customHeight="1">
      <c r="A6448" s="196" t="s">
        <v>5343</v>
      </c>
      <c r="B6448" s="200">
        <v>2275</v>
      </c>
      <c r="C6448" s="179" t="s">
        <v>3100</v>
      </c>
      <c r="D6448">
        <v>4403</v>
      </c>
      <c r="E6448" s="125">
        <v>76220</v>
      </c>
      <c r="F6448" s="178">
        <v>601</v>
      </c>
      <c r="G6448" s="178" t="s">
        <v>134</v>
      </c>
      <c r="H6448">
        <v>1066</v>
      </c>
      <c r="I6448" s="178" t="s">
        <v>1546</v>
      </c>
      <c r="J6448" s="320">
        <v>289.47415509259008</v>
      </c>
      <c r="K6448" s="178" t="s">
        <v>5325</v>
      </c>
      <c r="L6448" s="125" t="s">
        <v>3306</v>
      </c>
      <c r="M6448">
        <v>1486</v>
      </c>
      <c r="N6448" s="182">
        <v>1</v>
      </c>
      <c r="O6448">
        <v>4234</v>
      </c>
      <c r="P6448" s="176" t="s">
        <v>77</v>
      </c>
      <c r="Q6448" s="202">
        <v>15300</v>
      </c>
      <c r="R6448" s="176">
        <v>2448</v>
      </c>
      <c r="S6448" s="176"/>
      <c r="T6448" s="190">
        <v>0</v>
      </c>
      <c r="U6448" s="191">
        <v>0</v>
      </c>
      <c r="V6448" s="191">
        <f t="shared" si="67"/>
        <v>17748</v>
      </c>
      <c r="W6448">
        <v>501</v>
      </c>
      <c r="X6448" s="186" t="s">
        <v>2035</v>
      </c>
      <c r="Y6448" s="187" t="s">
        <v>55</v>
      </c>
      <c r="Z6448" s="311">
        <v>293</v>
      </c>
      <c r="AB6448" t="str">
        <f>IF(Table1[[#This Row],[TIPO2]]="costo", VLOOKUP(Table1[[#This Row],[PARTIDA PRESUPUESTAL]],'Cost Report'!G:G,1,0),"Balance")</f>
        <v>7008-003</v>
      </c>
      <c r="AD6448" s="159">
        <f>+Table1[[#This Row],[SUBTOTAL]]+Table1[[#This Row],[IVA]]-Table1[[#This Row],[RET IVA]]-Table1[[#This Row],[RET ISR]]-Table1[[#This Row],[TOTAL]]</f>
        <v>0</v>
      </c>
      <c r="AK6448" s="306">
        <f>IF(ISNUMBER(Table1[[#This Row],[FECHA DE RECIBIDO]]), Table1[[#This Row],[FECHA DE RECIBIDO]]-DATE(2023,8,30), "")</f>
        <v>-44878.52584490741</v>
      </c>
    </row>
    <row r="6449" spans="1:37" ht="16.05" customHeight="1">
      <c r="A6449" s="196" t="s">
        <v>5344</v>
      </c>
      <c r="B6449" s="200">
        <v>2276</v>
      </c>
      <c r="C6449" s="179" t="s">
        <v>2196</v>
      </c>
      <c r="D6449"/>
      <c r="E6449" s="125" t="s">
        <v>1911</v>
      </c>
      <c r="F6449" s="178" t="s">
        <v>1911</v>
      </c>
      <c r="G6449" s="178" t="s">
        <v>1911</v>
      </c>
      <c r="H6449"/>
      <c r="I6449" s="178" t="s">
        <v>1911</v>
      </c>
      <c r="J6449" s="320" t="s">
        <v>214</v>
      </c>
      <c r="K6449" s="178" t="s">
        <v>5325</v>
      </c>
      <c r="L6449" s="125" t="s">
        <v>3306</v>
      </c>
      <c r="M6449">
        <v>1487</v>
      </c>
      <c r="N6449" s="182">
        <v>1</v>
      </c>
      <c r="O6449">
        <v>4235</v>
      </c>
      <c r="P6449" s="176" t="s">
        <v>77</v>
      </c>
      <c r="Q6449" s="202">
        <v>13200</v>
      </c>
      <c r="R6449" s="176">
        <v>0</v>
      </c>
      <c r="S6449" s="176"/>
      <c r="T6449" s="190">
        <v>0</v>
      </c>
      <c r="U6449" s="191">
        <v>0</v>
      </c>
      <c r="V6449" s="191">
        <f t="shared" si="67"/>
        <v>13200</v>
      </c>
      <c r="W6449">
        <v>502</v>
      </c>
      <c r="X6449" s="186" t="s">
        <v>5345</v>
      </c>
      <c r="Y6449" s="187" t="s">
        <v>55</v>
      </c>
      <c r="Z6449" s="311">
        <v>293</v>
      </c>
      <c r="AB6449" t="str">
        <f>IF(Table1[[#This Row],[TIPO2]]="costo", VLOOKUP(Table1[[#This Row],[PARTIDA PRESUPUESTAL]],'Cost Report'!G:G,1,0),"Balance")</f>
        <v>1403-065</v>
      </c>
      <c r="AD6449" s="159">
        <f>+Table1[[#This Row],[SUBTOTAL]]+Table1[[#This Row],[IVA]]-Table1[[#This Row],[RET IVA]]-Table1[[#This Row],[RET ISR]]-Table1[[#This Row],[TOTAL]]</f>
        <v>0</v>
      </c>
      <c r="AK6449" s="306" t="str">
        <f>IF(ISNUMBER(Table1[[#This Row],[FECHA DE RECIBIDO]]), Table1[[#This Row],[FECHA DE RECIBIDO]]-DATE(2023,8,30), "")</f>
        <v/>
      </c>
    </row>
    <row r="6450" spans="1:37" ht="16.05" customHeight="1">
      <c r="A6450" s="196"/>
      <c r="B6450" s="200"/>
      <c r="C6450" s="179" t="s">
        <v>2169</v>
      </c>
      <c r="D6450"/>
      <c r="E6450" s="125" t="s">
        <v>1911</v>
      </c>
      <c r="F6450" s="178" t="s">
        <v>1911</v>
      </c>
      <c r="G6450" s="178" t="s">
        <v>1911</v>
      </c>
      <c r="H6450"/>
      <c r="I6450" s="178" t="s">
        <v>1911</v>
      </c>
      <c r="J6450" s="320" t="s">
        <v>214</v>
      </c>
      <c r="K6450" s="178" t="s">
        <v>5325</v>
      </c>
      <c r="L6450" s="125" t="s">
        <v>3306</v>
      </c>
      <c r="M6450">
        <v>1487</v>
      </c>
      <c r="N6450" s="182">
        <v>1</v>
      </c>
      <c r="O6450">
        <v>4236</v>
      </c>
      <c r="P6450" s="176" t="s">
        <v>77</v>
      </c>
      <c r="Q6450" s="202">
        <v>88200</v>
      </c>
      <c r="R6450" s="176">
        <v>0</v>
      </c>
      <c r="S6450" s="176"/>
      <c r="T6450" s="190">
        <v>0</v>
      </c>
      <c r="U6450" s="191">
        <v>0</v>
      </c>
      <c r="V6450" s="191">
        <f t="shared" si="67"/>
        <v>88200</v>
      </c>
      <c r="W6450">
        <v>502</v>
      </c>
      <c r="X6450" s="186" t="s">
        <v>5345</v>
      </c>
      <c r="Y6450" s="187" t="s">
        <v>55</v>
      </c>
      <c r="Z6450" s="311">
        <v>293</v>
      </c>
      <c r="AB6450" t="str">
        <f>IF(Table1[[#This Row],[TIPO2]]="costo", VLOOKUP(Table1[[#This Row],[PARTIDA PRESUPUESTAL]],'Cost Report'!G:G,1,0),"Balance")</f>
        <v>1401-050</v>
      </c>
      <c r="AD6450" s="159">
        <f>+Table1[[#This Row],[SUBTOTAL]]+Table1[[#This Row],[IVA]]-Table1[[#This Row],[RET IVA]]-Table1[[#This Row],[RET ISR]]-Table1[[#This Row],[TOTAL]]</f>
        <v>0</v>
      </c>
      <c r="AK6450" s="306" t="str">
        <f>IF(ISNUMBER(Table1[[#This Row],[FECHA DE RECIBIDO]]), Table1[[#This Row],[FECHA DE RECIBIDO]]-DATE(2023,8,30), "")</f>
        <v/>
      </c>
    </row>
    <row r="6451" spans="1:37" ht="16.05" customHeight="1">
      <c r="A6451" s="172" t="s">
        <v>5346</v>
      </c>
      <c r="B6451" s="198">
        <v>2277</v>
      </c>
      <c r="C6451" s="179" t="s">
        <v>1869</v>
      </c>
      <c r="D6451">
        <v>4404</v>
      </c>
      <c r="E6451" s="125">
        <v>45070</v>
      </c>
      <c r="F6451" s="178">
        <v>612</v>
      </c>
      <c r="G6451" s="178" t="s">
        <v>129</v>
      </c>
      <c r="H6451">
        <v>1067</v>
      </c>
      <c r="I6451" s="178" t="s">
        <v>1546</v>
      </c>
      <c r="J6451" s="320">
        <v>279.88609953703417</v>
      </c>
      <c r="K6451" s="178" t="s">
        <v>5325</v>
      </c>
      <c r="L6451" s="125" t="s">
        <v>4782</v>
      </c>
      <c r="M6451">
        <v>1488</v>
      </c>
      <c r="N6451" s="182">
        <v>261</v>
      </c>
      <c r="O6451">
        <v>4237</v>
      </c>
      <c r="P6451" s="176" t="s">
        <v>77</v>
      </c>
      <c r="Q6451" s="202">
        <v>720</v>
      </c>
      <c r="R6451" s="176">
        <v>115.2</v>
      </c>
      <c r="S6451" s="176"/>
      <c r="T6451" s="190">
        <v>76.8</v>
      </c>
      <c r="U6451" s="191">
        <v>72</v>
      </c>
      <c r="V6451" s="191">
        <f t="shared" si="67"/>
        <v>686.40000000000009</v>
      </c>
      <c r="W6451">
        <v>503</v>
      </c>
      <c r="X6451" s="186" t="s">
        <v>1429</v>
      </c>
      <c r="Y6451" s="187" t="s">
        <v>55</v>
      </c>
      <c r="Z6451" s="311">
        <v>294</v>
      </c>
      <c r="AB6451" t="str">
        <f>IF(Table1[[#This Row],[TIPO2]]="costo", VLOOKUP(Table1[[#This Row],[PARTIDA PRESUPUESTAL]],'Cost Report'!G:G,1,0),"Balance")</f>
        <v>3442-007</v>
      </c>
      <c r="AD6451" s="159">
        <f>+Table1[[#This Row],[SUBTOTAL]]+Table1[[#This Row],[IVA]]-Table1[[#This Row],[RET IVA]]-Table1[[#This Row],[RET ISR]]-Table1[[#This Row],[TOTAL]]</f>
        <v>0</v>
      </c>
      <c r="AK6451" s="306">
        <f>IF(ISNUMBER(Table1[[#This Row],[FECHA DE RECIBIDO]]), Table1[[#This Row],[FECHA DE RECIBIDO]]-DATE(2023,8,30), "")</f>
        <v>-44888.113900462966</v>
      </c>
    </row>
    <row r="6452" spans="1:37" ht="16.05" customHeight="1">
      <c r="A6452" s="172" t="s">
        <v>5347</v>
      </c>
      <c r="B6452" s="198">
        <v>2278</v>
      </c>
      <c r="C6452" s="179" t="s">
        <v>607</v>
      </c>
      <c r="D6452">
        <v>4405</v>
      </c>
      <c r="E6452" s="125">
        <v>45070</v>
      </c>
      <c r="F6452" s="178">
        <v>612</v>
      </c>
      <c r="G6452" s="178" t="s">
        <v>129</v>
      </c>
      <c r="H6452">
        <v>1067</v>
      </c>
      <c r="I6452" s="178" t="s">
        <v>1546</v>
      </c>
      <c r="J6452" s="320">
        <v>279.88474537037109</v>
      </c>
      <c r="K6452" s="178" t="s">
        <v>5325</v>
      </c>
      <c r="L6452" s="125" t="s">
        <v>110</v>
      </c>
      <c r="M6452">
        <v>1488</v>
      </c>
      <c r="N6452" s="182">
        <v>261</v>
      </c>
      <c r="O6452">
        <v>4238</v>
      </c>
      <c r="P6452" s="176" t="s">
        <v>77</v>
      </c>
      <c r="Q6452" s="202">
        <v>16000</v>
      </c>
      <c r="R6452" s="176">
        <v>2560</v>
      </c>
      <c r="S6452" s="176"/>
      <c r="T6452" s="190">
        <v>1706.68</v>
      </c>
      <c r="U6452" s="191">
        <v>1600</v>
      </c>
      <c r="V6452" s="191">
        <f t="shared" si="67"/>
        <v>15253.32</v>
      </c>
      <c r="W6452">
        <v>503</v>
      </c>
      <c r="X6452" s="186" t="s">
        <v>1429</v>
      </c>
      <c r="Y6452" s="187" t="s">
        <v>55</v>
      </c>
      <c r="Z6452" s="311">
        <v>294</v>
      </c>
      <c r="AB6452" t="str">
        <f>IF(Table1[[#This Row],[TIPO2]]="costo", VLOOKUP(Table1[[#This Row],[PARTIDA PRESUPUESTAL]],'Cost Report'!G:G,1,0),"Balance")</f>
        <v>2403-022</v>
      </c>
      <c r="AD6452" s="159">
        <f>+Table1[[#This Row],[SUBTOTAL]]+Table1[[#This Row],[IVA]]-Table1[[#This Row],[RET IVA]]-Table1[[#This Row],[RET ISR]]-Table1[[#This Row],[TOTAL]]</f>
        <v>0</v>
      </c>
      <c r="AK6452" s="306">
        <f>IF(ISNUMBER(Table1[[#This Row],[FECHA DE RECIBIDO]]), Table1[[#This Row],[FECHA DE RECIBIDO]]-DATE(2023,8,30), "")</f>
        <v>-44888.115254629629</v>
      </c>
    </row>
    <row r="6453" spans="1:37" ht="16.05" customHeight="1">
      <c r="A6453" s="172" t="s">
        <v>5348</v>
      </c>
      <c r="B6453" s="198">
        <v>2279</v>
      </c>
      <c r="C6453" s="179" t="s">
        <v>607</v>
      </c>
      <c r="D6453">
        <v>4406</v>
      </c>
      <c r="E6453" s="125">
        <v>45070</v>
      </c>
      <c r="F6453" s="178">
        <v>612</v>
      </c>
      <c r="G6453" s="178" t="s">
        <v>129</v>
      </c>
      <c r="H6453">
        <v>1067</v>
      </c>
      <c r="I6453" s="178" t="s">
        <v>1546</v>
      </c>
      <c r="J6453" s="320">
        <v>279.87993055555853</v>
      </c>
      <c r="K6453" s="178" t="s">
        <v>5325</v>
      </c>
      <c r="L6453" s="125" t="s">
        <v>110</v>
      </c>
      <c r="M6453">
        <v>1488</v>
      </c>
      <c r="N6453" s="182">
        <v>261</v>
      </c>
      <c r="O6453">
        <v>2872</v>
      </c>
      <c r="P6453" s="176" t="s">
        <v>77</v>
      </c>
      <c r="Q6453" s="202">
        <v>1470</v>
      </c>
      <c r="R6453" s="176">
        <v>235.2</v>
      </c>
      <c r="S6453" s="176"/>
      <c r="T6453" s="190">
        <v>156.80000000000001</v>
      </c>
      <c r="U6453" s="191">
        <v>147</v>
      </c>
      <c r="V6453" s="191">
        <f t="shared" si="67"/>
        <v>1401.4</v>
      </c>
      <c r="W6453">
        <v>503</v>
      </c>
      <c r="X6453" s="186" t="s">
        <v>1429</v>
      </c>
      <c r="Y6453" s="187" t="s">
        <v>55</v>
      </c>
      <c r="Z6453" s="311">
        <v>294</v>
      </c>
      <c r="AB6453" t="str">
        <f>IF(Table1[[#This Row],[TIPO2]]="costo", VLOOKUP(Table1[[#This Row],[PARTIDA PRESUPUESTAL]],'Cost Report'!G:G,1,0),"Balance")</f>
        <v>2403-022</v>
      </c>
      <c r="AD6453" s="159">
        <f>+Table1[[#This Row],[SUBTOTAL]]+Table1[[#This Row],[IVA]]-Table1[[#This Row],[RET IVA]]-Table1[[#This Row],[RET ISR]]-Table1[[#This Row],[TOTAL]]</f>
        <v>0</v>
      </c>
      <c r="AK6453" s="306">
        <f>IF(ISNUMBER(Table1[[#This Row],[FECHA DE RECIBIDO]]), Table1[[#This Row],[FECHA DE RECIBIDO]]-DATE(2023,8,30), "")</f>
        <v>-44888.120069444441</v>
      </c>
    </row>
    <row r="6454" spans="1:37" ht="16.05" customHeight="1">
      <c r="A6454" s="172" t="s">
        <v>5349</v>
      </c>
      <c r="B6454" s="198">
        <v>2280</v>
      </c>
      <c r="C6454" s="179" t="s">
        <v>607</v>
      </c>
      <c r="D6454">
        <v>4407</v>
      </c>
      <c r="E6454" s="125">
        <v>45070</v>
      </c>
      <c r="F6454" s="178">
        <v>612</v>
      </c>
      <c r="G6454" s="178" t="s">
        <v>129</v>
      </c>
      <c r="H6454">
        <v>1067</v>
      </c>
      <c r="I6454" s="178" t="s">
        <v>1546</v>
      </c>
      <c r="J6454" s="320">
        <v>279.88252314814599</v>
      </c>
      <c r="K6454" s="178" t="s">
        <v>5325</v>
      </c>
      <c r="L6454" s="125" t="s">
        <v>110</v>
      </c>
      <c r="M6454">
        <v>1488</v>
      </c>
      <c r="N6454" s="182">
        <v>261</v>
      </c>
      <c r="O6454">
        <v>4239</v>
      </c>
      <c r="P6454" s="176" t="s">
        <v>77</v>
      </c>
      <c r="Q6454" s="202">
        <v>8000</v>
      </c>
      <c r="R6454" s="176">
        <v>1280</v>
      </c>
      <c r="S6454" s="176"/>
      <c r="T6454" s="190">
        <v>853.34</v>
      </c>
      <c r="U6454" s="191">
        <v>800</v>
      </c>
      <c r="V6454" s="191">
        <f t="shared" si="67"/>
        <v>7626.66</v>
      </c>
      <c r="W6454">
        <v>503</v>
      </c>
      <c r="X6454" s="186" t="s">
        <v>1429</v>
      </c>
      <c r="Y6454" s="187" t="s">
        <v>55</v>
      </c>
      <c r="Z6454" s="311">
        <v>294</v>
      </c>
      <c r="AB6454" t="str">
        <f>IF(Table1[[#This Row],[TIPO2]]="costo", VLOOKUP(Table1[[#This Row],[PARTIDA PRESUPUESTAL]],'Cost Report'!G:G,1,0),"Balance")</f>
        <v>2403-022</v>
      </c>
      <c r="AD6454" s="159">
        <f>+Table1[[#This Row],[SUBTOTAL]]+Table1[[#This Row],[IVA]]-Table1[[#This Row],[RET IVA]]-Table1[[#This Row],[RET ISR]]-Table1[[#This Row],[TOTAL]]</f>
        <v>0</v>
      </c>
      <c r="AK6454" s="306">
        <f>IF(ISNUMBER(Table1[[#This Row],[FECHA DE RECIBIDO]]), Table1[[#This Row],[FECHA DE RECIBIDO]]-DATE(2023,8,30), "")</f>
        <v>-44888.117476851854</v>
      </c>
    </row>
    <row r="6455" spans="1:37" ht="16.05" customHeight="1">
      <c r="A6455" s="172" t="s">
        <v>5350</v>
      </c>
      <c r="B6455" s="198">
        <v>2281</v>
      </c>
      <c r="C6455" s="179" t="s">
        <v>2594</v>
      </c>
      <c r="D6455">
        <v>4408</v>
      </c>
      <c r="E6455" s="125">
        <v>1730</v>
      </c>
      <c r="F6455" s="178">
        <v>612</v>
      </c>
      <c r="G6455" s="178" t="s">
        <v>129</v>
      </c>
      <c r="H6455">
        <v>1068</v>
      </c>
      <c r="I6455" s="178" t="s">
        <v>1546</v>
      </c>
      <c r="J6455" s="320">
        <v>281.41166666666686</v>
      </c>
      <c r="K6455" s="178" t="s">
        <v>5325</v>
      </c>
      <c r="L6455" s="125" t="s">
        <v>110</v>
      </c>
      <c r="M6455">
        <v>1489</v>
      </c>
      <c r="N6455" s="182">
        <v>262</v>
      </c>
      <c r="O6455">
        <v>4240</v>
      </c>
      <c r="P6455" s="176" t="s">
        <v>77</v>
      </c>
      <c r="Q6455" s="202">
        <v>1500</v>
      </c>
      <c r="R6455" s="176">
        <v>240</v>
      </c>
      <c r="S6455" s="176"/>
      <c r="T6455" s="190">
        <v>160</v>
      </c>
      <c r="U6455" s="191">
        <v>150</v>
      </c>
      <c r="V6455" s="191">
        <f t="shared" si="67"/>
        <v>1430</v>
      </c>
      <c r="W6455">
        <v>504</v>
      </c>
      <c r="X6455" s="186" t="s">
        <v>1429</v>
      </c>
      <c r="Y6455" s="187" t="s">
        <v>55</v>
      </c>
      <c r="Z6455" s="311">
        <v>294</v>
      </c>
      <c r="AB6455" t="str">
        <f>IF(Table1[[#This Row],[TIPO2]]="costo", VLOOKUP(Table1[[#This Row],[PARTIDA PRESUPUESTAL]],'Cost Report'!G:G,1,0),"Balance")</f>
        <v>2707-025</v>
      </c>
      <c r="AD6455" s="159">
        <f>+Table1[[#This Row],[SUBTOTAL]]+Table1[[#This Row],[IVA]]-Table1[[#This Row],[RET IVA]]-Table1[[#This Row],[RET ISR]]-Table1[[#This Row],[TOTAL]]</f>
        <v>0</v>
      </c>
      <c r="AK6455" s="306">
        <f>IF(ISNUMBER(Table1[[#This Row],[FECHA DE RECIBIDO]]), Table1[[#This Row],[FECHA DE RECIBIDO]]-DATE(2023,8,30), "")</f>
        <v>-44886.588333333333</v>
      </c>
    </row>
    <row r="6456" spans="1:37" ht="16.05" customHeight="1">
      <c r="A6456" s="172" t="s">
        <v>5351</v>
      </c>
      <c r="B6456" s="198">
        <v>2282</v>
      </c>
      <c r="C6456" s="179" t="s">
        <v>506</v>
      </c>
      <c r="D6456">
        <v>4409</v>
      </c>
      <c r="E6456" s="125">
        <v>45110</v>
      </c>
      <c r="F6456" s="178">
        <v>612</v>
      </c>
      <c r="G6456" s="178" t="s">
        <v>129</v>
      </c>
      <c r="H6456">
        <v>493</v>
      </c>
      <c r="I6456" s="178" t="s">
        <v>1546</v>
      </c>
      <c r="J6456" s="320">
        <v>278.76268518518191</v>
      </c>
      <c r="K6456" s="178" t="s">
        <v>5325</v>
      </c>
      <c r="L6456" s="125" t="s">
        <v>110</v>
      </c>
      <c r="M6456">
        <v>717</v>
      </c>
      <c r="N6456" s="182">
        <v>122</v>
      </c>
      <c r="O6456">
        <v>4241</v>
      </c>
      <c r="P6456" s="176" t="s">
        <v>77</v>
      </c>
      <c r="Q6456" s="202">
        <v>4000</v>
      </c>
      <c r="R6456" s="176">
        <v>640</v>
      </c>
      <c r="S6456" s="176"/>
      <c r="T6456" s="190">
        <v>426.67</v>
      </c>
      <c r="U6456" s="191">
        <v>400</v>
      </c>
      <c r="V6456" s="191">
        <f t="shared" si="67"/>
        <v>3813.33</v>
      </c>
      <c r="W6456">
        <v>265</v>
      </c>
      <c r="X6456" s="186" t="s">
        <v>1429</v>
      </c>
      <c r="Y6456" s="187" t="s">
        <v>55</v>
      </c>
      <c r="Z6456" s="311">
        <v>296</v>
      </c>
      <c r="AB6456" t="str">
        <f>IF(Table1[[#This Row],[TIPO2]]="costo", VLOOKUP(Table1[[#This Row],[PARTIDA PRESUPUESTAL]],'Cost Report'!G:G,1,0),"Balance")</f>
        <v>2020-027</v>
      </c>
      <c r="AD6456" s="159">
        <f>+Table1[[#This Row],[SUBTOTAL]]+Table1[[#This Row],[IVA]]-Table1[[#This Row],[RET IVA]]-Table1[[#This Row],[RET ISR]]-Table1[[#This Row],[TOTAL]]</f>
        <v>0</v>
      </c>
      <c r="AK6456" s="306">
        <f>IF(ISNUMBER(Table1[[#This Row],[FECHA DE RECIBIDO]]), Table1[[#This Row],[FECHA DE RECIBIDO]]-DATE(2023,8,30), "")</f>
        <v>-44889.237314814818</v>
      </c>
    </row>
    <row r="6457" spans="1:37" ht="16.05" customHeight="1">
      <c r="A6457" s="172" t="s">
        <v>5352</v>
      </c>
      <c r="B6457" s="198">
        <v>2283</v>
      </c>
      <c r="C6457" s="179" t="s">
        <v>2410</v>
      </c>
      <c r="D6457">
        <v>4410</v>
      </c>
      <c r="E6457" s="125">
        <v>1620</v>
      </c>
      <c r="F6457" s="178">
        <v>612</v>
      </c>
      <c r="G6457" s="178" t="s">
        <v>129</v>
      </c>
      <c r="H6457">
        <v>15</v>
      </c>
      <c r="I6457" s="178" t="s">
        <v>1546</v>
      </c>
      <c r="J6457" s="320">
        <v>286.67414351851767</v>
      </c>
      <c r="K6457" s="178" t="s">
        <v>5325</v>
      </c>
      <c r="L6457" s="125" t="s">
        <v>110</v>
      </c>
      <c r="M6457">
        <v>19</v>
      </c>
      <c r="N6457" s="182">
        <v>1</v>
      </c>
      <c r="O6457">
        <v>4242</v>
      </c>
      <c r="P6457" s="176" t="s">
        <v>77</v>
      </c>
      <c r="Q6457" s="202">
        <v>18900</v>
      </c>
      <c r="R6457" s="176">
        <v>3024</v>
      </c>
      <c r="S6457" s="176"/>
      <c r="T6457" s="190">
        <v>2016.01</v>
      </c>
      <c r="U6457" s="191">
        <v>1890</v>
      </c>
      <c r="V6457" s="191">
        <f t="shared" si="67"/>
        <v>18017.990000000002</v>
      </c>
      <c r="W6457">
        <v>15</v>
      </c>
      <c r="X6457" s="186" t="s">
        <v>1429</v>
      </c>
      <c r="Y6457" s="187" t="s">
        <v>55</v>
      </c>
      <c r="Z6457" s="311">
        <v>296</v>
      </c>
      <c r="AB6457" t="str">
        <f>IF(Table1[[#This Row],[TIPO2]]="costo", VLOOKUP(Table1[[#This Row],[PARTIDA PRESUPUESTAL]],'Cost Report'!G:G,1,0),"Balance")</f>
        <v>2013-006</v>
      </c>
      <c r="AD6457" s="159">
        <f>+Table1[[#This Row],[SUBTOTAL]]+Table1[[#This Row],[IVA]]-Table1[[#This Row],[RET IVA]]-Table1[[#This Row],[RET ISR]]-Table1[[#This Row],[TOTAL]]</f>
        <v>0</v>
      </c>
      <c r="AK6457" s="306">
        <f>IF(ISNUMBER(Table1[[#This Row],[FECHA DE RECIBIDO]]), Table1[[#This Row],[FECHA DE RECIBIDO]]-DATE(2023,8,30), "")</f>
        <v>-44881.325856481482</v>
      </c>
    </row>
    <row r="6458" spans="1:37" ht="16.05" customHeight="1">
      <c r="A6458" s="172" t="s">
        <v>5353</v>
      </c>
      <c r="B6458" s="198">
        <v>2284</v>
      </c>
      <c r="C6458" s="179" t="s">
        <v>2410</v>
      </c>
      <c r="D6458">
        <v>4411</v>
      </c>
      <c r="E6458" s="125" t="s">
        <v>1588</v>
      </c>
      <c r="F6458" s="178">
        <v>612</v>
      </c>
      <c r="G6458" s="178" t="s">
        <v>129</v>
      </c>
      <c r="H6458">
        <v>15</v>
      </c>
      <c r="I6458" s="178" t="s">
        <v>1546</v>
      </c>
      <c r="J6458" s="320" t="s">
        <v>214</v>
      </c>
      <c r="K6458" s="178" t="s">
        <v>5325</v>
      </c>
      <c r="L6458" s="125" t="s">
        <v>110</v>
      </c>
      <c r="M6458">
        <v>19</v>
      </c>
      <c r="N6458" s="182">
        <v>1</v>
      </c>
      <c r="O6458">
        <v>4243</v>
      </c>
      <c r="P6458" s="176" t="s">
        <v>77</v>
      </c>
      <c r="Q6458" s="202">
        <v>75600</v>
      </c>
      <c r="R6458" s="176">
        <v>12096</v>
      </c>
      <c r="S6458" s="176"/>
      <c r="T6458" s="190">
        <v>8064.04</v>
      </c>
      <c r="U6458" s="191">
        <v>7560</v>
      </c>
      <c r="V6458" s="191">
        <f t="shared" si="67"/>
        <v>72071.960000000006</v>
      </c>
      <c r="W6458">
        <v>15</v>
      </c>
      <c r="X6458" s="186" t="s">
        <v>1429</v>
      </c>
      <c r="Y6458" s="187" t="s">
        <v>55</v>
      </c>
      <c r="Z6458" s="311">
        <v>296</v>
      </c>
      <c r="AB6458" t="str">
        <f>IF(Table1[[#This Row],[TIPO2]]="costo", VLOOKUP(Table1[[#This Row],[PARTIDA PRESUPUESTAL]],'Cost Report'!G:G,1,0),"Balance")</f>
        <v>2013-006</v>
      </c>
      <c r="AD6458" s="159">
        <f>+Table1[[#This Row],[SUBTOTAL]]+Table1[[#This Row],[IVA]]-Table1[[#This Row],[RET IVA]]-Table1[[#This Row],[RET ISR]]-Table1[[#This Row],[TOTAL]]</f>
        <v>0</v>
      </c>
      <c r="AK6458" s="306" t="str">
        <f>IF(ISNUMBER(Table1[[#This Row],[FECHA DE RECIBIDO]]), Table1[[#This Row],[FECHA DE RECIBIDO]]-DATE(2023,8,30), "")</f>
        <v/>
      </c>
    </row>
    <row r="6459" spans="1:37" ht="16.05" customHeight="1">
      <c r="A6459" s="172" t="s">
        <v>5354</v>
      </c>
      <c r="B6459" s="198">
        <v>2285</v>
      </c>
      <c r="C6459" s="179" t="s">
        <v>479</v>
      </c>
      <c r="D6459">
        <v>4412</v>
      </c>
      <c r="E6459" s="125">
        <v>3023</v>
      </c>
      <c r="F6459" s="178">
        <v>626</v>
      </c>
      <c r="G6459" s="178" t="s">
        <v>109</v>
      </c>
      <c r="H6459">
        <v>21</v>
      </c>
      <c r="I6459" s="178" t="s">
        <v>1546</v>
      </c>
      <c r="J6459" s="320">
        <v>286.68148148147884</v>
      </c>
      <c r="K6459" s="178" t="s">
        <v>5325</v>
      </c>
      <c r="L6459" s="125" t="s">
        <v>110</v>
      </c>
      <c r="M6459">
        <v>27</v>
      </c>
      <c r="N6459" s="182">
        <v>5</v>
      </c>
      <c r="O6459">
        <v>4244</v>
      </c>
      <c r="P6459" s="176" t="s">
        <v>77</v>
      </c>
      <c r="Q6459" s="202">
        <v>8000</v>
      </c>
      <c r="R6459" s="176">
        <v>1280</v>
      </c>
      <c r="S6459" s="176"/>
      <c r="T6459" s="190">
        <v>853.33</v>
      </c>
      <c r="U6459" s="191">
        <v>100</v>
      </c>
      <c r="V6459" s="191">
        <f t="shared" si="67"/>
        <v>8326.67</v>
      </c>
      <c r="W6459">
        <v>21</v>
      </c>
      <c r="X6459" s="186" t="s">
        <v>1431</v>
      </c>
      <c r="Y6459" s="187" t="s">
        <v>55</v>
      </c>
      <c r="Z6459" s="311">
        <v>296</v>
      </c>
      <c r="AB6459" t="str">
        <f>IF(Table1[[#This Row],[TIPO2]]="costo", VLOOKUP(Table1[[#This Row],[PARTIDA PRESUPUESTAL]],'Cost Report'!G:G,1,0),"Balance")</f>
        <v>2014-005</v>
      </c>
      <c r="AD6459" s="159">
        <f>+Table1[[#This Row],[SUBTOTAL]]+Table1[[#This Row],[IVA]]-Table1[[#This Row],[RET IVA]]-Table1[[#This Row],[RET ISR]]-Table1[[#This Row],[TOTAL]]</f>
        <v>0</v>
      </c>
      <c r="AK6459" s="306">
        <f>IF(ISNUMBER(Table1[[#This Row],[FECHA DE RECIBIDO]]), Table1[[#This Row],[FECHA DE RECIBIDO]]-DATE(2023,8,30), "")</f>
        <v>-44881.318518518521</v>
      </c>
    </row>
    <row r="6460" spans="1:37" ht="16.05" customHeight="1">
      <c r="A6460" s="172" t="s">
        <v>5355</v>
      </c>
      <c r="B6460" s="198">
        <v>2286</v>
      </c>
      <c r="C6460" s="179" t="s">
        <v>2143</v>
      </c>
      <c r="D6460">
        <v>4413</v>
      </c>
      <c r="E6460" s="125" t="s">
        <v>1592</v>
      </c>
      <c r="F6460" s="178">
        <v>626</v>
      </c>
      <c r="G6460" s="178" t="s">
        <v>109</v>
      </c>
      <c r="H6460">
        <v>18</v>
      </c>
      <c r="I6460" s="178" t="s">
        <v>1546</v>
      </c>
      <c r="J6460" s="320" t="s">
        <v>214</v>
      </c>
      <c r="K6460" s="178" t="s">
        <v>5325</v>
      </c>
      <c r="L6460" s="125" t="s">
        <v>110</v>
      </c>
      <c r="M6460">
        <v>23</v>
      </c>
      <c r="N6460" s="182">
        <v>4</v>
      </c>
      <c r="O6460">
        <v>4245</v>
      </c>
      <c r="P6460" s="176" t="s">
        <v>77</v>
      </c>
      <c r="Q6460" s="202">
        <v>40000</v>
      </c>
      <c r="R6460" s="176">
        <v>6400</v>
      </c>
      <c r="S6460" s="176"/>
      <c r="T6460" s="190">
        <v>4266.68</v>
      </c>
      <c r="U6460" s="191">
        <v>500</v>
      </c>
      <c r="V6460" s="191">
        <f t="shared" si="67"/>
        <v>41633.32</v>
      </c>
      <c r="W6460">
        <v>18</v>
      </c>
      <c r="X6460" s="186" t="s">
        <v>1429</v>
      </c>
      <c r="Y6460" s="187" t="s">
        <v>55</v>
      </c>
      <c r="Z6460" s="311">
        <v>296</v>
      </c>
      <c r="AB6460" t="str">
        <f>IF(Table1[[#This Row],[TIPO2]]="costo", VLOOKUP(Table1[[#This Row],[PARTIDA PRESUPUESTAL]],'Cost Report'!G:G,1,0),"Balance")</f>
        <v>1222-009</v>
      </c>
      <c r="AD6460" s="159">
        <f>+Table1[[#This Row],[SUBTOTAL]]+Table1[[#This Row],[IVA]]-Table1[[#This Row],[RET IVA]]-Table1[[#This Row],[RET ISR]]-Table1[[#This Row],[TOTAL]]</f>
        <v>0</v>
      </c>
      <c r="AK6460" s="306" t="str">
        <f>IF(ISNUMBER(Table1[[#This Row],[FECHA DE RECIBIDO]]), Table1[[#This Row],[FECHA DE RECIBIDO]]-DATE(2023,8,30), "")</f>
        <v/>
      </c>
    </row>
    <row r="6461" spans="1:37" ht="16.05" customHeight="1">
      <c r="A6461" s="172" t="s">
        <v>5356</v>
      </c>
      <c r="B6461" s="198">
        <v>2287</v>
      </c>
      <c r="C6461" s="179" t="s">
        <v>1727</v>
      </c>
      <c r="D6461">
        <v>4414</v>
      </c>
      <c r="E6461" s="125">
        <v>45019</v>
      </c>
      <c r="F6461" s="178">
        <v>626</v>
      </c>
      <c r="G6461" s="178" t="s">
        <v>109</v>
      </c>
      <c r="H6461">
        <v>197</v>
      </c>
      <c r="I6461" s="178" t="s">
        <v>1546</v>
      </c>
      <c r="J6461" s="320">
        <v>287.47049768518627</v>
      </c>
      <c r="K6461" s="178" t="s">
        <v>5325</v>
      </c>
      <c r="L6461" s="125" t="s">
        <v>110</v>
      </c>
      <c r="M6461">
        <v>262</v>
      </c>
      <c r="N6461" s="182">
        <v>62</v>
      </c>
      <c r="O6461">
        <v>4246</v>
      </c>
      <c r="P6461" s="176" t="s">
        <v>77</v>
      </c>
      <c r="Q6461" s="202">
        <v>9000</v>
      </c>
      <c r="R6461" s="176">
        <v>1440</v>
      </c>
      <c r="S6461" s="176"/>
      <c r="T6461" s="190">
        <v>960</v>
      </c>
      <c r="U6461" s="191">
        <v>112.5</v>
      </c>
      <c r="V6461" s="191">
        <f t="shared" si="67"/>
        <v>9367.5</v>
      </c>
      <c r="W6461">
        <v>118</v>
      </c>
      <c r="X6461" s="186" t="s">
        <v>1429</v>
      </c>
      <c r="Y6461" s="187" t="s">
        <v>55</v>
      </c>
      <c r="Z6461" s="311">
        <v>296</v>
      </c>
      <c r="AB6461" t="str">
        <f>IF(Table1[[#This Row],[TIPO2]]="costo", VLOOKUP(Table1[[#This Row],[PARTIDA PRESUPUESTAL]],'Cost Report'!G:G,1,0),"Balance")</f>
        <v>2014-011</v>
      </c>
      <c r="AD6461" s="159">
        <f>+Table1[[#This Row],[SUBTOTAL]]+Table1[[#This Row],[IVA]]-Table1[[#This Row],[RET IVA]]-Table1[[#This Row],[RET ISR]]-Table1[[#This Row],[TOTAL]]</f>
        <v>0</v>
      </c>
      <c r="AK6461" s="306">
        <f>IF(ISNUMBER(Table1[[#This Row],[FECHA DE RECIBIDO]]), Table1[[#This Row],[FECHA DE RECIBIDO]]-DATE(2023,8,30), "")</f>
        <v>-44880.529502314814</v>
      </c>
    </row>
    <row r="6462" spans="1:37" ht="16.05" customHeight="1">
      <c r="A6462" s="172" t="s">
        <v>5357</v>
      </c>
      <c r="B6462" s="198">
        <v>2288</v>
      </c>
      <c r="C6462" s="179" t="s">
        <v>2890</v>
      </c>
      <c r="D6462">
        <v>4415</v>
      </c>
      <c r="E6462" s="125" t="s">
        <v>3171</v>
      </c>
      <c r="F6462" s="178">
        <v>621</v>
      </c>
      <c r="G6462" s="178" t="s">
        <v>1617</v>
      </c>
      <c r="H6462">
        <v>201</v>
      </c>
      <c r="I6462" s="178" t="s">
        <v>1546</v>
      </c>
      <c r="J6462" s="320" t="s">
        <v>214</v>
      </c>
      <c r="K6462" s="178" t="s">
        <v>5325</v>
      </c>
      <c r="L6462" s="125" t="s">
        <v>110</v>
      </c>
      <c r="M6462">
        <v>266</v>
      </c>
      <c r="N6462" s="182">
        <v>66</v>
      </c>
      <c r="O6462">
        <v>4247</v>
      </c>
      <c r="P6462" s="176" t="s">
        <v>77</v>
      </c>
      <c r="Q6462" s="202">
        <v>5000</v>
      </c>
      <c r="R6462" s="176">
        <v>800</v>
      </c>
      <c r="S6462" s="176"/>
      <c r="T6462" s="190">
        <v>533.34</v>
      </c>
      <c r="U6462" s="191">
        <v>0</v>
      </c>
      <c r="V6462" s="191">
        <f t="shared" si="67"/>
        <v>5266.66</v>
      </c>
      <c r="W6462">
        <v>122</v>
      </c>
      <c r="X6462" s="186" t="s">
        <v>1434</v>
      </c>
      <c r="Y6462" s="187" t="s">
        <v>55</v>
      </c>
      <c r="Z6462" s="311">
        <v>296</v>
      </c>
      <c r="AB6462" t="str">
        <f>IF(Table1[[#This Row],[TIPO2]]="costo", VLOOKUP(Table1[[#This Row],[PARTIDA PRESUPUESTAL]],'Cost Report'!G:G,1,0),"Balance")</f>
        <v>3683-127</v>
      </c>
      <c r="AD6462" s="159">
        <f>+Table1[[#This Row],[SUBTOTAL]]+Table1[[#This Row],[IVA]]-Table1[[#This Row],[RET IVA]]-Table1[[#This Row],[RET ISR]]-Table1[[#This Row],[TOTAL]]</f>
        <v>0</v>
      </c>
      <c r="AK6462" s="306" t="str">
        <f>IF(ISNUMBER(Table1[[#This Row],[FECHA DE RECIBIDO]]), Table1[[#This Row],[FECHA DE RECIBIDO]]-DATE(2023,8,30), "")</f>
        <v/>
      </c>
    </row>
    <row r="6463" spans="1:37" ht="16.05" customHeight="1">
      <c r="A6463" s="172" t="s">
        <v>5358</v>
      </c>
      <c r="B6463" s="198">
        <v>2289</v>
      </c>
      <c r="C6463" s="179" t="s">
        <v>2413</v>
      </c>
      <c r="D6463">
        <v>4416</v>
      </c>
      <c r="E6463" s="125" t="s">
        <v>4672</v>
      </c>
      <c r="F6463" s="178">
        <v>612</v>
      </c>
      <c r="G6463" s="178" t="s">
        <v>129</v>
      </c>
      <c r="H6463">
        <v>855</v>
      </c>
      <c r="I6463" s="178" t="s">
        <v>1546</v>
      </c>
      <c r="J6463" s="320" t="s">
        <v>214</v>
      </c>
      <c r="K6463" s="178" t="s">
        <v>5325</v>
      </c>
      <c r="L6463" s="125" t="s">
        <v>110</v>
      </c>
      <c r="M6463">
        <v>1189</v>
      </c>
      <c r="N6463" s="182">
        <v>211</v>
      </c>
      <c r="O6463">
        <v>4248</v>
      </c>
      <c r="P6463" s="176" t="s">
        <v>77</v>
      </c>
      <c r="Q6463" s="202">
        <v>8000</v>
      </c>
      <c r="R6463" s="176">
        <v>1280</v>
      </c>
      <c r="S6463" s="176"/>
      <c r="T6463" s="190">
        <v>853.34</v>
      </c>
      <c r="U6463" s="191">
        <v>800</v>
      </c>
      <c r="V6463" s="191">
        <f t="shared" si="67"/>
        <v>7626.66</v>
      </c>
      <c r="W6463">
        <v>420</v>
      </c>
      <c r="X6463" s="186" t="s">
        <v>1431</v>
      </c>
      <c r="Y6463" s="187" t="s">
        <v>55</v>
      </c>
      <c r="Z6463" s="311">
        <v>296</v>
      </c>
      <c r="AB6463" t="str">
        <f>IF(Table1[[#This Row],[TIPO2]]="costo", VLOOKUP(Table1[[#This Row],[PARTIDA PRESUPUESTAL]],'Cost Report'!G:G,1,0),"Balance")</f>
        <v>2014-016</v>
      </c>
      <c r="AD6463" s="159">
        <f>+Table1[[#This Row],[SUBTOTAL]]+Table1[[#This Row],[IVA]]-Table1[[#This Row],[RET IVA]]-Table1[[#This Row],[RET ISR]]-Table1[[#This Row],[TOTAL]]</f>
        <v>0</v>
      </c>
      <c r="AK6463" s="306" t="str">
        <f>IF(ISNUMBER(Table1[[#This Row],[FECHA DE RECIBIDO]]), Table1[[#This Row],[FECHA DE RECIBIDO]]-DATE(2023,8,30), "")</f>
        <v/>
      </c>
    </row>
    <row r="6464" spans="1:37" ht="16.05" customHeight="1">
      <c r="A6464" s="172" t="s">
        <v>5359</v>
      </c>
      <c r="B6464" s="198">
        <v>2290</v>
      </c>
      <c r="C6464" s="179" t="s">
        <v>506</v>
      </c>
      <c r="D6464">
        <v>4417</v>
      </c>
      <c r="E6464" s="125" t="s">
        <v>1603</v>
      </c>
      <c r="F6464" s="178">
        <v>612</v>
      </c>
      <c r="G6464" s="178" t="s">
        <v>129</v>
      </c>
      <c r="H6464">
        <v>493</v>
      </c>
      <c r="I6464" s="178" t="s">
        <v>1546</v>
      </c>
      <c r="J6464" s="320" t="s">
        <v>214</v>
      </c>
      <c r="K6464" s="178" t="s">
        <v>5325</v>
      </c>
      <c r="L6464" s="125" t="s">
        <v>110</v>
      </c>
      <c r="M6464">
        <v>717</v>
      </c>
      <c r="N6464" s="182">
        <v>122</v>
      </c>
      <c r="O6464">
        <v>4249</v>
      </c>
      <c r="P6464" s="176" t="s">
        <v>77</v>
      </c>
      <c r="Q6464" s="202">
        <v>4000</v>
      </c>
      <c r="R6464" s="176">
        <v>640</v>
      </c>
      <c r="S6464" s="176"/>
      <c r="T6464" s="190">
        <v>426.67</v>
      </c>
      <c r="U6464" s="191">
        <v>400</v>
      </c>
      <c r="V6464" s="191">
        <f t="shared" si="67"/>
        <v>3813.33</v>
      </c>
      <c r="W6464">
        <v>265</v>
      </c>
      <c r="X6464" s="186" t="s">
        <v>1429</v>
      </c>
      <c r="Y6464" s="187" t="s">
        <v>55</v>
      </c>
      <c r="Z6464" s="311">
        <v>296</v>
      </c>
      <c r="AB6464" t="str">
        <f>IF(Table1[[#This Row],[TIPO2]]="costo", VLOOKUP(Table1[[#This Row],[PARTIDA PRESUPUESTAL]],'Cost Report'!G:G,1,0),"Balance")</f>
        <v>2020-027</v>
      </c>
      <c r="AD6464" s="159">
        <f>+Table1[[#This Row],[SUBTOTAL]]+Table1[[#This Row],[IVA]]-Table1[[#This Row],[RET IVA]]-Table1[[#This Row],[RET ISR]]-Table1[[#This Row],[TOTAL]]</f>
        <v>0</v>
      </c>
      <c r="AK6464" s="306" t="str">
        <f>IF(ISNUMBER(Table1[[#This Row],[FECHA DE RECIBIDO]]), Table1[[#This Row],[FECHA DE RECIBIDO]]-DATE(2023,8,30), "")</f>
        <v/>
      </c>
    </row>
    <row r="6465" spans="1:37" ht="16.05" customHeight="1">
      <c r="A6465" s="172" t="s">
        <v>5360</v>
      </c>
      <c r="B6465" s="198">
        <v>2291</v>
      </c>
      <c r="C6465" s="179" t="s">
        <v>513</v>
      </c>
      <c r="D6465">
        <v>4418</v>
      </c>
      <c r="E6465" s="125">
        <v>95600</v>
      </c>
      <c r="F6465" s="178">
        <v>626</v>
      </c>
      <c r="G6465" s="178" t="s">
        <v>109</v>
      </c>
      <c r="H6465">
        <v>340</v>
      </c>
      <c r="I6465" s="178" t="s">
        <v>1546</v>
      </c>
      <c r="J6465" s="320">
        <v>279.42982638889225</v>
      </c>
      <c r="K6465" s="178" t="s">
        <v>5325</v>
      </c>
      <c r="L6465" s="125" t="s">
        <v>110</v>
      </c>
      <c r="M6465">
        <v>457</v>
      </c>
      <c r="N6465" s="182">
        <v>82</v>
      </c>
      <c r="O6465">
        <v>4250</v>
      </c>
      <c r="P6465" s="176" t="s">
        <v>77</v>
      </c>
      <c r="Q6465" s="202">
        <v>1120.8900000000001</v>
      </c>
      <c r="R6465" s="176">
        <v>179.34</v>
      </c>
      <c r="S6465" s="176"/>
      <c r="T6465" s="190">
        <v>119.56</v>
      </c>
      <c r="U6465" s="191">
        <v>14.01</v>
      </c>
      <c r="V6465" s="191">
        <f t="shared" si="67"/>
        <v>1166.6600000000001</v>
      </c>
      <c r="W6465">
        <v>177</v>
      </c>
      <c r="X6465" s="186" t="s">
        <v>1429</v>
      </c>
      <c r="Y6465" s="187" t="s">
        <v>55</v>
      </c>
      <c r="Z6465" s="311">
        <v>296</v>
      </c>
      <c r="AB6465" t="str">
        <f>IF(Table1[[#This Row],[TIPO2]]="costo", VLOOKUP(Table1[[#This Row],[PARTIDA PRESUPUESTAL]],'Cost Report'!G:G,1,0),"Balance")</f>
        <v>2020-038</v>
      </c>
      <c r="AD6465" s="159">
        <f>+Table1[[#This Row],[SUBTOTAL]]+Table1[[#This Row],[IVA]]-Table1[[#This Row],[RET IVA]]-Table1[[#This Row],[RET ISR]]-Table1[[#This Row],[TOTAL]]</f>
        <v>0</v>
      </c>
      <c r="AK6465" s="306">
        <f>IF(ISNUMBER(Table1[[#This Row],[FECHA DE RECIBIDO]]), Table1[[#This Row],[FECHA DE RECIBIDO]]-DATE(2023,8,30), "")</f>
        <v>-44888.570173611108</v>
      </c>
    </row>
    <row r="6466" spans="1:37" ht="16.05" customHeight="1">
      <c r="A6466" s="172" t="s">
        <v>5361</v>
      </c>
      <c r="B6466" s="198">
        <v>2292</v>
      </c>
      <c r="C6466" s="179" t="s">
        <v>2562</v>
      </c>
      <c r="D6466">
        <v>4419</v>
      </c>
      <c r="E6466" s="125">
        <v>45010</v>
      </c>
      <c r="F6466" s="178">
        <v>626</v>
      </c>
      <c r="G6466" s="178" t="s">
        <v>109</v>
      </c>
      <c r="H6466">
        <v>1069</v>
      </c>
      <c r="I6466" s="178" t="s">
        <v>1546</v>
      </c>
      <c r="J6466" s="320">
        <v>288.57118055555475</v>
      </c>
      <c r="K6466" s="178" t="s">
        <v>5325</v>
      </c>
      <c r="L6466" s="125" t="s">
        <v>110</v>
      </c>
      <c r="M6466">
        <v>1490</v>
      </c>
      <c r="N6466" s="182">
        <v>263</v>
      </c>
      <c r="O6466">
        <v>4251</v>
      </c>
      <c r="P6466" s="176" t="s">
        <v>77</v>
      </c>
      <c r="Q6466" s="202">
        <v>9800</v>
      </c>
      <c r="R6466" s="176">
        <v>1568</v>
      </c>
      <c r="S6466" s="176"/>
      <c r="T6466" s="190">
        <v>1045.3399999999999</v>
      </c>
      <c r="U6466" s="191">
        <v>122.5</v>
      </c>
      <c r="V6466" s="191">
        <f t="shared" si="67"/>
        <v>10200.16</v>
      </c>
      <c r="W6466">
        <v>505</v>
      </c>
      <c r="X6466" s="186" t="s">
        <v>1431</v>
      </c>
      <c r="Y6466" s="187" t="s">
        <v>55</v>
      </c>
      <c r="Z6466" s="311">
        <v>296</v>
      </c>
      <c r="AB6466" t="str">
        <f>IF(Table1[[#This Row],[TIPO2]]="costo", VLOOKUP(Table1[[#This Row],[PARTIDA PRESUPUESTAL]],'Cost Report'!G:G,1,0),"Balance")</f>
        <v>2502-012</v>
      </c>
      <c r="AD6466" s="159">
        <f>+Table1[[#This Row],[SUBTOTAL]]+Table1[[#This Row],[IVA]]-Table1[[#This Row],[RET IVA]]-Table1[[#This Row],[RET ISR]]-Table1[[#This Row],[TOTAL]]</f>
        <v>0</v>
      </c>
      <c r="AK6466" s="306">
        <f>IF(ISNUMBER(Table1[[#This Row],[FECHA DE RECIBIDO]]), Table1[[#This Row],[FECHA DE RECIBIDO]]-DATE(2023,8,30), "")</f>
        <v>-44879.428819444445</v>
      </c>
    </row>
    <row r="6467" spans="1:37" ht="16.05" customHeight="1">
      <c r="A6467" s="172" t="s">
        <v>5362</v>
      </c>
      <c r="B6467" s="198">
        <v>2293</v>
      </c>
      <c r="C6467" s="179" t="s">
        <v>577</v>
      </c>
      <c r="D6467">
        <v>4420</v>
      </c>
      <c r="E6467" s="125">
        <v>4480</v>
      </c>
      <c r="F6467" s="178">
        <v>626</v>
      </c>
      <c r="G6467" s="178" t="s">
        <v>109</v>
      </c>
      <c r="H6467">
        <v>66</v>
      </c>
      <c r="I6467" s="178" t="s">
        <v>1546</v>
      </c>
      <c r="J6467" s="320">
        <v>288.65325231481256</v>
      </c>
      <c r="K6467" s="178" t="s">
        <v>5325</v>
      </c>
      <c r="L6467" s="125" t="s">
        <v>110</v>
      </c>
      <c r="M6467">
        <v>89</v>
      </c>
      <c r="N6467" s="182">
        <v>26</v>
      </c>
      <c r="O6467">
        <v>4252</v>
      </c>
      <c r="P6467" s="176" t="s">
        <v>77</v>
      </c>
      <c r="Q6467" s="202">
        <v>17850</v>
      </c>
      <c r="R6467" s="176">
        <v>2856</v>
      </c>
      <c r="S6467" s="176"/>
      <c r="T6467" s="190">
        <v>1904.01</v>
      </c>
      <c r="U6467" s="191">
        <v>223.13</v>
      </c>
      <c r="V6467" s="191">
        <f t="shared" si="67"/>
        <v>18578.86</v>
      </c>
      <c r="W6467">
        <v>48</v>
      </c>
      <c r="X6467" s="186" t="s">
        <v>1430</v>
      </c>
      <c r="Y6467" s="187" t="s">
        <v>55</v>
      </c>
      <c r="Z6467" s="311">
        <v>296</v>
      </c>
      <c r="AB6467" t="str">
        <f>IF(Table1[[#This Row],[TIPO2]]="costo", VLOOKUP(Table1[[#This Row],[PARTIDA PRESUPUESTAL]],'Cost Report'!G:G,1,0),"Balance")</f>
        <v>2401-005</v>
      </c>
      <c r="AD6467" s="159">
        <f>+Table1[[#This Row],[SUBTOTAL]]+Table1[[#This Row],[IVA]]-Table1[[#This Row],[RET IVA]]-Table1[[#This Row],[RET ISR]]-Table1[[#This Row],[TOTAL]]</f>
        <v>0</v>
      </c>
      <c r="AK6467" s="306">
        <f>IF(ISNUMBER(Table1[[#This Row],[FECHA DE RECIBIDO]]), Table1[[#This Row],[FECHA DE RECIBIDO]]-DATE(2023,8,30), "")</f>
        <v>-44879.346747685187</v>
      </c>
    </row>
    <row r="6468" spans="1:37" ht="16.05" customHeight="1">
      <c r="A6468" s="172" t="s">
        <v>5363</v>
      </c>
      <c r="B6468" s="198">
        <v>2294</v>
      </c>
      <c r="C6468" s="179" t="s">
        <v>2527</v>
      </c>
      <c r="D6468">
        <v>4421</v>
      </c>
      <c r="E6468" s="125">
        <v>47480</v>
      </c>
      <c r="F6468" s="178">
        <v>626</v>
      </c>
      <c r="G6468" s="178" t="s">
        <v>109</v>
      </c>
      <c r="H6468">
        <v>1070</v>
      </c>
      <c r="I6468" s="178" t="s">
        <v>1546</v>
      </c>
      <c r="J6468" s="320">
        <v>289.39962962963182</v>
      </c>
      <c r="K6468" s="178" t="s">
        <v>5325</v>
      </c>
      <c r="L6468" s="125" t="s">
        <v>110</v>
      </c>
      <c r="M6468">
        <v>1491</v>
      </c>
      <c r="N6468" s="182">
        <v>264</v>
      </c>
      <c r="O6468">
        <v>4253</v>
      </c>
      <c r="P6468" s="176" t="s">
        <v>77</v>
      </c>
      <c r="Q6468" s="202">
        <v>8820</v>
      </c>
      <c r="R6468" s="176">
        <v>1411.2</v>
      </c>
      <c r="S6468" s="176"/>
      <c r="T6468" s="190">
        <v>940.8</v>
      </c>
      <c r="U6468" s="191">
        <v>110.25</v>
      </c>
      <c r="V6468" s="191">
        <f t="shared" si="67"/>
        <v>9180.1500000000015</v>
      </c>
      <c r="W6468">
        <v>506</v>
      </c>
      <c r="X6468" s="186" t="s">
        <v>1429</v>
      </c>
      <c r="Y6468" s="187" t="s">
        <v>55</v>
      </c>
      <c r="Z6468" s="311">
        <v>296</v>
      </c>
      <c r="AB6468" t="str">
        <f>IF(Table1[[#This Row],[TIPO2]]="costo", VLOOKUP(Table1[[#This Row],[PARTIDA PRESUPUESTAL]],'Cost Report'!G:G,1,0),"Balance")</f>
        <v>2405-025</v>
      </c>
      <c r="AD6468" s="159">
        <f>+Table1[[#This Row],[SUBTOTAL]]+Table1[[#This Row],[IVA]]-Table1[[#This Row],[RET IVA]]-Table1[[#This Row],[RET ISR]]-Table1[[#This Row],[TOTAL]]</f>
        <v>0</v>
      </c>
      <c r="AK6468" s="306">
        <f>IF(ISNUMBER(Table1[[#This Row],[FECHA DE RECIBIDO]]), Table1[[#This Row],[FECHA DE RECIBIDO]]-DATE(2023,8,30), "")</f>
        <v>-44878.600370370368</v>
      </c>
    </row>
    <row r="6469" spans="1:37" ht="16.05" customHeight="1">
      <c r="A6469" s="172" t="s">
        <v>5364</v>
      </c>
      <c r="B6469" s="198">
        <v>2295</v>
      </c>
      <c r="C6469" s="179" t="s">
        <v>1869</v>
      </c>
      <c r="D6469">
        <v>4422</v>
      </c>
      <c r="E6469" s="125">
        <v>45647</v>
      </c>
      <c r="F6469" s="178">
        <v>612</v>
      </c>
      <c r="G6469" s="178" t="s">
        <v>129</v>
      </c>
      <c r="H6469">
        <v>192</v>
      </c>
      <c r="I6469" s="178" t="s">
        <v>1546</v>
      </c>
      <c r="J6469" s="320">
        <v>290.65325231481256</v>
      </c>
      <c r="K6469" s="178" t="s">
        <v>5325</v>
      </c>
      <c r="L6469" s="125" t="s">
        <v>4782</v>
      </c>
      <c r="M6469">
        <v>257</v>
      </c>
      <c r="N6469" s="182">
        <v>57</v>
      </c>
      <c r="O6469">
        <v>4254</v>
      </c>
      <c r="P6469" s="176" t="s">
        <v>77</v>
      </c>
      <c r="Q6469" s="202">
        <v>2120</v>
      </c>
      <c r="R6469" s="176">
        <v>339.2</v>
      </c>
      <c r="S6469" s="176"/>
      <c r="T6469" s="190">
        <v>226.13</v>
      </c>
      <c r="U6469" s="191">
        <v>212</v>
      </c>
      <c r="V6469" s="191">
        <f t="shared" si="67"/>
        <v>2021.0699999999997</v>
      </c>
      <c r="W6469">
        <v>113</v>
      </c>
      <c r="X6469" s="186" t="s">
        <v>1429</v>
      </c>
      <c r="Y6469" s="187" t="s">
        <v>55</v>
      </c>
      <c r="Z6469" s="311">
        <v>296</v>
      </c>
      <c r="AB6469" t="str">
        <f>IF(Table1[[#This Row],[TIPO2]]="costo", VLOOKUP(Table1[[#This Row],[PARTIDA PRESUPUESTAL]],'Cost Report'!G:G,1,0),"Balance")</f>
        <v>3442-007</v>
      </c>
      <c r="AD6469" s="159">
        <f>+Table1[[#This Row],[SUBTOTAL]]+Table1[[#This Row],[IVA]]-Table1[[#This Row],[RET IVA]]-Table1[[#This Row],[RET ISR]]-Table1[[#This Row],[TOTAL]]</f>
        <v>0</v>
      </c>
      <c r="AK6469" s="306">
        <f>IF(ISNUMBER(Table1[[#This Row],[FECHA DE RECIBIDO]]), Table1[[#This Row],[FECHA DE RECIBIDO]]-DATE(2023,8,30), "")</f>
        <v>-44877.346747685187</v>
      </c>
    </row>
    <row r="6470" spans="1:37" ht="16.05" customHeight="1">
      <c r="A6470" s="172" t="s">
        <v>5365</v>
      </c>
      <c r="B6470" s="198">
        <v>2296</v>
      </c>
      <c r="C6470" s="179" t="s">
        <v>3011</v>
      </c>
      <c r="D6470">
        <v>4423</v>
      </c>
      <c r="E6470" s="125" t="s">
        <v>2018</v>
      </c>
      <c r="F6470" s="178">
        <v>626</v>
      </c>
      <c r="G6470" s="178" t="s">
        <v>109</v>
      </c>
      <c r="H6470">
        <v>116</v>
      </c>
      <c r="I6470" s="178" t="s">
        <v>1546</v>
      </c>
      <c r="J6470" s="320" t="s">
        <v>214</v>
      </c>
      <c r="K6470" s="178" t="s">
        <v>5325</v>
      </c>
      <c r="L6470" s="125" t="s">
        <v>110</v>
      </c>
      <c r="M6470">
        <v>154</v>
      </c>
      <c r="N6470" s="182">
        <v>46</v>
      </c>
      <c r="O6470">
        <v>4255</v>
      </c>
      <c r="P6470" s="176" t="s">
        <v>77</v>
      </c>
      <c r="Q6470" s="202">
        <v>44000</v>
      </c>
      <c r="R6470" s="176">
        <v>7040</v>
      </c>
      <c r="S6470" s="176"/>
      <c r="T6470" s="190">
        <v>4693.34</v>
      </c>
      <c r="U6470" s="191">
        <v>550</v>
      </c>
      <c r="V6470" s="191">
        <f t="shared" si="67"/>
        <v>45796.66</v>
      </c>
      <c r="W6470">
        <v>78</v>
      </c>
      <c r="X6470" s="186" t="s">
        <v>1430</v>
      </c>
      <c r="Y6470" s="187" t="s">
        <v>55</v>
      </c>
      <c r="Z6470" s="311">
        <v>296</v>
      </c>
      <c r="AB6470" t="str">
        <f>IF(Table1[[#This Row],[TIPO2]]="costo", VLOOKUP(Table1[[#This Row],[PARTIDA PRESUPUESTAL]],'Cost Report'!G:G,1,0),"Balance")</f>
        <v>5009-005</v>
      </c>
      <c r="AD6470" s="159">
        <f>+Table1[[#This Row],[SUBTOTAL]]+Table1[[#This Row],[IVA]]-Table1[[#This Row],[RET IVA]]-Table1[[#This Row],[RET ISR]]-Table1[[#This Row],[TOTAL]]</f>
        <v>0</v>
      </c>
      <c r="AK6470" s="306" t="str">
        <f>IF(ISNUMBER(Table1[[#This Row],[FECHA DE RECIBIDO]]), Table1[[#This Row],[FECHA DE RECIBIDO]]-DATE(2023,8,30), "")</f>
        <v/>
      </c>
    </row>
    <row r="6471" spans="1:37" ht="16.05" customHeight="1">
      <c r="A6471" s="172" t="s">
        <v>5366</v>
      </c>
      <c r="B6471" s="198">
        <v>2297</v>
      </c>
      <c r="C6471" s="179" t="s">
        <v>3012</v>
      </c>
      <c r="D6471">
        <v>4424</v>
      </c>
      <c r="E6471" s="125" t="s">
        <v>3220</v>
      </c>
      <c r="F6471" s="178">
        <v>612</v>
      </c>
      <c r="G6471" s="178" t="s">
        <v>129</v>
      </c>
      <c r="H6471">
        <v>207</v>
      </c>
      <c r="I6471" s="178" t="s">
        <v>1546</v>
      </c>
      <c r="J6471" s="320" t="s">
        <v>214</v>
      </c>
      <c r="K6471" s="178" t="s">
        <v>5325</v>
      </c>
      <c r="L6471" s="125" t="s">
        <v>110</v>
      </c>
      <c r="M6471">
        <v>272</v>
      </c>
      <c r="N6471" s="182">
        <v>72</v>
      </c>
      <c r="O6471">
        <v>4256</v>
      </c>
      <c r="P6471" s="176" t="s">
        <v>77</v>
      </c>
      <c r="Q6471" s="202">
        <v>22000</v>
      </c>
      <c r="R6471" s="176">
        <v>3520</v>
      </c>
      <c r="S6471" s="176"/>
      <c r="T6471" s="190">
        <v>2346.6799999999998</v>
      </c>
      <c r="U6471" s="191">
        <v>2200</v>
      </c>
      <c r="V6471" s="191">
        <f t="shared" si="67"/>
        <v>20973.32</v>
      </c>
      <c r="W6471">
        <v>128</v>
      </c>
      <c r="X6471" s="186" t="s">
        <v>1431</v>
      </c>
      <c r="Y6471" s="187" t="s">
        <v>55</v>
      </c>
      <c r="Z6471" s="311">
        <v>296</v>
      </c>
      <c r="AB6471" t="str">
        <f>IF(Table1[[#This Row],[TIPO2]]="costo", VLOOKUP(Table1[[#This Row],[PARTIDA PRESUPUESTAL]],'Cost Report'!G:G,1,0),"Balance")</f>
        <v>5010-005</v>
      </c>
      <c r="AD6471" s="159">
        <f>+Table1[[#This Row],[SUBTOTAL]]+Table1[[#This Row],[IVA]]-Table1[[#This Row],[RET IVA]]-Table1[[#This Row],[RET ISR]]-Table1[[#This Row],[TOTAL]]</f>
        <v>0</v>
      </c>
      <c r="AK6471" s="306" t="str">
        <f>IF(ISNUMBER(Table1[[#This Row],[FECHA DE RECIBIDO]]), Table1[[#This Row],[FECHA DE RECIBIDO]]-DATE(2023,8,30), "")</f>
        <v/>
      </c>
    </row>
    <row r="6472" spans="1:37" ht="16.05" customHeight="1">
      <c r="A6472" s="172" t="s">
        <v>5367</v>
      </c>
      <c r="B6472" s="198">
        <v>2298</v>
      </c>
      <c r="C6472" s="179" t="s">
        <v>717</v>
      </c>
      <c r="D6472">
        <v>4425</v>
      </c>
      <c r="E6472" s="125">
        <v>20348</v>
      </c>
      <c r="F6472" s="178">
        <v>626</v>
      </c>
      <c r="G6472" s="178" t="s">
        <v>109</v>
      </c>
      <c r="H6472">
        <v>362</v>
      </c>
      <c r="I6472" s="178" t="s">
        <v>1546</v>
      </c>
      <c r="J6472" s="320">
        <v>289.38568287037197</v>
      </c>
      <c r="K6472" s="178" t="s">
        <v>5325</v>
      </c>
      <c r="L6472" s="125" t="s">
        <v>110</v>
      </c>
      <c r="M6472">
        <v>480</v>
      </c>
      <c r="N6472" s="182">
        <v>104</v>
      </c>
      <c r="O6472">
        <v>4257</v>
      </c>
      <c r="P6472" s="176" t="s">
        <v>77</v>
      </c>
      <c r="Q6472" s="202">
        <v>7157.4</v>
      </c>
      <c r="R6472" s="176">
        <v>1145.18</v>
      </c>
      <c r="S6472" s="176"/>
      <c r="T6472" s="190">
        <v>763.46</v>
      </c>
      <c r="U6472" s="191">
        <v>89.47</v>
      </c>
      <c r="V6472" s="191">
        <f t="shared" si="67"/>
        <v>7449.65</v>
      </c>
      <c r="W6472">
        <v>199</v>
      </c>
      <c r="X6472" s="186" t="s">
        <v>1434</v>
      </c>
      <c r="Y6472" s="187" t="s">
        <v>55</v>
      </c>
      <c r="Z6472" s="311">
        <v>296</v>
      </c>
      <c r="AB6472" t="str">
        <f>IF(Table1[[#This Row],[TIPO2]]="costo", VLOOKUP(Table1[[#This Row],[PARTIDA PRESUPUESTAL]],'Cost Report'!G:G,1,0),"Balance")</f>
        <v>2902-011</v>
      </c>
      <c r="AD6472" s="159">
        <f>+Table1[[#This Row],[SUBTOTAL]]+Table1[[#This Row],[IVA]]-Table1[[#This Row],[RET IVA]]-Table1[[#This Row],[RET ISR]]-Table1[[#This Row],[TOTAL]]</f>
        <v>0</v>
      </c>
      <c r="AK6472" s="306">
        <f>IF(ISNUMBER(Table1[[#This Row],[FECHA DE RECIBIDO]]), Table1[[#This Row],[FECHA DE RECIBIDO]]-DATE(2023,8,30), "")</f>
        <v>-44878.614317129628</v>
      </c>
    </row>
    <row r="6473" spans="1:37" ht="16.05" customHeight="1">
      <c r="A6473" s="172" t="s">
        <v>5368</v>
      </c>
      <c r="B6473" s="198">
        <v>2299</v>
      </c>
      <c r="C6473" s="179" t="s">
        <v>2625</v>
      </c>
      <c r="D6473">
        <v>4426</v>
      </c>
      <c r="E6473" s="125" t="s">
        <v>4830</v>
      </c>
      <c r="F6473" s="178">
        <v>626</v>
      </c>
      <c r="G6473" s="178" t="s">
        <v>109</v>
      </c>
      <c r="H6473">
        <v>1071</v>
      </c>
      <c r="I6473" s="178" t="s">
        <v>1546</v>
      </c>
      <c r="J6473" s="320" t="s">
        <v>214</v>
      </c>
      <c r="K6473" s="178" t="s">
        <v>5325</v>
      </c>
      <c r="L6473" s="125" t="s">
        <v>110</v>
      </c>
      <c r="M6473">
        <v>1492</v>
      </c>
      <c r="N6473" s="182">
        <v>265</v>
      </c>
      <c r="O6473">
        <v>4258</v>
      </c>
      <c r="P6473" s="176" t="s">
        <v>77</v>
      </c>
      <c r="Q6473" s="202">
        <v>2385.8000000000002</v>
      </c>
      <c r="R6473" s="176">
        <v>381.73</v>
      </c>
      <c r="S6473" s="176"/>
      <c r="T6473" s="190">
        <v>254.49</v>
      </c>
      <c r="U6473" s="191">
        <v>29.82</v>
      </c>
      <c r="V6473" s="191">
        <f t="shared" si="67"/>
        <v>2483.2199999999998</v>
      </c>
      <c r="W6473">
        <v>507</v>
      </c>
      <c r="X6473" s="186" t="s">
        <v>1429</v>
      </c>
      <c r="Y6473" s="187" t="s">
        <v>55</v>
      </c>
      <c r="Z6473" s="311">
        <v>296</v>
      </c>
      <c r="AB6473" t="str">
        <f>IF(Table1[[#This Row],[TIPO2]]="costo", VLOOKUP(Table1[[#This Row],[PARTIDA PRESUPUESTAL]],'Cost Report'!G:G,1,0),"Balance")</f>
        <v>2911-003</v>
      </c>
      <c r="AD6473" s="159">
        <f>+Table1[[#This Row],[SUBTOTAL]]+Table1[[#This Row],[IVA]]-Table1[[#This Row],[RET IVA]]-Table1[[#This Row],[RET ISR]]-Table1[[#This Row],[TOTAL]]</f>
        <v>0</v>
      </c>
      <c r="AK6473" s="306" t="str">
        <f>IF(ISNUMBER(Table1[[#This Row],[FECHA DE RECIBIDO]]), Table1[[#This Row],[FECHA DE RECIBIDO]]-DATE(2023,8,30), "")</f>
        <v/>
      </c>
    </row>
    <row r="6474" spans="1:37" ht="16.05" customHeight="1">
      <c r="A6474" s="172" t="s">
        <v>5369</v>
      </c>
      <c r="B6474" s="198">
        <v>2300</v>
      </c>
      <c r="C6474" s="179" t="s">
        <v>2625</v>
      </c>
      <c r="D6474">
        <v>4427</v>
      </c>
      <c r="E6474" s="125" t="s">
        <v>4830</v>
      </c>
      <c r="F6474" s="178">
        <v>626</v>
      </c>
      <c r="G6474" s="178" t="s">
        <v>109</v>
      </c>
      <c r="H6474">
        <v>1071</v>
      </c>
      <c r="I6474" s="178" t="s">
        <v>1546</v>
      </c>
      <c r="J6474" s="320" t="s">
        <v>214</v>
      </c>
      <c r="K6474" s="178" t="s">
        <v>5325</v>
      </c>
      <c r="L6474" s="125" t="s">
        <v>110</v>
      </c>
      <c r="M6474">
        <v>1492</v>
      </c>
      <c r="N6474" s="182">
        <v>265</v>
      </c>
      <c r="O6474">
        <v>4259</v>
      </c>
      <c r="P6474" s="176" t="s">
        <v>77</v>
      </c>
      <c r="Q6474" s="202">
        <v>2385.8000000000002</v>
      </c>
      <c r="R6474" s="176">
        <v>381.73</v>
      </c>
      <c r="S6474" s="176"/>
      <c r="T6474" s="190">
        <v>254.49</v>
      </c>
      <c r="U6474" s="191">
        <v>29.82</v>
      </c>
      <c r="V6474" s="191">
        <f t="shared" si="67"/>
        <v>2483.2199999999998</v>
      </c>
      <c r="W6474">
        <v>507</v>
      </c>
      <c r="X6474" s="186" t="s">
        <v>1429</v>
      </c>
      <c r="Y6474" s="187" t="s">
        <v>55</v>
      </c>
      <c r="Z6474" s="311">
        <v>296</v>
      </c>
      <c r="AB6474" t="str">
        <f>IF(Table1[[#This Row],[TIPO2]]="costo", VLOOKUP(Table1[[#This Row],[PARTIDA PRESUPUESTAL]],'Cost Report'!G:G,1,0),"Balance")</f>
        <v>2911-003</v>
      </c>
      <c r="AD6474" s="159">
        <f>+Table1[[#This Row],[SUBTOTAL]]+Table1[[#This Row],[IVA]]-Table1[[#This Row],[RET IVA]]-Table1[[#This Row],[RET ISR]]-Table1[[#This Row],[TOTAL]]</f>
        <v>0</v>
      </c>
      <c r="AK6474" s="306" t="str">
        <f>IF(ISNUMBER(Table1[[#This Row],[FECHA DE RECIBIDO]]), Table1[[#This Row],[FECHA DE RECIBIDO]]-DATE(2023,8,30), "")</f>
        <v/>
      </c>
    </row>
    <row r="6475" spans="1:37" ht="16.05" customHeight="1">
      <c r="A6475" s="172" t="s">
        <v>5370</v>
      </c>
      <c r="B6475" s="198">
        <v>2301</v>
      </c>
      <c r="C6475" s="179" t="s">
        <v>2615</v>
      </c>
      <c r="D6475">
        <v>4428</v>
      </c>
      <c r="E6475" s="125">
        <v>29060</v>
      </c>
      <c r="F6475" s="178">
        <v>612</v>
      </c>
      <c r="G6475" s="178" t="s">
        <v>129</v>
      </c>
      <c r="H6475">
        <v>520</v>
      </c>
      <c r="I6475" s="178" t="s">
        <v>1546</v>
      </c>
      <c r="J6475" s="320">
        <v>280.69827546296438</v>
      </c>
      <c r="K6475" s="178" t="s">
        <v>5325</v>
      </c>
      <c r="L6475" s="125" t="s">
        <v>110</v>
      </c>
      <c r="M6475">
        <v>744</v>
      </c>
      <c r="N6475" s="182">
        <v>150</v>
      </c>
      <c r="O6475">
        <v>4260</v>
      </c>
      <c r="P6475" s="176" t="s">
        <v>77</v>
      </c>
      <c r="Q6475" s="202">
        <v>7500</v>
      </c>
      <c r="R6475" s="176">
        <v>1200</v>
      </c>
      <c r="S6475" s="176"/>
      <c r="T6475" s="190">
        <v>800</v>
      </c>
      <c r="U6475" s="191">
        <v>750</v>
      </c>
      <c r="V6475" s="191">
        <f t="shared" si="67"/>
        <v>7150</v>
      </c>
      <c r="W6475">
        <v>292</v>
      </c>
      <c r="X6475" s="186" t="s">
        <v>1430</v>
      </c>
      <c r="Y6475" s="187" t="s">
        <v>55</v>
      </c>
      <c r="Z6475" s="311">
        <v>296</v>
      </c>
      <c r="AB6475" t="str">
        <f>IF(Table1[[#This Row],[TIPO2]]="costo", VLOOKUP(Table1[[#This Row],[PARTIDA PRESUPUESTAL]],'Cost Report'!G:G,1,0),"Balance")</f>
        <v>2805-019</v>
      </c>
      <c r="AD6475" s="159">
        <f>+Table1[[#This Row],[SUBTOTAL]]+Table1[[#This Row],[IVA]]-Table1[[#This Row],[RET IVA]]-Table1[[#This Row],[RET ISR]]-Table1[[#This Row],[TOTAL]]</f>
        <v>0</v>
      </c>
      <c r="AK6475" s="306">
        <f>IF(ISNUMBER(Table1[[#This Row],[FECHA DE RECIBIDO]]), Table1[[#This Row],[FECHA DE RECIBIDO]]-DATE(2023,8,30), "")</f>
        <v>-44887.301724537036</v>
      </c>
    </row>
    <row r="6476" spans="1:37" ht="16.05" customHeight="1">
      <c r="A6476" s="172" t="s">
        <v>5371</v>
      </c>
      <c r="B6476" s="198">
        <v>2302</v>
      </c>
      <c r="C6476" s="179" t="s">
        <v>2615</v>
      </c>
      <c r="D6476">
        <v>4429</v>
      </c>
      <c r="E6476" s="125" t="s">
        <v>1603</v>
      </c>
      <c r="F6476" s="178">
        <v>626</v>
      </c>
      <c r="G6476" s="178" t="s">
        <v>109</v>
      </c>
      <c r="H6476">
        <v>1072</v>
      </c>
      <c r="I6476" s="178" t="s">
        <v>1546</v>
      </c>
      <c r="J6476" s="320" t="s">
        <v>214</v>
      </c>
      <c r="K6476" s="178" t="s">
        <v>5325</v>
      </c>
      <c r="L6476" s="125" t="s">
        <v>110</v>
      </c>
      <c r="M6476">
        <v>1493</v>
      </c>
      <c r="N6476" s="182">
        <v>266</v>
      </c>
      <c r="O6476">
        <v>4261</v>
      </c>
      <c r="P6476" s="176" t="s">
        <v>77</v>
      </c>
      <c r="Q6476" s="202">
        <v>6000</v>
      </c>
      <c r="R6476" s="176">
        <v>960</v>
      </c>
      <c r="S6476" s="176"/>
      <c r="T6476" s="190">
        <v>640</v>
      </c>
      <c r="U6476" s="191">
        <v>75</v>
      </c>
      <c r="V6476" s="191">
        <f t="shared" si="67"/>
        <v>6245</v>
      </c>
      <c r="W6476">
        <v>508</v>
      </c>
      <c r="X6476" s="186" t="s">
        <v>1429</v>
      </c>
      <c r="Y6476" s="187" t="s">
        <v>55</v>
      </c>
      <c r="Z6476" s="311">
        <v>296</v>
      </c>
      <c r="AB6476" t="str">
        <f>IF(Table1[[#This Row],[TIPO2]]="costo", VLOOKUP(Table1[[#This Row],[PARTIDA PRESUPUESTAL]],'Cost Report'!G:G,1,0),"Balance")</f>
        <v>2805-019</v>
      </c>
      <c r="AD6476" s="159">
        <f>+Table1[[#This Row],[SUBTOTAL]]+Table1[[#This Row],[IVA]]-Table1[[#This Row],[RET IVA]]-Table1[[#This Row],[RET ISR]]-Table1[[#This Row],[TOTAL]]</f>
        <v>0</v>
      </c>
      <c r="AK6476" s="306" t="str">
        <f>IF(ISNUMBER(Table1[[#This Row],[FECHA DE RECIBIDO]]), Table1[[#This Row],[FECHA DE RECIBIDO]]-DATE(2023,8,30), "")</f>
        <v/>
      </c>
    </row>
    <row r="6477" spans="1:37" ht="16.05" customHeight="1">
      <c r="A6477" s="172" t="s">
        <v>5372</v>
      </c>
      <c r="B6477" s="198">
        <v>2303</v>
      </c>
      <c r="C6477" s="179" t="s">
        <v>356</v>
      </c>
      <c r="D6477">
        <v>4430</v>
      </c>
      <c r="E6477" s="125">
        <v>11410</v>
      </c>
      <c r="F6477" s="178">
        <v>626</v>
      </c>
      <c r="G6477" s="178" t="s">
        <v>109</v>
      </c>
      <c r="H6477">
        <v>1073</v>
      </c>
      <c r="I6477" s="178" t="s">
        <v>1546</v>
      </c>
      <c r="J6477" s="320">
        <v>279.77997685185255</v>
      </c>
      <c r="K6477" s="178" t="s">
        <v>5325</v>
      </c>
      <c r="L6477" s="125" t="s">
        <v>110</v>
      </c>
      <c r="M6477">
        <v>1494</v>
      </c>
      <c r="N6477" s="182">
        <v>267</v>
      </c>
      <c r="O6477">
        <v>4262</v>
      </c>
      <c r="P6477" s="176" t="s">
        <v>77</v>
      </c>
      <c r="Q6477" s="202">
        <v>5000</v>
      </c>
      <c r="R6477" s="176">
        <v>800</v>
      </c>
      <c r="S6477" s="176"/>
      <c r="T6477" s="190">
        <v>533.34</v>
      </c>
      <c r="U6477" s="191">
        <v>62.5</v>
      </c>
      <c r="V6477" s="191">
        <f t="shared" si="67"/>
        <v>5204.16</v>
      </c>
      <c r="W6477">
        <v>509</v>
      </c>
      <c r="X6477" s="186" t="s">
        <v>1897</v>
      </c>
      <c r="Y6477" s="187" t="s">
        <v>55</v>
      </c>
      <c r="Z6477" s="311">
        <v>296</v>
      </c>
      <c r="AB6477" t="str">
        <f>IF(Table1[[#This Row],[TIPO2]]="costo", VLOOKUP(Table1[[#This Row],[PARTIDA PRESUPUESTAL]],'Cost Report'!G:G,1,0),"Balance")</f>
        <v>1404-005</v>
      </c>
      <c r="AD6477" s="159">
        <f>+Table1[[#This Row],[SUBTOTAL]]+Table1[[#This Row],[IVA]]-Table1[[#This Row],[RET IVA]]-Table1[[#This Row],[RET ISR]]-Table1[[#This Row],[TOTAL]]</f>
        <v>0</v>
      </c>
      <c r="AK6477" s="306">
        <f>IF(ISNUMBER(Table1[[#This Row],[FECHA DE RECIBIDO]]), Table1[[#This Row],[FECHA DE RECIBIDO]]-DATE(2023,8,30), "")</f>
        <v>-44888.220023148147</v>
      </c>
    </row>
    <row r="6478" spans="1:37" ht="16.05" customHeight="1">
      <c r="A6478" s="172" t="s">
        <v>5373</v>
      </c>
      <c r="B6478" s="198">
        <v>2304</v>
      </c>
      <c r="C6478" s="179" t="s">
        <v>356</v>
      </c>
      <c r="D6478">
        <v>4431</v>
      </c>
      <c r="E6478" s="125">
        <v>45117</v>
      </c>
      <c r="F6478" s="178">
        <v>626</v>
      </c>
      <c r="G6478" s="178" t="s">
        <v>109</v>
      </c>
      <c r="H6478">
        <v>1074</v>
      </c>
      <c r="I6478" s="178" t="s">
        <v>1546</v>
      </c>
      <c r="J6478" s="320">
        <v>281.40982638888818</v>
      </c>
      <c r="K6478" s="178" t="s">
        <v>5325</v>
      </c>
      <c r="L6478" s="125" t="s">
        <v>110</v>
      </c>
      <c r="M6478">
        <v>1495</v>
      </c>
      <c r="N6478" s="182">
        <v>268</v>
      </c>
      <c r="O6478">
        <v>4263</v>
      </c>
      <c r="P6478" s="176" t="s">
        <v>77</v>
      </c>
      <c r="Q6478" s="202">
        <v>5000</v>
      </c>
      <c r="R6478" s="176">
        <v>800</v>
      </c>
      <c r="S6478" s="176"/>
      <c r="T6478" s="190">
        <v>533.5</v>
      </c>
      <c r="U6478" s="191">
        <v>62.5</v>
      </c>
      <c r="V6478" s="191">
        <f t="shared" si="67"/>
        <v>5204</v>
      </c>
      <c r="W6478">
        <v>510</v>
      </c>
      <c r="X6478" s="186" t="s">
        <v>1897</v>
      </c>
      <c r="Y6478" s="187" t="s">
        <v>55</v>
      </c>
      <c r="Z6478" s="311">
        <v>296</v>
      </c>
      <c r="AB6478" t="str">
        <f>IF(Table1[[#This Row],[TIPO2]]="costo", VLOOKUP(Table1[[#This Row],[PARTIDA PRESUPUESTAL]],'Cost Report'!G:G,1,0),"Balance")</f>
        <v>1404-005</v>
      </c>
      <c r="AD6478" s="159">
        <f>+Table1[[#This Row],[SUBTOTAL]]+Table1[[#This Row],[IVA]]-Table1[[#This Row],[RET IVA]]-Table1[[#This Row],[RET ISR]]-Table1[[#This Row],[TOTAL]]</f>
        <v>0</v>
      </c>
      <c r="AK6478" s="306">
        <f>IF(ISNUMBER(Table1[[#This Row],[FECHA DE RECIBIDO]]), Table1[[#This Row],[FECHA DE RECIBIDO]]-DATE(2023,8,30), "")</f>
        <v>-44886.590173611112</v>
      </c>
    </row>
    <row r="6479" spans="1:37" ht="16.05" customHeight="1">
      <c r="A6479" s="172" t="s">
        <v>5374</v>
      </c>
      <c r="B6479" s="198">
        <v>2305</v>
      </c>
      <c r="C6479" s="179" t="s">
        <v>356</v>
      </c>
      <c r="D6479">
        <v>4432</v>
      </c>
      <c r="E6479" s="125" t="s">
        <v>1603</v>
      </c>
      <c r="F6479" s="178">
        <v>626</v>
      </c>
      <c r="G6479" s="178" t="s">
        <v>109</v>
      </c>
      <c r="H6479">
        <v>1075</v>
      </c>
      <c r="I6479" s="178" t="s">
        <v>1546</v>
      </c>
      <c r="J6479" s="320" t="s">
        <v>214</v>
      </c>
      <c r="K6479" s="178" t="s">
        <v>5325</v>
      </c>
      <c r="L6479" s="125" t="s">
        <v>110</v>
      </c>
      <c r="M6479">
        <v>1496</v>
      </c>
      <c r="N6479" s="182">
        <v>269</v>
      </c>
      <c r="O6479">
        <v>4264</v>
      </c>
      <c r="P6479" s="176" t="s">
        <v>77</v>
      </c>
      <c r="Q6479" s="202">
        <v>15000</v>
      </c>
      <c r="R6479" s="176">
        <v>2400</v>
      </c>
      <c r="S6479" s="176"/>
      <c r="T6479" s="190">
        <v>1600.05</v>
      </c>
      <c r="U6479" s="191">
        <v>187.5</v>
      </c>
      <c r="V6479" s="191">
        <f t="shared" si="67"/>
        <v>15612.45</v>
      </c>
      <c r="W6479">
        <v>511</v>
      </c>
      <c r="X6479" s="186" t="s">
        <v>1429</v>
      </c>
      <c r="Y6479" s="187" t="s">
        <v>55</v>
      </c>
      <c r="Z6479" s="311">
        <v>296</v>
      </c>
      <c r="AB6479" t="str">
        <f>IF(Table1[[#This Row],[TIPO2]]="costo", VLOOKUP(Table1[[#This Row],[PARTIDA PRESUPUESTAL]],'Cost Report'!G:G,1,0),"Balance")</f>
        <v>1404-005</v>
      </c>
      <c r="AD6479" s="159">
        <f>+Table1[[#This Row],[SUBTOTAL]]+Table1[[#This Row],[IVA]]-Table1[[#This Row],[RET IVA]]-Table1[[#This Row],[RET ISR]]-Table1[[#This Row],[TOTAL]]</f>
        <v>0</v>
      </c>
      <c r="AK6479" s="306" t="str">
        <f>IF(ISNUMBER(Table1[[#This Row],[FECHA DE RECIBIDO]]), Table1[[#This Row],[FECHA DE RECIBIDO]]-DATE(2023,8,30), "")</f>
        <v/>
      </c>
    </row>
    <row r="6480" spans="1:37" ht="16.05" customHeight="1">
      <c r="A6480" s="172" t="s">
        <v>5375</v>
      </c>
      <c r="B6480" s="198">
        <v>2306</v>
      </c>
      <c r="C6480" s="179" t="s">
        <v>356</v>
      </c>
      <c r="D6480">
        <v>4433</v>
      </c>
      <c r="E6480" s="125" t="s">
        <v>1645</v>
      </c>
      <c r="F6480" s="178">
        <v>612</v>
      </c>
      <c r="G6480" s="178" t="s">
        <v>129</v>
      </c>
      <c r="H6480">
        <v>1076</v>
      </c>
      <c r="I6480" s="178" t="s">
        <v>1546</v>
      </c>
      <c r="J6480" s="320" t="s">
        <v>214</v>
      </c>
      <c r="K6480" s="178" t="s">
        <v>5325</v>
      </c>
      <c r="L6480" s="125" t="s">
        <v>110</v>
      </c>
      <c r="M6480">
        <v>1497</v>
      </c>
      <c r="N6480" s="182">
        <v>270</v>
      </c>
      <c r="O6480">
        <v>4265</v>
      </c>
      <c r="P6480" s="176" t="s">
        <v>77</v>
      </c>
      <c r="Q6480" s="202">
        <v>10570</v>
      </c>
      <c r="R6480" s="176">
        <v>1691.2</v>
      </c>
      <c r="S6480" s="176"/>
      <c r="T6480" s="190">
        <v>1127.47</v>
      </c>
      <c r="U6480" s="191">
        <v>1057</v>
      </c>
      <c r="V6480" s="191">
        <f t="shared" si="67"/>
        <v>10076.730000000001</v>
      </c>
      <c r="W6480">
        <v>512</v>
      </c>
      <c r="X6480" s="186" t="s">
        <v>1431</v>
      </c>
      <c r="Y6480" s="187" t="s">
        <v>55</v>
      </c>
      <c r="Z6480" s="311">
        <v>296</v>
      </c>
      <c r="AB6480" t="str">
        <f>IF(Table1[[#This Row],[TIPO2]]="costo", VLOOKUP(Table1[[#This Row],[PARTIDA PRESUPUESTAL]],'Cost Report'!G:G,1,0),"Balance")</f>
        <v>1404-005</v>
      </c>
      <c r="AD6480" s="159">
        <f>+Table1[[#This Row],[SUBTOTAL]]+Table1[[#This Row],[IVA]]-Table1[[#This Row],[RET IVA]]-Table1[[#This Row],[RET ISR]]-Table1[[#This Row],[TOTAL]]</f>
        <v>0</v>
      </c>
      <c r="AK6480" s="306" t="str">
        <f>IF(ISNUMBER(Table1[[#This Row],[FECHA DE RECIBIDO]]), Table1[[#This Row],[FECHA DE RECIBIDO]]-DATE(2023,8,30), "")</f>
        <v/>
      </c>
    </row>
    <row r="6481" spans="1:37" ht="16.05" customHeight="1">
      <c r="A6481" s="172" t="s">
        <v>5376</v>
      </c>
      <c r="B6481" s="198">
        <v>2307</v>
      </c>
      <c r="C6481" s="179" t="s">
        <v>356</v>
      </c>
      <c r="D6481">
        <v>4434</v>
      </c>
      <c r="E6481" s="125">
        <v>14140</v>
      </c>
      <c r="F6481" s="178">
        <v>626</v>
      </c>
      <c r="G6481" s="178" t="s">
        <v>109</v>
      </c>
      <c r="H6481">
        <v>1077</v>
      </c>
      <c r="I6481" s="178" t="s">
        <v>1546</v>
      </c>
      <c r="J6481" s="320">
        <v>279.47414351852058</v>
      </c>
      <c r="K6481" s="178" t="s">
        <v>5325</v>
      </c>
      <c r="L6481" s="125" t="s">
        <v>110</v>
      </c>
      <c r="M6481">
        <v>1498</v>
      </c>
      <c r="N6481" s="182">
        <v>271</v>
      </c>
      <c r="O6481">
        <v>4266</v>
      </c>
      <c r="P6481" s="176" t="s">
        <v>77</v>
      </c>
      <c r="Q6481" s="202">
        <v>3600</v>
      </c>
      <c r="R6481" s="176">
        <v>576</v>
      </c>
      <c r="S6481" s="176"/>
      <c r="T6481" s="190">
        <v>384</v>
      </c>
      <c r="U6481" s="191">
        <v>45</v>
      </c>
      <c r="V6481" s="191">
        <f t="shared" si="67"/>
        <v>3747</v>
      </c>
      <c r="W6481">
        <v>513</v>
      </c>
      <c r="X6481" s="186" t="s">
        <v>1429</v>
      </c>
      <c r="Y6481" s="187" t="s">
        <v>55</v>
      </c>
      <c r="Z6481" s="311">
        <v>296</v>
      </c>
      <c r="AB6481" t="str">
        <f>IF(Table1[[#This Row],[TIPO2]]="costo", VLOOKUP(Table1[[#This Row],[PARTIDA PRESUPUESTAL]],'Cost Report'!G:G,1,0),"Balance")</f>
        <v>1404-005</v>
      </c>
      <c r="AD6481" s="159">
        <f>+Table1[[#This Row],[SUBTOTAL]]+Table1[[#This Row],[IVA]]-Table1[[#This Row],[RET IVA]]-Table1[[#This Row],[RET ISR]]-Table1[[#This Row],[TOTAL]]</f>
        <v>0</v>
      </c>
      <c r="AK6481" s="306">
        <f>IF(ISNUMBER(Table1[[#This Row],[FECHA DE RECIBIDO]]), Table1[[#This Row],[FECHA DE RECIBIDO]]-DATE(2023,8,30), "")</f>
        <v>-44888.525856481479</v>
      </c>
    </row>
    <row r="6482" spans="1:37" ht="16.05" customHeight="1">
      <c r="A6482" s="172" t="s">
        <v>5377</v>
      </c>
      <c r="B6482" s="198">
        <v>2308</v>
      </c>
      <c r="C6482" s="179" t="s">
        <v>368</v>
      </c>
      <c r="D6482">
        <v>4435</v>
      </c>
      <c r="E6482" s="125">
        <v>3440</v>
      </c>
      <c r="F6482" s="178">
        <v>612</v>
      </c>
      <c r="G6482" s="178" t="s">
        <v>129</v>
      </c>
      <c r="H6482">
        <v>536</v>
      </c>
      <c r="I6482" s="178" t="s">
        <v>1546</v>
      </c>
      <c r="J6482" s="320">
        <v>278.83152777778014</v>
      </c>
      <c r="K6482" s="178" t="s">
        <v>5325</v>
      </c>
      <c r="L6482" s="125" t="s">
        <v>110</v>
      </c>
      <c r="M6482">
        <v>760</v>
      </c>
      <c r="N6482" s="182">
        <v>166</v>
      </c>
      <c r="O6482">
        <v>4267</v>
      </c>
      <c r="P6482" s="176" t="s">
        <v>77</v>
      </c>
      <c r="Q6482" s="202">
        <v>25590</v>
      </c>
      <c r="R6482" s="176">
        <v>4094.4</v>
      </c>
      <c r="S6482" s="176"/>
      <c r="T6482" s="190">
        <v>2729.61</v>
      </c>
      <c r="U6482" s="191">
        <v>2559</v>
      </c>
      <c r="V6482" s="191">
        <f t="shared" si="67"/>
        <v>24395.79</v>
      </c>
      <c r="W6482">
        <v>308</v>
      </c>
      <c r="X6482" s="186" t="s">
        <v>1429</v>
      </c>
      <c r="Y6482" s="187" t="s">
        <v>55</v>
      </c>
      <c r="Z6482" s="311">
        <v>296</v>
      </c>
      <c r="AB6482" t="str">
        <f>IF(Table1[[#This Row],[TIPO2]]="costo", VLOOKUP(Table1[[#This Row],[PARTIDA PRESUPUESTAL]],'Cost Report'!G:G,1,0),"Balance")</f>
        <v>1410-008</v>
      </c>
      <c r="AD6482" s="159">
        <f>+Table1[[#This Row],[SUBTOTAL]]+Table1[[#This Row],[IVA]]-Table1[[#This Row],[RET IVA]]-Table1[[#This Row],[RET ISR]]-Table1[[#This Row],[TOTAL]]</f>
        <v>0</v>
      </c>
      <c r="AK6482" s="306">
        <f>IF(ISNUMBER(Table1[[#This Row],[FECHA DE RECIBIDO]]), Table1[[#This Row],[FECHA DE RECIBIDO]]-DATE(2023,8,30), "")</f>
        <v>-44889.16847222222</v>
      </c>
    </row>
    <row r="6483" spans="1:37" ht="16.05" customHeight="1">
      <c r="A6483" s="172" t="s">
        <v>5378</v>
      </c>
      <c r="B6483" s="198">
        <v>2309</v>
      </c>
      <c r="C6483" s="179" t="s">
        <v>1712</v>
      </c>
      <c r="D6483">
        <v>4436</v>
      </c>
      <c r="E6483" s="125">
        <v>7800</v>
      </c>
      <c r="F6483" s="178">
        <v>612</v>
      </c>
      <c r="G6483" s="178" t="s">
        <v>129</v>
      </c>
      <c r="H6483">
        <v>1078</v>
      </c>
      <c r="I6483" s="178" t="s">
        <v>1546</v>
      </c>
      <c r="J6483" s="320">
        <v>285.81240740740759</v>
      </c>
      <c r="K6483" s="178" t="s">
        <v>5325</v>
      </c>
      <c r="L6483" s="125" t="s">
        <v>110</v>
      </c>
      <c r="M6483">
        <v>1499</v>
      </c>
      <c r="N6483" s="182">
        <v>272</v>
      </c>
      <c r="O6483">
        <v>4268</v>
      </c>
      <c r="P6483" s="176" t="s">
        <v>77</v>
      </c>
      <c r="Q6483" s="202">
        <v>7154</v>
      </c>
      <c r="R6483" s="176">
        <v>1144.6400000000001</v>
      </c>
      <c r="S6483" s="176"/>
      <c r="T6483" s="190">
        <v>763.1</v>
      </c>
      <c r="U6483" s="191">
        <v>715.4</v>
      </c>
      <c r="V6483" s="191">
        <f t="shared" si="67"/>
        <v>6820.1399999999994</v>
      </c>
      <c r="W6483">
        <v>514</v>
      </c>
      <c r="X6483" s="186" t="s">
        <v>1429</v>
      </c>
      <c r="Y6483" s="187" t="s">
        <v>55</v>
      </c>
      <c r="Z6483" s="311">
        <v>296</v>
      </c>
      <c r="AB6483" t="str">
        <f>IF(Table1[[#This Row],[TIPO2]]="costo", VLOOKUP(Table1[[#This Row],[PARTIDA PRESUPUESTAL]],'Cost Report'!G:G,1,0),"Balance")</f>
        <v>1411-007</v>
      </c>
      <c r="AD6483" s="159">
        <f>+Table1[[#This Row],[SUBTOTAL]]+Table1[[#This Row],[IVA]]-Table1[[#This Row],[RET IVA]]-Table1[[#This Row],[RET ISR]]-Table1[[#This Row],[TOTAL]]</f>
        <v>0</v>
      </c>
      <c r="AK6483" s="306">
        <f>IF(ISNUMBER(Table1[[#This Row],[FECHA DE RECIBIDO]]), Table1[[#This Row],[FECHA DE RECIBIDO]]-DATE(2023,8,30), "")</f>
        <v>-44882.187592592592</v>
      </c>
    </row>
    <row r="6484" spans="1:37" ht="16.05" customHeight="1">
      <c r="A6484" s="172" t="s">
        <v>5379</v>
      </c>
      <c r="B6484" s="198">
        <v>2310</v>
      </c>
      <c r="C6484" s="179" t="s">
        <v>2264</v>
      </c>
      <c r="D6484">
        <v>4437</v>
      </c>
      <c r="E6484" s="125">
        <v>54170</v>
      </c>
      <c r="F6484" s="178">
        <v>612</v>
      </c>
      <c r="G6484" s="178" t="s">
        <v>129</v>
      </c>
      <c r="H6484">
        <v>1079</v>
      </c>
      <c r="I6484" s="178" t="s">
        <v>1546</v>
      </c>
      <c r="J6484" s="320">
        <v>279.74674768518162</v>
      </c>
      <c r="K6484" s="178" t="s">
        <v>5325</v>
      </c>
      <c r="L6484" s="125" t="s">
        <v>110</v>
      </c>
      <c r="M6484">
        <v>1500</v>
      </c>
      <c r="N6484" s="182">
        <v>273</v>
      </c>
      <c r="O6484">
        <v>4269</v>
      </c>
      <c r="P6484" s="176" t="s">
        <v>77</v>
      </c>
      <c r="Q6484" s="202">
        <v>15526</v>
      </c>
      <c r="R6484" s="176">
        <v>2484.16</v>
      </c>
      <c r="S6484" s="176"/>
      <c r="T6484" s="190">
        <v>1656.11</v>
      </c>
      <c r="U6484" s="191">
        <v>1552.6</v>
      </c>
      <c r="V6484" s="191">
        <f t="shared" si="67"/>
        <v>14801.449999999999</v>
      </c>
      <c r="W6484">
        <v>515</v>
      </c>
      <c r="X6484" s="186" t="s">
        <v>1434</v>
      </c>
      <c r="Y6484" s="187" t="s">
        <v>55</v>
      </c>
      <c r="Z6484" s="311">
        <v>296</v>
      </c>
      <c r="AB6484" t="str">
        <f>IF(Table1[[#This Row],[TIPO2]]="costo", VLOOKUP(Table1[[#This Row],[PARTIDA PRESUPUESTAL]],'Cost Report'!G:G,1,0),"Balance")</f>
        <v>1411-047</v>
      </c>
      <c r="AD6484" s="159">
        <f>+Table1[[#This Row],[SUBTOTAL]]+Table1[[#This Row],[IVA]]-Table1[[#This Row],[RET IVA]]-Table1[[#This Row],[RET ISR]]-Table1[[#This Row],[TOTAL]]</f>
        <v>0</v>
      </c>
      <c r="AK6484" s="306">
        <f>IF(ISNUMBER(Table1[[#This Row],[FECHA DE RECIBIDO]]), Table1[[#This Row],[FECHA DE RECIBIDO]]-DATE(2023,8,30), "")</f>
        <v>-44888.253252314818</v>
      </c>
    </row>
    <row r="6485" spans="1:37" ht="16.05" customHeight="1">
      <c r="A6485" s="172" t="s">
        <v>5380</v>
      </c>
      <c r="B6485" s="198">
        <v>2311</v>
      </c>
      <c r="C6485" t="s">
        <v>2273</v>
      </c>
      <c r="D6485">
        <v>4438</v>
      </c>
      <c r="E6485" s="125" t="s">
        <v>5395</v>
      </c>
      <c r="F6485" s="178">
        <v>612</v>
      </c>
      <c r="G6485" s="178" t="s">
        <v>129</v>
      </c>
      <c r="H6485">
        <v>1080</v>
      </c>
      <c r="I6485" s="178" t="s">
        <v>1546</v>
      </c>
      <c r="J6485" s="320" t="s">
        <v>214</v>
      </c>
      <c r="K6485" s="178" t="s">
        <v>5325</v>
      </c>
      <c r="L6485" s="125" t="s">
        <v>110</v>
      </c>
      <c r="M6485">
        <v>1501</v>
      </c>
      <c r="N6485" s="182">
        <v>274</v>
      </c>
      <c r="O6485">
        <v>4270</v>
      </c>
      <c r="P6485" s="176" t="s">
        <v>77</v>
      </c>
      <c r="Q6485" s="202">
        <v>4154</v>
      </c>
      <c r="R6485" s="176">
        <v>664.64</v>
      </c>
      <c r="S6485" s="176"/>
      <c r="T6485" s="190">
        <v>443.09</v>
      </c>
      <c r="U6485" s="191">
        <v>415.4</v>
      </c>
      <c r="V6485" s="191">
        <f t="shared" si="67"/>
        <v>3960.15</v>
      </c>
      <c r="W6485">
        <v>516</v>
      </c>
      <c r="X6485" s="186" t="s">
        <v>1434</v>
      </c>
      <c r="Y6485" s="187" t="s">
        <v>55</v>
      </c>
      <c r="Z6485" s="311">
        <v>296</v>
      </c>
      <c r="AB6485" t="str">
        <f>IF(Table1[[#This Row],[TIPO2]]="costo", VLOOKUP(Table1[[#This Row],[PARTIDA PRESUPUESTAL]],'Cost Report'!G:G,1,0),"Balance")</f>
        <v>1411-058</v>
      </c>
      <c r="AD6485" s="159">
        <f>+Table1[[#This Row],[SUBTOTAL]]+Table1[[#This Row],[IVA]]-Table1[[#This Row],[RET IVA]]-Table1[[#This Row],[RET ISR]]-Table1[[#This Row],[TOTAL]]</f>
        <v>0</v>
      </c>
      <c r="AK6485" s="306" t="str">
        <f>IF(ISNUMBER(Table1[[#This Row],[FECHA DE RECIBIDO]]), Table1[[#This Row],[FECHA DE RECIBIDO]]-DATE(2023,8,30), "")</f>
        <v/>
      </c>
    </row>
    <row r="6486" spans="1:37" ht="16.05" customHeight="1">
      <c r="A6486" s="172" t="s">
        <v>5381</v>
      </c>
      <c r="B6486" s="198">
        <v>2312</v>
      </c>
      <c r="C6486" s="179" t="s">
        <v>1835</v>
      </c>
      <c r="D6486">
        <v>4439</v>
      </c>
      <c r="E6486" s="125" t="s">
        <v>4531</v>
      </c>
      <c r="F6486" s="178">
        <v>626</v>
      </c>
      <c r="G6486" s="178" t="s">
        <v>109</v>
      </c>
      <c r="H6486">
        <v>790</v>
      </c>
      <c r="I6486" s="178" t="s">
        <v>1546</v>
      </c>
      <c r="J6486" s="320" t="s">
        <v>214</v>
      </c>
      <c r="K6486" s="178" t="s">
        <v>5325</v>
      </c>
      <c r="L6486" s="125" t="s">
        <v>110</v>
      </c>
      <c r="M6486">
        <v>1093</v>
      </c>
      <c r="N6486" s="182">
        <v>202</v>
      </c>
      <c r="O6486">
        <v>4271</v>
      </c>
      <c r="P6486" s="176" t="s">
        <v>77</v>
      </c>
      <c r="Q6486" s="202">
        <v>2500</v>
      </c>
      <c r="R6486" s="176">
        <v>400</v>
      </c>
      <c r="S6486" s="176"/>
      <c r="T6486" s="190">
        <v>266.67</v>
      </c>
      <c r="U6486" s="191">
        <v>31.25</v>
      </c>
      <c r="V6486" s="191">
        <f t="shared" si="67"/>
        <v>2602.08</v>
      </c>
      <c r="W6486">
        <v>389</v>
      </c>
      <c r="X6486" s="186" t="s">
        <v>1429</v>
      </c>
      <c r="Y6486" s="187" t="s">
        <v>55</v>
      </c>
      <c r="Z6486" s="311">
        <v>296</v>
      </c>
      <c r="AB6486" t="str">
        <f>IF(Table1[[#This Row],[TIPO2]]="costo", VLOOKUP(Table1[[#This Row],[PARTIDA PRESUPUESTAL]],'Cost Report'!G:G,1,0),"Balance")</f>
        <v>3145-016</v>
      </c>
      <c r="AD6486" s="159">
        <f>+Table1[[#This Row],[SUBTOTAL]]+Table1[[#This Row],[IVA]]-Table1[[#This Row],[RET IVA]]-Table1[[#This Row],[RET ISR]]-Table1[[#This Row],[TOTAL]]</f>
        <v>0</v>
      </c>
      <c r="AK6486" s="306" t="str">
        <f>IF(ISNUMBER(Table1[[#This Row],[FECHA DE RECIBIDO]]), Table1[[#This Row],[FECHA DE RECIBIDO]]-DATE(2023,8,30), "")</f>
        <v/>
      </c>
    </row>
    <row r="6487" spans="1:37" ht="16.05" customHeight="1">
      <c r="A6487" s="172" t="s">
        <v>5382</v>
      </c>
      <c r="B6487" s="198">
        <v>2313</v>
      </c>
      <c r="C6487" s="179" t="s">
        <v>798</v>
      </c>
      <c r="D6487">
        <v>4440</v>
      </c>
      <c r="E6487" s="125">
        <v>44960</v>
      </c>
      <c r="F6487" s="178">
        <v>612</v>
      </c>
      <c r="G6487" s="178" t="s">
        <v>129</v>
      </c>
      <c r="H6487">
        <v>264</v>
      </c>
      <c r="I6487" s="178" t="s">
        <v>1546</v>
      </c>
      <c r="J6487" s="320">
        <v>292.43622685185255</v>
      </c>
      <c r="K6487" s="178" t="s">
        <v>5325</v>
      </c>
      <c r="L6487" s="125" t="s">
        <v>110</v>
      </c>
      <c r="M6487">
        <v>475</v>
      </c>
      <c r="N6487" s="182">
        <v>1</v>
      </c>
      <c r="O6487">
        <v>4272</v>
      </c>
      <c r="P6487" s="176" t="s">
        <v>77</v>
      </c>
      <c r="Q6487" s="202">
        <v>4333.33</v>
      </c>
      <c r="R6487" s="176">
        <v>693.33</v>
      </c>
      <c r="S6487" s="176"/>
      <c r="T6487" s="190">
        <v>462.22</v>
      </c>
      <c r="U6487" s="191">
        <v>433.33</v>
      </c>
      <c r="V6487" s="191">
        <f t="shared" si="67"/>
        <v>4131.1099999999997</v>
      </c>
      <c r="W6487">
        <v>164</v>
      </c>
      <c r="X6487" s="186" t="s">
        <v>1429</v>
      </c>
      <c r="Y6487" s="187" t="s">
        <v>55</v>
      </c>
      <c r="Z6487" s="311">
        <v>296</v>
      </c>
      <c r="AB6487" t="str">
        <f>IF(Table1[[#This Row],[TIPO2]]="costo", VLOOKUP(Table1[[#This Row],[PARTIDA PRESUPUESTAL]],'Cost Report'!G:G,1,0),"Balance")</f>
        <v>3102-003</v>
      </c>
      <c r="AD6487" s="159">
        <f>+Table1[[#This Row],[SUBTOTAL]]+Table1[[#This Row],[IVA]]-Table1[[#This Row],[RET IVA]]-Table1[[#This Row],[RET ISR]]-Table1[[#This Row],[TOTAL]]</f>
        <v>0</v>
      </c>
      <c r="AK6487" s="306">
        <f>IF(ISNUMBER(Table1[[#This Row],[FECHA DE RECIBIDO]]), Table1[[#This Row],[FECHA DE RECIBIDO]]-DATE(2023,8,30), "")</f>
        <v>-44875.563773148147</v>
      </c>
    </row>
    <row r="6488" spans="1:37" ht="16.05" customHeight="1">
      <c r="A6488" s="172" t="s">
        <v>5383</v>
      </c>
      <c r="B6488" s="178">
        <v>2314</v>
      </c>
      <c r="C6488" s="179" t="s">
        <v>2443</v>
      </c>
      <c r="D6488">
        <v>4441</v>
      </c>
      <c r="E6488" s="125">
        <v>45402</v>
      </c>
      <c r="F6488" s="178">
        <v>621</v>
      </c>
      <c r="G6488" s="178" t="s">
        <v>1617</v>
      </c>
      <c r="H6488">
        <v>1081</v>
      </c>
      <c r="I6488" s="178" t="s">
        <v>1546</v>
      </c>
      <c r="J6488" s="320">
        <v>295.85579861111182</v>
      </c>
      <c r="K6488" s="178" t="s">
        <v>5325</v>
      </c>
      <c r="L6488" s="125" t="s">
        <v>3306</v>
      </c>
      <c r="M6488">
        <v>1502</v>
      </c>
      <c r="N6488" s="182">
        <v>1</v>
      </c>
      <c r="O6488">
        <v>4273</v>
      </c>
      <c r="P6488" s="176" t="s">
        <v>77</v>
      </c>
      <c r="Q6488" s="202">
        <v>3431.66</v>
      </c>
      <c r="R6488" s="176">
        <v>549.07000000000005</v>
      </c>
      <c r="S6488" s="176"/>
      <c r="T6488" s="190">
        <v>366.16</v>
      </c>
      <c r="U6488" s="191">
        <v>0</v>
      </c>
      <c r="V6488" s="191">
        <f t="shared" si="67"/>
        <v>3614.57</v>
      </c>
      <c r="W6488">
        <v>517</v>
      </c>
      <c r="X6488" s="186" t="s">
        <v>1432</v>
      </c>
      <c r="Y6488" s="187" t="s">
        <v>55</v>
      </c>
      <c r="Z6488" s="311">
        <v>296</v>
      </c>
      <c r="AB6488" t="str">
        <f>IF(Table1[[#This Row],[TIPO2]]="costo", VLOOKUP(Table1[[#This Row],[PARTIDA PRESUPUESTAL]],'Cost Report'!G:G,1,0),"Balance")</f>
        <v>2080-003</v>
      </c>
      <c r="AD6488" s="159">
        <f>+Table1[[#This Row],[SUBTOTAL]]+Table1[[#This Row],[IVA]]-Table1[[#This Row],[RET IVA]]-Table1[[#This Row],[RET ISR]]-Table1[[#This Row],[TOTAL]]</f>
        <v>0</v>
      </c>
      <c r="AK6488" s="306">
        <f>IF(ISNUMBER(Table1[[#This Row],[FECHA DE RECIBIDO]]), Table1[[#This Row],[FECHA DE RECIBIDO]]-DATE(2023,8,30), "")</f>
        <v>-44872.144201388888</v>
      </c>
    </row>
    <row r="6489" spans="1:37" ht="16.05" customHeight="1">
      <c r="A6489" s="172"/>
      <c r="B6489" s="178">
        <v>463</v>
      </c>
      <c r="C6489" s="179" t="s">
        <v>69</v>
      </c>
      <c r="D6489"/>
      <c r="E6489" s="125" t="s">
        <v>1911</v>
      </c>
      <c r="F6489" s="178" t="s">
        <v>1911</v>
      </c>
      <c r="G6489" s="178" t="s">
        <v>1911</v>
      </c>
      <c r="H6489"/>
      <c r="I6489" s="178" t="s">
        <v>1911</v>
      </c>
      <c r="J6489" s="320" t="s">
        <v>214</v>
      </c>
      <c r="K6489" s="178" t="s">
        <v>5325</v>
      </c>
      <c r="L6489" s="125" t="s">
        <v>3306</v>
      </c>
      <c r="M6489">
        <v>346</v>
      </c>
      <c r="N6489" s="182">
        <v>24</v>
      </c>
      <c r="O6489">
        <v>819</v>
      </c>
      <c r="P6489" s="176" t="s">
        <v>78</v>
      </c>
      <c r="Q6489" s="239">
        <v>-15000</v>
      </c>
      <c r="R6489" s="176">
        <v>0</v>
      </c>
      <c r="S6489" s="176">
        <v>0</v>
      </c>
      <c r="T6489" s="190">
        <v>0</v>
      </c>
      <c r="U6489" s="191">
        <v>0</v>
      </c>
      <c r="V6489" s="191">
        <f t="shared" si="67"/>
        <v>-15000</v>
      </c>
      <c r="W6489">
        <v>160</v>
      </c>
      <c r="X6489" s="186" t="s">
        <v>195</v>
      </c>
      <c r="Y6489" s="187" t="s">
        <v>55</v>
      </c>
      <c r="Z6489" s="311">
        <v>219</v>
      </c>
      <c r="AB6489" t="str">
        <f>IF(Table1[[#This Row],[TIPO2]]="costo", VLOOKUP(Table1[[#This Row],[PARTIDA PRESUPUESTAL]],'Cost Report'!G:G,1,0),"Balance")</f>
        <v>Balance</v>
      </c>
      <c r="AD6489" s="159">
        <f>+Table1[[#This Row],[SUBTOTAL]]+Table1[[#This Row],[IVA]]-Table1[[#This Row],[RET IVA]]-Table1[[#This Row],[RET ISR]]-Table1[[#This Row],[TOTAL]]</f>
        <v>0</v>
      </c>
      <c r="AK6489" s="306" t="str">
        <f>IF(ISNUMBER(Table1[[#This Row],[FECHA DE RECIBIDO]]), Table1[[#This Row],[FECHA DE RECIBIDO]]-DATE(2023,8,30), "")</f>
        <v/>
      </c>
    </row>
    <row r="6490" spans="1:37" ht="16.05" customHeight="1">
      <c r="A6490" s="172"/>
      <c r="B6490" s="178">
        <v>464</v>
      </c>
      <c r="C6490" s="179" t="s">
        <v>69</v>
      </c>
      <c r="D6490"/>
      <c r="E6490" s="125" t="s">
        <v>1911</v>
      </c>
      <c r="F6490" s="178" t="s">
        <v>1911</v>
      </c>
      <c r="G6490" s="178" t="s">
        <v>1911</v>
      </c>
      <c r="H6490"/>
      <c r="I6490" s="178" t="s">
        <v>1911</v>
      </c>
      <c r="J6490" s="320" t="s">
        <v>214</v>
      </c>
      <c r="K6490" s="178" t="s">
        <v>5325</v>
      </c>
      <c r="L6490" s="125" t="s">
        <v>3306</v>
      </c>
      <c r="M6490">
        <v>329</v>
      </c>
      <c r="N6490" s="182">
        <v>24</v>
      </c>
      <c r="O6490">
        <v>1009</v>
      </c>
      <c r="P6490" s="176" t="s">
        <v>78</v>
      </c>
      <c r="Q6490" s="239">
        <v>-50000</v>
      </c>
      <c r="R6490" s="176">
        <v>0</v>
      </c>
      <c r="S6490" s="176"/>
      <c r="T6490" s="190">
        <v>0</v>
      </c>
      <c r="U6490" s="191">
        <v>0</v>
      </c>
      <c r="V6490" s="191">
        <f t="shared" si="67"/>
        <v>-50000</v>
      </c>
      <c r="W6490">
        <v>150</v>
      </c>
      <c r="X6490" s="186" t="s">
        <v>105</v>
      </c>
      <c r="Y6490" s="187" t="s">
        <v>55</v>
      </c>
      <c r="Z6490" s="311">
        <v>222</v>
      </c>
      <c r="AB6490" t="str">
        <f>IF(Table1[[#This Row],[TIPO2]]="costo", VLOOKUP(Table1[[#This Row],[PARTIDA PRESUPUESTAL]],'Cost Report'!G:G,1,0),"Balance")</f>
        <v>Balance</v>
      </c>
      <c r="AD6490" s="159">
        <f>+Table1[[#This Row],[SUBTOTAL]]+Table1[[#This Row],[IVA]]-Table1[[#This Row],[RET IVA]]-Table1[[#This Row],[RET ISR]]-Table1[[#This Row],[TOTAL]]</f>
        <v>0</v>
      </c>
      <c r="AK6490" s="306" t="str">
        <f>IF(ISNUMBER(Table1[[#This Row],[FECHA DE RECIBIDO]]), Table1[[#This Row],[FECHA DE RECIBIDO]]-DATE(2023,8,30), "")</f>
        <v/>
      </c>
    </row>
    <row r="6491" spans="1:37" ht="16.05" customHeight="1">
      <c r="A6491" s="172"/>
      <c r="B6491" s="178">
        <v>809</v>
      </c>
      <c r="C6491" s="179" t="s">
        <v>69</v>
      </c>
      <c r="D6491"/>
      <c r="E6491" s="125" t="s">
        <v>1911</v>
      </c>
      <c r="F6491" s="178" t="s">
        <v>1911</v>
      </c>
      <c r="G6491" s="178" t="s">
        <v>1911</v>
      </c>
      <c r="H6491"/>
      <c r="I6491" s="178" t="s">
        <v>1911</v>
      </c>
      <c r="J6491" s="320" t="s">
        <v>214</v>
      </c>
      <c r="K6491" s="178" t="s">
        <v>5325</v>
      </c>
      <c r="L6491" s="125" t="s">
        <v>3306</v>
      </c>
      <c r="M6491">
        <v>698</v>
      </c>
      <c r="N6491" s="182">
        <v>1</v>
      </c>
      <c r="O6491">
        <v>1626</v>
      </c>
      <c r="P6491" s="176" t="s">
        <v>78</v>
      </c>
      <c r="Q6491" s="239">
        <v>-159600</v>
      </c>
      <c r="R6491" s="176">
        <v>0</v>
      </c>
      <c r="S6491" s="176"/>
      <c r="T6491" s="190">
        <v>0</v>
      </c>
      <c r="U6491" s="191">
        <v>0</v>
      </c>
      <c r="V6491" s="191">
        <f t="shared" si="67"/>
        <v>-159600</v>
      </c>
      <c r="W6491">
        <v>247</v>
      </c>
      <c r="X6491" s="186" t="s">
        <v>1430</v>
      </c>
      <c r="Y6491" s="187" t="s">
        <v>55</v>
      </c>
      <c r="Z6491" s="311">
        <v>236</v>
      </c>
      <c r="AB6491" t="str">
        <f>IF(Table1[[#This Row],[TIPO2]]="costo", VLOOKUP(Table1[[#This Row],[PARTIDA PRESUPUESTAL]],'Cost Report'!G:G,1,0),"Balance")</f>
        <v>Balance</v>
      </c>
      <c r="AD6491" s="159">
        <f>+Table1[[#This Row],[SUBTOTAL]]+Table1[[#This Row],[IVA]]-Table1[[#This Row],[RET IVA]]-Table1[[#This Row],[RET ISR]]-Table1[[#This Row],[TOTAL]]</f>
        <v>0</v>
      </c>
      <c r="AK6491" s="306" t="str">
        <f>IF(ISNUMBER(Table1[[#This Row],[FECHA DE RECIBIDO]]), Table1[[#This Row],[FECHA DE RECIBIDO]]-DATE(2023,8,30), "")</f>
        <v/>
      </c>
    </row>
    <row r="6492" spans="1:37" ht="16.05" customHeight="1">
      <c r="A6492" s="196" t="s">
        <v>5384</v>
      </c>
      <c r="B6492" s="200" t="s">
        <v>1576</v>
      </c>
      <c r="C6492" s="179" t="s">
        <v>72</v>
      </c>
      <c r="D6492"/>
      <c r="E6492" s="125" t="s">
        <v>1911</v>
      </c>
      <c r="F6492" s="178" t="s">
        <v>1911</v>
      </c>
      <c r="G6492" s="178" t="s">
        <v>1911</v>
      </c>
      <c r="H6492"/>
      <c r="I6492" s="178" t="s">
        <v>1911</v>
      </c>
      <c r="J6492" s="320" t="s">
        <v>214</v>
      </c>
      <c r="K6492" s="178" t="s">
        <v>5325</v>
      </c>
      <c r="L6492" s="125" t="s">
        <v>156</v>
      </c>
      <c r="M6492">
        <v>61</v>
      </c>
      <c r="N6492" s="182">
        <v>0</v>
      </c>
      <c r="O6492">
        <v>4274</v>
      </c>
      <c r="P6492" s="176" t="s">
        <v>78</v>
      </c>
      <c r="Q6492" s="176">
        <v>1454966.6</v>
      </c>
      <c r="R6492" s="176">
        <v>0</v>
      </c>
      <c r="S6492" s="176"/>
      <c r="T6492" s="190">
        <v>0</v>
      </c>
      <c r="U6492" s="191">
        <v>0</v>
      </c>
      <c r="V6492" s="191">
        <f t="shared" si="67"/>
        <v>1454966.6</v>
      </c>
      <c r="W6492">
        <v>35</v>
      </c>
      <c r="X6492" s="186" t="s">
        <v>105</v>
      </c>
      <c r="Y6492" s="187" t="s">
        <v>55</v>
      </c>
      <c r="Z6492" s="311">
        <v>294</v>
      </c>
      <c r="AB6492" t="str">
        <f>IF(Table1[[#This Row],[TIPO2]]="costo", VLOOKUP(Table1[[#This Row],[PARTIDA PRESUPUESTAL]],'Cost Report'!G:G,1,0),"Balance")</f>
        <v>Balance</v>
      </c>
      <c r="AD6492" s="159">
        <f>+Table1[[#This Row],[SUBTOTAL]]+Table1[[#This Row],[IVA]]-Table1[[#This Row],[RET IVA]]-Table1[[#This Row],[RET ISR]]-Table1[[#This Row],[TOTAL]]</f>
        <v>0</v>
      </c>
      <c r="AK6492" s="306" t="str">
        <f>IF(ISNUMBER(Table1[[#This Row],[FECHA DE RECIBIDO]]), Table1[[#This Row],[FECHA DE RECIBIDO]]-DATE(2023,8,30), "")</f>
        <v/>
      </c>
    </row>
    <row r="6493" spans="1:37" ht="16.05" customHeight="1">
      <c r="A6493" s="196" t="s">
        <v>5385</v>
      </c>
      <c r="B6493" s="200" t="s">
        <v>1576</v>
      </c>
      <c r="C6493" s="179" t="s">
        <v>73</v>
      </c>
      <c r="D6493"/>
      <c r="E6493" s="125" t="s">
        <v>1911</v>
      </c>
      <c r="F6493" s="178" t="s">
        <v>1911</v>
      </c>
      <c r="G6493" s="178" t="s">
        <v>1911</v>
      </c>
      <c r="H6493"/>
      <c r="I6493" s="178" t="s">
        <v>1911</v>
      </c>
      <c r="J6493" s="320" t="s">
        <v>214</v>
      </c>
      <c r="K6493" s="178" t="s">
        <v>5325</v>
      </c>
      <c r="L6493" s="125" t="s">
        <v>156</v>
      </c>
      <c r="M6493">
        <v>61</v>
      </c>
      <c r="N6493" s="182">
        <v>0</v>
      </c>
      <c r="O6493">
        <v>4275</v>
      </c>
      <c r="P6493" s="176" t="s">
        <v>78</v>
      </c>
      <c r="Q6493" s="176">
        <v>829657.08</v>
      </c>
      <c r="R6493" s="176">
        <v>0</v>
      </c>
      <c r="S6493" s="176"/>
      <c r="T6493" s="190">
        <v>0</v>
      </c>
      <c r="U6493" s="191">
        <v>0</v>
      </c>
      <c r="V6493" s="191">
        <f>+Q6493+$R$172-$T$172-U6493</f>
        <v>829726.04999999993</v>
      </c>
      <c r="W6493">
        <v>35</v>
      </c>
      <c r="X6493" s="186" t="s">
        <v>105</v>
      </c>
      <c r="Y6493" s="187" t="s">
        <v>55</v>
      </c>
      <c r="Z6493" s="311">
        <v>294</v>
      </c>
      <c r="AB6493" t="str">
        <f>IF(Table1[[#This Row],[TIPO2]]="costo", VLOOKUP(Table1[[#This Row],[PARTIDA PRESUPUESTAL]],'Cost Report'!G:G,1,0),"Balance")</f>
        <v>Balance</v>
      </c>
      <c r="AD6493" s="159">
        <f>+Table1[[#This Row],[SUBTOTAL]]+Table1[[#This Row],[IVA]]-Table1[[#This Row],[RET IVA]]-Table1[[#This Row],[RET ISR]]-Table1[[#This Row],[TOTAL]]</f>
        <v>-68.96999999997206</v>
      </c>
      <c r="AK6493" s="306" t="str">
        <f>IF(ISNUMBER(Table1[[#This Row],[FECHA DE RECIBIDO]]), Table1[[#This Row],[FECHA DE RECIBIDO]]-DATE(2023,8,30), "")</f>
        <v/>
      </c>
    </row>
    <row r="6494" spans="1:37" ht="16.05" customHeight="1">
      <c r="A6494" s="196" t="s">
        <v>5386</v>
      </c>
      <c r="B6494" s="200">
        <v>2315</v>
      </c>
      <c r="C6494" s="179" t="s">
        <v>2179</v>
      </c>
      <c r="D6494">
        <v>4442</v>
      </c>
      <c r="E6494" s="125">
        <v>11560</v>
      </c>
      <c r="F6494" s="178">
        <v>601</v>
      </c>
      <c r="G6494" s="178" t="s">
        <v>134</v>
      </c>
      <c r="H6494">
        <v>1082</v>
      </c>
      <c r="I6494" s="178" t="s">
        <v>1546</v>
      </c>
      <c r="J6494" s="320">
        <v>293.63643518518802</v>
      </c>
      <c r="K6494" s="178" t="s">
        <v>5325</v>
      </c>
      <c r="L6494" s="125" t="s">
        <v>3306</v>
      </c>
      <c r="M6494">
        <v>1503</v>
      </c>
      <c r="N6494" s="182">
        <v>1</v>
      </c>
      <c r="O6494">
        <v>4276</v>
      </c>
      <c r="P6494" s="176" t="s">
        <v>77</v>
      </c>
      <c r="Q6494" s="202">
        <v>96600</v>
      </c>
      <c r="R6494" s="176">
        <f t="shared" ref="R6494:R6497" si="68">Q6494*0.16</f>
        <v>15456</v>
      </c>
      <c r="S6494" s="176"/>
      <c r="T6494" s="190">
        <v>0</v>
      </c>
      <c r="U6494" s="191">
        <v>0</v>
      </c>
      <c r="V6494" s="191">
        <f t="shared" ref="V6494:V6497" si="69">+Q6494+R6494-T6494-U6494</f>
        <v>112056</v>
      </c>
      <c r="W6494">
        <v>518</v>
      </c>
      <c r="X6494" s="186" t="s">
        <v>2037</v>
      </c>
      <c r="Y6494" s="187" t="s">
        <v>55</v>
      </c>
      <c r="Z6494" s="311">
        <v>296</v>
      </c>
      <c r="AB6494" t="str">
        <f>IF(Table1[[#This Row],[TIPO2]]="costo", VLOOKUP(Table1[[#This Row],[PARTIDA PRESUPUESTAL]],'Cost Report'!G:G,1,0),"Balance")</f>
        <v>1401-064</v>
      </c>
      <c r="AD6494" s="159">
        <f>+Table1[[#This Row],[SUBTOTAL]]+Table1[[#This Row],[IVA]]-Table1[[#This Row],[RET IVA]]-Table1[[#This Row],[RET ISR]]-Table1[[#This Row],[TOTAL]]</f>
        <v>0</v>
      </c>
      <c r="AK6494" s="306">
        <f>IF(ISNUMBER(Table1[[#This Row],[FECHA DE RECIBIDO]]), Table1[[#This Row],[FECHA DE RECIBIDO]]-DATE(2023,8,30), "")</f>
        <v>-44874.363564814812</v>
      </c>
    </row>
    <row r="6495" spans="1:37" ht="16.05" customHeight="1">
      <c r="A6495" s="196" t="s">
        <v>5387</v>
      </c>
      <c r="B6495" s="200">
        <v>2316</v>
      </c>
      <c r="C6495" s="179" t="s">
        <v>3065</v>
      </c>
      <c r="D6495">
        <v>4443</v>
      </c>
      <c r="E6495" s="125">
        <v>11550</v>
      </c>
      <c r="F6495" s="178">
        <v>612</v>
      </c>
      <c r="G6495" s="178" t="s">
        <v>129</v>
      </c>
      <c r="H6495">
        <v>1083</v>
      </c>
      <c r="I6495" s="178" t="s">
        <v>1546</v>
      </c>
      <c r="J6495" s="320">
        <v>293.49895833332994</v>
      </c>
      <c r="K6495" s="178" t="s">
        <v>5325</v>
      </c>
      <c r="L6495" s="125" t="s">
        <v>3306</v>
      </c>
      <c r="M6495">
        <v>1504</v>
      </c>
      <c r="N6495" s="182">
        <v>1</v>
      </c>
      <c r="O6495">
        <v>4277</v>
      </c>
      <c r="P6495" s="176" t="s">
        <v>77</v>
      </c>
      <c r="Q6495" s="202">
        <v>44100</v>
      </c>
      <c r="R6495" s="176">
        <f t="shared" si="68"/>
        <v>7056</v>
      </c>
      <c r="S6495" s="176"/>
      <c r="T6495" s="190">
        <f>Q6495*0.106667</f>
        <v>4704.0146999999997</v>
      </c>
      <c r="U6495" s="191">
        <f t="shared" ref="U6495:U6496" si="70">Q6495*0.1</f>
        <v>4410</v>
      </c>
      <c r="V6495" s="191">
        <f t="shared" si="69"/>
        <v>42041.9853</v>
      </c>
      <c r="W6495">
        <v>519</v>
      </c>
      <c r="X6495" s="186" t="s">
        <v>2037</v>
      </c>
      <c r="Y6495" s="187" t="s">
        <v>55</v>
      </c>
      <c r="Z6495" s="311">
        <v>296</v>
      </c>
      <c r="AB6495" t="str">
        <f>IF(Table1[[#This Row],[TIPO2]]="costo", VLOOKUP(Table1[[#This Row],[PARTIDA PRESUPUESTAL]],'Cost Report'!G:G,1,0),"Balance")</f>
        <v>6002-004</v>
      </c>
      <c r="AD6495" s="159">
        <f>+Table1[[#This Row],[SUBTOTAL]]+Table1[[#This Row],[IVA]]-Table1[[#This Row],[RET IVA]]-Table1[[#This Row],[RET ISR]]-Table1[[#This Row],[TOTAL]]</f>
        <v>0</v>
      </c>
      <c r="AK6495" s="306">
        <f>IF(ISNUMBER(Table1[[#This Row],[FECHA DE RECIBIDO]]), Table1[[#This Row],[FECHA DE RECIBIDO]]-DATE(2023,8,30), "")</f>
        <v>-44874.50104166667</v>
      </c>
    </row>
    <row r="6496" spans="1:37" ht="16.05" customHeight="1">
      <c r="A6496" s="196" t="s">
        <v>5388</v>
      </c>
      <c r="B6496" s="200">
        <v>2317</v>
      </c>
      <c r="C6496" s="179" t="s">
        <v>3065</v>
      </c>
      <c r="D6496">
        <v>4444</v>
      </c>
      <c r="E6496" s="201" t="s">
        <v>1592</v>
      </c>
      <c r="F6496" s="178">
        <v>612</v>
      </c>
      <c r="G6496" s="178" t="s">
        <v>129</v>
      </c>
      <c r="H6496">
        <v>1084</v>
      </c>
      <c r="I6496" s="178" t="s">
        <v>1546</v>
      </c>
      <c r="J6496" s="320">
        <v>293.62962962962774</v>
      </c>
      <c r="K6496" s="178" t="s">
        <v>5325</v>
      </c>
      <c r="L6496" s="125" t="s">
        <v>3306</v>
      </c>
      <c r="M6496">
        <v>1505</v>
      </c>
      <c r="N6496" s="182">
        <v>1</v>
      </c>
      <c r="O6496">
        <v>4277</v>
      </c>
      <c r="P6496" s="176" t="s">
        <v>77</v>
      </c>
      <c r="Q6496" s="202">
        <v>44100</v>
      </c>
      <c r="R6496" s="176">
        <f t="shared" si="68"/>
        <v>7056</v>
      </c>
      <c r="S6496" s="176"/>
      <c r="T6496" s="190">
        <f>Q6496*0.1067</f>
        <v>4705.47</v>
      </c>
      <c r="U6496" s="191">
        <f t="shared" si="70"/>
        <v>4410</v>
      </c>
      <c r="V6496" s="191">
        <f t="shared" si="69"/>
        <v>42040.53</v>
      </c>
      <c r="W6496">
        <v>520</v>
      </c>
      <c r="X6496" s="186" t="s">
        <v>2035</v>
      </c>
      <c r="Y6496" s="187" t="s">
        <v>55</v>
      </c>
      <c r="Z6496" s="311">
        <v>296</v>
      </c>
      <c r="AB6496" t="str">
        <f>IF(Table1[[#This Row],[TIPO2]]="costo", VLOOKUP(Table1[[#This Row],[PARTIDA PRESUPUESTAL]],'Cost Report'!G:G,1,0),"Balance")</f>
        <v>6002-004</v>
      </c>
      <c r="AD6496" s="159">
        <f>+Table1[[#This Row],[SUBTOTAL]]+Table1[[#This Row],[IVA]]-Table1[[#This Row],[RET IVA]]-Table1[[#This Row],[RET ISR]]-Table1[[#This Row],[TOTAL]]</f>
        <v>0</v>
      </c>
      <c r="AK6496" s="306">
        <f>IF(ISNUMBER(Table1[[#This Row],[FECHA DE RECIBIDO]]), Table1[[#This Row],[FECHA DE RECIBIDO]]-DATE(2023,8,30), "")</f>
        <v>-44874.370370370372</v>
      </c>
    </row>
    <row r="6497" spans="1:37" ht="16.05" customHeight="1">
      <c r="A6497" s="196" t="s">
        <v>5389</v>
      </c>
      <c r="B6497" s="200">
        <v>2318</v>
      </c>
      <c r="C6497" s="179" t="s">
        <v>3063</v>
      </c>
      <c r="D6497">
        <v>4445</v>
      </c>
      <c r="E6497" s="125">
        <v>51200</v>
      </c>
      <c r="F6497" s="178">
        <v>601</v>
      </c>
      <c r="G6497" s="178" t="s">
        <v>134</v>
      </c>
      <c r="H6497">
        <v>1085</v>
      </c>
      <c r="I6497" s="178" t="s">
        <v>1546</v>
      </c>
      <c r="J6497" s="320">
        <v>293.01274305555853</v>
      </c>
      <c r="K6497" s="178" t="s">
        <v>5325</v>
      </c>
      <c r="L6497" s="125" t="s">
        <v>3306</v>
      </c>
      <c r="M6497">
        <v>1506</v>
      </c>
      <c r="N6497" s="182">
        <v>1</v>
      </c>
      <c r="O6497">
        <v>4278</v>
      </c>
      <c r="P6497" s="176" t="s">
        <v>77</v>
      </c>
      <c r="Q6497" s="202">
        <v>35000</v>
      </c>
      <c r="R6497" s="176">
        <f t="shared" si="68"/>
        <v>5600</v>
      </c>
      <c r="S6497" s="176"/>
      <c r="T6497" s="190">
        <v>0</v>
      </c>
      <c r="U6497" s="191">
        <v>0</v>
      </c>
      <c r="V6497" s="191">
        <f t="shared" si="69"/>
        <v>40600</v>
      </c>
      <c r="W6497">
        <v>521</v>
      </c>
      <c r="X6497" s="186" t="s">
        <v>2041</v>
      </c>
      <c r="Y6497" s="187" t="s">
        <v>55</v>
      </c>
      <c r="Z6497" s="311">
        <v>296</v>
      </c>
      <c r="AB6497" t="str">
        <f>IF(Table1[[#This Row],[TIPO2]]="costo", VLOOKUP(Table1[[#This Row],[PARTIDA PRESUPUESTAL]],'Cost Report'!G:G,1,0),"Balance")</f>
        <v>5402-003</v>
      </c>
      <c r="AD6497" s="159">
        <f>+Table1[[#This Row],[SUBTOTAL]]+Table1[[#This Row],[IVA]]-Table1[[#This Row],[RET IVA]]-Table1[[#This Row],[RET ISR]]-Table1[[#This Row],[TOTAL]]</f>
        <v>0</v>
      </c>
      <c r="AK6497" s="306">
        <f>IF(ISNUMBER(Table1[[#This Row],[FECHA DE RECIBIDO]]), Table1[[#This Row],[FECHA DE RECIBIDO]]-DATE(2023,8,30), "")</f>
        <v>-44874.987256944441</v>
      </c>
    </row>
    <row r="6498" spans="1:37" ht="16.05" customHeight="1">
      <c r="A6498" s="197" t="s">
        <v>5390</v>
      </c>
      <c r="B6498" s="198">
        <v>2319</v>
      </c>
      <c r="C6498" s="179" t="s">
        <v>2829</v>
      </c>
      <c r="D6498">
        <v>3623</v>
      </c>
      <c r="E6498" s="125"/>
      <c r="F6498" s="178"/>
      <c r="G6498" s="178"/>
      <c r="H6498"/>
      <c r="I6498" s="178"/>
      <c r="J6498" s="320" t="s">
        <v>214</v>
      </c>
      <c r="K6498" s="178" t="s">
        <v>5325</v>
      </c>
      <c r="L6498" s="125" t="s">
        <v>1579</v>
      </c>
      <c r="M6498">
        <v>815</v>
      </c>
      <c r="N6498" s="182">
        <v>17</v>
      </c>
      <c r="O6498">
        <v>4279</v>
      </c>
      <c r="P6498" s="176" t="s">
        <v>77</v>
      </c>
      <c r="Q6498" s="176">
        <v>1317</v>
      </c>
      <c r="R6498" s="176"/>
      <c r="S6498" s="176"/>
      <c r="T6498" s="190"/>
      <c r="U6498" s="191"/>
      <c r="V6498" s="191">
        <f t="shared" ref="V6498:V6518" si="71">Q6498+R6498</f>
        <v>1317</v>
      </c>
      <c r="W6498">
        <v>227</v>
      </c>
      <c r="X6498" s="186" t="s">
        <v>1644</v>
      </c>
      <c r="Y6498" s="187" t="s">
        <v>55</v>
      </c>
      <c r="Z6498" s="311">
        <v>158</v>
      </c>
      <c r="AB6498" t="str">
        <f>IF(Table1[[#This Row],[TIPO2]]="costo", VLOOKUP(Table1[[#This Row],[PARTIDA PRESUPUESTAL]],'Cost Report'!G:G,1,0),"Balance")</f>
        <v>3412-138</v>
      </c>
      <c r="AD6498" s="159">
        <f>+Table1[[#This Row],[SUBTOTAL]]+Table1[[#This Row],[IVA]]-Table1[[#This Row],[RET IVA]]-Table1[[#This Row],[RET ISR]]-Table1[[#This Row],[TOTAL]]</f>
        <v>0</v>
      </c>
      <c r="AG6498" t="s">
        <v>3420</v>
      </c>
      <c r="AK6498" s="306" t="str">
        <f>IF(ISNUMBER(Table1[[#This Row],[FECHA DE RECIBIDO]]), Table1[[#This Row],[FECHA DE RECIBIDO]]-DATE(2023,8,30), "")</f>
        <v/>
      </c>
    </row>
    <row r="6499" spans="1:37" ht="16.05" customHeight="1">
      <c r="A6499" s="197" t="s">
        <v>5390</v>
      </c>
      <c r="B6499" s="198">
        <v>2319</v>
      </c>
      <c r="C6499" s="179" t="s">
        <v>2868</v>
      </c>
      <c r="D6499">
        <v>3623</v>
      </c>
      <c r="E6499" s="125"/>
      <c r="F6499" s="178"/>
      <c r="G6499" s="178"/>
      <c r="H6499"/>
      <c r="I6499" s="178"/>
      <c r="J6499" s="320" t="s">
        <v>214</v>
      </c>
      <c r="K6499" s="178" t="s">
        <v>5325</v>
      </c>
      <c r="L6499" s="125" t="s">
        <v>1579</v>
      </c>
      <c r="M6499">
        <v>1507</v>
      </c>
      <c r="N6499" s="182">
        <v>17</v>
      </c>
      <c r="O6499">
        <v>4280</v>
      </c>
      <c r="P6499" s="176" t="s">
        <v>77</v>
      </c>
      <c r="Q6499" s="176">
        <v>1872.53</v>
      </c>
      <c r="R6499" s="176"/>
      <c r="S6499" s="176"/>
      <c r="T6499" s="190"/>
      <c r="U6499" s="191"/>
      <c r="V6499" s="191">
        <f t="shared" si="71"/>
        <v>1872.53</v>
      </c>
      <c r="W6499">
        <v>227</v>
      </c>
      <c r="X6499" s="186" t="s">
        <v>1644</v>
      </c>
      <c r="Y6499" s="187" t="s">
        <v>55</v>
      </c>
      <c r="Z6499" s="311">
        <v>340</v>
      </c>
      <c r="AB6499" t="str">
        <f>IF(Table1[[#This Row],[TIPO2]]="costo", VLOOKUP(Table1[[#This Row],[PARTIDA PRESUPUESTAL]],'Cost Report'!G:G,1,0),"Balance")</f>
        <v>3632-009</v>
      </c>
      <c r="AD6499" s="159">
        <f>+Table1[[#This Row],[SUBTOTAL]]+Table1[[#This Row],[IVA]]-Table1[[#This Row],[RET IVA]]-Table1[[#This Row],[RET ISR]]-Table1[[#This Row],[TOTAL]]</f>
        <v>0</v>
      </c>
      <c r="AG6499" t="s">
        <v>3420</v>
      </c>
      <c r="AK6499" s="306" t="str">
        <f>IF(ISNUMBER(Table1[[#This Row],[FECHA DE RECIBIDO]]), Table1[[#This Row],[FECHA DE RECIBIDO]]-DATE(2023,8,30), "")</f>
        <v/>
      </c>
    </row>
    <row r="6500" spans="1:37" ht="16.05" customHeight="1">
      <c r="A6500" s="197" t="s">
        <v>5390</v>
      </c>
      <c r="B6500" s="198">
        <v>2319</v>
      </c>
      <c r="C6500" s="179" t="s">
        <v>977</v>
      </c>
      <c r="D6500">
        <v>3623</v>
      </c>
      <c r="E6500" s="125"/>
      <c r="F6500" s="178"/>
      <c r="G6500" s="178"/>
      <c r="H6500"/>
      <c r="I6500" s="178"/>
      <c r="J6500" s="320" t="s">
        <v>214</v>
      </c>
      <c r="K6500" s="178" t="s">
        <v>5325</v>
      </c>
      <c r="L6500" s="125" t="s">
        <v>1579</v>
      </c>
      <c r="M6500">
        <v>1508</v>
      </c>
      <c r="N6500" s="182">
        <v>17</v>
      </c>
      <c r="O6500">
        <v>4281</v>
      </c>
      <c r="P6500" s="176" t="s">
        <v>77</v>
      </c>
      <c r="Q6500" s="176">
        <v>200</v>
      </c>
      <c r="R6500" s="176"/>
      <c r="S6500" s="176"/>
      <c r="T6500" s="190"/>
      <c r="U6500" s="191"/>
      <c r="V6500" s="191">
        <f t="shared" si="71"/>
        <v>200</v>
      </c>
      <c r="W6500">
        <v>227</v>
      </c>
      <c r="X6500" s="186" t="s">
        <v>1644</v>
      </c>
      <c r="Y6500" s="187" t="s">
        <v>55</v>
      </c>
      <c r="Z6500" s="311">
        <v>401</v>
      </c>
      <c r="AB6500" t="str">
        <f>IF(Table1[[#This Row],[TIPO2]]="costo", VLOOKUP(Table1[[#This Row],[PARTIDA PRESUPUESTAL]],'Cost Report'!G:G,1,0),"Balance")</f>
        <v>3410-012</v>
      </c>
      <c r="AD6500" s="159">
        <f>+Table1[[#This Row],[SUBTOTAL]]+Table1[[#This Row],[IVA]]-Table1[[#This Row],[RET IVA]]-Table1[[#This Row],[RET ISR]]-Table1[[#This Row],[TOTAL]]</f>
        <v>0</v>
      </c>
      <c r="AG6500" t="s">
        <v>3420</v>
      </c>
      <c r="AK6500" s="306" t="str">
        <f>IF(ISNUMBER(Table1[[#This Row],[FECHA DE RECIBIDO]]), Table1[[#This Row],[FECHA DE RECIBIDO]]-DATE(2023,8,30), "")</f>
        <v/>
      </c>
    </row>
    <row r="6501" spans="1:37" ht="16.05" customHeight="1">
      <c r="A6501" s="197" t="s">
        <v>5390</v>
      </c>
      <c r="B6501" s="198">
        <v>2319</v>
      </c>
      <c r="C6501" s="179" t="s">
        <v>3415</v>
      </c>
      <c r="D6501">
        <v>3623</v>
      </c>
      <c r="E6501" s="125"/>
      <c r="F6501" s="178"/>
      <c r="G6501" s="178"/>
      <c r="H6501"/>
      <c r="I6501" s="178"/>
      <c r="J6501" s="320" t="s">
        <v>214</v>
      </c>
      <c r="K6501" s="178" t="s">
        <v>5325</v>
      </c>
      <c r="L6501" s="125" t="s">
        <v>1579</v>
      </c>
      <c r="M6501">
        <v>1509</v>
      </c>
      <c r="N6501" s="182">
        <v>17</v>
      </c>
      <c r="O6501">
        <v>4282</v>
      </c>
      <c r="P6501" s="176" t="s">
        <v>77</v>
      </c>
      <c r="Q6501" s="176">
        <v>1200</v>
      </c>
      <c r="R6501" s="176"/>
      <c r="S6501" s="176"/>
      <c r="T6501" s="190"/>
      <c r="U6501" s="191"/>
      <c r="V6501" s="191">
        <f t="shared" si="71"/>
        <v>1200</v>
      </c>
      <c r="W6501">
        <v>227</v>
      </c>
      <c r="X6501" s="186" t="s">
        <v>1644</v>
      </c>
      <c r="Y6501" s="187" t="s">
        <v>55</v>
      </c>
      <c r="Z6501" s="311" t="s">
        <v>214</v>
      </c>
      <c r="AB6501" t="str">
        <f>IF(Table1[[#This Row],[TIPO2]]="costo", VLOOKUP(Table1[[#This Row],[PARTIDA PRESUPUESTAL]],'Cost Report'!G:G,1,0),"Balance")</f>
        <v>3629-006</v>
      </c>
      <c r="AD6501" s="159">
        <f>+Table1[[#This Row],[SUBTOTAL]]+Table1[[#This Row],[IVA]]-Table1[[#This Row],[RET IVA]]-Table1[[#This Row],[RET ISR]]-Table1[[#This Row],[TOTAL]]</f>
        <v>0</v>
      </c>
      <c r="AG6501" t="s">
        <v>3420</v>
      </c>
      <c r="AK6501" s="306" t="str">
        <f>IF(ISNUMBER(Table1[[#This Row],[FECHA DE RECIBIDO]]), Table1[[#This Row],[FECHA DE RECIBIDO]]-DATE(2023,8,30), "")</f>
        <v/>
      </c>
    </row>
    <row r="6502" spans="1:37" ht="16.05" customHeight="1">
      <c r="A6502" s="197" t="s">
        <v>5390</v>
      </c>
      <c r="B6502" s="198">
        <v>2319</v>
      </c>
      <c r="C6502" s="179" t="s">
        <v>977</v>
      </c>
      <c r="D6502">
        <v>3623</v>
      </c>
      <c r="E6502" s="125"/>
      <c r="F6502" s="178"/>
      <c r="G6502" s="178"/>
      <c r="H6502"/>
      <c r="I6502" s="178"/>
      <c r="J6502" s="320" t="s">
        <v>214</v>
      </c>
      <c r="K6502" s="178" t="s">
        <v>5325</v>
      </c>
      <c r="L6502" s="125" t="s">
        <v>1579</v>
      </c>
      <c r="M6502">
        <v>815</v>
      </c>
      <c r="N6502" s="182">
        <v>17</v>
      </c>
      <c r="O6502">
        <v>4283</v>
      </c>
      <c r="P6502" s="176" t="s">
        <v>77</v>
      </c>
      <c r="Q6502" s="176">
        <v>500</v>
      </c>
      <c r="R6502" s="176"/>
      <c r="S6502" s="176"/>
      <c r="T6502" s="190"/>
      <c r="U6502" s="191"/>
      <c r="V6502" s="191">
        <f t="shared" si="71"/>
        <v>500</v>
      </c>
      <c r="W6502">
        <v>227</v>
      </c>
      <c r="X6502" s="186" t="s">
        <v>1644</v>
      </c>
      <c r="Y6502" s="187" t="s">
        <v>55</v>
      </c>
      <c r="Z6502" s="311" t="s">
        <v>214</v>
      </c>
      <c r="AB6502" t="str">
        <f>IF(Table1[[#This Row],[TIPO2]]="costo", VLOOKUP(Table1[[#This Row],[PARTIDA PRESUPUESTAL]],'Cost Report'!G:G,1,0),"Balance")</f>
        <v>3410-012</v>
      </c>
      <c r="AD6502" s="159">
        <f>+Table1[[#This Row],[SUBTOTAL]]+Table1[[#This Row],[IVA]]-Table1[[#This Row],[RET IVA]]-Table1[[#This Row],[RET ISR]]-Table1[[#This Row],[TOTAL]]</f>
        <v>0</v>
      </c>
      <c r="AG6502" t="s">
        <v>3420</v>
      </c>
      <c r="AK6502" s="306" t="str">
        <f>IF(ISNUMBER(Table1[[#This Row],[FECHA DE RECIBIDO]]), Table1[[#This Row],[FECHA DE RECIBIDO]]-DATE(2023,8,30), "")</f>
        <v/>
      </c>
    </row>
    <row r="6503" spans="1:37" ht="16.05" customHeight="1">
      <c r="A6503" s="197" t="s">
        <v>5390</v>
      </c>
      <c r="B6503" s="198">
        <v>2319</v>
      </c>
      <c r="C6503" s="179" t="s">
        <v>2953</v>
      </c>
      <c r="D6503">
        <v>3623</v>
      </c>
      <c r="E6503" s="125"/>
      <c r="F6503" s="178"/>
      <c r="G6503" s="178"/>
      <c r="H6503"/>
      <c r="I6503" s="178"/>
      <c r="J6503" s="320" t="s">
        <v>214</v>
      </c>
      <c r="K6503" s="178" t="s">
        <v>5325</v>
      </c>
      <c r="L6503" s="125" t="s">
        <v>1579</v>
      </c>
      <c r="M6503">
        <v>1510</v>
      </c>
      <c r="N6503" s="182">
        <v>17</v>
      </c>
      <c r="O6503">
        <v>4284</v>
      </c>
      <c r="P6503" s="176" t="s">
        <v>77</v>
      </c>
      <c r="Q6503" s="176">
        <v>400</v>
      </c>
      <c r="R6503" s="176"/>
      <c r="S6503" s="176"/>
      <c r="T6503" s="190"/>
      <c r="U6503" s="191"/>
      <c r="V6503" s="191">
        <f t="shared" si="71"/>
        <v>400</v>
      </c>
      <c r="W6503">
        <v>227</v>
      </c>
      <c r="X6503" s="186" t="s">
        <v>1644</v>
      </c>
      <c r="Y6503" s="187" t="s">
        <v>55</v>
      </c>
      <c r="Z6503" s="311" t="s">
        <v>214</v>
      </c>
      <c r="AB6503" t="str">
        <f>IF(Table1[[#This Row],[TIPO2]]="costo", VLOOKUP(Table1[[#This Row],[PARTIDA PRESUPUESTAL]],'Cost Report'!G:G,1,0),"Balance")</f>
        <v>3901-049</v>
      </c>
      <c r="AD6503" s="159">
        <f>+Table1[[#This Row],[SUBTOTAL]]+Table1[[#This Row],[IVA]]-Table1[[#This Row],[RET IVA]]-Table1[[#This Row],[RET ISR]]-Table1[[#This Row],[TOTAL]]</f>
        <v>0</v>
      </c>
      <c r="AG6503" t="s">
        <v>3420</v>
      </c>
      <c r="AK6503" s="306" t="str">
        <f>IF(ISNUMBER(Table1[[#This Row],[FECHA DE RECIBIDO]]), Table1[[#This Row],[FECHA DE RECIBIDO]]-DATE(2023,8,30), "")</f>
        <v/>
      </c>
    </row>
    <row r="6504" spans="1:37" ht="16.05" customHeight="1">
      <c r="A6504" s="197" t="s">
        <v>5390</v>
      </c>
      <c r="B6504" s="198">
        <v>2319</v>
      </c>
      <c r="C6504" s="179" t="s">
        <v>2953</v>
      </c>
      <c r="D6504">
        <v>3623</v>
      </c>
      <c r="E6504" s="125"/>
      <c r="F6504" s="178"/>
      <c r="G6504" s="178"/>
      <c r="H6504"/>
      <c r="I6504" s="178"/>
      <c r="J6504" s="320" t="s">
        <v>214</v>
      </c>
      <c r="K6504" s="178" t="s">
        <v>5325</v>
      </c>
      <c r="L6504" s="125" t="s">
        <v>1579</v>
      </c>
      <c r="M6504">
        <v>1511</v>
      </c>
      <c r="N6504" s="182">
        <v>17</v>
      </c>
      <c r="O6504">
        <v>4285</v>
      </c>
      <c r="P6504" s="176" t="s">
        <v>77</v>
      </c>
      <c r="Q6504" s="176">
        <v>1010</v>
      </c>
      <c r="R6504" s="176"/>
      <c r="S6504" s="176"/>
      <c r="T6504" s="190"/>
      <c r="U6504" s="191"/>
      <c r="V6504" s="191">
        <f t="shared" si="71"/>
        <v>1010</v>
      </c>
      <c r="W6504">
        <v>227</v>
      </c>
      <c r="X6504" s="186" t="s">
        <v>1644</v>
      </c>
      <c r="Y6504" s="187" t="s">
        <v>55</v>
      </c>
      <c r="Z6504" s="311" t="s">
        <v>214</v>
      </c>
      <c r="AB6504" t="str">
        <f>IF(Table1[[#This Row],[TIPO2]]="costo", VLOOKUP(Table1[[#This Row],[PARTIDA PRESUPUESTAL]],'Cost Report'!G:G,1,0),"Balance")</f>
        <v>3901-049</v>
      </c>
      <c r="AD6504" s="159">
        <f>+Table1[[#This Row],[SUBTOTAL]]+Table1[[#This Row],[IVA]]-Table1[[#This Row],[RET IVA]]-Table1[[#This Row],[RET ISR]]-Table1[[#This Row],[TOTAL]]</f>
        <v>0</v>
      </c>
      <c r="AG6504" t="s">
        <v>3420</v>
      </c>
      <c r="AK6504" s="306" t="str">
        <f>IF(ISNUMBER(Table1[[#This Row],[FECHA DE RECIBIDO]]), Table1[[#This Row],[FECHA DE RECIBIDO]]-DATE(2023,8,30), "")</f>
        <v/>
      </c>
    </row>
    <row r="6505" spans="1:37" ht="16.05" customHeight="1">
      <c r="A6505" s="197" t="s">
        <v>5390</v>
      </c>
      <c r="B6505" s="198">
        <v>2319</v>
      </c>
      <c r="C6505" s="179" t="s">
        <v>977</v>
      </c>
      <c r="D6505">
        <v>3623</v>
      </c>
      <c r="E6505" s="125"/>
      <c r="F6505" s="178"/>
      <c r="G6505" s="178"/>
      <c r="H6505"/>
      <c r="I6505" s="178"/>
      <c r="J6505" s="320" t="s">
        <v>214</v>
      </c>
      <c r="K6505" s="178" t="s">
        <v>5325</v>
      </c>
      <c r="L6505" s="125" t="s">
        <v>1579</v>
      </c>
      <c r="M6505">
        <v>1512</v>
      </c>
      <c r="N6505" s="182">
        <v>17</v>
      </c>
      <c r="O6505">
        <v>4286</v>
      </c>
      <c r="P6505" s="176" t="s">
        <v>77</v>
      </c>
      <c r="Q6505" s="176">
        <v>452</v>
      </c>
      <c r="R6505" s="176"/>
      <c r="S6505" s="176"/>
      <c r="T6505" s="190"/>
      <c r="U6505" s="191"/>
      <c r="V6505" s="191">
        <f t="shared" si="71"/>
        <v>452</v>
      </c>
      <c r="W6505">
        <v>227</v>
      </c>
      <c r="X6505" s="186" t="s">
        <v>1644</v>
      </c>
      <c r="Y6505" s="187" t="s">
        <v>55</v>
      </c>
      <c r="Z6505" s="311">
        <v>310</v>
      </c>
      <c r="AB6505" t="str">
        <f>IF(Table1[[#This Row],[TIPO2]]="costo", VLOOKUP(Table1[[#This Row],[PARTIDA PRESUPUESTAL]],'Cost Report'!G:G,1,0),"Balance")</f>
        <v>3410-012</v>
      </c>
      <c r="AD6505" s="159">
        <f>+Table1[[#This Row],[SUBTOTAL]]+Table1[[#This Row],[IVA]]-Table1[[#This Row],[RET IVA]]-Table1[[#This Row],[RET ISR]]-Table1[[#This Row],[TOTAL]]</f>
        <v>0</v>
      </c>
      <c r="AG6505" t="s">
        <v>3420</v>
      </c>
      <c r="AK6505" s="306" t="str">
        <f>IF(ISNUMBER(Table1[[#This Row],[FECHA DE RECIBIDO]]), Table1[[#This Row],[FECHA DE RECIBIDO]]-DATE(2023,8,30), "")</f>
        <v/>
      </c>
    </row>
    <row r="6506" spans="1:37" ht="16.05" customHeight="1">
      <c r="A6506" s="197" t="s">
        <v>5390</v>
      </c>
      <c r="B6506" s="198">
        <v>2319</v>
      </c>
      <c r="C6506" s="179" t="s">
        <v>977</v>
      </c>
      <c r="D6506">
        <v>3623</v>
      </c>
      <c r="E6506" s="125"/>
      <c r="F6506" s="178"/>
      <c r="G6506" s="178"/>
      <c r="H6506"/>
      <c r="I6506" s="178"/>
      <c r="J6506" s="320" t="s">
        <v>214</v>
      </c>
      <c r="K6506" s="178" t="s">
        <v>5325</v>
      </c>
      <c r="L6506" s="125" t="s">
        <v>1579</v>
      </c>
      <c r="M6506">
        <v>1513</v>
      </c>
      <c r="N6506" s="182">
        <v>17</v>
      </c>
      <c r="O6506">
        <v>4287</v>
      </c>
      <c r="P6506" s="176" t="s">
        <v>77</v>
      </c>
      <c r="Q6506" s="176">
        <v>736.95</v>
      </c>
      <c r="R6506" s="176"/>
      <c r="S6506" s="176"/>
      <c r="T6506" s="190"/>
      <c r="U6506" s="191"/>
      <c r="V6506" s="191">
        <f t="shared" si="71"/>
        <v>736.95</v>
      </c>
      <c r="W6506">
        <v>227</v>
      </c>
      <c r="X6506" s="186" t="s">
        <v>1644</v>
      </c>
      <c r="Y6506" s="187" t="s">
        <v>55</v>
      </c>
      <c r="Z6506" s="311" t="s">
        <v>214</v>
      </c>
      <c r="AB6506" t="str">
        <f>IF(Table1[[#This Row],[TIPO2]]="costo", VLOOKUP(Table1[[#This Row],[PARTIDA PRESUPUESTAL]],'Cost Report'!G:G,1,0),"Balance")</f>
        <v>3410-012</v>
      </c>
      <c r="AD6506" s="159">
        <f>+Table1[[#This Row],[SUBTOTAL]]+Table1[[#This Row],[IVA]]-Table1[[#This Row],[RET IVA]]-Table1[[#This Row],[RET ISR]]-Table1[[#This Row],[TOTAL]]</f>
        <v>0</v>
      </c>
      <c r="AG6506" t="s">
        <v>3420</v>
      </c>
      <c r="AK6506" s="306" t="str">
        <f>IF(ISNUMBER(Table1[[#This Row],[FECHA DE RECIBIDO]]), Table1[[#This Row],[FECHA DE RECIBIDO]]-DATE(2023,8,30), "")</f>
        <v/>
      </c>
    </row>
    <row r="6507" spans="1:37" ht="16.05" customHeight="1">
      <c r="A6507" s="197" t="s">
        <v>5391</v>
      </c>
      <c r="B6507" s="198">
        <v>2320</v>
      </c>
      <c r="C6507" s="179" t="s">
        <v>3002</v>
      </c>
      <c r="D6507">
        <v>4446</v>
      </c>
      <c r="E6507" s="125" t="s">
        <v>3681</v>
      </c>
      <c r="F6507" s="178">
        <v>601</v>
      </c>
      <c r="G6507" s="178" t="s">
        <v>134</v>
      </c>
      <c r="H6507">
        <v>1029</v>
      </c>
      <c r="I6507" s="178" t="s">
        <v>1546</v>
      </c>
      <c r="J6507" s="320" t="s">
        <v>214</v>
      </c>
      <c r="K6507" s="178" t="s">
        <v>5325</v>
      </c>
      <c r="L6507" s="125" t="s">
        <v>1579</v>
      </c>
      <c r="M6507">
        <v>1436</v>
      </c>
      <c r="N6507" s="182">
        <v>17</v>
      </c>
      <c r="O6507">
        <v>4288</v>
      </c>
      <c r="P6507" s="176" t="s">
        <v>77</v>
      </c>
      <c r="Q6507" s="176">
        <v>819.83</v>
      </c>
      <c r="R6507" s="176">
        <v>131.16999999999999</v>
      </c>
      <c r="S6507" s="176"/>
      <c r="T6507" s="190"/>
      <c r="U6507" s="191"/>
      <c r="V6507" s="191">
        <f t="shared" si="71"/>
        <v>951</v>
      </c>
      <c r="W6507">
        <v>93</v>
      </c>
      <c r="X6507" s="186" t="s">
        <v>1644</v>
      </c>
      <c r="Y6507" s="187" t="s">
        <v>55</v>
      </c>
      <c r="Z6507" s="311" t="s">
        <v>214</v>
      </c>
      <c r="AB6507" t="str">
        <f>IF(Table1[[#This Row],[TIPO2]]="costo", VLOOKUP(Table1[[#This Row],[PARTIDA PRESUPUESTAL]],'Cost Report'!G:G,1,0),"Balance")</f>
        <v>4180-003</v>
      </c>
      <c r="AD6507" s="159">
        <f>+Table1[[#This Row],[SUBTOTAL]]+Table1[[#This Row],[IVA]]-Table1[[#This Row],[RET IVA]]-Table1[[#This Row],[RET ISR]]-Table1[[#This Row],[TOTAL]]</f>
        <v>0</v>
      </c>
      <c r="AG6507" t="s">
        <v>3420</v>
      </c>
      <c r="AK6507" s="306" t="str">
        <f>IF(ISNUMBER(Table1[[#This Row],[FECHA DE RECIBIDO]]), Table1[[#This Row],[FECHA DE RECIBIDO]]-DATE(2023,8,30), "")</f>
        <v/>
      </c>
    </row>
    <row r="6508" spans="1:37" ht="16.05" customHeight="1">
      <c r="A6508" s="197" t="s">
        <v>5391</v>
      </c>
      <c r="B6508" s="198">
        <v>2320</v>
      </c>
      <c r="C6508" s="179" t="s">
        <v>3002</v>
      </c>
      <c r="D6508">
        <v>4447</v>
      </c>
      <c r="E6508" s="125" t="s">
        <v>3681</v>
      </c>
      <c r="F6508" s="178">
        <v>601</v>
      </c>
      <c r="G6508" s="178" t="s">
        <v>134</v>
      </c>
      <c r="H6508">
        <v>1029</v>
      </c>
      <c r="I6508" s="178" t="s">
        <v>1546</v>
      </c>
      <c r="J6508" s="320" t="s">
        <v>214</v>
      </c>
      <c r="K6508" s="178" t="s">
        <v>5325</v>
      </c>
      <c r="L6508" s="125" t="s">
        <v>1579</v>
      </c>
      <c r="M6508">
        <v>1436</v>
      </c>
      <c r="N6508" s="182">
        <v>17</v>
      </c>
      <c r="O6508">
        <v>4288</v>
      </c>
      <c r="P6508" s="176" t="s">
        <v>77</v>
      </c>
      <c r="Q6508" s="176">
        <v>1095.69</v>
      </c>
      <c r="R6508" s="176">
        <v>175.31</v>
      </c>
      <c r="S6508" s="176"/>
      <c r="T6508" s="190"/>
      <c r="U6508" s="191"/>
      <c r="V6508" s="191">
        <f t="shared" si="71"/>
        <v>1271</v>
      </c>
      <c r="W6508">
        <v>93</v>
      </c>
      <c r="X6508" s="186" t="s">
        <v>1644</v>
      </c>
      <c r="Y6508" s="187" t="s">
        <v>55</v>
      </c>
      <c r="Z6508" s="311" t="s">
        <v>214</v>
      </c>
      <c r="AB6508" t="str">
        <f>IF(Table1[[#This Row],[TIPO2]]="costo", VLOOKUP(Table1[[#This Row],[PARTIDA PRESUPUESTAL]],'Cost Report'!G:G,1,0),"Balance")</f>
        <v>4180-003</v>
      </c>
      <c r="AD6508" s="159">
        <f>+Table1[[#This Row],[SUBTOTAL]]+Table1[[#This Row],[IVA]]-Table1[[#This Row],[RET IVA]]-Table1[[#This Row],[RET ISR]]-Table1[[#This Row],[TOTAL]]</f>
        <v>0</v>
      </c>
      <c r="AG6508" t="s">
        <v>3420</v>
      </c>
      <c r="AK6508" s="306" t="str">
        <f>IF(ISNUMBER(Table1[[#This Row],[FECHA DE RECIBIDO]]), Table1[[#This Row],[FECHA DE RECIBIDO]]-DATE(2023,8,30), "")</f>
        <v/>
      </c>
    </row>
    <row r="6509" spans="1:37" ht="16.05" customHeight="1">
      <c r="A6509" s="197" t="s">
        <v>5391</v>
      </c>
      <c r="B6509" s="198">
        <v>2320</v>
      </c>
      <c r="C6509" s="179" t="s">
        <v>3002</v>
      </c>
      <c r="D6509">
        <v>3623</v>
      </c>
      <c r="E6509" s="125"/>
      <c r="F6509" s="178"/>
      <c r="G6509" s="178"/>
      <c r="H6509"/>
      <c r="I6509" s="178"/>
      <c r="J6509" s="320" t="s">
        <v>214</v>
      </c>
      <c r="K6509" s="178" t="s">
        <v>5325</v>
      </c>
      <c r="L6509" s="125" t="s">
        <v>1579</v>
      </c>
      <c r="M6509">
        <v>1436</v>
      </c>
      <c r="N6509" s="182">
        <v>17</v>
      </c>
      <c r="O6509">
        <v>4288</v>
      </c>
      <c r="P6509" s="176" t="s">
        <v>77</v>
      </c>
      <c r="Q6509" s="176">
        <v>857</v>
      </c>
      <c r="R6509" s="176"/>
      <c r="S6509" s="176"/>
      <c r="T6509" s="190"/>
      <c r="U6509" s="191"/>
      <c r="V6509" s="191">
        <f t="shared" si="71"/>
        <v>857</v>
      </c>
      <c r="W6509">
        <v>93</v>
      </c>
      <c r="X6509" s="186" t="s">
        <v>1644</v>
      </c>
      <c r="Y6509" s="187" t="s">
        <v>55</v>
      </c>
      <c r="Z6509" s="311" t="s">
        <v>214</v>
      </c>
      <c r="AB6509" t="str">
        <f>IF(Table1[[#This Row],[TIPO2]]="costo", VLOOKUP(Table1[[#This Row],[PARTIDA PRESUPUESTAL]],'Cost Report'!G:G,1,0),"Balance")</f>
        <v>4180-003</v>
      </c>
      <c r="AD6509" s="159">
        <f>+Table1[[#This Row],[SUBTOTAL]]+Table1[[#This Row],[IVA]]-Table1[[#This Row],[RET IVA]]-Table1[[#This Row],[RET ISR]]-Table1[[#This Row],[TOTAL]]</f>
        <v>0</v>
      </c>
      <c r="AG6509" t="s">
        <v>3420</v>
      </c>
      <c r="AK6509" s="306" t="str">
        <f>IF(ISNUMBER(Table1[[#This Row],[FECHA DE RECIBIDO]]), Table1[[#This Row],[FECHA DE RECIBIDO]]-DATE(2023,8,30), "")</f>
        <v/>
      </c>
    </row>
    <row r="6510" spans="1:37" ht="16.05" customHeight="1">
      <c r="A6510" s="197" t="s">
        <v>5392</v>
      </c>
      <c r="B6510" s="198">
        <v>2321</v>
      </c>
      <c r="C6510" s="179" t="s">
        <v>2953</v>
      </c>
      <c r="D6510">
        <v>130</v>
      </c>
      <c r="E6510" s="125" t="s">
        <v>1624</v>
      </c>
      <c r="F6510" s="178">
        <v>601</v>
      </c>
      <c r="G6510" s="178" t="s">
        <v>134</v>
      </c>
      <c r="H6510">
        <v>46</v>
      </c>
      <c r="I6510" s="178" t="s">
        <v>1546</v>
      </c>
      <c r="J6510" s="320" t="s">
        <v>214</v>
      </c>
      <c r="K6510" s="178" t="s">
        <v>5325</v>
      </c>
      <c r="L6510" s="125" t="s">
        <v>1579</v>
      </c>
      <c r="M6510">
        <v>58</v>
      </c>
      <c r="N6510" s="182">
        <v>17</v>
      </c>
      <c r="O6510">
        <v>4289</v>
      </c>
      <c r="P6510" s="176" t="s">
        <v>77</v>
      </c>
      <c r="Q6510" s="176">
        <v>3338.24</v>
      </c>
      <c r="R6510" s="176">
        <v>354.25</v>
      </c>
      <c r="S6510" s="176"/>
      <c r="T6510" s="190"/>
      <c r="U6510" s="191"/>
      <c r="V6510" s="191">
        <f t="shared" si="71"/>
        <v>3692.49</v>
      </c>
      <c r="W6510">
        <v>93</v>
      </c>
      <c r="X6510" s="186" t="s">
        <v>1644</v>
      </c>
      <c r="Y6510" s="187" t="s">
        <v>55</v>
      </c>
      <c r="Z6510" s="311">
        <v>307</v>
      </c>
      <c r="AB6510" t="str">
        <f>IF(Table1[[#This Row],[TIPO2]]="costo", VLOOKUP(Table1[[#This Row],[PARTIDA PRESUPUESTAL]],'Cost Report'!G:G,1,0),"Balance")</f>
        <v>3901-049</v>
      </c>
      <c r="AD6510" s="159">
        <f>+Table1[[#This Row],[SUBTOTAL]]+Table1[[#This Row],[IVA]]-Table1[[#This Row],[RET IVA]]-Table1[[#This Row],[RET ISR]]-Table1[[#This Row],[TOTAL]]</f>
        <v>0</v>
      </c>
      <c r="AG6510" t="s">
        <v>3420</v>
      </c>
      <c r="AK6510" s="306" t="str">
        <f>IF(ISNUMBER(Table1[[#This Row],[FECHA DE RECIBIDO]]), Table1[[#This Row],[FECHA DE RECIBIDO]]-DATE(2023,8,30), "")</f>
        <v/>
      </c>
    </row>
    <row r="6511" spans="1:37" ht="16.05" customHeight="1">
      <c r="A6511" s="197" t="s">
        <v>5392</v>
      </c>
      <c r="B6511" s="198">
        <v>2321</v>
      </c>
      <c r="C6511" s="179" t="s">
        <v>2953</v>
      </c>
      <c r="D6511">
        <v>4448</v>
      </c>
      <c r="E6511" s="125" t="s">
        <v>1624</v>
      </c>
      <c r="F6511" s="178">
        <v>601</v>
      </c>
      <c r="G6511" s="178" t="s">
        <v>134</v>
      </c>
      <c r="H6511">
        <v>46</v>
      </c>
      <c r="I6511" s="178" t="s">
        <v>1546</v>
      </c>
      <c r="J6511" s="320" t="s">
        <v>214</v>
      </c>
      <c r="K6511" s="178" t="s">
        <v>5325</v>
      </c>
      <c r="L6511" s="125" t="s">
        <v>1579</v>
      </c>
      <c r="M6511">
        <v>58</v>
      </c>
      <c r="N6511" s="182">
        <v>17</v>
      </c>
      <c r="O6511">
        <v>4290</v>
      </c>
      <c r="P6511" s="176" t="s">
        <v>77</v>
      </c>
      <c r="Q6511" s="176">
        <v>2434.81</v>
      </c>
      <c r="R6511" s="176">
        <v>292.10000000000002</v>
      </c>
      <c r="S6511" s="176"/>
      <c r="T6511" s="190"/>
      <c r="U6511" s="191"/>
      <c r="V6511" s="191">
        <f t="shared" si="71"/>
        <v>2726.91</v>
      </c>
      <c r="W6511">
        <v>93</v>
      </c>
      <c r="X6511" s="186" t="s">
        <v>1644</v>
      </c>
      <c r="Y6511" s="187" t="s">
        <v>55</v>
      </c>
      <c r="Z6511" s="311" t="s">
        <v>214</v>
      </c>
      <c r="AB6511" t="str">
        <f>IF(Table1[[#This Row],[TIPO2]]="costo", VLOOKUP(Table1[[#This Row],[PARTIDA PRESUPUESTAL]],'Cost Report'!G:G,1,0),"Balance")</f>
        <v>3901-049</v>
      </c>
      <c r="AD6511" s="159">
        <f>+Table1[[#This Row],[SUBTOTAL]]+Table1[[#This Row],[IVA]]-Table1[[#This Row],[RET IVA]]-Table1[[#This Row],[RET ISR]]-Table1[[#This Row],[TOTAL]]</f>
        <v>0</v>
      </c>
      <c r="AG6511" t="s">
        <v>3420</v>
      </c>
      <c r="AK6511" s="306" t="str">
        <f>IF(ISNUMBER(Table1[[#This Row],[FECHA DE RECIBIDO]]), Table1[[#This Row],[FECHA DE RECIBIDO]]-DATE(2023,8,30), "")</f>
        <v/>
      </c>
    </row>
    <row r="6512" spans="1:37" ht="16.05" customHeight="1">
      <c r="A6512" s="197" t="s">
        <v>5392</v>
      </c>
      <c r="B6512" s="198">
        <v>2321</v>
      </c>
      <c r="C6512" s="179" t="s">
        <v>2953</v>
      </c>
      <c r="D6512">
        <v>4449</v>
      </c>
      <c r="E6512" s="125" t="s">
        <v>1624</v>
      </c>
      <c r="F6512" s="178">
        <v>601</v>
      </c>
      <c r="G6512" s="178" t="s">
        <v>134</v>
      </c>
      <c r="H6512">
        <v>46</v>
      </c>
      <c r="I6512" s="178" t="s">
        <v>1546</v>
      </c>
      <c r="J6512" s="320" t="s">
        <v>214</v>
      </c>
      <c r="K6512" s="178" t="s">
        <v>5325</v>
      </c>
      <c r="L6512" s="125" t="s">
        <v>1579</v>
      </c>
      <c r="M6512">
        <v>58</v>
      </c>
      <c r="N6512" s="182">
        <v>17</v>
      </c>
      <c r="O6512">
        <v>4291</v>
      </c>
      <c r="P6512" s="176" t="s">
        <v>77</v>
      </c>
      <c r="Q6512" s="176">
        <v>2699.89</v>
      </c>
      <c r="R6512" s="176">
        <v>298.25</v>
      </c>
      <c r="S6512" s="176"/>
      <c r="T6512" s="190"/>
      <c r="U6512" s="191"/>
      <c r="V6512" s="191">
        <f t="shared" si="71"/>
        <v>2998.14</v>
      </c>
      <c r="W6512">
        <v>93</v>
      </c>
      <c r="X6512" s="186" t="s">
        <v>1644</v>
      </c>
      <c r="Y6512" s="187" t="s">
        <v>55</v>
      </c>
      <c r="Z6512" s="311" t="s">
        <v>214</v>
      </c>
      <c r="AB6512" t="str">
        <f>IF(Table1[[#This Row],[TIPO2]]="costo", VLOOKUP(Table1[[#This Row],[PARTIDA PRESUPUESTAL]],'Cost Report'!G:G,1,0),"Balance")</f>
        <v>3901-049</v>
      </c>
      <c r="AD6512" s="159">
        <f>+Table1[[#This Row],[SUBTOTAL]]+Table1[[#This Row],[IVA]]-Table1[[#This Row],[RET IVA]]-Table1[[#This Row],[RET ISR]]-Table1[[#This Row],[TOTAL]]</f>
        <v>0</v>
      </c>
      <c r="AG6512" t="s">
        <v>3420</v>
      </c>
      <c r="AK6512" s="306" t="str">
        <f>IF(ISNUMBER(Table1[[#This Row],[FECHA DE RECIBIDO]]), Table1[[#This Row],[FECHA DE RECIBIDO]]-DATE(2023,8,30), "")</f>
        <v/>
      </c>
    </row>
    <row r="6513" spans="1:37" ht="16.05" customHeight="1">
      <c r="A6513" s="197" t="s">
        <v>5392</v>
      </c>
      <c r="B6513" s="198">
        <v>2321</v>
      </c>
      <c r="C6513" s="179" t="s">
        <v>2953</v>
      </c>
      <c r="D6513">
        <v>4450</v>
      </c>
      <c r="E6513" s="125" t="s">
        <v>1624</v>
      </c>
      <c r="F6513" s="178">
        <v>601</v>
      </c>
      <c r="G6513" s="178" t="s">
        <v>134</v>
      </c>
      <c r="H6513">
        <v>46</v>
      </c>
      <c r="I6513" s="178" t="s">
        <v>1546</v>
      </c>
      <c r="J6513" s="320" t="s">
        <v>214</v>
      </c>
      <c r="K6513" s="178" t="s">
        <v>5325</v>
      </c>
      <c r="L6513" s="125" t="s">
        <v>1579</v>
      </c>
      <c r="M6513">
        <v>58</v>
      </c>
      <c r="N6513" s="182">
        <v>17</v>
      </c>
      <c r="O6513">
        <v>4291</v>
      </c>
      <c r="P6513" s="176" t="s">
        <v>77</v>
      </c>
      <c r="Q6513" s="176">
        <v>3972.13</v>
      </c>
      <c r="R6513" s="176">
        <v>457.6</v>
      </c>
      <c r="S6513" s="176"/>
      <c r="T6513" s="190"/>
      <c r="U6513" s="191"/>
      <c r="V6513" s="191">
        <f t="shared" si="71"/>
        <v>4429.7300000000005</v>
      </c>
      <c r="W6513">
        <v>93</v>
      </c>
      <c r="X6513" s="186" t="s">
        <v>1644</v>
      </c>
      <c r="Y6513" s="187" t="s">
        <v>55</v>
      </c>
      <c r="Z6513" s="311">
        <v>128</v>
      </c>
      <c r="AB6513" t="str">
        <f>IF(Table1[[#This Row],[TIPO2]]="costo", VLOOKUP(Table1[[#This Row],[PARTIDA PRESUPUESTAL]],'Cost Report'!G:G,1,0),"Balance")</f>
        <v>3901-049</v>
      </c>
      <c r="AD6513" s="159">
        <f>+Table1[[#This Row],[SUBTOTAL]]+Table1[[#This Row],[IVA]]-Table1[[#This Row],[RET IVA]]-Table1[[#This Row],[RET ISR]]-Table1[[#This Row],[TOTAL]]</f>
        <v>0</v>
      </c>
      <c r="AG6513" t="s">
        <v>3420</v>
      </c>
      <c r="AK6513" s="306" t="str">
        <f>IF(ISNUMBER(Table1[[#This Row],[FECHA DE RECIBIDO]]), Table1[[#This Row],[FECHA DE RECIBIDO]]-DATE(2023,8,30), "")</f>
        <v/>
      </c>
    </row>
    <row r="6514" spans="1:37" ht="16.05" customHeight="1">
      <c r="A6514" s="197" t="s">
        <v>5392</v>
      </c>
      <c r="B6514" s="198">
        <v>2321</v>
      </c>
      <c r="C6514" s="179" t="s">
        <v>2953</v>
      </c>
      <c r="D6514">
        <v>4451</v>
      </c>
      <c r="E6514" s="125" t="s">
        <v>1624</v>
      </c>
      <c r="F6514" s="178">
        <v>601</v>
      </c>
      <c r="G6514" s="178" t="s">
        <v>134</v>
      </c>
      <c r="H6514">
        <v>46</v>
      </c>
      <c r="I6514" s="178" t="s">
        <v>1546</v>
      </c>
      <c r="J6514" s="320" t="s">
        <v>214</v>
      </c>
      <c r="K6514" s="178" t="s">
        <v>5325</v>
      </c>
      <c r="L6514" s="125" t="s">
        <v>1579</v>
      </c>
      <c r="M6514">
        <v>58</v>
      </c>
      <c r="N6514" s="182">
        <v>17</v>
      </c>
      <c r="O6514">
        <v>4292</v>
      </c>
      <c r="P6514" s="176" t="s">
        <v>77</v>
      </c>
      <c r="Q6514" s="176">
        <v>6471.9</v>
      </c>
      <c r="R6514" s="176">
        <v>857.76</v>
      </c>
      <c r="S6514" s="176"/>
      <c r="T6514" s="190"/>
      <c r="U6514" s="191"/>
      <c r="V6514" s="191">
        <f t="shared" si="71"/>
        <v>7329.66</v>
      </c>
      <c r="W6514">
        <v>93</v>
      </c>
      <c r="X6514" s="186" t="s">
        <v>1644</v>
      </c>
      <c r="Y6514" s="187" t="s">
        <v>55</v>
      </c>
      <c r="Z6514" s="311">
        <v>219</v>
      </c>
      <c r="AB6514" t="str">
        <f>IF(Table1[[#This Row],[TIPO2]]="costo", VLOOKUP(Table1[[#This Row],[PARTIDA PRESUPUESTAL]],'Cost Report'!G:G,1,0),"Balance")</f>
        <v>3901-049</v>
      </c>
      <c r="AD6514" s="159">
        <f>+Table1[[#This Row],[SUBTOTAL]]+Table1[[#This Row],[IVA]]-Table1[[#This Row],[RET IVA]]-Table1[[#This Row],[RET ISR]]-Table1[[#This Row],[TOTAL]]</f>
        <v>0</v>
      </c>
      <c r="AG6514" t="s">
        <v>3420</v>
      </c>
      <c r="AK6514" s="306" t="str">
        <f>IF(ISNUMBER(Table1[[#This Row],[FECHA DE RECIBIDO]]), Table1[[#This Row],[FECHA DE RECIBIDO]]-DATE(2023,8,30), "")</f>
        <v/>
      </c>
    </row>
    <row r="6515" spans="1:37" ht="16.05" customHeight="1">
      <c r="A6515" s="197" t="s">
        <v>5393</v>
      </c>
      <c r="B6515" s="198">
        <v>2322</v>
      </c>
      <c r="C6515" s="179" t="s">
        <v>2352</v>
      </c>
      <c r="D6515">
        <v>4452</v>
      </c>
      <c r="E6515" s="125" t="s">
        <v>2067</v>
      </c>
      <c r="F6515" s="178">
        <v>601</v>
      </c>
      <c r="G6515" s="178" t="s">
        <v>134</v>
      </c>
      <c r="H6515">
        <v>136</v>
      </c>
      <c r="I6515" s="178" t="s">
        <v>1546</v>
      </c>
      <c r="J6515" s="320" t="s">
        <v>214</v>
      </c>
      <c r="K6515" s="178" t="s">
        <v>5325</v>
      </c>
      <c r="L6515" s="125" t="s">
        <v>1579</v>
      </c>
      <c r="M6515">
        <v>178</v>
      </c>
      <c r="N6515" s="182">
        <v>17</v>
      </c>
      <c r="O6515">
        <v>4293</v>
      </c>
      <c r="P6515" s="176" t="s">
        <v>77</v>
      </c>
      <c r="Q6515" s="176">
        <v>259.48</v>
      </c>
      <c r="R6515" s="176">
        <v>41.52</v>
      </c>
      <c r="S6515" s="176"/>
      <c r="T6515" s="190"/>
      <c r="U6515" s="191"/>
      <c r="V6515" s="191">
        <f t="shared" si="71"/>
        <v>301</v>
      </c>
      <c r="W6515">
        <v>225</v>
      </c>
      <c r="X6515" s="186" t="s">
        <v>1644</v>
      </c>
      <c r="Y6515" s="187" t="s">
        <v>55</v>
      </c>
      <c r="Z6515" s="311" t="s">
        <v>214</v>
      </c>
      <c r="AB6515" t="str">
        <f>IF(Table1[[#This Row],[TIPO2]]="costo", VLOOKUP(Table1[[#This Row],[PARTIDA PRESUPUESTAL]],'Cost Report'!G:G,1,0),"Balance")</f>
        <v>1640-009</v>
      </c>
      <c r="AD6515" s="159">
        <f>+Table1[[#This Row],[SUBTOTAL]]+Table1[[#This Row],[IVA]]-Table1[[#This Row],[RET IVA]]-Table1[[#This Row],[RET ISR]]-Table1[[#This Row],[TOTAL]]</f>
        <v>0</v>
      </c>
      <c r="AG6515" t="s">
        <v>3420</v>
      </c>
      <c r="AK6515" s="306" t="str">
        <f>IF(ISNUMBER(Table1[[#This Row],[FECHA DE RECIBIDO]]), Table1[[#This Row],[FECHA DE RECIBIDO]]-DATE(2023,8,30), "")</f>
        <v/>
      </c>
    </row>
    <row r="6516" spans="1:37" ht="16.05" customHeight="1">
      <c r="A6516" s="197" t="s">
        <v>5393</v>
      </c>
      <c r="B6516" s="198">
        <v>2322</v>
      </c>
      <c r="C6516" s="179" t="s">
        <v>2352</v>
      </c>
      <c r="D6516">
        <v>4453</v>
      </c>
      <c r="E6516" s="125" t="s">
        <v>2067</v>
      </c>
      <c r="F6516" s="178">
        <v>601</v>
      </c>
      <c r="G6516" s="178" t="s">
        <v>134</v>
      </c>
      <c r="H6516">
        <v>136</v>
      </c>
      <c r="I6516" s="178" t="s">
        <v>1546</v>
      </c>
      <c r="J6516" s="320" t="s">
        <v>214</v>
      </c>
      <c r="K6516" s="178" t="s">
        <v>5325</v>
      </c>
      <c r="L6516" s="125" t="s">
        <v>1579</v>
      </c>
      <c r="M6516">
        <v>178</v>
      </c>
      <c r="N6516" s="182">
        <v>17</v>
      </c>
      <c r="O6516">
        <v>4293</v>
      </c>
      <c r="P6516" s="176" t="s">
        <v>77</v>
      </c>
      <c r="Q6516" s="176">
        <v>259.48</v>
      </c>
      <c r="R6516" s="176">
        <v>41.52</v>
      </c>
      <c r="S6516" s="176"/>
      <c r="T6516" s="190"/>
      <c r="U6516" s="191"/>
      <c r="V6516" s="191">
        <f t="shared" si="71"/>
        <v>301</v>
      </c>
      <c r="W6516">
        <v>225</v>
      </c>
      <c r="X6516" s="186" t="s">
        <v>1644</v>
      </c>
      <c r="Y6516" s="187" t="s">
        <v>55</v>
      </c>
      <c r="Z6516" s="311" t="s">
        <v>214</v>
      </c>
      <c r="AB6516" t="str">
        <f>IF(Table1[[#This Row],[TIPO2]]="costo", VLOOKUP(Table1[[#This Row],[PARTIDA PRESUPUESTAL]],'Cost Report'!G:G,1,0),"Balance")</f>
        <v>1640-009</v>
      </c>
      <c r="AD6516" s="159">
        <f>+Table1[[#This Row],[SUBTOTAL]]+Table1[[#This Row],[IVA]]-Table1[[#This Row],[RET IVA]]-Table1[[#This Row],[RET ISR]]-Table1[[#This Row],[TOTAL]]</f>
        <v>0</v>
      </c>
      <c r="AG6516" t="s">
        <v>3420</v>
      </c>
      <c r="AK6516" s="306" t="str">
        <f>IF(ISNUMBER(Table1[[#This Row],[FECHA DE RECIBIDO]]), Table1[[#This Row],[FECHA DE RECIBIDO]]-DATE(2023,8,30), "")</f>
        <v/>
      </c>
    </row>
    <row r="6517" spans="1:37" ht="16.05" customHeight="1">
      <c r="A6517" s="197" t="s">
        <v>5394</v>
      </c>
      <c r="B6517" s="198">
        <v>2323</v>
      </c>
      <c r="C6517" s="179" t="s">
        <v>3415</v>
      </c>
      <c r="D6517">
        <v>4454</v>
      </c>
      <c r="E6517" s="125" t="s">
        <v>3670</v>
      </c>
      <c r="F6517" s="178">
        <v>601</v>
      </c>
      <c r="G6517" s="178" t="s">
        <v>134</v>
      </c>
      <c r="H6517">
        <v>319</v>
      </c>
      <c r="I6517" s="178" t="s">
        <v>1546</v>
      </c>
      <c r="J6517" s="320" t="s">
        <v>214</v>
      </c>
      <c r="K6517" s="178" t="s">
        <v>5325</v>
      </c>
      <c r="L6517" s="125" t="s">
        <v>1579</v>
      </c>
      <c r="M6517">
        <v>424</v>
      </c>
      <c r="N6517" s="182">
        <v>17</v>
      </c>
      <c r="O6517">
        <v>4294</v>
      </c>
      <c r="P6517" s="176" t="s">
        <v>77</v>
      </c>
      <c r="Q6517" s="176">
        <v>933.62</v>
      </c>
      <c r="R6517" s="176">
        <v>149.38</v>
      </c>
      <c r="S6517" s="176"/>
      <c r="T6517" s="190"/>
      <c r="U6517" s="191"/>
      <c r="V6517" s="191">
        <f t="shared" si="71"/>
        <v>1083</v>
      </c>
      <c r="W6517">
        <v>93</v>
      </c>
      <c r="X6517" s="186" t="s">
        <v>1644</v>
      </c>
      <c r="Y6517" s="187" t="s">
        <v>55</v>
      </c>
      <c r="Z6517" s="311" t="s">
        <v>214</v>
      </c>
      <c r="AB6517" t="str">
        <f>IF(Table1[[#This Row],[TIPO2]]="costo", VLOOKUP(Table1[[#This Row],[PARTIDA PRESUPUESTAL]],'Cost Report'!G:G,1,0),"Balance")</f>
        <v>3629-006</v>
      </c>
      <c r="AD6517" s="159">
        <f>+Table1[[#This Row],[SUBTOTAL]]+Table1[[#This Row],[IVA]]-Table1[[#This Row],[RET IVA]]-Table1[[#This Row],[RET ISR]]-Table1[[#This Row],[TOTAL]]</f>
        <v>0</v>
      </c>
      <c r="AG6517" t="s">
        <v>3420</v>
      </c>
      <c r="AK6517" s="306" t="str">
        <f>IF(ISNUMBER(Table1[[#This Row],[FECHA DE RECIBIDO]]), Table1[[#This Row],[FECHA DE RECIBIDO]]-DATE(2023,8,30), "")</f>
        <v/>
      </c>
    </row>
    <row r="6518" spans="1:37" ht="16.05" customHeight="1">
      <c r="A6518" s="197" t="s">
        <v>5394</v>
      </c>
      <c r="B6518" s="198">
        <v>2323</v>
      </c>
      <c r="C6518" s="179" t="s">
        <v>3415</v>
      </c>
      <c r="D6518">
        <v>4455</v>
      </c>
      <c r="E6518" s="125" t="s">
        <v>3794</v>
      </c>
      <c r="F6518" s="178">
        <v>603</v>
      </c>
      <c r="G6518" s="178" t="s">
        <v>2065</v>
      </c>
      <c r="H6518">
        <v>469</v>
      </c>
      <c r="I6518" s="178" t="s">
        <v>1546</v>
      </c>
      <c r="J6518" s="320" t="s">
        <v>214</v>
      </c>
      <c r="K6518" s="178" t="s">
        <v>5325</v>
      </c>
      <c r="L6518" s="125" t="s">
        <v>1579</v>
      </c>
      <c r="M6518">
        <v>659</v>
      </c>
      <c r="N6518" s="182">
        <v>17</v>
      </c>
      <c r="O6518">
        <v>4294</v>
      </c>
      <c r="P6518" s="176" t="s">
        <v>77</v>
      </c>
      <c r="Q6518" s="176">
        <v>229.32</v>
      </c>
      <c r="R6518" s="176">
        <v>36.68</v>
      </c>
      <c r="S6518" s="176"/>
      <c r="T6518" s="190"/>
      <c r="U6518" s="191"/>
      <c r="V6518" s="191">
        <f t="shared" si="71"/>
        <v>266</v>
      </c>
      <c r="W6518">
        <v>93</v>
      </c>
      <c r="X6518" s="186" t="s">
        <v>1644</v>
      </c>
      <c r="Y6518" s="187" t="s">
        <v>55</v>
      </c>
      <c r="Z6518" s="311" t="s">
        <v>214</v>
      </c>
      <c r="AB6518" t="str">
        <f>IF(Table1[[#This Row],[TIPO2]]="costo", VLOOKUP(Table1[[#This Row],[PARTIDA PRESUPUESTAL]],'Cost Report'!G:G,1,0),"Balance")</f>
        <v>3629-006</v>
      </c>
      <c r="AD6518" s="159">
        <f>+Table1[[#This Row],[SUBTOTAL]]+Table1[[#This Row],[IVA]]-Table1[[#This Row],[RET IVA]]-Table1[[#This Row],[RET ISR]]-Table1[[#This Row],[TOTAL]]</f>
        <v>0</v>
      </c>
      <c r="AG6518" t="s">
        <v>3420</v>
      </c>
      <c r="AK6518" s="306" t="str">
        <f>IF(ISNUMBER(Table1[[#This Row],[FECHA DE RECIBIDO]]), Table1[[#This Row],[FECHA DE RECIBIDO]]-DATE(2023,8,30), "")</f>
        <v/>
      </c>
    </row>
    <row r="6519" spans="1:37">
      <c r="A6519" s="172"/>
      <c r="B6519" s="178"/>
      <c r="C6519" s="179" t="s">
        <v>71</v>
      </c>
      <c r="D6519"/>
      <c r="E6519" s="125"/>
      <c r="F6519" s="178"/>
      <c r="G6519" s="178"/>
      <c r="H6519"/>
      <c r="I6519" s="178"/>
      <c r="J6519" s="320" t="s">
        <v>214</v>
      </c>
      <c r="K6519" s="193" t="s">
        <v>5325</v>
      </c>
      <c r="L6519" s="125" t="s">
        <v>1643</v>
      </c>
      <c r="M6519">
        <v>1514</v>
      </c>
      <c r="N6519" s="182"/>
      <c r="O6519">
        <v>4295</v>
      </c>
      <c r="P6519" s="203" t="s">
        <v>78</v>
      </c>
      <c r="Q6519" s="176">
        <v>-33895.410000000003</v>
      </c>
      <c r="R6519" s="176"/>
      <c r="S6519" s="176"/>
      <c r="T6519" s="183">
        <v>0</v>
      </c>
      <c r="U6519" s="184"/>
      <c r="V6519" s="184">
        <f>+Q6519</f>
        <v>-33895.410000000003</v>
      </c>
      <c r="W6519"/>
      <c r="X6519" s="186"/>
      <c r="Y6519" s="187"/>
      <c r="Z6519" s="311" t="s">
        <v>214</v>
      </c>
      <c r="AB6519" t="str">
        <f>IF(Table1[[#This Row],[TIPO2]]="costo", VLOOKUP(Table1[[#This Row],[PARTIDA PRESUPUESTAL]],'Cost Report'!G:G,1,0),"Balance")</f>
        <v>Balance</v>
      </c>
      <c r="AD6519" s="159">
        <f>+Table1[[#This Row],[SUBTOTAL]]+Table1[[#This Row],[IVA]]-Table1[[#This Row],[RET IVA]]-Table1[[#This Row],[RET ISR]]-Table1[[#This Row],[TOTAL]]</f>
        <v>0</v>
      </c>
      <c r="AG6519" t="s">
        <v>3420</v>
      </c>
      <c r="AK6519" s="306" t="str">
        <f>IF(ISNUMBER(Table1[[#This Row],[FECHA DE RECIBIDO]]), Table1[[#This Row],[FECHA DE RECIBIDO]]-DATE(2023,8,30), "")</f>
        <v/>
      </c>
    </row>
    <row r="6520" spans="1:37">
      <c r="A6520" s="172"/>
      <c r="B6520" s="178"/>
      <c r="C6520" s="179" t="s">
        <v>3102</v>
      </c>
      <c r="D6520"/>
      <c r="E6520" s="125"/>
      <c r="F6520" s="178"/>
      <c r="G6520" s="178"/>
      <c r="H6520"/>
      <c r="I6520" s="178"/>
      <c r="J6520" s="320" t="s">
        <v>214</v>
      </c>
      <c r="K6520" s="193" t="s">
        <v>5325</v>
      </c>
      <c r="L6520" s="125" t="s">
        <v>4317</v>
      </c>
      <c r="M6520">
        <v>7</v>
      </c>
      <c r="N6520" s="182"/>
      <c r="O6520">
        <v>4296</v>
      </c>
      <c r="P6520" s="176" t="s">
        <v>77</v>
      </c>
      <c r="Q6520" s="176">
        <f>570-0.14</f>
        <v>569.86</v>
      </c>
      <c r="R6520" s="176">
        <f>+Q6520*0.16</f>
        <v>91.177599999999998</v>
      </c>
      <c r="S6520" s="176"/>
      <c r="T6520" s="183">
        <v>0</v>
      </c>
      <c r="U6520" s="184"/>
      <c r="V6520" s="184">
        <f>+Q6520+R6520</f>
        <v>661.0376</v>
      </c>
      <c r="W6520"/>
      <c r="X6520" s="186"/>
      <c r="Y6520" s="187"/>
      <c r="Z6520" s="311" t="s">
        <v>214</v>
      </c>
      <c r="AB6520" t="s">
        <v>3102</v>
      </c>
      <c r="AD6520" s="159">
        <v>0</v>
      </c>
      <c r="AK6520" s="306" t="str">
        <f>IF(ISNUMBER(Table1[[#This Row],[FECHA DE RECIBIDO]]), Table1[[#This Row],[FECHA DE RECIBIDO]]-DATE(2023,8,30), "")</f>
        <v/>
      </c>
    </row>
    <row r="6521" spans="1:37" ht="16.05" customHeight="1">
      <c r="A6521" s="172" t="s">
        <v>5397</v>
      </c>
      <c r="B6521" s="178">
        <v>2324</v>
      </c>
      <c r="C6521" s="179" t="s">
        <v>2437</v>
      </c>
      <c r="D6521">
        <v>4456</v>
      </c>
      <c r="E6521" s="125" t="s">
        <v>3165</v>
      </c>
      <c r="F6521" s="178">
        <v>612</v>
      </c>
      <c r="G6521" s="178" t="s">
        <v>129</v>
      </c>
      <c r="H6521">
        <v>198</v>
      </c>
      <c r="I6521" s="178" t="s">
        <v>1546</v>
      </c>
      <c r="J6521" s="320" t="s">
        <v>214</v>
      </c>
      <c r="K6521" s="178" t="s">
        <v>5428</v>
      </c>
      <c r="L6521" s="125" t="s">
        <v>110</v>
      </c>
      <c r="M6521">
        <v>263</v>
      </c>
      <c r="N6521" s="182">
        <v>63</v>
      </c>
      <c r="O6521">
        <v>4297</v>
      </c>
      <c r="P6521" s="176" t="s">
        <v>77</v>
      </c>
      <c r="Q6521" s="176">
        <v>8000</v>
      </c>
      <c r="R6521" s="176">
        <v>1280</v>
      </c>
      <c r="S6521" s="176"/>
      <c r="T6521" s="190">
        <v>853.33</v>
      </c>
      <c r="U6521" s="191">
        <v>800</v>
      </c>
      <c r="V6521" s="191">
        <v>7626.67</v>
      </c>
      <c r="W6521">
        <v>119</v>
      </c>
      <c r="X6521" s="186" t="s">
        <v>1429</v>
      </c>
      <c r="Y6521" s="187" t="s">
        <v>55</v>
      </c>
      <c r="Z6521" s="311">
        <v>299</v>
      </c>
      <c r="AB6521" t="str">
        <f>IF(Table1[[#This Row],[TIPO2]]="costo", VLOOKUP(Table1[[#This Row],[PARTIDA PRESUPUESTAL]],'Cost Report'!G:G,1,0),"Balance")</f>
        <v>2045-005</v>
      </c>
      <c r="AD6521" s="159">
        <f>+Table1[[#This Row],[SUBTOTAL]]+Table1[[#This Row],[IVA]]-Table1[[#This Row],[RET IVA]]-Table1[[#This Row],[RET ISR]]-Table1[[#This Row],[TOTAL]]</f>
        <v>0</v>
      </c>
      <c r="AK6521" s="306" t="str">
        <f>IF(ISNUMBER(Table1[[#This Row],[FECHA DE RECIBIDO]]), Table1[[#This Row],[FECHA DE RECIBIDO]]-DATE(2023,8,30), "")</f>
        <v/>
      </c>
    </row>
    <row r="6522" spans="1:37" ht="16.05" customHeight="1">
      <c r="A6522" s="172" t="s">
        <v>5398</v>
      </c>
      <c r="B6522" s="178">
        <v>2325</v>
      </c>
      <c r="C6522" s="179" t="s">
        <v>668</v>
      </c>
      <c r="D6522">
        <v>4457</v>
      </c>
      <c r="E6522" s="125">
        <v>44660</v>
      </c>
      <c r="F6522" s="178">
        <v>612</v>
      </c>
      <c r="G6522" s="178" t="s">
        <v>129</v>
      </c>
      <c r="H6522">
        <v>769</v>
      </c>
      <c r="I6522" s="178" t="s">
        <v>1546</v>
      </c>
      <c r="J6522" s="320">
        <v>285.6679050925959</v>
      </c>
      <c r="K6522" s="178" t="s">
        <v>5428</v>
      </c>
      <c r="L6522" s="125" t="s">
        <v>110</v>
      </c>
      <c r="M6522">
        <v>1072</v>
      </c>
      <c r="N6522" s="182">
        <v>181</v>
      </c>
      <c r="O6522">
        <v>4298</v>
      </c>
      <c r="P6522" s="176" t="s">
        <v>77</v>
      </c>
      <c r="Q6522" s="176">
        <v>10000</v>
      </c>
      <c r="R6522" s="176">
        <v>1600</v>
      </c>
      <c r="S6522" s="176"/>
      <c r="T6522" s="190">
        <v>1066.7</v>
      </c>
      <c r="U6522" s="191">
        <v>1000</v>
      </c>
      <c r="V6522" s="191">
        <v>9533.2999999999993</v>
      </c>
      <c r="W6522">
        <v>368</v>
      </c>
      <c r="X6522" s="186" t="s">
        <v>1430</v>
      </c>
      <c r="Y6522" s="187" t="s">
        <v>55</v>
      </c>
      <c r="Z6522" s="311">
        <v>300</v>
      </c>
      <c r="AB6522" t="str">
        <f>IF(Table1[[#This Row],[TIPO2]]="costo", VLOOKUP(Table1[[#This Row],[PARTIDA PRESUPUESTAL]],'Cost Report'!G:G,1,0),"Balance")</f>
        <v>2707-014</v>
      </c>
      <c r="AD6522" s="159">
        <f>+Table1[[#This Row],[SUBTOTAL]]+Table1[[#This Row],[IVA]]-Table1[[#This Row],[RET IVA]]-Table1[[#This Row],[RET ISR]]-Table1[[#This Row],[TOTAL]]</f>
        <v>0</v>
      </c>
      <c r="AK6522" s="306">
        <f>IF(ISNUMBER(Table1[[#This Row],[FECHA DE RECIBIDO]]), Table1[[#This Row],[FECHA DE RECIBIDO]]-DATE(2023,8,30), "")</f>
        <v>-44882.332094907404</v>
      </c>
    </row>
    <row r="6523" spans="1:37" ht="16.05" customHeight="1">
      <c r="A6523" s="172" t="s">
        <v>5399</v>
      </c>
      <c r="B6523" s="178">
        <v>2326</v>
      </c>
      <c r="C6523" s="179" t="s">
        <v>356</v>
      </c>
      <c r="D6523">
        <v>4458</v>
      </c>
      <c r="E6523" s="125">
        <v>45030</v>
      </c>
      <c r="F6523" s="178">
        <v>626</v>
      </c>
      <c r="G6523" s="178" t="s">
        <v>109</v>
      </c>
      <c r="H6523">
        <v>1086</v>
      </c>
      <c r="I6523" s="178" t="s">
        <v>1546</v>
      </c>
      <c r="J6523" s="320">
        <v>280.68803240740817</v>
      </c>
      <c r="K6523" s="178" t="s">
        <v>5428</v>
      </c>
      <c r="L6523" s="125" t="s">
        <v>110</v>
      </c>
      <c r="M6523">
        <v>1515</v>
      </c>
      <c r="N6523" s="182">
        <v>275</v>
      </c>
      <c r="O6523">
        <v>4299</v>
      </c>
      <c r="P6523" s="176" t="s">
        <v>77</v>
      </c>
      <c r="Q6523" s="176">
        <v>4285</v>
      </c>
      <c r="R6523" s="176">
        <v>685.6</v>
      </c>
      <c r="S6523" s="176"/>
      <c r="T6523" s="190">
        <v>457.07</v>
      </c>
      <c r="U6523" s="191">
        <v>53.56</v>
      </c>
      <c r="V6523" s="191">
        <v>4459.97</v>
      </c>
      <c r="W6523">
        <v>522</v>
      </c>
      <c r="X6523" s="186" t="s">
        <v>2024</v>
      </c>
      <c r="Y6523" s="187" t="s">
        <v>55</v>
      </c>
      <c r="Z6523" s="311">
        <v>300</v>
      </c>
      <c r="AB6523" t="str">
        <f>IF(Table1[[#This Row],[TIPO2]]="costo", VLOOKUP(Table1[[#This Row],[PARTIDA PRESUPUESTAL]],'Cost Report'!G:G,1,0),"Balance")</f>
        <v>1404-005</v>
      </c>
      <c r="AD6523" s="159">
        <f>+Table1[[#This Row],[SUBTOTAL]]+Table1[[#This Row],[IVA]]-Table1[[#This Row],[RET IVA]]-Table1[[#This Row],[RET ISR]]-Table1[[#This Row],[TOTAL]]</f>
        <v>0</v>
      </c>
      <c r="AK6523" s="306">
        <f>IF(ISNUMBER(Table1[[#This Row],[FECHA DE RECIBIDO]]), Table1[[#This Row],[FECHA DE RECIBIDO]]-DATE(2023,8,30), "")</f>
        <v>-44887.311967592592</v>
      </c>
    </row>
    <row r="6524" spans="1:37" ht="16.05" customHeight="1">
      <c r="A6524" s="172" t="s">
        <v>5400</v>
      </c>
      <c r="B6524" s="178">
        <v>2327</v>
      </c>
      <c r="C6524" s="179" t="s">
        <v>2453</v>
      </c>
      <c r="D6524">
        <v>4459</v>
      </c>
      <c r="E6524" s="125">
        <v>45019</v>
      </c>
      <c r="F6524" s="178">
        <v>626</v>
      </c>
      <c r="G6524" s="178" t="s">
        <v>109</v>
      </c>
      <c r="H6524">
        <v>110</v>
      </c>
      <c r="I6524" s="178" t="s">
        <v>1546</v>
      </c>
      <c r="J6524" s="320">
        <v>296.0573263888873</v>
      </c>
      <c r="K6524" s="178" t="s">
        <v>5428</v>
      </c>
      <c r="L6524" s="125" t="s">
        <v>110</v>
      </c>
      <c r="M6524">
        <v>148</v>
      </c>
      <c r="N6524" s="182">
        <v>40</v>
      </c>
      <c r="O6524">
        <v>4300</v>
      </c>
      <c r="P6524" s="176" t="s">
        <v>77</v>
      </c>
      <c r="Q6524" s="176">
        <v>2940</v>
      </c>
      <c r="R6524" s="176">
        <v>470.4</v>
      </c>
      <c r="S6524" s="176"/>
      <c r="T6524" s="190">
        <v>313.60000000000002</v>
      </c>
      <c r="U6524" s="191">
        <v>36.75</v>
      </c>
      <c r="V6524" s="191">
        <v>3060.05</v>
      </c>
      <c r="W6524">
        <v>72</v>
      </c>
      <c r="X6524" s="186" t="s">
        <v>1429</v>
      </c>
      <c r="Y6524" s="187" t="s">
        <v>55</v>
      </c>
      <c r="Z6524" s="311">
        <v>300</v>
      </c>
      <c r="AB6524" t="str">
        <f>IF(Table1[[#This Row],[TIPO2]]="costo", VLOOKUP(Table1[[#This Row],[PARTIDA PRESUPUESTAL]],'Cost Report'!G:G,1,0),"Balance")</f>
        <v>2206-017</v>
      </c>
      <c r="AD6524" s="159">
        <f>+Table1[[#This Row],[SUBTOTAL]]+Table1[[#This Row],[IVA]]-Table1[[#This Row],[RET IVA]]-Table1[[#This Row],[RET ISR]]-Table1[[#This Row],[TOTAL]]</f>
        <v>0</v>
      </c>
      <c r="AK6524" s="306">
        <f>IF(ISNUMBER(Table1[[#This Row],[FECHA DE RECIBIDO]]), Table1[[#This Row],[FECHA DE RECIBIDO]]-DATE(2023,8,30), "")</f>
        <v>-44871.942673611113</v>
      </c>
    </row>
    <row r="6525" spans="1:37" ht="16.05" customHeight="1">
      <c r="A6525" s="172" t="s">
        <v>5401</v>
      </c>
      <c r="B6525" s="178">
        <v>2328</v>
      </c>
      <c r="C6525" s="179" t="s">
        <v>2320</v>
      </c>
      <c r="D6525">
        <v>4460</v>
      </c>
      <c r="E6525" s="125">
        <v>66630</v>
      </c>
      <c r="F6525" s="178">
        <v>626</v>
      </c>
      <c r="G6525" s="178" t="s">
        <v>109</v>
      </c>
      <c r="H6525">
        <v>1087</v>
      </c>
      <c r="I6525" s="178" t="s">
        <v>1546</v>
      </c>
      <c r="J6525" s="320">
        <v>295.58398148148262</v>
      </c>
      <c r="K6525" s="178" t="s">
        <v>5428</v>
      </c>
      <c r="L6525" s="125" t="s">
        <v>110</v>
      </c>
      <c r="M6525">
        <v>1516</v>
      </c>
      <c r="N6525" s="182">
        <v>276</v>
      </c>
      <c r="O6525">
        <v>4301</v>
      </c>
      <c r="P6525" s="176" t="s">
        <v>77</v>
      </c>
      <c r="Q6525" s="176">
        <v>3300</v>
      </c>
      <c r="R6525" s="176">
        <v>528</v>
      </c>
      <c r="S6525" s="176"/>
      <c r="T6525" s="190">
        <v>352</v>
      </c>
      <c r="U6525" s="191">
        <v>41.25</v>
      </c>
      <c r="V6525" s="191">
        <v>3434.75</v>
      </c>
      <c r="W6525">
        <v>523</v>
      </c>
      <c r="X6525" s="186" t="s">
        <v>4209</v>
      </c>
      <c r="Y6525" s="187" t="s">
        <v>55</v>
      </c>
      <c r="Z6525" s="311">
        <v>300</v>
      </c>
      <c r="AB6525" t="str">
        <f>IF(Table1[[#This Row],[TIPO2]]="costo", VLOOKUP(Table1[[#This Row],[PARTIDA PRESUPUESTAL]],'Cost Report'!G:G,1,0),"Balance")</f>
        <v>1413-032</v>
      </c>
      <c r="AD6525" s="159">
        <f>+Table1[[#This Row],[SUBTOTAL]]+Table1[[#This Row],[IVA]]-Table1[[#This Row],[RET IVA]]-Table1[[#This Row],[RET ISR]]-Table1[[#This Row],[TOTAL]]</f>
        <v>0</v>
      </c>
      <c r="AK6525" s="306">
        <f>IF(ISNUMBER(Table1[[#This Row],[FECHA DE RECIBIDO]]), Table1[[#This Row],[FECHA DE RECIBIDO]]-DATE(2023,8,30), "")</f>
        <v>-44872.416018518517</v>
      </c>
    </row>
    <row r="6526" spans="1:37" ht="16.05" customHeight="1">
      <c r="A6526" s="172" t="s">
        <v>5402</v>
      </c>
      <c r="B6526" s="178">
        <v>2329</v>
      </c>
      <c r="C6526" s="179" t="s">
        <v>748</v>
      </c>
      <c r="D6526">
        <v>4461</v>
      </c>
      <c r="E6526" s="125">
        <v>56610</v>
      </c>
      <c r="F6526" s="178">
        <v>626</v>
      </c>
      <c r="G6526" s="178" t="s">
        <v>109</v>
      </c>
      <c r="H6526">
        <v>1088</v>
      </c>
      <c r="I6526" s="178" t="s">
        <v>1546</v>
      </c>
      <c r="J6526" s="320">
        <v>297.39870370370045</v>
      </c>
      <c r="K6526" s="178" t="s">
        <v>5428</v>
      </c>
      <c r="L6526" s="125" t="s">
        <v>110</v>
      </c>
      <c r="M6526">
        <v>1517</v>
      </c>
      <c r="N6526" s="182">
        <v>277</v>
      </c>
      <c r="O6526">
        <v>4302</v>
      </c>
      <c r="P6526" s="176" t="s">
        <v>77</v>
      </c>
      <c r="Q6526" s="176">
        <v>4771.6000000000004</v>
      </c>
      <c r="R6526" s="176">
        <v>763.46</v>
      </c>
      <c r="S6526" s="176"/>
      <c r="T6526" s="190">
        <v>508.97</v>
      </c>
      <c r="U6526" s="191">
        <v>59.65</v>
      </c>
      <c r="V6526" s="191">
        <v>4966.4400000000005</v>
      </c>
      <c r="W6526">
        <v>524</v>
      </c>
      <c r="X6526" s="186" t="s">
        <v>1434</v>
      </c>
      <c r="Y6526" s="187" t="s">
        <v>55</v>
      </c>
      <c r="Z6526" s="311">
        <v>300</v>
      </c>
      <c r="AB6526" t="str">
        <f>IF(Table1[[#This Row],[TIPO2]]="costo", VLOOKUP(Table1[[#This Row],[PARTIDA PRESUPUESTAL]],'Cost Report'!G:G,1,0),"Balance")</f>
        <v>3002-016</v>
      </c>
      <c r="AD6526" s="159">
        <f>+Table1[[#This Row],[SUBTOTAL]]+Table1[[#This Row],[IVA]]-Table1[[#This Row],[RET IVA]]-Table1[[#This Row],[RET ISR]]-Table1[[#This Row],[TOTAL]]</f>
        <v>0</v>
      </c>
      <c r="AK6526" s="306">
        <f>IF(ISNUMBER(Table1[[#This Row],[FECHA DE RECIBIDO]]), Table1[[#This Row],[FECHA DE RECIBIDO]]-DATE(2023,8,30), "")</f>
        <v>-44870.6012962963</v>
      </c>
    </row>
    <row r="6527" spans="1:37" ht="16.05" customHeight="1">
      <c r="A6527" s="172" t="s">
        <v>5403</v>
      </c>
      <c r="B6527" s="178">
        <v>2330</v>
      </c>
      <c r="C6527" s="179" t="s">
        <v>3002</v>
      </c>
      <c r="D6527">
        <v>4462</v>
      </c>
      <c r="E6527" s="125">
        <v>76908</v>
      </c>
      <c r="F6527" s="178">
        <v>612</v>
      </c>
      <c r="G6527" s="178" t="s">
        <v>129</v>
      </c>
      <c r="H6527">
        <v>1089</v>
      </c>
      <c r="I6527" s="178" t="s">
        <v>1546</v>
      </c>
      <c r="J6527" s="320">
        <v>279.74214120370016</v>
      </c>
      <c r="K6527" s="178" t="s">
        <v>5428</v>
      </c>
      <c r="L6527" s="125" t="s">
        <v>110</v>
      </c>
      <c r="M6527">
        <v>1518</v>
      </c>
      <c r="N6527" s="182">
        <v>278</v>
      </c>
      <c r="O6527">
        <v>4303</v>
      </c>
      <c r="P6527" s="176" t="s">
        <v>77</v>
      </c>
      <c r="Q6527" s="176">
        <v>1500</v>
      </c>
      <c r="R6527" s="176">
        <v>240</v>
      </c>
      <c r="S6527" s="176"/>
      <c r="T6527" s="190">
        <v>160</v>
      </c>
      <c r="U6527" s="191">
        <v>150</v>
      </c>
      <c r="V6527" s="191">
        <v>1430</v>
      </c>
      <c r="W6527">
        <v>525</v>
      </c>
      <c r="X6527" s="186" t="s">
        <v>1431</v>
      </c>
      <c r="Y6527" s="187" t="s">
        <v>55</v>
      </c>
      <c r="Z6527" s="311">
        <v>303</v>
      </c>
      <c r="AB6527" t="str">
        <f>IF(Table1[[#This Row],[TIPO2]]="costo", VLOOKUP(Table1[[#This Row],[PARTIDA PRESUPUESTAL]],'Cost Report'!G:G,1,0),"Balance")</f>
        <v>4180-003</v>
      </c>
      <c r="AD6527" s="159">
        <f>+Table1[[#This Row],[SUBTOTAL]]+Table1[[#This Row],[IVA]]-Table1[[#This Row],[RET IVA]]-Table1[[#This Row],[RET ISR]]-Table1[[#This Row],[TOTAL]]</f>
        <v>0</v>
      </c>
      <c r="AK6527" s="306">
        <f>IF(ISNUMBER(Table1[[#This Row],[FECHA DE RECIBIDO]]), Table1[[#This Row],[FECHA DE RECIBIDO]]-DATE(2023,8,30), "")</f>
        <v>-44888.2578587963</v>
      </c>
    </row>
    <row r="6528" spans="1:37" ht="16.05" customHeight="1">
      <c r="A6528" s="172" t="s">
        <v>5404</v>
      </c>
      <c r="B6528" s="178">
        <v>2331</v>
      </c>
      <c r="C6528" s="179" t="s">
        <v>2196</v>
      </c>
      <c r="D6528">
        <v>4463</v>
      </c>
      <c r="E6528" s="125">
        <v>45417</v>
      </c>
      <c r="F6528" s="178">
        <v>612</v>
      </c>
      <c r="G6528" s="178" t="s">
        <v>129</v>
      </c>
      <c r="H6528">
        <v>1090</v>
      </c>
      <c r="I6528" s="178" t="s">
        <v>1546</v>
      </c>
      <c r="J6528" s="320">
        <v>282.35752314814454</v>
      </c>
      <c r="K6528" s="178" t="s">
        <v>5428</v>
      </c>
      <c r="L6528" s="125" t="s">
        <v>110</v>
      </c>
      <c r="M6528">
        <v>1519</v>
      </c>
      <c r="N6528" s="182">
        <v>279</v>
      </c>
      <c r="O6528">
        <v>4304</v>
      </c>
      <c r="P6528" s="176" t="s">
        <v>77</v>
      </c>
      <c r="Q6528" s="176">
        <v>52800</v>
      </c>
      <c r="R6528" s="176">
        <v>8448</v>
      </c>
      <c r="S6528" s="176"/>
      <c r="T6528" s="190">
        <v>5632.02</v>
      </c>
      <c r="U6528" s="191">
        <v>5280</v>
      </c>
      <c r="V6528" s="191">
        <v>50335.979999999996</v>
      </c>
      <c r="W6528">
        <v>526</v>
      </c>
      <c r="X6528" s="186" t="s">
        <v>1430</v>
      </c>
      <c r="Y6528" s="187" t="s">
        <v>55</v>
      </c>
      <c r="Z6528" s="311">
        <v>303</v>
      </c>
      <c r="AB6528" t="str">
        <f>IF(Table1[[#This Row],[TIPO2]]="costo", VLOOKUP(Table1[[#This Row],[PARTIDA PRESUPUESTAL]],'Cost Report'!G:G,1,0),"Balance")</f>
        <v>1403-065</v>
      </c>
      <c r="AD6528" s="159">
        <f>+Table1[[#This Row],[SUBTOTAL]]+Table1[[#This Row],[IVA]]-Table1[[#This Row],[RET IVA]]-Table1[[#This Row],[RET ISR]]-Table1[[#This Row],[TOTAL]]</f>
        <v>0</v>
      </c>
      <c r="AK6528" s="306">
        <f>IF(ISNUMBER(Table1[[#This Row],[FECHA DE RECIBIDO]]), Table1[[#This Row],[FECHA DE RECIBIDO]]-DATE(2023,8,30), "")</f>
        <v>-44885.642476851855</v>
      </c>
    </row>
    <row r="6529" spans="1:37" ht="16.05" customHeight="1">
      <c r="A6529" s="172" t="s">
        <v>5405</v>
      </c>
      <c r="B6529" s="178">
        <v>2332</v>
      </c>
      <c r="C6529" s="179" t="s">
        <v>1712</v>
      </c>
      <c r="D6529">
        <v>4464</v>
      </c>
      <c r="E6529" s="125">
        <v>3440</v>
      </c>
      <c r="F6529" s="178">
        <v>612</v>
      </c>
      <c r="G6529" s="178" t="s">
        <v>129</v>
      </c>
      <c r="H6529">
        <v>1091</v>
      </c>
      <c r="I6529" s="178" t="s">
        <v>1546</v>
      </c>
      <c r="J6529" s="320">
        <v>281.32547453703592</v>
      </c>
      <c r="K6529" s="178" t="s">
        <v>5428</v>
      </c>
      <c r="L6529" s="125" t="s">
        <v>110</v>
      </c>
      <c r="M6529">
        <v>1520</v>
      </c>
      <c r="N6529" s="182">
        <v>280</v>
      </c>
      <c r="O6529">
        <v>4305</v>
      </c>
      <c r="P6529" s="176" t="s">
        <v>77</v>
      </c>
      <c r="Q6529" s="176">
        <v>4154</v>
      </c>
      <c r="R6529" s="176">
        <v>664.64</v>
      </c>
      <c r="S6529" s="176"/>
      <c r="T6529" s="190">
        <v>443.09</v>
      </c>
      <c r="U6529" s="191">
        <v>415.4</v>
      </c>
      <c r="V6529" s="191">
        <v>3960.15</v>
      </c>
      <c r="W6529">
        <v>527</v>
      </c>
      <c r="X6529" s="186" t="s">
        <v>1434</v>
      </c>
      <c r="Y6529" s="187" t="s">
        <v>55</v>
      </c>
      <c r="Z6529" s="311">
        <v>303</v>
      </c>
      <c r="AB6529" t="str">
        <f>IF(Table1[[#This Row],[TIPO2]]="costo", VLOOKUP(Table1[[#This Row],[PARTIDA PRESUPUESTAL]],'Cost Report'!G:G,1,0),"Balance")</f>
        <v>1411-007</v>
      </c>
      <c r="AD6529" s="159">
        <f>+Table1[[#This Row],[SUBTOTAL]]+Table1[[#This Row],[IVA]]-Table1[[#This Row],[RET IVA]]-Table1[[#This Row],[RET ISR]]-Table1[[#This Row],[TOTAL]]</f>
        <v>0</v>
      </c>
      <c r="AK6529" s="306">
        <f>IF(ISNUMBER(Table1[[#This Row],[FECHA DE RECIBIDO]]), Table1[[#This Row],[FECHA DE RECIBIDO]]-DATE(2023,8,30), "")</f>
        <v>-44886.674525462964</v>
      </c>
    </row>
    <row r="6530" spans="1:37" ht="16.05" customHeight="1">
      <c r="A6530" s="172" t="s">
        <v>5406</v>
      </c>
      <c r="B6530" s="178">
        <v>2333</v>
      </c>
      <c r="C6530" s="179" t="s">
        <v>1712</v>
      </c>
      <c r="D6530">
        <v>4465</v>
      </c>
      <c r="E6530" s="125">
        <v>3440</v>
      </c>
      <c r="F6530" s="178">
        <v>612</v>
      </c>
      <c r="G6530" s="178" t="s">
        <v>129</v>
      </c>
      <c r="H6530">
        <v>1091</v>
      </c>
      <c r="I6530" s="178" t="s">
        <v>1546</v>
      </c>
      <c r="J6530" s="320">
        <v>281.32715277777606</v>
      </c>
      <c r="K6530" s="178" t="s">
        <v>5428</v>
      </c>
      <c r="L6530" s="125" t="s">
        <v>110</v>
      </c>
      <c r="M6530">
        <v>1520</v>
      </c>
      <c r="N6530" s="182">
        <v>280</v>
      </c>
      <c r="O6530">
        <v>4306</v>
      </c>
      <c r="P6530" s="176" t="s">
        <v>77</v>
      </c>
      <c r="Q6530" s="176">
        <v>4154</v>
      </c>
      <c r="R6530" s="176">
        <v>664.64</v>
      </c>
      <c r="S6530" s="176"/>
      <c r="T6530" s="190">
        <v>443.09</v>
      </c>
      <c r="U6530" s="191">
        <v>415.4</v>
      </c>
      <c r="V6530" s="191">
        <v>3960.15</v>
      </c>
      <c r="W6530">
        <v>527</v>
      </c>
      <c r="X6530" s="186" t="s">
        <v>1434</v>
      </c>
      <c r="Y6530" s="187" t="s">
        <v>55</v>
      </c>
      <c r="Z6530" s="311">
        <v>303</v>
      </c>
      <c r="AB6530" t="str">
        <f>IF(Table1[[#This Row],[TIPO2]]="costo", VLOOKUP(Table1[[#This Row],[PARTIDA PRESUPUESTAL]],'Cost Report'!G:G,1,0),"Balance")</f>
        <v>1411-007</v>
      </c>
      <c r="AD6530" s="159">
        <f>+Table1[[#This Row],[SUBTOTAL]]+Table1[[#This Row],[IVA]]-Table1[[#This Row],[RET IVA]]-Table1[[#This Row],[RET ISR]]-Table1[[#This Row],[TOTAL]]</f>
        <v>0</v>
      </c>
      <c r="AK6530" s="306">
        <f>IF(ISNUMBER(Table1[[#This Row],[FECHA DE RECIBIDO]]), Table1[[#This Row],[FECHA DE RECIBIDO]]-DATE(2023,8,30), "")</f>
        <v>-44886.672847222224</v>
      </c>
    </row>
    <row r="6531" spans="1:37" ht="16.05" customHeight="1">
      <c r="A6531" s="172" t="s">
        <v>5407</v>
      </c>
      <c r="B6531" s="178">
        <v>2334</v>
      </c>
      <c r="C6531" s="179" t="s">
        <v>1840</v>
      </c>
      <c r="D6531">
        <v>4466</v>
      </c>
      <c r="E6531" s="125">
        <v>54614</v>
      </c>
      <c r="F6531" s="178">
        <v>626</v>
      </c>
      <c r="G6531" s="178" t="s">
        <v>109</v>
      </c>
      <c r="H6531">
        <v>358</v>
      </c>
      <c r="I6531" s="178" t="s">
        <v>1546</v>
      </c>
      <c r="J6531" s="320">
        <v>300.41555555555533</v>
      </c>
      <c r="K6531" s="178" t="s">
        <v>5428</v>
      </c>
      <c r="L6531" s="125" t="s">
        <v>110</v>
      </c>
      <c r="M6531">
        <v>476</v>
      </c>
      <c r="N6531" s="182">
        <v>100</v>
      </c>
      <c r="O6531">
        <v>4307</v>
      </c>
      <c r="P6531" s="176" t="s">
        <v>77</v>
      </c>
      <c r="Q6531" s="176">
        <v>5000</v>
      </c>
      <c r="R6531" s="176">
        <v>800</v>
      </c>
      <c r="S6531" s="176"/>
      <c r="T6531" s="190">
        <v>533.34</v>
      </c>
      <c r="U6531" s="191">
        <v>62.5</v>
      </c>
      <c r="V6531" s="191">
        <v>5204.16</v>
      </c>
      <c r="W6531">
        <v>195</v>
      </c>
      <c r="X6531" s="186" t="s">
        <v>1429</v>
      </c>
      <c r="Y6531" s="187" t="s">
        <v>55</v>
      </c>
      <c r="Z6531" s="311">
        <v>303</v>
      </c>
      <c r="AB6531" t="str">
        <f>IF(Table1[[#This Row],[TIPO2]]="costo", VLOOKUP(Table1[[#This Row],[PARTIDA PRESUPUESTAL]],'Cost Report'!G:G,1,0),"Balance")</f>
        <v>3145-025</v>
      </c>
      <c r="AD6531" s="159">
        <f>+Table1[[#This Row],[SUBTOTAL]]+Table1[[#This Row],[IVA]]-Table1[[#This Row],[RET IVA]]-Table1[[#This Row],[RET ISR]]-Table1[[#This Row],[TOTAL]]</f>
        <v>0</v>
      </c>
      <c r="AK6531" s="306">
        <f>IF(ISNUMBER(Table1[[#This Row],[FECHA DE RECIBIDO]]), Table1[[#This Row],[FECHA DE RECIBIDO]]-DATE(2023,8,30), "")</f>
        <v>-44867.584444444445</v>
      </c>
    </row>
    <row r="6532" spans="1:37" ht="16.05" customHeight="1">
      <c r="A6532" s="172" t="s">
        <v>5408</v>
      </c>
      <c r="B6532" s="178">
        <v>2335</v>
      </c>
      <c r="C6532" s="179" t="s">
        <v>3406</v>
      </c>
      <c r="D6532">
        <v>4467</v>
      </c>
      <c r="E6532" s="125">
        <v>3100</v>
      </c>
      <c r="F6532" s="178">
        <v>612</v>
      </c>
      <c r="G6532" s="178" t="s">
        <v>129</v>
      </c>
      <c r="H6532">
        <v>776</v>
      </c>
      <c r="I6532" s="178" t="s">
        <v>1546</v>
      </c>
      <c r="J6532" s="320">
        <v>300.70450231481664</v>
      </c>
      <c r="K6532" s="178" t="s">
        <v>5428</v>
      </c>
      <c r="L6532" s="125" t="s">
        <v>4782</v>
      </c>
      <c r="M6532">
        <v>1079</v>
      </c>
      <c r="N6532" s="182">
        <v>188</v>
      </c>
      <c r="O6532">
        <v>4308</v>
      </c>
      <c r="P6532" s="176" t="s">
        <v>77</v>
      </c>
      <c r="Q6532" s="176">
        <v>6480</v>
      </c>
      <c r="R6532" s="176">
        <v>1036.8</v>
      </c>
      <c r="S6532" s="176"/>
      <c r="T6532" s="190">
        <v>691.2</v>
      </c>
      <c r="U6532" s="191">
        <v>648</v>
      </c>
      <c r="V6532" s="191">
        <v>6177.6</v>
      </c>
      <c r="W6532">
        <v>375</v>
      </c>
      <c r="X6532" s="186" t="s">
        <v>1429</v>
      </c>
      <c r="Y6532" s="187" t="s">
        <v>55</v>
      </c>
      <c r="Z6532" s="311">
        <v>303</v>
      </c>
      <c r="AB6532" t="str">
        <f>IF(Table1[[#This Row],[TIPO2]]="costo", VLOOKUP(Table1[[#This Row],[PARTIDA PRESUPUESTAL]],'Cost Report'!G:G,1,0),"Balance")</f>
        <v>3101-013</v>
      </c>
      <c r="AD6532" s="159">
        <f>+Table1[[#This Row],[SUBTOTAL]]+Table1[[#This Row],[IVA]]-Table1[[#This Row],[RET IVA]]-Table1[[#This Row],[RET ISR]]-Table1[[#This Row],[TOTAL]]</f>
        <v>0</v>
      </c>
      <c r="AK6532" s="306">
        <f>IF(ISNUMBER(Table1[[#This Row],[FECHA DE RECIBIDO]]), Table1[[#This Row],[FECHA DE RECIBIDO]]-DATE(2023,8,30), "")</f>
        <v>-44867.295497685183</v>
      </c>
    </row>
    <row r="6533" spans="1:37" ht="16.05" customHeight="1">
      <c r="A6533" s="172" t="s">
        <v>5409</v>
      </c>
      <c r="B6533" s="178">
        <v>2336</v>
      </c>
      <c r="C6533" s="179" t="s">
        <v>770</v>
      </c>
      <c r="D6533">
        <v>4468</v>
      </c>
      <c r="E6533" s="125">
        <v>14108</v>
      </c>
      <c r="F6533" s="178">
        <v>626</v>
      </c>
      <c r="G6533" s="178" t="s">
        <v>109</v>
      </c>
      <c r="H6533">
        <v>371</v>
      </c>
      <c r="I6533" s="178" t="s">
        <v>1546</v>
      </c>
      <c r="J6533" s="320">
        <v>301.68670138889138</v>
      </c>
      <c r="K6533" s="178" t="s">
        <v>5428</v>
      </c>
      <c r="L6533" s="125" t="s">
        <v>110</v>
      </c>
      <c r="M6533">
        <v>490</v>
      </c>
      <c r="N6533" s="182">
        <v>113</v>
      </c>
      <c r="O6533">
        <v>4309</v>
      </c>
      <c r="P6533" s="176" t="s">
        <v>77</v>
      </c>
      <c r="Q6533" s="176">
        <v>5000</v>
      </c>
      <c r="R6533" s="176">
        <v>800</v>
      </c>
      <c r="S6533" s="176"/>
      <c r="T6533" s="190">
        <v>533.33000000000004</v>
      </c>
      <c r="U6533" s="191">
        <v>62.5</v>
      </c>
      <c r="V6533" s="191">
        <v>5204.17</v>
      </c>
      <c r="W6533">
        <v>209</v>
      </c>
      <c r="X6533" s="186" t="s">
        <v>1429</v>
      </c>
      <c r="Y6533" s="187" t="s">
        <v>55</v>
      </c>
      <c r="Z6533" s="311">
        <v>303</v>
      </c>
      <c r="AB6533" t="str">
        <f>IF(Table1[[#This Row],[TIPO2]]="costo", VLOOKUP(Table1[[#This Row],[PARTIDA PRESUPUESTAL]],'Cost Report'!G:G,1,0),"Balance")</f>
        <v>3003-023</v>
      </c>
      <c r="AD6533" s="159">
        <f>+Table1[[#This Row],[SUBTOTAL]]+Table1[[#This Row],[IVA]]-Table1[[#This Row],[RET IVA]]-Table1[[#This Row],[RET ISR]]-Table1[[#This Row],[TOTAL]]</f>
        <v>0</v>
      </c>
      <c r="AK6533" s="306">
        <f>IF(ISNUMBER(Table1[[#This Row],[FECHA DE RECIBIDO]]), Table1[[#This Row],[FECHA DE RECIBIDO]]-DATE(2023,8,30), "")</f>
        <v>-44866.313298611109</v>
      </c>
    </row>
    <row r="6534" spans="1:37" ht="16.05" customHeight="1">
      <c r="A6534" s="172" t="s">
        <v>5410</v>
      </c>
      <c r="B6534" s="178">
        <v>2337</v>
      </c>
      <c r="C6534" s="179" t="s">
        <v>2890</v>
      </c>
      <c r="D6534">
        <v>4469</v>
      </c>
      <c r="E6534" s="125">
        <v>9200</v>
      </c>
      <c r="F6534" s="178">
        <v>621</v>
      </c>
      <c r="G6534" s="178" t="s">
        <v>1617</v>
      </c>
      <c r="H6534">
        <v>201</v>
      </c>
      <c r="I6534" s="178" t="s">
        <v>1546</v>
      </c>
      <c r="J6534" s="320">
        <v>299.70156249999854</v>
      </c>
      <c r="K6534" s="178" t="s">
        <v>5428</v>
      </c>
      <c r="L6534" s="125" t="s">
        <v>4782</v>
      </c>
      <c r="M6534">
        <v>266</v>
      </c>
      <c r="N6534" s="182">
        <v>66</v>
      </c>
      <c r="O6534">
        <v>4310</v>
      </c>
      <c r="P6534" s="176" t="s">
        <v>77</v>
      </c>
      <c r="Q6534" s="176">
        <v>5000</v>
      </c>
      <c r="R6534" s="176">
        <v>800</v>
      </c>
      <c r="S6534" s="176"/>
      <c r="T6534" s="190">
        <v>533.34</v>
      </c>
      <c r="U6534" s="191">
        <v>0</v>
      </c>
      <c r="V6534" s="191">
        <v>5266.66</v>
      </c>
      <c r="W6534">
        <v>122</v>
      </c>
      <c r="X6534" s="186" t="s">
        <v>1434</v>
      </c>
      <c r="Y6534" s="187" t="s">
        <v>55</v>
      </c>
      <c r="Z6534" s="311">
        <v>303</v>
      </c>
      <c r="AB6534" t="str">
        <f>IF(Table1[[#This Row],[TIPO2]]="costo", VLOOKUP(Table1[[#This Row],[PARTIDA PRESUPUESTAL]],'Cost Report'!G:G,1,0),"Balance")</f>
        <v>3683-127</v>
      </c>
      <c r="AD6534" s="159">
        <f>+Table1[[#This Row],[SUBTOTAL]]+Table1[[#This Row],[IVA]]-Table1[[#This Row],[RET IVA]]-Table1[[#This Row],[RET ISR]]-Table1[[#This Row],[TOTAL]]</f>
        <v>0</v>
      </c>
      <c r="AK6534" s="306">
        <f>IF(ISNUMBER(Table1[[#This Row],[FECHA DE RECIBIDO]]), Table1[[#This Row],[FECHA DE RECIBIDO]]-DATE(2023,8,30), "")</f>
        <v>-44868.298437500001</v>
      </c>
    </row>
    <row r="6535" spans="1:37" ht="16.05" customHeight="1">
      <c r="A6535" s="172" t="s">
        <v>5411</v>
      </c>
      <c r="B6535" s="178">
        <v>2338</v>
      </c>
      <c r="C6535" s="179" t="s">
        <v>2142</v>
      </c>
      <c r="D6535">
        <v>4470</v>
      </c>
      <c r="E6535" s="125">
        <v>4210</v>
      </c>
      <c r="F6535" s="178">
        <v>612</v>
      </c>
      <c r="G6535" s="178" t="s">
        <v>129</v>
      </c>
      <c r="H6535">
        <v>16</v>
      </c>
      <c r="I6535" s="178" t="s">
        <v>1546</v>
      </c>
      <c r="J6535" s="320">
        <v>300.51762731481722</v>
      </c>
      <c r="K6535" s="178" t="s">
        <v>5428</v>
      </c>
      <c r="L6535" s="125" t="s">
        <v>110</v>
      </c>
      <c r="M6535">
        <v>21</v>
      </c>
      <c r="N6535" s="182">
        <v>2</v>
      </c>
      <c r="O6535">
        <v>4311</v>
      </c>
      <c r="P6535" s="176" t="s">
        <v>77</v>
      </c>
      <c r="Q6535" s="176">
        <v>3750</v>
      </c>
      <c r="R6535" s="176">
        <v>600</v>
      </c>
      <c r="S6535" s="176"/>
      <c r="T6535" s="190">
        <v>400</v>
      </c>
      <c r="U6535" s="191">
        <v>375</v>
      </c>
      <c r="V6535" s="191">
        <v>3575</v>
      </c>
      <c r="W6535">
        <v>16</v>
      </c>
      <c r="X6535" s="186" t="s">
        <v>1429</v>
      </c>
      <c r="Y6535" s="187" t="s">
        <v>55</v>
      </c>
      <c r="Z6535" s="311">
        <v>303</v>
      </c>
      <c r="AB6535" t="str">
        <f>IF(Table1[[#This Row],[TIPO2]]="costo", VLOOKUP(Table1[[#This Row],[PARTIDA PRESUPUESTAL]],'Cost Report'!G:G,1,0),"Balance")</f>
        <v>1204-006</v>
      </c>
      <c r="AD6535" s="159">
        <f>+Table1[[#This Row],[SUBTOTAL]]+Table1[[#This Row],[IVA]]-Table1[[#This Row],[RET IVA]]-Table1[[#This Row],[RET ISR]]-Table1[[#This Row],[TOTAL]]</f>
        <v>0</v>
      </c>
      <c r="AK6535" s="306">
        <f>IF(ISNUMBER(Table1[[#This Row],[FECHA DE RECIBIDO]]), Table1[[#This Row],[FECHA DE RECIBIDO]]-DATE(2023,8,30), "")</f>
        <v>-44867.482372685183</v>
      </c>
    </row>
    <row r="6536" spans="1:37" ht="16.05" customHeight="1">
      <c r="A6536" s="172" t="s">
        <v>5412</v>
      </c>
      <c r="B6536" s="178">
        <v>2339</v>
      </c>
      <c r="C6536" s="179" t="s">
        <v>2141</v>
      </c>
      <c r="D6536">
        <v>4471</v>
      </c>
      <c r="E6536" s="125">
        <v>16030</v>
      </c>
      <c r="F6536" s="178">
        <v>626</v>
      </c>
      <c r="G6536" s="178" t="s">
        <v>109</v>
      </c>
      <c r="H6536">
        <v>10</v>
      </c>
      <c r="I6536" s="178" t="s">
        <v>1546</v>
      </c>
      <c r="J6536" s="320">
        <v>300.63755787037371</v>
      </c>
      <c r="K6536" s="178" t="s">
        <v>5428</v>
      </c>
      <c r="L6536" s="125" t="s">
        <v>110</v>
      </c>
      <c r="M6536">
        <v>13</v>
      </c>
      <c r="N6536" s="182">
        <v>20</v>
      </c>
      <c r="O6536">
        <v>4312</v>
      </c>
      <c r="P6536" s="176" t="s">
        <v>77</v>
      </c>
      <c r="Q6536" s="176">
        <v>67000</v>
      </c>
      <c r="R6536" s="176">
        <v>10720</v>
      </c>
      <c r="S6536" s="176"/>
      <c r="T6536" s="190">
        <v>7146.68</v>
      </c>
      <c r="U6536" s="191">
        <v>837.5</v>
      </c>
      <c r="V6536" s="191">
        <v>69735.820000000007</v>
      </c>
      <c r="W6536">
        <v>9</v>
      </c>
      <c r="X6536" s="186" t="s">
        <v>1429</v>
      </c>
      <c r="Y6536" s="187" t="s">
        <v>55</v>
      </c>
      <c r="Z6536" s="311">
        <v>303</v>
      </c>
      <c r="AB6536" t="str">
        <f>IF(Table1[[#This Row],[TIPO2]]="costo", VLOOKUP(Table1[[#This Row],[PARTIDA PRESUPUESTAL]],'Cost Report'!G:G,1,0),"Balance")</f>
        <v>1202-006</v>
      </c>
      <c r="AD6536" s="159">
        <f>+Table1[[#This Row],[SUBTOTAL]]+Table1[[#This Row],[IVA]]-Table1[[#This Row],[RET IVA]]-Table1[[#This Row],[RET ISR]]-Table1[[#This Row],[TOTAL]]</f>
        <v>0</v>
      </c>
      <c r="AK6536" s="306">
        <f>IF(ISNUMBER(Table1[[#This Row],[FECHA DE RECIBIDO]]), Table1[[#This Row],[FECHA DE RECIBIDO]]-DATE(2023,8,30), "")</f>
        <v>-44867.362442129626</v>
      </c>
    </row>
    <row r="6537" spans="1:37" ht="16.05" customHeight="1">
      <c r="A6537" s="172" t="s">
        <v>5413</v>
      </c>
      <c r="B6537" s="178">
        <v>2340</v>
      </c>
      <c r="C6537" s="179" t="s">
        <v>479</v>
      </c>
      <c r="D6537">
        <v>4472</v>
      </c>
      <c r="E6537" s="125">
        <v>3023</v>
      </c>
      <c r="F6537" s="178">
        <v>626</v>
      </c>
      <c r="G6537" s="178" t="s">
        <v>109</v>
      </c>
      <c r="H6537">
        <v>21</v>
      </c>
      <c r="I6537" s="178" t="s">
        <v>1546</v>
      </c>
      <c r="J6537" s="320">
        <v>301.38075231481344</v>
      </c>
      <c r="K6537" s="178" t="s">
        <v>5428</v>
      </c>
      <c r="L6537" s="125" t="s">
        <v>110</v>
      </c>
      <c r="M6537">
        <v>27</v>
      </c>
      <c r="N6537" s="182">
        <v>5</v>
      </c>
      <c r="O6537">
        <v>4313</v>
      </c>
      <c r="P6537" s="176" t="s">
        <v>77</v>
      </c>
      <c r="Q6537" s="176">
        <v>8000</v>
      </c>
      <c r="R6537" s="176">
        <v>1280</v>
      </c>
      <c r="S6537" s="176"/>
      <c r="T6537" s="190">
        <v>853.33</v>
      </c>
      <c r="U6537" s="191">
        <v>100</v>
      </c>
      <c r="V6537" s="191">
        <v>8326.67</v>
      </c>
      <c r="W6537">
        <v>21</v>
      </c>
      <c r="X6537" s="186" t="s">
        <v>1431</v>
      </c>
      <c r="Y6537" s="187" t="s">
        <v>55</v>
      </c>
      <c r="Z6537" s="311">
        <v>303</v>
      </c>
      <c r="AB6537" t="str">
        <f>IF(Table1[[#This Row],[TIPO2]]="costo", VLOOKUP(Table1[[#This Row],[PARTIDA PRESUPUESTAL]],'Cost Report'!G:G,1,0),"Balance")</f>
        <v>2014-005</v>
      </c>
      <c r="AD6537" s="159">
        <f>+Table1[[#This Row],[SUBTOTAL]]+Table1[[#This Row],[IVA]]-Table1[[#This Row],[RET IVA]]-Table1[[#This Row],[RET ISR]]-Table1[[#This Row],[TOTAL]]</f>
        <v>0</v>
      </c>
      <c r="AK6537" s="306">
        <f>IF(ISNUMBER(Table1[[#This Row],[FECHA DE RECIBIDO]]), Table1[[#This Row],[FECHA DE RECIBIDO]]-DATE(2023,8,30), "")</f>
        <v>-44866.619247685187</v>
      </c>
    </row>
    <row r="6538" spans="1:37" ht="16.05" customHeight="1">
      <c r="A6538" s="172" t="s">
        <v>5414</v>
      </c>
      <c r="B6538" s="178">
        <v>2341</v>
      </c>
      <c r="C6538" s="179" t="s">
        <v>2201</v>
      </c>
      <c r="D6538">
        <v>4473</v>
      </c>
      <c r="E6538" s="125">
        <v>3520</v>
      </c>
      <c r="F6538" s="178">
        <v>612</v>
      </c>
      <c r="G6538" s="178" t="s">
        <v>129</v>
      </c>
      <c r="H6538">
        <v>1092</v>
      </c>
      <c r="I6538" s="178" t="s">
        <v>1546</v>
      </c>
      <c r="J6538" s="320">
        <v>300.75438657407358</v>
      </c>
      <c r="K6538" s="178" t="s">
        <v>5428</v>
      </c>
      <c r="L6538" s="125" t="s">
        <v>4782</v>
      </c>
      <c r="M6538">
        <v>1521</v>
      </c>
      <c r="N6538" s="182">
        <v>281</v>
      </c>
      <c r="O6538">
        <v>4314</v>
      </c>
      <c r="P6538" s="176" t="s">
        <v>77</v>
      </c>
      <c r="Q6538" s="176">
        <v>20000</v>
      </c>
      <c r="R6538" s="176">
        <v>3200</v>
      </c>
      <c r="S6538" s="176"/>
      <c r="T6538" s="190">
        <v>2133.34</v>
      </c>
      <c r="U6538" s="191">
        <v>2000</v>
      </c>
      <c r="V6538" s="191">
        <v>19066.66</v>
      </c>
      <c r="W6538">
        <v>528</v>
      </c>
      <c r="X6538" s="186" t="s">
        <v>1434</v>
      </c>
      <c r="Y6538" s="187" t="s">
        <v>55</v>
      </c>
      <c r="Z6538" s="311">
        <v>303</v>
      </c>
      <c r="AB6538" t="str">
        <f>IF(Table1[[#This Row],[TIPO2]]="costo", VLOOKUP(Table1[[#This Row],[PARTIDA PRESUPUESTAL]],'Cost Report'!G:G,1,0),"Balance")</f>
        <v>1403-072</v>
      </c>
      <c r="AD6538" s="159">
        <f>+Table1[[#This Row],[SUBTOTAL]]+Table1[[#This Row],[IVA]]-Table1[[#This Row],[RET IVA]]-Table1[[#This Row],[RET ISR]]-Table1[[#This Row],[TOTAL]]</f>
        <v>0</v>
      </c>
      <c r="AK6538" s="306">
        <f>IF(ISNUMBER(Table1[[#This Row],[FECHA DE RECIBIDO]]), Table1[[#This Row],[FECHA DE RECIBIDO]]-DATE(2023,8,30), "")</f>
        <v>-44867.245613425926</v>
      </c>
    </row>
    <row r="6539" spans="1:37" ht="16.05" customHeight="1">
      <c r="A6539" s="172" t="s">
        <v>5415</v>
      </c>
      <c r="B6539" s="178">
        <v>2342</v>
      </c>
      <c r="C6539" s="179" t="s">
        <v>2201</v>
      </c>
      <c r="D6539">
        <v>4474</v>
      </c>
      <c r="E6539" s="125">
        <v>3520</v>
      </c>
      <c r="F6539" s="178">
        <v>612</v>
      </c>
      <c r="G6539" s="178" t="s">
        <v>129</v>
      </c>
      <c r="H6539">
        <v>1092</v>
      </c>
      <c r="I6539" s="178" t="s">
        <v>1546</v>
      </c>
      <c r="J6539" s="320">
        <v>300.74843749999854</v>
      </c>
      <c r="K6539" s="178" t="s">
        <v>5428</v>
      </c>
      <c r="L6539" s="125" t="s">
        <v>110</v>
      </c>
      <c r="M6539">
        <v>1521</v>
      </c>
      <c r="N6539" s="182">
        <v>281</v>
      </c>
      <c r="O6539">
        <v>4315</v>
      </c>
      <c r="P6539" s="176" t="s">
        <v>77</v>
      </c>
      <c r="Q6539" s="176">
        <v>8400</v>
      </c>
      <c r="R6539" s="176">
        <v>1344</v>
      </c>
      <c r="S6539" s="176"/>
      <c r="T6539" s="190">
        <v>896</v>
      </c>
      <c r="U6539" s="191">
        <v>840</v>
      </c>
      <c r="V6539" s="191">
        <v>8008</v>
      </c>
      <c r="W6539">
        <v>528</v>
      </c>
      <c r="X6539" s="186" t="s">
        <v>1434</v>
      </c>
      <c r="Y6539" s="187" t="s">
        <v>55</v>
      </c>
      <c r="Z6539" s="311">
        <v>303</v>
      </c>
      <c r="AB6539" t="str">
        <f>IF(Table1[[#This Row],[TIPO2]]="costo", VLOOKUP(Table1[[#This Row],[PARTIDA PRESUPUESTAL]],'Cost Report'!G:G,1,0),"Balance")</f>
        <v>1403-072</v>
      </c>
      <c r="AD6539" s="159">
        <f>+Table1[[#This Row],[SUBTOTAL]]+Table1[[#This Row],[IVA]]-Table1[[#This Row],[RET IVA]]-Table1[[#This Row],[RET ISR]]-Table1[[#This Row],[TOTAL]]</f>
        <v>0</v>
      </c>
      <c r="AK6539" s="306">
        <f>IF(ISNUMBER(Table1[[#This Row],[FECHA DE RECIBIDO]]), Table1[[#This Row],[FECHA DE RECIBIDO]]-DATE(2023,8,30), "")</f>
        <v>-44867.251562500001</v>
      </c>
    </row>
    <row r="6540" spans="1:37" ht="16.05" customHeight="1">
      <c r="A6540" s="172" t="s">
        <v>5416</v>
      </c>
      <c r="B6540" s="178">
        <v>2343</v>
      </c>
      <c r="C6540" s="179" t="s">
        <v>3413</v>
      </c>
      <c r="D6540">
        <v>4475</v>
      </c>
      <c r="E6540" s="125">
        <v>44150</v>
      </c>
      <c r="F6540" s="178">
        <v>601</v>
      </c>
      <c r="G6540" s="178" t="s">
        <v>134</v>
      </c>
      <c r="H6540">
        <v>23</v>
      </c>
      <c r="I6540" s="178" t="s">
        <v>1546</v>
      </c>
      <c r="J6540" s="320">
        <v>301.48218749999796</v>
      </c>
      <c r="K6540" s="178" t="s">
        <v>5428</v>
      </c>
      <c r="L6540" s="125" t="s">
        <v>3306</v>
      </c>
      <c r="M6540">
        <v>343</v>
      </c>
      <c r="N6540" s="182">
        <v>1</v>
      </c>
      <c r="O6540">
        <v>4316</v>
      </c>
      <c r="P6540" s="176" t="s">
        <v>77</v>
      </c>
      <c r="Q6540" s="176">
        <v>16925.03</v>
      </c>
      <c r="R6540" s="176">
        <v>2708</v>
      </c>
      <c r="S6540" s="176"/>
      <c r="T6540" s="190"/>
      <c r="U6540" s="191"/>
      <c r="V6540" s="191">
        <v>19633.03</v>
      </c>
      <c r="W6540">
        <v>25</v>
      </c>
      <c r="X6540" s="186" t="s">
        <v>2024</v>
      </c>
      <c r="Y6540" s="187" t="s">
        <v>55</v>
      </c>
      <c r="Z6540" s="311">
        <v>303</v>
      </c>
      <c r="AB6540" t="str">
        <f>IF(Table1[[#This Row],[TIPO2]]="costo", VLOOKUP(Table1[[#This Row],[PARTIDA PRESUPUESTAL]],'Cost Report'!G:G,1,0),"Balance")</f>
        <v>3683-202</v>
      </c>
      <c r="AD6540" s="159">
        <f>+Table1[[#This Row],[SUBTOTAL]]+Table1[[#This Row],[IVA]]-Table1[[#This Row],[RET IVA]]-Table1[[#This Row],[RET ISR]]-Table1[[#This Row],[TOTAL]]</f>
        <v>0</v>
      </c>
      <c r="AK6540" s="306">
        <f>IF(ISNUMBER(Table1[[#This Row],[FECHA DE RECIBIDO]]), Table1[[#This Row],[FECHA DE RECIBIDO]]-DATE(2023,8,30), "")</f>
        <v>-44866.517812500002</v>
      </c>
    </row>
    <row r="6541" spans="1:37" ht="16.05" customHeight="1">
      <c r="A6541" s="172" t="s">
        <v>5417</v>
      </c>
      <c r="B6541" s="178">
        <v>2344</v>
      </c>
      <c r="C6541" s="179" t="s">
        <v>399</v>
      </c>
      <c r="D6541">
        <v>4476</v>
      </c>
      <c r="E6541" s="125">
        <v>45110</v>
      </c>
      <c r="F6541" s="178">
        <v>601</v>
      </c>
      <c r="G6541" s="178" t="s">
        <v>134</v>
      </c>
      <c r="H6541">
        <v>214</v>
      </c>
      <c r="I6541" s="178" t="s">
        <v>1546</v>
      </c>
      <c r="J6541" s="320">
        <v>301.69706018518627</v>
      </c>
      <c r="K6541" s="178" t="s">
        <v>5428</v>
      </c>
      <c r="L6541" s="125" t="s">
        <v>3306</v>
      </c>
      <c r="M6541">
        <v>833</v>
      </c>
      <c r="N6541" s="182">
        <v>1</v>
      </c>
      <c r="O6541">
        <v>4317</v>
      </c>
      <c r="P6541" s="176" t="s">
        <v>77</v>
      </c>
      <c r="Q6541" s="176">
        <v>510</v>
      </c>
      <c r="R6541" s="176">
        <v>81.599999999999994</v>
      </c>
      <c r="S6541" s="176"/>
      <c r="T6541" s="190"/>
      <c r="U6541" s="191"/>
      <c r="V6541" s="191">
        <v>591.6</v>
      </c>
      <c r="W6541">
        <v>135</v>
      </c>
      <c r="X6541" s="186" t="s">
        <v>1429</v>
      </c>
      <c r="Y6541" s="187" t="s">
        <v>55</v>
      </c>
      <c r="Z6541" s="311">
        <v>303</v>
      </c>
      <c r="AB6541" t="str">
        <f>IF(Table1[[#This Row],[TIPO2]]="costo", VLOOKUP(Table1[[#This Row],[PARTIDA PRESUPUESTAL]],'Cost Report'!G:G,1,0),"Balance")</f>
        <v>1621-003</v>
      </c>
      <c r="AD6541" s="159">
        <f>+Table1[[#This Row],[SUBTOTAL]]+Table1[[#This Row],[IVA]]-Table1[[#This Row],[RET IVA]]-Table1[[#This Row],[RET ISR]]-Table1[[#This Row],[TOTAL]]</f>
        <v>0</v>
      </c>
      <c r="AK6541" s="306">
        <f>IF(ISNUMBER(Table1[[#This Row],[FECHA DE RECIBIDO]]), Table1[[#This Row],[FECHA DE RECIBIDO]]-DATE(2023,8,30), "")</f>
        <v>-44866.302939814814</v>
      </c>
    </row>
    <row r="6542" spans="1:37" ht="16.05" customHeight="1">
      <c r="A6542" s="172" t="s">
        <v>5418</v>
      </c>
      <c r="B6542" s="178">
        <v>2345</v>
      </c>
      <c r="C6542" s="179" t="s">
        <v>2936</v>
      </c>
      <c r="D6542">
        <v>4477</v>
      </c>
      <c r="E6542" s="125">
        <v>44150</v>
      </c>
      <c r="F6542" s="178">
        <v>601</v>
      </c>
      <c r="G6542" s="178" t="s">
        <v>134</v>
      </c>
      <c r="H6542">
        <v>23</v>
      </c>
      <c r="I6542" s="178" t="s">
        <v>1546</v>
      </c>
      <c r="J6542" s="320">
        <v>301.75083333333168</v>
      </c>
      <c r="K6542" s="178" t="s">
        <v>5428</v>
      </c>
      <c r="L6542" s="125" t="s">
        <v>3306</v>
      </c>
      <c r="M6542">
        <v>343</v>
      </c>
      <c r="N6542" s="182">
        <v>1</v>
      </c>
      <c r="O6542">
        <v>4318</v>
      </c>
      <c r="P6542" s="176" t="s">
        <v>77</v>
      </c>
      <c r="Q6542" s="176">
        <v>174781</v>
      </c>
      <c r="R6542" s="176">
        <v>27964.959999999999</v>
      </c>
      <c r="S6542" s="176"/>
      <c r="T6542" s="190"/>
      <c r="U6542" s="191"/>
      <c r="V6542" s="191">
        <v>202745.96</v>
      </c>
      <c r="W6542">
        <v>25</v>
      </c>
      <c r="X6542" s="186" t="s">
        <v>2024</v>
      </c>
      <c r="Y6542" s="187" t="s">
        <v>55</v>
      </c>
      <c r="Z6542" s="311">
        <v>303</v>
      </c>
      <c r="AB6542" t="str">
        <f>IF(Table1[[#This Row],[TIPO2]]="costo", VLOOKUP(Table1[[#This Row],[PARTIDA PRESUPUESTAL]],'Cost Report'!G:G,1,0),"Balance")</f>
        <v>3698-003</v>
      </c>
      <c r="AD6542" s="159">
        <f>+Table1[[#This Row],[SUBTOTAL]]+Table1[[#This Row],[IVA]]-Table1[[#This Row],[RET IVA]]-Table1[[#This Row],[RET ISR]]-Table1[[#This Row],[TOTAL]]</f>
        <v>0</v>
      </c>
      <c r="AK6542" s="306">
        <f>IF(ISNUMBER(Table1[[#This Row],[FECHA DE RECIBIDO]]), Table1[[#This Row],[FECHA DE RECIBIDO]]-DATE(2023,8,30), "")</f>
        <v>-44866.249166666668</v>
      </c>
    </row>
    <row r="6543" spans="1:37" ht="16.05" customHeight="1">
      <c r="A6543" s="172" t="s">
        <v>3233</v>
      </c>
      <c r="B6543" s="178">
        <v>405</v>
      </c>
      <c r="C6543" s="179" t="s">
        <v>69</v>
      </c>
      <c r="D6543"/>
      <c r="E6543" s="125" t="s">
        <v>1911</v>
      </c>
      <c r="F6543" s="178" t="s">
        <v>1911</v>
      </c>
      <c r="G6543" s="178" t="s">
        <v>1911</v>
      </c>
      <c r="H6543"/>
      <c r="I6543" s="178" t="s">
        <v>1911</v>
      </c>
      <c r="J6543" s="320" t="s">
        <v>214</v>
      </c>
      <c r="K6543" s="178" t="s">
        <v>5428</v>
      </c>
      <c r="L6543" s="125" t="s">
        <v>3306</v>
      </c>
      <c r="M6543">
        <v>276</v>
      </c>
      <c r="N6543" s="182">
        <v>1</v>
      </c>
      <c r="O6543">
        <v>639</v>
      </c>
      <c r="P6543" s="176" t="s">
        <v>78</v>
      </c>
      <c r="Q6543" s="237">
        <v>-52500</v>
      </c>
      <c r="R6543" s="176">
        <v>0</v>
      </c>
      <c r="S6543" s="176"/>
      <c r="T6543" s="190">
        <v>0</v>
      </c>
      <c r="U6543" s="191">
        <v>0</v>
      </c>
      <c r="V6543" s="191">
        <v>-52500</v>
      </c>
      <c r="W6543">
        <v>132</v>
      </c>
      <c r="X6543" s="186" t="s">
        <v>195</v>
      </c>
      <c r="Y6543" s="187" t="s">
        <v>55</v>
      </c>
      <c r="Z6543" s="311">
        <v>210</v>
      </c>
      <c r="AB6543" t="str">
        <f>IF(Table1[[#This Row],[TIPO2]]="costo", VLOOKUP(Table1[[#This Row],[PARTIDA PRESUPUESTAL]],'Cost Report'!G:G,1,0),"Balance")</f>
        <v>Balance</v>
      </c>
      <c r="AD6543" s="159">
        <f>+Table1[[#This Row],[SUBTOTAL]]+Table1[[#This Row],[IVA]]-Table1[[#This Row],[RET IVA]]-Table1[[#This Row],[RET ISR]]-Table1[[#This Row],[TOTAL]]</f>
        <v>0</v>
      </c>
      <c r="AK6543" s="306" t="str">
        <f>IF(ISNUMBER(Table1[[#This Row],[FECHA DE RECIBIDO]]), Table1[[#This Row],[FECHA DE RECIBIDO]]-DATE(2023,8,30), "")</f>
        <v/>
      </c>
    </row>
    <row r="6544" spans="1:37" ht="16.05" customHeight="1">
      <c r="A6544" s="172" t="s">
        <v>5419</v>
      </c>
      <c r="B6544" s="178">
        <v>2346</v>
      </c>
      <c r="C6544" s="179" t="s">
        <v>2409</v>
      </c>
      <c r="D6544">
        <v>4478</v>
      </c>
      <c r="E6544" s="125">
        <v>44200</v>
      </c>
      <c r="F6544" s="178">
        <v>601</v>
      </c>
      <c r="G6544" s="178" t="s">
        <v>134</v>
      </c>
      <c r="H6544">
        <v>5</v>
      </c>
      <c r="I6544" s="178" t="s">
        <v>1546</v>
      </c>
      <c r="J6544" s="320">
        <v>301.58944444444205</v>
      </c>
      <c r="K6544" s="178" t="s">
        <v>5428</v>
      </c>
      <c r="L6544" s="125" t="s">
        <v>3306</v>
      </c>
      <c r="M6544">
        <v>5</v>
      </c>
      <c r="N6544" s="182">
        <v>0</v>
      </c>
      <c r="O6544">
        <v>4319</v>
      </c>
      <c r="P6544" s="176" t="s">
        <v>77</v>
      </c>
      <c r="Q6544" s="176">
        <v>11000</v>
      </c>
      <c r="R6544" s="176">
        <v>1760</v>
      </c>
      <c r="S6544" s="176"/>
      <c r="T6544" s="190">
        <v>0</v>
      </c>
      <c r="U6544" s="191">
        <v>0</v>
      </c>
      <c r="V6544" s="191">
        <v>12760</v>
      </c>
      <c r="W6544">
        <v>4</v>
      </c>
      <c r="X6544" s="186" t="s">
        <v>135</v>
      </c>
      <c r="Y6544" s="187" t="s">
        <v>55</v>
      </c>
      <c r="Z6544" s="311">
        <v>303</v>
      </c>
      <c r="AB6544" t="str">
        <f>IF(Table1[[#This Row],[TIPO2]]="costo", VLOOKUP(Table1[[#This Row],[PARTIDA PRESUPUESTAL]],'Cost Report'!G:G,1,0),"Balance")</f>
        <v>2011-023</v>
      </c>
      <c r="AD6544" s="159">
        <f>+Table1[[#This Row],[SUBTOTAL]]+Table1[[#This Row],[IVA]]-Table1[[#This Row],[RET IVA]]-Table1[[#This Row],[RET ISR]]-Table1[[#This Row],[TOTAL]]</f>
        <v>0</v>
      </c>
      <c r="AK6544" s="306">
        <f>IF(ISNUMBER(Table1[[#This Row],[FECHA DE RECIBIDO]]), Table1[[#This Row],[FECHA DE RECIBIDO]]-DATE(2023,8,30), "")</f>
        <v>-44866.410555555558</v>
      </c>
    </row>
    <row r="6545" spans="1:37" ht="16.05" customHeight="1">
      <c r="A6545" s="172" t="s">
        <v>5420</v>
      </c>
      <c r="B6545" s="178">
        <v>2347</v>
      </c>
      <c r="C6545" s="179" t="s">
        <v>2566</v>
      </c>
      <c r="D6545">
        <v>4479</v>
      </c>
      <c r="E6545" s="125" t="s">
        <v>5421</v>
      </c>
      <c r="F6545" s="178">
        <v>601</v>
      </c>
      <c r="G6545" s="178" t="s">
        <v>134</v>
      </c>
      <c r="H6545">
        <v>1093</v>
      </c>
      <c r="I6545" s="178" t="s">
        <v>1546</v>
      </c>
      <c r="J6545" s="320">
        <v>302.52228009259125</v>
      </c>
      <c r="K6545" s="178" t="s">
        <v>5428</v>
      </c>
      <c r="L6545" s="125" t="s">
        <v>3306</v>
      </c>
      <c r="M6545">
        <v>1522</v>
      </c>
      <c r="N6545" s="182">
        <v>1</v>
      </c>
      <c r="O6545">
        <v>4320</v>
      </c>
      <c r="P6545" s="176" t="s">
        <v>77</v>
      </c>
      <c r="Q6545" s="176">
        <v>135000</v>
      </c>
      <c r="R6545" s="176">
        <v>21600</v>
      </c>
      <c r="S6545" s="176"/>
      <c r="T6545" s="190">
        <v>0</v>
      </c>
      <c r="U6545" s="191">
        <v>0</v>
      </c>
      <c r="V6545" s="191">
        <v>156600</v>
      </c>
      <c r="W6545">
        <v>529</v>
      </c>
      <c r="X6545" s="186" t="s">
        <v>2035</v>
      </c>
      <c r="Y6545" s="187" t="s">
        <v>55</v>
      </c>
      <c r="Z6545" s="311">
        <v>303</v>
      </c>
      <c r="AB6545" t="str">
        <f>IF(Table1[[#This Row],[TIPO2]]="costo", VLOOKUP(Table1[[#This Row],[PARTIDA PRESUPUESTAL]],'Cost Report'!G:G,1,0),"Balance")</f>
        <v>2594-003</v>
      </c>
      <c r="AD6545" s="159">
        <f>+Table1[[#This Row],[SUBTOTAL]]+Table1[[#This Row],[IVA]]-Table1[[#This Row],[RET IVA]]-Table1[[#This Row],[RET ISR]]-Table1[[#This Row],[TOTAL]]</f>
        <v>0</v>
      </c>
      <c r="AK6545" s="306">
        <f>IF(ISNUMBER(Table1[[#This Row],[FECHA DE RECIBIDO]]), Table1[[#This Row],[FECHA DE RECIBIDO]]-DATE(2023,8,30), "")</f>
        <v>-44865.477719907409</v>
      </c>
    </row>
    <row r="6546" spans="1:37" ht="16.05" customHeight="1">
      <c r="A6546" s="172" t="s">
        <v>5422</v>
      </c>
      <c r="B6546" s="178">
        <v>2348</v>
      </c>
      <c r="C6546" s="179" t="s">
        <v>977</v>
      </c>
      <c r="D6546">
        <v>689</v>
      </c>
      <c r="E6546" s="125"/>
      <c r="F6546" s="178"/>
      <c r="G6546" s="178"/>
      <c r="H6546"/>
      <c r="I6546" s="178"/>
      <c r="J6546" s="320" t="s">
        <v>214</v>
      </c>
      <c r="K6546" s="178" t="s">
        <v>5428</v>
      </c>
      <c r="L6546" s="125" t="s">
        <v>1483</v>
      </c>
      <c r="M6546">
        <v>514</v>
      </c>
      <c r="N6546" s="182">
        <v>17</v>
      </c>
      <c r="O6546">
        <v>3820</v>
      </c>
      <c r="P6546" s="176" t="s">
        <v>77</v>
      </c>
      <c r="Q6546" s="176">
        <v>68.5</v>
      </c>
      <c r="R6546" s="176"/>
      <c r="S6546" s="176"/>
      <c r="T6546" s="190"/>
      <c r="U6546" s="191"/>
      <c r="V6546" s="191">
        <v>68.5</v>
      </c>
      <c r="W6546">
        <v>167</v>
      </c>
      <c r="X6546" s="186" t="s">
        <v>3451</v>
      </c>
      <c r="Y6546" s="187" t="s">
        <v>55</v>
      </c>
      <c r="Z6546" s="311" t="s">
        <v>214</v>
      </c>
      <c r="AB6546" t="str">
        <f>IF(Table1[[#This Row],[TIPO2]]="costo", VLOOKUP(Table1[[#This Row],[PARTIDA PRESUPUESTAL]],'Cost Report'!G:G,1,0),"Balance")</f>
        <v>3410-012</v>
      </c>
      <c r="AD6546" s="159">
        <f>+Table1[[#This Row],[SUBTOTAL]]+Table1[[#This Row],[IVA]]-Table1[[#This Row],[RET IVA]]-Table1[[#This Row],[RET ISR]]-Table1[[#This Row],[TOTAL]]</f>
        <v>0</v>
      </c>
      <c r="AK6546" s="306" t="str">
        <f>IF(ISNUMBER(Table1[[#This Row],[FECHA DE RECIBIDO]]), Table1[[#This Row],[FECHA DE RECIBIDO]]-DATE(2023,8,30), "")</f>
        <v/>
      </c>
    </row>
    <row r="6547" spans="1:37" ht="16.05" customHeight="1">
      <c r="A6547" s="172" t="s">
        <v>5422</v>
      </c>
      <c r="B6547" s="178">
        <v>2348</v>
      </c>
      <c r="C6547" s="179" t="s">
        <v>4210</v>
      </c>
      <c r="D6547">
        <v>689</v>
      </c>
      <c r="E6547" s="125"/>
      <c r="F6547" s="178"/>
      <c r="G6547" s="178"/>
      <c r="H6547"/>
      <c r="I6547" s="178"/>
      <c r="J6547" s="320" t="s">
        <v>214</v>
      </c>
      <c r="K6547" s="178" t="s">
        <v>5428</v>
      </c>
      <c r="L6547" s="125" t="s">
        <v>1483</v>
      </c>
      <c r="M6547">
        <v>661</v>
      </c>
      <c r="N6547" s="182">
        <v>17</v>
      </c>
      <c r="O6547">
        <v>4321</v>
      </c>
      <c r="P6547" s="176" t="s">
        <v>77</v>
      </c>
      <c r="Q6547" s="176">
        <v>895</v>
      </c>
      <c r="R6547" s="176"/>
      <c r="S6547" s="176"/>
      <c r="T6547" s="190"/>
      <c r="U6547" s="191"/>
      <c r="V6547" s="191">
        <v>895</v>
      </c>
      <c r="W6547">
        <v>167</v>
      </c>
      <c r="X6547" s="186" t="s">
        <v>3451</v>
      </c>
      <c r="Y6547" s="187" t="s">
        <v>55</v>
      </c>
      <c r="Z6547" s="311" t="s">
        <v>214</v>
      </c>
      <c r="AB6547" t="str">
        <f>IF(Table1[[#This Row],[TIPO2]]="costo", VLOOKUP(Table1[[#This Row],[PARTIDA PRESUPUESTAL]],'Cost Report'!G:G,1,0),"Balance")</f>
        <v>3901-051</v>
      </c>
      <c r="AD6547" s="159">
        <f>+Table1[[#This Row],[SUBTOTAL]]+Table1[[#This Row],[IVA]]-Table1[[#This Row],[RET IVA]]-Table1[[#This Row],[RET ISR]]-Table1[[#This Row],[TOTAL]]</f>
        <v>0</v>
      </c>
      <c r="AK6547" s="306" t="str">
        <f>IF(ISNUMBER(Table1[[#This Row],[FECHA DE RECIBIDO]]), Table1[[#This Row],[FECHA DE RECIBIDO]]-DATE(2023,8,30), "")</f>
        <v/>
      </c>
    </row>
    <row r="6548" spans="1:37" ht="16.05" customHeight="1">
      <c r="A6548" s="172" t="s">
        <v>5423</v>
      </c>
      <c r="B6548" s="178">
        <v>2349</v>
      </c>
      <c r="C6548" s="179" t="s">
        <v>1181</v>
      </c>
      <c r="D6548">
        <v>689</v>
      </c>
      <c r="E6548" s="125"/>
      <c r="F6548" s="178"/>
      <c r="G6548" s="178"/>
      <c r="H6548"/>
      <c r="I6548" s="178"/>
      <c r="J6548" s="320" t="s">
        <v>214</v>
      </c>
      <c r="K6548" s="178" t="s">
        <v>5428</v>
      </c>
      <c r="L6548" s="125" t="s">
        <v>1483</v>
      </c>
      <c r="M6548">
        <v>215</v>
      </c>
      <c r="N6548" s="182">
        <v>17</v>
      </c>
      <c r="O6548">
        <v>4322</v>
      </c>
      <c r="P6548" s="176" t="s">
        <v>77</v>
      </c>
      <c r="Q6548" s="176">
        <v>48.08</v>
      </c>
      <c r="R6548" s="176"/>
      <c r="S6548" s="176"/>
      <c r="T6548" s="190"/>
      <c r="U6548" s="191"/>
      <c r="V6548" s="191">
        <v>48.08</v>
      </c>
      <c r="W6548">
        <v>227</v>
      </c>
      <c r="X6548" s="186" t="s">
        <v>3451</v>
      </c>
      <c r="Y6548" s="187" t="s">
        <v>55</v>
      </c>
      <c r="Z6548" s="311" t="s">
        <v>214</v>
      </c>
      <c r="AB6548" t="str">
        <f>IF(Table1[[#This Row],[TIPO2]]="costo", VLOOKUP(Table1[[#This Row],[PARTIDA PRESUPUESTAL]],'Cost Report'!G:G,1,0),"Balance")</f>
        <v>3904-003</v>
      </c>
      <c r="AD6548" s="159">
        <f>+Table1[[#This Row],[SUBTOTAL]]+Table1[[#This Row],[IVA]]-Table1[[#This Row],[RET IVA]]-Table1[[#This Row],[RET ISR]]-Table1[[#This Row],[TOTAL]]</f>
        <v>0</v>
      </c>
      <c r="AK6548" s="306" t="str">
        <f>IF(ISNUMBER(Table1[[#This Row],[FECHA DE RECIBIDO]]), Table1[[#This Row],[FECHA DE RECIBIDO]]-DATE(2023,8,30), "")</f>
        <v/>
      </c>
    </row>
    <row r="6549" spans="1:37" ht="16.05" customHeight="1">
      <c r="A6549" s="172" t="s">
        <v>5423</v>
      </c>
      <c r="B6549" s="178">
        <v>2349</v>
      </c>
      <c r="C6549" s="179" t="s">
        <v>1181</v>
      </c>
      <c r="D6549">
        <v>689</v>
      </c>
      <c r="E6549" s="125"/>
      <c r="F6549" s="178"/>
      <c r="G6549" s="178"/>
      <c r="H6549"/>
      <c r="I6549" s="178"/>
      <c r="J6549" s="320" t="s">
        <v>214</v>
      </c>
      <c r="K6549" s="178" t="s">
        <v>5428</v>
      </c>
      <c r="L6549" s="125" t="s">
        <v>1483</v>
      </c>
      <c r="M6549">
        <v>215</v>
      </c>
      <c r="N6549" s="182">
        <v>17</v>
      </c>
      <c r="O6549">
        <v>4322</v>
      </c>
      <c r="P6549" s="176" t="s">
        <v>77</v>
      </c>
      <c r="Q6549" s="176">
        <v>189.77</v>
      </c>
      <c r="R6549" s="176"/>
      <c r="S6549" s="176"/>
      <c r="T6549" s="190"/>
      <c r="U6549" s="191"/>
      <c r="V6549" s="191">
        <v>189.77</v>
      </c>
      <c r="W6549">
        <v>227</v>
      </c>
      <c r="X6549" s="186" t="s">
        <v>3451</v>
      </c>
      <c r="Y6549" s="187" t="s">
        <v>55</v>
      </c>
      <c r="Z6549" s="311">
        <v>279</v>
      </c>
      <c r="AB6549" t="str">
        <f>IF(Table1[[#This Row],[TIPO2]]="costo", VLOOKUP(Table1[[#This Row],[PARTIDA PRESUPUESTAL]],'Cost Report'!G:G,1,0),"Balance")</f>
        <v>3904-003</v>
      </c>
      <c r="AD6549" s="159">
        <f>+Table1[[#This Row],[SUBTOTAL]]+Table1[[#This Row],[IVA]]-Table1[[#This Row],[RET IVA]]-Table1[[#This Row],[RET ISR]]-Table1[[#This Row],[TOTAL]]</f>
        <v>0</v>
      </c>
      <c r="AK6549" s="306" t="str">
        <f>IF(ISNUMBER(Table1[[#This Row],[FECHA DE RECIBIDO]]), Table1[[#This Row],[FECHA DE RECIBIDO]]-DATE(2023,8,30), "")</f>
        <v/>
      </c>
    </row>
    <row r="6550" spans="1:37" ht="16.05" customHeight="1">
      <c r="A6550" s="172" t="s">
        <v>5423</v>
      </c>
      <c r="B6550" s="178">
        <v>2349</v>
      </c>
      <c r="C6550" s="179" t="s">
        <v>1181</v>
      </c>
      <c r="D6550">
        <v>689</v>
      </c>
      <c r="E6550" s="125"/>
      <c r="F6550" s="178"/>
      <c r="G6550" s="178"/>
      <c r="H6550"/>
      <c r="I6550" s="178"/>
      <c r="J6550" s="320" t="s">
        <v>214</v>
      </c>
      <c r="K6550" s="178" t="s">
        <v>5428</v>
      </c>
      <c r="L6550" s="125" t="s">
        <v>1483</v>
      </c>
      <c r="M6550">
        <v>215</v>
      </c>
      <c r="N6550" s="182">
        <v>17</v>
      </c>
      <c r="O6550">
        <v>4322</v>
      </c>
      <c r="P6550" s="176" t="s">
        <v>77</v>
      </c>
      <c r="Q6550" s="176">
        <v>294.64</v>
      </c>
      <c r="R6550" s="176"/>
      <c r="S6550" s="176"/>
      <c r="T6550" s="190"/>
      <c r="U6550" s="191"/>
      <c r="V6550" s="191">
        <v>294.64</v>
      </c>
      <c r="W6550">
        <v>227</v>
      </c>
      <c r="X6550" s="186" t="s">
        <v>3451</v>
      </c>
      <c r="Y6550" s="187" t="s">
        <v>55</v>
      </c>
      <c r="Z6550" s="311">
        <v>309</v>
      </c>
      <c r="AB6550" t="str">
        <f>IF(Table1[[#This Row],[TIPO2]]="costo", VLOOKUP(Table1[[#This Row],[PARTIDA PRESUPUESTAL]],'Cost Report'!G:G,1,0),"Balance")</f>
        <v>3904-003</v>
      </c>
      <c r="AD6550" s="159">
        <f>+Table1[[#This Row],[SUBTOTAL]]+Table1[[#This Row],[IVA]]-Table1[[#This Row],[RET IVA]]-Table1[[#This Row],[RET ISR]]-Table1[[#This Row],[TOTAL]]</f>
        <v>0</v>
      </c>
      <c r="AK6550" s="306" t="str">
        <f>IF(ISNUMBER(Table1[[#This Row],[FECHA DE RECIBIDO]]), Table1[[#This Row],[FECHA DE RECIBIDO]]-DATE(2023,8,30), "")</f>
        <v/>
      </c>
    </row>
    <row r="6551" spans="1:37" ht="16.05" customHeight="1">
      <c r="A6551" s="172" t="s">
        <v>5423</v>
      </c>
      <c r="B6551" s="178">
        <v>2349</v>
      </c>
      <c r="C6551" s="179" t="s">
        <v>1181</v>
      </c>
      <c r="D6551">
        <v>689</v>
      </c>
      <c r="E6551" s="125"/>
      <c r="F6551" s="178"/>
      <c r="G6551" s="178"/>
      <c r="H6551"/>
      <c r="I6551" s="178"/>
      <c r="J6551" s="320" t="s">
        <v>214</v>
      </c>
      <c r="K6551" s="178" t="s">
        <v>5428</v>
      </c>
      <c r="L6551" s="125" t="s">
        <v>1483</v>
      </c>
      <c r="M6551">
        <v>215</v>
      </c>
      <c r="N6551" s="182">
        <v>17</v>
      </c>
      <c r="O6551">
        <v>4322</v>
      </c>
      <c r="P6551" s="176" t="s">
        <v>77</v>
      </c>
      <c r="Q6551" s="176">
        <v>160.06</v>
      </c>
      <c r="R6551" s="176"/>
      <c r="S6551" s="176"/>
      <c r="T6551" s="190"/>
      <c r="U6551" s="191"/>
      <c r="V6551" s="191">
        <v>160.06</v>
      </c>
      <c r="W6551">
        <v>227</v>
      </c>
      <c r="X6551" s="186" t="s">
        <v>3451</v>
      </c>
      <c r="Y6551" s="187" t="s">
        <v>55</v>
      </c>
      <c r="Z6551" s="311" t="s">
        <v>214</v>
      </c>
      <c r="AB6551" t="str">
        <f>IF(Table1[[#This Row],[TIPO2]]="costo", VLOOKUP(Table1[[#This Row],[PARTIDA PRESUPUESTAL]],'Cost Report'!G:G,1,0),"Balance")</f>
        <v>3904-003</v>
      </c>
      <c r="AD6551" s="159">
        <f>+Table1[[#This Row],[SUBTOTAL]]+Table1[[#This Row],[IVA]]-Table1[[#This Row],[RET IVA]]-Table1[[#This Row],[RET ISR]]-Table1[[#This Row],[TOTAL]]</f>
        <v>0</v>
      </c>
      <c r="AK6551" s="306" t="str">
        <f>IF(ISNUMBER(Table1[[#This Row],[FECHA DE RECIBIDO]]), Table1[[#This Row],[FECHA DE RECIBIDO]]-DATE(2023,8,30), "")</f>
        <v/>
      </c>
    </row>
    <row r="6552" spans="1:37" ht="16.05" customHeight="1">
      <c r="A6552" s="172" t="s">
        <v>5423</v>
      </c>
      <c r="B6552" s="178">
        <v>2349</v>
      </c>
      <c r="C6552" s="179" t="s">
        <v>1181</v>
      </c>
      <c r="D6552">
        <v>689</v>
      </c>
      <c r="E6552" s="125"/>
      <c r="F6552" s="178"/>
      <c r="G6552" s="178"/>
      <c r="H6552"/>
      <c r="I6552" s="178"/>
      <c r="J6552" s="320" t="s">
        <v>214</v>
      </c>
      <c r="K6552" s="178" t="s">
        <v>5428</v>
      </c>
      <c r="L6552" s="125" t="s">
        <v>1483</v>
      </c>
      <c r="M6552">
        <v>215</v>
      </c>
      <c r="N6552" s="182">
        <v>17</v>
      </c>
      <c r="O6552">
        <v>4322</v>
      </c>
      <c r="P6552" s="176" t="s">
        <v>77</v>
      </c>
      <c r="Q6552" s="176">
        <v>187.78</v>
      </c>
      <c r="R6552" s="176"/>
      <c r="S6552" s="176"/>
      <c r="T6552" s="190"/>
      <c r="U6552" s="191"/>
      <c r="V6552" s="191">
        <v>187.78</v>
      </c>
      <c r="W6552">
        <v>227</v>
      </c>
      <c r="X6552" s="186" t="s">
        <v>3451</v>
      </c>
      <c r="Y6552" s="187" t="s">
        <v>55</v>
      </c>
      <c r="Z6552" s="311">
        <v>341</v>
      </c>
      <c r="AB6552" t="str">
        <f>IF(Table1[[#This Row],[TIPO2]]="costo", VLOOKUP(Table1[[#This Row],[PARTIDA PRESUPUESTAL]],'Cost Report'!G:G,1,0),"Balance")</f>
        <v>3904-003</v>
      </c>
      <c r="AD6552" s="159">
        <f>+Table1[[#This Row],[SUBTOTAL]]+Table1[[#This Row],[IVA]]-Table1[[#This Row],[RET IVA]]-Table1[[#This Row],[RET ISR]]-Table1[[#This Row],[TOTAL]]</f>
        <v>0</v>
      </c>
      <c r="AK6552" s="306" t="str">
        <f>IF(ISNUMBER(Table1[[#This Row],[FECHA DE RECIBIDO]]), Table1[[#This Row],[FECHA DE RECIBIDO]]-DATE(2023,8,30), "")</f>
        <v/>
      </c>
    </row>
    <row r="6553" spans="1:37" ht="16.05" customHeight="1">
      <c r="A6553" s="172" t="s">
        <v>5423</v>
      </c>
      <c r="B6553" s="178">
        <v>2349</v>
      </c>
      <c r="C6553" s="179" t="s">
        <v>1181</v>
      </c>
      <c r="D6553">
        <v>689</v>
      </c>
      <c r="E6553" s="125"/>
      <c r="F6553" s="178"/>
      <c r="G6553" s="178"/>
      <c r="H6553"/>
      <c r="I6553" s="178"/>
      <c r="J6553" s="320" t="s">
        <v>214</v>
      </c>
      <c r="K6553" s="178" t="s">
        <v>5428</v>
      </c>
      <c r="L6553" s="125" t="s">
        <v>1483</v>
      </c>
      <c r="M6553">
        <v>215</v>
      </c>
      <c r="N6553" s="182">
        <v>17</v>
      </c>
      <c r="O6553">
        <v>4322</v>
      </c>
      <c r="P6553" s="176" t="s">
        <v>77</v>
      </c>
      <c r="Q6553" s="176">
        <v>126.48</v>
      </c>
      <c r="R6553" s="176"/>
      <c r="S6553" s="176"/>
      <c r="T6553" s="190"/>
      <c r="U6553" s="191"/>
      <c r="V6553" s="191">
        <v>126.48</v>
      </c>
      <c r="W6553">
        <v>227</v>
      </c>
      <c r="X6553" s="186" t="s">
        <v>3451</v>
      </c>
      <c r="Y6553" s="187" t="s">
        <v>55</v>
      </c>
      <c r="Z6553" s="311">
        <v>372</v>
      </c>
      <c r="AB6553" t="str">
        <f>IF(Table1[[#This Row],[TIPO2]]="costo", VLOOKUP(Table1[[#This Row],[PARTIDA PRESUPUESTAL]],'Cost Report'!G:G,1,0),"Balance")</f>
        <v>3904-003</v>
      </c>
      <c r="AD6553" s="159">
        <f>+Table1[[#This Row],[SUBTOTAL]]+Table1[[#This Row],[IVA]]-Table1[[#This Row],[RET IVA]]-Table1[[#This Row],[RET ISR]]-Table1[[#This Row],[TOTAL]]</f>
        <v>0</v>
      </c>
      <c r="AK6553" s="306" t="str">
        <f>IF(ISNUMBER(Table1[[#This Row],[FECHA DE RECIBIDO]]), Table1[[#This Row],[FECHA DE RECIBIDO]]-DATE(2023,8,30), "")</f>
        <v/>
      </c>
    </row>
    <row r="6554" spans="1:37" ht="16.05" customHeight="1">
      <c r="A6554" s="172" t="s">
        <v>5424</v>
      </c>
      <c r="B6554" s="178">
        <v>2350</v>
      </c>
      <c r="C6554" s="179" t="s">
        <v>2953</v>
      </c>
      <c r="D6554">
        <v>689</v>
      </c>
      <c r="E6554" s="125"/>
      <c r="F6554" s="178"/>
      <c r="G6554" s="178"/>
      <c r="H6554"/>
      <c r="I6554" s="178"/>
      <c r="J6554" s="320" t="s">
        <v>214</v>
      </c>
      <c r="K6554" s="178" t="s">
        <v>5428</v>
      </c>
      <c r="L6554" s="125" t="s">
        <v>1483</v>
      </c>
      <c r="M6554">
        <v>1511</v>
      </c>
      <c r="N6554" s="182">
        <v>17</v>
      </c>
      <c r="O6554">
        <v>4323</v>
      </c>
      <c r="P6554" s="176" t="s">
        <v>77</v>
      </c>
      <c r="Q6554" s="176">
        <v>4724.37</v>
      </c>
      <c r="R6554" s="176"/>
      <c r="S6554" s="176"/>
      <c r="T6554" s="190"/>
      <c r="U6554" s="191"/>
      <c r="V6554" s="191">
        <v>4724.37</v>
      </c>
      <c r="W6554">
        <v>225</v>
      </c>
      <c r="X6554" s="186" t="s">
        <v>3451</v>
      </c>
      <c r="Y6554" s="187" t="s">
        <v>55</v>
      </c>
      <c r="Z6554" s="311">
        <v>127</v>
      </c>
      <c r="AB6554" t="str">
        <f>IF(Table1[[#This Row],[TIPO2]]="costo", VLOOKUP(Table1[[#This Row],[PARTIDA PRESUPUESTAL]],'Cost Report'!G:G,1,0),"Balance")</f>
        <v>3901-049</v>
      </c>
      <c r="AD6554" s="159">
        <f>+Table1[[#This Row],[SUBTOTAL]]+Table1[[#This Row],[IVA]]-Table1[[#This Row],[RET IVA]]-Table1[[#This Row],[RET ISR]]-Table1[[#This Row],[TOTAL]]</f>
        <v>0</v>
      </c>
      <c r="AK6554" s="306" t="str">
        <f>IF(ISNUMBER(Table1[[#This Row],[FECHA DE RECIBIDO]]), Table1[[#This Row],[FECHA DE RECIBIDO]]-DATE(2023,8,30), "")</f>
        <v/>
      </c>
    </row>
    <row r="6555" spans="1:37" ht="16.05" customHeight="1">
      <c r="A6555" s="172" t="s">
        <v>5424</v>
      </c>
      <c r="B6555" s="178">
        <v>2350</v>
      </c>
      <c r="C6555" s="179" t="s">
        <v>4210</v>
      </c>
      <c r="D6555">
        <v>689</v>
      </c>
      <c r="E6555" s="125"/>
      <c r="F6555" s="178"/>
      <c r="G6555" s="178"/>
      <c r="H6555"/>
      <c r="I6555" s="178"/>
      <c r="J6555" s="320" t="s">
        <v>214</v>
      </c>
      <c r="K6555" s="178" t="s">
        <v>5428</v>
      </c>
      <c r="L6555" s="125" t="s">
        <v>1483</v>
      </c>
      <c r="M6555">
        <v>661</v>
      </c>
      <c r="N6555" s="182">
        <v>17</v>
      </c>
      <c r="O6555">
        <v>4324</v>
      </c>
      <c r="P6555" s="176" t="s">
        <v>77</v>
      </c>
      <c r="Q6555" s="176">
        <v>2150</v>
      </c>
      <c r="R6555" s="176"/>
      <c r="S6555" s="176"/>
      <c r="T6555" s="190"/>
      <c r="U6555" s="191"/>
      <c r="V6555" s="191">
        <v>2150</v>
      </c>
      <c r="W6555">
        <v>225</v>
      </c>
      <c r="X6555" s="186" t="s">
        <v>3451</v>
      </c>
      <c r="Y6555" s="187" t="s">
        <v>55</v>
      </c>
      <c r="Z6555" s="311">
        <v>248</v>
      </c>
      <c r="AB6555" t="str">
        <f>IF(Table1[[#This Row],[TIPO2]]="costo", VLOOKUP(Table1[[#This Row],[PARTIDA PRESUPUESTAL]],'Cost Report'!G:G,1,0),"Balance")</f>
        <v>3901-051</v>
      </c>
      <c r="AD6555" s="159">
        <f>+Table1[[#This Row],[SUBTOTAL]]+Table1[[#This Row],[IVA]]-Table1[[#This Row],[RET IVA]]-Table1[[#This Row],[RET ISR]]-Table1[[#This Row],[TOTAL]]</f>
        <v>0</v>
      </c>
      <c r="AK6555" s="306" t="str">
        <f>IF(ISNUMBER(Table1[[#This Row],[FECHA DE RECIBIDO]]), Table1[[#This Row],[FECHA DE RECIBIDO]]-DATE(2023,8,30), "")</f>
        <v/>
      </c>
    </row>
    <row r="6556" spans="1:37" ht="16.05" customHeight="1">
      <c r="A6556" s="172" t="s">
        <v>5424</v>
      </c>
      <c r="B6556" s="178">
        <v>2350</v>
      </c>
      <c r="C6556" s="179" t="s">
        <v>2352</v>
      </c>
      <c r="D6556">
        <v>689</v>
      </c>
      <c r="E6556" s="125"/>
      <c r="F6556" s="178"/>
      <c r="G6556" s="178"/>
      <c r="H6556"/>
      <c r="I6556" s="178"/>
      <c r="J6556" s="320" t="s">
        <v>214</v>
      </c>
      <c r="K6556" s="178" t="s">
        <v>5428</v>
      </c>
      <c r="L6556" s="125" t="s">
        <v>1483</v>
      </c>
      <c r="M6556">
        <v>1523</v>
      </c>
      <c r="N6556" s="182">
        <v>17</v>
      </c>
      <c r="O6556">
        <v>4325</v>
      </c>
      <c r="P6556" s="176" t="s">
        <v>77</v>
      </c>
      <c r="Q6556" s="176">
        <v>3950</v>
      </c>
      <c r="R6556" s="176"/>
      <c r="S6556" s="176"/>
      <c r="T6556" s="190"/>
      <c r="U6556" s="191"/>
      <c r="V6556" s="191">
        <v>3950</v>
      </c>
      <c r="W6556">
        <v>225</v>
      </c>
      <c r="X6556" s="186" t="s">
        <v>3451</v>
      </c>
      <c r="Y6556" s="187" t="s">
        <v>55</v>
      </c>
      <c r="Z6556" s="311" t="s">
        <v>214</v>
      </c>
      <c r="AB6556" t="str">
        <f>IF(Table1[[#This Row],[TIPO2]]="costo", VLOOKUP(Table1[[#This Row],[PARTIDA PRESUPUESTAL]],'Cost Report'!G:G,1,0),"Balance")</f>
        <v>1640-009</v>
      </c>
      <c r="AD6556" s="159">
        <f>+Table1[[#This Row],[SUBTOTAL]]+Table1[[#This Row],[IVA]]-Table1[[#This Row],[RET IVA]]-Table1[[#This Row],[RET ISR]]-Table1[[#This Row],[TOTAL]]</f>
        <v>0</v>
      </c>
      <c r="AK6556" s="306" t="str">
        <f>IF(ISNUMBER(Table1[[#This Row],[FECHA DE RECIBIDO]]), Table1[[#This Row],[FECHA DE RECIBIDO]]-DATE(2023,8,30), "")</f>
        <v/>
      </c>
    </row>
    <row r="6557" spans="1:37" ht="16.05" customHeight="1">
      <c r="A6557" s="172" t="s">
        <v>5425</v>
      </c>
      <c r="B6557" s="178">
        <v>2351</v>
      </c>
      <c r="C6557" s="179" t="s">
        <v>3415</v>
      </c>
      <c r="D6557">
        <v>4480</v>
      </c>
      <c r="E6557" s="125">
        <v>11529</v>
      </c>
      <c r="F6557" s="178">
        <v>601</v>
      </c>
      <c r="G6557" s="178" t="s">
        <v>134</v>
      </c>
      <c r="H6557">
        <v>45</v>
      </c>
      <c r="I6557" s="178" t="s">
        <v>1546</v>
      </c>
      <c r="J6557" s="320">
        <v>299.51034722222539</v>
      </c>
      <c r="K6557" s="178" t="s">
        <v>5428</v>
      </c>
      <c r="L6557" s="125" t="s">
        <v>1483</v>
      </c>
      <c r="M6557">
        <v>56</v>
      </c>
      <c r="N6557" s="182">
        <v>17</v>
      </c>
      <c r="O6557">
        <v>4326</v>
      </c>
      <c r="P6557" s="176" t="s">
        <v>77</v>
      </c>
      <c r="Q6557" s="176">
        <v>1724.14</v>
      </c>
      <c r="R6557" s="176">
        <v>275.86</v>
      </c>
      <c r="S6557" s="176"/>
      <c r="T6557" s="190"/>
      <c r="U6557" s="191"/>
      <c r="V6557" s="191">
        <v>2000</v>
      </c>
      <c r="W6557">
        <v>93</v>
      </c>
      <c r="X6557" s="186" t="s">
        <v>3451</v>
      </c>
      <c r="Y6557" s="187" t="s">
        <v>55</v>
      </c>
      <c r="Z6557" s="311" t="s">
        <v>214</v>
      </c>
      <c r="AB6557" t="str">
        <f>IF(Table1[[#This Row],[TIPO2]]="costo", VLOOKUP(Table1[[#This Row],[PARTIDA PRESUPUESTAL]],'Cost Report'!G:G,1,0),"Balance")</f>
        <v>3629-006</v>
      </c>
      <c r="AD6557" s="159">
        <f>+Table1[[#This Row],[SUBTOTAL]]+Table1[[#This Row],[IVA]]-Table1[[#This Row],[RET IVA]]-Table1[[#This Row],[RET ISR]]-Table1[[#This Row],[TOTAL]]</f>
        <v>0</v>
      </c>
      <c r="AK6557" s="306">
        <f>IF(ISNUMBER(Table1[[#This Row],[FECHA DE RECIBIDO]]), Table1[[#This Row],[FECHA DE RECIBIDO]]-DATE(2023,8,30), "")</f>
        <v>-44868.489652777775</v>
      </c>
    </row>
    <row r="6558" spans="1:37" ht="16.05" customHeight="1">
      <c r="A6558" s="172" t="s">
        <v>5426</v>
      </c>
      <c r="B6558" s="178">
        <v>2352</v>
      </c>
      <c r="C6558" s="179" t="s">
        <v>2352</v>
      </c>
      <c r="D6558">
        <v>689</v>
      </c>
      <c r="E6558" s="125"/>
      <c r="F6558" s="178"/>
      <c r="G6558" s="178"/>
      <c r="H6558"/>
      <c r="I6558" s="178"/>
      <c r="J6558" s="320" t="s">
        <v>214</v>
      </c>
      <c r="K6558" s="178" t="s">
        <v>5428</v>
      </c>
      <c r="L6558" s="125" t="s">
        <v>1483</v>
      </c>
      <c r="M6558">
        <v>178</v>
      </c>
      <c r="N6558" s="182">
        <v>17</v>
      </c>
      <c r="O6558">
        <v>4327</v>
      </c>
      <c r="P6558" s="176" t="s">
        <v>77</v>
      </c>
      <c r="Q6558" s="176">
        <v>301</v>
      </c>
      <c r="R6558" s="176"/>
      <c r="S6558" s="176"/>
      <c r="T6558" s="190"/>
      <c r="U6558" s="191"/>
      <c r="V6558" s="191">
        <v>301</v>
      </c>
      <c r="W6558">
        <v>225</v>
      </c>
      <c r="X6558" s="186" t="s">
        <v>3451</v>
      </c>
      <c r="Y6558" s="187" t="s">
        <v>55</v>
      </c>
      <c r="Z6558" s="311" t="s">
        <v>214</v>
      </c>
      <c r="AB6558" t="str">
        <f>IF(Table1[[#This Row],[TIPO2]]="costo", VLOOKUP(Table1[[#This Row],[PARTIDA PRESUPUESTAL]],'Cost Report'!G:G,1,0),"Balance")</f>
        <v>1640-009</v>
      </c>
      <c r="AD6558" s="159">
        <f>+Table1[[#This Row],[SUBTOTAL]]+Table1[[#This Row],[IVA]]-Table1[[#This Row],[RET IVA]]-Table1[[#This Row],[RET ISR]]-Table1[[#This Row],[TOTAL]]</f>
        <v>0</v>
      </c>
      <c r="AK6558" s="306" t="str">
        <f>IF(ISNUMBER(Table1[[#This Row],[FECHA DE RECIBIDO]]), Table1[[#This Row],[FECHA DE RECIBIDO]]-DATE(2023,8,30), "")</f>
        <v/>
      </c>
    </row>
    <row r="6559" spans="1:37" ht="16.05" customHeight="1">
      <c r="A6559" s="172" t="s">
        <v>5426</v>
      </c>
      <c r="B6559" s="178">
        <v>2352</v>
      </c>
      <c r="C6559" s="179" t="s">
        <v>2352</v>
      </c>
      <c r="D6559">
        <v>689</v>
      </c>
      <c r="E6559" s="125"/>
      <c r="F6559" s="178"/>
      <c r="G6559" s="178"/>
      <c r="H6559"/>
      <c r="I6559" s="178"/>
      <c r="J6559" s="320" t="s">
        <v>214</v>
      </c>
      <c r="K6559" s="178" t="s">
        <v>5428</v>
      </c>
      <c r="L6559" s="125" t="s">
        <v>1483</v>
      </c>
      <c r="M6559">
        <v>178</v>
      </c>
      <c r="N6559" s="182">
        <v>17</v>
      </c>
      <c r="O6559">
        <v>4328</v>
      </c>
      <c r="P6559" s="176" t="s">
        <v>77</v>
      </c>
      <c r="Q6559" s="176">
        <v>3318.34</v>
      </c>
      <c r="R6559" s="176"/>
      <c r="S6559" s="176"/>
      <c r="T6559" s="190"/>
      <c r="U6559" s="191"/>
      <c r="V6559" s="191">
        <v>3318.34</v>
      </c>
      <c r="W6559">
        <v>225</v>
      </c>
      <c r="X6559" s="186" t="s">
        <v>3451</v>
      </c>
      <c r="Y6559" s="187" t="s">
        <v>55</v>
      </c>
      <c r="Z6559" s="311" t="s">
        <v>214</v>
      </c>
      <c r="AB6559" t="str">
        <f>IF(Table1[[#This Row],[TIPO2]]="costo", VLOOKUP(Table1[[#This Row],[PARTIDA PRESUPUESTAL]],'Cost Report'!G:G,1,0),"Balance")</f>
        <v>1640-009</v>
      </c>
      <c r="AD6559" s="159">
        <f>+Table1[[#This Row],[SUBTOTAL]]+Table1[[#This Row],[IVA]]-Table1[[#This Row],[RET IVA]]-Table1[[#This Row],[RET ISR]]-Table1[[#This Row],[TOTAL]]</f>
        <v>0</v>
      </c>
      <c r="AK6559" s="306" t="str">
        <f>IF(ISNUMBER(Table1[[#This Row],[FECHA DE RECIBIDO]]), Table1[[#This Row],[FECHA DE RECIBIDO]]-DATE(2023,8,30), "")</f>
        <v/>
      </c>
    </row>
    <row r="6560" spans="1:37" ht="16.05" customHeight="1">
      <c r="A6560" s="172" t="s">
        <v>5426</v>
      </c>
      <c r="B6560" s="178">
        <v>2352</v>
      </c>
      <c r="C6560" s="179" t="s">
        <v>2352</v>
      </c>
      <c r="D6560">
        <v>689</v>
      </c>
      <c r="E6560" s="125"/>
      <c r="F6560" s="178"/>
      <c r="G6560" s="178"/>
      <c r="H6560"/>
      <c r="I6560" s="178"/>
      <c r="J6560" s="320" t="s">
        <v>214</v>
      </c>
      <c r="K6560" s="178" t="s">
        <v>5428</v>
      </c>
      <c r="L6560" s="125" t="s">
        <v>1483</v>
      </c>
      <c r="M6560">
        <v>178</v>
      </c>
      <c r="N6560" s="182">
        <v>17</v>
      </c>
      <c r="O6560">
        <v>4329</v>
      </c>
      <c r="P6560" s="176" t="s">
        <v>77</v>
      </c>
      <c r="Q6560" s="176">
        <v>4318.34</v>
      </c>
      <c r="R6560" s="176"/>
      <c r="S6560" s="176"/>
      <c r="T6560" s="190"/>
      <c r="U6560" s="191"/>
      <c r="V6560" s="191">
        <v>4318.34</v>
      </c>
      <c r="W6560">
        <v>225</v>
      </c>
      <c r="X6560" s="186" t="s">
        <v>3451</v>
      </c>
      <c r="Y6560" s="187" t="s">
        <v>55</v>
      </c>
      <c r="Z6560" s="311" t="s">
        <v>214</v>
      </c>
      <c r="AB6560" t="str">
        <f>IF(Table1[[#This Row],[TIPO2]]="costo", VLOOKUP(Table1[[#This Row],[PARTIDA PRESUPUESTAL]],'Cost Report'!G:G,1,0),"Balance")</f>
        <v>1640-009</v>
      </c>
      <c r="AD6560" s="159">
        <f>+Table1[[#This Row],[SUBTOTAL]]+Table1[[#This Row],[IVA]]-Table1[[#This Row],[RET IVA]]-Table1[[#This Row],[RET ISR]]-Table1[[#This Row],[TOTAL]]</f>
        <v>0</v>
      </c>
      <c r="AK6560" s="306" t="str">
        <f>IF(ISNUMBER(Table1[[#This Row],[FECHA DE RECIBIDO]]), Table1[[#This Row],[FECHA DE RECIBIDO]]-DATE(2023,8,30), "")</f>
        <v/>
      </c>
    </row>
    <row r="6561" spans="1:37" ht="16.05" customHeight="1">
      <c r="A6561" s="172" t="s">
        <v>5427</v>
      </c>
      <c r="B6561" s="178">
        <v>2353</v>
      </c>
      <c r="C6561" s="179" t="s">
        <v>2868</v>
      </c>
      <c r="D6561">
        <v>4481</v>
      </c>
      <c r="E6561" s="125">
        <v>6140</v>
      </c>
      <c r="F6561" s="178">
        <v>601</v>
      </c>
      <c r="G6561" s="178" t="s">
        <v>134</v>
      </c>
      <c r="H6561">
        <v>59</v>
      </c>
      <c r="I6561" s="178" t="s">
        <v>1546</v>
      </c>
      <c r="J6561" s="320">
        <v>286.99998842592322</v>
      </c>
      <c r="K6561" s="178" t="s">
        <v>5428</v>
      </c>
      <c r="L6561" s="125" t="s">
        <v>1483</v>
      </c>
      <c r="M6561">
        <v>82</v>
      </c>
      <c r="N6561" s="182">
        <v>17</v>
      </c>
      <c r="O6561">
        <v>4330</v>
      </c>
      <c r="P6561" s="176" t="s">
        <v>77</v>
      </c>
      <c r="Q6561" s="176">
        <f>125895.51+2932.98</f>
        <v>128828.48999999999</v>
      </c>
      <c r="R6561" s="176">
        <v>20143.240000000002</v>
      </c>
      <c r="S6561" s="176">
        <v>2932.98</v>
      </c>
      <c r="T6561" s="190"/>
      <c r="U6561" s="191"/>
      <c r="V6561" s="191">
        <v>148971.73000000001</v>
      </c>
      <c r="W6561"/>
      <c r="X6561" s="186" t="s">
        <v>1656</v>
      </c>
      <c r="Y6561" s="187" t="s">
        <v>55</v>
      </c>
      <c r="Z6561" s="311" t="s">
        <v>214</v>
      </c>
      <c r="AB6561" t="str">
        <f>IF(Table1[[#This Row],[TIPO2]]="costo", VLOOKUP(Table1[[#This Row],[PARTIDA PRESUPUESTAL]],'Cost Report'!G:G,1,0),"Balance")</f>
        <v>3632-009</v>
      </c>
      <c r="AD6561" s="159">
        <f>+Table1[[#This Row],[SUBTOTAL]]+Table1[[#This Row],[IVA]]-Table1[[#This Row],[RET IVA]]-Table1[[#This Row],[RET ISR]]-Table1[[#This Row],[TOTAL]]</f>
        <v>0</v>
      </c>
      <c r="AK6561" s="306">
        <f>IF(ISNUMBER(Table1[[#This Row],[FECHA DE RECIBIDO]]), Table1[[#This Row],[FECHA DE RECIBIDO]]-DATE(2023,8,30), "")</f>
        <v>-44881.000011574077</v>
      </c>
    </row>
    <row r="6562" spans="1:37">
      <c r="A6562" s="172" t="s">
        <v>4623</v>
      </c>
      <c r="B6562" s="205">
        <v>1606</v>
      </c>
      <c r="C6562" s="179" t="s">
        <v>71</v>
      </c>
      <c r="D6562"/>
      <c r="E6562" s="125"/>
      <c r="F6562" s="206"/>
      <c r="G6562" s="206"/>
      <c r="H6562"/>
      <c r="I6562" s="206"/>
      <c r="J6562" s="321" t="s">
        <v>214</v>
      </c>
      <c r="K6562" s="178" t="s">
        <v>5428</v>
      </c>
      <c r="L6562" s="151" t="s">
        <v>1643</v>
      </c>
      <c r="M6562">
        <v>1524</v>
      </c>
      <c r="N6562" s="207"/>
      <c r="O6562">
        <v>4331</v>
      </c>
      <c r="P6562" s="203" t="s">
        <v>78</v>
      </c>
      <c r="Q6562" s="203">
        <v>-22732.36</v>
      </c>
      <c r="R6562" s="203"/>
      <c r="S6562" s="203"/>
      <c r="T6562" s="155">
        <v>0</v>
      </c>
      <c r="U6562" s="203"/>
      <c r="V6562" s="203">
        <f>+Table1[[#This Row],[SUBTOTAL]]</f>
        <v>-22732.36</v>
      </c>
      <c r="W6562"/>
      <c r="X6562" s="208"/>
      <c r="Y6562" s="135"/>
      <c r="Z6562" s="313">
        <v>212</v>
      </c>
      <c r="AB6562" t="s">
        <v>78</v>
      </c>
      <c r="AC6562" s="118"/>
      <c r="AD6562" s="159">
        <v>0</v>
      </c>
      <c r="AE6562" s="150"/>
      <c r="AF6562" s="151"/>
      <c r="AG6562" s="126"/>
      <c r="AK6562" s="306" t="str">
        <f>IF(ISNUMBER(Table1[[#This Row],[FECHA DE RECIBIDO]]), Table1[[#This Row],[FECHA DE RECIBIDO]]-DATE(2023,8,30), "")</f>
        <v/>
      </c>
    </row>
    <row r="6563" spans="1:37">
      <c r="A6563" s="172"/>
      <c r="B6563" s="178"/>
      <c r="C6563" s="179" t="s">
        <v>71</v>
      </c>
      <c r="D6563"/>
      <c r="E6563" s="125"/>
      <c r="F6563" s="178"/>
      <c r="G6563" s="178"/>
      <c r="H6563"/>
      <c r="I6563" s="178"/>
      <c r="J6563" s="320" t="s">
        <v>214</v>
      </c>
      <c r="K6563" s="178" t="s">
        <v>5428</v>
      </c>
      <c r="L6563" s="125" t="s">
        <v>1643</v>
      </c>
      <c r="M6563">
        <v>1524</v>
      </c>
      <c r="N6563" s="182"/>
      <c r="O6563">
        <v>4332</v>
      </c>
      <c r="P6563" s="203" t="s">
        <v>78</v>
      </c>
      <c r="Q6563" s="176">
        <v>-148971.73000000001</v>
      </c>
      <c r="R6563" s="176"/>
      <c r="S6563" s="176"/>
      <c r="T6563" s="183">
        <v>0</v>
      </c>
      <c r="U6563" s="184"/>
      <c r="V6563" s="203">
        <f>+Table1[[#This Row],[SUBTOTAL]]</f>
        <v>-148971.73000000001</v>
      </c>
      <c r="W6563"/>
      <c r="X6563" s="186"/>
      <c r="Y6563" s="187"/>
      <c r="Z6563" s="311">
        <v>212</v>
      </c>
      <c r="AB6563" t="s">
        <v>78</v>
      </c>
      <c r="AD6563" s="159">
        <v>0</v>
      </c>
      <c r="AK6563" s="306" t="str">
        <f>IF(ISNUMBER(Table1[[#This Row],[FECHA DE RECIBIDO]]), Table1[[#This Row],[FECHA DE RECIBIDO]]-DATE(2023,8,30), "")</f>
        <v/>
      </c>
    </row>
    <row r="6564" spans="1:37" ht="16.05" customHeight="1">
      <c r="A6564" s="172" t="s">
        <v>5429</v>
      </c>
      <c r="B6564" s="178">
        <v>2354</v>
      </c>
      <c r="C6564" s="179" t="s">
        <v>2890</v>
      </c>
      <c r="D6564">
        <v>4482</v>
      </c>
      <c r="E6564" s="125" t="s">
        <v>3171</v>
      </c>
      <c r="F6564" s="178">
        <v>621</v>
      </c>
      <c r="G6564" s="178" t="s">
        <v>1617</v>
      </c>
      <c r="H6564">
        <v>201</v>
      </c>
      <c r="I6564" s="178" t="s">
        <v>1546</v>
      </c>
      <c r="J6564" s="320">
        <v>306.55229166666686</v>
      </c>
      <c r="K6564" s="178" t="s">
        <v>5443</v>
      </c>
      <c r="L6564" s="125" t="s">
        <v>110</v>
      </c>
      <c r="M6564">
        <v>266</v>
      </c>
      <c r="N6564" s="182">
        <v>66</v>
      </c>
      <c r="O6564">
        <v>4333</v>
      </c>
      <c r="P6564" s="176" t="s">
        <v>77</v>
      </c>
      <c r="Q6564" s="176">
        <v>5000</v>
      </c>
      <c r="R6564" s="176">
        <v>800</v>
      </c>
      <c r="S6564" s="176"/>
      <c r="T6564" s="190">
        <v>533.34</v>
      </c>
      <c r="U6564" s="191">
        <v>0</v>
      </c>
      <c r="V6564" s="191">
        <v>5266.66</v>
      </c>
      <c r="W6564">
        <v>122</v>
      </c>
      <c r="X6564" s="186" t="s">
        <v>1434</v>
      </c>
      <c r="Y6564" s="187" t="s">
        <v>55</v>
      </c>
      <c r="Z6564" s="311">
        <v>310</v>
      </c>
      <c r="AB6564" t="str">
        <f>IF(Table1[[#This Row],[TIPO2]]="costo", VLOOKUP(Table1[[#This Row],[PARTIDA PRESUPUESTAL]],'Cost Report'!G:G,1,0),"Balance")</f>
        <v>3683-127</v>
      </c>
      <c r="AD6564" s="159">
        <f>+Table1[[#This Row],[SUBTOTAL]]+Table1[[#This Row],[IVA]]-Table1[[#This Row],[RET IVA]]-Table1[[#This Row],[RET ISR]]-Table1[[#This Row],[TOTAL]]</f>
        <v>0</v>
      </c>
      <c r="AK6564" s="306">
        <f>IF(ISNUMBER(Table1[[#This Row],[FECHA DE RECIBIDO]]), Table1[[#This Row],[FECHA DE RECIBIDO]]-DATE(2023,8,30), "")</f>
        <v>-44861.447708333333</v>
      </c>
    </row>
    <row r="6565" spans="1:37" ht="16.05" customHeight="1">
      <c r="A6565" s="172" t="s">
        <v>5430</v>
      </c>
      <c r="B6565" s="178">
        <v>2355</v>
      </c>
      <c r="C6565" s="179" t="s">
        <v>2890</v>
      </c>
      <c r="D6565">
        <v>4483</v>
      </c>
      <c r="E6565" s="125" t="s">
        <v>3171</v>
      </c>
      <c r="F6565" s="178">
        <v>621</v>
      </c>
      <c r="G6565" s="178" t="s">
        <v>1617</v>
      </c>
      <c r="H6565">
        <v>201</v>
      </c>
      <c r="I6565" s="178" t="s">
        <v>1546</v>
      </c>
      <c r="J6565" s="320">
        <v>306.55434027777665</v>
      </c>
      <c r="K6565" s="178" t="s">
        <v>5443</v>
      </c>
      <c r="L6565" s="125" t="s">
        <v>110</v>
      </c>
      <c r="M6565">
        <v>266</v>
      </c>
      <c r="N6565" s="182">
        <v>66</v>
      </c>
      <c r="O6565">
        <v>4334</v>
      </c>
      <c r="P6565" s="176" t="s">
        <v>77</v>
      </c>
      <c r="Q6565" s="176">
        <v>5000</v>
      </c>
      <c r="R6565" s="176">
        <v>800</v>
      </c>
      <c r="S6565" s="176"/>
      <c r="T6565" s="190">
        <v>533.34</v>
      </c>
      <c r="U6565" s="191">
        <v>0</v>
      </c>
      <c r="V6565" s="191">
        <v>5266.66</v>
      </c>
      <c r="W6565">
        <v>122</v>
      </c>
      <c r="X6565" s="186" t="s">
        <v>1434</v>
      </c>
      <c r="Y6565" s="187" t="s">
        <v>55</v>
      </c>
      <c r="Z6565" s="311">
        <v>310</v>
      </c>
      <c r="AB6565" t="str">
        <f>IF(Table1[[#This Row],[TIPO2]]="costo", VLOOKUP(Table1[[#This Row],[PARTIDA PRESUPUESTAL]],'Cost Report'!G:G,1,0),"Balance")</f>
        <v>3683-127</v>
      </c>
      <c r="AD6565" s="159">
        <f>+Table1[[#This Row],[SUBTOTAL]]+Table1[[#This Row],[IVA]]-Table1[[#This Row],[RET IVA]]-Table1[[#This Row],[RET ISR]]-Table1[[#This Row],[TOTAL]]</f>
        <v>0</v>
      </c>
      <c r="AK6565" s="306">
        <f>IF(ISNUMBER(Table1[[#This Row],[FECHA DE RECIBIDO]]), Table1[[#This Row],[FECHA DE RECIBIDO]]-DATE(2023,8,30), "")</f>
        <v>-44861.445659722223</v>
      </c>
    </row>
    <row r="6566" spans="1:37" ht="16.05" customHeight="1">
      <c r="A6566" s="172" t="s">
        <v>5431</v>
      </c>
      <c r="B6566" s="178">
        <v>2356</v>
      </c>
      <c r="C6566" s="179" t="s">
        <v>794</v>
      </c>
      <c r="D6566">
        <v>4484</v>
      </c>
      <c r="E6566" s="125" t="s">
        <v>2017</v>
      </c>
      <c r="F6566" s="178">
        <v>626</v>
      </c>
      <c r="G6566" s="178" t="s">
        <v>109</v>
      </c>
      <c r="H6566">
        <v>115</v>
      </c>
      <c r="I6566" s="178" t="s">
        <v>1546</v>
      </c>
      <c r="J6566" s="320">
        <v>306.51616898148495</v>
      </c>
      <c r="K6566" s="178" t="s">
        <v>5443</v>
      </c>
      <c r="L6566" s="125" t="s">
        <v>110</v>
      </c>
      <c r="M6566">
        <v>153</v>
      </c>
      <c r="N6566" s="182">
        <v>45</v>
      </c>
      <c r="O6566">
        <v>4335</v>
      </c>
      <c r="P6566" s="176" t="s">
        <v>77</v>
      </c>
      <c r="Q6566" s="176">
        <v>52500</v>
      </c>
      <c r="R6566" s="176">
        <v>8400</v>
      </c>
      <c r="S6566" s="176"/>
      <c r="T6566" s="190">
        <v>5600.02</v>
      </c>
      <c r="U6566" s="191">
        <v>656.25</v>
      </c>
      <c r="V6566" s="191">
        <v>54643.729999999996</v>
      </c>
      <c r="W6566">
        <v>77</v>
      </c>
      <c r="X6566" s="186" t="s">
        <v>1431</v>
      </c>
      <c r="Y6566" s="187" t="s">
        <v>55</v>
      </c>
      <c r="Z6566" s="311">
        <v>310</v>
      </c>
      <c r="AB6566" t="str">
        <f>IF(Table1[[#This Row],[TIPO2]]="costo", VLOOKUP(Table1[[#This Row],[PARTIDA PRESUPUESTAL]],'Cost Report'!G:G,1,0),"Balance")</f>
        <v>3101-005</v>
      </c>
      <c r="AD6566" s="159">
        <f>+Table1[[#This Row],[SUBTOTAL]]+Table1[[#This Row],[IVA]]-Table1[[#This Row],[RET IVA]]-Table1[[#This Row],[RET ISR]]-Table1[[#This Row],[TOTAL]]</f>
        <v>0</v>
      </c>
      <c r="AK6566" s="306">
        <f>IF(ISNUMBER(Table1[[#This Row],[FECHA DE RECIBIDO]]), Table1[[#This Row],[FECHA DE RECIBIDO]]-DATE(2023,8,30), "")</f>
        <v>-44861.483831018515</v>
      </c>
    </row>
    <row r="6567" spans="1:37" ht="16.05" customHeight="1">
      <c r="A6567" s="172" t="s">
        <v>5432</v>
      </c>
      <c r="B6567" s="178">
        <v>2357</v>
      </c>
      <c r="C6567" s="179" t="s">
        <v>795</v>
      </c>
      <c r="D6567">
        <v>4485</v>
      </c>
      <c r="E6567" s="125" t="s">
        <v>2017</v>
      </c>
      <c r="F6567" s="178">
        <v>626</v>
      </c>
      <c r="G6567" s="178" t="s">
        <v>109</v>
      </c>
      <c r="H6567">
        <v>115</v>
      </c>
      <c r="I6567" s="178" t="s">
        <v>1546</v>
      </c>
      <c r="J6567" s="320">
        <v>306.51914351851883</v>
      </c>
      <c r="K6567" s="178" t="s">
        <v>5443</v>
      </c>
      <c r="L6567" s="125" t="s">
        <v>110</v>
      </c>
      <c r="M6567">
        <v>153</v>
      </c>
      <c r="N6567" s="182">
        <v>45</v>
      </c>
      <c r="O6567">
        <v>4336</v>
      </c>
      <c r="P6567" s="176" t="s">
        <v>77</v>
      </c>
      <c r="Q6567" s="176">
        <v>100000</v>
      </c>
      <c r="R6567" s="176">
        <v>16000</v>
      </c>
      <c r="S6567" s="176"/>
      <c r="T6567" s="190">
        <v>10666.7</v>
      </c>
      <c r="U6567" s="191">
        <v>1250</v>
      </c>
      <c r="V6567" s="191">
        <v>104083.3</v>
      </c>
      <c r="W6567">
        <v>77</v>
      </c>
      <c r="X6567" s="186" t="s">
        <v>1431</v>
      </c>
      <c r="Y6567" s="187" t="s">
        <v>55</v>
      </c>
      <c r="Z6567" s="311">
        <v>310</v>
      </c>
      <c r="AB6567" t="str">
        <f>IF(Table1[[#This Row],[TIPO2]]="costo", VLOOKUP(Table1[[#This Row],[PARTIDA PRESUPUESTAL]],'Cost Report'!G:G,1,0),"Balance")</f>
        <v>3101-006</v>
      </c>
      <c r="AD6567" s="159">
        <f>+Table1[[#This Row],[SUBTOTAL]]+Table1[[#This Row],[IVA]]-Table1[[#This Row],[RET IVA]]-Table1[[#This Row],[RET ISR]]-Table1[[#This Row],[TOTAL]]</f>
        <v>0</v>
      </c>
      <c r="AK6567" s="306">
        <f>IF(ISNUMBER(Table1[[#This Row],[FECHA DE RECIBIDO]]), Table1[[#This Row],[FECHA DE RECIBIDO]]-DATE(2023,8,30), "")</f>
        <v>-44861.480856481481</v>
      </c>
    </row>
    <row r="6568" spans="1:37" ht="16.05" customHeight="1">
      <c r="A6568" s="172" t="s">
        <v>5433</v>
      </c>
      <c r="B6568" s="178">
        <v>2358</v>
      </c>
      <c r="C6568" s="179" t="s">
        <v>231</v>
      </c>
      <c r="D6568">
        <v>4486</v>
      </c>
      <c r="E6568" s="125" t="s">
        <v>1577</v>
      </c>
      <c r="F6568" s="178">
        <v>626</v>
      </c>
      <c r="G6568" s="178" t="s">
        <v>109</v>
      </c>
      <c r="H6568">
        <v>13</v>
      </c>
      <c r="I6568" s="178" t="s">
        <v>1546</v>
      </c>
      <c r="J6568" s="320">
        <v>307.79814814814745</v>
      </c>
      <c r="K6568" s="178" t="s">
        <v>5443</v>
      </c>
      <c r="L6568" s="125" t="s">
        <v>110</v>
      </c>
      <c r="M6568">
        <v>17</v>
      </c>
      <c r="N6568" s="182">
        <v>120</v>
      </c>
      <c r="O6568">
        <v>4337</v>
      </c>
      <c r="P6568" s="176" t="s">
        <v>77</v>
      </c>
      <c r="Q6568" s="176">
        <v>600560</v>
      </c>
      <c r="R6568" s="176">
        <v>96089.600000000006</v>
      </c>
      <c r="S6568" s="176"/>
      <c r="T6568" s="190">
        <v>64059.930502455187</v>
      </c>
      <c r="U6568" s="191">
        <v>7507</v>
      </c>
      <c r="V6568" s="191">
        <v>729165.97</v>
      </c>
      <c r="W6568">
        <v>13</v>
      </c>
      <c r="X6568" s="186" t="s">
        <v>1431</v>
      </c>
      <c r="Y6568" s="187" t="s">
        <v>55</v>
      </c>
      <c r="Z6568" s="311">
        <v>310</v>
      </c>
      <c r="AB6568" t="str">
        <f>IF(Table1[[#This Row],[TIPO2]]="costo", VLOOKUP(Table1[[#This Row],[PARTIDA PRESUPUESTAL]],'Cost Report'!G:G,1,0),"Balance")</f>
        <v>1201-006</v>
      </c>
      <c r="AD6568" s="159">
        <f>+Table1[[#This Row],[SUBTOTAL]]+Table1[[#This Row],[IVA]]-Table1[[#This Row],[RET IVA]]-Table1[[#This Row],[RET ISR]]-Table1[[#This Row],[TOTAL]]</f>
        <v>-104083.30050245521</v>
      </c>
      <c r="AK6568" s="306">
        <f>IF(ISNUMBER(Table1[[#This Row],[FECHA DE RECIBIDO]]), Table1[[#This Row],[FECHA DE RECIBIDO]]-DATE(2023,8,30), "")</f>
        <v>-44860.201851851853</v>
      </c>
    </row>
    <row r="6569" spans="1:37" ht="16.05" customHeight="1">
      <c r="A6569" s="172" t="s">
        <v>5433</v>
      </c>
      <c r="B6569" s="178">
        <v>2358</v>
      </c>
      <c r="C6569" s="179" t="s">
        <v>1717</v>
      </c>
      <c r="D6569">
        <v>4486</v>
      </c>
      <c r="E6569" s="125" t="s">
        <v>1577</v>
      </c>
      <c r="F6569" s="178">
        <v>626</v>
      </c>
      <c r="G6569" s="178" t="s">
        <v>109</v>
      </c>
      <c r="H6569">
        <v>13</v>
      </c>
      <c r="I6569" s="178" t="s">
        <v>1546</v>
      </c>
      <c r="J6569" s="320">
        <v>307.79814814814745</v>
      </c>
      <c r="K6569" s="178" t="s">
        <v>5443</v>
      </c>
      <c r="L6569" s="125" t="s">
        <v>110</v>
      </c>
      <c r="M6569">
        <v>17</v>
      </c>
      <c r="N6569" s="182">
        <v>120</v>
      </c>
      <c r="O6569">
        <v>4337</v>
      </c>
      <c r="P6569" s="176" t="s">
        <v>77</v>
      </c>
      <c r="Q6569" s="176">
        <v>100000</v>
      </c>
      <c r="R6569" s="176">
        <f>+Table1[[#This Row],[SUBTOTAL]]*0.16</f>
        <v>16000</v>
      </c>
      <c r="S6569" s="176"/>
      <c r="T6569" s="190">
        <v>10666.699497544821</v>
      </c>
      <c r="U6569" s="191">
        <v>1250</v>
      </c>
      <c r="V6569" s="191">
        <f>+Table1[[#This Row],[SUBTOTAL]]+Table1[[#This Row],[IVA]]-Table1[[#This Row],[RET IVA]]-Table1[[#This Row],[RET ISR]]</f>
        <v>104083.30050245518</v>
      </c>
      <c r="W6569"/>
      <c r="X6569" s="186"/>
      <c r="Y6569" s="187"/>
      <c r="Z6569" s="311" t="s">
        <v>214</v>
      </c>
      <c r="AB6569" t="str">
        <f>IF(Table1[[#This Row],[TIPO2]]="costo", VLOOKUP(Table1[[#This Row],[PARTIDA PRESUPUESTAL]],'Cost Report'!G:G,1,0),"Balance")</f>
        <v>1621-008</v>
      </c>
      <c r="AD6569" s="159">
        <f>+Table1[[#This Row],[SUBTOTAL]]+Table1[[#This Row],[IVA]]-Table1[[#This Row],[RET IVA]]-Table1[[#This Row],[RET ISR]]-Table1[[#This Row],[TOTAL]]</f>
        <v>0</v>
      </c>
      <c r="AK6569" s="306">
        <f>IF(ISNUMBER(Table1[[#This Row],[FECHA DE RECIBIDO]]), Table1[[#This Row],[FECHA DE RECIBIDO]]-DATE(2023,8,30), "")</f>
        <v>-44860.201851851853</v>
      </c>
    </row>
    <row r="6570" spans="1:37" ht="16.05" customHeight="1">
      <c r="A6570" s="172" t="s">
        <v>5434</v>
      </c>
      <c r="B6570" s="178">
        <v>2359</v>
      </c>
      <c r="C6570" s="179" t="s">
        <v>3400</v>
      </c>
      <c r="D6570">
        <v>4487</v>
      </c>
      <c r="E6570" s="125" t="s">
        <v>5435</v>
      </c>
      <c r="F6570" s="178">
        <v>612</v>
      </c>
      <c r="G6570" s="178" t="s">
        <v>129</v>
      </c>
      <c r="H6570">
        <v>1094</v>
      </c>
      <c r="I6570" s="178" t="s">
        <v>1546</v>
      </c>
      <c r="J6570" s="320">
        <v>307.70869212962862</v>
      </c>
      <c r="K6570" s="178" t="s">
        <v>5443</v>
      </c>
      <c r="L6570" s="125" t="s">
        <v>110</v>
      </c>
      <c r="M6570">
        <v>1525</v>
      </c>
      <c r="N6570" s="182">
        <v>282</v>
      </c>
      <c r="O6570">
        <v>4338</v>
      </c>
      <c r="P6570" s="176" t="s">
        <v>77</v>
      </c>
      <c r="Q6570" s="176">
        <v>8000</v>
      </c>
      <c r="R6570" s="176">
        <v>1280</v>
      </c>
      <c r="S6570" s="176"/>
      <c r="T6570" s="190">
        <v>853.34</v>
      </c>
      <c r="U6570" s="191">
        <v>800</v>
      </c>
      <c r="V6570" s="191">
        <v>7626.66</v>
      </c>
      <c r="W6570">
        <v>530</v>
      </c>
      <c r="X6570" s="186" t="s">
        <v>1897</v>
      </c>
      <c r="Y6570" s="187" t="s">
        <v>55</v>
      </c>
      <c r="Z6570" s="311">
        <v>310</v>
      </c>
      <c r="AB6570" t="str">
        <f>IF(Table1[[#This Row],[TIPO2]]="costo", VLOOKUP(Table1[[#This Row],[PARTIDA PRESUPUESTAL]],'Cost Report'!G:G,1,0),"Balance")</f>
        <v>2020-047</v>
      </c>
      <c r="AD6570" s="159">
        <f>+Table1[[#This Row],[SUBTOTAL]]+Table1[[#This Row],[IVA]]-Table1[[#This Row],[RET IVA]]-Table1[[#This Row],[RET ISR]]-Table1[[#This Row],[TOTAL]]</f>
        <v>0</v>
      </c>
      <c r="AK6570" s="306">
        <f>IF(ISNUMBER(Table1[[#This Row],[FECHA DE RECIBIDO]]), Table1[[#This Row],[FECHA DE RECIBIDO]]-DATE(2023,8,30), "")</f>
        <v>-44860.291307870371</v>
      </c>
    </row>
    <row r="6571" spans="1:37" ht="16.05" customHeight="1">
      <c r="A6571" s="172" t="s">
        <v>5436</v>
      </c>
      <c r="B6571" s="178">
        <v>2360</v>
      </c>
      <c r="C6571" s="179" t="s">
        <v>3011</v>
      </c>
      <c r="D6571">
        <v>4488</v>
      </c>
      <c r="E6571" s="125" t="s">
        <v>2018</v>
      </c>
      <c r="F6571" s="178">
        <v>626</v>
      </c>
      <c r="G6571" s="178" t="s">
        <v>109</v>
      </c>
      <c r="H6571">
        <v>116</v>
      </c>
      <c r="I6571" s="178" t="s">
        <v>1546</v>
      </c>
      <c r="J6571" s="320">
        <v>308.63185185185284</v>
      </c>
      <c r="K6571" s="178" t="s">
        <v>5443</v>
      </c>
      <c r="L6571" s="125" t="s">
        <v>110</v>
      </c>
      <c r="M6571">
        <v>154</v>
      </c>
      <c r="N6571" s="182">
        <v>46</v>
      </c>
      <c r="O6571">
        <v>4339</v>
      </c>
      <c r="P6571" s="176" t="s">
        <v>77</v>
      </c>
      <c r="Q6571" s="176">
        <v>44000</v>
      </c>
      <c r="R6571" s="176">
        <v>7040</v>
      </c>
      <c r="S6571" s="176"/>
      <c r="T6571" s="190">
        <v>4693.34</v>
      </c>
      <c r="U6571" s="191">
        <v>550</v>
      </c>
      <c r="V6571" s="191">
        <v>45796.66</v>
      </c>
      <c r="W6571">
        <v>78</v>
      </c>
      <c r="X6571" s="186" t="s">
        <v>1430</v>
      </c>
      <c r="Y6571" s="187" t="s">
        <v>55</v>
      </c>
      <c r="Z6571" s="311">
        <v>310</v>
      </c>
      <c r="AB6571" t="str">
        <f>IF(Table1[[#This Row],[TIPO2]]="costo", VLOOKUP(Table1[[#This Row],[PARTIDA PRESUPUESTAL]],'Cost Report'!G:G,1,0),"Balance")</f>
        <v>5009-005</v>
      </c>
      <c r="AD6571" s="159">
        <f>+Table1[[#This Row],[SUBTOTAL]]+Table1[[#This Row],[IVA]]-Table1[[#This Row],[RET IVA]]-Table1[[#This Row],[RET ISR]]-Table1[[#This Row],[TOTAL]]</f>
        <v>0</v>
      </c>
      <c r="AK6571" s="306">
        <f>IF(ISNUMBER(Table1[[#This Row],[FECHA DE RECIBIDO]]), Table1[[#This Row],[FECHA DE RECIBIDO]]-DATE(2023,8,30), "")</f>
        <v>-44859.368148148147</v>
      </c>
    </row>
    <row r="6572" spans="1:37" ht="16.05" customHeight="1">
      <c r="A6572" s="172" t="s">
        <v>5437</v>
      </c>
      <c r="B6572" s="178">
        <v>2361</v>
      </c>
      <c r="C6572" s="179" t="s">
        <v>356</v>
      </c>
      <c r="D6572">
        <v>4489</v>
      </c>
      <c r="E6572" s="125" t="s">
        <v>4085</v>
      </c>
      <c r="F6572" s="178">
        <v>612</v>
      </c>
      <c r="G6572" s="178" t="s">
        <v>129</v>
      </c>
      <c r="H6572">
        <v>1095</v>
      </c>
      <c r="I6572" s="178" t="s">
        <v>1546</v>
      </c>
      <c r="J6572" s="320">
        <v>308.53978009259299</v>
      </c>
      <c r="K6572" s="178" t="s">
        <v>5443</v>
      </c>
      <c r="L6572" s="125" t="s">
        <v>110</v>
      </c>
      <c r="M6572">
        <v>1526</v>
      </c>
      <c r="N6572" s="182">
        <v>283</v>
      </c>
      <c r="O6572">
        <v>4340</v>
      </c>
      <c r="P6572" s="176" t="s">
        <v>77</v>
      </c>
      <c r="Q6572" s="176">
        <v>5000</v>
      </c>
      <c r="R6572" s="176">
        <v>800</v>
      </c>
      <c r="S6572" s="176"/>
      <c r="T6572" s="190">
        <v>533.34</v>
      </c>
      <c r="U6572" s="191">
        <v>500</v>
      </c>
      <c r="V6572" s="191">
        <v>4766.66</v>
      </c>
      <c r="W6572">
        <v>531</v>
      </c>
      <c r="X6572" s="186" t="s">
        <v>1429</v>
      </c>
      <c r="Y6572" s="187" t="s">
        <v>55</v>
      </c>
      <c r="Z6572" s="311">
        <v>310</v>
      </c>
      <c r="AB6572" t="str">
        <f>IF(Table1[[#This Row],[TIPO2]]="costo", VLOOKUP(Table1[[#This Row],[PARTIDA PRESUPUESTAL]],'Cost Report'!G:G,1,0),"Balance")</f>
        <v>1404-005</v>
      </c>
      <c r="AD6572" s="159">
        <f>+Table1[[#This Row],[SUBTOTAL]]+Table1[[#This Row],[IVA]]-Table1[[#This Row],[RET IVA]]-Table1[[#This Row],[RET ISR]]-Table1[[#This Row],[TOTAL]]</f>
        <v>0</v>
      </c>
      <c r="AK6572" s="306">
        <f>IF(ISNUMBER(Table1[[#This Row],[FECHA DE RECIBIDO]]), Table1[[#This Row],[FECHA DE RECIBIDO]]-DATE(2023,8,30), "")</f>
        <v>-44859.460219907407</v>
      </c>
    </row>
    <row r="6573" spans="1:37" ht="16.05" customHeight="1">
      <c r="A6573" s="172" t="s">
        <v>5438</v>
      </c>
      <c r="B6573" s="178">
        <v>2362</v>
      </c>
      <c r="C6573" s="179" t="s">
        <v>963</v>
      </c>
      <c r="D6573">
        <v>4490</v>
      </c>
      <c r="E6573" s="125">
        <v>44160</v>
      </c>
      <c r="F6573" s="178">
        <v>601</v>
      </c>
      <c r="G6573" s="178" t="s">
        <v>134</v>
      </c>
      <c r="H6573">
        <v>803</v>
      </c>
      <c r="I6573" s="178" t="s">
        <v>1546</v>
      </c>
      <c r="J6573" s="320">
        <v>308.65859953704057</v>
      </c>
      <c r="K6573" s="178" t="s">
        <v>5443</v>
      </c>
      <c r="L6573" s="125" t="s">
        <v>3306</v>
      </c>
      <c r="M6573">
        <v>1107</v>
      </c>
      <c r="N6573" s="182">
        <v>1</v>
      </c>
      <c r="O6573">
        <v>4341</v>
      </c>
      <c r="P6573" s="176" t="s">
        <v>77</v>
      </c>
      <c r="Q6573" s="176">
        <v>4500</v>
      </c>
      <c r="R6573" s="176">
        <v>720</v>
      </c>
      <c r="S6573" s="176"/>
      <c r="T6573" s="190">
        <v>0</v>
      </c>
      <c r="U6573" s="191">
        <v>0</v>
      </c>
      <c r="V6573" s="191">
        <v>5220</v>
      </c>
      <c r="W6573">
        <v>404</v>
      </c>
      <c r="X6573" s="186" t="s">
        <v>3258</v>
      </c>
      <c r="Y6573" s="187" t="s">
        <v>55</v>
      </c>
      <c r="Z6573" s="311">
        <v>313</v>
      </c>
      <c r="AB6573" t="str">
        <f>IF(Table1[[#This Row],[TIPO2]]="costo", VLOOKUP(Table1[[#This Row],[PARTIDA PRESUPUESTAL]],'Cost Report'!G:G,1,0),"Balance")</f>
        <v>3407-005</v>
      </c>
      <c r="AD6573" s="159">
        <f>+Table1[[#This Row],[SUBTOTAL]]+Table1[[#This Row],[IVA]]-Table1[[#This Row],[RET IVA]]-Table1[[#This Row],[RET ISR]]-Table1[[#This Row],[TOTAL]]</f>
        <v>0</v>
      </c>
      <c r="AK6573" s="306">
        <f>IF(ISNUMBER(Table1[[#This Row],[FECHA DE RECIBIDO]]), Table1[[#This Row],[FECHA DE RECIBIDO]]-DATE(2023,8,30), "")</f>
        <v>-44859.341400462959</v>
      </c>
    </row>
    <row r="6574" spans="1:37" ht="16.05" customHeight="1">
      <c r="A6574" s="172"/>
      <c r="B6574" s="178">
        <v>2363</v>
      </c>
      <c r="C6574" s="179" t="s">
        <v>977</v>
      </c>
      <c r="D6574">
        <v>4491</v>
      </c>
      <c r="E6574" s="125">
        <v>44160</v>
      </c>
      <c r="F6574" s="178">
        <v>601</v>
      </c>
      <c r="G6574" s="178" t="s">
        <v>134</v>
      </c>
      <c r="H6574">
        <v>803</v>
      </c>
      <c r="I6574" s="178" t="s">
        <v>1546</v>
      </c>
      <c r="J6574" s="320">
        <v>308.66028935185022</v>
      </c>
      <c r="K6574" s="178" t="s">
        <v>5443</v>
      </c>
      <c r="L6574" s="125" t="s">
        <v>3306</v>
      </c>
      <c r="M6574">
        <v>1107</v>
      </c>
      <c r="N6574" s="182">
        <v>1</v>
      </c>
      <c r="O6574">
        <v>4342</v>
      </c>
      <c r="P6574" s="176" t="s">
        <v>77</v>
      </c>
      <c r="Q6574" s="176">
        <v>15800</v>
      </c>
      <c r="R6574" s="176">
        <v>2528</v>
      </c>
      <c r="S6574" s="176"/>
      <c r="T6574" s="190">
        <v>0</v>
      </c>
      <c r="U6574" s="191">
        <v>0</v>
      </c>
      <c r="V6574" s="191">
        <v>18328</v>
      </c>
      <c r="W6574">
        <v>404</v>
      </c>
      <c r="X6574" s="186" t="s">
        <v>3258</v>
      </c>
      <c r="Y6574" s="187" t="s">
        <v>55</v>
      </c>
      <c r="Z6574" s="311">
        <v>313</v>
      </c>
      <c r="AB6574" t="str">
        <f>IF(Table1[[#This Row],[TIPO2]]="costo", VLOOKUP(Table1[[#This Row],[PARTIDA PRESUPUESTAL]],'Cost Report'!G:G,1,0),"Balance")</f>
        <v>3410-012</v>
      </c>
      <c r="AD6574" s="159">
        <f>+Table1[[#This Row],[SUBTOTAL]]+Table1[[#This Row],[IVA]]-Table1[[#This Row],[RET IVA]]-Table1[[#This Row],[RET ISR]]-Table1[[#This Row],[TOTAL]]</f>
        <v>0</v>
      </c>
      <c r="AK6574" s="306">
        <f>IF(ISNUMBER(Table1[[#This Row],[FECHA DE RECIBIDO]]), Table1[[#This Row],[FECHA DE RECIBIDO]]-DATE(2023,8,30), "")</f>
        <v>-44859.33971064815</v>
      </c>
    </row>
    <row r="6575" spans="1:37" ht="16.05" customHeight="1">
      <c r="A6575" s="172" t="s">
        <v>5439</v>
      </c>
      <c r="B6575" s="178">
        <v>2364</v>
      </c>
      <c r="C6575" s="179" t="s">
        <v>1142</v>
      </c>
      <c r="D6575">
        <v>4492</v>
      </c>
      <c r="E6575" s="125">
        <v>45110</v>
      </c>
      <c r="F6575" s="178">
        <v>601</v>
      </c>
      <c r="G6575" s="178" t="s">
        <v>134</v>
      </c>
      <c r="H6575">
        <v>24</v>
      </c>
      <c r="I6575" s="178" t="s">
        <v>1546</v>
      </c>
      <c r="J6575" s="320">
        <v>309.64472222221957</v>
      </c>
      <c r="K6575" s="178" t="s">
        <v>5443</v>
      </c>
      <c r="L6575" s="125" t="s">
        <v>3306</v>
      </c>
      <c r="M6575">
        <v>33</v>
      </c>
      <c r="N6575" s="182">
        <v>1</v>
      </c>
      <c r="O6575">
        <v>4343</v>
      </c>
      <c r="P6575" s="176" t="s">
        <v>77</v>
      </c>
      <c r="Q6575" s="176">
        <v>3611.04</v>
      </c>
      <c r="R6575" s="176">
        <v>577.76639999999998</v>
      </c>
      <c r="S6575" s="176"/>
      <c r="T6575" s="190">
        <v>0</v>
      </c>
      <c r="U6575" s="191">
        <v>0</v>
      </c>
      <c r="V6575" s="191">
        <v>4188.8063999999995</v>
      </c>
      <c r="W6575">
        <v>26</v>
      </c>
      <c r="X6575" s="186" t="s">
        <v>195</v>
      </c>
      <c r="Y6575" s="187" t="s">
        <v>55</v>
      </c>
      <c r="Z6575" s="311">
        <v>313</v>
      </c>
      <c r="AB6575" t="str">
        <f>IF(Table1[[#This Row],[TIPO2]]="costo", VLOOKUP(Table1[[#This Row],[PARTIDA PRESUPUESTAL]],'Cost Report'!G:G,1,0),"Balance")</f>
        <v>3902-008</v>
      </c>
      <c r="AD6575" s="159">
        <f>+Table1[[#This Row],[SUBTOTAL]]+Table1[[#This Row],[IVA]]-Table1[[#This Row],[RET IVA]]-Table1[[#This Row],[RET ISR]]-Table1[[#This Row],[TOTAL]]</f>
        <v>0</v>
      </c>
      <c r="AK6575" s="306">
        <f>IF(ISNUMBER(Table1[[#This Row],[FECHA DE RECIBIDO]]), Table1[[#This Row],[FECHA DE RECIBIDO]]-DATE(2023,8,30), "")</f>
        <v>-44858.35527777778</v>
      </c>
    </row>
    <row r="6576" spans="1:37" ht="16.05" customHeight="1">
      <c r="A6576" s="172"/>
      <c r="B6576" s="178">
        <v>2365</v>
      </c>
      <c r="C6576" s="179" t="s">
        <v>1176</v>
      </c>
      <c r="D6576">
        <v>4493</v>
      </c>
      <c r="E6576" s="125">
        <v>45110</v>
      </c>
      <c r="F6576" s="178">
        <v>601</v>
      </c>
      <c r="G6576" s="178" t="s">
        <v>134</v>
      </c>
      <c r="H6576">
        <v>24</v>
      </c>
      <c r="I6576" s="178" t="s">
        <v>1546</v>
      </c>
      <c r="J6576" s="320">
        <v>309.64861111110804</v>
      </c>
      <c r="K6576" s="178" t="s">
        <v>5443</v>
      </c>
      <c r="L6576" s="125" t="s">
        <v>3306</v>
      </c>
      <c r="M6576">
        <v>33</v>
      </c>
      <c r="N6576" s="182">
        <v>1</v>
      </c>
      <c r="O6576">
        <v>4344</v>
      </c>
      <c r="P6576" s="176" t="s">
        <v>77</v>
      </c>
      <c r="Q6576" s="176">
        <v>114696.15</v>
      </c>
      <c r="R6576" s="176">
        <v>18351.383999999998</v>
      </c>
      <c r="S6576" s="176"/>
      <c r="T6576" s="190">
        <v>0</v>
      </c>
      <c r="U6576" s="191">
        <v>0</v>
      </c>
      <c r="V6576" s="191">
        <v>133047.53399999999</v>
      </c>
      <c r="W6576">
        <v>26</v>
      </c>
      <c r="X6576" s="186" t="s">
        <v>195</v>
      </c>
      <c r="Y6576" s="187" t="s">
        <v>55</v>
      </c>
      <c r="Z6576" s="311">
        <v>313</v>
      </c>
      <c r="AB6576" t="str">
        <f>IF(Table1[[#This Row],[TIPO2]]="costo", VLOOKUP(Table1[[#This Row],[PARTIDA PRESUPUESTAL]],'Cost Report'!G:G,1,0),"Balance")</f>
        <v>3903-029</v>
      </c>
      <c r="AD6576" s="159">
        <f>+Table1[[#This Row],[SUBTOTAL]]+Table1[[#This Row],[IVA]]-Table1[[#This Row],[RET IVA]]-Table1[[#This Row],[RET ISR]]-Table1[[#This Row],[TOTAL]]</f>
        <v>0</v>
      </c>
      <c r="AK6576" s="306">
        <f>IF(ISNUMBER(Table1[[#This Row],[FECHA DE RECIBIDO]]), Table1[[#This Row],[FECHA DE RECIBIDO]]-DATE(2023,8,30), "")</f>
        <v>-44858.351388888892</v>
      </c>
    </row>
    <row r="6577" spans="1:37" ht="16.05" customHeight="1">
      <c r="A6577" s="172" t="s">
        <v>5440</v>
      </c>
      <c r="B6577" s="178">
        <v>2366</v>
      </c>
      <c r="C6577" s="179" t="s">
        <v>1792</v>
      </c>
      <c r="D6577">
        <v>4494</v>
      </c>
      <c r="E6577" s="125">
        <v>44150</v>
      </c>
      <c r="F6577" s="178">
        <v>601</v>
      </c>
      <c r="G6577" s="178" t="s">
        <v>134</v>
      </c>
      <c r="H6577">
        <v>23</v>
      </c>
      <c r="I6577" s="178" t="s">
        <v>1546</v>
      </c>
      <c r="J6577" s="320">
        <v>306.73269675925985</v>
      </c>
      <c r="K6577" s="178" t="s">
        <v>5443</v>
      </c>
      <c r="L6577" s="125" t="s">
        <v>3306</v>
      </c>
      <c r="M6577">
        <v>32</v>
      </c>
      <c r="N6577" s="182">
        <v>1</v>
      </c>
      <c r="O6577">
        <v>4345</v>
      </c>
      <c r="P6577" s="176" t="s">
        <v>77</v>
      </c>
      <c r="Q6577" s="176">
        <v>14440</v>
      </c>
      <c r="R6577" s="176">
        <v>2310.4</v>
      </c>
      <c r="S6577" s="176"/>
      <c r="T6577" s="190">
        <v>0</v>
      </c>
      <c r="U6577" s="191">
        <v>0</v>
      </c>
      <c r="V6577" s="191">
        <v>16750.400000000001</v>
      </c>
      <c r="W6577">
        <v>532</v>
      </c>
      <c r="X6577" s="186" t="s">
        <v>105</v>
      </c>
      <c r="Y6577" s="187" t="s">
        <v>55</v>
      </c>
      <c r="Z6577" s="311">
        <v>313</v>
      </c>
      <c r="AB6577" t="str">
        <f>IF(Table1[[#This Row],[TIPO2]]="costo", VLOOKUP(Table1[[#This Row],[PARTIDA PRESUPUESTAL]],'Cost Report'!G:G,1,0),"Balance")</f>
        <v>1287-007</v>
      </c>
      <c r="AD6577" s="159">
        <f>+Table1[[#This Row],[SUBTOTAL]]+Table1[[#This Row],[IVA]]-Table1[[#This Row],[RET IVA]]-Table1[[#This Row],[RET ISR]]-Table1[[#This Row],[TOTAL]]</f>
        <v>0</v>
      </c>
      <c r="AK6577" s="306">
        <f>IF(ISNUMBER(Table1[[#This Row],[FECHA DE RECIBIDO]]), Table1[[#This Row],[FECHA DE RECIBIDO]]-DATE(2023,8,30), "")</f>
        <v>-44861.26730324074</v>
      </c>
    </row>
    <row r="6578" spans="1:37" ht="16.05" customHeight="1">
      <c r="A6578" s="172" t="s">
        <v>5441</v>
      </c>
      <c r="B6578" s="178">
        <v>2367</v>
      </c>
      <c r="C6578" s="179" t="s">
        <v>2851</v>
      </c>
      <c r="D6578">
        <v>4495</v>
      </c>
      <c r="E6578" s="125">
        <v>44280</v>
      </c>
      <c r="F6578" s="178">
        <v>612</v>
      </c>
      <c r="G6578" s="178" t="s">
        <v>129</v>
      </c>
      <c r="H6578">
        <v>1096</v>
      </c>
      <c r="I6578" s="178" t="s">
        <v>1546</v>
      </c>
      <c r="J6578" s="320">
        <v>287.95826388888963</v>
      </c>
      <c r="K6578" s="178" t="s">
        <v>5443</v>
      </c>
      <c r="L6578" s="125" t="s">
        <v>1579</v>
      </c>
      <c r="M6578">
        <v>1527</v>
      </c>
      <c r="N6578" s="182">
        <v>17</v>
      </c>
      <c r="O6578">
        <v>4346</v>
      </c>
      <c r="P6578" s="176" t="s">
        <v>77</v>
      </c>
      <c r="Q6578" s="176">
        <v>633.62</v>
      </c>
      <c r="R6578" s="176">
        <v>101.38</v>
      </c>
      <c r="S6578" s="176"/>
      <c r="T6578" s="190">
        <v>0</v>
      </c>
      <c r="U6578" s="191"/>
      <c r="V6578" s="191">
        <v>735</v>
      </c>
      <c r="W6578">
        <v>226</v>
      </c>
      <c r="X6578" s="186" t="s">
        <v>1656</v>
      </c>
      <c r="Y6578" s="187" t="s">
        <v>55</v>
      </c>
      <c r="Z6578" s="311">
        <v>287</v>
      </c>
      <c r="AB6578" t="str">
        <f>IF(Table1[[#This Row],[TIPO2]]="costo", VLOOKUP(Table1[[#This Row],[PARTIDA PRESUPUESTAL]],'Cost Report'!G:G,1,0),"Balance")</f>
        <v>3485-003</v>
      </c>
      <c r="AD6578" s="159">
        <f>+Table1[[#This Row],[SUBTOTAL]]+Table1[[#This Row],[IVA]]-Table1[[#This Row],[RET IVA]]-Table1[[#This Row],[RET ISR]]-Table1[[#This Row],[TOTAL]]</f>
        <v>0</v>
      </c>
      <c r="AK6578" s="306">
        <f>IF(ISNUMBER(Table1[[#This Row],[FECHA DE RECIBIDO]]), Table1[[#This Row],[FECHA DE RECIBIDO]]-DATE(2023,8,30), "")</f>
        <v>-44880.04173611111</v>
      </c>
    </row>
    <row r="6579" spans="1:37" ht="16.05" customHeight="1">
      <c r="A6579" s="172" t="s">
        <v>5442</v>
      </c>
      <c r="B6579" s="178">
        <v>2368</v>
      </c>
      <c r="C6579" s="179" t="s">
        <v>2816</v>
      </c>
      <c r="D6579">
        <v>4496</v>
      </c>
      <c r="E6579" s="125">
        <v>44100</v>
      </c>
      <c r="F6579" s="178">
        <v>601</v>
      </c>
      <c r="G6579" s="178" t="s">
        <v>134</v>
      </c>
      <c r="H6579">
        <v>1097</v>
      </c>
      <c r="I6579" s="178" t="s">
        <v>1546</v>
      </c>
      <c r="J6579" s="320">
        <v>297.48033564814978</v>
      </c>
      <c r="K6579" s="178" t="s">
        <v>5443</v>
      </c>
      <c r="L6579" s="125" t="s">
        <v>1579</v>
      </c>
      <c r="M6579">
        <v>1528</v>
      </c>
      <c r="N6579" s="182">
        <v>17</v>
      </c>
      <c r="O6579">
        <v>4347</v>
      </c>
      <c r="P6579" s="176" t="s">
        <v>77</v>
      </c>
      <c r="Q6579" s="176">
        <v>8620.7099999999991</v>
      </c>
      <c r="R6579" s="176">
        <v>1379.3</v>
      </c>
      <c r="S6579" s="176"/>
      <c r="T6579" s="190">
        <v>0</v>
      </c>
      <c r="U6579" s="191"/>
      <c r="V6579" s="191">
        <v>10000.009999999998</v>
      </c>
      <c r="W6579">
        <v>438</v>
      </c>
      <c r="X6579" s="186" t="s">
        <v>3592</v>
      </c>
      <c r="Y6579" s="187" t="s">
        <v>55</v>
      </c>
      <c r="Z6579" s="311">
        <v>297</v>
      </c>
      <c r="AB6579" t="str">
        <f>IF(Table1[[#This Row],[TIPO2]]="costo", VLOOKUP(Table1[[#This Row],[PARTIDA PRESUPUESTAL]],'Cost Report'!G:G,1,0),"Balance")</f>
        <v>3412-115</v>
      </c>
      <c r="AD6579" s="159">
        <f>+Table1[[#This Row],[SUBTOTAL]]+Table1[[#This Row],[IVA]]-Table1[[#This Row],[RET IVA]]-Table1[[#This Row],[RET ISR]]-Table1[[#This Row],[TOTAL]]</f>
        <v>0</v>
      </c>
      <c r="AK6579" s="306">
        <f>IF(ISNUMBER(Table1[[#This Row],[FECHA DE RECIBIDO]]), Table1[[#This Row],[FECHA DE RECIBIDO]]-DATE(2023,8,30), "")</f>
        <v>-44870.51966435185</v>
      </c>
    </row>
    <row r="6580" spans="1:37">
      <c r="A6580" s="172" t="s">
        <v>4623</v>
      </c>
      <c r="B6580" s="205">
        <v>1606</v>
      </c>
      <c r="C6580" s="179" t="s">
        <v>71</v>
      </c>
      <c r="D6580"/>
      <c r="E6580" s="125"/>
      <c r="F6580" s="206"/>
      <c r="G6580" s="206"/>
      <c r="H6580"/>
      <c r="I6580" s="206"/>
      <c r="J6580" s="321" t="s">
        <v>214</v>
      </c>
      <c r="K6580" s="178" t="s">
        <v>5443</v>
      </c>
      <c r="L6580" s="151" t="s">
        <v>1643</v>
      </c>
      <c r="M6580">
        <v>1529</v>
      </c>
      <c r="N6580" s="207"/>
      <c r="O6580">
        <v>4348</v>
      </c>
      <c r="P6580" s="203" t="s">
        <v>78</v>
      </c>
      <c r="Q6580" s="203">
        <v>-10735.01</v>
      </c>
      <c r="R6580" s="203"/>
      <c r="S6580" s="203"/>
      <c r="T6580" s="155">
        <v>0</v>
      </c>
      <c r="U6580" s="203"/>
      <c r="V6580" s="203">
        <f>+Table1[[#This Row],[SUBTOTAL]]</f>
        <v>-10735.01</v>
      </c>
      <c r="W6580"/>
      <c r="X6580" s="208"/>
      <c r="Y6580" s="135"/>
      <c r="Z6580" s="313">
        <v>212</v>
      </c>
      <c r="AB6580" t="s">
        <v>78</v>
      </c>
      <c r="AC6580" s="118"/>
      <c r="AD6580" s="159">
        <v>0</v>
      </c>
      <c r="AE6580" s="150"/>
      <c r="AF6580" s="151"/>
      <c r="AG6580" s="126"/>
      <c r="AK6580" s="306" t="str">
        <f>IF(ISNUMBER(Table1[[#This Row],[FECHA DE RECIBIDO]]), Table1[[#This Row],[FECHA DE RECIBIDO]]-DATE(2023,8,30), "")</f>
        <v/>
      </c>
    </row>
    <row r="6581" spans="1:37">
      <c r="A6581" s="172"/>
      <c r="B6581" s="178"/>
      <c r="C6581" s="179" t="s">
        <v>5114</v>
      </c>
      <c r="D6581">
        <v>4497</v>
      </c>
      <c r="E6581" s="125"/>
      <c r="F6581" s="178"/>
      <c r="G6581" s="178"/>
      <c r="H6581"/>
      <c r="I6581" s="178"/>
      <c r="J6581" s="320" t="s">
        <v>214</v>
      </c>
      <c r="K6581" s="178" t="s">
        <v>5443</v>
      </c>
      <c r="L6581" s="125" t="s">
        <v>5115</v>
      </c>
      <c r="M6581">
        <v>1341</v>
      </c>
      <c r="N6581" s="182"/>
      <c r="O6581">
        <v>4349</v>
      </c>
      <c r="P6581" s="203" t="s">
        <v>78</v>
      </c>
      <c r="Q6581" s="176">
        <v>-10524.3103448276</v>
      </c>
      <c r="R6581" s="176">
        <v>1683.8896551724199</v>
      </c>
      <c r="S6581" s="176"/>
      <c r="T6581" s="190">
        <v>0</v>
      </c>
      <c r="U6581" s="191"/>
      <c r="V6581" s="191">
        <f>+Table1[[#This Row],[SUBTOTAL]]+Table1[[#This Row],[IVA]]-Table1[[#This Row],[RET IVA]]-Table1[[#This Row],[RET ISR]]</f>
        <v>-8840.4206896551805</v>
      </c>
      <c r="W6581"/>
      <c r="X6581" s="186"/>
      <c r="Y6581" s="187"/>
      <c r="Z6581" s="311" t="s">
        <v>214</v>
      </c>
      <c r="AB6581" t="str">
        <f>IF(Table1[[#This Row],[TIPO2]]="costo", VLOOKUP(Table1[[#This Row],[PARTIDA PRESUPUESTAL]],'Cost Report'!G:G,1,0),"Balance")</f>
        <v>Balance</v>
      </c>
      <c r="AD6581" s="159">
        <f>+Table1[[#This Row],[SUBTOTAL]]+Table1[[#This Row],[IVA]]-Table1[[#This Row],[RET IVA]]-Table1[[#This Row],[RET ISR]]-Table1[[#This Row],[TOTAL]]</f>
        <v>0</v>
      </c>
      <c r="AK6581" s="306" t="str">
        <f>IF(ISNUMBER(Table1[[#This Row],[FECHA DE RECIBIDO]]), Table1[[#This Row],[FECHA DE RECIBIDO]]-DATE(2023,8,30), "")</f>
        <v/>
      </c>
    </row>
    <row r="6582" spans="1:37">
      <c r="A6582" s="172"/>
      <c r="B6582" s="178"/>
      <c r="C6582" s="179" t="s">
        <v>5114</v>
      </c>
      <c r="D6582"/>
      <c r="E6582" s="125"/>
      <c r="F6582" s="178"/>
      <c r="G6582" s="178"/>
      <c r="H6582"/>
      <c r="I6582" s="178"/>
      <c r="J6582" s="320" t="s">
        <v>214</v>
      </c>
      <c r="K6582" s="178" t="s">
        <v>5443</v>
      </c>
      <c r="L6582" s="125" t="s">
        <v>5115</v>
      </c>
      <c r="M6582">
        <v>1530</v>
      </c>
      <c r="N6582" s="182"/>
      <c r="O6582">
        <v>4350</v>
      </c>
      <c r="P6582" s="203" t="s">
        <v>78</v>
      </c>
      <c r="Q6582" s="176">
        <v>200463.09</v>
      </c>
      <c r="R6582" s="176"/>
      <c r="S6582" s="176"/>
      <c r="T6582" s="190">
        <v>0</v>
      </c>
      <c r="U6582" s="191"/>
      <c r="V6582" s="191">
        <f>+Table1[[#This Row],[SUBTOTAL]]+Table1[[#This Row],[IVA]]-Table1[[#This Row],[RET IVA]]-Table1[[#This Row],[RET ISR]]</f>
        <v>200463.09</v>
      </c>
      <c r="W6582"/>
      <c r="X6582" s="186"/>
      <c r="Y6582" s="187"/>
      <c r="Z6582" s="311" t="s">
        <v>214</v>
      </c>
      <c r="AB6582" t="str">
        <f>IF(Table1[[#This Row],[TIPO2]]="costo", VLOOKUP(Table1[[#This Row],[PARTIDA PRESUPUESTAL]],'Cost Report'!G:G,1,0),"Balance")</f>
        <v>Balance</v>
      </c>
      <c r="AD6582" s="159">
        <f>+Table1[[#This Row],[SUBTOTAL]]+Table1[[#This Row],[IVA]]-Table1[[#This Row],[RET IVA]]-Table1[[#This Row],[RET ISR]]-Table1[[#This Row],[TOTAL]]</f>
        <v>0</v>
      </c>
      <c r="AK6582" s="306" t="str">
        <f>IF(ISNUMBER(Table1[[#This Row],[FECHA DE RECIBIDO]]), Table1[[#This Row],[FECHA DE RECIBIDO]]-DATE(2023,8,30), "")</f>
        <v/>
      </c>
    </row>
    <row r="6583" spans="1:37" ht="18" customHeight="1">
      <c r="A6583" s="172" t="s">
        <v>5447</v>
      </c>
      <c r="B6583" s="178">
        <v>2369</v>
      </c>
      <c r="C6583" s="179" t="s">
        <v>1792</v>
      </c>
      <c r="D6583">
        <v>4498</v>
      </c>
      <c r="E6583" s="125" t="s">
        <v>2001</v>
      </c>
      <c r="F6583" s="178">
        <v>601</v>
      </c>
      <c r="G6583" s="178" t="s">
        <v>134</v>
      </c>
      <c r="H6583">
        <v>23</v>
      </c>
      <c r="I6583" s="178" t="s">
        <v>1546</v>
      </c>
      <c r="J6583" s="320" t="s">
        <v>214</v>
      </c>
      <c r="K6583" s="178" t="s">
        <v>5466</v>
      </c>
      <c r="L6583" s="125" t="s">
        <v>3306</v>
      </c>
      <c r="M6583">
        <v>32</v>
      </c>
      <c r="N6583" s="182">
        <v>1</v>
      </c>
      <c r="O6583">
        <v>4351</v>
      </c>
      <c r="P6583" s="203" t="s">
        <v>77</v>
      </c>
      <c r="Q6583" s="176">
        <v>13600</v>
      </c>
      <c r="R6583" s="176">
        <v>2176</v>
      </c>
      <c r="S6583" s="176"/>
      <c r="T6583" s="190">
        <v>0</v>
      </c>
      <c r="U6583" s="191">
        <v>0</v>
      </c>
      <c r="V6583" s="191">
        <v>15776</v>
      </c>
      <c r="W6583">
        <v>532</v>
      </c>
      <c r="X6583" s="186" t="s">
        <v>105</v>
      </c>
      <c r="Y6583" s="187" t="s">
        <v>55</v>
      </c>
      <c r="Z6583" s="311">
        <v>316</v>
      </c>
      <c r="AB6583" t="str">
        <f>IF(Table1[[#This Row],[TIPO2]]="costo", VLOOKUP(Table1[[#This Row],[PARTIDA PRESUPUESTAL]],'Cost Report'!G:G,1,0),"Balance")</f>
        <v>1287-007</v>
      </c>
      <c r="AD6583" s="159">
        <f>+Table1[[#This Row],[SUBTOTAL]]+Table1[[#This Row],[IVA]]-Table1[[#This Row],[RET IVA]]-Table1[[#This Row],[RET ISR]]-Table1[[#This Row],[TOTAL]]</f>
        <v>0</v>
      </c>
      <c r="AK6583" s="306" t="str">
        <f>IF(ISNUMBER(Table1[[#This Row],[FECHA DE RECIBIDO]]), Table1[[#This Row],[FECHA DE RECIBIDO]]-DATE(2023,8,30), "")</f>
        <v/>
      </c>
    </row>
    <row r="6584" spans="1:37" ht="18" customHeight="1">
      <c r="A6584" s="172" t="s">
        <v>5448</v>
      </c>
      <c r="B6584" s="178">
        <v>2370</v>
      </c>
      <c r="C6584" s="179" t="s">
        <v>2528</v>
      </c>
      <c r="D6584">
        <v>4499</v>
      </c>
      <c r="E6584" s="125" t="s">
        <v>5449</v>
      </c>
      <c r="F6584" s="178">
        <v>612</v>
      </c>
      <c r="G6584" s="178" t="s">
        <v>129</v>
      </c>
      <c r="H6584">
        <v>1098</v>
      </c>
      <c r="I6584" s="178" t="s">
        <v>1546</v>
      </c>
      <c r="J6584" s="320" t="s">
        <v>214</v>
      </c>
      <c r="K6584" s="178" t="s">
        <v>5466</v>
      </c>
      <c r="L6584" s="125" t="s">
        <v>3306</v>
      </c>
      <c r="M6584">
        <v>1531</v>
      </c>
      <c r="N6584" s="182">
        <v>1</v>
      </c>
      <c r="O6584">
        <v>4352</v>
      </c>
      <c r="P6584" s="203" t="s">
        <v>77</v>
      </c>
      <c r="Q6584" s="176">
        <v>4050</v>
      </c>
      <c r="R6584" s="176">
        <v>648</v>
      </c>
      <c r="S6584" s="176"/>
      <c r="T6584" s="190">
        <v>162</v>
      </c>
      <c r="U6584" s="191">
        <v>0</v>
      </c>
      <c r="V6584" s="191">
        <v>4536</v>
      </c>
      <c r="W6584">
        <v>533</v>
      </c>
      <c r="X6584" s="186" t="s">
        <v>105</v>
      </c>
      <c r="Y6584" s="187" t="s">
        <v>55</v>
      </c>
      <c r="Z6584" s="311">
        <v>316</v>
      </c>
      <c r="AB6584" t="str">
        <f>IF(Table1[[#This Row],[TIPO2]]="costo", VLOOKUP(Table1[[#This Row],[PARTIDA PRESUPUESTAL]],'Cost Report'!G:G,1,0),"Balance")</f>
        <v>2485-004</v>
      </c>
      <c r="AD6584" s="159">
        <f>+Table1[[#This Row],[SUBTOTAL]]+Table1[[#This Row],[IVA]]-Table1[[#This Row],[RET IVA]]-Table1[[#This Row],[RET ISR]]-Table1[[#This Row],[TOTAL]]</f>
        <v>0</v>
      </c>
      <c r="AK6584" s="306" t="str">
        <f>IF(ISNUMBER(Table1[[#This Row],[FECHA DE RECIBIDO]]), Table1[[#This Row],[FECHA DE RECIBIDO]]-DATE(2023,8,30), "")</f>
        <v/>
      </c>
    </row>
    <row r="6585" spans="1:37" ht="18" customHeight="1">
      <c r="A6585" s="172"/>
      <c r="B6585" s="178">
        <v>2371</v>
      </c>
      <c r="C6585" s="179" t="s">
        <v>2528</v>
      </c>
      <c r="D6585">
        <v>4500</v>
      </c>
      <c r="E6585" s="125" t="s">
        <v>5449</v>
      </c>
      <c r="F6585" s="178">
        <v>612</v>
      </c>
      <c r="G6585" s="178" t="s">
        <v>129</v>
      </c>
      <c r="H6585">
        <v>1098</v>
      </c>
      <c r="I6585" s="178" t="s">
        <v>1546</v>
      </c>
      <c r="J6585" s="320" t="s">
        <v>214</v>
      </c>
      <c r="K6585" s="178" t="s">
        <v>5466</v>
      </c>
      <c r="L6585" s="125" t="s">
        <v>3306</v>
      </c>
      <c r="M6585">
        <v>1531</v>
      </c>
      <c r="N6585" s="182">
        <v>1</v>
      </c>
      <c r="O6585">
        <v>4353</v>
      </c>
      <c r="P6585" s="203" t="s">
        <v>77</v>
      </c>
      <c r="Q6585" s="176">
        <v>1500</v>
      </c>
      <c r="R6585" s="176">
        <v>240</v>
      </c>
      <c r="S6585" s="176"/>
      <c r="T6585" s="190">
        <v>60</v>
      </c>
      <c r="U6585" s="191">
        <v>0</v>
      </c>
      <c r="V6585" s="191">
        <v>1680</v>
      </c>
      <c r="W6585">
        <v>533</v>
      </c>
      <c r="X6585" s="186" t="s">
        <v>105</v>
      </c>
      <c r="Y6585" s="187" t="s">
        <v>55</v>
      </c>
      <c r="Z6585" s="311">
        <v>316</v>
      </c>
      <c r="AB6585" t="str">
        <f>IF(Table1[[#This Row],[TIPO2]]="costo", VLOOKUP(Table1[[#This Row],[PARTIDA PRESUPUESTAL]],'Cost Report'!G:G,1,0),"Balance")</f>
        <v>2485-004</v>
      </c>
      <c r="AD6585" s="159">
        <f>+Table1[[#This Row],[SUBTOTAL]]+Table1[[#This Row],[IVA]]-Table1[[#This Row],[RET IVA]]-Table1[[#This Row],[RET ISR]]-Table1[[#This Row],[TOTAL]]</f>
        <v>0</v>
      </c>
      <c r="AK6585" s="306" t="str">
        <f>IF(ISNUMBER(Table1[[#This Row],[FECHA DE RECIBIDO]]), Table1[[#This Row],[FECHA DE RECIBIDO]]-DATE(2023,8,30), "")</f>
        <v/>
      </c>
    </row>
    <row r="6586" spans="1:37" ht="18" customHeight="1">
      <c r="A6586" s="172" t="s">
        <v>5450</v>
      </c>
      <c r="B6586" s="178">
        <v>2372</v>
      </c>
      <c r="C6586" s="179" t="s">
        <v>2143</v>
      </c>
      <c r="D6586">
        <v>4501</v>
      </c>
      <c r="E6586" s="125" t="s">
        <v>1592</v>
      </c>
      <c r="F6586" s="178">
        <v>626</v>
      </c>
      <c r="G6586" s="178" t="s">
        <v>109</v>
      </c>
      <c r="H6586">
        <v>18</v>
      </c>
      <c r="I6586" s="178" t="s">
        <v>1546</v>
      </c>
      <c r="J6586" s="320" t="s">
        <v>214</v>
      </c>
      <c r="K6586" s="178" t="s">
        <v>5466</v>
      </c>
      <c r="L6586" s="125" t="s">
        <v>110</v>
      </c>
      <c r="M6586">
        <v>23</v>
      </c>
      <c r="N6586" s="182">
        <v>4</v>
      </c>
      <c r="O6586">
        <v>4354</v>
      </c>
      <c r="P6586" s="203" t="s">
        <v>77</v>
      </c>
      <c r="Q6586" s="176">
        <v>40000</v>
      </c>
      <c r="R6586" s="176">
        <v>6400</v>
      </c>
      <c r="S6586" s="176"/>
      <c r="T6586" s="190">
        <v>4266.68</v>
      </c>
      <c r="U6586" s="191">
        <v>500</v>
      </c>
      <c r="V6586" s="191">
        <v>41633.32</v>
      </c>
      <c r="W6586">
        <v>18</v>
      </c>
      <c r="X6586" s="186" t="s">
        <v>1429</v>
      </c>
      <c r="Y6586" s="187" t="s">
        <v>55</v>
      </c>
      <c r="Z6586" s="311">
        <v>317</v>
      </c>
      <c r="AB6586" t="str">
        <f>IF(Table1[[#This Row],[TIPO2]]="costo", VLOOKUP(Table1[[#This Row],[PARTIDA PRESUPUESTAL]],'Cost Report'!G:G,1,0),"Balance")</f>
        <v>1222-009</v>
      </c>
      <c r="AD6586" s="159">
        <f>+Table1[[#This Row],[SUBTOTAL]]+Table1[[#This Row],[IVA]]-Table1[[#This Row],[RET IVA]]-Table1[[#This Row],[RET ISR]]-Table1[[#This Row],[TOTAL]]</f>
        <v>0</v>
      </c>
      <c r="AK6586" s="306" t="str">
        <f>IF(ISNUMBER(Table1[[#This Row],[FECHA DE RECIBIDO]]), Table1[[#This Row],[FECHA DE RECIBIDO]]-DATE(2023,8,30), "")</f>
        <v/>
      </c>
    </row>
    <row r="6587" spans="1:37" ht="18" customHeight="1">
      <c r="A6587" s="172" t="s">
        <v>5451</v>
      </c>
      <c r="B6587" s="178">
        <v>2373</v>
      </c>
      <c r="C6587" s="179" t="s">
        <v>2141</v>
      </c>
      <c r="D6587">
        <v>4502</v>
      </c>
      <c r="E6587" s="125" t="s">
        <v>1887</v>
      </c>
      <c r="F6587" s="178">
        <v>626</v>
      </c>
      <c r="G6587" s="178" t="s">
        <v>109</v>
      </c>
      <c r="H6587">
        <v>10</v>
      </c>
      <c r="I6587" s="178" t="s">
        <v>1546</v>
      </c>
      <c r="J6587" s="320" t="s">
        <v>214</v>
      </c>
      <c r="K6587" s="178" t="s">
        <v>5466</v>
      </c>
      <c r="L6587" s="125" t="s">
        <v>110</v>
      </c>
      <c r="M6587">
        <v>13</v>
      </c>
      <c r="N6587" s="182">
        <v>20</v>
      </c>
      <c r="O6587">
        <v>4355</v>
      </c>
      <c r="P6587" s="203" t="s">
        <v>77</v>
      </c>
      <c r="Q6587" s="176">
        <v>67000</v>
      </c>
      <c r="R6587" s="176">
        <v>10720</v>
      </c>
      <c r="S6587" s="176"/>
      <c r="T6587" s="190">
        <v>7146.68</v>
      </c>
      <c r="U6587" s="191">
        <v>837.5</v>
      </c>
      <c r="V6587" s="191">
        <v>69735.820000000007</v>
      </c>
      <c r="W6587">
        <v>9</v>
      </c>
      <c r="X6587" s="186" t="s">
        <v>1429</v>
      </c>
      <c r="Y6587" s="187" t="s">
        <v>55</v>
      </c>
      <c r="Z6587" s="311">
        <v>317</v>
      </c>
      <c r="AB6587" t="str">
        <f>IF(Table1[[#This Row],[TIPO2]]="costo", VLOOKUP(Table1[[#This Row],[PARTIDA PRESUPUESTAL]],'Cost Report'!G:G,1,0),"Balance")</f>
        <v>1202-006</v>
      </c>
      <c r="AD6587" s="159">
        <f>+Table1[[#This Row],[SUBTOTAL]]+Table1[[#This Row],[IVA]]-Table1[[#This Row],[RET IVA]]-Table1[[#This Row],[RET ISR]]-Table1[[#This Row],[TOTAL]]</f>
        <v>0</v>
      </c>
      <c r="AK6587" s="306" t="str">
        <f>IF(ISNUMBER(Table1[[#This Row],[FECHA DE RECIBIDO]]), Table1[[#This Row],[FECHA DE RECIBIDO]]-DATE(2023,8,30), "")</f>
        <v/>
      </c>
    </row>
    <row r="6588" spans="1:37" ht="18" customHeight="1">
      <c r="A6588" s="172" t="s">
        <v>5452</v>
      </c>
      <c r="B6588" s="178">
        <v>2374</v>
      </c>
      <c r="C6588" s="179" t="s">
        <v>949</v>
      </c>
      <c r="D6588">
        <v>4503</v>
      </c>
      <c r="E6588" s="125" t="s">
        <v>1891</v>
      </c>
      <c r="F6588" s="178">
        <v>612</v>
      </c>
      <c r="G6588" s="178" t="s">
        <v>129</v>
      </c>
      <c r="H6588">
        <v>64</v>
      </c>
      <c r="I6588" s="178" t="s">
        <v>1546</v>
      </c>
      <c r="J6588" s="320" t="s">
        <v>214</v>
      </c>
      <c r="K6588" s="178" t="s">
        <v>5466</v>
      </c>
      <c r="L6588" s="125" t="s">
        <v>110</v>
      </c>
      <c r="M6588">
        <v>87</v>
      </c>
      <c r="N6588" s="182">
        <v>24</v>
      </c>
      <c r="O6588">
        <v>4356</v>
      </c>
      <c r="P6588" s="203" t="s">
        <v>77</v>
      </c>
      <c r="Q6588" s="176">
        <v>12600</v>
      </c>
      <c r="R6588" s="176">
        <v>2016</v>
      </c>
      <c r="S6588" s="176"/>
      <c r="T6588" s="190">
        <v>1344</v>
      </c>
      <c r="U6588" s="191">
        <v>1260</v>
      </c>
      <c r="V6588" s="191">
        <v>12012</v>
      </c>
      <c r="W6588">
        <v>46</v>
      </c>
      <c r="X6588" s="186" t="s">
        <v>1429</v>
      </c>
      <c r="Y6588" s="187" t="s">
        <v>55</v>
      </c>
      <c r="Z6588" s="311">
        <v>317</v>
      </c>
      <c r="AB6588" t="str">
        <f>IF(Table1[[#This Row],[TIPO2]]="costo", VLOOKUP(Table1[[#This Row],[PARTIDA PRESUPUESTAL]],'Cost Report'!G:G,1,0),"Balance")</f>
        <v>3403-005</v>
      </c>
      <c r="AD6588" s="159">
        <f>+Table1[[#This Row],[SUBTOTAL]]+Table1[[#This Row],[IVA]]-Table1[[#This Row],[RET IVA]]-Table1[[#This Row],[RET ISR]]-Table1[[#This Row],[TOTAL]]</f>
        <v>0</v>
      </c>
      <c r="AK6588" s="306" t="str">
        <f>IF(ISNUMBER(Table1[[#This Row],[FECHA DE RECIBIDO]]), Table1[[#This Row],[FECHA DE RECIBIDO]]-DATE(2023,8,30), "")</f>
        <v/>
      </c>
    </row>
    <row r="6589" spans="1:37" ht="18" customHeight="1">
      <c r="A6589" s="172" t="s">
        <v>5453</v>
      </c>
      <c r="B6589" s="178">
        <v>2375</v>
      </c>
      <c r="C6589" s="179" t="s">
        <v>965</v>
      </c>
      <c r="D6589">
        <v>4504</v>
      </c>
      <c r="E6589" s="125" t="s">
        <v>5454</v>
      </c>
      <c r="F6589" s="178">
        <v>626</v>
      </c>
      <c r="G6589" s="178" t="s">
        <v>109</v>
      </c>
      <c r="H6589">
        <v>1099</v>
      </c>
      <c r="I6589" s="178" t="s">
        <v>1546</v>
      </c>
      <c r="J6589" s="320" t="s">
        <v>214</v>
      </c>
      <c r="K6589" s="178" t="s">
        <v>5466</v>
      </c>
      <c r="L6589" s="125" t="s">
        <v>3306</v>
      </c>
      <c r="M6589">
        <v>1532</v>
      </c>
      <c r="N6589" s="182">
        <v>1</v>
      </c>
      <c r="O6589">
        <v>3503</v>
      </c>
      <c r="P6589" s="203" t="s">
        <v>77</v>
      </c>
      <c r="Q6589" s="176">
        <v>18200</v>
      </c>
      <c r="R6589" s="176">
        <v>2912</v>
      </c>
      <c r="S6589" s="176"/>
      <c r="T6589" s="190">
        <v>1941.32</v>
      </c>
      <c r="U6589" s="191">
        <v>245</v>
      </c>
      <c r="V6589" s="191">
        <v>18925.68</v>
      </c>
      <c r="W6589">
        <v>534</v>
      </c>
      <c r="X6589" s="186" t="s">
        <v>2035</v>
      </c>
      <c r="Y6589" s="187" t="s">
        <v>55</v>
      </c>
      <c r="Z6589" s="311">
        <v>320</v>
      </c>
      <c r="AB6589" t="str">
        <f>IF(Table1[[#This Row],[TIPO2]]="costo", VLOOKUP(Table1[[#This Row],[PARTIDA PRESUPUESTAL]],'Cost Report'!G:G,1,0),"Balance")</f>
        <v>3407-007</v>
      </c>
      <c r="AD6589" s="159">
        <f>+Table1[[#This Row],[SUBTOTAL]]+Table1[[#This Row],[IVA]]-Table1[[#This Row],[RET IVA]]-Table1[[#This Row],[RET ISR]]-Table1[[#This Row],[TOTAL]]</f>
        <v>0</v>
      </c>
      <c r="AK6589" s="306" t="str">
        <f>IF(ISNUMBER(Table1[[#This Row],[FECHA DE RECIBIDO]]), Table1[[#This Row],[FECHA DE RECIBIDO]]-DATE(2023,8,30), "")</f>
        <v/>
      </c>
    </row>
    <row r="6590" spans="1:37" ht="18" customHeight="1">
      <c r="A6590" s="172" t="s">
        <v>5455</v>
      </c>
      <c r="B6590" s="178">
        <v>2376</v>
      </c>
      <c r="C6590" s="179" t="s">
        <v>3415</v>
      </c>
      <c r="D6590">
        <v>4505</v>
      </c>
      <c r="E6590" s="125" t="s">
        <v>1623</v>
      </c>
      <c r="F6590" s="178">
        <v>601</v>
      </c>
      <c r="G6590" s="178" t="s">
        <v>134</v>
      </c>
      <c r="H6590">
        <v>45</v>
      </c>
      <c r="I6590" s="178" t="s">
        <v>1546</v>
      </c>
      <c r="J6590" s="320" t="s">
        <v>214</v>
      </c>
      <c r="K6590" s="178" t="s">
        <v>5466</v>
      </c>
      <c r="L6590" s="125" t="s">
        <v>1579</v>
      </c>
      <c r="M6590">
        <v>56</v>
      </c>
      <c r="N6590" s="182">
        <v>17</v>
      </c>
      <c r="O6590">
        <v>4357</v>
      </c>
      <c r="P6590" s="203" t="s">
        <v>77</v>
      </c>
      <c r="Q6590" s="176">
        <v>517.24</v>
      </c>
      <c r="R6590" s="176">
        <v>82.76</v>
      </c>
      <c r="S6590" s="176"/>
      <c r="T6590" s="190"/>
      <c r="U6590" s="191"/>
      <c r="V6590" s="191">
        <v>600</v>
      </c>
      <c r="W6590">
        <v>93</v>
      </c>
      <c r="X6590" s="186" t="s">
        <v>1644</v>
      </c>
      <c r="Y6590" s="187" t="s">
        <v>55</v>
      </c>
      <c r="Z6590" s="311" t="s">
        <v>214</v>
      </c>
      <c r="AB6590" t="str">
        <f>IF(Table1[[#This Row],[TIPO2]]="costo", VLOOKUP(Table1[[#This Row],[PARTIDA PRESUPUESTAL]],'Cost Report'!G:G,1,0),"Balance")</f>
        <v>3629-006</v>
      </c>
      <c r="AD6590" s="159">
        <f>+Table1[[#This Row],[SUBTOTAL]]+Table1[[#This Row],[IVA]]-Table1[[#This Row],[RET IVA]]-Table1[[#This Row],[RET ISR]]-Table1[[#This Row],[TOTAL]]</f>
        <v>0</v>
      </c>
      <c r="AK6590" s="306" t="str">
        <f>IF(ISNUMBER(Table1[[#This Row],[FECHA DE RECIBIDO]]), Table1[[#This Row],[FECHA DE RECIBIDO]]-DATE(2023,8,30), "")</f>
        <v/>
      </c>
    </row>
    <row r="6591" spans="1:37" ht="18" customHeight="1">
      <c r="A6591" s="172" t="s">
        <v>5455</v>
      </c>
      <c r="B6591" s="178">
        <v>2376</v>
      </c>
      <c r="C6591" s="179" t="s">
        <v>3415</v>
      </c>
      <c r="D6591">
        <v>4506</v>
      </c>
      <c r="E6591" s="125" t="s">
        <v>1623</v>
      </c>
      <c r="F6591" s="178">
        <v>601</v>
      </c>
      <c r="G6591" s="178" t="s">
        <v>134</v>
      </c>
      <c r="H6591">
        <v>45</v>
      </c>
      <c r="I6591" s="178" t="s">
        <v>1546</v>
      </c>
      <c r="J6591" s="320" t="s">
        <v>214</v>
      </c>
      <c r="K6591" s="178" t="s">
        <v>5466</v>
      </c>
      <c r="L6591" s="125" t="s">
        <v>1579</v>
      </c>
      <c r="M6591">
        <v>56</v>
      </c>
      <c r="N6591" s="182">
        <v>17</v>
      </c>
      <c r="O6591">
        <v>4357</v>
      </c>
      <c r="P6591" s="203" t="s">
        <v>77</v>
      </c>
      <c r="Q6591" s="176">
        <v>517.24</v>
      </c>
      <c r="R6591" s="176">
        <v>82.76</v>
      </c>
      <c r="S6591" s="176"/>
      <c r="T6591" s="190"/>
      <c r="U6591" s="191"/>
      <c r="V6591" s="191">
        <v>600</v>
      </c>
      <c r="W6591">
        <v>93</v>
      </c>
      <c r="X6591" s="186" t="s">
        <v>1644</v>
      </c>
      <c r="Y6591" s="187" t="s">
        <v>55</v>
      </c>
      <c r="Z6591" s="311">
        <v>221</v>
      </c>
      <c r="AB6591" t="str">
        <f>IF(Table1[[#This Row],[TIPO2]]="costo", VLOOKUP(Table1[[#This Row],[PARTIDA PRESUPUESTAL]],'Cost Report'!G:G,1,0),"Balance")</f>
        <v>3629-006</v>
      </c>
      <c r="AD6591" s="159">
        <f>+Table1[[#This Row],[SUBTOTAL]]+Table1[[#This Row],[IVA]]-Table1[[#This Row],[RET IVA]]-Table1[[#This Row],[RET ISR]]-Table1[[#This Row],[TOTAL]]</f>
        <v>0</v>
      </c>
      <c r="AK6591" s="306" t="str">
        <f>IF(ISNUMBER(Table1[[#This Row],[FECHA DE RECIBIDO]]), Table1[[#This Row],[FECHA DE RECIBIDO]]-DATE(2023,8,30), "")</f>
        <v/>
      </c>
    </row>
    <row r="6592" spans="1:37" ht="18" customHeight="1">
      <c r="A6592" s="172" t="s">
        <v>5455</v>
      </c>
      <c r="B6592" s="178">
        <v>2376</v>
      </c>
      <c r="C6592" s="179" t="s">
        <v>3415</v>
      </c>
      <c r="D6592">
        <v>4507</v>
      </c>
      <c r="E6592" s="125" t="s">
        <v>1623</v>
      </c>
      <c r="F6592" s="178">
        <v>601</v>
      </c>
      <c r="G6592" s="178" t="s">
        <v>134</v>
      </c>
      <c r="H6592">
        <v>45</v>
      </c>
      <c r="I6592" s="178" t="s">
        <v>1546</v>
      </c>
      <c r="J6592" s="320" t="s">
        <v>214</v>
      </c>
      <c r="K6592" s="178" t="s">
        <v>5466</v>
      </c>
      <c r="L6592" s="125" t="s">
        <v>1579</v>
      </c>
      <c r="M6592">
        <v>56</v>
      </c>
      <c r="N6592" s="182">
        <v>17</v>
      </c>
      <c r="O6592">
        <v>4357</v>
      </c>
      <c r="P6592" s="203" t="s">
        <v>77</v>
      </c>
      <c r="Q6592" s="176">
        <v>862.07</v>
      </c>
      <c r="R6592" s="176">
        <v>137.93</v>
      </c>
      <c r="S6592" s="176"/>
      <c r="T6592" s="190"/>
      <c r="U6592" s="191"/>
      <c r="V6592" s="191">
        <v>1000</v>
      </c>
      <c r="W6592">
        <v>93</v>
      </c>
      <c r="X6592" s="186" t="s">
        <v>1644</v>
      </c>
      <c r="Y6592" s="187" t="s">
        <v>55</v>
      </c>
      <c r="Z6592" s="311">
        <v>282</v>
      </c>
      <c r="AB6592" t="str">
        <f>IF(Table1[[#This Row],[TIPO2]]="costo", VLOOKUP(Table1[[#This Row],[PARTIDA PRESUPUESTAL]],'Cost Report'!G:G,1,0),"Balance")</f>
        <v>3629-006</v>
      </c>
      <c r="AD6592" s="159">
        <f>+Table1[[#This Row],[SUBTOTAL]]+Table1[[#This Row],[IVA]]-Table1[[#This Row],[RET IVA]]-Table1[[#This Row],[RET ISR]]-Table1[[#This Row],[TOTAL]]</f>
        <v>0</v>
      </c>
      <c r="AK6592" s="306" t="str">
        <f>IF(ISNUMBER(Table1[[#This Row],[FECHA DE RECIBIDO]]), Table1[[#This Row],[FECHA DE RECIBIDO]]-DATE(2023,8,30), "")</f>
        <v/>
      </c>
    </row>
    <row r="6593" spans="1:37" ht="18" customHeight="1">
      <c r="A6593" s="172" t="s">
        <v>5455</v>
      </c>
      <c r="B6593" s="178">
        <v>2376</v>
      </c>
      <c r="C6593" s="179" t="s">
        <v>3415</v>
      </c>
      <c r="D6593">
        <v>689</v>
      </c>
      <c r="E6593" s="125"/>
      <c r="F6593" s="178"/>
      <c r="G6593" s="178"/>
      <c r="H6593"/>
      <c r="I6593" s="178"/>
      <c r="J6593" s="320" t="s">
        <v>214</v>
      </c>
      <c r="K6593" s="178" t="s">
        <v>5466</v>
      </c>
      <c r="L6593" s="125" t="s">
        <v>1579</v>
      </c>
      <c r="M6593">
        <v>1533</v>
      </c>
      <c r="N6593" s="182">
        <v>17</v>
      </c>
      <c r="O6593">
        <v>3996</v>
      </c>
      <c r="P6593" s="203" t="s">
        <v>77</v>
      </c>
      <c r="Q6593" s="176">
        <v>14</v>
      </c>
      <c r="R6593" s="176"/>
      <c r="S6593" s="176"/>
      <c r="T6593" s="190"/>
      <c r="U6593" s="191"/>
      <c r="V6593" s="191">
        <v>14</v>
      </c>
      <c r="W6593">
        <v>93</v>
      </c>
      <c r="X6593" s="186" t="s">
        <v>1644</v>
      </c>
      <c r="Y6593" s="187" t="s">
        <v>55</v>
      </c>
      <c r="Z6593" s="311" t="s">
        <v>214</v>
      </c>
      <c r="AB6593" t="str">
        <f>IF(Table1[[#This Row],[TIPO2]]="costo", VLOOKUP(Table1[[#This Row],[PARTIDA PRESUPUESTAL]],'Cost Report'!G:G,1,0),"Balance")</f>
        <v>3629-006</v>
      </c>
      <c r="AD6593" s="159">
        <f>+Table1[[#This Row],[SUBTOTAL]]+Table1[[#This Row],[IVA]]-Table1[[#This Row],[RET IVA]]-Table1[[#This Row],[RET ISR]]-Table1[[#This Row],[TOTAL]]</f>
        <v>0</v>
      </c>
      <c r="AK6593" s="306" t="str">
        <f>IF(ISNUMBER(Table1[[#This Row],[FECHA DE RECIBIDO]]), Table1[[#This Row],[FECHA DE RECIBIDO]]-DATE(2023,8,30), "")</f>
        <v/>
      </c>
    </row>
    <row r="6594" spans="1:37" ht="18" customHeight="1">
      <c r="A6594" s="172" t="s">
        <v>5455</v>
      </c>
      <c r="B6594" s="178">
        <v>2376</v>
      </c>
      <c r="C6594" s="179" t="s">
        <v>3415</v>
      </c>
      <c r="D6594">
        <v>689</v>
      </c>
      <c r="E6594" s="125"/>
      <c r="F6594" s="178"/>
      <c r="G6594" s="178"/>
      <c r="H6594"/>
      <c r="I6594" s="178"/>
      <c r="J6594" s="320" t="s">
        <v>214</v>
      </c>
      <c r="K6594" s="178" t="s">
        <v>5466</v>
      </c>
      <c r="L6594" s="125" t="s">
        <v>1579</v>
      </c>
      <c r="M6594">
        <v>1534</v>
      </c>
      <c r="N6594" s="182">
        <v>17</v>
      </c>
      <c r="O6594">
        <v>3996</v>
      </c>
      <c r="P6594" s="203" t="s">
        <v>77</v>
      </c>
      <c r="Q6594" s="176">
        <v>10</v>
      </c>
      <c r="R6594" s="176"/>
      <c r="S6594" s="176"/>
      <c r="T6594" s="190"/>
      <c r="U6594" s="191"/>
      <c r="V6594" s="191">
        <v>10</v>
      </c>
      <c r="W6594">
        <v>93</v>
      </c>
      <c r="X6594" s="186" t="s">
        <v>1644</v>
      </c>
      <c r="Y6594" s="187" t="s">
        <v>55</v>
      </c>
      <c r="Z6594" s="311">
        <v>221</v>
      </c>
      <c r="AB6594" t="str">
        <f>IF(Table1[[#This Row],[TIPO2]]="costo", VLOOKUP(Table1[[#This Row],[PARTIDA PRESUPUESTAL]],'Cost Report'!G:G,1,0),"Balance")</f>
        <v>3629-006</v>
      </c>
      <c r="AD6594" s="159">
        <f>+Table1[[#This Row],[SUBTOTAL]]+Table1[[#This Row],[IVA]]-Table1[[#This Row],[RET IVA]]-Table1[[#This Row],[RET ISR]]-Table1[[#This Row],[TOTAL]]</f>
        <v>0</v>
      </c>
      <c r="AK6594" s="306" t="str">
        <f>IF(ISNUMBER(Table1[[#This Row],[FECHA DE RECIBIDO]]), Table1[[#This Row],[FECHA DE RECIBIDO]]-DATE(2023,8,30), "")</f>
        <v/>
      </c>
    </row>
    <row r="6595" spans="1:37" ht="18" customHeight="1">
      <c r="A6595" s="172" t="s">
        <v>5455</v>
      </c>
      <c r="B6595" s="178">
        <v>2376</v>
      </c>
      <c r="C6595" s="179" t="s">
        <v>3415</v>
      </c>
      <c r="D6595">
        <v>689</v>
      </c>
      <c r="E6595" s="125"/>
      <c r="F6595" s="178"/>
      <c r="G6595" s="178"/>
      <c r="H6595"/>
      <c r="I6595" s="178"/>
      <c r="J6595" s="320" t="s">
        <v>214</v>
      </c>
      <c r="K6595" s="178" t="s">
        <v>5466</v>
      </c>
      <c r="L6595" s="125" t="s">
        <v>1579</v>
      </c>
      <c r="M6595">
        <v>1534</v>
      </c>
      <c r="N6595" s="182">
        <v>17</v>
      </c>
      <c r="O6595">
        <v>3996</v>
      </c>
      <c r="P6595" s="203" t="s">
        <v>77</v>
      </c>
      <c r="Q6595" s="176">
        <v>10</v>
      </c>
      <c r="R6595" s="176"/>
      <c r="S6595" s="176"/>
      <c r="T6595" s="190"/>
      <c r="U6595" s="191"/>
      <c r="V6595" s="191">
        <v>10</v>
      </c>
      <c r="W6595">
        <v>93</v>
      </c>
      <c r="X6595" s="186" t="s">
        <v>1644</v>
      </c>
      <c r="Y6595" s="187" t="s">
        <v>55</v>
      </c>
      <c r="Z6595" s="311">
        <v>282</v>
      </c>
      <c r="AB6595" t="str">
        <f>IF(Table1[[#This Row],[TIPO2]]="costo", VLOOKUP(Table1[[#This Row],[PARTIDA PRESUPUESTAL]],'Cost Report'!G:G,1,0),"Balance")</f>
        <v>3629-006</v>
      </c>
      <c r="AD6595" s="159">
        <f>+Table1[[#This Row],[SUBTOTAL]]+Table1[[#This Row],[IVA]]-Table1[[#This Row],[RET IVA]]-Table1[[#This Row],[RET ISR]]-Table1[[#This Row],[TOTAL]]</f>
        <v>0</v>
      </c>
      <c r="AK6595" s="306" t="str">
        <f>IF(ISNUMBER(Table1[[#This Row],[FECHA DE RECIBIDO]]), Table1[[#This Row],[FECHA DE RECIBIDO]]-DATE(2023,8,30), "")</f>
        <v/>
      </c>
    </row>
    <row r="6596" spans="1:37" ht="18" customHeight="1">
      <c r="A6596" s="172" t="s">
        <v>4623</v>
      </c>
      <c r="B6596" s="178">
        <v>1606</v>
      </c>
      <c r="C6596" s="179" t="s">
        <v>71</v>
      </c>
      <c r="D6596"/>
      <c r="E6596" s="125"/>
      <c r="F6596" s="178"/>
      <c r="G6596" s="178"/>
      <c r="H6596"/>
      <c r="I6596" s="178"/>
      <c r="J6596" s="320" t="s">
        <v>214</v>
      </c>
      <c r="K6596" s="178" t="s">
        <v>5466</v>
      </c>
      <c r="L6596" s="125" t="s">
        <v>1643</v>
      </c>
      <c r="M6596">
        <v>1535</v>
      </c>
      <c r="N6596" s="182"/>
      <c r="O6596">
        <v>4358</v>
      </c>
      <c r="P6596" s="203" t="s">
        <v>5457</v>
      </c>
      <c r="Q6596" s="176">
        <f>-2234</f>
        <v>-2234</v>
      </c>
      <c r="R6596" s="176"/>
      <c r="S6596" s="176"/>
      <c r="T6596" s="190">
        <v>0</v>
      </c>
      <c r="U6596" s="191"/>
      <c r="V6596" s="191">
        <f>+Table1[[#This Row],[SUBTOTAL]]+Table1[[#This Row],[IVA]]-Table1[[#This Row],[RET IVA]]-Table1[[#This Row],[RET ISR]]</f>
        <v>-2234</v>
      </c>
      <c r="W6596"/>
      <c r="X6596" s="186"/>
      <c r="Y6596" s="187"/>
      <c r="Z6596" s="311" t="s">
        <v>214</v>
      </c>
      <c r="AB6596" t="str">
        <f>IF(Table1[[#This Row],[TIPO2]]="costo", VLOOKUP(Table1[[#This Row],[PARTIDA PRESUPUESTAL]],'Cost Report'!G:G,1,0),"Balance")</f>
        <v>Balance</v>
      </c>
      <c r="AD6596" s="159">
        <f>+Table1[[#This Row],[SUBTOTAL]]+Table1[[#This Row],[IVA]]-Table1[[#This Row],[RET IVA]]-Table1[[#This Row],[RET ISR]]-Table1[[#This Row],[TOTAL]]</f>
        <v>0</v>
      </c>
      <c r="AK6596" s="306" t="str">
        <f>IF(ISNUMBER(Table1[[#This Row],[FECHA DE RECIBIDO]]), Table1[[#This Row],[FECHA DE RECIBIDO]]-DATE(2023,8,30), "")</f>
        <v/>
      </c>
    </row>
    <row r="6597" spans="1:37" ht="18" customHeight="1">
      <c r="A6597" s="172" t="s">
        <v>5456</v>
      </c>
      <c r="B6597" s="178">
        <v>2377</v>
      </c>
      <c r="C6597" s="179" t="s">
        <v>71</v>
      </c>
      <c r="D6597">
        <v>4508</v>
      </c>
      <c r="E6597" s="125"/>
      <c r="F6597" s="178"/>
      <c r="G6597" s="178"/>
      <c r="H6597"/>
      <c r="I6597" s="178"/>
      <c r="J6597" s="320" t="s">
        <v>214</v>
      </c>
      <c r="K6597" s="178" t="s">
        <v>5466</v>
      </c>
      <c r="L6597" s="125" t="s">
        <v>1579</v>
      </c>
      <c r="M6597"/>
      <c r="N6597" s="182">
        <v>17</v>
      </c>
      <c r="O6597">
        <v>4359</v>
      </c>
      <c r="P6597" s="203" t="s">
        <v>5457</v>
      </c>
      <c r="Q6597" s="176">
        <v>-6261</v>
      </c>
      <c r="R6597" s="176"/>
      <c r="S6597" s="176"/>
      <c r="T6597" s="190"/>
      <c r="U6597" s="191"/>
      <c r="V6597" s="191">
        <f>+Table1[[#This Row],[SUBTOTAL]]</f>
        <v>-6261</v>
      </c>
      <c r="W6597">
        <v>225</v>
      </c>
      <c r="X6597" s="186" t="s">
        <v>1644</v>
      </c>
      <c r="Y6597" s="187" t="s">
        <v>55</v>
      </c>
      <c r="Z6597" s="311">
        <v>314</v>
      </c>
      <c r="AB6597" t="str">
        <f>IF(Table1[[#This Row],[TIPO2]]="costo", VLOOKUP(Table1[[#This Row],[PARTIDA PRESUPUESTAL]],'Cost Report'!G:G,1,0),"Balance")</f>
        <v>Balance</v>
      </c>
      <c r="AD6597" s="159">
        <f>+Table1[[#This Row],[SUBTOTAL]]+Table1[[#This Row],[IVA]]-Table1[[#This Row],[RET IVA]]-Table1[[#This Row],[RET ISR]]-Table1[[#This Row],[TOTAL]]</f>
        <v>0</v>
      </c>
      <c r="AK6597" s="306" t="str">
        <f>IF(ISNUMBER(Table1[[#This Row],[FECHA DE RECIBIDO]]), Table1[[#This Row],[FECHA DE RECIBIDO]]-DATE(2023,8,30), "")</f>
        <v/>
      </c>
    </row>
    <row r="6598" spans="1:37" ht="18" customHeight="1">
      <c r="A6598" s="172" t="s">
        <v>5458</v>
      </c>
      <c r="B6598" s="178">
        <v>2378</v>
      </c>
      <c r="C6598" s="179" t="s">
        <v>2892</v>
      </c>
      <c r="D6598">
        <v>4509</v>
      </c>
      <c r="E6598" s="125" t="s">
        <v>3171</v>
      </c>
      <c r="F6598" s="178">
        <v>621</v>
      </c>
      <c r="G6598" s="178" t="s">
        <v>1617</v>
      </c>
      <c r="H6598">
        <v>201</v>
      </c>
      <c r="I6598" s="178" t="s">
        <v>1546</v>
      </c>
      <c r="J6598" s="320" t="s">
        <v>214</v>
      </c>
      <c r="K6598" s="178" t="s">
        <v>5466</v>
      </c>
      <c r="L6598" s="125" t="s">
        <v>110</v>
      </c>
      <c r="M6598">
        <v>266</v>
      </c>
      <c r="N6598" s="182">
        <v>66</v>
      </c>
      <c r="O6598">
        <v>4360</v>
      </c>
      <c r="P6598" s="203" t="s">
        <v>77</v>
      </c>
      <c r="Q6598" s="176">
        <v>5000</v>
      </c>
      <c r="R6598" s="176">
        <v>800</v>
      </c>
      <c r="S6598" s="176"/>
      <c r="T6598" s="190">
        <v>533.34</v>
      </c>
      <c r="U6598" s="191">
        <v>0</v>
      </c>
      <c r="V6598" s="191">
        <v>5266.66</v>
      </c>
      <c r="W6598">
        <v>122</v>
      </c>
      <c r="X6598" s="186" t="s">
        <v>1434</v>
      </c>
      <c r="Y6598" s="187" t="s">
        <v>55</v>
      </c>
      <c r="Z6598" s="311">
        <v>324</v>
      </c>
      <c r="AB6598" t="str">
        <f>IF(Table1[[#This Row],[TIPO2]]="costo", VLOOKUP(Table1[[#This Row],[PARTIDA PRESUPUESTAL]],'Cost Report'!G:G,1,0),"Balance")</f>
        <v>3683-129</v>
      </c>
      <c r="AD6598" s="159">
        <f>+Table1[[#This Row],[SUBTOTAL]]+Table1[[#This Row],[IVA]]-Table1[[#This Row],[RET IVA]]-Table1[[#This Row],[RET ISR]]-Table1[[#This Row],[TOTAL]]</f>
        <v>0</v>
      </c>
      <c r="AK6598" s="306" t="str">
        <f>IF(ISNUMBER(Table1[[#This Row],[FECHA DE RECIBIDO]]), Table1[[#This Row],[FECHA DE RECIBIDO]]-DATE(2023,8,30), "")</f>
        <v/>
      </c>
    </row>
    <row r="6599" spans="1:37" ht="18" customHeight="1">
      <c r="A6599" s="172" t="s">
        <v>5459</v>
      </c>
      <c r="B6599" s="178">
        <v>2379</v>
      </c>
      <c r="C6599" s="179" t="s">
        <v>2892</v>
      </c>
      <c r="D6599">
        <v>4510</v>
      </c>
      <c r="E6599" s="125" t="s">
        <v>3171</v>
      </c>
      <c r="F6599" s="178">
        <v>621</v>
      </c>
      <c r="G6599" s="178" t="s">
        <v>1617</v>
      </c>
      <c r="H6599">
        <v>201</v>
      </c>
      <c r="I6599" s="178" t="s">
        <v>1546</v>
      </c>
      <c r="J6599" s="320" t="s">
        <v>214</v>
      </c>
      <c r="K6599" s="178" t="s">
        <v>5466</v>
      </c>
      <c r="L6599" s="125" t="s">
        <v>110</v>
      </c>
      <c r="M6599">
        <v>266</v>
      </c>
      <c r="N6599" s="182">
        <v>66</v>
      </c>
      <c r="O6599">
        <v>4361</v>
      </c>
      <c r="P6599" s="203" t="s">
        <v>77</v>
      </c>
      <c r="Q6599" s="176">
        <v>5000</v>
      </c>
      <c r="R6599" s="176">
        <v>800</v>
      </c>
      <c r="S6599" s="176"/>
      <c r="T6599" s="190">
        <v>533.34</v>
      </c>
      <c r="U6599" s="191">
        <v>0</v>
      </c>
      <c r="V6599" s="191">
        <v>5266.66</v>
      </c>
      <c r="W6599">
        <v>122</v>
      </c>
      <c r="X6599" s="186" t="s">
        <v>1434</v>
      </c>
      <c r="Y6599" s="187" t="s">
        <v>55</v>
      </c>
      <c r="Z6599" s="311">
        <v>324</v>
      </c>
      <c r="AB6599" t="str">
        <f>IF(Table1[[#This Row],[TIPO2]]="costo", VLOOKUP(Table1[[#This Row],[PARTIDA PRESUPUESTAL]],'Cost Report'!G:G,1,0),"Balance")</f>
        <v>3683-129</v>
      </c>
      <c r="AD6599" s="159">
        <f>+Table1[[#This Row],[SUBTOTAL]]+Table1[[#This Row],[IVA]]-Table1[[#This Row],[RET IVA]]-Table1[[#This Row],[RET ISR]]-Table1[[#This Row],[TOTAL]]</f>
        <v>0</v>
      </c>
      <c r="AK6599" s="306" t="str">
        <f>IF(ISNUMBER(Table1[[#This Row],[FECHA DE RECIBIDO]]), Table1[[#This Row],[FECHA DE RECIBIDO]]-DATE(2023,8,30), "")</f>
        <v/>
      </c>
    </row>
    <row r="6600" spans="1:37" ht="18" customHeight="1">
      <c r="A6600" s="172" t="s">
        <v>5460</v>
      </c>
      <c r="B6600" s="178">
        <v>2380</v>
      </c>
      <c r="C6600" s="179" t="s">
        <v>3011</v>
      </c>
      <c r="D6600">
        <v>4511</v>
      </c>
      <c r="E6600" s="125" t="s">
        <v>2018</v>
      </c>
      <c r="F6600" s="178">
        <v>626</v>
      </c>
      <c r="G6600" s="178" t="s">
        <v>109</v>
      </c>
      <c r="H6600">
        <v>116</v>
      </c>
      <c r="I6600" s="178" t="s">
        <v>1546</v>
      </c>
      <c r="J6600" s="320" t="s">
        <v>214</v>
      </c>
      <c r="K6600" s="178" t="s">
        <v>5466</v>
      </c>
      <c r="L6600" s="125" t="s">
        <v>110</v>
      </c>
      <c r="M6600">
        <v>154</v>
      </c>
      <c r="N6600" s="182">
        <v>46</v>
      </c>
      <c r="O6600">
        <v>4362</v>
      </c>
      <c r="P6600" s="203" t="s">
        <v>77</v>
      </c>
      <c r="Q6600" s="176">
        <v>44000</v>
      </c>
      <c r="R6600" s="176">
        <v>7040</v>
      </c>
      <c r="S6600" s="176"/>
      <c r="T6600" s="190">
        <v>4693.34</v>
      </c>
      <c r="U6600" s="191">
        <v>550</v>
      </c>
      <c r="V6600" s="191">
        <v>45796.66</v>
      </c>
      <c r="W6600">
        <v>78</v>
      </c>
      <c r="X6600" s="186" t="s">
        <v>1430</v>
      </c>
      <c r="Y6600" s="187" t="s">
        <v>55</v>
      </c>
      <c r="Z6600" s="311">
        <v>324</v>
      </c>
      <c r="AB6600" t="str">
        <f>IF(Table1[[#This Row],[TIPO2]]="costo", VLOOKUP(Table1[[#This Row],[PARTIDA PRESUPUESTAL]],'Cost Report'!G:G,1,0),"Balance")</f>
        <v>5009-005</v>
      </c>
      <c r="AD6600" s="159">
        <f>+Table1[[#This Row],[SUBTOTAL]]+Table1[[#This Row],[IVA]]-Table1[[#This Row],[RET IVA]]-Table1[[#This Row],[RET ISR]]-Table1[[#This Row],[TOTAL]]</f>
        <v>0</v>
      </c>
      <c r="AK6600" s="306" t="str">
        <f>IF(ISNUMBER(Table1[[#This Row],[FECHA DE RECIBIDO]]), Table1[[#This Row],[FECHA DE RECIBIDO]]-DATE(2023,8,30), "")</f>
        <v/>
      </c>
    </row>
    <row r="6601" spans="1:37" ht="18" customHeight="1">
      <c r="A6601" s="172" t="s">
        <v>5461</v>
      </c>
      <c r="B6601" s="178">
        <v>2381</v>
      </c>
      <c r="C6601" s="179" t="s">
        <v>1792</v>
      </c>
      <c r="D6601">
        <v>4512</v>
      </c>
      <c r="E6601" s="125" t="s">
        <v>2001</v>
      </c>
      <c r="F6601" s="178">
        <v>601</v>
      </c>
      <c r="G6601" s="178" t="s">
        <v>134</v>
      </c>
      <c r="H6601">
        <v>23</v>
      </c>
      <c r="I6601" s="178" t="s">
        <v>1546</v>
      </c>
      <c r="J6601" s="320" t="s">
        <v>214</v>
      </c>
      <c r="K6601" s="178" t="s">
        <v>5466</v>
      </c>
      <c r="L6601" s="125" t="s">
        <v>3306</v>
      </c>
      <c r="M6601">
        <v>32</v>
      </c>
      <c r="N6601" s="182">
        <v>1</v>
      </c>
      <c r="O6601">
        <v>4363</v>
      </c>
      <c r="P6601" s="203" t="s">
        <v>77</v>
      </c>
      <c r="Q6601" s="176">
        <v>13000</v>
      </c>
      <c r="R6601" s="176">
        <v>2080</v>
      </c>
      <c r="S6601" s="176"/>
      <c r="T6601" s="190">
        <v>0</v>
      </c>
      <c r="U6601" s="191">
        <v>0</v>
      </c>
      <c r="V6601" s="191">
        <v>15080</v>
      </c>
      <c r="W6601">
        <v>532</v>
      </c>
      <c r="X6601" s="186" t="s">
        <v>105</v>
      </c>
      <c r="Y6601" s="187" t="s">
        <v>55</v>
      </c>
      <c r="Z6601" s="311">
        <v>324</v>
      </c>
      <c r="AB6601" t="str">
        <f>IF(Table1[[#This Row],[TIPO2]]="costo", VLOOKUP(Table1[[#This Row],[PARTIDA PRESUPUESTAL]],'Cost Report'!G:G,1,0),"Balance")</f>
        <v>1287-007</v>
      </c>
      <c r="AD6601" s="159">
        <f>+Table1[[#This Row],[SUBTOTAL]]+Table1[[#This Row],[IVA]]-Table1[[#This Row],[RET IVA]]-Table1[[#This Row],[RET ISR]]-Table1[[#This Row],[TOTAL]]</f>
        <v>0</v>
      </c>
      <c r="AK6601" s="306" t="str">
        <f>IF(ISNUMBER(Table1[[#This Row],[FECHA DE RECIBIDO]]), Table1[[#This Row],[FECHA DE RECIBIDO]]-DATE(2023,8,30), "")</f>
        <v/>
      </c>
    </row>
    <row r="6602" spans="1:37" ht="18" customHeight="1">
      <c r="A6602" s="172" t="s">
        <v>5463</v>
      </c>
      <c r="B6602" s="178">
        <v>2383</v>
      </c>
      <c r="C6602" s="179" t="s">
        <v>1792</v>
      </c>
      <c r="D6602">
        <v>4513</v>
      </c>
      <c r="E6602" s="125" t="s">
        <v>2001</v>
      </c>
      <c r="F6602" s="178">
        <v>601</v>
      </c>
      <c r="G6602" s="178" t="s">
        <v>134</v>
      </c>
      <c r="H6602">
        <v>23</v>
      </c>
      <c r="I6602" s="178" t="s">
        <v>1546</v>
      </c>
      <c r="J6602" s="320">
        <v>328.68327546296496</v>
      </c>
      <c r="K6602" s="178" t="s">
        <v>5466</v>
      </c>
      <c r="L6602" s="125" t="s">
        <v>3306</v>
      </c>
      <c r="M6602">
        <v>32</v>
      </c>
      <c r="N6602" s="182">
        <v>1</v>
      </c>
      <c r="O6602">
        <v>4364</v>
      </c>
      <c r="P6602" s="203" t="s">
        <v>77</v>
      </c>
      <c r="Q6602" s="176">
        <v>13480</v>
      </c>
      <c r="R6602" s="176">
        <v>2156.8000000000002</v>
      </c>
      <c r="S6602" s="176"/>
      <c r="T6602" s="190">
        <v>0</v>
      </c>
      <c r="U6602" s="191">
        <v>0</v>
      </c>
      <c r="V6602" s="191">
        <v>15636.8</v>
      </c>
      <c r="W6602">
        <v>532</v>
      </c>
      <c r="X6602" s="186" t="s">
        <v>105</v>
      </c>
      <c r="Y6602" s="187" t="s">
        <v>55</v>
      </c>
      <c r="Z6602" s="311">
        <v>331</v>
      </c>
      <c r="AB6602" t="str">
        <f>IF(Table1[[#This Row],[TIPO2]]="costo", VLOOKUP(Table1[[#This Row],[PARTIDA PRESUPUESTAL]],'Cost Report'!G:G,1,0),"Balance")</f>
        <v>1287-007</v>
      </c>
      <c r="AD6602" s="159">
        <f>+Table1[[#This Row],[SUBTOTAL]]+Table1[[#This Row],[IVA]]-Table1[[#This Row],[RET IVA]]-Table1[[#This Row],[RET ISR]]-Table1[[#This Row],[TOTAL]]</f>
        <v>0</v>
      </c>
      <c r="AK6602" s="306">
        <f>IF(ISNUMBER(Table1[[#This Row],[FECHA DE RECIBIDO]]), Table1[[#This Row],[FECHA DE RECIBIDO]]-DATE(2023,8,30), "")</f>
        <v>-44839.316724537035</v>
      </c>
    </row>
    <row r="6603" spans="1:37" ht="18" customHeight="1">
      <c r="A6603" s="172" t="s">
        <v>5464</v>
      </c>
      <c r="B6603" s="178" t="s">
        <v>1576</v>
      </c>
      <c r="C6603" s="179" t="s">
        <v>72</v>
      </c>
      <c r="D6603"/>
      <c r="E6603" s="125" t="s">
        <v>1911</v>
      </c>
      <c r="F6603" s="178" t="s">
        <v>1911</v>
      </c>
      <c r="G6603" s="178" t="s">
        <v>1911</v>
      </c>
      <c r="H6603"/>
      <c r="I6603" s="178" t="s">
        <v>1911</v>
      </c>
      <c r="J6603" s="320" t="s">
        <v>214</v>
      </c>
      <c r="K6603" s="178" t="s">
        <v>5466</v>
      </c>
      <c r="L6603" s="125" t="s">
        <v>156</v>
      </c>
      <c r="M6603">
        <v>61</v>
      </c>
      <c r="N6603" s="182">
        <v>0</v>
      </c>
      <c r="O6603">
        <v>4365</v>
      </c>
      <c r="P6603" s="203" t="s">
        <v>78</v>
      </c>
      <c r="Q6603" s="176">
        <v>449660.28</v>
      </c>
      <c r="R6603" s="176">
        <v>0</v>
      </c>
      <c r="S6603" s="176"/>
      <c r="T6603" s="190">
        <v>0</v>
      </c>
      <c r="U6603" s="191">
        <v>0</v>
      </c>
      <c r="V6603" s="191">
        <v>449660.28</v>
      </c>
      <c r="W6603">
        <v>35</v>
      </c>
      <c r="X6603" s="186" t="s">
        <v>105</v>
      </c>
      <c r="Y6603" s="187" t="s">
        <v>55</v>
      </c>
      <c r="Z6603" s="311">
        <v>324</v>
      </c>
      <c r="AB6603" t="str">
        <f>IF(Table1[[#This Row],[TIPO2]]="costo", VLOOKUP(Table1[[#This Row],[PARTIDA PRESUPUESTAL]],'Cost Report'!G:G,1,0),"Balance")</f>
        <v>Balance</v>
      </c>
      <c r="AD6603" s="159">
        <f>+Table1[[#This Row],[SUBTOTAL]]+Table1[[#This Row],[IVA]]-Table1[[#This Row],[RET IVA]]-Table1[[#This Row],[RET ISR]]-Table1[[#This Row],[TOTAL]]</f>
        <v>0</v>
      </c>
      <c r="AK6603" s="306" t="str">
        <f>IF(ISNUMBER(Table1[[#This Row],[FECHA DE RECIBIDO]]), Table1[[#This Row],[FECHA DE RECIBIDO]]-DATE(2023,8,30), "")</f>
        <v/>
      </c>
    </row>
    <row r="6604" spans="1:37" ht="18" customHeight="1">
      <c r="A6604" s="172" t="s">
        <v>5465</v>
      </c>
      <c r="B6604" s="178" t="s">
        <v>1576</v>
      </c>
      <c r="C6604" s="179" t="s">
        <v>73</v>
      </c>
      <c r="D6604"/>
      <c r="E6604" s="125" t="s">
        <v>1911</v>
      </c>
      <c r="F6604" s="178" t="s">
        <v>1911</v>
      </c>
      <c r="G6604" s="178" t="s">
        <v>1911</v>
      </c>
      <c r="H6604"/>
      <c r="I6604" s="178" t="s">
        <v>1911</v>
      </c>
      <c r="J6604" s="320" t="s">
        <v>214</v>
      </c>
      <c r="K6604" s="178" t="s">
        <v>5466</v>
      </c>
      <c r="L6604" s="125" t="s">
        <v>156</v>
      </c>
      <c r="M6604">
        <v>61</v>
      </c>
      <c r="N6604" s="182">
        <v>0</v>
      </c>
      <c r="O6604">
        <v>4366</v>
      </c>
      <c r="P6604" s="203" t="s">
        <v>78</v>
      </c>
      <c r="Q6604" s="176">
        <v>226345.96</v>
      </c>
      <c r="R6604" s="176">
        <v>0</v>
      </c>
      <c r="S6604" s="176"/>
      <c r="T6604" s="190">
        <v>0</v>
      </c>
      <c r="U6604" s="191">
        <v>0</v>
      </c>
      <c r="V6604" s="191">
        <v>226345.96</v>
      </c>
      <c r="W6604">
        <v>35</v>
      </c>
      <c r="X6604" s="186" t="s">
        <v>105</v>
      </c>
      <c r="Y6604" s="187" t="s">
        <v>55</v>
      </c>
      <c r="Z6604" s="311">
        <v>324</v>
      </c>
      <c r="AB6604" t="str">
        <f>IF(Table1[[#This Row],[TIPO2]]="costo", VLOOKUP(Table1[[#This Row],[PARTIDA PRESUPUESTAL]],'Cost Report'!G:G,1,0),"Balance")</f>
        <v>Balance</v>
      </c>
      <c r="AD6604" s="159">
        <f>+Table1[[#This Row],[SUBTOTAL]]+Table1[[#This Row],[IVA]]-Table1[[#This Row],[RET IVA]]-Table1[[#This Row],[RET ISR]]-Table1[[#This Row],[TOTAL]]</f>
        <v>0</v>
      </c>
      <c r="AK6604" s="306" t="str">
        <f>IF(ISNUMBER(Table1[[#This Row],[FECHA DE RECIBIDO]]), Table1[[#This Row],[FECHA DE RECIBIDO]]-DATE(2023,8,30), "")</f>
        <v/>
      </c>
    </row>
    <row r="6605" spans="1:37" ht="18" customHeight="1">
      <c r="A6605" s="172"/>
      <c r="B6605" s="178"/>
      <c r="C6605" s="179" t="s">
        <v>5114</v>
      </c>
      <c r="D6605"/>
      <c r="E6605" s="125"/>
      <c r="F6605" s="178"/>
      <c r="G6605" s="178"/>
      <c r="H6605"/>
      <c r="I6605" s="178"/>
      <c r="J6605" s="320" t="s">
        <v>214</v>
      </c>
      <c r="K6605" s="178" t="s">
        <v>5466</v>
      </c>
      <c r="L6605" s="125" t="s">
        <v>5115</v>
      </c>
      <c r="M6605">
        <v>1530</v>
      </c>
      <c r="N6605" s="182"/>
      <c r="O6605">
        <v>4367</v>
      </c>
      <c r="P6605" s="176" t="s">
        <v>78</v>
      </c>
      <c r="Q6605" s="176">
        <v>631603.25</v>
      </c>
      <c r="R6605" s="176"/>
      <c r="S6605" s="176"/>
      <c r="T6605" s="190">
        <v>0</v>
      </c>
      <c r="U6605" s="191"/>
      <c r="V6605" s="191">
        <f>+Table1[[#This Row],[SUBTOTAL]]+Table1[[#This Row],[IVA]]-Table1[[#This Row],[RET IVA]]-Table1[[#This Row],[RET ISR]]</f>
        <v>631603.25</v>
      </c>
      <c r="W6605"/>
      <c r="X6605" s="186"/>
      <c r="Y6605" s="187"/>
      <c r="Z6605" s="311" t="s">
        <v>214</v>
      </c>
      <c r="AB6605" t="str">
        <f>IF(Table1[[#This Row],[TIPO2]]="costo", VLOOKUP(Table1[[#This Row],[PARTIDA PRESUPUESTAL]],'Cost Report'!G:G,1,0),"Balance")</f>
        <v>Balance</v>
      </c>
      <c r="AD6605" s="159">
        <f>+Table1[[#This Row],[SUBTOTAL]]+Table1[[#This Row],[IVA]]-Table1[[#This Row],[RET IVA]]-Table1[[#This Row],[RET ISR]]-Table1[[#This Row],[TOTAL]]</f>
        <v>0</v>
      </c>
      <c r="AK6605" s="306" t="str">
        <f>IF(ISNUMBER(Table1[[#This Row],[FECHA DE RECIBIDO]]), Table1[[#This Row],[FECHA DE RECIBIDO]]-DATE(2023,8,30), "")</f>
        <v/>
      </c>
    </row>
    <row r="6606" spans="1:37" ht="18" customHeight="1">
      <c r="A6606" s="172"/>
      <c r="B6606" s="178"/>
      <c r="C6606" s="179" t="s">
        <v>5114</v>
      </c>
      <c r="D6606">
        <v>4514</v>
      </c>
      <c r="E6606" s="125"/>
      <c r="F6606" s="178"/>
      <c r="G6606" s="178"/>
      <c r="H6606"/>
      <c r="I6606" s="178"/>
      <c r="J6606" s="320" t="s">
        <v>214</v>
      </c>
      <c r="K6606" s="178" t="s">
        <v>5466</v>
      </c>
      <c r="L6606" s="125" t="s">
        <v>5115</v>
      </c>
      <c r="M6606">
        <v>1341</v>
      </c>
      <c r="N6606" s="182"/>
      <c r="O6606">
        <v>4368</v>
      </c>
      <c r="P6606" s="203" t="s">
        <v>78</v>
      </c>
      <c r="Q6606" s="176">
        <v>-33159.17</v>
      </c>
      <c r="R6606" s="176">
        <v>5305.47</v>
      </c>
      <c r="S6606" s="176"/>
      <c r="T6606" s="190">
        <v>0</v>
      </c>
      <c r="U6606" s="191"/>
      <c r="V6606" s="191">
        <f>+Table1[[#This Row],[SUBTOTAL]]+Table1[[#This Row],[IVA]]-Table1[[#This Row],[RET IVA]]-Table1[[#This Row],[RET ISR]]</f>
        <v>-27853.699999999997</v>
      </c>
      <c r="W6606"/>
      <c r="X6606" s="186"/>
      <c r="Y6606" s="187"/>
      <c r="Z6606" s="311" t="s">
        <v>214</v>
      </c>
      <c r="AB6606" t="str">
        <f>IF(Table1[[#This Row],[TIPO2]]="costo", VLOOKUP(Table1[[#This Row],[PARTIDA PRESUPUESTAL]],'Cost Report'!G:G,1,0),"Balance")</f>
        <v>Balance</v>
      </c>
      <c r="AD6606" s="159">
        <f>+Table1[[#This Row],[SUBTOTAL]]+Table1[[#This Row],[IVA]]-Table1[[#This Row],[RET IVA]]-Table1[[#This Row],[RET ISR]]-Table1[[#This Row],[TOTAL]]</f>
        <v>0</v>
      </c>
      <c r="AK6606" s="306" t="str">
        <f>IF(ISNUMBER(Table1[[#This Row],[FECHA DE RECIBIDO]]), Table1[[#This Row],[FECHA DE RECIBIDO]]-DATE(2023,8,30), "")</f>
        <v/>
      </c>
    </row>
    <row r="6607" spans="1:37" ht="18" customHeight="1">
      <c r="A6607" s="172" t="s">
        <v>5462</v>
      </c>
      <c r="B6607" s="178">
        <v>2382</v>
      </c>
      <c r="C6607" s="179" t="s">
        <v>71</v>
      </c>
      <c r="D6607">
        <v>4515</v>
      </c>
      <c r="E6607" s="125" t="e">
        <v>#N/A</v>
      </c>
      <c r="F6607" s="178" t="e">
        <v>#N/A</v>
      </c>
      <c r="G6607" s="178" t="e">
        <v>#N/A</v>
      </c>
      <c r="H6607">
        <v>36</v>
      </c>
      <c r="I6607" s="178" t="e">
        <v>#N/A</v>
      </c>
      <c r="J6607" s="320" t="s">
        <v>214</v>
      </c>
      <c r="K6607" s="178" t="s">
        <v>5466</v>
      </c>
      <c r="L6607" s="125" t="s">
        <v>1579</v>
      </c>
      <c r="M6607">
        <v>82</v>
      </c>
      <c r="N6607" s="182">
        <v>17</v>
      </c>
      <c r="O6607">
        <v>4369</v>
      </c>
      <c r="P6607" s="203" t="s">
        <v>78</v>
      </c>
      <c r="Q6607" s="176">
        <v>12500</v>
      </c>
      <c r="R6607" s="176"/>
      <c r="S6607" s="176"/>
      <c r="T6607" s="190"/>
      <c r="U6607" s="191"/>
      <c r="V6607" s="191">
        <v>12500</v>
      </c>
      <c r="W6607"/>
      <c r="X6607" s="186" t="s">
        <v>1484</v>
      </c>
      <c r="Y6607" s="187" t="s">
        <v>55</v>
      </c>
      <c r="Z6607" s="311">
        <v>330</v>
      </c>
      <c r="AB6607" t="str">
        <f>IF(Table1[[#This Row],[TIPO2]]="costo", VLOOKUP(Table1[[#This Row],[PARTIDA PRESUPUESTAL]],'Cost Report'!G:G,1,0),"Balance")</f>
        <v>Balance</v>
      </c>
      <c r="AD6607" s="159">
        <f>+Table1[[#This Row],[SUBTOTAL]]+Table1[[#This Row],[IVA]]-Table1[[#This Row],[RET IVA]]-Table1[[#This Row],[RET ISR]]-Table1[[#This Row],[TOTAL]]</f>
        <v>0</v>
      </c>
      <c r="AK6607" s="306" t="str">
        <f>IF(ISNUMBER(Table1[[#This Row],[FECHA DE RECIBIDO]]), Table1[[#This Row],[FECHA DE RECIBIDO]]-DATE(2023,8,30), "")</f>
        <v/>
      </c>
    </row>
    <row r="6608" spans="1:37" ht="18" customHeight="1">
      <c r="A6608" s="172" t="s">
        <v>5462</v>
      </c>
      <c r="B6608" s="178">
        <v>2382</v>
      </c>
      <c r="C6608" s="179" t="s">
        <v>3103</v>
      </c>
      <c r="D6608">
        <v>4515</v>
      </c>
      <c r="E6608" s="125"/>
      <c r="F6608" s="178"/>
      <c r="G6608" s="178"/>
      <c r="H6608"/>
      <c r="I6608" s="178"/>
      <c r="J6608" s="320" t="s">
        <v>214</v>
      </c>
      <c r="K6608" s="178" t="s">
        <v>5466</v>
      </c>
      <c r="L6608" s="125" t="s">
        <v>1579</v>
      </c>
      <c r="M6608">
        <v>82</v>
      </c>
      <c r="N6608" s="182">
        <v>17</v>
      </c>
      <c r="O6608">
        <v>553</v>
      </c>
      <c r="P6608" s="203" t="s">
        <v>77</v>
      </c>
      <c r="Q6608" s="176">
        <v>400</v>
      </c>
      <c r="R6608" s="176">
        <v>64</v>
      </c>
      <c r="S6608" s="176"/>
      <c r="T6608" s="190"/>
      <c r="U6608" s="191"/>
      <c r="V6608" s="191">
        <v>464</v>
      </c>
      <c r="W6608"/>
      <c r="X6608" s="186" t="s">
        <v>1484</v>
      </c>
      <c r="Y6608" s="187" t="s">
        <v>55</v>
      </c>
      <c r="Z6608" s="311">
        <v>330</v>
      </c>
      <c r="AB6608" t="str">
        <f>IF(Table1[[#This Row],[TIPO2]]="costo", VLOOKUP(Table1[[#This Row],[PARTIDA PRESUPUESTAL]],'Cost Report'!G:G,1,0),"Balance")</f>
        <v>7038-009</v>
      </c>
      <c r="AD6608" s="159">
        <f>+Table1[[#This Row],[SUBTOTAL]]+Table1[[#This Row],[IVA]]-Table1[[#This Row],[RET IVA]]-Table1[[#This Row],[RET ISR]]-Table1[[#This Row],[TOTAL]]</f>
        <v>0</v>
      </c>
      <c r="AK6608" s="306" t="str">
        <f>IF(ISNUMBER(Table1[[#This Row],[FECHA DE RECIBIDO]]), Table1[[#This Row],[FECHA DE RECIBIDO]]-DATE(2023,8,30), "")</f>
        <v/>
      </c>
    </row>
    <row r="6609" spans="1:37" ht="18" customHeight="1">
      <c r="A6609" s="172" t="s">
        <v>5467</v>
      </c>
      <c r="B6609" s="178">
        <v>2386</v>
      </c>
      <c r="C6609" s="179" t="s">
        <v>3096</v>
      </c>
      <c r="D6609">
        <v>4516</v>
      </c>
      <c r="E6609" s="125" t="s">
        <v>1641</v>
      </c>
      <c r="F6609" s="178">
        <v>601</v>
      </c>
      <c r="G6609" s="178" t="s">
        <v>134</v>
      </c>
      <c r="H6609">
        <v>49</v>
      </c>
      <c r="I6609" s="178" t="s">
        <v>1546</v>
      </c>
      <c r="J6609" s="320" t="s">
        <v>214</v>
      </c>
      <c r="K6609" s="178" t="s">
        <v>5466</v>
      </c>
      <c r="L6609" s="125" t="s">
        <v>1579</v>
      </c>
      <c r="M6609">
        <v>1536</v>
      </c>
      <c r="N6609" s="182">
        <v>17</v>
      </c>
      <c r="O6609">
        <v>4370</v>
      </c>
      <c r="P6609" s="203" t="s">
        <v>77</v>
      </c>
      <c r="Q6609" s="176">
        <v>4733</v>
      </c>
      <c r="R6609" s="176">
        <v>628</v>
      </c>
      <c r="S6609" s="176"/>
      <c r="T6609" s="190">
        <v>0</v>
      </c>
      <c r="U6609" s="191"/>
      <c r="V6609" s="191">
        <v>5361</v>
      </c>
      <c r="W6609"/>
      <c r="X6609" s="186" t="s">
        <v>1644</v>
      </c>
      <c r="Y6609" s="187" t="s">
        <v>55</v>
      </c>
      <c r="Z6609" s="311">
        <v>318</v>
      </c>
      <c r="AB6609" t="str">
        <f>IF(Table1[[#This Row],[TIPO2]]="costo", VLOOKUP(Table1[[#This Row],[PARTIDA PRESUPUESTAL]],'Cost Report'!G:G,1,0),"Balance")</f>
        <v>7002-008</v>
      </c>
      <c r="AD6609" s="159">
        <f>+Table1[[#This Row],[SUBTOTAL]]+Table1[[#This Row],[IVA]]-Table1[[#This Row],[RET IVA]]-Table1[[#This Row],[RET ISR]]-Table1[[#This Row],[TOTAL]]</f>
        <v>0</v>
      </c>
      <c r="AK6609" s="306" t="str">
        <f>IF(ISNUMBER(Table1[[#This Row],[FECHA DE RECIBIDO]]), Table1[[#This Row],[FECHA DE RECIBIDO]]-DATE(2023,8,30), "")</f>
        <v/>
      </c>
    </row>
    <row r="6610" spans="1:37" ht="18" customHeight="1">
      <c r="A6610" s="172" t="s">
        <v>5467</v>
      </c>
      <c r="B6610" s="178">
        <v>2386</v>
      </c>
      <c r="C6610" s="179" t="s">
        <v>3108</v>
      </c>
      <c r="D6610">
        <v>4517</v>
      </c>
      <c r="E6610" s="125" t="e">
        <v>#N/A</v>
      </c>
      <c r="F6610" s="178" t="e">
        <v>#N/A</v>
      </c>
      <c r="G6610" s="178" t="e">
        <v>#N/A</v>
      </c>
      <c r="H6610">
        <v>36</v>
      </c>
      <c r="I6610" s="178" t="e">
        <v>#N/A</v>
      </c>
      <c r="J6610" s="320" t="s">
        <v>214</v>
      </c>
      <c r="K6610" s="178" t="s">
        <v>5466</v>
      </c>
      <c r="L6610" s="125" t="s">
        <v>1579</v>
      </c>
      <c r="M6610">
        <v>801</v>
      </c>
      <c r="N6610" s="182">
        <v>17</v>
      </c>
      <c r="O6610">
        <v>4371</v>
      </c>
      <c r="P6610" s="203" t="s">
        <v>77</v>
      </c>
      <c r="Q6610" s="176">
        <v>1403.87</v>
      </c>
      <c r="R6610" s="176">
        <v>224.63</v>
      </c>
      <c r="S6610" s="176"/>
      <c r="T6610" s="190">
        <v>0</v>
      </c>
      <c r="U6610" s="191"/>
      <c r="V6610" s="191">
        <v>1628.5</v>
      </c>
      <c r="W6610"/>
      <c r="X6610" s="186" t="s">
        <v>1644</v>
      </c>
      <c r="Y6610" s="187" t="s">
        <v>55</v>
      </c>
      <c r="Z6610" s="311">
        <v>314</v>
      </c>
      <c r="AB6610" t="str">
        <f>IF(Table1[[#This Row],[TIPO2]]="costo", VLOOKUP(Table1[[#This Row],[PARTIDA PRESUPUESTAL]],'Cost Report'!G:G,1,0),"Balance")</f>
        <v>7080-003</v>
      </c>
      <c r="AD6610" s="159">
        <f>+Table1[[#This Row],[SUBTOTAL]]+Table1[[#This Row],[IVA]]-Table1[[#This Row],[RET IVA]]-Table1[[#This Row],[RET ISR]]-Table1[[#This Row],[TOTAL]]</f>
        <v>0</v>
      </c>
      <c r="AK6610" s="306" t="str">
        <f>IF(ISNUMBER(Table1[[#This Row],[FECHA DE RECIBIDO]]), Table1[[#This Row],[FECHA DE RECIBIDO]]-DATE(2023,8,30), "")</f>
        <v/>
      </c>
    </row>
    <row r="6611" spans="1:37" ht="18" customHeight="1">
      <c r="A6611" s="172" t="s">
        <v>5468</v>
      </c>
      <c r="B6611" s="178">
        <v>2387</v>
      </c>
      <c r="C6611" s="179" t="s">
        <v>2868</v>
      </c>
      <c r="D6611">
        <v>4518</v>
      </c>
      <c r="E6611" s="125" t="s">
        <v>1655</v>
      </c>
      <c r="F6611" s="178">
        <v>601</v>
      </c>
      <c r="G6611" s="178" t="s">
        <v>134</v>
      </c>
      <c r="H6611">
        <v>59</v>
      </c>
      <c r="I6611" s="178" t="s">
        <v>1546</v>
      </c>
      <c r="J6611" s="320" t="s">
        <v>214</v>
      </c>
      <c r="K6611" s="178" t="s">
        <v>5466</v>
      </c>
      <c r="L6611" s="125" t="s">
        <v>1579</v>
      </c>
      <c r="M6611">
        <v>82</v>
      </c>
      <c r="N6611" s="182">
        <v>17</v>
      </c>
      <c r="O6611">
        <v>4372</v>
      </c>
      <c r="P6611" s="203" t="s">
        <v>77</v>
      </c>
      <c r="Q6611" s="176">
        <f>10071.84+295.28</f>
        <v>10367.120000000001</v>
      </c>
      <c r="R6611" s="176">
        <v>1611.48</v>
      </c>
      <c r="S6611" s="176">
        <v>295.27999999999997</v>
      </c>
      <c r="T6611" s="190">
        <v>0</v>
      </c>
      <c r="U6611" s="191"/>
      <c r="V6611" s="191">
        <v>11683.32</v>
      </c>
      <c r="W6611"/>
      <c r="X6611" s="186" t="s">
        <v>1656</v>
      </c>
      <c r="Y6611" s="187" t="s">
        <v>55</v>
      </c>
      <c r="Z6611" s="311" t="s">
        <v>214</v>
      </c>
      <c r="AB6611" t="str">
        <f>IF(Table1[[#This Row],[TIPO2]]="costo", VLOOKUP(Table1[[#This Row],[PARTIDA PRESUPUESTAL]],'Cost Report'!G:G,1,0),"Balance")</f>
        <v>3632-009</v>
      </c>
      <c r="AD6611" s="159">
        <f>+Table1[[#This Row],[SUBTOTAL]]+Table1[[#This Row],[IVA]]-Table1[[#This Row],[RET IVA]]-Table1[[#This Row],[RET ISR]]-Table1[[#This Row],[TOTAL]]</f>
        <v>295.28000000000065</v>
      </c>
      <c r="AK6611" s="306" t="str">
        <f>IF(ISNUMBER(Table1[[#This Row],[FECHA DE RECIBIDO]]), Table1[[#This Row],[FECHA DE RECIBIDO]]-DATE(2023,8,30), "")</f>
        <v/>
      </c>
    </row>
    <row r="6612" spans="1:37" ht="18" customHeight="1">
      <c r="A6612" s="172" t="s">
        <v>4623</v>
      </c>
      <c r="B6612" s="178">
        <v>1606</v>
      </c>
      <c r="C6612" s="179" t="s">
        <v>71</v>
      </c>
      <c r="D6612"/>
      <c r="E6612" s="125"/>
      <c r="F6612" s="178"/>
      <c r="G6612" s="178"/>
      <c r="H6612"/>
      <c r="I6612" s="178"/>
      <c r="J6612" s="320" t="s">
        <v>214</v>
      </c>
      <c r="K6612" s="178" t="s">
        <v>5466</v>
      </c>
      <c r="L6612" s="125" t="s">
        <v>1643</v>
      </c>
      <c r="M6612">
        <v>1535</v>
      </c>
      <c r="N6612" s="182"/>
      <c r="O6612">
        <v>4358</v>
      </c>
      <c r="P6612" s="203" t="s">
        <v>5457</v>
      </c>
      <c r="Q6612" s="176">
        <v>-6989.5</v>
      </c>
      <c r="R6612" s="176"/>
      <c r="S6612" s="176"/>
      <c r="T6612" s="190">
        <v>0</v>
      </c>
      <c r="U6612" s="191"/>
      <c r="V6612" s="191">
        <f>+Q6612</f>
        <v>-6989.5</v>
      </c>
      <c r="W6612"/>
      <c r="X6612" s="186"/>
      <c r="Y6612" s="187"/>
      <c r="Z6612" s="311" t="s">
        <v>214</v>
      </c>
      <c r="AB6612" t="str">
        <f>IF(Table1[[#This Row],[TIPO2]]="costo", VLOOKUP(Table1[[#This Row],[PARTIDA PRESUPUESTAL]],'Cost Report'!G:G,1,0),"Balance")</f>
        <v>Balance</v>
      </c>
      <c r="AD6612" s="159">
        <f>+Table1[[#This Row],[SUBTOTAL]]+Table1[[#This Row],[IVA]]-Table1[[#This Row],[RET IVA]]-Table1[[#This Row],[RET ISR]]-Table1[[#This Row],[TOTAL]]</f>
        <v>0</v>
      </c>
      <c r="AK6612" s="306" t="str">
        <f>IF(ISNUMBER(Table1[[#This Row],[FECHA DE RECIBIDO]]), Table1[[#This Row],[FECHA DE RECIBIDO]]-DATE(2023,8,30), "")</f>
        <v/>
      </c>
    </row>
    <row r="6613" spans="1:37" ht="18" customHeight="1">
      <c r="A6613" s="172" t="s">
        <v>4623</v>
      </c>
      <c r="B6613" s="178">
        <v>1606</v>
      </c>
      <c r="C6613" s="179" t="s">
        <v>71</v>
      </c>
      <c r="D6613"/>
      <c r="E6613" s="125"/>
      <c r="F6613" s="178"/>
      <c r="G6613" s="178"/>
      <c r="H6613"/>
      <c r="I6613" s="178"/>
      <c r="J6613" s="320" t="s">
        <v>214</v>
      </c>
      <c r="K6613" s="178" t="s">
        <v>5466</v>
      </c>
      <c r="L6613" s="125" t="s">
        <v>1643</v>
      </c>
      <c r="M6613">
        <v>1535</v>
      </c>
      <c r="N6613" s="182"/>
      <c r="O6613">
        <v>4373</v>
      </c>
      <c r="P6613" s="203" t="s">
        <v>5457</v>
      </c>
      <c r="Q6613" s="176">
        <v>-11978.6</v>
      </c>
      <c r="R6613" s="176"/>
      <c r="S6613" s="176"/>
      <c r="T6613" s="190">
        <v>0</v>
      </c>
      <c r="U6613" s="191"/>
      <c r="V6613" s="191">
        <f>+Q6613</f>
        <v>-11978.6</v>
      </c>
      <c r="W6613"/>
      <c r="X6613" s="186"/>
      <c r="Y6613" s="187"/>
      <c r="Z6613" s="311" t="s">
        <v>214</v>
      </c>
      <c r="AB6613" t="str">
        <f>IF(Table1[[#This Row],[TIPO2]]="costo", VLOOKUP(Table1[[#This Row],[PARTIDA PRESUPUESTAL]],'Cost Report'!G:G,1,0),"Balance")</f>
        <v>Balance</v>
      </c>
      <c r="AD6613" s="159">
        <f>+Table1[[#This Row],[SUBTOTAL]]+Table1[[#This Row],[IVA]]-Table1[[#This Row],[RET IVA]]-Table1[[#This Row],[RET ISR]]-Table1[[#This Row],[TOTAL]]</f>
        <v>0</v>
      </c>
      <c r="AK6613" s="306" t="str">
        <f>IF(ISNUMBER(Table1[[#This Row],[FECHA DE RECIBIDO]]), Table1[[#This Row],[FECHA DE RECIBIDO]]-DATE(2023,8,30), "")</f>
        <v/>
      </c>
    </row>
    <row r="6614" spans="1:37" ht="18" customHeight="1">
      <c r="A6614" s="172" t="s">
        <v>5470</v>
      </c>
      <c r="B6614" s="178">
        <v>2384</v>
      </c>
      <c r="C6614" s="179" t="s">
        <v>5469</v>
      </c>
      <c r="D6614">
        <v>4519</v>
      </c>
      <c r="E6614" s="125" t="s">
        <v>1986</v>
      </c>
      <c r="F6614" s="178">
        <v>601</v>
      </c>
      <c r="G6614" s="178" t="s">
        <v>134</v>
      </c>
      <c r="H6614">
        <v>1100</v>
      </c>
      <c r="I6614" s="178" t="s">
        <v>1546</v>
      </c>
      <c r="J6614" s="320" t="s">
        <v>214</v>
      </c>
      <c r="K6614" s="178" t="s">
        <v>5466</v>
      </c>
      <c r="L6614" s="125" t="s">
        <v>3306</v>
      </c>
      <c r="M6614">
        <v>1537</v>
      </c>
      <c r="N6614" s="182">
        <v>1</v>
      </c>
      <c r="O6614">
        <v>4374</v>
      </c>
      <c r="P6614" s="176" t="s">
        <v>77</v>
      </c>
      <c r="Q6614" s="176">
        <v>55000</v>
      </c>
      <c r="R6614" s="176">
        <v>8800</v>
      </c>
      <c r="S6614" s="176"/>
      <c r="T6614" s="190">
        <v>0</v>
      </c>
      <c r="U6614" s="191">
        <v>0</v>
      </c>
      <c r="V6614" s="191">
        <v>63800</v>
      </c>
      <c r="W6614">
        <v>535</v>
      </c>
      <c r="X6614" s="186" t="s">
        <v>2035</v>
      </c>
      <c r="Y6614" s="187" t="s">
        <v>55</v>
      </c>
      <c r="Z6614" s="311">
        <v>334</v>
      </c>
      <c r="AB6614" t="str">
        <f>IF(Table1[[#This Row],[TIPO2]]="costo", VLOOKUP(Table1[[#This Row],[PARTIDA PRESUPUESTAL]],'Cost Report'!G:G,1,0),"Balance")</f>
        <v>2602-023</v>
      </c>
      <c r="AD6614" s="159">
        <f>+Table1[[#This Row],[SUBTOTAL]]+Table1[[#This Row],[IVA]]-Table1[[#This Row],[RET IVA]]-Table1[[#This Row],[RET ISR]]-Table1[[#This Row],[TOTAL]]</f>
        <v>0</v>
      </c>
      <c r="AK6614" s="306" t="str">
        <f>IF(ISNUMBER(Table1[[#This Row],[FECHA DE RECIBIDO]]), Table1[[#This Row],[FECHA DE RECIBIDO]]-DATE(2023,8,30), "")</f>
        <v/>
      </c>
    </row>
    <row r="6615" spans="1:37" ht="18" customHeight="1">
      <c r="A6615" s="172" t="s">
        <v>5471</v>
      </c>
      <c r="B6615" s="178">
        <v>2385</v>
      </c>
      <c r="C6615" s="179" t="s">
        <v>3064</v>
      </c>
      <c r="D6615">
        <v>4520</v>
      </c>
      <c r="E6615" s="125">
        <v>44200</v>
      </c>
      <c r="F6615" s="178">
        <v>601</v>
      </c>
      <c r="G6615" s="178" t="s">
        <v>134</v>
      </c>
      <c r="H6615">
        <v>1101</v>
      </c>
      <c r="I6615" s="178" t="s">
        <v>1546</v>
      </c>
      <c r="J6615" s="320">
        <v>330.52697916666511</v>
      </c>
      <c r="K6615" s="178" t="s">
        <v>5466</v>
      </c>
      <c r="L6615" s="125" t="s">
        <v>3306</v>
      </c>
      <c r="M6615">
        <v>1538</v>
      </c>
      <c r="N6615" s="182">
        <v>1</v>
      </c>
      <c r="O6615">
        <v>4375</v>
      </c>
      <c r="P6615" s="176" t="s">
        <v>77</v>
      </c>
      <c r="Q6615" s="176">
        <v>246400</v>
      </c>
      <c r="R6615" s="176">
        <v>39424</v>
      </c>
      <c r="S6615" s="176"/>
      <c r="T6615" s="190">
        <v>0</v>
      </c>
      <c r="U6615" s="191">
        <v>0</v>
      </c>
      <c r="V6615" s="191">
        <v>285824</v>
      </c>
      <c r="W6615">
        <v>536</v>
      </c>
      <c r="X6615" s="186" t="s">
        <v>2035</v>
      </c>
      <c r="Y6615" s="187" t="s">
        <v>55</v>
      </c>
      <c r="Z6615" s="311">
        <v>334</v>
      </c>
      <c r="AB6615" t="str">
        <f>IF(Table1[[#This Row],[TIPO2]]="costo", VLOOKUP(Table1[[#This Row],[PARTIDA PRESUPUESTAL]],'Cost Report'!G:G,1,0),"Balance")</f>
        <v>6001-005</v>
      </c>
      <c r="AD6615" s="159">
        <f>+Table1[[#This Row],[SUBTOTAL]]+Table1[[#This Row],[IVA]]-Table1[[#This Row],[RET IVA]]-Table1[[#This Row],[RET ISR]]-Table1[[#This Row],[TOTAL]]</f>
        <v>0</v>
      </c>
      <c r="AK6615" s="306">
        <f>IF(ISNUMBER(Table1[[#This Row],[FECHA DE RECIBIDO]]), Table1[[#This Row],[FECHA DE RECIBIDO]]-DATE(2023,8,30), "")</f>
        <v>-44837.473020833335</v>
      </c>
    </row>
    <row r="6616" spans="1:37" ht="18" customHeight="1">
      <c r="A6616" s="172" t="s">
        <v>5460</v>
      </c>
      <c r="B6616" s="178">
        <v>2388</v>
      </c>
      <c r="C6616" s="179" t="s">
        <v>3012</v>
      </c>
      <c r="D6616">
        <v>4521</v>
      </c>
      <c r="E6616" s="125" t="s">
        <v>3220</v>
      </c>
      <c r="F6616" s="178">
        <v>612</v>
      </c>
      <c r="G6616" s="178" t="s">
        <v>129</v>
      </c>
      <c r="H6616">
        <v>207</v>
      </c>
      <c r="I6616" s="178" t="s">
        <v>1546</v>
      </c>
      <c r="J6616" s="320" t="s">
        <v>214</v>
      </c>
      <c r="K6616" s="178" t="s">
        <v>5466</v>
      </c>
      <c r="L6616" s="125" t="s">
        <v>110</v>
      </c>
      <c r="M6616">
        <v>272</v>
      </c>
      <c r="N6616" s="182">
        <v>72</v>
      </c>
      <c r="O6616">
        <v>4376</v>
      </c>
      <c r="P6616" s="176" t="s">
        <v>77</v>
      </c>
      <c r="Q6616" s="176">
        <v>44000</v>
      </c>
      <c r="R6616" s="176">
        <v>7040</v>
      </c>
      <c r="S6616" s="176">
        <v>0</v>
      </c>
      <c r="T6616" s="190">
        <v>4693.3600000000006</v>
      </c>
      <c r="U6616" s="191">
        <v>4400</v>
      </c>
      <c r="V6616" s="191">
        <v>41946.64</v>
      </c>
      <c r="W6616">
        <v>128</v>
      </c>
      <c r="X6616" s="186" t="s">
        <v>1431</v>
      </c>
      <c r="Y6616" s="187" t="s">
        <v>55</v>
      </c>
      <c r="Z6616" s="311">
        <v>335</v>
      </c>
      <c r="AB6616" t="str">
        <f>IF(Table1[[#This Row],[TIPO2]]="costo", VLOOKUP(Table1[[#This Row],[PARTIDA PRESUPUESTAL]],'Cost Report'!G:G,1,0),"Balance")</f>
        <v>5010-005</v>
      </c>
      <c r="AD6616" s="159">
        <f>+Table1[[#This Row],[SUBTOTAL]]+Table1[[#This Row],[IVA]]-Table1[[#This Row],[RET IVA]]-Table1[[#This Row],[RET ISR]]-Table1[[#This Row],[TOTAL]]</f>
        <v>0</v>
      </c>
      <c r="AK6616" s="306" t="str">
        <f>IF(ISNUMBER(Table1[[#This Row],[FECHA DE RECIBIDO]]), Table1[[#This Row],[FECHA DE RECIBIDO]]-DATE(2023,8,30), "")</f>
        <v/>
      </c>
    </row>
    <row r="6617" spans="1:37" ht="18" customHeight="1">
      <c r="A6617" s="172" t="s">
        <v>5472</v>
      </c>
      <c r="B6617" s="178">
        <v>2389</v>
      </c>
      <c r="C6617" s="179" t="s">
        <v>2443</v>
      </c>
      <c r="D6617">
        <v>661</v>
      </c>
      <c r="E6617" s="125"/>
      <c r="F6617" s="178"/>
      <c r="G6617" s="178"/>
      <c r="H6617"/>
      <c r="I6617" s="178"/>
      <c r="J6617" s="320" t="s">
        <v>214</v>
      </c>
      <c r="K6617" s="178" t="s">
        <v>5466</v>
      </c>
      <c r="L6617" s="125" t="s">
        <v>1579</v>
      </c>
      <c r="M6617"/>
      <c r="N6617" s="182">
        <v>17</v>
      </c>
      <c r="O6617">
        <v>4377</v>
      </c>
      <c r="P6617" s="176" t="s">
        <v>77</v>
      </c>
      <c r="Q6617" s="176">
        <v>10376</v>
      </c>
      <c r="R6617" s="176"/>
      <c r="S6617" s="176"/>
      <c r="T6617" s="190">
        <v>0</v>
      </c>
      <c r="U6617" s="191"/>
      <c r="V6617" s="191">
        <v>10376</v>
      </c>
      <c r="W6617"/>
      <c r="X6617" s="186" t="s">
        <v>1644</v>
      </c>
      <c r="Y6617" s="187" t="s">
        <v>55</v>
      </c>
      <c r="Z6617" s="311">
        <v>337</v>
      </c>
      <c r="AB6617" t="str">
        <f>IF(Table1[[#This Row],[TIPO2]]="costo", VLOOKUP(Table1[[#This Row],[PARTIDA PRESUPUESTAL]],'Cost Report'!G:G,1,0),"Balance")</f>
        <v>2080-003</v>
      </c>
      <c r="AD6617" s="159">
        <f>+Table1[[#This Row],[SUBTOTAL]]+Table1[[#This Row],[IVA]]-Table1[[#This Row],[RET IVA]]-Table1[[#This Row],[RET ISR]]-Table1[[#This Row],[TOTAL]]</f>
        <v>0</v>
      </c>
      <c r="AK6617" s="306" t="str">
        <f>IF(ISNUMBER(Table1[[#This Row],[FECHA DE RECIBIDO]]), Table1[[#This Row],[FECHA DE RECIBIDO]]-DATE(2023,8,30), "")</f>
        <v/>
      </c>
    </row>
    <row r="6618" spans="1:37" ht="18" customHeight="1">
      <c r="A6618" s="172" t="s">
        <v>4623</v>
      </c>
      <c r="B6618" s="178">
        <v>1606</v>
      </c>
      <c r="C6618" s="179" t="s">
        <v>71</v>
      </c>
      <c r="D6618"/>
      <c r="E6618" s="125"/>
      <c r="F6618" s="178"/>
      <c r="G6618" s="178"/>
      <c r="H6618"/>
      <c r="I6618" s="178"/>
      <c r="J6618" s="320" t="s">
        <v>214</v>
      </c>
      <c r="K6618" s="178" t="s">
        <v>5466</v>
      </c>
      <c r="L6618" s="125" t="s">
        <v>1643</v>
      </c>
      <c r="M6618">
        <v>1535</v>
      </c>
      <c r="N6618" s="182"/>
      <c r="O6618">
        <v>4358</v>
      </c>
      <c r="P6618" s="203" t="s">
        <v>5457</v>
      </c>
      <c r="Q6618" s="176">
        <f>-Q6617</f>
        <v>-10376</v>
      </c>
      <c r="R6618" s="176"/>
      <c r="S6618" s="176"/>
      <c r="T6618" s="190">
        <v>0</v>
      </c>
      <c r="U6618" s="191"/>
      <c r="V6618" s="191">
        <f>+Table1[[#This Row],[SUBTOTAL]]+Table1[[#This Row],[IVA]]-Table1[[#This Row],[RET IVA]]-Table1[[#This Row],[RET ISR]]</f>
        <v>-10376</v>
      </c>
      <c r="W6618"/>
      <c r="X6618" s="186"/>
      <c r="Y6618" s="187"/>
      <c r="Z6618" s="311">
        <v>-45168</v>
      </c>
      <c r="AB6618" t="str">
        <f>IF(Table1[[#This Row],[TIPO2]]="costo", VLOOKUP(Table1[[#This Row],[PARTIDA PRESUPUESTAL]],'Cost Report'!G:G,1,0),"Balance")</f>
        <v>Balance</v>
      </c>
      <c r="AD6618" s="159">
        <f>+Table1[[#This Row],[SUBTOTAL]]+Table1[[#This Row],[IVA]]-Table1[[#This Row],[RET IVA]]-Table1[[#This Row],[RET ISR]]-Table1[[#This Row],[TOTAL]]</f>
        <v>0</v>
      </c>
      <c r="AK6618" s="306" t="str">
        <f>IF(ISNUMBER(Table1[[#This Row],[FECHA DE RECIBIDO]]), Table1[[#This Row],[FECHA DE RECIBIDO]]-DATE(2023,8,30), "")</f>
        <v/>
      </c>
    </row>
    <row r="6619" spans="1:37" ht="18" customHeight="1">
      <c r="A6619" s="172" t="s">
        <v>5472</v>
      </c>
      <c r="B6619" s="178">
        <v>2389</v>
      </c>
      <c r="C6619" s="179" t="s">
        <v>2868</v>
      </c>
      <c r="D6619">
        <v>661</v>
      </c>
      <c r="E6619" s="125"/>
      <c r="F6619" s="178"/>
      <c r="G6619" s="178"/>
      <c r="H6619"/>
      <c r="I6619" s="178"/>
      <c r="J6619" s="320" t="s">
        <v>214</v>
      </c>
      <c r="K6619" s="178" t="s">
        <v>5466</v>
      </c>
      <c r="L6619" s="125" t="s">
        <v>1579</v>
      </c>
      <c r="M6619"/>
      <c r="N6619" s="182">
        <v>17</v>
      </c>
      <c r="O6619">
        <v>4378</v>
      </c>
      <c r="P6619" s="176" t="s">
        <v>77</v>
      </c>
      <c r="Q6619" s="176">
        <v>40</v>
      </c>
      <c r="R6619" s="176"/>
      <c r="S6619" s="176"/>
      <c r="T6619" s="190">
        <v>0</v>
      </c>
      <c r="U6619" s="191"/>
      <c r="V6619" s="191">
        <v>10376</v>
      </c>
      <c r="W6619"/>
      <c r="X6619" s="186" t="s">
        <v>1644</v>
      </c>
      <c r="Y6619" s="187" t="s">
        <v>55</v>
      </c>
      <c r="Z6619" s="311">
        <v>337</v>
      </c>
      <c r="AB6619" t="str">
        <f>IF(Table1[[#This Row],[TIPO2]]="costo", VLOOKUP(Table1[[#This Row],[PARTIDA PRESUPUESTAL]],'Cost Report'!G:G,1,0),"Balance")</f>
        <v>3632-009</v>
      </c>
      <c r="AD6619" s="159">
        <f>+Table1[[#This Row],[SUBTOTAL]]+Table1[[#This Row],[IVA]]-Table1[[#This Row],[RET IVA]]-Table1[[#This Row],[RET ISR]]-Table1[[#This Row],[TOTAL]]</f>
        <v>-10336</v>
      </c>
      <c r="AK6619" s="306" t="str">
        <f>IF(ISNUMBER(Table1[[#This Row],[FECHA DE RECIBIDO]]), Table1[[#This Row],[FECHA DE RECIBIDO]]-DATE(2023,8,30), "")</f>
        <v/>
      </c>
    </row>
    <row r="6620" spans="1:37" ht="18" customHeight="1">
      <c r="A6620" s="172" t="s">
        <v>4623</v>
      </c>
      <c r="B6620" s="178">
        <v>1606</v>
      </c>
      <c r="C6620" s="179" t="s">
        <v>69</v>
      </c>
      <c r="D6620"/>
      <c r="E6620" s="125"/>
      <c r="F6620" s="178"/>
      <c r="G6620" s="178"/>
      <c r="H6620"/>
      <c r="I6620" s="178"/>
      <c r="J6620" s="320" t="s">
        <v>214</v>
      </c>
      <c r="K6620" s="178" t="s">
        <v>5466</v>
      </c>
      <c r="L6620" s="125" t="s">
        <v>1643</v>
      </c>
      <c r="M6620">
        <v>1535</v>
      </c>
      <c r="N6620" s="182"/>
      <c r="O6620">
        <v>4358</v>
      </c>
      <c r="P6620" s="203" t="s">
        <v>5457</v>
      </c>
      <c r="Q6620" s="176">
        <f>-Q6619</f>
        <v>-40</v>
      </c>
      <c r="R6620" s="176"/>
      <c r="S6620" s="176"/>
      <c r="T6620" s="190">
        <v>0</v>
      </c>
      <c r="U6620" s="191"/>
      <c r="V6620" s="191">
        <f>+Q6620</f>
        <v>-40</v>
      </c>
      <c r="W6620"/>
      <c r="X6620" s="186"/>
      <c r="Y6620" s="187"/>
      <c r="Z6620" s="311">
        <v>-45168</v>
      </c>
      <c r="AB6620" t="str">
        <f>IF(Table1[[#This Row],[TIPO2]]="costo", VLOOKUP(Table1[[#This Row],[PARTIDA PRESUPUESTAL]],'Cost Report'!G:G,1,0),"Balance")</f>
        <v>Balance</v>
      </c>
      <c r="AD6620" s="159">
        <f>+Table1[[#This Row],[SUBTOTAL]]+Table1[[#This Row],[IVA]]-Table1[[#This Row],[RET IVA]]-Table1[[#This Row],[RET ISR]]-Table1[[#This Row],[TOTAL]]</f>
        <v>0</v>
      </c>
      <c r="AK6620" s="306" t="str">
        <f>IF(ISNUMBER(Table1[[#This Row],[FECHA DE RECIBIDO]]), Table1[[#This Row],[FECHA DE RECIBIDO]]-DATE(2023,8,30), "")</f>
        <v/>
      </c>
    </row>
    <row r="6621" spans="1:37" ht="18" customHeight="1">
      <c r="A6621" s="172" t="s">
        <v>5480</v>
      </c>
      <c r="B6621" s="178">
        <v>2392</v>
      </c>
      <c r="C6621" s="179" t="s">
        <v>1792</v>
      </c>
      <c r="D6621">
        <v>4522</v>
      </c>
      <c r="E6621" s="125" t="s">
        <v>2001</v>
      </c>
      <c r="F6621" s="178">
        <v>601</v>
      </c>
      <c r="G6621" s="178" t="s">
        <v>134</v>
      </c>
      <c r="H6621">
        <v>23</v>
      </c>
      <c r="I6621" s="178" t="s">
        <v>1546</v>
      </c>
      <c r="J6621" s="320">
        <v>342.55427083333052</v>
      </c>
      <c r="K6621" s="178" t="s">
        <v>5494</v>
      </c>
      <c r="L6621" s="125" t="s">
        <v>3306</v>
      </c>
      <c r="M6621">
        <v>1539</v>
      </c>
      <c r="N6621" s="182">
        <v>1</v>
      </c>
      <c r="O6621">
        <v>4379</v>
      </c>
      <c r="P6621" s="176" t="s">
        <v>77</v>
      </c>
      <c r="Q6621" s="176">
        <v>13960</v>
      </c>
      <c r="R6621" s="176">
        <v>2233.6</v>
      </c>
      <c r="S6621" s="176"/>
      <c r="T6621" s="190">
        <v>0</v>
      </c>
      <c r="U6621" s="191">
        <v>0</v>
      </c>
      <c r="V6621" s="191">
        <v>16193.6</v>
      </c>
      <c r="W6621">
        <v>532</v>
      </c>
      <c r="X6621" s="186" t="s">
        <v>105</v>
      </c>
      <c r="Y6621" s="187" t="s">
        <v>55</v>
      </c>
      <c r="Z6621" s="311">
        <v>345</v>
      </c>
      <c r="AB6621" t="str">
        <f>IF(Table1[[#This Row],[TIPO2]]="costo", VLOOKUP(Table1[[#This Row],[PARTIDA PRESUPUESTAL]],'Cost Report'!G:G,1,0),"Balance")</f>
        <v>1287-007</v>
      </c>
      <c r="AD6621" s="159">
        <f>+Table1[[#This Row],[SUBTOTAL]]+Table1[[#This Row],[IVA]]-Table1[[#This Row],[RET IVA]]-Table1[[#This Row],[RET ISR]]-Table1[[#This Row],[TOTAL]]</f>
        <v>0</v>
      </c>
      <c r="AK6621" s="306">
        <f>IF(ISNUMBER(Table1[[#This Row],[FECHA DE RECIBIDO]]), Table1[[#This Row],[FECHA DE RECIBIDO]]-DATE(2023,8,30), "")</f>
        <v>-44825.445729166669</v>
      </c>
    </row>
    <row r="6622" spans="1:37" ht="18" customHeight="1">
      <c r="A6622" s="172" t="s">
        <v>5481</v>
      </c>
      <c r="B6622" s="178">
        <v>2393</v>
      </c>
      <c r="C6622" s="179" t="s">
        <v>965</v>
      </c>
      <c r="D6622">
        <v>4523</v>
      </c>
      <c r="E6622" s="125">
        <v>44820</v>
      </c>
      <c r="F6622" s="178">
        <v>612</v>
      </c>
      <c r="G6622" s="178" t="s">
        <v>129</v>
      </c>
      <c r="H6622">
        <v>1102</v>
      </c>
      <c r="I6622" s="178" t="s">
        <v>1546</v>
      </c>
      <c r="J6622" s="320">
        <v>342.50854166666977</v>
      </c>
      <c r="K6622" s="178" t="s">
        <v>5494</v>
      </c>
      <c r="L6622" s="125" t="s">
        <v>3306</v>
      </c>
      <c r="M6622">
        <v>1540</v>
      </c>
      <c r="N6622" s="182">
        <v>1</v>
      </c>
      <c r="O6622">
        <v>4380</v>
      </c>
      <c r="P6622" s="176" t="s">
        <v>77</v>
      </c>
      <c r="Q6622" s="176">
        <v>1150</v>
      </c>
      <c r="R6622" s="176">
        <v>184</v>
      </c>
      <c r="S6622" s="176"/>
      <c r="T6622" s="190">
        <v>122.66670500000001</v>
      </c>
      <c r="U6622" s="191">
        <v>115</v>
      </c>
      <c r="V6622" s="191">
        <v>1096.3332949999999</v>
      </c>
      <c r="W6622">
        <v>537</v>
      </c>
      <c r="X6622" s="186" t="s">
        <v>2035</v>
      </c>
      <c r="Y6622" s="187" t="s">
        <v>55</v>
      </c>
      <c r="Z6622" s="311">
        <v>345</v>
      </c>
      <c r="AB6622" t="str">
        <f>IF(Table1[[#This Row],[TIPO2]]="costo", VLOOKUP(Table1[[#This Row],[PARTIDA PRESUPUESTAL]],'Cost Report'!G:G,1,0),"Balance")</f>
        <v>3407-007</v>
      </c>
      <c r="AD6622" s="159">
        <f>+Table1[[#This Row],[SUBTOTAL]]+Table1[[#This Row],[IVA]]-Table1[[#This Row],[RET IVA]]-Table1[[#This Row],[RET ISR]]-Table1[[#This Row],[TOTAL]]</f>
        <v>0</v>
      </c>
      <c r="AK6622" s="306">
        <f>IF(ISNUMBER(Table1[[#This Row],[FECHA DE RECIBIDO]]), Table1[[#This Row],[FECHA DE RECIBIDO]]-DATE(2023,8,30), "")</f>
        <v>-44825.49145833333</v>
      </c>
    </row>
    <row r="6623" spans="1:37" ht="18" customHeight="1">
      <c r="A6623" s="172"/>
      <c r="B6623" s="178"/>
      <c r="C6623" s="179" t="s">
        <v>2787</v>
      </c>
      <c r="D6623">
        <v>4523</v>
      </c>
      <c r="E6623" s="125">
        <v>44820</v>
      </c>
      <c r="F6623" s="178">
        <v>612</v>
      </c>
      <c r="G6623" s="178" t="s">
        <v>129</v>
      </c>
      <c r="H6623">
        <v>1102</v>
      </c>
      <c r="I6623" s="178" t="s">
        <v>1546</v>
      </c>
      <c r="J6623" s="320">
        <v>342.50854166666977</v>
      </c>
      <c r="K6623" s="178" t="s">
        <v>5494</v>
      </c>
      <c r="L6623" s="125" t="s">
        <v>3306</v>
      </c>
      <c r="M6623">
        <v>1540</v>
      </c>
      <c r="N6623" s="182">
        <v>1</v>
      </c>
      <c r="O6623">
        <v>4380</v>
      </c>
      <c r="P6623" s="176" t="s">
        <v>77</v>
      </c>
      <c r="Q6623" s="176">
        <v>2850</v>
      </c>
      <c r="R6623" s="176">
        <v>456</v>
      </c>
      <c r="S6623" s="176"/>
      <c r="T6623" s="190">
        <v>304.00009499999999</v>
      </c>
      <c r="U6623" s="191">
        <v>285</v>
      </c>
      <c r="V6623" s="191">
        <v>2716.9999050000001</v>
      </c>
      <c r="W6623">
        <v>537</v>
      </c>
      <c r="X6623" s="186" t="s">
        <v>2035</v>
      </c>
      <c r="Y6623" s="187" t="s">
        <v>55</v>
      </c>
      <c r="Z6623" s="311">
        <v>345</v>
      </c>
      <c r="AB6623" t="str">
        <f>IF(Table1[[#This Row],[TIPO2]]="costo", VLOOKUP(Table1[[#This Row],[PARTIDA PRESUPUESTAL]],'Cost Report'!G:G,1,0),"Balance")</f>
        <v>3407-012</v>
      </c>
      <c r="AD6623" s="159">
        <f>+Table1[[#This Row],[SUBTOTAL]]+Table1[[#This Row],[IVA]]-Table1[[#This Row],[RET IVA]]-Table1[[#This Row],[RET ISR]]-Table1[[#This Row],[TOTAL]]</f>
        <v>0</v>
      </c>
      <c r="AK6623" s="306">
        <f>IF(ISNUMBER(Table1[[#This Row],[FECHA DE RECIBIDO]]), Table1[[#This Row],[FECHA DE RECIBIDO]]-DATE(2023,8,30), "")</f>
        <v>-44825.49145833333</v>
      </c>
    </row>
    <row r="6624" spans="1:37" ht="18" customHeight="1">
      <c r="A6624" s="172"/>
      <c r="B6624" s="178"/>
      <c r="C6624" s="179" t="s">
        <v>2788</v>
      </c>
      <c r="D6624">
        <v>4523</v>
      </c>
      <c r="E6624" s="125">
        <v>44820</v>
      </c>
      <c r="F6624" s="178">
        <v>612</v>
      </c>
      <c r="G6624" s="178" t="s">
        <v>129</v>
      </c>
      <c r="H6624">
        <v>1102</v>
      </c>
      <c r="I6624" s="178" t="s">
        <v>1546</v>
      </c>
      <c r="J6624" s="320">
        <v>342.50854166666977</v>
      </c>
      <c r="K6624" s="178" t="s">
        <v>5494</v>
      </c>
      <c r="L6624" s="125" t="s">
        <v>3306</v>
      </c>
      <c r="M6624">
        <v>1540</v>
      </c>
      <c r="N6624" s="182">
        <v>1</v>
      </c>
      <c r="O6624">
        <v>4380</v>
      </c>
      <c r="P6624" s="176" t="s">
        <v>77</v>
      </c>
      <c r="Q6624" s="176">
        <v>5100</v>
      </c>
      <c r="R6624" s="176">
        <v>816</v>
      </c>
      <c r="S6624" s="176"/>
      <c r="T6624" s="190">
        <v>544.00017000000003</v>
      </c>
      <c r="U6624" s="191">
        <v>510</v>
      </c>
      <c r="V6624" s="191">
        <v>4862.00983</v>
      </c>
      <c r="W6624">
        <v>537</v>
      </c>
      <c r="X6624" s="186" t="s">
        <v>2035</v>
      </c>
      <c r="Y6624" s="187" t="s">
        <v>55</v>
      </c>
      <c r="Z6624" s="311">
        <v>345</v>
      </c>
      <c r="AB6624" t="str">
        <f>IF(Table1[[#This Row],[TIPO2]]="costo", VLOOKUP(Table1[[#This Row],[PARTIDA PRESUPUESTAL]],'Cost Report'!G:G,1,0),"Balance")</f>
        <v>3407-013</v>
      </c>
      <c r="AD6624" s="159">
        <f>+Table1[[#This Row],[SUBTOTAL]]+Table1[[#This Row],[IVA]]-Table1[[#This Row],[RET IVA]]-Table1[[#This Row],[RET ISR]]-Table1[[#This Row],[TOTAL]]</f>
        <v>-1.0000000000218279E-2</v>
      </c>
      <c r="AK6624" s="306">
        <f>IF(ISNUMBER(Table1[[#This Row],[FECHA DE RECIBIDO]]), Table1[[#This Row],[FECHA DE RECIBIDO]]-DATE(2023,8,30), "")</f>
        <v>-44825.49145833333</v>
      </c>
    </row>
    <row r="6625" spans="1:37" ht="18" customHeight="1">
      <c r="A6625" s="172" t="s">
        <v>5482</v>
      </c>
      <c r="B6625" s="178">
        <v>2394</v>
      </c>
      <c r="C6625" s="179" t="s">
        <v>2141</v>
      </c>
      <c r="D6625">
        <v>4524</v>
      </c>
      <c r="E6625" s="125" t="s">
        <v>1887</v>
      </c>
      <c r="F6625" s="178">
        <v>626</v>
      </c>
      <c r="G6625" s="178" t="s">
        <v>109</v>
      </c>
      <c r="H6625">
        <v>10</v>
      </c>
      <c r="I6625" s="178" t="s">
        <v>1546</v>
      </c>
      <c r="J6625" s="320">
        <v>341.53811342592235</v>
      </c>
      <c r="K6625" s="178" t="s">
        <v>5494</v>
      </c>
      <c r="L6625" s="125" t="s">
        <v>110</v>
      </c>
      <c r="M6625">
        <v>13</v>
      </c>
      <c r="N6625" s="182">
        <v>20</v>
      </c>
      <c r="O6625">
        <v>4381</v>
      </c>
      <c r="P6625" s="176" t="s">
        <v>77</v>
      </c>
      <c r="Q6625" s="176">
        <v>67000</v>
      </c>
      <c r="R6625" s="176">
        <v>10720</v>
      </c>
      <c r="S6625" s="176">
        <v>0</v>
      </c>
      <c r="T6625" s="190">
        <v>7146.6799999999994</v>
      </c>
      <c r="U6625" s="191">
        <v>837.5</v>
      </c>
      <c r="V6625" s="191">
        <v>69735.820000000007</v>
      </c>
      <c r="W6625">
        <v>9</v>
      </c>
      <c r="X6625" s="186" t="s">
        <v>1429</v>
      </c>
      <c r="Y6625" s="187" t="s">
        <v>55</v>
      </c>
      <c r="Z6625" s="311">
        <v>345</v>
      </c>
      <c r="AB6625" t="str">
        <f>IF(Table1[[#This Row],[TIPO2]]="costo", VLOOKUP(Table1[[#This Row],[PARTIDA PRESUPUESTAL]],'Cost Report'!G:G,1,0),"Balance")</f>
        <v>1202-006</v>
      </c>
      <c r="AD6625" s="159">
        <f>+Table1[[#This Row],[SUBTOTAL]]+Table1[[#This Row],[IVA]]-Table1[[#This Row],[RET IVA]]-Table1[[#This Row],[RET ISR]]-Table1[[#This Row],[TOTAL]]</f>
        <v>0</v>
      </c>
      <c r="AK6625" s="306">
        <f>IF(ISNUMBER(Table1[[#This Row],[FECHA DE RECIBIDO]]), Table1[[#This Row],[FECHA DE RECIBIDO]]-DATE(2023,8,30), "")</f>
        <v>-44826.461886574078</v>
      </c>
    </row>
    <row r="6626" spans="1:37" ht="18" customHeight="1">
      <c r="A6626" s="172" t="s">
        <v>5483</v>
      </c>
      <c r="B6626" s="178">
        <v>2395</v>
      </c>
      <c r="C6626" s="179" t="s">
        <v>2143</v>
      </c>
      <c r="D6626">
        <v>4525</v>
      </c>
      <c r="E6626" s="125" t="s">
        <v>1592</v>
      </c>
      <c r="F6626" s="178">
        <v>626</v>
      </c>
      <c r="G6626" s="178" t="s">
        <v>109</v>
      </c>
      <c r="H6626">
        <v>18</v>
      </c>
      <c r="I6626" s="178" t="s">
        <v>1546</v>
      </c>
      <c r="J6626" s="320">
        <v>344.68499999999767</v>
      </c>
      <c r="K6626" s="178" t="s">
        <v>5494</v>
      </c>
      <c r="L6626" s="125" t="s">
        <v>110</v>
      </c>
      <c r="M6626">
        <v>23</v>
      </c>
      <c r="N6626" s="182">
        <v>4</v>
      </c>
      <c r="O6626">
        <v>4382</v>
      </c>
      <c r="P6626" s="176" t="s">
        <v>77</v>
      </c>
      <c r="Q6626" s="176">
        <v>40000</v>
      </c>
      <c r="R6626" s="176">
        <v>6400</v>
      </c>
      <c r="S6626" s="176">
        <v>0</v>
      </c>
      <c r="T6626" s="190">
        <v>4266.68</v>
      </c>
      <c r="U6626" s="191">
        <v>500</v>
      </c>
      <c r="V6626" s="191">
        <v>41633.32</v>
      </c>
      <c r="W6626">
        <v>18</v>
      </c>
      <c r="X6626" s="186" t="s">
        <v>1429</v>
      </c>
      <c r="Y6626" s="187" t="s">
        <v>55</v>
      </c>
      <c r="Z6626" s="311">
        <v>345</v>
      </c>
      <c r="AB6626" t="str">
        <f>IF(Table1[[#This Row],[TIPO2]]="costo", VLOOKUP(Table1[[#This Row],[PARTIDA PRESUPUESTAL]],'Cost Report'!G:G,1,0),"Balance")</f>
        <v>1222-009</v>
      </c>
      <c r="AD6626" s="159">
        <f>+Table1[[#This Row],[SUBTOTAL]]+Table1[[#This Row],[IVA]]-Table1[[#This Row],[RET IVA]]-Table1[[#This Row],[RET ISR]]-Table1[[#This Row],[TOTAL]]</f>
        <v>0</v>
      </c>
      <c r="AK6626" s="306">
        <f>IF(ISNUMBER(Table1[[#This Row],[FECHA DE RECIBIDO]]), Table1[[#This Row],[FECHA DE RECIBIDO]]-DATE(2023,8,30), "")</f>
        <v>-44823.315000000002</v>
      </c>
    </row>
    <row r="6627" spans="1:37" ht="18" customHeight="1">
      <c r="A6627" s="172" t="s">
        <v>5484</v>
      </c>
      <c r="B6627" s="178">
        <v>2396</v>
      </c>
      <c r="C6627" s="179" t="s">
        <v>3011</v>
      </c>
      <c r="D6627">
        <v>4526</v>
      </c>
      <c r="E6627" s="125" t="s">
        <v>2018</v>
      </c>
      <c r="F6627" s="178">
        <v>626</v>
      </c>
      <c r="G6627" s="178" t="s">
        <v>109</v>
      </c>
      <c r="H6627">
        <v>116</v>
      </c>
      <c r="I6627" s="178" t="s">
        <v>1546</v>
      </c>
      <c r="J6627" s="320">
        <v>338.61028935185459</v>
      </c>
      <c r="K6627" s="178" t="s">
        <v>5494</v>
      </c>
      <c r="L6627" s="125" t="s">
        <v>110</v>
      </c>
      <c r="M6627">
        <v>154</v>
      </c>
      <c r="N6627" s="182">
        <v>46</v>
      </c>
      <c r="O6627">
        <v>4383</v>
      </c>
      <c r="P6627" s="176" t="s">
        <v>77</v>
      </c>
      <c r="Q6627" s="176">
        <v>44000</v>
      </c>
      <c r="R6627" s="176">
        <v>7040</v>
      </c>
      <c r="S6627" s="176">
        <v>0</v>
      </c>
      <c r="T6627" s="190">
        <v>4693.34</v>
      </c>
      <c r="U6627" s="191">
        <v>550</v>
      </c>
      <c r="V6627" s="191">
        <v>45796.66</v>
      </c>
      <c r="W6627">
        <v>78</v>
      </c>
      <c r="X6627" s="186" t="s">
        <v>1430</v>
      </c>
      <c r="Y6627" s="187" t="s">
        <v>55</v>
      </c>
      <c r="Z6627" s="311">
        <v>345</v>
      </c>
      <c r="AB6627" t="str">
        <f>IF(Table1[[#This Row],[TIPO2]]="costo", VLOOKUP(Table1[[#This Row],[PARTIDA PRESUPUESTAL]],'Cost Report'!G:G,1,0),"Balance")</f>
        <v>5009-005</v>
      </c>
      <c r="AD6627" s="159">
        <f>+Table1[[#This Row],[SUBTOTAL]]+Table1[[#This Row],[IVA]]-Table1[[#This Row],[RET IVA]]-Table1[[#This Row],[RET ISR]]-Table1[[#This Row],[TOTAL]]</f>
        <v>0</v>
      </c>
      <c r="AK6627" s="306">
        <f>IF(ISNUMBER(Table1[[#This Row],[FECHA DE RECIBIDO]]), Table1[[#This Row],[FECHA DE RECIBIDO]]-DATE(2023,8,30), "")</f>
        <v>-44829.389710648145</v>
      </c>
    </row>
    <row r="6628" spans="1:37" ht="18" customHeight="1">
      <c r="A6628" s="172" t="s">
        <v>5485</v>
      </c>
      <c r="B6628" s="178">
        <v>2397</v>
      </c>
      <c r="C6628" s="179" t="s">
        <v>3011</v>
      </c>
      <c r="D6628">
        <v>4527</v>
      </c>
      <c r="E6628" s="125" t="s">
        <v>2018</v>
      </c>
      <c r="F6628" s="178">
        <v>626</v>
      </c>
      <c r="G6628" s="178" t="s">
        <v>109</v>
      </c>
      <c r="H6628">
        <v>116</v>
      </c>
      <c r="I6628" s="178" t="s">
        <v>1546</v>
      </c>
      <c r="J6628" s="320">
        <v>349.9381018518543</v>
      </c>
      <c r="K6628" s="178" t="s">
        <v>5494</v>
      </c>
      <c r="L6628" s="125" t="s">
        <v>110</v>
      </c>
      <c r="M6628">
        <v>154</v>
      </c>
      <c r="N6628" s="182">
        <v>46</v>
      </c>
      <c r="O6628">
        <v>4384</v>
      </c>
      <c r="P6628" s="176" t="s">
        <v>77</v>
      </c>
      <c r="Q6628" s="176">
        <v>44000</v>
      </c>
      <c r="R6628" s="176">
        <v>7040</v>
      </c>
      <c r="S6628" s="176">
        <v>0</v>
      </c>
      <c r="T6628" s="190">
        <v>4693.34</v>
      </c>
      <c r="U6628" s="191">
        <v>550</v>
      </c>
      <c r="V6628" s="191">
        <v>45796.66</v>
      </c>
      <c r="W6628">
        <v>78</v>
      </c>
      <c r="X6628" s="186" t="s">
        <v>1430</v>
      </c>
      <c r="Y6628" s="187" t="s">
        <v>55</v>
      </c>
      <c r="Z6628" s="311">
        <v>352</v>
      </c>
      <c r="AB6628" t="str">
        <f>IF(Table1[[#This Row],[TIPO2]]="costo", VLOOKUP(Table1[[#This Row],[PARTIDA PRESUPUESTAL]],'Cost Report'!G:G,1,0),"Balance")</f>
        <v>5009-005</v>
      </c>
      <c r="AD6628" s="159">
        <f>+Table1[[#This Row],[SUBTOTAL]]+Table1[[#This Row],[IVA]]-Table1[[#This Row],[RET IVA]]-Table1[[#This Row],[RET ISR]]-Table1[[#This Row],[TOTAL]]</f>
        <v>0</v>
      </c>
      <c r="AK6628" s="306">
        <f>IF(ISNUMBER(Table1[[#This Row],[FECHA DE RECIBIDO]]), Table1[[#This Row],[FECHA DE RECIBIDO]]-DATE(2023,8,30), "")</f>
        <v>-44818.061898148146</v>
      </c>
    </row>
    <row r="6629" spans="1:37" ht="18" customHeight="1">
      <c r="A6629" s="172" t="s">
        <v>5486</v>
      </c>
      <c r="B6629" s="178">
        <v>2398</v>
      </c>
      <c r="C6629" s="179" t="s">
        <v>3012</v>
      </c>
      <c r="D6629">
        <v>4528</v>
      </c>
      <c r="E6629" s="125" t="s">
        <v>3220</v>
      </c>
      <c r="F6629" s="178">
        <v>612</v>
      </c>
      <c r="G6629" s="178" t="s">
        <v>129</v>
      </c>
      <c r="H6629">
        <v>207</v>
      </c>
      <c r="I6629" s="178" t="s">
        <v>1546</v>
      </c>
      <c r="J6629" s="320">
        <v>351.51714120370161</v>
      </c>
      <c r="K6629" s="178" t="s">
        <v>5494</v>
      </c>
      <c r="L6629" s="125" t="s">
        <v>110</v>
      </c>
      <c r="M6629">
        <v>272</v>
      </c>
      <c r="N6629" s="182">
        <v>72</v>
      </c>
      <c r="O6629">
        <v>4385</v>
      </c>
      <c r="P6629" s="176" t="s">
        <v>77</v>
      </c>
      <c r="Q6629" s="176">
        <v>44000</v>
      </c>
      <c r="R6629" s="176">
        <v>7040</v>
      </c>
      <c r="S6629" s="176">
        <v>0</v>
      </c>
      <c r="T6629" s="190">
        <v>4693.3600000000006</v>
      </c>
      <c r="U6629" s="191">
        <v>4400</v>
      </c>
      <c r="V6629" s="191">
        <v>41946.64</v>
      </c>
      <c r="W6629">
        <v>128</v>
      </c>
      <c r="X6629" s="186" t="s">
        <v>1431</v>
      </c>
      <c r="Y6629" s="187" t="s">
        <v>55</v>
      </c>
      <c r="Z6629" s="311">
        <v>352</v>
      </c>
      <c r="AB6629" t="str">
        <f>IF(Table1[[#This Row],[TIPO2]]="costo", VLOOKUP(Table1[[#This Row],[PARTIDA PRESUPUESTAL]],'Cost Report'!G:G,1,0),"Balance")</f>
        <v>5010-005</v>
      </c>
      <c r="AD6629" s="159">
        <f>+Table1[[#This Row],[SUBTOTAL]]+Table1[[#This Row],[IVA]]-Table1[[#This Row],[RET IVA]]-Table1[[#This Row],[RET ISR]]-Table1[[#This Row],[TOTAL]]</f>
        <v>0</v>
      </c>
      <c r="AK6629" s="306">
        <f>IF(ISNUMBER(Table1[[#This Row],[FECHA DE RECIBIDO]]), Table1[[#This Row],[FECHA DE RECIBIDO]]-DATE(2023,8,30), "")</f>
        <v>-44816.482858796298</v>
      </c>
    </row>
    <row r="6630" spans="1:37" ht="18" customHeight="1">
      <c r="A6630" s="172" t="s">
        <v>5487</v>
      </c>
      <c r="B6630" s="178">
        <v>2399</v>
      </c>
      <c r="C6630" s="179" t="s">
        <v>1792</v>
      </c>
      <c r="D6630">
        <v>4529</v>
      </c>
      <c r="E6630" s="125" t="s">
        <v>2001</v>
      </c>
      <c r="F6630" s="178">
        <v>601</v>
      </c>
      <c r="G6630" s="178" t="s">
        <v>134</v>
      </c>
      <c r="H6630">
        <v>23</v>
      </c>
      <c r="I6630" s="178" t="s">
        <v>1546</v>
      </c>
      <c r="J6630" s="320">
        <v>348.67591435185022</v>
      </c>
      <c r="K6630" s="178" t="s">
        <v>5494</v>
      </c>
      <c r="L6630" s="125" t="s">
        <v>3306</v>
      </c>
      <c r="M6630">
        <v>1539</v>
      </c>
      <c r="N6630" s="182">
        <v>1</v>
      </c>
      <c r="O6630">
        <v>4386</v>
      </c>
      <c r="P6630" s="176" t="s">
        <v>77</v>
      </c>
      <c r="Q6630" s="176">
        <v>4453.32</v>
      </c>
      <c r="R6630" s="176">
        <v>712.53120000000001</v>
      </c>
      <c r="S6630" s="176"/>
      <c r="T6630" s="190">
        <v>0</v>
      </c>
      <c r="U6630" s="191">
        <v>0</v>
      </c>
      <c r="V6630" s="191">
        <v>5165.8512000000001</v>
      </c>
      <c r="W6630">
        <v>532</v>
      </c>
      <c r="X6630" s="186" t="s">
        <v>105</v>
      </c>
      <c r="Y6630" s="187" t="s">
        <v>55</v>
      </c>
      <c r="Z6630" s="311">
        <v>352</v>
      </c>
      <c r="AB6630" t="str">
        <f>IF(Table1[[#This Row],[TIPO2]]="costo", VLOOKUP(Table1[[#This Row],[PARTIDA PRESUPUESTAL]],'Cost Report'!G:G,1,0),"Balance")</f>
        <v>1287-007</v>
      </c>
      <c r="AD6630" s="159">
        <f>+Table1[[#This Row],[SUBTOTAL]]+Table1[[#This Row],[IVA]]-Table1[[#This Row],[RET IVA]]-Table1[[#This Row],[RET ISR]]-Table1[[#This Row],[TOTAL]]</f>
        <v>0</v>
      </c>
      <c r="AK6630" s="306">
        <f>IF(ISNUMBER(Table1[[#This Row],[FECHA DE RECIBIDO]]), Table1[[#This Row],[FECHA DE RECIBIDO]]-DATE(2023,8,30), "")</f>
        <v>-44819.32408564815</v>
      </c>
    </row>
    <row r="6631" spans="1:37" ht="18" customHeight="1">
      <c r="A6631" s="172" t="s">
        <v>5488</v>
      </c>
      <c r="B6631" s="178">
        <v>2400</v>
      </c>
      <c r="C6631" s="179" t="s">
        <v>245</v>
      </c>
      <c r="D6631">
        <v>4530</v>
      </c>
      <c r="E6631" s="125" t="s">
        <v>1595</v>
      </c>
      <c r="F6631" s="178">
        <v>612</v>
      </c>
      <c r="G6631" s="178" t="s">
        <v>129</v>
      </c>
      <c r="H6631">
        <v>104</v>
      </c>
      <c r="I6631" s="178" t="s">
        <v>1546</v>
      </c>
      <c r="J6631" s="320">
        <v>356.7029282407384</v>
      </c>
      <c r="K6631" s="178" t="s">
        <v>5494</v>
      </c>
      <c r="L6631" s="125" t="s">
        <v>110</v>
      </c>
      <c r="M6631">
        <v>142</v>
      </c>
      <c r="N6631" s="182">
        <v>34</v>
      </c>
      <c r="O6631">
        <v>4387</v>
      </c>
      <c r="P6631" s="176" t="s">
        <v>77</v>
      </c>
      <c r="Q6631" s="176">
        <v>10500</v>
      </c>
      <c r="R6631" s="176">
        <v>1680</v>
      </c>
      <c r="S6631" s="176">
        <v>0</v>
      </c>
      <c r="T6631" s="190">
        <v>1120</v>
      </c>
      <c r="U6631" s="191">
        <v>1050</v>
      </c>
      <c r="V6631" s="191">
        <v>10010</v>
      </c>
      <c r="W6631">
        <v>66</v>
      </c>
      <c r="X6631" s="186" t="s">
        <v>1429</v>
      </c>
      <c r="Y6631" s="187" t="s">
        <v>55</v>
      </c>
      <c r="Z6631" s="311">
        <v>359</v>
      </c>
      <c r="AB6631" t="str">
        <f>IF(Table1[[#This Row],[TIPO2]]="costo", VLOOKUP(Table1[[#This Row],[PARTIDA PRESUPUESTAL]],'Cost Report'!G:G,1,0),"Balance")</f>
        <v>1222-003</v>
      </c>
      <c r="AD6631" s="159">
        <f>+Table1[[#This Row],[SUBTOTAL]]+Table1[[#This Row],[IVA]]-Table1[[#This Row],[RET IVA]]-Table1[[#This Row],[RET ISR]]-Table1[[#This Row],[TOTAL]]</f>
        <v>0</v>
      </c>
      <c r="AK6631" s="306">
        <f>IF(ISNUMBER(Table1[[#This Row],[FECHA DE RECIBIDO]]), Table1[[#This Row],[FECHA DE RECIBIDO]]-DATE(2023,8,30), "")</f>
        <v>-44811.297071759262</v>
      </c>
    </row>
    <row r="6632" spans="1:37" ht="18" customHeight="1">
      <c r="A6632" s="172"/>
      <c r="B6632" s="178"/>
      <c r="C6632" s="179" t="s">
        <v>246</v>
      </c>
      <c r="D6632">
        <v>4530</v>
      </c>
      <c r="E6632" s="125" t="s">
        <v>1595</v>
      </c>
      <c r="F6632" s="178">
        <v>612</v>
      </c>
      <c r="G6632" s="178" t="s">
        <v>129</v>
      </c>
      <c r="H6632">
        <v>104</v>
      </c>
      <c r="I6632" s="178" t="s">
        <v>1546</v>
      </c>
      <c r="J6632" s="320">
        <v>356.7029282407384</v>
      </c>
      <c r="K6632" s="178" t="s">
        <v>5494</v>
      </c>
      <c r="L6632" s="125" t="s">
        <v>110</v>
      </c>
      <c r="M6632">
        <v>142</v>
      </c>
      <c r="N6632" s="182">
        <v>34</v>
      </c>
      <c r="O6632">
        <v>4387</v>
      </c>
      <c r="P6632" s="176" t="s">
        <v>77</v>
      </c>
      <c r="Q6632" s="176">
        <v>1500</v>
      </c>
      <c r="R6632" s="176">
        <v>240</v>
      </c>
      <c r="S6632" s="176">
        <v>0</v>
      </c>
      <c r="T6632" s="190">
        <v>160</v>
      </c>
      <c r="U6632" s="191">
        <v>150</v>
      </c>
      <c r="V6632" s="191">
        <v>1430</v>
      </c>
      <c r="W6632">
        <v>66</v>
      </c>
      <c r="X6632" s="186" t="s">
        <v>1429</v>
      </c>
      <c r="Y6632" s="187" t="s">
        <v>55</v>
      </c>
      <c r="Z6632" s="311">
        <v>359</v>
      </c>
      <c r="AB6632" t="str">
        <f>IF(Table1[[#This Row],[TIPO2]]="costo", VLOOKUP(Table1[[#This Row],[PARTIDA PRESUPUESTAL]],'Cost Report'!G:G,1,0),"Balance")</f>
        <v>1222-004</v>
      </c>
      <c r="AD6632" s="159">
        <f>+Table1[[#This Row],[SUBTOTAL]]+Table1[[#This Row],[IVA]]-Table1[[#This Row],[RET IVA]]-Table1[[#This Row],[RET ISR]]-Table1[[#This Row],[TOTAL]]</f>
        <v>0</v>
      </c>
      <c r="AK6632" s="306">
        <f>IF(ISNUMBER(Table1[[#This Row],[FECHA DE RECIBIDO]]), Table1[[#This Row],[FECHA DE RECIBIDO]]-DATE(2023,8,30), "")</f>
        <v>-44811.297071759262</v>
      </c>
    </row>
    <row r="6633" spans="1:37" ht="18" customHeight="1">
      <c r="A6633" s="172" t="s">
        <v>5489</v>
      </c>
      <c r="B6633" s="178">
        <v>2401</v>
      </c>
      <c r="C6633" s="179" t="s">
        <v>1792</v>
      </c>
      <c r="D6633">
        <v>4531</v>
      </c>
      <c r="E6633" s="125" t="s">
        <v>2001</v>
      </c>
      <c r="F6633" s="178">
        <v>601</v>
      </c>
      <c r="G6633" s="178" t="s">
        <v>134</v>
      </c>
      <c r="H6633">
        <v>23</v>
      </c>
      <c r="I6633" s="178" t="s">
        <v>1546</v>
      </c>
      <c r="J6633" s="320">
        <v>356.59307870370685</v>
      </c>
      <c r="K6633" s="178" t="s">
        <v>5494</v>
      </c>
      <c r="L6633" s="125" t="s">
        <v>3306</v>
      </c>
      <c r="M6633">
        <v>1539</v>
      </c>
      <c r="N6633" s="182">
        <v>1</v>
      </c>
      <c r="O6633">
        <v>4388</v>
      </c>
      <c r="P6633" s="176" t="s">
        <v>77</v>
      </c>
      <c r="Q6633" s="176">
        <v>13480</v>
      </c>
      <c r="R6633" s="176">
        <v>2156.8000000000002</v>
      </c>
      <c r="S6633" s="176"/>
      <c r="T6633" s="190">
        <v>0</v>
      </c>
      <c r="U6633" s="191">
        <v>0</v>
      </c>
      <c r="V6633" s="191">
        <v>15636.8</v>
      </c>
      <c r="W6633">
        <v>532</v>
      </c>
      <c r="X6633" s="186" t="s">
        <v>105</v>
      </c>
      <c r="Y6633" s="187" t="s">
        <v>55</v>
      </c>
      <c r="Z6633" s="311">
        <v>359</v>
      </c>
      <c r="AB6633" t="str">
        <f>IF(Table1[[#This Row],[TIPO2]]="costo", VLOOKUP(Table1[[#This Row],[PARTIDA PRESUPUESTAL]],'Cost Report'!G:G,1,0),"Balance")</f>
        <v>1287-007</v>
      </c>
      <c r="AD6633" s="159">
        <f>+Table1[[#This Row],[SUBTOTAL]]+Table1[[#This Row],[IVA]]-Table1[[#This Row],[RET IVA]]-Table1[[#This Row],[RET ISR]]-Table1[[#This Row],[TOTAL]]</f>
        <v>0</v>
      </c>
      <c r="AK6633" s="306">
        <f>IF(ISNUMBER(Table1[[#This Row],[FECHA DE RECIBIDO]]), Table1[[#This Row],[FECHA DE RECIBIDO]]-DATE(2023,8,30), "")</f>
        <v>-44811.406921296293</v>
      </c>
    </row>
    <row r="6634" spans="1:37" ht="18" customHeight="1">
      <c r="A6634" s="172" t="s">
        <v>5490</v>
      </c>
      <c r="B6634" s="178">
        <v>2402</v>
      </c>
      <c r="C6634" s="179" t="s">
        <v>3064</v>
      </c>
      <c r="D6634">
        <v>4532</v>
      </c>
      <c r="E6634" s="125">
        <v>44200</v>
      </c>
      <c r="F6634" s="178">
        <v>601</v>
      </c>
      <c r="G6634" s="178" t="s">
        <v>134</v>
      </c>
      <c r="H6634">
        <v>1101</v>
      </c>
      <c r="I6634" s="178" t="s">
        <v>1546</v>
      </c>
      <c r="J6634" s="320">
        <v>358.42165509259212</v>
      </c>
      <c r="K6634" s="178" t="s">
        <v>5494</v>
      </c>
      <c r="L6634" s="125" t="s">
        <v>3306</v>
      </c>
      <c r="M6634">
        <v>1538</v>
      </c>
      <c r="N6634" s="182">
        <v>1</v>
      </c>
      <c r="O6634">
        <v>4389</v>
      </c>
      <c r="P6634" s="176" t="s">
        <v>77</v>
      </c>
      <c r="Q6634" s="176">
        <v>246400</v>
      </c>
      <c r="R6634" s="176">
        <v>39424</v>
      </c>
      <c r="S6634" s="176"/>
      <c r="T6634" s="190">
        <v>0</v>
      </c>
      <c r="U6634" s="191">
        <v>0</v>
      </c>
      <c r="V6634" s="191">
        <v>285824</v>
      </c>
      <c r="W6634">
        <v>536</v>
      </c>
      <c r="X6634" s="186" t="s">
        <v>2035</v>
      </c>
      <c r="Y6634" s="187" t="s">
        <v>55</v>
      </c>
      <c r="Z6634" s="311">
        <v>359</v>
      </c>
      <c r="AB6634" t="str">
        <f>IF(Table1[[#This Row],[TIPO2]]="costo", VLOOKUP(Table1[[#This Row],[PARTIDA PRESUPUESTAL]],'Cost Report'!G:G,1,0),"Balance")</f>
        <v>6001-005</v>
      </c>
      <c r="AD6634" s="159">
        <f>+Table1[[#This Row],[SUBTOTAL]]+Table1[[#This Row],[IVA]]-Table1[[#This Row],[RET IVA]]-Table1[[#This Row],[RET ISR]]-Table1[[#This Row],[TOTAL]]</f>
        <v>0</v>
      </c>
      <c r="AK6634" s="306">
        <f>IF(ISNUMBER(Table1[[#This Row],[FECHA DE RECIBIDO]]), Table1[[#This Row],[FECHA DE RECIBIDO]]-DATE(2023,8,30), "")</f>
        <v>-44809.578344907408</v>
      </c>
    </row>
    <row r="6635" spans="1:37" ht="18" customHeight="1">
      <c r="A6635" s="172" t="s">
        <v>5491</v>
      </c>
      <c r="B6635" s="178" t="s">
        <v>1576</v>
      </c>
      <c r="C6635" s="179" t="s">
        <v>72</v>
      </c>
      <c r="D6635"/>
      <c r="E6635" s="125" t="s">
        <v>1911</v>
      </c>
      <c r="F6635" s="178" t="s">
        <v>1911</v>
      </c>
      <c r="G6635" s="178" t="s">
        <v>1911</v>
      </c>
      <c r="H6635"/>
      <c r="I6635" s="178" t="s">
        <v>1911</v>
      </c>
      <c r="J6635" s="320" t="s">
        <v>214</v>
      </c>
      <c r="K6635" s="178" t="s">
        <v>5494</v>
      </c>
      <c r="L6635" s="125" t="s">
        <v>156</v>
      </c>
      <c r="M6635">
        <v>61</v>
      </c>
      <c r="N6635" s="182">
        <v>0</v>
      </c>
      <c r="O6635">
        <v>4390</v>
      </c>
      <c r="P6635" s="176" t="s">
        <v>78</v>
      </c>
      <c r="Q6635" s="176">
        <v>123514.11</v>
      </c>
      <c r="R6635" s="176">
        <v>0</v>
      </c>
      <c r="S6635" s="176"/>
      <c r="T6635" s="190">
        <v>0</v>
      </c>
      <c r="U6635" s="191">
        <v>0</v>
      </c>
      <c r="V6635" s="191">
        <v>123514.11</v>
      </c>
      <c r="W6635">
        <v>35</v>
      </c>
      <c r="X6635" s="186" t="s">
        <v>105</v>
      </c>
      <c r="Y6635" s="187" t="s">
        <v>55</v>
      </c>
      <c r="Z6635" s="311">
        <v>356</v>
      </c>
      <c r="AB6635" t="str">
        <f>IF(Table1[[#This Row],[TIPO2]]="costo", VLOOKUP(Table1[[#This Row],[PARTIDA PRESUPUESTAL]],'Cost Report'!G:G,1,0),"Balance")</f>
        <v>Balance</v>
      </c>
      <c r="AD6635" s="159">
        <f>+Table1[[#This Row],[SUBTOTAL]]+Table1[[#This Row],[IVA]]-Table1[[#This Row],[RET IVA]]-Table1[[#This Row],[RET ISR]]-Table1[[#This Row],[TOTAL]]</f>
        <v>0</v>
      </c>
      <c r="AK6635" s="306" t="str">
        <f>IF(ISNUMBER(Table1[[#This Row],[FECHA DE RECIBIDO]]), Table1[[#This Row],[FECHA DE RECIBIDO]]-DATE(2023,8,30), "")</f>
        <v/>
      </c>
    </row>
    <row r="6636" spans="1:37" ht="18" customHeight="1">
      <c r="A6636" s="172" t="s">
        <v>5492</v>
      </c>
      <c r="B6636" s="178" t="s">
        <v>1576</v>
      </c>
      <c r="C6636" s="179" t="s">
        <v>73</v>
      </c>
      <c r="D6636"/>
      <c r="E6636" s="125" t="s">
        <v>1911</v>
      </c>
      <c r="F6636" s="178" t="s">
        <v>1911</v>
      </c>
      <c r="G6636" s="178" t="s">
        <v>1911</v>
      </c>
      <c r="H6636"/>
      <c r="I6636" s="178" t="s">
        <v>1911</v>
      </c>
      <c r="J6636" s="320" t="s">
        <v>214</v>
      </c>
      <c r="K6636" s="178" t="s">
        <v>5494</v>
      </c>
      <c r="L6636" s="125" t="s">
        <v>156</v>
      </c>
      <c r="M6636">
        <v>61</v>
      </c>
      <c r="N6636" s="182">
        <v>0</v>
      </c>
      <c r="O6636">
        <v>4391</v>
      </c>
      <c r="P6636" s="176" t="s">
        <v>78</v>
      </c>
      <c r="Q6636" s="176">
        <v>20305.75</v>
      </c>
      <c r="R6636" s="176">
        <v>0</v>
      </c>
      <c r="S6636" s="176"/>
      <c r="T6636" s="190">
        <v>0</v>
      </c>
      <c r="U6636" s="191">
        <v>0</v>
      </c>
      <c r="V6636" s="191">
        <v>20305.75</v>
      </c>
      <c r="W6636">
        <v>35</v>
      </c>
      <c r="X6636" s="186" t="s">
        <v>105</v>
      </c>
      <c r="Y6636" s="187" t="s">
        <v>55</v>
      </c>
      <c r="Z6636" s="311">
        <v>356</v>
      </c>
      <c r="AB6636" t="str">
        <f>IF(Table1[[#This Row],[TIPO2]]="costo", VLOOKUP(Table1[[#This Row],[PARTIDA PRESUPUESTAL]],'Cost Report'!G:G,1,0),"Balance")</f>
        <v>Balance</v>
      </c>
      <c r="AD6636" s="159">
        <f>+Table1[[#This Row],[SUBTOTAL]]+Table1[[#This Row],[IVA]]-Table1[[#This Row],[RET IVA]]-Table1[[#This Row],[RET ISR]]-Table1[[#This Row],[TOTAL]]</f>
        <v>0</v>
      </c>
      <c r="AK6636" s="306" t="str">
        <f>IF(ISNUMBER(Table1[[#This Row],[FECHA DE RECIBIDO]]), Table1[[#This Row],[FECHA DE RECIBIDO]]-DATE(2023,8,30), "")</f>
        <v/>
      </c>
    </row>
    <row r="6637" spans="1:37" ht="18" customHeight="1">
      <c r="A6637" s="172" t="s">
        <v>5493</v>
      </c>
      <c r="B6637" s="178">
        <v>2403</v>
      </c>
      <c r="C6637" s="179" t="s">
        <v>71</v>
      </c>
      <c r="D6637">
        <v>4533</v>
      </c>
      <c r="E6637" s="125" t="e">
        <v>#N/A</v>
      </c>
      <c r="F6637" s="178" t="e">
        <v>#N/A</v>
      </c>
      <c r="G6637" s="178" t="e">
        <v>#N/A</v>
      </c>
      <c r="H6637">
        <v>36</v>
      </c>
      <c r="I6637" s="178" t="e">
        <v>#N/A</v>
      </c>
      <c r="J6637" s="320" t="s">
        <v>214</v>
      </c>
      <c r="K6637" s="178" t="s">
        <v>5494</v>
      </c>
      <c r="L6637" s="125" t="s">
        <v>1579</v>
      </c>
      <c r="M6637">
        <v>1541</v>
      </c>
      <c r="N6637" s="182">
        <v>17</v>
      </c>
      <c r="O6637">
        <v>4392</v>
      </c>
      <c r="P6637" s="176" t="s">
        <v>78</v>
      </c>
      <c r="Q6637" s="176">
        <v>3900</v>
      </c>
      <c r="R6637" s="176"/>
      <c r="S6637" s="176"/>
      <c r="T6637" s="190">
        <v>0</v>
      </c>
      <c r="U6637" s="191"/>
      <c r="V6637" s="191">
        <v>3900</v>
      </c>
      <c r="W6637"/>
      <c r="X6637" s="186" t="s">
        <v>195</v>
      </c>
      <c r="Y6637" s="187" t="s">
        <v>55</v>
      </c>
      <c r="Z6637" s="311">
        <v>363</v>
      </c>
      <c r="AB6637" t="str">
        <f>IF(Table1[[#This Row],[TIPO2]]="costo", VLOOKUP(Table1[[#This Row],[PARTIDA PRESUPUESTAL]],'Cost Report'!G:G,1,0),"Balance")</f>
        <v>Balance</v>
      </c>
      <c r="AD6637" s="159">
        <f>+Table1[[#This Row],[SUBTOTAL]]+Table1[[#This Row],[IVA]]-Table1[[#This Row],[RET IVA]]-Table1[[#This Row],[RET ISR]]-Table1[[#This Row],[TOTAL]]</f>
        <v>0</v>
      </c>
      <c r="AK6637" s="306" t="str">
        <f>IF(ISNUMBER(Table1[[#This Row],[FECHA DE RECIBIDO]]), Table1[[#This Row],[FECHA DE RECIBIDO]]-DATE(2023,8,30), "")</f>
        <v/>
      </c>
    </row>
    <row r="6638" spans="1:37" ht="18" customHeight="1">
      <c r="A6638" s="172" t="s">
        <v>5493</v>
      </c>
      <c r="B6638" s="178">
        <v>2403</v>
      </c>
      <c r="C6638" s="179" t="s">
        <v>3103</v>
      </c>
      <c r="D6638">
        <v>4533</v>
      </c>
      <c r="E6638" s="125" t="e">
        <v>#N/A</v>
      </c>
      <c r="F6638" s="178" t="e">
        <v>#N/A</v>
      </c>
      <c r="G6638" s="178" t="e">
        <v>#N/A</v>
      </c>
      <c r="H6638">
        <v>36</v>
      </c>
      <c r="I6638" s="178" t="e">
        <v>#N/A</v>
      </c>
      <c r="J6638" s="320" t="s">
        <v>214</v>
      </c>
      <c r="K6638" s="178" t="s">
        <v>5494</v>
      </c>
      <c r="L6638" s="125" t="s">
        <v>1579</v>
      </c>
      <c r="M6638">
        <v>1541</v>
      </c>
      <c r="N6638" s="182">
        <v>17</v>
      </c>
      <c r="O6638">
        <v>4393</v>
      </c>
      <c r="P6638" s="176" t="s">
        <v>77</v>
      </c>
      <c r="Q6638" s="176">
        <v>400</v>
      </c>
      <c r="R6638" s="176">
        <v>64</v>
      </c>
      <c r="S6638" s="176"/>
      <c r="T6638" s="190">
        <v>0</v>
      </c>
      <c r="U6638" s="191"/>
      <c r="V6638" s="191">
        <v>464</v>
      </c>
      <c r="W6638"/>
      <c r="X6638" s="186" t="s">
        <v>195</v>
      </c>
      <c r="Y6638" s="187" t="s">
        <v>55</v>
      </c>
      <c r="Z6638" s="311">
        <v>363</v>
      </c>
      <c r="AB6638" t="str">
        <f>IF(Table1[[#This Row],[TIPO2]]="costo", VLOOKUP(Table1[[#This Row],[PARTIDA PRESUPUESTAL]],'Cost Report'!G:G,1,0),"Balance")</f>
        <v>7038-009</v>
      </c>
      <c r="AD6638" s="159">
        <f>+Table1[[#This Row],[SUBTOTAL]]+Table1[[#This Row],[IVA]]-Table1[[#This Row],[RET IVA]]-Table1[[#This Row],[RET ISR]]-Table1[[#This Row],[TOTAL]]</f>
        <v>0</v>
      </c>
      <c r="AK6638" s="306" t="str">
        <f>IF(ISNUMBER(Table1[[#This Row],[FECHA DE RECIBIDO]]), Table1[[#This Row],[FECHA DE RECIBIDO]]-DATE(2023,8,30), "")</f>
        <v/>
      </c>
    </row>
    <row r="6639" spans="1:37" ht="18" customHeight="1">
      <c r="A6639" s="172"/>
      <c r="B6639" s="178"/>
      <c r="C6639" s="179" t="s">
        <v>3102</v>
      </c>
      <c r="D6639"/>
      <c r="E6639" s="125"/>
      <c r="F6639" s="178"/>
      <c r="G6639" s="178"/>
      <c r="H6639"/>
      <c r="I6639" s="178"/>
      <c r="J6639" s="320" t="s">
        <v>214</v>
      </c>
      <c r="K6639" s="178" t="s">
        <v>5494</v>
      </c>
      <c r="L6639" s="125"/>
      <c r="M6639">
        <v>1542</v>
      </c>
      <c r="N6639" s="182"/>
      <c r="O6639">
        <v>4394</v>
      </c>
      <c r="P6639" s="176" t="s">
        <v>77</v>
      </c>
      <c r="Q6639" s="176">
        <v>116</v>
      </c>
      <c r="R6639" s="176"/>
      <c r="S6639" s="176"/>
      <c r="T6639" s="190">
        <v>0</v>
      </c>
      <c r="U6639" s="191"/>
      <c r="V6639" s="191">
        <f>+Table1[[#This Row],[SUBTOTAL]]+Table1[[#This Row],[IVA]]-Table1[[#This Row],[RET IVA]]-Table1[[#This Row],[RET ISR]]</f>
        <v>116</v>
      </c>
      <c r="W6639"/>
      <c r="X6639" s="186"/>
      <c r="Y6639" s="187"/>
      <c r="Z6639" s="311" t="s">
        <v>214</v>
      </c>
      <c r="AB6639" t="str">
        <f>IF(Table1[[#This Row],[TIPO2]]="costo", VLOOKUP(Table1[[#This Row],[PARTIDA PRESUPUESTAL]],'Cost Report'!G:G,1,0),"Balance")</f>
        <v>7038-008</v>
      </c>
      <c r="AD6639" s="159">
        <f>+Table1[[#This Row],[SUBTOTAL]]+Table1[[#This Row],[IVA]]-Table1[[#This Row],[RET IVA]]-Table1[[#This Row],[RET ISR]]-Table1[[#This Row],[TOTAL]]</f>
        <v>0</v>
      </c>
      <c r="AK6639" s="306" t="str">
        <f>IF(ISNUMBER(Table1[[#This Row],[FECHA DE RECIBIDO]]), Table1[[#This Row],[FECHA DE RECIBIDO]]-DATE(2023,8,30), "")</f>
        <v/>
      </c>
    </row>
    <row r="6640" spans="1:37" ht="18" customHeight="1">
      <c r="A6640" s="172"/>
      <c r="B6640" s="178"/>
      <c r="C6640" s="179" t="s">
        <v>3102</v>
      </c>
      <c r="D6640"/>
      <c r="E6640" s="125"/>
      <c r="F6640" s="178"/>
      <c r="G6640" s="178"/>
      <c r="H6640"/>
      <c r="I6640" s="178"/>
      <c r="J6640" s="320" t="s">
        <v>214</v>
      </c>
      <c r="K6640" s="178" t="s">
        <v>5494</v>
      </c>
      <c r="L6640" s="125" t="s">
        <v>4317</v>
      </c>
      <c r="M6640">
        <v>7</v>
      </c>
      <c r="N6640" s="182"/>
      <c r="O6640">
        <v>4296</v>
      </c>
      <c r="P6640" s="176" t="s">
        <v>77</v>
      </c>
      <c r="Q6640" s="176">
        <f>570*2</f>
        <v>1140</v>
      </c>
      <c r="R6640" s="176">
        <f>+Table1[[#This Row],[SUBTOTAL]]*0.16</f>
        <v>182.4</v>
      </c>
      <c r="S6640" s="176"/>
      <c r="T6640" s="190">
        <v>0</v>
      </c>
      <c r="U6640" s="191"/>
      <c r="V6640" s="191">
        <f>+Table1[[#This Row],[SUBTOTAL]]+Table1[[#This Row],[IVA]]-Table1[[#This Row],[RET IVA]]-Table1[[#This Row],[RET ISR]]</f>
        <v>1322.4</v>
      </c>
      <c r="W6640"/>
      <c r="X6640" s="186"/>
      <c r="Y6640" s="187"/>
      <c r="Z6640" s="311" t="s">
        <v>214</v>
      </c>
      <c r="AB6640" t="str">
        <f>IF(Table1[[#This Row],[TIPO2]]="costo", VLOOKUP(Table1[[#This Row],[PARTIDA PRESUPUESTAL]],'Cost Report'!G:G,1,0),"Balance")</f>
        <v>7038-008</v>
      </c>
      <c r="AD6640" s="159">
        <f>+Table1[[#This Row],[SUBTOTAL]]+Table1[[#This Row],[IVA]]-Table1[[#This Row],[RET IVA]]-Table1[[#This Row],[RET ISR]]-Table1[[#This Row],[TOTAL]]</f>
        <v>0</v>
      </c>
      <c r="AK6640" s="306" t="str">
        <f>IF(ISNUMBER(Table1[[#This Row],[FECHA DE RECIBIDO]]), Table1[[#This Row],[FECHA DE RECIBIDO]]-DATE(2023,8,30), "")</f>
        <v/>
      </c>
    </row>
    <row r="6641" spans="1:37" ht="18" customHeight="1">
      <c r="A6641" s="172" t="s">
        <v>5495</v>
      </c>
      <c r="B6641" s="178">
        <v>2404</v>
      </c>
      <c r="C6641" s="179" t="s">
        <v>3032</v>
      </c>
      <c r="D6641">
        <v>4534</v>
      </c>
      <c r="E6641" s="125"/>
      <c r="F6641" s="178"/>
      <c r="G6641" s="178"/>
      <c r="H6641"/>
      <c r="I6641" s="178"/>
      <c r="J6641" s="320" t="s">
        <v>214</v>
      </c>
      <c r="K6641" s="178" t="s">
        <v>5494</v>
      </c>
      <c r="L6641" s="125" t="s">
        <v>1579</v>
      </c>
      <c r="M6641">
        <v>1543</v>
      </c>
      <c r="N6641" s="182">
        <v>17</v>
      </c>
      <c r="O6641">
        <v>4395</v>
      </c>
      <c r="P6641" s="176" t="s">
        <v>77</v>
      </c>
      <c r="Q6641" s="176">
        <v>15661.93</v>
      </c>
      <c r="R6641" s="176"/>
      <c r="S6641" s="176"/>
      <c r="T6641" s="190"/>
      <c r="U6641" s="191"/>
      <c r="V6641" s="191">
        <f>+Table1[[#This Row],[SUBTOTAL]]</f>
        <v>15661.93</v>
      </c>
      <c r="W6641">
        <v>93</v>
      </c>
      <c r="X6641" s="186" t="s">
        <v>1656</v>
      </c>
      <c r="Y6641" s="187" t="s">
        <v>55</v>
      </c>
      <c r="Z6641" s="311" t="s">
        <v>214</v>
      </c>
      <c r="AB6641" t="str">
        <f>IF(Table1[[#This Row],[TIPO2]]="costo", VLOOKUP(Table1[[#This Row],[PARTIDA PRESUPUESTAL]],'Cost Report'!G:G,1,0),"Balance")</f>
        <v>5024-003</v>
      </c>
      <c r="AD6641" s="159">
        <f>+Table1[[#This Row],[SUBTOTAL]]+Table1[[#This Row],[IVA]]-Table1[[#This Row],[RET IVA]]-Table1[[#This Row],[RET ISR]]-Table1[[#This Row],[TOTAL]]</f>
        <v>0</v>
      </c>
      <c r="AK6641" s="306" t="str">
        <f>IF(ISNUMBER(Table1[[#This Row],[FECHA DE RECIBIDO]]), Table1[[#This Row],[FECHA DE RECIBIDO]]-DATE(2023,8,30), "")</f>
        <v/>
      </c>
    </row>
    <row r="6642" spans="1:37" ht="18" customHeight="1">
      <c r="A6642" s="172" t="s">
        <v>5496</v>
      </c>
      <c r="B6642" s="178">
        <v>2405</v>
      </c>
      <c r="C6642" s="179" t="s">
        <v>3415</v>
      </c>
      <c r="D6642">
        <v>4535</v>
      </c>
      <c r="E6642" s="125" t="e">
        <v>#N/A</v>
      </c>
      <c r="F6642" s="178" t="e">
        <v>#N/A</v>
      </c>
      <c r="G6642" s="178" t="e">
        <v>#N/A</v>
      </c>
      <c r="H6642">
        <v>36</v>
      </c>
      <c r="I6642" s="178" t="e">
        <v>#N/A</v>
      </c>
      <c r="J6642" s="320" t="s">
        <v>214</v>
      </c>
      <c r="K6642" s="178" t="s">
        <v>5494</v>
      </c>
      <c r="L6642" s="125" t="s">
        <v>1579</v>
      </c>
      <c r="M6642">
        <v>1544</v>
      </c>
      <c r="N6642" s="182">
        <v>17</v>
      </c>
      <c r="O6642">
        <v>4396</v>
      </c>
      <c r="P6642" s="176" t="s">
        <v>77</v>
      </c>
      <c r="Q6642" s="176">
        <v>1724.14</v>
      </c>
      <c r="R6642" s="176">
        <v>275.86</v>
      </c>
      <c r="S6642" s="176"/>
      <c r="T6642" s="190"/>
      <c r="U6642" s="191"/>
      <c r="V6642" s="191">
        <v>2000</v>
      </c>
      <c r="W6642">
        <v>93</v>
      </c>
      <c r="X6642" s="186" t="s">
        <v>1656</v>
      </c>
      <c r="Y6642" s="187" t="s">
        <v>55</v>
      </c>
      <c r="Z6642" s="311" t="s">
        <v>214</v>
      </c>
      <c r="AB6642" t="str">
        <f>IF(Table1[[#This Row],[TIPO2]]="costo", VLOOKUP(Table1[[#This Row],[PARTIDA PRESUPUESTAL]],'Cost Report'!G:G,1,0),"Balance")</f>
        <v>3629-006</v>
      </c>
      <c r="AD6642" s="159">
        <f>+Table1[[#This Row],[SUBTOTAL]]+Table1[[#This Row],[IVA]]-Table1[[#This Row],[RET IVA]]-Table1[[#This Row],[RET ISR]]-Table1[[#This Row],[TOTAL]]</f>
        <v>0</v>
      </c>
      <c r="AK6642" s="306" t="str">
        <f>IF(ISNUMBER(Table1[[#This Row],[FECHA DE RECIBIDO]]), Table1[[#This Row],[FECHA DE RECIBIDO]]-DATE(2023,8,30), "")</f>
        <v/>
      </c>
    </row>
    <row r="6643" spans="1:37" ht="18" customHeight="1">
      <c r="A6643" s="172" t="s">
        <v>5496</v>
      </c>
      <c r="B6643" s="178">
        <v>2405</v>
      </c>
      <c r="C6643" s="179" t="s">
        <v>3415</v>
      </c>
      <c r="D6643">
        <v>4536</v>
      </c>
      <c r="E6643" s="125" t="e">
        <v>#N/A</v>
      </c>
      <c r="F6643" s="178" t="e">
        <v>#N/A</v>
      </c>
      <c r="G6643" s="178" t="e">
        <v>#N/A</v>
      </c>
      <c r="H6643">
        <v>36</v>
      </c>
      <c r="I6643" s="178" t="e">
        <v>#N/A</v>
      </c>
      <c r="J6643" s="320" t="s">
        <v>214</v>
      </c>
      <c r="K6643" s="178" t="s">
        <v>5494</v>
      </c>
      <c r="L6643" s="125" t="s">
        <v>1579</v>
      </c>
      <c r="M6643">
        <v>1545</v>
      </c>
      <c r="N6643" s="182">
        <v>17</v>
      </c>
      <c r="O6643">
        <v>4397</v>
      </c>
      <c r="P6643" s="176" t="s">
        <v>77</v>
      </c>
      <c r="Q6643" s="176">
        <v>10.34</v>
      </c>
      <c r="R6643" s="176">
        <v>1.66</v>
      </c>
      <c r="S6643" s="176"/>
      <c r="T6643" s="190"/>
      <c r="U6643" s="191"/>
      <c r="V6643" s="191">
        <v>12</v>
      </c>
      <c r="W6643">
        <v>93</v>
      </c>
      <c r="X6643" s="186" t="s">
        <v>1656</v>
      </c>
      <c r="Y6643" s="187" t="s">
        <v>55</v>
      </c>
      <c r="Z6643" s="311">
        <v>344</v>
      </c>
      <c r="AB6643" t="str">
        <f>IF(Table1[[#This Row],[TIPO2]]="costo", VLOOKUP(Table1[[#This Row],[PARTIDA PRESUPUESTAL]],'Cost Report'!G:G,1,0),"Balance")</f>
        <v>3629-006</v>
      </c>
      <c r="AD6643" s="159">
        <f>+Table1[[#This Row],[SUBTOTAL]]+Table1[[#This Row],[IVA]]-Table1[[#This Row],[RET IVA]]-Table1[[#This Row],[RET ISR]]-Table1[[#This Row],[TOTAL]]</f>
        <v>0</v>
      </c>
      <c r="AK6643" s="306" t="str">
        <f>IF(ISNUMBER(Table1[[#This Row],[FECHA DE RECIBIDO]]), Table1[[#This Row],[FECHA DE RECIBIDO]]-DATE(2023,8,30), "")</f>
        <v/>
      </c>
    </row>
    <row r="6644" spans="1:37" ht="18" customHeight="1">
      <c r="A6644" s="172" t="s">
        <v>5497</v>
      </c>
      <c r="B6644" s="178">
        <v>2406</v>
      </c>
      <c r="C6644" s="179" t="s">
        <v>3415</v>
      </c>
      <c r="D6644">
        <v>4537</v>
      </c>
      <c r="E6644" s="125" t="e">
        <v>#N/A</v>
      </c>
      <c r="F6644" s="178" t="e">
        <v>#N/A</v>
      </c>
      <c r="G6644" s="178" t="e">
        <v>#N/A</v>
      </c>
      <c r="H6644">
        <v>36</v>
      </c>
      <c r="I6644" s="178" t="e">
        <v>#N/A</v>
      </c>
      <c r="J6644" s="320" t="s">
        <v>214</v>
      </c>
      <c r="K6644" s="178" t="s">
        <v>5494</v>
      </c>
      <c r="L6644" s="125" t="s">
        <v>1579</v>
      </c>
      <c r="M6644">
        <v>1546</v>
      </c>
      <c r="N6644" s="182">
        <v>17</v>
      </c>
      <c r="O6644">
        <v>4396</v>
      </c>
      <c r="P6644" s="176" t="s">
        <v>77</v>
      </c>
      <c r="Q6644" s="176">
        <v>1724.14</v>
      </c>
      <c r="R6644" s="176">
        <v>275.86</v>
      </c>
      <c r="S6644" s="176"/>
      <c r="T6644" s="190"/>
      <c r="U6644" s="191"/>
      <c r="V6644" s="191">
        <v>2000</v>
      </c>
      <c r="W6644">
        <v>93</v>
      </c>
      <c r="X6644" s="186" t="s">
        <v>1656</v>
      </c>
      <c r="Y6644" s="187" t="s">
        <v>55</v>
      </c>
      <c r="Z6644" s="311" t="s">
        <v>214</v>
      </c>
      <c r="AB6644" t="str">
        <f>IF(Table1[[#This Row],[TIPO2]]="costo", VLOOKUP(Table1[[#This Row],[PARTIDA PRESUPUESTAL]],'Cost Report'!G:G,1,0),"Balance")</f>
        <v>3629-006</v>
      </c>
      <c r="AD6644" s="159">
        <f>+Table1[[#This Row],[SUBTOTAL]]+Table1[[#This Row],[IVA]]-Table1[[#This Row],[RET IVA]]-Table1[[#This Row],[RET ISR]]-Table1[[#This Row],[TOTAL]]</f>
        <v>0</v>
      </c>
      <c r="AK6644" s="306" t="str">
        <f>IF(ISNUMBER(Table1[[#This Row],[FECHA DE RECIBIDO]]), Table1[[#This Row],[FECHA DE RECIBIDO]]-DATE(2023,8,30), "")</f>
        <v/>
      </c>
    </row>
    <row r="6645" spans="1:37" ht="18" customHeight="1">
      <c r="A6645" s="172" t="s">
        <v>5497</v>
      </c>
      <c r="B6645" s="178">
        <v>2406</v>
      </c>
      <c r="C6645" s="179" t="s">
        <v>3415</v>
      </c>
      <c r="D6645">
        <v>689</v>
      </c>
      <c r="E6645" s="125"/>
      <c r="F6645" s="178"/>
      <c r="G6645" s="178"/>
      <c r="H6645"/>
      <c r="I6645" s="178"/>
      <c r="J6645" s="320" t="s">
        <v>214</v>
      </c>
      <c r="K6645" s="178" t="s">
        <v>5494</v>
      </c>
      <c r="L6645" s="125" t="s">
        <v>1579</v>
      </c>
      <c r="M6645">
        <v>1547</v>
      </c>
      <c r="N6645" s="182">
        <v>17</v>
      </c>
      <c r="O6645">
        <v>1387</v>
      </c>
      <c r="P6645" s="176" t="s">
        <v>77</v>
      </c>
      <c r="Q6645" s="176">
        <v>34.799999999999997</v>
      </c>
      <c r="R6645" s="176"/>
      <c r="S6645" s="176"/>
      <c r="T6645" s="190"/>
      <c r="U6645" s="191"/>
      <c r="V6645" s="191">
        <v>34.799999999999997</v>
      </c>
      <c r="W6645">
        <v>93</v>
      </c>
      <c r="X6645" s="186" t="s">
        <v>1656</v>
      </c>
      <c r="Y6645" s="187" t="s">
        <v>55</v>
      </c>
      <c r="Z6645" s="311" t="s">
        <v>214</v>
      </c>
      <c r="AB6645" t="str">
        <f>IF(Table1[[#This Row],[TIPO2]]="costo", VLOOKUP(Table1[[#This Row],[PARTIDA PRESUPUESTAL]],'Cost Report'!G:G,1,0),"Balance")</f>
        <v>3629-006</v>
      </c>
      <c r="AD6645" s="159">
        <f>+Table1[[#This Row],[SUBTOTAL]]+Table1[[#This Row],[IVA]]-Table1[[#This Row],[RET IVA]]-Table1[[#This Row],[RET ISR]]-Table1[[#This Row],[TOTAL]]</f>
        <v>0</v>
      </c>
      <c r="AK6645" s="306" t="str">
        <f>IF(ISNUMBER(Table1[[#This Row],[FECHA DE RECIBIDO]]), Table1[[#This Row],[FECHA DE RECIBIDO]]-DATE(2023,8,30), "")</f>
        <v/>
      </c>
    </row>
    <row r="6646" spans="1:37" ht="18" customHeight="1">
      <c r="A6646" s="172" t="s">
        <v>5497</v>
      </c>
      <c r="B6646" s="178">
        <v>2406</v>
      </c>
      <c r="C6646" s="179" t="s">
        <v>3415</v>
      </c>
      <c r="D6646">
        <v>689</v>
      </c>
      <c r="E6646" s="125"/>
      <c r="F6646" s="178"/>
      <c r="G6646" s="178"/>
      <c r="H6646"/>
      <c r="I6646" s="178"/>
      <c r="J6646" s="320" t="s">
        <v>214</v>
      </c>
      <c r="K6646" s="178" t="s">
        <v>5494</v>
      </c>
      <c r="L6646" s="125" t="s">
        <v>1579</v>
      </c>
      <c r="M6646">
        <v>40</v>
      </c>
      <c r="N6646" s="182">
        <v>17</v>
      </c>
      <c r="O6646">
        <v>4397</v>
      </c>
      <c r="P6646" s="176" t="s">
        <v>77</v>
      </c>
      <c r="Q6646" s="176">
        <v>17</v>
      </c>
      <c r="R6646" s="176"/>
      <c r="S6646" s="176"/>
      <c r="T6646" s="190"/>
      <c r="U6646" s="191"/>
      <c r="V6646" s="191">
        <v>17</v>
      </c>
      <c r="W6646">
        <v>93</v>
      </c>
      <c r="X6646" s="186" t="s">
        <v>1656</v>
      </c>
      <c r="Y6646" s="187" t="s">
        <v>55</v>
      </c>
      <c r="Z6646" s="311" t="s">
        <v>214</v>
      </c>
      <c r="AB6646" t="str">
        <f>IF(Table1[[#This Row],[TIPO2]]="costo", VLOOKUP(Table1[[#This Row],[PARTIDA PRESUPUESTAL]],'Cost Report'!G:G,1,0),"Balance")</f>
        <v>3629-006</v>
      </c>
      <c r="AD6646" s="159">
        <f>+Table1[[#This Row],[SUBTOTAL]]+Table1[[#This Row],[IVA]]-Table1[[#This Row],[RET IVA]]-Table1[[#This Row],[RET ISR]]-Table1[[#This Row],[TOTAL]]</f>
        <v>0</v>
      </c>
      <c r="AK6646" s="306" t="str">
        <f>IF(ISNUMBER(Table1[[#This Row],[FECHA DE RECIBIDO]]), Table1[[#This Row],[FECHA DE RECIBIDO]]-DATE(2023,8,30), "")</f>
        <v/>
      </c>
    </row>
    <row r="6647" spans="1:37" ht="18" customHeight="1">
      <c r="A6647" s="172" t="s">
        <v>5497</v>
      </c>
      <c r="B6647" s="178">
        <v>2406</v>
      </c>
      <c r="C6647" s="179" t="s">
        <v>3415</v>
      </c>
      <c r="D6647">
        <v>689</v>
      </c>
      <c r="E6647" s="125"/>
      <c r="F6647" s="178"/>
      <c r="G6647" s="178"/>
      <c r="H6647"/>
      <c r="I6647" s="178"/>
      <c r="J6647" s="320" t="s">
        <v>214</v>
      </c>
      <c r="K6647" s="178" t="s">
        <v>5494</v>
      </c>
      <c r="L6647" s="125" t="s">
        <v>1579</v>
      </c>
      <c r="M6647">
        <v>1548</v>
      </c>
      <c r="N6647" s="182">
        <v>17</v>
      </c>
      <c r="O6647">
        <v>4398</v>
      </c>
      <c r="P6647" s="176" t="s">
        <v>77</v>
      </c>
      <c r="Q6647" s="176">
        <v>362.96</v>
      </c>
      <c r="R6647" s="176"/>
      <c r="S6647" s="176"/>
      <c r="T6647" s="190"/>
      <c r="U6647" s="191"/>
      <c r="V6647" s="191">
        <v>362.96</v>
      </c>
      <c r="W6647">
        <v>93</v>
      </c>
      <c r="X6647" s="186" t="s">
        <v>1656</v>
      </c>
      <c r="Y6647" s="187" t="s">
        <v>55</v>
      </c>
      <c r="Z6647" s="311">
        <v>162</v>
      </c>
      <c r="AB6647" t="str">
        <f>IF(Table1[[#This Row],[TIPO2]]="costo", VLOOKUP(Table1[[#This Row],[PARTIDA PRESUPUESTAL]],'Cost Report'!G:G,1,0),"Balance")</f>
        <v>3629-006</v>
      </c>
      <c r="AD6647" s="159">
        <f>+Table1[[#This Row],[SUBTOTAL]]+Table1[[#This Row],[IVA]]-Table1[[#This Row],[RET IVA]]-Table1[[#This Row],[RET ISR]]-Table1[[#This Row],[TOTAL]]</f>
        <v>0</v>
      </c>
      <c r="AK6647" s="306" t="str">
        <f>IF(ISNUMBER(Table1[[#This Row],[FECHA DE RECIBIDO]]), Table1[[#This Row],[FECHA DE RECIBIDO]]-DATE(2023,8,30), "")</f>
        <v/>
      </c>
    </row>
    <row r="6648" spans="1:37" ht="18" customHeight="1">
      <c r="A6648" s="172" t="s">
        <v>4623</v>
      </c>
      <c r="B6648" s="178">
        <v>1606</v>
      </c>
      <c r="C6648" s="179" t="s">
        <v>71</v>
      </c>
      <c r="D6648"/>
      <c r="E6648" s="125"/>
      <c r="F6648" s="178"/>
      <c r="G6648" s="178"/>
      <c r="H6648"/>
      <c r="I6648" s="178"/>
      <c r="J6648" s="320" t="s">
        <v>214</v>
      </c>
      <c r="K6648" s="178" t="s">
        <v>5494</v>
      </c>
      <c r="L6648" s="125" t="s">
        <v>1643</v>
      </c>
      <c r="M6648">
        <v>1549</v>
      </c>
      <c r="N6648" s="182"/>
      <c r="O6648">
        <v>4399</v>
      </c>
      <c r="P6648" s="203" t="s">
        <v>5457</v>
      </c>
      <c r="Q6648" s="176">
        <v>-20088.689999999999</v>
      </c>
      <c r="R6648" s="176"/>
      <c r="S6648" s="176"/>
      <c r="T6648" s="190">
        <v>0</v>
      </c>
      <c r="U6648" s="191"/>
      <c r="V6648" s="191">
        <f>+Q6648</f>
        <v>-20088.689999999999</v>
      </c>
      <c r="W6648"/>
      <c r="X6648" s="186"/>
      <c r="Y6648" s="187"/>
      <c r="Z6648" s="311" t="s">
        <v>214</v>
      </c>
      <c r="AB6648" t="str">
        <f>IF(Table1[[#This Row],[TIPO2]]="costo", VLOOKUP(Table1[[#This Row],[PARTIDA PRESUPUESTAL]],'Cost Report'!G:G,1,0),"Balance")</f>
        <v>Balance</v>
      </c>
      <c r="AD6648" s="159">
        <f>+Table1[[#This Row],[SUBTOTAL]]+Table1[[#This Row],[IVA]]-Table1[[#This Row],[RET IVA]]-Table1[[#This Row],[RET ISR]]-Table1[[#This Row],[TOTAL]]</f>
        <v>0</v>
      </c>
      <c r="AK6648" s="306" t="str">
        <f>IF(ISNUMBER(Table1[[#This Row],[FECHA DE RECIBIDO]]), Table1[[#This Row],[FECHA DE RECIBIDO]]-DATE(2023,8,30), "")</f>
        <v/>
      </c>
    </row>
    <row r="6649" spans="1:37" ht="18" customHeight="1">
      <c r="A6649" s="196" t="s">
        <v>5498</v>
      </c>
      <c r="B6649" s="200">
        <v>2391</v>
      </c>
      <c r="C6649" s="179" t="s">
        <v>5501</v>
      </c>
      <c r="D6649"/>
      <c r="E6649" s="125" t="s">
        <v>1911</v>
      </c>
      <c r="F6649" s="178" t="s">
        <v>1911</v>
      </c>
      <c r="G6649" s="178" t="s">
        <v>1911</v>
      </c>
      <c r="H6649"/>
      <c r="I6649" s="178" t="s">
        <v>1911</v>
      </c>
      <c r="J6649" s="320" t="s">
        <v>214</v>
      </c>
      <c r="K6649" s="178" t="s">
        <v>5499</v>
      </c>
      <c r="L6649" s="125" t="s">
        <v>3306</v>
      </c>
      <c r="M6649">
        <v>1550</v>
      </c>
      <c r="N6649" s="182">
        <v>1</v>
      </c>
      <c r="O6649">
        <v>4400</v>
      </c>
      <c r="P6649" s="176" t="s">
        <v>77</v>
      </c>
      <c r="Q6649" s="176">
        <v>6390</v>
      </c>
      <c r="R6649" s="176"/>
      <c r="S6649" s="176"/>
      <c r="T6649" s="190">
        <v>0</v>
      </c>
      <c r="U6649" s="191">
        <v>0</v>
      </c>
      <c r="V6649" s="191">
        <f t="shared" ref="V6649" si="72">+Q6649+R6649-T6649-U6649</f>
        <v>6390</v>
      </c>
      <c r="W6649">
        <v>538</v>
      </c>
      <c r="X6649" s="186" t="s">
        <v>5500</v>
      </c>
      <c r="Y6649" s="187" t="s">
        <v>55</v>
      </c>
      <c r="Z6649" s="311">
        <v>338</v>
      </c>
      <c r="AB6649" t="str">
        <f>IF(Table1[[#This Row],[TIPO2]]="costo", VLOOKUP(Table1[[#This Row],[PARTIDA PRESUPUESTAL]],'Cost Report'!G:G,1,0),"Balance")</f>
        <v>5221-001</v>
      </c>
      <c r="AD6649" s="159">
        <f>+Table1[[#This Row],[SUBTOTAL]]+Table1[[#This Row],[IVA]]-Table1[[#This Row],[RET IVA]]-Table1[[#This Row],[RET ISR]]-Table1[[#This Row],[TOTAL]]</f>
        <v>0</v>
      </c>
      <c r="AK6649" s="306" t="str">
        <f>IF(ISNUMBER(Table1[[#This Row],[FECHA DE RECIBIDO]]), Table1[[#This Row],[FECHA DE RECIBIDO]]-DATE(2023,8,30), "")</f>
        <v/>
      </c>
    </row>
    <row r="6650" spans="1:37" ht="18" customHeight="1">
      <c r="A6650" s="172" t="s">
        <v>5503</v>
      </c>
      <c r="B6650" s="178">
        <v>2407</v>
      </c>
      <c r="C6650" s="179" t="s">
        <v>3011</v>
      </c>
      <c r="D6650">
        <v>4538</v>
      </c>
      <c r="E6650" s="125" t="s">
        <v>2018</v>
      </c>
      <c r="F6650" s="178">
        <v>626</v>
      </c>
      <c r="G6650" s="178" t="s">
        <v>109</v>
      </c>
      <c r="H6650">
        <v>116</v>
      </c>
      <c r="I6650" s="178" t="s">
        <v>1546</v>
      </c>
      <c r="J6650" s="320">
        <v>363.69750000000204</v>
      </c>
      <c r="K6650" s="178" t="s">
        <v>5504</v>
      </c>
      <c r="L6650" s="125" t="s">
        <v>110</v>
      </c>
      <c r="M6650">
        <v>154</v>
      </c>
      <c r="N6650" s="182">
        <v>46</v>
      </c>
      <c r="O6650">
        <v>4401</v>
      </c>
      <c r="P6650" s="176" t="s">
        <v>77</v>
      </c>
      <c r="Q6650" s="176">
        <v>44000</v>
      </c>
      <c r="R6650" s="176">
        <v>7040</v>
      </c>
      <c r="S6650" s="176">
        <v>0</v>
      </c>
      <c r="T6650" s="190">
        <v>4693.34</v>
      </c>
      <c r="U6650" s="191">
        <v>550</v>
      </c>
      <c r="V6650" s="191">
        <v>45796.66</v>
      </c>
      <c r="W6650">
        <v>78</v>
      </c>
      <c r="X6650" s="186" t="s">
        <v>1430</v>
      </c>
      <c r="Y6650" s="187" t="s">
        <v>55</v>
      </c>
      <c r="Z6650" s="311">
        <v>366</v>
      </c>
      <c r="AB6650" t="str">
        <f>IF(Table1[[#This Row],[TIPO2]]="costo", VLOOKUP(Table1[[#This Row],[PARTIDA PRESUPUESTAL]],'Cost Report'!G:G,1,0),"Balance")</f>
        <v>5009-005</v>
      </c>
      <c r="AD6650" s="159">
        <f>+Table1[[#This Row],[SUBTOTAL]]+Table1[[#This Row],[IVA]]-Table1[[#This Row],[RET IVA]]-Table1[[#This Row],[RET ISR]]-Table1[[#This Row],[TOTAL]]</f>
        <v>0</v>
      </c>
      <c r="AK6650" s="306">
        <f>IF(ISNUMBER(Table1[[#This Row],[FECHA DE RECIBIDO]]), Table1[[#This Row],[FECHA DE RECIBIDO]]-DATE(2023,8,30), "")</f>
        <v>-44804.302499999998</v>
      </c>
    </row>
    <row r="6651" spans="1:37" ht="18" customHeight="1">
      <c r="A6651" s="172" t="s">
        <v>5505</v>
      </c>
      <c r="B6651" s="178">
        <v>2408</v>
      </c>
      <c r="C6651" s="179" t="s">
        <v>1792</v>
      </c>
      <c r="D6651">
        <v>4539</v>
      </c>
      <c r="E6651" s="125" t="s">
        <v>2001</v>
      </c>
      <c r="F6651" s="178">
        <v>601</v>
      </c>
      <c r="G6651" s="178" t="s">
        <v>134</v>
      </c>
      <c r="H6651">
        <v>23</v>
      </c>
      <c r="I6651" s="178" t="s">
        <v>1546</v>
      </c>
      <c r="J6651" s="320">
        <v>363.47064814814803</v>
      </c>
      <c r="K6651" s="178" t="s">
        <v>5506</v>
      </c>
      <c r="L6651" s="125" t="s">
        <v>3306</v>
      </c>
      <c r="M6651">
        <v>1539</v>
      </c>
      <c r="N6651" s="182">
        <v>1</v>
      </c>
      <c r="O6651">
        <v>4402</v>
      </c>
      <c r="P6651" s="176" t="s">
        <v>77</v>
      </c>
      <c r="Q6651" s="176">
        <v>13480</v>
      </c>
      <c r="R6651" s="176">
        <v>2156.8000000000002</v>
      </c>
      <c r="S6651" s="176">
        <v>0</v>
      </c>
      <c r="T6651" s="190">
        <v>0</v>
      </c>
      <c r="U6651" s="191">
        <v>0</v>
      </c>
      <c r="V6651" s="191">
        <v>15636.8</v>
      </c>
      <c r="W6651">
        <v>532</v>
      </c>
      <c r="X6651" s="186" t="s">
        <v>105</v>
      </c>
      <c r="Y6651" s="187" t="s">
        <v>55</v>
      </c>
      <c r="Z6651" s="311">
        <v>366</v>
      </c>
      <c r="AB6651" t="str">
        <f>IF(Table1[[#This Row],[TIPO2]]="costo", VLOOKUP(Table1[[#This Row],[PARTIDA PRESUPUESTAL]],'Cost Report'!G:G,1,0),"Balance")</f>
        <v>1287-007</v>
      </c>
      <c r="AD6651" s="159">
        <f>+Table1[[#This Row],[SUBTOTAL]]+Table1[[#This Row],[IVA]]-Table1[[#This Row],[RET IVA]]-Table1[[#This Row],[RET ISR]]-Table1[[#This Row],[TOTAL]]</f>
        <v>0</v>
      </c>
      <c r="AK6651" s="306">
        <f>IF(ISNUMBER(Table1[[#This Row],[FECHA DE RECIBIDO]]), Table1[[#This Row],[FECHA DE RECIBIDO]]-DATE(2023,8,30), "")</f>
        <v>-44804.529351851852</v>
      </c>
    </row>
    <row r="6652" spans="1:37" ht="18" customHeight="1">
      <c r="A6652" s="172" t="s">
        <v>5507</v>
      </c>
      <c r="B6652" s="178">
        <v>2409</v>
      </c>
      <c r="C6652" s="179" t="s">
        <v>3066</v>
      </c>
      <c r="D6652">
        <v>4540</v>
      </c>
      <c r="E6652" s="125" t="s">
        <v>1595</v>
      </c>
      <c r="F6652" s="178">
        <v>601</v>
      </c>
      <c r="G6652" s="178" t="s">
        <v>134</v>
      </c>
      <c r="H6652">
        <v>1103</v>
      </c>
      <c r="I6652" s="178" t="s">
        <v>1546</v>
      </c>
      <c r="J6652" s="320">
        <v>349.73004629629577</v>
      </c>
      <c r="K6652" s="178" t="s">
        <v>5506</v>
      </c>
      <c r="L6652" s="125" t="s">
        <v>3306</v>
      </c>
      <c r="M6652">
        <v>1551</v>
      </c>
      <c r="N6652" s="182">
        <v>1</v>
      </c>
      <c r="O6652">
        <v>4403</v>
      </c>
      <c r="P6652" s="176" t="s">
        <v>77</v>
      </c>
      <c r="Q6652" s="176">
        <v>4800</v>
      </c>
      <c r="R6652" s="176">
        <v>768</v>
      </c>
      <c r="S6652" s="176">
        <v>0</v>
      </c>
      <c r="T6652" s="190">
        <v>0</v>
      </c>
      <c r="U6652" s="191">
        <v>0</v>
      </c>
      <c r="V6652" s="191">
        <v>5568</v>
      </c>
      <c r="W6652">
        <v>539</v>
      </c>
      <c r="X6652" s="186" t="s">
        <v>2035</v>
      </c>
      <c r="Y6652" s="187" t="s">
        <v>55</v>
      </c>
      <c r="Z6652" s="311">
        <v>366</v>
      </c>
      <c r="AB6652" t="str">
        <f>IF(Table1[[#This Row],[TIPO2]]="costo", VLOOKUP(Table1[[#This Row],[PARTIDA PRESUPUESTAL]],'Cost Report'!G:G,1,0),"Balance")</f>
        <v>6004-005</v>
      </c>
      <c r="AD6652" s="159">
        <f>+Table1[[#This Row],[SUBTOTAL]]+Table1[[#This Row],[IVA]]-Table1[[#This Row],[RET IVA]]-Table1[[#This Row],[RET ISR]]-Table1[[#This Row],[TOTAL]]</f>
        <v>0</v>
      </c>
      <c r="AK6652" s="306">
        <f>IF(ISNUMBER(Table1[[#This Row],[FECHA DE RECIBIDO]]), Table1[[#This Row],[FECHA DE RECIBIDO]]-DATE(2023,8,30), "")</f>
        <v>-44818.269953703704</v>
      </c>
    </row>
    <row r="6653" spans="1:37" ht="18" customHeight="1">
      <c r="A6653" s="172" t="s">
        <v>5508</v>
      </c>
      <c r="B6653" s="178">
        <v>2410</v>
      </c>
      <c r="C6653" s="179" t="s">
        <v>1392</v>
      </c>
      <c r="D6653">
        <v>4541</v>
      </c>
      <c r="E6653" s="125" t="s">
        <v>190</v>
      </c>
      <c r="F6653" s="178">
        <v>601</v>
      </c>
      <c r="G6653" s="178" t="s">
        <v>134</v>
      </c>
      <c r="H6653">
        <v>14</v>
      </c>
      <c r="I6653" s="178" t="s">
        <v>1546</v>
      </c>
      <c r="J6653" s="320">
        <v>362.68865740740875</v>
      </c>
      <c r="K6653" s="178" t="s">
        <v>5506</v>
      </c>
      <c r="L6653" s="125" t="s">
        <v>3306</v>
      </c>
      <c r="M6653">
        <v>1552</v>
      </c>
      <c r="N6653" s="182">
        <v>1</v>
      </c>
      <c r="O6653">
        <v>4404</v>
      </c>
      <c r="P6653" s="176" t="s">
        <v>77</v>
      </c>
      <c r="Q6653" s="176">
        <v>95000</v>
      </c>
      <c r="R6653" s="176">
        <v>15200</v>
      </c>
      <c r="S6653" s="176">
        <v>0</v>
      </c>
      <c r="T6653" s="190">
        <v>0</v>
      </c>
      <c r="U6653" s="191">
        <v>0</v>
      </c>
      <c r="V6653" s="191">
        <v>110200</v>
      </c>
      <c r="W6653">
        <v>14</v>
      </c>
      <c r="X6653" s="186" t="s">
        <v>2035</v>
      </c>
      <c r="Y6653" s="187" t="s">
        <v>55</v>
      </c>
      <c r="Z6653" s="311">
        <v>366</v>
      </c>
      <c r="AB6653" t="str">
        <f>IF(Table1[[#This Row],[TIPO2]]="costo", VLOOKUP(Table1[[#This Row],[PARTIDA PRESUPUESTAL]],'Cost Report'!G:G,1,0),"Balance")</f>
        <v>7007-003</v>
      </c>
      <c r="AD6653" s="159">
        <f>+Table1[[#This Row],[SUBTOTAL]]+Table1[[#This Row],[IVA]]-Table1[[#This Row],[RET IVA]]-Table1[[#This Row],[RET ISR]]-Table1[[#This Row],[TOTAL]]</f>
        <v>0</v>
      </c>
      <c r="AK6653" s="306">
        <f>IF(ISNUMBER(Table1[[#This Row],[FECHA DE RECIBIDO]]), Table1[[#This Row],[FECHA DE RECIBIDO]]-DATE(2023,8,30), "")</f>
        <v>-44805.311342592591</v>
      </c>
    </row>
    <row r="6654" spans="1:37" ht="18" customHeight="1">
      <c r="A6654" s="172"/>
      <c r="B6654" s="178"/>
      <c r="C6654" s="179" t="s">
        <v>1393</v>
      </c>
      <c r="D6654">
        <v>4541</v>
      </c>
      <c r="E6654" s="125" t="s">
        <v>190</v>
      </c>
      <c r="F6654" s="178">
        <v>601</v>
      </c>
      <c r="G6654" s="178" t="s">
        <v>134</v>
      </c>
      <c r="H6654">
        <v>14</v>
      </c>
      <c r="I6654" s="178" t="s">
        <v>1546</v>
      </c>
      <c r="J6654" s="320">
        <v>362.68865740740875</v>
      </c>
      <c r="K6654" s="178" t="s">
        <v>5506</v>
      </c>
      <c r="L6654" s="125" t="s">
        <v>3306</v>
      </c>
      <c r="M6654">
        <v>1552</v>
      </c>
      <c r="N6654" s="182">
        <v>1</v>
      </c>
      <c r="O6654">
        <v>4404</v>
      </c>
      <c r="P6654" s="176" t="s">
        <v>77</v>
      </c>
      <c r="Q6654" s="176">
        <v>677500</v>
      </c>
      <c r="R6654" s="176">
        <v>108400</v>
      </c>
      <c r="S6654" s="176">
        <v>0</v>
      </c>
      <c r="T6654" s="190">
        <v>0</v>
      </c>
      <c r="U6654" s="191">
        <v>0</v>
      </c>
      <c r="V6654" s="191">
        <v>785900</v>
      </c>
      <c r="W6654">
        <v>14</v>
      </c>
      <c r="X6654" s="186" t="s">
        <v>2035</v>
      </c>
      <c r="Y6654" s="187" t="s">
        <v>55</v>
      </c>
      <c r="Z6654" s="311">
        <v>366</v>
      </c>
      <c r="AB6654" t="str">
        <f>IF(Table1[[#This Row],[TIPO2]]="costo", VLOOKUP(Table1[[#This Row],[PARTIDA PRESUPUESTAL]],'Cost Report'!G:G,1,0),"Balance")</f>
        <v>7007-004</v>
      </c>
      <c r="AD6654" s="159">
        <f>+Table1[[#This Row],[SUBTOTAL]]+Table1[[#This Row],[IVA]]-Table1[[#This Row],[RET IVA]]-Table1[[#This Row],[RET ISR]]-Table1[[#This Row],[TOTAL]]</f>
        <v>0</v>
      </c>
      <c r="AK6654" s="306">
        <f>IF(ISNUMBER(Table1[[#This Row],[FECHA DE RECIBIDO]]), Table1[[#This Row],[FECHA DE RECIBIDO]]-DATE(2023,8,30), "")</f>
        <v>-44805.311342592591</v>
      </c>
    </row>
    <row r="6655" spans="1:37" ht="18" customHeight="1">
      <c r="A6655" s="172"/>
      <c r="B6655" s="178"/>
      <c r="C6655" s="179" t="s">
        <v>1885</v>
      </c>
      <c r="D6655">
        <v>4541</v>
      </c>
      <c r="E6655" s="125" t="s">
        <v>190</v>
      </c>
      <c r="F6655" s="178">
        <v>601</v>
      </c>
      <c r="G6655" s="178" t="s">
        <v>134</v>
      </c>
      <c r="H6655">
        <v>14</v>
      </c>
      <c r="I6655" s="178" t="s">
        <v>1546</v>
      </c>
      <c r="J6655" s="320">
        <v>362.68865740740875</v>
      </c>
      <c r="K6655" s="178" t="s">
        <v>5506</v>
      </c>
      <c r="L6655" s="125" t="s">
        <v>3306</v>
      </c>
      <c r="M6655">
        <v>1552</v>
      </c>
      <c r="N6655" s="182">
        <v>1</v>
      </c>
      <c r="O6655">
        <v>4404</v>
      </c>
      <c r="P6655" s="176" t="s">
        <v>77</v>
      </c>
      <c r="Q6655" s="176">
        <v>67500</v>
      </c>
      <c r="R6655" s="176">
        <v>10800</v>
      </c>
      <c r="S6655" s="176">
        <v>0</v>
      </c>
      <c r="T6655" s="190">
        <v>0</v>
      </c>
      <c r="U6655" s="191">
        <v>0</v>
      </c>
      <c r="V6655" s="191">
        <v>78300</v>
      </c>
      <c r="W6655">
        <v>14</v>
      </c>
      <c r="X6655" s="186" t="s">
        <v>2035</v>
      </c>
      <c r="Y6655" s="187" t="s">
        <v>55</v>
      </c>
      <c r="Z6655" s="311">
        <v>366</v>
      </c>
      <c r="AB6655" t="str">
        <f>IF(Table1[[#This Row],[TIPO2]]="costo", VLOOKUP(Table1[[#This Row],[PARTIDA PRESUPUESTAL]],'Cost Report'!G:G,1,0),"Balance")</f>
        <v>7007-005</v>
      </c>
      <c r="AD6655" s="159">
        <f>+Table1[[#This Row],[SUBTOTAL]]+Table1[[#This Row],[IVA]]-Table1[[#This Row],[RET IVA]]-Table1[[#This Row],[RET ISR]]-Table1[[#This Row],[TOTAL]]</f>
        <v>0</v>
      </c>
      <c r="AK6655" s="306">
        <f>IF(ISNUMBER(Table1[[#This Row],[FECHA DE RECIBIDO]]), Table1[[#This Row],[FECHA DE RECIBIDO]]-DATE(2023,8,30), "")</f>
        <v>-44805.311342592591</v>
      </c>
    </row>
    <row r="6656" spans="1:37" ht="18" customHeight="1">
      <c r="A6656" s="172" t="s">
        <v>5509</v>
      </c>
      <c r="B6656" s="178">
        <v>2411</v>
      </c>
      <c r="C6656" s="179" t="s">
        <v>2851</v>
      </c>
      <c r="D6656">
        <v>4542</v>
      </c>
      <c r="E6656" s="125">
        <v>44890</v>
      </c>
      <c r="F6656" s="178">
        <v>612</v>
      </c>
      <c r="G6656" s="178" t="s">
        <v>129</v>
      </c>
      <c r="H6656">
        <v>8</v>
      </c>
      <c r="I6656" s="178" t="s">
        <v>1546</v>
      </c>
      <c r="J6656" s="320">
        <v>352.3618055555562</v>
      </c>
      <c r="K6656" s="178" t="s">
        <v>5506</v>
      </c>
      <c r="L6656" s="125" t="s">
        <v>3306</v>
      </c>
      <c r="M6656">
        <v>11</v>
      </c>
      <c r="N6656" s="182">
        <v>1</v>
      </c>
      <c r="O6656">
        <v>3303</v>
      </c>
      <c r="P6656" s="176" t="s">
        <v>77</v>
      </c>
      <c r="Q6656" s="176">
        <v>17785.03</v>
      </c>
      <c r="R6656" s="176">
        <v>2845.6048000000001</v>
      </c>
      <c r="S6656" s="176">
        <v>0</v>
      </c>
      <c r="T6656" s="190">
        <v>1897.0857950099999</v>
      </c>
      <c r="U6656" s="191">
        <v>1778.5029999999999</v>
      </c>
      <c r="V6656" s="191">
        <v>16955.046004989999</v>
      </c>
      <c r="W6656">
        <v>6</v>
      </c>
      <c r="X6656" s="186" t="s">
        <v>195</v>
      </c>
      <c r="Y6656" s="187" t="s">
        <v>55</v>
      </c>
      <c r="Z6656" s="311">
        <v>366</v>
      </c>
      <c r="AB6656" t="str">
        <f>IF(Table1[[#This Row],[TIPO2]]="costo", VLOOKUP(Table1[[#This Row],[PARTIDA PRESUPUESTAL]],'Cost Report'!G:G,1,0),"Balance")</f>
        <v>3485-003</v>
      </c>
      <c r="AD6656" s="159">
        <f>+Table1[[#This Row],[SUBTOTAL]]+Table1[[#This Row],[IVA]]-Table1[[#This Row],[RET IVA]]-Table1[[#This Row],[RET ISR]]-Table1[[#This Row],[TOTAL]]</f>
        <v>0</v>
      </c>
      <c r="AK6656" s="306">
        <f>IF(ISNUMBER(Table1[[#This Row],[FECHA DE RECIBIDO]]), Table1[[#This Row],[FECHA DE RECIBIDO]]-DATE(2023,8,30), "")</f>
        <v>-44815.638194444444</v>
      </c>
    </row>
    <row r="6657" spans="1:37" ht="18" customHeight="1">
      <c r="A6657" s="172" t="s">
        <v>5510</v>
      </c>
      <c r="B6657" s="178">
        <v>2412</v>
      </c>
      <c r="C6657" s="179" t="s">
        <v>2143</v>
      </c>
      <c r="D6657">
        <v>4543</v>
      </c>
      <c r="E6657" s="125" t="s">
        <v>1592</v>
      </c>
      <c r="F6657" s="178">
        <v>626</v>
      </c>
      <c r="G6657" s="178" t="s">
        <v>109</v>
      </c>
      <c r="H6657">
        <v>18</v>
      </c>
      <c r="I6657" s="178" t="s">
        <v>1546</v>
      </c>
      <c r="J6657" s="320">
        <v>369.67659722222015</v>
      </c>
      <c r="K6657" s="178" t="s">
        <v>5513</v>
      </c>
      <c r="L6657" s="125" t="s">
        <v>110</v>
      </c>
      <c r="M6657">
        <v>23</v>
      </c>
      <c r="N6657" s="182">
        <v>4</v>
      </c>
      <c r="O6657">
        <v>4405</v>
      </c>
      <c r="P6657" s="176" t="s">
        <v>77</v>
      </c>
      <c r="Q6657" s="176">
        <v>40000</v>
      </c>
      <c r="R6657" s="176">
        <v>6400</v>
      </c>
      <c r="S6657" s="176">
        <v>0</v>
      </c>
      <c r="T6657" s="190">
        <v>4266.68</v>
      </c>
      <c r="U6657" s="191">
        <v>500</v>
      </c>
      <c r="V6657" s="191">
        <v>41633.32</v>
      </c>
      <c r="W6657">
        <v>18</v>
      </c>
      <c r="X6657" s="186" t="s">
        <v>1429</v>
      </c>
      <c r="Y6657" s="187" t="s">
        <v>55</v>
      </c>
      <c r="Z6657" s="311">
        <v>373</v>
      </c>
      <c r="AB6657" t="str">
        <f>IF(Table1[[#This Row],[TIPO2]]="costo", VLOOKUP(Table1[[#This Row],[PARTIDA PRESUPUESTAL]],'Cost Report'!G:G,1,0),"Balance")</f>
        <v>1222-009</v>
      </c>
      <c r="AD6657" s="159">
        <f>+Table1[[#This Row],[SUBTOTAL]]+Table1[[#This Row],[IVA]]-Table1[[#This Row],[RET IVA]]-Table1[[#This Row],[RET ISR]]-Table1[[#This Row],[TOTAL]]</f>
        <v>0</v>
      </c>
      <c r="AK6657" s="306">
        <f>IF(ISNUMBER(Table1[[#This Row],[FECHA DE RECIBIDO]]), Table1[[#This Row],[FECHA DE RECIBIDO]]-DATE(2023,8,30), "")</f>
        <v>-44798.32340277778</v>
      </c>
    </row>
    <row r="6658" spans="1:37" ht="18" customHeight="1">
      <c r="A6658" s="172" t="s">
        <v>5511</v>
      </c>
      <c r="B6658" s="178">
        <v>2413</v>
      </c>
      <c r="C6658" s="179" t="s">
        <v>3012</v>
      </c>
      <c r="D6658">
        <v>4544</v>
      </c>
      <c r="E6658" s="125" t="s">
        <v>3220</v>
      </c>
      <c r="F6658" s="178">
        <v>612</v>
      </c>
      <c r="G6658" s="178" t="s">
        <v>129</v>
      </c>
      <c r="H6658">
        <v>207</v>
      </c>
      <c r="I6658" s="178" t="s">
        <v>1546</v>
      </c>
      <c r="J6658" s="320">
        <v>370.67583333333459</v>
      </c>
      <c r="K6658" s="178" t="s">
        <v>5513</v>
      </c>
      <c r="L6658" s="125" t="s">
        <v>110</v>
      </c>
      <c r="M6658">
        <v>272</v>
      </c>
      <c r="N6658" s="182">
        <v>72</v>
      </c>
      <c r="O6658">
        <v>4406</v>
      </c>
      <c r="P6658" s="176" t="s">
        <v>77</v>
      </c>
      <c r="Q6658" s="176">
        <v>22000</v>
      </c>
      <c r="R6658" s="176">
        <v>3520</v>
      </c>
      <c r="S6658" s="176">
        <v>0</v>
      </c>
      <c r="T6658" s="190">
        <v>2346.6800000000003</v>
      </c>
      <c r="U6658" s="191">
        <v>2200</v>
      </c>
      <c r="V6658" s="191">
        <v>20973.32</v>
      </c>
      <c r="W6658">
        <v>128</v>
      </c>
      <c r="X6658" s="186" t="s">
        <v>1431</v>
      </c>
      <c r="Y6658" s="187" t="s">
        <v>55</v>
      </c>
      <c r="Z6658" s="311">
        <v>373</v>
      </c>
      <c r="AB6658" t="str">
        <f>IF(Table1[[#This Row],[TIPO2]]="costo", VLOOKUP(Table1[[#This Row],[PARTIDA PRESUPUESTAL]],'Cost Report'!G:G,1,0),"Balance")</f>
        <v>5010-005</v>
      </c>
      <c r="AD6658" s="159">
        <f>+Table1[[#This Row],[SUBTOTAL]]+Table1[[#This Row],[IVA]]-Table1[[#This Row],[RET IVA]]-Table1[[#This Row],[RET ISR]]-Table1[[#This Row],[TOTAL]]</f>
        <v>0</v>
      </c>
      <c r="AK6658" s="306">
        <f>IF(ISNUMBER(Table1[[#This Row],[FECHA DE RECIBIDO]]), Table1[[#This Row],[FECHA DE RECIBIDO]]-DATE(2023,8,30), "")</f>
        <v>-44797.324166666665</v>
      </c>
    </row>
    <row r="6659" spans="1:37" ht="18" customHeight="1">
      <c r="A6659" s="172" t="s">
        <v>5512</v>
      </c>
      <c r="B6659" s="178">
        <v>2414</v>
      </c>
      <c r="C6659" s="179" t="s">
        <v>5501</v>
      </c>
      <c r="D6659"/>
      <c r="E6659" s="125" t="s">
        <v>1911</v>
      </c>
      <c r="F6659" s="178" t="s">
        <v>1911</v>
      </c>
      <c r="G6659" s="178" t="s">
        <v>1911</v>
      </c>
      <c r="H6659"/>
      <c r="I6659" s="178" t="s">
        <v>1911</v>
      </c>
      <c r="J6659" s="320" t="s">
        <v>214</v>
      </c>
      <c r="K6659" s="178" t="s">
        <v>5513</v>
      </c>
      <c r="L6659" s="125" t="s">
        <v>3306</v>
      </c>
      <c r="M6659">
        <v>1553</v>
      </c>
      <c r="N6659" s="182">
        <v>1</v>
      </c>
      <c r="O6659">
        <v>4407</v>
      </c>
      <c r="P6659" s="176" t="s">
        <v>77</v>
      </c>
      <c r="Q6659" s="216">
        <v>8080</v>
      </c>
      <c r="R6659" s="176">
        <v>0</v>
      </c>
      <c r="S6659" s="176">
        <v>0</v>
      </c>
      <c r="T6659" s="190">
        <v>0</v>
      </c>
      <c r="U6659" s="191">
        <v>0</v>
      </c>
      <c r="V6659" s="191">
        <f>+Table1[[#This Row],[SUBTOTAL]]</f>
        <v>8080</v>
      </c>
      <c r="W6659">
        <v>540</v>
      </c>
      <c r="X6659" s="186" t="s">
        <v>5514</v>
      </c>
      <c r="Y6659" s="187" t="s">
        <v>55</v>
      </c>
      <c r="Z6659" s="311">
        <v>373</v>
      </c>
      <c r="AB6659" t="str">
        <f>IF(Table1[[#This Row],[TIPO2]]="costo", VLOOKUP(Table1[[#This Row],[PARTIDA PRESUPUESTAL]],'Cost Report'!G:G,1,0),"Balance")</f>
        <v>5221-001</v>
      </c>
      <c r="AD6659" s="159">
        <f>+Table1[[#This Row],[SUBTOTAL]]+Table1[[#This Row],[IVA]]-Table1[[#This Row],[RET IVA]]-Table1[[#This Row],[RET ISR]]-Table1[[#This Row],[TOTAL]]</f>
        <v>0</v>
      </c>
      <c r="AK6659" s="306" t="str">
        <f>IF(ISNUMBER(Table1[[#This Row],[FECHA DE RECIBIDO]]), Table1[[#This Row],[FECHA DE RECIBIDO]]-DATE(2023,8,30), "")</f>
        <v/>
      </c>
    </row>
    <row r="6660" spans="1:37" ht="18" customHeight="1">
      <c r="A6660" s="172" t="s">
        <v>5515</v>
      </c>
      <c r="B6660" s="178">
        <v>2415</v>
      </c>
      <c r="C6660" s="179" t="s">
        <v>1792</v>
      </c>
      <c r="D6660">
        <v>4545</v>
      </c>
      <c r="E6660" s="125" t="s">
        <v>2001</v>
      </c>
      <c r="F6660" s="178">
        <v>601</v>
      </c>
      <c r="G6660" s="178" t="s">
        <v>134</v>
      </c>
      <c r="H6660">
        <v>23</v>
      </c>
      <c r="I6660" s="178" t="s">
        <v>1546</v>
      </c>
      <c r="J6660" s="320">
        <v>369.58079861111037</v>
      </c>
      <c r="K6660" s="178" t="s">
        <v>5513</v>
      </c>
      <c r="L6660" s="125" t="s">
        <v>3306</v>
      </c>
      <c r="M6660">
        <v>32</v>
      </c>
      <c r="N6660" s="182">
        <v>1</v>
      </c>
      <c r="O6660">
        <v>4408</v>
      </c>
      <c r="P6660" s="176" t="s">
        <v>77</v>
      </c>
      <c r="Q6660" s="176">
        <v>15766.62</v>
      </c>
      <c r="R6660" s="176">
        <v>2522.6592000000001</v>
      </c>
      <c r="S6660" s="176">
        <v>0</v>
      </c>
      <c r="T6660" s="190">
        <v>0</v>
      </c>
      <c r="U6660" s="191">
        <v>0</v>
      </c>
      <c r="V6660" s="191">
        <v>18289.279200000001</v>
      </c>
      <c r="W6660">
        <v>532</v>
      </c>
      <c r="X6660" s="186" t="s">
        <v>105</v>
      </c>
      <c r="Y6660" s="187" t="s">
        <v>55</v>
      </c>
      <c r="Z6660" s="311">
        <v>373</v>
      </c>
      <c r="AB6660" t="str">
        <f>IF(Table1[[#This Row],[TIPO2]]="costo", VLOOKUP(Table1[[#This Row],[PARTIDA PRESUPUESTAL]],'Cost Report'!G:G,1,0),"Balance")</f>
        <v>1287-007</v>
      </c>
      <c r="AD6660" s="159">
        <f>+Table1[[#This Row],[SUBTOTAL]]+Table1[[#This Row],[IVA]]-Table1[[#This Row],[RET IVA]]-Table1[[#This Row],[RET ISR]]-Table1[[#This Row],[TOTAL]]</f>
        <v>0</v>
      </c>
      <c r="AK6660" s="306">
        <f>IF(ISNUMBER(Table1[[#This Row],[FECHA DE RECIBIDO]]), Table1[[#This Row],[FECHA DE RECIBIDO]]-DATE(2023,8,30), "")</f>
        <v>-44798.41920138889</v>
      </c>
    </row>
    <row r="6661" spans="1:37" ht="18" customHeight="1">
      <c r="A6661" s="172" t="s">
        <v>5516</v>
      </c>
      <c r="B6661" s="178">
        <v>2416</v>
      </c>
      <c r="C6661" s="179" t="s">
        <v>3083</v>
      </c>
      <c r="D6661">
        <v>4546</v>
      </c>
      <c r="E6661" s="125" t="s">
        <v>1655</v>
      </c>
      <c r="F6661" s="178">
        <v>601</v>
      </c>
      <c r="G6661" s="178" t="s">
        <v>134</v>
      </c>
      <c r="H6661">
        <v>121</v>
      </c>
      <c r="I6661" s="178" t="s">
        <v>1546</v>
      </c>
      <c r="J6661" s="320">
        <v>369.74869212962949</v>
      </c>
      <c r="K6661" s="178" t="s">
        <v>5513</v>
      </c>
      <c r="L6661" s="125" t="s">
        <v>3306</v>
      </c>
      <c r="M6661">
        <v>1554</v>
      </c>
      <c r="N6661" s="182">
        <v>1</v>
      </c>
      <c r="O6661">
        <v>4409</v>
      </c>
      <c r="P6661" s="176" t="s">
        <v>77</v>
      </c>
      <c r="Q6661" s="176">
        <v>110400</v>
      </c>
      <c r="R6661" s="176">
        <v>17664</v>
      </c>
      <c r="S6661" s="176">
        <v>0</v>
      </c>
      <c r="T6661" s="190">
        <v>0</v>
      </c>
      <c r="U6661" s="191">
        <v>0</v>
      </c>
      <c r="V6661" s="191">
        <v>128064</v>
      </c>
      <c r="W6661">
        <v>83</v>
      </c>
      <c r="X6661" s="186" t="s">
        <v>2035</v>
      </c>
      <c r="Y6661" s="187" t="s">
        <v>55</v>
      </c>
      <c r="Z6661" s="311">
        <v>373</v>
      </c>
      <c r="AB6661" t="str">
        <f>IF(Table1[[#This Row],[TIPO2]]="costo", VLOOKUP(Table1[[#This Row],[PARTIDA PRESUPUESTAL]],'Cost Report'!G:G,1,0),"Balance")</f>
        <v>6149-003</v>
      </c>
      <c r="AD6661" s="159">
        <f>+Table1[[#This Row],[SUBTOTAL]]+Table1[[#This Row],[IVA]]-Table1[[#This Row],[RET IVA]]-Table1[[#This Row],[RET ISR]]-Table1[[#This Row],[TOTAL]]</f>
        <v>0</v>
      </c>
      <c r="AK6661" s="306">
        <f>IF(ISNUMBER(Table1[[#This Row],[FECHA DE RECIBIDO]]), Table1[[#This Row],[FECHA DE RECIBIDO]]-DATE(2023,8,30), "")</f>
        <v>-44798.251307870371</v>
      </c>
    </row>
    <row r="6662" spans="1:37" ht="18" customHeight="1">
      <c r="A6662" s="172" t="s">
        <v>5517</v>
      </c>
      <c r="B6662" s="178">
        <v>2417</v>
      </c>
      <c r="C6662" s="179" t="s">
        <v>71</v>
      </c>
      <c r="D6662">
        <v>4547</v>
      </c>
      <c r="E6662" s="125" t="e">
        <v>#N/A</v>
      </c>
      <c r="F6662" s="178" t="e">
        <v>#N/A</v>
      </c>
      <c r="G6662" s="178" t="e">
        <v>#N/A</v>
      </c>
      <c r="H6662">
        <v>36</v>
      </c>
      <c r="I6662" s="178" t="e">
        <v>#N/A</v>
      </c>
      <c r="J6662" s="320" t="s">
        <v>214</v>
      </c>
      <c r="K6662" s="178" t="s">
        <v>5513</v>
      </c>
      <c r="L6662" s="125" t="s">
        <v>1579</v>
      </c>
      <c r="M6662">
        <v>1555</v>
      </c>
      <c r="N6662" s="182">
        <v>17</v>
      </c>
      <c r="O6662">
        <v>4410</v>
      </c>
      <c r="P6662" s="176" t="s">
        <v>78</v>
      </c>
      <c r="Q6662" s="176">
        <v>2500</v>
      </c>
      <c r="R6662" s="176"/>
      <c r="S6662" s="176"/>
      <c r="T6662" s="190">
        <v>0</v>
      </c>
      <c r="U6662" s="191"/>
      <c r="V6662" s="191">
        <v>2500</v>
      </c>
      <c r="W6662"/>
      <c r="X6662" s="186" t="s">
        <v>1484</v>
      </c>
      <c r="Y6662" s="187" t="s">
        <v>55</v>
      </c>
      <c r="Z6662" s="311">
        <v>378</v>
      </c>
      <c r="AB6662" t="str">
        <f>IF(Table1[[#This Row],[TIPO2]]="costo", VLOOKUP(Table1[[#This Row],[PARTIDA PRESUPUESTAL]],'Cost Report'!G:G,1,0),"Balance")</f>
        <v>Balance</v>
      </c>
      <c r="AD6662" s="159">
        <f>+Table1[[#This Row],[SUBTOTAL]]+Table1[[#This Row],[IVA]]-Table1[[#This Row],[RET IVA]]-Table1[[#This Row],[RET ISR]]-Table1[[#This Row],[TOTAL]]</f>
        <v>0</v>
      </c>
      <c r="AK6662" s="306" t="str">
        <f>IF(ISNUMBER(Table1[[#This Row],[FECHA DE RECIBIDO]]), Table1[[#This Row],[FECHA DE RECIBIDO]]-DATE(2023,8,30), "")</f>
        <v/>
      </c>
    </row>
    <row r="6663" spans="1:37" ht="18" customHeight="1">
      <c r="A6663" s="172" t="s">
        <v>5517</v>
      </c>
      <c r="B6663" s="178">
        <v>2417</v>
      </c>
      <c r="C6663" s="179" t="s">
        <v>3103</v>
      </c>
      <c r="D6663">
        <v>4547</v>
      </c>
      <c r="E6663" s="125"/>
      <c r="F6663" s="178"/>
      <c r="G6663" s="178"/>
      <c r="H6663"/>
      <c r="I6663" s="178"/>
      <c r="J6663" s="320" t="s">
        <v>214</v>
      </c>
      <c r="K6663" s="178" t="s">
        <v>5513</v>
      </c>
      <c r="L6663" s="125" t="s">
        <v>1579</v>
      </c>
      <c r="M6663">
        <v>1555</v>
      </c>
      <c r="N6663" s="182">
        <v>17</v>
      </c>
      <c r="O6663">
        <v>395</v>
      </c>
      <c r="P6663" s="176" t="s">
        <v>77</v>
      </c>
      <c r="Q6663" s="176">
        <v>400</v>
      </c>
      <c r="R6663" s="176">
        <v>64</v>
      </c>
      <c r="S6663" s="176"/>
      <c r="T6663" s="190">
        <v>0</v>
      </c>
      <c r="U6663" s="191"/>
      <c r="V6663" s="191">
        <v>464</v>
      </c>
      <c r="W6663"/>
      <c r="X6663" s="186" t="s">
        <v>1484</v>
      </c>
      <c r="Y6663" s="187" t="s">
        <v>55</v>
      </c>
      <c r="Z6663" s="311">
        <v>378</v>
      </c>
      <c r="AB6663" t="str">
        <f>IF(Table1[[#This Row],[TIPO2]]="costo", VLOOKUP(Table1[[#This Row],[PARTIDA PRESUPUESTAL]],'Cost Report'!G:G,1,0),"Balance")</f>
        <v>7038-009</v>
      </c>
      <c r="AD6663" s="159">
        <f>+Table1[[#This Row],[SUBTOTAL]]+Table1[[#This Row],[IVA]]-Table1[[#This Row],[RET IVA]]-Table1[[#This Row],[RET ISR]]-Table1[[#This Row],[TOTAL]]</f>
        <v>0</v>
      </c>
      <c r="AK6663" s="306" t="str">
        <f>IF(ISNUMBER(Table1[[#This Row],[FECHA DE RECIBIDO]]), Table1[[#This Row],[FECHA DE RECIBIDO]]-DATE(2023,8,30), "")</f>
        <v/>
      </c>
    </row>
    <row r="6664" spans="1:37" ht="18" customHeight="1">
      <c r="A6664" s="172" t="s">
        <v>5518</v>
      </c>
      <c r="B6664" s="178">
        <v>2417</v>
      </c>
      <c r="C6664" s="179" t="s">
        <v>1792</v>
      </c>
      <c r="D6664">
        <v>4548</v>
      </c>
      <c r="E6664" s="125" t="s">
        <v>2001</v>
      </c>
      <c r="F6664" s="178">
        <v>601</v>
      </c>
      <c r="G6664" s="178" t="s">
        <v>134</v>
      </c>
      <c r="H6664">
        <v>23</v>
      </c>
      <c r="I6664" s="178" t="s">
        <v>1546</v>
      </c>
      <c r="J6664" s="320">
        <v>377.49031249999825</v>
      </c>
      <c r="K6664" s="178" t="s">
        <v>5513</v>
      </c>
      <c r="L6664" s="125" t="s">
        <v>3306</v>
      </c>
      <c r="M6664">
        <v>32</v>
      </c>
      <c r="N6664" s="182">
        <v>1</v>
      </c>
      <c r="O6664">
        <v>4411</v>
      </c>
      <c r="P6664" s="176" t="s">
        <v>77</v>
      </c>
      <c r="Q6664" s="176">
        <v>9026.64</v>
      </c>
      <c r="R6664" s="176">
        <v>1444.2623999999998</v>
      </c>
      <c r="S6664" s="176">
        <v>0</v>
      </c>
      <c r="T6664" s="190">
        <v>0</v>
      </c>
      <c r="U6664" s="191">
        <v>0</v>
      </c>
      <c r="V6664" s="191">
        <v>10470.902399999999</v>
      </c>
      <c r="W6664">
        <v>532</v>
      </c>
      <c r="X6664" s="186" t="s">
        <v>105</v>
      </c>
      <c r="Y6664" s="187" t="s">
        <v>55</v>
      </c>
      <c r="Z6664" s="311">
        <v>380</v>
      </c>
      <c r="AB6664" t="str">
        <f>IF(Table1[[#This Row],[TIPO2]]="costo", VLOOKUP(Table1[[#This Row],[PARTIDA PRESUPUESTAL]],'Cost Report'!G:G,1,0),"Balance")</f>
        <v>1287-007</v>
      </c>
      <c r="AD6664" s="159">
        <f>+Table1[[#This Row],[SUBTOTAL]]+Table1[[#This Row],[IVA]]-Table1[[#This Row],[RET IVA]]-Table1[[#This Row],[RET ISR]]-Table1[[#This Row],[TOTAL]]</f>
        <v>0</v>
      </c>
      <c r="AK6664" s="306">
        <f>IF(ISNUMBER(Table1[[#This Row],[FECHA DE RECIBIDO]]), Table1[[#This Row],[FECHA DE RECIBIDO]]-DATE(2023,8,30), "")</f>
        <v>-44790.509687500002</v>
      </c>
    </row>
    <row r="6665" spans="1:37" ht="18" customHeight="1">
      <c r="A6665" s="172" t="s">
        <v>5519</v>
      </c>
      <c r="B6665" s="178">
        <v>2418</v>
      </c>
      <c r="C6665" s="179" t="s">
        <v>1407</v>
      </c>
      <c r="D6665">
        <v>4549</v>
      </c>
      <c r="E6665" s="125">
        <v>11010</v>
      </c>
      <c r="F6665" s="178">
        <v>601</v>
      </c>
      <c r="G6665" s="178" t="s">
        <v>134</v>
      </c>
      <c r="H6665">
        <v>125</v>
      </c>
      <c r="I6665" s="178" t="s">
        <v>1546</v>
      </c>
      <c r="J6665" s="320">
        <v>377.62202546296612</v>
      </c>
      <c r="K6665" s="178" t="s">
        <v>5513</v>
      </c>
      <c r="L6665" s="125" t="s">
        <v>3306</v>
      </c>
      <c r="M6665">
        <v>1556</v>
      </c>
      <c r="N6665" s="182">
        <v>1</v>
      </c>
      <c r="O6665">
        <v>1186</v>
      </c>
      <c r="P6665" s="176" t="s">
        <v>77</v>
      </c>
      <c r="Q6665" s="176">
        <f>6016.5+232</f>
        <v>6248.5</v>
      </c>
      <c r="R6665" s="176">
        <v>962.64</v>
      </c>
      <c r="S6665" s="176">
        <v>232</v>
      </c>
      <c r="T6665" s="190">
        <v>0</v>
      </c>
      <c r="U6665" s="191">
        <v>0</v>
      </c>
      <c r="V6665" s="191">
        <v>7211.14</v>
      </c>
      <c r="W6665">
        <v>88</v>
      </c>
      <c r="X6665" s="186" t="s">
        <v>5520</v>
      </c>
      <c r="Y6665" s="187" t="s">
        <v>55</v>
      </c>
      <c r="Z6665" s="311">
        <v>380</v>
      </c>
      <c r="AB6665" t="str">
        <f>IF(Table1[[#This Row],[TIPO2]]="costo", VLOOKUP(Table1[[#This Row],[PARTIDA PRESUPUESTAL]],'Cost Report'!G:G,1,0),"Balance")</f>
        <v>7201-003</v>
      </c>
      <c r="AD6665" s="159">
        <f>+Table1[[#This Row],[SUBTOTAL]]+Table1[[#This Row],[IVA]]-Table1[[#This Row],[RET IVA]]-Table1[[#This Row],[RET ISR]]-Table1[[#This Row],[TOTAL]]</f>
        <v>0</v>
      </c>
      <c r="AK6665" s="306">
        <f>IF(ISNUMBER(Table1[[#This Row],[FECHA DE RECIBIDO]]), Table1[[#This Row],[FECHA DE RECIBIDO]]-DATE(2023,8,30), "")</f>
        <v>-44790.377974537034</v>
      </c>
    </row>
    <row r="6666" spans="1:37" ht="18" customHeight="1">
      <c r="A6666" s="172" t="s">
        <v>5521</v>
      </c>
      <c r="B6666" s="178">
        <v>2419</v>
      </c>
      <c r="C6666" s="179" t="s">
        <v>3065</v>
      </c>
      <c r="D6666">
        <v>4550</v>
      </c>
      <c r="E6666" s="125" t="s">
        <v>1592</v>
      </c>
      <c r="F6666" s="178">
        <v>612</v>
      </c>
      <c r="G6666" s="178" t="s">
        <v>129</v>
      </c>
      <c r="H6666">
        <v>1084</v>
      </c>
      <c r="I6666" s="178" t="s">
        <v>1546</v>
      </c>
      <c r="J6666" s="320">
        <v>378.60517361111124</v>
      </c>
      <c r="K6666" s="178" t="s">
        <v>5513</v>
      </c>
      <c r="L6666" s="125" t="s">
        <v>3306</v>
      </c>
      <c r="M6666">
        <v>1505</v>
      </c>
      <c r="N6666" s="182">
        <v>1</v>
      </c>
      <c r="O6666">
        <v>4412</v>
      </c>
      <c r="P6666" s="176" t="s">
        <v>77</v>
      </c>
      <c r="Q6666" s="176">
        <v>44100</v>
      </c>
      <c r="R6666" s="176">
        <v>7056</v>
      </c>
      <c r="S6666" s="176">
        <v>0</v>
      </c>
      <c r="T6666" s="190">
        <v>4705.47</v>
      </c>
      <c r="U6666" s="191">
        <v>4410</v>
      </c>
      <c r="V6666" s="191">
        <v>42040.53</v>
      </c>
      <c r="W6666">
        <v>520</v>
      </c>
      <c r="X6666" s="186" t="s">
        <v>2035</v>
      </c>
      <c r="Y6666" s="187" t="s">
        <v>55</v>
      </c>
      <c r="Z6666" s="311">
        <v>380</v>
      </c>
      <c r="AB6666" t="str">
        <f>IF(Table1[[#This Row],[TIPO2]]="costo", VLOOKUP(Table1[[#This Row],[PARTIDA PRESUPUESTAL]],'Cost Report'!G:G,1,0),"Balance")</f>
        <v>6002-004</v>
      </c>
      <c r="AD6666" s="159">
        <f>+Table1[[#This Row],[SUBTOTAL]]+Table1[[#This Row],[IVA]]-Table1[[#This Row],[RET IVA]]-Table1[[#This Row],[RET ISR]]-Table1[[#This Row],[TOTAL]]</f>
        <v>0</v>
      </c>
      <c r="AK6666" s="306">
        <f>IF(ISNUMBER(Table1[[#This Row],[FECHA DE RECIBIDO]]), Table1[[#This Row],[FECHA DE RECIBIDO]]-DATE(2023,8,30), "")</f>
        <v>-44789.394826388889</v>
      </c>
    </row>
    <row r="6667" spans="1:37" ht="18" customHeight="1">
      <c r="A6667" s="172" t="s">
        <v>5522</v>
      </c>
      <c r="B6667" s="178">
        <v>2420</v>
      </c>
      <c r="C6667" s="179" t="s">
        <v>3065</v>
      </c>
      <c r="D6667">
        <v>4551</v>
      </c>
      <c r="E6667" s="125">
        <v>11550</v>
      </c>
      <c r="F6667" s="178">
        <v>612</v>
      </c>
      <c r="G6667" s="178" t="s">
        <v>129</v>
      </c>
      <c r="H6667">
        <v>1083</v>
      </c>
      <c r="I6667" s="178" t="s">
        <v>1546</v>
      </c>
      <c r="J6667" s="320">
        <v>378.49541666666482</v>
      </c>
      <c r="K6667" s="178" t="s">
        <v>5513</v>
      </c>
      <c r="L6667" s="125" t="s">
        <v>3306</v>
      </c>
      <c r="M6667">
        <v>1504</v>
      </c>
      <c r="N6667" s="182">
        <v>1</v>
      </c>
      <c r="O6667">
        <v>4412</v>
      </c>
      <c r="P6667" s="176" t="s">
        <v>77</v>
      </c>
      <c r="Q6667" s="176">
        <v>44100</v>
      </c>
      <c r="R6667" s="176">
        <v>7056</v>
      </c>
      <c r="S6667" s="176">
        <v>0</v>
      </c>
      <c r="T6667" s="190">
        <v>4704.0146999999997</v>
      </c>
      <c r="U6667" s="191">
        <v>4410</v>
      </c>
      <c r="V6667" s="191">
        <v>42041.9853</v>
      </c>
      <c r="W6667">
        <v>519</v>
      </c>
      <c r="X6667" s="186" t="s">
        <v>2037</v>
      </c>
      <c r="Y6667" s="187" t="s">
        <v>55</v>
      </c>
      <c r="Z6667" s="311">
        <v>380</v>
      </c>
      <c r="AB6667" t="str">
        <f>IF(Table1[[#This Row],[TIPO2]]="costo", VLOOKUP(Table1[[#This Row],[PARTIDA PRESUPUESTAL]],'Cost Report'!G:G,1,0),"Balance")</f>
        <v>6002-004</v>
      </c>
      <c r="AD6667" s="159">
        <f>+Table1[[#This Row],[SUBTOTAL]]+Table1[[#This Row],[IVA]]-Table1[[#This Row],[RET IVA]]-Table1[[#This Row],[RET ISR]]-Table1[[#This Row],[TOTAL]]</f>
        <v>0</v>
      </c>
      <c r="AK6667" s="306">
        <f>IF(ISNUMBER(Table1[[#This Row],[FECHA DE RECIBIDO]]), Table1[[#This Row],[FECHA DE RECIBIDO]]-DATE(2023,8,30), "")</f>
        <v>-44789.504583333335</v>
      </c>
    </row>
    <row r="6668" spans="1:37" ht="18" customHeight="1">
      <c r="A6668" s="172" t="s">
        <v>5523</v>
      </c>
      <c r="B6668" s="178">
        <v>2421</v>
      </c>
      <c r="C6668" s="179" t="s">
        <v>1285</v>
      </c>
      <c r="D6668">
        <v>4552</v>
      </c>
      <c r="E6668" s="125">
        <v>11510</v>
      </c>
      <c r="F6668" s="178">
        <v>601</v>
      </c>
      <c r="G6668" s="178" t="s">
        <v>134</v>
      </c>
      <c r="H6668">
        <v>1104</v>
      </c>
      <c r="I6668" s="178" t="s">
        <v>1546</v>
      </c>
      <c r="J6668" s="320">
        <v>371.60535879629606</v>
      </c>
      <c r="K6668" s="178" t="s">
        <v>5513</v>
      </c>
      <c r="L6668" s="125" t="s">
        <v>3306</v>
      </c>
      <c r="M6668">
        <v>1557</v>
      </c>
      <c r="N6668" s="182">
        <v>1</v>
      </c>
      <c r="O6668">
        <v>4413</v>
      </c>
      <c r="P6668" s="176" t="s">
        <v>77</v>
      </c>
      <c r="Q6668" s="176">
        <v>118788</v>
      </c>
      <c r="R6668" s="176">
        <v>19006.080000000002</v>
      </c>
      <c r="S6668" s="176">
        <v>0</v>
      </c>
      <c r="T6668" s="190">
        <v>0</v>
      </c>
      <c r="U6668" s="191">
        <v>0</v>
      </c>
      <c r="V6668" s="191">
        <v>137794.08000000002</v>
      </c>
      <c r="W6668">
        <v>541</v>
      </c>
      <c r="X6668" s="186" t="s">
        <v>5520</v>
      </c>
      <c r="Y6668" s="187" t="s">
        <v>55</v>
      </c>
      <c r="Z6668" s="311">
        <v>380</v>
      </c>
      <c r="AB6668" t="str">
        <f>IF(Table1[[#This Row],[TIPO2]]="costo", VLOOKUP(Table1[[#This Row],[PARTIDA PRESUPUESTAL]],'Cost Report'!G:G,1,0),"Balance")</f>
        <v>6004-003</v>
      </c>
      <c r="AD6668" s="159">
        <f>+Table1[[#This Row],[SUBTOTAL]]+Table1[[#This Row],[IVA]]-Table1[[#This Row],[RET IVA]]-Table1[[#This Row],[RET ISR]]-Table1[[#This Row],[TOTAL]]</f>
        <v>0</v>
      </c>
      <c r="AK6668" s="306">
        <f>IF(ISNUMBER(Table1[[#This Row],[FECHA DE RECIBIDO]]), Table1[[#This Row],[FECHA DE RECIBIDO]]-DATE(2023,8,30), "")</f>
        <v>-44796.394641203704</v>
      </c>
    </row>
    <row r="6669" spans="1:37" ht="18" customHeight="1">
      <c r="A6669" s="172" t="s">
        <v>5524</v>
      </c>
      <c r="B6669" s="178">
        <v>2422</v>
      </c>
      <c r="C6669" s="179" t="s">
        <v>1285</v>
      </c>
      <c r="D6669">
        <v>4553</v>
      </c>
      <c r="E6669" s="125">
        <v>11510</v>
      </c>
      <c r="F6669" s="178">
        <v>601</v>
      </c>
      <c r="G6669" s="178" t="s">
        <v>134</v>
      </c>
      <c r="H6669">
        <v>1104</v>
      </c>
      <c r="I6669" s="178" t="s">
        <v>1546</v>
      </c>
      <c r="J6669" s="320">
        <v>378.60811342592933</v>
      </c>
      <c r="K6669" s="178" t="s">
        <v>5513</v>
      </c>
      <c r="L6669" s="125" t="s">
        <v>3306</v>
      </c>
      <c r="M6669">
        <v>1557</v>
      </c>
      <c r="N6669" s="182">
        <v>1</v>
      </c>
      <c r="O6669">
        <v>4414</v>
      </c>
      <c r="P6669" s="176" t="s">
        <v>77</v>
      </c>
      <c r="Q6669" s="176">
        <v>59639.4</v>
      </c>
      <c r="R6669" s="176">
        <v>9542.3040000000001</v>
      </c>
      <c r="S6669" s="176">
        <v>0</v>
      </c>
      <c r="T6669" s="190">
        <v>0</v>
      </c>
      <c r="U6669" s="191">
        <v>0</v>
      </c>
      <c r="V6669" s="191">
        <v>69181.703999999998</v>
      </c>
      <c r="W6669">
        <v>541</v>
      </c>
      <c r="X6669" s="186" t="s">
        <v>5520</v>
      </c>
      <c r="Y6669" s="187" t="s">
        <v>55</v>
      </c>
      <c r="Z6669" s="311">
        <v>380</v>
      </c>
      <c r="AB6669" t="str">
        <f>IF(Table1[[#This Row],[TIPO2]]="costo", VLOOKUP(Table1[[#This Row],[PARTIDA PRESUPUESTAL]],'Cost Report'!G:G,1,0),"Balance")</f>
        <v>6004-003</v>
      </c>
      <c r="AD6669" s="159">
        <f>+Table1[[#This Row],[SUBTOTAL]]+Table1[[#This Row],[IVA]]-Table1[[#This Row],[RET IVA]]-Table1[[#This Row],[RET ISR]]-Table1[[#This Row],[TOTAL]]</f>
        <v>0</v>
      </c>
      <c r="AK6669" s="306">
        <f>IF(ISNUMBER(Table1[[#This Row],[FECHA DE RECIBIDO]]), Table1[[#This Row],[FECHA DE RECIBIDO]]-DATE(2023,8,30), "")</f>
        <v>-44789.391886574071</v>
      </c>
    </row>
    <row r="6670" spans="1:37" ht="18" customHeight="1">
      <c r="A6670" s="172" t="s">
        <v>5525</v>
      </c>
      <c r="B6670" s="178">
        <v>2423</v>
      </c>
      <c r="C6670" s="179" t="s">
        <v>2788</v>
      </c>
      <c r="D6670">
        <v>4554</v>
      </c>
      <c r="E6670" s="125">
        <v>45186</v>
      </c>
      <c r="F6670" s="178">
        <v>612</v>
      </c>
      <c r="G6670" s="178" t="s">
        <v>129</v>
      </c>
      <c r="H6670">
        <v>1105</v>
      </c>
      <c r="I6670" s="178" t="s">
        <v>1546</v>
      </c>
      <c r="J6670" s="320">
        <v>379.41607638888672</v>
      </c>
      <c r="K6670" s="178" t="s">
        <v>5513</v>
      </c>
      <c r="L6670" s="125" t="s">
        <v>3306</v>
      </c>
      <c r="M6670">
        <v>1558</v>
      </c>
      <c r="N6670" s="182">
        <v>1</v>
      </c>
      <c r="O6670">
        <v>4415</v>
      </c>
      <c r="P6670" s="176" t="s">
        <v>77</v>
      </c>
      <c r="Q6670" s="176">
        <v>6300</v>
      </c>
      <c r="R6670" s="176">
        <v>1008</v>
      </c>
      <c r="S6670" s="176">
        <v>0</v>
      </c>
      <c r="T6670" s="190">
        <v>672.00210000000004</v>
      </c>
      <c r="U6670" s="191">
        <v>630</v>
      </c>
      <c r="V6670" s="191">
        <v>6005.9979000000003</v>
      </c>
      <c r="W6670">
        <v>537</v>
      </c>
      <c r="X6670" s="186" t="s">
        <v>2035</v>
      </c>
      <c r="Y6670" s="187" t="s">
        <v>55</v>
      </c>
      <c r="Z6670" s="311">
        <v>384</v>
      </c>
      <c r="AB6670" t="str">
        <f>IF(Table1[[#This Row],[TIPO2]]="costo", VLOOKUP(Table1[[#This Row],[PARTIDA PRESUPUESTAL]],'Cost Report'!G:G,1,0),"Balance")</f>
        <v>3407-013</v>
      </c>
      <c r="AD6670" s="159">
        <f>+Table1[[#This Row],[SUBTOTAL]]+Table1[[#This Row],[IVA]]-Table1[[#This Row],[RET IVA]]-Table1[[#This Row],[RET ISR]]-Table1[[#This Row],[TOTAL]]</f>
        <v>0</v>
      </c>
      <c r="AK6670" s="306">
        <f>IF(ISNUMBER(Table1[[#This Row],[FECHA DE RECIBIDO]]), Table1[[#This Row],[FECHA DE RECIBIDO]]-DATE(2023,8,30), "")</f>
        <v>-44788.583923611113</v>
      </c>
    </row>
    <row r="6671" spans="1:37" ht="18" customHeight="1">
      <c r="A6671" s="172" t="s">
        <v>5526</v>
      </c>
      <c r="B6671" s="178">
        <v>2423</v>
      </c>
      <c r="C6671" s="179" t="s">
        <v>2371</v>
      </c>
      <c r="D6671">
        <v>4555</v>
      </c>
      <c r="E6671" s="125" t="s">
        <v>4559</v>
      </c>
      <c r="F6671" s="178">
        <v>626</v>
      </c>
      <c r="G6671" s="178" t="s">
        <v>109</v>
      </c>
      <c r="H6671">
        <v>793</v>
      </c>
      <c r="I6671" s="178" t="s">
        <v>1546</v>
      </c>
      <c r="J6671" s="320">
        <v>373.4475462962946</v>
      </c>
      <c r="K6671" s="178" t="s">
        <v>5513</v>
      </c>
      <c r="L6671" s="125" t="s">
        <v>110</v>
      </c>
      <c r="M6671">
        <v>1096</v>
      </c>
      <c r="N6671" s="182">
        <v>205</v>
      </c>
      <c r="O6671">
        <v>4416</v>
      </c>
      <c r="P6671" s="176" t="s">
        <v>77</v>
      </c>
      <c r="Q6671" s="176">
        <v>220.84</v>
      </c>
      <c r="R6671" s="176">
        <v>35.33</v>
      </c>
      <c r="S6671" s="176">
        <v>0</v>
      </c>
      <c r="T6671" s="190">
        <v>23.56</v>
      </c>
      <c r="U6671" s="191">
        <v>2.76</v>
      </c>
      <c r="V6671" s="191">
        <v>229.85000000000002</v>
      </c>
      <c r="W6671">
        <v>392</v>
      </c>
      <c r="X6671" s="186" t="s">
        <v>2024</v>
      </c>
      <c r="Y6671" s="187" t="s">
        <v>55</v>
      </c>
      <c r="Z6671" s="311">
        <v>380</v>
      </c>
      <c r="AB6671" t="str">
        <f>IF(Table1[[#This Row],[TIPO2]]="costo", VLOOKUP(Table1[[#This Row],[PARTIDA PRESUPUESTAL]],'Cost Report'!G:G,1,0),"Balance")</f>
        <v>1643-003</v>
      </c>
      <c r="AD6671" s="159">
        <f>+Table1[[#This Row],[SUBTOTAL]]+Table1[[#This Row],[IVA]]-Table1[[#This Row],[RET IVA]]-Table1[[#This Row],[RET ISR]]-Table1[[#This Row],[TOTAL]]</f>
        <v>0</v>
      </c>
      <c r="AK6671" s="306">
        <f>IF(ISNUMBER(Table1[[#This Row],[FECHA DE RECIBIDO]]), Table1[[#This Row],[FECHA DE RECIBIDO]]-DATE(2023,8,30), "")</f>
        <v>-44794.552453703705</v>
      </c>
    </row>
    <row r="6672" spans="1:37" ht="18" customHeight="1">
      <c r="A6672" s="172" t="s">
        <v>5527</v>
      </c>
      <c r="B6672" s="178">
        <v>2424</v>
      </c>
      <c r="C6672" s="179" t="s">
        <v>3011</v>
      </c>
      <c r="D6672">
        <v>4556</v>
      </c>
      <c r="E6672" s="125" t="s">
        <v>2018</v>
      </c>
      <c r="F6672" s="178">
        <v>626</v>
      </c>
      <c r="G6672" s="178" t="s">
        <v>109</v>
      </c>
      <c r="H6672">
        <v>116</v>
      </c>
      <c r="I6672" s="178" t="s">
        <v>1546</v>
      </c>
      <c r="J6672" s="320">
        <v>376.73708333333343</v>
      </c>
      <c r="K6672" s="178" t="s">
        <v>5513</v>
      </c>
      <c r="L6672" s="125" t="s">
        <v>110</v>
      </c>
      <c r="M6672">
        <v>154</v>
      </c>
      <c r="N6672" s="182">
        <v>46</v>
      </c>
      <c r="O6672">
        <v>4417</v>
      </c>
      <c r="P6672" s="176" t="s">
        <v>77</v>
      </c>
      <c r="Q6672" s="176">
        <v>44000</v>
      </c>
      <c r="R6672" s="176">
        <v>7040</v>
      </c>
      <c r="S6672" s="176">
        <v>0</v>
      </c>
      <c r="T6672" s="190">
        <v>4693.34</v>
      </c>
      <c r="U6672" s="191">
        <v>550</v>
      </c>
      <c r="V6672" s="191">
        <v>45796.66</v>
      </c>
      <c r="W6672">
        <v>78</v>
      </c>
      <c r="X6672" s="186" t="s">
        <v>1430</v>
      </c>
      <c r="Y6672" s="187" t="s">
        <v>55</v>
      </c>
      <c r="Z6672" s="311">
        <v>380</v>
      </c>
      <c r="AB6672" t="str">
        <f>IF(Table1[[#This Row],[TIPO2]]="costo", VLOOKUP(Table1[[#This Row],[PARTIDA PRESUPUESTAL]],'Cost Report'!G:G,1,0),"Balance")</f>
        <v>5009-005</v>
      </c>
      <c r="AD6672" s="159">
        <f>+Table1[[#This Row],[SUBTOTAL]]+Table1[[#This Row],[IVA]]-Table1[[#This Row],[RET IVA]]-Table1[[#This Row],[RET ISR]]-Table1[[#This Row],[TOTAL]]</f>
        <v>0</v>
      </c>
      <c r="AK6672" s="306">
        <f>IF(ISNUMBER(Table1[[#This Row],[FECHA DE RECIBIDO]]), Table1[[#This Row],[FECHA DE RECIBIDO]]-DATE(2023,8,30), "")</f>
        <v>-44791.262916666667</v>
      </c>
    </row>
    <row r="6673" spans="1:37" ht="18" customHeight="1">
      <c r="A6673" s="172" t="s">
        <v>5528</v>
      </c>
      <c r="B6673" s="178">
        <v>2425</v>
      </c>
      <c r="C6673" s="179" t="s">
        <v>3012</v>
      </c>
      <c r="D6673">
        <v>4557</v>
      </c>
      <c r="E6673" s="125" t="s">
        <v>3220</v>
      </c>
      <c r="F6673" s="178">
        <v>612</v>
      </c>
      <c r="G6673" s="178" t="s">
        <v>129</v>
      </c>
      <c r="H6673">
        <v>207</v>
      </c>
      <c r="I6673" s="178" t="s">
        <v>1546</v>
      </c>
      <c r="J6673" s="320">
        <v>385.4122337962981</v>
      </c>
      <c r="K6673" s="178" t="s">
        <v>5513</v>
      </c>
      <c r="L6673" s="125" t="s">
        <v>110</v>
      </c>
      <c r="M6673">
        <v>272</v>
      </c>
      <c r="N6673" s="182">
        <v>72</v>
      </c>
      <c r="O6673">
        <v>4418</v>
      </c>
      <c r="P6673" s="176" t="s">
        <v>77</v>
      </c>
      <c r="Q6673" s="176">
        <v>22000</v>
      </c>
      <c r="R6673" s="176">
        <v>3520</v>
      </c>
      <c r="S6673" s="176">
        <v>0</v>
      </c>
      <c r="T6673" s="190">
        <v>2346.6800000000003</v>
      </c>
      <c r="U6673" s="191">
        <v>2200</v>
      </c>
      <c r="V6673" s="191">
        <v>20973.32</v>
      </c>
      <c r="W6673">
        <v>128</v>
      </c>
      <c r="X6673" s="186" t="s">
        <v>1431</v>
      </c>
      <c r="Y6673" s="187" t="s">
        <v>55</v>
      </c>
      <c r="Z6673" s="311">
        <v>387</v>
      </c>
      <c r="AB6673" t="str">
        <f>IF(Table1[[#This Row],[TIPO2]]="costo", VLOOKUP(Table1[[#This Row],[PARTIDA PRESUPUESTAL]],'Cost Report'!G:G,1,0),"Balance")</f>
        <v>5010-005</v>
      </c>
      <c r="AD6673" s="159">
        <f>+Table1[[#This Row],[SUBTOTAL]]+Table1[[#This Row],[IVA]]-Table1[[#This Row],[RET IVA]]-Table1[[#This Row],[RET ISR]]-Table1[[#This Row],[TOTAL]]</f>
        <v>0</v>
      </c>
      <c r="AK6673" s="306">
        <f>IF(ISNUMBER(Table1[[#This Row],[FECHA DE RECIBIDO]]), Table1[[#This Row],[FECHA DE RECIBIDO]]-DATE(2023,8,30), "")</f>
        <v>-44782.587766203702</v>
      </c>
    </row>
    <row r="6674" spans="1:37" ht="18" customHeight="1">
      <c r="A6674" s="172" t="s">
        <v>5525</v>
      </c>
      <c r="B6674" s="178">
        <v>2426</v>
      </c>
      <c r="C6674" s="179" t="s">
        <v>1792</v>
      </c>
      <c r="D6674">
        <v>4558</v>
      </c>
      <c r="E6674" s="125" t="s">
        <v>2001</v>
      </c>
      <c r="F6674" s="178">
        <v>601</v>
      </c>
      <c r="G6674" s="178" t="s">
        <v>134</v>
      </c>
      <c r="H6674">
        <v>23</v>
      </c>
      <c r="I6674" s="178" t="s">
        <v>1546</v>
      </c>
      <c r="J6674" s="320">
        <v>386.64737268518365</v>
      </c>
      <c r="K6674" s="178" t="s">
        <v>5513</v>
      </c>
      <c r="L6674" s="125" t="s">
        <v>3306</v>
      </c>
      <c r="M6674">
        <v>32</v>
      </c>
      <c r="N6674" s="182">
        <v>1</v>
      </c>
      <c r="O6674">
        <v>4419</v>
      </c>
      <c r="P6674" s="176" t="s">
        <v>77</v>
      </c>
      <c r="Q6674" s="176">
        <v>9026.64</v>
      </c>
      <c r="R6674" s="176">
        <v>1444.2623999999998</v>
      </c>
      <c r="S6674" s="176">
        <v>0</v>
      </c>
      <c r="T6674" s="190">
        <v>0</v>
      </c>
      <c r="U6674" s="191">
        <v>0</v>
      </c>
      <c r="V6674" s="191">
        <v>10470.902399999999</v>
      </c>
      <c r="W6674">
        <v>532</v>
      </c>
      <c r="X6674" s="186" t="s">
        <v>105</v>
      </c>
      <c r="Y6674" s="187" t="s">
        <v>55</v>
      </c>
      <c r="Z6674" s="311">
        <v>387</v>
      </c>
      <c r="AB6674" t="str">
        <f>IF(Table1[[#This Row],[TIPO2]]="costo", VLOOKUP(Table1[[#This Row],[PARTIDA PRESUPUESTAL]],'Cost Report'!G:G,1,0),"Balance")</f>
        <v>1287-007</v>
      </c>
      <c r="AD6674" s="159">
        <f>+Table1[[#This Row],[SUBTOTAL]]+Table1[[#This Row],[IVA]]-Table1[[#This Row],[RET IVA]]-Table1[[#This Row],[RET ISR]]-Table1[[#This Row],[TOTAL]]</f>
        <v>0</v>
      </c>
      <c r="AK6674" s="306">
        <f>IF(ISNUMBER(Table1[[#This Row],[FECHA DE RECIBIDO]]), Table1[[#This Row],[FECHA DE RECIBIDO]]-DATE(2023,8,30), "")</f>
        <v>-44781.352627314816</v>
      </c>
    </row>
    <row r="6675" spans="1:37" ht="18" customHeight="1">
      <c r="A6675" s="172" t="s">
        <v>5529</v>
      </c>
      <c r="B6675" s="178">
        <v>2427</v>
      </c>
      <c r="C6675" s="179" t="s">
        <v>2851</v>
      </c>
      <c r="D6675">
        <v>4559</v>
      </c>
      <c r="E6675" s="125">
        <v>63157</v>
      </c>
      <c r="F6675" s="178">
        <v>612</v>
      </c>
      <c r="G6675" s="178" t="s">
        <v>129</v>
      </c>
      <c r="H6675">
        <v>64</v>
      </c>
      <c r="I6675" s="178" t="s">
        <v>1546</v>
      </c>
      <c r="J6675" s="320">
        <v>386.52978009259095</v>
      </c>
      <c r="K6675" s="178" t="s">
        <v>5513</v>
      </c>
      <c r="L6675" s="125" t="s">
        <v>3306</v>
      </c>
      <c r="M6675">
        <v>87</v>
      </c>
      <c r="N6675" s="182">
        <v>1</v>
      </c>
      <c r="O6675">
        <v>4420</v>
      </c>
      <c r="P6675" s="176" t="s">
        <v>77</v>
      </c>
      <c r="Q6675" s="176">
        <v>23661.58</v>
      </c>
      <c r="R6675" s="176">
        <v>3785.8528000000006</v>
      </c>
      <c r="S6675" s="176">
        <v>0</v>
      </c>
      <c r="T6675" s="190">
        <v>2523.9097538600004</v>
      </c>
      <c r="U6675" s="191">
        <v>2366.1580000000004</v>
      </c>
      <c r="V6675" s="191">
        <v>22557.355046140005</v>
      </c>
      <c r="W6675">
        <v>46</v>
      </c>
      <c r="X6675" s="186" t="s">
        <v>2035</v>
      </c>
      <c r="Y6675" s="187" t="s">
        <v>55</v>
      </c>
      <c r="Z6675" s="311">
        <v>387</v>
      </c>
      <c r="AB6675" t="str">
        <f>IF(Table1[[#This Row],[TIPO2]]="costo", VLOOKUP(Table1[[#This Row],[PARTIDA PRESUPUESTAL]],'Cost Report'!G:G,1,0),"Balance")</f>
        <v>3485-003</v>
      </c>
      <c r="AD6675" s="159">
        <f>+Table1[[#This Row],[SUBTOTAL]]+Table1[[#This Row],[IVA]]-Table1[[#This Row],[RET IVA]]-Table1[[#This Row],[RET ISR]]-Table1[[#This Row],[TOTAL]]</f>
        <v>9.9999999983992893E-3</v>
      </c>
      <c r="AK6675" s="306">
        <f>IF(ISNUMBER(Table1[[#This Row],[FECHA DE RECIBIDO]]), Table1[[#This Row],[FECHA DE RECIBIDO]]-DATE(2023,8,30), "")</f>
        <v>-44781.470219907409</v>
      </c>
    </row>
    <row r="6676" spans="1:37" ht="18" customHeight="1">
      <c r="A6676" s="172" t="s">
        <v>5530</v>
      </c>
      <c r="B6676" s="178" t="s">
        <v>1576</v>
      </c>
      <c r="C6676" s="179" t="s">
        <v>72</v>
      </c>
      <c r="D6676"/>
      <c r="E6676" s="125" t="s">
        <v>1911</v>
      </c>
      <c r="F6676" s="178" t="s">
        <v>1911</v>
      </c>
      <c r="G6676" s="178" t="s">
        <v>1911</v>
      </c>
      <c r="H6676"/>
      <c r="I6676" s="178" t="s">
        <v>1911</v>
      </c>
      <c r="J6676" s="320" t="s">
        <v>214</v>
      </c>
      <c r="K6676" s="178" t="s">
        <v>5513</v>
      </c>
      <c r="L6676" s="125" t="s">
        <v>156</v>
      </c>
      <c r="M6676">
        <v>61</v>
      </c>
      <c r="N6676" s="182">
        <v>0</v>
      </c>
      <c r="O6676">
        <v>4421</v>
      </c>
      <c r="P6676" s="176" t="s">
        <v>78</v>
      </c>
      <c r="Q6676" s="176">
        <v>34334.480000000003</v>
      </c>
      <c r="R6676" s="176">
        <v>0</v>
      </c>
      <c r="S6676" s="176"/>
      <c r="T6676" s="190">
        <v>0</v>
      </c>
      <c r="U6676" s="191">
        <v>0</v>
      </c>
      <c r="V6676" s="191">
        <v>34334.480000000003</v>
      </c>
      <c r="W6676">
        <v>35</v>
      </c>
      <c r="X6676" s="186" t="s">
        <v>105</v>
      </c>
      <c r="Y6676" s="187" t="s">
        <v>55</v>
      </c>
      <c r="Z6676" s="311">
        <v>386</v>
      </c>
      <c r="AB6676" t="str">
        <f>IF(Table1[[#This Row],[TIPO2]]="costo", VLOOKUP(Table1[[#This Row],[PARTIDA PRESUPUESTAL]],'Cost Report'!G:G,1,0),"Balance")</f>
        <v>Balance</v>
      </c>
      <c r="AD6676" s="159">
        <f>+Table1[[#This Row],[SUBTOTAL]]+Table1[[#This Row],[IVA]]-Table1[[#This Row],[RET IVA]]-Table1[[#This Row],[RET ISR]]-Table1[[#This Row],[TOTAL]]</f>
        <v>0</v>
      </c>
      <c r="AK6676" s="306" t="str">
        <f>IF(ISNUMBER(Table1[[#This Row],[FECHA DE RECIBIDO]]), Table1[[#This Row],[FECHA DE RECIBIDO]]-DATE(2023,8,30), "")</f>
        <v/>
      </c>
    </row>
    <row r="6677" spans="1:37" ht="18" customHeight="1">
      <c r="A6677" s="172" t="s">
        <v>5531</v>
      </c>
      <c r="B6677" s="178" t="s">
        <v>1576</v>
      </c>
      <c r="C6677" s="179" t="s">
        <v>73</v>
      </c>
      <c r="D6677"/>
      <c r="E6677" s="125" t="s">
        <v>1911</v>
      </c>
      <c r="F6677" s="178" t="s">
        <v>1911</v>
      </c>
      <c r="G6677" s="178" t="s">
        <v>1911</v>
      </c>
      <c r="H6677"/>
      <c r="I6677" s="178" t="s">
        <v>1911</v>
      </c>
      <c r="J6677" s="320" t="s">
        <v>214</v>
      </c>
      <c r="K6677" s="178" t="s">
        <v>5513</v>
      </c>
      <c r="L6677" s="125" t="s">
        <v>156</v>
      </c>
      <c r="M6677">
        <v>61</v>
      </c>
      <c r="N6677" s="182">
        <v>0</v>
      </c>
      <c r="O6677">
        <v>4422</v>
      </c>
      <c r="P6677" s="176" t="s">
        <v>78</v>
      </c>
      <c r="Q6677" s="176">
        <v>11276</v>
      </c>
      <c r="R6677" s="176">
        <v>0</v>
      </c>
      <c r="S6677" s="176"/>
      <c r="T6677" s="214">
        <v>0</v>
      </c>
      <c r="U6677" s="191">
        <v>0</v>
      </c>
      <c r="V6677" s="191">
        <v>11276</v>
      </c>
      <c r="W6677">
        <v>35</v>
      </c>
      <c r="X6677" s="186" t="s">
        <v>105</v>
      </c>
      <c r="Y6677" s="187" t="s">
        <v>55</v>
      </c>
      <c r="Z6677" s="311">
        <v>386</v>
      </c>
      <c r="AB6677" t="str">
        <f>IF(Table1[[#This Row],[TIPO2]]="costo", VLOOKUP(Table1[[#This Row],[PARTIDA PRESUPUESTAL]],'Cost Report'!G:G,1,0),"Balance")</f>
        <v>Balance</v>
      </c>
      <c r="AD6677" s="159">
        <f>+Table1[[#This Row],[SUBTOTAL]]+Table1[[#This Row],[IVA]]-Table1[[#This Row],[RET IVA]]-Table1[[#This Row],[RET ISR]]-Table1[[#This Row],[TOTAL]]</f>
        <v>0</v>
      </c>
      <c r="AK6677" s="306" t="str">
        <f>IF(ISNUMBER(Table1[[#This Row],[FECHA DE RECIBIDO]]), Table1[[#This Row],[FECHA DE RECIBIDO]]-DATE(2023,8,30), "")</f>
        <v/>
      </c>
    </row>
    <row r="6678" spans="1:37" ht="18" customHeight="1">
      <c r="A6678" s="172" t="s">
        <v>5532</v>
      </c>
      <c r="B6678" s="178">
        <v>2428</v>
      </c>
      <c r="C6678" s="179" t="s">
        <v>3415</v>
      </c>
      <c r="D6678">
        <v>4560</v>
      </c>
      <c r="E6678" s="125" t="e">
        <v>#N/A</v>
      </c>
      <c r="F6678" s="178" t="e">
        <v>#N/A</v>
      </c>
      <c r="G6678" s="178" t="e">
        <v>#N/A</v>
      </c>
      <c r="H6678">
        <v>36</v>
      </c>
      <c r="I6678" s="178" t="e">
        <v>#N/A</v>
      </c>
      <c r="J6678" s="320" t="s">
        <v>214</v>
      </c>
      <c r="K6678" s="178" t="s">
        <v>5513</v>
      </c>
      <c r="L6678" s="125" t="s">
        <v>1579</v>
      </c>
      <c r="M6678">
        <v>40</v>
      </c>
      <c r="N6678" s="182">
        <v>17</v>
      </c>
      <c r="O6678">
        <v>4423</v>
      </c>
      <c r="P6678" s="176" t="s">
        <v>77</v>
      </c>
      <c r="Q6678" s="176">
        <v>14.66</v>
      </c>
      <c r="R6678" s="176">
        <v>2.35</v>
      </c>
      <c r="S6678" s="176"/>
      <c r="T6678" s="214">
        <v>0</v>
      </c>
      <c r="U6678" s="191"/>
      <c r="V6678" s="191">
        <v>17.010000000000002</v>
      </c>
      <c r="W6678">
        <v>93</v>
      </c>
      <c r="X6678" s="186" t="s">
        <v>3451</v>
      </c>
      <c r="Y6678" s="187" t="s">
        <v>55</v>
      </c>
      <c r="Z6678" s="311">
        <v>163</v>
      </c>
      <c r="AB6678" t="str">
        <f>IF(Table1[[#This Row],[TIPO2]]="costo", VLOOKUP(Table1[[#This Row],[PARTIDA PRESUPUESTAL]],'Cost Report'!G:G,1,0),"Balance")</f>
        <v>3629-006</v>
      </c>
      <c r="AD6678" s="159">
        <f>+Table1[[#This Row],[SUBTOTAL]]+Table1[[#This Row],[IVA]]-Table1[[#This Row],[RET IVA]]-Table1[[#This Row],[RET ISR]]-Table1[[#This Row],[TOTAL]]</f>
        <v>0</v>
      </c>
      <c r="AK6678" s="306" t="str">
        <f>IF(ISNUMBER(Table1[[#This Row],[FECHA DE RECIBIDO]]), Table1[[#This Row],[FECHA DE RECIBIDO]]-DATE(2023,8,30), "")</f>
        <v/>
      </c>
    </row>
    <row r="6679" spans="1:37" ht="18" customHeight="1">
      <c r="A6679" s="172" t="s">
        <v>5532</v>
      </c>
      <c r="B6679" s="178">
        <v>2428</v>
      </c>
      <c r="C6679" s="179" t="s">
        <v>3415</v>
      </c>
      <c r="D6679">
        <v>4561</v>
      </c>
      <c r="E6679" s="125" t="e">
        <v>#N/A</v>
      </c>
      <c r="F6679" s="178" t="e">
        <v>#N/A</v>
      </c>
      <c r="G6679" s="178" t="e">
        <v>#N/A</v>
      </c>
      <c r="H6679">
        <v>36</v>
      </c>
      <c r="I6679" s="178" t="e">
        <v>#N/A</v>
      </c>
      <c r="J6679" s="320" t="s">
        <v>214</v>
      </c>
      <c r="K6679" s="178" t="s">
        <v>5513</v>
      </c>
      <c r="L6679" s="125" t="s">
        <v>1579</v>
      </c>
      <c r="M6679">
        <v>40</v>
      </c>
      <c r="N6679" s="182">
        <v>17</v>
      </c>
      <c r="O6679">
        <v>4423</v>
      </c>
      <c r="P6679" s="176" t="s">
        <v>77</v>
      </c>
      <c r="Q6679" s="176">
        <v>14.66</v>
      </c>
      <c r="R6679" s="176">
        <v>2.35</v>
      </c>
      <c r="S6679" s="176"/>
      <c r="T6679" s="190">
        <v>0</v>
      </c>
      <c r="U6679" s="191"/>
      <c r="V6679" s="191">
        <v>17.010000000000002</v>
      </c>
      <c r="W6679">
        <v>93</v>
      </c>
      <c r="X6679" s="186" t="s">
        <v>3451</v>
      </c>
      <c r="Y6679" s="187" t="s">
        <v>55</v>
      </c>
      <c r="Z6679" s="311">
        <v>163</v>
      </c>
      <c r="AB6679" t="str">
        <f>IF(Table1[[#This Row],[TIPO2]]="costo", VLOOKUP(Table1[[#This Row],[PARTIDA PRESUPUESTAL]],'Cost Report'!G:G,1,0),"Balance")</f>
        <v>3629-006</v>
      </c>
      <c r="AD6679" s="159">
        <f>+Table1[[#This Row],[SUBTOTAL]]+Table1[[#This Row],[IVA]]-Table1[[#This Row],[RET IVA]]-Table1[[#This Row],[RET ISR]]-Table1[[#This Row],[TOTAL]]</f>
        <v>0</v>
      </c>
      <c r="AK6679" s="306" t="str">
        <f>IF(ISNUMBER(Table1[[#This Row],[FECHA DE RECIBIDO]]), Table1[[#This Row],[FECHA DE RECIBIDO]]-DATE(2023,8,30), "")</f>
        <v/>
      </c>
    </row>
    <row r="6680" spans="1:37" ht="18" customHeight="1">
      <c r="A6680" s="172" t="s">
        <v>5532</v>
      </c>
      <c r="B6680" s="178">
        <v>2428</v>
      </c>
      <c r="C6680" s="179" t="s">
        <v>3415</v>
      </c>
      <c r="D6680">
        <v>4562</v>
      </c>
      <c r="E6680" s="125" t="e">
        <v>#N/A</v>
      </c>
      <c r="F6680" s="178" t="e">
        <v>#N/A</v>
      </c>
      <c r="G6680" s="178" t="e">
        <v>#N/A</v>
      </c>
      <c r="H6680">
        <v>36</v>
      </c>
      <c r="I6680" s="178" t="e">
        <v>#N/A</v>
      </c>
      <c r="J6680" s="320" t="s">
        <v>214</v>
      </c>
      <c r="K6680" s="178" t="s">
        <v>5513</v>
      </c>
      <c r="L6680" s="125" t="s">
        <v>1579</v>
      </c>
      <c r="M6680">
        <v>1544</v>
      </c>
      <c r="N6680" s="182">
        <v>17</v>
      </c>
      <c r="O6680">
        <v>4396</v>
      </c>
      <c r="P6680" s="176" t="s">
        <v>77</v>
      </c>
      <c r="Q6680" s="176">
        <v>862.07</v>
      </c>
      <c r="R6680" s="176">
        <v>137.93</v>
      </c>
      <c r="S6680" s="176"/>
      <c r="T6680" s="190">
        <v>0</v>
      </c>
      <c r="U6680" s="191"/>
      <c r="V6680" s="191">
        <v>1000</v>
      </c>
      <c r="W6680">
        <v>93</v>
      </c>
      <c r="X6680" s="186" t="s">
        <v>3451</v>
      </c>
      <c r="Y6680" s="187" t="s">
        <v>55</v>
      </c>
      <c r="Z6680" s="311" t="s">
        <v>214</v>
      </c>
      <c r="AB6680" t="str">
        <f>IF(Table1[[#This Row],[TIPO2]]="costo", VLOOKUP(Table1[[#This Row],[PARTIDA PRESUPUESTAL]],'Cost Report'!G:G,1,0),"Balance")</f>
        <v>3629-006</v>
      </c>
      <c r="AD6680" s="159">
        <f>+Table1[[#This Row],[SUBTOTAL]]+Table1[[#This Row],[IVA]]-Table1[[#This Row],[RET IVA]]-Table1[[#This Row],[RET ISR]]-Table1[[#This Row],[TOTAL]]</f>
        <v>0</v>
      </c>
      <c r="AK6680" s="306" t="str">
        <f>IF(ISNUMBER(Table1[[#This Row],[FECHA DE RECIBIDO]]), Table1[[#This Row],[FECHA DE RECIBIDO]]-DATE(2023,8,30), "")</f>
        <v/>
      </c>
    </row>
    <row r="6681" spans="1:37" ht="18" customHeight="1">
      <c r="A6681" s="172" t="s">
        <v>5532</v>
      </c>
      <c r="B6681" s="178">
        <v>2428</v>
      </c>
      <c r="C6681" s="179" t="s">
        <v>3415</v>
      </c>
      <c r="D6681">
        <v>4563</v>
      </c>
      <c r="E6681" s="125" t="e">
        <v>#N/A</v>
      </c>
      <c r="F6681" s="178" t="e">
        <v>#N/A</v>
      </c>
      <c r="G6681" s="178" t="e">
        <v>#N/A</v>
      </c>
      <c r="H6681">
        <v>36</v>
      </c>
      <c r="I6681" s="178" t="e">
        <v>#N/A</v>
      </c>
      <c r="J6681" s="320" t="s">
        <v>214</v>
      </c>
      <c r="K6681" s="178" t="s">
        <v>5513</v>
      </c>
      <c r="L6681" s="125" t="s">
        <v>1579</v>
      </c>
      <c r="M6681">
        <v>1544</v>
      </c>
      <c r="N6681" s="182">
        <v>17</v>
      </c>
      <c r="O6681">
        <v>4396</v>
      </c>
      <c r="P6681" s="176" t="s">
        <v>77</v>
      </c>
      <c r="Q6681" s="176">
        <v>1293.0999999999999</v>
      </c>
      <c r="R6681" s="176">
        <v>206.9</v>
      </c>
      <c r="S6681" s="176"/>
      <c r="T6681" s="190">
        <v>0</v>
      </c>
      <c r="U6681" s="191"/>
      <c r="V6681" s="191">
        <v>1500</v>
      </c>
      <c r="W6681">
        <v>93</v>
      </c>
      <c r="X6681" s="186" t="s">
        <v>3451</v>
      </c>
      <c r="Y6681" s="187" t="s">
        <v>55</v>
      </c>
      <c r="Z6681" s="311">
        <v>366</v>
      </c>
      <c r="AB6681" t="str">
        <f>IF(Table1[[#This Row],[TIPO2]]="costo", VLOOKUP(Table1[[#This Row],[PARTIDA PRESUPUESTAL]],'Cost Report'!G:G,1,0),"Balance")</f>
        <v>3629-006</v>
      </c>
      <c r="AD6681" s="159">
        <f>+Table1[[#This Row],[SUBTOTAL]]+Table1[[#This Row],[IVA]]-Table1[[#This Row],[RET IVA]]-Table1[[#This Row],[RET ISR]]-Table1[[#This Row],[TOTAL]]</f>
        <v>0</v>
      </c>
      <c r="AK6681" s="306" t="str">
        <f>IF(ISNUMBER(Table1[[#This Row],[FECHA DE RECIBIDO]]), Table1[[#This Row],[FECHA DE RECIBIDO]]-DATE(2023,8,30), "")</f>
        <v/>
      </c>
    </row>
    <row r="6682" spans="1:37" ht="18" customHeight="1">
      <c r="A6682" s="172" t="s">
        <v>5532</v>
      </c>
      <c r="B6682" s="178">
        <v>2428</v>
      </c>
      <c r="C6682" s="179" t="s">
        <v>5501</v>
      </c>
      <c r="D6682">
        <v>4564</v>
      </c>
      <c r="E6682" s="125"/>
      <c r="F6682" s="178"/>
      <c r="G6682" s="178"/>
      <c r="H6682"/>
      <c r="I6682" s="178"/>
      <c r="J6682" s="320">
        <v>369</v>
      </c>
      <c r="K6682" s="178" t="s">
        <v>5513</v>
      </c>
      <c r="L6682" s="125" t="s">
        <v>1579</v>
      </c>
      <c r="M6682">
        <v>1559</v>
      </c>
      <c r="N6682" s="182">
        <v>17</v>
      </c>
      <c r="O6682">
        <v>4424</v>
      </c>
      <c r="P6682" s="176" t="s">
        <v>77</v>
      </c>
      <c r="Q6682" s="176">
        <v>3900</v>
      </c>
      <c r="R6682" s="176"/>
      <c r="S6682" s="176"/>
      <c r="T6682" s="190">
        <v>0</v>
      </c>
      <c r="U6682" s="191"/>
      <c r="V6682" s="191">
        <v>3900</v>
      </c>
      <c r="W6682">
        <v>93</v>
      </c>
      <c r="X6682" s="186" t="s">
        <v>3451</v>
      </c>
      <c r="Y6682" s="187" t="s">
        <v>55</v>
      </c>
      <c r="Z6682" s="311">
        <v>369</v>
      </c>
      <c r="AB6682" t="str">
        <f>IF(Table1[[#This Row],[TIPO2]]="costo", VLOOKUP(Table1[[#This Row],[PARTIDA PRESUPUESTAL]],'Cost Report'!G:G,1,0),"Balance")</f>
        <v>5221-001</v>
      </c>
      <c r="AD6682" s="159">
        <f>+Table1[[#This Row],[SUBTOTAL]]+Table1[[#This Row],[IVA]]-Table1[[#This Row],[RET IVA]]-Table1[[#This Row],[RET ISR]]-Table1[[#This Row],[TOTAL]]</f>
        <v>0</v>
      </c>
      <c r="AK6682" s="306">
        <f>IF(ISNUMBER(Table1[[#This Row],[FECHA DE RECIBIDO]]), Table1[[#This Row],[FECHA DE RECIBIDO]]-DATE(2023,8,30), "")</f>
        <v>-44799</v>
      </c>
    </row>
    <row r="6683" spans="1:37" ht="18" customHeight="1">
      <c r="A6683" s="172" t="s">
        <v>5532</v>
      </c>
      <c r="B6683" s="178">
        <v>2428</v>
      </c>
      <c r="C6683" s="179" t="s">
        <v>2371</v>
      </c>
      <c r="D6683">
        <v>689</v>
      </c>
      <c r="E6683" s="125"/>
      <c r="F6683" s="178"/>
      <c r="G6683" s="178"/>
      <c r="H6683"/>
      <c r="I6683" s="178"/>
      <c r="J6683" s="320" t="s">
        <v>214</v>
      </c>
      <c r="K6683" s="178" t="s">
        <v>5513</v>
      </c>
      <c r="L6683" s="125" t="s">
        <v>1579</v>
      </c>
      <c r="M6683">
        <v>1548</v>
      </c>
      <c r="N6683" s="182">
        <v>17</v>
      </c>
      <c r="O6683">
        <v>4425</v>
      </c>
      <c r="P6683" s="176" t="s">
        <v>77</v>
      </c>
      <c r="Q6683" s="176">
        <v>124.24</v>
      </c>
      <c r="R6683" s="176"/>
      <c r="S6683" s="176"/>
      <c r="T6683" s="190">
        <v>0</v>
      </c>
      <c r="U6683" s="191"/>
      <c r="V6683" s="191">
        <v>124.24</v>
      </c>
      <c r="W6683">
        <v>93</v>
      </c>
      <c r="X6683" s="186" t="s">
        <v>3451</v>
      </c>
      <c r="Y6683" s="187" t="s">
        <v>55</v>
      </c>
      <c r="Z6683" s="311" t="s">
        <v>214</v>
      </c>
      <c r="AB6683" t="str">
        <f>IF(Table1[[#This Row],[TIPO2]]="costo", VLOOKUP(Table1[[#This Row],[PARTIDA PRESUPUESTAL]],'Cost Report'!G:G,1,0),"Balance")</f>
        <v>1643-003</v>
      </c>
      <c r="AD6683" s="159">
        <f>+Table1[[#This Row],[SUBTOTAL]]+Table1[[#This Row],[IVA]]-Table1[[#This Row],[RET IVA]]-Table1[[#This Row],[RET ISR]]-Table1[[#This Row],[TOTAL]]</f>
        <v>0</v>
      </c>
      <c r="AK6683" s="306" t="str">
        <f>IF(ISNUMBER(Table1[[#This Row],[FECHA DE RECIBIDO]]), Table1[[#This Row],[FECHA DE RECIBIDO]]-DATE(2023,8,30), "")</f>
        <v/>
      </c>
    </row>
    <row r="6684" spans="1:37" ht="18" customHeight="1">
      <c r="A6684" s="172" t="s">
        <v>5532</v>
      </c>
      <c r="B6684" s="178">
        <v>2428</v>
      </c>
      <c r="C6684" s="179" t="s">
        <v>2371</v>
      </c>
      <c r="D6684">
        <v>689</v>
      </c>
      <c r="E6684" s="125"/>
      <c r="F6684" s="178"/>
      <c r="G6684" s="178"/>
      <c r="H6684"/>
      <c r="I6684" s="178"/>
      <c r="J6684" s="320" t="s">
        <v>214</v>
      </c>
      <c r="K6684" s="178" t="s">
        <v>5513</v>
      </c>
      <c r="L6684" s="125" t="s">
        <v>1579</v>
      </c>
      <c r="M6684">
        <v>1548</v>
      </c>
      <c r="N6684" s="182">
        <v>17</v>
      </c>
      <c r="O6684">
        <v>4425</v>
      </c>
      <c r="P6684" s="176" t="s">
        <v>77</v>
      </c>
      <c r="Q6684" s="176">
        <v>89.94</v>
      </c>
      <c r="R6684" s="176"/>
      <c r="S6684" s="176"/>
      <c r="T6684" s="190">
        <v>0</v>
      </c>
      <c r="U6684" s="191"/>
      <c r="V6684" s="191">
        <v>89.94</v>
      </c>
      <c r="W6684">
        <v>93</v>
      </c>
      <c r="X6684" s="186" t="s">
        <v>3451</v>
      </c>
      <c r="Y6684" s="187" t="s">
        <v>55</v>
      </c>
      <c r="Z6684" s="311" t="s">
        <v>214</v>
      </c>
      <c r="AB6684" t="str">
        <f>IF(Table1[[#This Row],[TIPO2]]="costo", VLOOKUP(Table1[[#This Row],[PARTIDA PRESUPUESTAL]],'Cost Report'!G:G,1,0),"Balance")</f>
        <v>1643-003</v>
      </c>
      <c r="AD6684" s="159">
        <f>+Table1[[#This Row],[SUBTOTAL]]+Table1[[#This Row],[IVA]]-Table1[[#This Row],[RET IVA]]-Table1[[#This Row],[RET ISR]]-Table1[[#This Row],[TOTAL]]</f>
        <v>0</v>
      </c>
      <c r="AK6684" s="306" t="str">
        <f>IF(ISNUMBER(Table1[[#This Row],[FECHA DE RECIBIDO]]), Table1[[#This Row],[FECHA DE RECIBIDO]]-DATE(2023,8,30), "")</f>
        <v/>
      </c>
    </row>
    <row r="6685" spans="1:37" ht="18" customHeight="1">
      <c r="A6685" s="172" t="s">
        <v>5532</v>
      </c>
      <c r="B6685" s="178">
        <v>2428</v>
      </c>
      <c r="C6685" s="179" t="s">
        <v>3415</v>
      </c>
      <c r="D6685">
        <v>689</v>
      </c>
      <c r="E6685" s="125"/>
      <c r="F6685" s="178"/>
      <c r="G6685" s="178"/>
      <c r="H6685"/>
      <c r="I6685" s="178"/>
      <c r="J6685" s="320" t="s">
        <v>214</v>
      </c>
      <c r="K6685" s="178" t="s">
        <v>5513</v>
      </c>
      <c r="L6685" s="125" t="s">
        <v>1579</v>
      </c>
      <c r="M6685">
        <v>1560</v>
      </c>
      <c r="N6685" s="182">
        <v>17</v>
      </c>
      <c r="O6685">
        <v>4426</v>
      </c>
      <c r="P6685" s="176" t="s">
        <v>77</v>
      </c>
      <c r="Q6685" s="176">
        <v>34.799999999999997</v>
      </c>
      <c r="R6685" s="176"/>
      <c r="S6685" s="176"/>
      <c r="T6685" s="190">
        <v>0</v>
      </c>
      <c r="U6685" s="191"/>
      <c r="V6685" s="191">
        <v>34.799999999999997</v>
      </c>
      <c r="W6685">
        <v>93</v>
      </c>
      <c r="X6685" s="186" t="s">
        <v>3451</v>
      </c>
      <c r="Y6685" s="187" t="s">
        <v>55</v>
      </c>
      <c r="Z6685" s="311" t="s">
        <v>214</v>
      </c>
      <c r="AB6685" t="str">
        <f>IF(Table1[[#This Row],[TIPO2]]="costo", VLOOKUP(Table1[[#This Row],[PARTIDA PRESUPUESTAL]],'Cost Report'!G:G,1,0),"Balance")</f>
        <v>3629-006</v>
      </c>
      <c r="AD6685" s="159">
        <f>+Table1[[#This Row],[SUBTOTAL]]+Table1[[#This Row],[IVA]]-Table1[[#This Row],[RET IVA]]-Table1[[#This Row],[RET ISR]]-Table1[[#This Row],[TOTAL]]</f>
        <v>0</v>
      </c>
      <c r="AK6685" s="306" t="str">
        <f>IF(ISNUMBER(Table1[[#This Row],[FECHA DE RECIBIDO]]), Table1[[#This Row],[FECHA DE RECIBIDO]]-DATE(2023,8,30), "")</f>
        <v/>
      </c>
    </row>
    <row r="6686" spans="1:37" ht="18" customHeight="1">
      <c r="A6686" s="172" t="s">
        <v>5533</v>
      </c>
      <c r="B6686" s="178">
        <v>2429</v>
      </c>
      <c r="C6686" s="179" t="s">
        <v>2868</v>
      </c>
      <c r="D6686">
        <v>4565</v>
      </c>
      <c r="E6686" s="125" t="e">
        <v>#N/A</v>
      </c>
      <c r="F6686" s="178" t="e">
        <v>#N/A</v>
      </c>
      <c r="G6686" s="178" t="e">
        <v>#N/A</v>
      </c>
      <c r="H6686">
        <v>36</v>
      </c>
      <c r="I6686" s="178" t="e">
        <v>#N/A</v>
      </c>
      <c r="J6686" s="320" t="s">
        <v>214</v>
      </c>
      <c r="K6686" s="178" t="s">
        <v>5513</v>
      </c>
      <c r="L6686" s="125" t="s">
        <v>1579</v>
      </c>
      <c r="M6686">
        <v>495</v>
      </c>
      <c r="N6686" s="182">
        <v>17</v>
      </c>
      <c r="O6686">
        <v>4427</v>
      </c>
      <c r="P6686" s="176" t="s">
        <v>77</v>
      </c>
      <c r="Q6686" s="176">
        <f>9903.09+304.07</f>
        <v>10207.16</v>
      </c>
      <c r="R6686" s="176">
        <v>1584.5</v>
      </c>
      <c r="S6686" s="176">
        <v>304.07</v>
      </c>
      <c r="T6686" s="190">
        <v>0</v>
      </c>
      <c r="U6686" s="191"/>
      <c r="V6686" s="191">
        <v>11791.66</v>
      </c>
      <c r="W6686"/>
      <c r="X6686" s="186"/>
      <c r="Y6686" s="187" t="s">
        <v>55</v>
      </c>
      <c r="Z6686" s="311" t="s">
        <v>214</v>
      </c>
      <c r="AB6686" t="str">
        <f>IF(Table1[[#This Row],[TIPO2]]="costo", VLOOKUP(Table1[[#This Row],[PARTIDA PRESUPUESTAL]],'Cost Report'!G:G,1,0),"Balance")</f>
        <v>3632-009</v>
      </c>
      <c r="AD6686" s="159">
        <f>+Table1[[#This Row],[SUBTOTAL]]+Table1[[#This Row],[IVA]]-Table1[[#This Row],[RET IVA]]-Table1[[#This Row],[RET ISR]]-Table1[[#This Row],[TOTAL]]</f>
        <v>0</v>
      </c>
      <c r="AK6686" s="306" t="str">
        <f>IF(ISNUMBER(Table1[[#This Row],[FECHA DE RECIBIDO]]), Table1[[#This Row],[FECHA DE RECIBIDO]]-DATE(2023,8,30), "")</f>
        <v/>
      </c>
    </row>
    <row r="6687" spans="1:37" ht="18" customHeight="1">
      <c r="A6687" s="172" t="s">
        <v>4623</v>
      </c>
      <c r="B6687" s="178">
        <v>1606</v>
      </c>
      <c r="C6687" s="179" t="s">
        <v>71</v>
      </c>
      <c r="D6687"/>
      <c r="E6687" s="125"/>
      <c r="F6687" s="178"/>
      <c r="G6687" s="178"/>
      <c r="H6687"/>
      <c r="I6687" s="178"/>
      <c r="J6687" s="320" t="s">
        <v>214</v>
      </c>
      <c r="K6687" s="178" t="s">
        <v>5513</v>
      </c>
      <c r="L6687" s="125" t="s">
        <v>1643</v>
      </c>
      <c r="M6687">
        <v>1561</v>
      </c>
      <c r="N6687" s="182"/>
      <c r="O6687">
        <v>4428</v>
      </c>
      <c r="P6687" s="203" t="s">
        <v>5457</v>
      </c>
      <c r="Q6687" s="176">
        <v>-6683</v>
      </c>
      <c r="R6687" s="176"/>
      <c r="S6687" s="176"/>
      <c r="T6687" s="190">
        <v>0</v>
      </c>
      <c r="U6687" s="191"/>
      <c r="V6687" s="191">
        <f>+Table1[[#This Row],[SUBTOTAL]]+Table1[[#This Row],[IVA]]-Table1[[#This Row],[RET IVA]]-Table1[[#This Row],[RET ISR]]</f>
        <v>-6683</v>
      </c>
      <c r="W6687"/>
      <c r="X6687" s="186"/>
      <c r="Y6687" s="187"/>
      <c r="Z6687" s="311" t="s">
        <v>214</v>
      </c>
      <c r="AB6687" t="str">
        <f>IF(Table1[[#This Row],[TIPO2]]="costo", VLOOKUP(Table1[[#This Row],[PARTIDA PRESUPUESTAL]],'Cost Report'!G:G,1,0),"Balance")</f>
        <v>Balance</v>
      </c>
      <c r="AD6687" s="159">
        <f>+Table1[[#This Row],[SUBTOTAL]]+Table1[[#This Row],[IVA]]-Table1[[#This Row],[RET IVA]]-Table1[[#This Row],[RET ISR]]-Table1[[#This Row],[TOTAL]]</f>
        <v>0</v>
      </c>
      <c r="AK6687" s="306" t="str">
        <f>IF(ISNUMBER(Table1[[#This Row],[FECHA DE RECIBIDO]]), Table1[[#This Row],[FECHA DE RECIBIDO]]-DATE(2023,8,30), "")</f>
        <v/>
      </c>
    </row>
    <row r="6688" spans="1:37" ht="18" customHeight="1">
      <c r="A6688" s="172" t="s">
        <v>5533</v>
      </c>
      <c r="B6688" s="178">
        <v>2429</v>
      </c>
      <c r="C6688" s="179" t="s">
        <v>71</v>
      </c>
      <c r="D6688"/>
      <c r="E6688" s="125" t="e">
        <v>#N/A</v>
      </c>
      <c r="F6688" s="178" t="e">
        <v>#N/A</v>
      </c>
      <c r="G6688" s="178" t="e">
        <v>#N/A</v>
      </c>
      <c r="H6688">
        <v>36</v>
      </c>
      <c r="I6688" s="178" t="e">
        <v>#N/A</v>
      </c>
      <c r="J6688" s="320" t="s">
        <v>214</v>
      </c>
      <c r="K6688" s="178" t="s">
        <v>5513</v>
      </c>
      <c r="L6688" s="125" t="s">
        <v>1579</v>
      </c>
      <c r="M6688">
        <v>495</v>
      </c>
      <c r="N6688" s="182">
        <v>17</v>
      </c>
      <c r="O6688">
        <v>4429</v>
      </c>
      <c r="P6688" s="176" t="s">
        <v>78</v>
      </c>
      <c r="Q6688" s="176">
        <v>-11791.66</v>
      </c>
      <c r="R6688" s="176"/>
      <c r="S6688" s="176"/>
      <c r="T6688" s="183">
        <v>0</v>
      </c>
      <c r="U6688" s="184"/>
      <c r="V6688" s="184">
        <f>+Q6688</f>
        <v>-11791.66</v>
      </c>
      <c r="W6688"/>
      <c r="X6688" s="186"/>
      <c r="Y6688" s="187" t="s">
        <v>55</v>
      </c>
      <c r="Z6688" s="311" t="s">
        <v>214</v>
      </c>
      <c r="AB6688" s="215" t="str">
        <f>IF(Table1[[#This Row],[TIPO2]]="costo", VLOOKUP(Table1[[#This Row],[PARTIDA PRESUPUESTAL]],'Cost Report'!G:G,1,0),"Balance")</f>
        <v>Balance</v>
      </c>
      <c r="AC6688" s="215"/>
      <c r="AD6688" s="159">
        <f>+Table1[[#This Row],[SUBTOTAL]]+Table1[[#This Row],[IVA]]-Table1[[#This Row],[RET IVA]]-Table1[[#This Row],[RET ISR]]-Table1[[#This Row],[TOTAL]]</f>
        <v>0</v>
      </c>
      <c r="AK6688" s="306" t="str">
        <f>IF(ISNUMBER(Table1[[#This Row],[FECHA DE RECIBIDO]]), Table1[[#This Row],[FECHA DE RECIBIDO]]-DATE(2023,8,30), "")</f>
        <v/>
      </c>
    </row>
    <row r="6689" spans="1:37" ht="18" customHeight="1">
      <c r="A6689" s="172"/>
      <c r="B6689" s="178"/>
      <c r="C6689" s="179" t="s">
        <v>3102</v>
      </c>
      <c r="D6689"/>
      <c r="E6689" s="125"/>
      <c r="F6689" s="178"/>
      <c r="G6689" s="178"/>
      <c r="H6689"/>
      <c r="I6689" s="178"/>
      <c r="J6689" s="320" t="s">
        <v>214</v>
      </c>
      <c r="K6689" s="178" t="s">
        <v>5513</v>
      </c>
      <c r="L6689" s="125" t="s">
        <v>4317</v>
      </c>
      <c r="M6689">
        <v>7</v>
      </c>
      <c r="N6689" s="182"/>
      <c r="O6689">
        <v>4296</v>
      </c>
      <c r="P6689" s="176" t="s">
        <v>77</v>
      </c>
      <c r="Q6689" s="176">
        <v>600</v>
      </c>
      <c r="R6689" s="176">
        <f>+Table1[[#This Row],[SUBTOTAL]]*0.16</f>
        <v>96</v>
      </c>
      <c r="S6689" s="176"/>
      <c r="T6689" s="190">
        <v>0</v>
      </c>
      <c r="U6689" s="191"/>
      <c r="V6689" s="191">
        <f>+Table1[[#This Row],[SUBTOTAL]]+Table1[[#This Row],[IVA]]-Table1[[#This Row],[RET IVA]]-Table1[[#This Row],[RET ISR]]</f>
        <v>696</v>
      </c>
      <c r="W6689"/>
      <c r="X6689" s="186"/>
      <c r="Y6689" s="187"/>
      <c r="Z6689" s="311" t="s">
        <v>214</v>
      </c>
      <c r="AB6689" t="str">
        <f>IF(Table1[[#This Row],[TIPO2]]="costo", VLOOKUP(Table1[[#This Row],[PARTIDA PRESUPUESTAL]],'Cost Report'!G:G,1,0),"Balance")</f>
        <v>7038-008</v>
      </c>
      <c r="AD6689" s="159">
        <f>+Table1[[#This Row],[SUBTOTAL]]+Table1[[#This Row],[IVA]]-Table1[[#This Row],[RET IVA]]-Table1[[#This Row],[RET ISR]]-Table1[[#This Row],[TOTAL]]</f>
        <v>0</v>
      </c>
      <c r="AK6689" s="306" t="str">
        <f>IF(ISNUMBER(Table1[[#This Row],[FECHA DE RECIBIDO]]), Table1[[#This Row],[FECHA DE RECIBIDO]]-DATE(2023,8,30), "")</f>
        <v/>
      </c>
    </row>
    <row r="6690" spans="1:37" ht="18" customHeight="1">
      <c r="A6690" s="172" t="s">
        <v>5171</v>
      </c>
      <c r="B6690" s="178" t="s">
        <v>1576</v>
      </c>
      <c r="C6690" s="179" t="s">
        <v>74</v>
      </c>
      <c r="D6690">
        <v>4566</v>
      </c>
      <c r="E6690" s="125"/>
      <c r="F6690" s="178"/>
      <c r="G6690" s="178"/>
      <c r="H6690"/>
      <c r="I6690" s="178"/>
      <c r="J6690" s="320" t="s">
        <v>214</v>
      </c>
      <c r="K6690" s="178" t="s">
        <v>5513</v>
      </c>
      <c r="L6690" s="125" t="s">
        <v>98</v>
      </c>
      <c r="M6690">
        <v>28</v>
      </c>
      <c r="N6690" s="182"/>
      <c r="O6690">
        <v>4430</v>
      </c>
      <c r="P6690" s="176" t="s">
        <v>78</v>
      </c>
      <c r="Q6690" s="176">
        <v>4075250</v>
      </c>
      <c r="R6690" s="176">
        <v>0</v>
      </c>
      <c r="S6690" s="176"/>
      <c r="T6690" s="190">
        <v>0</v>
      </c>
      <c r="U6690" s="191">
        <v>0</v>
      </c>
      <c r="V6690" s="191">
        <v>8697617</v>
      </c>
      <c r="W6690">
        <v>34</v>
      </c>
      <c r="X6690" s="186" t="s">
        <v>1576</v>
      </c>
      <c r="Y6690" s="187" t="s">
        <v>55</v>
      </c>
      <c r="Z6690" s="311">
        <v>289</v>
      </c>
      <c r="AB6690" t="s">
        <v>78</v>
      </c>
      <c r="AD6690" s="159">
        <v>0</v>
      </c>
      <c r="AK6690" s="306" t="str">
        <f>IF(ISNUMBER(Table1[[#This Row],[FECHA DE RECIBIDO]]), Table1[[#This Row],[FECHA DE RECIBIDO]]-DATE(2023,8,30), "")</f>
        <v/>
      </c>
    </row>
    <row r="6691" spans="1:37" ht="18" customHeight="1">
      <c r="A6691" s="172"/>
      <c r="B6691" s="178"/>
      <c r="C6691" s="179" t="s">
        <v>3097</v>
      </c>
      <c r="D6691"/>
      <c r="E6691" s="125"/>
      <c r="F6691" s="178"/>
      <c r="G6691" s="178"/>
      <c r="H6691"/>
      <c r="I6691" s="178"/>
      <c r="J6691" s="320" t="s">
        <v>214</v>
      </c>
      <c r="K6691" s="178" t="s">
        <v>5513</v>
      </c>
      <c r="L6691" s="125"/>
      <c r="M6691">
        <v>61</v>
      </c>
      <c r="N6691" s="182"/>
      <c r="O6691">
        <v>4431</v>
      </c>
      <c r="P6691" s="176" t="s">
        <v>77</v>
      </c>
      <c r="Q6691" s="176">
        <v>4075250</v>
      </c>
      <c r="R6691" s="176"/>
      <c r="S6691" s="176"/>
      <c r="T6691" s="190">
        <v>0</v>
      </c>
      <c r="U6691" s="191"/>
      <c r="V6691" s="191">
        <f>+Table1[[#This Row],[SUBTOTAL]]+Table1[[#This Row],[IVA]]-Table1[[#This Row],[RET IVA]]-Table1[[#This Row],[RET ISR]]</f>
        <v>4075250</v>
      </c>
      <c r="W6691"/>
      <c r="X6691" s="186"/>
      <c r="Y6691" s="187"/>
      <c r="Z6691" s="311" t="s">
        <v>214</v>
      </c>
      <c r="AB6691" t="str">
        <f>IF(Table1[[#This Row],[TIPO2]]="costo", VLOOKUP(Table1[[#This Row],[PARTIDA PRESUPUESTAL]],'Cost Report'!G:G,1,0),"Balance")</f>
        <v>7003-004</v>
      </c>
      <c r="AD6691" s="159">
        <f>+Table1[[#This Row],[SUBTOTAL]]+Table1[[#This Row],[IVA]]-Table1[[#This Row],[RET IVA]]-Table1[[#This Row],[RET ISR]]-Table1[[#This Row],[TOTAL]]</f>
        <v>0</v>
      </c>
      <c r="AK6691" s="306" t="str">
        <f>IF(ISNUMBER(Table1[[#This Row],[FECHA DE RECIBIDO]]), Table1[[#This Row],[FECHA DE RECIBIDO]]-DATE(2023,8,30), "")</f>
        <v/>
      </c>
    </row>
    <row r="6692" spans="1:37" ht="18" customHeight="1">
      <c r="A6692" s="172" t="s">
        <v>5534</v>
      </c>
      <c r="B6692" s="178">
        <v>2430</v>
      </c>
      <c r="C6692" s="179" t="s">
        <v>1792</v>
      </c>
      <c r="D6692">
        <v>4567</v>
      </c>
      <c r="E6692" s="125" t="s">
        <v>2001</v>
      </c>
      <c r="F6692" s="178">
        <v>601</v>
      </c>
      <c r="G6692" s="178" t="s">
        <v>134</v>
      </c>
      <c r="H6692">
        <v>23</v>
      </c>
      <c r="I6692" s="178" t="s">
        <v>1546</v>
      </c>
      <c r="J6692" s="320">
        <v>390.67520833333401</v>
      </c>
      <c r="K6692" s="178" t="s">
        <v>5535</v>
      </c>
      <c r="L6692" s="125" t="s">
        <v>3306</v>
      </c>
      <c r="M6692">
        <v>32</v>
      </c>
      <c r="N6692" s="182">
        <v>1</v>
      </c>
      <c r="O6692">
        <v>4432</v>
      </c>
      <c r="P6692" s="176" t="s">
        <v>77</v>
      </c>
      <c r="Q6692" s="176">
        <v>13600</v>
      </c>
      <c r="R6692" s="176">
        <v>2176</v>
      </c>
      <c r="S6692" s="176">
        <v>0</v>
      </c>
      <c r="T6692" s="190">
        <v>0</v>
      </c>
      <c r="U6692" s="191">
        <v>0</v>
      </c>
      <c r="V6692" s="191">
        <v>15776</v>
      </c>
      <c r="W6692">
        <v>532</v>
      </c>
      <c r="X6692" s="186" t="s">
        <v>105</v>
      </c>
      <c r="Y6692" s="187" t="s">
        <v>55</v>
      </c>
      <c r="Z6692" s="311">
        <v>393</v>
      </c>
      <c r="AB6692" t="str">
        <f>IF(Table1[[#This Row],[TIPO2]]="costo", VLOOKUP(Table1[[#This Row],[PARTIDA PRESUPUESTAL]],'Cost Report'!G:G,1,0),"Balance")</f>
        <v>1287-007</v>
      </c>
      <c r="AD6692" s="159">
        <f>+Table1[[#This Row],[SUBTOTAL]]+Table1[[#This Row],[IVA]]-Table1[[#This Row],[RET IVA]]-Table1[[#This Row],[RET ISR]]-Table1[[#This Row],[TOTAL]]</f>
        <v>0</v>
      </c>
      <c r="AK6692" s="306">
        <f>IF(ISNUMBER(Table1[[#This Row],[FECHA DE RECIBIDO]]), Table1[[#This Row],[FECHA DE RECIBIDO]]-DATE(2023,8,30), "")</f>
        <v>-44777.324791666666</v>
      </c>
    </row>
    <row r="6693" spans="1:37" ht="18" customHeight="1">
      <c r="A6693" s="172" t="s">
        <v>5536</v>
      </c>
      <c r="B6693" s="178">
        <v>2431</v>
      </c>
      <c r="C6693" s="179" t="s">
        <v>71</v>
      </c>
      <c r="D6693">
        <v>4568</v>
      </c>
      <c r="E6693" s="125" t="e">
        <v>#N/A</v>
      </c>
      <c r="F6693" s="178" t="e">
        <v>#N/A</v>
      </c>
      <c r="G6693" s="178" t="e">
        <v>#N/A</v>
      </c>
      <c r="H6693">
        <v>36</v>
      </c>
      <c r="I6693" s="178" t="e">
        <v>#N/A</v>
      </c>
      <c r="J6693" s="320" t="s">
        <v>214</v>
      </c>
      <c r="K6693" s="178" t="s">
        <v>5537</v>
      </c>
      <c r="L6693" s="125" t="s">
        <v>1579</v>
      </c>
      <c r="M6693">
        <v>495</v>
      </c>
      <c r="N6693" s="182">
        <v>17</v>
      </c>
      <c r="O6693">
        <v>4433</v>
      </c>
      <c r="P6693" s="176" t="s">
        <v>78</v>
      </c>
      <c r="Q6693" s="176">
        <v>4200</v>
      </c>
      <c r="R6693" s="176"/>
      <c r="S6693" s="176"/>
      <c r="T6693" s="190">
        <v>0</v>
      </c>
      <c r="U6693" s="191"/>
      <c r="V6693" s="191">
        <v>4200</v>
      </c>
      <c r="W6693"/>
      <c r="X6693" s="186"/>
      <c r="Y6693" s="187" t="s">
        <v>55</v>
      </c>
      <c r="Z6693" s="311" t="s">
        <v>214</v>
      </c>
      <c r="AB6693" t="str">
        <f>IF(Table1[[#This Row],[TIPO2]]="costo", VLOOKUP(Table1[[#This Row],[PARTIDA PRESUPUESTAL]],'Cost Report'!G:G,1,0),"Balance")</f>
        <v>Balance</v>
      </c>
      <c r="AD6693" s="159">
        <f>+Table1[[#This Row],[SUBTOTAL]]+Table1[[#This Row],[IVA]]-Table1[[#This Row],[RET IVA]]-Table1[[#This Row],[RET ISR]]-Table1[[#This Row],[TOTAL]]</f>
        <v>0</v>
      </c>
      <c r="AK6693" s="306" t="str">
        <f>IF(ISNUMBER(Table1[[#This Row],[FECHA DE RECIBIDO]]), Table1[[#This Row],[FECHA DE RECIBIDO]]-DATE(2023,8,30), "")</f>
        <v/>
      </c>
    </row>
    <row r="6694" spans="1:37" ht="18" customHeight="1">
      <c r="A6694" s="172" t="s">
        <v>5536</v>
      </c>
      <c r="B6694" s="178">
        <v>2431</v>
      </c>
      <c r="C6694" s="179" t="s">
        <v>3103</v>
      </c>
      <c r="D6694"/>
      <c r="E6694" s="125" t="e">
        <v>#N/A</v>
      </c>
      <c r="F6694" s="178" t="e">
        <v>#N/A</v>
      </c>
      <c r="G6694" s="178" t="e">
        <v>#N/A</v>
      </c>
      <c r="H6694">
        <v>36</v>
      </c>
      <c r="I6694" s="178" t="e">
        <v>#N/A</v>
      </c>
      <c r="J6694" s="320" t="s">
        <v>214</v>
      </c>
      <c r="K6694" s="178" t="s">
        <v>5537</v>
      </c>
      <c r="L6694" s="125" t="s">
        <v>1579</v>
      </c>
      <c r="M6694">
        <v>495</v>
      </c>
      <c r="N6694" s="182">
        <v>17</v>
      </c>
      <c r="O6694">
        <v>360</v>
      </c>
      <c r="P6694" s="176" t="s">
        <v>77</v>
      </c>
      <c r="Q6694" s="176">
        <v>400</v>
      </c>
      <c r="R6694" s="176">
        <v>64</v>
      </c>
      <c r="S6694" s="176"/>
      <c r="T6694" s="190">
        <v>0</v>
      </c>
      <c r="U6694" s="191"/>
      <c r="V6694" s="191">
        <v>464</v>
      </c>
      <c r="W6694"/>
      <c r="X6694" s="186"/>
      <c r="Y6694" s="187" t="s">
        <v>55</v>
      </c>
      <c r="Z6694" s="311" t="s">
        <v>214</v>
      </c>
      <c r="AB6694" t="str">
        <f>IF(Table1[[#This Row],[TIPO2]]="costo", VLOOKUP(Table1[[#This Row],[PARTIDA PRESUPUESTAL]],'Cost Report'!G:G,1,0),"Balance")</f>
        <v>7038-009</v>
      </c>
      <c r="AD6694" s="159">
        <f>+Table1[[#This Row],[SUBTOTAL]]+Table1[[#This Row],[IVA]]-Table1[[#This Row],[RET IVA]]-Table1[[#This Row],[RET ISR]]-Table1[[#This Row],[TOTAL]]</f>
        <v>0</v>
      </c>
      <c r="AK6694" s="306" t="str">
        <f>IF(ISNUMBER(Table1[[#This Row],[FECHA DE RECIBIDO]]), Table1[[#This Row],[FECHA DE RECIBIDO]]-DATE(2023,8,30), "")</f>
        <v/>
      </c>
    </row>
    <row r="6695" spans="1:37" ht="18" customHeight="1">
      <c r="A6695" s="172" t="s">
        <v>5538</v>
      </c>
      <c r="B6695" s="178">
        <v>2432</v>
      </c>
      <c r="C6695" s="179" t="s">
        <v>2868</v>
      </c>
      <c r="D6695">
        <v>4569</v>
      </c>
      <c r="E6695" s="125" t="e">
        <v>#N/A</v>
      </c>
      <c r="F6695" s="178" t="e">
        <v>#N/A</v>
      </c>
      <c r="G6695" s="178" t="e">
        <v>#N/A</v>
      </c>
      <c r="H6695">
        <v>36</v>
      </c>
      <c r="I6695" s="178" t="e">
        <v>#N/A</v>
      </c>
      <c r="J6695" s="320" t="s">
        <v>214</v>
      </c>
      <c r="K6695" s="178" t="s">
        <v>5537</v>
      </c>
      <c r="L6695" s="125" t="s">
        <v>1579</v>
      </c>
      <c r="M6695">
        <v>495</v>
      </c>
      <c r="N6695" s="182">
        <v>17</v>
      </c>
      <c r="O6695">
        <v>4434</v>
      </c>
      <c r="P6695" s="176" t="s">
        <v>77</v>
      </c>
      <c r="Q6695" s="176">
        <f>14057.55+394.63</f>
        <v>14452.179999999998</v>
      </c>
      <c r="R6695" s="176">
        <v>2249.19</v>
      </c>
      <c r="S6695" s="176">
        <v>394.63</v>
      </c>
      <c r="T6695" s="190">
        <v>0</v>
      </c>
      <c r="U6695" s="191"/>
      <c r="V6695" s="191">
        <v>16701.37</v>
      </c>
      <c r="W6695"/>
      <c r="X6695" s="186" t="s">
        <v>195</v>
      </c>
      <c r="Y6695" s="187" t="s">
        <v>55</v>
      </c>
      <c r="Z6695" s="311" t="s">
        <v>214</v>
      </c>
      <c r="AB6695" t="str">
        <f>IF(Table1[[#This Row],[TIPO2]]="costo", VLOOKUP(Table1[[#This Row],[PARTIDA PRESUPUESTAL]],'Cost Report'!G:G,1,0),"Balance")</f>
        <v>3632-009</v>
      </c>
      <c r="AD6695" s="159">
        <f>+Table1[[#This Row],[SUBTOTAL]]+Table1[[#This Row],[IVA]]-Table1[[#This Row],[RET IVA]]-Table1[[#This Row],[RET ISR]]-Table1[[#This Row],[TOTAL]]</f>
        <v>0</v>
      </c>
      <c r="AK6695" s="306" t="str">
        <f>IF(ISNUMBER(Table1[[#This Row],[FECHA DE RECIBIDO]]), Table1[[#This Row],[FECHA DE RECIBIDO]]-DATE(2023,8,30), "")</f>
        <v/>
      </c>
    </row>
    <row r="6696" spans="1:37" ht="18" customHeight="1">
      <c r="A6696" s="172" t="s">
        <v>5533</v>
      </c>
      <c r="B6696" s="178">
        <v>2429</v>
      </c>
      <c r="C6696" s="179" t="s">
        <v>71</v>
      </c>
      <c r="D6696"/>
      <c r="E6696" s="125" t="e">
        <v>#N/A</v>
      </c>
      <c r="F6696" s="178" t="e">
        <v>#N/A</v>
      </c>
      <c r="G6696" s="178" t="e">
        <v>#N/A</v>
      </c>
      <c r="H6696">
        <v>36</v>
      </c>
      <c r="I6696" s="178" t="e">
        <v>#N/A</v>
      </c>
      <c r="J6696" s="320" t="s">
        <v>214</v>
      </c>
      <c r="K6696" s="178" t="s">
        <v>5513</v>
      </c>
      <c r="L6696" s="125" t="s">
        <v>1579</v>
      </c>
      <c r="M6696">
        <v>495</v>
      </c>
      <c r="N6696" s="182">
        <v>17</v>
      </c>
      <c r="O6696">
        <v>4435</v>
      </c>
      <c r="P6696" s="176" t="s">
        <v>78</v>
      </c>
      <c r="Q6696" s="176">
        <v>-16701.37</v>
      </c>
      <c r="R6696" s="176"/>
      <c r="S6696" s="176"/>
      <c r="T6696" s="183">
        <v>0</v>
      </c>
      <c r="U6696" s="184"/>
      <c r="V6696" s="184">
        <f>+Q6696</f>
        <v>-16701.37</v>
      </c>
      <c r="W6696"/>
      <c r="X6696" s="186"/>
      <c r="Y6696" s="187" t="s">
        <v>55</v>
      </c>
      <c r="Z6696" s="311" t="s">
        <v>214</v>
      </c>
      <c r="AB6696" t="str">
        <f>IF(Table1[[#This Row],[TIPO2]]="costo", VLOOKUP(Table1[[#This Row],[PARTIDA PRESUPUESTAL]],'Cost Report'!G:G,1,0),"Balance")</f>
        <v>Balance</v>
      </c>
      <c r="AD6696" s="159">
        <f>+Table1[[#This Row],[SUBTOTAL]]+Table1[[#This Row],[IVA]]-Table1[[#This Row],[RET IVA]]-Table1[[#This Row],[RET ISR]]-Table1[[#This Row],[TOTAL]]</f>
        <v>0</v>
      </c>
      <c r="AK6696" s="306" t="str">
        <f>IF(ISNUMBER(Table1[[#This Row],[FECHA DE RECIBIDO]]), Table1[[#This Row],[FECHA DE RECIBIDO]]-DATE(2023,8,30), "")</f>
        <v/>
      </c>
    </row>
    <row r="6697" spans="1:37" ht="18" customHeight="1">
      <c r="A6697" s="172" t="s">
        <v>5539</v>
      </c>
      <c r="B6697" s="178">
        <v>2433</v>
      </c>
      <c r="C6697" s="179" t="s">
        <v>3415</v>
      </c>
      <c r="D6697">
        <v>4570</v>
      </c>
      <c r="E6697" s="125" t="e">
        <v>#N/A</v>
      </c>
      <c r="F6697" s="178" t="e">
        <v>#N/A</v>
      </c>
      <c r="G6697" s="178" t="e">
        <v>#N/A</v>
      </c>
      <c r="H6697">
        <v>36</v>
      </c>
      <c r="I6697" s="178" t="e">
        <v>#N/A</v>
      </c>
      <c r="J6697" s="320" t="s">
        <v>214</v>
      </c>
      <c r="K6697" s="178" t="s">
        <v>5540</v>
      </c>
      <c r="L6697" s="125" t="s">
        <v>1579</v>
      </c>
      <c r="M6697">
        <v>40</v>
      </c>
      <c r="N6697" s="182">
        <v>17</v>
      </c>
      <c r="O6697">
        <v>4423</v>
      </c>
      <c r="P6697" s="176" t="s">
        <v>5541</v>
      </c>
      <c r="Q6697" s="176">
        <v>14.66</v>
      </c>
      <c r="R6697" s="176">
        <v>2.35</v>
      </c>
      <c r="S6697" s="176"/>
      <c r="T6697" s="190">
        <v>0</v>
      </c>
      <c r="U6697" s="191"/>
      <c r="V6697" s="191">
        <v>17.010000000000002</v>
      </c>
      <c r="W6697">
        <v>542</v>
      </c>
      <c r="X6697" s="186" t="s">
        <v>1644</v>
      </c>
      <c r="Y6697" s="187" t="s">
        <v>55</v>
      </c>
      <c r="Z6697" s="311" t="s">
        <v>214</v>
      </c>
      <c r="AB6697" t="str">
        <f>IF(Table1[[#This Row],[TIPO2]]="costo", VLOOKUP(Table1[[#This Row],[PARTIDA PRESUPUESTAL]],'Cost Report'!G:G,1,0),"Balance")</f>
        <v>3629-006</v>
      </c>
      <c r="AD6697" s="159">
        <f>+Table1[[#This Row],[SUBTOTAL]]+Table1[[#This Row],[IVA]]-Table1[[#This Row],[RET IVA]]-Table1[[#This Row],[RET ISR]]-Table1[[#This Row],[TOTAL]]</f>
        <v>0</v>
      </c>
      <c r="AK6697" s="306" t="str">
        <f>IF(ISNUMBER(Table1[[#This Row],[FECHA DE RECIBIDO]]), Table1[[#This Row],[FECHA DE RECIBIDO]]-DATE(2023,8,30), "")</f>
        <v/>
      </c>
    </row>
    <row r="6698" spans="1:37" ht="18" customHeight="1">
      <c r="A6698" s="172" t="s">
        <v>5539</v>
      </c>
      <c r="B6698" s="178">
        <v>2433</v>
      </c>
      <c r="C6698" s="179" t="s">
        <v>3415</v>
      </c>
      <c r="D6698">
        <v>4571</v>
      </c>
      <c r="E6698" s="125" t="e">
        <v>#N/A</v>
      </c>
      <c r="F6698" s="178" t="e">
        <v>#N/A</v>
      </c>
      <c r="G6698" s="178" t="e">
        <v>#N/A</v>
      </c>
      <c r="H6698">
        <v>36</v>
      </c>
      <c r="I6698" s="178" t="e">
        <v>#N/A</v>
      </c>
      <c r="J6698" s="320" t="s">
        <v>214</v>
      </c>
      <c r="K6698" s="178" t="s">
        <v>5540</v>
      </c>
      <c r="L6698" s="125" t="s">
        <v>1579</v>
      </c>
      <c r="M6698">
        <v>40</v>
      </c>
      <c r="N6698" s="182">
        <v>17</v>
      </c>
      <c r="O6698">
        <v>4423</v>
      </c>
      <c r="P6698" s="176" t="s">
        <v>5541</v>
      </c>
      <c r="Q6698" s="176">
        <v>14.66</v>
      </c>
      <c r="R6698" s="176">
        <v>2.35</v>
      </c>
      <c r="S6698" s="176"/>
      <c r="T6698" s="190">
        <v>0</v>
      </c>
      <c r="U6698" s="191"/>
      <c r="V6698" s="191">
        <v>17.010000000000002</v>
      </c>
      <c r="W6698">
        <v>542</v>
      </c>
      <c r="X6698" s="186" t="s">
        <v>1644</v>
      </c>
      <c r="Y6698" s="187" t="s">
        <v>55</v>
      </c>
      <c r="Z6698" s="311" t="s">
        <v>214</v>
      </c>
      <c r="AB6698" t="str">
        <f>IF(Table1[[#This Row],[TIPO2]]="costo", VLOOKUP(Table1[[#This Row],[PARTIDA PRESUPUESTAL]],'Cost Report'!G:G,1,0),"Balance")</f>
        <v>3629-006</v>
      </c>
      <c r="AD6698" s="159">
        <f>+Table1[[#This Row],[SUBTOTAL]]+Table1[[#This Row],[IVA]]-Table1[[#This Row],[RET IVA]]-Table1[[#This Row],[RET ISR]]-Table1[[#This Row],[TOTAL]]</f>
        <v>0</v>
      </c>
      <c r="AK6698" s="306" t="str">
        <f>IF(ISNUMBER(Table1[[#This Row],[FECHA DE RECIBIDO]]), Table1[[#This Row],[FECHA DE RECIBIDO]]-DATE(2023,8,30), "")</f>
        <v/>
      </c>
    </row>
    <row r="6699" spans="1:37" ht="18" customHeight="1">
      <c r="A6699" s="172" t="s">
        <v>5539</v>
      </c>
      <c r="B6699" s="178">
        <v>2433</v>
      </c>
      <c r="C6699" s="179" t="s">
        <v>3415</v>
      </c>
      <c r="D6699">
        <v>4572</v>
      </c>
      <c r="E6699" s="125" t="e">
        <v>#N/A</v>
      </c>
      <c r="F6699" s="178" t="e">
        <v>#N/A</v>
      </c>
      <c r="G6699" s="178" t="e">
        <v>#N/A</v>
      </c>
      <c r="H6699">
        <v>36</v>
      </c>
      <c r="I6699" s="178" t="e">
        <v>#N/A</v>
      </c>
      <c r="J6699" s="320" t="s">
        <v>214</v>
      </c>
      <c r="K6699" s="178" t="s">
        <v>5540</v>
      </c>
      <c r="L6699" s="125" t="s">
        <v>1579</v>
      </c>
      <c r="M6699">
        <v>1544</v>
      </c>
      <c r="N6699" s="182">
        <v>17</v>
      </c>
      <c r="O6699">
        <v>4396</v>
      </c>
      <c r="P6699" s="176" t="s">
        <v>5541</v>
      </c>
      <c r="Q6699" s="176">
        <v>1724.14</v>
      </c>
      <c r="R6699" s="176">
        <v>275.86</v>
      </c>
      <c r="S6699" s="176"/>
      <c r="T6699" s="190">
        <v>0</v>
      </c>
      <c r="U6699" s="191"/>
      <c r="V6699" s="191">
        <v>2000</v>
      </c>
      <c r="W6699">
        <v>542</v>
      </c>
      <c r="X6699" s="186" t="s">
        <v>1644</v>
      </c>
      <c r="Y6699" s="187" t="s">
        <v>55</v>
      </c>
      <c r="Z6699" s="311">
        <v>376</v>
      </c>
      <c r="AB6699" t="str">
        <f>IF(Table1[[#This Row],[TIPO2]]="costo", VLOOKUP(Table1[[#This Row],[PARTIDA PRESUPUESTAL]],'Cost Report'!G:G,1,0),"Balance")</f>
        <v>3629-006</v>
      </c>
      <c r="AD6699" s="159">
        <f>+Table1[[#This Row],[SUBTOTAL]]+Table1[[#This Row],[IVA]]-Table1[[#This Row],[RET IVA]]-Table1[[#This Row],[RET ISR]]-Table1[[#This Row],[TOTAL]]</f>
        <v>0</v>
      </c>
      <c r="AK6699" s="306" t="str">
        <f>IF(ISNUMBER(Table1[[#This Row],[FECHA DE RECIBIDO]]), Table1[[#This Row],[FECHA DE RECIBIDO]]-DATE(2023,8,30), "")</f>
        <v/>
      </c>
    </row>
    <row r="6700" spans="1:37" ht="18" customHeight="1">
      <c r="A6700" s="172" t="s">
        <v>5539</v>
      </c>
      <c r="B6700" s="178">
        <v>2433</v>
      </c>
      <c r="C6700" s="179" t="s">
        <v>3415</v>
      </c>
      <c r="D6700">
        <v>4573</v>
      </c>
      <c r="E6700" s="125" t="e">
        <v>#N/A</v>
      </c>
      <c r="F6700" s="178" t="e">
        <v>#N/A</v>
      </c>
      <c r="G6700" s="178" t="e">
        <v>#N/A</v>
      </c>
      <c r="H6700">
        <v>36</v>
      </c>
      <c r="I6700" s="178" t="e">
        <v>#N/A</v>
      </c>
      <c r="J6700" s="320" t="s">
        <v>214</v>
      </c>
      <c r="K6700" s="178" t="s">
        <v>5540</v>
      </c>
      <c r="L6700" s="125" t="s">
        <v>1579</v>
      </c>
      <c r="M6700">
        <v>1544</v>
      </c>
      <c r="N6700" s="182">
        <v>17</v>
      </c>
      <c r="O6700">
        <v>4396</v>
      </c>
      <c r="P6700" s="176" t="s">
        <v>5541</v>
      </c>
      <c r="Q6700" s="176">
        <v>431.03</v>
      </c>
      <c r="R6700" s="176">
        <v>68.97</v>
      </c>
      <c r="S6700" s="176"/>
      <c r="T6700" s="190">
        <v>0</v>
      </c>
      <c r="U6700" s="191"/>
      <c r="V6700" s="191">
        <v>500</v>
      </c>
      <c r="W6700">
        <v>542</v>
      </c>
      <c r="X6700" s="186" t="s">
        <v>1644</v>
      </c>
      <c r="Y6700" s="187" t="s">
        <v>55</v>
      </c>
      <c r="Z6700" s="311">
        <v>388</v>
      </c>
      <c r="AB6700" t="str">
        <f>IF(Table1[[#This Row],[TIPO2]]="costo", VLOOKUP(Table1[[#This Row],[PARTIDA PRESUPUESTAL]],'Cost Report'!G:G,1,0),"Balance")</f>
        <v>3629-006</v>
      </c>
      <c r="AD6700" s="159">
        <f>+Table1[[#This Row],[SUBTOTAL]]+Table1[[#This Row],[IVA]]-Table1[[#This Row],[RET IVA]]-Table1[[#This Row],[RET ISR]]-Table1[[#This Row],[TOTAL]]</f>
        <v>0</v>
      </c>
      <c r="AK6700" s="306" t="str">
        <f>IF(ISNUMBER(Table1[[#This Row],[FECHA DE RECIBIDO]]), Table1[[#This Row],[FECHA DE RECIBIDO]]-DATE(2023,8,30), "")</f>
        <v/>
      </c>
    </row>
    <row r="6701" spans="1:37" ht="18" customHeight="1">
      <c r="A6701" s="172" t="s">
        <v>5539</v>
      </c>
      <c r="B6701" s="178">
        <v>2433</v>
      </c>
      <c r="C6701" s="179" t="s">
        <v>3415</v>
      </c>
      <c r="D6701">
        <v>689</v>
      </c>
      <c r="E6701" s="125"/>
      <c r="F6701" s="178"/>
      <c r="G6701" s="178"/>
      <c r="H6701"/>
      <c r="I6701" s="178"/>
      <c r="J6701" s="320" t="s">
        <v>214</v>
      </c>
      <c r="K6701" s="178" t="s">
        <v>5540</v>
      </c>
      <c r="L6701" s="125" t="s">
        <v>1579</v>
      </c>
      <c r="M6701">
        <v>1562</v>
      </c>
      <c r="N6701" s="182">
        <v>17</v>
      </c>
      <c r="O6701">
        <v>1387</v>
      </c>
      <c r="P6701" s="176" t="s">
        <v>5541</v>
      </c>
      <c r="Q6701" s="176">
        <v>34.799999999999997</v>
      </c>
      <c r="R6701" s="176"/>
      <c r="S6701" s="176"/>
      <c r="T6701" s="190">
        <v>0</v>
      </c>
      <c r="U6701" s="191"/>
      <c r="V6701" s="191">
        <v>34.799999999999997</v>
      </c>
      <c r="W6701">
        <v>542</v>
      </c>
      <c r="X6701" s="186" t="s">
        <v>1644</v>
      </c>
      <c r="Y6701" s="187" t="s">
        <v>55</v>
      </c>
      <c r="Z6701" s="311" t="s">
        <v>214</v>
      </c>
      <c r="AB6701" t="str">
        <f>IF(Table1[[#This Row],[TIPO2]]="costo", VLOOKUP(Table1[[#This Row],[PARTIDA PRESUPUESTAL]],'Cost Report'!G:G,1,0),"Balance")</f>
        <v>3629-006</v>
      </c>
      <c r="AD6701" s="159">
        <f>+Table1[[#This Row],[SUBTOTAL]]+Table1[[#This Row],[IVA]]-Table1[[#This Row],[RET IVA]]-Table1[[#This Row],[RET ISR]]-Table1[[#This Row],[TOTAL]]</f>
        <v>0</v>
      </c>
      <c r="AK6701" s="306" t="str">
        <f>IF(ISNUMBER(Table1[[#This Row],[FECHA DE RECIBIDO]]), Table1[[#This Row],[FECHA DE RECIBIDO]]-DATE(2023,8,30), "")</f>
        <v/>
      </c>
    </row>
    <row r="6702" spans="1:37" ht="18" customHeight="1">
      <c r="A6702" s="172" t="s">
        <v>5539</v>
      </c>
      <c r="B6702" s="178">
        <v>2433</v>
      </c>
      <c r="C6702" s="179" t="s">
        <v>3415</v>
      </c>
      <c r="D6702">
        <v>689</v>
      </c>
      <c r="E6702" s="125"/>
      <c r="F6702" s="178"/>
      <c r="G6702" s="178"/>
      <c r="H6702"/>
      <c r="I6702" s="178"/>
      <c r="J6702" s="320" t="s">
        <v>214</v>
      </c>
      <c r="K6702" s="178" t="s">
        <v>5540</v>
      </c>
      <c r="L6702" s="125" t="s">
        <v>1579</v>
      </c>
      <c r="M6702">
        <v>1563</v>
      </c>
      <c r="N6702" s="182">
        <v>17</v>
      </c>
      <c r="O6702">
        <v>1387</v>
      </c>
      <c r="P6702" s="176" t="s">
        <v>5541</v>
      </c>
      <c r="Q6702" s="176">
        <v>34.799999999999997</v>
      </c>
      <c r="R6702" s="176"/>
      <c r="S6702" s="176"/>
      <c r="T6702" s="190">
        <v>0</v>
      </c>
      <c r="U6702" s="191"/>
      <c r="V6702" s="191">
        <v>34.799999999999997</v>
      </c>
      <c r="W6702">
        <v>542</v>
      </c>
      <c r="X6702" s="186" t="s">
        <v>1644</v>
      </c>
      <c r="Y6702" s="187" t="s">
        <v>55</v>
      </c>
      <c r="Z6702" s="311">
        <v>253</v>
      </c>
      <c r="AB6702" t="str">
        <f>IF(Table1[[#This Row],[TIPO2]]="costo", VLOOKUP(Table1[[#This Row],[PARTIDA PRESUPUESTAL]],'Cost Report'!G:G,1,0),"Balance")</f>
        <v>3629-006</v>
      </c>
      <c r="AD6702" s="159">
        <f>+Table1[[#This Row],[SUBTOTAL]]+Table1[[#This Row],[IVA]]-Table1[[#This Row],[RET IVA]]-Table1[[#This Row],[RET ISR]]-Table1[[#This Row],[TOTAL]]</f>
        <v>0</v>
      </c>
      <c r="AK6702" s="306" t="str">
        <f>IF(ISNUMBER(Table1[[#This Row],[FECHA DE RECIBIDO]]), Table1[[#This Row],[FECHA DE RECIBIDO]]-DATE(2023,8,30), "")</f>
        <v/>
      </c>
    </row>
    <row r="6703" spans="1:37" ht="18" customHeight="1">
      <c r="A6703" s="172" t="s">
        <v>4623</v>
      </c>
      <c r="B6703" s="178">
        <v>1606</v>
      </c>
      <c r="C6703" s="179" t="s">
        <v>71</v>
      </c>
      <c r="D6703"/>
      <c r="E6703" s="125"/>
      <c r="F6703" s="178"/>
      <c r="G6703" s="178"/>
      <c r="H6703"/>
      <c r="I6703" s="178"/>
      <c r="J6703" s="320" t="s">
        <v>214</v>
      </c>
      <c r="K6703" s="178" t="s">
        <v>5540</v>
      </c>
      <c r="L6703" s="125" t="s">
        <v>1643</v>
      </c>
      <c r="M6703">
        <v>1561</v>
      </c>
      <c r="N6703" s="182"/>
      <c r="O6703">
        <v>4436</v>
      </c>
      <c r="P6703" s="176" t="s">
        <v>78</v>
      </c>
      <c r="Q6703" s="176">
        <v>-2603.62</v>
      </c>
      <c r="R6703" s="176"/>
      <c r="S6703" s="176"/>
      <c r="T6703" s="190">
        <v>0</v>
      </c>
      <c r="U6703" s="191"/>
      <c r="V6703" s="191">
        <f>+Table1[[#This Row],[SUBTOTAL]]+Table1[[#This Row],[IVA]]-Table1[[#This Row],[RET IVA]]-Table1[[#This Row],[RET ISR]]</f>
        <v>-2603.62</v>
      </c>
      <c r="W6703"/>
      <c r="X6703" s="186"/>
      <c r="Y6703" s="187"/>
      <c r="Z6703" s="311" t="s">
        <v>214</v>
      </c>
      <c r="AB6703" t="str">
        <f>IF(Table1[[#This Row],[TIPO2]]="costo", VLOOKUP(Table1[[#This Row],[PARTIDA PRESUPUESTAL]],'Cost Report'!G:G,1,0),"Balance")</f>
        <v>Balance</v>
      </c>
      <c r="AD6703" s="159">
        <f>+Table1[[#This Row],[SUBTOTAL]]+Table1[[#This Row],[IVA]]-Table1[[#This Row],[RET IVA]]-Table1[[#This Row],[RET ISR]]-Table1[[#This Row],[TOTAL]]</f>
        <v>0</v>
      </c>
      <c r="AK6703" s="306" t="str">
        <f>IF(ISNUMBER(Table1[[#This Row],[FECHA DE RECIBIDO]]), Table1[[#This Row],[FECHA DE RECIBIDO]]-DATE(2023,8,30), "")</f>
        <v/>
      </c>
    </row>
    <row r="6704" spans="1:37" ht="18" customHeight="1">
      <c r="A6704" s="223" t="s">
        <v>5552</v>
      </c>
      <c r="B6704" s="224">
        <v>2434</v>
      </c>
      <c r="C6704" s="224" t="s">
        <v>3012</v>
      </c>
      <c r="D6704">
        <v>4574</v>
      </c>
      <c r="E6704" s="224" t="s">
        <v>3220</v>
      </c>
      <c r="F6704" s="225">
        <v>612</v>
      </c>
      <c r="G6704" s="225" t="s">
        <v>129</v>
      </c>
      <c r="H6704">
        <v>207</v>
      </c>
      <c r="I6704" s="224" t="s">
        <v>1546</v>
      </c>
      <c r="J6704" s="315">
        <v>401.69681712963211</v>
      </c>
      <c r="K6704" s="224" t="s">
        <v>5557</v>
      </c>
      <c r="L6704" s="224" t="s">
        <v>110</v>
      </c>
      <c r="M6704">
        <v>272</v>
      </c>
      <c r="N6704" s="225">
        <v>72</v>
      </c>
      <c r="O6704">
        <v>4437</v>
      </c>
      <c r="P6704" s="232" t="s">
        <v>77</v>
      </c>
      <c r="Q6704" s="226">
        <v>11000</v>
      </c>
      <c r="R6704" s="226">
        <v>1760</v>
      </c>
      <c r="S6704" s="226">
        <v>0</v>
      </c>
      <c r="T6704" s="226">
        <v>1173.3399999999999</v>
      </c>
      <c r="U6704" s="226">
        <v>1100</v>
      </c>
      <c r="V6704" s="227">
        <f t="shared" ref="V6704:V6708" si="73">+Q6704+R6704-T6704-U6704</f>
        <v>10486.66</v>
      </c>
      <c r="W6704">
        <v>128</v>
      </c>
      <c r="X6704" s="224" t="s">
        <v>1431</v>
      </c>
      <c r="Y6704" s="224" t="s">
        <v>55</v>
      </c>
      <c r="Z6704" s="314">
        <v>405</v>
      </c>
      <c r="AB6704" t="str">
        <f>IF(Table1[[#This Row],[TIPO2]]="costo", VLOOKUP(Table1[[#This Row],[PARTIDA PRESUPUESTAL]],'Cost Report'!G:G,1,0),"Balance")</f>
        <v>5010-005</v>
      </c>
      <c r="AD6704" s="159">
        <f>+Table1[[#This Row],[SUBTOTAL]]+Table1[[#This Row],[IVA]]-Table1[[#This Row],[RET IVA]]-Table1[[#This Row],[RET ISR]]-Table1[[#This Row],[TOTAL]]</f>
        <v>0</v>
      </c>
      <c r="AK6704" s="306">
        <f>IF(ISNUMBER(Table1[[#This Row],[FECHA DE RECIBIDO]]), Table1[[#This Row],[FECHA DE RECIBIDO]]-DATE(2023,8,30), "")</f>
        <v>-44766.303182870368</v>
      </c>
    </row>
    <row r="6705" spans="1:37" ht="18" customHeight="1">
      <c r="A6705" s="223" t="s">
        <v>5553</v>
      </c>
      <c r="B6705" s="224">
        <v>2435</v>
      </c>
      <c r="C6705" s="224" t="s">
        <v>2143</v>
      </c>
      <c r="D6705">
        <v>4575</v>
      </c>
      <c r="E6705" s="224" t="s">
        <v>1592</v>
      </c>
      <c r="F6705" s="228">
        <v>626</v>
      </c>
      <c r="G6705" s="228" t="s">
        <v>109</v>
      </c>
      <c r="H6705">
        <v>18</v>
      </c>
      <c r="I6705" s="224" t="s">
        <v>1546</v>
      </c>
      <c r="J6705" s="315">
        <v>405.57708333332994</v>
      </c>
      <c r="K6705" s="224" t="s">
        <v>5557</v>
      </c>
      <c r="L6705" s="224" t="s">
        <v>110</v>
      </c>
      <c r="M6705">
        <v>23</v>
      </c>
      <c r="N6705" s="228">
        <v>4</v>
      </c>
      <c r="O6705">
        <v>4438</v>
      </c>
      <c r="P6705" s="232" t="s">
        <v>77</v>
      </c>
      <c r="Q6705" s="226">
        <v>27500</v>
      </c>
      <c r="R6705" s="226">
        <v>4400</v>
      </c>
      <c r="S6705" s="226">
        <v>0</v>
      </c>
      <c r="T6705" s="226">
        <v>2933.34</v>
      </c>
      <c r="U6705" s="226">
        <v>343.75</v>
      </c>
      <c r="V6705" s="227">
        <f t="shared" si="73"/>
        <v>28622.91</v>
      </c>
      <c r="W6705">
        <v>18</v>
      </c>
      <c r="X6705" s="224" t="s">
        <v>1429</v>
      </c>
      <c r="Y6705" s="224" t="s">
        <v>55</v>
      </c>
      <c r="Z6705" s="315">
        <v>408</v>
      </c>
      <c r="AB6705" t="str">
        <f>IF(Table1[[#This Row],[TIPO2]]="costo", VLOOKUP(Table1[[#This Row],[PARTIDA PRESUPUESTAL]],'Cost Report'!G:G,1,0),"Balance")</f>
        <v>1222-009</v>
      </c>
      <c r="AD6705" s="159">
        <f>+Table1[[#This Row],[SUBTOTAL]]+Table1[[#This Row],[IVA]]-Table1[[#This Row],[RET IVA]]-Table1[[#This Row],[RET ISR]]-Table1[[#This Row],[TOTAL]]</f>
        <v>0</v>
      </c>
      <c r="AK6705" s="306">
        <f>IF(ISNUMBER(Table1[[#This Row],[FECHA DE RECIBIDO]]), Table1[[#This Row],[FECHA DE RECIBIDO]]-DATE(2023,8,30), "")</f>
        <v>-44762.42291666667</v>
      </c>
    </row>
    <row r="6706" spans="1:37" ht="18" customHeight="1">
      <c r="A6706" s="223" t="s">
        <v>5554</v>
      </c>
      <c r="B6706" s="224">
        <v>2436</v>
      </c>
      <c r="C6706" s="224" t="s">
        <v>3011</v>
      </c>
      <c r="D6706">
        <v>4576</v>
      </c>
      <c r="E6706" s="224" t="s">
        <v>2018</v>
      </c>
      <c r="F6706" s="228">
        <v>626</v>
      </c>
      <c r="G6706" s="228" t="s">
        <v>109</v>
      </c>
      <c r="H6706">
        <v>116</v>
      </c>
      <c r="I6706" s="224" t="s">
        <v>1546</v>
      </c>
      <c r="J6706" s="315">
        <v>406.59865740740497</v>
      </c>
      <c r="K6706" s="224" t="s">
        <v>5557</v>
      </c>
      <c r="L6706" s="224" t="s">
        <v>110</v>
      </c>
      <c r="M6706">
        <v>154</v>
      </c>
      <c r="N6706" s="228">
        <v>46</v>
      </c>
      <c r="O6706">
        <v>4439</v>
      </c>
      <c r="P6706" s="232" t="s">
        <v>77</v>
      </c>
      <c r="Q6706" s="226">
        <v>55000</v>
      </c>
      <c r="R6706" s="226">
        <v>8800</v>
      </c>
      <c r="S6706" s="226">
        <v>0</v>
      </c>
      <c r="T6706" s="226">
        <v>5866.6799999999994</v>
      </c>
      <c r="U6706" s="226">
        <v>687.5</v>
      </c>
      <c r="V6706" s="227">
        <f t="shared" si="73"/>
        <v>57245.82</v>
      </c>
      <c r="W6706">
        <v>78</v>
      </c>
      <c r="X6706" s="224" t="s">
        <v>1430</v>
      </c>
      <c r="Y6706" s="224" t="s">
        <v>55</v>
      </c>
      <c r="Z6706" s="315">
        <v>408</v>
      </c>
      <c r="AB6706" t="str">
        <f>IF(Table1[[#This Row],[TIPO2]]="costo", VLOOKUP(Table1[[#This Row],[PARTIDA PRESUPUESTAL]],'Cost Report'!G:G,1,0),"Balance")</f>
        <v>5009-005</v>
      </c>
      <c r="AD6706" s="159">
        <f>+Table1[[#This Row],[SUBTOTAL]]+Table1[[#This Row],[IVA]]-Table1[[#This Row],[RET IVA]]-Table1[[#This Row],[RET ISR]]-Table1[[#This Row],[TOTAL]]</f>
        <v>0</v>
      </c>
      <c r="AK6706" s="306">
        <f>IF(ISNUMBER(Table1[[#This Row],[FECHA DE RECIBIDO]]), Table1[[#This Row],[FECHA DE RECIBIDO]]-DATE(2023,8,30), "")</f>
        <v>-44761.401342592595</v>
      </c>
    </row>
    <row r="6707" spans="1:37" ht="18" customHeight="1">
      <c r="A6707" s="223" t="s">
        <v>5555</v>
      </c>
      <c r="B6707" s="224">
        <v>2437</v>
      </c>
      <c r="C6707" s="224" t="s">
        <v>3012</v>
      </c>
      <c r="D6707">
        <v>4577</v>
      </c>
      <c r="E6707" s="224" t="s">
        <v>3220</v>
      </c>
      <c r="F6707" s="228">
        <v>612</v>
      </c>
      <c r="G6707" s="228" t="s">
        <v>129</v>
      </c>
      <c r="H6707">
        <v>207</v>
      </c>
      <c r="I6707" s="224" t="s">
        <v>1546</v>
      </c>
      <c r="J6707" s="315">
        <v>408.46070601851534</v>
      </c>
      <c r="K6707" s="224" t="s">
        <v>5557</v>
      </c>
      <c r="L6707" s="224" t="s">
        <v>110</v>
      </c>
      <c r="M6707">
        <v>272</v>
      </c>
      <c r="N6707" s="228">
        <v>72</v>
      </c>
      <c r="O6707">
        <v>4440</v>
      </c>
      <c r="P6707" s="232" t="s">
        <v>77</v>
      </c>
      <c r="Q6707" s="226">
        <v>16500</v>
      </c>
      <c r="R6707" s="226">
        <v>2640</v>
      </c>
      <c r="S6707" s="226">
        <v>0</v>
      </c>
      <c r="T6707" s="226">
        <v>1760.01</v>
      </c>
      <c r="U6707" s="226">
        <v>1650</v>
      </c>
      <c r="V6707" s="227">
        <f t="shared" si="73"/>
        <v>15729.990000000002</v>
      </c>
      <c r="W6707">
        <v>128</v>
      </c>
      <c r="X6707" s="224" t="s">
        <v>1431</v>
      </c>
      <c r="Y6707" s="224" t="s">
        <v>55</v>
      </c>
      <c r="Z6707" s="315">
        <v>408</v>
      </c>
      <c r="AB6707" t="str">
        <f>IF(Table1[[#This Row],[TIPO2]]="costo", VLOOKUP(Table1[[#This Row],[PARTIDA PRESUPUESTAL]],'Cost Report'!G:G,1,0),"Balance")</f>
        <v>5010-005</v>
      </c>
      <c r="AD6707" s="159">
        <f>+Table1[[#This Row],[SUBTOTAL]]+Table1[[#This Row],[IVA]]-Table1[[#This Row],[RET IVA]]-Table1[[#This Row],[RET ISR]]-Table1[[#This Row],[TOTAL]]</f>
        <v>0</v>
      </c>
      <c r="AK6707" s="306">
        <f>IF(ISNUMBER(Table1[[#This Row],[FECHA DE RECIBIDO]]), Table1[[#This Row],[FECHA DE RECIBIDO]]-DATE(2023,8,30), "")</f>
        <v>-44759.539293981485</v>
      </c>
    </row>
    <row r="6708" spans="1:37" ht="18" customHeight="1">
      <c r="A6708" s="229" t="s">
        <v>5556</v>
      </c>
      <c r="B6708" s="230">
        <v>2438</v>
      </c>
      <c r="C6708" s="224" t="s">
        <v>1416</v>
      </c>
      <c r="D6708">
        <v>4578</v>
      </c>
      <c r="E6708" s="224">
        <v>44190</v>
      </c>
      <c r="F6708" s="224">
        <v>603</v>
      </c>
      <c r="G6708" s="224" t="s">
        <v>2065</v>
      </c>
      <c r="H6708">
        <v>454</v>
      </c>
      <c r="I6708" s="231" t="s">
        <v>1546</v>
      </c>
      <c r="J6708" s="322">
        <v>413.69684027777839</v>
      </c>
      <c r="K6708" s="224" t="s">
        <v>5557</v>
      </c>
      <c r="L6708" s="224" t="s">
        <v>3306</v>
      </c>
      <c r="M6708">
        <v>630</v>
      </c>
      <c r="N6708" s="228">
        <v>1</v>
      </c>
      <c r="O6708">
        <v>4441</v>
      </c>
      <c r="P6708" s="232" t="s">
        <v>77</v>
      </c>
      <c r="Q6708" s="226">
        <v>172069.02800000008</v>
      </c>
      <c r="R6708" s="226">
        <v>21721.596000000001</v>
      </c>
      <c r="S6708" s="226">
        <v>0</v>
      </c>
      <c r="T6708" s="226">
        <v>0</v>
      </c>
      <c r="U6708" s="226">
        <v>0</v>
      </c>
      <c r="V6708" s="227">
        <f t="shared" si="73"/>
        <v>193790.62400000007</v>
      </c>
      <c r="W6708">
        <v>242</v>
      </c>
      <c r="X6708" s="224" t="s">
        <v>2035</v>
      </c>
      <c r="Y6708" s="224" t="s">
        <v>55</v>
      </c>
      <c r="Z6708" s="315">
        <v>419</v>
      </c>
      <c r="AB6708" t="str">
        <f>IF(Table1[[#This Row],[TIPO2]]="costo", VLOOKUP(Table1[[#This Row],[PARTIDA PRESUPUESTAL]],'Cost Report'!G:G,1,0),"Balance")</f>
        <v>1499-001</v>
      </c>
      <c r="AD6708" s="159">
        <f>+Table1[[#This Row],[SUBTOTAL]]+Table1[[#This Row],[IVA]]-Table1[[#This Row],[RET IVA]]-Table1[[#This Row],[RET ISR]]-Table1[[#This Row],[TOTAL]]</f>
        <v>0</v>
      </c>
      <c r="AK6708" s="306">
        <f>IF(ISNUMBER(Table1[[#This Row],[FECHA DE RECIBIDO]]), Table1[[#This Row],[FECHA DE RECIBIDO]]-DATE(2023,8,30), "")</f>
        <v>-44754.303159722222</v>
      </c>
    </row>
    <row r="6709" spans="1:37" ht="18" customHeight="1">
      <c r="A6709" s="172" t="s">
        <v>5542</v>
      </c>
      <c r="B6709" s="178">
        <v>2439</v>
      </c>
      <c r="C6709" s="179" t="s">
        <v>3066</v>
      </c>
      <c r="D6709"/>
      <c r="E6709" s="125" t="s">
        <v>1911</v>
      </c>
      <c r="F6709" s="178" t="s">
        <v>1911</v>
      </c>
      <c r="G6709" s="178" t="s">
        <v>1911</v>
      </c>
      <c r="H6709"/>
      <c r="I6709" s="178" t="s">
        <v>1911</v>
      </c>
      <c r="J6709" s="320" t="s">
        <v>214</v>
      </c>
      <c r="K6709" s="178" t="s">
        <v>5557</v>
      </c>
      <c r="L6709" s="125" t="s">
        <v>3306</v>
      </c>
      <c r="M6709">
        <v>1564</v>
      </c>
      <c r="N6709" s="182">
        <v>284</v>
      </c>
      <c r="O6709">
        <v>4442</v>
      </c>
      <c r="P6709" s="176" t="s">
        <v>77</v>
      </c>
      <c r="Q6709" s="176">
        <v>142100</v>
      </c>
      <c r="R6709" s="176"/>
      <c r="S6709" s="176">
        <v>0</v>
      </c>
      <c r="T6709" s="190">
        <v>0</v>
      </c>
      <c r="U6709" s="191">
        <v>0</v>
      </c>
      <c r="V6709" s="191">
        <v>142796</v>
      </c>
      <c r="W6709">
        <v>543</v>
      </c>
      <c r="X6709" s="186" t="s">
        <v>5345</v>
      </c>
      <c r="Y6709" s="187" t="s">
        <v>55</v>
      </c>
      <c r="Z6709" s="311">
        <v>425</v>
      </c>
      <c r="AB6709" t="str">
        <f>IF(Table1[[#This Row],[TIPO2]]="costo", VLOOKUP(Table1[[#This Row],[PARTIDA PRESUPUESTAL]],'Cost Report'!G:G,1,0),"Balance")</f>
        <v>6004-005</v>
      </c>
      <c r="AD6709" s="159">
        <f>+Table1[[#This Row],[SUBTOTAL]]+Table1[[#This Row],[IVA]]-Table1[[#This Row],[RET IVA]]-Table1[[#This Row],[RET ISR]]-Table1[[#This Row],[TOTAL]]</f>
        <v>-696</v>
      </c>
      <c r="AK6709" s="306" t="str">
        <f>IF(ISNUMBER(Table1[[#This Row],[FECHA DE RECIBIDO]]), Table1[[#This Row],[FECHA DE RECIBIDO]]-DATE(2023,8,30), "")</f>
        <v/>
      </c>
    </row>
    <row r="6710" spans="1:37" ht="18" customHeight="1">
      <c r="A6710" s="172" t="s">
        <v>5543</v>
      </c>
      <c r="B6710" s="178">
        <v>2440</v>
      </c>
      <c r="C6710" s="179" t="s">
        <v>1285</v>
      </c>
      <c r="D6710">
        <v>4579</v>
      </c>
      <c r="E6710" s="125">
        <v>11510</v>
      </c>
      <c r="F6710" s="178">
        <v>601</v>
      </c>
      <c r="G6710" s="178" t="s">
        <v>134</v>
      </c>
      <c r="H6710">
        <v>1104</v>
      </c>
      <c r="I6710" s="178" t="s">
        <v>1546</v>
      </c>
      <c r="J6710" s="320">
        <v>419.45260416666861</v>
      </c>
      <c r="K6710" s="178" t="s">
        <v>5557</v>
      </c>
      <c r="L6710" s="125" t="s">
        <v>3306</v>
      </c>
      <c r="M6710">
        <v>1557</v>
      </c>
      <c r="N6710" s="182">
        <v>284</v>
      </c>
      <c r="O6710">
        <v>4443</v>
      </c>
      <c r="P6710" s="176" t="s">
        <v>77</v>
      </c>
      <c r="Q6710" s="176">
        <v>26432.76</v>
      </c>
      <c r="R6710" s="176">
        <v>4229.2415999999994</v>
      </c>
      <c r="S6710" s="176">
        <v>0</v>
      </c>
      <c r="T6710" s="190">
        <v>0</v>
      </c>
      <c r="U6710" s="191">
        <v>0</v>
      </c>
      <c r="V6710" s="191">
        <v>30662.001599999996</v>
      </c>
      <c r="W6710">
        <v>541</v>
      </c>
      <c r="X6710" s="186" t="s">
        <v>2041</v>
      </c>
      <c r="Y6710" s="187" t="s">
        <v>55</v>
      </c>
      <c r="Z6710" s="311">
        <v>425</v>
      </c>
      <c r="AB6710" t="str">
        <f>IF(Table1[[#This Row],[TIPO2]]="costo", VLOOKUP(Table1[[#This Row],[PARTIDA PRESUPUESTAL]],'Cost Report'!G:G,1,0),"Balance")</f>
        <v>6004-003</v>
      </c>
      <c r="AD6710" s="159">
        <f>+Table1[[#This Row],[SUBTOTAL]]+Table1[[#This Row],[IVA]]-Table1[[#This Row],[RET IVA]]-Table1[[#This Row],[RET ISR]]-Table1[[#This Row],[TOTAL]]</f>
        <v>0</v>
      </c>
      <c r="AK6710" s="306">
        <f>IF(ISNUMBER(Table1[[#This Row],[FECHA DE RECIBIDO]]), Table1[[#This Row],[FECHA DE RECIBIDO]]-DATE(2023,8,30), "")</f>
        <v>-44748.547395833331</v>
      </c>
    </row>
    <row r="6711" spans="1:37" ht="18" customHeight="1">
      <c r="A6711" s="172" t="s">
        <v>5544</v>
      </c>
      <c r="B6711" s="178">
        <v>2441</v>
      </c>
      <c r="C6711" s="179" t="s">
        <v>1285</v>
      </c>
      <c r="D6711">
        <v>4580</v>
      </c>
      <c r="E6711" s="125">
        <v>11510</v>
      </c>
      <c r="F6711" s="178">
        <v>601</v>
      </c>
      <c r="G6711" s="178" t="s">
        <v>134</v>
      </c>
      <c r="H6711">
        <v>1104</v>
      </c>
      <c r="I6711" s="178" t="s">
        <v>1546</v>
      </c>
      <c r="J6711" s="320">
        <v>419.44839120370307</v>
      </c>
      <c r="K6711" s="178" t="s">
        <v>5557</v>
      </c>
      <c r="L6711" s="125" t="s">
        <v>3306</v>
      </c>
      <c r="M6711">
        <v>1557</v>
      </c>
      <c r="N6711" s="182">
        <v>284</v>
      </c>
      <c r="O6711">
        <v>4444</v>
      </c>
      <c r="P6711" s="176" t="s">
        <v>77</v>
      </c>
      <c r="Q6711" s="176">
        <v>118995</v>
      </c>
      <c r="R6711" s="176">
        <v>19039.2</v>
      </c>
      <c r="S6711" s="176">
        <v>0</v>
      </c>
      <c r="T6711" s="190">
        <v>0</v>
      </c>
      <c r="U6711" s="191">
        <v>0</v>
      </c>
      <c r="V6711" s="191">
        <v>138034.20000000001</v>
      </c>
      <c r="W6711">
        <v>541</v>
      </c>
      <c r="X6711" s="186" t="s">
        <v>2041</v>
      </c>
      <c r="Y6711" s="187" t="s">
        <v>55</v>
      </c>
      <c r="Z6711" s="311">
        <v>425</v>
      </c>
      <c r="AB6711" t="str">
        <f>IF(Table1[[#This Row],[TIPO2]]="costo", VLOOKUP(Table1[[#This Row],[PARTIDA PRESUPUESTAL]],'Cost Report'!G:G,1,0),"Balance")</f>
        <v>6004-003</v>
      </c>
      <c r="AD6711" s="159">
        <f>+Table1[[#This Row],[SUBTOTAL]]+Table1[[#This Row],[IVA]]-Table1[[#This Row],[RET IVA]]-Table1[[#This Row],[RET ISR]]-Table1[[#This Row],[TOTAL]]</f>
        <v>0</v>
      </c>
      <c r="AK6711" s="306">
        <f>IF(ISNUMBER(Table1[[#This Row],[FECHA DE RECIBIDO]]), Table1[[#This Row],[FECHA DE RECIBIDO]]-DATE(2023,8,30), "")</f>
        <v>-44748.551608796297</v>
      </c>
    </row>
    <row r="6712" spans="1:37" ht="18" customHeight="1">
      <c r="A6712" s="172" t="s">
        <v>5545</v>
      </c>
      <c r="B6712" s="178">
        <v>2442</v>
      </c>
      <c r="C6712" s="179" t="s">
        <v>1285</v>
      </c>
      <c r="D6712">
        <v>4581</v>
      </c>
      <c r="E6712" s="125" t="s">
        <v>2067</v>
      </c>
      <c r="F6712" s="178">
        <v>601</v>
      </c>
      <c r="G6712" s="178" t="s">
        <v>134</v>
      </c>
      <c r="H6712">
        <v>1106</v>
      </c>
      <c r="I6712" s="178" t="s">
        <v>1546</v>
      </c>
      <c r="J6712" s="320">
        <v>414.76655092592409</v>
      </c>
      <c r="K6712" s="178" t="s">
        <v>5557</v>
      </c>
      <c r="L6712" s="125" t="s">
        <v>3306</v>
      </c>
      <c r="M6712">
        <v>1565</v>
      </c>
      <c r="N6712" s="182">
        <v>284</v>
      </c>
      <c r="O6712">
        <v>4445</v>
      </c>
      <c r="P6712" s="176" t="s">
        <v>77</v>
      </c>
      <c r="Q6712" s="176">
        <v>65645.25</v>
      </c>
      <c r="R6712" s="176">
        <v>10503.24</v>
      </c>
      <c r="S6712" s="176">
        <v>0</v>
      </c>
      <c r="T6712" s="190">
        <v>0</v>
      </c>
      <c r="U6712" s="191">
        <v>0</v>
      </c>
      <c r="V6712" s="191">
        <v>76148.490000000005</v>
      </c>
      <c r="W6712">
        <v>544</v>
      </c>
      <c r="X6712" s="186" t="s">
        <v>2041</v>
      </c>
      <c r="Y6712" s="187" t="s">
        <v>55</v>
      </c>
      <c r="Z6712" s="311">
        <v>425</v>
      </c>
      <c r="AB6712" t="str">
        <f>IF(Table1[[#This Row],[TIPO2]]="costo", VLOOKUP(Table1[[#This Row],[PARTIDA PRESUPUESTAL]],'Cost Report'!G:G,1,0),"Balance")</f>
        <v>6004-003</v>
      </c>
      <c r="AD6712" s="159">
        <f>+Table1[[#This Row],[SUBTOTAL]]+Table1[[#This Row],[IVA]]-Table1[[#This Row],[RET IVA]]-Table1[[#This Row],[RET ISR]]-Table1[[#This Row],[TOTAL]]</f>
        <v>0</v>
      </c>
      <c r="AK6712" s="306">
        <f>IF(ISNUMBER(Table1[[#This Row],[FECHA DE RECIBIDO]]), Table1[[#This Row],[FECHA DE RECIBIDO]]-DATE(2023,8,30), "")</f>
        <v>-44753.233449074076</v>
      </c>
    </row>
    <row r="6713" spans="1:37" ht="18" customHeight="1">
      <c r="A6713" s="172" t="s">
        <v>5546</v>
      </c>
      <c r="B6713" s="178">
        <v>2443</v>
      </c>
      <c r="C6713" s="179" t="s">
        <v>1285</v>
      </c>
      <c r="D6713">
        <v>4582</v>
      </c>
      <c r="E6713" s="125" t="s">
        <v>2067</v>
      </c>
      <c r="F6713" s="178">
        <v>601</v>
      </c>
      <c r="G6713" s="178" t="s">
        <v>134</v>
      </c>
      <c r="H6713">
        <v>1106</v>
      </c>
      <c r="I6713" s="178" t="s">
        <v>1546</v>
      </c>
      <c r="J6713" s="320">
        <v>414.76653935185459</v>
      </c>
      <c r="K6713" s="178" t="s">
        <v>5557</v>
      </c>
      <c r="L6713" s="125" t="s">
        <v>3306</v>
      </c>
      <c r="M6713">
        <v>1565</v>
      </c>
      <c r="N6713" s="182">
        <v>284</v>
      </c>
      <c r="O6713">
        <v>4446</v>
      </c>
      <c r="P6713" s="176" t="s">
        <v>77</v>
      </c>
      <c r="Q6713" s="176">
        <v>139247.5</v>
      </c>
      <c r="R6713" s="176">
        <v>22279.600000000002</v>
      </c>
      <c r="S6713" s="176">
        <v>0</v>
      </c>
      <c r="T6713" s="190">
        <v>0</v>
      </c>
      <c r="U6713" s="191">
        <v>0</v>
      </c>
      <c r="V6713" s="191">
        <v>161527.1</v>
      </c>
      <c r="W6713">
        <v>544</v>
      </c>
      <c r="X6713" s="186" t="s">
        <v>2041</v>
      </c>
      <c r="Y6713" s="187" t="s">
        <v>55</v>
      </c>
      <c r="Z6713" s="311">
        <v>425</v>
      </c>
      <c r="AB6713" t="str">
        <f>IF(Table1[[#This Row],[TIPO2]]="costo", VLOOKUP(Table1[[#This Row],[PARTIDA PRESUPUESTAL]],'Cost Report'!G:G,1,0),"Balance")</f>
        <v>6004-003</v>
      </c>
      <c r="AD6713" s="159">
        <f>+Table1[[#This Row],[SUBTOTAL]]+Table1[[#This Row],[IVA]]-Table1[[#This Row],[RET IVA]]-Table1[[#This Row],[RET ISR]]-Table1[[#This Row],[TOTAL]]</f>
        <v>0</v>
      </c>
      <c r="AK6713" s="306">
        <f>IF(ISNUMBER(Table1[[#This Row],[FECHA DE RECIBIDO]]), Table1[[#This Row],[FECHA DE RECIBIDO]]-DATE(2023,8,30), "")</f>
        <v>-44753.233460648145</v>
      </c>
    </row>
    <row r="6714" spans="1:37" ht="18" customHeight="1">
      <c r="A6714" s="172" t="s">
        <v>5547</v>
      </c>
      <c r="B6714" s="178">
        <v>2444</v>
      </c>
      <c r="C6714" s="179" t="s">
        <v>1285</v>
      </c>
      <c r="D6714">
        <v>4583</v>
      </c>
      <c r="E6714" s="125" t="s">
        <v>2067</v>
      </c>
      <c r="F6714" s="178">
        <v>601</v>
      </c>
      <c r="G6714" s="178" t="s">
        <v>134</v>
      </c>
      <c r="H6714">
        <v>1106</v>
      </c>
      <c r="I6714" s="178" t="s">
        <v>1546</v>
      </c>
      <c r="J6714" s="320">
        <v>414.76653935185459</v>
      </c>
      <c r="K6714" s="178" t="s">
        <v>5557</v>
      </c>
      <c r="L6714" s="125" t="s">
        <v>3306</v>
      </c>
      <c r="M6714">
        <v>1565</v>
      </c>
      <c r="N6714" s="182">
        <v>284</v>
      </c>
      <c r="O6714">
        <v>4447</v>
      </c>
      <c r="P6714" s="176" t="s">
        <v>77</v>
      </c>
      <c r="Q6714" s="176">
        <v>13264.32</v>
      </c>
      <c r="R6714" s="176">
        <v>2122.2912000000001</v>
      </c>
      <c r="S6714" s="176">
        <v>0</v>
      </c>
      <c r="T6714" s="190">
        <v>0</v>
      </c>
      <c r="U6714" s="191">
        <v>0</v>
      </c>
      <c r="V6714" s="191">
        <v>15386.611199999999</v>
      </c>
      <c r="W6714">
        <v>544</v>
      </c>
      <c r="X6714" s="186" t="s">
        <v>2041</v>
      </c>
      <c r="Y6714" s="187" t="s">
        <v>55</v>
      </c>
      <c r="Z6714" s="311">
        <v>425</v>
      </c>
      <c r="AB6714" t="str">
        <f>IF(Table1[[#This Row],[TIPO2]]="costo", VLOOKUP(Table1[[#This Row],[PARTIDA PRESUPUESTAL]],'Cost Report'!G:G,1,0),"Balance")</f>
        <v>6004-003</v>
      </c>
      <c r="AD6714" s="159">
        <f>+Table1[[#This Row],[SUBTOTAL]]+Table1[[#This Row],[IVA]]-Table1[[#This Row],[RET IVA]]-Table1[[#This Row],[RET ISR]]-Table1[[#This Row],[TOTAL]]</f>
        <v>0</v>
      </c>
      <c r="AK6714" s="306">
        <f>IF(ISNUMBER(Table1[[#This Row],[FECHA DE RECIBIDO]]), Table1[[#This Row],[FECHA DE RECIBIDO]]-DATE(2023,8,30), "")</f>
        <v>-44753.233460648145</v>
      </c>
    </row>
    <row r="6715" spans="1:37" ht="18" customHeight="1">
      <c r="A6715" s="172" t="s">
        <v>5548</v>
      </c>
      <c r="B6715" s="178">
        <v>2445</v>
      </c>
      <c r="C6715" s="179" t="s">
        <v>3066</v>
      </c>
      <c r="D6715">
        <v>4584</v>
      </c>
      <c r="E6715" s="125">
        <v>11590</v>
      </c>
      <c r="F6715" s="178">
        <v>601</v>
      </c>
      <c r="G6715" s="178" t="s">
        <v>134</v>
      </c>
      <c r="H6715">
        <v>1107</v>
      </c>
      <c r="I6715" s="178" t="s">
        <v>1546</v>
      </c>
      <c r="J6715" s="320">
        <v>420.71355324074102</v>
      </c>
      <c r="K6715" s="178" t="s">
        <v>5557</v>
      </c>
      <c r="L6715" s="125" t="s">
        <v>3306</v>
      </c>
      <c r="M6715">
        <v>1566</v>
      </c>
      <c r="N6715" s="182">
        <v>284</v>
      </c>
      <c r="O6715">
        <v>4448</v>
      </c>
      <c r="P6715" s="176" t="s">
        <v>77</v>
      </c>
      <c r="Q6715" s="176">
        <v>331632.32</v>
      </c>
      <c r="R6715" s="176">
        <v>53061.171200000004</v>
      </c>
      <c r="S6715" s="176">
        <v>0</v>
      </c>
      <c r="T6715" s="190">
        <v>0</v>
      </c>
      <c r="U6715" s="191">
        <v>0</v>
      </c>
      <c r="V6715" s="191">
        <v>384693.49119999999</v>
      </c>
      <c r="W6715">
        <v>545</v>
      </c>
      <c r="X6715" s="186" t="s">
        <v>2041</v>
      </c>
      <c r="Y6715" s="187" t="s">
        <v>55</v>
      </c>
      <c r="Z6715" s="311">
        <v>425</v>
      </c>
      <c r="AB6715" t="str">
        <f>IF(Table1[[#This Row],[TIPO2]]="costo", VLOOKUP(Table1[[#This Row],[PARTIDA PRESUPUESTAL]],'Cost Report'!G:G,1,0),"Balance")</f>
        <v>6004-005</v>
      </c>
      <c r="AD6715" s="159">
        <f>+Table1[[#This Row],[SUBTOTAL]]+Table1[[#This Row],[IVA]]-Table1[[#This Row],[RET IVA]]-Table1[[#This Row],[RET ISR]]-Table1[[#This Row],[TOTAL]]</f>
        <v>0</v>
      </c>
      <c r="AK6715" s="306">
        <f>IF(ISNUMBER(Table1[[#This Row],[FECHA DE RECIBIDO]]), Table1[[#This Row],[FECHA DE RECIBIDO]]-DATE(2023,8,30), "")</f>
        <v>-44747.286446759259</v>
      </c>
    </row>
    <row r="6716" spans="1:37" ht="18" customHeight="1">
      <c r="A6716" s="172" t="s">
        <v>5549</v>
      </c>
      <c r="B6716" s="178">
        <v>2446</v>
      </c>
      <c r="C6716" s="179" t="s">
        <v>1286</v>
      </c>
      <c r="D6716">
        <v>4585</v>
      </c>
      <c r="E6716" s="125" t="s">
        <v>5550</v>
      </c>
      <c r="F6716" s="178">
        <v>601</v>
      </c>
      <c r="G6716" s="178" t="s">
        <v>134</v>
      </c>
      <c r="H6716">
        <v>1108</v>
      </c>
      <c r="I6716" s="178" t="s">
        <v>1546</v>
      </c>
      <c r="J6716" s="320">
        <v>408.54136574074073</v>
      </c>
      <c r="K6716" s="178" t="s">
        <v>5557</v>
      </c>
      <c r="L6716" s="125" t="s">
        <v>3306</v>
      </c>
      <c r="M6716">
        <v>1567</v>
      </c>
      <c r="N6716" s="182">
        <v>284</v>
      </c>
      <c r="O6716">
        <v>4449</v>
      </c>
      <c r="P6716" s="176" t="s">
        <v>77</v>
      </c>
      <c r="Q6716" s="176">
        <v>68289.55</v>
      </c>
      <c r="R6716" s="176">
        <v>10926.328000000001</v>
      </c>
      <c r="S6716" s="176">
        <v>0</v>
      </c>
      <c r="T6716" s="190">
        <v>0</v>
      </c>
      <c r="U6716" s="191">
        <v>0</v>
      </c>
      <c r="V6716" s="191">
        <v>79215.877999999997</v>
      </c>
      <c r="W6716">
        <v>546</v>
      </c>
      <c r="X6716" s="186" t="s">
        <v>2041</v>
      </c>
      <c r="Y6716" s="187" t="s">
        <v>55</v>
      </c>
      <c r="Z6716" s="311">
        <v>425</v>
      </c>
      <c r="AB6716" t="str">
        <f>IF(Table1[[#This Row],[TIPO2]]="costo", VLOOKUP(Table1[[#This Row],[PARTIDA PRESUPUESTAL]],'Cost Report'!G:G,1,0),"Balance")</f>
        <v>6004-004</v>
      </c>
      <c r="AD6716" s="159">
        <f>+Table1[[#This Row],[SUBTOTAL]]+Table1[[#This Row],[IVA]]-Table1[[#This Row],[RET IVA]]-Table1[[#This Row],[RET ISR]]-Table1[[#This Row],[TOTAL]]</f>
        <v>0</v>
      </c>
      <c r="AK6716" s="306">
        <f>IF(ISNUMBER(Table1[[#This Row],[FECHA DE RECIBIDO]]), Table1[[#This Row],[FECHA DE RECIBIDO]]-DATE(2023,8,30), "")</f>
        <v>-44759.458634259259</v>
      </c>
    </row>
    <row r="6717" spans="1:37" ht="18" customHeight="1">
      <c r="A6717" s="172" t="s">
        <v>5551</v>
      </c>
      <c r="B6717" s="178">
        <v>2447</v>
      </c>
      <c r="C6717" s="179" t="s">
        <v>1286</v>
      </c>
      <c r="D6717">
        <v>4586</v>
      </c>
      <c r="E6717" s="125" t="s">
        <v>5550</v>
      </c>
      <c r="F6717" s="178">
        <v>601</v>
      </c>
      <c r="G6717" s="178" t="s">
        <v>134</v>
      </c>
      <c r="H6717">
        <v>1108</v>
      </c>
      <c r="I6717" s="178" t="s">
        <v>1546</v>
      </c>
      <c r="J6717" s="320">
        <v>411.85363425925607</v>
      </c>
      <c r="K6717" s="178" t="s">
        <v>5557</v>
      </c>
      <c r="L6717" s="125" t="s">
        <v>3306</v>
      </c>
      <c r="M6717">
        <v>1567</v>
      </c>
      <c r="N6717" s="182">
        <v>284</v>
      </c>
      <c r="O6717">
        <v>4449</v>
      </c>
      <c r="P6717" s="176" t="s">
        <v>77</v>
      </c>
      <c r="Q6717" s="176">
        <v>9755.65</v>
      </c>
      <c r="R6717" s="176">
        <v>1560.904</v>
      </c>
      <c r="S6717" s="176">
        <v>0</v>
      </c>
      <c r="T6717" s="190">
        <v>0</v>
      </c>
      <c r="U6717" s="191">
        <v>0</v>
      </c>
      <c r="V6717" s="191">
        <v>11316.554</v>
      </c>
      <c r="W6717">
        <v>546</v>
      </c>
      <c r="X6717" s="186" t="s">
        <v>2041</v>
      </c>
      <c r="Y6717" s="187" t="s">
        <v>55</v>
      </c>
      <c r="Z6717" s="311">
        <v>425</v>
      </c>
      <c r="AB6717" t="str">
        <f>IF(Table1[[#This Row],[TIPO2]]="costo", VLOOKUP(Table1[[#This Row],[PARTIDA PRESUPUESTAL]],'Cost Report'!G:G,1,0),"Balance")</f>
        <v>6004-004</v>
      </c>
      <c r="AD6717" s="159">
        <f>+Table1[[#This Row],[SUBTOTAL]]+Table1[[#This Row],[IVA]]-Table1[[#This Row],[RET IVA]]-Table1[[#This Row],[RET ISR]]-Table1[[#This Row],[TOTAL]]</f>
        <v>0</v>
      </c>
      <c r="AK6717" s="306">
        <f>IF(ISNUMBER(Table1[[#This Row],[FECHA DE RECIBIDO]]), Table1[[#This Row],[FECHA DE RECIBIDO]]-DATE(2023,8,30), "")</f>
        <v>-44756.146365740744</v>
      </c>
    </row>
    <row r="6718" spans="1:37" ht="18" customHeight="1">
      <c r="A6718" s="172"/>
      <c r="B6718" s="178"/>
      <c r="C6718" s="179" t="s">
        <v>5114</v>
      </c>
      <c r="D6718"/>
      <c r="E6718" s="125"/>
      <c r="F6718" s="178"/>
      <c r="G6718" s="178"/>
      <c r="H6718"/>
      <c r="I6718" s="178"/>
      <c r="J6718" s="320" t="s">
        <v>214</v>
      </c>
      <c r="K6718" s="178" t="s">
        <v>5557</v>
      </c>
      <c r="L6718" s="125" t="s">
        <v>5115</v>
      </c>
      <c r="M6718">
        <v>1530</v>
      </c>
      <c r="N6718" s="182"/>
      <c r="O6718">
        <v>4450</v>
      </c>
      <c r="P6718" s="176" t="s">
        <v>78</v>
      </c>
      <c r="Q6718" s="176">
        <v>471974</v>
      </c>
      <c r="R6718" s="176"/>
      <c r="S6718" s="176"/>
      <c r="T6718" s="190">
        <v>0</v>
      </c>
      <c r="U6718" s="191"/>
      <c r="V6718" s="191">
        <f>+Table1[[#This Row],[SUBTOTAL]]+Table1[[#This Row],[IVA]]-Table1[[#This Row],[RET IVA]]-Table1[[#This Row],[RET ISR]]</f>
        <v>471974</v>
      </c>
      <c r="W6718"/>
      <c r="X6718" s="186"/>
      <c r="Y6718" s="187"/>
      <c r="Z6718" s="311" t="s">
        <v>214</v>
      </c>
      <c r="AB6718" t="str">
        <f>IF(Table1[[#This Row],[TIPO2]]="costo", VLOOKUP(Table1[[#This Row],[PARTIDA PRESUPUESTAL]],'Cost Report'!G:G,1,0),"Balance")</f>
        <v>Balance</v>
      </c>
      <c r="AD6718" s="159">
        <f>+Table1[[#This Row],[SUBTOTAL]]+Table1[[#This Row],[IVA]]-Table1[[#This Row],[RET IVA]]-Table1[[#This Row],[RET ISR]]-Table1[[#This Row],[TOTAL]]</f>
        <v>0</v>
      </c>
      <c r="AK6718" s="306" t="str">
        <f>IF(ISNUMBER(Table1[[#This Row],[FECHA DE RECIBIDO]]), Table1[[#This Row],[FECHA DE RECIBIDO]]-DATE(2023,8,30), "")</f>
        <v/>
      </c>
    </row>
    <row r="6719" spans="1:37" ht="18" customHeight="1">
      <c r="A6719" s="172"/>
      <c r="B6719" s="178"/>
      <c r="C6719" s="179" t="s">
        <v>5114</v>
      </c>
      <c r="D6719">
        <v>4514</v>
      </c>
      <c r="E6719" s="125"/>
      <c r="F6719" s="178"/>
      <c r="G6719" s="178"/>
      <c r="H6719"/>
      <c r="I6719" s="178"/>
      <c r="J6719" s="320" t="s">
        <v>214</v>
      </c>
      <c r="K6719" s="178" t="s">
        <v>5557</v>
      </c>
      <c r="L6719" s="125" t="s">
        <v>5115</v>
      </c>
      <c r="M6719">
        <v>1530</v>
      </c>
      <c r="N6719" s="182"/>
      <c r="O6719">
        <v>4451</v>
      </c>
      <c r="P6719" s="176" t="s">
        <v>78</v>
      </c>
      <c r="Q6719" s="176">
        <v>2582000.6</v>
      </c>
      <c r="R6719" s="176"/>
      <c r="S6719" s="176"/>
      <c r="T6719" s="190">
        <v>0</v>
      </c>
      <c r="U6719" s="191"/>
      <c r="V6719" s="191">
        <f>+Table1[[#This Row],[SUBTOTAL]]+Table1[[#This Row],[IVA]]-Table1[[#This Row],[RET IVA]]-Table1[[#This Row],[RET ISR]]</f>
        <v>2582000.6</v>
      </c>
      <c r="W6719"/>
      <c r="X6719" s="186"/>
      <c r="Y6719" s="187"/>
      <c r="Z6719" s="311" t="s">
        <v>214</v>
      </c>
      <c r="AB6719" t="str">
        <f>IF(Table1[[#This Row],[TIPO2]]="costo", VLOOKUP(Table1[[#This Row],[PARTIDA PRESUPUESTAL]],'Cost Report'!G:G,1,0),"Balance")</f>
        <v>Balance</v>
      </c>
      <c r="AD6719" s="159">
        <f>+Table1[[#This Row],[SUBTOTAL]]+Table1[[#This Row],[IVA]]-Table1[[#This Row],[RET IVA]]-Table1[[#This Row],[RET ISR]]-Table1[[#This Row],[TOTAL]]</f>
        <v>0</v>
      </c>
      <c r="AK6719" s="306" t="str">
        <f>IF(ISNUMBER(Table1[[#This Row],[FECHA DE RECIBIDO]]), Table1[[#This Row],[FECHA DE RECIBIDO]]-DATE(2023,8,30), "")</f>
        <v/>
      </c>
    </row>
    <row r="6720" spans="1:37" ht="18" customHeight="1">
      <c r="A6720" s="172"/>
      <c r="B6720" s="178"/>
      <c r="C6720" s="179" t="s">
        <v>3102</v>
      </c>
      <c r="D6720"/>
      <c r="E6720" s="125"/>
      <c r="F6720" s="178"/>
      <c r="G6720" s="178"/>
      <c r="H6720"/>
      <c r="I6720" s="178"/>
      <c r="J6720" s="320" t="s">
        <v>214</v>
      </c>
      <c r="K6720" s="178" t="s">
        <v>5557</v>
      </c>
      <c r="L6720" s="125" t="s">
        <v>4317</v>
      </c>
      <c r="M6720">
        <v>7</v>
      </c>
      <c r="N6720" s="182"/>
      <c r="O6720">
        <v>4296</v>
      </c>
      <c r="P6720" s="176" t="s">
        <v>77</v>
      </c>
      <c r="Q6720" s="176">
        <v>600</v>
      </c>
      <c r="R6720" s="176">
        <v>96</v>
      </c>
      <c r="S6720" s="176"/>
      <c r="T6720" s="190">
        <v>0</v>
      </c>
      <c r="U6720" s="191"/>
      <c r="V6720" s="191">
        <v>696</v>
      </c>
      <c r="W6720"/>
      <c r="X6720" s="186"/>
      <c r="Y6720" s="187"/>
      <c r="Z6720" s="311" t="s">
        <v>214</v>
      </c>
      <c r="AB6720" t="str">
        <f>IF(Table1[[#This Row],[TIPO2]]="costo", VLOOKUP(Table1[[#This Row],[PARTIDA PRESUPUESTAL]],'Cost Report'!G:G,1,0),"Balance")</f>
        <v>7038-008</v>
      </c>
      <c r="AD6720" s="159">
        <f>+Table1[[#This Row],[SUBTOTAL]]+Table1[[#This Row],[IVA]]-Table1[[#This Row],[RET IVA]]-Table1[[#This Row],[RET ISR]]-Table1[[#This Row],[TOTAL]]</f>
        <v>0</v>
      </c>
      <c r="AK6720" s="306" t="str">
        <f>IF(ISNUMBER(Table1[[#This Row],[FECHA DE RECIBIDO]]), Table1[[#This Row],[FECHA DE RECIBIDO]]-DATE(2023,8,30), "")</f>
        <v/>
      </c>
    </row>
    <row r="6721" spans="1:37" ht="18" customHeight="1">
      <c r="A6721" s="172" t="s">
        <v>5530</v>
      </c>
      <c r="B6721" s="178" t="s">
        <v>1576</v>
      </c>
      <c r="C6721" s="179" t="s">
        <v>72</v>
      </c>
      <c r="D6721"/>
      <c r="E6721" s="125" t="s">
        <v>1911</v>
      </c>
      <c r="F6721" s="178" t="s">
        <v>1911</v>
      </c>
      <c r="G6721" s="178" t="s">
        <v>1911</v>
      </c>
      <c r="H6721"/>
      <c r="I6721" s="178" t="s">
        <v>1911</v>
      </c>
      <c r="J6721" s="320" t="s">
        <v>214</v>
      </c>
      <c r="K6721" s="178" t="s">
        <v>5557</v>
      </c>
      <c r="L6721" s="125" t="s">
        <v>156</v>
      </c>
      <c r="M6721">
        <v>61</v>
      </c>
      <c r="N6721" s="182">
        <v>0</v>
      </c>
      <c r="O6721">
        <v>4421</v>
      </c>
      <c r="P6721" s="176" t="s">
        <v>78</v>
      </c>
      <c r="Q6721" s="176">
        <v>26282.336553860005</v>
      </c>
      <c r="R6721" s="176">
        <v>0</v>
      </c>
      <c r="S6721" s="176"/>
      <c r="T6721" s="190">
        <v>0</v>
      </c>
      <c r="U6721" s="191">
        <v>0</v>
      </c>
      <c r="V6721" s="191">
        <v>34334.480000000003</v>
      </c>
      <c r="W6721"/>
      <c r="X6721" s="186"/>
      <c r="Y6721" s="187"/>
      <c r="Z6721" s="311" t="s">
        <v>214</v>
      </c>
      <c r="AB6721" t="str">
        <f>IF(Table1[[#This Row],[TIPO2]]="costo", VLOOKUP(Table1[[#This Row],[PARTIDA PRESUPUESTAL]],'Cost Report'!G:G,1,0),"Balance")</f>
        <v>Balance</v>
      </c>
      <c r="AD6721" s="159">
        <f>+Table1[[#This Row],[SUBTOTAL]]+Table1[[#This Row],[IVA]]-Table1[[#This Row],[RET IVA]]-Table1[[#This Row],[RET ISR]]-Table1[[#This Row],[TOTAL]]</f>
        <v>-8052.1434461399986</v>
      </c>
      <c r="AK6721" s="306" t="str">
        <f>IF(ISNUMBER(Table1[[#This Row],[FECHA DE RECIBIDO]]), Table1[[#This Row],[FECHA DE RECIBIDO]]-DATE(2023,8,30), "")</f>
        <v/>
      </c>
    </row>
    <row r="6722" spans="1:37" ht="18" customHeight="1">
      <c r="A6722" s="172" t="s">
        <v>5531</v>
      </c>
      <c r="B6722" s="178" t="s">
        <v>1576</v>
      </c>
      <c r="C6722" s="179" t="s">
        <v>73</v>
      </c>
      <c r="D6722"/>
      <c r="E6722" s="125" t="s">
        <v>1911</v>
      </c>
      <c r="F6722" s="178" t="s">
        <v>1911</v>
      </c>
      <c r="G6722" s="178" t="s">
        <v>1911</v>
      </c>
      <c r="H6722"/>
      <c r="I6722" s="178" t="s">
        <v>1911</v>
      </c>
      <c r="J6722" s="320" t="s">
        <v>214</v>
      </c>
      <c r="K6722" s="178" t="s">
        <v>5557</v>
      </c>
      <c r="L6722" s="125" t="s">
        <v>156</v>
      </c>
      <c r="M6722">
        <v>61</v>
      </c>
      <c r="N6722" s="182">
        <v>0</v>
      </c>
      <c r="O6722">
        <v>4422</v>
      </c>
      <c r="P6722" s="176" t="s">
        <v>78</v>
      </c>
      <c r="Q6722" s="176">
        <v>17268.918000000001</v>
      </c>
      <c r="R6722" s="176">
        <v>0</v>
      </c>
      <c r="S6722" s="176"/>
      <c r="T6722" s="190">
        <v>0</v>
      </c>
      <c r="U6722" s="191">
        <v>0</v>
      </c>
      <c r="V6722" s="191">
        <v>11276</v>
      </c>
      <c r="W6722"/>
      <c r="X6722" s="186"/>
      <c r="Y6722" s="187"/>
      <c r="Z6722" s="311" t="s">
        <v>214</v>
      </c>
      <c r="AB6722" t="str">
        <f>IF(Table1[[#This Row],[TIPO2]]="costo", VLOOKUP(Table1[[#This Row],[PARTIDA PRESUPUESTAL]],'Cost Report'!G:G,1,0),"Balance")</f>
        <v>Balance</v>
      </c>
      <c r="AD6722" s="159">
        <f>+Table1[[#This Row],[SUBTOTAL]]+Table1[[#This Row],[IVA]]-Table1[[#This Row],[RET IVA]]-Table1[[#This Row],[RET ISR]]-Table1[[#This Row],[TOTAL]]</f>
        <v>5992.9180000000015</v>
      </c>
      <c r="AK6722" s="306" t="str">
        <f>IF(ISNUMBER(Table1[[#This Row],[FECHA DE RECIBIDO]]), Table1[[#This Row],[FECHA DE RECIBIDO]]-DATE(2023,8,30), "")</f>
        <v/>
      </c>
    </row>
    <row r="6723" spans="1:37" ht="18" customHeight="1">
      <c r="A6723" s="172"/>
      <c r="B6723" s="178"/>
      <c r="C6723" s="179" t="s">
        <v>2868</v>
      </c>
      <c r="D6723">
        <v>4587</v>
      </c>
      <c r="E6723" s="125"/>
      <c r="F6723" s="178"/>
      <c r="G6723" s="178"/>
      <c r="H6723"/>
      <c r="I6723" s="178"/>
      <c r="J6723" s="320" t="s">
        <v>214</v>
      </c>
      <c r="K6723" s="178" t="s">
        <v>5557</v>
      </c>
      <c r="L6723" s="125" t="s">
        <v>1579</v>
      </c>
      <c r="M6723">
        <v>1568</v>
      </c>
      <c r="N6723" s="182"/>
      <c r="O6723">
        <v>4452</v>
      </c>
      <c r="P6723" s="176" t="s">
        <v>77</v>
      </c>
      <c r="Q6723" s="176">
        <f>10038.8+285.31</f>
        <v>10324.109999999999</v>
      </c>
      <c r="R6723" s="176">
        <v>1606.2</v>
      </c>
      <c r="S6723" s="176">
        <v>285.31</v>
      </c>
      <c r="T6723" s="190">
        <v>0</v>
      </c>
      <c r="U6723" s="191"/>
      <c r="V6723" s="191">
        <f>+Table1[[#This Row],[SUBTOTAL]]+Table1[[#This Row],[IVA]]-Table1[[#This Row],[RET IVA]]-Table1[[#This Row],[RET ISR]]</f>
        <v>11930.31</v>
      </c>
      <c r="W6723"/>
      <c r="X6723" s="186"/>
      <c r="Y6723" s="187"/>
      <c r="Z6723" s="311" t="s">
        <v>214</v>
      </c>
      <c r="AB6723" t="str">
        <f>IF(Table1[[#This Row],[TIPO2]]="costo", VLOOKUP(Table1[[#This Row],[PARTIDA PRESUPUESTAL]],'Cost Report'!G:G,1,0),"Balance")</f>
        <v>3632-009</v>
      </c>
      <c r="AD6723" s="159">
        <f>+Table1[[#This Row],[SUBTOTAL]]+Table1[[#This Row],[IVA]]-Table1[[#This Row],[RET IVA]]-Table1[[#This Row],[RET ISR]]-Table1[[#This Row],[TOTAL]]</f>
        <v>0</v>
      </c>
      <c r="AK6723" s="306" t="str">
        <f>IF(ISNUMBER(Table1[[#This Row],[FECHA DE RECIBIDO]]), Table1[[#This Row],[FECHA DE RECIBIDO]]-DATE(2023,8,30), "")</f>
        <v/>
      </c>
    </row>
    <row r="6724" spans="1:37" ht="18" customHeight="1">
      <c r="A6724" s="172"/>
      <c r="B6724" s="178"/>
      <c r="C6724" s="179" t="s">
        <v>71</v>
      </c>
      <c r="D6724"/>
      <c r="E6724" s="125"/>
      <c r="F6724" s="178"/>
      <c r="G6724" s="178"/>
      <c r="H6724"/>
      <c r="I6724" s="178"/>
      <c r="J6724" s="320" t="s">
        <v>214</v>
      </c>
      <c r="K6724" s="178" t="s">
        <v>5557</v>
      </c>
      <c r="L6724" s="125" t="s">
        <v>1579</v>
      </c>
      <c r="M6724">
        <v>1568</v>
      </c>
      <c r="N6724" s="182"/>
      <c r="O6724">
        <v>4453</v>
      </c>
      <c r="P6724" s="176" t="s">
        <v>78</v>
      </c>
      <c r="Q6724" s="176">
        <f>-SUM(Q6723:R6723)</f>
        <v>-11930.31</v>
      </c>
      <c r="R6724" s="176"/>
      <c r="S6724" s="176"/>
      <c r="T6724" s="190">
        <v>0</v>
      </c>
      <c r="U6724" s="191"/>
      <c r="V6724" s="191">
        <f>+Table1[[#This Row],[SUBTOTAL]]+Table1[[#This Row],[IVA]]-Table1[[#This Row],[RET IVA]]-Table1[[#This Row],[RET ISR]]</f>
        <v>-11930.31</v>
      </c>
      <c r="W6724"/>
      <c r="X6724" s="186"/>
      <c r="Y6724" s="187"/>
      <c r="Z6724" s="311" t="s">
        <v>214</v>
      </c>
      <c r="AB6724" t="str">
        <f>IF(Table1[[#This Row],[TIPO2]]="costo", VLOOKUP(Table1[[#This Row],[PARTIDA PRESUPUESTAL]],'Cost Report'!G:G,1,0),"Balance")</f>
        <v>Balance</v>
      </c>
      <c r="AD6724" s="159">
        <f>+Table1[[#This Row],[SUBTOTAL]]+Table1[[#This Row],[IVA]]-Table1[[#This Row],[RET IVA]]-Table1[[#This Row],[RET ISR]]-Table1[[#This Row],[TOTAL]]</f>
        <v>0</v>
      </c>
      <c r="AK6724" s="306" t="str">
        <f>IF(ISNUMBER(Table1[[#This Row],[FECHA DE RECIBIDO]]), Table1[[#This Row],[FECHA DE RECIBIDO]]-DATE(2023,8,30), "")</f>
        <v/>
      </c>
    </row>
    <row r="6725" spans="1:37" ht="18" customHeight="1">
      <c r="A6725" s="172"/>
      <c r="B6725" s="178"/>
      <c r="C6725" s="179" t="s">
        <v>399</v>
      </c>
      <c r="D6725"/>
      <c r="E6725" s="125"/>
      <c r="F6725" s="178"/>
      <c r="G6725" s="178"/>
      <c r="H6725"/>
      <c r="I6725" s="178"/>
      <c r="J6725" s="320" t="s">
        <v>214</v>
      </c>
      <c r="K6725" s="178" t="s">
        <v>5557</v>
      </c>
      <c r="L6725" s="125" t="s">
        <v>3306</v>
      </c>
      <c r="M6725"/>
      <c r="N6725" s="182"/>
      <c r="O6725">
        <v>4454</v>
      </c>
      <c r="P6725" s="176" t="s">
        <v>77</v>
      </c>
      <c r="Q6725" s="176">
        <v>10000</v>
      </c>
      <c r="R6725" s="176"/>
      <c r="S6725" s="176"/>
      <c r="T6725" s="190">
        <v>0</v>
      </c>
      <c r="U6725" s="191"/>
      <c r="V6725" s="191">
        <f>+Table1[[#This Row],[SUBTOTAL]]+Table1[[#This Row],[IVA]]-Table1[[#This Row],[RET IVA]]-Table1[[#This Row],[RET ISR]]</f>
        <v>10000</v>
      </c>
      <c r="W6725"/>
      <c r="X6725" s="186"/>
      <c r="Y6725" s="187"/>
      <c r="Z6725" s="311" t="s">
        <v>214</v>
      </c>
      <c r="AB6725" t="str">
        <f>IF(Table1[[#This Row],[TIPO2]]="costo", VLOOKUP(Table1[[#This Row],[PARTIDA PRESUPUESTAL]],'Cost Report'!G:G,1,0),"Balance")</f>
        <v>1621-003</v>
      </c>
      <c r="AD6725" s="159">
        <f>+Table1[[#This Row],[SUBTOTAL]]+Table1[[#This Row],[IVA]]-Table1[[#This Row],[RET IVA]]-Table1[[#This Row],[RET ISR]]-Table1[[#This Row],[TOTAL]]</f>
        <v>0</v>
      </c>
      <c r="AK6725" s="306" t="str">
        <f>IF(ISNUMBER(Table1[[#This Row],[FECHA DE RECIBIDO]]), Table1[[#This Row],[FECHA DE RECIBIDO]]-DATE(2023,8,30), "")</f>
        <v/>
      </c>
    </row>
    <row r="6726" spans="1:37" ht="18" customHeight="1">
      <c r="A6726" s="172"/>
      <c r="B6726" s="178"/>
      <c r="C6726" s="179" t="s">
        <v>69</v>
      </c>
      <c r="D6726"/>
      <c r="E6726" s="125"/>
      <c r="F6726" s="178"/>
      <c r="G6726" s="178"/>
      <c r="H6726"/>
      <c r="I6726" s="178"/>
      <c r="J6726" s="320" t="s">
        <v>214</v>
      </c>
      <c r="K6726" s="178" t="s">
        <v>5557</v>
      </c>
      <c r="L6726" s="125" t="s">
        <v>3306</v>
      </c>
      <c r="M6726">
        <v>638</v>
      </c>
      <c r="N6726" s="182"/>
      <c r="O6726">
        <v>4454</v>
      </c>
      <c r="P6726" s="176" t="s">
        <v>78</v>
      </c>
      <c r="Q6726" s="176">
        <v>-10000</v>
      </c>
      <c r="R6726" s="176"/>
      <c r="S6726" s="176"/>
      <c r="T6726" s="190"/>
      <c r="U6726" s="191"/>
      <c r="V6726" s="191">
        <f>+Table1[[#This Row],[SUBTOTAL]]+Table1[[#This Row],[IVA]]-Table1[[#This Row],[RET IVA]]-Table1[[#This Row],[RET ISR]]</f>
        <v>-10000</v>
      </c>
      <c r="W6726"/>
      <c r="X6726" s="186"/>
      <c r="Y6726" s="187"/>
      <c r="Z6726" s="311" t="s">
        <v>214</v>
      </c>
      <c r="AB6726" t="str">
        <f>IF(Table1[[#This Row],[TIPO2]]="costo", VLOOKUP(Table1[[#This Row],[PARTIDA PRESUPUESTAL]],'Cost Report'!G:G,1,0),"Balance")</f>
        <v>Balance</v>
      </c>
      <c r="AD6726" s="159">
        <f>+Table1[[#This Row],[SUBTOTAL]]+Table1[[#This Row],[IVA]]-Table1[[#This Row],[RET IVA]]-Table1[[#This Row],[RET ISR]]-Table1[[#This Row],[TOTAL]]</f>
        <v>0</v>
      </c>
      <c r="AK6726" s="306" t="str">
        <f>IF(ISNUMBER(Table1[[#This Row],[FECHA DE RECIBIDO]]), Table1[[#This Row],[FECHA DE RECIBIDO]]-DATE(2023,8,30), "")</f>
        <v/>
      </c>
    </row>
    <row r="6727" spans="1:37" ht="18" customHeight="1">
      <c r="A6727" s="240" t="s">
        <v>5558</v>
      </c>
      <c r="B6727" s="241">
        <v>2448</v>
      </c>
      <c r="C6727" s="242" t="s">
        <v>1286</v>
      </c>
      <c r="D6727">
        <v>4588</v>
      </c>
      <c r="E6727" s="242">
        <v>98068</v>
      </c>
      <c r="F6727" s="242">
        <v>612</v>
      </c>
      <c r="G6727" s="242" t="s">
        <v>129</v>
      </c>
      <c r="H6727">
        <v>1109</v>
      </c>
      <c r="I6727" s="244" t="s">
        <v>1546</v>
      </c>
      <c r="J6727" s="316">
        <v>432.64590277777461</v>
      </c>
      <c r="K6727" s="242" t="s">
        <v>5559</v>
      </c>
      <c r="L6727" s="242" t="s">
        <v>3306</v>
      </c>
      <c r="M6727">
        <v>1569</v>
      </c>
      <c r="N6727" s="243">
        <v>284</v>
      </c>
      <c r="O6727">
        <v>4455</v>
      </c>
      <c r="P6727" s="242" t="s">
        <v>77</v>
      </c>
      <c r="Q6727" s="245">
        <v>20090.8</v>
      </c>
      <c r="R6727" s="245">
        <f t="shared" ref="R6727:R6728" si="74">Q6727*0.16</f>
        <v>3214.5279999999998</v>
      </c>
      <c r="S6727" s="245">
        <v>0</v>
      </c>
      <c r="T6727" s="245">
        <f>Q6727*0.106667</f>
        <v>2143.0253635999998</v>
      </c>
      <c r="U6727" s="245">
        <f>Q6727*0.1</f>
        <v>2009.08</v>
      </c>
      <c r="V6727" s="246">
        <f t="shared" ref="V6727:V6734" si="75">+Q6727+R6727-T6727-U6727</f>
        <v>19153.222636399994</v>
      </c>
      <c r="W6727">
        <v>547</v>
      </c>
      <c r="X6727" s="242" t="s">
        <v>2041</v>
      </c>
      <c r="Y6727" s="242" t="s">
        <v>55</v>
      </c>
      <c r="Z6727" s="316">
        <v>439</v>
      </c>
      <c r="AB6727" t="str">
        <f>IF(Table1[[#This Row],[TIPO2]]="costo", VLOOKUP(Table1[[#This Row],[PARTIDA PRESUPUESTAL]],'Cost Report'!G:G,1,0),"Balance")</f>
        <v>6004-004</v>
      </c>
      <c r="AD6727" s="159">
        <f>+Table1[[#This Row],[SUBTOTAL]]+Table1[[#This Row],[IVA]]-Table1[[#This Row],[RET IVA]]-Table1[[#This Row],[RET ISR]]-Table1[[#This Row],[TOTAL]]</f>
        <v>0</v>
      </c>
      <c r="AK6727" s="306">
        <f>IF(ISNUMBER(Table1[[#This Row],[FECHA DE RECIBIDO]]), Table1[[#This Row],[FECHA DE RECIBIDO]]-DATE(2023,8,30), "")</f>
        <v>-44735.354097222225</v>
      </c>
    </row>
    <row r="6728" spans="1:37" ht="18" customHeight="1">
      <c r="A6728" s="229" t="s">
        <v>5560</v>
      </c>
      <c r="B6728" s="230">
        <v>2449</v>
      </c>
      <c r="C6728" s="242" t="s">
        <v>1285</v>
      </c>
      <c r="D6728">
        <v>4589</v>
      </c>
      <c r="E6728" s="224">
        <v>11650</v>
      </c>
      <c r="F6728" s="224">
        <v>601</v>
      </c>
      <c r="G6728" s="224" t="s">
        <v>134</v>
      </c>
      <c r="H6728">
        <v>1110</v>
      </c>
      <c r="I6728" s="244" t="s">
        <v>1546</v>
      </c>
      <c r="J6728" s="316">
        <v>435.46887731481547</v>
      </c>
      <c r="K6728" s="224" t="s">
        <v>5559</v>
      </c>
      <c r="L6728" s="224" t="s">
        <v>3306</v>
      </c>
      <c r="M6728">
        <v>1570</v>
      </c>
      <c r="N6728" s="228">
        <v>284</v>
      </c>
      <c r="O6728">
        <v>4456</v>
      </c>
      <c r="P6728" s="224" t="s">
        <v>77</v>
      </c>
      <c r="Q6728" s="226">
        <v>132010.45000000001</v>
      </c>
      <c r="R6728" s="226">
        <f t="shared" si="74"/>
        <v>21121.672000000002</v>
      </c>
      <c r="S6728" s="226">
        <v>0</v>
      </c>
      <c r="T6728" s="226">
        <v>0</v>
      </c>
      <c r="U6728" s="226">
        <v>0</v>
      </c>
      <c r="V6728" s="227">
        <f t="shared" si="75"/>
        <v>153132.122</v>
      </c>
      <c r="W6728">
        <v>548</v>
      </c>
      <c r="X6728" s="224" t="s">
        <v>2035</v>
      </c>
      <c r="Y6728" s="224" t="s">
        <v>55</v>
      </c>
      <c r="Z6728" s="315">
        <v>439</v>
      </c>
      <c r="AB6728" t="str">
        <f>IF(Table1[[#This Row],[TIPO2]]="costo", VLOOKUP(Table1[[#This Row],[PARTIDA PRESUPUESTAL]],'Cost Report'!G:G,1,0),"Balance")</f>
        <v>6004-003</v>
      </c>
      <c r="AD6728" s="159">
        <f>+Table1[[#This Row],[SUBTOTAL]]+Table1[[#This Row],[IVA]]-Table1[[#This Row],[RET IVA]]-Table1[[#This Row],[RET ISR]]-Table1[[#This Row],[TOTAL]]</f>
        <v>0</v>
      </c>
      <c r="AK6728" s="306">
        <f>IF(ISNUMBER(Table1[[#This Row],[FECHA DE RECIBIDO]]), Table1[[#This Row],[FECHA DE RECIBIDO]]-DATE(2023,8,30), "")</f>
        <v>-44732.531122685185</v>
      </c>
    </row>
    <row r="6729" spans="1:37" ht="18" customHeight="1">
      <c r="A6729" s="229" t="s">
        <v>5561</v>
      </c>
      <c r="B6729" s="230">
        <v>2450</v>
      </c>
      <c r="C6729" s="224" t="s">
        <v>983</v>
      </c>
      <c r="D6729">
        <v>4590</v>
      </c>
      <c r="E6729" s="247" t="s">
        <v>1604</v>
      </c>
      <c r="F6729" s="224">
        <v>601</v>
      </c>
      <c r="G6729" s="224" t="s">
        <v>134</v>
      </c>
      <c r="H6729">
        <v>1111</v>
      </c>
      <c r="I6729" s="244" t="s">
        <v>1546</v>
      </c>
      <c r="J6729" s="316">
        <v>441.48256944444438</v>
      </c>
      <c r="K6729" s="224" t="s">
        <v>5559</v>
      </c>
      <c r="L6729" s="224" t="s">
        <v>3306</v>
      </c>
      <c r="M6729">
        <v>1571</v>
      </c>
      <c r="N6729" s="228">
        <v>284</v>
      </c>
      <c r="O6729">
        <v>4457</v>
      </c>
      <c r="P6729" s="224" t="s">
        <v>77</v>
      </c>
      <c r="Q6729" s="226">
        <v>14668</v>
      </c>
      <c r="R6729" s="226">
        <v>0</v>
      </c>
      <c r="S6729" s="226">
        <v>0</v>
      </c>
      <c r="T6729" s="226">
        <v>0</v>
      </c>
      <c r="U6729" s="226">
        <v>0</v>
      </c>
      <c r="V6729" s="227">
        <f t="shared" si="75"/>
        <v>14668</v>
      </c>
      <c r="W6729">
        <v>549</v>
      </c>
      <c r="X6729" s="224" t="s">
        <v>111</v>
      </c>
      <c r="Y6729" s="224" t="s">
        <v>55</v>
      </c>
      <c r="Z6729" s="315">
        <v>439</v>
      </c>
      <c r="AB6729" t="str">
        <f>IF(Table1[[#This Row],[TIPO2]]="costo", VLOOKUP(Table1[[#This Row],[PARTIDA PRESUPUESTAL]],'Cost Report'!G:G,1,0),"Balance")</f>
        <v>3412-003</v>
      </c>
      <c r="AD6729" s="159">
        <f>+Table1[[#This Row],[SUBTOTAL]]+Table1[[#This Row],[IVA]]-Table1[[#This Row],[RET IVA]]-Table1[[#This Row],[RET ISR]]-Table1[[#This Row],[TOTAL]]</f>
        <v>0</v>
      </c>
      <c r="AK6729" s="306">
        <f>IF(ISNUMBER(Table1[[#This Row],[FECHA DE RECIBIDO]]), Table1[[#This Row],[FECHA DE RECIBIDO]]-DATE(2023,8,30), "")</f>
        <v>-44726.517430555556</v>
      </c>
    </row>
    <row r="6730" spans="1:37" ht="18" customHeight="1">
      <c r="A6730" s="229" t="s">
        <v>5562</v>
      </c>
      <c r="B6730" s="230">
        <v>2451</v>
      </c>
      <c r="C6730" s="224" t="s">
        <v>983</v>
      </c>
      <c r="D6730">
        <v>4591</v>
      </c>
      <c r="E6730" s="247" t="s">
        <v>1604</v>
      </c>
      <c r="F6730" s="224">
        <v>601</v>
      </c>
      <c r="G6730" s="224" t="s">
        <v>134</v>
      </c>
      <c r="H6730">
        <v>1111</v>
      </c>
      <c r="I6730" s="244" t="s">
        <v>1546</v>
      </c>
      <c r="J6730" s="316">
        <v>441.48362268518395</v>
      </c>
      <c r="K6730" s="224" t="s">
        <v>5559</v>
      </c>
      <c r="L6730" s="224" t="s">
        <v>3306</v>
      </c>
      <c r="M6730">
        <v>1571</v>
      </c>
      <c r="N6730" s="228">
        <v>284</v>
      </c>
      <c r="O6730">
        <v>4457</v>
      </c>
      <c r="P6730" s="224" t="s">
        <v>77</v>
      </c>
      <c r="Q6730" s="226">
        <v>14668</v>
      </c>
      <c r="R6730" s="226">
        <v>0</v>
      </c>
      <c r="S6730" s="226">
        <v>0</v>
      </c>
      <c r="T6730" s="226">
        <v>0</v>
      </c>
      <c r="U6730" s="226">
        <v>0</v>
      </c>
      <c r="V6730" s="227">
        <f t="shared" si="75"/>
        <v>14668</v>
      </c>
      <c r="W6730">
        <v>549</v>
      </c>
      <c r="X6730" s="224" t="s">
        <v>111</v>
      </c>
      <c r="Y6730" s="224" t="s">
        <v>55</v>
      </c>
      <c r="Z6730" s="315">
        <v>439</v>
      </c>
      <c r="AB6730" t="str">
        <f>IF(Table1[[#This Row],[TIPO2]]="costo", VLOOKUP(Table1[[#This Row],[PARTIDA PRESUPUESTAL]],'Cost Report'!G:G,1,0),"Balance")</f>
        <v>3412-003</v>
      </c>
      <c r="AD6730" s="159">
        <f>+Table1[[#This Row],[SUBTOTAL]]+Table1[[#This Row],[IVA]]-Table1[[#This Row],[RET IVA]]-Table1[[#This Row],[RET ISR]]-Table1[[#This Row],[TOTAL]]</f>
        <v>0</v>
      </c>
      <c r="AK6730" s="306">
        <f>IF(ISNUMBER(Table1[[#This Row],[FECHA DE RECIBIDO]]), Table1[[#This Row],[FECHA DE RECIBIDO]]-DATE(2023,8,30), "")</f>
        <v>-44726.516377314816</v>
      </c>
    </row>
    <row r="6731" spans="1:37" s="271" customFormat="1" ht="18" customHeight="1">
      <c r="A6731" s="263" t="s">
        <v>5563</v>
      </c>
      <c r="B6731" s="264">
        <v>2452</v>
      </c>
      <c r="C6731" s="265" t="s">
        <v>1285</v>
      </c>
      <c r="D6731"/>
      <c r="E6731" s="266" t="s">
        <v>1911</v>
      </c>
      <c r="F6731" s="266" t="s">
        <v>1911</v>
      </c>
      <c r="G6731" s="266" t="s">
        <v>1911</v>
      </c>
      <c r="H6731"/>
      <c r="I6731" s="266" t="s">
        <v>1911</v>
      </c>
      <c r="J6731" s="323" t="s">
        <v>214</v>
      </c>
      <c r="K6731" s="267" t="s">
        <v>5559</v>
      </c>
      <c r="L6731" s="267" t="s">
        <v>3306</v>
      </c>
      <c r="M6731">
        <v>1572</v>
      </c>
      <c r="N6731" s="268">
        <v>284</v>
      </c>
      <c r="O6731">
        <v>4458</v>
      </c>
      <c r="P6731" s="267" t="s">
        <v>77</v>
      </c>
      <c r="Q6731" s="269">
        <v>260360.93</v>
      </c>
      <c r="R6731" s="269">
        <v>0</v>
      </c>
      <c r="S6731" s="269">
        <v>0</v>
      </c>
      <c r="T6731" s="269">
        <v>0</v>
      </c>
      <c r="U6731" s="269">
        <v>26035.93</v>
      </c>
      <c r="V6731" s="270">
        <f t="shared" si="75"/>
        <v>234325</v>
      </c>
      <c r="W6731">
        <v>550</v>
      </c>
      <c r="X6731" s="267" t="s">
        <v>5564</v>
      </c>
      <c r="Y6731" s="267" t="s">
        <v>55</v>
      </c>
      <c r="Z6731" s="317">
        <v>439</v>
      </c>
      <c r="AB6731" s="271" t="str">
        <f>IF(Table1[[#This Row],[TIPO2]]="costo", VLOOKUP(Table1[[#This Row],[PARTIDA PRESUPUESTAL]],'Cost Report'!G:G,1,0),"Balance")</f>
        <v>6004-003</v>
      </c>
      <c r="AD6731" s="272">
        <f>+Table1[[#This Row],[SUBTOTAL]]+Table1[[#This Row],[IVA]]-Table1[[#This Row],[RET IVA]]-Table1[[#This Row],[RET ISR]]-Table1[[#This Row],[TOTAL]]</f>
        <v>0</v>
      </c>
      <c r="AK6731" s="306" t="str">
        <f>IF(ISNUMBER(Table1[[#This Row],[FECHA DE RECIBIDO]]), Table1[[#This Row],[FECHA DE RECIBIDO]]-DATE(2023,8,30), "")</f>
        <v/>
      </c>
    </row>
    <row r="6732" spans="1:37" ht="18" customHeight="1">
      <c r="A6732" s="229" t="s">
        <v>5565</v>
      </c>
      <c r="B6732" s="230">
        <v>2453</v>
      </c>
      <c r="C6732" s="242" t="s">
        <v>1285</v>
      </c>
      <c r="D6732">
        <v>4592</v>
      </c>
      <c r="E6732" s="224">
        <v>11520</v>
      </c>
      <c r="F6732" s="224">
        <v>601</v>
      </c>
      <c r="G6732" s="224" t="s">
        <v>134</v>
      </c>
      <c r="H6732">
        <v>1112</v>
      </c>
      <c r="I6732" s="244" t="s">
        <v>1546</v>
      </c>
      <c r="J6732" s="316">
        <v>418.68682870370685</v>
      </c>
      <c r="K6732" s="224" t="s">
        <v>5559</v>
      </c>
      <c r="L6732" s="224" t="s">
        <v>3306</v>
      </c>
      <c r="M6732">
        <v>1573</v>
      </c>
      <c r="N6732" s="228">
        <v>284</v>
      </c>
      <c r="O6732">
        <v>4459</v>
      </c>
      <c r="P6732" s="224" t="s">
        <v>77</v>
      </c>
      <c r="Q6732" s="226">
        <v>94424</v>
      </c>
      <c r="R6732" s="226">
        <v>0</v>
      </c>
      <c r="S6732" s="226">
        <v>0</v>
      </c>
      <c r="T6732" s="226">
        <v>0</v>
      </c>
      <c r="U6732" s="226">
        <v>0</v>
      </c>
      <c r="V6732" s="227">
        <f t="shared" si="75"/>
        <v>94424</v>
      </c>
      <c r="W6732">
        <v>551</v>
      </c>
      <c r="X6732" s="224" t="s">
        <v>195</v>
      </c>
      <c r="Y6732" s="224" t="s">
        <v>55</v>
      </c>
      <c r="Z6732" s="315">
        <v>439</v>
      </c>
      <c r="AB6732" t="str">
        <f>IF(Table1[[#This Row],[TIPO2]]="costo", VLOOKUP(Table1[[#This Row],[PARTIDA PRESUPUESTAL]],'Cost Report'!G:G,1,0),"Balance")</f>
        <v>6004-003</v>
      </c>
      <c r="AD6732" s="159">
        <f>+Table1[[#This Row],[SUBTOTAL]]+Table1[[#This Row],[IVA]]-Table1[[#This Row],[RET IVA]]-Table1[[#This Row],[RET ISR]]-Table1[[#This Row],[TOTAL]]</f>
        <v>0</v>
      </c>
      <c r="AK6732" s="306">
        <f>IF(ISNUMBER(Table1[[#This Row],[FECHA DE RECIBIDO]]), Table1[[#This Row],[FECHA DE RECIBIDO]]-DATE(2023,8,30), "")</f>
        <v>-44749.313171296293</v>
      </c>
    </row>
    <row r="6733" spans="1:37" ht="18" customHeight="1">
      <c r="A6733" s="229" t="s">
        <v>5566</v>
      </c>
      <c r="B6733" s="230">
        <v>2454</v>
      </c>
      <c r="C6733" s="250" t="s">
        <v>3064</v>
      </c>
      <c r="D6733">
        <v>4593</v>
      </c>
      <c r="E6733" s="224">
        <v>44200</v>
      </c>
      <c r="F6733" s="224">
        <v>601</v>
      </c>
      <c r="G6733" s="224" t="s">
        <v>134</v>
      </c>
      <c r="H6733">
        <v>1101</v>
      </c>
      <c r="I6733" s="244" t="s">
        <v>1546</v>
      </c>
      <c r="J6733" s="316">
        <v>433.5328703703708</v>
      </c>
      <c r="K6733" s="224" t="s">
        <v>5559</v>
      </c>
      <c r="L6733" s="224" t="s">
        <v>3306</v>
      </c>
      <c r="M6733">
        <v>1538</v>
      </c>
      <c r="N6733" s="228">
        <v>284</v>
      </c>
      <c r="O6733">
        <v>4460</v>
      </c>
      <c r="P6733" s="224" t="s">
        <v>77</v>
      </c>
      <c r="Q6733" s="226">
        <v>246400</v>
      </c>
      <c r="R6733" s="226">
        <f>Q6733*0.16</f>
        <v>39424</v>
      </c>
      <c r="S6733" s="226">
        <v>0</v>
      </c>
      <c r="T6733" s="226">
        <v>0</v>
      </c>
      <c r="U6733" s="226">
        <v>0</v>
      </c>
      <c r="V6733" s="227">
        <f t="shared" si="75"/>
        <v>285824</v>
      </c>
      <c r="W6733">
        <v>536</v>
      </c>
      <c r="X6733" s="224" t="s">
        <v>2035</v>
      </c>
      <c r="Y6733" s="224" t="s">
        <v>55</v>
      </c>
      <c r="Z6733" s="315">
        <v>442</v>
      </c>
      <c r="AB6733" t="str">
        <f>IF(Table1[[#This Row],[TIPO2]]="costo", VLOOKUP(Table1[[#This Row],[PARTIDA PRESUPUESTAL]],'Cost Report'!G:G,1,0),"Balance")</f>
        <v>6001-005</v>
      </c>
      <c r="AD6733" s="159">
        <f>+Table1[[#This Row],[SUBTOTAL]]+Table1[[#This Row],[IVA]]-Table1[[#This Row],[RET IVA]]-Table1[[#This Row],[RET ISR]]-Table1[[#This Row],[TOTAL]]</f>
        <v>0</v>
      </c>
      <c r="AK6733" s="306">
        <f>IF(ISNUMBER(Table1[[#This Row],[FECHA DE RECIBIDO]]), Table1[[#This Row],[FECHA DE RECIBIDO]]-DATE(2023,8,30), "")</f>
        <v>-44734.467129629629</v>
      </c>
    </row>
    <row r="6734" spans="1:37" s="280" customFormat="1" ht="18" customHeight="1">
      <c r="A6734" s="273" t="s">
        <v>5567</v>
      </c>
      <c r="B6734" s="274">
        <v>2455</v>
      </c>
      <c r="C6734" s="275" t="s">
        <v>1285</v>
      </c>
      <c r="D6734"/>
      <c r="E6734" s="276" t="s">
        <v>1911</v>
      </c>
      <c r="F6734" s="276" t="s">
        <v>1911</v>
      </c>
      <c r="G6734" s="276" t="s">
        <v>1911</v>
      </c>
      <c r="H6734"/>
      <c r="I6734" s="276" t="s">
        <v>1911</v>
      </c>
      <c r="J6734" s="318" t="s">
        <v>214</v>
      </c>
      <c r="K6734" s="276" t="s">
        <v>5559</v>
      </c>
      <c r="L6734" s="276" t="s">
        <v>3306</v>
      </c>
      <c r="M6734">
        <v>1574</v>
      </c>
      <c r="N6734" s="277">
        <v>284</v>
      </c>
      <c r="O6734">
        <v>4461</v>
      </c>
      <c r="P6734" s="276" t="s">
        <v>77</v>
      </c>
      <c r="Q6734" s="278">
        <v>15257.6</v>
      </c>
      <c r="R6734" s="278">
        <v>0</v>
      </c>
      <c r="S6734" s="278">
        <v>0</v>
      </c>
      <c r="T6734" s="278">
        <v>0</v>
      </c>
      <c r="U6734" s="278">
        <v>1525.64</v>
      </c>
      <c r="V6734" s="279">
        <f t="shared" si="75"/>
        <v>13731.960000000001</v>
      </c>
      <c r="W6734">
        <v>552</v>
      </c>
      <c r="X6734" s="276" t="s">
        <v>5568</v>
      </c>
      <c r="Y6734" s="276" t="s">
        <v>55</v>
      </c>
      <c r="Z6734" s="318">
        <v>442</v>
      </c>
      <c r="AB6734" s="280" t="str">
        <f>IF(Table1[[#This Row],[TIPO2]]="costo", VLOOKUP(Table1[[#This Row],[PARTIDA PRESUPUESTAL]],'Cost Report'!G:G,1,0),"Balance")</f>
        <v>6004-003</v>
      </c>
      <c r="AD6734" s="281">
        <f>+Table1[[#This Row],[SUBTOTAL]]+Table1[[#This Row],[IVA]]-Table1[[#This Row],[RET IVA]]-Table1[[#This Row],[RET ISR]]-Table1[[#This Row],[TOTAL]]</f>
        <v>0</v>
      </c>
      <c r="AK6734" s="306" t="str">
        <f>IF(ISNUMBER(Table1[[#This Row],[FECHA DE RECIBIDO]]), Table1[[#This Row],[FECHA DE RECIBIDO]]-DATE(2023,8,30), "")</f>
        <v/>
      </c>
    </row>
    <row r="6735" spans="1:37" ht="18" customHeight="1">
      <c r="A6735" s="172"/>
      <c r="B6735" s="178"/>
      <c r="C6735" s="179" t="s">
        <v>5114</v>
      </c>
      <c r="D6735"/>
      <c r="E6735" s="125"/>
      <c r="F6735" s="178"/>
      <c r="G6735" s="178"/>
      <c r="H6735"/>
      <c r="I6735" s="178"/>
      <c r="J6735" s="320" t="s">
        <v>214</v>
      </c>
      <c r="K6735" s="178" t="s">
        <v>5569</v>
      </c>
      <c r="L6735" s="125" t="s">
        <v>5115</v>
      </c>
      <c r="M6735">
        <v>28</v>
      </c>
      <c r="N6735" s="182"/>
      <c r="O6735">
        <v>4462</v>
      </c>
      <c r="P6735" s="176" t="s">
        <v>78</v>
      </c>
      <c r="Q6735" s="176">
        <v>-3962708</v>
      </c>
      <c r="R6735" s="176"/>
      <c r="S6735" s="176"/>
      <c r="T6735" s="190">
        <v>0</v>
      </c>
      <c r="U6735" s="191"/>
      <c r="V6735" s="191">
        <f>+Table1[[#This Row],[SUBTOTAL]]+Table1[[#This Row],[IVA]]-Table1[[#This Row],[RET IVA]]-Table1[[#This Row],[RET ISR]]</f>
        <v>-3962708</v>
      </c>
      <c r="W6735"/>
      <c r="X6735" s="186"/>
      <c r="Y6735" s="187"/>
      <c r="Z6735" s="311" t="s">
        <v>214</v>
      </c>
      <c r="AB6735" t="str">
        <f>IF(Table1[[#This Row],[TIPO2]]="costo", VLOOKUP(Table1[[#This Row],[PARTIDA PRESUPUESTAL]],'Cost Report'!G:G,1,0),"Balance")</f>
        <v>Balance</v>
      </c>
      <c r="AD6735" s="159">
        <f>+Table1[[#This Row],[SUBTOTAL]]+Table1[[#This Row],[IVA]]-Table1[[#This Row],[RET IVA]]-Table1[[#This Row],[RET ISR]]-Table1[[#This Row],[TOTAL]]</f>
        <v>0</v>
      </c>
      <c r="AK6735" s="306" t="str">
        <f>IF(ISNUMBER(Table1[[#This Row],[FECHA DE RECIBIDO]]), Table1[[#This Row],[FECHA DE RECIBIDO]]-DATE(2023,8,30), "")</f>
        <v/>
      </c>
    </row>
    <row r="6736" spans="1:37" ht="18" customHeight="1">
      <c r="A6736" s="172"/>
      <c r="B6736" s="178"/>
      <c r="C6736" s="179" t="s">
        <v>3102</v>
      </c>
      <c r="D6736"/>
      <c r="E6736" s="125"/>
      <c r="F6736" s="178"/>
      <c r="G6736" s="178"/>
      <c r="H6736"/>
      <c r="I6736" s="178"/>
      <c r="J6736" s="320" t="s">
        <v>214</v>
      </c>
      <c r="K6736" s="178" t="s">
        <v>5557</v>
      </c>
      <c r="L6736" s="125" t="s">
        <v>4317</v>
      </c>
      <c r="M6736">
        <v>7</v>
      </c>
      <c r="N6736" s="182"/>
      <c r="O6736">
        <v>4296</v>
      </c>
      <c r="P6736" s="176" t="s">
        <v>77</v>
      </c>
      <c r="Q6736" s="176">
        <v>630</v>
      </c>
      <c r="R6736" s="176">
        <f>+Table1[[#This Row],[SUBTOTAL]]*0.16</f>
        <v>100.8</v>
      </c>
      <c r="S6736" s="176"/>
      <c r="T6736" s="190">
        <v>0</v>
      </c>
      <c r="U6736" s="191"/>
      <c r="V6736" s="191">
        <v>696</v>
      </c>
      <c r="W6736"/>
      <c r="X6736" s="186"/>
      <c r="Y6736" s="187"/>
      <c r="Z6736" s="311" t="s">
        <v>214</v>
      </c>
      <c r="AB6736" t="str">
        <f>IF(Table1[[#This Row],[TIPO2]]="costo", VLOOKUP(Table1[[#This Row],[PARTIDA PRESUPUESTAL]],'Cost Report'!G:G,1,0),"Balance")</f>
        <v>7038-008</v>
      </c>
      <c r="AD6736" s="159">
        <f>+Table1[[#This Row],[SUBTOTAL]]+Table1[[#This Row],[IVA]]-Table1[[#This Row],[RET IVA]]-Table1[[#This Row],[RET ISR]]-Table1[[#This Row],[TOTAL]]</f>
        <v>34.799999999999955</v>
      </c>
      <c r="AK6736" s="306" t="str">
        <f>IF(ISNUMBER(Table1[[#This Row],[FECHA DE RECIBIDO]]), Table1[[#This Row],[FECHA DE RECIBIDO]]-DATE(2023,8,30), "")</f>
        <v/>
      </c>
    </row>
    <row r="6737" spans="1:37" ht="18" customHeight="1">
      <c r="A6737" s="172"/>
      <c r="B6737" s="178"/>
      <c r="C6737" s="179" t="s">
        <v>3102</v>
      </c>
      <c r="D6737"/>
      <c r="E6737" s="125"/>
      <c r="F6737" s="178"/>
      <c r="G6737" s="178"/>
      <c r="H6737"/>
      <c r="I6737" s="178"/>
      <c r="J6737" s="320" t="s">
        <v>214</v>
      </c>
      <c r="K6737" s="178" t="s">
        <v>5557</v>
      </c>
      <c r="L6737" s="125" t="s">
        <v>4317</v>
      </c>
      <c r="M6737">
        <v>7</v>
      </c>
      <c r="N6737" s="182"/>
      <c r="O6737">
        <v>4296</v>
      </c>
      <c r="P6737" s="176" t="s">
        <v>77</v>
      </c>
      <c r="Q6737" s="176">
        <v>500</v>
      </c>
      <c r="R6737" s="176">
        <f>+Table1[[#This Row],[SUBTOTAL]]*0.16</f>
        <v>80</v>
      </c>
      <c r="S6737" s="176"/>
      <c r="T6737" s="190">
        <v>0</v>
      </c>
      <c r="U6737" s="191"/>
      <c r="V6737" s="191">
        <f>+Table1[[#This Row],[SUBTOTAL]]+Table1[[#This Row],[IVA]]-Table1[[#This Row],[RET IVA]]-Table1[[#This Row],[RET ISR]]</f>
        <v>580</v>
      </c>
      <c r="W6737"/>
      <c r="X6737" s="186"/>
      <c r="Y6737" s="187"/>
      <c r="Z6737" s="311" t="s">
        <v>214</v>
      </c>
      <c r="AB6737" t="str">
        <f>IF(Table1[[#This Row],[TIPO2]]="costo", VLOOKUP(Table1[[#This Row],[PARTIDA PRESUPUESTAL]],'Cost Report'!G:G,1,0),"Balance")</f>
        <v>7038-008</v>
      </c>
      <c r="AD6737" s="159">
        <f>+Table1[[#This Row],[SUBTOTAL]]+Table1[[#This Row],[IVA]]-Table1[[#This Row],[RET IVA]]-Table1[[#This Row],[RET ISR]]-Table1[[#This Row],[TOTAL]]</f>
        <v>0</v>
      </c>
      <c r="AK6737" s="306" t="str">
        <f>IF(ISNUMBER(Table1[[#This Row],[FECHA DE RECIBIDO]]), Table1[[#This Row],[FECHA DE RECIBIDO]]-DATE(2023,8,30), "")</f>
        <v/>
      </c>
    </row>
    <row r="6738" spans="1:37" ht="18" customHeight="1">
      <c r="A6738" s="172"/>
      <c r="B6738" s="178"/>
      <c r="C6738" s="179" t="s">
        <v>3102</v>
      </c>
      <c r="D6738"/>
      <c r="E6738" s="125"/>
      <c r="F6738" s="178"/>
      <c r="G6738" s="178"/>
      <c r="H6738"/>
      <c r="I6738" s="178"/>
      <c r="J6738" s="320" t="s">
        <v>214</v>
      </c>
      <c r="K6738" s="178" t="s">
        <v>5557</v>
      </c>
      <c r="L6738" s="125" t="s">
        <v>4317</v>
      </c>
      <c r="M6738">
        <v>7</v>
      </c>
      <c r="N6738" s="182"/>
      <c r="O6738">
        <v>4296</v>
      </c>
      <c r="P6738" s="176" t="s">
        <v>77</v>
      </c>
      <c r="Q6738" s="176">
        <v>630</v>
      </c>
      <c r="R6738" s="176">
        <f>+Table1[[#This Row],[SUBTOTAL]]*0.16</f>
        <v>100.8</v>
      </c>
      <c r="S6738" s="176"/>
      <c r="T6738" s="190">
        <v>0</v>
      </c>
      <c r="U6738" s="191"/>
      <c r="V6738" s="191">
        <f>+Table1[[#This Row],[SUBTOTAL]]+Table1[[#This Row],[IVA]]-Table1[[#This Row],[RET IVA]]-Table1[[#This Row],[RET ISR]]</f>
        <v>730.8</v>
      </c>
      <c r="W6738"/>
      <c r="X6738" s="186"/>
      <c r="Y6738" s="187"/>
      <c r="Z6738" s="311" t="s">
        <v>214</v>
      </c>
      <c r="AB6738" t="str">
        <f>IF(Table1[[#This Row],[TIPO2]]="costo", VLOOKUP(Table1[[#This Row],[PARTIDA PRESUPUESTAL]],'Cost Report'!G:G,1,0),"Balance")</f>
        <v>7038-008</v>
      </c>
      <c r="AD6738" s="159">
        <f>+Table1[[#This Row],[SUBTOTAL]]+Table1[[#This Row],[IVA]]-Table1[[#This Row],[RET IVA]]-Table1[[#This Row],[RET ISR]]-Table1[[#This Row],[TOTAL]]</f>
        <v>0</v>
      </c>
      <c r="AK6738" s="306" t="str">
        <f>IF(ISNUMBER(Table1[[#This Row],[FECHA DE RECIBIDO]]), Table1[[#This Row],[FECHA DE RECIBIDO]]-DATE(2023,8,30), "")</f>
        <v/>
      </c>
    </row>
    <row r="6739" spans="1:37" ht="18" customHeight="1">
      <c r="A6739" s="172"/>
      <c r="B6739" s="178"/>
      <c r="C6739" s="179" t="s">
        <v>3102</v>
      </c>
      <c r="D6739"/>
      <c r="E6739" s="125"/>
      <c r="F6739" s="178"/>
      <c r="G6739" s="178"/>
      <c r="H6739"/>
      <c r="I6739" s="178"/>
      <c r="J6739" s="320" t="s">
        <v>214</v>
      </c>
      <c r="K6739" s="178" t="s">
        <v>5557</v>
      </c>
      <c r="L6739" s="125" t="s">
        <v>4317</v>
      </c>
      <c r="M6739">
        <v>7</v>
      </c>
      <c r="N6739" s="182"/>
      <c r="O6739">
        <v>4296</v>
      </c>
      <c r="P6739" s="176" t="s">
        <v>77</v>
      </c>
      <c r="Q6739" s="176">
        <v>91.58</v>
      </c>
      <c r="R6739" s="176">
        <f>+Table1[[#This Row],[SUBTOTAL]]*0.16</f>
        <v>14.652799999999999</v>
      </c>
      <c r="S6739" s="176"/>
      <c r="T6739" s="190">
        <v>0</v>
      </c>
      <c r="U6739" s="191"/>
      <c r="V6739" s="191">
        <f>+Table1[[#This Row],[SUBTOTAL]]+Table1[[#This Row],[IVA]]-Table1[[#This Row],[RET IVA]]-Table1[[#This Row],[RET ISR]]</f>
        <v>106.2328</v>
      </c>
      <c r="W6739"/>
      <c r="X6739" s="186"/>
      <c r="Y6739" s="187"/>
      <c r="Z6739" s="311" t="s">
        <v>214</v>
      </c>
      <c r="AB6739" t="str">
        <f>IF(Table1[[#This Row],[TIPO2]]="costo", VLOOKUP(Table1[[#This Row],[PARTIDA PRESUPUESTAL]],'Cost Report'!G:G,1,0),"Balance")</f>
        <v>7038-008</v>
      </c>
      <c r="AD6739" s="159">
        <f>+Table1[[#This Row],[SUBTOTAL]]+Table1[[#This Row],[IVA]]-Table1[[#This Row],[RET IVA]]-Table1[[#This Row],[RET ISR]]-Table1[[#This Row],[TOTAL]]</f>
        <v>0</v>
      </c>
      <c r="AK6739" s="306" t="str">
        <f>IF(ISNUMBER(Table1[[#This Row],[FECHA DE RECIBIDO]]), Table1[[#This Row],[FECHA DE RECIBIDO]]-DATE(2023,8,30), "")</f>
        <v/>
      </c>
    </row>
    <row r="6740" spans="1:37" ht="18" customHeight="1">
      <c r="A6740" s="172"/>
      <c r="B6740" s="178"/>
      <c r="C6740" s="179" t="s">
        <v>5114</v>
      </c>
      <c r="D6740">
        <v>4594</v>
      </c>
      <c r="E6740" s="125"/>
      <c r="F6740" s="178"/>
      <c r="G6740" s="224" t="s">
        <v>134</v>
      </c>
      <c r="H6740"/>
      <c r="I6740" s="178"/>
      <c r="J6740" s="320" t="s">
        <v>214</v>
      </c>
      <c r="K6740" s="178" t="s">
        <v>5569</v>
      </c>
      <c r="L6740" s="125" t="s">
        <v>5115</v>
      </c>
      <c r="M6740">
        <v>1341</v>
      </c>
      <c r="N6740" s="182"/>
      <c r="O6740">
        <v>4451</v>
      </c>
      <c r="P6740" s="176" t="s">
        <v>78</v>
      </c>
      <c r="Q6740" s="176">
        <v>-135555.04</v>
      </c>
      <c r="R6740" s="176">
        <v>21688.81</v>
      </c>
      <c r="S6740" s="176"/>
      <c r="T6740" s="190">
        <v>0</v>
      </c>
      <c r="U6740" s="191"/>
      <c r="V6740" s="191">
        <f>-Table1[[#This Row],[SUBTOTAL]]+Table1[[#This Row],[IVA]]</f>
        <v>157243.85</v>
      </c>
      <c r="W6740"/>
      <c r="X6740" s="186"/>
      <c r="Y6740" s="187"/>
      <c r="Z6740" s="311" t="s">
        <v>214</v>
      </c>
      <c r="AB6740" t="str">
        <f>IF(Table1[[#This Row],[TIPO2]]="costo", VLOOKUP(Table1[[#This Row],[PARTIDA PRESUPUESTAL]],'Cost Report'!G:G,1,0),"Balance")</f>
        <v>Balance</v>
      </c>
      <c r="AD6740" s="159">
        <f>+Table1[[#This Row],[SUBTOTAL]]+Table1[[#This Row],[IVA]]-Table1[[#This Row],[RET IVA]]-Table1[[#This Row],[RET ISR]]-Table1[[#This Row],[TOTAL]]</f>
        <v>-271110.08</v>
      </c>
      <c r="AK6740" s="306" t="str">
        <f>IF(ISNUMBER(Table1[[#This Row],[FECHA DE RECIBIDO]]), Table1[[#This Row],[FECHA DE RECIBIDO]]-DATE(2023,8,30), "")</f>
        <v/>
      </c>
    </row>
    <row r="6741" spans="1:37" ht="18" customHeight="1">
      <c r="A6741" s="172" t="s">
        <v>5570</v>
      </c>
      <c r="B6741" s="178">
        <v>2456</v>
      </c>
      <c r="C6741" s="179" t="s">
        <v>3066</v>
      </c>
      <c r="D6741">
        <v>4595</v>
      </c>
      <c r="E6741" s="125">
        <v>11550</v>
      </c>
      <c r="F6741" s="178">
        <v>601</v>
      </c>
      <c r="G6741" s="178" t="s">
        <v>134</v>
      </c>
      <c r="H6741">
        <v>1113</v>
      </c>
      <c r="I6741" s="178" t="s">
        <v>1546</v>
      </c>
      <c r="J6741" s="320">
        <v>440.57799768518453</v>
      </c>
      <c r="K6741" s="178" t="s">
        <v>5571</v>
      </c>
      <c r="L6741" s="125" t="s">
        <v>3306</v>
      </c>
      <c r="M6741">
        <v>1575</v>
      </c>
      <c r="N6741" s="182">
        <v>284</v>
      </c>
      <c r="O6741">
        <v>4463</v>
      </c>
      <c r="P6741" s="176" t="s">
        <v>77</v>
      </c>
      <c r="Q6741" s="176">
        <v>30675</v>
      </c>
      <c r="R6741" s="176">
        <v>4908</v>
      </c>
      <c r="S6741" s="176">
        <v>0</v>
      </c>
      <c r="T6741" s="190">
        <v>0</v>
      </c>
      <c r="U6741" s="191">
        <v>0</v>
      </c>
      <c r="V6741" s="191">
        <v>35583</v>
      </c>
      <c r="W6741">
        <v>553</v>
      </c>
      <c r="X6741" s="186" t="s">
        <v>3817</v>
      </c>
      <c r="Y6741" s="187" t="s">
        <v>55</v>
      </c>
      <c r="Z6741" s="311">
        <v>457</v>
      </c>
      <c r="AB6741" t="str">
        <f>IF(Table1[[#This Row],[TIPO2]]="costo", VLOOKUP(Table1[[#This Row],[PARTIDA PRESUPUESTAL]],'Cost Report'!G:G,1,0),"Balance")</f>
        <v>6004-005</v>
      </c>
      <c r="AD6741" s="159">
        <f>+Table1[[#This Row],[SUBTOTAL]]+Table1[[#This Row],[IVA]]-Table1[[#This Row],[RET IVA]]-Table1[[#This Row],[RET ISR]]-Table1[[#This Row],[TOTAL]]</f>
        <v>0</v>
      </c>
      <c r="AK6741" s="306">
        <f>IF(ISNUMBER(Table1[[#This Row],[FECHA DE RECIBIDO]]), Table1[[#This Row],[FECHA DE RECIBIDO]]-DATE(2023,8,30), "")</f>
        <v>-44727.422002314815</v>
      </c>
    </row>
    <row r="6742" spans="1:37" ht="18" customHeight="1">
      <c r="A6742" s="172" t="s">
        <v>5572</v>
      </c>
      <c r="B6742" s="178">
        <v>2457</v>
      </c>
      <c r="C6742" s="179" t="s">
        <v>1286</v>
      </c>
      <c r="D6742">
        <v>4596</v>
      </c>
      <c r="E6742" s="125">
        <v>31124</v>
      </c>
      <c r="F6742" s="178">
        <v>601</v>
      </c>
      <c r="G6742" s="178" t="s">
        <v>134</v>
      </c>
      <c r="H6742">
        <v>1114</v>
      </c>
      <c r="I6742" s="178" t="s">
        <v>1546</v>
      </c>
      <c r="J6742" s="320">
        <v>435.5360300925895</v>
      </c>
      <c r="K6742" s="178" t="s">
        <v>5571</v>
      </c>
      <c r="L6742" s="125" t="s">
        <v>3306</v>
      </c>
      <c r="M6742">
        <v>1576</v>
      </c>
      <c r="N6742" s="182">
        <v>284</v>
      </c>
      <c r="O6742">
        <v>4464</v>
      </c>
      <c r="P6742" s="176" t="s">
        <v>77</v>
      </c>
      <c r="Q6742" s="176">
        <v>273638.25</v>
      </c>
      <c r="R6742" s="176">
        <v>43782.12</v>
      </c>
      <c r="S6742" s="176">
        <v>0</v>
      </c>
      <c r="T6742" s="190">
        <v>0</v>
      </c>
      <c r="U6742" s="191">
        <v>0</v>
      </c>
      <c r="V6742" s="191">
        <v>317420.37</v>
      </c>
      <c r="W6742">
        <v>554</v>
      </c>
      <c r="X6742" s="186" t="s">
        <v>5573</v>
      </c>
      <c r="Y6742" s="187" t="s">
        <v>55</v>
      </c>
      <c r="Z6742" s="311">
        <v>457</v>
      </c>
      <c r="AB6742" t="str">
        <f>IF(Table1[[#This Row],[TIPO2]]="costo", VLOOKUP(Table1[[#This Row],[PARTIDA PRESUPUESTAL]],'Cost Report'!G:G,1,0),"Balance")</f>
        <v>6004-004</v>
      </c>
      <c r="AD6742" s="159">
        <f>+Table1[[#This Row],[SUBTOTAL]]+Table1[[#This Row],[IVA]]-Table1[[#This Row],[RET IVA]]-Table1[[#This Row],[RET ISR]]-Table1[[#This Row],[TOTAL]]</f>
        <v>0</v>
      </c>
      <c r="AK6742" s="306">
        <f>IF(ISNUMBER(Table1[[#This Row],[FECHA DE RECIBIDO]]), Table1[[#This Row],[FECHA DE RECIBIDO]]-DATE(2023,8,30), "")</f>
        <v>-44732.463969907411</v>
      </c>
    </row>
    <row r="6743" spans="1:37" ht="18" customHeight="1">
      <c r="A6743" s="172" t="s">
        <v>5574</v>
      </c>
      <c r="B6743" s="178">
        <v>2458</v>
      </c>
      <c r="C6743" s="179" t="s">
        <v>1286</v>
      </c>
      <c r="D6743">
        <v>4597</v>
      </c>
      <c r="E6743" s="125" t="s">
        <v>2096</v>
      </c>
      <c r="F6743" s="178">
        <v>601</v>
      </c>
      <c r="G6743" s="178" t="s">
        <v>134</v>
      </c>
      <c r="H6743">
        <v>1115</v>
      </c>
      <c r="I6743" s="178" t="s">
        <v>1546</v>
      </c>
      <c r="J6743" s="320">
        <v>449.64006944444554</v>
      </c>
      <c r="K6743" s="178" t="s">
        <v>5571</v>
      </c>
      <c r="L6743" s="125" t="s">
        <v>3306</v>
      </c>
      <c r="M6743">
        <v>1577</v>
      </c>
      <c r="N6743" s="182">
        <v>284</v>
      </c>
      <c r="O6743">
        <v>4465</v>
      </c>
      <c r="P6743" s="176" t="s">
        <v>77</v>
      </c>
      <c r="Q6743" s="176">
        <v>101943.5</v>
      </c>
      <c r="R6743" s="176">
        <v>16310.960000000001</v>
      </c>
      <c r="S6743" s="176">
        <v>0</v>
      </c>
      <c r="T6743" s="190">
        <v>0</v>
      </c>
      <c r="U6743" s="191">
        <v>0</v>
      </c>
      <c r="V6743" s="191">
        <v>118254.46</v>
      </c>
      <c r="W6743">
        <v>555</v>
      </c>
      <c r="X6743" s="186" t="s">
        <v>114</v>
      </c>
      <c r="Y6743" s="187" t="s">
        <v>55</v>
      </c>
      <c r="Z6743" s="311">
        <v>457</v>
      </c>
      <c r="AB6743" t="str">
        <f>IF(Table1[[#This Row],[TIPO2]]="costo", VLOOKUP(Table1[[#This Row],[PARTIDA PRESUPUESTAL]],'Cost Report'!G:G,1,0),"Balance")</f>
        <v>6004-004</v>
      </c>
      <c r="AD6743" s="159">
        <f>+Table1[[#This Row],[SUBTOTAL]]+Table1[[#This Row],[IVA]]-Table1[[#This Row],[RET IVA]]-Table1[[#This Row],[RET ISR]]-Table1[[#This Row],[TOTAL]]</f>
        <v>0</v>
      </c>
      <c r="AK6743" s="306">
        <f>IF(ISNUMBER(Table1[[#This Row],[FECHA DE RECIBIDO]]), Table1[[#This Row],[FECHA DE RECIBIDO]]-DATE(2023,8,30), "")</f>
        <v>-44718.359930555554</v>
      </c>
    </row>
    <row r="6744" spans="1:37" ht="18" customHeight="1">
      <c r="A6744" s="172" t="s">
        <v>5575</v>
      </c>
      <c r="B6744" s="178">
        <v>2459</v>
      </c>
      <c r="C6744" s="179" t="s">
        <v>1286</v>
      </c>
      <c r="D6744">
        <v>4598</v>
      </c>
      <c r="E6744" s="125">
        <v>11590</v>
      </c>
      <c r="F6744" s="178">
        <v>601</v>
      </c>
      <c r="G6744" s="178" t="s">
        <v>134</v>
      </c>
      <c r="H6744">
        <v>1116</v>
      </c>
      <c r="I6744" s="178" t="s">
        <v>1546</v>
      </c>
      <c r="J6744" s="320">
        <v>442.47994212962658</v>
      </c>
      <c r="K6744" s="178" t="s">
        <v>5571</v>
      </c>
      <c r="L6744" s="125" t="s">
        <v>3306</v>
      </c>
      <c r="M6744">
        <v>1578</v>
      </c>
      <c r="N6744" s="182">
        <v>284</v>
      </c>
      <c r="O6744">
        <v>4466</v>
      </c>
      <c r="P6744" s="176" t="s">
        <v>77</v>
      </c>
      <c r="Q6744" s="176">
        <v>103012.5</v>
      </c>
      <c r="R6744" s="176">
        <v>16482</v>
      </c>
      <c r="S6744" s="176">
        <v>0</v>
      </c>
      <c r="T6744" s="190">
        <v>0</v>
      </c>
      <c r="U6744" s="191">
        <v>0</v>
      </c>
      <c r="V6744" s="191">
        <v>119494.5</v>
      </c>
      <c r="W6744">
        <v>556</v>
      </c>
      <c r="X6744" s="186" t="s">
        <v>2041</v>
      </c>
      <c r="Y6744" s="187" t="s">
        <v>55</v>
      </c>
      <c r="Z6744" s="311">
        <v>457</v>
      </c>
      <c r="AB6744" t="str">
        <f>IF(Table1[[#This Row],[TIPO2]]="costo", VLOOKUP(Table1[[#This Row],[PARTIDA PRESUPUESTAL]],'Cost Report'!G:G,1,0),"Balance")</f>
        <v>6004-004</v>
      </c>
      <c r="AD6744" s="159">
        <f>+Table1[[#This Row],[SUBTOTAL]]+Table1[[#This Row],[IVA]]-Table1[[#This Row],[RET IVA]]-Table1[[#This Row],[RET ISR]]-Table1[[#This Row],[TOTAL]]</f>
        <v>0</v>
      </c>
      <c r="AK6744" s="306">
        <f>IF(ISNUMBER(Table1[[#This Row],[FECHA DE RECIBIDO]]), Table1[[#This Row],[FECHA DE RECIBIDO]]-DATE(2023,8,30), "")</f>
        <v>-44725.520057870373</v>
      </c>
    </row>
    <row r="6745" spans="1:37" ht="18" customHeight="1">
      <c r="A6745" s="172" t="s">
        <v>5576</v>
      </c>
      <c r="B6745" s="178">
        <v>2460</v>
      </c>
      <c r="C6745" s="179" t="s">
        <v>1286</v>
      </c>
      <c r="D6745">
        <v>4599</v>
      </c>
      <c r="E6745" s="125">
        <v>11590</v>
      </c>
      <c r="F6745" s="178">
        <v>601</v>
      </c>
      <c r="G6745" s="178" t="s">
        <v>134</v>
      </c>
      <c r="H6745">
        <v>1116</v>
      </c>
      <c r="I6745" s="178" t="s">
        <v>1546</v>
      </c>
      <c r="J6745" s="320">
        <v>442.48001157407271</v>
      </c>
      <c r="K6745" s="178" t="s">
        <v>5571</v>
      </c>
      <c r="L6745" s="125" t="s">
        <v>3306</v>
      </c>
      <c r="M6745">
        <v>1578</v>
      </c>
      <c r="N6745" s="182">
        <v>284</v>
      </c>
      <c r="O6745">
        <v>4467</v>
      </c>
      <c r="P6745" s="176" t="s">
        <v>77</v>
      </c>
      <c r="Q6745" s="176">
        <v>82410</v>
      </c>
      <c r="R6745" s="176">
        <v>13185.6</v>
      </c>
      <c r="S6745" s="176">
        <v>0</v>
      </c>
      <c r="T6745" s="190">
        <v>0</v>
      </c>
      <c r="U6745" s="191">
        <v>0</v>
      </c>
      <c r="V6745" s="191">
        <v>95595.6</v>
      </c>
      <c r="W6745">
        <v>556</v>
      </c>
      <c r="X6745" s="186" t="s">
        <v>2041</v>
      </c>
      <c r="Y6745" s="187" t="s">
        <v>55</v>
      </c>
      <c r="Z6745" s="311">
        <v>457</v>
      </c>
      <c r="AB6745" t="str">
        <f>IF(Table1[[#This Row],[TIPO2]]="costo", VLOOKUP(Table1[[#This Row],[PARTIDA PRESUPUESTAL]],'Cost Report'!G:G,1,0),"Balance")</f>
        <v>6004-004</v>
      </c>
      <c r="AD6745" s="159">
        <f>+Table1[[#This Row],[SUBTOTAL]]+Table1[[#This Row],[IVA]]-Table1[[#This Row],[RET IVA]]-Table1[[#This Row],[RET ISR]]-Table1[[#This Row],[TOTAL]]</f>
        <v>0</v>
      </c>
      <c r="AK6745" s="306">
        <f>IF(ISNUMBER(Table1[[#This Row],[FECHA DE RECIBIDO]]), Table1[[#This Row],[FECHA DE RECIBIDO]]-DATE(2023,8,30), "")</f>
        <v>-44725.519988425927</v>
      </c>
    </row>
    <row r="6746" spans="1:37" ht="18" customHeight="1">
      <c r="A6746" s="172" t="s">
        <v>5577</v>
      </c>
      <c r="B6746" s="178">
        <v>2461</v>
      </c>
      <c r="C6746" s="179" t="s">
        <v>1286</v>
      </c>
      <c r="D6746">
        <v>4600</v>
      </c>
      <c r="E6746" s="125">
        <v>11590</v>
      </c>
      <c r="F6746" s="178">
        <v>601</v>
      </c>
      <c r="G6746" s="178" t="s">
        <v>134</v>
      </c>
      <c r="H6746">
        <v>1116</v>
      </c>
      <c r="I6746" s="178" t="s">
        <v>1546</v>
      </c>
      <c r="J6746" s="320">
        <v>448.54225694444176</v>
      </c>
      <c r="K6746" s="178" t="s">
        <v>5571</v>
      </c>
      <c r="L6746" s="125" t="s">
        <v>3306</v>
      </c>
      <c r="M6746">
        <v>1578</v>
      </c>
      <c r="N6746" s="182">
        <v>284</v>
      </c>
      <c r="O6746">
        <v>4468</v>
      </c>
      <c r="P6746" s="176" t="s">
        <v>77</v>
      </c>
      <c r="Q6746" s="176">
        <v>70646.8</v>
      </c>
      <c r="R6746" s="176">
        <v>11303.488000000001</v>
      </c>
      <c r="S6746" s="176">
        <v>0</v>
      </c>
      <c r="T6746" s="190">
        <v>0</v>
      </c>
      <c r="U6746" s="191">
        <v>0</v>
      </c>
      <c r="V6746" s="191">
        <v>81950.288</v>
      </c>
      <c r="W6746">
        <v>556</v>
      </c>
      <c r="X6746" s="186" t="s">
        <v>2041</v>
      </c>
      <c r="Y6746" s="187" t="s">
        <v>55</v>
      </c>
      <c r="Z6746" s="311">
        <v>457</v>
      </c>
      <c r="AB6746" t="str">
        <f>IF(Table1[[#This Row],[TIPO2]]="costo", VLOOKUP(Table1[[#This Row],[PARTIDA PRESUPUESTAL]],'Cost Report'!G:G,1,0),"Balance")</f>
        <v>6004-004</v>
      </c>
      <c r="AD6746" s="159">
        <f>+Table1[[#This Row],[SUBTOTAL]]+Table1[[#This Row],[IVA]]-Table1[[#This Row],[RET IVA]]-Table1[[#This Row],[RET ISR]]-Table1[[#This Row],[TOTAL]]</f>
        <v>0</v>
      </c>
      <c r="AK6746" s="306">
        <f>IF(ISNUMBER(Table1[[#This Row],[FECHA DE RECIBIDO]]), Table1[[#This Row],[FECHA DE RECIBIDO]]-DATE(2023,8,30), "")</f>
        <v>-44719.457743055558</v>
      </c>
    </row>
    <row r="6747" spans="1:37" ht="18" customHeight="1">
      <c r="A6747" s="248" t="s">
        <v>5578</v>
      </c>
      <c r="B6747" s="249" t="s">
        <v>1576</v>
      </c>
      <c r="C6747" s="224" t="s">
        <v>72</v>
      </c>
      <c r="D6747"/>
      <c r="E6747" s="224" t="s">
        <v>1911</v>
      </c>
      <c r="F6747" s="224" t="s">
        <v>1911</v>
      </c>
      <c r="G6747" s="224" t="s">
        <v>1911</v>
      </c>
      <c r="H6747"/>
      <c r="I6747" s="224" t="s">
        <v>1911</v>
      </c>
      <c r="J6747" s="315" t="s">
        <v>214</v>
      </c>
      <c r="K6747" s="224" t="s">
        <v>5557</v>
      </c>
      <c r="L6747" s="224" t="s">
        <v>156</v>
      </c>
      <c r="M6747">
        <v>61</v>
      </c>
      <c r="N6747" s="224">
        <v>0</v>
      </c>
      <c r="O6747">
        <v>4469</v>
      </c>
      <c r="P6747" s="224" t="s">
        <v>78</v>
      </c>
      <c r="Q6747" s="226">
        <v>11733.37</v>
      </c>
      <c r="R6747" s="226">
        <v>0</v>
      </c>
      <c r="S6747" s="226"/>
      <c r="T6747" s="226">
        <v>0</v>
      </c>
      <c r="U6747" s="226">
        <v>0</v>
      </c>
      <c r="V6747" s="227">
        <f t="shared" ref="V6747:V6748" si="76">+Q6747+R6747-T6747-U6747</f>
        <v>11733.37</v>
      </c>
      <c r="W6747">
        <v>35</v>
      </c>
      <c r="X6747" s="224" t="s">
        <v>105</v>
      </c>
      <c r="Y6747" s="224" t="s">
        <v>55</v>
      </c>
      <c r="Z6747" s="315">
        <v>449</v>
      </c>
      <c r="AB6747" t="str">
        <f>IF(Table1[[#This Row],[TIPO2]]="costo", VLOOKUP(Table1[[#This Row],[PARTIDA PRESUPUESTAL]],'Cost Report'!G:G,1,0),"Balance")</f>
        <v>Balance</v>
      </c>
      <c r="AD6747" s="159">
        <f>+Table1[[#This Row],[SUBTOTAL]]+Table1[[#This Row],[IVA]]-Table1[[#This Row],[RET IVA]]-Table1[[#This Row],[RET ISR]]-Table1[[#This Row],[TOTAL]]</f>
        <v>0</v>
      </c>
      <c r="AK6747" s="306" t="str">
        <f>IF(ISNUMBER(Table1[[#This Row],[FECHA DE RECIBIDO]]), Table1[[#This Row],[FECHA DE RECIBIDO]]-DATE(2023,8,30), "")</f>
        <v/>
      </c>
    </row>
    <row r="6748" spans="1:37" ht="18" customHeight="1">
      <c r="A6748" s="248" t="s">
        <v>5579</v>
      </c>
      <c r="B6748" s="249" t="s">
        <v>1576</v>
      </c>
      <c r="C6748" s="224" t="s">
        <v>73</v>
      </c>
      <c r="D6748"/>
      <c r="E6748" s="224" t="s">
        <v>1911</v>
      </c>
      <c r="F6748" s="224" t="s">
        <v>1911</v>
      </c>
      <c r="G6748" s="224" t="s">
        <v>1911</v>
      </c>
      <c r="H6748"/>
      <c r="I6748" s="224" t="s">
        <v>1911</v>
      </c>
      <c r="J6748" s="315" t="s">
        <v>214</v>
      </c>
      <c r="K6748" s="224" t="s">
        <v>5557</v>
      </c>
      <c r="L6748" s="224" t="s">
        <v>156</v>
      </c>
      <c r="M6748">
        <v>61</v>
      </c>
      <c r="N6748" s="224">
        <v>0</v>
      </c>
      <c r="O6748">
        <v>4470</v>
      </c>
      <c r="P6748" s="224" t="s">
        <v>78</v>
      </c>
      <c r="Q6748" s="226">
        <v>3781.25</v>
      </c>
      <c r="R6748" s="226">
        <v>0</v>
      </c>
      <c r="S6748" s="226">
        <v>0</v>
      </c>
      <c r="T6748" s="226">
        <v>0</v>
      </c>
      <c r="U6748" s="226">
        <v>0</v>
      </c>
      <c r="V6748" s="227">
        <f t="shared" si="76"/>
        <v>3781.25</v>
      </c>
      <c r="W6748">
        <v>35</v>
      </c>
      <c r="X6748" s="224" t="s">
        <v>105</v>
      </c>
      <c r="Y6748" s="224" t="s">
        <v>55</v>
      </c>
      <c r="Z6748" s="315">
        <v>449</v>
      </c>
      <c r="AB6748" t="str">
        <f>IF(Table1[[#This Row],[TIPO2]]="costo", VLOOKUP(Table1[[#This Row],[PARTIDA PRESUPUESTAL]],'Cost Report'!G:G,1,0),"Balance")</f>
        <v>Balance</v>
      </c>
      <c r="AD6748" s="159">
        <f>+Table1[[#This Row],[SUBTOTAL]]+Table1[[#This Row],[IVA]]-Table1[[#This Row],[RET IVA]]-Table1[[#This Row],[RET ISR]]-Table1[[#This Row],[TOTAL]]</f>
        <v>0</v>
      </c>
      <c r="AK6748" s="306" t="str">
        <f>IF(ISNUMBER(Table1[[#This Row],[FECHA DE RECIBIDO]]), Table1[[#This Row],[FECHA DE RECIBIDO]]-DATE(2023,8,30), "")</f>
        <v/>
      </c>
    </row>
    <row r="6749" spans="1:37" ht="18" customHeight="1">
      <c r="A6749" s="248"/>
      <c r="B6749" s="249"/>
      <c r="C6749" s="224" t="s">
        <v>5501</v>
      </c>
      <c r="D6749">
        <v>4601</v>
      </c>
      <c r="E6749" s="224"/>
      <c r="F6749" s="224"/>
      <c r="G6749" s="224"/>
      <c r="H6749"/>
      <c r="I6749" s="224"/>
      <c r="J6749" s="315" t="s">
        <v>214</v>
      </c>
      <c r="K6749" s="224"/>
      <c r="L6749" s="224"/>
      <c r="M6749">
        <v>1579</v>
      </c>
      <c r="N6749" s="224"/>
      <c r="O6749">
        <v>4471</v>
      </c>
      <c r="P6749" s="224" t="s">
        <v>77</v>
      </c>
      <c r="Q6749" s="226">
        <v>4200</v>
      </c>
      <c r="R6749" s="226"/>
      <c r="S6749" s="226"/>
      <c r="T6749" s="226">
        <v>0</v>
      </c>
      <c r="U6749" s="226"/>
      <c r="V6749" s="227">
        <f>+Table1[[#This Row],[SUBTOTAL]]+Table1[[#This Row],[IVA]]-Table1[[#This Row],[RET IVA]]-Table1[[#This Row],[RET ISR]]</f>
        <v>4200</v>
      </c>
      <c r="W6749"/>
      <c r="X6749" s="224"/>
      <c r="Y6749" s="224"/>
      <c r="Z6749" s="315" t="s">
        <v>214</v>
      </c>
      <c r="AB6749" t="str">
        <f>IF(Table1[[#This Row],[TIPO2]]="costo", VLOOKUP(Table1[[#This Row],[PARTIDA PRESUPUESTAL]],'Cost Report'!G:G,1,0),"Balance")</f>
        <v>5221-001</v>
      </c>
      <c r="AD6749" s="159">
        <f>+Table1[[#This Row],[SUBTOTAL]]+Table1[[#This Row],[IVA]]-Table1[[#This Row],[RET IVA]]-Table1[[#This Row],[RET ISR]]-Table1[[#This Row],[TOTAL]]</f>
        <v>0</v>
      </c>
      <c r="AK6749" s="306" t="str">
        <f>IF(ISNUMBER(Table1[[#This Row],[FECHA DE RECIBIDO]]), Table1[[#This Row],[FECHA DE RECIBIDO]]-DATE(2023,8,30), "")</f>
        <v/>
      </c>
    </row>
    <row r="6750" spans="1:37" ht="18" customHeight="1">
      <c r="A6750" s="172"/>
      <c r="B6750" s="178"/>
      <c r="C6750" s="179" t="s">
        <v>71</v>
      </c>
      <c r="D6750"/>
      <c r="E6750" s="125"/>
      <c r="F6750" s="178"/>
      <c r="G6750" s="178"/>
      <c r="H6750"/>
      <c r="I6750" s="178"/>
      <c r="J6750" s="320" t="s">
        <v>214</v>
      </c>
      <c r="K6750" s="178"/>
      <c r="L6750" s="125"/>
      <c r="M6750">
        <v>1580</v>
      </c>
      <c r="N6750" s="182"/>
      <c r="O6750">
        <v>4436</v>
      </c>
      <c r="P6750" s="176" t="s">
        <v>78</v>
      </c>
      <c r="Q6750" s="176">
        <v>-4200</v>
      </c>
      <c r="R6750" s="176"/>
      <c r="S6750" s="176"/>
      <c r="T6750" s="190">
        <v>0</v>
      </c>
      <c r="U6750" s="191"/>
      <c r="V6750" s="191">
        <f>+Table1[[#This Row],[SUBTOTAL]]+Table1[[#This Row],[IVA]]-Table1[[#This Row],[RET IVA]]-Table1[[#This Row],[RET ISR]]</f>
        <v>-4200</v>
      </c>
      <c r="W6750"/>
      <c r="X6750" s="186"/>
      <c r="Y6750" s="187"/>
      <c r="Z6750" s="311" t="s">
        <v>214</v>
      </c>
      <c r="AB6750" t="str">
        <f>IF(Table1[[#This Row],[TIPO2]]="costo", VLOOKUP(Table1[[#This Row],[PARTIDA PRESUPUESTAL]],'Cost Report'!G:G,1,0),"Balance")</f>
        <v>Balance</v>
      </c>
      <c r="AD6750" s="159">
        <f>+Table1[[#This Row],[SUBTOTAL]]+Table1[[#This Row],[IVA]]-Table1[[#This Row],[RET IVA]]-Table1[[#This Row],[RET ISR]]-Table1[[#This Row],[TOTAL]]</f>
        <v>0</v>
      </c>
      <c r="AK6750" s="306" t="str">
        <f>IF(ISNUMBER(Table1[[#This Row],[FECHA DE RECIBIDO]]), Table1[[#This Row],[FECHA DE RECIBIDO]]-DATE(2023,8,30), "")</f>
        <v/>
      </c>
    </row>
    <row r="6751" spans="1:37" ht="18" customHeight="1">
      <c r="A6751" s="172" t="s">
        <v>5580</v>
      </c>
      <c r="B6751" s="178">
        <v>2462</v>
      </c>
      <c r="C6751" s="179" t="s">
        <v>1285</v>
      </c>
      <c r="D6751">
        <v>4602</v>
      </c>
      <c r="E6751" s="125">
        <v>11510</v>
      </c>
      <c r="F6751" s="178">
        <v>601</v>
      </c>
      <c r="G6751" s="178" t="s">
        <v>134</v>
      </c>
      <c r="H6751">
        <v>1117</v>
      </c>
      <c r="I6751" s="178" t="s">
        <v>1546</v>
      </c>
      <c r="J6751" s="320">
        <v>439.04221064814919</v>
      </c>
      <c r="K6751" s="178" t="s">
        <v>5569</v>
      </c>
      <c r="L6751" s="125" t="s">
        <v>3306</v>
      </c>
      <c r="M6751">
        <v>1581</v>
      </c>
      <c r="N6751" s="182">
        <v>284</v>
      </c>
      <c r="O6751">
        <v>4472</v>
      </c>
      <c r="P6751" s="176" t="s">
        <v>77</v>
      </c>
      <c r="Q6751" s="176">
        <v>251665</v>
      </c>
      <c r="R6751" s="176">
        <v>40266.400000000001</v>
      </c>
      <c r="S6751" s="176">
        <v>0</v>
      </c>
      <c r="T6751" s="190">
        <v>0</v>
      </c>
      <c r="U6751" s="191">
        <v>0</v>
      </c>
      <c r="V6751" s="191">
        <v>291931.40000000002</v>
      </c>
      <c r="W6751">
        <v>557</v>
      </c>
      <c r="X6751" s="186" t="s">
        <v>2041</v>
      </c>
      <c r="Y6751" s="187" t="s">
        <v>55</v>
      </c>
      <c r="Z6751" s="311">
        <v>471</v>
      </c>
      <c r="AB6751" t="str">
        <f>IF(Table1[[#This Row],[TIPO2]]="costo", VLOOKUP(Table1[[#This Row],[PARTIDA PRESUPUESTAL]],'Cost Report'!G:G,1,0),"Balance")</f>
        <v>6004-003</v>
      </c>
      <c r="AD6751" s="159">
        <f>+Table1[[#This Row],[SUBTOTAL]]+Table1[[#This Row],[IVA]]-Table1[[#This Row],[RET IVA]]-Table1[[#This Row],[RET ISR]]-Table1[[#This Row],[TOTAL]]</f>
        <v>0</v>
      </c>
      <c r="AK6751" s="306">
        <f>IF(ISNUMBER(Table1[[#This Row],[FECHA DE RECIBIDO]]), Table1[[#This Row],[FECHA DE RECIBIDO]]-DATE(2023,8,30), "")</f>
        <v>-44728.957789351851</v>
      </c>
    </row>
    <row r="6752" spans="1:37" ht="18" customHeight="1">
      <c r="A6752" s="172" t="s">
        <v>5581</v>
      </c>
      <c r="B6752" s="178">
        <v>2463</v>
      </c>
      <c r="C6752" s="179" t="s">
        <v>1286</v>
      </c>
      <c r="D6752">
        <v>4603</v>
      </c>
      <c r="E6752" s="125">
        <v>11510</v>
      </c>
      <c r="F6752" s="178">
        <v>601</v>
      </c>
      <c r="G6752" s="178" t="s">
        <v>134</v>
      </c>
      <c r="H6752">
        <v>1117</v>
      </c>
      <c r="I6752" s="178" t="s">
        <v>1546</v>
      </c>
      <c r="J6752" s="320">
        <v>439.04214120370307</v>
      </c>
      <c r="K6752" s="178" t="s">
        <v>5569</v>
      </c>
      <c r="L6752" s="125" t="s">
        <v>3306</v>
      </c>
      <c r="M6752">
        <v>1581</v>
      </c>
      <c r="N6752" s="182">
        <v>284</v>
      </c>
      <c r="O6752">
        <v>4473</v>
      </c>
      <c r="P6752" s="176" t="s">
        <v>77</v>
      </c>
      <c r="Q6752" s="176">
        <v>120799.2</v>
      </c>
      <c r="R6752" s="176">
        <v>19327.871999999999</v>
      </c>
      <c r="S6752" s="176">
        <v>0</v>
      </c>
      <c r="T6752" s="190">
        <v>0</v>
      </c>
      <c r="U6752" s="191">
        <v>0</v>
      </c>
      <c r="V6752" s="191">
        <v>140127.07199999999</v>
      </c>
      <c r="W6752">
        <v>557</v>
      </c>
      <c r="X6752" s="186" t="s">
        <v>2041</v>
      </c>
      <c r="Y6752" s="187" t="s">
        <v>55</v>
      </c>
      <c r="Z6752" s="311">
        <v>471</v>
      </c>
      <c r="AB6752" t="str">
        <f>IF(Table1[[#This Row],[TIPO2]]="costo", VLOOKUP(Table1[[#This Row],[PARTIDA PRESUPUESTAL]],'Cost Report'!G:G,1,0),"Balance")</f>
        <v>6004-004</v>
      </c>
      <c r="AD6752" s="159">
        <f>+Table1[[#This Row],[SUBTOTAL]]+Table1[[#This Row],[IVA]]-Table1[[#This Row],[RET IVA]]-Table1[[#This Row],[RET ISR]]-Table1[[#This Row],[TOTAL]]</f>
        <v>0</v>
      </c>
      <c r="AK6752" s="306">
        <f>IF(ISNUMBER(Table1[[#This Row],[FECHA DE RECIBIDO]]), Table1[[#This Row],[FECHA DE RECIBIDO]]-DATE(2023,8,30), "")</f>
        <v>-44728.957858796297</v>
      </c>
    </row>
    <row r="6753" spans="1:37" ht="18" customHeight="1">
      <c r="A6753" s="172" t="s">
        <v>5582</v>
      </c>
      <c r="B6753" s="178">
        <v>2464</v>
      </c>
      <c r="C6753" s="179" t="s">
        <v>1285</v>
      </c>
      <c r="D6753">
        <v>4604</v>
      </c>
      <c r="E6753" s="125">
        <v>11510</v>
      </c>
      <c r="F6753" s="178">
        <v>601</v>
      </c>
      <c r="G6753" s="178" t="s">
        <v>134</v>
      </c>
      <c r="H6753">
        <v>1117</v>
      </c>
      <c r="I6753" s="178" t="s">
        <v>1546</v>
      </c>
      <c r="J6753" s="320">
        <v>439.04231481481838</v>
      </c>
      <c r="K6753" s="178" t="s">
        <v>5569</v>
      </c>
      <c r="L6753" s="125" t="s">
        <v>3306</v>
      </c>
      <c r="M6753">
        <v>1581</v>
      </c>
      <c r="N6753" s="182">
        <v>284</v>
      </c>
      <c r="O6753">
        <v>4474</v>
      </c>
      <c r="P6753" s="176" t="s">
        <v>77</v>
      </c>
      <c r="Q6753" s="176">
        <v>80532.800000000003</v>
      </c>
      <c r="R6753" s="176">
        <v>12885.248000000001</v>
      </c>
      <c r="S6753" s="176">
        <v>0</v>
      </c>
      <c r="T6753" s="190">
        <v>0</v>
      </c>
      <c r="U6753" s="191">
        <v>0</v>
      </c>
      <c r="V6753" s="191">
        <v>93418.04800000001</v>
      </c>
      <c r="W6753">
        <v>557</v>
      </c>
      <c r="X6753" s="186" t="s">
        <v>2041</v>
      </c>
      <c r="Y6753" s="187" t="s">
        <v>55</v>
      </c>
      <c r="Z6753" s="311">
        <v>471</v>
      </c>
      <c r="AB6753" t="str">
        <f>IF(Table1[[#This Row],[TIPO2]]="costo", VLOOKUP(Table1[[#This Row],[PARTIDA PRESUPUESTAL]],'Cost Report'!G:G,1,0),"Balance")</f>
        <v>6004-003</v>
      </c>
      <c r="AD6753" s="159">
        <f>+Table1[[#This Row],[SUBTOTAL]]+Table1[[#This Row],[IVA]]-Table1[[#This Row],[RET IVA]]-Table1[[#This Row],[RET ISR]]-Table1[[#This Row],[TOTAL]]</f>
        <v>0</v>
      </c>
      <c r="AK6753" s="306">
        <f>IF(ISNUMBER(Table1[[#This Row],[FECHA DE RECIBIDO]]), Table1[[#This Row],[FECHA DE RECIBIDO]]-DATE(2023,8,30), "")</f>
        <v>-44728.957685185182</v>
      </c>
    </row>
    <row r="6754" spans="1:37" ht="18" customHeight="1">
      <c r="A6754" s="172" t="s">
        <v>5583</v>
      </c>
      <c r="B6754" s="178">
        <v>2465</v>
      </c>
      <c r="C6754" s="179" t="s">
        <v>1285</v>
      </c>
      <c r="D6754">
        <v>4605</v>
      </c>
      <c r="E6754" s="125">
        <v>11510</v>
      </c>
      <c r="F6754" s="178">
        <v>601</v>
      </c>
      <c r="G6754" s="178" t="s">
        <v>134</v>
      </c>
      <c r="H6754">
        <v>1117</v>
      </c>
      <c r="I6754" s="178" t="s">
        <v>1546</v>
      </c>
      <c r="J6754" s="320">
        <v>439.04225694444176</v>
      </c>
      <c r="K6754" s="178" t="s">
        <v>5569</v>
      </c>
      <c r="L6754" s="125" t="s">
        <v>3306</v>
      </c>
      <c r="M6754">
        <v>1581</v>
      </c>
      <c r="N6754" s="182">
        <v>284</v>
      </c>
      <c r="O6754">
        <v>4475</v>
      </c>
      <c r="P6754" s="176" t="s">
        <v>77</v>
      </c>
      <c r="Q6754" s="176">
        <v>80532.800000000003</v>
      </c>
      <c r="R6754" s="176">
        <v>12885.248000000001</v>
      </c>
      <c r="S6754" s="176">
        <v>0</v>
      </c>
      <c r="T6754" s="190">
        <v>0</v>
      </c>
      <c r="U6754" s="191">
        <v>0</v>
      </c>
      <c r="V6754" s="191">
        <v>93418.04800000001</v>
      </c>
      <c r="W6754">
        <v>557</v>
      </c>
      <c r="X6754" s="186" t="s">
        <v>2041</v>
      </c>
      <c r="Y6754" s="187" t="s">
        <v>55</v>
      </c>
      <c r="Z6754" s="311">
        <v>471</v>
      </c>
      <c r="AB6754" t="str">
        <f>IF(Table1[[#This Row],[TIPO2]]="costo", VLOOKUP(Table1[[#This Row],[PARTIDA PRESUPUESTAL]],'Cost Report'!G:G,1,0),"Balance")</f>
        <v>6004-003</v>
      </c>
      <c r="AD6754" s="159">
        <f>+Table1[[#This Row],[SUBTOTAL]]+Table1[[#This Row],[IVA]]-Table1[[#This Row],[RET IVA]]-Table1[[#This Row],[RET ISR]]-Table1[[#This Row],[TOTAL]]</f>
        <v>0</v>
      </c>
      <c r="AK6754" s="306">
        <f>IF(ISNUMBER(Table1[[#This Row],[FECHA DE RECIBIDO]]), Table1[[#This Row],[FECHA DE RECIBIDO]]-DATE(2023,8,30), "")</f>
        <v>-44728.957743055558</v>
      </c>
    </row>
    <row r="6755" spans="1:37" ht="18" customHeight="1">
      <c r="A6755" s="172" t="s">
        <v>5584</v>
      </c>
      <c r="B6755" s="178">
        <v>2466</v>
      </c>
      <c r="C6755" s="179" t="s">
        <v>1286</v>
      </c>
      <c r="D6755">
        <v>4606</v>
      </c>
      <c r="E6755" s="125">
        <v>66224</v>
      </c>
      <c r="F6755" s="178">
        <v>601</v>
      </c>
      <c r="G6755" s="178" t="s">
        <v>134</v>
      </c>
      <c r="H6755">
        <v>1118</v>
      </c>
      <c r="I6755" s="178" t="s">
        <v>1546</v>
      </c>
      <c r="J6755" s="320">
        <v>463.49067129629839</v>
      </c>
      <c r="K6755" s="178" t="s">
        <v>5569</v>
      </c>
      <c r="L6755" s="125" t="s">
        <v>3306</v>
      </c>
      <c r="M6755">
        <v>1582</v>
      </c>
      <c r="N6755" s="182">
        <v>284</v>
      </c>
      <c r="O6755">
        <v>4476</v>
      </c>
      <c r="P6755" s="176" t="s">
        <v>77</v>
      </c>
      <c r="Q6755" s="176">
        <v>67609.929999999993</v>
      </c>
      <c r="R6755" s="176">
        <v>10817.5888</v>
      </c>
      <c r="S6755" s="176">
        <v>0</v>
      </c>
      <c r="T6755" s="190">
        <v>0</v>
      </c>
      <c r="U6755" s="191">
        <v>0</v>
      </c>
      <c r="V6755" s="191">
        <v>78427.518799999991</v>
      </c>
      <c r="W6755">
        <v>558</v>
      </c>
      <c r="X6755" s="186" t="s">
        <v>3346</v>
      </c>
      <c r="Y6755" s="187" t="s">
        <v>55</v>
      </c>
      <c r="Z6755" s="311">
        <v>471</v>
      </c>
      <c r="AB6755" t="str">
        <f>IF(Table1[[#This Row],[TIPO2]]="costo", VLOOKUP(Table1[[#This Row],[PARTIDA PRESUPUESTAL]],'Cost Report'!G:G,1,0),"Balance")</f>
        <v>6004-004</v>
      </c>
      <c r="AD6755" s="159">
        <f>+Table1[[#This Row],[SUBTOTAL]]+Table1[[#This Row],[IVA]]-Table1[[#This Row],[RET IVA]]-Table1[[#This Row],[RET ISR]]-Table1[[#This Row],[TOTAL]]</f>
        <v>0</v>
      </c>
      <c r="AK6755" s="306">
        <f>IF(ISNUMBER(Table1[[#This Row],[FECHA DE RECIBIDO]]), Table1[[#This Row],[FECHA DE RECIBIDO]]-DATE(2023,8,30), "")</f>
        <v>-44704.509328703702</v>
      </c>
    </row>
    <row r="6756" spans="1:37" s="271" customFormat="1" ht="18" customHeight="1">
      <c r="A6756" s="282" t="s">
        <v>5585</v>
      </c>
      <c r="B6756" s="283">
        <v>2467</v>
      </c>
      <c r="C6756" s="284" t="s">
        <v>3066</v>
      </c>
      <c r="D6756"/>
      <c r="E6756" s="285" t="s">
        <v>1911</v>
      </c>
      <c r="F6756" s="283" t="s">
        <v>1911</v>
      </c>
      <c r="G6756" s="283" t="s">
        <v>1911</v>
      </c>
      <c r="H6756"/>
      <c r="I6756" s="283" t="s">
        <v>1911</v>
      </c>
      <c r="J6756" s="312" t="s">
        <v>214</v>
      </c>
      <c r="K6756" s="283" t="s">
        <v>5569</v>
      </c>
      <c r="L6756" s="285" t="s">
        <v>3306</v>
      </c>
      <c r="M6756">
        <v>1583</v>
      </c>
      <c r="N6756" s="286">
        <v>284</v>
      </c>
      <c r="O6756">
        <v>4477</v>
      </c>
      <c r="P6756" s="287" t="s">
        <v>77</v>
      </c>
      <c r="Q6756" s="287">
        <v>39569.35</v>
      </c>
      <c r="R6756" s="287">
        <v>0</v>
      </c>
      <c r="S6756" s="287">
        <v>0</v>
      </c>
      <c r="T6756" s="288">
        <v>0</v>
      </c>
      <c r="U6756" s="289">
        <v>3956.85</v>
      </c>
      <c r="V6756" s="289">
        <v>35612.5</v>
      </c>
      <c r="W6756">
        <v>559</v>
      </c>
      <c r="X6756" s="290" t="s">
        <v>5568</v>
      </c>
      <c r="Y6756" s="283" t="s">
        <v>55</v>
      </c>
      <c r="Z6756" s="312">
        <v>468</v>
      </c>
      <c r="AB6756" s="271" t="str">
        <f>IF(Table1[[#This Row],[TIPO2]]="costo", VLOOKUP(Table1[[#This Row],[PARTIDA PRESUPUESTAL]],'Cost Report'!G:G,1,0),"Balance")</f>
        <v>6004-005</v>
      </c>
      <c r="AD6756" s="272">
        <f>+Table1[[#This Row],[SUBTOTAL]]+Table1[[#This Row],[IVA]]-Table1[[#This Row],[RET IVA]]-Table1[[#This Row],[RET ISR]]-Table1[[#This Row],[TOTAL]]</f>
        <v>0</v>
      </c>
      <c r="AK6756" s="306" t="str">
        <f>IF(ISNUMBER(Table1[[#This Row],[FECHA DE RECIBIDO]]), Table1[[#This Row],[FECHA DE RECIBIDO]]-DATE(2023,8,30), "")</f>
        <v/>
      </c>
    </row>
    <row r="6757" spans="1:37" s="271" customFormat="1" ht="18" customHeight="1">
      <c r="A6757" s="282" t="s">
        <v>5586</v>
      </c>
      <c r="B6757" s="283">
        <v>2468</v>
      </c>
      <c r="C6757" s="284" t="s">
        <v>1286</v>
      </c>
      <c r="D6757"/>
      <c r="E6757" s="285" t="s">
        <v>1911</v>
      </c>
      <c r="F6757" s="283" t="s">
        <v>1911</v>
      </c>
      <c r="G6757" s="283" t="s">
        <v>1911</v>
      </c>
      <c r="H6757"/>
      <c r="I6757" s="283" t="s">
        <v>1911</v>
      </c>
      <c r="J6757" s="312" t="s">
        <v>214</v>
      </c>
      <c r="K6757" s="283" t="s">
        <v>5569</v>
      </c>
      <c r="L6757" s="285" t="s">
        <v>3306</v>
      </c>
      <c r="M6757">
        <v>1584</v>
      </c>
      <c r="N6757" s="286">
        <v>284</v>
      </c>
      <c r="O6757">
        <v>4478</v>
      </c>
      <c r="P6757" s="287" t="s">
        <v>77</v>
      </c>
      <c r="Q6757" s="287">
        <v>90444.35</v>
      </c>
      <c r="R6757" s="287">
        <v>0</v>
      </c>
      <c r="S6757" s="287">
        <v>0</v>
      </c>
      <c r="T6757" s="288">
        <v>0</v>
      </c>
      <c r="U6757" s="289">
        <v>9044.35</v>
      </c>
      <c r="V6757" s="289">
        <v>81400</v>
      </c>
      <c r="W6757">
        <v>560</v>
      </c>
      <c r="X6757" s="290" t="s">
        <v>5587</v>
      </c>
      <c r="Y6757" s="283" t="s">
        <v>55</v>
      </c>
      <c r="Z6757" s="312">
        <v>468</v>
      </c>
      <c r="AB6757" s="271" t="str">
        <f>IF(Table1[[#This Row],[TIPO2]]="costo", VLOOKUP(Table1[[#This Row],[PARTIDA PRESUPUESTAL]],'Cost Report'!G:G,1,0),"Balance")</f>
        <v>6004-004</v>
      </c>
      <c r="AD6757" s="272">
        <f>+Table1[[#This Row],[SUBTOTAL]]+Table1[[#This Row],[IVA]]-Table1[[#This Row],[RET IVA]]-Table1[[#This Row],[RET ISR]]-Table1[[#This Row],[TOTAL]]</f>
        <v>0</v>
      </c>
      <c r="AK6757" s="306" t="str">
        <f>IF(ISNUMBER(Table1[[#This Row],[FECHA DE RECIBIDO]]), Table1[[#This Row],[FECHA DE RECIBIDO]]-DATE(2023,8,30), "")</f>
        <v/>
      </c>
    </row>
    <row r="6758" spans="1:37" ht="18" customHeight="1">
      <c r="A6758" s="172" t="s">
        <v>5588</v>
      </c>
      <c r="B6758" s="178">
        <v>2469</v>
      </c>
      <c r="C6758" s="179" t="s">
        <v>1286</v>
      </c>
      <c r="D6758"/>
      <c r="E6758" s="125" t="s">
        <v>1911</v>
      </c>
      <c r="F6758" s="178" t="s">
        <v>1911</v>
      </c>
      <c r="G6758" s="178" t="s">
        <v>1911</v>
      </c>
      <c r="H6758"/>
      <c r="I6758" s="178" t="s">
        <v>1911</v>
      </c>
      <c r="J6758" s="320" t="s">
        <v>214</v>
      </c>
      <c r="K6758" s="178" t="s">
        <v>5569</v>
      </c>
      <c r="L6758" s="125" t="s">
        <v>3306</v>
      </c>
      <c r="M6758">
        <v>1585</v>
      </c>
      <c r="N6758" s="182">
        <v>284</v>
      </c>
      <c r="O6758">
        <v>4479</v>
      </c>
      <c r="P6758" s="176" t="s">
        <v>77</v>
      </c>
      <c r="Q6758" s="176">
        <v>244200</v>
      </c>
      <c r="R6758" s="176">
        <v>0</v>
      </c>
      <c r="S6758" s="176">
        <v>0</v>
      </c>
      <c r="T6758" s="190">
        <v>0</v>
      </c>
      <c r="U6758" s="191">
        <v>0</v>
      </c>
      <c r="V6758" s="191">
        <v>244200</v>
      </c>
      <c r="W6758">
        <v>561</v>
      </c>
      <c r="X6758" s="186" t="s">
        <v>5589</v>
      </c>
      <c r="Y6758" s="187" t="s">
        <v>55</v>
      </c>
      <c r="Z6758" s="311">
        <v>468</v>
      </c>
      <c r="AB6758" t="str">
        <f>IF(Table1[[#This Row],[TIPO2]]="costo", VLOOKUP(Table1[[#This Row],[PARTIDA PRESUPUESTAL]],'Cost Report'!G:G,1,0),"Balance")</f>
        <v>6004-004</v>
      </c>
      <c r="AD6758" s="159">
        <f>+Table1[[#This Row],[SUBTOTAL]]+Table1[[#This Row],[IVA]]-Table1[[#This Row],[RET IVA]]-Table1[[#This Row],[RET ISR]]-Table1[[#This Row],[TOTAL]]</f>
        <v>0</v>
      </c>
      <c r="AK6758" s="306" t="str">
        <f>IF(ISNUMBER(Table1[[#This Row],[FECHA DE RECIBIDO]]), Table1[[#This Row],[FECHA DE RECIBIDO]]-DATE(2023,8,30), "")</f>
        <v/>
      </c>
    </row>
    <row r="6759" spans="1:37" ht="18" customHeight="1">
      <c r="A6759" s="172" t="s">
        <v>5590</v>
      </c>
      <c r="B6759" s="178">
        <v>2470</v>
      </c>
      <c r="C6759" s="179" t="s">
        <v>3065</v>
      </c>
      <c r="D6759">
        <v>4607</v>
      </c>
      <c r="E6759" s="125">
        <v>11550</v>
      </c>
      <c r="F6759" s="178">
        <v>612</v>
      </c>
      <c r="G6759" s="178" t="s">
        <v>129</v>
      </c>
      <c r="H6759">
        <v>1083</v>
      </c>
      <c r="I6759" s="178" t="s">
        <v>1546</v>
      </c>
      <c r="J6759" s="320">
        <v>464.74040509259066</v>
      </c>
      <c r="K6759" s="178" t="s">
        <v>5569</v>
      </c>
      <c r="L6759" s="125" t="s">
        <v>3306</v>
      </c>
      <c r="M6759">
        <v>1586</v>
      </c>
      <c r="N6759" s="182">
        <v>1</v>
      </c>
      <c r="O6759">
        <v>4480</v>
      </c>
      <c r="P6759" s="176" t="s">
        <v>77</v>
      </c>
      <c r="Q6759" s="176">
        <v>58800</v>
      </c>
      <c r="R6759" s="176">
        <v>9408</v>
      </c>
      <c r="S6759" s="176">
        <v>0</v>
      </c>
      <c r="T6759" s="190">
        <v>6272.0195999999996</v>
      </c>
      <c r="U6759" s="191">
        <v>5880</v>
      </c>
      <c r="V6759" s="191">
        <v>56055.9804</v>
      </c>
      <c r="W6759">
        <v>519</v>
      </c>
      <c r="X6759" s="186" t="s">
        <v>2037</v>
      </c>
      <c r="Y6759" s="187" t="s">
        <v>55</v>
      </c>
      <c r="Z6759" s="311">
        <v>471</v>
      </c>
      <c r="AB6759" t="str">
        <f>IF(Table1[[#This Row],[TIPO2]]="costo", VLOOKUP(Table1[[#This Row],[PARTIDA PRESUPUESTAL]],'Cost Report'!G:G,1,0),"Balance")</f>
        <v>6002-004</v>
      </c>
      <c r="AD6759" s="159">
        <f>+Table1[[#This Row],[SUBTOTAL]]+Table1[[#This Row],[IVA]]-Table1[[#This Row],[RET IVA]]-Table1[[#This Row],[RET ISR]]-Table1[[#This Row],[TOTAL]]</f>
        <v>0</v>
      </c>
      <c r="AK6759" s="306">
        <f>IF(ISNUMBER(Table1[[#This Row],[FECHA DE RECIBIDO]]), Table1[[#This Row],[FECHA DE RECIBIDO]]-DATE(2023,8,30), "")</f>
        <v>-44703.259594907409</v>
      </c>
    </row>
    <row r="6760" spans="1:37" ht="18" customHeight="1">
      <c r="A6760" s="172" t="s">
        <v>5591</v>
      </c>
      <c r="B6760" s="178">
        <v>2471</v>
      </c>
      <c r="C6760" s="179" t="s">
        <v>1293</v>
      </c>
      <c r="D6760">
        <v>4608</v>
      </c>
      <c r="E6760" s="125">
        <v>44150</v>
      </c>
      <c r="F6760" s="178">
        <v>601</v>
      </c>
      <c r="G6760" s="178" t="s">
        <v>134</v>
      </c>
      <c r="H6760">
        <v>121</v>
      </c>
      <c r="I6760" s="178" t="s">
        <v>1546</v>
      </c>
      <c r="J6760" s="320">
        <v>467.69446759259154</v>
      </c>
      <c r="K6760" s="178" t="s">
        <v>5569</v>
      </c>
      <c r="L6760" s="125" t="s">
        <v>3306</v>
      </c>
      <c r="M6760">
        <v>159</v>
      </c>
      <c r="N6760" s="182">
        <v>1</v>
      </c>
      <c r="O6760">
        <v>4481</v>
      </c>
      <c r="P6760" s="176" t="s">
        <v>77</v>
      </c>
      <c r="Q6760" s="176">
        <v>727850</v>
      </c>
      <c r="R6760" s="176">
        <v>116456</v>
      </c>
      <c r="S6760" s="176">
        <v>0</v>
      </c>
      <c r="T6760" s="190">
        <v>0</v>
      </c>
      <c r="U6760" s="191">
        <v>0</v>
      </c>
      <c r="V6760" s="191">
        <v>844306</v>
      </c>
      <c r="W6760">
        <v>562</v>
      </c>
      <c r="X6760" s="186" t="s">
        <v>105</v>
      </c>
      <c r="Y6760" s="187" t="s">
        <v>55</v>
      </c>
      <c r="Z6760" s="311">
        <v>471</v>
      </c>
      <c r="AB6760" t="str">
        <f>IF(Table1[[#This Row],[TIPO2]]="costo", VLOOKUP(Table1[[#This Row],[PARTIDA PRESUPUESTAL]],'Cost Report'!G:G,1,0),"Balance")</f>
        <v>6136-009</v>
      </c>
      <c r="AD6760" s="159">
        <f>+Table1[[#This Row],[SUBTOTAL]]+Table1[[#This Row],[IVA]]-Table1[[#This Row],[RET IVA]]-Table1[[#This Row],[RET ISR]]-Table1[[#This Row],[TOTAL]]</f>
        <v>0</v>
      </c>
      <c r="AK6760" s="306">
        <f>IF(ISNUMBER(Table1[[#This Row],[FECHA DE RECIBIDO]]), Table1[[#This Row],[FECHA DE RECIBIDO]]-DATE(2023,8,30), "")</f>
        <v>-44700.305532407408</v>
      </c>
    </row>
    <row r="6761" spans="1:37" ht="18" customHeight="1">
      <c r="A6761" s="172" t="s">
        <v>5592</v>
      </c>
      <c r="B6761" s="178">
        <v>2472</v>
      </c>
      <c r="C6761" s="179" t="s">
        <v>2141</v>
      </c>
      <c r="D6761">
        <v>4609</v>
      </c>
      <c r="E6761" s="125" t="s">
        <v>1887</v>
      </c>
      <c r="F6761" s="178">
        <v>626</v>
      </c>
      <c r="G6761" s="178" t="s">
        <v>109</v>
      </c>
      <c r="H6761">
        <v>10</v>
      </c>
      <c r="I6761" s="178" t="s">
        <v>1546</v>
      </c>
      <c r="J6761" s="320">
        <v>463.5234375</v>
      </c>
      <c r="K6761" s="178" t="s">
        <v>5569</v>
      </c>
      <c r="L6761" s="125" t="s">
        <v>110</v>
      </c>
      <c r="M6761">
        <v>13</v>
      </c>
      <c r="N6761" s="182">
        <v>20</v>
      </c>
      <c r="O6761">
        <v>4482</v>
      </c>
      <c r="P6761" s="176" t="s">
        <v>77</v>
      </c>
      <c r="Q6761" s="176">
        <v>67000</v>
      </c>
      <c r="R6761" s="176">
        <v>10720</v>
      </c>
      <c r="S6761" s="176">
        <v>0</v>
      </c>
      <c r="T6761" s="190">
        <v>7146.6799999999994</v>
      </c>
      <c r="U6761" s="191">
        <v>837.5</v>
      </c>
      <c r="V6761" s="191">
        <v>69735.820000000007</v>
      </c>
      <c r="W6761">
        <v>9</v>
      </c>
      <c r="X6761" s="186" t="s">
        <v>1429</v>
      </c>
      <c r="Y6761" s="187" t="s">
        <v>55</v>
      </c>
      <c r="Z6761" s="311">
        <v>474</v>
      </c>
      <c r="AB6761" t="str">
        <f>IF(Table1[[#This Row],[TIPO2]]="costo", VLOOKUP(Table1[[#This Row],[PARTIDA PRESUPUESTAL]],'Cost Report'!G:G,1,0),"Balance")</f>
        <v>1202-006</v>
      </c>
      <c r="AD6761" s="159">
        <f>+Table1[[#This Row],[SUBTOTAL]]+Table1[[#This Row],[IVA]]-Table1[[#This Row],[RET IVA]]-Table1[[#This Row],[RET ISR]]-Table1[[#This Row],[TOTAL]]</f>
        <v>0</v>
      </c>
      <c r="AK6761" s="306">
        <f>IF(ISNUMBER(Table1[[#This Row],[FECHA DE RECIBIDO]]), Table1[[#This Row],[FECHA DE RECIBIDO]]-DATE(2023,8,30), "")</f>
        <v>-44704.4765625</v>
      </c>
    </row>
    <row r="6762" spans="1:37" ht="18" customHeight="1">
      <c r="A6762" s="172" t="s">
        <v>5593</v>
      </c>
      <c r="B6762" s="178">
        <v>2473</v>
      </c>
      <c r="C6762" s="179" t="s">
        <v>3065</v>
      </c>
      <c r="D6762">
        <v>4610</v>
      </c>
      <c r="E6762" s="125" t="s">
        <v>1592</v>
      </c>
      <c r="F6762" s="178">
        <v>612</v>
      </c>
      <c r="G6762" s="178" t="s">
        <v>129</v>
      </c>
      <c r="H6762">
        <v>1084</v>
      </c>
      <c r="I6762" s="178" t="s">
        <v>1546</v>
      </c>
      <c r="J6762" s="320">
        <v>464.84237268518336</v>
      </c>
      <c r="K6762" s="178" t="s">
        <v>5569</v>
      </c>
      <c r="L6762" s="125" t="s">
        <v>3306</v>
      </c>
      <c r="M6762">
        <v>1505</v>
      </c>
      <c r="N6762" s="182">
        <v>1</v>
      </c>
      <c r="O6762">
        <v>4480</v>
      </c>
      <c r="P6762" s="176" t="s">
        <v>77</v>
      </c>
      <c r="Q6762" s="176">
        <v>58800</v>
      </c>
      <c r="R6762" s="176">
        <v>9408</v>
      </c>
      <c r="S6762" s="176">
        <v>0</v>
      </c>
      <c r="T6762" s="190">
        <v>6273.96</v>
      </c>
      <c r="U6762" s="191">
        <v>5880</v>
      </c>
      <c r="V6762" s="191">
        <v>56054.04</v>
      </c>
      <c r="W6762">
        <v>520</v>
      </c>
      <c r="X6762" s="186" t="s">
        <v>1429</v>
      </c>
      <c r="Y6762" s="187" t="s">
        <v>55</v>
      </c>
      <c r="Z6762" s="311">
        <v>475</v>
      </c>
      <c r="AB6762" t="str">
        <f>IF(Table1[[#This Row],[TIPO2]]="costo", VLOOKUP(Table1[[#This Row],[PARTIDA PRESUPUESTAL]],'Cost Report'!G:G,1,0),"Balance")</f>
        <v>6002-004</v>
      </c>
      <c r="AD6762" s="159">
        <f>+Table1[[#This Row],[SUBTOTAL]]+Table1[[#This Row],[IVA]]-Table1[[#This Row],[RET IVA]]-Table1[[#This Row],[RET ISR]]-Table1[[#This Row],[TOTAL]]</f>
        <v>0</v>
      </c>
      <c r="AK6762" s="306">
        <f>IF(ISNUMBER(Table1[[#This Row],[FECHA DE RECIBIDO]]), Table1[[#This Row],[FECHA DE RECIBIDO]]-DATE(2023,8,30), "")</f>
        <v>-44703.157627314817</v>
      </c>
    </row>
    <row r="6763" spans="1:37" ht="18" customHeight="1">
      <c r="A6763" s="172" t="s">
        <v>5594</v>
      </c>
      <c r="B6763" s="178" t="s">
        <v>1576</v>
      </c>
      <c r="C6763" s="179" t="s">
        <v>74</v>
      </c>
      <c r="D6763">
        <v>4611</v>
      </c>
      <c r="E6763" s="125" t="s">
        <v>1577</v>
      </c>
      <c r="F6763" s="178">
        <v>616</v>
      </c>
      <c r="G6763" s="178" t="s">
        <v>1490</v>
      </c>
      <c r="H6763">
        <v>0</v>
      </c>
      <c r="I6763" s="178" t="s">
        <v>1546</v>
      </c>
      <c r="J6763" s="320">
        <v>462.68462962962803</v>
      </c>
      <c r="K6763" s="178" t="s">
        <v>5569</v>
      </c>
      <c r="L6763" s="125" t="s">
        <v>98</v>
      </c>
      <c r="M6763">
        <v>28</v>
      </c>
      <c r="N6763" s="182">
        <v>18</v>
      </c>
      <c r="O6763">
        <v>1425</v>
      </c>
      <c r="P6763" s="176" t="s">
        <v>78</v>
      </c>
      <c r="Q6763" s="176">
        <v>2176887.63</v>
      </c>
      <c r="R6763" s="176">
        <v>0</v>
      </c>
      <c r="S6763" s="176"/>
      <c r="T6763" s="190">
        <v>0</v>
      </c>
      <c r="U6763" s="191">
        <v>0</v>
      </c>
      <c r="V6763" s="191">
        <v>2176887.63</v>
      </c>
      <c r="W6763">
        <v>34</v>
      </c>
      <c r="X6763" s="186" t="s">
        <v>1576</v>
      </c>
      <c r="Y6763" s="187" t="s">
        <v>55</v>
      </c>
      <c r="Z6763" s="311">
        <v>462</v>
      </c>
      <c r="AB6763" t="str">
        <f>IF(Table1[[#This Row],[TIPO2]]="costo", VLOOKUP(Table1[[#This Row],[PARTIDA PRESUPUESTAL]],'Cost Report'!G:G,1,0),"Balance")</f>
        <v>Balance</v>
      </c>
      <c r="AD6763" s="159">
        <f>+Table1[[#This Row],[SUBTOTAL]]+Table1[[#This Row],[IVA]]-Table1[[#This Row],[RET IVA]]-Table1[[#This Row],[RET ISR]]-Table1[[#This Row],[TOTAL]]</f>
        <v>0</v>
      </c>
      <c r="AK6763" s="306">
        <f>IF(ISNUMBER(Table1[[#This Row],[FECHA DE RECIBIDO]]), Table1[[#This Row],[FECHA DE RECIBIDO]]-DATE(2023,8,30), "")</f>
        <v>-44705.315370370372</v>
      </c>
    </row>
    <row r="6764" spans="1:37" ht="18" customHeight="1">
      <c r="A6764" s="172" t="s">
        <v>5595</v>
      </c>
      <c r="B6764" s="178" t="s">
        <v>1576</v>
      </c>
      <c r="C6764" s="179" t="s">
        <v>72</v>
      </c>
      <c r="D6764"/>
      <c r="E6764" s="125" t="s">
        <v>1911</v>
      </c>
      <c r="F6764" s="178" t="s">
        <v>1911</v>
      </c>
      <c r="G6764" s="178" t="s">
        <v>1911</v>
      </c>
      <c r="H6764"/>
      <c r="I6764" s="178" t="s">
        <v>1911</v>
      </c>
      <c r="J6764" s="320" t="s">
        <v>214</v>
      </c>
      <c r="K6764" s="178" t="s">
        <v>5569</v>
      </c>
      <c r="L6764" s="125" t="s">
        <v>156</v>
      </c>
      <c r="M6764">
        <v>61</v>
      </c>
      <c r="N6764" s="182">
        <v>0</v>
      </c>
      <c r="O6764">
        <v>4483</v>
      </c>
      <c r="P6764" s="176" t="s">
        <v>78</v>
      </c>
      <c r="Q6764" s="176">
        <v>2143.0300000000002</v>
      </c>
      <c r="R6764" s="176">
        <v>0</v>
      </c>
      <c r="S6764" s="176"/>
      <c r="T6764" s="190">
        <v>0</v>
      </c>
      <c r="U6764" s="191">
        <v>0</v>
      </c>
      <c r="V6764" s="191">
        <v>2143.0300000000002</v>
      </c>
      <c r="W6764">
        <v>35</v>
      </c>
      <c r="X6764" s="186" t="s">
        <v>105</v>
      </c>
      <c r="Y6764" s="187" t="s">
        <v>55</v>
      </c>
      <c r="Z6764" s="311">
        <v>476</v>
      </c>
      <c r="AB6764" t="str">
        <f>IF(Table1[[#This Row],[TIPO2]]="costo", VLOOKUP(Table1[[#This Row],[PARTIDA PRESUPUESTAL]],'Cost Report'!G:G,1,0),"Balance")</f>
        <v>Balance</v>
      </c>
      <c r="AD6764" s="159">
        <f>+Table1[[#This Row],[SUBTOTAL]]+Table1[[#This Row],[IVA]]-Table1[[#This Row],[RET IVA]]-Table1[[#This Row],[RET ISR]]-Table1[[#This Row],[TOTAL]]</f>
        <v>0</v>
      </c>
      <c r="AK6764" s="306" t="str">
        <f>IF(ISNUMBER(Table1[[#This Row],[FECHA DE RECIBIDO]]), Table1[[#This Row],[FECHA DE RECIBIDO]]-DATE(2023,8,30), "")</f>
        <v/>
      </c>
    </row>
    <row r="6765" spans="1:37" ht="18" customHeight="1">
      <c r="A6765" s="172" t="s">
        <v>5596</v>
      </c>
      <c r="B6765" s="178" t="s">
        <v>1576</v>
      </c>
      <c r="C6765" s="179" t="s">
        <v>73</v>
      </c>
      <c r="D6765"/>
      <c r="E6765" s="125" t="s">
        <v>1911</v>
      </c>
      <c r="F6765" s="178" t="s">
        <v>1911</v>
      </c>
      <c r="G6765" s="178" t="s">
        <v>1911</v>
      </c>
      <c r="H6765"/>
      <c r="I6765" s="178" t="s">
        <v>1911</v>
      </c>
      <c r="J6765" s="320" t="s">
        <v>214</v>
      </c>
      <c r="K6765" s="178" t="s">
        <v>5569</v>
      </c>
      <c r="L6765" s="125" t="s">
        <v>156</v>
      </c>
      <c r="M6765">
        <v>61</v>
      </c>
      <c r="N6765" s="182">
        <v>0</v>
      </c>
      <c r="O6765">
        <v>4484</v>
      </c>
      <c r="P6765" s="176" t="s">
        <v>78</v>
      </c>
      <c r="Q6765" s="176">
        <v>2009.08</v>
      </c>
      <c r="R6765" s="176">
        <v>0</v>
      </c>
      <c r="S6765" s="176"/>
      <c r="T6765" s="190">
        <v>0</v>
      </c>
      <c r="U6765" s="191">
        <v>0</v>
      </c>
      <c r="V6765" s="191">
        <v>2009.08</v>
      </c>
      <c r="W6765">
        <v>35</v>
      </c>
      <c r="X6765" s="186" t="s">
        <v>105</v>
      </c>
      <c r="Y6765" s="187" t="s">
        <v>55</v>
      </c>
      <c r="Z6765" s="311">
        <v>476</v>
      </c>
      <c r="AB6765" t="str">
        <f>IF(Table1[[#This Row],[TIPO2]]="costo", VLOOKUP(Table1[[#This Row],[PARTIDA PRESUPUESTAL]],'Cost Report'!G:G,1,0),"Balance")</f>
        <v>Balance</v>
      </c>
      <c r="AD6765" s="159">
        <f>+Table1[[#This Row],[SUBTOTAL]]+Table1[[#This Row],[IVA]]-Table1[[#This Row],[RET IVA]]-Table1[[#This Row],[RET ISR]]-Table1[[#This Row],[TOTAL]]</f>
        <v>0</v>
      </c>
      <c r="AK6765" s="306" t="str">
        <f>IF(ISNUMBER(Table1[[#This Row],[FECHA DE RECIBIDO]]), Table1[[#This Row],[FECHA DE RECIBIDO]]-DATE(2023,8,30), "")</f>
        <v/>
      </c>
    </row>
    <row r="6766" spans="1:37" ht="18" customHeight="1">
      <c r="A6766" s="172"/>
      <c r="B6766" s="178"/>
      <c r="C6766" s="179" t="s">
        <v>5114</v>
      </c>
      <c r="D6766">
        <v>4612</v>
      </c>
      <c r="E6766" s="125"/>
      <c r="F6766" s="178"/>
      <c r="G6766" s="178" t="s">
        <v>134</v>
      </c>
      <c r="H6766"/>
      <c r="I6766" s="178"/>
      <c r="J6766" s="320" t="s">
        <v>214</v>
      </c>
      <c r="K6766" s="178" t="s">
        <v>5569</v>
      </c>
      <c r="L6766" s="125" t="s">
        <v>5115</v>
      </c>
      <c r="M6766">
        <v>1341</v>
      </c>
      <c r="N6766" s="182"/>
      <c r="O6766">
        <v>4485</v>
      </c>
      <c r="P6766" s="176" t="s">
        <v>78</v>
      </c>
      <c r="Q6766" s="176">
        <v>-31107.815549999999</v>
      </c>
      <c r="R6766" s="176">
        <v>4977.2504879999997</v>
      </c>
      <c r="S6766" s="176"/>
      <c r="T6766" s="190">
        <v>0</v>
      </c>
      <c r="U6766" s="191"/>
      <c r="V6766" s="191">
        <f>+Table1[[#This Row],[SUBTOTAL]]+Table1[[#This Row],[IVA]]-Table1[[#This Row],[RET IVA]]-Table1[[#This Row],[RET ISR]]</f>
        <v>-26130.565062000001</v>
      </c>
      <c r="W6766"/>
      <c r="X6766" s="186"/>
      <c r="Y6766" s="187"/>
      <c r="Z6766" s="311" t="s">
        <v>214</v>
      </c>
      <c r="AB6766" t="str">
        <f>IF(Table1[[#This Row],[TIPO2]]="costo", VLOOKUP(Table1[[#This Row],[PARTIDA PRESUPUESTAL]],'Cost Report'!G:G,1,0),"Balance")</f>
        <v>Balance</v>
      </c>
      <c r="AD6766" s="159">
        <f>+Table1[[#This Row],[SUBTOTAL]]+Table1[[#This Row],[IVA]]-Table1[[#This Row],[RET IVA]]-Table1[[#This Row],[RET ISR]]-Table1[[#This Row],[TOTAL]]</f>
        <v>0</v>
      </c>
      <c r="AK6766" s="306" t="str">
        <f>IF(ISNUMBER(Table1[[#This Row],[FECHA DE RECIBIDO]]), Table1[[#This Row],[FECHA DE RECIBIDO]]-DATE(2023,8,30), "")</f>
        <v/>
      </c>
    </row>
    <row r="6767" spans="1:37" ht="18" customHeight="1">
      <c r="A6767" s="172"/>
      <c r="B6767" s="178"/>
      <c r="C6767" s="179" t="s">
        <v>5114</v>
      </c>
      <c r="D6767"/>
      <c r="E6767" s="125"/>
      <c r="F6767" s="178"/>
      <c r="G6767" s="178"/>
      <c r="H6767"/>
      <c r="I6767" s="178"/>
      <c r="J6767" s="320" t="s">
        <v>214</v>
      </c>
      <c r="K6767" s="178" t="s">
        <v>5569</v>
      </c>
      <c r="L6767" s="125"/>
      <c r="M6767">
        <v>28</v>
      </c>
      <c r="N6767" s="182"/>
      <c r="O6767">
        <v>4485</v>
      </c>
      <c r="P6767" s="176" t="s">
        <v>78</v>
      </c>
      <c r="Q6767" s="252">
        <v>-556445</v>
      </c>
      <c r="R6767" s="176"/>
      <c r="S6767" s="176"/>
      <c r="T6767" s="190">
        <v>0</v>
      </c>
      <c r="U6767" s="191"/>
      <c r="V6767" s="191">
        <f>+Table1[[#This Row],[SUBTOTAL]]+Table1[[#This Row],[IVA]]-Table1[[#This Row],[RET IVA]]-Table1[[#This Row],[RET ISR]]</f>
        <v>-556445</v>
      </c>
      <c r="W6767"/>
      <c r="X6767" s="186"/>
      <c r="Y6767" s="187"/>
      <c r="Z6767" s="311" t="s">
        <v>214</v>
      </c>
      <c r="AB6767" t="str">
        <f>IF(Table1[[#This Row],[TIPO2]]="costo", VLOOKUP(Table1[[#This Row],[PARTIDA PRESUPUESTAL]],'Cost Report'!G:G,1,0),"Balance")</f>
        <v>Balance</v>
      </c>
      <c r="AD6767" s="159">
        <f>+Table1[[#This Row],[SUBTOTAL]]+Table1[[#This Row],[IVA]]-Table1[[#This Row],[RET IVA]]-Table1[[#This Row],[RET ISR]]-Table1[[#This Row],[TOTAL]]</f>
        <v>0</v>
      </c>
      <c r="AK6767" s="306" t="str">
        <f>IF(ISNUMBER(Table1[[#This Row],[FECHA DE RECIBIDO]]), Table1[[#This Row],[FECHA DE RECIBIDO]]-DATE(2023,8,30), "")</f>
        <v/>
      </c>
    </row>
    <row r="6768" spans="1:37" ht="18" customHeight="1">
      <c r="A6768" s="172"/>
      <c r="B6768" s="178"/>
      <c r="C6768" s="179" t="s">
        <v>5114</v>
      </c>
      <c r="D6768"/>
      <c r="E6768" s="125"/>
      <c r="F6768" s="178"/>
      <c r="G6768" s="178"/>
      <c r="H6768"/>
      <c r="I6768" s="178"/>
      <c r="J6768" s="320" t="s">
        <v>214</v>
      </c>
      <c r="K6768" s="178" t="s">
        <v>5569</v>
      </c>
      <c r="L6768" s="125" t="s">
        <v>5115</v>
      </c>
      <c r="M6768">
        <v>1530</v>
      </c>
      <c r="N6768" s="182"/>
      <c r="O6768">
        <v>4486</v>
      </c>
      <c r="P6768" s="176" t="s">
        <v>78</v>
      </c>
      <c r="Q6768" s="251">
        <v>592529.81999999995</v>
      </c>
      <c r="R6768" s="176"/>
      <c r="S6768" s="176"/>
      <c r="T6768" s="190">
        <v>0</v>
      </c>
      <c r="U6768" s="191"/>
      <c r="V6768" s="191">
        <f>+Table1[[#This Row],[SUBTOTAL]]+Table1[[#This Row],[IVA]]-Table1[[#This Row],[RET IVA]]-Table1[[#This Row],[RET ISR]]</f>
        <v>592529.81999999995</v>
      </c>
      <c r="W6768"/>
      <c r="X6768" s="186"/>
      <c r="Y6768" s="187"/>
      <c r="Z6768" s="311" t="s">
        <v>214</v>
      </c>
      <c r="AB6768" t="str">
        <f>IF(Table1[[#This Row],[TIPO2]]="costo", VLOOKUP(Table1[[#This Row],[PARTIDA PRESUPUESTAL]],'Cost Report'!G:G,1,0),"Balance")</f>
        <v>Balance</v>
      </c>
      <c r="AD6768" s="159">
        <f>+Table1[[#This Row],[SUBTOTAL]]+Table1[[#This Row],[IVA]]-Table1[[#This Row],[RET IVA]]-Table1[[#This Row],[RET ISR]]-Table1[[#This Row],[TOTAL]]</f>
        <v>0</v>
      </c>
      <c r="AK6768" s="306" t="str">
        <f>IF(ISNUMBER(Table1[[#This Row],[FECHA DE RECIBIDO]]), Table1[[#This Row],[FECHA DE RECIBIDO]]-DATE(2023,8,30), "")</f>
        <v/>
      </c>
    </row>
    <row r="6769" spans="1:37" ht="18" customHeight="1">
      <c r="A6769" s="172"/>
      <c r="B6769" s="178"/>
      <c r="C6769" s="179" t="s">
        <v>5114</v>
      </c>
      <c r="D6769">
        <v>4613</v>
      </c>
      <c r="E6769" s="125"/>
      <c r="F6769" s="178"/>
      <c r="G6769" s="178" t="s">
        <v>134</v>
      </c>
      <c r="H6769"/>
      <c r="I6769" s="178"/>
      <c r="J6769" s="320" t="s">
        <v>214</v>
      </c>
      <c r="K6769" s="178" t="s">
        <v>5569</v>
      </c>
      <c r="L6769" s="125" t="s">
        <v>5115</v>
      </c>
      <c r="M6769">
        <v>1341</v>
      </c>
      <c r="N6769" s="182"/>
      <c r="O6769">
        <v>4487</v>
      </c>
      <c r="P6769" s="176" t="s">
        <v>78</v>
      </c>
      <c r="Q6769" s="176">
        <v>-24778.63</v>
      </c>
      <c r="R6769" s="176">
        <v>3964.58</v>
      </c>
      <c r="S6769" s="176"/>
      <c r="T6769" s="190">
        <v>0</v>
      </c>
      <c r="U6769" s="191"/>
      <c r="V6769" s="191">
        <f>+Table1[[#This Row],[SUBTOTAL]]+Table1[[#This Row],[IVA]]-Table1[[#This Row],[RET IVA]]-Table1[[#This Row],[RET ISR]]</f>
        <v>-20814.050000000003</v>
      </c>
      <c r="W6769"/>
      <c r="X6769" s="186"/>
      <c r="Y6769" s="187"/>
      <c r="Z6769" s="311" t="s">
        <v>214</v>
      </c>
      <c r="AB6769" t="str">
        <f>IF(Table1[[#This Row],[TIPO2]]="costo", VLOOKUP(Table1[[#This Row],[PARTIDA PRESUPUESTAL]],'Cost Report'!G:G,1,0),"Balance")</f>
        <v>Balance</v>
      </c>
      <c r="AD6769" s="159">
        <f>+Table1[[#This Row],[SUBTOTAL]]+Table1[[#This Row],[IVA]]-Table1[[#This Row],[RET IVA]]-Table1[[#This Row],[RET ISR]]-Table1[[#This Row],[TOTAL]]</f>
        <v>0</v>
      </c>
      <c r="AK6769" s="306" t="str">
        <f>IF(ISNUMBER(Table1[[#This Row],[FECHA DE RECIBIDO]]), Table1[[#This Row],[FECHA DE RECIBIDO]]-DATE(2023,8,30), "")</f>
        <v/>
      </c>
    </row>
    <row r="6770" spans="1:37" ht="18" customHeight="1">
      <c r="A6770" s="172"/>
      <c r="B6770" s="178"/>
      <c r="C6770" s="179" t="s">
        <v>3102</v>
      </c>
      <c r="D6770"/>
      <c r="E6770" s="125"/>
      <c r="F6770" s="178"/>
      <c r="G6770" s="178"/>
      <c r="H6770"/>
      <c r="I6770" s="178"/>
      <c r="J6770" s="320" t="s">
        <v>214</v>
      </c>
      <c r="K6770" s="178" t="s">
        <v>5569</v>
      </c>
      <c r="L6770" s="125" t="s">
        <v>4317</v>
      </c>
      <c r="M6770">
        <v>7</v>
      </c>
      <c r="N6770" s="182"/>
      <c r="O6770">
        <v>4296</v>
      </c>
      <c r="P6770" s="176" t="s">
        <v>77</v>
      </c>
      <c r="Q6770" s="176">
        <v>1800</v>
      </c>
      <c r="R6770" s="176">
        <f>+Table1[[#This Row],[SUBTOTAL]]*0.16</f>
        <v>288</v>
      </c>
      <c r="S6770" s="176"/>
      <c r="T6770" s="190">
        <v>0</v>
      </c>
      <c r="U6770" s="191"/>
      <c r="V6770" s="191">
        <f>+Table1[[#This Row],[SUBTOTAL]]+Table1[[#This Row],[IVA]]-Table1[[#This Row],[RET IVA]]-Table1[[#This Row],[RET ISR]]</f>
        <v>2088</v>
      </c>
      <c r="W6770"/>
      <c r="X6770" s="186"/>
      <c r="Y6770" s="187"/>
      <c r="Z6770" s="311" t="s">
        <v>214</v>
      </c>
      <c r="AB6770" t="str">
        <f>IF(Table1[[#This Row],[TIPO2]]="costo", VLOOKUP(Table1[[#This Row],[PARTIDA PRESUPUESTAL]],'Cost Report'!G:G,1,0),"Balance")</f>
        <v>7038-008</v>
      </c>
      <c r="AD6770" s="159">
        <f>+Table1[[#This Row],[SUBTOTAL]]+Table1[[#This Row],[IVA]]-Table1[[#This Row],[RET IVA]]-Table1[[#This Row],[RET ISR]]-Table1[[#This Row],[TOTAL]]</f>
        <v>0</v>
      </c>
      <c r="AK6770" s="306" t="str">
        <f>IF(ISNUMBER(Table1[[#This Row],[FECHA DE RECIBIDO]]), Table1[[#This Row],[FECHA DE RECIBIDO]]-DATE(2023,8,30), "")</f>
        <v/>
      </c>
    </row>
    <row r="6771" spans="1:37" ht="18" customHeight="1">
      <c r="A6771" s="172"/>
      <c r="B6771" s="178"/>
      <c r="C6771" s="179" t="s">
        <v>3102</v>
      </c>
      <c r="D6771"/>
      <c r="E6771" s="125"/>
      <c r="F6771" s="178"/>
      <c r="G6771" s="178"/>
      <c r="H6771"/>
      <c r="I6771" s="178"/>
      <c r="J6771" s="320" t="s">
        <v>214</v>
      </c>
      <c r="K6771" s="178" t="s">
        <v>5569</v>
      </c>
      <c r="L6771" s="125" t="s">
        <v>4317</v>
      </c>
      <c r="M6771">
        <v>7</v>
      </c>
      <c r="N6771" s="182"/>
      <c r="O6771">
        <v>4296</v>
      </c>
      <c r="P6771" s="176" t="s">
        <v>77</v>
      </c>
      <c r="Q6771" s="176">
        <v>500</v>
      </c>
      <c r="R6771" s="176">
        <v>80</v>
      </c>
      <c r="S6771" s="176"/>
      <c r="T6771" s="190">
        <v>0</v>
      </c>
      <c r="U6771" s="191"/>
      <c r="V6771" s="191">
        <f>+Table1[[#This Row],[SUBTOTAL]]+Table1[[#This Row],[IVA]]-Table1[[#This Row],[RET IVA]]-Table1[[#This Row],[RET ISR]]</f>
        <v>580</v>
      </c>
      <c r="W6771"/>
      <c r="X6771" s="186"/>
      <c r="Y6771" s="187"/>
      <c r="Z6771" s="311" t="s">
        <v>214</v>
      </c>
      <c r="AB6771" t="str">
        <f>IF(Table1[[#This Row],[TIPO2]]="costo", VLOOKUP(Table1[[#This Row],[PARTIDA PRESUPUESTAL]],'Cost Report'!G:G,1,0),"Balance")</f>
        <v>7038-008</v>
      </c>
      <c r="AD6771" s="159">
        <f>+Table1[[#This Row],[SUBTOTAL]]+Table1[[#This Row],[IVA]]-Table1[[#This Row],[RET IVA]]-Table1[[#This Row],[RET ISR]]-Table1[[#This Row],[TOTAL]]</f>
        <v>0</v>
      </c>
      <c r="AK6771" s="306" t="str">
        <f>IF(ISNUMBER(Table1[[#This Row],[FECHA DE RECIBIDO]]), Table1[[#This Row],[FECHA DE RECIBIDO]]-DATE(2023,8,30), "")</f>
        <v/>
      </c>
    </row>
    <row r="6772" spans="1:37" ht="18" customHeight="1">
      <c r="A6772" s="172"/>
      <c r="B6772" s="178"/>
      <c r="C6772" s="179" t="s">
        <v>2758</v>
      </c>
      <c r="D6772">
        <v>4614</v>
      </c>
      <c r="E6772" s="125"/>
      <c r="F6772" s="178"/>
      <c r="G6772" s="178"/>
      <c r="H6772"/>
      <c r="I6772" s="178"/>
      <c r="J6772" s="320" t="s">
        <v>214</v>
      </c>
      <c r="K6772" s="178"/>
      <c r="L6772" s="125" t="s">
        <v>4863</v>
      </c>
      <c r="M6772">
        <v>71</v>
      </c>
      <c r="N6772" s="182"/>
      <c r="O6772">
        <v>156</v>
      </c>
      <c r="P6772" s="176" t="s">
        <v>77</v>
      </c>
      <c r="Q6772" s="176">
        <v>56.79</v>
      </c>
      <c r="R6772" s="176"/>
      <c r="S6772" s="176"/>
      <c r="T6772" s="190"/>
      <c r="U6772" s="191"/>
      <c r="V6772" s="191">
        <f>+Table1[[#This Row],[SUBTOTAL]]+Table1[[#This Row],[IVA]]-Table1[[#This Row],[RET IVA]]-Table1[[#This Row],[RET ISR]]</f>
        <v>56.79</v>
      </c>
      <c r="W6772"/>
      <c r="X6772" s="186"/>
      <c r="Y6772" s="187"/>
      <c r="Z6772" s="311" t="s">
        <v>214</v>
      </c>
      <c r="AB6772" t="str">
        <f>IF(Table1[[#This Row],[TIPO2]]="costo", VLOOKUP(Table1[[#This Row],[PARTIDA PRESUPUESTAL]],'Cost Report'!G:G,1,0),"Balance")</f>
        <v>3401-022</v>
      </c>
      <c r="AD6772" s="159">
        <f>+Table1[[#This Row],[SUBTOTAL]]+Table1[[#This Row],[IVA]]-Table1[[#This Row],[RET IVA]]-Table1[[#This Row],[RET ISR]]-Table1[[#This Row],[TOTAL]]</f>
        <v>0</v>
      </c>
      <c r="AK6772" s="306" t="str">
        <f>IF(ISNUMBER(Table1[[#This Row],[FECHA DE RECIBIDO]]), Table1[[#This Row],[FECHA DE RECIBIDO]]-DATE(2023,8,30), "")</f>
        <v/>
      </c>
    </row>
    <row r="6773" spans="1:37" ht="18" customHeight="1">
      <c r="A6773" s="172"/>
      <c r="B6773" s="178"/>
      <c r="C6773" s="179" t="s">
        <v>2758</v>
      </c>
      <c r="D6773">
        <v>4614</v>
      </c>
      <c r="E6773" s="125"/>
      <c r="F6773" s="178"/>
      <c r="G6773" s="178"/>
      <c r="H6773"/>
      <c r="I6773" s="178"/>
      <c r="J6773" s="320" t="s">
        <v>214</v>
      </c>
      <c r="K6773" s="178"/>
      <c r="L6773" s="125" t="s">
        <v>4863</v>
      </c>
      <c r="M6773">
        <v>72</v>
      </c>
      <c r="N6773" s="182"/>
      <c r="O6773">
        <v>157</v>
      </c>
      <c r="P6773" s="176" t="s">
        <v>77</v>
      </c>
      <c r="Q6773" s="176">
        <v>101.7</v>
      </c>
      <c r="R6773" s="176"/>
      <c r="S6773" s="176"/>
      <c r="T6773" s="190"/>
      <c r="U6773" s="191"/>
      <c r="V6773" s="191">
        <f>+Table1[[#This Row],[SUBTOTAL]]+Table1[[#This Row],[IVA]]-Table1[[#This Row],[RET IVA]]-Table1[[#This Row],[RET ISR]]</f>
        <v>101.7</v>
      </c>
      <c r="W6773"/>
      <c r="X6773" s="186"/>
      <c r="Y6773" s="187"/>
      <c r="Z6773" s="311" t="s">
        <v>214</v>
      </c>
      <c r="AB6773" t="str">
        <f>IF(Table1[[#This Row],[TIPO2]]="costo", VLOOKUP(Table1[[#This Row],[PARTIDA PRESUPUESTAL]],'Cost Report'!G:G,1,0),"Balance")</f>
        <v>3401-022</v>
      </c>
      <c r="AD6773" s="159">
        <f>+Table1[[#This Row],[SUBTOTAL]]+Table1[[#This Row],[IVA]]-Table1[[#This Row],[RET IVA]]-Table1[[#This Row],[RET ISR]]-Table1[[#This Row],[TOTAL]]</f>
        <v>0</v>
      </c>
      <c r="AK6773" s="306" t="str">
        <f>IF(ISNUMBER(Table1[[#This Row],[FECHA DE RECIBIDO]]), Table1[[#This Row],[FECHA DE RECIBIDO]]-DATE(2023,8,30), "")</f>
        <v/>
      </c>
    </row>
    <row r="6774" spans="1:37" ht="18" customHeight="1">
      <c r="A6774" s="172"/>
      <c r="B6774" s="178"/>
      <c r="C6774" s="179" t="s">
        <v>2758</v>
      </c>
      <c r="D6774">
        <v>4614</v>
      </c>
      <c r="E6774" s="125"/>
      <c r="F6774" s="178"/>
      <c r="G6774" s="178"/>
      <c r="H6774"/>
      <c r="I6774" s="178"/>
      <c r="J6774" s="320" t="s">
        <v>214</v>
      </c>
      <c r="K6774" s="178"/>
      <c r="L6774" s="125" t="s">
        <v>4863</v>
      </c>
      <c r="M6774">
        <v>73</v>
      </c>
      <c r="N6774" s="182"/>
      <c r="O6774">
        <v>158</v>
      </c>
      <c r="P6774" s="176" t="s">
        <v>77</v>
      </c>
      <c r="Q6774" s="176">
        <v>82.5</v>
      </c>
      <c r="R6774" s="176"/>
      <c r="S6774" s="176"/>
      <c r="T6774" s="190"/>
      <c r="U6774" s="191"/>
      <c r="V6774" s="191">
        <f>+Table1[[#This Row],[SUBTOTAL]]+Table1[[#This Row],[IVA]]-Table1[[#This Row],[RET IVA]]-Table1[[#This Row],[RET ISR]]</f>
        <v>82.5</v>
      </c>
      <c r="W6774"/>
      <c r="X6774" s="186"/>
      <c r="Y6774" s="187"/>
      <c r="Z6774" s="311" t="s">
        <v>214</v>
      </c>
      <c r="AB6774" t="str">
        <f>IF(Table1[[#This Row],[TIPO2]]="costo", VLOOKUP(Table1[[#This Row],[PARTIDA PRESUPUESTAL]],'Cost Report'!G:G,1,0),"Balance")</f>
        <v>3401-022</v>
      </c>
      <c r="AD6774" s="159">
        <f>+Table1[[#This Row],[SUBTOTAL]]+Table1[[#This Row],[IVA]]-Table1[[#This Row],[RET IVA]]-Table1[[#This Row],[RET ISR]]-Table1[[#This Row],[TOTAL]]</f>
        <v>0</v>
      </c>
      <c r="AK6774" s="306" t="str">
        <f>IF(ISNUMBER(Table1[[#This Row],[FECHA DE RECIBIDO]]), Table1[[#This Row],[FECHA DE RECIBIDO]]-DATE(2023,8,30), "")</f>
        <v/>
      </c>
    </row>
    <row r="6775" spans="1:37" ht="18" customHeight="1">
      <c r="A6775" s="172"/>
      <c r="B6775" s="178"/>
      <c r="C6775" s="179" t="s">
        <v>2758</v>
      </c>
      <c r="D6775">
        <v>4614</v>
      </c>
      <c r="E6775" s="125"/>
      <c r="F6775" s="178"/>
      <c r="G6775" s="178"/>
      <c r="H6775"/>
      <c r="I6775" s="178"/>
      <c r="J6775" s="320" t="s">
        <v>214</v>
      </c>
      <c r="K6775" s="178"/>
      <c r="L6775" s="125" t="s">
        <v>4863</v>
      </c>
      <c r="M6775">
        <v>74</v>
      </c>
      <c r="N6775" s="182"/>
      <c r="O6775">
        <v>159</v>
      </c>
      <c r="P6775" s="176" t="s">
        <v>77</v>
      </c>
      <c r="Q6775" s="176">
        <v>8.1</v>
      </c>
      <c r="R6775" s="176"/>
      <c r="S6775" s="176"/>
      <c r="T6775" s="190"/>
      <c r="U6775" s="191"/>
      <c r="V6775" s="191">
        <f>+Table1[[#This Row],[SUBTOTAL]]+Table1[[#This Row],[IVA]]-Table1[[#This Row],[RET IVA]]-Table1[[#This Row],[RET ISR]]</f>
        <v>8.1</v>
      </c>
      <c r="W6775"/>
      <c r="X6775" s="186"/>
      <c r="Y6775" s="187"/>
      <c r="Z6775" s="311" t="s">
        <v>214</v>
      </c>
      <c r="AB6775" t="str">
        <f>IF(Table1[[#This Row],[TIPO2]]="costo", VLOOKUP(Table1[[#This Row],[PARTIDA PRESUPUESTAL]],'Cost Report'!G:G,1,0),"Balance")</f>
        <v>3401-022</v>
      </c>
      <c r="AD6775" s="159">
        <f>+Table1[[#This Row],[SUBTOTAL]]+Table1[[#This Row],[IVA]]-Table1[[#This Row],[RET IVA]]-Table1[[#This Row],[RET ISR]]-Table1[[#This Row],[TOTAL]]</f>
        <v>0</v>
      </c>
      <c r="AK6775" s="306" t="str">
        <f>IF(ISNUMBER(Table1[[#This Row],[FECHA DE RECIBIDO]]), Table1[[#This Row],[FECHA DE RECIBIDO]]-DATE(2023,8,30), "")</f>
        <v/>
      </c>
    </row>
    <row r="6776" spans="1:37" ht="18" customHeight="1">
      <c r="A6776" s="172"/>
      <c r="B6776" s="178"/>
      <c r="C6776" s="179" t="s">
        <v>2758</v>
      </c>
      <c r="D6776">
        <v>4614</v>
      </c>
      <c r="E6776" s="125"/>
      <c r="F6776" s="178"/>
      <c r="G6776" s="178"/>
      <c r="H6776"/>
      <c r="I6776" s="178"/>
      <c r="J6776" s="320" t="s">
        <v>214</v>
      </c>
      <c r="K6776" s="178"/>
      <c r="L6776" s="125" t="s">
        <v>4863</v>
      </c>
      <c r="M6776">
        <v>75</v>
      </c>
      <c r="N6776" s="182"/>
      <c r="O6776">
        <v>160</v>
      </c>
      <c r="P6776" s="176" t="s">
        <v>77</v>
      </c>
      <c r="Q6776" s="176">
        <v>82.14</v>
      </c>
      <c r="R6776" s="176"/>
      <c r="S6776" s="176"/>
      <c r="T6776" s="190"/>
      <c r="U6776" s="191"/>
      <c r="V6776" s="191">
        <f>+Table1[[#This Row],[SUBTOTAL]]+Table1[[#This Row],[IVA]]-Table1[[#This Row],[RET IVA]]-Table1[[#This Row],[RET ISR]]</f>
        <v>82.14</v>
      </c>
      <c r="W6776"/>
      <c r="X6776" s="186"/>
      <c r="Y6776" s="187"/>
      <c r="Z6776" s="311" t="s">
        <v>214</v>
      </c>
      <c r="AB6776" t="str">
        <f>IF(Table1[[#This Row],[TIPO2]]="costo", VLOOKUP(Table1[[#This Row],[PARTIDA PRESUPUESTAL]],'Cost Report'!G:G,1,0),"Balance")</f>
        <v>3401-022</v>
      </c>
      <c r="AD6776" s="159">
        <f>+Table1[[#This Row],[SUBTOTAL]]+Table1[[#This Row],[IVA]]-Table1[[#This Row],[RET IVA]]-Table1[[#This Row],[RET ISR]]-Table1[[#This Row],[TOTAL]]</f>
        <v>0</v>
      </c>
      <c r="AK6776" s="306" t="str">
        <f>IF(ISNUMBER(Table1[[#This Row],[FECHA DE RECIBIDO]]), Table1[[#This Row],[FECHA DE RECIBIDO]]-DATE(2023,8,30), "")</f>
        <v/>
      </c>
    </row>
    <row r="6777" spans="1:37" ht="18" customHeight="1">
      <c r="A6777" s="172"/>
      <c r="B6777" s="178"/>
      <c r="C6777" s="179" t="s">
        <v>2758</v>
      </c>
      <c r="D6777">
        <v>4614</v>
      </c>
      <c r="E6777" s="125"/>
      <c r="F6777" s="178"/>
      <c r="G6777" s="178"/>
      <c r="H6777"/>
      <c r="I6777" s="178"/>
      <c r="J6777" s="320" t="s">
        <v>214</v>
      </c>
      <c r="K6777" s="178"/>
      <c r="L6777" s="125" t="s">
        <v>4863</v>
      </c>
      <c r="M6777">
        <v>76</v>
      </c>
      <c r="N6777" s="182"/>
      <c r="O6777">
        <v>161</v>
      </c>
      <c r="P6777" s="176" t="s">
        <v>77</v>
      </c>
      <c r="Q6777" s="176">
        <v>83.52</v>
      </c>
      <c r="R6777" s="176"/>
      <c r="S6777" s="176"/>
      <c r="T6777" s="190"/>
      <c r="U6777" s="191"/>
      <c r="V6777" s="191">
        <f>+Table1[[#This Row],[SUBTOTAL]]+Table1[[#This Row],[IVA]]-Table1[[#This Row],[RET IVA]]-Table1[[#This Row],[RET ISR]]</f>
        <v>83.52</v>
      </c>
      <c r="W6777"/>
      <c r="X6777" s="186"/>
      <c r="Y6777" s="187"/>
      <c r="Z6777" s="311" t="s">
        <v>214</v>
      </c>
      <c r="AB6777" t="str">
        <f>IF(Table1[[#This Row],[TIPO2]]="costo", VLOOKUP(Table1[[#This Row],[PARTIDA PRESUPUESTAL]],'Cost Report'!G:G,1,0),"Balance")</f>
        <v>3401-022</v>
      </c>
      <c r="AD6777" s="159">
        <f>+Table1[[#This Row],[SUBTOTAL]]+Table1[[#This Row],[IVA]]-Table1[[#This Row],[RET IVA]]-Table1[[#This Row],[RET ISR]]-Table1[[#This Row],[TOTAL]]</f>
        <v>0</v>
      </c>
      <c r="AK6777" s="306" t="str">
        <f>IF(ISNUMBER(Table1[[#This Row],[FECHA DE RECIBIDO]]), Table1[[#This Row],[FECHA DE RECIBIDO]]-DATE(2023,8,30), "")</f>
        <v/>
      </c>
    </row>
    <row r="6778" spans="1:37" ht="18" customHeight="1">
      <c r="A6778" s="172"/>
      <c r="B6778" s="178"/>
      <c r="C6778" s="179" t="s">
        <v>2749</v>
      </c>
      <c r="D6778">
        <v>4614</v>
      </c>
      <c r="E6778" s="125"/>
      <c r="F6778" s="178"/>
      <c r="G6778" s="178"/>
      <c r="H6778"/>
      <c r="I6778" s="178"/>
      <c r="J6778" s="320" t="s">
        <v>214</v>
      </c>
      <c r="K6778" s="178"/>
      <c r="L6778" s="125" t="s">
        <v>4863</v>
      </c>
      <c r="M6778">
        <v>77</v>
      </c>
      <c r="N6778" s="182"/>
      <c r="O6778">
        <v>162</v>
      </c>
      <c r="P6778" s="176" t="s">
        <v>77</v>
      </c>
      <c r="Q6778" s="176">
        <v>9.2219999999999995</v>
      </c>
      <c r="R6778" s="176"/>
      <c r="S6778" s="176"/>
      <c r="T6778" s="190"/>
      <c r="U6778" s="191"/>
      <c r="V6778" s="191">
        <f>+Table1[[#This Row],[SUBTOTAL]]+Table1[[#This Row],[IVA]]-Table1[[#This Row],[RET IVA]]-Table1[[#This Row],[RET ISR]]</f>
        <v>9.2219999999999995</v>
      </c>
      <c r="W6778"/>
      <c r="X6778" s="186"/>
      <c r="Y6778" s="187"/>
      <c r="Z6778" s="311" t="s">
        <v>214</v>
      </c>
      <c r="AB6778" t="str">
        <f>IF(Table1[[#This Row],[TIPO2]]="costo", VLOOKUP(Table1[[#This Row],[PARTIDA PRESUPUESTAL]],'Cost Report'!G:G,1,0),"Balance")</f>
        <v>3401-011</v>
      </c>
      <c r="AD6778" s="159">
        <f>+Table1[[#This Row],[SUBTOTAL]]+Table1[[#This Row],[IVA]]-Table1[[#This Row],[RET IVA]]-Table1[[#This Row],[RET ISR]]-Table1[[#This Row],[TOTAL]]</f>
        <v>0</v>
      </c>
      <c r="AK6778" s="306" t="str">
        <f>IF(ISNUMBER(Table1[[#This Row],[FECHA DE RECIBIDO]]), Table1[[#This Row],[FECHA DE RECIBIDO]]-DATE(2023,8,30), "")</f>
        <v/>
      </c>
    </row>
    <row r="6779" spans="1:37" ht="18" customHeight="1">
      <c r="A6779" s="172"/>
      <c r="B6779" s="178"/>
      <c r="C6779" s="179" t="s">
        <v>2749</v>
      </c>
      <c r="D6779">
        <v>4614</v>
      </c>
      <c r="E6779" s="125"/>
      <c r="F6779" s="178"/>
      <c r="G6779" s="178"/>
      <c r="H6779"/>
      <c r="I6779" s="178"/>
      <c r="J6779" s="320" t="s">
        <v>214</v>
      </c>
      <c r="K6779" s="178"/>
      <c r="L6779" s="125" t="s">
        <v>4863</v>
      </c>
      <c r="M6779">
        <v>77</v>
      </c>
      <c r="N6779" s="182"/>
      <c r="O6779">
        <v>162</v>
      </c>
      <c r="P6779" s="176" t="s">
        <v>77</v>
      </c>
      <c r="Q6779" s="176">
        <v>9.2219999999999995</v>
      </c>
      <c r="R6779" s="176"/>
      <c r="S6779" s="176"/>
      <c r="T6779" s="190"/>
      <c r="U6779" s="191"/>
      <c r="V6779" s="191">
        <f>+Table1[[#This Row],[SUBTOTAL]]+Table1[[#This Row],[IVA]]-Table1[[#This Row],[RET IVA]]-Table1[[#This Row],[RET ISR]]</f>
        <v>9.2219999999999995</v>
      </c>
      <c r="W6779"/>
      <c r="X6779" s="186"/>
      <c r="Y6779" s="187"/>
      <c r="Z6779" s="311" t="s">
        <v>214</v>
      </c>
      <c r="AB6779" t="str">
        <f>IF(Table1[[#This Row],[TIPO2]]="costo", VLOOKUP(Table1[[#This Row],[PARTIDA PRESUPUESTAL]],'Cost Report'!G:G,1,0),"Balance")</f>
        <v>3401-011</v>
      </c>
      <c r="AD6779" s="159">
        <f>+Table1[[#This Row],[SUBTOTAL]]+Table1[[#This Row],[IVA]]-Table1[[#This Row],[RET IVA]]-Table1[[#This Row],[RET ISR]]-Table1[[#This Row],[TOTAL]]</f>
        <v>0</v>
      </c>
      <c r="AK6779" s="306" t="str">
        <f>IF(ISNUMBER(Table1[[#This Row],[FECHA DE RECIBIDO]]), Table1[[#This Row],[FECHA DE RECIBIDO]]-DATE(2023,8,30), "")</f>
        <v/>
      </c>
    </row>
    <row r="6780" spans="1:37" ht="18" customHeight="1">
      <c r="A6780" s="172"/>
      <c r="B6780" s="178"/>
      <c r="C6780" s="179" t="s">
        <v>2758</v>
      </c>
      <c r="D6780">
        <v>4614</v>
      </c>
      <c r="E6780" s="125"/>
      <c r="F6780" s="178"/>
      <c r="G6780" s="178"/>
      <c r="H6780"/>
      <c r="I6780" s="178"/>
      <c r="J6780" s="320" t="s">
        <v>214</v>
      </c>
      <c r="K6780" s="178"/>
      <c r="L6780" s="125" t="s">
        <v>4863</v>
      </c>
      <c r="M6780">
        <v>512</v>
      </c>
      <c r="N6780" s="182"/>
      <c r="O6780">
        <v>4488</v>
      </c>
      <c r="P6780" s="176" t="s">
        <v>77</v>
      </c>
      <c r="Q6780" s="176">
        <v>10.266</v>
      </c>
      <c r="R6780" s="176"/>
      <c r="S6780" s="176"/>
      <c r="T6780" s="190"/>
      <c r="U6780" s="191"/>
      <c r="V6780" s="191">
        <f>+Table1[[#This Row],[SUBTOTAL]]+Table1[[#This Row],[IVA]]-Table1[[#This Row],[RET IVA]]-Table1[[#This Row],[RET ISR]]</f>
        <v>10.266</v>
      </c>
      <c r="W6780"/>
      <c r="X6780" s="186"/>
      <c r="Y6780" s="187"/>
      <c r="Z6780" s="311" t="s">
        <v>214</v>
      </c>
      <c r="AB6780" t="str">
        <f>IF(Table1[[#This Row],[TIPO2]]="costo", VLOOKUP(Table1[[#This Row],[PARTIDA PRESUPUESTAL]],'Cost Report'!G:G,1,0),"Balance")</f>
        <v>3401-022</v>
      </c>
      <c r="AD6780" s="159">
        <f>+Table1[[#This Row],[SUBTOTAL]]+Table1[[#This Row],[IVA]]-Table1[[#This Row],[RET IVA]]-Table1[[#This Row],[RET ISR]]-Table1[[#This Row],[TOTAL]]</f>
        <v>0</v>
      </c>
      <c r="AK6780" s="306" t="str">
        <f>IF(ISNUMBER(Table1[[#This Row],[FECHA DE RECIBIDO]]), Table1[[#This Row],[FECHA DE RECIBIDO]]-DATE(2023,8,30), "")</f>
        <v/>
      </c>
    </row>
    <row r="6781" spans="1:37" ht="18" customHeight="1">
      <c r="A6781" s="172"/>
      <c r="B6781" s="178"/>
      <c r="C6781" s="179" t="s">
        <v>2752</v>
      </c>
      <c r="D6781">
        <v>4614</v>
      </c>
      <c r="E6781" s="125"/>
      <c r="F6781" s="178"/>
      <c r="G6781" s="178"/>
      <c r="H6781"/>
      <c r="I6781" s="178"/>
      <c r="J6781" s="320" t="s">
        <v>214</v>
      </c>
      <c r="K6781" s="178"/>
      <c r="L6781" s="125" t="s">
        <v>4863</v>
      </c>
      <c r="M6781">
        <v>22</v>
      </c>
      <c r="N6781" s="182"/>
      <c r="O6781">
        <v>230</v>
      </c>
      <c r="P6781" s="176" t="s">
        <v>77</v>
      </c>
      <c r="Q6781" s="176">
        <v>90</v>
      </c>
      <c r="R6781" s="176"/>
      <c r="S6781" s="176"/>
      <c r="T6781" s="190"/>
      <c r="U6781" s="191"/>
      <c r="V6781" s="191">
        <f>+Table1[[#This Row],[SUBTOTAL]]+Table1[[#This Row],[IVA]]-Table1[[#This Row],[RET IVA]]-Table1[[#This Row],[RET ISR]]</f>
        <v>90</v>
      </c>
      <c r="W6781"/>
      <c r="X6781" s="186"/>
      <c r="Y6781" s="187"/>
      <c r="Z6781" s="311" t="s">
        <v>214</v>
      </c>
      <c r="AB6781" t="str">
        <f>IF(Table1[[#This Row],[TIPO2]]="costo", VLOOKUP(Table1[[#This Row],[PARTIDA PRESUPUESTAL]],'Cost Report'!G:G,1,0),"Balance")</f>
        <v>3401-014</v>
      </c>
      <c r="AD6781" s="159">
        <f>+Table1[[#This Row],[SUBTOTAL]]+Table1[[#This Row],[IVA]]-Table1[[#This Row],[RET IVA]]-Table1[[#This Row],[RET ISR]]-Table1[[#This Row],[TOTAL]]</f>
        <v>0</v>
      </c>
      <c r="AK6781" s="306" t="str">
        <f>IF(ISNUMBER(Table1[[#This Row],[FECHA DE RECIBIDO]]), Table1[[#This Row],[FECHA DE RECIBIDO]]-DATE(2023,8,30), "")</f>
        <v/>
      </c>
    </row>
    <row r="6782" spans="1:37" ht="18" customHeight="1">
      <c r="A6782" s="172"/>
      <c r="B6782" s="178"/>
      <c r="C6782" s="179" t="s">
        <v>2750</v>
      </c>
      <c r="D6782">
        <v>4614</v>
      </c>
      <c r="E6782" s="125"/>
      <c r="F6782" s="178"/>
      <c r="G6782" s="178"/>
      <c r="H6782"/>
      <c r="I6782" s="178"/>
      <c r="J6782" s="320" t="s">
        <v>214</v>
      </c>
      <c r="K6782" s="178"/>
      <c r="L6782" s="125" t="s">
        <v>4863</v>
      </c>
      <c r="M6782">
        <v>106</v>
      </c>
      <c r="N6782" s="182"/>
      <c r="O6782">
        <v>231</v>
      </c>
      <c r="P6782" s="176" t="s">
        <v>77</v>
      </c>
      <c r="Q6782" s="176">
        <v>165</v>
      </c>
      <c r="R6782" s="176"/>
      <c r="S6782" s="176"/>
      <c r="T6782" s="190"/>
      <c r="U6782" s="191"/>
      <c r="V6782" s="191">
        <f>+Table1[[#This Row],[SUBTOTAL]]+Table1[[#This Row],[IVA]]-Table1[[#This Row],[RET IVA]]-Table1[[#This Row],[RET ISR]]</f>
        <v>165</v>
      </c>
      <c r="W6782"/>
      <c r="X6782" s="186"/>
      <c r="Y6782" s="187"/>
      <c r="Z6782" s="311" t="s">
        <v>214</v>
      </c>
      <c r="AB6782" t="str">
        <f>IF(Table1[[#This Row],[TIPO2]]="costo", VLOOKUP(Table1[[#This Row],[PARTIDA PRESUPUESTAL]],'Cost Report'!G:G,1,0),"Balance")</f>
        <v>3401-012</v>
      </c>
      <c r="AD6782" s="159">
        <f>+Table1[[#This Row],[SUBTOTAL]]+Table1[[#This Row],[IVA]]-Table1[[#This Row],[RET IVA]]-Table1[[#This Row],[RET ISR]]-Table1[[#This Row],[TOTAL]]</f>
        <v>0</v>
      </c>
      <c r="AK6782" s="306" t="str">
        <f>IF(ISNUMBER(Table1[[#This Row],[FECHA DE RECIBIDO]]), Table1[[#This Row],[FECHA DE RECIBIDO]]-DATE(2023,8,30), "")</f>
        <v/>
      </c>
    </row>
    <row r="6783" spans="1:37" ht="18" customHeight="1">
      <c r="A6783" s="172"/>
      <c r="B6783" s="178"/>
      <c r="C6783" s="179" t="s">
        <v>2760</v>
      </c>
      <c r="D6783">
        <v>4614</v>
      </c>
      <c r="E6783" s="125"/>
      <c r="F6783" s="178"/>
      <c r="G6783" s="178"/>
      <c r="H6783"/>
      <c r="I6783" s="178"/>
      <c r="J6783" s="320" t="s">
        <v>214</v>
      </c>
      <c r="K6783" s="178"/>
      <c r="L6783" s="125" t="s">
        <v>4863</v>
      </c>
      <c r="M6783">
        <v>107</v>
      </c>
      <c r="N6783" s="182"/>
      <c r="O6783">
        <v>232</v>
      </c>
      <c r="P6783" s="176" t="s">
        <v>77</v>
      </c>
      <c r="Q6783" s="176">
        <v>60</v>
      </c>
      <c r="R6783" s="176"/>
      <c r="S6783" s="176"/>
      <c r="T6783" s="190"/>
      <c r="U6783" s="191"/>
      <c r="V6783" s="191">
        <f>+Table1[[#This Row],[SUBTOTAL]]+Table1[[#This Row],[IVA]]-Table1[[#This Row],[RET IVA]]-Table1[[#This Row],[RET ISR]]</f>
        <v>60</v>
      </c>
      <c r="W6783"/>
      <c r="X6783" s="186"/>
      <c r="Y6783" s="187"/>
      <c r="Z6783" s="311" t="s">
        <v>214</v>
      </c>
      <c r="AB6783" t="str">
        <f>IF(Table1[[#This Row],[TIPO2]]="costo", VLOOKUP(Table1[[#This Row],[PARTIDA PRESUPUESTAL]],'Cost Report'!G:G,1,0),"Balance")</f>
        <v>3401-024</v>
      </c>
      <c r="AD6783" s="159">
        <f>+Table1[[#This Row],[SUBTOTAL]]+Table1[[#This Row],[IVA]]-Table1[[#This Row],[RET IVA]]-Table1[[#This Row],[RET ISR]]-Table1[[#This Row],[TOTAL]]</f>
        <v>0</v>
      </c>
      <c r="AK6783" s="306" t="str">
        <f>IF(ISNUMBER(Table1[[#This Row],[FECHA DE RECIBIDO]]), Table1[[#This Row],[FECHA DE RECIBIDO]]-DATE(2023,8,30), "")</f>
        <v/>
      </c>
    </row>
    <row r="6784" spans="1:37" ht="18" customHeight="1">
      <c r="A6784" s="172"/>
      <c r="B6784" s="178"/>
      <c r="C6784" s="179" t="s">
        <v>2760</v>
      </c>
      <c r="D6784">
        <v>4614</v>
      </c>
      <c r="E6784" s="125"/>
      <c r="F6784" s="178"/>
      <c r="G6784" s="178"/>
      <c r="H6784"/>
      <c r="I6784" s="178"/>
      <c r="J6784" s="320" t="s">
        <v>214</v>
      </c>
      <c r="K6784" s="178"/>
      <c r="L6784" s="125" t="s">
        <v>4863</v>
      </c>
      <c r="M6784">
        <v>107</v>
      </c>
      <c r="N6784" s="182"/>
      <c r="O6784">
        <v>233</v>
      </c>
      <c r="P6784" s="176" t="s">
        <v>77</v>
      </c>
      <c r="Q6784" s="176">
        <v>750</v>
      </c>
      <c r="R6784" s="176"/>
      <c r="S6784" s="176"/>
      <c r="T6784" s="190"/>
      <c r="U6784" s="191"/>
      <c r="V6784" s="191">
        <f>+Table1[[#This Row],[SUBTOTAL]]+Table1[[#This Row],[IVA]]-Table1[[#This Row],[RET IVA]]-Table1[[#This Row],[RET ISR]]</f>
        <v>750</v>
      </c>
      <c r="W6784"/>
      <c r="X6784" s="186"/>
      <c r="Y6784" s="187"/>
      <c r="Z6784" s="311" t="s">
        <v>214</v>
      </c>
      <c r="AB6784" t="str">
        <f>IF(Table1[[#This Row],[TIPO2]]="costo", VLOOKUP(Table1[[#This Row],[PARTIDA PRESUPUESTAL]],'Cost Report'!G:G,1,0),"Balance")</f>
        <v>3401-024</v>
      </c>
      <c r="AD6784" s="159">
        <f>+Table1[[#This Row],[SUBTOTAL]]+Table1[[#This Row],[IVA]]-Table1[[#This Row],[RET IVA]]-Table1[[#This Row],[RET ISR]]-Table1[[#This Row],[TOTAL]]</f>
        <v>0</v>
      </c>
      <c r="AK6784" s="306" t="str">
        <f>IF(ISNUMBER(Table1[[#This Row],[FECHA DE RECIBIDO]]), Table1[[#This Row],[FECHA DE RECIBIDO]]-DATE(2023,8,30), "")</f>
        <v/>
      </c>
    </row>
    <row r="6785" spans="1:37" ht="18" customHeight="1">
      <c r="A6785" s="172"/>
      <c r="B6785" s="178"/>
      <c r="C6785" s="179" t="s">
        <v>2750</v>
      </c>
      <c r="D6785">
        <v>4614</v>
      </c>
      <c r="E6785" s="125"/>
      <c r="F6785" s="178"/>
      <c r="G6785" s="178"/>
      <c r="H6785"/>
      <c r="I6785" s="178"/>
      <c r="J6785" s="320" t="s">
        <v>214</v>
      </c>
      <c r="K6785" s="178"/>
      <c r="L6785" s="125" t="s">
        <v>4863</v>
      </c>
      <c r="M6785">
        <v>108</v>
      </c>
      <c r="N6785" s="182"/>
      <c r="O6785">
        <v>231</v>
      </c>
      <c r="P6785" s="176" t="s">
        <v>77</v>
      </c>
      <c r="Q6785" s="176">
        <v>144</v>
      </c>
      <c r="R6785" s="176"/>
      <c r="S6785" s="176"/>
      <c r="T6785" s="190"/>
      <c r="U6785" s="191"/>
      <c r="V6785" s="191">
        <f>+Table1[[#This Row],[SUBTOTAL]]+Table1[[#This Row],[IVA]]-Table1[[#This Row],[RET IVA]]-Table1[[#This Row],[RET ISR]]</f>
        <v>144</v>
      </c>
      <c r="W6785"/>
      <c r="X6785" s="186"/>
      <c r="Y6785" s="187"/>
      <c r="Z6785" s="311" t="s">
        <v>214</v>
      </c>
      <c r="AB6785" t="str">
        <f>IF(Table1[[#This Row],[TIPO2]]="costo", VLOOKUP(Table1[[#This Row],[PARTIDA PRESUPUESTAL]],'Cost Report'!G:G,1,0),"Balance")</f>
        <v>3401-012</v>
      </c>
      <c r="AD6785" s="159">
        <f>+Table1[[#This Row],[SUBTOTAL]]+Table1[[#This Row],[IVA]]-Table1[[#This Row],[RET IVA]]-Table1[[#This Row],[RET ISR]]-Table1[[#This Row],[TOTAL]]</f>
        <v>0</v>
      </c>
      <c r="AK6785" s="306" t="str">
        <f>IF(ISNUMBER(Table1[[#This Row],[FECHA DE RECIBIDO]]), Table1[[#This Row],[FECHA DE RECIBIDO]]-DATE(2023,8,30), "")</f>
        <v/>
      </c>
    </row>
    <row r="6786" spans="1:37" ht="18" customHeight="1">
      <c r="A6786" s="172"/>
      <c r="B6786" s="178"/>
      <c r="C6786" s="179" t="s">
        <v>2750</v>
      </c>
      <c r="D6786">
        <v>4614</v>
      </c>
      <c r="E6786" s="125"/>
      <c r="F6786" s="178"/>
      <c r="G6786" s="178"/>
      <c r="H6786"/>
      <c r="I6786" s="178"/>
      <c r="J6786" s="320" t="s">
        <v>214</v>
      </c>
      <c r="K6786" s="178"/>
      <c r="L6786" s="125" t="s">
        <v>4863</v>
      </c>
      <c r="M6786">
        <v>109</v>
      </c>
      <c r="N6786" s="182"/>
      <c r="O6786">
        <v>234</v>
      </c>
      <c r="P6786" s="176" t="s">
        <v>77</v>
      </c>
      <c r="Q6786" s="176">
        <v>84.6</v>
      </c>
      <c r="R6786" s="176"/>
      <c r="S6786" s="176"/>
      <c r="T6786" s="190"/>
      <c r="U6786" s="191"/>
      <c r="V6786" s="191">
        <f>+Table1[[#This Row],[SUBTOTAL]]+Table1[[#This Row],[IVA]]-Table1[[#This Row],[RET IVA]]-Table1[[#This Row],[RET ISR]]</f>
        <v>84.6</v>
      </c>
      <c r="W6786"/>
      <c r="X6786" s="186"/>
      <c r="Y6786" s="187"/>
      <c r="Z6786" s="311" t="s">
        <v>214</v>
      </c>
      <c r="AB6786" t="str">
        <f>IF(Table1[[#This Row],[TIPO2]]="costo", VLOOKUP(Table1[[#This Row],[PARTIDA PRESUPUESTAL]],'Cost Report'!G:G,1,0),"Balance")</f>
        <v>3401-012</v>
      </c>
      <c r="AD6786" s="159">
        <f>+Table1[[#This Row],[SUBTOTAL]]+Table1[[#This Row],[IVA]]-Table1[[#This Row],[RET IVA]]-Table1[[#This Row],[RET ISR]]-Table1[[#This Row],[TOTAL]]</f>
        <v>0</v>
      </c>
      <c r="AK6786" s="306" t="str">
        <f>IF(ISNUMBER(Table1[[#This Row],[FECHA DE RECIBIDO]]), Table1[[#This Row],[FECHA DE RECIBIDO]]-DATE(2023,8,30), "")</f>
        <v/>
      </c>
    </row>
    <row r="6787" spans="1:37" ht="18" customHeight="1">
      <c r="A6787" s="172"/>
      <c r="B6787" s="178"/>
      <c r="C6787" s="179" t="s">
        <v>2750</v>
      </c>
      <c r="D6787">
        <v>4614</v>
      </c>
      <c r="E6787" s="125"/>
      <c r="F6787" s="178"/>
      <c r="G6787" s="178"/>
      <c r="H6787"/>
      <c r="I6787" s="178"/>
      <c r="J6787" s="320" t="s">
        <v>214</v>
      </c>
      <c r="K6787" s="178"/>
      <c r="L6787" s="125" t="s">
        <v>4863</v>
      </c>
      <c r="M6787">
        <v>109</v>
      </c>
      <c r="N6787" s="182"/>
      <c r="O6787">
        <v>234</v>
      </c>
      <c r="P6787" s="176" t="s">
        <v>77</v>
      </c>
      <c r="Q6787" s="176">
        <v>56.475000000000001</v>
      </c>
      <c r="R6787" s="176"/>
      <c r="S6787" s="176"/>
      <c r="T6787" s="190"/>
      <c r="U6787" s="191"/>
      <c r="V6787" s="191">
        <f>+Table1[[#This Row],[SUBTOTAL]]+Table1[[#This Row],[IVA]]-Table1[[#This Row],[RET IVA]]-Table1[[#This Row],[RET ISR]]</f>
        <v>56.475000000000001</v>
      </c>
      <c r="W6787"/>
      <c r="X6787" s="186"/>
      <c r="Y6787" s="187"/>
      <c r="Z6787" s="311" t="s">
        <v>214</v>
      </c>
      <c r="AB6787" t="str">
        <f>IF(Table1[[#This Row],[TIPO2]]="costo", VLOOKUP(Table1[[#This Row],[PARTIDA PRESUPUESTAL]],'Cost Report'!G:G,1,0),"Balance")</f>
        <v>3401-012</v>
      </c>
      <c r="AD6787" s="159">
        <f>+Table1[[#This Row],[SUBTOTAL]]+Table1[[#This Row],[IVA]]-Table1[[#This Row],[RET IVA]]-Table1[[#This Row],[RET ISR]]-Table1[[#This Row],[TOTAL]]</f>
        <v>0</v>
      </c>
      <c r="AK6787" s="306" t="str">
        <f>IF(ISNUMBER(Table1[[#This Row],[FECHA DE RECIBIDO]]), Table1[[#This Row],[FECHA DE RECIBIDO]]-DATE(2023,8,30), "")</f>
        <v/>
      </c>
    </row>
    <row r="6788" spans="1:37" ht="18" customHeight="1">
      <c r="A6788" s="172"/>
      <c r="B6788" s="178"/>
      <c r="C6788" s="179" t="s">
        <v>2750</v>
      </c>
      <c r="D6788">
        <v>4614</v>
      </c>
      <c r="E6788" s="125"/>
      <c r="F6788" s="178"/>
      <c r="G6788" s="178"/>
      <c r="H6788"/>
      <c r="I6788" s="178"/>
      <c r="J6788" s="320" t="s">
        <v>214</v>
      </c>
      <c r="K6788" s="178"/>
      <c r="L6788" s="125" t="s">
        <v>4863</v>
      </c>
      <c r="M6788">
        <v>109</v>
      </c>
      <c r="N6788" s="182"/>
      <c r="O6788">
        <v>234</v>
      </c>
      <c r="P6788" s="176" t="s">
        <v>77</v>
      </c>
      <c r="Q6788" s="176">
        <v>86.174999999999997</v>
      </c>
      <c r="R6788" s="176"/>
      <c r="S6788" s="176"/>
      <c r="T6788" s="190"/>
      <c r="U6788" s="191"/>
      <c r="V6788" s="191">
        <f>+Table1[[#This Row],[SUBTOTAL]]+Table1[[#This Row],[IVA]]-Table1[[#This Row],[RET IVA]]-Table1[[#This Row],[RET ISR]]</f>
        <v>86.174999999999997</v>
      </c>
      <c r="W6788"/>
      <c r="X6788" s="186"/>
      <c r="Y6788" s="187"/>
      <c r="Z6788" s="311" t="s">
        <v>214</v>
      </c>
      <c r="AB6788" t="str">
        <f>IF(Table1[[#This Row],[TIPO2]]="costo", VLOOKUP(Table1[[#This Row],[PARTIDA PRESUPUESTAL]],'Cost Report'!G:G,1,0),"Balance")</f>
        <v>3401-012</v>
      </c>
      <c r="AD6788" s="159">
        <f>+Table1[[#This Row],[SUBTOTAL]]+Table1[[#This Row],[IVA]]-Table1[[#This Row],[RET IVA]]-Table1[[#This Row],[RET ISR]]-Table1[[#This Row],[TOTAL]]</f>
        <v>0</v>
      </c>
      <c r="AK6788" s="306" t="str">
        <f>IF(ISNUMBER(Table1[[#This Row],[FECHA DE RECIBIDO]]), Table1[[#This Row],[FECHA DE RECIBIDO]]-DATE(2023,8,30), "")</f>
        <v/>
      </c>
    </row>
    <row r="6789" spans="1:37" ht="18" customHeight="1">
      <c r="A6789" s="172"/>
      <c r="B6789" s="178"/>
      <c r="C6789" s="179" t="s">
        <v>2752</v>
      </c>
      <c r="D6789">
        <v>4614</v>
      </c>
      <c r="E6789" s="125"/>
      <c r="F6789" s="178"/>
      <c r="G6789" s="178"/>
      <c r="H6789"/>
      <c r="I6789" s="178"/>
      <c r="J6789" s="320" t="s">
        <v>214</v>
      </c>
      <c r="K6789" s="178"/>
      <c r="L6789" s="125" t="s">
        <v>4863</v>
      </c>
      <c r="M6789">
        <v>22</v>
      </c>
      <c r="N6789" s="182"/>
      <c r="O6789">
        <v>230</v>
      </c>
      <c r="P6789" s="176" t="s">
        <v>77</v>
      </c>
      <c r="Q6789" s="176">
        <v>90</v>
      </c>
      <c r="R6789" s="176"/>
      <c r="S6789" s="176"/>
      <c r="T6789" s="190"/>
      <c r="U6789" s="191"/>
      <c r="V6789" s="191">
        <f>+Table1[[#This Row],[SUBTOTAL]]+Table1[[#This Row],[IVA]]-Table1[[#This Row],[RET IVA]]-Table1[[#This Row],[RET ISR]]</f>
        <v>90</v>
      </c>
      <c r="W6789"/>
      <c r="X6789" s="186"/>
      <c r="Y6789" s="187"/>
      <c r="Z6789" s="311" t="s">
        <v>214</v>
      </c>
      <c r="AB6789" t="str">
        <f>IF(Table1[[#This Row],[TIPO2]]="costo", VLOOKUP(Table1[[#This Row],[PARTIDA PRESUPUESTAL]],'Cost Report'!G:G,1,0),"Balance")</f>
        <v>3401-014</v>
      </c>
      <c r="AD6789" s="159">
        <f>+Table1[[#This Row],[SUBTOTAL]]+Table1[[#This Row],[IVA]]-Table1[[#This Row],[RET IVA]]-Table1[[#This Row],[RET ISR]]-Table1[[#This Row],[TOTAL]]</f>
        <v>0</v>
      </c>
      <c r="AK6789" s="306" t="str">
        <f>IF(ISNUMBER(Table1[[#This Row],[FECHA DE RECIBIDO]]), Table1[[#This Row],[FECHA DE RECIBIDO]]-DATE(2023,8,30), "")</f>
        <v/>
      </c>
    </row>
    <row r="6790" spans="1:37" ht="18" customHeight="1">
      <c r="A6790" s="172"/>
      <c r="B6790" s="178"/>
      <c r="C6790" s="179" t="s">
        <v>2750</v>
      </c>
      <c r="D6790">
        <v>4614</v>
      </c>
      <c r="E6790" s="125"/>
      <c r="F6790" s="178"/>
      <c r="G6790" s="178"/>
      <c r="H6790"/>
      <c r="I6790" s="178"/>
      <c r="J6790" s="320" t="s">
        <v>214</v>
      </c>
      <c r="K6790" s="178"/>
      <c r="L6790" s="125" t="s">
        <v>4863</v>
      </c>
      <c r="M6790">
        <v>106</v>
      </c>
      <c r="N6790" s="182"/>
      <c r="O6790">
        <v>231</v>
      </c>
      <c r="P6790" s="176" t="s">
        <v>77</v>
      </c>
      <c r="Q6790" s="176">
        <v>165</v>
      </c>
      <c r="R6790" s="176"/>
      <c r="S6790" s="176"/>
      <c r="T6790" s="190"/>
      <c r="U6790" s="191"/>
      <c r="V6790" s="191">
        <f>+Table1[[#This Row],[SUBTOTAL]]+Table1[[#This Row],[IVA]]-Table1[[#This Row],[RET IVA]]-Table1[[#This Row],[RET ISR]]</f>
        <v>165</v>
      </c>
      <c r="W6790"/>
      <c r="X6790" s="186"/>
      <c r="Y6790" s="187"/>
      <c r="Z6790" s="311" t="s">
        <v>214</v>
      </c>
      <c r="AB6790" t="str">
        <f>IF(Table1[[#This Row],[TIPO2]]="costo", VLOOKUP(Table1[[#This Row],[PARTIDA PRESUPUESTAL]],'Cost Report'!G:G,1,0),"Balance")</f>
        <v>3401-012</v>
      </c>
      <c r="AD6790" s="159">
        <f>+Table1[[#This Row],[SUBTOTAL]]+Table1[[#This Row],[IVA]]-Table1[[#This Row],[RET IVA]]-Table1[[#This Row],[RET ISR]]-Table1[[#This Row],[TOTAL]]</f>
        <v>0</v>
      </c>
      <c r="AK6790" s="306" t="str">
        <f>IF(ISNUMBER(Table1[[#This Row],[FECHA DE RECIBIDO]]), Table1[[#This Row],[FECHA DE RECIBIDO]]-DATE(2023,8,30), "")</f>
        <v/>
      </c>
    </row>
    <row r="6791" spans="1:37" ht="18" customHeight="1">
      <c r="A6791" s="172"/>
      <c r="B6791" s="178"/>
      <c r="C6791" s="179" t="s">
        <v>2760</v>
      </c>
      <c r="D6791">
        <v>4614</v>
      </c>
      <c r="E6791" s="125"/>
      <c r="F6791" s="178"/>
      <c r="G6791" s="178"/>
      <c r="H6791"/>
      <c r="I6791" s="178"/>
      <c r="J6791" s="320" t="s">
        <v>214</v>
      </c>
      <c r="K6791" s="178"/>
      <c r="L6791" s="125" t="s">
        <v>4863</v>
      </c>
      <c r="M6791">
        <v>107</v>
      </c>
      <c r="N6791" s="182"/>
      <c r="O6791">
        <v>232</v>
      </c>
      <c r="P6791" s="176" t="s">
        <v>77</v>
      </c>
      <c r="Q6791" s="176">
        <v>60</v>
      </c>
      <c r="R6791" s="176"/>
      <c r="S6791" s="176"/>
      <c r="T6791" s="190"/>
      <c r="U6791" s="191"/>
      <c r="V6791" s="191">
        <f>+Table1[[#This Row],[SUBTOTAL]]+Table1[[#This Row],[IVA]]-Table1[[#This Row],[RET IVA]]-Table1[[#This Row],[RET ISR]]</f>
        <v>60</v>
      </c>
      <c r="W6791"/>
      <c r="X6791" s="186"/>
      <c r="Y6791" s="187"/>
      <c r="Z6791" s="311" t="s">
        <v>214</v>
      </c>
      <c r="AB6791" t="str">
        <f>IF(Table1[[#This Row],[TIPO2]]="costo", VLOOKUP(Table1[[#This Row],[PARTIDA PRESUPUESTAL]],'Cost Report'!G:G,1,0),"Balance")</f>
        <v>3401-024</v>
      </c>
      <c r="AD6791" s="159">
        <f>+Table1[[#This Row],[SUBTOTAL]]+Table1[[#This Row],[IVA]]-Table1[[#This Row],[RET IVA]]-Table1[[#This Row],[RET ISR]]-Table1[[#This Row],[TOTAL]]</f>
        <v>0</v>
      </c>
      <c r="AK6791" s="306" t="str">
        <f>IF(ISNUMBER(Table1[[#This Row],[FECHA DE RECIBIDO]]), Table1[[#This Row],[FECHA DE RECIBIDO]]-DATE(2023,8,30), "")</f>
        <v/>
      </c>
    </row>
    <row r="6792" spans="1:37" ht="18" customHeight="1">
      <c r="A6792" s="172"/>
      <c r="B6792" s="178"/>
      <c r="C6792" s="179" t="s">
        <v>2760</v>
      </c>
      <c r="D6792">
        <v>4614</v>
      </c>
      <c r="E6792" s="125"/>
      <c r="F6792" s="178"/>
      <c r="G6792" s="178"/>
      <c r="H6792"/>
      <c r="I6792" s="178"/>
      <c r="J6792" s="320" t="s">
        <v>214</v>
      </c>
      <c r="K6792" s="178"/>
      <c r="L6792" s="125" t="s">
        <v>4863</v>
      </c>
      <c r="M6792">
        <v>107</v>
      </c>
      <c r="N6792" s="182"/>
      <c r="O6792">
        <v>233</v>
      </c>
      <c r="P6792" s="176" t="s">
        <v>77</v>
      </c>
      <c r="Q6792" s="176">
        <v>750</v>
      </c>
      <c r="R6792" s="176"/>
      <c r="S6792" s="176"/>
      <c r="T6792" s="190"/>
      <c r="U6792" s="191"/>
      <c r="V6792" s="191">
        <f>+Table1[[#This Row],[SUBTOTAL]]+Table1[[#This Row],[IVA]]-Table1[[#This Row],[RET IVA]]-Table1[[#This Row],[RET ISR]]</f>
        <v>750</v>
      </c>
      <c r="W6792"/>
      <c r="X6792" s="186"/>
      <c r="Y6792" s="187"/>
      <c r="Z6792" s="311" t="s">
        <v>214</v>
      </c>
      <c r="AB6792" t="str">
        <f>IF(Table1[[#This Row],[TIPO2]]="costo", VLOOKUP(Table1[[#This Row],[PARTIDA PRESUPUESTAL]],'Cost Report'!G:G,1,0),"Balance")</f>
        <v>3401-024</v>
      </c>
      <c r="AD6792" s="159">
        <f>+Table1[[#This Row],[SUBTOTAL]]+Table1[[#This Row],[IVA]]-Table1[[#This Row],[RET IVA]]-Table1[[#This Row],[RET ISR]]-Table1[[#This Row],[TOTAL]]</f>
        <v>0</v>
      </c>
      <c r="AK6792" s="306" t="str">
        <f>IF(ISNUMBER(Table1[[#This Row],[FECHA DE RECIBIDO]]), Table1[[#This Row],[FECHA DE RECIBIDO]]-DATE(2023,8,30), "")</f>
        <v/>
      </c>
    </row>
    <row r="6793" spans="1:37" ht="18" customHeight="1">
      <c r="A6793" s="172"/>
      <c r="B6793" s="178"/>
      <c r="C6793" s="179" t="s">
        <v>2750</v>
      </c>
      <c r="D6793">
        <v>4614</v>
      </c>
      <c r="E6793" s="125"/>
      <c r="F6793" s="178"/>
      <c r="G6793" s="178"/>
      <c r="H6793"/>
      <c r="I6793" s="178"/>
      <c r="J6793" s="320" t="s">
        <v>214</v>
      </c>
      <c r="K6793" s="178"/>
      <c r="L6793" s="125" t="s">
        <v>4863</v>
      </c>
      <c r="M6793">
        <v>108</v>
      </c>
      <c r="N6793" s="182"/>
      <c r="O6793">
        <v>231</v>
      </c>
      <c r="P6793" s="176" t="s">
        <v>77</v>
      </c>
      <c r="Q6793" s="176">
        <v>144</v>
      </c>
      <c r="R6793" s="176"/>
      <c r="S6793" s="176"/>
      <c r="T6793" s="190"/>
      <c r="U6793" s="191"/>
      <c r="V6793" s="191">
        <f>+Table1[[#This Row],[SUBTOTAL]]+Table1[[#This Row],[IVA]]-Table1[[#This Row],[RET IVA]]-Table1[[#This Row],[RET ISR]]</f>
        <v>144</v>
      </c>
      <c r="W6793"/>
      <c r="X6793" s="186"/>
      <c r="Y6793" s="187"/>
      <c r="Z6793" s="311" t="s">
        <v>214</v>
      </c>
      <c r="AB6793" t="str">
        <f>IF(Table1[[#This Row],[TIPO2]]="costo", VLOOKUP(Table1[[#This Row],[PARTIDA PRESUPUESTAL]],'Cost Report'!G:G,1,0),"Balance")</f>
        <v>3401-012</v>
      </c>
      <c r="AD6793" s="159">
        <f>+Table1[[#This Row],[SUBTOTAL]]+Table1[[#This Row],[IVA]]-Table1[[#This Row],[RET IVA]]-Table1[[#This Row],[RET ISR]]-Table1[[#This Row],[TOTAL]]</f>
        <v>0</v>
      </c>
      <c r="AK6793" s="306" t="str">
        <f>IF(ISNUMBER(Table1[[#This Row],[FECHA DE RECIBIDO]]), Table1[[#This Row],[FECHA DE RECIBIDO]]-DATE(2023,8,30), "")</f>
        <v/>
      </c>
    </row>
    <row r="6794" spans="1:37" ht="18" customHeight="1">
      <c r="A6794" s="172"/>
      <c r="B6794" s="178"/>
      <c r="C6794" s="179" t="s">
        <v>2750</v>
      </c>
      <c r="D6794">
        <v>4614</v>
      </c>
      <c r="E6794" s="125"/>
      <c r="F6794" s="178"/>
      <c r="G6794" s="178"/>
      <c r="H6794"/>
      <c r="I6794" s="178"/>
      <c r="J6794" s="320" t="s">
        <v>214</v>
      </c>
      <c r="K6794" s="178"/>
      <c r="L6794" s="125" t="s">
        <v>4863</v>
      </c>
      <c r="M6794">
        <v>109</v>
      </c>
      <c r="N6794" s="182"/>
      <c r="O6794">
        <v>234</v>
      </c>
      <c r="P6794" s="176" t="s">
        <v>77</v>
      </c>
      <c r="Q6794" s="176">
        <v>84.6</v>
      </c>
      <c r="R6794" s="176"/>
      <c r="S6794" s="176"/>
      <c r="T6794" s="190"/>
      <c r="U6794" s="191"/>
      <c r="V6794" s="191">
        <f>+Table1[[#This Row],[SUBTOTAL]]+Table1[[#This Row],[IVA]]-Table1[[#This Row],[RET IVA]]-Table1[[#This Row],[RET ISR]]</f>
        <v>84.6</v>
      </c>
      <c r="W6794"/>
      <c r="X6794" s="186"/>
      <c r="Y6794" s="187"/>
      <c r="Z6794" s="311" t="s">
        <v>214</v>
      </c>
      <c r="AB6794" t="str">
        <f>IF(Table1[[#This Row],[TIPO2]]="costo", VLOOKUP(Table1[[#This Row],[PARTIDA PRESUPUESTAL]],'Cost Report'!G:G,1,0),"Balance")</f>
        <v>3401-012</v>
      </c>
      <c r="AD6794" s="159">
        <f>+Table1[[#This Row],[SUBTOTAL]]+Table1[[#This Row],[IVA]]-Table1[[#This Row],[RET IVA]]-Table1[[#This Row],[RET ISR]]-Table1[[#This Row],[TOTAL]]</f>
        <v>0</v>
      </c>
      <c r="AK6794" s="306" t="str">
        <f>IF(ISNUMBER(Table1[[#This Row],[FECHA DE RECIBIDO]]), Table1[[#This Row],[FECHA DE RECIBIDO]]-DATE(2023,8,30), "")</f>
        <v/>
      </c>
    </row>
    <row r="6795" spans="1:37" ht="18" customHeight="1">
      <c r="A6795" s="172"/>
      <c r="B6795" s="178"/>
      <c r="C6795" s="179" t="s">
        <v>2750</v>
      </c>
      <c r="D6795">
        <v>4614</v>
      </c>
      <c r="E6795" s="125"/>
      <c r="F6795" s="178"/>
      <c r="G6795" s="178"/>
      <c r="H6795"/>
      <c r="I6795" s="178"/>
      <c r="J6795" s="320" t="s">
        <v>214</v>
      </c>
      <c r="K6795" s="178"/>
      <c r="L6795" s="125" t="s">
        <v>4863</v>
      </c>
      <c r="M6795">
        <v>109</v>
      </c>
      <c r="N6795" s="182"/>
      <c r="O6795">
        <v>234</v>
      </c>
      <c r="P6795" s="176" t="s">
        <v>77</v>
      </c>
      <c r="Q6795" s="176">
        <v>56.475000000000001</v>
      </c>
      <c r="R6795" s="176"/>
      <c r="S6795" s="176"/>
      <c r="T6795" s="190"/>
      <c r="U6795" s="191"/>
      <c r="V6795" s="191">
        <f>+Table1[[#This Row],[SUBTOTAL]]+Table1[[#This Row],[IVA]]-Table1[[#This Row],[RET IVA]]-Table1[[#This Row],[RET ISR]]</f>
        <v>56.475000000000001</v>
      </c>
      <c r="W6795"/>
      <c r="X6795" s="186"/>
      <c r="Y6795" s="187"/>
      <c r="Z6795" s="311" t="s">
        <v>214</v>
      </c>
      <c r="AB6795" t="str">
        <f>IF(Table1[[#This Row],[TIPO2]]="costo", VLOOKUP(Table1[[#This Row],[PARTIDA PRESUPUESTAL]],'Cost Report'!G:G,1,0),"Balance")</f>
        <v>3401-012</v>
      </c>
      <c r="AD6795" s="159">
        <f>+Table1[[#This Row],[SUBTOTAL]]+Table1[[#This Row],[IVA]]-Table1[[#This Row],[RET IVA]]-Table1[[#This Row],[RET ISR]]-Table1[[#This Row],[TOTAL]]</f>
        <v>0</v>
      </c>
      <c r="AK6795" s="306" t="str">
        <f>IF(ISNUMBER(Table1[[#This Row],[FECHA DE RECIBIDO]]), Table1[[#This Row],[FECHA DE RECIBIDO]]-DATE(2023,8,30), "")</f>
        <v/>
      </c>
    </row>
    <row r="6796" spans="1:37" ht="18" customHeight="1">
      <c r="A6796" s="172"/>
      <c r="B6796" s="178"/>
      <c r="C6796" s="179" t="s">
        <v>2750</v>
      </c>
      <c r="D6796">
        <v>4614</v>
      </c>
      <c r="E6796" s="125"/>
      <c r="F6796" s="178"/>
      <c r="G6796" s="178"/>
      <c r="H6796"/>
      <c r="I6796" s="178"/>
      <c r="J6796" s="320" t="s">
        <v>214</v>
      </c>
      <c r="K6796" s="178"/>
      <c r="L6796" s="125" t="s">
        <v>4863</v>
      </c>
      <c r="M6796">
        <v>109</v>
      </c>
      <c r="N6796" s="182"/>
      <c r="O6796">
        <v>234</v>
      </c>
      <c r="P6796" s="176" t="s">
        <v>77</v>
      </c>
      <c r="Q6796" s="176">
        <v>86.174999999999997</v>
      </c>
      <c r="R6796" s="176"/>
      <c r="S6796" s="176"/>
      <c r="T6796" s="190"/>
      <c r="U6796" s="191"/>
      <c r="V6796" s="191">
        <f>+Table1[[#This Row],[SUBTOTAL]]+Table1[[#This Row],[IVA]]-Table1[[#This Row],[RET IVA]]-Table1[[#This Row],[RET ISR]]</f>
        <v>86.174999999999997</v>
      </c>
      <c r="W6796"/>
      <c r="X6796" s="186"/>
      <c r="Y6796" s="187"/>
      <c r="Z6796" s="311" t="s">
        <v>214</v>
      </c>
      <c r="AB6796" t="str">
        <f>IF(Table1[[#This Row],[TIPO2]]="costo", VLOOKUP(Table1[[#This Row],[PARTIDA PRESUPUESTAL]],'Cost Report'!G:G,1,0),"Balance")</f>
        <v>3401-012</v>
      </c>
      <c r="AD6796" s="159">
        <f>+Table1[[#This Row],[SUBTOTAL]]+Table1[[#This Row],[IVA]]-Table1[[#This Row],[RET IVA]]-Table1[[#This Row],[RET ISR]]-Table1[[#This Row],[TOTAL]]</f>
        <v>0</v>
      </c>
      <c r="AK6796" s="306" t="str">
        <f>IF(ISNUMBER(Table1[[#This Row],[FECHA DE RECIBIDO]]), Table1[[#This Row],[FECHA DE RECIBIDO]]-DATE(2023,8,30), "")</f>
        <v/>
      </c>
    </row>
    <row r="6797" spans="1:37" ht="18" customHeight="1">
      <c r="A6797" s="172"/>
      <c r="B6797" s="178"/>
      <c r="C6797" s="179" t="s">
        <v>615</v>
      </c>
      <c r="D6797">
        <v>4614</v>
      </c>
      <c r="E6797" s="125"/>
      <c r="F6797" s="178"/>
      <c r="G6797" s="178"/>
      <c r="H6797"/>
      <c r="I6797" s="178"/>
      <c r="J6797" s="320" t="s">
        <v>214</v>
      </c>
      <c r="K6797" s="178"/>
      <c r="L6797" s="125" t="s">
        <v>4863</v>
      </c>
      <c r="M6797">
        <v>112</v>
      </c>
      <c r="N6797" s="182"/>
      <c r="O6797">
        <v>238</v>
      </c>
      <c r="P6797" s="176" t="s">
        <v>77</v>
      </c>
      <c r="Q6797" s="176">
        <v>325.37999999999994</v>
      </c>
      <c r="R6797" s="176"/>
      <c r="S6797" s="176"/>
      <c r="T6797" s="190"/>
      <c r="U6797" s="191"/>
      <c r="V6797" s="191">
        <f>+Table1[[#This Row],[SUBTOTAL]]+Table1[[#This Row],[IVA]]-Table1[[#This Row],[RET IVA]]-Table1[[#This Row],[RET ISR]]</f>
        <v>325.37999999999994</v>
      </c>
      <c r="W6797"/>
      <c r="X6797" s="186"/>
      <c r="Y6797" s="187"/>
      <c r="Z6797" s="311" t="s">
        <v>214</v>
      </c>
      <c r="AB6797" t="str">
        <f>IF(Table1[[#This Row],[TIPO2]]="costo", VLOOKUP(Table1[[#This Row],[PARTIDA PRESUPUESTAL]],'Cost Report'!G:G,1,0),"Balance")</f>
        <v>2495-003</v>
      </c>
      <c r="AD6797" s="159">
        <f>+Table1[[#This Row],[SUBTOTAL]]+Table1[[#This Row],[IVA]]-Table1[[#This Row],[RET IVA]]-Table1[[#This Row],[RET ISR]]-Table1[[#This Row],[TOTAL]]</f>
        <v>0</v>
      </c>
      <c r="AK6797" s="306" t="str">
        <f>IF(ISNUMBER(Table1[[#This Row],[FECHA DE RECIBIDO]]), Table1[[#This Row],[FECHA DE RECIBIDO]]-DATE(2023,8,30), "")</f>
        <v/>
      </c>
    </row>
    <row r="6798" spans="1:37" ht="18" customHeight="1">
      <c r="A6798" s="172"/>
      <c r="B6798" s="178"/>
      <c r="C6798" s="179" t="s">
        <v>2760</v>
      </c>
      <c r="D6798">
        <v>4614</v>
      </c>
      <c r="E6798" s="125"/>
      <c r="F6798" s="178"/>
      <c r="G6798" s="178"/>
      <c r="H6798"/>
      <c r="I6798" s="178"/>
      <c r="J6798" s="320" t="s">
        <v>214</v>
      </c>
      <c r="K6798" s="178"/>
      <c r="L6798" s="125" t="s">
        <v>4863</v>
      </c>
      <c r="M6798">
        <v>107</v>
      </c>
      <c r="N6798" s="182"/>
      <c r="O6798">
        <v>239</v>
      </c>
      <c r="P6798" s="176" t="s">
        <v>77</v>
      </c>
      <c r="Q6798" s="176">
        <v>780</v>
      </c>
      <c r="R6798" s="176"/>
      <c r="S6798" s="176"/>
      <c r="T6798" s="190"/>
      <c r="U6798" s="191"/>
      <c r="V6798" s="191">
        <f>+Table1[[#This Row],[SUBTOTAL]]+Table1[[#This Row],[IVA]]-Table1[[#This Row],[RET IVA]]-Table1[[#This Row],[RET ISR]]</f>
        <v>780</v>
      </c>
      <c r="W6798"/>
      <c r="X6798" s="186"/>
      <c r="Y6798" s="187"/>
      <c r="Z6798" s="311" t="s">
        <v>214</v>
      </c>
      <c r="AB6798" t="str">
        <f>IF(Table1[[#This Row],[TIPO2]]="costo", VLOOKUP(Table1[[#This Row],[PARTIDA PRESUPUESTAL]],'Cost Report'!G:G,1,0),"Balance")</f>
        <v>3401-024</v>
      </c>
      <c r="AD6798" s="159">
        <f>+Table1[[#This Row],[SUBTOTAL]]+Table1[[#This Row],[IVA]]-Table1[[#This Row],[RET IVA]]-Table1[[#This Row],[RET ISR]]-Table1[[#This Row],[TOTAL]]</f>
        <v>0</v>
      </c>
      <c r="AK6798" s="306" t="str">
        <f>IF(ISNUMBER(Table1[[#This Row],[FECHA DE RECIBIDO]]), Table1[[#This Row],[FECHA DE RECIBIDO]]-DATE(2023,8,30), "")</f>
        <v/>
      </c>
    </row>
    <row r="6799" spans="1:37" ht="18" customHeight="1">
      <c r="A6799" s="172"/>
      <c r="B6799" s="178"/>
      <c r="C6799" s="179" t="s">
        <v>2323</v>
      </c>
      <c r="D6799">
        <v>4614</v>
      </c>
      <c r="E6799" s="125"/>
      <c r="F6799" s="178"/>
      <c r="G6799" s="178"/>
      <c r="H6799"/>
      <c r="I6799" s="178"/>
      <c r="J6799" s="320" t="s">
        <v>214</v>
      </c>
      <c r="K6799" s="178"/>
      <c r="L6799" s="125" t="s">
        <v>4863</v>
      </c>
      <c r="M6799">
        <v>176</v>
      </c>
      <c r="N6799" s="182"/>
      <c r="O6799">
        <v>401</v>
      </c>
      <c r="P6799" s="176" t="s">
        <v>77</v>
      </c>
      <c r="Q6799" s="176">
        <v>6.8999999999999995</v>
      </c>
      <c r="R6799" s="176"/>
      <c r="S6799" s="176"/>
      <c r="T6799" s="190"/>
      <c r="U6799" s="191"/>
      <c r="V6799" s="191">
        <f>+Table1[[#This Row],[SUBTOTAL]]+Table1[[#This Row],[IVA]]-Table1[[#This Row],[RET IVA]]-Table1[[#This Row],[RET ISR]]</f>
        <v>6.8999999999999995</v>
      </c>
      <c r="W6799"/>
      <c r="X6799" s="186"/>
      <c r="Y6799" s="187"/>
      <c r="Z6799" s="311" t="s">
        <v>214</v>
      </c>
      <c r="AB6799" t="str">
        <f>IF(Table1[[#This Row],[TIPO2]]="costo", VLOOKUP(Table1[[#This Row],[PARTIDA PRESUPUESTAL]],'Cost Report'!G:G,1,0),"Balance")</f>
        <v>1426-008</v>
      </c>
      <c r="AD6799" s="159">
        <f>+Table1[[#This Row],[SUBTOTAL]]+Table1[[#This Row],[IVA]]-Table1[[#This Row],[RET IVA]]-Table1[[#This Row],[RET ISR]]-Table1[[#This Row],[TOTAL]]</f>
        <v>0</v>
      </c>
      <c r="AK6799" s="306" t="str">
        <f>IF(ISNUMBER(Table1[[#This Row],[FECHA DE RECIBIDO]]), Table1[[#This Row],[FECHA DE RECIBIDO]]-DATE(2023,8,30), "")</f>
        <v/>
      </c>
    </row>
    <row r="6800" spans="1:37" ht="18" customHeight="1">
      <c r="A6800" s="172"/>
      <c r="B6800" s="178"/>
      <c r="C6800" s="179" t="s">
        <v>2323</v>
      </c>
      <c r="D6800">
        <v>4614</v>
      </c>
      <c r="E6800" s="125"/>
      <c r="F6800" s="178"/>
      <c r="G6800" s="178"/>
      <c r="H6800"/>
      <c r="I6800" s="178"/>
      <c r="J6800" s="320" t="s">
        <v>214</v>
      </c>
      <c r="K6800" s="178"/>
      <c r="L6800" s="125" t="s">
        <v>4863</v>
      </c>
      <c r="M6800">
        <v>177</v>
      </c>
      <c r="N6800" s="182"/>
      <c r="O6800">
        <v>401</v>
      </c>
      <c r="P6800" s="176" t="s">
        <v>77</v>
      </c>
      <c r="Q6800" s="176">
        <v>36.6</v>
      </c>
      <c r="R6800" s="176"/>
      <c r="S6800" s="176"/>
      <c r="T6800" s="190"/>
      <c r="U6800" s="191"/>
      <c r="V6800" s="191">
        <f>+Table1[[#This Row],[SUBTOTAL]]+Table1[[#This Row],[IVA]]-Table1[[#This Row],[RET IVA]]-Table1[[#This Row],[RET ISR]]</f>
        <v>36.6</v>
      </c>
      <c r="W6800"/>
      <c r="X6800" s="186"/>
      <c r="Y6800" s="187"/>
      <c r="Z6800" s="311" t="s">
        <v>214</v>
      </c>
      <c r="AB6800" t="str">
        <f>IF(Table1[[#This Row],[TIPO2]]="costo", VLOOKUP(Table1[[#This Row],[PARTIDA PRESUPUESTAL]],'Cost Report'!G:G,1,0),"Balance")</f>
        <v>1426-008</v>
      </c>
      <c r="AD6800" s="159">
        <f>+Table1[[#This Row],[SUBTOTAL]]+Table1[[#This Row],[IVA]]-Table1[[#This Row],[RET IVA]]-Table1[[#This Row],[RET ISR]]-Table1[[#This Row],[TOTAL]]</f>
        <v>0</v>
      </c>
      <c r="AK6800" s="306" t="str">
        <f>IF(ISNUMBER(Table1[[#This Row],[FECHA DE RECIBIDO]]), Table1[[#This Row],[FECHA DE RECIBIDO]]-DATE(2023,8,30), "")</f>
        <v/>
      </c>
    </row>
    <row r="6801" spans="1:37" ht="18" customHeight="1">
      <c r="A6801" s="172"/>
      <c r="B6801" s="178"/>
      <c r="C6801" s="179" t="s">
        <v>2749</v>
      </c>
      <c r="D6801">
        <v>4614</v>
      </c>
      <c r="E6801" s="125"/>
      <c r="F6801" s="178"/>
      <c r="G6801" s="178"/>
      <c r="H6801"/>
      <c r="I6801" s="178"/>
      <c r="J6801" s="320" t="s">
        <v>214</v>
      </c>
      <c r="K6801" s="178"/>
      <c r="L6801" s="125" t="s">
        <v>4863</v>
      </c>
      <c r="M6801">
        <v>77</v>
      </c>
      <c r="N6801" s="182"/>
      <c r="O6801">
        <v>162</v>
      </c>
      <c r="P6801" s="176" t="s">
        <v>77</v>
      </c>
      <c r="Q6801" s="176">
        <v>9.2219999999999995</v>
      </c>
      <c r="R6801" s="176"/>
      <c r="S6801" s="176"/>
      <c r="T6801" s="190"/>
      <c r="U6801" s="191"/>
      <c r="V6801" s="191">
        <f>+Table1[[#This Row],[SUBTOTAL]]+Table1[[#This Row],[IVA]]-Table1[[#This Row],[RET IVA]]-Table1[[#This Row],[RET ISR]]</f>
        <v>9.2219999999999995</v>
      </c>
      <c r="W6801"/>
      <c r="X6801" s="186"/>
      <c r="Y6801" s="187"/>
      <c r="Z6801" s="311" t="s">
        <v>214</v>
      </c>
      <c r="AB6801" t="str">
        <f>IF(Table1[[#This Row],[TIPO2]]="costo", VLOOKUP(Table1[[#This Row],[PARTIDA PRESUPUESTAL]],'Cost Report'!G:G,1,0),"Balance")</f>
        <v>3401-011</v>
      </c>
      <c r="AD6801" s="159">
        <f>+Table1[[#This Row],[SUBTOTAL]]+Table1[[#This Row],[IVA]]-Table1[[#This Row],[RET IVA]]-Table1[[#This Row],[RET ISR]]-Table1[[#This Row],[TOTAL]]</f>
        <v>0</v>
      </c>
      <c r="AK6801" s="306" t="str">
        <f>IF(ISNUMBER(Table1[[#This Row],[FECHA DE RECIBIDO]]), Table1[[#This Row],[FECHA DE RECIBIDO]]-DATE(2023,8,30), "")</f>
        <v/>
      </c>
    </row>
    <row r="6802" spans="1:37" ht="18" customHeight="1">
      <c r="A6802" s="172"/>
      <c r="B6802" s="178"/>
      <c r="C6802" s="179" t="s">
        <v>2758</v>
      </c>
      <c r="D6802">
        <v>4614</v>
      </c>
      <c r="E6802" s="125"/>
      <c r="F6802" s="178"/>
      <c r="G6802" s="178"/>
      <c r="H6802"/>
      <c r="I6802" s="178"/>
      <c r="J6802" s="320" t="s">
        <v>214</v>
      </c>
      <c r="K6802" s="178"/>
      <c r="L6802" s="125" t="s">
        <v>4863</v>
      </c>
      <c r="M6802">
        <v>187</v>
      </c>
      <c r="N6802" s="182"/>
      <c r="O6802"/>
      <c r="P6802" s="176" t="s">
        <v>77</v>
      </c>
      <c r="Q6802" s="176">
        <v>4.2</v>
      </c>
      <c r="R6802" s="176"/>
      <c r="S6802" s="176"/>
      <c r="T6802" s="190"/>
      <c r="U6802" s="191"/>
      <c r="V6802" s="191">
        <f>+Table1[[#This Row],[SUBTOTAL]]+Table1[[#This Row],[IVA]]-Table1[[#This Row],[RET IVA]]-Table1[[#This Row],[RET ISR]]</f>
        <v>4.2</v>
      </c>
      <c r="W6802"/>
      <c r="X6802" s="186"/>
      <c r="Y6802" s="187"/>
      <c r="Z6802" s="311" t="s">
        <v>214</v>
      </c>
      <c r="AB6802" t="str">
        <f>IF(Table1[[#This Row],[TIPO2]]="costo", VLOOKUP(Table1[[#This Row],[PARTIDA PRESUPUESTAL]],'Cost Report'!G:G,1,0),"Balance")</f>
        <v>3401-022</v>
      </c>
      <c r="AD6802" s="159">
        <f>+Table1[[#This Row],[SUBTOTAL]]+Table1[[#This Row],[IVA]]-Table1[[#This Row],[RET IVA]]-Table1[[#This Row],[RET ISR]]-Table1[[#This Row],[TOTAL]]</f>
        <v>0</v>
      </c>
      <c r="AK6802" s="306" t="str">
        <f>IF(ISNUMBER(Table1[[#This Row],[FECHA DE RECIBIDO]]), Table1[[#This Row],[FECHA DE RECIBIDO]]-DATE(2023,8,30), "")</f>
        <v/>
      </c>
    </row>
    <row r="6803" spans="1:37" ht="18" customHeight="1">
      <c r="A6803" s="172"/>
      <c r="B6803" s="178"/>
      <c r="C6803" s="179" t="s">
        <v>2758</v>
      </c>
      <c r="D6803">
        <v>4614</v>
      </c>
      <c r="E6803" s="125"/>
      <c r="F6803" s="178"/>
      <c r="G6803" s="178"/>
      <c r="H6803"/>
      <c r="I6803" s="178"/>
      <c r="J6803" s="320" t="s">
        <v>214</v>
      </c>
      <c r="K6803" s="178"/>
      <c r="L6803" s="125" t="s">
        <v>4863</v>
      </c>
      <c r="M6803">
        <v>187</v>
      </c>
      <c r="N6803" s="182"/>
      <c r="O6803"/>
      <c r="P6803" s="176" t="s">
        <v>77</v>
      </c>
      <c r="Q6803" s="176">
        <v>4.5</v>
      </c>
      <c r="R6803" s="176"/>
      <c r="S6803" s="176"/>
      <c r="T6803" s="190"/>
      <c r="U6803" s="191"/>
      <c r="V6803" s="191">
        <f>+Table1[[#This Row],[SUBTOTAL]]+Table1[[#This Row],[IVA]]-Table1[[#This Row],[RET IVA]]-Table1[[#This Row],[RET ISR]]</f>
        <v>4.5</v>
      </c>
      <c r="W6803"/>
      <c r="X6803" s="186"/>
      <c r="Y6803" s="187"/>
      <c r="Z6803" s="311" t="s">
        <v>214</v>
      </c>
      <c r="AB6803" t="str">
        <f>IF(Table1[[#This Row],[TIPO2]]="costo", VLOOKUP(Table1[[#This Row],[PARTIDA PRESUPUESTAL]],'Cost Report'!G:G,1,0),"Balance")</f>
        <v>3401-022</v>
      </c>
      <c r="AD6803" s="159">
        <f>+Table1[[#This Row],[SUBTOTAL]]+Table1[[#This Row],[IVA]]-Table1[[#This Row],[RET IVA]]-Table1[[#This Row],[RET ISR]]-Table1[[#This Row],[TOTAL]]</f>
        <v>0</v>
      </c>
      <c r="AK6803" s="306" t="str">
        <f>IF(ISNUMBER(Table1[[#This Row],[FECHA DE RECIBIDO]]), Table1[[#This Row],[FECHA DE RECIBIDO]]-DATE(2023,8,30), "")</f>
        <v/>
      </c>
    </row>
    <row r="6804" spans="1:37" ht="18" customHeight="1">
      <c r="A6804" s="172"/>
      <c r="B6804" s="178"/>
      <c r="C6804" s="179" t="s">
        <v>2758</v>
      </c>
      <c r="D6804">
        <v>4614</v>
      </c>
      <c r="E6804" s="125"/>
      <c r="F6804" s="178"/>
      <c r="G6804" s="178"/>
      <c r="H6804"/>
      <c r="I6804" s="178"/>
      <c r="J6804" s="320" t="s">
        <v>214</v>
      </c>
      <c r="K6804" s="178"/>
      <c r="L6804" s="125" t="s">
        <v>4863</v>
      </c>
      <c r="M6804">
        <v>187</v>
      </c>
      <c r="N6804" s="182"/>
      <c r="O6804"/>
      <c r="P6804" s="176" t="s">
        <v>77</v>
      </c>
      <c r="Q6804" s="176">
        <v>4.8</v>
      </c>
      <c r="R6804" s="176"/>
      <c r="S6804" s="176"/>
      <c r="T6804" s="190"/>
      <c r="U6804" s="191"/>
      <c r="V6804" s="191">
        <f>+Table1[[#This Row],[SUBTOTAL]]+Table1[[#This Row],[IVA]]-Table1[[#This Row],[RET IVA]]-Table1[[#This Row],[RET ISR]]</f>
        <v>4.8</v>
      </c>
      <c r="W6804"/>
      <c r="X6804" s="186"/>
      <c r="Y6804" s="187"/>
      <c r="Z6804" s="311" t="s">
        <v>214</v>
      </c>
      <c r="AB6804" t="str">
        <f>IF(Table1[[#This Row],[TIPO2]]="costo", VLOOKUP(Table1[[#This Row],[PARTIDA PRESUPUESTAL]],'Cost Report'!G:G,1,0),"Balance")</f>
        <v>3401-022</v>
      </c>
      <c r="AD6804" s="159">
        <f>+Table1[[#This Row],[SUBTOTAL]]+Table1[[#This Row],[IVA]]-Table1[[#This Row],[RET IVA]]-Table1[[#This Row],[RET ISR]]-Table1[[#This Row],[TOTAL]]</f>
        <v>0</v>
      </c>
      <c r="AK6804" s="306" t="str">
        <f>IF(ISNUMBER(Table1[[#This Row],[FECHA DE RECIBIDO]]), Table1[[#This Row],[FECHA DE RECIBIDO]]-DATE(2023,8,30), "")</f>
        <v/>
      </c>
    </row>
    <row r="6805" spans="1:37" ht="18" customHeight="1">
      <c r="A6805" s="172"/>
      <c r="B6805" s="178"/>
      <c r="C6805" s="179" t="s">
        <v>2758</v>
      </c>
      <c r="D6805">
        <v>4614</v>
      </c>
      <c r="E6805" s="125"/>
      <c r="F6805" s="178"/>
      <c r="G6805" s="178"/>
      <c r="H6805"/>
      <c r="I6805" s="178"/>
      <c r="J6805" s="320" t="s">
        <v>214</v>
      </c>
      <c r="K6805" s="178"/>
      <c r="L6805" s="125" t="s">
        <v>4863</v>
      </c>
      <c r="M6805">
        <v>187</v>
      </c>
      <c r="N6805" s="182"/>
      <c r="O6805"/>
      <c r="P6805" s="176" t="s">
        <v>77</v>
      </c>
      <c r="Q6805" s="176">
        <v>4.5</v>
      </c>
      <c r="R6805" s="176"/>
      <c r="S6805" s="176"/>
      <c r="T6805" s="190"/>
      <c r="U6805" s="191"/>
      <c r="V6805" s="191">
        <f>+Table1[[#This Row],[SUBTOTAL]]+Table1[[#This Row],[IVA]]-Table1[[#This Row],[RET IVA]]-Table1[[#This Row],[RET ISR]]</f>
        <v>4.5</v>
      </c>
      <c r="W6805"/>
      <c r="X6805" s="186"/>
      <c r="Y6805" s="187"/>
      <c r="Z6805" s="311" t="s">
        <v>214</v>
      </c>
      <c r="AB6805" t="str">
        <f>IF(Table1[[#This Row],[TIPO2]]="costo", VLOOKUP(Table1[[#This Row],[PARTIDA PRESUPUESTAL]],'Cost Report'!G:G,1,0),"Balance")</f>
        <v>3401-022</v>
      </c>
      <c r="AD6805" s="159">
        <f>+Table1[[#This Row],[SUBTOTAL]]+Table1[[#This Row],[IVA]]-Table1[[#This Row],[RET IVA]]-Table1[[#This Row],[RET ISR]]-Table1[[#This Row],[TOTAL]]</f>
        <v>0</v>
      </c>
      <c r="AK6805" s="306" t="str">
        <f>IF(ISNUMBER(Table1[[#This Row],[FECHA DE RECIBIDO]]), Table1[[#This Row],[FECHA DE RECIBIDO]]-DATE(2023,8,30), "")</f>
        <v/>
      </c>
    </row>
    <row r="6806" spans="1:37" ht="18" customHeight="1">
      <c r="A6806" s="172"/>
      <c r="B6806" s="178"/>
      <c r="C6806" s="179" t="s">
        <v>2758</v>
      </c>
      <c r="D6806">
        <v>4614</v>
      </c>
      <c r="E6806" s="125"/>
      <c r="F6806" s="178"/>
      <c r="G6806" s="178"/>
      <c r="H6806"/>
      <c r="I6806" s="178"/>
      <c r="J6806" s="320" t="s">
        <v>214</v>
      </c>
      <c r="K6806" s="178"/>
      <c r="L6806" s="125" t="s">
        <v>4863</v>
      </c>
      <c r="M6806">
        <v>188</v>
      </c>
      <c r="N6806" s="182"/>
      <c r="O6806"/>
      <c r="P6806" s="176" t="s">
        <v>77</v>
      </c>
      <c r="Q6806" s="176">
        <v>12.9</v>
      </c>
      <c r="R6806" s="176"/>
      <c r="S6806" s="176"/>
      <c r="T6806" s="190"/>
      <c r="U6806" s="191"/>
      <c r="V6806" s="191">
        <f>+Table1[[#This Row],[SUBTOTAL]]+Table1[[#This Row],[IVA]]-Table1[[#This Row],[RET IVA]]-Table1[[#This Row],[RET ISR]]</f>
        <v>12.9</v>
      </c>
      <c r="W6806"/>
      <c r="X6806" s="186"/>
      <c r="Y6806" s="187"/>
      <c r="Z6806" s="311" t="s">
        <v>214</v>
      </c>
      <c r="AB6806" t="str">
        <f>IF(Table1[[#This Row],[TIPO2]]="costo", VLOOKUP(Table1[[#This Row],[PARTIDA PRESUPUESTAL]],'Cost Report'!G:G,1,0),"Balance")</f>
        <v>3401-022</v>
      </c>
      <c r="AD6806" s="159">
        <f>+Table1[[#This Row],[SUBTOTAL]]+Table1[[#This Row],[IVA]]-Table1[[#This Row],[RET IVA]]-Table1[[#This Row],[RET ISR]]-Table1[[#This Row],[TOTAL]]</f>
        <v>0</v>
      </c>
      <c r="AK6806" s="306" t="str">
        <f>IF(ISNUMBER(Table1[[#This Row],[FECHA DE RECIBIDO]]), Table1[[#This Row],[FECHA DE RECIBIDO]]-DATE(2023,8,30), "")</f>
        <v/>
      </c>
    </row>
    <row r="6807" spans="1:37" ht="18" customHeight="1">
      <c r="A6807" s="172"/>
      <c r="B6807" s="178"/>
      <c r="C6807" s="179" t="s">
        <v>2758</v>
      </c>
      <c r="D6807">
        <v>4614</v>
      </c>
      <c r="E6807" s="125"/>
      <c r="F6807" s="178"/>
      <c r="G6807" s="178"/>
      <c r="H6807"/>
      <c r="I6807" s="178"/>
      <c r="J6807" s="320" t="s">
        <v>214</v>
      </c>
      <c r="K6807" s="178"/>
      <c r="L6807" s="125" t="s">
        <v>4863</v>
      </c>
      <c r="M6807">
        <v>189</v>
      </c>
      <c r="N6807" s="182"/>
      <c r="O6807"/>
      <c r="P6807" s="176" t="s">
        <v>77</v>
      </c>
      <c r="Q6807" s="176">
        <v>29.639999999999997</v>
      </c>
      <c r="R6807" s="176"/>
      <c r="S6807" s="176"/>
      <c r="T6807" s="190"/>
      <c r="U6807" s="191"/>
      <c r="V6807" s="191">
        <f>+Table1[[#This Row],[SUBTOTAL]]+Table1[[#This Row],[IVA]]-Table1[[#This Row],[RET IVA]]-Table1[[#This Row],[RET ISR]]</f>
        <v>29.639999999999997</v>
      </c>
      <c r="W6807"/>
      <c r="X6807" s="186"/>
      <c r="Y6807" s="187"/>
      <c r="Z6807" s="311" t="s">
        <v>214</v>
      </c>
      <c r="AB6807" t="str">
        <f>IF(Table1[[#This Row],[TIPO2]]="costo", VLOOKUP(Table1[[#This Row],[PARTIDA PRESUPUESTAL]],'Cost Report'!G:G,1,0),"Balance")</f>
        <v>3401-022</v>
      </c>
      <c r="AD6807" s="159">
        <f>+Table1[[#This Row],[SUBTOTAL]]+Table1[[#This Row],[IVA]]-Table1[[#This Row],[RET IVA]]-Table1[[#This Row],[RET ISR]]-Table1[[#This Row],[TOTAL]]</f>
        <v>0</v>
      </c>
      <c r="AK6807" s="306" t="str">
        <f>IF(ISNUMBER(Table1[[#This Row],[FECHA DE RECIBIDO]]), Table1[[#This Row],[FECHA DE RECIBIDO]]-DATE(2023,8,30), "")</f>
        <v/>
      </c>
    </row>
    <row r="6808" spans="1:37" ht="18" customHeight="1">
      <c r="A6808" s="172"/>
      <c r="B6808" s="178"/>
      <c r="C6808" s="179" t="s">
        <v>2758</v>
      </c>
      <c r="D6808">
        <v>4614</v>
      </c>
      <c r="E6808" s="125"/>
      <c r="F6808" s="178"/>
      <c r="G6808" s="178"/>
      <c r="H6808"/>
      <c r="I6808" s="178"/>
      <c r="J6808" s="320" t="s">
        <v>214</v>
      </c>
      <c r="K6808" s="178"/>
      <c r="L6808" s="125" t="s">
        <v>4863</v>
      </c>
      <c r="M6808">
        <v>189</v>
      </c>
      <c r="N6808" s="182"/>
      <c r="O6808"/>
      <c r="P6808" s="176" t="s">
        <v>77</v>
      </c>
      <c r="Q6808" s="176">
        <v>32.76</v>
      </c>
      <c r="R6808" s="176"/>
      <c r="S6808" s="176"/>
      <c r="T6808" s="190"/>
      <c r="U6808" s="191"/>
      <c r="V6808" s="191">
        <f>+Table1[[#This Row],[SUBTOTAL]]+Table1[[#This Row],[IVA]]-Table1[[#This Row],[RET IVA]]-Table1[[#This Row],[RET ISR]]</f>
        <v>32.76</v>
      </c>
      <c r="W6808"/>
      <c r="X6808" s="186"/>
      <c r="Y6808" s="187"/>
      <c r="Z6808" s="311" t="s">
        <v>214</v>
      </c>
      <c r="AB6808" t="str">
        <f>IF(Table1[[#This Row],[TIPO2]]="costo", VLOOKUP(Table1[[#This Row],[PARTIDA PRESUPUESTAL]],'Cost Report'!G:G,1,0),"Balance")</f>
        <v>3401-022</v>
      </c>
      <c r="AD6808" s="159">
        <f>+Table1[[#This Row],[SUBTOTAL]]+Table1[[#This Row],[IVA]]-Table1[[#This Row],[RET IVA]]-Table1[[#This Row],[RET ISR]]-Table1[[#This Row],[TOTAL]]</f>
        <v>0</v>
      </c>
      <c r="AK6808" s="306" t="str">
        <f>IF(ISNUMBER(Table1[[#This Row],[FECHA DE RECIBIDO]]), Table1[[#This Row],[FECHA DE RECIBIDO]]-DATE(2023,8,30), "")</f>
        <v/>
      </c>
    </row>
    <row r="6809" spans="1:37" ht="18" customHeight="1">
      <c r="A6809" s="172"/>
      <c r="B6809" s="178"/>
      <c r="C6809" s="179" t="s">
        <v>2758</v>
      </c>
      <c r="D6809">
        <v>4614</v>
      </c>
      <c r="E6809" s="125"/>
      <c r="F6809" s="178"/>
      <c r="G6809" s="178"/>
      <c r="H6809"/>
      <c r="I6809" s="178"/>
      <c r="J6809" s="320" t="s">
        <v>214</v>
      </c>
      <c r="K6809" s="178"/>
      <c r="L6809" s="125" t="s">
        <v>4863</v>
      </c>
      <c r="M6809">
        <v>77</v>
      </c>
      <c r="N6809" s="182"/>
      <c r="O6809"/>
      <c r="P6809" s="176" t="s">
        <v>77</v>
      </c>
      <c r="Q6809" s="176">
        <v>9.2219999999999995</v>
      </c>
      <c r="R6809" s="176"/>
      <c r="S6809" s="176"/>
      <c r="T6809" s="190"/>
      <c r="U6809" s="191"/>
      <c r="V6809" s="191">
        <f>+Table1[[#This Row],[SUBTOTAL]]+Table1[[#This Row],[IVA]]-Table1[[#This Row],[RET IVA]]-Table1[[#This Row],[RET ISR]]</f>
        <v>9.2219999999999995</v>
      </c>
      <c r="W6809"/>
      <c r="X6809" s="186"/>
      <c r="Y6809" s="187"/>
      <c r="Z6809" s="311" t="s">
        <v>214</v>
      </c>
      <c r="AB6809" t="str">
        <f>IF(Table1[[#This Row],[TIPO2]]="costo", VLOOKUP(Table1[[#This Row],[PARTIDA PRESUPUESTAL]],'Cost Report'!G:G,1,0),"Balance")</f>
        <v>3401-022</v>
      </c>
      <c r="AD6809" s="159">
        <f>+Table1[[#This Row],[SUBTOTAL]]+Table1[[#This Row],[IVA]]-Table1[[#This Row],[RET IVA]]-Table1[[#This Row],[RET ISR]]-Table1[[#This Row],[TOTAL]]</f>
        <v>0</v>
      </c>
      <c r="AK6809" s="306" t="str">
        <f>IF(ISNUMBER(Table1[[#This Row],[FECHA DE RECIBIDO]]), Table1[[#This Row],[FECHA DE RECIBIDO]]-DATE(2023,8,30), "")</f>
        <v/>
      </c>
    </row>
    <row r="6810" spans="1:37" ht="18" customHeight="1">
      <c r="A6810" s="172"/>
      <c r="B6810" s="178"/>
      <c r="C6810" s="179" t="s">
        <v>2323</v>
      </c>
      <c r="D6810">
        <v>4614</v>
      </c>
      <c r="E6810" s="125"/>
      <c r="F6810" s="178"/>
      <c r="G6810" s="178"/>
      <c r="H6810"/>
      <c r="I6810" s="178"/>
      <c r="J6810" s="320" t="s">
        <v>214</v>
      </c>
      <c r="K6810" s="178"/>
      <c r="L6810" s="125" t="s">
        <v>4863</v>
      </c>
      <c r="M6810">
        <v>214</v>
      </c>
      <c r="N6810" s="182"/>
      <c r="O6810">
        <v>473</v>
      </c>
      <c r="P6810" s="176" t="s">
        <v>77</v>
      </c>
      <c r="Q6810" s="176">
        <v>10.232999999999999</v>
      </c>
      <c r="R6810" s="176"/>
      <c r="S6810" s="176"/>
      <c r="T6810" s="190"/>
      <c r="U6810" s="191"/>
      <c r="V6810" s="191">
        <f>+Table1[[#This Row],[SUBTOTAL]]+Table1[[#This Row],[IVA]]-Table1[[#This Row],[RET IVA]]-Table1[[#This Row],[RET ISR]]</f>
        <v>10.232999999999999</v>
      </c>
      <c r="W6810"/>
      <c r="X6810" s="186"/>
      <c r="Y6810" s="187"/>
      <c r="Z6810" s="311" t="s">
        <v>214</v>
      </c>
      <c r="AB6810" t="str">
        <f>IF(Table1[[#This Row],[TIPO2]]="costo", VLOOKUP(Table1[[#This Row],[PARTIDA PRESUPUESTAL]],'Cost Report'!G:G,1,0),"Balance")</f>
        <v>1426-008</v>
      </c>
      <c r="AD6810" s="159">
        <f>+Table1[[#This Row],[SUBTOTAL]]+Table1[[#This Row],[IVA]]-Table1[[#This Row],[RET IVA]]-Table1[[#This Row],[RET ISR]]-Table1[[#This Row],[TOTAL]]</f>
        <v>0</v>
      </c>
      <c r="AK6810" s="306" t="str">
        <f>IF(ISNUMBER(Table1[[#This Row],[FECHA DE RECIBIDO]]), Table1[[#This Row],[FECHA DE RECIBIDO]]-DATE(2023,8,30), "")</f>
        <v/>
      </c>
    </row>
    <row r="6811" spans="1:37" ht="18" customHeight="1">
      <c r="A6811" s="172"/>
      <c r="B6811" s="178"/>
      <c r="C6811" s="179" t="s">
        <v>2335</v>
      </c>
      <c r="D6811">
        <v>4614</v>
      </c>
      <c r="E6811" s="125"/>
      <c r="F6811" s="178"/>
      <c r="G6811" s="178"/>
      <c r="H6811"/>
      <c r="I6811" s="178"/>
      <c r="J6811" s="320" t="s">
        <v>214</v>
      </c>
      <c r="K6811" s="178"/>
      <c r="L6811" s="125" t="s">
        <v>4863</v>
      </c>
      <c r="M6811">
        <v>215</v>
      </c>
      <c r="N6811" s="182"/>
      <c r="O6811">
        <v>474</v>
      </c>
      <c r="P6811" s="176" t="s">
        <v>77</v>
      </c>
      <c r="Q6811" s="176">
        <v>154.01399999999998</v>
      </c>
      <c r="R6811" s="176"/>
      <c r="S6811" s="176"/>
      <c r="T6811" s="190"/>
      <c r="U6811" s="191"/>
      <c r="V6811" s="191">
        <f>+Table1[[#This Row],[SUBTOTAL]]+Table1[[#This Row],[IVA]]-Table1[[#This Row],[RET IVA]]-Table1[[#This Row],[RET ISR]]</f>
        <v>154.01399999999998</v>
      </c>
      <c r="W6811"/>
      <c r="X6811" s="186"/>
      <c r="Y6811" s="187"/>
      <c r="Z6811" s="311" t="s">
        <v>214</v>
      </c>
      <c r="AB6811" t="str">
        <f>IF(Table1[[#This Row],[TIPO2]]="costo", VLOOKUP(Table1[[#This Row],[PARTIDA PRESUPUESTAL]],'Cost Report'!G:G,1,0),"Balance")</f>
        <v>1487-003</v>
      </c>
      <c r="AD6811" s="159">
        <f>+Table1[[#This Row],[SUBTOTAL]]+Table1[[#This Row],[IVA]]-Table1[[#This Row],[RET IVA]]-Table1[[#This Row],[RET ISR]]-Table1[[#This Row],[TOTAL]]</f>
        <v>0</v>
      </c>
      <c r="AK6811" s="306" t="str">
        <f>IF(ISNUMBER(Table1[[#This Row],[FECHA DE RECIBIDO]]), Table1[[#This Row],[FECHA DE RECIBIDO]]-DATE(2023,8,30), "")</f>
        <v/>
      </c>
    </row>
    <row r="6812" spans="1:37" ht="18" customHeight="1">
      <c r="A6812" s="172"/>
      <c r="B6812" s="178"/>
      <c r="C6812" s="179" t="s">
        <v>2335</v>
      </c>
      <c r="D6812">
        <v>4614</v>
      </c>
      <c r="E6812" s="125"/>
      <c r="F6812" s="178"/>
      <c r="G6812" s="178"/>
      <c r="H6812"/>
      <c r="I6812" s="178"/>
      <c r="J6812" s="320" t="s">
        <v>214</v>
      </c>
      <c r="K6812" s="178"/>
      <c r="L6812" s="125" t="s">
        <v>4863</v>
      </c>
      <c r="M6812">
        <v>215</v>
      </c>
      <c r="N6812" s="182"/>
      <c r="O6812">
        <v>475</v>
      </c>
      <c r="P6812" s="176" t="s">
        <v>77</v>
      </c>
      <c r="Q6812" s="176">
        <v>160.935</v>
      </c>
      <c r="R6812" s="176"/>
      <c r="S6812" s="176"/>
      <c r="T6812" s="190"/>
      <c r="U6812" s="191"/>
      <c r="V6812" s="191">
        <f>+Table1[[#This Row],[SUBTOTAL]]+Table1[[#This Row],[IVA]]-Table1[[#This Row],[RET IVA]]-Table1[[#This Row],[RET ISR]]</f>
        <v>160.935</v>
      </c>
      <c r="W6812"/>
      <c r="X6812" s="186"/>
      <c r="Y6812" s="187"/>
      <c r="Z6812" s="311" t="s">
        <v>214</v>
      </c>
      <c r="AB6812" t="str">
        <f>IF(Table1[[#This Row],[TIPO2]]="costo", VLOOKUP(Table1[[#This Row],[PARTIDA PRESUPUESTAL]],'Cost Report'!G:G,1,0),"Balance")</f>
        <v>1487-003</v>
      </c>
      <c r="AD6812" s="159">
        <f>+Table1[[#This Row],[SUBTOTAL]]+Table1[[#This Row],[IVA]]-Table1[[#This Row],[RET IVA]]-Table1[[#This Row],[RET ISR]]-Table1[[#This Row],[TOTAL]]</f>
        <v>0</v>
      </c>
      <c r="AK6812" s="306" t="str">
        <f>IF(ISNUMBER(Table1[[#This Row],[FECHA DE RECIBIDO]]), Table1[[#This Row],[FECHA DE RECIBIDO]]-DATE(2023,8,30), "")</f>
        <v/>
      </c>
    </row>
    <row r="6813" spans="1:37" ht="18" customHeight="1">
      <c r="A6813" s="172"/>
      <c r="B6813" s="178"/>
      <c r="C6813" s="179" t="s">
        <v>2335</v>
      </c>
      <c r="D6813">
        <v>4614</v>
      </c>
      <c r="E6813" s="125"/>
      <c r="F6813" s="178"/>
      <c r="G6813" s="178"/>
      <c r="H6813"/>
      <c r="I6813" s="178"/>
      <c r="J6813" s="320" t="s">
        <v>214</v>
      </c>
      <c r="K6813" s="178"/>
      <c r="L6813" s="125" t="s">
        <v>4863</v>
      </c>
      <c r="M6813">
        <v>215</v>
      </c>
      <c r="N6813" s="182"/>
      <c r="O6813">
        <v>479</v>
      </c>
      <c r="P6813" s="176" t="s">
        <v>77</v>
      </c>
      <c r="Q6813" s="176">
        <v>26.4</v>
      </c>
      <c r="R6813" s="176"/>
      <c r="S6813" s="176"/>
      <c r="T6813" s="190"/>
      <c r="U6813" s="191"/>
      <c r="V6813" s="191">
        <f>+Table1[[#This Row],[SUBTOTAL]]+Table1[[#This Row],[IVA]]-Table1[[#This Row],[RET IVA]]-Table1[[#This Row],[RET ISR]]</f>
        <v>26.4</v>
      </c>
      <c r="W6813"/>
      <c r="X6813" s="186"/>
      <c r="Y6813" s="187"/>
      <c r="Z6813" s="311" t="s">
        <v>214</v>
      </c>
      <c r="AB6813" t="str">
        <f>IF(Table1[[#This Row],[TIPO2]]="costo", VLOOKUP(Table1[[#This Row],[PARTIDA PRESUPUESTAL]],'Cost Report'!G:G,1,0),"Balance")</f>
        <v>1487-003</v>
      </c>
      <c r="AD6813" s="159">
        <f>+Table1[[#This Row],[SUBTOTAL]]+Table1[[#This Row],[IVA]]-Table1[[#This Row],[RET IVA]]-Table1[[#This Row],[RET ISR]]-Table1[[#This Row],[TOTAL]]</f>
        <v>0</v>
      </c>
      <c r="AK6813" s="306" t="str">
        <f>IF(ISNUMBER(Table1[[#This Row],[FECHA DE RECIBIDO]]), Table1[[#This Row],[FECHA DE RECIBIDO]]-DATE(2023,8,30), "")</f>
        <v/>
      </c>
    </row>
    <row r="6814" spans="1:37" ht="18" customHeight="1">
      <c r="A6814" s="172"/>
      <c r="B6814" s="178"/>
      <c r="C6814" s="179" t="s">
        <v>2335</v>
      </c>
      <c r="D6814">
        <v>4614</v>
      </c>
      <c r="E6814" s="125"/>
      <c r="F6814" s="178"/>
      <c r="G6814" s="178"/>
      <c r="H6814"/>
      <c r="I6814" s="178"/>
      <c r="J6814" s="320" t="s">
        <v>214</v>
      </c>
      <c r="K6814" s="178"/>
      <c r="L6814" s="125" t="s">
        <v>4863</v>
      </c>
      <c r="M6814">
        <v>215</v>
      </c>
      <c r="N6814" s="182"/>
      <c r="O6814">
        <v>480</v>
      </c>
      <c r="P6814" s="176" t="s">
        <v>77</v>
      </c>
      <c r="Q6814" s="176">
        <v>104.973</v>
      </c>
      <c r="R6814" s="176"/>
      <c r="S6814" s="176"/>
      <c r="T6814" s="190"/>
      <c r="U6814" s="191"/>
      <c r="V6814" s="191">
        <f>+Table1[[#This Row],[SUBTOTAL]]+Table1[[#This Row],[IVA]]-Table1[[#This Row],[RET IVA]]-Table1[[#This Row],[RET ISR]]</f>
        <v>104.973</v>
      </c>
      <c r="W6814"/>
      <c r="X6814" s="186"/>
      <c r="Y6814" s="187"/>
      <c r="Z6814" s="311" t="s">
        <v>214</v>
      </c>
      <c r="AB6814" t="str">
        <f>IF(Table1[[#This Row],[TIPO2]]="costo", VLOOKUP(Table1[[#This Row],[PARTIDA PRESUPUESTAL]],'Cost Report'!G:G,1,0),"Balance")</f>
        <v>1487-003</v>
      </c>
      <c r="AD6814" s="159">
        <f>+Table1[[#This Row],[SUBTOTAL]]+Table1[[#This Row],[IVA]]-Table1[[#This Row],[RET IVA]]-Table1[[#This Row],[RET ISR]]-Table1[[#This Row],[TOTAL]]</f>
        <v>0</v>
      </c>
      <c r="AK6814" s="306" t="str">
        <f>IF(ISNUMBER(Table1[[#This Row],[FECHA DE RECIBIDO]]), Table1[[#This Row],[FECHA DE RECIBIDO]]-DATE(2023,8,30), "")</f>
        <v/>
      </c>
    </row>
    <row r="6815" spans="1:37" ht="18" customHeight="1">
      <c r="A6815" s="172"/>
      <c r="B6815" s="178"/>
      <c r="C6815" s="179" t="s">
        <v>2335</v>
      </c>
      <c r="D6815">
        <v>4614</v>
      </c>
      <c r="E6815" s="125"/>
      <c r="F6815" s="178"/>
      <c r="G6815" s="178"/>
      <c r="H6815"/>
      <c r="I6815" s="178"/>
      <c r="J6815" s="320" t="s">
        <v>214</v>
      </c>
      <c r="K6815" s="178"/>
      <c r="L6815" s="125" t="s">
        <v>4863</v>
      </c>
      <c r="M6815">
        <v>215</v>
      </c>
      <c r="N6815" s="182"/>
      <c r="O6815">
        <v>481</v>
      </c>
      <c r="P6815" s="176" t="s">
        <v>77</v>
      </c>
      <c r="Q6815" s="176">
        <v>119.96699999999998</v>
      </c>
      <c r="R6815" s="176"/>
      <c r="S6815" s="176"/>
      <c r="T6815" s="190"/>
      <c r="U6815" s="191"/>
      <c r="V6815" s="191">
        <f>+Table1[[#This Row],[SUBTOTAL]]+Table1[[#This Row],[IVA]]-Table1[[#This Row],[RET IVA]]-Table1[[#This Row],[RET ISR]]</f>
        <v>119.96699999999998</v>
      </c>
      <c r="W6815"/>
      <c r="X6815" s="186"/>
      <c r="Y6815" s="187"/>
      <c r="Z6815" s="311" t="s">
        <v>214</v>
      </c>
      <c r="AB6815" t="str">
        <f>IF(Table1[[#This Row],[TIPO2]]="costo", VLOOKUP(Table1[[#This Row],[PARTIDA PRESUPUESTAL]],'Cost Report'!G:G,1,0),"Balance")</f>
        <v>1487-003</v>
      </c>
      <c r="AD6815" s="159">
        <f>+Table1[[#This Row],[SUBTOTAL]]+Table1[[#This Row],[IVA]]-Table1[[#This Row],[RET IVA]]-Table1[[#This Row],[RET ISR]]-Table1[[#This Row],[TOTAL]]</f>
        <v>0</v>
      </c>
      <c r="AK6815" s="306" t="str">
        <f>IF(ISNUMBER(Table1[[#This Row],[FECHA DE RECIBIDO]]), Table1[[#This Row],[FECHA DE RECIBIDO]]-DATE(2023,8,30), "")</f>
        <v/>
      </c>
    </row>
    <row r="6816" spans="1:37" ht="18" customHeight="1">
      <c r="A6816" s="172"/>
      <c r="B6816" s="178"/>
      <c r="C6816" s="179" t="s">
        <v>3002</v>
      </c>
      <c r="D6816">
        <v>4614</v>
      </c>
      <c r="E6816" s="125"/>
      <c r="F6816" s="178"/>
      <c r="G6816" s="178"/>
      <c r="H6816"/>
      <c r="I6816" s="178"/>
      <c r="J6816" s="320" t="s">
        <v>214</v>
      </c>
      <c r="K6816" s="178"/>
      <c r="L6816" s="125" t="s">
        <v>4863</v>
      </c>
      <c r="M6816">
        <v>216</v>
      </c>
      <c r="N6816" s="182"/>
      <c r="O6816">
        <v>482</v>
      </c>
      <c r="P6816" s="176" t="s">
        <v>77</v>
      </c>
      <c r="Q6816" s="176">
        <v>1060.671</v>
      </c>
      <c r="R6816" s="176"/>
      <c r="S6816" s="176"/>
      <c r="T6816" s="190"/>
      <c r="U6816" s="191"/>
      <c r="V6816" s="191">
        <f>+Table1[[#This Row],[SUBTOTAL]]+Table1[[#This Row],[IVA]]-Table1[[#This Row],[RET IVA]]-Table1[[#This Row],[RET ISR]]</f>
        <v>1060.671</v>
      </c>
      <c r="W6816"/>
      <c r="X6816" s="186"/>
      <c r="Y6816" s="187"/>
      <c r="Z6816" s="311" t="s">
        <v>214</v>
      </c>
      <c r="AB6816" t="str">
        <f>IF(Table1[[#This Row],[TIPO2]]="costo", VLOOKUP(Table1[[#This Row],[PARTIDA PRESUPUESTAL]],'Cost Report'!G:G,1,0),"Balance")</f>
        <v>4180-003</v>
      </c>
      <c r="AD6816" s="159">
        <f>+Table1[[#This Row],[SUBTOTAL]]+Table1[[#This Row],[IVA]]-Table1[[#This Row],[RET IVA]]-Table1[[#This Row],[RET ISR]]-Table1[[#This Row],[TOTAL]]</f>
        <v>0</v>
      </c>
      <c r="AK6816" s="306" t="str">
        <f>IF(ISNUMBER(Table1[[#This Row],[FECHA DE RECIBIDO]]), Table1[[#This Row],[FECHA DE RECIBIDO]]-DATE(2023,8,30), "")</f>
        <v/>
      </c>
    </row>
    <row r="6817" spans="1:37" ht="18" customHeight="1">
      <c r="A6817" s="172"/>
      <c r="B6817" s="178"/>
      <c r="C6817" s="179" t="s">
        <v>2335</v>
      </c>
      <c r="D6817">
        <v>4614</v>
      </c>
      <c r="E6817" s="125"/>
      <c r="F6817" s="178"/>
      <c r="G6817" s="178"/>
      <c r="H6817"/>
      <c r="I6817" s="178"/>
      <c r="J6817" s="320" t="s">
        <v>214</v>
      </c>
      <c r="K6817" s="178"/>
      <c r="L6817" s="125" t="s">
        <v>4863</v>
      </c>
      <c r="M6817">
        <v>215</v>
      </c>
      <c r="N6817" s="182"/>
      <c r="O6817">
        <v>483</v>
      </c>
      <c r="P6817" s="176" t="s">
        <v>77</v>
      </c>
      <c r="Q6817" s="176">
        <v>109.61699999999999</v>
      </c>
      <c r="R6817" s="176"/>
      <c r="S6817" s="176"/>
      <c r="T6817" s="190"/>
      <c r="U6817" s="191"/>
      <c r="V6817" s="191">
        <f>+Table1[[#This Row],[SUBTOTAL]]+Table1[[#This Row],[IVA]]-Table1[[#This Row],[RET IVA]]-Table1[[#This Row],[RET ISR]]</f>
        <v>109.61699999999999</v>
      </c>
      <c r="W6817"/>
      <c r="X6817" s="186"/>
      <c r="Y6817" s="187"/>
      <c r="Z6817" s="311" t="s">
        <v>214</v>
      </c>
      <c r="AB6817" t="str">
        <f>IF(Table1[[#This Row],[TIPO2]]="costo", VLOOKUP(Table1[[#This Row],[PARTIDA PRESUPUESTAL]],'Cost Report'!G:G,1,0),"Balance")</f>
        <v>1487-003</v>
      </c>
      <c r="AD6817" s="159">
        <f>+Table1[[#This Row],[SUBTOTAL]]+Table1[[#This Row],[IVA]]-Table1[[#This Row],[RET IVA]]-Table1[[#This Row],[RET ISR]]-Table1[[#This Row],[TOTAL]]</f>
        <v>0</v>
      </c>
      <c r="AK6817" s="306" t="str">
        <f>IF(ISNUMBER(Table1[[#This Row],[FECHA DE RECIBIDO]]), Table1[[#This Row],[FECHA DE RECIBIDO]]-DATE(2023,8,30), "")</f>
        <v/>
      </c>
    </row>
    <row r="6818" spans="1:37" ht="18" customHeight="1">
      <c r="A6818" s="172"/>
      <c r="B6818" s="178"/>
      <c r="C6818" s="179" t="s">
        <v>2335</v>
      </c>
      <c r="D6818">
        <v>4614</v>
      </c>
      <c r="E6818" s="125"/>
      <c r="F6818" s="178"/>
      <c r="G6818" s="178"/>
      <c r="H6818"/>
      <c r="I6818" s="178"/>
      <c r="J6818" s="320" t="s">
        <v>214</v>
      </c>
      <c r="K6818" s="178"/>
      <c r="L6818" s="125" t="s">
        <v>4863</v>
      </c>
      <c r="M6818">
        <v>215</v>
      </c>
      <c r="N6818" s="182"/>
      <c r="O6818">
        <v>483</v>
      </c>
      <c r="P6818" s="176" t="s">
        <v>77</v>
      </c>
      <c r="Q6818" s="176">
        <v>48.860999999999997</v>
      </c>
      <c r="R6818" s="176"/>
      <c r="S6818" s="176"/>
      <c r="T6818" s="190"/>
      <c r="U6818" s="191"/>
      <c r="V6818" s="191">
        <f>+Table1[[#This Row],[SUBTOTAL]]+Table1[[#This Row],[IVA]]-Table1[[#This Row],[RET IVA]]-Table1[[#This Row],[RET ISR]]</f>
        <v>48.860999999999997</v>
      </c>
      <c r="W6818"/>
      <c r="X6818" s="186"/>
      <c r="Y6818" s="187"/>
      <c r="Z6818" s="311" t="s">
        <v>214</v>
      </c>
      <c r="AB6818" t="str">
        <f>IF(Table1[[#This Row],[TIPO2]]="costo", VLOOKUP(Table1[[#This Row],[PARTIDA PRESUPUESTAL]],'Cost Report'!G:G,1,0),"Balance")</f>
        <v>1487-003</v>
      </c>
      <c r="AD6818" s="159">
        <f>+Table1[[#This Row],[SUBTOTAL]]+Table1[[#This Row],[IVA]]-Table1[[#This Row],[RET IVA]]-Table1[[#This Row],[RET ISR]]-Table1[[#This Row],[TOTAL]]</f>
        <v>0</v>
      </c>
      <c r="AK6818" s="306" t="str">
        <f>IF(ISNUMBER(Table1[[#This Row],[FECHA DE RECIBIDO]]), Table1[[#This Row],[FECHA DE RECIBIDO]]-DATE(2023,8,30), "")</f>
        <v/>
      </c>
    </row>
    <row r="6819" spans="1:37" ht="18" customHeight="1">
      <c r="A6819" s="172"/>
      <c r="B6819" s="178"/>
      <c r="C6819" s="179" t="s">
        <v>2335</v>
      </c>
      <c r="D6819">
        <v>4614</v>
      </c>
      <c r="E6819" s="125"/>
      <c r="F6819" s="178"/>
      <c r="G6819" s="178"/>
      <c r="H6819"/>
      <c r="I6819" s="178"/>
      <c r="J6819" s="320" t="s">
        <v>214</v>
      </c>
      <c r="K6819" s="178"/>
      <c r="L6819" s="125" t="s">
        <v>4863</v>
      </c>
      <c r="M6819">
        <v>215</v>
      </c>
      <c r="N6819" s="182"/>
      <c r="O6819">
        <v>506</v>
      </c>
      <c r="P6819" s="176" t="s">
        <v>77</v>
      </c>
      <c r="Q6819" s="176">
        <v>177.24299999999997</v>
      </c>
      <c r="R6819" s="176"/>
      <c r="S6819" s="176"/>
      <c r="T6819" s="190"/>
      <c r="U6819" s="191"/>
      <c r="V6819" s="191">
        <f>+Table1[[#This Row],[SUBTOTAL]]+Table1[[#This Row],[IVA]]-Table1[[#This Row],[RET IVA]]-Table1[[#This Row],[RET ISR]]</f>
        <v>177.24299999999997</v>
      </c>
      <c r="W6819"/>
      <c r="X6819" s="186"/>
      <c r="Y6819" s="187"/>
      <c r="Z6819" s="311" t="s">
        <v>214</v>
      </c>
      <c r="AB6819" t="str">
        <f>IF(Table1[[#This Row],[TIPO2]]="costo", VLOOKUP(Table1[[#This Row],[PARTIDA PRESUPUESTAL]],'Cost Report'!G:G,1,0),"Balance")</f>
        <v>1487-003</v>
      </c>
      <c r="AD6819" s="159">
        <f>+Table1[[#This Row],[SUBTOTAL]]+Table1[[#This Row],[IVA]]-Table1[[#This Row],[RET IVA]]-Table1[[#This Row],[RET ISR]]-Table1[[#This Row],[TOTAL]]</f>
        <v>0</v>
      </c>
      <c r="AK6819" s="306" t="str">
        <f>IF(ISNUMBER(Table1[[#This Row],[FECHA DE RECIBIDO]]), Table1[[#This Row],[FECHA DE RECIBIDO]]-DATE(2023,8,30), "")</f>
        <v/>
      </c>
    </row>
    <row r="6820" spans="1:37" ht="18" customHeight="1">
      <c r="A6820" s="172"/>
      <c r="B6820" s="178"/>
      <c r="C6820" s="179" t="s">
        <v>417</v>
      </c>
      <c r="D6820">
        <v>4614</v>
      </c>
      <c r="E6820" s="125"/>
      <c r="F6820" s="178"/>
      <c r="G6820" s="178"/>
      <c r="H6820"/>
      <c r="I6820" s="178"/>
      <c r="J6820" s="320" t="s">
        <v>214</v>
      </c>
      <c r="K6820" s="178"/>
      <c r="L6820" s="125" t="s">
        <v>4863</v>
      </c>
      <c r="M6820">
        <v>222</v>
      </c>
      <c r="N6820" s="182"/>
      <c r="O6820">
        <v>507</v>
      </c>
      <c r="P6820" s="176" t="s">
        <v>77</v>
      </c>
      <c r="Q6820" s="176">
        <v>6432.4890000000005</v>
      </c>
      <c r="R6820" s="176"/>
      <c r="S6820" s="176"/>
      <c r="T6820" s="190"/>
      <c r="U6820" s="191"/>
      <c r="V6820" s="191">
        <f>+Table1[[#This Row],[SUBTOTAL]]+Table1[[#This Row],[IVA]]-Table1[[#This Row],[RET IVA]]-Table1[[#This Row],[RET ISR]]</f>
        <v>6432.4890000000005</v>
      </c>
      <c r="W6820"/>
      <c r="X6820" s="186"/>
      <c r="Y6820" s="187"/>
      <c r="Z6820" s="311" t="s">
        <v>214</v>
      </c>
      <c r="AB6820" t="str">
        <f>IF(Table1[[#This Row],[TIPO2]]="costo", VLOOKUP(Table1[[#This Row],[PARTIDA PRESUPUESTAL]],'Cost Report'!G:G,1,0),"Balance")</f>
        <v>1640-005</v>
      </c>
      <c r="AD6820" s="159">
        <f>+Table1[[#This Row],[SUBTOTAL]]+Table1[[#This Row],[IVA]]-Table1[[#This Row],[RET IVA]]-Table1[[#This Row],[RET ISR]]-Table1[[#This Row],[TOTAL]]</f>
        <v>0</v>
      </c>
      <c r="AK6820" s="306" t="str">
        <f>IF(ISNUMBER(Table1[[#This Row],[FECHA DE RECIBIDO]]), Table1[[#This Row],[FECHA DE RECIBIDO]]-DATE(2023,8,30), "")</f>
        <v/>
      </c>
    </row>
    <row r="6821" spans="1:37" ht="18" customHeight="1">
      <c r="A6821" s="172"/>
      <c r="B6821" s="178"/>
      <c r="C6821" s="179" t="s">
        <v>2455</v>
      </c>
      <c r="D6821">
        <v>4614</v>
      </c>
      <c r="E6821" s="125"/>
      <c r="F6821" s="178"/>
      <c r="G6821" s="178"/>
      <c r="H6821"/>
      <c r="I6821" s="178"/>
      <c r="J6821" s="320" t="s">
        <v>214</v>
      </c>
      <c r="K6821" s="178"/>
      <c r="L6821" s="125" t="s">
        <v>4863</v>
      </c>
      <c r="M6821">
        <v>231</v>
      </c>
      <c r="N6821" s="182"/>
      <c r="O6821">
        <v>520</v>
      </c>
      <c r="P6821" s="176" t="s">
        <v>77</v>
      </c>
      <c r="Q6821" s="176">
        <v>9.395999999999999</v>
      </c>
      <c r="R6821" s="176"/>
      <c r="S6821" s="176"/>
      <c r="T6821" s="190"/>
      <c r="U6821" s="191"/>
      <c r="V6821" s="191">
        <f>+Table1[[#This Row],[SUBTOTAL]]+Table1[[#This Row],[IVA]]-Table1[[#This Row],[RET IVA]]-Table1[[#This Row],[RET ISR]]</f>
        <v>9.395999999999999</v>
      </c>
      <c r="W6821"/>
      <c r="X6821" s="186"/>
      <c r="Y6821" s="187"/>
      <c r="Z6821" s="311" t="s">
        <v>214</v>
      </c>
      <c r="AB6821" t="str">
        <f>IF(Table1[[#This Row],[TIPO2]]="costo", VLOOKUP(Table1[[#This Row],[PARTIDA PRESUPUESTAL]],'Cost Report'!G:G,1,0),"Balance")</f>
        <v>2285-003</v>
      </c>
      <c r="AD6821" s="159">
        <f>+Table1[[#This Row],[SUBTOTAL]]+Table1[[#This Row],[IVA]]-Table1[[#This Row],[RET IVA]]-Table1[[#This Row],[RET ISR]]-Table1[[#This Row],[TOTAL]]</f>
        <v>0</v>
      </c>
      <c r="AK6821" s="306" t="str">
        <f>IF(ISNUMBER(Table1[[#This Row],[FECHA DE RECIBIDO]]), Table1[[#This Row],[FECHA DE RECIBIDO]]-DATE(2023,8,30), "")</f>
        <v/>
      </c>
    </row>
    <row r="6822" spans="1:37" ht="18" customHeight="1">
      <c r="A6822" s="172"/>
      <c r="B6822" s="178"/>
      <c r="C6822" s="179" t="s">
        <v>2455</v>
      </c>
      <c r="D6822">
        <v>4614</v>
      </c>
      <c r="E6822" s="125"/>
      <c r="F6822" s="178"/>
      <c r="G6822" s="178"/>
      <c r="H6822"/>
      <c r="I6822" s="178"/>
      <c r="J6822" s="320" t="s">
        <v>214</v>
      </c>
      <c r="K6822" s="178"/>
      <c r="L6822" s="125" t="s">
        <v>4863</v>
      </c>
      <c r="M6822">
        <v>232</v>
      </c>
      <c r="N6822" s="182"/>
      <c r="O6822">
        <v>521</v>
      </c>
      <c r="P6822" s="176" t="s">
        <v>77</v>
      </c>
      <c r="Q6822" s="176">
        <v>54.809999999999995</v>
      </c>
      <c r="R6822" s="176"/>
      <c r="S6822" s="176"/>
      <c r="T6822" s="190"/>
      <c r="U6822" s="191"/>
      <c r="V6822" s="191">
        <f>+Table1[[#This Row],[SUBTOTAL]]+Table1[[#This Row],[IVA]]-Table1[[#This Row],[RET IVA]]-Table1[[#This Row],[RET ISR]]</f>
        <v>54.809999999999995</v>
      </c>
      <c r="W6822"/>
      <c r="X6822" s="186"/>
      <c r="Y6822" s="187"/>
      <c r="Z6822" s="311" t="s">
        <v>214</v>
      </c>
      <c r="AB6822" t="str">
        <f>IF(Table1[[#This Row],[TIPO2]]="costo", VLOOKUP(Table1[[#This Row],[PARTIDA PRESUPUESTAL]],'Cost Report'!G:G,1,0),"Balance")</f>
        <v>2285-003</v>
      </c>
      <c r="AD6822" s="159">
        <f>+Table1[[#This Row],[SUBTOTAL]]+Table1[[#This Row],[IVA]]-Table1[[#This Row],[RET IVA]]-Table1[[#This Row],[RET ISR]]-Table1[[#This Row],[TOTAL]]</f>
        <v>0</v>
      </c>
      <c r="AK6822" s="306" t="str">
        <f>IF(ISNUMBER(Table1[[#This Row],[FECHA DE RECIBIDO]]), Table1[[#This Row],[FECHA DE RECIBIDO]]-DATE(2023,8,30), "")</f>
        <v/>
      </c>
    </row>
    <row r="6823" spans="1:37" ht="18" customHeight="1">
      <c r="A6823" s="172"/>
      <c r="B6823" s="178"/>
      <c r="C6823" s="179" t="s">
        <v>2455</v>
      </c>
      <c r="D6823">
        <v>4614</v>
      </c>
      <c r="E6823" s="125"/>
      <c r="F6823" s="178"/>
      <c r="G6823" s="178"/>
      <c r="H6823"/>
      <c r="I6823" s="178"/>
      <c r="J6823" s="320" t="s">
        <v>214</v>
      </c>
      <c r="K6823" s="178"/>
      <c r="L6823" s="125" t="s">
        <v>4863</v>
      </c>
      <c r="M6823">
        <v>233</v>
      </c>
      <c r="N6823" s="182"/>
      <c r="O6823">
        <v>522</v>
      </c>
      <c r="P6823" s="176" t="s">
        <v>77</v>
      </c>
      <c r="Q6823" s="176">
        <v>9.395999999999999</v>
      </c>
      <c r="R6823" s="176"/>
      <c r="S6823" s="176"/>
      <c r="T6823" s="190"/>
      <c r="U6823" s="191"/>
      <c r="V6823" s="191">
        <f>+Table1[[#This Row],[SUBTOTAL]]+Table1[[#This Row],[IVA]]-Table1[[#This Row],[RET IVA]]-Table1[[#This Row],[RET ISR]]</f>
        <v>9.395999999999999</v>
      </c>
      <c r="W6823"/>
      <c r="X6823" s="186"/>
      <c r="Y6823" s="187"/>
      <c r="Z6823" s="311" t="s">
        <v>214</v>
      </c>
      <c r="AB6823" t="str">
        <f>IF(Table1[[#This Row],[TIPO2]]="costo", VLOOKUP(Table1[[#This Row],[PARTIDA PRESUPUESTAL]],'Cost Report'!G:G,1,0),"Balance")</f>
        <v>2285-003</v>
      </c>
      <c r="AD6823" s="159">
        <f>+Table1[[#This Row],[SUBTOTAL]]+Table1[[#This Row],[IVA]]-Table1[[#This Row],[RET IVA]]-Table1[[#This Row],[RET ISR]]-Table1[[#This Row],[TOTAL]]</f>
        <v>0</v>
      </c>
      <c r="AK6823" s="306" t="str">
        <f>IF(ISNUMBER(Table1[[#This Row],[FECHA DE RECIBIDO]]), Table1[[#This Row],[FECHA DE RECIBIDO]]-DATE(2023,8,30), "")</f>
        <v/>
      </c>
    </row>
    <row r="6824" spans="1:37" ht="18" customHeight="1">
      <c r="A6824" s="172"/>
      <c r="B6824" s="178"/>
      <c r="C6824" s="179" t="s">
        <v>2455</v>
      </c>
      <c r="D6824">
        <v>4614</v>
      </c>
      <c r="E6824" s="125"/>
      <c r="F6824" s="178"/>
      <c r="G6824" s="178"/>
      <c r="H6824"/>
      <c r="I6824" s="178"/>
      <c r="J6824" s="320" t="s">
        <v>214</v>
      </c>
      <c r="K6824" s="178"/>
      <c r="L6824" s="125" t="s">
        <v>4863</v>
      </c>
      <c r="M6824">
        <v>234</v>
      </c>
      <c r="N6824" s="182"/>
      <c r="O6824">
        <v>522</v>
      </c>
      <c r="P6824" s="176" t="s">
        <v>77</v>
      </c>
      <c r="Q6824" s="176">
        <v>10.44</v>
      </c>
      <c r="R6824" s="176"/>
      <c r="S6824" s="176"/>
      <c r="T6824" s="190"/>
      <c r="U6824" s="191"/>
      <c r="V6824" s="191">
        <f>+Table1[[#This Row],[SUBTOTAL]]+Table1[[#This Row],[IVA]]-Table1[[#This Row],[RET IVA]]-Table1[[#This Row],[RET ISR]]</f>
        <v>10.44</v>
      </c>
      <c r="W6824"/>
      <c r="X6824" s="186"/>
      <c r="Y6824" s="187"/>
      <c r="Z6824" s="311" t="s">
        <v>214</v>
      </c>
      <c r="AB6824" t="str">
        <f>IF(Table1[[#This Row],[TIPO2]]="costo", VLOOKUP(Table1[[#This Row],[PARTIDA PRESUPUESTAL]],'Cost Report'!G:G,1,0),"Balance")</f>
        <v>2285-003</v>
      </c>
      <c r="AD6824" s="159">
        <f>+Table1[[#This Row],[SUBTOTAL]]+Table1[[#This Row],[IVA]]-Table1[[#This Row],[RET IVA]]-Table1[[#This Row],[RET ISR]]-Table1[[#This Row],[TOTAL]]</f>
        <v>0</v>
      </c>
      <c r="AK6824" s="306" t="str">
        <f>IF(ISNUMBER(Table1[[#This Row],[FECHA DE RECIBIDO]]), Table1[[#This Row],[FECHA DE RECIBIDO]]-DATE(2023,8,30), "")</f>
        <v/>
      </c>
    </row>
    <row r="6825" spans="1:37" ht="18" customHeight="1">
      <c r="A6825" s="172"/>
      <c r="B6825" s="178"/>
      <c r="C6825" s="179" t="s">
        <v>2455</v>
      </c>
      <c r="D6825">
        <v>4614</v>
      </c>
      <c r="E6825" s="125"/>
      <c r="F6825" s="178"/>
      <c r="G6825" s="178"/>
      <c r="H6825"/>
      <c r="I6825" s="178"/>
      <c r="J6825" s="320" t="s">
        <v>214</v>
      </c>
      <c r="K6825" s="178"/>
      <c r="L6825" s="125" t="s">
        <v>4863</v>
      </c>
      <c r="M6825">
        <v>240</v>
      </c>
      <c r="N6825" s="182"/>
      <c r="O6825">
        <v>532</v>
      </c>
      <c r="P6825" s="176" t="s">
        <v>77</v>
      </c>
      <c r="Q6825" s="176">
        <v>10.176</v>
      </c>
      <c r="R6825" s="176"/>
      <c r="S6825" s="176"/>
      <c r="T6825" s="190"/>
      <c r="U6825" s="191"/>
      <c r="V6825" s="191">
        <f>+Table1[[#This Row],[SUBTOTAL]]+Table1[[#This Row],[IVA]]-Table1[[#This Row],[RET IVA]]-Table1[[#This Row],[RET ISR]]</f>
        <v>10.176</v>
      </c>
      <c r="W6825"/>
      <c r="X6825" s="186"/>
      <c r="Y6825" s="187"/>
      <c r="Z6825" s="311" t="s">
        <v>214</v>
      </c>
      <c r="AB6825" t="str">
        <f>IF(Table1[[#This Row],[TIPO2]]="costo", VLOOKUP(Table1[[#This Row],[PARTIDA PRESUPUESTAL]],'Cost Report'!G:G,1,0),"Balance")</f>
        <v>2285-003</v>
      </c>
      <c r="AD6825" s="159">
        <f>+Table1[[#This Row],[SUBTOTAL]]+Table1[[#This Row],[IVA]]-Table1[[#This Row],[RET IVA]]-Table1[[#This Row],[RET ISR]]-Table1[[#This Row],[TOTAL]]</f>
        <v>0</v>
      </c>
      <c r="AK6825" s="306" t="str">
        <f>IF(ISNUMBER(Table1[[#This Row],[FECHA DE RECIBIDO]]), Table1[[#This Row],[FECHA DE RECIBIDO]]-DATE(2023,8,30), "")</f>
        <v/>
      </c>
    </row>
    <row r="6826" spans="1:37" ht="18" customHeight="1">
      <c r="A6826" s="172"/>
      <c r="B6826" s="178"/>
      <c r="C6826" s="179" t="s">
        <v>2455</v>
      </c>
      <c r="D6826">
        <v>4614</v>
      </c>
      <c r="E6826" s="125"/>
      <c r="F6826" s="178"/>
      <c r="G6826" s="178"/>
      <c r="H6826"/>
      <c r="I6826" s="178"/>
      <c r="J6826" s="320" t="s">
        <v>214</v>
      </c>
      <c r="K6826" s="178"/>
      <c r="L6826" s="125" t="s">
        <v>4863</v>
      </c>
      <c r="M6826">
        <v>241</v>
      </c>
      <c r="N6826" s="182"/>
      <c r="O6826">
        <v>533</v>
      </c>
      <c r="P6826" s="176" t="s">
        <v>77</v>
      </c>
      <c r="Q6826" s="176">
        <v>3</v>
      </c>
      <c r="R6826" s="176"/>
      <c r="S6826" s="176"/>
      <c r="T6826" s="190"/>
      <c r="U6826" s="191"/>
      <c r="V6826" s="191">
        <f>+Table1[[#This Row],[SUBTOTAL]]+Table1[[#This Row],[IVA]]-Table1[[#This Row],[RET IVA]]-Table1[[#This Row],[RET ISR]]</f>
        <v>3</v>
      </c>
      <c r="W6826"/>
      <c r="X6826" s="186"/>
      <c r="Y6826" s="187"/>
      <c r="Z6826" s="311" t="s">
        <v>214</v>
      </c>
      <c r="AB6826" t="str">
        <f>IF(Table1[[#This Row],[TIPO2]]="costo", VLOOKUP(Table1[[#This Row],[PARTIDA PRESUPUESTAL]],'Cost Report'!G:G,1,0),"Balance")</f>
        <v>2285-003</v>
      </c>
      <c r="AD6826" s="159">
        <f>+Table1[[#This Row],[SUBTOTAL]]+Table1[[#This Row],[IVA]]-Table1[[#This Row],[RET IVA]]-Table1[[#This Row],[RET ISR]]-Table1[[#This Row],[TOTAL]]</f>
        <v>0</v>
      </c>
      <c r="AK6826" s="306" t="str">
        <f>IF(ISNUMBER(Table1[[#This Row],[FECHA DE RECIBIDO]]), Table1[[#This Row],[FECHA DE RECIBIDO]]-DATE(2023,8,30), "")</f>
        <v/>
      </c>
    </row>
    <row r="6827" spans="1:37" ht="18" customHeight="1">
      <c r="A6827" s="172"/>
      <c r="B6827" s="178"/>
      <c r="C6827" s="179" t="s">
        <v>2455</v>
      </c>
      <c r="D6827">
        <v>4614</v>
      </c>
      <c r="E6827" s="125"/>
      <c r="F6827" s="178"/>
      <c r="G6827" s="178"/>
      <c r="H6827"/>
      <c r="I6827" s="178"/>
      <c r="J6827" s="320" t="s">
        <v>214</v>
      </c>
      <c r="K6827" s="178"/>
      <c r="L6827" s="125" t="s">
        <v>4863</v>
      </c>
      <c r="M6827">
        <v>291</v>
      </c>
      <c r="N6827" s="182"/>
      <c r="O6827">
        <v>522</v>
      </c>
      <c r="P6827" s="176" t="s">
        <v>77</v>
      </c>
      <c r="Q6827" s="176">
        <v>9.395999999999999</v>
      </c>
      <c r="R6827" s="176"/>
      <c r="S6827" s="176"/>
      <c r="T6827" s="190"/>
      <c r="U6827" s="191"/>
      <c r="V6827" s="191">
        <f>+Table1[[#This Row],[SUBTOTAL]]+Table1[[#This Row],[IVA]]-Table1[[#This Row],[RET IVA]]-Table1[[#This Row],[RET ISR]]</f>
        <v>9.395999999999999</v>
      </c>
      <c r="W6827"/>
      <c r="X6827" s="186"/>
      <c r="Y6827" s="187"/>
      <c r="Z6827" s="311" t="s">
        <v>214</v>
      </c>
      <c r="AB6827" t="str">
        <f>IF(Table1[[#This Row],[TIPO2]]="costo", VLOOKUP(Table1[[#This Row],[PARTIDA PRESUPUESTAL]],'Cost Report'!G:G,1,0),"Balance")</f>
        <v>2285-003</v>
      </c>
      <c r="AD6827" s="159">
        <f>+Table1[[#This Row],[SUBTOTAL]]+Table1[[#This Row],[IVA]]-Table1[[#This Row],[RET IVA]]-Table1[[#This Row],[RET ISR]]-Table1[[#This Row],[TOTAL]]</f>
        <v>0</v>
      </c>
      <c r="AK6827" s="306" t="str">
        <f>IF(ISNUMBER(Table1[[#This Row],[FECHA DE RECIBIDO]]), Table1[[#This Row],[FECHA DE RECIBIDO]]-DATE(2023,8,30), "")</f>
        <v/>
      </c>
    </row>
    <row r="6828" spans="1:37" ht="18" customHeight="1">
      <c r="A6828" s="172"/>
      <c r="B6828" s="178"/>
      <c r="C6828" s="179" t="s">
        <v>2455</v>
      </c>
      <c r="D6828">
        <v>4614</v>
      </c>
      <c r="E6828" s="125"/>
      <c r="F6828" s="178"/>
      <c r="G6828" s="178"/>
      <c r="H6828"/>
      <c r="I6828" s="178"/>
      <c r="J6828" s="320" t="s">
        <v>214</v>
      </c>
      <c r="K6828" s="178"/>
      <c r="L6828" s="125" t="s">
        <v>4863</v>
      </c>
      <c r="M6828">
        <v>234</v>
      </c>
      <c r="N6828" s="182"/>
      <c r="O6828">
        <v>522</v>
      </c>
      <c r="P6828" s="176" t="s">
        <v>77</v>
      </c>
      <c r="Q6828" s="176">
        <v>10.44</v>
      </c>
      <c r="R6828" s="176"/>
      <c r="S6828" s="176"/>
      <c r="T6828" s="190"/>
      <c r="U6828" s="191"/>
      <c r="V6828" s="191">
        <f>+Table1[[#This Row],[SUBTOTAL]]+Table1[[#This Row],[IVA]]-Table1[[#This Row],[RET IVA]]-Table1[[#This Row],[RET ISR]]</f>
        <v>10.44</v>
      </c>
      <c r="W6828"/>
      <c r="X6828" s="186"/>
      <c r="Y6828" s="187"/>
      <c r="Z6828" s="311" t="s">
        <v>214</v>
      </c>
      <c r="AB6828" t="str">
        <f>IF(Table1[[#This Row],[TIPO2]]="costo", VLOOKUP(Table1[[#This Row],[PARTIDA PRESUPUESTAL]],'Cost Report'!G:G,1,0),"Balance")</f>
        <v>2285-003</v>
      </c>
      <c r="AD6828" s="159">
        <f>+Table1[[#This Row],[SUBTOTAL]]+Table1[[#This Row],[IVA]]-Table1[[#This Row],[RET IVA]]-Table1[[#This Row],[RET ISR]]-Table1[[#This Row],[TOTAL]]</f>
        <v>0</v>
      </c>
      <c r="AK6828" s="306" t="str">
        <f>IF(ISNUMBER(Table1[[#This Row],[FECHA DE RECIBIDO]]), Table1[[#This Row],[FECHA DE RECIBIDO]]-DATE(2023,8,30), "")</f>
        <v/>
      </c>
    </row>
    <row r="6829" spans="1:37" ht="18" customHeight="1">
      <c r="A6829" s="172"/>
      <c r="B6829" s="178"/>
      <c r="C6829" s="179" t="s">
        <v>2596</v>
      </c>
      <c r="D6829">
        <v>4614</v>
      </c>
      <c r="E6829" s="125"/>
      <c r="F6829" s="178"/>
      <c r="G6829" s="178"/>
      <c r="H6829"/>
      <c r="I6829" s="178"/>
      <c r="J6829" s="320" t="s">
        <v>214</v>
      </c>
      <c r="K6829" s="178"/>
      <c r="L6829" s="125" t="s">
        <v>4863</v>
      </c>
      <c r="M6829">
        <v>302</v>
      </c>
      <c r="N6829" s="182"/>
      <c r="O6829">
        <v>693</v>
      </c>
      <c r="P6829" s="176" t="s">
        <v>77</v>
      </c>
      <c r="Q6829" s="176">
        <v>48</v>
      </c>
      <c r="R6829" s="176"/>
      <c r="S6829" s="176"/>
      <c r="T6829" s="190"/>
      <c r="U6829" s="191"/>
      <c r="V6829" s="191">
        <f>+Table1[[#This Row],[SUBTOTAL]]+Table1[[#This Row],[IVA]]-Table1[[#This Row],[RET IVA]]-Table1[[#This Row],[RET ISR]]</f>
        <v>48</v>
      </c>
      <c r="W6829"/>
      <c r="X6829" s="186"/>
      <c r="Y6829" s="187"/>
      <c r="Z6829" s="311" t="s">
        <v>214</v>
      </c>
      <c r="AB6829" t="str">
        <f>IF(Table1[[#This Row],[TIPO2]]="costo", VLOOKUP(Table1[[#This Row],[PARTIDA PRESUPUESTAL]],'Cost Report'!G:G,1,0),"Balance")</f>
        <v>2794-003</v>
      </c>
      <c r="AD6829" s="159">
        <f>+Table1[[#This Row],[SUBTOTAL]]+Table1[[#This Row],[IVA]]-Table1[[#This Row],[RET IVA]]-Table1[[#This Row],[RET ISR]]-Table1[[#This Row],[TOTAL]]</f>
        <v>0</v>
      </c>
      <c r="AK6829" s="306" t="str">
        <f>IF(ISNUMBER(Table1[[#This Row],[FECHA DE RECIBIDO]]), Table1[[#This Row],[FECHA DE RECIBIDO]]-DATE(2023,8,30), "")</f>
        <v/>
      </c>
    </row>
    <row r="6830" spans="1:37" ht="18" customHeight="1">
      <c r="A6830" s="172"/>
      <c r="B6830" s="178"/>
      <c r="C6830" s="179" t="s">
        <v>2596</v>
      </c>
      <c r="D6830">
        <v>4614</v>
      </c>
      <c r="E6830" s="125"/>
      <c r="F6830" s="178"/>
      <c r="G6830" s="178"/>
      <c r="H6830"/>
      <c r="I6830" s="178"/>
      <c r="J6830" s="320" t="s">
        <v>214</v>
      </c>
      <c r="K6830" s="178"/>
      <c r="L6830" s="125" t="s">
        <v>4863</v>
      </c>
      <c r="M6830">
        <v>303</v>
      </c>
      <c r="N6830" s="182"/>
      <c r="O6830">
        <v>694</v>
      </c>
      <c r="P6830" s="176" t="s">
        <v>77</v>
      </c>
      <c r="Q6830" s="176">
        <v>24</v>
      </c>
      <c r="R6830" s="176"/>
      <c r="S6830" s="176"/>
      <c r="T6830" s="190"/>
      <c r="U6830" s="191"/>
      <c r="V6830" s="191">
        <f>+Table1[[#This Row],[SUBTOTAL]]+Table1[[#This Row],[IVA]]-Table1[[#This Row],[RET IVA]]-Table1[[#This Row],[RET ISR]]</f>
        <v>24</v>
      </c>
      <c r="W6830"/>
      <c r="X6830" s="186"/>
      <c r="Y6830" s="187"/>
      <c r="Z6830" s="311" t="s">
        <v>214</v>
      </c>
      <c r="AB6830" t="str">
        <f>IF(Table1[[#This Row],[TIPO2]]="costo", VLOOKUP(Table1[[#This Row],[PARTIDA PRESUPUESTAL]],'Cost Report'!G:G,1,0),"Balance")</f>
        <v>2794-003</v>
      </c>
      <c r="AD6830" s="159">
        <f>+Table1[[#This Row],[SUBTOTAL]]+Table1[[#This Row],[IVA]]-Table1[[#This Row],[RET IVA]]-Table1[[#This Row],[RET ISR]]-Table1[[#This Row],[TOTAL]]</f>
        <v>0</v>
      </c>
      <c r="AK6830" s="306" t="str">
        <f>IF(ISNUMBER(Table1[[#This Row],[FECHA DE RECIBIDO]]), Table1[[#This Row],[FECHA DE RECIBIDO]]-DATE(2023,8,30), "")</f>
        <v/>
      </c>
    </row>
    <row r="6831" spans="1:37" ht="18" customHeight="1">
      <c r="A6831" s="172"/>
      <c r="B6831" s="178"/>
      <c r="C6831" s="179" t="s">
        <v>2455</v>
      </c>
      <c r="D6831">
        <v>4614</v>
      </c>
      <c r="E6831" s="125"/>
      <c r="F6831" s="178"/>
      <c r="G6831" s="178"/>
      <c r="H6831"/>
      <c r="I6831" s="178"/>
      <c r="J6831" s="320" t="s">
        <v>214</v>
      </c>
      <c r="K6831" s="178"/>
      <c r="L6831" s="125" t="s">
        <v>4863</v>
      </c>
      <c r="M6831">
        <v>234</v>
      </c>
      <c r="N6831" s="182"/>
      <c r="O6831">
        <v>522</v>
      </c>
      <c r="P6831" s="176" t="s">
        <v>77</v>
      </c>
      <c r="Q6831" s="176">
        <v>10.44</v>
      </c>
      <c r="R6831" s="176"/>
      <c r="S6831" s="176"/>
      <c r="T6831" s="190"/>
      <c r="U6831" s="191"/>
      <c r="V6831" s="191">
        <f>+Table1[[#This Row],[SUBTOTAL]]+Table1[[#This Row],[IVA]]-Table1[[#This Row],[RET IVA]]-Table1[[#This Row],[RET ISR]]</f>
        <v>10.44</v>
      </c>
      <c r="W6831"/>
      <c r="X6831" s="186"/>
      <c r="Y6831" s="187"/>
      <c r="Z6831" s="311" t="s">
        <v>214</v>
      </c>
      <c r="AB6831" t="str">
        <f>IF(Table1[[#This Row],[TIPO2]]="costo", VLOOKUP(Table1[[#This Row],[PARTIDA PRESUPUESTAL]],'Cost Report'!G:G,1,0),"Balance")</f>
        <v>2285-003</v>
      </c>
      <c r="AD6831" s="159">
        <f>+Table1[[#This Row],[SUBTOTAL]]+Table1[[#This Row],[IVA]]-Table1[[#This Row],[RET IVA]]-Table1[[#This Row],[RET ISR]]-Table1[[#This Row],[TOTAL]]</f>
        <v>0</v>
      </c>
      <c r="AK6831" s="306" t="str">
        <f>IF(ISNUMBER(Table1[[#This Row],[FECHA DE RECIBIDO]]), Table1[[#This Row],[FECHA DE RECIBIDO]]-DATE(2023,8,30), "")</f>
        <v/>
      </c>
    </row>
    <row r="6832" spans="1:37" ht="18" customHeight="1">
      <c r="A6832" s="172"/>
      <c r="B6832" s="178"/>
      <c r="C6832" s="179" t="s">
        <v>2455</v>
      </c>
      <c r="D6832">
        <v>4614</v>
      </c>
      <c r="E6832" s="125"/>
      <c r="F6832" s="178"/>
      <c r="G6832" s="178"/>
      <c r="H6832"/>
      <c r="I6832" s="178"/>
      <c r="J6832" s="320" t="s">
        <v>214</v>
      </c>
      <c r="K6832" s="178"/>
      <c r="L6832" s="125" t="s">
        <v>4863</v>
      </c>
      <c r="M6832">
        <v>316</v>
      </c>
      <c r="N6832" s="182"/>
      <c r="O6832">
        <v>725</v>
      </c>
      <c r="P6832" s="176" t="s">
        <v>77</v>
      </c>
      <c r="Q6832" s="176">
        <v>15</v>
      </c>
      <c r="R6832" s="176"/>
      <c r="S6832" s="176"/>
      <c r="T6832" s="190"/>
      <c r="U6832" s="191"/>
      <c r="V6832" s="191">
        <f>+Table1[[#This Row],[SUBTOTAL]]+Table1[[#This Row],[IVA]]-Table1[[#This Row],[RET IVA]]-Table1[[#This Row],[RET ISR]]</f>
        <v>15</v>
      </c>
      <c r="W6832"/>
      <c r="X6832" s="186"/>
      <c r="Y6832" s="187"/>
      <c r="Z6832" s="311" t="s">
        <v>214</v>
      </c>
      <c r="AB6832" t="str">
        <f>IF(Table1[[#This Row],[TIPO2]]="costo", VLOOKUP(Table1[[#This Row],[PARTIDA PRESUPUESTAL]],'Cost Report'!G:G,1,0),"Balance")</f>
        <v>2285-003</v>
      </c>
      <c r="AD6832" s="159">
        <f>+Table1[[#This Row],[SUBTOTAL]]+Table1[[#This Row],[IVA]]-Table1[[#This Row],[RET IVA]]-Table1[[#This Row],[RET ISR]]-Table1[[#This Row],[TOTAL]]</f>
        <v>0</v>
      </c>
      <c r="AK6832" s="306" t="str">
        <f>IF(ISNUMBER(Table1[[#This Row],[FECHA DE RECIBIDO]]), Table1[[#This Row],[FECHA DE RECIBIDO]]-DATE(2023,8,30), "")</f>
        <v/>
      </c>
    </row>
    <row r="6833" spans="1:37" ht="18" customHeight="1">
      <c r="A6833" s="172"/>
      <c r="B6833" s="178"/>
      <c r="C6833" s="179" t="s">
        <v>2455</v>
      </c>
      <c r="D6833">
        <v>4614</v>
      </c>
      <c r="E6833" s="125"/>
      <c r="F6833" s="178"/>
      <c r="G6833" s="178"/>
      <c r="H6833"/>
      <c r="I6833" s="178"/>
      <c r="J6833" s="320" t="s">
        <v>214</v>
      </c>
      <c r="K6833" s="178"/>
      <c r="L6833" s="125" t="s">
        <v>4863</v>
      </c>
      <c r="M6833">
        <v>317</v>
      </c>
      <c r="N6833" s="182"/>
      <c r="O6833">
        <v>726</v>
      </c>
      <c r="P6833" s="176" t="s">
        <v>77</v>
      </c>
      <c r="Q6833" s="176">
        <v>3</v>
      </c>
      <c r="R6833" s="176"/>
      <c r="S6833" s="176"/>
      <c r="T6833" s="190"/>
      <c r="U6833" s="191"/>
      <c r="V6833" s="191">
        <f>+Table1[[#This Row],[SUBTOTAL]]+Table1[[#This Row],[IVA]]-Table1[[#This Row],[RET IVA]]-Table1[[#This Row],[RET ISR]]</f>
        <v>3</v>
      </c>
      <c r="W6833"/>
      <c r="X6833" s="186"/>
      <c r="Y6833" s="187"/>
      <c r="Z6833" s="311" t="s">
        <v>214</v>
      </c>
      <c r="AB6833" t="str">
        <f>IF(Table1[[#This Row],[TIPO2]]="costo", VLOOKUP(Table1[[#This Row],[PARTIDA PRESUPUESTAL]],'Cost Report'!G:G,1,0),"Balance")</f>
        <v>2285-003</v>
      </c>
      <c r="AD6833" s="159">
        <f>+Table1[[#This Row],[SUBTOTAL]]+Table1[[#This Row],[IVA]]-Table1[[#This Row],[RET IVA]]-Table1[[#This Row],[RET ISR]]-Table1[[#This Row],[TOTAL]]</f>
        <v>0</v>
      </c>
      <c r="AK6833" s="306" t="str">
        <f>IF(ISNUMBER(Table1[[#This Row],[FECHA DE RECIBIDO]]), Table1[[#This Row],[FECHA DE RECIBIDO]]-DATE(2023,8,30), "")</f>
        <v/>
      </c>
    </row>
    <row r="6834" spans="1:37" ht="18" customHeight="1">
      <c r="A6834" s="172"/>
      <c r="B6834" s="178"/>
      <c r="C6834" s="179" t="s">
        <v>2455</v>
      </c>
      <c r="D6834">
        <v>4614</v>
      </c>
      <c r="E6834" s="125"/>
      <c r="F6834" s="178"/>
      <c r="G6834" s="178"/>
      <c r="H6834"/>
      <c r="I6834" s="178"/>
      <c r="J6834" s="320" t="s">
        <v>214</v>
      </c>
      <c r="K6834" s="178"/>
      <c r="L6834" s="125" t="s">
        <v>4863</v>
      </c>
      <c r="M6834">
        <v>366</v>
      </c>
      <c r="N6834" s="182"/>
      <c r="O6834">
        <v>522</v>
      </c>
      <c r="P6834" s="176" t="s">
        <v>77</v>
      </c>
      <c r="Q6834" s="176">
        <v>10.44</v>
      </c>
      <c r="R6834" s="176"/>
      <c r="S6834" s="176"/>
      <c r="T6834" s="190"/>
      <c r="U6834" s="191"/>
      <c r="V6834" s="191">
        <f>+Table1[[#This Row],[SUBTOTAL]]+Table1[[#This Row],[IVA]]-Table1[[#This Row],[RET IVA]]-Table1[[#This Row],[RET ISR]]</f>
        <v>10.44</v>
      </c>
      <c r="W6834"/>
      <c r="X6834" s="186"/>
      <c r="Y6834" s="187"/>
      <c r="Z6834" s="311" t="s">
        <v>214</v>
      </c>
      <c r="AB6834" t="str">
        <f>IF(Table1[[#This Row],[TIPO2]]="costo", VLOOKUP(Table1[[#This Row],[PARTIDA PRESUPUESTAL]],'Cost Report'!G:G,1,0),"Balance")</f>
        <v>2285-003</v>
      </c>
      <c r="AD6834" s="159">
        <f>+Table1[[#This Row],[SUBTOTAL]]+Table1[[#This Row],[IVA]]-Table1[[#This Row],[RET IVA]]-Table1[[#This Row],[RET ISR]]-Table1[[#This Row],[TOTAL]]</f>
        <v>0</v>
      </c>
      <c r="AK6834" s="306" t="str">
        <f>IF(ISNUMBER(Table1[[#This Row],[FECHA DE RECIBIDO]]), Table1[[#This Row],[FECHA DE RECIBIDO]]-DATE(2023,8,30), "")</f>
        <v/>
      </c>
    </row>
    <row r="6835" spans="1:37" ht="18" customHeight="1">
      <c r="A6835" s="172"/>
      <c r="B6835" s="178"/>
      <c r="C6835" s="179" t="s">
        <v>2758</v>
      </c>
      <c r="D6835">
        <v>4614</v>
      </c>
      <c r="E6835" s="125"/>
      <c r="F6835" s="178"/>
      <c r="G6835" s="178"/>
      <c r="H6835"/>
      <c r="I6835" s="178"/>
      <c r="J6835" s="320" t="s">
        <v>214</v>
      </c>
      <c r="K6835" s="178"/>
      <c r="L6835" s="125" t="s">
        <v>4863</v>
      </c>
      <c r="M6835">
        <v>375</v>
      </c>
      <c r="N6835" s="182"/>
      <c r="O6835">
        <v>4489</v>
      </c>
      <c r="P6835" s="176" t="s">
        <v>77</v>
      </c>
      <c r="Q6835" s="176">
        <v>10.266</v>
      </c>
      <c r="R6835" s="176"/>
      <c r="S6835" s="176"/>
      <c r="T6835" s="190"/>
      <c r="U6835" s="191"/>
      <c r="V6835" s="191">
        <f>+Table1[[#This Row],[SUBTOTAL]]+Table1[[#This Row],[IVA]]-Table1[[#This Row],[RET IVA]]-Table1[[#This Row],[RET ISR]]</f>
        <v>10.266</v>
      </c>
      <c r="W6835"/>
      <c r="X6835" s="186"/>
      <c r="Y6835" s="187"/>
      <c r="Z6835" s="311" t="s">
        <v>214</v>
      </c>
      <c r="AB6835" t="str">
        <f>IF(Table1[[#This Row],[TIPO2]]="costo", VLOOKUP(Table1[[#This Row],[PARTIDA PRESUPUESTAL]],'Cost Report'!G:G,1,0),"Balance")</f>
        <v>3401-022</v>
      </c>
      <c r="AD6835" s="159">
        <f>+Table1[[#This Row],[SUBTOTAL]]+Table1[[#This Row],[IVA]]-Table1[[#This Row],[RET IVA]]-Table1[[#This Row],[RET ISR]]-Table1[[#This Row],[TOTAL]]</f>
        <v>0</v>
      </c>
      <c r="AK6835" s="306" t="str">
        <f>IF(ISNUMBER(Table1[[#This Row],[FECHA DE RECIBIDO]]), Table1[[#This Row],[FECHA DE RECIBIDO]]-DATE(2023,8,30), "")</f>
        <v/>
      </c>
    </row>
    <row r="6836" spans="1:37" ht="18" customHeight="1">
      <c r="A6836" s="172"/>
      <c r="B6836" s="178"/>
      <c r="C6836" s="179" t="s">
        <v>2455</v>
      </c>
      <c r="D6836">
        <v>4614</v>
      </c>
      <c r="E6836" s="125"/>
      <c r="F6836" s="178"/>
      <c r="G6836" s="178"/>
      <c r="H6836"/>
      <c r="I6836" s="178"/>
      <c r="J6836" s="320" t="s">
        <v>214</v>
      </c>
      <c r="K6836" s="178"/>
      <c r="L6836" s="125" t="s">
        <v>4863</v>
      </c>
      <c r="M6836">
        <v>383</v>
      </c>
      <c r="N6836" s="182"/>
      <c r="O6836">
        <v>522</v>
      </c>
      <c r="P6836" s="176" t="s">
        <v>77</v>
      </c>
      <c r="Q6836" s="176">
        <v>9.2219999999999995</v>
      </c>
      <c r="R6836" s="176"/>
      <c r="S6836" s="176"/>
      <c r="T6836" s="190"/>
      <c r="U6836" s="191"/>
      <c r="V6836" s="191">
        <f>+Table1[[#This Row],[SUBTOTAL]]+Table1[[#This Row],[IVA]]-Table1[[#This Row],[RET IVA]]-Table1[[#This Row],[RET ISR]]</f>
        <v>9.2219999999999995</v>
      </c>
      <c r="W6836"/>
      <c r="X6836" s="186"/>
      <c r="Y6836" s="187"/>
      <c r="Z6836" s="311" t="s">
        <v>214</v>
      </c>
      <c r="AB6836" t="str">
        <f>IF(Table1[[#This Row],[TIPO2]]="costo", VLOOKUP(Table1[[#This Row],[PARTIDA PRESUPUESTAL]],'Cost Report'!G:G,1,0),"Balance")</f>
        <v>2285-003</v>
      </c>
      <c r="AD6836" s="159">
        <f>+Table1[[#This Row],[SUBTOTAL]]+Table1[[#This Row],[IVA]]-Table1[[#This Row],[RET IVA]]-Table1[[#This Row],[RET ISR]]-Table1[[#This Row],[TOTAL]]</f>
        <v>0</v>
      </c>
      <c r="AK6836" s="306" t="str">
        <f>IF(ISNUMBER(Table1[[#This Row],[FECHA DE RECIBIDO]]), Table1[[#This Row],[FECHA DE RECIBIDO]]-DATE(2023,8,30), "")</f>
        <v/>
      </c>
    </row>
    <row r="6837" spans="1:37" ht="18" customHeight="1">
      <c r="A6837" s="172"/>
      <c r="B6837" s="178"/>
      <c r="C6837" s="179" t="s">
        <v>2565</v>
      </c>
      <c r="D6837">
        <v>4614</v>
      </c>
      <c r="E6837" s="125"/>
      <c r="F6837" s="178"/>
      <c r="G6837" s="178"/>
      <c r="H6837"/>
      <c r="I6837" s="178"/>
      <c r="J6837" s="320" t="s">
        <v>214</v>
      </c>
      <c r="K6837" s="178"/>
      <c r="L6837" s="125" t="s">
        <v>4863</v>
      </c>
      <c r="M6837">
        <v>394</v>
      </c>
      <c r="N6837" s="182"/>
      <c r="O6837">
        <v>905</v>
      </c>
      <c r="P6837" s="176" t="s">
        <v>77</v>
      </c>
      <c r="Q6837" s="176">
        <v>34.5</v>
      </c>
      <c r="R6837" s="176"/>
      <c r="S6837" s="176"/>
      <c r="T6837" s="190"/>
      <c r="U6837" s="191"/>
      <c r="V6837" s="191">
        <f>+Table1[[#This Row],[SUBTOTAL]]+Table1[[#This Row],[IVA]]-Table1[[#This Row],[RET IVA]]-Table1[[#This Row],[RET ISR]]</f>
        <v>34.5</v>
      </c>
      <c r="W6837"/>
      <c r="X6837" s="186"/>
      <c r="Y6837" s="187"/>
      <c r="Z6837" s="311" t="s">
        <v>214</v>
      </c>
      <c r="AB6837" t="str">
        <f>IF(Table1[[#This Row],[TIPO2]]="costo", VLOOKUP(Table1[[#This Row],[PARTIDA PRESUPUESTAL]],'Cost Report'!G:G,1,0),"Balance")</f>
        <v>2585-003</v>
      </c>
      <c r="AD6837" s="159">
        <f>+Table1[[#This Row],[SUBTOTAL]]+Table1[[#This Row],[IVA]]-Table1[[#This Row],[RET IVA]]-Table1[[#This Row],[RET ISR]]-Table1[[#This Row],[TOTAL]]</f>
        <v>0</v>
      </c>
      <c r="AK6837" s="306" t="str">
        <f>IF(ISNUMBER(Table1[[#This Row],[FECHA DE RECIBIDO]]), Table1[[#This Row],[FECHA DE RECIBIDO]]-DATE(2023,8,30), "")</f>
        <v/>
      </c>
    </row>
    <row r="6838" spans="1:37" ht="18" customHeight="1">
      <c r="A6838" s="172"/>
      <c r="B6838" s="178"/>
      <c r="C6838" s="179" t="s">
        <v>2566</v>
      </c>
      <c r="D6838">
        <v>4614</v>
      </c>
      <c r="E6838" s="125"/>
      <c r="F6838" s="178"/>
      <c r="G6838" s="178"/>
      <c r="H6838"/>
      <c r="I6838" s="178"/>
      <c r="J6838" s="320" t="s">
        <v>214</v>
      </c>
      <c r="K6838" s="178"/>
      <c r="L6838" s="125" t="s">
        <v>4863</v>
      </c>
      <c r="M6838">
        <v>395</v>
      </c>
      <c r="N6838" s="182"/>
      <c r="O6838">
        <v>906</v>
      </c>
      <c r="P6838" s="176" t="s">
        <v>77</v>
      </c>
      <c r="Q6838" s="176">
        <v>356.4</v>
      </c>
      <c r="R6838" s="176"/>
      <c r="S6838" s="176"/>
      <c r="T6838" s="190"/>
      <c r="U6838" s="191"/>
      <c r="V6838" s="191">
        <f>+Table1[[#This Row],[SUBTOTAL]]+Table1[[#This Row],[IVA]]-Table1[[#This Row],[RET IVA]]-Table1[[#This Row],[RET ISR]]</f>
        <v>356.4</v>
      </c>
      <c r="W6838"/>
      <c r="X6838" s="186"/>
      <c r="Y6838" s="187"/>
      <c r="Z6838" s="311" t="s">
        <v>214</v>
      </c>
      <c r="AB6838" t="str">
        <f>IF(Table1[[#This Row],[TIPO2]]="costo", VLOOKUP(Table1[[#This Row],[PARTIDA PRESUPUESTAL]],'Cost Report'!G:G,1,0),"Balance")</f>
        <v>2594-003</v>
      </c>
      <c r="AD6838" s="159">
        <f>+Table1[[#This Row],[SUBTOTAL]]+Table1[[#This Row],[IVA]]-Table1[[#This Row],[RET IVA]]-Table1[[#This Row],[RET ISR]]-Table1[[#This Row],[TOTAL]]</f>
        <v>0</v>
      </c>
      <c r="AK6838" s="306" t="str">
        <f>IF(ISNUMBER(Table1[[#This Row],[FECHA DE RECIBIDO]]), Table1[[#This Row],[FECHA DE RECIBIDO]]-DATE(2023,8,30), "")</f>
        <v/>
      </c>
    </row>
    <row r="6839" spans="1:37" ht="18" customHeight="1">
      <c r="A6839" s="172"/>
      <c r="B6839" s="178"/>
      <c r="C6839" s="179" t="s">
        <v>2566</v>
      </c>
      <c r="D6839">
        <v>4614</v>
      </c>
      <c r="E6839" s="125"/>
      <c r="F6839" s="178"/>
      <c r="G6839" s="178"/>
      <c r="H6839"/>
      <c r="I6839" s="178"/>
      <c r="J6839" s="320" t="s">
        <v>214</v>
      </c>
      <c r="K6839" s="178"/>
      <c r="L6839" s="125" t="s">
        <v>4863</v>
      </c>
      <c r="M6839">
        <v>395</v>
      </c>
      <c r="N6839" s="182"/>
      <c r="O6839">
        <v>906</v>
      </c>
      <c r="P6839" s="176" t="s">
        <v>77</v>
      </c>
      <c r="Q6839" s="176">
        <v>145.79999999999998</v>
      </c>
      <c r="R6839" s="176"/>
      <c r="S6839" s="176"/>
      <c r="T6839" s="190"/>
      <c r="U6839" s="191"/>
      <c r="V6839" s="191">
        <f>+Table1[[#This Row],[SUBTOTAL]]+Table1[[#This Row],[IVA]]-Table1[[#This Row],[RET IVA]]-Table1[[#This Row],[RET ISR]]</f>
        <v>145.79999999999998</v>
      </c>
      <c r="W6839"/>
      <c r="X6839" s="186"/>
      <c r="Y6839" s="187"/>
      <c r="Z6839" s="311" t="s">
        <v>214</v>
      </c>
      <c r="AB6839" t="str">
        <f>IF(Table1[[#This Row],[TIPO2]]="costo", VLOOKUP(Table1[[#This Row],[PARTIDA PRESUPUESTAL]],'Cost Report'!G:G,1,0),"Balance")</f>
        <v>2594-003</v>
      </c>
      <c r="AD6839" s="159">
        <f>+Table1[[#This Row],[SUBTOTAL]]+Table1[[#This Row],[IVA]]-Table1[[#This Row],[RET IVA]]-Table1[[#This Row],[RET ISR]]-Table1[[#This Row],[TOTAL]]</f>
        <v>0</v>
      </c>
      <c r="AK6839" s="306" t="str">
        <f>IF(ISNUMBER(Table1[[#This Row],[FECHA DE RECIBIDO]]), Table1[[#This Row],[FECHA DE RECIBIDO]]-DATE(2023,8,30), "")</f>
        <v/>
      </c>
    </row>
    <row r="6840" spans="1:37" ht="18" customHeight="1">
      <c r="A6840" s="172"/>
      <c r="B6840" s="178"/>
      <c r="C6840" s="179" t="s">
        <v>2566</v>
      </c>
      <c r="D6840">
        <v>4614</v>
      </c>
      <c r="E6840" s="125"/>
      <c r="F6840" s="178"/>
      <c r="G6840" s="178"/>
      <c r="H6840"/>
      <c r="I6840" s="178"/>
      <c r="J6840" s="320" t="s">
        <v>214</v>
      </c>
      <c r="K6840" s="178"/>
      <c r="L6840" s="125" t="s">
        <v>4863</v>
      </c>
      <c r="M6840">
        <v>396</v>
      </c>
      <c r="N6840" s="182"/>
      <c r="O6840">
        <v>907</v>
      </c>
      <c r="P6840" s="176" t="s">
        <v>77</v>
      </c>
      <c r="Q6840" s="176">
        <v>27</v>
      </c>
      <c r="R6840" s="176"/>
      <c r="S6840" s="176"/>
      <c r="T6840" s="190"/>
      <c r="U6840" s="191"/>
      <c r="V6840" s="191">
        <f>+Table1[[#This Row],[SUBTOTAL]]+Table1[[#This Row],[IVA]]-Table1[[#This Row],[RET IVA]]-Table1[[#This Row],[RET ISR]]</f>
        <v>27</v>
      </c>
      <c r="W6840"/>
      <c r="X6840" s="186"/>
      <c r="Y6840" s="187"/>
      <c r="Z6840" s="311" t="s">
        <v>214</v>
      </c>
      <c r="AB6840" t="str">
        <f>IF(Table1[[#This Row],[TIPO2]]="costo", VLOOKUP(Table1[[#This Row],[PARTIDA PRESUPUESTAL]],'Cost Report'!G:G,1,0),"Balance")</f>
        <v>2594-003</v>
      </c>
      <c r="AD6840" s="159">
        <f>+Table1[[#This Row],[SUBTOTAL]]+Table1[[#This Row],[IVA]]-Table1[[#This Row],[RET IVA]]-Table1[[#This Row],[RET ISR]]-Table1[[#This Row],[TOTAL]]</f>
        <v>0</v>
      </c>
      <c r="AK6840" s="306" t="str">
        <f>IF(ISNUMBER(Table1[[#This Row],[FECHA DE RECIBIDO]]), Table1[[#This Row],[FECHA DE RECIBIDO]]-DATE(2023,8,30), "")</f>
        <v/>
      </c>
    </row>
    <row r="6841" spans="1:37" ht="18" customHeight="1">
      <c r="A6841" s="172"/>
      <c r="B6841" s="178"/>
      <c r="C6841" s="179" t="s">
        <v>2566</v>
      </c>
      <c r="D6841">
        <v>4614</v>
      </c>
      <c r="E6841" s="125"/>
      <c r="F6841" s="178"/>
      <c r="G6841" s="178"/>
      <c r="H6841"/>
      <c r="I6841" s="178"/>
      <c r="J6841" s="320" t="s">
        <v>214</v>
      </c>
      <c r="K6841" s="178"/>
      <c r="L6841" s="125" t="s">
        <v>4863</v>
      </c>
      <c r="M6841">
        <v>397</v>
      </c>
      <c r="N6841" s="182"/>
      <c r="O6841">
        <v>908</v>
      </c>
      <c r="P6841" s="176" t="s">
        <v>77</v>
      </c>
      <c r="Q6841" s="176">
        <v>47.1</v>
      </c>
      <c r="R6841" s="176"/>
      <c r="S6841" s="176"/>
      <c r="T6841" s="190"/>
      <c r="U6841" s="191"/>
      <c r="V6841" s="191">
        <f>+Table1[[#This Row],[SUBTOTAL]]+Table1[[#This Row],[IVA]]-Table1[[#This Row],[RET IVA]]-Table1[[#This Row],[RET ISR]]</f>
        <v>47.1</v>
      </c>
      <c r="W6841"/>
      <c r="X6841" s="186"/>
      <c r="Y6841" s="187"/>
      <c r="Z6841" s="311" t="s">
        <v>214</v>
      </c>
      <c r="AB6841" t="str">
        <f>IF(Table1[[#This Row],[TIPO2]]="costo", VLOOKUP(Table1[[#This Row],[PARTIDA PRESUPUESTAL]],'Cost Report'!G:G,1,0),"Balance")</f>
        <v>2594-003</v>
      </c>
      <c r="AD6841" s="159">
        <f>+Table1[[#This Row],[SUBTOTAL]]+Table1[[#This Row],[IVA]]-Table1[[#This Row],[RET IVA]]-Table1[[#This Row],[RET ISR]]-Table1[[#This Row],[TOTAL]]</f>
        <v>0</v>
      </c>
      <c r="AK6841" s="306" t="str">
        <f>IF(ISNUMBER(Table1[[#This Row],[FECHA DE RECIBIDO]]), Table1[[#This Row],[FECHA DE RECIBIDO]]-DATE(2023,8,30), "")</f>
        <v/>
      </c>
    </row>
    <row r="6842" spans="1:37" ht="18" customHeight="1">
      <c r="A6842" s="172"/>
      <c r="B6842" s="178"/>
      <c r="C6842" s="179" t="s">
        <v>2565</v>
      </c>
      <c r="D6842">
        <v>4614</v>
      </c>
      <c r="E6842" s="125"/>
      <c r="F6842" s="178"/>
      <c r="G6842" s="178"/>
      <c r="H6842"/>
      <c r="I6842" s="178"/>
      <c r="J6842" s="320" t="s">
        <v>214</v>
      </c>
      <c r="K6842" s="178"/>
      <c r="L6842" s="125" t="s">
        <v>4863</v>
      </c>
      <c r="M6842">
        <v>398</v>
      </c>
      <c r="N6842" s="182"/>
      <c r="O6842">
        <v>905</v>
      </c>
      <c r="P6842" s="176" t="s">
        <v>77</v>
      </c>
      <c r="Q6842" s="176">
        <v>3.3</v>
      </c>
      <c r="R6842" s="176"/>
      <c r="S6842" s="176"/>
      <c r="T6842" s="190"/>
      <c r="U6842" s="191"/>
      <c r="V6842" s="191">
        <f>+Table1[[#This Row],[SUBTOTAL]]+Table1[[#This Row],[IVA]]-Table1[[#This Row],[RET IVA]]-Table1[[#This Row],[RET ISR]]</f>
        <v>3.3</v>
      </c>
      <c r="W6842"/>
      <c r="X6842" s="186"/>
      <c r="Y6842" s="187"/>
      <c r="Z6842" s="311" t="s">
        <v>214</v>
      </c>
      <c r="AB6842" t="str">
        <f>IF(Table1[[#This Row],[TIPO2]]="costo", VLOOKUP(Table1[[#This Row],[PARTIDA PRESUPUESTAL]],'Cost Report'!G:G,1,0),"Balance")</f>
        <v>2585-003</v>
      </c>
      <c r="AD6842" s="159">
        <f>+Table1[[#This Row],[SUBTOTAL]]+Table1[[#This Row],[IVA]]-Table1[[#This Row],[RET IVA]]-Table1[[#This Row],[RET ISR]]-Table1[[#This Row],[TOTAL]]</f>
        <v>0</v>
      </c>
      <c r="AK6842" s="306" t="str">
        <f>IF(ISNUMBER(Table1[[#This Row],[FECHA DE RECIBIDO]]), Table1[[#This Row],[FECHA DE RECIBIDO]]-DATE(2023,8,30), "")</f>
        <v/>
      </c>
    </row>
    <row r="6843" spans="1:37" ht="18" customHeight="1">
      <c r="A6843" s="172"/>
      <c r="B6843" s="178"/>
      <c r="C6843" s="179" t="s">
        <v>2565</v>
      </c>
      <c r="D6843">
        <v>4614</v>
      </c>
      <c r="E6843" s="125"/>
      <c r="F6843" s="178"/>
      <c r="G6843" s="178"/>
      <c r="H6843"/>
      <c r="I6843" s="178"/>
      <c r="J6843" s="320" t="s">
        <v>214</v>
      </c>
      <c r="K6843" s="178"/>
      <c r="L6843" s="125" t="s">
        <v>4863</v>
      </c>
      <c r="M6843">
        <v>399</v>
      </c>
      <c r="N6843" s="182"/>
      <c r="O6843">
        <v>905</v>
      </c>
      <c r="P6843" s="176" t="s">
        <v>77</v>
      </c>
      <c r="Q6843" s="176">
        <v>1.5</v>
      </c>
      <c r="R6843" s="176"/>
      <c r="S6843" s="176"/>
      <c r="T6843" s="190"/>
      <c r="U6843" s="191"/>
      <c r="V6843" s="191">
        <f>+Table1[[#This Row],[SUBTOTAL]]+Table1[[#This Row],[IVA]]-Table1[[#This Row],[RET IVA]]-Table1[[#This Row],[RET ISR]]</f>
        <v>1.5</v>
      </c>
      <c r="W6843"/>
      <c r="X6843" s="186"/>
      <c r="Y6843" s="187"/>
      <c r="Z6843" s="311" t="s">
        <v>214</v>
      </c>
      <c r="AB6843" t="str">
        <f>IF(Table1[[#This Row],[TIPO2]]="costo", VLOOKUP(Table1[[#This Row],[PARTIDA PRESUPUESTAL]],'Cost Report'!G:G,1,0),"Balance")</f>
        <v>2585-003</v>
      </c>
      <c r="AD6843" s="159">
        <f>+Table1[[#This Row],[SUBTOTAL]]+Table1[[#This Row],[IVA]]-Table1[[#This Row],[RET IVA]]-Table1[[#This Row],[RET ISR]]-Table1[[#This Row],[TOTAL]]</f>
        <v>0</v>
      </c>
      <c r="AK6843" s="306" t="str">
        <f>IF(ISNUMBER(Table1[[#This Row],[FECHA DE RECIBIDO]]), Table1[[#This Row],[FECHA DE RECIBIDO]]-DATE(2023,8,30), "")</f>
        <v/>
      </c>
    </row>
    <row r="6844" spans="1:37" ht="18" customHeight="1">
      <c r="A6844" s="172"/>
      <c r="B6844" s="178"/>
      <c r="C6844" s="179" t="s">
        <v>2565</v>
      </c>
      <c r="D6844">
        <v>4614</v>
      </c>
      <c r="E6844" s="125"/>
      <c r="F6844" s="178"/>
      <c r="G6844" s="178"/>
      <c r="H6844"/>
      <c r="I6844" s="178"/>
      <c r="J6844" s="320" t="s">
        <v>214</v>
      </c>
      <c r="K6844" s="178"/>
      <c r="L6844" s="125" t="s">
        <v>4863</v>
      </c>
      <c r="M6844">
        <v>398</v>
      </c>
      <c r="N6844" s="182"/>
      <c r="O6844">
        <v>905</v>
      </c>
      <c r="P6844" s="176" t="s">
        <v>77</v>
      </c>
      <c r="Q6844" s="176">
        <v>1.5</v>
      </c>
      <c r="R6844" s="176"/>
      <c r="S6844" s="176"/>
      <c r="T6844" s="190"/>
      <c r="U6844" s="191"/>
      <c r="V6844" s="191">
        <f>+Table1[[#This Row],[SUBTOTAL]]+Table1[[#This Row],[IVA]]-Table1[[#This Row],[RET IVA]]-Table1[[#This Row],[RET ISR]]</f>
        <v>1.5</v>
      </c>
      <c r="W6844"/>
      <c r="X6844" s="186"/>
      <c r="Y6844" s="187"/>
      <c r="Z6844" s="311" t="s">
        <v>214</v>
      </c>
      <c r="AB6844" t="str">
        <f>IF(Table1[[#This Row],[TIPO2]]="costo", VLOOKUP(Table1[[#This Row],[PARTIDA PRESUPUESTAL]],'Cost Report'!G:G,1,0),"Balance")</f>
        <v>2585-003</v>
      </c>
      <c r="AD6844" s="159">
        <f>+Table1[[#This Row],[SUBTOTAL]]+Table1[[#This Row],[IVA]]-Table1[[#This Row],[RET IVA]]-Table1[[#This Row],[RET ISR]]-Table1[[#This Row],[TOTAL]]</f>
        <v>0</v>
      </c>
      <c r="AK6844" s="306" t="str">
        <f>IF(ISNUMBER(Table1[[#This Row],[FECHA DE RECIBIDO]]), Table1[[#This Row],[FECHA DE RECIBIDO]]-DATE(2023,8,30), "")</f>
        <v/>
      </c>
    </row>
    <row r="6845" spans="1:37" ht="18" customHeight="1">
      <c r="A6845" s="172"/>
      <c r="B6845" s="178"/>
      <c r="C6845" s="179" t="s">
        <v>2566</v>
      </c>
      <c r="D6845">
        <v>4614</v>
      </c>
      <c r="E6845" s="125"/>
      <c r="F6845" s="178"/>
      <c r="G6845" s="178"/>
      <c r="H6845"/>
      <c r="I6845" s="178"/>
      <c r="J6845" s="320" t="s">
        <v>214</v>
      </c>
      <c r="K6845" s="178"/>
      <c r="L6845" s="125" t="s">
        <v>4863</v>
      </c>
      <c r="M6845">
        <v>400</v>
      </c>
      <c r="N6845" s="182"/>
      <c r="O6845">
        <v>909</v>
      </c>
      <c r="P6845" s="176" t="s">
        <v>77</v>
      </c>
      <c r="Q6845" s="176">
        <v>510</v>
      </c>
      <c r="R6845" s="176"/>
      <c r="S6845" s="176"/>
      <c r="T6845" s="190"/>
      <c r="U6845" s="191"/>
      <c r="V6845" s="191">
        <f>+Table1[[#This Row],[SUBTOTAL]]+Table1[[#This Row],[IVA]]-Table1[[#This Row],[RET IVA]]-Table1[[#This Row],[RET ISR]]</f>
        <v>510</v>
      </c>
      <c r="W6845"/>
      <c r="X6845" s="186"/>
      <c r="Y6845" s="187"/>
      <c r="Z6845" s="311" t="s">
        <v>214</v>
      </c>
      <c r="AB6845" t="str">
        <f>IF(Table1[[#This Row],[TIPO2]]="costo", VLOOKUP(Table1[[#This Row],[PARTIDA PRESUPUESTAL]],'Cost Report'!G:G,1,0),"Balance")</f>
        <v>2594-003</v>
      </c>
      <c r="AD6845" s="159">
        <f>+Table1[[#This Row],[SUBTOTAL]]+Table1[[#This Row],[IVA]]-Table1[[#This Row],[RET IVA]]-Table1[[#This Row],[RET ISR]]-Table1[[#This Row],[TOTAL]]</f>
        <v>0</v>
      </c>
      <c r="AK6845" s="306" t="str">
        <f>IF(ISNUMBER(Table1[[#This Row],[FECHA DE RECIBIDO]]), Table1[[#This Row],[FECHA DE RECIBIDO]]-DATE(2023,8,30), "")</f>
        <v/>
      </c>
    </row>
    <row r="6846" spans="1:37" ht="18" customHeight="1">
      <c r="A6846" s="172"/>
      <c r="B6846" s="178"/>
      <c r="C6846" s="179" t="s">
        <v>2565</v>
      </c>
      <c r="D6846">
        <v>4614</v>
      </c>
      <c r="E6846" s="125"/>
      <c r="F6846" s="178"/>
      <c r="G6846" s="178"/>
      <c r="H6846"/>
      <c r="I6846" s="178"/>
      <c r="J6846" s="320" t="s">
        <v>214</v>
      </c>
      <c r="K6846" s="178"/>
      <c r="L6846" s="125" t="s">
        <v>4863</v>
      </c>
      <c r="M6846">
        <v>401</v>
      </c>
      <c r="N6846" s="182"/>
      <c r="O6846">
        <v>905</v>
      </c>
      <c r="P6846" s="176" t="s">
        <v>77</v>
      </c>
      <c r="Q6846" s="176">
        <v>10.5</v>
      </c>
      <c r="R6846" s="176"/>
      <c r="S6846" s="176"/>
      <c r="T6846" s="190"/>
      <c r="U6846" s="191"/>
      <c r="V6846" s="191">
        <f>+Table1[[#This Row],[SUBTOTAL]]+Table1[[#This Row],[IVA]]-Table1[[#This Row],[RET IVA]]-Table1[[#This Row],[RET ISR]]</f>
        <v>10.5</v>
      </c>
      <c r="W6846"/>
      <c r="X6846" s="186"/>
      <c r="Y6846" s="187"/>
      <c r="Z6846" s="311" t="s">
        <v>214</v>
      </c>
      <c r="AB6846" t="str">
        <f>IF(Table1[[#This Row],[TIPO2]]="costo", VLOOKUP(Table1[[#This Row],[PARTIDA PRESUPUESTAL]],'Cost Report'!G:G,1,0),"Balance")</f>
        <v>2585-003</v>
      </c>
      <c r="AD6846" s="159">
        <f>+Table1[[#This Row],[SUBTOTAL]]+Table1[[#This Row],[IVA]]-Table1[[#This Row],[RET IVA]]-Table1[[#This Row],[RET ISR]]-Table1[[#This Row],[TOTAL]]</f>
        <v>0</v>
      </c>
      <c r="AK6846" s="306" t="str">
        <f>IF(ISNUMBER(Table1[[#This Row],[FECHA DE RECIBIDO]]), Table1[[#This Row],[FECHA DE RECIBIDO]]-DATE(2023,8,30), "")</f>
        <v/>
      </c>
    </row>
    <row r="6847" spans="1:37" ht="18" customHeight="1">
      <c r="A6847" s="172"/>
      <c r="B6847" s="178"/>
      <c r="C6847" s="179" t="s">
        <v>2565</v>
      </c>
      <c r="D6847">
        <v>4614</v>
      </c>
      <c r="E6847" s="125"/>
      <c r="F6847" s="178"/>
      <c r="G6847" s="178"/>
      <c r="H6847"/>
      <c r="I6847" s="178"/>
      <c r="J6847" s="320" t="s">
        <v>214</v>
      </c>
      <c r="K6847" s="178"/>
      <c r="L6847" s="125" t="s">
        <v>4863</v>
      </c>
      <c r="M6847">
        <v>402</v>
      </c>
      <c r="N6847" s="182"/>
      <c r="O6847">
        <v>905</v>
      </c>
      <c r="P6847" s="176" t="s">
        <v>77</v>
      </c>
      <c r="Q6847" s="176">
        <v>10.5</v>
      </c>
      <c r="R6847" s="176"/>
      <c r="S6847" s="176"/>
      <c r="T6847" s="190"/>
      <c r="U6847" s="191"/>
      <c r="V6847" s="191">
        <f>+Table1[[#This Row],[SUBTOTAL]]+Table1[[#This Row],[IVA]]-Table1[[#This Row],[RET IVA]]-Table1[[#This Row],[RET ISR]]</f>
        <v>10.5</v>
      </c>
      <c r="W6847"/>
      <c r="X6847" s="186"/>
      <c r="Y6847" s="187"/>
      <c r="Z6847" s="311" t="s">
        <v>214</v>
      </c>
      <c r="AB6847" t="str">
        <f>IF(Table1[[#This Row],[TIPO2]]="costo", VLOOKUP(Table1[[#This Row],[PARTIDA PRESUPUESTAL]],'Cost Report'!G:G,1,0),"Balance")</f>
        <v>2585-003</v>
      </c>
      <c r="AD6847" s="159">
        <f>+Table1[[#This Row],[SUBTOTAL]]+Table1[[#This Row],[IVA]]-Table1[[#This Row],[RET IVA]]-Table1[[#This Row],[RET ISR]]-Table1[[#This Row],[TOTAL]]</f>
        <v>0</v>
      </c>
      <c r="AK6847" s="306" t="str">
        <f>IF(ISNUMBER(Table1[[#This Row],[FECHA DE RECIBIDO]]), Table1[[#This Row],[FECHA DE RECIBIDO]]-DATE(2023,8,30), "")</f>
        <v/>
      </c>
    </row>
    <row r="6848" spans="1:37" ht="18" customHeight="1">
      <c r="A6848" s="172"/>
      <c r="B6848" s="178"/>
      <c r="C6848" s="179" t="s">
        <v>2565</v>
      </c>
      <c r="D6848">
        <v>4614</v>
      </c>
      <c r="E6848" s="125"/>
      <c r="F6848" s="178"/>
      <c r="G6848" s="178"/>
      <c r="H6848"/>
      <c r="I6848" s="178"/>
      <c r="J6848" s="320" t="s">
        <v>214</v>
      </c>
      <c r="K6848" s="178"/>
      <c r="L6848" s="125" t="s">
        <v>4863</v>
      </c>
      <c r="M6848">
        <v>403</v>
      </c>
      <c r="N6848" s="182"/>
      <c r="O6848">
        <v>905</v>
      </c>
      <c r="P6848" s="176" t="s">
        <v>77</v>
      </c>
      <c r="Q6848" s="176">
        <v>13.5</v>
      </c>
      <c r="R6848" s="176"/>
      <c r="S6848" s="176"/>
      <c r="T6848" s="190"/>
      <c r="U6848" s="191"/>
      <c r="V6848" s="191">
        <f>+Table1[[#This Row],[SUBTOTAL]]+Table1[[#This Row],[IVA]]-Table1[[#This Row],[RET IVA]]-Table1[[#This Row],[RET ISR]]</f>
        <v>13.5</v>
      </c>
      <c r="W6848"/>
      <c r="X6848" s="186"/>
      <c r="Y6848" s="187"/>
      <c r="Z6848" s="311" t="s">
        <v>214</v>
      </c>
      <c r="AB6848" t="str">
        <f>IF(Table1[[#This Row],[TIPO2]]="costo", VLOOKUP(Table1[[#This Row],[PARTIDA PRESUPUESTAL]],'Cost Report'!G:G,1,0),"Balance")</f>
        <v>2585-003</v>
      </c>
      <c r="AD6848" s="159">
        <f>+Table1[[#This Row],[SUBTOTAL]]+Table1[[#This Row],[IVA]]-Table1[[#This Row],[RET IVA]]-Table1[[#This Row],[RET ISR]]-Table1[[#This Row],[TOTAL]]</f>
        <v>0</v>
      </c>
      <c r="AK6848" s="306" t="str">
        <f>IF(ISNUMBER(Table1[[#This Row],[FECHA DE RECIBIDO]]), Table1[[#This Row],[FECHA DE RECIBIDO]]-DATE(2023,8,30), "")</f>
        <v/>
      </c>
    </row>
    <row r="6849" spans="1:37" ht="18" customHeight="1">
      <c r="A6849" s="172"/>
      <c r="B6849" s="178"/>
      <c r="C6849" s="179" t="s">
        <v>2436</v>
      </c>
      <c r="D6849">
        <v>4614</v>
      </c>
      <c r="E6849" s="125"/>
      <c r="F6849" s="178"/>
      <c r="G6849" s="178"/>
      <c r="H6849"/>
      <c r="I6849" s="178"/>
      <c r="J6849" s="320" t="s">
        <v>214</v>
      </c>
      <c r="K6849" s="178"/>
      <c r="L6849" s="125" t="s">
        <v>4863</v>
      </c>
      <c r="M6849">
        <v>176</v>
      </c>
      <c r="N6849" s="182"/>
      <c r="O6849">
        <v>1220</v>
      </c>
      <c r="P6849" s="176" t="s">
        <v>77</v>
      </c>
      <c r="Q6849" s="176">
        <v>86.1</v>
      </c>
      <c r="R6849" s="176"/>
      <c r="S6849" s="176"/>
      <c r="T6849" s="190"/>
      <c r="U6849" s="191"/>
      <c r="V6849" s="191">
        <f>+Table1[[#This Row],[SUBTOTAL]]+Table1[[#This Row],[IVA]]-Table1[[#This Row],[RET IVA]]-Table1[[#This Row],[RET ISR]]</f>
        <v>86.1</v>
      </c>
      <c r="W6849"/>
      <c r="X6849" s="186"/>
      <c r="Y6849" s="187"/>
      <c r="Z6849" s="311" t="s">
        <v>214</v>
      </c>
      <c r="AB6849" t="str">
        <f>IF(Table1[[#This Row],[TIPO2]]="costo", VLOOKUP(Table1[[#This Row],[PARTIDA PRESUPUESTAL]],'Cost Report'!G:G,1,0),"Balance")</f>
        <v>2042-003</v>
      </c>
      <c r="AD6849" s="159">
        <f>+Table1[[#This Row],[SUBTOTAL]]+Table1[[#This Row],[IVA]]-Table1[[#This Row],[RET IVA]]-Table1[[#This Row],[RET ISR]]-Table1[[#This Row],[TOTAL]]</f>
        <v>0</v>
      </c>
      <c r="AK6849" s="306" t="str">
        <f>IF(ISNUMBER(Table1[[#This Row],[FECHA DE RECIBIDO]]), Table1[[#This Row],[FECHA DE RECIBIDO]]-DATE(2023,8,30), "")</f>
        <v/>
      </c>
    </row>
    <row r="6850" spans="1:37" ht="18" customHeight="1">
      <c r="A6850" s="172"/>
      <c r="B6850" s="178"/>
      <c r="C6850" s="179" t="s">
        <v>2749</v>
      </c>
      <c r="D6850">
        <v>4614</v>
      </c>
      <c r="E6850" s="125"/>
      <c r="F6850" s="178"/>
      <c r="G6850" s="178"/>
      <c r="H6850"/>
      <c r="I6850" s="178"/>
      <c r="J6850" s="320" t="s">
        <v>214</v>
      </c>
      <c r="K6850" s="178"/>
      <c r="L6850" s="125" t="s">
        <v>4863</v>
      </c>
      <c r="M6850">
        <v>512</v>
      </c>
      <c r="N6850" s="182"/>
      <c r="O6850">
        <v>162</v>
      </c>
      <c r="P6850" s="176" t="s">
        <v>77</v>
      </c>
      <c r="Q6850" s="176">
        <v>10.266</v>
      </c>
      <c r="R6850" s="176"/>
      <c r="S6850" s="176"/>
      <c r="T6850" s="190"/>
      <c r="U6850" s="191"/>
      <c r="V6850" s="191">
        <f>+Table1[[#This Row],[SUBTOTAL]]+Table1[[#This Row],[IVA]]-Table1[[#This Row],[RET IVA]]-Table1[[#This Row],[RET ISR]]</f>
        <v>10.266</v>
      </c>
      <c r="W6850"/>
      <c r="X6850" s="186"/>
      <c r="Y6850" s="187"/>
      <c r="Z6850" s="311" t="s">
        <v>214</v>
      </c>
      <c r="AB6850" t="str">
        <f>IF(Table1[[#This Row],[TIPO2]]="costo", VLOOKUP(Table1[[#This Row],[PARTIDA PRESUPUESTAL]],'Cost Report'!G:G,1,0),"Balance")</f>
        <v>3401-011</v>
      </c>
      <c r="AD6850" s="159">
        <f>+Table1[[#This Row],[SUBTOTAL]]+Table1[[#This Row],[IVA]]-Table1[[#This Row],[RET IVA]]-Table1[[#This Row],[RET ISR]]-Table1[[#This Row],[TOTAL]]</f>
        <v>0</v>
      </c>
      <c r="AK6850" s="306" t="str">
        <f>IF(ISNUMBER(Table1[[#This Row],[FECHA DE RECIBIDO]]), Table1[[#This Row],[FECHA DE RECIBIDO]]-DATE(2023,8,30), "")</f>
        <v/>
      </c>
    </row>
    <row r="6851" spans="1:37" ht="18" customHeight="1">
      <c r="A6851" s="172"/>
      <c r="B6851" s="178"/>
      <c r="C6851" s="179" t="s">
        <v>3105</v>
      </c>
      <c r="D6851">
        <v>4614</v>
      </c>
      <c r="E6851" s="125"/>
      <c r="F6851" s="178"/>
      <c r="G6851" s="178"/>
      <c r="H6851"/>
      <c r="I6851" s="178"/>
      <c r="J6851" s="320" t="s">
        <v>214</v>
      </c>
      <c r="K6851" s="178"/>
      <c r="L6851" s="125" t="s">
        <v>4863</v>
      </c>
      <c r="M6851">
        <v>513</v>
      </c>
      <c r="N6851" s="182"/>
      <c r="O6851">
        <v>1221</v>
      </c>
      <c r="P6851" s="176" t="s">
        <v>77</v>
      </c>
      <c r="Q6851" s="176">
        <v>840.00300000000004</v>
      </c>
      <c r="R6851" s="176"/>
      <c r="S6851" s="176"/>
      <c r="T6851" s="190"/>
      <c r="U6851" s="191"/>
      <c r="V6851" s="191">
        <f>+Table1[[#This Row],[SUBTOTAL]]+Table1[[#This Row],[IVA]]-Table1[[#This Row],[RET IVA]]-Table1[[#This Row],[RET ISR]]</f>
        <v>840.00300000000004</v>
      </c>
      <c r="W6851"/>
      <c r="X6851" s="186"/>
      <c r="Y6851" s="187"/>
      <c r="Z6851" s="311" t="s">
        <v>214</v>
      </c>
      <c r="AB6851" t="str">
        <f>IF(Table1[[#This Row],[TIPO2]]="costo", VLOOKUP(Table1[[#This Row],[PARTIDA PRESUPUESTAL]],'Cost Report'!G:G,1,0),"Balance")</f>
        <v>7050-005</v>
      </c>
      <c r="AD6851" s="159">
        <f>+Table1[[#This Row],[SUBTOTAL]]+Table1[[#This Row],[IVA]]-Table1[[#This Row],[RET IVA]]-Table1[[#This Row],[RET ISR]]-Table1[[#This Row],[TOTAL]]</f>
        <v>0</v>
      </c>
      <c r="AK6851" s="306" t="str">
        <f>IF(ISNUMBER(Table1[[#This Row],[FECHA DE RECIBIDO]]), Table1[[#This Row],[FECHA DE RECIBIDO]]-DATE(2023,8,30), "")</f>
        <v/>
      </c>
    </row>
    <row r="6852" spans="1:37" ht="18" customHeight="1">
      <c r="A6852" s="172"/>
      <c r="B6852" s="178"/>
      <c r="C6852" s="179" t="s">
        <v>2749</v>
      </c>
      <c r="D6852">
        <v>4614</v>
      </c>
      <c r="E6852" s="125"/>
      <c r="F6852" s="178"/>
      <c r="G6852" s="178"/>
      <c r="H6852"/>
      <c r="I6852" s="178"/>
      <c r="J6852" s="320" t="s">
        <v>214</v>
      </c>
      <c r="K6852" s="178"/>
      <c r="L6852" s="125" t="s">
        <v>4863</v>
      </c>
      <c r="M6852">
        <v>512</v>
      </c>
      <c r="N6852" s="182"/>
      <c r="O6852">
        <v>162</v>
      </c>
      <c r="P6852" s="176" t="s">
        <v>77</v>
      </c>
      <c r="Q6852" s="176">
        <v>10.26</v>
      </c>
      <c r="R6852" s="176"/>
      <c r="S6852" s="176"/>
      <c r="T6852" s="190"/>
      <c r="U6852" s="191"/>
      <c r="V6852" s="191">
        <f>+Table1[[#This Row],[SUBTOTAL]]+Table1[[#This Row],[IVA]]-Table1[[#This Row],[RET IVA]]-Table1[[#This Row],[RET ISR]]</f>
        <v>10.26</v>
      </c>
      <c r="W6852"/>
      <c r="X6852" s="186"/>
      <c r="Y6852" s="187"/>
      <c r="Z6852" s="311" t="s">
        <v>214</v>
      </c>
      <c r="AB6852" t="str">
        <f>IF(Table1[[#This Row],[TIPO2]]="costo", VLOOKUP(Table1[[#This Row],[PARTIDA PRESUPUESTAL]],'Cost Report'!G:G,1,0),"Balance")</f>
        <v>3401-011</v>
      </c>
      <c r="AD6852" s="159">
        <f>+Table1[[#This Row],[SUBTOTAL]]+Table1[[#This Row],[IVA]]-Table1[[#This Row],[RET IVA]]-Table1[[#This Row],[RET ISR]]-Table1[[#This Row],[TOTAL]]</f>
        <v>0</v>
      </c>
      <c r="AK6852" s="306" t="str">
        <f>IF(ISNUMBER(Table1[[#This Row],[FECHA DE RECIBIDO]]), Table1[[#This Row],[FECHA DE RECIBIDO]]-DATE(2023,8,30), "")</f>
        <v/>
      </c>
    </row>
    <row r="6853" spans="1:37" ht="18" customHeight="1">
      <c r="A6853" s="172"/>
      <c r="B6853" s="178"/>
      <c r="C6853" s="179" t="s">
        <v>2749</v>
      </c>
      <c r="D6853">
        <v>4614</v>
      </c>
      <c r="E6853" s="125"/>
      <c r="F6853" s="178"/>
      <c r="G6853" s="178"/>
      <c r="H6853"/>
      <c r="I6853" s="178"/>
      <c r="J6853" s="320" t="s">
        <v>214</v>
      </c>
      <c r="K6853" s="178"/>
      <c r="L6853" s="125" t="s">
        <v>4863</v>
      </c>
      <c r="M6853">
        <v>512</v>
      </c>
      <c r="N6853" s="182"/>
      <c r="O6853">
        <v>162</v>
      </c>
      <c r="P6853" s="176" t="s">
        <v>77</v>
      </c>
      <c r="Q6853" s="176">
        <v>10.266</v>
      </c>
      <c r="R6853" s="176"/>
      <c r="S6853" s="176"/>
      <c r="T6853" s="190"/>
      <c r="U6853" s="191"/>
      <c r="V6853" s="191">
        <f>+Table1[[#This Row],[SUBTOTAL]]+Table1[[#This Row],[IVA]]-Table1[[#This Row],[RET IVA]]-Table1[[#This Row],[RET ISR]]</f>
        <v>10.266</v>
      </c>
      <c r="W6853"/>
      <c r="X6853" s="186"/>
      <c r="Y6853" s="187"/>
      <c r="Z6853" s="311" t="s">
        <v>214</v>
      </c>
      <c r="AB6853" t="str">
        <f>IF(Table1[[#This Row],[TIPO2]]="costo", VLOOKUP(Table1[[#This Row],[PARTIDA PRESUPUESTAL]],'Cost Report'!G:G,1,0),"Balance")</f>
        <v>3401-011</v>
      </c>
      <c r="AD6853" s="159">
        <f>+Table1[[#This Row],[SUBTOTAL]]+Table1[[#This Row],[IVA]]-Table1[[#This Row],[RET IVA]]-Table1[[#This Row],[RET ISR]]-Table1[[#This Row],[TOTAL]]</f>
        <v>0</v>
      </c>
      <c r="AK6853" s="306" t="str">
        <f>IF(ISNUMBER(Table1[[#This Row],[FECHA DE RECIBIDO]]), Table1[[#This Row],[FECHA DE RECIBIDO]]-DATE(2023,8,30), "")</f>
        <v/>
      </c>
    </row>
    <row r="6854" spans="1:37" ht="18" customHeight="1">
      <c r="A6854" s="172"/>
      <c r="B6854" s="178"/>
      <c r="C6854" s="179" t="s">
        <v>2436</v>
      </c>
      <c r="D6854">
        <v>4614</v>
      </c>
      <c r="E6854" s="125"/>
      <c r="F6854" s="178"/>
      <c r="G6854" s="178"/>
      <c r="H6854"/>
      <c r="I6854" s="178"/>
      <c r="J6854" s="320" t="s">
        <v>214</v>
      </c>
      <c r="K6854" s="178"/>
      <c r="L6854" s="125" t="s">
        <v>4863</v>
      </c>
      <c r="M6854">
        <v>176</v>
      </c>
      <c r="N6854" s="182"/>
      <c r="O6854">
        <v>1220</v>
      </c>
      <c r="P6854" s="176" t="s">
        <v>77</v>
      </c>
      <c r="Q6854" s="176">
        <v>166.2</v>
      </c>
      <c r="R6854" s="176"/>
      <c r="S6854" s="176"/>
      <c r="T6854" s="190"/>
      <c r="U6854" s="191"/>
      <c r="V6854" s="191">
        <f>+Table1[[#This Row],[SUBTOTAL]]+Table1[[#This Row],[IVA]]-Table1[[#This Row],[RET IVA]]-Table1[[#This Row],[RET ISR]]</f>
        <v>166.2</v>
      </c>
      <c r="W6854"/>
      <c r="X6854" s="186"/>
      <c r="Y6854" s="187"/>
      <c r="Z6854" s="311" t="s">
        <v>214</v>
      </c>
      <c r="AB6854" t="str">
        <f>IF(Table1[[#This Row],[TIPO2]]="costo", VLOOKUP(Table1[[#This Row],[PARTIDA PRESUPUESTAL]],'Cost Report'!G:G,1,0),"Balance")</f>
        <v>2042-003</v>
      </c>
      <c r="AD6854" s="159">
        <f>+Table1[[#This Row],[SUBTOTAL]]+Table1[[#This Row],[IVA]]-Table1[[#This Row],[RET IVA]]-Table1[[#This Row],[RET ISR]]-Table1[[#This Row],[TOTAL]]</f>
        <v>0</v>
      </c>
      <c r="AK6854" s="306" t="str">
        <f>IF(ISNUMBER(Table1[[#This Row],[FECHA DE RECIBIDO]]), Table1[[#This Row],[FECHA DE RECIBIDO]]-DATE(2023,8,30), "")</f>
        <v/>
      </c>
    </row>
    <row r="6855" spans="1:37" ht="18" customHeight="1">
      <c r="A6855" s="172"/>
      <c r="B6855" s="178"/>
      <c r="C6855" s="179" t="s">
        <v>2749</v>
      </c>
      <c r="D6855">
        <v>4614</v>
      </c>
      <c r="E6855" s="125"/>
      <c r="F6855" s="178"/>
      <c r="G6855" s="178"/>
      <c r="H6855"/>
      <c r="I6855" s="178"/>
      <c r="J6855" s="320" t="s">
        <v>214</v>
      </c>
      <c r="K6855" s="178"/>
      <c r="L6855" s="125" t="s">
        <v>4863</v>
      </c>
      <c r="M6855">
        <v>516</v>
      </c>
      <c r="N6855" s="182"/>
      <c r="O6855">
        <v>1238</v>
      </c>
      <c r="P6855" s="176" t="s">
        <v>77</v>
      </c>
      <c r="Q6855" s="176">
        <v>215.7</v>
      </c>
      <c r="R6855" s="176"/>
      <c r="S6855" s="176"/>
      <c r="T6855" s="190"/>
      <c r="U6855" s="191"/>
      <c r="V6855" s="191">
        <f>+Table1[[#This Row],[SUBTOTAL]]+Table1[[#This Row],[IVA]]-Table1[[#This Row],[RET IVA]]-Table1[[#This Row],[RET ISR]]</f>
        <v>215.7</v>
      </c>
      <c r="W6855"/>
      <c r="X6855" s="186"/>
      <c r="Y6855" s="187"/>
      <c r="Z6855" s="311" t="s">
        <v>214</v>
      </c>
      <c r="AB6855" t="str">
        <f>IF(Table1[[#This Row],[TIPO2]]="costo", VLOOKUP(Table1[[#This Row],[PARTIDA PRESUPUESTAL]],'Cost Report'!G:G,1,0),"Balance")</f>
        <v>3401-011</v>
      </c>
      <c r="AD6855" s="159">
        <f>+Table1[[#This Row],[SUBTOTAL]]+Table1[[#This Row],[IVA]]-Table1[[#This Row],[RET IVA]]-Table1[[#This Row],[RET ISR]]-Table1[[#This Row],[TOTAL]]</f>
        <v>0</v>
      </c>
      <c r="AK6855" s="306" t="str">
        <f>IF(ISNUMBER(Table1[[#This Row],[FECHA DE RECIBIDO]]), Table1[[#This Row],[FECHA DE RECIBIDO]]-DATE(2023,8,30), "")</f>
        <v/>
      </c>
    </row>
    <row r="6856" spans="1:37" ht="18" customHeight="1">
      <c r="A6856" s="172"/>
      <c r="B6856" s="178"/>
      <c r="C6856" s="179" t="s">
        <v>2749</v>
      </c>
      <c r="D6856">
        <v>4614</v>
      </c>
      <c r="E6856" s="125"/>
      <c r="F6856" s="178"/>
      <c r="G6856" s="178"/>
      <c r="H6856"/>
      <c r="I6856" s="178"/>
      <c r="J6856" s="320" t="s">
        <v>214</v>
      </c>
      <c r="K6856" s="178"/>
      <c r="L6856" s="125" t="s">
        <v>4863</v>
      </c>
      <c r="M6856">
        <v>512</v>
      </c>
      <c r="N6856" s="182"/>
      <c r="O6856">
        <v>162</v>
      </c>
      <c r="P6856" s="176" t="s">
        <v>77</v>
      </c>
      <c r="Q6856" s="176">
        <v>10.266</v>
      </c>
      <c r="R6856" s="176"/>
      <c r="S6856" s="176"/>
      <c r="T6856" s="190"/>
      <c r="U6856" s="191"/>
      <c r="V6856" s="191">
        <f>+Table1[[#This Row],[SUBTOTAL]]+Table1[[#This Row],[IVA]]-Table1[[#This Row],[RET IVA]]-Table1[[#This Row],[RET ISR]]</f>
        <v>10.266</v>
      </c>
      <c r="W6856"/>
      <c r="X6856" s="186"/>
      <c r="Y6856" s="187"/>
      <c r="Z6856" s="311" t="s">
        <v>214</v>
      </c>
      <c r="AB6856" t="str">
        <f>IF(Table1[[#This Row],[TIPO2]]="costo", VLOOKUP(Table1[[#This Row],[PARTIDA PRESUPUESTAL]],'Cost Report'!G:G,1,0),"Balance")</f>
        <v>3401-011</v>
      </c>
      <c r="AD6856" s="159">
        <f>+Table1[[#This Row],[SUBTOTAL]]+Table1[[#This Row],[IVA]]-Table1[[#This Row],[RET IVA]]-Table1[[#This Row],[RET ISR]]-Table1[[#This Row],[TOTAL]]</f>
        <v>0</v>
      </c>
      <c r="AK6856" s="306" t="str">
        <f>IF(ISNUMBER(Table1[[#This Row],[FECHA DE RECIBIDO]]), Table1[[#This Row],[FECHA DE RECIBIDO]]-DATE(2023,8,30), "")</f>
        <v/>
      </c>
    </row>
    <row r="6857" spans="1:37" ht="18" customHeight="1">
      <c r="A6857" s="172"/>
      <c r="B6857" s="178"/>
      <c r="C6857" s="179" t="s">
        <v>2436</v>
      </c>
      <c r="D6857">
        <v>4614</v>
      </c>
      <c r="E6857" s="125"/>
      <c r="F6857" s="178"/>
      <c r="G6857" s="178"/>
      <c r="H6857"/>
      <c r="I6857" s="178"/>
      <c r="J6857" s="320" t="s">
        <v>214</v>
      </c>
      <c r="K6857" s="178"/>
      <c r="L6857" s="125" t="s">
        <v>4863</v>
      </c>
      <c r="M6857">
        <v>517</v>
      </c>
      <c r="N6857" s="182"/>
      <c r="O6857">
        <v>1239</v>
      </c>
      <c r="P6857" s="176" t="s">
        <v>77</v>
      </c>
      <c r="Q6857" s="176">
        <v>11.4</v>
      </c>
      <c r="R6857" s="176"/>
      <c r="S6857" s="176"/>
      <c r="T6857" s="190"/>
      <c r="U6857" s="191"/>
      <c r="V6857" s="191">
        <f>+Table1[[#This Row],[SUBTOTAL]]+Table1[[#This Row],[IVA]]-Table1[[#This Row],[RET IVA]]-Table1[[#This Row],[RET ISR]]</f>
        <v>11.4</v>
      </c>
      <c r="W6857"/>
      <c r="X6857" s="186"/>
      <c r="Y6857" s="187"/>
      <c r="Z6857" s="311" t="s">
        <v>214</v>
      </c>
      <c r="AB6857" t="str">
        <f>IF(Table1[[#This Row],[TIPO2]]="costo", VLOOKUP(Table1[[#This Row],[PARTIDA PRESUPUESTAL]],'Cost Report'!G:G,1,0),"Balance")</f>
        <v>2042-003</v>
      </c>
      <c r="AD6857" s="159">
        <f>+Table1[[#This Row],[SUBTOTAL]]+Table1[[#This Row],[IVA]]-Table1[[#This Row],[RET IVA]]-Table1[[#This Row],[RET ISR]]-Table1[[#This Row],[TOTAL]]</f>
        <v>0</v>
      </c>
      <c r="AK6857" s="306" t="str">
        <f>IF(ISNUMBER(Table1[[#This Row],[FECHA DE RECIBIDO]]), Table1[[#This Row],[FECHA DE RECIBIDO]]-DATE(2023,8,30), "")</f>
        <v/>
      </c>
    </row>
    <row r="6858" spans="1:37" ht="18" customHeight="1">
      <c r="A6858" s="172"/>
      <c r="B6858" s="178"/>
      <c r="C6858" s="179" t="s">
        <v>2436</v>
      </c>
      <c r="D6858">
        <v>4614</v>
      </c>
      <c r="E6858" s="125"/>
      <c r="F6858" s="178"/>
      <c r="G6858" s="178"/>
      <c r="H6858"/>
      <c r="I6858" s="178"/>
      <c r="J6858" s="320" t="s">
        <v>214</v>
      </c>
      <c r="K6858" s="178"/>
      <c r="L6858" s="125" t="s">
        <v>4863</v>
      </c>
      <c r="M6858">
        <v>517</v>
      </c>
      <c r="N6858" s="182"/>
      <c r="O6858">
        <v>1239</v>
      </c>
      <c r="P6858" s="176" t="s">
        <v>77</v>
      </c>
      <c r="Q6858" s="176">
        <v>102</v>
      </c>
      <c r="R6858" s="176"/>
      <c r="S6858" s="176"/>
      <c r="T6858" s="190"/>
      <c r="U6858" s="191"/>
      <c r="V6858" s="191">
        <f>+Table1[[#This Row],[SUBTOTAL]]+Table1[[#This Row],[IVA]]-Table1[[#This Row],[RET IVA]]-Table1[[#This Row],[RET ISR]]</f>
        <v>102</v>
      </c>
      <c r="W6858"/>
      <c r="X6858" s="186"/>
      <c r="Y6858" s="187"/>
      <c r="Z6858" s="311" t="s">
        <v>214</v>
      </c>
      <c r="AB6858" t="str">
        <f>IF(Table1[[#This Row],[TIPO2]]="costo", VLOOKUP(Table1[[#This Row],[PARTIDA PRESUPUESTAL]],'Cost Report'!G:G,1,0),"Balance")</f>
        <v>2042-003</v>
      </c>
      <c r="AD6858" s="159">
        <f>+Table1[[#This Row],[SUBTOTAL]]+Table1[[#This Row],[IVA]]-Table1[[#This Row],[RET IVA]]-Table1[[#This Row],[RET ISR]]-Table1[[#This Row],[TOTAL]]</f>
        <v>0</v>
      </c>
      <c r="AK6858" s="306" t="str">
        <f>IF(ISNUMBER(Table1[[#This Row],[FECHA DE RECIBIDO]]), Table1[[#This Row],[FECHA DE RECIBIDO]]-DATE(2023,8,30), "")</f>
        <v/>
      </c>
    </row>
    <row r="6859" spans="1:37" ht="18" customHeight="1">
      <c r="A6859" s="172"/>
      <c r="B6859" s="178"/>
      <c r="C6859" s="179" t="s">
        <v>2565</v>
      </c>
      <c r="D6859">
        <v>4614</v>
      </c>
      <c r="E6859" s="125"/>
      <c r="F6859" s="178"/>
      <c r="G6859" s="178"/>
      <c r="H6859"/>
      <c r="I6859" s="178"/>
      <c r="J6859" s="320" t="s">
        <v>214</v>
      </c>
      <c r="K6859" s="178"/>
      <c r="L6859" s="125" t="s">
        <v>4863</v>
      </c>
      <c r="M6859">
        <v>528</v>
      </c>
      <c r="N6859" s="182"/>
      <c r="O6859">
        <v>1255</v>
      </c>
      <c r="P6859" s="176" t="s">
        <v>77</v>
      </c>
      <c r="Q6859" s="176">
        <v>3</v>
      </c>
      <c r="R6859" s="176"/>
      <c r="S6859" s="176"/>
      <c r="T6859" s="190"/>
      <c r="U6859" s="191"/>
      <c r="V6859" s="191">
        <f>+Table1[[#This Row],[SUBTOTAL]]+Table1[[#This Row],[IVA]]-Table1[[#This Row],[RET IVA]]-Table1[[#This Row],[RET ISR]]</f>
        <v>3</v>
      </c>
      <c r="W6859"/>
      <c r="X6859" s="186"/>
      <c r="Y6859" s="187"/>
      <c r="Z6859" s="311" t="s">
        <v>214</v>
      </c>
      <c r="AB6859" t="str">
        <f>IF(Table1[[#This Row],[TIPO2]]="costo", VLOOKUP(Table1[[#This Row],[PARTIDA PRESUPUESTAL]],'Cost Report'!G:G,1,0),"Balance")</f>
        <v>2585-003</v>
      </c>
      <c r="AD6859" s="159">
        <f>+Table1[[#This Row],[SUBTOTAL]]+Table1[[#This Row],[IVA]]-Table1[[#This Row],[RET IVA]]-Table1[[#This Row],[RET ISR]]-Table1[[#This Row],[TOTAL]]</f>
        <v>0</v>
      </c>
      <c r="AK6859" s="306" t="str">
        <f>IF(ISNUMBER(Table1[[#This Row],[FECHA DE RECIBIDO]]), Table1[[#This Row],[FECHA DE RECIBIDO]]-DATE(2023,8,30), "")</f>
        <v/>
      </c>
    </row>
    <row r="6860" spans="1:37" ht="18" customHeight="1">
      <c r="A6860" s="172"/>
      <c r="B6860" s="178"/>
      <c r="C6860" s="179" t="s">
        <v>2565</v>
      </c>
      <c r="D6860">
        <v>4614</v>
      </c>
      <c r="E6860" s="125"/>
      <c r="F6860" s="178"/>
      <c r="G6860" s="178"/>
      <c r="H6860"/>
      <c r="I6860" s="178"/>
      <c r="J6860" s="320" t="s">
        <v>214</v>
      </c>
      <c r="K6860" s="178"/>
      <c r="L6860" s="125" t="s">
        <v>4863</v>
      </c>
      <c r="M6860">
        <v>529</v>
      </c>
      <c r="N6860" s="182"/>
      <c r="O6860">
        <v>1255</v>
      </c>
      <c r="P6860" s="176" t="s">
        <v>77</v>
      </c>
      <c r="Q6860" s="176">
        <v>3</v>
      </c>
      <c r="R6860" s="176"/>
      <c r="S6860" s="176"/>
      <c r="T6860" s="190"/>
      <c r="U6860" s="191"/>
      <c r="V6860" s="191">
        <f>+Table1[[#This Row],[SUBTOTAL]]+Table1[[#This Row],[IVA]]-Table1[[#This Row],[RET IVA]]-Table1[[#This Row],[RET ISR]]</f>
        <v>3</v>
      </c>
      <c r="W6860"/>
      <c r="X6860" s="186"/>
      <c r="Y6860" s="187"/>
      <c r="Z6860" s="311" t="s">
        <v>214</v>
      </c>
      <c r="AB6860" t="str">
        <f>IF(Table1[[#This Row],[TIPO2]]="costo", VLOOKUP(Table1[[#This Row],[PARTIDA PRESUPUESTAL]],'Cost Report'!G:G,1,0),"Balance")</f>
        <v>2585-003</v>
      </c>
      <c r="AD6860" s="159">
        <f>+Table1[[#This Row],[SUBTOTAL]]+Table1[[#This Row],[IVA]]-Table1[[#This Row],[RET IVA]]-Table1[[#This Row],[RET ISR]]-Table1[[#This Row],[TOTAL]]</f>
        <v>0</v>
      </c>
      <c r="AK6860" s="306" t="str">
        <f>IF(ISNUMBER(Table1[[#This Row],[FECHA DE RECIBIDO]]), Table1[[#This Row],[FECHA DE RECIBIDO]]-DATE(2023,8,30), "")</f>
        <v/>
      </c>
    </row>
    <row r="6861" spans="1:37" ht="18" customHeight="1">
      <c r="A6861" s="172"/>
      <c r="B6861" s="178"/>
      <c r="C6861" s="179" t="s">
        <v>2565</v>
      </c>
      <c r="D6861">
        <v>4614</v>
      </c>
      <c r="E6861" s="125"/>
      <c r="F6861" s="178"/>
      <c r="G6861" s="178"/>
      <c r="H6861"/>
      <c r="I6861" s="178"/>
      <c r="J6861" s="320" t="s">
        <v>214</v>
      </c>
      <c r="K6861" s="178"/>
      <c r="L6861" s="125" t="s">
        <v>4863</v>
      </c>
      <c r="M6861">
        <v>530</v>
      </c>
      <c r="N6861" s="182"/>
      <c r="O6861">
        <v>1255</v>
      </c>
      <c r="P6861" s="176" t="s">
        <v>77</v>
      </c>
      <c r="Q6861" s="176">
        <v>9</v>
      </c>
      <c r="R6861" s="176"/>
      <c r="S6861" s="176"/>
      <c r="T6861" s="190"/>
      <c r="U6861" s="191"/>
      <c r="V6861" s="191">
        <f>+Table1[[#This Row],[SUBTOTAL]]+Table1[[#This Row],[IVA]]-Table1[[#This Row],[RET IVA]]-Table1[[#This Row],[RET ISR]]</f>
        <v>9</v>
      </c>
      <c r="W6861"/>
      <c r="X6861" s="186"/>
      <c r="Y6861" s="187"/>
      <c r="Z6861" s="311" t="s">
        <v>214</v>
      </c>
      <c r="AB6861" t="str">
        <f>IF(Table1[[#This Row],[TIPO2]]="costo", VLOOKUP(Table1[[#This Row],[PARTIDA PRESUPUESTAL]],'Cost Report'!G:G,1,0),"Balance")</f>
        <v>2585-003</v>
      </c>
      <c r="AD6861" s="159">
        <f>+Table1[[#This Row],[SUBTOTAL]]+Table1[[#This Row],[IVA]]-Table1[[#This Row],[RET IVA]]-Table1[[#This Row],[RET ISR]]-Table1[[#This Row],[TOTAL]]</f>
        <v>0</v>
      </c>
      <c r="AK6861" s="306" t="str">
        <f>IF(ISNUMBER(Table1[[#This Row],[FECHA DE RECIBIDO]]), Table1[[#This Row],[FECHA DE RECIBIDO]]-DATE(2023,8,30), "")</f>
        <v/>
      </c>
    </row>
    <row r="6862" spans="1:37" ht="18" customHeight="1">
      <c r="A6862" s="172"/>
      <c r="B6862" s="178"/>
      <c r="C6862" s="179" t="s">
        <v>2565</v>
      </c>
      <c r="D6862">
        <v>4614</v>
      </c>
      <c r="E6862" s="125"/>
      <c r="F6862" s="178"/>
      <c r="G6862" s="178"/>
      <c r="H6862"/>
      <c r="I6862" s="178"/>
      <c r="J6862" s="320" t="s">
        <v>214</v>
      </c>
      <c r="K6862" s="178"/>
      <c r="L6862" s="125" t="s">
        <v>4863</v>
      </c>
      <c r="M6862">
        <v>528</v>
      </c>
      <c r="N6862" s="182"/>
      <c r="O6862">
        <v>1255</v>
      </c>
      <c r="P6862" s="176" t="s">
        <v>77</v>
      </c>
      <c r="Q6862" s="176">
        <v>3</v>
      </c>
      <c r="R6862" s="176"/>
      <c r="S6862" s="176"/>
      <c r="T6862" s="190"/>
      <c r="U6862" s="191"/>
      <c r="V6862" s="191">
        <f>+Table1[[#This Row],[SUBTOTAL]]+Table1[[#This Row],[IVA]]-Table1[[#This Row],[RET IVA]]-Table1[[#This Row],[RET ISR]]</f>
        <v>3</v>
      </c>
      <c r="W6862"/>
      <c r="X6862" s="186"/>
      <c r="Y6862" s="187"/>
      <c r="Z6862" s="311" t="s">
        <v>214</v>
      </c>
      <c r="AB6862" t="str">
        <f>IF(Table1[[#This Row],[TIPO2]]="costo", VLOOKUP(Table1[[#This Row],[PARTIDA PRESUPUESTAL]],'Cost Report'!G:G,1,0),"Balance")</f>
        <v>2585-003</v>
      </c>
      <c r="AD6862" s="159">
        <f>+Table1[[#This Row],[SUBTOTAL]]+Table1[[#This Row],[IVA]]-Table1[[#This Row],[RET IVA]]-Table1[[#This Row],[RET ISR]]-Table1[[#This Row],[TOTAL]]</f>
        <v>0</v>
      </c>
      <c r="AK6862" s="306" t="str">
        <f>IF(ISNUMBER(Table1[[#This Row],[FECHA DE RECIBIDO]]), Table1[[#This Row],[FECHA DE RECIBIDO]]-DATE(2023,8,30), "")</f>
        <v/>
      </c>
    </row>
    <row r="6863" spans="1:37">
      <c r="A6863" s="172"/>
      <c r="B6863" s="178"/>
      <c r="C6863" s="179" t="s">
        <v>2565</v>
      </c>
      <c r="D6863">
        <v>4614</v>
      </c>
      <c r="E6863" s="125"/>
      <c r="F6863" s="178"/>
      <c r="G6863" s="178"/>
      <c r="H6863"/>
      <c r="I6863" s="178"/>
      <c r="J6863" s="320" t="s">
        <v>214</v>
      </c>
      <c r="K6863" s="178"/>
      <c r="L6863" s="125" t="s">
        <v>4863</v>
      </c>
      <c r="M6863">
        <v>529</v>
      </c>
      <c r="N6863" s="182"/>
      <c r="O6863">
        <v>1255</v>
      </c>
      <c r="P6863" s="176" t="s">
        <v>77</v>
      </c>
      <c r="Q6863" s="176">
        <v>3</v>
      </c>
      <c r="R6863" s="176"/>
      <c r="S6863" s="176"/>
      <c r="T6863" s="190"/>
      <c r="U6863" s="191"/>
      <c r="V6863" s="191">
        <f>+Table1[[#This Row],[SUBTOTAL]]+Table1[[#This Row],[IVA]]-Table1[[#This Row],[RET IVA]]-Table1[[#This Row],[RET ISR]]</f>
        <v>3</v>
      </c>
      <c r="W6863"/>
      <c r="X6863" s="186"/>
      <c r="Y6863" s="187"/>
      <c r="Z6863" s="311" t="s">
        <v>214</v>
      </c>
      <c r="AB6863" t="str">
        <f>IF(Table1[[#This Row],[TIPO2]]="costo", VLOOKUP(Table1[[#This Row],[PARTIDA PRESUPUESTAL]],'Cost Report'!G:G,1,0),"Balance")</f>
        <v>2585-003</v>
      </c>
      <c r="AD6863" s="159">
        <f>+Table1[[#This Row],[SUBTOTAL]]+Table1[[#This Row],[IVA]]-Table1[[#This Row],[RET IVA]]-Table1[[#This Row],[RET ISR]]-Table1[[#This Row],[TOTAL]]</f>
        <v>0</v>
      </c>
      <c r="AK6863" s="306" t="str">
        <f>IF(ISNUMBER(Table1[[#This Row],[FECHA DE RECIBIDO]]), Table1[[#This Row],[FECHA DE RECIBIDO]]-DATE(2023,8,30), "")</f>
        <v/>
      </c>
    </row>
    <row r="6864" spans="1:37">
      <c r="A6864" s="172"/>
      <c r="B6864" s="178"/>
      <c r="C6864" s="179" t="s">
        <v>2565</v>
      </c>
      <c r="D6864">
        <v>4614</v>
      </c>
      <c r="E6864" s="125"/>
      <c r="F6864" s="178"/>
      <c r="G6864" s="178"/>
      <c r="H6864"/>
      <c r="I6864" s="178"/>
      <c r="J6864" s="320" t="s">
        <v>214</v>
      </c>
      <c r="K6864" s="178"/>
      <c r="L6864" s="125" t="s">
        <v>4863</v>
      </c>
      <c r="M6864">
        <v>530</v>
      </c>
      <c r="N6864" s="182"/>
      <c r="O6864">
        <v>1255</v>
      </c>
      <c r="P6864" s="176" t="s">
        <v>77</v>
      </c>
      <c r="Q6864" s="176">
        <v>9</v>
      </c>
      <c r="R6864" s="176"/>
      <c r="S6864" s="176"/>
      <c r="T6864" s="190"/>
      <c r="U6864" s="191"/>
      <c r="V6864" s="191">
        <f>+Table1[[#This Row],[SUBTOTAL]]+Table1[[#This Row],[IVA]]-Table1[[#This Row],[RET IVA]]-Table1[[#This Row],[RET ISR]]</f>
        <v>9</v>
      </c>
      <c r="W6864"/>
      <c r="X6864" s="186"/>
      <c r="Y6864" s="187"/>
      <c r="Z6864" s="311" t="s">
        <v>214</v>
      </c>
      <c r="AB6864" t="str">
        <f>IF(Table1[[#This Row],[TIPO2]]="costo", VLOOKUP(Table1[[#This Row],[PARTIDA PRESUPUESTAL]],'Cost Report'!G:G,1,0),"Balance")</f>
        <v>2585-003</v>
      </c>
      <c r="AD6864" s="159">
        <f>+Table1[[#This Row],[SUBTOTAL]]+Table1[[#This Row],[IVA]]-Table1[[#This Row],[RET IVA]]-Table1[[#This Row],[RET ISR]]-Table1[[#This Row],[TOTAL]]</f>
        <v>0</v>
      </c>
      <c r="AK6864" s="306" t="str">
        <f>IF(ISNUMBER(Table1[[#This Row],[FECHA DE RECIBIDO]]), Table1[[#This Row],[FECHA DE RECIBIDO]]-DATE(2023,8,30), "")</f>
        <v/>
      </c>
    </row>
    <row r="6865" spans="1:37">
      <c r="A6865" s="172"/>
      <c r="B6865" s="178"/>
      <c r="C6865" s="179" t="s">
        <v>2565</v>
      </c>
      <c r="D6865">
        <v>4614</v>
      </c>
      <c r="E6865" s="125"/>
      <c r="F6865" s="178"/>
      <c r="G6865" s="178"/>
      <c r="H6865"/>
      <c r="I6865" s="178"/>
      <c r="J6865" s="320" t="s">
        <v>214</v>
      </c>
      <c r="K6865" s="178"/>
      <c r="L6865" s="125" t="s">
        <v>4863</v>
      </c>
      <c r="M6865">
        <v>522</v>
      </c>
      <c r="N6865" s="182"/>
      <c r="O6865">
        <v>905</v>
      </c>
      <c r="P6865" s="176" t="s">
        <v>77</v>
      </c>
      <c r="Q6865" s="176">
        <v>27</v>
      </c>
      <c r="R6865" s="176"/>
      <c r="S6865" s="176"/>
      <c r="T6865" s="190"/>
      <c r="U6865" s="191"/>
      <c r="V6865" s="191">
        <f>+Table1[[#This Row],[SUBTOTAL]]+Table1[[#This Row],[IVA]]-Table1[[#This Row],[RET IVA]]-Table1[[#This Row],[RET ISR]]</f>
        <v>27</v>
      </c>
      <c r="W6865"/>
      <c r="X6865" s="186"/>
      <c r="Y6865" s="187"/>
      <c r="Z6865" s="311" t="s">
        <v>214</v>
      </c>
      <c r="AB6865" t="str">
        <f>IF(Table1[[#This Row],[TIPO2]]="costo", VLOOKUP(Table1[[#This Row],[PARTIDA PRESUPUESTAL]],'Cost Report'!G:G,1,0),"Balance")</f>
        <v>2585-003</v>
      </c>
      <c r="AD6865" s="159">
        <f>+Table1[[#This Row],[SUBTOTAL]]+Table1[[#This Row],[IVA]]-Table1[[#This Row],[RET IVA]]-Table1[[#This Row],[RET ISR]]-Table1[[#This Row],[TOTAL]]</f>
        <v>0</v>
      </c>
      <c r="AK6865" s="306" t="str">
        <f>IF(ISNUMBER(Table1[[#This Row],[FECHA DE RECIBIDO]]), Table1[[#This Row],[FECHA DE RECIBIDO]]-DATE(2023,8,30), "")</f>
        <v/>
      </c>
    </row>
    <row r="6866" spans="1:37">
      <c r="A6866" s="172"/>
      <c r="B6866" s="178"/>
      <c r="C6866" s="179" t="s">
        <v>2455</v>
      </c>
      <c r="D6866">
        <v>4614</v>
      </c>
      <c r="E6866" s="125"/>
      <c r="F6866" s="178"/>
      <c r="G6866" s="178"/>
      <c r="H6866"/>
      <c r="I6866" s="178"/>
      <c r="J6866" s="320" t="s">
        <v>214</v>
      </c>
      <c r="K6866" s="178"/>
      <c r="L6866" s="125" t="s">
        <v>4863</v>
      </c>
      <c r="M6866">
        <v>542</v>
      </c>
      <c r="N6866" s="182"/>
      <c r="O6866">
        <v>522</v>
      </c>
      <c r="P6866" s="176" t="s">
        <v>77</v>
      </c>
      <c r="Q6866" s="176">
        <v>10.44</v>
      </c>
      <c r="R6866" s="176"/>
      <c r="S6866" s="176"/>
      <c r="T6866" s="190"/>
      <c r="U6866" s="191"/>
      <c r="V6866" s="191">
        <f>+Table1[[#This Row],[SUBTOTAL]]+Table1[[#This Row],[IVA]]-Table1[[#This Row],[RET IVA]]-Table1[[#This Row],[RET ISR]]</f>
        <v>10.44</v>
      </c>
      <c r="W6866"/>
      <c r="X6866" s="186"/>
      <c r="Y6866" s="187"/>
      <c r="Z6866" s="311" t="s">
        <v>214</v>
      </c>
      <c r="AB6866" t="str">
        <f>IF(Table1[[#This Row],[TIPO2]]="costo", VLOOKUP(Table1[[#This Row],[PARTIDA PRESUPUESTAL]],'Cost Report'!G:G,1,0),"Balance")</f>
        <v>2285-003</v>
      </c>
      <c r="AD6866" s="159">
        <f>+Table1[[#This Row],[SUBTOTAL]]+Table1[[#This Row],[IVA]]-Table1[[#This Row],[RET IVA]]-Table1[[#This Row],[RET ISR]]-Table1[[#This Row],[TOTAL]]</f>
        <v>0</v>
      </c>
      <c r="AK6866" s="306" t="str">
        <f>IF(ISNUMBER(Table1[[#This Row],[FECHA DE RECIBIDO]]), Table1[[#This Row],[FECHA DE RECIBIDO]]-DATE(2023,8,30), "")</f>
        <v/>
      </c>
    </row>
    <row r="6867" spans="1:37">
      <c r="A6867" s="172"/>
      <c r="B6867" s="178"/>
      <c r="C6867" s="179" t="s">
        <v>2455</v>
      </c>
      <c r="D6867">
        <v>4614</v>
      </c>
      <c r="E6867" s="125"/>
      <c r="F6867" s="178"/>
      <c r="G6867" s="178"/>
      <c r="H6867"/>
      <c r="I6867" s="178"/>
      <c r="J6867" s="320" t="s">
        <v>214</v>
      </c>
      <c r="K6867" s="178"/>
      <c r="L6867" s="125" t="s">
        <v>4863</v>
      </c>
      <c r="M6867">
        <v>543</v>
      </c>
      <c r="N6867" s="182"/>
      <c r="O6867">
        <v>522</v>
      </c>
      <c r="P6867" s="176" t="s">
        <v>77</v>
      </c>
      <c r="Q6867" s="176">
        <v>9.395999999999999</v>
      </c>
      <c r="R6867" s="176"/>
      <c r="S6867" s="176"/>
      <c r="T6867" s="190"/>
      <c r="U6867" s="191"/>
      <c r="V6867" s="191">
        <f>+Table1[[#This Row],[SUBTOTAL]]+Table1[[#This Row],[IVA]]-Table1[[#This Row],[RET IVA]]-Table1[[#This Row],[RET ISR]]</f>
        <v>9.395999999999999</v>
      </c>
      <c r="W6867"/>
      <c r="X6867" s="186"/>
      <c r="Y6867" s="187"/>
      <c r="Z6867" s="311" t="s">
        <v>214</v>
      </c>
      <c r="AB6867" t="str">
        <f>IF(Table1[[#This Row],[TIPO2]]="costo", VLOOKUP(Table1[[#This Row],[PARTIDA PRESUPUESTAL]],'Cost Report'!G:G,1,0),"Balance")</f>
        <v>2285-003</v>
      </c>
      <c r="AD6867" s="159">
        <f>+Table1[[#This Row],[SUBTOTAL]]+Table1[[#This Row],[IVA]]-Table1[[#This Row],[RET IVA]]-Table1[[#This Row],[RET ISR]]-Table1[[#This Row],[TOTAL]]</f>
        <v>0</v>
      </c>
      <c r="AK6867" s="306" t="str">
        <f>IF(ISNUMBER(Table1[[#This Row],[FECHA DE RECIBIDO]]), Table1[[#This Row],[FECHA DE RECIBIDO]]-DATE(2023,8,30), "")</f>
        <v/>
      </c>
    </row>
    <row r="6868" spans="1:37">
      <c r="A6868" s="172"/>
      <c r="B6868" s="178"/>
      <c r="C6868" s="179" t="s">
        <v>2455</v>
      </c>
      <c r="D6868">
        <v>4614</v>
      </c>
      <c r="E6868" s="125"/>
      <c r="F6868" s="178"/>
      <c r="G6868" s="178"/>
      <c r="H6868"/>
      <c r="I6868" s="178"/>
      <c r="J6868" s="320" t="s">
        <v>214</v>
      </c>
      <c r="K6868" s="178"/>
      <c r="L6868" s="125" t="s">
        <v>4863</v>
      </c>
      <c r="M6868">
        <v>548</v>
      </c>
      <c r="N6868" s="182"/>
      <c r="O6868">
        <v>1287</v>
      </c>
      <c r="P6868" s="176" t="s">
        <v>77</v>
      </c>
      <c r="Q6868" s="176">
        <v>8.85</v>
      </c>
      <c r="R6868" s="176"/>
      <c r="S6868" s="176"/>
      <c r="T6868" s="190"/>
      <c r="U6868" s="191"/>
      <c r="V6868" s="191">
        <f>+Table1[[#This Row],[SUBTOTAL]]+Table1[[#This Row],[IVA]]-Table1[[#This Row],[RET IVA]]-Table1[[#This Row],[RET ISR]]</f>
        <v>8.85</v>
      </c>
      <c r="W6868"/>
      <c r="X6868" s="186"/>
      <c r="Y6868" s="187"/>
      <c r="Z6868" s="311" t="s">
        <v>214</v>
      </c>
      <c r="AB6868" t="str">
        <f>IF(Table1[[#This Row],[TIPO2]]="costo", VLOOKUP(Table1[[#This Row],[PARTIDA PRESUPUESTAL]],'Cost Report'!G:G,1,0),"Balance")</f>
        <v>2285-003</v>
      </c>
      <c r="AD6868" s="159">
        <f>+Table1[[#This Row],[SUBTOTAL]]+Table1[[#This Row],[IVA]]-Table1[[#This Row],[RET IVA]]-Table1[[#This Row],[RET ISR]]-Table1[[#This Row],[TOTAL]]</f>
        <v>0</v>
      </c>
      <c r="AK6868" s="306" t="str">
        <f>IF(ISNUMBER(Table1[[#This Row],[FECHA DE RECIBIDO]]), Table1[[#This Row],[FECHA DE RECIBIDO]]-DATE(2023,8,30), "")</f>
        <v/>
      </c>
    </row>
    <row r="6869" spans="1:37">
      <c r="A6869" s="172"/>
      <c r="B6869" s="178"/>
      <c r="C6869" s="179" t="s">
        <v>1732</v>
      </c>
      <c r="D6869">
        <v>4614</v>
      </c>
      <c r="E6869" s="125"/>
      <c r="F6869" s="178"/>
      <c r="G6869" s="178"/>
      <c r="H6869"/>
      <c r="I6869" s="178"/>
      <c r="J6869" s="320" t="s">
        <v>214</v>
      </c>
      <c r="K6869" s="178"/>
      <c r="L6869" s="125" t="s">
        <v>4863</v>
      </c>
      <c r="M6869">
        <v>558</v>
      </c>
      <c r="N6869" s="182"/>
      <c r="O6869">
        <v>1315</v>
      </c>
      <c r="P6869" s="176" t="s">
        <v>77</v>
      </c>
      <c r="Q6869" s="176">
        <v>182.4</v>
      </c>
      <c r="R6869" s="176"/>
      <c r="S6869" s="176"/>
      <c r="T6869" s="190"/>
      <c r="U6869" s="191"/>
      <c r="V6869" s="191">
        <f>+Table1[[#This Row],[SUBTOTAL]]+Table1[[#This Row],[IVA]]-Table1[[#This Row],[RET IVA]]-Table1[[#This Row],[RET ISR]]</f>
        <v>182.4</v>
      </c>
      <c r="W6869"/>
      <c r="X6869" s="186"/>
      <c r="Y6869" s="187"/>
      <c r="Z6869" s="311" t="s">
        <v>214</v>
      </c>
      <c r="AB6869" t="str">
        <f>IF(Table1[[#This Row],[TIPO2]]="costo", VLOOKUP(Table1[[#This Row],[PARTIDA PRESUPUESTAL]],'Cost Report'!G:G,1,0),"Balance")</f>
        <v>2494-035</v>
      </c>
      <c r="AD6869" s="159">
        <f>+Table1[[#This Row],[SUBTOTAL]]+Table1[[#This Row],[IVA]]-Table1[[#This Row],[RET IVA]]-Table1[[#This Row],[RET ISR]]-Table1[[#This Row],[TOTAL]]</f>
        <v>0</v>
      </c>
      <c r="AK6869" s="306" t="str">
        <f>IF(ISNUMBER(Table1[[#This Row],[FECHA DE RECIBIDO]]), Table1[[#This Row],[FECHA DE RECIBIDO]]-DATE(2023,8,30), "")</f>
        <v/>
      </c>
    </row>
    <row r="6870" spans="1:37">
      <c r="A6870" s="172"/>
      <c r="B6870" s="178"/>
      <c r="C6870" s="179" t="s">
        <v>1732</v>
      </c>
      <c r="D6870">
        <v>4614</v>
      </c>
      <c r="E6870" s="125"/>
      <c r="F6870" s="178"/>
      <c r="G6870" s="178"/>
      <c r="H6870"/>
      <c r="I6870" s="178"/>
      <c r="J6870" s="320" t="s">
        <v>214</v>
      </c>
      <c r="K6870" s="178"/>
      <c r="L6870" s="125" t="s">
        <v>4863</v>
      </c>
      <c r="M6870">
        <v>558</v>
      </c>
      <c r="N6870" s="182"/>
      <c r="O6870">
        <v>1316</v>
      </c>
      <c r="P6870" s="176" t="s">
        <v>77</v>
      </c>
      <c r="Q6870" s="176">
        <v>1170.3</v>
      </c>
      <c r="R6870" s="176"/>
      <c r="S6870" s="176"/>
      <c r="T6870" s="190"/>
      <c r="U6870" s="191"/>
      <c r="V6870" s="191">
        <f>+Table1[[#This Row],[SUBTOTAL]]+Table1[[#This Row],[IVA]]-Table1[[#This Row],[RET IVA]]-Table1[[#This Row],[RET ISR]]</f>
        <v>1170.3</v>
      </c>
      <c r="W6870"/>
      <c r="X6870" s="186"/>
      <c r="Y6870" s="187"/>
      <c r="Z6870" s="311" t="s">
        <v>214</v>
      </c>
      <c r="AB6870" t="str">
        <f>IF(Table1[[#This Row],[TIPO2]]="costo", VLOOKUP(Table1[[#This Row],[PARTIDA PRESUPUESTAL]],'Cost Report'!G:G,1,0),"Balance")</f>
        <v>2494-035</v>
      </c>
      <c r="AD6870" s="159">
        <f>+Table1[[#This Row],[SUBTOTAL]]+Table1[[#This Row],[IVA]]-Table1[[#This Row],[RET IVA]]-Table1[[#This Row],[RET ISR]]-Table1[[#This Row],[TOTAL]]</f>
        <v>0</v>
      </c>
      <c r="AK6870" s="306" t="str">
        <f>IF(ISNUMBER(Table1[[#This Row],[FECHA DE RECIBIDO]]), Table1[[#This Row],[FECHA DE RECIBIDO]]-DATE(2023,8,30), "")</f>
        <v/>
      </c>
    </row>
    <row r="6871" spans="1:37">
      <c r="A6871" s="172"/>
      <c r="B6871" s="178"/>
      <c r="C6871" s="179" t="s">
        <v>2455</v>
      </c>
      <c r="D6871">
        <v>4614</v>
      </c>
      <c r="E6871" s="125"/>
      <c r="F6871" s="178"/>
      <c r="G6871" s="178"/>
      <c r="H6871"/>
      <c r="I6871" s="178"/>
      <c r="J6871" s="320" t="s">
        <v>214</v>
      </c>
      <c r="K6871" s="178"/>
      <c r="L6871" s="125" t="s">
        <v>4863</v>
      </c>
      <c r="M6871">
        <v>559</v>
      </c>
      <c r="N6871" s="182"/>
      <c r="O6871">
        <v>1317</v>
      </c>
      <c r="P6871" s="176" t="s">
        <v>77</v>
      </c>
      <c r="Q6871" s="176">
        <v>9.6</v>
      </c>
      <c r="R6871" s="176"/>
      <c r="S6871" s="176"/>
      <c r="T6871" s="190"/>
      <c r="U6871" s="191"/>
      <c r="V6871" s="191">
        <f>+Table1[[#This Row],[SUBTOTAL]]+Table1[[#This Row],[IVA]]-Table1[[#This Row],[RET IVA]]-Table1[[#This Row],[RET ISR]]</f>
        <v>9.6</v>
      </c>
      <c r="W6871"/>
      <c r="X6871" s="186"/>
      <c r="Y6871" s="187"/>
      <c r="Z6871" s="311" t="s">
        <v>214</v>
      </c>
      <c r="AB6871" t="str">
        <f>IF(Table1[[#This Row],[TIPO2]]="costo", VLOOKUP(Table1[[#This Row],[PARTIDA PRESUPUESTAL]],'Cost Report'!G:G,1,0),"Balance")</f>
        <v>2285-003</v>
      </c>
      <c r="AD6871" s="159">
        <f>+Table1[[#This Row],[SUBTOTAL]]+Table1[[#This Row],[IVA]]-Table1[[#This Row],[RET IVA]]-Table1[[#This Row],[RET ISR]]-Table1[[#This Row],[TOTAL]]</f>
        <v>0</v>
      </c>
      <c r="AK6871" s="306" t="str">
        <f>IF(ISNUMBER(Table1[[#This Row],[FECHA DE RECIBIDO]]), Table1[[#This Row],[FECHA DE RECIBIDO]]-DATE(2023,8,30), "")</f>
        <v/>
      </c>
    </row>
    <row r="6872" spans="1:37">
      <c r="A6872" s="172"/>
      <c r="B6872" s="178"/>
      <c r="C6872" s="179" t="s">
        <v>1732</v>
      </c>
      <c r="D6872">
        <v>4614</v>
      </c>
      <c r="E6872" s="125"/>
      <c r="F6872" s="178"/>
      <c r="G6872" s="178"/>
      <c r="H6872"/>
      <c r="I6872" s="178"/>
      <c r="J6872" s="320" t="s">
        <v>214</v>
      </c>
      <c r="K6872" s="178"/>
      <c r="L6872" s="125" t="s">
        <v>4863</v>
      </c>
      <c r="M6872">
        <v>514</v>
      </c>
      <c r="N6872" s="182"/>
      <c r="O6872">
        <v>1318</v>
      </c>
      <c r="P6872" s="176" t="s">
        <v>77</v>
      </c>
      <c r="Q6872" s="176">
        <v>176.4</v>
      </c>
      <c r="R6872" s="176"/>
      <c r="S6872" s="176"/>
      <c r="T6872" s="190"/>
      <c r="U6872" s="191"/>
      <c r="V6872" s="191">
        <f>+Table1[[#This Row],[SUBTOTAL]]+Table1[[#This Row],[IVA]]-Table1[[#This Row],[RET IVA]]-Table1[[#This Row],[RET ISR]]</f>
        <v>176.4</v>
      </c>
      <c r="W6872"/>
      <c r="X6872" s="186"/>
      <c r="Y6872" s="187"/>
      <c r="Z6872" s="311" t="s">
        <v>214</v>
      </c>
      <c r="AB6872" t="str">
        <f>IF(Table1[[#This Row],[TIPO2]]="costo", VLOOKUP(Table1[[#This Row],[PARTIDA PRESUPUESTAL]],'Cost Report'!G:G,1,0),"Balance")</f>
        <v>2494-035</v>
      </c>
      <c r="AD6872" s="159">
        <f>+Table1[[#This Row],[SUBTOTAL]]+Table1[[#This Row],[IVA]]-Table1[[#This Row],[RET IVA]]-Table1[[#This Row],[RET ISR]]-Table1[[#This Row],[TOTAL]]</f>
        <v>0</v>
      </c>
      <c r="AK6872" s="306" t="str">
        <f>IF(ISNUMBER(Table1[[#This Row],[FECHA DE RECIBIDO]]), Table1[[#This Row],[FECHA DE RECIBIDO]]-DATE(2023,8,30), "")</f>
        <v/>
      </c>
    </row>
    <row r="6873" spans="1:37">
      <c r="A6873" s="172"/>
      <c r="B6873" s="178"/>
      <c r="C6873" s="179" t="s">
        <v>2455</v>
      </c>
      <c r="D6873">
        <v>4614</v>
      </c>
      <c r="E6873" s="125"/>
      <c r="F6873" s="178"/>
      <c r="G6873" s="178"/>
      <c r="H6873"/>
      <c r="I6873" s="178"/>
      <c r="J6873" s="320" t="s">
        <v>214</v>
      </c>
      <c r="K6873" s="178"/>
      <c r="L6873" s="125" t="s">
        <v>4863</v>
      </c>
      <c r="M6873">
        <v>383</v>
      </c>
      <c r="N6873" s="182"/>
      <c r="O6873">
        <v>522</v>
      </c>
      <c r="P6873" s="176" t="s">
        <v>77</v>
      </c>
      <c r="Q6873" s="176">
        <v>9.2219999999999995</v>
      </c>
      <c r="R6873" s="176"/>
      <c r="S6873" s="176"/>
      <c r="T6873" s="190"/>
      <c r="U6873" s="191"/>
      <c r="V6873" s="191">
        <f>+Table1[[#This Row],[SUBTOTAL]]+Table1[[#This Row],[IVA]]-Table1[[#This Row],[RET IVA]]-Table1[[#This Row],[RET ISR]]</f>
        <v>9.2219999999999995</v>
      </c>
      <c r="W6873"/>
      <c r="X6873" s="186"/>
      <c r="Y6873" s="187"/>
      <c r="Z6873" s="311" t="s">
        <v>214</v>
      </c>
      <c r="AB6873" t="str">
        <f>IF(Table1[[#This Row],[TIPO2]]="costo", VLOOKUP(Table1[[#This Row],[PARTIDA PRESUPUESTAL]],'Cost Report'!G:G,1,0),"Balance")</f>
        <v>2285-003</v>
      </c>
      <c r="AD6873" s="159">
        <f>+Table1[[#This Row],[SUBTOTAL]]+Table1[[#This Row],[IVA]]-Table1[[#This Row],[RET IVA]]-Table1[[#This Row],[RET ISR]]-Table1[[#This Row],[TOTAL]]</f>
        <v>0</v>
      </c>
      <c r="AK6873" s="306" t="str">
        <f>IF(ISNUMBER(Table1[[#This Row],[FECHA DE RECIBIDO]]), Table1[[#This Row],[FECHA DE RECIBIDO]]-DATE(2023,8,30), "")</f>
        <v/>
      </c>
    </row>
    <row r="6874" spans="1:37">
      <c r="A6874" s="172"/>
      <c r="B6874" s="178"/>
      <c r="C6874" s="179" t="s">
        <v>2455</v>
      </c>
      <c r="D6874">
        <v>4614</v>
      </c>
      <c r="E6874" s="125"/>
      <c r="F6874" s="178"/>
      <c r="G6874" s="178"/>
      <c r="H6874"/>
      <c r="I6874" s="178"/>
      <c r="J6874" s="320" t="s">
        <v>214</v>
      </c>
      <c r="K6874" s="178"/>
      <c r="L6874" s="125" t="s">
        <v>4863</v>
      </c>
      <c r="M6874">
        <v>383</v>
      </c>
      <c r="N6874" s="182"/>
      <c r="O6874">
        <v>522</v>
      </c>
      <c r="P6874" s="176" t="s">
        <v>77</v>
      </c>
      <c r="Q6874" s="176">
        <v>9.2219999999999995</v>
      </c>
      <c r="R6874" s="176"/>
      <c r="S6874" s="176"/>
      <c r="T6874" s="190"/>
      <c r="U6874" s="191"/>
      <c r="V6874" s="191">
        <f>+Table1[[#This Row],[SUBTOTAL]]+Table1[[#This Row],[IVA]]-Table1[[#This Row],[RET IVA]]-Table1[[#This Row],[RET ISR]]</f>
        <v>9.2219999999999995</v>
      </c>
      <c r="W6874"/>
      <c r="X6874" s="186"/>
      <c r="Y6874" s="187"/>
      <c r="Z6874" s="311" t="s">
        <v>214</v>
      </c>
      <c r="AB6874" t="str">
        <f>IF(Table1[[#This Row],[TIPO2]]="costo", VLOOKUP(Table1[[#This Row],[PARTIDA PRESUPUESTAL]],'Cost Report'!G:G,1,0),"Balance")</f>
        <v>2285-003</v>
      </c>
      <c r="AD6874" s="159">
        <f>+Table1[[#This Row],[SUBTOTAL]]+Table1[[#This Row],[IVA]]-Table1[[#This Row],[RET IVA]]-Table1[[#This Row],[RET ISR]]-Table1[[#This Row],[TOTAL]]</f>
        <v>0</v>
      </c>
      <c r="AK6874" s="306" t="str">
        <f>IF(ISNUMBER(Table1[[#This Row],[FECHA DE RECIBIDO]]), Table1[[#This Row],[FECHA DE RECIBIDO]]-DATE(2023,8,30), "")</f>
        <v/>
      </c>
    </row>
    <row r="6875" spans="1:37">
      <c r="A6875" s="172"/>
      <c r="B6875" s="178"/>
      <c r="C6875" s="179" t="s">
        <v>936</v>
      </c>
      <c r="D6875">
        <v>4614</v>
      </c>
      <c r="E6875" s="125"/>
      <c r="F6875" s="178"/>
      <c r="G6875" s="178"/>
      <c r="H6875"/>
      <c r="I6875" s="178"/>
      <c r="J6875" s="320" t="s">
        <v>214</v>
      </c>
      <c r="K6875" s="178"/>
      <c r="L6875" s="125" t="s">
        <v>4863</v>
      </c>
      <c r="M6875">
        <v>580</v>
      </c>
      <c r="N6875" s="182"/>
      <c r="O6875">
        <v>1383</v>
      </c>
      <c r="P6875" s="176" t="s">
        <v>77</v>
      </c>
      <c r="Q6875" s="176">
        <v>7.5</v>
      </c>
      <c r="R6875" s="176"/>
      <c r="S6875" s="176"/>
      <c r="T6875" s="190"/>
      <c r="U6875" s="191"/>
      <c r="V6875" s="191">
        <f>+Table1[[#This Row],[SUBTOTAL]]+Table1[[#This Row],[IVA]]-Table1[[#This Row],[RET IVA]]-Table1[[#This Row],[RET ISR]]</f>
        <v>7.5</v>
      </c>
      <c r="W6875"/>
      <c r="X6875" s="186"/>
      <c r="Y6875" s="187"/>
      <c r="Z6875" s="311" t="s">
        <v>214</v>
      </c>
      <c r="AB6875" t="str">
        <f>IF(Table1[[#This Row],[TIPO2]]="costo", VLOOKUP(Table1[[#This Row],[PARTIDA PRESUPUESTAL]],'Cost Report'!G:G,1,0),"Balance")</f>
        <v>3401-003</v>
      </c>
      <c r="AD6875" s="159">
        <f>+Table1[[#This Row],[SUBTOTAL]]+Table1[[#This Row],[IVA]]-Table1[[#This Row],[RET IVA]]-Table1[[#This Row],[RET ISR]]-Table1[[#This Row],[TOTAL]]</f>
        <v>0</v>
      </c>
      <c r="AK6875" s="306" t="str">
        <f>IF(ISNUMBER(Table1[[#This Row],[FECHA DE RECIBIDO]]), Table1[[#This Row],[FECHA DE RECIBIDO]]-DATE(2023,8,30), "")</f>
        <v/>
      </c>
    </row>
    <row r="6876" spans="1:37">
      <c r="A6876" s="172"/>
      <c r="B6876" s="178"/>
      <c r="C6876" s="179" t="s">
        <v>936</v>
      </c>
      <c r="D6876">
        <v>4614</v>
      </c>
      <c r="E6876" s="125"/>
      <c r="F6876" s="178"/>
      <c r="G6876" s="178"/>
      <c r="H6876"/>
      <c r="I6876" s="178"/>
      <c r="J6876" s="320" t="s">
        <v>214</v>
      </c>
      <c r="K6876" s="178"/>
      <c r="L6876" s="125" t="s">
        <v>4863</v>
      </c>
      <c r="M6876">
        <v>581</v>
      </c>
      <c r="N6876" s="182"/>
      <c r="O6876">
        <v>1383</v>
      </c>
      <c r="P6876" s="176" t="s">
        <v>77</v>
      </c>
      <c r="Q6876" s="176">
        <v>6.2069999999999999</v>
      </c>
      <c r="R6876" s="176"/>
      <c r="S6876" s="176"/>
      <c r="T6876" s="190"/>
      <c r="U6876" s="191"/>
      <c r="V6876" s="191">
        <f>+Table1[[#This Row],[SUBTOTAL]]+Table1[[#This Row],[IVA]]-Table1[[#This Row],[RET IVA]]-Table1[[#This Row],[RET ISR]]</f>
        <v>6.2069999999999999</v>
      </c>
      <c r="W6876"/>
      <c r="X6876" s="186"/>
      <c r="Y6876" s="187"/>
      <c r="Z6876" s="311" t="s">
        <v>214</v>
      </c>
      <c r="AB6876" t="str">
        <f>IF(Table1[[#This Row],[TIPO2]]="costo", VLOOKUP(Table1[[#This Row],[PARTIDA PRESUPUESTAL]],'Cost Report'!G:G,1,0),"Balance")</f>
        <v>3401-003</v>
      </c>
      <c r="AD6876" s="159">
        <f>+Table1[[#This Row],[SUBTOTAL]]+Table1[[#This Row],[IVA]]-Table1[[#This Row],[RET IVA]]-Table1[[#This Row],[RET ISR]]-Table1[[#This Row],[TOTAL]]</f>
        <v>0</v>
      </c>
      <c r="AK6876" s="306" t="str">
        <f>IF(ISNUMBER(Table1[[#This Row],[FECHA DE RECIBIDO]]), Table1[[#This Row],[FECHA DE RECIBIDO]]-DATE(2023,8,30), "")</f>
        <v/>
      </c>
    </row>
    <row r="6877" spans="1:37">
      <c r="A6877" s="172"/>
      <c r="B6877" s="178"/>
      <c r="C6877" s="179" t="s">
        <v>936</v>
      </c>
      <c r="D6877">
        <v>4614</v>
      </c>
      <c r="E6877" s="125"/>
      <c r="F6877" s="178"/>
      <c r="G6877" s="178"/>
      <c r="H6877"/>
      <c r="I6877" s="178"/>
      <c r="J6877" s="320" t="s">
        <v>214</v>
      </c>
      <c r="K6877" s="178"/>
      <c r="L6877" s="125" t="s">
        <v>4863</v>
      </c>
      <c r="M6877">
        <v>582</v>
      </c>
      <c r="N6877" s="182"/>
      <c r="O6877">
        <v>1384</v>
      </c>
      <c r="P6877" s="176" t="s">
        <v>77</v>
      </c>
      <c r="Q6877" s="176">
        <v>22.5</v>
      </c>
      <c r="R6877" s="176"/>
      <c r="S6877" s="176"/>
      <c r="T6877" s="190"/>
      <c r="U6877" s="191"/>
      <c r="V6877" s="191">
        <f>+Table1[[#This Row],[SUBTOTAL]]+Table1[[#This Row],[IVA]]-Table1[[#This Row],[RET IVA]]-Table1[[#This Row],[RET ISR]]</f>
        <v>22.5</v>
      </c>
      <c r="W6877"/>
      <c r="X6877" s="186"/>
      <c r="Y6877" s="187"/>
      <c r="Z6877" s="311" t="s">
        <v>214</v>
      </c>
      <c r="AB6877" t="str">
        <f>IF(Table1[[#This Row],[TIPO2]]="costo", VLOOKUP(Table1[[#This Row],[PARTIDA PRESUPUESTAL]],'Cost Report'!G:G,1,0),"Balance")</f>
        <v>3401-003</v>
      </c>
      <c r="AD6877" s="159">
        <f>+Table1[[#This Row],[SUBTOTAL]]+Table1[[#This Row],[IVA]]-Table1[[#This Row],[RET IVA]]-Table1[[#This Row],[RET ISR]]-Table1[[#This Row],[TOTAL]]</f>
        <v>0</v>
      </c>
      <c r="AK6877" s="306" t="str">
        <f>IF(ISNUMBER(Table1[[#This Row],[FECHA DE RECIBIDO]]), Table1[[#This Row],[FECHA DE RECIBIDO]]-DATE(2023,8,30), "")</f>
        <v/>
      </c>
    </row>
    <row r="6878" spans="1:37">
      <c r="A6878" s="172"/>
      <c r="B6878" s="178"/>
      <c r="C6878" s="179" t="s">
        <v>936</v>
      </c>
      <c r="D6878">
        <v>4614</v>
      </c>
      <c r="E6878" s="125"/>
      <c r="F6878" s="178"/>
      <c r="G6878" s="178"/>
      <c r="H6878"/>
      <c r="I6878" s="178"/>
      <c r="J6878" s="320" t="s">
        <v>214</v>
      </c>
      <c r="K6878" s="178"/>
      <c r="L6878" s="125" t="s">
        <v>4863</v>
      </c>
      <c r="M6878">
        <v>580</v>
      </c>
      <c r="N6878" s="182"/>
      <c r="O6878">
        <v>1385</v>
      </c>
      <c r="P6878" s="176" t="s">
        <v>77</v>
      </c>
      <c r="Q6878" s="176">
        <v>7.5</v>
      </c>
      <c r="R6878" s="176"/>
      <c r="S6878" s="176"/>
      <c r="T6878" s="190"/>
      <c r="U6878" s="191"/>
      <c r="V6878" s="191">
        <f>+Table1[[#This Row],[SUBTOTAL]]+Table1[[#This Row],[IVA]]-Table1[[#This Row],[RET IVA]]-Table1[[#This Row],[RET ISR]]</f>
        <v>7.5</v>
      </c>
      <c r="W6878"/>
      <c r="X6878" s="186"/>
      <c r="Y6878" s="187"/>
      <c r="Z6878" s="311" t="s">
        <v>214</v>
      </c>
      <c r="AB6878" t="str">
        <f>IF(Table1[[#This Row],[TIPO2]]="costo", VLOOKUP(Table1[[#This Row],[PARTIDA PRESUPUESTAL]],'Cost Report'!G:G,1,0),"Balance")</f>
        <v>3401-003</v>
      </c>
      <c r="AD6878" s="159">
        <f>+Table1[[#This Row],[SUBTOTAL]]+Table1[[#This Row],[IVA]]-Table1[[#This Row],[RET IVA]]-Table1[[#This Row],[RET ISR]]-Table1[[#This Row],[TOTAL]]</f>
        <v>0</v>
      </c>
      <c r="AK6878" s="306" t="str">
        <f>IF(ISNUMBER(Table1[[#This Row],[FECHA DE RECIBIDO]]), Table1[[#This Row],[FECHA DE RECIBIDO]]-DATE(2023,8,30), "")</f>
        <v/>
      </c>
    </row>
    <row r="6879" spans="1:37">
      <c r="A6879" s="172"/>
      <c r="B6879" s="178"/>
      <c r="C6879" s="179" t="s">
        <v>936</v>
      </c>
      <c r="D6879">
        <v>4614</v>
      </c>
      <c r="E6879" s="125"/>
      <c r="F6879" s="178"/>
      <c r="G6879" s="178"/>
      <c r="H6879"/>
      <c r="I6879" s="178"/>
      <c r="J6879" s="320" t="s">
        <v>214</v>
      </c>
      <c r="K6879" s="178"/>
      <c r="L6879" s="125" t="s">
        <v>4863</v>
      </c>
      <c r="M6879">
        <v>580</v>
      </c>
      <c r="N6879" s="182"/>
      <c r="O6879">
        <v>1385</v>
      </c>
      <c r="P6879" s="176" t="s">
        <v>77</v>
      </c>
      <c r="Q6879" s="176">
        <v>22.5</v>
      </c>
      <c r="R6879" s="176"/>
      <c r="S6879" s="176"/>
      <c r="T6879" s="190"/>
      <c r="U6879" s="191"/>
      <c r="V6879" s="191">
        <f>+Table1[[#This Row],[SUBTOTAL]]+Table1[[#This Row],[IVA]]-Table1[[#This Row],[RET IVA]]-Table1[[#This Row],[RET ISR]]</f>
        <v>22.5</v>
      </c>
      <c r="W6879"/>
      <c r="X6879" s="186"/>
      <c r="Y6879" s="187"/>
      <c r="Z6879" s="311" t="s">
        <v>214</v>
      </c>
      <c r="AB6879" t="str">
        <f>IF(Table1[[#This Row],[TIPO2]]="costo", VLOOKUP(Table1[[#This Row],[PARTIDA PRESUPUESTAL]],'Cost Report'!G:G,1,0),"Balance")</f>
        <v>3401-003</v>
      </c>
      <c r="AD6879" s="159">
        <f>+Table1[[#This Row],[SUBTOTAL]]+Table1[[#This Row],[IVA]]-Table1[[#This Row],[RET IVA]]-Table1[[#This Row],[RET ISR]]-Table1[[#This Row],[TOTAL]]</f>
        <v>0</v>
      </c>
      <c r="AK6879" s="306" t="str">
        <f>IF(ISNUMBER(Table1[[#This Row],[FECHA DE RECIBIDO]]), Table1[[#This Row],[FECHA DE RECIBIDO]]-DATE(2023,8,30), "")</f>
        <v/>
      </c>
    </row>
    <row r="6880" spans="1:37">
      <c r="A6880" s="172"/>
      <c r="B6880" s="178"/>
      <c r="C6880" s="179" t="s">
        <v>936</v>
      </c>
      <c r="D6880">
        <v>4614</v>
      </c>
      <c r="E6880" s="125"/>
      <c r="F6880" s="178"/>
      <c r="G6880" s="178"/>
      <c r="H6880"/>
      <c r="I6880" s="178"/>
      <c r="J6880" s="320" t="s">
        <v>214</v>
      </c>
      <c r="K6880" s="178"/>
      <c r="L6880" s="125" t="s">
        <v>4863</v>
      </c>
      <c r="M6880">
        <v>583</v>
      </c>
      <c r="N6880" s="182"/>
      <c r="O6880">
        <v>1386</v>
      </c>
      <c r="P6880" s="176" t="s">
        <v>77</v>
      </c>
      <c r="Q6880" s="176">
        <v>44.513999999999996</v>
      </c>
      <c r="R6880" s="176"/>
      <c r="S6880" s="176"/>
      <c r="T6880" s="190"/>
      <c r="U6880" s="191"/>
      <c r="V6880" s="191">
        <f>+Table1[[#This Row],[SUBTOTAL]]+Table1[[#This Row],[IVA]]-Table1[[#This Row],[RET IVA]]-Table1[[#This Row],[RET ISR]]</f>
        <v>44.513999999999996</v>
      </c>
      <c r="W6880"/>
      <c r="X6880" s="186"/>
      <c r="Y6880" s="187"/>
      <c r="Z6880" s="311" t="s">
        <v>214</v>
      </c>
      <c r="AB6880" t="str">
        <f>IF(Table1[[#This Row],[TIPO2]]="costo", VLOOKUP(Table1[[#This Row],[PARTIDA PRESUPUESTAL]],'Cost Report'!G:G,1,0),"Balance")</f>
        <v>3401-003</v>
      </c>
      <c r="AD6880" s="159">
        <f>+Table1[[#This Row],[SUBTOTAL]]+Table1[[#This Row],[IVA]]-Table1[[#This Row],[RET IVA]]-Table1[[#This Row],[RET ISR]]-Table1[[#This Row],[TOTAL]]</f>
        <v>0</v>
      </c>
      <c r="AK6880" s="306" t="str">
        <f>IF(ISNUMBER(Table1[[#This Row],[FECHA DE RECIBIDO]]), Table1[[#This Row],[FECHA DE RECIBIDO]]-DATE(2023,8,30), "")</f>
        <v/>
      </c>
    </row>
    <row r="6881" spans="1:37">
      <c r="A6881" s="172"/>
      <c r="B6881" s="178"/>
      <c r="C6881" s="179" t="s">
        <v>936</v>
      </c>
      <c r="D6881">
        <v>4614</v>
      </c>
      <c r="E6881" s="125"/>
      <c r="F6881" s="178"/>
      <c r="G6881" s="178"/>
      <c r="H6881"/>
      <c r="I6881" s="178"/>
      <c r="J6881" s="320" t="s">
        <v>214</v>
      </c>
      <c r="K6881" s="178"/>
      <c r="L6881" s="125" t="s">
        <v>4863</v>
      </c>
      <c r="M6881">
        <v>584</v>
      </c>
      <c r="N6881" s="182"/>
      <c r="O6881">
        <v>1387</v>
      </c>
      <c r="P6881" s="176" t="s">
        <v>77</v>
      </c>
      <c r="Q6881" s="176">
        <v>8.85</v>
      </c>
      <c r="R6881" s="176"/>
      <c r="S6881" s="176"/>
      <c r="T6881" s="190"/>
      <c r="U6881" s="191"/>
      <c r="V6881" s="191">
        <f>+Table1[[#This Row],[SUBTOTAL]]+Table1[[#This Row],[IVA]]-Table1[[#This Row],[RET IVA]]-Table1[[#This Row],[RET ISR]]</f>
        <v>8.85</v>
      </c>
      <c r="W6881"/>
      <c r="X6881" s="186"/>
      <c r="Y6881" s="187"/>
      <c r="Z6881" s="311" t="s">
        <v>214</v>
      </c>
      <c r="AB6881" t="str">
        <f>IF(Table1[[#This Row],[TIPO2]]="costo", VLOOKUP(Table1[[#This Row],[PARTIDA PRESUPUESTAL]],'Cost Report'!G:G,1,0),"Balance")</f>
        <v>3401-003</v>
      </c>
      <c r="AD6881" s="159">
        <f>+Table1[[#This Row],[SUBTOTAL]]+Table1[[#This Row],[IVA]]-Table1[[#This Row],[RET IVA]]-Table1[[#This Row],[RET ISR]]-Table1[[#This Row],[TOTAL]]</f>
        <v>0</v>
      </c>
      <c r="AK6881" s="306" t="str">
        <f>IF(ISNUMBER(Table1[[#This Row],[FECHA DE RECIBIDO]]), Table1[[#This Row],[FECHA DE RECIBIDO]]-DATE(2023,8,30), "")</f>
        <v/>
      </c>
    </row>
    <row r="6882" spans="1:37">
      <c r="A6882" s="172"/>
      <c r="B6882" s="178"/>
      <c r="C6882" s="179" t="s">
        <v>936</v>
      </c>
      <c r="D6882">
        <v>4614</v>
      </c>
      <c r="E6882" s="125"/>
      <c r="F6882" s="178"/>
      <c r="G6882" s="178"/>
      <c r="H6882"/>
      <c r="I6882" s="178"/>
      <c r="J6882" s="320" t="s">
        <v>214</v>
      </c>
      <c r="K6882" s="178"/>
      <c r="L6882" s="125" t="s">
        <v>4863</v>
      </c>
      <c r="M6882">
        <v>585</v>
      </c>
      <c r="N6882" s="182"/>
      <c r="O6882">
        <v>1388</v>
      </c>
      <c r="P6882" s="176" t="s">
        <v>77</v>
      </c>
      <c r="Q6882" s="176">
        <v>4.5</v>
      </c>
      <c r="R6882" s="176"/>
      <c r="S6882" s="176"/>
      <c r="T6882" s="190"/>
      <c r="U6882" s="191"/>
      <c r="V6882" s="191">
        <f>+Table1[[#This Row],[SUBTOTAL]]+Table1[[#This Row],[IVA]]-Table1[[#This Row],[RET IVA]]-Table1[[#This Row],[RET ISR]]</f>
        <v>4.5</v>
      </c>
      <c r="W6882"/>
      <c r="X6882" s="186"/>
      <c r="Y6882" s="187"/>
      <c r="Z6882" s="311" t="s">
        <v>214</v>
      </c>
      <c r="AB6882" t="str">
        <f>IF(Table1[[#This Row],[TIPO2]]="costo", VLOOKUP(Table1[[#This Row],[PARTIDA PRESUPUESTAL]],'Cost Report'!G:G,1,0),"Balance")</f>
        <v>3401-003</v>
      </c>
      <c r="AD6882" s="159">
        <f>+Table1[[#This Row],[SUBTOTAL]]+Table1[[#This Row],[IVA]]-Table1[[#This Row],[RET IVA]]-Table1[[#This Row],[RET ISR]]-Table1[[#This Row],[TOTAL]]</f>
        <v>0</v>
      </c>
      <c r="AK6882" s="306" t="str">
        <f>IF(ISNUMBER(Table1[[#This Row],[FECHA DE RECIBIDO]]), Table1[[#This Row],[FECHA DE RECIBIDO]]-DATE(2023,8,30), "")</f>
        <v/>
      </c>
    </row>
    <row r="6883" spans="1:37">
      <c r="A6883" s="172"/>
      <c r="B6883" s="178"/>
      <c r="C6883" s="179" t="s">
        <v>936</v>
      </c>
      <c r="D6883">
        <v>4614</v>
      </c>
      <c r="E6883" s="125"/>
      <c r="F6883" s="178"/>
      <c r="G6883" s="178"/>
      <c r="H6883"/>
      <c r="I6883" s="178"/>
      <c r="J6883" s="320" t="s">
        <v>214</v>
      </c>
      <c r="K6883" s="178"/>
      <c r="L6883" s="125" t="s">
        <v>4863</v>
      </c>
      <c r="M6883">
        <v>586</v>
      </c>
      <c r="N6883" s="182"/>
      <c r="O6883">
        <v>1389</v>
      </c>
      <c r="P6883" s="176" t="s">
        <v>77</v>
      </c>
      <c r="Q6883" s="176">
        <v>21.599999999999998</v>
      </c>
      <c r="R6883" s="176"/>
      <c r="S6883" s="176"/>
      <c r="T6883" s="190"/>
      <c r="U6883" s="191"/>
      <c r="V6883" s="191">
        <f>+Table1[[#This Row],[SUBTOTAL]]+Table1[[#This Row],[IVA]]-Table1[[#This Row],[RET IVA]]-Table1[[#This Row],[RET ISR]]</f>
        <v>21.599999999999998</v>
      </c>
      <c r="W6883"/>
      <c r="X6883" s="186"/>
      <c r="Y6883" s="187"/>
      <c r="Z6883" s="311" t="s">
        <v>214</v>
      </c>
      <c r="AB6883" t="str">
        <f>IF(Table1[[#This Row],[TIPO2]]="costo", VLOOKUP(Table1[[#This Row],[PARTIDA PRESUPUESTAL]],'Cost Report'!G:G,1,0),"Balance")</f>
        <v>3401-003</v>
      </c>
      <c r="AD6883" s="159">
        <f>+Table1[[#This Row],[SUBTOTAL]]+Table1[[#This Row],[IVA]]-Table1[[#This Row],[RET IVA]]-Table1[[#This Row],[RET ISR]]-Table1[[#This Row],[TOTAL]]</f>
        <v>0</v>
      </c>
      <c r="AK6883" s="306" t="str">
        <f>IF(ISNUMBER(Table1[[#This Row],[FECHA DE RECIBIDO]]), Table1[[#This Row],[FECHA DE RECIBIDO]]-DATE(2023,8,30), "")</f>
        <v/>
      </c>
    </row>
    <row r="6884" spans="1:37">
      <c r="A6884" s="172"/>
      <c r="B6884" s="178"/>
      <c r="C6884" s="179" t="s">
        <v>936</v>
      </c>
      <c r="D6884">
        <v>4614</v>
      </c>
      <c r="E6884" s="125"/>
      <c r="F6884" s="178"/>
      <c r="G6884" s="178"/>
      <c r="H6884"/>
      <c r="I6884" s="178"/>
      <c r="J6884" s="320" t="s">
        <v>214</v>
      </c>
      <c r="K6884" s="178"/>
      <c r="L6884" s="125" t="s">
        <v>4863</v>
      </c>
      <c r="M6884">
        <v>587</v>
      </c>
      <c r="N6884" s="182"/>
      <c r="O6884">
        <v>1388</v>
      </c>
      <c r="P6884" s="176" t="s">
        <v>77</v>
      </c>
      <c r="Q6884" s="176">
        <v>10.5</v>
      </c>
      <c r="R6884" s="176"/>
      <c r="S6884" s="176"/>
      <c r="T6884" s="190"/>
      <c r="U6884" s="191"/>
      <c r="V6884" s="191">
        <f>+Table1[[#This Row],[SUBTOTAL]]+Table1[[#This Row],[IVA]]-Table1[[#This Row],[RET IVA]]-Table1[[#This Row],[RET ISR]]</f>
        <v>10.5</v>
      </c>
      <c r="W6884"/>
      <c r="X6884" s="186"/>
      <c r="Y6884" s="187"/>
      <c r="Z6884" s="311" t="s">
        <v>214</v>
      </c>
      <c r="AB6884" t="str">
        <f>IF(Table1[[#This Row],[TIPO2]]="costo", VLOOKUP(Table1[[#This Row],[PARTIDA PRESUPUESTAL]],'Cost Report'!G:G,1,0),"Balance")</f>
        <v>3401-003</v>
      </c>
      <c r="AD6884" s="159">
        <f>+Table1[[#This Row],[SUBTOTAL]]+Table1[[#This Row],[IVA]]-Table1[[#This Row],[RET IVA]]-Table1[[#This Row],[RET ISR]]-Table1[[#This Row],[TOTAL]]</f>
        <v>0</v>
      </c>
      <c r="AK6884" s="306" t="str">
        <f>IF(ISNUMBER(Table1[[#This Row],[FECHA DE RECIBIDO]]), Table1[[#This Row],[FECHA DE RECIBIDO]]-DATE(2023,8,30), "")</f>
        <v/>
      </c>
    </row>
    <row r="6885" spans="1:37">
      <c r="A6885" s="172"/>
      <c r="B6885" s="178"/>
      <c r="C6885" s="179" t="s">
        <v>936</v>
      </c>
      <c r="D6885">
        <v>4614</v>
      </c>
      <c r="E6885" s="125"/>
      <c r="F6885" s="178"/>
      <c r="G6885" s="178"/>
      <c r="H6885"/>
      <c r="I6885" s="178"/>
      <c r="J6885" s="320" t="s">
        <v>214</v>
      </c>
      <c r="K6885" s="178"/>
      <c r="L6885" s="125" t="s">
        <v>4863</v>
      </c>
      <c r="M6885">
        <v>588</v>
      </c>
      <c r="N6885" s="182"/>
      <c r="O6885">
        <v>1390</v>
      </c>
      <c r="P6885" s="176" t="s">
        <v>77</v>
      </c>
      <c r="Q6885" s="176">
        <v>44.1</v>
      </c>
      <c r="R6885" s="176"/>
      <c r="S6885" s="176"/>
      <c r="T6885" s="190"/>
      <c r="U6885" s="191"/>
      <c r="V6885" s="191">
        <f>+Table1[[#This Row],[SUBTOTAL]]+Table1[[#This Row],[IVA]]-Table1[[#This Row],[RET IVA]]-Table1[[#This Row],[RET ISR]]</f>
        <v>44.1</v>
      </c>
      <c r="W6885"/>
      <c r="X6885" s="186"/>
      <c r="Y6885" s="187"/>
      <c r="Z6885" s="311" t="s">
        <v>214</v>
      </c>
      <c r="AB6885" t="str">
        <f>IF(Table1[[#This Row],[TIPO2]]="costo", VLOOKUP(Table1[[#This Row],[PARTIDA PRESUPUESTAL]],'Cost Report'!G:G,1,0),"Balance")</f>
        <v>3401-003</v>
      </c>
      <c r="AD6885" s="159">
        <f>+Table1[[#This Row],[SUBTOTAL]]+Table1[[#This Row],[IVA]]-Table1[[#This Row],[RET IVA]]-Table1[[#This Row],[RET ISR]]-Table1[[#This Row],[TOTAL]]</f>
        <v>0</v>
      </c>
      <c r="AK6885" s="306" t="str">
        <f>IF(ISNUMBER(Table1[[#This Row],[FECHA DE RECIBIDO]]), Table1[[#This Row],[FECHA DE RECIBIDO]]-DATE(2023,8,30), "")</f>
        <v/>
      </c>
    </row>
    <row r="6886" spans="1:37">
      <c r="A6886" s="172"/>
      <c r="B6886" s="178"/>
      <c r="C6886" s="179" t="s">
        <v>936</v>
      </c>
      <c r="D6886">
        <v>4614</v>
      </c>
      <c r="E6886" s="125"/>
      <c r="F6886" s="178"/>
      <c r="G6886" s="178"/>
      <c r="H6886"/>
      <c r="I6886" s="178"/>
      <c r="J6886" s="320" t="s">
        <v>214</v>
      </c>
      <c r="K6886" s="178"/>
      <c r="L6886" s="125" t="s">
        <v>4863</v>
      </c>
      <c r="M6886">
        <v>125</v>
      </c>
      <c r="N6886" s="182"/>
      <c r="O6886">
        <v>1391</v>
      </c>
      <c r="P6886" s="176" t="s">
        <v>77</v>
      </c>
      <c r="Q6886" s="176">
        <v>50.4</v>
      </c>
      <c r="R6886" s="176"/>
      <c r="S6886" s="176"/>
      <c r="T6886" s="190"/>
      <c r="U6886" s="191"/>
      <c r="V6886" s="191">
        <f>+Table1[[#This Row],[SUBTOTAL]]+Table1[[#This Row],[IVA]]-Table1[[#This Row],[RET IVA]]-Table1[[#This Row],[RET ISR]]</f>
        <v>50.4</v>
      </c>
      <c r="W6886"/>
      <c r="X6886" s="186"/>
      <c r="Y6886" s="187"/>
      <c r="Z6886" s="311" t="s">
        <v>214</v>
      </c>
      <c r="AB6886" t="str">
        <f>IF(Table1[[#This Row],[TIPO2]]="costo", VLOOKUP(Table1[[#This Row],[PARTIDA PRESUPUESTAL]],'Cost Report'!G:G,1,0),"Balance")</f>
        <v>3401-003</v>
      </c>
      <c r="AD6886" s="159">
        <f>+Table1[[#This Row],[SUBTOTAL]]+Table1[[#This Row],[IVA]]-Table1[[#This Row],[RET IVA]]-Table1[[#This Row],[RET ISR]]-Table1[[#This Row],[TOTAL]]</f>
        <v>0</v>
      </c>
      <c r="AK6886" s="306" t="str">
        <f>IF(ISNUMBER(Table1[[#This Row],[FECHA DE RECIBIDO]]), Table1[[#This Row],[FECHA DE RECIBIDO]]-DATE(2023,8,30), "")</f>
        <v/>
      </c>
    </row>
    <row r="6887" spans="1:37">
      <c r="A6887" s="172"/>
      <c r="B6887" s="178"/>
      <c r="C6887" s="179" t="s">
        <v>936</v>
      </c>
      <c r="D6887">
        <v>4614</v>
      </c>
      <c r="E6887" s="125"/>
      <c r="F6887" s="178"/>
      <c r="G6887" s="178"/>
      <c r="H6887"/>
      <c r="I6887" s="178"/>
      <c r="J6887" s="320" t="s">
        <v>214</v>
      </c>
      <c r="K6887" s="178"/>
      <c r="L6887" s="125" t="s">
        <v>4863</v>
      </c>
      <c r="M6887">
        <v>589</v>
      </c>
      <c r="N6887" s="182"/>
      <c r="O6887">
        <v>1392</v>
      </c>
      <c r="P6887" s="176" t="s">
        <v>77</v>
      </c>
      <c r="Q6887" s="176">
        <v>22.5</v>
      </c>
      <c r="R6887" s="176"/>
      <c r="S6887" s="176"/>
      <c r="T6887" s="190"/>
      <c r="U6887" s="191"/>
      <c r="V6887" s="191">
        <f>+Table1[[#This Row],[SUBTOTAL]]+Table1[[#This Row],[IVA]]-Table1[[#This Row],[RET IVA]]-Table1[[#This Row],[RET ISR]]</f>
        <v>22.5</v>
      </c>
      <c r="W6887"/>
      <c r="X6887" s="186"/>
      <c r="Y6887" s="187"/>
      <c r="Z6887" s="311" t="s">
        <v>214</v>
      </c>
      <c r="AB6887" t="str">
        <f>IF(Table1[[#This Row],[TIPO2]]="costo", VLOOKUP(Table1[[#This Row],[PARTIDA PRESUPUESTAL]],'Cost Report'!G:G,1,0),"Balance")</f>
        <v>3401-003</v>
      </c>
      <c r="AD6887" s="159">
        <f>+Table1[[#This Row],[SUBTOTAL]]+Table1[[#This Row],[IVA]]-Table1[[#This Row],[RET IVA]]-Table1[[#This Row],[RET ISR]]-Table1[[#This Row],[TOTAL]]</f>
        <v>0</v>
      </c>
      <c r="AK6887" s="306" t="str">
        <f>IF(ISNUMBER(Table1[[#This Row],[FECHA DE RECIBIDO]]), Table1[[#This Row],[FECHA DE RECIBIDO]]-DATE(2023,8,30), "")</f>
        <v/>
      </c>
    </row>
    <row r="6888" spans="1:37">
      <c r="A6888" s="172"/>
      <c r="B6888" s="178"/>
      <c r="C6888" s="179" t="s">
        <v>936</v>
      </c>
      <c r="D6888">
        <v>4614</v>
      </c>
      <c r="E6888" s="125"/>
      <c r="F6888" s="178"/>
      <c r="G6888" s="178"/>
      <c r="H6888"/>
      <c r="I6888" s="178"/>
      <c r="J6888" s="320" t="s">
        <v>214</v>
      </c>
      <c r="K6888" s="178"/>
      <c r="L6888" s="125" t="s">
        <v>4863</v>
      </c>
      <c r="M6888">
        <v>589</v>
      </c>
      <c r="N6888" s="182"/>
      <c r="O6888">
        <v>1393</v>
      </c>
      <c r="P6888" s="176" t="s">
        <v>77</v>
      </c>
      <c r="Q6888" s="176">
        <v>81</v>
      </c>
      <c r="R6888" s="176"/>
      <c r="S6888" s="176"/>
      <c r="T6888" s="190"/>
      <c r="U6888" s="191"/>
      <c r="V6888" s="191">
        <f>+Table1[[#This Row],[SUBTOTAL]]+Table1[[#This Row],[IVA]]-Table1[[#This Row],[RET IVA]]-Table1[[#This Row],[RET ISR]]</f>
        <v>81</v>
      </c>
      <c r="W6888"/>
      <c r="X6888" s="186"/>
      <c r="Y6888" s="187"/>
      <c r="Z6888" s="311" t="s">
        <v>214</v>
      </c>
      <c r="AB6888" t="str">
        <f>IF(Table1[[#This Row],[TIPO2]]="costo", VLOOKUP(Table1[[#This Row],[PARTIDA PRESUPUESTAL]],'Cost Report'!G:G,1,0),"Balance")</f>
        <v>3401-003</v>
      </c>
      <c r="AD6888" s="159">
        <f>+Table1[[#This Row],[SUBTOTAL]]+Table1[[#This Row],[IVA]]-Table1[[#This Row],[RET IVA]]-Table1[[#This Row],[RET ISR]]-Table1[[#This Row],[TOTAL]]</f>
        <v>0</v>
      </c>
      <c r="AK6888" s="306" t="str">
        <f>IF(ISNUMBER(Table1[[#This Row],[FECHA DE RECIBIDO]]), Table1[[#This Row],[FECHA DE RECIBIDO]]-DATE(2023,8,30), "")</f>
        <v/>
      </c>
    </row>
    <row r="6889" spans="1:37">
      <c r="A6889" s="172"/>
      <c r="B6889" s="178"/>
      <c r="C6889" s="179" t="s">
        <v>936</v>
      </c>
      <c r="D6889">
        <v>4614</v>
      </c>
      <c r="E6889" s="125"/>
      <c r="F6889" s="178"/>
      <c r="G6889" s="178"/>
      <c r="H6889"/>
      <c r="I6889" s="178"/>
      <c r="J6889" s="320" t="s">
        <v>214</v>
      </c>
      <c r="K6889" s="178"/>
      <c r="L6889" s="125" t="s">
        <v>4863</v>
      </c>
      <c r="M6889">
        <v>590</v>
      </c>
      <c r="N6889" s="182"/>
      <c r="O6889">
        <v>1394</v>
      </c>
      <c r="P6889" s="176" t="s">
        <v>77</v>
      </c>
      <c r="Q6889" s="176">
        <v>27.599999999999998</v>
      </c>
      <c r="R6889" s="176"/>
      <c r="S6889" s="176"/>
      <c r="T6889" s="190"/>
      <c r="U6889" s="191"/>
      <c r="V6889" s="191">
        <f>+Table1[[#This Row],[SUBTOTAL]]+Table1[[#This Row],[IVA]]-Table1[[#This Row],[RET IVA]]-Table1[[#This Row],[RET ISR]]</f>
        <v>27.599999999999998</v>
      </c>
      <c r="W6889"/>
      <c r="X6889" s="186"/>
      <c r="Y6889" s="187"/>
      <c r="Z6889" s="311" t="s">
        <v>214</v>
      </c>
      <c r="AB6889" t="str">
        <f>IF(Table1[[#This Row],[TIPO2]]="costo", VLOOKUP(Table1[[#This Row],[PARTIDA PRESUPUESTAL]],'Cost Report'!G:G,1,0),"Balance")</f>
        <v>3401-003</v>
      </c>
      <c r="AD6889" s="159">
        <f>+Table1[[#This Row],[SUBTOTAL]]+Table1[[#This Row],[IVA]]-Table1[[#This Row],[RET IVA]]-Table1[[#This Row],[RET ISR]]-Table1[[#This Row],[TOTAL]]</f>
        <v>0</v>
      </c>
      <c r="AK6889" s="306" t="str">
        <f>IF(ISNUMBER(Table1[[#This Row],[FECHA DE RECIBIDO]]), Table1[[#This Row],[FECHA DE RECIBIDO]]-DATE(2023,8,30), "")</f>
        <v/>
      </c>
    </row>
    <row r="6890" spans="1:37">
      <c r="A6890" s="172"/>
      <c r="B6890" s="178"/>
      <c r="C6890" s="179" t="s">
        <v>936</v>
      </c>
      <c r="D6890">
        <v>4614</v>
      </c>
      <c r="E6890" s="125"/>
      <c r="F6890" s="178"/>
      <c r="G6890" s="178"/>
      <c r="H6890"/>
      <c r="I6890" s="178"/>
      <c r="J6890" s="320" t="s">
        <v>214</v>
      </c>
      <c r="K6890" s="178"/>
      <c r="L6890" s="125" t="s">
        <v>4863</v>
      </c>
      <c r="M6890">
        <v>591</v>
      </c>
      <c r="N6890" s="182"/>
      <c r="O6890">
        <v>1395</v>
      </c>
      <c r="P6890" s="176" t="s">
        <v>77</v>
      </c>
      <c r="Q6890" s="176">
        <v>51</v>
      </c>
      <c r="R6890" s="176"/>
      <c r="S6890" s="176"/>
      <c r="T6890" s="190"/>
      <c r="U6890" s="191"/>
      <c r="V6890" s="191">
        <f>+Table1[[#This Row],[SUBTOTAL]]+Table1[[#This Row],[IVA]]-Table1[[#This Row],[RET IVA]]-Table1[[#This Row],[RET ISR]]</f>
        <v>51</v>
      </c>
      <c r="W6890"/>
      <c r="X6890" s="186"/>
      <c r="Y6890" s="187"/>
      <c r="Z6890" s="311" t="s">
        <v>214</v>
      </c>
      <c r="AB6890" t="str">
        <f>IF(Table1[[#This Row],[TIPO2]]="costo", VLOOKUP(Table1[[#This Row],[PARTIDA PRESUPUESTAL]],'Cost Report'!G:G,1,0),"Balance")</f>
        <v>3401-003</v>
      </c>
      <c r="AD6890" s="159">
        <f>+Table1[[#This Row],[SUBTOTAL]]+Table1[[#This Row],[IVA]]-Table1[[#This Row],[RET IVA]]-Table1[[#This Row],[RET ISR]]-Table1[[#This Row],[TOTAL]]</f>
        <v>0</v>
      </c>
      <c r="AK6890" s="306" t="str">
        <f>IF(ISNUMBER(Table1[[#This Row],[FECHA DE RECIBIDO]]), Table1[[#This Row],[FECHA DE RECIBIDO]]-DATE(2023,8,30), "")</f>
        <v/>
      </c>
    </row>
    <row r="6891" spans="1:37">
      <c r="A6891" s="172"/>
      <c r="B6891" s="178"/>
      <c r="C6891" s="179" t="s">
        <v>936</v>
      </c>
      <c r="D6891">
        <v>4614</v>
      </c>
      <c r="E6891" s="125"/>
      <c r="F6891" s="178"/>
      <c r="G6891" s="178"/>
      <c r="H6891"/>
      <c r="I6891" s="178"/>
      <c r="J6891" s="320" t="s">
        <v>214</v>
      </c>
      <c r="K6891" s="178"/>
      <c r="L6891" s="125" t="s">
        <v>4863</v>
      </c>
      <c r="M6891">
        <v>588</v>
      </c>
      <c r="N6891" s="182"/>
      <c r="O6891">
        <v>1396</v>
      </c>
      <c r="P6891" s="176" t="s">
        <v>77</v>
      </c>
      <c r="Q6891" s="176">
        <v>13.799999999999999</v>
      </c>
      <c r="R6891" s="176"/>
      <c r="S6891" s="176"/>
      <c r="T6891" s="190"/>
      <c r="U6891" s="191"/>
      <c r="V6891" s="191">
        <f>+Table1[[#This Row],[SUBTOTAL]]+Table1[[#This Row],[IVA]]-Table1[[#This Row],[RET IVA]]-Table1[[#This Row],[RET ISR]]</f>
        <v>13.799999999999999</v>
      </c>
      <c r="W6891"/>
      <c r="X6891" s="186"/>
      <c r="Y6891" s="187"/>
      <c r="Z6891" s="311" t="s">
        <v>214</v>
      </c>
      <c r="AB6891" t="str">
        <f>IF(Table1[[#This Row],[TIPO2]]="costo", VLOOKUP(Table1[[#This Row],[PARTIDA PRESUPUESTAL]],'Cost Report'!G:G,1,0),"Balance")</f>
        <v>3401-003</v>
      </c>
      <c r="AD6891" s="159">
        <f>+Table1[[#This Row],[SUBTOTAL]]+Table1[[#This Row],[IVA]]-Table1[[#This Row],[RET IVA]]-Table1[[#This Row],[RET ISR]]-Table1[[#This Row],[TOTAL]]</f>
        <v>0</v>
      </c>
      <c r="AK6891" s="306" t="str">
        <f>IF(ISNUMBER(Table1[[#This Row],[FECHA DE RECIBIDO]]), Table1[[#This Row],[FECHA DE RECIBIDO]]-DATE(2023,8,30), "")</f>
        <v/>
      </c>
    </row>
    <row r="6892" spans="1:37">
      <c r="A6892" s="172"/>
      <c r="B6892" s="178"/>
      <c r="C6892" s="179" t="s">
        <v>936</v>
      </c>
      <c r="D6892">
        <v>4614</v>
      </c>
      <c r="E6892" s="125"/>
      <c r="F6892" s="178"/>
      <c r="G6892" s="178"/>
      <c r="H6892"/>
      <c r="I6892" s="178"/>
      <c r="J6892" s="320" t="s">
        <v>214</v>
      </c>
      <c r="K6892" s="178"/>
      <c r="L6892" s="125" t="s">
        <v>4863</v>
      </c>
      <c r="M6892">
        <v>583</v>
      </c>
      <c r="N6892" s="182"/>
      <c r="O6892">
        <v>1397</v>
      </c>
      <c r="P6892" s="176" t="s">
        <v>77</v>
      </c>
      <c r="Q6892" s="176">
        <v>22.8</v>
      </c>
      <c r="R6892" s="176"/>
      <c r="S6892" s="176"/>
      <c r="T6892" s="190"/>
      <c r="U6892" s="191"/>
      <c r="V6892" s="191">
        <f>+Table1[[#This Row],[SUBTOTAL]]+Table1[[#This Row],[IVA]]-Table1[[#This Row],[RET IVA]]-Table1[[#This Row],[RET ISR]]</f>
        <v>22.8</v>
      </c>
      <c r="W6892"/>
      <c r="X6892" s="186"/>
      <c r="Y6892" s="187"/>
      <c r="Z6892" s="311" t="s">
        <v>214</v>
      </c>
      <c r="AB6892" t="str">
        <f>IF(Table1[[#This Row],[TIPO2]]="costo", VLOOKUP(Table1[[#This Row],[PARTIDA PRESUPUESTAL]],'Cost Report'!G:G,1,0),"Balance")</f>
        <v>3401-003</v>
      </c>
      <c r="AD6892" s="159">
        <f>+Table1[[#This Row],[SUBTOTAL]]+Table1[[#This Row],[IVA]]-Table1[[#This Row],[RET IVA]]-Table1[[#This Row],[RET ISR]]-Table1[[#This Row],[TOTAL]]</f>
        <v>0</v>
      </c>
      <c r="AK6892" s="306" t="str">
        <f>IF(ISNUMBER(Table1[[#This Row],[FECHA DE RECIBIDO]]), Table1[[#This Row],[FECHA DE RECIBIDO]]-DATE(2023,8,30), "")</f>
        <v/>
      </c>
    </row>
    <row r="6893" spans="1:37">
      <c r="A6893" s="172"/>
      <c r="B6893" s="178"/>
      <c r="C6893" s="179" t="s">
        <v>2325</v>
      </c>
      <c r="D6893">
        <v>4614</v>
      </c>
      <c r="E6893" s="125"/>
      <c r="F6893" s="178"/>
      <c r="G6893" s="178"/>
      <c r="H6893"/>
      <c r="I6893" s="178"/>
      <c r="J6893" s="320" t="s">
        <v>214</v>
      </c>
      <c r="K6893" s="178"/>
      <c r="L6893" s="125" t="s">
        <v>4863</v>
      </c>
      <c r="M6893">
        <v>592</v>
      </c>
      <c r="N6893" s="182"/>
      <c r="O6893">
        <v>1398</v>
      </c>
      <c r="P6893" s="176" t="s">
        <v>77</v>
      </c>
      <c r="Q6893" s="176">
        <v>10.44</v>
      </c>
      <c r="R6893" s="176"/>
      <c r="S6893" s="176"/>
      <c r="T6893" s="190"/>
      <c r="U6893" s="191"/>
      <c r="V6893" s="191">
        <f>+Table1[[#This Row],[SUBTOTAL]]+Table1[[#This Row],[IVA]]-Table1[[#This Row],[RET IVA]]-Table1[[#This Row],[RET ISR]]</f>
        <v>10.44</v>
      </c>
      <c r="W6893"/>
      <c r="X6893" s="186"/>
      <c r="Y6893" s="187"/>
      <c r="Z6893" s="311" t="s">
        <v>214</v>
      </c>
      <c r="AB6893" t="str">
        <f>IF(Table1[[#This Row],[TIPO2]]="costo", VLOOKUP(Table1[[#This Row],[PARTIDA PRESUPUESTAL]],'Cost Report'!G:G,1,0),"Balance")</f>
        <v>1426-010</v>
      </c>
      <c r="AD6893" s="159">
        <f>+Table1[[#This Row],[SUBTOTAL]]+Table1[[#This Row],[IVA]]-Table1[[#This Row],[RET IVA]]-Table1[[#This Row],[RET ISR]]-Table1[[#This Row],[TOTAL]]</f>
        <v>0</v>
      </c>
      <c r="AK6893" s="306" t="str">
        <f>IF(ISNUMBER(Table1[[#This Row],[FECHA DE RECIBIDO]]), Table1[[#This Row],[FECHA DE RECIBIDO]]-DATE(2023,8,30), "")</f>
        <v/>
      </c>
    </row>
    <row r="6894" spans="1:37">
      <c r="A6894" s="172"/>
      <c r="B6894" s="178"/>
      <c r="C6894" s="179" t="s">
        <v>2325</v>
      </c>
      <c r="D6894">
        <v>4614</v>
      </c>
      <c r="E6894" s="125"/>
      <c r="F6894" s="178"/>
      <c r="G6894" s="178"/>
      <c r="H6894"/>
      <c r="I6894" s="178"/>
      <c r="J6894" s="320" t="s">
        <v>214</v>
      </c>
      <c r="K6894" s="178"/>
      <c r="L6894" s="125" t="s">
        <v>4863</v>
      </c>
      <c r="M6894">
        <v>593</v>
      </c>
      <c r="N6894" s="182"/>
      <c r="O6894">
        <v>1399</v>
      </c>
      <c r="P6894" s="176" t="s">
        <v>77</v>
      </c>
      <c r="Q6894" s="176">
        <v>102.315</v>
      </c>
      <c r="R6894" s="176"/>
      <c r="S6894" s="176"/>
      <c r="T6894" s="190"/>
      <c r="U6894" s="191"/>
      <c r="V6894" s="191">
        <f>+Table1[[#This Row],[SUBTOTAL]]+Table1[[#This Row],[IVA]]-Table1[[#This Row],[RET IVA]]-Table1[[#This Row],[RET ISR]]</f>
        <v>102.315</v>
      </c>
      <c r="W6894"/>
      <c r="X6894" s="186"/>
      <c r="Y6894" s="187"/>
      <c r="Z6894" s="311" t="s">
        <v>214</v>
      </c>
      <c r="AB6894" t="str">
        <f>IF(Table1[[#This Row],[TIPO2]]="costo", VLOOKUP(Table1[[#This Row],[PARTIDA PRESUPUESTAL]],'Cost Report'!G:G,1,0),"Balance")</f>
        <v>1426-010</v>
      </c>
      <c r="AD6894" s="159">
        <f>+Table1[[#This Row],[SUBTOTAL]]+Table1[[#This Row],[IVA]]-Table1[[#This Row],[RET IVA]]-Table1[[#This Row],[RET ISR]]-Table1[[#This Row],[TOTAL]]</f>
        <v>0</v>
      </c>
      <c r="AK6894" s="306" t="str">
        <f>IF(ISNUMBER(Table1[[#This Row],[FECHA DE RECIBIDO]]), Table1[[#This Row],[FECHA DE RECIBIDO]]-DATE(2023,8,30), "")</f>
        <v/>
      </c>
    </row>
    <row r="6895" spans="1:37">
      <c r="A6895" s="172"/>
      <c r="B6895" s="178"/>
      <c r="C6895" s="179" t="s">
        <v>2325</v>
      </c>
      <c r="D6895">
        <v>4614</v>
      </c>
      <c r="E6895" s="125"/>
      <c r="F6895" s="178"/>
      <c r="G6895" s="178"/>
      <c r="H6895"/>
      <c r="I6895" s="178"/>
      <c r="J6895" s="320" t="s">
        <v>214</v>
      </c>
      <c r="K6895" s="178"/>
      <c r="L6895" s="125" t="s">
        <v>4863</v>
      </c>
      <c r="M6895">
        <v>593</v>
      </c>
      <c r="N6895" s="182"/>
      <c r="O6895">
        <v>1400</v>
      </c>
      <c r="P6895" s="176" t="s">
        <v>77</v>
      </c>
      <c r="Q6895" s="176">
        <v>10.232999999999999</v>
      </c>
      <c r="R6895" s="176"/>
      <c r="S6895" s="176"/>
      <c r="T6895" s="190"/>
      <c r="U6895" s="191"/>
      <c r="V6895" s="191">
        <f>+Table1[[#This Row],[SUBTOTAL]]+Table1[[#This Row],[IVA]]-Table1[[#This Row],[RET IVA]]-Table1[[#This Row],[RET ISR]]</f>
        <v>10.232999999999999</v>
      </c>
      <c r="W6895"/>
      <c r="X6895" s="186"/>
      <c r="Y6895" s="187"/>
      <c r="Z6895" s="311" t="s">
        <v>214</v>
      </c>
      <c r="AB6895" t="str">
        <f>IF(Table1[[#This Row],[TIPO2]]="costo", VLOOKUP(Table1[[#This Row],[PARTIDA PRESUPUESTAL]],'Cost Report'!G:G,1,0),"Balance")</f>
        <v>1426-010</v>
      </c>
      <c r="AD6895" s="159">
        <f>+Table1[[#This Row],[SUBTOTAL]]+Table1[[#This Row],[IVA]]-Table1[[#This Row],[RET IVA]]-Table1[[#This Row],[RET ISR]]-Table1[[#This Row],[TOTAL]]</f>
        <v>0</v>
      </c>
      <c r="AK6895" s="306" t="str">
        <f>IF(ISNUMBER(Table1[[#This Row],[FECHA DE RECIBIDO]]), Table1[[#This Row],[FECHA DE RECIBIDO]]-DATE(2023,8,30), "")</f>
        <v/>
      </c>
    </row>
    <row r="6896" spans="1:37">
      <c r="A6896" s="172"/>
      <c r="B6896" s="178"/>
      <c r="C6896" s="179" t="s">
        <v>2325</v>
      </c>
      <c r="D6896">
        <v>4614</v>
      </c>
      <c r="E6896" s="125"/>
      <c r="F6896" s="178"/>
      <c r="G6896" s="178"/>
      <c r="H6896"/>
      <c r="I6896" s="178"/>
      <c r="J6896" s="320" t="s">
        <v>214</v>
      </c>
      <c r="K6896" s="178"/>
      <c r="L6896" s="125" t="s">
        <v>4863</v>
      </c>
      <c r="M6896">
        <v>593</v>
      </c>
      <c r="N6896" s="182"/>
      <c r="O6896">
        <v>1401</v>
      </c>
      <c r="P6896" s="176" t="s">
        <v>77</v>
      </c>
      <c r="Q6896" s="176">
        <v>257.69400000000002</v>
      </c>
      <c r="R6896" s="176"/>
      <c r="S6896" s="176"/>
      <c r="T6896" s="190"/>
      <c r="U6896" s="191"/>
      <c r="V6896" s="191">
        <f>+Table1[[#This Row],[SUBTOTAL]]+Table1[[#This Row],[IVA]]-Table1[[#This Row],[RET IVA]]-Table1[[#This Row],[RET ISR]]</f>
        <v>257.69400000000002</v>
      </c>
      <c r="W6896"/>
      <c r="X6896" s="186"/>
      <c r="Y6896" s="187"/>
      <c r="Z6896" s="311" t="s">
        <v>214</v>
      </c>
      <c r="AB6896" t="str">
        <f>IF(Table1[[#This Row],[TIPO2]]="costo", VLOOKUP(Table1[[#This Row],[PARTIDA PRESUPUESTAL]],'Cost Report'!G:G,1,0),"Balance")</f>
        <v>1426-010</v>
      </c>
      <c r="AD6896" s="159">
        <f>+Table1[[#This Row],[SUBTOTAL]]+Table1[[#This Row],[IVA]]-Table1[[#This Row],[RET IVA]]-Table1[[#This Row],[RET ISR]]-Table1[[#This Row],[TOTAL]]</f>
        <v>0</v>
      </c>
      <c r="AK6896" s="306" t="str">
        <f>IF(ISNUMBER(Table1[[#This Row],[FECHA DE RECIBIDO]]), Table1[[#This Row],[FECHA DE RECIBIDO]]-DATE(2023,8,30), "")</f>
        <v/>
      </c>
    </row>
    <row r="6897" spans="1:37">
      <c r="A6897" s="172"/>
      <c r="B6897" s="178"/>
      <c r="C6897" s="179" t="s">
        <v>2325</v>
      </c>
      <c r="D6897">
        <v>4614</v>
      </c>
      <c r="E6897" s="125"/>
      <c r="F6897" s="178"/>
      <c r="G6897" s="178"/>
      <c r="H6897"/>
      <c r="I6897" s="178"/>
      <c r="J6897" s="320" t="s">
        <v>214</v>
      </c>
      <c r="K6897" s="178"/>
      <c r="L6897" s="125" t="s">
        <v>4863</v>
      </c>
      <c r="M6897">
        <v>592</v>
      </c>
      <c r="N6897" s="182"/>
      <c r="O6897">
        <v>1398</v>
      </c>
      <c r="P6897" s="176" t="s">
        <v>77</v>
      </c>
      <c r="Q6897" s="176">
        <v>10.44</v>
      </c>
      <c r="R6897" s="176"/>
      <c r="S6897" s="176"/>
      <c r="T6897" s="190"/>
      <c r="U6897" s="191"/>
      <c r="V6897" s="191">
        <f>+Table1[[#This Row],[SUBTOTAL]]+Table1[[#This Row],[IVA]]-Table1[[#This Row],[RET IVA]]-Table1[[#This Row],[RET ISR]]</f>
        <v>10.44</v>
      </c>
      <c r="W6897"/>
      <c r="X6897" s="186"/>
      <c r="Y6897" s="187"/>
      <c r="Z6897" s="311" t="s">
        <v>214</v>
      </c>
      <c r="AB6897" t="str">
        <f>IF(Table1[[#This Row],[TIPO2]]="costo", VLOOKUP(Table1[[#This Row],[PARTIDA PRESUPUESTAL]],'Cost Report'!G:G,1,0),"Balance")</f>
        <v>1426-010</v>
      </c>
      <c r="AD6897" s="159">
        <f>+Table1[[#This Row],[SUBTOTAL]]+Table1[[#This Row],[IVA]]-Table1[[#This Row],[RET IVA]]-Table1[[#This Row],[RET ISR]]-Table1[[#This Row],[TOTAL]]</f>
        <v>0</v>
      </c>
      <c r="AK6897" s="306" t="str">
        <f>IF(ISNUMBER(Table1[[#This Row],[FECHA DE RECIBIDO]]), Table1[[#This Row],[FECHA DE RECIBIDO]]-DATE(2023,8,30), "")</f>
        <v/>
      </c>
    </row>
    <row r="6898" spans="1:37">
      <c r="A6898" s="172"/>
      <c r="B6898" s="178"/>
      <c r="C6898" s="179" t="s">
        <v>2325</v>
      </c>
      <c r="D6898">
        <v>4614</v>
      </c>
      <c r="E6898" s="125"/>
      <c r="F6898" s="178"/>
      <c r="G6898" s="178"/>
      <c r="H6898"/>
      <c r="I6898" s="178"/>
      <c r="J6898" s="320" t="s">
        <v>214</v>
      </c>
      <c r="K6898" s="178"/>
      <c r="L6898" s="125" t="s">
        <v>4863</v>
      </c>
      <c r="M6898">
        <v>593</v>
      </c>
      <c r="N6898" s="182"/>
      <c r="O6898">
        <v>1399</v>
      </c>
      <c r="P6898" s="176" t="s">
        <v>77</v>
      </c>
      <c r="Q6898" s="176">
        <v>102.315</v>
      </c>
      <c r="R6898" s="176"/>
      <c r="S6898" s="176"/>
      <c r="T6898" s="190"/>
      <c r="U6898" s="191"/>
      <c r="V6898" s="191">
        <f>+Table1[[#This Row],[SUBTOTAL]]+Table1[[#This Row],[IVA]]-Table1[[#This Row],[RET IVA]]-Table1[[#This Row],[RET ISR]]</f>
        <v>102.315</v>
      </c>
      <c r="W6898"/>
      <c r="X6898" s="186"/>
      <c r="Y6898" s="187"/>
      <c r="Z6898" s="311" t="s">
        <v>214</v>
      </c>
      <c r="AB6898" t="str">
        <f>IF(Table1[[#This Row],[TIPO2]]="costo", VLOOKUP(Table1[[#This Row],[PARTIDA PRESUPUESTAL]],'Cost Report'!G:G,1,0),"Balance")</f>
        <v>1426-010</v>
      </c>
      <c r="AD6898" s="159">
        <f>+Table1[[#This Row],[SUBTOTAL]]+Table1[[#This Row],[IVA]]-Table1[[#This Row],[RET IVA]]-Table1[[#This Row],[RET ISR]]-Table1[[#This Row],[TOTAL]]</f>
        <v>0</v>
      </c>
      <c r="AK6898" s="306" t="str">
        <f>IF(ISNUMBER(Table1[[#This Row],[FECHA DE RECIBIDO]]), Table1[[#This Row],[FECHA DE RECIBIDO]]-DATE(2023,8,30), "")</f>
        <v/>
      </c>
    </row>
    <row r="6899" spans="1:37">
      <c r="A6899" s="172"/>
      <c r="B6899" s="178"/>
      <c r="C6899" s="179" t="s">
        <v>2325</v>
      </c>
      <c r="D6899">
        <v>4614</v>
      </c>
      <c r="E6899" s="125"/>
      <c r="F6899" s="178"/>
      <c r="G6899" s="178"/>
      <c r="H6899"/>
      <c r="I6899" s="178"/>
      <c r="J6899" s="320" t="s">
        <v>214</v>
      </c>
      <c r="K6899" s="178"/>
      <c r="L6899" s="125" t="s">
        <v>4863</v>
      </c>
      <c r="M6899">
        <v>593</v>
      </c>
      <c r="N6899" s="182"/>
      <c r="O6899">
        <v>1400</v>
      </c>
      <c r="P6899" s="176" t="s">
        <v>77</v>
      </c>
      <c r="Q6899" s="176">
        <v>10.232999999999999</v>
      </c>
      <c r="R6899" s="176"/>
      <c r="S6899" s="176"/>
      <c r="T6899" s="190"/>
      <c r="U6899" s="191"/>
      <c r="V6899" s="191">
        <f>+Table1[[#This Row],[SUBTOTAL]]+Table1[[#This Row],[IVA]]-Table1[[#This Row],[RET IVA]]-Table1[[#This Row],[RET ISR]]</f>
        <v>10.232999999999999</v>
      </c>
      <c r="W6899"/>
      <c r="X6899" s="186"/>
      <c r="Y6899" s="187"/>
      <c r="Z6899" s="311" t="s">
        <v>214</v>
      </c>
      <c r="AB6899" t="str">
        <f>IF(Table1[[#This Row],[TIPO2]]="costo", VLOOKUP(Table1[[#This Row],[PARTIDA PRESUPUESTAL]],'Cost Report'!G:G,1,0),"Balance")</f>
        <v>1426-010</v>
      </c>
      <c r="AD6899" s="159">
        <f>+Table1[[#This Row],[SUBTOTAL]]+Table1[[#This Row],[IVA]]-Table1[[#This Row],[RET IVA]]-Table1[[#This Row],[RET ISR]]-Table1[[#This Row],[TOTAL]]</f>
        <v>0</v>
      </c>
      <c r="AK6899" s="306" t="str">
        <f>IF(ISNUMBER(Table1[[#This Row],[FECHA DE RECIBIDO]]), Table1[[#This Row],[FECHA DE RECIBIDO]]-DATE(2023,8,30), "")</f>
        <v/>
      </c>
    </row>
    <row r="6900" spans="1:37">
      <c r="A6900" s="172"/>
      <c r="B6900" s="178"/>
      <c r="C6900" s="179" t="s">
        <v>2325</v>
      </c>
      <c r="D6900">
        <v>4614</v>
      </c>
      <c r="E6900" s="125"/>
      <c r="F6900" s="178"/>
      <c r="G6900" s="178"/>
      <c r="H6900"/>
      <c r="I6900" s="178"/>
      <c r="J6900" s="320" t="s">
        <v>214</v>
      </c>
      <c r="K6900" s="178"/>
      <c r="L6900" s="125" t="s">
        <v>4863</v>
      </c>
      <c r="M6900">
        <v>593</v>
      </c>
      <c r="N6900" s="182"/>
      <c r="O6900">
        <v>1401</v>
      </c>
      <c r="P6900" s="176" t="s">
        <v>77</v>
      </c>
      <c r="Q6900" s="176">
        <v>257.69400000000002</v>
      </c>
      <c r="R6900" s="176"/>
      <c r="S6900" s="176"/>
      <c r="T6900" s="190"/>
      <c r="U6900" s="191"/>
      <c r="V6900" s="191">
        <f>+Table1[[#This Row],[SUBTOTAL]]+Table1[[#This Row],[IVA]]-Table1[[#This Row],[RET IVA]]-Table1[[#This Row],[RET ISR]]</f>
        <v>257.69400000000002</v>
      </c>
      <c r="W6900"/>
      <c r="X6900" s="186"/>
      <c r="Y6900" s="187"/>
      <c r="Z6900" s="311" t="s">
        <v>214</v>
      </c>
      <c r="AB6900" t="str">
        <f>IF(Table1[[#This Row],[TIPO2]]="costo", VLOOKUP(Table1[[#This Row],[PARTIDA PRESUPUESTAL]],'Cost Report'!G:G,1,0),"Balance")</f>
        <v>1426-010</v>
      </c>
      <c r="AD6900" s="159">
        <f>+Table1[[#This Row],[SUBTOTAL]]+Table1[[#This Row],[IVA]]-Table1[[#This Row],[RET IVA]]-Table1[[#This Row],[RET ISR]]-Table1[[#This Row],[TOTAL]]</f>
        <v>0</v>
      </c>
      <c r="AK6900" s="306" t="str">
        <f>IF(ISNUMBER(Table1[[#This Row],[FECHA DE RECIBIDO]]), Table1[[#This Row],[FECHA DE RECIBIDO]]-DATE(2023,8,30), "")</f>
        <v/>
      </c>
    </row>
    <row r="6901" spans="1:37">
      <c r="A6901" s="172"/>
      <c r="B6901" s="178"/>
      <c r="C6901" s="179" t="s">
        <v>2860</v>
      </c>
      <c r="D6901">
        <v>4614</v>
      </c>
      <c r="E6901" s="125"/>
      <c r="F6901" s="178"/>
      <c r="G6901" s="178"/>
      <c r="H6901"/>
      <c r="I6901" s="178"/>
      <c r="J6901" s="320" t="s">
        <v>214</v>
      </c>
      <c r="K6901" s="178"/>
      <c r="L6901" s="125" t="s">
        <v>4863</v>
      </c>
      <c r="M6901">
        <v>601</v>
      </c>
      <c r="N6901" s="182"/>
      <c r="O6901">
        <v>1419</v>
      </c>
      <c r="P6901" s="176" t="s">
        <v>77</v>
      </c>
      <c r="Q6901" s="176">
        <v>16.2</v>
      </c>
      <c r="R6901" s="176"/>
      <c r="S6901" s="176"/>
      <c r="T6901" s="190"/>
      <c r="U6901" s="191"/>
      <c r="V6901" s="191">
        <f>+Table1[[#This Row],[SUBTOTAL]]+Table1[[#This Row],[IVA]]-Table1[[#This Row],[RET IVA]]-Table1[[#This Row],[RET ISR]]</f>
        <v>16.2</v>
      </c>
      <c r="W6901"/>
      <c r="X6901" s="186"/>
      <c r="Y6901" s="187"/>
      <c r="Z6901" s="311" t="s">
        <v>214</v>
      </c>
      <c r="AB6901" t="str">
        <f>IF(Table1[[#This Row],[TIPO2]]="costo", VLOOKUP(Table1[[#This Row],[PARTIDA PRESUPUESTAL]],'Cost Report'!G:G,1,0),"Balance")</f>
        <v>3629-003</v>
      </c>
      <c r="AD6901" s="159">
        <f>+Table1[[#This Row],[SUBTOTAL]]+Table1[[#This Row],[IVA]]-Table1[[#This Row],[RET IVA]]-Table1[[#This Row],[RET ISR]]-Table1[[#This Row],[TOTAL]]</f>
        <v>0</v>
      </c>
      <c r="AK6901" s="306" t="str">
        <f>IF(ISNUMBER(Table1[[#This Row],[FECHA DE RECIBIDO]]), Table1[[#This Row],[FECHA DE RECIBIDO]]-DATE(2023,8,30), "")</f>
        <v/>
      </c>
    </row>
    <row r="6902" spans="1:37">
      <c r="A6902" s="172"/>
      <c r="B6902" s="178"/>
      <c r="C6902" s="179" t="s">
        <v>2860</v>
      </c>
      <c r="D6902">
        <v>4614</v>
      </c>
      <c r="E6902" s="125"/>
      <c r="F6902" s="178"/>
      <c r="G6902" s="178"/>
      <c r="H6902"/>
      <c r="I6902" s="178"/>
      <c r="J6902" s="320" t="s">
        <v>214</v>
      </c>
      <c r="K6902" s="178"/>
      <c r="L6902" s="125" t="s">
        <v>4863</v>
      </c>
      <c r="M6902">
        <v>602</v>
      </c>
      <c r="N6902" s="182"/>
      <c r="O6902">
        <v>1419</v>
      </c>
      <c r="P6902" s="176" t="s">
        <v>77</v>
      </c>
      <c r="Q6902" s="176">
        <v>16.2</v>
      </c>
      <c r="R6902" s="176"/>
      <c r="S6902" s="176"/>
      <c r="T6902" s="190"/>
      <c r="U6902" s="191"/>
      <c r="V6902" s="191">
        <f>+Table1[[#This Row],[SUBTOTAL]]+Table1[[#This Row],[IVA]]-Table1[[#This Row],[RET IVA]]-Table1[[#This Row],[RET ISR]]</f>
        <v>16.2</v>
      </c>
      <c r="W6902"/>
      <c r="X6902" s="186"/>
      <c r="Y6902" s="187"/>
      <c r="Z6902" s="311" t="s">
        <v>214</v>
      </c>
      <c r="AB6902" t="str">
        <f>IF(Table1[[#This Row],[TIPO2]]="costo", VLOOKUP(Table1[[#This Row],[PARTIDA PRESUPUESTAL]],'Cost Report'!G:G,1,0),"Balance")</f>
        <v>3629-003</v>
      </c>
      <c r="AD6902" s="159">
        <f>+Table1[[#This Row],[SUBTOTAL]]+Table1[[#This Row],[IVA]]-Table1[[#This Row],[RET IVA]]-Table1[[#This Row],[RET ISR]]-Table1[[#This Row],[TOTAL]]</f>
        <v>0</v>
      </c>
      <c r="AK6902" s="306" t="str">
        <f>IF(ISNUMBER(Table1[[#This Row],[FECHA DE RECIBIDO]]), Table1[[#This Row],[FECHA DE RECIBIDO]]-DATE(2023,8,30), "")</f>
        <v/>
      </c>
    </row>
    <row r="6903" spans="1:37">
      <c r="A6903" s="172"/>
      <c r="B6903" s="178"/>
      <c r="C6903" s="179" t="s">
        <v>2860</v>
      </c>
      <c r="D6903">
        <v>4614</v>
      </c>
      <c r="E6903" s="125"/>
      <c r="F6903" s="178"/>
      <c r="G6903" s="178"/>
      <c r="H6903"/>
      <c r="I6903" s="178"/>
      <c r="J6903" s="320" t="s">
        <v>214</v>
      </c>
      <c r="K6903" s="178"/>
      <c r="L6903" s="125" t="s">
        <v>4863</v>
      </c>
      <c r="M6903">
        <v>603</v>
      </c>
      <c r="N6903" s="182"/>
      <c r="O6903">
        <v>1419</v>
      </c>
      <c r="P6903" s="176" t="s">
        <v>77</v>
      </c>
      <c r="Q6903" s="176">
        <v>16.2</v>
      </c>
      <c r="R6903" s="176"/>
      <c r="S6903" s="176"/>
      <c r="T6903" s="190"/>
      <c r="U6903" s="191"/>
      <c r="V6903" s="191">
        <f>+Table1[[#This Row],[SUBTOTAL]]+Table1[[#This Row],[IVA]]-Table1[[#This Row],[RET IVA]]-Table1[[#This Row],[RET ISR]]</f>
        <v>16.2</v>
      </c>
      <c r="W6903"/>
      <c r="X6903" s="186"/>
      <c r="Y6903" s="187"/>
      <c r="Z6903" s="311" t="s">
        <v>214</v>
      </c>
      <c r="AB6903" t="str">
        <f>IF(Table1[[#This Row],[TIPO2]]="costo", VLOOKUP(Table1[[#This Row],[PARTIDA PRESUPUESTAL]],'Cost Report'!G:G,1,0),"Balance")</f>
        <v>3629-003</v>
      </c>
      <c r="AD6903" s="159">
        <f>+Table1[[#This Row],[SUBTOTAL]]+Table1[[#This Row],[IVA]]-Table1[[#This Row],[RET IVA]]-Table1[[#This Row],[RET ISR]]-Table1[[#This Row],[TOTAL]]</f>
        <v>0</v>
      </c>
      <c r="AK6903" s="306" t="str">
        <f>IF(ISNUMBER(Table1[[#This Row],[FECHA DE RECIBIDO]]), Table1[[#This Row],[FECHA DE RECIBIDO]]-DATE(2023,8,30), "")</f>
        <v/>
      </c>
    </row>
    <row r="6904" spans="1:37">
      <c r="A6904" s="172"/>
      <c r="B6904" s="178"/>
      <c r="C6904" s="179" t="s">
        <v>2860</v>
      </c>
      <c r="D6904">
        <v>4614</v>
      </c>
      <c r="E6904" s="125"/>
      <c r="F6904" s="178"/>
      <c r="G6904" s="178"/>
      <c r="H6904"/>
      <c r="I6904" s="178"/>
      <c r="J6904" s="320" t="s">
        <v>214</v>
      </c>
      <c r="K6904" s="178"/>
      <c r="L6904" s="125" t="s">
        <v>4863</v>
      </c>
      <c r="M6904">
        <v>604</v>
      </c>
      <c r="N6904" s="182"/>
      <c r="O6904">
        <v>1419</v>
      </c>
      <c r="P6904" s="176" t="s">
        <v>77</v>
      </c>
      <c r="Q6904" s="176">
        <v>20.399999999999999</v>
      </c>
      <c r="R6904" s="176"/>
      <c r="S6904" s="176"/>
      <c r="T6904" s="190"/>
      <c r="U6904" s="191"/>
      <c r="V6904" s="191">
        <f>+Table1[[#This Row],[SUBTOTAL]]+Table1[[#This Row],[IVA]]-Table1[[#This Row],[RET IVA]]-Table1[[#This Row],[RET ISR]]</f>
        <v>20.399999999999999</v>
      </c>
      <c r="W6904"/>
      <c r="X6904" s="186"/>
      <c r="Y6904" s="187"/>
      <c r="Z6904" s="311" t="s">
        <v>214</v>
      </c>
      <c r="AB6904" t="str">
        <f>IF(Table1[[#This Row],[TIPO2]]="costo", VLOOKUP(Table1[[#This Row],[PARTIDA PRESUPUESTAL]],'Cost Report'!G:G,1,0),"Balance")</f>
        <v>3629-003</v>
      </c>
      <c r="AD6904" s="159">
        <f>+Table1[[#This Row],[SUBTOTAL]]+Table1[[#This Row],[IVA]]-Table1[[#This Row],[RET IVA]]-Table1[[#This Row],[RET ISR]]-Table1[[#This Row],[TOTAL]]</f>
        <v>0</v>
      </c>
      <c r="AK6904" s="306" t="str">
        <f>IF(ISNUMBER(Table1[[#This Row],[FECHA DE RECIBIDO]]), Table1[[#This Row],[FECHA DE RECIBIDO]]-DATE(2023,8,30), "")</f>
        <v/>
      </c>
    </row>
    <row r="6905" spans="1:37">
      <c r="A6905" s="172"/>
      <c r="B6905" s="178"/>
      <c r="C6905" s="179" t="s">
        <v>2436</v>
      </c>
      <c r="D6905">
        <v>4614</v>
      </c>
      <c r="E6905" s="125"/>
      <c r="F6905" s="178"/>
      <c r="G6905" s="178"/>
      <c r="H6905"/>
      <c r="I6905" s="178"/>
      <c r="J6905" s="320" t="s">
        <v>214</v>
      </c>
      <c r="K6905" s="178"/>
      <c r="L6905" s="125" t="s">
        <v>4863</v>
      </c>
      <c r="M6905">
        <v>605</v>
      </c>
      <c r="N6905" s="182"/>
      <c r="O6905">
        <v>1420</v>
      </c>
      <c r="P6905" s="176" t="s">
        <v>77</v>
      </c>
      <c r="Q6905" s="176">
        <v>922.5</v>
      </c>
      <c r="R6905" s="176"/>
      <c r="S6905" s="176"/>
      <c r="T6905" s="190"/>
      <c r="U6905" s="191"/>
      <c r="V6905" s="191">
        <f>+Table1[[#This Row],[SUBTOTAL]]+Table1[[#This Row],[IVA]]-Table1[[#This Row],[RET IVA]]-Table1[[#This Row],[RET ISR]]</f>
        <v>922.5</v>
      </c>
      <c r="W6905"/>
      <c r="X6905" s="186"/>
      <c r="Y6905" s="187"/>
      <c r="Z6905" s="311" t="s">
        <v>214</v>
      </c>
      <c r="AB6905" t="str">
        <f>IF(Table1[[#This Row],[TIPO2]]="costo", VLOOKUP(Table1[[#This Row],[PARTIDA PRESUPUESTAL]],'Cost Report'!G:G,1,0),"Balance")</f>
        <v>2042-003</v>
      </c>
      <c r="AD6905" s="159">
        <f>+Table1[[#This Row],[SUBTOTAL]]+Table1[[#This Row],[IVA]]-Table1[[#This Row],[RET IVA]]-Table1[[#This Row],[RET ISR]]-Table1[[#This Row],[TOTAL]]</f>
        <v>0</v>
      </c>
      <c r="AK6905" s="306" t="str">
        <f>IF(ISNUMBER(Table1[[#This Row],[FECHA DE RECIBIDO]]), Table1[[#This Row],[FECHA DE RECIBIDO]]-DATE(2023,8,30), "")</f>
        <v/>
      </c>
    </row>
    <row r="6906" spans="1:37">
      <c r="A6906" s="172"/>
      <c r="B6906" s="178"/>
      <c r="C6906" s="179" t="s">
        <v>2436</v>
      </c>
      <c r="D6906">
        <v>4614</v>
      </c>
      <c r="E6906" s="125"/>
      <c r="F6906" s="178"/>
      <c r="G6906" s="178"/>
      <c r="H6906"/>
      <c r="I6906" s="178"/>
      <c r="J6906" s="320" t="s">
        <v>214</v>
      </c>
      <c r="K6906" s="178"/>
      <c r="L6906" s="125" t="s">
        <v>4863</v>
      </c>
      <c r="M6906">
        <v>599</v>
      </c>
      <c r="N6906" s="182"/>
      <c r="O6906">
        <v>1421</v>
      </c>
      <c r="P6906" s="176" t="s">
        <v>77</v>
      </c>
      <c r="Q6906" s="176">
        <v>75.45</v>
      </c>
      <c r="R6906" s="176"/>
      <c r="S6906" s="176"/>
      <c r="T6906" s="190"/>
      <c r="U6906" s="191"/>
      <c r="V6906" s="191">
        <f>+Table1[[#This Row],[SUBTOTAL]]+Table1[[#This Row],[IVA]]-Table1[[#This Row],[RET IVA]]-Table1[[#This Row],[RET ISR]]</f>
        <v>75.45</v>
      </c>
      <c r="W6906"/>
      <c r="X6906" s="186"/>
      <c r="Y6906" s="187"/>
      <c r="Z6906" s="311" t="s">
        <v>214</v>
      </c>
      <c r="AB6906" t="str">
        <f>IF(Table1[[#This Row],[TIPO2]]="costo", VLOOKUP(Table1[[#This Row],[PARTIDA PRESUPUESTAL]],'Cost Report'!G:G,1,0),"Balance")</f>
        <v>2042-003</v>
      </c>
      <c r="AD6906" s="159">
        <f>+Table1[[#This Row],[SUBTOTAL]]+Table1[[#This Row],[IVA]]-Table1[[#This Row],[RET IVA]]-Table1[[#This Row],[RET ISR]]-Table1[[#This Row],[TOTAL]]</f>
        <v>0</v>
      </c>
      <c r="AK6906" s="306" t="str">
        <f>IF(ISNUMBER(Table1[[#This Row],[FECHA DE RECIBIDO]]), Table1[[#This Row],[FECHA DE RECIBIDO]]-DATE(2023,8,30), "")</f>
        <v/>
      </c>
    </row>
    <row r="6907" spans="1:37">
      <c r="A6907" s="172"/>
      <c r="B6907" s="178"/>
      <c r="C6907" s="179" t="s">
        <v>2436</v>
      </c>
      <c r="D6907">
        <v>4614</v>
      </c>
      <c r="E6907" s="125"/>
      <c r="F6907" s="178"/>
      <c r="G6907" s="178"/>
      <c r="H6907"/>
      <c r="I6907" s="178"/>
      <c r="J6907" s="320" t="s">
        <v>214</v>
      </c>
      <c r="K6907" s="178"/>
      <c r="L6907" s="125" t="s">
        <v>4863</v>
      </c>
      <c r="M6907">
        <v>606</v>
      </c>
      <c r="N6907" s="182"/>
      <c r="O6907">
        <v>1422</v>
      </c>
      <c r="P6907" s="176" t="s">
        <v>77</v>
      </c>
      <c r="Q6907" s="176">
        <v>150</v>
      </c>
      <c r="R6907" s="176"/>
      <c r="S6907" s="176"/>
      <c r="T6907" s="190"/>
      <c r="U6907" s="191"/>
      <c r="V6907" s="191">
        <f>+Table1[[#This Row],[SUBTOTAL]]+Table1[[#This Row],[IVA]]-Table1[[#This Row],[RET IVA]]-Table1[[#This Row],[RET ISR]]</f>
        <v>150</v>
      </c>
      <c r="W6907"/>
      <c r="X6907" s="186"/>
      <c r="Y6907" s="187"/>
      <c r="Z6907" s="311" t="s">
        <v>214</v>
      </c>
      <c r="AB6907" t="str">
        <f>IF(Table1[[#This Row],[TIPO2]]="costo", VLOOKUP(Table1[[#This Row],[PARTIDA PRESUPUESTAL]],'Cost Report'!G:G,1,0),"Balance")</f>
        <v>2042-003</v>
      </c>
      <c r="AD6907" s="159">
        <f>+Table1[[#This Row],[SUBTOTAL]]+Table1[[#This Row],[IVA]]-Table1[[#This Row],[RET IVA]]-Table1[[#This Row],[RET ISR]]-Table1[[#This Row],[TOTAL]]</f>
        <v>0</v>
      </c>
      <c r="AK6907" s="306" t="str">
        <f>IF(ISNUMBER(Table1[[#This Row],[FECHA DE RECIBIDO]]), Table1[[#This Row],[FECHA DE RECIBIDO]]-DATE(2023,8,30), "")</f>
        <v/>
      </c>
    </row>
    <row r="6908" spans="1:37">
      <c r="A6908" s="172"/>
      <c r="B6908" s="178"/>
      <c r="C6908" s="179" t="s">
        <v>2860</v>
      </c>
      <c r="D6908">
        <v>4614</v>
      </c>
      <c r="E6908" s="125"/>
      <c r="F6908" s="178"/>
      <c r="G6908" s="178"/>
      <c r="H6908"/>
      <c r="I6908" s="178"/>
      <c r="J6908" s="320" t="s">
        <v>214</v>
      </c>
      <c r="K6908" s="178"/>
      <c r="L6908" s="125" t="s">
        <v>4863</v>
      </c>
      <c r="M6908">
        <v>607</v>
      </c>
      <c r="N6908" s="182"/>
      <c r="O6908">
        <v>1423</v>
      </c>
      <c r="P6908" s="176" t="s">
        <v>77</v>
      </c>
      <c r="Q6908" s="176">
        <v>131.69999999999999</v>
      </c>
      <c r="R6908" s="176"/>
      <c r="S6908" s="176"/>
      <c r="T6908" s="190"/>
      <c r="U6908" s="191"/>
      <c r="V6908" s="191">
        <f>+Table1[[#This Row],[SUBTOTAL]]+Table1[[#This Row],[IVA]]-Table1[[#This Row],[RET IVA]]-Table1[[#This Row],[RET ISR]]</f>
        <v>131.69999999999999</v>
      </c>
      <c r="W6908"/>
      <c r="X6908" s="186"/>
      <c r="Y6908" s="187"/>
      <c r="Z6908" s="311" t="s">
        <v>214</v>
      </c>
      <c r="AB6908" t="str">
        <f>IF(Table1[[#This Row],[TIPO2]]="costo", VLOOKUP(Table1[[#This Row],[PARTIDA PRESUPUESTAL]],'Cost Report'!G:G,1,0),"Balance")</f>
        <v>3629-003</v>
      </c>
      <c r="AD6908" s="159">
        <f>+Table1[[#This Row],[SUBTOTAL]]+Table1[[#This Row],[IVA]]-Table1[[#This Row],[RET IVA]]-Table1[[#This Row],[RET ISR]]-Table1[[#This Row],[TOTAL]]</f>
        <v>0</v>
      </c>
      <c r="AK6908" s="306" t="str">
        <f>IF(ISNUMBER(Table1[[#This Row],[FECHA DE RECIBIDO]]), Table1[[#This Row],[FECHA DE RECIBIDO]]-DATE(2023,8,30), "")</f>
        <v/>
      </c>
    </row>
    <row r="6909" spans="1:37">
      <c r="A6909" s="172"/>
      <c r="B6909" s="178"/>
      <c r="C6909" s="179" t="s">
        <v>2443</v>
      </c>
      <c r="D6909">
        <v>4614</v>
      </c>
      <c r="E6909" s="125"/>
      <c r="F6909" s="178"/>
      <c r="G6909" s="178"/>
      <c r="H6909"/>
      <c r="I6909" s="178"/>
      <c r="J6909" s="320" t="s">
        <v>214</v>
      </c>
      <c r="K6909" s="178"/>
      <c r="L6909" s="125" t="s">
        <v>4863</v>
      </c>
      <c r="M6909">
        <v>636</v>
      </c>
      <c r="N6909" s="182"/>
      <c r="O6909">
        <v>1503</v>
      </c>
      <c r="P6909" s="176" t="s">
        <v>77</v>
      </c>
      <c r="Q6909" s="176">
        <v>16.5</v>
      </c>
      <c r="R6909" s="176"/>
      <c r="S6909" s="176"/>
      <c r="T6909" s="190"/>
      <c r="U6909" s="191"/>
      <c r="V6909" s="191">
        <f>+Table1[[#This Row],[SUBTOTAL]]+Table1[[#This Row],[IVA]]-Table1[[#This Row],[RET IVA]]-Table1[[#This Row],[RET ISR]]</f>
        <v>16.5</v>
      </c>
      <c r="W6909"/>
      <c r="X6909" s="186"/>
      <c r="Y6909" s="187"/>
      <c r="Z6909" s="311" t="s">
        <v>214</v>
      </c>
      <c r="AB6909" t="str">
        <f>IF(Table1[[#This Row],[TIPO2]]="costo", VLOOKUP(Table1[[#This Row],[PARTIDA PRESUPUESTAL]],'Cost Report'!G:G,1,0),"Balance")</f>
        <v>2080-003</v>
      </c>
      <c r="AD6909" s="159">
        <f>+Table1[[#This Row],[SUBTOTAL]]+Table1[[#This Row],[IVA]]-Table1[[#This Row],[RET IVA]]-Table1[[#This Row],[RET ISR]]-Table1[[#This Row],[TOTAL]]</f>
        <v>0</v>
      </c>
      <c r="AK6909" s="306" t="str">
        <f>IF(ISNUMBER(Table1[[#This Row],[FECHA DE RECIBIDO]]), Table1[[#This Row],[FECHA DE RECIBIDO]]-DATE(2023,8,30), "")</f>
        <v/>
      </c>
    </row>
    <row r="6910" spans="1:37">
      <c r="A6910" s="172"/>
      <c r="B6910" s="178"/>
      <c r="C6910" s="179" t="s">
        <v>2749</v>
      </c>
      <c r="D6910">
        <v>4614</v>
      </c>
      <c r="E6910" s="125"/>
      <c r="F6910" s="178"/>
      <c r="G6910" s="178"/>
      <c r="H6910"/>
      <c r="I6910" s="178"/>
      <c r="J6910" s="320" t="s">
        <v>214</v>
      </c>
      <c r="K6910" s="178"/>
      <c r="L6910" s="125" t="s">
        <v>4863</v>
      </c>
      <c r="M6910">
        <v>512</v>
      </c>
      <c r="N6910" s="182"/>
      <c r="O6910">
        <v>162</v>
      </c>
      <c r="P6910" s="176" t="s">
        <v>77</v>
      </c>
      <c r="Q6910" s="176">
        <v>10.266</v>
      </c>
      <c r="R6910" s="176"/>
      <c r="S6910" s="176"/>
      <c r="T6910" s="190"/>
      <c r="U6910" s="191"/>
      <c r="V6910" s="191">
        <f>+Table1[[#This Row],[SUBTOTAL]]+Table1[[#This Row],[IVA]]-Table1[[#This Row],[RET IVA]]-Table1[[#This Row],[RET ISR]]</f>
        <v>10.266</v>
      </c>
      <c r="W6910"/>
      <c r="X6910" s="186"/>
      <c r="Y6910" s="187"/>
      <c r="Z6910" s="311" t="s">
        <v>214</v>
      </c>
      <c r="AB6910" t="str">
        <f>IF(Table1[[#This Row],[TIPO2]]="costo", VLOOKUP(Table1[[#This Row],[PARTIDA PRESUPUESTAL]],'Cost Report'!G:G,1,0),"Balance")</f>
        <v>3401-011</v>
      </c>
      <c r="AD6910" s="159">
        <f>+Table1[[#This Row],[SUBTOTAL]]+Table1[[#This Row],[IVA]]-Table1[[#This Row],[RET IVA]]-Table1[[#This Row],[RET ISR]]-Table1[[#This Row],[TOTAL]]</f>
        <v>0</v>
      </c>
      <c r="AK6910" s="306" t="str">
        <f>IF(ISNUMBER(Table1[[#This Row],[FECHA DE RECIBIDO]]), Table1[[#This Row],[FECHA DE RECIBIDO]]-DATE(2023,8,30), "")</f>
        <v/>
      </c>
    </row>
    <row r="6911" spans="1:37">
      <c r="A6911" s="172"/>
      <c r="B6911" s="178"/>
      <c r="C6911" s="179" t="s">
        <v>2749</v>
      </c>
      <c r="D6911">
        <v>4614</v>
      </c>
      <c r="E6911" s="125"/>
      <c r="F6911" s="178"/>
      <c r="G6911" s="178"/>
      <c r="H6911"/>
      <c r="I6911" s="178"/>
      <c r="J6911" s="320" t="s">
        <v>214</v>
      </c>
      <c r="K6911" s="178"/>
      <c r="L6911" s="125" t="s">
        <v>4863</v>
      </c>
      <c r="M6911">
        <v>512</v>
      </c>
      <c r="N6911" s="182"/>
      <c r="O6911">
        <v>162</v>
      </c>
      <c r="P6911" s="176" t="s">
        <v>77</v>
      </c>
      <c r="Q6911" s="176">
        <v>10.266</v>
      </c>
      <c r="R6911" s="176"/>
      <c r="S6911" s="176"/>
      <c r="T6911" s="190"/>
      <c r="U6911" s="191"/>
      <c r="V6911" s="191">
        <f>+Table1[[#This Row],[SUBTOTAL]]+Table1[[#This Row],[IVA]]-Table1[[#This Row],[RET IVA]]-Table1[[#This Row],[RET ISR]]</f>
        <v>10.266</v>
      </c>
      <c r="W6911"/>
      <c r="X6911" s="186"/>
      <c r="Y6911" s="187"/>
      <c r="Z6911" s="311" t="s">
        <v>214</v>
      </c>
      <c r="AB6911" t="str">
        <f>IF(Table1[[#This Row],[TIPO2]]="costo", VLOOKUP(Table1[[#This Row],[PARTIDA PRESUPUESTAL]],'Cost Report'!G:G,1,0),"Balance")</f>
        <v>3401-011</v>
      </c>
      <c r="AD6911" s="159">
        <f>+Table1[[#This Row],[SUBTOTAL]]+Table1[[#This Row],[IVA]]-Table1[[#This Row],[RET IVA]]-Table1[[#This Row],[RET ISR]]-Table1[[#This Row],[TOTAL]]</f>
        <v>0</v>
      </c>
      <c r="AK6911" s="306" t="str">
        <f>IF(ISNUMBER(Table1[[#This Row],[FECHA DE RECIBIDO]]), Table1[[#This Row],[FECHA DE RECIBIDO]]-DATE(2023,8,30), "")</f>
        <v/>
      </c>
    </row>
    <row r="6912" spans="1:37">
      <c r="A6912" s="172"/>
      <c r="B6912" s="178"/>
      <c r="C6912" s="179" t="s">
        <v>977</v>
      </c>
      <c r="D6912">
        <v>4614</v>
      </c>
      <c r="E6912" s="125"/>
      <c r="F6912" s="178"/>
      <c r="G6912" s="178"/>
      <c r="H6912"/>
      <c r="I6912" s="178"/>
      <c r="J6912" s="320" t="s">
        <v>214</v>
      </c>
      <c r="K6912" s="178"/>
      <c r="L6912" s="125" t="s">
        <v>4863</v>
      </c>
      <c r="M6912">
        <v>637</v>
      </c>
      <c r="N6912" s="182"/>
      <c r="O6912">
        <v>1504</v>
      </c>
      <c r="P6912" s="176" t="s">
        <v>77</v>
      </c>
      <c r="Q6912" s="176">
        <v>170.1</v>
      </c>
      <c r="R6912" s="176"/>
      <c r="S6912" s="176"/>
      <c r="T6912" s="190"/>
      <c r="U6912" s="191"/>
      <c r="V6912" s="191">
        <f>+Table1[[#This Row],[SUBTOTAL]]+Table1[[#This Row],[IVA]]-Table1[[#This Row],[RET IVA]]-Table1[[#This Row],[RET ISR]]</f>
        <v>170.1</v>
      </c>
      <c r="W6912"/>
      <c r="X6912" s="186"/>
      <c r="Y6912" s="187"/>
      <c r="Z6912" s="311" t="s">
        <v>214</v>
      </c>
      <c r="AB6912" t="str">
        <f>IF(Table1[[#This Row],[TIPO2]]="costo", VLOOKUP(Table1[[#This Row],[PARTIDA PRESUPUESTAL]],'Cost Report'!G:G,1,0),"Balance")</f>
        <v>3410-012</v>
      </c>
      <c r="AD6912" s="159">
        <f>+Table1[[#This Row],[SUBTOTAL]]+Table1[[#This Row],[IVA]]-Table1[[#This Row],[RET IVA]]-Table1[[#This Row],[RET ISR]]-Table1[[#This Row],[TOTAL]]</f>
        <v>0</v>
      </c>
      <c r="AK6912" s="306" t="str">
        <f>IF(ISNUMBER(Table1[[#This Row],[FECHA DE RECIBIDO]]), Table1[[#This Row],[FECHA DE RECIBIDO]]-DATE(2023,8,30), "")</f>
        <v/>
      </c>
    </row>
    <row r="6913" spans="1:37">
      <c r="A6913" s="172"/>
      <c r="B6913" s="178"/>
      <c r="C6913" s="179" t="s">
        <v>399</v>
      </c>
      <c r="D6913">
        <v>4614</v>
      </c>
      <c r="E6913" s="125"/>
      <c r="F6913" s="178"/>
      <c r="G6913" s="178"/>
      <c r="H6913"/>
      <c r="I6913" s="178"/>
      <c r="J6913" s="320" t="s">
        <v>214</v>
      </c>
      <c r="K6913" s="178"/>
      <c r="L6913" s="125" t="s">
        <v>4863</v>
      </c>
      <c r="M6913">
        <v>638</v>
      </c>
      <c r="N6913" s="182"/>
      <c r="O6913">
        <v>1505</v>
      </c>
      <c r="P6913" s="176" t="s">
        <v>77</v>
      </c>
      <c r="Q6913" s="176">
        <v>900</v>
      </c>
      <c r="R6913" s="176"/>
      <c r="S6913" s="176"/>
      <c r="T6913" s="190"/>
      <c r="U6913" s="191"/>
      <c r="V6913" s="191">
        <f>+Table1[[#This Row],[SUBTOTAL]]+Table1[[#This Row],[IVA]]-Table1[[#This Row],[RET IVA]]-Table1[[#This Row],[RET ISR]]</f>
        <v>900</v>
      </c>
      <c r="W6913"/>
      <c r="X6913" s="186"/>
      <c r="Y6913" s="187"/>
      <c r="Z6913" s="311" t="s">
        <v>214</v>
      </c>
      <c r="AB6913" t="str">
        <f>IF(Table1[[#This Row],[TIPO2]]="costo", VLOOKUP(Table1[[#This Row],[PARTIDA PRESUPUESTAL]],'Cost Report'!G:G,1,0),"Balance")</f>
        <v>1621-003</v>
      </c>
      <c r="AD6913" s="159">
        <f>+Table1[[#This Row],[SUBTOTAL]]+Table1[[#This Row],[IVA]]-Table1[[#This Row],[RET IVA]]-Table1[[#This Row],[RET ISR]]-Table1[[#This Row],[TOTAL]]</f>
        <v>0</v>
      </c>
      <c r="AK6913" s="306" t="str">
        <f>IF(ISNUMBER(Table1[[#This Row],[FECHA DE RECIBIDO]]), Table1[[#This Row],[FECHA DE RECIBIDO]]-DATE(2023,8,30), "")</f>
        <v/>
      </c>
    </row>
    <row r="6914" spans="1:37">
      <c r="A6914" s="172"/>
      <c r="B6914" s="178"/>
      <c r="C6914" s="179" t="s">
        <v>2749</v>
      </c>
      <c r="D6914">
        <v>4614</v>
      </c>
      <c r="E6914" s="125"/>
      <c r="F6914" s="178"/>
      <c r="G6914" s="178"/>
      <c r="H6914"/>
      <c r="I6914" s="178"/>
      <c r="J6914" s="320" t="s">
        <v>214</v>
      </c>
      <c r="K6914" s="178"/>
      <c r="L6914" s="125" t="s">
        <v>4863</v>
      </c>
      <c r="M6914">
        <v>512</v>
      </c>
      <c r="N6914" s="182"/>
      <c r="O6914">
        <v>162</v>
      </c>
      <c r="P6914" s="176" t="s">
        <v>77</v>
      </c>
      <c r="Q6914" s="176">
        <v>10.266</v>
      </c>
      <c r="R6914" s="176"/>
      <c r="S6914" s="176"/>
      <c r="T6914" s="190"/>
      <c r="U6914" s="191"/>
      <c r="V6914" s="191">
        <f>+Table1[[#This Row],[SUBTOTAL]]+Table1[[#This Row],[IVA]]-Table1[[#This Row],[RET IVA]]-Table1[[#This Row],[RET ISR]]</f>
        <v>10.266</v>
      </c>
      <c r="W6914"/>
      <c r="X6914" s="186"/>
      <c r="Y6914" s="187"/>
      <c r="Z6914" s="311" t="s">
        <v>214</v>
      </c>
      <c r="AB6914" t="str">
        <f>IF(Table1[[#This Row],[TIPO2]]="costo", VLOOKUP(Table1[[#This Row],[PARTIDA PRESUPUESTAL]],'Cost Report'!G:G,1,0),"Balance")</f>
        <v>3401-011</v>
      </c>
      <c r="AD6914" s="159">
        <f>+Table1[[#This Row],[SUBTOTAL]]+Table1[[#This Row],[IVA]]-Table1[[#This Row],[RET IVA]]-Table1[[#This Row],[RET ISR]]-Table1[[#This Row],[TOTAL]]</f>
        <v>0</v>
      </c>
      <c r="AK6914" s="306" t="str">
        <f>IF(ISNUMBER(Table1[[#This Row],[FECHA DE RECIBIDO]]), Table1[[#This Row],[FECHA DE RECIBIDO]]-DATE(2023,8,30), "")</f>
        <v/>
      </c>
    </row>
    <row r="6915" spans="1:37">
      <c r="A6915" s="172"/>
      <c r="B6915" s="178"/>
      <c r="C6915" s="179" t="s">
        <v>2443</v>
      </c>
      <c r="D6915">
        <v>4614</v>
      </c>
      <c r="E6915" s="125"/>
      <c r="F6915" s="178"/>
      <c r="G6915" s="178"/>
      <c r="H6915"/>
      <c r="I6915" s="178"/>
      <c r="J6915" s="320" t="s">
        <v>214</v>
      </c>
      <c r="K6915" s="178"/>
      <c r="L6915" s="125" t="s">
        <v>4863</v>
      </c>
      <c r="M6915">
        <v>639</v>
      </c>
      <c r="N6915" s="182"/>
      <c r="O6915">
        <v>1506</v>
      </c>
      <c r="P6915" s="176" t="s">
        <v>77</v>
      </c>
      <c r="Q6915" s="176">
        <v>300</v>
      </c>
      <c r="R6915" s="176"/>
      <c r="S6915" s="176"/>
      <c r="T6915" s="190"/>
      <c r="U6915" s="191"/>
      <c r="V6915" s="191">
        <f>+Table1[[#This Row],[SUBTOTAL]]+Table1[[#This Row],[IVA]]-Table1[[#This Row],[RET IVA]]-Table1[[#This Row],[RET ISR]]</f>
        <v>300</v>
      </c>
      <c r="W6915"/>
      <c r="X6915" s="186"/>
      <c r="Y6915" s="187"/>
      <c r="Z6915" s="311" t="s">
        <v>214</v>
      </c>
      <c r="AB6915" t="str">
        <f>IF(Table1[[#This Row],[TIPO2]]="costo", VLOOKUP(Table1[[#This Row],[PARTIDA PRESUPUESTAL]],'Cost Report'!G:G,1,0),"Balance")</f>
        <v>2080-003</v>
      </c>
      <c r="AD6915" s="159">
        <f>+Table1[[#This Row],[SUBTOTAL]]+Table1[[#This Row],[IVA]]-Table1[[#This Row],[RET IVA]]-Table1[[#This Row],[RET ISR]]-Table1[[#This Row],[TOTAL]]</f>
        <v>0</v>
      </c>
      <c r="AK6915" s="306" t="str">
        <f>IF(ISNUMBER(Table1[[#This Row],[FECHA DE RECIBIDO]]), Table1[[#This Row],[FECHA DE RECIBIDO]]-DATE(2023,8,30), "")</f>
        <v/>
      </c>
    </row>
    <row r="6916" spans="1:37">
      <c r="A6916" s="172"/>
      <c r="B6916" s="178"/>
      <c r="C6916" s="179" t="s">
        <v>2749</v>
      </c>
      <c r="D6916">
        <v>4614</v>
      </c>
      <c r="E6916" s="125"/>
      <c r="F6916" s="178"/>
      <c r="G6916" s="178"/>
      <c r="H6916"/>
      <c r="I6916" s="178"/>
      <c r="J6916" s="320" t="s">
        <v>214</v>
      </c>
      <c r="K6916" s="178"/>
      <c r="L6916" s="125" t="s">
        <v>4863</v>
      </c>
      <c r="M6916">
        <v>512</v>
      </c>
      <c r="N6916" s="182"/>
      <c r="O6916">
        <v>162</v>
      </c>
      <c r="P6916" s="176" t="s">
        <v>77</v>
      </c>
      <c r="Q6916" s="176">
        <v>10.266</v>
      </c>
      <c r="R6916" s="176"/>
      <c r="S6916" s="176"/>
      <c r="T6916" s="190"/>
      <c r="U6916" s="191"/>
      <c r="V6916" s="191">
        <f>+Table1[[#This Row],[SUBTOTAL]]+Table1[[#This Row],[IVA]]-Table1[[#This Row],[RET IVA]]-Table1[[#This Row],[RET ISR]]</f>
        <v>10.266</v>
      </c>
      <c r="W6916"/>
      <c r="X6916" s="186"/>
      <c r="Y6916" s="187"/>
      <c r="Z6916" s="311" t="s">
        <v>214</v>
      </c>
      <c r="AB6916" t="str">
        <f>IF(Table1[[#This Row],[TIPO2]]="costo", VLOOKUP(Table1[[#This Row],[PARTIDA PRESUPUESTAL]],'Cost Report'!G:G,1,0),"Balance")</f>
        <v>3401-011</v>
      </c>
      <c r="AD6916" s="159">
        <f>+Table1[[#This Row],[SUBTOTAL]]+Table1[[#This Row],[IVA]]-Table1[[#This Row],[RET IVA]]-Table1[[#This Row],[RET ISR]]-Table1[[#This Row],[TOTAL]]</f>
        <v>0</v>
      </c>
      <c r="AK6916" s="306" t="str">
        <f>IF(ISNUMBER(Table1[[#This Row],[FECHA DE RECIBIDO]]), Table1[[#This Row],[FECHA DE RECIBIDO]]-DATE(2023,8,30), "")</f>
        <v/>
      </c>
    </row>
    <row r="6917" spans="1:37">
      <c r="A6917" s="172"/>
      <c r="B6917" s="178"/>
      <c r="C6917" s="179" t="s">
        <v>2335</v>
      </c>
      <c r="D6917">
        <v>4614</v>
      </c>
      <c r="E6917" s="125"/>
      <c r="F6917" s="178"/>
      <c r="G6917" s="178"/>
      <c r="H6917"/>
      <c r="I6917" s="178"/>
      <c r="J6917" s="320" t="s">
        <v>214</v>
      </c>
      <c r="K6917" s="178"/>
      <c r="L6917" s="125" t="s">
        <v>4863</v>
      </c>
      <c r="M6917">
        <v>642</v>
      </c>
      <c r="N6917" s="182"/>
      <c r="O6917">
        <v>1522</v>
      </c>
      <c r="P6917" s="176" t="s">
        <v>77</v>
      </c>
      <c r="Q6917" s="176">
        <v>360</v>
      </c>
      <c r="R6917" s="176"/>
      <c r="S6917" s="176"/>
      <c r="T6917" s="190"/>
      <c r="U6917" s="191"/>
      <c r="V6917" s="191">
        <f>+Table1[[#This Row],[SUBTOTAL]]+Table1[[#This Row],[IVA]]-Table1[[#This Row],[RET IVA]]-Table1[[#This Row],[RET ISR]]</f>
        <v>360</v>
      </c>
      <c r="W6917"/>
      <c r="X6917" s="186"/>
      <c r="Y6917" s="187"/>
      <c r="Z6917" s="311" t="s">
        <v>214</v>
      </c>
      <c r="AB6917" t="str">
        <f>IF(Table1[[#This Row],[TIPO2]]="costo", VLOOKUP(Table1[[#This Row],[PARTIDA PRESUPUESTAL]],'Cost Report'!G:G,1,0),"Balance")</f>
        <v>1487-003</v>
      </c>
      <c r="AD6917" s="159">
        <f>+Table1[[#This Row],[SUBTOTAL]]+Table1[[#This Row],[IVA]]-Table1[[#This Row],[RET IVA]]-Table1[[#This Row],[RET ISR]]-Table1[[#This Row],[TOTAL]]</f>
        <v>0</v>
      </c>
      <c r="AK6917" s="306" t="str">
        <f>IF(ISNUMBER(Table1[[#This Row],[FECHA DE RECIBIDO]]), Table1[[#This Row],[FECHA DE RECIBIDO]]-DATE(2023,8,30), "")</f>
        <v/>
      </c>
    </row>
    <row r="6918" spans="1:37">
      <c r="A6918" s="172"/>
      <c r="B6918" s="178"/>
      <c r="C6918" s="179" t="s">
        <v>2335</v>
      </c>
      <c r="D6918">
        <v>4614</v>
      </c>
      <c r="E6918" s="125"/>
      <c r="F6918" s="178"/>
      <c r="G6918" s="178"/>
      <c r="H6918"/>
      <c r="I6918" s="178"/>
      <c r="J6918" s="320" t="s">
        <v>214</v>
      </c>
      <c r="K6918" s="178"/>
      <c r="L6918" s="125" t="s">
        <v>4863</v>
      </c>
      <c r="M6918">
        <v>643</v>
      </c>
      <c r="N6918" s="182"/>
      <c r="O6918">
        <v>1522</v>
      </c>
      <c r="P6918" s="176" t="s">
        <v>77</v>
      </c>
      <c r="Q6918" s="176">
        <v>150</v>
      </c>
      <c r="R6918" s="176"/>
      <c r="S6918" s="176"/>
      <c r="T6918" s="190"/>
      <c r="U6918" s="191"/>
      <c r="V6918" s="191">
        <f>+Table1[[#This Row],[SUBTOTAL]]+Table1[[#This Row],[IVA]]-Table1[[#This Row],[RET IVA]]-Table1[[#This Row],[RET ISR]]</f>
        <v>150</v>
      </c>
      <c r="W6918"/>
      <c r="X6918" s="186"/>
      <c r="Y6918" s="187"/>
      <c r="Z6918" s="311" t="s">
        <v>214</v>
      </c>
      <c r="AB6918" t="str">
        <f>IF(Table1[[#This Row],[TIPO2]]="costo", VLOOKUP(Table1[[#This Row],[PARTIDA PRESUPUESTAL]],'Cost Report'!G:G,1,0),"Balance")</f>
        <v>1487-003</v>
      </c>
      <c r="AD6918" s="159">
        <f>+Table1[[#This Row],[SUBTOTAL]]+Table1[[#This Row],[IVA]]-Table1[[#This Row],[RET IVA]]-Table1[[#This Row],[RET ISR]]-Table1[[#This Row],[TOTAL]]</f>
        <v>0</v>
      </c>
      <c r="AK6918" s="306" t="str">
        <f>IF(ISNUMBER(Table1[[#This Row],[FECHA DE RECIBIDO]]), Table1[[#This Row],[FECHA DE RECIBIDO]]-DATE(2023,8,30), "")</f>
        <v/>
      </c>
    </row>
    <row r="6919" spans="1:37">
      <c r="A6919" s="172"/>
      <c r="B6919" s="178"/>
      <c r="C6919" s="179" t="s">
        <v>399</v>
      </c>
      <c r="D6919">
        <v>4614</v>
      </c>
      <c r="E6919" s="125"/>
      <c r="F6919" s="178"/>
      <c r="G6919" s="178"/>
      <c r="H6919"/>
      <c r="I6919" s="178"/>
      <c r="J6919" s="320" t="s">
        <v>214</v>
      </c>
      <c r="K6919" s="178"/>
      <c r="L6919" s="125" t="s">
        <v>4863</v>
      </c>
      <c r="M6919">
        <v>638</v>
      </c>
      <c r="N6919" s="182"/>
      <c r="O6919">
        <v>1523</v>
      </c>
      <c r="P6919" s="176" t="s">
        <v>77</v>
      </c>
      <c r="Q6919" s="176">
        <v>2100</v>
      </c>
      <c r="R6919" s="176"/>
      <c r="S6919" s="176"/>
      <c r="T6919" s="190"/>
      <c r="U6919" s="191"/>
      <c r="V6919" s="191">
        <f>+Table1[[#This Row],[SUBTOTAL]]+Table1[[#This Row],[IVA]]-Table1[[#This Row],[RET IVA]]-Table1[[#This Row],[RET ISR]]</f>
        <v>2100</v>
      </c>
      <c r="W6919"/>
      <c r="X6919" s="186"/>
      <c r="Y6919" s="187"/>
      <c r="Z6919" s="311" t="s">
        <v>214</v>
      </c>
      <c r="AB6919" t="str">
        <f>IF(Table1[[#This Row],[TIPO2]]="costo", VLOOKUP(Table1[[#This Row],[PARTIDA PRESUPUESTAL]],'Cost Report'!G:G,1,0),"Balance")</f>
        <v>1621-003</v>
      </c>
      <c r="AD6919" s="159">
        <f>+Table1[[#This Row],[SUBTOTAL]]+Table1[[#This Row],[IVA]]-Table1[[#This Row],[RET IVA]]-Table1[[#This Row],[RET ISR]]-Table1[[#This Row],[TOTAL]]</f>
        <v>0</v>
      </c>
      <c r="AK6919" s="306" t="str">
        <f>IF(ISNUMBER(Table1[[#This Row],[FECHA DE RECIBIDO]]), Table1[[#This Row],[FECHA DE RECIBIDO]]-DATE(2023,8,30), "")</f>
        <v/>
      </c>
    </row>
    <row r="6920" spans="1:37">
      <c r="A6920" s="172"/>
      <c r="B6920" s="178"/>
      <c r="C6920" s="179" t="s">
        <v>2443</v>
      </c>
      <c r="D6920">
        <v>4614</v>
      </c>
      <c r="E6920" s="125"/>
      <c r="F6920" s="178"/>
      <c r="G6920" s="178"/>
      <c r="H6920"/>
      <c r="I6920" s="178"/>
      <c r="J6920" s="320" t="s">
        <v>214</v>
      </c>
      <c r="K6920" s="178"/>
      <c r="L6920" s="125" t="s">
        <v>4863</v>
      </c>
      <c r="M6920">
        <v>644</v>
      </c>
      <c r="N6920" s="182"/>
      <c r="O6920">
        <v>1524</v>
      </c>
      <c r="P6920" s="176" t="s">
        <v>77</v>
      </c>
      <c r="Q6920" s="176">
        <v>1620</v>
      </c>
      <c r="R6920" s="176"/>
      <c r="S6920" s="176"/>
      <c r="T6920" s="190"/>
      <c r="U6920" s="191"/>
      <c r="V6920" s="191">
        <f>+Table1[[#This Row],[SUBTOTAL]]+Table1[[#This Row],[IVA]]-Table1[[#This Row],[RET IVA]]-Table1[[#This Row],[RET ISR]]</f>
        <v>1620</v>
      </c>
      <c r="W6920"/>
      <c r="X6920" s="186"/>
      <c r="Y6920" s="187"/>
      <c r="Z6920" s="311" t="s">
        <v>214</v>
      </c>
      <c r="AB6920" t="str">
        <f>IF(Table1[[#This Row],[TIPO2]]="costo", VLOOKUP(Table1[[#This Row],[PARTIDA PRESUPUESTAL]],'Cost Report'!G:G,1,0),"Balance")</f>
        <v>2080-003</v>
      </c>
      <c r="AD6920" s="159">
        <f>+Table1[[#This Row],[SUBTOTAL]]+Table1[[#This Row],[IVA]]-Table1[[#This Row],[RET IVA]]-Table1[[#This Row],[RET ISR]]-Table1[[#This Row],[TOTAL]]</f>
        <v>0</v>
      </c>
      <c r="AK6920" s="306" t="str">
        <f>IF(ISNUMBER(Table1[[#This Row],[FECHA DE RECIBIDO]]), Table1[[#This Row],[FECHA DE RECIBIDO]]-DATE(2023,8,30), "")</f>
        <v/>
      </c>
    </row>
    <row r="6921" spans="1:37">
      <c r="A6921" s="172"/>
      <c r="B6921" s="178"/>
      <c r="C6921" s="179" t="s">
        <v>2443</v>
      </c>
      <c r="D6921">
        <v>4614</v>
      </c>
      <c r="E6921" s="125"/>
      <c r="F6921" s="178"/>
      <c r="G6921" s="178"/>
      <c r="H6921"/>
      <c r="I6921" s="178"/>
      <c r="J6921" s="320" t="s">
        <v>214</v>
      </c>
      <c r="K6921" s="178"/>
      <c r="L6921" s="125" t="s">
        <v>4863</v>
      </c>
      <c r="M6921">
        <v>645</v>
      </c>
      <c r="N6921" s="182"/>
      <c r="O6921">
        <v>1524</v>
      </c>
      <c r="P6921" s="176" t="s">
        <v>77</v>
      </c>
      <c r="Q6921" s="176">
        <v>330</v>
      </c>
      <c r="R6921" s="176"/>
      <c r="S6921" s="176"/>
      <c r="T6921" s="190"/>
      <c r="U6921" s="191"/>
      <c r="V6921" s="191">
        <f>+Table1[[#This Row],[SUBTOTAL]]+Table1[[#This Row],[IVA]]-Table1[[#This Row],[RET IVA]]-Table1[[#This Row],[RET ISR]]</f>
        <v>330</v>
      </c>
      <c r="W6921"/>
      <c r="X6921" s="186"/>
      <c r="Y6921" s="187"/>
      <c r="Z6921" s="311" t="s">
        <v>214</v>
      </c>
      <c r="AB6921" t="str">
        <f>IF(Table1[[#This Row],[TIPO2]]="costo", VLOOKUP(Table1[[#This Row],[PARTIDA PRESUPUESTAL]],'Cost Report'!G:G,1,0),"Balance")</f>
        <v>2080-003</v>
      </c>
      <c r="AD6921" s="159">
        <f>+Table1[[#This Row],[SUBTOTAL]]+Table1[[#This Row],[IVA]]-Table1[[#This Row],[RET IVA]]-Table1[[#This Row],[RET ISR]]-Table1[[#This Row],[TOTAL]]</f>
        <v>0</v>
      </c>
      <c r="AK6921" s="306" t="str">
        <f>IF(ISNUMBER(Table1[[#This Row],[FECHA DE RECIBIDO]]), Table1[[#This Row],[FECHA DE RECIBIDO]]-DATE(2023,8,30), "")</f>
        <v/>
      </c>
    </row>
    <row r="6922" spans="1:37">
      <c r="A6922" s="172"/>
      <c r="B6922" s="178"/>
      <c r="C6922" s="179" t="s">
        <v>2749</v>
      </c>
      <c r="D6922">
        <v>4614</v>
      </c>
      <c r="E6922" s="125"/>
      <c r="F6922" s="178"/>
      <c r="G6922" s="178"/>
      <c r="H6922"/>
      <c r="I6922" s="178"/>
      <c r="J6922" s="320" t="s">
        <v>214</v>
      </c>
      <c r="K6922" s="178"/>
      <c r="L6922" s="125" t="s">
        <v>4863</v>
      </c>
      <c r="M6922">
        <v>512</v>
      </c>
      <c r="N6922" s="182"/>
      <c r="O6922">
        <v>162</v>
      </c>
      <c r="P6922" s="176" t="s">
        <v>77</v>
      </c>
      <c r="Q6922" s="176">
        <v>10.266</v>
      </c>
      <c r="R6922" s="176"/>
      <c r="S6922" s="176"/>
      <c r="T6922" s="190"/>
      <c r="U6922" s="191"/>
      <c r="V6922" s="191">
        <f>+Table1[[#This Row],[SUBTOTAL]]+Table1[[#This Row],[IVA]]-Table1[[#This Row],[RET IVA]]-Table1[[#This Row],[RET ISR]]</f>
        <v>10.266</v>
      </c>
      <c r="W6922"/>
      <c r="X6922" s="186"/>
      <c r="Y6922" s="187"/>
      <c r="Z6922" s="311" t="s">
        <v>214</v>
      </c>
      <c r="AB6922" t="str">
        <f>IF(Table1[[#This Row],[TIPO2]]="costo", VLOOKUP(Table1[[#This Row],[PARTIDA PRESUPUESTAL]],'Cost Report'!G:G,1,0),"Balance")</f>
        <v>3401-011</v>
      </c>
      <c r="AD6922" s="159">
        <f>+Table1[[#This Row],[SUBTOTAL]]+Table1[[#This Row],[IVA]]-Table1[[#This Row],[RET IVA]]-Table1[[#This Row],[RET ISR]]-Table1[[#This Row],[TOTAL]]</f>
        <v>0</v>
      </c>
      <c r="AK6922" s="306" t="str">
        <f>IF(ISNUMBER(Table1[[#This Row],[FECHA DE RECIBIDO]]), Table1[[#This Row],[FECHA DE RECIBIDO]]-DATE(2023,8,30), "")</f>
        <v/>
      </c>
    </row>
    <row r="6923" spans="1:37">
      <c r="A6923" s="172"/>
      <c r="B6923" s="178"/>
      <c r="C6923" s="179" t="s">
        <v>5473</v>
      </c>
      <c r="D6923">
        <v>4614</v>
      </c>
      <c r="E6923" s="125"/>
      <c r="F6923" s="178"/>
      <c r="G6923" s="178"/>
      <c r="H6923"/>
      <c r="I6923" s="178"/>
      <c r="J6923" s="320" t="s">
        <v>214</v>
      </c>
      <c r="K6923" s="178"/>
      <c r="L6923" s="125" t="s">
        <v>4863</v>
      </c>
      <c r="M6923">
        <v>650</v>
      </c>
      <c r="N6923" s="182"/>
      <c r="O6923">
        <v>1532</v>
      </c>
      <c r="P6923" s="176" t="s">
        <v>77</v>
      </c>
      <c r="Q6923" s="176">
        <v>13.125</v>
      </c>
      <c r="R6923" s="176"/>
      <c r="S6923" s="176"/>
      <c r="T6923" s="190"/>
      <c r="U6923" s="191"/>
      <c r="V6923" s="191">
        <f>+Table1[[#This Row],[SUBTOTAL]]+Table1[[#This Row],[IVA]]-Table1[[#This Row],[RET IVA]]-Table1[[#This Row],[RET ISR]]</f>
        <v>13.125</v>
      </c>
      <c r="W6923"/>
      <c r="X6923" s="186"/>
      <c r="Y6923" s="187"/>
      <c r="Z6923" s="311" t="s">
        <v>214</v>
      </c>
      <c r="AB6923" t="str">
        <f>IF(Table1[[#This Row],[TIPO2]]="costo", VLOOKUP(Table1[[#This Row],[PARTIDA PRESUPUESTAL]],'Cost Report'!G:G,1,0),"Balance")</f>
        <v>7230-001</v>
      </c>
      <c r="AD6923" s="159">
        <f>+Table1[[#This Row],[SUBTOTAL]]+Table1[[#This Row],[IVA]]-Table1[[#This Row],[RET IVA]]-Table1[[#This Row],[RET ISR]]-Table1[[#This Row],[TOTAL]]</f>
        <v>0</v>
      </c>
      <c r="AK6923" s="306" t="str">
        <f>IF(ISNUMBER(Table1[[#This Row],[FECHA DE RECIBIDO]]), Table1[[#This Row],[FECHA DE RECIBIDO]]-DATE(2023,8,30), "")</f>
        <v/>
      </c>
    </row>
    <row r="6924" spans="1:37">
      <c r="A6924" s="172"/>
      <c r="B6924" s="178"/>
      <c r="C6924" s="179" t="s">
        <v>2829</v>
      </c>
      <c r="D6924">
        <v>4614</v>
      </c>
      <c r="E6924" s="125"/>
      <c r="F6924" s="178"/>
      <c r="G6924" s="178"/>
      <c r="H6924"/>
      <c r="I6924" s="178"/>
      <c r="J6924" s="320" t="s">
        <v>214</v>
      </c>
      <c r="K6924" s="178"/>
      <c r="L6924" s="125" t="s">
        <v>4863</v>
      </c>
      <c r="M6924">
        <v>214</v>
      </c>
      <c r="N6924" s="182"/>
      <c r="O6924">
        <v>1545</v>
      </c>
      <c r="P6924" s="176" t="s">
        <v>77</v>
      </c>
      <c r="Q6924" s="176">
        <v>3.5999999999999996</v>
      </c>
      <c r="R6924" s="176"/>
      <c r="S6924" s="176"/>
      <c r="T6924" s="190"/>
      <c r="U6924" s="191"/>
      <c r="V6924" s="191">
        <f>+Table1[[#This Row],[SUBTOTAL]]+Table1[[#This Row],[IVA]]-Table1[[#This Row],[RET IVA]]-Table1[[#This Row],[RET ISR]]</f>
        <v>3.5999999999999996</v>
      </c>
      <c r="W6924"/>
      <c r="X6924" s="186"/>
      <c r="Y6924" s="187"/>
      <c r="Z6924" s="311" t="s">
        <v>214</v>
      </c>
      <c r="AB6924" t="str">
        <f>IF(Table1[[#This Row],[TIPO2]]="costo", VLOOKUP(Table1[[#This Row],[PARTIDA PRESUPUESTAL]],'Cost Report'!G:G,1,0),"Balance")</f>
        <v>3412-138</v>
      </c>
      <c r="AD6924" s="159">
        <f>+Table1[[#This Row],[SUBTOTAL]]+Table1[[#This Row],[IVA]]-Table1[[#This Row],[RET IVA]]-Table1[[#This Row],[RET ISR]]-Table1[[#This Row],[TOTAL]]</f>
        <v>0</v>
      </c>
      <c r="AK6924" s="306" t="str">
        <f>IF(ISNUMBER(Table1[[#This Row],[FECHA DE RECIBIDO]]), Table1[[#This Row],[FECHA DE RECIBIDO]]-DATE(2023,8,30), "")</f>
        <v/>
      </c>
    </row>
    <row r="6925" spans="1:37">
      <c r="A6925" s="172"/>
      <c r="B6925" s="178"/>
      <c r="C6925" s="179" t="s">
        <v>2443</v>
      </c>
      <c r="D6925">
        <v>4614</v>
      </c>
      <c r="E6925" s="125"/>
      <c r="F6925" s="178"/>
      <c r="G6925" s="178"/>
      <c r="H6925"/>
      <c r="I6925" s="178"/>
      <c r="J6925" s="320" t="s">
        <v>214</v>
      </c>
      <c r="K6925" s="178"/>
      <c r="L6925" s="125" t="s">
        <v>4863</v>
      </c>
      <c r="M6925">
        <v>653</v>
      </c>
      <c r="N6925" s="182"/>
      <c r="O6925">
        <v>1546</v>
      </c>
      <c r="P6925" s="176" t="s">
        <v>77</v>
      </c>
      <c r="Q6925" s="176">
        <v>11.1</v>
      </c>
      <c r="R6925" s="176"/>
      <c r="S6925" s="176"/>
      <c r="T6925" s="190"/>
      <c r="U6925" s="191"/>
      <c r="V6925" s="191">
        <f>+Table1[[#This Row],[SUBTOTAL]]+Table1[[#This Row],[IVA]]-Table1[[#This Row],[RET IVA]]-Table1[[#This Row],[RET ISR]]</f>
        <v>11.1</v>
      </c>
      <c r="W6925"/>
      <c r="X6925" s="186"/>
      <c r="Y6925" s="187"/>
      <c r="Z6925" s="311" t="s">
        <v>214</v>
      </c>
      <c r="AB6925" t="str">
        <f>IF(Table1[[#This Row],[TIPO2]]="costo", VLOOKUP(Table1[[#This Row],[PARTIDA PRESUPUESTAL]],'Cost Report'!G:G,1,0),"Balance")</f>
        <v>2080-003</v>
      </c>
      <c r="AD6925" s="159">
        <f>+Table1[[#This Row],[SUBTOTAL]]+Table1[[#This Row],[IVA]]-Table1[[#This Row],[RET IVA]]-Table1[[#This Row],[RET ISR]]-Table1[[#This Row],[TOTAL]]</f>
        <v>0</v>
      </c>
      <c r="AK6925" s="306" t="str">
        <f>IF(ISNUMBER(Table1[[#This Row],[FECHA DE RECIBIDO]]), Table1[[#This Row],[FECHA DE RECIBIDO]]-DATE(2023,8,30), "")</f>
        <v/>
      </c>
    </row>
    <row r="6926" spans="1:37">
      <c r="A6926" s="172"/>
      <c r="B6926" s="178"/>
      <c r="C6926" s="179" t="s">
        <v>2749</v>
      </c>
      <c r="D6926">
        <v>4614</v>
      </c>
      <c r="E6926" s="125"/>
      <c r="F6926" s="178"/>
      <c r="G6926" s="178"/>
      <c r="H6926"/>
      <c r="I6926" s="178"/>
      <c r="J6926" s="320" t="s">
        <v>214</v>
      </c>
      <c r="K6926" s="178"/>
      <c r="L6926" s="125" t="s">
        <v>4863</v>
      </c>
      <c r="M6926">
        <v>654</v>
      </c>
      <c r="N6926" s="182"/>
      <c r="O6926">
        <v>162</v>
      </c>
      <c r="P6926" s="176" t="s">
        <v>77</v>
      </c>
      <c r="Q6926" s="176">
        <v>10.266</v>
      </c>
      <c r="R6926" s="176"/>
      <c r="S6926" s="176"/>
      <c r="T6926" s="190"/>
      <c r="U6926" s="191"/>
      <c r="V6926" s="191">
        <f>+Table1[[#This Row],[SUBTOTAL]]+Table1[[#This Row],[IVA]]-Table1[[#This Row],[RET IVA]]-Table1[[#This Row],[RET ISR]]</f>
        <v>10.266</v>
      </c>
      <c r="W6926"/>
      <c r="X6926" s="186"/>
      <c r="Y6926" s="187"/>
      <c r="Z6926" s="311" t="s">
        <v>214</v>
      </c>
      <c r="AB6926" t="str">
        <f>IF(Table1[[#This Row],[TIPO2]]="costo", VLOOKUP(Table1[[#This Row],[PARTIDA PRESUPUESTAL]],'Cost Report'!G:G,1,0),"Balance")</f>
        <v>3401-011</v>
      </c>
      <c r="AD6926" s="159">
        <f>+Table1[[#This Row],[SUBTOTAL]]+Table1[[#This Row],[IVA]]-Table1[[#This Row],[RET IVA]]-Table1[[#This Row],[RET ISR]]-Table1[[#This Row],[TOTAL]]</f>
        <v>0</v>
      </c>
      <c r="AK6926" s="306" t="str">
        <f>IF(ISNUMBER(Table1[[#This Row],[FECHA DE RECIBIDO]]), Table1[[#This Row],[FECHA DE RECIBIDO]]-DATE(2023,8,30), "")</f>
        <v/>
      </c>
    </row>
    <row r="6927" spans="1:37">
      <c r="A6927" s="172"/>
      <c r="B6927" s="178"/>
      <c r="C6927" s="179" t="s">
        <v>2860</v>
      </c>
      <c r="D6927">
        <v>4614</v>
      </c>
      <c r="E6927" s="125"/>
      <c r="F6927" s="178"/>
      <c r="G6927" s="178"/>
      <c r="H6927"/>
      <c r="I6927" s="178"/>
      <c r="J6927" s="320" t="s">
        <v>214</v>
      </c>
      <c r="K6927" s="178"/>
      <c r="L6927" s="125" t="s">
        <v>4863</v>
      </c>
      <c r="M6927">
        <v>655</v>
      </c>
      <c r="N6927" s="182"/>
      <c r="O6927">
        <v>1212</v>
      </c>
      <c r="P6927" s="176" t="s">
        <v>77</v>
      </c>
      <c r="Q6927" s="176">
        <v>1.5</v>
      </c>
      <c r="R6927" s="176"/>
      <c r="S6927" s="176"/>
      <c r="T6927" s="190"/>
      <c r="U6927" s="191"/>
      <c r="V6927" s="191">
        <f>+Table1[[#This Row],[SUBTOTAL]]+Table1[[#This Row],[IVA]]-Table1[[#This Row],[RET IVA]]-Table1[[#This Row],[RET ISR]]</f>
        <v>1.5</v>
      </c>
      <c r="W6927"/>
      <c r="X6927" s="186"/>
      <c r="Y6927" s="187"/>
      <c r="Z6927" s="311" t="s">
        <v>214</v>
      </c>
      <c r="AB6927" t="str">
        <f>IF(Table1[[#This Row],[TIPO2]]="costo", VLOOKUP(Table1[[#This Row],[PARTIDA PRESUPUESTAL]],'Cost Report'!G:G,1,0),"Balance")</f>
        <v>3629-003</v>
      </c>
      <c r="AD6927" s="159">
        <f>+Table1[[#This Row],[SUBTOTAL]]+Table1[[#This Row],[IVA]]-Table1[[#This Row],[RET IVA]]-Table1[[#This Row],[RET ISR]]-Table1[[#This Row],[TOTAL]]</f>
        <v>0</v>
      </c>
      <c r="AK6927" s="306" t="str">
        <f>IF(ISNUMBER(Table1[[#This Row],[FECHA DE RECIBIDO]]), Table1[[#This Row],[FECHA DE RECIBIDO]]-DATE(2023,8,30), "")</f>
        <v/>
      </c>
    </row>
    <row r="6928" spans="1:37">
      <c r="A6928" s="172"/>
      <c r="B6928" s="178"/>
      <c r="C6928" s="179" t="s">
        <v>2749</v>
      </c>
      <c r="D6928">
        <v>4614</v>
      </c>
      <c r="E6928" s="125"/>
      <c r="F6928" s="178"/>
      <c r="G6928" s="178"/>
      <c r="H6928"/>
      <c r="I6928" s="178"/>
      <c r="J6928" s="320" t="s">
        <v>214</v>
      </c>
      <c r="K6928" s="178"/>
      <c r="L6928" s="125" t="s">
        <v>4863</v>
      </c>
      <c r="M6928">
        <v>654</v>
      </c>
      <c r="N6928" s="182"/>
      <c r="O6928">
        <v>162</v>
      </c>
      <c r="P6928" s="176" t="s">
        <v>77</v>
      </c>
      <c r="Q6928" s="176">
        <v>10.266</v>
      </c>
      <c r="R6928" s="176"/>
      <c r="S6928" s="176"/>
      <c r="T6928" s="190"/>
      <c r="U6928" s="191"/>
      <c r="V6928" s="191">
        <f>+Table1[[#This Row],[SUBTOTAL]]+Table1[[#This Row],[IVA]]-Table1[[#This Row],[RET IVA]]-Table1[[#This Row],[RET ISR]]</f>
        <v>10.266</v>
      </c>
      <c r="W6928"/>
      <c r="X6928" s="186"/>
      <c r="Y6928" s="187"/>
      <c r="Z6928" s="311" t="s">
        <v>214</v>
      </c>
      <c r="AB6928" t="str">
        <f>IF(Table1[[#This Row],[TIPO2]]="costo", VLOOKUP(Table1[[#This Row],[PARTIDA PRESUPUESTAL]],'Cost Report'!G:G,1,0),"Balance")</f>
        <v>3401-011</v>
      </c>
      <c r="AD6928" s="159">
        <f>+Table1[[#This Row],[SUBTOTAL]]+Table1[[#This Row],[IVA]]-Table1[[#This Row],[RET IVA]]-Table1[[#This Row],[RET ISR]]-Table1[[#This Row],[TOTAL]]</f>
        <v>0</v>
      </c>
      <c r="AK6928" s="306" t="str">
        <f>IF(ISNUMBER(Table1[[#This Row],[FECHA DE RECIBIDO]]), Table1[[#This Row],[FECHA DE RECIBIDO]]-DATE(2023,8,30), "")</f>
        <v/>
      </c>
    </row>
    <row r="6929" spans="1:37">
      <c r="A6929" s="172"/>
      <c r="B6929" s="178"/>
      <c r="C6929" s="179" t="s">
        <v>2749</v>
      </c>
      <c r="D6929">
        <v>4614</v>
      </c>
      <c r="E6929" s="125"/>
      <c r="F6929" s="178"/>
      <c r="G6929" s="178"/>
      <c r="H6929"/>
      <c r="I6929" s="178"/>
      <c r="J6929" s="320" t="s">
        <v>214</v>
      </c>
      <c r="K6929" s="178"/>
      <c r="L6929" s="125" t="s">
        <v>4863</v>
      </c>
      <c r="M6929">
        <v>654</v>
      </c>
      <c r="N6929" s="182"/>
      <c r="O6929">
        <v>162</v>
      </c>
      <c r="P6929" s="176" t="s">
        <v>77</v>
      </c>
      <c r="Q6929" s="176">
        <v>10.266</v>
      </c>
      <c r="R6929" s="176"/>
      <c r="S6929" s="176"/>
      <c r="T6929" s="190"/>
      <c r="U6929" s="191"/>
      <c r="V6929" s="191">
        <f>+Table1[[#This Row],[SUBTOTAL]]+Table1[[#This Row],[IVA]]-Table1[[#This Row],[RET IVA]]-Table1[[#This Row],[RET ISR]]</f>
        <v>10.266</v>
      </c>
      <c r="W6929"/>
      <c r="X6929" s="186"/>
      <c r="Y6929" s="187"/>
      <c r="Z6929" s="311" t="s">
        <v>214</v>
      </c>
      <c r="AB6929" t="str">
        <f>IF(Table1[[#This Row],[TIPO2]]="costo", VLOOKUP(Table1[[#This Row],[PARTIDA PRESUPUESTAL]],'Cost Report'!G:G,1,0),"Balance")</f>
        <v>3401-011</v>
      </c>
      <c r="AD6929" s="159">
        <f>+Table1[[#This Row],[SUBTOTAL]]+Table1[[#This Row],[IVA]]-Table1[[#This Row],[RET IVA]]-Table1[[#This Row],[RET ISR]]-Table1[[#This Row],[TOTAL]]</f>
        <v>0</v>
      </c>
      <c r="AK6929" s="306" t="str">
        <f>IF(ISNUMBER(Table1[[#This Row],[FECHA DE RECIBIDO]]), Table1[[#This Row],[FECHA DE RECIBIDO]]-DATE(2023,8,30), "")</f>
        <v/>
      </c>
    </row>
    <row r="6930" spans="1:37">
      <c r="A6930" s="172"/>
      <c r="B6930" s="178"/>
      <c r="C6930" s="179" t="s">
        <v>2749</v>
      </c>
      <c r="D6930">
        <v>4614</v>
      </c>
      <c r="E6930" s="125"/>
      <c r="F6930" s="178"/>
      <c r="G6930" s="178"/>
      <c r="H6930"/>
      <c r="I6930" s="178"/>
      <c r="J6930" s="320" t="s">
        <v>214</v>
      </c>
      <c r="K6930" s="178"/>
      <c r="L6930" s="125" t="s">
        <v>4863</v>
      </c>
      <c r="M6930">
        <v>654</v>
      </c>
      <c r="N6930" s="182"/>
      <c r="O6930">
        <v>162</v>
      </c>
      <c r="P6930" s="176" t="s">
        <v>77</v>
      </c>
      <c r="Q6930" s="176">
        <v>10.266</v>
      </c>
      <c r="R6930" s="176"/>
      <c r="S6930" s="176"/>
      <c r="T6930" s="190"/>
      <c r="U6930" s="191"/>
      <c r="V6930" s="191">
        <f>+Table1[[#This Row],[SUBTOTAL]]+Table1[[#This Row],[IVA]]-Table1[[#This Row],[RET IVA]]-Table1[[#This Row],[RET ISR]]</f>
        <v>10.266</v>
      </c>
      <c r="W6930"/>
      <c r="X6930" s="186"/>
      <c r="Y6930" s="187"/>
      <c r="Z6930" s="311" t="s">
        <v>214</v>
      </c>
      <c r="AB6930" t="str">
        <f>IF(Table1[[#This Row],[TIPO2]]="costo", VLOOKUP(Table1[[#This Row],[PARTIDA PRESUPUESTAL]],'Cost Report'!G:G,1,0),"Balance")</f>
        <v>3401-011</v>
      </c>
      <c r="AD6930" s="159">
        <f>+Table1[[#This Row],[SUBTOTAL]]+Table1[[#This Row],[IVA]]-Table1[[#This Row],[RET IVA]]-Table1[[#This Row],[RET ISR]]-Table1[[#This Row],[TOTAL]]</f>
        <v>0</v>
      </c>
      <c r="AK6930" s="306" t="str">
        <f>IF(ISNUMBER(Table1[[#This Row],[FECHA DE RECIBIDO]]), Table1[[#This Row],[FECHA DE RECIBIDO]]-DATE(2023,8,30), "")</f>
        <v/>
      </c>
    </row>
    <row r="6931" spans="1:37">
      <c r="A6931" s="172"/>
      <c r="B6931" s="178"/>
      <c r="C6931" s="179" t="s">
        <v>3103</v>
      </c>
      <c r="D6931">
        <v>4614</v>
      </c>
      <c r="E6931" s="125"/>
      <c r="F6931" s="178"/>
      <c r="G6931" s="178"/>
      <c r="H6931"/>
      <c r="I6931" s="178"/>
      <c r="J6931" s="320" t="s">
        <v>214</v>
      </c>
      <c r="K6931" s="178"/>
      <c r="L6931" s="125" t="s">
        <v>4863</v>
      </c>
      <c r="M6931">
        <v>654</v>
      </c>
      <c r="N6931" s="182"/>
      <c r="O6931">
        <v>1547</v>
      </c>
      <c r="P6931" s="176" t="s">
        <v>77</v>
      </c>
      <c r="Q6931" s="176">
        <v>10.266</v>
      </c>
      <c r="R6931" s="176"/>
      <c r="S6931" s="176"/>
      <c r="T6931" s="190"/>
      <c r="U6931" s="191"/>
      <c r="V6931" s="191">
        <f>+Table1[[#This Row],[SUBTOTAL]]+Table1[[#This Row],[IVA]]-Table1[[#This Row],[RET IVA]]-Table1[[#This Row],[RET ISR]]</f>
        <v>10.266</v>
      </c>
      <c r="W6931"/>
      <c r="X6931" s="186"/>
      <c r="Y6931" s="187"/>
      <c r="Z6931" s="311" t="s">
        <v>214</v>
      </c>
      <c r="AB6931" t="str">
        <f>IF(Table1[[#This Row],[TIPO2]]="costo", VLOOKUP(Table1[[#This Row],[PARTIDA PRESUPUESTAL]],'Cost Report'!G:G,1,0),"Balance")</f>
        <v>7038-009</v>
      </c>
      <c r="AD6931" s="159">
        <f>+Table1[[#This Row],[SUBTOTAL]]+Table1[[#This Row],[IVA]]-Table1[[#This Row],[RET IVA]]-Table1[[#This Row],[RET ISR]]-Table1[[#This Row],[TOTAL]]</f>
        <v>0</v>
      </c>
      <c r="AK6931" s="306" t="str">
        <f>IF(ISNUMBER(Table1[[#This Row],[FECHA DE RECIBIDO]]), Table1[[#This Row],[FECHA DE RECIBIDO]]-DATE(2023,8,30), "")</f>
        <v/>
      </c>
    </row>
    <row r="6932" spans="1:37">
      <c r="A6932" s="172"/>
      <c r="B6932" s="178"/>
      <c r="C6932" s="179" t="s">
        <v>2860</v>
      </c>
      <c r="D6932">
        <v>4614</v>
      </c>
      <c r="E6932" s="125"/>
      <c r="F6932" s="178"/>
      <c r="G6932" s="178"/>
      <c r="H6932"/>
      <c r="I6932" s="178"/>
      <c r="J6932" s="320" t="s">
        <v>214</v>
      </c>
      <c r="K6932" s="178"/>
      <c r="L6932" s="125" t="s">
        <v>4863</v>
      </c>
      <c r="M6932">
        <v>184</v>
      </c>
      <c r="N6932" s="182"/>
      <c r="O6932">
        <v>1005</v>
      </c>
      <c r="P6932" s="176" t="s">
        <v>77</v>
      </c>
      <c r="Q6932" s="176">
        <v>3</v>
      </c>
      <c r="R6932" s="176"/>
      <c r="S6932" s="176"/>
      <c r="T6932" s="190"/>
      <c r="U6932" s="191"/>
      <c r="V6932" s="191">
        <f>+Table1[[#This Row],[SUBTOTAL]]+Table1[[#This Row],[IVA]]-Table1[[#This Row],[RET IVA]]-Table1[[#This Row],[RET ISR]]</f>
        <v>3</v>
      </c>
      <c r="W6932"/>
      <c r="X6932" s="186"/>
      <c r="Y6932" s="187"/>
      <c r="Z6932" s="311" t="s">
        <v>214</v>
      </c>
      <c r="AB6932" t="str">
        <f>IF(Table1[[#This Row],[TIPO2]]="costo", VLOOKUP(Table1[[#This Row],[PARTIDA PRESUPUESTAL]],'Cost Report'!G:G,1,0),"Balance")</f>
        <v>3629-003</v>
      </c>
      <c r="AD6932" s="159">
        <f>+Table1[[#This Row],[SUBTOTAL]]+Table1[[#This Row],[IVA]]-Table1[[#This Row],[RET IVA]]-Table1[[#This Row],[RET ISR]]-Table1[[#This Row],[TOTAL]]</f>
        <v>0</v>
      </c>
      <c r="AK6932" s="306" t="str">
        <f>IF(ISNUMBER(Table1[[#This Row],[FECHA DE RECIBIDO]]), Table1[[#This Row],[FECHA DE RECIBIDO]]-DATE(2023,8,30), "")</f>
        <v/>
      </c>
    </row>
    <row r="6933" spans="1:37">
      <c r="A6933" s="172"/>
      <c r="B6933" s="178"/>
      <c r="C6933" s="179" t="s">
        <v>1714</v>
      </c>
      <c r="D6933">
        <v>4614</v>
      </c>
      <c r="E6933" s="125"/>
      <c r="F6933" s="178"/>
      <c r="G6933" s="178"/>
      <c r="H6933"/>
      <c r="I6933" s="178"/>
      <c r="J6933" s="320" t="s">
        <v>214</v>
      </c>
      <c r="K6933" s="178"/>
      <c r="L6933" s="125" t="s">
        <v>4863</v>
      </c>
      <c r="M6933">
        <v>663</v>
      </c>
      <c r="N6933" s="182"/>
      <c r="O6933">
        <v>1563</v>
      </c>
      <c r="P6933" s="176" t="s">
        <v>77</v>
      </c>
      <c r="Q6933" s="176">
        <v>530.1</v>
      </c>
      <c r="R6933" s="176"/>
      <c r="S6933" s="176"/>
      <c r="T6933" s="190"/>
      <c r="U6933" s="191"/>
      <c r="V6933" s="191">
        <f>+Table1[[#This Row],[SUBTOTAL]]+Table1[[#This Row],[IVA]]-Table1[[#This Row],[RET IVA]]-Table1[[#This Row],[RET ISR]]</f>
        <v>530.1</v>
      </c>
      <c r="W6933"/>
      <c r="X6933" s="186"/>
      <c r="Y6933" s="187"/>
      <c r="Z6933" s="311" t="s">
        <v>214</v>
      </c>
      <c r="AB6933" t="str">
        <f>IF(Table1[[#This Row],[TIPO2]]="costo", VLOOKUP(Table1[[#This Row],[PARTIDA PRESUPUESTAL]],'Cost Report'!G:G,1,0),"Balance")</f>
        <v>1426-003</v>
      </c>
      <c r="AD6933" s="159">
        <f>+Table1[[#This Row],[SUBTOTAL]]+Table1[[#This Row],[IVA]]-Table1[[#This Row],[RET IVA]]-Table1[[#This Row],[RET ISR]]-Table1[[#This Row],[TOTAL]]</f>
        <v>0</v>
      </c>
      <c r="AK6933" s="306" t="str">
        <f>IF(ISNUMBER(Table1[[#This Row],[FECHA DE RECIBIDO]]), Table1[[#This Row],[FECHA DE RECIBIDO]]-DATE(2023,8,30), "")</f>
        <v/>
      </c>
    </row>
    <row r="6934" spans="1:37">
      <c r="A6934" s="172"/>
      <c r="B6934" s="178"/>
      <c r="C6934" s="179" t="s">
        <v>3416</v>
      </c>
      <c r="D6934">
        <v>4614</v>
      </c>
      <c r="E6934" s="125"/>
      <c r="F6934" s="178"/>
      <c r="G6934" s="178"/>
      <c r="H6934"/>
      <c r="I6934" s="178"/>
      <c r="J6934" s="320" t="s">
        <v>214</v>
      </c>
      <c r="K6934" s="178"/>
      <c r="L6934" s="125" t="s">
        <v>4863</v>
      </c>
      <c r="M6934">
        <v>664</v>
      </c>
      <c r="N6934" s="182"/>
      <c r="O6934">
        <v>1564</v>
      </c>
      <c r="P6934" s="176" t="s">
        <v>77</v>
      </c>
      <c r="Q6934" s="176">
        <v>51</v>
      </c>
      <c r="R6934" s="176"/>
      <c r="S6934" s="176"/>
      <c r="T6934" s="190"/>
      <c r="U6934" s="191"/>
      <c r="V6934" s="191">
        <f>+Table1[[#This Row],[SUBTOTAL]]+Table1[[#This Row],[IVA]]-Table1[[#This Row],[RET IVA]]-Table1[[#This Row],[RET ISR]]</f>
        <v>51</v>
      </c>
      <c r="W6934"/>
      <c r="X6934" s="186"/>
      <c r="Y6934" s="187"/>
      <c r="Z6934" s="311" t="s">
        <v>214</v>
      </c>
      <c r="AB6934" t="str">
        <f>IF(Table1[[#This Row],[TIPO2]]="costo", VLOOKUP(Table1[[#This Row],[PARTIDA PRESUPUESTAL]],'Cost Report'!G:G,1,0),"Balance")</f>
        <v>3442-040</v>
      </c>
      <c r="AD6934" s="159">
        <f>+Table1[[#This Row],[SUBTOTAL]]+Table1[[#This Row],[IVA]]-Table1[[#This Row],[RET IVA]]-Table1[[#This Row],[RET ISR]]-Table1[[#This Row],[TOTAL]]</f>
        <v>0</v>
      </c>
      <c r="AK6934" s="306" t="str">
        <f>IF(ISNUMBER(Table1[[#This Row],[FECHA DE RECIBIDO]]), Table1[[#This Row],[FECHA DE RECIBIDO]]-DATE(2023,8,30), "")</f>
        <v/>
      </c>
    </row>
    <row r="6935" spans="1:37">
      <c r="A6935" s="172"/>
      <c r="B6935" s="178"/>
      <c r="C6935" s="179" t="s">
        <v>3416</v>
      </c>
      <c r="D6935">
        <v>4614</v>
      </c>
      <c r="E6935" s="125"/>
      <c r="F6935" s="178"/>
      <c r="G6935" s="178"/>
      <c r="H6935"/>
      <c r="I6935" s="178"/>
      <c r="J6935" s="320" t="s">
        <v>214</v>
      </c>
      <c r="K6935" s="178"/>
      <c r="L6935" s="125" t="s">
        <v>4863</v>
      </c>
      <c r="M6935">
        <v>664</v>
      </c>
      <c r="N6935" s="182"/>
      <c r="O6935">
        <v>1564</v>
      </c>
      <c r="P6935" s="176" t="s">
        <v>77</v>
      </c>
      <c r="Q6935" s="176">
        <v>51</v>
      </c>
      <c r="R6935" s="176"/>
      <c r="S6935" s="176"/>
      <c r="T6935" s="190"/>
      <c r="U6935" s="191"/>
      <c r="V6935" s="191">
        <f>+Table1[[#This Row],[SUBTOTAL]]+Table1[[#This Row],[IVA]]-Table1[[#This Row],[RET IVA]]-Table1[[#This Row],[RET ISR]]</f>
        <v>51</v>
      </c>
      <c r="W6935"/>
      <c r="X6935" s="186"/>
      <c r="Y6935" s="187"/>
      <c r="Z6935" s="311" t="s">
        <v>214</v>
      </c>
      <c r="AB6935" t="str">
        <f>IF(Table1[[#This Row],[TIPO2]]="costo", VLOOKUP(Table1[[#This Row],[PARTIDA PRESUPUESTAL]],'Cost Report'!G:G,1,0),"Balance")</f>
        <v>3442-040</v>
      </c>
      <c r="AD6935" s="159">
        <f>+Table1[[#This Row],[SUBTOTAL]]+Table1[[#This Row],[IVA]]-Table1[[#This Row],[RET IVA]]-Table1[[#This Row],[RET ISR]]-Table1[[#This Row],[TOTAL]]</f>
        <v>0</v>
      </c>
      <c r="AK6935" s="306" t="str">
        <f>IF(ISNUMBER(Table1[[#This Row],[FECHA DE RECIBIDO]]), Table1[[#This Row],[FECHA DE RECIBIDO]]-DATE(2023,8,30), "")</f>
        <v/>
      </c>
    </row>
    <row r="6936" spans="1:37">
      <c r="A6936" s="172"/>
      <c r="B6936" s="178"/>
      <c r="C6936" s="179" t="s">
        <v>3416</v>
      </c>
      <c r="D6936">
        <v>4614</v>
      </c>
      <c r="E6936" s="125"/>
      <c r="F6936" s="178"/>
      <c r="G6936" s="178"/>
      <c r="H6936"/>
      <c r="I6936" s="178"/>
      <c r="J6936" s="320" t="s">
        <v>214</v>
      </c>
      <c r="K6936" s="178"/>
      <c r="L6936" s="125" t="s">
        <v>4863</v>
      </c>
      <c r="M6936">
        <v>665</v>
      </c>
      <c r="N6936" s="182"/>
      <c r="O6936">
        <v>1564</v>
      </c>
      <c r="P6936" s="176" t="s">
        <v>77</v>
      </c>
      <c r="Q6936" s="176">
        <v>16.2</v>
      </c>
      <c r="R6936" s="176"/>
      <c r="S6936" s="176"/>
      <c r="T6936" s="190"/>
      <c r="U6936" s="191"/>
      <c r="V6936" s="191">
        <f>+Table1[[#This Row],[SUBTOTAL]]+Table1[[#This Row],[IVA]]-Table1[[#This Row],[RET IVA]]-Table1[[#This Row],[RET ISR]]</f>
        <v>16.2</v>
      </c>
      <c r="W6936"/>
      <c r="X6936" s="186"/>
      <c r="Y6936" s="187"/>
      <c r="Z6936" s="311" t="s">
        <v>214</v>
      </c>
      <c r="AB6936" t="str">
        <f>IF(Table1[[#This Row],[TIPO2]]="costo", VLOOKUP(Table1[[#This Row],[PARTIDA PRESUPUESTAL]],'Cost Report'!G:G,1,0),"Balance")</f>
        <v>3442-040</v>
      </c>
      <c r="AD6936" s="159">
        <f>+Table1[[#This Row],[SUBTOTAL]]+Table1[[#This Row],[IVA]]-Table1[[#This Row],[RET IVA]]-Table1[[#This Row],[RET ISR]]-Table1[[#This Row],[TOTAL]]</f>
        <v>0</v>
      </c>
      <c r="AK6936" s="306" t="str">
        <f>IF(ISNUMBER(Table1[[#This Row],[FECHA DE RECIBIDO]]), Table1[[#This Row],[FECHA DE RECIBIDO]]-DATE(2023,8,30), "")</f>
        <v/>
      </c>
    </row>
    <row r="6937" spans="1:37">
      <c r="A6937" s="172"/>
      <c r="B6937" s="178"/>
      <c r="C6937" s="179" t="s">
        <v>3416</v>
      </c>
      <c r="D6937">
        <v>4614</v>
      </c>
      <c r="E6937" s="125"/>
      <c r="F6937" s="178"/>
      <c r="G6937" s="178"/>
      <c r="H6937"/>
      <c r="I6937" s="178"/>
      <c r="J6937" s="320" t="s">
        <v>214</v>
      </c>
      <c r="K6937" s="178"/>
      <c r="L6937" s="125" t="s">
        <v>4863</v>
      </c>
      <c r="M6937">
        <v>604</v>
      </c>
      <c r="N6937" s="182"/>
      <c r="O6937">
        <v>1564</v>
      </c>
      <c r="P6937" s="176" t="s">
        <v>77</v>
      </c>
      <c r="Q6937" s="176">
        <v>20.399999999999999</v>
      </c>
      <c r="R6937" s="176"/>
      <c r="S6937" s="176"/>
      <c r="T6937" s="190"/>
      <c r="U6937" s="191"/>
      <c r="V6937" s="191">
        <f>+Table1[[#This Row],[SUBTOTAL]]+Table1[[#This Row],[IVA]]-Table1[[#This Row],[RET IVA]]-Table1[[#This Row],[RET ISR]]</f>
        <v>20.399999999999999</v>
      </c>
      <c r="W6937"/>
      <c r="X6937" s="186"/>
      <c r="Y6937" s="187"/>
      <c r="Z6937" s="311" t="s">
        <v>214</v>
      </c>
      <c r="AB6937" t="str">
        <f>IF(Table1[[#This Row],[TIPO2]]="costo", VLOOKUP(Table1[[#This Row],[PARTIDA PRESUPUESTAL]],'Cost Report'!G:G,1,0),"Balance")</f>
        <v>3442-040</v>
      </c>
      <c r="AD6937" s="159">
        <f>+Table1[[#This Row],[SUBTOTAL]]+Table1[[#This Row],[IVA]]-Table1[[#This Row],[RET IVA]]-Table1[[#This Row],[RET ISR]]-Table1[[#This Row],[TOTAL]]</f>
        <v>0</v>
      </c>
      <c r="AK6937" s="306" t="str">
        <f>IF(ISNUMBER(Table1[[#This Row],[FECHA DE RECIBIDO]]), Table1[[#This Row],[FECHA DE RECIBIDO]]-DATE(2023,8,30), "")</f>
        <v/>
      </c>
    </row>
    <row r="6938" spans="1:37">
      <c r="A6938" s="172"/>
      <c r="B6938" s="178"/>
      <c r="C6938" s="179" t="s">
        <v>3416</v>
      </c>
      <c r="D6938">
        <v>4614</v>
      </c>
      <c r="E6938" s="125"/>
      <c r="F6938" s="178"/>
      <c r="G6938" s="178"/>
      <c r="H6938"/>
      <c r="I6938" s="178"/>
      <c r="J6938" s="320" t="s">
        <v>214</v>
      </c>
      <c r="K6938" s="178"/>
      <c r="L6938" s="125" t="s">
        <v>4863</v>
      </c>
      <c r="M6938">
        <v>666</v>
      </c>
      <c r="N6938" s="182"/>
      <c r="O6938">
        <v>1564</v>
      </c>
      <c r="P6938" s="176" t="s">
        <v>77</v>
      </c>
      <c r="Q6938" s="176">
        <v>31.5</v>
      </c>
      <c r="R6938" s="176"/>
      <c r="S6938" s="176"/>
      <c r="T6938" s="190"/>
      <c r="U6938" s="191"/>
      <c r="V6938" s="191">
        <f>+Table1[[#This Row],[SUBTOTAL]]+Table1[[#This Row],[IVA]]-Table1[[#This Row],[RET IVA]]-Table1[[#This Row],[RET ISR]]</f>
        <v>31.5</v>
      </c>
      <c r="W6938"/>
      <c r="X6938" s="186"/>
      <c r="Y6938" s="187"/>
      <c r="Z6938" s="311" t="s">
        <v>214</v>
      </c>
      <c r="AB6938" t="str">
        <f>IF(Table1[[#This Row],[TIPO2]]="costo", VLOOKUP(Table1[[#This Row],[PARTIDA PRESUPUESTAL]],'Cost Report'!G:G,1,0),"Balance")</f>
        <v>3442-040</v>
      </c>
      <c r="AD6938" s="159">
        <f>+Table1[[#This Row],[SUBTOTAL]]+Table1[[#This Row],[IVA]]-Table1[[#This Row],[RET IVA]]-Table1[[#This Row],[RET ISR]]-Table1[[#This Row],[TOTAL]]</f>
        <v>0</v>
      </c>
      <c r="AK6938" s="306" t="str">
        <f>IF(ISNUMBER(Table1[[#This Row],[FECHA DE RECIBIDO]]), Table1[[#This Row],[FECHA DE RECIBIDO]]-DATE(2023,8,30), "")</f>
        <v/>
      </c>
    </row>
    <row r="6939" spans="1:37">
      <c r="A6939" s="172"/>
      <c r="B6939" s="178"/>
      <c r="C6939" s="179" t="s">
        <v>3416</v>
      </c>
      <c r="D6939">
        <v>4614</v>
      </c>
      <c r="E6939" s="125"/>
      <c r="F6939" s="178"/>
      <c r="G6939" s="178"/>
      <c r="H6939"/>
      <c r="I6939" s="178"/>
      <c r="J6939" s="320" t="s">
        <v>214</v>
      </c>
      <c r="K6939" s="178"/>
      <c r="L6939" s="125" t="s">
        <v>4863</v>
      </c>
      <c r="M6939">
        <v>601</v>
      </c>
      <c r="N6939" s="182"/>
      <c r="O6939">
        <v>1564</v>
      </c>
      <c r="P6939" s="176" t="s">
        <v>77</v>
      </c>
      <c r="Q6939" s="176">
        <v>16.2</v>
      </c>
      <c r="R6939" s="176"/>
      <c r="S6939" s="176"/>
      <c r="T6939" s="190"/>
      <c r="U6939" s="191"/>
      <c r="V6939" s="191">
        <f>+Table1[[#This Row],[SUBTOTAL]]+Table1[[#This Row],[IVA]]-Table1[[#This Row],[RET IVA]]-Table1[[#This Row],[RET ISR]]</f>
        <v>16.2</v>
      </c>
      <c r="W6939"/>
      <c r="X6939" s="186"/>
      <c r="Y6939" s="187"/>
      <c r="Z6939" s="311" t="s">
        <v>214</v>
      </c>
      <c r="AB6939" t="str">
        <f>IF(Table1[[#This Row],[TIPO2]]="costo", VLOOKUP(Table1[[#This Row],[PARTIDA PRESUPUESTAL]],'Cost Report'!G:G,1,0),"Balance")</f>
        <v>3442-040</v>
      </c>
      <c r="AD6939" s="159">
        <f>+Table1[[#This Row],[SUBTOTAL]]+Table1[[#This Row],[IVA]]-Table1[[#This Row],[RET IVA]]-Table1[[#This Row],[RET ISR]]-Table1[[#This Row],[TOTAL]]</f>
        <v>0</v>
      </c>
      <c r="AK6939" s="306" t="str">
        <f>IF(ISNUMBER(Table1[[#This Row],[FECHA DE RECIBIDO]]), Table1[[#This Row],[FECHA DE RECIBIDO]]-DATE(2023,8,30), "")</f>
        <v/>
      </c>
    </row>
    <row r="6940" spans="1:37">
      <c r="A6940" s="172"/>
      <c r="B6940" s="178"/>
      <c r="C6940" s="179" t="s">
        <v>3416</v>
      </c>
      <c r="D6940">
        <v>4614</v>
      </c>
      <c r="E6940" s="125"/>
      <c r="F6940" s="178"/>
      <c r="G6940" s="178"/>
      <c r="H6940"/>
      <c r="I6940" s="178"/>
      <c r="J6940" s="320" t="s">
        <v>214</v>
      </c>
      <c r="K6940" s="178"/>
      <c r="L6940" s="125" t="s">
        <v>4863</v>
      </c>
      <c r="M6940">
        <v>667</v>
      </c>
      <c r="N6940" s="182"/>
      <c r="O6940">
        <v>1564</v>
      </c>
      <c r="P6940" s="176" t="s">
        <v>77</v>
      </c>
      <c r="Q6940" s="176">
        <v>30.9</v>
      </c>
      <c r="R6940" s="176"/>
      <c r="S6940" s="176"/>
      <c r="T6940" s="190"/>
      <c r="U6940" s="191"/>
      <c r="V6940" s="191">
        <f>+Table1[[#This Row],[SUBTOTAL]]+Table1[[#This Row],[IVA]]-Table1[[#This Row],[RET IVA]]-Table1[[#This Row],[RET ISR]]</f>
        <v>30.9</v>
      </c>
      <c r="W6940"/>
      <c r="X6940" s="186"/>
      <c r="Y6940" s="187"/>
      <c r="Z6940" s="311" t="s">
        <v>214</v>
      </c>
      <c r="AB6940" t="str">
        <f>IF(Table1[[#This Row],[TIPO2]]="costo", VLOOKUP(Table1[[#This Row],[PARTIDA PRESUPUESTAL]],'Cost Report'!G:G,1,0),"Balance")</f>
        <v>3442-040</v>
      </c>
      <c r="AD6940" s="159">
        <f>+Table1[[#This Row],[SUBTOTAL]]+Table1[[#This Row],[IVA]]-Table1[[#This Row],[RET IVA]]-Table1[[#This Row],[RET ISR]]-Table1[[#This Row],[TOTAL]]</f>
        <v>0</v>
      </c>
      <c r="AK6940" s="306" t="str">
        <f>IF(ISNUMBER(Table1[[#This Row],[FECHA DE RECIBIDO]]), Table1[[#This Row],[FECHA DE RECIBIDO]]-DATE(2023,8,30), "")</f>
        <v/>
      </c>
    </row>
    <row r="6941" spans="1:37">
      <c r="A6941" s="172"/>
      <c r="B6941" s="178"/>
      <c r="C6941" s="179" t="s">
        <v>2749</v>
      </c>
      <c r="D6941">
        <v>4614</v>
      </c>
      <c r="E6941" s="125"/>
      <c r="F6941" s="178"/>
      <c r="G6941" s="178"/>
      <c r="H6941"/>
      <c r="I6941" s="178"/>
      <c r="J6941" s="320" t="s">
        <v>214</v>
      </c>
      <c r="K6941" s="178"/>
      <c r="L6941" s="125" t="s">
        <v>4863</v>
      </c>
      <c r="M6941">
        <v>668</v>
      </c>
      <c r="N6941" s="182"/>
      <c r="O6941">
        <v>162</v>
      </c>
      <c r="P6941" s="176" t="s">
        <v>77</v>
      </c>
      <c r="Q6941" s="176">
        <v>9.2219999999999995</v>
      </c>
      <c r="R6941" s="176"/>
      <c r="S6941" s="176"/>
      <c r="T6941" s="190"/>
      <c r="U6941" s="191"/>
      <c r="V6941" s="191">
        <f>+Table1[[#This Row],[SUBTOTAL]]+Table1[[#This Row],[IVA]]-Table1[[#This Row],[RET IVA]]-Table1[[#This Row],[RET ISR]]</f>
        <v>9.2219999999999995</v>
      </c>
      <c r="W6941"/>
      <c r="X6941" s="186"/>
      <c r="Y6941" s="187"/>
      <c r="Z6941" s="311" t="s">
        <v>214</v>
      </c>
      <c r="AB6941" t="str">
        <f>IF(Table1[[#This Row],[TIPO2]]="costo", VLOOKUP(Table1[[#This Row],[PARTIDA PRESUPUESTAL]],'Cost Report'!G:G,1,0),"Balance")</f>
        <v>3401-011</v>
      </c>
      <c r="AD6941" s="159">
        <f>+Table1[[#This Row],[SUBTOTAL]]+Table1[[#This Row],[IVA]]-Table1[[#This Row],[RET IVA]]-Table1[[#This Row],[RET ISR]]-Table1[[#This Row],[TOTAL]]</f>
        <v>0</v>
      </c>
      <c r="AK6941" s="306" t="str">
        <f>IF(ISNUMBER(Table1[[#This Row],[FECHA DE RECIBIDO]]), Table1[[#This Row],[FECHA DE RECIBIDO]]-DATE(2023,8,30), "")</f>
        <v/>
      </c>
    </row>
    <row r="6942" spans="1:37">
      <c r="A6942" s="172"/>
      <c r="B6942" s="178"/>
      <c r="C6942" s="179" t="s">
        <v>2749</v>
      </c>
      <c r="D6942">
        <v>4614</v>
      </c>
      <c r="E6942" s="125"/>
      <c r="F6942" s="178"/>
      <c r="G6942" s="178"/>
      <c r="H6942"/>
      <c r="I6942" s="178"/>
      <c r="J6942" s="320" t="s">
        <v>214</v>
      </c>
      <c r="K6942" s="178"/>
      <c r="L6942" s="125" t="s">
        <v>4863</v>
      </c>
      <c r="M6942">
        <v>668</v>
      </c>
      <c r="N6942" s="182"/>
      <c r="O6942">
        <v>162</v>
      </c>
      <c r="P6942" s="176" t="s">
        <v>77</v>
      </c>
      <c r="Q6942" s="176">
        <v>9.2219999999999995</v>
      </c>
      <c r="R6942" s="176"/>
      <c r="S6942" s="176"/>
      <c r="T6942" s="190"/>
      <c r="U6942" s="191"/>
      <c r="V6942" s="191">
        <f>+Table1[[#This Row],[SUBTOTAL]]+Table1[[#This Row],[IVA]]-Table1[[#This Row],[RET IVA]]-Table1[[#This Row],[RET ISR]]</f>
        <v>9.2219999999999995</v>
      </c>
      <c r="W6942"/>
      <c r="X6942" s="186"/>
      <c r="Y6942" s="187"/>
      <c r="Z6942" s="311" t="s">
        <v>214</v>
      </c>
      <c r="AB6942" t="str">
        <f>IF(Table1[[#This Row],[TIPO2]]="costo", VLOOKUP(Table1[[#This Row],[PARTIDA PRESUPUESTAL]],'Cost Report'!G:G,1,0),"Balance")</f>
        <v>3401-011</v>
      </c>
      <c r="AD6942" s="159">
        <f>+Table1[[#This Row],[SUBTOTAL]]+Table1[[#This Row],[IVA]]-Table1[[#This Row],[RET IVA]]-Table1[[#This Row],[RET ISR]]-Table1[[#This Row],[TOTAL]]</f>
        <v>0</v>
      </c>
      <c r="AK6942" s="306" t="str">
        <f>IF(ISNUMBER(Table1[[#This Row],[FECHA DE RECIBIDO]]), Table1[[#This Row],[FECHA DE RECIBIDO]]-DATE(2023,8,30), "")</f>
        <v/>
      </c>
    </row>
    <row r="6943" spans="1:37">
      <c r="A6943" s="172"/>
      <c r="B6943" s="178"/>
      <c r="C6943" s="179" t="s">
        <v>2749</v>
      </c>
      <c r="D6943">
        <v>4614</v>
      </c>
      <c r="E6943" s="125"/>
      <c r="F6943" s="178"/>
      <c r="G6943" s="178"/>
      <c r="H6943"/>
      <c r="I6943" s="178"/>
      <c r="J6943" s="320" t="s">
        <v>214</v>
      </c>
      <c r="K6943" s="178"/>
      <c r="L6943" s="125" t="s">
        <v>4863</v>
      </c>
      <c r="M6943">
        <v>668</v>
      </c>
      <c r="N6943" s="182"/>
      <c r="O6943">
        <v>162</v>
      </c>
      <c r="P6943" s="176" t="s">
        <v>77</v>
      </c>
      <c r="Q6943" s="176">
        <v>9.2219999999999995</v>
      </c>
      <c r="R6943" s="176"/>
      <c r="S6943" s="176"/>
      <c r="T6943" s="190"/>
      <c r="U6943" s="191"/>
      <c r="V6943" s="191">
        <f>+Table1[[#This Row],[SUBTOTAL]]+Table1[[#This Row],[IVA]]-Table1[[#This Row],[RET IVA]]-Table1[[#This Row],[RET ISR]]</f>
        <v>9.2219999999999995</v>
      </c>
      <c r="W6943"/>
      <c r="X6943" s="186"/>
      <c r="Y6943" s="187"/>
      <c r="Z6943" s="311" t="s">
        <v>214</v>
      </c>
      <c r="AB6943" t="str">
        <f>IF(Table1[[#This Row],[TIPO2]]="costo", VLOOKUP(Table1[[#This Row],[PARTIDA PRESUPUESTAL]],'Cost Report'!G:G,1,0),"Balance")</f>
        <v>3401-011</v>
      </c>
      <c r="AD6943" s="159">
        <f>+Table1[[#This Row],[SUBTOTAL]]+Table1[[#This Row],[IVA]]-Table1[[#This Row],[RET IVA]]-Table1[[#This Row],[RET ISR]]-Table1[[#This Row],[TOTAL]]</f>
        <v>0</v>
      </c>
      <c r="AK6943" s="306" t="str">
        <f>IF(ISNUMBER(Table1[[#This Row],[FECHA DE RECIBIDO]]), Table1[[#This Row],[FECHA DE RECIBIDO]]-DATE(2023,8,30), "")</f>
        <v/>
      </c>
    </row>
    <row r="6944" spans="1:37">
      <c r="A6944" s="172"/>
      <c r="B6944" s="178"/>
      <c r="C6944" s="179" t="s">
        <v>2749</v>
      </c>
      <c r="D6944">
        <v>4614</v>
      </c>
      <c r="E6944" s="125"/>
      <c r="F6944" s="178"/>
      <c r="G6944" s="178"/>
      <c r="H6944"/>
      <c r="I6944" s="178"/>
      <c r="J6944" s="320" t="s">
        <v>214</v>
      </c>
      <c r="K6944" s="178"/>
      <c r="L6944" s="125" t="s">
        <v>4863</v>
      </c>
      <c r="M6944">
        <v>668</v>
      </c>
      <c r="N6944" s="182"/>
      <c r="O6944">
        <v>162</v>
      </c>
      <c r="P6944" s="176" t="s">
        <v>77</v>
      </c>
      <c r="Q6944" s="176">
        <v>9.2219999999999995</v>
      </c>
      <c r="R6944" s="176"/>
      <c r="S6944" s="176"/>
      <c r="T6944" s="190"/>
      <c r="U6944" s="191"/>
      <c r="V6944" s="191">
        <f>+Table1[[#This Row],[SUBTOTAL]]+Table1[[#This Row],[IVA]]-Table1[[#This Row],[RET IVA]]-Table1[[#This Row],[RET ISR]]</f>
        <v>9.2219999999999995</v>
      </c>
      <c r="W6944"/>
      <c r="X6944" s="186"/>
      <c r="Y6944" s="187"/>
      <c r="Z6944" s="311" t="s">
        <v>214</v>
      </c>
      <c r="AB6944" t="str">
        <f>IF(Table1[[#This Row],[TIPO2]]="costo", VLOOKUP(Table1[[#This Row],[PARTIDA PRESUPUESTAL]],'Cost Report'!G:G,1,0),"Balance")</f>
        <v>3401-011</v>
      </c>
      <c r="AD6944" s="159">
        <f>+Table1[[#This Row],[SUBTOTAL]]+Table1[[#This Row],[IVA]]-Table1[[#This Row],[RET IVA]]-Table1[[#This Row],[RET ISR]]-Table1[[#This Row],[TOTAL]]</f>
        <v>0</v>
      </c>
      <c r="AK6944" s="306" t="str">
        <f>IF(ISNUMBER(Table1[[#This Row],[FECHA DE RECIBIDO]]), Table1[[#This Row],[FECHA DE RECIBIDO]]-DATE(2023,8,30), "")</f>
        <v/>
      </c>
    </row>
    <row r="6945" spans="1:37">
      <c r="A6945" s="172"/>
      <c r="B6945" s="178"/>
      <c r="C6945" s="179" t="s">
        <v>2749</v>
      </c>
      <c r="D6945">
        <v>4614</v>
      </c>
      <c r="E6945" s="125"/>
      <c r="F6945" s="178"/>
      <c r="G6945" s="178"/>
      <c r="H6945"/>
      <c r="I6945" s="178"/>
      <c r="J6945" s="320" t="s">
        <v>214</v>
      </c>
      <c r="K6945" s="178"/>
      <c r="L6945" s="125" t="s">
        <v>4863</v>
      </c>
      <c r="M6945">
        <v>668</v>
      </c>
      <c r="N6945" s="182"/>
      <c r="O6945">
        <v>162</v>
      </c>
      <c r="P6945" s="176" t="s">
        <v>77</v>
      </c>
      <c r="Q6945" s="176">
        <v>9.2219999999999995</v>
      </c>
      <c r="R6945" s="176"/>
      <c r="S6945" s="176"/>
      <c r="T6945" s="190"/>
      <c r="U6945" s="191"/>
      <c r="V6945" s="191">
        <f>+Table1[[#This Row],[SUBTOTAL]]+Table1[[#This Row],[IVA]]-Table1[[#This Row],[RET IVA]]-Table1[[#This Row],[RET ISR]]</f>
        <v>9.2219999999999995</v>
      </c>
      <c r="W6945"/>
      <c r="X6945" s="186"/>
      <c r="Y6945" s="187"/>
      <c r="Z6945" s="311" t="s">
        <v>214</v>
      </c>
      <c r="AB6945" t="str">
        <f>IF(Table1[[#This Row],[TIPO2]]="costo", VLOOKUP(Table1[[#This Row],[PARTIDA PRESUPUESTAL]],'Cost Report'!G:G,1,0),"Balance")</f>
        <v>3401-011</v>
      </c>
      <c r="AD6945" s="159">
        <f>+Table1[[#This Row],[SUBTOTAL]]+Table1[[#This Row],[IVA]]-Table1[[#This Row],[RET IVA]]-Table1[[#This Row],[RET ISR]]-Table1[[#This Row],[TOTAL]]</f>
        <v>0</v>
      </c>
      <c r="AK6945" s="306" t="str">
        <f>IF(ISNUMBER(Table1[[#This Row],[FECHA DE RECIBIDO]]), Table1[[#This Row],[FECHA DE RECIBIDO]]-DATE(2023,8,30), "")</f>
        <v/>
      </c>
    </row>
    <row r="6946" spans="1:37">
      <c r="A6946" s="172"/>
      <c r="B6946" s="178"/>
      <c r="C6946" s="179" t="s">
        <v>2596</v>
      </c>
      <c r="D6946">
        <v>4614</v>
      </c>
      <c r="E6946" s="125"/>
      <c r="F6946" s="178"/>
      <c r="G6946" s="178"/>
      <c r="H6946"/>
      <c r="I6946" s="178"/>
      <c r="J6946" s="320" t="s">
        <v>214</v>
      </c>
      <c r="K6946" s="178"/>
      <c r="L6946" s="125" t="s">
        <v>4863</v>
      </c>
      <c r="M6946">
        <v>669</v>
      </c>
      <c r="N6946" s="182"/>
      <c r="O6946">
        <v>1565</v>
      </c>
      <c r="P6946" s="176" t="s">
        <v>77</v>
      </c>
      <c r="Q6946" s="176">
        <v>299.43</v>
      </c>
      <c r="R6946" s="176"/>
      <c r="S6946" s="176"/>
      <c r="T6946" s="190"/>
      <c r="U6946" s="191"/>
      <c r="V6946" s="191">
        <f>+Table1[[#This Row],[SUBTOTAL]]+Table1[[#This Row],[IVA]]-Table1[[#This Row],[RET IVA]]-Table1[[#This Row],[RET ISR]]</f>
        <v>299.43</v>
      </c>
      <c r="W6946"/>
      <c r="X6946" s="186"/>
      <c r="Y6946" s="187"/>
      <c r="Z6946" s="311" t="s">
        <v>214</v>
      </c>
      <c r="AB6946" t="str">
        <f>IF(Table1[[#This Row],[TIPO2]]="costo", VLOOKUP(Table1[[#This Row],[PARTIDA PRESUPUESTAL]],'Cost Report'!G:G,1,0),"Balance")</f>
        <v>2794-003</v>
      </c>
      <c r="AD6946" s="159">
        <f>+Table1[[#This Row],[SUBTOTAL]]+Table1[[#This Row],[IVA]]-Table1[[#This Row],[RET IVA]]-Table1[[#This Row],[RET ISR]]-Table1[[#This Row],[TOTAL]]</f>
        <v>0</v>
      </c>
      <c r="AK6946" s="306" t="str">
        <f>IF(ISNUMBER(Table1[[#This Row],[FECHA DE RECIBIDO]]), Table1[[#This Row],[FECHA DE RECIBIDO]]-DATE(2023,8,30), "")</f>
        <v/>
      </c>
    </row>
    <row r="6947" spans="1:37">
      <c r="A6947" s="172"/>
      <c r="B6947" s="178"/>
      <c r="C6947" s="179" t="s">
        <v>2596</v>
      </c>
      <c r="D6947">
        <v>4614</v>
      </c>
      <c r="E6947" s="125"/>
      <c r="F6947" s="178"/>
      <c r="G6947" s="178"/>
      <c r="H6947"/>
      <c r="I6947" s="178"/>
      <c r="J6947" s="320" t="s">
        <v>214</v>
      </c>
      <c r="K6947" s="178"/>
      <c r="L6947" s="125" t="s">
        <v>4863</v>
      </c>
      <c r="M6947">
        <v>670</v>
      </c>
      <c r="N6947" s="182"/>
      <c r="O6947">
        <v>1566</v>
      </c>
      <c r="P6947" s="176" t="s">
        <v>77</v>
      </c>
      <c r="Q6947" s="176">
        <v>1154.3999999999999</v>
      </c>
      <c r="R6947" s="176"/>
      <c r="S6947" s="176"/>
      <c r="T6947" s="190"/>
      <c r="U6947" s="191"/>
      <c r="V6947" s="191">
        <f>+Table1[[#This Row],[SUBTOTAL]]+Table1[[#This Row],[IVA]]-Table1[[#This Row],[RET IVA]]-Table1[[#This Row],[RET ISR]]</f>
        <v>1154.3999999999999</v>
      </c>
      <c r="W6947"/>
      <c r="X6947" s="186"/>
      <c r="Y6947" s="187"/>
      <c r="Z6947" s="311" t="s">
        <v>214</v>
      </c>
      <c r="AB6947" t="str">
        <f>IF(Table1[[#This Row],[TIPO2]]="costo", VLOOKUP(Table1[[#This Row],[PARTIDA PRESUPUESTAL]],'Cost Report'!G:G,1,0),"Balance")</f>
        <v>2794-003</v>
      </c>
      <c r="AD6947" s="159">
        <f>+Table1[[#This Row],[SUBTOTAL]]+Table1[[#This Row],[IVA]]-Table1[[#This Row],[RET IVA]]-Table1[[#This Row],[RET ISR]]-Table1[[#This Row],[TOTAL]]</f>
        <v>0</v>
      </c>
      <c r="AK6947" s="306" t="str">
        <f>IF(ISNUMBER(Table1[[#This Row],[FECHA DE RECIBIDO]]), Table1[[#This Row],[FECHA DE RECIBIDO]]-DATE(2023,8,30), "")</f>
        <v/>
      </c>
    </row>
    <row r="6948" spans="1:37">
      <c r="A6948" s="172"/>
      <c r="B6948" s="178"/>
      <c r="C6948" s="179" t="s">
        <v>2596</v>
      </c>
      <c r="D6948">
        <v>4614</v>
      </c>
      <c r="E6948" s="125"/>
      <c r="F6948" s="178"/>
      <c r="G6948" s="178"/>
      <c r="H6948"/>
      <c r="I6948" s="178"/>
      <c r="J6948" s="320" t="s">
        <v>214</v>
      </c>
      <c r="K6948" s="178"/>
      <c r="L6948" s="125" t="s">
        <v>4863</v>
      </c>
      <c r="M6948">
        <v>671</v>
      </c>
      <c r="N6948" s="182"/>
      <c r="O6948">
        <v>1567</v>
      </c>
      <c r="P6948" s="176" t="s">
        <v>77</v>
      </c>
      <c r="Q6948" s="176">
        <v>539.69999999999993</v>
      </c>
      <c r="R6948" s="176"/>
      <c r="S6948" s="176"/>
      <c r="T6948" s="190"/>
      <c r="U6948" s="191"/>
      <c r="V6948" s="191">
        <f>+Table1[[#This Row],[SUBTOTAL]]+Table1[[#This Row],[IVA]]-Table1[[#This Row],[RET IVA]]-Table1[[#This Row],[RET ISR]]</f>
        <v>539.69999999999993</v>
      </c>
      <c r="W6948"/>
      <c r="X6948" s="186"/>
      <c r="Y6948" s="187"/>
      <c r="Z6948" s="311" t="s">
        <v>214</v>
      </c>
      <c r="AB6948" t="str">
        <f>IF(Table1[[#This Row],[TIPO2]]="costo", VLOOKUP(Table1[[#This Row],[PARTIDA PRESUPUESTAL]],'Cost Report'!G:G,1,0),"Balance")</f>
        <v>2794-003</v>
      </c>
      <c r="AD6948" s="159">
        <f>+Table1[[#This Row],[SUBTOTAL]]+Table1[[#This Row],[IVA]]-Table1[[#This Row],[RET IVA]]-Table1[[#This Row],[RET ISR]]-Table1[[#This Row],[TOTAL]]</f>
        <v>0</v>
      </c>
      <c r="AK6948" s="306" t="str">
        <f>IF(ISNUMBER(Table1[[#This Row],[FECHA DE RECIBIDO]]), Table1[[#This Row],[FECHA DE RECIBIDO]]-DATE(2023,8,30), "")</f>
        <v/>
      </c>
    </row>
    <row r="6949" spans="1:37">
      <c r="A6949" s="172"/>
      <c r="B6949" s="178"/>
      <c r="C6949" s="179" t="s">
        <v>2596</v>
      </c>
      <c r="D6949">
        <v>4614</v>
      </c>
      <c r="E6949" s="125"/>
      <c r="F6949" s="178"/>
      <c r="G6949" s="178"/>
      <c r="H6949"/>
      <c r="I6949" s="178"/>
      <c r="J6949" s="320" t="s">
        <v>214</v>
      </c>
      <c r="K6949" s="178"/>
      <c r="L6949" s="125" t="s">
        <v>4863</v>
      </c>
      <c r="M6949">
        <v>670</v>
      </c>
      <c r="N6949" s="182"/>
      <c r="O6949">
        <v>1568</v>
      </c>
      <c r="P6949" s="176" t="s">
        <v>77</v>
      </c>
      <c r="Q6949" s="176">
        <v>751.74</v>
      </c>
      <c r="R6949" s="176"/>
      <c r="S6949" s="176"/>
      <c r="T6949" s="190"/>
      <c r="U6949" s="191"/>
      <c r="V6949" s="191">
        <f>+Table1[[#This Row],[SUBTOTAL]]+Table1[[#This Row],[IVA]]-Table1[[#This Row],[RET IVA]]-Table1[[#This Row],[RET ISR]]</f>
        <v>751.74</v>
      </c>
      <c r="W6949"/>
      <c r="X6949" s="186"/>
      <c r="Y6949" s="187"/>
      <c r="Z6949" s="311" t="s">
        <v>214</v>
      </c>
      <c r="AB6949" t="str">
        <f>IF(Table1[[#This Row],[TIPO2]]="costo", VLOOKUP(Table1[[#This Row],[PARTIDA PRESUPUESTAL]],'Cost Report'!G:G,1,0),"Balance")</f>
        <v>2794-003</v>
      </c>
      <c r="AD6949" s="159">
        <f>+Table1[[#This Row],[SUBTOTAL]]+Table1[[#This Row],[IVA]]-Table1[[#This Row],[RET IVA]]-Table1[[#This Row],[RET ISR]]-Table1[[#This Row],[TOTAL]]</f>
        <v>0</v>
      </c>
      <c r="AK6949" s="306" t="str">
        <f>IF(ISNUMBER(Table1[[#This Row],[FECHA DE RECIBIDO]]), Table1[[#This Row],[FECHA DE RECIBIDO]]-DATE(2023,8,30), "")</f>
        <v/>
      </c>
    </row>
    <row r="6950" spans="1:37">
      <c r="A6950" s="172"/>
      <c r="B6950" s="178"/>
      <c r="C6950" s="179" t="s">
        <v>2596</v>
      </c>
      <c r="D6950">
        <v>4614</v>
      </c>
      <c r="E6950" s="125"/>
      <c r="F6950" s="178"/>
      <c r="G6950" s="178"/>
      <c r="H6950"/>
      <c r="I6950" s="178"/>
      <c r="J6950" s="320" t="s">
        <v>214</v>
      </c>
      <c r="K6950" s="178"/>
      <c r="L6950" s="125" t="s">
        <v>4863</v>
      </c>
      <c r="M6950">
        <v>670</v>
      </c>
      <c r="N6950" s="182"/>
      <c r="O6950">
        <v>1569</v>
      </c>
      <c r="P6950" s="176" t="s">
        <v>77</v>
      </c>
      <c r="Q6950" s="176">
        <v>448.5</v>
      </c>
      <c r="R6950" s="176"/>
      <c r="S6950" s="176"/>
      <c r="T6950" s="190"/>
      <c r="U6950" s="191"/>
      <c r="V6950" s="191">
        <f>+Table1[[#This Row],[SUBTOTAL]]+Table1[[#This Row],[IVA]]-Table1[[#This Row],[RET IVA]]-Table1[[#This Row],[RET ISR]]</f>
        <v>448.5</v>
      </c>
      <c r="W6950"/>
      <c r="X6950" s="186"/>
      <c r="Y6950" s="187"/>
      <c r="Z6950" s="311" t="s">
        <v>214</v>
      </c>
      <c r="AB6950" t="str">
        <f>IF(Table1[[#This Row],[TIPO2]]="costo", VLOOKUP(Table1[[#This Row],[PARTIDA PRESUPUESTAL]],'Cost Report'!G:G,1,0),"Balance")</f>
        <v>2794-003</v>
      </c>
      <c r="AD6950" s="159">
        <f>+Table1[[#This Row],[SUBTOTAL]]+Table1[[#This Row],[IVA]]-Table1[[#This Row],[RET IVA]]-Table1[[#This Row],[RET ISR]]-Table1[[#This Row],[TOTAL]]</f>
        <v>0</v>
      </c>
      <c r="AK6950" s="306" t="str">
        <f>IF(ISNUMBER(Table1[[#This Row],[FECHA DE RECIBIDO]]), Table1[[#This Row],[FECHA DE RECIBIDO]]-DATE(2023,8,30), "")</f>
        <v/>
      </c>
    </row>
    <row r="6951" spans="1:37">
      <c r="A6951" s="172"/>
      <c r="B6951" s="178"/>
      <c r="C6951" s="179" t="s">
        <v>2596</v>
      </c>
      <c r="D6951">
        <v>4614</v>
      </c>
      <c r="E6951" s="125"/>
      <c r="F6951" s="178"/>
      <c r="G6951" s="178"/>
      <c r="H6951"/>
      <c r="I6951" s="178"/>
      <c r="J6951" s="320" t="s">
        <v>214</v>
      </c>
      <c r="K6951" s="178"/>
      <c r="L6951" s="125" t="s">
        <v>4863</v>
      </c>
      <c r="M6951">
        <v>672</v>
      </c>
      <c r="N6951" s="182"/>
      <c r="O6951">
        <v>1570</v>
      </c>
      <c r="P6951" s="176" t="s">
        <v>77</v>
      </c>
      <c r="Q6951" s="176">
        <v>2563.7999999999997</v>
      </c>
      <c r="R6951" s="176"/>
      <c r="S6951" s="176"/>
      <c r="T6951" s="190"/>
      <c r="U6951" s="191"/>
      <c r="V6951" s="191">
        <f>+Table1[[#This Row],[SUBTOTAL]]+Table1[[#This Row],[IVA]]-Table1[[#This Row],[RET IVA]]-Table1[[#This Row],[RET ISR]]</f>
        <v>2563.7999999999997</v>
      </c>
      <c r="W6951"/>
      <c r="X6951" s="186"/>
      <c r="Y6951" s="187"/>
      <c r="Z6951" s="311" t="s">
        <v>214</v>
      </c>
      <c r="AB6951" t="str">
        <f>IF(Table1[[#This Row],[TIPO2]]="costo", VLOOKUP(Table1[[#This Row],[PARTIDA PRESUPUESTAL]],'Cost Report'!G:G,1,0),"Balance")</f>
        <v>2794-003</v>
      </c>
      <c r="AD6951" s="159">
        <f>+Table1[[#This Row],[SUBTOTAL]]+Table1[[#This Row],[IVA]]-Table1[[#This Row],[RET IVA]]-Table1[[#This Row],[RET ISR]]-Table1[[#This Row],[TOTAL]]</f>
        <v>0</v>
      </c>
      <c r="AK6951" s="306" t="str">
        <f>IF(ISNUMBER(Table1[[#This Row],[FECHA DE RECIBIDO]]), Table1[[#This Row],[FECHA DE RECIBIDO]]-DATE(2023,8,30), "")</f>
        <v/>
      </c>
    </row>
    <row r="6952" spans="1:37">
      <c r="A6952" s="172"/>
      <c r="B6952" s="178"/>
      <c r="C6952" s="179" t="s">
        <v>2565</v>
      </c>
      <c r="D6952">
        <v>4614</v>
      </c>
      <c r="E6952" s="125"/>
      <c r="F6952" s="178"/>
      <c r="G6952" s="178"/>
      <c r="H6952"/>
      <c r="I6952" s="178"/>
      <c r="J6952" s="320" t="s">
        <v>214</v>
      </c>
      <c r="K6952" s="178"/>
      <c r="L6952" s="125" t="s">
        <v>4863</v>
      </c>
      <c r="M6952">
        <v>674</v>
      </c>
      <c r="N6952" s="182"/>
      <c r="O6952">
        <v>905</v>
      </c>
      <c r="P6952" s="176" t="s">
        <v>77</v>
      </c>
      <c r="Q6952" s="176">
        <v>10.5</v>
      </c>
      <c r="R6952" s="176"/>
      <c r="S6952" s="176"/>
      <c r="T6952" s="190"/>
      <c r="U6952" s="191"/>
      <c r="V6952" s="191">
        <f>+Table1[[#This Row],[SUBTOTAL]]+Table1[[#This Row],[IVA]]-Table1[[#This Row],[RET IVA]]-Table1[[#This Row],[RET ISR]]</f>
        <v>10.5</v>
      </c>
      <c r="W6952"/>
      <c r="X6952" s="186"/>
      <c r="Y6952" s="187"/>
      <c r="Z6952" s="311" t="s">
        <v>214</v>
      </c>
      <c r="AB6952" t="str">
        <f>IF(Table1[[#This Row],[TIPO2]]="costo", VLOOKUP(Table1[[#This Row],[PARTIDA PRESUPUESTAL]],'Cost Report'!G:G,1,0),"Balance")</f>
        <v>2585-003</v>
      </c>
      <c r="AD6952" s="159">
        <f>+Table1[[#This Row],[SUBTOTAL]]+Table1[[#This Row],[IVA]]-Table1[[#This Row],[RET IVA]]-Table1[[#This Row],[RET ISR]]-Table1[[#This Row],[TOTAL]]</f>
        <v>0</v>
      </c>
      <c r="AK6952" s="306" t="str">
        <f>IF(ISNUMBER(Table1[[#This Row],[FECHA DE RECIBIDO]]), Table1[[#This Row],[FECHA DE RECIBIDO]]-DATE(2023,8,30), "")</f>
        <v/>
      </c>
    </row>
    <row r="6953" spans="1:37">
      <c r="A6953" s="172"/>
      <c r="B6953" s="178"/>
      <c r="C6953" s="179" t="s">
        <v>2565</v>
      </c>
      <c r="D6953">
        <v>4614</v>
      </c>
      <c r="E6953" s="125"/>
      <c r="F6953" s="178"/>
      <c r="G6953" s="178"/>
      <c r="H6953"/>
      <c r="I6953" s="178"/>
      <c r="J6953" s="320" t="s">
        <v>214</v>
      </c>
      <c r="K6953" s="178"/>
      <c r="L6953" s="125" t="s">
        <v>4863</v>
      </c>
      <c r="M6953">
        <v>675</v>
      </c>
      <c r="N6953" s="182"/>
      <c r="O6953">
        <v>905</v>
      </c>
      <c r="P6953" s="176" t="s">
        <v>77</v>
      </c>
      <c r="Q6953" s="176">
        <v>3</v>
      </c>
      <c r="R6953" s="176"/>
      <c r="S6953" s="176"/>
      <c r="T6953" s="190"/>
      <c r="U6953" s="191"/>
      <c r="V6953" s="191">
        <f>+Table1[[#This Row],[SUBTOTAL]]+Table1[[#This Row],[IVA]]-Table1[[#This Row],[RET IVA]]-Table1[[#This Row],[RET ISR]]</f>
        <v>3</v>
      </c>
      <c r="W6953"/>
      <c r="X6953" s="186"/>
      <c r="Y6953" s="187"/>
      <c r="Z6953" s="311" t="s">
        <v>214</v>
      </c>
      <c r="AB6953" t="str">
        <f>IF(Table1[[#This Row],[TIPO2]]="costo", VLOOKUP(Table1[[#This Row],[PARTIDA PRESUPUESTAL]],'Cost Report'!G:G,1,0),"Balance")</f>
        <v>2585-003</v>
      </c>
      <c r="AD6953" s="159">
        <f>+Table1[[#This Row],[SUBTOTAL]]+Table1[[#This Row],[IVA]]-Table1[[#This Row],[RET IVA]]-Table1[[#This Row],[RET ISR]]-Table1[[#This Row],[TOTAL]]</f>
        <v>0</v>
      </c>
      <c r="AK6953" s="306" t="str">
        <f>IF(ISNUMBER(Table1[[#This Row],[FECHA DE RECIBIDO]]), Table1[[#This Row],[FECHA DE RECIBIDO]]-DATE(2023,8,30), "")</f>
        <v/>
      </c>
    </row>
    <row r="6954" spans="1:37">
      <c r="A6954" s="172"/>
      <c r="B6954" s="178"/>
      <c r="C6954" s="179" t="s">
        <v>2565</v>
      </c>
      <c r="D6954">
        <v>4614</v>
      </c>
      <c r="E6954" s="125"/>
      <c r="F6954" s="178"/>
      <c r="G6954" s="178"/>
      <c r="H6954"/>
      <c r="I6954" s="178"/>
      <c r="J6954" s="320" t="s">
        <v>214</v>
      </c>
      <c r="K6954" s="178"/>
      <c r="L6954" s="125" t="s">
        <v>4863</v>
      </c>
      <c r="M6954">
        <v>674</v>
      </c>
      <c r="N6954" s="182"/>
      <c r="O6954">
        <v>905</v>
      </c>
      <c r="P6954" s="176" t="s">
        <v>77</v>
      </c>
      <c r="Q6954" s="176">
        <v>6</v>
      </c>
      <c r="R6954" s="176"/>
      <c r="S6954" s="176"/>
      <c r="T6954" s="190"/>
      <c r="U6954" s="191"/>
      <c r="V6954" s="191">
        <f>+Table1[[#This Row],[SUBTOTAL]]+Table1[[#This Row],[IVA]]-Table1[[#This Row],[RET IVA]]-Table1[[#This Row],[RET ISR]]</f>
        <v>6</v>
      </c>
      <c r="W6954"/>
      <c r="X6954" s="186"/>
      <c r="Y6954" s="187"/>
      <c r="Z6954" s="311" t="s">
        <v>214</v>
      </c>
      <c r="AB6954" t="str">
        <f>IF(Table1[[#This Row],[TIPO2]]="costo", VLOOKUP(Table1[[#This Row],[PARTIDA PRESUPUESTAL]],'Cost Report'!G:G,1,0),"Balance")</f>
        <v>2585-003</v>
      </c>
      <c r="AD6954" s="159">
        <f>+Table1[[#This Row],[SUBTOTAL]]+Table1[[#This Row],[IVA]]-Table1[[#This Row],[RET IVA]]-Table1[[#This Row],[RET ISR]]-Table1[[#This Row],[TOTAL]]</f>
        <v>0</v>
      </c>
      <c r="AK6954" s="306" t="str">
        <f>IF(ISNUMBER(Table1[[#This Row],[FECHA DE RECIBIDO]]), Table1[[#This Row],[FECHA DE RECIBIDO]]-DATE(2023,8,30), "")</f>
        <v/>
      </c>
    </row>
    <row r="6955" spans="1:37">
      <c r="A6955" s="172"/>
      <c r="B6955" s="178"/>
      <c r="C6955" s="179" t="s">
        <v>2596</v>
      </c>
      <c r="D6955">
        <v>4614</v>
      </c>
      <c r="E6955" s="125"/>
      <c r="F6955" s="178"/>
      <c r="G6955" s="178"/>
      <c r="H6955"/>
      <c r="I6955" s="178"/>
      <c r="J6955" s="320" t="s">
        <v>214</v>
      </c>
      <c r="K6955" s="178"/>
      <c r="L6955" s="125" t="s">
        <v>4863</v>
      </c>
      <c r="M6955">
        <v>676</v>
      </c>
      <c r="N6955" s="182"/>
      <c r="O6955">
        <v>1572</v>
      </c>
      <c r="P6955" s="176" t="s">
        <v>77</v>
      </c>
      <c r="Q6955" s="176">
        <v>24</v>
      </c>
      <c r="R6955" s="176"/>
      <c r="S6955" s="176"/>
      <c r="T6955" s="190"/>
      <c r="U6955" s="191"/>
      <c r="V6955" s="191">
        <f>+Table1[[#This Row],[SUBTOTAL]]+Table1[[#This Row],[IVA]]-Table1[[#This Row],[RET IVA]]-Table1[[#This Row],[RET ISR]]</f>
        <v>24</v>
      </c>
      <c r="W6955"/>
      <c r="X6955" s="186"/>
      <c r="Y6955" s="187"/>
      <c r="Z6955" s="311" t="s">
        <v>214</v>
      </c>
      <c r="AB6955" t="str">
        <f>IF(Table1[[#This Row],[TIPO2]]="costo", VLOOKUP(Table1[[#This Row],[PARTIDA PRESUPUESTAL]],'Cost Report'!G:G,1,0),"Balance")</f>
        <v>2794-003</v>
      </c>
      <c r="AD6955" s="159">
        <f>+Table1[[#This Row],[SUBTOTAL]]+Table1[[#This Row],[IVA]]-Table1[[#This Row],[RET IVA]]-Table1[[#This Row],[RET ISR]]-Table1[[#This Row],[TOTAL]]</f>
        <v>0</v>
      </c>
      <c r="AK6955" s="306" t="str">
        <f>IF(ISNUMBER(Table1[[#This Row],[FECHA DE RECIBIDO]]), Table1[[#This Row],[FECHA DE RECIBIDO]]-DATE(2023,8,30), "")</f>
        <v/>
      </c>
    </row>
    <row r="6956" spans="1:37">
      <c r="A6956" s="172"/>
      <c r="B6956" s="178"/>
      <c r="C6956" s="179" t="s">
        <v>2596</v>
      </c>
      <c r="D6956">
        <v>4614</v>
      </c>
      <c r="E6956" s="125"/>
      <c r="F6956" s="178"/>
      <c r="G6956" s="178"/>
      <c r="H6956"/>
      <c r="I6956" s="178"/>
      <c r="J6956" s="320" t="s">
        <v>214</v>
      </c>
      <c r="K6956" s="178"/>
      <c r="L6956" s="125" t="s">
        <v>4863</v>
      </c>
      <c r="M6956">
        <v>677</v>
      </c>
      <c r="N6956" s="182"/>
      <c r="O6956">
        <v>1573</v>
      </c>
      <c r="P6956" s="176" t="s">
        <v>77</v>
      </c>
      <c r="Q6956" s="176">
        <v>10.266</v>
      </c>
      <c r="R6956" s="176"/>
      <c r="S6956" s="176"/>
      <c r="T6956" s="190"/>
      <c r="U6956" s="191"/>
      <c r="V6956" s="191">
        <f>+Table1[[#This Row],[SUBTOTAL]]+Table1[[#This Row],[IVA]]-Table1[[#This Row],[RET IVA]]-Table1[[#This Row],[RET ISR]]</f>
        <v>10.266</v>
      </c>
      <c r="W6956"/>
      <c r="X6956" s="186"/>
      <c r="Y6956" s="187"/>
      <c r="Z6956" s="311" t="s">
        <v>214</v>
      </c>
      <c r="AB6956" t="str">
        <f>IF(Table1[[#This Row],[TIPO2]]="costo", VLOOKUP(Table1[[#This Row],[PARTIDA PRESUPUESTAL]],'Cost Report'!G:G,1,0),"Balance")</f>
        <v>2794-003</v>
      </c>
      <c r="AD6956" s="159">
        <f>+Table1[[#This Row],[SUBTOTAL]]+Table1[[#This Row],[IVA]]-Table1[[#This Row],[RET IVA]]-Table1[[#This Row],[RET ISR]]-Table1[[#This Row],[TOTAL]]</f>
        <v>0</v>
      </c>
      <c r="AK6956" s="306" t="str">
        <f>IF(ISNUMBER(Table1[[#This Row],[FECHA DE RECIBIDO]]), Table1[[#This Row],[FECHA DE RECIBIDO]]-DATE(2023,8,30), "")</f>
        <v/>
      </c>
    </row>
    <row r="6957" spans="1:37">
      <c r="A6957" s="172"/>
      <c r="B6957" s="178"/>
      <c r="C6957" s="179" t="s">
        <v>2596</v>
      </c>
      <c r="D6957">
        <v>4614</v>
      </c>
      <c r="E6957" s="125"/>
      <c r="F6957" s="178"/>
      <c r="G6957" s="178"/>
      <c r="H6957"/>
      <c r="I6957" s="178"/>
      <c r="J6957" s="320" t="s">
        <v>214</v>
      </c>
      <c r="K6957" s="178"/>
      <c r="L6957" s="125" t="s">
        <v>4863</v>
      </c>
      <c r="M6957">
        <v>678</v>
      </c>
      <c r="N6957" s="182"/>
      <c r="O6957">
        <v>1574</v>
      </c>
      <c r="P6957" s="176" t="s">
        <v>77</v>
      </c>
      <c r="Q6957" s="176">
        <v>27</v>
      </c>
      <c r="R6957" s="176"/>
      <c r="S6957" s="176"/>
      <c r="T6957" s="190"/>
      <c r="U6957" s="191"/>
      <c r="V6957" s="191">
        <f>+Table1[[#This Row],[SUBTOTAL]]+Table1[[#This Row],[IVA]]-Table1[[#This Row],[RET IVA]]-Table1[[#This Row],[RET ISR]]</f>
        <v>27</v>
      </c>
      <c r="W6957"/>
      <c r="X6957" s="186"/>
      <c r="Y6957" s="187"/>
      <c r="Z6957" s="311" t="s">
        <v>214</v>
      </c>
      <c r="AB6957" t="str">
        <f>IF(Table1[[#This Row],[TIPO2]]="costo", VLOOKUP(Table1[[#This Row],[PARTIDA PRESUPUESTAL]],'Cost Report'!G:G,1,0),"Balance")</f>
        <v>2794-003</v>
      </c>
      <c r="AD6957" s="159">
        <f>+Table1[[#This Row],[SUBTOTAL]]+Table1[[#This Row],[IVA]]-Table1[[#This Row],[RET IVA]]-Table1[[#This Row],[RET ISR]]-Table1[[#This Row],[TOTAL]]</f>
        <v>0</v>
      </c>
      <c r="AK6957" s="306" t="str">
        <f>IF(ISNUMBER(Table1[[#This Row],[FECHA DE RECIBIDO]]), Table1[[#This Row],[FECHA DE RECIBIDO]]-DATE(2023,8,30), "")</f>
        <v/>
      </c>
    </row>
    <row r="6958" spans="1:37">
      <c r="A6958" s="172"/>
      <c r="B6958" s="178"/>
      <c r="C6958" s="179" t="s">
        <v>2565</v>
      </c>
      <c r="D6958">
        <v>4614</v>
      </c>
      <c r="E6958" s="125"/>
      <c r="F6958" s="178"/>
      <c r="G6958" s="178"/>
      <c r="H6958"/>
      <c r="I6958" s="178"/>
      <c r="J6958" s="320" t="s">
        <v>214</v>
      </c>
      <c r="K6958" s="178"/>
      <c r="L6958" s="125" t="s">
        <v>4863</v>
      </c>
      <c r="M6958">
        <v>674</v>
      </c>
      <c r="N6958" s="182"/>
      <c r="O6958">
        <v>905</v>
      </c>
      <c r="P6958" s="176" t="s">
        <v>77</v>
      </c>
      <c r="Q6958" s="176">
        <v>6</v>
      </c>
      <c r="R6958" s="176"/>
      <c r="S6958" s="176"/>
      <c r="T6958" s="190"/>
      <c r="U6958" s="191"/>
      <c r="V6958" s="191">
        <f>+Table1[[#This Row],[SUBTOTAL]]+Table1[[#This Row],[IVA]]-Table1[[#This Row],[RET IVA]]-Table1[[#This Row],[RET ISR]]</f>
        <v>6</v>
      </c>
      <c r="W6958"/>
      <c r="X6958" s="186"/>
      <c r="Y6958" s="187"/>
      <c r="Z6958" s="311" t="s">
        <v>214</v>
      </c>
      <c r="AB6958" t="str">
        <f>IF(Table1[[#This Row],[TIPO2]]="costo", VLOOKUP(Table1[[#This Row],[PARTIDA PRESUPUESTAL]],'Cost Report'!G:G,1,0),"Balance")</f>
        <v>2585-003</v>
      </c>
      <c r="AD6958" s="159">
        <f>+Table1[[#This Row],[SUBTOTAL]]+Table1[[#This Row],[IVA]]-Table1[[#This Row],[RET IVA]]-Table1[[#This Row],[RET ISR]]-Table1[[#This Row],[TOTAL]]</f>
        <v>0</v>
      </c>
      <c r="AK6958" s="306" t="str">
        <f>IF(ISNUMBER(Table1[[#This Row],[FECHA DE RECIBIDO]]), Table1[[#This Row],[FECHA DE RECIBIDO]]-DATE(2023,8,30), "")</f>
        <v/>
      </c>
    </row>
    <row r="6959" spans="1:37">
      <c r="A6959" s="172"/>
      <c r="B6959" s="178"/>
      <c r="C6959" s="179" t="s">
        <v>2566</v>
      </c>
      <c r="D6959">
        <v>4614</v>
      </c>
      <c r="E6959" s="125"/>
      <c r="F6959" s="178"/>
      <c r="G6959" s="178"/>
      <c r="H6959"/>
      <c r="I6959" s="178"/>
      <c r="J6959" s="320" t="s">
        <v>214</v>
      </c>
      <c r="K6959" s="178"/>
      <c r="L6959" s="125" t="s">
        <v>4863</v>
      </c>
      <c r="M6959">
        <v>687</v>
      </c>
      <c r="N6959" s="182"/>
      <c r="O6959">
        <v>1599</v>
      </c>
      <c r="P6959" s="176" t="s">
        <v>77</v>
      </c>
      <c r="Q6959" s="176">
        <v>48</v>
      </c>
      <c r="R6959" s="176"/>
      <c r="S6959" s="176"/>
      <c r="T6959" s="190"/>
      <c r="U6959" s="191"/>
      <c r="V6959" s="191">
        <f>+Table1[[#This Row],[SUBTOTAL]]+Table1[[#This Row],[IVA]]-Table1[[#This Row],[RET IVA]]-Table1[[#This Row],[RET ISR]]</f>
        <v>48</v>
      </c>
      <c r="W6959"/>
      <c r="X6959" s="186"/>
      <c r="Y6959" s="187"/>
      <c r="Z6959" s="311" t="s">
        <v>214</v>
      </c>
      <c r="AB6959" t="str">
        <f>IF(Table1[[#This Row],[TIPO2]]="costo", VLOOKUP(Table1[[#This Row],[PARTIDA PRESUPUESTAL]],'Cost Report'!G:G,1,0),"Balance")</f>
        <v>2594-003</v>
      </c>
      <c r="AD6959" s="159">
        <f>+Table1[[#This Row],[SUBTOTAL]]+Table1[[#This Row],[IVA]]-Table1[[#This Row],[RET IVA]]-Table1[[#This Row],[RET ISR]]-Table1[[#This Row],[TOTAL]]</f>
        <v>0</v>
      </c>
      <c r="AK6959" s="306" t="str">
        <f>IF(ISNUMBER(Table1[[#This Row],[FECHA DE RECIBIDO]]), Table1[[#This Row],[FECHA DE RECIBIDO]]-DATE(2023,8,30), "")</f>
        <v/>
      </c>
    </row>
    <row r="6960" spans="1:37">
      <c r="A6960" s="172"/>
      <c r="B6960" s="178"/>
      <c r="C6960" s="179" t="s">
        <v>2566</v>
      </c>
      <c r="D6960">
        <v>4614</v>
      </c>
      <c r="E6960" s="125"/>
      <c r="F6960" s="178"/>
      <c r="G6960" s="178"/>
      <c r="H6960"/>
      <c r="I6960" s="178"/>
      <c r="J6960" s="320" t="s">
        <v>214</v>
      </c>
      <c r="K6960" s="178"/>
      <c r="L6960" s="125" t="s">
        <v>4863</v>
      </c>
      <c r="M6960">
        <v>688</v>
      </c>
      <c r="N6960" s="182"/>
      <c r="O6960">
        <v>1600</v>
      </c>
      <c r="P6960" s="176" t="s">
        <v>77</v>
      </c>
      <c r="Q6960" s="176">
        <v>47.1</v>
      </c>
      <c r="R6960" s="176"/>
      <c r="S6960" s="176"/>
      <c r="T6960" s="190"/>
      <c r="U6960" s="191"/>
      <c r="V6960" s="191">
        <f>+Table1[[#This Row],[SUBTOTAL]]+Table1[[#This Row],[IVA]]-Table1[[#This Row],[RET IVA]]-Table1[[#This Row],[RET ISR]]</f>
        <v>47.1</v>
      </c>
      <c r="W6960"/>
      <c r="X6960" s="186"/>
      <c r="Y6960" s="187"/>
      <c r="Z6960" s="311" t="s">
        <v>214</v>
      </c>
      <c r="AB6960" t="str">
        <f>IF(Table1[[#This Row],[TIPO2]]="costo", VLOOKUP(Table1[[#This Row],[PARTIDA PRESUPUESTAL]],'Cost Report'!G:G,1,0),"Balance")</f>
        <v>2594-003</v>
      </c>
      <c r="AD6960" s="159">
        <f>+Table1[[#This Row],[SUBTOTAL]]+Table1[[#This Row],[IVA]]-Table1[[#This Row],[RET IVA]]-Table1[[#This Row],[RET ISR]]-Table1[[#This Row],[TOTAL]]</f>
        <v>0</v>
      </c>
      <c r="AK6960" s="306" t="str">
        <f>IF(ISNUMBER(Table1[[#This Row],[FECHA DE RECIBIDO]]), Table1[[#This Row],[FECHA DE RECIBIDO]]-DATE(2023,8,30), "")</f>
        <v/>
      </c>
    </row>
    <row r="6961" spans="1:37">
      <c r="A6961" s="172"/>
      <c r="B6961" s="178"/>
      <c r="C6961" s="179" t="s">
        <v>2566</v>
      </c>
      <c r="D6961">
        <v>4614</v>
      </c>
      <c r="E6961" s="125"/>
      <c r="F6961" s="178"/>
      <c r="G6961" s="178"/>
      <c r="H6961"/>
      <c r="I6961" s="178"/>
      <c r="J6961" s="320" t="s">
        <v>214</v>
      </c>
      <c r="K6961" s="178"/>
      <c r="L6961" s="125" t="s">
        <v>4863</v>
      </c>
      <c r="M6961">
        <v>689</v>
      </c>
      <c r="N6961" s="182"/>
      <c r="O6961">
        <v>1601</v>
      </c>
      <c r="P6961" s="176" t="s">
        <v>77</v>
      </c>
      <c r="Q6961" s="176">
        <v>30</v>
      </c>
      <c r="R6961" s="176"/>
      <c r="S6961" s="176"/>
      <c r="T6961" s="190"/>
      <c r="U6961" s="191"/>
      <c r="V6961" s="191">
        <f>+Table1[[#This Row],[SUBTOTAL]]+Table1[[#This Row],[IVA]]-Table1[[#This Row],[RET IVA]]-Table1[[#This Row],[RET ISR]]</f>
        <v>30</v>
      </c>
      <c r="W6961"/>
      <c r="X6961" s="186"/>
      <c r="Y6961" s="187"/>
      <c r="Z6961" s="311" t="s">
        <v>214</v>
      </c>
      <c r="AB6961" t="str">
        <f>IF(Table1[[#This Row],[TIPO2]]="costo", VLOOKUP(Table1[[#This Row],[PARTIDA PRESUPUESTAL]],'Cost Report'!G:G,1,0),"Balance")</f>
        <v>2594-003</v>
      </c>
      <c r="AD6961" s="159">
        <f>+Table1[[#This Row],[SUBTOTAL]]+Table1[[#This Row],[IVA]]-Table1[[#This Row],[RET IVA]]-Table1[[#This Row],[RET ISR]]-Table1[[#This Row],[TOTAL]]</f>
        <v>0</v>
      </c>
      <c r="AK6961" s="306" t="str">
        <f>IF(ISNUMBER(Table1[[#This Row],[FECHA DE RECIBIDO]]), Table1[[#This Row],[FECHA DE RECIBIDO]]-DATE(2023,8,30), "")</f>
        <v/>
      </c>
    </row>
    <row r="6962" spans="1:37">
      <c r="A6962" s="172"/>
      <c r="B6962" s="178"/>
      <c r="C6962" s="179" t="s">
        <v>2455</v>
      </c>
      <c r="D6962">
        <v>4614</v>
      </c>
      <c r="E6962" s="125"/>
      <c r="F6962" s="178"/>
      <c r="G6962" s="178"/>
      <c r="H6962"/>
      <c r="I6962" s="178"/>
      <c r="J6962" s="320" t="s">
        <v>214</v>
      </c>
      <c r="K6962" s="178"/>
      <c r="L6962" s="125" t="s">
        <v>4863</v>
      </c>
      <c r="M6962">
        <v>690</v>
      </c>
      <c r="N6962" s="182"/>
      <c r="O6962">
        <v>522</v>
      </c>
      <c r="P6962" s="176" t="s">
        <v>77</v>
      </c>
      <c r="Q6962" s="176">
        <v>10.44</v>
      </c>
      <c r="R6962" s="176"/>
      <c r="S6962" s="176"/>
      <c r="T6962" s="190"/>
      <c r="U6962" s="191"/>
      <c r="V6962" s="191">
        <f>+Table1[[#This Row],[SUBTOTAL]]+Table1[[#This Row],[IVA]]-Table1[[#This Row],[RET IVA]]-Table1[[#This Row],[RET ISR]]</f>
        <v>10.44</v>
      </c>
      <c r="W6962"/>
      <c r="X6962" s="186"/>
      <c r="Y6962" s="187"/>
      <c r="Z6962" s="311" t="s">
        <v>214</v>
      </c>
      <c r="AB6962" t="str">
        <f>IF(Table1[[#This Row],[TIPO2]]="costo", VLOOKUP(Table1[[#This Row],[PARTIDA PRESUPUESTAL]],'Cost Report'!G:G,1,0),"Balance")</f>
        <v>2285-003</v>
      </c>
      <c r="AD6962" s="159">
        <f>+Table1[[#This Row],[SUBTOTAL]]+Table1[[#This Row],[IVA]]-Table1[[#This Row],[RET IVA]]-Table1[[#This Row],[RET ISR]]-Table1[[#This Row],[TOTAL]]</f>
        <v>0</v>
      </c>
      <c r="AK6962" s="306" t="str">
        <f>IF(ISNUMBER(Table1[[#This Row],[FECHA DE RECIBIDO]]), Table1[[#This Row],[FECHA DE RECIBIDO]]-DATE(2023,8,30), "")</f>
        <v/>
      </c>
    </row>
    <row r="6963" spans="1:37">
      <c r="A6963" s="172"/>
      <c r="B6963" s="178"/>
      <c r="C6963" s="179" t="s">
        <v>2455</v>
      </c>
      <c r="D6963">
        <v>4614</v>
      </c>
      <c r="E6963" s="125"/>
      <c r="F6963" s="178"/>
      <c r="G6963" s="178"/>
      <c r="H6963"/>
      <c r="I6963" s="178"/>
      <c r="J6963" s="320" t="s">
        <v>214</v>
      </c>
      <c r="K6963" s="178"/>
      <c r="L6963" s="125" t="s">
        <v>4863</v>
      </c>
      <c r="M6963">
        <v>691</v>
      </c>
      <c r="N6963" s="182"/>
      <c r="O6963">
        <v>522</v>
      </c>
      <c r="P6963" s="176" t="s">
        <v>77</v>
      </c>
      <c r="Q6963" s="176">
        <v>10.44</v>
      </c>
      <c r="R6963" s="176"/>
      <c r="S6963" s="176"/>
      <c r="T6963" s="190"/>
      <c r="U6963" s="191"/>
      <c r="V6963" s="191">
        <f>+Table1[[#This Row],[SUBTOTAL]]+Table1[[#This Row],[IVA]]-Table1[[#This Row],[RET IVA]]-Table1[[#This Row],[RET ISR]]</f>
        <v>10.44</v>
      </c>
      <c r="W6963"/>
      <c r="X6963" s="186"/>
      <c r="Y6963" s="187"/>
      <c r="Z6963" s="311" t="s">
        <v>214</v>
      </c>
      <c r="AB6963" t="str">
        <f>IF(Table1[[#This Row],[TIPO2]]="costo", VLOOKUP(Table1[[#This Row],[PARTIDA PRESUPUESTAL]],'Cost Report'!G:G,1,0),"Balance")</f>
        <v>2285-003</v>
      </c>
      <c r="AD6963" s="159">
        <f>+Table1[[#This Row],[SUBTOTAL]]+Table1[[#This Row],[IVA]]-Table1[[#This Row],[RET IVA]]-Table1[[#This Row],[RET ISR]]-Table1[[#This Row],[TOTAL]]</f>
        <v>0</v>
      </c>
      <c r="AK6963" s="306" t="str">
        <f>IF(ISNUMBER(Table1[[#This Row],[FECHA DE RECIBIDO]]), Table1[[#This Row],[FECHA DE RECIBIDO]]-DATE(2023,8,30), "")</f>
        <v/>
      </c>
    </row>
    <row r="6964" spans="1:37">
      <c r="A6964" s="172"/>
      <c r="B6964" s="178"/>
      <c r="C6964" s="179" t="s">
        <v>2455</v>
      </c>
      <c r="D6964">
        <v>4614</v>
      </c>
      <c r="E6964" s="125"/>
      <c r="F6964" s="178"/>
      <c r="G6964" s="178"/>
      <c r="H6964"/>
      <c r="I6964" s="178"/>
      <c r="J6964" s="320" t="s">
        <v>214</v>
      </c>
      <c r="K6964" s="178"/>
      <c r="L6964" s="125" t="s">
        <v>4863</v>
      </c>
      <c r="M6964">
        <v>692</v>
      </c>
      <c r="N6964" s="182"/>
      <c r="O6964">
        <v>522</v>
      </c>
      <c r="P6964" s="176" t="s">
        <v>77</v>
      </c>
      <c r="Q6964" s="176">
        <v>10.266</v>
      </c>
      <c r="R6964" s="176"/>
      <c r="S6964" s="176"/>
      <c r="T6964" s="190"/>
      <c r="U6964" s="191"/>
      <c r="V6964" s="191">
        <f>+Table1[[#This Row],[SUBTOTAL]]+Table1[[#This Row],[IVA]]-Table1[[#This Row],[RET IVA]]-Table1[[#This Row],[RET ISR]]</f>
        <v>10.266</v>
      </c>
      <c r="W6964"/>
      <c r="X6964" s="186"/>
      <c r="Y6964" s="187"/>
      <c r="Z6964" s="311" t="s">
        <v>214</v>
      </c>
      <c r="AB6964" t="str">
        <f>IF(Table1[[#This Row],[TIPO2]]="costo", VLOOKUP(Table1[[#This Row],[PARTIDA PRESUPUESTAL]],'Cost Report'!G:G,1,0),"Balance")</f>
        <v>2285-003</v>
      </c>
      <c r="AD6964" s="159">
        <f>+Table1[[#This Row],[SUBTOTAL]]+Table1[[#This Row],[IVA]]-Table1[[#This Row],[RET IVA]]-Table1[[#This Row],[RET ISR]]-Table1[[#This Row],[TOTAL]]</f>
        <v>0</v>
      </c>
      <c r="AK6964" s="306" t="str">
        <f>IF(ISNUMBER(Table1[[#This Row],[FECHA DE RECIBIDO]]), Table1[[#This Row],[FECHA DE RECIBIDO]]-DATE(2023,8,30), "")</f>
        <v/>
      </c>
    </row>
    <row r="6965" spans="1:37">
      <c r="A6965" s="172"/>
      <c r="B6965" s="178"/>
      <c r="C6965" s="179" t="s">
        <v>2455</v>
      </c>
      <c r="D6965">
        <v>4614</v>
      </c>
      <c r="E6965" s="125"/>
      <c r="F6965" s="178"/>
      <c r="G6965" s="178"/>
      <c r="H6965"/>
      <c r="I6965" s="178"/>
      <c r="J6965" s="320" t="s">
        <v>214</v>
      </c>
      <c r="K6965" s="178"/>
      <c r="L6965" s="125" t="s">
        <v>4863</v>
      </c>
      <c r="M6965">
        <v>692</v>
      </c>
      <c r="N6965" s="182"/>
      <c r="O6965">
        <v>522</v>
      </c>
      <c r="P6965" s="176" t="s">
        <v>77</v>
      </c>
      <c r="Q6965" s="176">
        <v>10.266</v>
      </c>
      <c r="R6965" s="176"/>
      <c r="S6965" s="176"/>
      <c r="T6965" s="190"/>
      <c r="U6965" s="191"/>
      <c r="V6965" s="191">
        <f>+Table1[[#This Row],[SUBTOTAL]]+Table1[[#This Row],[IVA]]-Table1[[#This Row],[RET IVA]]-Table1[[#This Row],[RET ISR]]</f>
        <v>10.266</v>
      </c>
      <c r="W6965"/>
      <c r="X6965" s="186"/>
      <c r="Y6965" s="187"/>
      <c r="Z6965" s="311" t="s">
        <v>214</v>
      </c>
      <c r="AB6965" t="str">
        <f>IF(Table1[[#This Row],[TIPO2]]="costo", VLOOKUP(Table1[[#This Row],[PARTIDA PRESUPUESTAL]],'Cost Report'!G:G,1,0),"Balance")</f>
        <v>2285-003</v>
      </c>
      <c r="AD6965" s="159">
        <f>+Table1[[#This Row],[SUBTOTAL]]+Table1[[#This Row],[IVA]]-Table1[[#This Row],[RET IVA]]-Table1[[#This Row],[RET ISR]]-Table1[[#This Row],[TOTAL]]</f>
        <v>0</v>
      </c>
      <c r="AK6965" s="306" t="str">
        <f>IF(ISNUMBER(Table1[[#This Row],[FECHA DE RECIBIDO]]), Table1[[#This Row],[FECHA DE RECIBIDO]]-DATE(2023,8,30), "")</f>
        <v/>
      </c>
    </row>
    <row r="6966" spans="1:37">
      <c r="A6966" s="172"/>
      <c r="B6966" s="178"/>
      <c r="C6966" s="179" t="s">
        <v>2565</v>
      </c>
      <c r="D6966">
        <v>4614</v>
      </c>
      <c r="E6966" s="125"/>
      <c r="F6966" s="178"/>
      <c r="G6966" s="178"/>
      <c r="H6966"/>
      <c r="I6966" s="178"/>
      <c r="J6966" s="320" t="s">
        <v>214</v>
      </c>
      <c r="K6966" s="178"/>
      <c r="L6966" s="125" t="s">
        <v>4863</v>
      </c>
      <c r="M6966">
        <v>395</v>
      </c>
      <c r="N6966" s="182"/>
      <c r="O6966">
        <v>1602</v>
      </c>
      <c r="P6966" s="176" t="s">
        <v>77</v>
      </c>
      <c r="Q6966" s="176">
        <v>6</v>
      </c>
      <c r="R6966" s="176"/>
      <c r="S6966" s="176"/>
      <c r="T6966" s="190"/>
      <c r="U6966" s="191"/>
      <c r="V6966" s="191">
        <f>+Table1[[#This Row],[SUBTOTAL]]+Table1[[#This Row],[IVA]]-Table1[[#This Row],[RET IVA]]-Table1[[#This Row],[RET ISR]]</f>
        <v>6</v>
      </c>
      <c r="W6966"/>
      <c r="X6966" s="186"/>
      <c r="Y6966" s="187"/>
      <c r="Z6966" s="311" t="s">
        <v>214</v>
      </c>
      <c r="AB6966" t="str">
        <f>IF(Table1[[#This Row],[TIPO2]]="costo", VLOOKUP(Table1[[#This Row],[PARTIDA PRESUPUESTAL]],'Cost Report'!G:G,1,0),"Balance")</f>
        <v>2585-003</v>
      </c>
      <c r="AD6966" s="159">
        <f>+Table1[[#This Row],[SUBTOTAL]]+Table1[[#This Row],[IVA]]-Table1[[#This Row],[RET IVA]]-Table1[[#This Row],[RET ISR]]-Table1[[#This Row],[TOTAL]]</f>
        <v>0</v>
      </c>
      <c r="AK6966" s="306" t="str">
        <f>IF(ISNUMBER(Table1[[#This Row],[FECHA DE RECIBIDO]]), Table1[[#This Row],[FECHA DE RECIBIDO]]-DATE(2023,8,30), "")</f>
        <v/>
      </c>
    </row>
    <row r="6967" spans="1:37">
      <c r="A6967" s="172"/>
      <c r="B6967" s="178"/>
      <c r="C6967" s="179" t="s">
        <v>2565</v>
      </c>
      <c r="D6967">
        <v>4614</v>
      </c>
      <c r="E6967" s="125"/>
      <c r="F6967" s="178"/>
      <c r="G6967" s="178"/>
      <c r="H6967"/>
      <c r="I6967" s="178"/>
      <c r="J6967" s="320" t="s">
        <v>214</v>
      </c>
      <c r="K6967" s="178"/>
      <c r="L6967" s="125" t="s">
        <v>4863</v>
      </c>
      <c r="M6967">
        <v>395</v>
      </c>
      <c r="N6967" s="182"/>
      <c r="O6967">
        <v>1603</v>
      </c>
      <c r="P6967" s="176" t="s">
        <v>77</v>
      </c>
      <c r="Q6967" s="176">
        <v>18</v>
      </c>
      <c r="R6967" s="176"/>
      <c r="S6967" s="176"/>
      <c r="T6967" s="190"/>
      <c r="U6967" s="191"/>
      <c r="V6967" s="191">
        <f>+Table1[[#This Row],[SUBTOTAL]]+Table1[[#This Row],[IVA]]-Table1[[#This Row],[RET IVA]]-Table1[[#This Row],[RET ISR]]</f>
        <v>18</v>
      </c>
      <c r="W6967"/>
      <c r="X6967" s="186"/>
      <c r="Y6967" s="187"/>
      <c r="Z6967" s="311" t="s">
        <v>214</v>
      </c>
      <c r="AB6967" t="str">
        <f>IF(Table1[[#This Row],[TIPO2]]="costo", VLOOKUP(Table1[[#This Row],[PARTIDA PRESUPUESTAL]],'Cost Report'!G:G,1,0),"Balance")</f>
        <v>2585-003</v>
      </c>
      <c r="AD6967" s="159">
        <f>+Table1[[#This Row],[SUBTOTAL]]+Table1[[#This Row],[IVA]]-Table1[[#This Row],[RET IVA]]-Table1[[#This Row],[RET ISR]]-Table1[[#This Row],[TOTAL]]</f>
        <v>0</v>
      </c>
      <c r="AK6967" s="306" t="str">
        <f>IF(ISNUMBER(Table1[[#This Row],[FECHA DE RECIBIDO]]), Table1[[#This Row],[FECHA DE RECIBIDO]]-DATE(2023,8,30), "")</f>
        <v/>
      </c>
    </row>
    <row r="6968" spans="1:37">
      <c r="A6968" s="172"/>
      <c r="B6968" s="178"/>
      <c r="C6968" s="179" t="s">
        <v>2455</v>
      </c>
      <c r="D6968">
        <v>4614</v>
      </c>
      <c r="E6968" s="125"/>
      <c r="F6968" s="178"/>
      <c r="G6968" s="178"/>
      <c r="H6968"/>
      <c r="I6968" s="178"/>
      <c r="J6968" s="320" t="s">
        <v>214</v>
      </c>
      <c r="K6968" s="178"/>
      <c r="L6968" s="125" t="s">
        <v>4863</v>
      </c>
      <c r="M6968">
        <v>690</v>
      </c>
      <c r="N6968" s="182"/>
      <c r="O6968">
        <v>1620</v>
      </c>
      <c r="P6968" s="176" t="s">
        <v>77</v>
      </c>
      <c r="Q6968" s="176">
        <v>9</v>
      </c>
      <c r="R6968" s="176"/>
      <c r="S6968" s="176"/>
      <c r="T6968" s="190"/>
      <c r="U6968" s="191"/>
      <c r="V6968" s="191">
        <f>+Table1[[#This Row],[SUBTOTAL]]+Table1[[#This Row],[IVA]]-Table1[[#This Row],[RET IVA]]-Table1[[#This Row],[RET ISR]]</f>
        <v>9</v>
      </c>
      <c r="W6968"/>
      <c r="X6968" s="186"/>
      <c r="Y6968" s="187"/>
      <c r="Z6968" s="311" t="s">
        <v>214</v>
      </c>
      <c r="AB6968" t="str">
        <f>IF(Table1[[#This Row],[TIPO2]]="costo", VLOOKUP(Table1[[#This Row],[PARTIDA PRESUPUESTAL]],'Cost Report'!G:G,1,0),"Balance")</f>
        <v>2285-003</v>
      </c>
      <c r="AD6968" s="159">
        <f>+Table1[[#This Row],[SUBTOTAL]]+Table1[[#This Row],[IVA]]-Table1[[#This Row],[RET IVA]]-Table1[[#This Row],[RET ISR]]-Table1[[#This Row],[TOTAL]]</f>
        <v>0</v>
      </c>
      <c r="AK6968" s="306" t="str">
        <f>IF(ISNUMBER(Table1[[#This Row],[FECHA DE RECIBIDO]]), Table1[[#This Row],[FECHA DE RECIBIDO]]-DATE(2023,8,30), "")</f>
        <v/>
      </c>
    </row>
    <row r="6969" spans="1:37">
      <c r="A6969" s="172"/>
      <c r="B6969" s="178"/>
      <c r="C6969" s="179" t="s">
        <v>2455</v>
      </c>
      <c r="D6969">
        <v>4614</v>
      </c>
      <c r="E6969" s="125"/>
      <c r="F6969" s="178"/>
      <c r="G6969" s="178"/>
      <c r="H6969"/>
      <c r="I6969" s="178"/>
      <c r="J6969" s="320" t="s">
        <v>214</v>
      </c>
      <c r="K6969" s="178"/>
      <c r="L6969" s="125" t="s">
        <v>4863</v>
      </c>
      <c r="M6969">
        <v>696</v>
      </c>
      <c r="N6969" s="182"/>
      <c r="O6969">
        <v>1620</v>
      </c>
      <c r="P6969" s="176" t="s">
        <v>77</v>
      </c>
      <c r="Q6969" s="176">
        <v>8.85</v>
      </c>
      <c r="R6969" s="176"/>
      <c r="S6969" s="176"/>
      <c r="T6969" s="190"/>
      <c r="U6969" s="191"/>
      <c r="V6969" s="191">
        <f>+Table1[[#This Row],[SUBTOTAL]]+Table1[[#This Row],[IVA]]-Table1[[#This Row],[RET IVA]]-Table1[[#This Row],[RET ISR]]</f>
        <v>8.85</v>
      </c>
      <c r="W6969"/>
      <c r="X6969" s="186"/>
      <c r="Y6969" s="187"/>
      <c r="Z6969" s="311" t="s">
        <v>214</v>
      </c>
      <c r="AB6969" t="str">
        <f>IF(Table1[[#This Row],[TIPO2]]="costo", VLOOKUP(Table1[[#This Row],[PARTIDA PRESUPUESTAL]],'Cost Report'!G:G,1,0),"Balance")</f>
        <v>2285-003</v>
      </c>
      <c r="AD6969" s="159">
        <f>+Table1[[#This Row],[SUBTOTAL]]+Table1[[#This Row],[IVA]]-Table1[[#This Row],[RET IVA]]-Table1[[#This Row],[RET ISR]]-Table1[[#This Row],[TOTAL]]</f>
        <v>0</v>
      </c>
      <c r="AK6969" s="306" t="str">
        <f>IF(ISNUMBER(Table1[[#This Row],[FECHA DE RECIBIDO]]), Table1[[#This Row],[FECHA DE RECIBIDO]]-DATE(2023,8,30), "")</f>
        <v/>
      </c>
    </row>
    <row r="6970" spans="1:37">
      <c r="A6970" s="172"/>
      <c r="B6970" s="178"/>
      <c r="C6970" s="179" t="s">
        <v>2455</v>
      </c>
      <c r="D6970">
        <v>4614</v>
      </c>
      <c r="E6970" s="125"/>
      <c r="F6970" s="178"/>
      <c r="G6970" s="178"/>
      <c r="H6970"/>
      <c r="I6970" s="178"/>
      <c r="J6970" s="320" t="s">
        <v>214</v>
      </c>
      <c r="K6970" s="178"/>
      <c r="L6970" s="125" t="s">
        <v>4863</v>
      </c>
      <c r="M6970">
        <v>522</v>
      </c>
      <c r="N6970" s="182"/>
      <c r="O6970">
        <v>1621</v>
      </c>
      <c r="P6970" s="176" t="s">
        <v>77</v>
      </c>
      <c r="Q6970" s="176">
        <v>18</v>
      </c>
      <c r="R6970" s="176"/>
      <c r="S6970" s="176"/>
      <c r="T6970" s="190"/>
      <c r="U6970" s="191"/>
      <c r="V6970" s="191">
        <f>+Table1[[#This Row],[SUBTOTAL]]+Table1[[#This Row],[IVA]]-Table1[[#This Row],[RET IVA]]-Table1[[#This Row],[RET ISR]]</f>
        <v>18</v>
      </c>
      <c r="W6970"/>
      <c r="X6970" s="186"/>
      <c r="Y6970" s="187"/>
      <c r="Z6970" s="311" t="s">
        <v>214</v>
      </c>
      <c r="AB6970" t="str">
        <f>IF(Table1[[#This Row],[TIPO2]]="costo", VLOOKUP(Table1[[#This Row],[PARTIDA PRESUPUESTAL]],'Cost Report'!G:G,1,0),"Balance")</f>
        <v>2285-003</v>
      </c>
      <c r="AD6970" s="159">
        <f>+Table1[[#This Row],[SUBTOTAL]]+Table1[[#This Row],[IVA]]-Table1[[#This Row],[RET IVA]]-Table1[[#This Row],[RET ISR]]-Table1[[#This Row],[TOTAL]]</f>
        <v>0</v>
      </c>
      <c r="AK6970" s="306" t="str">
        <f>IF(ISNUMBER(Table1[[#This Row],[FECHA DE RECIBIDO]]), Table1[[#This Row],[FECHA DE RECIBIDO]]-DATE(2023,8,30), "")</f>
        <v/>
      </c>
    </row>
    <row r="6971" spans="1:37">
      <c r="A6971" s="172"/>
      <c r="B6971" s="178"/>
      <c r="C6971" s="179" t="s">
        <v>2455</v>
      </c>
      <c r="D6971">
        <v>4614</v>
      </c>
      <c r="E6971" s="125"/>
      <c r="F6971" s="178"/>
      <c r="G6971" s="178"/>
      <c r="H6971"/>
      <c r="I6971" s="178"/>
      <c r="J6971" s="320" t="s">
        <v>214</v>
      </c>
      <c r="K6971" s="178"/>
      <c r="L6971" s="125" t="s">
        <v>4863</v>
      </c>
      <c r="M6971">
        <v>779</v>
      </c>
      <c r="N6971" s="182"/>
      <c r="O6971">
        <v>1620</v>
      </c>
      <c r="P6971" s="176" t="s">
        <v>77</v>
      </c>
      <c r="Q6971" s="176">
        <v>10.44</v>
      </c>
      <c r="R6971" s="176"/>
      <c r="S6971" s="176"/>
      <c r="T6971" s="190"/>
      <c r="U6971" s="191"/>
      <c r="V6971" s="191">
        <f>+Table1[[#This Row],[SUBTOTAL]]+Table1[[#This Row],[IVA]]-Table1[[#This Row],[RET IVA]]-Table1[[#This Row],[RET ISR]]</f>
        <v>10.44</v>
      </c>
      <c r="W6971"/>
      <c r="X6971" s="186"/>
      <c r="Y6971" s="187"/>
      <c r="Z6971" s="311" t="s">
        <v>214</v>
      </c>
      <c r="AB6971" t="str">
        <f>IF(Table1[[#This Row],[TIPO2]]="costo", VLOOKUP(Table1[[#This Row],[PARTIDA PRESUPUESTAL]],'Cost Report'!G:G,1,0),"Balance")</f>
        <v>2285-003</v>
      </c>
      <c r="AD6971" s="159">
        <f>+Table1[[#This Row],[SUBTOTAL]]+Table1[[#This Row],[IVA]]-Table1[[#This Row],[RET IVA]]-Table1[[#This Row],[RET ISR]]-Table1[[#This Row],[TOTAL]]</f>
        <v>0</v>
      </c>
      <c r="AK6971" s="306" t="str">
        <f>IF(ISNUMBER(Table1[[#This Row],[FECHA DE RECIBIDO]]), Table1[[#This Row],[FECHA DE RECIBIDO]]-DATE(2023,8,30), "")</f>
        <v/>
      </c>
    </row>
    <row r="6972" spans="1:37">
      <c r="A6972" s="172"/>
      <c r="B6972" s="178"/>
      <c r="C6972" s="179" t="s">
        <v>2565</v>
      </c>
      <c r="D6972">
        <v>4614</v>
      </c>
      <c r="E6972" s="125"/>
      <c r="F6972" s="178"/>
      <c r="G6972" s="178"/>
      <c r="H6972"/>
      <c r="I6972" s="178"/>
      <c r="J6972" s="320" t="s">
        <v>214</v>
      </c>
      <c r="K6972" s="178"/>
      <c r="L6972" s="125" t="s">
        <v>4863</v>
      </c>
      <c r="M6972">
        <v>804</v>
      </c>
      <c r="N6972" s="182"/>
      <c r="O6972">
        <v>905</v>
      </c>
      <c r="P6972" s="176" t="s">
        <v>77</v>
      </c>
      <c r="Q6972" s="176">
        <v>18</v>
      </c>
      <c r="R6972" s="176"/>
      <c r="S6972" s="176"/>
      <c r="T6972" s="190"/>
      <c r="U6972" s="191"/>
      <c r="V6972" s="191">
        <f>+Table1[[#This Row],[SUBTOTAL]]+Table1[[#This Row],[IVA]]-Table1[[#This Row],[RET IVA]]-Table1[[#This Row],[RET ISR]]</f>
        <v>18</v>
      </c>
      <c r="W6972"/>
      <c r="X6972" s="186"/>
      <c r="Y6972" s="187"/>
      <c r="Z6972" s="311" t="s">
        <v>214</v>
      </c>
      <c r="AB6972" t="str">
        <f>IF(Table1[[#This Row],[TIPO2]]="costo", VLOOKUP(Table1[[#This Row],[PARTIDA PRESUPUESTAL]],'Cost Report'!G:G,1,0),"Balance")</f>
        <v>2585-003</v>
      </c>
      <c r="AD6972" s="159">
        <f>+Table1[[#This Row],[SUBTOTAL]]+Table1[[#This Row],[IVA]]-Table1[[#This Row],[RET IVA]]-Table1[[#This Row],[RET ISR]]-Table1[[#This Row],[TOTAL]]</f>
        <v>0</v>
      </c>
      <c r="AK6972" s="306" t="str">
        <f>IF(ISNUMBER(Table1[[#This Row],[FECHA DE RECIBIDO]]), Table1[[#This Row],[FECHA DE RECIBIDO]]-DATE(2023,8,30), "")</f>
        <v/>
      </c>
    </row>
    <row r="6973" spans="1:37">
      <c r="A6973" s="172"/>
      <c r="B6973" s="178"/>
      <c r="C6973" s="179" t="s">
        <v>2565</v>
      </c>
      <c r="D6973">
        <v>4614</v>
      </c>
      <c r="E6973" s="125"/>
      <c r="F6973" s="178"/>
      <c r="G6973" s="178"/>
      <c r="H6973"/>
      <c r="I6973" s="178"/>
      <c r="J6973" s="320" t="s">
        <v>214</v>
      </c>
      <c r="K6973" s="178"/>
      <c r="L6973" s="125" t="s">
        <v>4863</v>
      </c>
      <c r="M6973">
        <v>522</v>
      </c>
      <c r="N6973" s="182"/>
      <c r="O6973">
        <v>905</v>
      </c>
      <c r="P6973" s="176" t="s">
        <v>77</v>
      </c>
      <c r="Q6973" s="176">
        <v>18</v>
      </c>
      <c r="R6973" s="176"/>
      <c r="S6973" s="176"/>
      <c r="T6973" s="190"/>
      <c r="U6973" s="191"/>
      <c r="V6973" s="191">
        <f>+Table1[[#This Row],[SUBTOTAL]]+Table1[[#This Row],[IVA]]-Table1[[#This Row],[RET IVA]]-Table1[[#This Row],[RET ISR]]</f>
        <v>18</v>
      </c>
      <c r="W6973"/>
      <c r="X6973" s="186"/>
      <c r="Y6973" s="187"/>
      <c r="Z6973" s="311" t="s">
        <v>214</v>
      </c>
      <c r="AB6973" t="str">
        <f>IF(Table1[[#This Row],[TIPO2]]="costo", VLOOKUP(Table1[[#This Row],[PARTIDA PRESUPUESTAL]],'Cost Report'!G:G,1,0),"Balance")</f>
        <v>2585-003</v>
      </c>
      <c r="AD6973" s="159">
        <f>+Table1[[#This Row],[SUBTOTAL]]+Table1[[#This Row],[IVA]]-Table1[[#This Row],[RET IVA]]-Table1[[#This Row],[RET ISR]]-Table1[[#This Row],[TOTAL]]</f>
        <v>0</v>
      </c>
      <c r="AK6973" s="306" t="str">
        <f>IF(ISNUMBER(Table1[[#This Row],[FECHA DE RECIBIDO]]), Table1[[#This Row],[FECHA DE RECIBIDO]]-DATE(2023,8,30), "")</f>
        <v/>
      </c>
    </row>
    <row r="6974" spans="1:37">
      <c r="A6974" s="172"/>
      <c r="B6974" s="178"/>
      <c r="C6974" s="179" t="s">
        <v>2565</v>
      </c>
      <c r="D6974">
        <v>4614</v>
      </c>
      <c r="E6974" s="125"/>
      <c r="F6974" s="178"/>
      <c r="G6974" s="178"/>
      <c r="H6974"/>
      <c r="I6974" s="178"/>
      <c r="J6974" s="320" t="s">
        <v>214</v>
      </c>
      <c r="K6974" s="178"/>
      <c r="L6974" s="125" t="s">
        <v>4863</v>
      </c>
      <c r="M6974">
        <v>805</v>
      </c>
      <c r="N6974" s="182"/>
      <c r="O6974">
        <v>905</v>
      </c>
      <c r="P6974" s="176" t="s">
        <v>77</v>
      </c>
      <c r="Q6974" s="176">
        <v>10.5</v>
      </c>
      <c r="R6974" s="176"/>
      <c r="S6974" s="176"/>
      <c r="T6974" s="190"/>
      <c r="U6974" s="191"/>
      <c r="V6974" s="191">
        <f>+Table1[[#This Row],[SUBTOTAL]]+Table1[[#This Row],[IVA]]-Table1[[#This Row],[RET IVA]]-Table1[[#This Row],[RET ISR]]</f>
        <v>10.5</v>
      </c>
      <c r="W6974"/>
      <c r="X6974" s="186"/>
      <c r="Y6974" s="187"/>
      <c r="Z6974" s="311" t="s">
        <v>214</v>
      </c>
      <c r="AB6974" t="str">
        <f>IF(Table1[[#This Row],[TIPO2]]="costo", VLOOKUP(Table1[[#This Row],[PARTIDA PRESUPUESTAL]],'Cost Report'!G:G,1,0),"Balance")</f>
        <v>2585-003</v>
      </c>
      <c r="AD6974" s="159">
        <f>+Table1[[#This Row],[SUBTOTAL]]+Table1[[#This Row],[IVA]]-Table1[[#This Row],[RET IVA]]-Table1[[#This Row],[RET ISR]]-Table1[[#This Row],[TOTAL]]</f>
        <v>0</v>
      </c>
      <c r="AK6974" s="306" t="str">
        <f>IF(ISNUMBER(Table1[[#This Row],[FECHA DE RECIBIDO]]), Table1[[#This Row],[FECHA DE RECIBIDO]]-DATE(2023,8,30), "")</f>
        <v/>
      </c>
    </row>
    <row r="6975" spans="1:37">
      <c r="A6975" s="172"/>
      <c r="B6975" s="178"/>
      <c r="C6975" s="179" t="s">
        <v>2565</v>
      </c>
      <c r="D6975">
        <v>4614</v>
      </c>
      <c r="E6975" s="125"/>
      <c r="F6975" s="178"/>
      <c r="G6975" s="178"/>
      <c r="H6975"/>
      <c r="I6975" s="178"/>
      <c r="J6975" s="320" t="s">
        <v>214</v>
      </c>
      <c r="K6975" s="178"/>
      <c r="L6975" s="125" t="s">
        <v>4863</v>
      </c>
      <c r="M6975">
        <v>806</v>
      </c>
      <c r="N6975" s="182"/>
      <c r="O6975">
        <v>905</v>
      </c>
      <c r="P6975" s="176" t="s">
        <v>77</v>
      </c>
      <c r="Q6975" s="176">
        <v>3</v>
      </c>
      <c r="R6975" s="176"/>
      <c r="S6975" s="176"/>
      <c r="T6975" s="190"/>
      <c r="U6975" s="191"/>
      <c r="V6975" s="191">
        <f>+Table1[[#This Row],[SUBTOTAL]]+Table1[[#This Row],[IVA]]-Table1[[#This Row],[RET IVA]]-Table1[[#This Row],[RET ISR]]</f>
        <v>3</v>
      </c>
      <c r="W6975"/>
      <c r="X6975" s="186"/>
      <c r="Y6975" s="187"/>
      <c r="Z6975" s="311" t="s">
        <v>214</v>
      </c>
      <c r="AB6975" t="str">
        <f>IF(Table1[[#This Row],[TIPO2]]="costo", VLOOKUP(Table1[[#This Row],[PARTIDA PRESUPUESTAL]],'Cost Report'!G:G,1,0),"Balance")</f>
        <v>2585-003</v>
      </c>
      <c r="AD6975" s="159">
        <f>+Table1[[#This Row],[SUBTOTAL]]+Table1[[#This Row],[IVA]]-Table1[[#This Row],[RET IVA]]-Table1[[#This Row],[RET ISR]]-Table1[[#This Row],[TOTAL]]</f>
        <v>0</v>
      </c>
      <c r="AK6975" s="306" t="str">
        <f>IF(ISNUMBER(Table1[[#This Row],[FECHA DE RECIBIDO]]), Table1[[#This Row],[FECHA DE RECIBIDO]]-DATE(2023,8,30), "")</f>
        <v/>
      </c>
    </row>
    <row r="6976" spans="1:37">
      <c r="A6976" s="172"/>
      <c r="B6976" s="178"/>
      <c r="C6976" s="179" t="s">
        <v>2565</v>
      </c>
      <c r="D6976">
        <v>4614</v>
      </c>
      <c r="E6976" s="125"/>
      <c r="F6976" s="178"/>
      <c r="G6976" s="178"/>
      <c r="H6976"/>
      <c r="I6976" s="178"/>
      <c r="J6976" s="320" t="s">
        <v>214</v>
      </c>
      <c r="K6976" s="178"/>
      <c r="L6976" s="125" t="s">
        <v>4863</v>
      </c>
      <c r="M6976">
        <v>807</v>
      </c>
      <c r="N6976" s="182"/>
      <c r="O6976">
        <v>905</v>
      </c>
      <c r="P6976" s="176" t="s">
        <v>77</v>
      </c>
      <c r="Q6976" s="176">
        <v>7.5</v>
      </c>
      <c r="R6976" s="176"/>
      <c r="S6976" s="176"/>
      <c r="T6976" s="190"/>
      <c r="U6976" s="191"/>
      <c r="V6976" s="191">
        <f>+Table1[[#This Row],[SUBTOTAL]]+Table1[[#This Row],[IVA]]-Table1[[#This Row],[RET IVA]]-Table1[[#This Row],[RET ISR]]</f>
        <v>7.5</v>
      </c>
      <c r="W6976"/>
      <c r="X6976" s="186"/>
      <c r="Y6976" s="187"/>
      <c r="Z6976" s="311" t="s">
        <v>214</v>
      </c>
      <c r="AB6976" t="str">
        <f>IF(Table1[[#This Row],[TIPO2]]="costo", VLOOKUP(Table1[[#This Row],[PARTIDA PRESUPUESTAL]],'Cost Report'!G:G,1,0),"Balance")</f>
        <v>2585-003</v>
      </c>
      <c r="AD6976" s="159">
        <f>+Table1[[#This Row],[SUBTOTAL]]+Table1[[#This Row],[IVA]]-Table1[[#This Row],[RET IVA]]-Table1[[#This Row],[RET ISR]]-Table1[[#This Row],[TOTAL]]</f>
        <v>0</v>
      </c>
      <c r="AK6976" s="306" t="str">
        <f>IF(ISNUMBER(Table1[[#This Row],[FECHA DE RECIBIDO]]), Table1[[#This Row],[FECHA DE RECIBIDO]]-DATE(2023,8,30), "")</f>
        <v/>
      </c>
    </row>
    <row r="6977" spans="1:37">
      <c r="A6977" s="172"/>
      <c r="B6977" s="178"/>
      <c r="C6977" s="179" t="s">
        <v>2565</v>
      </c>
      <c r="D6977">
        <v>4614</v>
      </c>
      <c r="E6977" s="125"/>
      <c r="F6977" s="178"/>
      <c r="G6977" s="178"/>
      <c r="H6977"/>
      <c r="I6977" s="178"/>
      <c r="J6977" s="320" t="s">
        <v>214</v>
      </c>
      <c r="K6977" s="178"/>
      <c r="L6977" s="125" t="s">
        <v>4863</v>
      </c>
      <c r="M6977">
        <v>804</v>
      </c>
      <c r="N6977" s="182"/>
      <c r="O6977">
        <v>905</v>
      </c>
      <c r="P6977" s="176" t="s">
        <v>77</v>
      </c>
      <c r="Q6977" s="176">
        <v>18</v>
      </c>
      <c r="R6977" s="176"/>
      <c r="S6977" s="176"/>
      <c r="T6977" s="190"/>
      <c r="U6977" s="191"/>
      <c r="V6977" s="191">
        <f>+Table1[[#This Row],[SUBTOTAL]]+Table1[[#This Row],[IVA]]-Table1[[#This Row],[RET IVA]]-Table1[[#This Row],[RET ISR]]</f>
        <v>18</v>
      </c>
      <c r="W6977"/>
      <c r="X6977" s="186"/>
      <c r="Y6977" s="187"/>
      <c r="Z6977" s="311" t="s">
        <v>214</v>
      </c>
      <c r="AB6977" t="str">
        <f>IF(Table1[[#This Row],[TIPO2]]="costo", VLOOKUP(Table1[[#This Row],[PARTIDA PRESUPUESTAL]],'Cost Report'!G:G,1,0),"Balance")</f>
        <v>2585-003</v>
      </c>
      <c r="AD6977" s="159">
        <f>+Table1[[#This Row],[SUBTOTAL]]+Table1[[#This Row],[IVA]]-Table1[[#This Row],[RET IVA]]-Table1[[#This Row],[RET ISR]]-Table1[[#This Row],[TOTAL]]</f>
        <v>0</v>
      </c>
      <c r="AK6977" s="306" t="str">
        <f>IF(ISNUMBER(Table1[[#This Row],[FECHA DE RECIBIDO]]), Table1[[#This Row],[FECHA DE RECIBIDO]]-DATE(2023,8,30), "")</f>
        <v/>
      </c>
    </row>
    <row r="6978" spans="1:37">
      <c r="A6978" s="172"/>
      <c r="B6978" s="178"/>
      <c r="C6978" s="179" t="s">
        <v>2565</v>
      </c>
      <c r="D6978">
        <v>4614</v>
      </c>
      <c r="E6978" s="125"/>
      <c r="F6978" s="178"/>
      <c r="G6978" s="178"/>
      <c r="H6978"/>
      <c r="I6978" s="178"/>
      <c r="J6978" s="320" t="s">
        <v>214</v>
      </c>
      <c r="K6978" s="178"/>
      <c r="L6978" s="125" t="s">
        <v>4863</v>
      </c>
      <c r="M6978">
        <v>522</v>
      </c>
      <c r="N6978" s="182"/>
      <c r="O6978">
        <v>905</v>
      </c>
      <c r="P6978" s="176" t="s">
        <v>77</v>
      </c>
      <c r="Q6978" s="176">
        <v>18</v>
      </c>
      <c r="R6978" s="176"/>
      <c r="S6978" s="176"/>
      <c r="T6978" s="190"/>
      <c r="U6978" s="191"/>
      <c r="V6978" s="191">
        <f>+Table1[[#This Row],[SUBTOTAL]]+Table1[[#This Row],[IVA]]-Table1[[#This Row],[RET IVA]]-Table1[[#This Row],[RET ISR]]</f>
        <v>18</v>
      </c>
      <c r="W6978"/>
      <c r="X6978" s="186"/>
      <c r="Y6978" s="187"/>
      <c r="Z6978" s="311" t="s">
        <v>214</v>
      </c>
      <c r="AB6978" t="str">
        <f>IF(Table1[[#This Row],[TIPO2]]="costo", VLOOKUP(Table1[[#This Row],[PARTIDA PRESUPUESTAL]],'Cost Report'!G:G,1,0),"Balance")</f>
        <v>2585-003</v>
      </c>
      <c r="AD6978" s="159">
        <f>+Table1[[#This Row],[SUBTOTAL]]+Table1[[#This Row],[IVA]]-Table1[[#This Row],[RET IVA]]-Table1[[#This Row],[RET ISR]]-Table1[[#This Row],[TOTAL]]</f>
        <v>0</v>
      </c>
      <c r="AK6978" s="306" t="str">
        <f>IF(ISNUMBER(Table1[[#This Row],[FECHA DE RECIBIDO]]), Table1[[#This Row],[FECHA DE RECIBIDO]]-DATE(2023,8,30), "")</f>
        <v/>
      </c>
    </row>
    <row r="6979" spans="1:37">
      <c r="A6979" s="172"/>
      <c r="B6979" s="178"/>
      <c r="C6979" s="179" t="s">
        <v>2565</v>
      </c>
      <c r="D6979">
        <v>4614</v>
      </c>
      <c r="E6979" s="125"/>
      <c r="F6979" s="178"/>
      <c r="G6979" s="178"/>
      <c r="H6979"/>
      <c r="I6979" s="178"/>
      <c r="J6979" s="320" t="s">
        <v>214</v>
      </c>
      <c r="K6979" s="178"/>
      <c r="L6979" s="125" t="s">
        <v>4863</v>
      </c>
      <c r="M6979">
        <v>805</v>
      </c>
      <c r="N6979" s="182"/>
      <c r="O6979">
        <v>905</v>
      </c>
      <c r="P6979" s="176" t="s">
        <v>77</v>
      </c>
      <c r="Q6979" s="176">
        <v>10.5</v>
      </c>
      <c r="R6979" s="176"/>
      <c r="S6979" s="176"/>
      <c r="T6979" s="190"/>
      <c r="U6979" s="191"/>
      <c r="V6979" s="191">
        <f>+Table1[[#This Row],[SUBTOTAL]]+Table1[[#This Row],[IVA]]-Table1[[#This Row],[RET IVA]]-Table1[[#This Row],[RET ISR]]</f>
        <v>10.5</v>
      </c>
      <c r="W6979"/>
      <c r="X6979" s="186"/>
      <c r="Y6979" s="187"/>
      <c r="Z6979" s="311" t="s">
        <v>214</v>
      </c>
      <c r="AB6979" t="str">
        <f>IF(Table1[[#This Row],[TIPO2]]="costo", VLOOKUP(Table1[[#This Row],[PARTIDA PRESUPUESTAL]],'Cost Report'!G:G,1,0),"Balance")</f>
        <v>2585-003</v>
      </c>
      <c r="AD6979" s="159">
        <f>+Table1[[#This Row],[SUBTOTAL]]+Table1[[#This Row],[IVA]]-Table1[[#This Row],[RET IVA]]-Table1[[#This Row],[RET ISR]]-Table1[[#This Row],[TOTAL]]</f>
        <v>0</v>
      </c>
      <c r="AK6979" s="306" t="str">
        <f>IF(ISNUMBER(Table1[[#This Row],[FECHA DE RECIBIDO]]), Table1[[#This Row],[FECHA DE RECIBIDO]]-DATE(2023,8,30), "")</f>
        <v/>
      </c>
    </row>
    <row r="6980" spans="1:37">
      <c r="A6980" s="172"/>
      <c r="B6980" s="178"/>
      <c r="C6980" s="179" t="s">
        <v>2565</v>
      </c>
      <c r="D6980">
        <v>4614</v>
      </c>
      <c r="E6980" s="125"/>
      <c r="F6980" s="178"/>
      <c r="G6980" s="178"/>
      <c r="H6980"/>
      <c r="I6980" s="178"/>
      <c r="J6980" s="320" t="s">
        <v>214</v>
      </c>
      <c r="K6980" s="178"/>
      <c r="L6980" s="125" t="s">
        <v>4863</v>
      </c>
      <c r="M6980">
        <v>806</v>
      </c>
      <c r="N6980" s="182"/>
      <c r="O6980">
        <v>905</v>
      </c>
      <c r="P6980" s="176" t="s">
        <v>77</v>
      </c>
      <c r="Q6980" s="176">
        <v>3</v>
      </c>
      <c r="R6980" s="176"/>
      <c r="S6980" s="176"/>
      <c r="T6980" s="190"/>
      <c r="U6980" s="191"/>
      <c r="V6980" s="191">
        <f>+Table1[[#This Row],[SUBTOTAL]]+Table1[[#This Row],[IVA]]-Table1[[#This Row],[RET IVA]]-Table1[[#This Row],[RET ISR]]</f>
        <v>3</v>
      </c>
      <c r="W6980"/>
      <c r="X6980" s="186"/>
      <c r="Y6980" s="187"/>
      <c r="Z6980" s="311" t="s">
        <v>214</v>
      </c>
      <c r="AB6980" t="str">
        <f>IF(Table1[[#This Row],[TIPO2]]="costo", VLOOKUP(Table1[[#This Row],[PARTIDA PRESUPUESTAL]],'Cost Report'!G:G,1,0),"Balance")</f>
        <v>2585-003</v>
      </c>
      <c r="AD6980" s="159">
        <f>+Table1[[#This Row],[SUBTOTAL]]+Table1[[#This Row],[IVA]]-Table1[[#This Row],[RET IVA]]-Table1[[#This Row],[RET ISR]]-Table1[[#This Row],[TOTAL]]</f>
        <v>0</v>
      </c>
      <c r="AK6980" s="306" t="str">
        <f>IF(ISNUMBER(Table1[[#This Row],[FECHA DE RECIBIDO]]), Table1[[#This Row],[FECHA DE RECIBIDO]]-DATE(2023,8,30), "")</f>
        <v/>
      </c>
    </row>
    <row r="6981" spans="1:37">
      <c r="A6981" s="172"/>
      <c r="B6981" s="178"/>
      <c r="C6981" s="179" t="s">
        <v>2565</v>
      </c>
      <c r="D6981">
        <v>4614</v>
      </c>
      <c r="E6981" s="125"/>
      <c r="F6981" s="178"/>
      <c r="G6981" s="178"/>
      <c r="H6981"/>
      <c r="I6981" s="178"/>
      <c r="J6981" s="320" t="s">
        <v>214</v>
      </c>
      <c r="K6981" s="178"/>
      <c r="L6981" s="125" t="s">
        <v>4863</v>
      </c>
      <c r="M6981">
        <v>807</v>
      </c>
      <c r="N6981" s="182"/>
      <c r="O6981">
        <v>905</v>
      </c>
      <c r="P6981" s="176" t="s">
        <v>77</v>
      </c>
      <c r="Q6981" s="176">
        <v>7.5</v>
      </c>
      <c r="R6981" s="176"/>
      <c r="S6981" s="176"/>
      <c r="T6981" s="190"/>
      <c r="U6981" s="191"/>
      <c r="V6981" s="191">
        <f>+Table1[[#This Row],[SUBTOTAL]]+Table1[[#This Row],[IVA]]-Table1[[#This Row],[RET IVA]]-Table1[[#This Row],[RET ISR]]</f>
        <v>7.5</v>
      </c>
      <c r="W6981"/>
      <c r="X6981" s="186"/>
      <c r="Y6981" s="187"/>
      <c r="Z6981" s="311" t="s">
        <v>214</v>
      </c>
      <c r="AB6981" t="str">
        <f>IF(Table1[[#This Row],[TIPO2]]="costo", VLOOKUP(Table1[[#This Row],[PARTIDA PRESUPUESTAL]],'Cost Report'!G:G,1,0),"Balance")</f>
        <v>2585-003</v>
      </c>
      <c r="AD6981" s="159">
        <f>+Table1[[#This Row],[SUBTOTAL]]+Table1[[#This Row],[IVA]]-Table1[[#This Row],[RET IVA]]-Table1[[#This Row],[RET ISR]]-Table1[[#This Row],[TOTAL]]</f>
        <v>0</v>
      </c>
      <c r="AK6981" s="306" t="str">
        <f>IF(ISNUMBER(Table1[[#This Row],[FECHA DE RECIBIDO]]), Table1[[#This Row],[FECHA DE RECIBIDO]]-DATE(2023,8,30), "")</f>
        <v/>
      </c>
    </row>
    <row r="6982" spans="1:37">
      <c r="A6982" s="172"/>
      <c r="B6982" s="178"/>
      <c r="C6982" s="179" t="s">
        <v>2749</v>
      </c>
      <c r="D6982">
        <v>4614</v>
      </c>
      <c r="E6982" s="125"/>
      <c r="F6982" s="178"/>
      <c r="G6982" s="178"/>
      <c r="H6982"/>
      <c r="I6982" s="178"/>
      <c r="J6982" s="320" t="s">
        <v>214</v>
      </c>
      <c r="K6982" s="178"/>
      <c r="L6982" s="125" t="s">
        <v>4863</v>
      </c>
      <c r="M6982">
        <v>809</v>
      </c>
      <c r="N6982" s="182"/>
      <c r="O6982">
        <v>162</v>
      </c>
      <c r="P6982" s="176" t="s">
        <v>77</v>
      </c>
      <c r="Q6982" s="176">
        <v>10.266</v>
      </c>
      <c r="R6982" s="176"/>
      <c r="S6982" s="176"/>
      <c r="T6982" s="190"/>
      <c r="U6982" s="191"/>
      <c r="V6982" s="191">
        <f>+Table1[[#This Row],[SUBTOTAL]]+Table1[[#This Row],[IVA]]-Table1[[#This Row],[RET IVA]]-Table1[[#This Row],[RET ISR]]</f>
        <v>10.266</v>
      </c>
      <c r="W6982"/>
      <c r="X6982" s="186"/>
      <c r="Y6982" s="187"/>
      <c r="Z6982" s="311" t="s">
        <v>214</v>
      </c>
      <c r="AB6982" t="str">
        <f>IF(Table1[[#This Row],[TIPO2]]="costo", VLOOKUP(Table1[[#This Row],[PARTIDA PRESUPUESTAL]],'Cost Report'!G:G,1,0),"Balance")</f>
        <v>3401-011</v>
      </c>
      <c r="AD6982" s="159">
        <f>+Table1[[#This Row],[SUBTOTAL]]+Table1[[#This Row],[IVA]]-Table1[[#This Row],[RET IVA]]-Table1[[#This Row],[RET ISR]]-Table1[[#This Row],[TOTAL]]</f>
        <v>0</v>
      </c>
      <c r="AK6982" s="306" t="str">
        <f>IF(ISNUMBER(Table1[[#This Row],[FECHA DE RECIBIDO]]), Table1[[#This Row],[FECHA DE RECIBIDO]]-DATE(2023,8,30), "")</f>
        <v/>
      </c>
    </row>
    <row r="6983" spans="1:37">
      <c r="A6983" s="172"/>
      <c r="B6983" s="178"/>
      <c r="C6983" s="179" t="s">
        <v>2749</v>
      </c>
      <c r="D6983">
        <v>4614</v>
      </c>
      <c r="E6983" s="125"/>
      <c r="F6983" s="178"/>
      <c r="G6983" s="178"/>
      <c r="H6983"/>
      <c r="I6983" s="178"/>
      <c r="J6983" s="320" t="s">
        <v>214</v>
      </c>
      <c r="K6983" s="178"/>
      <c r="L6983" s="125" t="s">
        <v>4863</v>
      </c>
      <c r="M6983">
        <v>809</v>
      </c>
      <c r="N6983" s="182"/>
      <c r="O6983">
        <v>162</v>
      </c>
      <c r="P6983" s="176" t="s">
        <v>77</v>
      </c>
      <c r="Q6983" s="176">
        <v>10.266</v>
      </c>
      <c r="R6983" s="176"/>
      <c r="S6983" s="176"/>
      <c r="T6983" s="190"/>
      <c r="U6983" s="191"/>
      <c r="V6983" s="191">
        <f>+Table1[[#This Row],[SUBTOTAL]]+Table1[[#This Row],[IVA]]-Table1[[#This Row],[RET IVA]]-Table1[[#This Row],[RET ISR]]</f>
        <v>10.266</v>
      </c>
      <c r="W6983"/>
      <c r="X6983" s="186"/>
      <c r="Y6983" s="187"/>
      <c r="Z6983" s="311" t="s">
        <v>214</v>
      </c>
      <c r="AB6983" t="str">
        <f>IF(Table1[[#This Row],[TIPO2]]="costo", VLOOKUP(Table1[[#This Row],[PARTIDA PRESUPUESTAL]],'Cost Report'!G:G,1,0),"Balance")</f>
        <v>3401-011</v>
      </c>
      <c r="AD6983" s="159">
        <f>+Table1[[#This Row],[SUBTOTAL]]+Table1[[#This Row],[IVA]]-Table1[[#This Row],[RET IVA]]-Table1[[#This Row],[RET ISR]]-Table1[[#This Row],[TOTAL]]</f>
        <v>0</v>
      </c>
      <c r="AK6983" s="306" t="str">
        <f>IF(ISNUMBER(Table1[[#This Row],[FECHA DE RECIBIDO]]), Table1[[#This Row],[FECHA DE RECIBIDO]]-DATE(2023,8,30), "")</f>
        <v/>
      </c>
    </row>
    <row r="6984" spans="1:37">
      <c r="A6984" s="172"/>
      <c r="B6984" s="178"/>
      <c r="C6984" s="179" t="s">
        <v>2860</v>
      </c>
      <c r="D6984">
        <v>4614</v>
      </c>
      <c r="E6984" s="125"/>
      <c r="F6984" s="178"/>
      <c r="G6984" s="178"/>
      <c r="H6984"/>
      <c r="I6984" s="178"/>
      <c r="J6984" s="320" t="s">
        <v>214</v>
      </c>
      <c r="K6984" s="178"/>
      <c r="L6984" s="125" t="s">
        <v>4863</v>
      </c>
      <c r="M6984">
        <v>184</v>
      </c>
      <c r="N6984" s="182"/>
      <c r="O6984">
        <v>1972</v>
      </c>
      <c r="P6984" s="176" t="s">
        <v>77</v>
      </c>
      <c r="Q6984" s="176">
        <v>3</v>
      </c>
      <c r="R6984" s="176"/>
      <c r="S6984" s="176"/>
      <c r="T6984" s="190"/>
      <c r="U6984" s="191"/>
      <c r="V6984" s="191">
        <f>+Table1[[#This Row],[SUBTOTAL]]+Table1[[#This Row],[IVA]]-Table1[[#This Row],[RET IVA]]-Table1[[#This Row],[RET ISR]]</f>
        <v>3</v>
      </c>
      <c r="W6984"/>
      <c r="X6984" s="186"/>
      <c r="Y6984" s="187"/>
      <c r="Z6984" s="311" t="s">
        <v>214</v>
      </c>
      <c r="AB6984" t="str">
        <f>IF(Table1[[#This Row],[TIPO2]]="costo", VLOOKUP(Table1[[#This Row],[PARTIDA PRESUPUESTAL]],'Cost Report'!G:G,1,0),"Balance")</f>
        <v>3629-003</v>
      </c>
      <c r="AD6984" s="159">
        <f>+Table1[[#This Row],[SUBTOTAL]]+Table1[[#This Row],[IVA]]-Table1[[#This Row],[RET IVA]]-Table1[[#This Row],[RET ISR]]-Table1[[#This Row],[TOTAL]]</f>
        <v>0</v>
      </c>
      <c r="AK6984" s="306" t="str">
        <f>IF(ISNUMBER(Table1[[#This Row],[FECHA DE RECIBIDO]]), Table1[[#This Row],[FECHA DE RECIBIDO]]-DATE(2023,8,30), "")</f>
        <v/>
      </c>
    </row>
    <row r="6985" spans="1:37">
      <c r="A6985" s="172"/>
      <c r="B6985" s="178"/>
      <c r="C6985" s="179" t="s">
        <v>2860</v>
      </c>
      <c r="D6985">
        <v>4614</v>
      </c>
      <c r="E6985" s="125"/>
      <c r="F6985" s="178"/>
      <c r="G6985" s="178"/>
      <c r="H6985"/>
      <c r="I6985" s="178"/>
      <c r="J6985" s="320" t="s">
        <v>214</v>
      </c>
      <c r="K6985" s="178"/>
      <c r="L6985" s="125" t="s">
        <v>4863</v>
      </c>
      <c r="M6985">
        <v>184</v>
      </c>
      <c r="N6985" s="182"/>
      <c r="O6985">
        <v>1972</v>
      </c>
      <c r="P6985" s="176" t="s">
        <v>77</v>
      </c>
      <c r="Q6985" s="176">
        <v>3</v>
      </c>
      <c r="R6985" s="176"/>
      <c r="S6985" s="176"/>
      <c r="T6985" s="190"/>
      <c r="U6985" s="191"/>
      <c r="V6985" s="191">
        <f>+Table1[[#This Row],[SUBTOTAL]]+Table1[[#This Row],[IVA]]-Table1[[#This Row],[RET IVA]]-Table1[[#This Row],[RET ISR]]</f>
        <v>3</v>
      </c>
      <c r="W6985"/>
      <c r="X6985" s="186"/>
      <c r="Y6985" s="187"/>
      <c r="Z6985" s="311" t="s">
        <v>214</v>
      </c>
      <c r="AB6985" t="str">
        <f>IF(Table1[[#This Row],[TIPO2]]="costo", VLOOKUP(Table1[[#This Row],[PARTIDA PRESUPUESTAL]],'Cost Report'!G:G,1,0),"Balance")</f>
        <v>3629-003</v>
      </c>
      <c r="AD6985" s="159">
        <f>+Table1[[#This Row],[SUBTOTAL]]+Table1[[#This Row],[IVA]]-Table1[[#This Row],[RET IVA]]-Table1[[#This Row],[RET ISR]]-Table1[[#This Row],[TOTAL]]</f>
        <v>0</v>
      </c>
      <c r="AK6985" s="306" t="str">
        <f>IF(ISNUMBER(Table1[[#This Row],[FECHA DE RECIBIDO]]), Table1[[#This Row],[FECHA DE RECIBIDO]]-DATE(2023,8,30), "")</f>
        <v/>
      </c>
    </row>
    <row r="6986" spans="1:37">
      <c r="A6986" s="172"/>
      <c r="B6986" s="178"/>
      <c r="C6986" s="179" t="s">
        <v>2829</v>
      </c>
      <c r="D6986">
        <v>4614</v>
      </c>
      <c r="E6986" s="125"/>
      <c r="F6986" s="178"/>
      <c r="G6986" s="178"/>
      <c r="H6986"/>
      <c r="I6986" s="178"/>
      <c r="J6986" s="320" t="s">
        <v>214</v>
      </c>
      <c r="K6986" s="178"/>
      <c r="L6986" s="125" t="s">
        <v>4863</v>
      </c>
      <c r="M6986">
        <v>810</v>
      </c>
      <c r="N6986" s="182"/>
      <c r="O6986">
        <v>1973</v>
      </c>
      <c r="P6986" s="176" t="s">
        <v>77</v>
      </c>
      <c r="Q6986" s="176">
        <v>5.3999999999999995</v>
      </c>
      <c r="R6986" s="176"/>
      <c r="S6986" s="176"/>
      <c r="T6986" s="190"/>
      <c r="U6986" s="191"/>
      <c r="V6986" s="191">
        <f>+Table1[[#This Row],[SUBTOTAL]]+Table1[[#This Row],[IVA]]-Table1[[#This Row],[RET IVA]]-Table1[[#This Row],[RET ISR]]</f>
        <v>5.3999999999999995</v>
      </c>
      <c r="W6986"/>
      <c r="X6986" s="186"/>
      <c r="Y6986" s="187"/>
      <c r="Z6986" s="311" t="s">
        <v>214</v>
      </c>
      <c r="AB6986" t="str">
        <f>IF(Table1[[#This Row],[TIPO2]]="costo", VLOOKUP(Table1[[#This Row],[PARTIDA PRESUPUESTAL]],'Cost Report'!G:G,1,0),"Balance")</f>
        <v>3412-138</v>
      </c>
      <c r="AD6986" s="159">
        <f>+Table1[[#This Row],[SUBTOTAL]]+Table1[[#This Row],[IVA]]-Table1[[#This Row],[RET IVA]]-Table1[[#This Row],[RET ISR]]-Table1[[#This Row],[TOTAL]]</f>
        <v>0</v>
      </c>
      <c r="AK6986" s="306" t="str">
        <f>IF(ISNUMBER(Table1[[#This Row],[FECHA DE RECIBIDO]]), Table1[[#This Row],[FECHA DE RECIBIDO]]-DATE(2023,8,30), "")</f>
        <v/>
      </c>
    </row>
    <row r="6987" spans="1:37">
      <c r="A6987" s="172"/>
      <c r="B6987" s="178"/>
      <c r="C6987" s="179" t="s">
        <v>2749</v>
      </c>
      <c r="D6987">
        <v>4614</v>
      </c>
      <c r="E6987" s="125"/>
      <c r="F6987" s="178"/>
      <c r="G6987" s="178"/>
      <c r="H6987"/>
      <c r="I6987" s="178"/>
      <c r="J6987" s="320" t="s">
        <v>214</v>
      </c>
      <c r="K6987" s="178"/>
      <c r="L6987" s="125" t="s">
        <v>4863</v>
      </c>
      <c r="M6987">
        <v>809</v>
      </c>
      <c r="N6987" s="182"/>
      <c r="O6987">
        <v>162</v>
      </c>
      <c r="P6987" s="176" t="s">
        <v>77</v>
      </c>
      <c r="Q6987" s="176">
        <v>10.266</v>
      </c>
      <c r="R6987" s="176"/>
      <c r="S6987" s="176"/>
      <c r="T6987" s="190"/>
      <c r="U6987" s="191"/>
      <c r="V6987" s="191">
        <f>+Table1[[#This Row],[SUBTOTAL]]+Table1[[#This Row],[IVA]]-Table1[[#This Row],[RET IVA]]-Table1[[#This Row],[RET ISR]]</f>
        <v>10.266</v>
      </c>
      <c r="W6987"/>
      <c r="X6987" s="186"/>
      <c r="Y6987" s="187"/>
      <c r="Z6987" s="311" t="s">
        <v>214</v>
      </c>
      <c r="AB6987" t="str">
        <f>IF(Table1[[#This Row],[TIPO2]]="costo", VLOOKUP(Table1[[#This Row],[PARTIDA PRESUPUESTAL]],'Cost Report'!G:G,1,0),"Balance")</f>
        <v>3401-011</v>
      </c>
      <c r="AD6987" s="159">
        <f>+Table1[[#This Row],[SUBTOTAL]]+Table1[[#This Row],[IVA]]-Table1[[#This Row],[RET IVA]]-Table1[[#This Row],[RET ISR]]-Table1[[#This Row],[TOTAL]]</f>
        <v>0</v>
      </c>
      <c r="AK6987" s="306" t="str">
        <f>IF(ISNUMBER(Table1[[#This Row],[FECHA DE RECIBIDO]]), Table1[[#This Row],[FECHA DE RECIBIDO]]-DATE(2023,8,30), "")</f>
        <v/>
      </c>
    </row>
    <row r="6988" spans="1:37">
      <c r="A6988" s="172"/>
      <c r="B6988" s="178"/>
      <c r="C6988" s="179" t="s">
        <v>2749</v>
      </c>
      <c r="D6988">
        <v>4614</v>
      </c>
      <c r="E6988" s="125"/>
      <c r="F6988" s="178"/>
      <c r="G6988" s="178"/>
      <c r="H6988"/>
      <c r="I6988" s="178"/>
      <c r="J6988" s="320" t="s">
        <v>214</v>
      </c>
      <c r="K6988" s="178"/>
      <c r="L6988" s="125" t="s">
        <v>4863</v>
      </c>
      <c r="M6988">
        <v>809</v>
      </c>
      <c r="N6988" s="182"/>
      <c r="O6988">
        <v>162</v>
      </c>
      <c r="P6988" s="176" t="s">
        <v>77</v>
      </c>
      <c r="Q6988" s="176">
        <v>10.266</v>
      </c>
      <c r="R6988" s="176"/>
      <c r="S6988" s="176"/>
      <c r="T6988" s="190"/>
      <c r="U6988" s="191"/>
      <c r="V6988" s="191">
        <f>+Table1[[#This Row],[SUBTOTAL]]+Table1[[#This Row],[IVA]]-Table1[[#This Row],[RET IVA]]-Table1[[#This Row],[RET ISR]]</f>
        <v>10.266</v>
      </c>
      <c r="W6988"/>
      <c r="X6988" s="186"/>
      <c r="Y6988" s="187"/>
      <c r="Z6988" s="311" t="s">
        <v>214</v>
      </c>
      <c r="AB6988" t="str">
        <f>IF(Table1[[#This Row],[TIPO2]]="costo", VLOOKUP(Table1[[#This Row],[PARTIDA PRESUPUESTAL]],'Cost Report'!G:G,1,0),"Balance")</f>
        <v>3401-011</v>
      </c>
      <c r="AD6988" s="159">
        <f>+Table1[[#This Row],[SUBTOTAL]]+Table1[[#This Row],[IVA]]-Table1[[#This Row],[RET IVA]]-Table1[[#This Row],[RET ISR]]-Table1[[#This Row],[TOTAL]]</f>
        <v>0</v>
      </c>
      <c r="AK6988" s="306" t="str">
        <f>IF(ISNUMBER(Table1[[#This Row],[FECHA DE RECIBIDO]]), Table1[[#This Row],[FECHA DE RECIBIDO]]-DATE(2023,8,30), "")</f>
        <v/>
      </c>
    </row>
    <row r="6989" spans="1:37">
      <c r="A6989" s="172"/>
      <c r="B6989" s="178"/>
      <c r="C6989" s="179" t="s">
        <v>2860</v>
      </c>
      <c r="D6989">
        <v>4614</v>
      </c>
      <c r="E6989" s="125"/>
      <c r="F6989" s="178"/>
      <c r="G6989" s="178"/>
      <c r="H6989"/>
      <c r="I6989" s="178"/>
      <c r="J6989" s="320" t="s">
        <v>214</v>
      </c>
      <c r="K6989" s="178"/>
      <c r="L6989" s="125" t="s">
        <v>4863</v>
      </c>
      <c r="M6989">
        <v>184</v>
      </c>
      <c r="N6989" s="182"/>
      <c r="O6989">
        <v>1972</v>
      </c>
      <c r="P6989" s="176" t="s">
        <v>77</v>
      </c>
      <c r="Q6989" s="176">
        <v>3</v>
      </c>
      <c r="R6989" s="176"/>
      <c r="S6989" s="176"/>
      <c r="T6989" s="190"/>
      <c r="U6989" s="191"/>
      <c r="V6989" s="191">
        <f>+Table1[[#This Row],[SUBTOTAL]]+Table1[[#This Row],[IVA]]-Table1[[#This Row],[RET IVA]]-Table1[[#This Row],[RET ISR]]</f>
        <v>3</v>
      </c>
      <c r="W6989"/>
      <c r="X6989" s="186"/>
      <c r="Y6989" s="187"/>
      <c r="Z6989" s="311" t="s">
        <v>214</v>
      </c>
      <c r="AB6989" t="str">
        <f>IF(Table1[[#This Row],[TIPO2]]="costo", VLOOKUP(Table1[[#This Row],[PARTIDA PRESUPUESTAL]],'Cost Report'!G:G,1,0),"Balance")</f>
        <v>3629-003</v>
      </c>
      <c r="AD6989" s="159">
        <f>+Table1[[#This Row],[SUBTOTAL]]+Table1[[#This Row],[IVA]]-Table1[[#This Row],[RET IVA]]-Table1[[#This Row],[RET ISR]]-Table1[[#This Row],[TOTAL]]</f>
        <v>0</v>
      </c>
      <c r="AK6989" s="306" t="str">
        <f>IF(ISNUMBER(Table1[[#This Row],[FECHA DE RECIBIDO]]), Table1[[#This Row],[FECHA DE RECIBIDO]]-DATE(2023,8,30), "")</f>
        <v/>
      </c>
    </row>
    <row r="6990" spans="1:37">
      <c r="A6990" s="172"/>
      <c r="B6990" s="178"/>
      <c r="C6990" s="179" t="s">
        <v>2860</v>
      </c>
      <c r="D6990">
        <v>4614</v>
      </c>
      <c r="E6990" s="125"/>
      <c r="F6990" s="178"/>
      <c r="G6990" s="178"/>
      <c r="H6990"/>
      <c r="I6990" s="178"/>
      <c r="J6990" s="320" t="s">
        <v>214</v>
      </c>
      <c r="K6990" s="178"/>
      <c r="L6990" s="125" t="s">
        <v>4863</v>
      </c>
      <c r="M6990">
        <v>184</v>
      </c>
      <c r="N6990" s="182"/>
      <c r="O6990">
        <v>1972</v>
      </c>
      <c r="P6990" s="176" t="s">
        <v>77</v>
      </c>
      <c r="Q6990" s="176">
        <v>3</v>
      </c>
      <c r="R6990" s="176"/>
      <c r="S6990" s="176"/>
      <c r="T6990" s="190"/>
      <c r="U6990" s="191"/>
      <c r="V6990" s="191">
        <f>+Table1[[#This Row],[SUBTOTAL]]+Table1[[#This Row],[IVA]]-Table1[[#This Row],[RET IVA]]-Table1[[#This Row],[RET ISR]]</f>
        <v>3</v>
      </c>
      <c r="W6990"/>
      <c r="X6990" s="186"/>
      <c r="Y6990" s="187"/>
      <c r="Z6990" s="311" t="s">
        <v>214</v>
      </c>
      <c r="AB6990" t="str">
        <f>IF(Table1[[#This Row],[TIPO2]]="costo", VLOOKUP(Table1[[#This Row],[PARTIDA PRESUPUESTAL]],'Cost Report'!G:G,1,0),"Balance")</f>
        <v>3629-003</v>
      </c>
      <c r="AD6990" s="159">
        <f>+Table1[[#This Row],[SUBTOTAL]]+Table1[[#This Row],[IVA]]-Table1[[#This Row],[RET IVA]]-Table1[[#This Row],[RET ISR]]-Table1[[#This Row],[TOTAL]]</f>
        <v>0</v>
      </c>
      <c r="AK6990" s="306" t="str">
        <f>IF(ISNUMBER(Table1[[#This Row],[FECHA DE RECIBIDO]]), Table1[[#This Row],[FECHA DE RECIBIDO]]-DATE(2023,8,30), "")</f>
        <v/>
      </c>
    </row>
    <row r="6991" spans="1:37">
      <c r="A6991" s="172"/>
      <c r="B6991" s="178"/>
      <c r="C6991" s="179" t="s">
        <v>2829</v>
      </c>
      <c r="D6991">
        <v>4614</v>
      </c>
      <c r="E6991" s="125"/>
      <c r="F6991" s="178"/>
      <c r="G6991" s="178"/>
      <c r="H6991"/>
      <c r="I6991" s="178"/>
      <c r="J6991" s="320" t="s">
        <v>214</v>
      </c>
      <c r="K6991" s="178"/>
      <c r="L6991" s="125" t="s">
        <v>4863</v>
      </c>
      <c r="M6991">
        <v>810</v>
      </c>
      <c r="N6991" s="182"/>
      <c r="O6991">
        <v>1973</v>
      </c>
      <c r="P6991" s="176" t="s">
        <v>77</v>
      </c>
      <c r="Q6991" s="176">
        <v>5.3999999999999995</v>
      </c>
      <c r="R6991" s="176"/>
      <c r="S6991" s="176"/>
      <c r="T6991" s="190"/>
      <c r="U6991" s="191"/>
      <c r="V6991" s="191">
        <f>+Table1[[#This Row],[SUBTOTAL]]+Table1[[#This Row],[IVA]]-Table1[[#This Row],[RET IVA]]-Table1[[#This Row],[RET ISR]]</f>
        <v>5.3999999999999995</v>
      </c>
      <c r="W6991"/>
      <c r="X6991" s="186"/>
      <c r="Y6991" s="187"/>
      <c r="Z6991" s="311" t="s">
        <v>214</v>
      </c>
      <c r="AB6991" t="str">
        <f>IF(Table1[[#This Row],[TIPO2]]="costo", VLOOKUP(Table1[[#This Row],[PARTIDA PRESUPUESTAL]],'Cost Report'!G:G,1,0),"Balance")</f>
        <v>3412-138</v>
      </c>
      <c r="AD6991" s="159">
        <f>+Table1[[#This Row],[SUBTOTAL]]+Table1[[#This Row],[IVA]]-Table1[[#This Row],[RET IVA]]-Table1[[#This Row],[RET ISR]]-Table1[[#This Row],[TOTAL]]</f>
        <v>0</v>
      </c>
      <c r="AK6991" s="306" t="str">
        <f>IF(ISNUMBER(Table1[[#This Row],[FECHA DE RECIBIDO]]), Table1[[#This Row],[FECHA DE RECIBIDO]]-DATE(2023,8,30), "")</f>
        <v/>
      </c>
    </row>
    <row r="6992" spans="1:37">
      <c r="A6992" s="172"/>
      <c r="B6992" s="178"/>
      <c r="C6992" s="179" t="s">
        <v>1520</v>
      </c>
      <c r="D6992">
        <v>4614</v>
      </c>
      <c r="E6992" s="125"/>
      <c r="F6992" s="178"/>
      <c r="G6992" s="178"/>
      <c r="H6992"/>
      <c r="I6992" s="178"/>
      <c r="J6992" s="320" t="s">
        <v>214</v>
      </c>
      <c r="K6992" s="178"/>
      <c r="L6992" s="125" t="s">
        <v>4863</v>
      </c>
      <c r="M6992">
        <v>815</v>
      </c>
      <c r="N6992" s="182"/>
      <c r="O6992">
        <v>1991</v>
      </c>
      <c r="P6992" s="176" t="s">
        <v>77</v>
      </c>
      <c r="Q6992" s="176">
        <v>120</v>
      </c>
      <c r="R6992" s="176"/>
      <c r="S6992" s="176"/>
      <c r="T6992" s="190"/>
      <c r="U6992" s="191"/>
      <c r="V6992" s="191">
        <f>+Table1[[#This Row],[SUBTOTAL]]+Table1[[#This Row],[IVA]]-Table1[[#This Row],[RET IVA]]-Table1[[#This Row],[RET ISR]]</f>
        <v>120</v>
      </c>
      <c r="W6992"/>
      <c r="X6992" s="186"/>
      <c r="Y6992" s="187"/>
      <c r="Z6992" s="311" t="s">
        <v>214</v>
      </c>
      <c r="AB6992" t="str">
        <f>IF(Table1[[#This Row],[TIPO2]]="costo", VLOOKUP(Table1[[#This Row],[PARTIDA PRESUPUESTAL]],'Cost Report'!G:G,1,0),"Balance")</f>
        <v>2623-003</v>
      </c>
      <c r="AD6992" s="159">
        <f>+Table1[[#This Row],[SUBTOTAL]]+Table1[[#This Row],[IVA]]-Table1[[#This Row],[RET IVA]]-Table1[[#This Row],[RET ISR]]-Table1[[#This Row],[TOTAL]]</f>
        <v>0</v>
      </c>
      <c r="AK6992" s="306" t="str">
        <f>IF(ISNUMBER(Table1[[#This Row],[FECHA DE RECIBIDO]]), Table1[[#This Row],[FECHA DE RECIBIDO]]-DATE(2023,8,30), "")</f>
        <v/>
      </c>
    </row>
    <row r="6993" spans="1:37">
      <c r="A6993" s="172"/>
      <c r="B6993" s="178"/>
      <c r="C6993" s="179" t="s">
        <v>2749</v>
      </c>
      <c r="D6993">
        <v>4614</v>
      </c>
      <c r="E6993" s="125"/>
      <c r="F6993" s="178"/>
      <c r="G6993" s="178"/>
      <c r="H6993"/>
      <c r="I6993" s="178"/>
      <c r="J6993" s="320" t="s">
        <v>214</v>
      </c>
      <c r="K6993" s="178"/>
      <c r="L6993" s="125" t="s">
        <v>4863</v>
      </c>
      <c r="M6993">
        <v>654</v>
      </c>
      <c r="N6993" s="182"/>
      <c r="O6993">
        <v>162</v>
      </c>
      <c r="P6993" s="176" t="s">
        <v>77</v>
      </c>
      <c r="Q6993" s="176">
        <v>10.266</v>
      </c>
      <c r="R6993" s="176"/>
      <c r="S6993" s="176"/>
      <c r="T6993" s="190"/>
      <c r="U6993" s="191"/>
      <c r="V6993" s="191">
        <f>+Table1[[#This Row],[SUBTOTAL]]+Table1[[#This Row],[IVA]]-Table1[[#This Row],[RET IVA]]-Table1[[#This Row],[RET ISR]]</f>
        <v>10.266</v>
      </c>
      <c r="W6993"/>
      <c r="X6993" s="186"/>
      <c r="Y6993" s="187"/>
      <c r="Z6993" s="311" t="s">
        <v>214</v>
      </c>
      <c r="AB6993" t="str">
        <f>IF(Table1[[#This Row],[TIPO2]]="costo", VLOOKUP(Table1[[#This Row],[PARTIDA PRESUPUESTAL]],'Cost Report'!G:G,1,0),"Balance")</f>
        <v>3401-011</v>
      </c>
      <c r="AD6993" s="159">
        <f>+Table1[[#This Row],[SUBTOTAL]]+Table1[[#This Row],[IVA]]-Table1[[#This Row],[RET IVA]]-Table1[[#This Row],[RET ISR]]-Table1[[#This Row],[TOTAL]]</f>
        <v>0</v>
      </c>
      <c r="AK6993" s="306" t="str">
        <f>IF(ISNUMBER(Table1[[#This Row],[FECHA DE RECIBIDO]]), Table1[[#This Row],[FECHA DE RECIBIDO]]-DATE(2023,8,30), "")</f>
        <v/>
      </c>
    </row>
    <row r="6994" spans="1:37">
      <c r="A6994" s="172"/>
      <c r="B6994" s="178"/>
      <c r="C6994" s="179" t="s">
        <v>2874</v>
      </c>
      <c r="D6994">
        <v>4614</v>
      </c>
      <c r="E6994" s="125"/>
      <c r="F6994" s="178"/>
      <c r="G6994" s="178"/>
      <c r="H6994"/>
      <c r="I6994" s="178"/>
      <c r="J6994" s="320" t="s">
        <v>214</v>
      </c>
      <c r="K6994" s="178"/>
      <c r="L6994" s="125" t="s">
        <v>4863</v>
      </c>
      <c r="M6994">
        <v>73</v>
      </c>
      <c r="N6994" s="182"/>
      <c r="O6994">
        <v>1992</v>
      </c>
      <c r="P6994" s="176" t="s">
        <v>77</v>
      </c>
      <c r="Q6994" s="176">
        <v>139.5</v>
      </c>
      <c r="R6994" s="176"/>
      <c r="S6994" s="176"/>
      <c r="T6994" s="190"/>
      <c r="U6994" s="191"/>
      <c r="V6994" s="191">
        <f>+Table1[[#This Row],[SUBTOTAL]]+Table1[[#This Row],[IVA]]-Table1[[#This Row],[RET IVA]]-Table1[[#This Row],[RET ISR]]</f>
        <v>139.5</v>
      </c>
      <c r="W6994"/>
      <c r="X6994" s="186"/>
      <c r="Y6994" s="187"/>
      <c r="Z6994" s="311" t="s">
        <v>214</v>
      </c>
      <c r="AB6994" t="str">
        <f>IF(Table1[[#This Row],[TIPO2]]="costo", VLOOKUP(Table1[[#This Row],[PARTIDA PRESUPUESTAL]],'Cost Report'!G:G,1,0),"Balance")</f>
        <v>3632-019</v>
      </c>
      <c r="AD6994" s="159">
        <f>+Table1[[#This Row],[SUBTOTAL]]+Table1[[#This Row],[IVA]]-Table1[[#This Row],[RET IVA]]-Table1[[#This Row],[RET ISR]]-Table1[[#This Row],[TOTAL]]</f>
        <v>0</v>
      </c>
      <c r="AK6994" s="306" t="str">
        <f>IF(ISNUMBER(Table1[[#This Row],[FECHA DE RECIBIDO]]), Table1[[#This Row],[FECHA DE RECIBIDO]]-DATE(2023,8,30), "")</f>
        <v/>
      </c>
    </row>
    <row r="6995" spans="1:37">
      <c r="A6995" s="172"/>
      <c r="B6995" s="178"/>
      <c r="C6995" s="179" t="s">
        <v>2829</v>
      </c>
      <c r="D6995">
        <v>4614</v>
      </c>
      <c r="E6995" s="125"/>
      <c r="F6995" s="178"/>
      <c r="G6995" s="178"/>
      <c r="H6995"/>
      <c r="I6995" s="178"/>
      <c r="J6995" s="320" t="s">
        <v>214</v>
      </c>
      <c r="K6995" s="178"/>
      <c r="L6995" s="125" t="s">
        <v>4863</v>
      </c>
      <c r="M6995">
        <v>74</v>
      </c>
      <c r="N6995" s="182"/>
      <c r="O6995">
        <v>1993</v>
      </c>
      <c r="P6995" s="176" t="s">
        <v>77</v>
      </c>
      <c r="Q6995" s="176">
        <v>8.1</v>
      </c>
      <c r="R6995" s="176"/>
      <c r="S6995" s="176"/>
      <c r="T6995" s="190"/>
      <c r="U6995" s="191"/>
      <c r="V6995" s="191">
        <f>+Table1[[#This Row],[SUBTOTAL]]+Table1[[#This Row],[IVA]]-Table1[[#This Row],[RET IVA]]-Table1[[#This Row],[RET ISR]]</f>
        <v>8.1</v>
      </c>
      <c r="W6995"/>
      <c r="X6995" s="186"/>
      <c r="Y6995" s="187"/>
      <c r="Z6995" s="311" t="s">
        <v>214</v>
      </c>
      <c r="AB6995" t="str">
        <f>IF(Table1[[#This Row],[TIPO2]]="costo", VLOOKUP(Table1[[#This Row],[PARTIDA PRESUPUESTAL]],'Cost Report'!G:G,1,0),"Balance")</f>
        <v>3412-138</v>
      </c>
      <c r="AD6995" s="159">
        <f>+Table1[[#This Row],[SUBTOTAL]]+Table1[[#This Row],[IVA]]-Table1[[#This Row],[RET IVA]]-Table1[[#This Row],[RET ISR]]-Table1[[#This Row],[TOTAL]]</f>
        <v>0</v>
      </c>
      <c r="AK6995" s="306" t="str">
        <f>IF(ISNUMBER(Table1[[#This Row],[FECHA DE RECIBIDO]]), Table1[[#This Row],[FECHA DE RECIBIDO]]-DATE(2023,8,30), "")</f>
        <v/>
      </c>
    </row>
    <row r="6996" spans="1:37">
      <c r="A6996" s="172"/>
      <c r="B6996" s="178"/>
      <c r="C6996" s="179" t="s">
        <v>2829</v>
      </c>
      <c r="D6996">
        <v>4614</v>
      </c>
      <c r="E6996" s="125"/>
      <c r="F6996" s="178"/>
      <c r="G6996" s="178"/>
      <c r="H6996"/>
      <c r="I6996" s="178"/>
      <c r="J6996" s="320" t="s">
        <v>214</v>
      </c>
      <c r="K6996" s="178"/>
      <c r="L6996" s="125" t="s">
        <v>4863</v>
      </c>
      <c r="M6996">
        <v>74</v>
      </c>
      <c r="N6996" s="182"/>
      <c r="O6996">
        <v>1993</v>
      </c>
      <c r="P6996" s="176" t="s">
        <v>77</v>
      </c>
      <c r="Q6996" s="176">
        <v>8.1</v>
      </c>
      <c r="R6996" s="176"/>
      <c r="S6996" s="176"/>
      <c r="T6996" s="190"/>
      <c r="U6996" s="191"/>
      <c r="V6996" s="191">
        <f>+Table1[[#This Row],[SUBTOTAL]]+Table1[[#This Row],[IVA]]-Table1[[#This Row],[RET IVA]]-Table1[[#This Row],[RET ISR]]</f>
        <v>8.1</v>
      </c>
      <c r="W6996"/>
      <c r="X6996" s="186"/>
      <c r="Y6996" s="187"/>
      <c r="Z6996" s="311" t="s">
        <v>214</v>
      </c>
      <c r="AB6996" t="str">
        <f>IF(Table1[[#This Row],[TIPO2]]="costo", VLOOKUP(Table1[[#This Row],[PARTIDA PRESUPUESTAL]],'Cost Report'!G:G,1,0),"Balance")</f>
        <v>3412-138</v>
      </c>
      <c r="AD6996" s="159">
        <f>+Table1[[#This Row],[SUBTOTAL]]+Table1[[#This Row],[IVA]]-Table1[[#This Row],[RET IVA]]-Table1[[#This Row],[RET ISR]]-Table1[[#This Row],[TOTAL]]</f>
        <v>0</v>
      </c>
      <c r="AK6996" s="306" t="str">
        <f>IF(ISNUMBER(Table1[[#This Row],[FECHA DE RECIBIDO]]), Table1[[#This Row],[FECHA DE RECIBIDO]]-DATE(2023,8,30), "")</f>
        <v/>
      </c>
    </row>
    <row r="6997" spans="1:37">
      <c r="A6997" s="172"/>
      <c r="B6997" s="178"/>
      <c r="C6997" s="179" t="s">
        <v>2874</v>
      </c>
      <c r="D6997">
        <v>4614</v>
      </c>
      <c r="E6997" s="125"/>
      <c r="F6997" s="178"/>
      <c r="G6997" s="178"/>
      <c r="H6997"/>
      <c r="I6997" s="178"/>
      <c r="J6997" s="320" t="s">
        <v>214</v>
      </c>
      <c r="K6997" s="178"/>
      <c r="L6997" s="125" t="s">
        <v>4863</v>
      </c>
      <c r="M6997">
        <v>816</v>
      </c>
      <c r="N6997" s="182"/>
      <c r="O6997">
        <v>1992</v>
      </c>
      <c r="P6997" s="176" t="s">
        <v>77</v>
      </c>
      <c r="Q6997" s="176">
        <v>117</v>
      </c>
      <c r="R6997" s="176"/>
      <c r="S6997" s="176"/>
      <c r="T6997" s="190"/>
      <c r="U6997" s="191"/>
      <c r="V6997" s="191">
        <f>+Table1[[#This Row],[SUBTOTAL]]+Table1[[#This Row],[IVA]]-Table1[[#This Row],[RET IVA]]-Table1[[#This Row],[RET ISR]]</f>
        <v>117</v>
      </c>
      <c r="W6997"/>
      <c r="X6997" s="186"/>
      <c r="Y6997" s="187"/>
      <c r="Z6997" s="311" t="s">
        <v>214</v>
      </c>
      <c r="AB6997" t="str">
        <f>IF(Table1[[#This Row],[TIPO2]]="costo", VLOOKUP(Table1[[#This Row],[PARTIDA PRESUPUESTAL]],'Cost Report'!G:G,1,0),"Balance")</f>
        <v>3632-019</v>
      </c>
      <c r="AD6997" s="159">
        <f>+Table1[[#This Row],[SUBTOTAL]]+Table1[[#This Row],[IVA]]-Table1[[#This Row],[RET IVA]]-Table1[[#This Row],[RET ISR]]-Table1[[#This Row],[TOTAL]]</f>
        <v>0</v>
      </c>
      <c r="AK6997" s="306" t="str">
        <f>IF(ISNUMBER(Table1[[#This Row],[FECHA DE RECIBIDO]]), Table1[[#This Row],[FECHA DE RECIBIDO]]-DATE(2023,8,30), "")</f>
        <v/>
      </c>
    </row>
    <row r="6998" spans="1:37">
      <c r="A6998" s="172"/>
      <c r="B6998" s="178"/>
      <c r="C6998" s="179" t="s">
        <v>2749</v>
      </c>
      <c r="D6998">
        <v>4614</v>
      </c>
      <c r="E6998" s="125"/>
      <c r="F6998" s="178"/>
      <c r="G6998" s="178"/>
      <c r="H6998"/>
      <c r="I6998" s="178"/>
      <c r="J6998" s="320" t="s">
        <v>214</v>
      </c>
      <c r="K6998" s="178"/>
      <c r="L6998" s="125" t="s">
        <v>4863</v>
      </c>
      <c r="M6998">
        <v>654</v>
      </c>
      <c r="N6998" s="182"/>
      <c r="O6998">
        <v>162</v>
      </c>
      <c r="P6998" s="176" t="s">
        <v>77</v>
      </c>
      <c r="Q6998" s="176">
        <v>10.266</v>
      </c>
      <c r="R6998" s="176"/>
      <c r="S6998" s="176"/>
      <c r="T6998" s="190"/>
      <c r="U6998" s="191"/>
      <c r="V6998" s="191">
        <f>+Table1[[#This Row],[SUBTOTAL]]+Table1[[#This Row],[IVA]]-Table1[[#This Row],[RET IVA]]-Table1[[#This Row],[RET ISR]]</f>
        <v>10.266</v>
      </c>
      <c r="W6998"/>
      <c r="X6998" s="186"/>
      <c r="Y6998" s="187"/>
      <c r="Z6998" s="311" t="s">
        <v>214</v>
      </c>
      <c r="AB6998" t="str">
        <f>IF(Table1[[#This Row],[TIPO2]]="costo", VLOOKUP(Table1[[#This Row],[PARTIDA PRESUPUESTAL]],'Cost Report'!G:G,1,0),"Balance")</f>
        <v>3401-011</v>
      </c>
      <c r="AD6998" s="159">
        <f>+Table1[[#This Row],[SUBTOTAL]]+Table1[[#This Row],[IVA]]-Table1[[#This Row],[RET IVA]]-Table1[[#This Row],[RET ISR]]-Table1[[#This Row],[TOTAL]]</f>
        <v>0</v>
      </c>
      <c r="AK6998" s="306" t="str">
        <f>IF(ISNUMBER(Table1[[#This Row],[FECHA DE RECIBIDO]]), Table1[[#This Row],[FECHA DE RECIBIDO]]-DATE(2023,8,30), "")</f>
        <v/>
      </c>
    </row>
    <row r="6999" spans="1:37">
      <c r="A6999" s="172"/>
      <c r="B6999" s="178"/>
      <c r="C6999" s="179" t="s">
        <v>3105</v>
      </c>
      <c r="D6999">
        <v>4614</v>
      </c>
      <c r="E6999" s="125"/>
      <c r="F6999" s="178"/>
      <c r="G6999" s="178"/>
      <c r="H6999"/>
      <c r="I6999" s="178"/>
      <c r="J6999" s="320" t="s">
        <v>214</v>
      </c>
      <c r="K6999" s="178"/>
      <c r="L6999" s="125" t="s">
        <v>4863</v>
      </c>
      <c r="M6999">
        <v>817</v>
      </c>
      <c r="N6999" s="182"/>
      <c r="O6999">
        <v>1994</v>
      </c>
      <c r="P6999" s="176" t="s">
        <v>77</v>
      </c>
      <c r="Q6999" s="176">
        <v>256.95</v>
      </c>
      <c r="R6999" s="176"/>
      <c r="S6999" s="176"/>
      <c r="T6999" s="190"/>
      <c r="U6999" s="191"/>
      <c r="V6999" s="191">
        <f>+Table1[[#This Row],[SUBTOTAL]]+Table1[[#This Row],[IVA]]-Table1[[#This Row],[RET IVA]]-Table1[[#This Row],[RET ISR]]</f>
        <v>256.95</v>
      </c>
      <c r="W6999"/>
      <c r="X6999" s="186"/>
      <c r="Y6999" s="187"/>
      <c r="Z6999" s="311" t="s">
        <v>214</v>
      </c>
      <c r="AB6999" t="str">
        <f>IF(Table1[[#This Row],[TIPO2]]="costo", VLOOKUP(Table1[[#This Row],[PARTIDA PRESUPUESTAL]],'Cost Report'!G:G,1,0),"Balance")</f>
        <v>7050-005</v>
      </c>
      <c r="AD6999" s="159">
        <f>+Table1[[#This Row],[SUBTOTAL]]+Table1[[#This Row],[IVA]]-Table1[[#This Row],[RET IVA]]-Table1[[#This Row],[RET ISR]]-Table1[[#This Row],[TOTAL]]</f>
        <v>0</v>
      </c>
      <c r="AK6999" s="306" t="str">
        <f>IF(ISNUMBER(Table1[[#This Row],[FECHA DE RECIBIDO]]), Table1[[#This Row],[FECHA DE RECIBIDO]]-DATE(2023,8,30), "")</f>
        <v/>
      </c>
    </row>
    <row r="7000" spans="1:37">
      <c r="A7000" s="172"/>
      <c r="B7000" s="178"/>
      <c r="C7000" s="179" t="s">
        <v>2874</v>
      </c>
      <c r="D7000">
        <v>4614</v>
      </c>
      <c r="E7000" s="125"/>
      <c r="F7000" s="178"/>
      <c r="G7000" s="178"/>
      <c r="H7000"/>
      <c r="I7000" s="178"/>
      <c r="J7000" s="320" t="s">
        <v>214</v>
      </c>
      <c r="K7000" s="178"/>
      <c r="L7000" s="125" t="s">
        <v>4863</v>
      </c>
      <c r="M7000">
        <v>814</v>
      </c>
      <c r="N7000" s="182"/>
      <c r="O7000">
        <v>1992</v>
      </c>
      <c r="P7000" s="176" t="s">
        <v>77</v>
      </c>
      <c r="Q7000" s="176">
        <v>11.7</v>
      </c>
      <c r="R7000" s="176"/>
      <c r="S7000" s="176"/>
      <c r="T7000" s="190"/>
      <c r="U7000" s="191"/>
      <c r="V7000" s="191">
        <f>+Table1[[#This Row],[SUBTOTAL]]+Table1[[#This Row],[IVA]]-Table1[[#This Row],[RET IVA]]-Table1[[#This Row],[RET ISR]]</f>
        <v>11.7</v>
      </c>
      <c r="W7000"/>
      <c r="X7000" s="186"/>
      <c r="Y7000" s="187"/>
      <c r="Z7000" s="311" t="s">
        <v>214</v>
      </c>
      <c r="AB7000" t="str">
        <f>IF(Table1[[#This Row],[TIPO2]]="costo", VLOOKUP(Table1[[#This Row],[PARTIDA PRESUPUESTAL]],'Cost Report'!G:G,1,0),"Balance")</f>
        <v>3632-019</v>
      </c>
      <c r="AD7000" s="159">
        <f>+Table1[[#This Row],[SUBTOTAL]]+Table1[[#This Row],[IVA]]-Table1[[#This Row],[RET IVA]]-Table1[[#This Row],[RET ISR]]-Table1[[#This Row],[TOTAL]]</f>
        <v>0</v>
      </c>
      <c r="AK7000" s="306" t="str">
        <f>IF(ISNUMBER(Table1[[#This Row],[FECHA DE RECIBIDO]]), Table1[[#This Row],[FECHA DE RECIBIDO]]-DATE(2023,8,30), "")</f>
        <v/>
      </c>
    </row>
    <row r="7001" spans="1:37">
      <c r="A7001" s="172"/>
      <c r="B7001" s="178"/>
      <c r="C7001" s="179" t="s">
        <v>977</v>
      </c>
      <c r="D7001">
        <v>4614</v>
      </c>
      <c r="E7001" s="125"/>
      <c r="F7001" s="178"/>
      <c r="G7001" s="178"/>
      <c r="H7001"/>
      <c r="I7001" s="178"/>
      <c r="J7001" s="320" t="s">
        <v>214</v>
      </c>
      <c r="K7001" s="178"/>
      <c r="L7001" s="125" t="s">
        <v>4863</v>
      </c>
      <c r="M7001">
        <v>818</v>
      </c>
      <c r="N7001" s="182"/>
      <c r="O7001">
        <v>1995</v>
      </c>
      <c r="P7001" s="176" t="s">
        <v>77</v>
      </c>
      <c r="Q7001" s="176">
        <v>95.7</v>
      </c>
      <c r="R7001" s="176"/>
      <c r="S7001" s="176"/>
      <c r="T7001" s="190"/>
      <c r="U7001" s="191"/>
      <c r="V7001" s="191">
        <f>+Table1[[#This Row],[SUBTOTAL]]+Table1[[#This Row],[IVA]]-Table1[[#This Row],[RET IVA]]-Table1[[#This Row],[RET ISR]]</f>
        <v>95.7</v>
      </c>
      <c r="W7001"/>
      <c r="X7001" s="186"/>
      <c r="Y7001" s="187"/>
      <c r="Z7001" s="311" t="s">
        <v>214</v>
      </c>
      <c r="AB7001" t="str">
        <f>IF(Table1[[#This Row],[TIPO2]]="costo", VLOOKUP(Table1[[#This Row],[PARTIDA PRESUPUESTAL]],'Cost Report'!G:G,1,0),"Balance")</f>
        <v>3410-012</v>
      </c>
      <c r="AD7001" s="159">
        <f>+Table1[[#This Row],[SUBTOTAL]]+Table1[[#This Row],[IVA]]-Table1[[#This Row],[RET IVA]]-Table1[[#This Row],[RET ISR]]-Table1[[#This Row],[TOTAL]]</f>
        <v>0</v>
      </c>
      <c r="AK7001" s="306" t="str">
        <f>IF(ISNUMBER(Table1[[#This Row],[FECHA DE RECIBIDO]]), Table1[[#This Row],[FECHA DE RECIBIDO]]-DATE(2023,8,30), "")</f>
        <v/>
      </c>
    </row>
    <row r="7002" spans="1:37">
      <c r="A7002" s="172"/>
      <c r="B7002" s="178"/>
      <c r="C7002" s="179" t="s">
        <v>2596</v>
      </c>
      <c r="D7002">
        <v>4614</v>
      </c>
      <c r="E7002" s="125"/>
      <c r="F7002" s="178"/>
      <c r="G7002" s="178"/>
      <c r="H7002"/>
      <c r="I7002" s="178"/>
      <c r="J7002" s="320" t="s">
        <v>214</v>
      </c>
      <c r="K7002" s="178"/>
      <c r="L7002" s="125" t="s">
        <v>4863</v>
      </c>
      <c r="M7002">
        <v>846</v>
      </c>
      <c r="N7002" s="182"/>
      <c r="O7002">
        <v>2086</v>
      </c>
      <c r="P7002" s="176" t="s">
        <v>77</v>
      </c>
      <c r="Q7002" s="176">
        <v>18.105</v>
      </c>
      <c r="R7002" s="176"/>
      <c r="S7002" s="176"/>
      <c r="T7002" s="190"/>
      <c r="U7002" s="191"/>
      <c r="V7002" s="191">
        <f>+Table1[[#This Row],[SUBTOTAL]]+Table1[[#This Row],[IVA]]-Table1[[#This Row],[RET IVA]]-Table1[[#This Row],[RET ISR]]</f>
        <v>18.105</v>
      </c>
      <c r="W7002"/>
      <c r="X7002" s="186"/>
      <c r="Y7002" s="187"/>
      <c r="Z7002" s="311" t="s">
        <v>214</v>
      </c>
      <c r="AB7002" t="str">
        <f>IF(Table1[[#This Row],[TIPO2]]="costo", VLOOKUP(Table1[[#This Row],[PARTIDA PRESUPUESTAL]],'Cost Report'!G:G,1,0),"Balance")</f>
        <v>2794-003</v>
      </c>
      <c r="AD7002" s="159">
        <f>+Table1[[#This Row],[SUBTOTAL]]+Table1[[#This Row],[IVA]]-Table1[[#This Row],[RET IVA]]-Table1[[#This Row],[RET ISR]]-Table1[[#This Row],[TOTAL]]</f>
        <v>0</v>
      </c>
      <c r="AK7002" s="306" t="str">
        <f>IF(ISNUMBER(Table1[[#This Row],[FECHA DE RECIBIDO]]), Table1[[#This Row],[FECHA DE RECIBIDO]]-DATE(2023,8,30), "")</f>
        <v/>
      </c>
    </row>
    <row r="7003" spans="1:37">
      <c r="A7003" s="172"/>
      <c r="B7003" s="178"/>
      <c r="C7003" s="179" t="s">
        <v>2596</v>
      </c>
      <c r="D7003">
        <v>4614</v>
      </c>
      <c r="E7003" s="125"/>
      <c r="F7003" s="178"/>
      <c r="G7003" s="178"/>
      <c r="H7003"/>
      <c r="I7003" s="178"/>
      <c r="J7003" s="320" t="s">
        <v>214</v>
      </c>
      <c r="K7003" s="178"/>
      <c r="L7003" s="125" t="s">
        <v>4863</v>
      </c>
      <c r="M7003">
        <v>847</v>
      </c>
      <c r="N7003" s="182"/>
      <c r="O7003">
        <v>2087</v>
      </c>
      <c r="P7003" s="176" t="s">
        <v>77</v>
      </c>
      <c r="Q7003" s="176">
        <v>7.5</v>
      </c>
      <c r="R7003" s="176"/>
      <c r="S7003" s="176"/>
      <c r="T7003" s="190"/>
      <c r="U7003" s="191"/>
      <c r="V7003" s="191">
        <f>+Table1[[#This Row],[SUBTOTAL]]+Table1[[#This Row],[IVA]]-Table1[[#This Row],[RET IVA]]-Table1[[#This Row],[RET ISR]]</f>
        <v>7.5</v>
      </c>
      <c r="W7003"/>
      <c r="X7003" s="186"/>
      <c r="Y7003" s="187"/>
      <c r="Z7003" s="311" t="s">
        <v>214</v>
      </c>
      <c r="AB7003" t="str">
        <f>IF(Table1[[#This Row],[TIPO2]]="costo", VLOOKUP(Table1[[#This Row],[PARTIDA PRESUPUESTAL]],'Cost Report'!G:G,1,0),"Balance")</f>
        <v>2794-003</v>
      </c>
      <c r="AD7003" s="159">
        <f>+Table1[[#This Row],[SUBTOTAL]]+Table1[[#This Row],[IVA]]-Table1[[#This Row],[RET IVA]]-Table1[[#This Row],[RET ISR]]-Table1[[#This Row],[TOTAL]]</f>
        <v>0</v>
      </c>
      <c r="AK7003" s="306" t="str">
        <f>IF(ISNUMBER(Table1[[#This Row],[FECHA DE RECIBIDO]]), Table1[[#This Row],[FECHA DE RECIBIDO]]-DATE(2023,8,30), "")</f>
        <v/>
      </c>
    </row>
    <row r="7004" spans="1:37">
      <c r="A7004" s="172"/>
      <c r="B7004" s="178"/>
      <c r="C7004" s="179" t="s">
        <v>2596</v>
      </c>
      <c r="D7004">
        <v>4614</v>
      </c>
      <c r="E7004" s="125"/>
      <c r="F7004" s="178"/>
      <c r="G7004" s="178"/>
      <c r="H7004"/>
      <c r="I7004" s="178"/>
      <c r="J7004" s="320" t="s">
        <v>214</v>
      </c>
      <c r="K7004" s="178"/>
      <c r="L7004" s="125" t="s">
        <v>4863</v>
      </c>
      <c r="M7004">
        <v>847</v>
      </c>
      <c r="N7004" s="182"/>
      <c r="O7004">
        <v>2087</v>
      </c>
      <c r="P7004" s="176" t="s">
        <v>77</v>
      </c>
      <c r="Q7004" s="176">
        <v>26.099999999999998</v>
      </c>
      <c r="R7004" s="176"/>
      <c r="S7004" s="176"/>
      <c r="T7004" s="190"/>
      <c r="U7004" s="191"/>
      <c r="V7004" s="191">
        <f>+Table1[[#This Row],[SUBTOTAL]]+Table1[[#This Row],[IVA]]-Table1[[#This Row],[RET IVA]]-Table1[[#This Row],[RET ISR]]</f>
        <v>26.099999999999998</v>
      </c>
      <c r="W7004"/>
      <c r="X7004" s="186"/>
      <c r="Y7004" s="187"/>
      <c r="Z7004" s="311" t="s">
        <v>214</v>
      </c>
      <c r="AB7004" t="str">
        <f>IF(Table1[[#This Row],[TIPO2]]="costo", VLOOKUP(Table1[[#This Row],[PARTIDA PRESUPUESTAL]],'Cost Report'!G:G,1,0),"Balance")</f>
        <v>2794-003</v>
      </c>
      <c r="AD7004" s="159">
        <f>+Table1[[#This Row],[SUBTOTAL]]+Table1[[#This Row],[IVA]]-Table1[[#This Row],[RET IVA]]-Table1[[#This Row],[RET ISR]]-Table1[[#This Row],[TOTAL]]</f>
        <v>0</v>
      </c>
      <c r="AK7004" s="306" t="str">
        <f>IF(ISNUMBER(Table1[[#This Row],[FECHA DE RECIBIDO]]), Table1[[#This Row],[FECHA DE RECIBIDO]]-DATE(2023,8,30), "")</f>
        <v/>
      </c>
    </row>
    <row r="7005" spans="1:37">
      <c r="A7005" s="172"/>
      <c r="B7005" s="178"/>
      <c r="C7005" s="179" t="s">
        <v>2596</v>
      </c>
      <c r="D7005">
        <v>4614</v>
      </c>
      <c r="E7005" s="125"/>
      <c r="F7005" s="178"/>
      <c r="G7005" s="178"/>
      <c r="H7005"/>
      <c r="I7005" s="178"/>
      <c r="J7005" s="320" t="s">
        <v>214</v>
      </c>
      <c r="K7005" s="178"/>
      <c r="L7005" s="125" t="s">
        <v>4863</v>
      </c>
      <c r="M7005">
        <v>847</v>
      </c>
      <c r="N7005" s="182"/>
      <c r="O7005">
        <v>2087</v>
      </c>
      <c r="P7005" s="176" t="s">
        <v>77</v>
      </c>
      <c r="Q7005" s="176">
        <v>11.1</v>
      </c>
      <c r="R7005" s="176"/>
      <c r="S7005" s="176"/>
      <c r="T7005" s="190"/>
      <c r="U7005" s="191"/>
      <c r="V7005" s="191">
        <f>+Table1[[#This Row],[SUBTOTAL]]+Table1[[#This Row],[IVA]]-Table1[[#This Row],[RET IVA]]-Table1[[#This Row],[RET ISR]]</f>
        <v>11.1</v>
      </c>
      <c r="W7005"/>
      <c r="X7005" s="186"/>
      <c r="Y7005" s="187"/>
      <c r="Z7005" s="311" t="s">
        <v>214</v>
      </c>
      <c r="AB7005" t="str">
        <f>IF(Table1[[#This Row],[TIPO2]]="costo", VLOOKUP(Table1[[#This Row],[PARTIDA PRESUPUESTAL]],'Cost Report'!G:G,1,0),"Balance")</f>
        <v>2794-003</v>
      </c>
      <c r="AD7005" s="159">
        <f>+Table1[[#This Row],[SUBTOTAL]]+Table1[[#This Row],[IVA]]-Table1[[#This Row],[RET IVA]]-Table1[[#This Row],[RET ISR]]-Table1[[#This Row],[TOTAL]]</f>
        <v>0</v>
      </c>
      <c r="AK7005" s="306" t="str">
        <f>IF(ISNUMBER(Table1[[#This Row],[FECHA DE RECIBIDO]]), Table1[[#This Row],[FECHA DE RECIBIDO]]-DATE(2023,8,30), "")</f>
        <v/>
      </c>
    </row>
    <row r="7006" spans="1:37">
      <c r="A7006" s="172"/>
      <c r="B7006" s="178"/>
      <c r="C7006" s="179" t="s">
        <v>2596</v>
      </c>
      <c r="D7006">
        <v>4614</v>
      </c>
      <c r="E7006" s="125"/>
      <c r="F7006" s="178"/>
      <c r="G7006" s="178"/>
      <c r="H7006"/>
      <c r="I7006" s="178"/>
      <c r="J7006" s="320" t="s">
        <v>214</v>
      </c>
      <c r="K7006" s="178"/>
      <c r="L7006" s="125" t="s">
        <v>4863</v>
      </c>
      <c r="M7006">
        <v>847</v>
      </c>
      <c r="N7006" s="182"/>
      <c r="O7006">
        <v>2087</v>
      </c>
      <c r="P7006" s="176" t="s">
        <v>77</v>
      </c>
      <c r="Q7006" s="176">
        <v>22.5</v>
      </c>
      <c r="R7006" s="176"/>
      <c r="S7006" s="176"/>
      <c r="T7006" s="190"/>
      <c r="U7006" s="191"/>
      <c r="V7006" s="191">
        <f>+Table1[[#This Row],[SUBTOTAL]]+Table1[[#This Row],[IVA]]-Table1[[#This Row],[RET IVA]]-Table1[[#This Row],[RET ISR]]</f>
        <v>22.5</v>
      </c>
      <c r="W7006"/>
      <c r="X7006" s="186"/>
      <c r="Y7006" s="187"/>
      <c r="Z7006" s="311" t="s">
        <v>214</v>
      </c>
      <c r="AB7006" t="str">
        <f>IF(Table1[[#This Row],[TIPO2]]="costo", VLOOKUP(Table1[[#This Row],[PARTIDA PRESUPUESTAL]],'Cost Report'!G:G,1,0),"Balance")</f>
        <v>2794-003</v>
      </c>
      <c r="AD7006" s="159">
        <f>+Table1[[#This Row],[SUBTOTAL]]+Table1[[#This Row],[IVA]]-Table1[[#This Row],[RET IVA]]-Table1[[#This Row],[RET ISR]]-Table1[[#This Row],[TOTAL]]</f>
        <v>0</v>
      </c>
      <c r="AK7006" s="306" t="str">
        <f>IF(ISNUMBER(Table1[[#This Row],[FECHA DE RECIBIDO]]), Table1[[#This Row],[FECHA DE RECIBIDO]]-DATE(2023,8,30), "")</f>
        <v/>
      </c>
    </row>
    <row r="7007" spans="1:37">
      <c r="A7007" s="172"/>
      <c r="B7007" s="178"/>
      <c r="C7007" s="179" t="s">
        <v>2596</v>
      </c>
      <c r="D7007">
        <v>4614</v>
      </c>
      <c r="E7007" s="125"/>
      <c r="F7007" s="178"/>
      <c r="G7007" s="178"/>
      <c r="H7007"/>
      <c r="I7007" s="178"/>
      <c r="J7007" s="320" t="s">
        <v>214</v>
      </c>
      <c r="K7007" s="178"/>
      <c r="L7007" s="125" t="s">
        <v>4863</v>
      </c>
      <c r="M7007">
        <v>847</v>
      </c>
      <c r="N7007" s="182"/>
      <c r="O7007">
        <v>2087</v>
      </c>
      <c r="P7007" s="176" t="s">
        <v>77</v>
      </c>
      <c r="Q7007" s="176">
        <v>15</v>
      </c>
      <c r="R7007" s="176"/>
      <c r="S7007" s="176"/>
      <c r="T7007" s="190"/>
      <c r="U7007" s="191"/>
      <c r="V7007" s="191">
        <f>+Table1[[#This Row],[SUBTOTAL]]+Table1[[#This Row],[IVA]]-Table1[[#This Row],[RET IVA]]-Table1[[#This Row],[RET ISR]]</f>
        <v>15</v>
      </c>
      <c r="W7007"/>
      <c r="X7007" s="186"/>
      <c r="Y7007" s="187"/>
      <c r="Z7007" s="311" t="s">
        <v>214</v>
      </c>
      <c r="AB7007" t="str">
        <f>IF(Table1[[#This Row],[TIPO2]]="costo", VLOOKUP(Table1[[#This Row],[PARTIDA PRESUPUESTAL]],'Cost Report'!G:G,1,0),"Balance")</f>
        <v>2794-003</v>
      </c>
      <c r="AD7007" s="159">
        <f>+Table1[[#This Row],[SUBTOTAL]]+Table1[[#This Row],[IVA]]-Table1[[#This Row],[RET IVA]]-Table1[[#This Row],[RET ISR]]-Table1[[#This Row],[TOTAL]]</f>
        <v>0</v>
      </c>
      <c r="AK7007" s="306" t="str">
        <f>IF(ISNUMBER(Table1[[#This Row],[FECHA DE RECIBIDO]]), Table1[[#This Row],[FECHA DE RECIBIDO]]-DATE(2023,8,30), "")</f>
        <v/>
      </c>
    </row>
    <row r="7008" spans="1:37">
      <c r="A7008" s="172"/>
      <c r="B7008" s="178"/>
      <c r="C7008" s="179" t="s">
        <v>2596</v>
      </c>
      <c r="D7008">
        <v>4614</v>
      </c>
      <c r="E7008" s="125"/>
      <c r="F7008" s="178"/>
      <c r="G7008" s="178"/>
      <c r="H7008"/>
      <c r="I7008" s="178"/>
      <c r="J7008" s="320" t="s">
        <v>214</v>
      </c>
      <c r="K7008" s="178"/>
      <c r="L7008" s="125" t="s">
        <v>4863</v>
      </c>
      <c r="M7008">
        <v>847</v>
      </c>
      <c r="N7008" s="182"/>
      <c r="O7008">
        <v>2087</v>
      </c>
      <c r="P7008" s="176" t="s">
        <v>77</v>
      </c>
      <c r="Q7008" s="176">
        <v>15</v>
      </c>
      <c r="R7008" s="176"/>
      <c r="S7008" s="176"/>
      <c r="T7008" s="190"/>
      <c r="U7008" s="191"/>
      <c r="V7008" s="191">
        <f>+Table1[[#This Row],[SUBTOTAL]]+Table1[[#This Row],[IVA]]-Table1[[#This Row],[RET IVA]]-Table1[[#This Row],[RET ISR]]</f>
        <v>15</v>
      </c>
      <c r="W7008"/>
      <c r="X7008" s="186"/>
      <c r="Y7008" s="187"/>
      <c r="Z7008" s="311" t="s">
        <v>214</v>
      </c>
      <c r="AB7008" t="str">
        <f>IF(Table1[[#This Row],[TIPO2]]="costo", VLOOKUP(Table1[[#This Row],[PARTIDA PRESUPUESTAL]],'Cost Report'!G:G,1,0),"Balance")</f>
        <v>2794-003</v>
      </c>
      <c r="AD7008" s="159">
        <f>+Table1[[#This Row],[SUBTOTAL]]+Table1[[#This Row],[IVA]]-Table1[[#This Row],[RET IVA]]-Table1[[#This Row],[RET ISR]]-Table1[[#This Row],[TOTAL]]</f>
        <v>0</v>
      </c>
      <c r="AK7008" s="306" t="str">
        <f>IF(ISNUMBER(Table1[[#This Row],[FECHA DE RECIBIDO]]), Table1[[#This Row],[FECHA DE RECIBIDO]]-DATE(2023,8,30), "")</f>
        <v/>
      </c>
    </row>
    <row r="7009" spans="1:37">
      <c r="A7009" s="172"/>
      <c r="B7009" s="178"/>
      <c r="C7009" s="179" t="s">
        <v>2596</v>
      </c>
      <c r="D7009">
        <v>4614</v>
      </c>
      <c r="E7009" s="125"/>
      <c r="F7009" s="178"/>
      <c r="G7009" s="178"/>
      <c r="H7009"/>
      <c r="I7009" s="178"/>
      <c r="J7009" s="320" t="s">
        <v>214</v>
      </c>
      <c r="K7009" s="178"/>
      <c r="L7009" s="125" t="s">
        <v>4863</v>
      </c>
      <c r="M7009">
        <v>847</v>
      </c>
      <c r="N7009" s="182"/>
      <c r="O7009">
        <v>2087</v>
      </c>
      <c r="P7009" s="176" t="s">
        <v>77</v>
      </c>
      <c r="Q7009" s="176">
        <v>7.5</v>
      </c>
      <c r="R7009" s="176"/>
      <c r="S7009" s="176"/>
      <c r="T7009" s="190"/>
      <c r="U7009" s="191"/>
      <c r="V7009" s="191">
        <f>+Table1[[#This Row],[SUBTOTAL]]+Table1[[#This Row],[IVA]]-Table1[[#This Row],[RET IVA]]-Table1[[#This Row],[RET ISR]]</f>
        <v>7.5</v>
      </c>
      <c r="W7009"/>
      <c r="X7009" s="186"/>
      <c r="Y7009" s="187"/>
      <c r="Z7009" s="311" t="s">
        <v>214</v>
      </c>
      <c r="AB7009" t="str">
        <f>IF(Table1[[#This Row],[TIPO2]]="costo", VLOOKUP(Table1[[#This Row],[PARTIDA PRESUPUESTAL]],'Cost Report'!G:G,1,0),"Balance")</f>
        <v>2794-003</v>
      </c>
      <c r="AD7009" s="159">
        <f>+Table1[[#This Row],[SUBTOTAL]]+Table1[[#This Row],[IVA]]-Table1[[#This Row],[RET IVA]]-Table1[[#This Row],[RET ISR]]-Table1[[#This Row],[TOTAL]]</f>
        <v>0</v>
      </c>
      <c r="AK7009" s="306" t="str">
        <f>IF(ISNUMBER(Table1[[#This Row],[FECHA DE RECIBIDO]]), Table1[[#This Row],[FECHA DE RECIBIDO]]-DATE(2023,8,30), "")</f>
        <v/>
      </c>
    </row>
    <row r="7010" spans="1:37">
      <c r="A7010" s="172"/>
      <c r="B7010" s="178"/>
      <c r="C7010" s="179" t="s">
        <v>2596</v>
      </c>
      <c r="D7010">
        <v>4614</v>
      </c>
      <c r="E7010" s="125"/>
      <c r="F7010" s="178"/>
      <c r="G7010" s="178"/>
      <c r="H7010"/>
      <c r="I7010" s="178"/>
      <c r="J7010" s="320" t="s">
        <v>214</v>
      </c>
      <c r="K7010" s="178"/>
      <c r="L7010" s="125" t="s">
        <v>4863</v>
      </c>
      <c r="M7010">
        <v>847</v>
      </c>
      <c r="N7010" s="182"/>
      <c r="O7010">
        <v>2087</v>
      </c>
      <c r="P7010" s="176" t="s">
        <v>77</v>
      </c>
      <c r="Q7010" s="176">
        <v>22.5</v>
      </c>
      <c r="R7010" s="176"/>
      <c r="S7010" s="176"/>
      <c r="T7010" s="190"/>
      <c r="U7010" s="191"/>
      <c r="V7010" s="191">
        <f>+Table1[[#This Row],[SUBTOTAL]]+Table1[[#This Row],[IVA]]-Table1[[#This Row],[RET IVA]]-Table1[[#This Row],[RET ISR]]</f>
        <v>22.5</v>
      </c>
      <c r="W7010"/>
      <c r="X7010" s="186"/>
      <c r="Y7010" s="187"/>
      <c r="Z7010" s="311" t="s">
        <v>214</v>
      </c>
      <c r="AB7010" t="str">
        <f>IF(Table1[[#This Row],[TIPO2]]="costo", VLOOKUP(Table1[[#This Row],[PARTIDA PRESUPUESTAL]],'Cost Report'!G:G,1,0),"Balance")</f>
        <v>2794-003</v>
      </c>
      <c r="AD7010" s="159">
        <f>+Table1[[#This Row],[SUBTOTAL]]+Table1[[#This Row],[IVA]]-Table1[[#This Row],[RET IVA]]-Table1[[#This Row],[RET ISR]]-Table1[[#This Row],[TOTAL]]</f>
        <v>0</v>
      </c>
      <c r="AK7010" s="306" t="str">
        <f>IF(ISNUMBER(Table1[[#This Row],[FECHA DE RECIBIDO]]), Table1[[#This Row],[FECHA DE RECIBIDO]]-DATE(2023,8,30), "")</f>
        <v/>
      </c>
    </row>
    <row r="7011" spans="1:37">
      <c r="A7011" s="172"/>
      <c r="B7011" s="178"/>
      <c r="C7011" s="179" t="s">
        <v>2596</v>
      </c>
      <c r="D7011">
        <v>4614</v>
      </c>
      <c r="E7011" s="125"/>
      <c r="F7011" s="178"/>
      <c r="G7011" s="178"/>
      <c r="H7011"/>
      <c r="I7011" s="178"/>
      <c r="J7011" s="320" t="s">
        <v>214</v>
      </c>
      <c r="K7011" s="178"/>
      <c r="L7011" s="125" t="s">
        <v>4863</v>
      </c>
      <c r="M7011">
        <v>847</v>
      </c>
      <c r="N7011" s="182"/>
      <c r="O7011">
        <v>2087</v>
      </c>
      <c r="P7011" s="176" t="s">
        <v>77</v>
      </c>
      <c r="Q7011" s="176">
        <v>11.1</v>
      </c>
      <c r="R7011" s="176"/>
      <c r="S7011" s="176"/>
      <c r="T7011" s="190"/>
      <c r="U7011" s="191"/>
      <c r="V7011" s="191">
        <f>+Table1[[#This Row],[SUBTOTAL]]+Table1[[#This Row],[IVA]]-Table1[[#This Row],[RET IVA]]-Table1[[#This Row],[RET ISR]]</f>
        <v>11.1</v>
      </c>
      <c r="W7011"/>
      <c r="X7011" s="186"/>
      <c r="Y7011" s="187"/>
      <c r="Z7011" s="311" t="s">
        <v>214</v>
      </c>
      <c r="AB7011" t="str">
        <f>IF(Table1[[#This Row],[TIPO2]]="costo", VLOOKUP(Table1[[#This Row],[PARTIDA PRESUPUESTAL]],'Cost Report'!G:G,1,0),"Balance")</f>
        <v>2794-003</v>
      </c>
      <c r="AD7011" s="159">
        <f>+Table1[[#This Row],[SUBTOTAL]]+Table1[[#This Row],[IVA]]-Table1[[#This Row],[RET IVA]]-Table1[[#This Row],[RET ISR]]-Table1[[#This Row],[TOTAL]]</f>
        <v>0</v>
      </c>
      <c r="AK7011" s="306" t="str">
        <f>IF(ISNUMBER(Table1[[#This Row],[FECHA DE RECIBIDO]]), Table1[[#This Row],[FECHA DE RECIBIDO]]-DATE(2023,8,30), "")</f>
        <v/>
      </c>
    </row>
    <row r="7012" spans="1:37">
      <c r="A7012" s="172"/>
      <c r="B7012" s="178"/>
      <c r="C7012" s="179" t="s">
        <v>2596</v>
      </c>
      <c r="D7012">
        <v>4614</v>
      </c>
      <c r="E7012" s="125"/>
      <c r="F7012" s="178"/>
      <c r="G7012" s="178"/>
      <c r="H7012"/>
      <c r="I7012" s="178"/>
      <c r="J7012" s="320" t="s">
        <v>214</v>
      </c>
      <c r="K7012" s="178"/>
      <c r="L7012" s="125" t="s">
        <v>4863</v>
      </c>
      <c r="M7012">
        <v>847</v>
      </c>
      <c r="N7012" s="182"/>
      <c r="O7012">
        <v>2087</v>
      </c>
      <c r="P7012" s="176" t="s">
        <v>77</v>
      </c>
      <c r="Q7012" s="176">
        <v>11.1</v>
      </c>
      <c r="R7012" s="176"/>
      <c r="S7012" s="176"/>
      <c r="T7012" s="190"/>
      <c r="U7012" s="191"/>
      <c r="V7012" s="191">
        <f>+Table1[[#This Row],[SUBTOTAL]]+Table1[[#This Row],[IVA]]-Table1[[#This Row],[RET IVA]]-Table1[[#This Row],[RET ISR]]</f>
        <v>11.1</v>
      </c>
      <c r="W7012"/>
      <c r="X7012" s="186"/>
      <c r="Y7012" s="187"/>
      <c r="Z7012" s="311" t="s">
        <v>214</v>
      </c>
      <c r="AB7012" t="str">
        <f>IF(Table1[[#This Row],[TIPO2]]="costo", VLOOKUP(Table1[[#This Row],[PARTIDA PRESUPUESTAL]],'Cost Report'!G:G,1,0),"Balance")</f>
        <v>2794-003</v>
      </c>
      <c r="AD7012" s="159">
        <f>+Table1[[#This Row],[SUBTOTAL]]+Table1[[#This Row],[IVA]]-Table1[[#This Row],[RET IVA]]-Table1[[#This Row],[RET ISR]]-Table1[[#This Row],[TOTAL]]</f>
        <v>0</v>
      </c>
      <c r="AK7012" s="306" t="str">
        <f>IF(ISNUMBER(Table1[[#This Row],[FECHA DE RECIBIDO]]), Table1[[#This Row],[FECHA DE RECIBIDO]]-DATE(2023,8,30), "")</f>
        <v/>
      </c>
    </row>
    <row r="7013" spans="1:37">
      <c r="A7013" s="172"/>
      <c r="B7013" s="178"/>
      <c r="C7013" s="179" t="s">
        <v>2596</v>
      </c>
      <c r="D7013">
        <v>4614</v>
      </c>
      <c r="E7013" s="125"/>
      <c r="F7013" s="178"/>
      <c r="G7013" s="178"/>
      <c r="H7013"/>
      <c r="I7013" s="178"/>
      <c r="J7013" s="320" t="s">
        <v>214</v>
      </c>
      <c r="K7013" s="178"/>
      <c r="L7013" s="125" t="s">
        <v>4863</v>
      </c>
      <c r="M7013">
        <v>847</v>
      </c>
      <c r="N7013" s="182"/>
      <c r="O7013">
        <v>2087</v>
      </c>
      <c r="P7013" s="176" t="s">
        <v>77</v>
      </c>
      <c r="Q7013" s="176">
        <v>26.099999999999998</v>
      </c>
      <c r="R7013" s="176"/>
      <c r="S7013" s="176"/>
      <c r="T7013" s="190"/>
      <c r="U7013" s="191"/>
      <c r="V7013" s="191">
        <f>+Table1[[#This Row],[SUBTOTAL]]+Table1[[#This Row],[IVA]]-Table1[[#This Row],[RET IVA]]-Table1[[#This Row],[RET ISR]]</f>
        <v>26.099999999999998</v>
      </c>
      <c r="W7013"/>
      <c r="X7013" s="186"/>
      <c r="Y7013" s="187"/>
      <c r="Z7013" s="311" t="s">
        <v>214</v>
      </c>
      <c r="AB7013" t="str">
        <f>IF(Table1[[#This Row],[TIPO2]]="costo", VLOOKUP(Table1[[#This Row],[PARTIDA PRESUPUESTAL]],'Cost Report'!G:G,1,0),"Balance")</f>
        <v>2794-003</v>
      </c>
      <c r="AD7013" s="159">
        <f>+Table1[[#This Row],[SUBTOTAL]]+Table1[[#This Row],[IVA]]-Table1[[#This Row],[RET IVA]]-Table1[[#This Row],[RET ISR]]-Table1[[#This Row],[TOTAL]]</f>
        <v>0</v>
      </c>
      <c r="AK7013" s="306" t="str">
        <f>IF(ISNUMBER(Table1[[#This Row],[FECHA DE RECIBIDO]]), Table1[[#This Row],[FECHA DE RECIBIDO]]-DATE(2023,8,30), "")</f>
        <v/>
      </c>
    </row>
    <row r="7014" spans="1:37">
      <c r="A7014" s="172"/>
      <c r="B7014" s="178"/>
      <c r="C7014" s="179" t="s">
        <v>2596</v>
      </c>
      <c r="D7014">
        <v>4614</v>
      </c>
      <c r="E7014" s="125"/>
      <c r="F7014" s="178"/>
      <c r="G7014" s="178"/>
      <c r="H7014"/>
      <c r="I7014" s="178"/>
      <c r="J7014" s="320" t="s">
        <v>214</v>
      </c>
      <c r="K7014" s="178"/>
      <c r="L7014" s="125" t="s">
        <v>4863</v>
      </c>
      <c r="M7014">
        <v>848</v>
      </c>
      <c r="N7014" s="182"/>
      <c r="O7014">
        <v>2087</v>
      </c>
      <c r="P7014" s="176" t="s">
        <v>77</v>
      </c>
      <c r="Q7014" s="176">
        <v>9</v>
      </c>
      <c r="R7014" s="176"/>
      <c r="S7014" s="176"/>
      <c r="T7014" s="190"/>
      <c r="U7014" s="191"/>
      <c r="V7014" s="191">
        <f>+Table1[[#This Row],[SUBTOTAL]]+Table1[[#This Row],[IVA]]-Table1[[#This Row],[RET IVA]]-Table1[[#This Row],[RET ISR]]</f>
        <v>9</v>
      </c>
      <c r="W7014"/>
      <c r="X7014" s="186"/>
      <c r="Y7014" s="187"/>
      <c r="Z7014" s="311" t="s">
        <v>214</v>
      </c>
      <c r="AB7014" t="str">
        <f>IF(Table1[[#This Row],[TIPO2]]="costo", VLOOKUP(Table1[[#This Row],[PARTIDA PRESUPUESTAL]],'Cost Report'!G:G,1,0),"Balance")</f>
        <v>2794-003</v>
      </c>
      <c r="AD7014" s="159">
        <f>+Table1[[#This Row],[SUBTOTAL]]+Table1[[#This Row],[IVA]]-Table1[[#This Row],[RET IVA]]-Table1[[#This Row],[RET ISR]]-Table1[[#This Row],[TOTAL]]</f>
        <v>0</v>
      </c>
      <c r="AK7014" s="306" t="str">
        <f>IF(ISNUMBER(Table1[[#This Row],[FECHA DE RECIBIDO]]), Table1[[#This Row],[FECHA DE RECIBIDO]]-DATE(2023,8,30), "")</f>
        <v/>
      </c>
    </row>
    <row r="7015" spans="1:37">
      <c r="A7015" s="172"/>
      <c r="B7015" s="178"/>
      <c r="C7015" s="179" t="s">
        <v>2596</v>
      </c>
      <c r="D7015">
        <v>4614</v>
      </c>
      <c r="E7015" s="125"/>
      <c r="F7015" s="178"/>
      <c r="G7015" s="178"/>
      <c r="H7015"/>
      <c r="I7015" s="178"/>
      <c r="J7015" s="320" t="s">
        <v>214</v>
      </c>
      <c r="K7015" s="178"/>
      <c r="L7015" s="125" t="s">
        <v>4863</v>
      </c>
      <c r="M7015">
        <v>849</v>
      </c>
      <c r="N7015" s="182"/>
      <c r="O7015">
        <v>2087</v>
      </c>
      <c r="P7015" s="176" t="s">
        <v>77</v>
      </c>
      <c r="Q7015" s="176">
        <v>27</v>
      </c>
      <c r="R7015" s="176"/>
      <c r="S7015" s="176"/>
      <c r="T7015" s="190"/>
      <c r="U7015" s="191"/>
      <c r="V7015" s="191">
        <f>+Table1[[#This Row],[SUBTOTAL]]+Table1[[#This Row],[IVA]]-Table1[[#This Row],[RET IVA]]-Table1[[#This Row],[RET ISR]]</f>
        <v>27</v>
      </c>
      <c r="W7015"/>
      <c r="X7015" s="186"/>
      <c r="Y7015" s="187"/>
      <c r="Z7015" s="311" t="s">
        <v>214</v>
      </c>
      <c r="AB7015" t="str">
        <f>IF(Table1[[#This Row],[TIPO2]]="costo", VLOOKUP(Table1[[#This Row],[PARTIDA PRESUPUESTAL]],'Cost Report'!G:G,1,0),"Balance")</f>
        <v>2794-003</v>
      </c>
      <c r="AD7015" s="159">
        <f>+Table1[[#This Row],[SUBTOTAL]]+Table1[[#This Row],[IVA]]-Table1[[#This Row],[RET IVA]]-Table1[[#This Row],[RET ISR]]-Table1[[#This Row],[TOTAL]]</f>
        <v>0</v>
      </c>
      <c r="AK7015" s="306" t="str">
        <f>IF(ISNUMBER(Table1[[#This Row],[FECHA DE RECIBIDO]]), Table1[[#This Row],[FECHA DE RECIBIDO]]-DATE(2023,8,30), "")</f>
        <v/>
      </c>
    </row>
    <row r="7016" spans="1:37">
      <c r="A7016" s="172"/>
      <c r="B7016" s="178"/>
      <c r="C7016" s="179" t="s">
        <v>2596</v>
      </c>
      <c r="D7016">
        <v>4614</v>
      </c>
      <c r="E7016" s="125"/>
      <c r="F7016" s="178"/>
      <c r="G7016" s="178"/>
      <c r="H7016"/>
      <c r="I7016" s="178"/>
      <c r="J7016" s="320" t="s">
        <v>214</v>
      </c>
      <c r="K7016" s="178"/>
      <c r="L7016" s="125" t="s">
        <v>4863</v>
      </c>
      <c r="M7016">
        <v>850</v>
      </c>
      <c r="N7016" s="182"/>
      <c r="O7016">
        <v>2087</v>
      </c>
      <c r="P7016" s="176" t="s">
        <v>77</v>
      </c>
      <c r="Q7016" s="176">
        <v>25.5</v>
      </c>
      <c r="R7016" s="176"/>
      <c r="S7016" s="176"/>
      <c r="T7016" s="190"/>
      <c r="U7016" s="191"/>
      <c r="V7016" s="191">
        <f>+Table1[[#This Row],[SUBTOTAL]]+Table1[[#This Row],[IVA]]-Table1[[#This Row],[RET IVA]]-Table1[[#This Row],[RET ISR]]</f>
        <v>25.5</v>
      </c>
      <c r="W7016"/>
      <c r="X7016" s="186"/>
      <c r="Y7016" s="187"/>
      <c r="Z7016" s="311" t="s">
        <v>214</v>
      </c>
      <c r="AB7016" t="str">
        <f>IF(Table1[[#This Row],[TIPO2]]="costo", VLOOKUP(Table1[[#This Row],[PARTIDA PRESUPUESTAL]],'Cost Report'!G:G,1,0),"Balance")</f>
        <v>2794-003</v>
      </c>
      <c r="AD7016" s="159">
        <f>+Table1[[#This Row],[SUBTOTAL]]+Table1[[#This Row],[IVA]]-Table1[[#This Row],[RET IVA]]-Table1[[#This Row],[RET ISR]]-Table1[[#This Row],[TOTAL]]</f>
        <v>0</v>
      </c>
      <c r="AK7016" s="306" t="str">
        <f>IF(ISNUMBER(Table1[[#This Row],[FECHA DE RECIBIDO]]), Table1[[#This Row],[FECHA DE RECIBIDO]]-DATE(2023,8,30), "")</f>
        <v/>
      </c>
    </row>
    <row r="7017" spans="1:37">
      <c r="A7017" s="172"/>
      <c r="B7017" s="178"/>
      <c r="C7017" s="179" t="s">
        <v>2596</v>
      </c>
      <c r="D7017">
        <v>4614</v>
      </c>
      <c r="E7017" s="125"/>
      <c r="F7017" s="178"/>
      <c r="G7017" s="178"/>
      <c r="H7017"/>
      <c r="I7017" s="178"/>
      <c r="J7017" s="320" t="s">
        <v>214</v>
      </c>
      <c r="K7017" s="178"/>
      <c r="L7017" s="125" t="s">
        <v>4863</v>
      </c>
      <c r="M7017">
        <v>851</v>
      </c>
      <c r="N7017" s="182"/>
      <c r="O7017">
        <v>2087</v>
      </c>
      <c r="P7017" s="176" t="s">
        <v>77</v>
      </c>
      <c r="Q7017" s="176">
        <v>18.899999999999999</v>
      </c>
      <c r="R7017" s="176"/>
      <c r="S7017" s="176"/>
      <c r="T7017" s="190"/>
      <c r="U7017" s="191"/>
      <c r="V7017" s="191">
        <f>+Table1[[#This Row],[SUBTOTAL]]+Table1[[#This Row],[IVA]]-Table1[[#This Row],[RET IVA]]-Table1[[#This Row],[RET ISR]]</f>
        <v>18.899999999999999</v>
      </c>
      <c r="W7017"/>
      <c r="X7017" s="186"/>
      <c r="Y7017" s="187"/>
      <c r="Z7017" s="311" t="s">
        <v>214</v>
      </c>
      <c r="AB7017" t="str">
        <f>IF(Table1[[#This Row],[TIPO2]]="costo", VLOOKUP(Table1[[#This Row],[PARTIDA PRESUPUESTAL]],'Cost Report'!G:G,1,0),"Balance")</f>
        <v>2794-003</v>
      </c>
      <c r="AD7017" s="159">
        <f>+Table1[[#This Row],[SUBTOTAL]]+Table1[[#This Row],[IVA]]-Table1[[#This Row],[RET IVA]]-Table1[[#This Row],[RET ISR]]-Table1[[#This Row],[TOTAL]]</f>
        <v>0</v>
      </c>
      <c r="AK7017" s="306" t="str">
        <f>IF(ISNUMBER(Table1[[#This Row],[FECHA DE RECIBIDO]]), Table1[[#This Row],[FECHA DE RECIBIDO]]-DATE(2023,8,30), "")</f>
        <v/>
      </c>
    </row>
    <row r="7018" spans="1:37">
      <c r="A7018" s="172"/>
      <c r="B7018" s="178"/>
      <c r="C7018" s="179" t="s">
        <v>2596</v>
      </c>
      <c r="D7018">
        <v>4614</v>
      </c>
      <c r="E7018" s="125"/>
      <c r="F7018" s="178"/>
      <c r="G7018" s="178"/>
      <c r="H7018"/>
      <c r="I7018" s="178"/>
      <c r="J7018" s="320" t="s">
        <v>214</v>
      </c>
      <c r="K7018" s="178"/>
      <c r="L7018" s="125" t="s">
        <v>4863</v>
      </c>
      <c r="M7018">
        <v>852</v>
      </c>
      <c r="N7018" s="182"/>
      <c r="O7018">
        <v>2088</v>
      </c>
      <c r="P7018" s="176" t="s">
        <v>77</v>
      </c>
      <c r="Q7018" s="176">
        <v>45</v>
      </c>
      <c r="R7018" s="176"/>
      <c r="S7018" s="176"/>
      <c r="T7018" s="190"/>
      <c r="U7018" s="191"/>
      <c r="V7018" s="191">
        <f>+Table1[[#This Row],[SUBTOTAL]]+Table1[[#This Row],[IVA]]-Table1[[#This Row],[RET IVA]]-Table1[[#This Row],[RET ISR]]</f>
        <v>45</v>
      </c>
      <c r="W7018"/>
      <c r="X7018" s="186"/>
      <c r="Y7018" s="187"/>
      <c r="Z7018" s="311" t="s">
        <v>214</v>
      </c>
      <c r="AB7018" t="str">
        <f>IF(Table1[[#This Row],[TIPO2]]="costo", VLOOKUP(Table1[[#This Row],[PARTIDA PRESUPUESTAL]],'Cost Report'!G:G,1,0),"Balance")</f>
        <v>2794-003</v>
      </c>
      <c r="AD7018" s="159">
        <f>+Table1[[#This Row],[SUBTOTAL]]+Table1[[#This Row],[IVA]]-Table1[[#This Row],[RET IVA]]-Table1[[#This Row],[RET ISR]]-Table1[[#This Row],[TOTAL]]</f>
        <v>0</v>
      </c>
      <c r="AK7018" s="306" t="str">
        <f>IF(ISNUMBER(Table1[[#This Row],[FECHA DE RECIBIDO]]), Table1[[#This Row],[FECHA DE RECIBIDO]]-DATE(2023,8,30), "")</f>
        <v/>
      </c>
    </row>
    <row r="7019" spans="1:37">
      <c r="A7019" s="172"/>
      <c r="B7019" s="178"/>
      <c r="C7019" s="179" t="s">
        <v>1519</v>
      </c>
      <c r="D7019">
        <v>4614</v>
      </c>
      <c r="E7019" s="125"/>
      <c r="F7019" s="178"/>
      <c r="G7019" s="178"/>
      <c r="H7019"/>
      <c r="I7019" s="178"/>
      <c r="J7019" s="320" t="s">
        <v>214</v>
      </c>
      <c r="K7019" s="178"/>
      <c r="L7019" s="125" t="s">
        <v>4863</v>
      </c>
      <c r="M7019">
        <v>867</v>
      </c>
      <c r="N7019" s="182"/>
      <c r="O7019">
        <v>2143</v>
      </c>
      <c r="P7019" s="176" t="s">
        <v>77</v>
      </c>
      <c r="Q7019" s="176">
        <v>60</v>
      </c>
      <c r="R7019" s="176"/>
      <c r="S7019" s="176"/>
      <c r="T7019" s="190"/>
      <c r="U7019" s="191"/>
      <c r="V7019" s="191">
        <f>+Table1[[#This Row],[SUBTOTAL]]+Table1[[#This Row],[IVA]]-Table1[[#This Row],[RET IVA]]-Table1[[#This Row],[RET ISR]]</f>
        <v>60</v>
      </c>
      <c r="W7019"/>
      <c r="X7019" s="186"/>
      <c r="Y7019" s="187"/>
      <c r="Z7019" s="311" t="s">
        <v>214</v>
      </c>
      <c r="AB7019" t="str">
        <f>IF(Table1[[#This Row],[TIPO2]]="costo", VLOOKUP(Table1[[#This Row],[PARTIDA PRESUPUESTAL]],'Cost Report'!G:G,1,0),"Balance")</f>
        <v>2494-031</v>
      </c>
      <c r="AD7019" s="159">
        <f>+Table1[[#This Row],[SUBTOTAL]]+Table1[[#This Row],[IVA]]-Table1[[#This Row],[RET IVA]]-Table1[[#This Row],[RET ISR]]-Table1[[#This Row],[TOTAL]]</f>
        <v>0</v>
      </c>
      <c r="AK7019" s="306" t="str">
        <f>IF(ISNUMBER(Table1[[#This Row],[FECHA DE RECIBIDO]]), Table1[[#This Row],[FECHA DE RECIBIDO]]-DATE(2023,8,30), "")</f>
        <v/>
      </c>
    </row>
    <row r="7020" spans="1:37">
      <c r="A7020" s="172"/>
      <c r="B7020" s="178"/>
      <c r="C7020" s="179" t="s">
        <v>1505</v>
      </c>
      <c r="D7020">
        <v>4614</v>
      </c>
      <c r="E7020" s="125"/>
      <c r="F7020" s="178"/>
      <c r="G7020" s="178"/>
      <c r="H7020"/>
      <c r="I7020" s="178"/>
      <c r="J7020" s="320" t="s">
        <v>214</v>
      </c>
      <c r="K7020" s="178"/>
      <c r="L7020" s="125" t="s">
        <v>4863</v>
      </c>
      <c r="M7020">
        <v>122</v>
      </c>
      <c r="N7020" s="182"/>
      <c r="O7020">
        <v>2178</v>
      </c>
      <c r="P7020" s="176" t="s">
        <v>77</v>
      </c>
      <c r="Q7020" s="176">
        <v>15.6</v>
      </c>
      <c r="R7020" s="176"/>
      <c r="S7020" s="176"/>
      <c r="T7020" s="190"/>
      <c r="U7020" s="191"/>
      <c r="V7020" s="191">
        <f>+Table1[[#This Row],[SUBTOTAL]]+Table1[[#This Row],[IVA]]-Table1[[#This Row],[RET IVA]]-Table1[[#This Row],[RET ISR]]</f>
        <v>15.6</v>
      </c>
      <c r="W7020"/>
      <c r="X7020" s="186"/>
      <c r="Y7020" s="187"/>
      <c r="Z7020" s="311" t="s">
        <v>214</v>
      </c>
      <c r="AB7020" t="str">
        <f>IF(Table1[[#This Row],[TIPO2]]="costo", VLOOKUP(Table1[[#This Row],[PARTIDA PRESUPUESTAL]],'Cost Report'!G:G,1,0),"Balance")</f>
        <v>2494-003</v>
      </c>
      <c r="AD7020" s="159">
        <f>+Table1[[#This Row],[SUBTOTAL]]+Table1[[#This Row],[IVA]]-Table1[[#This Row],[RET IVA]]-Table1[[#This Row],[RET ISR]]-Table1[[#This Row],[TOTAL]]</f>
        <v>0</v>
      </c>
      <c r="AK7020" s="306" t="str">
        <f>IF(ISNUMBER(Table1[[#This Row],[FECHA DE RECIBIDO]]), Table1[[#This Row],[FECHA DE RECIBIDO]]-DATE(2023,8,30), "")</f>
        <v/>
      </c>
    </row>
    <row r="7021" spans="1:37">
      <c r="A7021" s="172"/>
      <c r="B7021" s="178"/>
      <c r="C7021" s="179" t="s">
        <v>1505</v>
      </c>
      <c r="D7021">
        <v>4614</v>
      </c>
      <c r="E7021" s="125"/>
      <c r="F7021" s="178"/>
      <c r="G7021" s="178"/>
      <c r="H7021"/>
      <c r="I7021" s="178"/>
      <c r="J7021" s="320" t="s">
        <v>214</v>
      </c>
      <c r="K7021" s="178"/>
      <c r="L7021" s="125" t="s">
        <v>4863</v>
      </c>
      <c r="M7021">
        <v>881</v>
      </c>
      <c r="N7021" s="182"/>
      <c r="O7021">
        <v>2179</v>
      </c>
      <c r="P7021" s="176" t="s">
        <v>77</v>
      </c>
      <c r="Q7021" s="176">
        <v>28.5</v>
      </c>
      <c r="R7021" s="176"/>
      <c r="S7021" s="176"/>
      <c r="T7021" s="190"/>
      <c r="U7021" s="191"/>
      <c r="V7021" s="191">
        <f>+Table1[[#This Row],[SUBTOTAL]]+Table1[[#This Row],[IVA]]-Table1[[#This Row],[RET IVA]]-Table1[[#This Row],[RET ISR]]</f>
        <v>28.5</v>
      </c>
      <c r="W7021"/>
      <c r="X7021" s="186"/>
      <c r="Y7021" s="187"/>
      <c r="Z7021" s="311" t="s">
        <v>214</v>
      </c>
      <c r="AB7021" t="str">
        <f>IF(Table1[[#This Row],[TIPO2]]="costo", VLOOKUP(Table1[[#This Row],[PARTIDA PRESUPUESTAL]],'Cost Report'!G:G,1,0),"Balance")</f>
        <v>2494-003</v>
      </c>
      <c r="AD7021" s="159">
        <f>+Table1[[#This Row],[SUBTOTAL]]+Table1[[#This Row],[IVA]]-Table1[[#This Row],[RET IVA]]-Table1[[#This Row],[RET ISR]]-Table1[[#This Row],[TOTAL]]</f>
        <v>0</v>
      </c>
      <c r="AK7021" s="306" t="str">
        <f>IF(ISNUMBER(Table1[[#This Row],[FECHA DE RECIBIDO]]), Table1[[#This Row],[FECHA DE RECIBIDO]]-DATE(2023,8,30), "")</f>
        <v/>
      </c>
    </row>
    <row r="7022" spans="1:37">
      <c r="A7022" s="172"/>
      <c r="B7022" s="178"/>
      <c r="C7022" s="179" t="s">
        <v>2749</v>
      </c>
      <c r="D7022">
        <v>4614</v>
      </c>
      <c r="E7022" s="125"/>
      <c r="F7022" s="178"/>
      <c r="G7022" s="178"/>
      <c r="H7022"/>
      <c r="I7022" s="178"/>
      <c r="J7022" s="320" t="s">
        <v>214</v>
      </c>
      <c r="K7022" s="178"/>
      <c r="L7022" s="125" t="s">
        <v>4863</v>
      </c>
      <c r="M7022">
        <v>884</v>
      </c>
      <c r="N7022" s="182"/>
      <c r="O7022">
        <v>2186</v>
      </c>
      <c r="P7022" s="176" t="s">
        <v>77</v>
      </c>
      <c r="Q7022" s="176">
        <v>9.2219999999999995</v>
      </c>
      <c r="R7022" s="176"/>
      <c r="S7022" s="176"/>
      <c r="T7022" s="190"/>
      <c r="U7022" s="191"/>
      <c r="V7022" s="191">
        <f>+Table1[[#This Row],[SUBTOTAL]]+Table1[[#This Row],[IVA]]-Table1[[#This Row],[RET IVA]]-Table1[[#This Row],[RET ISR]]</f>
        <v>9.2219999999999995</v>
      </c>
      <c r="W7022"/>
      <c r="X7022" s="186"/>
      <c r="Y7022" s="187"/>
      <c r="Z7022" s="311" t="s">
        <v>214</v>
      </c>
      <c r="AB7022" t="str">
        <f>IF(Table1[[#This Row],[TIPO2]]="costo", VLOOKUP(Table1[[#This Row],[PARTIDA PRESUPUESTAL]],'Cost Report'!G:G,1,0),"Balance")</f>
        <v>3401-011</v>
      </c>
      <c r="AD7022" s="159">
        <f>+Table1[[#This Row],[SUBTOTAL]]+Table1[[#This Row],[IVA]]-Table1[[#This Row],[RET IVA]]-Table1[[#This Row],[RET ISR]]-Table1[[#This Row],[TOTAL]]</f>
        <v>0</v>
      </c>
      <c r="AK7022" s="306" t="str">
        <f>IF(ISNUMBER(Table1[[#This Row],[FECHA DE RECIBIDO]]), Table1[[#This Row],[FECHA DE RECIBIDO]]-DATE(2023,8,30), "")</f>
        <v/>
      </c>
    </row>
    <row r="7023" spans="1:37">
      <c r="A7023" s="172"/>
      <c r="B7023" s="178"/>
      <c r="C7023" s="179" t="s">
        <v>2860</v>
      </c>
      <c r="D7023">
        <v>4614</v>
      </c>
      <c r="E7023" s="125"/>
      <c r="F7023" s="178"/>
      <c r="G7023" s="178"/>
      <c r="H7023"/>
      <c r="I7023" s="178"/>
      <c r="J7023" s="320" t="s">
        <v>214</v>
      </c>
      <c r="K7023" s="178"/>
      <c r="L7023" s="125" t="s">
        <v>4863</v>
      </c>
      <c r="M7023">
        <v>891</v>
      </c>
      <c r="N7023" s="182"/>
      <c r="O7023">
        <v>2205</v>
      </c>
      <c r="P7023" s="176" t="s">
        <v>77</v>
      </c>
      <c r="Q7023" s="176">
        <v>18.599999999999998</v>
      </c>
      <c r="R7023" s="176"/>
      <c r="S7023" s="176"/>
      <c r="T7023" s="190"/>
      <c r="U7023" s="191"/>
      <c r="V7023" s="191">
        <f>+Table1[[#This Row],[SUBTOTAL]]+Table1[[#This Row],[IVA]]-Table1[[#This Row],[RET IVA]]-Table1[[#This Row],[RET ISR]]</f>
        <v>18.599999999999998</v>
      </c>
      <c r="W7023"/>
      <c r="X7023" s="186"/>
      <c r="Y7023" s="187"/>
      <c r="Z7023" s="311" t="s">
        <v>214</v>
      </c>
      <c r="AB7023" t="str">
        <f>IF(Table1[[#This Row],[TIPO2]]="costo", VLOOKUP(Table1[[#This Row],[PARTIDA PRESUPUESTAL]],'Cost Report'!G:G,1,0),"Balance")</f>
        <v>3629-003</v>
      </c>
      <c r="AD7023" s="159">
        <f>+Table1[[#This Row],[SUBTOTAL]]+Table1[[#This Row],[IVA]]-Table1[[#This Row],[RET IVA]]-Table1[[#This Row],[RET ISR]]-Table1[[#This Row],[TOTAL]]</f>
        <v>0</v>
      </c>
      <c r="AK7023" s="306" t="str">
        <f>IF(ISNUMBER(Table1[[#This Row],[FECHA DE RECIBIDO]]), Table1[[#This Row],[FECHA DE RECIBIDO]]-DATE(2023,8,30), "")</f>
        <v/>
      </c>
    </row>
    <row r="7024" spans="1:37">
      <c r="A7024" s="172"/>
      <c r="B7024" s="178"/>
      <c r="C7024" s="179" t="s">
        <v>2860</v>
      </c>
      <c r="D7024">
        <v>4614</v>
      </c>
      <c r="E7024" s="125"/>
      <c r="F7024" s="178"/>
      <c r="G7024" s="178"/>
      <c r="H7024"/>
      <c r="I7024" s="178"/>
      <c r="J7024" s="320" t="s">
        <v>214</v>
      </c>
      <c r="K7024" s="178"/>
      <c r="L7024" s="125" t="s">
        <v>4863</v>
      </c>
      <c r="M7024">
        <v>892</v>
      </c>
      <c r="N7024" s="182"/>
      <c r="O7024">
        <v>2205</v>
      </c>
      <c r="P7024" s="176" t="s">
        <v>77</v>
      </c>
      <c r="Q7024" s="176">
        <v>18.599999999999998</v>
      </c>
      <c r="R7024" s="176"/>
      <c r="S7024" s="176"/>
      <c r="T7024" s="190"/>
      <c r="U7024" s="191"/>
      <c r="V7024" s="191">
        <f>+Table1[[#This Row],[SUBTOTAL]]+Table1[[#This Row],[IVA]]-Table1[[#This Row],[RET IVA]]-Table1[[#This Row],[RET ISR]]</f>
        <v>18.599999999999998</v>
      </c>
      <c r="W7024"/>
      <c r="X7024" s="186"/>
      <c r="Y7024" s="187"/>
      <c r="Z7024" s="311" t="s">
        <v>214</v>
      </c>
      <c r="AB7024" t="str">
        <f>IF(Table1[[#This Row],[TIPO2]]="costo", VLOOKUP(Table1[[#This Row],[PARTIDA PRESUPUESTAL]],'Cost Report'!G:G,1,0),"Balance")</f>
        <v>3629-003</v>
      </c>
      <c r="AD7024" s="159">
        <f>+Table1[[#This Row],[SUBTOTAL]]+Table1[[#This Row],[IVA]]-Table1[[#This Row],[RET IVA]]-Table1[[#This Row],[RET ISR]]-Table1[[#This Row],[TOTAL]]</f>
        <v>0</v>
      </c>
      <c r="AK7024" s="306" t="str">
        <f>IF(ISNUMBER(Table1[[#This Row],[FECHA DE RECIBIDO]]), Table1[[#This Row],[FECHA DE RECIBIDO]]-DATE(2023,8,30), "")</f>
        <v/>
      </c>
    </row>
    <row r="7025" spans="1:37">
      <c r="A7025" s="172"/>
      <c r="B7025" s="178"/>
      <c r="C7025" s="179" t="s">
        <v>2860</v>
      </c>
      <c r="D7025">
        <v>4614</v>
      </c>
      <c r="E7025" s="125"/>
      <c r="F7025" s="178"/>
      <c r="G7025" s="178"/>
      <c r="H7025"/>
      <c r="I7025" s="178"/>
      <c r="J7025" s="320" t="s">
        <v>214</v>
      </c>
      <c r="K7025" s="178"/>
      <c r="L7025" s="125" t="s">
        <v>4863</v>
      </c>
      <c r="M7025">
        <v>604</v>
      </c>
      <c r="N7025" s="182"/>
      <c r="O7025">
        <v>2205</v>
      </c>
      <c r="P7025" s="176" t="s">
        <v>77</v>
      </c>
      <c r="Q7025" s="176">
        <v>20.399999999999999</v>
      </c>
      <c r="R7025" s="176"/>
      <c r="S7025" s="176"/>
      <c r="T7025" s="190"/>
      <c r="U7025" s="191"/>
      <c r="V7025" s="191">
        <f>+Table1[[#This Row],[SUBTOTAL]]+Table1[[#This Row],[IVA]]-Table1[[#This Row],[RET IVA]]-Table1[[#This Row],[RET ISR]]</f>
        <v>20.399999999999999</v>
      </c>
      <c r="W7025"/>
      <c r="X7025" s="186"/>
      <c r="Y7025" s="187"/>
      <c r="Z7025" s="311" t="s">
        <v>214</v>
      </c>
      <c r="AB7025" t="str">
        <f>IF(Table1[[#This Row],[TIPO2]]="costo", VLOOKUP(Table1[[#This Row],[PARTIDA PRESUPUESTAL]],'Cost Report'!G:G,1,0),"Balance")</f>
        <v>3629-003</v>
      </c>
      <c r="AD7025" s="159">
        <f>+Table1[[#This Row],[SUBTOTAL]]+Table1[[#This Row],[IVA]]-Table1[[#This Row],[RET IVA]]-Table1[[#This Row],[RET ISR]]-Table1[[#This Row],[TOTAL]]</f>
        <v>0</v>
      </c>
      <c r="AK7025" s="306" t="str">
        <f>IF(ISNUMBER(Table1[[#This Row],[FECHA DE RECIBIDO]]), Table1[[#This Row],[FECHA DE RECIBIDO]]-DATE(2023,8,30), "")</f>
        <v/>
      </c>
    </row>
    <row r="7026" spans="1:37">
      <c r="A7026" s="172"/>
      <c r="B7026" s="178"/>
      <c r="C7026" s="179" t="s">
        <v>2860</v>
      </c>
      <c r="D7026">
        <v>4614</v>
      </c>
      <c r="E7026" s="125"/>
      <c r="F7026" s="178"/>
      <c r="G7026" s="178"/>
      <c r="H7026"/>
      <c r="I7026" s="178"/>
      <c r="J7026" s="320" t="s">
        <v>214</v>
      </c>
      <c r="K7026" s="178"/>
      <c r="L7026" s="125" t="s">
        <v>4863</v>
      </c>
      <c r="M7026">
        <v>893</v>
      </c>
      <c r="N7026" s="182"/>
      <c r="O7026">
        <v>2205</v>
      </c>
      <c r="P7026" s="176" t="s">
        <v>77</v>
      </c>
      <c r="Q7026" s="176">
        <v>31.5</v>
      </c>
      <c r="R7026" s="176"/>
      <c r="S7026" s="176"/>
      <c r="T7026" s="190"/>
      <c r="U7026" s="191"/>
      <c r="V7026" s="191">
        <f>+Table1[[#This Row],[SUBTOTAL]]+Table1[[#This Row],[IVA]]-Table1[[#This Row],[RET IVA]]-Table1[[#This Row],[RET ISR]]</f>
        <v>31.5</v>
      </c>
      <c r="W7026"/>
      <c r="X7026" s="186"/>
      <c r="Y7026" s="187"/>
      <c r="Z7026" s="311" t="s">
        <v>214</v>
      </c>
      <c r="AB7026" t="str">
        <f>IF(Table1[[#This Row],[TIPO2]]="costo", VLOOKUP(Table1[[#This Row],[PARTIDA PRESUPUESTAL]],'Cost Report'!G:G,1,0),"Balance")</f>
        <v>3629-003</v>
      </c>
      <c r="AD7026" s="159">
        <f>+Table1[[#This Row],[SUBTOTAL]]+Table1[[#This Row],[IVA]]-Table1[[#This Row],[RET IVA]]-Table1[[#This Row],[RET ISR]]-Table1[[#This Row],[TOTAL]]</f>
        <v>0</v>
      </c>
      <c r="AK7026" s="306" t="str">
        <f>IF(ISNUMBER(Table1[[#This Row],[FECHA DE RECIBIDO]]), Table1[[#This Row],[FECHA DE RECIBIDO]]-DATE(2023,8,30), "")</f>
        <v/>
      </c>
    </row>
    <row r="7027" spans="1:37">
      <c r="A7027" s="172"/>
      <c r="B7027" s="178"/>
      <c r="C7027" s="179" t="s">
        <v>2829</v>
      </c>
      <c r="D7027">
        <v>4614</v>
      </c>
      <c r="E7027" s="125"/>
      <c r="F7027" s="178"/>
      <c r="G7027" s="178"/>
      <c r="H7027"/>
      <c r="I7027" s="178"/>
      <c r="J7027" s="320" t="s">
        <v>214</v>
      </c>
      <c r="K7027" s="178"/>
      <c r="L7027" s="125" t="s">
        <v>4863</v>
      </c>
      <c r="M7027">
        <v>74</v>
      </c>
      <c r="N7027" s="182"/>
      <c r="O7027">
        <v>1993</v>
      </c>
      <c r="P7027" s="176" t="s">
        <v>77</v>
      </c>
      <c r="Q7027" s="176">
        <v>8.1</v>
      </c>
      <c r="R7027" s="176"/>
      <c r="S7027" s="176"/>
      <c r="T7027" s="190"/>
      <c r="U7027" s="191"/>
      <c r="V7027" s="191">
        <f>+Table1[[#This Row],[SUBTOTAL]]+Table1[[#This Row],[IVA]]-Table1[[#This Row],[RET IVA]]-Table1[[#This Row],[RET ISR]]</f>
        <v>8.1</v>
      </c>
      <c r="W7027"/>
      <c r="X7027" s="186"/>
      <c r="Y7027" s="187"/>
      <c r="Z7027" s="311" t="s">
        <v>214</v>
      </c>
      <c r="AB7027" t="str">
        <f>IF(Table1[[#This Row],[TIPO2]]="costo", VLOOKUP(Table1[[#This Row],[PARTIDA PRESUPUESTAL]],'Cost Report'!G:G,1,0),"Balance")</f>
        <v>3412-138</v>
      </c>
      <c r="AD7027" s="159">
        <f>+Table1[[#This Row],[SUBTOTAL]]+Table1[[#This Row],[IVA]]-Table1[[#This Row],[RET IVA]]-Table1[[#This Row],[RET ISR]]-Table1[[#This Row],[TOTAL]]</f>
        <v>0</v>
      </c>
      <c r="AK7027" s="306" t="str">
        <f>IF(ISNUMBER(Table1[[#This Row],[FECHA DE RECIBIDO]]), Table1[[#This Row],[FECHA DE RECIBIDO]]-DATE(2023,8,30), "")</f>
        <v/>
      </c>
    </row>
    <row r="7028" spans="1:37">
      <c r="A7028" s="172"/>
      <c r="B7028" s="178"/>
      <c r="C7028" s="179" t="s">
        <v>2860</v>
      </c>
      <c r="D7028">
        <v>4614</v>
      </c>
      <c r="E7028" s="125"/>
      <c r="F7028" s="178"/>
      <c r="G7028" s="178"/>
      <c r="H7028"/>
      <c r="I7028" s="178"/>
      <c r="J7028" s="320" t="s">
        <v>214</v>
      </c>
      <c r="K7028" s="178"/>
      <c r="L7028" s="125" t="s">
        <v>4863</v>
      </c>
      <c r="M7028">
        <v>894</v>
      </c>
      <c r="N7028" s="182"/>
      <c r="O7028">
        <v>1212</v>
      </c>
      <c r="P7028" s="176" t="s">
        <v>77</v>
      </c>
      <c r="Q7028" s="176">
        <v>19.5</v>
      </c>
      <c r="R7028" s="176"/>
      <c r="S7028" s="176"/>
      <c r="T7028" s="190"/>
      <c r="U7028" s="191"/>
      <c r="V7028" s="191">
        <f>+Table1[[#This Row],[SUBTOTAL]]+Table1[[#This Row],[IVA]]-Table1[[#This Row],[RET IVA]]-Table1[[#This Row],[RET ISR]]</f>
        <v>19.5</v>
      </c>
      <c r="W7028"/>
      <c r="X7028" s="186"/>
      <c r="Y7028" s="187"/>
      <c r="Z7028" s="311" t="s">
        <v>214</v>
      </c>
      <c r="AB7028" t="str">
        <f>IF(Table1[[#This Row],[TIPO2]]="costo", VLOOKUP(Table1[[#This Row],[PARTIDA PRESUPUESTAL]],'Cost Report'!G:G,1,0),"Balance")</f>
        <v>3629-003</v>
      </c>
      <c r="AD7028" s="159">
        <f>+Table1[[#This Row],[SUBTOTAL]]+Table1[[#This Row],[IVA]]-Table1[[#This Row],[RET IVA]]-Table1[[#This Row],[RET ISR]]-Table1[[#This Row],[TOTAL]]</f>
        <v>0</v>
      </c>
      <c r="AK7028" s="306" t="str">
        <f>IF(ISNUMBER(Table1[[#This Row],[FECHA DE RECIBIDO]]), Table1[[#This Row],[FECHA DE RECIBIDO]]-DATE(2023,8,30), "")</f>
        <v/>
      </c>
    </row>
    <row r="7029" spans="1:37">
      <c r="A7029" s="172"/>
      <c r="B7029" s="178"/>
      <c r="C7029" s="179" t="s">
        <v>2774</v>
      </c>
      <c r="D7029">
        <v>4614</v>
      </c>
      <c r="E7029" s="125"/>
      <c r="F7029" s="178"/>
      <c r="G7029" s="178"/>
      <c r="H7029"/>
      <c r="I7029" s="178"/>
      <c r="J7029" s="320" t="s">
        <v>214</v>
      </c>
      <c r="K7029" s="178"/>
      <c r="L7029" s="125" t="s">
        <v>4863</v>
      </c>
      <c r="M7029">
        <v>895</v>
      </c>
      <c r="N7029" s="182"/>
      <c r="O7029">
        <v>2206</v>
      </c>
      <c r="P7029" s="176" t="s">
        <v>77</v>
      </c>
      <c r="Q7029" s="176">
        <v>273</v>
      </c>
      <c r="R7029" s="176"/>
      <c r="S7029" s="176"/>
      <c r="T7029" s="190"/>
      <c r="U7029" s="191"/>
      <c r="V7029" s="191">
        <f>+Table1[[#This Row],[SUBTOTAL]]+Table1[[#This Row],[IVA]]-Table1[[#This Row],[RET IVA]]-Table1[[#This Row],[RET ISR]]</f>
        <v>273</v>
      </c>
      <c r="W7029"/>
      <c r="X7029" s="186"/>
      <c r="Y7029" s="187"/>
      <c r="Z7029" s="311" t="s">
        <v>214</v>
      </c>
      <c r="AB7029" t="str">
        <f>IF(Table1[[#This Row],[TIPO2]]="costo", VLOOKUP(Table1[[#This Row],[PARTIDA PRESUPUESTAL]],'Cost Report'!G:G,1,0),"Balance")</f>
        <v>3401-042</v>
      </c>
      <c r="AD7029" s="159">
        <f>+Table1[[#This Row],[SUBTOTAL]]+Table1[[#This Row],[IVA]]-Table1[[#This Row],[RET IVA]]-Table1[[#This Row],[RET ISR]]-Table1[[#This Row],[TOTAL]]</f>
        <v>0</v>
      </c>
      <c r="AK7029" s="306" t="str">
        <f>IF(ISNUMBER(Table1[[#This Row],[FECHA DE RECIBIDO]]), Table1[[#This Row],[FECHA DE RECIBIDO]]-DATE(2023,8,30), "")</f>
        <v/>
      </c>
    </row>
    <row r="7030" spans="1:37">
      <c r="A7030" s="172"/>
      <c r="B7030" s="178"/>
      <c r="C7030" s="179" t="s">
        <v>2774</v>
      </c>
      <c r="D7030">
        <v>4614</v>
      </c>
      <c r="E7030" s="125"/>
      <c r="F7030" s="178"/>
      <c r="G7030" s="178"/>
      <c r="H7030"/>
      <c r="I7030" s="178"/>
      <c r="J7030" s="320" t="s">
        <v>214</v>
      </c>
      <c r="K7030" s="178"/>
      <c r="L7030" s="125" t="s">
        <v>4863</v>
      </c>
      <c r="M7030">
        <v>896</v>
      </c>
      <c r="N7030" s="182"/>
      <c r="O7030">
        <v>2206</v>
      </c>
      <c r="P7030" s="176" t="s">
        <v>77</v>
      </c>
      <c r="Q7030" s="176">
        <v>6.75</v>
      </c>
      <c r="R7030" s="176"/>
      <c r="S7030" s="176"/>
      <c r="T7030" s="190"/>
      <c r="U7030" s="191"/>
      <c r="V7030" s="191">
        <f>+Table1[[#This Row],[SUBTOTAL]]+Table1[[#This Row],[IVA]]-Table1[[#This Row],[RET IVA]]-Table1[[#This Row],[RET ISR]]</f>
        <v>6.75</v>
      </c>
      <c r="W7030"/>
      <c r="X7030" s="186"/>
      <c r="Y7030" s="187"/>
      <c r="Z7030" s="311" t="s">
        <v>214</v>
      </c>
      <c r="AB7030" t="str">
        <f>IF(Table1[[#This Row],[TIPO2]]="costo", VLOOKUP(Table1[[#This Row],[PARTIDA PRESUPUESTAL]],'Cost Report'!G:G,1,0),"Balance")</f>
        <v>3401-042</v>
      </c>
      <c r="AD7030" s="159">
        <f>+Table1[[#This Row],[SUBTOTAL]]+Table1[[#This Row],[IVA]]-Table1[[#This Row],[RET IVA]]-Table1[[#This Row],[RET ISR]]-Table1[[#This Row],[TOTAL]]</f>
        <v>0</v>
      </c>
      <c r="AK7030" s="306" t="str">
        <f>IF(ISNUMBER(Table1[[#This Row],[FECHA DE RECIBIDO]]), Table1[[#This Row],[FECHA DE RECIBIDO]]-DATE(2023,8,30), "")</f>
        <v/>
      </c>
    </row>
    <row r="7031" spans="1:37">
      <c r="A7031" s="172"/>
      <c r="B7031" s="178"/>
      <c r="C7031" s="179" t="s">
        <v>2774</v>
      </c>
      <c r="D7031">
        <v>4614</v>
      </c>
      <c r="E7031" s="125"/>
      <c r="F7031" s="178"/>
      <c r="G7031" s="178"/>
      <c r="H7031"/>
      <c r="I7031" s="178"/>
      <c r="J7031" s="320" t="s">
        <v>214</v>
      </c>
      <c r="K7031" s="178"/>
      <c r="L7031" s="125" t="s">
        <v>4863</v>
      </c>
      <c r="M7031">
        <v>888</v>
      </c>
      <c r="N7031" s="182"/>
      <c r="O7031">
        <v>2206</v>
      </c>
      <c r="P7031" s="176" t="s">
        <v>77</v>
      </c>
      <c r="Q7031" s="176">
        <v>41.699999999999996</v>
      </c>
      <c r="R7031" s="176"/>
      <c r="S7031" s="176"/>
      <c r="T7031" s="190"/>
      <c r="U7031" s="191"/>
      <c r="V7031" s="191">
        <f>+Table1[[#This Row],[SUBTOTAL]]+Table1[[#This Row],[IVA]]-Table1[[#This Row],[RET IVA]]-Table1[[#This Row],[RET ISR]]</f>
        <v>41.699999999999996</v>
      </c>
      <c r="W7031"/>
      <c r="X7031" s="186"/>
      <c r="Y7031" s="187"/>
      <c r="Z7031" s="311" t="s">
        <v>214</v>
      </c>
      <c r="AB7031" t="str">
        <f>IF(Table1[[#This Row],[TIPO2]]="costo", VLOOKUP(Table1[[#This Row],[PARTIDA PRESUPUESTAL]],'Cost Report'!G:G,1,0),"Balance")</f>
        <v>3401-042</v>
      </c>
      <c r="AD7031" s="159">
        <f>+Table1[[#This Row],[SUBTOTAL]]+Table1[[#This Row],[IVA]]-Table1[[#This Row],[RET IVA]]-Table1[[#This Row],[RET ISR]]-Table1[[#This Row],[TOTAL]]</f>
        <v>0</v>
      </c>
      <c r="AK7031" s="306" t="str">
        <f>IF(ISNUMBER(Table1[[#This Row],[FECHA DE RECIBIDO]]), Table1[[#This Row],[FECHA DE RECIBIDO]]-DATE(2023,8,30), "")</f>
        <v/>
      </c>
    </row>
    <row r="7032" spans="1:37">
      <c r="A7032" s="172"/>
      <c r="B7032" s="178"/>
      <c r="C7032" s="179" t="s">
        <v>1505</v>
      </c>
      <c r="D7032">
        <v>4614</v>
      </c>
      <c r="E7032" s="125"/>
      <c r="F7032" s="178"/>
      <c r="G7032" s="178"/>
      <c r="H7032"/>
      <c r="I7032" s="178"/>
      <c r="J7032" s="320" t="s">
        <v>214</v>
      </c>
      <c r="K7032" s="178"/>
      <c r="L7032" s="125" t="s">
        <v>4863</v>
      </c>
      <c r="M7032">
        <v>514</v>
      </c>
      <c r="N7032" s="182"/>
      <c r="O7032">
        <v>2270</v>
      </c>
      <c r="P7032" s="176" t="s">
        <v>77</v>
      </c>
      <c r="Q7032" s="176">
        <v>50.699999999999996</v>
      </c>
      <c r="R7032" s="176"/>
      <c r="S7032" s="176"/>
      <c r="T7032" s="190"/>
      <c r="U7032" s="191"/>
      <c r="V7032" s="191">
        <f>+Table1[[#This Row],[SUBTOTAL]]+Table1[[#This Row],[IVA]]-Table1[[#This Row],[RET IVA]]-Table1[[#This Row],[RET ISR]]</f>
        <v>50.699999999999996</v>
      </c>
      <c r="W7032"/>
      <c r="X7032" s="186"/>
      <c r="Y7032" s="187"/>
      <c r="Z7032" s="311" t="s">
        <v>214</v>
      </c>
      <c r="AB7032" t="str">
        <f>IF(Table1[[#This Row],[TIPO2]]="costo", VLOOKUP(Table1[[#This Row],[PARTIDA PRESUPUESTAL]],'Cost Report'!G:G,1,0),"Balance")</f>
        <v>2494-003</v>
      </c>
      <c r="AD7032" s="159">
        <f>+Table1[[#This Row],[SUBTOTAL]]+Table1[[#This Row],[IVA]]-Table1[[#This Row],[RET IVA]]-Table1[[#This Row],[RET ISR]]-Table1[[#This Row],[TOTAL]]</f>
        <v>0</v>
      </c>
      <c r="AK7032" s="306" t="str">
        <f>IF(ISNUMBER(Table1[[#This Row],[FECHA DE RECIBIDO]]), Table1[[#This Row],[FECHA DE RECIBIDO]]-DATE(2023,8,30), "")</f>
        <v/>
      </c>
    </row>
    <row r="7033" spans="1:37">
      <c r="A7033" s="172"/>
      <c r="B7033" s="178"/>
      <c r="C7033" s="179" t="s">
        <v>1505</v>
      </c>
      <c r="D7033">
        <v>4614</v>
      </c>
      <c r="E7033" s="125"/>
      <c r="F7033" s="178"/>
      <c r="G7033" s="178"/>
      <c r="H7033"/>
      <c r="I7033" s="178"/>
      <c r="J7033" s="320" t="s">
        <v>214</v>
      </c>
      <c r="K7033" s="178"/>
      <c r="L7033" s="125" t="s">
        <v>4863</v>
      </c>
      <c r="M7033">
        <v>930</v>
      </c>
      <c r="N7033" s="182"/>
      <c r="O7033">
        <v>2271</v>
      </c>
      <c r="P7033" s="176" t="s">
        <v>77</v>
      </c>
      <c r="Q7033" s="176">
        <v>13.5</v>
      </c>
      <c r="R7033" s="176"/>
      <c r="S7033" s="176"/>
      <c r="T7033" s="190"/>
      <c r="U7033" s="191"/>
      <c r="V7033" s="191">
        <f>+Table1[[#This Row],[SUBTOTAL]]+Table1[[#This Row],[IVA]]-Table1[[#This Row],[RET IVA]]-Table1[[#This Row],[RET ISR]]</f>
        <v>13.5</v>
      </c>
      <c r="W7033"/>
      <c r="X7033" s="186"/>
      <c r="Y7033" s="187"/>
      <c r="Z7033" s="311" t="s">
        <v>214</v>
      </c>
      <c r="AB7033" t="str">
        <f>IF(Table1[[#This Row],[TIPO2]]="costo", VLOOKUP(Table1[[#This Row],[PARTIDA PRESUPUESTAL]],'Cost Report'!G:G,1,0),"Balance")</f>
        <v>2494-003</v>
      </c>
      <c r="AD7033" s="159">
        <f>+Table1[[#This Row],[SUBTOTAL]]+Table1[[#This Row],[IVA]]-Table1[[#This Row],[RET IVA]]-Table1[[#This Row],[RET ISR]]-Table1[[#This Row],[TOTAL]]</f>
        <v>0</v>
      </c>
      <c r="AK7033" s="306" t="str">
        <f>IF(ISNUMBER(Table1[[#This Row],[FECHA DE RECIBIDO]]), Table1[[#This Row],[FECHA DE RECIBIDO]]-DATE(2023,8,30), "")</f>
        <v/>
      </c>
    </row>
    <row r="7034" spans="1:37">
      <c r="A7034" s="172"/>
      <c r="B7034" s="178"/>
      <c r="C7034" s="179" t="s">
        <v>2596</v>
      </c>
      <c r="D7034">
        <v>4614</v>
      </c>
      <c r="E7034" s="125"/>
      <c r="F7034" s="178"/>
      <c r="G7034" s="178"/>
      <c r="H7034"/>
      <c r="I7034" s="178"/>
      <c r="J7034" s="320" t="s">
        <v>214</v>
      </c>
      <c r="K7034" s="178"/>
      <c r="L7034" s="125" t="s">
        <v>4863</v>
      </c>
      <c r="M7034">
        <v>679</v>
      </c>
      <c r="N7034" s="182"/>
      <c r="O7034">
        <v>2072</v>
      </c>
      <c r="P7034" s="176" t="s">
        <v>77</v>
      </c>
      <c r="Q7034" s="176">
        <v>61.554000000000002</v>
      </c>
      <c r="R7034" s="176"/>
      <c r="S7034" s="176"/>
      <c r="T7034" s="190"/>
      <c r="U7034" s="191"/>
      <c r="V7034" s="191">
        <f>+Table1[[#This Row],[SUBTOTAL]]+Table1[[#This Row],[IVA]]-Table1[[#This Row],[RET IVA]]-Table1[[#This Row],[RET ISR]]</f>
        <v>61.554000000000002</v>
      </c>
      <c r="W7034"/>
      <c r="X7034" s="186"/>
      <c r="Y7034" s="187"/>
      <c r="Z7034" s="311" t="s">
        <v>214</v>
      </c>
      <c r="AB7034" t="str">
        <f>IF(Table1[[#This Row],[TIPO2]]="costo", VLOOKUP(Table1[[#This Row],[PARTIDA PRESUPUESTAL]],'Cost Report'!G:G,1,0),"Balance")</f>
        <v>2794-003</v>
      </c>
      <c r="AD7034" s="159">
        <f>+Table1[[#This Row],[SUBTOTAL]]+Table1[[#This Row],[IVA]]-Table1[[#This Row],[RET IVA]]-Table1[[#This Row],[RET ISR]]-Table1[[#This Row],[TOTAL]]</f>
        <v>0</v>
      </c>
      <c r="AK7034" s="306" t="str">
        <f>IF(ISNUMBER(Table1[[#This Row],[FECHA DE RECIBIDO]]), Table1[[#This Row],[FECHA DE RECIBIDO]]-DATE(2023,8,30), "")</f>
        <v/>
      </c>
    </row>
    <row r="7035" spans="1:37">
      <c r="A7035" s="172"/>
      <c r="B7035" s="178"/>
      <c r="C7035" s="179" t="s">
        <v>2596</v>
      </c>
      <c r="D7035">
        <v>4614</v>
      </c>
      <c r="E7035" s="125"/>
      <c r="F7035" s="178"/>
      <c r="G7035" s="178"/>
      <c r="H7035"/>
      <c r="I7035" s="178"/>
      <c r="J7035" s="320" t="s">
        <v>214</v>
      </c>
      <c r="K7035" s="178"/>
      <c r="L7035" s="125" t="s">
        <v>4863</v>
      </c>
      <c r="M7035">
        <v>679</v>
      </c>
      <c r="N7035" s="182"/>
      <c r="O7035">
        <v>2075</v>
      </c>
      <c r="P7035" s="176" t="s">
        <v>77</v>
      </c>
      <c r="Q7035" s="176">
        <v>50.688000000000002</v>
      </c>
      <c r="R7035" s="176"/>
      <c r="S7035" s="176"/>
      <c r="T7035" s="190"/>
      <c r="U7035" s="191"/>
      <c r="V7035" s="191">
        <f>+Table1[[#This Row],[SUBTOTAL]]+Table1[[#This Row],[IVA]]-Table1[[#This Row],[RET IVA]]-Table1[[#This Row],[RET ISR]]</f>
        <v>50.688000000000002</v>
      </c>
      <c r="W7035"/>
      <c r="X7035" s="186"/>
      <c r="Y7035" s="187"/>
      <c r="Z7035" s="311" t="s">
        <v>214</v>
      </c>
      <c r="AB7035" t="str">
        <f>IF(Table1[[#This Row],[TIPO2]]="costo", VLOOKUP(Table1[[#This Row],[PARTIDA PRESUPUESTAL]],'Cost Report'!G:G,1,0),"Balance")</f>
        <v>2794-003</v>
      </c>
      <c r="AD7035" s="159">
        <f>+Table1[[#This Row],[SUBTOTAL]]+Table1[[#This Row],[IVA]]-Table1[[#This Row],[RET IVA]]-Table1[[#This Row],[RET ISR]]-Table1[[#This Row],[TOTAL]]</f>
        <v>0</v>
      </c>
      <c r="AK7035" s="306" t="str">
        <f>IF(ISNUMBER(Table1[[#This Row],[FECHA DE RECIBIDO]]), Table1[[#This Row],[FECHA DE RECIBIDO]]-DATE(2023,8,30), "")</f>
        <v/>
      </c>
    </row>
    <row r="7036" spans="1:37">
      <c r="A7036" s="172"/>
      <c r="B7036" s="178"/>
      <c r="C7036" s="179" t="s">
        <v>2455</v>
      </c>
      <c r="D7036">
        <v>4614</v>
      </c>
      <c r="E7036" s="125"/>
      <c r="F7036" s="178"/>
      <c r="G7036" s="178"/>
      <c r="H7036"/>
      <c r="I7036" s="178"/>
      <c r="J7036" s="320" t="s">
        <v>214</v>
      </c>
      <c r="K7036" s="178"/>
      <c r="L7036" s="125" t="s">
        <v>4863</v>
      </c>
      <c r="M7036">
        <v>69</v>
      </c>
      <c r="N7036" s="182"/>
      <c r="O7036">
        <v>2397</v>
      </c>
      <c r="P7036" s="176" t="s">
        <v>77</v>
      </c>
      <c r="Q7036" s="176">
        <v>30</v>
      </c>
      <c r="R7036" s="176"/>
      <c r="S7036" s="176"/>
      <c r="T7036" s="190"/>
      <c r="U7036" s="191"/>
      <c r="V7036" s="191">
        <f>+Table1[[#This Row],[SUBTOTAL]]+Table1[[#This Row],[IVA]]-Table1[[#This Row],[RET IVA]]-Table1[[#This Row],[RET ISR]]</f>
        <v>30</v>
      </c>
      <c r="W7036"/>
      <c r="X7036" s="186"/>
      <c r="Y7036" s="187"/>
      <c r="Z7036" s="311" t="s">
        <v>214</v>
      </c>
      <c r="AB7036" t="str">
        <f>IF(Table1[[#This Row],[TIPO2]]="costo", VLOOKUP(Table1[[#This Row],[PARTIDA PRESUPUESTAL]],'Cost Report'!G:G,1,0),"Balance")</f>
        <v>2285-003</v>
      </c>
      <c r="AD7036" s="159">
        <f>+Table1[[#This Row],[SUBTOTAL]]+Table1[[#This Row],[IVA]]-Table1[[#This Row],[RET IVA]]-Table1[[#This Row],[RET ISR]]-Table1[[#This Row],[TOTAL]]</f>
        <v>0</v>
      </c>
      <c r="AK7036" s="306" t="str">
        <f>IF(ISNUMBER(Table1[[#This Row],[FECHA DE RECIBIDO]]), Table1[[#This Row],[FECHA DE RECIBIDO]]-DATE(2023,8,30), "")</f>
        <v/>
      </c>
    </row>
    <row r="7037" spans="1:37">
      <c r="A7037" s="172"/>
      <c r="B7037" s="178"/>
      <c r="C7037" s="179" t="s">
        <v>2542</v>
      </c>
      <c r="D7037">
        <v>4614</v>
      </c>
      <c r="E7037" s="125"/>
      <c r="F7037" s="178"/>
      <c r="G7037" s="178"/>
      <c r="H7037"/>
      <c r="I7037" s="178"/>
      <c r="J7037" s="320" t="s">
        <v>214</v>
      </c>
      <c r="K7037" s="178"/>
      <c r="L7037" s="125" t="s">
        <v>4863</v>
      </c>
      <c r="M7037">
        <v>122</v>
      </c>
      <c r="N7037" s="182"/>
      <c r="O7037">
        <v>2405</v>
      </c>
      <c r="P7037" s="176" t="s">
        <v>77</v>
      </c>
      <c r="Q7037" s="176">
        <v>44.85</v>
      </c>
      <c r="R7037" s="176"/>
      <c r="S7037" s="176"/>
      <c r="T7037" s="190"/>
      <c r="U7037" s="191"/>
      <c r="V7037" s="191">
        <f>+Table1[[#This Row],[SUBTOTAL]]+Table1[[#This Row],[IVA]]-Table1[[#This Row],[RET IVA]]-Table1[[#This Row],[RET ISR]]</f>
        <v>44.85</v>
      </c>
      <c r="W7037"/>
      <c r="X7037" s="186"/>
      <c r="Y7037" s="187"/>
      <c r="Z7037" s="311" t="s">
        <v>214</v>
      </c>
      <c r="AB7037" t="str">
        <f>IF(Table1[[#This Row],[TIPO2]]="costo", VLOOKUP(Table1[[#This Row],[PARTIDA PRESUPUESTAL]],'Cost Report'!G:G,1,0),"Balance")</f>
        <v>2494-063</v>
      </c>
      <c r="AD7037" s="159">
        <f>+Table1[[#This Row],[SUBTOTAL]]+Table1[[#This Row],[IVA]]-Table1[[#This Row],[RET IVA]]-Table1[[#This Row],[RET ISR]]-Table1[[#This Row],[TOTAL]]</f>
        <v>0</v>
      </c>
      <c r="AK7037" s="306" t="str">
        <f>IF(ISNUMBER(Table1[[#This Row],[FECHA DE RECIBIDO]]), Table1[[#This Row],[FECHA DE RECIBIDO]]-DATE(2023,8,30), "")</f>
        <v/>
      </c>
    </row>
    <row r="7038" spans="1:37">
      <c r="A7038" s="172"/>
      <c r="B7038" s="178"/>
      <c r="C7038" s="179" t="s">
        <v>2455</v>
      </c>
      <c r="D7038">
        <v>4614</v>
      </c>
      <c r="E7038" s="125"/>
      <c r="F7038" s="178"/>
      <c r="G7038" s="178"/>
      <c r="H7038"/>
      <c r="I7038" s="178"/>
      <c r="J7038" s="320" t="s">
        <v>214</v>
      </c>
      <c r="K7038" s="178"/>
      <c r="L7038" s="125" t="s">
        <v>4863</v>
      </c>
      <c r="M7038">
        <v>375</v>
      </c>
      <c r="N7038" s="182"/>
      <c r="O7038">
        <v>522</v>
      </c>
      <c r="P7038" s="176" t="s">
        <v>77</v>
      </c>
      <c r="Q7038" s="176">
        <v>8.85</v>
      </c>
      <c r="R7038" s="176"/>
      <c r="S7038" s="176"/>
      <c r="T7038" s="190"/>
      <c r="U7038" s="191"/>
      <c r="V7038" s="191">
        <f>+Table1[[#This Row],[SUBTOTAL]]+Table1[[#This Row],[IVA]]-Table1[[#This Row],[RET IVA]]-Table1[[#This Row],[RET ISR]]</f>
        <v>8.85</v>
      </c>
      <c r="W7038"/>
      <c r="X7038" s="186"/>
      <c r="Y7038" s="187"/>
      <c r="Z7038" s="311" t="s">
        <v>214</v>
      </c>
      <c r="AB7038" t="str">
        <f>IF(Table1[[#This Row],[TIPO2]]="costo", VLOOKUP(Table1[[#This Row],[PARTIDA PRESUPUESTAL]],'Cost Report'!G:G,1,0),"Balance")</f>
        <v>2285-003</v>
      </c>
      <c r="AD7038" s="159">
        <f>+Table1[[#This Row],[SUBTOTAL]]+Table1[[#This Row],[IVA]]-Table1[[#This Row],[RET IVA]]-Table1[[#This Row],[RET ISR]]-Table1[[#This Row],[TOTAL]]</f>
        <v>0</v>
      </c>
      <c r="AK7038" s="306" t="str">
        <f>IF(ISNUMBER(Table1[[#This Row],[FECHA DE RECIBIDO]]), Table1[[#This Row],[FECHA DE RECIBIDO]]-DATE(2023,8,30), "")</f>
        <v/>
      </c>
    </row>
    <row r="7039" spans="1:37">
      <c r="A7039" s="172"/>
      <c r="B7039" s="178"/>
      <c r="C7039" s="179" t="s">
        <v>2455</v>
      </c>
      <c r="D7039">
        <v>4614</v>
      </c>
      <c r="E7039" s="125"/>
      <c r="F7039" s="178"/>
      <c r="G7039" s="178"/>
      <c r="H7039"/>
      <c r="I7039" s="178"/>
      <c r="J7039" s="320" t="s">
        <v>214</v>
      </c>
      <c r="K7039" s="178"/>
      <c r="L7039" s="125" t="s">
        <v>4863</v>
      </c>
      <c r="M7039">
        <v>984</v>
      </c>
      <c r="N7039" s="182"/>
      <c r="O7039">
        <v>2444</v>
      </c>
      <c r="P7039" s="176" t="s">
        <v>77</v>
      </c>
      <c r="Q7039" s="176">
        <v>7.1999999999999993</v>
      </c>
      <c r="R7039" s="176"/>
      <c r="S7039" s="176"/>
      <c r="T7039" s="190"/>
      <c r="U7039" s="191"/>
      <c r="V7039" s="191">
        <f>+Table1[[#This Row],[SUBTOTAL]]+Table1[[#This Row],[IVA]]-Table1[[#This Row],[RET IVA]]-Table1[[#This Row],[RET ISR]]</f>
        <v>7.1999999999999993</v>
      </c>
      <c r="W7039"/>
      <c r="X7039" s="186"/>
      <c r="Y7039" s="187"/>
      <c r="Z7039" s="311" t="s">
        <v>214</v>
      </c>
      <c r="AB7039" t="str">
        <f>IF(Table1[[#This Row],[TIPO2]]="costo", VLOOKUP(Table1[[#This Row],[PARTIDA PRESUPUESTAL]],'Cost Report'!G:G,1,0),"Balance")</f>
        <v>2285-003</v>
      </c>
      <c r="AD7039" s="159">
        <f>+Table1[[#This Row],[SUBTOTAL]]+Table1[[#This Row],[IVA]]-Table1[[#This Row],[RET IVA]]-Table1[[#This Row],[RET ISR]]-Table1[[#This Row],[TOTAL]]</f>
        <v>0</v>
      </c>
      <c r="AK7039" s="306" t="str">
        <f>IF(ISNUMBER(Table1[[#This Row],[FECHA DE RECIBIDO]]), Table1[[#This Row],[FECHA DE RECIBIDO]]-DATE(2023,8,30), "")</f>
        <v/>
      </c>
    </row>
    <row r="7040" spans="1:37">
      <c r="A7040" s="172"/>
      <c r="B7040" s="178"/>
      <c r="C7040" s="179" t="s">
        <v>2455</v>
      </c>
      <c r="D7040">
        <v>4614</v>
      </c>
      <c r="E7040" s="125"/>
      <c r="F7040" s="178"/>
      <c r="G7040" s="178"/>
      <c r="H7040"/>
      <c r="I7040" s="178"/>
      <c r="J7040" s="320" t="s">
        <v>214</v>
      </c>
      <c r="K7040" s="178"/>
      <c r="L7040" s="125" t="s">
        <v>4863</v>
      </c>
      <c r="M7040">
        <v>375</v>
      </c>
      <c r="N7040" s="182"/>
      <c r="O7040">
        <v>522</v>
      </c>
      <c r="P7040" s="176" t="s">
        <v>77</v>
      </c>
      <c r="Q7040" s="176">
        <v>8.85</v>
      </c>
      <c r="R7040" s="176"/>
      <c r="S7040" s="176"/>
      <c r="T7040" s="190"/>
      <c r="U7040" s="191"/>
      <c r="V7040" s="191">
        <f>+Table1[[#This Row],[SUBTOTAL]]+Table1[[#This Row],[IVA]]-Table1[[#This Row],[RET IVA]]-Table1[[#This Row],[RET ISR]]</f>
        <v>8.85</v>
      </c>
      <c r="W7040"/>
      <c r="X7040" s="186"/>
      <c r="Y7040" s="187"/>
      <c r="Z7040" s="311" t="s">
        <v>214</v>
      </c>
      <c r="AB7040" t="str">
        <f>IF(Table1[[#This Row],[TIPO2]]="costo", VLOOKUP(Table1[[#This Row],[PARTIDA PRESUPUESTAL]],'Cost Report'!G:G,1,0),"Balance")</f>
        <v>2285-003</v>
      </c>
      <c r="AD7040" s="159">
        <f>+Table1[[#This Row],[SUBTOTAL]]+Table1[[#This Row],[IVA]]-Table1[[#This Row],[RET IVA]]-Table1[[#This Row],[RET ISR]]-Table1[[#This Row],[TOTAL]]</f>
        <v>0</v>
      </c>
      <c r="AK7040" s="306" t="str">
        <f>IF(ISNUMBER(Table1[[#This Row],[FECHA DE RECIBIDO]]), Table1[[#This Row],[FECHA DE RECIBIDO]]-DATE(2023,8,30), "")</f>
        <v/>
      </c>
    </row>
    <row r="7041" spans="1:37">
      <c r="A7041" s="172"/>
      <c r="B7041" s="178"/>
      <c r="C7041" s="179" t="s">
        <v>2565</v>
      </c>
      <c r="D7041">
        <v>4614</v>
      </c>
      <c r="E7041" s="125"/>
      <c r="F7041" s="178"/>
      <c r="G7041" s="178"/>
      <c r="H7041"/>
      <c r="I7041" s="178"/>
      <c r="J7041" s="320" t="s">
        <v>214</v>
      </c>
      <c r="K7041" s="178"/>
      <c r="L7041" s="125" t="s">
        <v>4863</v>
      </c>
      <c r="M7041">
        <v>992</v>
      </c>
      <c r="N7041" s="182"/>
      <c r="O7041">
        <v>2465</v>
      </c>
      <c r="P7041" s="176" t="s">
        <v>77</v>
      </c>
      <c r="Q7041" s="176">
        <v>36</v>
      </c>
      <c r="R7041" s="176"/>
      <c r="S7041" s="176"/>
      <c r="T7041" s="190"/>
      <c r="U7041" s="191"/>
      <c r="V7041" s="191">
        <f>+Table1[[#This Row],[SUBTOTAL]]+Table1[[#This Row],[IVA]]-Table1[[#This Row],[RET IVA]]-Table1[[#This Row],[RET ISR]]</f>
        <v>36</v>
      </c>
      <c r="W7041"/>
      <c r="X7041" s="186"/>
      <c r="Y7041" s="187"/>
      <c r="Z7041" s="311" t="s">
        <v>214</v>
      </c>
      <c r="AB7041" t="str">
        <f>IF(Table1[[#This Row],[TIPO2]]="costo", VLOOKUP(Table1[[#This Row],[PARTIDA PRESUPUESTAL]],'Cost Report'!G:G,1,0),"Balance")</f>
        <v>2585-003</v>
      </c>
      <c r="AD7041" s="159">
        <f>+Table1[[#This Row],[SUBTOTAL]]+Table1[[#This Row],[IVA]]-Table1[[#This Row],[RET IVA]]-Table1[[#This Row],[RET ISR]]-Table1[[#This Row],[TOTAL]]</f>
        <v>0</v>
      </c>
      <c r="AK7041" s="306" t="str">
        <f>IF(ISNUMBER(Table1[[#This Row],[FECHA DE RECIBIDO]]), Table1[[#This Row],[FECHA DE RECIBIDO]]-DATE(2023,8,30), "")</f>
        <v/>
      </c>
    </row>
    <row r="7042" spans="1:37">
      <c r="A7042" s="172"/>
      <c r="B7042" s="178"/>
      <c r="C7042" s="179" t="s">
        <v>2455</v>
      </c>
      <c r="D7042">
        <v>4614</v>
      </c>
      <c r="E7042" s="125"/>
      <c r="F7042" s="178"/>
      <c r="G7042" s="178"/>
      <c r="H7042"/>
      <c r="I7042" s="178"/>
      <c r="J7042" s="320" t="s">
        <v>214</v>
      </c>
      <c r="K7042" s="178"/>
      <c r="L7042" s="125" t="s">
        <v>4863</v>
      </c>
      <c r="M7042">
        <v>993</v>
      </c>
      <c r="N7042" s="182"/>
      <c r="O7042">
        <v>522</v>
      </c>
      <c r="P7042" s="176" t="s">
        <v>77</v>
      </c>
      <c r="Q7042" s="176">
        <v>9.2669999999999995</v>
      </c>
      <c r="R7042" s="176"/>
      <c r="S7042" s="176"/>
      <c r="T7042" s="190"/>
      <c r="U7042" s="191"/>
      <c r="V7042" s="191">
        <f>+Table1[[#This Row],[SUBTOTAL]]+Table1[[#This Row],[IVA]]-Table1[[#This Row],[RET IVA]]-Table1[[#This Row],[RET ISR]]</f>
        <v>9.2669999999999995</v>
      </c>
      <c r="W7042"/>
      <c r="X7042" s="186"/>
      <c r="Y7042" s="187"/>
      <c r="Z7042" s="311" t="s">
        <v>214</v>
      </c>
      <c r="AB7042" t="str">
        <f>IF(Table1[[#This Row],[TIPO2]]="costo", VLOOKUP(Table1[[#This Row],[PARTIDA PRESUPUESTAL]],'Cost Report'!G:G,1,0),"Balance")</f>
        <v>2285-003</v>
      </c>
      <c r="AD7042" s="159">
        <f>+Table1[[#This Row],[SUBTOTAL]]+Table1[[#This Row],[IVA]]-Table1[[#This Row],[RET IVA]]-Table1[[#This Row],[RET ISR]]-Table1[[#This Row],[TOTAL]]</f>
        <v>0</v>
      </c>
      <c r="AK7042" s="306" t="str">
        <f>IF(ISNUMBER(Table1[[#This Row],[FECHA DE RECIBIDO]]), Table1[[#This Row],[FECHA DE RECIBIDO]]-DATE(2023,8,30), "")</f>
        <v/>
      </c>
    </row>
    <row r="7043" spans="1:37">
      <c r="A7043" s="172"/>
      <c r="B7043" s="178"/>
      <c r="C7043" s="179" t="s">
        <v>2455</v>
      </c>
      <c r="D7043">
        <v>4614</v>
      </c>
      <c r="E7043" s="125"/>
      <c r="F7043" s="178"/>
      <c r="G7043" s="178"/>
      <c r="H7043"/>
      <c r="I7043" s="178"/>
      <c r="J7043" s="320" t="s">
        <v>214</v>
      </c>
      <c r="K7043" s="178"/>
      <c r="L7043" s="125" t="s">
        <v>4863</v>
      </c>
      <c r="M7043">
        <v>522</v>
      </c>
      <c r="N7043" s="182"/>
      <c r="O7043">
        <v>2466</v>
      </c>
      <c r="P7043" s="176" t="s">
        <v>77</v>
      </c>
      <c r="Q7043" s="176">
        <v>27</v>
      </c>
      <c r="R7043" s="176"/>
      <c r="S7043" s="176"/>
      <c r="T7043" s="190"/>
      <c r="U7043" s="191"/>
      <c r="V7043" s="191">
        <f>+Table1[[#This Row],[SUBTOTAL]]+Table1[[#This Row],[IVA]]-Table1[[#This Row],[RET IVA]]-Table1[[#This Row],[RET ISR]]</f>
        <v>27</v>
      </c>
      <c r="W7043"/>
      <c r="X7043" s="186"/>
      <c r="Y7043" s="187"/>
      <c r="Z7043" s="311" t="s">
        <v>214</v>
      </c>
      <c r="AB7043" t="str">
        <f>IF(Table1[[#This Row],[TIPO2]]="costo", VLOOKUP(Table1[[#This Row],[PARTIDA PRESUPUESTAL]],'Cost Report'!G:G,1,0),"Balance")</f>
        <v>2285-003</v>
      </c>
      <c r="AD7043" s="159">
        <f>+Table1[[#This Row],[SUBTOTAL]]+Table1[[#This Row],[IVA]]-Table1[[#This Row],[RET IVA]]-Table1[[#This Row],[RET ISR]]-Table1[[#This Row],[TOTAL]]</f>
        <v>0</v>
      </c>
      <c r="AK7043" s="306" t="str">
        <f>IF(ISNUMBER(Table1[[#This Row],[FECHA DE RECIBIDO]]), Table1[[#This Row],[FECHA DE RECIBIDO]]-DATE(2023,8,30), "")</f>
        <v/>
      </c>
    </row>
    <row r="7044" spans="1:37">
      <c r="A7044" s="172"/>
      <c r="B7044" s="178"/>
      <c r="C7044" s="179" t="s">
        <v>2455</v>
      </c>
      <c r="D7044">
        <v>4614</v>
      </c>
      <c r="E7044" s="125"/>
      <c r="F7044" s="178"/>
      <c r="G7044" s="178"/>
      <c r="H7044"/>
      <c r="I7044" s="178"/>
      <c r="J7044" s="320" t="s">
        <v>214</v>
      </c>
      <c r="K7044" s="178"/>
      <c r="L7044" s="125" t="s">
        <v>4863</v>
      </c>
      <c r="M7044">
        <v>696</v>
      </c>
      <c r="N7044" s="182"/>
      <c r="O7044">
        <v>522</v>
      </c>
      <c r="P7044" s="176" t="s">
        <v>77</v>
      </c>
      <c r="Q7044" s="176">
        <v>8.85</v>
      </c>
      <c r="R7044" s="176"/>
      <c r="S7044" s="176"/>
      <c r="T7044" s="190"/>
      <c r="U7044" s="191"/>
      <c r="V7044" s="191">
        <f>+Table1[[#This Row],[SUBTOTAL]]+Table1[[#This Row],[IVA]]-Table1[[#This Row],[RET IVA]]-Table1[[#This Row],[RET ISR]]</f>
        <v>8.85</v>
      </c>
      <c r="W7044"/>
      <c r="X7044" s="186"/>
      <c r="Y7044" s="187"/>
      <c r="Z7044" s="311" t="s">
        <v>214</v>
      </c>
      <c r="AB7044" t="str">
        <f>IF(Table1[[#This Row],[TIPO2]]="costo", VLOOKUP(Table1[[#This Row],[PARTIDA PRESUPUESTAL]],'Cost Report'!G:G,1,0),"Balance")</f>
        <v>2285-003</v>
      </c>
      <c r="AD7044" s="159">
        <f>+Table1[[#This Row],[SUBTOTAL]]+Table1[[#This Row],[IVA]]-Table1[[#This Row],[RET IVA]]-Table1[[#This Row],[RET ISR]]-Table1[[#This Row],[TOTAL]]</f>
        <v>0</v>
      </c>
      <c r="AK7044" s="306" t="str">
        <f>IF(ISNUMBER(Table1[[#This Row],[FECHA DE RECIBIDO]]), Table1[[#This Row],[FECHA DE RECIBIDO]]-DATE(2023,8,30), "")</f>
        <v/>
      </c>
    </row>
    <row r="7045" spans="1:37">
      <c r="A7045" s="172"/>
      <c r="B7045" s="178"/>
      <c r="C7045" s="179" t="s">
        <v>2455</v>
      </c>
      <c r="D7045">
        <v>4614</v>
      </c>
      <c r="E7045" s="125"/>
      <c r="F7045" s="178"/>
      <c r="G7045" s="178"/>
      <c r="H7045"/>
      <c r="I7045" s="178"/>
      <c r="J7045" s="320" t="s">
        <v>214</v>
      </c>
      <c r="K7045" s="178"/>
      <c r="L7045" s="125" t="s">
        <v>4863</v>
      </c>
      <c r="M7045">
        <v>1002</v>
      </c>
      <c r="N7045" s="182"/>
      <c r="O7045">
        <v>2497</v>
      </c>
      <c r="P7045" s="176" t="s">
        <v>77</v>
      </c>
      <c r="Q7045" s="176">
        <v>6</v>
      </c>
      <c r="R7045" s="176"/>
      <c r="S7045" s="176"/>
      <c r="T7045" s="190"/>
      <c r="U7045" s="191"/>
      <c r="V7045" s="191">
        <f>+Table1[[#This Row],[SUBTOTAL]]+Table1[[#This Row],[IVA]]-Table1[[#This Row],[RET IVA]]-Table1[[#This Row],[RET ISR]]</f>
        <v>6</v>
      </c>
      <c r="W7045"/>
      <c r="X7045" s="186"/>
      <c r="Y7045" s="187"/>
      <c r="Z7045" s="311" t="s">
        <v>214</v>
      </c>
      <c r="AB7045" t="str">
        <f>IF(Table1[[#This Row],[TIPO2]]="costo", VLOOKUP(Table1[[#This Row],[PARTIDA PRESUPUESTAL]],'Cost Report'!G:G,1,0),"Balance")</f>
        <v>2285-003</v>
      </c>
      <c r="AD7045" s="159">
        <f>+Table1[[#This Row],[SUBTOTAL]]+Table1[[#This Row],[IVA]]-Table1[[#This Row],[RET IVA]]-Table1[[#This Row],[RET ISR]]-Table1[[#This Row],[TOTAL]]</f>
        <v>0</v>
      </c>
      <c r="AK7045" s="306" t="str">
        <f>IF(ISNUMBER(Table1[[#This Row],[FECHA DE RECIBIDO]]), Table1[[#This Row],[FECHA DE RECIBIDO]]-DATE(2023,8,30), "")</f>
        <v/>
      </c>
    </row>
    <row r="7046" spans="1:37">
      <c r="A7046" s="172"/>
      <c r="B7046" s="178"/>
      <c r="C7046" s="179" t="s">
        <v>2565</v>
      </c>
      <c r="D7046">
        <v>4614</v>
      </c>
      <c r="E7046" s="125"/>
      <c r="F7046" s="178"/>
      <c r="G7046" s="178"/>
      <c r="H7046"/>
      <c r="I7046" s="178"/>
      <c r="J7046" s="320" t="s">
        <v>214</v>
      </c>
      <c r="K7046" s="178"/>
      <c r="L7046" s="125" t="s">
        <v>4863</v>
      </c>
      <c r="M7046">
        <v>1020</v>
      </c>
      <c r="N7046" s="182"/>
      <c r="O7046">
        <v>2558</v>
      </c>
      <c r="P7046" s="176" t="s">
        <v>77</v>
      </c>
      <c r="Q7046" s="176">
        <v>13.5</v>
      </c>
      <c r="R7046" s="176"/>
      <c r="S7046" s="176"/>
      <c r="T7046" s="190"/>
      <c r="U7046" s="191"/>
      <c r="V7046" s="191">
        <f>+Table1[[#This Row],[SUBTOTAL]]+Table1[[#This Row],[IVA]]-Table1[[#This Row],[RET IVA]]-Table1[[#This Row],[RET ISR]]</f>
        <v>13.5</v>
      </c>
      <c r="W7046"/>
      <c r="X7046" s="186"/>
      <c r="Y7046" s="187"/>
      <c r="Z7046" s="311" t="s">
        <v>214</v>
      </c>
      <c r="AB7046" t="str">
        <f>IF(Table1[[#This Row],[TIPO2]]="costo", VLOOKUP(Table1[[#This Row],[PARTIDA PRESUPUESTAL]],'Cost Report'!G:G,1,0),"Balance")</f>
        <v>2585-003</v>
      </c>
      <c r="AD7046" s="159">
        <f>+Table1[[#This Row],[SUBTOTAL]]+Table1[[#This Row],[IVA]]-Table1[[#This Row],[RET IVA]]-Table1[[#This Row],[RET ISR]]-Table1[[#This Row],[TOTAL]]</f>
        <v>0</v>
      </c>
      <c r="AK7046" s="306" t="str">
        <f>IF(ISNUMBER(Table1[[#This Row],[FECHA DE RECIBIDO]]), Table1[[#This Row],[FECHA DE RECIBIDO]]-DATE(2023,8,30), "")</f>
        <v/>
      </c>
    </row>
    <row r="7047" spans="1:37">
      <c r="A7047" s="172"/>
      <c r="B7047" s="178"/>
      <c r="C7047" s="179" t="s">
        <v>2565</v>
      </c>
      <c r="D7047">
        <v>4614</v>
      </c>
      <c r="E7047" s="125"/>
      <c r="F7047" s="178"/>
      <c r="G7047" s="178"/>
      <c r="H7047"/>
      <c r="I7047" s="178"/>
      <c r="J7047" s="320" t="s">
        <v>214</v>
      </c>
      <c r="K7047" s="178"/>
      <c r="L7047" s="125" t="s">
        <v>4863</v>
      </c>
      <c r="M7047">
        <v>1021</v>
      </c>
      <c r="N7047" s="182"/>
      <c r="O7047">
        <v>905</v>
      </c>
      <c r="P7047" s="176" t="s">
        <v>77</v>
      </c>
      <c r="Q7047" s="176">
        <v>1.5</v>
      </c>
      <c r="R7047" s="176"/>
      <c r="S7047" s="176"/>
      <c r="T7047" s="190"/>
      <c r="U7047" s="191"/>
      <c r="V7047" s="191">
        <f>+Table1[[#This Row],[SUBTOTAL]]+Table1[[#This Row],[IVA]]-Table1[[#This Row],[RET IVA]]-Table1[[#This Row],[RET ISR]]</f>
        <v>1.5</v>
      </c>
      <c r="W7047"/>
      <c r="X7047" s="186"/>
      <c r="Y7047" s="187"/>
      <c r="Z7047" s="311" t="s">
        <v>214</v>
      </c>
      <c r="AB7047" t="str">
        <f>IF(Table1[[#This Row],[TIPO2]]="costo", VLOOKUP(Table1[[#This Row],[PARTIDA PRESUPUESTAL]],'Cost Report'!G:G,1,0),"Balance")</f>
        <v>2585-003</v>
      </c>
      <c r="AD7047" s="159">
        <f>+Table1[[#This Row],[SUBTOTAL]]+Table1[[#This Row],[IVA]]-Table1[[#This Row],[RET IVA]]-Table1[[#This Row],[RET ISR]]-Table1[[#This Row],[TOTAL]]</f>
        <v>0</v>
      </c>
      <c r="AK7047" s="306" t="str">
        <f>IF(ISNUMBER(Table1[[#This Row],[FECHA DE RECIBIDO]]), Table1[[#This Row],[FECHA DE RECIBIDO]]-DATE(2023,8,30), "")</f>
        <v/>
      </c>
    </row>
    <row r="7048" spans="1:37">
      <c r="A7048" s="172"/>
      <c r="B7048" s="178"/>
      <c r="C7048" s="179" t="s">
        <v>2565</v>
      </c>
      <c r="D7048">
        <v>4614</v>
      </c>
      <c r="E7048" s="125"/>
      <c r="F7048" s="178"/>
      <c r="G7048" s="178"/>
      <c r="H7048"/>
      <c r="I7048" s="178"/>
      <c r="J7048" s="320" t="s">
        <v>214</v>
      </c>
      <c r="K7048" s="178"/>
      <c r="L7048" s="125" t="s">
        <v>4863</v>
      </c>
      <c r="M7048">
        <v>1022</v>
      </c>
      <c r="N7048" s="182"/>
      <c r="O7048">
        <v>2559</v>
      </c>
      <c r="P7048" s="176" t="s">
        <v>77</v>
      </c>
      <c r="Q7048" s="176">
        <v>3.5999999999999996</v>
      </c>
      <c r="R7048" s="176"/>
      <c r="S7048" s="176"/>
      <c r="T7048" s="190"/>
      <c r="U7048" s="191"/>
      <c r="V7048" s="191">
        <f>+Table1[[#This Row],[SUBTOTAL]]+Table1[[#This Row],[IVA]]-Table1[[#This Row],[RET IVA]]-Table1[[#This Row],[RET ISR]]</f>
        <v>3.5999999999999996</v>
      </c>
      <c r="W7048"/>
      <c r="X7048" s="186"/>
      <c r="Y7048" s="187"/>
      <c r="Z7048" s="311" t="s">
        <v>214</v>
      </c>
      <c r="AB7048" t="str">
        <f>IF(Table1[[#This Row],[TIPO2]]="costo", VLOOKUP(Table1[[#This Row],[PARTIDA PRESUPUESTAL]],'Cost Report'!G:G,1,0),"Balance")</f>
        <v>2585-003</v>
      </c>
      <c r="AD7048" s="159">
        <f>+Table1[[#This Row],[SUBTOTAL]]+Table1[[#This Row],[IVA]]-Table1[[#This Row],[RET IVA]]-Table1[[#This Row],[RET ISR]]-Table1[[#This Row],[TOTAL]]</f>
        <v>0</v>
      </c>
      <c r="AK7048" s="306" t="str">
        <f>IF(ISNUMBER(Table1[[#This Row],[FECHA DE RECIBIDO]]), Table1[[#This Row],[FECHA DE RECIBIDO]]-DATE(2023,8,30), "")</f>
        <v/>
      </c>
    </row>
    <row r="7049" spans="1:37">
      <c r="A7049" s="172"/>
      <c r="B7049" s="178"/>
      <c r="C7049" s="179" t="s">
        <v>2566</v>
      </c>
      <c r="D7049">
        <v>4614</v>
      </c>
      <c r="E7049" s="125"/>
      <c r="F7049" s="178"/>
      <c r="G7049" s="178"/>
      <c r="H7049"/>
      <c r="I7049" s="178"/>
      <c r="J7049" s="320" t="s">
        <v>214</v>
      </c>
      <c r="K7049" s="178"/>
      <c r="L7049" s="125" t="s">
        <v>4863</v>
      </c>
      <c r="M7049">
        <v>1023</v>
      </c>
      <c r="N7049" s="182"/>
      <c r="O7049">
        <v>2560</v>
      </c>
      <c r="P7049" s="176" t="s">
        <v>77</v>
      </c>
      <c r="Q7049" s="176">
        <v>24.599999999999998</v>
      </c>
      <c r="R7049" s="176"/>
      <c r="S7049" s="176"/>
      <c r="T7049" s="190"/>
      <c r="U7049" s="191"/>
      <c r="V7049" s="191">
        <f>+Table1[[#This Row],[SUBTOTAL]]+Table1[[#This Row],[IVA]]-Table1[[#This Row],[RET IVA]]-Table1[[#This Row],[RET ISR]]</f>
        <v>24.599999999999998</v>
      </c>
      <c r="W7049"/>
      <c r="X7049" s="186"/>
      <c r="Y7049" s="187"/>
      <c r="Z7049" s="311" t="s">
        <v>214</v>
      </c>
      <c r="AB7049" t="str">
        <f>IF(Table1[[#This Row],[TIPO2]]="costo", VLOOKUP(Table1[[#This Row],[PARTIDA PRESUPUESTAL]],'Cost Report'!G:G,1,0),"Balance")</f>
        <v>2594-003</v>
      </c>
      <c r="AD7049" s="159">
        <f>+Table1[[#This Row],[SUBTOTAL]]+Table1[[#This Row],[IVA]]-Table1[[#This Row],[RET IVA]]-Table1[[#This Row],[RET ISR]]-Table1[[#This Row],[TOTAL]]</f>
        <v>0</v>
      </c>
      <c r="AK7049" s="306" t="str">
        <f>IF(ISNUMBER(Table1[[#This Row],[FECHA DE RECIBIDO]]), Table1[[#This Row],[FECHA DE RECIBIDO]]-DATE(2023,8,30), "")</f>
        <v/>
      </c>
    </row>
    <row r="7050" spans="1:37">
      <c r="A7050" s="172"/>
      <c r="B7050" s="178"/>
      <c r="C7050" s="179" t="s">
        <v>2565</v>
      </c>
      <c r="D7050">
        <v>4614</v>
      </c>
      <c r="E7050" s="125"/>
      <c r="F7050" s="178"/>
      <c r="G7050" s="178"/>
      <c r="H7050"/>
      <c r="I7050" s="178"/>
      <c r="J7050" s="320" t="s">
        <v>214</v>
      </c>
      <c r="K7050" s="178"/>
      <c r="L7050" s="125" t="s">
        <v>4863</v>
      </c>
      <c r="M7050">
        <v>1022</v>
      </c>
      <c r="N7050" s="182"/>
      <c r="O7050">
        <v>2559</v>
      </c>
      <c r="P7050" s="176" t="s">
        <v>77</v>
      </c>
      <c r="Q7050" s="176">
        <v>9</v>
      </c>
      <c r="R7050" s="176"/>
      <c r="S7050" s="176"/>
      <c r="T7050" s="190"/>
      <c r="U7050" s="191"/>
      <c r="V7050" s="191">
        <f>+Table1[[#This Row],[SUBTOTAL]]+Table1[[#This Row],[IVA]]-Table1[[#This Row],[RET IVA]]-Table1[[#This Row],[RET ISR]]</f>
        <v>9</v>
      </c>
      <c r="W7050"/>
      <c r="X7050" s="186"/>
      <c r="Y7050" s="187"/>
      <c r="Z7050" s="311" t="s">
        <v>214</v>
      </c>
      <c r="AB7050" t="str">
        <f>IF(Table1[[#This Row],[TIPO2]]="costo", VLOOKUP(Table1[[#This Row],[PARTIDA PRESUPUESTAL]],'Cost Report'!G:G,1,0),"Balance")</f>
        <v>2585-003</v>
      </c>
      <c r="AD7050" s="159">
        <f>+Table1[[#This Row],[SUBTOTAL]]+Table1[[#This Row],[IVA]]-Table1[[#This Row],[RET IVA]]-Table1[[#This Row],[RET ISR]]-Table1[[#This Row],[TOTAL]]</f>
        <v>0</v>
      </c>
      <c r="AK7050" s="306" t="str">
        <f>IF(ISNUMBER(Table1[[#This Row],[FECHA DE RECIBIDO]]), Table1[[#This Row],[FECHA DE RECIBIDO]]-DATE(2023,8,30), "")</f>
        <v/>
      </c>
    </row>
    <row r="7051" spans="1:37">
      <c r="A7051" s="172"/>
      <c r="B7051" s="178"/>
      <c r="C7051" s="179" t="s">
        <v>2455</v>
      </c>
      <c r="D7051">
        <v>4614</v>
      </c>
      <c r="E7051" s="125"/>
      <c r="F7051" s="178"/>
      <c r="G7051" s="178"/>
      <c r="H7051"/>
      <c r="I7051" s="178"/>
      <c r="J7051" s="320" t="s">
        <v>214</v>
      </c>
      <c r="K7051" s="178"/>
      <c r="L7051" s="125" t="s">
        <v>4863</v>
      </c>
      <c r="M7051">
        <v>1024</v>
      </c>
      <c r="N7051" s="182"/>
      <c r="O7051">
        <v>2497</v>
      </c>
      <c r="P7051" s="176" t="s">
        <v>77</v>
      </c>
      <c r="Q7051" s="176">
        <v>3</v>
      </c>
      <c r="R7051" s="176"/>
      <c r="S7051" s="176"/>
      <c r="T7051" s="190"/>
      <c r="U7051" s="191"/>
      <c r="V7051" s="191">
        <f>+Table1[[#This Row],[SUBTOTAL]]+Table1[[#This Row],[IVA]]-Table1[[#This Row],[RET IVA]]-Table1[[#This Row],[RET ISR]]</f>
        <v>3</v>
      </c>
      <c r="W7051"/>
      <c r="X7051" s="186"/>
      <c r="Y7051" s="187"/>
      <c r="Z7051" s="311" t="s">
        <v>214</v>
      </c>
      <c r="AB7051" t="str">
        <f>IF(Table1[[#This Row],[TIPO2]]="costo", VLOOKUP(Table1[[#This Row],[PARTIDA PRESUPUESTAL]],'Cost Report'!G:G,1,0),"Balance")</f>
        <v>2285-003</v>
      </c>
      <c r="AD7051" s="159">
        <f>+Table1[[#This Row],[SUBTOTAL]]+Table1[[#This Row],[IVA]]-Table1[[#This Row],[RET IVA]]-Table1[[#This Row],[RET ISR]]-Table1[[#This Row],[TOTAL]]</f>
        <v>0</v>
      </c>
      <c r="AK7051" s="306" t="str">
        <f>IF(ISNUMBER(Table1[[#This Row],[FECHA DE RECIBIDO]]), Table1[[#This Row],[FECHA DE RECIBIDO]]-DATE(2023,8,30), "")</f>
        <v/>
      </c>
    </row>
    <row r="7052" spans="1:37">
      <c r="A7052" s="172"/>
      <c r="B7052" s="178"/>
      <c r="C7052" s="179" t="s">
        <v>2565</v>
      </c>
      <c r="D7052">
        <v>4614</v>
      </c>
      <c r="E7052" s="125"/>
      <c r="F7052" s="178"/>
      <c r="G7052" s="178"/>
      <c r="H7052"/>
      <c r="I7052" s="178"/>
      <c r="J7052" s="320" t="s">
        <v>214</v>
      </c>
      <c r="K7052" s="178"/>
      <c r="L7052" s="125" t="s">
        <v>4863</v>
      </c>
      <c r="M7052">
        <v>1025</v>
      </c>
      <c r="N7052" s="182"/>
      <c r="O7052">
        <v>2561</v>
      </c>
      <c r="P7052" s="176" t="s">
        <v>77</v>
      </c>
      <c r="Q7052" s="176">
        <v>71.997</v>
      </c>
      <c r="R7052" s="176"/>
      <c r="S7052" s="176"/>
      <c r="T7052" s="190"/>
      <c r="U7052" s="191"/>
      <c r="V7052" s="191">
        <f>+Table1[[#This Row],[SUBTOTAL]]+Table1[[#This Row],[IVA]]-Table1[[#This Row],[RET IVA]]-Table1[[#This Row],[RET ISR]]</f>
        <v>71.997</v>
      </c>
      <c r="W7052"/>
      <c r="X7052" s="186"/>
      <c r="Y7052" s="187"/>
      <c r="Z7052" s="311" t="s">
        <v>214</v>
      </c>
      <c r="AB7052" t="str">
        <f>IF(Table1[[#This Row],[TIPO2]]="costo", VLOOKUP(Table1[[#This Row],[PARTIDA PRESUPUESTAL]],'Cost Report'!G:G,1,0),"Balance")</f>
        <v>2585-003</v>
      </c>
      <c r="AD7052" s="159">
        <f>+Table1[[#This Row],[SUBTOTAL]]+Table1[[#This Row],[IVA]]-Table1[[#This Row],[RET IVA]]-Table1[[#This Row],[RET ISR]]-Table1[[#This Row],[TOTAL]]</f>
        <v>0</v>
      </c>
      <c r="AK7052" s="306" t="str">
        <f>IF(ISNUMBER(Table1[[#This Row],[FECHA DE RECIBIDO]]), Table1[[#This Row],[FECHA DE RECIBIDO]]-DATE(2023,8,30), "")</f>
        <v/>
      </c>
    </row>
    <row r="7053" spans="1:37">
      <c r="A7053" s="172"/>
      <c r="B7053" s="178"/>
      <c r="C7053" s="179" t="s">
        <v>2455</v>
      </c>
      <c r="D7053">
        <v>4614</v>
      </c>
      <c r="E7053" s="125"/>
      <c r="F7053" s="178"/>
      <c r="G7053" s="178"/>
      <c r="H7053"/>
      <c r="I7053" s="178"/>
      <c r="J7053" s="320" t="s">
        <v>214</v>
      </c>
      <c r="K7053" s="178"/>
      <c r="L7053" s="125" t="s">
        <v>4863</v>
      </c>
      <c r="M7053">
        <v>1024</v>
      </c>
      <c r="N7053" s="182"/>
      <c r="O7053">
        <v>2497</v>
      </c>
      <c r="P7053" s="176" t="s">
        <v>77</v>
      </c>
      <c r="Q7053" s="176">
        <v>3</v>
      </c>
      <c r="R7053" s="176"/>
      <c r="S7053" s="176"/>
      <c r="T7053" s="190"/>
      <c r="U7053" s="191"/>
      <c r="V7053" s="191">
        <f>+Table1[[#This Row],[SUBTOTAL]]+Table1[[#This Row],[IVA]]-Table1[[#This Row],[RET IVA]]-Table1[[#This Row],[RET ISR]]</f>
        <v>3</v>
      </c>
      <c r="W7053"/>
      <c r="X7053" s="186"/>
      <c r="Y7053" s="187"/>
      <c r="Z7053" s="311" t="s">
        <v>214</v>
      </c>
      <c r="AB7053" t="str">
        <f>IF(Table1[[#This Row],[TIPO2]]="costo", VLOOKUP(Table1[[#This Row],[PARTIDA PRESUPUESTAL]],'Cost Report'!G:G,1,0),"Balance")</f>
        <v>2285-003</v>
      </c>
      <c r="AD7053" s="159">
        <f>+Table1[[#This Row],[SUBTOTAL]]+Table1[[#This Row],[IVA]]-Table1[[#This Row],[RET IVA]]-Table1[[#This Row],[RET ISR]]-Table1[[#This Row],[TOTAL]]</f>
        <v>0</v>
      </c>
      <c r="AK7053" s="306" t="str">
        <f>IF(ISNUMBER(Table1[[#This Row],[FECHA DE RECIBIDO]]), Table1[[#This Row],[FECHA DE RECIBIDO]]-DATE(2023,8,30), "")</f>
        <v/>
      </c>
    </row>
    <row r="7054" spans="1:37">
      <c r="A7054" s="172"/>
      <c r="B7054" s="178"/>
      <c r="C7054" s="179" t="s">
        <v>2455</v>
      </c>
      <c r="D7054">
        <v>4614</v>
      </c>
      <c r="E7054" s="125"/>
      <c r="F7054" s="178"/>
      <c r="G7054" s="178"/>
      <c r="H7054"/>
      <c r="I7054" s="178"/>
      <c r="J7054" s="320" t="s">
        <v>214</v>
      </c>
      <c r="K7054" s="178"/>
      <c r="L7054" s="125" t="s">
        <v>4863</v>
      </c>
      <c r="M7054">
        <v>1024</v>
      </c>
      <c r="N7054" s="182"/>
      <c r="O7054">
        <v>2497</v>
      </c>
      <c r="P7054" s="176" t="s">
        <v>77</v>
      </c>
      <c r="Q7054" s="176">
        <v>3</v>
      </c>
      <c r="R7054" s="176"/>
      <c r="S7054" s="176"/>
      <c r="T7054" s="190"/>
      <c r="U7054" s="191"/>
      <c r="V7054" s="191">
        <f>+Table1[[#This Row],[SUBTOTAL]]+Table1[[#This Row],[IVA]]-Table1[[#This Row],[RET IVA]]-Table1[[#This Row],[RET ISR]]</f>
        <v>3</v>
      </c>
      <c r="W7054"/>
      <c r="X7054" s="186"/>
      <c r="Y7054" s="187"/>
      <c r="Z7054" s="311" t="s">
        <v>214</v>
      </c>
      <c r="AB7054" t="str">
        <f>IF(Table1[[#This Row],[TIPO2]]="costo", VLOOKUP(Table1[[#This Row],[PARTIDA PRESUPUESTAL]],'Cost Report'!G:G,1,0),"Balance")</f>
        <v>2285-003</v>
      </c>
      <c r="AD7054" s="159">
        <f>+Table1[[#This Row],[SUBTOTAL]]+Table1[[#This Row],[IVA]]-Table1[[#This Row],[RET IVA]]-Table1[[#This Row],[RET ISR]]-Table1[[#This Row],[TOTAL]]</f>
        <v>0</v>
      </c>
      <c r="AK7054" s="306" t="str">
        <f>IF(ISNUMBER(Table1[[#This Row],[FECHA DE RECIBIDO]]), Table1[[#This Row],[FECHA DE RECIBIDO]]-DATE(2023,8,30), "")</f>
        <v/>
      </c>
    </row>
    <row r="7055" spans="1:37">
      <c r="A7055" s="172"/>
      <c r="B7055" s="178"/>
      <c r="C7055" s="179" t="s">
        <v>2566</v>
      </c>
      <c r="D7055">
        <v>4614</v>
      </c>
      <c r="E7055" s="125"/>
      <c r="F7055" s="178"/>
      <c r="G7055" s="178"/>
      <c r="H7055"/>
      <c r="I7055" s="178"/>
      <c r="J7055" s="320" t="s">
        <v>214</v>
      </c>
      <c r="K7055" s="178"/>
      <c r="L7055" s="125" t="s">
        <v>4863</v>
      </c>
      <c r="M7055">
        <v>1026</v>
      </c>
      <c r="N7055" s="182"/>
      <c r="O7055">
        <v>2562</v>
      </c>
      <c r="P7055" s="176" t="s">
        <v>77</v>
      </c>
      <c r="Q7055" s="176">
        <v>121.5</v>
      </c>
      <c r="R7055" s="176"/>
      <c r="S7055" s="176"/>
      <c r="T7055" s="190"/>
      <c r="U7055" s="191"/>
      <c r="V7055" s="191">
        <f>+Table1[[#This Row],[SUBTOTAL]]+Table1[[#This Row],[IVA]]-Table1[[#This Row],[RET IVA]]-Table1[[#This Row],[RET ISR]]</f>
        <v>121.5</v>
      </c>
      <c r="W7055"/>
      <c r="X7055" s="186"/>
      <c r="Y7055" s="187"/>
      <c r="Z7055" s="311" t="s">
        <v>214</v>
      </c>
      <c r="AB7055" t="str">
        <f>IF(Table1[[#This Row],[TIPO2]]="costo", VLOOKUP(Table1[[#This Row],[PARTIDA PRESUPUESTAL]],'Cost Report'!G:G,1,0),"Balance")</f>
        <v>2594-003</v>
      </c>
      <c r="AD7055" s="159">
        <f>+Table1[[#This Row],[SUBTOTAL]]+Table1[[#This Row],[IVA]]-Table1[[#This Row],[RET IVA]]-Table1[[#This Row],[RET ISR]]-Table1[[#This Row],[TOTAL]]</f>
        <v>0</v>
      </c>
      <c r="AK7055" s="306" t="str">
        <f>IF(ISNUMBER(Table1[[#This Row],[FECHA DE RECIBIDO]]), Table1[[#This Row],[FECHA DE RECIBIDO]]-DATE(2023,8,30), "")</f>
        <v/>
      </c>
    </row>
    <row r="7056" spans="1:37">
      <c r="A7056" s="172"/>
      <c r="B7056" s="178"/>
      <c r="C7056" s="179" t="s">
        <v>2566</v>
      </c>
      <c r="D7056">
        <v>4614</v>
      </c>
      <c r="E7056" s="125"/>
      <c r="F7056" s="178"/>
      <c r="G7056" s="178"/>
      <c r="H7056"/>
      <c r="I7056" s="178"/>
      <c r="J7056" s="320" t="s">
        <v>214</v>
      </c>
      <c r="K7056" s="178"/>
      <c r="L7056" s="125" t="s">
        <v>4863</v>
      </c>
      <c r="M7056">
        <v>1027</v>
      </c>
      <c r="N7056" s="182"/>
      <c r="O7056">
        <v>2562</v>
      </c>
      <c r="P7056" s="176" t="s">
        <v>77</v>
      </c>
      <c r="Q7056" s="176">
        <v>81.899999999999991</v>
      </c>
      <c r="R7056" s="176"/>
      <c r="S7056" s="176"/>
      <c r="T7056" s="190"/>
      <c r="U7056" s="191"/>
      <c r="V7056" s="191">
        <f>+Table1[[#This Row],[SUBTOTAL]]+Table1[[#This Row],[IVA]]-Table1[[#This Row],[RET IVA]]-Table1[[#This Row],[RET ISR]]</f>
        <v>81.899999999999991</v>
      </c>
      <c r="W7056"/>
      <c r="X7056" s="186"/>
      <c r="Y7056" s="187"/>
      <c r="Z7056" s="311" t="s">
        <v>214</v>
      </c>
      <c r="AB7056" t="str">
        <f>IF(Table1[[#This Row],[TIPO2]]="costo", VLOOKUP(Table1[[#This Row],[PARTIDA PRESUPUESTAL]],'Cost Report'!G:G,1,0),"Balance")</f>
        <v>2594-003</v>
      </c>
      <c r="AD7056" s="159">
        <f>+Table1[[#This Row],[SUBTOTAL]]+Table1[[#This Row],[IVA]]-Table1[[#This Row],[RET IVA]]-Table1[[#This Row],[RET ISR]]-Table1[[#This Row],[TOTAL]]</f>
        <v>0</v>
      </c>
      <c r="AK7056" s="306" t="str">
        <f>IF(ISNUMBER(Table1[[#This Row],[FECHA DE RECIBIDO]]), Table1[[#This Row],[FECHA DE RECIBIDO]]-DATE(2023,8,30), "")</f>
        <v/>
      </c>
    </row>
    <row r="7057" spans="1:37">
      <c r="A7057" s="172"/>
      <c r="B7057" s="178"/>
      <c r="C7057" s="179" t="s">
        <v>2566</v>
      </c>
      <c r="D7057">
        <v>4614</v>
      </c>
      <c r="E7057" s="125"/>
      <c r="F7057" s="178"/>
      <c r="G7057" s="178"/>
      <c r="H7057"/>
      <c r="I7057" s="178"/>
      <c r="J7057" s="320" t="s">
        <v>214</v>
      </c>
      <c r="K7057" s="178"/>
      <c r="L7057" s="125" t="s">
        <v>4863</v>
      </c>
      <c r="M7057">
        <v>1028</v>
      </c>
      <c r="N7057" s="182"/>
      <c r="O7057">
        <v>2563</v>
      </c>
      <c r="P7057" s="176" t="s">
        <v>77</v>
      </c>
      <c r="Q7057" s="176">
        <v>105</v>
      </c>
      <c r="R7057" s="176"/>
      <c r="S7057" s="176"/>
      <c r="T7057" s="190"/>
      <c r="U7057" s="191"/>
      <c r="V7057" s="191">
        <f>+Table1[[#This Row],[SUBTOTAL]]+Table1[[#This Row],[IVA]]-Table1[[#This Row],[RET IVA]]-Table1[[#This Row],[RET ISR]]</f>
        <v>105</v>
      </c>
      <c r="W7057"/>
      <c r="X7057" s="186"/>
      <c r="Y7057" s="187"/>
      <c r="Z7057" s="311" t="s">
        <v>214</v>
      </c>
      <c r="AB7057" t="str">
        <f>IF(Table1[[#This Row],[TIPO2]]="costo", VLOOKUP(Table1[[#This Row],[PARTIDA PRESUPUESTAL]],'Cost Report'!G:G,1,0),"Balance")</f>
        <v>2594-003</v>
      </c>
      <c r="AD7057" s="159">
        <f>+Table1[[#This Row],[SUBTOTAL]]+Table1[[#This Row],[IVA]]-Table1[[#This Row],[RET IVA]]-Table1[[#This Row],[RET ISR]]-Table1[[#This Row],[TOTAL]]</f>
        <v>0</v>
      </c>
      <c r="AK7057" s="306" t="str">
        <f>IF(ISNUMBER(Table1[[#This Row],[FECHA DE RECIBIDO]]), Table1[[#This Row],[FECHA DE RECIBIDO]]-DATE(2023,8,30), "")</f>
        <v/>
      </c>
    </row>
    <row r="7058" spans="1:37">
      <c r="A7058" s="172"/>
      <c r="B7058" s="178"/>
      <c r="C7058" s="179" t="s">
        <v>2455</v>
      </c>
      <c r="D7058">
        <v>4614</v>
      </c>
      <c r="E7058" s="125"/>
      <c r="F7058" s="178"/>
      <c r="G7058" s="178"/>
      <c r="H7058"/>
      <c r="I7058" s="178"/>
      <c r="J7058" s="320" t="s">
        <v>214</v>
      </c>
      <c r="K7058" s="178"/>
      <c r="L7058" s="125" t="s">
        <v>4863</v>
      </c>
      <c r="M7058">
        <v>1029</v>
      </c>
      <c r="N7058" s="182"/>
      <c r="O7058">
        <v>2497</v>
      </c>
      <c r="P7058" s="176" t="s">
        <v>77</v>
      </c>
      <c r="Q7058" s="176">
        <v>4.5</v>
      </c>
      <c r="R7058" s="176"/>
      <c r="S7058" s="176"/>
      <c r="T7058" s="190"/>
      <c r="U7058" s="191"/>
      <c r="V7058" s="191">
        <f>+Table1[[#This Row],[SUBTOTAL]]+Table1[[#This Row],[IVA]]-Table1[[#This Row],[RET IVA]]-Table1[[#This Row],[RET ISR]]</f>
        <v>4.5</v>
      </c>
      <c r="W7058"/>
      <c r="X7058" s="186"/>
      <c r="Y7058" s="187"/>
      <c r="Z7058" s="311" t="s">
        <v>214</v>
      </c>
      <c r="AB7058" t="str">
        <f>IF(Table1[[#This Row],[TIPO2]]="costo", VLOOKUP(Table1[[#This Row],[PARTIDA PRESUPUESTAL]],'Cost Report'!G:G,1,0),"Balance")</f>
        <v>2285-003</v>
      </c>
      <c r="AD7058" s="159">
        <f>+Table1[[#This Row],[SUBTOTAL]]+Table1[[#This Row],[IVA]]-Table1[[#This Row],[RET IVA]]-Table1[[#This Row],[RET ISR]]-Table1[[#This Row],[TOTAL]]</f>
        <v>0</v>
      </c>
      <c r="AK7058" s="306" t="str">
        <f>IF(ISNUMBER(Table1[[#This Row],[FECHA DE RECIBIDO]]), Table1[[#This Row],[FECHA DE RECIBIDO]]-DATE(2023,8,30), "")</f>
        <v/>
      </c>
    </row>
    <row r="7059" spans="1:37">
      <c r="A7059" s="172"/>
      <c r="B7059" s="178"/>
      <c r="C7059" s="179" t="s">
        <v>2565</v>
      </c>
      <c r="D7059">
        <v>4614</v>
      </c>
      <c r="E7059" s="125"/>
      <c r="F7059" s="178"/>
      <c r="G7059" s="178"/>
      <c r="H7059"/>
      <c r="I7059" s="178"/>
      <c r="J7059" s="320" t="s">
        <v>214</v>
      </c>
      <c r="K7059" s="178"/>
      <c r="L7059" s="125" t="s">
        <v>4863</v>
      </c>
      <c r="M7059">
        <v>1030</v>
      </c>
      <c r="N7059" s="182"/>
      <c r="O7059">
        <v>905</v>
      </c>
      <c r="P7059" s="176" t="s">
        <v>77</v>
      </c>
      <c r="Q7059" s="176">
        <v>8.1</v>
      </c>
      <c r="R7059" s="176"/>
      <c r="S7059" s="176"/>
      <c r="T7059" s="190"/>
      <c r="U7059" s="191"/>
      <c r="V7059" s="191">
        <f>+Table1[[#This Row],[SUBTOTAL]]+Table1[[#This Row],[IVA]]-Table1[[#This Row],[RET IVA]]-Table1[[#This Row],[RET ISR]]</f>
        <v>8.1</v>
      </c>
      <c r="W7059"/>
      <c r="X7059" s="186"/>
      <c r="Y7059" s="187"/>
      <c r="Z7059" s="311" t="s">
        <v>214</v>
      </c>
      <c r="AB7059" t="str">
        <f>IF(Table1[[#This Row],[TIPO2]]="costo", VLOOKUP(Table1[[#This Row],[PARTIDA PRESUPUESTAL]],'Cost Report'!G:G,1,0),"Balance")</f>
        <v>2585-003</v>
      </c>
      <c r="AD7059" s="159">
        <f>+Table1[[#This Row],[SUBTOTAL]]+Table1[[#This Row],[IVA]]-Table1[[#This Row],[RET IVA]]-Table1[[#This Row],[RET ISR]]-Table1[[#This Row],[TOTAL]]</f>
        <v>0</v>
      </c>
      <c r="AK7059" s="306" t="str">
        <f>IF(ISNUMBER(Table1[[#This Row],[FECHA DE RECIBIDO]]), Table1[[#This Row],[FECHA DE RECIBIDO]]-DATE(2023,8,30), "")</f>
        <v/>
      </c>
    </row>
    <row r="7060" spans="1:37">
      <c r="A7060" s="172"/>
      <c r="B7060" s="178"/>
      <c r="C7060" s="179" t="s">
        <v>2565</v>
      </c>
      <c r="D7060">
        <v>4614</v>
      </c>
      <c r="E7060" s="125"/>
      <c r="F7060" s="178"/>
      <c r="G7060" s="178"/>
      <c r="H7060"/>
      <c r="I7060" s="178"/>
      <c r="J7060" s="320" t="s">
        <v>214</v>
      </c>
      <c r="K7060" s="178"/>
      <c r="L7060" s="125" t="s">
        <v>4863</v>
      </c>
      <c r="M7060">
        <v>402</v>
      </c>
      <c r="N7060" s="182"/>
      <c r="O7060">
        <v>905</v>
      </c>
      <c r="P7060" s="176" t="s">
        <v>77</v>
      </c>
      <c r="Q7060" s="176">
        <v>10.5</v>
      </c>
      <c r="R7060" s="176"/>
      <c r="S7060" s="176"/>
      <c r="T7060" s="190"/>
      <c r="U7060" s="191"/>
      <c r="V7060" s="191">
        <f>+Table1[[#This Row],[SUBTOTAL]]+Table1[[#This Row],[IVA]]-Table1[[#This Row],[RET IVA]]-Table1[[#This Row],[RET ISR]]</f>
        <v>10.5</v>
      </c>
      <c r="W7060"/>
      <c r="X7060" s="186"/>
      <c r="Y7060" s="187"/>
      <c r="Z7060" s="311" t="s">
        <v>214</v>
      </c>
      <c r="AB7060" t="str">
        <f>IF(Table1[[#This Row],[TIPO2]]="costo", VLOOKUP(Table1[[#This Row],[PARTIDA PRESUPUESTAL]],'Cost Report'!G:G,1,0),"Balance")</f>
        <v>2585-003</v>
      </c>
      <c r="AD7060" s="159">
        <f>+Table1[[#This Row],[SUBTOTAL]]+Table1[[#This Row],[IVA]]-Table1[[#This Row],[RET IVA]]-Table1[[#This Row],[RET ISR]]-Table1[[#This Row],[TOTAL]]</f>
        <v>0</v>
      </c>
      <c r="AK7060" s="306" t="str">
        <f>IF(ISNUMBER(Table1[[#This Row],[FECHA DE RECIBIDO]]), Table1[[#This Row],[FECHA DE RECIBIDO]]-DATE(2023,8,30), "")</f>
        <v/>
      </c>
    </row>
    <row r="7061" spans="1:37">
      <c r="A7061" s="172"/>
      <c r="B7061" s="178"/>
      <c r="C7061" s="179" t="s">
        <v>2774</v>
      </c>
      <c r="D7061">
        <v>4614</v>
      </c>
      <c r="E7061" s="125"/>
      <c r="F7061" s="178"/>
      <c r="G7061" s="178"/>
      <c r="H7061"/>
      <c r="I7061" s="178"/>
      <c r="J7061" s="320" t="s">
        <v>214</v>
      </c>
      <c r="K7061" s="178"/>
      <c r="L7061" s="125" t="s">
        <v>4863</v>
      </c>
      <c r="M7061">
        <v>586</v>
      </c>
      <c r="N7061" s="182"/>
      <c r="O7061">
        <v>2623</v>
      </c>
      <c r="P7061" s="176" t="s">
        <v>77</v>
      </c>
      <c r="Q7061" s="176">
        <v>9</v>
      </c>
      <c r="R7061" s="176"/>
      <c r="S7061" s="176"/>
      <c r="T7061" s="190"/>
      <c r="U7061" s="191"/>
      <c r="V7061" s="191">
        <f>+Table1[[#This Row],[SUBTOTAL]]+Table1[[#This Row],[IVA]]-Table1[[#This Row],[RET IVA]]-Table1[[#This Row],[RET ISR]]</f>
        <v>9</v>
      </c>
      <c r="W7061"/>
      <c r="X7061" s="186"/>
      <c r="Y7061" s="187"/>
      <c r="Z7061" s="311" t="s">
        <v>214</v>
      </c>
      <c r="AB7061" t="str">
        <f>IF(Table1[[#This Row],[TIPO2]]="costo", VLOOKUP(Table1[[#This Row],[PARTIDA PRESUPUESTAL]],'Cost Report'!G:G,1,0),"Balance")</f>
        <v>3401-042</v>
      </c>
      <c r="AD7061" s="159">
        <f>+Table1[[#This Row],[SUBTOTAL]]+Table1[[#This Row],[IVA]]-Table1[[#This Row],[RET IVA]]-Table1[[#This Row],[RET ISR]]-Table1[[#This Row],[TOTAL]]</f>
        <v>0</v>
      </c>
      <c r="AK7061" s="306" t="str">
        <f>IF(ISNUMBER(Table1[[#This Row],[FECHA DE RECIBIDO]]), Table1[[#This Row],[FECHA DE RECIBIDO]]-DATE(2023,8,30), "")</f>
        <v/>
      </c>
    </row>
    <row r="7062" spans="1:37">
      <c r="A7062" s="172"/>
      <c r="B7062" s="178"/>
      <c r="C7062" s="179" t="s">
        <v>2774</v>
      </c>
      <c r="D7062">
        <v>4614</v>
      </c>
      <c r="E7062" s="125"/>
      <c r="F7062" s="178"/>
      <c r="G7062" s="178"/>
      <c r="H7062"/>
      <c r="I7062" s="178"/>
      <c r="J7062" s="320" t="s">
        <v>214</v>
      </c>
      <c r="K7062" s="178"/>
      <c r="L7062" s="125" t="s">
        <v>4863</v>
      </c>
      <c r="M7062">
        <v>1046</v>
      </c>
      <c r="N7062" s="182"/>
      <c r="O7062">
        <v>2624</v>
      </c>
      <c r="P7062" s="176" t="s">
        <v>77</v>
      </c>
      <c r="Q7062" s="176">
        <v>22.17</v>
      </c>
      <c r="R7062" s="176"/>
      <c r="S7062" s="176"/>
      <c r="T7062" s="190"/>
      <c r="U7062" s="191"/>
      <c r="V7062" s="191">
        <f>+Table1[[#This Row],[SUBTOTAL]]+Table1[[#This Row],[IVA]]-Table1[[#This Row],[RET IVA]]-Table1[[#This Row],[RET ISR]]</f>
        <v>22.17</v>
      </c>
      <c r="W7062"/>
      <c r="X7062" s="186"/>
      <c r="Y7062" s="187"/>
      <c r="Z7062" s="311" t="s">
        <v>214</v>
      </c>
      <c r="AB7062" t="str">
        <f>IF(Table1[[#This Row],[TIPO2]]="costo", VLOOKUP(Table1[[#This Row],[PARTIDA PRESUPUESTAL]],'Cost Report'!G:G,1,0),"Balance")</f>
        <v>3401-042</v>
      </c>
      <c r="AD7062" s="159">
        <f>+Table1[[#This Row],[SUBTOTAL]]+Table1[[#This Row],[IVA]]-Table1[[#This Row],[RET IVA]]-Table1[[#This Row],[RET ISR]]-Table1[[#This Row],[TOTAL]]</f>
        <v>0</v>
      </c>
      <c r="AK7062" s="306" t="str">
        <f>IF(ISNUMBER(Table1[[#This Row],[FECHA DE RECIBIDO]]), Table1[[#This Row],[FECHA DE RECIBIDO]]-DATE(2023,8,30), "")</f>
        <v/>
      </c>
    </row>
    <row r="7063" spans="1:37">
      <c r="A7063" s="172"/>
      <c r="B7063" s="178"/>
      <c r="C7063" s="179" t="s">
        <v>2774</v>
      </c>
      <c r="D7063">
        <v>4614</v>
      </c>
      <c r="E7063" s="125"/>
      <c r="F7063" s="178"/>
      <c r="G7063" s="178"/>
      <c r="H7063"/>
      <c r="I7063" s="178"/>
      <c r="J7063" s="320" t="s">
        <v>214</v>
      </c>
      <c r="K7063" s="178"/>
      <c r="L7063" s="125" t="s">
        <v>4863</v>
      </c>
      <c r="M7063">
        <v>1047</v>
      </c>
      <c r="N7063" s="182"/>
      <c r="O7063">
        <v>2625</v>
      </c>
      <c r="P7063" s="176" t="s">
        <v>77</v>
      </c>
      <c r="Q7063" s="176">
        <v>122.39999999999999</v>
      </c>
      <c r="R7063" s="176"/>
      <c r="S7063" s="176"/>
      <c r="T7063" s="190"/>
      <c r="U7063" s="191"/>
      <c r="V7063" s="191">
        <f>+Table1[[#This Row],[SUBTOTAL]]+Table1[[#This Row],[IVA]]-Table1[[#This Row],[RET IVA]]-Table1[[#This Row],[RET ISR]]</f>
        <v>122.39999999999999</v>
      </c>
      <c r="W7063"/>
      <c r="X7063" s="186"/>
      <c r="Y7063" s="187"/>
      <c r="Z7063" s="311" t="s">
        <v>214</v>
      </c>
      <c r="AB7063" t="str">
        <f>IF(Table1[[#This Row],[TIPO2]]="costo", VLOOKUP(Table1[[#This Row],[PARTIDA PRESUPUESTAL]],'Cost Report'!G:G,1,0),"Balance")</f>
        <v>3401-042</v>
      </c>
      <c r="AD7063" s="159">
        <f>+Table1[[#This Row],[SUBTOTAL]]+Table1[[#This Row],[IVA]]-Table1[[#This Row],[RET IVA]]-Table1[[#This Row],[RET ISR]]-Table1[[#This Row],[TOTAL]]</f>
        <v>0</v>
      </c>
      <c r="AK7063" s="306" t="str">
        <f>IF(ISNUMBER(Table1[[#This Row],[FECHA DE RECIBIDO]]), Table1[[#This Row],[FECHA DE RECIBIDO]]-DATE(2023,8,30), "")</f>
        <v/>
      </c>
    </row>
    <row r="7064" spans="1:37">
      <c r="A7064" s="172"/>
      <c r="B7064" s="178"/>
      <c r="C7064" s="179" t="s">
        <v>2755</v>
      </c>
      <c r="D7064">
        <v>4614</v>
      </c>
      <c r="E7064" s="125"/>
      <c r="F7064" s="178"/>
      <c r="G7064" s="178"/>
      <c r="H7064"/>
      <c r="I7064" s="178"/>
      <c r="J7064" s="320" t="s">
        <v>214</v>
      </c>
      <c r="K7064" s="178"/>
      <c r="L7064" s="125" t="s">
        <v>4863</v>
      </c>
      <c r="M7064">
        <v>1046</v>
      </c>
      <c r="N7064" s="182"/>
      <c r="O7064">
        <v>277</v>
      </c>
      <c r="P7064" s="176" t="s">
        <v>77</v>
      </c>
      <c r="Q7064" s="176">
        <v>9.27</v>
      </c>
      <c r="R7064" s="176"/>
      <c r="S7064" s="176"/>
      <c r="T7064" s="190"/>
      <c r="U7064" s="191"/>
      <c r="V7064" s="191">
        <f>+Table1[[#This Row],[SUBTOTAL]]+Table1[[#This Row],[IVA]]-Table1[[#This Row],[RET IVA]]-Table1[[#This Row],[RET ISR]]</f>
        <v>9.27</v>
      </c>
      <c r="W7064"/>
      <c r="X7064" s="186"/>
      <c r="Y7064" s="187"/>
      <c r="Z7064" s="311" t="s">
        <v>214</v>
      </c>
      <c r="AB7064" t="str">
        <f>IF(Table1[[#This Row],[TIPO2]]="costo", VLOOKUP(Table1[[#This Row],[PARTIDA PRESUPUESTAL]],'Cost Report'!G:G,1,0),"Balance")</f>
        <v>3401-017</v>
      </c>
      <c r="AD7064" s="159">
        <f>+Table1[[#This Row],[SUBTOTAL]]+Table1[[#This Row],[IVA]]-Table1[[#This Row],[RET IVA]]-Table1[[#This Row],[RET ISR]]-Table1[[#This Row],[TOTAL]]</f>
        <v>0</v>
      </c>
      <c r="AK7064" s="306" t="str">
        <f>IF(ISNUMBER(Table1[[#This Row],[FECHA DE RECIBIDO]]), Table1[[#This Row],[FECHA DE RECIBIDO]]-DATE(2023,8,30), "")</f>
        <v/>
      </c>
    </row>
    <row r="7065" spans="1:37">
      <c r="A7065" s="172"/>
      <c r="B7065" s="178"/>
      <c r="C7065" s="179" t="s">
        <v>2774</v>
      </c>
      <c r="D7065">
        <v>4614</v>
      </c>
      <c r="E7065" s="125"/>
      <c r="F7065" s="178"/>
      <c r="G7065" s="178"/>
      <c r="H7065"/>
      <c r="I7065" s="178"/>
      <c r="J7065" s="320" t="s">
        <v>214</v>
      </c>
      <c r="K7065" s="178"/>
      <c r="L7065" s="125" t="s">
        <v>4863</v>
      </c>
      <c r="M7065">
        <v>586</v>
      </c>
      <c r="N7065" s="182"/>
      <c r="O7065">
        <v>2623</v>
      </c>
      <c r="P7065" s="176" t="s">
        <v>77</v>
      </c>
      <c r="Q7065" s="176">
        <v>19.2</v>
      </c>
      <c r="R7065" s="176"/>
      <c r="S7065" s="176"/>
      <c r="T7065" s="190"/>
      <c r="U7065" s="191"/>
      <c r="V7065" s="191">
        <f>+Table1[[#This Row],[SUBTOTAL]]+Table1[[#This Row],[IVA]]-Table1[[#This Row],[RET IVA]]-Table1[[#This Row],[RET ISR]]</f>
        <v>19.2</v>
      </c>
      <c r="W7065"/>
      <c r="X7065" s="186"/>
      <c r="Y7065" s="187"/>
      <c r="Z7065" s="311" t="s">
        <v>214</v>
      </c>
      <c r="AB7065" t="str">
        <f>IF(Table1[[#This Row],[TIPO2]]="costo", VLOOKUP(Table1[[#This Row],[PARTIDA PRESUPUESTAL]],'Cost Report'!G:G,1,0),"Balance")</f>
        <v>3401-042</v>
      </c>
      <c r="AD7065" s="159">
        <f>+Table1[[#This Row],[SUBTOTAL]]+Table1[[#This Row],[IVA]]-Table1[[#This Row],[RET IVA]]-Table1[[#This Row],[RET ISR]]-Table1[[#This Row],[TOTAL]]</f>
        <v>0</v>
      </c>
      <c r="AK7065" s="306" t="str">
        <f>IF(ISNUMBER(Table1[[#This Row],[FECHA DE RECIBIDO]]), Table1[[#This Row],[FECHA DE RECIBIDO]]-DATE(2023,8,30), "")</f>
        <v/>
      </c>
    </row>
    <row r="7066" spans="1:37">
      <c r="A7066" s="172"/>
      <c r="B7066" s="178"/>
      <c r="C7066" s="179" t="s">
        <v>2774</v>
      </c>
      <c r="D7066">
        <v>4614</v>
      </c>
      <c r="E7066" s="125"/>
      <c r="F7066" s="178"/>
      <c r="G7066" s="178"/>
      <c r="H7066"/>
      <c r="I7066" s="178"/>
      <c r="J7066" s="320" t="s">
        <v>214</v>
      </c>
      <c r="K7066" s="178"/>
      <c r="L7066" s="125" t="s">
        <v>4863</v>
      </c>
      <c r="M7066">
        <v>586</v>
      </c>
      <c r="N7066" s="182"/>
      <c r="O7066">
        <v>2626</v>
      </c>
      <c r="P7066" s="176" t="s">
        <v>77</v>
      </c>
      <c r="Q7066" s="176">
        <v>16.8</v>
      </c>
      <c r="R7066" s="176"/>
      <c r="S7066" s="176"/>
      <c r="T7066" s="190"/>
      <c r="U7066" s="191"/>
      <c r="V7066" s="191">
        <f>+Table1[[#This Row],[SUBTOTAL]]+Table1[[#This Row],[IVA]]-Table1[[#This Row],[RET IVA]]-Table1[[#This Row],[RET ISR]]</f>
        <v>16.8</v>
      </c>
      <c r="W7066"/>
      <c r="X7066" s="186"/>
      <c r="Y7066" s="187"/>
      <c r="Z7066" s="311" t="s">
        <v>214</v>
      </c>
      <c r="AB7066" t="str">
        <f>IF(Table1[[#This Row],[TIPO2]]="costo", VLOOKUP(Table1[[#This Row],[PARTIDA PRESUPUESTAL]],'Cost Report'!G:G,1,0),"Balance")</f>
        <v>3401-042</v>
      </c>
      <c r="AD7066" s="159">
        <f>+Table1[[#This Row],[SUBTOTAL]]+Table1[[#This Row],[IVA]]-Table1[[#This Row],[RET IVA]]-Table1[[#This Row],[RET ISR]]-Table1[[#This Row],[TOTAL]]</f>
        <v>0</v>
      </c>
      <c r="AK7066" s="306" t="str">
        <f>IF(ISNUMBER(Table1[[#This Row],[FECHA DE RECIBIDO]]), Table1[[#This Row],[FECHA DE RECIBIDO]]-DATE(2023,8,30), "")</f>
        <v/>
      </c>
    </row>
    <row r="7067" spans="1:37">
      <c r="A7067" s="172"/>
      <c r="B7067" s="178"/>
      <c r="C7067" s="179" t="s">
        <v>2774</v>
      </c>
      <c r="D7067">
        <v>4614</v>
      </c>
      <c r="E7067" s="125"/>
      <c r="F7067" s="178"/>
      <c r="G7067" s="178"/>
      <c r="H7067"/>
      <c r="I7067" s="178"/>
      <c r="J7067" s="320" t="s">
        <v>214</v>
      </c>
      <c r="K7067" s="178"/>
      <c r="L7067" s="125" t="s">
        <v>4863</v>
      </c>
      <c r="M7067">
        <v>1048</v>
      </c>
      <c r="N7067" s="182"/>
      <c r="O7067">
        <v>2627</v>
      </c>
      <c r="P7067" s="176" t="s">
        <v>77</v>
      </c>
      <c r="Q7067" s="176">
        <v>18</v>
      </c>
      <c r="R7067" s="176"/>
      <c r="S7067" s="176"/>
      <c r="T7067" s="190"/>
      <c r="U7067" s="191"/>
      <c r="V7067" s="191">
        <f>+Table1[[#This Row],[SUBTOTAL]]+Table1[[#This Row],[IVA]]-Table1[[#This Row],[RET IVA]]-Table1[[#This Row],[RET ISR]]</f>
        <v>18</v>
      </c>
      <c r="W7067"/>
      <c r="X7067" s="186"/>
      <c r="Y7067" s="187"/>
      <c r="Z7067" s="311" t="s">
        <v>214</v>
      </c>
      <c r="AB7067" t="str">
        <f>IF(Table1[[#This Row],[TIPO2]]="costo", VLOOKUP(Table1[[#This Row],[PARTIDA PRESUPUESTAL]],'Cost Report'!G:G,1,0),"Balance")</f>
        <v>3401-042</v>
      </c>
      <c r="AD7067" s="159">
        <f>+Table1[[#This Row],[SUBTOTAL]]+Table1[[#This Row],[IVA]]-Table1[[#This Row],[RET IVA]]-Table1[[#This Row],[RET ISR]]-Table1[[#This Row],[TOTAL]]</f>
        <v>0</v>
      </c>
      <c r="AK7067" s="306" t="str">
        <f>IF(ISNUMBER(Table1[[#This Row],[FECHA DE RECIBIDO]]), Table1[[#This Row],[FECHA DE RECIBIDO]]-DATE(2023,8,30), "")</f>
        <v/>
      </c>
    </row>
    <row r="7068" spans="1:37">
      <c r="A7068" s="172"/>
      <c r="B7068" s="178"/>
      <c r="C7068" s="179" t="s">
        <v>2774</v>
      </c>
      <c r="D7068">
        <v>4614</v>
      </c>
      <c r="E7068" s="125"/>
      <c r="F7068" s="178"/>
      <c r="G7068" s="178"/>
      <c r="H7068"/>
      <c r="I7068" s="178"/>
      <c r="J7068" s="320" t="s">
        <v>214</v>
      </c>
      <c r="K7068" s="178"/>
      <c r="L7068" s="125" t="s">
        <v>4863</v>
      </c>
      <c r="M7068">
        <v>1049</v>
      </c>
      <c r="N7068" s="182"/>
      <c r="O7068">
        <v>2628</v>
      </c>
      <c r="P7068" s="176" t="s">
        <v>77</v>
      </c>
      <c r="Q7068" s="176">
        <v>10.5</v>
      </c>
      <c r="R7068" s="176"/>
      <c r="S7068" s="176"/>
      <c r="T7068" s="190"/>
      <c r="U7068" s="191"/>
      <c r="V7068" s="191">
        <f>+Table1[[#This Row],[SUBTOTAL]]+Table1[[#This Row],[IVA]]-Table1[[#This Row],[RET IVA]]-Table1[[#This Row],[RET ISR]]</f>
        <v>10.5</v>
      </c>
      <c r="W7068"/>
      <c r="X7068" s="186"/>
      <c r="Y7068" s="187"/>
      <c r="Z7068" s="311" t="s">
        <v>214</v>
      </c>
      <c r="AB7068" t="str">
        <f>IF(Table1[[#This Row],[TIPO2]]="costo", VLOOKUP(Table1[[#This Row],[PARTIDA PRESUPUESTAL]],'Cost Report'!G:G,1,0),"Balance")</f>
        <v>3401-042</v>
      </c>
      <c r="AD7068" s="159">
        <f>+Table1[[#This Row],[SUBTOTAL]]+Table1[[#This Row],[IVA]]-Table1[[#This Row],[RET IVA]]-Table1[[#This Row],[RET ISR]]-Table1[[#This Row],[TOTAL]]</f>
        <v>0</v>
      </c>
      <c r="AK7068" s="306" t="str">
        <f>IF(ISNUMBER(Table1[[#This Row],[FECHA DE RECIBIDO]]), Table1[[#This Row],[FECHA DE RECIBIDO]]-DATE(2023,8,30), "")</f>
        <v/>
      </c>
    </row>
    <row r="7069" spans="1:37">
      <c r="A7069" s="172"/>
      <c r="B7069" s="178"/>
      <c r="C7069" s="179" t="s">
        <v>2829</v>
      </c>
      <c r="D7069">
        <v>4614</v>
      </c>
      <c r="E7069" s="125"/>
      <c r="F7069" s="178"/>
      <c r="G7069" s="178"/>
      <c r="H7069"/>
      <c r="I7069" s="178"/>
      <c r="J7069" s="320" t="s">
        <v>214</v>
      </c>
      <c r="K7069" s="178"/>
      <c r="L7069" s="125" t="s">
        <v>4863</v>
      </c>
      <c r="M7069">
        <v>1050</v>
      </c>
      <c r="N7069" s="182"/>
      <c r="O7069">
        <v>2629</v>
      </c>
      <c r="P7069" s="176" t="s">
        <v>77</v>
      </c>
      <c r="Q7069" s="176">
        <v>540</v>
      </c>
      <c r="R7069" s="176"/>
      <c r="S7069" s="176"/>
      <c r="T7069" s="190"/>
      <c r="U7069" s="191"/>
      <c r="V7069" s="191">
        <f>+Table1[[#This Row],[SUBTOTAL]]+Table1[[#This Row],[IVA]]-Table1[[#This Row],[RET IVA]]-Table1[[#This Row],[RET ISR]]</f>
        <v>540</v>
      </c>
      <c r="W7069"/>
      <c r="X7069" s="186"/>
      <c r="Y7069" s="187"/>
      <c r="Z7069" s="311" t="s">
        <v>214</v>
      </c>
      <c r="AB7069" t="str">
        <f>IF(Table1[[#This Row],[TIPO2]]="costo", VLOOKUP(Table1[[#This Row],[PARTIDA PRESUPUESTAL]],'Cost Report'!G:G,1,0),"Balance")</f>
        <v>3412-138</v>
      </c>
      <c r="AD7069" s="159">
        <f>+Table1[[#This Row],[SUBTOTAL]]+Table1[[#This Row],[IVA]]-Table1[[#This Row],[RET IVA]]-Table1[[#This Row],[RET ISR]]-Table1[[#This Row],[TOTAL]]</f>
        <v>0</v>
      </c>
      <c r="AK7069" s="306" t="str">
        <f>IF(ISNUMBER(Table1[[#This Row],[FECHA DE RECIBIDO]]), Table1[[#This Row],[FECHA DE RECIBIDO]]-DATE(2023,8,30), "")</f>
        <v/>
      </c>
    </row>
    <row r="7070" spans="1:37">
      <c r="A7070" s="172"/>
      <c r="B7070" s="178"/>
      <c r="C7070" s="179" t="s">
        <v>2833</v>
      </c>
      <c r="D7070">
        <v>4614</v>
      </c>
      <c r="E7070" s="125"/>
      <c r="F7070" s="178"/>
      <c r="G7070" s="178"/>
      <c r="H7070"/>
      <c r="I7070" s="178"/>
      <c r="J7070" s="320" t="s">
        <v>214</v>
      </c>
      <c r="K7070" s="178"/>
      <c r="L7070" s="125" t="s">
        <v>4863</v>
      </c>
      <c r="M7070">
        <v>514</v>
      </c>
      <c r="N7070" s="182"/>
      <c r="O7070">
        <v>2939</v>
      </c>
      <c r="P7070" s="176" t="s">
        <v>77</v>
      </c>
      <c r="Q7070" s="176">
        <v>19.5</v>
      </c>
      <c r="R7070" s="176"/>
      <c r="S7070" s="176"/>
      <c r="T7070" s="190"/>
      <c r="U7070" s="191"/>
      <c r="V7070" s="191">
        <f>+Table1[[#This Row],[SUBTOTAL]]+Table1[[#This Row],[IVA]]-Table1[[#This Row],[RET IVA]]-Table1[[#This Row],[RET ISR]]</f>
        <v>19.5</v>
      </c>
      <c r="W7070"/>
      <c r="X7070" s="186"/>
      <c r="Y7070" s="187"/>
      <c r="Z7070" s="311" t="s">
        <v>214</v>
      </c>
      <c r="AB7070" t="str">
        <f>IF(Table1[[#This Row],[TIPO2]]="costo", VLOOKUP(Table1[[#This Row],[PARTIDA PRESUPUESTAL]],'Cost Report'!G:G,1,0),"Balance")</f>
        <v>3416-015</v>
      </c>
      <c r="AD7070" s="159">
        <f>+Table1[[#This Row],[SUBTOTAL]]+Table1[[#This Row],[IVA]]-Table1[[#This Row],[RET IVA]]-Table1[[#This Row],[RET ISR]]-Table1[[#This Row],[TOTAL]]</f>
        <v>0</v>
      </c>
      <c r="AK7070" s="306" t="str">
        <f>IF(ISNUMBER(Table1[[#This Row],[FECHA DE RECIBIDO]]), Table1[[#This Row],[FECHA DE RECIBIDO]]-DATE(2023,8,30), "")</f>
        <v/>
      </c>
    </row>
    <row r="7071" spans="1:37">
      <c r="A7071" s="172"/>
      <c r="B7071" s="178"/>
      <c r="C7071" s="179" t="s">
        <v>2833</v>
      </c>
      <c r="D7071">
        <v>4614</v>
      </c>
      <c r="E7071" s="125"/>
      <c r="F7071" s="178"/>
      <c r="G7071" s="178"/>
      <c r="H7071"/>
      <c r="I7071" s="178"/>
      <c r="J7071" s="320" t="s">
        <v>214</v>
      </c>
      <c r="K7071" s="178"/>
      <c r="L7071" s="125" t="s">
        <v>4863</v>
      </c>
      <c r="M7071">
        <v>514</v>
      </c>
      <c r="N7071" s="182"/>
      <c r="O7071">
        <v>2939</v>
      </c>
      <c r="P7071" s="176" t="s">
        <v>77</v>
      </c>
      <c r="Q7071" s="176">
        <v>82.427999999999997</v>
      </c>
      <c r="R7071" s="176"/>
      <c r="S7071" s="176"/>
      <c r="T7071" s="190"/>
      <c r="U7071" s="191"/>
      <c r="V7071" s="191">
        <f>+Table1[[#This Row],[SUBTOTAL]]+Table1[[#This Row],[IVA]]-Table1[[#This Row],[RET IVA]]-Table1[[#This Row],[RET ISR]]</f>
        <v>82.427999999999997</v>
      </c>
      <c r="W7071"/>
      <c r="X7071" s="186"/>
      <c r="Y7071" s="187"/>
      <c r="Z7071" s="311" t="s">
        <v>214</v>
      </c>
      <c r="AB7071" t="str">
        <f>IF(Table1[[#This Row],[TIPO2]]="costo", VLOOKUP(Table1[[#This Row],[PARTIDA PRESUPUESTAL]],'Cost Report'!G:G,1,0),"Balance")</f>
        <v>3416-015</v>
      </c>
      <c r="AD7071" s="159">
        <f>+Table1[[#This Row],[SUBTOTAL]]+Table1[[#This Row],[IVA]]-Table1[[#This Row],[RET IVA]]-Table1[[#This Row],[RET ISR]]-Table1[[#This Row],[TOTAL]]</f>
        <v>0</v>
      </c>
      <c r="AK7071" s="306" t="str">
        <f>IF(ISNUMBER(Table1[[#This Row],[FECHA DE RECIBIDO]]), Table1[[#This Row],[FECHA DE RECIBIDO]]-DATE(2023,8,30), "")</f>
        <v/>
      </c>
    </row>
    <row r="7072" spans="1:37">
      <c r="A7072" s="172"/>
      <c r="B7072" s="178"/>
      <c r="C7072" s="179" t="s">
        <v>2443</v>
      </c>
      <c r="D7072">
        <v>4614</v>
      </c>
      <c r="E7072" s="125"/>
      <c r="F7072" s="178"/>
      <c r="G7072" s="178"/>
      <c r="H7072"/>
      <c r="I7072" s="178"/>
      <c r="J7072" s="320" t="s">
        <v>214</v>
      </c>
      <c r="K7072" s="178"/>
      <c r="L7072" s="125" t="s">
        <v>4863</v>
      </c>
      <c r="M7072">
        <v>1125</v>
      </c>
      <c r="N7072" s="182"/>
      <c r="O7072">
        <v>2940</v>
      </c>
      <c r="P7072" s="176" t="s">
        <v>77</v>
      </c>
      <c r="Q7072" s="176">
        <v>150</v>
      </c>
      <c r="R7072" s="176"/>
      <c r="S7072" s="176"/>
      <c r="T7072" s="190"/>
      <c r="U7072" s="191"/>
      <c r="V7072" s="191">
        <f>+Table1[[#This Row],[SUBTOTAL]]+Table1[[#This Row],[IVA]]-Table1[[#This Row],[RET IVA]]-Table1[[#This Row],[RET ISR]]</f>
        <v>150</v>
      </c>
      <c r="W7072"/>
      <c r="X7072" s="186"/>
      <c r="Y7072" s="187"/>
      <c r="Z7072" s="311" t="s">
        <v>214</v>
      </c>
      <c r="AB7072" t="str">
        <f>IF(Table1[[#This Row],[TIPO2]]="costo", VLOOKUP(Table1[[#This Row],[PARTIDA PRESUPUESTAL]],'Cost Report'!G:G,1,0),"Balance")</f>
        <v>2080-003</v>
      </c>
      <c r="AD7072" s="159">
        <f>+Table1[[#This Row],[SUBTOTAL]]+Table1[[#This Row],[IVA]]-Table1[[#This Row],[RET IVA]]-Table1[[#This Row],[RET ISR]]-Table1[[#This Row],[TOTAL]]</f>
        <v>0</v>
      </c>
      <c r="AK7072" s="306" t="str">
        <f>IF(ISNUMBER(Table1[[#This Row],[FECHA DE RECIBIDO]]), Table1[[#This Row],[FECHA DE RECIBIDO]]-DATE(2023,8,30), "")</f>
        <v/>
      </c>
    </row>
    <row r="7073" spans="1:37">
      <c r="A7073" s="172"/>
      <c r="B7073" s="178"/>
      <c r="C7073" s="179" t="s">
        <v>2443</v>
      </c>
      <c r="D7073">
        <v>4614</v>
      </c>
      <c r="E7073" s="125"/>
      <c r="F7073" s="178"/>
      <c r="G7073" s="178"/>
      <c r="H7073"/>
      <c r="I7073" s="178"/>
      <c r="J7073" s="320" t="s">
        <v>214</v>
      </c>
      <c r="K7073" s="178"/>
      <c r="L7073" s="125" t="s">
        <v>4863</v>
      </c>
      <c r="M7073">
        <v>1126</v>
      </c>
      <c r="N7073" s="182"/>
      <c r="O7073">
        <v>2941</v>
      </c>
      <c r="P7073" s="176" t="s">
        <v>77</v>
      </c>
      <c r="Q7073" s="176">
        <v>300</v>
      </c>
      <c r="R7073" s="176"/>
      <c r="S7073" s="176"/>
      <c r="T7073" s="190"/>
      <c r="U7073" s="191"/>
      <c r="V7073" s="191">
        <f>+Table1[[#This Row],[SUBTOTAL]]+Table1[[#This Row],[IVA]]-Table1[[#This Row],[RET IVA]]-Table1[[#This Row],[RET ISR]]</f>
        <v>300</v>
      </c>
      <c r="W7073"/>
      <c r="X7073" s="186"/>
      <c r="Y7073" s="187"/>
      <c r="Z7073" s="311" t="s">
        <v>214</v>
      </c>
      <c r="AB7073" t="str">
        <f>IF(Table1[[#This Row],[TIPO2]]="costo", VLOOKUP(Table1[[#This Row],[PARTIDA PRESUPUESTAL]],'Cost Report'!G:G,1,0),"Balance")</f>
        <v>2080-003</v>
      </c>
      <c r="AD7073" s="159">
        <f>+Table1[[#This Row],[SUBTOTAL]]+Table1[[#This Row],[IVA]]-Table1[[#This Row],[RET IVA]]-Table1[[#This Row],[RET ISR]]-Table1[[#This Row],[TOTAL]]</f>
        <v>0</v>
      </c>
      <c r="AK7073" s="306" t="str">
        <f>IF(ISNUMBER(Table1[[#This Row],[FECHA DE RECIBIDO]]), Table1[[#This Row],[FECHA DE RECIBIDO]]-DATE(2023,8,30), "")</f>
        <v/>
      </c>
    </row>
    <row r="7074" spans="1:37">
      <c r="A7074" s="172"/>
      <c r="B7074" s="178"/>
      <c r="C7074" s="179" t="s">
        <v>2829</v>
      </c>
      <c r="D7074">
        <v>4614</v>
      </c>
      <c r="E7074" s="125"/>
      <c r="F7074" s="178"/>
      <c r="G7074" s="178"/>
      <c r="H7074"/>
      <c r="I7074" s="178"/>
      <c r="J7074" s="320" t="s">
        <v>214</v>
      </c>
      <c r="K7074" s="178"/>
      <c r="L7074" s="125" t="s">
        <v>4863</v>
      </c>
      <c r="M7074">
        <v>74</v>
      </c>
      <c r="N7074" s="182"/>
      <c r="O7074">
        <v>2942</v>
      </c>
      <c r="P7074" s="176" t="s">
        <v>77</v>
      </c>
      <c r="Q7074" s="176">
        <v>8.1</v>
      </c>
      <c r="R7074" s="176"/>
      <c r="S7074" s="176"/>
      <c r="T7074" s="190"/>
      <c r="U7074" s="191"/>
      <c r="V7074" s="191">
        <f>+Table1[[#This Row],[SUBTOTAL]]+Table1[[#This Row],[IVA]]-Table1[[#This Row],[RET IVA]]-Table1[[#This Row],[RET ISR]]</f>
        <v>8.1</v>
      </c>
      <c r="W7074"/>
      <c r="X7074" s="186"/>
      <c r="Y7074" s="187"/>
      <c r="Z7074" s="311" t="s">
        <v>214</v>
      </c>
      <c r="AB7074" t="str">
        <f>IF(Table1[[#This Row],[TIPO2]]="costo", VLOOKUP(Table1[[#This Row],[PARTIDA PRESUPUESTAL]],'Cost Report'!G:G,1,0),"Balance")</f>
        <v>3412-138</v>
      </c>
      <c r="AD7074" s="159">
        <f>+Table1[[#This Row],[SUBTOTAL]]+Table1[[#This Row],[IVA]]-Table1[[#This Row],[RET IVA]]-Table1[[#This Row],[RET ISR]]-Table1[[#This Row],[TOTAL]]</f>
        <v>0</v>
      </c>
      <c r="AK7074" s="306" t="str">
        <f>IF(ISNUMBER(Table1[[#This Row],[FECHA DE RECIBIDO]]), Table1[[#This Row],[FECHA DE RECIBIDO]]-DATE(2023,8,30), "")</f>
        <v/>
      </c>
    </row>
    <row r="7075" spans="1:37">
      <c r="A7075" s="172"/>
      <c r="B7075" s="178"/>
      <c r="C7075" s="179" t="s">
        <v>2749</v>
      </c>
      <c r="D7075">
        <v>4614</v>
      </c>
      <c r="E7075" s="125"/>
      <c r="F7075" s="178"/>
      <c r="G7075" s="178"/>
      <c r="H7075"/>
      <c r="I7075" s="178"/>
      <c r="J7075" s="320" t="s">
        <v>214</v>
      </c>
      <c r="K7075" s="178"/>
      <c r="L7075" s="125" t="s">
        <v>4863</v>
      </c>
      <c r="M7075">
        <v>512</v>
      </c>
      <c r="N7075" s="182"/>
      <c r="O7075">
        <v>162</v>
      </c>
      <c r="P7075" s="176" t="s">
        <v>77</v>
      </c>
      <c r="Q7075" s="176">
        <v>10.266</v>
      </c>
      <c r="R7075" s="176"/>
      <c r="S7075" s="176"/>
      <c r="T7075" s="190"/>
      <c r="U7075" s="191"/>
      <c r="V7075" s="191">
        <f>+Table1[[#This Row],[SUBTOTAL]]+Table1[[#This Row],[IVA]]-Table1[[#This Row],[RET IVA]]-Table1[[#This Row],[RET ISR]]</f>
        <v>10.266</v>
      </c>
      <c r="W7075"/>
      <c r="X7075" s="186"/>
      <c r="Y7075" s="187"/>
      <c r="Z7075" s="311" t="s">
        <v>214</v>
      </c>
      <c r="AB7075" t="str">
        <f>IF(Table1[[#This Row],[TIPO2]]="costo", VLOOKUP(Table1[[#This Row],[PARTIDA PRESUPUESTAL]],'Cost Report'!G:G,1,0),"Balance")</f>
        <v>3401-011</v>
      </c>
      <c r="AD7075" s="159">
        <f>+Table1[[#This Row],[SUBTOTAL]]+Table1[[#This Row],[IVA]]-Table1[[#This Row],[RET IVA]]-Table1[[#This Row],[RET ISR]]-Table1[[#This Row],[TOTAL]]</f>
        <v>0</v>
      </c>
      <c r="AK7075" s="306" t="str">
        <f>IF(ISNUMBER(Table1[[#This Row],[FECHA DE RECIBIDO]]), Table1[[#This Row],[FECHA DE RECIBIDO]]-DATE(2023,8,30), "")</f>
        <v/>
      </c>
    </row>
    <row r="7076" spans="1:37">
      <c r="A7076" s="172"/>
      <c r="B7076" s="178"/>
      <c r="C7076" s="179" t="s">
        <v>3105</v>
      </c>
      <c r="D7076">
        <v>4614</v>
      </c>
      <c r="E7076" s="125"/>
      <c r="F7076" s="178"/>
      <c r="G7076" s="178"/>
      <c r="H7076"/>
      <c r="I7076" s="178"/>
      <c r="J7076" s="320" t="s">
        <v>214</v>
      </c>
      <c r="K7076" s="178"/>
      <c r="L7076" s="125" t="s">
        <v>4863</v>
      </c>
      <c r="M7076">
        <v>817</v>
      </c>
      <c r="N7076" s="182"/>
      <c r="O7076">
        <v>2943</v>
      </c>
      <c r="P7076" s="176" t="s">
        <v>77</v>
      </c>
      <c r="Q7076" s="176">
        <v>255</v>
      </c>
      <c r="R7076" s="176"/>
      <c r="S7076" s="176"/>
      <c r="T7076" s="190"/>
      <c r="U7076" s="191"/>
      <c r="V7076" s="191">
        <f>+Table1[[#This Row],[SUBTOTAL]]+Table1[[#This Row],[IVA]]-Table1[[#This Row],[RET IVA]]-Table1[[#This Row],[RET ISR]]</f>
        <v>255</v>
      </c>
      <c r="W7076"/>
      <c r="X7076" s="186"/>
      <c r="Y7076" s="187"/>
      <c r="Z7076" s="311" t="s">
        <v>214</v>
      </c>
      <c r="AB7076" t="str">
        <f>IF(Table1[[#This Row],[TIPO2]]="costo", VLOOKUP(Table1[[#This Row],[PARTIDA PRESUPUESTAL]],'Cost Report'!G:G,1,0),"Balance")</f>
        <v>7050-005</v>
      </c>
      <c r="AD7076" s="159">
        <f>+Table1[[#This Row],[SUBTOTAL]]+Table1[[#This Row],[IVA]]-Table1[[#This Row],[RET IVA]]-Table1[[#This Row],[RET ISR]]-Table1[[#This Row],[TOTAL]]</f>
        <v>0</v>
      </c>
      <c r="AK7076" s="306" t="str">
        <f>IF(ISNUMBER(Table1[[#This Row],[FECHA DE RECIBIDO]]), Table1[[#This Row],[FECHA DE RECIBIDO]]-DATE(2023,8,30), "")</f>
        <v/>
      </c>
    </row>
    <row r="7077" spans="1:37">
      <c r="A7077" s="172"/>
      <c r="B7077" s="178"/>
      <c r="C7077" s="179" t="s">
        <v>1181</v>
      </c>
      <c r="D7077">
        <v>4614</v>
      </c>
      <c r="E7077" s="125"/>
      <c r="F7077" s="178"/>
      <c r="G7077" s="178"/>
      <c r="H7077"/>
      <c r="I7077" s="178"/>
      <c r="J7077" s="320" t="s">
        <v>214</v>
      </c>
      <c r="K7077" s="178"/>
      <c r="L7077" s="125" t="s">
        <v>4863</v>
      </c>
      <c r="M7077">
        <v>1131</v>
      </c>
      <c r="N7077" s="182"/>
      <c r="O7077">
        <v>2954</v>
      </c>
      <c r="P7077" s="176" t="s">
        <v>77</v>
      </c>
      <c r="Q7077" s="176">
        <v>28.799999999999997</v>
      </c>
      <c r="R7077" s="176"/>
      <c r="S7077" s="176"/>
      <c r="T7077" s="190"/>
      <c r="U7077" s="191"/>
      <c r="V7077" s="191">
        <f>+Table1[[#This Row],[SUBTOTAL]]+Table1[[#This Row],[IVA]]-Table1[[#This Row],[RET IVA]]-Table1[[#This Row],[RET ISR]]</f>
        <v>28.799999999999997</v>
      </c>
      <c r="W7077"/>
      <c r="X7077" s="186"/>
      <c r="Y7077" s="187"/>
      <c r="Z7077" s="311" t="s">
        <v>214</v>
      </c>
      <c r="AB7077" t="str">
        <f>IF(Table1[[#This Row],[TIPO2]]="costo", VLOOKUP(Table1[[#This Row],[PARTIDA PRESUPUESTAL]],'Cost Report'!G:G,1,0),"Balance")</f>
        <v>3904-003</v>
      </c>
      <c r="AD7077" s="159">
        <f>+Table1[[#This Row],[SUBTOTAL]]+Table1[[#This Row],[IVA]]-Table1[[#This Row],[RET IVA]]-Table1[[#This Row],[RET ISR]]-Table1[[#This Row],[TOTAL]]</f>
        <v>0</v>
      </c>
      <c r="AK7077" s="306" t="str">
        <f>IF(ISNUMBER(Table1[[#This Row],[FECHA DE RECIBIDO]]), Table1[[#This Row],[FECHA DE RECIBIDO]]-DATE(2023,8,30), "")</f>
        <v/>
      </c>
    </row>
    <row r="7078" spans="1:37">
      <c r="A7078" s="172"/>
      <c r="B7078" s="178"/>
      <c r="C7078" s="179" t="s">
        <v>1181</v>
      </c>
      <c r="D7078">
        <v>4614</v>
      </c>
      <c r="E7078" s="125"/>
      <c r="F7078" s="178"/>
      <c r="G7078" s="178"/>
      <c r="H7078"/>
      <c r="I7078" s="178"/>
      <c r="J7078" s="320" t="s">
        <v>214</v>
      </c>
      <c r="K7078" s="178"/>
      <c r="L7078" s="125" t="s">
        <v>4863</v>
      </c>
      <c r="M7078">
        <v>1131</v>
      </c>
      <c r="N7078" s="182"/>
      <c r="O7078">
        <v>2954</v>
      </c>
      <c r="P7078" s="176" t="s">
        <v>77</v>
      </c>
      <c r="Q7078" s="176">
        <v>29.324999999999999</v>
      </c>
      <c r="R7078" s="176"/>
      <c r="S7078" s="176"/>
      <c r="T7078" s="190"/>
      <c r="U7078" s="191"/>
      <c r="V7078" s="191">
        <f>+Table1[[#This Row],[SUBTOTAL]]+Table1[[#This Row],[IVA]]-Table1[[#This Row],[RET IVA]]-Table1[[#This Row],[RET ISR]]</f>
        <v>29.324999999999999</v>
      </c>
      <c r="W7078"/>
      <c r="X7078" s="186"/>
      <c r="Y7078" s="187"/>
      <c r="Z7078" s="311" t="s">
        <v>214</v>
      </c>
      <c r="AB7078" t="str">
        <f>IF(Table1[[#This Row],[TIPO2]]="costo", VLOOKUP(Table1[[#This Row],[PARTIDA PRESUPUESTAL]],'Cost Report'!G:G,1,0),"Balance")</f>
        <v>3904-003</v>
      </c>
      <c r="AD7078" s="159">
        <f>+Table1[[#This Row],[SUBTOTAL]]+Table1[[#This Row],[IVA]]-Table1[[#This Row],[RET IVA]]-Table1[[#This Row],[RET ISR]]-Table1[[#This Row],[TOTAL]]</f>
        <v>0</v>
      </c>
      <c r="AK7078" s="306" t="str">
        <f>IF(ISNUMBER(Table1[[#This Row],[FECHA DE RECIBIDO]]), Table1[[#This Row],[FECHA DE RECIBIDO]]-DATE(2023,8,30), "")</f>
        <v/>
      </c>
    </row>
    <row r="7079" spans="1:37">
      <c r="A7079" s="172"/>
      <c r="B7079" s="178"/>
      <c r="C7079" s="179" t="s">
        <v>977</v>
      </c>
      <c r="D7079">
        <v>4614</v>
      </c>
      <c r="E7079" s="125"/>
      <c r="F7079" s="178"/>
      <c r="G7079" s="178"/>
      <c r="H7079"/>
      <c r="I7079" s="178"/>
      <c r="J7079" s="320" t="s">
        <v>214</v>
      </c>
      <c r="K7079" s="178"/>
      <c r="L7079" s="125" t="s">
        <v>4863</v>
      </c>
      <c r="M7079">
        <v>1132</v>
      </c>
      <c r="N7079" s="182"/>
      <c r="O7079">
        <v>2955</v>
      </c>
      <c r="P7079" s="176" t="s">
        <v>77</v>
      </c>
      <c r="Q7079" s="176">
        <v>8.1</v>
      </c>
      <c r="R7079" s="176"/>
      <c r="S7079" s="176"/>
      <c r="T7079" s="190"/>
      <c r="U7079" s="191"/>
      <c r="V7079" s="191">
        <f>+Table1[[#This Row],[SUBTOTAL]]+Table1[[#This Row],[IVA]]-Table1[[#This Row],[RET IVA]]-Table1[[#This Row],[RET ISR]]</f>
        <v>8.1</v>
      </c>
      <c r="W7079"/>
      <c r="X7079" s="186"/>
      <c r="Y7079" s="187"/>
      <c r="Z7079" s="311" t="s">
        <v>214</v>
      </c>
      <c r="AB7079" t="str">
        <f>IF(Table1[[#This Row],[TIPO2]]="costo", VLOOKUP(Table1[[#This Row],[PARTIDA PRESUPUESTAL]],'Cost Report'!G:G,1,0),"Balance")</f>
        <v>3410-012</v>
      </c>
      <c r="AD7079" s="159">
        <f>+Table1[[#This Row],[SUBTOTAL]]+Table1[[#This Row],[IVA]]-Table1[[#This Row],[RET IVA]]-Table1[[#This Row],[RET ISR]]-Table1[[#This Row],[TOTAL]]</f>
        <v>0</v>
      </c>
      <c r="AK7079" s="306" t="str">
        <f>IF(ISNUMBER(Table1[[#This Row],[FECHA DE RECIBIDO]]), Table1[[#This Row],[FECHA DE RECIBIDO]]-DATE(2023,8,30), "")</f>
        <v/>
      </c>
    </row>
    <row r="7080" spans="1:37">
      <c r="A7080" s="172"/>
      <c r="B7080" s="178"/>
      <c r="C7080" s="179" t="s">
        <v>2371</v>
      </c>
      <c r="D7080">
        <v>4614</v>
      </c>
      <c r="E7080" s="125"/>
      <c r="F7080" s="178"/>
      <c r="G7080" s="178"/>
      <c r="H7080"/>
      <c r="I7080" s="178"/>
      <c r="J7080" s="320" t="s">
        <v>214</v>
      </c>
      <c r="K7080" s="178"/>
      <c r="L7080" s="125" t="s">
        <v>4863</v>
      </c>
      <c r="M7080">
        <v>215</v>
      </c>
      <c r="N7080" s="182"/>
      <c r="O7080">
        <v>2956</v>
      </c>
      <c r="P7080" s="176" t="s">
        <v>77</v>
      </c>
      <c r="Q7080" s="176">
        <v>53.37</v>
      </c>
      <c r="R7080" s="176"/>
      <c r="S7080" s="176"/>
      <c r="T7080" s="190"/>
      <c r="U7080" s="191"/>
      <c r="V7080" s="191">
        <f>+Table1[[#This Row],[SUBTOTAL]]+Table1[[#This Row],[IVA]]-Table1[[#This Row],[RET IVA]]-Table1[[#This Row],[RET ISR]]</f>
        <v>53.37</v>
      </c>
      <c r="W7080"/>
      <c r="X7080" s="186"/>
      <c r="Y7080" s="187"/>
      <c r="Z7080" s="311" t="s">
        <v>214</v>
      </c>
      <c r="AB7080" t="str">
        <f>IF(Table1[[#This Row],[TIPO2]]="costo", VLOOKUP(Table1[[#This Row],[PARTIDA PRESUPUESTAL]],'Cost Report'!G:G,1,0),"Balance")</f>
        <v>1643-003</v>
      </c>
      <c r="AD7080" s="159">
        <f>+Table1[[#This Row],[SUBTOTAL]]+Table1[[#This Row],[IVA]]-Table1[[#This Row],[RET IVA]]-Table1[[#This Row],[RET ISR]]-Table1[[#This Row],[TOTAL]]</f>
        <v>0</v>
      </c>
      <c r="AK7080" s="306" t="str">
        <f>IF(ISNUMBER(Table1[[#This Row],[FECHA DE RECIBIDO]]), Table1[[#This Row],[FECHA DE RECIBIDO]]-DATE(2023,8,30), "")</f>
        <v/>
      </c>
    </row>
    <row r="7081" spans="1:37">
      <c r="A7081" s="172"/>
      <c r="B7081" s="178"/>
      <c r="C7081" s="179" t="s">
        <v>2371</v>
      </c>
      <c r="D7081">
        <v>4614</v>
      </c>
      <c r="E7081" s="125"/>
      <c r="F7081" s="178"/>
      <c r="G7081" s="178"/>
      <c r="H7081"/>
      <c r="I7081" s="178"/>
      <c r="J7081" s="320" t="s">
        <v>214</v>
      </c>
      <c r="K7081" s="178"/>
      <c r="L7081" s="125" t="s">
        <v>4863</v>
      </c>
      <c r="M7081">
        <v>215</v>
      </c>
      <c r="N7081" s="182"/>
      <c r="O7081">
        <v>2956</v>
      </c>
      <c r="P7081" s="176" t="s">
        <v>77</v>
      </c>
      <c r="Q7081" s="176">
        <v>23.981999999999999</v>
      </c>
      <c r="R7081" s="176"/>
      <c r="S7081" s="176"/>
      <c r="T7081" s="190"/>
      <c r="U7081" s="191"/>
      <c r="V7081" s="191">
        <f>+Table1[[#This Row],[SUBTOTAL]]+Table1[[#This Row],[IVA]]-Table1[[#This Row],[RET IVA]]-Table1[[#This Row],[RET ISR]]</f>
        <v>23.981999999999999</v>
      </c>
      <c r="W7081"/>
      <c r="X7081" s="186"/>
      <c r="Y7081" s="187"/>
      <c r="Z7081" s="311" t="s">
        <v>214</v>
      </c>
      <c r="AB7081" t="str">
        <f>IF(Table1[[#This Row],[TIPO2]]="costo", VLOOKUP(Table1[[#This Row],[PARTIDA PRESUPUESTAL]],'Cost Report'!G:G,1,0),"Balance")</f>
        <v>1643-003</v>
      </c>
      <c r="AD7081" s="159">
        <f>+Table1[[#This Row],[SUBTOTAL]]+Table1[[#This Row],[IVA]]-Table1[[#This Row],[RET IVA]]-Table1[[#This Row],[RET ISR]]-Table1[[#This Row],[TOTAL]]</f>
        <v>0</v>
      </c>
      <c r="AK7081" s="306" t="str">
        <f>IF(ISNUMBER(Table1[[#This Row],[FECHA DE RECIBIDO]]), Table1[[#This Row],[FECHA DE RECIBIDO]]-DATE(2023,8,30), "")</f>
        <v/>
      </c>
    </row>
    <row r="7082" spans="1:37">
      <c r="A7082" s="172"/>
      <c r="B7082" s="178"/>
      <c r="C7082" s="179" t="s">
        <v>3103</v>
      </c>
      <c r="D7082">
        <v>4614</v>
      </c>
      <c r="E7082" s="125"/>
      <c r="F7082" s="178"/>
      <c r="G7082" s="178"/>
      <c r="H7082"/>
      <c r="I7082" s="178"/>
      <c r="J7082" s="320" t="s">
        <v>214</v>
      </c>
      <c r="K7082" s="178"/>
      <c r="L7082" s="125" t="s">
        <v>4863</v>
      </c>
      <c r="M7082">
        <v>1143</v>
      </c>
      <c r="N7082" s="182"/>
      <c r="O7082">
        <v>2995</v>
      </c>
      <c r="P7082" s="176" t="s">
        <v>77</v>
      </c>
      <c r="Q7082" s="176">
        <v>21.599999999999998</v>
      </c>
      <c r="R7082" s="176"/>
      <c r="S7082" s="176"/>
      <c r="T7082" s="190"/>
      <c r="U7082" s="191"/>
      <c r="V7082" s="191">
        <f>+Table1[[#This Row],[SUBTOTAL]]+Table1[[#This Row],[IVA]]-Table1[[#This Row],[RET IVA]]-Table1[[#This Row],[RET ISR]]</f>
        <v>21.599999999999998</v>
      </c>
      <c r="W7082"/>
      <c r="X7082" s="186"/>
      <c r="Y7082" s="187"/>
      <c r="Z7082" s="311" t="s">
        <v>214</v>
      </c>
      <c r="AB7082" t="str">
        <f>IF(Table1[[#This Row],[TIPO2]]="costo", VLOOKUP(Table1[[#This Row],[PARTIDA PRESUPUESTAL]],'Cost Report'!G:G,1,0),"Balance")</f>
        <v>7038-009</v>
      </c>
      <c r="AD7082" s="159">
        <f>+Table1[[#This Row],[SUBTOTAL]]+Table1[[#This Row],[IVA]]-Table1[[#This Row],[RET IVA]]-Table1[[#This Row],[RET ISR]]-Table1[[#This Row],[TOTAL]]</f>
        <v>0</v>
      </c>
      <c r="AK7082" s="306" t="str">
        <f>IF(ISNUMBER(Table1[[#This Row],[FECHA DE RECIBIDO]]), Table1[[#This Row],[FECHA DE RECIBIDO]]-DATE(2023,8,30), "")</f>
        <v/>
      </c>
    </row>
    <row r="7083" spans="1:37">
      <c r="A7083" s="172"/>
      <c r="B7083" s="178"/>
      <c r="C7083" s="179" t="s">
        <v>2749</v>
      </c>
      <c r="D7083">
        <v>4614</v>
      </c>
      <c r="E7083" s="125"/>
      <c r="F7083" s="178"/>
      <c r="G7083" s="178"/>
      <c r="H7083"/>
      <c r="I7083" s="178"/>
      <c r="J7083" s="320" t="s">
        <v>214</v>
      </c>
      <c r="K7083" s="178"/>
      <c r="L7083" s="125" t="s">
        <v>4863</v>
      </c>
      <c r="M7083">
        <v>383</v>
      </c>
      <c r="N7083" s="182"/>
      <c r="O7083">
        <v>162</v>
      </c>
      <c r="P7083" s="176" t="s">
        <v>77</v>
      </c>
      <c r="Q7083" s="176">
        <v>9.2219999999999995</v>
      </c>
      <c r="R7083" s="176"/>
      <c r="S7083" s="176"/>
      <c r="T7083" s="190"/>
      <c r="U7083" s="191"/>
      <c r="V7083" s="191">
        <f>+Table1[[#This Row],[SUBTOTAL]]+Table1[[#This Row],[IVA]]-Table1[[#This Row],[RET IVA]]-Table1[[#This Row],[RET ISR]]</f>
        <v>9.2219999999999995</v>
      </c>
      <c r="W7083"/>
      <c r="X7083" s="186"/>
      <c r="Y7083" s="187"/>
      <c r="Z7083" s="311" t="s">
        <v>214</v>
      </c>
      <c r="AB7083" t="str">
        <f>IF(Table1[[#This Row],[TIPO2]]="costo", VLOOKUP(Table1[[#This Row],[PARTIDA PRESUPUESTAL]],'Cost Report'!G:G,1,0),"Balance")</f>
        <v>3401-011</v>
      </c>
      <c r="AD7083" s="159">
        <f>+Table1[[#This Row],[SUBTOTAL]]+Table1[[#This Row],[IVA]]-Table1[[#This Row],[RET IVA]]-Table1[[#This Row],[RET ISR]]-Table1[[#This Row],[TOTAL]]</f>
        <v>0</v>
      </c>
      <c r="AK7083" s="306" t="str">
        <f>IF(ISNUMBER(Table1[[#This Row],[FECHA DE RECIBIDO]]), Table1[[#This Row],[FECHA DE RECIBIDO]]-DATE(2023,8,30), "")</f>
        <v/>
      </c>
    </row>
    <row r="7084" spans="1:37">
      <c r="A7084" s="172"/>
      <c r="B7084" s="178"/>
      <c r="C7084" s="179" t="s">
        <v>977</v>
      </c>
      <c r="D7084">
        <v>4614</v>
      </c>
      <c r="E7084" s="125"/>
      <c r="F7084" s="178"/>
      <c r="G7084" s="178"/>
      <c r="H7084"/>
      <c r="I7084" s="178"/>
      <c r="J7084" s="320" t="s">
        <v>214</v>
      </c>
      <c r="K7084" s="178"/>
      <c r="L7084" s="125" t="s">
        <v>4863</v>
      </c>
      <c r="M7084">
        <v>513</v>
      </c>
      <c r="N7084" s="182"/>
      <c r="O7084">
        <v>2996</v>
      </c>
      <c r="P7084" s="176" t="s">
        <v>77</v>
      </c>
      <c r="Q7084" s="176">
        <v>555</v>
      </c>
      <c r="R7084" s="176"/>
      <c r="S7084" s="176"/>
      <c r="T7084" s="190"/>
      <c r="U7084" s="191"/>
      <c r="V7084" s="191">
        <f>+Table1[[#This Row],[SUBTOTAL]]+Table1[[#This Row],[IVA]]-Table1[[#This Row],[RET IVA]]-Table1[[#This Row],[RET ISR]]</f>
        <v>555</v>
      </c>
      <c r="W7084"/>
      <c r="X7084" s="186"/>
      <c r="Y7084" s="187"/>
      <c r="Z7084" s="311" t="s">
        <v>214</v>
      </c>
      <c r="AB7084" t="str">
        <f>IF(Table1[[#This Row],[TIPO2]]="costo", VLOOKUP(Table1[[#This Row],[PARTIDA PRESUPUESTAL]],'Cost Report'!G:G,1,0),"Balance")</f>
        <v>3410-012</v>
      </c>
      <c r="AD7084" s="159">
        <f>+Table1[[#This Row],[SUBTOTAL]]+Table1[[#This Row],[IVA]]-Table1[[#This Row],[RET IVA]]-Table1[[#This Row],[RET ISR]]-Table1[[#This Row],[TOTAL]]</f>
        <v>0</v>
      </c>
      <c r="AK7084" s="306" t="str">
        <f>IF(ISNUMBER(Table1[[#This Row],[FECHA DE RECIBIDO]]), Table1[[#This Row],[FECHA DE RECIBIDO]]-DATE(2023,8,30), "")</f>
        <v/>
      </c>
    </row>
    <row r="7085" spans="1:37">
      <c r="A7085" s="172"/>
      <c r="B7085" s="178"/>
      <c r="C7085" s="179" t="s">
        <v>1181</v>
      </c>
      <c r="D7085">
        <v>4614</v>
      </c>
      <c r="E7085" s="125"/>
      <c r="F7085" s="178"/>
      <c r="G7085" s="178"/>
      <c r="H7085"/>
      <c r="I7085" s="178"/>
      <c r="J7085" s="320" t="s">
        <v>214</v>
      </c>
      <c r="K7085" s="178"/>
      <c r="L7085" s="125" t="s">
        <v>4863</v>
      </c>
      <c r="M7085">
        <v>1131</v>
      </c>
      <c r="N7085" s="182"/>
      <c r="O7085">
        <v>2997</v>
      </c>
      <c r="P7085" s="176" t="s">
        <v>77</v>
      </c>
      <c r="Q7085" s="176">
        <v>20.099999999999998</v>
      </c>
      <c r="R7085" s="176"/>
      <c r="S7085" s="176"/>
      <c r="T7085" s="190"/>
      <c r="U7085" s="191"/>
      <c r="V7085" s="191">
        <f>+Table1[[#This Row],[SUBTOTAL]]+Table1[[#This Row],[IVA]]-Table1[[#This Row],[RET IVA]]-Table1[[#This Row],[RET ISR]]</f>
        <v>20.099999999999998</v>
      </c>
      <c r="W7085"/>
      <c r="X7085" s="186"/>
      <c r="Y7085" s="187"/>
      <c r="Z7085" s="311" t="s">
        <v>214</v>
      </c>
      <c r="AB7085" t="str">
        <f>IF(Table1[[#This Row],[TIPO2]]="costo", VLOOKUP(Table1[[#This Row],[PARTIDA PRESUPUESTAL]],'Cost Report'!G:G,1,0),"Balance")</f>
        <v>3904-003</v>
      </c>
      <c r="AD7085" s="159">
        <f>+Table1[[#This Row],[SUBTOTAL]]+Table1[[#This Row],[IVA]]-Table1[[#This Row],[RET IVA]]-Table1[[#This Row],[RET ISR]]-Table1[[#This Row],[TOTAL]]</f>
        <v>0</v>
      </c>
      <c r="AK7085" s="306" t="str">
        <f>IF(ISNUMBER(Table1[[#This Row],[FECHA DE RECIBIDO]]), Table1[[#This Row],[FECHA DE RECIBIDO]]-DATE(2023,8,30), "")</f>
        <v/>
      </c>
    </row>
    <row r="7086" spans="1:37">
      <c r="A7086" s="172"/>
      <c r="B7086" s="178"/>
      <c r="C7086" s="179" t="s">
        <v>1181</v>
      </c>
      <c r="D7086">
        <v>4614</v>
      </c>
      <c r="E7086" s="125"/>
      <c r="F7086" s="178"/>
      <c r="G7086" s="178"/>
      <c r="H7086"/>
      <c r="I7086" s="178"/>
      <c r="J7086" s="320" t="s">
        <v>214</v>
      </c>
      <c r="K7086" s="178"/>
      <c r="L7086" s="125" t="s">
        <v>4863</v>
      </c>
      <c r="M7086">
        <v>1131</v>
      </c>
      <c r="N7086" s="182"/>
      <c r="O7086">
        <v>2997</v>
      </c>
      <c r="P7086" s="176" t="s">
        <v>77</v>
      </c>
      <c r="Q7086" s="176">
        <v>20.024999999999999</v>
      </c>
      <c r="R7086" s="176"/>
      <c r="S7086" s="176"/>
      <c r="T7086" s="190"/>
      <c r="U7086" s="191"/>
      <c r="V7086" s="191">
        <f>+Table1[[#This Row],[SUBTOTAL]]+Table1[[#This Row],[IVA]]-Table1[[#This Row],[RET IVA]]-Table1[[#This Row],[RET ISR]]</f>
        <v>20.024999999999999</v>
      </c>
      <c r="W7086"/>
      <c r="X7086" s="186"/>
      <c r="Y7086" s="187"/>
      <c r="Z7086" s="311" t="s">
        <v>214</v>
      </c>
      <c r="AB7086" t="str">
        <f>IF(Table1[[#This Row],[TIPO2]]="costo", VLOOKUP(Table1[[#This Row],[PARTIDA PRESUPUESTAL]],'Cost Report'!G:G,1,0),"Balance")</f>
        <v>3904-003</v>
      </c>
      <c r="AD7086" s="159">
        <f>+Table1[[#This Row],[SUBTOTAL]]+Table1[[#This Row],[IVA]]-Table1[[#This Row],[RET IVA]]-Table1[[#This Row],[RET ISR]]-Table1[[#This Row],[TOTAL]]</f>
        <v>0</v>
      </c>
      <c r="AK7086" s="306" t="str">
        <f>IF(ISNUMBER(Table1[[#This Row],[FECHA DE RECIBIDO]]), Table1[[#This Row],[FECHA DE RECIBIDO]]-DATE(2023,8,30), "")</f>
        <v/>
      </c>
    </row>
    <row r="7087" spans="1:37">
      <c r="A7087" s="172"/>
      <c r="B7087" s="178"/>
      <c r="C7087" s="179" t="s">
        <v>2749</v>
      </c>
      <c r="D7087">
        <v>4614</v>
      </c>
      <c r="E7087" s="125"/>
      <c r="F7087" s="178"/>
      <c r="G7087" s="178"/>
      <c r="H7087"/>
      <c r="I7087" s="178"/>
      <c r="J7087" s="320" t="s">
        <v>214</v>
      </c>
      <c r="K7087" s="178"/>
      <c r="L7087" s="125" t="s">
        <v>4863</v>
      </c>
      <c r="M7087">
        <v>691</v>
      </c>
      <c r="N7087" s="182"/>
      <c r="O7087">
        <v>162</v>
      </c>
      <c r="P7087" s="176" t="s">
        <v>77</v>
      </c>
      <c r="Q7087" s="176">
        <v>10.44</v>
      </c>
      <c r="R7087" s="176"/>
      <c r="S7087" s="176"/>
      <c r="T7087" s="190"/>
      <c r="U7087" s="191"/>
      <c r="V7087" s="191">
        <f>+Table1[[#This Row],[SUBTOTAL]]+Table1[[#This Row],[IVA]]-Table1[[#This Row],[RET IVA]]-Table1[[#This Row],[RET ISR]]</f>
        <v>10.44</v>
      </c>
      <c r="W7087"/>
      <c r="X7087" s="186"/>
      <c r="Y7087" s="187"/>
      <c r="Z7087" s="311" t="s">
        <v>214</v>
      </c>
      <c r="AB7087" t="str">
        <f>IF(Table1[[#This Row],[TIPO2]]="costo", VLOOKUP(Table1[[#This Row],[PARTIDA PRESUPUESTAL]],'Cost Report'!G:G,1,0),"Balance")</f>
        <v>3401-011</v>
      </c>
      <c r="AD7087" s="159">
        <f>+Table1[[#This Row],[SUBTOTAL]]+Table1[[#This Row],[IVA]]-Table1[[#This Row],[RET IVA]]-Table1[[#This Row],[RET ISR]]-Table1[[#This Row],[TOTAL]]</f>
        <v>0</v>
      </c>
      <c r="AK7087" s="306" t="str">
        <f>IF(ISNUMBER(Table1[[#This Row],[FECHA DE RECIBIDO]]), Table1[[#This Row],[FECHA DE RECIBIDO]]-DATE(2023,8,30), "")</f>
        <v/>
      </c>
    </row>
    <row r="7088" spans="1:37">
      <c r="A7088" s="172"/>
      <c r="B7088" s="178"/>
      <c r="C7088" s="179" t="s">
        <v>1181</v>
      </c>
      <c r="D7088">
        <v>4614</v>
      </c>
      <c r="E7088" s="125"/>
      <c r="F7088" s="178"/>
      <c r="G7088" s="178"/>
      <c r="H7088"/>
      <c r="I7088" s="178"/>
      <c r="J7088" s="320" t="s">
        <v>214</v>
      </c>
      <c r="K7088" s="178"/>
      <c r="L7088" s="125" t="s">
        <v>4863</v>
      </c>
      <c r="M7088">
        <v>1131</v>
      </c>
      <c r="N7088" s="182"/>
      <c r="O7088">
        <v>2997</v>
      </c>
      <c r="P7088" s="176" t="s">
        <v>77</v>
      </c>
      <c r="Q7088" s="176">
        <v>24</v>
      </c>
      <c r="R7088" s="176"/>
      <c r="S7088" s="176"/>
      <c r="T7088" s="190"/>
      <c r="U7088" s="191"/>
      <c r="V7088" s="191">
        <f>+Table1[[#This Row],[SUBTOTAL]]+Table1[[#This Row],[IVA]]-Table1[[#This Row],[RET IVA]]-Table1[[#This Row],[RET ISR]]</f>
        <v>24</v>
      </c>
      <c r="W7088"/>
      <c r="X7088" s="186"/>
      <c r="Y7088" s="187"/>
      <c r="Z7088" s="311" t="s">
        <v>214</v>
      </c>
      <c r="AB7088" t="str">
        <f>IF(Table1[[#This Row],[TIPO2]]="costo", VLOOKUP(Table1[[#This Row],[PARTIDA PRESUPUESTAL]],'Cost Report'!G:G,1,0),"Balance")</f>
        <v>3904-003</v>
      </c>
      <c r="AD7088" s="159">
        <f>+Table1[[#This Row],[SUBTOTAL]]+Table1[[#This Row],[IVA]]-Table1[[#This Row],[RET IVA]]-Table1[[#This Row],[RET ISR]]-Table1[[#This Row],[TOTAL]]</f>
        <v>0</v>
      </c>
      <c r="AK7088" s="306" t="str">
        <f>IF(ISNUMBER(Table1[[#This Row],[FECHA DE RECIBIDO]]), Table1[[#This Row],[FECHA DE RECIBIDO]]-DATE(2023,8,30), "")</f>
        <v/>
      </c>
    </row>
    <row r="7089" spans="1:37">
      <c r="A7089" s="172"/>
      <c r="B7089" s="178"/>
      <c r="C7089" s="179" t="s">
        <v>2534</v>
      </c>
      <c r="D7089">
        <v>4614</v>
      </c>
      <c r="E7089" s="125"/>
      <c r="F7089" s="178"/>
      <c r="G7089" s="178"/>
      <c r="H7089"/>
      <c r="I7089" s="178"/>
      <c r="J7089" s="320" t="s">
        <v>214</v>
      </c>
      <c r="K7089" s="178"/>
      <c r="L7089" s="125" t="s">
        <v>4863</v>
      </c>
      <c r="M7089">
        <v>514</v>
      </c>
      <c r="N7089" s="182"/>
      <c r="O7089">
        <v>3015</v>
      </c>
      <c r="P7089" s="176" t="s">
        <v>77</v>
      </c>
      <c r="Q7089" s="176">
        <v>11.7</v>
      </c>
      <c r="R7089" s="176"/>
      <c r="S7089" s="176"/>
      <c r="T7089" s="190"/>
      <c r="U7089" s="191"/>
      <c r="V7089" s="191">
        <f>+Table1[[#This Row],[SUBTOTAL]]+Table1[[#This Row],[IVA]]-Table1[[#This Row],[RET IVA]]-Table1[[#This Row],[RET ISR]]</f>
        <v>11.7</v>
      </c>
      <c r="W7089"/>
      <c r="X7089" s="186"/>
      <c r="Y7089" s="187"/>
      <c r="Z7089" s="311" t="s">
        <v>214</v>
      </c>
      <c r="AB7089" t="str">
        <f>IF(Table1[[#This Row],[TIPO2]]="costo", VLOOKUP(Table1[[#This Row],[PARTIDA PRESUPUESTAL]],'Cost Report'!G:G,1,0),"Balance")</f>
        <v>2494-047</v>
      </c>
      <c r="AD7089" s="159">
        <f>+Table1[[#This Row],[SUBTOTAL]]+Table1[[#This Row],[IVA]]-Table1[[#This Row],[RET IVA]]-Table1[[#This Row],[RET ISR]]-Table1[[#This Row],[TOTAL]]</f>
        <v>0</v>
      </c>
      <c r="AK7089" s="306" t="str">
        <f>IF(ISNUMBER(Table1[[#This Row],[FECHA DE RECIBIDO]]), Table1[[#This Row],[FECHA DE RECIBIDO]]-DATE(2023,8,30), "")</f>
        <v/>
      </c>
    </row>
    <row r="7090" spans="1:37">
      <c r="A7090" s="172"/>
      <c r="B7090" s="178"/>
      <c r="C7090" s="179" t="s">
        <v>936</v>
      </c>
      <c r="D7090">
        <v>4614</v>
      </c>
      <c r="E7090" s="125"/>
      <c r="F7090" s="178"/>
      <c r="G7090" s="178"/>
      <c r="H7090"/>
      <c r="I7090" s="178"/>
      <c r="J7090" s="320" t="s">
        <v>214</v>
      </c>
      <c r="K7090" s="178"/>
      <c r="L7090" s="125" t="s">
        <v>4863</v>
      </c>
      <c r="M7090">
        <v>542</v>
      </c>
      <c r="N7090" s="182"/>
      <c r="O7090">
        <v>3016</v>
      </c>
      <c r="P7090" s="176" t="s">
        <v>77</v>
      </c>
      <c r="Q7090" s="176">
        <v>10.44</v>
      </c>
      <c r="R7090" s="176"/>
      <c r="S7090" s="176"/>
      <c r="T7090" s="190"/>
      <c r="U7090" s="191"/>
      <c r="V7090" s="191">
        <f>+Table1[[#This Row],[SUBTOTAL]]+Table1[[#This Row],[IVA]]-Table1[[#This Row],[RET IVA]]-Table1[[#This Row],[RET ISR]]</f>
        <v>10.44</v>
      </c>
      <c r="W7090"/>
      <c r="X7090" s="186"/>
      <c r="Y7090" s="187"/>
      <c r="Z7090" s="311" t="s">
        <v>214</v>
      </c>
      <c r="AB7090" t="str">
        <f>IF(Table1[[#This Row],[TIPO2]]="costo", VLOOKUP(Table1[[#This Row],[PARTIDA PRESUPUESTAL]],'Cost Report'!G:G,1,0),"Balance")</f>
        <v>3401-003</v>
      </c>
      <c r="AD7090" s="159">
        <f>+Table1[[#This Row],[SUBTOTAL]]+Table1[[#This Row],[IVA]]-Table1[[#This Row],[RET IVA]]-Table1[[#This Row],[RET ISR]]-Table1[[#This Row],[TOTAL]]</f>
        <v>0</v>
      </c>
      <c r="AK7090" s="306" t="str">
        <f>IF(ISNUMBER(Table1[[#This Row],[FECHA DE RECIBIDO]]), Table1[[#This Row],[FECHA DE RECIBIDO]]-DATE(2023,8,30), "")</f>
        <v/>
      </c>
    </row>
    <row r="7091" spans="1:37">
      <c r="A7091" s="172"/>
      <c r="B7091" s="178"/>
      <c r="C7091" s="179" t="s">
        <v>2546</v>
      </c>
      <c r="D7091">
        <v>4614</v>
      </c>
      <c r="E7091" s="125"/>
      <c r="F7091" s="178"/>
      <c r="G7091" s="178"/>
      <c r="H7091"/>
      <c r="I7091" s="178"/>
      <c r="J7091" s="320" t="s">
        <v>214</v>
      </c>
      <c r="K7091" s="178"/>
      <c r="L7091" s="125" t="s">
        <v>4863</v>
      </c>
      <c r="M7091">
        <v>1149</v>
      </c>
      <c r="N7091" s="182"/>
      <c r="O7091">
        <v>3017</v>
      </c>
      <c r="P7091" s="176" t="s">
        <v>77</v>
      </c>
      <c r="Q7091" s="176">
        <v>30</v>
      </c>
      <c r="R7091" s="176"/>
      <c r="S7091" s="176"/>
      <c r="T7091" s="190"/>
      <c r="U7091" s="191"/>
      <c r="V7091" s="191">
        <f>+Table1[[#This Row],[SUBTOTAL]]+Table1[[#This Row],[IVA]]-Table1[[#This Row],[RET IVA]]-Table1[[#This Row],[RET ISR]]</f>
        <v>30</v>
      </c>
      <c r="W7091"/>
      <c r="X7091" s="186"/>
      <c r="Y7091" s="187"/>
      <c r="Z7091" s="311" t="s">
        <v>214</v>
      </c>
      <c r="AB7091" t="str">
        <f>IF(Table1[[#This Row],[TIPO2]]="costo", VLOOKUP(Table1[[#This Row],[PARTIDA PRESUPUESTAL]],'Cost Report'!G:G,1,0),"Balance")</f>
        <v>2494-071</v>
      </c>
      <c r="AD7091" s="159">
        <f>+Table1[[#This Row],[SUBTOTAL]]+Table1[[#This Row],[IVA]]-Table1[[#This Row],[RET IVA]]-Table1[[#This Row],[RET ISR]]-Table1[[#This Row],[TOTAL]]</f>
        <v>0</v>
      </c>
      <c r="AK7091" s="306" t="str">
        <f>IF(ISNUMBER(Table1[[#This Row],[FECHA DE RECIBIDO]]), Table1[[#This Row],[FECHA DE RECIBIDO]]-DATE(2023,8,30), "")</f>
        <v/>
      </c>
    </row>
    <row r="7092" spans="1:37">
      <c r="A7092" s="172"/>
      <c r="B7092" s="178"/>
      <c r="C7092" s="179" t="s">
        <v>2546</v>
      </c>
      <c r="D7092">
        <v>4614</v>
      </c>
      <c r="E7092" s="125"/>
      <c r="F7092" s="178"/>
      <c r="G7092" s="178"/>
      <c r="H7092"/>
      <c r="I7092" s="178"/>
      <c r="J7092" s="320" t="s">
        <v>214</v>
      </c>
      <c r="K7092" s="178"/>
      <c r="L7092" s="125" t="s">
        <v>4863</v>
      </c>
      <c r="M7092">
        <v>1149</v>
      </c>
      <c r="N7092" s="182"/>
      <c r="O7092">
        <v>3018</v>
      </c>
      <c r="P7092" s="176" t="s">
        <v>77</v>
      </c>
      <c r="Q7092" s="176">
        <v>30</v>
      </c>
      <c r="R7092" s="176"/>
      <c r="S7092" s="176"/>
      <c r="T7092" s="190"/>
      <c r="U7092" s="191"/>
      <c r="V7092" s="191">
        <f>+Table1[[#This Row],[SUBTOTAL]]+Table1[[#This Row],[IVA]]-Table1[[#This Row],[RET IVA]]-Table1[[#This Row],[RET ISR]]</f>
        <v>30</v>
      </c>
      <c r="W7092"/>
      <c r="X7092" s="186"/>
      <c r="Y7092" s="187"/>
      <c r="Z7092" s="311" t="s">
        <v>214</v>
      </c>
      <c r="AB7092" t="str">
        <f>IF(Table1[[#This Row],[TIPO2]]="costo", VLOOKUP(Table1[[#This Row],[PARTIDA PRESUPUESTAL]],'Cost Report'!G:G,1,0),"Balance")</f>
        <v>2494-071</v>
      </c>
      <c r="AD7092" s="159">
        <f>+Table1[[#This Row],[SUBTOTAL]]+Table1[[#This Row],[IVA]]-Table1[[#This Row],[RET IVA]]-Table1[[#This Row],[RET ISR]]-Table1[[#This Row],[TOTAL]]</f>
        <v>0</v>
      </c>
      <c r="AK7092" s="306" t="str">
        <f>IF(ISNUMBER(Table1[[#This Row],[FECHA DE RECIBIDO]]), Table1[[#This Row],[FECHA DE RECIBIDO]]-DATE(2023,8,30), "")</f>
        <v/>
      </c>
    </row>
    <row r="7093" spans="1:37">
      <c r="A7093" s="172"/>
      <c r="B7093" s="178"/>
      <c r="C7093" s="179" t="s">
        <v>2546</v>
      </c>
      <c r="D7093">
        <v>4614</v>
      </c>
      <c r="E7093" s="125"/>
      <c r="F7093" s="178"/>
      <c r="G7093" s="178"/>
      <c r="H7093"/>
      <c r="I7093" s="178"/>
      <c r="J7093" s="320" t="s">
        <v>214</v>
      </c>
      <c r="K7093" s="178"/>
      <c r="L7093" s="125" t="s">
        <v>4863</v>
      </c>
      <c r="M7093">
        <v>1150</v>
      </c>
      <c r="N7093" s="182"/>
      <c r="O7093">
        <v>3019</v>
      </c>
      <c r="P7093" s="176" t="s">
        <v>77</v>
      </c>
      <c r="Q7093" s="176">
        <v>11.4</v>
      </c>
      <c r="R7093" s="176"/>
      <c r="S7093" s="176"/>
      <c r="T7093" s="190"/>
      <c r="U7093" s="191"/>
      <c r="V7093" s="191">
        <f>+Table1[[#This Row],[SUBTOTAL]]+Table1[[#This Row],[IVA]]-Table1[[#This Row],[RET IVA]]-Table1[[#This Row],[RET ISR]]</f>
        <v>11.4</v>
      </c>
      <c r="W7093"/>
      <c r="X7093" s="186"/>
      <c r="Y7093" s="187"/>
      <c r="Z7093" s="311" t="s">
        <v>214</v>
      </c>
      <c r="AB7093" t="str">
        <f>IF(Table1[[#This Row],[TIPO2]]="costo", VLOOKUP(Table1[[#This Row],[PARTIDA PRESUPUESTAL]],'Cost Report'!G:G,1,0),"Balance")</f>
        <v>2494-071</v>
      </c>
      <c r="AD7093" s="159">
        <f>+Table1[[#This Row],[SUBTOTAL]]+Table1[[#This Row],[IVA]]-Table1[[#This Row],[RET IVA]]-Table1[[#This Row],[RET ISR]]-Table1[[#This Row],[TOTAL]]</f>
        <v>0</v>
      </c>
      <c r="AK7093" s="306" t="str">
        <f>IF(ISNUMBER(Table1[[#This Row],[FECHA DE RECIBIDO]]), Table1[[#This Row],[FECHA DE RECIBIDO]]-DATE(2023,8,30), "")</f>
        <v/>
      </c>
    </row>
    <row r="7094" spans="1:37">
      <c r="A7094" s="172"/>
      <c r="B7094" s="178"/>
      <c r="C7094" s="179" t="s">
        <v>936</v>
      </c>
      <c r="D7094">
        <v>4614</v>
      </c>
      <c r="E7094" s="125"/>
      <c r="F7094" s="178"/>
      <c r="G7094" s="178"/>
      <c r="H7094"/>
      <c r="I7094" s="178"/>
      <c r="J7094" s="320" t="s">
        <v>214</v>
      </c>
      <c r="K7094" s="178"/>
      <c r="L7094" s="125" t="s">
        <v>4863</v>
      </c>
      <c r="M7094">
        <v>375</v>
      </c>
      <c r="N7094" s="182"/>
      <c r="O7094">
        <v>3016</v>
      </c>
      <c r="P7094" s="176" t="s">
        <v>77</v>
      </c>
      <c r="Q7094" s="176">
        <v>10.266</v>
      </c>
      <c r="R7094" s="176"/>
      <c r="S7094" s="176"/>
      <c r="T7094" s="190"/>
      <c r="U7094" s="191"/>
      <c r="V7094" s="191">
        <f>+Table1[[#This Row],[SUBTOTAL]]+Table1[[#This Row],[IVA]]-Table1[[#This Row],[RET IVA]]-Table1[[#This Row],[RET ISR]]</f>
        <v>10.266</v>
      </c>
      <c r="W7094"/>
      <c r="X7094" s="186"/>
      <c r="Y7094" s="187"/>
      <c r="Z7094" s="311" t="s">
        <v>214</v>
      </c>
      <c r="AB7094" t="str">
        <f>IF(Table1[[#This Row],[TIPO2]]="costo", VLOOKUP(Table1[[#This Row],[PARTIDA PRESUPUESTAL]],'Cost Report'!G:G,1,0),"Balance")</f>
        <v>3401-003</v>
      </c>
      <c r="AD7094" s="159">
        <f>+Table1[[#This Row],[SUBTOTAL]]+Table1[[#This Row],[IVA]]-Table1[[#This Row],[RET IVA]]-Table1[[#This Row],[RET ISR]]-Table1[[#This Row],[TOTAL]]</f>
        <v>0</v>
      </c>
      <c r="AK7094" s="306" t="str">
        <f>IF(ISNUMBER(Table1[[#This Row],[FECHA DE RECIBIDO]]), Table1[[#This Row],[FECHA DE RECIBIDO]]-DATE(2023,8,30), "")</f>
        <v/>
      </c>
    </row>
    <row r="7095" spans="1:37">
      <c r="A7095" s="172"/>
      <c r="B7095" s="178"/>
      <c r="C7095" s="179" t="s">
        <v>2546</v>
      </c>
      <c r="D7095">
        <v>4614</v>
      </c>
      <c r="E7095" s="125"/>
      <c r="F7095" s="178"/>
      <c r="G7095" s="178"/>
      <c r="H7095"/>
      <c r="I7095" s="178"/>
      <c r="J7095" s="320" t="s">
        <v>214</v>
      </c>
      <c r="K7095" s="178"/>
      <c r="L7095" s="125" t="s">
        <v>4863</v>
      </c>
      <c r="M7095">
        <v>1151</v>
      </c>
      <c r="N7095" s="182"/>
      <c r="O7095">
        <v>3020</v>
      </c>
      <c r="P7095" s="176" t="s">
        <v>77</v>
      </c>
      <c r="Q7095" s="176">
        <v>79.2</v>
      </c>
      <c r="R7095" s="176"/>
      <c r="S7095" s="176"/>
      <c r="T7095" s="190"/>
      <c r="U7095" s="191"/>
      <c r="V7095" s="191">
        <f>+Table1[[#This Row],[SUBTOTAL]]+Table1[[#This Row],[IVA]]-Table1[[#This Row],[RET IVA]]-Table1[[#This Row],[RET ISR]]</f>
        <v>79.2</v>
      </c>
      <c r="W7095"/>
      <c r="X7095" s="186"/>
      <c r="Y7095" s="187"/>
      <c r="Z7095" s="311" t="s">
        <v>214</v>
      </c>
      <c r="AB7095" t="str">
        <f>IF(Table1[[#This Row],[TIPO2]]="costo", VLOOKUP(Table1[[#This Row],[PARTIDA PRESUPUESTAL]],'Cost Report'!G:G,1,0),"Balance")</f>
        <v>2494-071</v>
      </c>
      <c r="AD7095" s="159">
        <f>+Table1[[#This Row],[SUBTOTAL]]+Table1[[#This Row],[IVA]]-Table1[[#This Row],[RET IVA]]-Table1[[#This Row],[RET ISR]]-Table1[[#This Row],[TOTAL]]</f>
        <v>0</v>
      </c>
      <c r="AK7095" s="306" t="str">
        <f>IF(ISNUMBER(Table1[[#This Row],[FECHA DE RECIBIDO]]), Table1[[#This Row],[FECHA DE RECIBIDO]]-DATE(2023,8,30), "")</f>
        <v/>
      </c>
    </row>
    <row r="7096" spans="1:37">
      <c r="A7096" s="172"/>
      <c r="B7096" s="178"/>
      <c r="C7096" s="179" t="s">
        <v>2565</v>
      </c>
      <c r="D7096">
        <v>4614</v>
      </c>
      <c r="E7096" s="125"/>
      <c r="F7096" s="178"/>
      <c r="G7096" s="178"/>
      <c r="H7096"/>
      <c r="I7096" s="178"/>
      <c r="J7096" s="320" t="s">
        <v>214</v>
      </c>
      <c r="K7096" s="178"/>
      <c r="L7096" s="125" t="s">
        <v>4863</v>
      </c>
      <c r="M7096">
        <v>1156</v>
      </c>
      <c r="N7096" s="182"/>
      <c r="O7096">
        <v>3055</v>
      </c>
      <c r="P7096" s="176" t="s">
        <v>77</v>
      </c>
      <c r="Q7096" s="176">
        <v>3.3</v>
      </c>
      <c r="R7096" s="176"/>
      <c r="S7096" s="176"/>
      <c r="T7096" s="190"/>
      <c r="U7096" s="191"/>
      <c r="V7096" s="191">
        <f>+Table1[[#This Row],[SUBTOTAL]]+Table1[[#This Row],[IVA]]-Table1[[#This Row],[RET IVA]]-Table1[[#This Row],[RET ISR]]</f>
        <v>3.3</v>
      </c>
      <c r="W7096"/>
      <c r="X7096" s="186"/>
      <c r="Y7096" s="187"/>
      <c r="Z7096" s="311" t="s">
        <v>214</v>
      </c>
      <c r="AB7096" t="str">
        <f>IF(Table1[[#This Row],[TIPO2]]="costo", VLOOKUP(Table1[[#This Row],[PARTIDA PRESUPUESTAL]],'Cost Report'!G:G,1,0),"Balance")</f>
        <v>2585-003</v>
      </c>
      <c r="AD7096" s="159">
        <f>+Table1[[#This Row],[SUBTOTAL]]+Table1[[#This Row],[IVA]]-Table1[[#This Row],[RET IVA]]-Table1[[#This Row],[RET ISR]]-Table1[[#This Row],[TOTAL]]</f>
        <v>0</v>
      </c>
      <c r="AK7096" s="306" t="str">
        <f>IF(ISNUMBER(Table1[[#This Row],[FECHA DE RECIBIDO]]), Table1[[#This Row],[FECHA DE RECIBIDO]]-DATE(2023,8,30), "")</f>
        <v/>
      </c>
    </row>
    <row r="7097" spans="1:37">
      <c r="A7097" s="172"/>
      <c r="B7097" s="178"/>
      <c r="C7097" s="179" t="s">
        <v>2566</v>
      </c>
      <c r="D7097">
        <v>4614</v>
      </c>
      <c r="E7097" s="125"/>
      <c r="F7097" s="178"/>
      <c r="G7097" s="178"/>
      <c r="H7097"/>
      <c r="I7097" s="178"/>
      <c r="J7097" s="320" t="s">
        <v>214</v>
      </c>
      <c r="K7097" s="178"/>
      <c r="L7097" s="125" t="s">
        <v>4863</v>
      </c>
      <c r="M7097">
        <v>1157</v>
      </c>
      <c r="N7097" s="182"/>
      <c r="O7097">
        <v>3056</v>
      </c>
      <c r="P7097" s="176" t="s">
        <v>77</v>
      </c>
      <c r="Q7097" s="176">
        <v>23.4</v>
      </c>
      <c r="R7097" s="176"/>
      <c r="S7097" s="176"/>
      <c r="T7097" s="190"/>
      <c r="U7097" s="191"/>
      <c r="V7097" s="191">
        <f>+Table1[[#This Row],[SUBTOTAL]]+Table1[[#This Row],[IVA]]-Table1[[#This Row],[RET IVA]]-Table1[[#This Row],[RET ISR]]</f>
        <v>23.4</v>
      </c>
      <c r="W7097"/>
      <c r="X7097" s="186"/>
      <c r="Y7097" s="187"/>
      <c r="Z7097" s="311" t="s">
        <v>214</v>
      </c>
      <c r="AB7097" t="str">
        <f>IF(Table1[[#This Row],[TIPO2]]="costo", VLOOKUP(Table1[[#This Row],[PARTIDA PRESUPUESTAL]],'Cost Report'!G:G,1,0),"Balance")</f>
        <v>2594-003</v>
      </c>
      <c r="AD7097" s="159">
        <f>+Table1[[#This Row],[SUBTOTAL]]+Table1[[#This Row],[IVA]]-Table1[[#This Row],[RET IVA]]-Table1[[#This Row],[RET ISR]]-Table1[[#This Row],[TOTAL]]</f>
        <v>0</v>
      </c>
      <c r="AK7097" s="306" t="str">
        <f>IF(ISNUMBER(Table1[[#This Row],[FECHA DE RECIBIDO]]), Table1[[#This Row],[FECHA DE RECIBIDO]]-DATE(2023,8,30), "")</f>
        <v/>
      </c>
    </row>
    <row r="7098" spans="1:37">
      <c r="A7098" s="172"/>
      <c r="B7098" s="178"/>
      <c r="C7098" s="179" t="s">
        <v>2565</v>
      </c>
      <c r="D7098">
        <v>4614</v>
      </c>
      <c r="E7098" s="125"/>
      <c r="F7098" s="178"/>
      <c r="G7098" s="178"/>
      <c r="H7098"/>
      <c r="I7098" s="178"/>
      <c r="J7098" s="320" t="s">
        <v>214</v>
      </c>
      <c r="K7098" s="178"/>
      <c r="L7098" s="125" t="s">
        <v>4863</v>
      </c>
      <c r="M7098">
        <v>1158</v>
      </c>
      <c r="N7098" s="182"/>
      <c r="O7098">
        <v>3055</v>
      </c>
      <c r="P7098" s="176" t="s">
        <v>77</v>
      </c>
      <c r="Q7098" s="176">
        <v>7.5</v>
      </c>
      <c r="R7098" s="176"/>
      <c r="S7098" s="176"/>
      <c r="T7098" s="190"/>
      <c r="U7098" s="191"/>
      <c r="V7098" s="191">
        <f>+Table1[[#This Row],[SUBTOTAL]]+Table1[[#This Row],[IVA]]-Table1[[#This Row],[RET IVA]]-Table1[[#This Row],[RET ISR]]</f>
        <v>7.5</v>
      </c>
      <c r="W7098"/>
      <c r="X7098" s="186"/>
      <c r="Y7098" s="187"/>
      <c r="Z7098" s="311" t="s">
        <v>214</v>
      </c>
      <c r="AB7098" t="str">
        <f>IF(Table1[[#This Row],[TIPO2]]="costo", VLOOKUP(Table1[[#This Row],[PARTIDA PRESUPUESTAL]],'Cost Report'!G:G,1,0),"Balance")</f>
        <v>2585-003</v>
      </c>
      <c r="AD7098" s="159">
        <f>+Table1[[#This Row],[SUBTOTAL]]+Table1[[#This Row],[IVA]]-Table1[[#This Row],[RET IVA]]-Table1[[#This Row],[RET ISR]]-Table1[[#This Row],[TOTAL]]</f>
        <v>0</v>
      </c>
      <c r="AK7098" s="306" t="str">
        <f>IF(ISNUMBER(Table1[[#This Row],[FECHA DE RECIBIDO]]), Table1[[#This Row],[FECHA DE RECIBIDO]]-DATE(2023,8,30), "")</f>
        <v/>
      </c>
    </row>
    <row r="7099" spans="1:37">
      <c r="A7099" s="172"/>
      <c r="B7099" s="178"/>
      <c r="C7099" s="179" t="s">
        <v>2455</v>
      </c>
      <c r="D7099">
        <v>4614</v>
      </c>
      <c r="E7099" s="125"/>
      <c r="F7099" s="178"/>
      <c r="G7099" s="178"/>
      <c r="H7099"/>
      <c r="I7099" s="178"/>
      <c r="J7099" s="320" t="s">
        <v>214</v>
      </c>
      <c r="K7099" s="178"/>
      <c r="L7099" s="125" t="s">
        <v>4863</v>
      </c>
      <c r="M7099">
        <v>375</v>
      </c>
      <c r="N7099" s="182"/>
      <c r="O7099">
        <v>522</v>
      </c>
      <c r="P7099" s="176" t="s">
        <v>77</v>
      </c>
      <c r="Q7099" s="176">
        <v>10.266</v>
      </c>
      <c r="R7099" s="176"/>
      <c r="S7099" s="176"/>
      <c r="T7099" s="190"/>
      <c r="U7099" s="191"/>
      <c r="V7099" s="191">
        <f>+Table1[[#This Row],[SUBTOTAL]]+Table1[[#This Row],[IVA]]-Table1[[#This Row],[RET IVA]]-Table1[[#This Row],[RET ISR]]</f>
        <v>10.266</v>
      </c>
      <c r="W7099"/>
      <c r="X7099" s="186"/>
      <c r="Y7099" s="187"/>
      <c r="Z7099" s="311" t="s">
        <v>214</v>
      </c>
      <c r="AB7099" t="str">
        <f>IF(Table1[[#This Row],[TIPO2]]="costo", VLOOKUP(Table1[[#This Row],[PARTIDA PRESUPUESTAL]],'Cost Report'!G:G,1,0),"Balance")</f>
        <v>2285-003</v>
      </c>
      <c r="AD7099" s="159">
        <f>+Table1[[#This Row],[SUBTOTAL]]+Table1[[#This Row],[IVA]]-Table1[[#This Row],[RET IVA]]-Table1[[#This Row],[RET ISR]]-Table1[[#This Row],[TOTAL]]</f>
        <v>0</v>
      </c>
      <c r="AK7099" s="306" t="str">
        <f>IF(ISNUMBER(Table1[[#This Row],[FECHA DE RECIBIDO]]), Table1[[#This Row],[FECHA DE RECIBIDO]]-DATE(2023,8,30), "")</f>
        <v/>
      </c>
    </row>
    <row r="7100" spans="1:37">
      <c r="A7100" s="172"/>
      <c r="B7100" s="178"/>
      <c r="C7100" s="179" t="s">
        <v>2455</v>
      </c>
      <c r="D7100">
        <v>4614</v>
      </c>
      <c r="E7100" s="125"/>
      <c r="F7100" s="178"/>
      <c r="G7100" s="178"/>
      <c r="H7100"/>
      <c r="I7100" s="178"/>
      <c r="J7100" s="320" t="s">
        <v>214</v>
      </c>
      <c r="K7100" s="178"/>
      <c r="L7100" s="125" t="s">
        <v>4863</v>
      </c>
      <c r="M7100">
        <v>1167</v>
      </c>
      <c r="N7100" s="182"/>
      <c r="O7100">
        <v>522</v>
      </c>
      <c r="P7100" s="176" t="s">
        <v>77</v>
      </c>
      <c r="Q7100" s="176">
        <v>10.44</v>
      </c>
      <c r="R7100" s="176"/>
      <c r="S7100" s="176"/>
      <c r="T7100" s="190"/>
      <c r="U7100" s="191"/>
      <c r="V7100" s="191">
        <f>+Table1[[#This Row],[SUBTOTAL]]+Table1[[#This Row],[IVA]]-Table1[[#This Row],[RET IVA]]-Table1[[#This Row],[RET ISR]]</f>
        <v>10.44</v>
      </c>
      <c r="W7100"/>
      <c r="X7100" s="186"/>
      <c r="Y7100" s="187"/>
      <c r="Z7100" s="311" t="s">
        <v>214</v>
      </c>
      <c r="AB7100" t="str">
        <f>IF(Table1[[#This Row],[TIPO2]]="costo", VLOOKUP(Table1[[#This Row],[PARTIDA PRESUPUESTAL]],'Cost Report'!G:G,1,0),"Balance")</f>
        <v>2285-003</v>
      </c>
      <c r="AD7100" s="159">
        <f>+Table1[[#This Row],[SUBTOTAL]]+Table1[[#This Row],[IVA]]-Table1[[#This Row],[RET IVA]]-Table1[[#This Row],[RET ISR]]-Table1[[#This Row],[TOTAL]]</f>
        <v>0</v>
      </c>
      <c r="AK7100" s="306" t="str">
        <f>IF(ISNUMBER(Table1[[#This Row],[FECHA DE RECIBIDO]]), Table1[[#This Row],[FECHA DE RECIBIDO]]-DATE(2023,8,30), "")</f>
        <v/>
      </c>
    </row>
    <row r="7101" spans="1:37">
      <c r="A7101" s="172"/>
      <c r="B7101" s="178"/>
      <c r="C7101" s="179" t="s">
        <v>2546</v>
      </c>
      <c r="D7101">
        <v>4614</v>
      </c>
      <c r="E7101" s="125"/>
      <c r="F7101" s="178"/>
      <c r="G7101" s="178"/>
      <c r="H7101"/>
      <c r="I7101" s="178"/>
      <c r="J7101" s="320" t="s">
        <v>214</v>
      </c>
      <c r="K7101" s="178"/>
      <c r="L7101" s="125" t="s">
        <v>4863</v>
      </c>
      <c r="M7101">
        <v>1168</v>
      </c>
      <c r="N7101" s="182"/>
      <c r="O7101">
        <v>3089</v>
      </c>
      <c r="P7101" s="176" t="s">
        <v>77</v>
      </c>
      <c r="Q7101" s="176">
        <v>25.5</v>
      </c>
      <c r="R7101" s="176"/>
      <c r="S7101" s="176"/>
      <c r="T7101" s="190"/>
      <c r="U7101" s="191"/>
      <c r="V7101" s="191">
        <f>+Table1[[#This Row],[SUBTOTAL]]+Table1[[#This Row],[IVA]]-Table1[[#This Row],[RET IVA]]-Table1[[#This Row],[RET ISR]]</f>
        <v>25.5</v>
      </c>
      <c r="W7101"/>
      <c r="X7101" s="186"/>
      <c r="Y7101" s="187"/>
      <c r="Z7101" s="311" t="s">
        <v>214</v>
      </c>
      <c r="AB7101" t="str">
        <f>IF(Table1[[#This Row],[TIPO2]]="costo", VLOOKUP(Table1[[#This Row],[PARTIDA PRESUPUESTAL]],'Cost Report'!G:G,1,0),"Balance")</f>
        <v>2494-071</v>
      </c>
      <c r="AD7101" s="159">
        <f>+Table1[[#This Row],[SUBTOTAL]]+Table1[[#This Row],[IVA]]-Table1[[#This Row],[RET IVA]]-Table1[[#This Row],[RET ISR]]-Table1[[#This Row],[TOTAL]]</f>
        <v>0</v>
      </c>
      <c r="AK7101" s="306" t="str">
        <f>IF(ISNUMBER(Table1[[#This Row],[FECHA DE RECIBIDO]]), Table1[[#This Row],[FECHA DE RECIBIDO]]-DATE(2023,8,30), "")</f>
        <v/>
      </c>
    </row>
    <row r="7102" spans="1:37">
      <c r="A7102" s="172"/>
      <c r="B7102" s="178"/>
      <c r="C7102" s="179" t="s">
        <v>2546</v>
      </c>
      <c r="D7102">
        <v>4614</v>
      </c>
      <c r="E7102" s="125"/>
      <c r="F7102" s="178"/>
      <c r="G7102" s="178"/>
      <c r="H7102"/>
      <c r="I7102" s="178"/>
      <c r="J7102" s="320" t="s">
        <v>214</v>
      </c>
      <c r="K7102" s="178"/>
      <c r="L7102" s="125" t="s">
        <v>4863</v>
      </c>
      <c r="M7102">
        <v>1169</v>
      </c>
      <c r="N7102" s="182"/>
      <c r="O7102">
        <v>3090</v>
      </c>
      <c r="P7102" s="176" t="s">
        <v>77</v>
      </c>
      <c r="Q7102" s="176">
        <v>21</v>
      </c>
      <c r="R7102" s="176"/>
      <c r="S7102" s="176"/>
      <c r="T7102" s="190"/>
      <c r="U7102" s="191"/>
      <c r="V7102" s="191">
        <f>+Table1[[#This Row],[SUBTOTAL]]+Table1[[#This Row],[IVA]]-Table1[[#This Row],[RET IVA]]-Table1[[#This Row],[RET ISR]]</f>
        <v>21</v>
      </c>
      <c r="W7102"/>
      <c r="X7102" s="186"/>
      <c r="Y7102" s="187"/>
      <c r="Z7102" s="311" t="s">
        <v>214</v>
      </c>
      <c r="AB7102" t="str">
        <f>IF(Table1[[#This Row],[TIPO2]]="costo", VLOOKUP(Table1[[#This Row],[PARTIDA PRESUPUESTAL]],'Cost Report'!G:G,1,0),"Balance")</f>
        <v>2494-071</v>
      </c>
      <c r="AD7102" s="159">
        <f>+Table1[[#This Row],[SUBTOTAL]]+Table1[[#This Row],[IVA]]-Table1[[#This Row],[RET IVA]]-Table1[[#This Row],[RET ISR]]-Table1[[#This Row],[TOTAL]]</f>
        <v>0</v>
      </c>
      <c r="AK7102" s="306" t="str">
        <f>IF(ISNUMBER(Table1[[#This Row],[FECHA DE RECIBIDO]]), Table1[[#This Row],[FECHA DE RECIBIDO]]-DATE(2023,8,30), "")</f>
        <v/>
      </c>
    </row>
    <row r="7103" spans="1:37">
      <c r="A7103" s="172"/>
      <c r="B7103" s="178"/>
      <c r="C7103" s="179" t="s">
        <v>2455</v>
      </c>
      <c r="D7103">
        <v>4614</v>
      </c>
      <c r="E7103" s="125"/>
      <c r="F7103" s="178"/>
      <c r="G7103" s="178"/>
      <c r="H7103"/>
      <c r="I7103" s="178"/>
      <c r="J7103" s="320" t="s">
        <v>214</v>
      </c>
      <c r="K7103" s="178"/>
      <c r="L7103" s="125" t="s">
        <v>4863</v>
      </c>
      <c r="M7103">
        <v>375</v>
      </c>
      <c r="N7103" s="182"/>
      <c r="O7103">
        <v>522</v>
      </c>
      <c r="P7103" s="176" t="s">
        <v>77</v>
      </c>
      <c r="Q7103" s="176">
        <v>10.266</v>
      </c>
      <c r="R7103" s="176"/>
      <c r="S7103" s="176"/>
      <c r="T7103" s="190"/>
      <c r="U7103" s="191"/>
      <c r="V7103" s="191">
        <f>+Table1[[#This Row],[SUBTOTAL]]+Table1[[#This Row],[IVA]]-Table1[[#This Row],[RET IVA]]-Table1[[#This Row],[RET ISR]]</f>
        <v>10.266</v>
      </c>
      <c r="W7103"/>
      <c r="X7103" s="186"/>
      <c r="Y7103" s="187"/>
      <c r="Z7103" s="311" t="s">
        <v>214</v>
      </c>
      <c r="AB7103" t="str">
        <f>IF(Table1[[#This Row],[TIPO2]]="costo", VLOOKUP(Table1[[#This Row],[PARTIDA PRESUPUESTAL]],'Cost Report'!G:G,1,0),"Balance")</f>
        <v>2285-003</v>
      </c>
      <c r="AD7103" s="159">
        <f>+Table1[[#This Row],[SUBTOTAL]]+Table1[[#This Row],[IVA]]-Table1[[#This Row],[RET IVA]]-Table1[[#This Row],[RET ISR]]-Table1[[#This Row],[TOTAL]]</f>
        <v>0</v>
      </c>
      <c r="AK7103" s="306" t="str">
        <f>IF(ISNUMBER(Table1[[#This Row],[FECHA DE RECIBIDO]]), Table1[[#This Row],[FECHA DE RECIBIDO]]-DATE(2023,8,30), "")</f>
        <v/>
      </c>
    </row>
    <row r="7104" spans="1:37">
      <c r="A7104" s="172"/>
      <c r="B7104" s="178"/>
      <c r="C7104" s="179" t="s">
        <v>2455</v>
      </c>
      <c r="D7104">
        <v>4614</v>
      </c>
      <c r="E7104" s="125"/>
      <c r="F7104" s="178"/>
      <c r="G7104" s="178"/>
      <c r="H7104"/>
      <c r="I7104" s="178"/>
      <c r="J7104" s="320" t="s">
        <v>214</v>
      </c>
      <c r="K7104" s="178"/>
      <c r="L7104" s="125" t="s">
        <v>4863</v>
      </c>
      <c r="M7104">
        <v>215</v>
      </c>
      <c r="N7104" s="182"/>
      <c r="O7104">
        <v>3091</v>
      </c>
      <c r="P7104" s="176" t="s">
        <v>77</v>
      </c>
      <c r="Q7104" s="176">
        <v>24.407999999999998</v>
      </c>
      <c r="R7104" s="176"/>
      <c r="S7104" s="176"/>
      <c r="T7104" s="190"/>
      <c r="U7104" s="191"/>
      <c r="V7104" s="191">
        <f>+Table1[[#This Row],[SUBTOTAL]]+Table1[[#This Row],[IVA]]-Table1[[#This Row],[RET IVA]]-Table1[[#This Row],[RET ISR]]</f>
        <v>24.407999999999998</v>
      </c>
      <c r="W7104"/>
      <c r="X7104" s="186"/>
      <c r="Y7104" s="187"/>
      <c r="Z7104" s="311" t="s">
        <v>214</v>
      </c>
      <c r="AB7104" t="str">
        <f>IF(Table1[[#This Row],[TIPO2]]="costo", VLOOKUP(Table1[[#This Row],[PARTIDA PRESUPUESTAL]],'Cost Report'!G:G,1,0),"Balance")</f>
        <v>2285-003</v>
      </c>
      <c r="AD7104" s="159">
        <f>+Table1[[#This Row],[SUBTOTAL]]+Table1[[#This Row],[IVA]]-Table1[[#This Row],[RET IVA]]-Table1[[#This Row],[RET ISR]]-Table1[[#This Row],[TOTAL]]</f>
        <v>0</v>
      </c>
      <c r="AK7104" s="306" t="str">
        <f>IF(ISNUMBER(Table1[[#This Row],[FECHA DE RECIBIDO]]), Table1[[#This Row],[FECHA DE RECIBIDO]]-DATE(2023,8,30), "")</f>
        <v/>
      </c>
    </row>
    <row r="7105" spans="1:37">
      <c r="A7105" s="172"/>
      <c r="B7105" s="178"/>
      <c r="C7105" s="179" t="s">
        <v>2455</v>
      </c>
      <c r="D7105">
        <v>4614</v>
      </c>
      <c r="E7105" s="125"/>
      <c r="F7105" s="178"/>
      <c r="G7105" s="178"/>
      <c r="H7105"/>
      <c r="I7105" s="178"/>
      <c r="J7105" s="320" t="s">
        <v>214</v>
      </c>
      <c r="K7105" s="178"/>
      <c r="L7105" s="125" t="s">
        <v>4863</v>
      </c>
      <c r="M7105">
        <v>215</v>
      </c>
      <c r="N7105" s="182"/>
      <c r="O7105">
        <v>3092</v>
      </c>
      <c r="P7105" s="176" t="s">
        <v>77</v>
      </c>
      <c r="Q7105" s="176">
        <v>35.978999999999999</v>
      </c>
      <c r="R7105" s="176"/>
      <c r="S7105" s="176"/>
      <c r="T7105" s="190"/>
      <c r="U7105" s="191"/>
      <c r="V7105" s="191">
        <f>+Table1[[#This Row],[SUBTOTAL]]+Table1[[#This Row],[IVA]]-Table1[[#This Row],[RET IVA]]-Table1[[#This Row],[RET ISR]]</f>
        <v>35.978999999999999</v>
      </c>
      <c r="W7105"/>
      <c r="X7105" s="186"/>
      <c r="Y7105" s="187"/>
      <c r="Z7105" s="311" t="s">
        <v>214</v>
      </c>
      <c r="AB7105" t="str">
        <f>IF(Table1[[#This Row],[TIPO2]]="costo", VLOOKUP(Table1[[#This Row],[PARTIDA PRESUPUESTAL]],'Cost Report'!G:G,1,0),"Balance")</f>
        <v>2285-003</v>
      </c>
      <c r="AD7105" s="159">
        <f>+Table1[[#This Row],[SUBTOTAL]]+Table1[[#This Row],[IVA]]-Table1[[#This Row],[RET IVA]]-Table1[[#This Row],[RET ISR]]-Table1[[#This Row],[TOTAL]]</f>
        <v>0</v>
      </c>
      <c r="AK7105" s="306" t="str">
        <f>IF(ISNUMBER(Table1[[#This Row],[FECHA DE RECIBIDO]]), Table1[[#This Row],[FECHA DE RECIBIDO]]-DATE(2023,8,30), "")</f>
        <v/>
      </c>
    </row>
    <row r="7106" spans="1:37">
      <c r="A7106" s="172"/>
      <c r="B7106" s="178"/>
      <c r="C7106" s="179" t="s">
        <v>2455</v>
      </c>
      <c r="D7106">
        <v>4614</v>
      </c>
      <c r="E7106" s="125"/>
      <c r="F7106" s="178"/>
      <c r="G7106" s="178"/>
      <c r="H7106"/>
      <c r="I7106" s="178"/>
      <c r="J7106" s="320" t="s">
        <v>214</v>
      </c>
      <c r="K7106" s="178"/>
      <c r="L7106" s="125" t="s">
        <v>4863</v>
      </c>
      <c r="M7106">
        <v>691</v>
      </c>
      <c r="N7106" s="182"/>
      <c r="O7106">
        <v>522</v>
      </c>
      <c r="P7106" s="176" t="s">
        <v>77</v>
      </c>
      <c r="Q7106" s="176">
        <v>10.44</v>
      </c>
      <c r="R7106" s="176"/>
      <c r="S7106" s="176"/>
      <c r="T7106" s="190"/>
      <c r="U7106" s="191"/>
      <c r="V7106" s="191">
        <f>+Table1[[#This Row],[SUBTOTAL]]+Table1[[#This Row],[IVA]]-Table1[[#This Row],[RET IVA]]-Table1[[#This Row],[RET ISR]]</f>
        <v>10.44</v>
      </c>
      <c r="W7106"/>
      <c r="X7106" s="186"/>
      <c r="Y7106" s="187"/>
      <c r="Z7106" s="311" t="s">
        <v>214</v>
      </c>
      <c r="AB7106" t="str">
        <f>IF(Table1[[#This Row],[TIPO2]]="costo", VLOOKUP(Table1[[#This Row],[PARTIDA PRESUPUESTAL]],'Cost Report'!G:G,1,0),"Balance")</f>
        <v>2285-003</v>
      </c>
      <c r="AD7106" s="159">
        <f>+Table1[[#This Row],[SUBTOTAL]]+Table1[[#This Row],[IVA]]-Table1[[#This Row],[RET IVA]]-Table1[[#This Row],[RET ISR]]-Table1[[#This Row],[TOTAL]]</f>
        <v>0</v>
      </c>
      <c r="AK7106" s="306" t="str">
        <f>IF(ISNUMBER(Table1[[#This Row],[FECHA DE RECIBIDO]]), Table1[[#This Row],[FECHA DE RECIBIDO]]-DATE(2023,8,30), "")</f>
        <v/>
      </c>
    </row>
    <row r="7107" spans="1:37">
      <c r="A7107" s="172"/>
      <c r="B7107" s="178"/>
      <c r="C7107" s="179" t="s">
        <v>936</v>
      </c>
      <c r="D7107">
        <v>4614</v>
      </c>
      <c r="E7107" s="125"/>
      <c r="F7107" s="178"/>
      <c r="G7107" s="178"/>
      <c r="H7107"/>
      <c r="I7107" s="178"/>
      <c r="J7107" s="320" t="s">
        <v>214</v>
      </c>
      <c r="K7107" s="178"/>
      <c r="L7107" s="125" t="s">
        <v>4863</v>
      </c>
      <c r="M7107">
        <v>1217</v>
      </c>
      <c r="N7107" s="182"/>
      <c r="O7107">
        <v>1387</v>
      </c>
      <c r="P7107" s="176" t="s">
        <v>77</v>
      </c>
      <c r="Q7107" s="176">
        <v>9.2219999999999995</v>
      </c>
      <c r="R7107" s="176"/>
      <c r="S7107" s="176"/>
      <c r="T7107" s="190"/>
      <c r="U7107" s="191"/>
      <c r="V7107" s="191">
        <f>+Table1[[#This Row],[SUBTOTAL]]+Table1[[#This Row],[IVA]]-Table1[[#This Row],[RET IVA]]-Table1[[#This Row],[RET ISR]]</f>
        <v>9.2219999999999995</v>
      </c>
      <c r="W7107"/>
      <c r="X7107" s="186"/>
      <c r="Y7107" s="187"/>
      <c r="Z7107" s="311" t="s">
        <v>214</v>
      </c>
      <c r="AB7107" t="str">
        <f>IF(Table1[[#This Row],[TIPO2]]="costo", VLOOKUP(Table1[[#This Row],[PARTIDA PRESUPUESTAL]],'Cost Report'!G:G,1,0),"Balance")</f>
        <v>3401-003</v>
      </c>
      <c r="AD7107" s="159">
        <f>+Table1[[#This Row],[SUBTOTAL]]+Table1[[#This Row],[IVA]]-Table1[[#This Row],[RET IVA]]-Table1[[#This Row],[RET ISR]]-Table1[[#This Row],[TOTAL]]</f>
        <v>0</v>
      </c>
      <c r="AK7107" s="306" t="str">
        <f>IF(ISNUMBER(Table1[[#This Row],[FECHA DE RECIBIDO]]), Table1[[#This Row],[FECHA DE RECIBIDO]]-DATE(2023,8,30), "")</f>
        <v/>
      </c>
    </row>
    <row r="7108" spans="1:37">
      <c r="A7108" s="172"/>
      <c r="B7108" s="178"/>
      <c r="C7108" s="179" t="s">
        <v>2774</v>
      </c>
      <c r="D7108">
        <v>4614</v>
      </c>
      <c r="E7108" s="125"/>
      <c r="F7108" s="178"/>
      <c r="G7108" s="178"/>
      <c r="H7108"/>
      <c r="I7108" s="178"/>
      <c r="J7108" s="320" t="s">
        <v>214</v>
      </c>
      <c r="K7108" s="178"/>
      <c r="L7108" s="125" t="s">
        <v>4863</v>
      </c>
      <c r="M7108">
        <v>586</v>
      </c>
      <c r="N7108" s="182"/>
      <c r="O7108">
        <v>3356</v>
      </c>
      <c r="P7108" s="176" t="s">
        <v>77</v>
      </c>
      <c r="Q7108" s="176">
        <v>6</v>
      </c>
      <c r="R7108" s="176"/>
      <c r="S7108" s="176"/>
      <c r="T7108" s="190"/>
      <c r="U7108" s="191"/>
      <c r="V7108" s="191">
        <f>+Table1[[#This Row],[SUBTOTAL]]+Table1[[#This Row],[IVA]]-Table1[[#This Row],[RET IVA]]-Table1[[#This Row],[RET ISR]]</f>
        <v>6</v>
      </c>
      <c r="W7108"/>
      <c r="X7108" s="186"/>
      <c r="Y7108" s="187"/>
      <c r="Z7108" s="311" t="s">
        <v>214</v>
      </c>
      <c r="AB7108" t="str">
        <f>IF(Table1[[#This Row],[TIPO2]]="costo", VLOOKUP(Table1[[#This Row],[PARTIDA PRESUPUESTAL]],'Cost Report'!G:G,1,0),"Balance")</f>
        <v>3401-042</v>
      </c>
      <c r="AD7108" s="159">
        <f>+Table1[[#This Row],[SUBTOTAL]]+Table1[[#This Row],[IVA]]-Table1[[#This Row],[RET IVA]]-Table1[[#This Row],[RET ISR]]-Table1[[#This Row],[TOTAL]]</f>
        <v>0</v>
      </c>
      <c r="AK7108" s="306" t="str">
        <f>IF(ISNUMBER(Table1[[#This Row],[FECHA DE RECIBIDO]]), Table1[[#This Row],[FECHA DE RECIBIDO]]-DATE(2023,8,30), "")</f>
        <v/>
      </c>
    </row>
    <row r="7109" spans="1:37">
      <c r="A7109" s="172"/>
      <c r="B7109" s="178"/>
      <c r="C7109" s="179" t="s">
        <v>2755</v>
      </c>
      <c r="D7109">
        <v>4614</v>
      </c>
      <c r="E7109" s="125"/>
      <c r="F7109" s="178"/>
      <c r="G7109" s="178"/>
      <c r="H7109"/>
      <c r="I7109" s="178"/>
      <c r="J7109" s="320" t="s">
        <v>214</v>
      </c>
      <c r="K7109" s="178"/>
      <c r="L7109" s="125" t="s">
        <v>4863</v>
      </c>
      <c r="M7109">
        <v>1046</v>
      </c>
      <c r="N7109" s="182"/>
      <c r="O7109">
        <v>277</v>
      </c>
      <c r="P7109" s="176" t="s">
        <v>77</v>
      </c>
      <c r="Q7109" s="176">
        <v>6.5699999999999994</v>
      </c>
      <c r="R7109" s="176"/>
      <c r="S7109" s="176"/>
      <c r="T7109" s="190"/>
      <c r="U7109" s="191"/>
      <c r="V7109" s="191">
        <f>+Table1[[#This Row],[SUBTOTAL]]+Table1[[#This Row],[IVA]]-Table1[[#This Row],[RET IVA]]-Table1[[#This Row],[RET ISR]]</f>
        <v>6.5699999999999994</v>
      </c>
      <c r="W7109"/>
      <c r="X7109" s="186"/>
      <c r="Y7109" s="187"/>
      <c r="Z7109" s="311" t="s">
        <v>214</v>
      </c>
      <c r="AB7109" t="str">
        <f>IF(Table1[[#This Row],[TIPO2]]="costo", VLOOKUP(Table1[[#This Row],[PARTIDA PRESUPUESTAL]],'Cost Report'!G:G,1,0),"Balance")</f>
        <v>3401-017</v>
      </c>
      <c r="AD7109" s="159">
        <f>+Table1[[#This Row],[SUBTOTAL]]+Table1[[#This Row],[IVA]]-Table1[[#This Row],[RET IVA]]-Table1[[#This Row],[RET ISR]]-Table1[[#This Row],[TOTAL]]</f>
        <v>0</v>
      </c>
      <c r="AK7109" s="306" t="str">
        <f>IF(ISNUMBER(Table1[[#This Row],[FECHA DE RECIBIDO]]), Table1[[#This Row],[FECHA DE RECIBIDO]]-DATE(2023,8,30), "")</f>
        <v/>
      </c>
    </row>
    <row r="7110" spans="1:37">
      <c r="A7110" s="172"/>
      <c r="B7110" s="178"/>
      <c r="C7110" s="179" t="s">
        <v>936</v>
      </c>
      <c r="D7110">
        <v>4614</v>
      </c>
      <c r="E7110" s="125"/>
      <c r="F7110" s="178"/>
      <c r="G7110" s="178"/>
      <c r="H7110"/>
      <c r="I7110" s="178"/>
      <c r="J7110" s="320" t="s">
        <v>214</v>
      </c>
      <c r="K7110" s="178"/>
      <c r="L7110" s="125" t="s">
        <v>4863</v>
      </c>
      <c r="M7110">
        <v>125</v>
      </c>
      <c r="N7110" s="182"/>
      <c r="O7110">
        <v>1391</v>
      </c>
      <c r="P7110" s="176" t="s">
        <v>77</v>
      </c>
      <c r="Q7110" s="176">
        <v>29.4</v>
      </c>
      <c r="R7110" s="176"/>
      <c r="S7110" s="176"/>
      <c r="T7110" s="190"/>
      <c r="U7110" s="191"/>
      <c r="V7110" s="191">
        <f>+Table1[[#This Row],[SUBTOTAL]]+Table1[[#This Row],[IVA]]-Table1[[#This Row],[RET IVA]]-Table1[[#This Row],[RET ISR]]</f>
        <v>29.4</v>
      </c>
      <c r="W7110"/>
      <c r="X7110" s="186"/>
      <c r="Y7110" s="187"/>
      <c r="Z7110" s="311" t="s">
        <v>214</v>
      </c>
      <c r="AB7110" t="str">
        <f>IF(Table1[[#This Row],[TIPO2]]="costo", VLOOKUP(Table1[[#This Row],[PARTIDA PRESUPUESTAL]],'Cost Report'!G:G,1,0),"Balance")</f>
        <v>3401-003</v>
      </c>
      <c r="AD7110" s="159">
        <f>+Table1[[#This Row],[SUBTOTAL]]+Table1[[#This Row],[IVA]]-Table1[[#This Row],[RET IVA]]-Table1[[#This Row],[RET ISR]]-Table1[[#This Row],[TOTAL]]</f>
        <v>0</v>
      </c>
      <c r="AK7110" s="306" t="str">
        <f>IF(ISNUMBER(Table1[[#This Row],[FECHA DE RECIBIDO]]), Table1[[#This Row],[FECHA DE RECIBIDO]]-DATE(2023,8,30), "")</f>
        <v/>
      </c>
    </row>
    <row r="7111" spans="1:37">
      <c r="A7111" s="172"/>
      <c r="B7111" s="178"/>
      <c r="C7111" s="179" t="s">
        <v>2755</v>
      </c>
      <c r="D7111">
        <v>4614</v>
      </c>
      <c r="E7111" s="125"/>
      <c r="F7111" s="178"/>
      <c r="G7111" s="178"/>
      <c r="H7111"/>
      <c r="I7111" s="178"/>
      <c r="J7111" s="320" t="s">
        <v>214</v>
      </c>
      <c r="K7111" s="178"/>
      <c r="L7111" s="125" t="s">
        <v>4863</v>
      </c>
      <c r="M7111">
        <v>1046</v>
      </c>
      <c r="N7111" s="182"/>
      <c r="O7111">
        <v>277</v>
      </c>
      <c r="P7111" s="176" t="s">
        <v>77</v>
      </c>
      <c r="Q7111" s="176">
        <v>12.12</v>
      </c>
      <c r="R7111" s="176"/>
      <c r="S7111" s="176"/>
      <c r="T7111" s="190"/>
      <c r="U7111" s="191"/>
      <c r="V7111" s="191">
        <f>+Table1[[#This Row],[SUBTOTAL]]+Table1[[#This Row],[IVA]]-Table1[[#This Row],[RET IVA]]-Table1[[#This Row],[RET ISR]]</f>
        <v>12.12</v>
      </c>
      <c r="W7111"/>
      <c r="X7111" s="186"/>
      <c r="Y7111" s="187"/>
      <c r="Z7111" s="311" t="s">
        <v>214</v>
      </c>
      <c r="AB7111" t="str">
        <f>IF(Table1[[#This Row],[TIPO2]]="costo", VLOOKUP(Table1[[#This Row],[PARTIDA PRESUPUESTAL]],'Cost Report'!G:G,1,0),"Balance")</f>
        <v>3401-017</v>
      </c>
      <c r="AD7111" s="159">
        <f>+Table1[[#This Row],[SUBTOTAL]]+Table1[[#This Row],[IVA]]-Table1[[#This Row],[RET IVA]]-Table1[[#This Row],[RET ISR]]-Table1[[#This Row],[TOTAL]]</f>
        <v>0</v>
      </c>
      <c r="AK7111" s="306" t="str">
        <f>IF(ISNUMBER(Table1[[#This Row],[FECHA DE RECIBIDO]]), Table1[[#This Row],[FECHA DE RECIBIDO]]-DATE(2023,8,30), "")</f>
        <v/>
      </c>
    </row>
    <row r="7112" spans="1:37">
      <c r="A7112" s="172"/>
      <c r="B7112" s="178"/>
      <c r="C7112" s="179" t="s">
        <v>2774</v>
      </c>
      <c r="D7112">
        <v>4614</v>
      </c>
      <c r="E7112" s="125"/>
      <c r="F7112" s="178"/>
      <c r="G7112" s="178"/>
      <c r="H7112"/>
      <c r="I7112" s="178"/>
      <c r="J7112" s="320" t="s">
        <v>214</v>
      </c>
      <c r="K7112" s="178"/>
      <c r="L7112" s="125" t="s">
        <v>4863</v>
      </c>
      <c r="M7112">
        <v>1218</v>
      </c>
      <c r="N7112" s="182"/>
      <c r="O7112">
        <v>3357</v>
      </c>
      <c r="P7112" s="176" t="s">
        <v>77</v>
      </c>
      <c r="Q7112" s="176">
        <v>35.4</v>
      </c>
      <c r="R7112" s="176"/>
      <c r="S7112" s="176"/>
      <c r="T7112" s="190"/>
      <c r="U7112" s="191"/>
      <c r="V7112" s="191">
        <f>+Table1[[#This Row],[SUBTOTAL]]+Table1[[#This Row],[IVA]]-Table1[[#This Row],[RET IVA]]-Table1[[#This Row],[RET ISR]]</f>
        <v>35.4</v>
      </c>
      <c r="W7112"/>
      <c r="X7112" s="186"/>
      <c r="Y7112" s="187"/>
      <c r="Z7112" s="311" t="s">
        <v>214</v>
      </c>
      <c r="AB7112" t="str">
        <f>IF(Table1[[#This Row],[TIPO2]]="costo", VLOOKUP(Table1[[#This Row],[PARTIDA PRESUPUESTAL]],'Cost Report'!G:G,1,0),"Balance")</f>
        <v>3401-042</v>
      </c>
      <c r="AD7112" s="159">
        <f>+Table1[[#This Row],[SUBTOTAL]]+Table1[[#This Row],[IVA]]-Table1[[#This Row],[RET IVA]]-Table1[[#This Row],[RET ISR]]-Table1[[#This Row],[TOTAL]]</f>
        <v>0</v>
      </c>
      <c r="AK7112" s="306" t="str">
        <f>IF(ISNUMBER(Table1[[#This Row],[FECHA DE RECIBIDO]]), Table1[[#This Row],[FECHA DE RECIBIDO]]-DATE(2023,8,30), "")</f>
        <v/>
      </c>
    </row>
    <row r="7113" spans="1:37">
      <c r="A7113" s="172"/>
      <c r="B7113" s="178"/>
      <c r="C7113" s="179" t="s">
        <v>936</v>
      </c>
      <c r="D7113">
        <v>4614</v>
      </c>
      <c r="E7113" s="125"/>
      <c r="F7113" s="178"/>
      <c r="G7113" s="178"/>
      <c r="H7113"/>
      <c r="I7113" s="178"/>
      <c r="J7113" s="320" t="s">
        <v>214</v>
      </c>
      <c r="K7113" s="178"/>
      <c r="L7113" s="125" t="s">
        <v>4863</v>
      </c>
      <c r="M7113">
        <v>1223</v>
      </c>
      <c r="N7113" s="182"/>
      <c r="O7113">
        <v>1387</v>
      </c>
      <c r="P7113" s="176" t="s">
        <v>77</v>
      </c>
      <c r="Q7113" s="176">
        <v>9.395999999999999</v>
      </c>
      <c r="R7113" s="176"/>
      <c r="S7113" s="176"/>
      <c r="T7113" s="190"/>
      <c r="U7113" s="191"/>
      <c r="V7113" s="191">
        <f>+Table1[[#This Row],[SUBTOTAL]]+Table1[[#This Row],[IVA]]-Table1[[#This Row],[RET IVA]]-Table1[[#This Row],[RET ISR]]</f>
        <v>9.395999999999999</v>
      </c>
      <c r="W7113"/>
      <c r="X7113" s="186"/>
      <c r="Y7113" s="187"/>
      <c r="Z7113" s="311" t="s">
        <v>214</v>
      </c>
      <c r="AB7113" t="str">
        <f>IF(Table1[[#This Row],[TIPO2]]="costo", VLOOKUP(Table1[[#This Row],[PARTIDA PRESUPUESTAL]],'Cost Report'!G:G,1,0),"Balance")</f>
        <v>3401-003</v>
      </c>
      <c r="AD7113" s="159">
        <f>+Table1[[#This Row],[SUBTOTAL]]+Table1[[#This Row],[IVA]]-Table1[[#This Row],[RET IVA]]-Table1[[#This Row],[RET ISR]]-Table1[[#This Row],[TOTAL]]</f>
        <v>0</v>
      </c>
      <c r="AK7113" s="306" t="str">
        <f>IF(ISNUMBER(Table1[[#This Row],[FECHA DE RECIBIDO]]), Table1[[#This Row],[FECHA DE RECIBIDO]]-DATE(2023,8,30), "")</f>
        <v/>
      </c>
    </row>
    <row r="7114" spans="1:37">
      <c r="A7114" s="172"/>
      <c r="B7114" s="178"/>
      <c r="C7114" s="179" t="s">
        <v>2774</v>
      </c>
      <c r="D7114">
        <v>4614</v>
      </c>
      <c r="E7114" s="125"/>
      <c r="F7114" s="178"/>
      <c r="G7114" s="178"/>
      <c r="H7114"/>
      <c r="I7114" s="178"/>
      <c r="J7114" s="320" t="s">
        <v>214</v>
      </c>
      <c r="K7114" s="178"/>
      <c r="L7114" s="125" t="s">
        <v>4863</v>
      </c>
      <c r="M7114">
        <v>1224</v>
      </c>
      <c r="N7114" s="182"/>
      <c r="O7114">
        <v>3370</v>
      </c>
      <c r="P7114" s="176" t="s">
        <v>77</v>
      </c>
      <c r="Q7114" s="176">
        <v>8.1</v>
      </c>
      <c r="R7114" s="176"/>
      <c r="S7114" s="176"/>
      <c r="T7114" s="190"/>
      <c r="U7114" s="191"/>
      <c r="V7114" s="191">
        <f>+Table1[[#This Row],[SUBTOTAL]]+Table1[[#This Row],[IVA]]-Table1[[#This Row],[RET IVA]]-Table1[[#This Row],[RET ISR]]</f>
        <v>8.1</v>
      </c>
      <c r="W7114"/>
      <c r="X7114" s="186"/>
      <c r="Y7114" s="187"/>
      <c r="Z7114" s="311" t="s">
        <v>214</v>
      </c>
      <c r="AB7114" t="str">
        <f>IF(Table1[[#This Row],[TIPO2]]="costo", VLOOKUP(Table1[[#This Row],[PARTIDA PRESUPUESTAL]],'Cost Report'!G:G,1,0),"Balance")</f>
        <v>3401-042</v>
      </c>
      <c r="AD7114" s="159">
        <f>+Table1[[#This Row],[SUBTOTAL]]+Table1[[#This Row],[IVA]]-Table1[[#This Row],[RET IVA]]-Table1[[#This Row],[RET ISR]]-Table1[[#This Row],[TOTAL]]</f>
        <v>0</v>
      </c>
      <c r="AK7114" s="306" t="str">
        <f>IF(ISNUMBER(Table1[[#This Row],[FECHA DE RECIBIDO]]), Table1[[#This Row],[FECHA DE RECIBIDO]]-DATE(2023,8,30), "")</f>
        <v/>
      </c>
    </row>
    <row r="7115" spans="1:37">
      <c r="A7115" s="172"/>
      <c r="B7115" s="178"/>
      <c r="C7115" s="179" t="s">
        <v>2774</v>
      </c>
      <c r="D7115">
        <v>4614</v>
      </c>
      <c r="E7115" s="125"/>
      <c r="F7115" s="178"/>
      <c r="G7115" s="178"/>
      <c r="H7115"/>
      <c r="I7115" s="178"/>
      <c r="J7115" s="320" t="s">
        <v>214</v>
      </c>
      <c r="K7115" s="178"/>
      <c r="L7115" s="125" t="s">
        <v>4863</v>
      </c>
      <c r="M7115">
        <v>587</v>
      </c>
      <c r="N7115" s="182"/>
      <c r="O7115">
        <v>3371</v>
      </c>
      <c r="P7115" s="176" t="s">
        <v>77</v>
      </c>
      <c r="Q7115" s="176">
        <v>37.5</v>
      </c>
      <c r="R7115" s="176"/>
      <c r="S7115" s="176"/>
      <c r="T7115" s="190"/>
      <c r="U7115" s="191"/>
      <c r="V7115" s="191">
        <f>+Table1[[#This Row],[SUBTOTAL]]+Table1[[#This Row],[IVA]]-Table1[[#This Row],[RET IVA]]-Table1[[#This Row],[RET ISR]]</f>
        <v>37.5</v>
      </c>
      <c r="W7115"/>
      <c r="X7115" s="186"/>
      <c r="Y7115" s="187"/>
      <c r="Z7115" s="311" t="s">
        <v>214</v>
      </c>
      <c r="AB7115" t="str">
        <f>IF(Table1[[#This Row],[TIPO2]]="costo", VLOOKUP(Table1[[#This Row],[PARTIDA PRESUPUESTAL]],'Cost Report'!G:G,1,0),"Balance")</f>
        <v>3401-042</v>
      </c>
      <c r="AD7115" s="159">
        <f>+Table1[[#This Row],[SUBTOTAL]]+Table1[[#This Row],[IVA]]-Table1[[#This Row],[RET IVA]]-Table1[[#This Row],[RET ISR]]-Table1[[#This Row],[TOTAL]]</f>
        <v>0</v>
      </c>
      <c r="AK7115" s="306" t="str">
        <f>IF(ISNUMBER(Table1[[#This Row],[FECHA DE RECIBIDO]]), Table1[[#This Row],[FECHA DE RECIBIDO]]-DATE(2023,8,30), "")</f>
        <v/>
      </c>
    </row>
    <row r="7116" spans="1:37">
      <c r="A7116" s="172"/>
      <c r="B7116" s="178"/>
      <c r="C7116" s="179" t="s">
        <v>2774</v>
      </c>
      <c r="D7116">
        <v>4614</v>
      </c>
      <c r="E7116" s="125"/>
      <c r="F7116" s="178"/>
      <c r="G7116" s="178"/>
      <c r="H7116"/>
      <c r="I7116" s="178"/>
      <c r="J7116" s="320" t="s">
        <v>214</v>
      </c>
      <c r="K7116" s="178"/>
      <c r="L7116" s="125" t="s">
        <v>4863</v>
      </c>
      <c r="M7116">
        <v>775</v>
      </c>
      <c r="N7116" s="182"/>
      <c r="O7116">
        <v>2606</v>
      </c>
      <c r="P7116" s="176" t="s">
        <v>77</v>
      </c>
      <c r="Q7116" s="176">
        <v>68.099999999999994</v>
      </c>
      <c r="R7116" s="176"/>
      <c r="S7116" s="176"/>
      <c r="T7116" s="190"/>
      <c r="U7116" s="191"/>
      <c r="V7116" s="191">
        <f>+Table1[[#This Row],[SUBTOTAL]]+Table1[[#This Row],[IVA]]-Table1[[#This Row],[RET IVA]]-Table1[[#This Row],[RET ISR]]</f>
        <v>68.099999999999994</v>
      </c>
      <c r="W7116"/>
      <c r="X7116" s="186"/>
      <c r="Y7116" s="187"/>
      <c r="Z7116" s="311" t="s">
        <v>214</v>
      </c>
      <c r="AB7116" t="str">
        <f>IF(Table1[[#This Row],[TIPO2]]="costo", VLOOKUP(Table1[[#This Row],[PARTIDA PRESUPUESTAL]],'Cost Report'!G:G,1,0),"Balance")</f>
        <v>3401-042</v>
      </c>
      <c r="AD7116" s="159">
        <f>+Table1[[#This Row],[SUBTOTAL]]+Table1[[#This Row],[IVA]]-Table1[[#This Row],[RET IVA]]-Table1[[#This Row],[RET ISR]]-Table1[[#This Row],[TOTAL]]</f>
        <v>0</v>
      </c>
      <c r="AK7116" s="306" t="str">
        <f>IF(ISNUMBER(Table1[[#This Row],[FECHA DE RECIBIDO]]), Table1[[#This Row],[FECHA DE RECIBIDO]]-DATE(2023,8,30), "")</f>
        <v/>
      </c>
    </row>
    <row r="7117" spans="1:37">
      <c r="A7117" s="172"/>
      <c r="B7117" s="178"/>
      <c r="C7117" s="179" t="s">
        <v>2755</v>
      </c>
      <c r="D7117">
        <v>4614</v>
      </c>
      <c r="E7117" s="125"/>
      <c r="F7117" s="178"/>
      <c r="G7117" s="178"/>
      <c r="H7117"/>
      <c r="I7117" s="178"/>
      <c r="J7117" s="320" t="s">
        <v>214</v>
      </c>
      <c r="K7117" s="178"/>
      <c r="L7117" s="125" t="s">
        <v>4863</v>
      </c>
      <c r="M7117">
        <v>1225</v>
      </c>
      <c r="N7117" s="182"/>
      <c r="O7117">
        <v>279</v>
      </c>
      <c r="P7117" s="176" t="s">
        <v>77</v>
      </c>
      <c r="Q7117" s="176">
        <v>36</v>
      </c>
      <c r="R7117" s="176"/>
      <c r="S7117" s="176"/>
      <c r="T7117" s="190"/>
      <c r="U7117" s="191"/>
      <c r="V7117" s="191">
        <f>+Table1[[#This Row],[SUBTOTAL]]+Table1[[#This Row],[IVA]]-Table1[[#This Row],[RET IVA]]-Table1[[#This Row],[RET ISR]]</f>
        <v>36</v>
      </c>
      <c r="W7117"/>
      <c r="X7117" s="186"/>
      <c r="Y7117" s="187"/>
      <c r="Z7117" s="311" t="s">
        <v>214</v>
      </c>
      <c r="AB7117" t="str">
        <f>IF(Table1[[#This Row],[TIPO2]]="costo", VLOOKUP(Table1[[#This Row],[PARTIDA PRESUPUESTAL]],'Cost Report'!G:G,1,0),"Balance")</f>
        <v>3401-017</v>
      </c>
      <c r="AD7117" s="159">
        <f>+Table1[[#This Row],[SUBTOTAL]]+Table1[[#This Row],[IVA]]-Table1[[#This Row],[RET IVA]]-Table1[[#This Row],[RET ISR]]-Table1[[#This Row],[TOTAL]]</f>
        <v>0</v>
      </c>
      <c r="AK7117" s="306" t="str">
        <f>IF(ISNUMBER(Table1[[#This Row],[FECHA DE RECIBIDO]]), Table1[[#This Row],[FECHA DE RECIBIDO]]-DATE(2023,8,30), "")</f>
        <v/>
      </c>
    </row>
    <row r="7118" spans="1:37">
      <c r="A7118" s="172"/>
      <c r="B7118" s="178"/>
      <c r="C7118" s="179" t="s">
        <v>2774</v>
      </c>
      <c r="D7118">
        <v>4614</v>
      </c>
      <c r="E7118" s="125"/>
      <c r="F7118" s="178"/>
      <c r="G7118" s="178"/>
      <c r="H7118"/>
      <c r="I7118" s="178"/>
      <c r="J7118" s="320" t="s">
        <v>214</v>
      </c>
      <c r="K7118" s="178"/>
      <c r="L7118" s="125" t="s">
        <v>4863</v>
      </c>
      <c r="M7118">
        <v>588</v>
      </c>
      <c r="N7118" s="182"/>
      <c r="O7118">
        <v>3372</v>
      </c>
      <c r="P7118" s="176" t="s">
        <v>77</v>
      </c>
      <c r="Q7118" s="176">
        <v>17.7</v>
      </c>
      <c r="R7118" s="176"/>
      <c r="S7118" s="176"/>
      <c r="T7118" s="190"/>
      <c r="U7118" s="191"/>
      <c r="V7118" s="191">
        <f>+Table1[[#This Row],[SUBTOTAL]]+Table1[[#This Row],[IVA]]-Table1[[#This Row],[RET IVA]]-Table1[[#This Row],[RET ISR]]</f>
        <v>17.7</v>
      </c>
      <c r="W7118"/>
      <c r="X7118" s="186"/>
      <c r="Y7118" s="187"/>
      <c r="Z7118" s="311" t="s">
        <v>214</v>
      </c>
      <c r="AB7118" t="str">
        <f>IF(Table1[[#This Row],[TIPO2]]="costo", VLOOKUP(Table1[[#This Row],[PARTIDA PRESUPUESTAL]],'Cost Report'!G:G,1,0),"Balance")</f>
        <v>3401-042</v>
      </c>
      <c r="AD7118" s="159">
        <f>+Table1[[#This Row],[SUBTOTAL]]+Table1[[#This Row],[IVA]]-Table1[[#This Row],[RET IVA]]-Table1[[#This Row],[RET ISR]]-Table1[[#This Row],[TOTAL]]</f>
        <v>0</v>
      </c>
      <c r="AK7118" s="306" t="str">
        <f>IF(ISNUMBER(Table1[[#This Row],[FECHA DE RECIBIDO]]), Table1[[#This Row],[FECHA DE RECIBIDO]]-DATE(2023,8,30), "")</f>
        <v/>
      </c>
    </row>
    <row r="7119" spans="1:37">
      <c r="A7119" s="172"/>
      <c r="B7119" s="178"/>
      <c r="C7119" s="179" t="s">
        <v>936</v>
      </c>
      <c r="D7119">
        <v>4614</v>
      </c>
      <c r="E7119" s="125"/>
      <c r="F7119" s="178"/>
      <c r="G7119" s="178"/>
      <c r="H7119"/>
      <c r="I7119" s="178"/>
      <c r="J7119" s="320" t="s">
        <v>214</v>
      </c>
      <c r="K7119" s="178"/>
      <c r="L7119" s="125" t="s">
        <v>4863</v>
      </c>
      <c r="M7119">
        <v>588</v>
      </c>
      <c r="N7119" s="182"/>
      <c r="O7119">
        <v>1396</v>
      </c>
      <c r="P7119" s="176" t="s">
        <v>77</v>
      </c>
      <c r="Q7119" s="176">
        <v>24.9</v>
      </c>
      <c r="R7119" s="176"/>
      <c r="S7119" s="176"/>
      <c r="T7119" s="190"/>
      <c r="U7119" s="191"/>
      <c r="V7119" s="191">
        <f>+Table1[[#This Row],[SUBTOTAL]]+Table1[[#This Row],[IVA]]-Table1[[#This Row],[RET IVA]]-Table1[[#This Row],[RET ISR]]</f>
        <v>24.9</v>
      </c>
      <c r="W7119"/>
      <c r="X7119" s="186"/>
      <c r="Y7119" s="187"/>
      <c r="Z7119" s="311" t="s">
        <v>214</v>
      </c>
      <c r="AB7119" t="str">
        <f>IF(Table1[[#This Row],[TIPO2]]="costo", VLOOKUP(Table1[[#This Row],[PARTIDA PRESUPUESTAL]],'Cost Report'!G:G,1,0),"Balance")</f>
        <v>3401-003</v>
      </c>
      <c r="AD7119" s="159">
        <f>+Table1[[#This Row],[SUBTOTAL]]+Table1[[#This Row],[IVA]]-Table1[[#This Row],[RET IVA]]-Table1[[#This Row],[RET ISR]]-Table1[[#This Row],[TOTAL]]</f>
        <v>0</v>
      </c>
      <c r="AK7119" s="306" t="str">
        <f>IF(ISNUMBER(Table1[[#This Row],[FECHA DE RECIBIDO]]), Table1[[#This Row],[FECHA DE RECIBIDO]]-DATE(2023,8,30), "")</f>
        <v/>
      </c>
    </row>
    <row r="7120" spans="1:37">
      <c r="A7120" s="172"/>
      <c r="B7120" s="178"/>
      <c r="C7120" s="179" t="s">
        <v>936</v>
      </c>
      <c r="D7120">
        <v>4614</v>
      </c>
      <c r="E7120" s="125"/>
      <c r="F7120" s="178"/>
      <c r="G7120" s="178"/>
      <c r="H7120"/>
      <c r="I7120" s="178"/>
      <c r="J7120" s="320" t="s">
        <v>214</v>
      </c>
      <c r="K7120" s="178"/>
      <c r="L7120" s="125" t="s">
        <v>4863</v>
      </c>
      <c r="M7120">
        <v>588</v>
      </c>
      <c r="N7120" s="182"/>
      <c r="O7120">
        <v>1395</v>
      </c>
      <c r="P7120" s="176" t="s">
        <v>77</v>
      </c>
      <c r="Q7120" s="176">
        <v>23.7</v>
      </c>
      <c r="R7120" s="176"/>
      <c r="S7120" s="176"/>
      <c r="T7120" s="190"/>
      <c r="U7120" s="191"/>
      <c r="V7120" s="191">
        <f>+Table1[[#This Row],[SUBTOTAL]]+Table1[[#This Row],[IVA]]-Table1[[#This Row],[RET IVA]]-Table1[[#This Row],[RET ISR]]</f>
        <v>23.7</v>
      </c>
      <c r="W7120"/>
      <c r="X7120" s="186"/>
      <c r="Y7120" s="187"/>
      <c r="Z7120" s="311" t="s">
        <v>214</v>
      </c>
      <c r="AB7120" t="str">
        <f>IF(Table1[[#This Row],[TIPO2]]="costo", VLOOKUP(Table1[[#This Row],[PARTIDA PRESUPUESTAL]],'Cost Report'!G:G,1,0),"Balance")</f>
        <v>3401-003</v>
      </c>
      <c r="AD7120" s="159">
        <f>+Table1[[#This Row],[SUBTOTAL]]+Table1[[#This Row],[IVA]]-Table1[[#This Row],[RET IVA]]-Table1[[#This Row],[RET ISR]]-Table1[[#This Row],[TOTAL]]</f>
        <v>0</v>
      </c>
      <c r="AK7120" s="306" t="str">
        <f>IF(ISNUMBER(Table1[[#This Row],[FECHA DE RECIBIDO]]), Table1[[#This Row],[FECHA DE RECIBIDO]]-DATE(2023,8,30), "")</f>
        <v/>
      </c>
    </row>
    <row r="7121" spans="1:37">
      <c r="A7121" s="172"/>
      <c r="B7121" s="178"/>
      <c r="C7121" s="179" t="s">
        <v>936</v>
      </c>
      <c r="D7121">
        <v>4614</v>
      </c>
      <c r="E7121" s="125"/>
      <c r="F7121" s="178"/>
      <c r="G7121" s="178"/>
      <c r="H7121"/>
      <c r="I7121" s="178"/>
      <c r="J7121" s="320" t="s">
        <v>214</v>
      </c>
      <c r="K7121" s="178"/>
      <c r="L7121" s="125" t="s">
        <v>4863</v>
      </c>
      <c r="M7121">
        <v>1226</v>
      </c>
      <c r="N7121" s="182"/>
      <c r="O7121">
        <v>1396</v>
      </c>
      <c r="P7121" s="176" t="s">
        <v>77</v>
      </c>
      <c r="Q7121" s="176">
        <v>16.5</v>
      </c>
      <c r="R7121" s="176"/>
      <c r="S7121" s="176"/>
      <c r="T7121" s="190"/>
      <c r="U7121" s="191"/>
      <c r="V7121" s="191">
        <f>+Table1[[#This Row],[SUBTOTAL]]+Table1[[#This Row],[IVA]]-Table1[[#This Row],[RET IVA]]-Table1[[#This Row],[RET ISR]]</f>
        <v>16.5</v>
      </c>
      <c r="W7121"/>
      <c r="X7121" s="186"/>
      <c r="Y7121" s="187"/>
      <c r="Z7121" s="311" t="s">
        <v>214</v>
      </c>
      <c r="AB7121" t="str">
        <f>IF(Table1[[#This Row],[TIPO2]]="costo", VLOOKUP(Table1[[#This Row],[PARTIDA PRESUPUESTAL]],'Cost Report'!G:G,1,0),"Balance")</f>
        <v>3401-003</v>
      </c>
      <c r="AD7121" s="159">
        <f>+Table1[[#This Row],[SUBTOTAL]]+Table1[[#This Row],[IVA]]-Table1[[#This Row],[RET IVA]]-Table1[[#This Row],[RET ISR]]-Table1[[#This Row],[TOTAL]]</f>
        <v>0</v>
      </c>
      <c r="AK7121" s="306" t="str">
        <f>IF(ISNUMBER(Table1[[#This Row],[FECHA DE RECIBIDO]]), Table1[[#This Row],[FECHA DE RECIBIDO]]-DATE(2023,8,30), "")</f>
        <v/>
      </c>
    </row>
    <row r="7122" spans="1:37">
      <c r="A7122" s="172"/>
      <c r="B7122" s="178"/>
      <c r="C7122" s="179" t="s">
        <v>2851</v>
      </c>
      <c r="D7122">
        <v>4614</v>
      </c>
      <c r="E7122" s="125"/>
      <c r="F7122" s="178"/>
      <c r="G7122" s="178"/>
      <c r="H7122"/>
      <c r="I7122" s="178"/>
      <c r="J7122" s="320" t="s">
        <v>214</v>
      </c>
      <c r="K7122" s="178"/>
      <c r="L7122" s="125" t="s">
        <v>4863</v>
      </c>
      <c r="M7122">
        <v>1227</v>
      </c>
      <c r="N7122" s="182"/>
      <c r="O7122">
        <v>3373</v>
      </c>
      <c r="P7122" s="176" t="s">
        <v>77</v>
      </c>
      <c r="Q7122" s="176">
        <v>27</v>
      </c>
      <c r="R7122" s="176"/>
      <c r="S7122" s="176"/>
      <c r="T7122" s="190"/>
      <c r="U7122" s="191"/>
      <c r="V7122" s="191">
        <f>+Table1[[#This Row],[SUBTOTAL]]+Table1[[#This Row],[IVA]]-Table1[[#This Row],[RET IVA]]-Table1[[#This Row],[RET ISR]]</f>
        <v>27</v>
      </c>
      <c r="W7122"/>
      <c r="X7122" s="186"/>
      <c r="Y7122" s="187"/>
      <c r="Z7122" s="311" t="s">
        <v>214</v>
      </c>
      <c r="AB7122" t="str">
        <f>IF(Table1[[#This Row],[TIPO2]]="costo", VLOOKUP(Table1[[#This Row],[PARTIDA PRESUPUESTAL]],'Cost Report'!G:G,1,0),"Balance")</f>
        <v>3485-003</v>
      </c>
      <c r="AD7122" s="159">
        <f>+Table1[[#This Row],[SUBTOTAL]]+Table1[[#This Row],[IVA]]-Table1[[#This Row],[RET IVA]]-Table1[[#This Row],[RET ISR]]-Table1[[#This Row],[TOTAL]]</f>
        <v>0</v>
      </c>
      <c r="AK7122" s="306" t="str">
        <f>IF(ISNUMBER(Table1[[#This Row],[FECHA DE RECIBIDO]]), Table1[[#This Row],[FECHA DE RECIBIDO]]-DATE(2023,8,30), "")</f>
        <v/>
      </c>
    </row>
    <row r="7123" spans="1:37">
      <c r="A7123" s="172"/>
      <c r="B7123" s="178"/>
      <c r="C7123" s="179" t="s">
        <v>2774</v>
      </c>
      <c r="D7123">
        <v>4614</v>
      </c>
      <c r="E7123" s="125"/>
      <c r="F7123" s="178"/>
      <c r="G7123" s="178"/>
      <c r="H7123"/>
      <c r="I7123" s="178"/>
      <c r="J7123" s="320" t="s">
        <v>214</v>
      </c>
      <c r="K7123" s="178"/>
      <c r="L7123" s="125" t="s">
        <v>4863</v>
      </c>
      <c r="M7123">
        <v>1233</v>
      </c>
      <c r="N7123" s="182"/>
      <c r="O7123">
        <v>3394</v>
      </c>
      <c r="P7123" s="176" t="s">
        <v>77</v>
      </c>
      <c r="Q7123" s="176">
        <v>57.599999999999994</v>
      </c>
      <c r="R7123" s="176"/>
      <c r="S7123" s="176"/>
      <c r="T7123" s="190"/>
      <c r="U7123" s="191"/>
      <c r="V7123" s="191">
        <f>+Table1[[#This Row],[SUBTOTAL]]+Table1[[#This Row],[IVA]]-Table1[[#This Row],[RET IVA]]-Table1[[#This Row],[RET ISR]]</f>
        <v>57.599999999999994</v>
      </c>
      <c r="W7123"/>
      <c r="X7123" s="186"/>
      <c r="Y7123" s="187"/>
      <c r="Z7123" s="311" t="s">
        <v>214</v>
      </c>
      <c r="AB7123" t="str">
        <f>IF(Table1[[#This Row],[TIPO2]]="costo", VLOOKUP(Table1[[#This Row],[PARTIDA PRESUPUESTAL]],'Cost Report'!G:G,1,0),"Balance")</f>
        <v>3401-042</v>
      </c>
      <c r="AD7123" s="159">
        <f>+Table1[[#This Row],[SUBTOTAL]]+Table1[[#This Row],[IVA]]-Table1[[#This Row],[RET IVA]]-Table1[[#This Row],[RET ISR]]-Table1[[#This Row],[TOTAL]]</f>
        <v>0</v>
      </c>
      <c r="AK7123" s="306" t="str">
        <f>IF(ISNUMBER(Table1[[#This Row],[FECHA DE RECIBIDO]]), Table1[[#This Row],[FECHA DE RECIBIDO]]-DATE(2023,8,30), "")</f>
        <v/>
      </c>
    </row>
    <row r="7124" spans="1:37">
      <c r="A7124" s="172"/>
      <c r="B7124" s="178"/>
      <c r="C7124" s="179" t="s">
        <v>2755</v>
      </c>
      <c r="D7124">
        <v>4614</v>
      </c>
      <c r="E7124" s="125"/>
      <c r="F7124" s="178"/>
      <c r="G7124" s="178"/>
      <c r="H7124"/>
      <c r="I7124" s="178"/>
      <c r="J7124" s="320" t="s">
        <v>214</v>
      </c>
      <c r="K7124" s="178"/>
      <c r="L7124" s="125" t="s">
        <v>4863</v>
      </c>
      <c r="M7124">
        <v>1046</v>
      </c>
      <c r="N7124" s="182"/>
      <c r="O7124">
        <v>277</v>
      </c>
      <c r="P7124" s="176" t="s">
        <v>77</v>
      </c>
      <c r="Q7124" s="176">
        <v>20.55</v>
      </c>
      <c r="R7124" s="176"/>
      <c r="S7124" s="176"/>
      <c r="T7124" s="190"/>
      <c r="U7124" s="191"/>
      <c r="V7124" s="191">
        <f>+Table1[[#This Row],[SUBTOTAL]]+Table1[[#This Row],[IVA]]-Table1[[#This Row],[RET IVA]]-Table1[[#This Row],[RET ISR]]</f>
        <v>20.55</v>
      </c>
      <c r="W7124"/>
      <c r="X7124" s="186"/>
      <c r="Y7124" s="187"/>
      <c r="Z7124" s="311" t="s">
        <v>214</v>
      </c>
      <c r="AB7124" t="str">
        <f>IF(Table1[[#This Row],[TIPO2]]="costo", VLOOKUP(Table1[[#This Row],[PARTIDA PRESUPUESTAL]],'Cost Report'!G:G,1,0),"Balance")</f>
        <v>3401-017</v>
      </c>
      <c r="AD7124" s="159">
        <f>+Table1[[#This Row],[SUBTOTAL]]+Table1[[#This Row],[IVA]]-Table1[[#This Row],[RET IVA]]-Table1[[#This Row],[RET ISR]]-Table1[[#This Row],[TOTAL]]</f>
        <v>0</v>
      </c>
      <c r="AK7124" s="306" t="str">
        <f>IF(ISNUMBER(Table1[[#This Row],[FECHA DE RECIBIDO]]), Table1[[#This Row],[FECHA DE RECIBIDO]]-DATE(2023,8,30), "")</f>
        <v/>
      </c>
    </row>
    <row r="7125" spans="1:37">
      <c r="A7125" s="172"/>
      <c r="B7125" s="178"/>
      <c r="C7125" s="179" t="s">
        <v>2774</v>
      </c>
      <c r="D7125">
        <v>4614</v>
      </c>
      <c r="E7125" s="125"/>
      <c r="F7125" s="178"/>
      <c r="G7125" s="178"/>
      <c r="H7125"/>
      <c r="I7125" s="178"/>
      <c r="J7125" s="320" t="s">
        <v>214</v>
      </c>
      <c r="K7125" s="178"/>
      <c r="L7125" s="125" t="s">
        <v>4863</v>
      </c>
      <c r="M7125">
        <v>1234</v>
      </c>
      <c r="N7125" s="182"/>
      <c r="O7125">
        <v>3395</v>
      </c>
      <c r="P7125" s="176" t="s">
        <v>77</v>
      </c>
      <c r="Q7125" s="176">
        <v>18</v>
      </c>
      <c r="R7125" s="176"/>
      <c r="S7125" s="176"/>
      <c r="T7125" s="190"/>
      <c r="U7125" s="191"/>
      <c r="V7125" s="191">
        <f>+Table1[[#This Row],[SUBTOTAL]]+Table1[[#This Row],[IVA]]-Table1[[#This Row],[RET IVA]]-Table1[[#This Row],[RET ISR]]</f>
        <v>18</v>
      </c>
      <c r="W7125"/>
      <c r="X7125" s="186"/>
      <c r="Y7125" s="187"/>
      <c r="Z7125" s="311" t="s">
        <v>214</v>
      </c>
      <c r="AB7125" t="str">
        <f>IF(Table1[[#This Row],[TIPO2]]="costo", VLOOKUP(Table1[[#This Row],[PARTIDA PRESUPUESTAL]],'Cost Report'!G:G,1,0),"Balance")</f>
        <v>3401-042</v>
      </c>
      <c r="AD7125" s="159">
        <f>+Table1[[#This Row],[SUBTOTAL]]+Table1[[#This Row],[IVA]]-Table1[[#This Row],[RET IVA]]-Table1[[#This Row],[RET ISR]]-Table1[[#This Row],[TOTAL]]</f>
        <v>0</v>
      </c>
      <c r="AK7125" s="306" t="str">
        <f>IF(ISNUMBER(Table1[[#This Row],[FECHA DE RECIBIDO]]), Table1[[#This Row],[FECHA DE RECIBIDO]]-DATE(2023,8,30), "")</f>
        <v/>
      </c>
    </row>
    <row r="7126" spans="1:37">
      <c r="A7126" s="172"/>
      <c r="B7126" s="178"/>
      <c r="C7126" s="179" t="s">
        <v>936</v>
      </c>
      <c r="D7126">
        <v>4614</v>
      </c>
      <c r="E7126" s="125"/>
      <c r="F7126" s="178"/>
      <c r="G7126" s="178"/>
      <c r="H7126"/>
      <c r="I7126" s="178"/>
      <c r="J7126" s="320" t="s">
        <v>214</v>
      </c>
      <c r="K7126" s="178"/>
      <c r="L7126" s="125" t="s">
        <v>4863</v>
      </c>
      <c r="M7126">
        <v>1235</v>
      </c>
      <c r="N7126" s="182"/>
      <c r="O7126">
        <v>1389</v>
      </c>
      <c r="P7126" s="176" t="s">
        <v>77</v>
      </c>
      <c r="Q7126" s="176">
        <v>11.1</v>
      </c>
      <c r="R7126" s="176"/>
      <c r="S7126" s="176"/>
      <c r="T7126" s="190"/>
      <c r="U7126" s="191"/>
      <c r="V7126" s="191">
        <f>+Table1[[#This Row],[SUBTOTAL]]+Table1[[#This Row],[IVA]]-Table1[[#This Row],[RET IVA]]-Table1[[#This Row],[RET ISR]]</f>
        <v>11.1</v>
      </c>
      <c r="W7126"/>
      <c r="X7126" s="186"/>
      <c r="Y7126" s="187"/>
      <c r="Z7126" s="311" t="s">
        <v>214</v>
      </c>
      <c r="AB7126" t="str">
        <f>IF(Table1[[#This Row],[TIPO2]]="costo", VLOOKUP(Table1[[#This Row],[PARTIDA PRESUPUESTAL]],'Cost Report'!G:G,1,0),"Balance")</f>
        <v>3401-003</v>
      </c>
      <c r="AD7126" s="159">
        <f>+Table1[[#This Row],[SUBTOTAL]]+Table1[[#This Row],[IVA]]-Table1[[#This Row],[RET IVA]]-Table1[[#This Row],[RET ISR]]-Table1[[#This Row],[TOTAL]]</f>
        <v>0</v>
      </c>
      <c r="AK7126" s="306" t="str">
        <f>IF(ISNUMBER(Table1[[#This Row],[FECHA DE RECIBIDO]]), Table1[[#This Row],[FECHA DE RECIBIDO]]-DATE(2023,8,30), "")</f>
        <v/>
      </c>
    </row>
    <row r="7127" spans="1:37">
      <c r="A7127" s="172"/>
      <c r="B7127" s="178"/>
      <c r="C7127" s="179" t="s">
        <v>2774</v>
      </c>
      <c r="D7127">
        <v>4614</v>
      </c>
      <c r="E7127" s="125"/>
      <c r="F7127" s="178"/>
      <c r="G7127" s="178"/>
      <c r="H7127"/>
      <c r="I7127" s="178"/>
      <c r="J7127" s="320" t="s">
        <v>214</v>
      </c>
      <c r="K7127" s="178"/>
      <c r="L7127" s="125" t="s">
        <v>4863</v>
      </c>
      <c r="M7127">
        <v>1236</v>
      </c>
      <c r="N7127" s="182"/>
      <c r="O7127">
        <v>3396</v>
      </c>
      <c r="P7127" s="176" t="s">
        <v>77</v>
      </c>
      <c r="Q7127" s="176">
        <v>39</v>
      </c>
      <c r="R7127" s="176"/>
      <c r="S7127" s="176"/>
      <c r="T7127" s="190"/>
      <c r="U7127" s="191"/>
      <c r="V7127" s="191">
        <f>+Table1[[#This Row],[SUBTOTAL]]+Table1[[#This Row],[IVA]]-Table1[[#This Row],[RET IVA]]-Table1[[#This Row],[RET ISR]]</f>
        <v>39</v>
      </c>
      <c r="W7127"/>
      <c r="X7127" s="186"/>
      <c r="Y7127" s="187"/>
      <c r="Z7127" s="311" t="s">
        <v>214</v>
      </c>
      <c r="AB7127" t="str">
        <f>IF(Table1[[#This Row],[TIPO2]]="costo", VLOOKUP(Table1[[#This Row],[PARTIDA PRESUPUESTAL]],'Cost Report'!G:G,1,0),"Balance")</f>
        <v>3401-042</v>
      </c>
      <c r="AD7127" s="159">
        <f>+Table1[[#This Row],[SUBTOTAL]]+Table1[[#This Row],[IVA]]-Table1[[#This Row],[RET IVA]]-Table1[[#This Row],[RET ISR]]-Table1[[#This Row],[TOTAL]]</f>
        <v>0</v>
      </c>
      <c r="AK7127" s="306" t="str">
        <f>IF(ISNUMBER(Table1[[#This Row],[FECHA DE RECIBIDO]]), Table1[[#This Row],[FECHA DE RECIBIDO]]-DATE(2023,8,30), "")</f>
        <v/>
      </c>
    </row>
    <row r="7128" spans="1:37">
      <c r="A7128" s="172"/>
      <c r="B7128" s="178"/>
      <c r="C7128" s="179" t="s">
        <v>2774</v>
      </c>
      <c r="D7128">
        <v>4614</v>
      </c>
      <c r="E7128" s="125"/>
      <c r="F7128" s="178"/>
      <c r="G7128" s="178"/>
      <c r="H7128"/>
      <c r="I7128" s="178"/>
      <c r="J7128" s="320" t="s">
        <v>214</v>
      </c>
      <c r="K7128" s="178"/>
      <c r="L7128" s="125" t="s">
        <v>4863</v>
      </c>
      <c r="M7128">
        <v>1234</v>
      </c>
      <c r="N7128" s="182"/>
      <c r="O7128">
        <v>3395</v>
      </c>
      <c r="P7128" s="176" t="s">
        <v>77</v>
      </c>
      <c r="Q7128" s="176">
        <v>18</v>
      </c>
      <c r="R7128" s="176"/>
      <c r="S7128" s="176"/>
      <c r="T7128" s="190"/>
      <c r="U7128" s="191"/>
      <c r="V7128" s="191">
        <f>+Table1[[#This Row],[SUBTOTAL]]+Table1[[#This Row],[IVA]]-Table1[[#This Row],[RET IVA]]-Table1[[#This Row],[RET ISR]]</f>
        <v>18</v>
      </c>
      <c r="W7128"/>
      <c r="X7128" s="186"/>
      <c r="Y7128" s="187"/>
      <c r="Z7128" s="311" t="s">
        <v>214</v>
      </c>
      <c r="AB7128" t="str">
        <f>IF(Table1[[#This Row],[TIPO2]]="costo", VLOOKUP(Table1[[#This Row],[PARTIDA PRESUPUESTAL]],'Cost Report'!G:G,1,0),"Balance")</f>
        <v>3401-042</v>
      </c>
      <c r="AD7128" s="159">
        <f>+Table1[[#This Row],[SUBTOTAL]]+Table1[[#This Row],[IVA]]-Table1[[#This Row],[RET IVA]]-Table1[[#This Row],[RET ISR]]-Table1[[#This Row],[TOTAL]]</f>
        <v>0</v>
      </c>
      <c r="AK7128" s="306" t="str">
        <f>IF(ISNUMBER(Table1[[#This Row],[FECHA DE RECIBIDO]]), Table1[[#This Row],[FECHA DE RECIBIDO]]-DATE(2023,8,30), "")</f>
        <v/>
      </c>
    </row>
    <row r="7129" spans="1:37">
      <c r="A7129" s="172"/>
      <c r="B7129" s="178"/>
      <c r="C7129" s="179" t="s">
        <v>2774</v>
      </c>
      <c r="D7129">
        <v>4614</v>
      </c>
      <c r="E7129" s="125"/>
      <c r="F7129" s="178"/>
      <c r="G7129" s="178"/>
      <c r="H7129"/>
      <c r="I7129" s="178"/>
      <c r="J7129" s="320" t="s">
        <v>214</v>
      </c>
      <c r="K7129" s="178"/>
      <c r="L7129" s="125" t="s">
        <v>4863</v>
      </c>
      <c r="M7129">
        <v>1234</v>
      </c>
      <c r="N7129" s="182"/>
      <c r="O7129">
        <v>3397</v>
      </c>
      <c r="P7129" s="176" t="s">
        <v>77</v>
      </c>
      <c r="Q7129" s="176">
        <v>9</v>
      </c>
      <c r="R7129" s="176"/>
      <c r="S7129" s="176"/>
      <c r="T7129" s="190"/>
      <c r="U7129" s="191"/>
      <c r="V7129" s="191">
        <f>+Table1[[#This Row],[SUBTOTAL]]+Table1[[#This Row],[IVA]]-Table1[[#This Row],[RET IVA]]-Table1[[#This Row],[RET ISR]]</f>
        <v>9</v>
      </c>
      <c r="W7129"/>
      <c r="X7129" s="186"/>
      <c r="Y7129" s="187"/>
      <c r="Z7129" s="311" t="s">
        <v>214</v>
      </c>
      <c r="AB7129" t="str">
        <f>IF(Table1[[#This Row],[TIPO2]]="costo", VLOOKUP(Table1[[#This Row],[PARTIDA PRESUPUESTAL]],'Cost Report'!G:G,1,0),"Balance")</f>
        <v>3401-042</v>
      </c>
      <c r="AD7129" s="159">
        <f>+Table1[[#This Row],[SUBTOTAL]]+Table1[[#This Row],[IVA]]-Table1[[#This Row],[RET IVA]]-Table1[[#This Row],[RET ISR]]-Table1[[#This Row],[TOTAL]]</f>
        <v>0</v>
      </c>
      <c r="AK7129" s="306" t="str">
        <f>IF(ISNUMBER(Table1[[#This Row],[FECHA DE RECIBIDO]]), Table1[[#This Row],[FECHA DE RECIBIDO]]-DATE(2023,8,30), "")</f>
        <v/>
      </c>
    </row>
    <row r="7130" spans="1:37">
      <c r="A7130" s="172"/>
      <c r="B7130" s="178"/>
      <c r="C7130" s="179" t="s">
        <v>1517</v>
      </c>
      <c r="D7130">
        <v>4614</v>
      </c>
      <c r="E7130" s="125"/>
      <c r="F7130" s="178"/>
      <c r="G7130" s="178"/>
      <c r="H7130"/>
      <c r="I7130" s="178"/>
      <c r="J7130" s="320" t="s">
        <v>214</v>
      </c>
      <c r="K7130" s="178"/>
      <c r="L7130" s="125" t="s">
        <v>4863</v>
      </c>
      <c r="M7130">
        <v>1240</v>
      </c>
      <c r="N7130" s="182"/>
      <c r="O7130">
        <v>3417</v>
      </c>
      <c r="P7130" s="176" t="s">
        <v>77</v>
      </c>
      <c r="Q7130" s="176">
        <v>145.79999999999998</v>
      </c>
      <c r="R7130" s="176"/>
      <c r="S7130" s="176"/>
      <c r="T7130" s="190"/>
      <c r="U7130" s="191"/>
      <c r="V7130" s="191">
        <f>+Table1[[#This Row],[SUBTOTAL]]+Table1[[#This Row],[IVA]]-Table1[[#This Row],[RET IVA]]-Table1[[#This Row],[RET ISR]]</f>
        <v>145.79999999999998</v>
      </c>
      <c r="W7130"/>
      <c r="X7130" s="186"/>
      <c r="Y7130" s="187"/>
      <c r="Z7130" s="311" t="s">
        <v>214</v>
      </c>
      <c r="AB7130" t="str">
        <f>IF(Table1[[#This Row],[TIPO2]]="costo", VLOOKUP(Table1[[#This Row],[PARTIDA PRESUPUESTAL]],'Cost Report'!G:G,1,0),"Balance")</f>
        <v>2494-027</v>
      </c>
      <c r="AD7130" s="159">
        <f>+Table1[[#This Row],[SUBTOTAL]]+Table1[[#This Row],[IVA]]-Table1[[#This Row],[RET IVA]]-Table1[[#This Row],[RET ISR]]-Table1[[#This Row],[TOTAL]]</f>
        <v>0</v>
      </c>
      <c r="AK7130" s="306" t="str">
        <f>IF(ISNUMBER(Table1[[#This Row],[FECHA DE RECIBIDO]]), Table1[[#This Row],[FECHA DE RECIBIDO]]-DATE(2023,8,30), "")</f>
        <v/>
      </c>
    </row>
    <row r="7131" spans="1:37">
      <c r="A7131" s="172"/>
      <c r="B7131" s="178"/>
      <c r="C7131" s="179" t="s">
        <v>1517</v>
      </c>
      <c r="D7131">
        <v>4614</v>
      </c>
      <c r="E7131" s="125"/>
      <c r="F7131" s="178"/>
      <c r="G7131" s="178"/>
      <c r="H7131"/>
      <c r="I7131" s="178"/>
      <c r="J7131" s="320" t="s">
        <v>214</v>
      </c>
      <c r="K7131" s="178"/>
      <c r="L7131" s="125" t="s">
        <v>4863</v>
      </c>
      <c r="M7131">
        <v>1241</v>
      </c>
      <c r="N7131" s="182"/>
      <c r="O7131">
        <v>3418</v>
      </c>
      <c r="P7131" s="176" t="s">
        <v>77</v>
      </c>
      <c r="Q7131" s="176">
        <v>99</v>
      </c>
      <c r="R7131" s="176"/>
      <c r="S7131" s="176"/>
      <c r="T7131" s="190"/>
      <c r="U7131" s="191"/>
      <c r="V7131" s="191">
        <f>+Table1[[#This Row],[SUBTOTAL]]+Table1[[#This Row],[IVA]]-Table1[[#This Row],[RET IVA]]-Table1[[#This Row],[RET ISR]]</f>
        <v>99</v>
      </c>
      <c r="W7131"/>
      <c r="X7131" s="186"/>
      <c r="Y7131" s="187"/>
      <c r="Z7131" s="311" t="s">
        <v>214</v>
      </c>
      <c r="AB7131" t="str">
        <f>IF(Table1[[#This Row],[TIPO2]]="costo", VLOOKUP(Table1[[#This Row],[PARTIDA PRESUPUESTAL]],'Cost Report'!G:G,1,0),"Balance")</f>
        <v>2494-027</v>
      </c>
      <c r="AD7131" s="159">
        <f>+Table1[[#This Row],[SUBTOTAL]]+Table1[[#This Row],[IVA]]-Table1[[#This Row],[RET IVA]]-Table1[[#This Row],[RET ISR]]-Table1[[#This Row],[TOTAL]]</f>
        <v>0</v>
      </c>
      <c r="AK7131" s="306" t="str">
        <f>IF(ISNUMBER(Table1[[#This Row],[FECHA DE RECIBIDO]]), Table1[[#This Row],[FECHA DE RECIBIDO]]-DATE(2023,8,30), "")</f>
        <v/>
      </c>
    </row>
    <row r="7132" spans="1:37">
      <c r="A7132" s="172"/>
      <c r="B7132" s="178"/>
      <c r="C7132" s="179" t="s">
        <v>2455</v>
      </c>
      <c r="D7132">
        <v>4614</v>
      </c>
      <c r="E7132" s="125"/>
      <c r="F7132" s="178"/>
      <c r="G7132" s="178"/>
      <c r="H7132"/>
      <c r="I7132" s="178"/>
      <c r="J7132" s="320" t="s">
        <v>214</v>
      </c>
      <c r="K7132" s="178"/>
      <c r="L7132" s="125" t="s">
        <v>4863</v>
      </c>
      <c r="M7132">
        <v>1244</v>
      </c>
      <c r="N7132" s="182"/>
      <c r="O7132">
        <v>522</v>
      </c>
      <c r="P7132" s="176" t="s">
        <v>77</v>
      </c>
      <c r="Q7132" s="176">
        <v>9.395999999999999</v>
      </c>
      <c r="R7132" s="176"/>
      <c r="S7132" s="176"/>
      <c r="T7132" s="190"/>
      <c r="U7132" s="191"/>
      <c r="V7132" s="191">
        <f>+Table1[[#This Row],[SUBTOTAL]]+Table1[[#This Row],[IVA]]-Table1[[#This Row],[RET IVA]]-Table1[[#This Row],[RET ISR]]</f>
        <v>9.395999999999999</v>
      </c>
      <c r="W7132"/>
      <c r="X7132" s="186"/>
      <c r="Y7132" s="187"/>
      <c r="Z7132" s="311" t="s">
        <v>214</v>
      </c>
      <c r="AB7132" t="str">
        <f>IF(Table1[[#This Row],[TIPO2]]="costo", VLOOKUP(Table1[[#This Row],[PARTIDA PRESUPUESTAL]],'Cost Report'!G:G,1,0),"Balance")</f>
        <v>2285-003</v>
      </c>
      <c r="AD7132" s="159">
        <f>+Table1[[#This Row],[SUBTOTAL]]+Table1[[#This Row],[IVA]]-Table1[[#This Row],[RET IVA]]-Table1[[#This Row],[RET ISR]]-Table1[[#This Row],[TOTAL]]</f>
        <v>0</v>
      </c>
      <c r="AK7132" s="306" t="str">
        <f>IF(ISNUMBER(Table1[[#This Row],[FECHA DE RECIBIDO]]), Table1[[#This Row],[FECHA DE RECIBIDO]]-DATE(2023,8,30), "")</f>
        <v/>
      </c>
    </row>
    <row r="7133" spans="1:37">
      <c r="A7133" s="172"/>
      <c r="B7133" s="178"/>
      <c r="C7133" s="179" t="s">
        <v>2565</v>
      </c>
      <c r="D7133">
        <v>4614</v>
      </c>
      <c r="E7133" s="125"/>
      <c r="F7133" s="178"/>
      <c r="G7133" s="178"/>
      <c r="H7133"/>
      <c r="I7133" s="178"/>
      <c r="J7133" s="320" t="s">
        <v>214</v>
      </c>
      <c r="K7133" s="178"/>
      <c r="L7133" s="125" t="s">
        <v>4863</v>
      </c>
      <c r="M7133">
        <v>1245</v>
      </c>
      <c r="N7133" s="182"/>
      <c r="O7133">
        <v>3055</v>
      </c>
      <c r="P7133" s="176" t="s">
        <v>77</v>
      </c>
      <c r="Q7133" s="176">
        <v>6</v>
      </c>
      <c r="R7133" s="176"/>
      <c r="S7133" s="176"/>
      <c r="T7133" s="190"/>
      <c r="U7133" s="191"/>
      <c r="V7133" s="191">
        <f>+Table1[[#This Row],[SUBTOTAL]]+Table1[[#This Row],[IVA]]-Table1[[#This Row],[RET IVA]]-Table1[[#This Row],[RET ISR]]</f>
        <v>6</v>
      </c>
      <c r="W7133"/>
      <c r="X7133" s="186"/>
      <c r="Y7133" s="187"/>
      <c r="Z7133" s="311" t="s">
        <v>214</v>
      </c>
      <c r="AB7133" t="str">
        <f>IF(Table1[[#This Row],[TIPO2]]="costo", VLOOKUP(Table1[[#This Row],[PARTIDA PRESUPUESTAL]],'Cost Report'!G:G,1,0),"Balance")</f>
        <v>2585-003</v>
      </c>
      <c r="AD7133" s="159">
        <f>+Table1[[#This Row],[SUBTOTAL]]+Table1[[#This Row],[IVA]]-Table1[[#This Row],[RET IVA]]-Table1[[#This Row],[RET ISR]]-Table1[[#This Row],[TOTAL]]</f>
        <v>0</v>
      </c>
      <c r="AK7133" s="306" t="str">
        <f>IF(ISNUMBER(Table1[[#This Row],[FECHA DE RECIBIDO]]), Table1[[#This Row],[FECHA DE RECIBIDO]]-DATE(2023,8,30), "")</f>
        <v/>
      </c>
    </row>
    <row r="7134" spans="1:37">
      <c r="A7134" s="172"/>
      <c r="B7134" s="178"/>
      <c r="C7134" s="179" t="s">
        <v>2565</v>
      </c>
      <c r="D7134">
        <v>4614</v>
      </c>
      <c r="E7134" s="125"/>
      <c r="F7134" s="178"/>
      <c r="G7134" s="178"/>
      <c r="H7134"/>
      <c r="I7134" s="178"/>
      <c r="J7134" s="320" t="s">
        <v>214</v>
      </c>
      <c r="K7134" s="178"/>
      <c r="L7134" s="125" t="s">
        <v>4863</v>
      </c>
      <c r="M7134">
        <v>1246</v>
      </c>
      <c r="N7134" s="182"/>
      <c r="O7134">
        <v>3055</v>
      </c>
      <c r="P7134" s="176" t="s">
        <v>77</v>
      </c>
      <c r="Q7134" s="176">
        <v>15</v>
      </c>
      <c r="R7134" s="176"/>
      <c r="S7134" s="176"/>
      <c r="T7134" s="190"/>
      <c r="U7134" s="191"/>
      <c r="V7134" s="191">
        <f>+Table1[[#This Row],[SUBTOTAL]]+Table1[[#This Row],[IVA]]-Table1[[#This Row],[RET IVA]]-Table1[[#This Row],[RET ISR]]</f>
        <v>15</v>
      </c>
      <c r="W7134"/>
      <c r="X7134" s="186"/>
      <c r="Y7134" s="187"/>
      <c r="Z7134" s="311" t="s">
        <v>214</v>
      </c>
      <c r="AB7134" t="str">
        <f>IF(Table1[[#This Row],[TIPO2]]="costo", VLOOKUP(Table1[[#This Row],[PARTIDA PRESUPUESTAL]],'Cost Report'!G:G,1,0),"Balance")</f>
        <v>2585-003</v>
      </c>
      <c r="AD7134" s="159">
        <f>+Table1[[#This Row],[SUBTOTAL]]+Table1[[#This Row],[IVA]]-Table1[[#This Row],[RET IVA]]-Table1[[#This Row],[RET ISR]]-Table1[[#This Row],[TOTAL]]</f>
        <v>0</v>
      </c>
      <c r="AK7134" s="306" t="str">
        <f>IF(ISNUMBER(Table1[[#This Row],[FECHA DE RECIBIDO]]), Table1[[#This Row],[FECHA DE RECIBIDO]]-DATE(2023,8,30), "")</f>
        <v/>
      </c>
    </row>
    <row r="7135" spans="1:37">
      <c r="A7135" s="172"/>
      <c r="B7135" s="178"/>
      <c r="C7135" s="179" t="s">
        <v>2565</v>
      </c>
      <c r="D7135">
        <v>4614</v>
      </c>
      <c r="E7135" s="125"/>
      <c r="F7135" s="178"/>
      <c r="G7135" s="178"/>
      <c r="H7135"/>
      <c r="I7135" s="178"/>
      <c r="J7135" s="320" t="s">
        <v>214</v>
      </c>
      <c r="K7135" s="178"/>
      <c r="L7135" s="125" t="s">
        <v>4863</v>
      </c>
      <c r="M7135">
        <v>1246</v>
      </c>
      <c r="N7135" s="182"/>
      <c r="O7135">
        <v>3055</v>
      </c>
      <c r="P7135" s="176" t="s">
        <v>77</v>
      </c>
      <c r="Q7135" s="176">
        <v>33</v>
      </c>
      <c r="R7135" s="176"/>
      <c r="S7135" s="176"/>
      <c r="T7135" s="190"/>
      <c r="U7135" s="191"/>
      <c r="V7135" s="191">
        <f>+Table1[[#This Row],[SUBTOTAL]]+Table1[[#This Row],[IVA]]-Table1[[#This Row],[RET IVA]]-Table1[[#This Row],[RET ISR]]</f>
        <v>33</v>
      </c>
      <c r="W7135"/>
      <c r="X7135" s="186"/>
      <c r="Y7135" s="187"/>
      <c r="Z7135" s="311" t="s">
        <v>214</v>
      </c>
      <c r="AB7135" t="str">
        <f>IF(Table1[[#This Row],[TIPO2]]="costo", VLOOKUP(Table1[[#This Row],[PARTIDA PRESUPUESTAL]],'Cost Report'!G:G,1,0),"Balance")</f>
        <v>2585-003</v>
      </c>
      <c r="AD7135" s="159">
        <f>+Table1[[#This Row],[SUBTOTAL]]+Table1[[#This Row],[IVA]]-Table1[[#This Row],[RET IVA]]-Table1[[#This Row],[RET ISR]]-Table1[[#This Row],[TOTAL]]</f>
        <v>0</v>
      </c>
      <c r="AK7135" s="306" t="str">
        <f>IF(ISNUMBER(Table1[[#This Row],[FECHA DE RECIBIDO]]), Table1[[#This Row],[FECHA DE RECIBIDO]]-DATE(2023,8,30), "")</f>
        <v/>
      </c>
    </row>
    <row r="7136" spans="1:37">
      <c r="A7136" s="172"/>
      <c r="B7136" s="178"/>
      <c r="C7136" s="179" t="s">
        <v>2566</v>
      </c>
      <c r="D7136">
        <v>4614</v>
      </c>
      <c r="E7136" s="125"/>
      <c r="F7136" s="178"/>
      <c r="G7136" s="178"/>
      <c r="H7136"/>
      <c r="I7136" s="178"/>
      <c r="J7136" s="320" t="s">
        <v>214</v>
      </c>
      <c r="K7136" s="178"/>
      <c r="L7136" s="125" t="s">
        <v>4863</v>
      </c>
      <c r="M7136">
        <v>514</v>
      </c>
      <c r="N7136" s="182"/>
      <c r="O7136">
        <v>3438</v>
      </c>
      <c r="P7136" s="176" t="s">
        <v>77</v>
      </c>
      <c r="Q7136" s="176">
        <v>72.3</v>
      </c>
      <c r="R7136" s="176"/>
      <c r="S7136" s="176"/>
      <c r="T7136" s="190"/>
      <c r="U7136" s="191"/>
      <c r="V7136" s="191">
        <f>+Table1[[#This Row],[SUBTOTAL]]+Table1[[#This Row],[IVA]]-Table1[[#This Row],[RET IVA]]-Table1[[#This Row],[RET ISR]]</f>
        <v>72.3</v>
      </c>
      <c r="W7136"/>
      <c r="X7136" s="186"/>
      <c r="Y7136" s="187"/>
      <c r="Z7136" s="311" t="s">
        <v>214</v>
      </c>
      <c r="AB7136" t="str">
        <f>IF(Table1[[#This Row],[TIPO2]]="costo", VLOOKUP(Table1[[#This Row],[PARTIDA PRESUPUESTAL]],'Cost Report'!G:G,1,0),"Balance")</f>
        <v>2594-003</v>
      </c>
      <c r="AD7136" s="159">
        <f>+Table1[[#This Row],[SUBTOTAL]]+Table1[[#This Row],[IVA]]-Table1[[#This Row],[RET IVA]]-Table1[[#This Row],[RET ISR]]-Table1[[#This Row],[TOTAL]]</f>
        <v>0</v>
      </c>
      <c r="AK7136" s="306" t="str">
        <f>IF(ISNUMBER(Table1[[#This Row],[FECHA DE RECIBIDO]]), Table1[[#This Row],[FECHA DE RECIBIDO]]-DATE(2023,8,30), "")</f>
        <v/>
      </c>
    </row>
    <row r="7137" spans="1:37">
      <c r="A7137" s="172"/>
      <c r="B7137" s="178"/>
      <c r="C7137" s="179" t="s">
        <v>2566</v>
      </c>
      <c r="D7137">
        <v>4614</v>
      </c>
      <c r="E7137" s="125"/>
      <c r="F7137" s="178"/>
      <c r="G7137" s="178"/>
      <c r="H7137"/>
      <c r="I7137" s="178"/>
      <c r="J7137" s="320" t="s">
        <v>214</v>
      </c>
      <c r="K7137" s="178"/>
      <c r="L7137" s="125" t="s">
        <v>4863</v>
      </c>
      <c r="M7137">
        <v>514</v>
      </c>
      <c r="N7137" s="182"/>
      <c r="O7137">
        <v>3438</v>
      </c>
      <c r="P7137" s="176" t="s">
        <v>77</v>
      </c>
      <c r="Q7137" s="176">
        <v>21.599999999999998</v>
      </c>
      <c r="R7137" s="176"/>
      <c r="S7137" s="176"/>
      <c r="T7137" s="190"/>
      <c r="U7137" s="191"/>
      <c r="V7137" s="191">
        <f>+Table1[[#This Row],[SUBTOTAL]]+Table1[[#This Row],[IVA]]-Table1[[#This Row],[RET IVA]]-Table1[[#This Row],[RET ISR]]</f>
        <v>21.599999999999998</v>
      </c>
      <c r="W7137"/>
      <c r="X7137" s="186"/>
      <c r="Y7137" s="187"/>
      <c r="Z7137" s="311" t="s">
        <v>214</v>
      </c>
      <c r="AB7137" t="str">
        <f>IF(Table1[[#This Row],[TIPO2]]="costo", VLOOKUP(Table1[[#This Row],[PARTIDA PRESUPUESTAL]],'Cost Report'!G:G,1,0),"Balance")</f>
        <v>2594-003</v>
      </c>
      <c r="AD7137" s="159">
        <f>+Table1[[#This Row],[SUBTOTAL]]+Table1[[#This Row],[IVA]]-Table1[[#This Row],[RET IVA]]-Table1[[#This Row],[RET ISR]]-Table1[[#This Row],[TOTAL]]</f>
        <v>0</v>
      </c>
      <c r="AK7137" s="306" t="str">
        <f>IF(ISNUMBER(Table1[[#This Row],[FECHA DE RECIBIDO]]), Table1[[#This Row],[FECHA DE RECIBIDO]]-DATE(2023,8,30), "")</f>
        <v/>
      </c>
    </row>
    <row r="7138" spans="1:37">
      <c r="A7138" s="172"/>
      <c r="B7138" s="178"/>
      <c r="C7138" s="179" t="s">
        <v>2566</v>
      </c>
      <c r="D7138">
        <v>4614</v>
      </c>
      <c r="E7138" s="125"/>
      <c r="F7138" s="178"/>
      <c r="G7138" s="178"/>
      <c r="H7138"/>
      <c r="I7138" s="178"/>
      <c r="J7138" s="320" t="s">
        <v>214</v>
      </c>
      <c r="K7138" s="178"/>
      <c r="L7138" s="125" t="s">
        <v>4863</v>
      </c>
      <c r="M7138">
        <v>1249</v>
      </c>
      <c r="N7138" s="182"/>
      <c r="O7138">
        <v>3439</v>
      </c>
      <c r="P7138" s="176" t="s">
        <v>77</v>
      </c>
      <c r="Q7138" s="176">
        <v>273</v>
      </c>
      <c r="R7138" s="176"/>
      <c r="S7138" s="176"/>
      <c r="T7138" s="190"/>
      <c r="U7138" s="191"/>
      <c r="V7138" s="191">
        <f>+Table1[[#This Row],[SUBTOTAL]]+Table1[[#This Row],[IVA]]-Table1[[#This Row],[RET IVA]]-Table1[[#This Row],[RET ISR]]</f>
        <v>273</v>
      </c>
      <c r="W7138"/>
      <c r="X7138" s="186"/>
      <c r="Y7138" s="187"/>
      <c r="Z7138" s="311" t="s">
        <v>214</v>
      </c>
      <c r="AB7138" t="str">
        <f>IF(Table1[[#This Row],[TIPO2]]="costo", VLOOKUP(Table1[[#This Row],[PARTIDA PRESUPUESTAL]],'Cost Report'!G:G,1,0),"Balance")</f>
        <v>2594-003</v>
      </c>
      <c r="AD7138" s="159">
        <f>+Table1[[#This Row],[SUBTOTAL]]+Table1[[#This Row],[IVA]]-Table1[[#This Row],[RET IVA]]-Table1[[#This Row],[RET ISR]]-Table1[[#This Row],[TOTAL]]</f>
        <v>0</v>
      </c>
      <c r="AK7138" s="306" t="str">
        <f>IF(ISNUMBER(Table1[[#This Row],[FECHA DE RECIBIDO]]), Table1[[#This Row],[FECHA DE RECIBIDO]]-DATE(2023,8,30), "")</f>
        <v/>
      </c>
    </row>
    <row r="7139" spans="1:37">
      <c r="A7139" s="172"/>
      <c r="B7139" s="178"/>
      <c r="C7139" s="179" t="s">
        <v>2565</v>
      </c>
      <c r="D7139">
        <v>4614</v>
      </c>
      <c r="E7139" s="125"/>
      <c r="F7139" s="178"/>
      <c r="G7139" s="178"/>
      <c r="H7139"/>
      <c r="I7139" s="178"/>
      <c r="J7139" s="320" t="s">
        <v>214</v>
      </c>
      <c r="K7139" s="178"/>
      <c r="L7139" s="125" t="s">
        <v>4863</v>
      </c>
      <c r="M7139">
        <v>805</v>
      </c>
      <c r="N7139" s="182"/>
      <c r="O7139">
        <v>3055</v>
      </c>
      <c r="P7139" s="176" t="s">
        <v>77</v>
      </c>
      <c r="Q7139" s="176">
        <v>6</v>
      </c>
      <c r="R7139" s="176"/>
      <c r="S7139" s="176"/>
      <c r="T7139" s="190"/>
      <c r="U7139" s="191"/>
      <c r="V7139" s="191">
        <f>+Table1[[#This Row],[SUBTOTAL]]+Table1[[#This Row],[IVA]]-Table1[[#This Row],[RET IVA]]-Table1[[#This Row],[RET ISR]]</f>
        <v>6</v>
      </c>
      <c r="W7139"/>
      <c r="X7139" s="186"/>
      <c r="Y7139" s="187"/>
      <c r="Z7139" s="311" t="s">
        <v>214</v>
      </c>
      <c r="AB7139" t="str">
        <f>IF(Table1[[#This Row],[TIPO2]]="costo", VLOOKUP(Table1[[#This Row],[PARTIDA PRESUPUESTAL]],'Cost Report'!G:G,1,0),"Balance")</f>
        <v>2585-003</v>
      </c>
      <c r="AD7139" s="159">
        <f>+Table1[[#This Row],[SUBTOTAL]]+Table1[[#This Row],[IVA]]-Table1[[#This Row],[RET IVA]]-Table1[[#This Row],[RET ISR]]-Table1[[#This Row],[TOTAL]]</f>
        <v>0</v>
      </c>
      <c r="AK7139" s="306" t="str">
        <f>IF(ISNUMBER(Table1[[#This Row],[FECHA DE RECIBIDO]]), Table1[[#This Row],[FECHA DE RECIBIDO]]-DATE(2023,8,30), "")</f>
        <v/>
      </c>
    </row>
    <row r="7140" spans="1:37">
      <c r="A7140" s="172"/>
      <c r="B7140" s="178"/>
      <c r="C7140" s="179" t="s">
        <v>2565</v>
      </c>
      <c r="D7140">
        <v>4614</v>
      </c>
      <c r="E7140" s="125"/>
      <c r="F7140" s="178"/>
      <c r="G7140" s="178"/>
      <c r="H7140"/>
      <c r="I7140" s="178"/>
      <c r="J7140" s="320" t="s">
        <v>214</v>
      </c>
      <c r="K7140" s="178"/>
      <c r="L7140" s="125" t="s">
        <v>4863</v>
      </c>
      <c r="M7140">
        <v>1256</v>
      </c>
      <c r="N7140" s="182"/>
      <c r="O7140">
        <v>3055</v>
      </c>
      <c r="P7140" s="176" t="s">
        <v>77</v>
      </c>
      <c r="Q7140" s="176">
        <v>18</v>
      </c>
      <c r="R7140" s="176"/>
      <c r="S7140" s="176"/>
      <c r="T7140" s="190"/>
      <c r="U7140" s="191"/>
      <c r="V7140" s="191">
        <f>+Table1[[#This Row],[SUBTOTAL]]+Table1[[#This Row],[IVA]]-Table1[[#This Row],[RET IVA]]-Table1[[#This Row],[RET ISR]]</f>
        <v>18</v>
      </c>
      <c r="W7140"/>
      <c r="X7140" s="186"/>
      <c r="Y7140" s="187"/>
      <c r="Z7140" s="311" t="s">
        <v>214</v>
      </c>
      <c r="AB7140" t="str">
        <f>IF(Table1[[#This Row],[TIPO2]]="costo", VLOOKUP(Table1[[#This Row],[PARTIDA PRESUPUESTAL]],'Cost Report'!G:G,1,0),"Balance")</f>
        <v>2585-003</v>
      </c>
      <c r="AD7140" s="159">
        <f>+Table1[[#This Row],[SUBTOTAL]]+Table1[[#This Row],[IVA]]-Table1[[#This Row],[RET IVA]]-Table1[[#This Row],[RET ISR]]-Table1[[#This Row],[TOTAL]]</f>
        <v>0</v>
      </c>
      <c r="AK7140" s="306" t="str">
        <f>IF(ISNUMBER(Table1[[#This Row],[FECHA DE RECIBIDO]]), Table1[[#This Row],[FECHA DE RECIBIDO]]-DATE(2023,8,30), "")</f>
        <v/>
      </c>
    </row>
    <row r="7141" spans="1:37">
      <c r="A7141" s="172"/>
      <c r="B7141" s="178"/>
      <c r="C7141" s="179" t="s">
        <v>1517</v>
      </c>
      <c r="D7141">
        <v>4614</v>
      </c>
      <c r="E7141" s="125"/>
      <c r="F7141" s="178"/>
      <c r="G7141" s="178"/>
      <c r="H7141"/>
      <c r="I7141" s="178"/>
      <c r="J7141" s="320" t="s">
        <v>214</v>
      </c>
      <c r="K7141" s="178"/>
      <c r="L7141" s="125" t="s">
        <v>4863</v>
      </c>
      <c r="M7141">
        <v>1257</v>
      </c>
      <c r="N7141" s="182"/>
      <c r="O7141">
        <v>3476</v>
      </c>
      <c r="P7141" s="176" t="s">
        <v>77</v>
      </c>
      <c r="Q7141" s="176">
        <v>15</v>
      </c>
      <c r="R7141" s="176"/>
      <c r="S7141" s="176"/>
      <c r="T7141" s="190"/>
      <c r="U7141" s="191"/>
      <c r="V7141" s="191">
        <f>+Table1[[#This Row],[SUBTOTAL]]+Table1[[#This Row],[IVA]]-Table1[[#This Row],[RET IVA]]-Table1[[#This Row],[RET ISR]]</f>
        <v>15</v>
      </c>
      <c r="W7141"/>
      <c r="X7141" s="186"/>
      <c r="Y7141" s="187"/>
      <c r="Z7141" s="311" t="s">
        <v>214</v>
      </c>
      <c r="AB7141" t="str">
        <f>IF(Table1[[#This Row],[TIPO2]]="costo", VLOOKUP(Table1[[#This Row],[PARTIDA PRESUPUESTAL]],'Cost Report'!G:G,1,0),"Balance")</f>
        <v>2494-027</v>
      </c>
      <c r="AD7141" s="159">
        <f>+Table1[[#This Row],[SUBTOTAL]]+Table1[[#This Row],[IVA]]-Table1[[#This Row],[RET IVA]]-Table1[[#This Row],[RET ISR]]-Table1[[#This Row],[TOTAL]]</f>
        <v>0</v>
      </c>
      <c r="AK7141" s="306" t="str">
        <f>IF(ISNUMBER(Table1[[#This Row],[FECHA DE RECIBIDO]]), Table1[[#This Row],[FECHA DE RECIBIDO]]-DATE(2023,8,30), "")</f>
        <v/>
      </c>
    </row>
    <row r="7142" spans="1:37">
      <c r="A7142" s="172"/>
      <c r="B7142" s="178"/>
      <c r="C7142" s="179" t="s">
        <v>2455</v>
      </c>
      <c r="D7142">
        <v>4614</v>
      </c>
      <c r="E7142" s="125"/>
      <c r="F7142" s="178"/>
      <c r="G7142" s="178"/>
      <c r="H7142"/>
      <c r="I7142" s="178"/>
      <c r="J7142" s="320" t="s">
        <v>214</v>
      </c>
      <c r="K7142" s="178"/>
      <c r="L7142" s="125" t="s">
        <v>4863</v>
      </c>
      <c r="M7142">
        <v>215</v>
      </c>
      <c r="N7142" s="182"/>
      <c r="O7142">
        <v>3477</v>
      </c>
      <c r="P7142" s="176" t="s">
        <v>77</v>
      </c>
      <c r="Q7142" s="176">
        <v>26.970000000000002</v>
      </c>
      <c r="R7142" s="176"/>
      <c r="S7142" s="176"/>
      <c r="T7142" s="190"/>
      <c r="U7142" s="191"/>
      <c r="V7142" s="191">
        <f>+Table1[[#This Row],[SUBTOTAL]]+Table1[[#This Row],[IVA]]-Table1[[#This Row],[RET IVA]]-Table1[[#This Row],[RET ISR]]</f>
        <v>26.970000000000002</v>
      </c>
      <c r="W7142"/>
      <c r="X7142" s="186"/>
      <c r="Y7142" s="187"/>
      <c r="Z7142" s="311" t="s">
        <v>214</v>
      </c>
      <c r="AB7142" t="str">
        <f>IF(Table1[[#This Row],[TIPO2]]="costo", VLOOKUP(Table1[[#This Row],[PARTIDA PRESUPUESTAL]],'Cost Report'!G:G,1,0),"Balance")</f>
        <v>2285-003</v>
      </c>
      <c r="AD7142" s="159">
        <f>+Table1[[#This Row],[SUBTOTAL]]+Table1[[#This Row],[IVA]]-Table1[[#This Row],[RET IVA]]-Table1[[#This Row],[RET ISR]]-Table1[[#This Row],[TOTAL]]</f>
        <v>0</v>
      </c>
      <c r="AK7142" s="306" t="str">
        <f>IF(ISNUMBER(Table1[[#This Row],[FECHA DE RECIBIDO]]), Table1[[#This Row],[FECHA DE RECIBIDO]]-DATE(2023,8,30), "")</f>
        <v/>
      </c>
    </row>
    <row r="7143" spans="1:37">
      <c r="A7143" s="172"/>
      <c r="B7143" s="178"/>
      <c r="C7143" s="179" t="s">
        <v>1517</v>
      </c>
      <c r="D7143">
        <v>4614</v>
      </c>
      <c r="E7143" s="125"/>
      <c r="F7143" s="178"/>
      <c r="G7143" s="178"/>
      <c r="H7143"/>
      <c r="I7143" s="178"/>
      <c r="J7143" s="320" t="s">
        <v>214</v>
      </c>
      <c r="K7143" s="178"/>
      <c r="L7143" s="125" t="s">
        <v>4863</v>
      </c>
      <c r="M7143">
        <v>514</v>
      </c>
      <c r="N7143" s="182"/>
      <c r="O7143">
        <v>3478</v>
      </c>
      <c r="P7143" s="176" t="s">
        <v>77</v>
      </c>
      <c r="Q7143" s="176">
        <v>507.59999999999997</v>
      </c>
      <c r="R7143" s="176"/>
      <c r="S7143" s="176"/>
      <c r="T7143" s="190"/>
      <c r="U7143" s="191"/>
      <c r="V7143" s="191">
        <f>+Table1[[#This Row],[SUBTOTAL]]+Table1[[#This Row],[IVA]]-Table1[[#This Row],[RET IVA]]-Table1[[#This Row],[RET ISR]]</f>
        <v>507.59999999999997</v>
      </c>
      <c r="W7143"/>
      <c r="X7143" s="186"/>
      <c r="Y7143" s="187"/>
      <c r="Z7143" s="311" t="s">
        <v>214</v>
      </c>
      <c r="AB7143" t="str">
        <f>IF(Table1[[#This Row],[TIPO2]]="costo", VLOOKUP(Table1[[#This Row],[PARTIDA PRESUPUESTAL]],'Cost Report'!G:G,1,0),"Balance")</f>
        <v>2494-027</v>
      </c>
      <c r="AD7143" s="159">
        <f>+Table1[[#This Row],[SUBTOTAL]]+Table1[[#This Row],[IVA]]-Table1[[#This Row],[RET IVA]]-Table1[[#This Row],[RET ISR]]-Table1[[#This Row],[TOTAL]]</f>
        <v>0</v>
      </c>
      <c r="AK7143" s="306" t="str">
        <f>IF(ISNUMBER(Table1[[#This Row],[FECHA DE RECIBIDO]]), Table1[[#This Row],[FECHA DE RECIBIDO]]-DATE(2023,8,30), "")</f>
        <v/>
      </c>
    </row>
    <row r="7144" spans="1:37">
      <c r="A7144" s="172"/>
      <c r="B7144" s="178"/>
      <c r="C7144" s="179" t="s">
        <v>2455</v>
      </c>
      <c r="D7144">
        <v>4614</v>
      </c>
      <c r="E7144" s="125"/>
      <c r="F7144" s="178"/>
      <c r="G7144" s="178"/>
      <c r="H7144"/>
      <c r="I7144" s="178"/>
      <c r="J7144" s="320" t="s">
        <v>214</v>
      </c>
      <c r="K7144" s="178"/>
      <c r="L7144" s="125" t="s">
        <v>4863</v>
      </c>
      <c r="M7144">
        <v>809</v>
      </c>
      <c r="N7144" s="182"/>
      <c r="O7144">
        <v>3492</v>
      </c>
      <c r="P7144" s="176" t="s">
        <v>77</v>
      </c>
      <c r="Q7144" s="176">
        <v>10.266</v>
      </c>
      <c r="R7144" s="176"/>
      <c r="S7144" s="176"/>
      <c r="T7144" s="190"/>
      <c r="U7144" s="191"/>
      <c r="V7144" s="191">
        <f>+Table1[[#This Row],[SUBTOTAL]]+Table1[[#This Row],[IVA]]-Table1[[#This Row],[RET IVA]]-Table1[[#This Row],[RET ISR]]</f>
        <v>10.266</v>
      </c>
      <c r="W7144"/>
      <c r="X7144" s="186"/>
      <c r="Y7144" s="187"/>
      <c r="Z7144" s="311" t="s">
        <v>214</v>
      </c>
      <c r="AB7144" t="str">
        <f>IF(Table1[[#This Row],[TIPO2]]="costo", VLOOKUP(Table1[[#This Row],[PARTIDA PRESUPUESTAL]],'Cost Report'!G:G,1,0),"Balance")</f>
        <v>2285-003</v>
      </c>
      <c r="AD7144" s="159">
        <f>+Table1[[#This Row],[SUBTOTAL]]+Table1[[#This Row],[IVA]]-Table1[[#This Row],[RET IVA]]-Table1[[#This Row],[RET ISR]]-Table1[[#This Row],[TOTAL]]</f>
        <v>0</v>
      </c>
      <c r="AK7144" s="306" t="str">
        <f>IF(ISNUMBER(Table1[[#This Row],[FECHA DE RECIBIDO]]), Table1[[#This Row],[FECHA DE RECIBIDO]]-DATE(2023,8,30), "")</f>
        <v/>
      </c>
    </row>
    <row r="7145" spans="1:37">
      <c r="A7145" s="172"/>
      <c r="B7145" s="178"/>
      <c r="C7145" s="179" t="s">
        <v>1505</v>
      </c>
      <c r="D7145">
        <v>4614</v>
      </c>
      <c r="E7145" s="125"/>
      <c r="F7145" s="178"/>
      <c r="G7145" s="178"/>
      <c r="H7145"/>
      <c r="I7145" s="178"/>
      <c r="J7145" s="320" t="s">
        <v>214</v>
      </c>
      <c r="K7145" s="178"/>
      <c r="L7145" s="125" t="s">
        <v>4863</v>
      </c>
      <c r="M7145">
        <v>136</v>
      </c>
      <c r="N7145" s="182"/>
      <c r="O7145">
        <v>3493</v>
      </c>
      <c r="P7145" s="176" t="s">
        <v>77</v>
      </c>
      <c r="Q7145" s="176">
        <v>1510.8</v>
      </c>
      <c r="R7145" s="176"/>
      <c r="S7145" s="176"/>
      <c r="T7145" s="190"/>
      <c r="U7145" s="191"/>
      <c r="V7145" s="191">
        <f>+Table1[[#This Row],[SUBTOTAL]]+Table1[[#This Row],[IVA]]-Table1[[#This Row],[RET IVA]]-Table1[[#This Row],[RET ISR]]</f>
        <v>1510.8</v>
      </c>
      <c r="W7145"/>
      <c r="X7145" s="186"/>
      <c r="Y7145" s="187"/>
      <c r="Z7145" s="311" t="s">
        <v>214</v>
      </c>
      <c r="AB7145" t="str">
        <f>IF(Table1[[#This Row],[TIPO2]]="costo", VLOOKUP(Table1[[#This Row],[PARTIDA PRESUPUESTAL]],'Cost Report'!G:G,1,0),"Balance")</f>
        <v>2494-003</v>
      </c>
      <c r="AD7145" s="159">
        <f>+Table1[[#This Row],[SUBTOTAL]]+Table1[[#This Row],[IVA]]-Table1[[#This Row],[RET IVA]]-Table1[[#This Row],[RET ISR]]-Table1[[#This Row],[TOTAL]]</f>
        <v>0</v>
      </c>
      <c r="AK7145" s="306" t="str">
        <f>IF(ISNUMBER(Table1[[#This Row],[FECHA DE RECIBIDO]]), Table1[[#This Row],[FECHA DE RECIBIDO]]-DATE(2023,8,30), "")</f>
        <v/>
      </c>
    </row>
    <row r="7146" spans="1:37">
      <c r="A7146" s="172"/>
      <c r="B7146" s="178"/>
      <c r="C7146" s="179" t="s">
        <v>2565</v>
      </c>
      <c r="D7146">
        <v>4614</v>
      </c>
      <c r="E7146" s="125"/>
      <c r="F7146" s="178"/>
      <c r="G7146" s="178"/>
      <c r="H7146"/>
      <c r="I7146" s="178"/>
      <c r="J7146" s="320" t="s">
        <v>214</v>
      </c>
      <c r="K7146" s="178"/>
      <c r="L7146" s="125" t="s">
        <v>4863</v>
      </c>
      <c r="M7146">
        <v>1260</v>
      </c>
      <c r="N7146" s="182"/>
      <c r="O7146">
        <v>905</v>
      </c>
      <c r="P7146" s="176" t="s">
        <v>77</v>
      </c>
      <c r="Q7146" s="176">
        <v>2.4</v>
      </c>
      <c r="R7146" s="176"/>
      <c r="S7146" s="176"/>
      <c r="T7146" s="190"/>
      <c r="U7146" s="191"/>
      <c r="V7146" s="191">
        <f>+Table1[[#This Row],[SUBTOTAL]]+Table1[[#This Row],[IVA]]-Table1[[#This Row],[RET IVA]]-Table1[[#This Row],[RET ISR]]</f>
        <v>2.4</v>
      </c>
      <c r="W7146"/>
      <c r="X7146" s="186"/>
      <c r="Y7146" s="187"/>
      <c r="Z7146" s="311" t="s">
        <v>214</v>
      </c>
      <c r="AB7146" t="str">
        <f>IF(Table1[[#This Row],[TIPO2]]="costo", VLOOKUP(Table1[[#This Row],[PARTIDA PRESUPUESTAL]],'Cost Report'!G:G,1,0),"Balance")</f>
        <v>2585-003</v>
      </c>
      <c r="AD7146" s="159">
        <f>+Table1[[#This Row],[SUBTOTAL]]+Table1[[#This Row],[IVA]]-Table1[[#This Row],[RET IVA]]-Table1[[#This Row],[RET ISR]]-Table1[[#This Row],[TOTAL]]</f>
        <v>0</v>
      </c>
      <c r="AK7146" s="306" t="str">
        <f>IF(ISNUMBER(Table1[[#This Row],[FECHA DE RECIBIDO]]), Table1[[#This Row],[FECHA DE RECIBIDO]]-DATE(2023,8,30), "")</f>
        <v/>
      </c>
    </row>
    <row r="7147" spans="1:37">
      <c r="A7147" s="172"/>
      <c r="B7147" s="178"/>
      <c r="C7147" s="179" t="s">
        <v>2565</v>
      </c>
      <c r="D7147">
        <v>4614</v>
      </c>
      <c r="E7147" s="125"/>
      <c r="F7147" s="178"/>
      <c r="G7147" s="178"/>
      <c r="H7147"/>
      <c r="I7147" s="178"/>
      <c r="J7147" s="320" t="s">
        <v>214</v>
      </c>
      <c r="K7147" s="178"/>
      <c r="L7147" s="125" t="s">
        <v>4863</v>
      </c>
      <c r="M7147">
        <v>1260</v>
      </c>
      <c r="N7147" s="182"/>
      <c r="O7147">
        <v>905</v>
      </c>
      <c r="P7147" s="176" t="s">
        <v>77</v>
      </c>
      <c r="Q7147" s="176">
        <v>2.4</v>
      </c>
      <c r="R7147" s="176"/>
      <c r="S7147" s="176"/>
      <c r="T7147" s="190"/>
      <c r="U7147" s="191"/>
      <c r="V7147" s="191">
        <f>+Table1[[#This Row],[SUBTOTAL]]+Table1[[#This Row],[IVA]]-Table1[[#This Row],[RET IVA]]-Table1[[#This Row],[RET ISR]]</f>
        <v>2.4</v>
      </c>
      <c r="W7147"/>
      <c r="X7147" s="186"/>
      <c r="Y7147" s="187"/>
      <c r="Z7147" s="311" t="s">
        <v>214</v>
      </c>
      <c r="AB7147" t="str">
        <f>IF(Table1[[#This Row],[TIPO2]]="costo", VLOOKUP(Table1[[#This Row],[PARTIDA PRESUPUESTAL]],'Cost Report'!G:G,1,0),"Balance")</f>
        <v>2585-003</v>
      </c>
      <c r="AD7147" s="159">
        <f>+Table1[[#This Row],[SUBTOTAL]]+Table1[[#This Row],[IVA]]-Table1[[#This Row],[RET IVA]]-Table1[[#This Row],[RET ISR]]-Table1[[#This Row],[TOTAL]]</f>
        <v>0</v>
      </c>
      <c r="AK7147" s="306" t="str">
        <f>IF(ISNUMBER(Table1[[#This Row],[FECHA DE RECIBIDO]]), Table1[[#This Row],[FECHA DE RECIBIDO]]-DATE(2023,8,30), "")</f>
        <v/>
      </c>
    </row>
    <row r="7148" spans="1:37">
      <c r="A7148" s="172"/>
      <c r="B7148" s="178"/>
      <c r="C7148" s="179" t="s">
        <v>2565</v>
      </c>
      <c r="D7148">
        <v>4614</v>
      </c>
      <c r="E7148" s="125"/>
      <c r="F7148" s="178"/>
      <c r="G7148" s="178"/>
      <c r="H7148"/>
      <c r="I7148" s="178"/>
      <c r="J7148" s="320" t="s">
        <v>214</v>
      </c>
      <c r="K7148" s="178"/>
      <c r="L7148" s="125" t="s">
        <v>4863</v>
      </c>
      <c r="M7148">
        <v>1260</v>
      </c>
      <c r="N7148" s="182"/>
      <c r="O7148">
        <v>905</v>
      </c>
      <c r="P7148" s="176" t="s">
        <v>77</v>
      </c>
      <c r="Q7148" s="176">
        <v>2.4</v>
      </c>
      <c r="R7148" s="176"/>
      <c r="S7148" s="176"/>
      <c r="T7148" s="190"/>
      <c r="U7148" s="191"/>
      <c r="V7148" s="191">
        <f>+Table1[[#This Row],[SUBTOTAL]]+Table1[[#This Row],[IVA]]-Table1[[#This Row],[RET IVA]]-Table1[[#This Row],[RET ISR]]</f>
        <v>2.4</v>
      </c>
      <c r="W7148"/>
      <c r="X7148" s="186"/>
      <c r="Y7148" s="187"/>
      <c r="Z7148" s="311" t="s">
        <v>214</v>
      </c>
      <c r="AB7148" t="str">
        <f>IF(Table1[[#This Row],[TIPO2]]="costo", VLOOKUP(Table1[[#This Row],[PARTIDA PRESUPUESTAL]],'Cost Report'!G:G,1,0),"Balance")</f>
        <v>2585-003</v>
      </c>
      <c r="AD7148" s="159">
        <f>+Table1[[#This Row],[SUBTOTAL]]+Table1[[#This Row],[IVA]]-Table1[[#This Row],[RET IVA]]-Table1[[#This Row],[RET ISR]]-Table1[[#This Row],[TOTAL]]</f>
        <v>0</v>
      </c>
      <c r="AK7148" s="306" t="str">
        <f>IF(ISNUMBER(Table1[[#This Row],[FECHA DE RECIBIDO]]), Table1[[#This Row],[FECHA DE RECIBIDO]]-DATE(2023,8,30), "")</f>
        <v/>
      </c>
    </row>
    <row r="7149" spans="1:37">
      <c r="A7149" s="172"/>
      <c r="B7149" s="178"/>
      <c r="C7149" s="179" t="s">
        <v>2565</v>
      </c>
      <c r="D7149">
        <v>4614</v>
      </c>
      <c r="E7149" s="125"/>
      <c r="F7149" s="178"/>
      <c r="G7149" s="178"/>
      <c r="H7149"/>
      <c r="I7149" s="178"/>
      <c r="J7149" s="320" t="s">
        <v>214</v>
      </c>
      <c r="K7149" s="178"/>
      <c r="L7149" s="125" t="s">
        <v>4863</v>
      </c>
      <c r="M7149">
        <v>1261</v>
      </c>
      <c r="N7149" s="182"/>
      <c r="O7149">
        <v>905</v>
      </c>
      <c r="P7149" s="176" t="s">
        <v>77</v>
      </c>
      <c r="Q7149" s="176">
        <v>14.7</v>
      </c>
      <c r="R7149" s="176"/>
      <c r="S7149" s="176"/>
      <c r="T7149" s="190"/>
      <c r="U7149" s="191"/>
      <c r="V7149" s="191">
        <f>+Table1[[#This Row],[SUBTOTAL]]+Table1[[#This Row],[IVA]]-Table1[[#This Row],[RET IVA]]-Table1[[#This Row],[RET ISR]]</f>
        <v>14.7</v>
      </c>
      <c r="W7149"/>
      <c r="X7149" s="186"/>
      <c r="Y7149" s="187"/>
      <c r="Z7149" s="311" t="s">
        <v>214</v>
      </c>
      <c r="AB7149" t="str">
        <f>IF(Table1[[#This Row],[TIPO2]]="costo", VLOOKUP(Table1[[#This Row],[PARTIDA PRESUPUESTAL]],'Cost Report'!G:G,1,0),"Balance")</f>
        <v>2585-003</v>
      </c>
      <c r="AD7149" s="159">
        <f>+Table1[[#This Row],[SUBTOTAL]]+Table1[[#This Row],[IVA]]-Table1[[#This Row],[RET IVA]]-Table1[[#This Row],[RET ISR]]-Table1[[#This Row],[TOTAL]]</f>
        <v>0</v>
      </c>
      <c r="AK7149" s="306" t="str">
        <f>IF(ISNUMBER(Table1[[#This Row],[FECHA DE RECIBIDO]]), Table1[[#This Row],[FECHA DE RECIBIDO]]-DATE(2023,8,30), "")</f>
        <v/>
      </c>
    </row>
    <row r="7150" spans="1:37">
      <c r="A7150" s="172"/>
      <c r="B7150" s="178"/>
      <c r="C7150" s="179" t="s">
        <v>2565</v>
      </c>
      <c r="D7150">
        <v>4614</v>
      </c>
      <c r="E7150" s="125"/>
      <c r="F7150" s="178"/>
      <c r="G7150" s="178"/>
      <c r="H7150"/>
      <c r="I7150" s="178"/>
      <c r="J7150" s="320" t="s">
        <v>214</v>
      </c>
      <c r="K7150" s="178"/>
      <c r="L7150" s="125" t="s">
        <v>4863</v>
      </c>
      <c r="M7150">
        <v>1262</v>
      </c>
      <c r="N7150" s="182"/>
      <c r="O7150">
        <v>905</v>
      </c>
      <c r="P7150" s="176" t="s">
        <v>77</v>
      </c>
      <c r="Q7150" s="176">
        <v>10.199999999999999</v>
      </c>
      <c r="R7150" s="176"/>
      <c r="S7150" s="176"/>
      <c r="T7150" s="190"/>
      <c r="U7150" s="191"/>
      <c r="V7150" s="191">
        <f>+Table1[[#This Row],[SUBTOTAL]]+Table1[[#This Row],[IVA]]-Table1[[#This Row],[RET IVA]]-Table1[[#This Row],[RET ISR]]</f>
        <v>10.199999999999999</v>
      </c>
      <c r="W7150"/>
      <c r="X7150" s="186"/>
      <c r="Y7150" s="187"/>
      <c r="Z7150" s="311" t="s">
        <v>214</v>
      </c>
      <c r="AB7150" t="str">
        <f>IF(Table1[[#This Row],[TIPO2]]="costo", VLOOKUP(Table1[[#This Row],[PARTIDA PRESUPUESTAL]],'Cost Report'!G:G,1,0),"Balance")</f>
        <v>2585-003</v>
      </c>
      <c r="AD7150" s="159">
        <f>+Table1[[#This Row],[SUBTOTAL]]+Table1[[#This Row],[IVA]]-Table1[[#This Row],[RET IVA]]-Table1[[#This Row],[RET ISR]]-Table1[[#This Row],[TOTAL]]</f>
        <v>0</v>
      </c>
      <c r="AK7150" s="306" t="str">
        <f>IF(ISNUMBER(Table1[[#This Row],[FECHA DE RECIBIDO]]), Table1[[#This Row],[FECHA DE RECIBIDO]]-DATE(2023,8,30), "")</f>
        <v/>
      </c>
    </row>
    <row r="7151" spans="1:37">
      <c r="A7151" s="172"/>
      <c r="B7151" s="178"/>
      <c r="C7151" s="179" t="s">
        <v>2596</v>
      </c>
      <c r="D7151">
        <v>4614</v>
      </c>
      <c r="E7151" s="125"/>
      <c r="F7151" s="178"/>
      <c r="G7151" s="178"/>
      <c r="H7151"/>
      <c r="I7151" s="178"/>
      <c r="J7151" s="320" t="s">
        <v>214</v>
      </c>
      <c r="K7151" s="178"/>
      <c r="L7151" s="125" t="s">
        <v>4863</v>
      </c>
      <c r="M7151">
        <v>592</v>
      </c>
      <c r="N7151" s="182"/>
      <c r="O7151">
        <v>3496</v>
      </c>
      <c r="P7151" s="176" t="s">
        <v>77</v>
      </c>
      <c r="Q7151" s="176">
        <v>10.44</v>
      </c>
      <c r="R7151" s="176"/>
      <c r="S7151" s="176"/>
      <c r="T7151" s="190"/>
      <c r="U7151" s="191"/>
      <c r="V7151" s="191">
        <f>+Table1[[#This Row],[SUBTOTAL]]+Table1[[#This Row],[IVA]]-Table1[[#This Row],[RET IVA]]-Table1[[#This Row],[RET ISR]]</f>
        <v>10.44</v>
      </c>
      <c r="W7151"/>
      <c r="X7151" s="186"/>
      <c r="Y7151" s="187"/>
      <c r="Z7151" s="311" t="s">
        <v>214</v>
      </c>
      <c r="AB7151" t="str">
        <f>IF(Table1[[#This Row],[TIPO2]]="costo", VLOOKUP(Table1[[#This Row],[PARTIDA PRESUPUESTAL]],'Cost Report'!G:G,1,0),"Balance")</f>
        <v>2794-003</v>
      </c>
      <c r="AD7151" s="159">
        <f>+Table1[[#This Row],[SUBTOTAL]]+Table1[[#This Row],[IVA]]-Table1[[#This Row],[RET IVA]]-Table1[[#This Row],[RET ISR]]-Table1[[#This Row],[TOTAL]]</f>
        <v>0</v>
      </c>
      <c r="AK7151" s="306" t="str">
        <f>IF(ISNUMBER(Table1[[#This Row],[FECHA DE RECIBIDO]]), Table1[[#This Row],[FECHA DE RECIBIDO]]-DATE(2023,8,30), "")</f>
        <v/>
      </c>
    </row>
    <row r="7152" spans="1:37">
      <c r="A7152" s="172"/>
      <c r="B7152" s="178"/>
      <c r="C7152" s="179" t="s">
        <v>2565</v>
      </c>
      <c r="D7152">
        <v>4614</v>
      </c>
      <c r="E7152" s="125"/>
      <c r="F7152" s="178"/>
      <c r="G7152" s="178"/>
      <c r="H7152"/>
      <c r="I7152" s="178"/>
      <c r="J7152" s="320" t="s">
        <v>214</v>
      </c>
      <c r="K7152" s="178"/>
      <c r="L7152" s="125" t="s">
        <v>4863</v>
      </c>
      <c r="M7152">
        <v>1260</v>
      </c>
      <c r="N7152" s="182"/>
      <c r="O7152">
        <v>905</v>
      </c>
      <c r="P7152" s="176" t="s">
        <v>77</v>
      </c>
      <c r="Q7152" s="176">
        <v>4.5</v>
      </c>
      <c r="R7152" s="176"/>
      <c r="S7152" s="176"/>
      <c r="T7152" s="190"/>
      <c r="U7152" s="191"/>
      <c r="V7152" s="191">
        <f>+Table1[[#This Row],[SUBTOTAL]]+Table1[[#This Row],[IVA]]-Table1[[#This Row],[RET IVA]]-Table1[[#This Row],[RET ISR]]</f>
        <v>4.5</v>
      </c>
      <c r="W7152"/>
      <c r="X7152" s="186"/>
      <c r="Y7152" s="187"/>
      <c r="Z7152" s="311" t="s">
        <v>214</v>
      </c>
      <c r="AB7152" t="str">
        <f>IF(Table1[[#This Row],[TIPO2]]="costo", VLOOKUP(Table1[[#This Row],[PARTIDA PRESUPUESTAL]],'Cost Report'!G:G,1,0),"Balance")</f>
        <v>2585-003</v>
      </c>
      <c r="AD7152" s="159">
        <f>+Table1[[#This Row],[SUBTOTAL]]+Table1[[#This Row],[IVA]]-Table1[[#This Row],[RET IVA]]-Table1[[#This Row],[RET ISR]]-Table1[[#This Row],[TOTAL]]</f>
        <v>0</v>
      </c>
      <c r="AK7152" s="306" t="str">
        <f>IF(ISNUMBER(Table1[[#This Row],[FECHA DE RECIBIDO]]), Table1[[#This Row],[FECHA DE RECIBIDO]]-DATE(2023,8,30), "")</f>
        <v/>
      </c>
    </row>
    <row r="7153" spans="1:37">
      <c r="A7153" s="172"/>
      <c r="B7153" s="178"/>
      <c r="C7153" s="179" t="s">
        <v>2596</v>
      </c>
      <c r="D7153">
        <v>4614</v>
      </c>
      <c r="E7153" s="125"/>
      <c r="F7153" s="178"/>
      <c r="G7153" s="178"/>
      <c r="H7153"/>
      <c r="I7153" s="178"/>
      <c r="J7153" s="320" t="s">
        <v>214</v>
      </c>
      <c r="K7153" s="178"/>
      <c r="L7153" s="125" t="s">
        <v>4863</v>
      </c>
      <c r="M7153">
        <v>592</v>
      </c>
      <c r="N7153" s="182"/>
      <c r="O7153">
        <v>3496</v>
      </c>
      <c r="P7153" s="176" t="s">
        <v>77</v>
      </c>
      <c r="Q7153" s="176">
        <v>10.44</v>
      </c>
      <c r="R7153" s="176"/>
      <c r="S7153" s="176"/>
      <c r="T7153" s="190"/>
      <c r="U7153" s="191"/>
      <c r="V7153" s="191">
        <f>+Table1[[#This Row],[SUBTOTAL]]+Table1[[#This Row],[IVA]]-Table1[[#This Row],[RET IVA]]-Table1[[#This Row],[RET ISR]]</f>
        <v>10.44</v>
      </c>
      <c r="W7153"/>
      <c r="X7153" s="186"/>
      <c r="Y7153" s="187"/>
      <c r="Z7153" s="311" t="s">
        <v>214</v>
      </c>
      <c r="AB7153" t="str">
        <f>IF(Table1[[#This Row],[TIPO2]]="costo", VLOOKUP(Table1[[#This Row],[PARTIDA PRESUPUESTAL]],'Cost Report'!G:G,1,0),"Balance")</f>
        <v>2794-003</v>
      </c>
      <c r="AD7153" s="159">
        <f>+Table1[[#This Row],[SUBTOTAL]]+Table1[[#This Row],[IVA]]-Table1[[#This Row],[RET IVA]]-Table1[[#This Row],[RET ISR]]-Table1[[#This Row],[TOTAL]]</f>
        <v>0</v>
      </c>
      <c r="AK7153" s="306" t="str">
        <f>IF(ISNUMBER(Table1[[#This Row],[FECHA DE RECIBIDO]]), Table1[[#This Row],[FECHA DE RECIBIDO]]-DATE(2023,8,30), "")</f>
        <v/>
      </c>
    </row>
    <row r="7154" spans="1:37">
      <c r="A7154" s="172"/>
      <c r="B7154" s="178"/>
      <c r="C7154" s="179" t="s">
        <v>2596</v>
      </c>
      <c r="D7154">
        <v>4614</v>
      </c>
      <c r="E7154" s="125"/>
      <c r="F7154" s="178"/>
      <c r="G7154" s="178"/>
      <c r="H7154"/>
      <c r="I7154" s="178"/>
      <c r="J7154" s="320" t="s">
        <v>214</v>
      </c>
      <c r="K7154" s="178"/>
      <c r="L7154" s="125" t="s">
        <v>4863</v>
      </c>
      <c r="M7154">
        <v>1263</v>
      </c>
      <c r="N7154" s="182"/>
      <c r="O7154">
        <v>3497</v>
      </c>
      <c r="P7154" s="176" t="s">
        <v>77</v>
      </c>
      <c r="Q7154" s="176">
        <v>150</v>
      </c>
      <c r="R7154" s="176"/>
      <c r="S7154" s="176"/>
      <c r="T7154" s="190"/>
      <c r="U7154" s="191"/>
      <c r="V7154" s="191">
        <f>+Table1[[#This Row],[SUBTOTAL]]+Table1[[#This Row],[IVA]]-Table1[[#This Row],[RET IVA]]-Table1[[#This Row],[RET ISR]]</f>
        <v>150</v>
      </c>
      <c r="W7154"/>
      <c r="X7154" s="186"/>
      <c r="Y7154" s="187"/>
      <c r="Z7154" s="311" t="s">
        <v>214</v>
      </c>
      <c r="AB7154" t="str">
        <f>IF(Table1[[#This Row],[TIPO2]]="costo", VLOOKUP(Table1[[#This Row],[PARTIDA PRESUPUESTAL]],'Cost Report'!G:G,1,0),"Balance")</f>
        <v>2794-003</v>
      </c>
      <c r="AD7154" s="159">
        <f>+Table1[[#This Row],[SUBTOTAL]]+Table1[[#This Row],[IVA]]-Table1[[#This Row],[RET IVA]]-Table1[[#This Row],[RET ISR]]-Table1[[#This Row],[TOTAL]]</f>
        <v>0</v>
      </c>
      <c r="AK7154" s="306" t="str">
        <f>IF(ISNUMBER(Table1[[#This Row],[FECHA DE RECIBIDO]]), Table1[[#This Row],[FECHA DE RECIBIDO]]-DATE(2023,8,30), "")</f>
        <v/>
      </c>
    </row>
    <row r="7155" spans="1:37">
      <c r="A7155" s="172"/>
      <c r="B7155" s="178"/>
      <c r="C7155" s="179" t="s">
        <v>2596</v>
      </c>
      <c r="D7155">
        <v>4614</v>
      </c>
      <c r="E7155" s="125"/>
      <c r="F7155" s="178"/>
      <c r="G7155" s="178"/>
      <c r="H7155"/>
      <c r="I7155" s="178"/>
      <c r="J7155" s="320" t="s">
        <v>214</v>
      </c>
      <c r="K7155" s="178"/>
      <c r="L7155" s="125" t="s">
        <v>4863</v>
      </c>
      <c r="M7155">
        <v>809</v>
      </c>
      <c r="N7155" s="182"/>
      <c r="O7155">
        <v>3496</v>
      </c>
      <c r="P7155" s="176" t="s">
        <v>77</v>
      </c>
      <c r="Q7155" s="176">
        <v>10.266</v>
      </c>
      <c r="R7155" s="176"/>
      <c r="S7155" s="176"/>
      <c r="T7155" s="190"/>
      <c r="U7155" s="191"/>
      <c r="V7155" s="191">
        <f>+Table1[[#This Row],[SUBTOTAL]]+Table1[[#This Row],[IVA]]-Table1[[#This Row],[RET IVA]]-Table1[[#This Row],[RET ISR]]</f>
        <v>10.266</v>
      </c>
      <c r="W7155"/>
      <c r="X7155" s="186"/>
      <c r="Y7155" s="187"/>
      <c r="Z7155" s="311" t="s">
        <v>214</v>
      </c>
      <c r="AB7155" t="str">
        <f>IF(Table1[[#This Row],[TIPO2]]="costo", VLOOKUP(Table1[[#This Row],[PARTIDA PRESUPUESTAL]],'Cost Report'!G:G,1,0),"Balance")</f>
        <v>2794-003</v>
      </c>
      <c r="AD7155" s="159">
        <f>+Table1[[#This Row],[SUBTOTAL]]+Table1[[#This Row],[IVA]]-Table1[[#This Row],[RET IVA]]-Table1[[#This Row],[RET ISR]]-Table1[[#This Row],[TOTAL]]</f>
        <v>0</v>
      </c>
      <c r="AK7155" s="306" t="str">
        <f>IF(ISNUMBER(Table1[[#This Row],[FECHA DE RECIBIDO]]), Table1[[#This Row],[FECHA DE RECIBIDO]]-DATE(2023,8,30), "")</f>
        <v/>
      </c>
    </row>
    <row r="7156" spans="1:37">
      <c r="A7156" s="172"/>
      <c r="B7156" s="178"/>
      <c r="C7156" s="179" t="s">
        <v>2749</v>
      </c>
      <c r="D7156">
        <v>4614</v>
      </c>
      <c r="E7156" s="125"/>
      <c r="F7156" s="178"/>
      <c r="G7156" s="178"/>
      <c r="H7156"/>
      <c r="I7156" s="178"/>
      <c r="J7156" s="320" t="s">
        <v>214</v>
      </c>
      <c r="K7156" s="178"/>
      <c r="L7156" s="125" t="s">
        <v>4863</v>
      </c>
      <c r="M7156">
        <v>1265</v>
      </c>
      <c r="N7156" s="182"/>
      <c r="O7156">
        <v>3501</v>
      </c>
      <c r="P7156" s="176" t="s">
        <v>77</v>
      </c>
      <c r="Q7156" s="176">
        <v>9.395999999999999</v>
      </c>
      <c r="R7156" s="176"/>
      <c r="S7156" s="176"/>
      <c r="T7156" s="190"/>
      <c r="U7156" s="191"/>
      <c r="V7156" s="191">
        <f>+Table1[[#This Row],[SUBTOTAL]]+Table1[[#This Row],[IVA]]-Table1[[#This Row],[RET IVA]]-Table1[[#This Row],[RET ISR]]</f>
        <v>9.395999999999999</v>
      </c>
      <c r="W7156"/>
      <c r="X7156" s="186"/>
      <c r="Y7156" s="187"/>
      <c r="Z7156" s="311" t="s">
        <v>214</v>
      </c>
      <c r="AB7156" t="str">
        <f>IF(Table1[[#This Row],[TIPO2]]="costo", VLOOKUP(Table1[[#This Row],[PARTIDA PRESUPUESTAL]],'Cost Report'!G:G,1,0),"Balance")</f>
        <v>3401-011</v>
      </c>
      <c r="AD7156" s="159">
        <f>+Table1[[#This Row],[SUBTOTAL]]+Table1[[#This Row],[IVA]]-Table1[[#This Row],[RET IVA]]-Table1[[#This Row],[RET ISR]]-Table1[[#This Row],[TOTAL]]</f>
        <v>0</v>
      </c>
      <c r="AK7156" s="306" t="str">
        <f>IF(ISNUMBER(Table1[[#This Row],[FECHA DE RECIBIDO]]), Table1[[#This Row],[FECHA DE RECIBIDO]]-DATE(2023,8,30), "")</f>
        <v/>
      </c>
    </row>
    <row r="7157" spans="1:37">
      <c r="A7157" s="172"/>
      <c r="B7157" s="178"/>
      <c r="C7157" s="179" t="s">
        <v>2749</v>
      </c>
      <c r="D7157">
        <v>4614</v>
      </c>
      <c r="E7157" s="125"/>
      <c r="F7157" s="178"/>
      <c r="G7157" s="178"/>
      <c r="H7157"/>
      <c r="I7157" s="178"/>
      <c r="J7157" s="320" t="s">
        <v>214</v>
      </c>
      <c r="K7157" s="178"/>
      <c r="L7157" s="125" t="s">
        <v>4863</v>
      </c>
      <c r="M7157">
        <v>1265</v>
      </c>
      <c r="N7157" s="182"/>
      <c r="O7157">
        <v>3501</v>
      </c>
      <c r="P7157" s="176" t="s">
        <v>77</v>
      </c>
      <c r="Q7157" s="176">
        <v>10.266</v>
      </c>
      <c r="R7157" s="176"/>
      <c r="S7157" s="176"/>
      <c r="T7157" s="190"/>
      <c r="U7157" s="191"/>
      <c r="V7157" s="191">
        <f>+Table1[[#This Row],[SUBTOTAL]]+Table1[[#This Row],[IVA]]-Table1[[#This Row],[RET IVA]]-Table1[[#This Row],[RET ISR]]</f>
        <v>10.266</v>
      </c>
      <c r="W7157"/>
      <c r="X7157" s="186"/>
      <c r="Y7157" s="187"/>
      <c r="Z7157" s="311" t="s">
        <v>214</v>
      </c>
      <c r="AB7157" t="str">
        <f>IF(Table1[[#This Row],[TIPO2]]="costo", VLOOKUP(Table1[[#This Row],[PARTIDA PRESUPUESTAL]],'Cost Report'!G:G,1,0),"Balance")</f>
        <v>3401-011</v>
      </c>
      <c r="AD7157" s="159">
        <f>+Table1[[#This Row],[SUBTOTAL]]+Table1[[#This Row],[IVA]]-Table1[[#This Row],[RET IVA]]-Table1[[#This Row],[RET ISR]]-Table1[[#This Row],[TOTAL]]</f>
        <v>0</v>
      </c>
      <c r="AK7157" s="306" t="str">
        <f>IF(ISNUMBER(Table1[[#This Row],[FECHA DE RECIBIDO]]), Table1[[#This Row],[FECHA DE RECIBIDO]]-DATE(2023,8,30), "")</f>
        <v/>
      </c>
    </row>
    <row r="7158" spans="1:37">
      <c r="A7158" s="172"/>
      <c r="B7158" s="178"/>
      <c r="C7158" s="179" t="s">
        <v>2749</v>
      </c>
      <c r="D7158">
        <v>4614</v>
      </c>
      <c r="E7158" s="125"/>
      <c r="F7158" s="178"/>
      <c r="G7158" s="178"/>
      <c r="H7158"/>
      <c r="I7158" s="178"/>
      <c r="J7158" s="320" t="s">
        <v>214</v>
      </c>
      <c r="K7158" s="178"/>
      <c r="L7158" s="125" t="s">
        <v>4863</v>
      </c>
      <c r="M7158">
        <v>1265</v>
      </c>
      <c r="N7158" s="182"/>
      <c r="O7158">
        <v>3501</v>
      </c>
      <c r="P7158" s="176" t="s">
        <v>77</v>
      </c>
      <c r="Q7158" s="176">
        <v>9.395999999999999</v>
      </c>
      <c r="R7158" s="176"/>
      <c r="S7158" s="176"/>
      <c r="T7158" s="190"/>
      <c r="U7158" s="191"/>
      <c r="V7158" s="191">
        <f>+Table1[[#This Row],[SUBTOTAL]]+Table1[[#This Row],[IVA]]-Table1[[#This Row],[RET IVA]]-Table1[[#This Row],[RET ISR]]</f>
        <v>9.395999999999999</v>
      </c>
      <c r="W7158"/>
      <c r="X7158" s="186"/>
      <c r="Y7158" s="187"/>
      <c r="Z7158" s="311" t="s">
        <v>214</v>
      </c>
      <c r="AB7158" t="str">
        <f>IF(Table1[[#This Row],[TIPO2]]="costo", VLOOKUP(Table1[[#This Row],[PARTIDA PRESUPUESTAL]],'Cost Report'!G:G,1,0),"Balance")</f>
        <v>3401-011</v>
      </c>
      <c r="AD7158" s="159">
        <f>+Table1[[#This Row],[SUBTOTAL]]+Table1[[#This Row],[IVA]]-Table1[[#This Row],[RET IVA]]-Table1[[#This Row],[RET ISR]]-Table1[[#This Row],[TOTAL]]</f>
        <v>0</v>
      </c>
      <c r="AK7158" s="306" t="str">
        <f>IF(ISNUMBER(Table1[[#This Row],[FECHA DE RECIBIDO]]), Table1[[#This Row],[FECHA DE RECIBIDO]]-DATE(2023,8,30), "")</f>
        <v/>
      </c>
    </row>
    <row r="7159" spans="1:37">
      <c r="A7159" s="172"/>
      <c r="B7159" s="178"/>
      <c r="C7159" s="179" t="s">
        <v>2749</v>
      </c>
      <c r="D7159">
        <v>4614</v>
      </c>
      <c r="E7159" s="125"/>
      <c r="F7159" s="178"/>
      <c r="G7159" s="178"/>
      <c r="H7159"/>
      <c r="I7159" s="178"/>
      <c r="J7159" s="320" t="s">
        <v>214</v>
      </c>
      <c r="K7159" s="178"/>
      <c r="L7159" s="125" t="s">
        <v>4863</v>
      </c>
      <c r="M7159">
        <v>1265</v>
      </c>
      <c r="N7159" s="182"/>
      <c r="O7159">
        <v>3501</v>
      </c>
      <c r="P7159" s="176" t="s">
        <v>77</v>
      </c>
      <c r="Q7159" s="176">
        <v>9.048</v>
      </c>
      <c r="R7159" s="176"/>
      <c r="S7159" s="176"/>
      <c r="T7159" s="190"/>
      <c r="U7159" s="191"/>
      <c r="V7159" s="191">
        <f>+Table1[[#This Row],[SUBTOTAL]]+Table1[[#This Row],[IVA]]-Table1[[#This Row],[RET IVA]]-Table1[[#This Row],[RET ISR]]</f>
        <v>9.048</v>
      </c>
      <c r="W7159"/>
      <c r="X7159" s="186"/>
      <c r="Y7159" s="187"/>
      <c r="Z7159" s="311" t="s">
        <v>214</v>
      </c>
      <c r="AB7159" t="str">
        <f>IF(Table1[[#This Row],[TIPO2]]="costo", VLOOKUP(Table1[[#This Row],[PARTIDA PRESUPUESTAL]],'Cost Report'!G:G,1,0),"Balance")</f>
        <v>3401-011</v>
      </c>
      <c r="AD7159" s="159">
        <f>+Table1[[#This Row],[SUBTOTAL]]+Table1[[#This Row],[IVA]]-Table1[[#This Row],[RET IVA]]-Table1[[#This Row],[RET ISR]]-Table1[[#This Row],[TOTAL]]</f>
        <v>0</v>
      </c>
      <c r="AK7159" s="306" t="str">
        <f>IF(ISNUMBER(Table1[[#This Row],[FECHA DE RECIBIDO]]), Table1[[#This Row],[FECHA DE RECIBIDO]]-DATE(2023,8,30), "")</f>
        <v/>
      </c>
    </row>
    <row r="7160" spans="1:37">
      <c r="A7160" s="172"/>
      <c r="B7160" s="178"/>
      <c r="C7160" s="179" t="s">
        <v>2596</v>
      </c>
      <c r="D7160">
        <v>4614</v>
      </c>
      <c r="E7160" s="125"/>
      <c r="F7160" s="178"/>
      <c r="G7160" s="178"/>
      <c r="H7160"/>
      <c r="I7160" s="178"/>
      <c r="J7160" s="320" t="s">
        <v>214</v>
      </c>
      <c r="K7160" s="178"/>
      <c r="L7160" s="125" t="s">
        <v>4863</v>
      </c>
      <c r="M7160">
        <v>1266</v>
      </c>
      <c r="N7160" s="182"/>
      <c r="O7160">
        <v>1939</v>
      </c>
      <c r="P7160" s="176" t="s">
        <v>77</v>
      </c>
      <c r="Q7160" s="176">
        <v>174</v>
      </c>
      <c r="R7160" s="176"/>
      <c r="S7160" s="176"/>
      <c r="T7160" s="190"/>
      <c r="U7160" s="191"/>
      <c r="V7160" s="191">
        <f>+Table1[[#This Row],[SUBTOTAL]]+Table1[[#This Row],[IVA]]-Table1[[#This Row],[RET IVA]]-Table1[[#This Row],[RET ISR]]</f>
        <v>174</v>
      </c>
      <c r="W7160"/>
      <c r="X7160" s="186"/>
      <c r="Y7160" s="187"/>
      <c r="Z7160" s="311" t="s">
        <v>214</v>
      </c>
      <c r="AB7160" t="str">
        <f>IF(Table1[[#This Row],[TIPO2]]="costo", VLOOKUP(Table1[[#This Row],[PARTIDA PRESUPUESTAL]],'Cost Report'!G:G,1,0),"Balance")</f>
        <v>2794-003</v>
      </c>
      <c r="AD7160" s="159">
        <f>+Table1[[#This Row],[SUBTOTAL]]+Table1[[#This Row],[IVA]]-Table1[[#This Row],[RET IVA]]-Table1[[#This Row],[RET ISR]]-Table1[[#This Row],[TOTAL]]</f>
        <v>0</v>
      </c>
      <c r="AK7160" s="306" t="str">
        <f>IF(ISNUMBER(Table1[[#This Row],[FECHA DE RECIBIDO]]), Table1[[#This Row],[FECHA DE RECIBIDO]]-DATE(2023,8,30), "")</f>
        <v/>
      </c>
    </row>
    <row r="7161" spans="1:37">
      <c r="A7161" s="172"/>
      <c r="B7161" s="178"/>
      <c r="C7161" s="179" t="s">
        <v>2749</v>
      </c>
      <c r="D7161">
        <v>4614</v>
      </c>
      <c r="E7161" s="125"/>
      <c r="F7161" s="178"/>
      <c r="G7161" s="178"/>
      <c r="H7161"/>
      <c r="I7161" s="178"/>
      <c r="J7161" s="320" t="s">
        <v>214</v>
      </c>
      <c r="K7161" s="178"/>
      <c r="L7161" s="125" t="s">
        <v>4863</v>
      </c>
      <c r="M7161">
        <v>1265</v>
      </c>
      <c r="N7161" s="182"/>
      <c r="O7161">
        <v>3501</v>
      </c>
      <c r="P7161" s="176" t="s">
        <v>77</v>
      </c>
      <c r="Q7161" s="176">
        <v>10.266</v>
      </c>
      <c r="R7161" s="176"/>
      <c r="S7161" s="176"/>
      <c r="T7161" s="190"/>
      <c r="U7161" s="191"/>
      <c r="V7161" s="191">
        <f>+Table1[[#This Row],[SUBTOTAL]]+Table1[[#This Row],[IVA]]-Table1[[#This Row],[RET IVA]]-Table1[[#This Row],[RET ISR]]</f>
        <v>10.266</v>
      </c>
      <c r="W7161"/>
      <c r="X7161" s="186"/>
      <c r="Y7161" s="187"/>
      <c r="Z7161" s="311" t="s">
        <v>214</v>
      </c>
      <c r="AB7161" t="str">
        <f>IF(Table1[[#This Row],[TIPO2]]="costo", VLOOKUP(Table1[[#This Row],[PARTIDA PRESUPUESTAL]],'Cost Report'!G:G,1,0),"Balance")</f>
        <v>3401-011</v>
      </c>
      <c r="AD7161" s="159">
        <f>+Table1[[#This Row],[SUBTOTAL]]+Table1[[#This Row],[IVA]]-Table1[[#This Row],[RET IVA]]-Table1[[#This Row],[RET ISR]]-Table1[[#This Row],[TOTAL]]</f>
        <v>0</v>
      </c>
      <c r="AK7161" s="306" t="str">
        <f>IF(ISNUMBER(Table1[[#This Row],[FECHA DE RECIBIDO]]), Table1[[#This Row],[FECHA DE RECIBIDO]]-DATE(2023,8,30), "")</f>
        <v/>
      </c>
    </row>
    <row r="7162" spans="1:37">
      <c r="A7162" s="172"/>
      <c r="B7162" s="178"/>
      <c r="C7162" s="179" t="s">
        <v>2749</v>
      </c>
      <c r="D7162">
        <v>4614</v>
      </c>
      <c r="E7162" s="125"/>
      <c r="F7162" s="178"/>
      <c r="G7162" s="178"/>
      <c r="H7162"/>
      <c r="I7162" s="178"/>
      <c r="J7162" s="320" t="s">
        <v>214</v>
      </c>
      <c r="K7162" s="178"/>
      <c r="L7162" s="125" t="s">
        <v>4863</v>
      </c>
      <c r="M7162">
        <v>1265</v>
      </c>
      <c r="N7162" s="182"/>
      <c r="O7162">
        <v>3501</v>
      </c>
      <c r="P7162" s="176" t="s">
        <v>77</v>
      </c>
      <c r="Q7162" s="176">
        <v>10.44</v>
      </c>
      <c r="R7162" s="176"/>
      <c r="S7162" s="176"/>
      <c r="T7162" s="190"/>
      <c r="U7162" s="191"/>
      <c r="V7162" s="191">
        <f>+Table1[[#This Row],[SUBTOTAL]]+Table1[[#This Row],[IVA]]-Table1[[#This Row],[RET IVA]]-Table1[[#This Row],[RET ISR]]</f>
        <v>10.44</v>
      </c>
      <c r="W7162"/>
      <c r="X7162" s="186"/>
      <c r="Y7162" s="187"/>
      <c r="Z7162" s="311" t="s">
        <v>214</v>
      </c>
      <c r="AB7162" t="str">
        <f>IF(Table1[[#This Row],[TIPO2]]="costo", VLOOKUP(Table1[[#This Row],[PARTIDA PRESUPUESTAL]],'Cost Report'!G:G,1,0),"Balance")</f>
        <v>3401-011</v>
      </c>
      <c r="AD7162" s="159">
        <f>+Table1[[#This Row],[SUBTOTAL]]+Table1[[#This Row],[IVA]]-Table1[[#This Row],[RET IVA]]-Table1[[#This Row],[RET ISR]]-Table1[[#This Row],[TOTAL]]</f>
        <v>0</v>
      </c>
      <c r="AK7162" s="306" t="str">
        <f>IF(ISNUMBER(Table1[[#This Row],[FECHA DE RECIBIDO]]), Table1[[#This Row],[FECHA DE RECIBIDO]]-DATE(2023,8,30), "")</f>
        <v/>
      </c>
    </row>
    <row r="7163" spans="1:37">
      <c r="A7163" s="172"/>
      <c r="B7163" s="178"/>
      <c r="C7163" s="179" t="s">
        <v>2749</v>
      </c>
      <c r="D7163">
        <v>4614</v>
      </c>
      <c r="E7163" s="125"/>
      <c r="F7163" s="178"/>
      <c r="G7163" s="178"/>
      <c r="H7163"/>
      <c r="I7163" s="178"/>
      <c r="J7163" s="320" t="s">
        <v>214</v>
      </c>
      <c r="K7163" s="178"/>
      <c r="L7163" s="125" t="s">
        <v>4863</v>
      </c>
      <c r="M7163">
        <v>1265</v>
      </c>
      <c r="N7163" s="182"/>
      <c r="O7163">
        <v>3501</v>
      </c>
      <c r="P7163" s="176" t="s">
        <v>77</v>
      </c>
      <c r="Q7163" s="176">
        <v>10.266</v>
      </c>
      <c r="R7163" s="176"/>
      <c r="S7163" s="176"/>
      <c r="T7163" s="190"/>
      <c r="U7163" s="191"/>
      <c r="V7163" s="191">
        <f>+Table1[[#This Row],[SUBTOTAL]]+Table1[[#This Row],[IVA]]-Table1[[#This Row],[RET IVA]]-Table1[[#This Row],[RET ISR]]</f>
        <v>10.266</v>
      </c>
      <c r="W7163"/>
      <c r="X7163" s="186"/>
      <c r="Y7163" s="187"/>
      <c r="Z7163" s="311" t="s">
        <v>214</v>
      </c>
      <c r="AB7163" t="str">
        <f>IF(Table1[[#This Row],[TIPO2]]="costo", VLOOKUP(Table1[[#This Row],[PARTIDA PRESUPUESTAL]],'Cost Report'!G:G,1,0),"Balance")</f>
        <v>3401-011</v>
      </c>
      <c r="AD7163" s="159">
        <f>+Table1[[#This Row],[SUBTOTAL]]+Table1[[#This Row],[IVA]]-Table1[[#This Row],[RET IVA]]-Table1[[#This Row],[RET ISR]]-Table1[[#This Row],[TOTAL]]</f>
        <v>0</v>
      </c>
      <c r="AK7163" s="306" t="str">
        <f>IF(ISNUMBER(Table1[[#This Row],[FECHA DE RECIBIDO]]), Table1[[#This Row],[FECHA DE RECIBIDO]]-DATE(2023,8,30), "")</f>
        <v/>
      </c>
    </row>
    <row r="7164" spans="1:37">
      <c r="A7164" s="172"/>
      <c r="B7164" s="178"/>
      <c r="C7164" s="179" t="s">
        <v>2749</v>
      </c>
      <c r="D7164">
        <v>4614</v>
      </c>
      <c r="E7164" s="125"/>
      <c r="F7164" s="178"/>
      <c r="G7164" s="178"/>
      <c r="H7164"/>
      <c r="I7164" s="178"/>
      <c r="J7164" s="320" t="s">
        <v>214</v>
      </c>
      <c r="K7164" s="178"/>
      <c r="L7164" s="125" t="s">
        <v>4863</v>
      </c>
      <c r="M7164">
        <v>1265</v>
      </c>
      <c r="N7164" s="182"/>
      <c r="O7164">
        <v>3501</v>
      </c>
      <c r="P7164" s="176" t="s">
        <v>77</v>
      </c>
      <c r="Q7164" s="176">
        <v>10.266</v>
      </c>
      <c r="R7164" s="176"/>
      <c r="S7164" s="176"/>
      <c r="T7164" s="190"/>
      <c r="U7164" s="191"/>
      <c r="V7164" s="191">
        <f>+Table1[[#This Row],[SUBTOTAL]]+Table1[[#This Row],[IVA]]-Table1[[#This Row],[RET IVA]]-Table1[[#This Row],[RET ISR]]</f>
        <v>10.266</v>
      </c>
      <c r="W7164"/>
      <c r="X7164" s="186"/>
      <c r="Y7164" s="187"/>
      <c r="Z7164" s="311" t="s">
        <v>214</v>
      </c>
      <c r="AB7164" t="str">
        <f>IF(Table1[[#This Row],[TIPO2]]="costo", VLOOKUP(Table1[[#This Row],[PARTIDA PRESUPUESTAL]],'Cost Report'!G:G,1,0),"Balance")</f>
        <v>3401-011</v>
      </c>
      <c r="AD7164" s="159">
        <f>+Table1[[#This Row],[SUBTOTAL]]+Table1[[#This Row],[IVA]]-Table1[[#This Row],[RET IVA]]-Table1[[#This Row],[RET ISR]]-Table1[[#This Row],[TOTAL]]</f>
        <v>0</v>
      </c>
      <c r="AK7164" s="306" t="str">
        <f>IF(ISNUMBER(Table1[[#This Row],[FECHA DE RECIBIDO]]), Table1[[#This Row],[FECHA DE RECIBIDO]]-DATE(2023,8,30), "")</f>
        <v/>
      </c>
    </row>
    <row r="7165" spans="1:37">
      <c r="A7165" s="172"/>
      <c r="B7165" s="178"/>
      <c r="C7165" s="179" t="s">
        <v>2749</v>
      </c>
      <c r="D7165">
        <v>4614</v>
      </c>
      <c r="E7165" s="125"/>
      <c r="F7165" s="178"/>
      <c r="G7165" s="178"/>
      <c r="H7165"/>
      <c r="I7165" s="178"/>
      <c r="J7165" s="320" t="s">
        <v>214</v>
      </c>
      <c r="K7165" s="178"/>
      <c r="L7165" s="125" t="s">
        <v>4863</v>
      </c>
      <c r="M7165">
        <v>1265</v>
      </c>
      <c r="N7165" s="182"/>
      <c r="O7165">
        <v>3501</v>
      </c>
      <c r="P7165" s="176" t="s">
        <v>77</v>
      </c>
      <c r="Q7165" s="176">
        <v>10.266</v>
      </c>
      <c r="R7165" s="176"/>
      <c r="S7165" s="176"/>
      <c r="T7165" s="190"/>
      <c r="U7165" s="191"/>
      <c r="V7165" s="191">
        <f>+Table1[[#This Row],[SUBTOTAL]]+Table1[[#This Row],[IVA]]-Table1[[#This Row],[RET IVA]]-Table1[[#This Row],[RET ISR]]</f>
        <v>10.266</v>
      </c>
      <c r="W7165"/>
      <c r="X7165" s="186"/>
      <c r="Y7165" s="187"/>
      <c r="Z7165" s="311" t="s">
        <v>214</v>
      </c>
      <c r="AB7165" t="str">
        <f>IF(Table1[[#This Row],[TIPO2]]="costo", VLOOKUP(Table1[[#This Row],[PARTIDA PRESUPUESTAL]],'Cost Report'!G:G,1,0),"Balance")</f>
        <v>3401-011</v>
      </c>
      <c r="AD7165" s="159">
        <f>+Table1[[#This Row],[SUBTOTAL]]+Table1[[#This Row],[IVA]]-Table1[[#This Row],[RET IVA]]-Table1[[#This Row],[RET ISR]]-Table1[[#This Row],[TOTAL]]</f>
        <v>0</v>
      </c>
      <c r="AK7165" s="306" t="str">
        <f>IF(ISNUMBER(Table1[[#This Row],[FECHA DE RECIBIDO]]), Table1[[#This Row],[FECHA DE RECIBIDO]]-DATE(2023,8,30), "")</f>
        <v/>
      </c>
    </row>
    <row r="7166" spans="1:37">
      <c r="A7166" s="172"/>
      <c r="B7166" s="178"/>
      <c r="C7166" s="179" t="s">
        <v>2455</v>
      </c>
      <c r="D7166">
        <v>4614</v>
      </c>
      <c r="E7166" s="125"/>
      <c r="F7166" s="178"/>
      <c r="G7166" s="178"/>
      <c r="H7166"/>
      <c r="I7166" s="178"/>
      <c r="J7166" s="320" t="s">
        <v>214</v>
      </c>
      <c r="K7166" s="178"/>
      <c r="L7166" s="125" t="s">
        <v>4863</v>
      </c>
      <c r="M7166">
        <v>809</v>
      </c>
      <c r="N7166" s="182"/>
      <c r="O7166">
        <v>522</v>
      </c>
      <c r="P7166" s="176" t="s">
        <v>77</v>
      </c>
      <c r="Q7166" s="176">
        <v>10.266</v>
      </c>
      <c r="R7166" s="176"/>
      <c r="S7166" s="176"/>
      <c r="T7166" s="190"/>
      <c r="U7166" s="191"/>
      <c r="V7166" s="191">
        <f>+Table1[[#This Row],[SUBTOTAL]]+Table1[[#This Row],[IVA]]-Table1[[#This Row],[RET IVA]]-Table1[[#This Row],[RET ISR]]</f>
        <v>10.266</v>
      </c>
      <c r="W7166"/>
      <c r="X7166" s="186"/>
      <c r="Y7166" s="187"/>
      <c r="Z7166" s="311" t="s">
        <v>214</v>
      </c>
      <c r="AB7166" t="str">
        <f>IF(Table1[[#This Row],[TIPO2]]="costo", VLOOKUP(Table1[[#This Row],[PARTIDA PRESUPUESTAL]],'Cost Report'!G:G,1,0),"Balance")</f>
        <v>2285-003</v>
      </c>
      <c r="AD7166" s="159">
        <f>+Table1[[#This Row],[SUBTOTAL]]+Table1[[#This Row],[IVA]]-Table1[[#This Row],[RET IVA]]-Table1[[#This Row],[RET ISR]]-Table1[[#This Row],[TOTAL]]</f>
        <v>0</v>
      </c>
      <c r="AK7166" s="306" t="str">
        <f>IF(ISNUMBER(Table1[[#This Row],[FECHA DE RECIBIDO]]), Table1[[#This Row],[FECHA DE RECIBIDO]]-DATE(2023,8,30), "")</f>
        <v/>
      </c>
    </row>
    <row r="7167" spans="1:37">
      <c r="A7167" s="172"/>
      <c r="B7167" s="178"/>
      <c r="C7167" s="179" t="s">
        <v>2455</v>
      </c>
      <c r="D7167">
        <v>4614</v>
      </c>
      <c r="E7167" s="125"/>
      <c r="F7167" s="178"/>
      <c r="G7167" s="178"/>
      <c r="H7167"/>
      <c r="I7167" s="178"/>
      <c r="J7167" s="320" t="s">
        <v>214</v>
      </c>
      <c r="K7167" s="178"/>
      <c r="L7167" s="125" t="s">
        <v>4863</v>
      </c>
      <c r="M7167">
        <v>809</v>
      </c>
      <c r="N7167" s="182"/>
      <c r="O7167">
        <v>522</v>
      </c>
      <c r="P7167" s="176" t="s">
        <v>77</v>
      </c>
      <c r="Q7167" s="176">
        <v>10.266</v>
      </c>
      <c r="R7167" s="176"/>
      <c r="S7167" s="176"/>
      <c r="T7167" s="190"/>
      <c r="U7167" s="191"/>
      <c r="V7167" s="191">
        <f>+Table1[[#This Row],[SUBTOTAL]]+Table1[[#This Row],[IVA]]-Table1[[#This Row],[RET IVA]]-Table1[[#This Row],[RET ISR]]</f>
        <v>10.266</v>
      </c>
      <c r="W7167"/>
      <c r="X7167" s="186"/>
      <c r="Y7167" s="187"/>
      <c r="Z7167" s="311" t="s">
        <v>214</v>
      </c>
      <c r="AB7167" t="str">
        <f>IF(Table1[[#This Row],[TIPO2]]="costo", VLOOKUP(Table1[[#This Row],[PARTIDA PRESUPUESTAL]],'Cost Report'!G:G,1,0),"Balance")</f>
        <v>2285-003</v>
      </c>
      <c r="AD7167" s="159">
        <f>+Table1[[#This Row],[SUBTOTAL]]+Table1[[#This Row],[IVA]]-Table1[[#This Row],[RET IVA]]-Table1[[#This Row],[RET ISR]]-Table1[[#This Row],[TOTAL]]</f>
        <v>0</v>
      </c>
      <c r="AK7167" s="306" t="str">
        <f>IF(ISNUMBER(Table1[[#This Row],[FECHA DE RECIBIDO]]), Table1[[#This Row],[FECHA DE RECIBIDO]]-DATE(2023,8,30), "")</f>
        <v/>
      </c>
    </row>
    <row r="7168" spans="1:37">
      <c r="A7168" s="172"/>
      <c r="B7168" s="178"/>
      <c r="C7168" s="179" t="s">
        <v>2461</v>
      </c>
      <c r="D7168">
        <v>4614</v>
      </c>
      <c r="E7168" s="125"/>
      <c r="F7168" s="178"/>
      <c r="G7168" s="178"/>
      <c r="H7168"/>
      <c r="I7168" s="178"/>
      <c r="J7168" s="320" t="s">
        <v>214</v>
      </c>
      <c r="K7168" s="178"/>
      <c r="L7168" s="125" t="s">
        <v>4863</v>
      </c>
      <c r="M7168">
        <v>1307</v>
      </c>
      <c r="N7168" s="182"/>
      <c r="O7168">
        <v>3736</v>
      </c>
      <c r="P7168" s="176" t="s">
        <v>77</v>
      </c>
      <c r="Q7168" s="176">
        <v>6.6</v>
      </c>
      <c r="R7168" s="176"/>
      <c r="S7168" s="176"/>
      <c r="T7168" s="190"/>
      <c r="U7168" s="191"/>
      <c r="V7168" s="191">
        <f>+Table1[[#This Row],[SUBTOTAL]]+Table1[[#This Row],[IVA]]-Table1[[#This Row],[RET IVA]]-Table1[[#This Row],[RET ISR]]</f>
        <v>6.6</v>
      </c>
      <c r="W7168"/>
      <c r="X7168" s="186"/>
      <c r="Y7168" s="187"/>
      <c r="Z7168" s="311" t="s">
        <v>214</v>
      </c>
      <c r="AB7168" t="str">
        <f>IF(Table1[[#This Row],[TIPO2]]="costo", VLOOKUP(Table1[[#This Row],[PARTIDA PRESUPUESTAL]],'Cost Report'!G:G,1,0),"Balance")</f>
        <v>2385-003</v>
      </c>
      <c r="AD7168" s="159">
        <f>+Table1[[#This Row],[SUBTOTAL]]+Table1[[#This Row],[IVA]]-Table1[[#This Row],[RET IVA]]-Table1[[#This Row],[RET ISR]]-Table1[[#This Row],[TOTAL]]</f>
        <v>0</v>
      </c>
      <c r="AK7168" s="306" t="str">
        <f>IF(ISNUMBER(Table1[[#This Row],[FECHA DE RECIBIDO]]), Table1[[#This Row],[FECHA DE RECIBIDO]]-DATE(2023,8,30), "")</f>
        <v/>
      </c>
    </row>
    <row r="7169" spans="1:37">
      <c r="A7169" s="172"/>
      <c r="B7169" s="178"/>
      <c r="C7169" s="179" t="s">
        <v>2461</v>
      </c>
      <c r="D7169">
        <v>4614</v>
      </c>
      <c r="E7169" s="125"/>
      <c r="F7169" s="178"/>
      <c r="G7169" s="178"/>
      <c r="H7169"/>
      <c r="I7169" s="178"/>
      <c r="J7169" s="320" t="s">
        <v>214</v>
      </c>
      <c r="K7169" s="178"/>
      <c r="L7169" s="125" t="s">
        <v>4863</v>
      </c>
      <c r="M7169">
        <v>1310</v>
      </c>
      <c r="N7169" s="182"/>
      <c r="O7169">
        <v>3755</v>
      </c>
      <c r="P7169" s="176" t="s">
        <v>77</v>
      </c>
      <c r="Q7169" s="176">
        <v>27.9</v>
      </c>
      <c r="R7169" s="176"/>
      <c r="S7169" s="176"/>
      <c r="T7169" s="190"/>
      <c r="U7169" s="191"/>
      <c r="V7169" s="191">
        <f>+Table1[[#This Row],[SUBTOTAL]]+Table1[[#This Row],[IVA]]-Table1[[#This Row],[RET IVA]]-Table1[[#This Row],[RET ISR]]</f>
        <v>27.9</v>
      </c>
      <c r="W7169"/>
      <c r="X7169" s="186"/>
      <c r="Y7169" s="187"/>
      <c r="Z7169" s="311" t="s">
        <v>214</v>
      </c>
      <c r="AB7169" t="str">
        <f>IF(Table1[[#This Row],[TIPO2]]="costo", VLOOKUP(Table1[[#This Row],[PARTIDA PRESUPUESTAL]],'Cost Report'!G:G,1,0),"Balance")</f>
        <v>2385-003</v>
      </c>
      <c r="AD7169" s="159">
        <f>+Table1[[#This Row],[SUBTOTAL]]+Table1[[#This Row],[IVA]]-Table1[[#This Row],[RET IVA]]-Table1[[#This Row],[RET ISR]]-Table1[[#This Row],[TOTAL]]</f>
        <v>0</v>
      </c>
      <c r="AK7169" s="306" t="str">
        <f>IF(ISNUMBER(Table1[[#This Row],[FECHA DE RECIBIDO]]), Table1[[#This Row],[FECHA DE RECIBIDO]]-DATE(2023,8,30), "")</f>
        <v/>
      </c>
    </row>
    <row r="7170" spans="1:37">
      <c r="A7170" s="172"/>
      <c r="B7170" s="178"/>
      <c r="C7170" s="179" t="s">
        <v>610</v>
      </c>
      <c r="D7170">
        <v>4614</v>
      </c>
      <c r="E7170" s="125"/>
      <c r="F7170" s="178"/>
      <c r="G7170" s="178"/>
      <c r="H7170"/>
      <c r="I7170" s="178"/>
      <c r="J7170" s="320" t="s">
        <v>214</v>
      </c>
      <c r="K7170" s="178"/>
      <c r="L7170" s="125" t="s">
        <v>4863</v>
      </c>
      <c r="M7170">
        <v>1311</v>
      </c>
      <c r="N7170" s="182"/>
      <c r="O7170">
        <v>3756</v>
      </c>
      <c r="P7170" s="176" t="s">
        <v>77</v>
      </c>
      <c r="Q7170" s="176">
        <v>88.5</v>
      </c>
      <c r="R7170" s="176"/>
      <c r="S7170" s="176"/>
      <c r="T7170" s="190"/>
      <c r="U7170" s="191"/>
      <c r="V7170" s="191">
        <f>+Table1[[#This Row],[SUBTOTAL]]+Table1[[#This Row],[IVA]]-Table1[[#This Row],[RET IVA]]-Table1[[#This Row],[RET ISR]]</f>
        <v>88.5</v>
      </c>
      <c r="W7170"/>
      <c r="X7170" s="186"/>
      <c r="Y7170" s="187"/>
      <c r="Z7170" s="311" t="s">
        <v>214</v>
      </c>
      <c r="AB7170" t="str">
        <f>IF(Table1[[#This Row],[TIPO2]]="costo", VLOOKUP(Table1[[#This Row],[PARTIDA PRESUPUESTAL]],'Cost Report'!G:G,1,0),"Balance")</f>
        <v>2485-003</v>
      </c>
      <c r="AD7170" s="159">
        <f>+Table1[[#This Row],[SUBTOTAL]]+Table1[[#This Row],[IVA]]-Table1[[#This Row],[RET IVA]]-Table1[[#This Row],[RET ISR]]-Table1[[#This Row],[TOTAL]]</f>
        <v>0</v>
      </c>
      <c r="AK7170" s="306" t="str">
        <f>IF(ISNUMBER(Table1[[#This Row],[FECHA DE RECIBIDO]]), Table1[[#This Row],[FECHA DE RECIBIDO]]-DATE(2023,8,30), "")</f>
        <v/>
      </c>
    </row>
    <row r="7171" spans="1:37">
      <c r="A7171" s="172"/>
      <c r="B7171" s="178"/>
      <c r="C7171" s="179" t="s">
        <v>610</v>
      </c>
      <c r="D7171">
        <v>4614</v>
      </c>
      <c r="E7171" s="125"/>
      <c r="F7171" s="178"/>
      <c r="G7171" s="178"/>
      <c r="H7171"/>
      <c r="I7171" s="178"/>
      <c r="J7171" s="320" t="s">
        <v>214</v>
      </c>
      <c r="K7171" s="178"/>
      <c r="L7171" s="125" t="s">
        <v>4863</v>
      </c>
      <c r="M7171">
        <v>676</v>
      </c>
      <c r="N7171" s="182"/>
      <c r="O7171">
        <v>3757</v>
      </c>
      <c r="P7171" s="176" t="s">
        <v>77</v>
      </c>
      <c r="Q7171" s="176">
        <v>72</v>
      </c>
      <c r="R7171" s="176"/>
      <c r="S7171" s="176"/>
      <c r="T7171" s="190"/>
      <c r="U7171" s="191"/>
      <c r="V7171" s="191">
        <f>+Table1[[#This Row],[SUBTOTAL]]+Table1[[#This Row],[IVA]]-Table1[[#This Row],[RET IVA]]-Table1[[#This Row],[RET ISR]]</f>
        <v>72</v>
      </c>
      <c r="W7171"/>
      <c r="X7171" s="186"/>
      <c r="Y7171" s="187"/>
      <c r="Z7171" s="311" t="s">
        <v>214</v>
      </c>
      <c r="AB7171" t="str">
        <f>IF(Table1[[#This Row],[TIPO2]]="costo", VLOOKUP(Table1[[#This Row],[PARTIDA PRESUPUESTAL]],'Cost Report'!G:G,1,0),"Balance")</f>
        <v>2485-003</v>
      </c>
      <c r="AD7171" s="159">
        <f>+Table1[[#This Row],[SUBTOTAL]]+Table1[[#This Row],[IVA]]-Table1[[#This Row],[RET IVA]]-Table1[[#This Row],[RET ISR]]-Table1[[#This Row],[TOTAL]]</f>
        <v>0</v>
      </c>
      <c r="AK7171" s="306" t="str">
        <f>IF(ISNUMBER(Table1[[#This Row],[FECHA DE RECIBIDO]]), Table1[[#This Row],[FECHA DE RECIBIDO]]-DATE(2023,8,30), "")</f>
        <v/>
      </c>
    </row>
    <row r="7172" spans="1:37">
      <c r="A7172" s="172"/>
      <c r="B7172" s="178"/>
      <c r="C7172" s="179" t="s">
        <v>2455</v>
      </c>
      <c r="D7172">
        <v>4614</v>
      </c>
      <c r="E7172" s="125"/>
      <c r="F7172" s="178"/>
      <c r="G7172" s="178"/>
      <c r="H7172"/>
      <c r="I7172" s="178"/>
      <c r="J7172" s="320" t="s">
        <v>214</v>
      </c>
      <c r="K7172" s="178"/>
      <c r="L7172" s="125" t="s">
        <v>4863</v>
      </c>
      <c r="M7172">
        <v>691</v>
      </c>
      <c r="N7172" s="182"/>
      <c r="O7172">
        <v>3768</v>
      </c>
      <c r="P7172" s="176" t="s">
        <v>77</v>
      </c>
      <c r="Q7172" s="176">
        <v>10.44</v>
      </c>
      <c r="R7172" s="176"/>
      <c r="S7172" s="176"/>
      <c r="T7172" s="190"/>
      <c r="U7172" s="191"/>
      <c r="V7172" s="191">
        <f>+Table1[[#This Row],[SUBTOTAL]]+Table1[[#This Row],[IVA]]-Table1[[#This Row],[RET IVA]]-Table1[[#This Row],[RET ISR]]</f>
        <v>10.44</v>
      </c>
      <c r="W7172"/>
      <c r="X7172" s="186"/>
      <c r="Y7172" s="187"/>
      <c r="Z7172" s="311" t="s">
        <v>214</v>
      </c>
      <c r="AB7172" t="str">
        <f>IF(Table1[[#This Row],[TIPO2]]="costo", VLOOKUP(Table1[[#This Row],[PARTIDA PRESUPUESTAL]],'Cost Report'!G:G,1,0),"Balance")</f>
        <v>2285-003</v>
      </c>
      <c r="AD7172" s="159">
        <f>+Table1[[#This Row],[SUBTOTAL]]+Table1[[#This Row],[IVA]]-Table1[[#This Row],[RET IVA]]-Table1[[#This Row],[RET ISR]]-Table1[[#This Row],[TOTAL]]</f>
        <v>0</v>
      </c>
      <c r="AK7172" s="306" t="str">
        <f>IF(ISNUMBER(Table1[[#This Row],[FECHA DE RECIBIDO]]), Table1[[#This Row],[FECHA DE RECIBIDO]]-DATE(2023,8,30), "")</f>
        <v/>
      </c>
    </row>
    <row r="7173" spans="1:37">
      <c r="A7173" s="172"/>
      <c r="B7173" s="178"/>
      <c r="C7173" s="179" t="s">
        <v>2461</v>
      </c>
      <c r="D7173">
        <v>4614</v>
      </c>
      <c r="E7173" s="125"/>
      <c r="F7173" s="178"/>
      <c r="G7173" s="178"/>
      <c r="H7173"/>
      <c r="I7173" s="178"/>
      <c r="J7173" s="320" t="s">
        <v>214</v>
      </c>
      <c r="K7173" s="178"/>
      <c r="L7173" s="125" t="s">
        <v>4863</v>
      </c>
      <c r="M7173">
        <v>676</v>
      </c>
      <c r="N7173" s="182"/>
      <c r="O7173">
        <v>3769</v>
      </c>
      <c r="P7173" s="176" t="s">
        <v>77</v>
      </c>
      <c r="Q7173" s="176">
        <v>56.1</v>
      </c>
      <c r="R7173" s="176"/>
      <c r="S7173" s="176"/>
      <c r="T7173" s="190"/>
      <c r="U7173" s="191"/>
      <c r="V7173" s="191">
        <f>+Table1[[#This Row],[SUBTOTAL]]+Table1[[#This Row],[IVA]]-Table1[[#This Row],[RET IVA]]-Table1[[#This Row],[RET ISR]]</f>
        <v>56.1</v>
      </c>
      <c r="W7173"/>
      <c r="X7173" s="186"/>
      <c r="Y7173" s="187"/>
      <c r="Z7173" s="311" t="s">
        <v>214</v>
      </c>
      <c r="AB7173" t="str">
        <f>IF(Table1[[#This Row],[TIPO2]]="costo", VLOOKUP(Table1[[#This Row],[PARTIDA PRESUPUESTAL]],'Cost Report'!G:G,1,0),"Balance")</f>
        <v>2385-003</v>
      </c>
      <c r="AD7173" s="159">
        <f>+Table1[[#This Row],[SUBTOTAL]]+Table1[[#This Row],[IVA]]-Table1[[#This Row],[RET IVA]]-Table1[[#This Row],[RET ISR]]-Table1[[#This Row],[TOTAL]]</f>
        <v>0</v>
      </c>
      <c r="AK7173" s="306" t="str">
        <f>IF(ISNUMBER(Table1[[#This Row],[FECHA DE RECIBIDO]]), Table1[[#This Row],[FECHA DE RECIBIDO]]-DATE(2023,8,30), "")</f>
        <v/>
      </c>
    </row>
    <row r="7174" spans="1:37">
      <c r="A7174" s="172"/>
      <c r="B7174" s="178"/>
      <c r="C7174" s="179" t="s">
        <v>610</v>
      </c>
      <c r="D7174">
        <v>4614</v>
      </c>
      <c r="E7174" s="125"/>
      <c r="F7174" s="178"/>
      <c r="G7174" s="178"/>
      <c r="H7174"/>
      <c r="I7174" s="178"/>
      <c r="J7174" s="320" t="s">
        <v>214</v>
      </c>
      <c r="K7174" s="178"/>
      <c r="L7174" s="125" t="s">
        <v>4863</v>
      </c>
      <c r="M7174">
        <v>1307</v>
      </c>
      <c r="N7174" s="182"/>
      <c r="O7174">
        <v>3770</v>
      </c>
      <c r="P7174" s="176" t="s">
        <v>77</v>
      </c>
      <c r="Q7174" s="176">
        <v>10.799999999999999</v>
      </c>
      <c r="R7174" s="176"/>
      <c r="S7174" s="176"/>
      <c r="T7174" s="190"/>
      <c r="U7174" s="191"/>
      <c r="V7174" s="191">
        <f>+Table1[[#This Row],[SUBTOTAL]]+Table1[[#This Row],[IVA]]-Table1[[#This Row],[RET IVA]]-Table1[[#This Row],[RET ISR]]</f>
        <v>10.799999999999999</v>
      </c>
      <c r="W7174"/>
      <c r="X7174" s="186"/>
      <c r="Y7174" s="187"/>
      <c r="Z7174" s="311" t="s">
        <v>214</v>
      </c>
      <c r="AB7174" t="str">
        <f>IF(Table1[[#This Row],[TIPO2]]="costo", VLOOKUP(Table1[[#This Row],[PARTIDA PRESUPUESTAL]],'Cost Report'!G:G,1,0),"Balance")</f>
        <v>2485-003</v>
      </c>
      <c r="AD7174" s="159">
        <f>+Table1[[#This Row],[SUBTOTAL]]+Table1[[#This Row],[IVA]]-Table1[[#This Row],[RET IVA]]-Table1[[#This Row],[RET ISR]]-Table1[[#This Row],[TOTAL]]</f>
        <v>0</v>
      </c>
      <c r="AK7174" s="306" t="str">
        <f>IF(ISNUMBER(Table1[[#This Row],[FECHA DE RECIBIDO]]), Table1[[#This Row],[FECHA DE RECIBIDO]]-DATE(2023,8,30), "")</f>
        <v/>
      </c>
    </row>
    <row r="7175" spans="1:37">
      <c r="A7175" s="172"/>
      <c r="B7175" s="178"/>
      <c r="C7175" s="179" t="s">
        <v>1517</v>
      </c>
      <c r="D7175">
        <v>4614</v>
      </c>
      <c r="E7175" s="125"/>
      <c r="F7175" s="178"/>
      <c r="G7175" s="178"/>
      <c r="H7175"/>
      <c r="I7175" s="178"/>
      <c r="J7175" s="320" t="s">
        <v>214</v>
      </c>
      <c r="K7175" s="178"/>
      <c r="L7175" s="125" t="s">
        <v>4863</v>
      </c>
      <c r="M7175">
        <v>1312</v>
      </c>
      <c r="N7175" s="182"/>
      <c r="O7175">
        <v>3771</v>
      </c>
      <c r="P7175" s="176" t="s">
        <v>77</v>
      </c>
      <c r="Q7175" s="176">
        <v>63</v>
      </c>
      <c r="R7175" s="176"/>
      <c r="S7175" s="176"/>
      <c r="T7175" s="190"/>
      <c r="U7175" s="191"/>
      <c r="V7175" s="191">
        <f>+Table1[[#This Row],[SUBTOTAL]]+Table1[[#This Row],[IVA]]-Table1[[#This Row],[RET IVA]]-Table1[[#This Row],[RET ISR]]</f>
        <v>63</v>
      </c>
      <c r="W7175"/>
      <c r="X7175" s="186"/>
      <c r="Y7175" s="187"/>
      <c r="Z7175" s="311" t="s">
        <v>214</v>
      </c>
      <c r="AB7175" t="str">
        <f>IF(Table1[[#This Row],[TIPO2]]="costo", VLOOKUP(Table1[[#This Row],[PARTIDA PRESUPUESTAL]],'Cost Report'!G:G,1,0),"Balance")</f>
        <v>2494-027</v>
      </c>
      <c r="AD7175" s="159">
        <f>+Table1[[#This Row],[SUBTOTAL]]+Table1[[#This Row],[IVA]]-Table1[[#This Row],[RET IVA]]-Table1[[#This Row],[RET ISR]]-Table1[[#This Row],[TOTAL]]</f>
        <v>0</v>
      </c>
      <c r="AK7175" s="306" t="str">
        <f>IF(ISNUMBER(Table1[[#This Row],[FECHA DE RECIBIDO]]), Table1[[#This Row],[FECHA DE RECIBIDO]]-DATE(2023,8,30), "")</f>
        <v/>
      </c>
    </row>
    <row r="7176" spans="1:37">
      <c r="A7176" s="172"/>
      <c r="B7176" s="178"/>
      <c r="C7176" s="179" t="s">
        <v>2596</v>
      </c>
      <c r="D7176">
        <v>4614</v>
      </c>
      <c r="E7176" s="125"/>
      <c r="F7176" s="178"/>
      <c r="G7176" s="178"/>
      <c r="H7176"/>
      <c r="I7176" s="178"/>
      <c r="J7176" s="320" t="s">
        <v>214</v>
      </c>
      <c r="K7176" s="178"/>
      <c r="L7176" s="125" t="s">
        <v>4863</v>
      </c>
      <c r="M7176">
        <v>1314</v>
      </c>
      <c r="N7176" s="182"/>
      <c r="O7176">
        <v>1573</v>
      </c>
      <c r="P7176" s="176" t="s">
        <v>77</v>
      </c>
      <c r="Q7176" s="176">
        <v>10.752000000000001</v>
      </c>
      <c r="R7176" s="176"/>
      <c r="S7176" s="176"/>
      <c r="T7176" s="190"/>
      <c r="U7176" s="191"/>
      <c r="V7176" s="191">
        <f>+Table1[[#This Row],[SUBTOTAL]]+Table1[[#This Row],[IVA]]-Table1[[#This Row],[RET IVA]]-Table1[[#This Row],[RET ISR]]</f>
        <v>10.752000000000001</v>
      </c>
      <c r="W7176"/>
      <c r="X7176" s="186"/>
      <c r="Y7176" s="187"/>
      <c r="Z7176" s="311" t="s">
        <v>214</v>
      </c>
      <c r="AB7176" t="str">
        <f>IF(Table1[[#This Row],[TIPO2]]="costo", VLOOKUP(Table1[[#This Row],[PARTIDA PRESUPUESTAL]],'Cost Report'!G:G,1,0),"Balance")</f>
        <v>2794-003</v>
      </c>
      <c r="AD7176" s="159">
        <f>+Table1[[#This Row],[SUBTOTAL]]+Table1[[#This Row],[IVA]]-Table1[[#This Row],[RET IVA]]-Table1[[#This Row],[RET ISR]]-Table1[[#This Row],[TOTAL]]</f>
        <v>0</v>
      </c>
      <c r="AK7176" s="306" t="str">
        <f>IF(ISNUMBER(Table1[[#This Row],[FECHA DE RECIBIDO]]), Table1[[#This Row],[FECHA DE RECIBIDO]]-DATE(2023,8,30), "")</f>
        <v/>
      </c>
    </row>
    <row r="7177" spans="1:37">
      <c r="A7177" s="172"/>
      <c r="B7177" s="178"/>
      <c r="C7177" s="179" t="s">
        <v>4210</v>
      </c>
      <c r="D7177">
        <v>4614</v>
      </c>
      <c r="E7177" s="125"/>
      <c r="F7177" s="178"/>
      <c r="G7177" s="178"/>
      <c r="H7177"/>
      <c r="I7177" s="178"/>
      <c r="J7177" s="320" t="s">
        <v>214</v>
      </c>
      <c r="K7177" s="178"/>
      <c r="L7177" s="125" t="s">
        <v>4863</v>
      </c>
      <c r="M7177">
        <v>1321</v>
      </c>
      <c r="N7177" s="182"/>
      <c r="O7177">
        <v>3801</v>
      </c>
      <c r="P7177" s="176" t="s">
        <v>77</v>
      </c>
      <c r="Q7177" s="176">
        <v>157.04999999999998</v>
      </c>
      <c r="R7177" s="176"/>
      <c r="S7177" s="176"/>
      <c r="T7177" s="190"/>
      <c r="U7177" s="191"/>
      <c r="V7177" s="191">
        <f>+Table1[[#This Row],[SUBTOTAL]]+Table1[[#This Row],[IVA]]-Table1[[#This Row],[RET IVA]]-Table1[[#This Row],[RET ISR]]</f>
        <v>157.04999999999998</v>
      </c>
      <c r="W7177"/>
      <c r="X7177" s="186"/>
      <c r="Y7177" s="187"/>
      <c r="Z7177" s="311" t="s">
        <v>214</v>
      </c>
      <c r="AB7177" t="str">
        <f>IF(Table1[[#This Row],[TIPO2]]="costo", VLOOKUP(Table1[[#This Row],[PARTIDA PRESUPUESTAL]],'Cost Report'!G:G,1,0),"Balance")</f>
        <v>3901-051</v>
      </c>
      <c r="AD7177" s="159">
        <f>+Table1[[#This Row],[SUBTOTAL]]+Table1[[#This Row],[IVA]]-Table1[[#This Row],[RET IVA]]-Table1[[#This Row],[RET ISR]]-Table1[[#This Row],[TOTAL]]</f>
        <v>0</v>
      </c>
      <c r="AK7177" s="306" t="str">
        <f>IF(ISNUMBER(Table1[[#This Row],[FECHA DE RECIBIDO]]), Table1[[#This Row],[FECHA DE RECIBIDO]]-DATE(2023,8,30), "")</f>
        <v/>
      </c>
    </row>
    <row r="7178" spans="1:37">
      <c r="A7178" s="172"/>
      <c r="B7178" s="178"/>
      <c r="C7178" s="179" t="s">
        <v>977</v>
      </c>
      <c r="D7178">
        <v>4614</v>
      </c>
      <c r="E7178" s="125"/>
      <c r="F7178" s="178"/>
      <c r="G7178" s="178"/>
      <c r="H7178"/>
      <c r="I7178" s="178"/>
      <c r="J7178" s="320" t="s">
        <v>214</v>
      </c>
      <c r="K7178" s="178"/>
      <c r="L7178" s="125" t="s">
        <v>4863</v>
      </c>
      <c r="M7178">
        <v>1322</v>
      </c>
      <c r="N7178" s="182"/>
      <c r="O7178">
        <v>3802</v>
      </c>
      <c r="P7178" s="176" t="s">
        <v>77</v>
      </c>
      <c r="Q7178" s="176">
        <v>49.5</v>
      </c>
      <c r="R7178" s="176"/>
      <c r="S7178" s="176"/>
      <c r="T7178" s="190"/>
      <c r="U7178" s="191"/>
      <c r="V7178" s="191">
        <f>+Table1[[#This Row],[SUBTOTAL]]+Table1[[#This Row],[IVA]]-Table1[[#This Row],[RET IVA]]-Table1[[#This Row],[RET ISR]]</f>
        <v>49.5</v>
      </c>
      <c r="W7178"/>
      <c r="X7178" s="186"/>
      <c r="Y7178" s="187"/>
      <c r="Z7178" s="311" t="s">
        <v>214</v>
      </c>
      <c r="AB7178" t="str">
        <f>IF(Table1[[#This Row],[TIPO2]]="costo", VLOOKUP(Table1[[#This Row],[PARTIDA PRESUPUESTAL]],'Cost Report'!G:G,1,0),"Balance")</f>
        <v>3410-012</v>
      </c>
      <c r="AD7178" s="159">
        <f>+Table1[[#This Row],[SUBTOTAL]]+Table1[[#This Row],[IVA]]-Table1[[#This Row],[RET IVA]]-Table1[[#This Row],[RET ISR]]-Table1[[#This Row],[TOTAL]]</f>
        <v>0</v>
      </c>
      <c r="AK7178" s="306" t="str">
        <f>IF(ISNUMBER(Table1[[#This Row],[FECHA DE RECIBIDO]]), Table1[[#This Row],[FECHA DE RECIBIDO]]-DATE(2023,8,30), "")</f>
        <v/>
      </c>
    </row>
    <row r="7179" spans="1:37">
      <c r="A7179" s="172"/>
      <c r="B7179" s="178"/>
      <c r="C7179" s="179" t="s">
        <v>2829</v>
      </c>
      <c r="D7179">
        <v>4614</v>
      </c>
      <c r="E7179" s="125"/>
      <c r="F7179" s="178"/>
      <c r="G7179" s="178"/>
      <c r="H7179"/>
      <c r="I7179" s="178"/>
      <c r="J7179" s="320" t="s">
        <v>214</v>
      </c>
      <c r="K7179" s="178"/>
      <c r="L7179" s="125" t="s">
        <v>4863</v>
      </c>
      <c r="M7179">
        <v>1156</v>
      </c>
      <c r="N7179" s="182"/>
      <c r="O7179">
        <v>3803</v>
      </c>
      <c r="P7179" s="176" t="s">
        <v>77</v>
      </c>
      <c r="Q7179" s="176">
        <v>3.3</v>
      </c>
      <c r="R7179" s="176"/>
      <c r="S7179" s="176"/>
      <c r="T7179" s="190"/>
      <c r="U7179" s="191"/>
      <c r="V7179" s="191">
        <f>+Table1[[#This Row],[SUBTOTAL]]+Table1[[#This Row],[IVA]]-Table1[[#This Row],[RET IVA]]-Table1[[#This Row],[RET ISR]]</f>
        <v>3.3</v>
      </c>
      <c r="W7179"/>
      <c r="X7179" s="186"/>
      <c r="Y7179" s="187"/>
      <c r="Z7179" s="311" t="s">
        <v>214</v>
      </c>
      <c r="AB7179" t="str">
        <f>IF(Table1[[#This Row],[TIPO2]]="costo", VLOOKUP(Table1[[#This Row],[PARTIDA PRESUPUESTAL]],'Cost Report'!G:G,1,0),"Balance")</f>
        <v>3412-138</v>
      </c>
      <c r="AD7179" s="159">
        <f>+Table1[[#This Row],[SUBTOTAL]]+Table1[[#This Row],[IVA]]-Table1[[#This Row],[RET IVA]]-Table1[[#This Row],[RET ISR]]-Table1[[#This Row],[TOTAL]]</f>
        <v>0</v>
      </c>
      <c r="AK7179" s="306" t="str">
        <f>IF(ISNUMBER(Table1[[#This Row],[FECHA DE RECIBIDO]]), Table1[[#This Row],[FECHA DE RECIBIDO]]-DATE(2023,8,30), "")</f>
        <v/>
      </c>
    </row>
    <row r="7180" spans="1:37">
      <c r="A7180" s="172"/>
      <c r="B7180" s="178"/>
      <c r="C7180" s="179" t="s">
        <v>977</v>
      </c>
      <c r="D7180">
        <v>4614</v>
      </c>
      <c r="E7180" s="125"/>
      <c r="F7180" s="178"/>
      <c r="G7180" s="178"/>
      <c r="H7180"/>
      <c r="I7180" s="178"/>
      <c r="J7180" s="320" t="s">
        <v>214</v>
      </c>
      <c r="K7180" s="178"/>
      <c r="L7180" s="125" t="s">
        <v>4863</v>
      </c>
      <c r="M7180">
        <v>513</v>
      </c>
      <c r="N7180" s="182"/>
      <c r="O7180">
        <v>3804</v>
      </c>
      <c r="P7180" s="176" t="s">
        <v>77</v>
      </c>
      <c r="Q7180" s="176">
        <v>277.5</v>
      </c>
      <c r="R7180" s="176"/>
      <c r="S7180" s="176"/>
      <c r="T7180" s="190"/>
      <c r="U7180" s="191"/>
      <c r="V7180" s="191">
        <f>+Table1[[#This Row],[SUBTOTAL]]+Table1[[#This Row],[IVA]]-Table1[[#This Row],[RET IVA]]-Table1[[#This Row],[RET ISR]]</f>
        <v>277.5</v>
      </c>
      <c r="W7180"/>
      <c r="X7180" s="186"/>
      <c r="Y7180" s="187"/>
      <c r="Z7180" s="311" t="s">
        <v>214</v>
      </c>
      <c r="AB7180" t="str">
        <f>IF(Table1[[#This Row],[TIPO2]]="costo", VLOOKUP(Table1[[#This Row],[PARTIDA PRESUPUESTAL]],'Cost Report'!G:G,1,0),"Balance")</f>
        <v>3410-012</v>
      </c>
      <c r="AD7180" s="159">
        <f>+Table1[[#This Row],[SUBTOTAL]]+Table1[[#This Row],[IVA]]-Table1[[#This Row],[RET IVA]]-Table1[[#This Row],[RET ISR]]-Table1[[#This Row],[TOTAL]]</f>
        <v>0</v>
      </c>
      <c r="AK7180" s="306" t="str">
        <f>IF(ISNUMBER(Table1[[#This Row],[FECHA DE RECIBIDO]]), Table1[[#This Row],[FECHA DE RECIBIDO]]-DATE(2023,8,30), "")</f>
        <v/>
      </c>
    </row>
    <row r="7181" spans="1:37">
      <c r="A7181" s="172"/>
      <c r="B7181" s="178"/>
      <c r="C7181" s="179" t="s">
        <v>977</v>
      </c>
      <c r="D7181">
        <v>4614</v>
      </c>
      <c r="E7181" s="125"/>
      <c r="F7181" s="178"/>
      <c r="G7181" s="178"/>
      <c r="H7181"/>
      <c r="I7181" s="178"/>
      <c r="J7181" s="320" t="s">
        <v>214</v>
      </c>
      <c r="K7181" s="178"/>
      <c r="L7181" s="125" t="s">
        <v>4863</v>
      </c>
      <c r="M7181">
        <v>817</v>
      </c>
      <c r="N7181" s="182"/>
      <c r="O7181">
        <v>3805</v>
      </c>
      <c r="P7181" s="176" t="s">
        <v>77</v>
      </c>
      <c r="Q7181" s="176">
        <v>1198.8</v>
      </c>
      <c r="R7181" s="176"/>
      <c r="S7181" s="176"/>
      <c r="T7181" s="190"/>
      <c r="U7181" s="191"/>
      <c r="V7181" s="191">
        <f>+Table1[[#This Row],[SUBTOTAL]]+Table1[[#This Row],[IVA]]-Table1[[#This Row],[RET IVA]]-Table1[[#This Row],[RET ISR]]</f>
        <v>1198.8</v>
      </c>
      <c r="W7181"/>
      <c r="X7181" s="186"/>
      <c r="Y7181" s="187"/>
      <c r="Z7181" s="311" t="s">
        <v>214</v>
      </c>
      <c r="AB7181" t="str">
        <f>IF(Table1[[#This Row],[TIPO2]]="costo", VLOOKUP(Table1[[#This Row],[PARTIDA PRESUPUESTAL]],'Cost Report'!G:G,1,0),"Balance")</f>
        <v>3410-012</v>
      </c>
      <c r="AD7181" s="159">
        <f>+Table1[[#This Row],[SUBTOTAL]]+Table1[[#This Row],[IVA]]-Table1[[#This Row],[RET IVA]]-Table1[[#This Row],[RET ISR]]-Table1[[#This Row],[TOTAL]]</f>
        <v>0</v>
      </c>
      <c r="AK7181" s="306" t="str">
        <f>IF(ISNUMBER(Table1[[#This Row],[FECHA DE RECIBIDO]]), Table1[[#This Row],[FECHA DE RECIBIDO]]-DATE(2023,8,30), "")</f>
        <v/>
      </c>
    </row>
    <row r="7182" spans="1:37">
      <c r="A7182" s="172"/>
      <c r="B7182" s="178"/>
      <c r="C7182" s="179" t="s">
        <v>2749</v>
      </c>
      <c r="D7182">
        <v>4614</v>
      </c>
      <c r="E7182" s="125"/>
      <c r="F7182" s="178"/>
      <c r="G7182" s="178"/>
      <c r="H7182"/>
      <c r="I7182" s="178"/>
      <c r="J7182" s="320" t="s">
        <v>214</v>
      </c>
      <c r="K7182" s="178"/>
      <c r="L7182" s="125" t="s">
        <v>4863</v>
      </c>
      <c r="M7182">
        <v>383</v>
      </c>
      <c r="N7182" s="182"/>
      <c r="O7182">
        <v>162</v>
      </c>
      <c r="P7182" s="176" t="s">
        <v>77</v>
      </c>
      <c r="Q7182" s="176">
        <v>9.2219999999999995</v>
      </c>
      <c r="R7182" s="176"/>
      <c r="S7182" s="176"/>
      <c r="T7182" s="190"/>
      <c r="U7182" s="191"/>
      <c r="V7182" s="191">
        <f>+Table1[[#This Row],[SUBTOTAL]]+Table1[[#This Row],[IVA]]-Table1[[#This Row],[RET IVA]]-Table1[[#This Row],[RET ISR]]</f>
        <v>9.2219999999999995</v>
      </c>
      <c r="W7182"/>
      <c r="X7182" s="186"/>
      <c r="Y7182" s="187"/>
      <c r="Z7182" s="311" t="s">
        <v>214</v>
      </c>
      <c r="AB7182" t="str">
        <f>IF(Table1[[#This Row],[TIPO2]]="costo", VLOOKUP(Table1[[#This Row],[PARTIDA PRESUPUESTAL]],'Cost Report'!G:G,1,0),"Balance")</f>
        <v>3401-011</v>
      </c>
      <c r="AD7182" s="159">
        <f>+Table1[[#This Row],[SUBTOTAL]]+Table1[[#This Row],[IVA]]-Table1[[#This Row],[RET IVA]]-Table1[[#This Row],[RET ISR]]-Table1[[#This Row],[TOTAL]]</f>
        <v>0</v>
      </c>
      <c r="AK7182" s="306" t="str">
        <f>IF(ISNUMBER(Table1[[#This Row],[FECHA DE RECIBIDO]]), Table1[[#This Row],[FECHA DE RECIBIDO]]-DATE(2023,8,30), "")</f>
        <v/>
      </c>
    </row>
    <row r="7183" spans="1:37">
      <c r="A7183" s="172"/>
      <c r="B7183" s="178"/>
      <c r="C7183" s="179" t="s">
        <v>2749</v>
      </c>
      <c r="D7183">
        <v>4614</v>
      </c>
      <c r="E7183" s="125"/>
      <c r="F7183" s="178"/>
      <c r="G7183" s="178"/>
      <c r="H7183"/>
      <c r="I7183" s="178"/>
      <c r="J7183" s="320" t="s">
        <v>214</v>
      </c>
      <c r="K7183" s="178"/>
      <c r="L7183" s="125" t="s">
        <v>4863</v>
      </c>
      <c r="M7183">
        <v>1323</v>
      </c>
      <c r="N7183" s="182"/>
      <c r="O7183">
        <v>162</v>
      </c>
      <c r="P7183" s="176" t="s">
        <v>77</v>
      </c>
      <c r="Q7183" s="176">
        <v>10.266</v>
      </c>
      <c r="R7183" s="176"/>
      <c r="S7183" s="176"/>
      <c r="T7183" s="190"/>
      <c r="U7183" s="191"/>
      <c r="V7183" s="191">
        <f>+Table1[[#This Row],[SUBTOTAL]]+Table1[[#This Row],[IVA]]-Table1[[#This Row],[RET IVA]]-Table1[[#This Row],[RET ISR]]</f>
        <v>10.266</v>
      </c>
      <c r="W7183"/>
      <c r="X7183" s="186"/>
      <c r="Y7183" s="187"/>
      <c r="Z7183" s="311" t="s">
        <v>214</v>
      </c>
      <c r="AB7183" t="str">
        <f>IF(Table1[[#This Row],[TIPO2]]="costo", VLOOKUP(Table1[[#This Row],[PARTIDA PRESUPUESTAL]],'Cost Report'!G:G,1,0),"Balance")</f>
        <v>3401-011</v>
      </c>
      <c r="AD7183" s="159">
        <f>+Table1[[#This Row],[SUBTOTAL]]+Table1[[#This Row],[IVA]]-Table1[[#This Row],[RET IVA]]-Table1[[#This Row],[RET ISR]]-Table1[[#This Row],[TOTAL]]</f>
        <v>0</v>
      </c>
      <c r="AK7183" s="306" t="str">
        <f>IF(ISNUMBER(Table1[[#This Row],[FECHA DE RECIBIDO]]), Table1[[#This Row],[FECHA DE RECIBIDO]]-DATE(2023,8,30), "")</f>
        <v/>
      </c>
    </row>
    <row r="7184" spans="1:37">
      <c r="A7184" s="172"/>
      <c r="B7184" s="178"/>
      <c r="C7184" s="179" t="s">
        <v>2749</v>
      </c>
      <c r="D7184">
        <v>4614</v>
      </c>
      <c r="E7184" s="125"/>
      <c r="F7184" s="178"/>
      <c r="G7184" s="178"/>
      <c r="H7184"/>
      <c r="I7184" s="178"/>
      <c r="J7184" s="320" t="s">
        <v>214</v>
      </c>
      <c r="K7184" s="178"/>
      <c r="L7184" s="125" t="s">
        <v>4863</v>
      </c>
      <c r="M7184">
        <v>884</v>
      </c>
      <c r="N7184" s="182"/>
      <c r="O7184">
        <v>162</v>
      </c>
      <c r="P7184" s="176" t="s">
        <v>77</v>
      </c>
      <c r="Q7184" s="176">
        <v>9.2219999999999995</v>
      </c>
      <c r="R7184" s="176"/>
      <c r="S7184" s="176"/>
      <c r="T7184" s="190"/>
      <c r="U7184" s="191"/>
      <c r="V7184" s="191">
        <f>+Table1[[#This Row],[SUBTOTAL]]+Table1[[#This Row],[IVA]]-Table1[[#This Row],[RET IVA]]-Table1[[#This Row],[RET ISR]]</f>
        <v>9.2219999999999995</v>
      </c>
      <c r="W7184"/>
      <c r="X7184" s="186"/>
      <c r="Y7184" s="187"/>
      <c r="Z7184" s="311" t="s">
        <v>214</v>
      </c>
      <c r="AB7184" t="str">
        <f>IF(Table1[[#This Row],[TIPO2]]="costo", VLOOKUP(Table1[[#This Row],[PARTIDA PRESUPUESTAL]],'Cost Report'!G:G,1,0),"Balance")</f>
        <v>3401-011</v>
      </c>
      <c r="AD7184" s="159">
        <f>+Table1[[#This Row],[SUBTOTAL]]+Table1[[#This Row],[IVA]]-Table1[[#This Row],[RET IVA]]-Table1[[#This Row],[RET ISR]]-Table1[[#This Row],[TOTAL]]</f>
        <v>0</v>
      </c>
      <c r="AK7184" s="306" t="str">
        <f>IF(ISNUMBER(Table1[[#This Row],[FECHA DE RECIBIDO]]), Table1[[#This Row],[FECHA DE RECIBIDO]]-DATE(2023,8,30), "")</f>
        <v/>
      </c>
    </row>
    <row r="7185" spans="1:37">
      <c r="A7185" s="172"/>
      <c r="B7185" s="178"/>
      <c r="C7185" s="179" t="s">
        <v>2749</v>
      </c>
      <c r="D7185">
        <v>4614</v>
      </c>
      <c r="E7185" s="125"/>
      <c r="F7185" s="178"/>
      <c r="G7185" s="178"/>
      <c r="H7185"/>
      <c r="I7185" s="178"/>
      <c r="J7185" s="320" t="s">
        <v>214</v>
      </c>
      <c r="K7185" s="178"/>
      <c r="L7185" s="125" t="s">
        <v>4863</v>
      </c>
      <c r="M7185">
        <v>884</v>
      </c>
      <c r="N7185" s="182"/>
      <c r="O7185">
        <v>162</v>
      </c>
      <c r="P7185" s="176" t="s">
        <v>77</v>
      </c>
      <c r="Q7185" s="176">
        <v>9.2219999999999995</v>
      </c>
      <c r="R7185" s="176"/>
      <c r="S7185" s="176"/>
      <c r="T7185" s="190"/>
      <c r="U7185" s="191"/>
      <c r="V7185" s="191">
        <f>+Table1[[#This Row],[SUBTOTAL]]+Table1[[#This Row],[IVA]]-Table1[[#This Row],[RET IVA]]-Table1[[#This Row],[RET ISR]]</f>
        <v>9.2219999999999995</v>
      </c>
      <c r="W7185"/>
      <c r="X7185" s="186"/>
      <c r="Y7185" s="187"/>
      <c r="Z7185" s="311" t="s">
        <v>214</v>
      </c>
      <c r="AB7185" t="str">
        <f>IF(Table1[[#This Row],[TIPO2]]="costo", VLOOKUP(Table1[[#This Row],[PARTIDA PRESUPUESTAL]],'Cost Report'!G:G,1,0),"Balance")</f>
        <v>3401-011</v>
      </c>
      <c r="AD7185" s="159">
        <f>+Table1[[#This Row],[SUBTOTAL]]+Table1[[#This Row],[IVA]]-Table1[[#This Row],[RET IVA]]-Table1[[#This Row],[RET ISR]]-Table1[[#This Row],[TOTAL]]</f>
        <v>0</v>
      </c>
      <c r="AK7185" s="306" t="str">
        <f>IF(ISNUMBER(Table1[[#This Row],[FECHA DE RECIBIDO]]), Table1[[#This Row],[FECHA DE RECIBIDO]]-DATE(2023,8,30), "")</f>
        <v/>
      </c>
    </row>
    <row r="7186" spans="1:37">
      <c r="A7186" s="172"/>
      <c r="B7186" s="178"/>
      <c r="C7186" s="179" t="s">
        <v>2749</v>
      </c>
      <c r="D7186">
        <v>4614</v>
      </c>
      <c r="E7186" s="125"/>
      <c r="F7186" s="178"/>
      <c r="G7186" s="178"/>
      <c r="H7186"/>
      <c r="I7186" s="178"/>
      <c r="J7186" s="320" t="s">
        <v>214</v>
      </c>
      <c r="K7186" s="178"/>
      <c r="L7186" s="125" t="s">
        <v>4863</v>
      </c>
      <c r="M7186">
        <v>1323</v>
      </c>
      <c r="N7186" s="182"/>
      <c r="O7186">
        <v>162</v>
      </c>
      <c r="P7186" s="176" t="s">
        <v>77</v>
      </c>
      <c r="Q7186" s="176">
        <v>10.266</v>
      </c>
      <c r="R7186" s="176"/>
      <c r="S7186" s="176"/>
      <c r="T7186" s="190"/>
      <c r="U7186" s="191"/>
      <c r="V7186" s="191">
        <f>+Table1[[#This Row],[SUBTOTAL]]+Table1[[#This Row],[IVA]]-Table1[[#This Row],[RET IVA]]-Table1[[#This Row],[RET ISR]]</f>
        <v>10.266</v>
      </c>
      <c r="W7186"/>
      <c r="X7186" s="186"/>
      <c r="Y7186" s="187"/>
      <c r="Z7186" s="311" t="s">
        <v>214</v>
      </c>
      <c r="AB7186" t="str">
        <f>IF(Table1[[#This Row],[TIPO2]]="costo", VLOOKUP(Table1[[#This Row],[PARTIDA PRESUPUESTAL]],'Cost Report'!G:G,1,0),"Balance")</f>
        <v>3401-011</v>
      </c>
      <c r="AD7186" s="159">
        <f>+Table1[[#This Row],[SUBTOTAL]]+Table1[[#This Row],[IVA]]-Table1[[#This Row],[RET IVA]]-Table1[[#This Row],[RET ISR]]-Table1[[#This Row],[TOTAL]]</f>
        <v>0</v>
      </c>
      <c r="AK7186" s="306" t="str">
        <f>IF(ISNUMBER(Table1[[#This Row],[FECHA DE RECIBIDO]]), Table1[[#This Row],[FECHA DE RECIBIDO]]-DATE(2023,8,30), "")</f>
        <v/>
      </c>
    </row>
    <row r="7187" spans="1:37">
      <c r="A7187" s="172"/>
      <c r="B7187" s="178"/>
      <c r="C7187" s="179" t="s">
        <v>3103</v>
      </c>
      <c r="D7187">
        <v>4614</v>
      </c>
      <c r="E7187" s="125"/>
      <c r="F7187" s="178"/>
      <c r="G7187" s="178"/>
      <c r="H7187"/>
      <c r="I7187" s="178"/>
      <c r="J7187" s="320" t="s">
        <v>214</v>
      </c>
      <c r="K7187" s="178"/>
      <c r="L7187" s="125" t="s">
        <v>4863</v>
      </c>
      <c r="M7187">
        <v>809</v>
      </c>
      <c r="N7187" s="182"/>
      <c r="O7187">
        <v>3828</v>
      </c>
      <c r="P7187" s="176" t="s">
        <v>77</v>
      </c>
      <c r="Q7187" s="176">
        <v>10.266</v>
      </c>
      <c r="R7187" s="176"/>
      <c r="S7187" s="176"/>
      <c r="T7187" s="190"/>
      <c r="U7187" s="191"/>
      <c r="V7187" s="191">
        <f>+Table1[[#This Row],[SUBTOTAL]]+Table1[[#This Row],[IVA]]-Table1[[#This Row],[RET IVA]]-Table1[[#This Row],[RET ISR]]</f>
        <v>10.266</v>
      </c>
      <c r="W7187"/>
      <c r="X7187" s="186"/>
      <c r="Y7187" s="187"/>
      <c r="Z7187" s="311" t="s">
        <v>214</v>
      </c>
      <c r="AB7187" t="str">
        <f>IF(Table1[[#This Row],[TIPO2]]="costo", VLOOKUP(Table1[[#This Row],[PARTIDA PRESUPUESTAL]],'Cost Report'!G:G,1,0),"Balance")</f>
        <v>7038-009</v>
      </c>
      <c r="AD7187" s="159">
        <f>+Table1[[#This Row],[SUBTOTAL]]+Table1[[#This Row],[IVA]]-Table1[[#This Row],[RET IVA]]-Table1[[#This Row],[RET ISR]]-Table1[[#This Row],[TOTAL]]</f>
        <v>0</v>
      </c>
      <c r="AK7187" s="306" t="str">
        <f>IF(ISNUMBER(Table1[[#This Row],[FECHA DE RECIBIDO]]), Table1[[#This Row],[FECHA DE RECIBIDO]]-DATE(2023,8,30), "")</f>
        <v/>
      </c>
    </row>
    <row r="7188" spans="1:37">
      <c r="A7188" s="172"/>
      <c r="B7188" s="178"/>
      <c r="C7188" s="179" t="s">
        <v>977</v>
      </c>
      <c r="D7188">
        <v>4614</v>
      </c>
      <c r="E7188" s="125"/>
      <c r="F7188" s="178"/>
      <c r="G7188" s="178"/>
      <c r="H7188"/>
      <c r="I7188" s="178"/>
      <c r="J7188" s="320" t="s">
        <v>214</v>
      </c>
      <c r="K7188" s="178"/>
      <c r="L7188" s="125" t="s">
        <v>4863</v>
      </c>
      <c r="M7188">
        <v>1332</v>
      </c>
      <c r="N7188" s="182"/>
      <c r="O7188">
        <v>3829</v>
      </c>
      <c r="P7188" s="176" t="s">
        <v>77</v>
      </c>
      <c r="Q7188" s="176">
        <v>78</v>
      </c>
      <c r="R7188" s="176"/>
      <c r="S7188" s="176"/>
      <c r="T7188" s="190"/>
      <c r="U7188" s="191"/>
      <c r="V7188" s="191">
        <f>+Table1[[#This Row],[SUBTOTAL]]+Table1[[#This Row],[IVA]]-Table1[[#This Row],[RET IVA]]-Table1[[#This Row],[RET ISR]]</f>
        <v>78</v>
      </c>
      <c r="W7188"/>
      <c r="X7188" s="186"/>
      <c r="Y7188" s="187"/>
      <c r="Z7188" s="311" t="s">
        <v>214</v>
      </c>
      <c r="AB7188" t="str">
        <f>IF(Table1[[#This Row],[TIPO2]]="costo", VLOOKUP(Table1[[#This Row],[PARTIDA PRESUPUESTAL]],'Cost Report'!G:G,1,0),"Balance")</f>
        <v>3410-012</v>
      </c>
      <c r="AD7188" s="159">
        <f>+Table1[[#This Row],[SUBTOTAL]]+Table1[[#This Row],[IVA]]-Table1[[#This Row],[RET IVA]]-Table1[[#This Row],[RET ISR]]-Table1[[#This Row],[TOTAL]]</f>
        <v>0</v>
      </c>
      <c r="AK7188" s="306" t="str">
        <f>IF(ISNUMBER(Table1[[#This Row],[FECHA DE RECIBIDO]]), Table1[[#This Row],[FECHA DE RECIBIDO]]-DATE(2023,8,30), "")</f>
        <v/>
      </c>
    </row>
    <row r="7189" spans="1:37">
      <c r="A7189" s="172"/>
      <c r="B7189" s="178"/>
      <c r="C7189" s="179" t="s">
        <v>2443</v>
      </c>
      <c r="D7189">
        <v>4614</v>
      </c>
      <c r="E7189" s="125"/>
      <c r="F7189" s="178"/>
      <c r="G7189" s="178"/>
      <c r="H7189"/>
      <c r="I7189" s="178"/>
      <c r="J7189" s="320" t="s">
        <v>214</v>
      </c>
      <c r="K7189" s="178"/>
      <c r="L7189" s="125" t="s">
        <v>4863</v>
      </c>
      <c r="M7189">
        <v>1333</v>
      </c>
      <c r="N7189" s="182"/>
      <c r="O7189">
        <v>3830</v>
      </c>
      <c r="P7189" s="176" t="s">
        <v>77</v>
      </c>
      <c r="Q7189" s="176">
        <v>149.40299999999999</v>
      </c>
      <c r="R7189" s="176"/>
      <c r="S7189" s="176"/>
      <c r="T7189" s="190"/>
      <c r="U7189" s="191"/>
      <c r="V7189" s="191">
        <f>+Table1[[#This Row],[SUBTOTAL]]+Table1[[#This Row],[IVA]]-Table1[[#This Row],[RET IVA]]-Table1[[#This Row],[RET ISR]]</f>
        <v>149.40299999999999</v>
      </c>
      <c r="W7189"/>
      <c r="X7189" s="186"/>
      <c r="Y7189" s="187"/>
      <c r="Z7189" s="311" t="s">
        <v>214</v>
      </c>
      <c r="AB7189" t="str">
        <f>IF(Table1[[#This Row],[TIPO2]]="costo", VLOOKUP(Table1[[#This Row],[PARTIDA PRESUPUESTAL]],'Cost Report'!G:G,1,0),"Balance")</f>
        <v>2080-003</v>
      </c>
      <c r="AD7189" s="159">
        <f>+Table1[[#This Row],[SUBTOTAL]]+Table1[[#This Row],[IVA]]-Table1[[#This Row],[RET IVA]]-Table1[[#This Row],[RET ISR]]-Table1[[#This Row],[TOTAL]]</f>
        <v>0</v>
      </c>
      <c r="AK7189" s="306" t="str">
        <f>IF(ISNUMBER(Table1[[#This Row],[FECHA DE RECIBIDO]]), Table1[[#This Row],[FECHA DE RECIBIDO]]-DATE(2023,8,30), "")</f>
        <v/>
      </c>
    </row>
    <row r="7190" spans="1:37">
      <c r="A7190" s="172"/>
      <c r="B7190" s="178"/>
      <c r="C7190" s="179" t="s">
        <v>3103</v>
      </c>
      <c r="D7190">
        <v>4614</v>
      </c>
      <c r="E7190" s="125"/>
      <c r="F7190" s="178"/>
      <c r="G7190" s="178"/>
      <c r="H7190"/>
      <c r="I7190" s="178"/>
      <c r="J7190" s="320" t="s">
        <v>214</v>
      </c>
      <c r="K7190" s="178"/>
      <c r="L7190" s="125" t="s">
        <v>4863</v>
      </c>
      <c r="M7190">
        <v>809</v>
      </c>
      <c r="N7190" s="182"/>
      <c r="O7190">
        <v>3828</v>
      </c>
      <c r="P7190" s="176" t="s">
        <v>77</v>
      </c>
      <c r="Q7190" s="176">
        <v>10.266</v>
      </c>
      <c r="R7190" s="176"/>
      <c r="S7190" s="176"/>
      <c r="T7190" s="190"/>
      <c r="U7190" s="191"/>
      <c r="V7190" s="191">
        <f>+Table1[[#This Row],[SUBTOTAL]]+Table1[[#This Row],[IVA]]-Table1[[#This Row],[RET IVA]]-Table1[[#This Row],[RET ISR]]</f>
        <v>10.266</v>
      </c>
      <c r="W7190"/>
      <c r="X7190" s="186"/>
      <c r="Y7190" s="187"/>
      <c r="Z7190" s="311" t="s">
        <v>214</v>
      </c>
      <c r="AB7190" t="str">
        <f>IF(Table1[[#This Row],[TIPO2]]="costo", VLOOKUP(Table1[[#This Row],[PARTIDA PRESUPUESTAL]],'Cost Report'!G:G,1,0),"Balance")</f>
        <v>7038-009</v>
      </c>
      <c r="AD7190" s="159">
        <f>+Table1[[#This Row],[SUBTOTAL]]+Table1[[#This Row],[IVA]]-Table1[[#This Row],[RET IVA]]-Table1[[#This Row],[RET ISR]]-Table1[[#This Row],[TOTAL]]</f>
        <v>0</v>
      </c>
      <c r="AK7190" s="306" t="str">
        <f>IF(ISNUMBER(Table1[[#This Row],[FECHA DE RECIBIDO]]), Table1[[#This Row],[FECHA DE RECIBIDO]]-DATE(2023,8,30), "")</f>
        <v/>
      </c>
    </row>
    <row r="7191" spans="1:37">
      <c r="A7191" s="172"/>
      <c r="B7191" s="178"/>
      <c r="C7191" s="179" t="s">
        <v>3105</v>
      </c>
      <c r="D7191">
        <v>4614</v>
      </c>
      <c r="E7191" s="125"/>
      <c r="F7191" s="178"/>
      <c r="G7191" s="178"/>
      <c r="H7191"/>
      <c r="I7191" s="178"/>
      <c r="J7191" s="320" t="s">
        <v>214</v>
      </c>
      <c r="K7191" s="178"/>
      <c r="L7191" s="125" t="s">
        <v>4863</v>
      </c>
      <c r="M7191">
        <v>1334</v>
      </c>
      <c r="N7191" s="182"/>
      <c r="O7191">
        <v>3831</v>
      </c>
      <c r="P7191" s="176" t="s">
        <v>77</v>
      </c>
      <c r="Q7191" s="176">
        <v>221.08500000000001</v>
      </c>
      <c r="R7191" s="176"/>
      <c r="S7191" s="176"/>
      <c r="T7191" s="190"/>
      <c r="U7191" s="191"/>
      <c r="V7191" s="191">
        <f>+Table1[[#This Row],[SUBTOTAL]]+Table1[[#This Row],[IVA]]-Table1[[#This Row],[RET IVA]]-Table1[[#This Row],[RET ISR]]</f>
        <v>221.08500000000001</v>
      </c>
      <c r="W7191"/>
      <c r="X7191" s="186"/>
      <c r="Y7191" s="187"/>
      <c r="Z7191" s="311" t="s">
        <v>214</v>
      </c>
      <c r="AB7191" t="str">
        <f>IF(Table1[[#This Row],[TIPO2]]="costo", VLOOKUP(Table1[[#This Row],[PARTIDA PRESUPUESTAL]],'Cost Report'!G:G,1,0),"Balance")</f>
        <v>7050-005</v>
      </c>
      <c r="AD7191" s="159">
        <f>+Table1[[#This Row],[SUBTOTAL]]+Table1[[#This Row],[IVA]]-Table1[[#This Row],[RET IVA]]-Table1[[#This Row],[RET ISR]]-Table1[[#This Row],[TOTAL]]</f>
        <v>0</v>
      </c>
      <c r="AK7191" s="306" t="str">
        <f>IF(ISNUMBER(Table1[[#This Row],[FECHA DE RECIBIDO]]), Table1[[#This Row],[FECHA DE RECIBIDO]]-DATE(2023,8,30), "")</f>
        <v/>
      </c>
    </row>
    <row r="7192" spans="1:37">
      <c r="A7192" s="172"/>
      <c r="B7192" s="178"/>
      <c r="C7192" s="179" t="s">
        <v>2596</v>
      </c>
      <c r="D7192">
        <v>4614</v>
      </c>
      <c r="E7192" s="125"/>
      <c r="F7192" s="178"/>
      <c r="G7192" s="178"/>
      <c r="H7192"/>
      <c r="I7192" s="178"/>
      <c r="J7192" s="320" t="s">
        <v>214</v>
      </c>
      <c r="K7192" s="178"/>
      <c r="L7192" s="125" t="s">
        <v>4863</v>
      </c>
      <c r="M7192">
        <v>135</v>
      </c>
      <c r="N7192" s="182"/>
      <c r="O7192">
        <v>3832</v>
      </c>
      <c r="P7192" s="176" t="s">
        <v>77</v>
      </c>
      <c r="Q7192" s="176">
        <v>-209.4</v>
      </c>
      <c r="R7192" s="176"/>
      <c r="S7192" s="176"/>
      <c r="T7192" s="190"/>
      <c r="U7192" s="191"/>
      <c r="V7192" s="191">
        <f>+Table1[[#This Row],[SUBTOTAL]]+Table1[[#This Row],[IVA]]-Table1[[#This Row],[RET IVA]]-Table1[[#This Row],[RET ISR]]</f>
        <v>-209.4</v>
      </c>
      <c r="W7192"/>
      <c r="X7192" s="186"/>
      <c r="Y7192" s="187"/>
      <c r="Z7192" s="311" t="s">
        <v>214</v>
      </c>
      <c r="AB7192" t="str">
        <f>IF(Table1[[#This Row],[TIPO2]]="costo", VLOOKUP(Table1[[#This Row],[PARTIDA PRESUPUESTAL]],'Cost Report'!G:G,1,0),"Balance")</f>
        <v>2794-003</v>
      </c>
      <c r="AD7192" s="159">
        <f>+Table1[[#This Row],[SUBTOTAL]]+Table1[[#This Row],[IVA]]-Table1[[#This Row],[RET IVA]]-Table1[[#This Row],[RET ISR]]-Table1[[#This Row],[TOTAL]]</f>
        <v>0</v>
      </c>
      <c r="AK7192" s="306" t="str">
        <f>IF(ISNUMBER(Table1[[#This Row],[FECHA DE RECIBIDO]]), Table1[[#This Row],[FECHA DE RECIBIDO]]-DATE(2023,8,30), "")</f>
        <v/>
      </c>
    </row>
    <row r="7193" spans="1:37">
      <c r="A7193" s="172"/>
      <c r="B7193" s="178"/>
      <c r="C7193" s="179" t="s">
        <v>2596</v>
      </c>
      <c r="D7193">
        <v>4614</v>
      </c>
      <c r="E7193" s="125"/>
      <c r="F7193" s="178"/>
      <c r="G7193" s="178"/>
      <c r="H7193"/>
      <c r="I7193" s="178"/>
      <c r="J7193" s="320" t="s">
        <v>214</v>
      </c>
      <c r="K7193" s="178"/>
      <c r="L7193" s="125" t="s">
        <v>4863</v>
      </c>
      <c r="M7193">
        <v>206</v>
      </c>
      <c r="N7193" s="182"/>
      <c r="O7193">
        <v>3833</v>
      </c>
      <c r="P7193" s="176" t="s">
        <v>77</v>
      </c>
      <c r="Q7193" s="176">
        <v>-458.79599999999999</v>
      </c>
      <c r="R7193" s="176"/>
      <c r="S7193" s="176"/>
      <c r="T7193" s="190"/>
      <c r="U7193" s="191"/>
      <c r="V7193" s="191">
        <f>+Table1[[#This Row],[SUBTOTAL]]+Table1[[#This Row],[IVA]]-Table1[[#This Row],[RET IVA]]-Table1[[#This Row],[RET ISR]]</f>
        <v>-458.79599999999999</v>
      </c>
      <c r="W7193"/>
      <c r="X7193" s="186"/>
      <c r="Y7193" s="187"/>
      <c r="Z7193" s="311" t="s">
        <v>214</v>
      </c>
      <c r="AB7193" t="str">
        <f>IF(Table1[[#This Row],[TIPO2]]="costo", VLOOKUP(Table1[[#This Row],[PARTIDA PRESUPUESTAL]],'Cost Report'!G:G,1,0),"Balance")</f>
        <v>2794-003</v>
      </c>
      <c r="AD7193" s="159">
        <f>+Table1[[#This Row],[SUBTOTAL]]+Table1[[#This Row],[IVA]]-Table1[[#This Row],[RET IVA]]-Table1[[#This Row],[RET ISR]]-Table1[[#This Row],[TOTAL]]</f>
        <v>0</v>
      </c>
      <c r="AK7193" s="306" t="str">
        <f>IF(ISNUMBER(Table1[[#This Row],[FECHA DE RECIBIDO]]), Table1[[#This Row],[FECHA DE RECIBIDO]]-DATE(2023,8,30), "")</f>
        <v/>
      </c>
    </row>
    <row r="7194" spans="1:37">
      <c r="A7194" s="172"/>
      <c r="B7194" s="178"/>
      <c r="C7194" s="179" t="s">
        <v>2596</v>
      </c>
      <c r="D7194">
        <v>4614</v>
      </c>
      <c r="E7194" s="125"/>
      <c r="F7194" s="178"/>
      <c r="G7194" s="178"/>
      <c r="H7194"/>
      <c r="I7194" s="178"/>
      <c r="J7194" s="320" t="s">
        <v>214</v>
      </c>
      <c r="K7194" s="178"/>
      <c r="L7194" s="125" t="s">
        <v>4863</v>
      </c>
      <c r="M7194">
        <v>1335</v>
      </c>
      <c r="N7194" s="182"/>
      <c r="O7194">
        <v>3834</v>
      </c>
      <c r="P7194" s="176" t="s">
        <v>77</v>
      </c>
      <c r="Q7194" s="176">
        <v>-1229.3999999999999</v>
      </c>
      <c r="R7194" s="176"/>
      <c r="S7194" s="176"/>
      <c r="T7194" s="190"/>
      <c r="U7194" s="191"/>
      <c r="V7194" s="191">
        <f>+Table1[[#This Row],[SUBTOTAL]]+Table1[[#This Row],[IVA]]-Table1[[#This Row],[RET IVA]]-Table1[[#This Row],[RET ISR]]</f>
        <v>-1229.3999999999999</v>
      </c>
      <c r="W7194"/>
      <c r="X7194" s="186"/>
      <c r="Y7194" s="187"/>
      <c r="Z7194" s="311" t="s">
        <v>214</v>
      </c>
      <c r="AB7194" t="str">
        <f>IF(Table1[[#This Row],[TIPO2]]="costo", VLOOKUP(Table1[[#This Row],[PARTIDA PRESUPUESTAL]],'Cost Report'!G:G,1,0),"Balance")</f>
        <v>2794-003</v>
      </c>
      <c r="AD7194" s="159">
        <f>+Table1[[#This Row],[SUBTOTAL]]+Table1[[#This Row],[IVA]]-Table1[[#This Row],[RET IVA]]-Table1[[#This Row],[RET ISR]]-Table1[[#This Row],[TOTAL]]</f>
        <v>0</v>
      </c>
      <c r="AK7194" s="306" t="str">
        <f>IF(ISNUMBER(Table1[[#This Row],[FECHA DE RECIBIDO]]), Table1[[#This Row],[FECHA DE RECIBIDO]]-DATE(2023,8,30), "")</f>
        <v/>
      </c>
    </row>
    <row r="7195" spans="1:37">
      <c r="A7195" s="172"/>
      <c r="B7195" s="178"/>
      <c r="C7195" s="179" t="s">
        <v>2596</v>
      </c>
      <c r="D7195">
        <v>4614</v>
      </c>
      <c r="E7195" s="125"/>
      <c r="F7195" s="178"/>
      <c r="G7195" s="178"/>
      <c r="H7195"/>
      <c r="I7195" s="178"/>
      <c r="J7195" s="320" t="s">
        <v>214</v>
      </c>
      <c r="K7195" s="178"/>
      <c r="L7195" s="125" t="s">
        <v>4863</v>
      </c>
      <c r="M7195">
        <v>202</v>
      </c>
      <c r="N7195" s="182"/>
      <c r="O7195">
        <v>3835</v>
      </c>
      <c r="P7195" s="176" t="s">
        <v>77</v>
      </c>
      <c r="Q7195" s="176">
        <v>-479.7</v>
      </c>
      <c r="R7195" s="176"/>
      <c r="S7195" s="176"/>
      <c r="T7195" s="190"/>
      <c r="U7195" s="191"/>
      <c r="V7195" s="191">
        <f>+Table1[[#This Row],[SUBTOTAL]]+Table1[[#This Row],[IVA]]-Table1[[#This Row],[RET IVA]]-Table1[[#This Row],[RET ISR]]</f>
        <v>-479.7</v>
      </c>
      <c r="W7195"/>
      <c r="X7195" s="186"/>
      <c r="Y7195" s="187"/>
      <c r="Z7195" s="311" t="s">
        <v>214</v>
      </c>
      <c r="AB7195" t="str">
        <f>IF(Table1[[#This Row],[TIPO2]]="costo", VLOOKUP(Table1[[#This Row],[PARTIDA PRESUPUESTAL]],'Cost Report'!G:G,1,0),"Balance")</f>
        <v>2794-003</v>
      </c>
      <c r="AD7195" s="159">
        <f>+Table1[[#This Row],[SUBTOTAL]]+Table1[[#This Row],[IVA]]-Table1[[#This Row],[RET IVA]]-Table1[[#This Row],[RET ISR]]-Table1[[#This Row],[TOTAL]]</f>
        <v>0</v>
      </c>
      <c r="AK7195" s="306" t="str">
        <f>IF(ISNUMBER(Table1[[#This Row],[FECHA DE RECIBIDO]]), Table1[[#This Row],[FECHA DE RECIBIDO]]-DATE(2023,8,30), "")</f>
        <v/>
      </c>
    </row>
    <row r="7196" spans="1:37">
      <c r="A7196" s="172"/>
      <c r="B7196" s="178"/>
      <c r="C7196" s="179" t="s">
        <v>2455</v>
      </c>
      <c r="D7196">
        <v>4614</v>
      </c>
      <c r="E7196" s="125"/>
      <c r="F7196" s="178"/>
      <c r="G7196" s="178"/>
      <c r="H7196"/>
      <c r="I7196" s="178"/>
      <c r="J7196" s="320" t="s">
        <v>214</v>
      </c>
      <c r="K7196" s="178"/>
      <c r="L7196" s="125" t="s">
        <v>4863</v>
      </c>
      <c r="M7196">
        <v>809</v>
      </c>
      <c r="N7196" s="182"/>
      <c r="O7196">
        <v>522</v>
      </c>
      <c r="P7196" s="176" t="s">
        <v>77</v>
      </c>
      <c r="Q7196" s="176">
        <v>10.266</v>
      </c>
      <c r="R7196" s="176"/>
      <c r="S7196" s="176"/>
      <c r="T7196" s="190"/>
      <c r="U7196" s="191"/>
      <c r="V7196" s="191">
        <f>+Table1[[#This Row],[SUBTOTAL]]+Table1[[#This Row],[IVA]]-Table1[[#This Row],[RET IVA]]-Table1[[#This Row],[RET ISR]]</f>
        <v>10.266</v>
      </c>
      <c r="W7196"/>
      <c r="X7196" s="186"/>
      <c r="Y7196" s="187"/>
      <c r="Z7196" s="311" t="s">
        <v>214</v>
      </c>
      <c r="AB7196" t="str">
        <f>IF(Table1[[#This Row],[TIPO2]]="costo", VLOOKUP(Table1[[#This Row],[PARTIDA PRESUPUESTAL]],'Cost Report'!G:G,1,0),"Balance")</f>
        <v>2285-003</v>
      </c>
      <c r="AD7196" s="159">
        <f>+Table1[[#This Row],[SUBTOTAL]]+Table1[[#This Row],[IVA]]-Table1[[#This Row],[RET IVA]]-Table1[[#This Row],[RET ISR]]-Table1[[#This Row],[TOTAL]]</f>
        <v>0</v>
      </c>
      <c r="AK7196" s="306" t="str">
        <f>IF(ISNUMBER(Table1[[#This Row],[FECHA DE RECIBIDO]]), Table1[[#This Row],[FECHA DE RECIBIDO]]-DATE(2023,8,30), "")</f>
        <v/>
      </c>
    </row>
    <row r="7197" spans="1:37">
      <c r="A7197" s="172"/>
      <c r="B7197" s="178"/>
      <c r="C7197" s="179" t="s">
        <v>2556</v>
      </c>
      <c r="D7197">
        <v>4614</v>
      </c>
      <c r="E7197" s="125"/>
      <c r="F7197" s="178"/>
      <c r="G7197" s="178"/>
      <c r="H7197"/>
      <c r="I7197" s="178"/>
      <c r="J7197" s="320" t="s">
        <v>214</v>
      </c>
      <c r="K7197" s="178"/>
      <c r="L7197" s="125" t="s">
        <v>4863</v>
      </c>
      <c r="M7197">
        <v>1354</v>
      </c>
      <c r="N7197" s="182"/>
      <c r="O7197">
        <v>3888</v>
      </c>
      <c r="P7197" s="176" t="s">
        <v>77</v>
      </c>
      <c r="Q7197" s="176">
        <v>27.599999999999998</v>
      </c>
      <c r="R7197" s="176"/>
      <c r="S7197" s="176"/>
      <c r="T7197" s="190"/>
      <c r="U7197" s="191"/>
      <c r="V7197" s="191">
        <f>+Table1[[#This Row],[SUBTOTAL]]+Table1[[#This Row],[IVA]]-Table1[[#This Row],[RET IVA]]-Table1[[#This Row],[RET ISR]]</f>
        <v>27.599999999999998</v>
      </c>
      <c r="W7197"/>
      <c r="X7197" s="186"/>
      <c r="Y7197" s="187"/>
      <c r="Z7197" s="311" t="s">
        <v>214</v>
      </c>
      <c r="AB7197" t="str">
        <f>IF(Table1[[#This Row],[TIPO2]]="costo", VLOOKUP(Table1[[#This Row],[PARTIDA PRESUPUESTAL]],'Cost Report'!G:G,1,0),"Balance")</f>
        <v>2498-003</v>
      </c>
      <c r="AD7197" s="159">
        <f>+Table1[[#This Row],[SUBTOTAL]]+Table1[[#This Row],[IVA]]-Table1[[#This Row],[RET IVA]]-Table1[[#This Row],[RET ISR]]-Table1[[#This Row],[TOTAL]]</f>
        <v>0</v>
      </c>
      <c r="AK7197" s="306" t="str">
        <f>IF(ISNUMBER(Table1[[#This Row],[FECHA DE RECIBIDO]]), Table1[[#This Row],[FECHA DE RECIBIDO]]-DATE(2023,8,30), "")</f>
        <v/>
      </c>
    </row>
    <row r="7198" spans="1:37">
      <c r="A7198" s="172"/>
      <c r="B7198" s="178"/>
      <c r="C7198" s="179" t="s">
        <v>2455</v>
      </c>
      <c r="D7198">
        <v>4614</v>
      </c>
      <c r="E7198" s="125"/>
      <c r="F7198" s="178"/>
      <c r="G7198" s="178"/>
      <c r="H7198"/>
      <c r="I7198" s="178"/>
      <c r="J7198" s="320" t="s">
        <v>214</v>
      </c>
      <c r="K7198" s="178"/>
      <c r="L7198" s="125" t="s">
        <v>4863</v>
      </c>
      <c r="M7198">
        <v>1360</v>
      </c>
      <c r="N7198" s="182"/>
      <c r="O7198">
        <v>3458</v>
      </c>
      <c r="P7198" s="176" t="s">
        <v>77</v>
      </c>
      <c r="Q7198" s="176">
        <v>8.0039999999999996</v>
      </c>
      <c r="R7198" s="176"/>
      <c r="S7198" s="176"/>
      <c r="T7198" s="190"/>
      <c r="U7198" s="191"/>
      <c r="V7198" s="191">
        <f>+Table1[[#This Row],[SUBTOTAL]]+Table1[[#This Row],[IVA]]-Table1[[#This Row],[RET IVA]]-Table1[[#This Row],[RET ISR]]</f>
        <v>8.0039999999999996</v>
      </c>
      <c r="W7198"/>
      <c r="X7198" s="186"/>
      <c r="Y7198" s="187"/>
      <c r="Z7198" s="311" t="s">
        <v>214</v>
      </c>
      <c r="AB7198" t="str">
        <f>IF(Table1[[#This Row],[TIPO2]]="costo", VLOOKUP(Table1[[#This Row],[PARTIDA PRESUPUESTAL]],'Cost Report'!G:G,1,0),"Balance")</f>
        <v>2285-003</v>
      </c>
      <c r="AD7198" s="159">
        <f>+Table1[[#This Row],[SUBTOTAL]]+Table1[[#This Row],[IVA]]-Table1[[#This Row],[RET IVA]]-Table1[[#This Row],[RET ISR]]-Table1[[#This Row],[TOTAL]]</f>
        <v>0</v>
      </c>
      <c r="AK7198" s="306" t="str">
        <f>IF(ISNUMBER(Table1[[#This Row],[FECHA DE RECIBIDO]]), Table1[[#This Row],[FECHA DE RECIBIDO]]-DATE(2023,8,30), "")</f>
        <v/>
      </c>
    </row>
    <row r="7199" spans="1:37">
      <c r="A7199" s="172"/>
      <c r="B7199" s="178"/>
      <c r="C7199" s="179" t="s">
        <v>2566</v>
      </c>
      <c r="D7199">
        <v>4614</v>
      </c>
      <c r="E7199" s="125"/>
      <c r="F7199" s="178"/>
      <c r="G7199" s="178"/>
      <c r="H7199"/>
      <c r="I7199" s="178"/>
      <c r="J7199" s="320" t="s">
        <v>214</v>
      </c>
      <c r="K7199" s="178"/>
      <c r="L7199" s="125" t="s">
        <v>4863</v>
      </c>
      <c r="M7199">
        <v>1364</v>
      </c>
      <c r="N7199" s="182"/>
      <c r="O7199">
        <v>3916</v>
      </c>
      <c r="P7199" s="176" t="s">
        <v>77</v>
      </c>
      <c r="Q7199" s="176">
        <v>34.103999999999999</v>
      </c>
      <c r="R7199" s="176"/>
      <c r="S7199" s="176"/>
      <c r="T7199" s="190"/>
      <c r="U7199" s="191"/>
      <c r="V7199" s="191">
        <f>+Table1[[#This Row],[SUBTOTAL]]+Table1[[#This Row],[IVA]]-Table1[[#This Row],[RET IVA]]-Table1[[#This Row],[RET ISR]]</f>
        <v>34.103999999999999</v>
      </c>
      <c r="W7199"/>
      <c r="X7199" s="186"/>
      <c r="Y7199" s="187"/>
      <c r="Z7199" s="311" t="s">
        <v>214</v>
      </c>
      <c r="AB7199" t="str">
        <f>IF(Table1[[#This Row],[TIPO2]]="costo", VLOOKUP(Table1[[#This Row],[PARTIDA PRESUPUESTAL]],'Cost Report'!G:G,1,0),"Balance")</f>
        <v>2594-003</v>
      </c>
      <c r="AD7199" s="159">
        <f>+Table1[[#This Row],[SUBTOTAL]]+Table1[[#This Row],[IVA]]-Table1[[#This Row],[RET IVA]]-Table1[[#This Row],[RET ISR]]-Table1[[#This Row],[TOTAL]]</f>
        <v>0</v>
      </c>
      <c r="AK7199" s="306" t="str">
        <f>IF(ISNUMBER(Table1[[#This Row],[FECHA DE RECIBIDO]]), Table1[[#This Row],[FECHA DE RECIBIDO]]-DATE(2023,8,30), "")</f>
        <v/>
      </c>
    </row>
    <row r="7200" spans="1:37">
      <c r="A7200" s="172"/>
      <c r="B7200" s="178"/>
      <c r="C7200" s="179" t="s">
        <v>2566</v>
      </c>
      <c r="D7200">
        <v>4614</v>
      </c>
      <c r="E7200" s="125"/>
      <c r="F7200" s="178"/>
      <c r="G7200" s="178"/>
      <c r="H7200"/>
      <c r="I7200" s="178"/>
      <c r="J7200" s="320" t="s">
        <v>214</v>
      </c>
      <c r="K7200" s="178"/>
      <c r="L7200" s="125" t="s">
        <v>4863</v>
      </c>
      <c r="M7200">
        <v>1365</v>
      </c>
      <c r="N7200" s="182"/>
      <c r="O7200">
        <v>3917</v>
      </c>
      <c r="P7200" s="176" t="s">
        <v>77</v>
      </c>
      <c r="Q7200" s="176">
        <v>88.8</v>
      </c>
      <c r="R7200" s="176"/>
      <c r="S7200" s="176"/>
      <c r="T7200" s="190"/>
      <c r="U7200" s="191"/>
      <c r="V7200" s="191">
        <f>+Table1[[#This Row],[SUBTOTAL]]+Table1[[#This Row],[IVA]]-Table1[[#This Row],[RET IVA]]-Table1[[#This Row],[RET ISR]]</f>
        <v>88.8</v>
      </c>
      <c r="W7200"/>
      <c r="X7200" s="186"/>
      <c r="Y7200" s="187"/>
      <c r="Z7200" s="311" t="s">
        <v>214</v>
      </c>
      <c r="AB7200" t="str">
        <f>IF(Table1[[#This Row],[TIPO2]]="costo", VLOOKUP(Table1[[#This Row],[PARTIDA PRESUPUESTAL]],'Cost Report'!G:G,1,0),"Balance")</f>
        <v>2594-003</v>
      </c>
      <c r="AD7200" s="159">
        <f>+Table1[[#This Row],[SUBTOTAL]]+Table1[[#This Row],[IVA]]-Table1[[#This Row],[RET IVA]]-Table1[[#This Row],[RET ISR]]-Table1[[#This Row],[TOTAL]]</f>
        <v>0</v>
      </c>
      <c r="AK7200" s="306" t="str">
        <f>IF(ISNUMBER(Table1[[#This Row],[FECHA DE RECIBIDO]]), Table1[[#This Row],[FECHA DE RECIBIDO]]-DATE(2023,8,30), "")</f>
        <v/>
      </c>
    </row>
    <row r="7201" spans="1:37">
      <c r="A7201" s="172"/>
      <c r="B7201" s="178"/>
      <c r="C7201" s="179" t="s">
        <v>2565</v>
      </c>
      <c r="D7201">
        <v>4614</v>
      </c>
      <c r="E7201" s="125"/>
      <c r="F7201" s="178"/>
      <c r="G7201" s="178"/>
      <c r="H7201"/>
      <c r="I7201" s="178"/>
      <c r="J7201" s="320" t="s">
        <v>214</v>
      </c>
      <c r="K7201" s="178"/>
      <c r="L7201" s="125" t="s">
        <v>4863</v>
      </c>
      <c r="M7201">
        <v>1218</v>
      </c>
      <c r="N7201" s="182"/>
      <c r="O7201">
        <v>3918</v>
      </c>
      <c r="P7201" s="176" t="s">
        <v>77</v>
      </c>
      <c r="Q7201" s="176">
        <v>327.9</v>
      </c>
      <c r="R7201" s="176"/>
      <c r="S7201" s="176"/>
      <c r="T7201" s="190"/>
      <c r="U7201" s="191"/>
      <c r="V7201" s="191">
        <f>+Table1[[#This Row],[SUBTOTAL]]+Table1[[#This Row],[IVA]]-Table1[[#This Row],[RET IVA]]-Table1[[#This Row],[RET ISR]]</f>
        <v>327.9</v>
      </c>
      <c r="W7201"/>
      <c r="X7201" s="186"/>
      <c r="Y7201" s="187"/>
      <c r="Z7201" s="311" t="s">
        <v>214</v>
      </c>
      <c r="AB7201" t="str">
        <f>IF(Table1[[#This Row],[TIPO2]]="costo", VLOOKUP(Table1[[#This Row],[PARTIDA PRESUPUESTAL]],'Cost Report'!G:G,1,0),"Balance")</f>
        <v>2585-003</v>
      </c>
      <c r="AD7201" s="159">
        <f>+Table1[[#This Row],[SUBTOTAL]]+Table1[[#This Row],[IVA]]-Table1[[#This Row],[RET IVA]]-Table1[[#This Row],[RET ISR]]-Table1[[#This Row],[TOTAL]]</f>
        <v>0</v>
      </c>
      <c r="AK7201" s="306" t="str">
        <f>IF(ISNUMBER(Table1[[#This Row],[FECHA DE RECIBIDO]]), Table1[[#This Row],[FECHA DE RECIBIDO]]-DATE(2023,8,30), "")</f>
        <v/>
      </c>
    </row>
    <row r="7202" spans="1:37">
      <c r="A7202" s="172"/>
      <c r="B7202" s="178"/>
      <c r="C7202" s="179" t="s">
        <v>2566</v>
      </c>
      <c r="D7202">
        <v>4614</v>
      </c>
      <c r="E7202" s="125"/>
      <c r="F7202" s="178"/>
      <c r="G7202" s="178"/>
      <c r="H7202"/>
      <c r="I7202" s="178"/>
      <c r="J7202" s="320" t="s">
        <v>214</v>
      </c>
      <c r="K7202" s="178"/>
      <c r="L7202" s="125" t="s">
        <v>4863</v>
      </c>
      <c r="M7202">
        <v>1159</v>
      </c>
      <c r="N7202" s="182"/>
      <c r="O7202">
        <v>3919</v>
      </c>
      <c r="P7202" s="176" t="s">
        <v>77</v>
      </c>
      <c r="Q7202" s="176">
        <v>125.69999999999999</v>
      </c>
      <c r="R7202" s="176"/>
      <c r="S7202" s="176"/>
      <c r="T7202" s="190"/>
      <c r="U7202" s="191"/>
      <c r="V7202" s="191">
        <f>+Table1[[#This Row],[SUBTOTAL]]+Table1[[#This Row],[IVA]]-Table1[[#This Row],[RET IVA]]-Table1[[#This Row],[RET ISR]]</f>
        <v>125.69999999999999</v>
      </c>
      <c r="W7202"/>
      <c r="X7202" s="186"/>
      <c r="Y7202" s="187"/>
      <c r="Z7202" s="311" t="s">
        <v>214</v>
      </c>
      <c r="AB7202" t="str">
        <f>IF(Table1[[#This Row],[TIPO2]]="costo", VLOOKUP(Table1[[#This Row],[PARTIDA PRESUPUESTAL]],'Cost Report'!G:G,1,0),"Balance")</f>
        <v>2594-003</v>
      </c>
      <c r="AD7202" s="159">
        <f>+Table1[[#This Row],[SUBTOTAL]]+Table1[[#This Row],[IVA]]-Table1[[#This Row],[RET IVA]]-Table1[[#This Row],[RET ISR]]-Table1[[#This Row],[TOTAL]]</f>
        <v>0</v>
      </c>
      <c r="AK7202" s="306" t="str">
        <f>IF(ISNUMBER(Table1[[#This Row],[FECHA DE RECIBIDO]]), Table1[[#This Row],[FECHA DE RECIBIDO]]-DATE(2023,8,30), "")</f>
        <v/>
      </c>
    </row>
    <row r="7203" spans="1:37">
      <c r="A7203" s="172"/>
      <c r="B7203" s="178"/>
      <c r="C7203" s="179" t="s">
        <v>610</v>
      </c>
      <c r="D7203">
        <v>4614</v>
      </c>
      <c r="E7203" s="125"/>
      <c r="F7203" s="178"/>
      <c r="G7203" s="178"/>
      <c r="H7203"/>
      <c r="I7203" s="178"/>
      <c r="J7203" s="320" t="s">
        <v>214</v>
      </c>
      <c r="K7203" s="178"/>
      <c r="L7203" s="125" t="s">
        <v>4863</v>
      </c>
      <c r="M7203">
        <v>801</v>
      </c>
      <c r="N7203" s="182"/>
      <c r="O7203">
        <v>3923</v>
      </c>
      <c r="P7203" s="176" t="s">
        <v>77</v>
      </c>
      <c r="Q7203" s="176">
        <v>3</v>
      </c>
      <c r="R7203" s="176"/>
      <c r="S7203" s="176"/>
      <c r="T7203" s="190"/>
      <c r="U7203" s="191"/>
      <c r="V7203" s="191">
        <f>+Table1[[#This Row],[SUBTOTAL]]+Table1[[#This Row],[IVA]]-Table1[[#This Row],[RET IVA]]-Table1[[#This Row],[RET ISR]]</f>
        <v>3</v>
      </c>
      <c r="W7203"/>
      <c r="X7203" s="186"/>
      <c r="Y7203" s="187"/>
      <c r="Z7203" s="311" t="s">
        <v>214</v>
      </c>
      <c r="AB7203" t="str">
        <f>IF(Table1[[#This Row],[TIPO2]]="costo", VLOOKUP(Table1[[#This Row],[PARTIDA PRESUPUESTAL]],'Cost Report'!G:G,1,0),"Balance")</f>
        <v>2485-003</v>
      </c>
      <c r="AD7203" s="159">
        <f>+Table1[[#This Row],[SUBTOTAL]]+Table1[[#This Row],[IVA]]-Table1[[#This Row],[RET IVA]]-Table1[[#This Row],[RET ISR]]-Table1[[#This Row],[TOTAL]]</f>
        <v>0</v>
      </c>
      <c r="AK7203" s="306" t="str">
        <f>IF(ISNUMBER(Table1[[#This Row],[FECHA DE RECIBIDO]]), Table1[[#This Row],[FECHA DE RECIBIDO]]-DATE(2023,8,30), "")</f>
        <v/>
      </c>
    </row>
    <row r="7204" spans="1:37">
      <c r="A7204" s="172"/>
      <c r="B7204" s="178"/>
      <c r="C7204" s="179" t="s">
        <v>2455</v>
      </c>
      <c r="D7204">
        <v>4614</v>
      </c>
      <c r="E7204" s="125"/>
      <c r="F7204" s="178"/>
      <c r="G7204" s="178"/>
      <c r="H7204"/>
      <c r="I7204" s="178"/>
      <c r="J7204" s="320" t="s">
        <v>214</v>
      </c>
      <c r="K7204" s="178"/>
      <c r="L7204" s="125" t="s">
        <v>4863</v>
      </c>
      <c r="M7204">
        <v>1369</v>
      </c>
      <c r="N7204" s="182"/>
      <c r="O7204">
        <v>3925</v>
      </c>
      <c r="P7204" s="176" t="s">
        <v>77</v>
      </c>
      <c r="Q7204" s="176">
        <v>24</v>
      </c>
      <c r="R7204" s="176"/>
      <c r="S7204" s="176"/>
      <c r="T7204" s="190"/>
      <c r="U7204" s="191"/>
      <c r="V7204" s="191">
        <f>+Table1[[#This Row],[SUBTOTAL]]+Table1[[#This Row],[IVA]]-Table1[[#This Row],[RET IVA]]-Table1[[#This Row],[RET ISR]]</f>
        <v>24</v>
      </c>
      <c r="W7204"/>
      <c r="X7204" s="186"/>
      <c r="Y7204" s="187"/>
      <c r="Z7204" s="311" t="s">
        <v>214</v>
      </c>
      <c r="AB7204" t="str">
        <f>IF(Table1[[#This Row],[TIPO2]]="costo", VLOOKUP(Table1[[#This Row],[PARTIDA PRESUPUESTAL]],'Cost Report'!G:G,1,0),"Balance")</f>
        <v>2285-003</v>
      </c>
      <c r="AD7204" s="159">
        <f>+Table1[[#This Row],[SUBTOTAL]]+Table1[[#This Row],[IVA]]-Table1[[#This Row],[RET IVA]]-Table1[[#This Row],[RET ISR]]-Table1[[#This Row],[TOTAL]]</f>
        <v>0</v>
      </c>
      <c r="AK7204" s="306" t="str">
        <f>IF(ISNUMBER(Table1[[#This Row],[FECHA DE RECIBIDO]]), Table1[[#This Row],[FECHA DE RECIBIDO]]-DATE(2023,8,30), "")</f>
        <v/>
      </c>
    </row>
    <row r="7205" spans="1:37">
      <c r="A7205" s="172"/>
      <c r="B7205" s="178"/>
      <c r="C7205" s="179" t="s">
        <v>2455</v>
      </c>
      <c r="D7205">
        <v>4614</v>
      </c>
      <c r="E7205" s="125"/>
      <c r="F7205" s="178"/>
      <c r="G7205" s="178"/>
      <c r="H7205"/>
      <c r="I7205" s="178"/>
      <c r="J7205" s="320" t="s">
        <v>214</v>
      </c>
      <c r="K7205" s="178"/>
      <c r="L7205" s="125" t="s">
        <v>4863</v>
      </c>
      <c r="M7205">
        <v>1370</v>
      </c>
      <c r="N7205" s="182"/>
      <c r="O7205">
        <v>3458</v>
      </c>
      <c r="P7205" s="176" t="s">
        <v>77</v>
      </c>
      <c r="Q7205" s="176">
        <v>9.2219999999999995</v>
      </c>
      <c r="R7205" s="176"/>
      <c r="S7205" s="176"/>
      <c r="T7205" s="190"/>
      <c r="U7205" s="191"/>
      <c r="V7205" s="191">
        <f>+Table1[[#This Row],[SUBTOTAL]]+Table1[[#This Row],[IVA]]-Table1[[#This Row],[RET IVA]]-Table1[[#This Row],[RET ISR]]</f>
        <v>9.2219999999999995</v>
      </c>
      <c r="W7205"/>
      <c r="X7205" s="186"/>
      <c r="Y7205" s="187"/>
      <c r="Z7205" s="311" t="s">
        <v>214</v>
      </c>
      <c r="AB7205" t="str">
        <f>IF(Table1[[#This Row],[TIPO2]]="costo", VLOOKUP(Table1[[#This Row],[PARTIDA PRESUPUESTAL]],'Cost Report'!G:G,1,0),"Balance")</f>
        <v>2285-003</v>
      </c>
      <c r="AD7205" s="159">
        <f>+Table1[[#This Row],[SUBTOTAL]]+Table1[[#This Row],[IVA]]-Table1[[#This Row],[RET IVA]]-Table1[[#This Row],[RET ISR]]-Table1[[#This Row],[TOTAL]]</f>
        <v>0</v>
      </c>
      <c r="AK7205" s="306" t="str">
        <f>IF(ISNUMBER(Table1[[#This Row],[FECHA DE RECIBIDO]]), Table1[[#This Row],[FECHA DE RECIBIDO]]-DATE(2023,8,30), "")</f>
        <v/>
      </c>
    </row>
    <row r="7206" spans="1:37">
      <c r="A7206" s="172"/>
      <c r="B7206" s="178"/>
      <c r="C7206" s="179" t="s">
        <v>2455</v>
      </c>
      <c r="D7206">
        <v>4614</v>
      </c>
      <c r="E7206" s="125"/>
      <c r="F7206" s="178"/>
      <c r="G7206" s="178"/>
      <c r="H7206"/>
      <c r="I7206" s="178"/>
      <c r="J7206" s="320" t="s">
        <v>214</v>
      </c>
      <c r="K7206" s="178"/>
      <c r="L7206" s="125" t="s">
        <v>4863</v>
      </c>
      <c r="M7206">
        <v>1371</v>
      </c>
      <c r="N7206" s="182"/>
      <c r="O7206">
        <v>3458</v>
      </c>
      <c r="P7206" s="176" t="s">
        <v>77</v>
      </c>
      <c r="Q7206" s="176">
        <v>9.395999999999999</v>
      </c>
      <c r="R7206" s="176"/>
      <c r="S7206" s="176"/>
      <c r="T7206" s="190"/>
      <c r="U7206" s="191"/>
      <c r="V7206" s="191">
        <f>+Table1[[#This Row],[SUBTOTAL]]+Table1[[#This Row],[IVA]]-Table1[[#This Row],[RET IVA]]-Table1[[#This Row],[RET ISR]]</f>
        <v>9.395999999999999</v>
      </c>
      <c r="W7206"/>
      <c r="X7206" s="186"/>
      <c r="Y7206" s="187"/>
      <c r="Z7206" s="311" t="s">
        <v>214</v>
      </c>
      <c r="AB7206" t="str">
        <f>IF(Table1[[#This Row],[TIPO2]]="costo", VLOOKUP(Table1[[#This Row],[PARTIDA PRESUPUESTAL]],'Cost Report'!G:G,1,0),"Balance")</f>
        <v>2285-003</v>
      </c>
      <c r="AD7206" s="159">
        <f>+Table1[[#This Row],[SUBTOTAL]]+Table1[[#This Row],[IVA]]-Table1[[#This Row],[RET IVA]]-Table1[[#This Row],[RET ISR]]-Table1[[#This Row],[TOTAL]]</f>
        <v>0</v>
      </c>
      <c r="AK7206" s="306" t="str">
        <f>IF(ISNUMBER(Table1[[#This Row],[FECHA DE RECIBIDO]]), Table1[[#This Row],[FECHA DE RECIBIDO]]-DATE(2023,8,30), "")</f>
        <v/>
      </c>
    </row>
    <row r="7207" spans="1:37">
      <c r="A7207" s="172"/>
      <c r="B7207" s="178"/>
      <c r="C7207" s="179" t="s">
        <v>2455</v>
      </c>
      <c r="D7207">
        <v>4614</v>
      </c>
      <c r="E7207" s="125"/>
      <c r="F7207" s="178"/>
      <c r="G7207" s="178"/>
      <c r="H7207"/>
      <c r="I7207" s="178"/>
      <c r="J7207" s="320" t="s">
        <v>214</v>
      </c>
      <c r="K7207" s="178"/>
      <c r="L7207" s="125" t="s">
        <v>4863</v>
      </c>
      <c r="M7207">
        <v>215</v>
      </c>
      <c r="N7207" s="182"/>
      <c r="O7207">
        <v>3943</v>
      </c>
      <c r="P7207" s="176" t="s">
        <v>77</v>
      </c>
      <c r="Q7207" s="176">
        <v>32.991</v>
      </c>
      <c r="R7207" s="176"/>
      <c r="S7207" s="176"/>
      <c r="T7207" s="190"/>
      <c r="U7207" s="191"/>
      <c r="V7207" s="191">
        <f>+Table1[[#This Row],[SUBTOTAL]]+Table1[[#This Row],[IVA]]-Table1[[#This Row],[RET IVA]]-Table1[[#This Row],[RET ISR]]</f>
        <v>32.991</v>
      </c>
      <c r="W7207"/>
      <c r="X7207" s="186"/>
      <c r="Y7207" s="187"/>
      <c r="Z7207" s="311" t="s">
        <v>214</v>
      </c>
      <c r="AB7207" t="str">
        <f>IF(Table1[[#This Row],[TIPO2]]="costo", VLOOKUP(Table1[[#This Row],[PARTIDA PRESUPUESTAL]],'Cost Report'!G:G,1,0),"Balance")</f>
        <v>2285-003</v>
      </c>
      <c r="AD7207" s="159">
        <f>+Table1[[#This Row],[SUBTOTAL]]+Table1[[#This Row],[IVA]]-Table1[[#This Row],[RET IVA]]-Table1[[#This Row],[RET ISR]]-Table1[[#This Row],[TOTAL]]</f>
        <v>0</v>
      </c>
      <c r="AK7207" s="306" t="str">
        <f>IF(ISNUMBER(Table1[[#This Row],[FECHA DE RECIBIDO]]), Table1[[#This Row],[FECHA DE RECIBIDO]]-DATE(2023,8,30), "")</f>
        <v/>
      </c>
    </row>
    <row r="7208" spans="1:37">
      <c r="A7208" s="172"/>
      <c r="B7208" s="178"/>
      <c r="C7208" s="179" t="s">
        <v>2455</v>
      </c>
      <c r="D7208">
        <v>4614</v>
      </c>
      <c r="E7208" s="125"/>
      <c r="F7208" s="178"/>
      <c r="G7208" s="178"/>
      <c r="H7208"/>
      <c r="I7208" s="178"/>
      <c r="J7208" s="320" t="s">
        <v>214</v>
      </c>
      <c r="K7208" s="178"/>
      <c r="L7208" s="125" t="s">
        <v>4863</v>
      </c>
      <c r="M7208">
        <v>215</v>
      </c>
      <c r="N7208" s="182"/>
      <c r="O7208">
        <v>3943</v>
      </c>
      <c r="P7208" s="176" t="s">
        <v>77</v>
      </c>
      <c r="Q7208" s="176">
        <v>26.996999999999996</v>
      </c>
      <c r="R7208" s="176"/>
      <c r="S7208" s="176"/>
      <c r="T7208" s="190"/>
      <c r="U7208" s="191"/>
      <c r="V7208" s="191">
        <f>+Table1[[#This Row],[SUBTOTAL]]+Table1[[#This Row],[IVA]]-Table1[[#This Row],[RET IVA]]-Table1[[#This Row],[RET ISR]]</f>
        <v>26.996999999999996</v>
      </c>
      <c r="W7208"/>
      <c r="X7208" s="186"/>
      <c r="Y7208" s="187"/>
      <c r="Z7208" s="311" t="s">
        <v>214</v>
      </c>
      <c r="AB7208" t="str">
        <f>IF(Table1[[#This Row],[TIPO2]]="costo", VLOOKUP(Table1[[#This Row],[PARTIDA PRESUPUESTAL]],'Cost Report'!G:G,1,0),"Balance")</f>
        <v>2285-003</v>
      </c>
      <c r="AD7208" s="159">
        <f>+Table1[[#This Row],[SUBTOTAL]]+Table1[[#This Row],[IVA]]-Table1[[#This Row],[RET IVA]]-Table1[[#This Row],[RET ISR]]-Table1[[#This Row],[TOTAL]]</f>
        <v>0</v>
      </c>
      <c r="AK7208" s="306" t="str">
        <f>IF(ISNUMBER(Table1[[#This Row],[FECHA DE RECIBIDO]]), Table1[[#This Row],[FECHA DE RECIBIDO]]-DATE(2023,8,30), "")</f>
        <v/>
      </c>
    </row>
    <row r="7209" spans="1:37">
      <c r="A7209" s="172"/>
      <c r="B7209" s="178"/>
      <c r="C7209" s="179" t="s">
        <v>2455</v>
      </c>
      <c r="D7209">
        <v>4614</v>
      </c>
      <c r="E7209" s="125"/>
      <c r="F7209" s="178"/>
      <c r="G7209" s="178"/>
      <c r="H7209"/>
      <c r="I7209" s="178"/>
      <c r="J7209" s="320" t="s">
        <v>214</v>
      </c>
      <c r="K7209" s="178"/>
      <c r="L7209" s="125" t="s">
        <v>4863</v>
      </c>
      <c r="M7209">
        <v>215</v>
      </c>
      <c r="N7209" s="182"/>
      <c r="O7209">
        <v>3943</v>
      </c>
      <c r="P7209" s="176" t="s">
        <v>77</v>
      </c>
      <c r="Q7209" s="176">
        <v>29.978999999999999</v>
      </c>
      <c r="R7209" s="176"/>
      <c r="S7209" s="176"/>
      <c r="T7209" s="190"/>
      <c r="U7209" s="191"/>
      <c r="V7209" s="191">
        <f>+Table1[[#This Row],[SUBTOTAL]]+Table1[[#This Row],[IVA]]-Table1[[#This Row],[RET IVA]]-Table1[[#This Row],[RET ISR]]</f>
        <v>29.978999999999999</v>
      </c>
      <c r="W7209"/>
      <c r="X7209" s="186"/>
      <c r="Y7209" s="187"/>
      <c r="Z7209" s="311" t="s">
        <v>214</v>
      </c>
      <c r="AB7209" t="str">
        <f>IF(Table1[[#This Row],[TIPO2]]="costo", VLOOKUP(Table1[[#This Row],[PARTIDA PRESUPUESTAL]],'Cost Report'!G:G,1,0),"Balance")</f>
        <v>2285-003</v>
      </c>
      <c r="AD7209" s="159">
        <f>+Table1[[#This Row],[SUBTOTAL]]+Table1[[#This Row],[IVA]]-Table1[[#This Row],[RET IVA]]-Table1[[#This Row],[RET ISR]]-Table1[[#This Row],[TOTAL]]</f>
        <v>0</v>
      </c>
      <c r="AK7209" s="306" t="str">
        <f>IF(ISNUMBER(Table1[[#This Row],[FECHA DE RECIBIDO]]), Table1[[#This Row],[FECHA DE RECIBIDO]]-DATE(2023,8,30), "")</f>
        <v/>
      </c>
    </row>
    <row r="7210" spans="1:37">
      <c r="A7210" s="172"/>
      <c r="B7210" s="178"/>
      <c r="C7210" s="179" t="s">
        <v>2455</v>
      </c>
      <c r="D7210">
        <v>4614</v>
      </c>
      <c r="E7210" s="125"/>
      <c r="F7210" s="178"/>
      <c r="G7210" s="178"/>
      <c r="H7210"/>
      <c r="I7210" s="178"/>
      <c r="J7210" s="320" t="s">
        <v>214</v>
      </c>
      <c r="K7210" s="178"/>
      <c r="L7210" s="125" t="s">
        <v>4863</v>
      </c>
      <c r="M7210">
        <v>215</v>
      </c>
      <c r="N7210" s="182"/>
      <c r="O7210">
        <v>3943</v>
      </c>
      <c r="P7210" s="176" t="s">
        <v>77</v>
      </c>
      <c r="Q7210" s="176">
        <v>27.581999999999997</v>
      </c>
      <c r="R7210" s="176"/>
      <c r="S7210" s="176"/>
      <c r="T7210" s="190"/>
      <c r="U7210" s="191"/>
      <c r="V7210" s="191">
        <f>+Table1[[#This Row],[SUBTOTAL]]+Table1[[#This Row],[IVA]]-Table1[[#This Row],[RET IVA]]-Table1[[#This Row],[RET ISR]]</f>
        <v>27.581999999999997</v>
      </c>
      <c r="W7210"/>
      <c r="X7210" s="186"/>
      <c r="Y7210" s="187"/>
      <c r="Z7210" s="311" t="s">
        <v>214</v>
      </c>
      <c r="AB7210" t="str">
        <f>IF(Table1[[#This Row],[TIPO2]]="costo", VLOOKUP(Table1[[#This Row],[PARTIDA PRESUPUESTAL]],'Cost Report'!G:G,1,0),"Balance")</f>
        <v>2285-003</v>
      </c>
      <c r="AD7210" s="159">
        <f>+Table1[[#This Row],[SUBTOTAL]]+Table1[[#This Row],[IVA]]-Table1[[#This Row],[RET IVA]]-Table1[[#This Row],[RET ISR]]-Table1[[#This Row],[TOTAL]]</f>
        <v>0</v>
      </c>
      <c r="AK7210" s="306" t="str">
        <f>IF(ISNUMBER(Table1[[#This Row],[FECHA DE RECIBIDO]]), Table1[[#This Row],[FECHA DE RECIBIDO]]-DATE(2023,8,30), "")</f>
        <v/>
      </c>
    </row>
    <row r="7211" spans="1:37">
      <c r="A7211" s="172"/>
      <c r="B7211" s="178"/>
      <c r="C7211" s="179" t="s">
        <v>2455</v>
      </c>
      <c r="D7211">
        <v>4614</v>
      </c>
      <c r="E7211" s="125"/>
      <c r="F7211" s="178"/>
      <c r="G7211" s="178"/>
      <c r="H7211"/>
      <c r="I7211" s="178"/>
      <c r="J7211" s="320" t="s">
        <v>214</v>
      </c>
      <c r="K7211" s="178"/>
      <c r="L7211" s="125" t="s">
        <v>4863</v>
      </c>
      <c r="M7211">
        <v>215</v>
      </c>
      <c r="N7211" s="182"/>
      <c r="O7211">
        <v>3944</v>
      </c>
      <c r="P7211" s="176" t="s">
        <v>77</v>
      </c>
      <c r="Q7211" s="176">
        <v>29.972999999999999</v>
      </c>
      <c r="R7211" s="176"/>
      <c r="S7211" s="176"/>
      <c r="T7211" s="190"/>
      <c r="U7211" s="191"/>
      <c r="V7211" s="191">
        <f>+Table1[[#This Row],[SUBTOTAL]]+Table1[[#This Row],[IVA]]-Table1[[#This Row],[RET IVA]]-Table1[[#This Row],[RET ISR]]</f>
        <v>29.972999999999999</v>
      </c>
      <c r="W7211"/>
      <c r="X7211" s="186"/>
      <c r="Y7211" s="187"/>
      <c r="Z7211" s="311" t="s">
        <v>214</v>
      </c>
      <c r="AB7211" t="str">
        <f>IF(Table1[[#This Row],[TIPO2]]="costo", VLOOKUP(Table1[[#This Row],[PARTIDA PRESUPUESTAL]],'Cost Report'!G:G,1,0),"Balance")</f>
        <v>2285-003</v>
      </c>
      <c r="AD7211" s="159">
        <f>+Table1[[#This Row],[SUBTOTAL]]+Table1[[#This Row],[IVA]]-Table1[[#This Row],[RET IVA]]-Table1[[#This Row],[RET ISR]]-Table1[[#This Row],[TOTAL]]</f>
        <v>0</v>
      </c>
      <c r="AK7211" s="306" t="str">
        <f>IF(ISNUMBER(Table1[[#This Row],[FECHA DE RECIBIDO]]), Table1[[#This Row],[FECHA DE RECIBIDO]]-DATE(2023,8,30), "")</f>
        <v/>
      </c>
    </row>
    <row r="7212" spans="1:37">
      <c r="A7212" s="172"/>
      <c r="B7212" s="178"/>
      <c r="C7212" s="179" t="s">
        <v>2455</v>
      </c>
      <c r="D7212">
        <v>4614</v>
      </c>
      <c r="E7212" s="125"/>
      <c r="F7212" s="178"/>
      <c r="G7212" s="178"/>
      <c r="H7212"/>
      <c r="I7212" s="178"/>
      <c r="J7212" s="320" t="s">
        <v>214</v>
      </c>
      <c r="K7212" s="178"/>
      <c r="L7212" s="125" t="s">
        <v>4863</v>
      </c>
      <c r="M7212">
        <v>215</v>
      </c>
      <c r="N7212" s="182"/>
      <c r="O7212">
        <v>3944</v>
      </c>
      <c r="P7212" s="176" t="s">
        <v>77</v>
      </c>
      <c r="Q7212" s="176">
        <v>32.978999999999999</v>
      </c>
      <c r="R7212" s="176"/>
      <c r="S7212" s="176"/>
      <c r="T7212" s="190"/>
      <c r="U7212" s="191"/>
      <c r="V7212" s="191">
        <f>+Table1[[#This Row],[SUBTOTAL]]+Table1[[#This Row],[IVA]]-Table1[[#This Row],[RET IVA]]-Table1[[#This Row],[RET ISR]]</f>
        <v>32.978999999999999</v>
      </c>
      <c r="W7212"/>
      <c r="X7212" s="186"/>
      <c r="Y7212" s="187"/>
      <c r="Z7212" s="311" t="s">
        <v>214</v>
      </c>
      <c r="AB7212" t="str">
        <f>IF(Table1[[#This Row],[TIPO2]]="costo", VLOOKUP(Table1[[#This Row],[PARTIDA PRESUPUESTAL]],'Cost Report'!G:G,1,0),"Balance")</f>
        <v>2285-003</v>
      </c>
      <c r="AD7212" s="159">
        <f>+Table1[[#This Row],[SUBTOTAL]]+Table1[[#This Row],[IVA]]-Table1[[#This Row],[RET IVA]]-Table1[[#This Row],[RET ISR]]-Table1[[#This Row],[TOTAL]]</f>
        <v>0</v>
      </c>
      <c r="AK7212" s="306" t="str">
        <f>IF(ISNUMBER(Table1[[#This Row],[FECHA DE RECIBIDO]]), Table1[[#This Row],[FECHA DE RECIBIDO]]-DATE(2023,8,30), "")</f>
        <v/>
      </c>
    </row>
    <row r="7213" spans="1:37">
      <c r="A7213" s="172"/>
      <c r="B7213" s="178"/>
      <c r="C7213" s="179" t="s">
        <v>2455</v>
      </c>
      <c r="D7213">
        <v>4614</v>
      </c>
      <c r="E7213" s="125"/>
      <c r="F7213" s="178"/>
      <c r="G7213" s="178"/>
      <c r="H7213"/>
      <c r="I7213" s="178"/>
      <c r="J7213" s="320" t="s">
        <v>214</v>
      </c>
      <c r="K7213" s="178"/>
      <c r="L7213" s="125" t="s">
        <v>4863</v>
      </c>
      <c r="M7213">
        <v>215</v>
      </c>
      <c r="N7213" s="182"/>
      <c r="O7213">
        <v>3945</v>
      </c>
      <c r="P7213" s="176" t="s">
        <v>77</v>
      </c>
      <c r="Q7213" s="176">
        <v>53.975999999999992</v>
      </c>
      <c r="R7213" s="176"/>
      <c r="S7213" s="176"/>
      <c r="T7213" s="190"/>
      <c r="U7213" s="191"/>
      <c r="V7213" s="191">
        <f>+Table1[[#This Row],[SUBTOTAL]]+Table1[[#This Row],[IVA]]-Table1[[#This Row],[RET IVA]]-Table1[[#This Row],[RET ISR]]</f>
        <v>53.975999999999992</v>
      </c>
      <c r="W7213"/>
      <c r="X7213" s="186"/>
      <c r="Y7213" s="187"/>
      <c r="Z7213" s="311" t="s">
        <v>214</v>
      </c>
      <c r="AB7213" t="str">
        <f>IF(Table1[[#This Row],[TIPO2]]="costo", VLOOKUP(Table1[[#This Row],[PARTIDA PRESUPUESTAL]],'Cost Report'!G:G,1,0),"Balance")</f>
        <v>2285-003</v>
      </c>
      <c r="AD7213" s="159">
        <f>+Table1[[#This Row],[SUBTOTAL]]+Table1[[#This Row],[IVA]]-Table1[[#This Row],[RET IVA]]-Table1[[#This Row],[RET ISR]]-Table1[[#This Row],[TOTAL]]</f>
        <v>0</v>
      </c>
      <c r="AK7213" s="306" t="str">
        <f>IF(ISNUMBER(Table1[[#This Row],[FECHA DE RECIBIDO]]), Table1[[#This Row],[FECHA DE RECIBIDO]]-DATE(2023,8,30), "")</f>
        <v/>
      </c>
    </row>
    <row r="7214" spans="1:37">
      <c r="A7214" s="172"/>
      <c r="B7214" s="178"/>
      <c r="C7214" s="179" t="s">
        <v>2455</v>
      </c>
      <c r="D7214">
        <v>4614</v>
      </c>
      <c r="E7214" s="125"/>
      <c r="F7214" s="178"/>
      <c r="G7214" s="178"/>
      <c r="H7214"/>
      <c r="I7214" s="178"/>
      <c r="J7214" s="320" t="s">
        <v>214</v>
      </c>
      <c r="K7214" s="178"/>
      <c r="L7214" s="125" t="s">
        <v>4863</v>
      </c>
      <c r="M7214">
        <v>215</v>
      </c>
      <c r="N7214" s="182"/>
      <c r="O7214">
        <v>3946</v>
      </c>
      <c r="P7214" s="176" t="s">
        <v>77</v>
      </c>
      <c r="Q7214" s="176">
        <v>29.978999999999999</v>
      </c>
      <c r="R7214" s="176"/>
      <c r="S7214" s="176"/>
      <c r="T7214" s="190"/>
      <c r="U7214" s="191"/>
      <c r="V7214" s="191">
        <f>+Table1[[#This Row],[SUBTOTAL]]+Table1[[#This Row],[IVA]]-Table1[[#This Row],[RET IVA]]-Table1[[#This Row],[RET ISR]]</f>
        <v>29.978999999999999</v>
      </c>
      <c r="W7214"/>
      <c r="X7214" s="186"/>
      <c r="Y7214" s="187"/>
      <c r="Z7214" s="311" t="s">
        <v>214</v>
      </c>
      <c r="AB7214" t="str">
        <f>IF(Table1[[#This Row],[TIPO2]]="costo", VLOOKUP(Table1[[#This Row],[PARTIDA PRESUPUESTAL]],'Cost Report'!G:G,1,0),"Balance")</f>
        <v>2285-003</v>
      </c>
      <c r="AD7214" s="159">
        <f>+Table1[[#This Row],[SUBTOTAL]]+Table1[[#This Row],[IVA]]-Table1[[#This Row],[RET IVA]]-Table1[[#This Row],[RET ISR]]-Table1[[#This Row],[TOTAL]]</f>
        <v>0</v>
      </c>
      <c r="AK7214" s="306" t="str">
        <f>IF(ISNUMBER(Table1[[#This Row],[FECHA DE RECIBIDO]]), Table1[[#This Row],[FECHA DE RECIBIDO]]-DATE(2023,8,30), "")</f>
        <v/>
      </c>
    </row>
    <row r="7215" spans="1:37">
      <c r="A7215" s="172"/>
      <c r="B7215" s="178"/>
      <c r="C7215" s="179" t="s">
        <v>2455</v>
      </c>
      <c r="D7215">
        <v>4614</v>
      </c>
      <c r="E7215" s="125"/>
      <c r="F7215" s="178"/>
      <c r="G7215" s="178"/>
      <c r="H7215"/>
      <c r="I7215" s="178"/>
      <c r="J7215" s="320" t="s">
        <v>214</v>
      </c>
      <c r="K7215" s="178"/>
      <c r="L7215" s="125" t="s">
        <v>4863</v>
      </c>
      <c r="M7215">
        <v>215</v>
      </c>
      <c r="N7215" s="182"/>
      <c r="O7215">
        <v>3947</v>
      </c>
      <c r="P7215" s="176" t="s">
        <v>77</v>
      </c>
      <c r="Q7215" s="176">
        <v>29.994</v>
      </c>
      <c r="R7215" s="176"/>
      <c r="S7215" s="176"/>
      <c r="T7215" s="190"/>
      <c r="U7215" s="191"/>
      <c r="V7215" s="191">
        <f>+Table1[[#This Row],[SUBTOTAL]]+Table1[[#This Row],[IVA]]-Table1[[#This Row],[RET IVA]]-Table1[[#This Row],[RET ISR]]</f>
        <v>29.994</v>
      </c>
      <c r="W7215"/>
      <c r="X7215" s="186"/>
      <c r="Y7215" s="187"/>
      <c r="Z7215" s="311" t="s">
        <v>214</v>
      </c>
      <c r="AB7215" t="str">
        <f>IF(Table1[[#This Row],[TIPO2]]="costo", VLOOKUP(Table1[[#This Row],[PARTIDA PRESUPUESTAL]],'Cost Report'!G:G,1,0),"Balance")</f>
        <v>2285-003</v>
      </c>
      <c r="AD7215" s="159">
        <f>+Table1[[#This Row],[SUBTOTAL]]+Table1[[#This Row],[IVA]]-Table1[[#This Row],[RET IVA]]-Table1[[#This Row],[RET ISR]]-Table1[[#This Row],[TOTAL]]</f>
        <v>0</v>
      </c>
      <c r="AK7215" s="306" t="str">
        <f>IF(ISNUMBER(Table1[[#This Row],[FECHA DE RECIBIDO]]), Table1[[#This Row],[FECHA DE RECIBIDO]]-DATE(2023,8,30), "")</f>
        <v/>
      </c>
    </row>
    <row r="7216" spans="1:37">
      <c r="A7216" s="172"/>
      <c r="B7216" s="178"/>
      <c r="C7216" s="179" t="s">
        <v>2455</v>
      </c>
      <c r="D7216">
        <v>4614</v>
      </c>
      <c r="E7216" s="125"/>
      <c r="F7216" s="178"/>
      <c r="G7216" s="178"/>
      <c r="H7216"/>
      <c r="I7216" s="178"/>
      <c r="J7216" s="320" t="s">
        <v>214</v>
      </c>
      <c r="K7216" s="178"/>
      <c r="L7216" s="125" t="s">
        <v>4863</v>
      </c>
      <c r="M7216">
        <v>215</v>
      </c>
      <c r="N7216" s="182"/>
      <c r="O7216">
        <v>3948</v>
      </c>
      <c r="P7216" s="176" t="s">
        <v>77</v>
      </c>
      <c r="Q7216" s="176">
        <v>35.994</v>
      </c>
      <c r="R7216" s="176"/>
      <c r="S7216" s="176"/>
      <c r="T7216" s="190"/>
      <c r="U7216" s="191"/>
      <c r="V7216" s="191">
        <f>+Table1[[#This Row],[SUBTOTAL]]+Table1[[#This Row],[IVA]]-Table1[[#This Row],[RET IVA]]-Table1[[#This Row],[RET ISR]]</f>
        <v>35.994</v>
      </c>
      <c r="W7216"/>
      <c r="X7216" s="186"/>
      <c r="Y7216" s="187"/>
      <c r="Z7216" s="311" t="s">
        <v>214</v>
      </c>
      <c r="AB7216" t="str">
        <f>IF(Table1[[#This Row],[TIPO2]]="costo", VLOOKUP(Table1[[#This Row],[PARTIDA PRESUPUESTAL]],'Cost Report'!G:G,1,0),"Balance")</f>
        <v>2285-003</v>
      </c>
      <c r="AD7216" s="159">
        <f>+Table1[[#This Row],[SUBTOTAL]]+Table1[[#This Row],[IVA]]-Table1[[#This Row],[RET IVA]]-Table1[[#This Row],[RET ISR]]-Table1[[#This Row],[TOTAL]]</f>
        <v>0</v>
      </c>
      <c r="AK7216" s="306" t="str">
        <f>IF(ISNUMBER(Table1[[#This Row],[FECHA DE RECIBIDO]]), Table1[[#This Row],[FECHA DE RECIBIDO]]-DATE(2023,8,30), "")</f>
        <v/>
      </c>
    </row>
    <row r="7217" spans="1:37">
      <c r="A7217" s="172"/>
      <c r="B7217" s="178"/>
      <c r="C7217" s="179" t="s">
        <v>2455</v>
      </c>
      <c r="D7217">
        <v>4614</v>
      </c>
      <c r="E7217" s="125"/>
      <c r="F7217" s="178"/>
      <c r="G7217" s="178"/>
      <c r="H7217"/>
      <c r="I7217" s="178"/>
      <c r="J7217" s="320" t="s">
        <v>214</v>
      </c>
      <c r="K7217" s="178"/>
      <c r="L7217" s="125" t="s">
        <v>4863</v>
      </c>
      <c r="M7217">
        <v>215</v>
      </c>
      <c r="N7217" s="182"/>
      <c r="O7217">
        <v>3947</v>
      </c>
      <c r="P7217" s="176" t="s">
        <v>77</v>
      </c>
      <c r="Q7217" s="176">
        <v>32.994</v>
      </c>
      <c r="R7217" s="176"/>
      <c r="S7217" s="176"/>
      <c r="T7217" s="190"/>
      <c r="U7217" s="191"/>
      <c r="V7217" s="191">
        <f>+Table1[[#This Row],[SUBTOTAL]]+Table1[[#This Row],[IVA]]-Table1[[#This Row],[RET IVA]]-Table1[[#This Row],[RET ISR]]</f>
        <v>32.994</v>
      </c>
      <c r="W7217"/>
      <c r="X7217" s="186"/>
      <c r="Y7217" s="187"/>
      <c r="Z7217" s="311" t="s">
        <v>214</v>
      </c>
      <c r="AB7217" t="str">
        <f>IF(Table1[[#This Row],[TIPO2]]="costo", VLOOKUP(Table1[[#This Row],[PARTIDA PRESUPUESTAL]],'Cost Report'!G:G,1,0),"Balance")</f>
        <v>2285-003</v>
      </c>
      <c r="AD7217" s="159">
        <f>+Table1[[#This Row],[SUBTOTAL]]+Table1[[#This Row],[IVA]]-Table1[[#This Row],[RET IVA]]-Table1[[#This Row],[RET ISR]]-Table1[[#This Row],[TOTAL]]</f>
        <v>0</v>
      </c>
      <c r="AK7217" s="306" t="str">
        <f>IF(ISNUMBER(Table1[[#This Row],[FECHA DE RECIBIDO]]), Table1[[#This Row],[FECHA DE RECIBIDO]]-DATE(2023,8,30), "")</f>
        <v/>
      </c>
    </row>
    <row r="7218" spans="1:37">
      <c r="A7218" s="172"/>
      <c r="B7218" s="178"/>
      <c r="C7218" s="179" t="s">
        <v>2455</v>
      </c>
      <c r="D7218">
        <v>4614</v>
      </c>
      <c r="E7218" s="125"/>
      <c r="F7218" s="178"/>
      <c r="G7218" s="178"/>
      <c r="H7218"/>
      <c r="I7218" s="178"/>
      <c r="J7218" s="320" t="s">
        <v>214</v>
      </c>
      <c r="K7218" s="178"/>
      <c r="L7218" s="125" t="s">
        <v>4863</v>
      </c>
      <c r="M7218">
        <v>215</v>
      </c>
      <c r="N7218" s="182"/>
      <c r="O7218">
        <v>3946</v>
      </c>
      <c r="P7218" s="176" t="s">
        <v>77</v>
      </c>
      <c r="Q7218" s="176">
        <v>29.981999999999999</v>
      </c>
      <c r="R7218" s="176"/>
      <c r="S7218" s="176"/>
      <c r="T7218" s="190"/>
      <c r="U7218" s="191"/>
      <c r="V7218" s="191">
        <f>+Table1[[#This Row],[SUBTOTAL]]+Table1[[#This Row],[IVA]]-Table1[[#This Row],[RET IVA]]-Table1[[#This Row],[RET ISR]]</f>
        <v>29.981999999999999</v>
      </c>
      <c r="W7218"/>
      <c r="X7218" s="186"/>
      <c r="Y7218" s="187"/>
      <c r="Z7218" s="311" t="s">
        <v>214</v>
      </c>
      <c r="AB7218" t="str">
        <f>IF(Table1[[#This Row],[TIPO2]]="costo", VLOOKUP(Table1[[#This Row],[PARTIDA PRESUPUESTAL]],'Cost Report'!G:G,1,0),"Balance")</f>
        <v>2285-003</v>
      </c>
      <c r="AD7218" s="159">
        <f>+Table1[[#This Row],[SUBTOTAL]]+Table1[[#This Row],[IVA]]-Table1[[#This Row],[RET IVA]]-Table1[[#This Row],[RET ISR]]-Table1[[#This Row],[TOTAL]]</f>
        <v>0</v>
      </c>
      <c r="AK7218" s="306" t="str">
        <f>IF(ISNUMBER(Table1[[#This Row],[FECHA DE RECIBIDO]]), Table1[[#This Row],[FECHA DE RECIBIDO]]-DATE(2023,8,30), "")</f>
        <v/>
      </c>
    </row>
    <row r="7219" spans="1:37">
      <c r="A7219" s="172"/>
      <c r="B7219" s="178"/>
      <c r="C7219" s="179" t="s">
        <v>2455</v>
      </c>
      <c r="D7219">
        <v>4614</v>
      </c>
      <c r="E7219" s="125"/>
      <c r="F7219" s="178"/>
      <c r="G7219" s="178"/>
      <c r="H7219"/>
      <c r="I7219" s="178"/>
      <c r="J7219" s="320" t="s">
        <v>214</v>
      </c>
      <c r="K7219" s="178"/>
      <c r="L7219" s="125" t="s">
        <v>4863</v>
      </c>
      <c r="M7219">
        <v>215</v>
      </c>
      <c r="N7219" s="182"/>
      <c r="O7219">
        <v>3947</v>
      </c>
      <c r="P7219" s="176" t="s">
        <v>77</v>
      </c>
      <c r="Q7219" s="176">
        <v>32.994</v>
      </c>
      <c r="R7219" s="176"/>
      <c r="S7219" s="176"/>
      <c r="T7219" s="190"/>
      <c r="U7219" s="191"/>
      <c r="V7219" s="191">
        <f>+Table1[[#This Row],[SUBTOTAL]]+Table1[[#This Row],[IVA]]-Table1[[#This Row],[RET IVA]]-Table1[[#This Row],[RET ISR]]</f>
        <v>32.994</v>
      </c>
      <c r="W7219"/>
      <c r="X7219" s="186"/>
      <c r="Y7219" s="187"/>
      <c r="Z7219" s="311" t="s">
        <v>214</v>
      </c>
      <c r="AB7219" t="str">
        <f>IF(Table1[[#This Row],[TIPO2]]="costo", VLOOKUP(Table1[[#This Row],[PARTIDA PRESUPUESTAL]],'Cost Report'!G:G,1,0),"Balance")</f>
        <v>2285-003</v>
      </c>
      <c r="AD7219" s="159">
        <f>+Table1[[#This Row],[SUBTOTAL]]+Table1[[#This Row],[IVA]]-Table1[[#This Row],[RET IVA]]-Table1[[#This Row],[RET ISR]]-Table1[[#This Row],[TOTAL]]</f>
        <v>0</v>
      </c>
      <c r="AK7219" s="306" t="str">
        <f>IF(ISNUMBER(Table1[[#This Row],[FECHA DE RECIBIDO]]), Table1[[#This Row],[FECHA DE RECIBIDO]]-DATE(2023,8,30), "")</f>
        <v/>
      </c>
    </row>
    <row r="7220" spans="1:37">
      <c r="A7220" s="172"/>
      <c r="B7220" s="178"/>
      <c r="C7220" s="179" t="s">
        <v>2455</v>
      </c>
      <c r="D7220">
        <v>4614</v>
      </c>
      <c r="E7220" s="125"/>
      <c r="F7220" s="178"/>
      <c r="G7220" s="178"/>
      <c r="H7220"/>
      <c r="I7220" s="178"/>
      <c r="J7220" s="320" t="s">
        <v>214</v>
      </c>
      <c r="K7220" s="178"/>
      <c r="L7220" s="125" t="s">
        <v>4863</v>
      </c>
      <c r="M7220">
        <v>215</v>
      </c>
      <c r="N7220" s="182"/>
      <c r="O7220">
        <v>3947</v>
      </c>
      <c r="P7220" s="176" t="s">
        <v>77</v>
      </c>
      <c r="Q7220" s="176">
        <v>29.975999999999999</v>
      </c>
      <c r="R7220" s="176"/>
      <c r="S7220" s="176"/>
      <c r="T7220" s="190"/>
      <c r="U7220" s="191"/>
      <c r="V7220" s="191">
        <f>+Table1[[#This Row],[SUBTOTAL]]+Table1[[#This Row],[IVA]]-Table1[[#This Row],[RET IVA]]-Table1[[#This Row],[RET ISR]]</f>
        <v>29.975999999999999</v>
      </c>
      <c r="W7220"/>
      <c r="X7220" s="186"/>
      <c r="Y7220" s="187"/>
      <c r="Z7220" s="311" t="s">
        <v>214</v>
      </c>
      <c r="AB7220" t="str">
        <f>IF(Table1[[#This Row],[TIPO2]]="costo", VLOOKUP(Table1[[#This Row],[PARTIDA PRESUPUESTAL]],'Cost Report'!G:G,1,0),"Balance")</f>
        <v>2285-003</v>
      </c>
      <c r="AD7220" s="159">
        <f>+Table1[[#This Row],[SUBTOTAL]]+Table1[[#This Row],[IVA]]-Table1[[#This Row],[RET IVA]]-Table1[[#This Row],[RET ISR]]-Table1[[#This Row],[TOTAL]]</f>
        <v>0</v>
      </c>
      <c r="AK7220" s="306" t="str">
        <f>IF(ISNUMBER(Table1[[#This Row],[FECHA DE RECIBIDO]]), Table1[[#This Row],[FECHA DE RECIBIDO]]-DATE(2023,8,30), "")</f>
        <v/>
      </c>
    </row>
    <row r="7221" spans="1:37">
      <c r="A7221" s="172"/>
      <c r="B7221" s="178"/>
      <c r="C7221" s="179" t="s">
        <v>2455</v>
      </c>
      <c r="D7221">
        <v>4614</v>
      </c>
      <c r="E7221" s="125"/>
      <c r="F7221" s="178"/>
      <c r="G7221" s="178"/>
      <c r="H7221"/>
      <c r="I7221" s="178"/>
      <c r="J7221" s="320" t="s">
        <v>214</v>
      </c>
      <c r="K7221" s="178"/>
      <c r="L7221" s="125" t="s">
        <v>4863</v>
      </c>
      <c r="M7221">
        <v>215</v>
      </c>
      <c r="N7221" s="182"/>
      <c r="O7221">
        <v>3947</v>
      </c>
      <c r="P7221" s="176" t="s">
        <v>77</v>
      </c>
      <c r="Q7221" s="176">
        <v>32.97</v>
      </c>
      <c r="R7221" s="176"/>
      <c r="S7221" s="176"/>
      <c r="T7221" s="190"/>
      <c r="U7221" s="191"/>
      <c r="V7221" s="191">
        <f>+Table1[[#This Row],[SUBTOTAL]]+Table1[[#This Row],[IVA]]-Table1[[#This Row],[RET IVA]]-Table1[[#This Row],[RET ISR]]</f>
        <v>32.97</v>
      </c>
      <c r="W7221"/>
      <c r="X7221" s="186"/>
      <c r="Y7221" s="187"/>
      <c r="Z7221" s="311" t="s">
        <v>214</v>
      </c>
      <c r="AB7221" t="str">
        <f>IF(Table1[[#This Row],[TIPO2]]="costo", VLOOKUP(Table1[[#This Row],[PARTIDA PRESUPUESTAL]],'Cost Report'!G:G,1,0),"Balance")</f>
        <v>2285-003</v>
      </c>
      <c r="AD7221" s="159">
        <f>+Table1[[#This Row],[SUBTOTAL]]+Table1[[#This Row],[IVA]]-Table1[[#This Row],[RET IVA]]-Table1[[#This Row],[RET ISR]]-Table1[[#This Row],[TOTAL]]</f>
        <v>0</v>
      </c>
      <c r="AK7221" s="306" t="str">
        <f>IF(ISNUMBER(Table1[[#This Row],[FECHA DE RECIBIDO]]), Table1[[#This Row],[FECHA DE RECIBIDO]]-DATE(2023,8,30), "")</f>
        <v/>
      </c>
    </row>
    <row r="7222" spans="1:37">
      <c r="A7222" s="172"/>
      <c r="B7222" s="178"/>
      <c r="C7222" s="179" t="s">
        <v>2455</v>
      </c>
      <c r="D7222">
        <v>4614</v>
      </c>
      <c r="E7222" s="125"/>
      <c r="F7222" s="178"/>
      <c r="G7222" s="178"/>
      <c r="H7222"/>
      <c r="I7222" s="178"/>
      <c r="J7222" s="320" t="s">
        <v>214</v>
      </c>
      <c r="K7222" s="178"/>
      <c r="L7222" s="125" t="s">
        <v>4863</v>
      </c>
      <c r="M7222">
        <v>215</v>
      </c>
      <c r="N7222" s="182"/>
      <c r="O7222">
        <v>3947</v>
      </c>
      <c r="P7222" s="176" t="s">
        <v>77</v>
      </c>
      <c r="Q7222" s="176">
        <v>50.993999999999993</v>
      </c>
      <c r="R7222" s="176"/>
      <c r="S7222" s="176"/>
      <c r="T7222" s="190"/>
      <c r="U7222" s="191"/>
      <c r="V7222" s="191">
        <f>+Table1[[#This Row],[SUBTOTAL]]+Table1[[#This Row],[IVA]]-Table1[[#This Row],[RET IVA]]-Table1[[#This Row],[RET ISR]]</f>
        <v>50.993999999999993</v>
      </c>
      <c r="W7222"/>
      <c r="X7222" s="186"/>
      <c r="Y7222" s="187"/>
      <c r="Z7222" s="311" t="s">
        <v>214</v>
      </c>
      <c r="AB7222" t="str">
        <f>IF(Table1[[#This Row],[TIPO2]]="costo", VLOOKUP(Table1[[#This Row],[PARTIDA PRESUPUESTAL]],'Cost Report'!G:G,1,0),"Balance")</f>
        <v>2285-003</v>
      </c>
      <c r="AD7222" s="159">
        <f>+Table1[[#This Row],[SUBTOTAL]]+Table1[[#This Row],[IVA]]-Table1[[#This Row],[RET IVA]]-Table1[[#This Row],[RET ISR]]-Table1[[#This Row],[TOTAL]]</f>
        <v>0</v>
      </c>
      <c r="AK7222" s="306" t="str">
        <f>IF(ISNUMBER(Table1[[#This Row],[FECHA DE RECIBIDO]]), Table1[[#This Row],[FECHA DE RECIBIDO]]-DATE(2023,8,30), "")</f>
        <v/>
      </c>
    </row>
    <row r="7223" spans="1:37">
      <c r="A7223" s="172"/>
      <c r="B7223" s="178"/>
      <c r="C7223" s="179" t="s">
        <v>2455</v>
      </c>
      <c r="D7223">
        <v>4614</v>
      </c>
      <c r="E7223" s="125"/>
      <c r="F7223" s="178"/>
      <c r="G7223" s="178"/>
      <c r="H7223"/>
      <c r="I7223" s="178"/>
      <c r="J7223" s="320" t="s">
        <v>214</v>
      </c>
      <c r="K7223" s="178"/>
      <c r="L7223" s="125" t="s">
        <v>4863</v>
      </c>
      <c r="M7223">
        <v>215</v>
      </c>
      <c r="N7223" s="182"/>
      <c r="O7223">
        <v>3947</v>
      </c>
      <c r="P7223" s="176" t="s">
        <v>77</v>
      </c>
      <c r="Q7223" s="176">
        <v>26.981999999999999</v>
      </c>
      <c r="R7223" s="176"/>
      <c r="S7223" s="176"/>
      <c r="T7223" s="190"/>
      <c r="U7223" s="191"/>
      <c r="V7223" s="191">
        <f>+Table1[[#This Row],[SUBTOTAL]]+Table1[[#This Row],[IVA]]-Table1[[#This Row],[RET IVA]]-Table1[[#This Row],[RET ISR]]</f>
        <v>26.981999999999999</v>
      </c>
      <c r="W7223"/>
      <c r="X7223" s="186"/>
      <c r="Y7223" s="187"/>
      <c r="Z7223" s="311" t="s">
        <v>214</v>
      </c>
      <c r="AB7223" t="str">
        <f>IF(Table1[[#This Row],[TIPO2]]="costo", VLOOKUP(Table1[[#This Row],[PARTIDA PRESUPUESTAL]],'Cost Report'!G:G,1,0),"Balance")</f>
        <v>2285-003</v>
      </c>
      <c r="AD7223" s="159">
        <f>+Table1[[#This Row],[SUBTOTAL]]+Table1[[#This Row],[IVA]]-Table1[[#This Row],[RET IVA]]-Table1[[#This Row],[RET ISR]]-Table1[[#This Row],[TOTAL]]</f>
        <v>0</v>
      </c>
      <c r="AK7223" s="306" t="str">
        <f>IF(ISNUMBER(Table1[[#This Row],[FECHA DE RECIBIDO]]), Table1[[#This Row],[FECHA DE RECIBIDO]]-DATE(2023,8,30), "")</f>
        <v/>
      </c>
    </row>
    <row r="7224" spans="1:37">
      <c r="A7224" s="172"/>
      <c r="B7224" s="178"/>
      <c r="C7224" s="179" t="s">
        <v>2455</v>
      </c>
      <c r="D7224">
        <v>4614</v>
      </c>
      <c r="E7224" s="125"/>
      <c r="F7224" s="178"/>
      <c r="G7224" s="178"/>
      <c r="H7224"/>
      <c r="I7224" s="178"/>
      <c r="J7224" s="320" t="s">
        <v>214</v>
      </c>
      <c r="K7224" s="178"/>
      <c r="L7224" s="125" t="s">
        <v>4863</v>
      </c>
      <c r="M7224">
        <v>215</v>
      </c>
      <c r="N7224" s="182"/>
      <c r="O7224">
        <v>3949</v>
      </c>
      <c r="P7224" s="176" t="s">
        <v>77</v>
      </c>
      <c r="Q7224" s="176">
        <v>26.991</v>
      </c>
      <c r="R7224" s="176"/>
      <c r="S7224" s="176"/>
      <c r="T7224" s="190"/>
      <c r="U7224" s="191"/>
      <c r="V7224" s="191">
        <f>+Table1[[#This Row],[SUBTOTAL]]+Table1[[#This Row],[IVA]]-Table1[[#This Row],[RET IVA]]-Table1[[#This Row],[RET ISR]]</f>
        <v>26.991</v>
      </c>
      <c r="W7224"/>
      <c r="X7224" s="186"/>
      <c r="Y7224" s="187"/>
      <c r="Z7224" s="311" t="s">
        <v>214</v>
      </c>
      <c r="AB7224" t="str">
        <f>IF(Table1[[#This Row],[TIPO2]]="costo", VLOOKUP(Table1[[#This Row],[PARTIDA PRESUPUESTAL]],'Cost Report'!G:G,1,0),"Balance")</f>
        <v>2285-003</v>
      </c>
      <c r="AD7224" s="159">
        <f>+Table1[[#This Row],[SUBTOTAL]]+Table1[[#This Row],[IVA]]-Table1[[#This Row],[RET IVA]]-Table1[[#This Row],[RET ISR]]-Table1[[#This Row],[TOTAL]]</f>
        <v>0</v>
      </c>
      <c r="AK7224" s="306" t="str">
        <f>IF(ISNUMBER(Table1[[#This Row],[FECHA DE RECIBIDO]]), Table1[[#This Row],[FECHA DE RECIBIDO]]-DATE(2023,8,30), "")</f>
        <v/>
      </c>
    </row>
    <row r="7225" spans="1:37">
      <c r="A7225" s="172"/>
      <c r="B7225" s="178"/>
      <c r="C7225" s="179" t="s">
        <v>2455</v>
      </c>
      <c r="D7225">
        <v>4614</v>
      </c>
      <c r="E7225" s="125"/>
      <c r="F7225" s="178"/>
      <c r="G7225" s="178"/>
      <c r="H7225"/>
      <c r="I7225" s="178"/>
      <c r="J7225" s="320" t="s">
        <v>214</v>
      </c>
      <c r="K7225" s="178"/>
      <c r="L7225" s="125" t="s">
        <v>4863</v>
      </c>
      <c r="M7225">
        <v>215</v>
      </c>
      <c r="N7225" s="182"/>
      <c r="O7225">
        <v>3950</v>
      </c>
      <c r="P7225" s="176" t="s">
        <v>77</v>
      </c>
      <c r="Q7225" s="176">
        <v>19.238999999999997</v>
      </c>
      <c r="R7225" s="176"/>
      <c r="S7225" s="176"/>
      <c r="T7225" s="190"/>
      <c r="U7225" s="191"/>
      <c r="V7225" s="191">
        <f>+Table1[[#This Row],[SUBTOTAL]]+Table1[[#This Row],[IVA]]-Table1[[#This Row],[RET IVA]]-Table1[[#This Row],[RET ISR]]</f>
        <v>19.238999999999997</v>
      </c>
      <c r="W7225"/>
      <c r="X7225" s="186"/>
      <c r="Y7225" s="187"/>
      <c r="Z7225" s="311" t="s">
        <v>214</v>
      </c>
      <c r="AB7225" t="str">
        <f>IF(Table1[[#This Row],[TIPO2]]="costo", VLOOKUP(Table1[[#This Row],[PARTIDA PRESUPUESTAL]],'Cost Report'!G:G,1,0),"Balance")</f>
        <v>2285-003</v>
      </c>
      <c r="AD7225" s="159">
        <f>+Table1[[#This Row],[SUBTOTAL]]+Table1[[#This Row],[IVA]]-Table1[[#This Row],[RET IVA]]-Table1[[#This Row],[RET ISR]]-Table1[[#This Row],[TOTAL]]</f>
        <v>0</v>
      </c>
      <c r="AK7225" s="306" t="str">
        <f>IF(ISNUMBER(Table1[[#This Row],[FECHA DE RECIBIDO]]), Table1[[#This Row],[FECHA DE RECIBIDO]]-DATE(2023,8,30), "")</f>
        <v/>
      </c>
    </row>
    <row r="7226" spans="1:37">
      <c r="A7226" s="172"/>
      <c r="B7226" s="178"/>
      <c r="C7226" s="179" t="s">
        <v>2455</v>
      </c>
      <c r="D7226">
        <v>4614</v>
      </c>
      <c r="E7226" s="125"/>
      <c r="F7226" s="178"/>
      <c r="G7226" s="178"/>
      <c r="H7226"/>
      <c r="I7226" s="178"/>
      <c r="J7226" s="320" t="s">
        <v>214</v>
      </c>
      <c r="K7226" s="178"/>
      <c r="L7226" s="125" t="s">
        <v>4863</v>
      </c>
      <c r="M7226">
        <v>215</v>
      </c>
      <c r="N7226" s="182"/>
      <c r="O7226">
        <v>3951</v>
      </c>
      <c r="P7226" s="176" t="s">
        <v>77</v>
      </c>
      <c r="Q7226" s="176">
        <v>54.173999999999999</v>
      </c>
      <c r="R7226" s="176"/>
      <c r="S7226" s="176"/>
      <c r="T7226" s="190"/>
      <c r="U7226" s="191"/>
      <c r="V7226" s="191">
        <f>+Table1[[#This Row],[SUBTOTAL]]+Table1[[#This Row],[IVA]]-Table1[[#This Row],[RET IVA]]-Table1[[#This Row],[RET ISR]]</f>
        <v>54.173999999999999</v>
      </c>
      <c r="W7226"/>
      <c r="X7226" s="186"/>
      <c r="Y7226" s="187"/>
      <c r="Z7226" s="311" t="s">
        <v>214</v>
      </c>
      <c r="AB7226" t="str">
        <f>IF(Table1[[#This Row],[TIPO2]]="costo", VLOOKUP(Table1[[#This Row],[PARTIDA PRESUPUESTAL]],'Cost Report'!G:G,1,0),"Balance")</f>
        <v>2285-003</v>
      </c>
      <c r="AD7226" s="159">
        <f>+Table1[[#This Row],[SUBTOTAL]]+Table1[[#This Row],[IVA]]-Table1[[#This Row],[RET IVA]]-Table1[[#This Row],[RET ISR]]-Table1[[#This Row],[TOTAL]]</f>
        <v>0</v>
      </c>
      <c r="AK7226" s="306" t="str">
        <f>IF(ISNUMBER(Table1[[#This Row],[FECHA DE RECIBIDO]]), Table1[[#This Row],[FECHA DE RECIBIDO]]-DATE(2023,8,30), "")</f>
        <v/>
      </c>
    </row>
    <row r="7227" spans="1:37">
      <c r="A7227" s="172"/>
      <c r="B7227" s="178"/>
      <c r="C7227" s="179" t="s">
        <v>2455</v>
      </c>
      <c r="D7227">
        <v>4614</v>
      </c>
      <c r="E7227" s="125"/>
      <c r="F7227" s="178"/>
      <c r="G7227" s="178"/>
      <c r="H7227"/>
      <c r="I7227" s="178"/>
      <c r="J7227" s="320" t="s">
        <v>214</v>
      </c>
      <c r="K7227" s="178"/>
      <c r="L7227" s="125" t="s">
        <v>4863</v>
      </c>
      <c r="M7227">
        <v>215</v>
      </c>
      <c r="N7227" s="182"/>
      <c r="O7227">
        <v>3952</v>
      </c>
      <c r="P7227" s="176" t="s">
        <v>77</v>
      </c>
      <c r="Q7227" s="176">
        <v>29.978999999999999</v>
      </c>
      <c r="R7227" s="176"/>
      <c r="S7227" s="176"/>
      <c r="T7227" s="190"/>
      <c r="U7227" s="191"/>
      <c r="V7227" s="191">
        <f>+Table1[[#This Row],[SUBTOTAL]]+Table1[[#This Row],[IVA]]-Table1[[#This Row],[RET IVA]]-Table1[[#This Row],[RET ISR]]</f>
        <v>29.978999999999999</v>
      </c>
      <c r="W7227"/>
      <c r="X7227" s="186"/>
      <c r="Y7227" s="187"/>
      <c r="Z7227" s="311" t="s">
        <v>214</v>
      </c>
      <c r="AB7227" t="str">
        <f>IF(Table1[[#This Row],[TIPO2]]="costo", VLOOKUP(Table1[[#This Row],[PARTIDA PRESUPUESTAL]],'Cost Report'!G:G,1,0),"Balance")</f>
        <v>2285-003</v>
      </c>
      <c r="AD7227" s="159">
        <f>+Table1[[#This Row],[SUBTOTAL]]+Table1[[#This Row],[IVA]]-Table1[[#This Row],[RET IVA]]-Table1[[#This Row],[RET ISR]]-Table1[[#This Row],[TOTAL]]</f>
        <v>0</v>
      </c>
      <c r="AK7227" s="306" t="str">
        <f>IF(ISNUMBER(Table1[[#This Row],[FECHA DE RECIBIDO]]), Table1[[#This Row],[FECHA DE RECIBIDO]]-DATE(2023,8,30), "")</f>
        <v/>
      </c>
    </row>
    <row r="7228" spans="1:37">
      <c r="A7228" s="172"/>
      <c r="B7228" s="178"/>
      <c r="C7228" s="179" t="s">
        <v>2455</v>
      </c>
      <c r="D7228">
        <v>4614</v>
      </c>
      <c r="E7228" s="125"/>
      <c r="F7228" s="178"/>
      <c r="G7228" s="178"/>
      <c r="H7228"/>
      <c r="I7228" s="178"/>
      <c r="J7228" s="320" t="s">
        <v>214</v>
      </c>
      <c r="K7228" s="178"/>
      <c r="L7228" s="125" t="s">
        <v>4863</v>
      </c>
      <c r="M7228">
        <v>215</v>
      </c>
      <c r="N7228" s="182"/>
      <c r="O7228">
        <v>3953</v>
      </c>
      <c r="P7228" s="176" t="s">
        <v>77</v>
      </c>
      <c r="Q7228" s="176">
        <v>42.849000000000004</v>
      </c>
      <c r="R7228" s="176"/>
      <c r="S7228" s="176"/>
      <c r="T7228" s="190"/>
      <c r="U7228" s="191"/>
      <c r="V7228" s="191">
        <f>+Table1[[#This Row],[SUBTOTAL]]+Table1[[#This Row],[IVA]]-Table1[[#This Row],[RET IVA]]-Table1[[#This Row],[RET ISR]]</f>
        <v>42.849000000000004</v>
      </c>
      <c r="W7228"/>
      <c r="X7228" s="186"/>
      <c r="Y7228" s="187"/>
      <c r="Z7228" s="311" t="s">
        <v>214</v>
      </c>
      <c r="AB7228" t="str">
        <f>IF(Table1[[#This Row],[TIPO2]]="costo", VLOOKUP(Table1[[#This Row],[PARTIDA PRESUPUESTAL]],'Cost Report'!G:G,1,0),"Balance")</f>
        <v>2285-003</v>
      </c>
      <c r="AD7228" s="159">
        <f>+Table1[[#This Row],[SUBTOTAL]]+Table1[[#This Row],[IVA]]-Table1[[#This Row],[RET IVA]]-Table1[[#This Row],[RET ISR]]-Table1[[#This Row],[TOTAL]]</f>
        <v>0</v>
      </c>
      <c r="AK7228" s="306" t="str">
        <f>IF(ISNUMBER(Table1[[#This Row],[FECHA DE RECIBIDO]]), Table1[[#This Row],[FECHA DE RECIBIDO]]-DATE(2023,8,30), "")</f>
        <v/>
      </c>
    </row>
    <row r="7229" spans="1:37">
      <c r="A7229" s="172"/>
      <c r="B7229" s="178"/>
      <c r="C7229" s="179" t="s">
        <v>2455</v>
      </c>
      <c r="D7229">
        <v>4614</v>
      </c>
      <c r="E7229" s="125"/>
      <c r="F7229" s="178"/>
      <c r="G7229" s="178"/>
      <c r="H7229"/>
      <c r="I7229" s="178"/>
      <c r="J7229" s="320" t="s">
        <v>214</v>
      </c>
      <c r="K7229" s="178"/>
      <c r="L7229" s="125" t="s">
        <v>4863</v>
      </c>
      <c r="M7229">
        <v>215</v>
      </c>
      <c r="N7229" s="182"/>
      <c r="O7229">
        <v>3954</v>
      </c>
      <c r="P7229" s="176" t="s">
        <v>77</v>
      </c>
      <c r="Q7229" s="176">
        <v>32.991</v>
      </c>
      <c r="R7229" s="176"/>
      <c r="S7229" s="176"/>
      <c r="T7229" s="190"/>
      <c r="U7229" s="191"/>
      <c r="V7229" s="191">
        <f>+Table1[[#This Row],[SUBTOTAL]]+Table1[[#This Row],[IVA]]-Table1[[#This Row],[RET IVA]]-Table1[[#This Row],[RET ISR]]</f>
        <v>32.991</v>
      </c>
      <c r="W7229"/>
      <c r="X7229" s="186"/>
      <c r="Y7229" s="187"/>
      <c r="Z7229" s="311" t="s">
        <v>214</v>
      </c>
      <c r="AB7229" t="str">
        <f>IF(Table1[[#This Row],[TIPO2]]="costo", VLOOKUP(Table1[[#This Row],[PARTIDA PRESUPUESTAL]],'Cost Report'!G:G,1,0),"Balance")</f>
        <v>2285-003</v>
      </c>
      <c r="AD7229" s="159">
        <f>+Table1[[#This Row],[SUBTOTAL]]+Table1[[#This Row],[IVA]]-Table1[[#This Row],[RET IVA]]-Table1[[#This Row],[RET ISR]]-Table1[[#This Row],[TOTAL]]</f>
        <v>0</v>
      </c>
      <c r="AK7229" s="306" t="str">
        <f>IF(ISNUMBER(Table1[[#This Row],[FECHA DE RECIBIDO]]), Table1[[#This Row],[FECHA DE RECIBIDO]]-DATE(2023,8,30), "")</f>
        <v/>
      </c>
    </row>
    <row r="7230" spans="1:37">
      <c r="A7230" s="172"/>
      <c r="B7230" s="178"/>
      <c r="C7230" s="179" t="s">
        <v>2455</v>
      </c>
      <c r="D7230">
        <v>4614</v>
      </c>
      <c r="E7230" s="125"/>
      <c r="F7230" s="178"/>
      <c r="G7230" s="178"/>
      <c r="H7230"/>
      <c r="I7230" s="178"/>
      <c r="J7230" s="320" t="s">
        <v>214</v>
      </c>
      <c r="K7230" s="178"/>
      <c r="L7230" s="125" t="s">
        <v>4863</v>
      </c>
      <c r="M7230">
        <v>215</v>
      </c>
      <c r="N7230" s="182"/>
      <c r="O7230">
        <v>3955</v>
      </c>
      <c r="P7230" s="176" t="s">
        <v>77</v>
      </c>
      <c r="Q7230" s="176">
        <v>20.991</v>
      </c>
      <c r="R7230" s="176"/>
      <c r="S7230" s="176"/>
      <c r="T7230" s="190"/>
      <c r="U7230" s="191"/>
      <c r="V7230" s="191">
        <f>+Table1[[#This Row],[SUBTOTAL]]+Table1[[#This Row],[IVA]]-Table1[[#This Row],[RET IVA]]-Table1[[#This Row],[RET ISR]]</f>
        <v>20.991</v>
      </c>
      <c r="W7230"/>
      <c r="X7230" s="186"/>
      <c r="Y7230" s="187"/>
      <c r="Z7230" s="311" t="s">
        <v>214</v>
      </c>
      <c r="AB7230" t="str">
        <f>IF(Table1[[#This Row],[TIPO2]]="costo", VLOOKUP(Table1[[#This Row],[PARTIDA PRESUPUESTAL]],'Cost Report'!G:G,1,0),"Balance")</f>
        <v>2285-003</v>
      </c>
      <c r="AD7230" s="159">
        <f>+Table1[[#This Row],[SUBTOTAL]]+Table1[[#This Row],[IVA]]-Table1[[#This Row],[RET IVA]]-Table1[[#This Row],[RET ISR]]-Table1[[#This Row],[TOTAL]]</f>
        <v>0</v>
      </c>
      <c r="AK7230" s="306" t="str">
        <f>IF(ISNUMBER(Table1[[#This Row],[FECHA DE RECIBIDO]]), Table1[[#This Row],[FECHA DE RECIBIDO]]-DATE(2023,8,30), "")</f>
        <v/>
      </c>
    </row>
    <row r="7231" spans="1:37">
      <c r="A7231" s="172"/>
      <c r="B7231" s="178"/>
      <c r="C7231" s="179" t="s">
        <v>2455</v>
      </c>
      <c r="D7231">
        <v>4614</v>
      </c>
      <c r="E7231" s="125"/>
      <c r="F7231" s="178"/>
      <c r="G7231" s="178"/>
      <c r="H7231"/>
      <c r="I7231" s="178"/>
      <c r="J7231" s="320" t="s">
        <v>214</v>
      </c>
      <c r="K7231" s="178"/>
      <c r="L7231" s="125" t="s">
        <v>4863</v>
      </c>
      <c r="M7231">
        <v>215</v>
      </c>
      <c r="N7231" s="182"/>
      <c r="O7231">
        <v>3954</v>
      </c>
      <c r="P7231" s="176" t="s">
        <v>77</v>
      </c>
      <c r="Q7231" s="176">
        <v>50.975999999999992</v>
      </c>
      <c r="R7231" s="176"/>
      <c r="S7231" s="176"/>
      <c r="T7231" s="190"/>
      <c r="U7231" s="191"/>
      <c r="V7231" s="191">
        <f>+Table1[[#This Row],[SUBTOTAL]]+Table1[[#This Row],[IVA]]-Table1[[#This Row],[RET IVA]]-Table1[[#This Row],[RET ISR]]</f>
        <v>50.975999999999992</v>
      </c>
      <c r="W7231"/>
      <c r="X7231" s="186"/>
      <c r="Y7231" s="187"/>
      <c r="Z7231" s="311" t="s">
        <v>214</v>
      </c>
      <c r="AB7231" t="str">
        <f>IF(Table1[[#This Row],[TIPO2]]="costo", VLOOKUP(Table1[[#This Row],[PARTIDA PRESUPUESTAL]],'Cost Report'!G:G,1,0),"Balance")</f>
        <v>2285-003</v>
      </c>
      <c r="AD7231" s="159">
        <f>+Table1[[#This Row],[SUBTOTAL]]+Table1[[#This Row],[IVA]]-Table1[[#This Row],[RET IVA]]-Table1[[#This Row],[RET ISR]]-Table1[[#This Row],[TOTAL]]</f>
        <v>0</v>
      </c>
      <c r="AK7231" s="306" t="str">
        <f>IF(ISNUMBER(Table1[[#This Row],[FECHA DE RECIBIDO]]), Table1[[#This Row],[FECHA DE RECIBIDO]]-DATE(2023,8,30), "")</f>
        <v/>
      </c>
    </row>
    <row r="7232" spans="1:37">
      <c r="A7232" s="172"/>
      <c r="B7232" s="178"/>
      <c r="C7232" s="179" t="s">
        <v>2455</v>
      </c>
      <c r="D7232">
        <v>4614</v>
      </c>
      <c r="E7232" s="125"/>
      <c r="F7232" s="178"/>
      <c r="G7232" s="178"/>
      <c r="H7232"/>
      <c r="I7232" s="178"/>
      <c r="J7232" s="320" t="s">
        <v>214</v>
      </c>
      <c r="K7232" s="178"/>
      <c r="L7232" s="125" t="s">
        <v>4863</v>
      </c>
      <c r="M7232">
        <v>215</v>
      </c>
      <c r="N7232" s="182"/>
      <c r="O7232">
        <v>3956</v>
      </c>
      <c r="P7232" s="176" t="s">
        <v>77</v>
      </c>
      <c r="Q7232" s="176">
        <v>30.638999999999996</v>
      </c>
      <c r="R7232" s="176"/>
      <c r="S7232" s="176"/>
      <c r="T7232" s="190"/>
      <c r="U7232" s="191"/>
      <c r="V7232" s="191">
        <f>+Table1[[#This Row],[SUBTOTAL]]+Table1[[#This Row],[IVA]]-Table1[[#This Row],[RET IVA]]-Table1[[#This Row],[RET ISR]]</f>
        <v>30.638999999999996</v>
      </c>
      <c r="W7232"/>
      <c r="X7232" s="186"/>
      <c r="Y7232" s="187"/>
      <c r="Z7232" s="311" t="s">
        <v>214</v>
      </c>
      <c r="AB7232" t="str">
        <f>IF(Table1[[#This Row],[TIPO2]]="costo", VLOOKUP(Table1[[#This Row],[PARTIDA PRESUPUESTAL]],'Cost Report'!G:G,1,0),"Balance")</f>
        <v>2285-003</v>
      </c>
      <c r="AD7232" s="159">
        <f>+Table1[[#This Row],[SUBTOTAL]]+Table1[[#This Row],[IVA]]-Table1[[#This Row],[RET IVA]]-Table1[[#This Row],[RET ISR]]-Table1[[#This Row],[TOTAL]]</f>
        <v>0</v>
      </c>
      <c r="AK7232" s="306" t="str">
        <f>IF(ISNUMBER(Table1[[#This Row],[FECHA DE RECIBIDO]]), Table1[[#This Row],[FECHA DE RECIBIDO]]-DATE(2023,8,30), "")</f>
        <v/>
      </c>
    </row>
    <row r="7233" spans="1:37">
      <c r="A7233" s="172"/>
      <c r="B7233" s="178"/>
      <c r="C7233" s="179" t="s">
        <v>2455</v>
      </c>
      <c r="D7233">
        <v>4614</v>
      </c>
      <c r="E7233" s="125"/>
      <c r="F7233" s="178"/>
      <c r="G7233" s="178"/>
      <c r="H7233"/>
      <c r="I7233" s="178"/>
      <c r="J7233" s="320" t="s">
        <v>214</v>
      </c>
      <c r="K7233" s="178"/>
      <c r="L7233" s="125" t="s">
        <v>4863</v>
      </c>
      <c r="M7233">
        <v>215</v>
      </c>
      <c r="N7233" s="182"/>
      <c r="O7233">
        <v>3957</v>
      </c>
      <c r="P7233" s="176" t="s">
        <v>77</v>
      </c>
      <c r="Q7233" s="176">
        <v>43.352999999999994</v>
      </c>
      <c r="R7233" s="176"/>
      <c r="S7233" s="176"/>
      <c r="T7233" s="190"/>
      <c r="U7233" s="191"/>
      <c r="V7233" s="191">
        <f>+Table1[[#This Row],[SUBTOTAL]]+Table1[[#This Row],[IVA]]-Table1[[#This Row],[RET IVA]]-Table1[[#This Row],[RET ISR]]</f>
        <v>43.352999999999994</v>
      </c>
      <c r="W7233"/>
      <c r="X7233" s="186"/>
      <c r="Y7233" s="187"/>
      <c r="Z7233" s="311" t="s">
        <v>214</v>
      </c>
      <c r="AB7233" t="str">
        <f>IF(Table1[[#This Row],[TIPO2]]="costo", VLOOKUP(Table1[[#This Row],[PARTIDA PRESUPUESTAL]],'Cost Report'!G:G,1,0),"Balance")</f>
        <v>2285-003</v>
      </c>
      <c r="AD7233" s="159">
        <f>+Table1[[#This Row],[SUBTOTAL]]+Table1[[#This Row],[IVA]]-Table1[[#This Row],[RET IVA]]-Table1[[#This Row],[RET ISR]]-Table1[[#This Row],[TOTAL]]</f>
        <v>0</v>
      </c>
      <c r="AK7233" s="306" t="str">
        <f>IF(ISNUMBER(Table1[[#This Row],[FECHA DE RECIBIDO]]), Table1[[#This Row],[FECHA DE RECIBIDO]]-DATE(2023,8,30), "")</f>
        <v/>
      </c>
    </row>
    <row r="7234" spans="1:37">
      <c r="A7234" s="172"/>
      <c r="B7234" s="178"/>
      <c r="C7234" s="179" t="s">
        <v>2455</v>
      </c>
      <c r="D7234">
        <v>4614</v>
      </c>
      <c r="E7234" s="125"/>
      <c r="F7234" s="178"/>
      <c r="G7234" s="178"/>
      <c r="H7234"/>
      <c r="I7234" s="178"/>
      <c r="J7234" s="320" t="s">
        <v>214</v>
      </c>
      <c r="K7234" s="178"/>
      <c r="L7234" s="125" t="s">
        <v>4863</v>
      </c>
      <c r="M7234">
        <v>215</v>
      </c>
      <c r="N7234" s="182"/>
      <c r="O7234">
        <v>3958</v>
      </c>
      <c r="P7234" s="176" t="s">
        <v>77</v>
      </c>
      <c r="Q7234" s="176">
        <v>29.975999999999999</v>
      </c>
      <c r="R7234" s="176"/>
      <c r="S7234" s="176"/>
      <c r="T7234" s="190"/>
      <c r="U7234" s="191"/>
      <c r="V7234" s="191">
        <f>+Table1[[#This Row],[SUBTOTAL]]+Table1[[#This Row],[IVA]]-Table1[[#This Row],[RET IVA]]-Table1[[#This Row],[RET ISR]]</f>
        <v>29.975999999999999</v>
      </c>
      <c r="W7234"/>
      <c r="X7234" s="186"/>
      <c r="Y7234" s="187"/>
      <c r="Z7234" s="311" t="s">
        <v>214</v>
      </c>
      <c r="AB7234" t="str">
        <f>IF(Table1[[#This Row],[TIPO2]]="costo", VLOOKUP(Table1[[#This Row],[PARTIDA PRESUPUESTAL]],'Cost Report'!G:G,1,0),"Balance")</f>
        <v>2285-003</v>
      </c>
      <c r="AD7234" s="159">
        <f>+Table1[[#This Row],[SUBTOTAL]]+Table1[[#This Row],[IVA]]-Table1[[#This Row],[RET IVA]]-Table1[[#This Row],[RET ISR]]-Table1[[#This Row],[TOTAL]]</f>
        <v>0</v>
      </c>
      <c r="AK7234" s="306" t="str">
        <f>IF(ISNUMBER(Table1[[#This Row],[FECHA DE RECIBIDO]]), Table1[[#This Row],[FECHA DE RECIBIDO]]-DATE(2023,8,30), "")</f>
        <v/>
      </c>
    </row>
    <row r="7235" spans="1:37">
      <c r="A7235" s="172"/>
      <c r="B7235" s="178"/>
      <c r="C7235" s="179" t="s">
        <v>2455</v>
      </c>
      <c r="D7235">
        <v>4614</v>
      </c>
      <c r="E7235" s="125"/>
      <c r="F7235" s="178"/>
      <c r="G7235" s="178"/>
      <c r="H7235"/>
      <c r="I7235" s="178"/>
      <c r="J7235" s="320" t="s">
        <v>214</v>
      </c>
      <c r="K7235" s="178"/>
      <c r="L7235" s="125" t="s">
        <v>4863</v>
      </c>
      <c r="M7235">
        <v>215</v>
      </c>
      <c r="N7235" s="182"/>
      <c r="O7235">
        <v>3956</v>
      </c>
      <c r="P7235" s="176" t="s">
        <v>77</v>
      </c>
      <c r="Q7235" s="176">
        <v>26.981999999999999</v>
      </c>
      <c r="R7235" s="176"/>
      <c r="S7235" s="176"/>
      <c r="T7235" s="190"/>
      <c r="U7235" s="191"/>
      <c r="V7235" s="191">
        <f>+Table1[[#This Row],[SUBTOTAL]]+Table1[[#This Row],[IVA]]-Table1[[#This Row],[RET IVA]]-Table1[[#This Row],[RET ISR]]</f>
        <v>26.981999999999999</v>
      </c>
      <c r="W7235"/>
      <c r="X7235" s="186"/>
      <c r="Y7235" s="187"/>
      <c r="Z7235" s="311" t="s">
        <v>214</v>
      </c>
      <c r="AB7235" t="str">
        <f>IF(Table1[[#This Row],[TIPO2]]="costo", VLOOKUP(Table1[[#This Row],[PARTIDA PRESUPUESTAL]],'Cost Report'!G:G,1,0),"Balance")</f>
        <v>2285-003</v>
      </c>
      <c r="AD7235" s="159">
        <f>+Table1[[#This Row],[SUBTOTAL]]+Table1[[#This Row],[IVA]]-Table1[[#This Row],[RET IVA]]-Table1[[#This Row],[RET ISR]]-Table1[[#This Row],[TOTAL]]</f>
        <v>0</v>
      </c>
      <c r="AK7235" s="306" t="str">
        <f>IF(ISNUMBER(Table1[[#This Row],[FECHA DE RECIBIDO]]), Table1[[#This Row],[FECHA DE RECIBIDO]]-DATE(2023,8,30), "")</f>
        <v/>
      </c>
    </row>
    <row r="7236" spans="1:37">
      <c r="A7236" s="172"/>
      <c r="B7236" s="178"/>
      <c r="C7236" s="179" t="s">
        <v>2455</v>
      </c>
      <c r="D7236">
        <v>4614</v>
      </c>
      <c r="E7236" s="125"/>
      <c r="F7236" s="178"/>
      <c r="G7236" s="178"/>
      <c r="H7236"/>
      <c r="I7236" s="178"/>
      <c r="J7236" s="320" t="s">
        <v>214</v>
      </c>
      <c r="K7236" s="178"/>
      <c r="L7236" s="125" t="s">
        <v>4863</v>
      </c>
      <c r="M7236">
        <v>215</v>
      </c>
      <c r="N7236" s="182"/>
      <c r="O7236">
        <v>3958</v>
      </c>
      <c r="P7236" s="176" t="s">
        <v>77</v>
      </c>
      <c r="Q7236" s="176">
        <v>26.970000000000002</v>
      </c>
      <c r="R7236" s="176"/>
      <c r="S7236" s="176"/>
      <c r="T7236" s="190"/>
      <c r="U7236" s="191"/>
      <c r="V7236" s="191">
        <f>+Table1[[#This Row],[SUBTOTAL]]+Table1[[#This Row],[IVA]]-Table1[[#This Row],[RET IVA]]-Table1[[#This Row],[RET ISR]]</f>
        <v>26.970000000000002</v>
      </c>
      <c r="W7236"/>
      <c r="X7236" s="186"/>
      <c r="Y7236" s="187"/>
      <c r="Z7236" s="311" t="s">
        <v>214</v>
      </c>
      <c r="AB7236" t="str">
        <f>IF(Table1[[#This Row],[TIPO2]]="costo", VLOOKUP(Table1[[#This Row],[PARTIDA PRESUPUESTAL]],'Cost Report'!G:G,1,0),"Balance")</f>
        <v>2285-003</v>
      </c>
      <c r="AD7236" s="159">
        <f>+Table1[[#This Row],[SUBTOTAL]]+Table1[[#This Row],[IVA]]-Table1[[#This Row],[RET IVA]]-Table1[[#This Row],[RET ISR]]-Table1[[#This Row],[TOTAL]]</f>
        <v>0</v>
      </c>
      <c r="AK7236" s="306" t="str">
        <f>IF(ISNUMBER(Table1[[#This Row],[FECHA DE RECIBIDO]]), Table1[[#This Row],[FECHA DE RECIBIDO]]-DATE(2023,8,30), "")</f>
        <v/>
      </c>
    </row>
    <row r="7237" spans="1:37">
      <c r="A7237" s="172"/>
      <c r="B7237" s="178"/>
      <c r="C7237" s="179" t="s">
        <v>2455</v>
      </c>
      <c r="D7237">
        <v>4614</v>
      </c>
      <c r="E7237" s="125"/>
      <c r="F7237" s="178"/>
      <c r="G7237" s="178"/>
      <c r="H7237"/>
      <c r="I7237" s="178"/>
      <c r="J7237" s="320" t="s">
        <v>214</v>
      </c>
      <c r="K7237" s="178"/>
      <c r="L7237" s="125" t="s">
        <v>4863</v>
      </c>
      <c r="M7237">
        <v>215</v>
      </c>
      <c r="N7237" s="182"/>
      <c r="O7237">
        <v>3956</v>
      </c>
      <c r="P7237" s="176" t="s">
        <v>77</v>
      </c>
      <c r="Q7237" s="176">
        <v>26.972999999999999</v>
      </c>
      <c r="R7237" s="176"/>
      <c r="S7237" s="176"/>
      <c r="T7237" s="190"/>
      <c r="U7237" s="191"/>
      <c r="V7237" s="191">
        <f>+Table1[[#This Row],[SUBTOTAL]]+Table1[[#This Row],[IVA]]-Table1[[#This Row],[RET IVA]]-Table1[[#This Row],[RET ISR]]</f>
        <v>26.972999999999999</v>
      </c>
      <c r="W7237"/>
      <c r="X7237" s="186"/>
      <c r="Y7237" s="187"/>
      <c r="Z7237" s="311" t="s">
        <v>214</v>
      </c>
      <c r="AB7237" t="str">
        <f>IF(Table1[[#This Row],[TIPO2]]="costo", VLOOKUP(Table1[[#This Row],[PARTIDA PRESUPUESTAL]],'Cost Report'!G:G,1,0),"Balance")</f>
        <v>2285-003</v>
      </c>
      <c r="AD7237" s="159">
        <f>+Table1[[#This Row],[SUBTOTAL]]+Table1[[#This Row],[IVA]]-Table1[[#This Row],[RET IVA]]-Table1[[#This Row],[RET ISR]]-Table1[[#This Row],[TOTAL]]</f>
        <v>0</v>
      </c>
      <c r="AK7237" s="306" t="str">
        <f>IF(ISNUMBER(Table1[[#This Row],[FECHA DE RECIBIDO]]), Table1[[#This Row],[FECHA DE RECIBIDO]]-DATE(2023,8,30), "")</f>
        <v/>
      </c>
    </row>
    <row r="7238" spans="1:37">
      <c r="A7238" s="172"/>
      <c r="B7238" s="178"/>
      <c r="C7238" s="179" t="s">
        <v>2455</v>
      </c>
      <c r="D7238">
        <v>4614</v>
      </c>
      <c r="E7238" s="125"/>
      <c r="F7238" s="178"/>
      <c r="G7238" s="178"/>
      <c r="H7238"/>
      <c r="I7238" s="178"/>
      <c r="J7238" s="320" t="s">
        <v>214</v>
      </c>
      <c r="K7238" s="178"/>
      <c r="L7238" s="125" t="s">
        <v>4863</v>
      </c>
      <c r="M7238">
        <v>215</v>
      </c>
      <c r="N7238" s="182"/>
      <c r="O7238">
        <v>3959</v>
      </c>
      <c r="P7238" s="176" t="s">
        <v>77</v>
      </c>
      <c r="Q7238" s="176">
        <v>32.984999999999999</v>
      </c>
      <c r="R7238" s="176"/>
      <c r="S7238" s="176"/>
      <c r="T7238" s="190"/>
      <c r="U7238" s="191"/>
      <c r="V7238" s="191">
        <f>+Table1[[#This Row],[SUBTOTAL]]+Table1[[#This Row],[IVA]]-Table1[[#This Row],[RET IVA]]-Table1[[#This Row],[RET ISR]]</f>
        <v>32.984999999999999</v>
      </c>
      <c r="W7238"/>
      <c r="X7238" s="186"/>
      <c r="Y7238" s="187"/>
      <c r="Z7238" s="311" t="s">
        <v>214</v>
      </c>
      <c r="AB7238" t="str">
        <f>IF(Table1[[#This Row],[TIPO2]]="costo", VLOOKUP(Table1[[#This Row],[PARTIDA PRESUPUESTAL]],'Cost Report'!G:G,1,0),"Balance")</f>
        <v>2285-003</v>
      </c>
      <c r="AD7238" s="159">
        <f>+Table1[[#This Row],[SUBTOTAL]]+Table1[[#This Row],[IVA]]-Table1[[#This Row],[RET IVA]]-Table1[[#This Row],[RET ISR]]-Table1[[#This Row],[TOTAL]]</f>
        <v>0</v>
      </c>
      <c r="AK7238" s="306" t="str">
        <f>IF(ISNUMBER(Table1[[#This Row],[FECHA DE RECIBIDO]]), Table1[[#This Row],[FECHA DE RECIBIDO]]-DATE(2023,8,30), "")</f>
        <v/>
      </c>
    </row>
    <row r="7239" spans="1:37">
      <c r="A7239" s="172"/>
      <c r="B7239" s="178"/>
      <c r="C7239" s="179" t="s">
        <v>2455</v>
      </c>
      <c r="D7239">
        <v>4614</v>
      </c>
      <c r="E7239" s="125"/>
      <c r="F7239" s="178"/>
      <c r="G7239" s="178"/>
      <c r="H7239"/>
      <c r="I7239" s="178"/>
      <c r="J7239" s="320" t="s">
        <v>214</v>
      </c>
      <c r="K7239" s="178"/>
      <c r="L7239" s="125" t="s">
        <v>4863</v>
      </c>
      <c r="M7239">
        <v>215</v>
      </c>
      <c r="N7239" s="182"/>
      <c r="O7239">
        <v>3960</v>
      </c>
      <c r="P7239" s="176" t="s">
        <v>77</v>
      </c>
      <c r="Q7239" s="176">
        <v>44.984999999999992</v>
      </c>
      <c r="R7239" s="176"/>
      <c r="S7239" s="176"/>
      <c r="T7239" s="190"/>
      <c r="U7239" s="191"/>
      <c r="V7239" s="191">
        <f>+Table1[[#This Row],[SUBTOTAL]]+Table1[[#This Row],[IVA]]-Table1[[#This Row],[RET IVA]]-Table1[[#This Row],[RET ISR]]</f>
        <v>44.984999999999992</v>
      </c>
      <c r="W7239"/>
      <c r="X7239" s="186"/>
      <c r="Y7239" s="187"/>
      <c r="Z7239" s="311" t="s">
        <v>214</v>
      </c>
      <c r="AB7239" t="str">
        <f>IF(Table1[[#This Row],[TIPO2]]="costo", VLOOKUP(Table1[[#This Row],[PARTIDA PRESUPUESTAL]],'Cost Report'!G:G,1,0),"Balance")</f>
        <v>2285-003</v>
      </c>
      <c r="AD7239" s="159">
        <f>+Table1[[#This Row],[SUBTOTAL]]+Table1[[#This Row],[IVA]]-Table1[[#This Row],[RET IVA]]-Table1[[#This Row],[RET ISR]]-Table1[[#This Row],[TOTAL]]</f>
        <v>0</v>
      </c>
      <c r="AK7239" s="306" t="str">
        <f>IF(ISNUMBER(Table1[[#This Row],[FECHA DE RECIBIDO]]), Table1[[#This Row],[FECHA DE RECIBIDO]]-DATE(2023,8,30), "")</f>
        <v/>
      </c>
    </row>
    <row r="7240" spans="1:37">
      <c r="A7240" s="172"/>
      <c r="B7240" s="178"/>
      <c r="C7240" s="179" t="s">
        <v>2455</v>
      </c>
      <c r="D7240">
        <v>4614</v>
      </c>
      <c r="E7240" s="125"/>
      <c r="F7240" s="178"/>
      <c r="G7240" s="178"/>
      <c r="H7240"/>
      <c r="I7240" s="178"/>
      <c r="J7240" s="320" t="s">
        <v>214</v>
      </c>
      <c r="K7240" s="178"/>
      <c r="L7240" s="125" t="s">
        <v>4863</v>
      </c>
      <c r="M7240">
        <v>215</v>
      </c>
      <c r="N7240" s="182"/>
      <c r="O7240">
        <v>3961</v>
      </c>
      <c r="P7240" s="176" t="s">
        <v>77</v>
      </c>
      <c r="Q7240" s="176">
        <v>46.413000000000004</v>
      </c>
      <c r="R7240" s="176"/>
      <c r="S7240" s="176"/>
      <c r="T7240" s="190"/>
      <c r="U7240" s="191"/>
      <c r="V7240" s="191">
        <f>+Table1[[#This Row],[SUBTOTAL]]+Table1[[#This Row],[IVA]]-Table1[[#This Row],[RET IVA]]-Table1[[#This Row],[RET ISR]]</f>
        <v>46.413000000000004</v>
      </c>
      <c r="W7240"/>
      <c r="X7240" s="186"/>
      <c r="Y7240" s="187"/>
      <c r="Z7240" s="311" t="s">
        <v>214</v>
      </c>
      <c r="AB7240" t="str">
        <f>IF(Table1[[#This Row],[TIPO2]]="costo", VLOOKUP(Table1[[#This Row],[PARTIDA PRESUPUESTAL]],'Cost Report'!G:G,1,0),"Balance")</f>
        <v>2285-003</v>
      </c>
      <c r="AD7240" s="159">
        <f>+Table1[[#This Row],[SUBTOTAL]]+Table1[[#This Row],[IVA]]-Table1[[#This Row],[RET IVA]]-Table1[[#This Row],[RET ISR]]-Table1[[#This Row],[TOTAL]]</f>
        <v>0</v>
      </c>
      <c r="AK7240" s="306" t="str">
        <f>IF(ISNUMBER(Table1[[#This Row],[FECHA DE RECIBIDO]]), Table1[[#This Row],[FECHA DE RECIBIDO]]-DATE(2023,8,30), "")</f>
        <v/>
      </c>
    </row>
    <row r="7241" spans="1:37">
      <c r="A7241" s="172"/>
      <c r="B7241" s="178"/>
      <c r="C7241" s="179" t="s">
        <v>2455</v>
      </c>
      <c r="D7241">
        <v>4614</v>
      </c>
      <c r="E7241" s="125"/>
      <c r="F7241" s="178"/>
      <c r="G7241" s="178"/>
      <c r="H7241"/>
      <c r="I7241" s="178"/>
      <c r="J7241" s="320" t="s">
        <v>214</v>
      </c>
      <c r="K7241" s="178"/>
      <c r="L7241" s="125" t="s">
        <v>4863</v>
      </c>
      <c r="M7241">
        <v>215</v>
      </c>
      <c r="N7241" s="182"/>
      <c r="O7241">
        <v>3962</v>
      </c>
      <c r="P7241" s="176" t="s">
        <v>77</v>
      </c>
      <c r="Q7241" s="176">
        <v>45.524999999999999</v>
      </c>
      <c r="R7241" s="176"/>
      <c r="S7241" s="176"/>
      <c r="T7241" s="190"/>
      <c r="U7241" s="191"/>
      <c r="V7241" s="191">
        <f>+Table1[[#This Row],[SUBTOTAL]]+Table1[[#This Row],[IVA]]-Table1[[#This Row],[RET IVA]]-Table1[[#This Row],[RET ISR]]</f>
        <v>45.524999999999999</v>
      </c>
      <c r="W7241"/>
      <c r="X7241" s="186"/>
      <c r="Y7241" s="187"/>
      <c r="Z7241" s="311" t="s">
        <v>214</v>
      </c>
      <c r="AB7241" t="str">
        <f>IF(Table1[[#This Row],[TIPO2]]="costo", VLOOKUP(Table1[[#This Row],[PARTIDA PRESUPUESTAL]],'Cost Report'!G:G,1,0),"Balance")</f>
        <v>2285-003</v>
      </c>
      <c r="AD7241" s="159">
        <f>+Table1[[#This Row],[SUBTOTAL]]+Table1[[#This Row],[IVA]]-Table1[[#This Row],[RET IVA]]-Table1[[#This Row],[RET ISR]]-Table1[[#This Row],[TOTAL]]</f>
        <v>0</v>
      </c>
      <c r="AK7241" s="306" t="str">
        <f>IF(ISNUMBER(Table1[[#This Row],[FECHA DE RECIBIDO]]), Table1[[#This Row],[FECHA DE RECIBIDO]]-DATE(2023,8,30), "")</f>
        <v/>
      </c>
    </row>
    <row r="7242" spans="1:37">
      <c r="A7242" s="172"/>
      <c r="B7242" s="178"/>
      <c r="C7242" s="179" t="s">
        <v>2455</v>
      </c>
      <c r="D7242">
        <v>4614</v>
      </c>
      <c r="E7242" s="125"/>
      <c r="F7242" s="178"/>
      <c r="G7242" s="178"/>
      <c r="H7242"/>
      <c r="I7242" s="178"/>
      <c r="J7242" s="320" t="s">
        <v>214</v>
      </c>
      <c r="K7242" s="178"/>
      <c r="L7242" s="125" t="s">
        <v>4863</v>
      </c>
      <c r="M7242">
        <v>215</v>
      </c>
      <c r="N7242" s="182"/>
      <c r="O7242">
        <v>3963</v>
      </c>
      <c r="P7242" s="176" t="s">
        <v>77</v>
      </c>
      <c r="Q7242" s="176">
        <v>13.895999999999999</v>
      </c>
      <c r="R7242" s="176"/>
      <c r="S7242" s="176"/>
      <c r="T7242" s="190"/>
      <c r="U7242" s="191"/>
      <c r="V7242" s="191">
        <f>+Table1[[#This Row],[SUBTOTAL]]+Table1[[#This Row],[IVA]]-Table1[[#This Row],[RET IVA]]-Table1[[#This Row],[RET ISR]]</f>
        <v>13.895999999999999</v>
      </c>
      <c r="W7242"/>
      <c r="X7242" s="186"/>
      <c r="Y7242" s="187"/>
      <c r="Z7242" s="311" t="s">
        <v>214</v>
      </c>
      <c r="AB7242" t="str">
        <f>IF(Table1[[#This Row],[TIPO2]]="costo", VLOOKUP(Table1[[#This Row],[PARTIDA PRESUPUESTAL]],'Cost Report'!G:G,1,0),"Balance")</f>
        <v>2285-003</v>
      </c>
      <c r="AD7242" s="159">
        <f>+Table1[[#This Row],[SUBTOTAL]]+Table1[[#This Row],[IVA]]-Table1[[#This Row],[RET IVA]]-Table1[[#This Row],[RET ISR]]-Table1[[#This Row],[TOTAL]]</f>
        <v>0</v>
      </c>
      <c r="AK7242" s="306" t="str">
        <f>IF(ISNUMBER(Table1[[#This Row],[FECHA DE RECIBIDO]]), Table1[[#This Row],[FECHA DE RECIBIDO]]-DATE(2023,8,30), "")</f>
        <v/>
      </c>
    </row>
    <row r="7243" spans="1:37">
      <c r="A7243" s="172"/>
      <c r="B7243" s="178"/>
      <c r="C7243" s="179" t="s">
        <v>2455</v>
      </c>
      <c r="D7243">
        <v>4614</v>
      </c>
      <c r="E7243" s="125"/>
      <c r="F7243" s="178"/>
      <c r="G7243" s="178"/>
      <c r="H7243"/>
      <c r="I7243" s="178"/>
      <c r="J7243" s="320" t="s">
        <v>214</v>
      </c>
      <c r="K7243" s="178"/>
      <c r="L7243" s="125" t="s">
        <v>4863</v>
      </c>
      <c r="M7243">
        <v>215</v>
      </c>
      <c r="N7243" s="182"/>
      <c r="O7243">
        <v>3964</v>
      </c>
      <c r="P7243" s="176" t="s">
        <v>77</v>
      </c>
      <c r="Q7243" s="176">
        <v>29.97</v>
      </c>
      <c r="R7243" s="176"/>
      <c r="S7243" s="176"/>
      <c r="T7243" s="190"/>
      <c r="U7243" s="191"/>
      <c r="V7243" s="191">
        <f>+Table1[[#This Row],[SUBTOTAL]]+Table1[[#This Row],[IVA]]-Table1[[#This Row],[RET IVA]]-Table1[[#This Row],[RET ISR]]</f>
        <v>29.97</v>
      </c>
      <c r="W7243"/>
      <c r="X7243" s="186"/>
      <c r="Y7243" s="187"/>
      <c r="Z7243" s="311" t="s">
        <v>214</v>
      </c>
      <c r="AB7243" t="str">
        <f>IF(Table1[[#This Row],[TIPO2]]="costo", VLOOKUP(Table1[[#This Row],[PARTIDA PRESUPUESTAL]],'Cost Report'!G:G,1,0),"Balance")</f>
        <v>2285-003</v>
      </c>
      <c r="AD7243" s="159">
        <f>+Table1[[#This Row],[SUBTOTAL]]+Table1[[#This Row],[IVA]]-Table1[[#This Row],[RET IVA]]-Table1[[#This Row],[RET ISR]]-Table1[[#This Row],[TOTAL]]</f>
        <v>0</v>
      </c>
      <c r="AK7243" s="306" t="str">
        <f>IF(ISNUMBER(Table1[[#This Row],[FECHA DE RECIBIDO]]), Table1[[#This Row],[FECHA DE RECIBIDO]]-DATE(2023,8,30), "")</f>
        <v/>
      </c>
    </row>
    <row r="7244" spans="1:37">
      <c r="A7244" s="172"/>
      <c r="B7244" s="178"/>
      <c r="C7244" s="179" t="s">
        <v>2455</v>
      </c>
      <c r="D7244">
        <v>4614</v>
      </c>
      <c r="E7244" s="125"/>
      <c r="F7244" s="178"/>
      <c r="G7244" s="178"/>
      <c r="H7244"/>
      <c r="I7244" s="178"/>
      <c r="J7244" s="320" t="s">
        <v>214</v>
      </c>
      <c r="K7244" s="178"/>
      <c r="L7244" s="125" t="s">
        <v>4863</v>
      </c>
      <c r="M7244">
        <v>215</v>
      </c>
      <c r="N7244" s="182"/>
      <c r="O7244">
        <v>3956</v>
      </c>
      <c r="P7244" s="176" t="s">
        <v>77</v>
      </c>
      <c r="Q7244" s="176">
        <v>29.981999999999999</v>
      </c>
      <c r="R7244" s="176"/>
      <c r="S7244" s="176"/>
      <c r="T7244" s="190"/>
      <c r="U7244" s="191"/>
      <c r="V7244" s="191">
        <f>+Table1[[#This Row],[SUBTOTAL]]+Table1[[#This Row],[IVA]]-Table1[[#This Row],[RET IVA]]-Table1[[#This Row],[RET ISR]]</f>
        <v>29.981999999999999</v>
      </c>
      <c r="W7244"/>
      <c r="X7244" s="186"/>
      <c r="Y7244" s="187"/>
      <c r="Z7244" s="311" t="s">
        <v>214</v>
      </c>
      <c r="AB7244" t="str">
        <f>IF(Table1[[#This Row],[TIPO2]]="costo", VLOOKUP(Table1[[#This Row],[PARTIDA PRESUPUESTAL]],'Cost Report'!G:G,1,0),"Balance")</f>
        <v>2285-003</v>
      </c>
      <c r="AD7244" s="159">
        <f>+Table1[[#This Row],[SUBTOTAL]]+Table1[[#This Row],[IVA]]-Table1[[#This Row],[RET IVA]]-Table1[[#This Row],[RET ISR]]-Table1[[#This Row],[TOTAL]]</f>
        <v>0</v>
      </c>
      <c r="AK7244" s="306" t="str">
        <f>IF(ISNUMBER(Table1[[#This Row],[FECHA DE RECIBIDO]]), Table1[[#This Row],[FECHA DE RECIBIDO]]-DATE(2023,8,30), "")</f>
        <v/>
      </c>
    </row>
    <row r="7245" spans="1:37">
      <c r="A7245" s="172"/>
      <c r="B7245" s="178"/>
      <c r="C7245" s="179" t="s">
        <v>2455</v>
      </c>
      <c r="D7245">
        <v>4614</v>
      </c>
      <c r="E7245" s="125"/>
      <c r="F7245" s="178"/>
      <c r="G7245" s="178"/>
      <c r="H7245"/>
      <c r="I7245" s="178"/>
      <c r="J7245" s="320" t="s">
        <v>214</v>
      </c>
      <c r="K7245" s="178"/>
      <c r="L7245" s="125" t="s">
        <v>4863</v>
      </c>
      <c r="M7245">
        <v>215</v>
      </c>
      <c r="N7245" s="182"/>
      <c r="O7245">
        <v>3965</v>
      </c>
      <c r="P7245" s="176" t="s">
        <v>77</v>
      </c>
      <c r="Q7245" s="176">
        <v>35.984999999999999</v>
      </c>
      <c r="R7245" s="176"/>
      <c r="S7245" s="176"/>
      <c r="T7245" s="190"/>
      <c r="U7245" s="191"/>
      <c r="V7245" s="191">
        <f>+Table1[[#This Row],[SUBTOTAL]]+Table1[[#This Row],[IVA]]-Table1[[#This Row],[RET IVA]]-Table1[[#This Row],[RET ISR]]</f>
        <v>35.984999999999999</v>
      </c>
      <c r="W7245"/>
      <c r="X7245" s="186"/>
      <c r="Y7245" s="187"/>
      <c r="Z7245" s="311" t="s">
        <v>214</v>
      </c>
      <c r="AB7245" t="str">
        <f>IF(Table1[[#This Row],[TIPO2]]="costo", VLOOKUP(Table1[[#This Row],[PARTIDA PRESUPUESTAL]],'Cost Report'!G:G,1,0),"Balance")</f>
        <v>2285-003</v>
      </c>
      <c r="AD7245" s="159">
        <f>+Table1[[#This Row],[SUBTOTAL]]+Table1[[#This Row],[IVA]]-Table1[[#This Row],[RET IVA]]-Table1[[#This Row],[RET ISR]]-Table1[[#This Row],[TOTAL]]</f>
        <v>0</v>
      </c>
      <c r="AK7245" s="306" t="str">
        <f>IF(ISNUMBER(Table1[[#This Row],[FECHA DE RECIBIDO]]), Table1[[#This Row],[FECHA DE RECIBIDO]]-DATE(2023,8,30), "")</f>
        <v/>
      </c>
    </row>
    <row r="7246" spans="1:37">
      <c r="A7246" s="172"/>
      <c r="B7246" s="178"/>
      <c r="C7246" s="179" t="s">
        <v>2455</v>
      </c>
      <c r="D7246">
        <v>4614</v>
      </c>
      <c r="E7246" s="125"/>
      <c r="F7246" s="178"/>
      <c r="G7246" s="178"/>
      <c r="H7246"/>
      <c r="I7246" s="178"/>
      <c r="J7246" s="320" t="s">
        <v>214</v>
      </c>
      <c r="K7246" s="178"/>
      <c r="L7246" s="125" t="s">
        <v>4863</v>
      </c>
      <c r="M7246">
        <v>215</v>
      </c>
      <c r="N7246" s="182"/>
      <c r="O7246">
        <v>3960</v>
      </c>
      <c r="P7246" s="176" t="s">
        <v>77</v>
      </c>
      <c r="Q7246" s="176">
        <v>50.972999999999999</v>
      </c>
      <c r="R7246" s="176"/>
      <c r="S7246" s="176"/>
      <c r="T7246" s="190"/>
      <c r="U7246" s="191"/>
      <c r="V7246" s="191">
        <f>+Table1[[#This Row],[SUBTOTAL]]+Table1[[#This Row],[IVA]]-Table1[[#This Row],[RET IVA]]-Table1[[#This Row],[RET ISR]]</f>
        <v>50.972999999999999</v>
      </c>
      <c r="W7246"/>
      <c r="X7246" s="186"/>
      <c r="Y7246" s="187"/>
      <c r="Z7246" s="311" t="s">
        <v>214</v>
      </c>
      <c r="AB7246" t="str">
        <f>IF(Table1[[#This Row],[TIPO2]]="costo", VLOOKUP(Table1[[#This Row],[PARTIDA PRESUPUESTAL]],'Cost Report'!G:G,1,0),"Balance")</f>
        <v>2285-003</v>
      </c>
      <c r="AD7246" s="159">
        <f>+Table1[[#This Row],[SUBTOTAL]]+Table1[[#This Row],[IVA]]-Table1[[#This Row],[RET IVA]]-Table1[[#This Row],[RET ISR]]-Table1[[#This Row],[TOTAL]]</f>
        <v>0</v>
      </c>
      <c r="AK7246" s="306" t="str">
        <f>IF(ISNUMBER(Table1[[#This Row],[FECHA DE RECIBIDO]]), Table1[[#This Row],[FECHA DE RECIBIDO]]-DATE(2023,8,30), "")</f>
        <v/>
      </c>
    </row>
    <row r="7247" spans="1:37">
      <c r="A7247" s="172"/>
      <c r="B7247" s="178"/>
      <c r="C7247" s="179" t="s">
        <v>2455</v>
      </c>
      <c r="D7247">
        <v>4614</v>
      </c>
      <c r="E7247" s="125"/>
      <c r="F7247" s="178"/>
      <c r="G7247" s="178"/>
      <c r="H7247"/>
      <c r="I7247" s="178"/>
      <c r="J7247" s="320" t="s">
        <v>214</v>
      </c>
      <c r="K7247" s="178"/>
      <c r="L7247" s="125" t="s">
        <v>4863</v>
      </c>
      <c r="M7247">
        <v>215</v>
      </c>
      <c r="N7247" s="182"/>
      <c r="O7247">
        <v>3966</v>
      </c>
      <c r="P7247" s="176" t="s">
        <v>77</v>
      </c>
      <c r="Q7247" s="176">
        <v>25.295999999999996</v>
      </c>
      <c r="R7247" s="176"/>
      <c r="S7247" s="176"/>
      <c r="T7247" s="190"/>
      <c r="U7247" s="191"/>
      <c r="V7247" s="191">
        <f>+Table1[[#This Row],[SUBTOTAL]]+Table1[[#This Row],[IVA]]-Table1[[#This Row],[RET IVA]]-Table1[[#This Row],[RET ISR]]</f>
        <v>25.295999999999996</v>
      </c>
      <c r="W7247"/>
      <c r="X7247" s="186"/>
      <c r="Y7247" s="187"/>
      <c r="Z7247" s="311" t="s">
        <v>214</v>
      </c>
      <c r="AB7247" t="str">
        <f>IF(Table1[[#This Row],[TIPO2]]="costo", VLOOKUP(Table1[[#This Row],[PARTIDA PRESUPUESTAL]],'Cost Report'!G:G,1,0),"Balance")</f>
        <v>2285-003</v>
      </c>
      <c r="AD7247" s="159">
        <f>+Table1[[#This Row],[SUBTOTAL]]+Table1[[#This Row],[IVA]]-Table1[[#This Row],[RET IVA]]-Table1[[#This Row],[RET ISR]]-Table1[[#This Row],[TOTAL]]</f>
        <v>0</v>
      </c>
      <c r="AK7247" s="306" t="str">
        <f>IF(ISNUMBER(Table1[[#This Row],[FECHA DE RECIBIDO]]), Table1[[#This Row],[FECHA DE RECIBIDO]]-DATE(2023,8,30), "")</f>
        <v/>
      </c>
    </row>
    <row r="7248" spans="1:37">
      <c r="A7248" s="172"/>
      <c r="B7248" s="178"/>
      <c r="C7248" s="179" t="s">
        <v>2455</v>
      </c>
      <c r="D7248">
        <v>4614</v>
      </c>
      <c r="E7248" s="125"/>
      <c r="F7248" s="178"/>
      <c r="G7248" s="178"/>
      <c r="H7248"/>
      <c r="I7248" s="178"/>
      <c r="J7248" s="320" t="s">
        <v>214</v>
      </c>
      <c r="K7248" s="178"/>
      <c r="L7248" s="125" t="s">
        <v>4863</v>
      </c>
      <c r="M7248">
        <v>215</v>
      </c>
      <c r="N7248" s="182"/>
      <c r="O7248">
        <v>3956</v>
      </c>
      <c r="P7248" s="176" t="s">
        <v>77</v>
      </c>
      <c r="Q7248" s="176">
        <v>29.984999999999999</v>
      </c>
      <c r="R7248" s="176"/>
      <c r="S7248" s="176"/>
      <c r="T7248" s="190"/>
      <c r="U7248" s="191"/>
      <c r="V7248" s="191">
        <f>+Table1[[#This Row],[SUBTOTAL]]+Table1[[#This Row],[IVA]]-Table1[[#This Row],[RET IVA]]-Table1[[#This Row],[RET ISR]]</f>
        <v>29.984999999999999</v>
      </c>
      <c r="W7248"/>
      <c r="X7248" s="186"/>
      <c r="Y7248" s="187"/>
      <c r="Z7248" s="311" t="s">
        <v>214</v>
      </c>
      <c r="AB7248" t="str">
        <f>IF(Table1[[#This Row],[TIPO2]]="costo", VLOOKUP(Table1[[#This Row],[PARTIDA PRESUPUESTAL]],'Cost Report'!G:G,1,0),"Balance")</f>
        <v>2285-003</v>
      </c>
      <c r="AD7248" s="159">
        <f>+Table1[[#This Row],[SUBTOTAL]]+Table1[[#This Row],[IVA]]-Table1[[#This Row],[RET IVA]]-Table1[[#This Row],[RET ISR]]-Table1[[#This Row],[TOTAL]]</f>
        <v>0</v>
      </c>
      <c r="AK7248" s="306" t="str">
        <f>IF(ISNUMBER(Table1[[#This Row],[FECHA DE RECIBIDO]]), Table1[[#This Row],[FECHA DE RECIBIDO]]-DATE(2023,8,30), "")</f>
        <v/>
      </c>
    </row>
    <row r="7249" spans="1:37">
      <c r="A7249" s="172"/>
      <c r="B7249" s="178"/>
      <c r="C7249" s="179" t="s">
        <v>2455</v>
      </c>
      <c r="D7249">
        <v>4614</v>
      </c>
      <c r="E7249" s="125"/>
      <c r="F7249" s="178"/>
      <c r="G7249" s="178"/>
      <c r="H7249"/>
      <c r="I7249" s="178"/>
      <c r="J7249" s="320" t="s">
        <v>214</v>
      </c>
      <c r="K7249" s="178"/>
      <c r="L7249" s="125" t="s">
        <v>4863</v>
      </c>
      <c r="M7249">
        <v>215</v>
      </c>
      <c r="N7249" s="182"/>
      <c r="O7249">
        <v>3956</v>
      </c>
      <c r="P7249" s="176" t="s">
        <v>77</v>
      </c>
      <c r="Q7249" s="176">
        <v>26.970000000000002</v>
      </c>
      <c r="R7249" s="176"/>
      <c r="S7249" s="176"/>
      <c r="T7249" s="190"/>
      <c r="U7249" s="191"/>
      <c r="V7249" s="191">
        <f>+Table1[[#This Row],[SUBTOTAL]]+Table1[[#This Row],[IVA]]-Table1[[#This Row],[RET IVA]]-Table1[[#This Row],[RET ISR]]</f>
        <v>26.970000000000002</v>
      </c>
      <c r="W7249"/>
      <c r="X7249" s="186"/>
      <c r="Y7249" s="187"/>
      <c r="Z7249" s="311" t="s">
        <v>214</v>
      </c>
      <c r="AB7249" t="str">
        <f>IF(Table1[[#This Row],[TIPO2]]="costo", VLOOKUP(Table1[[#This Row],[PARTIDA PRESUPUESTAL]],'Cost Report'!G:G,1,0),"Balance")</f>
        <v>2285-003</v>
      </c>
      <c r="AD7249" s="159">
        <f>+Table1[[#This Row],[SUBTOTAL]]+Table1[[#This Row],[IVA]]-Table1[[#This Row],[RET IVA]]-Table1[[#This Row],[RET ISR]]-Table1[[#This Row],[TOTAL]]</f>
        <v>0</v>
      </c>
      <c r="AK7249" s="306" t="str">
        <f>IF(ISNUMBER(Table1[[#This Row],[FECHA DE RECIBIDO]]), Table1[[#This Row],[FECHA DE RECIBIDO]]-DATE(2023,8,30), "")</f>
        <v/>
      </c>
    </row>
    <row r="7250" spans="1:37">
      <c r="A7250" s="172"/>
      <c r="B7250" s="178"/>
      <c r="C7250" s="179" t="s">
        <v>2455</v>
      </c>
      <c r="D7250">
        <v>4614</v>
      </c>
      <c r="E7250" s="125"/>
      <c r="F7250" s="178"/>
      <c r="G7250" s="178"/>
      <c r="H7250"/>
      <c r="I7250" s="178"/>
      <c r="J7250" s="320" t="s">
        <v>214</v>
      </c>
      <c r="K7250" s="178"/>
      <c r="L7250" s="125" t="s">
        <v>4863</v>
      </c>
      <c r="M7250">
        <v>215</v>
      </c>
      <c r="N7250" s="182"/>
      <c r="O7250">
        <v>3967</v>
      </c>
      <c r="P7250" s="176" t="s">
        <v>77</v>
      </c>
      <c r="Q7250" s="176">
        <v>10.467000000000001</v>
      </c>
      <c r="R7250" s="176"/>
      <c r="S7250" s="176"/>
      <c r="T7250" s="190"/>
      <c r="U7250" s="191"/>
      <c r="V7250" s="191">
        <f>+Table1[[#This Row],[SUBTOTAL]]+Table1[[#This Row],[IVA]]-Table1[[#This Row],[RET IVA]]-Table1[[#This Row],[RET ISR]]</f>
        <v>10.467000000000001</v>
      </c>
      <c r="W7250"/>
      <c r="X7250" s="186"/>
      <c r="Y7250" s="187"/>
      <c r="Z7250" s="311" t="s">
        <v>214</v>
      </c>
      <c r="AB7250" t="str">
        <f>IF(Table1[[#This Row],[TIPO2]]="costo", VLOOKUP(Table1[[#This Row],[PARTIDA PRESUPUESTAL]],'Cost Report'!G:G,1,0),"Balance")</f>
        <v>2285-003</v>
      </c>
      <c r="AD7250" s="159">
        <f>+Table1[[#This Row],[SUBTOTAL]]+Table1[[#This Row],[IVA]]-Table1[[#This Row],[RET IVA]]-Table1[[#This Row],[RET ISR]]-Table1[[#This Row],[TOTAL]]</f>
        <v>0</v>
      </c>
      <c r="AK7250" s="306" t="str">
        <f>IF(ISNUMBER(Table1[[#This Row],[FECHA DE RECIBIDO]]), Table1[[#This Row],[FECHA DE RECIBIDO]]-DATE(2023,8,30), "")</f>
        <v/>
      </c>
    </row>
    <row r="7251" spans="1:37">
      <c r="A7251" s="172"/>
      <c r="B7251" s="178"/>
      <c r="C7251" s="179" t="s">
        <v>2455</v>
      </c>
      <c r="D7251">
        <v>4614</v>
      </c>
      <c r="E7251" s="125"/>
      <c r="F7251" s="178"/>
      <c r="G7251" s="178"/>
      <c r="H7251"/>
      <c r="I7251" s="178"/>
      <c r="J7251" s="320" t="s">
        <v>214</v>
      </c>
      <c r="K7251" s="178"/>
      <c r="L7251" s="125" t="s">
        <v>4863</v>
      </c>
      <c r="M7251">
        <v>215</v>
      </c>
      <c r="N7251" s="182"/>
      <c r="O7251">
        <v>3968</v>
      </c>
      <c r="P7251" s="176" t="s">
        <v>77</v>
      </c>
      <c r="Q7251" s="176">
        <v>32.997</v>
      </c>
      <c r="R7251" s="176"/>
      <c r="S7251" s="176"/>
      <c r="T7251" s="190"/>
      <c r="U7251" s="191"/>
      <c r="V7251" s="191">
        <f>+Table1[[#This Row],[SUBTOTAL]]+Table1[[#This Row],[IVA]]-Table1[[#This Row],[RET IVA]]-Table1[[#This Row],[RET ISR]]</f>
        <v>32.997</v>
      </c>
      <c r="W7251"/>
      <c r="X7251" s="186"/>
      <c r="Y7251" s="187"/>
      <c r="Z7251" s="311" t="s">
        <v>214</v>
      </c>
      <c r="AB7251" t="str">
        <f>IF(Table1[[#This Row],[TIPO2]]="costo", VLOOKUP(Table1[[#This Row],[PARTIDA PRESUPUESTAL]],'Cost Report'!G:G,1,0),"Balance")</f>
        <v>2285-003</v>
      </c>
      <c r="AD7251" s="159">
        <f>+Table1[[#This Row],[SUBTOTAL]]+Table1[[#This Row],[IVA]]-Table1[[#This Row],[RET IVA]]-Table1[[#This Row],[RET ISR]]-Table1[[#This Row],[TOTAL]]</f>
        <v>0</v>
      </c>
      <c r="AK7251" s="306" t="str">
        <f>IF(ISNUMBER(Table1[[#This Row],[FECHA DE RECIBIDO]]), Table1[[#This Row],[FECHA DE RECIBIDO]]-DATE(2023,8,30), "")</f>
        <v/>
      </c>
    </row>
    <row r="7252" spans="1:37">
      <c r="A7252" s="172"/>
      <c r="B7252" s="178"/>
      <c r="C7252" s="179" t="s">
        <v>2455</v>
      </c>
      <c r="D7252">
        <v>4614</v>
      </c>
      <c r="E7252" s="125"/>
      <c r="F7252" s="178"/>
      <c r="G7252" s="178"/>
      <c r="H7252"/>
      <c r="I7252" s="178"/>
      <c r="J7252" s="320" t="s">
        <v>214</v>
      </c>
      <c r="K7252" s="178"/>
      <c r="L7252" s="125" t="s">
        <v>4863</v>
      </c>
      <c r="M7252">
        <v>215</v>
      </c>
      <c r="N7252" s="182"/>
      <c r="O7252">
        <v>3969</v>
      </c>
      <c r="P7252" s="176" t="s">
        <v>77</v>
      </c>
      <c r="Q7252" s="176">
        <v>41.174999999999997</v>
      </c>
      <c r="R7252" s="176"/>
      <c r="S7252" s="176"/>
      <c r="T7252" s="190"/>
      <c r="U7252" s="191"/>
      <c r="V7252" s="191">
        <f>+Table1[[#This Row],[SUBTOTAL]]+Table1[[#This Row],[IVA]]-Table1[[#This Row],[RET IVA]]-Table1[[#This Row],[RET ISR]]</f>
        <v>41.174999999999997</v>
      </c>
      <c r="W7252"/>
      <c r="X7252" s="186"/>
      <c r="Y7252" s="187"/>
      <c r="Z7252" s="311" t="s">
        <v>214</v>
      </c>
      <c r="AB7252" t="str">
        <f>IF(Table1[[#This Row],[TIPO2]]="costo", VLOOKUP(Table1[[#This Row],[PARTIDA PRESUPUESTAL]],'Cost Report'!G:G,1,0),"Balance")</f>
        <v>2285-003</v>
      </c>
      <c r="AD7252" s="159">
        <f>+Table1[[#This Row],[SUBTOTAL]]+Table1[[#This Row],[IVA]]-Table1[[#This Row],[RET IVA]]-Table1[[#This Row],[RET ISR]]-Table1[[#This Row],[TOTAL]]</f>
        <v>0</v>
      </c>
      <c r="AK7252" s="306" t="str">
        <f>IF(ISNUMBER(Table1[[#This Row],[FECHA DE RECIBIDO]]), Table1[[#This Row],[FECHA DE RECIBIDO]]-DATE(2023,8,30), "")</f>
        <v/>
      </c>
    </row>
    <row r="7253" spans="1:37">
      <c r="A7253" s="172"/>
      <c r="B7253" s="178"/>
      <c r="C7253" s="179" t="s">
        <v>2455</v>
      </c>
      <c r="D7253">
        <v>4614</v>
      </c>
      <c r="E7253" s="125"/>
      <c r="F7253" s="178"/>
      <c r="G7253" s="178"/>
      <c r="H7253"/>
      <c r="I7253" s="178"/>
      <c r="J7253" s="320" t="s">
        <v>214</v>
      </c>
      <c r="K7253" s="178"/>
      <c r="L7253" s="125" t="s">
        <v>4863</v>
      </c>
      <c r="M7253"/>
      <c r="N7253" s="182"/>
      <c r="O7253">
        <v>3970</v>
      </c>
      <c r="P7253" s="176" t="s">
        <v>77</v>
      </c>
      <c r="Q7253" s="176">
        <v>300</v>
      </c>
      <c r="R7253" s="176"/>
      <c r="S7253" s="176"/>
      <c r="T7253" s="190"/>
      <c r="U7253" s="191"/>
      <c r="V7253" s="191">
        <f>+Table1[[#This Row],[SUBTOTAL]]+Table1[[#This Row],[IVA]]-Table1[[#This Row],[RET IVA]]-Table1[[#This Row],[RET ISR]]</f>
        <v>300</v>
      </c>
      <c r="W7253"/>
      <c r="X7253" s="186"/>
      <c r="Y7253" s="187"/>
      <c r="Z7253" s="311" t="s">
        <v>214</v>
      </c>
      <c r="AB7253" t="str">
        <f>IF(Table1[[#This Row],[TIPO2]]="costo", VLOOKUP(Table1[[#This Row],[PARTIDA PRESUPUESTAL]],'Cost Report'!G:G,1,0),"Balance")</f>
        <v>2285-003</v>
      </c>
      <c r="AD7253" s="159">
        <f>+Table1[[#This Row],[SUBTOTAL]]+Table1[[#This Row],[IVA]]-Table1[[#This Row],[RET IVA]]-Table1[[#This Row],[RET ISR]]-Table1[[#This Row],[TOTAL]]</f>
        <v>0</v>
      </c>
      <c r="AK7253" s="306" t="str">
        <f>IF(ISNUMBER(Table1[[#This Row],[FECHA DE RECIBIDO]]), Table1[[#This Row],[FECHA DE RECIBIDO]]-DATE(2023,8,30), "")</f>
        <v/>
      </c>
    </row>
    <row r="7254" spans="1:37">
      <c r="A7254" s="172"/>
      <c r="B7254" s="178"/>
      <c r="C7254" s="179" t="s">
        <v>2616</v>
      </c>
      <c r="D7254">
        <v>4614</v>
      </c>
      <c r="E7254" s="125"/>
      <c r="F7254" s="178"/>
      <c r="G7254" s="178"/>
      <c r="H7254"/>
      <c r="I7254" s="178"/>
      <c r="J7254" s="320" t="s">
        <v>214</v>
      </c>
      <c r="K7254" s="178"/>
      <c r="L7254" s="125" t="s">
        <v>4863</v>
      </c>
      <c r="M7254">
        <v>383</v>
      </c>
      <c r="N7254" s="182"/>
      <c r="O7254">
        <v>3974</v>
      </c>
      <c r="P7254" s="176" t="s">
        <v>77</v>
      </c>
      <c r="Q7254" s="176">
        <v>9.2219999999999995</v>
      </c>
      <c r="R7254" s="176"/>
      <c r="S7254" s="176"/>
      <c r="T7254" s="190"/>
      <c r="U7254" s="191"/>
      <c r="V7254" s="191">
        <f>+Table1[[#This Row],[SUBTOTAL]]+Table1[[#This Row],[IVA]]-Table1[[#This Row],[RET IVA]]-Table1[[#This Row],[RET ISR]]</f>
        <v>9.2219999999999995</v>
      </c>
      <c r="W7254"/>
      <c r="X7254" s="186"/>
      <c r="Y7254" s="187"/>
      <c r="Z7254" s="311" t="s">
        <v>214</v>
      </c>
      <c r="AB7254" t="str">
        <f>IF(Table1[[#This Row],[TIPO2]]="costo", VLOOKUP(Table1[[#This Row],[PARTIDA PRESUPUESTAL]],'Cost Report'!G:G,1,0),"Balance")</f>
        <v>2808-003</v>
      </c>
      <c r="AD7254" s="159">
        <f>+Table1[[#This Row],[SUBTOTAL]]+Table1[[#This Row],[IVA]]-Table1[[#This Row],[RET IVA]]-Table1[[#This Row],[RET ISR]]-Table1[[#This Row],[TOTAL]]</f>
        <v>0</v>
      </c>
      <c r="AK7254" s="306" t="str">
        <f>IF(ISNUMBER(Table1[[#This Row],[FECHA DE RECIBIDO]]), Table1[[#This Row],[FECHA DE RECIBIDO]]-DATE(2023,8,30), "")</f>
        <v/>
      </c>
    </row>
    <row r="7255" spans="1:37">
      <c r="A7255" s="172"/>
      <c r="B7255" s="178"/>
      <c r="C7255" s="179" t="s">
        <v>2616</v>
      </c>
      <c r="D7255">
        <v>4614</v>
      </c>
      <c r="E7255" s="125"/>
      <c r="F7255" s="178"/>
      <c r="G7255" s="178"/>
      <c r="H7255"/>
      <c r="I7255" s="178"/>
      <c r="J7255" s="320" t="s">
        <v>214</v>
      </c>
      <c r="K7255" s="178"/>
      <c r="L7255" s="125" t="s">
        <v>4863</v>
      </c>
      <c r="M7255">
        <v>1390</v>
      </c>
      <c r="N7255" s="182"/>
      <c r="O7255">
        <v>3975</v>
      </c>
      <c r="P7255" s="176" t="s">
        <v>77</v>
      </c>
      <c r="Q7255" s="176">
        <v>15</v>
      </c>
      <c r="R7255" s="176"/>
      <c r="S7255" s="176"/>
      <c r="T7255" s="190"/>
      <c r="U7255" s="191"/>
      <c r="V7255" s="191">
        <f>+Table1[[#This Row],[SUBTOTAL]]+Table1[[#This Row],[IVA]]-Table1[[#This Row],[RET IVA]]-Table1[[#This Row],[RET ISR]]</f>
        <v>15</v>
      </c>
      <c r="W7255"/>
      <c r="X7255" s="186"/>
      <c r="Y7255" s="187"/>
      <c r="Z7255" s="311" t="s">
        <v>214</v>
      </c>
      <c r="AB7255" t="str">
        <f>IF(Table1[[#This Row],[TIPO2]]="costo", VLOOKUP(Table1[[#This Row],[PARTIDA PRESUPUESTAL]],'Cost Report'!G:G,1,0),"Balance")</f>
        <v>2808-003</v>
      </c>
      <c r="AD7255" s="159">
        <f>+Table1[[#This Row],[SUBTOTAL]]+Table1[[#This Row],[IVA]]-Table1[[#This Row],[RET IVA]]-Table1[[#This Row],[RET ISR]]-Table1[[#This Row],[TOTAL]]</f>
        <v>0</v>
      </c>
      <c r="AK7255" s="306" t="str">
        <f>IF(ISNUMBER(Table1[[#This Row],[FECHA DE RECIBIDO]]), Table1[[#This Row],[FECHA DE RECIBIDO]]-DATE(2023,8,30), "")</f>
        <v/>
      </c>
    </row>
    <row r="7256" spans="1:37">
      <c r="A7256" s="172"/>
      <c r="B7256" s="178"/>
      <c r="C7256" s="179" t="s">
        <v>2616</v>
      </c>
      <c r="D7256">
        <v>4614</v>
      </c>
      <c r="E7256" s="125"/>
      <c r="F7256" s="178"/>
      <c r="G7256" s="178"/>
      <c r="H7256"/>
      <c r="I7256" s="178"/>
      <c r="J7256" s="320" t="s">
        <v>214</v>
      </c>
      <c r="K7256" s="178"/>
      <c r="L7256" s="125" t="s">
        <v>4863</v>
      </c>
      <c r="M7256">
        <v>1390</v>
      </c>
      <c r="N7256" s="182"/>
      <c r="O7256">
        <v>3976</v>
      </c>
      <c r="P7256" s="176" t="s">
        <v>77</v>
      </c>
      <c r="Q7256" s="176">
        <v>15</v>
      </c>
      <c r="R7256" s="176"/>
      <c r="S7256" s="176"/>
      <c r="T7256" s="190"/>
      <c r="U7256" s="191"/>
      <c r="V7256" s="191">
        <f>+Table1[[#This Row],[SUBTOTAL]]+Table1[[#This Row],[IVA]]-Table1[[#This Row],[RET IVA]]-Table1[[#This Row],[RET ISR]]</f>
        <v>15</v>
      </c>
      <c r="W7256"/>
      <c r="X7256" s="186"/>
      <c r="Y7256" s="187"/>
      <c r="Z7256" s="311" t="s">
        <v>214</v>
      </c>
      <c r="AB7256" t="str">
        <f>IF(Table1[[#This Row],[TIPO2]]="costo", VLOOKUP(Table1[[#This Row],[PARTIDA PRESUPUESTAL]],'Cost Report'!G:G,1,0),"Balance")</f>
        <v>2808-003</v>
      </c>
      <c r="AD7256" s="159">
        <f>+Table1[[#This Row],[SUBTOTAL]]+Table1[[#This Row],[IVA]]-Table1[[#This Row],[RET IVA]]-Table1[[#This Row],[RET ISR]]-Table1[[#This Row],[TOTAL]]</f>
        <v>0</v>
      </c>
      <c r="AK7256" s="306" t="str">
        <f>IF(ISNUMBER(Table1[[#This Row],[FECHA DE RECIBIDO]]), Table1[[#This Row],[FECHA DE RECIBIDO]]-DATE(2023,8,30), "")</f>
        <v/>
      </c>
    </row>
    <row r="7257" spans="1:37">
      <c r="A7257" s="172"/>
      <c r="B7257" s="178"/>
      <c r="C7257" s="179" t="s">
        <v>2749</v>
      </c>
      <c r="D7257">
        <v>4614</v>
      </c>
      <c r="E7257" s="125"/>
      <c r="F7257" s="178"/>
      <c r="G7257" s="178"/>
      <c r="H7257"/>
      <c r="I7257" s="178"/>
      <c r="J7257" s="320" t="s">
        <v>214</v>
      </c>
      <c r="K7257" s="178"/>
      <c r="L7257" s="125" t="s">
        <v>4863</v>
      </c>
      <c r="M7257">
        <v>668</v>
      </c>
      <c r="N7257" s="182"/>
      <c r="O7257">
        <v>162</v>
      </c>
      <c r="P7257" s="176" t="s">
        <v>77</v>
      </c>
      <c r="Q7257" s="176">
        <v>9.2219999999999995</v>
      </c>
      <c r="R7257" s="176"/>
      <c r="S7257" s="176"/>
      <c r="T7257" s="190"/>
      <c r="U7257" s="191"/>
      <c r="V7257" s="191">
        <f>+Table1[[#This Row],[SUBTOTAL]]+Table1[[#This Row],[IVA]]-Table1[[#This Row],[RET IVA]]-Table1[[#This Row],[RET ISR]]</f>
        <v>9.2219999999999995</v>
      </c>
      <c r="W7257"/>
      <c r="X7257" s="186"/>
      <c r="Y7257" s="187"/>
      <c r="Z7257" s="311" t="s">
        <v>214</v>
      </c>
      <c r="AB7257" t="str">
        <f>IF(Table1[[#This Row],[TIPO2]]="costo", VLOOKUP(Table1[[#This Row],[PARTIDA PRESUPUESTAL]],'Cost Report'!G:G,1,0),"Balance")</f>
        <v>3401-011</v>
      </c>
      <c r="AD7257" s="159">
        <f>+Table1[[#This Row],[SUBTOTAL]]+Table1[[#This Row],[IVA]]-Table1[[#This Row],[RET IVA]]-Table1[[#This Row],[RET ISR]]-Table1[[#This Row],[TOTAL]]</f>
        <v>0</v>
      </c>
      <c r="AK7257" s="306" t="str">
        <f>IF(ISNUMBER(Table1[[#This Row],[FECHA DE RECIBIDO]]), Table1[[#This Row],[FECHA DE RECIBIDO]]-DATE(2023,8,30), "")</f>
        <v/>
      </c>
    </row>
    <row r="7258" spans="1:37">
      <c r="A7258" s="172"/>
      <c r="B7258" s="178"/>
      <c r="C7258" s="179" t="s">
        <v>977</v>
      </c>
      <c r="D7258">
        <v>4614</v>
      </c>
      <c r="E7258" s="125"/>
      <c r="F7258" s="178"/>
      <c r="G7258" s="178"/>
      <c r="H7258"/>
      <c r="I7258" s="178"/>
      <c r="J7258" s="320" t="s">
        <v>214</v>
      </c>
      <c r="K7258" s="178"/>
      <c r="L7258" s="125" t="s">
        <v>4863</v>
      </c>
      <c r="M7258">
        <v>1395</v>
      </c>
      <c r="N7258" s="182"/>
      <c r="O7258">
        <v>4000</v>
      </c>
      <c r="P7258" s="176" t="s">
        <v>77</v>
      </c>
      <c r="Q7258" s="176">
        <v>24</v>
      </c>
      <c r="R7258" s="176"/>
      <c r="S7258" s="176"/>
      <c r="T7258" s="190"/>
      <c r="U7258" s="191"/>
      <c r="V7258" s="191">
        <f>+Table1[[#This Row],[SUBTOTAL]]+Table1[[#This Row],[IVA]]-Table1[[#This Row],[RET IVA]]-Table1[[#This Row],[RET ISR]]</f>
        <v>24</v>
      </c>
      <c r="W7258"/>
      <c r="X7258" s="186"/>
      <c r="Y7258" s="187"/>
      <c r="Z7258" s="311" t="s">
        <v>214</v>
      </c>
      <c r="AB7258" t="str">
        <f>IF(Table1[[#This Row],[TIPO2]]="costo", VLOOKUP(Table1[[#This Row],[PARTIDA PRESUPUESTAL]],'Cost Report'!G:G,1,0),"Balance")</f>
        <v>3410-012</v>
      </c>
      <c r="AD7258" s="159">
        <f>+Table1[[#This Row],[SUBTOTAL]]+Table1[[#This Row],[IVA]]-Table1[[#This Row],[RET IVA]]-Table1[[#This Row],[RET ISR]]-Table1[[#This Row],[TOTAL]]</f>
        <v>0</v>
      </c>
      <c r="AK7258" s="306" t="str">
        <f>IF(ISNUMBER(Table1[[#This Row],[FECHA DE RECIBIDO]]), Table1[[#This Row],[FECHA DE RECIBIDO]]-DATE(2023,8,30), "")</f>
        <v/>
      </c>
    </row>
    <row r="7259" spans="1:37">
      <c r="A7259" s="172"/>
      <c r="B7259" s="178"/>
      <c r="C7259" s="179" t="s">
        <v>2860</v>
      </c>
      <c r="D7259">
        <v>4614</v>
      </c>
      <c r="E7259" s="125"/>
      <c r="F7259" s="178"/>
      <c r="G7259" s="178"/>
      <c r="H7259"/>
      <c r="I7259" s="178"/>
      <c r="J7259" s="320" t="s">
        <v>214</v>
      </c>
      <c r="K7259" s="178"/>
      <c r="L7259" s="125" t="s">
        <v>4863</v>
      </c>
      <c r="M7259">
        <v>1396</v>
      </c>
      <c r="N7259" s="182"/>
      <c r="O7259">
        <v>4001</v>
      </c>
      <c r="P7259" s="176" t="s">
        <v>77</v>
      </c>
      <c r="Q7259" s="176">
        <v>16.2</v>
      </c>
      <c r="R7259" s="176"/>
      <c r="S7259" s="176"/>
      <c r="T7259" s="190"/>
      <c r="U7259" s="191"/>
      <c r="V7259" s="191">
        <f>+Table1[[#This Row],[SUBTOTAL]]+Table1[[#This Row],[IVA]]-Table1[[#This Row],[RET IVA]]-Table1[[#This Row],[RET ISR]]</f>
        <v>16.2</v>
      </c>
      <c r="W7259"/>
      <c r="X7259" s="186"/>
      <c r="Y7259" s="187"/>
      <c r="Z7259" s="311" t="s">
        <v>214</v>
      </c>
      <c r="AB7259" t="str">
        <f>IF(Table1[[#This Row],[TIPO2]]="costo", VLOOKUP(Table1[[#This Row],[PARTIDA PRESUPUESTAL]],'Cost Report'!G:G,1,0),"Balance")</f>
        <v>3629-003</v>
      </c>
      <c r="AD7259" s="159">
        <f>+Table1[[#This Row],[SUBTOTAL]]+Table1[[#This Row],[IVA]]-Table1[[#This Row],[RET IVA]]-Table1[[#This Row],[RET ISR]]-Table1[[#This Row],[TOTAL]]</f>
        <v>0</v>
      </c>
      <c r="AK7259" s="306" t="str">
        <f>IF(ISNUMBER(Table1[[#This Row],[FECHA DE RECIBIDO]]), Table1[[#This Row],[FECHA DE RECIBIDO]]-DATE(2023,8,30), "")</f>
        <v/>
      </c>
    </row>
    <row r="7260" spans="1:37">
      <c r="A7260" s="172"/>
      <c r="B7260" s="178"/>
      <c r="C7260" s="179" t="s">
        <v>2860</v>
      </c>
      <c r="D7260">
        <v>4614</v>
      </c>
      <c r="E7260" s="125"/>
      <c r="F7260" s="178"/>
      <c r="G7260" s="178"/>
      <c r="H7260"/>
      <c r="I7260" s="178"/>
      <c r="J7260" s="320" t="s">
        <v>214</v>
      </c>
      <c r="K7260" s="178"/>
      <c r="L7260" s="125" t="s">
        <v>4863</v>
      </c>
      <c r="M7260">
        <v>667</v>
      </c>
      <c r="N7260" s="182"/>
      <c r="O7260">
        <v>4001</v>
      </c>
      <c r="P7260" s="176" t="s">
        <v>77</v>
      </c>
      <c r="Q7260" s="176">
        <v>30.9</v>
      </c>
      <c r="R7260" s="176"/>
      <c r="S7260" s="176"/>
      <c r="T7260" s="190"/>
      <c r="U7260" s="191"/>
      <c r="V7260" s="191">
        <f>+Table1[[#This Row],[SUBTOTAL]]+Table1[[#This Row],[IVA]]-Table1[[#This Row],[RET IVA]]-Table1[[#This Row],[RET ISR]]</f>
        <v>30.9</v>
      </c>
      <c r="W7260"/>
      <c r="X7260" s="186"/>
      <c r="Y7260" s="187"/>
      <c r="Z7260" s="311" t="s">
        <v>214</v>
      </c>
      <c r="AB7260" t="str">
        <f>IF(Table1[[#This Row],[TIPO2]]="costo", VLOOKUP(Table1[[#This Row],[PARTIDA PRESUPUESTAL]],'Cost Report'!G:G,1,0),"Balance")</f>
        <v>3629-003</v>
      </c>
      <c r="AD7260" s="159">
        <f>+Table1[[#This Row],[SUBTOTAL]]+Table1[[#This Row],[IVA]]-Table1[[#This Row],[RET IVA]]-Table1[[#This Row],[RET ISR]]-Table1[[#This Row],[TOTAL]]</f>
        <v>0</v>
      </c>
      <c r="AK7260" s="306" t="str">
        <f>IF(ISNUMBER(Table1[[#This Row],[FECHA DE RECIBIDO]]), Table1[[#This Row],[FECHA DE RECIBIDO]]-DATE(2023,8,30), "")</f>
        <v/>
      </c>
    </row>
    <row r="7261" spans="1:37">
      <c r="A7261" s="172"/>
      <c r="B7261" s="178"/>
      <c r="C7261" s="179" t="s">
        <v>2749</v>
      </c>
      <c r="D7261">
        <v>4614</v>
      </c>
      <c r="E7261" s="125"/>
      <c r="F7261" s="178"/>
      <c r="G7261" s="178"/>
      <c r="H7261"/>
      <c r="I7261" s="178"/>
      <c r="J7261" s="320" t="s">
        <v>214</v>
      </c>
      <c r="K7261" s="178"/>
      <c r="L7261" s="125" t="s">
        <v>4863</v>
      </c>
      <c r="M7261">
        <v>1371</v>
      </c>
      <c r="N7261" s="182"/>
      <c r="O7261">
        <v>162</v>
      </c>
      <c r="P7261" s="176" t="s">
        <v>77</v>
      </c>
      <c r="Q7261" s="176">
        <v>9.395999999999999</v>
      </c>
      <c r="R7261" s="176"/>
      <c r="S7261" s="176"/>
      <c r="T7261" s="190"/>
      <c r="U7261" s="191"/>
      <c r="V7261" s="191">
        <f>+Table1[[#This Row],[SUBTOTAL]]+Table1[[#This Row],[IVA]]-Table1[[#This Row],[RET IVA]]-Table1[[#This Row],[RET ISR]]</f>
        <v>9.395999999999999</v>
      </c>
      <c r="W7261"/>
      <c r="X7261" s="186"/>
      <c r="Y7261" s="187"/>
      <c r="Z7261" s="311" t="s">
        <v>214</v>
      </c>
      <c r="AB7261" t="str">
        <f>IF(Table1[[#This Row],[TIPO2]]="costo", VLOOKUP(Table1[[#This Row],[PARTIDA PRESUPUESTAL]],'Cost Report'!G:G,1,0),"Balance")</f>
        <v>3401-011</v>
      </c>
      <c r="AD7261" s="159">
        <f>+Table1[[#This Row],[SUBTOTAL]]+Table1[[#This Row],[IVA]]-Table1[[#This Row],[RET IVA]]-Table1[[#This Row],[RET ISR]]-Table1[[#This Row],[TOTAL]]</f>
        <v>0</v>
      </c>
      <c r="AK7261" s="306" t="str">
        <f>IF(ISNUMBER(Table1[[#This Row],[FECHA DE RECIBIDO]]), Table1[[#This Row],[FECHA DE RECIBIDO]]-DATE(2023,8,30), "")</f>
        <v/>
      </c>
    </row>
    <row r="7262" spans="1:37">
      <c r="A7262" s="172"/>
      <c r="B7262" s="178"/>
      <c r="C7262" s="179" t="s">
        <v>2749</v>
      </c>
      <c r="D7262">
        <v>4614</v>
      </c>
      <c r="E7262" s="125"/>
      <c r="F7262" s="178"/>
      <c r="G7262" s="178"/>
      <c r="H7262"/>
      <c r="I7262" s="178"/>
      <c r="J7262" s="320" t="s">
        <v>214</v>
      </c>
      <c r="K7262" s="178"/>
      <c r="L7262" s="125" t="s">
        <v>4863</v>
      </c>
      <c r="M7262">
        <v>1371</v>
      </c>
      <c r="N7262" s="182"/>
      <c r="O7262">
        <v>162</v>
      </c>
      <c r="P7262" s="176" t="s">
        <v>77</v>
      </c>
      <c r="Q7262" s="176">
        <v>9.395999999999999</v>
      </c>
      <c r="R7262" s="176"/>
      <c r="S7262" s="176"/>
      <c r="T7262" s="190"/>
      <c r="U7262" s="191"/>
      <c r="V7262" s="191">
        <f>+Table1[[#This Row],[SUBTOTAL]]+Table1[[#This Row],[IVA]]-Table1[[#This Row],[RET IVA]]-Table1[[#This Row],[RET ISR]]</f>
        <v>9.395999999999999</v>
      </c>
      <c r="W7262"/>
      <c r="X7262" s="186"/>
      <c r="Y7262" s="187"/>
      <c r="Z7262" s="311" t="s">
        <v>214</v>
      </c>
      <c r="AB7262" t="str">
        <f>IF(Table1[[#This Row],[TIPO2]]="costo", VLOOKUP(Table1[[#This Row],[PARTIDA PRESUPUESTAL]],'Cost Report'!G:G,1,0),"Balance")</f>
        <v>3401-011</v>
      </c>
      <c r="AD7262" s="159">
        <f>+Table1[[#This Row],[SUBTOTAL]]+Table1[[#This Row],[IVA]]-Table1[[#This Row],[RET IVA]]-Table1[[#This Row],[RET ISR]]-Table1[[#This Row],[TOTAL]]</f>
        <v>0</v>
      </c>
      <c r="AK7262" s="306" t="str">
        <f>IF(ISNUMBER(Table1[[#This Row],[FECHA DE RECIBIDO]]), Table1[[#This Row],[FECHA DE RECIBIDO]]-DATE(2023,8,30), "")</f>
        <v/>
      </c>
    </row>
    <row r="7263" spans="1:37">
      <c r="A7263" s="172"/>
      <c r="B7263" s="178"/>
      <c r="C7263" s="179" t="s">
        <v>2443</v>
      </c>
      <c r="D7263">
        <v>4614</v>
      </c>
      <c r="E7263" s="125"/>
      <c r="F7263" s="178"/>
      <c r="G7263" s="178"/>
      <c r="H7263"/>
      <c r="I7263" s="178"/>
      <c r="J7263" s="320" t="s">
        <v>214</v>
      </c>
      <c r="K7263" s="178"/>
      <c r="L7263" s="125" t="s">
        <v>4863</v>
      </c>
      <c r="M7263">
        <v>1397</v>
      </c>
      <c r="N7263" s="182"/>
      <c r="O7263">
        <v>4002</v>
      </c>
      <c r="P7263" s="176" t="s">
        <v>77</v>
      </c>
      <c r="Q7263" s="176">
        <v>556.79999999999995</v>
      </c>
      <c r="R7263" s="176"/>
      <c r="S7263" s="176"/>
      <c r="T7263" s="190"/>
      <c r="U7263" s="191"/>
      <c r="V7263" s="191">
        <f>+Table1[[#This Row],[SUBTOTAL]]+Table1[[#This Row],[IVA]]-Table1[[#This Row],[RET IVA]]-Table1[[#This Row],[RET ISR]]</f>
        <v>556.79999999999995</v>
      </c>
      <c r="W7263"/>
      <c r="X7263" s="186"/>
      <c r="Y7263" s="187"/>
      <c r="Z7263" s="311" t="s">
        <v>214</v>
      </c>
      <c r="AB7263" t="str">
        <f>IF(Table1[[#This Row],[TIPO2]]="costo", VLOOKUP(Table1[[#This Row],[PARTIDA PRESUPUESTAL]],'Cost Report'!G:G,1,0),"Balance")</f>
        <v>2080-003</v>
      </c>
      <c r="AD7263" s="159">
        <f>+Table1[[#This Row],[SUBTOTAL]]+Table1[[#This Row],[IVA]]-Table1[[#This Row],[RET IVA]]-Table1[[#This Row],[RET ISR]]-Table1[[#This Row],[TOTAL]]</f>
        <v>0</v>
      </c>
      <c r="AK7263" s="306" t="str">
        <f>IF(ISNUMBER(Table1[[#This Row],[FECHA DE RECIBIDO]]), Table1[[#This Row],[FECHA DE RECIBIDO]]-DATE(2023,8,30), "")</f>
        <v/>
      </c>
    </row>
    <row r="7264" spans="1:37">
      <c r="A7264" s="172"/>
      <c r="B7264" s="178"/>
      <c r="C7264" s="179" t="s">
        <v>2455</v>
      </c>
      <c r="D7264">
        <v>4614</v>
      </c>
      <c r="E7264" s="125"/>
      <c r="F7264" s="178"/>
      <c r="G7264" s="178"/>
      <c r="H7264"/>
      <c r="I7264" s="178"/>
      <c r="J7264" s="320" t="s">
        <v>214</v>
      </c>
      <c r="K7264" s="178"/>
      <c r="L7264" s="125" t="s">
        <v>4863</v>
      </c>
      <c r="M7264">
        <v>592</v>
      </c>
      <c r="N7264" s="182"/>
      <c r="O7264">
        <v>522</v>
      </c>
      <c r="P7264" s="176" t="s">
        <v>77</v>
      </c>
      <c r="Q7264" s="176">
        <v>10.44</v>
      </c>
      <c r="R7264" s="176"/>
      <c r="S7264" s="176"/>
      <c r="T7264" s="190"/>
      <c r="U7264" s="191"/>
      <c r="V7264" s="191">
        <f>+Table1[[#This Row],[SUBTOTAL]]+Table1[[#This Row],[IVA]]-Table1[[#This Row],[RET IVA]]-Table1[[#This Row],[RET ISR]]</f>
        <v>10.44</v>
      </c>
      <c r="W7264"/>
      <c r="X7264" s="186"/>
      <c r="Y7264" s="187"/>
      <c r="Z7264" s="311" t="s">
        <v>214</v>
      </c>
      <c r="AB7264" t="str">
        <f>IF(Table1[[#This Row],[TIPO2]]="costo", VLOOKUP(Table1[[#This Row],[PARTIDA PRESUPUESTAL]],'Cost Report'!G:G,1,0),"Balance")</f>
        <v>2285-003</v>
      </c>
      <c r="AD7264" s="159">
        <f>+Table1[[#This Row],[SUBTOTAL]]+Table1[[#This Row],[IVA]]-Table1[[#This Row],[RET IVA]]-Table1[[#This Row],[RET ISR]]-Table1[[#This Row],[TOTAL]]</f>
        <v>0</v>
      </c>
      <c r="AK7264" s="306" t="str">
        <f>IF(ISNUMBER(Table1[[#This Row],[FECHA DE RECIBIDO]]), Table1[[#This Row],[FECHA DE RECIBIDO]]-DATE(2023,8,30), "")</f>
        <v/>
      </c>
    </row>
    <row r="7265" spans="1:37">
      <c r="A7265" s="172"/>
      <c r="B7265" s="178"/>
      <c r="C7265" s="179" t="s">
        <v>2556</v>
      </c>
      <c r="D7265">
        <v>4614</v>
      </c>
      <c r="E7265" s="125"/>
      <c r="F7265" s="178"/>
      <c r="G7265" s="178"/>
      <c r="H7265"/>
      <c r="I7265" s="178"/>
      <c r="J7265" s="320" t="s">
        <v>214</v>
      </c>
      <c r="K7265" s="178"/>
      <c r="L7265" s="125" t="s">
        <v>4863</v>
      </c>
      <c r="M7265">
        <v>1418</v>
      </c>
      <c r="N7265" s="182"/>
      <c r="O7265">
        <v>4139</v>
      </c>
      <c r="P7265" s="176" t="s">
        <v>77</v>
      </c>
      <c r="Q7265" s="176">
        <v>75</v>
      </c>
      <c r="R7265" s="176"/>
      <c r="S7265" s="176"/>
      <c r="T7265" s="190"/>
      <c r="U7265" s="191"/>
      <c r="V7265" s="191">
        <f>+Table1[[#This Row],[SUBTOTAL]]+Table1[[#This Row],[IVA]]-Table1[[#This Row],[RET IVA]]-Table1[[#This Row],[RET ISR]]</f>
        <v>75</v>
      </c>
      <c r="W7265"/>
      <c r="X7265" s="186"/>
      <c r="Y7265" s="187"/>
      <c r="Z7265" s="311" t="s">
        <v>214</v>
      </c>
      <c r="AB7265" t="str">
        <f>IF(Table1[[#This Row],[TIPO2]]="costo", VLOOKUP(Table1[[#This Row],[PARTIDA PRESUPUESTAL]],'Cost Report'!G:G,1,0),"Balance")</f>
        <v>2498-003</v>
      </c>
      <c r="AD7265" s="159">
        <f>+Table1[[#This Row],[SUBTOTAL]]+Table1[[#This Row],[IVA]]-Table1[[#This Row],[RET IVA]]-Table1[[#This Row],[RET ISR]]-Table1[[#This Row],[TOTAL]]</f>
        <v>0</v>
      </c>
      <c r="AK7265" s="306" t="str">
        <f>IF(ISNUMBER(Table1[[#This Row],[FECHA DE RECIBIDO]]), Table1[[#This Row],[FECHA DE RECIBIDO]]-DATE(2023,8,30), "")</f>
        <v/>
      </c>
    </row>
    <row r="7266" spans="1:37">
      <c r="A7266" s="172"/>
      <c r="B7266" s="178"/>
      <c r="C7266" s="179" t="s">
        <v>2556</v>
      </c>
      <c r="D7266">
        <v>4614</v>
      </c>
      <c r="E7266" s="125"/>
      <c r="F7266" s="178"/>
      <c r="G7266" s="178"/>
      <c r="H7266"/>
      <c r="I7266" s="178"/>
      <c r="J7266" s="320" t="s">
        <v>214</v>
      </c>
      <c r="K7266" s="178"/>
      <c r="L7266" s="125" t="s">
        <v>4863</v>
      </c>
      <c r="M7266">
        <v>1423</v>
      </c>
      <c r="N7266" s="182"/>
      <c r="O7266">
        <v>4153</v>
      </c>
      <c r="P7266" s="176" t="s">
        <v>77</v>
      </c>
      <c r="Q7266" s="176">
        <v>54</v>
      </c>
      <c r="R7266" s="176"/>
      <c r="S7266" s="176"/>
      <c r="T7266" s="190"/>
      <c r="U7266" s="191"/>
      <c r="V7266" s="191">
        <f>+Table1[[#This Row],[SUBTOTAL]]+Table1[[#This Row],[IVA]]-Table1[[#This Row],[RET IVA]]-Table1[[#This Row],[RET ISR]]</f>
        <v>54</v>
      </c>
      <c r="W7266"/>
      <c r="X7266" s="186"/>
      <c r="Y7266" s="187"/>
      <c r="Z7266" s="311" t="s">
        <v>214</v>
      </c>
      <c r="AB7266" t="str">
        <f>IF(Table1[[#This Row],[TIPO2]]="costo", VLOOKUP(Table1[[#This Row],[PARTIDA PRESUPUESTAL]],'Cost Report'!G:G,1,0),"Balance")</f>
        <v>2498-003</v>
      </c>
      <c r="AD7266" s="159">
        <f>+Table1[[#This Row],[SUBTOTAL]]+Table1[[#This Row],[IVA]]-Table1[[#This Row],[RET IVA]]-Table1[[#This Row],[RET ISR]]-Table1[[#This Row],[TOTAL]]</f>
        <v>0</v>
      </c>
      <c r="AK7266" s="306" t="str">
        <f>IF(ISNUMBER(Table1[[#This Row],[FECHA DE RECIBIDO]]), Table1[[#This Row],[FECHA DE RECIBIDO]]-DATE(2023,8,30), "")</f>
        <v/>
      </c>
    </row>
    <row r="7267" spans="1:37">
      <c r="A7267" s="172"/>
      <c r="B7267" s="178"/>
      <c r="C7267" s="179" t="s">
        <v>2556</v>
      </c>
      <c r="D7267">
        <v>4614</v>
      </c>
      <c r="E7267" s="125"/>
      <c r="F7267" s="178"/>
      <c r="G7267" s="178"/>
      <c r="H7267"/>
      <c r="I7267" s="178"/>
      <c r="J7267" s="320" t="s">
        <v>214</v>
      </c>
      <c r="K7267" s="178"/>
      <c r="L7267" s="125" t="s">
        <v>4863</v>
      </c>
      <c r="M7267">
        <v>1424</v>
      </c>
      <c r="N7267" s="182"/>
      <c r="O7267">
        <v>4154</v>
      </c>
      <c r="P7267" s="176" t="s">
        <v>77</v>
      </c>
      <c r="Q7267" s="176">
        <v>237</v>
      </c>
      <c r="R7267" s="176"/>
      <c r="S7267" s="176"/>
      <c r="T7267" s="190"/>
      <c r="U7267" s="191"/>
      <c r="V7267" s="191">
        <f>+Table1[[#This Row],[SUBTOTAL]]+Table1[[#This Row],[IVA]]-Table1[[#This Row],[RET IVA]]-Table1[[#This Row],[RET ISR]]</f>
        <v>237</v>
      </c>
      <c r="W7267"/>
      <c r="X7267" s="186"/>
      <c r="Y7267" s="187"/>
      <c r="Z7267" s="311" t="s">
        <v>214</v>
      </c>
      <c r="AB7267" t="str">
        <f>IF(Table1[[#This Row],[TIPO2]]="costo", VLOOKUP(Table1[[#This Row],[PARTIDA PRESUPUESTAL]],'Cost Report'!G:G,1,0),"Balance")</f>
        <v>2498-003</v>
      </c>
      <c r="AD7267" s="159">
        <f>+Table1[[#This Row],[SUBTOTAL]]+Table1[[#This Row],[IVA]]-Table1[[#This Row],[RET IVA]]-Table1[[#This Row],[RET ISR]]-Table1[[#This Row],[TOTAL]]</f>
        <v>0</v>
      </c>
      <c r="AK7267" s="306" t="str">
        <f>IF(ISNUMBER(Table1[[#This Row],[FECHA DE RECIBIDO]]), Table1[[#This Row],[FECHA DE RECIBIDO]]-DATE(2023,8,30), "")</f>
        <v/>
      </c>
    </row>
    <row r="7268" spans="1:37">
      <c r="A7268" s="172"/>
      <c r="B7268" s="178"/>
      <c r="C7268" s="179" t="s">
        <v>2556</v>
      </c>
      <c r="D7268">
        <v>4614</v>
      </c>
      <c r="E7268" s="125"/>
      <c r="F7268" s="178"/>
      <c r="G7268" s="178"/>
      <c r="H7268"/>
      <c r="I7268" s="178"/>
      <c r="J7268" s="320" t="s">
        <v>214</v>
      </c>
      <c r="K7268" s="178"/>
      <c r="L7268" s="125" t="s">
        <v>4863</v>
      </c>
      <c r="M7268">
        <v>1425</v>
      </c>
      <c r="N7268" s="182"/>
      <c r="O7268">
        <v>4155</v>
      </c>
      <c r="P7268" s="176" t="s">
        <v>77</v>
      </c>
      <c r="Q7268" s="176">
        <v>105</v>
      </c>
      <c r="R7268" s="176"/>
      <c r="S7268" s="176"/>
      <c r="T7268" s="190"/>
      <c r="U7268" s="191"/>
      <c r="V7268" s="191">
        <f>+Table1[[#This Row],[SUBTOTAL]]+Table1[[#This Row],[IVA]]-Table1[[#This Row],[RET IVA]]-Table1[[#This Row],[RET ISR]]</f>
        <v>105</v>
      </c>
      <c r="W7268"/>
      <c r="X7268" s="186"/>
      <c r="Y7268" s="187"/>
      <c r="Z7268" s="311" t="s">
        <v>214</v>
      </c>
      <c r="AB7268" t="str">
        <f>IF(Table1[[#This Row],[TIPO2]]="costo", VLOOKUP(Table1[[#This Row],[PARTIDA PRESUPUESTAL]],'Cost Report'!G:G,1,0),"Balance")</f>
        <v>2498-003</v>
      </c>
      <c r="AD7268" s="159">
        <f>+Table1[[#This Row],[SUBTOTAL]]+Table1[[#This Row],[IVA]]-Table1[[#This Row],[RET IVA]]-Table1[[#This Row],[RET ISR]]-Table1[[#This Row],[TOTAL]]</f>
        <v>0</v>
      </c>
      <c r="AK7268" s="306" t="str">
        <f>IF(ISNUMBER(Table1[[#This Row],[FECHA DE RECIBIDO]]), Table1[[#This Row],[FECHA DE RECIBIDO]]-DATE(2023,8,30), "")</f>
        <v/>
      </c>
    </row>
    <row r="7269" spans="1:37">
      <c r="A7269" s="172"/>
      <c r="B7269" s="178"/>
      <c r="C7269" s="179" t="s">
        <v>2565</v>
      </c>
      <c r="D7269">
        <v>4614</v>
      </c>
      <c r="E7269" s="125"/>
      <c r="F7269" s="178"/>
      <c r="G7269" s="178"/>
      <c r="H7269"/>
      <c r="I7269" s="178"/>
      <c r="J7269" s="320" t="s">
        <v>214</v>
      </c>
      <c r="K7269" s="178"/>
      <c r="L7269" s="125" t="s">
        <v>4863</v>
      </c>
      <c r="M7269">
        <v>1426</v>
      </c>
      <c r="N7269" s="182"/>
      <c r="O7269">
        <v>3055</v>
      </c>
      <c r="P7269" s="176" t="s">
        <v>77</v>
      </c>
      <c r="Q7269" s="176">
        <v>39.6</v>
      </c>
      <c r="R7269" s="176"/>
      <c r="S7269" s="176"/>
      <c r="T7269" s="190"/>
      <c r="U7269" s="191"/>
      <c r="V7269" s="191">
        <f>+Table1[[#This Row],[SUBTOTAL]]+Table1[[#This Row],[IVA]]-Table1[[#This Row],[RET IVA]]-Table1[[#This Row],[RET ISR]]</f>
        <v>39.6</v>
      </c>
      <c r="W7269"/>
      <c r="X7269" s="186"/>
      <c r="Y7269" s="187"/>
      <c r="Z7269" s="311" t="s">
        <v>214</v>
      </c>
      <c r="AB7269" t="str">
        <f>IF(Table1[[#This Row],[TIPO2]]="costo", VLOOKUP(Table1[[#This Row],[PARTIDA PRESUPUESTAL]],'Cost Report'!G:G,1,0),"Balance")</f>
        <v>2585-003</v>
      </c>
      <c r="AD7269" s="159">
        <f>+Table1[[#This Row],[SUBTOTAL]]+Table1[[#This Row],[IVA]]-Table1[[#This Row],[RET IVA]]-Table1[[#This Row],[RET ISR]]-Table1[[#This Row],[TOTAL]]</f>
        <v>0</v>
      </c>
      <c r="AK7269" s="306" t="str">
        <f>IF(ISNUMBER(Table1[[#This Row],[FECHA DE RECIBIDO]]), Table1[[#This Row],[FECHA DE RECIBIDO]]-DATE(2023,8,30), "")</f>
        <v/>
      </c>
    </row>
    <row r="7270" spans="1:37">
      <c r="A7270" s="172"/>
      <c r="B7270" s="178"/>
      <c r="C7270" s="179" t="s">
        <v>2565</v>
      </c>
      <c r="D7270">
        <v>4614</v>
      </c>
      <c r="E7270" s="125"/>
      <c r="F7270" s="178"/>
      <c r="G7270" s="178"/>
      <c r="H7270"/>
      <c r="I7270" s="178"/>
      <c r="J7270" s="320" t="s">
        <v>214</v>
      </c>
      <c r="K7270" s="178"/>
      <c r="L7270" s="125" t="s">
        <v>4863</v>
      </c>
      <c r="M7270">
        <v>1426</v>
      </c>
      <c r="N7270" s="182"/>
      <c r="O7270">
        <v>3055</v>
      </c>
      <c r="P7270" s="176" t="s">
        <v>77</v>
      </c>
      <c r="Q7270" s="176">
        <v>14.399999999999999</v>
      </c>
      <c r="R7270" s="176"/>
      <c r="S7270" s="176"/>
      <c r="T7270" s="190"/>
      <c r="U7270" s="191"/>
      <c r="V7270" s="191">
        <f>+Table1[[#This Row],[SUBTOTAL]]+Table1[[#This Row],[IVA]]-Table1[[#This Row],[RET IVA]]-Table1[[#This Row],[RET ISR]]</f>
        <v>14.399999999999999</v>
      </c>
      <c r="W7270"/>
      <c r="X7270" s="186"/>
      <c r="Y7270" s="187"/>
      <c r="Z7270" s="311" t="s">
        <v>214</v>
      </c>
      <c r="AB7270" t="str">
        <f>IF(Table1[[#This Row],[TIPO2]]="costo", VLOOKUP(Table1[[#This Row],[PARTIDA PRESUPUESTAL]],'Cost Report'!G:G,1,0),"Balance")</f>
        <v>2585-003</v>
      </c>
      <c r="AD7270" s="159">
        <f>+Table1[[#This Row],[SUBTOTAL]]+Table1[[#This Row],[IVA]]-Table1[[#This Row],[RET IVA]]-Table1[[#This Row],[RET ISR]]-Table1[[#This Row],[TOTAL]]</f>
        <v>0</v>
      </c>
      <c r="AK7270" s="306" t="str">
        <f>IF(ISNUMBER(Table1[[#This Row],[FECHA DE RECIBIDO]]), Table1[[#This Row],[FECHA DE RECIBIDO]]-DATE(2023,8,30), "")</f>
        <v/>
      </c>
    </row>
    <row r="7271" spans="1:37">
      <c r="A7271" s="172"/>
      <c r="B7271" s="178"/>
      <c r="C7271" s="179" t="s">
        <v>2565</v>
      </c>
      <c r="D7271">
        <v>4614</v>
      </c>
      <c r="E7271" s="125"/>
      <c r="F7271" s="178"/>
      <c r="G7271" s="178"/>
      <c r="H7271"/>
      <c r="I7271" s="178"/>
      <c r="J7271" s="320" t="s">
        <v>214</v>
      </c>
      <c r="K7271" s="178"/>
      <c r="L7271" s="125" t="s">
        <v>4863</v>
      </c>
      <c r="M7271">
        <v>850</v>
      </c>
      <c r="N7271" s="182"/>
      <c r="O7271">
        <v>3055</v>
      </c>
      <c r="P7271" s="176" t="s">
        <v>77</v>
      </c>
      <c r="Q7271" s="176">
        <v>28.5</v>
      </c>
      <c r="R7271" s="176"/>
      <c r="S7271" s="176"/>
      <c r="T7271" s="190"/>
      <c r="U7271" s="191"/>
      <c r="V7271" s="191">
        <f>+Table1[[#This Row],[SUBTOTAL]]+Table1[[#This Row],[IVA]]-Table1[[#This Row],[RET IVA]]-Table1[[#This Row],[RET ISR]]</f>
        <v>28.5</v>
      </c>
      <c r="W7271"/>
      <c r="X7271" s="186"/>
      <c r="Y7271" s="187"/>
      <c r="Z7271" s="311" t="s">
        <v>214</v>
      </c>
      <c r="AB7271" t="str">
        <f>IF(Table1[[#This Row],[TIPO2]]="costo", VLOOKUP(Table1[[#This Row],[PARTIDA PRESUPUESTAL]],'Cost Report'!G:G,1,0),"Balance")</f>
        <v>2585-003</v>
      </c>
      <c r="AD7271" s="159">
        <f>+Table1[[#This Row],[SUBTOTAL]]+Table1[[#This Row],[IVA]]-Table1[[#This Row],[RET IVA]]-Table1[[#This Row],[RET ISR]]-Table1[[#This Row],[TOTAL]]</f>
        <v>0</v>
      </c>
      <c r="AK7271" s="306" t="str">
        <f>IF(ISNUMBER(Table1[[#This Row],[FECHA DE RECIBIDO]]), Table1[[#This Row],[FECHA DE RECIBIDO]]-DATE(2023,8,30), "")</f>
        <v/>
      </c>
    </row>
    <row r="7272" spans="1:37">
      <c r="A7272" s="172"/>
      <c r="B7272" s="178"/>
      <c r="C7272" s="179" t="s">
        <v>2455</v>
      </c>
      <c r="D7272">
        <v>4614</v>
      </c>
      <c r="E7272" s="125"/>
      <c r="F7272" s="178"/>
      <c r="G7272" s="178"/>
      <c r="H7272"/>
      <c r="I7272" s="178"/>
      <c r="J7272" s="320" t="s">
        <v>214</v>
      </c>
      <c r="K7272" s="178"/>
      <c r="L7272" s="125" t="s">
        <v>4863</v>
      </c>
      <c r="M7272">
        <v>1427</v>
      </c>
      <c r="N7272" s="182"/>
      <c r="O7272">
        <v>3458</v>
      </c>
      <c r="P7272" s="176" t="s">
        <v>77</v>
      </c>
      <c r="Q7272" s="176">
        <v>10.44</v>
      </c>
      <c r="R7272" s="176"/>
      <c r="S7272" s="176"/>
      <c r="T7272" s="190"/>
      <c r="U7272" s="191"/>
      <c r="V7272" s="191">
        <f>+Table1[[#This Row],[SUBTOTAL]]+Table1[[#This Row],[IVA]]-Table1[[#This Row],[RET IVA]]-Table1[[#This Row],[RET ISR]]</f>
        <v>10.44</v>
      </c>
      <c r="W7272"/>
      <c r="X7272" s="186"/>
      <c r="Y7272" s="187"/>
      <c r="Z7272" s="311" t="s">
        <v>214</v>
      </c>
      <c r="AB7272" t="str">
        <f>IF(Table1[[#This Row],[TIPO2]]="costo", VLOOKUP(Table1[[#This Row],[PARTIDA PRESUPUESTAL]],'Cost Report'!G:G,1,0),"Balance")</f>
        <v>2285-003</v>
      </c>
      <c r="AD7272" s="159">
        <f>+Table1[[#This Row],[SUBTOTAL]]+Table1[[#This Row],[IVA]]-Table1[[#This Row],[RET IVA]]-Table1[[#This Row],[RET ISR]]-Table1[[#This Row],[TOTAL]]</f>
        <v>0</v>
      </c>
      <c r="AK7272" s="306" t="str">
        <f>IF(ISNUMBER(Table1[[#This Row],[FECHA DE RECIBIDO]]), Table1[[#This Row],[FECHA DE RECIBIDO]]-DATE(2023,8,30), "")</f>
        <v/>
      </c>
    </row>
    <row r="7273" spans="1:37">
      <c r="A7273" s="172"/>
      <c r="B7273" s="178"/>
      <c r="C7273" s="179" t="s">
        <v>2556</v>
      </c>
      <c r="D7273">
        <v>4614</v>
      </c>
      <c r="E7273" s="125"/>
      <c r="F7273" s="178"/>
      <c r="G7273" s="178"/>
      <c r="H7273"/>
      <c r="I7273" s="178"/>
      <c r="J7273" s="320" t="s">
        <v>214</v>
      </c>
      <c r="K7273" s="178"/>
      <c r="L7273" s="125" t="s">
        <v>4863</v>
      </c>
      <c r="M7273">
        <v>1428</v>
      </c>
      <c r="N7273" s="182"/>
      <c r="O7273">
        <v>4156</v>
      </c>
      <c r="P7273" s="176" t="s">
        <v>77</v>
      </c>
      <c r="Q7273" s="176">
        <v>78.3</v>
      </c>
      <c r="R7273" s="176"/>
      <c r="S7273" s="176"/>
      <c r="T7273" s="190"/>
      <c r="U7273" s="191"/>
      <c r="V7273" s="191">
        <f>+Table1[[#This Row],[SUBTOTAL]]+Table1[[#This Row],[IVA]]-Table1[[#This Row],[RET IVA]]-Table1[[#This Row],[RET ISR]]</f>
        <v>78.3</v>
      </c>
      <c r="W7273"/>
      <c r="X7273" s="186"/>
      <c r="Y7273" s="187"/>
      <c r="Z7273" s="311" t="s">
        <v>214</v>
      </c>
      <c r="AB7273" t="str">
        <f>IF(Table1[[#This Row],[TIPO2]]="costo", VLOOKUP(Table1[[#This Row],[PARTIDA PRESUPUESTAL]],'Cost Report'!G:G,1,0),"Balance")</f>
        <v>2498-003</v>
      </c>
      <c r="AD7273" s="159">
        <f>+Table1[[#This Row],[SUBTOTAL]]+Table1[[#This Row],[IVA]]-Table1[[#This Row],[RET IVA]]-Table1[[#This Row],[RET ISR]]-Table1[[#This Row],[TOTAL]]</f>
        <v>0</v>
      </c>
      <c r="AK7273" s="306" t="str">
        <f>IF(ISNUMBER(Table1[[#This Row],[FECHA DE RECIBIDO]]), Table1[[#This Row],[FECHA DE RECIBIDO]]-DATE(2023,8,30), "")</f>
        <v/>
      </c>
    </row>
    <row r="7274" spans="1:37">
      <c r="A7274" s="172"/>
      <c r="B7274" s="178"/>
      <c r="C7274" s="179" t="s">
        <v>2556</v>
      </c>
      <c r="D7274">
        <v>4614</v>
      </c>
      <c r="E7274" s="125"/>
      <c r="F7274" s="178"/>
      <c r="G7274" s="178"/>
      <c r="H7274"/>
      <c r="I7274" s="178"/>
      <c r="J7274" s="320" t="s">
        <v>214</v>
      </c>
      <c r="K7274" s="178"/>
      <c r="L7274" s="125" t="s">
        <v>4863</v>
      </c>
      <c r="M7274">
        <v>1418</v>
      </c>
      <c r="N7274" s="182"/>
      <c r="O7274">
        <v>4157</v>
      </c>
      <c r="P7274" s="176" t="s">
        <v>77</v>
      </c>
      <c r="Q7274" s="176">
        <v>225</v>
      </c>
      <c r="R7274" s="176"/>
      <c r="S7274" s="176"/>
      <c r="T7274" s="190"/>
      <c r="U7274" s="191"/>
      <c r="V7274" s="191">
        <f>+Table1[[#This Row],[SUBTOTAL]]+Table1[[#This Row],[IVA]]-Table1[[#This Row],[RET IVA]]-Table1[[#This Row],[RET ISR]]</f>
        <v>225</v>
      </c>
      <c r="W7274"/>
      <c r="X7274" s="186"/>
      <c r="Y7274" s="187"/>
      <c r="Z7274" s="311" t="s">
        <v>214</v>
      </c>
      <c r="AB7274" t="str">
        <f>IF(Table1[[#This Row],[TIPO2]]="costo", VLOOKUP(Table1[[#This Row],[PARTIDA PRESUPUESTAL]],'Cost Report'!G:G,1,0),"Balance")</f>
        <v>2498-003</v>
      </c>
      <c r="AD7274" s="159">
        <f>+Table1[[#This Row],[SUBTOTAL]]+Table1[[#This Row],[IVA]]-Table1[[#This Row],[RET IVA]]-Table1[[#This Row],[RET ISR]]-Table1[[#This Row],[TOTAL]]</f>
        <v>0</v>
      </c>
      <c r="AK7274" s="306" t="str">
        <f>IF(ISNUMBER(Table1[[#This Row],[FECHA DE RECIBIDO]]), Table1[[#This Row],[FECHA DE RECIBIDO]]-DATE(2023,8,30), "")</f>
        <v/>
      </c>
    </row>
    <row r="7275" spans="1:37">
      <c r="A7275" s="172"/>
      <c r="B7275" s="178"/>
      <c r="C7275" s="179" t="s">
        <v>2455</v>
      </c>
      <c r="D7275">
        <v>4614</v>
      </c>
      <c r="E7275" s="125"/>
      <c r="F7275" s="178"/>
      <c r="G7275" s="178"/>
      <c r="H7275"/>
      <c r="I7275" s="178"/>
      <c r="J7275" s="320" t="s">
        <v>214</v>
      </c>
      <c r="K7275" s="178"/>
      <c r="L7275" s="125" t="s">
        <v>4863</v>
      </c>
      <c r="M7275">
        <v>1429</v>
      </c>
      <c r="N7275" s="182"/>
      <c r="O7275">
        <v>4158</v>
      </c>
      <c r="P7275" s="176" t="s">
        <v>77</v>
      </c>
      <c r="Q7275" s="176">
        <v>180</v>
      </c>
      <c r="R7275" s="176"/>
      <c r="S7275" s="176"/>
      <c r="T7275" s="190"/>
      <c r="U7275" s="191"/>
      <c r="V7275" s="191">
        <f>+Table1[[#This Row],[SUBTOTAL]]+Table1[[#This Row],[IVA]]-Table1[[#This Row],[RET IVA]]-Table1[[#This Row],[RET ISR]]</f>
        <v>180</v>
      </c>
      <c r="W7275"/>
      <c r="X7275" s="186"/>
      <c r="Y7275" s="187"/>
      <c r="Z7275" s="311" t="s">
        <v>214</v>
      </c>
      <c r="AB7275" t="str">
        <f>IF(Table1[[#This Row],[TIPO2]]="costo", VLOOKUP(Table1[[#This Row],[PARTIDA PRESUPUESTAL]],'Cost Report'!G:G,1,0),"Balance")</f>
        <v>2285-003</v>
      </c>
      <c r="AD7275" s="159">
        <f>+Table1[[#This Row],[SUBTOTAL]]+Table1[[#This Row],[IVA]]-Table1[[#This Row],[RET IVA]]-Table1[[#This Row],[RET ISR]]-Table1[[#This Row],[TOTAL]]</f>
        <v>0</v>
      </c>
      <c r="AK7275" s="306" t="str">
        <f>IF(ISNUMBER(Table1[[#This Row],[FECHA DE RECIBIDO]]), Table1[[#This Row],[FECHA DE RECIBIDO]]-DATE(2023,8,30), "")</f>
        <v/>
      </c>
    </row>
    <row r="7276" spans="1:37">
      <c r="A7276" s="172"/>
      <c r="B7276" s="178"/>
      <c r="C7276" s="179" t="s">
        <v>2556</v>
      </c>
      <c r="D7276">
        <v>4614</v>
      </c>
      <c r="E7276" s="125"/>
      <c r="F7276" s="178"/>
      <c r="G7276" s="178"/>
      <c r="H7276"/>
      <c r="I7276" s="178"/>
      <c r="J7276" s="320" t="s">
        <v>214</v>
      </c>
      <c r="K7276" s="178"/>
      <c r="L7276" s="125" t="s">
        <v>4863</v>
      </c>
      <c r="M7276">
        <v>1418</v>
      </c>
      <c r="N7276" s="182"/>
      <c r="O7276">
        <v>4159</v>
      </c>
      <c r="P7276" s="176" t="s">
        <v>77</v>
      </c>
      <c r="Q7276" s="176">
        <v>40.5</v>
      </c>
      <c r="R7276" s="176"/>
      <c r="S7276" s="176"/>
      <c r="T7276" s="190"/>
      <c r="U7276" s="191"/>
      <c r="V7276" s="191">
        <f>+Table1[[#This Row],[SUBTOTAL]]+Table1[[#This Row],[IVA]]-Table1[[#This Row],[RET IVA]]-Table1[[#This Row],[RET ISR]]</f>
        <v>40.5</v>
      </c>
      <c r="W7276"/>
      <c r="X7276" s="186"/>
      <c r="Y7276" s="187"/>
      <c r="Z7276" s="311" t="s">
        <v>214</v>
      </c>
      <c r="AB7276" t="str">
        <f>IF(Table1[[#This Row],[TIPO2]]="costo", VLOOKUP(Table1[[#This Row],[PARTIDA PRESUPUESTAL]],'Cost Report'!G:G,1,0),"Balance")</f>
        <v>2498-003</v>
      </c>
      <c r="AD7276" s="159">
        <f>+Table1[[#This Row],[SUBTOTAL]]+Table1[[#This Row],[IVA]]-Table1[[#This Row],[RET IVA]]-Table1[[#This Row],[RET ISR]]-Table1[[#This Row],[TOTAL]]</f>
        <v>0</v>
      </c>
      <c r="AK7276" s="306" t="str">
        <f>IF(ISNUMBER(Table1[[#This Row],[FECHA DE RECIBIDO]]), Table1[[#This Row],[FECHA DE RECIBIDO]]-DATE(2023,8,30), "")</f>
        <v/>
      </c>
    </row>
    <row r="7277" spans="1:37">
      <c r="A7277" s="172"/>
      <c r="B7277" s="178"/>
      <c r="C7277" s="179" t="s">
        <v>2461</v>
      </c>
      <c r="D7277">
        <v>4614</v>
      </c>
      <c r="E7277" s="125"/>
      <c r="F7277" s="178"/>
      <c r="G7277" s="178"/>
      <c r="H7277"/>
      <c r="I7277" s="178"/>
      <c r="J7277" s="320" t="s">
        <v>214</v>
      </c>
      <c r="K7277" s="178"/>
      <c r="L7277" s="125" t="s">
        <v>4863</v>
      </c>
      <c r="M7277">
        <v>1433</v>
      </c>
      <c r="N7277" s="182"/>
      <c r="O7277">
        <v>4164</v>
      </c>
      <c r="P7277" s="176" t="s">
        <v>77</v>
      </c>
      <c r="Q7277" s="176">
        <v>14.585999999999999</v>
      </c>
      <c r="R7277" s="176"/>
      <c r="S7277" s="176"/>
      <c r="T7277" s="190"/>
      <c r="U7277" s="191"/>
      <c r="V7277" s="191">
        <f>+Table1[[#This Row],[SUBTOTAL]]+Table1[[#This Row],[IVA]]-Table1[[#This Row],[RET IVA]]-Table1[[#This Row],[RET ISR]]</f>
        <v>14.585999999999999</v>
      </c>
      <c r="W7277"/>
      <c r="X7277" s="186"/>
      <c r="Y7277" s="187"/>
      <c r="Z7277" s="311" t="s">
        <v>214</v>
      </c>
      <c r="AB7277" t="str">
        <f>IF(Table1[[#This Row],[TIPO2]]="costo", VLOOKUP(Table1[[#This Row],[PARTIDA PRESUPUESTAL]],'Cost Report'!G:G,1,0),"Balance")</f>
        <v>2385-003</v>
      </c>
      <c r="AD7277" s="159">
        <f>+Table1[[#This Row],[SUBTOTAL]]+Table1[[#This Row],[IVA]]-Table1[[#This Row],[RET IVA]]-Table1[[#This Row],[RET ISR]]-Table1[[#This Row],[TOTAL]]</f>
        <v>0</v>
      </c>
      <c r="AK7277" s="306" t="str">
        <f>IF(ISNUMBER(Table1[[#This Row],[FECHA DE RECIBIDO]]), Table1[[#This Row],[FECHA DE RECIBIDO]]-DATE(2023,8,30), "")</f>
        <v/>
      </c>
    </row>
    <row r="7278" spans="1:37">
      <c r="A7278" s="172"/>
      <c r="B7278" s="178"/>
      <c r="C7278" s="179" t="s">
        <v>1505</v>
      </c>
      <c r="D7278">
        <v>4614</v>
      </c>
      <c r="E7278" s="125"/>
      <c r="F7278" s="178"/>
      <c r="G7278" s="178"/>
      <c r="H7278"/>
      <c r="I7278" s="178"/>
      <c r="J7278" s="320" t="s">
        <v>214</v>
      </c>
      <c r="K7278" s="178"/>
      <c r="L7278" s="125" t="s">
        <v>4863</v>
      </c>
      <c r="M7278">
        <v>1434</v>
      </c>
      <c r="N7278" s="182"/>
      <c r="O7278">
        <v>4165</v>
      </c>
      <c r="P7278" s="176" t="s">
        <v>77</v>
      </c>
      <c r="Q7278" s="176">
        <v>3423.2370000000001</v>
      </c>
      <c r="R7278" s="176"/>
      <c r="S7278" s="176"/>
      <c r="T7278" s="190"/>
      <c r="U7278" s="191"/>
      <c r="V7278" s="191">
        <f>+Table1[[#This Row],[SUBTOTAL]]+Table1[[#This Row],[IVA]]-Table1[[#This Row],[RET IVA]]-Table1[[#This Row],[RET ISR]]</f>
        <v>3423.2370000000001</v>
      </c>
      <c r="W7278"/>
      <c r="X7278" s="186"/>
      <c r="Y7278" s="187"/>
      <c r="Z7278" s="311" t="s">
        <v>214</v>
      </c>
      <c r="AB7278" t="str">
        <f>IF(Table1[[#This Row],[TIPO2]]="costo", VLOOKUP(Table1[[#This Row],[PARTIDA PRESUPUESTAL]],'Cost Report'!G:G,1,0),"Balance")</f>
        <v>2494-003</v>
      </c>
      <c r="AD7278" s="159">
        <f>+Table1[[#This Row],[SUBTOTAL]]+Table1[[#This Row],[IVA]]-Table1[[#This Row],[RET IVA]]-Table1[[#This Row],[RET ISR]]-Table1[[#This Row],[TOTAL]]</f>
        <v>0</v>
      </c>
      <c r="AK7278" s="306" t="str">
        <f>IF(ISNUMBER(Table1[[#This Row],[FECHA DE RECIBIDO]]), Table1[[#This Row],[FECHA DE RECIBIDO]]-DATE(2023,8,30), "")</f>
        <v/>
      </c>
    </row>
    <row r="7279" spans="1:37">
      <c r="A7279" s="172"/>
      <c r="B7279" s="178"/>
      <c r="C7279" s="179" t="s">
        <v>977</v>
      </c>
      <c r="D7279">
        <v>4614</v>
      </c>
      <c r="E7279" s="125"/>
      <c r="F7279" s="178"/>
      <c r="G7279" s="178"/>
      <c r="H7279"/>
      <c r="I7279" s="178"/>
      <c r="J7279" s="320" t="s">
        <v>214</v>
      </c>
      <c r="K7279" s="178"/>
      <c r="L7279" s="125" t="s">
        <v>4863</v>
      </c>
      <c r="M7279">
        <v>1441</v>
      </c>
      <c r="N7279" s="182"/>
      <c r="O7279">
        <v>4175</v>
      </c>
      <c r="P7279" s="176" t="s">
        <v>77</v>
      </c>
      <c r="Q7279" s="176">
        <v>320.09999999999997</v>
      </c>
      <c r="R7279" s="176"/>
      <c r="S7279" s="176"/>
      <c r="T7279" s="190"/>
      <c r="U7279" s="191"/>
      <c r="V7279" s="191">
        <f>+Table1[[#This Row],[SUBTOTAL]]+Table1[[#This Row],[IVA]]-Table1[[#This Row],[RET IVA]]-Table1[[#This Row],[RET ISR]]</f>
        <v>320.09999999999997</v>
      </c>
      <c r="W7279"/>
      <c r="X7279" s="186"/>
      <c r="Y7279" s="187"/>
      <c r="Z7279" s="311" t="s">
        <v>214</v>
      </c>
      <c r="AB7279" t="str">
        <f>IF(Table1[[#This Row],[TIPO2]]="costo", VLOOKUP(Table1[[#This Row],[PARTIDA PRESUPUESTAL]],'Cost Report'!G:G,1,0),"Balance")</f>
        <v>3410-012</v>
      </c>
      <c r="AD7279" s="159">
        <f>+Table1[[#This Row],[SUBTOTAL]]+Table1[[#This Row],[IVA]]-Table1[[#This Row],[RET IVA]]-Table1[[#This Row],[RET ISR]]-Table1[[#This Row],[TOTAL]]</f>
        <v>0</v>
      </c>
      <c r="AK7279" s="306" t="str">
        <f>IF(ISNUMBER(Table1[[#This Row],[FECHA DE RECIBIDO]]), Table1[[#This Row],[FECHA DE RECIBIDO]]-DATE(2023,8,30), "")</f>
        <v/>
      </c>
    </row>
    <row r="7280" spans="1:37">
      <c r="A7280" s="172"/>
      <c r="B7280" s="178"/>
      <c r="C7280" s="179" t="s">
        <v>977</v>
      </c>
      <c r="D7280">
        <v>4614</v>
      </c>
      <c r="E7280" s="125"/>
      <c r="F7280" s="178"/>
      <c r="G7280" s="178"/>
      <c r="H7280"/>
      <c r="I7280" s="178"/>
      <c r="J7280" s="320" t="s">
        <v>214</v>
      </c>
      <c r="K7280" s="178"/>
      <c r="L7280" s="125" t="s">
        <v>4863</v>
      </c>
      <c r="M7280">
        <v>1442</v>
      </c>
      <c r="N7280" s="182"/>
      <c r="O7280">
        <v>4176</v>
      </c>
      <c r="P7280" s="176" t="s">
        <v>77</v>
      </c>
      <c r="Q7280" s="176">
        <v>470.27699999999993</v>
      </c>
      <c r="R7280" s="176"/>
      <c r="S7280" s="176"/>
      <c r="T7280" s="190"/>
      <c r="U7280" s="191"/>
      <c r="V7280" s="191">
        <f>+Table1[[#This Row],[SUBTOTAL]]+Table1[[#This Row],[IVA]]-Table1[[#This Row],[RET IVA]]-Table1[[#This Row],[RET ISR]]</f>
        <v>470.27699999999993</v>
      </c>
      <c r="W7280"/>
      <c r="X7280" s="186"/>
      <c r="Y7280" s="187"/>
      <c r="Z7280" s="311" t="s">
        <v>214</v>
      </c>
      <c r="AB7280" t="str">
        <f>IF(Table1[[#This Row],[TIPO2]]="costo", VLOOKUP(Table1[[#This Row],[PARTIDA PRESUPUESTAL]],'Cost Report'!G:G,1,0),"Balance")</f>
        <v>3410-012</v>
      </c>
      <c r="AD7280" s="159">
        <f>+Table1[[#This Row],[SUBTOTAL]]+Table1[[#This Row],[IVA]]-Table1[[#This Row],[RET IVA]]-Table1[[#This Row],[RET ISR]]-Table1[[#This Row],[TOTAL]]</f>
        <v>0</v>
      </c>
      <c r="AK7280" s="306" t="str">
        <f>IF(ISNUMBER(Table1[[#This Row],[FECHA DE RECIBIDO]]), Table1[[#This Row],[FECHA DE RECIBIDO]]-DATE(2023,8,30), "")</f>
        <v/>
      </c>
    </row>
    <row r="7281" spans="1:37">
      <c r="A7281" s="172"/>
      <c r="B7281" s="178"/>
      <c r="C7281" s="179" t="s">
        <v>936</v>
      </c>
      <c r="D7281">
        <v>4614</v>
      </c>
      <c r="E7281" s="125"/>
      <c r="F7281" s="178"/>
      <c r="G7281" s="178"/>
      <c r="H7281"/>
      <c r="I7281" s="178"/>
      <c r="J7281" s="320" t="s">
        <v>214</v>
      </c>
      <c r="K7281" s="178"/>
      <c r="L7281" s="125" t="s">
        <v>4863</v>
      </c>
      <c r="M7281">
        <v>1467</v>
      </c>
      <c r="N7281" s="182"/>
      <c r="O7281">
        <v>3016</v>
      </c>
      <c r="P7281" s="176" t="s">
        <v>77</v>
      </c>
      <c r="Q7281" s="176">
        <v>10.266</v>
      </c>
      <c r="R7281" s="176"/>
      <c r="S7281" s="176"/>
      <c r="T7281" s="190"/>
      <c r="U7281" s="191"/>
      <c r="V7281" s="191">
        <f>+Table1[[#This Row],[SUBTOTAL]]+Table1[[#This Row],[IVA]]-Table1[[#This Row],[RET IVA]]-Table1[[#This Row],[RET ISR]]</f>
        <v>10.266</v>
      </c>
      <c r="W7281"/>
      <c r="X7281" s="186"/>
      <c r="Y7281" s="187"/>
      <c r="Z7281" s="311" t="s">
        <v>214</v>
      </c>
      <c r="AB7281" t="str">
        <f>IF(Table1[[#This Row],[TIPO2]]="costo", VLOOKUP(Table1[[#This Row],[PARTIDA PRESUPUESTAL]],'Cost Report'!G:G,1,0),"Balance")</f>
        <v>3401-003</v>
      </c>
      <c r="AD7281" s="159">
        <f>+Table1[[#This Row],[SUBTOTAL]]+Table1[[#This Row],[IVA]]-Table1[[#This Row],[RET IVA]]-Table1[[#This Row],[RET ISR]]-Table1[[#This Row],[TOTAL]]</f>
        <v>0</v>
      </c>
      <c r="AK7281" s="306" t="str">
        <f>IF(ISNUMBER(Table1[[#This Row],[FECHA DE RECIBIDO]]), Table1[[#This Row],[FECHA DE RECIBIDO]]-DATE(2023,8,30), "")</f>
        <v/>
      </c>
    </row>
    <row r="7282" spans="1:37">
      <c r="A7282" s="172"/>
      <c r="B7282" s="178"/>
      <c r="C7282" s="179" t="s">
        <v>2774</v>
      </c>
      <c r="D7282">
        <v>4614</v>
      </c>
      <c r="E7282" s="125"/>
      <c r="F7282" s="178"/>
      <c r="G7282" s="178"/>
      <c r="H7282"/>
      <c r="I7282" s="178"/>
      <c r="J7282" s="320" t="s">
        <v>214</v>
      </c>
      <c r="K7282" s="178"/>
      <c r="L7282" s="125" t="s">
        <v>4863</v>
      </c>
      <c r="M7282">
        <v>1468</v>
      </c>
      <c r="N7282" s="182"/>
      <c r="O7282">
        <v>4193</v>
      </c>
      <c r="P7282" s="176" t="s">
        <v>77</v>
      </c>
      <c r="Q7282" s="176">
        <v>98.399999999999991</v>
      </c>
      <c r="R7282" s="176"/>
      <c r="S7282" s="176"/>
      <c r="T7282" s="190"/>
      <c r="U7282" s="191"/>
      <c r="V7282" s="191">
        <f>+Table1[[#This Row],[SUBTOTAL]]+Table1[[#This Row],[IVA]]-Table1[[#This Row],[RET IVA]]-Table1[[#This Row],[RET ISR]]</f>
        <v>98.399999999999991</v>
      </c>
      <c r="W7282"/>
      <c r="X7282" s="186"/>
      <c r="Y7282" s="187"/>
      <c r="Z7282" s="311" t="s">
        <v>214</v>
      </c>
      <c r="AB7282" t="str">
        <f>IF(Table1[[#This Row],[TIPO2]]="costo", VLOOKUP(Table1[[#This Row],[PARTIDA PRESUPUESTAL]],'Cost Report'!G:G,1,0),"Balance")</f>
        <v>3401-042</v>
      </c>
      <c r="AD7282" s="159">
        <f>+Table1[[#This Row],[SUBTOTAL]]+Table1[[#This Row],[IVA]]-Table1[[#This Row],[RET IVA]]-Table1[[#This Row],[RET ISR]]-Table1[[#This Row],[TOTAL]]</f>
        <v>0</v>
      </c>
      <c r="AK7282" s="306" t="str">
        <f>IF(ISNUMBER(Table1[[#This Row],[FECHA DE RECIBIDO]]), Table1[[#This Row],[FECHA DE RECIBIDO]]-DATE(2023,8,30), "")</f>
        <v/>
      </c>
    </row>
    <row r="7283" spans="1:37">
      <c r="A7283" s="172"/>
      <c r="B7283" s="178"/>
      <c r="C7283" s="179" t="s">
        <v>2596</v>
      </c>
      <c r="D7283">
        <v>4614</v>
      </c>
      <c r="E7283" s="125"/>
      <c r="F7283" s="178"/>
      <c r="G7283" s="178"/>
      <c r="H7283"/>
      <c r="I7283" s="178"/>
      <c r="J7283" s="320" t="s">
        <v>214</v>
      </c>
      <c r="K7283" s="178"/>
      <c r="L7283" s="125" t="s">
        <v>4863</v>
      </c>
      <c r="M7283">
        <v>1469</v>
      </c>
      <c r="N7283" s="182"/>
      <c r="O7283">
        <v>1573</v>
      </c>
      <c r="P7283" s="176" t="s">
        <v>77</v>
      </c>
      <c r="Q7283" s="176">
        <v>10.44</v>
      </c>
      <c r="R7283" s="176"/>
      <c r="S7283" s="176"/>
      <c r="T7283" s="190"/>
      <c r="U7283" s="191"/>
      <c r="V7283" s="191">
        <f>+Table1[[#This Row],[SUBTOTAL]]+Table1[[#This Row],[IVA]]-Table1[[#This Row],[RET IVA]]-Table1[[#This Row],[RET ISR]]</f>
        <v>10.44</v>
      </c>
      <c r="W7283"/>
      <c r="X7283" s="186"/>
      <c r="Y7283" s="187"/>
      <c r="Z7283" s="311" t="s">
        <v>214</v>
      </c>
      <c r="AB7283" t="str">
        <f>IF(Table1[[#This Row],[TIPO2]]="costo", VLOOKUP(Table1[[#This Row],[PARTIDA PRESUPUESTAL]],'Cost Report'!G:G,1,0),"Balance")</f>
        <v>2794-003</v>
      </c>
      <c r="AD7283" s="159">
        <f>+Table1[[#This Row],[SUBTOTAL]]+Table1[[#This Row],[IVA]]-Table1[[#This Row],[RET IVA]]-Table1[[#This Row],[RET ISR]]-Table1[[#This Row],[TOTAL]]</f>
        <v>0</v>
      </c>
      <c r="AK7283" s="306" t="str">
        <f>IF(ISNUMBER(Table1[[#This Row],[FECHA DE RECIBIDO]]), Table1[[#This Row],[FECHA DE RECIBIDO]]-DATE(2023,8,30), "")</f>
        <v/>
      </c>
    </row>
    <row r="7284" spans="1:37">
      <c r="A7284" s="172"/>
      <c r="B7284" s="178"/>
      <c r="C7284" s="179" t="s">
        <v>2596</v>
      </c>
      <c r="D7284">
        <v>4614</v>
      </c>
      <c r="E7284" s="125"/>
      <c r="F7284" s="178"/>
      <c r="G7284" s="178"/>
      <c r="H7284"/>
      <c r="I7284" s="178"/>
      <c r="J7284" s="320" t="s">
        <v>214</v>
      </c>
      <c r="K7284" s="178"/>
      <c r="L7284" s="125" t="s">
        <v>4863</v>
      </c>
      <c r="M7284">
        <v>1469</v>
      </c>
      <c r="N7284" s="182"/>
      <c r="O7284">
        <v>1573</v>
      </c>
      <c r="P7284" s="176" t="s">
        <v>77</v>
      </c>
      <c r="Q7284" s="176">
        <v>10.44</v>
      </c>
      <c r="R7284" s="176"/>
      <c r="S7284" s="176"/>
      <c r="T7284" s="190"/>
      <c r="U7284" s="191"/>
      <c r="V7284" s="191">
        <f>+Table1[[#This Row],[SUBTOTAL]]+Table1[[#This Row],[IVA]]-Table1[[#This Row],[RET IVA]]-Table1[[#This Row],[RET ISR]]</f>
        <v>10.44</v>
      </c>
      <c r="W7284"/>
      <c r="X7284" s="186"/>
      <c r="Y7284" s="187"/>
      <c r="Z7284" s="311" t="s">
        <v>214</v>
      </c>
      <c r="AB7284" t="str">
        <f>IF(Table1[[#This Row],[TIPO2]]="costo", VLOOKUP(Table1[[#This Row],[PARTIDA PRESUPUESTAL]],'Cost Report'!G:G,1,0),"Balance")</f>
        <v>2794-003</v>
      </c>
      <c r="AD7284" s="159">
        <f>+Table1[[#This Row],[SUBTOTAL]]+Table1[[#This Row],[IVA]]-Table1[[#This Row],[RET IVA]]-Table1[[#This Row],[RET ISR]]-Table1[[#This Row],[TOTAL]]</f>
        <v>0</v>
      </c>
      <c r="AK7284" s="306" t="str">
        <f>IF(ISNUMBER(Table1[[#This Row],[FECHA DE RECIBIDO]]), Table1[[#This Row],[FECHA DE RECIBIDO]]-DATE(2023,8,30), "")</f>
        <v/>
      </c>
    </row>
    <row r="7285" spans="1:37">
      <c r="A7285" s="172"/>
      <c r="B7285" s="178"/>
      <c r="C7285" s="179" t="s">
        <v>2596</v>
      </c>
      <c r="D7285">
        <v>4614</v>
      </c>
      <c r="E7285" s="125"/>
      <c r="F7285" s="178"/>
      <c r="G7285" s="178"/>
      <c r="H7285"/>
      <c r="I7285" s="178"/>
      <c r="J7285" s="320" t="s">
        <v>214</v>
      </c>
      <c r="K7285" s="178"/>
      <c r="L7285" s="125" t="s">
        <v>4863</v>
      </c>
      <c r="M7285">
        <v>1470</v>
      </c>
      <c r="N7285" s="182"/>
      <c r="O7285">
        <v>1573</v>
      </c>
      <c r="P7285" s="176" t="s">
        <v>77</v>
      </c>
      <c r="Q7285" s="176">
        <v>9.2219999999999995</v>
      </c>
      <c r="R7285" s="176"/>
      <c r="S7285" s="176"/>
      <c r="T7285" s="190"/>
      <c r="U7285" s="191"/>
      <c r="V7285" s="191">
        <f>+Table1[[#This Row],[SUBTOTAL]]+Table1[[#This Row],[IVA]]-Table1[[#This Row],[RET IVA]]-Table1[[#This Row],[RET ISR]]</f>
        <v>9.2219999999999995</v>
      </c>
      <c r="W7285"/>
      <c r="X7285" s="186"/>
      <c r="Y7285" s="187"/>
      <c r="Z7285" s="311" t="s">
        <v>214</v>
      </c>
      <c r="AB7285" t="str">
        <f>IF(Table1[[#This Row],[TIPO2]]="costo", VLOOKUP(Table1[[#This Row],[PARTIDA PRESUPUESTAL]],'Cost Report'!G:G,1,0),"Balance")</f>
        <v>2794-003</v>
      </c>
      <c r="AD7285" s="159">
        <f>+Table1[[#This Row],[SUBTOTAL]]+Table1[[#This Row],[IVA]]-Table1[[#This Row],[RET IVA]]-Table1[[#This Row],[RET ISR]]-Table1[[#This Row],[TOTAL]]</f>
        <v>0</v>
      </c>
      <c r="AK7285" s="306" t="str">
        <f>IF(ISNUMBER(Table1[[#This Row],[FECHA DE RECIBIDO]]), Table1[[#This Row],[FECHA DE RECIBIDO]]-DATE(2023,8,30), "")</f>
        <v/>
      </c>
    </row>
    <row r="7286" spans="1:37">
      <c r="A7286" s="172"/>
      <c r="B7286" s="178"/>
      <c r="C7286" s="179" t="s">
        <v>936</v>
      </c>
      <c r="D7286">
        <v>4614</v>
      </c>
      <c r="E7286" s="125"/>
      <c r="F7286" s="178"/>
      <c r="G7286" s="178"/>
      <c r="H7286"/>
      <c r="I7286" s="178"/>
      <c r="J7286" s="320" t="s">
        <v>214</v>
      </c>
      <c r="K7286" s="178"/>
      <c r="L7286" s="125" t="s">
        <v>4863</v>
      </c>
      <c r="M7286">
        <v>584</v>
      </c>
      <c r="N7286" s="182"/>
      <c r="O7286">
        <v>1387</v>
      </c>
      <c r="P7286" s="176" t="s">
        <v>77</v>
      </c>
      <c r="Q7286" s="176">
        <v>10.266</v>
      </c>
      <c r="R7286" s="176"/>
      <c r="S7286" s="176"/>
      <c r="T7286" s="190"/>
      <c r="U7286" s="191"/>
      <c r="V7286" s="191">
        <f>+Table1[[#This Row],[SUBTOTAL]]+Table1[[#This Row],[IVA]]-Table1[[#This Row],[RET IVA]]-Table1[[#This Row],[RET ISR]]</f>
        <v>10.266</v>
      </c>
      <c r="W7286"/>
      <c r="X7286" s="186"/>
      <c r="Y7286" s="187"/>
      <c r="Z7286" s="311" t="s">
        <v>214</v>
      </c>
      <c r="AB7286" t="str">
        <f>IF(Table1[[#This Row],[TIPO2]]="costo", VLOOKUP(Table1[[#This Row],[PARTIDA PRESUPUESTAL]],'Cost Report'!G:G,1,0),"Balance")</f>
        <v>3401-003</v>
      </c>
      <c r="AD7286" s="159">
        <f>+Table1[[#This Row],[SUBTOTAL]]+Table1[[#This Row],[IVA]]-Table1[[#This Row],[RET IVA]]-Table1[[#This Row],[RET ISR]]-Table1[[#This Row],[TOTAL]]</f>
        <v>0</v>
      </c>
      <c r="AK7286" s="306" t="str">
        <f>IF(ISNUMBER(Table1[[#This Row],[FECHA DE RECIBIDO]]), Table1[[#This Row],[FECHA DE RECIBIDO]]-DATE(2023,8,30), "")</f>
        <v/>
      </c>
    </row>
    <row r="7287" spans="1:37">
      <c r="A7287" s="172"/>
      <c r="B7287" s="178"/>
      <c r="C7287" s="179" t="s">
        <v>4210</v>
      </c>
      <c r="D7287">
        <v>4614</v>
      </c>
      <c r="E7287" s="125"/>
      <c r="F7287" s="178"/>
      <c r="G7287" s="178"/>
      <c r="H7287"/>
      <c r="I7287" s="178"/>
      <c r="J7287" s="320" t="s">
        <v>214</v>
      </c>
      <c r="K7287" s="178"/>
      <c r="L7287" s="125" t="s">
        <v>4863</v>
      </c>
      <c r="M7287">
        <v>661</v>
      </c>
      <c r="N7287" s="182"/>
      <c r="O7287">
        <v>4200</v>
      </c>
      <c r="P7287" s="176" t="s">
        <v>77</v>
      </c>
      <c r="Q7287" s="176">
        <v>4.5</v>
      </c>
      <c r="R7287" s="176"/>
      <c r="S7287" s="176"/>
      <c r="T7287" s="190"/>
      <c r="U7287" s="191"/>
      <c r="V7287" s="191">
        <f>+Table1[[#This Row],[SUBTOTAL]]+Table1[[#This Row],[IVA]]-Table1[[#This Row],[RET IVA]]-Table1[[#This Row],[RET ISR]]</f>
        <v>4.5</v>
      </c>
      <c r="W7287"/>
      <c r="X7287" s="186"/>
      <c r="Y7287" s="187"/>
      <c r="Z7287" s="311" t="s">
        <v>214</v>
      </c>
      <c r="AB7287" t="str">
        <f>IF(Table1[[#This Row],[TIPO2]]="costo", VLOOKUP(Table1[[#This Row],[PARTIDA PRESUPUESTAL]],'Cost Report'!G:G,1,0),"Balance")</f>
        <v>3901-051</v>
      </c>
      <c r="AD7287" s="159">
        <f>+Table1[[#This Row],[SUBTOTAL]]+Table1[[#This Row],[IVA]]-Table1[[#This Row],[RET IVA]]-Table1[[#This Row],[RET ISR]]-Table1[[#This Row],[TOTAL]]</f>
        <v>0</v>
      </c>
      <c r="AK7287" s="306" t="str">
        <f>IF(ISNUMBER(Table1[[#This Row],[FECHA DE RECIBIDO]]), Table1[[#This Row],[FECHA DE RECIBIDO]]-DATE(2023,8,30), "")</f>
        <v/>
      </c>
    </row>
    <row r="7288" spans="1:37">
      <c r="A7288" s="172"/>
      <c r="B7288" s="178"/>
      <c r="C7288" s="179" t="s">
        <v>4210</v>
      </c>
      <c r="D7288">
        <v>4614</v>
      </c>
      <c r="E7288" s="125"/>
      <c r="F7288" s="178"/>
      <c r="G7288" s="178"/>
      <c r="H7288"/>
      <c r="I7288" s="178"/>
      <c r="J7288" s="320" t="s">
        <v>214</v>
      </c>
      <c r="K7288" s="178"/>
      <c r="L7288" s="125" t="s">
        <v>4863</v>
      </c>
      <c r="M7288">
        <v>661</v>
      </c>
      <c r="N7288" s="182"/>
      <c r="O7288">
        <v>4200</v>
      </c>
      <c r="P7288" s="176" t="s">
        <v>77</v>
      </c>
      <c r="Q7288" s="176">
        <v>4.5</v>
      </c>
      <c r="R7288" s="176"/>
      <c r="S7288" s="176"/>
      <c r="T7288" s="190"/>
      <c r="U7288" s="191"/>
      <c r="V7288" s="191">
        <f>+Table1[[#This Row],[SUBTOTAL]]+Table1[[#This Row],[IVA]]-Table1[[#This Row],[RET IVA]]-Table1[[#This Row],[RET ISR]]</f>
        <v>4.5</v>
      </c>
      <c r="W7288"/>
      <c r="X7288" s="186"/>
      <c r="Y7288" s="187"/>
      <c r="Z7288" s="311" t="s">
        <v>214</v>
      </c>
      <c r="AB7288" t="str">
        <f>IF(Table1[[#This Row],[TIPO2]]="costo", VLOOKUP(Table1[[#This Row],[PARTIDA PRESUPUESTAL]],'Cost Report'!G:G,1,0),"Balance")</f>
        <v>3901-051</v>
      </c>
      <c r="AD7288" s="159">
        <f>+Table1[[#This Row],[SUBTOTAL]]+Table1[[#This Row],[IVA]]-Table1[[#This Row],[RET IVA]]-Table1[[#This Row],[RET ISR]]-Table1[[#This Row],[TOTAL]]</f>
        <v>0</v>
      </c>
      <c r="AK7288" s="306" t="str">
        <f>IF(ISNUMBER(Table1[[#This Row],[FECHA DE RECIBIDO]]), Table1[[#This Row],[FECHA DE RECIBIDO]]-DATE(2023,8,30), "")</f>
        <v/>
      </c>
    </row>
    <row r="7289" spans="1:37">
      <c r="A7289" s="172"/>
      <c r="B7289" s="178"/>
      <c r="C7289" s="179" t="s">
        <v>4210</v>
      </c>
      <c r="D7289">
        <v>4614</v>
      </c>
      <c r="E7289" s="125"/>
      <c r="F7289" s="178"/>
      <c r="G7289" s="178"/>
      <c r="H7289"/>
      <c r="I7289" s="178"/>
      <c r="J7289" s="320" t="s">
        <v>214</v>
      </c>
      <c r="K7289" s="178"/>
      <c r="L7289" s="125" t="s">
        <v>4863</v>
      </c>
      <c r="M7289">
        <v>661</v>
      </c>
      <c r="N7289" s="182"/>
      <c r="O7289">
        <v>4200</v>
      </c>
      <c r="P7289" s="176" t="s">
        <v>77</v>
      </c>
      <c r="Q7289" s="176">
        <v>4.5</v>
      </c>
      <c r="R7289" s="176"/>
      <c r="S7289" s="176"/>
      <c r="T7289" s="190"/>
      <c r="U7289" s="191"/>
      <c r="V7289" s="191">
        <f>+Table1[[#This Row],[SUBTOTAL]]+Table1[[#This Row],[IVA]]-Table1[[#This Row],[RET IVA]]-Table1[[#This Row],[RET ISR]]</f>
        <v>4.5</v>
      </c>
      <c r="W7289"/>
      <c r="X7289" s="186"/>
      <c r="Y7289" s="187"/>
      <c r="Z7289" s="311" t="s">
        <v>214</v>
      </c>
      <c r="AB7289" t="str">
        <f>IF(Table1[[#This Row],[TIPO2]]="costo", VLOOKUP(Table1[[#This Row],[PARTIDA PRESUPUESTAL]],'Cost Report'!G:G,1,0),"Balance")</f>
        <v>3901-051</v>
      </c>
      <c r="AD7289" s="159">
        <f>+Table1[[#This Row],[SUBTOTAL]]+Table1[[#This Row],[IVA]]-Table1[[#This Row],[RET IVA]]-Table1[[#This Row],[RET ISR]]-Table1[[#This Row],[TOTAL]]</f>
        <v>0</v>
      </c>
      <c r="AK7289" s="306" t="str">
        <f>IF(ISNUMBER(Table1[[#This Row],[FECHA DE RECIBIDO]]), Table1[[#This Row],[FECHA DE RECIBIDO]]-DATE(2023,8,30), "")</f>
        <v/>
      </c>
    </row>
    <row r="7290" spans="1:37">
      <c r="A7290" s="172"/>
      <c r="B7290" s="178"/>
      <c r="C7290" s="179" t="s">
        <v>4210</v>
      </c>
      <c r="D7290">
        <v>4614</v>
      </c>
      <c r="E7290" s="125"/>
      <c r="F7290" s="178"/>
      <c r="G7290" s="178"/>
      <c r="H7290"/>
      <c r="I7290" s="178"/>
      <c r="J7290" s="320" t="s">
        <v>214</v>
      </c>
      <c r="K7290" s="178"/>
      <c r="L7290" s="125" t="s">
        <v>4863</v>
      </c>
      <c r="M7290">
        <v>661</v>
      </c>
      <c r="N7290" s="182"/>
      <c r="O7290">
        <v>4201</v>
      </c>
      <c r="P7290" s="176" t="s">
        <v>77</v>
      </c>
      <c r="Q7290" s="176">
        <v>4.5</v>
      </c>
      <c r="R7290" s="176"/>
      <c r="S7290" s="176"/>
      <c r="T7290" s="190"/>
      <c r="U7290" s="191"/>
      <c r="V7290" s="191">
        <f>+Table1[[#This Row],[SUBTOTAL]]+Table1[[#This Row],[IVA]]-Table1[[#This Row],[RET IVA]]-Table1[[#This Row],[RET ISR]]</f>
        <v>4.5</v>
      </c>
      <c r="W7290"/>
      <c r="X7290" s="186"/>
      <c r="Y7290" s="187"/>
      <c r="Z7290" s="311" t="s">
        <v>214</v>
      </c>
      <c r="AB7290" t="str">
        <f>IF(Table1[[#This Row],[TIPO2]]="costo", VLOOKUP(Table1[[#This Row],[PARTIDA PRESUPUESTAL]],'Cost Report'!G:G,1,0),"Balance")</f>
        <v>3901-051</v>
      </c>
      <c r="AD7290" s="159">
        <f>+Table1[[#This Row],[SUBTOTAL]]+Table1[[#This Row],[IVA]]-Table1[[#This Row],[RET IVA]]-Table1[[#This Row],[RET ISR]]-Table1[[#This Row],[TOTAL]]</f>
        <v>0</v>
      </c>
      <c r="AK7290" s="306" t="str">
        <f>IF(ISNUMBER(Table1[[#This Row],[FECHA DE RECIBIDO]]), Table1[[#This Row],[FECHA DE RECIBIDO]]-DATE(2023,8,30), "")</f>
        <v/>
      </c>
    </row>
    <row r="7291" spans="1:37">
      <c r="A7291" s="172"/>
      <c r="B7291" s="178"/>
      <c r="C7291" s="179" t="s">
        <v>4210</v>
      </c>
      <c r="D7291">
        <v>4614</v>
      </c>
      <c r="E7291" s="125"/>
      <c r="F7291" s="178"/>
      <c r="G7291" s="178"/>
      <c r="H7291"/>
      <c r="I7291" s="178"/>
      <c r="J7291" s="320" t="s">
        <v>214</v>
      </c>
      <c r="K7291" s="178"/>
      <c r="L7291" s="125" t="s">
        <v>4863</v>
      </c>
      <c r="M7291">
        <v>661</v>
      </c>
      <c r="N7291" s="182"/>
      <c r="O7291">
        <v>4202</v>
      </c>
      <c r="P7291" s="176" t="s">
        <v>77</v>
      </c>
      <c r="Q7291" s="176">
        <v>4.5</v>
      </c>
      <c r="R7291" s="176"/>
      <c r="S7291" s="176"/>
      <c r="T7291" s="190"/>
      <c r="U7291" s="191"/>
      <c r="V7291" s="191">
        <f>+Table1[[#This Row],[SUBTOTAL]]+Table1[[#This Row],[IVA]]-Table1[[#This Row],[RET IVA]]-Table1[[#This Row],[RET ISR]]</f>
        <v>4.5</v>
      </c>
      <c r="W7291"/>
      <c r="X7291" s="186"/>
      <c r="Y7291" s="187"/>
      <c r="Z7291" s="311" t="s">
        <v>214</v>
      </c>
      <c r="AB7291" t="str">
        <f>IF(Table1[[#This Row],[TIPO2]]="costo", VLOOKUP(Table1[[#This Row],[PARTIDA PRESUPUESTAL]],'Cost Report'!G:G,1,0),"Balance")</f>
        <v>3901-051</v>
      </c>
      <c r="AD7291" s="159">
        <f>+Table1[[#This Row],[SUBTOTAL]]+Table1[[#This Row],[IVA]]-Table1[[#This Row],[RET IVA]]-Table1[[#This Row],[RET ISR]]-Table1[[#This Row],[TOTAL]]</f>
        <v>0</v>
      </c>
      <c r="AK7291" s="306" t="str">
        <f>IF(ISNUMBER(Table1[[#This Row],[FECHA DE RECIBIDO]]), Table1[[#This Row],[FECHA DE RECIBIDO]]-DATE(2023,8,30), "")</f>
        <v/>
      </c>
    </row>
    <row r="7292" spans="1:37">
      <c r="A7292" s="172"/>
      <c r="B7292" s="178"/>
      <c r="C7292" s="179" t="s">
        <v>4210</v>
      </c>
      <c r="D7292">
        <v>4614</v>
      </c>
      <c r="E7292" s="125"/>
      <c r="F7292" s="178"/>
      <c r="G7292" s="178"/>
      <c r="H7292"/>
      <c r="I7292" s="178"/>
      <c r="J7292" s="320" t="s">
        <v>214</v>
      </c>
      <c r="K7292" s="178"/>
      <c r="L7292" s="125" t="s">
        <v>4863</v>
      </c>
      <c r="M7292">
        <v>661</v>
      </c>
      <c r="N7292" s="182"/>
      <c r="O7292">
        <v>4203</v>
      </c>
      <c r="P7292" s="176" t="s">
        <v>77</v>
      </c>
      <c r="Q7292" s="176">
        <v>4.5</v>
      </c>
      <c r="R7292" s="176"/>
      <c r="S7292" s="176"/>
      <c r="T7292" s="190"/>
      <c r="U7292" s="191"/>
      <c r="V7292" s="191">
        <f>+Table1[[#This Row],[SUBTOTAL]]+Table1[[#This Row],[IVA]]-Table1[[#This Row],[RET IVA]]-Table1[[#This Row],[RET ISR]]</f>
        <v>4.5</v>
      </c>
      <c r="W7292"/>
      <c r="X7292" s="186"/>
      <c r="Y7292" s="187"/>
      <c r="Z7292" s="311" t="s">
        <v>214</v>
      </c>
      <c r="AB7292" t="str">
        <f>IF(Table1[[#This Row],[TIPO2]]="costo", VLOOKUP(Table1[[#This Row],[PARTIDA PRESUPUESTAL]],'Cost Report'!G:G,1,0),"Balance")</f>
        <v>3901-051</v>
      </c>
      <c r="AD7292" s="159">
        <f>+Table1[[#This Row],[SUBTOTAL]]+Table1[[#This Row],[IVA]]-Table1[[#This Row],[RET IVA]]-Table1[[#This Row],[RET ISR]]-Table1[[#This Row],[TOTAL]]</f>
        <v>0</v>
      </c>
      <c r="AK7292" s="306" t="str">
        <f>IF(ISNUMBER(Table1[[#This Row],[FECHA DE RECIBIDO]]), Table1[[#This Row],[FECHA DE RECIBIDO]]-DATE(2023,8,30), "")</f>
        <v/>
      </c>
    </row>
    <row r="7293" spans="1:37">
      <c r="A7293" s="172"/>
      <c r="B7293" s="178"/>
      <c r="C7293" s="179" t="s">
        <v>4210</v>
      </c>
      <c r="D7293">
        <v>4614</v>
      </c>
      <c r="E7293" s="125"/>
      <c r="F7293" s="178"/>
      <c r="G7293" s="178"/>
      <c r="H7293"/>
      <c r="I7293" s="178"/>
      <c r="J7293" s="320" t="s">
        <v>214</v>
      </c>
      <c r="K7293" s="178"/>
      <c r="L7293" s="125" t="s">
        <v>4863</v>
      </c>
      <c r="M7293">
        <v>661</v>
      </c>
      <c r="N7293" s="182"/>
      <c r="O7293">
        <v>4202</v>
      </c>
      <c r="P7293" s="176" t="s">
        <v>77</v>
      </c>
      <c r="Q7293" s="176">
        <v>4.5</v>
      </c>
      <c r="R7293" s="176"/>
      <c r="S7293" s="176"/>
      <c r="T7293" s="190"/>
      <c r="U7293" s="191"/>
      <c r="V7293" s="191">
        <f>+Table1[[#This Row],[SUBTOTAL]]+Table1[[#This Row],[IVA]]-Table1[[#This Row],[RET IVA]]-Table1[[#This Row],[RET ISR]]</f>
        <v>4.5</v>
      </c>
      <c r="W7293"/>
      <c r="X7293" s="186"/>
      <c r="Y7293" s="187"/>
      <c r="Z7293" s="311" t="s">
        <v>214</v>
      </c>
      <c r="AB7293" t="str">
        <f>IF(Table1[[#This Row],[TIPO2]]="costo", VLOOKUP(Table1[[#This Row],[PARTIDA PRESUPUESTAL]],'Cost Report'!G:G,1,0),"Balance")</f>
        <v>3901-051</v>
      </c>
      <c r="AD7293" s="159">
        <f>+Table1[[#This Row],[SUBTOTAL]]+Table1[[#This Row],[IVA]]-Table1[[#This Row],[RET IVA]]-Table1[[#This Row],[RET ISR]]-Table1[[#This Row],[TOTAL]]</f>
        <v>0</v>
      </c>
      <c r="AK7293" s="306" t="str">
        <f>IF(ISNUMBER(Table1[[#This Row],[FECHA DE RECIBIDO]]), Table1[[#This Row],[FECHA DE RECIBIDO]]-DATE(2023,8,30), "")</f>
        <v/>
      </c>
    </row>
    <row r="7294" spans="1:37">
      <c r="A7294" s="172"/>
      <c r="B7294" s="178"/>
      <c r="C7294" s="179" t="s">
        <v>4210</v>
      </c>
      <c r="D7294">
        <v>4614</v>
      </c>
      <c r="E7294" s="125"/>
      <c r="F7294" s="178"/>
      <c r="G7294" s="178"/>
      <c r="H7294"/>
      <c r="I7294" s="178"/>
      <c r="J7294" s="320" t="s">
        <v>214</v>
      </c>
      <c r="K7294" s="178"/>
      <c r="L7294" s="125" t="s">
        <v>4863</v>
      </c>
      <c r="M7294">
        <v>661</v>
      </c>
      <c r="N7294" s="182"/>
      <c r="O7294">
        <v>4204</v>
      </c>
      <c r="P7294" s="176" t="s">
        <v>77</v>
      </c>
      <c r="Q7294" s="176">
        <v>4.5</v>
      </c>
      <c r="R7294" s="176"/>
      <c r="S7294" s="176"/>
      <c r="T7294" s="190"/>
      <c r="U7294" s="191"/>
      <c r="V7294" s="191">
        <f>+Table1[[#This Row],[SUBTOTAL]]+Table1[[#This Row],[IVA]]-Table1[[#This Row],[RET IVA]]-Table1[[#This Row],[RET ISR]]</f>
        <v>4.5</v>
      </c>
      <c r="W7294"/>
      <c r="X7294" s="186"/>
      <c r="Y7294" s="187"/>
      <c r="Z7294" s="311" t="s">
        <v>214</v>
      </c>
      <c r="AB7294" t="str">
        <f>IF(Table1[[#This Row],[TIPO2]]="costo", VLOOKUP(Table1[[#This Row],[PARTIDA PRESUPUESTAL]],'Cost Report'!G:G,1,0),"Balance")</f>
        <v>3901-051</v>
      </c>
      <c r="AD7294" s="159">
        <f>+Table1[[#This Row],[SUBTOTAL]]+Table1[[#This Row],[IVA]]-Table1[[#This Row],[RET IVA]]-Table1[[#This Row],[RET ISR]]-Table1[[#This Row],[TOTAL]]</f>
        <v>0</v>
      </c>
      <c r="AK7294" s="306" t="str">
        <f>IF(ISNUMBER(Table1[[#This Row],[FECHA DE RECIBIDO]]), Table1[[#This Row],[FECHA DE RECIBIDO]]-DATE(2023,8,30), "")</f>
        <v/>
      </c>
    </row>
    <row r="7295" spans="1:37">
      <c r="A7295" s="172"/>
      <c r="B7295" s="178"/>
      <c r="C7295" s="179" t="s">
        <v>3108</v>
      </c>
      <c r="D7295">
        <v>4614</v>
      </c>
      <c r="E7295" s="125"/>
      <c r="F7295" s="178"/>
      <c r="G7295" s="178"/>
      <c r="H7295"/>
      <c r="I7295" s="178"/>
      <c r="J7295" s="320" t="s">
        <v>214</v>
      </c>
      <c r="K7295" s="178"/>
      <c r="L7295" s="125" t="s">
        <v>4863</v>
      </c>
      <c r="M7295">
        <v>395</v>
      </c>
      <c r="N7295" s="182"/>
      <c r="O7295">
        <v>4205</v>
      </c>
      <c r="P7295" s="176" t="s">
        <v>77</v>
      </c>
      <c r="Q7295" s="176">
        <v>6</v>
      </c>
      <c r="R7295" s="176"/>
      <c r="S7295" s="176"/>
      <c r="T7295" s="190"/>
      <c r="U7295" s="191"/>
      <c r="V7295" s="191">
        <f>+Table1[[#This Row],[SUBTOTAL]]+Table1[[#This Row],[IVA]]-Table1[[#This Row],[RET IVA]]-Table1[[#This Row],[RET ISR]]</f>
        <v>6</v>
      </c>
      <c r="W7295"/>
      <c r="X7295" s="186"/>
      <c r="Y7295" s="187"/>
      <c r="Z7295" s="311" t="s">
        <v>214</v>
      </c>
      <c r="AB7295" t="str">
        <f>IF(Table1[[#This Row],[TIPO2]]="costo", VLOOKUP(Table1[[#This Row],[PARTIDA PRESUPUESTAL]],'Cost Report'!G:G,1,0),"Balance")</f>
        <v>7080-003</v>
      </c>
      <c r="AD7295" s="159">
        <f>+Table1[[#This Row],[SUBTOTAL]]+Table1[[#This Row],[IVA]]-Table1[[#This Row],[RET IVA]]-Table1[[#This Row],[RET ISR]]-Table1[[#This Row],[TOTAL]]</f>
        <v>0</v>
      </c>
      <c r="AK7295" s="306" t="str">
        <f>IF(ISNUMBER(Table1[[#This Row],[FECHA DE RECIBIDO]]), Table1[[#This Row],[FECHA DE RECIBIDO]]-DATE(2023,8,30), "")</f>
        <v/>
      </c>
    </row>
    <row r="7296" spans="1:37">
      <c r="A7296" s="172"/>
      <c r="B7296" s="178"/>
      <c r="C7296" s="179" t="s">
        <v>3108</v>
      </c>
      <c r="D7296">
        <v>4614</v>
      </c>
      <c r="E7296" s="125"/>
      <c r="F7296" s="178"/>
      <c r="G7296" s="178"/>
      <c r="H7296"/>
      <c r="I7296" s="178"/>
      <c r="J7296" s="320" t="s">
        <v>214</v>
      </c>
      <c r="K7296" s="178"/>
      <c r="L7296" s="125" t="s">
        <v>4863</v>
      </c>
      <c r="M7296">
        <v>395</v>
      </c>
      <c r="N7296" s="182"/>
      <c r="O7296">
        <v>4205</v>
      </c>
      <c r="P7296" s="176" t="s">
        <v>77</v>
      </c>
      <c r="Q7296" s="176">
        <v>6</v>
      </c>
      <c r="R7296" s="176"/>
      <c r="S7296" s="176"/>
      <c r="T7296" s="190"/>
      <c r="U7296" s="191"/>
      <c r="V7296" s="191">
        <f>+Table1[[#This Row],[SUBTOTAL]]+Table1[[#This Row],[IVA]]-Table1[[#This Row],[RET IVA]]-Table1[[#This Row],[RET ISR]]</f>
        <v>6</v>
      </c>
      <c r="W7296"/>
      <c r="X7296" s="186"/>
      <c r="Y7296" s="187"/>
      <c r="Z7296" s="311" t="s">
        <v>214</v>
      </c>
      <c r="AB7296" t="str">
        <f>IF(Table1[[#This Row],[TIPO2]]="costo", VLOOKUP(Table1[[#This Row],[PARTIDA PRESUPUESTAL]],'Cost Report'!G:G,1,0),"Balance")</f>
        <v>7080-003</v>
      </c>
      <c r="AD7296" s="159">
        <f>+Table1[[#This Row],[SUBTOTAL]]+Table1[[#This Row],[IVA]]-Table1[[#This Row],[RET IVA]]-Table1[[#This Row],[RET ISR]]-Table1[[#This Row],[TOTAL]]</f>
        <v>0</v>
      </c>
      <c r="AK7296" s="306" t="str">
        <f>IF(ISNUMBER(Table1[[#This Row],[FECHA DE RECIBIDO]]), Table1[[#This Row],[FECHA DE RECIBIDO]]-DATE(2023,8,30), "")</f>
        <v/>
      </c>
    </row>
    <row r="7297" spans="1:37">
      <c r="A7297" s="172"/>
      <c r="B7297" s="178"/>
      <c r="C7297" s="179" t="s">
        <v>3108</v>
      </c>
      <c r="D7297">
        <v>4614</v>
      </c>
      <c r="E7297" s="125"/>
      <c r="F7297" s="178"/>
      <c r="G7297" s="178"/>
      <c r="H7297"/>
      <c r="I7297" s="178"/>
      <c r="J7297" s="320" t="s">
        <v>214</v>
      </c>
      <c r="K7297" s="178"/>
      <c r="L7297" s="125" t="s">
        <v>4863</v>
      </c>
      <c r="M7297">
        <v>1474</v>
      </c>
      <c r="N7297" s="182"/>
      <c r="O7297">
        <v>4206</v>
      </c>
      <c r="P7297" s="176" t="s">
        <v>77</v>
      </c>
      <c r="Q7297" s="176">
        <v>189</v>
      </c>
      <c r="R7297" s="176"/>
      <c r="S7297" s="176"/>
      <c r="T7297" s="190"/>
      <c r="U7297" s="191"/>
      <c r="V7297" s="191">
        <f>+Table1[[#This Row],[SUBTOTAL]]+Table1[[#This Row],[IVA]]-Table1[[#This Row],[RET IVA]]-Table1[[#This Row],[RET ISR]]</f>
        <v>189</v>
      </c>
      <c r="W7297"/>
      <c r="X7297" s="186"/>
      <c r="Y7297" s="187"/>
      <c r="Z7297" s="311" t="s">
        <v>214</v>
      </c>
      <c r="AB7297" t="str">
        <f>IF(Table1[[#This Row],[TIPO2]]="costo", VLOOKUP(Table1[[#This Row],[PARTIDA PRESUPUESTAL]],'Cost Report'!G:G,1,0),"Balance")</f>
        <v>7080-003</v>
      </c>
      <c r="AD7297" s="159">
        <f>+Table1[[#This Row],[SUBTOTAL]]+Table1[[#This Row],[IVA]]-Table1[[#This Row],[RET IVA]]-Table1[[#This Row],[RET ISR]]-Table1[[#This Row],[TOTAL]]</f>
        <v>0</v>
      </c>
      <c r="AK7297" s="306" t="str">
        <f>IF(ISNUMBER(Table1[[#This Row],[FECHA DE RECIBIDO]]), Table1[[#This Row],[FECHA DE RECIBIDO]]-DATE(2023,8,30), "")</f>
        <v/>
      </c>
    </row>
    <row r="7298" spans="1:37">
      <c r="A7298" s="172"/>
      <c r="B7298" s="178"/>
      <c r="C7298" s="179" t="s">
        <v>3108</v>
      </c>
      <c r="D7298">
        <v>4614</v>
      </c>
      <c r="E7298" s="125"/>
      <c r="F7298" s="178"/>
      <c r="G7298" s="178"/>
      <c r="H7298"/>
      <c r="I7298" s="178"/>
      <c r="J7298" s="320" t="s">
        <v>214</v>
      </c>
      <c r="K7298" s="178"/>
      <c r="L7298" s="125" t="s">
        <v>4863</v>
      </c>
      <c r="M7298">
        <v>1474</v>
      </c>
      <c r="N7298" s="182"/>
      <c r="O7298">
        <v>4207</v>
      </c>
      <c r="P7298" s="176" t="s">
        <v>77</v>
      </c>
      <c r="Q7298" s="176">
        <v>105</v>
      </c>
      <c r="R7298" s="176"/>
      <c r="S7298" s="176"/>
      <c r="T7298" s="190"/>
      <c r="U7298" s="191"/>
      <c r="V7298" s="191">
        <f>+Table1[[#This Row],[SUBTOTAL]]+Table1[[#This Row],[IVA]]-Table1[[#This Row],[RET IVA]]-Table1[[#This Row],[RET ISR]]</f>
        <v>105</v>
      </c>
      <c r="W7298"/>
      <c r="X7298" s="186"/>
      <c r="Y7298" s="187"/>
      <c r="Z7298" s="311" t="s">
        <v>214</v>
      </c>
      <c r="AB7298" t="str">
        <f>IF(Table1[[#This Row],[TIPO2]]="costo", VLOOKUP(Table1[[#This Row],[PARTIDA PRESUPUESTAL]],'Cost Report'!G:G,1,0),"Balance")</f>
        <v>7080-003</v>
      </c>
      <c r="AD7298" s="159">
        <f>+Table1[[#This Row],[SUBTOTAL]]+Table1[[#This Row],[IVA]]-Table1[[#This Row],[RET IVA]]-Table1[[#This Row],[RET ISR]]-Table1[[#This Row],[TOTAL]]</f>
        <v>0</v>
      </c>
      <c r="AK7298" s="306" t="str">
        <f>IF(ISNUMBER(Table1[[#This Row],[FECHA DE RECIBIDO]]), Table1[[#This Row],[FECHA DE RECIBIDO]]-DATE(2023,8,30), "")</f>
        <v/>
      </c>
    </row>
    <row r="7299" spans="1:37">
      <c r="A7299" s="172"/>
      <c r="B7299" s="178"/>
      <c r="C7299" s="179" t="s">
        <v>2749</v>
      </c>
      <c r="D7299">
        <v>4614</v>
      </c>
      <c r="E7299" s="125"/>
      <c r="F7299" s="178"/>
      <c r="G7299" s="178"/>
      <c r="H7299"/>
      <c r="I7299" s="178"/>
      <c r="J7299" s="320" t="s">
        <v>214</v>
      </c>
      <c r="K7299" s="178"/>
      <c r="L7299" s="125" t="s">
        <v>4863</v>
      </c>
      <c r="M7299">
        <v>559</v>
      </c>
      <c r="N7299" s="182"/>
      <c r="O7299">
        <v>162</v>
      </c>
      <c r="P7299" s="176" t="s">
        <v>77</v>
      </c>
      <c r="Q7299" s="176">
        <v>10.266</v>
      </c>
      <c r="R7299" s="176"/>
      <c r="S7299" s="176"/>
      <c r="T7299" s="190"/>
      <c r="U7299" s="191"/>
      <c r="V7299" s="191">
        <f>+Table1[[#This Row],[SUBTOTAL]]+Table1[[#This Row],[IVA]]-Table1[[#This Row],[RET IVA]]-Table1[[#This Row],[RET ISR]]</f>
        <v>10.266</v>
      </c>
      <c r="W7299"/>
      <c r="X7299" s="186"/>
      <c r="Y7299" s="187"/>
      <c r="Z7299" s="311" t="s">
        <v>214</v>
      </c>
      <c r="AB7299" t="str">
        <f>IF(Table1[[#This Row],[TIPO2]]="costo", VLOOKUP(Table1[[#This Row],[PARTIDA PRESUPUESTAL]],'Cost Report'!G:G,1,0),"Balance")</f>
        <v>3401-011</v>
      </c>
      <c r="AD7299" s="159">
        <f>+Table1[[#This Row],[SUBTOTAL]]+Table1[[#This Row],[IVA]]-Table1[[#This Row],[RET IVA]]-Table1[[#This Row],[RET ISR]]-Table1[[#This Row],[TOTAL]]</f>
        <v>0</v>
      </c>
      <c r="AK7299" s="306" t="str">
        <f>IF(ISNUMBER(Table1[[#This Row],[FECHA DE RECIBIDO]]), Table1[[#This Row],[FECHA DE RECIBIDO]]-DATE(2023,8,30), "")</f>
        <v/>
      </c>
    </row>
    <row r="7300" spans="1:37">
      <c r="A7300" s="172"/>
      <c r="B7300" s="178"/>
      <c r="C7300" s="179" t="s">
        <v>3108</v>
      </c>
      <c r="D7300">
        <v>4614</v>
      </c>
      <c r="E7300" s="125"/>
      <c r="F7300" s="178"/>
      <c r="G7300" s="178"/>
      <c r="H7300"/>
      <c r="I7300" s="178"/>
      <c r="J7300" s="320" t="s">
        <v>214</v>
      </c>
      <c r="K7300" s="178"/>
      <c r="L7300" s="125" t="s">
        <v>4863</v>
      </c>
      <c r="M7300">
        <v>69</v>
      </c>
      <c r="N7300" s="182"/>
      <c r="O7300">
        <v>4208</v>
      </c>
      <c r="P7300" s="176" t="s">
        <v>77</v>
      </c>
      <c r="Q7300" s="176">
        <v>5.0999999999999996</v>
      </c>
      <c r="R7300" s="176"/>
      <c r="S7300" s="176"/>
      <c r="T7300" s="190"/>
      <c r="U7300" s="191"/>
      <c r="V7300" s="191">
        <f>+Table1[[#This Row],[SUBTOTAL]]+Table1[[#This Row],[IVA]]-Table1[[#This Row],[RET IVA]]-Table1[[#This Row],[RET ISR]]</f>
        <v>5.0999999999999996</v>
      </c>
      <c r="W7300"/>
      <c r="X7300" s="186"/>
      <c r="Y7300" s="187"/>
      <c r="Z7300" s="311" t="s">
        <v>214</v>
      </c>
      <c r="AB7300" t="str">
        <f>IF(Table1[[#This Row],[TIPO2]]="costo", VLOOKUP(Table1[[#This Row],[PARTIDA PRESUPUESTAL]],'Cost Report'!G:G,1,0),"Balance")</f>
        <v>7080-003</v>
      </c>
      <c r="AD7300" s="159">
        <f>+Table1[[#This Row],[SUBTOTAL]]+Table1[[#This Row],[IVA]]-Table1[[#This Row],[RET IVA]]-Table1[[#This Row],[RET ISR]]-Table1[[#This Row],[TOTAL]]</f>
        <v>0</v>
      </c>
      <c r="AK7300" s="306" t="str">
        <f>IF(ISNUMBER(Table1[[#This Row],[FECHA DE RECIBIDO]]), Table1[[#This Row],[FECHA DE RECIBIDO]]-DATE(2023,8,30), "")</f>
        <v/>
      </c>
    </row>
    <row r="7301" spans="1:37">
      <c r="A7301" s="172"/>
      <c r="B7301" s="178"/>
      <c r="C7301" s="179" t="s">
        <v>2860</v>
      </c>
      <c r="D7301">
        <v>4614</v>
      </c>
      <c r="E7301" s="125"/>
      <c r="F7301" s="178"/>
      <c r="G7301" s="178"/>
      <c r="H7301"/>
      <c r="I7301" s="178"/>
      <c r="J7301" s="320" t="s">
        <v>214</v>
      </c>
      <c r="K7301" s="178"/>
      <c r="L7301" s="125" t="s">
        <v>4863</v>
      </c>
      <c r="M7301">
        <v>69</v>
      </c>
      <c r="N7301" s="182"/>
      <c r="O7301">
        <v>4209</v>
      </c>
      <c r="P7301" s="176" t="s">
        <v>77</v>
      </c>
      <c r="Q7301" s="176">
        <v>4.2</v>
      </c>
      <c r="R7301" s="176"/>
      <c r="S7301" s="176"/>
      <c r="T7301" s="190"/>
      <c r="U7301" s="191"/>
      <c r="V7301" s="191">
        <f>+Table1[[#This Row],[SUBTOTAL]]+Table1[[#This Row],[IVA]]-Table1[[#This Row],[RET IVA]]-Table1[[#This Row],[RET ISR]]</f>
        <v>4.2</v>
      </c>
      <c r="W7301"/>
      <c r="X7301" s="186"/>
      <c r="Y7301" s="187"/>
      <c r="Z7301" s="311" t="s">
        <v>214</v>
      </c>
      <c r="AB7301" t="str">
        <f>IF(Table1[[#This Row],[TIPO2]]="costo", VLOOKUP(Table1[[#This Row],[PARTIDA PRESUPUESTAL]],'Cost Report'!G:G,1,0),"Balance")</f>
        <v>3629-003</v>
      </c>
      <c r="AD7301" s="159">
        <f>+Table1[[#This Row],[SUBTOTAL]]+Table1[[#This Row],[IVA]]-Table1[[#This Row],[RET IVA]]-Table1[[#This Row],[RET ISR]]-Table1[[#This Row],[TOTAL]]</f>
        <v>0</v>
      </c>
      <c r="AK7301" s="306" t="str">
        <f>IF(ISNUMBER(Table1[[#This Row],[FECHA DE RECIBIDO]]), Table1[[#This Row],[FECHA DE RECIBIDO]]-DATE(2023,8,30), "")</f>
        <v/>
      </c>
    </row>
    <row r="7302" spans="1:37">
      <c r="A7302" s="172"/>
      <c r="B7302" s="178"/>
      <c r="C7302" s="179" t="s">
        <v>3108</v>
      </c>
      <c r="D7302">
        <v>4614</v>
      </c>
      <c r="E7302" s="125"/>
      <c r="F7302" s="178"/>
      <c r="G7302" s="178"/>
      <c r="H7302"/>
      <c r="I7302" s="178"/>
      <c r="J7302" s="320" t="s">
        <v>214</v>
      </c>
      <c r="K7302" s="178"/>
      <c r="L7302" s="125" t="s">
        <v>4863</v>
      </c>
      <c r="M7302">
        <v>1474</v>
      </c>
      <c r="N7302" s="182"/>
      <c r="O7302">
        <v>4211</v>
      </c>
      <c r="P7302" s="176" t="s">
        <v>77</v>
      </c>
      <c r="Q7302" s="176">
        <v>182.7</v>
      </c>
      <c r="R7302" s="176"/>
      <c r="S7302" s="176"/>
      <c r="T7302" s="190"/>
      <c r="U7302" s="191"/>
      <c r="V7302" s="191">
        <f>+Table1[[#This Row],[SUBTOTAL]]+Table1[[#This Row],[IVA]]-Table1[[#This Row],[RET IVA]]-Table1[[#This Row],[RET ISR]]</f>
        <v>182.7</v>
      </c>
      <c r="W7302"/>
      <c r="X7302" s="186"/>
      <c r="Y7302" s="187"/>
      <c r="Z7302" s="311" t="s">
        <v>214</v>
      </c>
      <c r="AB7302" t="str">
        <f>IF(Table1[[#This Row],[TIPO2]]="costo", VLOOKUP(Table1[[#This Row],[PARTIDA PRESUPUESTAL]],'Cost Report'!G:G,1,0),"Balance")</f>
        <v>7080-003</v>
      </c>
      <c r="AD7302" s="159">
        <f>+Table1[[#This Row],[SUBTOTAL]]+Table1[[#This Row],[IVA]]-Table1[[#This Row],[RET IVA]]-Table1[[#This Row],[RET ISR]]-Table1[[#This Row],[TOTAL]]</f>
        <v>0</v>
      </c>
      <c r="AK7302" s="306" t="str">
        <f>IF(ISNUMBER(Table1[[#This Row],[FECHA DE RECIBIDO]]), Table1[[#This Row],[FECHA DE RECIBIDO]]-DATE(2023,8,30), "")</f>
        <v/>
      </c>
    </row>
    <row r="7303" spans="1:37">
      <c r="A7303" s="172"/>
      <c r="B7303" s="178"/>
      <c r="C7303" s="179" t="s">
        <v>3108</v>
      </c>
      <c r="D7303">
        <v>4614</v>
      </c>
      <c r="E7303" s="125"/>
      <c r="F7303" s="178"/>
      <c r="G7303" s="178"/>
      <c r="H7303"/>
      <c r="I7303" s="178"/>
      <c r="J7303" s="320" t="s">
        <v>214</v>
      </c>
      <c r="K7303" s="178"/>
      <c r="L7303" s="125" t="s">
        <v>4863</v>
      </c>
      <c r="M7303">
        <v>1476</v>
      </c>
      <c r="N7303" s="182"/>
      <c r="O7303">
        <v>4212</v>
      </c>
      <c r="P7303" s="176" t="s">
        <v>77</v>
      </c>
      <c r="Q7303" s="176">
        <v>90</v>
      </c>
      <c r="R7303" s="176"/>
      <c r="S7303" s="176"/>
      <c r="T7303" s="190"/>
      <c r="U7303" s="191"/>
      <c r="V7303" s="191">
        <f>+Table1[[#This Row],[SUBTOTAL]]+Table1[[#This Row],[IVA]]-Table1[[#This Row],[RET IVA]]-Table1[[#This Row],[RET ISR]]</f>
        <v>90</v>
      </c>
      <c r="W7303"/>
      <c r="X7303" s="186"/>
      <c r="Y7303" s="187"/>
      <c r="Z7303" s="311" t="s">
        <v>214</v>
      </c>
      <c r="AB7303" t="str">
        <f>IF(Table1[[#This Row],[TIPO2]]="costo", VLOOKUP(Table1[[#This Row],[PARTIDA PRESUPUESTAL]],'Cost Report'!G:G,1,0),"Balance")</f>
        <v>7080-003</v>
      </c>
      <c r="AD7303" s="159">
        <f>+Table1[[#This Row],[SUBTOTAL]]+Table1[[#This Row],[IVA]]-Table1[[#This Row],[RET IVA]]-Table1[[#This Row],[RET ISR]]-Table1[[#This Row],[TOTAL]]</f>
        <v>0</v>
      </c>
      <c r="AK7303" s="306" t="str">
        <f>IF(ISNUMBER(Table1[[#This Row],[FECHA DE RECIBIDO]]), Table1[[#This Row],[FECHA DE RECIBIDO]]-DATE(2023,8,30), "")</f>
        <v/>
      </c>
    </row>
    <row r="7304" spans="1:37">
      <c r="A7304" s="172"/>
      <c r="B7304" s="178"/>
      <c r="C7304" s="179" t="s">
        <v>3002</v>
      </c>
      <c r="D7304">
        <v>4614</v>
      </c>
      <c r="E7304" s="125"/>
      <c r="F7304" s="178"/>
      <c r="G7304" s="178"/>
      <c r="H7304"/>
      <c r="I7304" s="178"/>
      <c r="J7304" s="320" t="s">
        <v>214</v>
      </c>
      <c r="K7304" s="178"/>
      <c r="L7304" s="125" t="s">
        <v>4863</v>
      </c>
      <c r="M7304">
        <v>176</v>
      </c>
      <c r="N7304" s="182"/>
      <c r="O7304">
        <v>4213</v>
      </c>
      <c r="P7304" s="176" t="s">
        <v>77</v>
      </c>
      <c r="Q7304" s="176">
        <v>71.099999999999994</v>
      </c>
      <c r="R7304" s="176"/>
      <c r="S7304" s="176"/>
      <c r="T7304" s="190"/>
      <c r="U7304" s="191"/>
      <c r="V7304" s="191">
        <f>+Table1[[#This Row],[SUBTOTAL]]+Table1[[#This Row],[IVA]]-Table1[[#This Row],[RET IVA]]-Table1[[#This Row],[RET ISR]]</f>
        <v>71.099999999999994</v>
      </c>
      <c r="W7304"/>
      <c r="X7304" s="186"/>
      <c r="Y7304" s="187"/>
      <c r="Z7304" s="311" t="s">
        <v>214</v>
      </c>
      <c r="AB7304" t="str">
        <f>IF(Table1[[#This Row],[TIPO2]]="costo", VLOOKUP(Table1[[#This Row],[PARTIDA PRESUPUESTAL]],'Cost Report'!G:G,1,0),"Balance")</f>
        <v>4180-003</v>
      </c>
      <c r="AD7304" s="159">
        <f>+Table1[[#This Row],[SUBTOTAL]]+Table1[[#This Row],[IVA]]-Table1[[#This Row],[RET IVA]]-Table1[[#This Row],[RET ISR]]-Table1[[#This Row],[TOTAL]]</f>
        <v>0</v>
      </c>
      <c r="AK7304" s="306" t="str">
        <f>IF(ISNUMBER(Table1[[#This Row],[FECHA DE RECIBIDO]]), Table1[[#This Row],[FECHA DE RECIBIDO]]-DATE(2023,8,30), "")</f>
        <v/>
      </c>
    </row>
    <row r="7305" spans="1:37">
      <c r="A7305" s="172"/>
      <c r="B7305" s="178"/>
      <c r="C7305" s="179" t="s">
        <v>2749</v>
      </c>
      <c r="D7305">
        <v>4614</v>
      </c>
      <c r="E7305" s="125"/>
      <c r="F7305" s="178"/>
      <c r="G7305" s="178"/>
      <c r="H7305"/>
      <c r="I7305" s="178"/>
      <c r="J7305" s="320" t="s">
        <v>214</v>
      </c>
      <c r="K7305" s="178"/>
      <c r="L7305" s="125" t="s">
        <v>4863</v>
      </c>
      <c r="M7305">
        <v>512</v>
      </c>
      <c r="N7305" s="182"/>
      <c r="O7305">
        <v>162</v>
      </c>
      <c r="P7305" s="176" t="s">
        <v>77</v>
      </c>
      <c r="Q7305" s="176">
        <v>10.266</v>
      </c>
      <c r="R7305" s="176"/>
      <c r="S7305" s="176"/>
      <c r="T7305" s="190"/>
      <c r="U7305" s="191"/>
      <c r="V7305" s="191">
        <f>+Table1[[#This Row],[SUBTOTAL]]+Table1[[#This Row],[IVA]]-Table1[[#This Row],[RET IVA]]-Table1[[#This Row],[RET ISR]]</f>
        <v>10.266</v>
      </c>
      <c r="W7305"/>
      <c r="X7305" s="186"/>
      <c r="Y7305" s="187"/>
      <c r="Z7305" s="311" t="s">
        <v>214</v>
      </c>
      <c r="AB7305" t="str">
        <f>IF(Table1[[#This Row],[TIPO2]]="costo", VLOOKUP(Table1[[#This Row],[PARTIDA PRESUPUESTAL]],'Cost Report'!G:G,1,0),"Balance")</f>
        <v>3401-011</v>
      </c>
      <c r="AD7305" s="159">
        <f>+Table1[[#This Row],[SUBTOTAL]]+Table1[[#This Row],[IVA]]-Table1[[#This Row],[RET IVA]]-Table1[[#This Row],[RET ISR]]-Table1[[#This Row],[TOTAL]]</f>
        <v>0</v>
      </c>
      <c r="AK7305" s="306" t="str">
        <f>IF(ISNUMBER(Table1[[#This Row],[FECHA DE RECIBIDO]]), Table1[[#This Row],[FECHA DE RECIBIDO]]-DATE(2023,8,30), "")</f>
        <v/>
      </c>
    </row>
    <row r="7306" spans="1:37">
      <c r="A7306" s="172"/>
      <c r="B7306" s="178"/>
      <c r="C7306" s="179" t="s">
        <v>2436</v>
      </c>
      <c r="D7306">
        <v>4614</v>
      </c>
      <c r="E7306" s="125"/>
      <c r="F7306" s="178"/>
      <c r="G7306" s="178"/>
      <c r="H7306"/>
      <c r="I7306" s="178"/>
      <c r="J7306" s="320" t="s">
        <v>214</v>
      </c>
      <c r="K7306" s="178"/>
      <c r="L7306" s="125" t="s">
        <v>4863</v>
      </c>
      <c r="M7306">
        <v>1477</v>
      </c>
      <c r="N7306" s="182"/>
      <c r="O7306">
        <v>4214</v>
      </c>
      <c r="P7306" s="176" t="s">
        <v>77</v>
      </c>
      <c r="Q7306" s="176">
        <v>190.57499999999999</v>
      </c>
      <c r="R7306" s="176"/>
      <c r="S7306" s="176"/>
      <c r="T7306" s="190"/>
      <c r="U7306" s="191"/>
      <c r="V7306" s="191">
        <f>+Table1[[#This Row],[SUBTOTAL]]+Table1[[#This Row],[IVA]]-Table1[[#This Row],[RET IVA]]-Table1[[#This Row],[RET ISR]]</f>
        <v>190.57499999999999</v>
      </c>
      <c r="W7306"/>
      <c r="X7306" s="186"/>
      <c r="Y7306" s="187"/>
      <c r="Z7306" s="311" t="s">
        <v>214</v>
      </c>
      <c r="AB7306" t="str">
        <f>IF(Table1[[#This Row],[TIPO2]]="costo", VLOOKUP(Table1[[#This Row],[PARTIDA PRESUPUESTAL]],'Cost Report'!G:G,1,0),"Balance")</f>
        <v>2042-003</v>
      </c>
      <c r="AD7306" s="159">
        <f>+Table1[[#This Row],[SUBTOTAL]]+Table1[[#This Row],[IVA]]-Table1[[#This Row],[RET IVA]]-Table1[[#This Row],[RET ISR]]-Table1[[#This Row],[TOTAL]]</f>
        <v>0</v>
      </c>
      <c r="AK7306" s="306" t="str">
        <f>IF(ISNUMBER(Table1[[#This Row],[FECHA DE RECIBIDO]]), Table1[[#This Row],[FECHA DE RECIBIDO]]-DATE(2023,8,30), "")</f>
        <v/>
      </c>
    </row>
    <row r="7307" spans="1:37">
      <c r="A7307" s="172"/>
      <c r="B7307" s="178"/>
      <c r="C7307" s="179" t="s">
        <v>2829</v>
      </c>
      <c r="D7307">
        <v>4614</v>
      </c>
      <c r="E7307" s="125"/>
      <c r="F7307" s="178"/>
      <c r="G7307" s="178"/>
      <c r="H7307"/>
      <c r="I7307" s="178"/>
      <c r="J7307" s="320" t="s">
        <v>214</v>
      </c>
      <c r="K7307" s="178"/>
      <c r="L7307" s="125" t="s">
        <v>4863</v>
      </c>
      <c r="M7307">
        <v>815</v>
      </c>
      <c r="N7307" s="182"/>
      <c r="O7307">
        <v>4279</v>
      </c>
      <c r="P7307" s="176" t="s">
        <v>77</v>
      </c>
      <c r="Q7307" s="176">
        <v>395.09999999999997</v>
      </c>
      <c r="R7307" s="176"/>
      <c r="S7307" s="176"/>
      <c r="T7307" s="190"/>
      <c r="U7307" s="191"/>
      <c r="V7307" s="191">
        <f>+Table1[[#This Row],[SUBTOTAL]]+Table1[[#This Row],[IVA]]-Table1[[#This Row],[RET IVA]]-Table1[[#This Row],[RET ISR]]</f>
        <v>395.09999999999997</v>
      </c>
      <c r="W7307"/>
      <c r="X7307" s="186"/>
      <c r="Y7307" s="187"/>
      <c r="Z7307" s="311" t="s">
        <v>214</v>
      </c>
      <c r="AB7307" t="str">
        <f>IF(Table1[[#This Row],[TIPO2]]="costo", VLOOKUP(Table1[[#This Row],[PARTIDA PRESUPUESTAL]],'Cost Report'!G:G,1,0),"Balance")</f>
        <v>3412-138</v>
      </c>
      <c r="AD7307" s="159">
        <f>+Table1[[#This Row],[SUBTOTAL]]+Table1[[#This Row],[IVA]]-Table1[[#This Row],[RET IVA]]-Table1[[#This Row],[RET ISR]]-Table1[[#This Row],[TOTAL]]</f>
        <v>0</v>
      </c>
      <c r="AK7307" s="306" t="str">
        <f>IF(ISNUMBER(Table1[[#This Row],[FECHA DE RECIBIDO]]), Table1[[#This Row],[FECHA DE RECIBIDO]]-DATE(2023,8,30), "")</f>
        <v/>
      </c>
    </row>
    <row r="7308" spans="1:37">
      <c r="A7308" s="172"/>
      <c r="B7308" s="178"/>
      <c r="C7308" s="179" t="s">
        <v>2868</v>
      </c>
      <c r="D7308">
        <v>4614</v>
      </c>
      <c r="E7308" s="125"/>
      <c r="F7308" s="178"/>
      <c r="G7308" s="178"/>
      <c r="H7308"/>
      <c r="I7308" s="178"/>
      <c r="J7308" s="320" t="s">
        <v>214</v>
      </c>
      <c r="K7308" s="178"/>
      <c r="L7308" s="125" t="s">
        <v>4863</v>
      </c>
      <c r="M7308">
        <v>1507</v>
      </c>
      <c r="N7308" s="182"/>
      <c r="O7308">
        <v>4280</v>
      </c>
      <c r="P7308" s="176" t="s">
        <v>77</v>
      </c>
      <c r="Q7308" s="176">
        <v>561.75900000000001</v>
      </c>
      <c r="R7308" s="176"/>
      <c r="S7308" s="176"/>
      <c r="T7308" s="190"/>
      <c r="U7308" s="191"/>
      <c r="V7308" s="191">
        <f>+Table1[[#This Row],[SUBTOTAL]]+Table1[[#This Row],[IVA]]-Table1[[#This Row],[RET IVA]]-Table1[[#This Row],[RET ISR]]</f>
        <v>561.75900000000001</v>
      </c>
      <c r="W7308"/>
      <c r="X7308" s="186"/>
      <c r="Y7308" s="187"/>
      <c r="Z7308" s="311" t="s">
        <v>214</v>
      </c>
      <c r="AB7308" t="str">
        <f>IF(Table1[[#This Row],[TIPO2]]="costo", VLOOKUP(Table1[[#This Row],[PARTIDA PRESUPUESTAL]],'Cost Report'!G:G,1,0),"Balance")</f>
        <v>3632-009</v>
      </c>
      <c r="AD7308" s="159">
        <f>+Table1[[#This Row],[SUBTOTAL]]+Table1[[#This Row],[IVA]]-Table1[[#This Row],[RET IVA]]-Table1[[#This Row],[RET ISR]]-Table1[[#This Row],[TOTAL]]</f>
        <v>0</v>
      </c>
      <c r="AK7308" s="306" t="str">
        <f>IF(ISNUMBER(Table1[[#This Row],[FECHA DE RECIBIDO]]), Table1[[#This Row],[FECHA DE RECIBIDO]]-DATE(2023,8,30), "")</f>
        <v/>
      </c>
    </row>
    <row r="7309" spans="1:37">
      <c r="A7309" s="172"/>
      <c r="B7309" s="178"/>
      <c r="C7309" s="179" t="s">
        <v>977</v>
      </c>
      <c r="D7309">
        <v>4614</v>
      </c>
      <c r="E7309" s="125"/>
      <c r="F7309" s="178"/>
      <c r="G7309" s="178"/>
      <c r="H7309"/>
      <c r="I7309" s="178"/>
      <c r="J7309" s="320" t="s">
        <v>214</v>
      </c>
      <c r="K7309" s="178"/>
      <c r="L7309" s="125" t="s">
        <v>4863</v>
      </c>
      <c r="M7309">
        <v>1508</v>
      </c>
      <c r="N7309" s="182"/>
      <c r="O7309">
        <v>4281</v>
      </c>
      <c r="P7309" s="176" t="s">
        <v>77</v>
      </c>
      <c r="Q7309" s="176">
        <v>60</v>
      </c>
      <c r="R7309" s="176"/>
      <c r="S7309" s="176"/>
      <c r="T7309" s="190"/>
      <c r="U7309" s="191"/>
      <c r="V7309" s="191">
        <f>+Table1[[#This Row],[SUBTOTAL]]+Table1[[#This Row],[IVA]]-Table1[[#This Row],[RET IVA]]-Table1[[#This Row],[RET ISR]]</f>
        <v>60</v>
      </c>
      <c r="W7309"/>
      <c r="X7309" s="186"/>
      <c r="Y7309" s="187"/>
      <c r="Z7309" s="311" t="s">
        <v>214</v>
      </c>
      <c r="AB7309" t="str">
        <f>IF(Table1[[#This Row],[TIPO2]]="costo", VLOOKUP(Table1[[#This Row],[PARTIDA PRESUPUESTAL]],'Cost Report'!G:G,1,0),"Balance")</f>
        <v>3410-012</v>
      </c>
      <c r="AD7309" s="159">
        <f>+Table1[[#This Row],[SUBTOTAL]]+Table1[[#This Row],[IVA]]-Table1[[#This Row],[RET IVA]]-Table1[[#This Row],[RET ISR]]-Table1[[#This Row],[TOTAL]]</f>
        <v>0</v>
      </c>
      <c r="AK7309" s="306" t="str">
        <f>IF(ISNUMBER(Table1[[#This Row],[FECHA DE RECIBIDO]]), Table1[[#This Row],[FECHA DE RECIBIDO]]-DATE(2023,8,30), "")</f>
        <v/>
      </c>
    </row>
    <row r="7310" spans="1:37">
      <c r="A7310" s="172"/>
      <c r="B7310" s="178"/>
      <c r="C7310" s="179" t="s">
        <v>3415</v>
      </c>
      <c r="D7310">
        <v>4614</v>
      </c>
      <c r="E7310" s="125"/>
      <c r="F7310" s="178"/>
      <c r="G7310" s="178"/>
      <c r="H7310"/>
      <c r="I7310" s="178"/>
      <c r="J7310" s="320" t="s">
        <v>214</v>
      </c>
      <c r="K7310" s="178"/>
      <c r="L7310" s="125" t="s">
        <v>4863</v>
      </c>
      <c r="M7310">
        <v>1509</v>
      </c>
      <c r="N7310" s="182"/>
      <c r="O7310">
        <v>4282</v>
      </c>
      <c r="P7310" s="176" t="s">
        <v>77</v>
      </c>
      <c r="Q7310" s="176">
        <v>360</v>
      </c>
      <c r="R7310" s="176"/>
      <c r="S7310" s="176"/>
      <c r="T7310" s="190"/>
      <c r="U7310" s="191"/>
      <c r="V7310" s="191">
        <f>+Table1[[#This Row],[SUBTOTAL]]+Table1[[#This Row],[IVA]]-Table1[[#This Row],[RET IVA]]-Table1[[#This Row],[RET ISR]]</f>
        <v>360</v>
      </c>
      <c r="W7310"/>
      <c r="X7310" s="186"/>
      <c r="Y7310" s="187"/>
      <c r="Z7310" s="311" t="s">
        <v>214</v>
      </c>
      <c r="AB7310" t="str">
        <f>IF(Table1[[#This Row],[TIPO2]]="costo", VLOOKUP(Table1[[#This Row],[PARTIDA PRESUPUESTAL]],'Cost Report'!G:G,1,0),"Balance")</f>
        <v>3629-006</v>
      </c>
      <c r="AD7310" s="159">
        <f>+Table1[[#This Row],[SUBTOTAL]]+Table1[[#This Row],[IVA]]-Table1[[#This Row],[RET IVA]]-Table1[[#This Row],[RET ISR]]-Table1[[#This Row],[TOTAL]]</f>
        <v>0</v>
      </c>
      <c r="AK7310" s="306" t="str">
        <f>IF(ISNUMBER(Table1[[#This Row],[FECHA DE RECIBIDO]]), Table1[[#This Row],[FECHA DE RECIBIDO]]-DATE(2023,8,30), "")</f>
        <v/>
      </c>
    </row>
    <row r="7311" spans="1:37">
      <c r="A7311" s="172"/>
      <c r="B7311" s="178"/>
      <c r="C7311" s="179" t="s">
        <v>977</v>
      </c>
      <c r="D7311">
        <v>4614</v>
      </c>
      <c r="E7311" s="125"/>
      <c r="F7311" s="178"/>
      <c r="G7311" s="178"/>
      <c r="H7311"/>
      <c r="I7311" s="178"/>
      <c r="J7311" s="320" t="s">
        <v>214</v>
      </c>
      <c r="K7311" s="178"/>
      <c r="L7311" s="125" t="s">
        <v>4863</v>
      </c>
      <c r="M7311">
        <v>815</v>
      </c>
      <c r="N7311" s="182"/>
      <c r="O7311">
        <v>4283</v>
      </c>
      <c r="P7311" s="176" t="s">
        <v>77</v>
      </c>
      <c r="Q7311" s="176">
        <v>150</v>
      </c>
      <c r="R7311" s="176"/>
      <c r="S7311" s="176"/>
      <c r="T7311" s="190"/>
      <c r="U7311" s="191"/>
      <c r="V7311" s="191">
        <f>+Table1[[#This Row],[SUBTOTAL]]+Table1[[#This Row],[IVA]]-Table1[[#This Row],[RET IVA]]-Table1[[#This Row],[RET ISR]]</f>
        <v>150</v>
      </c>
      <c r="W7311"/>
      <c r="X7311" s="186"/>
      <c r="Y7311" s="187"/>
      <c r="Z7311" s="311" t="s">
        <v>214</v>
      </c>
      <c r="AB7311" t="str">
        <f>IF(Table1[[#This Row],[TIPO2]]="costo", VLOOKUP(Table1[[#This Row],[PARTIDA PRESUPUESTAL]],'Cost Report'!G:G,1,0),"Balance")</f>
        <v>3410-012</v>
      </c>
      <c r="AD7311" s="159">
        <f>+Table1[[#This Row],[SUBTOTAL]]+Table1[[#This Row],[IVA]]-Table1[[#This Row],[RET IVA]]-Table1[[#This Row],[RET ISR]]-Table1[[#This Row],[TOTAL]]</f>
        <v>0</v>
      </c>
      <c r="AK7311" s="306" t="str">
        <f>IF(ISNUMBER(Table1[[#This Row],[FECHA DE RECIBIDO]]), Table1[[#This Row],[FECHA DE RECIBIDO]]-DATE(2023,8,30), "")</f>
        <v/>
      </c>
    </row>
    <row r="7312" spans="1:37">
      <c r="A7312" s="172"/>
      <c r="B7312" s="178"/>
      <c r="C7312" s="179" t="s">
        <v>2953</v>
      </c>
      <c r="D7312">
        <v>4614</v>
      </c>
      <c r="E7312" s="125"/>
      <c r="F7312" s="178"/>
      <c r="G7312" s="178"/>
      <c r="H7312"/>
      <c r="I7312" s="178"/>
      <c r="J7312" s="320" t="s">
        <v>214</v>
      </c>
      <c r="K7312" s="178"/>
      <c r="L7312" s="125" t="s">
        <v>4863</v>
      </c>
      <c r="M7312">
        <v>1510</v>
      </c>
      <c r="N7312" s="182"/>
      <c r="O7312">
        <v>4284</v>
      </c>
      <c r="P7312" s="176" t="s">
        <v>77</v>
      </c>
      <c r="Q7312" s="176">
        <v>120</v>
      </c>
      <c r="R7312" s="176"/>
      <c r="S7312" s="176"/>
      <c r="T7312" s="190"/>
      <c r="U7312" s="191"/>
      <c r="V7312" s="191">
        <f>+Table1[[#This Row],[SUBTOTAL]]+Table1[[#This Row],[IVA]]-Table1[[#This Row],[RET IVA]]-Table1[[#This Row],[RET ISR]]</f>
        <v>120</v>
      </c>
      <c r="W7312"/>
      <c r="X7312" s="186"/>
      <c r="Y7312" s="187"/>
      <c r="Z7312" s="311" t="s">
        <v>214</v>
      </c>
      <c r="AB7312" t="str">
        <f>IF(Table1[[#This Row],[TIPO2]]="costo", VLOOKUP(Table1[[#This Row],[PARTIDA PRESUPUESTAL]],'Cost Report'!G:G,1,0),"Balance")</f>
        <v>3901-049</v>
      </c>
      <c r="AD7312" s="159">
        <f>+Table1[[#This Row],[SUBTOTAL]]+Table1[[#This Row],[IVA]]-Table1[[#This Row],[RET IVA]]-Table1[[#This Row],[RET ISR]]-Table1[[#This Row],[TOTAL]]</f>
        <v>0</v>
      </c>
      <c r="AK7312" s="306" t="str">
        <f>IF(ISNUMBER(Table1[[#This Row],[FECHA DE RECIBIDO]]), Table1[[#This Row],[FECHA DE RECIBIDO]]-DATE(2023,8,30), "")</f>
        <v/>
      </c>
    </row>
    <row r="7313" spans="1:37">
      <c r="A7313" s="172"/>
      <c r="B7313" s="178"/>
      <c r="C7313" s="179" t="s">
        <v>2953</v>
      </c>
      <c r="D7313">
        <v>4614</v>
      </c>
      <c r="E7313" s="125"/>
      <c r="F7313" s="178"/>
      <c r="G7313" s="178"/>
      <c r="H7313"/>
      <c r="I7313" s="178"/>
      <c r="J7313" s="320" t="s">
        <v>214</v>
      </c>
      <c r="K7313" s="178"/>
      <c r="L7313" s="125" t="s">
        <v>4863</v>
      </c>
      <c r="M7313">
        <v>1511</v>
      </c>
      <c r="N7313" s="182"/>
      <c r="O7313">
        <v>4285</v>
      </c>
      <c r="P7313" s="176" t="s">
        <v>77</v>
      </c>
      <c r="Q7313" s="176">
        <v>303</v>
      </c>
      <c r="R7313" s="176"/>
      <c r="S7313" s="176"/>
      <c r="T7313" s="190"/>
      <c r="U7313" s="191"/>
      <c r="V7313" s="191">
        <f>+Table1[[#This Row],[SUBTOTAL]]+Table1[[#This Row],[IVA]]-Table1[[#This Row],[RET IVA]]-Table1[[#This Row],[RET ISR]]</f>
        <v>303</v>
      </c>
      <c r="W7313"/>
      <c r="X7313" s="186"/>
      <c r="Y7313" s="187"/>
      <c r="Z7313" s="311" t="s">
        <v>214</v>
      </c>
      <c r="AB7313" t="str">
        <f>IF(Table1[[#This Row],[TIPO2]]="costo", VLOOKUP(Table1[[#This Row],[PARTIDA PRESUPUESTAL]],'Cost Report'!G:G,1,0),"Balance")</f>
        <v>3901-049</v>
      </c>
      <c r="AD7313" s="159">
        <f>+Table1[[#This Row],[SUBTOTAL]]+Table1[[#This Row],[IVA]]-Table1[[#This Row],[RET IVA]]-Table1[[#This Row],[RET ISR]]-Table1[[#This Row],[TOTAL]]</f>
        <v>0</v>
      </c>
      <c r="AK7313" s="306" t="str">
        <f>IF(ISNUMBER(Table1[[#This Row],[FECHA DE RECIBIDO]]), Table1[[#This Row],[FECHA DE RECIBIDO]]-DATE(2023,8,30), "")</f>
        <v/>
      </c>
    </row>
    <row r="7314" spans="1:37">
      <c r="A7314" s="172"/>
      <c r="B7314" s="178"/>
      <c r="C7314" s="179" t="s">
        <v>977</v>
      </c>
      <c r="D7314">
        <v>4614</v>
      </c>
      <c r="E7314" s="125"/>
      <c r="F7314" s="178"/>
      <c r="G7314" s="178"/>
      <c r="H7314"/>
      <c r="I7314" s="178"/>
      <c r="J7314" s="320" t="s">
        <v>214</v>
      </c>
      <c r="K7314" s="178"/>
      <c r="L7314" s="125" t="s">
        <v>4863</v>
      </c>
      <c r="M7314">
        <v>1512</v>
      </c>
      <c r="N7314" s="182"/>
      <c r="O7314">
        <v>4286</v>
      </c>
      <c r="P7314" s="176" t="s">
        <v>77</v>
      </c>
      <c r="Q7314" s="176">
        <v>135.6</v>
      </c>
      <c r="R7314" s="176"/>
      <c r="S7314" s="176"/>
      <c r="T7314" s="190"/>
      <c r="U7314" s="191"/>
      <c r="V7314" s="191">
        <f>+Table1[[#This Row],[SUBTOTAL]]+Table1[[#This Row],[IVA]]-Table1[[#This Row],[RET IVA]]-Table1[[#This Row],[RET ISR]]</f>
        <v>135.6</v>
      </c>
      <c r="W7314"/>
      <c r="X7314" s="186"/>
      <c r="Y7314" s="187"/>
      <c r="Z7314" s="311" t="s">
        <v>214</v>
      </c>
      <c r="AB7314" t="str">
        <f>IF(Table1[[#This Row],[TIPO2]]="costo", VLOOKUP(Table1[[#This Row],[PARTIDA PRESUPUESTAL]],'Cost Report'!G:G,1,0),"Balance")</f>
        <v>3410-012</v>
      </c>
      <c r="AD7314" s="159">
        <f>+Table1[[#This Row],[SUBTOTAL]]+Table1[[#This Row],[IVA]]-Table1[[#This Row],[RET IVA]]-Table1[[#This Row],[RET ISR]]-Table1[[#This Row],[TOTAL]]</f>
        <v>0</v>
      </c>
      <c r="AK7314" s="306" t="str">
        <f>IF(ISNUMBER(Table1[[#This Row],[FECHA DE RECIBIDO]]), Table1[[#This Row],[FECHA DE RECIBIDO]]-DATE(2023,8,30), "")</f>
        <v/>
      </c>
    </row>
    <row r="7315" spans="1:37">
      <c r="A7315" s="172"/>
      <c r="B7315" s="178"/>
      <c r="C7315" s="179" t="s">
        <v>977</v>
      </c>
      <c r="D7315">
        <v>4614</v>
      </c>
      <c r="E7315" s="125"/>
      <c r="F7315" s="178"/>
      <c r="G7315" s="178"/>
      <c r="H7315"/>
      <c r="I7315" s="178"/>
      <c r="J7315" s="320" t="s">
        <v>214</v>
      </c>
      <c r="K7315" s="178"/>
      <c r="L7315" s="125" t="s">
        <v>4863</v>
      </c>
      <c r="M7315">
        <v>1513</v>
      </c>
      <c r="N7315" s="182"/>
      <c r="O7315">
        <v>4287</v>
      </c>
      <c r="P7315" s="176" t="s">
        <v>77</v>
      </c>
      <c r="Q7315" s="176">
        <v>221.08500000000001</v>
      </c>
      <c r="R7315" s="176"/>
      <c r="S7315" s="176"/>
      <c r="T7315" s="190"/>
      <c r="U7315" s="191"/>
      <c r="V7315" s="191">
        <f>+Table1[[#This Row],[SUBTOTAL]]+Table1[[#This Row],[IVA]]-Table1[[#This Row],[RET IVA]]-Table1[[#This Row],[RET ISR]]</f>
        <v>221.08500000000001</v>
      </c>
      <c r="W7315"/>
      <c r="X7315" s="186"/>
      <c r="Y7315" s="187"/>
      <c r="Z7315" s="311" t="s">
        <v>214</v>
      </c>
      <c r="AB7315" t="str">
        <f>IF(Table1[[#This Row],[TIPO2]]="costo", VLOOKUP(Table1[[#This Row],[PARTIDA PRESUPUESTAL]],'Cost Report'!G:G,1,0),"Balance")</f>
        <v>3410-012</v>
      </c>
      <c r="AD7315" s="159">
        <f>+Table1[[#This Row],[SUBTOTAL]]+Table1[[#This Row],[IVA]]-Table1[[#This Row],[RET IVA]]-Table1[[#This Row],[RET ISR]]-Table1[[#This Row],[TOTAL]]</f>
        <v>0</v>
      </c>
      <c r="AK7315" s="306" t="str">
        <f>IF(ISNUMBER(Table1[[#This Row],[FECHA DE RECIBIDO]]), Table1[[#This Row],[FECHA DE RECIBIDO]]-DATE(2023,8,30), "")</f>
        <v/>
      </c>
    </row>
    <row r="7316" spans="1:37">
      <c r="A7316" s="172"/>
      <c r="B7316" s="178"/>
      <c r="C7316" s="179" t="s">
        <v>3002</v>
      </c>
      <c r="D7316">
        <v>4614</v>
      </c>
      <c r="E7316" s="125"/>
      <c r="F7316" s="178"/>
      <c r="G7316" s="178"/>
      <c r="H7316"/>
      <c r="I7316" s="178"/>
      <c r="J7316" s="320" t="s">
        <v>214</v>
      </c>
      <c r="K7316" s="178"/>
      <c r="L7316" s="125" t="s">
        <v>4863</v>
      </c>
      <c r="M7316"/>
      <c r="N7316" s="182"/>
      <c r="O7316">
        <v>4288</v>
      </c>
      <c r="P7316" s="176" t="s">
        <v>77</v>
      </c>
      <c r="Q7316" s="176">
        <v>257.09999999999997</v>
      </c>
      <c r="R7316" s="176"/>
      <c r="S7316" s="176"/>
      <c r="T7316" s="190"/>
      <c r="U7316" s="191"/>
      <c r="V7316" s="191">
        <f>+Table1[[#This Row],[SUBTOTAL]]+Table1[[#This Row],[IVA]]-Table1[[#This Row],[RET IVA]]-Table1[[#This Row],[RET ISR]]</f>
        <v>257.09999999999997</v>
      </c>
      <c r="W7316"/>
      <c r="X7316" s="186"/>
      <c r="Y7316" s="187"/>
      <c r="Z7316" s="311" t="s">
        <v>214</v>
      </c>
      <c r="AB7316" t="str">
        <f>IF(Table1[[#This Row],[TIPO2]]="costo", VLOOKUP(Table1[[#This Row],[PARTIDA PRESUPUESTAL]],'Cost Report'!G:G,1,0),"Balance")</f>
        <v>4180-003</v>
      </c>
      <c r="AD7316" s="159">
        <f>+Table1[[#This Row],[SUBTOTAL]]+Table1[[#This Row],[IVA]]-Table1[[#This Row],[RET IVA]]-Table1[[#This Row],[RET ISR]]-Table1[[#This Row],[TOTAL]]</f>
        <v>0</v>
      </c>
      <c r="AK7316" s="306" t="str">
        <f>IF(ISNUMBER(Table1[[#This Row],[FECHA DE RECIBIDO]]), Table1[[#This Row],[FECHA DE RECIBIDO]]-DATE(2023,8,30), "")</f>
        <v/>
      </c>
    </row>
    <row r="7317" spans="1:37">
      <c r="A7317" s="172"/>
      <c r="B7317" s="178"/>
      <c r="C7317" s="179" t="s">
        <v>977</v>
      </c>
      <c r="D7317">
        <v>4614</v>
      </c>
      <c r="E7317" s="125"/>
      <c r="F7317" s="178"/>
      <c r="G7317" s="178"/>
      <c r="H7317"/>
      <c r="I7317" s="178"/>
      <c r="J7317" s="320" t="s">
        <v>214</v>
      </c>
      <c r="K7317" s="178"/>
      <c r="L7317" s="125" t="s">
        <v>4863</v>
      </c>
      <c r="M7317">
        <v>514</v>
      </c>
      <c r="N7317" s="182"/>
      <c r="O7317">
        <v>3820</v>
      </c>
      <c r="P7317" s="176" t="s">
        <v>77</v>
      </c>
      <c r="Q7317" s="176">
        <v>20.55</v>
      </c>
      <c r="R7317" s="176"/>
      <c r="S7317" s="176"/>
      <c r="T7317" s="190"/>
      <c r="U7317" s="191"/>
      <c r="V7317" s="191">
        <f>+Table1[[#This Row],[SUBTOTAL]]+Table1[[#This Row],[IVA]]-Table1[[#This Row],[RET IVA]]-Table1[[#This Row],[RET ISR]]</f>
        <v>20.55</v>
      </c>
      <c r="W7317"/>
      <c r="X7317" s="186"/>
      <c r="Y7317" s="187"/>
      <c r="Z7317" s="311" t="s">
        <v>214</v>
      </c>
      <c r="AB7317" t="str">
        <f>IF(Table1[[#This Row],[TIPO2]]="costo", VLOOKUP(Table1[[#This Row],[PARTIDA PRESUPUESTAL]],'Cost Report'!G:G,1,0),"Balance")</f>
        <v>3410-012</v>
      </c>
      <c r="AD7317" s="159">
        <f>+Table1[[#This Row],[SUBTOTAL]]+Table1[[#This Row],[IVA]]-Table1[[#This Row],[RET IVA]]-Table1[[#This Row],[RET ISR]]-Table1[[#This Row],[TOTAL]]</f>
        <v>0</v>
      </c>
      <c r="AK7317" s="306" t="str">
        <f>IF(ISNUMBER(Table1[[#This Row],[FECHA DE RECIBIDO]]), Table1[[#This Row],[FECHA DE RECIBIDO]]-DATE(2023,8,30), "")</f>
        <v/>
      </c>
    </row>
    <row r="7318" spans="1:37">
      <c r="A7318" s="172"/>
      <c r="B7318" s="178"/>
      <c r="C7318" s="179" t="s">
        <v>4210</v>
      </c>
      <c r="D7318">
        <v>4614</v>
      </c>
      <c r="E7318" s="125"/>
      <c r="F7318" s="178"/>
      <c r="G7318" s="178"/>
      <c r="H7318"/>
      <c r="I7318" s="178"/>
      <c r="J7318" s="320" t="s">
        <v>214</v>
      </c>
      <c r="K7318" s="178"/>
      <c r="L7318" s="125" t="s">
        <v>4863</v>
      </c>
      <c r="M7318">
        <v>661</v>
      </c>
      <c r="N7318" s="182"/>
      <c r="O7318">
        <v>4321</v>
      </c>
      <c r="P7318" s="176" t="s">
        <v>77</v>
      </c>
      <c r="Q7318" s="176">
        <v>268.5</v>
      </c>
      <c r="R7318" s="176"/>
      <c r="S7318" s="176"/>
      <c r="T7318" s="190"/>
      <c r="U7318" s="191"/>
      <c r="V7318" s="191">
        <f>+Table1[[#This Row],[SUBTOTAL]]+Table1[[#This Row],[IVA]]-Table1[[#This Row],[RET IVA]]-Table1[[#This Row],[RET ISR]]</f>
        <v>268.5</v>
      </c>
      <c r="W7318"/>
      <c r="X7318" s="186"/>
      <c r="Y7318" s="187"/>
      <c r="Z7318" s="311" t="s">
        <v>214</v>
      </c>
      <c r="AB7318" t="str">
        <f>IF(Table1[[#This Row],[TIPO2]]="costo", VLOOKUP(Table1[[#This Row],[PARTIDA PRESUPUESTAL]],'Cost Report'!G:G,1,0),"Balance")</f>
        <v>3901-051</v>
      </c>
      <c r="AD7318" s="159">
        <f>+Table1[[#This Row],[SUBTOTAL]]+Table1[[#This Row],[IVA]]-Table1[[#This Row],[RET IVA]]-Table1[[#This Row],[RET ISR]]-Table1[[#This Row],[TOTAL]]</f>
        <v>0</v>
      </c>
      <c r="AK7318" s="306" t="str">
        <f>IF(ISNUMBER(Table1[[#This Row],[FECHA DE RECIBIDO]]), Table1[[#This Row],[FECHA DE RECIBIDO]]-DATE(2023,8,30), "")</f>
        <v/>
      </c>
    </row>
    <row r="7319" spans="1:37">
      <c r="A7319" s="172"/>
      <c r="B7319" s="178"/>
      <c r="C7319" s="179" t="s">
        <v>1181</v>
      </c>
      <c r="D7319">
        <v>4614</v>
      </c>
      <c r="E7319" s="125"/>
      <c r="F7319" s="178"/>
      <c r="G7319" s="178"/>
      <c r="H7319"/>
      <c r="I7319" s="178"/>
      <c r="J7319" s="320" t="s">
        <v>214</v>
      </c>
      <c r="K7319" s="178"/>
      <c r="L7319" s="125" t="s">
        <v>4863</v>
      </c>
      <c r="M7319">
        <v>215</v>
      </c>
      <c r="N7319" s="182"/>
      <c r="O7319">
        <v>4322</v>
      </c>
      <c r="P7319" s="176" t="s">
        <v>77</v>
      </c>
      <c r="Q7319" s="176">
        <v>14.423999999999999</v>
      </c>
      <c r="R7319" s="176"/>
      <c r="S7319" s="176"/>
      <c r="T7319" s="190"/>
      <c r="U7319" s="191"/>
      <c r="V7319" s="191">
        <f>+Table1[[#This Row],[SUBTOTAL]]+Table1[[#This Row],[IVA]]-Table1[[#This Row],[RET IVA]]-Table1[[#This Row],[RET ISR]]</f>
        <v>14.423999999999999</v>
      </c>
      <c r="W7319"/>
      <c r="X7319" s="186"/>
      <c r="Y7319" s="187"/>
      <c r="Z7319" s="311" t="s">
        <v>214</v>
      </c>
      <c r="AB7319" t="str">
        <f>IF(Table1[[#This Row],[TIPO2]]="costo", VLOOKUP(Table1[[#This Row],[PARTIDA PRESUPUESTAL]],'Cost Report'!G:G,1,0),"Balance")</f>
        <v>3904-003</v>
      </c>
      <c r="AD7319" s="159">
        <f>+Table1[[#This Row],[SUBTOTAL]]+Table1[[#This Row],[IVA]]-Table1[[#This Row],[RET IVA]]-Table1[[#This Row],[RET ISR]]-Table1[[#This Row],[TOTAL]]</f>
        <v>0</v>
      </c>
      <c r="AK7319" s="306" t="str">
        <f>IF(ISNUMBER(Table1[[#This Row],[FECHA DE RECIBIDO]]), Table1[[#This Row],[FECHA DE RECIBIDO]]-DATE(2023,8,30), "")</f>
        <v/>
      </c>
    </row>
    <row r="7320" spans="1:37">
      <c r="A7320" s="172"/>
      <c r="B7320" s="178"/>
      <c r="C7320" s="179" t="s">
        <v>1181</v>
      </c>
      <c r="D7320">
        <v>4614</v>
      </c>
      <c r="E7320" s="125"/>
      <c r="F7320" s="178"/>
      <c r="G7320" s="178"/>
      <c r="H7320"/>
      <c r="I7320" s="178"/>
      <c r="J7320" s="320" t="s">
        <v>214</v>
      </c>
      <c r="K7320" s="178"/>
      <c r="L7320" s="125" t="s">
        <v>4863</v>
      </c>
      <c r="M7320">
        <v>215</v>
      </c>
      <c r="N7320" s="182"/>
      <c r="O7320">
        <v>4322</v>
      </c>
      <c r="P7320" s="176" t="s">
        <v>77</v>
      </c>
      <c r="Q7320" s="176">
        <v>56.931000000000004</v>
      </c>
      <c r="R7320" s="176"/>
      <c r="S7320" s="176"/>
      <c r="T7320" s="190"/>
      <c r="U7320" s="191"/>
      <c r="V7320" s="191">
        <f>+Table1[[#This Row],[SUBTOTAL]]+Table1[[#This Row],[IVA]]-Table1[[#This Row],[RET IVA]]-Table1[[#This Row],[RET ISR]]</f>
        <v>56.931000000000004</v>
      </c>
      <c r="W7320"/>
      <c r="X7320" s="186"/>
      <c r="Y7320" s="187"/>
      <c r="Z7320" s="311" t="s">
        <v>214</v>
      </c>
      <c r="AB7320" t="str">
        <f>IF(Table1[[#This Row],[TIPO2]]="costo", VLOOKUP(Table1[[#This Row],[PARTIDA PRESUPUESTAL]],'Cost Report'!G:G,1,0),"Balance")</f>
        <v>3904-003</v>
      </c>
      <c r="AD7320" s="159">
        <f>+Table1[[#This Row],[SUBTOTAL]]+Table1[[#This Row],[IVA]]-Table1[[#This Row],[RET IVA]]-Table1[[#This Row],[RET ISR]]-Table1[[#This Row],[TOTAL]]</f>
        <v>0</v>
      </c>
      <c r="AK7320" s="306" t="str">
        <f>IF(ISNUMBER(Table1[[#This Row],[FECHA DE RECIBIDO]]), Table1[[#This Row],[FECHA DE RECIBIDO]]-DATE(2023,8,30), "")</f>
        <v/>
      </c>
    </row>
    <row r="7321" spans="1:37">
      <c r="A7321" s="172"/>
      <c r="B7321" s="178"/>
      <c r="C7321" s="179" t="s">
        <v>1181</v>
      </c>
      <c r="D7321">
        <v>4614</v>
      </c>
      <c r="E7321" s="125"/>
      <c r="F7321" s="178"/>
      <c r="G7321" s="178"/>
      <c r="H7321"/>
      <c r="I7321" s="178"/>
      <c r="J7321" s="320" t="s">
        <v>214</v>
      </c>
      <c r="K7321" s="178"/>
      <c r="L7321" s="125" t="s">
        <v>4863</v>
      </c>
      <c r="M7321">
        <v>215</v>
      </c>
      <c r="N7321" s="182"/>
      <c r="O7321">
        <v>4322</v>
      </c>
      <c r="P7321" s="176" t="s">
        <v>77</v>
      </c>
      <c r="Q7321" s="176">
        <v>88.391999999999996</v>
      </c>
      <c r="R7321" s="176"/>
      <c r="S7321" s="176"/>
      <c r="T7321" s="190"/>
      <c r="U7321" s="191"/>
      <c r="V7321" s="191">
        <f>+Table1[[#This Row],[SUBTOTAL]]+Table1[[#This Row],[IVA]]-Table1[[#This Row],[RET IVA]]-Table1[[#This Row],[RET ISR]]</f>
        <v>88.391999999999996</v>
      </c>
      <c r="W7321"/>
      <c r="X7321" s="186"/>
      <c r="Y7321" s="187"/>
      <c r="Z7321" s="311" t="s">
        <v>214</v>
      </c>
      <c r="AB7321" t="str">
        <f>IF(Table1[[#This Row],[TIPO2]]="costo", VLOOKUP(Table1[[#This Row],[PARTIDA PRESUPUESTAL]],'Cost Report'!G:G,1,0),"Balance")</f>
        <v>3904-003</v>
      </c>
      <c r="AD7321" s="159">
        <f>+Table1[[#This Row],[SUBTOTAL]]+Table1[[#This Row],[IVA]]-Table1[[#This Row],[RET IVA]]-Table1[[#This Row],[RET ISR]]-Table1[[#This Row],[TOTAL]]</f>
        <v>0</v>
      </c>
      <c r="AK7321" s="306" t="str">
        <f>IF(ISNUMBER(Table1[[#This Row],[FECHA DE RECIBIDO]]), Table1[[#This Row],[FECHA DE RECIBIDO]]-DATE(2023,8,30), "")</f>
        <v/>
      </c>
    </row>
    <row r="7322" spans="1:37">
      <c r="A7322" s="172"/>
      <c r="B7322" s="178"/>
      <c r="C7322" s="179" t="s">
        <v>1181</v>
      </c>
      <c r="D7322">
        <v>4614</v>
      </c>
      <c r="E7322" s="125"/>
      <c r="F7322" s="178"/>
      <c r="G7322" s="178"/>
      <c r="H7322"/>
      <c r="I7322" s="178"/>
      <c r="J7322" s="320" t="s">
        <v>214</v>
      </c>
      <c r="K7322" s="178"/>
      <c r="L7322" s="125" t="s">
        <v>4863</v>
      </c>
      <c r="M7322">
        <v>215</v>
      </c>
      <c r="N7322" s="182"/>
      <c r="O7322">
        <v>4322</v>
      </c>
      <c r="P7322" s="176" t="s">
        <v>77</v>
      </c>
      <c r="Q7322" s="176">
        <v>48.018000000000001</v>
      </c>
      <c r="R7322" s="176"/>
      <c r="S7322" s="176"/>
      <c r="T7322" s="190"/>
      <c r="U7322" s="191"/>
      <c r="V7322" s="191">
        <f>+Table1[[#This Row],[SUBTOTAL]]+Table1[[#This Row],[IVA]]-Table1[[#This Row],[RET IVA]]-Table1[[#This Row],[RET ISR]]</f>
        <v>48.018000000000001</v>
      </c>
      <c r="W7322"/>
      <c r="X7322" s="186"/>
      <c r="Y7322" s="187"/>
      <c r="Z7322" s="311" t="s">
        <v>214</v>
      </c>
      <c r="AB7322" t="str">
        <f>IF(Table1[[#This Row],[TIPO2]]="costo", VLOOKUP(Table1[[#This Row],[PARTIDA PRESUPUESTAL]],'Cost Report'!G:G,1,0),"Balance")</f>
        <v>3904-003</v>
      </c>
      <c r="AD7322" s="159">
        <f>+Table1[[#This Row],[SUBTOTAL]]+Table1[[#This Row],[IVA]]-Table1[[#This Row],[RET IVA]]-Table1[[#This Row],[RET ISR]]-Table1[[#This Row],[TOTAL]]</f>
        <v>0</v>
      </c>
      <c r="AK7322" s="306" t="str">
        <f>IF(ISNUMBER(Table1[[#This Row],[FECHA DE RECIBIDO]]), Table1[[#This Row],[FECHA DE RECIBIDO]]-DATE(2023,8,30), "")</f>
        <v/>
      </c>
    </row>
    <row r="7323" spans="1:37">
      <c r="A7323" s="172"/>
      <c r="B7323" s="178"/>
      <c r="C7323" s="179" t="s">
        <v>1181</v>
      </c>
      <c r="D7323">
        <v>4614</v>
      </c>
      <c r="E7323" s="125"/>
      <c r="F7323" s="178"/>
      <c r="G7323" s="178"/>
      <c r="H7323"/>
      <c r="I7323" s="178"/>
      <c r="J7323" s="320" t="s">
        <v>214</v>
      </c>
      <c r="K7323" s="178"/>
      <c r="L7323" s="125" t="s">
        <v>4863</v>
      </c>
      <c r="M7323">
        <v>215</v>
      </c>
      <c r="N7323" s="182"/>
      <c r="O7323">
        <v>4322</v>
      </c>
      <c r="P7323" s="176" t="s">
        <v>77</v>
      </c>
      <c r="Q7323" s="176">
        <v>56.333999999999996</v>
      </c>
      <c r="R7323" s="176"/>
      <c r="S7323" s="176"/>
      <c r="T7323" s="190"/>
      <c r="U7323" s="191"/>
      <c r="V7323" s="191">
        <f>+Table1[[#This Row],[SUBTOTAL]]+Table1[[#This Row],[IVA]]-Table1[[#This Row],[RET IVA]]-Table1[[#This Row],[RET ISR]]</f>
        <v>56.333999999999996</v>
      </c>
      <c r="W7323"/>
      <c r="X7323" s="186"/>
      <c r="Y7323" s="187"/>
      <c r="Z7323" s="311" t="s">
        <v>214</v>
      </c>
      <c r="AB7323" t="str">
        <f>IF(Table1[[#This Row],[TIPO2]]="costo", VLOOKUP(Table1[[#This Row],[PARTIDA PRESUPUESTAL]],'Cost Report'!G:G,1,0),"Balance")</f>
        <v>3904-003</v>
      </c>
      <c r="AD7323" s="159">
        <f>+Table1[[#This Row],[SUBTOTAL]]+Table1[[#This Row],[IVA]]-Table1[[#This Row],[RET IVA]]-Table1[[#This Row],[RET ISR]]-Table1[[#This Row],[TOTAL]]</f>
        <v>0</v>
      </c>
      <c r="AK7323" s="306" t="str">
        <f>IF(ISNUMBER(Table1[[#This Row],[FECHA DE RECIBIDO]]), Table1[[#This Row],[FECHA DE RECIBIDO]]-DATE(2023,8,30), "")</f>
        <v/>
      </c>
    </row>
    <row r="7324" spans="1:37">
      <c r="A7324" s="172"/>
      <c r="B7324" s="178"/>
      <c r="C7324" s="179" t="s">
        <v>1181</v>
      </c>
      <c r="D7324">
        <v>4614</v>
      </c>
      <c r="E7324" s="125"/>
      <c r="F7324" s="178"/>
      <c r="G7324" s="178"/>
      <c r="H7324"/>
      <c r="I7324" s="178"/>
      <c r="J7324" s="320" t="s">
        <v>214</v>
      </c>
      <c r="K7324" s="178"/>
      <c r="L7324" s="125" t="s">
        <v>4863</v>
      </c>
      <c r="M7324">
        <v>215</v>
      </c>
      <c r="N7324" s="182"/>
      <c r="O7324">
        <v>4322</v>
      </c>
      <c r="P7324" s="176" t="s">
        <v>77</v>
      </c>
      <c r="Q7324" s="176">
        <v>37.944000000000003</v>
      </c>
      <c r="R7324" s="176"/>
      <c r="S7324" s="176"/>
      <c r="T7324" s="190"/>
      <c r="U7324" s="191"/>
      <c r="V7324" s="191">
        <f>+Table1[[#This Row],[SUBTOTAL]]+Table1[[#This Row],[IVA]]-Table1[[#This Row],[RET IVA]]-Table1[[#This Row],[RET ISR]]</f>
        <v>37.944000000000003</v>
      </c>
      <c r="W7324"/>
      <c r="X7324" s="186"/>
      <c r="Y7324" s="187"/>
      <c r="Z7324" s="311" t="s">
        <v>214</v>
      </c>
      <c r="AB7324" t="str">
        <f>IF(Table1[[#This Row],[TIPO2]]="costo", VLOOKUP(Table1[[#This Row],[PARTIDA PRESUPUESTAL]],'Cost Report'!G:G,1,0),"Balance")</f>
        <v>3904-003</v>
      </c>
      <c r="AD7324" s="159">
        <f>+Table1[[#This Row],[SUBTOTAL]]+Table1[[#This Row],[IVA]]-Table1[[#This Row],[RET IVA]]-Table1[[#This Row],[RET ISR]]-Table1[[#This Row],[TOTAL]]</f>
        <v>0</v>
      </c>
      <c r="AK7324" s="306" t="str">
        <f>IF(ISNUMBER(Table1[[#This Row],[FECHA DE RECIBIDO]]), Table1[[#This Row],[FECHA DE RECIBIDO]]-DATE(2023,8,30), "")</f>
        <v/>
      </c>
    </row>
    <row r="7325" spans="1:37">
      <c r="A7325" s="172"/>
      <c r="B7325" s="178"/>
      <c r="C7325" s="179" t="s">
        <v>2953</v>
      </c>
      <c r="D7325">
        <v>4614</v>
      </c>
      <c r="E7325" s="125"/>
      <c r="F7325" s="178"/>
      <c r="G7325" s="178"/>
      <c r="H7325"/>
      <c r="I7325" s="178"/>
      <c r="J7325" s="320" t="s">
        <v>214</v>
      </c>
      <c r="K7325" s="178"/>
      <c r="L7325" s="125" t="s">
        <v>4863</v>
      </c>
      <c r="M7325">
        <v>1511</v>
      </c>
      <c r="N7325" s="182"/>
      <c r="O7325">
        <v>4323</v>
      </c>
      <c r="P7325" s="176" t="s">
        <v>77</v>
      </c>
      <c r="Q7325" s="176">
        <v>1417.3109999999999</v>
      </c>
      <c r="R7325" s="176"/>
      <c r="S7325" s="176"/>
      <c r="T7325" s="190"/>
      <c r="U7325" s="191"/>
      <c r="V7325" s="191">
        <f>+Table1[[#This Row],[SUBTOTAL]]+Table1[[#This Row],[IVA]]-Table1[[#This Row],[RET IVA]]-Table1[[#This Row],[RET ISR]]</f>
        <v>1417.3109999999999</v>
      </c>
      <c r="W7325"/>
      <c r="X7325" s="186"/>
      <c r="Y7325" s="187"/>
      <c r="Z7325" s="311" t="s">
        <v>214</v>
      </c>
      <c r="AB7325" t="str">
        <f>IF(Table1[[#This Row],[TIPO2]]="costo", VLOOKUP(Table1[[#This Row],[PARTIDA PRESUPUESTAL]],'Cost Report'!G:G,1,0),"Balance")</f>
        <v>3901-049</v>
      </c>
      <c r="AD7325" s="159">
        <f>+Table1[[#This Row],[SUBTOTAL]]+Table1[[#This Row],[IVA]]-Table1[[#This Row],[RET IVA]]-Table1[[#This Row],[RET ISR]]-Table1[[#This Row],[TOTAL]]</f>
        <v>0</v>
      </c>
      <c r="AK7325" s="306" t="str">
        <f>IF(ISNUMBER(Table1[[#This Row],[FECHA DE RECIBIDO]]), Table1[[#This Row],[FECHA DE RECIBIDO]]-DATE(2023,8,30), "")</f>
        <v/>
      </c>
    </row>
    <row r="7326" spans="1:37">
      <c r="A7326" s="172"/>
      <c r="B7326" s="178"/>
      <c r="C7326" s="179" t="s">
        <v>4210</v>
      </c>
      <c r="D7326">
        <v>4614</v>
      </c>
      <c r="E7326" s="125"/>
      <c r="F7326" s="178"/>
      <c r="G7326" s="178"/>
      <c r="H7326"/>
      <c r="I7326" s="178"/>
      <c r="J7326" s="320" t="s">
        <v>214</v>
      </c>
      <c r="K7326" s="178"/>
      <c r="L7326" s="125" t="s">
        <v>4863</v>
      </c>
      <c r="M7326">
        <v>661</v>
      </c>
      <c r="N7326" s="182"/>
      <c r="O7326">
        <v>4324</v>
      </c>
      <c r="P7326" s="176" t="s">
        <v>77</v>
      </c>
      <c r="Q7326" s="176">
        <v>645</v>
      </c>
      <c r="R7326" s="176"/>
      <c r="S7326" s="176"/>
      <c r="T7326" s="190"/>
      <c r="U7326" s="191"/>
      <c r="V7326" s="191">
        <f>+Table1[[#This Row],[SUBTOTAL]]+Table1[[#This Row],[IVA]]-Table1[[#This Row],[RET IVA]]-Table1[[#This Row],[RET ISR]]</f>
        <v>645</v>
      </c>
      <c r="W7326"/>
      <c r="X7326" s="186"/>
      <c r="Y7326" s="187"/>
      <c r="Z7326" s="311" t="s">
        <v>214</v>
      </c>
      <c r="AB7326" t="str">
        <f>IF(Table1[[#This Row],[TIPO2]]="costo", VLOOKUP(Table1[[#This Row],[PARTIDA PRESUPUESTAL]],'Cost Report'!G:G,1,0),"Balance")</f>
        <v>3901-051</v>
      </c>
      <c r="AD7326" s="159">
        <f>+Table1[[#This Row],[SUBTOTAL]]+Table1[[#This Row],[IVA]]-Table1[[#This Row],[RET IVA]]-Table1[[#This Row],[RET ISR]]-Table1[[#This Row],[TOTAL]]</f>
        <v>0</v>
      </c>
      <c r="AK7326" s="306" t="str">
        <f>IF(ISNUMBER(Table1[[#This Row],[FECHA DE RECIBIDO]]), Table1[[#This Row],[FECHA DE RECIBIDO]]-DATE(2023,8,30), "")</f>
        <v/>
      </c>
    </row>
    <row r="7327" spans="1:37">
      <c r="A7327" s="172"/>
      <c r="B7327" s="178"/>
      <c r="C7327" s="179" t="s">
        <v>2352</v>
      </c>
      <c r="D7327">
        <v>4614</v>
      </c>
      <c r="E7327" s="125"/>
      <c r="F7327" s="178"/>
      <c r="G7327" s="178"/>
      <c r="H7327"/>
      <c r="I7327" s="178"/>
      <c r="J7327" s="320" t="s">
        <v>214</v>
      </c>
      <c r="K7327" s="178"/>
      <c r="L7327" s="125" t="s">
        <v>4863</v>
      </c>
      <c r="M7327">
        <v>1523</v>
      </c>
      <c r="N7327" s="182"/>
      <c r="O7327">
        <v>4325</v>
      </c>
      <c r="P7327" s="176" t="s">
        <v>77</v>
      </c>
      <c r="Q7327" s="176">
        <v>1185</v>
      </c>
      <c r="R7327" s="176"/>
      <c r="S7327" s="176"/>
      <c r="T7327" s="190"/>
      <c r="U7327" s="191"/>
      <c r="V7327" s="191">
        <f>+Table1[[#This Row],[SUBTOTAL]]+Table1[[#This Row],[IVA]]-Table1[[#This Row],[RET IVA]]-Table1[[#This Row],[RET ISR]]</f>
        <v>1185</v>
      </c>
      <c r="W7327"/>
      <c r="X7327" s="186"/>
      <c r="Y7327" s="187"/>
      <c r="Z7327" s="311" t="s">
        <v>214</v>
      </c>
      <c r="AB7327" t="str">
        <f>IF(Table1[[#This Row],[TIPO2]]="costo", VLOOKUP(Table1[[#This Row],[PARTIDA PRESUPUESTAL]],'Cost Report'!G:G,1,0),"Balance")</f>
        <v>1640-009</v>
      </c>
      <c r="AD7327" s="159">
        <f>+Table1[[#This Row],[SUBTOTAL]]+Table1[[#This Row],[IVA]]-Table1[[#This Row],[RET IVA]]-Table1[[#This Row],[RET ISR]]-Table1[[#This Row],[TOTAL]]</f>
        <v>0</v>
      </c>
      <c r="AK7327" s="306" t="str">
        <f>IF(ISNUMBER(Table1[[#This Row],[FECHA DE RECIBIDO]]), Table1[[#This Row],[FECHA DE RECIBIDO]]-DATE(2023,8,30), "")</f>
        <v/>
      </c>
    </row>
    <row r="7328" spans="1:37">
      <c r="A7328" s="172"/>
      <c r="B7328" s="178"/>
      <c r="C7328" s="179" t="s">
        <v>2352</v>
      </c>
      <c r="D7328">
        <v>4614</v>
      </c>
      <c r="E7328" s="125"/>
      <c r="F7328" s="178"/>
      <c r="G7328" s="178"/>
      <c r="H7328"/>
      <c r="I7328" s="178"/>
      <c r="J7328" s="320" t="s">
        <v>214</v>
      </c>
      <c r="K7328" s="178"/>
      <c r="L7328" s="125" t="s">
        <v>4863</v>
      </c>
      <c r="M7328">
        <v>178</v>
      </c>
      <c r="N7328" s="182"/>
      <c r="O7328">
        <v>4327</v>
      </c>
      <c r="P7328" s="176" t="s">
        <v>77</v>
      </c>
      <c r="Q7328" s="176">
        <v>90.3</v>
      </c>
      <c r="R7328" s="176"/>
      <c r="S7328" s="176"/>
      <c r="T7328" s="190"/>
      <c r="U7328" s="191"/>
      <c r="V7328" s="191">
        <f>+Table1[[#This Row],[SUBTOTAL]]+Table1[[#This Row],[IVA]]-Table1[[#This Row],[RET IVA]]-Table1[[#This Row],[RET ISR]]</f>
        <v>90.3</v>
      </c>
      <c r="W7328"/>
      <c r="X7328" s="186"/>
      <c r="Y7328" s="187"/>
      <c r="Z7328" s="311" t="s">
        <v>214</v>
      </c>
      <c r="AB7328" t="str">
        <f>IF(Table1[[#This Row],[TIPO2]]="costo", VLOOKUP(Table1[[#This Row],[PARTIDA PRESUPUESTAL]],'Cost Report'!G:G,1,0),"Balance")</f>
        <v>1640-009</v>
      </c>
      <c r="AD7328" s="159">
        <f>+Table1[[#This Row],[SUBTOTAL]]+Table1[[#This Row],[IVA]]-Table1[[#This Row],[RET IVA]]-Table1[[#This Row],[RET ISR]]-Table1[[#This Row],[TOTAL]]</f>
        <v>0</v>
      </c>
      <c r="AK7328" s="306" t="str">
        <f>IF(ISNUMBER(Table1[[#This Row],[FECHA DE RECIBIDO]]), Table1[[#This Row],[FECHA DE RECIBIDO]]-DATE(2023,8,30), "")</f>
        <v/>
      </c>
    </row>
    <row r="7329" spans="1:37">
      <c r="A7329" s="172"/>
      <c r="B7329" s="178"/>
      <c r="C7329" s="179" t="s">
        <v>2352</v>
      </c>
      <c r="D7329">
        <v>4614</v>
      </c>
      <c r="E7329" s="125"/>
      <c r="F7329" s="178"/>
      <c r="G7329" s="178"/>
      <c r="H7329"/>
      <c r="I7329" s="178"/>
      <c r="J7329" s="320" t="s">
        <v>214</v>
      </c>
      <c r="K7329" s="178"/>
      <c r="L7329" s="125" t="s">
        <v>4863</v>
      </c>
      <c r="M7329">
        <v>178</v>
      </c>
      <c r="N7329" s="182"/>
      <c r="O7329">
        <v>4328</v>
      </c>
      <c r="P7329" s="176" t="s">
        <v>77</v>
      </c>
      <c r="Q7329" s="176">
        <v>995.50199999999995</v>
      </c>
      <c r="R7329" s="176"/>
      <c r="S7329" s="176"/>
      <c r="T7329" s="190"/>
      <c r="U7329" s="191"/>
      <c r="V7329" s="191">
        <f>+Table1[[#This Row],[SUBTOTAL]]+Table1[[#This Row],[IVA]]-Table1[[#This Row],[RET IVA]]-Table1[[#This Row],[RET ISR]]</f>
        <v>995.50199999999995</v>
      </c>
      <c r="W7329"/>
      <c r="X7329" s="186"/>
      <c r="Y7329" s="187"/>
      <c r="Z7329" s="311" t="s">
        <v>214</v>
      </c>
      <c r="AB7329" t="str">
        <f>IF(Table1[[#This Row],[TIPO2]]="costo", VLOOKUP(Table1[[#This Row],[PARTIDA PRESUPUESTAL]],'Cost Report'!G:G,1,0),"Balance")</f>
        <v>1640-009</v>
      </c>
      <c r="AD7329" s="159">
        <f>+Table1[[#This Row],[SUBTOTAL]]+Table1[[#This Row],[IVA]]-Table1[[#This Row],[RET IVA]]-Table1[[#This Row],[RET ISR]]-Table1[[#This Row],[TOTAL]]</f>
        <v>0</v>
      </c>
      <c r="AK7329" s="306" t="str">
        <f>IF(ISNUMBER(Table1[[#This Row],[FECHA DE RECIBIDO]]), Table1[[#This Row],[FECHA DE RECIBIDO]]-DATE(2023,8,30), "")</f>
        <v/>
      </c>
    </row>
    <row r="7330" spans="1:37">
      <c r="A7330" s="172"/>
      <c r="B7330" s="178"/>
      <c r="C7330" s="179" t="s">
        <v>2352</v>
      </c>
      <c r="D7330">
        <v>4614</v>
      </c>
      <c r="E7330" s="125"/>
      <c r="F7330" s="178"/>
      <c r="G7330" s="178"/>
      <c r="H7330"/>
      <c r="I7330" s="178"/>
      <c r="J7330" s="320" t="s">
        <v>214</v>
      </c>
      <c r="K7330" s="178"/>
      <c r="L7330" s="125" t="s">
        <v>4863</v>
      </c>
      <c r="M7330">
        <v>178</v>
      </c>
      <c r="N7330" s="182"/>
      <c r="O7330">
        <v>4329</v>
      </c>
      <c r="P7330" s="176" t="s">
        <v>77</v>
      </c>
      <c r="Q7330" s="176">
        <v>1295.502</v>
      </c>
      <c r="R7330" s="176"/>
      <c r="S7330" s="176"/>
      <c r="T7330" s="190"/>
      <c r="U7330" s="191"/>
      <c r="V7330" s="191">
        <f>+Table1[[#This Row],[SUBTOTAL]]+Table1[[#This Row],[IVA]]-Table1[[#This Row],[RET IVA]]-Table1[[#This Row],[RET ISR]]</f>
        <v>1295.502</v>
      </c>
      <c r="W7330"/>
      <c r="X7330" s="186"/>
      <c r="Y7330" s="187"/>
      <c r="Z7330" s="311" t="s">
        <v>214</v>
      </c>
      <c r="AB7330" t="str">
        <f>IF(Table1[[#This Row],[TIPO2]]="costo", VLOOKUP(Table1[[#This Row],[PARTIDA PRESUPUESTAL]],'Cost Report'!G:G,1,0),"Balance")</f>
        <v>1640-009</v>
      </c>
      <c r="AD7330" s="159">
        <f>+Table1[[#This Row],[SUBTOTAL]]+Table1[[#This Row],[IVA]]-Table1[[#This Row],[RET IVA]]-Table1[[#This Row],[RET ISR]]-Table1[[#This Row],[TOTAL]]</f>
        <v>0</v>
      </c>
      <c r="AK7330" s="306" t="str">
        <f>IF(ISNUMBER(Table1[[#This Row],[FECHA DE RECIBIDO]]), Table1[[#This Row],[FECHA DE RECIBIDO]]-DATE(2023,8,30), "")</f>
        <v/>
      </c>
    </row>
    <row r="7331" spans="1:37">
      <c r="A7331" s="172"/>
      <c r="B7331" s="178"/>
      <c r="C7331" s="179" t="s">
        <v>2443</v>
      </c>
      <c r="D7331">
        <v>4614</v>
      </c>
      <c r="E7331" s="125"/>
      <c r="F7331" s="178"/>
      <c r="G7331" s="178"/>
      <c r="H7331"/>
      <c r="I7331" s="178"/>
      <c r="J7331" s="320" t="s">
        <v>214</v>
      </c>
      <c r="K7331" s="178"/>
      <c r="L7331" s="125" t="s">
        <v>4863</v>
      </c>
      <c r="M7331">
        <v>1587</v>
      </c>
      <c r="N7331" s="182"/>
      <c r="O7331">
        <v>4490</v>
      </c>
      <c r="P7331" s="176" t="s">
        <v>77</v>
      </c>
      <c r="Q7331" s="176">
        <v>3000</v>
      </c>
      <c r="R7331" s="176"/>
      <c r="S7331" s="176"/>
      <c r="T7331" s="190"/>
      <c r="U7331" s="191"/>
      <c r="V7331" s="191">
        <f>+Table1[[#This Row],[SUBTOTAL]]+Table1[[#This Row],[IVA]]-Table1[[#This Row],[RET IVA]]-Table1[[#This Row],[RET ISR]]</f>
        <v>3000</v>
      </c>
      <c r="W7331"/>
      <c r="X7331" s="186"/>
      <c r="Y7331" s="187"/>
      <c r="Z7331" s="311" t="s">
        <v>214</v>
      </c>
      <c r="AB7331" t="str">
        <f>IF(Table1[[#This Row],[TIPO2]]="costo", VLOOKUP(Table1[[#This Row],[PARTIDA PRESUPUESTAL]],'Cost Report'!G:G,1,0),"Balance")</f>
        <v>2080-003</v>
      </c>
      <c r="AD7331" s="159">
        <f>+Table1[[#This Row],[SUBTOTAL]]+Table1[[#This Row],[IVA]]-Table1[[#This Row],[RET IVA]]-Table1[[#This Row],[RET ISR]]-Table1[[#This Row],[TOTAL]]</f>
        <v>0</v>
      </c>
      <c r="AK7331" s="306" t="str">
        <f>IF(ISNUMBER(Table1[[#This Row],[FECHA DE RECIBIDO]]), Table1[[#This Row],[FECHA DE RECIBIDO]]-DATE(2023,8,30), "")</f>
        <v/>
      </c>
    </row>
    <row r="7332" spans="1:37">
      <c r="A7332" s="172"/>
      <c r="B7332" s="178"/>
      <c r="C7332" s="179" t="s">
        <v>2443</v>
      </c>
      <c r="D7332">
        <v>4614</v>
      </c>
      <c r="E7332" s="125"/>
      <c r="F7332" s="178"/>
      <c r="G7332" s="178"/>
      <c r="H7332"/>
      <c r="I7332" s="178"/>
      <c r="J7332" s="320" t="s">
        <v>214</v>
      </c>
      <c r="K7332" s="178"/>
      <c r="L7332" s="125" t="s">
        <v>4863</v>
      </c>
      <c r="M7332">
        <v>1587</v>
      </c>
      <c r="N7332" s="182"/>
      <c r="O7332">
        <v>4490</v>
      </c>
      <c r="P7332" s="176" t="s">
        <v>77</v>
      </c>
      <c r="Q7332" s="176">
        <v>1733.184</v>
      </c>
      <c r="R7332" s="176"/>
      <c r="S7332" s="176"/>
      <c r="T7332" s="190"/>
      <c r="U7332" s="191"/>
      <c r="V7332" s="191">
        <f>+Table1[[#This Row],[SUBTOTAL]]+Table1[[#This Row],[IVA]]-Table1[[#This Row],[RET IVA]]-Table1[[#This Row],[RET ISR]]</f>
        <v>1733.184</v>
      </c>
      <c r="W7332"/>
      <c r="X7332" s="186"/>
      <c r="Y7332" s="187"/>
      <c r="Z7332" s="311" t="s">
        <v>214</v>
      </c>
      <c r="AB7332" t="str">
        <f>IF(Table1[[#This Row],[TIPO2]]="costo", VLOOKUP(Table1[[#This Row],[PARTIDA PRESUPUESTAL]],'Cost Report'!G:G,1,0),"Balance")</f>
        <v>2080-003</v>
      </c>
      <c r="AD7332" s="159">
        <f>+Table1[[#This Row],[SUBTOTAL]]+Table1[[#This Row],[IVA]]-Table1[[#This Row],[RET IVA]]-Table1[[#This Row],[RET ISR]]-Table1[[#This Row],[TOTAL]]</f>
        <v>0</v>
      </c>
      <c r="AK7332" s="306" t="str">
        <f>IF(ISNUMBER(Table1[[#This Row],[FECHA DE RECIBIDO]]), Table1[[#This Row],[FECHA DE RECIBIDO]]-DATE(2023,8,30), "")</f>
        <v/>
      </c>
    </row>
    <row r="7333" spans="1:37" s="192" customFormat="1">
      <c r="A7333" s="253"/>
      <c r="B7333" s="254"/>
      <c r="C7333" s="255" t="s">
        <v>72</v>
      </c>
      <c r="D7333"/>
      <c r="E7333" s="256"/>
      <c r="F7333" s="254"/>
      <c r="G7333" s="254"/>
      <c r="H7333"/>
      <c r="I7333" s="254"/>
      <c r="J7333" s="324" t="s">
        <v>214</v>
      </c>
      <c r="K7333" s="254"/>
      <c r="L7333" s="256"/>
      <c r="M7333">
        <v>1530</v>
      </c>
      <c r="N7333" s="257"/>
      <c r="O7333">
        <v>4491</v>
      </c>
      <c r="P7333" s="258" t="s">
        <v>5597</v>
      </c>
      <c r="Q7333" s="258">
        <v>13001.16</v>
      </c>
      <c r="R7333" s="258"/>
      <c r="S7333" s="258"/>
      <c r="T7333" s="259"/>
      <c r="U7333" s="194"/>
      <c r="V7333" s="194">
        <f>+Table1[[#This Row],[SUBTOTAL]]+Table1[[#This Row],[IVA]]-Table1[[#This Row],[RET IVA]]-Table1[[#This Row],[RET ISR]]</f>
        <v>13001.16</v>
      </c>
      <c r="W7333"/>
      <c r="X7333" s="260"/>
      <c r="Y7333" s="261"/>
      <c r="Z7333" s="319" t="s">
        <v>214</v>
      </c>
      <c r="AB7333" s="192" t="str">
        <f>IF(Table1[[#This Row],[TIPO2]]="costo", VLOOKUP(Table1[[#This Row],[PARTIDA PRESUPUESTAL]],'Cost Report'!G:G,1,0),"Balance")</f>
        <v>Balance</v>
      </c>
      <c r="AD7333" s="262">
        <f>+Table1[[#This Row],[SUBTOTAL]]+Table1[[#This Row],[IVA]]-Table1[[#This Row],[RET IVA]]-Table1[[#This Row],[RET ISR]]-Table1[[#This Row],[TOTAL]]</f>
        <v>0</v>
      </c>
      <c r="AK7333" s="306" t="str">
        <f>IF(ISNUMBER(Table1[[#This Row],[FECHA DE RECIBIDO]]), Table1[[#This Row],[FECHA DE RECIBIDO]]-DATE(2023,8,30), "")</f>
        <v/>
      </c>
    </row>
    <row r="7334" spans="1:37" s="192" customFormat="1">
      <c r="A7334" s="253"/>
      <c r="B7334" s="254"/>
      <c r="C7334" s="255" t="s">
        <v>73</v>
      </c>
      <c r="D7334"/>
      <c r="E7334" s="256"/>
      <c r="F7334" s="254"/>
      <c r="G7334" s="254"/>
      <c r="H7334"/>
      <c r="I7334" s="254"/>
      <c r="J7334" s="324" t="s">
        <v>214</v>
      </c>
      <c r="K7334" s="254"/>
      <c r="L7334" s="256"/>
      <c r="M7334">
        <v>1530</v>
      </c>
      <c r="N7334" s="257"/>
      <c r="O7334">
        <v>4492</v>
      </c>
      <c r="P7334" s="258" t="s">
        <v>5597</v>
      </c>
      <c r="Q7334" s="258">
        <v>19289</v>
      </c>
      <c r="R7334" s="258"/>
      <c r="S7334" s="258"/>
      <c r="T7334" s="259"/>
      <c r="U7334" s="194"/>
      <c r="V7334" s="194">
        <f>+Table1[[#This Row],[SUBTOTAL]]+Table1[[#This Row],[IVA]]-Table1[[#This Row],[RET IVA]]-Table1[[#This Row],[RET ISR]]</f>
        <v>19289</v>
      </c>
      <c r="W7334"/>
      <c r="X7334" s="260"/>
      <c r="Y7334" s="261"/>
      <c r="Z7334" s="319" t="s">
        <v>214</v>
      </c>
      <c r="AB7334" s="192" t="str">
        <f>IF(Table1[[#This Row],[TIPO2]]="costo", VLOOKUP(Table1[[#This Row],[PARTIDA PRESUPUESTAL]],'Cost Report'!G:G,1,0),"Balance")</f>
        <v>Balance</v>
      </c>
      <c r="AD7334" s="262">
        <f>+Table1[[#This Row],[SUBTOTAL]]+Table1[[#This Row],[IVA]]-Table1[[#This Row],[RET IVA]]-Table1[[#This Row],[RET ISR]]-Table1[[#This Row],[TOTAL]]</f>
        <v>0</v>
      </c>
      <c r="AK7334" s="306" t="str">
        <f>IF(ISNUMBER(Table1[[#This Row],[FECHA DE RECIBIDO]]), Table1[[#This Row],[FECHA DE RECIBIDO]]-DATE(2023,8,30), "")</f>
        <v/>
      </c>
    </row>
    <row r="7335" spans="1:37" s="192" customFormat="1">
      <c r="A7335" s="253"/>
      <c r="B7335" s="254"/>
      <c r="C7335" s="255" t="s">
        <v>3097</v>
      </c>
      <c r="D7335"/>
      <c r="E7335" s="256"/>
      <c r="F7335" s="254"/>
      <c r="G7335" s="254"/>
      <c r="H7335"/>
      <c r="I7335" s="254"/>
      <c r="J7335" s="324" t="s">
        <v>214</v>
      </c>
      <c r="K7335" s="254"/>
      <c r="L7335" s="256"/>
      <c r="M7335">
        <v>1588</v>
      </c>
      <c r="N7335" s="257"/>
      <c r="O7335">
        <v>4493</v>
      </c>
      <c r="P7335" s="258" t="s">
        <v>77</v>
      </c>
      <c r="Q7335" s="258">
        <v>1069395.98</v>
      </c>
      <c r="R7335" s="258"/>
      <c r="S7335" s="258"/>
      <c r="T7335" s="259"/>
      <c r="U7335" s="194"/>
      <c r="V7335" s="194">
        <f>+Table1[[#This Row],[SUBTOTAL]]+Table1[[#This Row],[IVA]]-Table1[[#This Row],[RET IVA]]-Table1[[#This Row],[RET ISR]]</f>
        <v>1069395.98</v>
      </c>
      <c r="W7335"/>
      <c r="X7335" s="260"/>
      <c r="Y7335" s="261"/>
      <c r="Z7335" s="319" t="s">
        <v>214</v>
      </c>
      <c r="AB7335" s="192" t="str">
        <f>IF(Table1[[#This Row],[TIPO2]]="costo", VLOOKUP(Table1[[#This Row],[PARTIDA PRESUPUESTAL]],'Cost Report'!G:G,1,0),"Balance")</f>
        <v>7003-004</v>
      </c>
      <c r="AD7335" s="262">
        <f>+Table1[[#This Row],[SUBTOTAL]]+Table1[[#This Row],[IVA]]-Table1[[#This Row],[RET IVA]]-Table1[[#This Row],[RET ISR]]-Table1[[#This Row],[TOTAL]]</f>
        <v>0</v>
      </c>
      <c r="AK7335" s="306" t="str">
        <f>IF(ISNUMBER(Table1[[#This Row],[FECHA DE RECIBIDO]]), Table1[[#This Row],[FECHA DE RECIBIDO]]-DATE(2023,8,30), "")</f>
        <v/>
      </c>
    </row>
    <row r="7336" spans="1:37" s="192" customFormat="1">
      <c r="A7336" s="253"/>
      <c r="B7336" s="254"/>
      <c r="C7336" s="255" t="s">
        <v>74</v>
      </c>
      <c r="D7336"/>
      <c r="E7336" s="256"/>
      <c r="F7336" s="254"/>
      <c r="G7336" s="254"/>
      <c r="H7336"/>
      <c r="I7336" s="254"/>
      <c r="J7336" s="324" t="s">
        <v>214</v>
      </c>
      <c r="K7336" s="254"/>
      <c r="L7336" s="256"/>
      <c r="M7336">
        <v>0</v>
      </c>
      <c r="N7336" s="257"/>
      <c r="O7336">
        <v>4494</v>
      </c>
      <c r="P7336" s="258" t="s">
        <v>5597</v>
      </c>
      <c r="Q7336" s="258">
        <v>1069395.98</v>
      </c>
      <c r="R7336" s="258"/>
      <c r="S7336" s="258"/>
      <c r="T7336" s="259"/>
      <c r="U7336" s="194"/>
      <c r="V7336" s="194">
        <f>+Table1[[#This Row],[SUBTOTAL]]+Table1[[#This Row],[IVA]]-Table1[[#This Row],[RET IVA]]-Table1[[#This Row],[RET ISR]]</f>
        <v>1069395.98</v>
      </c>
      <c r="W7336"/>
      <c r="X7336" s="260"/>
      <c r="Y7336" s="261"/>
      <c r="Z7336" s="319" t="s">
        <v>214</v>
      </c>
      <c r="AB7336" s="192" t="str">
        <f>IF(Table1[[#This Row],[TIPO2]]="costo", VLOOKUP(Table1[[#This Row],[PARTIDA PRESUPUESTAL]],'Cost Report'!G:G,1,0),"Balance")</f>
        <v>Balance</v>
      </c>
      <c r="AD7336" s="262">
        <f>+Table1[[#This Row],[SUBTOTAL]]+Table1[[#This Row],[IVA]]-Table1[[#This Row],[RET IVA]]-Table1[[#This Row],[RET ISR]]-Table1[[#This Row],[TOTAL]]</f>
        <v>0</v>
      </c>
      <c r="AK7336" s="306" t="str">
        <f>IF(ISNUMBER(Table1[[#This Row],[FECHA DE RECIBIDO]]), Table1[[#This Row],[FECHA DE RECIBIDO]]-DATE(2023,8,30), "")</f>
        <v/>
      </c>
    </row>
    <row r="7337" spans="1:37" s="192" customFormat="1">
      <c r="A7337" s="253"/>
      <c r="B7337" s="254"/>
      <c r="C7337" s="255" t="s">
        <v>3102</v>
      </c>
      <c r="D7337"/>
      <c r="E7337" s="256"/>
      <c r="F7337" s="254"/>
      <c r="G7337" s="254"/>
      <c r="H7337"/>
      <c r="I7337" s="254"/>
      <c r="J7337" s="324" t="s">
        <v>214</v>
      </c>
      <c r="K7337" s="254"/>
      <c r="L7337" s="256" t="s">
        <v>4317</v>
      </c>
      <c r="M7337">
        <v>7</v>
      </c>
      <c r="N7337" s="257"/>
      <c r="O7337">
        <v>4296</v>
      </c>
      <c r="P7337" s="258" t="s">
        <v>77</v>
      </c>
      <c r="Q7337" s="258">
        <v>630</v>
      </c>
      <c r="R7337" s="258">
        <v>100.8</v>
      </c>
      <c r="S7337" s="258"/>
      <c r="T7337" s="259">
        <v>0</v>
      </c>
      <c r="U7337" s="194"/>
      <c r="V7337" s="194">
        <v>696</v>
      </c>
      <c r="W7337"/>
      <c r="X7337" s="260"/>
      <c r="Y7337" s="261"/>
      <c r="Z7337" s="319" t="s">
        <v>214</v>
      </c>
      <c r="AB7337" s="192" t="str">
        <f>IF(Table1[[#This Row],[TIPO2]]="costo", VLOOKUP(Table1[[#This Row],[PARTIDA PRESUPUESTAL]],'Cost Report'!G:G,1,0),"Balance")</f>
        <v>7038-008</v>
      </c>
      <c r="AD7337" s="262">
        <f>+Table1[[#This Row],[SUBTOTAL]]+Table1[[#This Row],[IVA]]-Table1[[#This Row],[RET IVA]]-Table1[[#This Row],[RET ISR]]-Table1[[#This Row],[TOTAL]]</f>
        <v>34.799999999999955</v>
      </c>
      <c r="AK7337" s="306" t="str">
        <f>IF(ISNUMBER(Table1[[#This Row],[FECHA DE RECIBIDO]]), Table1[[#This Row],[FECHA DE RECIBIDO]]-DATE(2023,8,30), "")</f>
        <v/>
      </c>
    </row>
    <row r="7338" spans="1:37" s="192" customFormat="1">
      <c r="A7338" s="253"/>
      <c r="B7338" s="254"/>
      <c r="C7338" s="255" t="s">
        <v>5114</v>
      </c>
      <c r="D7338"/>
      <c r="E7338" s="256"/>
      <c r="F7338" s="254"/>
      <c r="G7338" s="254"/>
      <c r="H7338"/>
      <c r="I7338" s="254"/>
      <c r="J7338" s="324" t="s">
        <v>214</v>
      </c>
      <c r="K7338" s="254"/>
      <c r="L7338" s="256"/>
      <c r="M7338">
        <v>1530</v>
      </c>
      <c r="N7338" s="257"/>
      <c r="O7338">
        <v>4495</v>
      </c>
      <c r="P7338" s="258" t="s">
        <v>5597</v>
      </c>
      <c r="Q7338" s="258">
        <v>326384.44</v>
      </c>
      <c r="R7338" s="258"/>
      <c r="S7338" s="258"/>
      <c r="T7338" s="259"/>
      <c r="U7338" s="194"/>
      <c r="V7338" s="194">
        <f>+Table1[[#This Row],[SUBTOTAL]]+Table1[[#This Row],[IVA]]-Table1[[#This Row],[RET IVA]]-Table1[[#This Row],[RET ISR]]</f>
        <v>326384.44</v>
      </c>
      <c r="W7338"/>
      <c r="X7338" s="260"/>
      <c r="Y7338" s="261"/>
      <c r="Z7338" s="319" t="s">
        <v>214</v>
      </c>
      <c r="AB7338" s="192" t="str">
        <f>IF(Table1[[#This Row],[TIPO2]]="costo", VLOOKUP(Table1[[#This Row],[PARTIDA PRESUPUESTAL]],'Cost Report'!G:G,1,0),"Balance")</f>
        <v>Balance</v>
      </c>
      <c r="AD7338" s="262">
        <f>+Table1[[#This Row],[SUBTOTAL]]+Table1[[#This Row],[IVA]]-Table1[[#This Row],[RET IVA]]-Table1[[#This Row],[RET ISR]]-Table1[[#This Row],[TOTAL]]</f>
        <v>0</v>
      </c>
      <c r="AK7338" s="306" t="str">
        <f>IF(ISNUMBER(Table1[[#This Row],[FECHA DE RECIBIDO]]), Table1[[#This Row],[FECHA DE RECIBIDO]]-DATE(2023,8,30), "")</f>
        <v/>
      </c>
    </row>
    <row r="7339" spans="1:37" s="192" customFormat="1">
      <c r="A7339" s="253"/>
      <c r="B7339" s="254"/>
      <c r="C7339" s="255" t="s">
        <v>5114</v>
      </c>
      <c r="D7339"/>
      <c r="E7339" s="256"/>
      <c r="F7339" s="254"/>
      <c r="G7339" s="254"/>
      <c r="H7339"/>
      <c r="I7339" s="254"/>
      <c r="J7339" s="324" t="s">
        <v>214</v>
      </c>
      <c r="K7339" s="254"/>
      <c r="L7339" s="256"/>
      <c r="M7339">
        <v>1530</v>
      </c>
      <c r="N7339" s="257"/>
      <c r="O7339">
        <v>4496</v>
      </c>
      <c r="P7339" s="258" t="s">
        <v>5597</v>
      </c>
      <c r="Q7339" s="258">
        <v>5150139.7</v>
      </c>
      <c r="R7339" s="258"/>
      <c r="S7339" s="258"/>
      <c r="T7339" s="259"/>
      <c r="U7339" s="194"/>
      <c r="V7339" s="194">
        <f>+Table1[[#This Row],[SUBTOTAL]]+Table1[[#This Row],[IVA]]-Table1[[#This Row],[RET IVA]]-Table1[[#This Row],[RET ISR]]</f>
        <v>5150139.7</v>
      </c>
      <c r="W7339"/>
      <c r="X7339" s="260"/>
      <c r="Y7339" s="261"/>
      <c r="Z7339" s="319">
        <v>520</v>
      </c>
      <c r="AB7339" s="192" t="str">
        <f>IF(Table1[[#This Row],[TIPO2]]="costo", VLOOKUP(Table1[[#This Row],[PARTIDA PRESUPUESTAL]],'Cost Report'!G:G,1,0),"Balance")</f>
        <v>Balance</v>
      </c>
      <c r="AD7339" s="262">
        <f>+Table1[[#This Row],[SUBTOTAL]]+Table1[[#This Row],[IVA]]-Table1[[#This Row],[RET IVA]]-Table1[[#This Row],[RET ISR]]-Table1[[#This Row],[TOTAL]]</f>
        <v>0</v>
      </c>
      <c r="AK7339" s="306" t="str">
        <f>IF(ISNUMBER(Table1[[#This Row],[FECHA DE RECIBIDO]]), Table1[[#This Row],[FECHA DE RECIBIDO]]-DATE(2023,8,30), "")</f>
        <v/>
      </c>
    </row>
    <row r="7340" spans="1:37" s="192" customFormat="1">
      <c r="A7340" s="253"/>
      <c r="B7340" s="254"/>
      <c r="C7340" s="255" t="s">
        <v>5114</v>
      </c>
      <c r="D7340"/>
      <c r="E7340" s="256"/>
      <c r="F7340" s="254"/>
      <c r="G7340" s="254"/>
      <c r="H7340"/>
      <c r="I7340" s="254"/>
      <c r="J7340" s="324" t="s">
        <v>214</v>
      </c>
      <c r="K7340" s="254"/>
      <c r="L7340" s="256"/>
      <c r="M7340">
        <v>1530</v>
      </c>
      <c r="N7340" s="257"/>
      <c r="O7340">
        <v>4497</v>
      </c>
      <c r="P7340" s="258" t="s">
        <v>5597</v>
      </c>
      <c r="Q7340" s="258">
        <v>2112854.96</v>
      </c>
      <c r="R7340" s="258"/>
      <c r="S7340" s="258"/>
      <c r="T7340" s="259"/>
      <c r="U7340" s="194"/>
      <c r="V7340" s="194">
        <f>+Table1[[#This Row],[SUBTOTAL]]+Table1[[#This Row],[IVA]]-Table1[[#This Row],[RET IVA]]-Table1[[#This Row],[RET ISR]]</f>
        <v>2112854.96</v>
      </c>
      <c r="W7340"/>
      <c r="X7340" s="260"/>
      <c r="Y7340" s="261"/>
      <c r="Z7340" s="319">
        <v>520</v>
      </c>
      <c r="AB7340" s="192" t="str">
        <f>IF(Table1[[#This Row],[TIPO2]]="costo", VLOOKUP(Table1[[#This Row],[PARTIDA PRESUPUESTAL]],'Cost Report'!G:G,1,0),"Balance")</f>
        <v>Balance</v>
      </c>
      <c r="AD7340" s="262">
        <f>+Table1[[#This Row],[SUBTOTAL]]+Table1[[#This Row],[IVA]]-Table1[[#This Row],[RET IVA]]-Table1[[#This Row],[RET ISR]]-Table1[[#This Row],[TOTAL]]</f>
        <v>0</v>
      </c>
      <c r="AK7340" s="306" t="str">
        <f>IF(ISNUMBER(Table1[[#This Row],[FECHA DE RECIBIDO]]), Table1[[#This Row],[FECHA DE RECIBIDO]]-DATE(2023,8,30), "")</f>
        <v/>
      </c>
    </row>
    <row r="7341" spans="1:37" s="192" customFormat="1">
      <c r="A7341" s="253"/>
      <c r="B7341" s="254"/>
      <c r="C7341" s="255" t="s">
        <v>5114</v>
      </c>
      <c r="D7341"/>
      <c r="E7341" s="256"/>
      <c r="F7341" s="254"/>
      <c r="G7341" s="254"/>
      <c r="H7341"/>
      <c r="I7341" s="254"/>
      <c r="J7341" s="324" t="s">
        <v>214</v>
      </c>
      <c r="K7341" s="254"/>
      <c r="L7341" s="256"/>
      <c r="M7341">
        <v>1530</v>
      </c>
      <c r="N7341" s="257"/>
      <c r="O7341">
        <v>4498</v>
      </c>
      <c r="P7341" s="258" t="s">
        <v>5597</v>
      </c>
      <c r="Q7341" s="258">
        <v>5057564.92</v>
      </c>
      <c r="R7341" s="258"/>
      <c r="S7341" s="258"/>
      <c r="T7341" s="259"/>
      <c r="U7341" s="194"/>
      <c r="V7341" s="194">
        <f>+Table1[[#This Row],[SUBTOTAL]]+Table1[[#This Row],[IVA]]-Table1[[#This Row],[RET IVA]]-Table1[[#This Row],[RET ISR]]</f>
        <v>5057564.92</v>
      </c>
      <c r="W7341"/>
      <c r="X7341" s="260"/>
      <c r="Y7341" s="261"/>
      <c r="Z7341" s="319">
        <v>520</v>
      </c>
      <c r="AB7341" s="192" t="str">
        <f>IF(Table1[[#This Row],[TIPO2]]="costo", VLOOKUP(Table1[[#This Row],[PARTIDA PRESUPUESTAL]],'Cost Report'!G:G,1,0),"Balance")</f>
        <v>Balance</v>
      </c>
      <c r="AD7341" s="262">
        <f>+Table1[[#This Row],[SUBTOTAL]]+Table1[[#This Row],[IVA]]-Table1[[#This Row],[RET IVA]]-Table1[[#This Row],[RET ISR]]-Table1[[#This Row],[TOTAL]]</f>
        <v>0</v>
      </c>
      <c r="AK7341" s="306" t="str">
        <f>IF(ISNUMBER(Table1[[#This Row],[FECHA DE RECIBIDO]]), Table1[[#This Row],[FECHA DE RECIBIDO]]-DATE(2023,8,30), "")</f>
        <v/>
      </c>
    </row>
    <row r="7342" spans="1:37" s="192" customFormat="1">
      <c r="A7342" s="253"/>
      <c r="B7342" s="254"/>
      <c r="C7342" s="255" t="s">
        <v>5114</v>
      </c>
      <c r="D7342">
        <v>4615</v>
      </c>
      <c r="E7342" s="256"/>
      <c r="F7342" s="254"/>
      <c r="G7342" s="254"/>
      <c r="H7342"/>
      <c r="I7342" s="254"/>
      <c r="J7342" s="324" t="s">
        <v>214</v>
      </c>
      <c r="K7342" s="254"/>
      <c r="L7342" s="256"/>
      <c r="M7342">
        <v>1341</v>
      </c>
      <c r="N7342" s="257"/>
      <c r="O7342">
        <v>4499</v>
      </c>
      <c r="P7342" s="258" t="s">
        <v>5597</v>
      </c>
      <c r="Q7342" s="258">
        <v>-17135.181034482801</v>
      </c>
      <c r="R7342" s="258">
        <v>2741.6289655172418</v>
      </c>
      <c r="S7342" s="258"/>
      <c r="T7342" s="259"/>
      <c r="U7342" s="194"/>
      <c r="V7342" s="194">
        <v>19876.810000000001</v>
      </c>
      <c r="W7342"/>
      <c r="X7342" s="260"/>
      <c r="Y7342" s="261"/>
      <c r="Z7342" s="319" t="s">
        <v>214</v>
      </c>
      <c r="AB7342" s="192" t="str">
        <f>IF(Table1[[#This Row],[TIPO2]]="costo", VLOOKUP(Table1[[#This Row],[PARTIDA PRESUPUESTAL]],'Cost Report'!G:G,1,0),"Balance")</f>
        <v>Balance</v>
      </c>
      <c r="AD7342" s="262">
        <f>+Table1[[#This Row],[SUBTOTAL]]+Table1[[#This Row],[IVA]]-Table1[[#This Row],[RET IVA]]-Table1[[#This Row],[RET ISR]]-Table1[[#This Row],[TOTAL]]</f>
        <v>-34270.362068965558</v>
      </c>
      <c r="AK7342" s="306" t="str">
        <f>IF(ISNUMBER(Table1[[#This Row],[FECHA DE RECIBIDO]]), Table1[[#This Row],[FECHA DE RECIBIDO]]-DATE(2023,8,30), "")</f>
        <v/>
      </c>
    </row>
    <row r="7343" spans="1:37" s="192" customFormat="1">
      <c r="A7343" s="253"/>
      <c r="B7343" s="254"/>
      <c r="C7343" s="255" t="s">
        <v>5114</v>
      </c>
      <c r="D7343">
        <v>4616</v>
      </c>
      <c r="E7343" s="256"/>
      <c r="F7343" s="254"/>
      <c r="G7343" s="254"/>
      <c r="H7343"/>
      <c r="I7343" s="254"/>
      <c r="J7343" s="324" t="s">
        <v>214</v>
      </c>
      <c r="K7343" s="254"/>
      <c r="L7343" s="256"/>
      <c r="M7343">
        <v>1341</v>
      </c>
      <c r="N7343" s="257"/>
      <c r="O7343">
        <v>4500</v>
      </c>
      <c r="P7343" s="258" t="s">
        <v>5597</v>
      </c>
      <c r="Q7343" s="258">
        <v>-270382.33620689699</v>
      </c>
      <c r="R7343" s="258">
        <v>43261.173793103451</v>
      </c>
      <c r="S7343" s="258"/>
      <c r="T7343" s="259"/>
      <c r="U7343" s="194"/>
      <c r="V7343" s="194">
        <v>313643.51</v>
      </c>
      <c r="W7343"/>
      <c r="X7343" s="260"/>
      <c r="Y7343" s="261"/>
      <c r="Z7343" s="319" t="s">
        <v>214</v>
      </c>
      <c r="AB7343" s="192" t="str">
        <f>IF(Table1[[#This Row],[TIPO2]]="costo", VLOOKUP(Table1[[#This Row],[PARTIDA PRESUPUESTAL]],'Cost Report'!G:G,1,0),"Balance")</f>
        <v>Balance</v>
      </c>
      <c r="AD7343" s="262">
        <f>+Table1[[#This Row],[SUBTOTAL]]+Table1[[#This Row],[IVA]]-Table1[[#This Row],[RET IVA]]-Table1[[#This Row],[RET ISR]]-Table1[[#This Row],[TOTAL]]</f>
        <v>-540764.67241379351</v>
      </c>
      <c r="AK7343" s="306" t="str">
        <f>IF(ISNUMBER(Table1[[#This Row],[FECHA DE RECIBIDO]]), Table1[[#This Row],[FECHA DE RECIBIDO]]-DATE(2023,8,30), "")</f>
        <v/>
      </c>
    </row>
    <row r="7344" spans="1:37" s="192" customFormat="1">
      <c r="A7344" s="253"/>
      <c r="B7344" s="254"/>
      <c r="C7344" s="255" t="s">
        <v>5114</v>
      </c>
      <c r="D7344">
        <v>4617</v>
      </c>
      <c r="E7344" s="256"/>
      <c r="F7344" s="254"/>
      <c r="G7344" s="254"/>
      <c r="H7344"/>
      <c r="I7344" s="254"/>
      <c r="J7344" s="324" t="s">
        <v>214</v>
      </c>
      <c r="K7344" s="254"/>
      <c r="L7344" s="256"/>
      <c r="M7344">
        <v>1341</v>
      </c>
      <c r="N7344" s="257"/>
      <c r="O7344">
        <v>4501</v>
      </c>
      <c r="P7344" s="258" t="s">
        <v>5597</v>
      </c>
      <c r="Q7344" s="258">
        <v>-110924.887931034</v>
      </c>
      <c r="R7344" s="258">
        <v>17747.982068965521</v>
      </c>
      <c r="S7344" s="258"/>
      <c r="T7344" s="259"/>
      <c r="U7344" s="194"/>
      <c r="V7344" s="194">
        <v>128672.87</v>
      </c>
      <c r="W7344"/>
      <c r="X7344" s="260"/>
      <c r="Y7344" s="261"/>
      <c r="Z7344" s="319" t="s">
        <v>214</v>
      </c>
      <c r="AB7344" s="192" t="str">
        <f>IF(Table1[[#This Row],[TIPO2]]="costo", VLOOKUP(Table1[[#This Row],[PARTIDA PRESUPUESTAL]],'Cost Report'!G:G,1,0),"Balance")</f>
        <v>Balance</v>
      </c>
      <c r="AD7344" s="262">
        <f>+Table1[[#This Row],[SUBTOTAL]]+Table1[[#This Row],[IVA]]-Table1[[#This Row],[RET IVA]]-Table1[[#This Row],[RET ISR]]-Table1[[#This Row],[TOTAL]]</f>
        <v>-221849.77586206846</v>
      </c>
      <c r="AK7344" s="306" t="str">
        <f>IF(ISNUMBER(Table1[[#This Row],[FECHA DE RECIBIDO]]), Table1[[#This Row],[FECHA DE RECIBIDO]]-DATE(2023,8,30), "")</f>
        <v/>
      </c>
    </row>
    <row r="7345" spans="1:37" s="192" customFormat="1">
      <c r="A7345" s="253"/>
      <c r="B7345" s="254"/>
      <c r="C7345" s="255" t="s">
        <v>5114</v>
      </c>
      <c r="D7345">
        <v>4618</v>
      </c>
      <c r="E7345" s="256"/>
      <c r="F7345" s="254"/>
      <c r="G7345" s="254"/>
      <c r="H7345"/>
      <c r="I7345" s="254"/>
      <c r="J7345" s="324" t="s">
        <v>214</v>
      </c>
      <c r="K7345" s="254"/>
      <c r="L7345" s="256"/>
      <c r="M7345">
        <v>1341</v>
      </c>
      <c r="N7345" s="257"/>
      <c r="O7345">
        <v>4502</v>
      </c>
      <c r="P7345" s="258" t="s">
        <v>5597</v>
      </c>
      <c r="Q7345" s="258">
        <v>-265522.16379310301</v>
      </c>
      <c r="R7345" s="258">
        <v>42483.546206896557</v>
      </c>
      <c r="S7345" s="258"/>
      <c r="T7345" s="259"/>
      <c r="U7345" s="194"/>
      <c r="V7345" s="194">
        <v>308005.71000000002</v>
      </c>
      <c r="W7345"/>
      <c r="X7345" s="260"/>
      <c r="Y7345" s="261"/>
      <c r="Z7345" s="319" t="s">
        <v>214</v>
      </c>
      <c r="AB7345" s="192" t="str">
        <f>IF(Table1[[#This Row],[TIPO2]]="costo", VLOOKUP(Table1[[#This Row],[PARTIDA PRESUPUESTAL]],'Cost Report'!G:G,1,0),"Balance")</f>
        <v>Balance</v>
      </c>
      <c r="AD7345" s="262">
        <f>+Table1[[#This Row],[SUBTOTAL]]+Table1[[#This Row],[IVA]]-Table1[[#This Row],[RET IVA]]-Table1[[#This Row],[RET ISR]]-Table1[[#This Row],[TOTAL]]</f>
        <v>-531044.32758620649</v>
      </c>
      <c r="AK7345" s="306" t="str">
        <f>IF(ISNUMBER(Table1[[#This Row],[FECHA DE RECIBIDO]]), Table1[[#This Row],[FECHA DE RECIBIDO]]-DATE(2023,8,30), "")</f>
        <v/>
      </c>
    </row>
    <row r="7346" spans="1:37" s="192" customFormat="1" ht="16.95" customHeight="1">
      <c r="A7346" s="253"/>
      <c r="B7346" s="254"/>
      <c r="C7346" s="255" t="s">
        <v>5473</v>
      </c>
      <c r="D7346"/>
      <c r="E7346" s="256"/>
      <c r="F7346" s="254"/>
      <c r="G7346" s="254"/>
      <c r="H7346"/>
      <c r="I7346" s="254"/>
      <c r="J7346" s="324" t="s">
        <v>214</v>
      </c>
      <c r="K7346" s="254"/>
      <c r="L7346" s="256"/>
      <c r="M7346">
        <v>49</v>
      </c>
      <c r="N7346" s="257">
        <v>1</v>
      </c>
      <c r="O7346">
        <v>4503</v>
      </c>
      <c r="P7346" s="258" t="s">
        <v>5598</v>
      </c>
      <c r="Q7346" s="258">
        <v>-139260.65</v>
      </c>
      <c r="R7346" s="258"/>
      <c r="S7346" s="258"/>
      <c r="T7346" s="259"/>
      <c r="U7346" s="194"/>
      <c r="V7346" s="194">
        <f>+Table1[[#This Row],[SUBTOTAL]]+Table1[[#This Row],[IVA]]-Table1[[#This Row],[RET IVA]]-Table1[[#This Row],[RET ISR]]</f>
        <v>-139260.65</v>
      </c>
      <c r="W7346"/>
      <c r="X7346" s="260"/>
      <c r="Y7346" s="261"/>
      <c r="Z7346" s="319" t="s">
        <v>214</v>
      </c>
      <c r="AB7346" s="192" t="str">
        <f>IF(Table1[[#This Row],[TIPO2]]="costo", VLOOKUP(Table1[[#This Row],[PARTIDA PRESUPUESTAL]],'Cost Report'!G:G,1,0),"Balance")</f>
        <v>7230-001</v>
      </c>
      <c r="AD7346" s="262">
        <f>+Table1[[#This Row],[SUBTOTAL]]+Table1[[#This Row],[IVA]]-Table1[[#This Row],[RET IVA]]-Table1[[#This Row],[RET ISR]]-Table1[[#This Row],[TOTAL]]</f>
        <v>0</v>
      </c>
      <c r="AK7346" s="306" t="str">
        <f>IF(ISNUMBER(Table1[[#This Row],[FECHA DE RECIBIDO]]), Table1[[#This Row],[FECHA DE RECIBIDO]]-DATE(2023,8,30), "")</f>
        <v/>
      </c>
    </row>
    <row r="7347" spans="1:37" s="271" customFormat="1">
      <c r="A7347" s="282"/>
      <c r="B7347" s="283"/>
      <c r="C7347" s="284" t="s">
        <v>5114</v>
      </c>
      <c r="D7347"/>
      <c r="E7347" s="285"/>
      <c r="F7347" s="283"/>
      <c r="G7347" s="283"/>
      <c r="H7347"/>
      <c r="I7347" s="283"/>
      <c r="J7347" s="312" t="s">
        <v>214</v>
      </c>
      <c r="K7347" s="283"/>
      <c r="L7347" s="285"/>
      <c r="M7347">
        <v>1530</v>
      </c>
      <c r="N7347" s="286"/>
      <c r="O7347">
        <v>4498</v>
      </c>
      <c r="P7347" s="287" t="s">
        <v>5597</v>
      </c>
      <c r="Q7347" s="287">
        <v>52836.89</v>
      </c>
      <c r="R7347" s="287"/>
      <c r="S7347" s="287"/>
      <c r="T7347" s="288"/>
      <c r="U7347" s="289"/>
      <c r="V7347" s="289">
        <f>+Table1[[#This Row],[SUBTOTAL]]+Table1[[#This Row],[IVA]]-Table1[[#This Row],[RET IVA]]-Table1[[#This Row],[RET ISR]]</f>
        <v>52836.89</v>
      </c>
      <c r="W7347"/>
      <c r="X7347" s="290"/>
      <c r="Y7347" s="283"/>
      <c r="Z7347" s="312" t="s">
        <v>214</v>
      </c>
      <c r="AB7347" s="271" t="str">
        <f>IF(Table1[[#This Row],[TIPO2]]="costo", VLOOKUP(Table1[[#This Row],[PARTIDA PRESUPUESTAL]],'Cost Report'!G:G,1,0),"Balance")</f>
        <v>Balance</v>
      </c>
      <c r="AD7347" s="272">
        <f>+Table1[[#This Row],[SUBTOTAL]]+Table1[[#This Row],[IVA]]-Table1[[#This Row],[RET IVA]]-Table1[[#This Row],[RET ISR]]-Table1[[#This Row],[TOTAL]]</f>
        <v>0</v>
      </c>
      <c r="AK7347" s="306" t="str">
        <f>IF(ISNUMBER(Table1[[#This Row],[FECHA DE RECIBIDO]]), Table1[[#This Row],[FECHA DE RECIBIDO]]-DATE(2023,8,30), "")</f>
        <v/>
      </c>
    </row>
    <row r="7348" spans="1:37" s="271" customFormat="1">
      <c r="A7348" s="282"/>
      <c r="B7348" s="283"/>
      <c r="C7348" s="284" t="s">
        <v>5114</v>
      </c>
      <c r="D7348"/>
      <c r="E7348" s="285"/>
      <c r="F7348" s="283"/>
      <c r="G7348" s="283"/>
      <c r="H7348"/>
      <c r="I7348" s="283"/>
      <c r="J7348" s="312" t="s">
        <v>214</v>
      </c>
      <c r="K7348" s="283"/>
      <c r="L7348" s="285"/>
      <c r="M7348">
        <v>1530</v>
      </c>
      <c r="N7348" s="286"/>
      <c r="O7348">
        <v>4504</v>
      </c>
      <c r="P7348" s="287" t="s">
        <v>5597</v>
      </c>
      <c r="Q7348" s="287">
        <v>450000</v>
      </c>
      <c r="R7348" s="287"/>
      <c r="S7348" s="287"/>
      <c r="T7348" s="288"/>
      <c r="U7348" s="289"/>
      <c r="V7348" s="289">
        <f>+Table1[[#This Row],[SUBTOTAL]]+Table1[[#This Row],[IVA]]-Table1[[#This Row],[RET IVA]]-Table1[[#This Row],[RET ISR]]</f>
        <v>450000</v>
      </c>
      <c r="W7348"/>
      <c r="X7348" s="290"/>
      <c r="Y7348" s="283"/>
      <c r="Z7348" s="312" t="s">
        <v>214</v>
      </c>
      <c r="AB7348" s="271" t="str">
        <f>IF(Table1[[#This Row],[TIPO2]]="costo", VLOOKUP(Table1[[#This Row],[PARTIDA PRESUPUESTAL]],'Cost Report'!G:G,1,0),"Balance")</f>
        <v>Balance</v>
      </c>
      <c r="AD7348" s="272">
        <f>+Table1[[#This Row],[SUBTOTAL]]+Table1[[#This Row],[IVA]]-Table1[[#This Row],[RET IVA]]-Table1[[#This Row],[RET ISR]]-Table1[[#This Row],[TOTAL]]</f>
        <v>0</v>
      </c>
      <c r="AK7348" s="306" t="str">
        <f>IF(ISNUMBER(Table1[[#This Row],[FECHA DE RECIBIDO]]), Table1[[#This Row],[FECHA DE RECIBIDO]]-DATE(2023,8,30), "")</f>
        <v/>
      </c>
    </row>
    <row r="7349" spans="1:37" s="271" customFormat="1">
      <c r="A7349" s="282"/>
      <c r="B7349" s="283"/>
      <c r="C7349" s="284" t="s">
        <v>5114</v>
      </c>
      <c r="D7349"/>
      <c r="E7349" s="285"/>
      <c r="F7349" s="283"/>
      <c r="G7349" s="283"/>
      <c r="H7349"/>
      <c r="I7349" s="283"/>
      <c r="J7349" s="312" t="s">
        <v>214</v>
      </c>
      <c r="K7349" s="283"/>
      <c r="L7349" s="285"/>
      <c r="M7349">
        <v>0</v>
      </c>
      <c r="N7349" s="286"/>
      <c r="O7349">
        <v>4505</v>
      </c>
      <c r="P7349" s="287" t="s">
        <v>5597</v>
      </c>
      <c r="Q7349" s="287">
        <v>-12526239</v>
      </c>
      <c r="R7349" s="287"/>
      <c r="S7349" s="287"/>
      <c r="T7349" s="288"/>
      <c r="U7349" s="289"/>
      <c r="V7349" s="289">
        <f>+Table1[[#This Row],[SUBTOTAL]]+Table1[[#This Row],[IVA]]-Table1[[#This Row],[RET IVA]]-Table1[[#This Row],[RET ISR]]</f>
        <v>-12526239</v>
      </c>
      <c r="W7349"/>
      <c r="X7349" s="290"/>
      <c r="Y7349" s="283"/>
      <c r="Z7349" s="312" t="s">
        <v>214</v>
      </c>
      <c r="AB7349" s="271" t="str">
        <f>IF(Table1[[#This Row],[TIPO2]]="costo", VLOOKUP(Table1[[#This Row],[PARTIDA PRESUPUESTAL]],'Cost Report'!G:G,1,0),"Balance")</f>
        <v>Balance</v>
      </c>
      <c r="AD7349" s="272">
        <f>+Table1[[#This Row],[SUBTOTAL]]+Table1[[#This Row],[IVA]]-Table1[[#This Row],[RET IVA]]-Table1[[#This Row],[RET ISR]]-Table1[[#This Row],[TOTAL]]</f>
        <v>0</v>
      </c>
      <c r="AK7349" s="306" t="str">
        <f>IF(ISNUMBER(Table1[[#This Row],[FECHA DE RECIBIDO]]), Table1[[#This Row],[FECHA DE RECIBIDO]]-DATE(2023,8,30), "")</f>
        <v/>
      </c>
    </row>
    <row r="7350" spans="1:37" s="271" customFormat="1">
      <c r="A7350" s="282"/>
      <c r="B7350" s="283"/>
      <c r="C7350" s="284" t="s">
        <v>74</v>
      </c>
      <c r="D7350"/>
      <c r="E7350" s="285"/>
      <c r="F7350" s="283"/>
      <c r="G7350" s="283"/>
      <c r="H7350"/>
      <c r="I7350" s="283"/>
      <c r="J7350" s="312" t="s">
        <v>214</v>
      </c>
      <c r="K7350" s="283"/>
      <c r="L7350" s="285"/>
      <c r="M7350">
        <v>0</v>
      </c>
      <c r="N7350" s="286"/>
      <c r="O7350">
        <v>4506</v>
      </c>
      <c r="P7350" s="287" t="s">
        <v>5597</v>
      </c>
      <c r="Q7350" s="287">
        <v>40562</v>
      </c>
      <c r="R7350" s="287"/>
      <c r="S7350" s="287"/>
      <c r="T7350" s="288"/>
      <c r="U7350" s="289"/>
      <c r="V7350" s="289">
        <f>+Table1[[#This Row],[SUBTOTAL]]+Table1[[#This Row],[IVA]]-Table1[[#This Row],[RET IVA]]-Table1[[#This Row],[RET ISR]]</f>
        <v>40562</v>
      </c>
      <c r="W7350"/>
      <c r="X7350" s="290"/>
      <c r="Y7350" s="283"/>
      <c r="Z7350" s="312" t="s">
        <v>214</v>
      </c>
      <c r="AB7350" s="271" t="str">
        <f>IF(Table1[[#This Row],[TIPO2]]="costo", VLOOKUP(Table1[[#This Row],[PARTIDA PRESUPUESTAL]],'Cost Report'!G:G,1,0),"Balance")</f>
        <v>Balance</v>
      </c>
      <c r="AD7350" s="272">
        <f>+Table1[[#This Row],[SUBTOTAL]]+Table1[[#This Row],[IVA]]-Table1[[#This Row],[RET IVA]]-Table1[[#This Row],[RET ISR]]-Table1[[#This Row],[TOTAL]]</f>
        <v>0</v>
      </c>
      <c r="AK7350" s="306" t="str">
        <f>IF(ISNUMBER(Table1[[#This Row],[FECHA DE RECIBIDO]]), Table1[[#This Row],[FECHA DE RECIBIDO]]-DATE(2023,8,30), "")</f>
        <v/>
      </c>
    </row>
    <row r="7351" spans="1:37" s="271" customFormat="1">
      <c r="A7351" s="282"/>
      <c r="B7351" s="283"/>
      <c r="C7351" s="284" t="s">
        <v>3102</v>
      </c>
      <c r="D7351"/>
      <c r="E7351" s="285"/>
      <c r="F7351" s="283"/>
      <c r="G7351" s="283"/>
      <c r="H7351"/>
      <c r="I7351" s="283"/>
      <c r="J7351" s="312" t="s">
        <v>214</v>
      </c>
      <c r="K7351" s="283"/>
      <c r="L7351" s="285"/>
      <c r="M7351">
        <v>7</v>
      </c>
      <c r="N7351" s="286"/>
      <c r="O7351">
        <v>4507</v>
      </c>
      <c r="P7351" s="287" t="s">
        <v>77</v>
      </c>
      <c r="Q7351" s="287">
        <v>500</v>
      </c>
      <c r="R7351" s="287">
        <v>80</v>
      </c>
      <c r="S7351" s="287"/>
      <c r="T7351" s="288"/>
      <c r="U7351" s="289"/>
      <c r="V7351" s="289">
        <f>+Table1[[#This Row],[SUBTOTAL]]+Table1[[#This Row],[IVA]]-Table1[[#This Row],[RET IVA]]-Table1[[#This Row],[RET ISR]]</f>
        <v>580</v>
      </c>
      <c r="W7351"/>
      <c r="X7351" s="290"/>
      <c r="Y7351" s="283"/>
      <c r="Z7351" s="312" t="s">
        <v>214</v>
      </c>
      <c r="AB7351" s="271" t="str">
        <f>IF(Table1[[#This Row],[TIPO2]]="costo", VLOOKUP(Table1[[#This Row],[PARTIDA PRESUPUESTAL]],'Cost Report'!G:G,1,0),"Balance")</f>
        <v>7038-008</v>
      </c>
      <c r="AD7351" s="272">
        <f>+Table1[[#This Row],[SUBTOTAL]]+Table1[[#This Row],[IVA]]-Table1[[#This Row],[RET IVA]]-Table1[[#This Row],[RET ISR]]-Table1[[#This Row],[TOTAL]]</f>
        <v>0</v>
      </c>
      <c r="AK7351" s="306" t="str">
        <f>IF(ISNUMBER(Table1[[#This Row],[FECHA DE RECIBIDO]]), Table1[[#This Row],[FECHA DE RECIBIDO]]-DATE(2023,8,30), "")</f>
        <v/>
      </c>
    </row>
    <row r="7352" spans="1:37">
      <c r="A7352" s="172"/>
      <c r="B7352" s="178"/>
      <c r="C7352" s="179"/>
      <c r="D7352" s="180"/>
      <c r="E7352" s="125"/>
      <c r="F7352" s="178"/>
      <c r="G7352" s="178"/>
      <c r="H7352" s="178"/>
      <c r="I7352" s="178"/>
      <c r="J7352" s="178"/>
      <c r="K7352" s="178"/>
      <c r="L7352" s="125"/>
      <c r="M7352" s="125"/>
      <c r="N7352" s="182"/>
      <c r="O7352" s="177"/>
      <c r="P7352" s="176"/>
      <c r="Q7352" s="176"/>
      <c r="R7352" s="176"/>
      <c r="S7352" s="176"/>
      <c r="T7352" s="190"/>
      <c r="U7352" s="191"/>
      <c r="V7352" s="191">
        <f>+Table1[[#This Row],[SUBTOTAL]]+Table1[[#This Row],[IVA]]-Table1[[#This Row],[RET IVA]]-Table1[[#This Row],[RET ISR]]</f>
        <v>0</v>
      </c>
      <c r="W7352" s="185"/>
      <c r="X7352" s="186"/>
      <c r="Y7352" s="187"/>
      <c r="Z7352" s="204">
        <f>+Table1[[#This Row],[CONCEPTO]]+Table1[[#This Row],[TIPO2]]-Table1[[#This Row],[IVA]]-Table1[[#This Row],[OTROS IMPUESTOS]]-Table1[[#This Row],[RET IVA]]</f>
        <v>0</v>
      </c>
      <c r="AB7352" t="str">
        <f>IF(Table1[[#This Row],[TIPO2]]="costo", VLOOKUP(Table1[[#This Row],[PARTIDA PRESUPUESTAL]],'Cost Report'!G:G,1,0),"Balance")</f>
        <v>Balance</v>
      </c>
      <c r="AD7352" s="159">
        <f>+Table1[[#This Row],[SUBTOTAL]]+Table1[[#This Row],[IVA]]-Table1[[#This Row],[RET IVA]]-Table1[[#This Row],[RET ISR]]-Table1[[#This Row],[TOTAL]]</f>
        <v>0</v>
      </c>
    </row>
    <row r="7353" spans="1:37">
      <c r="A7353" s="172"/>
      <c r="B7353" s="178"/>
      <c r="C7353" s="179"/>
      <c r="D7353" s="180"/>
      <c r="E7353" s="125"/>
      <c r="F7353" s="178"/>
      <c r="G7353" s="178"/>
      <c r="H7353" s="178"/>
      <c r="I7353" s="178"/>
      <c r="J7353" s="178"/>
      <c r="K7353" s="178"/>
      <c r="L7353" s="125"/>
      <c r="M7353" s="125"/>
      <c r="N7353" s="182"/>
      <c r="O7353" s="177"/>
      <c r="P7353" s="176"/>
      <c r="Q7353" s="176"/>
      <c r="R7353" s="176"/>
      <c r="S7353" s="176"/>
      <c r="T7353" s="190"/>
      <c r="U7353" s="191"/>
      <c r="V7353" s="191">
        <f>+Table1[[#This Row],[SUBTOTAL]]+Table1[[#This Row],[IVA]]-Table1[[#This Row],[RET IVA]]-Table1[[#This Row],[RET ISR]]</f>
        <v>0</v>
      </c>
      <c r="W7353" s="185"/>
      <c r="X7353" s="186"/>
      <c r="Y7353" s="187"/>
      <c r="Z7353" s="204">
        <f>+Table1[[#This Row],[CONCEPTO]]+Table1[[#This Row],[TIPO2]]-Table1[[#This Row],[IVA]]-Table1[[#This Row],[OTROS IMPUESTOS]]-Table1[[#This Row],[RET IVA]]</f>
        <v>0</v>
      </c>
      <c r="AB7353" t="str">
        <f>IF(Table1[[#This Row],[TIPO2]]="costo", VLOOKUP(Table1[[#This Row],[PARTIDA PRESUPUESTAL]],'Cost Report'!G:G,1,0),"Balance")</f>
        <v>Balance</v>
      </c>
      <c r="AD7353" s="159">
        <f>+Table1[[#This Row],[SUBTOTAL]]+Table1[[#This Row],[IVA]]-Table1[[#This Row],[RET IVA]]-Table1[[#This Row],[RET ISR]]-Table1[[#This Row],[TOTAL]]</f>
        <v>0</v>
      </c>
    </row>
    <row r="7354" spans="1:37">
      <c r="A7354" s="172"/>
      <c r="B7354" s="178"/>
      <c r="C7354" s="179"/>
      <c r="D7354" s="180"/>
      <c r="E7354" s="125"/>
      <c r="F7354" s="178"/>
      <c r="G7354" s="178"/>
      <c r="H7354" s="178"/>
      <c r="I7354" s="178"/>
      <c r="J7354" s="178"/>
      <c r="K7354" s="178"/>
      <c r="L7354" s="125"/>
      <c r="M7354" s="125"/>
      <c r="N7354" s="182"/>
      <c r="O7354" s="177"/>
      <c r="P7354" s="176"/>
      <c r="Q7354" s="176"/>
      <c r="R7354" s="176"/>
      <c r="S7354" s="176"/>
      <c r="T7354" s="190"/>
      <c r="U7354" s="191"/>
      <c r="V7354" s="191">
        <f>+Table1[[#This Row],[SUBTOTAL]]+Table1[[#This Row],[IVA]]-Table1[[#This Row],[RET IVA]]-Table1[[#This Row],[RET ISR]]</f>
        <v>0</v>
      </c>
      <c r="W7354" s="185"/>
      <c r="X7354" s="186"/>
      <c r="Y7354" s="187"/>
      <c r="Z7354" s="204">
        <f>+Table1[[#This Row],[CONCEPTO]]+Table1[[#This Row],[TIPO2]]-Table1[[#This Row],[IVA]]-Table1[[#This Row],[OTROS IMPUESTOS]]-Table1[[#This Row],[RET IVA]]</f>
        <v>0</v>
      </c>
      <c r="AB7354" t="str">
        <f>IF(Table1[[#This Row],[TIPO2]]="costo", VLOOKUP(Table1[[#This Row],[PARTIDA PRESUPUESTAL]],'Cost Report'!G:G,1,0),"Balance")</f>
        <v>Balance</v>
      </c>
      <c r="AD7354" s="159">
        <f>+Table1[[#This Row],[SUBTOTAL]]+Table1[[#This Row],[IVA]]-Table1[[#This Row],[RET IVA]]-Table1[[#This Row],[RET ISR]]-Table1[[#This Row],[TOTAL]]</f>
        <v>0</v>
      </c>
    </row>
    <row r="7355" spans="1:37">
      <c r="A7355" s="172"/>
      <c r="B7355" s="178"/>
      <c r="C7355" s="179"/>
      <c r="D7355" s="180"/>
      <c r="E7355" s="125"/>
      <c r="F7355" s="178"/>
      <c r="G7355" s="178"/>
      <c r="H7355" s="178"/>
      <c r="I7355" s="178"/>
      <c r="J7355" s="178"/>
      <c r="K7355" s="178"/>
      <c r="L7355" s="125"/>
      <c r="M7355" s="125"/>
      <c r="N7355" s="182"/>
      <c r="O7355" s="177"/>
      <c r="P7355" s="176"/>
      <c r="Q7355" s="176"/>
      <c r="R7355" s="176"/>
      <c r="S7355" s="176"/>
      <c r="T7355" s="190"/>
      <c r="U7355" s="191"/>
      <c r="V7355" s="191">
        <f>+Table1[[#This Row],[SUBTOTAL]]+Table1[[#This Row],[IVA]]-Table1[[#This Row],[RET IVA]]-Table1[[#This Row],[RET ISR]]</f>
        <v>0</v>
      </c>
      <c r="W7355" s="185"/>
      <c r="X7355" s="186"/>
      <c r="Y7355" s="187"/>
      <c r="Z7355" s="204">
        <f>+Table1[[#This Row],[CONCEPTO]]+Table1[[#This Row],[TIPO2]]-Table1[[#This Row],[IVA]]-Table1[[#This Row],[OTROS IMPUESTOS]]-Table1[[#This Row],[RET IVA]]</f>
        <v>0</v>
      </c>
      <c r="AB7355" t="str">
        <f>IF(Table1[[#This Row],[TIPO2]]="costo", VLOOKUP(Table1[[#This Row],[PARTIDA PRESUPUESTAL]],'Cost Report'!G:G,1,0),"Balance")</f>
        <v>Balance</v>
      </c>
      <c r="AD7355" s="159">
        <f>+Table1[[#This Row],[SUBTOTAL]]+Table1[[#This Row],[IVA]]-Table1[[#This Row],[RET IVA]]-Table1[[#This Row],[RET ISR]]-Table1[[#This Row],[TOTAL]]</f>
        <v>0</v>
      </c>
    </row>
    <row r="7356" spans="1:37">
      <c r="A7356" s="172"/>
      <c r="B7356" s="178"/>
      <c r="C7356" s="179"/>
      <c r="D7356" s="180"/>
      <c r="E7356" s="125"/>
      <c r="F7356" s="178"/>
      <c r="G7356" s="178"/>
      <c r="H7356" s="178"/>
      <c r="I7356" s="178"/>
      <c r="J7356" s="178"/>
      <c r="K7356" s="178"/>
      <c r="L7356" s="125"/>
      <c r="M7356" s="125"/>
      <c r="N7356" s="182"/>
      <c r="O7356" s="177"/>
      <c r="P7356" s="176"/>
      <c r="Q7356" s="176"/>
      <c r="R7356" s="176"/>
      <c r="S7356" s="176"/>
      <c r="T7356" s="190"/>
      <c r="U7356" s="191"/>
      <c r="V7356" s="191">
        <f>+Table1[[#This Row],[SUBTOTAL]]+Table1[[#This Row],[IVA]]-Table1[[#This Row],[RET IVA]]-Table1[[#This Row],[RET ISR]]</f>
        <v>0</v>
      </c>
      <c r="W7356" s="185"/>
      <c r="X7356" s="186"/>
      <c r="Y7356" s="187"/>
      <c r="Z7356" s="204">
        <f>+Table1[[#This Row],[CONCEPTO]]+Table1[[#This Row],[TIPO2]]-Table1[[#This Row],[IVA]]-Table1[[#This Row],[OTROS IMPUESTOS]]-Table1[[#This Row],[RET IVA]]</f>
        <v>0</v>
      </c>
      <c r="AB7356" t="str">
        <f>IF(Table1[[#This Row],[TIPO2]]="costo", VLOOKUP(Table1[[#This Row],[PARTIDA PRESUPUESTAL]],'Cost Report'!G:G,1,0),"Balance")</f>
        <v>Balance</v>
      </c>
      <c r="AD7356" s="159">
        <f>+Table1[[#This Row],[SUBTOTAL]]+Table1[[#This Row],[IVA]]-Table1[[#This Row],[RET IVA]]-Table1[[#This Row],[RET ISR]]-Table1[[#This Row],[TOTAL]]</f>
        <v>0</v>
      </c>
    </row>
    <row r="7357" spans="1:37">
      <c r="A7357" s="172"/>
      <c r="B7357" s="178"/>
      <c r="C7357" s="179"/>
      <c r="D7357" s="180"/>
      <c r="E7357" s="125"/>
      <c r="F7357" s="178"/>
      <c r="G7357" s="178"/>
      <c r="H7357" s="178"/>
      <c r="I7357" s="178"/>
      <c r="J7357" s="178"/>
      <c r="K7357" s="178"/>
      <c r="L7357" s="125"/>
      <c r="M7357" s="125"/>
      <c r="N7357" s="182"/>
      <c r="O7357" s="177"/>
      <c r="P7357" s="176"/>
      <c r="Q7357" s="176"/>
      <c r="R7357" s="176"/>
      <c r="S7357" s="176"/>
      <c r="T7357" s="190"/>
      <c r="U7357" s="191"/>
      <c r="V7357" s="191">
        <f>+Table1[[#This Row],[SUBTOTAL]]+Table1[[#This Row],[IVA]]-Table1[[#This Row],[RET IVA]]-Table1[[#This Row],[RET ISR]]</f>
        <v>0</v>
      </c>
      <c r="W7357" s="185"/>
      <c r="X7357" s="186"/>
      <c r="Y7357" s="187"/>
      <c r="Z7357" s="204">
        <f>+Table1[[#This Row],[CONCEPTO]]+Table1[[#This Row],[TIPO2]]-Table1[[#This Row],[IVA]]-Table1[[#This Row],[OTROS IMPUESTOS]]-Table1[[#This Row],[RET IVA]]</f>
        <v>0</v>
      </c>
      <c r="AB7357" t="str">
        <f>IF(Table1[[#This Row],[TIPO2]]="costo", VLOOKUP(Table1[[#This Row],[PARTIDA PRESUPUESTAL]],'Cost Report'!G:G,1,0),"Balance")</f>
        <v>Balance</v>
      </c>
      <c r="AD7357" s="159">
        <f>+Table1[[#This Row],[SUBTOTAL]]+Table1[[#This Row],[IVA]]-Table1[[#This Row],[RET IVA]]-Table1[[#This Row],[RET ISR]]-Table1[[#This Row],[TOTAL]]</f>
        <v>0</v>
      </c>
    </row>
    <row r="7358" spans="1:37">
      <c r="A7358" s="172"/>
      <c r="B7358" s="178"/>
      <c r="C7358" s="179"/>
      <c r="D7358" s="180"/>
      <c r="E7358" s="125"/>
      <c r="F7358" s="178"/>
      <c r="G7358" s="178"/>
      <c r="H7358" s="178"/>
      <c r="I7358" s="178"/>
      <c r="J7358" s="178"/>
      <c r="K7358" s="178"/>
      <c r="L7358" s="125"/>
      <c r="M7358" s="125"/>
      <c r="N7358" s="182"/>
      <c r="O7358" s="177"/>
      <c r="P7358" s="176"/>
      <c r="Q7358" s="176"/>
      <c r="R7358" s="176"/>
      <c r="S7358" s="176"/>
      <c r="T7358" s="190"/>
      <c r="U7358" s="191"/>
      <c r="V7358" s="191">
        <f>+Table1[[#This Row],[SUBTOTAL]]+Table1[[#This Row],[IVA]]-Table1[[#This Row],[RET IVA]]-Table1[[#This Row],[RET ISR]]</f>
        <v>0</v>
      </c>
      <c r="W7358" s="185"/>
      <c r="X7358" s="186"/>
      <c r="Y7358" s="187"/>
      <c r="Z7358" s="204">
        <f>+Table1[[#This Row],[CONCEPTO]]+Table1[[#This Row],[TIPO2]]-Table1[[#This Row],[IVA]]-Table1[[#This Row],[OTROS IMPUESTOS]]-Table1[[#This Row],[RET IVA]]</f>
        <v>0</v>
      </c>
      <c r="AB7358" t="str">
        <f>IF(Table1[[#This Row],[TIPO2]]="costo", VLOOKUP(Table1[[#This Row],[PARTIDA PRESUPUESTAL]],'Cost Report'!G:G,1,0),"Balance")</f>
        <v>Balance</v>
      </c>
      <c r="AD7358" s="159">
        <f>+Table1[[#This Row],[SUBTOTAL]]+Table1[[#This Row],[IVA]]-Table1[[#This Row],[RET IVA]]-Table1[[#This Row],[RET ISR]]-Table1[[#This Row],[TOTAL]]</f>
        <v>0</v>
      </c>
    </row>
    <row r="7359" spans="1:37">
      <c r="A7359" s="172"/>
      <c r="B7359" s="178"/>
      <c r="C7359" s="179"/>
      <c r="D7359" s="180"/>
      <c r="E7359" s="125"/>
      <c r="F7359" s="178"/>
      <c r="G7359" s="178"/>
      <c r="H7359" s="178"/>
      <c r="I7359" s="178"/>
      <c r="J7359" s="178"/>
      <c r="K7359" s="178"/>
      <c r="L7359" s="125"/>
      <c r="M7359" s="125"/>
      <c r="N7359" s="182"/>
      <c r="O7359" s="177"/>
      <c r="P7359" s="176"/>
      <c r="Q7359" s="176"/>
      <c r="R7359" s="176"/>
      <c r="S7359" s="176"/>
      <c r="T7359" s="190"/>
      <c r="U7359" s="191"/>
      <c r="V7359" s="191">
        <f>+Table1[[#This Row],[SUBTOTAL]]+Table1[[#This Row],[IVA]]-Table1[[#This Row],[RET IVA]]-Table1[[#This Row],[RET ISR]]</f>
        <v>0</v>
      </c>
      <c r="W7359" s="185"/>
      <c r="X7359" s="186"/>
      <c r="Y7359" s="187"/>
      <c r="Z7359" s="204">
        <f>+Table1[[#This Row],[CONCEPTO]]+Table1[[#This Row],[TIPO2]]-Table1[[#This Row],[IVA]]-Table1[[#This Row],[OTROS IMPUESTOS]]-Table1[[#This Row],[RET IVA]]</f>
        <v>0</v>
      </c>
      <c r="AB7359" t="str">
        <f>IF(Table1[[#This Row],[TIPO2]]="costo", VLOOKUP(Table1[[#This Row],[PARTIDA PRESUPUESTAL]],'Cost Report'!G:G,1,0),"Balance")</f>
        <v>Balance</v>
      </c>
      <c r="AD7359" s="159">
        <f>+Table1[[#This Row],[SUBTOTAL]]+Table1[[#This Row],[IVA]]-Table1[[#This Row],[RET IVA]]-Table1[[#This Row],[RET ISR]]-Table1[[#This Row],[TOTAL]]</f>
        <v>0</v>
      </c>
    </row>
    <row r="7360" spans="1:37">
      <c r="A7360" s="172"/>
      <c r="B7360" s="178"/>
      <c r="C7360" s="179"/>
      <c r="D7360" s="180"/>
      <c r="E7360" s="125"/>
      <c r="F7360" s="178"/>
      <c r="G7360" s="178"/>
      <c r="H7360" s="178"/>
      <c r="I7360" s="178"/>
      <c r="J7360" s="178"/>
      <c r="K7360" s="178"/>
      <c r="L7360" s="125"/>
      <c r="M7360" s="125"/>
      <c r="N7360" s="182"/>
      <c r="O7360" s="177"/>
      <c r="P7360" s="176"/>
      <c r="Q7360" s="176"/>
      <c r="R7360" s="176"/>
      <c r="S7360" s="176"/>
      <c r="T7360" s="190"/>
      <c r="U7360" s="191"/>
      <c r="V7360" s="191">
        <f>+Table1[[#This Row],[SUBTOTAL]]+Table1[[#This Row],[IVA]]-Table1[[#This Row],[RET IVA]]-Table1[[#This Row],[RET ISR]]</f>
        <v>0</v>
      </c>
      <c r="W7360" s="185"/>
      <c r="X7360" s="186"/>
      <c r="Y7360" s="187"/>
      <c r="Z7360" s="204">
        <f>+Table1[[#This Row],[CONCEPTO]]+Table1[[#This Row],[TIPO2]]-Table1[[#This Row],[IVA]]-Table1[[#This Row],[OTROS IMPUESTOS]]-Table1[[#This Row],[RET IVA]]</f>
        <v>0</v>
      </c>
      <c r="AB7360" t="str">
        <f>IF(Table1[[#This Row],[TIPO2]]="costo", VLOOKUP(Table1[[#This Row],[PARTIDA PRESUPUESTAL]],'Cost Report'!G:G,1,0),"Balance")</f>
        <v>Balance</v>
      </c>
      <c r="AD7360" s="159">
        <f>+Table1[[#This Row],[SUBTOTAL]]+Table1[[#This Row],[IVA]]-Table1[[#This Row],[RET IVA]]-Table1[[#This Row],[RET ISR]]-Table1[[#This Row],[TOTAL]]</f>
        <v>0</v>
      </c>
    </row>
    <row r="7361" spans="1:30">
      <c r="A7361" s="172"/>
      <c r="B7361" s="178"/>
      <c r="C7361" s="179"/>
      <c r="D7361" s="180"/>
      <c r="E7361" s="125"/>
      <c r="F7361" s="178"/>
      <c r="G7361" s="178"/>
      <c r="H7361" s="178"/>
      <c r="I7361" s="178"/>
      <c r="J7361" s="178"/>
      <c r="K7361" s="178"/>
      <c r="L7361" s="125"/>
      <c r="M7361" s="125"/>
      <c r="N7361" s="182"/>
      <c r="O7361" s="177"/>
      <c r="P7361" s="176"/>
      <c r="Q7361" s="176"/>
      <c r="R7361" s="176"/>
      <c r="S7361" s="176"/>
      <c r="T7361" s="190"/>
      <c r="U7361" s="191"/>
      <c r="V7361" s="191">
        <f>+Table1[[#This Row],[SUBTOTAL]]+Table1[[#This Row],[IVA]]-Table1[[#This Row],[RET IVA]]-Table1[[#This Row],[RET ISR]]</f>
        <v>0</v>
      </c>
      <c r="W7361" s="185"/>
      <c r="X7361" s="186"/>
      <c r="Y7361" s="187"/>
      <c r="Z7361" s="204">
        <f>+Table1[[#This Row],[CONCEPTO]]+Table1[[#This Row],[TIPO2]]-Table1[[#This Row],[IVA]]-Table1[[#This Row],[OTROS IMPUESTOS]]-Table1[[#This Row],[RET IVA]]</f>
        <v>0</v>
      </c>
      <c r="AB7361" t="str">
        <f>IF(Table1[[#This Row],[TIPO2]]="costo", VLOOKUP(Table1[[#This Row],[PARTIDA PRESUPUESTAL]],'Cost Report'!G:G,1,0),"Balance")</f>
        <v>Balance</v>
      </c>
      <c r="AD7361" s="159">
        <f>+Table1[[#This Row],[SUBTOTAL]]+Table1[[#This Row],[IVA]]-Table1[[#This Row],[RET IVA]]-Table1[[#This Row],[RET ISR]]-Table1[[#This Row],[TOTAL]]</f>
        <v>0</v>
      </c>
    </row>
    <row r="7362" spans="1:30">
      <c r="A7362" s="172"/>
      <c r="B7362" s="178"/>
      <c r="C7362" s="179"/>
      <c r="D7362" s="180"/>
      <c r="E7362" s="125"/>
      <c r="F7362" s="178"/>
      <c r="G7362" s="178"/>
      <c r="H7362" s="178"/>
      <c r="I7362" s="178"/>
      <c r="J7362" s="178"/>
      <c r="K7362" s="178"/>
      <c r="L7362" s="125"/>
      <c r="M7362" s="125"/>
      <c r="N7362" s="182"/>
      <c r="O7362" s="177"/>
      <c r="P7362" s="176"/>
      <c r="Q7362" s="176"/>
      <c r="R7362" s="176"/>
      <c r="S7362" s="176"/>
      <c r="T7362" s="190"/>
      <c r="U7362" s="191"/>
      <c r="V7362" s="191">
        <f>+Table1[[#This Row],[SUBTOTAL]]+Table1[[#This Row],[IVA]]-Table1[[#This Row],[RET IVA]]-Table1[[#This Row],[RET ISR]]</f>
        <v>0</v>
      </c>
      <c r="W7362" s="185"/>
      <c r="X7362" s="186"/>
      <c r="Y7362" s="187"/>
      <c r="Z7362" s="204">
        <f>+Table1[[#This Row],[CONCEPTO]]+Table1[[#This Row],[TIPO2]]-Table1[[#This Row],[IVA]]-Table1[[#This Row],[OTROS IMPUESTOS]]-Table1[[#This Row],[RET IVA]]</f>
        <v>0</v>
      </c>
      <c r="AB7362" t="str">
        <f>IF(Table1[[#This Row],[TIPO2]]="costo", VLOOKUP(Table1[[#This Row],[PARTIDA PRESUPUESTAL]],'Cost Report'!G:G,1,0),"Balance")</f>
        <v>Balance</v>
      </c>
      <c r="AD7362" s="159">
        <f>+Table1[[#This Row],[SUBTOTAL]]+Table1[[#This Row],[IVA]]-Table1[[#This Row],[RET IVA]]-Table1[[#This Row],[RET ISR]]-Table1[[#This Row],[TOTAL]]</f>
        <v>0</v>
      </c>
    </row>
    <row r="7363" spans="1:30">
      <c r="A7363" s="172"/>
      <c r="B7363" s="178"/>
      <c r="C7363" s="179"/>
      <c r="D7363" s="180"/>
      <c r="E7363" s="125"/>
      <c r="F7363" s="178"/>
      <c r="G7363" s="178"/>
      <c r="H7363" s="178"/>
      <c r="I7363" s="178"/>
      <c r="J7363" s="178"/>
      <c r="K7363" s="178"/>
      <c r="L7363" s="125"/>
      <c r="M7363" s="125"/>
      <c r="N7363" s="182"/>
      <c r="O7363" s="177"/>
      <c r="P7363" s="176"/>
      <c r="Q7363" s="176"/>
      <c r="R7363" s="176"/>
      <c r="S7363" s="176"/>
      <c r="T7363" s="190"/>
      <c r="U7363" s="191"/>
      <c r="V7363" s="191">
        <f>+Table1[[#This Row],[SUBTOTAL]]+Table1[[#This Row],[IVA]]-Table1[[#This Row],[RET IVA]]-Table1[[#This Row],[RET ISR]]</f>
        <v>0</v>
      </c>
      <c r="W7363" s="185"/>
      <c r="X7363" s="186"/>
      <c r="Y7363" s="187"/>
      <c r="Z7363" s="204">
        <f>+Table1[[#This Row],[CONCEPTO]]+Table1[[#This Row],[TIPO2]]-Table1[[#This Row],[IVA]]-Table1[[#This Row],[OTROS IMPUESTOS]]-Table1[[#This Row],[RET IVA]]</f>
        <v>0</v>
      </c>
      <c r="AB7363" t="str">
        <f>IF(Table1[[#This Row],[TIPO2]]="costo", VLOOKUP(Table1[[#This Row],[PARTIDA PRESUPUESTAL]],'Cost Report'!G:G,1,0),"Balance")</f>
        <v>Balance</v>
      </c>
      <c r="AD7363" s="159">
        <f>+Table1[[#This Row],[SUBTOTAL]]+Table1[[#This Row],[IVA]]-Table1[[#This Row],[RET IVA]]-Table1[[#This Row],[RET ISR]]-Table1[[#This Row],[TOTAL]]</f>
        <v>0</v>
      </c>
    </row>
    <row r="7364" spans="1:30">
      <c r="A7364" s="172"/>
      <c r="B7364" s="178"/>
      <c r="C7364" s="179"/>
      <c r="D7364" s="180"/>
      <c r="E7364" s="125"/>
      <c r="F7364" s="178"/>
      <c r="G7364" s="178"/>
      <c r="H7364" s="178"/>
      <c r="I7364" s="178"/>
      <c r="J7364" s="178"/>
      <c r="K7364" s="178"/>
      <c r="L7364" s="125"/>
      <c r="M7364" s="125"/>
      <c r="N7364" s="182"/>
      <c r="O7364" s="177"/>
      <c r="P7364" s="176"/>
      <c r="Q7364" s="176"/>
      <c r="R7364" s="176"/>
      <c r="S7364" s="176"/>
      <c r="T7364" s="190"/>
      <c r="U7364" s="191"/>
      <c r="V7364" s="191">
        <f>+Table1[[#This Row],[SUBTOTAL]]+Table1[[#This Row],[IVA]]-Table1[[#This Row],[RET IVA]]-Table1[[#This Row],[RET ISR]]</f>
        <v>0</v>
      </c>
      <c r="W7364" s="185"/>
      <c r="X7364" s="186"/>
      <c r="Y7364" s="187"/>
      <c r="Z7364" s="204">
        <f>+Table1[[#This Row],[CONCEPTO]]+Table1[[#This Row],[TIPO2]]-Table1[[#This Row],[IVA]]-Table1[[#This Row],[OTROS IMPUESTOS]]-Table1[[#This Row],[RET IVA]]</f>
        <v>0</v>
      </c>
      <c r="AB7364" t="str">
        <f>IF(Table1[[#This Row],[TIPO2]]="costo", VLOOKUP(Table1[[#This Row],[PARTIDA PRESUPUESTAL]],'Cost Report'!G:G,1,0),"Balance")</f>
        <v>Balance</v>
      </c>
      <c r="AD7364" s="159">
        <f>+Table1[[#This Row],[SUBTOTAL]]+Table1[[#This Row],[IVA]]-Table1[[#This Row],[RET IVA]]-Table1[[#This Row],[RET ISR]]-Table1[[#This Row],[TOTAL]]</f>
        <v>0</v>
      </c>
    </row>
    <row r="7365" spans="1:30">
      <c r="A7365" s="172"/>
      <c r="B7365" s="178"/>
      <c r="C7365" s="179"/>
      <c r="D7365" s="180"/>
      <c r="E7365" s="125"/>
      <c r="F7365" s="178"/>
      <c r="G7365" s="178"/>
      <c r="H7365" s="178"/>
      <c r="I7365" s="178"/>
      <c r="J7365" s="178"/>
      <c r="K7365" s="178"/>
      <c r="L7365" s="125"/>
      <c r="M7365" s="125"/>
      <c r="N7365" s="182"/>
      <c r="O7365" s="177"/>
      <c r="P7365" s="176"/>
      <c r="Q7365" s="176"/>
      <c r="R7365" s="176"/>
      <c r="S7365" s="176"/>
      <c r="T7365" s="190"/>
      <c r="U7365" s="191"/>
      <c r="V7365" s="191">
        <f>+Table1[[#This Row],[SUBTOTAL]]+Table1[[#This Row],[IVA]]-Table1[[#This Row],[RET IVA]]-Table1[[#This Row],[RET ISR]]</f>
        <v>0</v>
      </c>
      <c r="W7365" s="185"/>
      <c r="X7365" s="186"/>
      <c r="Y7365" s="187"/>
      <c r="Z7365" s="204">
        <f>+Table1[[#This Row],[CONCEPTO]]+Table1[[#This Row],[TIPO2]]-Table1[[#This Row],[IVA]]-Table1[[#This Row],[OTROS IMPUESTOS]]-Table1[[#This Row],[RET IVA]]</f>
        <v>0</v>
      </c>
      <c r="AB7365" t="str">
        <f>IF(Table1[[#This Row],[TIPO2]]="costo", VLOOKUP(Table1[[#This Row],[PARTIDA PRESUPUESTAL]],'Cost Report'!G:G,1,0),"Balance")</f>
        <v>Balance</v>
      </c>
      <c r="AD7365" s="159">
        <f>+Table1[[#This Row],[SUBTOTAL]]+Table1[[#This Row],[IVA]]-Table1[[#This Row],[RET IVA]]-Table1[[#This Row],[RET ISR]]-Table1[[#This Row],[TOTAL]]</f>
        <v>0</v>
      </c>
    </row>
    <row r="7366" spans="1:30">
      <c r="A7366" s="172"/>
      <c r="B7366" s="178"/>
      <c r="C7366" s="179"/>
      <c r="D7366" s="180"/>
      <c r="E7366" s="125"/>
      <c r="F7366" s="178"/>
      <c r="G7366" s="178"/>
      <c r="H7366" s="178"/>
      <c r="I7366" s="178"/>
      <c r="J7366" s="178"/>
      <c r="K7366" s="178"/>
      <c r="L7366" s="125"/>
      <c r="M7366" s="125"/>
      <c r="N7366" s="182"/>
      <c r="O7366" s="177"/>
      <c r="P7366" s="176"/>
      <c r="Q7366" s="176"/>
      <c r="R7366" s="176"/>
      <c r="S7366" s="176"/>
      <c r="T7366" s="190"/>
      <c r="U7366" s="191"/>
      <c r="V7366" s="191">
        <f>+Table1[[#This Row],[SUBTOTAL]]+Table1[[#This Row],[IVA]]-Table1[[#This Row],[RET IVA]]-Table1[[#This Row],[RET ISR]]</f>
        <v>0</v>
      </c>
      <c r="W7366" s="185"/>
      <c r="X7366" s="186"/>
      <c r="Y7366" s="187"/>
      <c r="Z7366" s="204">
        <f>+Table1[[#This Row],[CONCEPTO]]+Table1[[#This Row],[TIPO2]]-Table1[[#This Row],[IVA]]-Table1[[#This Row],[OTROS IMPUESTOS]]-Table1[[#This Row],[RET IVA]]</f>
        <v>0</v>
      </c>
      <c r="AB7366" t="str">
        <f>IF(Table1[[#This Row],[TIPO2]]="costo", VLOOKUP(Table1[[#This Row],[PARTIDA PRESUPUESTAL]],'Cost Report'!G:G,1,0),"Balance")</f>
        <v>Balance</v>
      </c>
      <c r="AD7366" s="159">
        <f>+Table1[[#This Row],[SUBTOTAL]]+Table1[[#This Row],[IVA]]-Table1[[#This Row],[RET IVA]]-Table1[[#This Row],[RET ISR]]-Table1[[#This Row],[TOTAL]]</f>
        <v>0</v>
      </c>
    </row>
    <row r="7367" spans="1:30">
      <c r="A7367" s="172"/>
      <c r="B7367" s="178"/>
      <c r="C7367" s="179"/>
      <c r="D7367" s="180"/>
      <c r="E7367" s="125"/>
      <c r="F7367" s="178"/>
      <c r="G7367" s="178"/>
      <c r="H7367" s="178"/>
      <c r="I7367" s="178"/>
      <c r="J7367" s="178"/>
      <c r="K7367" s="178"/>
      <c r="L7367" s="125"/>
      <c r="M7367" s="125"/>
      <c r="N7367" s="182"/>
      <c r="O7367" s="177"/>
      <c r="P7367" s="176"/>
      <c r="Q7367" s="176"/>
      <c r="R7367" s="176"/>
      <c r="S7367" s="176"/>
      <c r="T7367" s="190"/>
      <c r="U7367" s="191"/>
      <c r="V7367" s="191">
        <f>+Table1[[#This Row],[SUBTOTAL]]+Table1[[#This Row],[IVA]]-Table1[[#This Row],[RET IVA]]-Table1[[#This Row],[RET ISR]]</f>
        <v>0</v>
      </c>
      <c r="W7367" s="185"/>
      <c r="X7367" s="186"/>
      <c r="Y7367" s="187"/>
      <c r="Z7367" s="204">
        <f>+Table1[[#This Row],[CONCEPTO]]+Table1[[#This Row],[TIPO2]]-Table1[[#This Row],[IVA]]-Table1[[#This Row],[OTROS IMPUESTOS]]-Table1[[#This Row],[RET IVA]]</f>
        <v>0</v>
      </c>
      <c r="AB7367" t="str">
        <f>IF(Table1[[#This Row],[TIPO2]]="costo", VLOOKUP(Table1[[#This Row],[PARTIDA PRESUPUESTAL]],'Cost Report'!G:G,1,0),"Balance")</f>
        <v>Balance</v>
      </c>
      <c r="AD7367" s="159">
        <f>+Table1[[#This Row],[SUBTOTAL]]+Table1[[#This Row],[IVA]]-Table1[[#This Row],[RET IVA]]-Table1[[#This Row],[RET ISR]]-Table1[[#This Row],[TOTAL]]</f>
        <v>0</v>
      </c>
    </row>
    <row r="7368" spans="1:30">
      <c r="A7368" s="172"/>
      <c r="B7368" s="178"/>
      <c r="C7368" s="179"/>
      <c r="D7368" s="180"/>
      <c r="E7368" s="125"/>
      <c r="F7368" s="178"/>
      <c r="G7368" s="178"/>
      <c r="H7368" s="178"/>
      <c r="I7368" s="178"/>
      <c r="J7368" s="178"/>
      <c r="K7368" s="178"/>
      <c r="L7368" s="125"/>
      <c r="M7368" s="125"/>
      <c r="N7368" s="182"/>
      <c r="O7368" s="177"/>
      <c r="P7368" s="176"/>
      <c r="Q7368" s="176"/>
      <c r="R7368" s="176"/>
      <c r="S7368" s="176"/>
      <c r="T7368" s="190"/>
      <c r="U7368" s="191"/>
      <c r="V7368" s="191">
        <f>+Table1[[#This Row],[SUBTOTAL]]+Table1[[#This Row],[IVA]]-Table1[[#This Row],[RET IVA]]-Table1[[#This Row],[RET ISR]]</f>
        <v>0</v>
      </c>
      <c r="W7368" s="185"/>
      <c r="X7368" s="186"/>
      <c r="Y7368" s="187"/>
      <c r="Z7368" s="204">
        <f>+Table1[[#This Row],[CONCEPTO]]+Table1[[#This Row],[TIPO2]]-Table1[[#This Row],[IVA]]-Table1[[#This Row],[OTROS IMPUESTOS]]-Table1[[#This Row],[RET IVA]]</f>
        <v>0</v>
      </c>
      <c r="AB7368" t="str">
        <f>IF(Table1[[#This Row],[TIPO2]]="costo", VLOOKUP(Table1[[#This Row],[PARTIDA PRESUPUESTAL]],'Cost Report'!G:G,1,0),"Balance")</f>
        <v>Balance</v>
      </c>
      <c r="AD7368" s="159">
        <f>+Table1[[#This Row],[SUBTOTAL]]+Table1[[#This Row],[IVA]]-Table1[[#This Row],[RET IVA]]-Table1[[#This Row],[RET ISR]]-Table1[[#This Row],[TOTAL]]</f>
        <v>0</v>
      </c>
    </row>
    <row r="7369" spans="1:30">
      <c r="A7369" s="172"/>
      <c r="B7369" s="178"/>
      <c r="C7369" s="179"/>
      <c r="D7369" s="180"/>
      <c r="E7369" s="125"/>
      <c r="F7369" s="178"/>
      <c r="G7369" s="178"/>
      <c r="H7369" s="178"/>
      <c r="I7369" s="178"/>
      <c r="J7369" s="178"/>
      <c r="K7369" s="178"/>
      <c r="L7369" s="125"/>
      <c r="M7369" s="125"/>
      <c r="N7369" s="182"/>
      <c r="O7369" s="177"/>
      <c r="P7369" s="176"/>
      <c r="Q7369" s="176"/>
      <c r="R7369" s="176"/>
      <c r="S7369" s="176"/>
      <c r="T7369" s="190"/>
      <c r="U7369" s="191"/>
      <c r="V7369" s="191">
        <f>+Table1[[#This Row],[SUBTOTAL]]+Table1[[#This Row],[IVA]]-Table1[[#This Row],[RET IVA]]-Table1[[#This Row],[RET ISR]]</f>
        <v>0</v>
      </c>
      <c r="W7369" s="185"/>
      <c r="X7369" s="186"/>
      <c r="Y7369" s="187"/>
      <c r="Z7369" s="204">
        <f>+Table1[[#This Row],[CONCEPTO]]+Table1[[#This Row],[TIPO2]]-Table1[[#This Row],[IVA]]-Table1[[#This Row],[OTROS IMPUESTOS]]-Table1[[#This Row],[RET IVA]]</f>
        <v>0</v>
      </c>
      <c r="AB7369" t="str">
        <f>IF(Table1[[#This Row],[TIPO2]]="costo", VLOOKUP(Table1[[#This Row],[PARTIDA PRESUPUESTAL]],'Cost Report'!G:G,1,0),"Balance")</f>
        <v>Balance</v>
      </c>
      <c r="AD7369" s="159">
        <f>+Table1[[#This Row],[SUBTOTAL]]+Table1[[#This Row],[IVA]]-Table1[[#This Row],[RET IVA]]-Table1[[#This Row],[RET ISR]]-Table1[[#This Row],[TOTAL]]</f>
        <v>0</v>
      </c>
    </row>
    <row r="7370" spans="1:30">
      <c r="A7370" s="172"/>
      <c r="B7370" s="178"/>
      <c r="C7370" s="179"/>
      <c r="D7370" s="180"/>
      <c r="E7370" s="125"/>
      <c r="F7370" s="178"/>
      <c r="G7370" s="178"/>
      <c r="H7370" s="178"/>
      <c r="I7370" s="178"/>
      <c r="J7370" s="178"/>
      <c r="K7370" s="178"/>
      <c r="L7370" s="125"/>
      <c r="M7370" s="125"/>
      <c r="N7370" s="182"/>
      <c r="O7370" s="177"/>
      <c r="P7370" s="176"/>
      <c r="Q7370" s="176"/>
      <c r="R7370" s="176"/>
      <c r="S7370" s="176"/>
      <c r="T7370" s="190"/>
      <c r="U7370" s="191"/>
      <c r="V7370" s="191">
        <f>+Table1[[#This Row],[SUBTOTAL]]+Table1[[#This Row],[IVA]]-Table1[[#This Row],[RET IVA]]-Table1[[#This Row],[RET ISR]]</f>
        <v>0</v>
      </c>
      <c r="W7370" s="185"/>
      <c r="X7370" s="186"/>
      <c r="Y7370" s="187"/>
      <c r="Z7370" s="204">
        <f>+Table1[[#This Row],[CONCEPTO]]+Table1[[#This Row],[TIPO2]]-Table1[[#This Row],[IVA]]-Table1[[#This Row],[OTROS IMPUESTOS]]-Table1[[#This Row],[RET IVA]]</f>
        <v>0</v>
      </c>
      <c r="AB7370" t="str">
        <f>IF(Table1[[#This Row],[TIPO2]]="costo", VLOOKUP(Table1[[#This Row],[PARTIDA PRESUPUESTAL]],'Cost Report'!G:G,1,0),"Balance")</f>
        <v>Balance</v>
      </c>
      <c r="AD7370" s="159">
        <f>+Table1[[#This Row],[SUBTOTAL]]+Table1[[#This Row],[IVA]]-Table1[[#This Row],[RET IVA]]-Table1[[#This Row],[RET ISR]]-Table1[[#This Row],[TOTAL]]</f>
        <v>0</v>
      </c>
    </row>
    <row r="7371" spans="1:30">
      <c r="A7371" s="172"/>
      <c r="B7371" s="178"/>
      <c r="C7371" s="179"/>
      <c r="D7371" s="180"/>
      <c r="E7371" s="125"/>
      <c r="F7371" s="178"/>
      <c r="G7371" s="178"/>
      <c r="H7371" s="178"/>
      <c r="I7371" s="178"/>
      <c r="J7371" s="178"/>
      <c r="K7371" s="178"/>
      <c r="L7371" s="125"/>
      <c r="M7371" s="125"/>
      <c r="N7371" s="182"/>
      <c r="O7371" s="177"/>
      <c r="P7371" s="176"/>
      <c r="Q7371" s="176"/>
      <c r="R7371" s="176"/>
      <c r="S7371" s="176"/>
      <c r="T7371" s="190"/>
      <c r="U7371" s="191"/>
      <c r="V7371" s="191">
        <f>+Table1[[#This Row],[SUBTOTAL]]+Table1[[#This Row],[IVA]]-Table1[[#This Row],[RET IVA]]-Table1[[#This Row],[RET ISR]]</f>
        <v>0</v>
      </c>
      <c r="W7371" s="185"/>
      <c r="X7371" s="186"/>
      <c r="Y7371" s="187"/>
      <c r="Z7371" s="204">
        <f>+Table1[[#This Row],[CONCEPTO]]+Table1[[#This Row],[TIPO2]]-Table1[[#This Row],[IVA]]-Table1[[#This Row],[OTROS IMPUESTOS]]-Table1[[#This Row],[RET IVA]]</f>
        <v>0</v>
      </c>
      <c r="AB7371" t="str">
        <f>IF(Table1[[#This Row],[TIPO2]]="costo", VLOOKUP(Table1[[#This Row],[PARTIDA PRESUPUESTAL]],'Cost Report'!G:G,1,0),"Balance")</f>
        <v>Balance</v>
      </c>
      <c r="AD7371" s="159">
        <f>+Table1[[#This Row],[SUBTOTAL]]+Table1[[#This Row],[IVA]]-Table1[[#This Row],[RET IVA]]-Table1[[#This Row],[RET ISR]]-Table1[[#This Row],[TOTAL]]</f>
        <v>0</v>
      </c>
    </row>
    <row r="7372" spans="1:30">
      <c r="A7372" s="172"/>
      <c r="B7372" s="178"/>
      <c r="C7372" s="179"/>
      <c r="D7372" s="180"/>
      <c r="E7372" s="125"/>
      <c r="F7372" s="178"/>
      <c r="G7372" s="178"/>
      <c r="H7372" s="178"/>
      <c r="I7372" s="178"/>
      <c r="J7372" s="178"/>
      <c r="K7372" s="178"/>
      <c r="L7372" s="125"/>
      <c r="M7372" s="125"/>
      <c r="N7372" s="182"/>
      <c r="O7372" s="177"/>
      <c r="P7372" s="176"/>
      <c r="Q7372" s="176"/>
      <c r="R7372" s="176"/>
      <c r="S7372" s="176"/>
      <c r="T7372" s="190"/>
      <c r="U7372" s="191"/>
      <c r="V7372" s="191">
        <f>+Table1[[#This Row],[SUBTOTAL]]+Table1[[#This Row],[IVA]]-Table1[[#This Row],[RET IVA]]-Table1[[#This Row],[RET ISR]]</f>
        <v>0</v>
      </c>
      <c r="W7372" s="185"/>
      <c r="X7372" s="186"/>
      <c r="Y7372" s="187"/>
      <c r="Z7372" s="204">
        <f>+Table1[[#This Row],[CONCEPTO]]+Table1[[#This Row],[TIPO2]]-Table1[[#This Row],[IVA]]-Table1[[#This Row],[OTROS IMPUESTOS]]-Table1[[#This Row],[RET IVA]]</f>
        <v>0</v>
      </c>
      <c r="AB7372" t="str">
        <f>IF(Table1[[#This Row],[TIPO2]]="costo", VLOOKUP(Table1[[#This Row],[PARTIDA PRESUPUESTAL]],'Cost Report'!G:G,1,0),"Balance")</f>
        <v>Balance</v>
      </c>
      <c r="AD7372" s="159">
        <f>+Table1[[#This Row],[SUBTOTAL]]+Table1[[#This Row],[IVA]]-Table1[[#This Row],[RET IVA]]-Table1[[#This Row],[RET ISR]]-Table1[[#This Row],[TOTAL]]</f>
        <v>0</v>
      </c>
    </row>
    <row r="7373" spans="1:30">
      <c r="A7373" s="172"/>
      <c r="B7373" s="178"/>
      <c r="C7373" s="179"/>
      <c r="D7373" s="180"/>
      <c r="E7373" s="125"/>
      <c r="F7373" s="178"/>
      <c r="G7373" s="178"/>
      <c r="H7373" s="178"/>
      <c r="I7373" s="178"/>
      <c r="J7373" s="178"/>
      <c r="K7373" s="178"/>
      <c r="L7373" s="125"/>
      <c r="M7373" s="125"/>
      <c r="N7373" s="182"/>
      <c r="O7373" s="177"/>
      <c r="P7373" s="176"/>
      <c r="Q7373" s="176"/>
      <c r="R7373" s="176"/>
      <c r="S7373" s="176"/>
      <c r="T7373" s="190"/>
      <c r="U7373" s="191"/>
      <c r="V7373" s="191">
        <f>+Table1[[#This Row],[SUBTOTAL]]+Table1[[#This Row],[IVA]]-Table1[[#This Row],[RET IVA]]-Table1[[#This Row],[RET ISR]]</f>
        <v>0</v>
      </c>
      <c r="W7373" s="185"/>
      <c r="X7373" s="186"/>
      <c r="Y7373" s="187"/>
      <c r="Z7373" s="204">
        <f>+Table1[[#This Row],[CONCEPTO]]+Table1[[#This Row],[TIPO2]]-Table1[[#This Row],[IVA]]-Table1[[#This Row],[OTROS IMPUESTOS]]-Table1[[#This Row],[RET IVA]]</f>
        <v>0</v>
      </c>
      <c r="AB7373" t="str">
        <f>IF(Table1[[#This Row],[TIPO2]]="costo", VLOOKUP(Table1[[#This Row],[PARTIDA PRESUPUESTAL]],'Cost Report'!G:G,1,0),"Balance")</f>
        <v>Balance</v>
      </c>
      <c r="AD7373" s="159">
        <f>+Table1[[#This Row],[SUBTOTAL]]+Table1[[#This Row],[IVA]]-Table1[[#This Row],[RET IVA]]-Table1[[#This Row],[RET ISR]]-Table1[[#This Row],[TOTAL]]</f>
        <v>0</v>
      </c>
    </row>
    <row r="7374" spans="1:30">
      <c r="A7374" s="172"/>
      <c r="B7374" s="178"/>
      <c r="C7374" s="179"/>
      <c r="D7374" s="180"/>
      <c r="E7374" s="125"/>
      <c r="F7374" s="178"/>
      <c r="G7374" s="178"/>
      <c r="H7374" s="178"/>
      <c r="I7374" s="178"/>
      <c r="J7374" s="178"/>
      <c r="K7374" s="178"/>
      <c r="L7374" s="125"/>
      <c r="M7374" s="125"/>
      <c r="N7374" s="182"/>
      <c r="O7374" s="177"/>
      <c r="P7374" s="176"/>
      <c r="Q7374" s="176"/>
      <c r="R7374" s="176"/>
      <c r="S7374" s="176"/>
      <c r="T7374" s="190"/>
      <c r="U7374" s="191"/>
      <c r="V7374" s="191">
        <f>+Table1[[#This Row],[SUBTOTAL]]+Table1[[#This Row],[IVA]]-Table1[[#This Row],[RET IVA]]-Table1[[#This Row],[RET ISR]]</f>
        <v>0</v>
      </c>
      <c r="W7374" s="185"/>
      <c r="X7374" s="186"/>
      <c r="Y7374" s="187"/>
      <c r="Z7374" s="204">
        <f>+Table1[[#This Row],[CONCEPTO]]+Table1[[#This Row],[TIPO2]]-Table1[[#This Row],[IVA]]-Table1[[#This Row],[OTROS IMPUESTOS]]-Table1[[#This Row],[RET IVA]]</f>
        <v>0</v>
      </c>
      <c r="AB7374" t="str">
        <f>IF(Table1[[#This Row],[TIPO2]]="costo", VLOOKUP(Table1[[#This Row],[PARTIDA PRESUPUESTAL]],'Cost Report'!G:G,1,0),"Balance")</f>
        <v>Balance</v>
      </c>
      <c r="AD7374" s="159">
        <f>+Table1[[#This Row],[SUBTOTAL]]+Table1[[#This Row],[IVA]]-Table1[[#This Row],[RET IVA]]-Table1[[#This Row],[RET ISR]]-Table1[[#This Row],[TOTAL]]</f>
        <v>0</v>
      </c>
    </row>
    <row r="7375" spans="1:30">
      <c r="A7375" s="172"/>
      <c r="B7375" s="178"/>
      <c r="C7375" s="179"/>
      <c r="D7375" s="180"/>
      <c r="E7375" s="125"/>
      <c r="F7375" s="178"/>
      <c r="G7375" s="178"/>
      <c r="H7375" s="178"/>
      <c r="I7375" s="178"/>
      <c r="J7375" s="178"/>
      <c r="K7375" s="178"/>
      <c r="L7375" s="125"/>
      <c r="M7375" s="125"/>
      <c r="N7375" s="182"/>
      <c r="O7375" s="177"/>
      <c r="P7375" s="176"/>
      <c r="Q7375" s="176"/>
      <c r="R7375" s="176"/>
      <c r="S7375" s="176"/>
      <c r="T7375" s="190"/>
      <c r="U7375" s="191"/>
      <c r="V7375" s="191">
        <f>+Table1[[#This Row],[SUBTOTAL]]+Table1[[#This Row],[IVA]]-Table1[[#This Row],[RET IVA]]-Table1[[#This Row],[RET ISR]]</f>
        <v>0</v>
      </c>
      <c r="W7375" s="185"/>
      <c r="X7375" s="186"/>
      <c r="Y7375" s="187"/>
      <c r="Z7375" s="204">
        <f>+Table1[[#This Row],[CONCEPTO]]+Table1[[#This Row],[TIPO2]]-Table1[[#This Row],[IVA]]-Table1[[#This Row],[OTROS IMPUESTOS]]-Table1[[#This Row],[RET IVA]]</f>
        <v>0</v>
      </c>
      <c r="AB7375" t="str">
        <f>IF(Table1[[#This Row],[TIPO2]]="costo", VLOOKUP(Table1[[#This Row],[PARTIDA PRESUPUESTAL]],'Cost Report'!G:G,1,0),"Balance")</f>
        <v>Balance</v>
      </c>
      <c r="AD7375" s="159">
        <f>+Table1[[#This Row],[SUBTOTAL]]+Table1[[#This Row],[IVA]]-Table1[[#This Row],[RET IVA]]-Table1[[#This Row],[RET ISR]]-Table1[[#This Row],[TOTAL]]</f>
        <v>0</v>
      </c>
    </row>
    <row r="7376" spans="1:30">
      <c r="A7376" s="172"/>
      <c r="B7376" s="178"/>
      <c r="C7376" s="179"/>
      <c r="D7376" s="180"/>
      <c r="E7376" s="125"/>
      <c r="F7376" s="178"/>
      <c r="G7376" s="178"/>
      <c r="H7376" s="178"/>
      <c r="I7376" s="178"/>
      <c r="J7376" s="178"/>
      <c r="K7376" s="178"/>
      <c r="L7376" s="125"/>
      <c r="M7376" s="125"/>
      <c r="N7376" s="182"/>
      <c r="O7376" s="177"/>
      <c r="P7376" s="176"/>
      <c r="Q7376" s="176"/>
      <c r="R7376" s="176"/>
      <c r="S7376" s="176"/>
      <c r="T7376" s="190"/>
      <c r="U7376" s="191"/>
      <c r="V7376" s="191">
        <f>+Table1[[#This Row],[SUBTOTAL]]+Table1[[#This Row],[IVA]]-Table1[[#This Row],[RET IVA]]-Table1[[#This Row],[RET ISR]]</f>
        <v>0</v>
      </c>
      <c r="W7376" s="185"/>
      <c r="X7376" s="186"/>
      <c r="Y7376" s="187"/>
      <c r="Z7376" s="204">
        <f>+Table1[[#This Row],[CONCEPTO]]+Table1[[#This Row],[TIPO2]]-Table1[[#This Row],[IVA]]-Table1[[#This Row],[OTROS IMPUESTOS]]-Table1[[#This Row],[RET IVA]]</f>
        <v>0</v>
      </c>
      <c r="AB7376" t="str">
        <f>IF(Table1[[#This Row],[TIPO2]]="costo", VLOOKUP(Table1[[#This Row],[PARTIDA PRESUPUESTAL]],'Cost Report'!G:G,1,0),"Balance")</f>
        <v>Balance</v>
      </c>
      <c r="AD7376" s="159">
        <f>+Table1[[#This Row],[SUBTOTAL]]+Table1[[#This Row],[IVA]]-Table1[[#This Row],[RET IVA]]-Table1[[#This Row],[RET ISR]]-Table1[[#This Row],[TOTAL]]</f>
        <v>0</v>
      </c>
    </row>
    <row r="7377" spans="1:30">
      <c r="A7377" s="172"/>
      <c r="B7377" s="178"/>
      <c r="C7377" s="179"/>
      <c r="D7377" s="180"/>
      <c r="E7377" s="125"/>
      <c r="F7377" s="178"/>
      <c r="G7377" s="178"/>
      <c r="H7377" s="178"/>
      <c r="I7377" s="178"/>
      <c r="J7377" s="178"/>
      <c r="K7377" s="178"/>
      <c r="L7377" s="125"/>
      <c r="M7377" s="125"/>
      <c r="N7377" s="182"/>
      <c r="O7377" s="177"/>
      <c r="P7377" s="176"/>
      <c r="Q7377" s="176"/>
      <c r="R7377" s="176"/>
      <c r="S7377" s="176"/>
      <c r="T7377" s="190"/>
      <c r="U7377" s="191"/>
      <c r="V7377" s="191">
        <f>+Table1[[#This Row],[SUBTOTAL]]+Table1[[#This Row],[IVA]]-Table1[[#This Row],[RET IVA]]-Table1[[#This Row],[RET ISR]]</f>
        <v>0</v>
      </c>
      <c r="W7377" s="185"/>
      <c r="X7377" s="186"/>
      <c r="Y7377" s="187"/>
      <c r="Z7377" s="204">
        <f>+Table1[[#This Row],[CONCEPTO]]+Table1[[#This Row],[TIPO2]]-Table1[[#This Row],[IVA]]-Table1[[#This Row],[OTROS IMPUESTOS]]-Table1[[#This Row],[RET IVA]]</f>
        <v>0</v>
      </c>
      <c r="AB7377" t="str">
        <f>IF(Table1[[#This Row],[TIPO2]]="costo", VLOOKUP(Table1[[#This Row],[PARTIDA PRESUPUESTAL]],'Cost Report'!G:G,1,0),"Balance")</f>
        <v>Balance</v>
      </c>
      <c r="AD7377" s="159">
        <f>+Table1[[#This Row],[SUBTOTAL]]+Table1[[#This Row],[IVA]]-Table1[[#This Row],[RET IVA]]-Table1[[#This Row],[RET ISR]]-Table1[[#This Row],[TOTAL]]</f>
        <v>0</v>
      </c>
    </row>
    <row r="7378" spans="1:30">
      <c r="A7378" s="172"/>
      <c r="B7378" s="178"/>
      <c r="C7378" s="179"/>
      <c r="D7378" s="180"/>
      <c r="E7378" s="125"/>
      <c r="F7378" s="178"/>
      <c r="G7378" s="178"/>
      <c r="H7378" s="178"/>
      <c r="I7378" s="178"/>
      <c r="J7378" s="178"/>
      <c r="K7378" s="178"/>
      <c r="L7378" s="125"/>
      <c r="M7378" s="125"/>
      <c r="N7378" s="182"/>
      <c r="O7378" s="177"/>
      <c r="P7378" s="176"/>
      <c r="Q7378" s="176"/>
      <c r="R7378" s="176"/>
      <c r="S7378" s="176"/>
      <c r="T7378" s="190"/>
      <c r="U7378" s="191"/>
      <c r="V7378" s="191">
        <f>+Table1[[#This Row],[SUBTOTAL]]+Table1[[#This Row],[IVA]]-Table1[[#This Row],[RET IVA]]-Table1[[#This Row],[RET ISR]]</f>
        <v>0</v>
      </c>
      <c r="W7378" s="185"/>
      <c r="X7378" s="186"/>
      <c r="Y7378" s="187"/>
      <c r="Z7378" s="204">
        <f>+Table1[[#This Row],[CONCEPTO]]+Table1[[#This Row],[TIPO2]]-Table1[[#This Row],[IVA]]-Table1[[#This Row],[OTROS IMPUESTOS]]-Table1[[#This Row],[RET IVA]]</f>
        <v>0</v>
      </c>
      <c r="AB7378" t="str">
        <f>IF(Table1[[#This Row],[TIPO2]]="costo", VLOOKUP(Table1[[#This Row],[PARTIDA PRESUPUESTAL]],'Cost Report'!G:G,1,0),"Balance")</f>
        <v>Balance</v>
      </c>
      <c r="AD7378" s="159">
        <f>+Table1[[#This Row],[SUBTOTAL]]+Table1[[#This Row],[IVA]]-Table1[[#This Row],[RET IVA]]-Table1[[#This Row],[RET ISR]]-Table1[[#This Row],[TOTAL]]</f>
        <v>0</v>
      </c>
    </row>
    <row r="7379" spans="1:30">
      <c r="A7379" s="172"/>
      <c r="B7379" s="178"/>
      <c r="C7379" s="179"/>
      <c r="D7379" s="180"/>
      <c r="E7379" s="125"/>
      <c r="F7379" s="178"/>
      <c r="G7379" s="178"/>
      <c r="H7379" s="178"/>
      <c r="I7379" s="178"/>
      <c r="J7379" s="178"/>
      <c r="K7379" s="178"/>
      <c r="L7379" s="125"/>
      <c r="M7379" s="125"/>
      <c r="N7379" s="182"/>
      <c r="O7379" s="177"/>
      <c r="P7379" s="176"/>
      <c r="Q7379" s="176"/>
      <c r="R7379" s="176"/>
      <c r="S7379" s="176"/>
      <c r="T7379" s="190"/>
      <c r="U7379" s="191"/>
      <c r="V7379" s="191">
        <f>+Table1[[#This Row],[SUBTOTAL]]+Table1[[#This Row],[IVA]]-Table1[[#This Row],[RET IVA]]-Table1[[#This Row],[RET ISR]]</f>
        <v>0</v>
      </c>
      <c r="W7379" s="185"/>
      <c r="X7379" s="186"/>
      <c r="Y7379" s="187"/>
      <c r="Z7379" s="204">
        <f>+Table1[[#This Row],[CONCEPTO]]+Table1[[#This Row],[TIPO2]]-Table1[[#This Row],[IVA]]-Table1[[#This Row],[OTROS IMPUESTOS]]-Table1[[#This Row],[RET IVA]]</f>
        <v>0</v>
      </c>
      <c r="AB7379" t="str">
        <f>IF(Table1[[#This Row],[TIPO2]]="costo", VLOOKUP(Table1[[#This Row],[PARTIDA PRESUPUESTAL]],'Cost Report'!G:G,1,0),"Balance")</f>
        <v>Balance</v>
      </c>
      <c r="AD7379" s="159">
        <f>+Table1[[#This Row],[SUBTOTAL]]+Table1[[#This Row],[IVA]]-Table1[[#This Row],[RET IVA]]-Table1[[#This Row],[RET ISR]]-Table1[[#This Row],[TOTAL]]</f>
        <v>0</v>
      </c>
    </row>
    <row r="7380" spans="1:30">
      <c r="A7380" s="172"/>
      <c r="B7380" s="178"/>
      <c r="C7380" s="179"/>
      <c r="D7380" s="180"/>
      <c r="E7380" s="125"/>
      <c r="F7380" s="178"/>
      <c r="G7380" s="178"/>
      <c r="H7380" s="178"/>
      <c r="I7380" s="178"/>
      <c r="J7380" s="178"/>
      <c r="K7380" s="178"/>
      <c r="L7380" s="125"/>
      <c r="M7380" s="125"/>
      <c r="N7380" s="182"/>
      <c r="O7380" s="177"/>
      <c r="P7380" s="176"/>
      <c r="Q7380" s="176"/>
      <c r="R7380" s="176"/>
      <c r="S7380" s="176"/>
      <c r="T7380" s="190"/>
      <c r="U7380" s="191"/>
      <c r="V7380" s="191">
        <f>+Table1[[#This Row],[SUBTOTAL]]+Table1[[#This Row],[IVA]]-Table1[[#This Row],[RET IVA]]-Table1[[#This Row],[RET ISR]]</f>
        <v>0</v>
      </c>
      <c r="W7380" s="185"/>
      <c r="X7380" s="186"/>
      <c r="Y7380" s="187"/>
      <c r="Z7380" s="204">
        <f>+Table1[[#This Row],[CONCEPTO]]+Table1[[#This Row],[TIPO2]]-Table1[[#This Row],[IVA]]-Table1[[#This Row],[OTROS IMPUESTOS]]-Table1[[#This Row],[RET IVA]]</f>
        <v>0</v>
      </c>
      <c r="AB7380" t="str">
        <f>IF(Table1[[#This Row],[TIPO2]]="costo", VLOOKUP(Table1[[#This Row],[PARTIDA PRESUPUESTAL]],'Cost Report'!G:G,1,0),"Balance")</f>
        <v>Balance</v>
      </c>
      <c r="AD7380" s="159">
        <f>+Table1[[#This Row],[SUBTOTAL]]+Table1[[#This Row],[IVA]]-Table1[[#This Row],[RET IVA]]-Table1[[#This Row],[RET ISR]]-Table1[[#This Row],[TOTAL]]</f>
        <v>0</v>
      </c>
    </row>
    <row r="7381" spans="1:30">
      <c r="A7381" s="172"/>
      <c r="B7381" s="178"/>
      <c r="C7381" s="179"/>
      <c r="D7381" s="180"/>
      <c r="E7381" s="125"/>
      <c r="F7381" s="178"/>
      <c r="G7381" s="178"/>
      <c r="H7381" s="178"/>
      <c r="I7381" s="178"/>
      <c r="J7381" s="178"/>
      <c r="K7381" s="178"/>
      <c r="L7381" s="125"/>
      <c r="M7381" s="125"/>
      <c r="N7381" s="182"/>
      <c r="O7381" s="177"/>
      <c r="P7381" s="176"/>
      <c r="Q7381" s="176"/>
      <c r="R7381" s="176"/>
      <c r="S7381" s="176"/>
      <c r="T7381" s="190"/>
      <c r="U7381" s="191"/>
      <c r="V7381" s="191">
        <f>+Table1[[#This Row],[SUBTOTAL]]+Table1[[#This Row],[IVA]]-Table1[[#This Row],[RET IVA]]-Table1[[#This Row],[RET ISR]]</f>
        <v>0</v>
      </c>
      <c r="W7381" s="185"/>
      <c r="X7381" s="186"/>
      <c r="Y7381" s="187"/>
      <c r="Z7381" s="204">
        <f>+Table1[[#This Row],[CONCEPTO]]+Table1[[#This Row],[TIPO2]]-Table1[[#This Row],[IVA]]-Table1[[#This Row],[OTROS IMPUESTOS]]-Table1[[#This Row],[RET IVA]]</f>
        <v>0</v>
      </c>
      <c r="AB7381" t="str">
        <f>IF(Table1[[#This Row],[TIPO2]]="costo", VLOOKUP(Table1[[#This Row],[PARTIDA PRESUPUESTAL]],'Cost Report'!G:G,1,0),"Balance")</f>
        <v>Balance</v>
      </c>
      <c r="AD7381" s="159">
        <f>+Table1[[#This Row],[SUBTOTAL]]+Table1[[#This Row],[IVA]]-Table1[[#This Row],[RET IVA]]-Table1[[#This Row],[RET ISR]]-Table1[[#This Row],[TOTAL]]</f>
        <v>0</v>
      </c>
    </row>
    <row r="7382" spans="1:30">
      <c r="A7382" s="172"/>
      <c r="B7382" s="178"/>
      <c r="C7382" s="179"/>
      <c r="D7382" s="180"/>
      <c r="E7382" s="125"/>
      <c r="F7382" s="178"/>
      <c r="G7382" s="178"/>
      <c r="H7382" s="178"/>
      <c r="I7382" s="178"/>
      <c r="J7382" s="178"/>
      <c r="K7382" s="178"/>
      <c r="L7382" s="125"/>
      <c r="M7382" s="125"/>
      <c r="N7382" s="182"/>
      <c r="O7382" s="177"/>
      <c r="P7382" s="176"/>
      <c r="Q7382" s="176"/>
      <c r="R7382" s="176"/>
      <c r="S7382" s="176"/>
      <c r="T7382" s="190"/>
      <c r="U7382" s="191"/>
      <c r="V7382" s="191">
        <f>+Table1[[#This Row],[SUBTOTAL]]+Table1[[#This Row],[IVA]]-Table1[[#This Row],[RET IVA]]-Table1[[#This Row],[RET ISR]]</f>
        <v>0</v>
      </c>
      <c r="W7382" s="185"/>
      <c r="X7382" s="186"/>
      <c r="Y7382" s="187"/>
      <c r="Z7382" s="204">
        <f>+Table1[[#This Row],[CONCEPTO]]+Table1[[#This Row],[TIPO2]]-Table1[[#This Row],[IVA]]-Table1[[#This Row],[OTROS IMPUESTOS]]-Table1[[#This Row],[RET IVA]]</f>
        <v>0</v>
      </c>
      <c r="AB7382" t="str">
        <f>IF(Table1[[#This Row],[TIPO2]]="costo", VLOOKUP(Table1[[#This Row],[PARTIDA PRESUPUESTAL]],'Cost Report'!G:G,1,0),"Balance")</f>
        <v>Balance</v>
      </c>
      <c r="AD7382" s="159">
        <f>+Table1[[#This Row],[SUBTOTAL]]+Table1[[#This Row],[IVA]]-Table1[[#This Row],[RET IVA]]-Table1[[#This Row],[RET ISR]]-Table1[[#This Row],[TOTAL]]</f>
        <v>0</v>
      </c>
    </row>
    <row r="7383" spans="1:30">
      <c r="A7383" s="172"/>
      <c r="B7383" s="178"/>
      <c r="C7383" s="179"/>
      <c r="D7383" s="180"/>
      <c r="E7383" s="125"/>
      <c r="F7383" s="178"/>
      <c r="G7383" s="178"/>
      <c r="H7383" s="178"/>
      <c r="I7383" s="178"/>
      <c r="J7383" s="178"/>
      <c r="K7383" s="178"/>
      <c r="L7383" s="125"/>
      <c r="M7383" s="125"/>
      <c r="N7383" s="182"/>
      <c r="O7383" s="177"/>
      <c r="P7383" s="176"/>
      <c r="Q7383" s="176"/>
      <c r="R7383" s="176"/>
      <c r="S7383" s="176"/>
      <c r="T7383" s="190"/>
      <c r="U7383" s="191"/>
      <c r="V7383" s="191">
        <f>+Table1[[#This Row],[SUBTOTAL]]+Table1[[#This Row],[IVA]]-Table1[[#This Row],[RET IVA]]-Table1[[#This Row],[RET ISR]]</f>
        <v>0</v>
      </c>
      <c r="W7383" s="185"/>
      <c r="X7383" s="186"/>
      <c r="Y7383" s="187"/>
      <c r="Z7383" s="204">
        <f>+Table1[[#This Row],[CONCEPTO]]+Table1[[#This Row],[TIPO2]]-Table1[[#This Row],[IVA]]-Table1[[#This Row],[OTROS IMPUESTOS]]-Table1[[#This Row],[RET IVA]]</f>
        <v>0</v>
      </c>
      <c r="AB7383" t="str">
        <f>IF(Table1[[#This Row],[TIPO2]]="costo", VLOOKUP(Table1[[#This Row],[PARTIDA PRESUPUESTAL]],'Cost Report'!G:G,1,0),"Balance")</f>
        <v>Balance</v>
      </c>
      <c r="AD7383" s="159">
        <f>+Table1[[#This Row],[SUBTOTAL]]+Table1[[#This Row],[IVA]]-Table1[[#This Row],[RET IVA]]-Table1[[#This Row],[RET ISR]]-Table1[[#This Row],[TOTAL]]</f>
        <v>0</v>
      </c>
    </row>
    <row r="7384" spans="1:30">
      <c r="A7384" s="172"/>
      <c r="B7384" s="178"/>
      <c r="C7384" s="179"/>
      <c r="D7384" s="180"/>
      <c r="E7384" s="125"/>
      <c r="F7384" s="178"/>
      <c r="G7384" s="178"/>
      <c r="H7384" s="178"/>
      <c r="I7384" s="178"/>
      <c r="J7384" s="178"/>
      <c r="K7384" s="178"/>
      <c r="L7384" s="125"/>
      <c r="M7384" s="125"/>
      <c r="N7384" s="182"/>
      <c r="O7384" s="177"/>
      <c r="P7384" s="176"/>
      <c r="Q7384" s="176"/>
      <c r="R7384" s="176"/>
      <c r="S7384" s="176"/>
      <c r="T7384" s="190"/>
      <c r="U7384" s="191"/>
      <c r="V7384" s="191">
        <f>+Table1[[#This Row],[SUBTOTAL]]+Table1[[#This Row],[IVA]]-Table1[[#This Row],[RET IVA]]-Table1[[#This Row],[RET ISR]]</f>
        <v>0</v>
      </c>
      <c r="W7384" s="185"/>
      <c r="X7384" s="186"/>
      <c r="Y7384" s="187"/>
      <c r="Z7384" s="204">
        <f>+Table1[[#This Row],[CONCEPTO]]+Table1[[#This Row],[TIPO2]]-Table1[[#This Row],[IVA]]-Table1[[#This Row],[OTROS IMPUESTOS]]-Table1[[#This Row],[RET IVA]]</f>
        <v>0</v>
      </c>
      <c r="AB7384" t="str">
        <f>IF(Table1[[#This Row],[TIPO2]]="costo", VLOOKUP(Table1[[#This Row],[PARTIDA PRESUPUESTAL]],'Cost Report'!G:G,1,0),"Balance")</f>
        <v>Balance</v>
      </c>
      <c r="AD7384" s="159">
        <f>+Table1[[#This Row],[SUBTOTAL]]+Table1[[#This Row],[IVA]]-Table1[[#This Row],[RET IVA]]-Table1[[#This Row],[RET ISR]]-Table1[[#This Row],[TOTAL]]</f>
        <v>0</v>
      </c>
    </row>
    <row r="7385" spans="1:30">
      <c r="A7385" s="172"/>
      <c r="B7385" s="178"/>
      <c r="C7385" s="179"/>
      <c r="D7385" s="180"/>
      <c r="E7385" s="125"/>
      <c r="F7385" s="178"/>
      <c r="G7385" s="178"/>
      <c r="H7385" s="178"/>
      <c r="I7385" s="178"/>
      <c r="J7385" s="178"/>
      <c r="K7385" s="178"/>
      <c r="L7385" s="125"/>
      <c r="M7385" s="125"/>
      <c r="N7385" s="182"/>
      <c r="O7385" s="177"/>
      <c r="P7385" s="176"/>
      <c r="Q7385" s="176"/>
      <c r="R7385" s="176"/>
      <c r="S7385" s="176"/>
      <c r="T7385" s="190"/>
      <c r="U7385" s="191"/>
      <c r="V7385" s="191">
        <f>+Table1[[#This Row],[SUBTOTAL]]+Table1[[#This Row],[IVA]]-Table1[[#This Row],[RET IVA]]-Table1[[#This Row],[RET ISR]]</f>
        <v>0</v>
      </c>
      <c r="W7385" s="185"/>
      <c r="X7385" s="186"/>
      <c r="Y7385" s="187"/>
      <c r="Z7385" s="204">
        <f>+Table1[[#This Row],[CONCEPTO]]+Table1[[#This Row],[TIPO2]]-Table1[[#This Row],[IVA]]-Table1[[#This Row],[OTROS IMPUESTOS]]-Table1[[#This Row],[RET IVA]]</f>
        <v>0</v>
      </c>
      <c r="AB7385" t="str">
        <f>IF(Table1[[#This Row],[TIPO2]]="costo", VLOOKUP(Table1[[#This Row],[PARTIDA PRESUPUESTAL]],'Cost Report'!G:G,1,0),"Balance")</f>
        <v>Balance</v>
      </c>
      <c r="AD7385" s="159">
        <f>+Table1[[#This Row],[SUBTOTAL]]+Table1[[#This Row],[IVA]]-Table1[[#This Row],[RET IVA]]-Table1[[#This Row],[RET ISR]]-Table1[[#This Row],[TOTAL]]</f>
        <v>0</v>
      </c>
    </row>
    <row r="7386" spans="1:30">
      <c r="A7386" s="172"/>
      <c r="B7386" s="178"/>
      <c r="C7386" s="179"/>
      <c r="D7386" s="180"/>
      <c r="E7386" s="125"/>
      <c r="F7386" s="178"/>
      <c r="G7386" s="178"/>
      <c r="H7386" s="178"/>
      <c r="I7386" s="178"/>
      <c r="J7386" s="178"/>
      <c r="K7386" s="178"/>
      <c r="L7386" s="125"/>
      <c r="M7386" s="125"/>
      <c r="N7386" s="182"/>
      <c r="O7386" s="177"/>
      <c r="P7386" s="176"/>
      <c r="Q7386" s="176"/>
      <c r="R7386" s="176"/>
      <c r="S7386" s="176"/>
      <c r="T7386" s="190"/>
      <c r="U7386" s="191"/>
      <c r="V7386" s="191">
        <f>+Table1[[#This Row],[SUBTOTAL]]+Table1[[#This Row],[IVA]]-Table1[[#This Row],[RET IVA]]-Table1[[#This Row],[RET ISR]]</f>
        <v>0</v>
      </c>
      <c r="W7386" s="185"/>
      <c r="X7386" s="186"/>
      <c r="Y7386" s="187"/>
      <c r="Z7386" s="204">
        <f>+Table1[[#This Row],[CONCEPTO]]+Table1[[#This Row],[TIPO2]]-Table1[[#This Row],[IVA]]-Table1[[#This Row],[OTROS IMPUESTOS]]-Table1[[#This Row],[RET IVA]]</f>
        <v>0</v>
      </c>
      <c r="AB7386" t="str">
        <f>IF(Table1[[#This Row],[TIPO2]]="costo", VLOOKUP(Table1[[#This Row],[PARTIDA PRESUPUESTAL]],'Cost Report'!G:G,1,0),"Balance")</f>
        <v>Balance</v>
      </c>
      <c r="AD7386" s="159">
        <f>+Table1[[#This Row],[SUBTOTAL]]+Table1[[#This Row],[IVA]]-Table1[[#This Row],[RET IVA]]-Table1[[#This Row],[RET ISR]]-Table1[[#This Row],[TOTAL]]</f>
        <v>0</v>
      </c>
    </row>
    <row r="7387" spans="1:30">
      <c r="A7387" s="172"/>
      <c r="B7387" s="178"/>
      <c r="C7387" s="179"/>
      <c r="D7387" s="180"/>
      <c r="E7387" s="125"/>
      <c r="F7387" s="178"/>
      <c r="G7387" s="178"/>
      <c r="H7387" s="178"/>
      <c r="I7387" s="178"/>
      <c r="J7387" s="178"/>
      <c r="K7387" s="178"/>
      <c r="L7387" s="125"/>
      <c r="M7387" s="125"/>
      <c r="N7387" s="182"/>
      <c r="O7387" s="177"/>
      <c r="P7387" s="176"/>
      <c r="Q7387" s="176"/>
      <c r="R7387" s="176"/>
      <c r="S7387" s="176"/>
      <c r="T7387" s="190"/>
      <c r="U7387" s="191"/>
      <c r="V7387" s="191">
        <f>+Table1[[#This Row],[SUBTOTAL]]+Table1[[#This Row],[IVA]]-Table1[[#This Row],[RET IVA]]-Table1[[#This Row],[RET ISR]]</f>
        <v>0</v>
      </c>
      <c r="W7387" s="185"/>
      <c r="X7387" s="186"/>
      <c r="Y7387" s="187"/>
      <c r="Z7387" s="204">
        <f>+Table1[[#This Row],[CONCEPTO]]+Table1[[#This Row],[TIPO2]]-Table1[[#This Row],[IVA]]-Table1[[#This Row],[OTROS IMPUESTOS]]-Table1[[#This Row],[RET IVA]]</f>
        <v>0</v>
      </c>
      <c r="AB7387" t="str">
        <f>IF(Table1[[#This Row],[TIPO2]]="costo", VLOOKUP(Table1[[#This Row],[PARTIDA PRESUPUESTAL]],'Cost Report'!G:G,1,0),"Balance")</f>
        <v>Balance</v>
      </c>
      <c r="AD7387" s="159">
        <f>+Table1[[#This Row],[SUBTOTAL]]+Table1[[#This Row],[IVA]]-Table1[[#This Row],[RET IVA]]-Table1[[#This Row],[RET ISR]]-Table1[[#This Row],[TOTAL]]</f>
        <v>0</v>
      </c>
    </row>
    <row r="7388" spans="1:30">
      <c r="A7388" s="172"/>
      <c r="B7388" s="178"/>
      <c r="C7388" s="179"/>
      <c r="D7388" s="180"/>
      <c r="E7388" s="125"/>
      <c r="F7388" s="178"/>
      <c r="G7388" s="178"/>
      <c r="H7388" s="178"/>
      <c r="I7388" s="178"/>
      <c r="J7388" s="178"/>
      <c r="K7388" s="178"/>
      <c r="L7388" s="125"/>
      <c r="M7388" s="125"/>
      <c r="N7388" s="182"/>
      <c r="O7388" s="177"/>
      <c r="P7388" s="176"/>
      <c r="Q7388" s="176"/>
      <c r="R7388" s="176"/>
      <c r="S7388" s="176"/>
      <c r="T7388" s="190"/>
      <c r="U7388" s="191"/>
      <c r="V7388" s="191">
        <f>+Table1[[#This Row],[SUBTOTAL]]+Table1[[#This Row],[IVA]]-Table1[[#This Row],[RET IVA]]-Table1[[#This Row],[RET ISR]]</f>
        <v>0</v>
      </c>
      <c r="W7388" s="185"/>
      <c r="X7388" s="186"/>
      <c r="Y7388" s="187"/>
      <c r="Z7388" s="204">
        <f>+Table1[[#This Row],[CONCEPTO]]+Table1[[#This Row],[TIPO2]]-Table1[[#This Row],[IVA]]-Table1[[#This Row],[OTROS IMPUESTOS]]-Table1[[#This Row],[RET IVA]]</f>
        <v>0</v>
      </c>
      <c r="AB7388" t="str">
        <f>IF(Table1[[#This Row],[TIPO2]]="costo", VLOOKUP(Table1[[#This Row],[PARTIDA PRESUPUESTAL]],'Cost Report'!G:G,1,0),"Balance")</f>
        <v>Balance</v>
      </c>
      <c r="AD7388" s="159">
        <f>+Table1[[#This Row],[SUBTOTAL]]+Table1[[#This Row],[IVA]]-Table1[[#This Row],[RET IVA]]-Table1[[#This Row],[RET ISR]]-Table1[[#This Row],[TOTAL]]</f>
        <v>0</v>
      </c>
    </row>
    <row r="7389" spans="1:30">
      <c r="A7389" s="172"/>
      <c r="B7389" s="178"/>
      <c r="C7389" s="179"/>
      <c r="D7389" s="180"/>
      <c r="E7389" s="125"/>
      <c r="F7389" s="178"/>
      <c r="G7389" s="178"/>
      <c r="H7389" s="178"/>
      <c r="I7389" s="178"/>
      <c r="J7389" s="178"/>
      <c r="K7389" s="178"/>
      <c r="L7389" s="125"/>
      <c r="M7389" s="125"/>
      <c r="N7389" s="182"/>
      <c r="O7389" s="177"/>
      <c r="P7389" s="176"/>
      <c r="Q7389" s="176"/>
      <c r="R7389" s="176"/>
      <c r="S7389" s="176"/>
      <c r="T7389" s="190"/>
      <c r="U7389" s="191"/>
      <c r="V7389" s="191">
        <f>+Table1[[#This Row],[SUBTOTAL]]+Table1[[#This Row],[IVA]]-Table1[[#This Row],[RET IVA]]-Table1[[#This Row],[RET ISR]]</f>
        <v>0</v>
      </c>
      <c r="W7389" s="185"/>
      <c r="X7389" s="186"/>
      <c r="Y7389" s="187"/>
      <c r="Z7389" s="204">
        <f>+Table1[[#This Row],[CONCEPTO]]+Table1[[#This Row],[TIPO2]]-Table1[[#This Row],[IVA]]-Table1[[#This Row],[OTROS IMPUESTOS]]-Table1[[#This Row],[RET IVA]]</f>
        <v>0</v>
      </c>
      <c r="AB7389" t="str">
        <f>IF(Table1[[#This Row],[TIPO2]]="costo", VLOOKUP(Table1[[#This Row],[PARTIDA PRESUPUESTAL]],'Cost Report'!G:G,1,0),"Balance")</f>
        <v>Balance</v>
      </c>
      <c r="AD7389" s="159">
        <f>+Table1[[#This Row],[SUBTOTAL]]+Table1[[#This Row],[IVA]]-Table1[[#This Row],[RET IVA]]-Table1[[#This Row],[RET ISR]]-Table1[[#This Row],[TOTAL]]</f>
        <v>0</v>
      </c>
    </row>
    <row r="7390" spans="1:30">
      <c r="A7390" s="172"/>
      <c r="B7390" s="178"/>
      <c r="C7390" s="179"/>
      <c r="D7390" s="180"/>
      <c r="E7390" s="125"/>
      <c r="F7390" s="178"/>
      <c r="G7390" s="178"/>
      <c r="H7390" s="178"/>
      <c r="I7390" s="178"/>
      <c r="J7390" s="178"/>
      <c r="K7390" s="178"/>
      <c r="L7390" s="125"/>
      <c r="M7390" s="125"/>
      <c r="N7390" s="182"/>
      <c r="O7390" s="177"/>
      <c r="P7390" s="176"/>
      <c r="Q7390" s="176"/>
      <c r="R7390" s="176"/>
      <c r="S7390" s="176"/>
      <c r="T7390" s="190"/>
      <c r="U7390" s="191"/>
      <c r="V7390" s="191">
        <f>+Table1[[#This Row],[SUBTOTAL]]+Table1[[#This Row],[IVA]]-Table1[[#This Row],[RET IVA]]-Table1[[#This Row],[RET ISR]]</f>
        <v>0</v>
      </c>
      <c r="W7390" s="185"/>
      <c r="X7390" s="186"/>
      <c r="Y7390" s="187"/>
      <c r="Z7390" s="204">
        <f>+Table1[[#This Row],[CONCEPTO]]+Table1[[#This Row],[TIPO2]]-Table1[[#This Row],[IVA]]-Table1[[#This Row],[OTROS IMPUESTOS]]-Table1[[#This Row],[RET IVA]]</f>
        <v>0</v>
      </c>
      <c r="AB7390" t="str">
        <f>IF(Table1[[#This Row],[TIPO2]]="costo", VLOOKUP(Table1[[#This Row],[PARTIDA PRESUPUESTAL]],'Cost Report'!G:G,1,0),"Balance")</f>
        <v>Balance</v>
      </c>
      <c r="AD7390" s="159">
        <f>+Table1[[#This Row],[SUBTOTAL]]+Table1[[#This Row],[IVA]]-Table1[[#This Row],[RET IVA]]-Table1[[#This Row],[RET ISR]]-Table1[[#This Row],[TOTAL]]</f>
        <v>0</v>
      </c>
    </row>
    <row r="7391" spans="1:30">
      <c r="A7391" s="172"/>
      <c r="B7391" s="178"/>
      <c r="C7391" s="179"/>
      <c r="D7391" s="180"/>
      <c r="E7391" s="125"/>
      <c r="F7391" s="178"/>
      <c r="G7391" s="178"/>
      <c r="H7391" s="178"/>
      <c r="I7391" s="178"/>
      <c r="J7391" s="178"/>
      <c r="K7391" s="178"/>
      <c r="L7391" s="125"/>
      <c r="M7391" s="125"/>
      <c r="N7391" s="182"/>
      <c r="O7391" s="177"/>
      <c r="P7391" s="176"/>
      <c r="Q7391" s="176"/>
      <c r="R7391" s="176"/>
      <c r="S7391" s="176"/>
      <c r="T7391" s="190"/>
      <c r="U7391" s="191"/>
      <c r="V7391" s="191">
        <f>+Table1[[#This Row],[SUBTOTAL]]+Table1[[#This Row],[IVA]]-Table1[[#This Row],[RET IVA]]-Table1[[#This Row],[RET ISR]]</f>
        <v>0</v>
      </c>
      <c r="W7391" s="185"/>
      <c r="X7391" s="186"/>
      <c r="Y7391" s="187"/>
      <c r="Z7391" s="204">
        <f>+Table1[[#This Row],[CONCEPTO]]+Table1[[#This Row],[TIPO2]]-Table1[[#This Row],[IVA]]-Table1[[#This Row],[OTROS IMPUESTOS]]-Table1[[#This Row],[RET IVA]]</f>
        <v>0</v>
      </c>
      <c r="AB7391" t="str">
        <f>IF(Table1[[#This Row],[TIPO2]]="costo", VLOOKUP(Table1[[#This Row],[PARTIDA PRESUPUESTAL]],'Cost Report'!G:G,1,0),"Balance")</f>
        <v>Balance</v>
      </c>
      <c r="AD7391" s="159">
        <f>+Table1[[#This Row],[SUBTOTAL]]+Table1[[#This Row],[IVA]]-Table1[[#This Row],[RET IVA]]-Table1[[#This Row],[RET ISR]]-Table1[[#This Row],[TOTAL]]</f>
        <v>0</v>
      </c>
    </row>
    <row r="7392" spans="1:30">
      <c r="A7392" s="172"/>
      <c r="B7392" s="178"/>
      <c r="C7392" s="179"/>
      <c r="D7392" s="180"/>
      <c r="E7392" s="125"/>
      <c r="F7392" s="178"/>
      <c r="G7392" s="178"/>
      <c r="H7392" s="178"/>
      <c r="I7392" s="178"/>
      <c r="J7392" s="178"/>
      <c r="K7392" s="178"/>
      <c r="L7392" s="125"/>
      <c r="M7392" s="125"/>
      <c r="N7392" s="182"/>
      <c r="O7392" s="177"/>
      <c r="P7392" s="176"/>
      <c r="Q7392" s="176"/>
      <c r="R7392" s="176"/>
      <c r="S7392" s="176"/>
      <c r="T7392" s="190"/>
      <c r="U7392" s="191"/>
      <c r="V7392" s="191">
        <f>+Table1[[#This Row],[SUBTOTAL]]+Table1[[#This Row],[IVA]]-Table1[[#This Row],[RET IVA]]-Table1[[#This Row],[RET ISR]]</f>
        <v>0</v>
      </c>
      <c r="W7392" s="185"/>
      <c r="X7392" s="186"/>
      <c r="Y7392" s="187"/>
      <c r="Z7392" s="204">
        <f>+Table1[[#This Row],[CONCEPTO]]+Table1[[#This Row],[TIPO2]]-Table1[[#This Row],[IVA]]-Table1[[#This Row],[OTROS IMPUESTOS]]-Table1[[#This Row],[RET IVA]]</f>
        <v>0</v>
      </c>
      <c r="AB7392" t="str">
        <f>IF(Table1[[#This Row],[TIPO2]]="costo", VLOOKUP(Table1[[#This Row],[PARTIDA PRESUPUESTAL]],'Cost Report'!G:G,1,0),"Balance")</f>
        <v>Balance</v>
      </c>
      <c r="AD7392" s="159">
        <f>+Table1[[#This Row],[SUBTOTAL]]+Table1[[#This Row],[IVA]]-Table1[[#This Row],[RET IVA]]-Table1[[#This Row],[RET ISR]]-Table1[[#This Row],[TOTAL]]</f>
        <v>0</v>
      </c>
    </row>
    <row r="7393" spans="1:30">
      <c r="A7393" s="172"/>
      <c r="B7393" s="178"/>
      <c r="C7393" s="179"/>
      <c r="D7393" s="180"/>
      <c r="E7393" s="125"/>
      <c r="F7393" s="178"/>
      <c r="G7393" s="178"/>
      <c r="H7393" s="178"/>
      <c r="I7393" s="178"/>
      <c r="J7393" s="178"/>
      <c r="K7393" s="178"/>
      <c r="L7393" s="125"/>
      <c r="M7393" s="125"/>
      <c r="N7393" s="182"/>
      <c r="O7393" s="177"/>
      <c r="P7393" s="176"/>
      <c r="Q7393" s="176"/>
      <c r="R7393" s="176"/>
      <c r="S7393" s="176"/>
      <c r="T7393" s="190"/>
      <c r="U7393" s="191"/>
      <c r="V7393" s="191">
        <f>+Table1[[#This Row],[SUBTOTAL]]+Table1[[#This Row],[IVA]]-Table1[[#This Row],[RET IVA]]-Table1[[#This Row],[RET ISR]]</f>
        <v>0</v>
      </c>
      <c r="W7393" s="185"/>
      <c r="X7393" s="186"/>
      <c r="Y7393" s="187"/>
      <c r="Z7393" s="204">
        <f>+Table1[[#This Row],[CONCEPTO]]+Table1[[#This Row],[TIPO2]]-Table1[[#This Row],[IVA]]-Table1[[#This Row],[OTROS IMPUESTOS]]-Table1[[#This Row],[RET IVA]]</f>
        <v>0</v>
      </c>
      <c r="AB7393" t="str">
        <f>IF(Table1[[#This Row],[TIPO2]]="costo", VLOOKUP(Table1[[#This Row],[PARTIDA PRESUPUESTAL]],'Cost Report'!G:G,1,0),"Balance")</f>
        <v>Balance</v>
      </c>
      <c r="AD7393" s="159">
        <f>+Table1[[#This Row],[SUBTOTAL]]+Table1[[#This Row],[IVA]]-Table1[[#This Row],[RET IVA]]-Table1[[#This Row],[RET ISR]]-Table1[[#This Row],[TOTAL]]</f>
        <v>0</v>
      </c>
    </row>
    <row r="7394" spans="1:30">
      <c r="A7394" s="172"/>
      <c r="B7394" s="178"/>
      <c r="C7394" s="179"/>
      <c r="D7394" s="180"/>
      <c r="E7394" s="125"/>
      <c r="F7394" s="178"/>
      <c r="G7394" s="178"/>
      <c r="H7394" s="178"/>
      <c r="I7394" s="178"/>
      <c r="J7394" s="178"/>
      <c r="K7394" s="178"/>
      <c r="L7394" s="125"/>
      <c r="M7394" s="125"/>
      <c r="N7394" s="182"/>
      <c r="O7394" s="177"/>
      <c r="P7394" s="176"/>
      <c r="Q7394" s="176"/>
      <c r="R7394" s="176"/>
      <c r="S7394" s="176"/>
      <c r="T7394" s="190"/>
      <c r="U7394" s="191"/>
      <c r="V7394" s="191">
        <f>+Table1[[#This Row],[SUBTOTAL]]+Table1[[#This Row],[IVA]]-Table1[[#This Row],[RET IVA]]-Table1[[#This Row],[RET ISR]]</f>
        <v>0</v>
      </c>
      <c r="W7394" s="185"/>
      <c r="X7394" s="186"/>
      <c r="Y7394" s="187"/>
      <c r="Z7394" s="204">
        <f>+Table1[[#This Row],[CONCEPTO]]+Table1[[#This Row],[TIPO2]]-Table1[[#This Row],[IVA]]-Table1[[#This Row],[OTROS IMPUESTOS]]-Table1[[#This Row],[RET IVA]]</f>
        <v>0</v>
      </c>
      <c r="AB7394" t="str">
        <f>IF(Table1[[#This Row],[TIPO2]]="costo", VLOOKUP(Table1[[#This Row],[PARTIDA PRESUPUESTAL]],'Cost Report'!G:G,1,0),"Balance")</f>
        <v>Balance</v>
      </c>
      <c r="AD7394" s="159">
        <f>+Table1[[#This Row],[SUBTOTAL]]+Table1[[#This Row],[IVA]]-Table1[[#This Row],[RET IVA]]-Table1[[#This Row],[RET ISR]]-Table1[[#This Row],[TOTAL]]</f>
        <v>0</v>
      </c>
    </row>
    <row r="7395" spans="1:30">
      <c r="A7395" s="172"/>
      <c r="B7395" s="178"/>
      <c r="C7395" s="179"/>
      <c r="D7395" s="180"/>
      <c r="E7395" s="125"/>
      <c r="F7395" s="178"/>
      <c r="G7395" s="178"/>
      <c r="H7395" s="178"/>
      <c r="I7395" s="178"/>
      <c r="J7395" s="178"/>
      <c r="K7395" s="178"/>
      <c r="L7395" s="125"/>
      <c r="M7395" s="125"/>
      <c r="N7395" s="182"/>
      <c r="O7395" s="177"/>
      <c r="P7395" s="176"/>
      <c r="Q7395" s="176"/>
      <c r="R7395" s="176"/>
      <c r="S7395" s="176"/>
      <c r="T7395" s="190"/>
      <c r="U7395" s="191"/>
      <c r="V7395" s="191">
        <f>+Table1[[#This Row],[SUBTOTAL]]+Table1[[#This Row],[IVA]]-Table1[[#This Row],[RET IVA]]-Table1[[#This Row],[RET ISR]]</f>
        <v>0</v>
      </c>
      <c r="W7395" s="185"/>
      <c r="X7395" s="186"/>
      <c r="Y7395" s="187"/>
      <c r="Z7395" s="204">
        <f>+Table1[[#This Row],[CONCEPTO]]+Table1[[#This Row],[TIPO2]]-Table1[[#This Row],[IVA]]-Table1[[#This Row],[OTROS IMPUESTOS]]-Table1[[#This Row],[RET IVA]]</f>
        <v>0</v>
      </c>
      <c r="AB7395" t="str">
        <f>IF(Table1[[#This Row],[TIPO2]]="costo", VLOOKUP(Table1[[#This Row],[PARTIDA PRESUPUESTAL]],'Cost Report'!G:G,1,0),"Balance")</f>
        <v>Balance</v>
      </c>
      <c r="AD7395" s="159">
        <f>+Table1[[#This Row],[SUBTOTAL]]+Table1[[#This Row],[IVA]]-Table1[[#This Row],[RET IVA]]-Table1[[#This Row],[RET ISR]]-Table1[[#This Row],[TOTAL]]</f>
        <v>0</v>
      </c>
    </row>
    <row r="7396" spans="1:30">
      <c r="A7396" s="172"/>
      <c r="B7396" s="178"/>
      <c r="C7396" s="179"/>
      <c r="D7396" s="180"/>
      <c r="E7396" s="125"/>
      <c r="F7396" s="178"/>
      <c r="G7396" s="178"/>
      <c r="H7396" s="178"/>
      <c r="I7396" s="178"/>
      <c r="J7396" s="178"/>
      <c r="K7396" s="178"/>
      <c r="L7396" s="125"/>
      <c r="M7396" s="125"/>
      <c r="N7396" s="182"/>
      <c r="O7396" s="177"/>
      <c r="P7396" s="176"/>
      <c r="Q7396" s="176"/>
      <c r="R7396" s="176"/>
      <c r="S7396" s="176"/>
      <c r="T7396" s="190"/>
      <c r="U7396" s="191"/>
      <c r="V7396" s="191">
        <f>+Table1[[#This Row],[SUBTOTAL]]+Table1[[#This Row],[IVA]]-Table1[[#This Row],[RET IVA]]-Table1[[#This Row],[RET ISR]]</f>
        <v>0</v>
      </c>
      <c r="W7396" s="185"/>
      <c r="X7396" s="186"/>
      <c r="Y7396" s="187"/>
      <c r="Z7396" s="204">
        <f>+Table1[[#This Row],[CONCEPTO]]+Table1[[#This Row],[TIPO2]]-Table1[[#This Row],[IVA]]-Table1[[#This Row],[OTROS IMPUESTOS]]-Table1[[#This Row],[RET IVA]]</f>
        <v>0</v>
      </c>
      <c r="AB7396" t="str">
        <f>IF(Table1[[#This Row],[TIPO2]]="costo", VLOOKUP(Table1[[#This Row],[PARTIDA PRESUPUESTAL]],'Cost Report'!G:G,1,0),"Balance")</f>
        <v>Balance</v>
      </c>
      <c r="AD7396" s="159">
        <f>+Table1[[#This Row],[SUBTOTAL]]+Table1[[#This Row],[IVA]]-Table1[[#This Row],[RET IVA]]-Table1[[#This Row],[RET ISR]]-Table1[[#This Row],[TOTAL]]</f>
        <v>0</v>
      </c>
    </row>
    <row r="7397" spans="1:30">
      <c r="A7397" s="172"/>
      <c r="B7397" s="178"/>
      <c r="C7397" s="179"/>
      <c r="D7397" s="180"/>
      <c r="E7397" s="125"/>
      <c r="F7397" s="178"/>
      <c r="G7397" s="178"/>
      <c r="H7397" s="178"/>
      <c r="I7397" s="178"/>
      <c r="J7397" s="178"/>
      <c r="K7397" s="178"/>
      <c r="L7397" s="125"/>
      <c r="M7397" s="125"/>
      <c r="N7397" s="182"/>
      <c r="O7397" s="177"/>
      <c r="P7397" s="176"/>
      <c r="Q7397" s="176"/>
      <c r="R7397" s="176"/>
      <c r="S7397" s="176"/>
      <c r="T7397" s="190"/>
      <c r="U7397" s="191"/>
      <c r="V7397" s="191">
        <f>+Table1[[#This Row],[SUBTOTAL]]+Table1[[#This Row],[IVA]]-Table1[[#This Row],[RET IVA]]-Table1[[#This Row],[RET ISR]]</f>
        <v>0</v>
      </c>
      <c r="W7397" s="185"/>
      <c r="X7397" s="186"/>
      <c r="Y7397" s="187"/>
      <c r="Z7397" s="204">
        <f>+Table1[[#This Row],[CONCEPTO]]+Table1[[#This Row],[TIPO2]]-Table1[[#This Row],[IVA]]-Table1[[#This Row],[OTROS IMPUESTOS]]-Table1[[#This Row],[RET IVA]]</f>
        <v>0</v>
      </c>
      <c r="AB7397" t="str">
        <f>IF(Table1[[#This Row],[TIPO2]]="costo", VLOOKUP(Table1[[#This Row],[PARTIDA PRESUPUESTAL]],'Cost Report'!G:G,1,0),"Balance")</f>
        <v>Balance</v>
      </c>
      <c r="AD7397" s="159">
        <f>+Table1[[#This Row],[SUBTOTAL]]+Table1[[#This Row],[IVA]]-Table1[[#This Row],[RET IVA]]-Table1[[#This Row],[RET ISR]]-Table1[[#This Row],[TOTAL]]</f>
        <v>0</v>
      </c>
    </row>
    <row r="7398" spans="1:30">
      <c r="A7398" s="172"/>
      <c r="B7398" s="178"/>
      <c r="C7398" s="179"/>
      <c r="D7398" s="180"/>
      <c r="E7398" s="125"/>
      <c r="F7398" s="178"/>
      <c r="G7398" s="178"/>
      <c r="H7398" s="178"/>
      <c r="I7398" s="178"/>
      <c r="J7398" s="178"/>
      <c r="K7398" s="178"/>
      <c r="L7398" s="125"/>
      <c r="M7398" s="125"/>
      <c r="N7398" s="182"/>
      <c r="O7398" s="177"/>
      <c r="P7398" s="176"/>
      <c r="Q7398" s="176"/>
      <c r="R7398" s="176"/>
      <c r="S7398" s="176"/>
      <c r="T7398" s="190"/>
      <c r="U7398" s="191"/>
      <c r="V7398" s="191">
        <f>+Table1[[#This Row],[SUBTOTAL]]+Table1[[#This Row],[IVA]]-Table1[[#This Row],[RET IVA]]-Table1[[#This Row],[RET ISR]]</f>
        <v>0</v>
      </c>
      <c r="W7398" s="185"/>
      <c r="X7398" s="186"/>
      <c r="Y7398" s="187"/>
      <c r="Z7398" s="204">
        <f>+Table1[[#This Row],[CONCEPTO]]+Table1[[#This Row],[TIPO2]]-Table1[[#This Row],[IVA]]-Table1[[#This Row],[OTROS IMPUESTOS]]-Table1[[#This Row],[RET IVA]]</f>
        <v>0</v>
      </c>
      <c r="AB7398" t="str">
        <f>IF(Table1[[#This Row],[TIPO2]]="costo", VLOOKUP(Table1[[#This Row],[PARTIDA PRESUPUESTAL]],'Cost Report'!G:G,1,0),"Balance")</f>
        <v>Balance</v>
      </c>
      <c r="AD7398" s="159">
        <f>+Table1[[#This Row],[SUBTOTAL]]+Table1[[#This Row],[IVA]]-Table1[[#This Row],[RET IVA]]-Table1[[#This Row],[RET ISR]]-Table1[[#This Row],[TOTAL]]</f>
        <v>0</v>
      </c>
    </row>
    <row r="7399" spans="1:30">
      <c r="A7399" s="172"/>
      <c r="B7399" s="178"/>
      <c r="C7399" s="179"/>
      <c r="D7399" s="180"/>
      <c r="E7399" s="125"/>
      <c r="F7399" s="178"/>
      <c r="G7399" s="178"/>
      <c r="H7399" s="178"/>
      <c r="I7399" s="178"/>
      <c r="J7399" s="178"/>
      <c r="K7399" s="178"/>
      <c r="L7399" s="125"/>
      <c r="M7399" s="125"/>
      <c r="N7399" s="182"/>
      <c r="O7399" s="177"/>
      <c r="P7399" s="176"/>
      <c r="Q7399" s="176"/>
      <c r="R7399" s="176"/>
      <c r="S7399" s="176"/>
      <c r="T7399" s="190"/>
      <c r="U7399" s="191"/>
      <c r="V7399" s="191">
        <f>+Table1[[#This Row],[SUBTOTAL]]+Table1[[#This Row],[IVA]]-Table1[[#This Row],[RET IVA]]-Table1[[#This Row],[RET ISR]]</f>
        <v>0</v>
      </c>
      <c r="W7399" s="185"/>
      <c r="X7399" s="186"/>
      <c r="Y7399" s="187"/>
      <c r="Z7399" s="204">
        <f>+Table1[[#This Row],[CONCEPTO]]+Table1[[#This Row],[TIPO2]]-Table1[[#This Row],[IVA]]-Table1[[#This Row],[OTROS IMPUESTOS]]-Table1[[#This Row],[RET IVA]]</f>
        <v>0</v>
      </c>
      <c r="AB7399" t="str">
        <f>IF(Table1[[#This Row],[TIPO2]]="costo", VLOOKUP(Table1[[#This Row],[PARTIDA PRESUPUESTAL]],'Cost Report'!G:G,1,0),"Balance")</f>
        <v>Balance</v>
      </c>
      <c r="AD7399" s="159">
        <f>+Table1[[#This Row],[SUBTOTAL]]+Table1[[#This Row],[IVA]]-Table1[[#This Row],[RET IVA]]-Table1[[#This Row],[RET ISR]]-Table1[[#This Row],[TOTAL]]</f>
        <v>0</v>
      </c>
    </row>
    <row r="7400" spans="1:30">
      <c r="A7400" s="172"/>
      <c r="B7400" s="178"/>
      <c r="C7400" s="179"/>
      <c r="D7400" s="180"/>
      <c r="E7400" s="125"/>
      <c r="F7400" s="178"/>
      <c r="G7400" s="178"/>
      <c r="H7400" s="178"/>
      <c r="I7400" s="178"/>
      <c r="J7400" s="178"/>
      <c r="K7400" s="178"/>
      <c r="L7400" s="125"/>
      <c r="M7400" s="125"/>
      <c r="N7400" s="182"/>
      <c r="O7400" s="177"/>
      <c r="P7400" s="176"/>
      <c r="Q7400" s="176"/>
      <c r="R7400" s="176"/>
      <c r="S7400" s="176"/>
      <c r="T7400" s="190"/>
      <c r="U7400" s="191"/>
      <c r="V7400" s="191">
        <f>+Table1[[#This Row],[SUBTOTAL]]+Table1[[#This Row],[IVA]]-Table1[[#This Row],[RET IVA]]-Table1[[#This Row],[RET ISR]]</f>
        <v>0</v>
      </c>
      <c r="W7400" s="185"/>
      <c r="X7400" s="186"/>
      <c r="Y7400" s="187"/>
      <c r="Z7400" s="204">
        <f>+Table1[[#This Row],[CONCEPTO]]+Table1[[#This Row],[TIPO2]]-Table1[[#This Row],[IVA]]-Table1[[#This Row],[OTROS IMPUESTOS]]-Table1[[#This Row],[RET IVA]]</f>
        <v>0</v>
      </c>
      <c r="AB7400" t="str">
        <f>IF(Table1[[#This Row],[TIPO2]]="costo", VLOOKUP(Table1[[#This Row],[PARTIDA PRESUPUESTAL]],'Cost Report'!G:G,1,0),"Balance")</f>
        <v>Balance</v>
      </c>
      <c r="AD7400" s="159">
        <f>+Table1[[#This Row],[SUBTOTAL]]+Table1[[#This Row],[IVA]]-Table1[[#This Row],[RET IVA]]-Table1[[#This Row],[RET ISR]]-Table1[[#This Row],[TOTAL]]</f>
        <v>0</v>
      </c>
    </row>
    <row r="7401" spans="1:30">
      <c r="A7401" s="172"/>
      <c r="B7401" s="178"/>
      <c r="C7401" s="179"/>
      <c r="D7401" s="180"/>
      <c r="E7401" s="125"/>
      <c r="F7401" s="178"/>
      <c r="G7401" s="178"/>
      <c r="H7401" s="178"/>
      <c r="I7401" s="178"/>
      <c r="J7401" s="178"/>
      <c r="K7401" s="178"/>
      <c r="L7401" s="125"/>
      <c r="M7401" s="125"/>
      <c r="N7401" s="182"/>
      <c r="O7401" s="177"/>
      <c r="P7401" s="176"/>
      <c r="Q7401" s="176"/>
      <c r="R7401" s="176"/>
      <c r="S7401" s="176"/>
      <c r="T7401" s="190"/>
      <c r="U7401" s="191"/>
      <c r="V7401" s="191">
        <f>+Table1[[#This Row],[SUBTOTAL]]+Table1[[#This Row],[IVA]]-Table1[[#This Row],[RET IVA]]-Table1[[#This Row],[RET ISR]]</f>
        <v>0</v>
      </c>
      <c r="W7401" s="185"/>
      <c r="X7401" s="186"/>
      <c r="Y7401" s="187"/>
      <c r="Z7401" s="204">
        <f>+Table1[[#This Row],[CONCEPTO]]+Table1[[#This Row],[TIPO2]]-Table1[[#This Row],[IVA]]-Table1[[#This Row],[OTROS IMPUESTOS]]-Table1[[#This Row],[RET IVA]]</f>
        <v>0</v>
      </c>
      <c r="AB7401" t="str">
        <f>IF(Table1[[#This Row],[TIPO2]]="costo", VLOOKUP(Table1[[#This Row],[PARTIDA PRESUPUESTAL]],'Cost Report'!G:G,1,0),"Balance")</f>
        <v>Balance</v>
      </c>
      <c r="AD7401" s="159">
        <f>+Table1[[#This Row],[SUBTOTAL]]+Table1[[#This Row],[IVA]]-Table1[[#This Row],[RET IVA]]-Table1[[#This Row],[RET ISR]]-Table1[[#This Row],[TOTAL]]</f>
        <v>0</v>
      </c>
    </row>
    <row r="7402" spans="1:30">
      <c r="A7402" s="172"/>
      <c r="B7402" s="178"/>
      <c r="C7402" s="179"/>
      <c r="D7402" s="180"/>
      <c r="E7402" s="125"/>
      <c r="F7402" s="178"/>
      <c r="G7402" s="178"/>
      <c r="H7402" s="178"/>
      <c r="I7402" s="178"/>
      <c r="J7402" s="178"/>
      <c r="K7402" s="178"/>
      <c r="L7402" s="125"/>
      <c r="M7402" s="125"/>
      <c r="N7402" s="182"/>
      <c r="O7402" s="177"/>
      <c r="P7402" s="176"/>
      <c r="Q7402" s="176"/>
      <c r="R7402" s="176"/>
      <c r="S7402" s="176"/>
      <c r="T7402" s="190"/>
      <c r="U7402" s="191"/>
      <c r="V7402" s="191">
        <f>+Table1[[#This Row],[SUBTOTAL]]+Table1[[#This Row],[IVA]]-Table1[[#This Row],[RET IVA]]-Table1[[#This Row],[RET ISR]]</f>
        <v>0</v>
      </c>
      <c r="W7402" s="185"/>
      <c r="X7402" s="186"/>
      <c r="Y7402" s="187"/>
      <c r="Z7402" s="204">
        <f>+Table1[[#This Row],[CONCEPTO]]+Table1[[#This Row],[TIPO2]]-Table1[[#This Row],[IVA]]-Table1[[#This Row],[OTROS IMPUESTOS]]-Table1[[#This Row],[RET IVA]]</f>
        <v>0</v>
      </c>
      <c r="AB7402" t="str">
        <f>IF(Table1[[#This Row],[TIPO2]]="costo", VLOOKUP(Table1[[#This Row],[PARTIDA PRESUPUESTAL]],'Cost Report'!G:G,1,0),"Balance")</f>
        <v>Balance</v>
      </c>
      <c r="AD7402" s="159">
        <f>+Table1[[#This Row],[SUBTOTAL]]+Table1[[#This Row],[IVA]]-Table1[[#This Row],[RET IVA]]-Table1[[#This Row],[RET ISR]]-Table1[[#This Row],[TOTAL]]</f>
        <v>0</v>
      </c>
    </row>
    <row r="7403" spans="1:30">
      <c r="A7403" s="172"/>
      <c r="B7403" s="178"/>
      <c r="C7403" s="179"/>
      <c r="D7403" s="180"/>
      <c r="E7403" s="125"/>
      <c r="F7403" s="178"/>
      <c r="G7403" s="178"/>
      <c r="H7403" s="178"/>
      <c r="I7403" s="178"/>
      <c r="J7403" s="178"/>
      <c r="K7403" s="178"/>
      <c r="L7403" s="125"/>
      <c r="M7403" s="125"/>
      <c r="N7403" s="182"/>
      <c r="O7403" s="177"/>
      <c r="P7403" s="176"/>
      <c r="Q7403" s="176"/>
      <c r="R7403" s="176"/>
      <c r="S7403" s="176"/>
      <c r="T7403" s="190"/>
      <c r="U7403" s="191"/>
      <c r="V7403" s="191">
        <f>+Table1[[#This Row],[SUBTOTAL]]+Table1[[#This Row],[IVA]]-Table1[[#This Row],[RET IVA]]-Table1[[#This Row],[RET ISR]]</f>
        <v>0</v>
      </c>
      <c r="W7403" s="185"/>
      <c r="X7403" s="186"/>
      <c r="Y7403" s="187"/>
      <c r="Z7403" s="204">
        <f>+Table1[[#This Row],[CONCEPTO]]+Table1[[#This Row],[TIPO2]]-Table1[[#This Row],[IVA]]-Table1[[#This Row],[OTROS IMPUESTOS]]-Table1[[#This Row],[RET IVA]]</f>
        <v>0</v>
      </c>
      <c r="AB7403" t="str">
        <f>IF(Table1[[#This Row],[TIPO2]]="costo", VLOOKUP(Table1[[#This Row],[PARTIDA PRESUPUESTAL]],'Cost Report'!G:G,1,0),"Balance")</f>
        <v>Balance</v>
      </c>
      <c r="AD7403" s="159">
        <f>+Table1[[#This Row],[SUBTOTAL]]+Table1[[#This Row],[IVA]]-Table1[[#This Row],[RET IVA]]-Table1[[#This Row],[RET ISR]]-Table1[[#This Row],[TOTAL]]</f>
        <v>0</v>
      </c>
    </row>
    <row r="7404" spans="1:30">
      <c r="A7404" s="172"/>
      <c r="B7404" s="178"/>
      <c r="C7404" s="179"/>
      <c r="D7404" s="180"/>
      <c r="E7404" s="125"/>
      <c r="F7404" s="178"/>
      <c r="G7404" s="178"/>
      <c r="H7404" s="178"/>
      <c r="I7404" s="178"/>
      <c r="J7404" s="178"/>
      <c r="K7404" s="178"/>
      <c r="L7404" s="125"/>
      <c r="M7404" s="125"/>
      <c r="N7404" s="182"/>
      <c r="O7404" s="177"/>
      <c r="P7404" s="176"/>
      <c r="Q7404" s="176"/>
      <c r="R7404" s="176"/>
      <c r="S7404" s="176"/>
      <c r="T7404" s="190"/>
      <c r="U7404" s="191"/>
      <c r="V7404" s="191">
        <f>+Table1[[#This Row],[SUBTOTAL]]+Table1[[#This Row],[IVA]]-Table1[[#This Row],[RET IVA]]-Table1[[#This Row],[RET ISR]]</f>
        <v>0</v>
      </c>
      <c r="W7404" s="185"/>
      <c r="X7404" s="186"/>
      <c r="Y7404" s="187"/>
      <c r="Z7404" s="204">
        <f>+Table1[[#This Row],[CONCEPTO]]+Table1[[#This Row],[TIPO2]]-Table1[[#This Row],[IVA]]-Table1[[#This Row],[OTROS IMPUESTOS]]-Table1[[#This Row],[RET IVA]]</f>
        <v>0</v>
      </c>
      <c r="AB7404" t="str">
        <f>IF(Table1[[#This Row],[TIPO2]]="costo", VLOOKUP(Table1[[#This Row],[PARTIDA PRESUPUESTAL]],'Cost Report'!G:G,1,0),"Balance")</f>
        <v>Balance</v>
      </c>
      <c r="AD7404" s="159">
        <f>+Table1[[#This Row],[SUBTOTAL]]+Table1[[#This Row],[IVA]]-Table1[[#This Row],[RET IVA]]-Table1[[#This Row],[RET ISR]]-Table1[[#This Row],[TOTAL]]</f>
        <v>0</v>
      </c>
    </row>
    <row r="7405" spans="1:30">
      <c r="A7405" s="172"/>
      <c r="B7405" s="178"/>
      <c r="C7405" s="179"/>
      <c r="D7405" s="180"/>
      <c r="E7405" s="125"/>
      <c r="F7405" s="178"/>
      <c r="G7405" s="178"/>
      <c r="H7405" s="178"/>
      <c r="I7405" s="178"/>
      <c r="J7405" s="178"/>
      <c r="K7405" s="178"/>
      <c r="L7405" s="125"/>
      <c r="M7405" s="125"/>
      <c r="N7405" s="182"/>
      <c r="O7405" s="177"/>
      <c r="P7405" s="176"/>
      <c r="Q7405" s="176"/>
      <c r="R7405" s="176"/>
      <c r="S7405" s="176"/>
      <c r="T7405" s="190"/>
      <c r="U7405" s="191"/>
      <c r="V7405" s="191">
        <f>+Table1[[#This Row],[SUBTOTAL]]+Table1[[#This Row],[IVA]]-Table1[[#This Row],[RET IVA]]-Table1[[#This Row],[RET ISR]]</f>
        <v>0</v>
      </c>
      <c r="W7405" s="185"/>
      <c r="X7405" s="186"/>
      <c r="Y7405" s="187"/>
      <c r="Z7405" s="204">
        <f>+Table1[[#This Row],[CONCEPTO]]+Table1[[#This Row],[TIPO2]]-Table1[[#This Row],[IVA]]-Table1[[#This Row],[OTROS IMPUESTOS]]-Table1[[#This Row],[RET IVA]]</f>
        <v>0</v>
      </c>
      <c r="AB7405" t="str">
        <f>IF(Table1[[#This Row],[TIPO2]]="costo", VLOOKUP(Table1[[#This Row],[PARTIDA PRESUPUESTAL]],'Cost Report'!G:G,1,0),"Balance")</f>
        <v>Balance</v>
      </c>
      <c r="AD7405" s="159">
        <f>+Table1[[#This Row],[SUBTOTAL]]+Table1[[#This Row],[IVA]]-Table1[[#This Row],[RET IVA]]-Table1[[#This Row],[RET ISR]]-Table1[[#This Row],[TOTAL]]</f>
        <v>0</v>
      </c>
    </row>
    <row r="7406" spans="1:30">
      <c r="A7406" s="172"/>
      <c r="B7406" s="178"/>
      <c r="C7406" s="179"/>
      <c r="D7406" s="180"/>
      <c r="E7406" s="125"/>
      <c r="F7406" s="178"/>
      <c r="G7406" s="178"/>
      <c r="H7406" s="178"/>
      <c r="I7406" s="178"/>
      <c r="J7406" s="178"/>
      <c r="K7406" s="178"/>
      <c r="L7406" s="125"/>
      <c r="M7406" s="125"/>
      <c r="N7406" s="182"/>
      <c r="O7406" s="177"/>
      <c r="P7406" s="176"/>
      <c r="Q7406" s="176"/>
      <c r="R7406" s="176"/>
      <c r="S7406" s="176"/>
      <c r="T7406" s="190"/>
      <c r="U7406" s="191"/>
      <c r="V7406" s="191">
        <f>+Table1[[#This Row],[SUBTOTAL]]+Table1[[#This Row],[IVA]]-Table1[[#This Row],[RET IVA]]-Table1[[#This Row],[RET ISR]]</f>
        <v>0</v>
      </c>
      <c r="W7406" s="185"/>
      <c r="X7406" s="186"/>
      <c r="Y7406" s="187"/>
      <c r="Z7406" s="204">
        <f>+Table1[[#This Row],[CONCEPTO]]+Table1[[#This Row],[TIPO2]]-Table1[[#This Row],[IVA]]-Table1[[#This Row],[OTROS IMPUESTOS]]-Table1[[#This Row],[RET IVA]]</f>
        <v>0</v>
      </c>
      <c r="AB7406" t="str">
        <f>IF(Table1[[#This Row],[TIPO2]]="costo", VLOOKUP(Table1[[#This Row],[PARTIDA PRESUPUESTAL]],'Cost Report'!G:G,1,0),"Balance")</f>
        <v>Balance</v>
      </c>
      <c r="AD7406" s="159">
        <f>+Table1[[#This Row],[SUBTOTAL]]+Table1[[#This Row],[IVA]]-Table1[[#This Row],[RET IVA]]-Table1[[#This Row],[RET ISR]]-Table1[[#This Row],[TOTAL]]</f>
        <v>0</v>
      </c>
    </row>
    <row r="7407" spans="1:30">
      <c r="A7407" s="172"/>
      <c r="B7407" s="178"/>
      <c r="C7407" s="179"/>
      <c r="D7407" s="180"/>
      <c r="E7407" s="125"/>
      <c r="F7407" s="178"/>
      <c r="G7407" s="178"/>
      <c r="H7407" s="178"/>
      <c r="I7407" s="178"/>
      <c r="J7407" s="178"/>
      <c r="K7407" s="178"/>
      <c r="L7407" s="125"/>
      <c r="M7407" s="125"/>
      <c r="N7407" s="182"/>
      <c r="O7407" s="177"/>
      <c r="P7407" s="176"/>
      <c r="Q7407" s="176"/>
      <c r="R7407" s="176"/>
      <c r="S7407" s="176"/>
      <c r="T7407" s="190"/>
      <c r="U7407" s="191"/>
      <c r="V7407" s="191">
        <f>+Table1[[#This Row],[SUBTOTAL]]+Table1[[#This Row],[IVA]]-Table1[[#This Row],[RET IVA]]-Table1[[#This Row],[RET ISR]]</f>
        <v>0</v>
      </c>
      <c r="W7407" s="185"/>
      <c r="X7407" s="186"/>
      <c r="Y7407" s="187"/>
      <c r="Z7407" s="204">
        <f>+Table1[[#This Row],[CONCEPTO]]+Table1[[#This Row],[TIPO2]]-Table1[[#This Row],[IVA]]-Table1[[#This Row],[OTROS IMPUESTOS]]-Table1[[#This Row],[RET IVA]]</f>
        <v>0</v>
      </c>
      <c r="AB7407" t="str">
        <f>IF(Table1[[#This Row],[TIPO2]]="costo", VLOOKUP(Table1[[#This Row],[PARTIDA PRESUPUESTAL]],'Cost Report'!G:G,1,0),"Balance")</f>
        <v>Balance</v>
      </c>
      <c r="AD7407" s="159">
        <f>+Table1[[#This Row],[SUBTOTAL]]+Table1[[#This Row],[IVA]]-Table1[[#This Row],[RET IVA]]-Table1[[#This Row],[RET ISR]]-Table1[[#This Row],[TOTAL]]</f>
        <v>0</v>
      </c>
    </row>
    <row r="7408" spans="1:30">
      <c r="A7408" s="172"/>
      <c r="B7408" s="178"/>
      <c r="C7408" s="179"/>
      <c r="D7408" s="180"/>
      <c r="E7408" s="125"/>
      <c r="F7408" s="178"/>
      <c r="G7408" s="178"/>
      <c r="H7408" s="178"/>
      <c r="I7408" s="178"/>
      <c r="J7408" s="178"/>
      <c r="K7408" s="178"/>
      <c r="L7408" s="125"/>
      <c r="M7408" s="125"/>
      <c r="N7408" s="182"/>
      <c r="O7408" s="177"/>
      <c r="P7408" s="176"/>
      <c r="Q7408" s="176"/>
      <c r="R7408" s="176"/>
      <c r="S7408" s="176"/>
      <c r="T7408" s="190"/>
      <c r="U7408" s="191"/>
      <c r="V7408" s="191">
        <f>+Table1[[#This Row],[SUBTOTAL]]+Table1[[#This Row],[IVA]]-Table1[[#This Row],[RET IVA]]-Table1[[#This Row],[RET ISR]]</f>
        <v>0</v>
      </c>
      <c r="W7408" s="185"/>
      <c r="X7408" s="186"/>
      <c r="Y7408" s="187"/>
      <c r="Z7408" s="204">
        <f>+Table1[[#This Row],[CONCEPTO]]+Table1[[#This Row],[TIPO2]]-Table1[[#This Row],[IVA]]-Table1[[#This Row],[OTROS IMPUESTOS]]-Table1[[#This Row],[RET IVA]]</f>
        <v>0</v>
      </c>
      <c r="AB7408" t="str">
        <f>IF(Table1[[#This Row],[TIPO2]]="costo", VLOOKUP(Table1[[#This Row],[PARTIDA PRESUPUESTAL]],'Cost Report'!G:G,1,0),"Balance")</f>
        <v>Balance</v>
      </c>
      <c r="AD7408" s="159">
        <f>+Table1[[#This Row],[SUBTOTAL]]+Table1[[#This Row],[IVA]]-Table1[[#This Row],[RET IVA]]-Table1[[#This Row],[RET ISR]]-Table1[[#This Row],[TOTAL]]</f>
        <v>0</v>
      </c>
    </row>
    <row r="7409" spans="1:30">
      <c r="A7409" s="172"/>
      <c r="B7409" s="178"/>
      <c r="C7409" s="179"/>
      <c r="D7409" s="180"/>
      <c r="E7409" s="125"/>
      <c r="F7409" s="178"/>
      <c r="G7409" s="178"/>
      <c r="H7409" s="178"/>
      <c r="I7409" s="178"/>
      <c r="J7409" s="178"/>
      <c r="K7409" s="178"/>
      <c r="L7409" s="125"/>
      <c r="M7409" s="125"/>
      <c r="N7409" s="182"/>
      <c r="O7409" s="177"/>
      <c r="P7409" s="176"/>
      <c r="Q7409" s="176"/>
      <c r="R7409" s="176"/>
      <c r="S7409" s="176"/>
      <c r="T7409" s="190"/>
      <c r="U7409" s="191"/>
      <c r="V7409" s="191">
        <f>+Table1[[#This Row],[SUBTOTAL]]+Table1[[#This Row],[IVA]]-Table1[[#This Row],[RET IVA]]-Table1[[#This Row],[RET ISR]]</f>
        <v>0</v>
      </c>
      <c r="W7409" s="185"/>
      <c r="X7409" s="186"/>
      <c r="Y7409" s="187"/>
      <c r="Z7409" s="204">
        <f>+Table1[[#This Row],[CONCEPTO]]+Table1[[#This Row],[TIPO2]]-Table1[[#This Row],[IVA]]-Table1[[#This Row],[OTROS IMPUESTOS]]-Table1[[#This Row],[RET IVA]]</f>
        <v>0</v>
      </c>
      <c r="AB7409" t="str">
        <f>IF(Table1[[#This Row],[TIPO2]]="costo", VLOOKUP(Table1[[#This Row],[PARTIDA PRESUPUESTAL]],'Cost Report'!G:G,1,0),"Balance")</f>
        <v>Balance</v>
      </c>
      <c r="AD7409" s="159">
        <f>+Table1[[#This Row],[SUBTOTAL]]+Table1[[#This Row],[IVA]]-Table1[[#This Row],[RET IVA]]-Table1[[#This Row],[RET ISR]]-Table1[[#This Row],[TOTAL]]</f>
        <v>0</v>
      </c>
    </row>
    <row r="7410" spans="1:30">
      <c r="A7410" s="172"/>
      <c r="B7410" s="178"/>
      <c r="C7410" s="179"/>
      <c r="D7410" s="180"/>
      <c r="E7410" s="125"/>
      <c r="F7410" s="178"/>
      <c r="G7410" s="178"/>
      <c r="H7410" s="178"/>
      <c r="I7410" s="178"/>
      <c r="J7410" s="178"/>
      <c r="K7410" s="178"/>
      <c r="L7410" s="125"/>
      <c r="M7410" s="125"/>
      <c r="N7410" s="182"/>
      <c r="O7410" s="177"/>
      <c r="P7410" s="176"/>
      <c r="Q7410" s="176"/>
      <c r="R7410" s="176"/>
      <c r="S7410" s="176"/>
      <c r="T7410" s="190"/>
      <c r="U7410" s="191"/>
      <c r="V7410" s="191">
        <f>+Table1[[#This Row],[SUBTOTAL]]+Table1[[#This Row],[IVA]]-Table1[[#This Row],[RET IVA]]-Table1[[#This Row],[RET ISR]]</f>
        <v>0</v>
      </c>
      <c r="W7410" s="185"/>
      <c r="X7410" s="186"/>
      <c r="Y7410" s="187"/>
      <c r="Z7410" s="204">
        <f>+Table1[[#This Row],[CONCEPTO]]+Table1[[#This Row],[TIPO2]]-Table1[[#This Row],[IVA]]-Table1[[#This Row],[OTROS IMPUESTOS]]-Table1[[#This Row],[RET IVA]]</f>
        <v>0</v>
      </c>
      <c r="AB7410" t="str">
        <f>IF(Table1[[#This Row],[TIPO2]]="costo", VLOOKUP(Table1[[#This Row],[PARTIDA PRESUPUESTAL]],'Cost Report'!G:G,1,0),"Balance")</f>
        <v>Balance</v>
      </c>
      <c r="AD7410" s="159">
        <f>+Table1[[#This Row],[SUBTOTAL]]+Table1[[#This Row],[IVA]]-Table1[[#This Row],[RET IVA]]-Table1[[#This Row],[RET ISR]]-Table1[[#This Row],[TOTAL]]</f>
        <v>0</v>
      </c>
    </row>
    <row r="7411" spans="1:30">
      <c r="A7411" s="172"/>
      <c r="B7411" s="178"/>
      <c r="C7411" s="179"/>
      <c r="D7411" s="180"/>
      <c r="E7411" s="125"/>
      <c r="F7411" s="178"/>
      <c r="G7411" s="178"/>
      <c r="H7411" s="178"/>
      <c r="I7411" s="178"/>
      <c r="J7411" s="178"/>
      <c r="K7411" s="178"/>
      <c r="L7411" s="125"/>
      <c r="M7411" s="125"/>
      <c r="N7411" s="182"/>
      <c r="O7411" s="177"/>
      <c r="P7411" s="176"/>
      <c r="Q7411" s="176"/>
      <c r="R7411" s="176"/>
      <c r="S7411" s="176"/>
      <c r="T7411" s="190"/>
      <c r="U7411" s="191"/>
      <c r="V7411" s="191">
        <f>+Table1[[#This Row],[SUBTOTAL]]+Table1[[#This Row],[IVA]]-Table1[[#This Row],[RET IVA]]-Table1[[#This Row],[RET ISR]]</f>
        <v>0</v>
      </c>
      <c r="W7411" s="185"/>
      <c r="X7411" s="186"/>
      <c r="Y7411" s="187"/>
      <c r="Z7411" s="204">
        <f>+Table1[[#This Row],[CONCEPTO]]+Table1[[#This Row],[TIPO2]]-Table1[[#This Row],[IVA]]-Table1[[#This Row],[OTROS IMPUESTOS]]-Table1[[#This Row],[RET IVA]]</f>
        <v>0</v>
      </c>
      <c r="AB7411" t="str">
        <f>IF(Table1[[#This Row],[TIPO2]]="costo", VLOOKUP(Table1[[#This Row],[PARTIDA PRESUPUESTAL]],'Cost Report'!G:G,1,0),"Balance")</f>
        <v>Balance</v>
      </c>
      <c r="AD7411" s="159">
        <f>+Table1[[#This Row],[SUBTOTAL]]+Table1[[#This Row],[IVA]]-Table1[[#This Row],[RET IVA]]-Table1[[#This Row],[RET ISR]]-Table1[[#This Row],[TOTAL]]</f>
        <v>0</v>
      </c>
    </row>
    <row r="7412" spans="1:30">
      <c r="A7412" s="172"/>
      <c r="B7412" s="178"/>
      <c r="C7412" s="179"/>
      <c r="D7412" s="180"/>
      <c r="E7412" s="125"/>
      <c r="F7412" s="178"/>
      <c r="G7412" s="178"/>
      <c r="H7412" s="178"/>
      <c r="I7412" s="178"/>
      <c r="J7412" s="178"/>
      <c r="K7412" s="178"/>
      <c r="L7412" s="125"/>
      <c r="M7412" s="125"/>
      <c r="N7412" s="182"/>
      <c r="O7412" s="177"/>
      <c r="P7412" s="176"/>
      <c r="Q7412" s="176"/>
      <c r="R7412" s="176"/>
      <c r="S7412" s="176"/>
      <c r="T7412" s="190"/>
      <c r="U7412" s="191"/>
      <c r="V7412" s="191">
        <f>+Table1[[#This Row],[SUBTOTAL]]+Table1[[#This Row],[IVA]]-Table1[[#This Row],[RET IVA]]-Table1[[#This Row],[RET ISR]]</f>
        <v>0</v>
      </c>
      <c r="W7412" s="185"/>
      <c r="X7412" s="186"/>
      <c r="Y7412" s="187"/>
      <c r="Z7412" s="204">
        <f>+Table1[[#This Row],[CONCEPTO]]+Table1[[#This Row],[TIPO2]]-Table1[[#This Row],[IVA]]-Table1[[#This Row],[OTROS IMPUESTOS]]-Table1[[#This Row],[RET IVA]]</f>
        <v>0</v>
      </c>
      <c r="AB7412" t="str">
        <f>IF(Table1[[#This Row],[TIPO2]]="costo", VLOOKUP(Table1[[#This Row],[PARTIDA PRESUPUESTAL]],'Cost Report'!G:G,1,0),"Balance")</f>
        <v>Balance</v>
      </c>
      <c r="AD7412" s="159">
        <f>+Table1[[#This Row],[SUBTOTAL]]+Table1[[#This Row],[IVA]]-Table1[[#This Row],[RET IVA]]-Table1[[#This Row],[RET ISR]]-Table1[[#This Row],[TOTAL]]</f>
        <v>0</v>
      </c>
    </row>
    <row r="7413" spans="1:30">
      <c r="A7413" s="172"/>
      <c r="B7413" s="178"/>
      <c r="C7413" s="179"/>
      <c r="D7413" s="180"/>
      <c r="E7413" s="125"/>
      <c r="F7413" s="178"/>
      <c r="G7413" s="178"/>
      <c r="H7413" s="178"/>
      <c r="I7413" s="178"/>
      <c r="J7413" s="178"/>
      <c r="K7413" s="178"/>
      <c r="L7413" s="125"/>
      <c r="M7413" s="125"/>
      <c r="N7413" s="182"/>
      <c r="O7413" s="177"/>
      <c r="P7413" s="176"/>
      <c r="Q7413" s="176"/>
      <c r="R7413" s="176"/>
      <c r="S7413" s="176"/>
      <c r="T7413" s="190"/>
      <c r="U7413" s="191"/>
      <c r="V7413" s="191">
        <f>+Table1[[#This Row],[SUBTOTAL]]+Table1[[#This Row],[IVA]]-Table1[[#This Row],[RET IVA]]-Table1[[#This Row],[RET ISR]]</f>
        <v>0</v>
      </c>
      <c r="W7413" s="185"/>
      <c r="X7413" s="186"/>
      <c r="Y7413" s="187"/>
      <c r="Z7413" s="204">
        <f>+Table1[[#This Row],[CONCEPTO]]+Table1[[#This Row],[TIPO2]]-Table1[[#This Row],[IVA]]-Table1[[#This Row],[OTROS IMPUESTOS]]-Table1[[#This Row],[RET IVA]]</f>
        <v>0</v>
      </c>
      <c r="AB7413" t="str">
        <f>IF(Table1[[#This Row],[TIPO2]]="costo", VLOOKUP(Table1[[#This Row],[PARTIDA PRESUPUESTAL]],'Cost Report'!G:G,1,0),"Balance")</f>
        <v>Balance</v>
      </c>
      <c r="AD7413" s="159">
        <f>+Table1[[#This Row],[SUBTOTAL]]+Table1[[#This Row],[IVA]]-Table1[[#This Row],[RET IVA]]-Table1[[#This Row],[RET ISR]]-Table1[[#This Row],[TOTAL]]</f>
        <v>0</v>
      </c>
    </row>
    <row r="7414" spans="1:30">
      <c r="A7414" s="172"/>
      <c r="B7414" s="178"/>
      <c r="C7414" s="179"/>
      <c r="D7414" s="180"/>
      <c r="E7414" s="125"/>
      <c r="F7414" s="178"/>
      <c r="G7414" s="178"/>
      <c r="H7414" s="178"/>
      <c r="I7414" s="178"/>
      <c r="J7414" s="178"/>
      <c r="K7414" s="178"/>
      <c r="L7414" s="125"/>
      <c r="M7414" s="125"/>
      <c r="N7414" s="182"/>
      <c r="O7414" s="177"/>
      <c r="P7414" s="176"/>
      <c r="Q7414" s="176"/>
      <c r="R7414" s="176"/>
      <c r="S7414" s="176"/>
      <c r="T7414" s="190"/>
      <c r="U7414" s="191"/>
      <c r="V7414" s="191">
        <f>+Table1[[#This Row],[SUBTOTAL]]+Table1[[#This Row],[IVA]]-Table1[[#This Row],[RET IVA]]-Table1[[#This Row],[RET ISR]]</f>
        <v>0</v>
      </c>
      <c r="W7414" s="185"/>
      <c r="X7414" s="186"/>
      <c r="Y7414" s="187"/>
      <c r="Z7414" s="204">
        <f>+Table1[[#This Row],[CONCEPTO]]+Table1[[#This Row],[TIPO2]]-Table1[[#This Row],[IVA]]-Table1[[#This Row],[OTROS IMPUESTOS]]-Table1[[#This Row],[RET IVA]]</f>
        <v>0</v>
      </c>
      <c r="AB7414" t="str">
        <f>IF(Table1[[#This Row],[TIPO2]]="costo", VLOOKUP(Table1[[#This Row],[PARTIDA PRESUPUESTAL]],'Cost Report'!G:G,1,0),"Balance")</f>
        <v>Balance</v>
      </c>
      <c r="AD7414" s="159">
        <f>+Table1[[#This Row],[SUBTOTAL]]+Table1[[#This Row],[IVA]]-Table1[[#This Row],[RET IVA]]-Table1[[#This Row],[RET ISR]]-Table1[[#This Row],[TOTAL]]</f>
        <v>0</v>
      </c>
    </row>
    <row r="7415" spans="1:30">
      <c r="A7415" s="172"/>
      <c r="B7415" s="178"/>
      <c r="C7415" s="179"/>
      <c r="D7415" s="180"/>
      <c r="E7415" s="125"/>
      <c r="F7415" s="178"/>
      <c r="G7415" s="178"/>
      <c r="H7415" s="178"/>
      <c r="I7415" s="178"/>
      <c r="J7415" s="178"/>
      <c r="K7415" s="178"/>
      <c r="L7415" s="125"/>
      <c r="M7415" s="125"/>
      <c r="N7415" s="182"/>
      <c r="O7415" s="177"/>
      <c r="P7415" s="176"/>
      <c r="Q7415" s="176"/>
      <c r="R7415" s="176"/>
      <c r="S7415" s="176"/>
      <c r="T7415" s="190"/>
      <c r="U7415" s="191"/>
      <c r="V7415" s="191">
        <f>+Table1[[#This Row],[SUBTOTAL]]+Table1[[#This Row],[IVA]]-Table1[[#This Row],[RET IVA]]-Table1[[#This Row],[RET ISR]]</f>
        <v>0</v>
      </c>
      <c r="W7415" s="185"/>
      <c r="X7415" s="186"/>
      <c r="Y7415" s="187"/>
      <c r="Z7415" s="204">
        <f>+Table1[[#This Row],[CONCEPTO]]+Table1[[#This Row],[TIPO2]]-Table1[[#This Row],[IVA]]-Table1[[#This Row],[OTROS IMPUESTOS]]-Table1[[#This Row],[RET IVA]]</f>
        <v>0</v>
      </c>
      <c r="AB7415" t="str">
        <f>IF(Table1[[#This Row],[TIPO2]]="costo", VLOOKUP(Table1[[#This Row],[PARTIDA PRESUPUESTAL]],'Cost Report'!G:G,1,0),"Balance")</f>
        <v>Balance</v>
      </c>
      <c r="AD7415" s="159">
        <f>+Table1[[#This Row],[SUBTOTAL]]+Table1[[#This Row],[IVA]]-Table1[[#This Row],[RET IVA]]-Table1[[#This Row],[RET ISR]]-Table1[[#This Row],[TOTAL]]</f>
        <v>0</v>
      </c>
    </row>
    <row r="7416" spans="1:30">
      <c r="A7416" s="172"/>
      <c r="B7416" s="178"/>
      <c r="C7416" s="179"/>
      <c r="D7416" s="180"/>
      <c r="E7416" s="125"/>
      <c r="F7416" s="178"/>
      <c r="G7416" s="178"/>
      <c r="H7416" s="178"/>
      <c r="I7416" s="178"/>
      <c r="J7416" s="178"/>
      <c r="K7416" s="178"/>
      <c r="L7416" s="125"/>
      <c r="M7416" s="125"/>
      <c r="N7416" s="182"/>
      <c r="O7416" s="177"/>
      <c r="P7416" s="176"/>
      <c r="Q7416" s="176"/>
      <c r="R7416" s="176"/>
      <c r="S7416" s="176"/>
      <c r="T7416" s="190"/>
      <c r="U7416" s="191"/>
      <c r="V7416" s="191">
        <f>+Table1[[#This Row],[SUBTOTAL]]+Table1[[#This Row],[IVA]]-Table1[[#This Row],[RET IVA]]-Table1[[#This Row],[RET ISR]]</f>
        <v>0</v>
      </c>
      <c r="W7416" s="185"/>
      <c r="X7416" s="186"/>
      <c r="Y7416" s="187"/>
      <c r="Z7416" s="204">
        <f>+Table1[[#This Row],[CONCEPTO]]+Table1[[#This Row],[TIPO2]]-Table1[[#This Row],[IVA]]-Table1[[#This Row],[OTROS IMPUESTOS]]-Table1[[#This Row],[RET IVA]]</f>
        <v>0</v>
      </c>
      <c r="AB7416" t="str">
        <f>IF(Table1[[#This Row],[TIPO2]]="costo", VLOOKUP(Table1[[#This Row],[PARTIDA PRESUPUESTAL]],'Cost Report'!G:G,1,0),"Balance")</f>
        <v>Balance</v>
      </c>
      <c r="AD7416" s="159">
        <f>+Table1[[#This Row],[SUBTOTAL]]+Table1[[#This Row],[IVA]]-Table1[[#This Row],[RET IVA]]-Table1[[#This Row],[RET ISR]]-Table1[[#This Row],[TOTAL]]</f>
        <v>0</v>
      </c>
    </row>
    <row r="7417" spans="1:30">
      <c r="A7417" s="172"/>
      <c r="B7417" s="178"/>
      <c r="C7417" s="179"/>
      <c r="D7417" s="180"/>
      <c r="E7417" s="125"/>
      <c r="F7417" s="178"/>
      <c r="G7417" s="178"/>
      <c r="H7417" s="178"/>
      <c r="I7417" s="178"/>
      <c r="J7417" s="178"/>
      <c r="K7417" s="178"/>
      <c r="L7417" s="125"/>
      <c r="M7417" s="125"/>
      <c r="N7417" s="182"/>
      <c r="O7417" s="177"/>
      <c r="P7417" s="176"/>
      <c r="Q7417" s="176"/>
      <c r="R7417" s="176"/>
      <c r="S7417" s="176"/>
      <c r="T7417" s="190"/>
      <c r="U7417" s="191"/>
      <c r="V7417" s="191">
        <f>+Table1[[#This Row],[SUBTOTAL]]+Table1[[#This Row],[IVA]]-Table1[[#This Row],[RET IVA]]-Table1[[#This Row],[RET ISR]]</f>
        <v>0</v>
      </c>
      <c r="W7417" s="185"/>
      <c r="X7417" s="186"/>
      <c r="Y7417" s="187"/>
      <c r="Z7417" s="204">
        <f>+Table1[[#This Row],[CONCEPTO]]+Table1[[#This Row],[TIPO2]]-Table1[[#This Row],[IVA]]-Table1[[#This Row],[OTROS IMPUESTOS]]-Table1[[#This Row],[RET IVA]]</f>
        <v>0</v>
      </c>
      <c r="AB7417" t="str">
        <f>IF(Table1[[#This Row],[TIPO2]]="costo", VLOOKUP(Table1[[#This Row],[PARTIDA PRESUPUESTAL]],'Cost Report'!G:G,1,0),"Balance")</f>
        <v>Balance</v>
      </c>
      <c r="AD7417" s="159">
        <f>+Table1[[#This Row],[SUBTOTAL]]+Table1[[#This Row],[IVA]]-Table1[[#This Row],[RET IVA]]-Table1[[#This Row],[RET ISR]]-Table1[[#This Row],[TOTAL]]</f>
        <v>0</v>
      </c>
    </row>
    <row r="7418" spans="1:30">
      <c r="A7418" s="172"/>
      <c r="B7418" s="178"/>
      <c r="C7418" s="179"/>
      <c r="D7418" s="180"/>
      <c r="E7418" s="125"/>
      <c r="F7418" s="178"/>
      <c r="G7418" s="178"/>
      <c r="H7418" s="178"/>
      <c r="I7418" s="178"/>
      <c r="J7418" s="178"/>
      <c r="K7418" s="178"/>
      <c r="L7418" s="125"/>
      <c r="M7418" s="125"/>
      <c r="N7418" s="182"/>
      <c r="O7418" s="177"/>
      <c r="P7418" s="176"/>
      <c r="Q7418" s="176"/>
      <c r="R7418" s="176"/>
      <c r="S7418" s="176"/>
      <c r="T7418" s="190"/>
      <c r="U7418" s="191"/>
      <c r="V7418" s="191">
        <f>+Table1[[#This Row],[SUBTOTAL]]+Table1[[#This Row],[IVA]]-Table1[[#This Row],[RET IVA]]-Table1[[#This Row],[RET ISR]]</f>
        <v>0</v>
      </c>
      <c r="W7418" s="185"/>
      <c r="X7418" s="186"/>
      <c r="Y7418" s="187"/>
      <c r="Z7418" s="204">
        <f>+Table1[[#This Row],[CONCEPTO]]+Table1[[#This Row],[TIPO2]]-Table1[[#This Row],[IVA]]-Table1[[#This Row],[OTROS IMPUESTOS]]-Table1[[#This Row],[RET IVA]]</f>
        <v>0</v>
      </c>
      <c r="AB7418" t="str">
        <f>IF(Table1[[#This Row],[TIPO2]]="costo", VLOOKUP(Table1[[#This Row],[PARTIDA PRESUPUESTAL]],'Cost Report'!G:G,1,0),"Balance")</f>
        <v>Balance</v>
      </c>
      <c r="AD7418" s="159">
        <f>+Table1[[#This Row],[SUBTOTAL]]+Table1[[#This Row],[IVA]]-Table1[[#This Row],[RET IVA]]-Table1[[#This Row],[RET ISR]]-Table1[[#This Row],[TOTAL]]</f>
        <v>0</v>
      </c>
    </row>
    <row r="7419" spans="1:30">
      <c r="A7419" s="172"/>
      <c r="B7419" s="178"/>
      <c r="C7419" s="179"/>
      <c r="D7419" s="180"/>
      <c r="E7419" s="125"/>
      <c r="F7419" s="178"/>
      <c r="G7419" s="178"/>
      <c r="H7419" s="178"/>
      <c r="I7419" s="178"/>
      <c r="J7419" s="178"/>
      <c r="K7419" s="178"/>
      <c r="L7419" s="125"/>
      <c r="M7419" s="125"/>
      <c r="N7419" s="182"/>
      <c r="O7419" s="177"/>
      <c r="P7419" s="176"/>
      <c r="Q7419" s="176"/>
      <c r="R7419" s="176"/>
      <c r="S7419" s="176"/>
      <c r="T7419" s="190"/>
      <c r="U7419" s="191"/>
      <c r="V7419" s="191">
        <f>+Table1[[#This Row],[SUBTOTAL]]+Table1[[#This Row],[IVA]]-Table1[[#This Row],[RET IVA]]-Table1[[#This Row],[RET ISR]]</f>
        <v>0</v>
      </c>
      <c r="W7419" s="185"/>
      <c r="X7419" s="186"/>
      <c r="Y7419" s="187"/>
      <c r="Z7419" s="204">
        <f>+Table1[[#This Row],[CONCEPTO]]+Table1[[#This Row],[TIPO2]]-Table1[[#This Row],[IVA]]-Table1[[#This Row],[OTROS IMPUESTOS]]-Table1[[#This Row],[RET IVA]]</f>
        <v>0</v>
      </c>
      <c r="AB7419" t="str">
        <f>IF(Table1[[#This Row],[TIPO2]]="costo", VLOOKUP(Table1[[#This Row],[PARTIDA PRESUPUESTAL]],'Cost Report'!G:G,1,0),"Balance")</f>
        <v>Balance</v>
      </c>
      <c r="AD7419" s="159">
        <f>+Table1[[#This Row],[SUBTOTAL]]+Table1[[#This Row],[IVA]]-Table1[[#This Row],[RET IVA]]-Table1[[#This Row],[RET ISR]]-Table1[[#This Row],[TOTAL]]</f>
        <v>0</v>
      </c>
    </row>
    <row r="7420" spans="1:30">
      <c r="A7420" s="172"/>
      <c r="B7420" s="178"/>
      <c r="C7420" s="179"/>
      <c r="D7420" s="180"/>
      <c r="E7420" s="125"/>
      <c r="F7420" s="178"/>
      <c r="G7420" s="178"/>
      <c r="H7420" s="178"/>
      <c r="I7420" s="178"/>
      <c r="J7420" s="178"/>
      <c r="K7420" s="178"/>
      <c r="L7420" s="125"/>
      <c r="M7420" s="125"/>
      <c r="N7420" s="182"/>
      <c r="O7420" s="177"/>
      <c r="P7420" s="176"/>
      <c r="Q7420" s="176"/>
      <c r="R7420" s="176"/>
      <c r="S7420" s="176"/>
      <c r="T7420" s="190"/>
      <c r="U7420" s="191"/>
      <c r="V7420" s="191">
        <f>+Table1[[#This Row],[SUBTOTAL]]+Table1[[#This Row],[IVA]]-Table1[[#This Row],[RET IVA]]-Table1[[#This Row],[RET ISR]]</f>
        <v>0</v>
      </c>
      <c r="W7420" s="185"/>
      <c r="X7420" s="186"/>
      <c r="Y7420" s="187"/>
      <c r="Z7420" s="204">
        <f>+Table1[[#This Row],[CONCEPTO]]+Table1[[#This Row],[TIPO2]]-Table1[[#This Row],[IVA]]-Table1[[#This Row],[OTROS IMPUESTOS]]-Table1[[#This Row],[RET IVA]]</f>
        <v>0</v>
      </c>
      <c r="AB7420" t="str">
        <f>IF(Table1[[#This Row],[TIPO2]]="costo", VLOOKUP(Table1[[#This Row],[PARTIDA PRESUPUESTAL]],'Cost Report'!G:G,1,0),"Balance")</f>
        <v>Balance</v>
      </c>
      <c r="AD7420" s="159">
        <f>+Table1[[#This Row],[SUBTOTAL]]+Table1[[#This Row],[IVA]]-Table1[[#This Row],[RET IVA]]-Table1[[#This Row],[RET ISR]]-Table1[[#This Row],[TOTAL]]</f>
        <v>0</v>
      </c>
    </row>
    <row r="7421" spans="1:30">
      <c r="A7421" s="172"/>
      <c r="B7421" s="178"/>
      <c r="C7421" s="179"/>
      <c r="D7421" s="180"/>
      <c r="E7421" s="125"/>
      <c r="F7421" s="178"/>
      <c r="G7421" s="178"/>
      <c r="H7421" s="178"/>
      <c r="I7421" s="178"/>
      <c r="J7421" s="178"/>
      <c r="K7421" s="178"/>
      <c r="L7421" s="125"/>
      <c r="M7421" s="125"/>
      <c r="N7421" s="182"/>
      <c r="O7421" s="177"/>
      <c r="P7421" s="176"/>
      <c r="Q7421" s="176"/>
      <c r="R7421" s="176"/>
      <c r="S7421" s="176"/>
      <c r="T7421" s="190"/>
      <c r="U7421" s="191"/>
      <c r="V7421" s="191">
        <f>+Table1[[#This Row],[SUBTOTAL]]+Table1[[#This Row],[IVA]]-Table1[[#This Row],[RET IVA]]-Table1[[#This Row],[RET ISR]]</f>
        <v>0</v>
      </c>
      <c r="W7421" s="185"/>
      <c r="X7421" s="186"/>
      <c r="Y7421" s="187"/>
      <c r="Z7421" s="204">
        <f>+Table1[[#This Row],[CONCEPTO]]+Table1[[#This Row],[TIPO2]]-Table1[[#This Row],[IVA]]-Table1[[#This Row],[OTROS IMPUESTOS]]-Table1[[#This Row],[RET IVA]]</f>
        <v>0</v>
      </c>
      <c r="AB7421" t="str">
        <f>IF(Table1[[#This Row],[TIPO2]]="costo", VLOOKUP(Table1[[#This Row],[PARTIDA PRESUPUESTAL]],'Cost Report'!G:G,1,0),"Balance")</f>
        <v>Balance</v>
      </c>
      <c r="AD7421" s="159">
        <f>+Table1[[#This Row],[SUBTOTAL]]+Table1[[#This Row],[IVA]]-Table1[[#This Row],[RET IVA]]-Table1[[#This Row],[RET ISR]]-Table1[[#This Row],[TOTAL]]</f>
        <v>0</v>
      </c>
    </row>
    <row r="7422" spans="1:30">
      <c r="A7422" s="172"/>
      <c r="B7422" s="178"/>
      <c r="C7422" s="179"/>
      <c r="D7422" s="180"/>
      <c r="E7422" s="125"/>
      <c r="F7422" s="178"/>
      <c r="G7422" s="178"/>
      <c r="H7422" s="178"/>
      <c r="I7422" s="178"/>
      <c r="J7422" s="178"/>
      <c r="K7422" s="178"/>
      <c r="L7422" s="125"/>
      <c r="M7422" s="125"/>
      <c r="N7422" s="182"/>
      <c r="O7422" s="177"/>
      <c r="P7422" s="176"/>
      <c r="Q7422" s="176"/>
      <c r="R7422" s="176"/>
      <c r="S7422" s="176"/>
      <c r="T7422" s="190"/>
      <c r="U7422" s="191"/>
      <c r="V7422" s="191">
        <f>+Table1[[#This Row],[SUBTOTAL]]+Table1[[#This Row],[IVA]]-Table1[[#This Row],[RET IVA]]-Table1[[#This Row],[RET ISR]]</f>
        <v>0</v>
      </c>
      <c r="W7422" s="185"/>
      <c r="X7422" s="186"/>
      <c r="Y7422" s="187"/>
      <c r="Z7422" s="204">
        <f>+Table1[[#This Row],[CONCEPTO]]+Table1[[#This Row],[TIPO2]]-Table1[[#This Row],[IVA]]-Table1[[#This Row],[OTROS IMPUESTOS]]-Table1[[#This Row],[RET IVA]]</f>
        <v>0</v>
      </c>
      <c r="AB7422" t="str">
        <f>IF(Table1[[#This Row],[TIPO2]]="costo", VLOOKUP(Table1[[#This Row],[PARTIDA PRESUPUESTAL]],'Cost Report'!G:G,1,0),"Balance")</f>
        <v>Balance</v>
      </c>
      <c r="AD7422" s="159">
        <f>+Table1[[#This Row],[SUBTOTAL]]+Table1[[#This Row],[IVA]]-Table1[[#This Row],[RET IVA]]-Table1[[#This Row],[RET ISR]]-Table1[[#This Row],[TOTAL]]</f>
        <v>0</v>
      </c>
    </row>
    <row r="7423" spans="1:30">
      <c r="A7423" s="172"/>
      <c r="B7423" s="178"/>
      <c r="C7423" s="179"/>
      <c r="D7423" s="180"/>
      <c r="E7423" s="125"/>
      <c r="F7423" s="178"/>
      <c r="G7423" s="178"/>
      <c r="H7423" s="178"/>
      <c r="I7423" s="178"/>
      <c r="J7423" s="178"/>
      <c r="K7423" s="178"/>
      <c r="L7423" s="125"/>
      <c r="M7423" s="125"/>
      <c r="N7423" s="182"/>
      <c r="O7423" s="177"/>
      <c r="P7423" s="176"/>
      <c r="Q7423" s="176"/>
      <c r="R7423" s="176"/>
      <c r="S7423" s="176"/>
      <c r="T7423" s="190"/>
      <c r="U7423" s="191"/>
      <c r="V7423" s="191">
        <f>+Table1[[#This Row],[SUBTOTAL]]+Table1[[#This Row],[IVA]]-Table1[[#This Row],[RET IVA]]-Table1[[#This Row],[RET ISR]]</f>
        <v>0</v>
      </c>
      <c r="W7423" s="185"/>
      <c r="X7423" s="186"/>
      <c r="Y7423" s="187"/>
      <c r="Z7423" s="204">
        <f>+Table1[[#This Row],[CONCEPTO]]+Table1[[#This Row],[TIPO2]]-Table1[[#This Row],[IVA]]-Table1[[#This Row],[OTROS IMPUESTOS]]-Table1[[#This Row],[RET IVA]]</f>
        <v>0</v>
      </c>
      <c r="AB7423" t="str">
        <f>IF(Table1[[#This Row],[TIPO2]]="costo", VLOOKUP(Table1[[#This Row],[PARTIDA PRESUPUESTAL]],'Cost Report'!G:G,1,0),"Balance")</f>
        <v>Balance</v>
      </c>
      <c r="AD7423" s="159">
        <f>+Table1[[#This Row],[SUBTOTAL]]+Table1[[#This Row],[IVA]]-Table1[[#This Row],[RET IVA]]-Table1[[#This Row],[RET ISR]]-Table1[[#This Row],[TOTAL]]</f>
        <v>0</v>
      </c>
    </row>
    <row r="7424" spans="1:30">
      <c r="A7424" s="172"/>
      <c r="B7424" s="178"/>
      <c r="C7424" s="179"/>
      <c r="D7424" s="180"/>
      <c r="E7424" s="125"/>
      <c r="F7424" s="178"/>
      <c r="G7424" s="178"/>
      <c r="H7424" s="178"/>
      <c r="I7424" s="178"/>
      <c r="J7424" s="178"/>
      <c r="K7424" s="178"/>
      <c r="L7424" s="125"/>
      <c r="M7424" s="125"/>
      <c r="N7424" s="182"/>
      <c r="O7424" s="177"/>
      <c r="P7424" s="176"/>
      <c r="Q7424" s="176"/>
      <c r="R7424" s="176"/>
      <c r="S7424" s="176"/>
      <c r="T7424" s="190"/>
      <c r="U7424" s="191"/>
      <c r="V7424" s="191">
        <f>+Table1[[#This Row],[SUBTOTAL]]+Table1[[#This Row],[IVA]]-Table1[[#This Row],[RET IVA]]-Table1[[#This Row],[RET ISR]]</f>
        <v>0</v>
      </c>
      <c r="W7424" s="185"/>
      <c r="X7424" s="186"/>
      <c r="Y7424" s="187"/>
      <c r="Z7424" s="204">
        <f>+Table1[[#This Row],[CONCEPTO]]+Table1[[#This Row],[TIPO2]]-Table1[[#This Row],[IVA]]-Table1[[#This Row],[OTROS IMPUESTOS]]-Table1[[#This Row],[RET IVA]]</f>
        <v>0</v>
      </c>
      <c r="AB7424" t="str">
        <f>IF(Table1[[#This Row],[TIPO2]]="costo", VLOOKUP(Table1[[#This Row],[PARTIDA PRESUPUESTAL]],'Cost Report'!G:G,1,0),"Balance")</f>
        <v>Balance</v>
      </c>
      <c r="AD7424" s="159">
        <f>+Table1[[#This Row],[SUBTOTAL]]+Table1[[#This Row],[IVA]]-Table1[[#This Row],[RET IVA]]-Table1[[#This Row],[RET ISR]]-Table1[[#This Row],[TOTAL]]</f>
        <v>0</v>
      </c>
    </row>
    <row r="7425" spans="1:30">
      <c r="A7425" s="172"/>
      <c r="B7425" s="178"/>
      <c r="C7425" s="179"/>
      <c r="D7425" s="180"/>
      <c r="E7425" s="125"/>
      <c r="F7425" s="178"/>
      <c r="G7425" s="178"/>
      <c r="H7425" s="178"/>
      <c r="I7425" s="178"/>
      <c r="J7425" s="178"/>
      <c r="K7425" s="178"/>
      <c r="L7425" s="125"/>
      <c r="M7425" s="125"/>
      <c r="N7425" s="182"/>
      <c r="O7425" s="177"/>
      <c r="P7425" s="176"/>
      <c r="Q7425" s="176"/>
      <c r="R7425" s="176"/>
      <c r="S7425" s="176"/>
      <c r="T7425" s="190"/>
      <c r="U7425" s="191"/>
      <c r="V7425" s="191">
        <f>+Table1[[#This Row],[SUBTOTAL]]+Table1[[#This Row],[IVA]]-Table1[[#This Row],[RET IVA]]-Table1[[#This Row],[RET ISR]]</f>
        <v>0</v>
      </c>
      <c r="W7425" s="185"/>
      <c r="X7425" s="186"/>
      <c r="Y7425" s="187"/>
      <c r="Z7425" s="204">
        <f>+Table1[[#This Row],[CONCEPTO]]+Table1[[#This Row],[TIPO2]]-Table1[[#This Row],[IVA]]-Table1[[#This Row],[OTROS IMPUESTOS]]-Table1[[#This Row],[RET IVA]]</f>
        <v>0</v>
      </c>
      <c r="AB7425" t="str">
        <f>IF(Table1[[#This Row],[TIPO2]]="costo", VLOOKUP(Table1[[#This Row],[PARTIDA PRESUPUESTAL]],'Cost Report'!G:G,1,0),"Balance")</f>
        <v>Balance</v>
      </c>
      <c r="AD7425" s="159">
        <f>+Table1[[#This Row],[SUBTOTAL]]+Table1[[#This Row],[IVA]]-Table1[[#This Row],[RET IVA]]-Table1[[#This Row],[RET ISR]]-Table1[[#This Row],[TOTAL]]</f>
        <v>0</v>
      </c>
    </row>
    <row r="7426" spans="1:30">
      <c r="A7426" s="172"/>
      <c r="B7426" s="178"/>
      <c r="C7426" s="179"/>
      <c r="D7426" s="180"/>
      <c r="E7426" s="125"/>
      <c r="F7426" s="178"/>
      <c r="G7426" s="178"/>
      <c r="H7426" s="178"/>
      <c r="I7426" s="178"/>
      <c r="J7426" s="178"/>
      <c r="K7426" s="178"/>
      <c r="L7426" s="125"/>
      <c r="M7426" s="125"/>
      <c r="N7426" s="182"/>
      <c r="O7426" s="177"/>
      <c r="P7426" s="176"/>
      <c r="Q7426" s="176"/>
      <c r="R7426" s="176"/>
      <c r="S7426" s="176"/>
      <c r="T7426" s="190"/>
      <c r="U7426" s="191"/>
      <c r="V7426" s="191">
        <f>+Table1[[#This Row],[SUBTOTAL]]+Table1[[#This Row],[IVA]]-Table1[[#This Row],[RET IVA]]-Table1[[#This Row],[RET ISR]]</f>
        <v>0</v>
      </c>
      <c r="W7426" s="185"/>
      <c r="X7426" s="186"/>
      <c r="Y7426" s="187"/>
      <c r="Z7426" s="204">
        <f>+Table1[[#This Row],[CONCEPTO]]+Table1[[#This Row],[TIPO2]]-Table1[[#This Row],[IVA]]-Table1[[#This Row],[OTROS IMPUESTOS]]-Table1[[#This Row],[RET IVA]]</f>
        <v>0</v>
      </c>
      <c r="AB7426" t="str">
        <f>IF(Table1[[#This Row],[TIPO2]]="costo", VLOOKUP(Table1[[#This Row],[PARTIDA PRESUPUESTAL]],'Cost Report'!G:G,1,0),"Balance")</f>
        <v>Balance</v>
      </c>
      <c r="AD7426" s="159">
        <f>+Table1[[#This Row],[SUBTOTAL]]+Table1[[#This Row],[IVA]]-Table1[[#This Row],[RET IVA]]-Table1[[#This Row],[RET ISR]]-Table1[[#This Row],[TOTAL]]</f>
        <v>0</v>
      </c>
    </row>
    <row r="7427" spans="1:30">
      <c r="A7427" s="172"/>
      <c r="B7427" s="178"/>
      <c r="C7427" s="179"/>
      <c r="D7427" s="180"/>
      <c r="E7427" s="125"/>
      <c r="F7427" s="178"/>
      <c r="G7427" s="178"/>
      <c r="H7427" s="178"/>
      <c r="I7427" s="178"/>
      <c r="J7427" s="178"/>
      <c r="K7427" s="178"/>
      <c r="L7427" s="125"/>
      <c r="M7427" s="125"/>
      <c r="N7427" s="182"/>
      <c r="O7427" s="177"/>
      <c r="P7427" s="176"/>
      <c r="Q7427" s="176"/>
      <c r="R7427" s="176"/>
      <c r="S7427" s="176"/>
      <c r="T7427" s="190"/>
      <c r="U7427" s="191"/>
      <c r="V7427" s="191">
        <f>+Table1[[#This Row],[SUBTOTAL]]+Table1[[#This Row],[IVA]]-Table1[[#This Row],[RET IVA]]-Table1[[#This Row],[RET ISR]]</f>
        <v>0</v>
      </c>
      <c r="W7427" s="185"/>
      <c r="X7427" s="186"/>
      <c r="Y7427" s="187"/>
      <c r="Z7427" s="204">
        <f>+Table1[[#This Row],[CONCEPTO]]+Table1[[#This Row],[TIPO2]]-Table1[[#This Row],[IVA]]-Table1[[#This Row],[OTROS IMPUESTOS]]-Table1[[#This Row],[RET IVA]]</f>
        <v>0</v>
      </c>
      <c r="AB7427" t="str">
        <f>IF(Table1[[#This Row],[TIPO2]]="costo", VLOOKUP(Table1[[#This Row],[PARTIDA PRESUPUESTAL]],'Cost Report'!G:G,1,0),"Balance")</f>
        <v>Balance</v>
      </c>
      <c r="AD7427" s="159">
        <f>+Table1[[#This Row],[SUBTOTAL]]+Table1[[#This Row],[IVA]]-Table1[[#This Row],[RET IVA]]-Table1[[#This Row],[RET ISR]]-Table1[[#This Row],[TOTAL]]</f>
        <v>0</v>
      </c>
    </row>
    <row r="7428" spans="1:30">
      <c r="A7428" s="172"/>
      <c r="B7428" s="178"/>
      <c r="C7428" s="179"/>
      <c r="D7428" s="180"/>
      <c r="E7428" s="125"/>
      <c r="F7428" s="178"/>
      <c r="G7428" s="178"/>
      <c r="H7428" s="178"/>
      <c r="I7428" s="178"/>
      <c r="J7428" s="178"/>
      <c r="K7428" s="178"/>
      <c r="L7428" s="125"/>
      <c r="M7428" s="125"/>
      <c r="N7428" s="182"/>
      <c r="O7428" s="177"/>
      <c r="P7428" s="176"/>
      <c r="Q7428" s="176"/>
      <c r="R7428" s="176"/>
      <c r="S7428" s="176"/>
      <c r="T7428" s="190"/>
      <c r="U7428" s="191"/>
      <c r="V7428" s="191">
        <f>+Table1[[#This Row],[SUBTOTAL]]+Table1[[#This Row],[IVA]]-Table1[[#This Row],[RET IVA]]-Table1[[#This Row],[RET ISR]]</f>
        <v>0</v>
      </c>
      <c r="W7428" s="185"/>
      <c r="X7428" s="186"/>
      <c r="Y7428" s="187"/>
      <c r="Z7428" s="204">
        <f>+Table1[[#This Row],[CONCEPTO]]+Table1[[#This Row],[TIPO2]]-Table1[[#This Row],[IVA]]-Table1[[#This Row],[OTROS IMPUESTOS]]-Table1[[#This Row],[RET IVA]]</f>
        <v>0</v>
      </c>
      <c r="AB7428" t="str">
        <f>IF(Table1[[#This Row],[TIPO2]]="costo", VLOOKUP(Table1[[#This Row],[PARTIDA PRESUPUESTAL]],'Cost Report'!G:G,1,0),"Balance")</f>
        <v>Balance</v>
      </c>
      <c r="AD7428" s="159">
        <f>+Table1[[#This Row],[SUBTOTAL]]+Table1[[#This Row],[IVA]]-Table1[[#This Row],[RET IVA]]-Table1[[#This Row],[RET ISR]]-Table1[[#This Row],[TOTAL]]</f>
        <v>0</v>
      </c>
    </row>
    <row r="7429" spans="1:30">
      <c r="A7429" s="172"/>
      <c r="B7429" s="178"/>
      <c r="C7429" s="179"/>
      <c r="D7429" s="180"/>
      <c r="E7429" s="125"/>
      <c r="F7429" s="178"/>
      <c r="G7429" s="178"/>
      <c r="H7429" s="178"/>
      <c r="I7429" s="178"/>
      <c r="J7429" s="178"/>
      <c r="K7429" s="178"/>
      <c r="L7429" s="125"/>
      <c r="M7429" s="125"/>
      <c r="N7429" s="182"/>
      <c r="O7429" s="177"/>
      <c r="P7429" s="176"/>
      <c r="Q7429" s="176"/>
      <c r="R7429" s="176"/>
      <c r="S7429" s="176"/>
      <c r="T7429" s="190"/>
      <c r="U7429" s="191"/>
      <c r="V7429" s="191">
        <f>+Table1[[#This Row],[SUBTOTAL]]+Table1[[#This Row],[IVA]]-Table1[[#This Row],[RET IVA]]-Table1[[#This Row],[RET ISR]]</f>
        <v>0</v>
      </c>
      <c r="W7429" s="185"/>
      <c r="X7429" s="186"/>
      <c r="Y7429" s="187"/>
      <c r="Z7429" s="204">
        <f>+Table1[[#This Row],[CONCEPTO]]+Table1[[#This Row],[TIPO2]]-Table1[[#This Row],[IVA]]-Table1[[#This Row],[OTROS IMPUESTOS]]-Table1[[#This Row],[RET IVA]]</f>
        <v>0</v>
      </c>
      <c r="AB7429" t="str">
        <f>IF(Table1[[#This Row],[TIPO2]]="costo", VLOOKUP(Table1[[#This Row],[PARTIDA PRESUPUESTAL]],'Cost Report'!G:G,1,0),"Balance")</f>
        <v>Balance</v>
      </c>
      <c r="AD7429" s="159">
        <f>+Table1[[#This Row],[SUBTOTAL]]+Table1[[#This Row],[IVA]]-Table1[[#This Row],[RET IVA]]-Table1[[#This Row],[RET ISR]]-Table1[[#This Row],[TOTAL]]</f>
        <v>0</v>
      </c>
    </row>
    <row r="7430" spans="1:30">
      <c r="A7430" s="172"/>
      <c r="B7430" s="178"/>
      <c r="C7430" s="179"/>
      <c r="D7430" s="180"/>
      <c r="E7430" s="125"/>
      <c r="F7430" s="178"/>
      <c r="G7430" s="178"/>
      <c r="H7430" s="178"/>
      <c r="I7430" s="178"/>
      <c r="J7430" s="178"/>
      <c r="K7430" s="178"/>
      <c r="L7430" s="125"/>
      <c r="M7430" s="125"/>
      <c r="N7430" s="182"/>
      <c r="O7430" s="177"/>
      <c r="P7430" s="176"/>
      <c r="Q7430" s="176"/>
      <c r="R7430" s="176"/>
      <c r="S7430" s="176"/>
      <c r="T7430" s="190"/>
      <c r="U7430" s="191"/>
      <c r="V7430" s="191">
        <f>+Table1[[#This Row],[SUBTOTAL]]+Table1[[#This Row],[IVA]]-Table1[[#This Row],[RET IVA]]-Table1[[#This Row],[RET ISR]]</f>
        <v>0</v>
      </c>
      <c r="W7430" s="185"/>
      <c r="X7430" s="186"/>
      <c r="Y7430" s="187"/>
      <c r="Z7430" s="204">
        <f>+Table1[[#This Row],[CONCEPTO]]+Table1[[#This Row],[TIPO2]]-Table1[[#This Row],[IVA]]-Table1[[#This Row],[OTROS IMPUESTOS]]-Table1[[#This Row],[RET IVA]]</f>
        <v>0</v>
      </c>
      <c r="AB7430" t="str">
        <f>IF(Table1[[#This Row],[TIPO2]]="costo", VLOOKUP(Table1[[#This Row],[PARTIDA PRESUPUESTAL]],'Cost Report'!G:G,1,0),"Balance")</f>
        <v>Balance</v>
      </c>
      <c r="AD7430" s="159">
        <f>+Table1[[#This Row],[SUBTOTAL]]+Table1[[#This Row],[IVA]]-Table1[[#This Row],[RET IVA]]-Table1[[#This Row],[RET ISR]]-Table1[[#This Row],[TOTAL]]</f>
        <v>0</v>
      </c>
    </row>
    <row r="7431" spans="1:30">
      <c r="A7431" s="172"/>
      <c r="B7431" s="178"/>
      <c r="C7431" s="179"/>
      <c r="D7431" s="180"/>
      <c r="E7431" s="125"/>
      <c r="F7431" s="178"/>
      <c r="G7431" s="178"/>
      <c r="H7431" s="178"/>
      <c r="I7431" s="178"/>
      <c r="J7431" s="178"/>
      <c r="K7431" s="178"/>
      <c r="L7431" s="125"/>
      <c r="M7431" s="125"/>
      <c r="N7431" s="182"/>
      <c r="O7431" s="177"/>
      <c r="P7431" s="176"/>
      <c r="Q7431" s="176"/>
      <c r="R7431" s="176"/>
      <c r="S7431" s="176"/>
      <c r="T7431" s="190"/>
      <c r="U7431" s="191"/>
      <c r="V7431" s="191">
        <f>+Table1[[#This Row],[SUBTOTAL]]+Table1[[#This Row],[IVA]]-Table1[[#This Row],[RET IVA]]-Table1[[#This Row],[RET ISR]]</f>
        <v>0</v>
      </c>
      <c r="W7431" s="185"/>
      <c r="X7431" s="186"/>
      <c r="Y7431" s="187"/>
      <c r="Z7431" s="204">
        <f>+Table1[[#This Row],[CONCEPTO]]+Table1[[#This Row],[TIPO2]]-Table1[[#This Row],[IVA]]-Table1[[#This Row],[OTROS IMPUESTOS]]-Table1[[#This Row],[RET IVA]]</f>
        <v>0</v>
      </c>
      <c r="AB7431" t="str">
        <f>IF(Table1[[#This Row],[TIPO2]]="costo", VLOOKUP(Table1[[#This Row],[PARTIDA PRESUPUESTAL]],'Cost Report'!G:G,1,0),"Balance")</f>
        <v>Balance</v>
      </c>
      <c r="AD7431" s="159">
        <f>+Table1[[#This Row],[SUBTOTAL]]+Table1[[#This Row],[IVA]]-Table1[[#This Row],[RET IVA]]-Table1[[#This Row],[RET ISR]]-Table1[[#This Row],[TOTAL]]</f>
        <v>0</v>
      </c>
    </row>
    <row r="7432" spans="1:30">
      <c r="A7432" s="172"/>
      <c r="B7432" s="178"/>
      <c r="C7432" s="179"/>
      <c r="D7432" s="180"/>
      <c r="E7432" s="125"/>
      <c r="F7432" s="178"/>
      <c r="G7432" s="178"/>
      <c r="H7432" s="178"/>
      <c r="I7432" s="178"/>
      <c r="J7432" s="178"/>
      <c r="K7432" s="178"/>
      <c r="L7432" s="125"/>
      <c r="M7432" s="125"/>
      <c r="N7432" s="182"/>
      <c r="O7432" s="177"/>
      <c r="P7432" s="176"/>
      <c r="Q7432" s="176"/>
      <c r="R7432" s="176"/>
      <c r="S7432" s="176"/>
      <c r="T7432" s="190"/>
      <c r="U7432" s="191"/>
      <c r="V7432" s="191">
        <f>+Table1[[#This Row],[SUBTOTAL]]+Table1[[#This Row],[IVA]]-Table1[[#This Row],[RET IVA]]-Table1[[#This Row],[RET ISR]]</f>
        <v>0</v>
      </c>
      <c r="W7432" s="185"/>
      <c r="X7432" s="186"/>
      <c r="Y7432" s="187"/>
      <c r="Z7432" s="204">
        <f>+Table1[[#This Row],[CONCEPTO]]+Table1[[#This Row],[TIPO2]]-Table1[[#This Row],[IVA]]-Table1[[#This Row],[OTROS IMPUESTOS]]-Table1[[#This Row],[RET IVA]]</f>
        <v>0</v>
      </c>
      <c r="AB7432" t="str">
        <f>IF(Table1[[#This Row],[TIPO2]]="costo", VLOOKUP(Table1[[#This Row],[PARTIDA PRESUPUESTAL]],'Cost Report'!G:G,1,0),"Balance")</f>
        <v>Balance</v>
      </c>
      <c r="AD7432" s="159">
        <f>+Table1[[#This Row],[SUBTOTAL]]+Table1[[#This Row],[IVA]]-Table1[[#This Row],[RET IVA]]-Table1[[#This Row],[RET ISR]]-Table1[[#This Row],[TOTAL]]</f>
        <v>0</v>
      </c>
    </row>
    <row r="7433" spans="1:30">
      <c r="A7433" s="172"/>
      <c r="B7433" s="178"/>
      <c r="C7433" s="179"/>
      <c r="D7433" s="180"/>
      <c r="E7433" s="125"/>
      <c r="F7433" s="178"/>
      <c r="G7433" s="178"/>
      <c r="H7433" s="178"/>
      <c r="I7433" s="178"/>
      <c r="J7433" s="178"/>
      <c r="K7433" s="178"/>
      <c r="L7433" s="125"/>
      <c r="M7433" s="125"/>
      <c r="N7433" s="182"/>
      <c r="O7433" s="177"/>
      <c r="P7433" s="176"/>
      <c r="Q7433" s="176"/>
      <c r="R7433" s="176"/>
      <c r="S7433" s="176"/>
      <c r="T7433" s="190"/>
      <c r="U7433" s="191"/>
      <c r="V7433" s="191">
        <f>+Table1[[#This Row],[SUBTOTAL]]+Table1[[#This Row],[IVA]]-Table1[[#This Row],[RET IVA]]-Table1[[#This Row],[RET ISR]]</f>
        <v>0</v>
      </c>
      <c r="W7433" s="185"/>
      <c r="X7433" s="186"/>
      <c r="Y7433" s="187"/>
      <c r="Z7433" s="204">
        <f>+Table1[[#This Row],[CONCEPTO]]+Table1[[#This Row],[TIPO2]]-Table1[[#This Row],[IVA]]-Table1[[#This Row],[OTROS IMPUESTOS]]-Table1[[#This Row],[RET IVA]]</f>
        <v>0</v>
      </c>
      <c r="AB7433" t="str">
        <f>IF(Table1[[#This Row],[TIPO2]]="costo", VLOOKUP(Table1[[#This Row],[PARTIDA PRESUPUESTAL]],'Cost Report'!G:G,1,0),"Balance")</f>
        <v>Balance</v>
      </c>
      <c r="AD7433" s="159">
        <f>+Table1[[#This Row],[SUBTOTAL]]+Table1[[#This Row],[IVA]]-Table1[[#This Row],[RET IVA]]-Table1[[#This Row],[RET ISR]]-Table1[[#This Row],[TOTAL]]</f>
        <v>0</v>
      </c>
    </row>
    <row r="7434" spans="1:30">
      <c r="A7434" s="172"/>
      <c r="B7434" s="178"/>
      <c r="C7434" s="179"/>
      <c r="D7434" s="180"/>
      <c r="E7434" s="125"/>
      <c r="F7434" s="178"/>
      <c r="G7434" s="178"/>
      <c r="H7434" s="178"/>
      <c r="I7434" s="178"/>
      <c r="J7434" s="178"/>
      <c r="K7434" s="178"/>
      <c r="L7434" s="125"/>
      <c r="M7434" s="125"/>
      <c r="N7434" s="182"/>
      <c r="O7434" s="177"/>
      <c r="P7434" s="176"/>
      <c r="Q7434" s="176"/>
      <c r="R7434" s="176"/>
      <c r="S7434" s="176"/>
      <c r="T7434" s="190"/>
      <c r="U7434" s="191"/>
      <c r="V7434" s="191">
        <f>+Table1[[#This Row],[SUBTOTAL]]+Table1[[#This Row],[IVA]]-Table1[[#This Row],[RET IVA]]-Table1[[#This Row],[RET ISR]]</f>
        <v>0</v>
      </c>
      <c r="W7434" s="185"/>
      <c r="X7434" s="186"/>
      <c r="Y7434" s="187"/>
      <c r="Z7434" s="204">
        <f>+Table1[[#This Row],[CONCEPTO]]+Table1[[#This Row],[TIPO2]]-Table1[[#This Row],[IVA]]-Table1[[#This Row],[OTROS IMPUESTOS]]-Table1[[#This Row],[RET IVA]]</f>
        <v>0</v>
      </c>
      <c r="AB7434" t="str">
        <f>IF(Table1[[#This Row],[TIPO2]]="costo", VLOOKUP(Table1[[#This Row],[PARTIDA PRESUPUESTAL]],'Cost Report'!G:G,1,0),"Balance")</f>
        <v>Balance</v>
      </c>
      <c r="AD7434" s="159">
        <f>+Table1[[#This Row],[SUBTOTAL]]+Table1[[#This Row],[IVA]]-Table1[[#This Row],[RET IVA]]-Table1[[#This Row],[RET ISR]]-Table1[[#This Row],[TOTAL]]</f>
        <v>0</v>
      </c>
    </row>
    <row r="7435" spans="1:30">
      <c r="A7435" s="172"/>
      <c r="B7435" s="178"/>
      <c r="C7435" s="179"/>
      <c r="D7435" s="180"/>
      <c r="E7435" s="125"/>
      <c r="F7435" s="178"/>
      <c r="G7435" s="178"/>
      <c r="H7435" s="178"/>
      <c r="I7435" s="178"/>
      <c r="J7435" s="178"/>
      <c r="K7435" s="178"/>
      <c r="L7435" s="125"/>
      <c r="M7435" s="125"/>
      <c r="N7435" s="182"/>
      <c r="O7435" s="177"/>
      <c r="P7435" s="176"/>
      <c r="Q7435" s="176"/>
      <c r="R7435" s="176"/>
      <c r="S7435" s="176"/>
      <c r="T7435" s="190"/>
      <c r="U7435" s="191"/>
      <c r="V7435" s="191">
        <f>+Table1[[#This Row],[SUBTOTAL]]+Table1[[#This Row],[IVA]]-Table1[[#This Row],[RET IVA]]-Table1[[#This Row],[RET ISR]]</f>
        <v>0</v>
      </c>
      <c r="W7435" s="185"/>
      <c r="X7435" s="186"/>
      <c r="Y7435" s="187"/>
      <c r="Z7435" s="204">
        <f>+Table1[[#This Row],[CONCEPTO]]+Table1[[#This Row],[TIPO2]]-Table1[[#This Row],[IVA]]-Table1[[#This Row],[OTROS IMPUESTOS]]-Table1[[#This Row],[RET IVA]]</f>
        <v>0</v>
      </c>
      <c r="AB7435" t="str">
        <f>IF(Table1[[#This Row],[TIPO2]]="costo", VLOOKUP(Table1[[#This Row],[PARTIDA PRESUPUESTAL]],'Cost Report'!G:G,1,0),"Balance")</f>
        <v>Balance</v>
      </c>
      <c r="AD7435" s="159">
        <f>+Table1[[#This Row],[SUBTOTAL]]+Table1[[#This Row],[IVA]]-Table1[[#This Row],[RET IVA]]-Table1[[#This Row],[RET ISR]]-Table1[[#This Row],[TOTAL]]</f>
        <v>0</v>
      </c>
    </row>
    <row r="7436" spans="1:30">
      <c r="A7436" s="172"/>
      <c r="B7436" s="178"/>
      <c r="C7436" s="179"/>
      <c r="D7436" s="180"/>
      <c r="E7436" s="125"/>
      <c r="F7436" s="178"/>
      <c r="G7436" s="178"/>
      <c r="H7436" s="178"/>
      <c r="I7436" s="178"/>
      <c r="J7436" s="178"/>
      <c r="K7436" s="178"/>
      <c r="L7436" s="125"/>
      <c r="M7436" s="125"/>
      <c r="N7436" s="182"/>
      <c r="O7436" s="177"/>
      <c r="P7436" s="176"/>
      <c r="Q7436" s="176"/>
      <c r="R7436" s="176"/>
      <c r="S7436" s="176"/>
      <c r="T7436" s="190"/>
      <c r="U7436" s="191"/>
      <c r="V7436" s="191">
        <f>+Table1[[#This Row],[SUBTOTAL]]+Table1[[#This Row],[IVA]]-Table1[[#This Row],[RET IVA]]-Table1[[#This Row],[RET ISR]]</f>
        <v>0</v>
      </c>
      <c r="W7436" s="185"/>
      <c r="X7436" s="186"/>
      <c r="Y7436" s="187"/>
      <c r="Z7436" s="204">
        <f>+Table1[[#This Row],[CONCEPTO]]+Table1[[#This Row],[TIPO2]]-Table1[[#This Row],[IVA]]-Table1[[#This Row],[OTROS IMPUESTOS]]-Table1[[#This Row],[RET IVA]]</f>
        <v>0</v>
      </c>
      <c r="AB7436" t="str">
        <f>IF(Table1[[#This Row],[TIPO2]]="costo", VLOOKUP(Table1[[#This Row],[PARTIDA PRESUPUESTAL]],'Cost Report'!G:G,1,0),"Balance")</f>
        <v>Balance</v>
      </c>
      <c r="AD7436" s="159">
        <f>+Table1[[#This Row],[SUBTOTAL]]+Table1[[#This Row],[IVA]]-Table1[[#This Row],[RET IVA]]-Table1[[#This Row],[RET ISR]]-Table1[[#This Row],[TOTAL]]</f>
        <v>0</v>
      </c>
    </row>
    <row r="7437" spans="1:30">
      <c r="A7437" s="172"/>
      <c r="B7437" s="178"/>
      <c r="C7437" s="179"/>
      <c r="D7437" s="180"/>
      <c r="E7437" s="125"/>
      <c r="F7437" s="178"/>
      <c r="G7437" s="178"/>
      <c r="H7437" s="178"/>
      <c r="I7437" s="178"/>
      <c r="J7437" s="178"/>
      <c r="K7437" s="178"/>
      <c r="L7437" s="125"/>
      <c r="M7437" s="125"/>
      <c r="N7437" s="182"/>
      <c r="O7437" s="177"/>
      <c r="P7437" s="176"/>
      <c r="Q7437" s="176"/>
      <c r="R7437" s="176"/>
      <c r="S7437" s="176"/>
      <c r="T7437" s="190"/>
      <c r="U7437" s="191"/>
      <c r="V7437" s="191">
        <f>+Table1[[#This Row],[SUBTOTAL]]+Table1[[#This Row],[IVA]]-Table1[[#This Row],[RET IVA]]-Table1[[#This Row],[RET ISR]]</f>
        <v>0</v>
      </c>
      <c r="W7437" s="185"/>
      <c r="X7437" s="186"/>
      <c r="Y7437" s="187"/>
      <c r="Z7437" s="204">
        <f>+Table1[[#This Row],[CONCEPTO]]+Table1[[#This Row],[TIPO2]]-Table1[[#This Row],[IVA]]-Table1[[#This Row],[OTROS IMPUESTOS]]-Table1[[#This Row],[RET IVA]]</f>
        <v>0</v>
      </c>
      <c r="AB7437" t="str">
        <f>IF(Table1[[#This Row],[TIPO2]]="costo", VLOOKUP(Table1[[#This Row],[PARTIDA PRESUPUESTAL]],'Cost Report'!G:G,1,0),"Balance")</f>
        <v>Balance</v>
      </c>
      <c r="AD7437" s="159">
        <f>+Table1[[#This Row],[SUBTOTAL]]+Table1[[#This Row],[IVA]]-Table1[[#This Row],[RET IVA]]-Table1[[#This Row],[RET ISR]]-Table1[[#This Row],[TOTAL]]</f>
        <v>0</v>
      </c>
    </row>
    <row r="7438" spans="1:30">
      <c r="A7438" s="172"/>
      <c r="B7438" s="178"/>
      <c r="C7438" s="179"/>
      <c r="D7438" s="180"/>
      <c r="E7438" s="125"/>
      <c r="F7438" s="178"/>
      <c r="G7438" s="178"/>
      <c r="H7438" s="178"/>
      <c r="I7438" s="178"/>
      <c r="J7438" s="178"/>
      <c r="K7438" s="178"/>
      <c r="L7438" s="125"/>
      <c r="M7438" s="125"/>
      <c r="N7438" s="182"/>
      <c r="O7438" s="177"/>
      <c r="P7438" s="176"/>
      <c r="Q7438" s="176"/>
      <c r="R7438" s="176"/>
      <c r="S7438" s="176"/>
      <c r="T7438" s="190"/>
      <c r="U7438" s="191"/>
      <c r="V7438" s="191">
        <f>+Table1[[#This Row],[SUBTOTAL]]+Table1[[#This Row],[IVA]]-Table1[[#This Row],[RET IVA]]-Table1[[#This Row],[RET ISR]]</f>
        <v>0</v>
      </c>
      <c r="W7438" s="185"/>
      <c r="X7438" s="186"/>
      <c r="Y7438" s="187"/>
      <c r="Z7438" s="204">
        <f>+Table1[[#This Row],[CONCEPTO]]+Table1[[#This Row],[TIPO2]]-Table1[[#This Row],[IVA]]-Table1[[#This Row],[OTROS IMPUESTOS]]-Table1[[#This Row],[RET IVA]]</f>
        <v>0</v>
      </c>
      <c r="AB7438" t="str">
        <f>IF(Table1[[#This Row],[TIPO2]]="costo", VLOOKUP(Table1[[#This Row],[PARTIDA PRESUPUESTAL]],'Cost Report'!G:G,1,0),"Balance")</f>
        <v>Balance</v>
      </c>
      <c r="AD7438" s="159">
        <f>+Table1[[#This Row],[SUBTOTAL]]+Table1[[#This Row],[IVA]]-Table1[[#This Row],[RET IVA]]-Table1[[#This Row],[RET ISR]]-Table1[[#This Row],[TOTAL]]</f>
        <v>0</v>
      </c>
    </row>
    <row r="7439" spans="1:30">
      <c r="A7439" s="172"/>
      <c r="B7439" s="178"/>
      <c r="C7439" s="179"/>
      <c r="D7439" s="180"/>
      <c r="E7439" s="125"/>
      <c r="F7439" s="178"/>
      <c r="G7439" s="178"/>
      <c r="H7439" s="178"/>
      <c r="I7439" s="178"/>
      <c r="J7439" s="178"/>
      <c r="K7439" s="178"/>
      <c r="L7439" s="125"/>
      <c r="M7439" s="125"/>
      <c r="N7439" s="182"/>
      <c r="O7439" s="177"/>
      <c r="P7439" s="176"/>
      <c r="Q7439" s="176"/>
      <c r="R7439" s="176"/>
      <c r="S7439" s="176"/>
      <c r="T7439" s="190"/>
      <c r="U7439" s="191"/>
      <c r="V7439" s="191">
        <f>+Table1[[#This Row],[SUBTOTAL]]+Table1[[#This Row],[IVA]]-Table1[[#This Row],[RET IVA]]-Table1[[#This Row],[RET ISR]]</f>
        <v>0</v>
      </c>
      <c r="W7439" s="185"/>
      <c r="X7439" s="186"/>
      <c r="Y7439" s="187"/>
      <c r="Z7439" s="204">
        <f>+Table1[[#This Row],[CONCEPTO]]+Table1[[#This Row],[TIPO2]]-Table1[[#This Row],[IVA]]-Table1[[#This Row],[OTROS IMPUESTOS]]-Table1[[#This Row],[RET IVA]]</f>
        <v>0</v>
      </c>
      <c r="AB7439" t="str">
        <f>IF(Table1[[#This Row],[TIPO2]]="costo", VLOOKUP(Table1[[#This Row],[PARTIDA PRESUPUESTAL]],'Cost Report'!G:G,1,0),"Balance")</f>
        <v>Balance</v>
      </c>
      <c r="AD7439" s="159">
        <f>+Table1[[#This Row],[SUBTOTAL]]+Table1[[#This Row],[IVA]]-Table1[[#This Row],[RET IVA]]-Table1[[#This Row],[RET ISR]]-Table1[[#This Row],[TOTAL]]</f>
        <v>0</v>
      </c>
    </row>
    <row r="7440" spans="1:30">
      <c r="A7440" s="172"/>
      <c r="B7440" s="178"/>
      <c r="C7440" s="179"/>
      <c r="D7440" s="180"/>
      <c r="E7440" s="125"/>
      <c r="F7440" s="178"/>
      <c r="G7440" s="178"/>
      <c r="H7440" s="178"/>
      <c r="I7440" s="178"/>
      <c r="J7440" s="178"/>
      <c r="K7440" s="178"/>
      <c r="L7440" s="125"/>
      <c r="M7440" s="125"/>
      <c r="N7440" s="182"/>
      <c r="O7440" s="177"/>
      <c r="P7440" s="176"/>
      <c r="Q7440" s="176"/>
      <c r="R7440" s="176"/>
      <c r="S7440" s="176"/>
      <c r="T7440" s="190"/>
      <c r="U7440" s="191"/>
      <c r="V7440" s="191">
        <f>+Table1[[#This Row],[SUBTOTAL]]+Table1[[#This Row],[IVA]]-Table1[[#This Row],[RET IVA]]-Table1[[#This Row],[RET ISR]]</f>
        <v>0</v>
      </c>
      <c r="W7440" s="185"/>
      <c r="X7440" s="186"/>
      <c r="Y7440" s="187"/>
      <c r="Z7440" s="204">
        <f>+Table1[[#This Row],[CONCEPTO]]+Table1[[#This Row],[TIPO2]]-Table1[[#This Row],[IVA]]-Table1[[#This Row],[OTROS IMPUESTOS]]-Table1[[#This Row],[RET IVA]]</f>
        <v>0</v>
      </c>
      <c r="AB7440" t="str">
        <f>IF(Table1[[#This Row],[TIPO2]]="costo", VLOOKUP(Table1[[#This Row],[PARTIDA PRESUPUESTAL]],'Cost Report'!G:G,1,0),"Balance")</f>
        <v>Balance</v>
      </c>
      <c r="AD7440" s="159">
        <f>+Table1[[#This Row],[SUBTOTAL]]+Table1[[#This Row],[IVA]]-Table1[[#This Row],[RET IVA]]-Table1[[#This Row],[RET ISR]]-Table1[[#This Row],[TOTAL]]</f>
        <v>0</v>
      </c>
    </row>
    <row r="7441" spans="1:30">
      <c r="A7441" s="172"/>
      <c r="B7441" s="178"/>
      <c r="C7441" s="179"/>
      <c r="D7441" s="180"/>
      <c r="E7441" s="125"/>
      <c r="F7441" s="178"/>
      <c r="G7441" s="178"/>
      <c r="H7441" s="178"/>
      <c r="I7441" s="178"/>
      <c r="J7441" s="178"/>
      <c r="K7441" s="178"/>
      <c r="L7441" s="125"/>
      <c r="M7441" s="125"/>
      <c r="N7441" s="182"/>
      <c r="O7441" s="177"/>
      <c r="P7441" s="176"/>
      <c r="Q7441" s="176"/>
      <c r="R7441" s="176"/>
      <c r="S7441" s="176"/>
      <c r="T7441" s="190"/>
      <c r="U7441" s="191"/>
      <c r="V7441" s="191">
        <f>+Table1[[#This Row],[SUBTOTAL]]+Table1[[#This Row],[IVA]]-Table1[[#This Row],[RET IVA]]-Table1[[#This Row],[RET ISR]]</f>
        <v>0</v>
      </c>
      <c r="W7441" s="185"/>
      <c r="X7441" s="186"/>
      <c r="Y7441" s="187"/>
      <c r="Z7441" s="204">
        <f>+Table1[[#This Row],[CONCEPTO]]+Table1[[#This Row],[TIPO2]]-Table1[[#This Row],[IVA]]-Table1[[#This Row],[OTROS IMPUESTOS]]-Table1[[#This Row],[RET IVA]]</f>
        <v>0</v>
      </c>
      <c r="AB7441" t="str">
        <f>IF(Table1[[#This Row],[TIPO2]]="costo", VLOOKUP(Table1[[#This Row],[PARTIDA PRESUPUESTAL]],'Cost Report'!G:G,1,0),"Balance")</f>
        <v>Balance</v>
      </c>
      <c r="AD7441" s="159">
        <f>+Table1[[#This Row],[SUBTOTAL]]+Table1[[#This Row],[IVA]]-Table1[[#This Row],[RET IVA]]-Table1[[#This Row],[RET ISR]]-Table1[[#This Row],[TOTAL]]</f>
        <v>0</v>
      </c>
    </row>
    <row r="7442" spans="1:30">
      <c r="A7442" s="172"/>
      <c r="B7442" s="178"/>
      <c r="C7442" s="179"/>
      <c r="D7442" s="180"/>
      <c r="E7442" s="125"/>
      <c r="F7442" s="178"/>
      <c r="G7442" s="178"/>
      <c r="H7442" s="178"/>
      <c r="I7442" s="178"/>
      <c r="J7442" s="178"/>
      <c r="K7442" s="178"/>
      <c r="L7442" s="125"/>
      <c r="M7442" s="125"/>
      <c r="N7442" s="182"/>
      <c r="O7442" s="177"/>
      <c r="P7442" s="176"/>
      <c r="Q7442" s="176"/>
      <c r="R7442" s="176"/>
      <c r="S7442" s="176"/>
      <c r="T7442" s="190"/>
      <c r="U7442" s="191"/>
      <c r="V7442" s="191">
        <f>+Table1[[#This Row],[SUBTOTAL]]+Table1[[#This Row],[IVA]]-Table1[[#This Row],[RET IVA]]-Table1[[#This Row],[RET ISR]]</f>
        <v>0</v>
      </c>
      <c r="W7442" s="185"/>
      <c r="X7442" s="186"/>
      <c r="Y7442" s="187"/>
      <c r="Z7442" s="204">
        <f>+Table1[[#This Row],[CONCEPTO]]+Table1[[#This Row],[TIPO2]]-Table1[[#This Row],[IVA]]-Table1[[#This Row],[OTROS IMPUESTOS]]-Table1[[#This Row],[RET IVA]]</f>
        <v>0</v>
      </c>
      <c r="AB7442" t="str">
        <f>IF(Table1[[#This Row],[TIPO2]]="costo", VLOOKUP(Table1[[#This Row],[PARTIDA PRESUPUESTAL]],'Cost Report'!G:G,1,0),"Balance")</f>
        <v>Balance</v>
      </c>
      <c r="AD7442" s="159">
        <f>+Table1[[#This Row],[SUBTOTAL]]+Table1[[#This Row],[IVA]]-Table1[[#This Row],[RET IVA]]-Table1[[#This Row],[RET ISR]]-Table1[[#This Row],[TOTAL]]</f>
        <v>0</v>
      </c>
    </row>
    <row r="7443" spans="1:30">
      <c r="A7443" s="172"/>
      <c r="B7443" s="178"/>
      <c r="C7443" s="179"/>
      <c r="D7443" s="180"/>
      <c r="E7443" s="125"/>
      <c r="F7443" s="178"/>
      <c r="G7443" s="178"/>
      <c r="H7443" s="178"/>
      <c r="I7443" s="178"/>
      <c r="J7443" s="178"/>
      <c r="K7443" s="178"/>
      <c r="L7443" s="125"/>
      <c r="M7443" s="125"/>
      <c r="N7443" s="182"/>
      <c r="O7443" s="177"/>
      <c r="P7443" s="176"/>
      <c r="Q7443" s="176"/>
      <c r="R7443" s="176"/>
      <c r="S7443" s="176"/>
      <c r="T7443" s="190"/>
      <c r="U7443" s="191"/>
      <c r="V7443" s="191">
        <f>+Table1[[#This Row],[SUBTOTAL]]+Table1[[#This Row],[IVA]]-Table1[[#This Row],[RET IVA]]-Table1[[#This Row],[RET ISR]]</f>
        <v>0</v>
      </c>
      <c r="W7443" s="185"/>
      <c r="X7443" s="186"/>
      <c r="Y7443" s="187"/>
      <c r="Z7443" s="204">
        <f>+Table1[[#This Row],[CONCEPTO]]+Table1[[#This Row],[TIPO2]]-Table1[[#This Row],[IVA]]-Table1[[#This Row],[OTROS IMPUESTOS]]-Table1[[#This Row],[RET IVA]]</f>
        <v>0</v>
      </c>
      <c r="AB7443" t="str">
        <f>IF(Table1[[#This Row],[TIPO2]]="costo", VLOOKUP(Table1[[#This Row],[PARTIDA PRESUPUESTAL]],'Cost Report'!G:G,1,0),"Balance")</f>
        <v>Balance</v>
      </c>
      <c r="AD7443" s="159">
        <f>+Table1[[#This Row],[SUBTOTAL]]+Table1[[#This Row],[IVA]]-Table1[[#This Row],[RET IVA]]-Table1[[#This Row],[RET ISR]]-Table1[[#This Row],[TOTAL]]</f>
        <v>0</v>
      </c>
    </row>
    <row r="7444" spans="1:30">
      <c r="A7444" s="172"/>
      <c r="B7444" s="178"/>
      <c r="C7444" s="179"/>
      <c r="D7444" s="180"/>
      <c r="E7444" s="125"/>
      <c r="F7444" s="178"/>
      <c r="G7444" s="178"/>
      <c r="H7444" s="178"/>
      <c r="I7444" s="178"/>
      <c r="J7444" s="178"/>
      <c r="K7444" s="178"/>
      <c r="L7444" s="125"/>
      <c r="M7444" s="125"/>
      <c r="N7444" s="182"/>
      <c r="O7444" s="177"/>
      <c r="P7444" s="176"/>
      <c r="Q7444" s="176"/>
      <c r="R7444" s="176"/>
      <c r="S7444" s="176"/>
      <c r="T7444" s="190"/>
      <c r="U7444" s="191"/>
      <c r="V7444" s="191">
        <f>+Table1[[#This Row],[SUBTOTAL]]+Table1[[#This Row],[IVA]]-Table1[[#This Row],[RET IVA]]-Table1[[#This Row],[RET ISR]]</f>
        <v>0</v>
      </c>
      <c r="W7444" s="185"/>
      <c r="X7444" s="186"/>
      <c r="Y7444" s="187"/>
      <c r="Z7444" s="204">
        <f>+Table1[[#This Row],[CONCEPTO]]+Table1[[#This Row],[TIPO2]]-Table1[[#This Row],[IVA]]-Table1[[#This Row],[OTROS IMPUESTOS]]-Table1[[#This Row],[RET IVA]]</f>
        <v>0</v>
      </c>
      <c r="AB7444" t="str">
        <f>IF(Table1[[#This Row],[TIPO2]]="costo", VLOOKUP(Table1[[#This Row],[PARTIDA PRESUPUESTAL]],'Cost Report'!G:G,1,0),"Balance")</f>
        <v>Balance</v>
      </c>
      <c r="AD7444" s="159">
        <f>+Table1[[#This Row],[SUBTOTAL]]+Table1[[#This Row],[IVA]]-Table1[[#This Row],[RET IVA]]-Table1[[#This Row],[RET ISR]]-Table1[[#This Row],[TOTAL]]</f>
        <v>0</v>
      </c>
    </row>
    <row r="7445" spans="1:30">
      <c r="A7445" s="172"/>
      <c r="B7445" s="178"/>
      <c r="C7445" s="179"/>
      <c r="D7445" s="180"/>
      <c r="E7445" s="125"/>
      <c r="F7445" s="178"/>
      <c r="G7445" s="178"/>
      <c r="H7445" s="178"/>
      <c r="I7445" s="178"/>
      <c r="J7445" s="178"/>
      <c r="K7445" s="178"/>
      <c r="L7445" s="125"/>
      <c r="M7445" s="125"/>
      <c r="N7445" s="182"/>
      <c r="O7445" s="177"/>
      <c r="P7445" s="176"/>
      <c r="Q7445" s="176"/>
      <c r="R7445" s="176"/>
      <c r="S7445" s="176"/>
      <c r="T7445" s="190"/>
      <c r="U7445" s="191"/>
      <c r="V7445" s="191">
        <f>+Table1[[#This Row],[SUBTOTAL]]+Table1[[#This Row],[IVA]]-Table1[[#This Row],[RET IVA]]-Table1[[#This Row],[RET ISR]]</f>
        <v>0</v>
      </c>
      <c r="W7445" s="185"/>
      <c r="X7445" s="186"/>
      <c r="Y7445" s="187"/>
      <c r="Z7445" s="204">
        <f>+Table1[[#This Row],[CONCEPTO]]+Table1[[#This Row],[TIPO2]]-Table1[[#This Row],[IVA]]-Table1[[#This Row],[OTROS IMPUESTOS]]-Table1[[#This Row],[RET IVA]]</f>
        <v>0</v>
      </c>
      <c r="AB7445" t="str">
        <f>IF(Table1[[#This Row],[TIPO2]]="costo", VLOOKUP(Table1[[#This Row],[PARTIDA PRESUPUESTAL]],'Cost Report'!G:G,1,0),"Balance")</f>
        <v>Balance</v>
      </c>
      <c r="AD7445" s="159">
        <f>+Table1[[#This Row],[SUBTOTAL]]+Table1[[#This Row],[IVA]]-Table1[[#This Row],[RET IVA]]-Table1[[#This Row],[RET ISR]]-Table1[[#This Row],[TOTAL]]</f>
        <v>0</v>
      </c>
    </row>
    <row r="7446" spans="1:30">
      <c r="A7446" s="172"/>
      <c r="B7446" s="178"/>
      <c r="C7446" s="179"/>
      <c r="D7446" s="180"/>
      <c r="E7446" s="125"/>
      <c r="F7446" s="178"/>
      <c r="G7446" s="178"/>
      <c r="H7446" s="178"/>
      <c r="I7446" s="178"/>
      <c r="J7446" s="178"/>
      <c r="K7446" s="178"/>
      <c r="L7446" s="125"/>
      <c r="M7446" s="125"/>
      <c r="N7446" s="182"/>
      <c r="O7446" s="177"/>
      <c r="P7446" s="176"/>
      <c r="Q7446" s="176"/>
      <c r="R7446" s="176"/>
      <c r="S7446" s="176"/>
      <c r="T7446" s="190"/>
      <c r="U7446" s="191"/>
      <c r="V7446" s="191">
        <f>+Table1[[#This Row],[SUBTOTAL]]+Table1[[#This Row],[IVA]]-Table1[[#This Row],[RET IVA]]-Table1[[#This Row],[RET ISR]]</f>
        <v>0</v>
      </c>
      <c r="W7446" s="185"/>
      <c r="X7446" s="186"/>
      <c r="Y7446" s="187"/>
      <c r="Z7446" s="204">
        <f>+Table1[[#This Row],[CONCEPTO]]+Table1[[#This Row],[TIPO2]]-Table1[[#This Row],[IVA]]-Table1[[#This Row],[OTROS IMPUESTOS]]-Table1[[#This Row],[RET IVA]]</f>
        <v>0</v>
      </c>
      <c r="AB7446" t="str">
        <f>IF(Table1[[#This Row],[TIPO2]]="costo", VLOOKUP(Table1[[#This Row],[PARTIDA PRESUPUESTAL]],'Cost Report'!G:G,1,0),"Balance")</f>
        <v>Balance</v>
      </c>
      <c r="AD7446" s="159">
        <f>+Table1[[#This Row],[SUBTOTAL]]+Table1[[#This Row],[IVA]]-Table1[[#This Row],[RET IVA]]-Table1[[#This Row],[RET ISR]]-Table1[[#This Row],[TOTAL]]</f>
        <v>0</v>
      </c>
    </row>
    <row r="7447" spans="1:30">
      <c r="A7447" s="172"/>
      <c r="B7447" s="178"/>
      <c r="C7447" s="179"/>
      <c r="D7447" s="180"/>
      <c r="E7447" s="125"/>
      <c r="F7447" s="178"/>
      <c r="G7447" s="178"/>
      <c r="H7447" s="178"/>
      <c r="I7447" s="178"/>
      <c r="J7447" s="178"/>
      <c r="K7447" s="178"/>
      <c r="L7447" s="125"/>
      <c r="M7447" s="125"/>
      <c r="N7447" s="182"/>
      <c r="O7447" s="177"/>
      <c r="P7447" s="176"/>
      <c r="Q7447" s="176"/>
      <c r="R7447" s="176"/>
      <c r="S7447" s="176"/>
      <c r="T7447" s="190"/>
      <c r="U7447" s="191"/>
      <c r="V7447" s="191">
        <f>+Table1[[#This Row],[SUBTOTAL]]+Table1[[#This Row],[IVA]]-Table1[[#This Row],[RET IVA]]-Table1[[#This Row],[RET ISR]]</f>
        <v>0</v>
      </c>
      <c r="W7447" s="185"/>
      <c r="X7447" s="186"/>
      <c r="Y7447" s="187"/>
      <c r="Z7447" s="204">
        <f>+Table1[[#This Row],[CONCEPTO]]+Table1[[#This Row],[TIPO2]]-Table1[[#This Row],[IVA]]-Table1[[#This Row],[OTROS IMPUESTOS]]-Table1[[#This Row],[RET IVA]]</f>
        <v>0</v>
      </c>
      <c r="AB7447" t="str">
        <f>IF(Table1[[#This Row],[TIPO2]]="costo", VLOOKUP(Table1[[#This Row],[PARTIDA PRESUPUESTAL]],'Cost Report'!G:G,1,0),"Balance")</f>
        <v>Balance</v>
      </c>
      <c r="AD7447" s="159">
        <f>+Table1[[#This Row],[SUBTOTAL]]+Table1[[#This Row],[IVA]]-Table1[[#This Row],[RET IVA]]-Table1[[#This Row],[RET ISR]]-Table1[[#This Row],[TOTAL]]</f>
        <v>0</v>
      </c>
    </row>
    <row r="7448" spans="1:30">
      <c r="A7448" s="172"/>
      <c r="B7448" s="178"/>
      <c r="C7448" s="179"/>
      <c r="D7448" s="180"/>
      <c r="E7448" s="125"/>
      <c r="F7448" s="178"/>
      <c r="G7448" s="178"/>
      <c r="H7448" s="178"/>
      <c r="I7448" s="178"/>
      <c r="J7448" s="178"/>
      <c r="K7448" s="178"/>
      <c r="L7448" s="125"/>
      <c r="M7448" s="125"/>
      <c r="N7448" s="182"/>
      <c r="O7448" s="177"/>
      <c r="P7448" s="176"/>
      <c r="Q7448" s="176"/>
      <c r="R7448" s="176"/>
      <c r="S7448" s="176"/>
      <c r="T7448" s="190"/>
      <c r="U7448" s="191"/>
      <c r="V7448" s="191">
        <f>+Table1[[#This Row],[SUBTOTAL]]+Table1[[#This Row],[IVA]]-Table1[[#This Row],[RET IVA]]-Table1[[#This Row],[RET ISR]]</f>
        <v>0</v>
      </c>
      <c r="W7448" s="185"/>
      <c r="X7448" s="186"/>
      <c r="Y7448" s="187"/>
      <c r="Z7448" s="204">
        <f>+Table1[[#This Row],[CONCEPTO]]+Table1[[#This Row],[TIPO2]]-Table1[[#This Row],[IVA]]-Table1[[#This Row],[OTROS IMPUESTOS]]-Table1[[#This Row],[RET IVA]]</f>
        <v>0</v>
      </c>
      <c r="AB7448" t="str">
        <f>IF(Table1[[#This Row],[TIPO2]]="costo", VLOOKUP(Table1[[#This Row],[PARTIDA PRESUPUESTAL]],'Cost Report'!G:G,1,0),"Balance")</f>
        <v>Balance</v>
      </c>
      <c r="AD7448" s="159">
        <f>+Table1[[#This Row],[SUBTOTAL]]+Table1[[#This Row],[IVA]]-Table1[[#This Row],[RET IVA]]-Table1[[#This Row],[RET ISR]]-Table1[[#This Row],[TOTAL]]</f>
        <v>0</v>
      </c>
    </row>
    <row r="7449" spans="1:30">
      <c r="A7449" s="172"/>
      <c r="B7449" s="178"/>
      <c r="C7449" s="179"/>
      <c r="D7449" s="180"/>
      <c r="E7449" s="125"/>
      <c r="F7449" s="178"/>
      <c r="G7449" s="178"/>
      <c r="H7449" s="178"/>
      <c r="I7449" s="178"/>
      <c r="J7449" s="178"/>
      <c r="K7449" s="178"/>
      <c r="L7449" s="125"/>
      <c r="M7449" s="125"/>
      <c r="N7449" s="182"/>
      <c r="O7449" s="177"/>
      <c r="P7449" s="176"/>
      <c r="Q7449" s="176"/>
      <c r="R7449" s="176"/>
      <c r="S7449" s="176"/>
      <c r="T7449" s="190"/>
      <c r="U7449" s="191"/>
      <c r="V7449" s="191">
        <f>+Table1[[#This Row],[SUBTOTAL]]+Table1[[#This Row],[IVA]]-Table1[[#This Row],[RET IVA]]-Table1[[#This Row],[RET ISR]]</f>
        <v>0</v>
      </c>
      <c r="W7449" s="185"/>
      <c r="X7449" s="186"/>
      <c r="Y7449" s="187"/>
      <c r="Z7449" s="204">
        <f>+Table1[[#This Row],[CONCEPTO]]+Table1[[#This Row],[TIPO2]]-Table1[[#This Row],[IVA]]-Table1[[#This Row],[OTROS IMPUESTOS]]-Table1[[#This Row],[RET IVA]]</f>
        <v>0</v>
      </c>
      <c r="AB7449" t="str">
        <f>IF(Table1[[#This Row],[TIPO2]]="costo", VLOOKUP(Table1[[#This Row],[PARTIDA PRESUPUESTAL]],'Cost Report'!G:G,1,0),"Balance")</f>
        <v>Balance</v>
      </c>
      <c r="AD7449" s="159">
        <f>+Table1[[#This Row],[SUBTOTAL]]+Table1[[#This Row],[IVA]]-Table1[[#This Row],[RET IVA]]-Table1[[#This Row],[RET ISR]]-Table1[[#This Row],[TOTAL]]</f>
        <v>0</v>
      </c>
    </row>
    <row r="7450" spans="1:30">
      <c r="A7450" s="172"/>
      <c r="B7450" s="178"/>
      <c r="C7450" s="179"/>
      <c r="D7450" s="180"/>
      <c r="E7450" s="125"/>
      <c r="F7450" s="178"/>
      <c r="G7450" s="178"/>
      <c r="H7450" s="178"/>
      <c r="I7450" s="178"/>
      <c r="J7450" s="178"/>
      <c r="K7450" s="178"/>
      <c r="L7450" s="125"/>
      <c r="M7450" s="125"/>
      <c r="N7450" s="182"/>
      <c r="O7450" s="177"/>
      <c r="P7450" s="176"/>
      <c r="Q7450" s="176"/>
      <c r="R7450" s="176"/>
      <c r="S7450" s="176"/>
      <c r="T7450" s="190"/>
      <c r="U7450" s="191"/>
      <c r="V7450" s="191">
        <f>+Table1[[#This Row],[SUBTOTAL]]+Table1[[#This Row],[IVA]]-Table1[[#This Row],[RET IVA]]-Table1[[#This Row],[RET ISR]]</f>
        <v>0</v>
      </c>
      <c r="W7450" s="185"/>
      <c r="X7450" s="186"/>
      <c r="Y7450" s="187"/>
      <c r="Z7450" s="204">
        <f>+Table1[[#This Row],[CONCEPTO]]+Table1[[#This Row],[TIPO2]]-Table1[[#This Row],[IVA]]-Table1[[#This Row],[OTROS IMPUESTOS]]-Table1[[#This Row],[RET IVA]]</f>
        <v>0</v>
      </c>
      <c r="AB7450" t="str">
        <f>IF(Table1[[#This Row],[TIPO2]]="costo", VLOOKUP(Table1[[#This Row],[PARTIDA PRESUPUESTAL]],'Cost Report'!G:G,1,0),"Balance")</f>
        <v>Balance</v>
      </c>
      <c r="AD7450" s="159">
        <f>+Table1[[#This Row],[SUBTOTAL]]+Table1[[#This Row],[IVA]]-Table1[[#This Row],[RET IVA]]-Table1[[#This Row],[RET ISR]]-Table1[[#This Row],[TOTAL]]</f>
        <v>0</v>
      </c>
    </row>
    <row r="7451" spans="1:30">
      <c r="A7451" s="172"/>
      <c r="B7451" s="178"/>
      <c r="C7451" s="179"/>
      <c r="D7451" s="180"/>
      <c r="E7451" s="125"/>
      <c r="F7451" s="178"/>
      <c r="G7451" s="178"/>
      <c r="H7451" s="178"/>
      <c r="I7451" s="178"/>
      <c r="J7451" s="178"/>
      <c r="K7451" s="178"/>
      <c r="L7451" s="125"/>
      <c r="M7451" s="125"/>
      <c r="N7451" s="182"/>
      <c r="O7451" s="177"/>
      <c r="P7451" s="176"/>
      <c r="Q7451" s="176"/>
      <c r="R7451" s="176"/>
      <c r="S7451" s="176"/>
      <c r="T7451" s="190"/>
      <c r="U7451" s="191"/>
      <c r="V7451" s="191">
        <f>+Table1[[#This Row],[SUBTOTAL]]+Table1[[#This Row],[IVA]]-Table1[[#This Row],[RET IVA]]-Table1[[#This Row],[RET ISR]]</f>
        <v>0</v>
      </c>
      <c r="W7451" s="185"/>
      <c r="X7451" s="186"/>
      <c r="Y7451" s="187"/>
      <c r="Z7451" s="204">
        <f>+Table1[[#This Row],[CONCEPTO]]+Table1[[#This Row],[TIPO2]]-Table1[[#This Row],[IVA]]-Table1[[#This Row],[OTROS IMPUESTOS]]-Table1[[#This Row],[RET IVA]]</f>
        <v>0</v>
      </c>
      <c r="AB7451" t="str">
        <f>IF(Table1[[#This Row],[TIPO2]]="costo", VLOOKUP(Table1[[#This Row],[PARTIDA PRESUPUESTAL]],'Cost Report'!G:G,1,0),"Balance")</f>
        <v>Balance</v>
      </c>
      <c r="AD7451" s="159">
        <f>+Table1[[#This Row],[SUBTOTAL]]+Table1[[#This Row],[IVA]]-Table1[[#This Row],[RET IVA]]-Table1[[#This Row],[RET ISR]]-Table1[[#This Row],[TOTAL]]</f>
        <v>0</v>
      </c>
    </row>
    <row r="7452" spans="1:30">
      <c r="A7452" s="172"/>
      <c r="B7452" s="178"/>
      <c r="C7452" s="179"/>
      <c r="D7452" s="180"/>
      <c r="E7452" s="125"/>
      <c r="F7452" s="178"/>
      <c r="G7452" s="178"/>
      <c r="H7452" s="178"/>
      <c r="I7452" s="178"/>
      <c r="J7452" s="178"/>
      <c r="K7452" s="178"/>
      <c r="L7452" s="125"/>
      <c r="M7452" s="125"/>
      <c r="N7452" s="182"/>
      <c r="O7452" s="177"/>
      <c r="P7452" s="176"/>
      <c r="Q7452" s="176"/>
      <c r="R7452" s="176"/>
      <c r="S7452" s="176"/>
      <c r="T7452" s="190"/>
      <c r="U7452" s="191"/>
      <c r="V7452" s="191">
        <f>+Table1[[#This Row],[SUBTOTAL]]+Table1[[#This Row],[IVA]]-Table1[[#This Row],[RET IVA]]-Table1[[#This Row],[RET ISR]]</f>
        <v>0</v>
      </c>
      <c r="W7452" s="185"/>
      <c r="X7452" s="186"/>
      <c r="Y7452" s="187"/>
      <c r="Z7452" s="204">
        <f>+Table1[[#This Row],[CONCEPTO]]+Table1[[#This Row],[TIPO2]]-Table1[[#This Row],[IVA]]-Table1[[#This Row],[OTROS IMPUESTOS]]-Table1[[#This Row],[RET IVA]]</f>
        <v>0</v>
      </c>
      <c r="AB7452" t="str">
        <f>IF(Table1[[#This Row],[TIPO2]]="costo", VLOOKUP(Table1[[#This Row],[PARTIDA PRESUPUESTAL]],'Cost Report'!G:G,1,0),"Balance")</f>
        <v>Balance</v>
      </c>
      <c r="AD7452" s="159">
        <f>+Table1[[#This Row],[SUBTOTAL]]+Table1[[#This Row],[IVA]]-Table1[[#This Row],[RET IVA]]-Table1[[#This Row],[RET ISR]]-Table1[[#This Row],[TOTAL]]</f>
        <v>0</v>
      </c>
    </row>
    <row r="7453" spans="1:30">
      <c r="A7453" s="172"/>
      <c r="B7453" s="178"/>
      <c r="C7453" s="179"/>
      <c r="D7453" s="180"/>
      <c r="E7453" s="125"/>
      <c r="F7453" s="178"/>
      <c r="G7453" s="178"/>
      <c r="H7453" s="178"/>
      <c r="I7453" s="178"/>
      <c r="J7453" s="178"/>
      <c r="K7453" s="178"/>
      <c r="L7453" s="125"/>
      <c r="M7453" s="125"/>
      <c r="N7453" s="182"/>
      <c r="O7453" s="177"/>
      <c r="P7453" s="176"/>
      <c r="Q7453" s="176"/>
      <c r="R7453" s="176"/>
      <c r="S7453" s="176"/>
      <c r="T7453" s="190"/>
      <c r="U7453" s="191"/>
      <c r="V7453" s="191">
        <f>+Table1[[#This Row],[SUBTOTAL]]+Table1[[#This Row],[IVA]]-Table1[[#This Row],[RET IVA]]-Table1[[#This Row],[RET ISR]]</f>
        <v>0</v>
      </c>
      <c r="W7453" s="185"/>
      <c r="X7453" s="186"/>
      <c r="Y7453" s="187"/>
      <c r="Z7453" s="204">
        <f>+Table1[[#This Row],[CONCEPTO]]+Table1[[#This Row],[TIPO2]]-Table1[[#This Row],[IVA]]-Table1[[#This Row],[OTROS IMPUESTOS]]-Table1[[#This Row],[RET IVA]]</f>
        <v>0</v>
      </c>
      <c r="AB7453" t="str">
        <f>IF(Table1[[#This Row],[TIPO2]]="costo", VLOOKUP(Table1[[#This Row],[PARTIDA PRESUPUESTAL]],'Cost Report'!G:G,1,0),"Balance")</f>
        <v>Balance</v>
      </c>
      <c r="AD7453" s="159">
        <f>+Table1[[#This Row],[SUBTOTAL]]+Table1[[#This Row],[IVA]]-Table1[[#This Row],[RET IVA]]-Table1[[#This Row],[RET ISR]]-Table1[[#This Row],[TOTAL]]</f>
        <v>0</v>
      </c>
    </row>
    <row r="7454" spans="1:30">
      <c r="A7454" s="172"/>
      <c r="B7454" s="178"/>
      <c r="C7454" s="179"/>
      <c r="D7454" s="180"/>
      <c r="E7454" s="125"/>
      <c r="F7454" s="178"/>
      <c r="G7454" s="178"/>
      <c r="H7454" s="178"/>
      <c r="I7454" s="178"/>
      <c r="J7454" s="178"/>
      <c r="K7454" s="178"/>
      <c r="L7454" s="125"/>
      <c r="M7454" s="125"/>
      <c r="N7454" s="182"/>
      <c r="O7454" s="177"/>
      <c r="P7454" s="176"/>
      <c r="Q7454" s="176"/>
      <c r="R7454" s="176"/>
      <c r="S7454" s="176"/>
      <c r="T7454" s="190"/>
      <c r="U7454" s="191"/>
      <c r="V7454" s="191">
        <f>+Table1[[#This Row],[SUBTOTAL]]+Table1[[#This Row],[IVA]]-Table1[[#This Row],[RET IVA]]-Table1[[#This Row],[RET ISR]]</f>
        <v>0</v>
      </c>
      <c r="W7454" s="185"/>
      <c r="X7454" s="186"/>
      <c r="Y7454" s="187"/>
      <c r="Z7454" s="204">
        <f>+Table1[[#This Row],[CONCEPTO]]+Table1[[#This Row],[TIPO2]]-Table1[[#This Row],[IVA]]-Table1[[#This Row],[OTROS IMPUESTOS]]-Table1[[#This Row],[RET IVA]]</f>
        <v>0</v>
      </c>
      <c r="AB7454" t="str">
        <f>IF(Table1[[#This Row],[TIPO2]]="costo", VLOOKUP(Table1[[#This Row],[PARTIDA PRESUPUESTAL]],'Cost Report'!G:G,1,0),"Balance")</f>
        <v>Balance</v>
      </c>
      <c r="AD7454" s="159">
        <f>+Table1[[#This Row],[SUBTOTAL]]+Table1[[#This Row],[IVA]]-Table1[[#This Row],[RET IVA]]-Table1[[#This Row],[RET ISR]]-Table1[[#This Row],[TOTAL]]</f>
        <v>0</v>
      </c>
    </row>
    <row r="7455" spans="1:30">
      <c r="A7455" s="172"/>
      <c r="B7455" s="178"/>
      <c r="C7455" s="179"/>
      <c r="D7455" s="180"/>
      <c r="E7455" s="125"/>
      <c r="F7455" s="178"/>
      <c r="G7455" s="178"/>
      <c r="H7455" s="178"/>
      <c r="I7455" s="178"/>
      <c r="J7455" s="178"/>
      <c r="K7455" s="178"/>
      <c r="L7455" s="125"/>
      <c r="M7455" s="125"/>
      <c r="N7455" s="182"/>
      <c r="O7455" s="177"/>
      <c r="P7455" s="176"/>
      <c r="Q7455" s="176"/>
      <c r="R7455" s="176"/>
      <c r="S7455" s="176"/>
      <c r="T7455" s="190"/>
      <c r="U7455" s="191"/>
      <c r="V7455" s="191">
        <f>+Table1[[#This Row],[SUBTOTAL]]+Table1[[#This Row],[IVA]]-Table1[[#This Row],[RET IVA]]-Table1[[#This Row],[RET ISR]]</f>
        <v>0</v>
      </c>
      <c r="W7455" s="185"/>
      <c r="X7455" s="186"/>
      <c r="Y7455" s="187"/>
      <c r="Z7455" s="204">
        <f>+Table1[[#This Row],[CONCEPTO]]+Table1[[#This Row],[TIPO2]]-Table1[[#This Row],[IVA]]-Table1[[#This Row],[OTROS IMPUESTOS]]-Table1[[#This Row],[RET IVA]]</f>
        <v>0</v>
      </c>
      <c r="AB7455" t="str">
        <f>IF(Table1[[#This Row],[TIPO2]]="costo", VLOOKUP(Table1[[#This Row],[PARTIDA PRESUPUESTAL]],'Cost Report'!G:G,1,0),"Balance")</f>
        <v>Balance</v>
      </c>
      <c r="AD7455" s="159">
        <f>+Table1[[#This Row],[SUBTOTAL]]+Table1[[#This Row],[IVA]]-Table1[[#This Row],[RET IVA]]-Table1[[#This Row],[RET ISR]]-Table1[[#This Row],[TOTAL]]</f>
        <v>0</v>
      </c>
    </row>
    <row r="7456" spans="1:30">
      <c r="A7456" s="172"/>
      <c r="B7456" s="178"/>
      <c r="C7456" s="179"/>
      <c r="D7456" s="180"/>
      <c r="E7456" s="125"/>
      <c r="F7456" s="178"/>
      <c r="G7456" s="178"/>
      <c r="H7456" s="178"/>
      <c r="I7456" s="178"/>
      <c r="J7456" s="178"/>
      <c r="K7456" s="178"/>
      <c r="L7456" s="125"/>
      <c r="M7456" s="125"/>
      <c r="N7456" s="182"/>
      <c r="O7456" s="177"/>
      <c r="P7456" s="176"/>
      <c r="Q7456" s="176"/>
      <c r="R7456" s="176"/>
      <c r="S7456" s="176"/>
      <c r="T7456" s="190"/>
      <c r="U7456" s="191"/>
      <c r="V7456" s="191">
        <f>+Table1[[#This Row],[SUBTOTAL]]+Table1[[#This Row],[IVA]]-Table1[[#This Row],[RET IVA]]-Table1[[#This Row],[RET ISR]]</f>
        <v>0</v>
      </c>
      <c r="W7456" s="185"/>
      <c r="X7456" s="186"/>
      <c r="Y7456" s="187"/>
      <c r="Z7456" s="204">
        <f>+Table1[[#This Row],[CONCEPTO]]+Table1[[#This Row],[TIPO2]]-Table1[[#This Row],[IVA]]-Table1[[#This Row],[OTROS IMPUESTOS]]-Table1[[#This Row],[RET IVA]]</f>
        <v>0</v>
      </c>
      <c r="AB7456" t="str">
        <f>IF(Table1[[#This Row],[TIPO2]]="costo", VLOOKUP(Table1[[#This Row],[PARTIDA PRESUPUESTAL]],'Cost Report'!G:G,1,0),"Balance")</f>
        <v>Balance</v>
      </c>
      <c r="AD7456" s="159">
        <f>+Table1[[#This Row],[SUBTOTAL]]+Table1[[#This Row],[IVA]]-Table1[[#This Row],[RET IVA]]-Table1[[#This Row],[RET ISR]]-Table1[[#This Row],[TOTAL]]</f>
        <v>0</v>
      </c>
    </row>
    <row r="7457" spans="1:30">
      <c r="A7457" s="172"/>
      <c r="B7457" s="178"/>
      <c r="C7457" s="179"/>
      <c r="D7457" s="180"/>
      <c r="E7457" s="125"/>
      <c r="F7457" s="178"/>
      <c r="G7457" s="178"/>
      <c r="H7457" s="178"/>
      <c r="I7457" s="178"/>
      <c r="J7457" s="178"/>
      <c r="K7457" s="178"/>
      <c r="L7457" s="125"/>
      <c r="M7457" s="125"/>
      <c r="N7457" s="182"/>
      <c r="O7457" s="177"/>
      <c r="P7457" s="176"/>
      <c r="Q7457" s="176"/>
      <c r="R7457" s="176"/>
      <c r="S7457" s="176"/>
      <c r="T7457" s="190"/>
      <c r="U7457" s="191"/>
      <c r="V7457" s="191">
        <f>+Table1[[#This Row],[SUBTOTAL]]+Table1[[#This Row],[IVA]]-Table1[[#This Row],[RET IVA]]-Table1[[#This Row],[RET ISR]]</f>
        <v>0</v>
      </c>
      <c r="W7457" s="185"/>
      <c r="X7457" s="186"/>
      <c r="Y7457" s="187"/>
      <c r="Z7457" s="204">
        <f>+Table1[[#This Row],[CONCEPTO]]+Table1[[#This Row],[TIPO2]]-Table1[[#This Row],[IVA]]-Table1[[#This Row],[OTROS IMPUESTOS]]-Table1[[#This Row],[RET IVA]]</f>
        <v>0</v>
      </c>
      <c r="AB7457" t="str">
        <f>IF(Table1[[#This Row],[TIPO2]]="costo", VLOOKUP(Table1[[#This Row],[PARTIDA PRESUPUESTAL]],'Cost Report'!G:G,1,0),"Balance")</f>
        <v>Balance</v>
      </c>
      <c r="AD7457" s="159">
        <f>+Table1[[#This Row],[SUBTOTAL]]+Table1[[#This Row],[IVA]]-Table1[[#This Row],[RET IVA]]-Table1[[#This Row],[RET ISR]]-Table1[[#This Row],[TOTAL]]</f>
        <v>0</v>
      </c>
    </row>
    <row r="7458" spans="1:30">
      <c r="A7458" s="172"/>
      <c r="B7458" s="178"/>
      <c r="C7458" s="179"/>
      <c r="D7458" s="180"/>
      <c r="E7458" s="125"/>
      <c r="F7458" s="178"/>
      <c r="G7458" s="178"/>
      <c r="H7458" s="178"/>
      <c r="I7458" s="178"/>
      <c r="J7458" s="178"/>
      <c r="K7458" s="178"/>
      <c r="L7458" s="125"/>
      <c r="M7458" s="125"/>
      <c r="N7458" s="182"/>
      <c r="O7458" s="177"/>
      <c r="P7458" s="176"/>
      <c r="Q7458" s="176"/>
      <c r="R7458" s="176"/>
      <c r="S7458" s="176"/>
      <c r="T7458" s="190"/>
      <c r="U7458" s="191"/>
      <c r="V7458" s="191">
        <f>+Table1[[#This Row],[SUBTOTAL]]+Table1[[#This Row],[IVA]]-Table1[[#This Row],[RET IVA]]-Table1[[#This Row],[RET ISR]]</f>
        <v>0</v>
      </c>
      <c r="W7458" s="185"/>
      <c r="X7458" s="186"/>
      <c r="Y7458" s="187"/>
      <c r="Z7458" s="204">
        <f>+Table1[[#This Row],[CONCEPTO]]+Table1[[#This Row],[TIPO2]]-Table1[[#This Row],[IVA]]-Table1[[#This Row],[OTROS IMPUESTOS]]-Table1[[#This Row],[RET IVA]]</f>
        <v>0</v>
      </c>
      <c r="AB7458" t="str">
        <f>IF(Table1[[#This Row],[TIPO2]]="costo", VLOOKUP(Table1[[#This Row],[PARTIDA PRESUPUESTAL]],'Cost Report'!G:G,1,0),"Balance")</f>
        <v>Balance</v>
      </c>
      <c r="AD7458" s="159">
        <f>+Table1[[#This Row],[SUBTOTAL]]+Table1[[#This Row],[IVA]]-Table1[[#This Row],[RET IVA]]-Table1[[#This Row],[RET ISR]]-Table1[[#This Row],[TOTAL]]</f>
        <v>0</v>
      </c>
    </row>
    <row r="7459" spans="1:30">
      <c r="A7459" s="172"/>
      <c r="B7459" s="178"/>
      <c r="C7459" s="179"/>
      <c r="D7459" s="180"/>
      <c r="E7459" s="125"/>
      <c r="F7459" s="178"/>
      <c r="G7459" s="178"/>
      <c r="H7459" s="178"/>
      <c r="I7459" s="178"/>
      <c r="J7459" s="178"/>
      <c r="K7459" s="178"/>
      <c r="L7459" s="125"/>
      <c r="M7459" s="125"/>
      <c r="N7459" s="182"/>
      <c r="O7459" s="177"/>
      <c r="P7459" s="176"/>
      <c r="Q7459" s="176"/>
      <c r="R7459" s="176"/>
      <c r="S7459" s="176"/>
      <c r="T7459" s="190"/>
      <c r="U7459" s="191"/>
      <c r="V7459" s="191">
        <f>+Table1[[#This Row],[SUBTOTAL]]+Table1[[#This Row],[IVA]]-Table1[[#This Row],[RET IVA]]-Table1[[#This Row],[RET ISR]]</f>
        <v>0</v>
      </c>
      <c r="W7459" s="185"/>
      <c r="X7459" s="186"/>
      <c r="Y7459" s="187"/>
      <c r="Z7459" s="204">
        <f>+Table1[[#This Row],[CONCEPTO]]+Table1[[#This Row],[TIPO2]]-Table1[[#This Row],[IVA]]-Table1[[#This Row],[OTROS IMPUESTOS]]-Table1[[#This Row],[RET IVA]]</f>
        <v>0</v>
      </c>
      <c r="AB7459" t="str">
        <f>IF(Table1[[#This Row],[TIPO2]]="costo", VLOOKUP(Table1[[#This Row],[PARTIDA PRESUPUESTAL]],'Cost Report'!G:G,1,0),"Balance")</f>
        <v>Balance</v>
      </c>
      <c r="AD7459" s="159">
        <f>+Table1[[#This Row],[SUBTOTAL]]+Table1[[#This Row],[IVA]]-Table1[[#This Row],[RET IVA]]-Table1[[#This Row],[RET ISR]]-Table1[[#This Row],[TOTAL]]</f>
        <v>0</v>
      </c>
    </row>
    <row r="7460" spans="1:30">
      <c r="A7460" s="172"/>
      <c r="B7460" s="178"/>
      <c r="C7460" s="179"/>
      <c r="D7460" s="180"/>
      <c r="E7460" s="125"/>
      <c r="F7460" s="178"/>
      <c r="G7460" s="178"/>
      <c r="H7460" s="178"/>
      <c r="I7460" s="178"/>
      <c r="J7460" s="178"/>
      <c r="K7460" s="178"/>
      <c r="L7460" s="125"/>
      <c r="M7460" s="125"/>
      <c r="N7460" s="182"/>
      <c r="O7460" s="177"/>
      <c r="P7460" s="176"/>
      <c r="Q7460" s="176"/>
      <c r="R7460" s="176"/>
      <c r="S7460" s="176"/>
      <c r="T7460" s="190"/>
      <c r="U7460" s="191"/>
      <c r="V7460" s="191">
        <f>+Table1[[#This Row],[SUBTOTAL]]+Table1[[#This Row],[IVA]]-Table1[[#This Row],[RET IVA]]-Table1[[#This Row],[RET ISR]]</f>
        <v>0</v>
      </c>
      <c r="W7460" s="185"/>
      <c r="X7460" s="186"/>
      <c r="Y7460" s="187"/>
      <c r="Z7460" s="204">
        <f>+Table1[[#This Row],[CONCEPTO]]+Table1[[#This Row],[TIPO2]]-Table1[[#This Row],[IVA]]-Table1[[#This Row],[OTROS IMPUESTOS]]-Table1[[#This Row],[RET IVA]]</f>
        <v>0</v>
      </c>
      <c r="AB7460" t="str">
        <f>IF(Table1[[#This Row],[TIPO2]]="costo", VLOOKUP(Table1[[#This Row],[PARTIDA PRESUPUESTAL]],'Cost Report'!G:G,1,0),"Balance")</f>
        <v>Balance</v>
      </c>
      <c r="AD7460" s="159">
        <f>+Table1[[#This Row],[SUBTOTAL]]+Table1[[#This Row],[IVA]]-Table1[[#This Row],[RET IVA]]-Table1[[#This Row],[RET ISR]]-Table1[[#This Row],[TOTAL]]</f>
        <v>0</v>
      </c>
    </row>
    <row r="7461" spans="1:30">
      <c r="A7461" s="172"/>
      <c r="B7461" s="178"/>
      <c r="C7461" s="179"/>
      <c r="D7461" s="180"/>
      <c r="E7461" s="125"/>
      <c r="F7461" s="178"/>
      <c r="G7461" s="178"/>
      <c r="H7461" s="178"/>
      <c r="I7461" s="178"/>
      <c r="J7461" s="178"/>
      <c r="K7461" s="178"/>
      <c r="L7461" s="125"/>
      <c r="M7461" s="125"/>
      <c r="N7461" s="182"/>
      <c r="O7461" s="177"/>
      <c r="P7461" s="176"/>
      <c r="Q7461" s="176"/>
      <c r="R7461" s="176"/>
      <c r="S7461" s="176"/>
      <c r="T7461" s="190"/>
      <c r="U7461" s="191"/>
      <c r="V7461" s="191">
        <f>+Table1[[#This Row],[SUBTOTAL]]+Table1[[#This Row],[IVA]]-Table1[[#This Row],[RET IVA]]-Table1[[#This Row],[RET ISR]]</f>
        <v>0</v>
      </c>
      <c r="W7461" s="185"/>
      <c r="X7461" s="186"/>
      <c r="Y7461" s="187"/>
      <c r="Z7461" s="204">
        <f>+Table1[[#This Row],[CONCEPTO]]+Table1[[#This Row],[TIPO2]]-Table1[[#This Row],[IVA]]-Table1[[#This Row],[OTROS IMPUESTOS]]-Table1[[#This Row],[RET IVA]]</f>
        <v>0</v>
      </c>
      <c r="AB7461" t="str">
        <f>IF(Table1[[#This Row],[TIPO2]]="costo", VLOOKUP(Table1[[#This Row],[PARTIDA PRESUPUESTAL]],'Cost Report'!G:G,1,0),"Balance")</f>
        <v>Balance</v>
      </c>
      <c r="AD7461" s="159">
        <f>+Table1[[#This Row],[SUBTOTAL]]+Table1[[#This Row],[IVA]]-Table1[[#This Row],[RET IVA]]-Table1[[#This Row],[RET ISR]]-Table1[[#This Row],[TOTAL]]</f>
        <v>0</v>
      </c>
    </row>
    <row r="7462" spans="1:30">
      <c r="A7462" s="172"/>
      <c r="B7462" s="178"/>
      <c r="C7462" s="179"/>
      <c r="D7462" s="180"/>
      <c r="E7462" s="125"/>
      <c r="F7462" s="178"/>
      <c r="G7462" s="178"/>
      <c r="H7462" s="178"/>
      <c r="I7462" s="178"/>
      <c r="J7462" s="178"/>
      <c r="K7462" s="178"/>
      <c r="L7462" s="125"/>
      <c r="M7462" s="125"/>
      <c r="N7462" s="182"/>
      <c r="O7462" s="177"/>
      <c r="P7462" s="176"/>
      <c r="Q7462" s="176"/>
      <c r="R7462" s="176"/>
      <c r="S7462" s="176"/>
      <c r="T7462" s="190"/>
      <c r="U7462" s="191"/>
      <c r="V7462" s="191">
        <f>+Table1[[#This Row],[SUBTOTAL]]+Table1[[#This Row],[IVA]]-Table1[[#This Row],[RET IVA]]-Table1[[#This Row],[RET ISR]]</f>
        <v>0</v>
      </c>
      <c r="W7462" s="185"/>
      <c r="X7462" s="186"/>
      <c r="Y7462" s="187"/>
      <c r="Z7462" s="204">
        <f>+Table1[[#This Row],[CONCEPTO]]+Table1[[#This Row],[TIPO2]]-Table1[[#This Row],[IVA]]-Table1[[#This Row],[OTROS IMPUESTOS]]-Table1[[#This Row],[RET IVA]]</f>
        <v>0</v>
      </c>
      <c r="AB7462" t="str">
        <f>IF(Table1[[#This Row],[TIPO2]]="costo", VLOOKUP(Table1[[#This Row],[PARTIDA PRESUPUESTAL]],'Cost Report'!G:G,1,0),"Balance")</f>
        <v>Balance</v>
      </c>
      <c r="AD7462" s="159">
        <f>+Table1[[#This Row],[SUBTOTAL]]+Table1[[#This Row],[IVA]]-Table1[[#This Row],[RET IVA]]-Table1[[#This Row],[RET ISR]]-Table1[[#This Row],[TOTAL]]</f>
        <v>0</v>
      </c>
    </row>
    <row r="7463" spans="1:30">
      <c r="A7463" s="172"/>
      <c r="B7463" s="178"/>
      <c r="C7463" s="179"/>
      <c r="D7463" s="180"/>
      <c r="E7463" s="125"/>
      <c r="F7463" s="178"/>
      <c r="G7463" s="178"/>
      <c r="H7463" s="178"/>
      <c r="I7463" s="178"/>
      <c r="J7463" s="178"/>
      <c r="K7463" s="178"/>
      <c r="L7463" s="125"/>
      <c r="M7463" s="125"/>
      <c r="N7463" s="182"/>
      <c r="O7463" s="177"/>
      <c r="P7463" s="176"/>
      <c r="Q7463" s="176"/>
      <c r="R7463" s="176"/>
      <c r="S7463" s="176"/>
      <c r="T7463" s="190"/>
      <c r="U7463" s="191"/>
      <c r="V7463" s="191">
        <f>+Table1[[#This Row],[SUBTOTAL]]+Table1[[#This Row],[IVA]]-Table1[[#This Row],[RET IVA]]-Table1[[#This Row],[RET ISR]]</f>
        <v>0</v>
      </c>
      <c r="W7463" s="185"/>
      <c r="X7463" s="186"/>
      <c r="Y7463" s="187"/>
      <c r="Z7463" s="204">
        <f>+Table1[[#This Row],[CONCEPTO]]+Table1[[#This Row],[TIPO2]]-Table1[[#This Row],[IVA]]-Table1[[#This Row],[OTROS IMPUESTOS]]-Table1[[#This Row],[RET IVA]]</f>
        <v>0</v>
      </c>
      <c r="AB7463" t="str">
        <f>IF(Table1[[#This Row],[TIPO2]]="costo", VLOOKUP(Table1[[#This Row],[PARTIDA PRESUPUESTAL]],'Cost Report'!G:G,1,0),"Balance")</f>
        <v>Balance</v>
      </c>
      <c r="AD7463" s="159">
        <f>+Table1[[#This Row],[SUBTOTAL]]+Table1[[#This Row],[IVA]]-Table1[[#This Row],[RET IVA]]-Table1[[#This Row],[RET ISR]]-Table1[[#This Row],[TOTAL]]</f>
        <v>0</v>
      </c>
    </row>
    <row r="7464" spans="1:30">
      <c r="A7464" s="172"/>
      <c r="B7464" s="178"/>
      <c r="C7464" s="179"/>
      <c r="D7464" s="180"/>
      <c r="E7464" s="125"/>
      <c r="F7464" s="178"/>
      <c r="G7464" s="178"/>
      <c r="H7464" s="178"/>
      <c r="I7464" s="178"/>
      <c r="J7464" s="178"/>
      <c r="K7464" s="178"/>
      <c r="L7464" s="125"/>
      <c r="M7464" s="125"/>
      <c r="N7464" s="182"/>
      <c r="O7464" s="177"/>
      <c r="P7464" s="176"/>
      <c r="Q7464" s="176"/>
      <c r="R7464" s="176"/>
      <c r="S7464" s="176"/>
      <c r="T7464" s="190"/>
      <c r="U7464" s="191"/>
      <c r="V7464" s="191">
        <f>+Table1[[#This Row],[SUBTOTAL]]+Table1[[#This Row],[IVA]]-Table1[[#This Row],[RET IVA]]-Table1[[#This Row],[RET ISR]]</f>
        <v>0</v>
      </c>
      <c r="W7464" s="185"/>
      <c r="X7464" s="186"/>
      <c r="Y7464" s="187"/>
      <c r="Z7464" s="204">
        <f>+Table1[[#This Row],[CONCEPTO]]+Table1[[#This Row],[TIPO2]]-Table1[[#This Row],[IVA]]-Table1[[#This Row],[OTROS IMPUESTOS]]-Table1[[#This Row],[RET IVA]]</f>
        <v>0</v>
      </c>
      <c r="AB7464" t="str">
        <f>IF(Table1[[#This Row],[TIPO2]]="costo", VLOOKUP(Table1[[#This Row],[PARTIDA PRESUPUESTAL]],'Cost Report'!G:G,1,0),"Balance")</f>
        <v>Balance</v>
      </c>
      <c r="AD7464" s="159">
        <f>+Table1[[#This Row],[SUBTOTAL]]+Table1[[#This Row],[IVA]]-Table1[[#This Row],[RET IVA]]-Table1[[#This Row],[RET ISR]]-Table1[[#This Row],[TOTAL]]</f>
        <v>0</v>
      </c>
    </row>
    <row r="7465" spans="1:30">
      <c r="A7465" s="172"/>
      <c r="B7465" s="178"/>
      <c r="C7465" s="179"/>
      <c r="D7465" s="180"/>
      <c r="E7465" s="125"/>
      <c r="F7465" s="178"/>
      <c r="G7465" s="178"/>
      <c r="H7465" s="178"/>
      <c r="I7465" s="178"/>
      <c r="J7465" s="178"/>
      <c r="K7465" s="178"/>
      <c r="L7465" s="125"/>
      <c r="M7465" s="125"/>
      <c r="N7465" s="182"/>
      <c r="O7465" s="177"/>
      <c r="P7465" s="176"/>
      <c r="Q7465" s="176"/>
      <c r="R7465" s="176"/>
      <c r="S7465" s="176"/>
      <c r="T7465" s="190"/>
      <c r="U7465" s="191"/>
      <c r="V7465" s="191">
        <f>+Table1[[#This Row],[SUBTOTAL]]+Table1[[#This Row],[IVA]]-Table1[[#This Row],[RET IVA]]-Table1[[#This Row],[RET ISR]]</f>
        <v>0</v>
      </c>
      <c r="W7465" s="185"/>
      <c r="X7465" s="186"/>
      <c r="Y7465" s="187"/>
      <c r="Z7465" s="204">
        <f>+Table1[[#This Row],[CONCEPTO]]+Table1[[#This Row],[TIPO2]]-Table1[[#This Row],[IVA]]-Table1[[#This Row],[OTROS IMPUESTOS]]-Table1[[#This Row],[RET IVA]]</f>
        <v>0</v>
      </c>
      <c r="AB7465" t="str">
        <f>IF(Table1[[#This Row],[TIPO2]]="costo", VLOOKUP(Table1[[#This Row],[PARTIDA PRESUPUESTAL]],'Cost Report'!G:G,1,0),"Balance")</f>
        <v>Balance</v>
      </c>
      <c r="AD7465" s="159">
        <f>+Table1[[#This Row],[SUBTOTAL]]+Table1[[#This Row],[IVA]]-Table1[[#This Row],[RET IVA]]-Table1[[#This Row],[RET ISR]]-Table1[[#This Row],[TOTAL]]</f>
        <v>0</v>
      </c>
    </row>
    <row r="7466" spans="1:30">
      <c r="A7466" s="172"/>
      <c r="B7466" s="178"/>
      <c r="C7466" s="179"/>
      <c r="D7466" s="180"/>
      <c r="E7466" s="125"/>
      <c r="F7466" s="178"/>
      <c r="G7466" s="178"/>
      <c r="H7466" s="178"/>
      <c r="I7466" s="178"/>
      <c r="J7466" s="178"/>
      <c r="K7466" s="178"/>
      <c r="L7466" s="125"/>
      <c r="M7466" s="125"/>
      <c r="N7466" s="182"/>
      <c r="O7466" s="177"/>
      <c r="P7466" s="176"/>
      <c r="Q7466" s="176"/>
      <c r="R7466" s="176"/>
      <c r="S7466" s="176"/>
      <c r="T7466" s="190"/>
      <c r="U7466" s="191"/>
      <c r="V7466" s="191">
        <f>+Table1[[#This Row],[SUBTOTAL]]+Table1[[#This Row],[IVA]]-Table1[[#This Row],[RET IVA]]-Table1[[#This Row],[RET ISR]]</f>
        <v>0</v>
      </c>
      <c r="W7466" s="185"/>
      <c r="X7466" s="186"/>
      <c r="Y7466" s="187"/>
      <c r="Z7466" s="204">
        <f>+Table1[[#This Row],[CONCEPTO]]+Table1[[#This Row],[TIPO2]]-Table1[[#This Row],[IVA]]-Table1[[#This Row],[OTROS IMPUESTOS]]-Table1[[#This Row],[RET IVA]]</f>
        <v>0</v>
      </c>
      <c r="AB7466" t="str">
        <f>IF(Table1[[#This Row],[TIPO2]]="costo", VLOOKUP(Table1[[#This Row],[PARTIDA PRESUPUESTAL]],'Cost Report'!G:G,1,0),"Balance")</f>
        <v>Balance</v>
      </c>
      <c r="AD7466" s="159">
        <f>+Table1[[#This Row],[SUBTOTAL]]+Table1[[#This Row],[IVA]]-Table1[[#This Row],[RET IVA]]-Table1[[#This Row],[RET ISR]]-Table1[[#This Row],[TOTAL]]</f>
        <v>0</v>
      </c>
    </row>
    <row r="7467" spans="1:30">
      <c r="A7467" s="172"/>
      <c r="B7467" s="178"/>
      <c r="C7467" s="179"/>
      <c r="D7467" s="180"/>
      <c r="E7467" s="125"/>
      <c r="F7467" s="178"/>
      <c r="G7467" s="178"/>
      <c r="H7467" s="178"/>
      <c r="I7467" s="178"/>
      <c r="J7467" s="178"/>
      <c r="K7467" s="178"/>
      <c r="L7467" s="125"/>
      <c r="M7467" s="125"/>
      <c r="N7467" s="182"/>
      <c r="O7467" s="177"/>
      <c r="P7467" s="176"/>
      <c r="Q7467" s="176"/>
      <c r="R7467" s="176"/>
      <c r="S7467" s="176"/>
      <c r="T7467" s="190"/>
      <c r="U7467" s="191"/>
      <c r="V7467" s="191">
        <f>+Table1[[#This Row],[SUBTOTAL]]+Table1[[#This Row],[IVA]]-Table1[[#This Row],[RET IVA]]-Table1[[#This Row],[RET ISR]]</f>
        <v>0</v>
      </c>
      <c r="W7467" s="185"/>
      <c r="X7467" s="186"/>
      <c r="Y7467" s="187"/>
      <c r="Z7467" s="204">
        <f>+Table1[[#This Row],[CONCEPTO]]+Table1[[#This Row],[TIPO2]]-Table1[[#This Row],[IVA]]-Table1[[#This Row],[OTROS IMPUESTOS]]-Table1[[#This Row],[RET IVA]]</f>
        <v>0</v>
      </c>
      <c r="AB7467" t="str">
        <f>IF(Table1[[#This Row],[TIPO2]]="costo", VLOOKUP(Table1[[#This Row],[PARTIDA PRESUPUESTAL]],'Cost Report'!G:G,1,0),"Balance")</f>
        <v>Balance</v>
      </c>
      <c r="AD7467" s="159">
        <f>+Table1[[#This Row],[SUBTOTAL]]+Table1[[#This Row],[IVA]]-Table1[[#This Row],[RET IVA]]-Table1[[#This Row],[RET ISR]]-Table1[[#This Row],[TOTAL]]</f>
        <v>0</v>
      </c>
    </row>
    <row r="7468" spans="1:30">
      <c r="A7468" s="172"/>
      <c r="B7468" s="178"/>
      <c r="C7468" s="179"/>
      <c r="D7468" s="180"/>
      <c r="E7468" s="125"/>
      <c r="F7468" s="178"/>
      <c r="G7468" s="178"/>
      <c r="H7468" s="178"/>
      <c r="I7468" s="178"/>
      <c r="J7468" s="178"/>
      <c r="K7468" s="178"/>
      <c r="L7468" s="125"/>
      <c r="M7468" s="125"/>
      <c r="N7468" s="182"/>
      <c r="O7468" s="177"/>
      <c r="P7468" s="176"/>
      <c r="Q7468" s="176"/>
      <c r="R7468" s="176"/>
      <c r="S7468" s="176"/>
      <c r="T7468" s="190"/>
      <c r="U7468" s="191"/>
      <c r="V7468" s="191">
        <f>+Table1[[#This Row],[SUBTOTAL]]+Table1[[#This Row],[IVA]]-Table1[[#This Row],[RET IVA]]-Table1[[#This Row],[RET ISR]]</f>
        <v>0</v>
      </c>
      <c r="W7468" s="185"/>
      <c r="X7468" s="186"/>
      <c r="Y7468" s="187"/>
      <c r="Z7468" s="204">
        <f>+Table1[[#This Row],[CONCEPTO]]+Table1[[#This Row],[TIPO2]]-Table1[[#This Row],[IVA]]-Table1[[#This Row],[OTROS IMPUESTOS]]-Table1[[#This Row],[RET IVA]]</f>
        <v>0</v>
      </c>
      <c r="AB7468" t="str">
        <f>IF(Table1[[#This Row],[TIPO2]]="costo", VLOOKUP(Table1[[#This Row],[PARTIDA PRESUPUESTAL]],'Cost Report'!G:G,1,0),"Balance")</f>
        <v>Balance</v>
      </c>
      <c r="AD7468" s="159">
        <f>+Table1[[#This Row],[SUBTOTAL]]+Table1[[#This Row],[IVA]]-Table1[[#This Row],[RET IVA]]-Table1[[#This Row],[RET ISR]]-Table1[[#This Row],[TOTAL]]</f>
        <v>0</v>
      </c>
    </row>
    <row r="7469" spans="1:30">
      <c r="A7469" s="172"/>
      <c r="B7469" s="178"/>
      <c r="C7469" s="179"/>
      <c r="D7469" s="180"/>
      <c r="E7469" s="125"/>
      <c r="F7469" s="178"/>
      <c r="G7469" s="178"/>
      <c r="H7469" s="178"/>
      <c r="I7469" s="178"/>
      <c r="J7469" s="178"/>
      <c r="K7469" s="178"/>
      <c r="L7469" s="125"/>
      <c r="M7469" s="125"/>
      <c r="N7469" s="182"/>
      <c r="O7469" s="177"/>
      <c r="P7469" s="176"/>
      <c r="Q7469" s="176"/>
      <c r="R7469" s="176"/>
      <c r="S7469" s="176"/>
      <c r="T7469" s="190"/>
      <c r="U7469" s="191"/>
      <c r="V7469" s="191">
        <f>+Table1[[#This Row],[SUBTOTAL]]+Table1[[#This Row],[IVA]]-Table1[[#This Row],[RET IVA]]-Table1[[#This Row],[RET ISR]]</f>
        <v>0</v>
      </c>
      <c r="W7469" s="185"/>
      <c r="X7469" s="186"/>
      <c r="Y7469" s="187"/>
      <c r="Z7469" s="204">
        <f>+Table1[[#This Row],[CONCEPTO]]+Table1[[#This Row],[TIPO2]]-Table1[[#This Row],[IVA]]-Table1[[#This Row],[OTROS IMPUESTOS]]-Table1[[#This Row],[RET IVA]]</f>
        <v>0</v>
      </c>
      <c r="AB7469" t="str">
        <f>IF(Table1[[#This Row],[TIPO2]]="costo", VLOOKUP(Table1[[#This Row],[PARTIDA PRESUPUESTAL]],'Cost Report'!G:G,1,0),"Balance")</f>
        <v>Balance</v>
      </c>
      <c r="AD7469" s="159">
        <f>+Table1[[#This Row],[SUBTOTAL]]+Table1[[#This Row],[IVA]]-Table1[[#This Row],[RET IVA]]-Table1[[#This Row],[RET ISR]]-Table1[[#This Row],[TOTAL]]</f>
        <v>0</v>
      </c>
    </row>
    <row r="7470" spans="1:30">
      <c r="A7470" s="172"/>
      <c r="B7470" s="178"/>
      <c r="C7470" s="179"/>
      <c r="D7470" s="180"/>
      <c r="E7470" s="125"/>
      <c r="F7470" s="178"/>
      <c r="G7470" s="178"/>
      <c r="H7470" s="178"/>
      <c r="I7470" s="178"/>
      <c r="J7470" s="178"/>
      <c r="K7470" s="178"/>
      <c r="L7470" s="125"/>
      <c r="M7470" s="125"/>
      <c r="N7470" s="182"/>
      <c r="O7470" s="177"/>
      <c r="P7470" s="176"/>
      <c r="Q7470" s="176"/>
      <c r="R7470" s="176"/>
      <c r="S7470" s="176"/>
      <c r="T7470" s="190"/>
      <c r="U7470" s="191"/>
      <c r="V7470" s="191">
        <f>+Table1[[#This Row],[SUBTOTAL]]+Table1[[#This Row],[IVA]]-Table1[[#This Row],[RET IVA]]-Table1[[#This Row],[RET ISR]]</f>
        <v>0</v>
      </c>
      <c r="W7470" s="185"/>
      <c r="X7470" s="186"/>
      <c r="Y7470" s="187"/>
      <c r="Z7470" s="204">
        <f>+Table1[[#This Row],[CONCEPTO]]+Table1[[#This Row],[TIPO2]]-Table1[[#This Row],[IVA]]-Table1[[#This Row],[OTROS IMPUESTOS]]-Table1[[#This Row],[RET IVA]]</f>
        <v>0</v>
      </c>
      <c r="AB7470" t="str">
        <f>IF(Table1[[#This Row],[TIPO2]]="costo", VLOOKUP(Table1[[#This Row],[PARTIDA PRESUPUESTAL]],'Cost Report'!G:G,1,0),"Balance")</f>
        <v>Balance</v>
      </c>
      <c r="AD7470" s="159">
        <f>+Table1[[#This Row],[SUBTOTAL]]+Table1[[#This Row],[IVA]]-Table1[[#This Row],[RET IVA]]-Table1[[#This Row],[RET ISR]]-Table1[[#This Row],[TOTAL]]</f>
        <v>0</v>
      </c>
    </row>
    <row r="7471" spans="1:30">
      <c r="A7471" s="172"/>
      <c r="B7471" s="178"/>
      <c r="C7471" s="179"/>
      <c r="D7471" s="180"/>
      <c r="E7471" s="125"/>
      <c r="F7471" s="178"/>
      <c r="G7471" s="178"/>
      <c r="H7471" s="178"/>
      <c r="I7471" s="178"/>
      <c r="J7471" s="178"/>
      <c r="K7471" s="178"/>
      <c r="L7471" s="125"/>
      <c r="M7471" s="125"/>
      <c r="N7471" s="182"/>
      <c r="O7471" s="177"/>
      <c r="P7471" s="176"/>
      <c r="Q7471" s="176"/>
      <c r="R7471" s="176"/>
      <c r="S7471" s="176"/>
      <c r="T7471" s="190"/>
      <c r="U7471" s="191"/>
      <c r="V7471" s="191">
        <f>+Table1[[#This Row],[SUBTOTAL]]+Table1[[#This Row],[IVA]]-Table1[[#This Row],[RET IVA]]-Table1[[#This Row],[RET ISR]]</f>
        <v>0</v>
      </c>
      <c r="W7471" s="185"/>
      <c r="X7471" s="186"/>
      <c r="Y7471" s="187"/>
      <c r="Z7471" s="204">
        <f>+Table1[[#This Row],[CONCEPTO]]+Table1[[#This Row],[TIPO2]]-Table1[[#This Row],[IVA]]-Table1[[#This Row],[OTROS IMPUESTOS]]-Table1[[#This Row],[RET IVA]]</f>
        <v>0</v>
      </c>
      <c r="AB7471" t="str">
        <f>IF(Table1[[#This Row],[TIPO2]]="costo", VLOOKUP(Table1[[#This Row],[PARTIDA PRESUPUESTAL]],'Cost Report'!G:G,1,0),"Balance")</f>
        <v>Balance</v>
      </c>
      <c r="AD7471" s="159">
        <f>+Table1[[#This Row],[SUBTOTAL]]+Table1[[#This Row],[IVA]]-Table1[[#This Row],[RET IVA]]-Table1[[#This Row],[RET ISR]]-Table1[[#This Row],[TOTAL]]</f>
        <v>0</v>
      </c>
    </row>
    <row r="7472" spans="1:30">
      <c r="A7472" s="172"/>
      <c r="B7472" s="178"/>
      <c r="C7472" s="179"/>
      <c r="D7472" s="180"/>
      <c r="E7472" s="125"/>
      <c r="F7472" s="178"/>
      <c r="G7472" s="178"/>
      <c r="H7472" s="178"/>
      <c r="I7472" s="178"/>
      <c r="J7472" s="178"/>
      <c r="K7472" s="178"/>
      <c r="L7472" s="125"/>
      <c r="M7472" s="125"/>
      <c r="N7472" s="182"/>
      <c r="O7472" s="177"/>
      <c r="P7472" s="176"/>
      <c r="Q7472" s="176"/>
      <c r="R7472" s="176"/>
      <c r="S7472" s="176"/>
      <c r="T7472" s="190"/>
      <c r="U7472" s="191"/>
      <c r="V7472" s="191">
        <f>+Table1[[#This Row],[SUBTOTAL]]+Table1[[#This Row],[IVA]]-Table1[[#This Row],[RET IVA]]-Table1[[#This Row],[RET ISR]]</f>
        <v>0</v>
      </c>
      <c r="W7472" s="185"/>
      <c r="X7472" s="186"/>
      <c r="Y7472" s="187"/>
      <c r="Z7472" s="204">
        <f>+Table1[[#This Row],[CONCEPTO]]+Table1[[#This Row],[TIPO2]]-Table1[[#This Row],[IVA]]-Table1[[#This Row],[OTROS IMPUESTOS]]-Table1[[#This Row],[RET IVA]]</f>
        <v>0</v>
      </c>
      <c r="AB7472" t="str">
        <f>IF(Table1[[#This Row],[TIPO2]]="costo", VLOOKUP(Table1[[#This Row],[PARTIDA PRESUPUESTAL]],'Cost Report'!G:G,1,0),"Balance")</f>
        <v>Balance</v>
      </c>
      <c r="AD7472" s="159">
        <f>+Table1[[#This Row],[SUBTOTAL]]+Table1[[#This Row],[IVA]]-Table1[[#This Row],[RET IVA]]-Table1[[#This Row],[RET ISR]]-Table1[[#This Row],[TOTAL]]</f>
        <v>0</v>
      </c>
    </row>
    <row r="7473" spans="1:30">
      <c r="A7473" s="172"/>
      <c r="B7473" s="178"/>
      <c r="C7473" s="179"/>
      <c r="D7473" s="180"/>
      <c r="E7473" s="125"/>
      <c r="F7473" s="178"/>
      <c r="G7473" s="178"/>
      <c r="H7473" s="178"/>
      <c r="I7473" s="178"/>
      <c r="J7473" s="178"/>
      <c r="K7473" s="178"/>
      <c r="L7473" s="125"/>
      <c r="M7473" s="125"/>
      <c r="N7473" s="182"/>
      <c r="O7473" s="177"/>
      <c r="P7473" s="176"/>
      <c r="Q7473" s="176"/>
      <c r="R7473" s="176"/>
      <c r="S7473" s="176"/>
      <c r="T7473" s="190"/>
      <c r="U7473" s="191"/>
      <c r="V7473" s="191">
        <f>+Table1[[#This Row],[SUBTOTAL]]+Table1[[#This Row],[IVA]]-Table1[[#This Row],[RET IVA]]-Table1[[#This Row],[RET ISR]]</f>
        <v>0</v>
      </c>
      <c r="W7473" s="185"/>
      <c r="X7473" s="186"/>
      <c r="Y7473" s="187"/>
      <c r="Z7473" s="204">
        <f>+Table1[[#This Row],[CONCEPTO]]+Table1[[#This Row],[TIPO2]]-Table1[[#This Row],[IVA]]-Table1[[#This Row],[OTROS IMPUESTOS]]-Table1[[#This Row],[RET IVA]]</f>
        <v>0</v>
      </c>
      <c r="AB7473" t="str">
        <f>IF(Table1[[#This Row],[TIPO2]]="costo", VLOOKUP(Table1[[#This Row],[PARTIDA PRESUPUESTAL]],'Cost Report'!G:G,1,0),"Balance")</f>
        <v>Balance</v>
      </c>
      <c r="AD7473" s="159">
        <f>+Table1[[#This Row],[SUBTOTAL]]+Table1[[#This Row],[IVA]]-Table1[[#This Row],[RET IVA]]-Table1[[#This Row],[RET ISR]]-Table1[[#This Row],[TOTAL]]</f>
        <v>0</v>
      </c>
    </row>
    <row r="7474" spans="1:30">
      <c r="A7474" s="172"/>
      <c r="B7474" s="178"/>
      <c r="C7474" s="179"/>
      <c r="D7474" s="180"/>
      <c r="E7474" s="125"/>
      <c r="F7474" s="178"/>
      <c r="G7474" s="178"/>
      <c r="H7474" s="178"/>
      <c r="I7474" s="178"/>
      <c r="J7474" s="178"/>
      <c r="K7474" s="178"/>
      <c r="L7474" s="125"/>
      <c r="M7474" s="125"/>
      <c r="N7474" s="182"/>
      <c r="O7474" s="177"/>
      <c r="P7474" s="176"/>
      <c r="Q7474" s="176"/>
      <c r="R7474" s="176"/>
      <c r="S7474" s="176"/>
      <c r="T7474" s="190"/>
      <c r="U7474" s="191"/>
      <c r="V7474" s="191">
        <f>+Table1[[#This Row],[SUBTOTAL]]+Table1[[#This Row],[IVA]]-Table1[[#This Row],[RET IVA]]-Table1[[#This Row],[RET ISR]]</f>
        <v>0</v>
      </c>
      <c r="W7474" s="185"/>
      <c r="X7474" s="186"/>
      <c r="Y7474" s="187"/>
      <c r="Z7474" s="204">
        <f>+Table1[[#This Row],[CONCEPTO]]+Table1[[#This Row],[TIPO2]]-Table1[[#This Row],[IVA]]-Table1[[#This Row],[OTROS IMPUESTOS]]-Table1[[#This Row],[RET IVA]]</f>
        <v>0</v>
      </c>
      <c r="AB7474" t="str">
        <f>IF(Table1[[#This Row],[TIPO2]]="costo", VLOOKUP(Table1[[#This Row],[PARTIDA PRESUPUESTAL]],'Cost Report'!G:G,1,0),"Balance")</f>
        <v>Balance</v>
      </c>
      <c r="AD7474" s="159">
        <f>+Table1[[#This Row],[SUBTOTAL]]+Table1[[#This Row],[IVA]]-Table1[[#This Row],[RET IVA]]-Table1[[#This Row],[RET ISR]]-Table1[[#This Row],[TOTAL]]</f>
        <v>0</v>
      </c>
    </row>
    <row r="7475" spans="1:30">
      <c r="A7475" s="172"/>
      <c r="B7475" s="178"/>
      <c r="C7475" s="179"/>
      <c r="D7475" s="180"/>
      <c r="E7475" s="125"/>
      <c r="F7475" s="178"/>
      <c r="G7475" s="178"/>
      <c r="H7475" s="178"/>
      <c r="I7475" s="178"/>
      <c r="J7475" s="178"/>
      <c r="K7475" s="178"/>
      <c r="L7475" s="125"/>
      <c r="M7475" s="125"/>
      <c r="N7475" s="182"/>
      <c r="O7475" s="177"/>
      <c r="P7475" s="176"/>
      <c r="Q7475" s="176"/>
      <c r="R7475" s="176"/>
      <c r="S7475" s="176"/>
      <c r="T7475" s="190"/>
      <c r="U7475" s="191"/>
      <c r="V7475" s="191">
        <f>+Table1[[#This Row],[SUBTOTAL]]+Table1[[#This Row],[IVA]]-Table1[[#This Row],[RET IVA]]-Table1[[#This Row],[RET ISR]]</f>
        <v>0</v>
      </c>
      <c r="W7475" s="185"/>
      <c r="X7475" s="186"/>
      <c r="Y7475" s="187"/>
      <c r="Z7475" s="204">
        <f>+Table1[[#This Row],[CONCEPTO]]+Table1[[#This Row],[TIPO2]]-Table1[[#This Row],[IVA]]-Table1[[#This Row],[OTROS IMPUESTOS]]-Table1[[#This Row],[RET IVA]]</f>
        <v>0</v>
      </c>
      <c r="AB7475" t="str">
        <f>IF(Table1[[#This Row],[TIPO2]]="costo", VLOOKUP(Table1[[#This Row],[PARTIDA PRESUPUESTAL]],'Cost Report'!G:G,1,0),"Balance")</f>
        <v>Balance</v>
      </c>
      <c r="AD7475" s="159">
        <f>+Table1[[#This Row],[SUBTOTAL]]+Table1[[#This Row],[IVA]]-Table1[[#This Row],[RET IVA]]-Table1[[#This Row],[RET ISR]]-Table1[[#This Row],[TOTAL]]</f>
        <v>0</v>
      </c>
    </row>
    <row r="7476" spans="1:30">
      <c r="A7476" s="172"/>
      <c r="B7476" s="178"/>
      <c r="C7476" s="179"/>
      <c r="D7476" s="180"/>
      <c r="E7476" s="125"/>
      <c r="F7476" s="178"/>
      <c r="G7476" s="178"/>
      <c r="H7476" s="178"/>
      <c r="I7476" s="178"/>
      <c r="J7476" s="178"/>
      <c r="K7476" s="178"/>
      <c r="L7476" s="125"/>
      <c r="M7476" s="125"/>
      <c r="N7476" s="182"/>
      <c r="O7476" s="177"/>
      <c r="P7476" s="176"/>
      <c r="Q7476" s="176"/>
      <c r="R7476" s="176"/>
      <c r="S7476" s="176"/>
      <c r="T7476" s="190"/>
      <c r="U7476" s="191"/>
      <c r="V7476" s="191">
        <f>+Table1[[#This Row],[SUBTOTAL]]+Table1[[#This Row],[IVA]]-Table1[[#This Row],[RET IVA]]-Table1[[#This Row],[RET ISR]]</f>
        <v>0</v>
      </c>
      <c r="W7476" s="185"/>
      <c r="X7476" s="186"/>
      <c r="Y7476" s="187"/>
      <c r="Z7476" s="204">
        <f>+Table1[[#This Row],[CONCEPTO]]+Table1[[#This Row],[TIPO2]]-Table1[[#This Row],[IVA]]-Table1[[#This Row],[OTROS IMPUESTOS]]-Table1[[#This Row],[RET IVA]]</f>
        <v>0</v>
      </c>
      <c r="AB7476" t="str">
        <f>IF(Table1[[#This Row],[TIPO2]]="costo", VLOOKUP(Table1[[#This Row],[PARTIDA PRESUPUESTAL]],'Cost Report'!G:G,1,0),"Balance")</f>
        <v>Balance</v>
      </c>
      <c r="AD7476" s="159">
        <f>+Table1[[#This Row],[SUBTOTAL]]+Table1[[#This Row],[IVA]]-Table1[[#This Row],[RET IVA]]-Table1[[#This Row],[RET ISR]]-Table1[[#This Row],[TOTAL]]</f>
        <v>0</v>
      </c>
    </row>
    <row r="7477" spans="1:30">
      <c r="A7477" s="172"/>
      <c r="B7477" s="178"/>
      <c r="C7477" s="179"/>
      <c r="D7477" s="180"/>
      <c r="E7477" s="125"/>
      <c r="F7477" s="178"/>
      <c r="G7477" s="178"/>
      <c r="H7477" s="178"/>
      <c r="I7477" s="178"/>
      <c r="J7477" s="178"/>
      <c r="K7477" s="178"/>
      <c r="L7477" s="125"/>
      <c r="M7477" s="125"/>
      <c r="N7477" s="182"/>
      <c r="O7477" s="177"/>
      <c r="P7477" s="176"/>
      <c r="Q7477" s="176"/>
      <c r="R7477" s="176"/>
      <c r="S7477" s="176"/>
      <c r="T7477" s="190"/>
      <c r="U7477" s="191"/>
      <c r="V7477" s="191">
        <f>+Table1[[#This Row],[SUBTOTAL]]+Table1[[#This Row],[IVA]]-Table1[[#This Row],[RET IVA]]-Table1[[#This Row],[RET ISR]]</f>
        <v>0</v>
      </c>
      <c r="W7477" s="185"/>
      <c r="X7477" s="186"/>
      <c r="Y7477" s="187"/>
      <c r="Z7477" s="204">
        <f>+Table1[[#This Row],[CONCEPTO]]+Table1[[#This Row],[TIPO2]]-Table1[[#This Row],[IVA]]-Table1[[#This Row],[OTROS IMPUESTOS]]-Table1[[#This Row],[RET IVA]]</f>
        <v>0</v>
      </c>
      <c r="AB7477" t="str">
        <f>IF(Table1[[#This Row],[TIPO2]]="costo", VLOOKUP(Table1[[#This Row],[PARTIDA PRESUPUESTAL]],'Cost Report'!G:G,1,0),"Balance")</f>
        <v>Balance</v>
      </c>
      <c r="AD7477" s="159">
        <f>+Table1[[#This Row],[SUBTOTAL]]+Table1[[#This Row],[IVA]]-Table1[[#This Row],[RET IVA]]-Table1[[#This Row],[RET ISR]]-Table1[[#This Row],[TOTAL]]</f>
        <v>0</v>
      </c>
    </row>
    <row r="7478" spans="1:30">
      <c r="A7478" s="172"/>
      <c r="B7478" s="178"/>
      <c r="C7478" s="179"/>
      <c r="D7478" s="180"/>
      <c r="E7478" s="125"/>
      <c r="F7478" s="178"/>
      <c r="G7478" s="178"/>
      <c r="H7478" s="178"/>
      <c r="I7478" s="178"/>
      <c r="J7478" s="178"/>
      <c r="K7478" s="178"/>
      <c r="L7478" s="125"/>
      <c r="M7478" s="125"/>
      <c r="N7478" s="182"/>
      <c r="O7478" s="177"/>
      <c r="P7478" s="176"/>
      <c r="Q7478" s="176"/>
      <c r="R7478" s="176"/>
      <c r="S7478" s="176"/>
      <c r="T7478" s="190"/>
      <c r="U7478" s="191"/>
      <c r="V7478" s="191">
        <f>+Table1[[#This Row],[SUBTOTAL]]+Table1[[#This Row],[IVA]]-Table1[[#This Row],[RET IVA]]-Table1[[#This Row],[RET ISR]]</f>
        <v>0</v>
      </c>
      <c r="W7478" s="185"/>
      <c r="X7478" s="186"/>
      <c r="Y7478" s="187"/>
      <c r="Z7478" s="204">
        <f>+Table1[[#This Row],[CONCEPTO]]+Table1[[#This Row],[TIPO2]]-Table1[[#This Row],[IVA]]-Table1[[#This Row],[OTROS IMPUESTOS]]-Table1[[#This Row],[RET IVA]]</f>
        <v>0</v>
      </c>
      <c r="AB7478" t="str">
        <f>IF(Table1[[#This Row],[TIPO2]]="costo", VLOOKUP(Table1[[#This Row],[PARTIDA PRESUPUESTAL]],'Cost Report'!G:G,1,0),"Balance")</f>
        <v>Balance</v>
      </c>
      <c r="AD7478" s="159">
        <f>+Table1[[#This Row],[SUBTOTAL]]+Table1[[#This Row],[IVA]]-Table1[[#This Row],[RET IVA]]-Table1[[#This Row],[RET ISR]]-Table1[[#This Row],[TOTAL]]</f>
        <v>0</v>
      </c>
    </row>
    <row r="7479" spans="1:30">
      <c r="A7479" s="172"/>
      <c r="B7479" s="178"/>
      <c r="C7479" s="179"/>
      <c r="D7479" s="180"/>
      <c r="E7479" s="125"/>
      <c r="F7479" s="178"/>
      <c r="G7479" s="178"/>
      <c r="H7479" s="178"/>
      <c r="I7479" s="178"/>
      <c r="J7479" s="178"/>
      <c r="K7479" s="178"/>
      <c r="L7479" s="125"/>
      <c r="M7479" s="125"/>
      <c r="N7479" s="182"/>
      <c r="O7479" s="177"/>
      <c r="P7479" s="176"/>
      <c r="Q7479" s="176"/>
      <c r="R7479" s="176"/>
      <c r="S7479" s="176"/>
      <c r="T7479" s="190"/>
      <c r="U7479" s="191"/>
      <c r="V7479" s="191">
        <f>+Table1[[#This Row],[SUBTOTAL]]+Table1[[#This Row],[IVA]]-Table1[[#This Row],[RET IVA]]-Table1[[#This Row],[RET ISR]]</f>
        <v>0</v>
      </c>
      <c r="W7479" s="185"/>
      <c r="X7479" s="186"/>
      <c r="Y7479" s="187"/>
      <c r="Z7479" s="204">
        <f>+Table1[[#This Row],[CONCEPTO]]+Table1[[#This Row],[TIPO2]]-Table1[[#This Row],[IVA]]-Table1[[#This Row],[OTROS IMPUESTOS]]-Table1[[#This Row],[RET IVA]]</f>
        <v>0</v>
      </c>
      <c r="AB7479" t="str">
        <f>IF(Table1[[#This Row],[TIPO2]]="costo", VLOOKUP(Table1[[#This Row],[PARTIDA PRESUPUESTAL]],'Cost Report'!G:G,1,0),"Balance")</f>
        <v>Balance</v>
      </c>
      <c r="AD7479" s="159">
        <f>+Table1[[#This Row],[SUBTOTAL]]+Table1[[#This Row],[IVA]]-Table1[[#This Row],[RET IVA]]-Table1[[#This Row],[RET ISR]]-Table1[[#This Row],[TOTAL]]</f>
        <v>0</v>
      </c>
    </row>
    <row r="7480" spans="1:30">
      <c r="A7480" s="172"/>
      <c r="B7480" s="178"/>
      <c r="C7480" s="179"/>
      <c r="D7480" s="180"/>
      <c r="E7480" s="125"/>
      <c r="F7480" s="178"/>
      <c r="G7480" s="178"/>
      <c r="H7480" s="178"/>
      <c r="I7480" s="178"/>
      <c r="J7480" s="178"/>
      <c r="K7480" s="178"/>
      <c r="L7480" s="125"/>
      <c r="M7480" s="125"/>
      <c r="N7480" s="182"/>
      <c r="O7480" s="177"/>
      <c r="P7480" s="176"/>
      <c r="Q7480" s="176"/>
      <c r="R7480" s="176"/>
      <c r="S7480" s="176"/>
      <c r="T7480" s="190"/>
      <c r="U7480" s="191"/>
      <c r="V7480" s="191">
        <f>+Table1[[#This Row],[SUBTOTAL]]+Table1[[#This Row],[IVA]]-Table1[[#This Row],[RET IVA]]-Table1[[#This Row],[RET ISR]]</f>
        <v>0</v>
      </c>
      <c r="W7480" s="185"/>
      <c r="X7480" s="186"/>
      <c r="Y7480" s="187"/>
      <c r="Z7480" s="204">
        <f>+Table1[[#This Row],[CONCEPTO]]+Table1[[#This Row],[TIPO2]]-Table1[[#This Row],[IVA]]-Table1[[#This Row],[OTROS IMPUESTOS]]-Table1[[#This Row],[RET IVA]]</f>
        <v>0</v>
      </c>
      <c r="AB7480" t="str">
        <f>IF(Table1[[#This Row],[TIPO2]]="costo", VLOOKUP(Table1[[#This Row],[PARTIDA PRESUPUESTAL]],'Cost Report'!G:G,1,0),"Balance")</f>
        <v>Balance</v>
      </c>
      <c r="AD7480" s="159">
        <f>+Table1[[#This Row],[SUBTOTAL]]+Table1[[#This Row],[IVA]]-Table1[[#This Row],[RET IVA]]-Table1[[#This Row],[RET ISR]]-Table1[[#This Row],[TOTAL]]</f>
        <v>0</v>
      </c>
    </row>
    <row r="7481" spans="1:30">
      <c r="A7481" s="172"/>
      <c r="B7481" s="178"/>
      <c r="C7481" s="179"/>
      <c r="D7481" s="180"/>
      <c r="E7481" s="125"/>
      <c r="F7481" s="178"/>
      <c r="G7481" s="178"/>
      <c r="H7481" s="178"/>
      <c r="I7481" s="178"/>
      <c r="J7481" s="178"/>
      <c r="K7481" s="178"/>
      <c r="L7481" s="125"/>
      <c r="M7481" s="125"/>
      <c r="N7481" s="182"/>
      <c r="O7481" s="177"/>
      <c r="P7481" s="176"/>
      <c r="Q7481" s="176"/>
      <c r="R7481" s="176"/>
      <c r="S7481" s="176"/>
      <c r="T7481" s="190"/>
      <c r="U7481" s="191"/>
      <c r="V7481" s="191">
        <f>+Table1[[#This Row],[SUBTOTAL]]+Table1[[#This Row],[IVA]]-Table1[[#This Row],[RET IVA]]-Table1[[#This Row],[RET ISR]]</f>
        <v>0</v>
      </c>
      <c r="W7481" s="185"/>
      <c r="X7481" s="186"/>
      <c r="Y7481" s="187"/>
      <c r="Z7481" s="204">
        <f>+Table1[[#This Row],[CONCEPTO]]+Table1[[#This Row],[TIPO2]]-Table1[[#This Row],[IVA]]-Table1[[#This Row],[OTROS IMPUESTOS]]-Table1[[#This Row],[RET IVA]]</f>
        <v>0</v>
      </c>
      <c r="AB7481" t="str">
        <f>IF(Table1[[#This Row],[TIPO2]]="costo", VLOOKUP(Table1[[#This Row],[PARTIDA PRESUPUESTAL]],'Cost Report'!G:G,1,0),"Balance")</f>
        <v>Balance</v>
      </c>
      <c r="AD7481" s="159">
        <f>+Table1[[#This Row],[SUBTOTAL]]+Table1[[#This Row],[IVA]]-Table1[[#This Row],[RET IVA]]-Table1[[#This Row],[RET ISR]]-Table1[[#This Row],[TOTAL]]</f>
        <v>0</v>
      </c>
    </row>
    <row r="7482" spans="1:30">
      <c r="A7482" s="172"/>
      <c r="B7482" s="178"/>
      <c r="C7482" s="179"/>
      <c r="D7482" s="180"/>
      <c r="E7482" s="125"/>
      <c r="F7482" s="178"/>
      <c r="G7482" s="178"/>
      <c r="H7482" s="178"/>
      <c r="I7482" s="178"/>
      <c r="J7482" s="178"/>
      <c r="K7482" s="178"/>
      <c r="L7482" s="125"/>
      <c r="M7482" s="125"/>
      <c r="N7482" s="182"/>
      <c r="O7482" s="177"/>
      <c r="P7482" s="176"/>
      <c r="Q7482" s="176"/>
      <c r="R7482" s="176"/>
      <c r="S7482" s="176"/>
      <c r="T7482" s="190"/>
      <c r="U7482" s="191"/>
      <c r="V7482" s="191">
        <f>+Table1[[#This Row],[SUBTOTAL]]+Table1[[#This Row],[IVA]]-Table1[[#This Row],[RET IVA]]-Table1[[#This Row],[RET ISR]]</f>
        <v>0</v>
      </c>
      <c r="W7482" s="185"/>
      <c r="X7482" s="186"/>
      <c r="Y7482" s="187"/>
      <c r="Z7482" s="204">
        <f>+Table1[[#This Row],[CONCEPTO]]+Table1[[#This Row],[TIPO2]]-Table1[[#This Row],[IVA]]-Table1[[#This Row],[OTROS IMPUESTOS]]-Table1[[#This Row],[RET IVA]]</f>
        <v>0</v>
      </c>
      <c r="AB7482" t="str">
        <f>IF(Table1[[#This Row],[TIPO2]]="costo", VLOOKUP(Table1[[#This Row],[PARTIDA PRESUPUESTAL]],'Cost Report'!G:G,1,0),"Balance")</f>
        <v>Balance</v>
      </c>
      <c r="AD7482" s="159">
        <f>+Table1[[#This Row],[SUBTOTAL]]+Table1[[#This Row],[IVA]]-Table1[[#This Row],[RET IVA]]-Table1[[#This Row],[RET ISR]]-Table1[[#This Row],[TOTAL]]</f>
        <v>0</v>
      </c>
    </row>
    <row r="7483" spans="1:30">
      <c r="A7483" s="172"/>
      <c r="B7483" s="178"/>
      <c r="C7483" s="179"/>
      <c r="D7483" s="180"/>
      <c r="E7483" s="125"/>
      <c r="F7483" s="178"/>
      <c r="G7483" s="178"/>
      <c r="H7483" s="178"/>
      <c r="I7483" s="178"/>
      <c r="J7483" s="178"/>
      <c r="K7483" s="178"/>
      <c r="L7483" s="125"/>
      <c r="M7483" s="125"/>
      <c r="N7483" s="182"/>
      <c r="O7483" s="177"/>
      <c r="P7483" s="176"/>
      <c r="Q7483" s="176"/>
      <c r="R7483" s="176"/>
      <c r="S7483" s="176"/>
      <c r="T7483" s="190"/>
      <c r="U7483" s="191"/>
      <c r="V7483" s="191">
        <f>+Table1[[#This Row],[SUBTOTAL]]+Table1[[#This Row],[IVA]]-Table1[[#This Row],[RET IVA]]-Table1[[#This Row],[RET ISR]]</f>
        <v>0</v>
      </c>
      <c r="W7483" s="185"/>
      <c r="X7483" s="186"/>
      <c r="Y7483" s="187"/>
      <c r="Z7483" s="204">
        <f>+Table1[[#This Row],[CONCEPTO]]+Table1[[#This Row],[TIPO2]]-Table1[[#This Row],[IVA]]-Table1[[#This Row],[OTROS IMPUESTOS]]-Table1[[#This Row],[RET IVA]]</f>
        <v>0</v>
      </c>
      <c r="AB7483" t="str">
        <f>IF(Table1[[#This Row],[TIPO2]]="costo", VLOOKUP(Table1[[#This Row],[PARTIDA PRESUPUESTAL]],'Cost Report'!G:G,1,0),"Balance")</f>
        <v>Balance</v>
      </c>
      <c r="AD7483" s="159">
        <f>+Table1[[#This Row],[SUBTOTAL]]+Table1[[#This Row],[IVA]]-Table1[[#This Row],[RET IVA]]-Table1[[#This Row],[RET ISR]]-Table1[[#This Row],[TOTAL]]</f>
        <v>0</v>
      </c>
    </row>
    <row r="7484" spans="1:30">
      <c r="A7484" s="172"/>
      <c r="B7484" s="178"/>
      <c r="C7484" s="179"/>
      <c r="D7484" s="180"/>
      <c r="E7484" s="125"/>
      <c r="F7484" s="178"/>
      <c r="G7484" s="178"/>
      <c r="H7484" s="178"/>
      <c r="I7484" s="178"/>
      <c r="J7484" s="178"/>
      <c r="K7484" s="178"/>
      <c r="L7484" s="125"/>
      <c r="M7484" s="125"/>
      <c r="N7484" s="182"/>
      <c r="O7484" s="177"/>
      <c r="P7484" s="176"/>
      <c r="Q7484" s="176"/>
      <c r="R7484" s="176"/>
      <c r="S7484" s="176"/>
      <c r="T7484" s="190"/>
      <c r="U7484" s="191"/>
      <c r="V7484" s="191">
        <f>+Table1[[#This Row],[SUBTOTAL]]+Table1[[#This Row],[IVA]]-Table1[[#This Row],[RET IVA]]-Table1[[#This Row],[RET ISR]]</f>
        <v>0</v>
      </c>
      <c r="W7484" s="185"/>
      <c r="X7484" s="186"/>
      <c r="Y7484" s="187"/>
      <c r="Z7484" s="204">
        <f>+Table1[[#This Row],[CONCEPTO]]+Table1[[#This Row],[TIPO2]]-Table1[[#This Row],[IVA]]-Table1[[#This Row],[OTROS IMPUESTOS]]-Table1[[#This Row],[RET IVA]]</f>
        <v>0</v>
      </c>
      <c r="AB7484" t="str">
        <f>IF(Table1[[#This Row],[TIPO2]]="costo", VLOOKUP(Table1[[#This Row],[PARTIDA PRESUPUESTAL]],'Cost Report'!G:G,1,0),"Balance")</f>
        <v>Balance</v>
      </c>
      <c r="AD7484" s="159">
        <f>+Table1[[#This Row],[SUBTOTAL]]+Table1[[#This Row],[IVA]]-Table1[[#This Row],[RET IVA]]-Table1[[#This Row],[RET ISR]]-Table1[[#This Row],[TOTAL]]</f>
        <v>0</v>
      </c>
    </row>
    <row r="7485" spans="1:30">
      <c r="A7485" s="172"/>
      <c r="B7485" s="178"/>
      <c r="C7485" s="179"/>
      <c r="D7485" s="180"/>
      <c r="E7485" s="125"/>
      <c r="F7485" s="178"/>
      <c r="G7485" s="178"/>
      <c r="H7485" s="178"/>
      <c r="I7485" s="178"/>
      <c r="J7485" s="178"/>
      <c r="K7485" s="178"/>
      <c r="L7485" s="125"/>
      <c r="M7485" s="125"/>
      <c r="N7485" s="182"/>
      <c r="O7485" s="177"/>
      <c r="P7485" s="176"/>
      <c r="Q7485" s="176"/>
      <c r="R7485" s="176"/>
      <c r="S7485" s="176"/>
      <c r="T7485" s="190"/>
      <c r="U7485" s="191"/>
      <c r="V7485" s="191">
        <f>+Table1[[#This Row],[SUBTOTAL]]+Table1[[#This Row],[IVA]]-Table1[[#This Row],[RET IVA]]-Table1[[#This Row],[RET ISR]]</f>
        <v>0</v>
      </c>
      <c r="W7485" s="185"/>
      <c r="X7485" s="186"/>
      <c r="Y7485" s="187"/>
      <c r="Z7485" s="204">
        <f>+Table1[[#This Row],[CONCEPTO]]+Table1[[#This Row],[TIPO2]]-Table1[[#This Row],[IVA]]-Table1[[#This Row],[OTROS IMPUESTOS]]-Table1[[#This Row],[RET IVA]]</f>
        <v>0</v>
      </c>
      <c r="AB7485" t="str">
        <f>IF(Table1[[#This Row],[TIPO2]]="costo", VLOOKUP(Table1[[#This Row],[PARTIDA PRESUPUESTAL]],'Cost Report'!G:G,1,0),"Balance")</f>
        <v>Balance</v>
      </c>
      <c r="AD7485" s="159">
        <f>+Table1[[#This Row],[SUBTOTAL]]+Table1[[#This Row],[IVA]]-Table1[[#This Row],[RET IVA]]-Table1[[#This Row],[RET ISR]]-Table1[[#This Row],[TOTAL]]</f>
        <v>0</v>
      </c>
    </row>
    <row r="7486" spans="1:30">
      <c r="A7486" s="172"/>
      <c r="B7486" s="178"/>
      <c r="C7486" s="179"/>
      <c r="D7486" s="180"/>
      <c r="E7486" s="125"/>
      <c r="F7486" s="178"/>
      <c r="G7486" s="178"/>
      <c r="H7486" s="178"/>
      <c r="I7486" s="178"/>
      <c r="J7486" s="178"/>
      <c r="K7486" s="178"/>
      <c r="L7486" s="125"/>
      <c r="M7486" s="125"/>
      <c r="N7486" s="182"/>
      <c r="O7486" s="177"/>
      <c r="P7486" s="176"/>
      <c r="Q7486" s="176"/>
      <c r="R7486" s="176"/>
      <c r="S7486" s="176"/>
      <c r="T7486" s="190"/>
      <c r="U7486" s="191"/>
      <c r="V7486" s="191">
        <f>+Table1[[#This Row],[SUBTOTAL]]+Table1[[#This Row],[IVA]]-Table1[[#This Row],[RET IVA]]-Table1[[#This Row],[RET ISR]]</f>
        <v>0</v>
      </c>
      <c r="W7486" s="185"/>
      <c r="X7486" s="186"/>
      <c r="Y7486" s="187"/>
      <c r="Z7486" s="204">
        <f>+Table1[[#This Row],[CONCEPTO]]+Table1[[#This Row],[TIPO2]]-Table1[[#This Row],[IVA]]-Table1[[#This Row],[OTROS IMPUESTOS]]-Table1[[#This Row],[RET IVA]]</f>
        <v>0</v>
      </c>
      <c r="AB7486" t="str">
        <f>IF(Table1[[#This Row],[TIPO2]]="costo", VLOOKUP(Table1[[#This Row],[PARTIDA PRESUPUESTAL]],'Cost Report'!G:G,1,0),"Balance")</f>
        <v>Balance</v>
      </c>
      <c r="AD7486" s="159">
        <f>+Table1[[#This Row],[SUBTOTAL]]+Table1[[#This Row],[IVA]]-Table1[[#This Row],[RET IVA]]-Table1[[#This Row],[RET ISR]]-Table1[[#This Row],[TOTAL]]</f>
        <v>0</v>
      </c>
    </row>
    <row r="7487" spans="1:30">
      <c r="A7487" s="172"/>
      <c r="B7487" s="178"/>
      <c r="C7487" s="179"/>
      <c r="D7487" s="180"/>
      <c r="E7487" s="125"/>
      <c r="F7487" s="178"/>
      <c r="G7487" s="178"/>
      <c r="H7487" s="178"/>
      <c r="I7487" s="178"/>
      <c r="J7487" s="178"/>
      <c r="K7487" s="178"/>
      <c r="L7487" s="125"/>
      <c r="M7487" s="125"/>
      <c r="N7487" s="182"/>
      <c r="O7487" s="177"/>
      <c r="P7487" s="176"/>
      <c r="Q7487" s="176"/>
      <c r="R7487" s="176"/>
      <c r="S7487" s="176"/>
      <c r="T7487" s="190"/>
      <c r="U7487" s="191"/>
      <c r="V7487" s="191">
        <f>+Table1[[#This Row],[SUBTOTAL]]+Table1[[#This Row],[IVA]]-Table1[[#This Row],[RET IVA]]-Table1[[#This Row],[RET ISR]]</f>
        <v>0</v>
      </c>
      <c r="W7487" s="185"/>
      <c r="X7487" s="186"/>
      <c r="Y7487" s="187"/>
      <c r="Z7487" s="204">
        <f>+Table1[[#This Row],[CONCEPTO]]+Table1[[#This Row],[TIPO2]]-Table1[[#This Row],[IVA]]-Table1[[#This Row],[OTROS IMPUESTOS]]-Table1[[#This Row],[RET IVA]]</f>
        <v>0</v>
      </c>
      <c r="AB7487" t="str">
        <f>IF(Table1[[#This Row],[TIPO2]]="costo", VLOOKUP(Table1[[#This Row],[PARTIDA PRESUPUESTAL]],'Cost Report'!G:G,1,0),"Balance")</f>
        <v>Balance</v>
      </c>
      <c r="AD7487" s="159">
        <f>+Table1[[#This Row],[SUBTOTAL]]+Table1[[#This Row],[IVA]]-Table1[[#This Row],[RET IVA]]-Table1[[#This Row],[RET ISR]]-Table1[[#This Row],[TOTAL]]</f>
        <v>0</v>
      </c>
    </row>
    <row r="7488" spans="1:30">
      <c r="A7488" s="172"/>
      <c r="B7488" s="178"/>
      <c r="C7488" s="179"/>
      <c r="D7488" s="180"/>
      <c r="E7488" s="125"/>
      <c r="F7488" s="178"/>
      <c r="G7488" s="178"/>
      <c r="H7488" s="178"/>
      <c r="I7488" s="178"/>
      <c r="J7488" s="178"/>
      <c r="K7488" s="178"/>
      <c r="L7488" s="125"/>
      <c r="M7488" s="125"/>
      <c r="N7488" s="182"/>
      <c r="O7488" s="177"/>
      <c r="P7488" s="176"/>
      <c r="Q7488" s="176"/>
      <c r="R7488" s="176"/>
      <c r="S7488" s="176"/>
      <c r="T7488" s="190"/>
      <c r="U7488" s="191"/>
      <c r="V7488" s="191">
        <f>+Table1[[#This Row],[SUBTOTAL]]+Table1[[#This Row],[IVA]]-Table1[[#This Row],[RET IVA]]-Table1[[#This Row],[RET ISR]]</f>
        <v>0</v>
      </c>
      <c r="W7488" s="185"/>
      <c r="X7488" s="186"/>
      <c r="Y7488" s="187"/>
      <c r="Z7488" s="204">
        <f>+Table1[[#This Row],[CONCEPTO]]+Table1[[#This Row],[TIPO2]]-Table1[[#This Row],[IVA]]-Table1[[#This Row],[OTROS IMPUESTOS]]-Table1[[#This Row],[RET IVA]]</f>
        <v>0</v>
      </c>
      <c r="AB7488" t="str">
        <f>IF(Table1[[#This Row],[TIPO2]]="costo", VLOOKUP(Table1[[#This Row],[PARTIDA PRESUPUESTAL]],'Cost Report'!G:G,1,0),"Balance")</f>
        <v>Balance</v>
      </c>
      <c r="AD7488" s="159">
        <f>+Table1[[#This Row],[SUBTOTAL]]+Table1[[#This Row],[IVA]]-Table1[[#This Row],[RET IVA]]-Table1[[#This Row],[RET ISR]]-Table1[[#This Row],[TOTAL]]</f>
        <v>0</v>
      </c>
    </row>
    <row r="7489" spans="1:30">
      <c r="A7489" s="172"/>
      <c r="B7489" s="178"/>
      <c r="C7489" s="179"/>
      <c r="D7489" s="180"/>
      <c r="E7489" s="125"/>
      <c r="F7489" s="178"/>
      <c r="G7489" s="178"/>
      <c r="H7489" s="178"/>
      <c r="I7489" s="178"/>
      <c r="J7489" s="178"/>
      <c r="K7489" s="178"/>
      <c r="L7489" s="125"/>
      <c r="M7489" s="125"/>
      <c r="N7489" s="182"/>
      <c r="O7489" s="177"/>
      <c r="P7489" s="176"/>
      <c r="Q7489" s="176"/>
      <c r="R7489" s="176"/>
      <c r="S7489" s="176"/>
      <c r="T7489" s="190"/>
      <c r="U7489" s="191"/>
      <c r="V7489" s="191">
        <f>+Table1[[#This Row],[SUBTOTAL]]+Table1[[#This Row],[IVA]]-Table1[[#This Row],[RET IVA]]-Table1[[#This Row],[RET ISR]]</f>
        <v>0</v>
      </c>
      <c r="W7489" s="185"/>
      <c r="X7489" s="186"/>
      <c r="Y7489" s="187"/>
      <c r="Z7489" s="204">
        <f>+Table1[[#This Row],[CONCEPTO]]+Table1[[#This Row],[TIPO2]]-Table1[[#This Row],[IVA]]-Table1[[#This Row],[OTROS IMPUESTOS]]-Table1[[#This Row],[RET IVA]]</f>
        <v>0</v>
      </c>
      <c r="AB7489" t="str">
        <f>IF(Table1[[#This Row],[TIPO2]]="costo", VLOOKUP(Table1[[#This Row],[PARTIDA PRESUPUESTAL]],'Cost Report'!G:G,1,0),"Balance")</f>
        <v>Balance</v>
      </c>
      <c r="AD7489" s="159">
        <f>+Table1[[#This Row],[SUBTOTAL]]+Table1[[#This Row],[IVA]]-Table1[[#This Row],[RET IVA]]-Table1[[#This Row],[RET ISR]]-Table1[[#This Row],[TOTAL]]</f>
        <v>0</v>
      </c>
    </row>
    <row r="7490" spans="1:30">
      <c r="A7490" s="172"/>
      <c r="B7490" s="178"/>
      <c r="C7490" s="179"/>
      <c r="D7490" s="180"/>
      <c r="E7490" s="125"/>
      <c r="F7490" s="178"/>
      <c r="G7490" s="178"/>
      <c r="H7490" s="178"/>
      <c r="I7490" s="178"/>
      <c r="J7490" s="178"/>
      <c r="K7490" s="178"/>
      <c r="L7490" s="125"/>
      <c r="M7490" s="125"/>
      <c r="N7490" s="182"/>
      <c r="O7490" s="177"/>
      <c r="P7490" s="176"/>
      <c r="Q7490" s="176"/>
      <c r="R7490" s="176"/>
      <c r="S7490" s="176"/>
      <c r="T7490" s="190"/>
      <c r="U7490" s="191"/>
      <c r="V7490" s="191">
        <f>+Table1[[#This Row],[SUBTOTAL]]+Table1[[#This Row],[IVA]]-Table1[[#This Row],[RET IVA]]-Table1[[#This Row],[RET ISR]]</f>
        <v>0</v>
      </c>
      <c r="W7490" s="185"/>
      <c r="X7490" s="186"/>
      <c r="Y7490" s="187"/>
      <c r="Z7490" s="204">
        <f>+Table1[[#This Row],[CONCEPTO]]+Table1[[#This Row],[TIPO2]]-Table1[[#This Row],[IVA]]-Table1[[#This Row],[OTROS IMPUESTOS]]-Table1[[#This Row],[RET IVA]]</f>
        <v>0</v>
      </c>
      <c r="AB7490" t="str">
        <f>IF(Table1[[#This Row],[TIPO2]]="costo", VLOOKUP(Table1[[#This Row],[PARTIDA PRESUPUESTAL]],'Cost Report'!G:G,1,0),"Balance")</f>
        <v>Balance</v>
      </c>
      <c r="AD7490" s="159">
        <f>+Table1[[#This Row],[SUBTOTAL]]+Table1[[#This Row],[IVA]]-Table1[[#This Row],[RET IVA]]-Table1[[#This Row],[RET ISR]]-Table1[[#This Row],[TOTAL]]</f>
        <v>0</v>
      </c>
    </row>
    <row r="7491" spans="1:30">
      <c r="A7491" s="172"/>
      <c r="B7491" s="178"/>
      <c r="C7491" s="179"/>
      <c r="D7491" s="180"/>
      <c r="E7491" s="125"/>
      <c r="F7491" s="178"/>
      <c r="G7491" s="178"/>
      <c r="H7491" s="178"/>
      <c r="I7491" s="178"/>
      <c r="J7491" s="178"/>
      <c r="K7491" s="178"/>
      <c r="L7491" s="125"/>
      <c r="M7491" s="125"/>
      <c r="N7491" s="182"/>
      <c r="O7491" s="177"/>
      <c r="P7491" s="176"/>
      <c r="Q7491" s="176"/>
      <c r="R7491" s="176"/>
      <c r="S7491" s="176"/>
      <c r="T7491" s="190"/>
      <c r="U7491" s="191"/>
      <c r="V7491" s="191">
        <f>+Table1[[#This Row],[SUBTOTAL]]+Table1[[#This Row],[IVA]]-Table1[[#This Row],[RET IVA]]-Table1[[#This Row],[RET ISR]]</f>
        <v>0</v>
      </c>
      <c r="W7491" s="185"/>
      <c r="X7491" s="186"/>
      <c r="Y7491" s="187"/>
      <c r="Z7491" s="204">
        <f>+Table1[[#This Row],[CONCEPTO]]+Table1[[#This Row],[TIPO2]]-Table1[[#This Row],[IVA]]-Table1[[#This Row],[OTROS IMPUESTOS]]-Table1[[#This Row],[RET IVA]]</f>
        <v>0</v>
      </c>
      <c r="AB7491" t="str">
        <f>IF(Table1[[#This Row],[TIPO2]]="costo", VLOOKUP(Table1[[#This Row],[PARTIDA PRESUPUESTAL]],'Cost Report'!G:G,1,0),"Balance")</f>
        <v>Balance</v>
      </c>
      <c r="AD7491" s="159">
        <f>+Table1[[#This Row],[SUBTOTAL]]+Table1[[#This Row],[IVA]]-Table1[[#This Row],[RET IVA]]-Table1[[#This Row],[RET ISR]]-Table1[[#This Row],[TOTAL]]</f>
        <v>0</v>
      </c>
    </row>
    <row r="7492" spans="1:30">
      <c r="A7492" s="172"/>
      <c r="B7492" s="178"/>
      <c r="C7492" s="179"/>
      <c r="D7492" s="180"/>
      <c r="E7492" s="125"/>
      <c r="F7492" s="178"/>
      <c r="G7492" s="178"/>
      <c r="H7492" s="178"/>
      <c r="I7492" s="178"/>
      <c r="J7492" s="178"/>
      <c r="K7492" s="178"/>
      <c r="L7492" s="125"/>
      <c r="M7492" s="125"/>
      <c r="N7492" s="182"/>
      <c r="O7492" s="177"/>
      <c r="P7492" s="176"/>
      <c r="Q7492" s="176"/>
      <c r="R7492" s="176"/>
      <c r="S7492" s="176"/>
      <c r="T7492" s="190"/>
      <c r="U7492" s="191"/>
      <c r="V7492" s="191">
        <f>+Table1[[#This Row],[SUBTOTAL]]+Table1[[#This Row],[IVA]]-Table1[[#This Row],[RET IVA]]-Table1[[#This Row],[RET ISR]]</f>
        <v>0</v>
      </c>
      <c r="W7492" s="185"/>
      <c r="X7492" s="186"/>
      <c r="Y7492" s="187"/>
      <c r="Z7492" s="204">
        <f>+Table1[[#This Row],[CONCEPTO]]+Table1[[#This Row],[TIPO2]]-Table1[[#This Row],[IVA]]-Table1[[#This Row],[OTROS IMPUESTOS]]-Table1[[#This Row],[RET IVA]]</f>
        <v>0</v>
      </c>
      <c r="AB7492" t="str">
        <f>IF(Table1[[#This Row],[TIPO2]]="costo", VLOOKUP(Table1[[#This Row],[PARTIDA PRESUPUESTAL]],'Cost Report'!G:G,1,0),"Balance")</f>
        <v>Balance</v>
      </c>
      <c r="AD7492" s="159">
        <f>+Table1[[#This Row],[SUBTOTAL]]+Table1[[#This Row],[IVA]]-Table1[[#This Row],[RET IVA]]-Table1[[#This Row],[RET ISR]]-Table1[[#This Row],[TOTAL]]</f>
        <v>0</v>
      </c>
    </row>
    <row r="7493" spans="1:30">
      <c r="A7493" s="172"/>
      <c r="B7493" s="178"/>
      <c r="C7493" s="179"/>
      <c r="D7493" s="180"/>
      <c r="E7493" s="125"/>
      <c r="F7493" s="178"/>
      <c r="G7493" s="178"/>
      <c r="H7493" s="178"/>
      <c r="I7493" s="178"/>
      <c r="J7493" s="178"/>
      <c r="K7493" s="178"/>
      <c r="L7493" s="125"/>
      <c r="M7493" s="125"/>
      <c r="N7493" s="182"/>
      <c r="O7493" s="177"/>
      <c r="P7493" s="176"/>
      <c r="Q7493" s="176"/>
      <c r="R7493" s="176"/>
      <c r="S7493" s="176"/>
      <c r="T7493" s="190"/>
      <c r="U7493" s="191"/>
      <c r="V7493" s="191">
        <f>+Table1[[#This Row],[SUBTOTAL]]+Table1[[#This Row],[IVA]]-Table1[[#This Row],[RET IVA]]-Table1[[#This Row],[RET ISR]]</f>
        <v>0</v>
      </c>
      <c r="W7493" s="185"/>
      <c r="X7493" s="186"/>
      <c r="Y7493" s="187"/>
      <c r="Z7493" s="204">
        <f>+Table1[[#This Row],[CONCEPTO]]+Table1[[#This Row],[TIPO2]]-Table1[[#This Row],[IVA]]-Table1[[#This Row],[OTROS IMPUESTOS]]-Table1[[#This Row],[RET IVA]]</f>
        <v>0</v>
      </c>
      <c r="AB7493" t="str">
        <f>IF(Table1[[#This Row],[TIPO2]]="costo", VLOOKUP(Table1[[#This Row],[PARTIDA PRESUPUESTAL]],'Cost Report'!G:G,1,0),"Balance")</f>
        <v>Balance</v>
      </c>
      <c r="AD7493" s="159">
        <f>+Table1[[#This Row],[SUBTOTAL]]+Table1[[#This Row],[IVA]]-Table1[[#This Row],[RET IVA]]-Table1[[#This Row],[RET ISR]]-Table1[[#This Row],[TOTAL]]</f>
        <v>0</v>
      </c>
    </row>
    <row r="7494" spans="1:30">
      <c r="A7494" s="172"/>
      <c r="B7494" s="178"/>
      <c r="C7494" s="179"/>
      <c r="D7494" s="180"/>
      <c r="E7494" s="125"/>
      <c r="F7494" s="178"/>
      <c r="G7494" s="178"/>
      <c r="H7494" s="178"/>
      <c r="I7494" s="178"/>
      <c r="J7494" s="178"/>
      <c r="K7494" s="178"/>
      <c r="L7494" s="125"/>
      <c r="M7494" s="125"/>
      <c r="N7494" s="182"/>
      <c r="O7494" s="177"/>
      <c r="P7494" s="176"/>
      <c r="Q7494" s="176"/>
      <c r="R7494" s="176"/>
      <c r="S7494" s="176"/>
      <c r="T7494" s="190"/>
      <c r="U7494" s="191"/>
      <c r="V7494" s="191">
        <f>+Table1[[#This Row],[SUBTOTAL]]+Table1[[#This Row],[IVA]]-Table1[[#This Row],[RET IVA]]-Table1[[#This Row],[RET ISR]]</f>
        <v>0</v>
      </c>
      <c r="W7494" s="185"/>
      <c r="X7494" s="186"/>
      <c r="Y7494" s="187"/>
      <c r="Z7494" s="204">
        <f>+Table1[[#This Row],[CONCEPTO]]+Table1[[#This Row],[TIPO2]]-Table1[[#This Row],[IVA]]-Table1[[#This Row],[OTROS IMPUESTOS]]-Table1[[#This Row],[RET IVA]]</f>
        <v>0</v>
      </c>
      <c r="AB7494" t="str">
        <f>IF(Table1[[#This Row],[TIPO2]]="costo", VLOOKUP(Table1[[#This Row],[PARTIDA PRESUPUESTAL]],'Cost Report'!G:G,1,0),"Balance")</f>
        <v>Balance</v>
      </c>
      <c r="AD7494" s="159">
        <f>+Table1[[#This Row],[SUBTOTAL]]+Table1[[#This Row],[IVA]]-Table1[[#This Row],[RET IVA]]-Table1[[#This Row],[RET ISR]]-Table1[[#This Row],[TOTAL]]</f>
        <v>0</v>
      </c>
    </row>
    <row r="7495" spans="1:30">
      <c r="A7495" s="172"/>
      <c r="B7495" s="178"/>
      <c r="C7495" s="179"/>
      <c r="D7495" s="180"/>
      <c r="E7495" s="125"/>
      <c r="F7495" s="178"/>
      <c r="G7495" s="178"/>
      <c r="H7495" s="178"/>
      <c r="I7495" s="178"/>
      <c r="J7495" s="178"/>
      <c r="K7495" s="178"/>
      <c r="L7495" s="125"/>
      <c r="M7495" s="125"/>
      <c r="N7495" s="182"/>
      <c r="O7495" s="177"/>
      <c r="P7495" s="176"/>
      <c r="Q7495" s="176"/>
      <c r="R7495" s="176"/>
      <c r="S7495" s="176"/>
      <c r="T7495" s="190"/>
      <c r="U7495" s="191"/>
      <c r="V7495" s="191">
        <f>+Table1[[#This Row],[SUBTOTAL]]+Table1[[#This Row],[IVA]]-Table1[[#This Row],[RET IVA]]-Table1[[#This Row],[RET ISR]]</f>
        <v>0</v>
      </c>
      <c r="W7495" s="185"/>
      <c r="X7495" s="186"/>
      <c r="Y7495" s="187"/>
      <c r="Z7495" s="204">
        <f>+Table1[[#This Row],[CONCEPTO]]+Table1[[#This Row],[TIPO2]]-Table1[[#This Row],[IVA]]-Table1[[#This Row],[OTROS IMPUESTOS]]-Table1[[#This Row],[RET IVA]]</f>
        <v>0</v>
      </c>
      <c r="AB7495" t="str">
        <f>IF(Table1[[#This Row],[TIPO2]]="costo", VLOOKUP(Table1[[#This Row],[PARTIDA PRESUPUESTAL]],'Cost Report'!G:G,1,0),"Balance")</f>
        <v>Balance</v>
      </c>
      <c r="AD7495" s="159">
        <f>+Table1[[#This Row],[SUBTOTAL]]+Table1[[#This Row],[IVA]]-Table1[[#This Row],[RET IVA]]-Table1[[#This Row],[RET ISR]]-Table1[[#This Row],[TOTAL]]</f>
        <v>0</v>
      </c>
    </row>
    <row r="7496" spans="1:30">
      <c r="A7496" s="172"/>
      <c r="B7496" s="178"/>
      <c r="C7496" s="179"/>
      <c r="D7496" s="180"/>
      <c r="E7496" s="125"/>
      <c r="F7496" s="178"/>
      <c r="G7496" s="178"/>
      <c r="H7496" s="178"/>
      <c r="I7496" s="178"/>
      <c r="J7496" s="178"/>
      <c r="K7496" s="178"/>
      <c r="L7496" s="125"/>
      <c r="M7496" s="125"/>
      <c r="N7496" s="182"/>
      <c r="O7496" s="177"/>
      <c r="P7496" s="176"/>
      <c r="Q7496" s="176"/>
      <c r="R7496" s="176"/>
      <c r="S7496" s="176"/>
      <c r="T7496" s="190"/>
      <c r="U7496" s="191"/>
      <c r="V7496" s="191">
        <f>+Table1[[#This Row],[SUBTOTAL]]+Table1[[#This Row],[IVA]]-Table1[[#This Row],[RET IVA]]-Table1[[#This Row],[RET ISR]]</f>
        <v>0</v>
      </c>
      <c r="W7496" s="185"/>
      <c r="X7496" s="186"/>
      <c r="Y7496" s="187"/>
      <c r="Z7496" s="204">
        <f>+Table1[[#This Row],[CONCEPTO]]+Table1[[#This Row],[TIPO2]]-Table1[[#This Row],[IVA]]-Table1[[#This Row],[OTROS IMPUESTOS]]-Table1[[#This Row],[RET IVA]]</f>
        <v>0</v>
      </c>
      <c r="AB7496" t="str">
        <f>IF(Table1[[#This Row],[TIPO2]]="costo", VLOOKUP(Table1[[#This Row],[PARTIDA PRESUPUESTAL]],'Cost Report'!G:G,1,0),"Balance")</f>
        <v>Balance</v>
      </c>
      <c r="AD7496" s="159">
        <f>+Table1[[#This Row],[SUBTOTAL]]+Table1[[#This Row],[IVA]]-Table1[[#This Row],[RET IVA]]-Table1[[#This Row],[RET ISR]]-Table1[[#This Row],[TOTAL]]</f>
        <v>0</v>
      </c>
    </row>
    <row r="7497" spans="1:30">
      <c r="A7497" s="172"/>
      <c r="B7497" s="178"/>
      <c r="C7497" s="179"/>
      <c r="D7497" s="180"/>
      <c r="E7497" s="125"/>
      <c r="F7497" s="178"/>
      <c r="G7497" s="178"/>
      <c r="H7497" s="178"/>
      <c r="I7497" s="178"/>
      <c r="J7497" s="178"/>
      <c r="K7497" s="178"/>
      <c r="L7497" s="125"/>
      <c r="M7497" s="125"/>
      <c r="N7497" s="182"/>
      <c r="O7497" s="177"/>
      <c r="P7497" s="176"/>
      <c r="Q7497" s="176"/>
      <c r="R7497" s="176"/>
      <c r="S7497" s="176"/>
      <c r="T7497" s="190"/>
      <c r="U7497" s="191"/>
      <c r="V7497" s="191">
        <f>+Table1[[#This Row],[SUBTOTAL]]+Table1[[#This Row],[IVA]]-Table1[[#This Row],[RET IVA]]-Table1[[#This Row],[RET ISR]]</f>
        <v>0</v>
      </c>
      <c r="W7497" s="185"/>
      <c r="X7497" s="186"/>
      <c r="Y7497" s="187"/>
      <c r="Z7497" s="204">
        <f>+Table1[[#This Row],[CONCEPTO]]+Table1[[#This Row],[TIPO2]]-Table1[[#This Row],[IVA]]-Table1[[#This Row],[OTROS IMPUESTOS]]-Table1[[#This Row],[RET IVA]]</f>
        <v>0</v>
      </c>
      <c r="AB7497" t="str">
        <f>IF(Table1[[#This Row],[TIPO2]]="costo", VLOOKUP(Table1[[#This Row],[PARTIDA PRESUPUESTAL]],'Cost Report'!G:G,1,0),"Balance")</f>
        <v>Balance</v>
      </c>
      <c r="AD7497" s="159">
        <f>+Table1[[#This Row],[SUBTOTAL]]+Table1[[#This Row],[IVA]]-Table1[[#This Row],[RET IVA]]-Table1[[#This Row],[RET ISR]]-Table1[[#This Row],[TOTAL]]</f>
        <v>0</v>
      </c>
    </row>
    <row r="7498" spans="1:30">
      <c r="A7498" s="172"/>
      <c r="B7498" s="178"/>
      <c r="C7498" s="179"/>
      <c r="D7498" s="180"/>
      <c r="E7498" s="125"/>
      <c r="F7498" s="178"/>
      <c r="G7498" s="178"/>
      <c r="H7498" s="178"/>
      <c r="I7498" s="178"/>
      <c r="J7498" s="178"/>
      <c r="K7498" s="178"/>
      <c r="L7498" s="125"/>
      <c r="M7498" s="125"/>
      <c r="N7498" s="182"/>
      <c r="O7498" s="177"/>
      <c r="P7498" s="176"/>
      <c r="Q7498" s="176"/>
      <c r="R7498" s="176"/>
      <c r="S7498" s="176"/>
      <c r="T7498" s="190"/>
      <c r="U7498" s="191"/>
      <c r="V7498" s="191">
        <f>+Table1[[#This Row],[SUBTOTAL]]+Table1[[#This Row],[IVA]]-Table1[[#This Row],[RET IVA]]-Table1[[#This Row],[RET ISR]]</f>
        <v>0</v>
      </c>
      <c r="W7498" s="185"/>
      <c r="X7498" s="186"/>
      <c r="Y7498" s="187"/>
      <c r="Z7498" s="204">
        <f>+Table1[[#This Row],[CONCEPTO]]+Table1[[#This Row],[TIPO2]]-Table1[[#This Row],[IVA]]-Table1[[#This Row],[OTROS IMPUESTOS]]-Table1[[#This Row],[RET IVA]]</f>
        <v>0</v>
      </c>
      <c r="AB7498" t="str">
        <f>IF(Table1[[#This Row],[TIPO2]]="costo", VLOOKUP(Table1[[#This Row],[PARTIDA PRESUPUESTAL]],'Cost Report'!G:G,1,0),"Balance")</f>
        <v>Balance</v>
      </c>
      <c r="AD7498" s="159">
        <f>+Table1[[#This Row],[SUBTOTAL]]+Table1[[#This Row],[IVA]]-Table1[[#This Row],[RET IVA]]-Table1[[#This Row],[RET ISR]]-Table1[[#This Row],[TOTAL]]</f>
        <v>0</v>
      </c>
    </row>
    <row r="7499" spans="1:30">
      <c r="A7499" s="172"/>
      <c r="B7499" s="178"/>
      <c r="C7499" s="179"/>
      <c r="D7499" s="180"/>
      <c r="E7499" s="125"/>
      <c r="F7499" s="178"/>
      <c r="G7499" s="178"/>
      <c r="H7499" s="178"/>
      <c r="I7499" s="178"/>
      <c r="J7499" s="178"/>
      <c r="K7499" s="178"/>
      <c r="L7499" s="125"/>
      <c r="M7499" s="125"/>
      <c r="N7499" s="182"/>
      <c r="O7499" s="177"/>
      <c r="P7499" s="176"/>
      <c r="Q7499" s="176"/>
      <c r="R7499" s="176"/>
      <c r="S7499" s="176"/>
      <c r="T7499" s="190"/>
      <c r="U7499" s="191"/>
      <c r="V7499" s="191">
        <f>+Table1[[#This Row],[SUBTOTAL]]+Table1[[#This Row],[IVA]]-Table1[[#This Row],[RET IVA]]-Table1[[#This Row],[RET ISR]]</f>
        <v>0</v>
      </c>
      <c r="W7499" s="185"/>
      <c r="X7499" s="186"/>
      <c r="Y7499" s="187"/>
      <c r="Z7499" s="204">
        <f>+Table1[[#This Row],[CONCEPTO]]+Table1[[#This Row],[TIPO2]]-Table1[[#This Row],[IVA]]-Table1[[#This Row],[OTROS IMPUESTOS]]-Table1[[#This Row],[RET IVA]]</f>
        <v>0</v>
      </c>
      <c r="AB7499" t="str">
        <f>IF(Table1[[#This Row],[TIPO2]]="costo", VLOOKUP(Table1[[#This Row],[PARTIDA PRESUPUESTAL]],'Cost Report'!G:G,1,0),"Balance")</f>
        <v>Balance</v>
      </c>
      <c r="AD7499" s="159">
        <f>+Table1[[#This Row],[SUBTOTAL]]+Table1[[#This Row],[IVA]]-Table1[[#This Row],[RET IVA]]-Table1[[#This Row],[RET ISR]]-Table1[[#This Row],[TOTAL]]</f>
        <v>0</v>
      </c>
    </row>
    <row r="7500" spans="1:30">
      <c r="A7500" s="172"/>
      <c r="B7500" s="178"/>
      <c r="C7500" s="179"/>
      <c r="D7500" s="180"/>
      <c r="E7500" s="125"/>
      <c r="F7500" s="178"/>
      <c r="G7500" s="178"/>
      <c r="H7500" s="178"/>
      <c r="I7500" s="178"/>
      <c r="J7500" s="178"/>
      <c r="K7500" s="178"/>
      <c r="L7500" s="125"/>
      <c r="M7500" s="125"/>
      <c r="N7500" s="182"/>
      <c r="O7500" s="177"/>
      <c r="P7500" s="176"/>
      <c r="Q7500" s="176"/>
      <c r="R7500" s="176"/>
      <c r="S7500" s="176"/>
      <c r="T7500" s="190"/>
      <c r="U7500" s="191"/>
      <c r="V7500" s="191">
        <f>+Table1[[#This Row],[SUBTOTAL]]+Table1[[#This Row],[IVA]]-Table1[[#This Row],[RET IVA]]-Table1[[#This Row],[RET ISR]]</f>
        <v>0</v>
      </c>
      <c r="W7500" s="185"/>
      <c r="X7500" s="186"/>
      <c r="Y7500" s="187"/>
      <c r="Z7500" s="204">
        <f>+Table1[[#This Row],[CONCEPTO]]+Table1[[#This Row],[TIPO2]]-Table1[[#This Row],[IVA]]-Table1[[#This Row],[OTROS IMPUESTOS]]-Table1[[#This Row],[RET IVA]]</f>
        <v>0</v>
      </c>
      <c r="AB7500" t="str">
        <f>IF(Table1[[#This Row],[TIPO2]]="costo", VLOOKUP(Table1[[#This Row],[PARTIDA PRESUPUESTAL]],'Cost Report'!G:G,1,0),"Balance")</f>
        <v>Balance</v>
      </c>
      <c r="AD7500" s="159">
        <f>+Table1[[#This Row],[SUBTOTAL]]+Table1[[#This Row],[IVA]]-Table1[[#This Row],[RET IVA]]-Table1[[#This Row],[RET ISR]]-Table1[[#This Row],[TOTAL]]</f>
        <v>0</v>
      </c>
    </row>
    <row r="7501" spans="1:30">
      <c r="A7501" s="172"/>
      <c r="B7501" s="178"/>
      <c r="C7501" s="179"/>
      <c r="D7501" s="180"/>
      <c r="E7501" s="125"/>
      <c r="F7501" s="178"/>
      <c r="G7501" s="178"/>
      <c r="H7501" s="178"/>
      <c r="I7501" s="178"/>
      <c r="J7501" s="178"/>
      <c r="K7501" s="178"/>
      <c r="L7501" s="125"/>
      <c r="M7501" s="125"/>
      <c r="N7501" s="182"/>
      <c r="O7501" s="177"/>
      <c r="P7501" s="176"/>
      <c r="Q7501" s="176"/>
      <c r="R7501" s="176"/>
      <c r="S7501" s="176"/>
      <c r="T7501" s="190"/>
      <c r="U7501" s="191"/>
      <c r="V7501" s="191">
        <f>+Table1[[#This Row],[SUBTOTAL]]+Table1[[#This Row],[IVA]]-Table1[[#This Row],[RET IVA]]-Table1[[#This Row],[RET ISR]]</f>
        <v>0</v>
      </c>
      <c r="W7501" s="185"/>
      <c r="X7501" s="186"/>
      <c r="Y7501" s="187"/>
      <c r="Z7501" s="204">
        <f>+Table1[[#This Row],[CONCEPTO]]+Table1[[#This Row],[TIPO2]]-Table1[[#This Row],[IVA]]-Table1[[#This Row],[OTROS IMPUESTOS]]-Table1[[#This Row],[RET IVA]]</f>
        <v>0</v>
      </c>
      <c r="AB7501" t="str">
        <f>IF(Table1[[#This Row],[TIPO2]]="costo", VLOOKUP(Table1[[#This Row],[PARTIDA PRESUPUESTAL]],'Cost Report'!G:G,1,0),"Balance")</f>
        <v>Balance</v>
      </c>
      <c r="AD7501" s="159">
        <f>+Table1[[#This Row],[SUBTOTAL]]+Table1[[#This Row],[IVA]]-Table1[[#This Row],[RET IVA]]-Table1[[#This Row],[RET ISR]]-Table1[[#This Row],[TOTAL]]</f>
        <v>0</v>
      </c>
    </row>
    <row r="7502" spans="1:30">
      <c r="A7502" s="172"/>
      <c r="B7502" s="178"/>
      <c r="C7502" s="179"/>
      <c r="D7502" s="180"/>
      <c r="E7502" s="125"/>
      <c r="F7502" s="178"/>
      <c r="G7502" s="178"/>
      <c r="H7502" s="178"/>
      <c r="I7502" s="178"/>
      <c r="J7502" s="178"/>
      <c r="K7502" s="178"/>
      <c r="L7502" s="125"/>
      <c r="M7502" s="125"/>
      <c r="N7502" s="182"/>
      <c r="O7502" s="177"/>
      <c r="P7502" s="176"/>
      <c r="Q7502" s="176"/>
      <c r="R7502" s="176"/>
      <c r="S7502" s="176"/>
      <c r="T7502" s="190"/>
      <c r="U7502" s="191"/>
      <c r="V7502" s="191">
        <f>+Table1[[#This Row],[SUBTOTAL]]+Table1[[#This Row],[IVA]]-Table1[[#This Row],[RET IVA]]-Table1[[#This Row],[RET ISR]]</f>
        <v>0</v>
      </c>
      <c r="W7502" s="185"/>
      <c r="X7502" s="186"/>
      <c r="Y7502" s="187"/>
      <c r="Z7502" s="204">
        <f>+Table1[[#This Row],[CONCEPTO]]+Table1[[#This Row],[TIPO2]]-Table1[[#This Row],[IVA]]-Table1[[#This Row],[OTROS IMPUESTOS]]-Table1[[#This Row],[RET IVA]]</f>
        <v>0</v>
      </c>
      <c r="AB7502" t="str">
        <f>IF(Table1[[#This Row],[TIPO2]]="costo", VLOOKUP(Table1[[#This Row],[PARTIDA PRESUPUESTAL]],'Cost Report'!G:G,1,0),"Balance")</f>
        <v>Balance</v>
      </c>
      <c r="AD7502" s="159">
        <f>+Table1[[#This Row],[SUBTOTAL]]+Table1[[#This Row],[IVA]]-Table1[[#This Row],[RET IVA]]-Table1[[#This Row],[RET ISR]]-Table1[[#This Row],[TOTAL]]</f>
        <v>0</v>
      </c>
    </row>
    <row r="7503" spans="1:30">
      <c r="A7503" s="172"/>
      <c r="B7503" s="178"/>
      <c r="C7503" s="179"/>
      <c r="D7503" s="180"/>
      <c r="E7503" s="125"/>
      <c r="F7503" s="178"/>
      <c r="G7503" s="178"/>
      <c r="H7503" s="178"/>
      <c r="I7503" s="178"/>
      <c r="J7503" s="178"/>
      <c r="K7503" s="178"/>
      <c r="L7503" s="125"/>
      <c r="M7503" s="125"/>
      <c r="N7503" s="182"/>
      <c r="O7503" s="177"/>
      <c r="P7503" s="176"/>
      <c r="Q7503" s="176"/>
      <c r="R7503" s="176"/>
      <c r="S7503" s="176"/>
      <c r="T7503" s="190"/>
      <c r="U7503" s="191"/>
      <c r="V7503" s="191">
        <f>+Table1[[#This Row],[SUBTOTAL]]+Table1[[#This Row],[IVA]]-Table1[[#This Row],[RET IVA]]-Table1[[#This Row],[RET ISR]]</f>
        <v>0</v>
      </c>
      <c r="W7503" s="185"/>
      <c r="X7503" s="186"/>
      <c r="Y7503" s="187"/>
      <c r="Z7503" s="204">
        <f>+Table1[[#This Row],[CONCEPTO]]+Table1[[#This Row],[TIPO2]]-Table1[[#This Row],[IVA]]-Table1[[#This Row],[OTROS IMPUESTOS]]-Table1[[#This Row],[RET IVA]]</f>
        <v>0</v>
      </c>
      <c r="AB7503" t="str">
        <f>IF(Table1[[#This Row],[TIPO2]]="costo", VLOOKUP(Table1[[#This Row],[PARTIDA PRESUPUESTAL]],'Cost Report'!G:G,1,0),"Balance")</f>
        <v>Balance</v>
      </c>
      <c r="AD7503" s="159">
        <f>+Table1[[#This Row],[SUBTOTAL]]+Table1[[#This Row],[IVA]]-Table1[[#This Row],[RET IVA]]-Table1[[#This Row],[RET ISR]]-Table1[[#This Row],[TOTAL]]</f>
        <v>0</v>
      </c>
    </row>
    <row r="7504" spans="1:30">
      <c r="A7504" s="172"/>
      <c r="B7504" s="178"/>
      <c r="C7504" s="179"/>
      <c r="D7504" s="180"/>
      <c r="E7504" s="125"/>
      <c r="F7504" s="178"/>
      <c r="G7504" s="178"/>
      <c r="H7504" s="178"/>
      <c r="I7504" s="178"/>
      <c r="J7504" s="178"/>
      <c r="K7504" s="178"/>
      <c r="L7504" s="125"/>
      <c r="M7504" s="125"/>
      <c r="N7504" s="182"/>
      <c r="O7504" s="177"/>
      <c r="P7504" s="176"/>
      <c r="Q7504" s="176"/>
      <c r="R7504" s="176"/>
      <c r="S7504" s="176"/>
      <c r="T7504" s="190"/>
      <c r="U7504" s="191"/>
      <c r="V7504" s="191">
        <f>+Table1[[#This Row],[SUBTOTAL]]+Table1[[#This Row],[IVA]]-Table1[[#This Row],[RET IVA]]-Table1[[#This Row],[RET ISR]]</f>
        <v>0</v>
      </c>
      <c r="W7504" s="185"/>
      <c r="X7504" s="186"/>
      <c r="Y7504" s="187"/>
      <c r="Z7504" s="204">
        <f>+Table1[[#This Row],[CONCEPTO]]+Table1[[#This Row],[TIPO2]]-Table1[[#This Row],[IVA]]-Table1[[#This Row],[OTROS IMPUESTOS]]-Table1[[#This Row],[RET IVA]]</f>
        <v>0</v>
      </c>
      <c r="AB7504" t="str">
        <f>IF(Table1[[#This Row],[TIPO2]]="costo", VLOOKUP(Table1[[#This Row],[PARTIDA PRESUPUESTAL]],'Cost Report'!G:G,1,0),"Balance")</f>
        <v>Balance</v>
      </c>
      <c r="AD7504" s="159">
        <f>+Table1[[#This Row],[SUBTOTAL]]+Table1[[#This Row],[IVA]]-Table1[[#This Row],[RET IVA]]-Table1[[#This Row],[RET ISR]]-Table1[[#This Row],[TOTAL]]</f>
        <v>0</v>
      </c>
    </row>
    <row r="7505" spans="1:30">
      <c r="A7505" s="172"/>
      <c r="B7505" s="178"/>
      <c r="C7505" s="179"/>
      <c r="D7505" s="180"/>
      <c r="E7505" s="125"/>
      <c r="F7505" s="178"/>
      <c r="G7505" s="178"/>
      <c r="H7505" s="178"/>
      <c r="I7505" s="178"/>
      <c r="J7505" s="178"/>
      <c r="K7505" s="178"/>
      <c r="L7505" s="125"/>
      <c r="M7505" s="125"/>
      <c r="N7505" s="182"/>
      <c r="O7505" s="177"/>
      <c r="P7505" s="176"/>
      <c r="Q7505" s="176"/>
      <c r="R7505" s="176"/>
      <c r="S7505" s="176"/>
      <c r="T7505" s="190"/>
      <c r="U7505" s="191"/>
      <c r="V7505" s="191">
        <f>+Table1[[#This Row],[SUBTOTAL]]+Table1[[#This Row],[IVA]]-Table1[[#This Row],[RET IVA]]-Table1[[#This Row],[RET ISR]]</f>
        <v>0</v>
      </c>
      <c r="W7505" s="185"/>
      <c r="X7505" s="186"/>
      <c r="Y7505" s="187"/>
      <c r="Z7505" s="204">
        <f>+Table1[[#This Row],[CONCEPTO]]+Table1[[#This Row],[TIPO2]]-Table1[[#This Row],[IVA]]-Table1[[#This Row],[OTROS IMPUESTOS]]-Table1[[#This Row],[RET IVA]]</f>
        <v>0</v>
      </c>
      <c r="AB7505" t="str">
        <f>IF(Table1[[#This Row],[TIPO2]]="costo", VLOOKUP(Table1[[#This Row],[PARTIDA PRESUPUESTAL]],'Cost Report'!G:G,1,0),"Balance")</f>
        <v>Balance</v>
      </c>
      <c r="AD7505" s="159">
        <f>+Table1[[#This Row],[SUBTOTAL]]+Table1[[#This Row],[IVA]]-Table1[[#This Row],[RET IVA]]-Table1[[#This Row],[RET ISR]]-Table1[[#This Row],[TOTAL]]</f>
        <v>0</v>
      </c>
    </row>
    <row r="7506" spans="1:30">
      <c r="A7506" s="172"/>
      <c r="B7506" s="178"/>
      <c r="C7506" s="179"/>
      <c r="D7506" s="180"/>
      <c r="E7506" s="125"/>
      <c r="F7506" s="178"/>
      <c r="G7506" s="178"/>
      <c r="H7506" s="178"/>
      <c r="I7506" s="178"/>
      <c r="J7506" s="178"/>
      <c r="K7506" s="178"/>
      <c r="L7506" s="125"/>
      <c r="M7506" s="125"/>
      <c r="N7506" s="182"/>
      <c r="O7506" s="177"/>
      <c r="P7506" s="176"/>
      <c r="Q7506" s="176"/>
      <c r="R7506" s="176"/>
      <c r="S7506" s="176"/>
      <c r="T7506" s="190"/>
      <c r="U7506" s="191"/>
      <c r="V7506" s="191">
        <f>+Table1[[#This Row],[SUBTOTAL]]+Table1[[#This Row],[IVA]]-Table1[[#This Row],[RET IVA]]-Table1[[#This Row],[RET ISR]]</f>
        <v>0</v>
      </c>
      <c r="W7506" s="185"/>
      <c r="X7506" s="186"/>
      <c r="Y7506" s="187"/>
      <c r="Z7506" s="204">
        <f>+Table1[[#This Row],[CONCEPTO]]+Table1[[#This Row],[TIPO2]]-Table1[[#This Row],[IVA]]-Table1[[#This Row],[OTROS IMPUESTOS]]-Table1[[#This Row],[RET IVA]]</f>
        <v>0</v>
      </c>
      <c r="AB7506" t="str">
        <f>IF(Table1[[#This Row],[TIPO2]]="costo", VLOOKUP(Table1[[#This Row],[PARTIDA PRESUPUESTAL]],'Cost Report'!G:G,1,0),"Balance")</f>
        <v>Balance</v>
      </c>
      <c r="AD7506" s="159">
        <f>+Table1[[#This Row],[SUBTOTAL]]+Table1[[#This Row],[IVA]]-Table1[[#This Row],[RET IVA]]-Table1[[#This Row],[RET ISR]]-Table1[[#This Row],[TOTAL]]</f>
        <v>0</v>
      </c>
    </row>
    <row r="7507" spans="1:30">
      <c r="A7507" s="172"/>
      <c r="B7507" s="178"/>
      <c r="C7507" s="179"/>
      <c r="D7507" s="180"/>
      <c r="E7507" s="125"/>
      <c r="F7507" s="178"/>
      <c r="G7507" s="178"/>
      <c r="H7507" s="178"/>
      <c r="I7507" s="178"/>
      <c r="J7507" s="178"/>
      <c r="K7507" s="178"/>
      <c r="L7507" s="125"/>
      <c r="M7507" s="125"/>
      <c r="N7507" s="182"/>
      <c r="O7507" s="177"/>
      <c r="P7507" s="176"/>
      <c r="Q7507" s="176"/>
      <c r="R7507" s="176"/>
      <c r="S7507" s="176"/>
      <c r="T7507" s="190"/>
      <c r="U7507" s="191"/>
      <c r="V7507" s="191">
        <f>+Table1[[#This Row],[SUBTOTAL]]+Table1[[#This Row],[IVA]]-Table1[[#This Row],[RET IVA]]-Table1[[#This Row],[RET ISR]]</f>
        <v>0</v>
      </c>
      <c r="W7507" s="185"/>
      <c r="X7507" s="186"/>
      <c r="Y7507" s="187"/>
      <c r="Z7507" s="204">
        <f>+Table1[[#This Row],[CONCEPTO]]+Table1[[#This Row],[TIPO2]]-Table1[[#This Row],[IVA]]-Table1[[#This Row],[OTROS IMPUESTOS]]-Table1[[#This Row],[RET IVA]]</f>
        <v>0</v>
      </c>
      <c r="AB7507" t="str">
        <f>IF(Table1[[#This Row],[TIPO2]]="costo", VLOOKUP(Table1[[#This Row],[PARTIDA PRESUPUESTAL]],'Cost Report'!G:G,1,0),"Balance")</f>
        <v>Balance</v>
      </c>
      <c r="AD7507" s="159">
        <f>+Table1[[#This Row],[SUBTOTAL]]+Table1[[#This Row],[IVA]]-Table1[[#This Row],[RET IVA]]-Table1[[#This Row],[RET ISR]]-Table1[[#This Row],[TOTAL]]</f>
        <v>0</v>
      </c>
    </row>
    <row r="7508" spans="1:30">
      <c r="A7508" s="172"/>
      <c r="B7508" s="178"/>
      <c r="C7508" s="179"/>
      <c r="D7508" s="180"/>
      <c r="E7508" s="125"/>
      <c r="F7508" s="178"/>
      <c r="G7508" s="178"/>
      <c r="H7508" s="178"/>
      <c r="I7508" s="178"/>
      <c r="J7508" s="178"/>
      <c r="K7508" s="178"/>
      <c r="L7508" s="125"/>
      <c r="M7508" s="125"/>
      <c r="N7508" s="182"/>
      <c r="O7508" s="177"/>
      <c r="P7508" s="176"/>
      <c r="Q7508" s="176"/>
      <c r="R7508" s="176"/>
      <c r="S7508" s="176"/>
      <c r="T7508" s="190"/>
      <c r="U7508" s="191"/>
      <c r="V7508" s="191">
        <f>+Table1[[#This Row],[SUBTOTAL]]+Table1[[#This Row],[IVA]]-Table1[[#This Row],[RET IVA]]-Table1[[#This Row],[RET ISR]]</f>
        <v>0</v>
      </c>
      <c r="W7508" s="185"/>
      <c r="X7508" s="186"/>
      <c r="Y7508" s="187"/>
      <c r="Z7508" s="204">
        <f>+Table1[[#This Row],[CONCEPTO]]+Table1[[#This Row],[TIPO2]]-Table1[[#This Row],[IVA]]-Table1[[#This Row],[OTROS IMPUESTOS]]-Table1[[#This Row],[RET IVA]]</f>
        <v>0</v>
      </c>
      <c r="AB7508" t="str">
        <f>IF(Table1[[#This Row],[TIPO2]]="costo", VLOOKUP(Table1[[#This Row],[PARTIDA PRESUPUESTAL]],'Cost Report'!G:G,1,0),"Balance")</f>
        <v>Balance</v>
      </c>
      <c r="AD7508" s="159">
        <f>+Table1[[#This Row],[SUBTOTAL]]+Table1[[#This Row],[IVA]]-Table1[[#This Row],[RET IVA]]-Table1[[#This Row],[RET ISR]]-Table1[[#This Row],[TOTAL]]</f>
        <v>0</v>
      </c>
    </row>
    <row r="7509" spans="1:30">
      <c r="A7509" s="172"/>
      <c r="B7509" s="178"/>
      <c r="C7509" s="179"/>
      <c r="D7509" s="180"/>
      <c r="E7509" s="125"/>
      <c r="F7509" s="178"/>
      <c r="G7509" s="178"/>
      <c r="H7509" s="178"/>
      <c r="I7509" s="178"/>
      <c r="J7509" s="178"/>
      <c r="K7509" s="178"/>
      <c r="L7509" s="125"/>
      <c r="M7509" s="125"/>
      <c r="N7509" s="182"/>
      <c r="O7509" s="177"/>
      <c r="P7509" s="176"/>
      <c r="Q7509" s="176"/>
      <c r="R7509" s="176"/>
      <c r="S7509" s="176"/>
      <c r="T7509" s="190"/>
      <c r="U7509" s="191"/>
      <c r="V7509" s="191">
        <f>+Table1[[#This Row],[SUBTOTAL]]+Table1[[#This Row],[IVA]]-Table1[[#This Row],[RET IVA]]-Table1[[#This Row],[RET ISR]]</f>
        <v>0</v>
      </c>
      <c r="W7509" s="185"/>
      <c r="X7509" s="186"/>
      <c r="Y7509" s="187"/>
      <c r="Z7509" s="204">
        <f>+Table1[[#This Row],[CONCEPTO]]+Table1[[#This Row],[TIPO2]]-Table1[[#This Row],[IVA]]-Table1[[#This Row],[OTROS IMPUESTOS]]-Table1[[#This Row],[RET IVA]]</f>
        <v>0</v>
      </c>
      <c r="AB7509" t="str">
        <f>IF(Table1[[#This Row],[TIPO2]]="costo", VLOOKUP(Table1[[#This Row],[PARTIDA PRESUPUESTAL]],'Cost Report'!G:G,1,0),"Balance")</f>
        <v>Balance</v>
      </c>
      <c r="AD7509" s="159">
        <f>+Table1[[#This Row],[SUBTOTAL]]+Table1[[#This Row],[IVA]]-Table1[[#This Row],[RET IVA]]-Table1[[#This Row],[RET ISR]]-Table1[[#This Row],[TOTAL]]</f>
        <v>0</v>
      </c>
    </row>
    <row r="7510" spans="1:30">
      <c r="A7510" s="172"/>
      <c r="B7510" s="178"/>
      <c r="C7510" s="179"/>
      <c r="D7510" s="180"/>
      <c r="E7510" s="125"/>
      <c r="F7510" s="178"/>
      <c r="G7510" s="178"/>
      <c r="H7510" s="178"/>
      <c r="I7510" s="178"/>
      <c r="J7510" s="178"/>
      <c r="K7510" s="178"/>
      <c r="L7510" s="125"/>
      <c r="M7510" s="125"/>
      <c r="N7510" s="182"/>
      <c r="O7510" s="177"/>
      <c r="P7510" s="176"/>
      <c r="Q7510" s="176"/>
      <c r="R7510" s="176"/>
      <c r="S7510" s="176"/>
      <c r="T7510" s="190"/>
      <c r="U7510" s="191"/>
      <c r="V7510" s="191">
        <f>+Table1[[#This Row],[SUBTOTAL]]+Table1[[#This Row],[IVA]]-Table1[[#This Row],[RET IVA]]-Table1[[#This Row],[RET ISR]]</f>
        <v>0</v>
      </c>
      <c r="W7510" s="185"/>
      <c r="X7510" s="186"/>
      <c r="Y7510" s="187"/>
      <c r="Z7510" s="204">
        <f>+Table1[[#This Row],[CONCEPTO]]+Table1[[#This Row],[TIPO2]]-Table1[[#This Row],[IVA]]-Table1[[#This Row],[OTROS IMPUESTOS]]-Table1[[#This Row],[RET IVA]]</f>
        <v>0</v>
      </c>
      <c r="AB7510" t="str">
        <f>IF(Table1[[#This Row],[TIPO2]]="costo", VLOOKUP(Table1[[#This Row],[PARTIDA PRESUPUESTAL]],'Cost Report'!G:G,1,0),"Balance")</f>
        <v>Balance</v>
      </c>
      <c r="AD7510" s="159">
        <f>+Table1[[#This Row],[SUBTOTAL]]+Table1[[#This Row],[IVA]]-Table1[[#This Row],[RET IVA]]-Table1[[#This Row],[RET ISR]]-Table1[[#This Row],[TOTAL]]</f>
        <v>0</v>
      </c>
    </row>
    <row r="7511" spans="1:30">
      <c r="A7511" s="172"/>
      <c r="B7511" s="178"/>
      <c r="C7511" s="179"/>
      <c r="D7511" s="180"/>
      <c r="E7511" s="125"/>
      <c r="F7511" s="178"/>
      <c r="G7511" s="178"/>
      <c r="H7511" s="178"/>
      <c r="I7511" s="178"/>
      <c r="J7511" s="178"/>
      <c r="K7511" s="178"/>
      <c r="L7511" s="125"/>
      <c r="M7511" s="125"/>
      <c r="N7511" s="182"/>
      <c r="O7511" s="177"/>
      <c r="P7511" s="176"/>
      <c r="Q7511" s="176"/>
      <c r="R7511" s="176"/>
      <c r="S7511" s="176"/>
      <c r="T7511" s="190"/>
      <c r="U7511" s="191"/>
      <c r="V7511" s="191">
        <f>+Table1[[#This Row],[SUBTOTAL]]+Table1[[#This Row],[IVA]]-Table1[[#This Row],[RET IVA]]-Table1[[#This Row],[RET ISR]]</f>
        <v>0</v>
      </c>
      <c r="W7511" s="185"/>
      <c r="X7511" s="186"/>
      <c r="Y7511" s="187"/>
      <c r="Z7511" s="204">
        <f>+Table1[[#This Row],[CONCEPTO]]+Table1[[#This Row],[TIPO2]]-Table1[[#This Row],[IVA]]-Table1[[#This Row],[OTROS IMPUESTOS]]-Table1[[#This Row],[RET IVA]]</f>
        <v>0</v>
      </c>
      <c r="AB7511" t="str">
        <f>IF(Table1[[#This Row],[TIPO2]]="costo", VLOOKUP(Table1[[#This Row],[PARTIDA PRESUPUESTAL]],'Cost Report'!G:G,1,0),"Balance")</f>
        <v>Balance</v>
      </c>
      <c r="AD7511" s="159">
        <f>+Table1[[#This Row],[SUBTOTAL]]+Table1[[#This Row],[IVA]]-Table1[[#This Row],[RET IVA]]-Table1[[#This Row],[RET ISR]]-Table1[[#This Row],[TOTAL]]</f>
        <v>0</v>
      </c>
    </row>
    <row r="7512" spans="1:30">
      <c r="A7512" s="172"/>
      <c r="B7512" s="178"/>
      <c r="C7512" s="179"/>
      <c r="D7512" s="180"/>
      <c r="E7512" s="125"/>
      <c r="F7512" s="178"/>
      <c r="G7512" s="178"/>
      <c r="H7512" s="178"/>
      <c r="I7512" s="178"/>
      <c r="J7512" s="178"/>
      <c r="K7512" s="178"/>
      <c r="L7512" s="125"/>
      <c r="M7512" s="125"/>
      <c r="N7512" s="182"/>
      <c r="O7512" s="177"/>
      <c r="P7512" s="176"/>
      <c r="Q7512" s="176"/>
      <c r="R7512" s="176"/>
      <c r="S7512" s="176"/>
      <c r="T7512" s="190"/>
      <c r="U7512" s="191"/>
      <c r="V7512" s="191">
        <f>+Table1[[#This Row],[SUBTOTAL]]+Table1[[#This Row],[IVA]]-Table1[[#This Row],[RET IVA]]-Table1[[#This Row],[RET ISR]]</f>
        <v>0</v>
      </c>
      <c r="W7512" s="185"/>
      <c r="X7512" s="186"/>
      <c r="Y7512" s="187"/>
      <c r="Z7512" s="204">
        <f>+Table1[[#This Row],[CONCEPTO]]+Table1[[#This Row],[TIPO2]]-Table1[[#This Row],[IVA]]-Table1[[#This Row],[OTROS IMPUESTOS]]-Table1[[#This Row],[RET IVA]]</f>
        <v>0</v>
      </c>
      <c r="AB7512" t="str">
        <f>IF(Table1[[#This Row],[TIPO2]]="costo", VLOOKUP(Table1[[#This Row],[PARTIDA PRESUPUESTAL]],'Cost Report'!G:G,1,0),"Balance")</f>
        <v>Balance</v>
      </c>
      <c r="AD7512" s="159">
        <f>+Table1[[#This Row],[SUBTOTAL]]+Table1[[#This Row],[IVA]]-Table1[[#This Row],[RET IVA]]-Table1[[#This Row],[RET ISR]]-Table1[[#This Row],[TOTAL]]</f>
        <v>0</v>
      </c>
    </row>
    <row r="7513" spans="1:30">
      <c r="A7513" s="172"/>
      <c r="B7513" s="178"/>
      <c r="C7513" s="179"/>
      <c r="D7513" s="180"/>
      <c r="E7513" s="125"/>
      <c r="F7513" s="178"/>
      <c r="G7513" s="178"/>
      <c r="H7513" s="178"/>
      <c r="I7513" s="178"/>
      <c r="J7513" s="178"/>
      <c r="K7513" s="178"/>
      <c r="L7513" s="125"/>
      <c r="M7513" s="125"/>
      <c r="N7513" s="182"/>
      <c r="O7513" s="177"/>
      <c r="P7513" s="176"/>
      <c r="Q7513" s="176"/>
      <c r="R7513" s="176"/>
      <c r="S7513" s="176"/>
      <c r="T7513" s="190"/>
      <c r="U7513" s="191"/>
      <c r="V7513" s="191">
        <f>+Table1[[#This Row],[SUBTOTAL]]+Table1[[#This Row],[IVA]]-Table1[[#This Row],[RET IVA]]-Table1[[#This Row],[RET ISR]]</f>
        <v>0</v>
      </c>
      <c r="W7513" s="185"/>
      <c r="X7513" s="186"/>
      <c r="Y7513" s="187"/>
      <c r="Z7513" s="204">
        <f>+Table1[[#This Row],[CONCEPTO]]+Table1[[#This Row],[TIPO2]]-Table1[[#This Row],[IVA]]-Table1[[#This Row],[OTROS IMPUESTOS]]-Table1[[#This Row],[RET IVA]]</f>
        <v>0</v>
      </c>
      <c r="AB7513" t="str">
        <f>IF(Table1[[#This Row],[TIPO2]]="costo", VLOOKUP(Table1[[#This Row],[PARTIDA PRESUPUESTAL]],'Cost Report'!G:G,1,0),"Balance")</f>
        <v>Balance</v>
      </c>
      <c r="AD7513" s="159">
        <f>+Table1[[#This Row],[SUBTOTAL]]+Table1[[#This Row],[IVA]]-Table1[[#This Row],[RET IVA]]-Table1[[#This Row],[RET ISR]]-Table1[[#This Row],[TOTAL]]</f>
        <v>0</v>
      </c>
    </row>
    <row r="7514" spans="1:30">
      <c r="A7514" s="172"/>
      <c r="B7514" s="178"/>
      <c r="C7514" s="179"/>
      <c r="D7514" s="180"/>
      <c r="E7514" s="125"/>
      <c r="F7514" s="178"/>
      <c r="G7514" s="178"/>
      <c r="H7514" s="178"/>
      <c r="I7514" s="178"/>
      <c r="J7514" s="178"/>
      <c r="K7514" s="178"/>
      <c r="L7514" s="125"/>
      <c r="M7514" s="125"/>
      <c r="N7514" s="182"/>
      <c r="O7514" s="177"/>
      <c r="P7514" s="176"/>
      <c r="Q7514" s="176"/>
      <c r="R7514" s="176"/>
      <c r="S7514" s="176"/>
      <c r="T7514" s="190"/>
      <c r="U7514" s="191"/>
      <c r="V7514" s="191">
        <f>+Table1[[#This Row],[SUBTOTAL]]+Table1[[#This Row],[IVA]]-Table1[[#This Row],[RET IVA]]-Table1[[#This Row],[RET ISR]]</f>
        <v>0</v>
      </c>
      <c r="W7514" s="185"/>
      <c r="X7514" s="186"/>
      <c r="Y7514" s="187"/>
      <c r="Z7514" s="204">
        <f>+Table1[[#This Row],[CONCEPTO]]+Table1[[#This Row],[TIPO2]]-Table1[[#This Row],[IVA]]-Table1[[#This Row],[OTROS IMPUESTOS]]-Table1[[#This Row],[RET IVA]]</f>
        <v>0</v>
      </c>
      <c r="AB7514" t="str">
        <f>IF(Table1[[#This Row],[TIPO2]]="costo", VLOOKUP(Table1[[#This Row],[PARTIDA PRESUPUESTAL]],'Cost Report'!G:G,1,0),"Balance")</f>
        <v>Balance</v>
      </c>
      <c r="AD7514" s="159">
        <f>+Table1[[#This Row],[SUBTOTAL]]+Table1[[#This Row],[IVA]]-Table1[[#This Row],[RET IVA]]-Table1[[#This Row],[RET ISR]]-Table1[[#This Row],[TOTAL]]</f>
        <v>0</v>
      </c>
    </row>
    <row r="7515" spans="1:30">
      <c r="A7515" s="172"/>
      <c r="B7515" s="178"/>
      <c r="C7515" s="179"/>
      <c r="D7515" s="180"/>
      <c r="E7515" s="125"/>
      <c r="F7515" s="178"/>
      <c r="G7515" s="178"/>
      <c r="H7515" s="178"/>
      <c r="I7515" s="178"/>
      <c r="J7515" s="178"/>
      <c r="K7515" s="178"/>
      <c r="L7515" s="125"/>
      <c r="M7515" s="125"/>
      <c r="N7515" s="182"/>
      <c r="O7515" s="177"/>
      <c r="P7515" s="176"/>
      <c r="Q7515" s="176"/>
      <c r="R7515" s="176"/>
      <c r="S7515" s="176"/>
      <c r="T7515" s="190"/>
      <c r="U7515" s="191"/>
      <c r="V7515" s="191">
        <f>+Table1[[#This Row],[SUBTOTAL]]+Table1[[#This Row],[IVA]]-Table1[[#This Row],[RET IVA]]-Table1[[#This Row],[RET ISR]]</f>
        <v>0</v>
      </c>
      <c r="W7515" s="185"/>
      <c r="X7515" s="186"/>
      <c r="Y7515" s="187"/>
      <c r="Z7515" s="204">
        <f>+Table1[[#This Row],[CONCEPTO]]+Table1[[#This Row],[TIPO2]]-Table1[[#This Row],[IVA]]-Table1[[#This Row],[OTROS IMPUESTOS]]-Table1[[#This Row],[RET IVA]]</f>
        <v>0</v>
      </c>
      <c r="AB7515" t="str">
        <f>IF(Table1[[#This Row],[TIPO2]]="costo", VLOOKUP(Table1[[#This Row],[PARTIDA PRESUPUESTAL]],'Cost Report'!G:G,1,0),"Balance")</f>
        <v>Balance</v>
      </c>
      <c r="AD7515" s="159">
        <f>+Table1[[#This Row],[SUBTOTAL]]+Table1[[#This Row],[IVA]]-Table1[[#This Row],[RET IVA]]-Table1[[#This Row],[RET ISR]]-Table1[[#This Row],[TOTAL]]</f>
        <v>0</v>
      </c>
    </row>
    <row r="7516" spans="1:30">
      <c r="A7516" s="172"/>
      <c r="B7516" s="178"/>
      <c r="C7516" s="179"/>
      <c r="D7516" s="180"/>
      <c r="E7516" s="125"/>
      <c r="F7516" s="178"/>
      <c r="G7516" s="178"/>
      <c r="H7516" s="178"/>
      <c r="I7516" s="178"/>
      <c r="J7516" s="178"/>
      <c r="K7516" s="178"/>
      <c r="L7516" s="125"/>
      <c r="M7516" s="125"/>
      <c r="N7516" s="182"/>
      <c r="O7516" s="177"/>
      <c r="P7516" s="176"/>
      <c r="Q7516" s="176"/>
      <c r="R7516" s="176"/>
      <c r="S7516" s="176"/>
      <c r="T7516" s="190"/>
      <c r="U7516" s="191"/>
      <c r="V7516" s="191">
        <f>+Table1[[#This Row],[SUBTOTAL]]+Table1[[#This Row],[IVA]]-Table1[[#This Row],[RET IVA]]-Table1[[#This Row],[RET ISR]]</f>
        <v>0</v>
      </c>
      <c r="W7516" s="185"/>
      <c r="X7516" s="186"/>
      <c r="Y7516" s="187"/>
      <c r="Z7516" s="204">
        <f>+Table1[[#This Row],[CONCEPTO]]+Table1[[#This Row],[TIPO2]]-Table1[[#This Row],[IVA]]-Table1[[#This Row],[OTROS IMPUESTOS]]-Table1[[#This Row],[RET IVA]]</f>
        <v>0</v>
      </c>
      <c r="AB7516" t="str">
        <f>IF(Table1[[#This Row],[TIPO2]]="costo", VLOOKUP(Table1[[#This Row],[PARTIDA PRESUPUESTAL]],'Cost Report'!G:G,1,0),"Balance")</f>
        <v>Balance</v>
      </c>
      <c r="AD7516" s="159">
        <f>+Table1[[#This Row],[SUBTOTAL]]+Table1[[#This Row],[IVA]]-Table1[[#This Row],[RET IVA]]-Table1[[#This Row],[RET ISR]]-Table1[[#This Row],[TOTAL]]</f>
        <v>0</v>
      </c>
    </row>
    <row r="7517" spans="1:30">
      <c r="A7517" s="172"/>
      <c r="B7517" s="178"/>
      <c r="C7517" s="179"/>
      <c r="D7517" s="180"/>
      <c r="E7517" s="125"/>
      <c r="F7517" s="178"/>
      <c r="G7517" s="178"/>
      <c r="H7517" s="178"/>
      <c r="I7517" s="178"/>
      <c r="J7517" s="178"/>
      <c r="K7517" s="178"/>
      <c r="L7517" s="125"/>
      <c r="M7517" s="125"/>
      <c r="N7517" s="182"/>
      <c r="O7517" s="177"/>
      <c r="P7517" s="176"/>
      <c r="Q7517" s="176"/>
      <c r="R7517" s="176"/>
      <c r="S7517" s="176"/>
      <c r="T7517" s="190"/>
      <c r="U7517" s="191"/>
      <c r="V7517" s="191">
        <f>+Table1[[#This Row],[SUBTOTAL]]+Table1[[#This Row],[IVA]]-Table1[[#This Row],[RET IVA]]-Table1[[#This Row],[RET ISR]]</f>
        <v>0</v>
      </c>
      <c r="W7517" s="185"/>
      <c r="X7517" s="186"/>
      <c r="Y7517" s="187"/>
      <c r="Z7517" s="204">
        <f>+Table1[[#This Row],[CONCEPTO]]+Table1[[#This Row],[TIPO2]]-Table1[[#This Row],[IVA]]-Table1[[#This Row],[OTROS IMPUESTOS]]-Table1[[#This Row],[RET IVA]]</f>
        <v>0</v>
      </c>
      <c r="AB7517" t="str">
        <f>IF(Table1[[#This Row],[TIPO2]]="costo", VLOOKUP(Table1[[#This Row],[PARTIDA PRESUPUESTAL]],'Cost Report'!G:G,1,0),"Balance")</f>
        <v>Balance</v>
      </c>
      <c r="AD7517" s="159">
        <f>+Table1[[#This Row],[SUBTOTAL]]+Table1[[#This Row],[IVA]]-Table1[[#This Row],[RET IVA]]-Table1[[#This Row],[RET ISR]]-Table1[[#This Row],[TOTAL]]</f>
        <v>0</v>
      </c>
    </row>
    <row r="7518" spans="1:30">
      <c r="A7518" s="172"/>
      <c r="B7518" s="178"/>
      <c r="C7518" s="179"/>
      <c r="D7518" s="180"/>
      <c r="E7518" s="125"/>
      <c r="F7518" s="178"/>
      <c r="G7518" s="178"/>
      <c r="H7518" s="178"/>
      <c r="I7518" s="178"/>
      <c r="J7518" s="178"/>
      <c r="K7518" s="178"/>
      <c r="L7518" s="125"/>
      <c r="M7518" s="125"/>
      <c r="N7518" s="182"/>
      <c r="O7518" s="177"/>
      <c r="P7518" s="176"/>
      <c r="Q7518" s="176"/>
      <c r="R7518" s="176"/>
      <c r="S7518" s="176"/>
      <c r="T7518" s="190"/>
      <c r="U7518" s="191"/>
      <c r="V7518" s="191">
        <f>+Table1[[#This Row],[SUBTOTAL]]+Table1[[#This Row],[IVA]]-Table1[[#This Row],[RET IVA]]-Table1[[#This Row],[RET ISR]]</f>
        <v>0</v>
      </c>
      <c r="W7518" s="185"/>
      <c r="X7518" s="186"/>
      <c r="Y7518" s="187"/>
      <c r="Z7518" s="204">
        <f>+Table1[[#This Row],[CONCEPTO]]+Table1[[#This Row],[TIPO2]]-Table1[[#This Row],[IVA]]-Table1[[#This Row],[OTROS IMPUESTOS]]-Table1[[#This Row],[RET IVA]]</f>
        <v>0</v>
      </c>
      <c r="AB7518" t="str">
        <f>IF(Table1[[#This Row],[TIPO2]]="costo", VLOOKUP(Table1[[#This Row],[PARTIDA PRESUPUESTAL]],'Cost Report'!G:G,1,0),"Balance")</f>
        <v>Balance</v>
      </c>
      <c r="AD7518" s="159">
        <f>+Table1[[#This Row],[SUBTOTAL]]+Table1[[#This Row],[IVA]]-Table1[[#This Row],[RET IVA]]-Table1[[#This Row],[RET ISR]]-Table1[[#This Row],[TOTAL]]</f>
        <v>0</v>
      </c>
    </row>
    <row r="7519" spans="1:30">
      <c r="A7519" s="172"/>
      <c r="B7519" s="178"/>
      <c r="C7519" s="179"/>
      <c r="D7519" s="180"/>
      <c r="E7519" s="125"/>
      <c r="F7519" s="178"/>
      <c r="G7519" s="178"/>
      <c r="H7519" s="178"/>
      <c r="I7519" s="178"/>
      <c r="J7519" s="178"/>
      <c r="K7519" s="178"/>
      <c r="L7519" s="125"/>
      <c r="M7519" s="125"/>
      <c r="N7519" s="182"/>
      <c r="O7519" s="177"/>
      <c r="P7519" s="176"/>
      <c r="Q7519" s="176"/>
      <c r="R7519" s="176"/>
      <c r="S7519" s="176"/>
      <c r="T7519" s="190"/>
      <c r="U7519" s="191"/>
      <c r="V7519" s="191">
        <f>+Table1[[#This Row],[SUBTOTAL]]+Table1[[#This Row],[IVA]]-Table1[[#This Row],[RET IVA]]-Table1[[#This Row],[RET ISR]]</f>
        <v>0</v>
      </c>
      <c r="W7519" s="185"/>
      <c r="X7519" s="186"/>
      <c r="Y7519" s="187"/>
      <c r="Z7519" s="204">
        <f>+Table1[[#This Row],[CONCEPTO]]+Table1[[#This Row],[TIPO2]]-Table1[[#This Row],[IVA]]-Table1[[#This Row],[OTROS IMPUESTOS]]-Table1[[#This Row],[RET IVA]]</f>
        <v>0</v>
      </c>
      <c r="AB7519" t="str">
        <f>IF(Table1[[#This Row],[TIPO2]]="costo", VLOOKUP(Table1[[#This Row],[PARTIDA PRESUPUESTAL]],'Cost Report'!G:G,1,0),"Balance")</f>
        <v>Balance</v>
      </c>
      <c r="AD7519" s="159">
        <f>+Table1[[#This Row],[SUBTOTAL]]+Table1[[#This Row],[IVA]]-Table1[[#This Row],[RET IVA]]-Table1[[#This Row],[RET ISR]]-Table1[[#This Row],[TOTAL]]</f>
        <v>0</v>
      </c>
    </row>
    <row r="7520" spans="1:30">
      <c r="A7520" s="172"/>
      <c r="B7520" s="178"/>
      <c r="C7520" s="179"/>
      <c r="D7520" s="180"/>
      <c r="E7520" s="125"/>
      <c r="F7520" s="178"/>
      <c r="G7520" s="178"/>
      <c r="H7520" s="178"/>
      <c r="I7520" s="178"/>
      <c r="J7520" s="178"/>
      <c r="K7520" s="178"/>
      <c r="L7520" s="125"/>
      <c r="M7520" s="125"/>
      <c r="N7520" s="182"/>
      <c r="O7520" s="177"/>
      <c r="P7520" s="176"/>
      <c r="Q7520" s="176"/>
      <c r="R7520" s="176"/>
      <c r="S7520" s="176"/>
      <c r="T7520" s="190"/>
      <c r="U7520" s="191"/>
      <c r="V7520" s="191">
        <f>+Table1[[#This Row],[SUBTOTAL]]+Table1[[#This Row],[IVA]]-Table1[[#This Row],[RET IVA]]-Table1[[#This Row],[RET ISR]]</f>
        <v>0</v>
      </c>
      <c r="W7520" s="185"/>
      <c r="X7520" s="186"/>
      <c r="Y7520" s="187"/>
      <c r="Z7520" s="204">
        <f>+Table1[[#This Row],[CONCEPTO]]+Table1[[#This Row],[TIPO2]]-Table1[[#This Row],[IVA]]-Table1[[#This Row],[OTROS IMPUESTOS]]-Table1[[#This Row],[RET IVA]]</f>
        <v>0</v>
      </c>
      <c r="AB7520" t="str">
        <f>IF(Table1[[#This Row],[TIPO2]]="costo", VLOOKUP(Table1[[#This Row],[PARTIDA PRESUPUESTAL]],'Cost Report'!G:G,1,0),"Balance")</f>
        <v>Balance</v>
      </c>
      <c r="AD7520" s="159">
        <f>+Table1[[#This Row],[SUBTOTAL]]+Table1[[#This Row],[IVA]]-Table1[[#This Row],[RET IVA]]-Table1[[#This Row],[RET ISR]]-Table1[[#This Row],[TOTAL]]</f>
        <v>0</v>
      </c>
    </row>
    <row r="7521" spans="1:30">
      <c r="A7521" s="172"/>
      <c r="B7521" s="178"/>
      <c r="C7521" s="179"/>
      <c r="D7521" s="180"/>
      <c r="E7521" s="125"/>
      <c r="F7521" s="178"/>
      <c r="G7521" s="178"/>
      <c r="H7521" s="178"/>
      <c r="I7521" s="178"/>
      <c r="J7521" s="178"/>
      <c r="K7521" s="178"/>
      <c r="L7521" s="125"/>
      <c r="M7521" s="125"/>
      <c r="N7521" s="182"/>
      <c r="O7521" s="177"/>
      <c r="P7521" s="176"/>
      <c r="Q7521" s="176"/>
      <c r="R7521" s="176"/>
      <c r="S7521" s="176"/>
      <c r="T7521" s="190"/>
      <c r="U7521" s="191"/>
      <c r="V7521" s="191">
        <f>+Table1[[#This Row],[SUBTOTAL]]+Table1[[#This Row],[IVA]]-Table1[[#This Row],[RET IVA]]-Table1[[#This Row],[RET ISR]]</f>
        <v>0</v>
      </c>
      <c r="W7521" s="185"/>
      <c r="X7521" s="186"/>
      <c r="Y7521" s="187"/>
      <c r="Z7521" s="204">
        <f>+Table1[[#This Row],[CONCEPTO]]+Table1[[#This Row],[TIPO2]]-Table1[[#This Row],[IVA]]-Table1[[#This Row],[OTROS IMPUESTOS]]-Table1[[#This Row],[RET IVA]]</f>
        <v>0</v>
      </c>
      <c r="AB7521" t="str">
        <f>IF(Table1[[#This Row],[TIPO2]]="costo", VLOOKUP(Table1[[#This Row],[PARTIDA PRESUPUESTAL]],'Cost Report'!G:G,1,0),"Balance")</f>
        <v>Balance</v>
      </c>
      <c r="AD7521" s="159">
        <f>+Table1[[#This Row],[SUBTOTAL]]+Table1[[#This Row],[IVA]]-Table1[[#This Row],[RET IVA]]-Table1[[#This Row],[RET ISR]]-Table1[[#This Row],[TOTAL]]</f>
        <v>0</v>
      </c>
    </row>
    <row r="7522" spans="1:30">
      <c r="A7522" s="172"/>
      <c r="B7522" s="178"/>
      <c r="C7522" s="179"/>
      <c r="D7522" s="180"/>
      <c r="E7522" s="125"/>
      <c r="F7522" s="178"/>
      <c r="G7522" s="178"/>
      <c r="H7522" s="178"/>
      <c r="I7522" s="178"/>
      <c r="J7522" s="178"/>
      <c r="K7522" s="178"/>
      <c r="L7522" s="125"/>
      <c r="M7522" s="125"/>
      <c r="N7522" s="182"/>
      <c r="O7522" s="177"/>
      <c r="P7522" s="176"/>
      <c r="Q7522" s="176"/>
      <c r="R7522" s="176"/>
      <c r="S7522" s="176"/>
      <c r="T7522" s="190"/>
      <c r="U7522" s="191"/>
      <c r="V7522" s="191">
        <f>+Table1[[#This Row],[SUBTOTAL]]+Table1[[#This Row],[IVA]]-Table1[[#This Row],[RET IVA]]-Table1[[#This Row],[RET ISR]]</f>
        <v>0</v>
      </c>
      <c r="W7522" s="185"/>
      <c r="X7522" s="186"/>
      <c r="Y7522" s="187"/>
      <c r="Z7522" s="204">
        <f>+Table1[[#This Row],[CONCEPTO]]+Table1[[#This Row],[TIPO2]]-Table1[[#This Row],[IVA]]-Table1[[#This Row],[OTROS IMPUESTOS]]-Table1[[#This Row],[RET IVA]]</f>
        <v>0</v>
      </c>
      <c r="AB7522" t="str">
        <f>IF(Table1[[#This Row],[TIPO2]]="costo", VLOOKUP(Table1[[#This Row],[PARTIDA PRESUPUESTAL]],'Cost Report'!G:G,1,0),"Balance")</f>
        <v>Balance</v>
      </c>
      <c r="AD7522" s="159">
        <f>+Table1[[#This Row],[SUBTOTAL]]+Table1[[#This Row],[IVA]]-Table1[[#This Row],[RET IVA]]-Table1[[#This Row],[RET ISR]]-Table1[[#This Row],[TOTAL]]</f>
        <v>0</v>
      </c>
    </row>
    <row r="7523" spans="1:30">
      <c r="A7523" s="172"/>
      <c r="B7523" s="178"/>
      <c r="C7523" s="179"/>
      <c r="D7523" s="180"/>
      <c r="E7523" s="125"/>
      <c r="F7523" s="178"/>
      <c r="G7523" s="178"/>
      <c r="H7523" s="178"/>
      <c r="I7523" s="178"/>
      <c r="J7523" s="178"/>
      <c r="K7523" s="178"/>
      <c r="L7523" s="125"/>
      <c r="M7523" s="125"/>
      <c r="N7523" s="182"/>
      <c r="O7523" s="177"/>
      <c r="P7523" s="176"/>
      <c r="Q7523" s="176"/>
      <c r="R7523" s="176"/>
      <c r="S7523" s="176"/>
      <c r="T7523" s="190"/>
      <c r="U7523" s="191"/>
      <c r="V7523" s="191">
        <f>+Table1[[#This Row],[SUBTOTAL]]+Table1[[#This Row],[IVA]]-Table1[[#This Row],[RET IVA]]-Table1[[#This Row],[RET ISR]]</f>
        <v>0</v>
      </c>
      <c r="W7523" s="185"/>
      <c r="X7523" s="186"/>
      <c r="Y7523" s="187"/>
      <c r="Z7523" s="204">
        <f>+Table1[[#This Row],[CONCEPTO]]+Table1[[#This Row],[TIPO2]]-Table1[[#This Row],[IVA]]-Table1[[#This Row],[OTROS IMPUESTOS]]-Table1[[#This Row],[RET IVA]]</f>
        <v>0</v>
      </c>
      <c r="AB7523" t="str">
        <f>IF(Table1[[#This Row],[TIPO2]]="costo", VLOOKUP(Table1[[#This Row],[PARTIDA PRESUPUESTAL]],'Cost Report'!G:G,1,0),"Balance")</f>
        <v>Balance</v>
      </c>
      <c r="AD7523" s="159">
        <f>+Table1[[#This Row],[SUBTOTAL]]+Table1[[#This Row],[IVA]]-Table1[[#This Row],[RET IVA]]-Table1[[#This Row],[RET ISR]]-Table1[[#This Row],[TOTAL]]</f>
        <v>0</v>
      </c>
    </row>
    <row r="7524" spans="1:30">
      <c r="A7524" s="172"/>
      <c r="B7524" s="178"/>
      <c r="C7524" s="179"/>
      <c r="D7524" s="180"/>
      <c r="E7524" s="125"/>
      <c r="F7524" s="178"/>
      <c r="G7524" s="178"/>
      <c r="H7524" s="178"/>
      <c r="I7524" s="178"/>
      <c r="J7524" s="178"/>
      <c r="K7524" s="178"/>
      <c r="L7524" s="125"/>
      <c r="M7524" s="125"/>
      <c r="N7524" s="182"/>
      <c r="O7524" s="177"/>
      <c r="P7524" s="176"/>
      <c r="Q7524" s="176"/>
      <c r="R7524" s="176"/>
      <c r="S7524" s="176"/>
      <c r="T7524" s="190"/>
      <c r="U7524" s="191"/>
      <c r="V7524" s="191">
        <f>+Table1[[#This Row],[SUBTOTAL]]+Table1[[#This Row],[IVA]]-Table1[[#This Row],[RET IVA]]-Table1[[#This Row],[RET ISR]]</f>
        <v>0</v>
      </c>
      <c r="W7524" s="185"/>
      <c r="X7524" s="186"/>
      <c r="Y7524" s="187"/>
      <c r="Z7524" s="204">
        <f>+Table1[[#This Row],[CONCEPTO]]+Table1[[#This Row],[TIPO2]]-Table1[[#This Row],[IVA]]-Table1[[#This Row],[OTROS IMPUESTOS]]-Table1[[#This Row],[RET IVA]]</f>
        <v>0</v>
      </c>
      <c r="AB7524" t="str">
        <f>IF(Table1[[#This Row],[TIPO2]]="costo", VLOOKUP(Table1[[#This Row],[PARTIDA PRESUPUESTAL]],'Cost Report'!G:G,1,0),"Balance")</f>
        <v>Balance</v>
      </c>
      <c r="AD7524" s="159">
        <f>+Table1[[#This Row],[SUBTOTAL]]+Table1[[#This Row],[IVA]]-Table1[[#This Row],[RET IVA]]-Table1[[#This Row],[RET ISR]]-Table1[[#This Row],[TOTAL]]</f>
        <v>0</v>
      </c>
    </row>
    <row r="7525" spans="1:30">
      <c r="A7525" s="172"/>
      <c r="B7525" s="178"/>
      <c r="C7525" s="179"/>
      <c r="D7525" s="180"/>
      <c r="E7525" s="125"/>
      <c r="F7525" s="178"/>
      <c r="G7525" s="178"/>
      <c r="H7525" s="178"/>
      <c r="I7525" s="178"/>
      <c r="J7525" s="178"/>
      <c r="K7525" s="178"/>
      <c r="L7525" s="125"/>
      <c r="M7525" s="125"/>
      <c r="N7525" s="182"/>
      <c r="O7525" s="177"/>
      <c r="P7525" s="176"/>
      <c r="Q7525" s="176"/>
      <c r="R7525" s="176"/>
      <c r="S7525" s="176"/>
      <c r="T7525" s="190"/>
      <c r="U7525" s="191"/>
      <c r="V7525" s="191">
        <f>+Table1[[#This Row],[SUBTOTAL]]+Table1[[#This Row],[IVA]]-Table1[[#This Row],[RET IVA]]-Table1[[#This Row],[RET ISR]]</f>
        <v>0</v>
      </c>
      <c r="W7525" s="185"/>
      <c r="X7525" s="186"/>
      <c r="Y7525" s="187"/>
      <c r="Z7525" s="204">
        <f>+Table1[[#This Row],[CONCEPTO]]+Table1[[#This Row],[TIPO2]]-Table1[[#This Row],[IVA]]-Table1[[#This Row],[OTROS IMPUESTOS]]-Table1[[#This Row],[RET IVA]]</f>
        <v>0</v>
      </c>
      <c r="AB7525" t="str">
        <f>IF(Table1[[#This Row],[TIPO2]]="costo", VLOOKUP(Table1[[#This Row],[PARTIDA PRESUPUESTAL]],'Cost Report'!G:G,1,0),"Balance")</f>
        <v>Balance</v>
      </c>
      <c r="AD7525" s="159">
        <f>+Table1[[#This Row],[SUBTOTAL]]+Table1[[#This Row],[IVA]]-Table1[[#This Row],[RET IVA]]-Table1[[#This Row],[RET ISR]]-Table1[[#This Row],[TOTAL]]</f>
        <v>0</v>
      </c>
    </row>
    <row r="7526" spans="1:30">
      <c r="A7526" s="172"/>
      <c r="B7526" s="178"/>
      <c r="C7526" s="179"/>
      <c r="D7526" s="180"/>
      <c r="E7526" s="125"/>
      <c r="F7526" s="178"/>
      <c r="G7526" s="178"/>
      <c r="H7526" s="178"/>
      <c r="I7526" s="178"/>
      <c r="J7526" s="178"/>
      <c r="K7526" s="178"/>
      <c r="L7526" s="125"/>
      <c r="M7526" s="125"/>
      <c r="N7526" s="182"/>
      <c r="O7526" s="177"/>
      <c r="P7526" s="176"/>
      <c r="Q7526" s="176"/>
      <c r="R7526" s="176"/>
      <c r="S7526" s="176"/>
      <c r="T7526" s="190"/>
      <c r="U7526" s="191"/>
      <c r="V7526" s="191">
        <f>+Table1[[#This Row],[SUBTOTAL]]+Table1[[#This Row],[IVA]]-Table1[[#This Row],[RET IVA]]-Table1[[#This Row],[RET ISR]]</f>
        <v>0</v>
      </c>
      <c r="W7526" s="185"/>
      <c r="X7526" s="186"/>
      <c r="Y7526" s="187"/>
      <c r="Z7526" s="204">
        <f>+Table1[[#This Row],[CONCEPTO]]+Table1[[#This Row],[TIPO2]]-Table1[[#This Row],[IVA]]-Table1[[#This Row],[OTROS IMPUESTOS]]-Table1[[#This Row],[RET IVA]]</f>
        <v>0</v>
      </c>
      <c r="AB7526" t="str">
        <f>IF(Table1[[#This Row],[TIPO2]]="costo", VLOOKUP(Table1[[#This Row],[PARTIDA PRESUPUESTAL]],'Cost Report'!G:G,1,0),"Balance")</f>
        <v>Balance</v>
      </c>
      <c r="AD7526" s="159">
        <f>+Table1[[#This Row],[SUBTOTAL]]+Table1[[#This Row],[IVA]]-Table1[[#This Row],[RET IVA]]-Table1[[#This Row],[RET ISR]]-Table1[[#This Row],[TOTAL]]</f>
        <v>0</v>
      </c>
    </row>
    <row r="7527" spans="1:30">
      <c r="A7527" s="172"/>
      <c r="B7527" s="178"/>
      <c r="C7527" s="179"/>
      <c r="D7527" s="180"/>
      <c r="E7527" s="125"/>
      <c r="F7527" s="178"/>
      <c r="G7527" s="178"/>
      <c r="H7527" s="178"/>
      <c r="I7527" s="178"/>
      <c r="J7527" s="178"/>
      <c r="K7527" s="178"/>
      <c r="L7527" s="125"/>
      <c r="M7527" s="125"/>
      <c r="N7527" s="182"/>
      <c r="O7527" s="177"/>
      <c r="P7527" s="176"/>
      <c r="Q7527" s="176"/>
      <c r="R7527" s="176"/>
      <c r="S7527" s="176"/>
      <c r="T7527" s="190"/>
      <c r="U7527" s="191"/>
      <c r="V7527" s="191">
        <f>+Table1[[#This Row],[SUBTOTAL]]+Table1[[#This Row],[IVA]]-Table1[[#This Row],[RET IVA]]-Table1[[#This Row],[RET ISR]]</f>
        <v>0</v>
      </c>
      <c r="W7527" s="185"/>
      <c r="X7527" s="186"/>
      <c r="Y7527" s="187"/>
      <c r="Z7527" s="204">
        <f>+Table1[[#This Row],[CONCEPTO]]+Table1[[#This Row],[TIPO2]]-Table1[[#This Row],[IVA]]-Table1[[#This Row],[OTROS IMPUESTOS]]-Table1[[#This Row],[RET IVA]]</f>
        <v>0</v>
      </c>
      <c r="AB7527" t="str">
        <f>IF(Table1[[#This Row],[TIPO2]]="costo", VLOOKUP(Table1[[#This Row],[PARTIDA PRESUPUESTAL]],'Cost Report'!G:G,1,0),"Balance")</f>
        <v>Balance</v>
      </c>
      <c r="AD7527" s="159">
        <f>+Table1[[#This Row],[SUBTOTAL]]+Table1[[#This Row],[IVA]]-Table1[[#This Row],[RET IVA]]-Table1[[#This Row],[RET ISR]]-Table1[[#This Row],[TOTAL]]</f>
        <v>0</v>
      </c>
    </row>
    <row r="7528" spans="1:30">
      <c r="A7528" s="172"/>
      <c r="B7528" s="178"/>
      <c r="C7528" s="179"/>
      <c r="D7528" s="180"/>
      <c r="E7528" s="125"/>
      <c r="F7528" s="178"/>
      <c r="G7528" s="178"/>
      <c r="H7528" s="178"/>
      <c r="I7528" s="178"/>
      <c r="J7528" s="178"/>
      <c r="K7528" s="178"/>
      <c r="L7528" s="125"/>
      <c r="M7528" s="125"/>
      <c r="N7528" s="182"/>
      <c r="O7528" s="177"/>
      <c r="P7528" s="176"/>
      <c r="Q7528" s="176"/>
      <c r="R7528" s="176"/>
      <c r="S7528" s="176"/>
      <c r="T7528" s="190"/>
      <c r="U7528" s="191"/>
      <c r="V7528" s="191">
        <f>+Table1[[#This Row],[SUBTOTAL]]+Table1[[#This Row],[IVA]]-Table1[[#This Row],[RET IVA]]-Table1[[#This Row],[RET ISR]]</f>
        <v>0</v>
      </c>
      <c r="W7528" s="185"/>
      <c r="X7528" s="186"/>
      <c r="Y7528" s="187"/>
      <c r="Z7528" s="204">
        <f>+Table1[[#This Row],[CONCEPTO]]+Table1[[#This Row],[TIPO2]]-Table1[[#This Row],[IVA]]-Table1[[#This Row],[OTROS IMPUESTOS]]-Table1[[#This Row],[RET IVA]]</f>
        <v>0</v>
      </c>
      <c r="AB7528" t="str">
        <f>IF(Table1[[#This Row],[TIPO2]]="costo", VLOOKUP(Table1[[#This Row],[PARTIDA PRESUPUESTAL]],'Cost Report'!G:G,1,0),"Balance")</f>
        <v>Balance</v>
      </c>
      <c r="AD7528" s="159">
        <f>+Table1[[#This Row],[SUBTOTAL]]+Table1[[#This Row],[IVA]]-Table1[[#This Row],[RET IVA]]-Table1[[#This Row],[RET ISR]]-Table1[[#This Row],[TOTAL]]</f>
        <v>0</v>
      </c>
    </row>
    <row r="7529" spans="1:30">
      <c r="A7529" s="172"/>
      <c r="B7529" s="178"/>
      <c r="C7529" s="179"/>
      <c r="D7529" s="180"/>
      <c r="E7529" s="125"/>
      <c r="F7529" s="178"/>
      <c r="G7529" s="178"/>
      <c r="H7529" s="178"/>
      <c r="I7529" s="178"/>
      <c r="J7529" s="178"/>
      <c r="K7529" s="178"/>
      <c r="L7529" s="125"/>
      <c r="M7529" s="125"/>
      <c r="N7529" s="182"/>
      <c r="O7529" s="177"/>
      <c r="P7529" s="176"/>
      <c r="Q7529" s="176"/>
      <c r="R7529" s="176"/>
      <c r="S7529" s="176"/>
      <c r="T7529" s="190"/>
      <c r="U7529" s="191"/>
      <c r="V7529" s="191">
        <f>+Table1[[#This Row],[SUBTOTAL]]+Table1[[#This Row],[IVA]]-Table1[[#This Row],[RET IVA]]-Table1[[#This Row],[RET ISR]]</f>
        <v>0</v>
      </c>
      <c r="W7529" s="185"/>
      <c r="X7529" s="186"/>
      <c r="Y7529" s="187"/>
      <c r="Z7529" s="204">
        <f>+Table1[[#This Row],[CONCEPTO]]+Table1[[#This Row],[TIPO2]]-Table1[[#This Row],[IVA]]-Table1[[#This Row],[OTROS IMPUESTOS]]-Table1[[#This Row],[RET IVA]]</f>
        <v>0</v>
      </c>
      <c r="AB7529" t="str">
        <f>IF(Table1[[#This Row],[TIPO2]]="costo", VLOOKUP(Table1[[#This Row],[PARTIDA PRESUPUESTAL]],'Cost Report'!G:G,1,0),"Balance")</f>
        <v>Balance</v>
      </c>
      <c r="AD7529" s="159">
        <f>+Table1[[#This Row],[SUBTOTAL]]+Table1[[#This Row],[IVA]]-Table1[[#This Row],[RET IVA]]-Table1[[#This Row],[RET ISR]]-Table1[[#This Row],[TOTAL]]</f>
        <v>0</v>
      </c>
    </row>
    <row r="7530" spans="1:30">
      <c r="A7530" s="172"/>
      <c r="B7530" s="178"/>
      <c r="C7530" s="179"/>
      <c r="D7530" s="180"/>
      <c r="E7530" s="125"/>
      <c r="F7530" s="178"/>
      <c r="G7530" s="178"/>
      <c r="H7530" s="178"/>
      <c r="I7530" s="178"/>
      <c r="J7530" s="178"/>
      <c r="K7530" s="178"/>
      <c r="L7530" s="125"/>
      <c r="M7530" s="125"/>
      <c r="N7530" s="182"/>
      <c r="O7530" s="177"/>
      <c r="P7530" s="176"/>
      <c r="Q7530" s="176"/>
      <c r="R7530" s="176"/>
      <c r="S7530" s="176"/>
      <c r="T7530" s="190"/>
      <c r="U7530" s="191"/>
      <c r="V7530" s="191">
        <f>+Table1[[#This Row],[SUBTOTAL]]+Table1[[#This Row],[IVA]]-Table1[[#This Row],[RET IVA]]-Table1[[#This Row],[RET ISR]]</f>
        <v>0</v>
      </c>
      <c r="W7530" s="185"/>
      <c r="X7530" s="186"/>
      <c r="Y7530" s="187"/>
      <c r="Z7530" s="204">
        <f>+Table1[[#This Row],[CONCEPTO]]+Table1[[#This Row],[TIPO2]]-Table1[[#This Row],[IVA]]-Table1[[#This Row],[OTROS IMPUESTOS]]-Table1[[#This Row],[RET IVA]]</f>
        <v>0</v>
      </c>
      <c r="AB7530" t="str">
        <f>IF(Table1[[#This Row],[TIPO2]]="costo", VLOOKUP(Table1[[#This Row],[PARTIDA PRESUPUESTAL]],'Cost Report'!G:G,1,0),"Balance")</f>
        <v>Balance</v>
      </c>
      <c r="AD7530" s="159">
        <f>+Table1[[#This Row],[SUBTOTAL]]+Table1[[#This Row],[IVA]]-Table1[[#This Row],[RET IVA]]-Table1[[#This Row],[RET ISR]]-Table1[[#This Row],[TOTAL]]</f>
        <v>0</v>
      </c>
    </row>
    <row r="7531" spans="1:30">
      <c r="A7531" s="172"/>
      <c r="B7531" s="178"/>
      <c r="C7531" s="179"/>
      <c r="D7531" s="180"/>
      <c r="E7531" s="125"/>
      <c r="F7531" s="178"/>
      <c r="G7531" s="178"/>
      <c r="H7531" s="178"/>
      <c r="I7531" s="178"/>
      <c r="J7531" s="178"/>
      <c r="K7531" s="178"/>
      <c r="L7531" s="125"/>
      <c r="M7531" s="125"/>
      <c r="N7531" s="182"/>
      <c r="O7531" s="177"/>
      <c r="P7531" s="176"/>
      <c r="Q7531" s="176"/>
      <c r="R7531" s="176"/>
      <c r="S7531" s="176"/>
      <c r="T7531" s="190"/>
      <c r="U7531" s="191"/>
      <c r="V7531" s="191">
        <f>+Table1[[#This Row],[SUBTOTAL]]+Table1[[#This Row],[IVA]]-Table1[[#This Row],[RET IVA]]-Table1[[#This Row],[RET ISR]]</f>
        <v>0</v>
      </c>
      <c r="W7531" s="185"/>
      <c r="X7531" s="186"/>
      <c r="Y7531" s="187"/>
      <c r="Z7531" s="204">
        <f>+Table1[[#This Row],[CONCEPTO]]+Table1[[#This Row],[TIPO2]]-Table1[[#This Row],[IVA]]-Table1[[#This Row],[OTROS IMPUESTOS]]-Table1[[#This Row],[RET IVA]]</f>
        <v>0</v>
      </c>
      <c r="AB7531" t="str">
        <f>IF(Table1[[#This Row],[TIPO2]]="costo", VLOOKUP(Table1[[#This Row],[PARTIDA PRESUPUESTAL]],'Cost Report'!G:G,1,0),"Balance")</f>
        <v>Balance</v>
      </c>
      <c r="AD7531" s="159">
        <f>+Table1[[#This Row],[SUBTOTAL]]+Table1[[#This Row],[IVA]]-Table1[[#This Row],[RET IVA]]-Table1[[#This Row],[RET ISR]]-Table1[[#This Row],[TOTAL]]</f>
        <v>0</v>
      </c>
    </row>
    <row r="7532" spans="1:30">
      <c r="A7532" s="172"/>
      <c r="B7532" s="178"/>
      <c r="C7532" s="179"/>
      <c r="D7532" s="180"/>
      <c r="E7532" s="125"/>
      <c r="F7532" s="178"/>
      <c r="G7532" s="178"/>
      <c r="H7532" s="178"/>
      <c r="I7532" s="178"/>
      <c r="J7532" s="178"/>
      <c r="K7532" s="178"/>
      <c r="L7532" s="125"/>
      <c r="M7532" s="125"/>
      <c r="N7532" s="182"/>
      <c r="O7532" s="177"/>
      <c r="P7532" s="176"/>
      <c r="Q7532" s="176"/>
      <c r="R7532" s="176"/>
      <c r="S7532" s="176"/>
      <c r="T7532" s="190"/>
      <c r="U7532" s="191"/>
      <c r="V7532" s="191">
        <f>+Table1[[#This Row],[SUBTOTAL]]+Table1[[#This Row],[IVA]]-Table1[[#This Row],[RET IVA]]-Table1[[#This Row],[RET ISR]]</f>
        <v>0</v>
      </c>
      <c r="W7532" s="185"/>
      <c r="X7532" s="186"/>
      <c r="Y7532" s="187"/>
      <c r="Z7532" s="204">
        <f>+Table1[[#This Row],[CONCEPTO]]+Table1[[#This Row],[TIPO2]]-Table1[[#This Row],[IVA]]-Table1[[#This Row],[OTROS IMPUESTOS]]-Table1[[#This Row],[RET IVA]]</f>
        <v>0</v>
      </c>
      <c r="AB7532" t="str">
        <f>IF(Table1[[#This Row],[TIPO2]]="costo", VLOOKUP(Table1[[#This Row],[PARTIDA PRESUPUESTAL]],'Cost Report'!G:G,1,0),"Balance")</f>
        <v>Balance</v>
      </c>
      <c r="AD7532" s="159">
        <f>+Table1[[#This Row],[SUBTOTAL]]+Table1[[#This Row],[IVA]]-Table1[[#This Row],[RET IVA]]-Table1[[#This Row],[RET ISR]]-Table1[[#This Row],[TOTAL]]</f>
        <v>0</v>
      </c>
    </row>
    <row r="7533" spans="1:30">
      <c r="A7533" s="172"/>
      <c r="B7533" s="178"/>
      <c r="C7533" s="179"/>
      <c r="D7533" s="180"/>
      <c r="E7533" s="125"/>
      <c r="F7533" s="178"/>
      <c r="G7533" s="178"/>
      <c r="H7533" s="178"/>
      <c r="I7533" s="178"/>
      <c r="J7533" s="178"/>
      <c r="K7533" s="178"/>
      <c r="L7533" s="125"/>
      <c r="M7533" s="125"/>
      <c r="N7533" s="182"/>
      <c r="O7533" s="177"/>
      <c r="P7533" s="176"/>
      <c r="Q7533" s="176"/>
      <c r="R7533" s="176"/>
      <c r="S7533" s="176"/>
      <c r="T7533" s="190"/>
      <c r="U7533" s="191"/>
      <c r="V7533" s="191">
        <f>+Table1[[#This Row],[SUBTOTAL]]+Table1[[#This Row],[IVA]]-Table1[[#This Row],[RET IVA]]-Table1[[#This Row],[RET ISR]]</f>
        <v>0</v>
      </c>
      <c r="W7533" s="185"/>
      <c r="X7533" s="186"/>
      <c r="Y7533" s="187"/>
      <c r="Z7533" s="204">
        <f>+Table1[[#This Row],[CONCEPTO]]+Table1[[#This Row],[TIPO2]]-Table1[[#This Row],[IVA]]-Table1[[#This Row],[OTROS IMPUESTOS]]-Table1[[#This Row],[RET IVA]]</f>
        <v>0</v>
      </c>
      <c r="AB7533" t="str">
        <f>IF(Table1[[#This Row],[TIPO2]]="costo", VLOOKUP(Table1[[#This Row],[PARTIDA PRESUPUESTAL]],'Cost Report'!G:G,1,0),"Balance")</f>
        <v>Balance</v>
      </c>
      <c r="AD7533" s="159">
        <f>+Table1[[#This Row],[SUBTOTAL]]+Table1[[#This Row],[IVA]]-Table1[[#This Row],[RET IVA]]-Table1[[#This Row],[RET ISR]]-Table1[[#This Row],[TOTAL]]</f>
        <v>0</v>
      </c>
    </row>
    <row r="7534" spans="1:30">
      <c r="A7534" s="172"/>
      <c r="B7534" s="178"/>
      <c r="C7534" s="179"/>
      <c r="D7534" s="180"/>
      <c r="E7534" s="125"/>
      <c r="F7534" s="178"/>
      <c r="G7534" s="178"/>
      <c r="H7534" s="178"/>
      <c r="I7534" s="178"/>
      <c r="J7534" s="178"/>
      <c r="K7534" s="178"/>
      <c r="L7534" s="125"/>
      <c r="M7534" s="125"/>
      <c r="N7534" s="182"/>
      <c r="O7534" s="177"/>
      <c r="P7534" s="176"/>
      <c r="Q7534" s="176"/>
      <c r="R7534" s="176"/>
      <c r="S7534" s="176"/>
      <c r="T7534" s="190"/>
      <c r="U7534" s="191"/>
      <c r="V7534" s="191">
        <f>+Table1[[#This Row],[SUBTOTAL]]+Table1[[#This Row],[IVA]]-Table1[[#This Row],[RET IVA]]-Table1[[#This Row],[RET ISR]]</f>
        <v>0</v>
      </c>
      <c r="W7534" s="185"/>
      <c r="X7534" s="186"/>
      <c r="Y7534" s="187"/>
      <c r="Z7534" s="204">
        <f>+Table1[[#This Row],[CONCEPTO]]+Table1[[#This Row],[TIPO2]]-Table1[[#This Row],[IVA]]-Table1[[#This Row],[OTROS IMPUESTOS]]-Table1[[#This Row],[RET IVA]]</f>
        <v>0</v>
      </c>
      <c r="AB7534" t="str">
        <f>IF(Table1[[#This Row],[TIPO2]]="costo", VLOOKUP(Table1[[#This Row],[PARTIDA PRESUPUESTAL]],'Cost Report'!G:G,1,0),"Balance")</f>
        <v>Balance</v>
      </c>
      <c r="AD7534" s="159">
        <f>+Table1[[#This Row],[SUBTOTAL]]+Table1[[#This Row],[IVA]]-Table1[[#This Row],[RET IVA]]-Table1[[#This Row],[RET ISR]]-Table1[[#This Row],[TOTAL]]</f>
        <v>0</v>
      </c>
    </row>
    <row r="7535" spans="1:30">
      <c r="A7535" s="172"/>
      <c r="B7535" s="178"/>
      <c r="C7535" s="179"/>
      <c r="D7535" s="180"/>
      <c r="E7535" s="125"/>
      <c r="F7535" s="178"/>
      <c r="G7535" s="178"/>
      <c r="H7535" s="178"/>
      <c r="I7535" s="178"/>
      <c r="J7535" s="178"/>
      <c r="K7535" s="178"/>
      <c r="L7535" s="125"/>
      <c r="M7535" s="125"/>
      <c r="N7535" s="182"/>
      <c r="O7535" s="177"/>
      <c r="P7535" s="176"/>
      <c r="Q7535" s="176"/>
      <c r="R7535" s="176"/>
      <c r="S7535" s="176"/>
      <c r="T7535" s="190"/>
      <c r="U7535" s="191"/>
      <c r="V7535" s="191">
        <f>+Table1[[#This Row],[SUBTOTAL]]+Table1[[#This Row],[IVA]]-Table1[[#This Row],[RET IVA]]-Table1[[#This Row],[RET ISR]]</f>
        <v>0</v>
      </c>
      <c r="W7535" s="185"/>
      <c r="X7535" s="186"/>
      <c r="Y7535" s="187"/>
      <c r="Z7535" s="204">
        <f>+Table1[[#This Row],[CONCEPTO]]+Table1[[#This Row],[TIPO2]]-Table1[[#This Row],[IVA]]-Table1[[#This Row],[OTROS IMPUESTOS]]-Table1[[#This Row],[RET IVA]]</f>
        <v>0</v>
      </c>
      <c r="AB7535" t="str">
        <f>IF(Table1[[#This Row],[TIPO2]]="costo", VLOOKUP(Table1[[#This Row],[PARTIDA PRESUPUESTAL]],'Cost Report'!G:G,1,0),"Balance")</f>
        <v>Balance</v>
      </c>
      <c r="AD7535" s="159">
        <f>+Table1[[#This Row],[SUBTOTAL]]+Table1[[#This Row],[IVA]]-Table1[[#This Row],[RET IVA]]-Table1[[#This Row],[RET ISR]]-Table1[[#This Row],[TOTAL]]</f>
        <v>0</v>
      </c>
    </row>
    <row r="7536" spans="1:30">
      <c r="A7536" s="172"/>
      <c r="B7536" s="178"/>
      <c r="C7536" s="179"/>
      <c r="D7536" s="180"/>
      <c r="E7536" s="125"/>
      <c r="F7536" s="178"/>
      <c r="G7536" s="178"/>
      <c r="H7536" s="178"/>
      <c r="I7536" s="178"/>
      <c r="J7536" s="178"/>
      <c r="K7536" s="178"/>
      <c r="L7536" s="125"/>
      <c r="M7536" s="125"/>
      <c r="N7536" s="182"/>
      <c r="O7536" s="177"/>
      <c r="P7536" s="176"/>
      <c r="Q7536" s="176"/>
      <c r="R7536" s="176"/>
      <c r="S7536" s="176"/>
      <c r="T7536" s="190"/>
      <c r="U7536" s="191"/>
      <c r="V7536" s="191">
        <f>+Table1[[#This Row],[SUBTOTAL]]+Table1[[#This Row],[IVA]]-Table1[[#This Row],[RET IVA]]-Table1[[#This Row],[RET ISR]]</f>
        <v>0</v>
      </c>
      <c r="W7536" s="185"/>
      <c r="X7536" s="186"/>
      <c r="Y7536" s="187"/>
      <c r="Z7536" s="204">
        <f>+Table1[[#This Row],[CONCEPTO]]+Table1[[#This Row],[TIPO2]]-Table1[[#This Row],[IVA]]-Table1[[#This Row],[OTROS IMPUESTOS]]-Table1[[#This Row],[RET IVA]]</f>
        <v>0</v>
      </c>
      <c r="AB7536" t="str">
        <f>IF(Table1[[#This Row],[TIPO2]]="costo", VLOOKUP(Table1[[#This Row],[PARTIDA PRESUPUESTAL]],'Cost Report'!G:G,1,0),"Balance")</f>
        <v>Balance</v>
      </c>
      <c r="AD7536" s="159">
        <f>+Table1[[#This Row],[SUBTOTAL]]+Table1[[#This Row],[IVA]]-Table1[[#This Row],[RET IVA]]-Table1[[#This Row],[RET ISR]]-Table1[[#This Row],[TOTAL]]</f>
        <v>0</v>
      </c>
    </row>
    <row r="7537" spans="1:30">
      <c r="A7537" s="172"/>
      <c r="B7537" s="178"/>
      <c r="C7537" s="179"/>
      <c r="D7537" s="180"/>
      <c r="E7537" s="125"/>
      <c r="F7537" s="178"/>
      <c r="G7537" s="178"/>
      <c r="H7537" s="178"/>
      <c r="I7537" s="178"/>
      <c r="J7537" s="178"/>
      <c r="K7537" s="178"/>
      <c r="L7537" s="125"/>
      <c r="M7537" s="125"/>
      <c r="N7537" s="182"/>
      <c r="O7537" s="177"/>
      <c r="P7537" s="176"/>
      <c r="Q7537" s="176"/>
      <c r="R7537" s="176"/>
      <c r="S7537" s="176"/>
      <c r="T7537" s="190"/>
      <c r="U7537" s="191"/>
      <c r="V7537" s="191">
        <f>+Table1[[#This Row],[SUBTOTAL]]+Table1[[#This Row],[IVA]]-Table1[[#This Row],[RET IVA]]-Table1[[#This Row],[RET ISR]]</f>
        <v>0</v>
      </c>
      <c r="W7537" s="185"/>
      <c r="X7537" s="186"/>
      <c r="Y7537" s="187"/>
      <c r="Z7537" s="204">
        <f>+Table1[[#This Row],[CONCEPTO]]+Table1[[#This Row],[TIPO2]]-Table1[[#This Row],[IVA]]-Table1[[#This Row],[OTROS IMPUESTOS]]-Table1[[#This Row],[RET IVA]]</f>
        <v>0</v>
      </c>
      <c r="AB7537" t="str">
        <f>IF(Table1[[#This Row],[TIPO2]]="costo", VLOOKUP(Table1[[#This Row],[PARTIDA PRESUPUESTAL]],'Cost Report'!G:G,1,0),"Balance")</f>
        <v>Balance</v>
      </c>
      <c r="AD7537" s="159">
        <f>+Table1[[#This Row],[SUBTOTAL]]+Table1[[#This Row],[IVA]]-Table1[[#This Row],[RET IVA]]-Table1[[#This Row],[RET ISR]]-Table1[[#This Row],[TOTAL]]</f>
        <v>0</v>
      </c>
    </row>
    <row r="7538" spans="1:30">
      <c r="A7538" s="172"/>
      <c r="B7538" s="178"/>
      <c r="C7538" s="179"/>
      <c r="D7538" s="180"/>
      <c r="E7538" s="125"/>
      <c r="F7538" s="178"/>
      <c r="G7538" s="178"/>
      <c r="H7538" s="178"/>
      <c r="I7538" s="178"/>
      <c r="J7538" s="178"/>
      <c r="K7538" s="178"/>
      <c r="L7538" s="125"/>
      <c r="M7538" s="125"/>
      <c r="N7538" s="182"/>
      <c r="O7538" s="177"/>
      <c r="P7538" s="176"/>
      <c r="Q7538" s="176"/>
      <c r="R7538" s="176"/>
      <c r="S7538" s="176"/>
      <c r="T7538" s="190"/>
      <c r="U7538" s="191"/>
      <c r="V7538" s="191">
        <f>+Table1[[#This Row],[SUBTOTAL]]+Table1[[#This Row],[IVA]]-Table1[[#This Row],[RET IVA]]-Table1[[#This Row],[RET ISR]]</f>
        <v>0</v>
      </c>
      <c r="W7538" s="185"/>
      <c r="X7538" s="186"/>
      <c r="Y7538" s="187"/>
      <c r="Z7538" s="204">
        <f>+Table1[[#This Row],[CONCEPTO]]+Table1[[#This Row],[TIPO2]]-Table1[[#This Row],[IVA]]-Table1[[#This Row],[OTROS IMPUESTOS]]-Table1[[#This Row],[RET IVA]]</f>
        <v>0</v>
      </c>
      <c r="AB7538" t="str">
        <f>IF(Table1[[#This Row],[TIPO2]]="costo", VLOOKUP(Table1[[#This Row],[PARTIDA PRESUPUESTAL]],'Cost Report'!G:G,1,0),"Balance")</f>
        <v>Balance</v>
      </c>
      <c r="AD7538" s="159">
        <f>+Table1[[#This Row],[SUBTOTAL]]+Table1[[#This Row],[IVA]]-Table1[[#This Row],[RET IVA]]-Table1[[#This Row],[RET ISR]]-Table1[[#This Row],[TOTAL]]</f>
        <v>0</v>
      </c>
    </row>
    <row r="7539" spans="1:30">
      <c r="A7539" s="172"/>
      <c r="B7539" s="178"/>
      <c r="C7539" s="179"/>
      <c r="D7539" s="180"/>
      <c r="E7539" s="125"/>
      <c r="F7539" s="178"/>
      <c r="G7539" s="178"/>
      <c r="H7539" s="178"/>
      <c r="I7539" s="178"/>
      <c r="J7539" s="178"/>
      <c r="K7539" s="178"/>
      <c r="L7539" s="125"/>
      <c r="M7539" s="125"/>
      <c r="N7539" s="182"/>
      <c r="O7539" s="177"/>
      <c r="P7539" s="176"/>
      <c r="Q7539" s="176"/>
      <c r="R7539" s="176"/>
      <c r="S7539" s="176"/>
      <c r="T7539" s="190"/>
      <c r="U7539" s="191"/>
      <c r="V7539" s="191">
        <f>+Table1[[#This Row],[SUBTOTAL]]+Table1[[#This Row],[IVA]]-Table1[[#This Row],[RET IVA]]-Table1[[#This Row],[RET ISR]]</f>
        <v>0</v>
      </c>
      <c r="W7539" s="185"/>
      <c r="X7539" s="186"/>
      <c r="Y7539" s="187"/>
      <c r="Z7539" s="204">
        <f>+Table1[[#This Row],[CONCEPTO]]+Table1[[#This Row],[TIPO2]]-Table1[[#This Row],[IVA]]-Table1[[#This Row],[OTROS IMPUESTOS]]-Table1[[#This Row],[RET IVA]]</f>
        <v>0</v>
      </c>
      <c r="AB7539" t="str">
        <f>IF(Table1[[#This Row],[TIPO2]]="costo", VLOOKUP(Table1[[#This Row],[PARTIDA PRESUPUESTAL]],'Cost Report'!G:G,1,0),"Balance")</f>
        <v>Balance</v>
      </c>
      <c r="AD7539" s="159">
        <f>+Table1[[#This Row],[SUBTOTAL]]+Table1[[#This Row],[IVA]]-Table1[[#This Row],[RET IVA]]-Table1[[#This Row],[RET ISR]]-Table1[[#This Row],[TOTAL]]</f>
        <v>0</v>
      </c>
    </row>
    <row r="7540" spans="1:30">
      <c r="A7540" s="172"/>
      <c r="B7540" s="178"/>
      <c r="C7540" s="179"/>
      <c r="D7540" s="180"/>
      <c r="E7540" s="125"/>
      <c r="F7540" s="178"/>
      <c r="G7540" s="178"/>
      <c r="H7540" s="178"/>
      <c r="I7540" s="178"/>
      <c r="J7540" s="178"/>
      <c r="K7540" s="178"/>
      <c r="L7540" s="125"/>
      <c r="M7540" s="125"/>
      <c r="N7540" s="182"/>
      <c r="O7540" s="177"/>
      <c r="P7540" s="176"/>
      <c r="Q7540" s="176"/>
      <c r="R7540" s="176"/>
      <c r="S7540" s="176"/>
      <c r="T7540" s="190"/>
      <c r="U7540" s="191"/>
      <c r="V7540" s="191">
        <f>+Table1[[#This Row],[SUBTOTAL]]+Table1[[#This Row],[IVA]]-Table1[[#This Row],[RET IVA]]-Table1[[#This Row],[RET ISR]]</f>
        <v>0</v>
      </c>
      <c r="W7540" s="185"/>
      <c r="X7540" s="186"/>
      <c r="Y7540" s="187"/>
      <c r="Z7540" s="204">
        <f>+Table1[[#This Row],[CONCEPTO]]+Table1[[#This Row],[TIPO2]]-Table1[[#This Row],[IVA]]-Table1[[#This Row],[OTROS IMPUESTOS]]-Table1[[#This Row],[RET IVA]]</f>
        <v>0</v>
      </c>
      <c r="AB7540" t="str">
        <f>IF(Table1[[#This Row],[TIPO2]]="costo", VLOOKUP(Table1[[#This Row],[PARTIDA PRESUPUESTAL]],'Cost Report'!G:G,1,0),"Balance")</f>
        <v>Balance</v>
      </c>
      <c r="AD7540" s="159">
        <f>+Table1[[#This Row],[SUBTOTAL]]+Table1[[#This Row],[IVA]]-Table1[[#This Row],[RET IVA]]-Table1[[#This Row],[RET ISR]]-Table1[[#This Row],[TOTAL]]</f>
        <v>0</v>
      </c>
    </row>
    <row r="7541" spans="1:30">
      <c r="A7541" s="172"/>
      <c r="B7541" s="178"/>
      <c r="C7541" s="179"/>
      <c r="D7541" s="180"/>
      <c r="E7541" s="125"/>
      <c r="F7541" s="178"/>
      <c r="G7541" s="178"/>
      <c r="H7541" s="178"/>
      <c r="I7541" s="178"/>
      <c r="J7541" s="178"/>
      <c r="K7541" s="178"/>
      <c r="L7541" s="125"/>
      <c r="M7541" s="125"/>
      <c r="N7541" s="182"/>
      <c r="O7541" s="177"/>
      <c r="P7541" s="176"/>
      <c r="Q7541" s="176"/>
      <c r="R7541" s="176"/>
      <c r="S7541" s="176"/>
      <c r="T7541" s="190"/>
      <c r="U7541" s="191"/>
      <c r="V7541" s="191">
        <f>+Table1[[#This Row],[SUBTOTAL]]+Table1[[#This Row],[IVA]]-Table1[[#This Row],[RET IVA]]-Table1[[#This Row],[RET ISR]]</f>
        <v>0</v>
      </c>
      <c r="W7541" s="185"/>
      <c r="X7541" s="186"/>
      <c r="Y7541" s="187"/>
      <c r="Z7541" s="204">
        <f>+Table1[[#This Row],[CONCEPTO]]+Table1[[#This Row],[TIPO2]]-Table1[[#This Row],[IVA]]-Table1[[#This Row],[OTROS IMPUESTOS]]-Table1[[#This Row],[RET IVA]]</f>
        <v>0</v>
      </c>
      <c r="AB7541" t="str">
        <f>IF(Table1[[#This Row],[TIPO2]]="costo", VLOOKUP(Table1[[#This Row],[PARTIDA PRESUPUESTAL]],'Cost Report'!G:G,1,0),"Balance")</f>
        <v>Balance</v>
      </c>
      <c r="AD7541" s="159">
        <f>+Table1[[#This Row],[SUBTOTAL]]+Table1[[#This Row],[IVA]]-Table1[[#This Row],[RET IVA]]-Table1[[#This Row],[RET ISR]]-Table1[[#This Row],[TOTAL]]</f>
        <v>0</v>
      </c>
    </row>
    <row r="7542" spans="1:30">
      <c r="A7542" s="172"/>
      <c r="B7542" s="178"/>
      <c r="C7542" s="179"/>
      <c r="D7542" s="180"/>
      <c r="E7542" s="125"/>
      <c r="F7542" s="178"/>
      <c r="G7542" s="178"/>
      <c r="H7542" s="178"/>
      <c r="I7542" s="178"/>
      <c r="J7542" s="178"/>
      <c r="K7542" s="178"/>
      <c r="L7542" s="125"/>
      <c r="M7542" s="125"/>
      <c r="N7542" s="182"/>
      <c r="O7542" s="177"/>
      <c r="P7542" s="176"/>
      <c r="Q7542" s="176"/>
      <c r="R7542" s="176"/>
      <c r="S7542" s="176"/>
      <c r="T7542" s="190"/>
      <c r="U7542" s="191"/>
      <c r="V7542" s="191">
        <f>+Table1[[#This Row],[SUBTOTAL]]+Table1[[#This Row],[IVA]]-Table1[[#This Row],[RET IVA]]-Table1[[#This Row],[RET ISR]]</f>
        <v>0</v>
      </c>
      <c r="W7542" s="185"/>
      <c r="X7542" s="186"/>
      <c r="Y7542" s="187"/>
      <c r="Z7542" s="204">
        <f>+Table1[[#This Row],[CONCEPTO]]+Table1[[#This Row],[TIPO2]]-Table1[[#This Row],[IVA]]-Table1[[#This Row],[OTROS IMPUESTOS]]-Table1[[#This Row],[RET IVA]]</f>
        <v>0</v>
      </c>
      <c r="AB7542" t="str">
        <f>IF(Table1[[#This Row],[TIPO2]]="costo", VLOOKUP(Table1[[#This Row],[PARTIDA PRESUPUESTAL]],'Cost Report'!G:G,1,0),"Balance")</f>
        <v>Balance</v>
      </c>
      <c r="AD7542" s="159">
        <f>+Table1[[#This Row],[SUBTOTAL]]+Table1[[#This Row],[IVA]]-Table1[[#This Row],[RET IVA]]-Table1[[#This Row],[RET ISR]]-Table1[[#This Row],[TOTAL]]</f>
        <v>0</v>
      </c>
    </row>
    <row r="7543" spans="1:30">
      <c r="A7543" s="172"/>
      <c r="B7543" s="178"/>
      <c r="C7543" s="179"/>
      <c r="D7543" s="180"/>
      <c r="E7543" s="125"/>
      <c r="F7543" s="178"/>
      <c r="G7543" s="178"/>
      <c r="H7543" s="178"/>
      <c r="I7543" s="178"/>
      <c r="J7543" s="178"/>
      <c r="K7543" s="178"/>
      <c r="L7543" s="125"/>
      <c r="M7543" s="125"/>
      <c r="N7543" s="182"/>
      <c r="O7543" s="177"/>
      <c r="P7543" s="176"/>
      <c r="Q7543" s="176"/>
      <c r="R7543" s="176"/>
      <c r="S7543" s="176"/>
      <c r="T7543" s="190"/>
      <c r="U7543" s="191"/>
      <c r="V7543" s="191">
        <f>+Table1[[#This Row],[SUBTOTAL]]+Table1[[#This Row],[IVA]]-Table1[[#This Row],[RET IVA]]-Table1[[#This Row],[RET ISR]]</f>
        <v>0</v>
      </c>
      <c r="W7543" s="185"/>
      <c r="X7543" s="186"/>
      <c r="Y7543" s="187"/>
      <c r="Z7543" s="204">
        <f>+Table1[[#This Row],[CONCEPTO]]+Table1[[#This Row],[TIPO2]]-Table1[[#This Row],[IVA]]-Table1[[#This Row],[OTROS IMPUESTOS]]-Table1[[#This Row],[RET IVA]]</f>
        <v>0</v>
      </c>
      <c r="AB7543" t="str">
        <f>IF(Table1[[#This Row],[TIPO2]]="costo", VLOOKUP(Table1[[#This Row],[PARTIDA PRESUPUESTAL]],'Cost Report'!G:G,1,0),"Balance")</f>
        <v>Balance</v>
      </c>
      <c r="AD7543" s="159">
        <f>+Table1[[#This Row],[SUBTOTAL]]+Table1[[#This Row],[IVA]]-Table1[[#This Row],[RET IVA]]-Table1[[#This Row],[RET ISR]]-Table1[[#This Row],[TOTAL]]</f>
        <v>0</v>
      </c>
    </row>
    <row r="7544" spans="1:30">
      <c r="A7544" s="172"/>
      <c r="B7544" s="178"/>
      <c r="C7544" s="179"/>
      <c r="D7544" s="180"/>
      <c r="E7544" s="125"/>
      <c r="F7544" s="178"/>
      <c r="G7544" s="178"/>
      <c r="H7544" s="178"/>
      <c r="I7544" s="178"/>
      <c r="J7544" s="178"/>
      <c r="K7544" s="178"/>
      <c r="L7544" s="125"/>
      <c r="M7544" s="125"/>
      <c r="N7544" s="182"/>
      <c r="O7544" s="177"/>
      <c r="P7544" s="176"/>
      <c r="Q7544" s="176"/>
      <c r="R7544" s="176"/>
      <c r="S7544" s="176"/>
      <c r="T7544" s="190"/>
      <c r="U7544" s="191"/>
      <c r="V7544" s="191">
        <f>+Table1[[#This Row],[SUBTOTAL]]+Table1[[#This Row],[IVA]]-Table1[[#This Row],[RET IVA]]-Table1[[#This Row],[RET ISR]]</f>
        <v>0</v>
      </c>
      <c r="W7544" s="185"/>
      <c r="X7544" s="186"/>
      <c r="Y7544" s="187"/>
      <c r="Z7544" s="204">
        <f>+Table1[[#This Row],[CONCEPTO]]+Table1[[#This Row],[TIPO2]]-Table1[[#This Row],[IVA]]-Table1[[#This Row],[OTROS IMPUESTOS]]-Table1[[#This Row],[RET IVA]]</f>
        <v>0</v>
      </c>
      <c r="AB7544" t="str">
        <f>IF(Table1[[#This Row],[TIPO2]]="costo", VLOOKUP(Table1[[#This Row],[PARTIDA PRESUPUESTAL]],'Cost Report'!G:G,1,0),"Balance")</f>
        <v>Balance</v>
      </c>
      <c r="AD7544" s="159">
        <f>+Table1[[#This Row],[SUBTOTAL]]+Table1[[#This Row],[IVA]]-Table1[[#This Row],[RET IVA]]-Table1[[#This Row],[RET ISR]]-Table1[[#This Row],[TOTAL]]</f>
        <v>0</v>
      </c>
    </row>
    <row r="7545" spans="1:30">
      <c r="A7545" s="172"/>
      <c r="B7545" s="178"/>
      <c r="C7545" s="179"/>
      <c r="D7545" s="180"/>
      <c r="E7545" s="125"/>
      <c r="F7545" s="178"/>
      <c r="G7545" s="178"/>
      <c r="H7545" s="178"/>
      <c r="I7545" s="178"/>
      <c r="J7545" s="178"/>
      <c r="K7545" s="178"/>
      <c r="L7545" s="125"/>
      <c r="M7545" s="125"/>
      <c r="N7545" s="182"/>
      <c r="O7545" s="177"/>
      <c r="P7545" s="176"/>
      <c r="Q7545" s="176"/>
      <c r="R7545" s="176"/>
      <c r="S7545" s="176"/>
      <c r="T7545" s="190"/>
      <c r="U7545" s="191"/>
      <c r="V7545" s="191">
        <f>+Table1[[#This Row],[SUBTOTAL]]+Table1[[#This Row],[IVA]]-Table1[[#This Row],[RET IVA]]-Table1[[#This Row],[RET ISR]]</f>
        <v>0</v>
      </c>
      <c r="W7545" s="185"/>
      <c r="X7545" s="186"/>
      <c r="Y7545" s="187"/>
      <c r="Z7545" s="204">
        <f>+Table1[[#This Row],[CONCEPTO]]+Table1[[#This Row],[TIPO2]]-Table1[[#This Row],[IVA]]-Table1[[#This Row],[OTROS IMPUESTOS]]-Table1[[#This Row],[RET IVA]]</f>
        <v>0</v>
      </c>
      <c r="AB7545" t="str">
        <f>IF(Table1[[#This Row],[TIPO2]]="costo", VLOOKUP(Table1[[#This Row],[PARTIDA PRESUPUESTAL]],'Cost Report'!G:G,1,0),"Balance")</f>
        <v>Balance</v>
      </c>
      <c r="AD7545" s="159">
        <f>+Table1[[#This Row],[SUBTOTAL]]+Table1[[#This Row],[IVA]]-Table1[[#This Row],[RET IVA]]-Table1[[#This Row],[RET ISR]]-Table1[[#This Row],[TOTAL]]</f>
        <v>0</v>
      </c>
    </row>
    <row r="7546" spans="1:30">
      <c r="A7546" s="172"/>
      <c r="B7546" s="178"/>
      <c r="C7546" s="179"/>
      <c r="D7546" s="180"/>
      <c r="E7546" s="125"/>
      <c r="F7546" s="178"/>
      <c r="G7546" s="178"/>
      <c r="H7546" s="178"/>
      <c r="I7546" s="178"/>
      <c r="J7546" s="178"/>
      <c r="K7546" s="178"/>
      <c r="L7546" s="125"/>
      <c r="M7546" s="125"/>
      <c r="N7546" s="182"/>
      <c r="O7546" s="177"/>
      <c r="P7546" s="176"/>
      <c r="Q7546" s="176"/>
      <c r="R7546" s="176"/>
      <c r="S7546" s="176"/>
      <c r="T7546" s="190"/>
      <c r="U7546" s="191"/>
      <c r="V7546" s="191">
        <f>+Table1[[#This Row],[SUBTOTAL]]+Table1[[#This Row],[IVA]]-Table1[[#This Row],[RET IVA]]-Table1[[#This Row],[RET ISR]]</f>
        <v>0</v>
      </c>
      <c r="W7546" s="185"/>
      <c r="X7546" s="186"/>
      <c r="Y7546" s="187"/>
      <c r="Z7546" s="204">
        <f>+Table1[[#This Row],[CONCEPTO]]+Table1[[#This Row],[TIPO2]]-Table1[[#This Row],[IVA]]-Table1[[#This Row],[OTROS IMPUESTOS]]-Table1[[#This Row],[RET IVA]]</f>
        <v>0</v>
      </c>
      <c r="AB7546" t="str">
        <f>IF(Table1[[#This Row],[TIPO2]]="costo", VLOOKUP(Table1[[#This Row],[PARTIDA PRESUPUESTAL]],'Cost Report'!G:G,1,0),"Balance")</f>
        <v>Balance</v>
      </c>
      <c r="AD7546" s="159">
        <f>+Table1[[#This Row],[SUBTOTAL]]+Table1[[#This Row],[IVA]]-Table1[[#This Row],[RET IVA]]-Table1[[#This Row],[RET ISR]]-Table1[[#This Row],[TOTAL]]</f>
        <v>0</v>
      </c>
    </row>
    <row r="7547" spans="1:30">
      <c r="A7547" s="172"/>
      <c r="B7547" s="178"/>
      <c r="C7547" s="179"/>
      <c r="D7547" s="180"/>
      <c r="E7547" s="125"/>
      <c r="F7547" s="178"/>
      <c r="G7547" s="178"/>
      <c r="H7547" s="178"/>
      <c r="I7547" s="178"/>
      <c r="J7547" s="178"/>
      <c r="K7547" s="178"/>
      <c r="L7547" s="125"/>
      <c r="M7547" s="125"/>
      <c r="N7547" s="182"/>
      <c r="O7547" s="177"/>
      <c r="P7547" s="176"/>
      <c r="Q7547" s="176"/>
      <c r="R7547" s="176"/>
      <c r="S7547" s="176"/>
      <c r="T7547" s="190"/>
      <c r="U7547" s="191"/>
      <c r="V7547" s="191">
        <f>+Table1[[#This Row],[SUBTOTAL]]+Table1[[#This Row],[IVA]]-Table1[[#This Row],[RET IVA]]-Table1[[#This Row],[RET ISR]]</f>
        <v>0</v>
      </c>
      <c r="W7547" s="185"/>
      <c r="X7547" s="186"/>
      <c r="Y7547" s="187"/>
      <c r="Z7547" s="204">
        <f>+Table1[[#This Row],[CONCEPTO]]+Table1[[#This Row],[TIPO2]]-Table1[[#This Row],[IVA]]-Table1[[#This Row],[OTROS IMPUESTOS]]-Table1[[#This Row],[RET IVA]]</f>
        <v>0</v>
      </c>
      <c r="AB7547" t="str">
        <f>IF(Table1[[#This Row],[TIPO2]]="costo", VLOOKUP(Table1[[#This Row],[PARTIDA PRESUPUESTAL]],'Cost Report'!G:G,1,0),"Balance")</f>
        <v>Balance</v>
      </c>
      <c r="AD7547" s="159">
        <f>+Table1[[#This Row],[SUBTOTAL]]+Table1[[#This Row],[IVA]]-Table1[[#This Row],[RET IVA]]-Table1[[#This Row],[RET ISR]]-Table1[[#This Row],[TOTAL]]</f>
        <v>0</v>
      </c>
    </row>
    <row r="7548" spans="1:30">
      <c r="A7548" s="172"/>
      <c r="B7548" s="178"/>
      <c r="C7548" s="179"/>
      <c r="D7548" s="180"/>
      <c r="E7548" s="125"/>
      <c r="F7548" s="178"/>
      <c r="G7548" s="178"/>
      <c r="H7548" s="178"/>
      <c r="I7548" s="178"/>
      <c r="J7548" s="178"/>
      <c r="K7548" s="178"/>
      <c r="L7548" s="125"/>
      <c r="M7548" s="125"/>
      <c r="N7548" s="182"/>
      <c r="O7548" s="177"/>
      <c r="P7548" s="176"/>
      <c r="Q7548" s="176"/>
      <c r="R7548" s="176"/>
      <c r="S7548" s="176"/>
      <c r="T7548" s="190"/>
      <c r="U7548" s="191"/>
      <c r="V7548" s="191">
        <f>+Table1[[#This Row],[SUBTOTAL]]+Table1[[#This Row],[IVA]]-Table1[[#This Row],[RET IVA]]-Table1[[#This Row],[RET ISR]]</f>
        <v>0</v>
      </c>
      <c r="W7548" s="185"/>
      <c r="X7548" s="186"/>
      <c r="Y7548" s="187"/>
      <c r="Z7548" s="204">
        <f>+Table1[[#This Row],[CONCEPTO]]+Table1[[#This Row],[TIPO2]]-Table1[[#This Row],[IVA]]-Table1[[#This Row],[OTROS IMPUESTOS]]-Table1[[#This Row],[RET IVA]]</f>
        <v>0</v>
      </c>
      <c r="AB7548" t="str">
        <f>IF(Table1[[#This Row],[TIPO2]]="costo", VLOOKUP(Table1[[#This Row],[PARTIDA PRESUPUESTAL]],'Cost Report'!G:G,1,0),"Balance")</f>
        <v>Balance</v>
      </c>
      <c r="AD7548" s="159">
        <f>+Table1[[#This Row],[SUBTOTAL]]+Table1[[#This Row],[IVA]]-Table1[[#This Row],[RET IVA]]-Table1[[#This Row],[RET ISR]]-Table1[[#This Row],[TOTAL]]</f>
        <v>0</v>
      </c>
    </row>
    <row r="7549" spans="1:30">
      <c r="A7549" s="172"/>
      <c r="B7549" s="178"/>
      <c r="C7549" s="179"/>
      <c r="D7549" s="180"/>
      <c r="E7549" s="125"/>
      <c r="F7549" s="178"/>
      <c r="G7549" s="178"/>
      <c r="H7549" s="178"/>
      <c r="I7549" s="178"/>
      <c r="J7549" s="178"/>
      <c r="K7549" s="178"/>
      <c r="L7549" s="125"/>
      <c r="M7549" s="125"/>
      <c r="N7549" s="182"/>
      <c r="O7549" s="177"/>
      <c r="P7549" s="176"/>
      <c r="Q7549" s="176"/>
      <c r="R7549" s="176"/>
      <c r="S7549" s="176"/>
      <c r="T7549" s="190"/>
      <c r="U7549" s="191"/>
      <c r="V7549" s="191">
        <f>+Table1[[#This Row],[SUBTOTAL]]+Table1[[#This Row],[IVA]]-Table1[[#This Row],[RET IVA]]-Table1[[#This Row],[RET ISR]]</f>
        <v>0</v>
      </c>
      <c r="W7549" s="185"/>
      <c r="X7549" s="186"/>
      <c r="Y7549" s="187"/>
      <c r="Z7549" s="204">
        <f>+Table1[[#This Row],[CONCEPTO]]+Table1[[#This Row],[TIPO2]]-Table1[[#This Row],[IVA]]-Table1[[#This Row],[OTROS IMPUESTOS]]-Table1[[#This Row],[RET IVA]]</f>
        <v>0</v>
      </c>
      <c r="AB7549" t="str">
        <f>IF(Table1[[#This Row],[TIPO2]]="costo", VLOOKUP(Table1[[#This Row],[PARTIDA PRESUPUESTAL]],'Cost Report'!G:G,1,0),"Balance")</f>
        <v>Balance</v>
      </c>
      <c r="AD7549" s="159">
        <f>+Table1[[#This Row],[SUBTOTAL]]+Table1[[#This Row],[IVA]]-Table1[[#This Row],[RET IVA]]-Table1[[#This Row],[RET ISR]]-Table1[[#This Row],[TOTAL]]</f>
        <v>0</v>
      </c>
    </row>
    <row r="7550" spans="1:30">
      <c r="A7550" s="172"/>
      <c r="B7550" s="178"/>
      <c r="C7550" s="179"/>
      <c r="D7550" s="180"/>
      <c r="E7550" s="125"/>
      <c r="F7550" s="178"/>
      <c r="G7550" s="178"/>
      <c r="H7550" s="178"/>
      <c r="I7550" s="178"/>
      <c r="J7550" s="178"/>
      <c r="K7550" s="178"/>
      <c r="L7550" s="125"/>
      <c r="M7550" s="125"/>
      <c r="N7550" s="182"/>
      <c r="O7550" s="177"/>
      <c r="P7550" s="176"/>
      <c r="Q7550" s="176"/>
      <c r="R7550" s="176"/>
      <c r="S7550" s="176"/>
      <c r="T7550" s="190"/>
      <c r="U7550" s="191"/>
      <c r="V7550" s="191">
        <f>+Table1[[#This Row],[SUBTOTAL]]+Table1[[#This Row],[IVA]]-Table1[[#This Row],[RET IVA]]-Table1[[#This Row],[RET ISR]]</f>
        <v>0</v>
      </c>
      <c r="W7550" s="185"/>
      <c r="X7550" s="186"/>
      <c r="Y7550" s="187"/>
      <c r="Z7550" s="204">
        <f>+Table1[[#This Row],[CONCEPTO]]+Table1[[#This Row],[TIPO2]]-Table1[[#This Row],[IVA]]-Table1[[#This Row],[OTROS IMPUESTOS]]-Table1[[#This Row],[RET IVA]]</f>
        <v>0</v>
      </c>
      <c r="AB7550" t="str">
        <f>IF(Table1[[#This Row],[TIPO2]]="costo", VLOOKUP(Table1[[#This Row],[PARTIDA PRESUPUESTAL]],'Cost Report'!G:G,1,0),"Balance")</f>
        <v>Balance</v>
      </c>
      <c r="AD7550" s="159">
        <f>+Table1[[#This Row],[SUBTOTAL]]+Table1[[#This Row],[IVA]]-Table1[[#This Row],[RET IVA]]-Table1[[#This Row],[RET ISR]]-Table1[[#This Row],[TOTAL]]</f>
        <v>0</v>
      </c>
    </row>
    <row r="7551" spans="1:30">
      <c r="A7551" s="172"/>
      <c r="B7551" s="178"/>
      <c r="C7551" s="179"/>
      <c r="D7551" s="180"/>
      <c r="E7551" s="125"/>
      <c r="F7551" s="178"/>
      <c r="G7551" s="178"/>
      <c r="H7551" s="178"/>
      <c r="I7551" s="178"/>
      <c r="J7551" s="178"/>
      <c r="K7551" s="178"/>
      <c r="L7551" s="125"/>
      <c r="M7551" s="125"/>
      <c r="N7551" s="182"/>
      <c r="O7551" s="177"/>
      <c r="P7551" s="176"/>
      <c r="Q7551" s="176"/>
      <c r="R7551" s="176"/>
      <c r="S7551" s="176"/>
      <c r="T7551" s="190"/>
      <c r="U7551" s="191"/>
      <c r="V7551" s="191">
        <f>+Table1[[#This Row],[SUBTOTAL]]+Table1[[#This Row],[IVA]]-Table1[[#This Row],[RET IVA]]-Table1[[#This Row],[RET ISR]]</f>
        <v>0</v>
      </c>
      <c r="W7551" s="185"/>
      <c r="X7551" s="186"/>
      <c r="Y7551" s="187"/>
      <c r="Z7551" s="204">
        <f>+Table1[[#This Row],[CONCEPTO]]+Table1[[#This Row],[TIPO2]]-Table1[[#This Row],[IVA]]-Table1[[#This Row],[OTROS IMPUESTOS]]-Table1[[#This Row],[RET IVA]]</f>
        <v>0</v>
      </c>
      <c r="AB7551" t="str">
        <f>IF(Table1[[#This Row],[TIPO2]]="costo", VLOOKUP(Table1[[#This Row],[PARTIDA PRESUPUESTAL]],'Cost Report'!G:G,1,0),"Balance")</f>
        <v>Balance</v>
      </c>
      <c r="AD7551" s="159">
        <f>+Table1[[#This Row],[SUBTOTAL]]+Table1[[#This Row],[IVA]]-Table1[[#This Row],[RET IVA]]-Table1[[#This Row],[RET ISR]]-Table1[[#This Row],[TOTAL]]</f>
        <v>0</v>
      </c>
    </row>
    <row r="7552" spans="1:30">
      <c r="A7552" s="172"/>
      <c r="B7552" s="178"/>
      <c r="C7552" s="179"/>
      <c r="D7552" s="180"/>
      <c r="E7552" s="125"/>
      <c r="F7552" s="178"/>
      <c r="G7552" s="178"/>
      <c r="H7552" s="178"/>
      <c r="I7552" s="178"/>
      <c r="J7552" s="178"/>
      <c r="K7552" s="178"/>
      <c r="L7552" s="125"/>
      <c r="M7552" s="125"/>
      <c r="N7552" s="182"/>
      <c r="O7552" s="177"/>
      <c r="P7552" s="176"/>
      <c r="Q7552" s="176"/>
      <c r="R7552" s="176"/>
      <c r="S7552" s="176"/>
      <c r="T7552" s="190"/>
      <c r="U7552" s="191"/>
      <c r="V7552" s="191">
        <f>+Table1[[#This Row],[SUBTOTAL]]+Table1[[#This Row],[IVA]]-Table1[[#This Row],[RET IVA]]-Table1[[#This Row],[RET ISR]]</f>
        <v>0</v>
      </c>
      <c r="W7552" s="185"/>
      <c r="X7552" s="186"/>
      <c r="Y7552" s="187"/>
      <c r="Z7552" s="204">
        <f>+Table1[[#This Row],[CONCEPTO]]+Table1[[#This Row],[TIPO2]]-Table1[[#This Row],[IVA]]-Table1[[#This Row],[OTROS IMPUESTOS]]-Table1[[#This Row],[RET IVA]]</f>
        <v>0</v>
      </c>
      <c r="AB7552" t="str">
        <f>IF(Table1[[#This Row],[TIPO2]]="costo", VLOOKUP(Table1[[#This Row],[PARTIDA PRESUPUESTAL]],'Cost Report'!G:G,1,0),"Balance")</f>
        <v>Balance</v>
      </c>
      <c r="AD7552" s="159">
        <f>+Table1[[#This Row],[SUBTOTAL]]+Table1[[#This Row],[IVA]]-Table1[[#This Row],[RET IVA]]-Table1[[#This Row],[RET ISR]]-Table1[[#This Row],[TOTAL]]</f>
        <v>0</v>
      </c>
    </row>
    <row r="7553" spans="1:30">
      <c r="A7553" s="172"/>
      <c r="B7553" s="178"/>
      <c r="C7553" s="179"/>
      <c r="D7553" s="180"/>
      <c r="E7553" s="125"/>
      <c r="F7553" s="178"/>
      <c r="G7553" s="178"/>
      <c r="H7553" s="178"/>
      <c r="I7553" s="178"/>
      <c r="J7553" s="178"/>
      <c r="K7553" s="178"/>
      <c r="L7553" s="125"/>
      <c r="M7553" s="125"/>
      <c r="N7553" s="182"/>
      <c r="O7553" s="177"/>
      <c r="P7553" s="176"/>
      <c r="Q7553" s="176"/>
      <c r="R7553" s="176"/>
      <c r="S7553" s="176"/>
      <c r="T7553" s="190"/>
      <c r="U7553" s="191"/>
      <c r="V7553" s="191">
        <f>+Table1[[#This Row],[SUBTOTAL]]+Table1[[#This Row],[IVA]]-Table1[[#This Row],[RET IVA]]-Table1[[#This Row],[RET ISR]]</f>
        <v>0</v>
      </c>
      <c r="W7553" s="185"/>
      <c r="X7553" s="186"/>
      <c r="Y7553" s="187"/>
      <c r="Z7553" s="204">
        <f>+Table1[[#This Row],[CONCEPTO]]+Table1[[#This Row],[TIPO2]]-Table1[[#This Row],[IVA]]-Table1[[#This Row],[OTROS IMPUESTOS]]-Table1[[#This Row],[RET IVA]]</f>
        <v>0</v>
      </c>
      <c r="AB7553" t="str">
        <f>IF(Table1[[#This Row],[TIPO2]]="costo", VLOOKUP(Table1[[#This Row],[PARTIDA PRESUPUESTAL]],'Cost Report'!G:G,1,0),"Balance")</f>
        <v>Balance</v>
      </c>
      <c r="AD7553" s="159">
        <f>+Table1[[#This Row],[SUBTOTAL]]+Table1[[#This Row],[IVA]]-Table1[[#This Row],[RET IVA]]-Table1[[#This Row],[RET ISR]]-Table1[[#This Row],[TOTAL]]</f>
        <v>0</v>
      </c>
    </row>
    <row r="7554" spans="1:30">
      <c r="A7554" s="172"/>
      <c r="B7554" s="178"/>
      <c r="C7554" s="179"/>
      <c r="D7554" s="180"/>
      <c r="E7554" s="125"/>
      <c r="F7554" s="178"/>
      <c r="G7554" s="178"/>
      <c r="H7554" s="178"/>
      <c r="I7554" s="178"/>
      <c r="J7554" s="178"/>
      <c r="K7554" s="178"/>
      <c r="L7554" s="125"/>
      <c r="M7554" s="125"/>
      <c r="N7554" s="182"/>
      <c r="O7554" s="177"/>
      <c r="P7554" s="176"/>
      <c r="Q7554" s="176"/>
      <c r="R7554" s="176"/>
      <c r="S7554" s="176"/>
      <c r="T7554" s="190"/>
      <c r="U7554" s="191"/>
      <c r="V7554" s="191">
        <f>+Table1[[#This Row],[SUBTOTAL]]+Table1[[#This Row],[IVA]]-Table1[[#This Row],[RET IVA]]-Table1[[#This Row],[RET ISR]]</f>
        <v>0</v>
      </c>
      <c r="W7554" s="185"/>
      <c r="X7554" s="186"/>
      <c r="Y7554" s="187"/>
      <c r="Z7554" s="204">
        <f>+Table1[[#This Row],[CONCEPTO]]+Table1[[#This Row],[TIPO2]]-Table1[[#This Row],[IVA]]-Table1[[#This Row],[OTROS IMPUESTOS]]-Table1[[#This Row],[RET IVA]]</f>
        <v>0</v>
      </c>
      <c r="AB7554" t="str">
        <f>IF(Table1[[#This Row],[TIPO2]]="costo", VLOOKUP(Table1[[#This Row],[PARTIDA PRESUPUESTAL]],'Cost Report'!G:G,1,0),"Balance")</f>
        <v>Balance</v>
      </c>
      <c r="AD7554" s="159">
        <f>+Table1[[#This Row],[SUBTOTAL]]+Table1[[#This Row],[IVA]]-Table1[[#This Row],[RET IVA]]-Table1[[#This Row],[RET ISR]]-Table1[[#This Row],[TOTAL]]</f>
        <v>0</v>
      </c>
    </row>
    <row r="7555" spans="1:30">
      <c r="A7555" s="172"/>
      <c r="B7555" s="178"/>
      <c r="C7555" s="179"/>
      <c r="D7555" s="180"/>
      <c r="E7555" s="125"/>
      <c r="F7555" s="178"/>
      <c r="G7555" s="178"/>
      <c r="H7555" s="178"/>
      <c r="I7555" s="178"/>
      <c r="J7555" s="178"/>
      <c r="K7555" s="178"/>
      <c r="L7555" s="125"/>
      <c r="M7555" s="125"/>
      <c r="N7555" s="182"/>
      <c r="O7555" s="177"/>
      <c r="P7555" s="176"/>
      <c r="Q7555" s="176"/>
      <c r="R7555" s="176"/>
      <c r="S7555" s="176"/>
      <c r="T7555" s="190"/>
      <c r="U7555" s="191"/>
      <c r="V7555" s="191">
        <f>+Table1[[#This Row],[SUBTOTAL]]+Table1[[#This Row],[IVA]]-Table1[[#This Row],[RET IVA]]-Table1[[#This Row],[RET ISR]]</f>
        <v>0</v>
      </c>
      <c r="W7555" s="185"/>
      <c r="X7555" s="186"/>
      <c r="Y7555" s="187"/>
      <c r="Z7555" s="204">
        <f>+Table1[[#This Row],[CONCEPTO]]+Table1[[#This Row],[TIPO2]]-Table1[[#This Row],[IVA]]-Table1[[#This Row],[OTROS IMPUESTOS]]-Table1[[#This Row],[RET IVA]]</f>
        <v>0</v>
      </c>
      <c r="AB7555" t="str">
        <f>IF(Table1[[#This Row],[TIPO2]]="costo", VLOOKUP(Table1[[#This Row],[PARTIDA PRESUPUESTAL]],'Cost Report'!G:G,1,0),"Balance")</f>
        <v>Balance</v>
      </c>
      <c r="AD7555" s="159">
        <f>+Table1[[#This Row],[SUBTOTAL]]+Table1[[#This Row],[IVA]]-Table1[[#This Row],[RET IVA]]-Table1[[#This Row],[RET ISR]]-Table1[[#This Row],[TOTAL]]</f>
        <v>0</v>
      </c>
    </row>
    <row r="7556" spans="1:30">
      <c r="A7556" s="172"/>
      <c r="B7556" s="178"/>
      <c r="C7556" s="179"/>
      <c r="D7556" s="180"/>
      <c r="E7556" s="125"/>
      <c r="F7556" s="178"/>
      <c r="G7556" s="178"/>
      <c r="H7556" s="178"/>
      <c r="I7556" s="178"/>
      <c r="J7556" s="178"/>
      <c r="K7556" s="178"/>
      <c r="L7556" s="125"/>
      <c r="M7556" s="125"/>
      <c r="N7556" s="182"/>
      <c r="O7556" s="177"/>
      <c r="P7556" s="176"/>
      <c r="Q7556" s="176"/>
      <c r="R7556" s="176"/>
      <c r="S7556" s="176"/>
      <c r="T7556" s="190"/>
      <c r="U7556" s="191"/>
      <c r="V7556" s="191">
        <f>+Table1[[#This Row],[SUBTOTAL]]+Table1[[#This Row],[IVA]]-Table1[[#This Row],[RET IVA]]-Table1[[#This Row],[RET ISR]]</f>
        <v>0</v>
      </c>
      <c r="W7556" s="185"/>
      <c r="X7556" s="186"/>
      <c r="Y7556" s="187"/>
      <c r="Z7556" s="204">
        <f>+Table1[[#This Row],[CONCEPTO]]+Table1[[#This Row],[TIPO2]]-Table1[[#This Row],[IVA]]-Table1[[#This Row],[OTROS IMPUESTOS]]-Table1[[#This Row],[RET IVA]]</f>
        <v>0</v>
      </c>
      <c r="AB7556" t="str">
        <f>IF(Table1[[#This Row],[TIPO2]]="costo", VLOOKUP(Table1[[#This Row],[PARTIDA PRESUPUESTAL]],'Cost Report'!G:G,1,0),"Balance")</f>
        <v>Balance</v>
      </c>
      <c r="AD7556" s="159">
        <f>+Table1[[#This Row],[SUBTOTAL]]+Table1[[#This Row],[IVA]]-Table1[[#This Row],[RET IVA]]-Table1[[#This Row],[RET ISR]]-Table1[[#This Row],[TOTAL]]</f>
        <v>0</v>
      </c>
    </row>
    <row r="7557" spans="1:30">
      <c r="A7557" s="172"/>
      <c r="B7557" s="178"/>
      <c r="C7557" s="179"/>
      <c r="D7557" s="180"/>
      <c r="E7557" s="125"/>
      <c r="F7557" s="178"/>
      <c r="G7557" s="178"/>
      <c r="H7557" s="178"/>
      <c r="I7557" s="178"/>
      <c r="J7557" s="178"/>
      <c r="K7557" s="178"/>
      <c r="L7557" s="125"/>
      <c r="M7557" s="125"/>
      <c r="N7557" s="182"/>
      <c r="O7557" s="177"/>
      <c r="P7557" s="176"/>
      <c r="Q7557" s="176"/>
      <c r="R7557" s="176"/>
      <c r="S7557" s="176"/>
      <c r="T7557" s="190"/>
      <c r="U7557" s="191"/>
      <c r="V7557" s="191">
        <f>+Table1[[#This Row],[SUBTOTAL]]+Table1[[#This Row],[IVA]]-Table1[[#This Row],[RET IVA]]-Table1[[#This Row],[RET ISR]]</f>
        <v>0</v>
      </c>
      <c r="W7557" s="185"/>
      <c r="X7557" s="186"/>
      <c r="Y7557" s="187"/>
      <c r="Z7557" s="204">
        <f>+Table1[[#This Row],[CONCEPTO]]+Table1[[#This Row],[TIPO2]]-Table1[[#This Row],[IVA]]-Table1[[#This Row],[OTROS IMPUESTOS]]-Table1[[#This Row],[RET IVA]]</f>
        <v>0</v>
      </c>
      <c r="AB7557" t="str">
        <f>IF(Table1[[#This Row],[TIPO2]]="costo", VLOOKUP(Table1[[#This Row],[PARTIDA PRESUPUESTAL]],'Cost Report'!G:G,1,0),"Balance")</f>
        <v>Balance</v>
      </c>
      <c r="AD7557" s="159">
        <f>+Table1[[#This Row],[SUBTOTAL]]+Table1[[#This Row],[IVA]]-Table1[[#This Row],[RET IVA]]-Table1[[#This Row],[RET ISR]]-Table1[[#This Row],[TOTAL]]</f>
        <v>0</v>
      </c>
    </row>
    <row r="7558" spans="1:30">
      <c r="A7558" s="172"/>
      <c r="B7558" s="178"/>
      <c r="C7558" s="179"/>
      <c r="D7558" s="180"/>
      <c r="E7558" s="125"/>
      <c r="F7558" s="178"/>
      <c r="G7558" s="178"/>
      <c r="H7558" s="178"/>
      <c r="I7558" s="178"/>
      <c r="J7558" s="178"/>
      <c r="K7558" s="178"/>
      <c r="L7558" s="125"/>
      <c r="M7558" s="125"/>
      <c r="N7558" s="182"/>
      <c r="O7558" s="177"/>
      <c r="P7558" s="176"/>
      <c r="Q7558" s="176"/>
      <c r="R7558" s="176"/>
      <c r="S7558" s="176"/>
      <c r="T7558" s="190"/>
      <c r="U7558" s="191"/>
      <c r="V7558" s="191">
        <f>+Table1[[#This Row],[SUBTOTAL]]+Table1[[#This Row],[IVA]]-Table1[[#This Row],[RET IVA]]-Table1[[#This Row],[RET ISR]]</f>
        <v>0</v>
      </c>
      <c r="W7558" s="185"/>
      <c r="X7558" s="186"/>
      <c r="Y7558" s="187"/>
      <c r="Z7558" s="204">
        <f>+Table1[[#This Row],[CONCEPTO]]+Table1[[#This Row],[TIPO2]]-Table1[[#This Row],[IVA]]-Table1[[#This Row],[OTROS IMPUESTOS]]-Table1[[#This Row],[RET IVA]]</f>
        <v>0</v>
      </c>
      <c r="AB7558" t="str">
        <f>IF(Table1[[#This Row],[TIPO2]]="costo", VLOOKUP(Table1[[#This Row],[PARTIDA PRESUPUESTAL]],'Cost Report'!G:G,1,0),"Balance")</f>
        <v>Balance</v>
      </c>
      <c r="AD7558" s="159">
        <f>+Table1[[#This Row],[SUBTOTAL]]+Table1[[#This Row],[IVA]]-Table1[[#This Row],[RET IVA]]-Table1[[#This Row],[RET ISR]]-Table1[[#This Row],[TOTAL]]</f>
        <v>0</v>
      </c>
    </row>
    <row r="7559" spans="1:30">
      <c r="A7559" s="172"/>
      <c r="B7559" s="178"/>
      <c r="C7559" s="179"/>
      <c r="D7559" s="180"/>
      <c r="E7559" s="125"/>
      <c r="F7559" s="178"/>
      <c r="G7559" s="178"/>
      <c r="H7559" s="178"/>
      <c r="I7559" s="178"/>
      <c r="J7559" s="178"/>
      <c r="K7559" s="178"/>
      <c r="L7559" s="125"/>
      <c r="M7559" s="125"/>
      <c r="N7559" s="182"/>
      <c r="O7559" s="177"/>
      <c r="P7559" s="176"/>
      <c r="Q7559" s="176"/>
      <c r="R7559" s="176"/>
      <c r="S7559" s="176"/>
      <c r="T7559" s="190"/>
      <c r="U7559" s="191"/>
      <c r="V7559" s="191">
        <f>+Table1[[#This Row],[SUBTOTAL]]+Table1[[#This Row],[IVA]]-Table1[[#This Row],[RET IVA]]-Table1[[#This Row],[RET ISR]]</f>
        <v>0</v>
      </c>
      <c r="W7559" s="185"/>
      <c r="X7559" s="186"/>
      <c r="Y7559" s="187"/>
      <c r="Z7559" s="204">
        <f>+Table1[[#This Row],[CONCEPTO]]+Table1[[#This Row],[TIPO2]]-Table1[[#This Row],[IVA]]-Table1[[#This Row],[OTROS IMPUESTOS]]-Table1[[#This Row],[RET IVA]]</f>
        <v>0</v>
      </c>
      <c r="AB7559" t="str">
        <f>IF(Table1[[#This Row],[TIPO2]]="costo", VLOOKUP(Table1[[#This Row],[PARTIDA PRESUPUESTAL]],'Cost Report'!G:G,1,0),"Balance")</f>
        <v>Balance</v>
      </c>
      <c r="AD7559" s="159">
        <f>+Table1[[#This Row],[SUBTOTAL]]+Table1[[#This Row],[IVA]]-Table1[[#This Row],[RET IVA]]-Table1[[#This Row],[RET ISR]]-Table1[[#This Row],[TOTAL]]</f>
        <v>0</v>
      </c>
    </row>
    <row r="7560" spans="1:30">
      <c r="A7560" s="172"/>
      <c r="B7560" s="178"/>
      <c r="C7560" s="179"/>
      <c r="D7560" s="180"/>
      <c r="E7560" s="125"/>
      <c r="F7560" s="178"/>
      <c r="G7560" s="178"/>
      <c r="H7560" s="178"/>
      <c r="I7560" s="178"/>
      <c r="J7560" s="178"/>
      <c r="K7560" s="178"/>
      <c r="L7560" s="125"/>
      <c r="M7560" s="125"/>
      <c r="N7560" s="182"/>
      <c r="O7560" s="177"/>
      <c r="P7560" s="176"/>
      <c r="Q7560" s="176"/>
      <c r="R7560" s="176"/>
      <c r="S7560" s="176"/>
      <c r="T7560" s="190"/>
      <c r="U7560" s="191"/>
      <c r="V7560" s="191">
        <f>+Table1[[#This Row],[SUBTOTAL]]+Table1[[#This Row],[IVA]]-Table1[[#This Row],[RET IVA]]-Table1[[#This Row],[RET ISR]]</f>
        <v>0</v>
      </c>
      <c r="W7560" s="185"/>
      <c r="X7560" s="186"/>
      <c r="Y7560" s="187"/>
      <c r="Z7560" s="204">
        <f>+Table1[[#This Row],[CONCEPTO]]+Table1[[#This Row],[TIPO2]]-Table1[[#This Row],[IVA]]-Table1[[#This Row],[OTROS IMPUESTOS]]-Table1[[#This Row],[RET IVA]]</f>
        <v>0</v>
      </c>
      <c r="AB7560" t="str">
        <f>IF(Table1[[#This Row],[TIPO2]]="costo", VLOOKUP(Table1[[#This Row],[PARTIDA PRESUPUESTAL]],'Cost Report'!G:G,1,0),"Balance")</f>
        <v>Balance</v>
      </c>
      <c r="AD7560" s="159">
        <f>+Table1[[#This Row],[SUBTOTAL]]+Table1[[#This Row],[IVA]]-Table1[[#This Row],[RET IVA]]-Table1[[#This Row],[RET ISR]]-Table1[[#This Row],[TOTAL]]</f>
        <v>0</v>
      </c>
    </row>
    <row r="7561" spans="1:30">
      <c r="A7561" s="172"/>
      <c r="B7561" s="178"/>
      <c r="C7561" s="179"/>
      <c r="D7561" s="180"/>
      <c r="E7561" s="125"/>
      <c r="F7561" s="178"/>
      <c r="G7561" s="178"/>
      <c r="H7561" s="178"/>
      <c r="I7561" s="178"/>
      <c r="J7561" s="178"/>
      <c r="K7561" s="178"/>
      <c r="L7561" s="125"/>
      <c r="M7561" s="125"/>
      <c r="N7561" s="182"/>
      <c r="O7561" s="177"/>
      <c r="P7561" s="176"/>
      <c r="Q7561" s="176"/>
      <c r="R7561" s="176"/>
      <c r="S7561" s="176"/>
      <c r="T7561" s="190"/>
      <c r="U7561" s="191"/>
      <c r="V7561" s="191">
        <f>+Table1[[#This Row],[SUBTOTAL]]+Table1[[#This Row],[IVA]]-Table1[[#This Row],[RET IVA]]-Table1[[#This Row],[RET ISR]]</f>
        <v>0</v>
      </c>
      <c r="W7561" s="185"/>
      <c r="X7561" s="186"/>
      <c r="Y7561" s="187"/>
      <c r="Z7561" s="204">
        <f>+Table1[[#This Row],[CONCEPTO]]+Table1[[#This Row],[TIPO2]]-Table1[[#This Row],[IVA]]-Table1[[#This Row],[OTROS IMPUESTOS]]-Table1[[#This Row],[RET IVA]]</f>
        <v>0</v>
      </c>
      <c r="AB7561" t="str">
        <f>IF(Table1[[#This Row],[TIPO2]]="costo", VLOOKUP(Table1[[#This Row],[PARTIDA PRESUPUESTAL]],'Cost Report'!G:G,1,0),"Balance")</f>
        <v>Balance</v>
      </c>
      <c r="AD7561" s="159">
        <f>+Table1[[#This Row],[SUBTOTAL]]+Table1[[#This Row],[IVA]]-Table1[[#This Row],[RET IVA]]-Table1[[#This Row],[RET ISR]]-Table1[[#This Row],[TOTAL]]</f>
        <v>0</v>
      </c>
    </row>
    <row r="7562" spans="1:30">
      <c r="A7562" s="172"/>
      <c r="B7562" s="178"/>
      <c r="C7562" s="179"/>
      <c r="D7562" s="180"/>
      <c r="E7562" s="125"/>
      <c r="F7562" s="178"/>
      <c r="G7562" s="178"/>
      <c r="H7562" s="178"/>
      <c r="I7562" s="178"/>
      <c r="J7562" s="178"/>
      <c r="K7562" s="178"/>
      <c r="L7562" s="125"/>
      <c r="M7562" s="125"/>
      <c r="N7562" s="182"/>
      <c r="O7562" s="177"/>
      <c r="P7562" s="176"/>
      <c r="Q7562" s="176"/>
      <c r="R7562" s="176"/>
      <c r="S7562" s="176"/>
      <c r="T7562" s="190"/>
      <c r="U7562" s="191"/>
      <c r="V7562" s="191">
        <f>+Table1[[#This Row],[SUBTOTAL]]+Table1[[#This Row],[IVA]]-Table1[[#This Row],[RET IVA]]-Table1[[#This Row],[RET ISR]]</f>
        <v>0</v>
      </c>
      <c r="W7562" s="185"/>
      <c r="X7562" s="186"/>
      <c r="Y7562" s="187"/>
      <c r="Z7562" s="204">
        <f>+Table1[[#This Row],[CONCEPTO]]+Table1[[#This Row],[TIPO2]]-Table1[[#This Row],[IVA]]-Table1[[#This Row],[OTROS IMPUESTOS]]-Table1[[#This Row],[RET IVA]]</f>
        <v>0</v>
      </c>
      <c r="AB7562" t="str">
        <f>IF(Table1[[#This Row],[TIPO2]]="costo", VLOOKUP(Table1[[#This Row],[PARTIDA PRESUPUESTAL]],'Cost Report'!G:G,1,0),"Balance")</f>
        <v>Balance</v>
      </c>
      <c r="AD7562" s="159">
        <f>+Table1[[#This Row],[SUBTOTAL]]+Table1[[#This Row],[IVA]]-Table1[[#This Row],[RET IVA]]-Table1[[#This Row],[RET ISR]]-Table1[[#This Row],[TOTAL]]</f>
        <v>0</v>
      </c>
    </row>
    <row r="7563" spans="1:30">
      <c r="A7563" s="172"/>
      <c r="B7563" s="178"/>
      <c r="C7563" s="179"/>
      <c r="D7563" s="180"/>
      <c r="E7563" s="125"/>
      <c r="F7563" s="178"/>
      <c r="G7563" s="178"/>
      <c r="H7563" s="178"/>
      <c r="I7563" s="178"/>
      <c r="J7563" s="178"/>
      <c r="K7563" s="178"/>
      <c r="L7563" s="125"/>
      <c r="M7563" s="125"/>
      <c r="N7563" s="182"/>
      <c r="O7563" s="177"/>
      <c r="P7563" s="176"/>
      <c r="Q7563" s="176"/>
      <c r="R7563" s="176"/>
      <c r="S7563" s="176"/>
      <c r="T7563" s="190"/>
      <c r="U7563" s="191"/>
      <c r="V7563" s="191">
        <f>+Table1[[#This Row],[SUBTOTAL]]+Table1[[#This Row],[IVA]]-Table1[[#This Row],[RET IVA]]-Table1[[#This Row],[RET ISR]]</f>
        <v>0</v>
      </c>
      <c r="W7563" s="185"/>
      <c r="X7563" s="186"/>
      <c r="Y7563" s="187"/>
      <c r="Z7563" s="204">
        <f>+Table1[[#This Row],[CONCEPTO]]+Table1[[#This Row],[TIPO2]]-Table1[[#This Row],[IVA]]-Table1[[#This Row],[OTROS IMPUESTOS]]-Table1[[#This Row],[RET IVA]]</f>
        <v>0</v>
      </c>
      <c r="AB7563" t="str">
        <f>IF(Table1[[#This Row],[TIPO2]]="costo", VLOOKUP(Table1[[#This Row],[PARTIDA PRESUPUESTAL]],'Cost Report'!G:G,1,0),"Balance")</f>
        <v>Balance</v>
      </c>
      <c r="AD7563" s="159">
        <f>+Table1[[#This Row],[SUBTOTAL]]+Table1[[#This Row],[IVA]]-Table1[[#This Row],[RET IVA]]-Table1[[#This Row],[RET ISR]]-Table1[[#This Row],[TOTAL]]</f>
        <v>0</v>
      </c>
    </row>
    <row r="7564" spans="1:30">
      <c r="A7564" s="172"/>
      <c r="B7564" s="178"/>
      <c r="C7564" s="179"/>
      <c r="D7564" s="180"/>
      <c r="E7564" s="125"/>
      <c r="F7564" s="178"/>
      <c r="G7564" s="178"/>
      <c r="H7564" s="178"/>
      <c r="I7564" s="178"/>
      <c r="J7564" s="178"/>
      <c r="K7564" s="178"/>
      <c r="L7564" s="125"/>
      <c r="M7564" s="125"/>
      <c r="N7564" s="182"/>
      <c r="O7564" s="177"/>
      <c r="P7564" s="176"/>
      <c r="Q7564" s="176"/>
      <c r="R7564" s="176"/>
      <c r="S7564" s="176"/>
      <c r="T7564" s="190"/>
      <c r="U7564" s="191"/>
      <c r="V7564" s="191">
        <f>+Table1[[#This Row],[SUBTOTAL]]+Table1[[#This Row],[IVA]]-Table1[[#This Row],[RET IVA]]-Table1[[#This Row],[RET ISR]]</f>
        <v>0</v>
      </c>
      <c r="W7564" s="185"/>
      <c r="X7564" s="186"/>
      <c r="Y7564" s="187"/>
      <c r="Z7564" s="204">
        <f>+Table1[[#This Row],[CONCEPTO]]+Table1[[#This Row],[TIPO2]]-Table1[[#This Row],[IVA]]-Table1[[#This Row],[OTROS IMPUESTOS]]-Table1[[#This Row],[RET IVA]]</f>
        <v>0</v>
      </c>
      <c r="AB7564" t="str">
        <f>IF(Table1[[#This Row],[TIPO2]]="costo", VLOOKUP(Table1[[#This Row],[PARTIDA PRESUPUESTAL]],'Cost Report'!G:G,1,0),"Balance")</f>
        <v>Balance</v>
      </c>
      <c r="AD7564" s="159">
        <f>+Table1[[#This Row],[SUBTOTAL]]+Table1[[#This Row],[IVA]]-Table1[[#This Row],[RET IVA]]-Table1[[#This Row],[RET ISR]]-Table1[[#This Row],[TOTAL]]</f>
        <v>0</v>
      </c>
    </row>
    <row r="7565" spans="1:30">
      <c r="A7565" s="172"/>
      <c r="B7565" s="178"/>
      <c r="C7565" s="179"/>
      <c r="D7565" s="180"/>
      <c r="E7565" s="125"/>
      <c r="F7565" s="178"/>
      <c r="G7565" s="178"/>
      <c r="H7565" s="178"/>
      <c r="I7565" s="178"/>
      <c r="J7565" s="178"/>
      <c r="K7565" s="178"/>
      <c r="L7565" s="125"/>
      <c r="M7565" s="125"/>
      <c r="N7565" s="182"/>
      <c r="O7565" s="177"/>
      <c r="P7565" s="176"/>
      <c r="Q7565" s="176"/>
      <c r="R7565" s="176"/>
      <c r="S7565" s="176"/>
      <c r="T7565" s="190"/>
      <c r="U7565" s="191"/>
      <c r="V7565" s="191">
        <f>+Table1[[#This Row],[SUBTOTAL]]+Table1[[#This Row],[IVA]]-Table1[[#This Row],[RET IVA]]-Table1[[#This Row],[RET ISR]]</f>
        <v>0</v>
      </c>
      <c r="W7565" s="185"/>
      <c r="X7565" s="186"/>
      <c r="Y7565" s="187"/>
      <c r="Z7565" s="204">
        <f>+Table1[[#This Row],[CONCEPTO]]+Table1[[#This Row],[TIPO2]]-Table1[[#This Row],[IVA]]-Table1[[#This Row],[OTROS IMPUESTOS]]-Table1[[#This Row],[RET IVA]]</f>
        <v>0</v>
      </c>
      <c r="AB7565" t="str">
        <f>IF(Table1[[#This Row],[TIPO2]]="costo", VLOOKUP(Table1[[#This Row],[PARTIDA PRESUPUESTAL]],'Cost Report'!G:G,1,0),"Balance")</f>
        <v>Balance</v>
      </c>
      <c r="AD7565" s="159">
        <f>+Table1[[#This Row],[SUBTOTAL]]+Table1[[#This Row],[IVA]]-Table1[[#This Row],[RET IVA]]-Table1[[#This Row],[RET ISR]]-Table1[[#This Row],[TOTAL]]</f>
        <v>0</v>
      </c>
    </row>
    <row r="7566" spans="1:30">
      <c r="A7566" s="172"/>
      <c r="B7566" s="178"/>
      <c r="C7566" s="179"/>
      <c r="D7566" s="180"/>
      <c r="E7566" s="125"/>
      <c r="F7566" s="178"/>
      <c r="G7566" s="178"/>
      <c r="H7566" s="178"/>
      <c r="I7566" s="178"/>
      <c r="J7566" s="178"/>
      <c r="K7566" s="178"/>
      <c r="L7566" s="125"/>
      <c r="M7566" s="125"/>
      <c r="N7566" s="182"/>
      <c r="O7566" s="177"/>
      <c r="P7566" s="176"/>
      <c r="Q7566" s="176"/>
      <c r="R7566" s="176"/>
      <c r="S7566" s="176"/>
      <c r="T7566" s="190"/>
      <c r="U7566" s="191"/>
      <c r="V7566" s="191">
        <f>+Table1[[#This Row],[SUBTOTAL]]+Table1[[#This Row],[IVA]]-Table1[[#This Row],[RET IVA]]-Table1[[#This Row],[RET ISR]]</f>
        <v>0</v>
      </c>
      <c r="W7566" s="185"/>
      <c r="X7566" s="186"/>
      <c r="Y7566" s="187"/>
      <c r="Z7566" s="204">
        <f>+Table1[[#This Row],[CONCEPTO]]+Table1[[#This Row],[TIPO2]]-Table1[[#This Row],[IVA]]-Table1[[#This Row],[OTROS IMPUESTOS]]-Table1[[#This Row],[RET IVA]]</f>
        <v>0</v>
      </c>
      <c r="AB7566" t="str">
        <f>IF(Table1[[#This Row],[TIPO2]]="costo", VLOOKUP(Table1[[#This Row],[PARTIDA PRESUPUESTAL]],'Cost Report'!G:G,1,0),"Balance")</f>
        <v>Balance</v>
      </c>
      <c r="AD7566" s="159">
        <f>+Table1[[#This Row],[SUBTOTAL]]+Table1[[#This Row],[IVA]]-Table1[[#This Row],[RET IVA]]-Table1[[#This Row],[RET ISR]]-Table1[[#This Row],[TOTAL]]</f>
        <v>0</v>
      </c>
    </row>
    <row r="7567" spans="1:30">
      <c r="A7567" s="172"/>
      <c r="B7567" s="178"/>
      <c r="C7567" s="179"/>
      <c r="D7567" s="180"/>
      <c r="E7567" s="125"/>
      <c r="F7567" s="178"/>
      <c r="G7567" s="178"/>
      <c r="H7567" s="178"/>
      <c r="I7567" s="178"/>
      <c r="J7567" s="178"/>
      <c r="K7567" s="178"/>
      <c r="L7567" s="125"/>
      <c r="M7567" s="125"/>
      <c r="N7567" s="182"/>
      <c r="O7567" s="177"/>
      <c r="P7567" s="176"/>
      <c r="Q7567" s="176"/>
      <c r="R7567" s="176"/>
      <c r="S7567" s="176"/>
      <c r="T7567" s="190"/>
      <c r="U7567" s="191"/>
      <c r="V7567" s="191">
        <f>+Table1[[#This Row],[SUBTOTAL]]+Table1[[#This Row],[IVA]]-Table1[[#This Row],[RET IVA]]-Table1[[#This Row],[RET ISR]]</f>
        <v>0</v>
      </c>
      <c r="W7567" s="185"/>
      <c r="X7567" s="186"/>
      <c r="Y7567" s="187"/>
      <c r="Z7567" s="204">
        <f>+Table1[[#This Row],[CONCEPTO]]+Table1[[#This Row],[TIPO2]]-Table1[[#This Row],[IVA]]-Table1[[#This Row],[OTROS IMPUESTOS]]-Table1[[#This Row],[RET IVA]]</f>
        <v>0</v>
      </c>
      <c r="AB7567" t="str">
        <f>IF(Table1[[#This Row],[TIPO2]]="costo", VLOOKUP(Table1[[#This Row],[PARTIDA PRESUPUESTAL]],'Cost Report'!G:G,1,0),"Balance")</f>
        <v>Balance</v>
      </c>
      <c r="AD7567" s="159">
        <f>+Table1[[#This Row],[SUBTOTAL]]+Table1[[#This Row],[IVA]]-Table1[[#This Row],[RET IVA]]-Table1[[#This Row],[RET ISR]]-Table1[[#This Row],[TOTAL]]</f>
        <v>0</v>
      </c>
    </row>
    <row r="7568" spans="1:30">
      <c r="A7568" s="172"/>
      <c r="B7568" s="178"/>
      <c r="C7568" s="179"/>
      <c r="D7568" s="180"/>
      <c r="E7568" s="125"/>
      <c r="F7568" s="178"/>
      <c r="G7568" s="178"/>
      <c r="H7568" s="178"/>
      <c r="I7568" s="178"/>
      <c r="J7568" s="178"/>
      <c r="K7568" s="178"/>
      <c r="L7568" s="125"/>
      <c r="M7568" s="125"/>
      <c r="N7568" s="182"/>
      <c r="O7568" s="177"/>
      <c r="P7568" s="176"/>
      <c r="Q7568" s="176"/>
      <c r="R7568" s="176"/>
      <c r="S7568" s="176"/>
      <c r="T7568" s="190"/>
      <c r="U7568" s="191"/>
      <c r="V7568" s="191">
        <f>+Table1[[#This Row],[SUBTOTAL]]+Table1[[#This Row],[IVA]]-Table1[[#This Row],[RET IVA]]-Table1[[#This Row],[RET ISR]]</f>
        <v>0</v>
      </c>
      <c r="W7568" s="185"/>
      <c r="X7568" s="186"/>
      <c r="Y7568" s="187"/>
      <c r="Z7568" s="204">
        <f>+Table1[[#This Row],[CONCEPTO]]+Table1[[#This Row],[TIPO2]]-Table1[[#This Row],[IVA]]-Table1[[#This Row],[OTROS IMPUESTOS]]-Table1[[#This Row],[RET IVA]]</f>
        <v>0</v>
      </c>
      <c r="AB7568" t="str">
        <f>IF(Table1[[#This Row],[TIPO2]]="costo", VLOOKUP(Table1[[#This Row],[PARTIDA PRESUPUESTAL]],'Cost Report'!G:G,1,0),"Balance")</f>
        <v>Balance</v>
      </c>
      <c r="AD7568" s="159">
        <f>+Table1[[#This Row],[SUBTOTAL]]+Table1[[#This Row],[IVA]]-Table1[[#This Row],[RET IVA]]-Table1[[#This Row],[RET ISR]]-Table1[[#This Row],[TOTAL]]</f>
        <v>0</v>
      </c>
    </row>
    <row r="7569" spans="1:30">
      <c r="A7569" s="172"/>
      <c r="B7569" s="178"/>
      <c r="C7569" s="179"/>
      <c r="D7569" s="180"/>
      <c r="E7569" s="125"/>
      <c r="F7569" s="178"/>
      <c r="G7569" s="178"/>
      <c r="H7569" s="178"/>
      <c r="I7569" s="178"/>
      <c r="J7569" s="178"/>
      <c r="K7569" s="178"/>
      <c r="L7569" s="125"/>
      <c r="M7569" s="125"/>
      <c r="N7569" s="182"/>
      <c r="O7569" s="177"/>
      <c r="P7569" s="176"/>
      <c r="Q7569" s="176"/>
      <c r="R7569" s="176"/>
      <c r="S7569" s="176"/>
      <c r="T7569" s="190"/>
      <c r="U7569" s="191"/>
      <c r="V7569" s="191">
        <f>+Table1[[#This Row],[SUBTOTAL]]+Table1[[#This Row],[IVA]]-Table1[[#This Row],[RET IVA]]-Table1[[#This Row],[RET ISR]]</f>
        <v>0</v>
      </c>
      <c r="W7569" s="185"/>
      <c r="X7569" s="186"/>
      <c r="Y7569" s="187"/>
      <c r="Z7569" s="204">
        <f>+Table1[[#This Row],[CONCEPTO]]+Table1[[#This Row],[TIPO2]]-Table1[[#This Row],[IVA]]-Table1[[#This Row],[OTROS IMPUESTOS]]-Table1[[#This Row],[RET IVA]]</f>
        <v>0</v>
      </c>
      <c r="AB7569" t="str">
        <f>IF(Table1[[#This Row],[TIPO2]]="costo", VLOOKUP(Table1[[#This Row],[PARTIDA PRESUPUESTAL]],'Cost Report'!G:G,1,0),"Balance")</f>
        <v>Balance</v>
      </c>
      <c r="AD7569" s="159">
        <f>+Table1[[#This Row],[SUBTOTAL]]+Table1[[#This Row],[IVA]]-Table1[[#This Row],[RET IVA]]-Table1[[#This Row],[RET ISR]]-Table1[[#This Row],[TOTAL]]</f>
        <v>0</v>
      </c>
    </row>
    <row r="7570" spans="1:30">
      <c r="A7570" s="172"/>
      <c r="B7570" s="178"/>
      <c r="C7570" s="179"/>
      <c r="D7570" s="180"/>
      <c r="E7570" s="125"/>
      <c r="F7570" s="178"/>
      <c r="G7570" s="178"/>
      <c r="H7570" s="178"/>
      <c r="I7570" s="178"/>
      <c r="J7570" s="178"/>
      <c r="K7570" s="178"/>
      <c r="L7570" s="125"/>
      <c r="M7570" s="125"/>
      <c r="N7570" s="182"/>
      <c r="O7570" s="177"/>
      <c r="P7570" s="176"/>
      <c r="Q7570" s="176"/>
      <c r="R7570" s="176"/>
      <c r="S7570" s="176"/>
      <c r="T7570" s="190"/>
      <c r="U7570" s="191"/>
      <c r="V7570" s="191">
        <f>+Table1[[#This Row],[SUBTOTAL]]+Table1[[#This Row],[IVA]]-Table1[[#This Row],[RET IVA]]-Table1[[#This Row],[RET ISR]]</f>
        <v>0</v>
      </c>
      <c r="W7570" s="185"/>
      <c r="X7570" s="186"/>
      <c r="Y7570" s="187"/>
      <c r="Z7570" s="204">
        <f>+Table1[[#This Row],[CONCEPTO]]+Table1[[#This Row],[TIPO2]]-Table1[[#This Row],[IVA]]-Table1[[#This Row],[OTROS IMPUESTOS]]-Table1[[#This Row],[RET IVA]]</f>
        <v>0</v>
      </c>
      <c r="AB7570" t="str">
        <f>IF(Table1[[#This Row],[TIPO2]]="costo", VLOOKUP(Table1[[#This Row],[PARTIDA PRESUPUESTAL]],'Cost Report'!G:G,1,0),"Balance")</f>
        <v>Balance</v>
      </c>
      <c r="AD7570" s="159">
        <f>+Table1[[#This Row],[SUBTOTAL]]+Table1[[#This Row],[IVA]]-Table1[[#This Row],[RET IVA]]-Table1[[#This Row],[RET ISR]]-Table1[[#This Row],[TOTAL]]</f>
        <v>0</v>
      </c>
    </row>
    <row r="7571" spans="1:30">
      <c r="A7571" s="172"/>
      <c r="B7571" s="178"/>
      <c r="C7571" s="179"/>
      <c r="D7571" s="180"/>
      <c r="E7571" s="125"/>
      <c r="F7571" s="178"/>
      <c r="G7571" s="178"/>
      <c r="H7571" s="178"/>
      <c r="I7571" s="178"/>
      <c r="J7571" s="178"/>
      <c r="K7571" s="178"/>
      <c r="L7571" s="125"/>
      <c r="M7571" s="125"/>
      <c r="N7571" s="182"/>
      <c r="O7571" s="177"/>
      <c r="P7571" s="176"/>
      <c r="Q7571" s="176"/>
      <c r="R7571" s="176"/>
      <c r="S7571" s="176"/>
      <c r="T7571" s="190"/>
      <c r="U7571" s="191"/>
      <c r="V7571" s="191">
        <f>+Table1[[#This Row],[SUBTOTAL]]+Table1[[#This Row],[IVA]]-Table1[[#This Row],[RET IVA]]-Table1[[#This Row],[RET ISR]]</f>
        <v>0</v>
      </c>
      <c r="W7571" s="185"/>
      <c r="X7571" s="186"/>
      <c r="Y7571" s="187"/>
      <c r="Z7571" s="204">
        <f>+Table1[[#This Row],[CONCEPTO]]+Table1[[#This Row],[TIPO2]]-Table1[[#This Row],[IVA]]-Table1[[#This Row],[OTROS IMPUESTOS]]-Table1[[#This Row],[RET IVA]]</f>
        <v>0</v>
      </c>
      <c r="AB7571" t="str">
        <f>IF(Table1[[#This Row],[TIPO2]]="costo", VLOOKUP(Table1[[#This Row],[PARTIDA PRESUPUESTAL]],'Cost Report'!G:G,1,0),"Balance")</f>
        <v>Balance</v>
      </c>
      <c r="AD7571" s="159">
        <f>+Table1[[#This Row],[SUBTOTAL]]+Table1[[#This Row],[IVA]]-Table1[[#This Row],[RET IVA]]-Table1[[#This Row],[RET ISR]]-Table1[[#This Row],[TOTAL]]</f>
        <v>0</v>
      </c>
    </row>
    <row r="7572" spans="1:30">
      <c r="A7572" s="172"/>
      <c r="B7572" s="178"/>
      <c r="C7572" s="179"/>
      <c r="D7572" s="180"/>
      <c r="E7572" s="125"/>
      <c r="F7572" s="178"/>
      <c r="G7572" s="178"/>
      <c r="H7572" s="178"/>
      <c r="I7572" s="178"/>
      <c r="J7572" s="178"/>
      <c r="K7572" s="178"/>
      <c r="L7572" s="125"/>
      <c r="M7572" s="125"/>
      <c r="N7572" s="182"/>
      <c r="O7572" s="177"/>
      <c r="P7572" s="176"/>
      <c r="Q7572" s="176"/>
      <c r="R7572" s="176"/>
      <c r="S7572" s="176"/>
      <c r="T7572" s="190"/>
      <c r="U7572" s="191"/>
      <c r="V7572" s="191">
        <f>+Table1[[#This Row],[SUBTOTAL]]+Table1[[#This Row],[IVA]]-Table1[[#This Row],[RET IVA]]-Table1[[#This Row],[RET ISR]]</f>
        <v>0</v>
      </c>
      <c r="W7572" s="185"/>
      <c r="X7572" s="186"/>
      <c r="Y7572" s="187"/>
      <c r="Z7572" s="204">
        <f>+Table1[[#This Row],[CONCEPTO]]+Table1[[#This Row],[TIPO2]]-Table1[[#This Row],[IVA]]-Table1[[#This Row],[OTROS IMPUESTOS]]-Table1[[#This Row],[RET IVA]]</f>
        <v>0</v>
      </c>
      <c r="AB7572" t="str">
        <f>IF(Table1[[#This Row],[TIPO2]]="costo", VLOOKUP(Table1[[#This Row],[PARTIDA PRESUPUESTAL]],'Cost Report'!G:G,1,0),"Balance")</f>
        <v>Balance</v>
      </c>
      <c r="AD7572" s="159">
        <f>+Table1[[#This Row],[SUBTOTAL]]+Table1[[#This Row],[IVA]]-Table1[[#This Row],[RET IVA]]-Table1[[#This Row],[RET ISR]]-Table1[[#This Row],[TOTAL]]</f>
        <v>0</v>
      </c>
    </row>
    <row r="7573" spans="1:30">
      <c r="A7573" s="172"/>
      <c r="B7573" s="178"/>
      <c r="C7573" s="179"/>
      <c r="D7573" s="180"/>
      <c r="E7573" s="125"/>
      <c r="F7573" s="178"/>
      <c r="G7573" s="178"/>
      <c r="H7573" s="178"/>
      <c r="I7573" s="178"/>
      <c r="J7573" s="178"/>
      <c r="K7573" s="178"/>
      <c r="L7573" s="125"/>
      <c r="M7573" s="125"/>
      <c r="N7573" s="182"/>
      <c r="O7573" s="177"/>
      <c r="P7573" s="176"/>
      <c r="Q7573" s="176"/>
      <c r="R7573" s="176"/>
      <c r="S7573" s="176"/>
      <c r="T7573" s="190"/>
      <c r="U7573" s="191"/>
      <c r="V7573" s="191">
        <f>+Table1[[#This Row],[SUBTOTAL]]+Table1[[#This Row],[IVA]]-Table1[[#This Row],[RET IVA]]-Table1[[#This Row],[RET ISR]]</f>
        <v>0</v>
      </c>
      <c r="W7573" s="185"/>
      <c r="X7573" s="186"/>
      <c r="Y7573" s="187"/>
      <c r="Z7573" s="204">
        <f>+Table1[[#This Row],[CONCEPTO]]+Table1[[#This Row],[TIPO2]]-Table1[[#This Row],[IVA]]-Table1[[#This Row],[OTROS IMPUESTOS]]-Table1[[#This Row],[RET IVA]]</f>
        <v>0</v>
      </c>
      <c r="AB7573" t="str">
        <f>IF(Table1[[#This Row],[TIPO2]]="costo", VLOOKUP(Table1[[#This Row],[PARTIDA PRESUPUESTAL]],'Cost Report'!G:G,1,0),"Balance")</f>
        <v>Balance</v>
      </c>
      <c r="AD7573" s="159">
        <f>+Table1[[#This Row],[SUBTOTAL]]+Table1[[#This Row],[IVA]]-Table1[[#This Row],[RET IVA]]-Table1[[#This Row],[RET ISR]]-Table1[[#This Row],[TOTAL]]</f>
        <v>0</v>
      </c>
    </row>
    <row r="7574" spans="1:30">
      <c r="A7574" s="172"/>
      <c r="B7574" s="178"/>
      <c r="C7574" s="179"/>
      <c r="D7574" s="180"/>
      <c r="E7574" s="125"/>
      <c r="F7574" s="178"/>
      <c r="G7574" s="178"/>
      <c r="H7574" s="178"/>
      <c r="I7574" s="178"/>
      <c r="J7574" s="178"/>
      <c r="K7574" s="178"/>
      <c r="L7574" s="125"/>
      <c r="M7574" s="125"/>
      <c r="N7574" s="182"/>
      <c r="O7574" s="177"/>
      <c r="P7574" s="176"/>
      <c r="Q7574" s="176"/>
      <c r="R7574" s="176"/>
      <c r="S7574" s="176"/>
      <c r="T7574" s="190"/>
      <c r="U7574" s="191"/>
      <c r="V7574" s="191">
        <f>+Table1[[#This Row],[SUBTOTAL]]+Table1[[#This Row],[IVA]]-Table1[[#This Row],[RET IVA]]-Table1[[#This Row],[RET ISR]]</f>
        <v>0</v>
      </c>
      <c r="W7574" s="185"/>
      <c r="X7574" s="186"/>
      <c r="Y7574" s="187"/>
      <c r="Z7574" s="204">
        <f>+Table1[[#This Row],[CONCEPTO]]+Table1[[#This Row],[TIPO2]]-Table1[[#This Row],[IVA]]-Table1[[#This Row],[OTROS IMPUESTOS]]-Table1[[#This Row],[RET IVA]]</f>
        <v>0</v>
      </c>
      <c r="AB7574" t="str">
        <f>IF(Table1[[#This Row],[TIPO2]]="costo", VLOOKUP(Table1[[#This Row],[PARTIDA PRESUPUESTAL]],'Cost Report'!G:G,1,0),"Balance")</f>
        <v>Balance</v>
      </c>
      <c r="AD7574" s="159">
        <f>+Table1[[#This Row],[SUBTOTAL]]+Table1[[#This Row],[IVA]]-Table1[[#This Row],[RET IVA]]-Table1[[#This Row],[RET ISR]]-Table1[[#This Row],[TOTAL]]</f>
        <v>0</v>
      </c>
    </row>
    <row r="7575" spans="1:30">
      <c r="A7575" s="172"/>
      <c r="B7575" s="178"/>
      <c r="C7575" s="179"/>
      <c r="D7575" s="180"/>
      <c r="E7575" s="125"/>
      <c r="F7575" s="178"/>
      <c r="G7575" s="178"/>
      <c r="H7575" s="178"/>
      <c r="I7575" s="178"/>
      <c r="J7575" s="178"/>
      <c r="K7575" s="178"/>
      <c r="L7575" s="125"/>
      <c r="M7575" s="125"/>
      <c r="N7575" s="182"/>
      <c r="O7575" s="177"/>
      <c r="P7575" s="176"/>
      <c r="Q7575" s="176"/>
      <c r="R7575" s="176"/>
      <c r="S7575" s="176"/>
      <c r="T7575" s="190"/>
      <c r="U7575" s="191"/>
      <c r="V7575" s="191">
        <f>+Table1[[#This Row],[SUBTOTAL]]+Table1[[#This Row],[IVA]]-Table1[[#This Row],[RET IVA]]-Table1[[#This Row],[RET ISR]]</f>
        <v>0</v>
      </c>
      <c r="W7575" s="185"/>
      <c r="X7575" s="186"/>
      <c r="Y7575" s="187"/>
      <c r="Z7575" s="204">
        <f>+Table1[[#This Row],[CONCEPTO]]+Table1[[#This Row],[TIPO2]]-Table1[[#This Row],[IVA]]-Table1[[#This Row],[OTROS IMPUESTOS]]-Table1[[#This Row],[RET IVA]]</f>
        <v>0</v>
      </c>
      <c r="AB7575" t="str">
        <f>IF(Table1[[#This Row],[TIPO2]]="costo", VLOOKUP(Table1[[#This Row],[PARTIDA PRESUPUESTAL]],'Cost Report'!G:G,1,0),"Balance")</f>
        <v>Balance</v>
      </c>
      <c r="AD7575" s="159">
        <f>+Table1[[#This Row],[SUBTOTAL]]+Table1[[#This Row],[IVA]]-Table1[[#This Row],[RET IVA]]-Table1[[#This Row],[RET ISR]]-Table1[[#This Row],[TOTAL]]</f>
        <v>0</v>
      </c>
    </row>
    <row r="7576" spans="1:30">
      <c r="A7576" s="172"/>
      <c r="B7576" s="178"/>
      <c r="C7576" s="179"/>
      <c r="D7576" s="180"/>
      <c r="E7576" s="125"/>
      <c r="F7576" s="178"/>
      <c r="G7576" s="178"/>
      <c r="H7576" s="178"/>
      <c r="I7576" s="178"/>
      <c r="J7576" s="178"/>
      <c r="K7576" s="178"/>
      <c r="L7576" s="125"/>
      <c r="M7576" s="125"/>
      <c r="N7576" s="182"/>
      <c r="O7576" s="177"/>
      <c r="P7576" s="176"/>
      <c r="Q7576" s="176"/>
      <c r="R7576" s="176"/>
      <c r="S7576" s="176"/>
      <c r="T7576" s="190"/>
      <c r="U7576" s="191"/>
      <c r="V7576" s="191">
        <f>+Table1[[#This Row],[SUBTOTAL]]+Table1[[#This Row],[IVA]]-Table1[[#This Row],[RET IVA]]-Table1[[#This Row],[RET ISR]]</f>
        <v>0</v>
      </c>
      <c r="W7576" s="185"/>
      <c r="X7576" s="186"/>
      <c r="Y7576" s="187"/>
      <c r="Z7576" s="204">
        <f>+Table1[[#This Row],[CONCEPTO]]+Table1[[#This Row],[TIPO2]]-Table1[[#This Row],[IVA]]-Table1[[#This Row],[OTROS IMPUESTOS]]-Table1[[#This Row],[RET IVA]]</f>
        <v>0</v>
      </c>
      <c r="AB7576" t="str">
        <f>IF(Table1[[#This Row],[TIPO2]]="costo", VLOOKUP(Table1[[#This Row],[PARTIDA PRESUPUESTAL]],'Cost Report'!G:G,1,0),"Balance")</f>
        <v>Balance</v>
      </c>
      <c r="AD7576" s="159">
        <f>+Table1[[#This Row],[SUBTOTAL]]+Table1[[#This Row],[IVA]]-Table1[[#This Row],[RET IVA]]-Table1[[#This Row],[RET ISR]]-Table1[[#This Row],[TOTAL]]</f>
        <v>0</v>
      </c>
    </row>
    <row r="7577" spans="1:30">
      <c r="A7577" s="172"/>
      <c r="B7577" s="178"/>
      <c r="C7577" s="179"/>
      <c r="D7577" s="180"/>
      <c r="E7577" s="125"/>
      <c r="F7577" s="178"/>
      <c r="G7577" s="178"/>
      <c r="H7577" s="178"/>
      <c r="I7577" s="178"/>
      <c r="J7577" s="178"/>
      <c r="K7577" s="178"/>
      <c r="L7577" s="125"/>
      <c r="M7577" s="125"/>
      <c r="N7577" s="182"/>
      <c r="O7577" s="177"/>
      <c r="P7577" s="176"/>
      <c r="Q7577" s="176"/>
      <c r="R7577" s="176"/>
      <c r="S7577" s="176"/>
      <c r="T7577" s="190"/>
      <c r="U7577" s="191"/>
      <c r="V7577" s="191">
        <f>+Table1[[#This Row],[SUBTOTAL]]+Table1[[#This Row],[IVA]]-Table1[[#This Row],[RET IVA]]-Table1[[#This Row],[RET ISR]]</f>
        <v>0</v>
      </c>
      <c r="W7577" s="185"/>
      <c r="X7577" s="186"/>
      <c r="Y7577" s="187"/>
      <c r="Z7577" s="204">
        <f>+Table1[[#This Row],[CONCEPTO]]+Table1[[#This Row],[TIPO2]]-Table1[[#This Row],[IVA]]-Table1[[#This Row],[OTROS IMPUESTOS]]-Table1[[#This Row],[RET IVA]]</f>
        <v>0</v>
      </c>
      <c r="AB7577" t="str">
        <f>IF(Table1[[#This Row],[TIPO2]]="costo", VLOOKUP(Table1[[#This Row],[PARTIDA PRESUPUESTAL]],'Cost Report'!G:G,1,0),"Balance")</f>
        <v>Balance</v>
      </c>
      <c r="AD7577" s="159">
        <f>+Table1[[#This Row],[SUBTOTAL]]+Table1[[#This Row],[IVA]]-Table1[[#This Row],[RET IVA]]-Table1[[#This Row],[RET ISR]]-Table1[[#This Row],[TOTAL]]</f>
        <v>0</v>
      </c>
    </row>
    <row r="7578" spans="1:30">
      <c r="A7578" s="172"/>
      <c r="B7578" s="178"/>
      <c r="C7578" s="179"/>
      <c r="D7578" s="180"/>
      <c r="E7578" s="125"/>
      <c r="F7578" s="178"/>
      <c r="G7578" s="178"/>
      <c r="H7578" s="178"/>
      <c r="I7578" s="178"/>
      <c r="J7578" s="178"/>
      <c r="K7578" s="178"/>
      <c r="L7578" s="125"/>
      <c r="M7578" s="125"/>
      <c r="N7578" s="182"/>
      <c r="O7578" s="177"/>
      <c r="P7578" s="176"/>
      <c r="Q7578" s="176"/>
      <c r="R7578" s="176"/>
      <c r="S7578" s="176"/>
      <c r="T7578" s="190"/>
      <c r="U7578" s="191"/>
      <c r="V7578" s="191">
        <f>+Table1[[#This Row],[SUBTOTAL]]+Table1[[#This Row],[IVA]]-Table1[[#This Row],[RET IVA]]-Table1[[#This Row],[RET ISR]]</f>
        <v>0</v>
      </c>
      <c r="W7578" s="185"/>
      <c r="X7578" s="186"/>
      <c r="Y7578" s="187"/>
      <c r="Z7578" s="204">
        <f>+Table1[[#This Row],[CONCEPTO]]+Table1[[#This Row],[TIPO2]]-Table1[[#This Row],[IVA]]-Table1[[#This Row],[OTROS IMPUESTOS]]-Table1[[#This Row],[RET IVA]]</f>
        <v>0</v>
      </c>
      <c r="AB7578" t="str">
        <f>IF(Table1[[#This Row],[TIPO2]]="costo", VLOOKUP(Table1[[#This Row],[PARTIDA PRESUPUESTAL]],'Cost Report'!G:G,1,0),"Balance")</f>
        <v>Balance</v>
      </c>
      <c r="AD7578" s="159">
        <f>+Table1[[#This Row],[SUBTOTAL]]+Table1[[#This Row],[IVA]]-Table1[[#This Row],[RET IVA]]-Table1[[#This Row],[RET ISR]]-Table1[[#This Row],[TOTAL]]</f>
        <v>0</v>
      </c>
    </row>
    <row r="7579" spans="1:30">
      <c r="A7579" s="172"/>
      <c r="B7579" s="178"/>
      <c r="C7579" s="179"/>
      <c r="D7579" s="180"/>
      <c r="E7579" s="125"/>
      <c r="F7579" s="178"/>
      <c r="G7579" s="178"/>
      <c r="H7579" s="178"/>
      <c r="I7579" s="178"/>
      <c r="J7579" s="178"/>
      <c r="K7579" s="178"/>
      <c r="L7579" s="125"/>
      <c r="M7579" s="125"/>
      <c r="N7579" s="182"/>
      <c r="O7579" s="177"/>
      <c r="P7579" s="176"/>
      <c r="Q7579" s="176"/>
      <c r="R7579" s="176"/>
      <c r="S7579" s="176"/>
      <c r="T7579" s="190"/>
      <c r="U7579" s="191"/>
      <c r="V7579" s="191">
        <f>+Table1[[#This Row],[SUBTOTAL]]+Table1[[#This Row],[IVA]]-Table1[[#This Row],[RET IVA]]-Table1[[#This Row],[RET ISR]]</f>
        <v>0</v>
      </c>
      <c r="W7579" s="185"/>
      <c r="X7579" s="186"/>
      <c r="Y7579" s="187"/>
      <c r="Z7579" s="204">
        <f>+Table1[[#This Row],[CONCEPTO]]+Table1[[#This Row],[TIPO2]]-Table1[[#This Row],[IVA]]-Table1[[#This Row],[OTROS IMPUESTOS]]-Table1[[#This Row],[RET IVA]]</f>
        <v>0</v>
      </c>
      <c r="AB7579" t="str">
        <f>IF(Table1[[#This Row],[TIPO2]]="costo", VLOOKUP(Table1[[#This Row],[PARTIDA PRESUPUESTAL]],'Cost Report'!G:G,1,0),"Balance")</f>
        <v>Balance</v>
      </c>
      <c r="AD7579" s="159">
        <f>+Table1[[#This Row],[SUBTOTAL]]+Table1[[#This Row],[IVA]]-Table1[[#This Row],[RET IVA]]-Table1[[#This Row],[RET ISR]]-Table1[[#This Row],[TOTAL]]</f>
        <v>0</v>
      </c>
    </row>
    <row r="7580" spans="1:30">
      <c r="A7580" s="172"/>
      <c r="B7580" s="178"/>
      <c r="C7580" s="179"/>
      <c r="D7580" s="180"/>
      <c r="E7580" s="125"/>
      <c r="F7580" s="178"/>
      <c r="G7580" s="178"/>
      <c r="H7580" s="178"/>
      <c r="I7580" s="178"/>
      <c r="J7580" s="178"/>
      <c r="K7580" s="178"/>
      <c r="L7580" s="125"/>
      <c r="M7580" s="125"/>
      <c r="N7580" s="182"/>
      <c r="O7580" s="177"/>
      <c r="P7580" s="176"/>
      <c r="Q7580" s="176"/>
      <c r="R7580" s="176"/>
      <c r="S7580" s="176"/>
      <c r="T7580" s="190"/>
      <c r="U7580" s="191"/>
      <c r="V7580" s="191">
        <f>+Table1[[#This Row],[SUBTOTAL]]+Table1[[#This Row],[IVA]]-Table1[[#This Row],[RET IVA]]-Table1[[#This Row],[RET ISR]]</f>
        <v>0</v>
      </c>
      <c r="W7580" s="185"/>
      <c r="X7580" s="186"/>
      <c r="Y7580" s="187"/>
      <c r="Z7580" s="204">
        <f>+Table1[[#This Row],[CONCEPTO]]+Table1[[#This Row],[TIPO2]]-Table1[[#This Row],[IVA]]-Table1[[#This Row],[OTROS IMPUESTOS]]-Table1[[#This Row],[RET IVA]]</f>
        <v>0</v>
      </c>
      <c r="AB7580" t="str">
        <f>IF(Table1[[#This Row],[TIPO2]]="costo", VLOOKUP(Table1[[#This Row],[PARTIDA PRESUPUESTAL]],'Cost Report'!G:G,1,0),"Balance")</f>
        <v>Balance</v>
      </c>
      <c r="AD7580" s="159">
        <f>+Table1[[#This Row],[SUBTOTAL]]+Table1[[#This Row],[IVA]]-Table1[[#This Row],[RET IVA]]-Table1[[#This Row],[RET ISR]]-Table1[[#This Row],[TOTAL]]</f>
        <v>0</v>
      </c>
    </row>
    <row r="7581" spans="1:30">
      <c r="A7581" s="172"/>
      <c r="B7581" s="178"/>
      <c r="C7581" s="179"/>
      <c r="D7581" s="180"/>
      <c r="E7581" s="125"/>
      <c r="F7581" s="178"/>
      <c r="G7581" s="178"/>
      <c r="H7581" s="178"/>
      <c r="I7581" s="178"/>
      <c r="J7581" s="178"/>
      <c r="K7581" s="178"/>
      <c r="L7581" s="125"/>
      <c r="M7581" s="125"/>
      <c r="N7581" s="182"/>
      <c r="O7581" s="177"/>
      <c r="P7581" s="176"/>
      <c r="Q7581" s="176"/>
      <c r="R7581" s="176"/>
      <c r="S7581" s="176"/>
      <c r="T7581" s="190"/>
      <c r="U7581" s="191"/>
      <c r="V7581" s="191">
        <f>+Table1[[#This Row],[SUBTOTAL]]+Table1[[#This Row],[IVA]]-Table1[[#This Row],[RET IVA]]-Table1[[#This Row],[RET ISR]]</f>
        <v>0</v>
      </c>
      <c r="W7581" s="185"/>
      <c r="X7581" s="186"/>
      <c r="Y7581" s="187"/>
      <c r="Z7581" s="204">
        <f>+Table1[[#This Row],[CONCEPTO]]+Table1[[#This Row],[TIPO2]]-Table1[[#This Row],[IVA]]-Table1[[#This Row],[OTROS IMPUESTOS]]-Table1[[#This Row],[RET IVA]]</f>
        <v>0</v>
      </c>
      <c r="AB7581" t="str">
        <f>IF(Table1[[#This Row],[TIPO2]]="costo", VLOOKUP(Table1[[#This Row],[PARTIDA PRESUPUESTAL]],'Cost Report'!G:G,1,0),"Balance")</f>
        <v>Balance</v>
      </c>
      <c r="AD7581" s="159">
        <f>+Table1[[#This Row],[SUBTOTAL]]+Table1[[#This Row],[IVA]]-Table1[[#This Row],[RET IVA]]-Table1[[#This Row],[RET ISR]]-Table1[[#This Row],[TOTAL]]</f>
        <v>0</v>
      </c>
    </row>
    <row r="7582" spans="1:30">
      <c r="A7582" s="172"/>
      <c r="B7582" s="178"/>
      <c r="C7582" s="179"/>
      <c r="D7582" s="180"/>
      <c r="E7582" s="125"/>
      <c r="F7582" s="178"/>
      <c r="G7582" s="178"/>
      <c r="H7582" s="178"/>
      <c r="I7582" s="178"/>
      <c r="J7582" s="178"/>
      <c r="K7582" s="178"/>
      <c r="L7582" s="125"/>
      <c r="M7582" s="125"/>
      <c r="N7582" s="182"/>
      <c r="O7582" s="177"/>
      <c r="P7582" s="176"/>
      <c r="Q7582" s="176"/>
      <c r="R7582" s="176"/>
      <c r="S7582" s="176"/>
      <c r="T7582" s="190"/>
      <c r="U7582" s="191"/>
      <c r="V7582" s="191">
        <f>+Table1[[#This Row],[SUBTOTAL]]+Table1[[#This Row],[IVA]]-Table1[[#This Row],[RET IVA]]-Table1[[#This Row],[RET ISR]]</f>
        <v>0</v>
      </c>
      <c r="W7582" s="185"/>
      <c r="X7582" s="186"/>
      <c r="Y7582" s="187"/>
      <c r="Z7582" s="204">
        <f>+Table1[[#This Row],[CONCEPTO]]+Table1[[#This Row],[TIPO2]]-Table1[[#This Row],[IVA]]-Table1[[#This Row],[OTROS IMPUESTOS]]-Table1[[#This Row],[RET IVA]]</f>
        <v>0</v>
      </c>
      <c r="AB7582" t="str">
        <f>IF(Table1[[#This Row],[TIPO2]]="costo", VLOOKUP(Table1[[#This Row],[PARTIDA PRESUPUESTAL]],'Cost Report'!G:G,1,0),"Balance")</f>
        <v>Balance</v>
      </c>
      <c r="AD7582" s="159">
        <f>+Table1[[#This Row],[SUBTOTAL]]+Table1[[#This Row],[IVA]]-Table1[[#This Row],[RET IVA]]-Table1[[#This Row],[RET ISR]]-Table1[[#This Row],[TOTAL]]</f>
        <v>0</v>
      </c>
    </row>
    <row r="7583" spans="1:30">
      <c r="A7583" s="172"/>
      <c r="B7583" s="178"/>
      <c r="C7583" s="179"/>
      <c r="D7583" s="180"/>
      <c r="E7583" s="125"/>
      <c r="F7583" s="178"/>
      <c r="G7583" s="178"/>
      <c r="H7583" s="178"/>
      <c r="I7583" s="178"/>
      <c r="J7583" s="178"/>
      <c r="K7583" s="178"/>
      <c r="L7583" s="125"/>
      <c r="M7583" s="125"/>
      <c r="N7583" s="182"/>
      <c r="O7583" s="177"/>
      <c r="P7583" s="176"/>
      <c r="Q7583" s="176"/>
      <c r="R7583" s="176"/>
      <c r="S7583" s="176"/>
      <c r="T7583" s="190"/>
      <c r="U7583" s="191"/>
      <c r="V7583" s="191">
        <f>+Table1[[#This Row],[SUBTOTAL]]+Table1[[#This Row],[IVA]]-Table1[[#This Row],[RET IVA]]-Table1[[#This Row],[RET ISR]]</f>
        <v>0</v>
      </c>
      <c r="W7583" s="185"/>
      <c r="X7583" s="186"/>
      <c r="Y7583" s="187"/>
      <c r="Z7583" s="204">
        <f>+Table1[[#This Row],[CONCEPTO]]+Table1[[#This Row],[TIPO2]]-Table1[[#This Row],[IVA]]-Table1[[#This Row],[OTROS IMPUESTOS]]-Table1[[#This Row],[RET IVA]]</f>
        <v>0</v>
      </c>
      <c r="AB7583" t="str">
        <f>IF(Table1[[#This Row],[TIPO2]]="costo", VLOOKUP(Table1[[#This Row],[PARTIDA PRESUPUESTAL]],'Cost Report'!G:G,1,0),"Balance")</f>
        <v>Balance</v>
      </c>
      <c r="AD7583" s="159">
        <f>+Table1[[#This Row],[SUBTOTAL]]+Table1[[#This Row],[IVA]]-Table1[[#This Row],[RET IVA]]-Table1[[#This Row],[RET ISR]]-Table1[[#This Row],[TOTAL]]</f>
        <v>0</v>
      </c>
    </row>
    <row r="7584" spans="1:30">
      <c r="A7584" s="172"/>
      <c r="B7584" s="178"/>
      <c r="C7584" s="179"/>
      <c r="D7584" s="180"/>
      <c r="E7584" s="125"/>
      <c r="F7584" s="178"/>
      <c r="G7584" s="178"/>
      <c r="H7584" s="178"/>
      <c r="I7584" s="178"/>
      <c r="J7584" s="178"/>
      <c r="K7584" s="178"/>
      <c r="L7584" s="125"/>
      <c r="M7584" s="125"/>
      <c r="N7584" s="182"/>
      <c r="O7584" s="177"/>
      <c r="P7584" s="176"/>
      <c r="Q7584" s="176"/>
      <c r="R7584" s="176"/>
      <c r="S7584" s="176"/>
      <c r="T7584" s="190"/>
      <c r="U7584" s="191"/>
      <c r="V7584" s="191">
        <f>+Table1[[#This Row],[SUBTOTAL]]+Table1[[#This Row],[IVA]]-Table1[[#This Row],[RET IVA]]-Table1[[#This Row],[RET ISR]]</f>
        <v>0</v>
      </c>
      <c r="W7584" s="185"/>
      <c r="X7584" s="186"/>
      <c r="Y7584" s="187"/>
      <c r="Z7584" s="204">
        <f>+Table1[[#This Row],[CONCEPTO]]+Table1[[#This Row],[TIPO2]]-Table1[[#This Row],[IVA]]-Table1[[#This Row],[OTROS IMPUESTOS]]-Table1[[#This Row],[RET IVA]]</f>
        <v>0</v>
      </c>
      <c r="AB7584" t="str">
        <f>IF(Table1[[#This Row],[TIPO2]]="costo", VLOOKUP(Table1[[#This Row],[PARTIDA PRESUPUESTAL]],'Cost Report'!G:G,1,0),"Balance")</f>
        <v>Balance</v>
      </c>
      <c r="AD7584" s="159">
        <f>+Table1[[#This Row],[SUBTOTAL]]+Table1[[#This Row],[IVA]]-Table1[[#This Row],[RET IVA]]-Table1[[#This Row],[RET ISR]]-Table1[[#This Row],[TOTAL]]</f>
        <v>0</v>
      </c>
    </row>
    <row r="7585" spans="1:30">
      <c r="A7585" s="172"/>
      <c r="B7585" s="178"/>
      <c r="C7585" s="179"/>
      <c r="D7585" s="180"/>
      <c r="E7585" s="125"/>
      <c r="F7585" s="178"/>
      <c r="G7585" s="178"/>
      <c r="H7585" s="178"/>
      <c r="I7585" s="178"/>
      <c r="J7585" s="178"/>
      <c r="K7585" s="178"/>
      <c r="L7585" s="125"/>
      <c r="M7585" s="125"/>
      <c r="N7585" s="182"/>
      <c r="O7585" s="177"/>
      <c r="P7585" s="176"/>
      <c r="Q7585" s="176"/>
      <c r="R7585" s="176"/>
      <c r="S7585" s="176"/>
      <c r="T7585" s="190"/>
      <c r="U7585" s="191"/>
      <c r="V7585" s="191">
        <f>+Table1[[#This Row],[SUBTOTAL]]+Table1[[#This Row],[IVA]]-Table1[[#This Row],[RET IVA]]-Table1[[#This Row],[RET ISR]]</f>
        <v>0</v>
      </c>
      <c r="W7585" s="185"/>
      <c r="X7585" s="186"/>
      <c r="Y7585" s="187"/>
      <c r="Z7585" s="204">
        <f>+Table1[[#This Row],[CONCEPTO]]+Table1[[#This Row],[TIPO2]]-Table1[[#This Row],[IVA]]-Table1[[#This Row],[OTROS IMPUESTOS]]-Table1[[#This Row],[RET IVA]]</f>
        <v>0</v>
      </c>
      <c r="AB7585" t="str">
        <f>IF(Table1[[#This Row],[TIPO2]]="costo", VLOOKUP(Table1[[#This Row],[PARTIDA PRESUPUESTAL]],'Cost Report'!G:G,1,0),"Balance")</f>
        <v>Balance</v>
      </c>
      <c r="AD7585" s="159">
        <f>+Table1[[#This Row],[SUBTOTAL]]+Table1[[#This Row],[IVA]]-Table1[[#This Row],[RET IVA]]-Table1[[#This Row],[RET ISR]]-Table1[[#This Row],[TOTAL]]</f>
        <v>0</v>
      </c>
    </row>
    <row r="7586" spans="1:30">
      <c r="A7586" s="172"/>
      <c r="B7586" s="178"/>
      <c r="C7586" s="179"/>
      <c r="D7586" s="180"/>
      <c r="E7586" s="125"/>
      <c r="F7586" s="178"/>
      <c r="G7586" s="178"/>
      <c r="H7586" s="178"/>
      <c r="I7586" s="178"/>
      <c r="J7586" s="178"/>
      <c r="K7586" s="178"/>
      <c r="L7586" s="125"/>
      <c r="M7586" s="125"/>
      <c r="N7586" s="182"/>
      <c r="O7586" s="177"/>
      <c r="P7586" s="176"/>
      <c r="Q7586" s="176"/>
      <c r="R7586" s="176"/>
      <c r="S7586" s="176"/>
      <c r="T7586" s="190"/>
      <c r="U7586" s="191"/>
      <c r="V7586" s="191">
        <f>+Table1[[#This Row],[SUBTOTAL]]+Table1[[#This Row],[IVA]]-Table1[[#This Row],[RET IVA]]-Table1[[#This Row],[RET ISR]]</f>
        <v>0</v>
      </c>
      <c r="W7586" s="185"/>
      <c r="X7586" s="186"/>
      <c r="Y7586" s="187"/>
      <c r="Z7586" s="204">
        <f>+Table1[[#This Row],[CONCEPTO]]+Table1[[#This Row],[TIPO2]]-Table1[[#This Row],[IVA]]-Table1[[#This Row],[OTROS IMPUESTOS]]-Table1[[#This Row],[RET IVA]]</f>
        <v>0</v>
      </c>
      <c r="AB7586" t="str">
        <f>IF(Table1[[#This Row],[TIPO2]]="costo", VLOOKUP(Table1[[#This Row],[PARTIDA PRESUPUESTAL]],'Cost Report'!G:G,1,0),"Balance")</f>
        <v>Balance</v>
      </c>
      <c r="AD7586" s="159">
        <f>+Table1[[#This Row],[SUBTOTAL]]+Table1[[#This Row],[IVA]]-Table1[[#This Row],[RET IVA]]-Table1[[#This Row],[RET ISR]]-Table1[[#This Row],[TOTAL]]</f>
        <v>0</v>
      </c>
    </row>
    <row r="7587" spans="1:30">
      <c r="A7587" s="172"/>
      <c r="B7587" s="178"/>
      <c r="C7587" s="179"/>
      <c r="D7587" s="180"/>
      <c r="E7587" s="125"/>
      <c r="F7587" s="178"/>
      <c r="G7587" s="178"/>
      <c r="H7587" s="178"/>
      <c r="I7587" s="178"/>
      <c r="J7587" s="178"/>
      <c r="K7587" s="178"/>
      <c r="L7587" s="125"/>
      <c r="M7587" s="125"/>
      <c r="N7587" s="182"/>
      <c r="O7587" s="177"/>
      <c r="P7587" s="176"/>
      <c r="Q7587" s="176"/>
      <c r="R7587" s="176"/>
      <c r="S7587" s="176"/>
      <c r="T7587" s="190"/>
      <c r="U7587" s="191"/>
      <c r="V7587" s="191">
        <f>+Table1[[#This Row],[SUBTOTAL]]+Table1[[#This Row],[IVA]]-Table1[[#This Row],[RET IVA]]-Table1[[#This Row],[RET ISR]]</f>
        <v>0</v>
      </c>
      <c r="W7587" s="185"/>
      <c r="X7587" s="186"/>
      <c r="Y7587" s="187"/>
      <c r="Z7587" s="204">
        <f>+Table1[[#This Row],[CONCEPTO]]+Table1[[#This Row],[TIPO2]]-Table1[[#This Row],[IVA]]-Table1[[#This Row],[OTROS IMPUESTOS]]-Table1[[#This Row],[RET IVA]]</f>
        <v>0</v>
      </c>
      <c r="AB7587" t="str">
        <f>IF(Table1[[#This Row],[TIPO2]]="costo", VLOOKUP(Table1[[#This Row],[PARTIDA PRESUPUESTAL]],'Cost Report'!G:G,1,0),"Balance")</f>
        <v>Balance</v>
      </c>
      <c r="AD7587" s="159">
        <f>+Table1[[#This Row],[SUBTOTAL]]+Table1[[#This Row],[IVA]]-Table1[[#This Row],[RET IVA]]-Table1[[#This Row],[RET ISR]]-Table1[[#This Row],[TOTAL]]</f>
        <v>0</v>
      </c>
    </row>
    <row r="7588" spans="1:30">
      <c r="A7588" s="172"/>
      <c r="B7588" s="178"/>
      <c r="C7588" s="179"/>
      <c r="D7588" s="180"/>
      <c r="E7588" s="125"/>
      <c r="F7588" s="178"/>
      <c r="G7588" s="178"/>
      <c r="H7588" s="178"/>
      <c r="I7588" s="178"/>
      <c r="J7588" s="178"/>
      <c r="K7588" s="178"/>
      <c r="L7588" s="125"/>
      <c r="M7588" s="125"/>
      <c r="N7588" s="182"/>
      <c r="O7588" s="177"/>
      <c r="P7588" s="176"/>
      <c r="Q7588" s="176"/>
      <c r="R7588" s="176"/>
      <c r="S7588" s="176"/>
      <c r="T7588" s="190"/>
      <c r="U7588" s="191"/>
      <c r="V7588" s="191">
        <f>+Table1[[#This Row],[SUBTOTAL]]+Table1[[#This Row],[IVA]]-Table1[[#This Row],[RET IVA]]-Table1[[#This Row],[RET ISR]]</f>
        <v>0</v>
      </c>
      <c r="W7588" s="185"/>
      <c r="X7588" s="186"/>
      <c r="Y7588" s="187"/>
      <c r="Z7588" s="204">
        <f>+Table1[[#This Row],[CONCEPTO]]+Table1[[#This Row],[TIPO2]]-Table1[[#This Row],[IVA]]-Table1[[#This Row],[OTROS IMPUESTOS]]-Table1[[#This Row],[RET IVA]]</f>
        <v>0</v>
      </c>
      <c r="AB7588" t="str">
        <f>IF(Table1[[#This Row],[TIPO2]]="costo", VLOOKUP(Table1[[#This Row],[PARTIDA PRESUPUESTAL]],'Cost Report'!G:G,1,0),"Balance")</f>
        <v>Balance</v>
      </c>
      <c r="AD7588" s="159">
        <f>+Table1[[#This Row],[SUBTOTAL]]+Table1[[#This Row],[IVA]]-Table1[[#This Row],[RET IVA]]-Table1[[#This Row],[RET ISR]]-Table1[[#This Row],[TOTAL]]</f>
        <v>0</v>
      </c>
    </row>
    <row r="7589" spans="1:30">
      <c r="A7589" s="172"/>
      <c r="B7589" s="178"/>
      <c r="C7589" s="179"/>
      <c r="D7589" s="180"/>
      <c r="E7589" s="125"/>
      <c r="F7589" s="178"/>
      <c r="G7589" s="178"/>
      <c r="H7589" s="178"/>
      <c r="I7589" s="178"/>
      <c r="J7589" s="178"/>
      <c r="K7589" s="178"/>
      <c r="L7589" s="125"/>
      <c r="M7589" s="125"/>
      <c r="N7589" s="182"/>
      <c r="O7589" s="177"/>
      <c r="P7589" s="176"/>
      <c r="Q7589" s="176"/>
      <c r="R7589" s="176"/>
      <c r="S7589" s="176"/>
      <c r="T7589" s="190"/>
      <c r="U7589" s="191"/>
      <c r="V7589" s="191">
        <f>+Table1[[#This Row],[SUBTOTAL]]+Table1[[#This Row],[IVA]]-Table1[[#This Row],[RET IVA]]-Table1[[#This Row],[RET ISR]]</f>
        <v>0</v>
      </c>
      <c r="W7589" s="185"/>
      <c r="X7589" s="186"/>
      <c r="Y7589" s="187"/>
      <c r="Z7589" s="204">
        <f>+Table1[[#This Row],[CONCEPTO]]+Table1[[#This Row],[TIPO2]]-Table1[[#This Row],[IVA]]-Table1[[#This Row],[OTROS IMPUESTOS]]-Table1[[#This Row],[RET IVA]]</f>
        <v>0</v>
      </c>
      <c r="AB7589" t="str">
        <f>IF(Table1[[#This Row],[TIPO2]]="costo", VLOOKUP(Table1[[#This Row],[PARTIDA PRESUPUESTAL]],'Cost Report'!G:G,1,0),"Balance")</f>
        <v>Balance</v>
      </c>
      <c r="AD7589" s="159">
        <f>+Table1[[#This Row],[SUBTOTAL]]+Table1[[#This Row],[IVA]]-Table1[[#This Row],[RET IVA]]-Table1[[#This Row],[RET ISR]]-Table1[[#This Row],[TOTAL]]</f>
        <v>0</v>
      </c>
    </row>
    <row r="7590" spans="1:30">
      <c r="A7590" s="172"/>
      <c r="B7590" s="178"/>
      <c r="C7590" s="179"/>
      <c r="D7590" s="180"/>
      <c r="E7590" s="125"/>
      <c r="F7590" s="178"/>
      <c r="G7590" s="178"/>
      <c r="H7590" s="178"/>
      <c r="I7590" s="178"/>
      <c r="J7590" s="178"/>
      <c r="K7590" s="178"/>
      <c r="L7590" s="125"/>
      <c r="M7590" s="125"/>
      <c r="N7590" s="182"/>
      <c r="O7590" s="177"/>
      <c r="P7590" s="176"/>
      <c r="Q7590" s="176"/>
      <c r="R7590" s="176"/>
      <c r="S7590" s="176"/>
      <c r="T7590" s="190"/>
      <c r="U7590" s="191"/>
      <c r="V7590" s="191">
        <f>+Table1[[#This Row],[SUBTOTAL]]+Table1[[#This Row],[IVA]]-Table1[[#This Row],[RET IVA]]-Table1[[#This Row],[RET ISR]]</f>
        <v>0</v>
      </c>
      <c r="W7590" s="185"/>
      <c r="X7590" s="186"/>
      <c r="Y7590" s="187"/>
      <c r="Z7590" s="204">
        <f>+Table1[[#This Row],[CONCEPTO]]+Table1[[#This Row],[TIPO2]]-Table1[[#This Row],[IVA]]-Table1[[#This Row],[OTROS IMPUESTOS]]-Table1[[#This Row],[RET IVA]]</f>
        <v>0</v>
      </c>
      <c r="AB7590" t="str">
        <f>IF(Table1[[#This Row],[TIPO2]]="costo", VLOOKUP(Table1[[#This Row],[PARTIDA PRESUPUESTAL]],'Cost Report'!G:G,1,0),"Balance")</f>
        <v>Balance</v>
      </c>
      <c r="AD7590" s="159">
        <f>+Table1[[#This Row],[SUBTOTAL]]+Table1[[#This Row],[IVA]]-Table1[[#This Row],[RET IVA]]-Table1[[#This Row],[RET ISR]]-Table1[[#This Row],[TOTAL]]</f>
        <v>0</v>
      </c>
    </row>
    <row r="7591" spans="1:30">
      <c r="A7591" s="172"/>
      <c r="B7591" s="178"/>
      <c r="C7591" s="179"/>
      <c r="D7591" s="180"/>
      <c r="E7591" s="125"/>
      <c r="F7591" s="178"/>
      <c r="G7591" s="178"/>
      <c r="H7591" s="178"/>
      <c r="I7591" s="178"/>
      <c r="J7591" s="178"/>
      <c r="K7591" s="178"/>
      <c r="L7591" s="125"/>
      <c r="M7591" s="125"/>
      <c r="N7591" s="182"/>
      <c r="O7591" s="177"/>
      <c r="P7591" s="176"/>
      <c r="Q7591" s="176"/>
      <c r="R7591" s="176"/>
      <c r="S7591" s="176"/>
      <c r="T7591" s="190"/>
      <c r="U7591" s="191"/>
      <c r="V7591" s="191">
        <f>+Table1[[#This Row],[SUBTOTAL]]+Table1[[#This Row],[IVA]]-Table1[[#This Row],[RET IVA]]-Table1[[#This Row],[RET ISR]]</f>
        <v>0</v>
      </c>
      <c r="W7591" s="185"/>
      <c r="X7591" s="186"/>
      <c r="Y7591" s="187"/>
      <c r="Z7591" s="204">
        <f>+Table1[[#This Row],[CONCEPTO]]+Table1[[#This Row],[TIPO2]]-Table1[[#This Row],[IVA]]-Table1[[#This Row],[OTROS IMPUESTOS]]-Table1[[#This Row],[RET IVA]]</f>
        <v>0</v>
      </c>
      <c r="AB7591" t="str">
        <f>IF(Table1[[#This Row],[TIPO2]]="costo", VLOOKUP(Table1[[#This Row],[PARTIDA PRESUPUESTAL]],'Cost Report'!G:G,1,0),"Balance")</f>
        <v>Balance</v>
      </c>
      <c r="AD7591" s="159">
        <f>+Table1[[#This Row],[SUBTOTAL]]+Table1[[#This Row],[IVA]]-Table1[[#This Row],[RET IVA]]-Table1[[#This Row],[RET ISR]]-Table1[[#This Row],[TOTAL]]</f>
        <v>0</v>
      </c>
    </row>
    <row r="7592" spans="1:30">
      <c r="A7592" s="172"/>
      <c r="B7592" s="178"/>
      <c r="C7592" s="179"/>
      <c r="D7592" s="180"/>
      <c r="E7592" s="125"/>
      <c r="F7592" s="178"/>
      <c r="G7592" s="178"/>
      <c r="H7592" s="178"/>
      <c r="I7592" s="178"/>
      <c r="J7592" s="178"/>
      <c r="K7592" s="178"/>
      <c r="L7592" s="125"/>
      <c r="M7592" s="125"/>
      <c r="N7592" s="182"/>
      <c r="O7592" s="177"/>
      <c r="P7592" s="176"/>
      <c r="Q7592" s="176"/>
      <c r="R7592" s="176"/>
      <c r="S7592" s="176"/>
      <c r="T7592" s="190"/>
      <c r="U7592" s="191"/>
      <c r="V7592" s="191">
        <f>+Table1[[#This Row],[SUBTOTAL]]+Table1[[#This Row],[IVA]]-Table1[[#This Row],[RET IVA]]-Table1[[#This Row],[RET ISR]]</f>
        <v>0</v>
      </c>
      <c r="W7592" s="185"/>
      <c r="X7592" s="186"/>
      <c r="Y7592" s="187"/>
      <c r="Z7592" s="204">
        <f>+Table1[[#This Row],[CONCEPTO]]+Table1[[#This Row],[TIPO2]]-Table1[[#This Row],[IVA]]-Table1[[#This Row],[OTROS IMPUESTOS]]-Table1[[#This Row],[RET IVA]]</f>
        <v>0</v>
      </c>
      <c r="AB7592" t="str">
        <f>IF(Table1[[#This Row],[TIPO2]]="costo", VLOOKUP(Table1[[#This Row],[PARTIDA PRESUPUESTAL]],'Cost Report'!G:G,1,0),"Balance")</f>
        <v>Balance</v>
      </c>
      <c r="AD7592" s="159">
        <f>+Table1[[#This Row],[SUBTOTAL]]+Table1[[#This Row],[IVA]]-Table1[[#This Row],[RET IVA]]-Table1[[#This Row],[RET ISR]]-Table1[[#This Row],[TOTAL]]</f>
        <v>0</v>
      </c>
    </row>
    <row r="7593" spans="1:30">
      <c r="A7593" s="172"/>
      <c r="B7593" s="178"/>
      <c r="C7593" s="179"/>
      <c r="D7593" s="180"/>
      <c r="E7593" s="125"/>
      <c r="F7593" s="178"/>
      <c r="G7593" s="178"/>
      <c r="H7593" s="178"/>
      <c r="I7593" s="178"/>
      <c r="J7593" s="178"/>
      <c r="K7593" s="178"/>
      <c r="L7593" s="125"/>
      <c r="M7593" s="125"/>
      <c r="N7593" s="182"/>
      <c r="O7593" s="177"/>
      <c r="P7593" s="176"/>
      <c r="Q7593" s="176"/>
      <c r="R7593" s="176"/>
      <c r="S7593" s="176"/>
      <c r="T7593" s="190"/>
      <c r="U7593" s="191"/>
      <c r="V7593" s="191">
        <f>+Table1[[#This Row],[SUBTOTAL]]+Table1[[#This Row],[IVA]]-Table1[[#This Row],[RET IVA]]-Table1[[#This Row],[RET ISR]]</f>
        <v>0</v>
      </c>
      <c r="W7593" s="185"/>
      <c r="X7593" s="186"/>
      <c r="Y7593" s="187"/>
      <c r="Z7593" s="204">
        <f>+Table1[[#This Row],[CONCEPTO]]+Table1[[#This Row],[TIPO2]]-Table1[[#This Row],[IVA]]-Table1[[#This Row],[OTROS IMPUESTOS]]-Table1[[#This Row],[RET IVA]]</f>
        <v>0</v>
      </c>
      <c r="AB7593" t="str">
        <f>IF(Table1[[#This Row],[TIPO2]]="costo", VLOOKUP(Table1[[#This Row],[PARTIDA PRESUPUESTAL]],'Cost Report'!G:G,1,0),"Balance")</f>
        <v>Balance</v>
      </c>
      <c r="AD7593" s="159">
        <f>+Table1[[#This Row],[SUBTOTAL]]+Table1[[#This Row],[IVA]]-Table1[[#This Row],[RET IVA]]-Table1[[#This Row],[RET ISR]]-Table1[[#This Row],[TOTAL]]</f>
        <v>0</v>
      </c>
    </row>
    <row r="7594" spans="1:30">
      <c r="A7594" s="172"/>
      <c r="B7594" s="178"/>
      <c r="C7594" s="179"/>
      <c r="D7594" s="180"/>
      <c r="E7594" s="125"/>
      <c r="F7594" s="178"/>
      <c r="G7594" s="178"/>
      <c r="H7594" s="178"/>
      <c r="I7594" s="178"/>
      <c r="J7594" s="178"/>
      <c r="K7594" s="178"/>
      <c r="L7594" s="125"/>
      <c r="M7594" s="125"/>
      <c r="N7594" s="182"/>
      <c r="O7594" s="177"/>
      <c r="P7594" s="176"/>
      <c r="Q7594" s="176"/>
      <c r="R7594" s="176"/>
      <c r="S7594" s="176"/>
      <c r="T7594" s="190"/>
      <c r="U7594" s="191"/>
      <c r="V7594" s="191">
        <f>+Table1[[#This Row],[SUBTOTAL]]+Table1[[#This Row],[IVA]]-Table1[[#This Row],[RET IVA]]-Table1[[#This Row],[RET ISR]]</f>
        <v>0</v>
      </c>
      <c r="W7594" s="185"/>
      <c r="X7594" s="186"/>
      <c r="Y7594" s="187"/>
      <c r="Z7594" s="204">
        <f>+Table1[[#This Row],[CONCEPTO]]+Table1[[#This Row],[TIPO2]]-Table1[[#This Row],[IVA]]-Table1[[#This Row],[OTROS IMPUESTOS]]-Table1[[#This Row],[RET IVA]]</f>
        <v>0</v>
      </c>
      <c r="AB7594" t="str">
        <f>IF(Table1[[#This Row],[TIPO2]]="costo", VLOOKUP(Table1[[#This Row],[PARTIDA PRESUPUESTAL]],'Cost Report'!G:G,1,0),"Balance")</f>
        <v>Balance</v>
      </c>
      <c r="AD7594" s="159">
        <f>+Table1[[#This Row],[SUBTOTAL]]+Table1[[#This Row],[IVA]]-Table1[[#This Row],[RET IVA]]-Table1[[#This Row],[RET ISR]]-Table1[[#This Row],[TOTAL]]</f>
        <v>0</v>
      </c>
    </row>
    <row r="7595" spans="1:30">
      <c r="A7595" s="172"/>
      <c r="B7595" s="178"/>
      <c r="C7595" s="179"/>
      <c r="D7595" s="180"/>
      <c r="E7595" s="125"/>
      <c r="F7595" s="178"/>
      <c r="G7595" s="178"/>
      <c r="H7595" s="178"/>
      <c r="I7595" s="178"/>
      <c r="J7595" s="178"/>
      <c r="K7595" s="178"/>
      <c r="L7595" s="125"/>
      <c r="M7595" s="125"/>
      <c r="N7595" s="182"/>
      <c r="O7595" s="177"/>
      <c r="P7595" s="176"/>
      <c r="Q7595" s="176"/>
      <c r="R7595" s="176"/>
      <c r="S7595" s="176"/>
      <c r="T7595" s="190"/>
      <c r="U7595" s="191"/>
      <c r="V7595" s="191">
        <f>+Table1[[#This Row],[SUBTOTAL]]+Table1[[#This Row],[IVA]]-Table1[[#This Row],[RET IVA]]-Table1[[#This Row],[RET ISR]]</f>
        <v>0</v>
      </c>
      <c r="W7595" s="185"/>
      <c r="X7595" s="186"/>
      <c r="Y7595" s="187"/>
      <c r="Z7595" s="204">
        <f>+Table1[[#This Row],[CONCEPTO]]+Table1[[#This Row],[TIPO2]]-Table1[[#This Row],[IVA]]-Table1[[#This Row],[OTROS IMPUESTOS]]-Table1[[#This Row],[RET IVA]]</f>
        <v>0</v>
      </c>
      <c r="AB7595" t="str">
        <f>IF(Table1[[#This Row],[TIPO2]]="costo", VLOOKUP(Table1[[#This Row],[PARTIDA PRESUPUESTAL]],'Cost Report'!G:G,1,0),"Balance")</f>
        <v>Balance</v>
      </c>
      <c r="AD7595" s="159">
        <f>+Table1[[#This Row],[SUBTOTAL]]+Table1[[#This Row],[IVA]]-Table1[[#This Row],[RET IVA]]-Table1[[#This Row],[RET ISR]]-Table1[[#This Row],[TOTAL]]</f>
        <v>0</v>
      </c>
    </row>
    <row r="7596" spans="1:30">
      <c r="A7596" s="172"/>
      <c r="B7596" s="178"/>
      <c r="C7596" s="179"/>
      <c r="D7596" s="180"/>
      <c r="E7596" s="125"/>
      <c r="F7596" s="178"/>
      <c r="G7596" s="178"/>
      <c r="H7596" s="178"/>
      <c r="I7596" s="178"/>
      <c r="J7596" s="178"/>
      <c r="K7596" s="178"/>
      <c r="L7596" s="125"/>
      <c r="M7596" s="125"/>
      <c r="N7596" s="182"/>
      <c r="O7596" s="177"/>
      <c r="P7596" s="176"/>
      <c r="Q7596" s="176"/>
      <c r="R7596" s="176"/>
      <c r="S7596" s="176"/>
      <c r="T7596" s="190"/>
      <c r="U7596" s="191"/>
      <c r="V7596" s="191">
        <f>+Table1[[#This Row],[SUBTOTAL]]+Table1[[#This Row],[IVA]]-Table1[[#This Row],[RET IVA]]-Table1[[#This Row],[RET ISR]]</f>
        <v>0</v>
      </c>
      <c r="W7596" s="185"/>
      <c r="X7596" s="186"/>
      <c r="Y7596" s="187"/>
      <c r="Z7596" s="204">
        <f>+Table1[[#This Row],[CONCEPTO]]+Table1[[#This Row],[TIPO2]]-Table1[[#This Row],[IVA]]-Table1[[#This Row],[OTROS IMPUESTOS]]-Table1[[#This Row],[RET IVA]]</f>
        <v>0</v>
      </c>
      <c r="AB7596" t="str">
        <f>IF(Table1[[#This Row],[TIPO2]]="costo", VLOOKUP(Table1[[#This Row],[PARTIDA PRESUPUESTAL]],'Cost Report'!G:G,1,0),"Balance")</f>
        <v>Balance</v>
      </c>
      <c r="AD7596" s="159">
        <f>+Table1[[#This Row],[SUBTOTAL]]+Table1[[#This Row],[IVA]]-Table1[[#This Row],[RET IVA]]-Table1[[#This Row],[RET ISR]]-Table1[[#This Row],[TOTAL]]</f>
        <v>0</v>
      </c>
    </row>
    <row r="7597" spans="1:30">
      <c r="A7597" s="172"/>
      <c r="B7597" s="178"/>
      <c r="C7597" s="179"/>
      <c r="D7597" s="180"/>
      <c r="E7597" s="125"/>
      <c r="F7597" s="178"/>
      <c r="G7597" s="178"/>
      <c r="H7597" s="178"/>
      <c r="I7597" s="178"/>
      <c r="J7597" s="178"/>
      <c r="K7597" s="178"/>
      <c r="L7597" s="125"/>
      <c r="M7597" s="125"/>
      <c r="N7597" s="182"/>
      <c r="O7597" s="177"/>
      <c r="P7597" s="176"/>
      <c r="Q7597" s="176"/>
      <c r="R7597" s="176"/>
      <c r="S7597" s="176"/>
      <c r="T7597" s="190"/>
      <c r="U7597" s="191"/>
      <c r="V7597" s="191">
        <f>+Table1[[#This Row],[SUBTOTAL]]+Table1[[#This Row],[IVA]]-Table1[[#This Row],[RET IVA]]-Table1[[#This Row],[RET ISR]]</f>
        <v>0</v>
      </c>
      <c r="W7597" s="185"/>
      <c r="X7597" s="186"/>
      <c r="Y7597" s="187"/>
      <c r="Z7597" s="204">
        <f>+Table1[[#This Row],[CONCEPTO]]+Table1[[#This Row],[TIPO2]]-Table1[[#This Row],[IVA]]-Table1[[#This Row],[OTROS IMPUESTOS]]-Table1[[#This Row],[RET IVA]]</f>
        <v>0</v>
      </c>
      <c r="AB7597" t="str">
        <f>IF(Table1[[#This Row],[TIPO2]]="costo", VLOOKUP(Table1[[#This Row],[PARTIDA PRESUPUESTAL]],'Cost Report'!G:G,1,0),"Balance")</f>
        <v>Balance</v>
      </c>
      <c r="AD7597" s="159">
        <f>+Table1[[#This Row],[SUBTOTAL]]+Table1[[#This Row],[IVA]]-Table1[[#This Row],[RET IVA]]-Table1[[#This Row],[RET ISR]]-Table1[[#This Row],[TOTAL]]</f>
        <v>0</v>
      </c>
    </row>
    <row r="7598" spans="1:30">
      <c r="A7598" s="172"/>
      <c r="B7598" s="178"/>
      <c r="C7598" s="179"/>
      <c r="D7598" s="180"/>
      <c r="E7598" s="125"/>
      <c r="F7598" s="178"/>
      <c r="G7598" s="178"/>
      <c r="H7598" s="178"/>
      <c r="I7598" s="178"/>
      <c r="J7598" s="178"/>
      <c r="K7598" s="178"/>
      <c r="L7598" s="125"/>
      <c r="M7598" s="125"/>
      <c r="N7598" s="182"/>
      <c r="O7598" s="177"/>
      <c r="P7598" s="176"/>
      <c r="Q7598" s="176"/>
      <c r="R7598" s="176"/>
      <c r="S7598" s="176"/>
      <c r="T7598" s="190"/>
      <c r="U7598" s="191"/>
      <c r="V7598" s="191">
        <f>+Table1[[#This Row],[SUBTOTAL]]+Table1[[#This Row],[IVA]]-Table1[[#This Row],[RET IVA]]-Table1[[#This Row],[RET ISR]]</f>
        <v>0</v>
      </c>
      <c r="W7598" s="185"/>
      <c r="X7598" s="186"/>
      <c r="Y7598" s="187"/>
      <c r="Z7598" s="204">
        <f>+Table1[[#This Row],[CONCEPTO]]+Table1[[#This Row],[TIPO2]]-Table1[[#This Row],[IVA]]-Table1[[#This Row],[OTROS IMPUESTOS]]-Table1[[#This Row],[RET IVA]]</f>
        <v>0</v>
      </c>
      <c r="AB7598" t="str">
        <f>IF(Table1[[#This Row],[TIPO2]]="costo", VLOOKUP(Table1[[#This Row],[PARTIDA PRESUPUESTAL]],'Cost Report'!G:G,1,0),"Balance")</f>
        <v>Balance</v>
      </c>
      <c r="AD7598" s="159">
        <f>+Table1[[#This Row],[SUBTOTAL]]+Table1[[#This Row],[IVA]]-Table1[[#This Row],[RET IVA]]-Table1[[#This Row],[RET ISR]]-Table1[[#This Row],[TOTAL]]</f>
        <v>0</v>
      </c>
    </row>
    <row r="7599" spans="1:30">
      <c r="A7599" s="172"/>
      <c r="B7599" s="178"/>
      <c r="C7599" s="179"/>
      <c r="D7599" s="180"/>
      <c r="E7599" s="125"/>
      <c r="F7599" s="178"/>
      <c r="G7599" s="178"/>
      <c r="H7599" s="178"/>
      <c r="I7599" s="178"/>
      <c r="J7599" s="178"/>
      <c r="K7599" s="178"/>
      <c r="L7599" s="125"/>
      <c r="M7599" s="125"/>
      <c r="N7599" s="182"/>
      <c r="O7599" s="177"/>
      <c r="P7599" s="176"/>
      <c r="Q7599" s="176"/>
      <c r="R7599" s="176"/>
      <c r="S7599" s="176"/>
      <c r="T7599" s="190"/>
      <c r="U7599" s="191"/>
      <c r="V7599" s="191">
        <f>+Table1[[#This Row],[SUBTOTAL]]+Table1[[#This Row],[IVA]]-Table1[[#This Row],[RET IVA]]-Table1[[#This Row],[RET ISR]]</f>
        <v>0</v>
      </c>
      <c r="W7599" s="185"/>
      <c r="X7599" s="186"/>
      <c r="Y7599" s="187"/>
      <c r="Z7599" s="204">
        <f>+Table1[[#This Row],[CONCEPTO]]+Table1[[#This Row],[TIPO2]]-Table1[[#This Row],[IVA]]-Table1[[#This Row],[OTROS IMPUESTOS]]-Table1[[#This Row],[RET IVA]]</f>
        <v>0</v>
      </c>
      <c r="AB7599" t="str">
        <f>IF(Table1[[#This Row],[TIPO2]]="costo", VLOOKUP(Table1[[#This Row],[PARTIDA PRESUPUESTAL]],'Cost Report'!G:G,1,0),"Balance")</f>
        <v>Balance</v>
      </c>
      <c r="AD7599" s="159">
        <f>+Table1[[#This Row],[SUBTOTAL]]+Table1[[#This Row],[IVA]]-Table1[[#This Row],[RET IVA]]-Table1[[#This Row],[RET ISR]]-Table1[[#This Row],[TOTAL]]</f>
        <v>0</v>
      </c>
    </row>
    <row r="7600" spans="1:30">
      <c r="A7600" s="172"/>
      <c r="B7600" s="178"/>
      <c r="C7600" s="179"/>
      <c r="D7600" s="180"/>
      <c r="E7600" s="125"/>
      <c r="F7600" s="178"/>
      <c r="G7600" s="178"/>
      <c r="H7600" s="178"/>
      <c r="I7600" s="178"/>
      <c r="J7600" s="178"/>
      <c r="K7600" s="178"/>
      <c r="L7600" s="125"/>
      <c r="M7600" s="125"/>
      <c r="N7600" s="182"/>
      <c r="O7600" s="177"/>
      <c r="P7600" s="176"/>
      <c r="Q7600" s="176"/>
      <c r="R7600" s="176"/>
      <c r="S7600" s="176"/>
      <c r="T7600" s="190"/>
      <c r="U7600" s="191"/>
      <c r="V7600" s="191">
        <f>+Table1[[#This Row],[SUBTOTAL]]+Table1[[#This Row],[IVA]]-Table1[[#This Row],[RET IVA]]-Table1[[#This Row],[RET ISR]]</f>
        <v>0</v>
      </c>
      <c r="W7600" s="185"/>
      <c r="X7600" s="186"/>
      <c r="Y7600" s="187"/>
      <c r="Z7600" s="204">
        <f>+Table1[[#This Row],[CONCEPTO]]+Table1[[#This Row],[TIPO2]]-Table1[[#This Row],[IVA]]-Table1[[#This Row],[OTROS IMPUESTOS]]-Table1[[#This Row],[RET IVA]]</f>
        <v>0</v>
      </c>
      <c r="AB7600" t="str">
        <f>IF(Table1[[#This Row],[TIPO2]]="costo", VLOOKUP(Table1[[#This Row],[PARTIDA PRESUPUESTAL]],'Cost Report'!G:G,1,0),"Balance")</f>
        <v>Balance</v>
      </c>
      <c r="AD7600" s="159">
        <f>+Table1[[#This Row],[SUBTOTAL]]+Table1[[#This Row],[IVA]]-Table1[[#This Row],[RET IVA]]-Table1[[#This Row],[RET ISR]]-Table1[[#This Row],[TOTAL]]</f>
        <v>0</v>
      </c>
    </row>
    <row r="7601" spans="1:30">
      <c r="A7601" s="172"/>
      <c r="B7601" s="178"/>
      <c r="C7601" s="179"/>
      <c r="D7601" s="180"/>
      <c r="E7601" s="125"/>
      <c r="F7601" s="178"/>
      <c r="G7601" s="178"/>
      <c r="H7601" s="178"/>
      <c r="I7601" s="178"/>
      <c r="J7601" s="178"/>
      <c r="K7601" s="178"/>
      <c r="L7601" s="125"/>
      <c r="M7601" s="125"/>
      <c r="N7601" s="182"/>
      <c r="O7601" s="177"/>
      <c r="P7601" s="176"/>
      <c r="Q7601" s="176"/>
      <c r="R7601" s="176"/>
      <c r="S7601" s="176"/>
      <c r="T7601" s="190"/>
      <c r="U7601" s="191"/>
      <c r="V7601" s="191">
        <f>+Table1[[#This Row],[SUBTOTAL]]+Table1[[#This Row],[IVA]]-Table1[[#This Row],[RET IVA]]-Table1[[#This Row],[RET ISR]]</f>
        <v>0</v>
      </c>
      <c r="W7601" s="185"/>
      <c r="X7601" s="186"/>
      <c r="Y7601" s="187"/>
      <c r="Z7601" s="204">
        <f>+Table1[[#This Row],[CONCEPTO]]+Table1[[#This Row],[TIPO2]]-Table1[[#This Row],[IVA]]-Table1[[#This Row],[OTROS IMPUESTOS]]-Table1[[#This Row],[RET IVA]]</f>
        <v>0</v>
      </c>
      <c r="AB7601" t="str">
        <f>IF(Table1[[#This Row],[TIPO2]]="costo", VLOOKUP(Table1[[#This Row],[PARTIDA PRESUPUESTAL]],'Cost Report'!G:G,1,0),"Balance")</f>
        <v>Balance</v>
      </c>
      <c r="AD7601" s="159">
        <f>+Table1[[#This Row],[SUBTOTAL]]+Table1[[#This Row],[IVA]]-Table1[[#This Row],[RET IVA]]-Table1[[#This Row],[RET ISR]]-Table1[[#This Row],[TOTAL]]</f>
        <v>0</v>
      </c>
    </row>
    <row r="7602" spans="1:30">
      <c r="A7602" s="172"/>
      <c r="B7602" s="178"/>
      <c r="C7602" s="179"/>
      <c r="D7602" s="180"/>
      <c r="E7602" s="125"/>
      <c r="F7602" s="178"/>
      <c r="G7602" s="178"/>
      <c r="H7602" s="178"/>
      <c r="I7602" s="178"/>
      <c r="J7602" s="178"/>
      <c r="K7602" s="178"/>
      <c r="L7602" s="125"/>
      <c r="M7602" s="125"/>
      <c r="N7602" s="182"/>
      <c r="O7602" s="177"/>
      <c r="P7602" s="176"/>
      <c r="Q7602" s="176"/>
      <c r="R7602" s="176"/>
      <c r="S7602" s="176"/>
      <c r="T7602" s="190"/>
      <c r="U7602" s="191"/>
      <c r="V7602" s="191">
        <f>+Table1[[#This Row],[SUBTOTAL]]+Table1[[#This Row],[IVA]]-Table1[[#This Row],[RET IVA]]-Table1[[#This Row],[RET ISR]]</f>
        <v>0</v>
      </c>
      <c r="W7602" s="185"/>
      <c r="X7602" s="186"/>
      <c r="Y7602" s="187"/>
      <c r="Z7602" s="204">
        <f>+Table1[[#This Row],[CONCEPTO]]+Table1[[#This Row],[TIPO2]]-Table1[[#This Row],[IVA]]-Table1[[#This Row],[OTROS IMPUESTOS]]-Table1[[#This Row],[RET IVA]]</f>
        <v>0</v>
      </c>
      <c r="AB7602" t="str">
        <f>IF(Table1[[#This Row],[TIPO2]]="costo", VLOOKUP(Table1[[#This Row],[PARTIDA PRESUPUESTAL]],'Cost Report'!G:G,1,0),"Balance")</f>
        <v>Balance</v>
      </c>
      <c r="AD7602" s="159">
        <f>+Table1[[#This Row],[SUBTOTAL]]+Table1[[#This Row],[IVA]]-Table1[[#This Row],[RET IVA]]-Table1[[#This Row],[RET ISR]]-Table1[[#This Row],[TOTAL]]</f>
        <v>0</v>
      </c>
    </row>
    <row r="7603" spans="1:30">
      <c r="A7603" s="172"/>
      <c r="B7603" s="178"/>
      <c r="C7603" s="179"/>
      <c r="D7603" s="180"/>
      <c r="E7603" s="125"/>
      <c r="F7603" s="178"/>
      <c r="G7603" s="178"/>
      <c r="H7603" s="178"/>
      <c r="I7603" s="178"/>
      <c r="J7603" s="178"/>
      <c r="K7603" s="178"/>
      <c r="L7603" s="125"/>
      <c r="M7603" s="125"/>
      <c r="N7603" s="182"/>
      <c r="O7603" s="177"/>
      <c r="P7603" s="176"/>
      <c r="Q7603" s="176"/>
      <c r="R7603" s="176"/>
      <c r="S7603" s="176"/>
      <c r="T7603" s="190"/>
      <c r="U7603" s="191"/>
      <c r="V7603" s="191">
        <f>+Table1[[#This Row],[SUBTOTAL]]+Table1[[#This Row],[IVA]]-Table1[[#This Row],[RET IVA]]-Table1[[#This Row],[RET ISR]]</f>
        <v>0</v>
      </c>
      <c r="W7603" s="185"/>
      <c r="X7603" s="186"/>
      <c r="Y7603" s="187"/>
      <c r="Z7603" s="204">
        <f>+Table1[[#This Row],[CONCEPTO]]+Table1[[#This Row],[TIPO2]]-Table1[[#This Row],[IVA]]-Table1[[#This Row],[OTROS IMPUESTOS]]-Table1[[#This Row],[RET IVA]]</f>
        <v>0</v>
      </c>
      <c r="AB7603" t="str">
        <f>IF(Table1[[#This Row],[TIPO2]]="costo", VLOOKUP(Table1[[#This Row],[PARTIDA PRESUPUESTAL]],'Cost Report'!G:G,1,0),"Balance")</f>
        <v>Balance</v>
      </c>
      <c r="AD7603" s="159">
        <f>+Table1[[#This Row],[SUBTOTAL]]+Table1[[#This Row],[IVA]]-Table1[[#This Row],[RET IVA]]-Table1[[#This Row],[RET ISR]]-Table1[[#This Row],[TOTAL]]</f>
        <v>0</v>
      </c>
    </row>
    <row r="7604" spans="1:30">
      <c r="A7604" s="172"/>
      <c r="B7604" s="178"/>
      <c r="C7604" s="179"/>
      <c r="D7604" s="180"/>
      <c r="E7604" s="125"/>
      <c r="F7604" s="178"/>
      <c r="G7604" s="178"/>
      <c r="H7604" s="178"/>
      <c r="I7604" s="178"/>
      <c r="J7604" s="178"/>
      <c r="K7604" s="178"/>
      <c r="L7604" s="125"/>
      <c r="M7604" s="125"/>
      <c r="N7604" s="182"/>
      <c r="O7604" s="177"/>
      <c r="P7604" s="176"/>
      <c r="Q7604" s="176"/>
      <c r="R7604" s="176"/>
      <c r="S7604" s="176"/>
      <c r="T7604" s="190"/>
      <c r="U7604" s="191"/>
      <c r="V7604" s="191">
        <f>+Table1[[#This Row],[SUBTOTAL]]+Table1[[#This Row],[IVA]]-Table1[[#This Row],[RET IVA]]-Table1[[#This Row],[RET ISR]]</f>
        <v>0</v>
      </c>
      <c r="W7604" s="185"/>
      <c r="X7604" s="186"/>
      <c r="Y7604" s="187"/>
      <c r="Z7604" s="204">
        <f>+Table1[[#This Row],[CONCEPTO]]+Table1[[#This Row],[TIPO2]]-Table1[[#This Row],[IVA]]-Table1[[#This Row],[OTROS IMPUESTOS]]-Table1[[#This Row],[RET IVA]]</f>
        <v>0</v>
      </c>
      <c r="AB7604" t="str">
        <f>IF(Table1[[#This Row],[TIPO2]]="costo", VLOOKUP(Table1[[#This Row],[PARTIDA PRESUPUESTAL]],'Cost Report'!G:G,1,0),"Balance")</f>
        <v>Balance</v>
      </c>
      <c r="AD7604" s="159">
        <f>+Table1[[#This Row],[SUBTOTAL]]+Table1[[#This Row],[IVA]]-Table1[[#This Row],[RET IVA]]-Table1[[#This Row],[RET ISR]]-Table1[[#This Row],[TOTAL]]</f>
        <v>0</v>
      </c>
    </row>
    <row r="7605" spans="1:30">
      <c r="A7605" s="172"/>
      <c r="B7605" s="178"/>
      <c r="C7605" s="179"/>
      <c r="D7605" s="180"/>
      <c r="E7605" s="125"/>
      <c r="F7605" s="178"/>
      <c r="G7605" s="178"/>
      <c r="H7605" s="178"/>
      <c r="I7605" s="178"/>
      <c r="J7605" s="178"/>
      <c r="K7605" s="178"/>
      <c r="L7605" s="125"/>
      <c r="M7605" s="125"/>
      <c r="N7605" s="182"/>
      <c r="O7605" s="177"/>
      <c r="P7605" s="176"/>
      <c r="Q7605" s="176"/>
      <c r="R7605" s="176"/>
      <c r="S7605" s="176"/>
      <c r="T7605" s="190"/>
      <c r="U7605" s="191"/>
      <c r="V7605" s="191">
        <f>+Table1[[#This Row],[SUBTOTAL]]+Table1[[#This Row],[IVA]]-Table1[[#This Row],[RET IVA]]-Table1[[#This Row],[RET ISR]]</f>
        <v>0</v>
      </c>
      <c r="W7605" s="185"/>
      <c r="X7605" s="186"/>
      <c r="Y7605" s="187"/>
      <c r="Z7605" s="204">
        <f>+Table1[[#This Row],[CONCEPTO]]+Table1[[#This Row],[TIPO2]]-Table1[[#This Row],[IVA]]-Table1[[#This Row],[OTROS IMPUESTOS]]-Table1[[#This Row],[RET IVA]]</f>
        <v>0</v>
      </c>
      <c r="AB7605" t="str">
        <f>IF(Table1[[#This Row],[TIPO2]]="costo", VLOOKUP(Table1[[#This Row],[PARTIDA PRESUPUESTAL]],'Cost Report'!G:G,1,0),"Balance")</f>
        <v>Balance</v>
      </c>
      <c r="AD7605" s="159">
        <f>+Table1[[#This Row],[SUBTOTAL]]+Table1[[#This Row],[IVA]]-Table1[[#This Row],[RET IVA]]-Table1[[#This Row],[RET ISR]]-Table1[[#This Row],[TOTAL]]</f>
        <v>0</v>
      </c>
    </row>
    <row r="7606" spans="1:30">
      <c r="A7606" s="172"/>
      <c r="B7606" s="178"/>
      <c r="C7606" s="179"/>
      <c r="D7606" s="180"/>
      <c r="E7606" s="125"/>
      <c r="F7606" s="178"/>
      <c r="G7606" s="178"/>
      <c r="H7606" s="178"/>
      <c r="I7606" s="178"/>
      <c r="J7606" s="178"/>
      <c r="K7606" s="178"/>
      <c r="L7606" s="125"/>
      <c r="M7606" s="125"/>
      <c r="N7606" s="182"/>
      <c r="O7606" s="177"/>
      <c r="P7606" s="176"/>
      <c r="Q7606" s="176"/>
      <c r="R7606" s="176"/>
      <c r="S7606" s="176"/>
      <c r="T7606" s="190"/>
      <c r="U7606" s="191"/>
      <c r="V7606" s="191">
        <f>+Table1[[#This Row],[SUBTOTAL]]+Table1[[#This Row],[IVA]]-Table1[[#This Row],[RET IVA]]-Table1[[#This Row],[RET ISR]]</f>
        <v>0</v>
      </c>
      <c r="W7606" s="185"/>
      <c r="X7606" s="186"/>
      <c r="Y7606" s="187"/>
      <c r="Z7606" s="204">
        <f>+Table1[[#This Row],[CONCEPTO]]+Table1[[#This Row],[TIPO2]]-Table1[[#This Row],[IVA]]-Table1[[#This Row],[OTROS IMPUESTOS]]-Table1[[#This Row],[RET IVA]]</f>
        <v>0</v>
      </c>
      <c r="AB7606" t="str">
        <f>IF(Table1[[#This Row],[TIPO2]]="costo", VLOOKUP(Table1[[#This Row],[PARTIDA PRESUPUESTAL]],'Cost Report'!G:G,1,0),"Balance")</f>
        <v>Balance</v>
      </c>
      <c r="AD7606" s="159">
        <f>+Table1[[#This Row],[SUBTOTAL]]+Table1[[#This Row],[IVA]]-Table1[[#This Row],[RET IVA]]-Table1[[#This Row],[RET ISR]]-Table1[[#This Row],[TOTAL]]</f>
        <v>0</v>
      </c>
    </row>
    <row r="7607" spans="1:30">
      <c r="A7607" s="172"/>
      <c r="B7607" s="178"/>
      <c r="C7607" s="179"/>
      <c r="D7607" s="180"/>
      <c r="E7607" s="125"/>
      <c r="F7607" s="178"/>
      <c r="G7607" s="178"/>
      <c r="H7607" s="178"/>
      <c r="I7607" s="178"/>
      <c r="J7607" s="178"/>
      <c r="K7607" s="178"/>
      <c r="L7607" s="125"/>
      <c r="M7607" s="125"/>
      <c r="N7607" s="182"/>
      <c r="O7607" s="177"/>
      <c r="P7607" s="176"/>
      <c r="Q7607" s="176"/>
      <c r="R7607" s="176"/>
      <c r="S7607" s="176"/>
      <c r="T7607" s="190"/>
      <c r="U7607" s="191"/>
      <c r="V7607" s="191">
        <f>+Table1[[#This Row],[SUBTOTAL]]+Table1[[#This Row],[IVA]]-Table1[[#This Row],[RET IVA]]-Table1[[#This Row],[RET ISR]]</f>
        <v>0</v>
      </c>
      <c r="W7607" s="185"/>
      <c r="X7607" s="186"/>
      <c r="Y7607" s="187"/>
      <c r="Z7607" s="204">
        <f>+Table1[[#This Row],[CONCEPTO]]+Table1[[#This Row],[TIPO2]]-Table1[[#This Row],[IVA]]-Table1[[#This Row],[OTROS IMPUESTOS]]-Table1[[#This Row],[RET IVA]]</f>
        <v>0</v>
      </c>
      <c r="AB7607" t="str">
        <f>IF(Table1[[#This Row],[TIPO2]]="costo", VLOOKUP(Table1[[#This Row],[PARTIDA PRESUPUESTAL]],'Cost Report'!G:G,1,0),"Balance")</f>
        <v>Balance</v>
      </c>
      <c r="AD7607" s="159">
        <f>+Table1[[#This Row],[SUBTOTAL]]+Table1[[#This Row],[IVA]]-Table1[[#This Row],[RET IVA]]-Table1[[#This Row],[RET ISR]]-Table1[[#This Row],[TOTAL]]</f>
        <v>0</v>
      </c>
    </row>
    <row r="7608" spans="1:30">
      <c r="A7608" s="172"/>
      <c r="B7608" s="178"/>
      <c r="C7608" s="179"/>
      <c r="D7608" s="180"/>
      <c r="E7608" s="125"/>
      <c r="F7608" s="178"/>
      <c r="G7608" s="178"/>
      <c r="H7608" s="178"/>
      <c r="I7608" s="178"/>
      <c r="J7608" s="178"/>
      <c r="K7608" s="178"/>
      <c r="L7608" s="125"/>
      <c r="M7608" s="125"/>
      <c r="N7608" s="182"/>
      <c r="O7608" s="177"/>
      <c r="P7608" s="176"/>
      <c r="Q7608" s="176"/>
      <c r="R7608" s="176"/>
      <c r="S7608" s="176"/>
      <c r="T7608" s="190"/>
      <c r="U7608" s="191"/>
      <c r="V7608" s="191">
        <f>+Table1[[#This Row],[SUBTOTAL]]+Table1[[#This Row],[IVA]]-Table1[[#This Row],[RET IVA]]-Table1[[#This Row],[RET ISR]]</f>
        <v>0</v>
      </c>
      <c r="W7608" s="185"/>
      <c r="X7608" s="186"/>
      <c r="Y7608" s="187"/>
      <c r="Z7608" s="204">
        <f>+Table1[[#This Row],[CONCEPTO]]+Table1[[#This Row],[TIPO2]]-Table1[[#This Row],[IVA]]-Table1[[#This Row],[OTROS IMPUESTOS]]-Table1[[#This Row],[RET IVA]]</f>
        <v>0</v>
      </c>
      <c r="AB7608" t="str">
        <f>IF(Table1[[#This Row],[TIPO2]]="costo", VLOOKUP(Table1[[#This Row],[PARTIDA PRESUPUESTAL]],'Cost Report'!G:G,1,0),"Balance")</f>
        <v>Balance</v>
      </c>
      <c r="AD7608" s="159">
        <f>+Table1[[#This Row],[SUBTOTAL]]+Table1[[#This Row],[IVA]]-Table1[[#This Row],[RET IVA]]-Table1[[#This Row],[RET ISR]]-Table1[[#This Row],[TOTAL]]</f>
        <v>0</v>
      </c>
    </row>
    <row r="7609" spans="1:30">
      <c r="A7609" s="172"/>
      <c r="B7609" s="178"/>
      <c r="C7609" s="179"/>
      <c r="D7609" s="180"/>
      <c r="E7609" s="125"/>
      <c r="F7609" s="178"/>
      <c r="G7609" s="178"/>
      <c r="H7609" s="178"/>
      <c r="I7609" s="178"/>
      <c r="J7609" s="178"/>
      <c r="K7609" s="178"/>
      <c r="L7609" s="125"/>
      <c r="M7609" s="125"/>
      <c r="N7609" s="182"/>
      <c r="O7609" s="177"/>
      <c r="P7609" s="176"/>
      <c r="Q7609" s="176"/>
      <c r="R7609" s="176"/>
      <c r="S7609" s="176"/>
      <c r="T7609" s="190"/>
      <c r="U7609" s="191"/>
      <c r="V7609" s="191">
        <f>+Table1[[#This Row],[SUBTOTAL]]+Table1[[#This Row],[IVA]]-Table1[[#This Row],[RET IVA]]-Table1[[#This Row],[RET ISR]]</f>
        <v>0</v>
      </c>
      <c r="W7609" s="185"/>
      <c r="X7609" s="186"/>
      <c r="Y7609" s="187"/>
      <c r="Z7609" s="204">
        <f>+Table1[[#This Row],[CONCEPTO]]+Table1[[#This Row],[TIPO2]]-Table1[[#This Row],[IVA]]-Table1[[#This Row],[OTROS IMPUESTOS]]-Table1[[#This Row],[RET IVA]]</f>
        <v>0</v>
      </c>
      <c r="AB7609" t="str">
        <f>IF(Table1[[#This Row],[TIPO2]]="costo", VLOOKUP(Table1[[#This Row],[PARTIDA PRESUPUESTAL]],'Cost Report'!G:G,1,0),"Balance")</f>
        <v>Balance</v>
      </c>
      <c r="AD7609" s="159">
        <f>+Table1[[#This Row],[SUBTOTAL]]+Table1[[#This Row],[IVA]]-Table1[[#This Row],[RET IVA]]-Table1[[#This Row],[RET ISR]]-Table1[[#This Row],[TOTAL]]</f>
        <v>0</v>
      </c>
    </row>
    <row r="7610" spans="1:30">
      <c r="A7610" s="172"/>
      <c r="B7610" s="178"/>
      <c r="C7610" s="179"/>
      <c r="D7610" s="180"/>
      <c r="E7610" s="125"/>
      <c r="F7610" s="178"/>
      <c r="G7610" s="178"/>
      <c r="H7610" s="178"/>
      <c r="I7610" s="178"/>
      <c r="J7610" s="178"/>
      <c r="K7610" s="178"/>
      <c r="L7610" s="125"/>
      <c r="M7610" s="125"/>
      <c r="N7610" s="182"/>
      <c r="O7610" s="177"/>
      <c r="P7610" s="176"/>
      <c r="Q7610" s="176"/>
      <c r="R7610" s="176"/>
      <c r="S7610" s="176"/>
      <c r="T7610" s="190"/>
      <c r="U7610" s="191"/>
      <c r="V7610" s="191">
        <f>+Table1[[#This Row],[SUBTOTAL]]+Table1[[#This Row],[IVA]]-Table1[[#This Row],[RET IVA]]-Table1[[#This Row],[RET ISR]]</f>
        <v>0</v>
      </c>
      <c r="W7610" s="185"/>
      <c r="X7610" s="186"/>
      <c r="Y7610" s="187"/>
      <c r="Z7610" s="204">
        <f>+Table1[[#This Row],[CONCEPTO]]+Table1[[#This Row],[TIPO2]]-Table1[[#This Row],[IVA]]-Table1[[#This Row],[OTROS IMPUESTOS]]-Table1[[#This Row],[RET IVA]]</f>
        <v>0</v>
      </c>
      <c r="AB7610" t="str">
        <f>IF(Table1[[#This Row],[TIPO2]]="costo", VLOOKUP(Table1[[#This Row],[PARTIDA PRESUPUESTAL]],'Cost Report'!G:G,1,0),"Balance")</f>
        <v>Balance</v>
      </c>
      <c r="AD7610" s="159">
        <f>+Table1[[#This Row],[SUBTOTAL]]+Table1[[#This Row],[IVA]]-Table1[[#This Row],[RET IVA]]-Table1[[#This Row],[RET ISR]]-Table1[[#This Row],[TOTAL]]</f>
        <v>0</v>
      </c>
    </row>
    <row r="7611" spans="1:30">
      <c r="A7611" s="172"/>
      <c r="B7611" s="178"/>
      <c r="C7611" s="179"/>
      <c r="D7611" s="180"/>
      <c r="E7611" s="125"/>
      <c r="F7611" s="178"/>
      <c r="G7611" s="178"/>
      <c r="H7611" s="178"/>
      <c r="I7611" s="178"/>
      <c r="J7611" s="178"/>
      <c r="K7611" s="178"/>
      <c r="L7611" s="125"/>
      <c r="M7611" s="125"/>
      <c r="N7611" s="182"/>
      <c r="O7611" s="177"/>
      <c r="P7611" s="176"/>
      <c r="Q7611" s="176"/>
      <c r="R7611" s="176"/>
      <c r="S7611" s="176"/>
      <c r="T7611" s="190"/>
      <c r="U7611" s="191"/>
      <c r="V7611" s="191">
        <f>+Table1[[#This Row],[SUBTOTAL]]+Table1[[#This Row],[IVA]]-Table1[[#This Row],[RET IVA]]-Table1[[#This Row],[RET ISR]]</f>
        <v>0</v>
      </c>
      <c r="W7611" s="185"/>
      <c r="X7611" s="186"/>
      <c r="Y7611" s="187"/>
      <c r="Z7611" s="204">
        <f>+Table1[[#This Row],[CONCEPTO]]+Table1[[#This Row],[TIPO2]]-Table1[[#This Row],[IVA]]-Table1[[#This Row],[OTROS IMPUESTOS]]-Table1[[#This Row],[RET IVA]]</f>
        <v>0</v>
      </c>
      <c r="AB7611" t="str">
        <f>IF(Table1[[#This Row],[TIPO2]]="costo", VLOOKUP(Table1[[#This Row],[PARTIDA PRESUPUESTAL]],'Cost Report'!G:G,1,0),"Balance")</f>
        <v>Balance</v>
      </c>
      <c r="AD7611" s="159">
        <f>+Table1[[#This Row],[SUBTOTAL]]+Table1[[#This Row],[IVA]]-Table1[[#This Row],[RET IVA]]-Table1[[#This Row],[RET ISR]]-Table1[[#This Row],[TOTAL]]</f>
        <v>0</v>
      </c>
    </row>
    <row r="7612" spans="1:30">
      <c r="A7612" s="172"/>
      <c r="B7612" s="178"/>
      <c r="C7612" s="179"/>
      <c r="D7612" s="180"/>
      <c r="E7612" s="125"/>
      <c r="F7612" s="178"/>
      <c r="G7612" s="178"/>
      <c r="H7612" s="178"/>
      <c r="I7612" s="178"/>
      <c r="J7612" s="178"/>
      <c r="K7612" s="178"/>
      <c r="L7612" s="125"/>
      <c r="M7612" s="125"/>
      <c r="N7612" s="182"/>
      <c r="O7612" s="177"/>
      <c r="P7612" s="176"/>
      <c r="Q7612" s="176"/>
      <c r="R7612" s="176"/>
      <c r="S7612" s="176"/>
      <c r="T7612" s="190"/>
      <c r="U7612" s="191"/>
      <c r="V7612" s="191">
        <f>+Table1[[#This Row],[SUBTOTAL]]+Table1[[#This Row],[IVA]]-Table1[[#This Row],[RET IVA]]-Table1[[#This Row],[RET ISR]]</f>
        <v>0</v>
      </c>
      <c r="W7612" s="185"/>
      <c r="X7612" s="186"/>
      <c r="Y7612" s="187"/>
      <c r="Z7612" s="204">
        <f>+Table1[[#This Row],[CONCEPTO]]+Table1[[#This Row],[TIPO2]]-Table1[[#This Row],[IVA]]-Table1[[#This Row],[OTROS IMPUESTOS]]-Table1[[#This Row],[RET IVA]]</f>
        <v>0</v>
      </c>
      <c r="AB7612" t="str">
        <f>IF(Table1[[#This Row],[TIPO2]]="costo", VLOOKUP(Table1[[#This Row],[PARTIDA PRESUPUESTAL]],'Cost Report'!G:G,1,0),"Balance")</f>
        <v>Balance</v>
      </c>
      <c r="AD7612" s="159">
        <f>+Table1[[#This Row],[SUBTOTAL]]+Table1[[#This Row],[IVA]]-Table1[[#This Row],[RET IVA]]-Table1[[#This Row],[RET ISR]]-Table1[[#This Row],[TOTAL]]</f>
        <v>0</v>
      </c>
    </row>
    <row r="7613" spans="1:30">
      <c r="A7613" s="172"/>
      <c r="B7613" s="178"/>
      <c r="C7613" s="179"/>
      <c r="D7613" s="180"/>
      <c r="E7613" s="125"/>
      <c r="F7613" s="178"/>
      <c r="G7613" s="178"/>
      <c r="H7613" s="178"/>
      <c r="I7613" s="178"/>
      <c r="J7613" s="178"/>
      <c r="K7613" s="178"/>
      <c r="L7613" s="125"/>
      <c r="M7613" s="125"/>
      <c r="N7613" s="182"/>
      <c r="O7613" s="177"/>
      <c r="P7613" s="176"/>
      <c r="Q7613" s="176"/>
      <c r="R7613" s="176"/>
      <c r="S7613" s="176"/>
      <c r="T7613" s="190"/>
      <c r="U7613" s="191"/>
      <c r="V7613" s="191">
        <f>+Table1[[#This Row],[SUBTOTAL]]+Table1[[#This Row],[IVA]]-Table1[[#This Row],[RET IVA]]-Table1[[#This Row],[RET ISR]]</f>
        <v>0</v>
      </c>
      <c r="W7613" s="185"/>
      <c r="X7613" s="186"/>
      <c r="Y7613" s="187"/>
      <c r="Z7613" s="204">
        <f>+Table1[[#This Row],[CONCEPTO]]+Table1[[#This Row],[TIPO2]]-Table1[[#This Row],[IVA]]-Table1[[#This Row],[OTROS IMPUESTOS]]-Table1[[#This Row],[RET IVA]]</f>
        <v>0</v>
      </c>
      <c r="AB7613" t="str">
        <f>IF(Table1[[#This Row],[TIPO2]]="costo", VLOOKUP(Table1[[#This Row],[PARTIDA PRESUPUESTAL]],'Cost Report'!G:G,1,0),"Balance")</f>
        <v>Balance</v>
      </c>
      <c r="AD7613" s="159">
        <f>+Table1[[#This Row],[SUBTOTAL]]+Table1[[#This Row],[IVA]]-Table1[[#This Row],[RET IVA]]-Table1[[#This Row],[RET ISR]]-Table1[[#This Row],[TOTAL]]</f>
        <v>0</v>
      </c>
    </row>
    <row r="7614" spans="1:30">
      <c r="A7614" s="172"/>
      <c r="B7614" s="178"/>
      <c r="C7614" s="179"/>
      <c r="D7614" s="180"/>
      <c r="E7614" s="125"/>
      <c r="F7614" s="178"/>
      <c r="G7614" s="178"/>
      <c r="H7614" s="178"/>
      <c r="I7614" s="178"/>
      <c r="J7614" s="178"/>
      <c r="K7614" s="178"/>
      <c r="L7614" s="125"/>
      <c r="M7614" s="125"/>
      <c r="N7614" s="182"/>
      <c r="O7614" s="177"/>
      <c r="P7614" s="176"/>
      <c r="Q7614" s="176"/>
      <c r="R7614" s="176"/>
      <c r="S7614" s="176"/>
      <c r="T7614" s="190"/>
      <c r="U7614" s="191"/>
      <c r="V7614" s="191">
        <f>+Table1[[#This Row],[SUBTOTAL]]+Table1[[#This Row],[IVA]]-Table1[[#This Row],[RET IVA]]-Table1[[#This Row],[RET ISR]]</f>
        <v>0</v>
      </c>
      <c r="W7614" s="185"/>
      <c r="X7614" s="186"/>
      <c r="Y7614" s="187"/>
      <c r="Z7614" s="204">
        <f>+Table1[[#This Row],[CONCEPTO]]+Table1[[#This Row],[TIPO2]]-Table1[[#This Row],[IVA]]-Table1[[#This Row],[OTROS IMPUESTOS]]-Table1[[#This Row],[RET IVA]]</f>
        <v>0</v>
      </c>
      <c r="AB7614" t="str">
        <f>IF(Table1[[#This Row],[TIPO2]]="costo", VLOOKUP(Table1[[#This Row],[PARTIDA PRESUPUESTAL]],'Cost Report'!G:G,1,0),"Balance")</f>
        <v>Balance</v>
      </c>
      <c r="AD7614" s="159">
        <f>+Table1[[#This Row],[SUBTOTAL]]+Table1[[#This Row],[IVA]]-Table1[[#This Row],[RET IVA]]-Table1[[#This Row],[RET ISR]]-Table1[[#This Row],[TOTAL]]</f>
        <v>0</v>
      </c>
    </row>
    <row r="7615" spans="1:30">
      <c r="A7615" s="172"/>
      <c r="B7615" s="178"/>
      <c r="C7615" s="179"/>
      <c r="D7615" s="180"/>
      <c r="E7615" s="125"/>
      <c r="F7615" s="178"/>
      <c r="G7615" s="178"/>
      <c r="H7615" s="178"/>
      <c r="I7615" s="178"/>
      <c r="J7615" s="178"/>
      <c r="K7615" s="178"/>
      <c r="L7615" s="125"/>
      <c r="M7615" s="125"/>
      <c r="N7615" s="182"/>
      <c r="O7615" s="177"/>
      <c r="P7615" s="176"/>
      <c r="Q7615" s="176"/>
      <c r="R7615" s="176"/>
      <c r="S7615" s="176"/>
      <c r="T7615" s="190"/>
      <c r="U7615" s="191"/>
      <c r="V7615" s="191">
        <f>+Table1[[#This Row],[SUBTOTAL]]+Table1[[#This Row],[IVA]]-Table1[[#This Row],[RET IVA]]-Table1[[#This Row],[RET ISR]]</f>
        <v>0</v>
      </c>
      <c r="W7615" s="185"/>
      <c r="X7615" s="186"/>
      <c r="Y7615" s="187"/>
      <c r="Z7615" s="204">
        <f>+Table1[[#This Row],[CONCEPTO]]+Table1[[#This Row],[TIPO2]]-Table1[[#This Row],[IVA]]-Table1[[#This Row],[OTROS IMPUESTOS]]-Table1[[#This Row],[RET IVA]]</f>
        <v>0</v>
      </c>
      <c r="AB7615" t="str">
        <f>IF(Table1[[#This Row],[TIPO2]]="costo", VLOOKUP(Table1[[#This Row],[PARTIDA PRESUPUESTAL]],'Cost Report'!G:G,1,0),"Balance")</f>
        <v>Balance</v>
      </c>
      <c r="AD7615" s="159">
        <f>+Table1[[#This Row],[SUBTOTAL]]+Table1[[#This Row],[IVA]]-Table1[[#This Row],[RET IVA]]-Table1[[#This Row],[RET ISR]]-Table1[[#This Row],[TOTAL]]</f>
        <v>0</v>
      </c>
    </row>
    <row r="7616" spans="1:30">
      <c r="A7616" s="172"/>
      <c r="B7616" s="178"/>
      <c r="C7616" s="179"/>
      <c r="D7616" s="180"/>
      <c r="E7616" s="125"/>
      <c r="F7616" s="178"/>
      <c r="G7616" s="178"/>
      <c r="H7616" s="178"/>
      <c r="I7616" s="178"/>
      <c r="J7616" s="178"/>
      <c r="K7616" s="178"/>
      <c r="L7616" s="125"/>
      <c r="M7616" s="125"/>
      <c r="N7616" s="182"/>
      <c r="O7616" s="177"/>
      <c r="P7616" s="176"/>
      <c r="Q7616" s="176"/>
      <c r="R7616" s="176"/>
      <c r="S7616" s="176"/>
      <c r="T7616" s="190"/>
      <c r="U7616" s="191"/>
      <c r="V7616" s="191">
        <f>+Table1[[#This Row],[SUBTOTAL]]+Table1[[#This Row],[IVA]]-Table1[[#This Row],[RET IVA]]-Table1[[#This Row],[RET ISR]]</f>
        <v>0</v>
      </c>
      <c r="W7616" s="185"/>
      <c r="X7616" s="186"/>
      <c r="Y7616" s="187"/>
      <c r="Z7616" s="204">
        <f>+Table1[[#This Row],[CONCEPTO]]+Table1[[#This Row],[TIPO2]]-Table1[[#This Row],[IVA]]-Table1[[#This Row],[OTROS IMPUESTOS]]-Table1[[#This Row],[RET IVA]]</f>
        <v>0</v>
      </c>
      <c r="AB7616" t="str">
        <f>IF(Table1[[#This Row],[TIPO2]]="costo", VLOOKUP(Table1[[#This Row],[PARTIDA PRESUPUESTAL]],'Cost Report'!G:G,1,0),"Balance")</f>
        <v>Balance</v>
      </c>
      <c r="AD7616" s="159">
        <f>+Table1[[#This Row],[SUBTOTAL]]+Table1[[#This Row],[IVA]]-Table1[[#This Row],[RET IVA]]-Table1[[#This Row],[RET ISR]]-Table1[[#This Row],[TOTAL]]</f>
        <v>0</v>
      </c>
    </row>
    <row r="7617" spans="1:30">
      <c r="A7617" s="172"/>
      <c r="B7617" s="178"/>
      <c r="C7617" s="179"/>
      <c r="D7617" s="180"/>
      <c r="E7617" s="125"/>
      <c r="F7617" s="178"/>
      <c r="G7617" s="178"/>
      <c r="H7617" s="178"/>
      <c r="I7617" s="178"/>
      <c r="J7617" s="178"/>
      <c r="K7617" s="178"/>
      <c r="L7617" s="125"/>
      <c r="M7617" s="125"/>
      <c r="N7617" s="182"/>
      <c r="O7617" s="177"/>
      <c r="P7617" s="176"/>
      <c r="Q7617" s="176"/>
      <c r="R7617" s="176"/>
      <c r="S7617" s="176"/>
      <c r="T7617" s="190"/>
      <c r="U7617" s="191"/>
      <c r="V7617" s="191">
        <f>+Table1[[#This Row],[SUBTOTAL]]+Table1[[#This Row],[IVA]]-Table1[[#This Row],[RET IVA]]-Table1[[#This Row],[RET ISR]]</f>
        <v>0</v>
      </c>
      <c r="W7617" s="185"/>
      <c r="X7617" s="186"/>
      <c r="Y7617" s="187"/>
      <c r="Z7617" s="204">
        <f>+Table1[[#This Row],[CONCEPTO]]+Table1[[#This Row],[TIPO2]]-Table1[[#This Row],[IVA]]-Table1[[#This Row],[OTROS IMPUESTOS]]-Table1[[#This Row],[RET IVA]]</f>
        <v>0</v>
      </c>
      <c r="AB7617" t="str">
        <f>IF(Table1[[#This Row],[TIPO2]]="costo", VLOOKUP(Table1[[#This Row],[PARTIDA PRESUPUESTAL]],'Cost Report'!G:G,1,0),"Balance")</f>
        <v>Balance</v>
      </c>
      <c r="AD7617" s="159">
        <f>+Table1[[#This Row],[SUBTOTAL]]+Table1[[#This Row],[IVA]]-Table1[[#This Row],[RET IVA]]-Table1[[#This Row],[RET ISR]]-Table1[[#This Row],[TOTAL]]</f>
        <v>0</v>
      </c>
    </row>
    <row r="7618" spans="1:30">
      <c r="A7618" s="172"/>
      <c r="B7618" s="178"/>
      <c r="C7618" s="179"/>
      <c r="D7618" s="180"/>
      <c r="E7618" s="125"/>
      <c r="F7618" s="178"/>
      <c r="G7618" s="178"/>
      <c r="H7618" s="178"/>
      <c r="I7618" s="178"/>
      <c r="J7618" s="178"/>
      <c r="K7618" s="178"/>
      <c r="L7618" s="125"/>
      <c r="M7618" s="125"/>
      <c r="N7618" s="182"/>
      <c r="O7618" s="177"/>
      <c r="P7618" s="176"/>
      <c r="Q7618" s="176"/>
      <c r="R7618" s="176"/>
      <c r="S7618" s="176"/>
      <c r="T7618" s="190"/>
      <c r="U7618" s="191"/>
      <c r="V7618" s="191">
        <f>+Table1[[#This Row],[SUBTOTAL]]+Table1[[#This Row],[IVA]]-Table1[[#This Row],[RET IVA]]-Table1[[#This Row],[RET ISR]]</f>
        <v>0</v>
      </c>
      <c r="W7618" s="185"/>
      <c r="X7618" s="186"/>
      <c r="Y7618" s="187"/>
      <c r="Z7618" s="204">
        <f>+Table1[[#This Row],[CONCEPTO]]+Table1[[#This Row],[TIPO2]]-Table1[[#This Row],[IVA]]-Table1[[#This Row],[OTROS IMPUESTOS]]-Table1[[#This Row],[RET IVA]]</f>
        <v>0</v>
      </c>
      <c r="AB7618" t="str">
        <f>IF(Table1[[#This Row],[TIPO2]]="costo", VLOOKUP(Table1[[#This Row],[PARTIDA PRESUPUESTAL]],'Cost Report'!G:G,1,0),"Balance")</f>
        <v>Balance</v>
      </c>
      <c r="AD7618" s="159">
        <f>+Table1[[#This Row],[SUBTOTAL]]+Table1[[#This Row],[IVA]]-Table1[[#This Row],[RET IVA]]-Table1[[#This Row],[RET ISR]]-Table1[[#This Row],[TOTAL]]</f>
        <v>0</v>
      </c>
    </row>
    <row r="7619" spans="1:30">
      <c r="A7619" s="172"/>
      <c r="B7619" s="178"/>
      <c r="C7619" s="179"/>
      <c r="D7619" s="180"/>
      <c r="E7619" s="125"/>
      <c r="F7619" s="178"/>
      <c r="G7619" s="178"/>
      <c r="H7619" s="178"/>
      <c r="I7619" s="178"/>
      <c r="J7619" s="178"/>
      <c r="K7619" s="178"/>
      <c r="L7619" s="125"/>
      <c r="M7619" s="125"/>
      <c r="N7619" s="182"/>
      <c r="O7619" s="177"/>
      <c r="P7619" s="176"/>
      <c r="Q7619" s="176"/>
      <c r="R7619" s="176"/>
      <c r="S7619" s="176"/>
      <c r="T7619" s="190"/>
      <c r="U7619" s="191"/>
      <c r="V7619" s="191">
        <f>+Table1[[#This Row],[SUBTOTAL]]+Table1[[#This Row],[IVA]]-Table1[[#This Row],[RET IVA]]-Table1[[#This Row],[RET ISR]]</f>
        <v>0</v>
      </c>
      <c r="W7619" s="185"/>
      <c r="X7619" s="186"/>
      <c r="Y7619" s="187"/>
      <c r="Z7619" s="204">
        <f>+Table1[[#This Row],[CONCEPTO]]+Table1[[#This Row],[TIPO2]]-Table1[[#This Row],[IVA]]-Table1[[#This Row],[OTROS IMPUESTOS]]-Table1[[#This Row],[RET IVA]]</f>
        <v>0</v>
      </c>
      <c r="AB7619" t="str">
        <f>IF(Table1[[#This Row],[TIPO2]]="costo", VLOOKUP(Table1[[#This Row],[PARTIDA PRESUPUESTAL]],'Cost Report'!G:G,1,0),"Balance")</f>
        <v>Balance</v>
      </c>
      <c r="AD7619" s="159">
        <f>+Table1[[#This Row],[SUBTOTAL]]+Table1[[#This Row],[IVA]]-Table1[[#This Row],[RET IVA]]-Table1[[#This Row],[RET ISR]]-Table1[[#This Row],[TOTAL]]</f>
        <v>0</v>
      </c>
    </row>
    <row r="7620" spans="1:30">
      <c r="A7620" s="172"/>
      <c r="B7620" s="178"/>
      <c r="C7620" s="179"/>
      <c r="D7620" s="180"/>
      <c r="E7620" s="125"/>
      <c r="F7620" s="178"/>
      <c r="G7620" s="178"/>
      <c r="H7620" s="178"/>
      <c r="I7620" s="178"/>
      <c r="J7620" s="178"/>
      <c r="K7620" s="178"/>
      <c r="L7620" s="125"/>
      <c r="M7620" s="125"/>
      <c r="N7620" s="182"/>
      <c r="O7620" s="177"/>
      <c r="P7620" s="176"/>
      <c r="Q7620" s="176"/>
      <c r="R7620" s="176"/>
      <c r="S7620" s="176"/>
      <c r="T7620" s="190"/>
      <c r="U7620" s="191"/>
      <c r="V7620" s="191">
        <f>+Table1[[#This Row],[SUBTOTAL]]+Table1[[#This Row],[IVA]]-Table1[[#This Row],[RET IVA]]-Table1[[#This Row],[RET ISR]]</f>
        <v>0</v>
      </c>
      <c r="W7620" s="185"/>
      <c r="X7620" s="186"/>
      <c r="Y7620" s="187"/>
      <c r="Z7620" s="204">
        <f>+Table1[[#This Row],[CONCEPTO]]+Table1[[#This Row],[TIPO2]]-Table1[[#This Row],[IVA]]-Table1[[#This Row],[OTROS IMPUESTOS]]-Table1[[#This Row],[RET IVA]]</f>
        <v>0</v>
      </c>
      <c r="AB7620" t="str">
        <f>IF(Table1[[#This Row],[TIPO2]]="costo", VLOOKUP(Table1[[#This Row],[PARTIDA PRESUPUESTAL]],'Cost Report'!G:G,1,0),"Balance")</f>
        <v>Balance</v>
      </c>
      <c r="AD7620" s="159">
        <f>+Table1[[#This Row],[SUBTOTAL]]+Table1[[#This Row],[IVA]]-Table1[[#This Row],[RET IVA]]-Table1[[#This Row],[RET ISR]]-Table1[[#This Row],[TOTAL]]</f>
        <v>0</v>
      </c>
    </row>
    <row r="7621" spans="1:30">
      <c r="A7621" s="172"/>
      <c r="B7621" s="178"/>
      <c r="C7621" s="179"/>
      <c r="D7621" s="180"/>
      <c r="E7621" s="125"/>
      <c r="F7621" s="178"/>
      <c r="G7621" s="178"/>
      <c r="H7621" s="178"/>
      <c r="I7621" s="178"/>
      <c r="J7621" s="178"/>
      <c r="K7621" s="178"/>
      <c r="L7621" s="125"/>
      <c r="M7621" s="125"/>
      <c r="N7621" s="182"/>
      <c r="O7621" s="177"/>
      <c r="P7621" s="176"/>
      <c r="Q7621" s="176"/>
      <c r="R7621" s="176"/>
      <c r="S7621" s="176"/>
      <c r="T7621" s="190"/>
      <c r="U7621" s="191"/>
      <c r="V7621" s="191">
        <f>+Table1[[#This Row],[SUBTOTAL]]+Table1[[#This Row],[IVA]]-Table1[[#This Row],[RET IVA]]-Table1[[#This Row],[RET ISR]]</f>
        <v>0</v>
      </c>
      <c r="W7621" s="185"/>
      <c r="X7621" s="186"/>
      <c r="Y7621" s="187"/>
      <c r="Z7621" s="204">
        <f>+Table1[[#This Row],[CONCEPTO]]+Table1[[#This Row],[TIPO2]]-Table1[[#This Row],[IVA]]-Table1[[#This Row],[OTROS IMPUESTOS]]-Table1[[#This Row],[RET IVA]]</f>
        <v>0</v>
      </c>
      <c r="AB7621" t="str">
        <f>IF(Table1[[#This Row],[TIPO2]]="costo", VLOOKUP(Table1[[#This Row],[PARTIDA PRESUPUESTAL]],'Cost Report'!G:G,1,0),"Balance")</f>
        <v>Balance</v>
      </c>
      <c r="AD7621" s="159">
        <f>+Table1[[#This Row],[SUBTOTAL]]+Table1[[#This Row],[IVA]]-Table1[[#This Row],[RET IVA]]-Table1[[#This Row],[RET ISR]]-Table1[[#This Row],[TOTAL]]</f>
        <v>0</v>
      </c>
    </row>
    <row r="7622" spans="1:30">
      <c r="A7622" s="172"/>
      <c r="B7622" s="178"/>
      <c r="C7622" s="179"/>
      <c r="D7622" s="180"/>
      <c r="E7622" s="125"/>
      <c r="F7622" s="178"/>
      <c r="G7622" s="178"/>
      <c r="H7622" s="178"/>
      <c r="I7622" s="178"/>
      <c r="J7622" s="178"/>
      <c r="K7622" s="178"/>
      <c r="L7622" s="125"/>
      <c r="M7622" s="125"/>
      <c r="N7622" s="182"/>
      <c r="O7622" s="177"/>
      <c r="P7622" s="176"/>
      <c r="Q7622" s="176"/>
      <c r="R7622" s="176"/>
      <c r="S7622" s="176"/>
      <c r="T7622" s="190"/>
      <c r="U7622" s="191"/>
      <c r="V7622" s="191">
        <f>+Table1[[#This Row],[SUBTOTAL]]+Table1[[#This Row],[IVA]]-Table1[[#This Row],[RET IVA]]-Table1[[#This Row],[RET ISR]]</f>
        <v>0</v>
      </c>
      <c r="W7622" s="185"/>
      <c r="X7622" s="186"/>
      <c r="Y7622" s="187"/>
      <c r="Z7622" s="204">
        <f>+Table1[[#This Row],[CONCEPTO]]+Table1[[#This Row],[TIPO2]]-Table1[[#This Row],[IVA]]-Table1[[#This Row],[OTROS IMPUESTOS]]-Table1[[#This Row],[RET IVA]]</f>
        <v>0</v>
      </c>
      <c r="AB7622" t="str">
        <f>IF(Table1[[#This Row],[TIPO2]]="costo", VLOOKUP(Table1[[#This Row],[PARTIDA PRESUPUESTAL]],'Cost Report'!G:G,1,0),"Balance")</f>
        <v>Balance</v>
      </c>
      <c r="AD7622" s="159">
        <f>+Table1[[#This Row],[SUBTOTAL]]+Table1[[#This Row],[IVA]]-Table1[[#This Row],[RET IVA]]-Table1[[#This Row],[RET ISR]]-Table1[[#This Row],[TOTAL]]</f>
        <v>0</v>
      </c>
    </row>
    <row r="7623" spans="1:30">
      <c r="A7623" s="172"/>
      <c r="B7623" s="178"/>
      <c r="C7623" s="179"/>
      <c r="D7623" s="180"/>
      <c r="E7623" s="125"/>
      <c r="F7623" s="178"/>
      <c r="G7623" s="178"/>
      <c r="H7623" s="178"/>
      <c r="I7623" s="178"/>
      <c r="J7623" s="178"/>
      <c r="K7623" s="178"/>
      <c r="L7623" s="125"/>
      <c r="M7623" s="125"/>
      <c r="N7623" s="182"/>
      <c r="O7623" s="177"/>
      <c r="P7623" s="176"/>
      <c r="Q7623" s="176"/>
      <c r="R7623" s="176"/>
      <c r="S7623" s="176"/>
      <c r="T7623" s="190"/>
      <c r="U7623" s="191"/>
      <c r="V7623" s="191">
        <f>+Table1[[#This Row],[SUBTOTAL]]+Table1[[#This Row],[IVA]]-Table1[[#This Row],[RET IVA]]-Table1[[#This Row],[RET ISR]]</f>
        <v>0</v>
      </c>
      <c r="W7623" s="185"/>
      <c r="X7623" s="186"/>
      <c r="Y7623" s="187"/>
      <c r="Z7623" s="204">
        <f>+Table1[[#This Row],[CONCEPTO]]+Table1[[#This Row],[TIPO2]]-Table1[[#This Row],[IVA]]-Table1[[#This Row],[OTROS IMPUESTOS]]-Table1[[#This Row],[RET IVA]]</f>
        <v>0</v>
      </c>
      <c r="AB7623" t="str">
        <f>IF(Table1[[#This Row],[TIPO2]]="costo", VLOOKUP(Table1[[#This Row],[PARTIDA PRESUPUESTAL]],'Cost Report'!G:G,1,0),"Balance")</f>
        <v>Balance</v>
      </c>
      <c r="AD7623" s="159">
        <f>+Table1[[#This Row],[SUBTOTAL]]+Table1[[#This Row],[IVA]]-Table1[[#This Row],[RET IVA]]-Table1[[#This Row],[RET ISR]]-Table1[[#This Row],[TOTAL]]</f>
        <v>0</v>
      </c>
    </row>
    <row r="7624" spans="1:30">
      <c r="A7624" s="172"/>
      <c r="B7624" s="178"/>
      <c r="C7624" s="179"/>
      <c r="D7624" s="180"/>
      <c r="E7624" s="125"/>
      <c r="F7624" s="178"/>
      <c r="G7624" s="178"/>
      <c r="H7624" s="178"/>
      <c r="I7624" s="178"/>
      <c r="J7624" s="178"/>
      <c r="K7624" s="178"/>
      <c r="L7624" s="125"/>
      <c r="M7624" s="125"/>
      <c r="N7624" s="182"/>
      <c r="O7624" s="177"/>
      <c r="P7624" s="176"/>
      <c r="Q7624" s="176"/>
      <c r="R7624" s="176"/>
      <c r="S7624" s="176"/>
      <c r="T7624" s="190"/>
      <c r="U7624" s="191"/>
      <c r="V7624" s="191">
        <f>+Table1[[#This Row],[SUBTOTAL]]+Table1[[#This Row],[IVA]]-Table1[[#This Row],[RET IVA]]-Table1[[#This Row],[RET ISR]]</f>
        <v>0</v>
      </c>
      <c r="W7624" s="185"/>
      <c r="X7624" s="186"/>
      <c r="Y7624" s="187"/>
      <c r="Z7624" s="204">
        <f>+Table1[[#This Row],[CONCEPTO]]+Table1[[#This Row],[TIPO2]]-Table1[[#This Row],[IVA]]-Table1[[#This Row],[OTROS IMPUESTOS]]-Table1[[#This Row],[RET IVA]]</f>
        <v>0</v>
      </c>
      <c r="AB7624" t="str">
        <f>IF(Table1[[#This Row],[TIPO2]]="costo", VLOOKUP(Table1[[#This Row],[PARTIDA PRESUPUESTAL]],'Cost Report'!G:G,1,0),"Balance")</f>
        <v>Balance</v>
      </c>
      <c r="AD7624" s="159">
        <f>+Table1[[#This Row],[SUBTOTAL]]+Table1[[#This Row],[IVA]]-Table1[[#This Row],[RET IVA]]-Table1[[#This Row],[RET ISR]]-Table1[[#This Row],[TOTAL]]</f>
        <v>0</v>
      </c>
    </row>
    <row r="7625" spans="1:30">
      <c r="A7625" s="172"/>
      <c r="B7625" s="178"/>
      <c r="C7625" s="179"/>
      <c r="D7625" s="180"/>
      <c r="E7625" s="125"/>
      <c r="F7625" s="178"/>
      <c r="G7625" s="178"/>
      <c r="H7625" s="178"/>
      <c r="I7625" s="178"/>
      <c r="J7625" s="178"/>
      <c r="K7625" s="178"/>
      <c r="L7625" s="125"/>
      <c r="M7625" s="125"/>
      <c r="N7625" s="182"/>
      <c r="O7625" s="177"/>
      <c r="P7625" s="176"/>
      <c r="Q7625" s="176"/>
      <c r="R7625" s="176"/>
      <c r="S7625" s="176"/>
      <c r="T7625" s="190"/>
      <c r="U7625" s="191"/>
      <c r="V7625" s="191">
        <f>+Table1[[#This Row],[SUBTOTAL]]+Table1[[#This Row],[IVA]]-Table1[[#This Row],[RET IVA]]-Table1[[#This Row],[RET ISR]]</f>
        <v>0</v>
      </c>
      <c r="W7625" s="185"/>
      <c r="X7625" s="186"/>
      <c r="Y7625" s="187"/>
      <c r="Z7625" s="204">
        <f>+Table1[[#This Row],[CONCEPTO]]+Table1[[#This Row],[TIPO2]]-Table1[[#This Row],[IVA]]-Table1[[#This Row],[OTROS IMPUESTOS]]-Table1[[#This Row],[RET IVA]]</f>
        <v>0</v>
      </c>
      <c r="AB7625" t="str">
        <f>IF(Table1[[#This Row],[TIPO2]]="costo", VLOOKUP(Table1[[#This Row],[PARTIDA PRESUPUESTAL]],'Cost Report'!G:G,1,0),"Balance")</f>
        <v>Balance</v>
      </c>
      <c r="AD7625" s="159">
        <f>+Table1[[#This Row],[SUBTOTAL]]+Table1[[#This Row],[IVA]]-Table1[[#This Row],[RET IVA]]-Table1[[#This Row],[RET ISR]]-Table1[[#This Row],[TOTAL]]</f>
        <v>0</v>
      </c>
    </row>
    <row r="7626" spans="1:30">
      <c r="A7626" s="172"/>
      <c r="B7626" s="178"/>
      <c r="C7626" s="179"/>
      <c r="D7626" s="180"/>
      <c r="E7626" s="125"/>
      <c r="F7626" s="178"/>
      <c r="G7626" s="178"/>
      <c r="H7626" s="178"/>
      <c r="I7626" s="178"/>
      <c r="J7626" s="178"/>
      <c r="K7626" s="178"/>
      <c r="L7626" s="125"/>
      <c r="M7626" s="125"/>
      <c r="N7626" s="182"/>
      <c r="O7626" s="177"/>
      <c r="P7626" s="176"/>
      <c r="Q7626" s="176"/>
      <c r="R7626" s="176"/>
      <c r="S7626" s="176"/>
      <c r="T7626" s="190"/>
      <c r="U7626" s="191"/>
      <c r="V7626" s="191">
        <f>+Table1[[#This Row],[SUBTOTAL]]+Table1[[#This Row],[IVA]]-Table1[[#This Row],[RET IVA]]-Table1[[#This Row],[RET ISR]]</f>
        <v>0</v>
      </c>
      <c r="W7626" s="185"/>
      <c r="X7626" s="186"/>
      <c r="Y7626" s="187"/>
      <c r="Z7626" s="204">
        <f>+Table1[[#This Row],[CONCEPTO]]+Table1[[#This Row],[TIPO2]]-Table1[[#This Row],[IVA]]-Table1[[#This Row],[OTROS IMPUESTOS]]-Table1[[#This Row],[RET IVA]]</f>
        <v>0</v>
      </c>
      <c r="AB7626" t="str">
        <f>IF(Table1[[#This Row],[TIPO2]]="costo", VLOOKUP(Table1[[#This Row],[PARTIDA PRESUPUESTAL]],'Cost Report'!G:G,1,0),"Balance")</f>
        <v>Balance</v>
      </c>
      <c r="AD7626" s="159">
        <f>+Table1[[#This Row],[SUBTOTAL]]+Table1[[#This Row],[IVA]]-Table1[[#This Row],[RET IVA]]-Table1[[#This Row],[RET ISR]]-Table1[[#This Row],[TOTAL]]</f>
        <v>0</v>
      </c>
    </row>
    <row r="7627" spans="1:30">
      <c r="A7627" s="172"/>
      <c r="B7627" s="178"/>
      <c r="C7627" s="179"/>
      <c r="D7627" s="180"/>
      <c r="E7627" s="125"/>
      <c r="F7627" s="178"/>
      <c r="G7627" s="178"/>
      <c r="H7627" s="178"/>
      <c r="I7627" s="178"/>
      <c r="J7627" s="178"/>
      <c r="K7627" s="178"/>
      <c r="L7627" s="125"/>
      <c r="M7627" s="125"/>
      <c r="N7627" s="182"/>
      <c r="O7627" s="177"/>
      <c r="P7627" s="176"/>
      <c r="Q7627" s="176"/>
      <c r="R7627" s="176"/>
      <c r="S7627" s="176"/>
      <c r="T7627" s="190"/>
      <c r="U7627" s="191"/>
      <c r="V7627" s="191">
        <f>+Table1[[#This Row],[SUBTOTAL]]+Table1[[#This Row],[IVA]]-Table1[[#This Row],[RET IVA]]-Table1[[#This Row],[RET ISR]]</f>
        <v>0</v>
      </c>
      <c r="W7627" s="185"/>
      <c r="X7627" s="186"/>
      <c r="Y7627" s="187"/>
      <c r="Z7627" s="204">
        <f>+Table1[[#This Row],[CONCEPTO]]+Table1[[#This Row],[TIPO2]]-Table1[[#This Row],[IVA]]-Table1[[#This Row],[OTROS IMPUESTOS]]-Table1[[#This Row],[RET IVA]]</f>
        <v>0</v>
      </c>
      <c r="AB7627" t="str">
        <f>IF(Table1[[#This Row],[TIPO2]]="costo", VLOOKUP(Table1[[#This Row],[PARTIDA PRESUPUESTAL]],'Cost Report'!G:G,1,0),"Balance")</f>
        <v>Balance</v>
      </c>
      <c r="AD7627" s="159">
        <f>+Table1[[#This Row],[SUBTOTAL]]+Table1[[#This Row],[IVA]]-Table1[[#This Row],[RET IVA]]-Table1[[#This Row],[RET ISR]]-Table1[[#This Row],[TOTAL]]</f>
        <v>0</v>
      </c>
    </row>
    <row r="7628" spans="1:30">
      <c r="A7628" s="172"/>
      <c r="B7628" s="178"/>
      <c r="C7628" s="179"/>
      <c r="D7628" s="180"/>
      <c r="E7628" s="125"/>
      <c r="F7628" s="178"/>
      <c r="G7628" s="178"/>
      <c r="H7628" s="178"/>
      <c r="I7628" s="178"/>
      <c r="J7628" s="178"/>
      <c r="K7628" s="178"/>
      <c r="L7628" s="125"/>
      <c r="M7628" s="125"/>
      <c r="N7628" s="182"/>
      <c r="O7628" s="177"/>
      <c r="P7628" s="176"/>
      <c r="Q7628" s="176"/>
      <c r="R7628" s="176"/>
      <c r="S7628" s="176"/>
      <c r="T7628" s="190"/>
      <c r="U7628" s="191"/>
      <c r="V7628" s="191">
        <f>+Table1[[#This Row],[SUBTOTAL]]+Table1[[#This Row],[IVA]]-Table1[[#This Row],[RET IVA]]-Table1[[#This Row],[RET ISR]]</f>
        <v>0</v>
      </c>
      <c r="W7628" s="185"/>
      <c r="X7628" s="186"/>
      <c r="Y7628" s="187"/>
      <c r="Z7628" s="204">
        <f>+Table1[[#This Row],[CONCEPTO]]+Table1[[#This Row],[TIPO2]]-Table1[[#This Row],[IVA]]-Table1[[#This Row],[OTROS IMPUESTOS]]-Table1[[#This Row],[RET IVA]]</f>
        <v>0</v>
      </c>
      <c r="AB7628" t="str">
        <f>IF(Table1[[#This Row],[TIPO2]]="costo", VLOOKUP(Table1[[#This Row],[PARTIDA PRESUPUESTAL]],'Cost Report'!G:G,1,0),"Balance")</f>
        <v>Balance</v>
      </c>
      <c r="AD7628" s="159">
        <f>+Table1[[#This Row],[SUBTOTAL]]+Table1[[#This Row],[IVA]]-Table1[[#This Row],[RET IVA]]-Table1[[#This Row],[RET ISR]]-Table1[[#This Row],[TOTAL]]</f>
        <v>0</v>
      </c>
    </row>
    <row r="7629" spans="1:30">
      <c r="A7629" s="172"/>
      <c r="B7629" s="178"/>
      <c r="C7629" s="179"/>
      <c r="D7629" s="180"/>
      <c r="E7629" s="125"/>
      <c r="F7629" s="178"/>
      <c r="G7629" s="178"/>
      <c r="H7629" s="178"/>
      <c r="I7629" s="178"/>
      <c r="J7629" s="178"/>
      <c r="K7629" s="178"/>
      <c r="L7629" s="125"/>
      <c r="M7629" s="125"/>
      <c r="N7629" s="182"/>
      <c r="O7629" s="177"/>
      <c r="P7629" s="176"/>
      <c r="Q7629" s="176"/>
      <c r="R7629" s="176"/>
      <c r="S7629" s="176"/>
      <c r="T7629" s="190"/>
      <c r="U7629" s="191"/>
      <c r="V7629" s="191">
        <f>+Table1[[#This Row],[SUBTOTAL]]+Table1[[#This Row],[IVA]]-Table1[[#This Row],[RET IVA]]-Table1[[#This Row],[RET ISR]]</f>
        <v>0</v>
      </c>
      <c r="W7629" s="185"/>
      <c r="X7629" s="186"/>
      <c r="Y7629" s="187"/>
      <c r="Z7629" s="204">
        <f>+Table1[[#This Row],[CONCEPTO]]+Table1[[#This Row],[TIPO2]]-Table1[[#This Row],[IVA]]-Table1[[#This Row],[OTROS IMPUESTOS]]-Table1[[#This Row],[RET IVA]]</f>
        <v>0</v>
      </c>
      <c r="AB7629" t="str">
        <f>IF(Table1[[#This Row],[TIPO2]]="costo", VLOOKUP(Table1[[#This Row],[PARTIDA PRESUPUESTAL]],'Cost Report'!G:G,1,0),"Balance")</f>
        <v>Balance</v>
      </c>
      <c r="AD7629" s="159">
        <f>+Table1[[#This Row],[SUBTOTAL]]+Table1[[#This Row],[IVA]]-Table1[[#This Row],[RET IVA]]-Table1[[#This Row],[RET ISR]]-Table1[[#This Row],[TOTAL]]</f>
        <v>0</v>
      </c>
    </row>
    <row r="7630" spans="1:30">
      <c r="A7630" s="172"/>
      <c r="B7630" s="178"/>
      <c r="C7630" s="179"/>
      <c r="D7630" s="180"/>
      <c r="E7630" s="125"/>
      <c r="F7630" s="178"/>
      <c r="G7630" s="178"/>
      <c r="H7630" s="178"/>
      <c r="I7630" s="178"/>
      <c r="J7630" s="178"/>
      <c r="K7630" s="178"/>
      <c r="L7630" s="125"/>
      <c r="M7630" s="125"/>
      <c r="N7630" s="182"/>
      <c r="O7630" s="177"/>
      <c r="P7630" s="176"/>
      <c r="Q7630" s="176"/>
      <c r="R7630" s="176"/>
      <c r="S7630" s="176"/>
      <c r="T7630" s="190"/>
      <c r="U7630" s="191"/>
      <c r="V7630" s="191">
        <f>+Table1[[#This Row],[SUBTOTAL]]+Table1[[#This Row],[IVA]]-Table1[[#This Row],[RET IVA]]-Table1[[#This Row],[RET ISR]]</f>
        <v>0</v>
      </c>
      <c r="W7630" s="185"/>
      <c r="X7630" s="186"/>
      <c r="Y7630" s="187"/>
      <c r="Z7630" s="204">
        <f>+Table1[[#This Row],[CONCEPTO]]+Table1[[#This Row],[TIPO2]]-Table1[[#This Row],[IVA]]-Table1[[#This Row],[OTROS IMPUESTOS]]-Table1[[#This Row],[RET IVA]]</f>
        <v>0</v>
      </c>
      <c r="AB7630" t="str">
        <f>IF(Table1[[#This Row],[TIPO2]]="costo", VLOOKUP(Table1[[#This Row],[PARTIDA PRESUPUESTAL]],'Cost Report'!G:G,1,0),"Balance")</f>
        <v>Balance</v>
      </c>
      <c r="AD7630" s="159">
        <f>+Table1[[#This Row],[SUBTOTAL]]+Table1[[#This Row],[IVA]]-Table1[[#This Row],[RET IVA]]-Table1[[#This Row],[RET ISR]]-Table1[[#This Row],[TOTAL]]</f>
        <v>0</v>
      </c>
    </row>
    <row r="7631" spans="1:30">
      <c r="A7631" s="172"/>
      <c r="B7631" s="178"/>
      <c r="C7631" s="179"/>
      <c r="D7631" s="180"/>
      <c r="E7631" s="125"/>
      <c r="F7631" s="178"/>
      <c r="G7631" s="178"/>
      <c r="H7631" s="178"/>
      <c r="I7631" s="178"/>
      <c r="J7631" s="178"/>
      <c r="K7631" s="178"/>
      <c r="L7631" s="125"/>
      <c r="M7631" s="125"/>
      <c r="N7631" s="182"/>
      <c r="O7631" s="177"/>
      <c r="P7631" s="176"/>
      <c r="Q7631" s="176"/>
      <c r="R7631" s="176"/>
      <c r="S7631" s="176"/>
      <c r="T7631" s="190"/>
      <c r="U7631" s="191"/>
      <c r="V7631" s="191">
        <f>+Table1[[#This Row],[SUBTOTAL]]+Table1[[#This Row],[IVA]]-Table1[[#This Row],[RET IVA]]-Table1[[#This Row],[RET ISR]]</f>
        <v>0</v>
      </c>
      <c r="W7631" s="185"/>
      <c r="X7631" s="186"/>
      <c r="Y7631" s="187"/>
      <c r="Z7631" s="204">
        <f>+Table1[[#This Row],[CONCEPTO]]+Table1[[#This Row],[TIPO2]]-Table1[[#This Row],[IVA]]-Table1[[#This Row],[OTROS IMPUESTOS]]-Table1[[#This Row],[RET IVA]]</f>
        <v>0</v>
      </c>
      <c r="AB7631" t="str">
        <f>IF(Table1[[#This Row],[TIPO2]]="costo", VLOOKUP(Table1[[#This Row],[PARTIDA PRESUPUESTAL]],'Cost Report'!G:G,1,0),"Balance")</f>
        <v>Balance</v>
      </c>
      <c r="AD7631" s="159">
        <f>+Table1[[#This Row],[SUBTOTAL]]+Table1[[#This Row],[IVA]]-Table1[[#This Row],[RET IVA]]-Table1[[#This Row],[RET ISR]]-Table1[[#This Row],[TOTAL]]</f>
        <v>0</v>
      </c>
    </row>
    <row r="7632" spans="1:30">
      <c r="A7632" s="172"/>
      <c r="B7632" s="178"/>
      <c r="C7632" s="179"/>
      <c r="D7632" s="180"/>
      <c r="E7632" s="125"/>
      <c r="F7632" s="178"/>
      <c r="G7632" s="178"/>
      <c r="H7632" s="178"/>
      <c r="I7632" s="178"/>
      <c r="J7632" s="178"/>
      <c r="K7632" s="178"/>
      <c r="L7632" s="125"/>
      <c r="M7632" s="125"/>
      <c r="N7632" s="182"/>
      <c r="O7632" s="177"/>
      <c r="P7632" s="176"/>
      <c r="Q7632" s="176"/>
      <c r="R7632" s="176"/>
      <c r="S7632" s="176"/>
      <c r="T7632" s="190"/>
      <c r="U7632" s="191"/>
      <c r="V7632" s="191">
        <f>+Table1[[#This Row],[SUBTOTAL]]+Table1[[#This Row],[IVA]]-Table1[[#This Row],[RET IVA]]-Table1[[#This Row],[RET ISR]]</f>
        <v>0</v>
      </c>
      <c r="W7632" s="185"/>
      <c r="X7632" s="186"/>
      <c r="Y7632" s="187"/>
      <c r="Z7632" s="204">
        <f>+Table1[[#This Row],[CONCEPTO]]+Table1[[#This Row],[TIPO2]]-Table1[[#This Row],[IVA]]-Table1[[#This Row],[OTROS IMPUESTOS]]-Table1[[#This Row],[RET IVA]]</f>
        <v>0</v>
      </c>
      <c r="AB7632" t="str">
        <f>IF(Table1[[#This Row],[TIPO2]]="costo", VLOOKUP(Table1[[#This Row],[PARTIDA PRESUPUESTAL]],'Cost Report'!G:G,1,0),"Balance")</f>
        <v>Balance</v>
      </c>
      <c r="AD7632" s="159">
        <f>+Table1[[#This Row],[SUBTOTAL]]+Table1[[#This Row],[IVA]]-Table1[[#This Row],[RET IVA]]-Table1[[#This Row],[RET ISR]]-Table1[[#This Row],[TOTAL]]</f>
        <v>0</v>
      </c>
    </row>
    <row r="7633" spans="1:30">
      <c r="A7633" s="172"/>
      <c r="B7633" s="178"/>
      <c r="C7633" s="179"/>
      <c r="D7633" s="180"/>
      <c r="E7633" s="125"/>
      <c r="F7633" s="178"/>
      <c r="G7633" s="178"/>
      <c r="H7633" s="178"/>
      <c r="I7633" s="178"/>
      <c r="J7633" s="178"/>
      <c r="K7633" s="178"/>
      <c r="L7633" s="125"/>
      <c r="M7633" s="125"/>
      <c r="N7633" s="182"/>
      <c r="O7633" s="177"/>
      <c r="P7633" s="176"/>
      <c r="Q7633" s="176"/>
      <c r="R7633" s="176"/>
      <c r="S7633" s="176"/>
      <c r="T7633" s="190"/>
      <c r="U7633" s="191"/>
      <c r="V7633" s="191">
        <f>+Table1[[#This Row],[SUBTOTAL]]+Table1[[#This Row],[IVA]]-Table1[[#This Row],[RET IVA]]-Table1[[#This Row],[RET ISR]]</f>
        <v>0</v>
      </c>
      <c r="W7633" s="185"/>
      <c r="X7633" s="186"/>
      <c r="Y7633" s="187"/>
      <c r="Z7633" s="204">
        <f>+Table1[[#This Row],[CONCEPTO]]+Table1[[#This Row],[TIPO2]]-Table1[[#This Row],[IVA]]-Table1[[#This Row],[OTROS IMPUESTOS]]-Table1[[#This Row],[RET IVA]]</f>
        <v>0</v>
      </c>
      <c r="AB7633" t="str">
        <f>IF(Table1[[#This Row],[TIPO2]]="costo", VLOOKUP(Table1[[#This Row],[PARTIDA PRESUPUESTAL]],'Cost Report'!G:G,1,0),"Balance")</f>
        <v>Balance</v>
      </c>
      <c r="AD7633" s="159">
        <f>+Table1[[#This Row],[SUBTOTAL]]+Table1[[#This Row],[IVA]]-Table1[[#This Row],[RET IVA]]-Table1[[#This Row],[RET ISR]]-Table1[[#This Row],[TOTAL]]</f>
        <v>0</v>
      </c>
    </row>
    <row r="7634" spans="1:30">
      <c r="A7634" s="172"/>
      <c r="B7634" s="178"/>
      <c r="C7634" s="179"/>
      <c r="D7634" s="180"/>
      <c r="E7634" s="125"/>
      <c r="F7634" s="178"/>
      <c r="G7634" s="178"/>
      <c r="H7634" s="178"/>
      <c r="I7634" s="178"/>
      <c r="J7634" s="178"/>
      <c r="K7634" s="178"/>
      <c r="L7634" s="125"/>
      <c r="M7634" s="125"/>
      <c r="N7634" s="182"/>
      <c r="O7634" s="177"/>
      <c r="P7634" s="176"/>
      <c r="Q7634" s="176"/>
      <c r="R7634" s="176"/>
      <c r="S7634" s="176"/>
      <c r="T7634" s="190"/>
      <c r="U7634" s="191"/>
      <c r="V7634" s="191">
        <f>+Table1[[#This Row],[SUBTOTAL]]+Table1[[#This Row],[IVA]]-Table1[[#This Row],[RET IVA]]-Table1[[#This Row],[RET ISR]]</f>
        <v>0</v>
      </c>
      <c r="W7634" s="185"/>
      <c r="X7634" s="186"/>
      <c r="Y7634" s="187"/>
      <c r="Z7634" s="204">
        <f>+Table1[[#This Row],[CONCEPTO]]+Table1[[#This Row],[TIPO2]]-Table1[[#This Row],[IVA]]-Table1[[#This Row],[OTROS IMPUESTOS]]-Table1[[#This Row],[RET IVA]]</f>
        <v>0</v>
      </c>
      <c r="AB7634" t="str">
        <f>IF(Table1[[#This Row],[TIPO2]]="costo", VLOOKUP(Table1[[#This Row],[PARTIDA PRESUPUESTAL]],'Cost Report'!G:G,1,0),"Balance")</f>
        <v>Balance</v>
      </c>
      <c r="AD7634" s="159">
        <f>+Table1[[#This Row],[SUBTOTAL]]+Table1[[#This Row],[IVA]]-Table1[[#This Row],[RET IVA]]-Table1[[#This Row],[RET ISR]]-Table1[[#This Row],[TOTAL]]</f>
        <v>0</v>
      </c>
    </row>
    <row r="7635" spans="1:30">
      <c r="A7635" s="172"/>
      <c r="B7635" s="178"/>
      <c r="C7635" s="179"/>
      <c r="D7635" s="180"/>
      <c r="E7635" s="125"/>
      <c r="F7635" s="178"/>
      <c r="G7635" s="178"/>
      <c r="H7635" s="178"/>
      <c r="I7635" s="178"/>
      <c r="J7635" s="178"/>
      <c r="K7635" s="178"/>
      <c r="L7635" s="125"/>
      <c r="M7635" s="125"/>
      <c r="N7635" s="182"/>
      <c r="O7635" s="177"/>
      <c r="P7635" s="176"/>
      <c r="Q7635" s="176"/>
      <c r="R7635" s="176"/>
      <c r="S7635" s="176"/>
      <c r="T7635" s="190"/>
      <c r="U7635" s="191"/>
      <c r="V7635" s="191">
        <f>+Table1[[#This Row],[SUBTOTAL]]+Table1[[#This Row],[IVA]]-Table1[[#This Row],[RET IVA]]-Table1[[#This Row],[RET ISR]]</f>
        <v>0</v>
      </c>
      <c r="W7635" s="185"/>
      <c r="X7635" s="186"/>
      <c r="Y7635" s="187"/>
      <c r="Z7635" s="204">
        <f>+Table1[[#This Row],[CONCEPTO]]+Table1[[#This Row],[TIPO2]]-Table1[[#This Row],[IVA]]-Table1[[#This Row],[OTROS IMPUESTOS]]-Table1[[#This Row],[RET IVA]]</f>
        <v>0</v>
      </c>
      <c r="AB7635" t="str">
        <f>IF(Table1[[#This Row],[TIPO2]]="costo", VLOOKUP(Table1[[#This Row],[PARTIDA PRESUPUESTAL]],'Cost Report'!G:G,1,0),"Balance")</f>
        <v>Balance</v>
      </c>
      <c r="AD7635" s="159">
        <f>+Table1[[#This Row],[SUBTOTAL]]+Table1[[#This Row],[IVA]]-Table1[[#This Row],[RET IVA]]-Table1[[#This Row],[RET ISR]]-Table1[[#This Row],[TOTAL]]</f>
        <v>0</v>
      </c>
    </row>
    <row r="7636" spans="1:30">
      <c r="A7636" s="172"/>
      <c r="B7636" s="178"/>
      <c r="C7636" s="179"/>
      <c r="D7636" s="180"/>
      <c r="E7636" s="125"/>
      <c r="F7636" s="178"/>
      <c r="G7636" s="178"/>
      <c r="H7636" s="178"/>
      <c r="I7636" s="178"/>
      <c r="J7636" s="178"/>
      <c r="K7636" s="178"/>
      <c r="L7636" s="125"/>
      <c r="M7636" s="125"/>
      <c r="N7636" s="182"/>
      <c r="O7636" s="177"/>
      <c r="P7636" s="176"/>
      <c r="Q7636" s="176"/>
      <c r="R7636" s="176"/>
      <c r="S7636" s="176"/>
      <c r="T7636" s="190"/>
      <c r="U7636" s="191"/>
      <c r="V7636" s="191">
        <f>+Table1[[#This Row],[SUBTOTAL]]+Table1[[#This Row],[IVA]]-Table1[[#This Row],[RET IVA]]-Table1[[#This Row],[RET ISR]]</f>
        <v>0</v>
      </c>
      <c r="W7636" s="185"/>
      <c r="X7636" s="186"/>
      <c r="Y7636" s="187"/>
      <c r="Z7636" s="204">
        <f>+Table1[[#This Row],[CONCEPTO]]+Table1[[#This Row],[TIPO2]]-Table1[[#This Row],[IVA]]-Table1[[#This Row],[OTROS IMPUESTOS]]-Table1[[#This Row],[RET IVA]]</f>
        <v>0</v>
      </c>
      <c r="AB7636" t="str">
        <f>IF(Table1[[#This Row],[TIPO2]]="costo", VLOOKUP(Table1[[#This Row],[PARTIDA PRESUPUESTAL]],'Cost Report'!G:G,1,0),"Balance")</f>
        <v>Balance</v>
      </c>
      <c r="AD7636" s="159">
        <f>+Table1[[#This Row],[SUBTOTAL]]+Table1[[#This Row],[IVA]]-Table1[[#This Row],[RET IVA]]-Table1[[#This Row],[RET ISR]]-Table1[[#This Row],[TOTAL]]</f>
        <v>0</v>
      </c>
    </row>
    <row r="7637" spans="1:30">
      <c r="A7637" s="172"/>
      <c r="B7637" s="178"/>
      <c r="C7637" s="179"/>
      <c r="D7637" s="180"/>
      <c r="E7637" s="125"/>
      <c r="F7637" s="178"/>
      <c r="G7637" s="178"/>
      <c r="H7637" s="178"/>
      <c r="I7637" s="178"/>
      <c r="J7637" s="178"/>
      <c r="K7637" s="178"/>
      <c r="L7637" s="125"/>
      <c r="M7637" s="125"/>
      <c r="N7637" s="182"/>
      <c r="O7637" s="177"/>
      <c r="P7637" s="176"/>
      <c r="Q7637" s="176"/>
      <c r="R7637" s="176"/>
      <c r="S7637" s="176"/>
      <c r="T7637" s="190"/>
      <c r="U7637" s="191"/>
      <c r="V7637" s="191">
        <f>+Table1[[#This Row],[SUBTOTAL]]+Table1[[#This Row],[IVA]]-Table1[[#This Row],[RET IVA]]-Table1[[#This Row],[RET ISR]]</f>
        <v>0</v>
      </c>
      <c r="W7637" s="185"/>
      <c r="X7637" s="186"/>
      <c r="Y7637" s="187"/>
      <c r="Z7637" s="204">
        <f>+Table1[[#This Row],[CONCEPTO]]+Table1[[#This Row],[TIPO2]]-Table1[[#This Row],[IVA]]-Table1[[#This Row],[OTROS IMPUESTOS]]-Table1[[#This Row],[RET IVA]]</f>
        <v>0</v>
      </c>
      <c r="AB7637" t="str">
        <f>IF(Table1[[#This Row],[TIPO2]]="costo", VLOOKUP(Table1[[#This Row],[PARTIDA PRESUPUESTAL]],'Cost Report'!G:G,1,0),"Balance")</f>
        <v>Balance</v>
      </c>
      <c r="AD7637" s="159">
        <f>+Table1[[#This Row],[SUBTOTAL]]+Table1[[#This Row],[IVA]]-Table1[[#This Row],[RET IVA]]-Table1[[#This Row],[RET ISR]]-Table1[[#This Row],[TOTAL]]</f>
        <v>0</v>
      </c>
    </row>
    <row r="7638" spans="1:30">
      <c r="A7638" s="172"/>
      <c r="B7638" s="178"/>
      <c r="C7638" s="179"/>
      <c r="D7638" s="180"/>
      <c r="E7638" s="125"/>
      <c r="F7638" s="178"/>
      <c r="G7638" s="178"/>
      <c r="H7638" s="178"/>
      <c r="I7638" s="178"/>
      <c r="J7638" s="178"/>
      <c r="K7638" s="178"/>
      <c r="L7638" s="125"/>
      <c r="M7638" s="125"/>
      <c r="N7638" s="182"/>
      <c r="O7638" s="177"/>
      <c r="P7638" s="176"/>
      <c r="Q7638" s="176"/>
      <c r="R7638" s="176"/>
      <c r="S7638" s="176"/>
      <c r="T7638" s="190"/>
      <c r="U7638" s="191"/>
      <c r="V7638" s="191">
        <f>+Table1[[#This Row],[SUBTOTAL]]+Table1[[#This Row],[IVA]]-Table1[[#This Row],[RET IVA]]-Table1[[#This Row],[RET ISR]]</f>
        <v>0</v>
      </c>
      <c r="W7638" s="185"/>
      <c r="X7638" s="186"/>
      <c r="Y7638" s="187"/>
      <c r="Z7638" s="204">
        <f>+Table1[[#This Row],[CONCEPTO]]+Table1[[#This Row],[TIPO2]]-Table1[[#This Row],[IVA]]-Table1[[#This Row],[OTROS IMPUESTOS]]-Table1[[#This Row],[RET IVA]]</f>
        <v>0</v>
      </c>
      <c r="AB7638" t="str">
        <f>IF(Table1[[#This Row],[TIPO2]]="costo", VLOOKUP(Table1[[#This Row],[PARTIDA PRESUPUESTAL]],'Cost Report'!G:G,1,0),"Balance")</f>
        <v>Balance</v>
      </c>
      <c r="AD7638" s="159">
        <f>+Table1[[#This Row],[SUBTOTAL]]+Table1[[#This Row],[IVA]]-Table1[[#This Row],[RET IVA]]-Table1[[#This Row],[RET ISR]]-Table1[[#This Row],[TOTAL]]</f>
        <v>0</v>
      </c>
    </row>
    <row r="7639" spans="1:30">
      <c r="A7639" s="172"/>
      <c r="B7639" s="178"/>
      <c r="C7639" s="179"/>
      <c r="D7639" s="180"/>
      <c r="E7639" s="125"/>
      <c r="F7639" s="178"/>
      <c r="G7639" s="178"/>
      <c r="H7639" s="178"/>
      <c r="I7639" s="178"/>
      <c r="J7639" s="178"/>
      <c r="K7639" s="178"/>
      <c r="L7639" s="125"/>
      <c r="M7639" s="125"/>
      <c r="N7639" s="182"/>
      <c r="O7639" s="177"/>
      <c r="P7639" s="176"/>
      <c r="Q7639" s="176"/>
      <c r="R7639" s="176"/>
      <c r="S7639" s="176"/>
      <c r="T7639" s="190"/>
      <c r="U7639" s="191"/>
      <c r="V7639" s="191">
        <f>+Table1[[#This Row],[SUBTOTAL]]+Table1[[#This Row],[IVA]]-Table1[[#This Row],[RET IVA]]-Table1[[#This Row],[RET ISR]]</f>
        <v>0</v>
      </c>
      <c r="W7639" s="185"/>
      <c r="X7639" s="186"/>
      <c r="Y7639" s="187"/>
      <c r="Z7639" s="204">
        <f>+Table1[[#This Row],[CONCEPTO]]+Table1[[#This Row],[TIPO2]]-Table1[[#This Row],[IVA]]-Table1[[#This Row],[OTROS IMPUESTOS]]-Table1[[#This Row],[RET IVA]]</f>
        <v>0</v>
      </c>
      <c r="AB7639" t="str">
        <f>IF(Table1[[#This Row],[TIPO2]]="costo", VLOOKUP(Table1[[#This Row],[PARTIDA PRESUPUESTAL]],'Cost Report'!G:G,1,0),"Balance")</f>
        <v>Balance</v>
      </c>
      <c r="AD7639" s="159">
        <f>+Table1[[#This Row],[SUBTOTAL]]+Table1[[#This Row],[IVA]]-Table1[[#This Row],[RET IVA]]-Table1[[#This Row],[RET ISR]]-Table1[[#This Row],[TOTAL]]</f>
        <v>0</v>
      </c>
    </row>
    <row r="7640" spans="1:30">
      <c r="A7640" s="172"/>
      <c r="B7640" s="178"/>
      <c r="C7640" s="179"/>
      <c r="D7640" s="180"/>
      <c r="E7640" s="125"/>
      <c r="F7640" s="178"/>
      <c r="G7640" s="178"/>
      <c r="H7640" s="178"/>
      <c r="I7640" s="178"/>
      <c r="J7640" s="178"/>
      <c r="K7640" s="178"/>
      <c r="L7640" s="125"/>
      <c r="M7640" s="125"/>
      <c r="N7640" s="182"/>
      <c r="O7640" s="177"/>
      <c r="P7640" s="176"/>
      <c r="Q7640" s="176"/>
      <c r="R7640" s="176"/>
      <c r="S7640" s="176"/>
      <c r="T7640" s="190"/>
      <c r="U7640" s="191"/>
      <c r="V7640" s="191">
        <f>+Table1[[#This Row],[SUBTOTAL]]+Table1[[#This Row],[IVA]]-Table1[[#This Row],[RET IVA]]-Table1[[#This Row],[RET ISR]]</f>
        <v>0</v>
      </c>
      <c r="W7640" s="185"/>
      <c r="X7640" s="186"/>
      <c r="Y7640" s="187"/>
      <c r="Z7640" s="204">
        <f>+Table1[[#This Row],[CONCEPTO]]+Table1[[#This Row],[TIPO2]]-Table1[[#This Row],[IVA]]-Table1[[#This Row],[OTROS IMPUESTOS]]-Table1[[#This Row],[RET IVA]]</f>
        <v>0</v>
      </c>
      <c r="AB7640" t="str">
        <f>IF(Table1[[#This Row],[TIPO2]]="costo", VLOOKUP(Table1[[#This Row],[PARTIDA PRESUPUESTAL]],'Cost Report'!G:G,1,0),"Balance")</f>
        <v>Balance</v>
      </c>
      <c r="AD7640" s="159">
        <f>+Table1[[#This Row],[SUBTOTAL]]+Table1[[#This Row],[IVA]]-Table1[[#This Row],[RET IVA]]-Table1[[#This Row],[RET ISR]]-Table1[[#This Row],[TOTAL]]</f>
        <v>0</v>
      </c>
    </row>
    <row r="7641" spans="1:30">
      <c r="A7641" s="172"/>
      <c r="B7641" s="178"/>
      <c r="C7641" s="179"/>
      <c r="D7641" s="180"/>
      <c r="E7641" s="125"/>
      <c r="F7641" s="178"/>
      <c r="G7641" s="178"/>
      <c r="H7641" s="178"/>
      <c r="I7641" s="178"/>
      <c r="J7641" s="178"/>
      <c r="K7641" s="178"/>
      <c r="L7641" s="125"/>
      <c r="M7641" s="125"/>
      <c r="N7641" s="182"/>
      <c r="O7641" s="177"/>
      <c r="P7641" s="176"/>
      <c r="Q7641" s="176"/>
      <c r="R7641" s="176"/>
      <c r="S7641" s="176"/>
      <c r="T7641" s="190"/>
      <c r="U7641" s="191"/>
      <c r="V7641" s="191">
        <f>+Table1[[#This Row],[SUBTOTAL]]+Table1[[#This Row],[IVA]]-Table1[[#This Row],[RET IVA]]-Table1[[#This Row],[RET ISR]]</f>
        <v>0</v>
      </c>
      <c r="W7641" s="185"/>
      <c r="X7641" s="186"/>
      <c r="Y7641" s="187"/>
      <c r="Z7641" s="204">
        <f>+Table1[[#This Row],[CONCEPTO]]+Table1[[#This Row],[TIPO2]]-Table1[[#This Row],[IVA]]-Table1[[#This Row],[OTROS IMPUESTOS]]-Table1[[#This Row],[RET IVA]]</f>
        <v>0</v>
      </c>
      <c r="AB7641" t="str">
        <f>IF(Table1[[#This Row],[TIPO2]]="costo", VLOOKUP(Table1[[#This Row],[PARTIDA PRESUPUESTAL]],'Cost Report'!G:G,1,0),"Balance")</f>
        <v>Balance</v>
      </c>
      <c r="AD7641" s="159">
        <f>+Table1[[#This Row],[SUBTOTAL]]+Table1[[#This Row],[IVA]]-Table1[[#This Row],[RET IVA]]-Table1[[#This Row],[RET ISR]]-Table1[[#This Row],[TOTAL]]</f>
        <v>0</v>
      </c>
    </row>
    <row r="7642" spans="1:30">
      <c r="A7642" s="172"/>
      <c r="B7642" s="178"/>
      <c r="C7642" s="179"/>
      <c r="D7642" s="180"/>
      <c r="E7642" s="125"/>
      <c r="F7642" s="178"/>
      <c r="G7642" s="178"/>
      <c r="H7642" s="178"/>
      <c r="I7642" s="178"/>
      <c r="J7642" s="178"/>
      <c r="K7642" s="178"/>
      <c r="L7642" s="125"/>
      <c r="M7642" s="125"/>
      <c r="N7642" s="182"/>
      <c r="O7642" s="177"/>
      <c r="P7642" s="176"/>
      <c r="Q7642" s="176"/>
      <c r="R7642" s="176"/>
      <c r="S7642" s="176"/>
      <c r="T7642" s="190"/>
      <c r="U7642" s="191"/>
      <c r="V7642" s="191">
        <f>+Table1[[#This Row],[SUBTOTAL]]+Table1[[#This Row],[IVA]]-Table1[[#This Row],[RET IVA]]-Table1[[#This Row],[RET ISR]]</f>
        <v>0</v>
      </c>
      <c r="W7642" s="185"/>
      <c r="X7642" s="186"/>
      <c r="Y7642" s="187"/>
      <c r="Z7642" s="204">
        <f>+Table1[[#This Row],[CONCEPTO]]+Table1[[#This Row],[TIPO2]]-Table1[[#This Row],[IVA]]-Table1[[#This Row],[OTROS IMPUESTOS]]-Table1[[#This Row],[RET IVA]]</f>
        <v>0</v>
      </c>
      <c r="AB7642" t="str">
        <f>IF(Table1[[#This Row],[TIPO2]]="costo", VLOOKUP(Table1[[#This Row],[PARTIDA PRESUPUESTAL]],'Cost Report'!G:G,1,0),"Balance")</f>
        <v>Balance</v>
      </c>
      <c r="AD7642" s="159">
        <f>+Table1[[#This Row],[SUBTOTAL]]+Table1[[#This Row],[IVA]]-Table1[[#This Row],[RET IVA]]-Table1[[#This Row],[RET ISR]]-Table1[[#This Row],[TOTAL]]</f>
        <v>0</v>
      </c>
    </row>
    <row r="7643" spans="1:30">
      <c r="A7643" s="172"/>
      <c r="B7643" s="178"/>
      <c r="C7643" s="179"/>
      <c r="D7643" s="180"/>
      <c r="E7643" s="125"/>
      <c r="F7643" s="178"/>
      <c r="G7643" s="178"/>
      <c r="H7643" s="178"/>
      <c r="I7643" s="178"/>
      <c r="J7643" s="178"/>
      <c r="K7643" s="178"/>
      <c r="L7643" s="125"/>
      <c r="M7643" s="125"/>
      <c r="N7643" s="182"/>
      <c r="O7643" s="177"/>
      <c r="P7643" s="176"/>
      <c r="Q7643" s="176"/>
      <c r="R7643" s="176"/>
      <c r="S7643" s="176"/>
      <c r="T7643" s="190"/>
      <c r="U7643" s="191"/>
      <c r="V7643" s="191">
        <f>+Table1[[#This Row],[SUBTOTAL]]+Table1[[#This Row],[IVA]]-Table1[[#This Row],[RET IVA]]-Table1[[#This Row],[RET ISR]]</f>
        <v>0</v>
      </c>
      <c r="W7643" s="185"/>
      <c r="X7643" s="186"/>
      <c r="Y7643" s="187"/>
      <c r="Z7643" s="204">
        <f>+Table1[[#This Row],[CONCEPTO]]+Table1[[#This Row],[TIPO2]]-Table1[[#This Row],[IVA]]-Table1[[#This Row],[OTROS IMPUESTOS]]-Table1[[#This Row],[RET IVA]]</f>
        <v>0</v>
      </c>
      <c r="AB7643" t="str">
        <f>IF(Table1[[#This Row],[TIPO2]]="costo", VLOOKUP(Table1[[#This Row],[PARTIDA PRESUPUESTAL]],'Cost Report'!G:G,1,0),"Balance")</f>
        <v>Balance</v>
      </c>
      <c r="AD7643" s="159">
        <f>+Table1[[#This Row],[SUBTOTAL]]+Table1[[#This Row],[IVA]]-Table1[[#This Row],[RET IVA]]-Table1[[#This Row],[RET ISR]]-Table1[[#This Row],[TOTAL]]</f>
        <v>0</v>
      </c>
    </row>
    <row r="7644" spans="1:30">
      <c r="A7644" s="172"/>
      <c r="B7644" s="178"/>
      <c r="C7644" s="179"/>
      <c r="D7644" s="180"/>
      <c r="E7644" s="125"/>
      <c r="F7644" s="178"/>
      <c r="G7644" s="178"/>
      <c r="H7644" s="178"/>
      <c r="I7644" s="178"/>
      <c r="J7644" s="178"/>
      <c r="K7644" s="178"/>
      <c r="L7644" s="125"/>
      <c r="M7644" s="125"/>
      <c r="N7644" s="182"/>
      <c r="O7644" s="177"/>
      <c r="P7644" s="176"/>
      <c r="Q7644" s="176"/>
      <c r="R7644" s="176"/>
      <c r="S7644" s="176"/>
      <c r="T7644" s="190"/>
      <c r="U7644" s="191"/>
      <c r="V7644" s="191">
        <f>+Table1[[#This Row],[SUBTOTAL]]+Table1[[#This Row],[IVA]]-Table1[[#This Row],[RET IVA]]-Table1[[#This Row],[RET ISR]]</f>
        <v>0</v>
      </c>
      <c r="W7644" s="185"/>
      <c r="X7644" s="186"/>
      <c r="Y7644" s="187"/>
      <c r="Z7644" s="204">
        <f>+Table1[[#This Row],[CONCEPTO]]+Table1[[#This Row],[TIPO2]]-Table1[[#This Row],[IVA]]-Table1[[#This Row],[OTROS IMPUESTOS]]-Table1[[#This Row],[RET IVA]]</f>
        <v>0</v>
      </c>
      <c r="AB7644" t="str">
        <f>IF(Table1[[#This Row],[TIPO2]]="costo", VLOOKUP(Table1[[#This Row],[PARTIDA PRESUPUESTAL]],'Cost Report'!G:G,1,0),"Balance")</f>
        <v>Balance</v>
      </c>
      <c r="AD7644" s="159">
        <f>+Table1[[#This Row],[SUBTOTAL]]+Table1[[#This Row],[IVA]]-Table1[[#This Row],[RET IVA]]-Table1[[#This Row],[RET ISR]]-Table1[[#This Row],[TOTAL]]</f>
        <v>0</v>
      </c>
    </row>
    <row r="7645" spans="1:30">
      <c r="A7645" s="172"/>
      <c r="B7645" s="178"/>
      <c r="C7645" s="179"/>
      <c r="D7645" s="180"/>
      <c r="E7645" s="125"/>
      <c r="F7645" s="178"/>
      <c r="G7645" s="178"/>
      <c r="H7645" s="178"/>
      <c r="I7645" s="178"/>
      <c r="J7645" s="178"/>
      <c r="K7645" s="178"/>
      <c r="L7645" s="125"/>
      <c r="M7645" s="125"/>
      <c r="N7645" s="182"/>
      <c r="O7645" s="177"/>
      <c r="P7645" s="176"/>
      <c r="Q7645" s="176"/>
      <c r="R7645" s="176"/>
      <c r="S7645" s="176"/>
      <c r="T7645" s="190"/>
      <c r="U7645" s="191"/>
      <c r="V7645" s="191">
        <f>+Table1[[#This Row],[SUBTOTAL]]+Table1[[#This Row],[IVA]]-Table1[[#This Row],[RET IVA]]-Table1[[#This Row],[RET ISR]]</f>
        <v>0</v>
      </c>
      <c r="W7645" s="185"/>
      <c r="X7645" s="186"/>
      <c r="Y7645" s="187"/>
      <c r="Z7645" s="204">
        <f>+Table1[[#This Row],[CONCEPTO]]+Table1[[#This Row],[TIPO2]]-Table1[[#This Row],[IVA]]-Table1[[#This Row],[OTROS IMPUESTOS]]-Table1[[#This Row],[RET IVA]]</f>
        <v>0</v>
      </c>
      <c r="AB7645" t="str">
        <f>IF(Table1[[#This Row],[TIPO2]]="costo", VLOOKUP(Table1[[#This Row],[PARTIDA PRESUPUESTAL]],'Cost Report'!G:G,1,0),"Balance")</f>
        <v>Balance</v>
      </c>
      <c r="AD7645" s="159">
        <f>+Table1[[#This Row],[SUBTOTAL]]+Table1[[#This Row],[IVA]]-Table1[[#This Row],[RET IVA]]-Table1[[#This Row],[RET ISR]]-Table1[[#This Row],[TOTAL]]</f>
        <v>0</v>
      </c>
    </row>
    <row r="7646" spans="1:30">
      <c r="A7646" s="172"/>
      <c r="B7646" s="178"/>
      <c r="C7646" s="179"/>
      <c r="D7646" s="180"/>
      <c r="E7646" s="125"/>
      <c r="F7646" s="178"/>
      <c r="G7646" s="178"/>
      <c r="H7646" s="178"/>
      <c r="I7646" s="178"/>
      <c r="J7646" s="178"/>
      <c r="K7646" s="178"/>
      <c r="L7646" s="125"/>
      <c r="M7646" s="125"/>
      <c r="N7646" s="182"/>
      <c r="O7646" s="177"/>
      <c r="P7646" s="176"/>
      <c r="Q7646" s="176"/>
      <c r="R7646" s="176"/>
      <c r="S7646" s="176"/>
      <c r="T7646" s="190"/>
      <c r="U7646" s="191"/>
      <c r="V7646" s="191">
        <f>+Table1[[#This Row],[SUBTOTAL]]+Table1[[#This Row],[IVA]]-Table1[[#This Row],[RET IVA]]-Table1[[#This Row],[RET ISR]]</f>
        <v>0</v>
      </c>
      <c r="W7646" s="185"/>
      <c r="X7646" s="186"/>
      <c r="Y7646" s="187"/>
      <c r="Z7646" s="204">
        <f>+Table1[[#This Row],[CONCEPTO]]+Table1[[#This Row],[TIPO2]]-Table1[[#This Row],[IVA]]-Table1[[#This Row],[OTROS IMPUESTOS]]-Table1[[#This Row],[RET IVA]]</f>
        <v>0</v>
      </c>
      <c r="AB7646" t="str">
        <f>IF(Table1[[#This Row],[TIPO2]]="costo", VLOOKUP(Table1[[#This Row],[PARTIDA PRESUPUESTAL]],'Cost Report'!G:G,1,0),"Balance")</f>
        <v>Balance</v>
      </c>
      <c r="AD7646" s="159">
        <f>+Table1[[#This Row],[SUBTOTAL]]+Table1[[#This Row],[IVA]]-Table1[[#This Row],[RET IVA]]-Table1[[#This Row],[RET ISR]]-Table1[[#This Row],[TOTAL]]</f>
        <v>0</v>
      </c>
    </row>
    <row r="7647" spans="1:30">
      <c r="A7647" s="172"/>
      <c r="B7647" s="178"/>
      <c r="C7647" s="179"/>
      <c r="D7647" s="180"/>
      <c r="E7647" s="125"/>
      <c r="F7647" s="178"/>
      <c r="G7647" s="178"/>
      <c r="H7647" s="178"/>
      <c r="I7647" s="178"/>
      <c r="J7647" s="178"/>
      <c r="K7647" s="178"/>
      <c r="L7647" s="125"/>
      <c r="M7647" s="125"/>
      <c r="N7647" s="182"/>
      <c r="O7647" s="177"/>
      <c r="P7647" s="176"/>
      <c r="Q7647" s="176"/>
      <c r="R7647" s="176"/>
      <c r="S7647" s="176"/>
      <c r="T7647" s="190"/>
      <c r="U7647" s="191"/>
      <c r="V7647" s="191">
        <f>+Table1[[#This Row],[SUBTOTAL]]+Table1[[#This Row],[IVA]]-Table1[[#This Row],[RET IVA]]-Table1[[#This Row],[RET ISR]]</f>
        <v>0</v>
      </c>
      <c r="W7647" s="185"/>
      <c r="X7647" s="186"/>
      <c r="Y7647" s="187"/>
      <c r="Z7647" s="204">
        <f>+Table1[[#This Row],[CONCEPTO]]+Table1[[#This Row],[TIPO2]]-Table1[[#This Row],[IVA]]-Table1[[#This Row],[OTROS IMPUESTOS]]-Table1[[#This Row],[RET IVA]]</f>
        <v>0</v>
      </c>
      <c r="AB7647" t="str">
        <f>IF(Table1[[#This Row],[TIPO2]]="costo", VLOOKUP(Table1[[#This Row],[PARTIDA PRESUPUESTAL]],'Cost Report'!G:G,1,0),"Balance")</f>
        <v>Balance</v>
      </c>
      <c r="AD7647" s="159">
        <f>+Table1[[#This Row],[SUBTOTAL]]+Table1[[#This Row],[IVA]]-Table1[[#This Row],[RET IVA]]-Table1[[#This Row],[RET ISR]]-Table1[[#This Row],[TOTAL]]</f>
        <v>0</v>
      </c>
    </row>
    <row r="7648" spans="1:30">
      <c r="A7648" s="172"/>
      <c r="B7648" s="178"/>
      <c r="C7648" s="179"/>
      <c r="D7648" s="180"/>
      <c r="E7648" s="125"/>
      <c r="F7648" s="178"/>
      <c r="G7648" s="178"/>
      <c r="H7648" s="178"/>
      <c r="I7648" s="178"/>
      <c r="J7648" s="178"/>
      <c r="K7648" s="178"/>
      <c r="L7648" s="125"/>
      <c r="M7648" s="125"/>
      <c r="N7648" s="182"/>
      <c r="O7648" s="177"/>
      <c r="P7648" s="176"/>
      <c r="Q7648" s="176"/>
      <c r="R7648" s="176"/>
      <c r="S7648" s="176"/>
      <c r="T7648" s="190"/>
      <c r="U7648" s="191"/>
      <c r="V7648" s="191">
        <f>+Table1[[#This Row],[SUBTOTAL]]+Table1[[#This Row],[IVA]]-Table1[[#This Row],[RET IVA]]-Table1[[#This Row],[RET ISR]]</f>
        <v>0</v>
      </c>
      <c r="W7648" s="185"/>
      <c r="X7648" s="186"/>
      <c r="Y7648" s="187"/>
      <c r="Z7648" s="204">
        <f>+Table1[[#This Row],[CONCEPTO]]+Table1[[#This Row],[TIPO2]]-Table1[[#This Row],[IVA]]-Table1[[#This Row],[OTROS IMPUESTOS]]-Table1[[#This Row],[RET IVA]]</f>
        <v>0</v>
      </c>
      <c r="AB7648" t="str">
        <f>IF(Table1[[#This Row],[TIPO2]]="costo", VLOOKUP(Table1[[#This Row],[PARTIDA PRESUPUESTAL]],'Cost Report'!G:G,1,0),"Balance")</f>
        <v>Balance</v>
      </c>
      <c r="AD7648" s="159">
        <f>+Table1[[#This Row],[SUBTOTAL]]+Table1[[#This Row],[IVA]]-Table1[[#This Row],[RET IVA]]-Table1[[#This Row],[RET ISR]]-Table1[[#This Row],[TOTAL]]</f>
        <v>0</v>
      </c>
    </row>
    <row r="7649" spans="1:30">
      <c r="A7649" s="172"/>
      <c r="B7649" s="178"/>
      <c r="C7649" s="179"/>
      <c r="D7649" s="180"/>
      <c r="E7649" s="125"/>
      <c r="F7649" s="178"/>
      <c r="G7649" s="178"/>
      <c r="H7649" s="178"/>
      <c r="I7649" s="178"/>
      <c r="J7649" s="178"/>
      <c r="K7649" s="178"/>
      <c r="L7649" s="125"/>
      <c r="M7649" s="125"/>
      <c r="N7649" s="182"/>
      <c r="O7649" s="177"/>
      <c r="P7649" s="176"/>
      <c r="Q7649" s="176"/>
      <c r="R7649" s="176"/>
      <c r="S7649" s="176"/>
      <c r="T7649" s="190"/>
      <c r="U7649" s="191"/>
      <c r="V7649" s="191">
        <f>+Table1[[#This Row],[SUBTOTAL]]+Table1[[#This Row],[IVA]]-Table1[[#This Row],[RET IVA]]-Table1[[#This Row],[RET ISR]]</f>
        <v>0</v>
      </c>
      <c r="W7649" s="185"/>
      <c r="X7649" s="186"/>
      <c r="Y7649" s="187"/>
      <c r="Z7649" s="204">
        <f>+Table1[[#This Row],[CONCEPTO]]+Table1[[#This Row],[TIPO2]]-Table1[[#This Row],[IVA]]-Table1[[#This Row],[OTROS IMPUESTOS]]-Table1[[#This Row],[RET IVA]]</f>
        <v>0</v>
      </c>
      <c r="AB7649" t="str">
        <f>IF(Table1[[#This Row],[TIPO2]]="costo", VLOOKUP(Table1[[#This Row],[PARTIDA PRESUPUESTAL]],'Cost Report'!G:G,1,0),"Balance")</f>
        <v>Balance</v>
      </c>
      <c r="AD7649" s="159">
        <f>+Table1[[#This Row],[SUBTOTAL]]+Table1[[#This Row],[IVA]]-Table1[[#This Row],[RET IVA]]-Table1[[#This Row],[RET ISR]]-Table1[[#This Row],[TOTAL]]</f>
        <v>0</v>
      </c>
    </row>
    <row r="7650" spans="1:30">
      <c r="A7650" s="172"/>
      <c r="B7650" s="178"/>
      <c r="C7650" s="179"/>
      <c r="D7650" s="180"/>
      <c r="E7650" s="125"/>
      <c r="F7650" s="178"/>
      <c r="G7650" s="178"/>
      <c r="H7650" s="178"/>
      <c r="I7650" s="178"/>
      <c r="J7650" s="178"/>
      <c r="K7650" s="178"/>
      <c r="L7650" s="125"/>
      <c r="M7650" s="125"/>
      <c r="N7650" s="182"/>
      <c r="O7650" s="177"/>
      <c r="P7650" s="176"/>
      <c r="Q7650" s="176"/>
      <c r="R7650" s="176"/>
      <c r="S7650" s="176"/>
      <c r="T7650" s="190"/>
      <c r="U7650" s="191"/>
      <c r="V7650" s="191">
        <f>+Table1[[#This Row],[SUBTOTAL]]+Table1[[#This Row],[IVA]]-Table1[[#This Row],[RET IVA]]-Table1[[#This Row],[RET ISR]]</f>
        <v>0</v>
      </c>
      <c r="W7650" s="185"/>
      <c r="X7650" s="186"/>
      <c r="Y7650" s="187"/>
      <c r="Z7650" s="204">
        <f>+Table1[[#This Row],[CONCEPTO]]+Table1[[#This Row],[TIPO2]]-Table1[[#This Row],[IVA]]-Table1[[#This Row],[OTROS IMPUESTOS]]-Table1[[#This Row],[RET IVA]]</f>
        <v>0</v>
      </c>
      <c r="AB7650" t="str">
        <f>IF(Table1[[#This Row],[TIPO2]]="costo", VLOOKUP(Table1[[#This Row],[PARTIDA PRESUPUESTAL]],'Cost Report'!G:G,1,0),"Balance")</f>
        <v>Balance</v>
      </c>
      <c r="AD7650" s="159">
        <f>+Table1[[#This Row],[SUBTOTAL]]+Table1[[#This Row],[IVA]]-Table1[[#This Row],[RET IVA]]-Table1[[#This Row],[RET ISR]]-Table1[[#This Row],[TOTAL]]</f>
        <v>0</v>
      </c>
    </row>
    <row r="7651" spans="1:30">
      <c r="A7651" s="172"/>
      <c r="B7651" s="178"/>
      <c r="C7651" s="179"/>
      <c r="D7651" s="180"/>
      <c r="E7651" s="125"/>
      <c r="F7651" s="178"/>
      <c r="G7651" s="178"/>
      <c r="H7651" s="178"/>
      <c r="I7651" s="178"/>
      <c r="J7651" s="178"/>
      <c r="K7651" s="178"/>
      <c r="L7651" s="125"/>
      <c r="M7651" s="125"/>
      <c r="N7651" s="182"/>
      <c r="O7651" s="177"/>
      <c r="P7651" s="176"/>
      <c r="Q7651" s="176"/>
      <c r="R7651" s="176"/>
      <c r="S7651" s="176"/>
      <c r="T7651" s="190"/>
      <c r="U7651" s="191"/>
      <c r="V7651" s="191">
        <f>+Table1[[#This Row],[SUBTOTAL]]+Table1[[#This Row],[IVA]]-Table1[[#This Row],[RET IVA]]-Table1[[#This Row],[RET ISR]]</f>
        <v>0</v>
      </c>
      <c r="W7651" s="185"/>
      <c r="X7651" s="186"/>
      <c r="Y7651" s="187"/>
      <c r="Z7651" s="204">
        <f>+Table1[[#This Row],[CONCEPTO]]+Table1[[#This Row],[TIPO2]]-Table1[[#This Row],[IVA]]-Table1[[#This Row],[OTROS IMPUESTOS]]-Table1[[#This Row],[RET IVA]]</f>
        <v>0</v>
      </c>
      <c r="AB7651" t="str">
        <f>IF(Table1[[#This Row],[TIPO2]]="costo", VLOOKUP(Table1[[#This Row],[PARTIDA PRESUPUESTAL]],'Cost Report'!G:G,1,0),"Balance")</f>
        <v>Balance</v>
      </c>
      <c r="AD7651" s="159">
        <f>+Table1[[#This Row],[SUBTOTAL]]+Table1[[#This Row],[IVA]]-Table1[[#This Row],[RET IVA]]-Table1[[#This Row],[RET ISR]]-Table1[[#This Row],[TOTAL]]</f>
        <v>0</v>
      </c>
    </row>
    <row r="7652" spans="1:30">
      <c r="A7652" s="172"/>
      <c r="B7652" s="178"/>
      <c r="C7652" s="179"/>
      <c r="D7652" s="180"/>
      <c r="E7652" s="125"/>
      <c r="F7652" s="178"/>
      <c r="G7652" s="178"/>
      <c r="H7652" s="178"/>
      <c r="I7652" s="178"/>
      <c r="J7652" s="178"/>
      <c r="K7652" s="178"/>
      <c r="L7652" s="125"/>
      <c r="M7652" s="125"/>
      <c r="N7652" s="182"/>
      <c r="O7652" s="177"/>
      <c r="P7652" s="176"/>
      <c r="Q7652" s="176"/>
      <c r="R7652" s="176"/>
      <c r="S7652" s="176"/>
      <c r="T7652" s="190"/>
      <c r="U7652" s="191"/>
      <c r="V7652" s="191">
        <f>+Table1[[#This Row],[SUBTOTAL]]+Table1[[#This Row],[IVA]]-Table1[[#This Row],[RET IVA]]-Table1[[#This Row],[RET ISR]]</f>
        <v>0</v>
      </c>
      <c r="W7652" s="185"/>
      <c r="X7652" s="186"/>
      <c r="Y7652" s="187"/>
      <c r="Z7652" s="204">
        <f>+Table1[[#This Row],[CONCEPTO]]+Table1[[#This Row],[TIPO2]]-Table1[[#This Row],[IVA]]-Table1[[#This Row],[OTROS IMPUESTOS]]-Table1[[#This Row],[RET IVA]]</f>
        <v>0</v>
      </c>
      <c r="AB7652" t="str">
        <f>IF(Table1[[#This Row],[TIPO2]]="costo", VLOOKUP(Table1[[#This Row],[PARTIDA PRESUPUESTAL]],'Cost Report'!G:G,1,0),"Balance")</f>
        <v>Balance</v>
      </c>
      <c r="AD7652" s="159">
        <f>+Table1[[#This Row],[SUBTOTAL]]+Table1[[#This Row],[IVA]]-Table1[[#This Row],[RET IVA]]-Table1[[#This Row],[RET ISR]]-Table1[[#This Row],[TOTAL]]</f>
        <v>0</v>
      </c>
    </row>
    <row r="7653" spans="1:30">
      <c r="A7653" s="172"/>
      <c r="B7653" s="178"/>
      <c r="C7653" s="179"/>
      <c r="D7653" s="180"/>
      <c r="E7653" s="125"/>
      <c r="F7653" s="178"/>
      <c r="G7653" s="178"/>
      <c r="H7653" s="178"/>
      <c r="I7653" s="178"/>
      <c r="J7653" s="178"/>
      <c r="K7653" s="178"/>
      <c r="L7653" s="125"/>
      <c r="M7653" s="125"/>
      <c r="N7653" s="182"/>
      <c r="O7653" s="177"/>
      <c r="P7653" s="176"/>
      <c r="Q7653" s="176"/>
      <c r="R7653" s="176"/>
      <c r="S7653" s="176"/>
      <c r="T7653" s="190"/>
      <c r="U7653" s="191"/>
      <c r="V7653" s="191">
        <f>+Table1[[#This Row],[SUBTOTAL]]+Table1[[#This Row],[IVA]]-Table1[[#This Row],[RET IVA]]-Table1[[#This Row],[RET ISR]]</f>
        <v>0</v>
      </c>
      <c r="W7653" s="185"/>
      <c r="X7653" s="186"/>
      <c r="Y7653" s="187"/>
      <c r="Z7653" s="204">
        <f>+Table1[[#This Row],[CONCEPTO]]+Table1[[#This Row],[TIPO2]]-Table1[[#This Row],[IVA]]-Table1[[#This Row],[OTROS IMPUESTOS]]-Table1[[#This Row],[RET IVA]]</f>
        <v>0</v>
      </c>
      <c r="AB7653" t="str">
        <f>IF(Table1[[#This Row],[TIPO2]]="costo", VLOOKUP(Table1[[#This Row],[PARTIDA PRESUPUESTAL]],'Cost Report'!G:G,1,0),"Balance")</f>
        <v>Balance</v>
      </c>
      <c r="AD7653" s="159">
        <f>+Table1[[#This Row],[SUBTOTAL]]+Table1[[#This Row],[IVA]]-Table1[[#This Row],[RET IVA]]-Table1[[#This Row],[RET ISR]]-Table1[[#This Row],[TOTAL]]</f>
        <v>0</v>
      </c>
    </row>
    <row r="7654" spans="1:30">
      <c r="A7654" s="172"/>
      <c r="B7654" s="178"/>
      <c r="C7654" s="179"/>
      <c r="D7654" s="180"/>
      <c r="E7654" s="125"/>
      <c r="F7654" s="178"/>
      <c r="G7654" s="178"/>
      <c r="H7654" s="178"/>
      <c r="I7654" s="178"/>
      <c r="J7654" s="178"/>
      <c r="K7654" s="178"/>
      <c r="L7654" s="125"/>
      <c r="M7654" s="125"/>
      <c r="N7654" s="182"/>
      <c r="O7654" s="177"/>
      <c r="P7654" s="176"/>
      <c r="Q7654" s="176"/>
      <c r="R7654" s="176"/>
      <c r="S7654" s="176"/>
      <c r="T7654" s="190"/>
      <c r="U7654" s="191"/>
      <c r="V7654" s="191">
        <f>+Table1[[#This Row],[SUBTOTAL]]+Table1[[#This Row],[IVA]]-Table1[[#This Row],[RET IVA]]-Table1[[#This Row],[RET ISR]]</f>
        <v>0</v>
      </c>
      <c r="W7654" s="185"/>
      <c r="X7654" s="186"/>
      <c r="Y7654" s="187"/>
      <c r="Z7654" s="204">
        <f>+Table1[[#This Row],[CONCEPTO]]+Table1[[#This Row],[TIPO2]]-Table1[[#This Row],[IVA]]-Table1[[#This Row],[OTROS IMPUESTOS]]-Table1[[#This Row],[RET IVA]]</f>
        <v>0</v>
      </c>
      <c r="AB7654" t="str">
        <f>IF(Table1[[#This Row],[TIPO2]]="costo", VLOOKUP(Table1[[#This Row],[PARTIDA PRESUPUESTAL]],'Cost Report'!G:G,1,0),"Balance")</f>
        <v>Balance</v>
      </c>
      <c r="AD7654" s="159">
        <f>+Table1[[#This Row],[SUBTOTAL]]+Table1[[#This Row],[IVA]]-Table1[[#This Row],[RET IVA]]-Table1[[#This Row],[RET ISR]]-Table1[[#This Row],[TOTAL]]</f>
        <v>0</v>
      </c>
    </row>
    <row r="7655" spans="1:30">
      <c r="A7655" s="172"/>
      <c r="B7655" s="178"/>
      <c r="C7655" s="179"/>
      <c r="D7655" s="180"/>
      <c r="E7655" s="125"/>
      <c r="F7655" s="178"/>
      <c r="G7655" s="178"/>
      <c r="H7655" s="178"/>
      <c r="I7655" s="178"/>
      <c r="J7655" s="178"/>
      <c r="K7655" s="178"/>
      <c r="L7655" s="125"/>
      <c r="M7655" s="125"/>
      <c r="N7655" s="182"/>
      <c r="O7655" s="177"/>
      <c r="P7655" s="176"/>
      <c r="Q7655" s="176"/>
      <c r="R7655" s="176"/>
      <c r="S7655" s="176"/>
      <c r="T7655" s="190"/>
      <c r="U7655" s="191"/>
      <c r="V7655" s="191">
        <f>+Table1[[#This Row],[SUBTOTAL]]+Table1[[#This Row],[IVA]]-Table1[[#This Row],[RET IVA]]-Table1[[#This Row],[RET ISR]]</f>
        <v>0</v>
      </c>
      <c r="W7655" s="185"/>
      <c r="X7655" s="186"/>
      <c r="Y7655" s="187"/>
      <c r="Z7655" s="204">
        <f>+Table1[[#This Row],[CONCEPTO]]+Table1[[#This Row],[TIPO2]]-Table1[[#This Row],[IVA]]-Table1[[#This Row],[OTROS IMPUESTOS]]-Table1[[#This Row],[RET IVA]]</f>
        <v>0</v>
      </c>
      <c r="AB7655" t="str">
        <f>IF(Table1[[#This Row],[TIPO2]]="costo", VLOOKUP(Table1[[#This Row],[PARTIDA PRESUPUESTAL]],'Cost Report'!G:G,1,0),"Balance")</f>
        <v>Balance</v>
      </c>
      <c r="AD7655" s="159">
        <f>+Table1[[#This Row],[SUBTOTAL]]+Table1[[#This Row],[IVA]]-Table1[[#This Row],[RET IVA]]-Table1[[#This Row],[RET ISR]]-Table1[[#This Row],[TOTAL]]</f>
        <v>0</v>
      </c>
    </row>
    <row r="7656" spans="1:30">
      <c r="A7656" s="172"/>
      <c r="B7656" s="178"/>
      <c r="C7656" s="179"/>
      <c r="D7656" s="180"/>
      <c r="E7656" s="125"/>
      <c r="F7656" s="178"/>
      <c r="G7656" s="178"/>
      <c r="H7656" s="178"/>
      <c r="I7656" s="178"/>
      <c r="J7656" s="178"/>
      <c r="K7656" s="178"/>
      <c r="L7656" s="125"/>
      <c r="M7656" s="125"/>
      <c r="N7656" s="182"/>
      <c r="O7656" s="177"/>
      <c r="P7656" s="176"/>
      <c r="Q7656" s="176"/>
      <c r="R7656" s="176"/>
      <c r="S7656" s="176"/>
      <c r="T7656" s="190"/>
      <c r="U7656" s="191"/>
      <c r="V7656" s="191">
        <f>+Table1[[#This Row],[SUBTOTAL]]+Table1[[#This Row],[IVA]]-Table1[[#This Row],[RET IVA]]-Table1[[#This Row],[RET ISR]]</f>
        <v>0</v>
      </c>
      <c r="W7656" s="185"/>
      <c r="X7656" s="186"/>
      <c r="Y7656" s="187"/>
      <c r="Z7656" s="204">
        <f>+Table1[[#This Row],[CONCEPTO]]+Table1[[#This Row],[TIPO2]]-Table1[[#This Row],[IVA]]-Table1[[#This Row],[OTROS IMPUESTOS]]-Table1[[#This Row],[RET IVA]]</f>
        <v>0</v>
      </c>
      <c r="AB7656" t="str">
        <f>IF(Table1[[#This Row],[TIPO2]]="costo", VLOOKUP(Table1[[#This Row],[PARTIDA PRESUPUESTAL]],'Cost Report'!G:G,1,0),"Balance")</f>
        <v>Balance</v>
      </c>
      <c r="AD7656" s="159">
        <f>+Table1[[#This Row],[SUBTOTAL]]+Table1[[#This Row],[IVA]]-Table1[[#This Row],[RET IVA]]-Table1[[#This Row],[RET ISR]]-Table1[[#This Row],[TOTAL]]</f>
        <v>0</v>
      </c>
    </row>
    <row r="7657" spans="1:30">
      <c r="A7657" s="172"/>
      <c r="B7657" s="178"/>
      <c r="C7657" s="179"/>
      <c r="D7657" s="180"/>
      <c r="E7657" s="125"/>
      <c r="F7657" s="178"/>
      <c r="G7657" s="178"/>
      <c r="H7657" s="178"/>
      <c r="I7657" s="178"/>
      <c r="J7657" s="178"/>
      <c r="K7657" s="178"/>
      <c r="L7657" s="125"/>
      <c r="M7657" s="125"/>
      <c r="N7657" s="182"/>
      <c r="O7657" s="177"/>
      <c r="P7657" s="176"/>
      <c r="Q7657" s="176"/>
      <c r="R7657" s="176"/>
      <c r="S7657" s="176"/>
      <c r="T7657" s="190"/>
      <c r="U7657" s="191"/>
      <c r="V7657" s="191">
        <f>+Table1[[#This Row],[SUBTOTAL]]+Table1[[#This Row],[IVA]]-Table1[[#This Row],[RET IVA]]-Table1[[#This Row],[RET ISR]]</f>
        <v>0</v>
      </c>
      <c r="W7657" s="185"/>
      <c r="X7657" s="186"/>
      <c r="Y7657" s="187"/>
      <c r="Z7657" s="204">
        <f>+Table1[[#This Row],[CONCEPTO]]+Table1[[#This Row],[TIPO2]]-Table1[[#This Row],[IVA]]-Table1[[#This Row],[OTROS IMPUESTOS]]-Table1[[#This Row],[RET IVA]]</f>
        <v>0</v>
      </c>
      <c r="AB7657" t="str">
        <f>IF(Table1[[#This Row],[TIPO2]]="costo", VLOOKUP(Table1[[#This Row],[PARTIDA PRESUPUESTAL]],'Cost Report'!G:G,1,0),"Balance")</f>
        <v>Balance</v>
      </c>
      <c r="AD7657" s="159">
        <f>+Table1[[#This Row],[SUBTOTAL]]+Table1[[#This Row],[IVA]]-Table1[[#This Row],[RET IVA]]-Table1[[#This Row],[RET ISR]]-Table1[[#This Row],[TOTAL]]</f>
        <v>0</v>
      </c>
    </row>
    <row r="7658" spans="1:30">
      <c r="A7658" s="172"/>
      <c r="B7658" s="178"/>
      <c r="C7658" s="179"/>
      <c r="D7658" s="180"/>
      <c r="E7658" s="125"/>
      <c r="F7658" s="178"/>
      <c r="G7658" s="178"/>
      <c r="H7658" s="178"/>
      <c r="I7658" s="178"/>
      <c r="J7658" s="178"/>
      <c r="K7658" s="178"/>
      <c r="L7658" s="125"/>
      <c r="M7658" s="125"/>
      <c r="N7658" s="182"/>
      <c r="O7658" s="177"/>
      <c r="P7658" s="176"/>
      <c r="Q7658" s="176"/>
      <c r="R7658" s="176"/>
      <c r="S7658" s="176"/>
      <c r="T7658" s="190"/>
      <c r="U7658" s="191"/>
      <c r="V7658" s="191">
        <f>+Table1[[#This Row],[SUBTOTAL]]+Table1[[#This Row],[IVA]]-Table1[[#This Row],[RET IVA]]-Table1[[#This Row],[RET ISR]]</f>
        <v>0</v>
      </c>
      <c r="W7658" s="185"/>
      <c r="X7658" s="186"/>
      <c r="Y7658" s="187"/>
      <c r="Z7658" s="204">
        <f>+Table1[[#This Row],[CONCEPTO]]+Table1[[#This Row],[TIPO2]]-Table1[[#This Row],[IVA]]-Table1[[#This Row],[OTROS IMPUESTOS]]-Table1[[#This Row],[RET IVA]]</f>
        <v>0</v>
      </c>
      <c r="AB7658" t="str">
        <f>IF(Table1[[#This Row],[TIPO2]]="costo", VLOOKUP(Table1[[#This Row],[PARTIDA PRESUPUESTAL]],'Cost Report'!G:G,1,0),"Balance")</f>
        <v>Balance</v>
      </c>
      <c r="AD7658" s="159">
        <f>+Table1[[#This Row],[SUBTOTAL]]+Table1[[#This Row],[IVA]]-Table1[[#This Row],[RET IVA]]-Table1[[#This Row],[RET ISR]]-Table1[[#This Row],[TOTAL]]</f>
        <v>0</v>
      </c>
    </row>
    <row r="7659" spans="1:30">
      <c r="A7659" s="172"/>
      <c r="B7659" s="178"/>
      <c r="C7659" s="179"/>
      <c r="D7659" s="180"/>
      <c r="E7659" s="125"/>
      <c r="F7659" s="178"/>
      <c r="G7659" s="178"/>
      <c r="H7659" s="178"/>
      <c r="I7659" s="178"/>
      <c r="J7659" s="178"/>
      <c r="K7659" s="178"/>
      <c r="L7659" s="125"/>
      <c r="M7659" s="125"/>
      <c r="N7659" s="182"/>
      <c r="O7659" s="177"/>
      <c r="P7659" s="176"/>
      <c r="Q7659" s="176"/>
      <c r="R7659" s="176"/>
      <c r="S7659" s="176"/>
      <c r="T7659" s="190"/>
      <c r="U7659" s="191"/>
      <c r="V7659" s="191">
        <f>+Table1[[#This Row],[SUBTOTAL]]+Table1[[#This Row],[IVA]]-Table1[[#This Row],[RET IVA]]-Table1[[#This Row],[RET ISR]]</f>
        <v>0</v>
      </c>
      <c r="W7659" s="185"/>
      <c r="X7659" s="186"/>
      <c r="Y7659" s="187"/>
      <c r="Z7659" s="204">
        <f>+Table1[[#This Row],[CONCEPTO]]+Table1[[#This Row],[TIPO2]]-Table1[[#This Row],[IVA]]-Table1[[#This Row],[OTROS IMPUESTOS]]-Table1[[#This Row],[RET IVA]]</f>
        <v>0</v>
      </c>
      <c r="AB7659" t="str">
        <f>IF(Table1[[#This Row],[TIPO2]]="costo", VLOOKUP(Table1[[#This Row],[PARTIDA PRESUPUESTAL]],'Cost Report'!G:G,1,0),"Balance")</f>
        <v>Balance</v>
      </c>
      <c r="AD7659" s="159">
        <f>+Table1[[#This Row],[SUBTOTAL]]+Table1[[#This Row],[IVA]]-Table1[[#This Row],[RET IVA]]-Table1[[#This Row],[RET ISR]]-Table1[[#This Row],[TOTAL]]</f>
        <v>0</v>
      </c>
    </row>
    <row r="7660" spans="1:30">
      <c r="A7660" s="172"/>
      <c r="B7660" s="178"/>
      <c r="C7660" s="179"/>
      <c r="D7660" s="180"/>
      <c r="E7660" s="125"/>
      <c r="F7660" s="178"/>
      <c r="G7660" s="178"/>
      <c r="H7660" s="178"/>
      <c r="I7660" s="178"/>
      <c r="J7660" s="178"/>
      <c r="K7660" s="178"/>
      <c r="L7660" s="125"/>
      <c r="M7660" s="125"/>
      <c r="N7660" s="182"/>
      <c r="O7660" s="177"/>
      <c r="P7660" s="176"/>
      <c r="Q7660" s="176"/>
      <c r="R7660" s="176"/>
      <c r="S7660" s="176"/>
      <c r="T7660" s="190"/>
      <c r="U7660" s="191"/>
      <c r="V7660" s="191">
        <f>+Table1[[#This Row],[SUBTOTAL]]+Table1[[#This Row],[IVA]]-Table1[[#This Row],[RET IVA]]-Table1[[#This Row],[RET ISR]]</f>
        <v>0</v>
      </c>
      <c r="W7660" s="185"/>
      <c r="X7660" s="186"/>
      <c r="Y7660" s="187"/>
      <c r="Z7660" s="204">
        <f>+Table1[[#This Row],[CONCEPTO]]+Table1[[#This Row],[TIPO2]]-Table1[[#This Row],[IVA]]-Table1[[#This Row],[OTROS IMPUESTOS]]-Table1[[#This Row],[RET IVA]]</f>
        <v>0</v>
      </c>
      <c r="AB7660" t="str">
        <f>IF(Table1[[#This Row],[TIPO2]]="costo", VLOOKUP(Table1[[#This Row],[PARTIDA PRESUPUESTAL]],'Cost Report'!G:G,1,0),"Balance")</f>
        <v>Balance</v>
      </c>
      <c r="AD7660" s="159">
        <f>+Table1[[#This Row],[SUBTOTAL]]+Table1[[#This Row],[IVA]]-Table1[[#This Row],[RET IVA]]-Table1[[#This Row],[RET ISR]]-Table1[[#This Row],[TOTAL]]</f>
        <v>0</v>
      </c>
    </row>
    <row r="7661" spans="1:30">
      <c r="A7661" s="172"/>
      <c r="B7661" s="178"/>
      <c r="C7661" s="179"/>
      <c r="D7661" s="180"/>
      <c r="E7661" s="125"/>
      <c r="F7661" s="178"/>
      <c r="G7661" s="178"/>
      <c r="H7661" s="178"/>
      <c r="I7661" s="178"/>
      <c r="J7661" s="178"/>
      <c r="K7661" s="178"/>
      <c r="L7661" s="125"/>
      <c r="M7661" s="125"/>
      <c r="N7661" s="182"/>
      <c r="O7661" s="177"/>
      <c r="P7661" s="176"/>
      <c r="Q7661" s="176"/>
      <c r="R7661" s="176"/>
      <c r="S7661" s="176"/>
      <c r="T7661" s="190"/>
      <c r="U7661" s="191"/>
      <c r="V7661" s="191">
        <f>+Table1[[#This Row],[SUBTOTAL]]+Table1[[#This Row],[IVA]]-Table1[[#This Row],[RET IVA]]-Table1[[#This Row],[RET ISR]]</f>
        <v>0</v>
      </c>
      <c r="W7661" s="185"/>
      <c r="X7661" s="186"/>
      <c r="Y7661" s="187"/>
      <c r="Z7661" s="204">
        <f>+Table1[[#This Row],[CONCEPTO]]+Table1[[#This Row],[TIPO2]]-Table1[[#This Row],[IVA]]-Table1[[#This Row],[OTROS IMPUESTOS]]-Table1[[#This Row],[RET IVA]]</f>
        <v>0</v>
      </c>
      <c r="AB7661" t="str">
        <f>IF(Table1[[#This Row],[TIPO2]]="costo", VLOOKUP(Table1[[#This Row],[PARTIDA PRESUPUESTAL]],'Cost Report'!G:G,1,0),"Balance")</f>
        <v>Balance</v>
      </c>
      <c r="AD7661" s="159">
        <f>+Table1[[#This Row],[SUBTOTAL]]+Table1[[#This Row],[IVA]]-Table1[[#This Row],[RET IVA]]-Table1[[#This Row],[RET ISR]]-Table1[[#This Row],[TOTAL]]</f>
        <v>0</v>
      </c>
    </row>
    <row r="7662" spans="1:30">
      <c r="A7662" s="172"/>
      <c r="B7662" s="178"/>
      <c r="C7662" s="179"/>
      <c r="D7662" s="180"/>
      <c r="E7662" s="125"/>
      <c r="F7662" s="178"/>
      <c r="G7662" s="178"/>
      <c r="H7662" s="178"/>
      <c r="I7662" s="178"/>
      <c r="J7662" s="178"/>
      <c r="K7662" s="178"/>
      <c r="L7662" s="125"/>
      <c r="M7662" s="125"/>
      <c r="N7662" s="182"/>
      <c r="O7662" s="177"/>
      <c r="P7662" s="176"/>
      <c r="Q7662" s="176"/>
      <c r="R7662" s="176"/>
      <c r="S7662" s="176"/>
      <c r="T7662" s="190"/>
      <c r="U7662" s="191"/>
      <c r="V7662" s="191">
        <f>+Table1[[#This Row],[SUBTOTAL]]+Table1[[#This Row],[IVA]]-Table1[[#This Row],[RET IVA]]-Table1[[#This Row],[RET ISR]]</f>
        <v>0</v>
      </c>
      <c r="W7662" s="185"/>
      <c r="X7662" s="186"/>
      <c r="Y7662" s="187"/>
      <c r="Z7662" s="204">
        <f>+Table1[[#This Row],[CONCEPTO]]+Table1[[#This Row],[TIPO2]]-Table1[[#This Row],[IVA]]-Table1[[#This Row],[OTROS IMPUESTOS]]-Table1[[#This Row],[RET IVA]]</f>
        <v>0</v>
      </c>
      <c r="AB7662" t="str">
        <f>IF(Table1[[#This Row],[TIPO2]]="costo", VLOOKUP(Table1[[#This Row],[PARTIDA PRESUPUESTAL]],'Cost Report'!G:G,1,0),"Balance")</f>
        <v>Balance</v>
      </c>
      <c r="AD7662" s="159">
        <f>+Table1[[#This Row],[SUBTOTAL]]+Table1[[#This Row],[IVA]]-Table1[[#This Row],[RET IVA]]-Table1[[#This Row],[RET ISR]]-Table1[[#This Row],[TOTAL]]</f>
        <v>0</v>
      </c>
    </row>
    <row r="7663" spans="1:30">
      <c r="A7663" s="172"/>
      <c r="B7663" s="178"/>
      <c r="C7663" s="179"/>
      <c r="D7663" s="180"/>
      <c r="E7663" s="125"/>
      <c r="F7663" s="178"/>
      <c r="G7663" s="178"/>
      <c r="H7663" s="178"/>
      <c r="I7663" s="178"/>
      <c r="J7663" s="178"/>
      <c r="K7663" s="178"/>
      <c r="L7663" s="125"/>
      <c r="M7663" s="125"/>
      <c r="N7663" s="182"/>
      <c r="O7663" s="177"/>
      <c r="P7663" s="176"/>
      <c r="Q7663" s="176"/>
      <c r="R7663" s="176"/>
      <c r="S7663" s="176"/>
      <c r="T7663" s="190"/>
      <c r="U7663" s="191"/>
      <c r="V7663" s="191">
        <f>+Table1[[#This Row],[SUBTOTAL]]+Table1[[#This Row],[IVA]]-Table1[[#This Row],[RET IVA]]-Table1[[#This Row],[RET ISR]]</f>
        <v>0</v>
      </c>
      <c r="W7663" s="185"/>
      <c r="X7663" s="186"/>
      <c r="Y7663" s="187"/>
      <c r="Z7663" s="204">
        <f>+Table1[[#This Row],[CONCEPTO]]+Table1[[#This Row],[TIPO2]]-Table1[[#This Row],[IVA]]-Table1[[#This Row],[OTROS IMPUESTOS]]-Table1[[#This Row],[RET IVA]]</f>
        <v>0</v>
      </c>
      <c r="AB7663" t="str">
        <f>IF(Table1[[#This Row],[TIPO2]]="costo", VLOOKUP(Table1[[#This Row],[PARTIDA PRESUPUESTAL]],'Cost Report'!G:G,1,0),"Balance")</f>
        <v>Balance</v>
      </c>
      <c r="AD7663" s="159">
        <f>+Table1[[#This Row],[SUBTOTAL]]+Table1[[#This Row],[IVA]]-Table1[[#This Row],[RET IVA]]-Table1[[#This Row],[RET ISR]]-Table1[[#This Row],[TOTAL]]</f>
        <v>0</v>
      </c>
    </row>
    <row r="7664" spans="1:30">
      <c r="A7664" s="172"/>
      <c r="B7664" s="178"/>
      <c r="C7664" s="179"/>
      <c r="D7664" s="180"/>
      <c r="E7664" s="125"/>
      <c r="F7664" s="178"/>
      <c r="G7664" s="178"/>
      <c r="H7664" s="178"/>
      <c r="I7664" s="178"/>
      <c r="J7664" s="178"/>
      <c r="K7664" s="178"/>
      <c r="L7664" s="125"/>
      <c r="M7664" s="125"/>
      <c r="N7664" s="182"/>
      <c r="O7664" s="177"/>
      <c r="P7664" s="176"/>
      <c r="Q7664" s="176"/>
      <c r="R7664" s="176"/>
      <c r="S7664" s="176"/>
      <c r="T7664" s="190"/>
      <c r="U7664" s="191"/>
      <c r="V7664" s="191">
        <f>+Table1[[#This Row],[SUBTOTAL]]+Table1[[#This Row],[IVA]]-Table1[[#This Row],[RET IVA]]-Table1[[#This Row],[RET ISR]]</f>
        <v>0</v>
      </c>
      <c r="W7664" s="185"/>
      <c r="X7664" s="186"/>
      <c r="Y7664" s="187"/>
      <c r="Z7664" s="204">
        <f>+Table1[[#This Row],[CONCEPTO]]+Table1[[#This Row],[TIPO2]]-Table1[[#This Row],[IVA]]-Table1[[#This Row],[OTROS IMPUESTOS]]-Table1[[#This Row],[RET IVA]]</f>
        <v>0</v>
      </c>
      <c r="AB7664" t="str">
        <f>IF(Table1[[#This Row],[TIPO2]]="costo", VLOOKUP(Table1[[#This Row],[PARTIDA PRESUPUESTAL]],'Cost Report'!G:G,1,0),"Balance")</f>
        <v>Balance</v>
      </c>
      <c r="AD7664" s="159">
        <f>+Table1[[#This Row],[SUBTOTAL]]+Table1[[#This Row],[IVA]]-Table1[[#This Row],[RET IVA]]-Table1[[#This Row],[RET ISR]]-Table1[[#This Row],[TOTAL]]</f>
        <v>0</v>
      </c>
    </row>
    <row r="7665" spans="1:30">
      <c r="A7665" s="172"/>
      <c r="B7665" s="178"/>
      <c r="C7665" s="179"/>
      <c r="D7665" s="180"/>
      <c r="E7665" s="125"/>
      <c r="F7665" s="178"/>
      <c r="G7665" s="178"/>
      <c r="H7665" s="178"/>
      <c r="I7665" s="178"/>
      <c r="J7665" s="178"/>
      <c r="K7665" s="178"/>
      <c r="L7665" s="125"/>
      <c r="M7665" s="125"/>
      <c r="N7665" s="182"/>
      <c r="O7665" s="177"/>
      <c r="P7665" s="176"/>
      <c r="Q7665" s="176"/>
      <c r="R7665" s="176"/>
      <c r="S7665" s="176"/>
      <c r="T7665" s="190"/>
      <c r="U7665" s="191"/>
      <c r="V7665" s="191">
        <f>+Table1[[#This Row],[SUBTOTAL]]+Table1[[#This Row],[IVA]]-Table1[[#This Row],[RET IVA]]-Table1[[#This Row],[RET ISR]]</f>
        <v>0</v>
      </c>
      <c r="W7665" s="185"/>
      <c r="X7665" s="186"/>
      <c r="Y7665" s="187"/>
      <c r="Z7665" s="204">
        <f>+Table1[[#This Row],[CONCEPTO]]+Table1[[#This Row],[TIPO2]]-Table1[[#This Row],[IVA]]-Table1[[#This Row],[OTROS IMPUESTOS]]-Table1[[#This Row],[RET IVA]]</f>
        <v>0</v>
      </c>
      <c r="AB7665" t="str">
        <f>IF(Table1[[#This Row],[TIPO2]]="costo", VLOOKUP(Table1[[#This Row],[PARTIDA PRESUPUESTAL]],'Cost Report'!G:G,1,0),"Balance")</f>
        <v>Balance</v>
      </c>
      <c r="AD7665" s="159">
        <f>+Table1[[#This Row],[SUBTOTAL]]+Table1[[#This Row],[IVA]]-Table1[[#This Row],[RET IVA]]-Table1[[#This Row],[RET ISR]]-Table1[[#This Row],[TOTAL]]</f>
        <v>0</v>
      </c>
    </row>
    <row r="7666" spans="1:30">
      <c r="A7666" s="172"/>
      <c r="B7666" s="178"/>
      <c r="C7666" s="179"/>
      <c r="D7666" s="180"/>
      <c r="E7666" s="125"/>
      <c r="F7666" s="178"/>
      <c r="G7666" s="178"/>
      <c r="H7666" s="178"/>
      <c r="I7666" s="178"/>
      <c r="J7666" s="178"/>
      <c r="K7666" s="178"/>
      <c r="L7666" s="125"/>
      <c r="M7666" s="125"/>
      <c r="N7666" s="182"/>
      <c r="O7666" s="177"/>
      <c r="P7666" s="176"/>
      <c r="Q7666" s="176"/>
      <c r="R7666" s="176"/>
      <c r="S7666" s="176"/>
      <c r="T7666" s="190"/>
      <c r="U7666" s="191"/>
      <c r="V7666" s="191">
        <f>+Table1[[#This Row],[SUBTOTAL]]+Table1[[#This Row],[IVA]]-Table1[[#This Row],[RET IVA]]-Table1[[#This Row],[RET ISR]]</f>
        <v>0</v>
      </c>
      <c r="W7666" s="185"/>
      <c r="X7666" s="186"/>
      <c r="Y7666" s="187"/>
      <c r="Z7666" s="204">
        <f>+Table1[[#This Row],[CONCEPTO]]+Table1[[#This Row],[TIPO2]]-Table1[[#This Row],[IVA]]-Table1[[#This Row],[OTROS IMPUESTOS]]-Table1[[#This Row],[RET IVA]]</f>
        <v>0</v>
      </c>
      <c r="AB7666" t="str">
        <f>IF(Table1[[#This Row],[TIPO2]]="costo", VLOOKUP(Table1[[#This Row],[PARTIDA PRESUPUESTAL]],'Cost Report'!G:G,1,0),"Balance")</f>
        <v>Balance</v>
      </c>
      <c r="AD7666" s="159">
        <f>+Table1[[#This Row],[SUBTOTAL]]+Table1[[#This Row],[IVA]]-Table1[[#This Row],[RET IVA]]-Table1[[#This Row],[RET ISR]]-Table1[[#This Row],[TOTAL]]</f>
        <v>0</v>
      </c>
    </row>
    <row r="7667" spans="1:30">
      <c r="A7667" s="172"/>
      <c r="B7667" s="178"/>
      <c r="C7667" s="179"/>
      <c r="D7667" s="180"/>
      <c r="E7667" s="125"/>
      <c r="F7667" s="178"/>
      <c r="G7667" s="178"/>
      <c r="H7667" s="178"/>
      <c r="I7667" s="178"/>
      <c r="J7667" s="178"/>
      <c r="K7667" s="178"/>
      <c r="L7667" s="125"/>
      <c r="M7667" s="125"/>
      <c r="N7667" s="182"/>
      <c r="O7667" s="177"/>
      <c r="P7667" s="176"/>
      <c r="Q7667" s="176"/>
      <c r="R7667" s="176"/>
      <c r="S7667" s="176"/>
      <c r="T7667" s="190"/>
      <c r="U7667" s="191"/>
      <c r="V7667" s="191">
        <f>+Table1[[#This Row],[SUBTOTAL]]+Table1[[#This Row],[IVA]]-Table1[[#This Row],[RET IVA]]-Table1[[#This Row],[RET ISR]]</f>
        <v>0</v>
      </c>
      <c r="W7667" s="185"/>
      <c r="X7667" s="186"/>
      <c r="Y7667" s="187"/>
      <c r="Z7667" s="204">
        <f>+Table1[[#This Row],[CONCEPTO]]+Table1[[#This Row],[TIPO2]]-Table1[[#This Row],[IVA]]-Table1[[#This Row],[OTROS IMPUESTOS]]-Table1[[#This Row],[RET IVA]]</f>
        <v>0</v>
      </c>
      <c r="AB7667" t="str">
        <f>IF(Table1[[#This Row],[TIPO2]]="costo", VLOOKUP(Table1[[#This Row],[PARTIDA PRESUPUESTAL]],'Cost Report'!G:G,1,0),"Balance")</f>
        <v>Balance</v>
      </c>
      <c r="AD7667" s="159">
        <f>+Table1[[#This Row],[SUBTOTAL]]+Table1[[#This Row],[IVA]]-Table1[[#This Row],[RET IVA]]-Table1[[#This Row],[RET ISR]]-Table1[[#This Row],[TOTAL]]</f>
        <v>0</v>
      </c>
    </row>
    <row r="7668" spans="1:30">
      <c r="A7668" s="172"/>
      <c r="B7668" s="178"/>
      <c r="C7668" s="179"/>
      <c r="D7668" s="180"/>
      <c r="E7668" s="125"/>
      <c r="F7668" s="178"/>
      <c r="G7668" s="178"/>
      <c r="H7668" s="178"/>
      <c r="I7668" s="178"/>
      <c r="J7668" s="178"/>
      <c r="K7668" s="178"/>
      <c r="L7668" s="125"/>
      <c r="M7668" s="125"/>
      <c r="N7668" s="182"/>
      <c r="O7668" s="177"/>
      <c r="P7668" s="176"/>
      <c r="Q7668" s="176"/>
      <c r="R7668" s="176"/>
      <c r="S7668" s="176"/>
      <c r="T7668" s="190"/>
      <c r="U7668" s="191"/>
      <c r="V7668" s="191">
        <f>+Table1[[#This Row],[SUBTOTAL]]+Table1[[#This Row],[IVA]]-Table1[[#This Row],[RET IVA]]-Table1[[#This Row],[RET ISR]]</f>
        <v>0</v>
      </c>
      <c r="W7668" s="185"/>
      <c r="X7668" s="186"/>
      <c r="Y7668" s="187"/>
      <c r="Z7668" s="204">
        <f>+Table1[[#This Row],[CONCEPTO]]+Table1[[#This Row],[TIPO2]]-Table1[[#This Row],[IVA]]-Table1[[#This Row],[OTROS IMPUESTOS]]-Table1[[#This Row],[RET IVA]]</f>
        <v>0</v>
      </c>
      <c r="AB7668" t="str">
        <f>IF(Table1[[#This Row],[TIPO2]]="costo", VLOOKUP(Table1[[#This Row],[PARTIDA PRESUPUESTAL]],'Cost Report'!G:G,1,0),"Balance")</f>
        <v>Balance</v>
      </c>
      <c r="AD7668" s="159">
        <f>+Table1[[#This Row],[SUBTOTAL]]+Table1[[#This Row],[IVA]]-Table1[[#This Row],[RET IVA]]-Table1[[#This Row],[RET ISR]]-Table1[[#This Row],[TOTAL]]</f>
        <v>0</v>
      </c>
    </row>
    <row r="7669" spans="1:30">
      <c r="A7669" s="172"/>
      <c r="B7669" s="178"/>
      <c r="C7669" s="179"/>
      <c r="D7669" s="180"/>
      <c r="E7669" s="125"/>
      <c r="F7669" s="178"/>
      <c r="G7669" s="178"/>
      <c r="H7669" s="178"/>
      <c r="I7669" s="178"/>
      <c r="J7669" s="178"/>
      <c r="K7669" s="178"/>
      <c r="L7669" s="125"/>
      <c r="M7669" s="125"/>
      <c r="N7669" s="182"/>
      <c r="O7669" s="177"/>
      <c r="P7669" s="176"/>
      <c r="Q7669" s="176"/>
      <c r="R7669" s="176"/>
      <c r="S7669" s="176"/>
      <c r="T7669" s="190"/>
      <c r="U7669" s="191"/>
      <c r="V7669" s="191">
        <f>+Table1[[#This Row],[SUBTOTAL]]+Table1[[#This Row],[IVA]]-Table1[[#This Row],[RET IVA]]-Table1[[#This Row],[RET ISR]]</f>
        <v>0</v>
      </c>
      <c r="W7669" s="185"/>
      <c r="X7669" s="186"/>
      <c r="Y7669" s="187"/>
      <c r="Z7669" s="204">
        <f>+Table1[[#This Row],[CONCEPTO]]+Table1[[#This Row],[TIPO2]]-Table1[[#This Row],[IVA]]-Table1[[#This Row],[OTROS IMPUESTOS]]-Table1[[#This Row],[RET IVA]]</f>
        <v>0</v>
      </c>
      <c r="AB7669" t="str">
        <f>IF(Table1[[#This Row],[TIPO2]]="costo", VLOOKUP(Table1[[#This Row],[PARTIDA PRESUPUESTAL]],'Cost Report'!G:G,1,0),"Balance")</f>
        <v>Balance</v>
      </c>
      <c r="AD7669" s="159">
        <f>+Table1[[#This Row],[SUBTOTAL]]+Table1[[#This Row],[IVA]]-Table1[[#This Row],[RET IVA]]-Table1[[#This Row],[RET ISR]]-Table1[[#This Row],[TOTAL]]</f>
        <v>0</v>
      </c>
    </row>
    <row r="7670" spans="1:30">
      <c r="A7670" s="172"/>
      <c r="B7670" s="178"/>
      <c r="C7670" s="179"/>
      <c r="D7670" s="180"/>
      <c r="E7670" s="125"/>
      <c r="F7670" s="178"/>
      <c r="G7670" s="178"/>
      <c r="H7670" s="178"/>
      <c r="I7670" s="178"/>
      <c r="J7670" s="178"/>
      <c r="K7670" s="178"/>
      <c r="L7670" s="125"/>
      <c r="M7670" s="125"/>
      <c r="N7670" s="182"/>
      <c r="O7670" s="177"/>
      <c r="P7670" s="176"/>
      <c r="Q7670" s="176"/>
      <c r="R7670" s="176"/>
      <c r="S7670" s="176"/>
      <c r="T7670" s="190"/>
      <c r="U7670" s="191"/>
      <c r="V7670" s="191">
        <f>+Table1[[#This Row],[SUBTOTAL]]+Table1[[#This Row],[IVA]]-Table1[[#This Row],[RET IVA]]-Table1[[#This Row],[RET ISR]]</f>
        <v>0</v>
      </c>
      <c r="W7670" s="185"/>
      <c r="X7670" s="186"/>
      <c r="Y7670" s="187"/>
      <c r="Z7670" s="204">
        <f>+Table1[[#This Row],[CONCEPTO]]+Table1[[#This Row],[TIPO2]]-Table1[[#This Row],[IVA]]-Table1[[#This Row],[OTROS IMPUESTOS]]-Table1[[#This Row],[RET IVA]]</f>
        <v>0</v>
      </c>
      <c r="AB7670" t="str">
        <f>IF(Table1[[#This Row],[TIPO2]]="costo", VLOOKUP(Table1[[#This Row],[PARTIDA PRESUPUESTAL]],'Cost Report'!G:G,1,0),"Balance")</f>
        <v>Balance</v>
      </c>
      <c r="AD7670" s="159">
        <f>+Table1[[#This Row],[SUBTOTAL]]+Table1[[#This Row],[IVA]]-Table1[[#This Row],[RET IVA]]-Table1[[#This Row],[RET ISR]]-Table1[[#This Row],[TOTAL]]</f>
        <v>0</v>
      </c>
    </row>
    <row r="7671" spans="1:30">
      <c r="A7671" s="172"/>
      <c r="B7671" s="178"/>
      <c r="C7671" s="179"/>
      <c r="D7671" s="180"/>
      <c r="E7671" s="125"/>
      <c r="F7671" s="178"/>
      <c r="G7671" s="178"/>
      <c r="H7671" s="178"/>
      <c r="I7671" s="178"/>
      <c r="J7671" s="178"/>
      <c r="K7671" s="178"/>
      <c r="L7671" s="125"/>
      <c r="M7671" s="125"/>
      <c r="N7671" s="182"/>
      <c r="O7671" s="177"/>
      <c r="P7671" s="176"/>
      <c r="Q7671" s="176"/>
      <c r="R7671" s="176"/>
      <c r="S7671" s="176"/>
      <c r="T7671" s="190"/>
      <c r="U7671" s="191"/>
      <c r="V7671" s="191">
        <f>+Table1[[#This Row],[SUBTOTAL]]+Table1[[#This Row],[IVA]]-Table1[[#This Row],[RET IVA]]-Table1[[#This Row],[RET ISR]]</f>
        <v>0</v>
      </c>
      <c r="W7671" s="185"/>
      <c r="X7671" s="186"/>
      <c r="Y7671" s="187"/>
      <c r="Z7671" s="204">
        <f>+Table1[[#This Row],[CONCEPTO]]+Table1[[#This Row],[TIPO2]]-Table1[[#This Row],[IVA]]-Table1[[#This Row],[OTROS IMPUESTOS]]-Table1[[#This Row],[RET IVA]]</f>
        <v>0</v>
      </c>
      <c r="AB7671" t="str">
        <f>IF(Table1[[#This Row],[TIPO2]]="costo", VLOOKUP(Table1[[#This Row],[PARTIDA PRESUPUESTAL]],'Cost Report'!G:G,1,0),"Balance")</f>
        <v>Balance</v>
      </c>
      <c r="AD7671" s="159">
        <f>+Table1[[#This Row],[SUBTOTAL]]+Table1[[#This Row],[IVA]]-Table1[[#This Row],[RET IVA]]-Table1[[#This Row],[RET ISR]]-Table1[[#This Row],[TOTAL]]</f>
        <v>0</v>
      </c>
    </row>
    <row r="7672" spans="1:30">
      <c r="A7672" s="172"/>
      <c r="B7672" s="178"/>
      <c r="C7672" s="179"/>
      <c r="D7672" s="180"/>
      <c r="E7672" s="125"/>
      <c r="F7672" s="178"/>
      <c r="G7672" s="178"/>
      <c r="H7672" s="178"/>
      <c r="I7672" s="178"/>
      <c r="J7672" s="178"/>
      <c r="K7672" s="178"/>
      <c r="L7672" s="125"/>
      <c r="M7672" s="125"/>
      <c r="N7672" s="182"/>
      <c r="O7672" s="177"/>
      <c r="P7672" s="176"/>
      <c r="Q7672" s="176"/>
      <c r="R7672" s="176"/>
      <c r="S7672" s="176"/>
      <c r="T7672" s="190"/>
      <c r="U7672" s="191"/>
      <c r="V7672" s="191">
        <f>+Table1[[#This Row],[SUBTOTAL]]+Table1[[#This Row],[IVA]]-Table1[[#This Row],[RET IVA]]-Table1[[#This Row],[RET ISR]]</f>
        <v>0</v>
      </c>
      <c r="W7672" s="185"/>
      <c r="X7672" s="186"/>
      <c r="Y7672" s="187"/>
      <c r="Z7672" s="204">
        <f>+Table1[[#This Row],[CONCEPTO]]+Table1[[#This Row],[TIPO2]]-Table1[[#This Row],[IVA]]-Table1[[#This Row],[OTROS IMPUESTOS]]-Table1[[#This Row],[RET IVA]]</f>
        <v>0</v>
      </c>
      <c r="AB7672" t="str">
        <f>IF(Table1[[#This Row],[TIPO2]]="costo", VLOOKUP(Table1[[#This Row],[PARTIDA PRESUPUESTAL]],'Cost Report'!G:G,1,0),"Balance")</f>
        <v>Balance</v>
      </c>
      <c r="AD7672" s="159">
        <f>+Table1[[#This Row],[SUBTOTAL]]+Table1[[#This Row],[IVA]]-Table1[[#This Row],[RET IVA]]-Table1[[#This Row],[RET ISR]]-Table1[[#This Row],[TOTAL]]</f>
        <v>0</v>
      </c>
    </row>
    <row r="7673" spans="1:30">
      <c r="A7673" s="172"/>
      <c r="B7673" s="178"/>
      <c r="C7673" s="179"/>
      <c r="D7673" s="180"/>
      <c r="E7673" s="125"/>
      <c r="F7673" s="178"/>
      <c r="G7673" s="178"/>
      <c r="H7673" s="178"/>
      <c r="I7673" s="178"/>
      <c r="J7673" s="178"/>
      <c r="K7673" s="178"/>
      <c r="L7673" s="125"/>
      <c r="M7673" s="125"/>
      <c r="N7673" s="182"/>
      <c r="O7673" s="177"/>
      <c r="P7673" s="176"/>
      <c r="Q7673" s="176"/>
      <c r="R7673" s="176"/>
      <c r="S7673" s="176"/>
      <c r="T7673" s="190"/>
      <c r="U7673" s="191"/>
      <c r="V7673" s="191">
        <f>+Table1[[#This Row],[SUBTOTAL]]+Table1[[#This Row],[IVA]]-Table1[[#This Row],[RET IVA]]-Table1[[#This Row],[RET ISR]]</f>
        <v>0</v>
      </c>
      <c r="W7673" s="185"/>
      <c r="X7673" s="186"/>
      <c r="Y7673" s="187"/>
      <c r="Z7673" s="204">
        <f>+Table1[[#This Row],[CONCEPTO]]+Table1[[#This Row],[TIPO2]]-Table1[[#This Row],[IVA]]-Table1[[#This Row],[OTROS IMPUESTOS]]-Table1[[#This Row],[RET IVA]]</f>
        <v>0</v>
      </c>
      <c r="AB7673" t="str">
        <f>IF(Table1[[#This Row],[TIPO2]]="costo", VLOOKUP(Table1[[#This Row],[PARTIDA PRESUPUESTAL]],'Cost Report'!G:G,1,0),"Balance")</f>
        <v>Balance</v>
      </c>
      <c r="AD7673" s="159">
        <f>+Table1[[#This Row],[SUBTOTAL]]+Table1[[#This Row],[IVA]]-Table1[[#This Row],[RET IVA]]-Table1[[#This Row],[RET ISR]]-Table1[[#This Row],[TOTAL]]</f>
        <v>0</v>
      </c>
    </row>
    <row r="7674" spans="1:30">
      <c r="A7674" s="172"/>
      <c r="B7674" s="178"/>
      <c r="C7674" s="179"/>
      <c r="D7674" s="180"/>
      <c r="E7674" s="125"/>
      <c r="F7674" s="178"/>
      <c r="G7674" s="178"/>
      <c r="H7674" s="178"/>
      <c r="I7674" s="178"/>
      <c r="J7674" s="178"/>
      <c r="K7674" s="178"/>
      <c r="L7674" s="125"/>
      <c r="M7674" s="125"/>
      <c r="N7674" s="182"/>
      <c r="O7674" s="177"/>
      <c r="P7674" s="176"/>
      <c r="Q7674" s="176"/>
      <c r="R7674" s="176"/>
      <c r="S7674" s="176"/>
      <c r="T7674" s="190"/>
      <c r="U7674" s="191"/>
      <c r="V7674" s="191">
        <f>+Table1[[#This Row],[SUBTOTAL]]+Table1[[#This Row],[IVA]]-Table1[[#This Row],[RET IVA]]-Table1[[#This Row],[RET ISR]]</f>
        <v>0</v>
      </c>
      <c r="W7674" s="185"/>
      <c r="X7674" s="186"/>
      <c r="Y7674" s="187"/>
      <c r="Z7674" s="204">
        <f>+Table1[[#This Row],[CONCEPTO]]+Table1[[#This Row],[TIPO2]]-Table1[[#This Row],[IVA]]-Table1[[#This Row],[OTROS IMPUESTOS]]-Table1[[#This Row],[RET IVA]]</f>
        <v>0</v>
      </c>
      <c r="AB7674" t="str">
        <f>IF(Table1[[#This Row],[TIPO2]]="costo", VLOOKUP(Table1[[#This Row],[PARTIDA PRESUPUESTAL]],'Cost Report'!G:G,1,0),"Balance")</f>
        <v>Balance</v>
      </c>
      <c r="AD7674" s="159">
        <f>+Table1[[#This Row],[SUBTOTAL]]+Table1[[#This Row],[IVA]]-Table1[[#This Row],[RET IVA]]-Table1[[#This Row],[RET ISR]]-Table1[[#This Row],[TOTAL]]</f>
        <v>0</v>
      </c>
    </row>
    <row r="7675" spans="1:30">
      <c r="A7675" s="172"/>
      <c r="B7675" s="178"/>
      <c r="C7675" s="179"/>
      <c r="D7675" s="180"/>
      <c r="E7675" s="125"/>
      <c r="F7675" s="178"/>
      <c r="G7675" s="178"/>
      <c r="H7675" s="178"/>
      <c r="I7675" s="178"/>
      <c r="J7675" s="178"/>
      <c r="K7675" s="178"/>
      <c r="L7675" s="125"/>
      <c r="M7675" s="125"/>
      <c r="N7675" s="182"/>
      <c r="O7675" s="177"/>
      <c r="P7675" s="176"/>
      <c r="Q7675" s="176"/>
      <c r="R7675" s="176"/>
      <c r="S7675" s="176"/>
      <c r="T7675" s="190"/>
      <c r="U7675" s="191"/>
      <c r="V7675" s="191">
        <f>+Table1[[#This Row],[SUBTOTAL]]+Table1[[#This Row],[IVA]]-Table1[[#This Row],[RET IVA]]-Table1[[#This Row],[RET ISR]]</f>
        <v>0</v>
      </c>
      <c r="W7675" s="185"/>
      <c r="X7675" s="186"/>
      <c r="Y7675" s="187"/>
      <c r="Z7675" s="204">
        <f>+Table1[[#This Row],[CONCEPTO]]+Table1[[#This Row],[TIPO2]]-Table1[[#This Row],[IVA]]-Table1[[#This Row],[OTROS IMPUESTOS]]-Table1[[#This Row],[RET IVA]]</f>
        <v>0</v>
      </c>
      <c r="AB7675" t="str">
        <f>IF(Table1[[#This Row],[TIPO2]]="costo", VLOOKUP(Table1[[#This Row],[PARTIDA PRESUPUESTAL]],'Cost Report'!G:G,1,0),"Balance")</f>
        <v>Balance</v>
      </c>
      <c r="AD7675" s="159">
        <f>+Table1[[#This Row],[SUBTOTAL]]+Table1[[#This Row],[IVA]]-Table1[[#This Row],[RET IVA]]-Table1[[#This Row],[RET ISR]]-Table1[[#This Row],[TOTAL]]</f>
        <v>0</v>
      </c>
    </row>
    <row r="7676" spans="1:30">
      <c r="A7676" s="172"/>
      <c r="B7676" s="178"/>
      <c r="C7676" s="179"/>
      <c r="D7676" s="180"/>
      <c r="E7676" s="125"/>
      <c r="F7676" s="178"/>
      <c r="G7676" s="178"/>
      <c r="H7676" s="178"/>
      <c r="I7676" s="178"/>
      <c r="J7676" s="178"/>
      <c r="K7676" s="178"/>
      <c r="L7676" s="125"/>
      <c r="M7676" s="125"/>
      <c r="N7676" s="182"/>
      <c r="O7676" s="177"/>
      <c r="P7676" s="176"/>
      <c r="Q7676" s="176"/>
      <c r="R7676" s="176"/>
      <c r="S7676" s="176"/>
      <c r="T7676" s="190"/>
      <c r="U7676" s="191"/>
      <c r="V7676" s="191">
        <f>+Table1[[#This Row],[SUBTOTAL]]+Table1[[#This Row],[IVA]]-Table1[[#This Row],[RET IVA]]-Table1[[#This Row],[RET ISR]]</f>
        <v>0</v>
      </c>
      <c r="W7676" s="185"/>
      <c r="X7676" s="186"/>
      <c r="Y7676" s="187"/>
      <c r="Z7676" s="204">
        <f>+Table1[[#This Row],[CONCEPTO]]+Table1[[#This Row],[TIPO2]]-Table1[[#This Row],[IVA]]-Table1[[#This Row],[OTROS IMPUESTOS]]-Table1[[#This Row],[RET IVA]]</f>
        <v>0</v>
      </c>
      <c r="AB7676" t="str">
        <f>IF(Table1[[#This Row],[TIPO2]]="costo", VLOOKUP(Table1[[#This Row],[PARTIDA PRESUPUESTAL]],'Cost Report'!G:G,1,0),"Balance")</f>
        <v>Balance</v>
      </c>
      <c r="AD7676" s="159">
        <f>+Table1[[#This Row],[SUBTOTAL]]+Table1[[#This Row],[IVA]]-Table1[[#This Row],[RET IVA]]-Table1[[#This Row],[RET ISR]]-Table1[[#This Row],[TOTAL]]</f>
        <v>0</v>
      </c>
    </row>
    <row r="7677" spans="1:30">
      <c r="A7677" s="172"/>
      <c r="B7677" s="178"/>
      <c r="C7677" s="179"/>
      <c r="D7677" s="180"/>
      <c r="E7677" s="125"/>
      <c r="F7677" s="178"/>
      <c r="G7677" s="178"/>
      <c r="H7677" s="178"/>
      <c r="I7677" s="178"/>
      <c r="J7677" s="178"/>
      <c r="K7677" s="178"/>
      <c r="L7677" s="125"/>
      <c r="M7677" s="125"/>
      <c r="N7677" s="182"/>
      <c r="O7677" s="177"/>
      <c r="P7677" s="176"/>
      <c r="Q7677" s="176"/>
      <c r="R7677" s="176"/>
      <c r="S7677" s="176"/>
      <c r="T7677" s="190"/>
      <c r="U7677" s="191"/>
      <c r="V7677" s="191">
        <f>+Table1[[#This Row],[SUBTOTAL]]+Table1[[#This Row],[IVA]]-Table1[[#This Row],[RET IVA]]-Table1[[#This Row],[RET ISR]]</f>
        <v>0</v>
      </c>
      <c r="W7677" s="185"/>
      <c r="X7677" s="186"/>
      <c r="Y7677" s="187"/>
      <c r="Z7677" s="204">
        <f>+Table1[[#This Row],[CONCEPTO]]+Table1[[#This Row],[TIPO2]]-Table1[[#This Row],[IVA]]-Table1[[#This Row],[OTROS IMPUESTOS]]-Table1[[#This Row],[RET IVA]]</f>
        <v>0</v>
      </c>
      <c r="AB7677" t="str">
        <f>IF(Table1[[#This Row],[TIPO2]]="costo", VLOOKUP(Table1[[#This Row],[PARTIDA PRESUPUESTAL]],'Cost Report'!G:G,1,0),"Balance")</f>
        <v>Balance</v>
      </c>
      <c r="AD7677" s="159">
        <f>+Table1[[#This Row],[SUBTOTAL]]+Table1[[#This Row],[IVA]]-Table1[[#This Row],[RET IVA]]-Table1[[#This Row],[RET ISR]]-Table1[[#This Row],[TOTAL]]</f>
        <v>0</v>
      </c>
    </row>
    <row r="7678" spans="1:30">
      <c r="A7678" s="172"/>
      <c r="B7678" s="178"/>
      <c r="C7678" s="179"/>
      <c r="D7678" s="180"/>
      <c r="E7678" s="125"/>
      <c r="F7678" s="178"/>
      <c r="G7678" s="178"/>
      <c r="H7678" s="178"/>
      <c r="I7678" s="178"/>
      <c r="J7678" s="178"/>
      <c r="K7678" s="178"/>
      <c r="L7678" s="125"/>
      <c r="M7678" s="125"/>
      <c r="N7678" s="182"/>
      <c r="O7678" s="177"/>
      <c r="P7678" s="176"/>
      <c r="Q7678" s="176"/>
      <c r="R7678" s="176"/>
      <c r="S7678" s="176"/>
      <c r="T7678" s="190"/>
      <c r="U7678" s="191"/>
      <c r="V7678" s="191">
        <f>+Table1[[#This Row],[SUBTOTAL]]+Table1[[#This Row],[IVA]]-Table1[[#This Row],[RET IVA]]-Table1[[#This Row],[RET ISR]]</f>
        <v>0</v>
      </c>
      <c r="W7678" s="185"/>
      <c r="X7678" s="186"/>
      <c r="Y7678" s="187"/>
      <c r="Z7678" s="204">
        <f>+Table1[[#This Row],[CONCEPTO]]+Table1[[#This Row],[TIPO2]]-Table1[[#This Row],[IVA]]-Table1[[#This Row],[OTROS IMPUESTOS]]-Table1[[#This Row],[RET IVA]]</f>
        <v>0</v>
      </c>
      <c r="AB7678" t="str">
        <f>IF(Table1[[#This Row],[TIPO2]]="costo", VLOOKUP(Table1[[#This Row],[PARTIDA PRESUPUESTAL]],'Cost Report'!G:G,1,0),"Balance")</f>
        <v>Balance</v>
      </c>
      <c r="AD7678" s="159">
        <f>+Table1[[#This Row],[SUBTOTAL]]+Table1[[#This Row],[IVA]]-Table1[[#This Row],[RET IVA]]-Table1[[#This Row],[RET ISR]]-Table1[[#This Row],[TOTAL]]</f>
        <v>0</v>
      </c>
    </row>
    <row r="7679" spans="1:30">
      <c r="A7679" s="172"/>
      <c r="B7679" s="178"/>
      <c r="C7679" s="179"/>
      <c r="D7679" s="180"/>
      <c r="E7679" s="125"/>
      <c r="F7679" s="178"/>
      <c r="G7679" s="178"/>
      <c r="H7679" s="178"/>
      <c r="I7679" s="178"/>
      <c r="J7679" s="178"/>
      <c r="K7679" s="178"/>
      <c r="L7679" s="125"/>
      <c r="M7679" s="125"/>
      <c r="N7679" s="182"/>
      <c r="O7679" s="177"/>
      <c r="P7679" s="176"/>
      <c r="Q7679" s="176"/>
      <c r="R7679" s="176"/>
      <c r="S7679" s="176"/>
      <c r="T7679" s="190"/>
      <c r="U7679" s="191"/>
      <c r="V7679" s="191">
        <f>+Table1[[#This Row],[SUBTOTAL]]+Table1[[#This Row],[IVA]]-Table1[[#This Row],[RET IVA]]-Table1[[#This Row],[RET ISR]]</f>
        <v>0</v>
      </c>
      <c r="W7679" s="185"/>
      <c r="X7679" s="186"/>
      <c r="Y7679" s="187"/>
      <c r="Z7679" s="204">
        <f>+Table1[[#This Row],[CONCEPTO]]+Table1[[#This Row],[TIPO2]]-Table1[[#This Row],[IVA]]-Table1[[#This Row],[OTROS IMPUESTOS]]-Table1[[#This Row],[RET IVA]]</f>
        <v>0</v>
      </c>
      <c r="AB7679" t="str">
        <f>IF(Table1[[#This Row],[TIPO2]]="costo", VLOOKUP(Table1[[#This Row],[PARTIDA PRESUPUESTAL]],'Cost Report'!G:G,1,0),"Balance")</f>
        <v>Balance</v>
      </c>
      <c r="AD7679" s="159">
        <f>+Table1[[#This Row],[SUBTOTAL]]+Table1[[#This Row],[IVA]]-Table1[[#This Row],[RET IVA]]-Table1[[#This Row],[RET ISR]]-Table1[[#This Row],[TOTAL]]</f>
        <v>0</v>
      </c>
    </row>
    <row r="7680" spans="1:30">
      <c r="A7680" s="172"/>
      <c r="B7680" s="178"/>
      <c r="C7680" s="179"/>
      <c r="D7680" s="180"/>
      <c r="E7680" s="125"/>
      <c r="F7680" s="178"/>
      <c r="G7680" s="178"/>
      <c r="H7680" s="178"/>
      <c r="I7680" s="178"/>
      <c r="J7680" s="178"/>
      <c r="K7680" s="178"/>
      <c r="L7680" s="125"/>
      <c r="M7680" s="125"/>
      <c r="N7680" s="182"/>
      <c r="O7680" s="177"/>
      <c r="P7680" s="176"/>
      <c r="Q7680" s="176"/>
      <c r="R7680" s="176"/>
      <c r="S7680" s="176"/>
      <c r="T7680" s="190"/>
      <c r="U7680" s="191"/>
      <c r="V7680" s="191">
        <f>+Table1[[#This Row],[SUBTOTAL]]+Table1[[#This Row],[IVA]]-Table1[[#This Row],[RET IVA]]-Table1[[#This Row],[RET ISR]]</f>
        <v>0</v>
      </c>
      <c r="W7680" s="185"/>
      <c r="X7680" s="186"/>
      <c r="Y7680" s="187"/>
      <c r="Z7680" s="204">
        <f>+Table1[[#This Row],[CONCEPTO]]+Table1[[#This Row],[TIPO2]]-Table1[[#This Row],[IVA]]-Table1[[#This Row],[OTROS IMPUESTOS]]-Table1[[#This Row],[RET IVA]]</f>
        <v>0</v>
      </c>
      <c r="AB7680" t="str">
        <f>IF(Table1[[#This Row],[TIPO2]]="costo", VLOOKUP(Table1[[#This Row],[PARTIDA PRESUPUESTAL]],'Cost Report'!G:G,1,0),"Balance")</f>
        <v>Balance</v>
      </c>
      <c r="AD7680" s="159">
        <f>+Table1[[#This Row],[SUBTOTAL]]+Table1[[#This Row],[IVA]]-Table1[[#This Row],[RET IVA]]-Table1[[#This Row],[RET ISR]]-Table1[[#This Row],[TOTAL]]</f>
        <v>0</v>
      </c>
    </row>
    <row r="7681" spans="1:30">
      <c r="A7681" s="172"/>
      <c r="B7681" s="178"/>
      <c r="C7681" s="179"/>
      <c r="D7681" s="180"/>
      <c r="E7681" s="125"/>
      <c r="F7681" s="178"/>
      <c r="G7681" s="178"/>
      <c r="H7681" s="178"/>
      <c r="I7681" s="178"/>
      <c r="J7681" s="178"/>
      <c r="K7681" s="178"/>
      <c r="L7681" s="125"/>
      <c r="M7681" s="125"/>
      <c r="N7681" s="182"/>
      <c r="O7681" s="177"/>
      <c r="P7681" s="176"/>
      <c r="Q7681" s="176"/>
      <c r="R7681" s="176"/>
      <c r="S7681" s="176"/>
      <c r="T7681" s="190"/>
      <c r="U7681" s="191"/>
      <c r="V7681" s="191">
        <f>+Table1[[#This Row],[SUBTOTAL]]+Table1[[#This Row],[IVA]]-Table1[[#This Row],[RET IVA]]-Table1[[#This Row],[RET ISR]]</f>
        <v>0</v>
      </c>
      <c r="W7681" s="185"/>
      <c r="X7681" s="186"/>
      <c r="Y7681" s="187"/>
      <c r="Z7681" s="204">
        <f>+Table1[[#This Row],[CONCEPTO]]+Table1[[#This Row],[TIPO2]]-Table1[[#This Row],[IVA]]-Table1[[#This Row],[OTROS IMPUESTOS]]-Table1[[#This Row],[RET IVA]]</f>
        <v>0</v>
      </c>
      <c r="AB7681" t="str">
        <f>IF(Table1[[#This Row],[TIPO2]]="costo", VLOOKUP(Table1[[#This Row],[PARTIDA PRESUPUESTAL]],'Cost Report'!G:G,1,0),"Balance")</f>
        <v>Balance</v>
      </c>
      <c r="AD7681" s="159">
        <f>+Table1[[#This Row],[SUBTOTAL]]+Table1[[#This Row],[IVA]]-Table1[[#This Row],[RET IVA]]-Table1[[#This Row],[RET ISR]]-Table1[[#This Row],[TOTAL]]</f>
        <v>0</v>
      </c>
    </row>
    <row r="7682" spans="1:30">
      <c r="A7682" s="172"/>
      <c r="B7682" s="178"/>
      <c r="C7682" s="179"/>
      <c r="D7682" s="180"/>
      <c r="E7682" s="125"/>
      <c r="F7682" s="178"/>
      <c r="G7682" s="178"/>
      <c r="H7682" s="178"/>
      <c r="I7682" s="178"/>
      <c r="J7682" s="178"/>
      <c r="K7682" s="178"/>
      <c r="L7682" s="125"/>
      <c r="M7682" s="125"/>
      <c r="N7682" s="182"/>
      <c r="O7682" s="177"/>
      <c r="P7682" s="176"/>
      <c r="Q7682" s="176"/>
      <c r="R7682" s="176"/>
      <c r="S7682" s="176"/>
      <c r="T7682" s="190"/>
      <c r="U7682" s="191"/>
      <c r="V7682" s="191">
        <f>+Table1[[#This Row],[SUBTOTAL]]+Table1[[#This Row],[IVA]]-Table1[[#This Row],[RET IVA]]-Table1[[#This Row],[RET ISR]]</f>
        <v>0</v>
      </c>
      <c r="W7682" s="185"/>
      <c r="X7682" s="186"/>
      <c r="Y7682" s="187"/>
      <c r="Z7682" s="204">
        <f>+Table1[[#This Row],[CONCEPTO]]+Table1[[#This Row],[TIPO2]]-Table1[[#This Row],[IVA]]-Table1[[#This Row],[OTROS IMPUESTOS]]-Table1[[#This Row],[RET IVA]]</f>
        <v>0</v>
      </c>
      <c r="AB7682" t="str">
        <f>IF(Table1[[#This Row],[TIPO2]]="costo", VLOOKUP(Table1[[#This Row],[PARTIDA PRESUPUESTAL]],'Cost Report'!G:G,1,0),"Balance")</f>
        <v>Balance</v>
      </c>
      <c r="AD7682" s="159">
        <f>+Table1[[#This Row],[SUBTOTAL]]+Table1[[#This Row],[IVA]]-Table1[[#This Row],[RET IVA]]-Table1[[#This Row],[RET ISR]]-Table1[[#This Row],[TOTAL]]</f>
        <v>0</v>
      </c>
    </row>
    <row r="7683" spans="1:30">
      <c r="A7683" s="172"/>
      <c r="B7683" s="178"/>
      <c r="C7683" s="179"/>
      <c r="D7683" s="180"/>
      <c r="E7683" s="125"/>
      <c r="F7683" s="178"/>
      <c r="G7683" s="178"/>
      <c r="H7683" s="178"/>
      <c r="I7683" s="178"/>
      <c r="J7683" s="178"/>
      <c r="K7683" s="178"/>
      <c r="L7683" s="125"/>
      <c r="M7683" s="125"/>
      <c r="N7683" s="182"/>
      <c r="O7683" s="177"/>
      <c r="P7683" s="176"/>
      <c r="Q7683" s="176"/>
      <c r="R7683" s="176"/>
      <c r="S7683" s="176"/>
      <c r="T7683" s="190"/>
      <c r="U7683" s="191"/>
      <c r="V7683" s="191">
        <f>+Table1[[#This Row],[SUBTOTAL]]+Table1[[#This Row],[IVA]]-Table1[[#This Row],[RET IVA]]-Table1[[#This Row],[RET ISR]]</f>
        <v>0</v>
      </c>
      <c r="W7683" s="185"/>
      <c r="X7683" s="186"/>
      <c r="Y7683" s="187"/>
      <c r="Z7683" s="204">
        <f>+Table1[[#This Row],[CONCEPTO]]+Table1[[#This Row],[TIPO2]]-Table1[[#This Row],[IVA]]-Table1[[#This Row],[OTROS IMPUESTOS]]-Table1[[#This Row],[RET IVA]]</f>
        <v>0</v>
      </c>
      <c r="AB7683" t="str">
        <f>IF(Table1[[#This Row],[TIPO2]]="costo", VLOOKUP(Table1[[#This Row],[PARTIDA PRESUPUESTAL]],'Cost Report'!G:G,1,0),"Balance")</f>
        <v>Balance</v>
      </c>
      <c r="AD7683" s="159">
        <f>+Table1[[#This Row],[SUBTOTAL]]+Table1[[#This Row],[IVA]]-Table1[[#This Row],[RET IVA]]-Table1[[#This Row],[RET ISR]]-Table1[[#This Row],[TOTAL]]</f>
        <v>0</v>
      </c>
    </row>
    <row r="7684" spans="1:30">
      <c r="A7684" s="172"/>
      <c r="B7684" s="178"/>
      <c r="C7684" s="179"/>
      <c r="D7684" s="180"/>
      <c r="E7684" s="125"/>
      <c r="F7684" s="178"/>
      <c r="G7684" s="178"/>
      <c r="H7684" s="178"/>
      <c r="I7684" s="178"/>
      <c r="J7684" s="178"/>
      <c r="K7684" s="178"/>
      <c r="L7684" s="125"/>
      <c r="M7684" s="125"/>
      <c r="N7684" s="182"/>
      <c r="O7684" s="177"/>
      <c r="P7684" s="176"/>
      <c r="Q7684" s="176"/>
      <c r="R7684" s="176"/>
      <c r="S7684" s="176"/>
      <c r="T7684" s="190"/>
      <c r="U7684" s="191"/>
      <c r="V7684" s="191">
        <f>+Table1[[#This Row],[SUBTOTAL]]+Table1[[#This Row],[IVA]]-Table1[[#This Row],[RET IVA]]-Table1[[#This Row],[RET ISR]]</f>
        <v>0</v>
      </c>
      <c r="W7684" s="185"/>
      <c r="X7684" s="186"/>
      <c r="Y7684" s="187"/>
      <c r="Z7684" s="204">
        <f>+Table1[[#This Row],[CONCEPTO]]+Table1[[#This Row],[TIPO2]]-Table1[[#This Row],[IVA]]-Table1[[#This Row],[OTROS IMPUESTOS]]-Table1[[#This Row],[RET IVA]]</f>
        <v>0</v>
      </c>
      <c r="AB7684" t="str">
        <f>IF(Table1[[#This Row],[TIPO2]]="costo", VLOOKUP(Table1[[#This Row],[PARTIDA PRESUPUESTAL]],'Cost Report'!G:G,1,0),"Balance")</f>
        <v>Balance</v>
      </c>
      <c r="AD7684" s="159">
        <f>+Table1[[#This Row],[SUBTOTAL]]+Table1[[#This Row],[IVA]]-Table1[[#This Row],[RET IVA]]-Table1[[#This Row],[RET ISR]]-Table1[[#This Row],[TOTAL]]</f>
        <v>0</v>
      </c>
    </row>
    <row r="7685" spans="1:30">
      <c r="A7685" s="172"/>
      <c r="B7685" s="178"/>
      <c r="C7685" s="179"/>
      <c r="D7685" s="180"/>
      <c r="E7685" s="125"/>
      <c r="F7685" s="178"/>
      <c r="G7685" s="178"/>
      <c r="H7685" s="178"/>
      <c r="I7685" s="178"/>
      <c r="J7685" s="178"/>
      <c r="K7685" s="178"/>
      <c r="L7685" s="125"/>
      <c r="M7685" s="125"/>
      <c r="N7685" s="182"/>
      <c r="O7685" s="177"/>
      <c r="P7685" s="176"/>
      <c r="Q7685" s="176"/>
      <c r="R7685" s="176"/>
      <c r="S7685" s="176"/>
      <c r="T7685" s="190"/>
      <c r="U7685" s="191"/>
      <c r="V7685" s="191">
        <f>+Table1[[#This Row],[SUBTOTAL]]+Table1[[#This Row],[IVA]]-Table1[[#This Row],[RET IVA]]-Table1[[#This Row],[RET ISR]]</f>
        <v>0</v>
      </c>
      <c r="W7685" s="185"/>
      <c r="X7685" s="186"/>
      <c r="Y7685" s="187"/>
      <c r="Z7685" s="204">
        <f>+Table1[[#This Row],[CONCEPTO]]+Table1[[#This Row],[TIPO2]]-Table1[[#This Row],[IVA]]-Table1[[#This Row],[OTROS IMPUESTOS]]-Table1[[#This Row],[RET IVA]]</f>
        <v>0</v>
      </c>
      <c r="AB7685" t="str">
        <f>IF(Table1[[#This Row],[TIPO2]]="costo", VLOOKUP(Table1[[#This Row],[PARTIDA PRESUPUESTAL]],'Cost Report'!G:G,1,0),"Balance")</f>
        <v>Balance</v>
      </c>
      <c r="AD7685" s="159">
        <f>+Table1[[#This Row],[SUBTOTAL]]+Table1[[#This Row],[IVA]]-Table1[[#This Row],[RET IVA]]-Table1[[#This Row],[RET ISR]]-Table1[[#This Row],[TOTAL]]</f>
        <v>0</v>
      </c>
    </row>
    <row r="7686" spans="1:30">
      <c r="A7686" s="172"/>
      <c r="B7686" s="178"/>
      <c r="C7686" s="179"/>
      <c r="D7686" s="180"/>
      <c r="E7686" s="125"/>
      <c r="F7686" s="178"/>
      <c r="G7686" s="178"/>
      <c r="H7686" s="178"/>
      <c r="I7686" s="178"/>
      <c r="J7686" s="178"/>
      <c r="K7686" s="178"/>
      <c r="L7686" s="125"/>
      <c r="M7686" s="125"/>
      <c r="N7686" s="182"/>
      <c r="O7686" s="177"/>
      <c r="P7686" s="176"/>
      <c r="Q7686" s="176"/>
      <c r="R7686" s="176"/>
      <c r="S7686" s="176"/>
      <c r="T7686" s="190"/>
      <c r="U7686" s="191"/>
      <c r="V7686" s="191">
        <f>+Table1[[#This Row],[SUBTOTAL]]+Table1[[#This Row],[IVA]]-Table1[[#This Row],[RET IVA]]-Table1[[#This Row],[RET ISR]]</f>
        <v>0</v>
      </c>
      <c r="W7686" s="185"/>
      <c r="X7686" s="186"/>
      <c r="Y7686" s="187"/>
      <c r="Z7686" s="204">
        <f>+Table1[[#This Row],[CONCEPTO]]+Table1[[#This Row],[TIPO2]]-Table1[[#This Row],[IVA]]-Table1[[#This Row],[OTROS IMPUESTOS]]-Table1[[#This Row],[RET IVA]]</f>
        <v>0</v>
      </c>
      <c r="AB7686" t="str">
        <f>IF(Table1[[#This Row],[TIPO2]]="costo", VLOOKUP(Table1[[#This Row],[PARTIDA PRESUPUESTAL]],'Cost Report'!G:G,1,0),"Balance")</f>
        <v>Balance</v>
      </c>
      <c r="AD7686" s="159">
        <f>+Table1[[#This Row],[SUBTOTAL]]+Table1[[#This Row],[IVA]]-Table1[[#This Row],[RET IVA]]-Table1[[#This Row],[RET ISR]]-Table1[[#This Row],[TOTAL]]</f>
        <v>0</v>
      </c>
    </row>
    <row r="7687" spans="1:30">
      <c r="A7687" s="172"/>
      <c r="B7687" s="178"/>
      <c r="C7687" s="179"/>
      <c r="D7687" s="180"/>
      <c r="E7687" s="125"/>
      <c r="F7687" s="178"/>
      <c r="G7687" s="178"/>
      <c r="H7687" s="178"/>
      <c r="I7687" s="178"/>
      <c r="J7687" s="178"/>
      <c r="K7687" s="178"/>
      <c r="L7687" s="125"/>
      <c r="M7687" s="125"/>
      <c r="N7687" s="182"/>
      <c r="O7687" s="177"/>
      <c r="P7687" s="176"/>
      <c r="Q7687" s="176"/>
      <c r="R7687" s="176"/>
      <c r="S7687" s="176"/>
      <c r="T7687" s="190"/>
      <c r="U7687" s="191"/>
      <c r="V7687" s="191">
        <f>+Table1[[#This Row],[SUBTOTAL]]+Table1[[#This Row],[IVA]]-Table1[[#This Row],[RET IVA]]-Table1[[#This Row],[RET ISR]]</f>
        <v>0</v>
      </c>
      <c r="W7687" s="185"/>
      <c r="X7687" s="186"/>
      <c r="Y7687" s="187"/>
      <c r="Z7687" s="204">
        <f>+Table1[[#This Row],[CONCEPTO]]+Table1[[#This Row],[TIPO2]]-Table1[[#This Row],[IVA]]-Table1[[#This Row],[OTROS IMPUESTOS]]-Table1[[#This Row],[RET IVA]]</f>
        <v>0</v>
      </c>
      <c r="AB7687" t="str">
        <f>IF(Table1[[#This Row],[TIPO2]]="costo", VLOOKUP(Table1[[#This Row],[PARTIDA PRESUPUESTAL]],'Cost Report'!G:G,1,0),"Balance")</f>
        <v>Balance</v>
      </c>
      <c r="AD7687" s="159">
        <f>+Table1[[#This Row],[SUBTOTAL]]+Table1[[#This Row],[IVA]]-Table1[[#This Row],[RET IVA]]-Table1[[#This Row],[RET ISR]]-Table1[[#This Row],[TOTAL]]</f>
        <v>0</v>
      </c>
    </row>
    <row r="7688" spans="1:30">
      <c r="A7688" s="172"/>
      <c r="B7688" s="178"/>
      <c r="C7688" s="179"/>
      <c r="D7688" s="180"/>
      <c r="E7688" s="125"/>
      <c r="F7688" s="178"/>
      <c r="G7688" s="178"/>
      <c r="H7688" s="178"/>
      <c r="I7688" s="178"/>
      <c r="J7688" s="178"/>
      <c r="K7688" s="178"/>
      <c r="L7688" s="125"/>
      <c r="M7688" s="125"/>
      <c r="N7688" s="182"/>
      <c r="O7688" s="177"/>
      <c r="P7688" s="176"/>
      <c r="Q7688" s="176"/>
      <c r="R7688" s="176"/>
      <c r="S7688" s="176"/>
      <c r="T7688" s="190"/>
      <c r="U7688" s="191"/>
      <c r="V7688" s="191">
        <f>+Table1[[#This Row],[SUBTOTAL]]+Table1[[#This Row],[IVA]]-Table1[[#This Row],[RET IVA]]-Table1[[#This Row],[RET ISR]]</f>
        <v>0</v>
      </c>
      <c r="W7688" s="185"/>
      <c r="X7688" s="186"/>
      <c r="Y7688" s="187"/>
      <c r="Z7688" s="204">
        <f>+Table1[[#This Row],[CONCEPTO]]+Table1[[#This Row],[TIPO2]]-Table1[[#This Row],[IVA]]-Table1[[#This Row],[OTROS IMPUESTOS]]-Table1[[#This Row],[RET IVA]]</f>
        <v>0</v>
      </c>
      <c r="AB7688" t="str">
        <f>IF(Table1[[#This Row],[TIPO2]]="costo", VLOOKUP(Table1[[#This Row],[PARTIDA PRESUPUESTAL]],'Cost Report'!G:G,1,0),"Balance")</f>
        <v>Balance</v>
      </c>
      <c r="AD7688" s="159">
        <f>+Table1[[#This Row],[SUBTOTAL]]+Table1[[#This Row],[IVA]]-Table1[[#This Row],[RET IVA]]-Table1[[#This Row],[RET ISR]]-Table1[[#This Row],[TOTAL]]</f>
        <v>0</v>
      </c>
    </row>
    <row r="7689" spans="1:30">
      <c r="A7689" s="172"/>
      <c r="B7689" s="178"/>
      <c r="C7689" s="179"/>
      <c r="D7689" s="180"/>
      <c r="E7689" s="125"/>
      <c r="F7689" s="178"/>
      <c r="G7689" s="178"/>
      <c r="H7689" s="178"/>
      <c r="I7689" s="178"/>
      <c r="J7689" s="178"/>
      <c r="K7689" s="178"/>
      <c r="L7689" s="125"/>
      <c r="M7689" s="125"/>
      <c r="N7689" s="182"/>
      <c r="O7689" s="177"/>
      <c r="P7689" s="176"/>
      <c r="Q7689" s="176"/>
      <c r="R7689" s="176"/>
      <c r="S7689" s="176"/>
      <c r="T7689" s="190"/>
      <c r="U7689" s="191"/>
      <c r="V7689" s="191">
        <f>+Table1[[#This Row],[SUBTOTAL]]+Table1[[#This Row],[IVA]]-Table1[[#This Row],[RET IVA]]-Table1[[#This Row],[RET ISR]]</f>
        <v>0</v>
      </c>
      <c r="W7689" s="185"/>
      <c r="X7689" s="186"/>
      <c r="Y7689" s="187"/>
      <c r="Z7689" s="204">
        <f>+Table1[[#This Row],[CONCEPTO]]+Table1[[#This Row],[TIPO2]]-Table1[[#This Row],[IVA]]-Table1[[#This Row],[OTROS IMPUESTOS]]-Table1[[#This Row],[RET IVA]]</f>
        <v>0</v>
      </c>
      <c r="AB7689" t="str">
        <f>IF(Table1[[#This Row],[TIPO2]]="costo", VLOOKUP(Table1[[#This Row],[PARTIDA PRESUPUESTAL]],'Cost Report'!G:G,1,0),"Balance")</f>
        <v>Balance</v>
      </c>
      <c r="AD7689" s="159">
        <f>+Table1[[#This Row],[SUBTOTAL]]+Table1[[#This Row],[IVA]]-Table1[[#This Row],[RET IVA]]-Table1[[#This Row],[RET ISR]]-Table1[[#This Row],[TOTAL]]</f>
        <v>0</v>
      </c>
    </row>
    <row r="7690" spans="1:30">
      <c r="A7690" s="172"/>
      <c r="B7690" s="178"/>
      <c r="C7690" s="179"/>
      <c r="D7690" s="180"/>
      <c r="E7690" s="125"/>
      <c r="F7690" s="178"/>
      <c r="G7690" s="178"/>
      <c r="H7690" s="178"/>
      <c r="I7690" s="178"/>
      <c r="J7690" s="178"/>
      <c r="K7690" s="178"/>
      <c r="L7690" s="125"/>
      <c r="M7690" s="125"/>
      <c r="N7690" s="182"/>
      <c r="O7690" s="177"/>
      <c r="P7690" s="176"/>
      <c r="Q7690" s="176"/>
      <c r="R7690" s="176"/>
      <c r="S7690" s="176"/>
      <c r="T7690" s="190"/>
      <c r="U7690" s="191"/>
      <c r="V7690" s="191">
        <f>+Table1[[#This Row],[SUBTOTAL]]+Table1[[#This Row],[IVA]]-Table1[[#This Row],[RET IVA]]-Table1[[#This Row],[RET ISR]]</f>
        <v>0</v>
      </c>
      <c r="W7690" s="185"/>
      <c r="X7690" s="186"/>
      <c r="Y7690" s="187"/>
      <c r="Z7690" s="204">
        <f>+Table1[[#This Row],[CONCEPTO]]+Table1[[#This Row],[TIPO2]]-Table1[[#This Row],[IVA]]-Table1[[#This Row],[OTROS IMPUESTOS]]-Table1[[#This Row],[RET IVA]]</f>
        <v>0</v>
      </c>
      <c r="AB7690" t="str">
        <f>IF(Table1[[#This Row],[TIPO2]]="costo", VLOOKUP(Table1[[#This Row],[PARTIDA PRESUPUESTAL]],'Cost Report'!G:G,1,0),"Balance")</f>
        <v>Balance</v>
      </c>
      <c r="AD7690" s="159">
        <f>+Table1[[#This Row],[SUBTOTAL]]+Table1[[#This Row],[IVA]]-Table1[[#This Row],[RET IVA]]-Table1[[#This Row],[RET ISR]]-Table1[[#This Row],[TOTAL]]</f>
        <v>0</v>
      </c>
    </row>
    <row r="7691" spans="1:30">
      <c r="A7691" s="172"/>
      <c r="B7691" s="178"/>
      <c r="C7691" s="179"/>
      <c r="D7691" s="180"/>
      <c r="E7691" s="125"/>
      <c r="F7691" s="178"/>
      <c r="G7691" s="178"/>
      <c r="H7691" s="178"/>
      <c r="I7691" s="178"/>
      <c r="J7691" s="178"/>
      <c r="K7691" s="178"/>
      <c r="L7691" s="125"/>
      <c r="M7691" s="125"/>
      <c r="N7691" s="182"/>
      <c r="O7691" s="177"/>
      <c r="P7691" s="176"/>
      <c r="Q7691" s="176"/>
      <c r="R7691" s="176"/>
      <c r="S7691" s="176"/>
      <c r="T7691" s="190"/>
      <c r="U7691" s="191"/>
      <c r="V7691" s="191">
        <f>+Table1[[#This Row],[SUBTOTAL]]+Table1[[#This Row],[IVA]]-Table1[[#This Row],[RET IVA]]-Table1[[#This Row],[RET ISR]]</f>
        <v>0</v>
      </c>
      <c r="W7691" s="185"/>
      <c r="X7691" s="186"/>
      <c r="Y7691" s="187"/>
      <c r="Z7691" s="204">
        <f>+Table1[[#This Row],[CONCEPTO]]+Table1[[#This Row],[TIPO2]]-Table1[[#This Row],[IVA]]-Table1[[#This Row],[OTROS IMPUESTOS]]-Table1[[#This Row],[RET IVA]]</f>
        <v>0</v>
      </c>
      <c r="AB7691" t="str">
        <f>IF(Table1[[#This Row],[TIPO2]]="costo", VLOOKUP(Table1[[#This Row],[PARTIDA PRESUPUESTAL]],'Cost Report'!G:G,1,0),"Balance")</f>
        <v>Balance</v>
      </c>
      <c r="AD7691" s="159">
        <f>+Table1[[#This Row],[SUBTOTAL]]+Table1[[#This Row],[IVA]]-Table1[[#This Row],[RET IVA]]-Table1[[#This Row],[RET ISR]]-Table1[[#This Row],[TOTAL]]</f>
        <v>0</v>
      </c>
    </row>
    <row r="7692" spans="1:30">
      <c r="A7692" s="172"/>
      <c r="B7692" s="178"/>
      <c r="C7692" s="179"/>
      <c r="D7692" s="180"/>
      <c r="E7692" s="125"/>
      <c r="F7692" s="178"/>
      <c r="G7692" s="178"/>
      <c r="H7692" s="178"/>
      <c r="I7692" s="178"/>
      <c r="J7692" s="178"/>
      <c r="K7692" s="178"/>
      <c r="L7692" s="125"/>
      <c r="M7692" s="125"/>
      <c r="N7692" s="182"/>
      <c r="O7692" s="177"/>
      <c r="P7692" s="176"/>
      <c r="Q7692" s="176"/>
      <c r="R7692" s="176"/>
      <c r="S7692" s="176"/>
      <c r="T7692" s="190"/>
      <c r="U7692" s="191"/>
      <c r="V7692" s="191">
        <f>+Table1[[#This Row],[SUBTOTAL]]+Table1[[#This Row],[IVA]]-Table1[[#This Row],[RET IVA]]-Table1[[#This Row],[RET ISR]]</f>
        <v>0</v>
      </c>
      <c r="W7692" s="185"/>
      <c r="X7692" s="186"/>
      <c r="Y7692" s="187"/>
      <c r="Z7692" s="204">
        <f>+Table1[[#This Row],[CONCEPTO]]+Table1[[#This Row],[TIPO2]]-Table1[[#This Row],[IVA]]-Table1[[#This Row],[OTROS IMPUESTOS]]-Table1[[#This Row],[RET IVA]]</f>
        <v>0</v>
      </c>
      <c r="AB7692" t="str">
        <f>IF(Table1[[#This Row],[TIPO2]]="costo", VLOOKUP(Table1[[#This Row],[PARTIDA PRESUPUESTAL]],'Cost Report'!G:G,1,0),"Balance")</f>
        <v>Balance</v>
      </c>
      <c r="AD7692" s="159">
        <f>+Table1[[#This Row],[SUBTOTAL]]+Table1[[#This Row],[IVA]]-Table1[[#This Row],[RET IVA]]-Table1[[#This Row],[RET ISR]]-Table1[[#This Row],[TOTAL]]</f>
        <v>0</v>
      </c>
    </row>
    <row r="7693" spans="1:30">
      <c r="A7693" s="172"/>
      <c r="B7693" s="178"/>
      <c r="C7693" s="179"/>
      <c r="D7693" s="180"/>
      <c r="E7693" s="125"/>
      <c r="F7693" s="178"/>
      <c r="G7693" s="178"/>
      <c r="H7693" s="178"/>
      <c r="I7693" s="178"/>
      <c r="J7693" s="178"/>
      <c r="K7693" s="178"/>
      <c r="L7693" s="125"/>
      <c r="M7693" s="125"/>
      <c r="N7693" s="182"/>
      <c r="O7693" s="177"/>
      <c r="P7693" s="176"/>
      <c r="Q7693" s="176"/>
      <c r="R7693" s="176"/>
      <c r="S7693" s="176"/>
      <c r="T7693" s="190"/>
      <c r="U7693" s="191"/>
      <c r="V7693" s="191">
        <f>+Table1[[#This Row],[SUBTOTAL]]+Table1[[#This Row],[IVA]]-Table1[[#This Row],[RET IVA]]-Table1[[#This Row],[RET ISR]]</f>
        <v>0</v>
      </c>
      <c r="W7693" s="185"/>
      <c r="X7693" s="186"/>
      <c r="Y7693" s="187"/>
      <c r="Z7693" s="204">
        <f>+Table1[[#This Row],[CONCEPTO]]+Table1[[#This Row],[TIPO2]]-Table1[[#This Row],[IVA]]-Table1[[#This Row],[OTROS IMPUESTOS]]-Table1[[#This Row],[RET IVA]]</f>
        <v>0</v>
      </c>
      <c r="AB7693" t="str">
        <f>IF(Table1[[#This Row],[TIPO2]]="costo", VLOOKUP(Table1[[#This Row],[PARTIDA PRESUPUESTAL]],'Cost Report'!G:G,1,0),"Balance")</f>
        <v>Balance</v>
      </c>
      <c r="AD7693" s="159">
        <f>+Table1[[#This Row],[SUBTOTAL]]+Table1[[#This Row],[IVA]]-Table1[[#This Row],[RET IVA]]-Table1[[#This Row],[RET ISR]]-Table1[[#This Row],[TOTAL]]</f>
        <v>0</v>
      </c>
    </row>
    <row r="7694" spans="1:30">
      <c r="A7694" s="172"/>
      <c r="B7694" s="178"/>
      <c r="C7694" s="179"/>
      <c r="D7694" s="180"/>
      <c r="E7694" s="125"/>
      <c r="F7694" s="178"/>
      <c r="G7694" s="178"/>
      <c r="H7694" s="178"/>
      <c r="I7694" s="178"/>
      <c r="J7694" s="178"/>
      <c r="K7694" s="178"/>
      <c r="L7694" s="125"/>
      <c r="M7694" s="125"/>
      <c r="N7694" s="182"/>
      <c r="O7694" s="177"/>
      <c r="P7694" s="176"/>
      <c r="Q7694" s="176"/>
      <c r="R7694" s="176"/>
      <c r="S7694" s="176"/>
      <c r="T7694" s="190"/>
      <c r="U7694" s="191"/>
      <c r="V7694" s="191">
        <f>+Table1[[#This Row],[SUBTOTAL]]+Table1[[#This Row],[IVA]]-Table1[[#This Row],[RET IVA]]-Table1[[#This Row],[RET ISR]]</f>
        <v>0</v>
      </c>
      <c r="W7694" s="185"/>
      <c r="X7694" s="186"/>
      <c r="Y7694" s="187"/>
      <c r="Z7694" s="204">
        <f>+Table1[[#This Row],[CONCEPTO]]+Table1[[#This Row],[TIPO2]]-Table1[[#This Row],[IVA]]-Table1[[#This Row],[OTROS IMPUESTOS]]-Table1[[#This Row],[RET IVA]]</f>
        <v>0</v>
      </c>
      <c r="AB7694" t="str">
        <f>IF(Table1[[#This Row],[TIPO2]]="costo", VLOOKUP(Table1[[#This Row],[PARTIDA PRESUPUESTAL]],'Cost Report'!G:G,1,0),"Balance")</f>
        <v>Balance</v>
      </c>
      <c r="AD7694" s="159">
        <f>+Table1[[#This Row],[SUBTOTAL]]+Table1[[#This Row],[IVA]]-Table1[[#This Row],[RET IVA]]-Table1[[#This Row],[RET ISR]]-Table1[[#This Row],[TOTAL]]</f>
        <v>0</v>
      </c>
    </row>
    <row r="7695" spans="1:30">
      <c r="A7695" s="172"/>
      <c r="B7695" s="178"/>
      <c r="C7695" s="179"/>
      <c r="D7695" s="180"/>
      <c r="E7695" s="125"/>
      <c r="F7695" s="178"/>
      <c r="G7695" s="178"/>
      <c r="H7695" s="178"/>
      <c r="I7695" s="178"/>
      <c r="J7695" s="178"/>
      <c r="K7695" s="178"/>
      <c r="L7695" s="125"/>
      <c r="M7695" s="125"/>
      <c r="N7695" s="182"/>
      <c r="O7695" s="177"/>
      <c r="P7695" s="176"/>
      <c r="Q7695" s="176"/>
      <c r="R7695" s="176"/>
      <c r="S7695" s="176"/>
      <c r="T7695" s="190"/>
      <c r="U7695" s="191"/>
      <c r="V7695" s="191">
        <f>+Table1[[#This Row],[SUBTOTAL]]+Table1[[#This Row],[IVA]]-Table1[[#This Row],[RET IVA]]-Table1[[#This Row],[RET ISR]]</f>
        <v>0</v>
      </c>
      <c r="W7695" s="185"/>
      <c r="X7695" s="186"/>
      <c r="Y7695" s="187"/>
      <c r="Z7695" s="204">
        <f>+Table1[[#This Row],[CONCEPTO]]+Table1[[#This Row],[TIPO2]]-Table1[[#This Row],[IVA]]-Table1[[#This Row],[OTROS IMPUESTOS]]-Table1[[#This Row],[RET IVA]]</f>
        <v>0</v>
      </c>
      <c r="AB7695" t="str">
        <f>IF(Table1[[#This Row],[TIPO2]]="costo", VLOOKUP(Table1[[#This Row],[PARTIDA PRESUPUESTAL]],'Cost Report'!G:G,1,0),"Balance")</f>
        <v>Balance</v>
      </c>
      <c r="AD7695" s="159">
        <f>+Table1[[#This Row],[SUBTOTAL]]+Table1[[#This Row],[IVA]]-Table1[[#This Row],[RET IVA]]-Table1[[#This Row],[RET ISR]]-Table1[[#This Row],[TOTAL]]</f>
        <v>0</v>
      </c>
    </row>
    <row r="7696" spans="1:30">
      <c r="A7696" s="172"/>
      <c r="B7696" s="178"/>
      <c r="C7696" s="179"/>
      <c r="D7696" s="180"/>
      <c r="E7696" s="125"/>
      <c r="F7696" s="178"/>
      <c r="G7696" s="178"/>
      <c r="H7696" s="178"/>
      <c r="I7696" s="178"/>
      <c r="J7696" s="178"/>
      <c r="K7696" s="178"/>
      <c r="L7696" s="125"/>
      <c r="M7696" s="125"/>
      <c r="N7696" s="182"/>
      <c r="O7696" s="177"/>
      <c r="P7696" s="176"/>
      <c r="Q7696" s="176"/>
      <c r="R7696" s="176"/>
      <c r="S7696" s="176"/>
      <c r="T7696" s="190"/>
      <c r="U7696" s="191"/>
      <c r="V7696" s="191">
        <f>+Table1[[#This Row],[SUBTOTAL]]+Table1[[#This Row],[IVA]]-Table1[[#This Row],[RET IVA]]-Table1[[#This Row],[RET ISR]]</f>
        <v>0</v>
      </c>
      <c r="W7696" s="185"/>
      <c r="X7696" s="186"/>
      <c r="Y7696" s="187"/>
      <c r="Z7696" s="204">
        <f>+Table1[[#This Row],[CONCEPTO]]+Table1[[#This Row],[TIPO2]]-Table1[[#This Row],[IVA]]-Table1[[#This Row],[OTROS IMPUESTOS]]-Table1[[#This Row],[RET IVA]]</f>
        <v>0</v>
      </c>
      <c r="AB7696" t="str">
        <f>IF(Table1[[#This Row],[TIPO2]]="costo", VLOOKUP(Table1[[#This Row],[PARTIDA PRESUPUESTAL]],'Cost Report'!G:G,1,0),"Balance")</f>
        <v>Balance</v>
      </c>
      <c r="AD7696" s="159">
        <f>+Table1[[#This Row],[SUBTOTAL]]+Table1[[#This Row],[IVA]]-Table1[[#This Row],[RET IVA]]-Table1[[#This Row],[RET ISR]]-Table1[[#This Row],[TOTAL]]</f>
        <v>0</v>
      </c>
    </row>
    <row r="7697" spans="1:30">
      <c r="A7697" s="172"/>
      <c r="B7697" s="178"/>
      <c r="C7697" s="179"/>
      <c r="D7697" s="180"/>
      <c r="E7697" s="125"/>
      <c r="F7697" s="178"/>
      <c r="G7697" s="178"/>
      <c r="H7697" s="178"/>
      <c r="I7697" s="178"/>
      <c r="J7697" s="178"/>
      <c r="K7697" s="178"/>
      <c r="L7697" s="125"/>
      <c r="M7697" s="125"/>
      <c r="N7697" s="182"/>
      <c r="O7697" s="177"/>
      <c r="P7697" s="176"/>
      <c r="Q7697" s="176"/>
      <c r="R7697" s="176"/>
      <c r="S7697" s="176"/>
      <c r="T7697" s="190"/>
      <c r="U7697" s="191"/>
      <c r="V7697" s="191">
        <f>+Table1[[#This Row],[SUBTOTAL]]+Table1[[#This Row],[IVA]]-Table1[[#This Row],[RET IVA]]-Table1[[#This Row],[RET ISR]]</f>
        <v>0</v>
      </c>
      <c r="W7697" s="185"/>
      <c r="X7697" s="186"/>
      <c r="Y7697" s="187"/>
      <c r="Z7697" s="204">
        <f>+Table1[[#This Row],[CONCEPTO]]+Table1[[#This Row],[TIPO2]]-Table1[[#This Row],[IVA]]-Table1[[#This Row],[OTROS IMPUESTOS]]-Table1[[#This Row],[RET IVA]]</f>
        <v>0</v>
      </c>
      <c r="AB7697" t="str">
        <f>IF(Table1[[#This Row],[TIPO2]]="costo", VLOOKUP(Table1[[#This Row],[PARTIDA PRESUPUESTAL]],'Cost Report'!G:G,1,0),"Balance")</f>
        <v>Balance</v>
      </c>
      <c r="AD7697" s="159">
        <f>+Table1[[#This Row],[SUBTOTAL]]+Table1[[#This Row],[IVA]]-Table1[[#This Row],[RET IVA]]-Table1[[#This Row],[RET ISR]]-Table1[[#This Row],[TOTAL]]</f>
        <v>0</v>
      </c>
    </row>
    <row r="7698" spans="1:30">
      <c r="A7698" s="172"/>
      <c r="B7698" s="178"/>
      <c r="C7698" s="179"/>
      <c r="D7698" s="180"/>
      <c r="E7698" s="125"/>
      <c r="F7698" s="178"/>
      <c r="G7698" s="178"/>
      <c r="H7698" s="178"/>
      <c r="I7698" s="178"/>
      <c r="J7698" s="178"/>
      <c r="K7698" s="178"/>
      <c r="L7698" s="125"/>
      <c r="M7698" s="125"/>
      <c r="N7698" s="182"/>
      <c r="O7698" s="177"/>
      <c r="P7698" s="176"/>
      <c r="Q7698" s="176"/>
      <c r="R7698" s="176"/>
      <c r="S7698" s="176"/>
      <c r="T7698" s="190"/>
      <c r="U7698" s="191"/>
      <c r="V7698" s="191">
        <f>+Table1[[#This Row],[SUBTOTAL]]+Table1[[#This Row],[IVA]]-Table1[[#This Row],[RET IVA]]-Table1[[#This Row],[RET ISR]]</f>
        <v>0</v>
      </c>
      <c r="W7698" s="185"/>
      <c r="X7698" s="186"/>
      <c r="Y7698" s="187"/>
      <c r="Z7698" s="204">
        <f>+Table1[[#This Row],[CONCEPTO]]+Table1[[#This Row],[TIPO2]]-Table1[[#This Row],[IVA]]-Table1[[#This Row],[OTROS IMPUESTOS]]-Table1[[#This Row],[RET IVA]]</f>
        <v>0</v>
      </c>
      <c r="AB7698" t="str">
        <f>IF(Table1[[#This Row],[TIPO2]]="costo", VLOOKUP(Table1[[#This Row],[PARTIDA PRESUPUESTAL]],'Cost Report'!G:G,1,0),"Balance")</f>
        <v>Balance</v>
      </c>
      <c r="AD7698" s="159">
        <f>+Table1[[#This Row],[SUBTOTAL]]+Table1[[#This Row],[IVA]]-Table1[[#This Row],[RET IVA]]-Table1[[#This Row],[RET ISR]]-Table1[[#This Row],[TOTAL]]</f>
        <v>0</v>
      </c>
    </row>
    <row r="7699" spans="1:30">
      <c r="A7699" s="172"/>
      <c r="B7699" s="178"/>
      <c r="C7699" s="179"/>
      <c r="D7699" s="180"/>
      <c r="E7699" s="125"/>
      <c r="F7699" s="178"/>
      <c r="G7699" s="178"/>
      <c r="H7699" s="178"/>
      <c r="I7699" s="178"/>
      <c r="J7699" s="178"/>
      <c r="K7699" s="178"/>
      <c r="L7699" s="125"/>
      <c r="M7699" s="125"/>
      <c r="N7699" s="182"/>
      <c r="O7699" s="177"/>
      <c r="P7699" s="176"/>
      <c r="Q7699" s="176"/>
      <c r="R7699" s="176"/>
      <c r="S7699" s="176"/>
      <c r="T7699" s="190"/>
      <c r="U7699" s="191"/>
      <c r="V7699" s="191">
        <f>+Table1[[#This Row],[SUBTOTAL]]+Table1[[#This Row],[IVA]]-Table1[[#This Row],[RET IVA]]-Table1[[#This Row],[RET ISR]]</f>
        <v>0</v>
      </c>
      <c r="W7699" s="185"/>
      <c r="X7699" s="186"/>
      <c r="Y7699" s="187"/>
      <c r="Z7699" s="204">
        <f>+Table1[[#This Row],[CONCEPTO]]+Table1[[#This Row],[TIPO2]]-Table1[[#This Row],[IVA]]-Table1[[#This Row],[OTROS IMPUESTOS]]-Table1[[#This Row],[RET IVA]]</f>
        <v>0</v>
      </c>
      <c r="AB7699" t="str">
        <f>IF(Table1[[#This Row],[TIPO2]]="costo", VLOOKUP(Table1[[#This Row],[PARTIDA PRESUPUESTAL]],'Cost Report'!G:G,1,0),"Balance")</f>
        <v>Balance</v>
      </c>
      <c r="AD7699" s="159">
        <f>+Table1[[#This Row],[SUBTOTAL]]+Table1[[#This Row],[IVA]]-Table1[[#This Row],[RET IVA]]-Table1[[#This Row],[RET ISR]]-Table1[[#This Row],[TOTAL]]</f>
        <v>0</v>
      </c>
    </row>
    <row r="7700" spans="1:30">
      <c r="A7700" s="172"/>
      <c r="B7700" s="178"/>
      <c r="C7700" s="179"/>
      <c r="D7700" s="180"/>
      <c r="E7700" s="125"/>
      <c r="F7700" s="178"/>
      <c r="G7700" s="178"/>
      <c r="H7700" s="178"/>
      <c r="I7700" s="178"/>
      <c r="J7700" s="178"/>
      <c r="K7700" s="178"/>
      <c r="L7700" s="125"/>
      <c r="M7700" s="125"/>
      <c r="N7700" s="182"/>
      <c r="O7700" s="177"/>
      <c r="P7700" s="176"/>
      <c r="Q7700" s="176"/>
      <c r="R7700" s="176"/>
      <c r="S7700" s="176"/>
      <c r="T7700" s="190"/>
      <c r="U7700" s="191"/>
      <c r="V7700" s="191">
        <f>+Table1[[#This Row],[SUBTOTAL]]+Table1[[#This Row],[IVA]]-Table1[[#This Row],[RET IVA]]-Table1[[#This Row],[RET ISR]]</f>
        <v>0</v>
      </c>
      <c r="W7700" s="185"/>
      <c r="X7700" s="186"/>
      <c r="Y7700" s="187"/>
      <c r="Z7700" s="204">
        <f>+Table1[[#This Row],[CONCEPTO]]+Table1[[#This Row],[TIPO2]]-Table1[[#This Row],[IVA]]-Table1[[#This Row],[OTROS IMPUESTOS]]-Table1[[#This Row],[RET IVA]]</f>
        <v>0</v>
      </c>
      <c r="AB7700" t="str">
        <f>IF(Table1[[#This Row],[TIPO2]]="costo", VLOOKUP(Table1[[#This Row],[PARTIDA PRESUPUESTAL]],'Cost Report'!G:G,1,0),"Balance")</f>
        <v>Balance</v>
      </c>
      <c r="AD7700" s="159">
        <f>+Table1[[#This Row],[SUBTOTAL]]+Table1[[#This Row],[IVA]]-Table1[[#This Row],[RET IVA]]-Table1[[#This Row],[RET ISR]]-Table1[[#This Row],[TOTAL]]</f>
        <v>0</v>
      </c>
    </row>
    <row r="7701" spans="1:30">
      <c r="A7701" s="172"/>
      <c r="B7701" s="178"/>
      <c r="C7701" s="179"/>
      <c r="D7701" s="180"/>
      <c r="E7701" s="125"/>
      <c r="F7701" s="178"/>
      <c r="G7701" s="178"/>
      <c r="H7701" s="178"/>
      <c r="I7701" s="178"/>
      <c r="J7701" s="178"/>
      <c r="K7701" s="178"/>
      <c r="L7701" s="125"/>
      <c r="M7701" s="125"/>
      <c r="N7701" s="182"/>
      <c r="O7701" s="177"/>
      <c r="P7701" s="176"/>
      <c r="Q7701" s="176"/>
      <c r="R7701" s="176"/>
      <c r="S7701" s="176"/>
      <c r="T7701" s="190"/>
      <c r="U7701" s="191"/>
      <c r="V7701" s="191">
        <f>+Table1[[#This Row],[SUBTOTAL]]+Table1[[#This Row],[IVA]]-Table1[[#This Row],[RET IVA]]-Table1[[#This Row],[RET ISR]]</f>
        <v>0</v>
      </c>
      <c r="W7701" s="185"/>
      <c r="X7701" s="186"/>
      <c r="Y7701" s="187"/>
      <c r="Z7701" s="204">
        <f>+Table1[[#This Row],[CONCEPTO]]+Table1[[#This Row],[TIPO2]]-Table1[[#This Row],[IVA]]-Table1[[#This Row],[OTROS IMPUESTOS]]-Table1[[#This Row],[RET IVA]]</f>
        <v>0</v>
      </c>
      <c r="AB7701" t="str">
        <f>IF(Table1[[#This Row],[TIPO2]]="costo", VLOOKUP(Table1[[#This Row],[PARTIDA PRESUPUESTAL]],'Cost Report'!G:G,1,0),"Balance")</f>
        <v>Balance</v>
      </c>
      <c r="AD7701" s="159">
        <f>+Table1[[#This Row],[SUBTOTAL]]+Table1[[#This Row],[IVA]]-Table1[[#This Row],[RET IVA]]-Table1[[#This Row],[RET ISR]]-Table1[[#This Row],[TOTAL]]</f>
        <v>0</v>
      </c>
    </row>
    <row r="7702" spans="1:30">
      <c r="A7702" s="172"/>
      <c r="B7702" s="178"/>
      <c r="C7702" s="179"/>
      <c r="D7702" s="180"/>
      <c r="E7702" s="125"/>
      <c r="F7702" s="178"/>
      <c r="G7702" s="178"/>
      <c r="H7702" s="178"/>
      <c r="I7702" s="178"/>
      <c r="J7702" s="178"/>
      <c r="K7702" s="178"/>
      <c r="L7702" s="125"/>
      <c r="M7702" s="125"/>
      <c r="N7702" s="182"/>
      <c r="O7702" s="177"/>
      <c r="P7702" s="176"/>
      <c r="Q7702" s="176"/>
      <c r="R7702" s="176"/>
      <c r="S7702" s="176"/>
      <c r="T7702" s="190"/>
      <c r="U7702" s="191"/>
      <c r="V7702" s="191">
        <f>+Table1[[#This Row],[SUBTOTAL]]+Table1[[#This Row],[IVA]]-Table1[[#This Row],[RET IVA]]-Table1[[#This Row],[RET ISR]]</f>
        <v>0</v>
      </c>
      <c r="W7702" s="185"/>
      <c r="X7702" s="186"/>
      <c r="Y7702" s="187"/>
      <c r="Z7702" s="204">
        <f>+Table1[[#This Row],[CONCEPTO]]+Table1[[#This Row],[TIPO2]]-Table1[[#This Row],[IVA]]-Table1[[#This Row],[OTROS IMPUESTOS]]-Table1[[#This Row],[RET IVA]]</f>
        <v>0</v>
      </c>
      <c r="AB7702" t="str">
        <f>IF(Table1[[#This Row],[TIPO2]]="costo", VLOOKUP(Table1[[#This Row],[PARTIDA PRESUPUESTAL]],'Cost Report'!G:G,1,0),"Balance")</f>
        <v>Balance</v>
      </c>
      <c r="AD7702" s="159">
        <f>+Table1[[#This Row],[SUBTOTAL]]+Table1[[#This Row],[IVA]]-Table1[[#This Row],[RET IVA]]-Table1[[#This Row],[RET ISR]]-Table1[[#This Row],[TOTAL]]</f>
        <v>0</v>
      </c>
    </row>
    <row r="7703" spans="1:30">
      <c r="A7703" s="172"/>
      <c r="B7703" s="178"/>
      <c r="C7703" s="179"/>
      <c r="D7703" s="180"/>
      <c r="E7703" s="125"/>
      <c r="F7703" s="178"/>
      <c r="G7703" s="178"/>
      <c r="H7703" s="178"/>
      <c r="I7703" s="178"/>
      <c r="J7703" s="178"/>
      <c r="K7703" s="178"/>
      <c r="L7703" s="125"/>
      <c r="M7703" s="125"/>
      <c r="N7703" s="182"/>
      <c r="O7703" s="177"/>
      <c r="P7703" s="176"/>
      <c r="Q7703" s="176"/>
      <c r="R7703" s="176"/>
      <c r="S7703" s="176"/>
      <c r="T7703" s="190"/>
      <c r="U7703" s="191"/>
      <c r="V7703" s="191">
        <f>+Table1[[#This Row],[SUBTOTAL]]+Table1[[#This Row],[IVA]]-Table1[[#This Row],[RET IVA]]-Table1[[#This Row],[RET ISR]]</f>
        <v>0</v>
      </c>
      <c r="W7703" s="185"/>
      <c r="X7703" s="186"/>
      <c r="Y7703" s="187"/>
      <c r="Z7703" s="204">
        <f>+Table1[[#This Row],[CONCEPTO]]+Table1[[#This Row],[TIPO2]]-Table1[[#This Row],[IVA]]-Table1[[#This Row],[OTROS IMPUESTOS]]-Table1[[#This Row],[RET IVA]]</f>
        <v>0</v>
      </c>
      <c r="AB7703" t="str">
        <f>IF(Table1[[#This Row],[TIPO2]]="costo", VLOOKUP(Table1[[#This Row],[PARTIDA PRESUPUESTAL]],'Cost Report'!G:G,1,0),"Balance")</f>
        <v>Balance</v>
      </c>
      <c r="AD7703" s="159">
        <f>+Table1[[#This Row],[SUBTOTAL]]+Table1[[#This Row],[IVA]]-Table1[[#This Row],[RET IVA]]-Table1[[#This Row],[RET ISR]]-Table1[[#This Row],[TOTAL]]</f>
        <v>0</v>
      </c>
    </row>
    <row r="7704" spans="1:30">
      <c r="A7704" s="172"/>
      <c r="B7704" s="178"/>
      <c r="C7704" s="179"/>
      <c r="D7704" s="180"/>
      <c r="E7704" s="125"/>
      <c r="F7704" s="178"/>
      <c r="G7704" s="178"/>
      <c r="H7704" s="178"/>
      <c r="I7704" s="178"/>
      <c r="J7704" s="178"/>
      <c r="K7704" s="178"/>
      <c r="L7704" s="125"/>
      <c r="M7704" s="125"/>
      <c r="N7704" s="182"/>
      <c r="O7704" s="177"/>
      <c r="P7704" s="176"/>
      <c r="Q7704" s="176"/>
      <c r="R7704" s="176"/>
      <c r="S7704" s="176"/>
      <c r="T7704" s="190"/>
      <c r="U7704" s="191"/>
      <c r="V7704" s="191">
        <f>+Table1[[#This Row],[SUBTOTAL]]+Table1[[#This Row],[IVA]]-Table1[[#This Row],[RET IVA]]-Table1[[#This Row],[RET ISR]]</f>
        <v>0</v>
      </c>
      <c r="W7704" s="185"/>
      <c r="X7704" s="186"/>
      <c r="Y7704" s="187"/>
      <c r="Z7704" s="204">
        <f>+Table1[[#This Row],[CONCEPTO]]+Table1[[#This Row],[TIPO2]]-Table1[[#This Row],[IVA]]-Table1[[#This Row],[OTROS IMPUESTOS]]-Table1[[#This Row],[RET IVA]]</f>
        <v>0</v>
      </c>
      <c r="AB7704" t="str">
        <f>IF(Table1[[#This Row],[TIPO2]]="costo", VLOOKUP(Table1[[#This Row],[PARTIDA PRESUPUESTAL]],'Cost Report'!G:G,1,0),"Balance")</f>
        <v>Balance</v>
      </c>
      <c r="AD7704" s="159">
        <f>+Table1[[#This Row],[SUBTOTAL]]+Table1[[#This Row],[IVA]]-Table1[[#This Row],[RET IVA]]-Table1[[#This Row],[RET ISR]]-Table1[[#This Row],[TOTAL]]</f>
        <v>0</v>
      </c>
    </row>
    <row r="7705" spans="1:30">
      <c r="A7705" s="172"/>
      <c r="B7705" s="178"/>
      <c r="C7705" s="179"/>
      <c r="D7705" s="180"/>
      <c r="E7705" s="125"/>
      <c r="F7705" s="178"/>
      <c r="G7705" s="178"/>
      <c r="H7705" s="178"/>
      <c r="I7705" s="178"/>
      <c r="J7705" s="178"/>
      <c r="K7705" s="178"/>
      <c r="L7705" s="125"/>
      <c r="M7705" s="125"/>
      <c r="N7705" s="182"/>
      <c r="O7705" s="177"/>
      <c r="P7705" s="176"/>
      <c r="Q7705" s="176"/>
      <c r="R7705" s="176"/>
      <c r="S7705" s="176"/>
      <c r="T7705" s="190"/>
      <c r="U7705" s="191"/>
      <c r="V7705" s="191">
        <f>+Table1[[#This Row],[SUBTOTAL]]+Table1[[#This Row],[IVA]]-Table1[[#This Row],[RET IVA]]-Table1[[#This Row],[RET ISR]]</f>
        <v>0</v>
      </c>
      <c r="W7705" s="185"/>
      <c r="X7705" s="186"/>
      <c r="Y7705" s="187"/>
      <c r="Z7705" s="204">
        <f>+Table1[[#This Row],[CONCEPTO]]+Table1[[#This Row],[TIPO2]]-Table1[[#This Row],[IVA]]-Table1[[#This Row],[OTROS IMPUESTOS]]-Table1[[#This Row],[RET IVA]]</f>
        <v>0</v>
      </c>
      <c r="AB7705" t="str">
        <f>IF(Table1[[#This Row],[TIPO2]]="costo", VLOOKUP(Table1[[#This Row],[PARTIDA PRESUPUESTAL]],'Cost Report'!G:G,1,0),"Balance")</f>
        <v>Balance</v>
      </c>
      <c r="AD7705" s="159">
        <f>+Table1[[#This Row],[SUBTOTAL]]+Table1[[#This Row],[IVA]]-Table1[[#This Row],[RET IVA]]-Table1[[#This Row],[RET ISR]]-Table1[[#This Row],[TOTAL]]</f>
        <v>0</v>
      </c>
    </row>
    <row r="7706" spans="1:30">
      <c r="A7706" s="172"/>
      <c r="B7706" s="178"/>
      <c r="C7706" s="179"/>
      <c r="D7706" s="180"/>
      <c r="E7706" s="125"/>
      <c r="F7706" s="178"/>
      <c r="G7706" s="178"/>
      <c r="H7706" s="178"/>
      <c r="I7706" s="178"/>
      <c r="J7706" s="178"/>
      <c r="K7706" s="178"/>
      <c r="L7706" s="125"/>
      <c r="M7706" s="125"/>
      <c r="N7706" s="182"/>
      <c r="O7706" s="177"/>
      <c r="P7706" s="176"/>
      <c r="Q7706" s="176"/>
      <c r="R7706" s="176"/>
      <c r="S7706" s="176"/>
      <c r="T7706" s="190"/>
      <c r="U7706" s="191"/>
      <c r="V7706" s="191">
        <f>+Table1[[#This Row],[SUBTOTAL]]+Table1[[#This Row],[IVA]]-Table1[[#This Row],[RET IVA]]-Table1[[#This Row],[RET ISR]]</f>
        <v>0</v>
      </c>
      <c r="W7706" s="185"/>
      <c r="X7706" s="186"/>
      <c r="Y7706" s="187"/>
      <c r="Z7706" s="204">
        <f>+Table1[[#This Row],[CONCEPTO]]+Table1[[#This Row],[TIPO2]]-Table1[[#This Row],[IVA]]-Table1[[#This Row],[OTROS IMPUESTOS]]-Table1[[#This Row],[RET IVA]]</f>
        <v>0</v>
      </c>
      <c r="AB7706" t="str">
        <f>IF(Table1[[#This Row],[TIPO2]]="costo", VLOOKUP(Table1[[#This Row],[PARTIDA PRESUPUESTAL]],'Cost Report'!G:G,1,0),"Balance")</f>
        <v>Balance</v>
      </c>
      <c r="AD7706" s="159">
        <f>+Table1[[#This Row],[SUBTOTAL]]+Table1[[#This Row],[IVA]]-Table1[[#This Row],[RET IVA]]-Table1[[#This Row],[RET ISR]]-Table1[[#This Row],[TOTAL]]</f>
        <v>0</v>
      </c>
    </row>
    <row r="7707" spans="1:30">
      <c r="A7707" s="172"/>
      <c r="B7707" s="178"/>
      <c r="C7707" s="179"/>
      <c r="D7707" s="180"/>
      <c r="E7707" s="125"/>
      <c r="F7707" s="178"/>
      <c r="G7707" s="178"/>
      <c r="H7707" s="178"/>
      <c r="I7707" s="178"/>
      <c r="J7707" s="178"/>
      <c r="K7707" s="178"/>
      <c r="L7707" s="125"/>
      <c r="M7707" s="125"/>
      <c r="N7707" s="182"/>
      <c r="O7707" s="177"/>
      <c r="P7707" s="176"/>
      <c r="Q7707" s="176"/>
      <c r="R7707" s="176"/>
      <c r="S7707" s="176"/>
      <c r="T7707" s="190"/>
      <c r="U7707" s="191"/>
      <c r="V7707" s="191">
        <f>+Table1[[#This Row],[SUBTOTAL]]+Table1[[#This Row],[IVA]]-Table1[[#This Row],[RET IVA]]-Table1[[#This Row],[RET ISR]]</f>
        <v>0</v>
      </c>
      <c r="W7707" s="185"/>
      <c r="X7707" s="186"/>
      <c r="Y7707" s="187"/>
      <c r="Z7707" s="204">
        <f>+Table1[[#This Row],[CONCEPTO]]+Table1[[#This Row],[TIPO2]]-Table1[[#This Row],[IVA]]-Table1[[#This Row],[OTROS IMPUESTOS]]-Table1[[#This Row],[RET IVA]]</f>
        <v>0</v>
      </c>
      <c r="AB7707" t="str">
        <f>IF(Table1[[#This Row],[TIPO2]]="costo", VLOOKUP(Table1[[#This Row],[PARTIDA PRESUPUESTAL]],'Cost Report'!G:G,1,0),"Balance")</f>
        <v>Balance</v>
      </c>
      <c r="AD7707" s="159">
        <f>+Table1[[#This Row],[SUBTOTAL]]+Table1[[#This Row],[IVA]]-Table1[[#This Row],[RET IVA]]-Table1[[#This Row],[RET ISR]]-Table1[[#This Row],[TOTAL]]</f>
        <v>0</v>
      </c>
    </row>
    <row r="7708" spans="1:30">
      <c r="A7708" s="172"/>
      <c r="B7708" s="178"/>
      <c r="C7708" s="179"/>
      <c r="D7708" s="180"/>
      <c r="E7708" s="125"/>
      <c r="F7708" s="178"/>
      <c r="G7708" s="178"/>
      <c r="H7708" s="178"/>
      <c r="I7708" s="178"/>
      <c r="J7708" s="178"/>
      <c r="K7708" s="178"/>
      <c r="L7708" s="125"/>
      <c r="M7708" s="125"/>
      <c r="N7708" s="182"/>
      <c r="O7708" s="177"/>
      <c r="P7708" s="176"/>
      <c r="Q7708" s="176"/>
      <c r="R7708" s="176"/>
      <c r="S7708" s="176"/>
      <c r="T7708" s="190"/>
      <c r="U7708" s="191"/>
      <c r="V7708" s="191">
        <f>+Table1[[#This Row],[SUBTOTAL]]+Table1[[#This Row],[IVA]]-Table1[[#This Row],[RET IVA]]-Table1[[#This Row],[RET ISR]]</f>
        <v>0</v>
      </c>
      <c r="W7708" s="185"/>
      <c r="X7708" s="186"/>
      <c r="Y7708" s="187"/>
      <c r="Z7708" s="204">
        <f>+Table1[[#This Row],[CONCEPTO]]+Table1[[#This Row],[TIPO2]]-Table1[[#This Row],[IVA]]-Table1[[#This Row],[OTROS IMPUESTOS]]-Table1[[#This Row],[RET IVA]]</f>
        <v>0</v>
      </c>
      <c r="AB7708" t="str">
        <f>IF(Table1[[#This Row],[TIPO2]]="costo", VLOOKUP(Table1[[#This Row],[PARTIDA PRESUPUESTAL]],'Cost Report'!G:G,1,0),"Balance")</f>
        <v>Balance</v>
      </c>
      <c r="AD7708" s="159">
        <f>+Table1[[#This Row],[SUBTOTAL]]+Table1[[#This Row],[IVA]]-Table1[[#This Row],[RET IVA]]-Table1[[#This Row],[RET ISR]]-Table1[[#This Row],[TOTAL]]</f>
        <v>0</v>
      </c>
    </row>
    <row r="7709" spans="1:30">
      <c r="A7709" s="172"/>
      <c r="B7709" s="178"/>
      <c r="C7709" s="179"/>
      <c r="D7709" s="180"/>
      <c r="E7709" s="125"/>
      <c r="F7709" s="178"/>
      <c r="G7709" s="178"/>
      <c r="H7709" s="178"/>
      <c r="I7709" s="178"/>
      <c r="J7709" s="178"/>
      <c r="K7709" s="178"/>
      <c r="L7709" s="125"/>
      <c r="M7709" s="125"/>
      <c r="N7709" s="182"/>
      <c r="O7709" s="177"/>
      <c r="P7709" s="176"/>
      <c r="Q7709" s="176"/>
      <c r="R7709" s="176"/>
      <c r="S7709" s="176"/>
      <c r="T7709" s="190"/>
      <c r="U7709" s="191"/>
      <c r="V7709" s="191">
        <f>+Table1[[#This Row],[SUBTOTAL]]+Table1[[#This Row],[IVA]]-Table1[[#This Row],[RET IVA]]-Table1[[#This Row],[RET ISR]]</f>
        <v>0</v>
      </c>
      <c r="W7709" s="185"/>
      <c r="X7709" s="186"/>
      <c r="Y7709" s="187"/>
      <c r="Z7709" s="204">
        <f>+Table1[[#This Row],[CONCEPTO]]+Table1[[#This Row],[TIPO2]]-Table1[[#This Row],[IVA]]-Table1[[#This Row],[OTROS IMPUESTOS]]-Table1[[#This Row],[RET IVA]]</f>
        <v>0</v>
      </c>
      <c r="AB7709" t="str">
        <f>IF(Table1[[#This Row],[TIPO2]]="costo", VLOOKUP(Table1[[#This Row],[PARTIDA PRESUPUESTAL]],'Cost Report'!G:G,1,0),"Balance")</f>
        <v>Balance</v>
      </c>
      <c r="AD7709" s="159">
        <f>+Table1[[#This Row],[SUBTOTAL]]+Table1[[#This Row],[IVA]]-Table1[[#This Row],[RET IVA]]-Table1[[#This Row],[RET ISR]]-Table1[[#This Row],[TOTAL]]</f>
        <v>0</v>
      </c>
    </row>
    <row r="7710" spans="1:30">
      <c r="A7710" s="172"/>
      <c r="B7710" s="178"/>
      <c r="C7710" s="179"/>
      <c r="D7710" s="180"/>
      <c r="E7710" s="125"/>
      <c r="F7710" s="178"/>
      <c r="G7710" s="178"/>
      <c r="H7710" s="178"/>
      <c r="I7710" s="178"/>
      <c r="J7710" s="178"/>
      <c r="K7710" s="178"/>
      <c r="L7710" s="125"/>
      <c r="M7710" s="125"/>
      <c r="N7710" s="182"/>
      <c r="O7710" s="177"/>
      <c r="P7710" s="176"/>
      <c r="Q7710" s="176"/>
      <c r="R7710" s="176"/>
      <c r="S7710" s="176"/>
      <c r="T7710" s="190"/>
      <c r="U7710" s="191"/>
      <c r="V7710" s="191">
        <f>+Table1[[#This Row],[SUBTOTAL]]+Table1[[#This Row],[IVA]]-Table1[[#This Row],[RET IVA]]-Table1[[#This Row],[RET ISR]]</f>
        <v>0</v>
      </c>
      <c r="W7710" s="185"/>
      <c r="X7710" s="186"/>
      <c r="Y7710" s="187"/>
      <c r="Z7710" s="204">
        <f>+Table1[[#This Row],[CONCEPTO]]+Table1[[#This Row],[TIPO2]]-Table1[[#This Row],[IVA]]-Table1[[#This Row],[OTROS IMPUESTOS]]-Table1[[#This Row],[RET IVA]]</f>
        <v>0</v>
      </c>
      <c r="AB7710" t="str">
        <f>IF(Table1[[#This Row],[TIPO2]]="costo", VLOOKUP(Table1[[#This Row],[PARTIDA PRESUPUESTAL]],'Cost Report'!G:G,1,0),"Balance")</f>
        <v>Balance</v>
      </c>
      <c r="AD7710" s="159">
        <f>+Table1[[#This Row],[SUBTOTAL]]+Table1[[#This Row],[IVA]]-Table1[[#This Row],[RET IVA]]-Table1[[#This Row],[RET ISR]]-Table1[[#This Row],[TOTAL]]</f>
        <v>0</v>
      </c>
    </row>
    <row r="7711" spans="1:30">
      <c r="A7711" s="172"/>
      <c r="B7711" s="178"/>
      <c r="C7711" s="179"/>
      <c r="D7711" s="180"/>
      <c r="E7711" s="125"/>
      <c r="F7711" s="178"/>
      <c r="G7711" s="178"/>
      <c r="H7711" s="178"/>
      <c r="I7711" s="178"/>
      <c r="J7711" s="178"/>
      <c r="K7711" s="178"/>
      <c r="L7711" s="125"/>
      <c r="M7711" s="125"/>
      <c r="N7711" s="182"/>
      <c r="O7711" s="177"/>
      <c r="P7711" s="176"/>
      <c r="Q7711" s="176"/>
      <c r="R7711" s="176"/>
      <c r="S7711" s="176"/>
      <c r="T7711" s="190"/>
      <c r="U7711" s="191"/>
      <c r="V7711" s="191">
        <f>+Table1[[#This Row],[SUBTOTAL]]+Table1[[#This Row],[IVA]]-Table1[[#This Row],[RET IVA]]-Table1[[#This Row],[RET ISR]]</f>
        <v>0</v>
      </c>
      <c r="W7711" s="185"/>
      <c r="X7711" s="186"/>
      <c r="Y7711" s="187"/>
      <c r="Z7711" s="204">
        <f>+Table1[[#This Row],[CONCEPTO]]+Table1[[#This Row],[TIPO2]]-Table1[[#This Row],[IVA]]-Table1[[#This Row],[OTROS IMPUESTOS]]-Table1[[#This Row],[RET IVA]]</f>
        <v>0</v>
      </c>
      <c r="AB7711" t="str">
        <f>IF(Table1[[#This Row],[TIPO2]]="costo", VLOOKUP(Table1[[#This Row],[PARTIDA PRESUPUESTAL]],'Cost Report'!G:G,1,0),"Balance")</f>
        <v>Balance</v>
      </c>
      <c r="AD7711" s="159">
        <f>+Table1[[#This Row],[SUBTOTAL]]+Table1[[#This Row],[IVA]]-Table1[[#This Row],[RET IVA]]-Table1[[#This Row],[RET ISR]]-Table1[[#This Row],[TOTAL]]</f>
        <v>0</v>
      </c>
    </row>
    <row r="7712" spans="1:30">
      <c r="A7712" s="172"/>
      <c r="B7712" s="178"/>
      <c r="C7712" s="179"/>
      <c r="D7712" s="180"/>
      <c r="E7712" s="125"/>
      <c r="F7712" s="178"/>
      <c r="G7712" s="178"/>
      <c r="H7712" s="178"/>
      <c r="I7712" s="178"/>
      <c r="J7712" s="178"/>
      <c r="K7712" s="178"/>
      <c r="L7712" s="125"/>
      <c r="M7712" s="125"/>
      <c r="N7712" s="182"/>
      <c r="O7712" s="177"/>
      <c r="P7712" s="176"/>
      <c r="Q7712" s="176"/>
      <c r="R7712" s="176"/>
      <c r="S7712" s="176"/>
      <c r="T7712" s="190"/>
      <c r="U7712" s="191"/>
      <c r="V7712" s="191">
        <f>+Table1[[#This Row],[SUBTOTAL]]+Table1[[#This Row],[IVA]]-Table1[[#This Row],[RET IVA]]-Table1[[#This Row],[RET ISR]]</f>
        <v>0</v>
      </c>
      <c r="W7712" s="185"/>
      <c r="X7712" s="186"/>
      <c r="Y7712" s="187"/>
      <c r="Z7712" s="204">
        <f>+Table1[[#This Row],[CONCEPTO]]+Table1[[#This Row],[TIPO2]]-Table1[[#This Row],[IVA]]-Table1[[#This Row],[OTROS IMPUESTOS]]-Table1[[#This Row],[RET IVA]]</f>
        <v>0</v>
      </c>
      <c r="AB7712" t="str">
        <f>IF(Table1[[#This Row],[TIPO2]]="costo", VLOOKUP(Table1[[#This Row],[PARTIDA PRESUPUESTAL]],'Cost Report'!G:G,1,0),"Balance")</f>
        <v>Balance</v>
      </c>
      <c r="AD7712" s="159">
        <f>+Table1[[#This Row],[SUBTOTAL]]+Table1[[#This Row],[IVA]]-Table1[[#This Row],[RET IVA]]-Table1[[#This Row],[RET ISR]]-Table1[[#This Row],[TOTAL]]</f>
        <v>0</v>
      </c>
    </row>
    <row r="7713" spans="1:30">
      <c r="A7713" s="172"/>
      <c r="B7713" s="178"/>
      <c r="C7713" s="179"/>
      <c r="D7713" s="180"/>
      <c r="E7713" s="125"/>
      <c r="F7713" s="178"/>
      <c r="G7713" s="178"/>
      <c r="H7713" s="178"/>
      <c r="I7713" s="178"/>
      <c r="J7713" s="178"/>
      <c r="K7713" s="178"/>
      <c r="L7713" s="125"/>
      <c r="M7713" s="125"/>
      <c r="N7713" s="182"/>
      <c r="O7713" s="177"/>
      <c r="P7713" s="176"/>
      <c r="Q7713" s="176"/>
      <c r="R7713" s="176"/>
      <c r="S7713" s="176"/>
      <c r="T7713" s="190"/>
      <c r="U7713" s="191"/>
      <c r="V7713" s="191">
        <f>+Table1[[#This Row],[SUBTOTAL]]+Table1[[#This Row],[IVA]]-Table1[[#This Row],[RET IVA]]-Table1[[#This Row],[RET ISR]]</f>
        <v>0</v>
      </c>
      <c r="W7713" s="185"/>
      <c r="X7713" s="186"/>
      <c r="Y7713" s="187"/>
      <c r="Z7713" s="204">
        <f>+Table1[[#This Row],[CONCEPTO]]+Table1[[#This Row],[TIPO2]]-Table1[[#This Row],[IVA]]-Table1[[#This Row],[OTROS IMPUESTOS]]-Table1[[#This Row],[RET IVA]]</f>
        <v>0</v>
      </c>
      <c r="AB7713" t="str">
        <f>IF(Table1[[#This Row],[TIPO2]]="costo", VLOOKUP(Table1[[#This Row],[PARTIDA PRESUPUESTAL]],'Cost Report'!G:G,1,0),"Balance")</f>
        <v>Balance</v>
      </c>
      <c r="AD7713" s="159">
        <f>+Table1[[#This Row],[SUBTOTAL]]+Table1[[#This Row],[IVA]]-Table1[[#This Row],[RET IVA]]-Table1[[#This Row],[RET ISR]]-Table1[[#This Row],[TOTAL]]</f>
        <v>0</v>
      </c>
    </row>
    <row r="7714" spans="1:30">
      <c r="A7714" s="172"/>
      <c r="B7714" s="178"/>
      <c r="C7714" s="179"/>
      <c r="D7714" s="180"/>
      <c r="E7714" s="125"/>
      <c r="F7714" s="178"/>
      <c r="G7714" s="178"/>
      <c r="H7714" s="178"/>
      <c r="I7714" s="178"/>
      <c r="J7714" s="178"/>
      <c r="K7714" s="178"/>
      <c r="L7714" s="125"/>
      <c r="M7714" s="125"/>
      <c r="N7714" s="182"/>
      <c r="O7714" s="177"/>
      <c r="P7714" s="176"/>
      <c r="Q7714" s="176"/>
      <c r="R7714" s="176"/>
      <c r="S7714" s="176"/>
      <c r="T7714" s="190"/>
      <c r="U7714" s="191"/>
      <c r="V7714" s="191">
        <f>+Table1[[#This Row],[SUBTOTAL]]+Table1[[#This Row],[IVA]]-Table1[[#This Row],[RET IVA]]-Table1[[#This Row],[RET ISR]]</f>
        <v>0</v>
      </c>
      <c r="W7714" s="185"/>
      <c r="X7714" s="186"/>
      <c r="Y7714" s="187"/>
      <c r="Z7714" s="204">
        <f>+Table1[[#This Row],[CONCEPTO]]+Table1[[#This Row],[TIPO2]]-Table1[[#This Row],[IVA]]-Table1[[#This Row],[OTROS IMPUESTOS]]-Table1[[#This Row],[RET IVA]]</f>
        <v>0</v>
      </c>
      <c r="AB7714" t="str">
        <f>IF(Table1[[#This Row],[TIPO2]]="costo", VLOOKUP(Table1[[#This Row],[PARTIDA PRESUPUESTAL]],'Cost Report'!G:G,1,0),"Balance")</f>
        <v>Balance</v>
      </c>
      <c r="AD7714" s="159">
        <f>+Table1[[#This Row],[SUBTOTAL]]+Table1[[#This Row],[IVA]]-Table1[[#This Row],[RET IVA]]-Table1[[#This Row],[RET ISR]]-Table1[[#This Row],[TOTAL]]</f>
        <v>0</v>
      </c>
    </row>
    <row r="7715" spans="1:30">
      <c r="A7715" s="172"/>
      <c r="B7715" s="178"/>
      <c r="C7715" s="179"/>
      <c r="D7715" s="180"/>
      <c r="E7715" s="125"/>
      <c r="F7715" s="178"/>
      <c r="G7715" s="178"/>
      <c r="H7715" s="178"/>
      <c r="I7715" s="178"/>
      <c r="J7715" s="178"/>
      <c r="K7715" s="178"/>
      <c r="L7715" s="125"/>
      <c r="M7715" s="125"/>
      <c r="N7715" s="182"/>
      <c r="O7715" s="177"/>
      <c r="P7715" s="176"/>
      <c r="Q7715" s="176"/>
      <c r="R7715" s="176"/>
      <c r="S7715" s="176"/>
      <c r="T7715" s="190"/>
      <c r="U7715" s="191"/>
      <c r="V7715" s="191">
        <f>+Table1[[#This Row],[SUBTOTAL]]+Table1[[#This Row],[IVA]]-Table1[[#This Row],[RET IVA]]-Table1[[#This Row],[RET ISR]]</f>
        <v>0</v>
      </c>
      <c r="W7715" s="185"/>
      <c r="X7715" s="186"/>
      <c r="Y7715" s="187"/>
      <c r="Z7715" s="204">
        <f>+Table1[[#This Row],[CONCEPTO]]+Table1[[#This Row],[TIPO2]]-Table1[[#This Row],[IVA]]-Table1[[#This Row],[OTROS IMPUESTOS]]-Table1[[#This Row],[RET IVA]]</f>
        <v>0</v>
      </c>
      <c r="AB7715" t="str">
        <f>IF(Table1[[#This Row],[TIPO2]]="costo", VLOOKUP(Table1[[#This Row],[PARTIDA PRESUPUESTAL]],'Cost Report'!G:G,1,0),"Balance")</f>
        <v>Balance</v>
      </c>
      <c r="AD7715" s="159">
        <f>+Table1[[#This Row],[SUBTOTAL]]+Table1[[#This Row],[IVA]]-Table1[[#This Row],[RET IVA]]-Table1[[#This Row],[RET ISR]]-Table1[[#This Row],[TOTAL]]</f>
        <v>0</v>
      </c>
    </row>
    <row r="7716" spans="1:30">
      <c r="A7716" s="172"/>
      <c r="B7716" s="178"/>
      <c r="C7716" s="179"/>
      <c r="D7716" s="180"/>
      <c r="E7716" s="125"/>
      <c r="F7716" s="178"/>
      <c r="G7716" s="178"/>
      <c r="H7716" s="178"/>
      <c r="I7716" s="178"/>
      <c r="J7716" s="178"/>
      <c r="K7716" s="178"/>
      <c r="L7716" s="125"/>
      <c r="M7716" s="125"/>
      <c r="N7716" s="182"/>
      <c r="O7716" s="177"/>
      <c r="P7716" s="176"/>
      <c r="Q7716" s="176"/>
      <c r="R7716" s="176"/>
      <c r="S7716" s="176"/>
      <c r="T7716" s="190"/>
      <c r="U7716" s="191"/>
      <c r="V7716" s="191">
        <f>+Table1[[#This Row],[SUBTOTAL]]+Table1[[#This Row],[IVA]]-Table1[[#This Row],[RET IVA]]-Table1[[#This Row],[RET ISR]]</f>
        <v>0</v>
      </c>
      <c r="W7716" s="185"/>
      <c r="X7716" s="186"/>
      <c r="Y7716" s="187"/>
      <c r="Z7716" s="204">
        <f>+Table1[[#This Row],[CONCEPTO]]+Table1[[#This Row],[TIPO2]]-Table1[[#This Row],[IVA]]-Table1[[#This Row],[OTROS IMPUESTOS]]-Table1[[#This Row],[RET IVA]]</f>
        <v>0</v>
      </c>
      <c r="AB7716" t="str">
        <f>IF(Table1[[#This Row],[TIPO2]]="costo", VLOOKUP(Table1[[#This Row],[PARTIDA PRESUPUESTAL]],'Cost Report'!G:G,1,0),"Balance")</f>
        <v>Balance</v>
      </c>
      <c r="AD7716" s="159">
        <f>+Table1[[#This Row],[SUBTOTAL]]+Table1[[#This Row],[IVA]]-Table1[[#This Row],[RET IVA]]-Table1[[#This Row],[RET ISR]]-Table1[[#This Row],[TOTAL]]</f>
        <v>0</v>
      </c>
    </row>
    <row r="7717" spans="1:30">
      <c r="A7717" s="172"/>
      <c r="B7717" s="178"/>
      <c r="C7717" s="179"/>
      <c r="D7717" s="180"/>
      <c r="E7717" s="125"/>
      <c r="F7717" s="178"/>
      <c r="G7717" s="178"/>
      <c r="H7717" s="178"/>
      <c r="I7717" s="178"/>
      <c r="J7717" s="178"/>
      <c r="K7717" s="178"/>
      <c r="L7717" s="125"/>
      <c r="M7717" s="125"/>
      <c r="N7717" s="182"/>
      <c r="O7717" s="177"/>
      <c r="P7717" s="176"/>
      <c r="Q7717" s="176"/>
      <c r="R7717" s="176"/>
      <c r="S7717" s="176"/>
      <c r="T7717" s="190"/>
      <c r="U7717" s="191"/>
      <c r="V7717" s="191">
        <f>+Table1[[#This Row],[SUBTOTAL]]+Table1[[#This Row],[IVA]]-Table1[[#This Row],[RET IVA]]-Table1[[#This Row],[RET ISR]]</f>
        <v>0</v>
      </c>
      <c r="W7717" s="185"/>
      <c r="X7717" s="186"/>
      <c r="Y7717" s="187"/>
      <c r="Z7717" s="204">
        <f>+Table1[[#This Row],[CONCEPTO]]+Table1[[#This Row],[TIPO2]]-Table1[[#This Row],[IVA]]-Table1[[#This Row],[OTROS IMPUESTOS]]-Table1[[#This Row],[RET IVA]]</f>
        <v>0</v>
      </c>
      <c r="AB7717" t="str">
        <f>IF(Table1[[#This Row],[TIPO2]]="costo", VLOOKUP(Table1[[#This Row],[PARTIDA PRESUPUESTAL]],'Cost Report'!G:G,1,0),"Balance")</f>
        <v>Balance</v>
      </c>
      <c r="AD7717" s="159">
        <f>+Table1[[#This Row],[SUBTOTAL]]+Table1[[#This Row],[IVA]]-Table1[[#This Row],[RET IVA]]-Table1[[#This Row],[RET ISR]]-Table1[[#This Row],[TOTAL]]</f>
        <v>0</v>
      </c>
    </row>
    <row r="7718" spans="1:30">
      <c r="A7718" s="172"/>
      <c r="B7718" s="178"/>
      <c r="C7718" s="179"/>
      <c r="D7718" s="180"/>
      <c r="E7718" s="125"/>
      <c r="F7718" s="178"/>
      <c r="G7718" s="178"/>
      <c r="H7718" s="178"/>
      <c r="I7718" s="178"/>
      <c r="J7718" s="178"/>
      <c r="K7718" s="178"/>
      <c r="L7718" s="125"/>
      <c r="M7718" s="125"/>
      <c r="N7718" s="182"/>
      <c r="O7718" s="177"/>
      <c r="P7718" s="176"/>
      <c r="Q7718" s="176"/>
      <c r="R7718" s="176"/>
      <c r="S7718" s="176"/>
      <c r="T7718" s="190"/>
      <c r="U7718" s="191"/>
      <c r="V7718" s="191">
        <f>+Table1[[#This Row],[SUBTOTAL]]+Table1[[#This Row],[IVA]]-Table1[[#This Row],[RET IVA]]-Table1[[#This Row],[RET ISR]]</f>
        <v>0</v>
      </c>
      <c r="W7718" s="185"/>
      <c r="X7718" s="186"/>
      <c r="Y7718" s="187"/>
      <c r="Z7718" s="204">
        <f>+Table1[[#This Row],[CONCEPTO]]+Table1[[#This Row],[TIPO2]]-Table1[[#This Row],[IVA]]-Table1[[#This Row],[OTROS IMPUESTOS]]-Table1[[#This Row],[RET IVA]]</f>
        <v>0</v>
      </c>
      <c r="AB7718" t="str">
        <f>IF(Table1[[#This Row],[TIPO2]]="costo", VLOOKUP(Table1[[#This Row],[PARTIDA PRESUPUESTAL]],'Cost Report'!G:G,1,0),"Balance")</f>
        <v>Balance</v>
      </c>
      <c r="AD7718" s="159">
        <f>+Table1[[#This Row],[SUBTOTAL]]+Table1[[#This Row],[IVA]]-Table1[[#This Row],[RET IVA]]-Table1[[#This Row],[RET ISR]]-Table1[[#This Row],[TOTAL]]</f>
        <v>0</v>
      </c>
    </row>
    <row r="7719" spans="1:30">
      <c r="A7719" s="172"/>
      <c r="B7719" s="178"/>
      <c r="C7719" s="179"/>
      <c r="D7719" s="180"/>
      <c r="E7719" s="125"/>
      <c r="F7719" s="178"/>
      <c r="G7719" s="178"/>
      <c r="H7719" s="178"/>
      <c r="I7719" s="178"/>
      <c r="J7719" s="178"/>
      <c r="K7719" s="178"/>
      <c r="L7719" s="125"/>
      <c r="M7719" s="125"/>
      <c r="N7719" s="182"/>
      <c r="O7719" s="177"/>
      <c r="P7719" s="176"/>
      <c r="Q7719" s="176"/>
      <c r="R7719" s="176"/>
      <c r="S7719" s="176"/>
      <c r="T7719" s="190"/>
      <c r="U7719" s="191"/>
      <c r="V7719" s="191">
        <f>+Table1[[#This Row],[SUBTOTAL]]+Table1[[#This Row],[IVA]]-Table1[[#This Row],[RET IVA]]-Table1[[#This Row],[RET ISR]]</f>
        <v>0</v>
      </c>
      <c r="W7719" s="185"/>
      <c r="X7719" s="186"/>
      <c r="Y7719" s="187"/>
      <c r="Z7719" s="204">
        <f>+Table1[[#This Row],[CONCEPTO]]+Table1[[#This Row],[TIPO2]]-Table1[[#This Row],[IVA]]-Table1[[#This Row],[OTROS IMPUESTOS]]-Table1[[#This Row],[RET IVA]]</f>
        <v>0</v>
      </c>
      <c r="AB7719" t="str">
        <f>IF(Table1[[#This Row],[TIPO2]]="costo", VLOOKUP(Table1[[#This Row],[PARTIDA PRESUPUESTAL]],'Cost Report'!G:G,1,0),"Balance")</f>
        <v>Balance</v>
      </c>
      <c r="AD7719" s="159">
        <f>+Table1[[#This Row],[SUBTOTAL]]+Table1[[#This Row],[IVA]]-Table1[[#This Row],[RET IVA]]-Table1[[#This Row],[RET ISR]]-Table1[[#This Row],[TOTAL]]</f>
        <v>0</v>
      </c>
    </row>
    <row r="7720" spans="1:30">
      <c r="A7720" s="172"/>
      <c r="B7720" s="178"/>
      <c r="C7720" s="179"/>
      <c r="D7720" s="180"/>
      <c r="E7720" s="125"/>
      <c r="F7720" s="178"/>
      <c r="G7720" s="178"/>
      <c r="H7720" s="178"/>
      <c r="I7720" s="178"/>
      <c r="J7720" s="178"/>
      <c r="K7720" s="178"/>
      <c r="L7720" s="125"/>
      <c r="M7720" s="125"/>
      <c r="N7720" s="182"/>
      <c r="O7720" s="177"/>
      <c r="P7720" s="176"/>
      <c r="Q7720" s="176"/>
      <c r="R7720" s="176"/>
      <c r="S7720" s="176"/>
      <c r="T7720" s="190"/>
      <c r="U7720" s="191"/>
      <c r="V7720" s="191">
        <f>+Table1[[#This Row],[SUBTOTAL]]+Table1[[#This Row],[IVA]]-Table1[[#This Row],[RET IVA]]-Table1[[#This Row],[RET ISR]]</f>
        <v>0</v>
      </c>
      <c r="W7720" s="185"/>
      <c r="X7720" s="186"/>
      <c r="Y7720" s="187"/>
      <c r="Z7720" s="204">
        <f>+Table1[[#This Row],[CONCEPTO]]+Table1[[#This Row],[TIPO2]]-Table1[[#This Row],[IVA]]-Table1[[#This Row],[OTROS IMPUESTOS]]-Table1[[#This Row],[RET IVA]]</f>
        <v>0</v>
      </c>
      <c r="AB7720" t="str">
        <f>IF(Table1[[#This Row],[TIPO2]]="costo", VLOOKUP(Table1[[#This Row],[PARTIDA PRESUPUESTAL]],'Cost Report'!G:G,1,0),"Balance")</f>
        <v>Balance</v>
      </c>
      <c r="AD7720" s="159">
        <f>+Table1[[#This Row],[SUBTOTAL]]+Table1[[#This Row],[IVA]]-Table1[[#This Row],[RET IVA]]-Table1[[#This Row],[RET ISR]]-Table1[[#This Row],[TOTAL]]</f>
        <v>0</v>
      </c>
    </row>
    <row r="7721" spans="1:30">
      <c r="A7721" s="172"/>
      <c r="B7721" s="178"/>
      <c r="C7721" s="179"/>
      <c r="D7721" s="180"/>
      <c r="E7721" s="125"/>
      <c r="F7721" s="178"/>
      <c r="G7721" s="178"/>
      <c r="H7721" s="178"/>
      <c r="I7721" s="178"/>
      <c r="J7721" s="178"/>
      <c r="K7721" s="178"/>
      <c r="L7721" s="125"/>
      <c r="M7721" s="125"/>
      <c r="N7721" s="182"/>
      <c r="O7721" s="177"/>
      <c r="P7721" s="176"/>
      <c r="Q7721" s="176"/>
      <c r="R7721" s="176"/>
      <c r="S7721" s="176"/>
      <c r="T7721" s="190"/>
      <c r="U7721" s="191"/>
      <c r="V7721" s="191">
        <f>+Table1[[#This Row],[SUBTOTAL]]+Table1[[#This Row],[IVA]]-Table1[[#This Row],[RET IVA]]-Table1[[#This Row],[RET ISR]]</f>
        <v>0</v>
      </c>
      <c r="W7721" s="185"/>
      <c r="X7721" s="186"/>
      <c r="Y7721" s="187"/>
      <c r="Z7721" s="204">
        <f>+Table1[[#This Row],[CONCEPTO]]+Table1[[#This Row],[TIPO2]]-Table1[[#This Row],[IVA]]-Table1[[#This Row],[OTROS IMPUESTOS]]-Table1[[#This Row],[RET IVA]]</f>
        <v>0</v>
      </c>
      <c r="AB7721" t="str">
        <f>IF(Table1[[#This Row],[TIPO2]]="costo", VLOOKUP(Table1[[#This Row],[PARTIDA PRESUPUESTAL]],'Cost Report'!G:G,1,0),"Balance")</f>
        <v>Balance</v>
      </c>
      <c r="AD7721" s="159">
        <f>+Table1[[#This Row],[SUBTOTAL]]+Table1[[#This Row],[IVA]]-Table1[[#This Row],[RET IVA]]-Table1[[#This Row],[RET ISR]]-Table1[[#This Row],[TOTAL]]</f>
        <v>0</v>
      </c>
    </row>
    <row r="7722" spans="1:30">
      <c r="A7722" s="172"/>
      <c r="B7722" s="178"/>
      <c r="C7722" s="179"/>
      <c r="D7722" s="180"/>
      <c r="E7722" s="125"/>
      <c r="F7722" s="178"/>
      <c r="G7722" s="178"/>
      <c r="H7722" s="178"/>
      <c r="I7722" s="178"/>
      <c r="J7722" s="178"/>
      <c r="K7722" s="178"/>
      <c r="L7722" s="125"/>
      <c r="M7722" s="125"/>
      <c r="N7722" s="182"/>
      <c r="O7722" s="177"/>
      <c r="P7722" s="176"/>
      <c r="Q7722" s="176"/>
      <c r="R7722" s="176"/>
      <c r="S7722" s="176"/>
      <c r="T7722" s="190"/>
      <c r="U7722" s="191"/>
      <c r="V7722" s="191">
        <f>+Table1[[#This Row],[SUBTOTAL]]+Table1[[#This Row],[IVA]]-Table1[[#This Row],[RET IVA]]-Table1[[#This Row],[RET ISR]]</f>
        <v>0</v>
      </c>
      <c r="W7722" s="185"/>
      <c r="X7722" s="186"/>
      <c r="Y7722" s="187"/>
      <c r="Z7722" s="204">
        <f>+Table1[[#This Row],[CONCEPTO]]+Table1[[#This Row],[TIPO2]]-Table1[[#This Row],[IVA]]-Table1[[#This Row],[OTROS IMPUESTOS]]-Table1[[#This Row],[RET IVA]]</f>
        <v>0</v>
      </c>
      <c r="AB7722" t="str">
        <f>IF(Table1[[#This Row],[TIPO2]]="costo", VLOOKUP(Table1[[#This Row],[PARTIDA PRESUPUESTAL]],'Cost Report'!G:G,1,0),"Balance")</f>
        <v>Balance</v>
      </c>
      <c r="AD7722" s="159">
        <f>+Table1[[#This Row],[SUBTOTAL]]+Table1[[#This Row],[IVA]]-Table1[[#This Row],[RET IVA]]-Table1[[#This Row],[RET ISR]]-Table1[[#This Row],[TOTAL]]</f>
        <v>0</v>
      </c>
    </row>
    <row r="7723" spans="1:30">
      <c r="A7723" s="172"/>
      <c r="B7723" s="178"/>
      <c r="C7723" s="179"/>
      <c r="D7723" s="180"/>
      <c r="E7723" s="125"/>
      <c r="F7723" s="178"/>
      <c r="G7723" s="178"/>
      <c r="H7723" s="178"/>
      <c r="I7723" s="178"/>
      <c r="J7723" s="178"/>
      <c r="K7723" s="178"/>
      <c r="L7723" s="125"/>
      <c r="M7723" s="125"/>
      <c r="N7723" s="182"/>
      <c r="O7723" s="177"/>
      <c r="P7723" s="176"/>
      <c r="Q7723" s="176"/>
      <c r="R7723" s="176"/>
      <c r="S7723" s="176"/>
      <c r="T7723" s="190"/>
      <c r="U7723" s="191"/>
      <c r="V7723" s="191">
        <f>+Table1[[#This Row],[SUBTOTAL]]+Table1[[#This Row],[IVA]]-Table1[[#This Row],[RET IVA]]-Table1[[#This Row],[RET ISR]]</f>
        <v>0</v>
      </c>
      <c r="W7723" s="185"/>
      <c r="X7723" s="186"/>
      <c r="Y7723" s="187"/>
      <c r="Z7723" s="204">
        <f>+Table1[[#This Row],[CONCEPTO]]+Table1[[#This Row],[TIPO2]]-Table1[[#This Row],[IVA]]-Table1[[#This Row],[OTROS IMPUESTOS]]-Table1[[#This Row],[RET IVA]]</f>
        <v>0</v>
      </c>
      <c r="AB7723" t="str">
        <f>IF(Table1[[#This Row],[TIPO2]]="costo", VLOOKUP(Table1[[#This Row],[PARTIDA PRESUPUESTAL]],'Cost Report'!G:G,1,0),"Balance")</f>
        <v>Balance</v>
      </c>
      <c r="AD7723" s="159">
        <f>+Table1[[#This Row],[SUBTOTAL]]+Table1[[#This Row],[IVA]]-Table1[[#This Row],[RET IVA]]-Table1[[#This Row],[RET ISR]]-Table1[[#This Row],[TOTAL]]</f>
        <v>0</v>
      </c>
    </row>
    <row r="7724" spans="1:30">
      <c r="A7724" s="172"/>
      <c r="B7724" s="178"/>
      <c r="C7724" s="179"/>
      <c r="D7724" s="180"/>
      <c r="E7724" s="125"/>
      <c r="F7724" s="178"/>
      <c r="G7724" s="178"/>
      <c r="H7724" s="178"/>
      <c r="I7724" s="178"/>
      <c r="J7724" s="178"/>
      <c r="K7724" s="178"/>
      <c r="L7724" s="125"/>
      <c r="M7724" s="125"/>
      <c r="N7724" s="182"/>
      <c r="O7724" s="177"/>
      <c r="P7724" s="176"/>
      <c r="Q7724" s="176"/>
      <c r="R7724" s="176"/>
      <c r="S7724" s="176"/>
      <c r="T7724" s="190"/>
      <c r="U7724" s="191"/>
      <c r="V7724" s="191">
        <f>+Table1[[#This Row],[SUBTOTAL]]+Table1[[#This Row],[IVA]]-Table1[[#This Row],[RET IVA]]-Table1[[#This Row],[RET ISR]]</f>
        <v>0</v>
      </c>
      <c r="W7724" s="185"/>
      <c r="X7724" s="186"/>
      <c r="Y7724" s="187"/>
      <c r="Z7724" s="204">
        <f>+Table1[[#This Row],[CONCEPTO]]+Table1[[#This Row],[TIPO2]]-Table1[[#This Row],[IVA]]-Table1[[#This Row],[OTROS IMPUESTOS]]-Table1[[#This Row],[RET IVA]]</f>
        <v>0</v>
      </c>
      <c r="AB7724" t="str">
        <f>IF(Table1[[#This Row],[TIPO2]]="costo", VLOOKUP(Table1[[#This Row],[PARTIDA PRESUPUESTAL]],'Cost Report'!G:G,1,0),"Balance")</f>
        <v>Balance</v>
      </c>
      <c r="AD7724" s="159">
        <f>+Table1[[#This Row],[SUBTOTAL]]+Table1[[#This Row],[IVA]]-Table1[[#This Row],[RET IVA]]-Table1[[#This Row],[RET ISR]]-Table1[[#This Row],[TOTAL]]</f>
        <v>0</v>
      </c>
    </row>
    <row r="7725" spans="1:30">
      <c r="A7725" s="172"/>
      <c r="B7725" s="178"/>
      <c r="C7725" s="179"/>
      <c r="D7725" s="180"/>
      <c r="E7725" s="125"/>
      <c r="F7725" s="178"/>
      <c r="G7725" s="178"/>
      <c r="H7725" s="178"/>
      <c r="I7725" s="178"/>
      <c r="J7725" s="178"/>
      <c r="K7725" s="178"/>
      <c r="L7725" s="125"/>
      <c r="M7725" s="125"/>
      <c r="N7725" s="182"/>
      <c r="O7725" s="177"/>
      <c r="P7725" s="176"/>
      <c r="Q7725" s="176"/>
      <c r="R7725" s="176"/>
      <c r="S7725" s="176"/>
      <c r="T7725" s="190"/>
      <c r="U7725" s="191"/>
      <c r="V7725" s="191">
        <f>+Table1[[#This Row],[SUBTOTAL]]+Table1[[#This Row],[IVA]]-Table1[[#This Row],[RET IVA]]-Table1[[#This Row],[RET ISR]]</f>
        <v>0</v>
      </c>
      <c r="W7725" s="185"/>
      <c r="X7725" s="186"/>
      <c r="Y7725" s="187"/>
      <c r="Z7725" s="204">
        <f>+Table1[[#This Row],[CONCEPTO]]+Table1[[#This Row],[TIPO2]]-Table1[[#This Row],[IVA]]-Table1[[#This Row],[OTROS IMPUESTOS]]-Table1[[#This Row],[RET IVA]]</f>
        <v>0</v>
      </c>
      <c r="AB7725" t="str">
        <f>IF(Table1[[#This Row],[TIPO2]]="costo", VLOOKUP(Table1[[#This Row],[PARTIDA PRESUPUESTAL]],'Cost Report'!G:G,1,0),"Balance")</f>
        <v>Balance</v>
      </c>
      <c r="AD7725" s="159">
        <f>+Table1[[#This Row],[SUBTOTAL]]+Table1[[#This Row],[IVA]]-Table1[[#This Row],[RET IVA]]-Table1[[#This Row],[RET ISR]]-Table1[[#This Row],[TOTAL]]</f>
        <v>0</v>
      </c>
    </row>
    <row r="7726" spans="1:30">
      <c r="A7726" s="172"/>
      <c r="B7726" s="178"/>
      <c r="C7726" s="179"/>
      <c r="D7726" s="180"/>
      <c r="E7726" s="125"/>
      <c r="F7726" s="178"/>
      <c r="G7726" s="178"/>
      <c r="H7726" s="178"/>
      <c r="I7726" s="178"/>
      <c r="J7726" s="178"/>
      <c r="K7726" s="178"/>
      <c r="L7726" s="125"/>
      <c r="M7726" s="125"/>
      <c r="N7726" s="182"/>
      <c r="O7726" s="177"/>
      <c r="P7726" s="176"/>
      <c r="Q7726" s="176"/>
      <c r="R7726" s="176"/>
      <c r="S7726" s="176"/>
      <c r="T7726" s="190"/>
      <c r="U7726" s="191"/>
      <c r="V7726" s="191">
        <f>+Table1[[#This Row],[SUBTOTAL]]+Table1[[#This Row],[IVA]]-Table1[[#This Row],[RET IVA]]-Table1[[#This Row],[RET ISR]]</f>
        <v>0</v>
      </c>
      <c r="W7726" s="185"/>
      <c r="X7726" s="186"/>
      <c r="Y7726" s="187"/>
      <c r="Z7726" s="204">
        <f>+Table1[[#This Row],[CONCEPTO]]+Table1[[#This Row],[TIPO2]]-Table1[[#This Row],[IVA]]-Table1[[#This Row],[OTROS IMPUESTOS]]-Table1[[#This Row],[RET IVA]]</f>
        <v>0</v>
      </c>
      <c r="AB7726" t="str">
        <f>IF(Table1[[#This Row],[TIPO2]]="costo", VLOOKUP(Table1[[#This Row],[PARTIDA PRESUPUESTAL]],'Cost Report'!G:G,1,0),"Balance")</f>
        <v>Balance</v>
      </c>
      <c r="AD7726" s="159">
        <f>+Table1[[#This Row],[SUBTOTAL]]+Table1[[#This Row],[IVA]]-Table1[[#This Row],[RET IVA]]-Table1[[#This Row],[RET ISR]]-Table1[[#This Row],[TOTAL]]</f>
        <v>0</v>
      </c>
    </row>
    <row r="7727" spans="1:30">
      <c r="A7727" s="172"/>
      <c r="B7727" s="178"/>
      <c r="C7727" s="179"/>
      <c r="D7727" s="180"/>
      <c r="E7727" s="125"/>
      <c r="F7727" s="178"/>
      <c r="G7727" s="178"/>
      <c r="H7727" s="178"/>
      <c r="I7727" s="178"/>
      <c r="J7727" s="178"/>
      <c r="K7727" s="178"/>
      <c r="L7727" s="125"/>
      <c r="M7727" s="125"/>
      <c r="N7727" s="182"/>
      <c r="O7727" s="177"/>
      <c r="P7727" s="176"/>
      <c r="Q7727" s="176"/>
      <c r="R7727" s="176"/>
      <c r="S7727" s="176"/>
      <c r="T7727" s="190"/>
      <c r="U7727" s="191"/>
      <c r="V7727" s="191">
        <f>+Table1[[#This Row],[SUBTOTAL]]+Table1[[#This Row],[IVA]]-Table1[[#This Row],[RET IVA]]-Table1[[#This Row],[RET ISR]]</f>
        <v>0</v>
      </c>
      <c r="W7727" s="185"/>
      <c r="X7727" s="186"/>
      <c r="Y7727" s="187"/>
      <c r="Z7727" s="204">
        <f>+Table1[[#This Row],[CONCEPTO]]+Table1[[#This Row],[TIPO2]]-Table1[[#This Row],[IVA]]-Table1[[#This Row],[OTROS IMPUESTOS]]-Table1[[#This Row],[RET IVA]]</f>
        <v>0</v>
      </c>
      <c r="AB7727" t="str">
        <f>IF(Table1[[#This Row],[TIPO2]]="costo", VLOOKUP(Table1[[#This Row],[PARTIDA PRESUPUESTAL]],'Cost Report'!G:G,1,0),"Balance")</f>
        <v>Balance</v>
      </c>
      <c r="AD7727" s="159">
        <f>+Table1[[#This Row],[SUBTOTAL]]+Table1[[#This Row],[IVA]]-Table1[[#This Row],[RET IVA]]-Table1[[#This Row],[RET ISR]]-Table1[[#This Row],[TOTAL]]</f>
        <v>0</v>
      </c>
    </row>
    <row r="7728" spans="1:30">
      <c r="A7728" s="172"/>
      <c r="B7728" s="178"/>
      <c r="C7728" s="179"/>
      <c r="D7728" s="180"/>
      <c r="E7728" s="125"/>
      <c r="F7728" s="178"/>
      <c r="G7728" s="178"/>
      <c r="H7728" s="178"/>
      <c r="I7728" s="178"/>
      <c r="J7728" s="178"/>
      <c r="K7728" s="178"/>
      <c r="L7728" s="125"/>
      <c r="M7728" s="125"/>
      <c r="N7728" s="182"/>
      <c r="O7728" s="177"/>
      <c r="P7728" s="176"/>
      <c r="Q7728" s="176"/>
      <c r="R7728" s="176"/>
      <c r="S7728" s="176"/>
      <c r="T7728" s="190"/>
      <c r="U7728" s="191"/>
      <c r="V7728" s="191">
        <f>+Table1[[#This Row],[SUBTOTAL]]+Table1[[#This Row],[IVA]]-Table1[[#This Row],[RET IVA]]-Table1[[#This Row],[RET ISR]]</f>
        <v>0</v>
      </c>
      <c r="W7728" s="185"/>
      <c r="X7728" s="186"/>
      <c r="Y7728" s="187"/>
      <c r="Z7728" s="204">
        <f>+Table1[[#This Row],[CONCEPTO]]+Table1[[#This Row],[TIPO2]]-Table1[[#This Row],[IVA]]-Table1[[#This Row],[OTROS IMPUESTOS]]-Table1[[#This Row],[RET IVA]]</f>
        <v>0</v>
      </c>
      <c r="AB7728" t="str">
        <f>IF(Table1[[#This Row],[TIPO2]]="costo", VLOOKUP(Table1[[#This Row],[PARTIDA PRESUPUESTAL]],'Cost Report'!G:G,1,0),"Balance")</f>
        <v>Balance</v>
      </c>
      <c r="AD7728" s="159">
        <f>+Table1[[#This Row],[SUBTOTAL]]+Table1[[#This Row],[IVA]]-Table1[[#This Row],[RET IVA]]-Table1[[#This Row],[RET ISR]]-Table1[[#This Row],[TOTAL]]</f>
        <v>0</v>
      </c>
    </row>
    <row r="7729" spans="1:30">
      <c r="A7729" s="172"/>
      <c r="B7729" s="178"/>
      <c r="C7729" s="179"/>
      <c r="D7729" s="180"/>
      <c r="E7729" s="125"/>
      <c r="F7729" s="178"/>
      <c r="G7729" s="178"/>
      <c r="H7729" s="178"/>
      <c r="I7729" s="178"/>
      <c r="J7729" s="178"/>
      <c r="K7729" s="178"/>
      <c r="L7729" s="125"/>
      <c r="M7729" s="125"/>
      <c r="N7729" s="182"/>
      <c r="O7729" s="177"/>
      <c r="P7729" s="176"/>
      <c r="Q7729" s="176"/>
      <c r="R7729" s="176"/>
      <c r="S7729" s="176"/>
      <c r="T7729" s="190"/>
      <c r="U7729" s="191"/>
      <c r="V7729" s="191">
        <f>+Table1[[#This Row],[SUBTOTAL]]+Table1[[#This Row],[IVA]]-Table1[[#This Row],[RET IVA]]-Table1[[#This Row],[RET ISR]]</f>
        <v>0</v>
      </c>
      <c r="W7729" s="185"/>
      <c r="X7729" s="186"/>
      <c r="Y7729" s="187"/>
      <c r="Z7729" s="204">
        <f>+Table1[[#This Row],[CONCEPTO]]+Table1[[#This Row],[TIPO2]]-Table1[[#This Row],[IVA]]-Table1[[#This Row],[OTROS IMPUESTOS]]-Table1[[#This Row],[RET IVA]]</f>
        <v>0</v>
      </c>
      <c r="AB7729" t="str">
        <f>IF(Table1[[#This Row],[TIPO2]]="costo", VLOOKUP(Table1[[#This Row],[PARTIDA PRESUPUESTAL]],'Cost Report'!G:G,1,0),"Balance")</f>
        <v>Balance</v>
      </c>
      <c r="AD7729" s="159">
        <f>+Table1[[#This Row],[SUBTOTAL]]+Table1[[#This Row],[IVA]]-Table1[[#This Row],[RET IVA]]-Table1[[#This Row],[RET ISR]]-Table1[[#This Row],[TOTAL]]</f>
        <v>0</v>
      </c>
    </row>
    <row r="7730" spans="1:30">
      <c r="A7730" s="172"/>
      <c r="B7730" s="178"/>
      <c r="C7730" s="179"/>
      <c r="D7730" s="180"/>
      <c r="E7730" s="125"/>
      <c r="F7730" s="178"/>
      <c r="G7730" s="178"/>
      <c r="H7730" s="178"/>
      <c r="I7730" s="178"/>
      <c r="J7730" s="178"/>
      <c r="K7730" s="178"/>
      <c r="L7730" s="125"/>
      <c r="M7730" s="125"/>
      <c r="N7730" s="182"/>
      <c r="O7730" s="177"/>
      <c r="P7730" s="176"/>
      <c r="Q7730" s="176"/>
      <c r="R7730" s="176"/>
      <c r="S7730" s="176"/>
      <c r="T7730" s="190"/>
      <c r="U7730" s="191"/>
      <c r="V7730" s="191">
        <f>+Table1[[#This Row],[SUBTOTAL]]+Table1[[#This Row],[IVA]]-Table1[[#This Row],[RET IVA]]-Table1[[#This Row],[RET ISR]]</f>
        <v>0</v>
      </c>
      <c r="W7730" s="185"/>
      <c r="X7730" s="186"/>
      <c r="Y7730" s="187"/>
      <c r="Z7730" s="204">
        <f>+Table1[[#This Row],[CONCEPTO]]+Table1[[#This Row],[TIPO2]]-Table1[[#This Row],[IVA]]-Table1[[#This Row],[OTROS IMPUESTOS]]-Table1[[#This Row],[RET IVA]]</f>
        <v>0</v>
      </c>
      <c r="AB7730" t="str">
        <f>IF(Table1[[#This Row],[TIPO2]]="costo", VLOOKUP(Table1[[#This Row],[PARTIDA PRESUPUESTAL]],'Cost Report'!G:G,1,0),"Balance")</f>
        <v>Balance</v>
      </c>
      <c r="AD7730" s="159">
        <f>+Table1[[#This Row],[SUBTOTAL]]+Table1[[#This Row],[IVA]]-Table1[[#This Row],[RET IVA]]-Table1[[#This Row],[RET ISR]]-Table1[[#This Row],[TOTAL]]</f>
        <v>0</v>
      </c>
    </row>
    <row r="7731" spans="1:30">
      <c r="A7731" s="172"/>
      <c r="B7731" s="178"/>
      <c r="C7731" s="179"/>
      <c r="D7731" s="180"/>
      <c r="E7731" s="125"/>
      <c r="F7731" s="178"/>
      <c r="G7731" s="178"/>
      <c r="H7731" s="178"/>
      <c r="I7731" s="178"/>
      <c r="J7731" s="178"/>
      <c r="K7731" s="178"/>
      <c r="L7731" s="125"/>
      <c r="M7731" s="125"/>
      <c r="N7731" s="182"/>
      <c r="O7731" s="177"/>
      <c r="P7731" s="176"/>
      <c r="Q7731" s="176"/>
      <c r="R7731" s="176"/>
      <c r="S7731" s="176"/>
      <c r="T7731" s="190"/>
      <c r="U7731" s="191"/>
      <c r="V7731" s="191">
        <f>+Table1[[#This Row],[SUBTOTAL]]+Table1[[#This Row],[IVA]]-Table1[[#This Row],[RET IVA]]-Table1[[#This Row],[RET ISR]]</f>
        <v>0</v>
      </c>
      <c r="W7731" s="185"/>
      <c r="X7731" s="186"/>
      <c r="Y7731" s="187"/>
      <c r="Z7731" s="204">
        <f>+Table1[[#This Row],[CONCEPTO]]+Table1[[#This Row],[TIPO2]]-Table1[[#This Row],[IVA]]-Table1[[#This Row],[OTROS IMPUESTOS]]-Table1[[#This Row],[RET IVA]]</f>
        <v>0</v>
      </c>
      <c r="AB7731" t="str">
        <f>IF(Table1[[#This Row],[TIPO2]]="costo", VLOOKUP(Table1[[#This Row],[PARTIDA PRESUPUESTAL]],'Cost Report'!G:G,1,0),"Balance")</f>
        <v>Balance</v>
      </c>
      <c r="AD7731" s="159">
        <f>+Table1[[#This Row],[SUBTOTAL]]+Table1[[#This Row],[IVA]]-Table1[[#This Row],[RET IVA]]-Table1[[#This Row],[RET ISR]]-Table1[[#This Row],[TOTAL]]</f>
        <v>0</v>
      </c>
    </row>
    <row r="7732" spans="1:30">
      <c r="A7732" s="172"/>
      <c r="B7732" s="178"/>
      <c r="C7732" s="179"/>
      <c r="D7732" s="180"/>
      <c r="E7732" s="125"/>
      <c r="F7732" s="178"/>
      <c r="G7732" s="178"/>
      <c r="H7732" s="178"/>
      <c r="I7732" s="178"/>
      <c r="J7732" s="178"/>
      <c r="K7732" s="178"/>
      <c r="L7732" s="125"/>
      <c r="M7732" s="125"/>
      <c r="N7732" s="182"/>
      <c r="O7732" s="177"/>
      <c r="P7732" s="176"/>
      <c r="Q7732" s="176"/>
      <c r="R7732" s="176"/>
      <c r="S7732" s="176"/>
      <c r="T7732" s="190"/>
      <c r="U7732" s="191"/>
      <c r="V7732" s="191">
        <f>+Table1[[#This Row],[SUBTOTAL]]+Table1[[#This Row],[IVA]]-Table1[[#This Row],[RET IVA]]-Table1[[#This Row],[RET ISR]]</f>
        <v>0</v>
      </c>
      <c r="W7732" s="185"/>
      <c r="X7732" s="186"/>
      <c r="Y7732" s="187"/>
      <c r="Z7732" s="204">
        <f>+Table1[[#This Row],[CONCEPTO]]+Table1[[#This Row],[TIPO2]]-Table1[[#This Row],[IVA]]-Table1[[#This Row],[OTROS IMPUESTOS]]-Table1[[#This Row],[RET IVA]]</f>
        <v>0</v>
      </c>
      <c r="AB7732" t="str">
        <f>IF(Table1[[#This Row],[TIPO2]]="costo", VLOOKUP(Table1[[#This Row],[PARTIDA PRESUPUESTAL]],'Cost Report'!G:G,1,0),"Balance")</f>
        <v>Balance</v>
      </c>
      <c r="AD7732" s="159">
        <f>+Table1[[#This Row],[SUBTOTAL]]+Table1[[#This Row],[IVA]]-Table1[[#This Row],[RET IVA]]-Table1[[#This Row],[RET ISR]]-Table1[[#This Row],[TOTAL]]</f>
        <v>0</v>
      </c>
    </row>
    <row r="7733" spans="1:30">
      <c r="A7733" s="172"/>
      <c r="B7733" s="178"/>
      <c r="C7733" s="179"/>
      <c r="D7733" s="180"/>
      <c r="E7733" s="125"/>
      <c r="F7733" s="178"/>
      <c r="G7733" s="178"/>
      <c r="H7733" s="178"/>
      <c r="I7733" s="178"/>
      <c r="J7733" s="178"/>
      <c r="K7733" s="178"/>
      <c r="L7733" s="125"/>
      <c r="M7733" s="125"/>
      <c r="N7733" s="182"/>
      <c r="O7733" s="177"/>
      <c r="P7733" s="176"/>
      <c r="Q7733" s="176"/>
      <c r="R7733" s="176"/>
      <c r="S7733" s="176"/>
      <c r="T7733" s="190"/>
      <c r="U7733" s="191"/>
      <c r="V7733" s="191">
        <f>+Table1[[#This Row],[SUBTOTAL]]+Table1[[#This Row],[IVA]]-Table1[[#This Row],[RET IVA]]-Table1[[#This Row],[RET ISR]]</f>
        <v>0</v>
      </c>
      <c r="W7733" s="185"/>
      <c r="X7733" s="186"/>
      <c r="Y7733" s="187"/>
      <c r="Z7733" s="204">
        <f>+Table1[[#This Row],[CONCEPTO]]+Table1[[#This Row],[TIPO2]]-Table1[[#This Row],[IVA]]-Table1[[#This Row],[OTROS IMPUESTOS]]-Table1[[#This Row],[RET IVA]]</f>
        <v>0</v>
      </c>
      <c r="AB7733" t="str">
        <f>IF(Table1[[#This Row],[TIPO2]]="costo", VLOOKUP(Table1[[#This Row],[PARTIDA PRESUPUESTAL]],'Cost Report'!G:G,1,0),"Balance")</f>
        <v>Balance</v>
      </c>
      <c r="AD7733" s="159">
        <f>+Table1[[#This Row],[SUBTOTAL]]+Table1[[#This Row],[IVA]]-Table1[[#This Row],[RET IVA]]-Table1[[#This Row],[RET ISR]]-Table1[[#This Row],[TOTAL]]</f>
        <v>0</v>
      </c>
    </row>
    <row r="7734" spans="1:30">
      <c r="A7734" s="172"/>
      <c r="B7734" s="178"/>
      <c r="C7734" s="179"/>
      <c r="D7734" s="180"/>
      <c r="E7734" s="125"/>
      <c r="F7734" s="178"/>
      <c r="G7734" s="178"/>
      <c r="H7734" s="178"/>
      <c r="I7734" s="178"/>
      <c r="J7734" s="178"/>
      <c r="K7734" s="178"/>
      <c r="L7734" s="125"/>
      <c r="M7734" s="125"/>
      <c r="N7734" s="182"/>
      <c r="O7734" s="177"/>
      <c r="P7734" s="176"/>
      <c r="Q7734" s="176"/>
      <c r="R7734" s="176"/>
      <c r="S7734" s="176"/>
      <c r="T7734" s="190"/>
      <c r="U7734" s="191"/>
      <c r="V7734" s="191">
        <f>+Table1[[#This Row],[SUBTOTAL]]+Table1[[#This Row],[IVA]]-Table1[[#This Row],[RET IVA]]-Table1[[#This Row],[RET ISR]]</f>
        <v>0</v>
      </c>
      <c r="W7734" s="185"/>
      <c r="X7734" s="186"/>
      <c r="Y7734" s="187"/>
      <c r="Z7734" s="204">
        <f>+Table1[[#This Row],[CONCEPTO]]+Table1[[#This Row],[TIPO2]]-Table1[[#This Row],[IVA]]-Table1[[#This Row],[OTROS IMPUESTOS]]-Table1[[#This Row],[RET IVA]]</f>
        <v>0</v>
      </c>
      <c r="AB7734" t="str">
        <f>IF(Table1[[#This Row],[TIPO2]]="costo", VLOOKUP(Table1[[#This Row],[PARTIDA PRESUPUESTAL]],'Cost Report'!G:G,1,0),"Balance")</f>
        <v>Balance</v>
      </c>
      <c r="AD7734" s="159">
        <f>+Table1[[#This Row],[SUBTOTAL]]+Table1[[#This Row],[IVA]]-Table1[[#This Row],[RET IVA]]-Table1[[#This Row],[RET ISR]]-Table1[[#This Row],[TOTAL]]</f>
        <v>0</v>
      </c>
    </row>
    <row r="7735" spans="1:30">
      <c r="A7735" s="172"/>
      <c r="B7735" s="178"/>
      <c r="C7735" s="179"/>
      <c r="D7735" s="180"/>
      <c r="E7735" s="125"/>
      <c r="F7735" s="178"/>
      <c r="G7735" s="178"/>
      <c r="H7735" s="178"/>
      <c r="I7735" s="178"/>
      <c r="J7735" s="178"/>
      <c r="K7735" s="178"/>
      <c r="L7735" s="125"/>
      <c r="M7735" s="125"/>
      <c r="N7735" s="182"/>
      <c r="O7735" s="177"/>
      <c r="P7735" s="176"/>
      <c r="Q7735" s="176"/>
      <c r="R7735" s="176"/>
      <c r="S7735" s="176"/>
      <c r="T7735" s="190"/>
      <c r="U7735" s="191"/>
      <c r="V7735" s="191">
        <f>+Table1[[#This Row],[SUBTOTAL]]+Table1[[#This Row],[IVA]]-Table1[[#This Row],[RET IVA]]-Table1[[#This Row],[RET ISR]]</f>
        <v>0</v>
      </c>
      <c r="W7735" s="185"/>
      <c r="X7735" s="186"/>
      <c r="Y7735" s="187"/>
      <c r="Z7735" s="204">
        <f>+Table1[[#This Row],[CONCEPTO]]+Table1[[#This Row],[TIPO2]]-Table1[[#This Row],[IVA]]-Table1[[#This Row],[OTROS IMPUESTOS]]-Table1[[#This Row],[RET IVA]]</f>
        <v>0</v>
      </c>
      <c r="AB7735" t="str">
        <f>IF(Table1[[#This Row],[TIPO2]]="costo", VLOOKUP(Table1[[#This Row],[PARTIDA PRESUPUESTAL]],'Cost Report'!G:G,1,0),"Balance")</f>
        <v>Balance</v>
      </c>
      <c r="AD7735" s="159">
        <f>+Table1[[#This Row],[SUBTOTAL]]+Table1[[#This Row],[IVA]]-Table1[[#This Row],[RET IVA]]-Table1[[#This Row],[RET ISR]]-Table1[[#This Row],[TOTAL]]</f>
        <v>0</v>
      </c>
    </row>
    <row r="7736" spans="1:30">
      <c r="A7736" s="172"/>
      <c r="B7736" s="178"/>
      <c r="C7736" s="179"/>
      <c r="D7736" s="180"/>
      <c r="E7736" s="125"/>
      <c r="F7736" s="178"/>
      <c r="G7736" s="178"/>
      <c r="H7736" s="178"/>
      <c r="I7736" s="178"/>
      <c r="J7736" s="178"/>
      <c r="K7736" s="178"/>
      <c r="L7736" s="125"/>
      <c r="M7736" s="125"/>
      <c r="N7736" s="182"/>
      <c r="O7736" s="177"/>
      <c r="P7736" s="176"/>
      <c r="Q7736" s="176"/>
      <c r="R7736" s="176"/>
      <c r="S7736" s="176"/>
      <c r="T7736" s="190"/>
      <c r="U7736" s="191"/>
      <c r="V7736" s="191">
        <f>+Table1[[#This Row],[SUBTOTAL]]+Table1[[#This Row],[IVA]]-Table1[[#This Row],[RET IVA]]-Table1[[#This Row],[RET ISR]]</f>
        <v>0</v>
      </c>
      <c r="W7736" s="185"/>
      <c r="X7736" s="186"/>
      <c r="Y7736" s="187"/>
      <c r="Z7736" s="204">
        <f>+Table1[[#This Row],[CONCEPTO]]+Table1[[#This Row],[TIPO2]]-Table1[[#This Row],[IVA]]-Table1[[#This Row],[OTROS IMPUESTOS]]-Table1[[#This Row],[RET IVA]]</f>
        <v>0</v>
      </c>
      <c r="AB7736" t="str">
        <f>IF(Table1[[#This Row],[TIPO2]]="costo", VLOOKUP(Table1[[#This Row],[PARTIDA PRESUPUESTAL]],'Cost Report'!G:G,1,0),"Balance")</f>
        <v>Balance</v>
      </c>
      <c r="AD7736" s="159">
        <f>+Table1[[#This Row],[SUBTOTAL]]+Table1[[#This Row],[IVA]]-Table1[[#This Row],[RET IVA]]-Table1[[#This Row],[RET ISR]]-Table1[[#This Row],[TOTAL]]</f>
        <v>0</v>
      </c>
    </row>
    <row r="7737" spans="1:30">
      <c r="A7737" s="172"/>
      <c r="B7737" s="178"/>
      <c r="C7737" s="179"/>
      <c r="D7737" s="180"/>
      <c r="E7737" s="125"/>
      <c r="F7737" s="178"/>
      <c r="G7737" s="178"/>
      <c r="H7737" s="178"/>
      <c r="I7737" s="178"/>
      <c r="J7737" s="178"/>
      <c r="K7737" s="178"/>
      <c r="L7737" s="125"/>
      <c r="M7737" s="125"/>
      <c r="N7737" s="182"/>
      <c r="O7737" s="177"/>
      <c r="P7737" s="176"/>
      <c r="Q7737" s="176"/>
      <c r="R7737" s="176"/>
      <c r="S7737" s="176"/>
      <c r="T7737" s="190"/>
      <c r="U7737" s="191"/>
      <c r="V7737" s="191">
        <f>+Table1[[#This Row],[SUBTOTAL]]+Table1[[#This Row],[IVA]]-Table1[[#This Row],[RET IVA]]-Table1[[#This Row],[RET ISR]]</f>
        <v>0</v>
      </c>
      <c r="W7737" s="185"/>
      <c r="X7737" s="186"/>
      <c r="Y7737" s="187"/>
      <c r="Z7737" s="204">
        <f>+Table1[[#This Row],[CONCEPTO]]+Table1[[#This Row],[TIPO2]]-Table1[[#This Row],[IVA]]-Table1[[#This Row],[OTROS IMPUESTOS]]-Table1[[#This Row],[RET IVA]]</f>
        <v>0</v>
      </c>
      <c r="AB7737" t="str">
        <f>IF(Table1[[#This Row],[TIPO2]]="costo", VLOOKUP(Table1[[#This Row],[PARTIDA PRESUPUESTAL]],'Cost Report'!G:G,1,0),"Balance")</f>
        <v>Balance</v>
      </c>
      <c r="AD7737" s="159">
        <f>+Table1[[#This Row],[SUBTOTAL]]+Table1[[#This Row],[IVA]]-Table1[[#This Row],[RET IVA]]-Table1[[#This Row],[RET ISR]]-Table1[[#This Row],[TOTAL]]</f>
        <v>0</v>
      </c>
    </row>
    <row r="7738" spans="1:30">
      <c r="A7738" s="172"/>
      <c r="B7738" s="178"/>
      <c r="C7738" s="179"/>
      <c r="D7738" s="180"/>
      <c r="E7738" s="125"/>
      <c r="F7738" s="178"/>
      <c r="G7738" s="178"/>
      <c r="H7738" s="178"/>
      <c r="I7738" s="178"/>
      <c r="J7738" s="178"/>
      <c r="K7738" s="178"/>
      <c r="L7738" s="125"/>
      <c r="M7738" s="125"/>
      <c r="N7738" s="182"/>
      <c r="O7738" s="177"/>
      <c r="P7738" s="176"/>
      <c r="Q7738" s="176"/>
      <c r="R7738" s="176"/>
      <c r="S7738" s="176"/>
      <c r="T7738" s="190"/>
      <c r="U7738" s="191"/>
      <c r="V7738" s="191">
        <f>+Table1[[#This Row],[SUBTOTAL]]+Table1[[#This Row],[IVA]]-Table1[[#This Row],[RET IVA]]-Table1[[#This Row],[RET ISR]]</f>
        <v>0</v>
      </c>
      <c r="W7738" s="185"/>
      <c r="X7738" s="186"/>
      <c r="Y7738" s="187"/>
      <c r="Z7738" s="204">
        <f>+Table1[[#This Row],[CONCEPTO]]+Table1[[#This Row],[TIPO2]]-Table1[[#This Row],[IVA]]-Table1[[#This Row],[OTROS IMPUESTOS]]-Table1[[#This Row],[RET IVA]]</f>
        <v>0</v>
      </c>
      <c r="AB7738" t="str">
        <f>IF(Table1[[#This Row],[TIPO2]]="costo", VLOOKUP(Table1[[#This Row],[PARTIDA PRESUPUESTAL]],'Cost Report'!G:G,1,0),"Balance")</f>
        <v>Balance</v>
      </c>
      <c r="AD7738" s="159">
        <f>+Table1[[#This Row],[SUBTOTAL]]+Table1[[#This Row],[IVA]]-Table1[[#This Row],[RET IVA]]-Table1[[#This Row],[RET ISR]]-Table1[[#This Row],[TOTAL]]</f>
        <v>0</v>
      </c>
    </row>
    <row r="7739" spans="1:30">
      <c r="A7739" s="172"/>
      <c r="B7739" s="178"/>
      <c r="C7739" s="179"/>
      <c r="D7739" s="180"/>
      <c r="E7739" s="125"/>
      <c r="F7739" s="178"/>
      <c r="G7739" s="178"/>
      <c r="H7739" s="178"/>
      <c r="I7739" s="178"/>
      <c r="J7739" s="178"/>
      <c r="K7739" s="178"/>
      <c r="L7739" s="125"/>
      <c r="M7739" s="125"/>
      <c r="N7739" s="182"/>
      <c r="O7739" s="177"/>
      <c r="P7739" s="176"/>
      <c r="Q7739" s="176"/>
      <c r="R7739" s="176"/>
      <c r="S7739" s="176"/>
      <c r="T7739" s="190"/>
      <c r="U7739" s="191"/>
      <c r="V7739" s="191">
        <f>+Table1[[#This Row],[SUBTOTAL]]+Table1[[#This Row],[IVA]]-Table1[[#This Row],[RET IVA]]-Table1[[#This Row],[RET ISR]]</f>
        <v>0</v>
      </c>
      <c r="W7739" s="185"/>
      <c r="X7739" s="186"/>
      <c r="Y7739" s="187"/>
      <c r="Z7739" s="204">
        <f>+Table1[[#This Row],[CONCEPTO]]+Table1[[#This Row],[TIPO2]]-Table1[[#This Row],[IVA]]-Table1[[#This Row],[OTROS IMPUESTOS]]-Table1[[#This Row],[RET IVA]]</f>
        <v>0</v>
      </c>
      <c r="AB7739" t="str">
        <f>IF(Table1[[#This Row],[TIPO2]]="costo", VLOOKUP(Table1[[#This Row],[PARTIDA PRESUPUESTAL]],'Cost Report'!G:G,1,0),"Balance")</f>
        <v>Balance</v>
      </c>
      <c r="AD7739" s="159">
        <f>+Table1[[#This Row],[SUBTOTAL]]+Table1[[#This Row],[IVA]]-Table1[[#This Row],[RET IVA]]-Table1[[#This Row],[RET ISR]]-Table1[[#This Row],[TOTAL]]</f>
        <v>0</v>
      </c>
    </row>
    <row r="7740" spans="1:30">
      <c r="A7740" s="172"/>
      <c r="B7740" s="178"/>
      <c r="C7740" s="179"/>
      <c r="D7740" s="180"/>
      <c r="E7740" s="125"/>
      <c r="F7740" s="178"/>
      <c r="G7740" s="178"/>
      <c r="H7740" s="178"/>
      <c r="I7740" s="178"/>
      <c r="J7740" s="178"/>
      <c r="K7740" s="178"/>
      <c r="L7740" s="125"/>
      <c r="M7740" s="125"/>
      <c r="N7740" s="182"/>
      <c r="O7740" s="177"/>
      <c r="P7740" s="176"/>
      <c r="Q7740" s="176"/>
      <c r="R7740" s="176"/>
      <c r="S7740" s="176"/>
      <c r="T7740" s="190"/>
      <c r="U7740" s="191"/>
      <c r="V7740" s="191">
        <f>+Table1[[#This Row],[SUBTOTAL]]+Table1[[#This Row],[IVA]]-Table1[[#This Row],[RET IVA]]-Table1[[#This Row],[RET ISR]]</f>
        <v>0</v>
      </c>
      <c r="W7740" s="185"/>
      <c r="X7740" s="186"/>
      <c r="Y7740" s="187"/>
      <c r="Z7740" s="204">
        <f>+Table1[[#This Row],[CONCEPTO]]+Table1[[#This Row],[TIPO2]]-Table1[[#This Row],[IVA]]-Table1[[#This Row],[OTROS IMPUESTOS]]-Table1[[#This Row],[RET IVA]]</f>
        <v>0</v>
      </c>
      <c r="AB7740" t="str">
        <f>IF(Table1[[#This Row],[TIPO2]]="costo", VLOOKUP(Table1[[#This Row],[PARTIDA PRESUPUESTAL]],'Cost Report'!G:G,1,0),"Balance")</f>
        <v>Balance</v>
      </c>
      <c r="AD7740" s="159">
        <f>+Table1[[#This Row],[SUBTOTAL]]+Table1[[#This Row],[IVA]]-Table1[[#This Row],[RET IVA]]-Table1[[#This Row],[RET ISR]]-Table1[[#This Row],[TOTAL]]</f>
        <v>0</v>
      </c>
    </row>
    <row r="7741" spans="1:30">
      <c r="A7741" s="172"/>
      <c r="B7741" s="178"/>
      <c r="C7741" s="179"/>
      <c r="D7741" s="180"/>
      <c r="E7741" s="125"/>
      <c r="F7741" s="178"/>
      <c r="G7741" s="178"/>
      <c r="H7741" s="178"/>
      <c r="I7741" s="178"/>
      <c r="J7741" s="178"/>
      <c r="K7741" s="178"/>
      <c r="L7741" s="125"/>
      <c r="M7741" s="125"/>
      <c r="N7741" s="182"/>
      <c r="O7741" s="177"/>
      <c r="P7741" s="176"/>
      <c r="Q7741" s="176"/>
      <c r="R7741" s="176"/>
      <c r="S7741" s="176"/>
      <c r="T7741" s="190"/>
      <c r="U7741" s="191"/>
      <c r="V7741" s="191">
        <f>+Table1[[#This Row],[SUBTOTAL]]+Table1[[#This Row],[IVA]]-Table1[[#This Row],[RET IVA]]-Table1[[#This Row],[RET ISR]]</f>
        <v>0</v>
      </c>
      <c r="W7741" s="185"/>
      <c r="X7741" s="186"/>
      <c r="Y7741" s="187"/>
      <c r="Z7741" s="204">
        <f>+Table1[[#This Row],[CONCEPTO]]+Table1[[#This Row],[TIPO2]]-Table1[[#This Row],[IVA]]-Table1[[#This Row],[OTROS IMPUESTOS]]-Table1[[#This Row],[RET IVA]]</f>
        <v>0</v>
      </c>
      <c r="AB7741" t="str">
        <f>IF(Table1[[#This Row],[TIPO2]]="costo", VLOOKUP(Table1[[#This Row],[PARTIDA PRESUPUESTAL]],'Cost Report'!G:G,1,0),"Balance")</f>
        <v>Balance</v>
      </c>
      <c r="AD7741" s="159">
        <f>+Table1[[#This Row],[SUBTOTAL]]+Table1[[#This Row],[IVA]]-Table1[[#This Row],[RET IVA]]-Table1[[#This Row],[RET ISR]]-Table1[[#This Row],[TOTAL]]</f>
        <v>0</v>
      </c>
    </row>
    <row r="7742" spans="1:30">
      <c r="A7742" s="172"/>
      <c r="B7742" s="178"/>
      <c r="C7742" s="179"/>
      <c r="D7742" s="180"/>
      <c r="E7742" s="125"/>
      <c r="F7742" s="178"/>
      <c r="G7742" s="178"/>
      <c r="H7742" s="178"/>
      <c r="I7742" s="178"/>
      <c r="J7742" s="178"/>
      <c r="K7742" s="178"/>
      <c r="L7742" s="125"/>
      <c r="M7742" s="125"/>
      <c r="N7742" s="182"/>
      <c r="O7742" s="177"/>
      <c r="P7742" s="176"/>
      <c r="Q7742" s="176"/>
      <c r="R7742" s="176"/>
      <c r="S7742" s="176"/>
      <c r="T7742" s="190"/>
      <c r="U7742" s="191"/>
      <c r="V7742" s="191">
        <f>+Table1[[#This Row],[SUBTOTAL]]+Table1[[#This Row],[IVA]]-Table1[[#This Row],[RET IVA]]-Table1[[#This Row],[RET ISR]]</f>
        <v>0</v>
      </c>
      <c r="W7742" s="185"/>
      <c r="X7742" s="186"/>
      <c r="Y7742" s="187"/>
      <c r="Z7742" s="204">
        <f>+Table1[[#This Row],[CONCEPTO]]+Table1[[#This Row],[TIPO2]]-Table1[[#This Row],[IVA]]-Table1[[#This Row],[OTROS IMPUESTOS]]-Table1[[#This Row],[RET IVA]]</f>
        <v>0</v>
      </c>
      <c r="AB7742" t="str">
        <f>IF(Table1[[#This Row],[TIPO2]]="costo", VLOOKUP(Table1[[#This Row],[PARTIDA PRESUPUESTAL]],'Cost Report'!G:G,1,0),"Balance")</f>
        <v>Balance</v>
      </c>
      <c r="AD7742" s="159">
        <f>+Table1[[#This Row],[SUBTOTAL]]+Table1[[#This Row],[IVA]]-Table1[[#This Row],[RET IVA]]-Table1[[#This Row],[RET ISR]]-Table1[[#This Row],[TOTAL]]</f>
        <v>0</v>
      </c>
    </row>
    <row r="7743" spans="1:30">
      <c r="A7743" s="172"/>
      <c r="B7743" s="178"/>
      <c r="C7743" s="179"/>
      <c r="D7743" s="180"/>
      <c r="E7743" s="125"/>
      <c r="F7743" s="178"/>
      <c r="G7743" s="178"/>
      <c r="H7743" s="178"/>
      <c r="I7743" s="178"/>
      <c r="J7743" s="178"/>
      <c r="K7743" s="178"/>
      <c r="L7743" s="125"/>
      <c r="M7743" s="125"/>
      <c r="N7743" s="182"/>
      <c r="O7743" s="177"/>
      <c r="P7743" s="176"/>
      <c r="Q7743" s="176"/>
      <c r="R7743" s="176"/>
      <c r="S7743" s="176"/>
      <c r="T7743" s="190"/>
      <c r="U7743" s="191"/>
      <c r="V7743" s="191">
        <f>+Table1[[#This Row],[SUBTOTAL]]+Table1[[#This Row],[IVA]]-Table1[[#This Row],[RET IVA]]-Table1[[#This Row],[RET ISR]]</f>
        <v>0</v>
      </c>
      <c r="W7743" s="185"/>
      <c r="X7743" s="186"/>
      <c r="Y7743" s="187"/>
      <c r="Z7743" s="204">
        <f>+Table1[[#This Row],[CONCEPTO]]+Table1[[#This Row],[TIPO2]]-Table1[[#This Row],[IVA]]-Table1[[#This Row],[OTROS IMPUESTOS]]-Table1[[#This Row],[RET IVA]]</f>
        <v>0</v>
      </c>
      <c r="AB7743" t="str">
        <f>IF(Table1[[#This Row],[TIPO2]]="costo", VLOOKUP(Table1[[#This Row],[PARTIDA PRESUPUESTAL]],'Cost Report'!G:G,1,0),"Balance")</f>
        <v>Balance</v>
      </c>
      <c r="AD7743" s="159">
        <f>+Table1[[#This Row],[SUBTOTAL]]+Table1[[#This Row],[IVA]]-Table1[[#This Row],[RET IVA]]-Table1[[#This Row],[RET ISR]]-Table1[[#This Row],[TOTAL]]</f>
        <v>0</v>
      </c>
    </row>
    <row r="7744" spans="1:30">
      <c r="A7744" s="172"/>
      <c r="B7744" s="178"/>
      <c r="C7744" s="179"/>
      <c r="D7744" s="180"/>
      <c r="E7744" s="125"/>
      <c r="F7744" s="178"/>
      <c r="G7744" s="178"/>
      <c r="H7744" s="178"/>
      <c r="I7744" s="178"/>
      <c r="J7744" s="178"/>
      <c r="K7744" s="178"/>
      <c r="L7744" s="125"/>
      <c r="M7744" s="125"/>
      <c r="N7744" s="182"/>
      <c r="O7744" s="177"/>
      <c r="P7744" s="176"/>
      <c r="Q7744" s="176"/>
      <c r="R7744" s="176"/>
      <c r="S7744" s="176"/>
      <c r="T7744" s="190"/>
      <c r="U7744" s="191"/>
      <c r="V7744" s="191">
        <f>+Table1[[#This Row],[SUBTOTAL]]+Table1[[#This Row],[IVA]]-Table1[[#This Row],[RET IVA]]-Table1[[#This Row],[RET ISR]]</f>
        <v>0</v>
      </c>
      <c r="W7744" s="185"/>
      <c r="X7744" s="186"/>
      <c r="Y7744" s="187"/>
      <c r="Z7744" s="204">
        <f>+Table1[[#This Row],[CONCEPTO]]+Table1[[#This Row],[TIPO2]]-Table1[[#This Row],[IVA]]-Table1[[#This Row],[OTROS IMPUESTOS]]-Table1[[#This Row],[RET IVA]]</f>
        <v>0</v>
      </c>
      <c r="AB7744" t="str">
        <f>IF(Table1[[#This Row],[TIPO2]]="costo", VLOOKUP(Table1[[#This Row],[PARTIDA PRESUPUESTAL]],'Cost Report'!G:G,1,0),"Balance")</f>
        <v>Balance</v>
      </c>
      <c r="AD7744" s="159">
        <f>+Table1[[#This Row],[SUBTOTAL]]+Table1[[#This Row],[IVA]]-Table1[[#This Row],[RET IVA]]-Table1[[#This Row],[RET ISR]]-Table1[[#This Row],[TOTAL]]</f>
        <v>0</v>
      </c>
    </row>
    <row r="7745" spans="1:30">
      <c r="A7745" s="172"/>
      <c r="B7745" s="178"/>
      <c r="C7745" s="179"/>
      <c r="D7745" s="180"/>
      <c r="E7745" s="125"/>
      <c r="F7745" s="178"/>
      <c r="G7745" s="178"/>
      <c r="H7745" s="178"/>
      <c r="I7745" s="178"/>
      <c r="J7745" s="178"/>
      <c r="K7745" s="178"/>
      <c r="L7745" s="125"/>
      <c r="M7745" s="125"/>
      <c r="N7745" s="182"/>
      <c r="O7745" s="177"/>
      <c r="P7745" s="176"/>
      <c r="Q7745" s="176"/>
      <c r="R7745" s="176"/>
      <c r="S7745" s="176"/>
      <c r="T7745" s="190"/>
      <c r="U7745" s="191"/>
      <c r="V7745" s="191">
        <f>+Table1[[#This Row],[SUBTOTAL]]+Table1[[#This Row],[IVA]]-Table1[[#This Row],[RET IVA]]-Table1[[#This Row],[RET ISR]]</f>
        <v>0</v>
      </c>
      <c r="W7745" s="185"/>
      <c r="X7745" s="186"/>
      <c r="Y7745" s="187"/>
      <c r="Z7745" s="204">
        <f>+Table1[[#This Row],[CONCEPTO]]+Table1[[#This Row],[TIPO2]]-Table1[[#This Row],[IVA]]-Table1[[#This Row],[OTROS IMPUESTOS]]-Table1[[#This Row],[RET IVA]]</f>
        <v>0</v>
      </c>
      <c r="AB7745" t="str">
        <f>IF(Table1[[#This Row],[TIPO2]]="costo", VLOOKUP(Table1[[#This Row],[PARTIDA PRESUPUESTAL]],'Cost Report'!G:G,1,0),"Balance")</f>
        <v>Balance</v>
      </c>
      <c r="AD7745" s="159">
        <f>+Table1[[#This Row],[SUBTOTAL]]+Table1[[#This Row],[IVA]]-Table1[[#This Row],[RET IVA]]-Table1[[#This Row],[RET ISR]]-Table1[[#This Row],[TOTAL]]</f>
        <v>0</v>
      </c>
    </row>
    <row r="7746" spans="1:30">
      <c r="A7746" s="172"/>
      <c r="B7746" s="178"/>
      <c r="C7746" s="179"/>
      <c r="D7746" s="180"/>
      <c r="E7746" s="125"/>
      <c r="F7746" s="178"/>
      <c r="G7746" s="178"/>
      <c r="H7746" s="178"/>
      <c r="I7746" s="178"/>
      <c r="J7746" s="178"/>
      <c r="K7746" s="178"/>
      <c r="L7746" s="125"/>
      <c r="M7746" s="125"/>
      <c r="N7746" s="182"/>
      <c r="O7746" s="177"/>
      <c r="P7746" s="176"/>
      <c r="Q7746" s="176"/>
      <c r="R7746" s="176"/>
      <c r="S7746" s="176"/>
      <c r="T7746" s="190"/>
      <c r="U7746" s="191"/>
      <c r="V7746" s="191">
        <f>+Table1[[#This Row],[SUBTOTAL]]+Table1[[#This Row],[IVA]]-Table1[[#This Row],[RET IVA]]-Table1[[#This Row],[RET ISR]]</f>
        <v>0</v>
      </c>
      <c r="W7746" s="185"/>
      <c r="X7746" s="186"/>
      <c r="Y7746" s="187"/>
      <c r="Z7746" s="204">
        <f>+Table1[[#This Row],[CONCEPTO]]+Table1[[#This Row],[TIPO2]]-Table1[[#This Row],[IVA]]-Table1[[#This Row],[OTROS IMPUESTOS]]-Table1[[#This Row],[RET IVA]]</f>
        <v>0</v>
      </c>
      <c r="AB7746" t="str">
        <f>IF(Table1[[#This Row],[TIPO2]]="costo", VLOOKUP(Table1[[#This Row],[PARTIDA PRESUPUESTAL]],'Cost Report'!G:G,1,0),"Balance")</f>
        <v>Balance</v>
      </c>
      <c r="AD7746" s="159">
        <f>+Table1[[#This Row],[SUBTOTAL]]+Table1[[#This Row],[IVA]]-Table1[[#This Row],[RET IVA]]-Table1[[#This Row],[RET ISR]]-Table1[[#This Row],[TOTAL]]</f>
        <v>0</v>
      </c>
    </row>
    <row r="7747" spans="1:30">
      <c r="A7747" s="172"/>
      <c r="B7747" s="178"/>
      <c r="C7747" s="179"/>
      <c r="D7747" s="180"/>
      <c r="E7747" s="125"/>
      <c r="F7747" s="178"/>
      <c r="G7747" s="178"/>
      <c r="H7747" s="178"/>
      <c r="I7747" s="178"/>
      <c r="J7747" s="178"/>
      <c r="K7747" s="178"/>
      <c r="L7747" s="125"/>
      <c r="M7747" s="125"/>
      <c r="N7747" s="182"/>
      <c r="O7747" s="177"/>
      <c r="P7747" s="176"/>
      <c r="Q7747" s="176"/>
      <c r="R7747" s="176"/>
      <c r="S7747" s="176"/>
      <c r="T7747" s="190"/>
      <c r="U7747" s="191"/>
      <c r="V7747" s="191">
        <f>+Table1[[#This Row],[SUBTOTAL]]+Table1[[#This Row],[IVA]]-Table1[[#This Row],[RET IVA]]-Table1[[#This Row],[RET ISR]]</f>
        <v>0</v>
      </c>
      <c r="W7747" s="185"/>
      <c r="X7747" s="186"/>
      <c r="Y7747" s="187"/>
      <c r="Z7747" s="204">
        <f>+Table1[[#This Row],[CONCEPTO]]+Table1[[#This Row],[TIPO2]]-Table1[[#This Row],[IVA]]-Table1[[#This Row],[OTROS IMPUESTOS]]-Table1[[#This Row],[RET IVA]]</f>
        <v>0</v>
      </c>
      <c r="AB7747" t="str">
        <f>IF(Table1[[#This Row],[TIPO2]]="costo", VLOOKUP(Table1[[#This Row],[PARTIDA PRESUPUESTAL]],'Cost Report'!G:G,1,0),"Balance")</f>
        <v>Balance</v>
      </c>
      <c r="AD7747" s="159">
        <f>+Table1[[#This Row],[SUBTOTAL]]+Table1[[#This Row],[IVA]]-Table1[[#This Row],[RET IVA]]-Table1[[#This Row],[RET ISR]]-Table1[[#This Row],[TOTAL]]</f>
        <v>0</v>
      </c>
    </row>
    <row r="7748" spans="1:30">
      <c r="A7748" s="172"/>
      <c r="B7748" s="178"/>
      <c r="C7748" s="179"/>
      <c r="D7748" s="180"/>
      <c r="E7748" s="125"/>
      <c r="F7748" s="178"/>
      <c r="G7748" s="178"/>
      <c r="H7748" s="178"/>
      <c r="I7748" s="178"/>
      <c r="J7748" s="178"/>
      <c r="K7748" s="178"/>
      <c r="L7748" s="125"/>
      <c r="M7748" s="125"/>
      <c r="N7748" s="182"/>
      <c r="O7748" s="177"/>
      <c r="P7748" s="176"/>
      <c r="Q7748" s="176"/>
      <c r="R7748" s="176"/>
      <c r="S7748" s="176"/>
      <c r="T7748" s="190"/>
      <c r="U7748" s="191"/>
      <c r="V7748" s="191">
        <f>+Table1[[#This Row],[SUBTOTAL]]+Table1[[#This Row],[IVA]]-Table1[[#This Row],[RET IVA]]-Table1[[#This Row],[RET ISR]]</f>
        <v>0</v>
      </c>
      <c r="W7748" s="185"/>
      <c r="X7748" s="186"/>
      <c r="Y7748" s="187"/>
      <c r="Z7748" s="204">
        <f>+Table1[[#This Row],[CONCEPTO]]+Table1[[#This Row],[TIPO2]]-Table1[[#This Row],[IVA]]-Table1[[#This Row],[OTROS IMPUESTOS]]-Table1[[#This Row],[RET IVA]]</f>
        <v>0</v>
      </c>
      <c r="AB7748" t="str">
        <f>IF(Table1[[#This Row],[TIPO2]]="costo", VLOOKUP(Table1[[#This Row],[PARTIDA PRESUPUESTAL]],'Cost Report'!G:G,1,0),"Balance")</f>
        <v>Balance</v>
      </c>
      <c r="AD7748" s="159">
        <f>+Table1[[#This Row],[SUBTOTAL]]+Table1[[#This Row],[IVA]]-Table1[[#This Row],[RET IVA]]-Table1[[#This Row],[RET ISR]]-Table1[[#This Row],[TOTAL]]</f>
        <v>0</v>
      </c>
    </row>
    <row r="7749" spans="1:30">
      <c r="A7749" s="172"/>
      <c r="B7749" s="178"/>
      <c r="C7749" s="179"/>
      <c r="D7749" s="180"/>
      <c r="E7749" s="125"/>
      <c r="F7749" s="178"/>
      <c r="G7749" s="178"/>
      <c r="H7749" s="178"/>
      <c r="I7749" s="178"/>
      <c r="J7749" s="178"/>
      <c r="K7749" s="178"/>
      <c r="L7749" s="125"/>
      <c r="M7749" s="125"/>
      <c r="N7749" s="182"/>
      <c r="O7749" s="177"/>
      <c r="P7749" s="176"/>
      <c r="Q7749" s="176"/>
      <c r="R7749" s="176"/>
      <c r="S7749" s="176"/>
      <c r="T7749" s="190"/>
      <c r="U7749" s="191"/>
      <c r="V7749" s="191">
        <f>+Table1[[#This Row],[SUBTOTAL]]+Table1[[#This Row],[IVA]]-Table1[[#This Row],[RET IVA]]-Table1[[#This Row],[RET ISR]]</f>
        <v>0</v>
      </c>
      <c r="W7749" s="185"/>
      <c r="X7749" s="186"/>
      <c r="Y7749" s="187"/>
      <c r="Z7749" s="204">
        <f>+Table1[[#This Row],[CONCEPTO]]+Table1[[#This Row],[TIPO2]]-Table1[[#This Row],[IVA]]-Table1[[#This Row],[OTROS IMPUESTOS]]-Table1[[#This Row],[RET IVA]]</f>
        <v>0</v>
      </c>
      <c r="AB7749" t="str">
        <f>IF(Table1[[#This Row],[TIPO2]]="costo", VLOOKUP(Table1[[#This Row],[PARTIDA PRESUPUESTAL]],'Cost Report'!G:G,1,0),"Balance")</f>
        <v>Balance</v>
      </c>
      <c r="AD7749" s="159">
        <f>+Table1[[#This Row],[SUBTOTAL]]+Table1[[#This Row],[IVA]]-Table1[[#This Row],[RET IVA]]-Table1[[#This Row],[RET ISR]]-Table1[[#This Row],[TOTAL]]</f>
        <v>0</v>
      </c>
    </row>
    <row r="7750" spans="1:30">
      <c r="A7750" s="172"/>
      <c r="B7750" s="178"/>
      <c r="C7750" s="179"/>
      <c r="D7750" s="180"/>
      <c r="E7750" s="125"/>
      <c r="F7750" s="178"/>
      <c r="G7750" s="178"/>
      <c r="H7750" s="178"/>
      <c r="I7750" s="178"/>
      <c r="J7750" s="178"/>
      <c r="K7750" s="178"/>
      <c r="L7750" s="125"/>
      <c r="M7750" s="125"/>
      <c r="N7750" s="182"/>
      <c r="O7750" s="177"/>
      <c r="P7750" s="176"/>
      <c r="Q7750" s="176"/>
      <c r="R7750" s="176"/>
      <c r="S7750" s="176"/>
      <c r="T7750" s="190"/>
      <c r="U7750" s="191"/>
      <c r="V7750" s="191">
        <f>+Table1[[#This Row],[SUBTOTAL]]+Table1[[#This Row],[IVA]]-Table1[[#This Row],[RET IVA]]-Table1[[#This Row],[RET ISR]]</f>
        <v>0</v>
      </c>
      <c r="W7750" s="185"/>
      <c r="X7750" s="186"/>
      <c r="Y7750" s="187"/>
      <c r="Z7750" s="204">
        <f>+Table1[[#This Row],[CONCEPTO]]+Table1[[#This Row],[TIPO2]]-Table1[[#This Row],[IVA]]-Table1[[#This Row],[OTROS IMPUESTOS]]-Table1[[#This Row],[RET IVA]]</f>
        <v>0</v>
      </c>
      <c r="AB7750" t="str">
        <f>IF(Table1[[#This Row],[TIPO2]]="costo", VLOOKUP(Table1[[#This Row],[PARTIDA PRESUPUESTAL]],'Cost Report'!G:G,1,0),"Balance")</f>
        <v>Balance</v>
      </c>
      <c r="AD7750" s="159">
        <f>+Table1[[#This Row],[SUBTOTAL]]+Table1[[#This Row],[IVA]]-Table1[[#This Row],[RET IVA]]-Table1[[#This Row],[RET ISR]]-Table1[[#This Row],[TOTAL]]</f>
        <v>0</v>
      </c>
    </row>
    <row r="7751" spans="1:30">
      <c r="A7751" s="172"/>
      <c r="B7751" s="178"/>
      <c r="C7751" s="179"/>
      <c r="D7751" s="180"/>
      <c r="E7751" s="125"/>
      <c r="F7751" s="178"/>
      <c r="G7751" s="178"/>
      <c r="H7751" s="178"/>
      <c r="I7751" s="178"/>
      <c r="J7751" s="178"/>
      <c r="K7751" s="178"/>
      <c r="L7751" s="125"/>
      <c r="M7751" s="125"/>
      <c r="N7751" s="182"/>
      <c r="O7751" s="177"/>
      <c r="P7751" s="176"/>
      <c r="Q7751" s="176"/>
      <c r="R7751" s="176"/>
      <c r="S7751" s="176"/>
      <c r="T7751" s="190"/>
      <c r="U7751" s="191"/>
      <c r="V7751" s="191">
        <f>+Table1[[#This Row],[SUBTOTAL]]+Table1[[#This Row],[IVA]]-Table1[[#This Row],[RET IVA]]-Table1[[#This Row],[RET ISR]]</f>
        <v>0</v>
      </c>
      <c r="W7751" s="185"/>
      <c r="X7751" s="186"/>
      <c r="Y7751" s="187"/>
      <c r="Z7751" s="204">
        <f>+Table1[[#This Row],[CONCEPTO]]+Table1[[#This Row],[TIPO2]]-Table1[[#This Row],[IVA]]-Table1[[#This Row],[OTROS IMPUESTOS]]-Table1[[#This Row],[RET IVA]]</f>
        <v>0</v>
      </c>
      <c r="AB7751" t="str">
        <f>IF(Table1[[#This Row],[TIPO2]]="costo", VLOOKUP(Table1[[#This Row],[PARTIDA PRESUPUESTAL]],'Cost Report'!G:G,1,0),"Balance")</f>
        <v>Balance</v>
      </c>
      <c r="AD7751" s="159">
        <f>+Table1[[#This Row],[SUBTOTAL]]+Table1[[#This Row],[IVA]]-Table1[[#This Row],[RET IVA]]-Table1[[#This Row],[RET ISR]]-Table1[[#This Row],[TOTAL]]</f>
        <v>0</v>
      </c>
    </row>
    <row r="7752" spans="1:30">
      <c r="A7752" s="172"/>
      <c r="B7752" s="178"/>
      <c r="C7752" s="179"/>
      <c r="D7752" s="180"/>
      <c r="E7752" s="125"/>
      <c r="F7752" s="178"/>
      <c r="G7752" s="178"/>
      <c r="H7752" s="178"/>
      <c r="I7752" s="178"/>
      <c r="J7752" s="178"/>
      <c r="K7752" s="178"/>
      <c r="L7752" s="125"/>
      <c r="M7752" s="125"/>
      <c r="N7752" s="182"/>
      <c r="O7752" s="177"/>
      <c r="P7752" s="176"/>
      <c r="Q7752" s="176"/>
      <c r="R7752" s="176"/>
      <c r="S7752" s="176"/>
      <c r="T7752" s="190"/>
      <c r="U7752" s="191"/>
      <c r="V7752" s="191">
        <f>+Table1[[#This Row],[SUBTOTAL]]+Table1[[#This Row],[IVA]]-Table1[[#This Row],[RET IVA]]-Table1[[#This Row],[RET ISR]]</f>
        <v>0</v>
      </c>
      <c r="W7752" s="185"/>
      <c r="X7752" s="186"/>
      <c r="Y7752" s="187"/>
      <c r="Z7752" s="204">
        <f>+Table1[[#This Row],[CONCEPTO]]+Table1[[#This Row],[TIPO2]]-Table1[[#This Row],[IVA]]-Table1[[#This Row],[OTROS IMPUESTOS]]-Table1[[#This Row],[RET IVA]]</f>
        <v>0</v>
      </c>
      <c r="AB7752" t="str">
        <f>IF(Table1[[#This Row],[TIPO2]]="costo", VLOOKUP(Table1[[#This Row],[PARTIDA PRESUPUESTAL]],'Cost Report'!G:G,1,0),"Balance")</f>
        <v>Balance</v>
      </c>
      <c r="AD7752" s="159">
        <f>+Table1[[#This Row],[SUBTOTAL]]+Table1[[#This Row],[IVA]]-Table1[[#This Row],[RET IVA]]-Table1[[#This Row],[RET ISR]]-Table1[[#This Row],[TOTAL]]</f>
        <v>0</v>
      </c>
    </row>
    <row r="7753" spans="1:30">
      <c r="A7753" s="172"/>
      <c r="B7753" s="178"/>
      <c r="C7753" s="179"/>
      <c r="D7753" s="180"/>
      <c r="E7753" s="125"/>
      <c r="F7753" s="178"/>
      <c r="G7753" s="178"/>
      <c r="H7753" s="178"/>
      <c r="I7753" s="178"/>
      <c r="J7753" s="178"/>
      <c r="K7753" s="178"/>
      <c r="L7753" s="125"/>
      <c r="M7753" s="125"/>
      <c r="N7753" s="182"/>
      <c r="O7753" s="177"/>
      <c r="P7753" s="176"/>
      <c r="Q7753" s="176"/>
      <c r="R7753" s="176"/>
      <c r="S7753" s="176"/>
      <c r="T7753" s="190"/>
      <c r="U7753" s="191"/>
      <c r="V7753" s="191">
        <f>+Table1[[#This Row],[SUBTOTAL]]+Table1[[#This Row],[IVA]]-Table1[[#This Row],[RET IVA]]-Table1[[#This Row],[RET ISR]]</f>
        <v>0</v>
      </c>
      <c r="W7753" s="185"/>
      <c r="X7753" s="186"/>
      <c r="Y7753" s="187"/>
      <c r="Z7753" s="204">
        <f>+Table1[[#This Row],[CONCEPTO]]+Table1[[#This Row],[TIPO2]]-Table1[[#This Row],[IVA]]-Table1[[#This Row],[OTROS IMPUESTOS]]-Table1[[#This Row],[RET IVA]]</f>
        <v>0</v>
      </c>
      <c r="AB7753" t="str">
        <f>IF(Table1[[#This Row],[TIPO2]]="costo", VLOOKUP(Table1[[#This Row],[PARTIDA PRESUPUESTAL]],'Cost Report'!G:G,1,0),"Balance")</f>
        <v>Balance</v>
      </c>
      <c r="AD7753" s="159">
        <f>+Table1[[#This Row],[SUBTOTAL]]+Table1[[#This Row],[IVA]]-Table1[[#This Row],[RET IVA]]-Table1[[#This Row],[RET ISR]]-Table1[[#This Row],[TOTAL]]</f>
        <v>0</v>
      </c>
    </row>
    <row r="7754" spans="1:30">
      <c r="A7754" s="172"/>
      <c r="B7754" s="178"/>
      <c r="C7754" s="179"/>
      <c r="D7754" s="180"/>
      <c r="E7754" s="125"/>
      <c r="F7754" s="178"/>
      <c r="G7754" s="178"/>
      <c r="H7754" s="178"/>
      <c r="I7754" s="178"/>
      <c r="J7754" s="178"/>
      <c r="K7754" s="178"/>
      <c r="L7754" s="125"/>
      <c r="M7754" s="125"/>
      <c r="N7754" s="182"/>
      <c r="O7754" s="177"/>
      <c r="P7754" s="176"/>
      <c r="Q7754" s="176"/>
      <c r="R7754" s="176"/>
      <c r="S7754" s="176"/>
      <c r="T7754" s="190"/>
      <c r="U7754" s="191"/>
      <c r="V7754" s="191">
        <f>+Table1[[#This Row],[SUBTOTAL]]+Table1[[#This Row],[IVA]]-Table1[[#This Row],[RET IVA]]-Table1[[#This Row],[RET ISR]]</f>
        <v>0</v>
      </c>
      <c r="W7754" s="185"/>
      <c r="X7754" s="186"/>
      <c r="Y7754" s="187"/>
      <c r="Z7754" s="204">
        <f>+Table1[[#This Row],[CONCEPTO]]+Table1[[#This Row],[TIPO2]]-Table1[[#This Row],[IVA]]-Table1[[#This Row],[OTROS IMPUESTOS]]-Table1[[#This Row],[RET IVA]]</f>
        <v>0</v>
      </c>
      <c r="AB7754" t="str">
        <f>IF(Table1[[#This Row],[TIPO2]]="costo", VLOOKUP(Table1[[#This Row],[PARTIDA PRESUPUESTAL]],'Cost Report'!G:G,1,0),"Balance")</f>
        <v>Balance</v>
      </c>
      <c r="AD7754" s="159">
        <f>+Table1[[#This Row],[SUBTOTAL]]+Table1[[#This Row],[IVA]]-Table1[[#This Row],[RET IVA]]-Table1[[#This Row],[RET ISR]]-Table1[[#This Row],[TOTAL]]</f>
        <v>0</v>
      </c>
    </row>
    <row r="7755" spans="1:30">
      <c r="A7755" s="172"/>
      <c r="B7755" s="178"/>
      <c r="C7755" s="179"/>
      <c r="D7755" s="180"/>
      <c r="E7755" s="125"/>
      <c r="F7755" s="178"/>
      <c r="G7755" s="178"/>
      <c r="H7755" s="178"/>
      <c r="I7755" s="178"/>
      <c r="J7755" s="178"/>
      <c r="K7755" s="178"/>
      <c r="L7755" s="125"/>
      <c r="M7755" s="125"/>
      <c r="N7755" s="182"/>
      <c r="O7755" s="177"/>
      <c r="P7755" s="176"/>
      <c r="Q7755" s="176"/>
      <c r="R7755" s="176"/>
      <c r="S7755" s="176"/>
      <c r="T7755" s="190"/>
      <c r="U7755" s="191"/>
      <c r="V7755" s="191">
        <f>+Table1[[#This Row],[SUBTOTAL]]+Table1[[#This Row],[IVA]]-Table1[[#This Row],[RET IVA]]-Table1[[#This Row],[RET ISR]]</f>
        <v>0</v>
      </c>
      <c r="W7755" s="185"/>
      <c r="X7755" s="186"/>
      <c r="Y7755" s="187"/>
      <c r="Z7755" s="204">
        <f>+Table1[[#This Row],[CONCEPTO]]+Table1[[#This Row],[TIPO2]]-Table1[[#This Row],[IVA]]-Table1[[#This Row],[OTROS IMPUESTOS]]-Table1[[#This Row],[RET IVA]]</f>
        <v>0</v>
      </c>
      <c r="AB7755" t="str">
        <f>IF(Table1[[#This Row],[TIPO2]]="costo", VLOOKUP(Table1[[#This Row],[PARTIDA PRESUPUESTAL]],'Cost Report'!G:G,1,0),"Balance")</f>
        <v>Balance</v>
      </c>
      <c r="AD7755" s="159">
        <f>+Table1[[#This Row],[SUBTOTAL]]+Table1[[#This Row],[IVA]]-Table1[[#This Row],[RET IVA]]-Table1[[#This Row],[RET ISR]]-Table1[[#This Row],[TOTAL]]</f>
        <v>0</v>
      </c>
    </row>
    <row r="7756" spans="1:30">
      <c r="A7756" s="172"/>
      <c r="B7756" s="178"/>
      <c r="C7756" s="179"/>
      <c r="D7756" s="180"/>
      <c r="E7756" s="125"/>
      <c r="F7756" s="178"/>
      <c r="G7756" s="178"/>
      <c r="H7756" s="178"/>
      <c r="I7756" s="178"/>
      <c r="J7756" s="178"/>
      <c r="K7756" s="178"/>
      <c r="L7756" s="125"/>
      <c r="M7756" s="125"/>
      <c r="N7756" s="182"/>
      <c r="O7756" s="177"/>
      <c r="P7756" s="176"/>
      <c r="Q7756" s="176"/>
      <c r="R7756" s="176"/>
      <c r="S7756" s="176"/>
      <c r="T7756" s="190"/>
      <c r="U7756" s="191"/>
      <c r="V7756" s="191">
        <f>+Table1[[#This Row],[SUBTOTAL]]+Table1[[#This Row],[IVA]]-Table1[[#This Row],[RET IVA]]-Table1[[#This Row],[RET ISR]]</f>
        <v>0</v>
      </c>
      <c r="W7756" s="185"/>
      <c r="X7756" s="186"/>
      <c r="Y7756" s="187"/>
      <c r="Z7756" s="204">
        <f>+Table1[[#This Row],[CONCEPTO]]+Table1[[#This Row],[TIPO2]]-Table1[[#This Row],[IVA]]-Table1[[#This Row],[OTROS IMPUESTOS]]-Table1[[#This Row],[RET IVA]]</f>
        <v>0</v>
      </c>
      <c r="AB7756" t="str">
        <f>IF(Table1[[#This Row],[TIPO2]]="costo", VLOOKUP(Table1[[#This Row],[PARTIDA PRESUPUESTAL]],'Cost Report'!G:G,1,0),"Balance")</f>
        <v>Balance</v>
      </c>
      <c r="AD7756" s="159">
        <f>+Table1[[#This Row],[SUBTOTAL]]+Table1[[#This Row],[IVA]]-Table1[[#This Row],[RET IVA]]-Table1[[#This Row],[RET ISR]]-Table1[[#This Row],[TOTAL]]</f>
        <v>0</v>
      </c>
    </row>
    <row r="7757" spans="1:30">
      <c r="A7757" s="172"/>
      <c r="B7757" s="178"/>
      <c r="C7757" s="179"/>
      <c r="D7757" s="180"/>
      <c r="E7757" s="125"/>
      <c r="F7757" s="178"/>
      <c r="G7757" s="178"/>
      <c r="H7757" s="178"/>
      <c r="I7757" s="178"/>
      <c r="J7757" s="178"/>
      <c r="K7757" s="178"/>
      <c r="L7757" s="125"/>
      <c r="M7757" s="125"/>
      <c r="N7757" s="182"/>
      <c r="O7757" s="177"/>
      <c r="P7757" s="176"/>
      <c r="Q7757" s="176"/>
      <c r="R7757" s="176"/>
      <c r="S7757" s="176"/>
      <c r="T7757" s="190"/>
      <c r="U7757" s="191"/>
      <c r="V7757" s="191">
        <f>+Table1[[#This Row],[SUBTOTAL]]+Table1[[#This Row],[IVA]]-Table1[[#This Row],[RET IVA]]-Table1[[#This Row],[RET ISR]]</f>
        <v>0</v>
      </c>
      <c r="W7757" s="185"/>
      <c r="X7757" s="186"/>
      <c r="Y7757" s="187"/>
      <c r="Z7757" s="204">
        <f>+Table1[[#This Row],[CONCEPTO]]+Table1[[#This Row],[TIPO2]]-Table1[[#This Row],[IVA]]-Table1[[#This Row],[OTROS IMPUESTOS]]-Table1[[#This Row],[RET IVA]]</f>
        <v>0</v>
      </c>
      <c r="AB7757" t="str">
        <f>IF(Table1[[#This Row],[TIPO2]]="costo", VLOOKUP(Table1[[#This Row],[PARTIDA PRESUPUESTAL]],'Cost Report'!G:G,1,0),"Balance")</f>
        <v>Balance</v>
      </c>
      <c r="AD7757" s="159">
        <f>+Table1[[#This Row],[SUBTOTAL]]+Table1[[#This Row],[IVA]]-Table1[[#This Row],[RET IVA]]-Table1[[#This Row],[RET ISR]]-Table1[[#This Row],[TOTAL]]</f>
        <v>0</v>
      </c>
    </row>
    <row r="7758" spans="1:30">
      <c r="A7758" s="172"/>
      <c r="B7758" s="178"/>
      <c r="C7758" s="179"/>
      <c r="D7758" s="180"/>
      <c r="E7758" s="125"/>
      <c r="F7758" s="178"/>
      <c r="G7758" s="178"/>
      <c r="H7758" s="178"/>
      <c r="I7758" s="178"/>
      <c r="J7758" s="178"/>
      <c r="K7758" s="178"/>
      <c r="L7758" s="125"/>
      <c r="M7758" s="125"/>
      <c r="N7758" s="182"/>
      <c r="O7758" s="177"/>
      <c r="P7758" s="176"/>
      <c r="Q7758" s="176"/>
      <c r="R7758" s="176"/>
      <c r="S7758" s="176"/>
      <c r="T7758" s="190"/>
      <c r="U7758" s="191"/>
      <c r="V7758" s="191">
        <f>+Table1[[#This Row],[SUBTOTAL]]+Table1[[#This Row],[IVA]]-Table1[[#This Row],[RET IVA]]-Table1[[#This Row],[RET ISR]]</f>
        <v>0</v>
      </c>
      <c r="W7758" s="185"/>
      <c r="X7758" s="186"/>
      <c r="Y7758" s="187"/>
      <c r="Z7758" s="204">
        <f>+Table1[[#This Row],[CONCEPTO]]+Table1[[#This Row],[TIPO2]]-Table1[[#This Row],[IVA]]-Table1[[#This Row],[OTROS IMPUESTOS]]-Table1[[#This Row],[RET IVA]]</f>
        <v>0</v>
      </c>
      <c r="AB7758" t="str">
        <f>IF(Table1[[#This Row],[TIPO2]]="costo", VLOOKUP(Table1[[#This Row],[PARTIDA PRESUPUESTAL]],'Cost Report'!G:G,1,0),"Balance")</f>
        <v>Balance</v>
      </c>
      <c r="AD7758" s="159">
        <f>+Table1[[#This Row],[SUBTOTAL]]+Table1[[#This Row],[IVA]]-Table1[[#This Row],[RET IVA]]-Table1[[#This Row],[RET ISR]]-Table1[[#This Row],[TOTAL]]</f>
        <v>0</v>
      </c>
    </row>
    <row r="7759" spans="1:30">
      <c r="A7759" s="172"/>
      <c r="B7759" s="178"/>
      <c r="C7759" s="179"/>
      <c r="D7759" s="180"/>
      <c r="E7759" s="125"/>
      <c r="F7759" s="178"/>
      <c r="G7759" s="178"/>
      <c r="H7759" s="178"/>
      <c r="I7759" s="178"/>
      <c r="J7759" s="178"/>
      <c r="K7759" s="178"/>
      <c r="L7759" s="125"/>
      <c r="M7759" s="125"/>
      <c r="N7759" s="182"/>
      <c r="O7759" s="177"/>
      <c r="P7759" s="176"/>
      <c r="Q7759" s="176"/>
      <c r="R7759" s="176"/>
      <c r="S7759" s="176"/>
      <c r="T7759" s="190"/>
      <c r="U7759" s="191"/>
      <c r="V7759" s="191">
        <f>+Table1[[#This Row],[SUBTOTAL]]+Table1[[#This Row],[IVA]]-Table1[[#This Row],[RET IVA]]-Table1[[#This Row],[RET ISR]]</f>
        <v>0</v>
      </c>
      <c r="W7759" s="185"/>
      <c r="X7759" s="186"/>
      <c r="Y7759" s="187"/>
      <c r="Z7759" s="204">
        <f>+Table1[[#This Row],[CONCEPTO]]+Table1[[#This Row],[TIPO2]]-Table1[[#This Row],[IVA]]-Table1[[#This Row],[OTROS IMPUESTOS]]-Table1[[#This Row],[RET IVA]]</f>
        <v>0</v>
      </c>
      <c r="AB7759" t="str">
        <f>IF(Table1[[#This Row],[TIPO2]]="costo", VLOOKUP(Table1[[#This Row],[PARTIDA PRESUPUESTAL]],'Cost Report'!G:G,1,0),"Balance")</f>
        <v>Balance</v>
      </c>
      <c r="AD7759" s="159">
        <f>+Table1[[#This Row],[SUBTOTAL]]+Table1[[#This Row],[IVA]]-Table1[[#This Row],[RET IVA]]-Table1[[#This Row],[RET ISR]]-Table1[[#This Row],[TOTAL]]</f>
        <v>0</v>
      </c>
    </row>
    <row r="7760" spans="1:30">
      <c r="A7760" s="172"/>
      <c r="B7760" s="178"/>
      <c r="C7760" s="179"/>
      <c r="D7760" s="180"/>
      <c r="E7760" s="125"/>
      <c r="F7760" s="178"/>
      <c r="G7760" s="178"/>
      <c r="H7760" s="178"/>
      <c r="I7760" s="178"/>
      <c r="J7760" s="178"/>
      <c r="K7760" s="178"/>
      <c r="L7760" s="125"/>
      <c r="M7760" s="125"/>
      <c r="N7760" s="182"/>
      <c r="O7760" s="177"/>
      <c r="P7760" s="176"/>
      <c r="Q7760" s="176"/>
      <c r="R7760" s="176"/>
      <c r="S7760" s="176"/>
      <c r="T7760" s="190"/>
      <c r="U7760" s="191"/>
      <c r="V7760" s="191">
        <f>+Table1[[#This Row],[SUBTOTAL]]+Table1[[#This Row],[IVA]]-Table1[[#This Row],[RET IVA]]-Table1[[#This Row],[RET ISR]]</f>
        <v>0</v>
      </c>
      <c r="W7760" s="185"/>
      <c r="X7760" s="186"/>
      <c r="Y7760" s="187"/>
      <c r="Z7760" s="204">
        <f>+Table1[[#This Row],[CONCEPTO]]+Table1[[#This Row],[TIPO2]]-Table1[[#This Row],[IVA]]-Table1[[#This Row],[OTROS IMPUESTOS]]-Table1[[#This Row],[RET IVA]]</f>
        <v>0</v>
      </c>
      <c r="AB7760" t="str">
        <f>IF(Table1[[#This Row],[TIPO2]]="costo", VLOOKUP(Table1[[#This Row],[PARTIDA PRESUPUESTAL]],'Cost Report'!G:G,1,0),"Balance")</f>
        <v>Balance</v>
      </c>
      <c r="AD7760" s="159">
        <f>+Table1[[#This Row],[SUBTOTAL]]+Table1[[#This Row],[IVA]]-Table1[[#This Row],[RET IVA]]-Table1[[#This Row],[RET ISR]]-Table1[[#This Row],[TOTAL]]</f>
        <v>0</v>
      </c>
    </row>
    <row r="7761" spans="1:30">
      <c r="A7761" s="172"/>
      <c r="B7761" s="178"/>
      <c r="C7761" s="179"/>
      <c r="D7761" s="180"/>
      <c r="E7761" s="125"/>
      <c r="F7761" s="178"/>
      <c r="G7761" s="178"/>
      <c r="H7761" s="178"/>
      <c r="I7761" s="178"/>
      <c r="J7761" s="178"/>
      <c r="K7761" s="178"/>
      <c r="L7761" s="125"/>
      <c r="M7761" s="125"/>
      <c r="N7761" s="182"/>
      <c r="O7761" s="177"/>
      <c r="P7761" s="176"/>
      <c r="Q7761" s="176"/>
      <c r="R7761" s="176"/>
      <c r="S7761" s="176"/>
      <c r="T7761" s="190"/>
      <c r="U7761" s="191"/>
      <c r="V7761" s="191">
        <f>+Table1[[#This Row],[SUBTOTAL]]+Table1[[#This Row],[IVA]]-Table1[[#This Row],[RET IVA]]-Table1[[#This Row],[RET ISR]]</f>
        <v>0</v>
      </c>
      <c r="W7761" s="185"/>
      <c r="X7761" s="186"/>
      <c r="Y7761" s="187"/>
      <c r="Z7761" s="204">
        <f>+Table1[[#This Row],[CONCEPTO]]+Table1[[#This Row],[TIPO2]]-Table1[[#This Row],[IVA]]-Table1[[#This Row],[OTROS IMPUESTOS]]-Table1[[#This Row],[RET IVA]]</f>
        <v>0</v>
      </c>
      <c r="AB7761" t="str">
        <f>IF(Table1[[#This Row],[TIPO2]]="costo", VLOOKUP(Table1[[#This Row],[PARTIDA PRESUPUESTAL]],'Cost Report'!G:G,1,0),"Balance")</f>
        <v>Balance</v>
      </c>
      <c r="AD7761" s="159">
        <f>+Table1[[#This Row],[SUBTOTAL]]+Table1[[#This Row],[IVA]]-Table1[[#This Row],[RET IVA]]-Table1[[#This Row],[RET ISR]]-Table1[[#This Row],[TOTAL]]</f>
        <v>0</v>
      </c>
    </row>
    <row r="7762" spans="1:30">
      <c r="A7762" s="172"/>
      <c r="B7762" s="178"/>
      <c r="C7762" s="179"/>
      <c r="D7762" s="180"/>
      <c r="E7762" s="125"/>
      <c r="F7762" s="178"/>
      <c r="G7762" s="178"/>
      <c r="H7762" s="178"/>
      <c r="I7762" s="178"/>
      <c r="J7762" s="178"/>
      <c r="K7762" s="178"/>
      <c r="L7762" s="125"/>
      <c r="M7762" s="125"/>
      <c r="N7762" s="182"/>
      <c r="O7762" s="177"/>
      <c r="P7762" s="176"/>
      <c r="Q7762" s="176"/>
      <c r="R7762" s="176"/>
      <c r="S7762" s="176"/>
      <c r="T7762" s="190"/>
      <c r="U7762" s="191"/>
      <c r="V7762" s="191">
        <f>+Table1[[#This Row],[SUBTOTAL]]+Table1[[#This Row],[IVA]]-Table1[[#This Row],[RET IVA]]-Table1[[#This Row],[RET ISR]]</f>
        <v>0</v>
      </c>
      <c r="W7762" s="185"/>
      <c r="X7762" s="186"/>
      <c r="Y7762" s="187"/>
      <c r="Z7762" s="204">
        <f>+Table1[[#This Row],[CONCEPTO]]+Table1[[#This Row],[TIPO2]]-Table1[[#This Row],[IVA]]-Table1[[#This Row],[OTROS IMPUESTOS]]-Table1[[#This Row],[RET IVA]]</f>
        <v>0</v>
      </c>
      <c r="AB7762" t="str">
        <f>IF(Table1[[#This Row],[TIPO2]]="costo", VLOOKUP(Table1[[#This Row],[PARTIDA PRESUPUESTAL]],'Cost Report'!G:G,1,0),"Balance")</f>
        <v>Balance</v>
      </c>
      <c r="AD7762" s="159">
        <f>+Table1[[#This Row],[SUBTOTAL]]+Table1[[#This Row],[IVA]]-Table1[[#This Row],[RET IVA]]-Table1[[#This Row],[RET ISR]]-Table1[[#This Row],[TOTAL]]</f>
        <v>0</v>
      </c>
    </row>
    <row r="7763" spans="1:30">
      <c r="A7763" s="172"/>
      <c r="B7763" s="178"/>
      <c r="C7763" s="179"/>
      <c r="D7763" s="180"/>
      <c r="E7763" s="125"/>
      <c r="F7763" s="178"/>
      <c r="G7763" s="178"/>
      <c r="H7763" s="178"/>
      <c r="I7763" s="178"/>
      <c r="J7763" s="178"/>
      <c r="K7763" s="178"/>
      <c r="L7763" s="125"/>
      <c r="M7763" s="125"/>
      <c r="N7763" s="182"/>
      <c r="O7763" s="177"/>
      <c r="P7763" s="176"/>
      <c r="Q7763" s="176"/>
      <c r="R7763" s="176"/>
      <c r="S7763" s="176"/>
      <c r="T7763" s="190"/>
      <c r="U7763" s="191"/>
      <c r="V7763" s="191">
        <f>+Table1[[#This Row],[SUBTOTAL]]+Table1[[#This Row],[IVA]]-Table1[[#This Row],[RET IVA]]-Table1[[#This Row],[RET ISR]]</f>
        <v>0</v>
      </c>
      <c r="W7763" s="185"/>
      <c r="X7763" s="186"/>
      <c r="Y7763" s="187"/>
      <c r="Z7763" s="204">
        <f>+Table1[[#This Row],[CONCEPTO]]+Table1[[#This Row],[TIPO2]]-Table1[[#This Row],[IVA]]-Table1[[#This Row],[OTROS IMPUESTOS]]-Table1[[#This Row],[RET IVA]]</f>
        <v>0</v>
      </c>
      <c r="AB7763" t="str">
        <f>IF(Table1[[#This Row],[TIPO2]]="costo", VLOOKUP(Table1[[#This Row],[PARTIDA PRESUPUESTAL]],'Cost Report'!G:G,1,0),"Balance")</f>
        <v>Balance</v>
      </c>
      <c r="AD7763" s="159">
        <f>+Table1[[#This Row],[SUBTOTAL]]+Table1[[#This Row],[IVA]]-Table1[[#This Row],[RET IVA]]-Table1[[#This Row],[RET ISR]]-Table1[[#This Row],[TOTAL]]</f>
        <v>0</v>
      </c>
    </row>
    <row r="7764" spans="1:30">
      <c r="A7764" s="172"/>
      <c r="B7764" s="178"/>
      <c r="C7764" s="179"/>
      <c r="D7764" s="180"/>
      <c r="E7764" s="125"/>
      <c r="F7764" s="178"/>
      <c r="G7764" s="178"/>
      <c r="H7764" s="178"/>
      <c r="I7764" s="178"/>
      <c r="J7764" s="178"/>
      <c r="K7764" s="178"/>
      <c r="L7764" s="125"/>
      <c r="M7764" s="125"/>
      <c r="N7764" s="182"/>
      <c r="O7764" s="177"/>
      <c r="P7764" s="176"/>
      <c r="Q7764" s="176"/>
      <c r="R7764" s="176"/>
      <c r="S7764" s="176"/>
      <c r="T7764" s="190"/>
      <c r="U7764" s="191"/>
      <c r="V7764" s="191">
        <f>+Table1[[#This Row],[SUBTOTAL]]+Table1[[#This Row],[IVA]]-Table1[[#This Row],[RET IVA]]-Table1[[#This Row],[RET ISR]]</f>
        <v>0</v>
      </c>
      <c r="W7764" s="185"/>
      <c r="X7764" s="186"/>
      <c r="Y7764" s="187"/>
      <c r="Z7764" s="204">
        <f>+Table1[[#This Row],[CONCEPTO]]+Table1[[#This Row],[TIPO2]]-Table1[[#This Row],[IVA]]-Table1[[#This Row],[OTROS IMPUESTOS]]-Table1[[#This Row],[RET IVA]]</f>
        <v>0</v>
      </c>
      <c r="AB7764" t="str">
        <f>IF(Table1[[#This Row],[TIPO2]]="costo", VLOOKUP(Table1[[#This Row],[PARTIDA PRESUPUESTAL]],'Cost Report'!G:G,1,0),"Balance")</f>
        <v>Balance</v>
      </c>
      <c r="AD7764" s="159">
        <f>+Table1[[#This Row],[SUBTOTAL]]+Table1[[#This Row],[IVA]]-Table1[[#This Row],[RET IVA]]-Table1[[#This Row],[RET ISR]]-Table1[[#This Row],[TOTAL]]</f>
        <v>0</v>
      </c>
    </row>
    <row r="7765" spans="1:30">
      <c r="A7765" s="172"/>
      <c r="B7765" s="178"/>
      <c r="C7765" s="179"/>
      <c r="D7765" s="180"/>
      <c r="E7765" s="125"/>
      <c r="F7765" s="178"/>
      <c r="G7765" s="178"/>
      <c r="H7765" s="178"/>
      <c r="I7765" s="178"/>
      <c r="J7765" s="178"/>
      <c r="K7765" s="178"/>
      <c r="L7765" s="125"/>
      <c r="M7765" s="125"/>
      <c r="N7765" s="182"/>
      <c r="O7765" s="177"/>
      <c r="P7765" s="176"/>
      <c r="Q7765" s="176"/>
      <c r="R7765" s="176"/>
      <c r="S7765" s="176"/>
      <c r="T7765" s="190"/>
      <c r="U7765" s="191"/>
      <c r="V7765" s="191">
        <f>+Table1[[#This Row],[SUBTOTAL]]+Table1[[#This Row],[IVA]]-Table1[[#This Row],[RET IVA]]-Table1[[#This Row],[RET ISR]]</f>
        <v>0</v>
      </c>
      <c r="W7765" s="185"/>
      <c r="X7765" s="186"/>
      <c r="Y7765" s="187"/>
      <c r="Z7765" s="204">
        <f>+Table1[[#This Row],[CONCEPTO]]+Table1[[#This Row],[TIPO2]]-Table1[[#This Row],[IVA]]-Table1[[#This Row],[OTROS IMPUESTOS]]-Table1[[#This Row],[RET IVA]]</f>
        <v>0</v>
      </c>
      <c r="AB7765" t="str">
        <f>IF(Table1[[#This Row],[TIPO2]]="costo", VLOOKUP(Table1[[#This Row],[PARTIDA PRESUPUESTAL]],'Cost Report'!G:G,1,0),"Balance")</f>
        <v>Balance</v>
      </c>
      <c r="AD7765" s="159">
        <f>+Table1[[#This Row],[SUBTOTAL]]+Table1[[#This Row],[IVA]]-Table1[[#This Row],[RET IVA]]-Table1[[#This Row],[RET ISR]]-Table1[[#This Row],[TOTAL]]</f>
        <v>0</v>
      </c>
    </row>
    <row r="7766" spans="1:30">
      <c r="A7766" s="172"/>
      <c r="B7766" s="178"/>
      <c r="C7766" s="179"/>
      <c r="D7766" s="180"/>
      <c r="E7766" s="125"/>
      <c r="F7766" s="178"/>
      <c r="G7766" s="178"/>
      <c r="H7766" s="178"/>
      <c r="I7766" s="178"/>
      <c r="J7766" s="178"/>
      <c r="K7766" s="178"/>
      <c r="L7766" s="125"/>
      <c r="M7766" s="125"/>
      <c r="N7766" s="182"/>
      <c r="O7766" s="177"/>
      <c r="P7766" s="176"/>
      <c r="Q7766" s="176"/>
      <c r="R7766" s="176"/>
      <c r="S7766" s="176"/>
      <c r="T7766" s="190"/>
      <c r="U7766" s="191"/>
      <c r="V7766" s="191">
        <f>+Table1[[#This Row],[SUBTOTAL]]+Table1[[#This Row],[IVA]]-Table1[[#This Row],[RET IVA]]-Table1[[#This Row],[RET ISR]]</f>
        <v>0</v>
      </c>
      <c r="W7766" s="185"/>
      <c r="X7766" s="186"/>
      <c r="Y7766" s="187"/>
      <c r="Z7766" s="204">
        <f>+Table1[[#This Row],[CONCEPTO]]+Table1[[#This Row],[TIPO2]]-Table1[[#This Row],[IVA]]-Table1[[#This Row],[OTROS IMPUESTOS]]-Table1[[#This Row],[RET IVA]]</f>
        <v>0</v>
      </c>
      <c r="AB7766" t="str">
        <f>IF(Table1[[#This Row],[TIPO2]]="costo", VLOOKUP(Table1[[#This Row],[PARTIDA PRESUPUESTAL]],'Cost Report'!G:G,1,0),"Balance")</f>
        <v>Balance</v>
      </c>
      <c r="AD7766" s="159">
        <f>+Table1[[#This Row],[SUBTOTAL]]+Table1[[#This Row],[IVA]]-Table1[[#This Row],[RET IVA]]-Table1[[#This Row],[RET ISR]]-Table1[[#This Row],[TOTAL]]</f>
        <v>0</v>
      </c>
    </row>
    <row r="7767" spans="1:30">
      <c r="A7767" s="172"/>
      <c r="B7767" s="178"/>
      <c r="C7767" s="179"/>
      <c r="D7767" s="180"/>
      <c r="E7767" s="125"/>
      <c r="F7767" s="178"/>
      <c r="G7767" s="178"/>
      <c r="H7767" s="178"/>
      <c r="I7767" s="178"/>
      <c r="J7767" s="178"/>
      <c r="K7767" s="178"/>
      <c r="L7767" s="125"/>
      <c r="M7767" s="125"/>
      <c r="N7767" s="182"/>
      <c r="O7767" s="177"/>
      <c r="P7767" s="176"/>
      <c r="Q7767" s="176"/>
      <c r="R7767" s="176"/>
      <c r="S7767" s="176"/>
      <c r="T7767" s="190"/>
      <c r="U7767" s="191"/>
      <c r="V7767" s="191">
        <f>+Table1[[#This Row],[SUBTOTAL]]+Table1[[#This Row],[IVA]]-Table1[[#This Row],[RET IVA]]-Table1[[#This Row],[RET ISR]]</f>
        <v>0</v>
      </c>
      <c r="W7767" s="185"/>
      <c r="X7767" s="186"/>
      <c r="Y7767" s="187"/>
      <c r="Z7767" s="204">
        <f>+Table1[[#This Row],[CONCEPTO]]+Table1[[#This Row],[TIPO2]]-Table1[[#This Row],[IVA]]-Table1[[#This Row],[OTROS IMPUESTOS]]-Table1[[#This Row],[RET IVA]]</f>
        <v>0</v>
      </c>
      <c r="AB7767" t="str">
        <f>IF(Table1[[#This Row],[TIPO2]]="costo", VLOOKUP(Table1[[#This Row],[PARTIDA PRESUPUESTAL]],'Cost Report'!G:G,1,0),"Balance")</f>
        <v>Balance</v>
      </c>
      <c r="AD7767" s="159">
        <f>+Table1[[#This Row],[SUBTOTAL]]+Table1[[#This Row],[IVA]]-Table1[[#This Row],[RET IVA]]-Table1[[#This Row],[RET ISR]]-Table1[[#This Row],[TOTAL]]</f>
        <v>0</v>
      </c>
    </row>
    <row r="7768" spans="1:30">
      <c r="A7768" s="172"/>
      <c r="B7768" s="178"/>
      <c r="C7768" s="179"/>
      <c r="D7768" s="180"/>
      <c r="E7768" s="125"/>
      <c r="F7768" s="178"/>
      <c r="G7768" s="178"/>
      <c r="H7768" s="178"/>
      <c r="I7768" s="178"/>
      <c r="J7768" s="178"/>
      <c r="K7768" s="178"/>
      <c r="L7768" s="125"/>
      <c r="M7768" s="125"/>
      <c r="N7768" s="182"/>
      <c r="O7768" s="177"/>
      <c r="P7768" s="176"/>
      <c r="Q7768" s="176"/>
      <c r="R7768" s="176"/>
      <c r="S7768" s="176"/>
      <c r="T7768" s="190"/>
      <c r="U7768" s="191"/>
      <c r="V7768" s="191">
        <f>+Table1[[#This Row],[SUBTOTAL]]+Table1[[#This Row],[IVA]]-Table1[[#This Row],[RET IVA]]-Table1[[#This Row],[RET ISR]]</f>
        <v>0</v>
      </c>
      <c r="W7768" s="185"/>
      <c r="X7768" s="186"/>
      <c r="Y7768" s="187"/>
      <c r="Z7768" s="204">
        <f>+Table1[[#This Row],[CONCEPTO]]+Table1[[#This Row],[TIPO2]]-Table1[[#This Row],[IVA]]-Table1[[#This Row],[OTROS IMPUESTOS]]-Table1[[#This Row],[RET IVA]]</f>
        <v>0</v>
      </c>
      <c r="AB7768" t="str">
        <f>IF(Table1[[#This Row],[TIPO2]]="costo", VLOOKUP(Table1[[#This Row],[PARTIDA PRESUPUESTAL]],'Cost Report'!G:G,1,0),"Balance")</f>
        <v>Balance</v>
      </c>
      <c r="AD7768" s="159">
        <f>+Table1[[#This Row],[SUBTOTAL]]+Table1[[#This Row],[IVA]]-Table1[[#This Row],[RET IVA]]-Table1[[#This Row],[RET ISR]]-Table1[[#This Row],[TOTAL]]</f>
        <v>0</v>
      </c>
    </row>
    <row r="7769" spans="1:30">
      <c r="A7769" s="172"/>
      <c r="B7769" s="178"/>
      <c r="C7769" s="179"/>
      <c r="D7769" s="180"/>
      <c r="E7769" s="125"/>
      <c r="F7769" s="178"/>
      <c r="G7769" s="178"/>
      <c r="H7769" s="178"/>
      <c r="I7769" s="178"/>
      <c r="J7769" s="178"/>
      <c r="K7769" s="178"/>
      <c r="L7769" s="125"/>
      <c r="M7769" s="125"/>
      <c r="N7769" s="182"/>
      <c r="O7769" s="177"/>
      <c r="P7769" s="176"/>
      <c r="Q7769" s="176"/>
      <c r="R7769" s="176"/>
      <c r="S7769" s="176"/>
      <c r="T7769" s="190"/>
      <c r="U7769" s="191"/>
      <c r="V7769" s="191">
        <f>+Table1[[#This Row],[SUBTOTAL]]+Table1[[#This Row],[IVA]]-Table1[[#This Row],[RET IVA]]-Table1[[#This Row],[RET ISR]]</f>
        <v>0</v>
      </c>
      <c r="W7769" s="185"/>
      <c r="X7769" s="186"/>
      <c r="Y7769" s="187"/>
      <c r="Z7769" s="204">
        <f>+Table1[[#This Row],[CONCEPTO]]+Table1[[#This Row],[TIPO2]]-Table1[[#This Row],[IVA]]-Table1[[#This Row],[OTROS IMPUESTOS]]-Table1[[#This Row],[RET IVA]]</f>
        <v>0</v>
      </c>
      <c r="AB7769" t="str">
        <f>IF(Table1[[#This Row],[TIPO2]]="costo", VLOOKUP(Table1[[#This Row],[PARTIDA PRESUPUESTAL]],'Cost Report'!G:G,1,0),"Balance")</f>
        <v>Balance</v>
      </c>
      <c r="AD7769" s="159">
        <f>+Table1[[#This Row],[SUBTOTAL]]+Table1[[#This Row],[IVA]]-Table1[[#This Row],[RET IVA]]-Table1[[#This Row],[RET ISR]]-Table1[[#This Row],[TOTAL]]</f>
        <v>0</v>
      </c>
    </row>
    <row r="7770" spans="1:30">
      <c r="A7770" s="172"/>
      <c r="B7770" s="178"/>
      <c r="C7770" s="179"/>
      <c r="D7770" s="180"/>
      <c r="E7770" s="125"/>
      <c r="F7770" s="178"/>
      <c r="G7770" s="178"/>
      <c r="H7770" s="178"/>
      <c r="I7770" s="178"/>
      <c r="J7770" s="178"/>
      <c r="K7770" s="178"/>
      <c r="L7770" s="125"/>
      <c r="M7770" s="125"/>
      <c r="N7770" s="182"/>
      <c r="O7770" s="177"/>
      <c r="P7770" s="176"/>
      <c r="Q7770" s="176"/>
      <c r="R7770" s="176"/>
      <c r="S7770" s="176"/>
      <c r="T7770" s="190"/>
      <c r="U7770" s="191"/>
      <c r="V7770" s="191">
        <f>+Table1[[#This Row],[SUBTOTAL]]+Table1[[#This Row],[IVA]]-Table1[[#This Row],[RET IVA]]-Table1[[#This Row],[RET ISR]]</f>
        <v>0</v>
      </c>
      <c r="W7770" s="185"/>
      <c r="X7770" s="186"/>
      <c r="Y7770" s="187"/>
      <c r="Z7770" s="204">
        <f>+Table1[[#This Row],[CONCEPTO]]+Table1[[#This Row],[TIPO2]]-Table1[[#This Row],[IVA]]-Table1[[#This Row],[OTROS IMPUESTOS]]-Table1[[#This Row],[RET IVA]]</f>
        <v>0</v>
      </c>
      <c r="AB7770" t="str">
        <f>IF(Table1[[#This Row],[TIPO2]]="costo", VLOOKUP(Table1[[#This Row],[PARTIDA PRESUPUESTAL]],'Cost Report'!G:G,1,0),"Balance")</f>
        <v>Balance</v>
      </c>
      <c r="AD7770" s="159">
        <f>+Table1[[#This Row],[SUBTOTAL]]+Table1[[#This Row],[IVA]]-Table1[[#This Row],[RET IVA]]-Table1[[#This Row],[RET ISR]]-Table1[[#This Row],[TOTAL]]</f>
        <v>0</v>
      </c>
    </row>
    <row r="7771" spans="1:30">
      <c r="A7771" s="172"/>
      <c r="B7771" s="178"/>
      <c r="C7771" s="179"/>
      <c r="D7771" s="180"/>
      <c r="E7771" s="125"/>
      <c r="F7771" s="178"/>
      <c r="G7771" s="178"/>
      <c r="H7771" s="178"/>
      <c r="I7771" s="178"/>
      <c r="J7771" s="178"/>
      <c r="K7771" s="178"/>
      <c r="L7771" s="125"/>
      <c r="M7771" s="125"/>
      <c r="N7771" s="182"/>
      <c r="O7771" s="177"/>
      <c r="P7771" s="176"/>
      <c r="Q7771" s="176"/>
      <c r="R7771" s="176"/>
      <c r="S7771" s="176"/>
      <c r="T7771" s="190"/>
      <c r="U7771" s="191"/>
      <c r="V7771" s="191">
        <f>+Table1[[#This Row],[SUBTOTAL]]+Table1[[#This Row],[IVA]]-Table1[[#This Row],[RET IVA]]-Table1[[#This Row],[RET ISR]]</f>
        <v>0</v>
      </c>
      <c r="W7771" s="185"/>
      <c r="X7771" s="186"/>
      <c r="Y7771" s="187"/>
      <c r="Z7771" s="204">
        <f>+Table1[[#This Row],[CONCEPTO]]+Table1[[#This Row],[TIPO2]]-Table1[[#This Row],[IVA]]-Table1[[#This Row],[OTROS IMPUESTOS]]-Table1[[#This Row],[RET IVA]]</f>
        <v>0</v>
      </c>
      <c r="AB7771" t="str">
        <f>IF(Table1[[#This Row],[TIPO2]]="costo", VLOOKUP(Table1[[#This Row],[PARTIDA PRESUPUESTAL]],'Cost Report'!G:G,1,0),"Balance")</f>
        <v>Balance</v>
      </c>
      <c r="AD7771" s="159">
        <f>+Table1[[#This Row],[SUBTOTAL]]+Table1[[#This Row],[IVA]]-Table1[[#This Row],[RET IVA]]-Table1[[#This Row],[RET ISR]]-Table1[[#This Row],[TOTAL]]</f>
        <v>0</v>
      </c>
    </row>
    <row r="7772" spans="1:30">
      <c r="A7772" s="172"/>
      <c r="B7772" s="178"/>
      <c r="C7772" s="179"/>
      <c r="D7772" s="180"/>
      <c r="E7772" s="125"/>
      <c r="F7772" s="178"/>
      <c r="G7772" s="178"/>
      <c r="H7772" s="178"/>
      <c r="I7772" s="178"/>
      <c r="J7772" s="178"/>
      <c r="K7772" s="178"/>
      <c r="L7772" s="125"/>
      <c r="M7772" s="125"/>
      <c r="N7772" s="182"/>
      <c r="O7772" s="177"/>
      <c r="P7772" s="176"/>
      <c r="Q7772" s="176"/>
      <c r="R7772" s="176"/>
      <c r="S7772" s="176"/>
      <c r="T7772" s="190"/>
      <c r="U7772" s="191"/>
      <c r="V7772" s="191">
        <f>+Table1[[#This Row],[SUBTOTAL]]+Table1[[#This Row],[IVA]]-Table1[[#This Row],[RET IVA]]-Table1[[#This Row],[RET ISR]]</f>
        <v>0</v>
      </c>
      <c r="W7772" s="185"/>
      <c r="X7772" s="186"/>
      <c r="Y7772" s="187"/>
      <c r="Z7772" s="204">
        <f>+Table1[[#This Row],[CONCEPTO]]+Table1[[#This Row],[TIPO2]]-Table1[[#This Row],[IVA]]-Table1[[#This Row],[OTROS IMPUESTOS]]-Table1[[#This Row],[RET IVA]]</f>
        <v>0</v>
      </c>
      <c r="AB7772" t="str">
        <f>IF(Table1[[#This Row],[TIPO2]]="costo", VLOOKUP(Table1[[#This Row],[PARTIDA PRESUPUESTAL]],'Cost Report'!G:G,1,0),"Balance")</f>
        <v>Balance</v>
      </c>
      <c r="AD7772" s="159">
        <f>+Table1[[#This Row],[SUBTOTAL]]+Table1[[#This Row],[IVA]]-Table1[[#This Row],[RET IVA]]-Table1[[#This Row],[RET ISR]]-Table1[[#This Row],[TOTAL]]</f>
        <v>0</v>
      </c>
    </row>
    <row r="7773" spans="1:30">
      <c r="A7773" s="172"/>
      <c r="B7773" s="178"/>
      <c r="C7773" s="179"/>
      <c r="D7773" s="180"/>
      <c r="E7773" s="125"/>
      <c r="F7773" s="178"/>
      <c r="G7773" s="178"/>
      <c r="H7773" s="178"/>
      <c r="I7773" s="178"/>
      <c r="J7773" s="178"/>
      <c r="K7773" s="178"/>
      <c r="L7773" s="125"/>
      <c r="M7773" s="125"/>
      <c r="N7773" s="182"/>
      <c r="O7773" s="177"/>
      <c r="P7773" s="176"/>
      <c r="Q7773" s="176"/>
      <c r="R7773" s="176"/>
      <c r="S7773" s="176"/>
      <c r="T7773" s="190"/>
      <c r="U7773" s="191"/>
      <c r="V7773" s="191">
        <f>+Table1[[#This Row],[SUBTOTAL]]+Table1[[#This Row],[IVA]]-Table1[[#This Row],[RET IVA]]-Table1[[#This Row],[RET ISR]]</f>
        <v>0</v>
      </c>
      <c r="W7773" s="185"/>
      <c r="X7773" s="186"/>
      <c r="Y7773" s="187"/>
      <c r="Z7773" s="204">
        <f>+Table1[[#This Row],[CONCEPTO]]+Table1[[#This Row],[TIPO2]]-Table1[[#This Row],[IVA]]-Table1[[#This Row],[OTROS IMPUESTOS]]-Table1[[#This Row],[RET IVA]]</f>
        <v>0</v>
      </c>
      <c r="AB7773" t="str">
        <f>IF(Table1[[#This Row],[TIPO2]]="costo", VLOOKUP(Table1[[#This Row],[PARTIDA PRESUPUESTAL]],'Cost Report'!G:G,1,0),"Balance")</f>
        <v>Balance</v>
      </c>
      <c r="AD7773" s="159">
        <f>+Table1[[#This Row],[SUBTOTAL]]+Table1[[#This Row],[IVA]]-Table1[[#This Row],[RET IVA]]-Table1[[#This Row],[RET ISR]]-Table1[[#This Row],[TOTAL]]</f>
        <v>0</v>
      </c>
    </row>
    <row r="7774" spans="1:30">
      <c r="A7774" s="172"/>
      <c r="B7774" s="178"/>
      <c r="C7774" s="179"/>
      <c r="D7774" s="180"/>
      <c r="E7774" s="125"/>
      <c r="F7774" s="178"/>
      <c r="G7774" s="178"/>
      <c r="H7774" s="178"/>
      <c r="I7774" s="178"/>
      <c r="J7774" s="178"/>
      <c r="K7774" s="178"/>
      <c r="L7774" s="125"/>
      <c r="M7774" s="125"/>
      <c r="N7774" s="182"/>
      <c r="O7774" s="177"/>
      <c r="P7774" s="176"/>
      <c r="Q7774" s="176"/>
      <c r="R7774" s="176"/>
      <c r="S7774" s="176"/>
      <c r="T7774" s="190"/>
      <c r="U7774" s="191"/>
      <c r="V7774" s="191">
        <f>+Table1[[#This Row],[SUBTOTAL]]+Table1[[#This Row],[IVA]]-Table1[[#This Row],[RET IVA]]-Table1[[#This Row],[RET ISR]]</f>
        <v>0</v>
      </c>
      <c r="W7774" s="185"/>
      <c r="X7774" s="186"/>
      <c r="Y7774" s="187"/>
      <c r="Z7774" s="204">
        <f>+Table1[[#This Row],[CONCEPTO]]+Table1[[#This Row],[TIPO2]]-Table1[[#This Row],[IVA]]-Table1[[#This Row],[OTROS IMPUESTOS]]-Table1[[#This Row],[RET IVA]]</f>
        <v>0</v>
      </c>
      <c r="AB7774" t="str">
        <f>IF(Table1[[#This Row],[TIPO2]]="costo", VLOOKUP(Table1[[#This Row],[PARTIDA PRESUPUESTAL]],'Cost Report'!G:G,1,0),"Balance")</f>
        <v>Balance</v>
      </c>
      <c r="AD7774" s="159">
        <f>+Table1[[#This Row],[SUBTOTAL]]+Table1[[#This Row],[IVA]]-Table1[[#This Row],[RET IVA]]-Table1[[#This Row],[RET ISR]]-Table1[[#This Row],[TOTAL]]</f>
        <v>0</v>
      </c>
    </row>
    <row r="7775" spans="1:30">
      <c r="A7775" s="172"/>
      <c r="B7775" s="178"/>
      <c r="C7775" s="179"/>
      <c r="D7775" s="180"/>
      <c r="E7775" s="125"/>
      <c r="F7775" s="178"/>
      <c r="G7775" s="178"/>
      <c r="H7775" s="178"/>
      <c r="I7775" s="178"/>
      <c r="J7775" s="178"/>
      <c r="K7775" s="178"/>
      <c r="L7775" s="125"/>
      <c r="M7775" s="125"/>
      <c r="N7775" s="182"/>
      <c r="O7775" s="177"/>
      <c r="P7775" s="176"/>
      <c r="Q7775" s="176"/>
      <c r="R7775" s="176"/>
      <c r="S7775" s="176"/>
      <c r="T7775" s="190"/>
      <c r="U7775" s="191"/>
      <c r="V7775" s="191">
        <f>+Table1[[#This Row],[SUBTOTAL]]+Table1[[#This Row],[IVA]]-Table1[[#This Row],[RET IVA]]-Table1[[#This Row],[RET ISR]]</f>
        <v>0</v>
      </c>
      <c r="W7775" s="185"/>
      <c r="X7775" s="186"/>
      <c r="Y7775" s="187"/>
      <c r="Z7775" s="204">
        <f>+Table1[[#This Row],[CONCEPTO]]+Table1[[#This Row],[TIPO2]]-Table1[[#This Row],[IVA]]-Table1[[#This Row],[OTROS IMPUESTOS]]-Table1[[#This Row],[RET IVA]]</f>
        <v>0</v>
      </c>
      <c r="AB7775" t="str">
        <f>IF(Table1[[#This Row],[TIPO2]]="costo", VLOOKUP(Table1[[#This Row],[PARTIDA PRESUPUESTAL]],'Cost Report'!G:G,1,0),"Balance")</f>
        <v>Balance</v>
      </c>
      <c r="AD7775" s="159">
        <f>+Table1[[#This Row],[SUBTOTAL]]+Table1[[#This Row],[IVA]]-Table1[[#This Row],[RET IVA]]-Table1[[#This Row],[RET ISR]]-Table1[[#This Row],[TOTAL]]</f>
        <v>0</v>
      </c>
    </row>
    <row r="7776" spans="1:30">
      <c r="A7776" s="172"/>
      <c r="B7776" s="178"/>
      <c r="C7776" s="179"/>
      <c r="D7776" s="180"/>
      <c r="E7776" s="125"/>
      <c r="F7776" s="178"/>
      <c r="G7776" s="178"/>
      <c r="H7776" s="178"/>
      <c r="I7776" s="178"/>
      <c r="J7776" s="178"/>
      <c r="K7776" s="178"/>
      <c r="L7776" s="125"/>
      <c r="M7776" s="125"/>
      <c r="N7776" s="182"/>
      <c r="O7776" s="177"/>
      <c r="P7776" s="176"/>
      <c r="Q7776" s="176"/>
      <c r="R7776" s="176"/>
      <c r="S7776" s="176"/>
      <c r="T7776" s="190"/>
      <c r="U7776" s="191"/>
      <c r="V7776" s="191">
        <f>+Table1[[#This Row],[SUBTOTAL]]+Table1[[#This Row],[IVA]]-Table1[[#This Row],[RET IVA]]-Table1[[#This Row],[RET ISR]]</f>
        <v>0</v>
      </c>
      <c r="W7776" s="185"/>
      <c r="X7776" s="186"/>
      <c r="Y7776" s="187"/>
      <c r="Z7776" s="204">
        <f>+Table1[[#This Row],[CONCEPTO]]+Table1[[#This Row],[TIPO2]]-Table1[[#This Row],[IVA]]-Table1[[#This Row],[OTROS IMPUESTOS]]-Table1[[#This Row],[RET IVA]]</f>
        <v>0</v>
      </c>
      <c r="AB7776" t="str">
        <f>IF(Table1[[#This Row],[TIPO2]]="costo", VLOOKUP(Table1[[#This Row],[PARTIDA PRESUPUESTAL]],'Cost Report'!G:G,1,0),"Balance")</f>
        <v>Balance</v>
      </c>
      <c r="AD7776" s="159">
        <f>+Table1[[#This Row],[SUBTOTAL]]+Table1[[#This Row],[IVA]]-Table1[[#This Row],[RET IVA]]-Table1[[#This Row],[RET ISR]]-Table1[[#This Row],[TOTAL]]</f>
        <v>0</v>
      </c>
    </row>
    <row r="7777" spans="1:30">
      <c r="A7777" s="172"/>
      <c r="B7777" s="178"/>
      <c r="C7777" s="179"/>
      <c r="D7777" s="180"/>
      <c r="E7777" s="125"/>
      <c r="F7777" s="178"/>
      <c r="G7777" s="178"/>
      <c r="H7777" s="178"/>
      <c r="I7777" s="178"/>
      <c r="J7777" s="178"/>
      <c r="K7777" s="178"/>
      <c r="L7777" s="125"/>
      <c r="M7777" s="125"/>
      <c r="N7777" s="182"/>
      <c r="O7777" s="177"/>
      <c r="P7777" s="176"/>
      <c r="Q7777" s="176"/>
      <c r="R7777" s="176"/>
      <c r="S7777" s="176"/>
      <c r="T7777" s="190"/>
      <c r="U7777" s="191"/>
      <c r="V7777" s="191">
        <f>+Table1[[#This Row],[SUBTOTAL]]+Table1[[#This Row],[IVA]]-Table1[[#This Row],[RET IVA]]-Table1[[#This Row],[RET ISR]]</f>
        <v>0</v>
      </c>
      <c r="W7777" s="185"/>
      <c r="X7777" s="186"/>
      <c r="Y7777" s="187"/>
      <c r="Z7777" s="204">
        <f>+Table1[[#This Row],[CONCEPTO]]+Table1[[#This Row],[TIPO2]]-Table1[[#This Row],[IVA]]-Table1[[#This Row],[OTROS IMPUESTOS]]-Table1[[#This Row],[RET IVA]]</f>
        <v>0</v>
      </c>
      <c r="AB7777" t="str">
        <f>IF(Table1[[#This Row],[TIPO2]]="costo", VLOOKUP(Table1[[#This Row],[PARTIDA PRESUPUESTAL]],'Cost Report'!G:G,1,0),"Balance")</f>
        <v>Balance</v>
      </c>
      <c r="AD7777" s="159">
        <f>+Table1[[#This Row],[SUBTOTAL]]+Table1[[#This Row],[IVA]]-Table1[[#This Row],[RET IVA]]-Table1[[#This Row],[RET ISR]]-Table1[[#This Row],[TOTAL]]</f>
        <v>0</v>
      </c>
    </row>
    <row r="7778" spans="1:30">
      <c r="A7778" s="172"/>
      <c r="B7778" s="178"/>
      <c r="C7778" s="179"/>
      <c r="D7778" s="180"/>
      <c r="E7778" s="125"/>
      <c r="F7778" s="178"/>
      <c r="G7778" s="178"/>
      <c r="H7778" s="178"/>
      <c r="I7778" s="178"/>
      <c r="J7778" s="178"/>
      <c r="K7778" s="178"/>
      <c r="L7778" s="125"/>
      <c r="M7778" s="125"/>
      <c r="N7778" s="182"/>
      <c r="O7778" s="177"/>
      <c r="P7778" s="176"/>
      <c r="Q7778" s="176"/>
      <c r="R7778" s="176"/>
      <c r="S7778" s="176"/>
      <c r="T7778" s="190"/>
      <c r="U7778" s="191"/>
      <c r="V7778" s="191">
        <f>+Table1[[#This Row],[SUBTOTAL]]+Table1[[#This Row],[IVA]]-Table1[[#This Row],[RET IVA]]-Table1[[#This Row],[RET ISR]]</f>
        <v>0</v>
      </c>
      <c r="W7778" s="185"/>
      <c r="X7778" s="186"/>
      <c r="Y7778" s="187"/>
      <c r="Z7778" s="204">
        <f>+Table1[[#This Row],[CONCEPTO]]+Table1[[#This Row],[TIPO2]]-Table1[[#This Row],[IVA]]-Table1[[#This Row],[OTROS IMPUESTOS]]-Table1[[#This Row],[RET IVA]]</f>
        <v>0</v>
      </c>
      <c r="AB7778" t="str">
        <f>IF(Table1[[#This Row],[TIPO2]]="costo", VLOOKUP(Table1[[#This Row],[PARTIDA PRESUPUESTAL]],'Cost Report'!G:G,1,0),"Balance")</f>
        <v>Balance</v>
      </c>
      <c r="AD7778" s="159">
        <f>+Table1[[#This Row],[SUBTOTAL]]+Table1[[#This Row],[IVA]]-Table1[[#This Row],[RET IVA]]-Table1[[#This Row],[RET ISR]]-Table1[[#This Row],[TOTAL]]</f>
        <v>0</v>
      </c>
    </row>
    <row r="7779" spans="1:30">
      <c r="A7779" s="172"/>
      <c r="B7779" s="178"/>
      <c r="C7779" s="179"/>
      <c r="D7779" s="180"/>
      <c r="E7779" s="125"/>
      <c r="F7779" s="178"/>
      <c r="G7779" s="178"/>
      <c r="H7779" s="178"/>
      <c r="I7779" s="178"/>
      <c r="J7779" s="178"/>
      <c r="K7779" s="178"/>
      <c r="L7779" s="125"/>
      <c r="M7779" s="125"/>
      <c r="N7779" s="182"/>
      <c r="O7779" s="177"/>
      <c r="P7779" s="176"/>
      <c r="Q7779" s="176"/>
      <c r="R7779" s="176"/>
      <c r="S7779" s="176"/>
      <c r="T7779" s="190"/>
      <c r="U7779" s="191"/>
      <c r="V7779" s="191">
        <f>+Table1[[#This Row],[SUBTOTAL]]+Table1[[#This Row],[IVA]]-Table1[[#This Row],[RET IVA]]-Table1[[#This Row],[RET ISR]]</f>
        <v>0</v>
      </c>
      <c r="W7779" s="185"/>
      <c r="X7779" s="186"/>
      <c r="Y7779" s="187"/>
      <c r="Z7779" s="204">
        <f>+Table1[[#This Row],[CONCEPTO]]+Table1[[#This Row],[TIPO2]]-Table1[[#This Row],[IVA]]-Table1[[#This Row],[OTROS IMPUESTOS]]-Table1[[#This Row],[RET IVA]]</f>
        <v>0</v>
      </c>
      <c r="AB7779" t="str">
        <f>IF(Table1[[#This Row],[TIPO2]]="costo", VLOOKUP(Table1[[#This Row],[PARTIDA PRESUPUESTAL]],'Cost Report'!G:G,1,0),"Balance")</f>
        <v>Balance</v>
      </c>
      <c r="AD7779" s="159">
        <f>+Table1[[#This Row],[SUBTOTAL]]+Table1[[#This Row],[IVA]]-Table1[[#This Row],[RET IVA]]-Table1[[#This Row],[RET ISR]]-Table1[[#This Row],[TOTAL]]</f>
        <v>0</v>
      </c>
    </row>
    <row r="7780" spans="1:30">
      <c r="A7780" s="172"/>
      <c r="B7780" s="178"/>
      <c r="C7780" s="179"/>
      <c r="D7780" s="180"/>
      <c r="E7780" s="125"/>
      <c r="F7780" s="178"/>
      <c r="G7780" s="178"/>
      <c r="H7780" s="178"/>
      <c r="I7780" s="178"/>
      <c r="J7780" s="178"/>
      <c r="K7780" s="178"/>
      <c r="L7780" s="125"/>
      <c r="M7780" s="125"/>
      <c r="N7780" s="182"/>
      <c r="O7780" s="177"/>
      <c r="P7780" s="176"/>
      <c r="Q7780" s="176"/>
      <c r="R7780" s="176"/>
      <c r="S7780" s="176"/>
      <c r="T7780" s="190"/>
      <c r="U7780" s="191"/>
      <c r="V7780" s="191">
        <f>+Table1[[#This Row],[SUBTOTAL]]+Table1[[#This Row],[IVA]]-Table1[[#This Row],[RET IVA]]-Table1[[#This Row],[RET ISR]]</f>
        <v>0</v>
      </c>
      <c r="W7780" s="185"/>
      <c r="X7780" s="186"/>
      <c r="Y7780" s="187"/>
      <c r="Z7780" s="204">
        <f>+Table1[[#This Row],[CONCEPTO]]+Table1[[#This Row],[TIPO2]]-Table1[[#This Row],[IVA]]-Table1[[#This Row],[OTROS IMPUESTOS]]-Table1[[#This Row],[RET IVA]]</f>
        <v>0</v>
      </c>
      <c r="AB7780" t="str">
        <f>IF(Table1[[#This Row],[TIPO2]]="costo", VLOOKUP(Table1[[#This Row],[PARTIDA PRESUPUESTAL]],'Cost Report'!G:G,1,0),"Balance")</f>
        <v>Balance</v>
      </c>
      <c r="AD7780" s="159">
        <f>+Table1[[#This Row],[SUBTOTAL]]+Table1[[#This Row],[IVA]]-Table1[[#This Row],[RET IVA]]-Table1[[#This Row],[RET ISR]]-Table1[[#This Row],[TOTAL]]</f>
        <v>0</v>
      </c>
    </row>
    <row r="7781" spans="1:30">
      <c r="A7781" s="172"/>
      <c r="B7781" s="178"/>
      <c r="C7781" s="179"/>
      <c r="D7781" s="180"/>
      <c r="E7781" s="125"/>
      <c r="F7781" s="178"/>
      <c r="G7781" s="178"/>
      <c r="H7781" s="178"/>
      <c r="I7781" s="178"/>
      <c r="J7781" s="178"/>
      <c r="K7781" s="178"/>
      <c r="L7781" s="125"/>
      <c r="M7781" s="125"/>
      <c r="N7781" s="182"/>
      <c r="O7781" s="177"/>
      <c r="P7781" s="176"/>
      <c r="Q7781" s="176"/>
      <c r="R7781" s="176"/>
      <c r="S7781" s="176"/>
      <c r="T7781" s="190"/>
      <c r="U7781" s="191"/>
      <c r="V7781" s="191">
        <f>+Table1[[#This Row],[SUBTOTAL]]+Table1[[#This Row],[IVA]]-Table1[[#This Row],[RET IVA]]-Table1[[#This Row],[RET ISR]]</f>
        <v>0</v>
      </c>
      <c r="W7781" s="185"/>
      <c r="X7781" s="186"/>
      <c r="Y7781" s="187"/>
      <c r="Z7781" s="204">
        <f>+Table1[[#This Row],[CONCEPTO]]+Table1[[#This Row],[TIPO2]]-Table1[[#This Row],[IVA]]-Table1[[#This Row],[OTROS IMPUESTOS]]-Table1[[#This Row],[RET IVA]]</f>
        <v>0</v>
      </c>
      <c r="AB7781" t="str">
        <f>IF(Table1[[#This Row],[TIPO2]]="costo", VLOOKUP(Table1[[#This Row],[PARTIDA PRESUPUESTAL]],'Cost Report'!G:G,1,0),"Balance")</f>
        <v>Balance</v>
      </c>
      <c r="AD7781" s="159">
        <f>+Table1[[#This Row],[SUBTOTAL]]+Table1[[#This Row],[IVA]]-Table1[[#This Row],[RET IVA]]-Table1[[#This Row],[RET ISR]]-Table1[[#This Row],[TOTAL]]</f>
        <v>0</v>
      </c>
    </row>
    <row r="7782" spans="1:30">
      <c r="A7782" s="172"/>
      <c r="B7782" s="178"/>
      <c r="C7782" s="179"/>
      <c r="D7782" s="180"/>
      <c r="E7782" s="125"/>
      <c r="F7782" s="178"/>
      <c r="G7782" s="178"/>
      <c r="H7782" s="178"/>
      <c r="I7782" s="178"/>
      <c r="J7782" s="178"/>
      <c r="K7782" s="178"/>
      <c r="L7782" s="125"/>
      <c r="M7782" s="125"/>
      <c r="N7782" s="182"/>
      <c r="O7782" s="177"/>
      <c r="P7782" s="176"/>
      <c r="Q7782" s="176"/>
      <c r="R7782" s="176"/>
      <c r="S7782" s="176"/>
      <c r="T7782" s="190"/>
      <c r="U7782" s="191"/>
      <c r="V7782" s="191">
        <f>+Table1[[#This Row],[SUBTOTAL]]+Table1[[#This Row],[IVA]]-Table1[[#This Row],[RET IVA]]-Table1[[#This Row],[RET ISR]]</f>
        <v>0</v>
      </c>
      <c r="W7782" s="185"/>
      <c r="X7782" s="186"/>
      <c r="Y7782" s="187"/>
      <c r="Z7782" s="204">
        <f>+Table1[[#This Row],[CONCEPTO]]+Table1[[#This Row],[TIPO2]]-Table1[[#This Row],[IVA]]-Table1[[#This Row],[OTROS IMPUESTOS]]-Table1[[#This Row],[RET IVA]]</f>
        <v>0</v>
      </c>
      <c r="AB7782" t="str">
        <f>IF(Table1[[#This Row],[TIPO2]]="costo", VLOOKUP(Table1[[#This Row],[PARTIDA PRESUPUESTAL]],'Cost Report'!G:G,1,0),"Balance")</f>
        <v>Balance</v>
      </c>
      <c r="AD7782" s="159">
        <f>+Table1[[#This Row],[SUBTOTAL]]+Table1[[#This Row],[IVA]]-Table1[[#This Row],[RET IVA]]-Table1[[#This Row],[RET ISR]]-Table1[[#This Row],[TOTAL]]</f>
        <v>0</v>
      </c>
    </row>
    <row r="7783" spans="1:30">
      <c r="A7783" s="172"/>
      <c r="B7783" s="178"/>
      <c r="C7783" s="179"/>
      <c r="D7783" s="180"/>
      <c r="E7783" s="125"/>
      <c r="F7783" s="178"/>
      <c r="G7783" s="178"/>
      <c r="H7783" s="178"/>
      <c r="I7783" s="178"/>
      <c r="J7783" s="178"/>
      <c r="K7783" s="178"/>
      <c r="L7783" s="125"/>
      <c r="M7783" s="125"/>
      <c r="N7783" s="182"/>
      <c r="O7783" s="177"/>
      <c r="P7783" s="176"/>
      <c r="Q7783" s="176"/>
      <c r="R7783" s="176"/>
      <c r="S7783" s="176"/>
      <c r="T7783" s="190"/>
      <c r="U7783" s="191"/>
      <c r="V7783" s="191">
        <f>+Table1[[#This Row],[SUBTOTAL]]+Table1[[#This Row],[IVA]]-Table1[[#This Row],[RET IVA]]-Table1[[#This Row],[RET ISR]]</f>
        <v>0</v>
      </c>
      <c r="W7783" s="185"/>
      <c r="X7783" s="186"/>
      <c r="Y7783" s="187"/>
      <c r="Z7783" s="204">
        <f>+Table1[[#This Row],[CONCEPTO]]+Table1[[#This Row],[TIPO2]]-Table1[[#This Row],[IVA]]-Table1[[#This Row],[OTROS IMPUESTOS]]-Table1[[#This Row],[RET IVA]]</f>
        <v>0</v>
      </c>
      <c r="AB7783" t="str">
        <f>IF(Table1[[#This Row],[TIPO2]]="costo", VLOOKUP(Table1[[#This Row],[PARTIDA PRESUPUESTAL]],'Cost Report'!G:G,1,0),"Balance")</f>
        <v>Balance</v>
      </c>
      <c r="AD7783" s="159">
        <f>+Table1[[#This Row],[SUBTOTAL]]+Table1[[#This Row],[IVA]]-Table1[[#This Row],[RET IVA]]-Table1[[#This Row],[RET ISR]]-Table1[[#This Row],[TOTAL]]</f>
        <v>0</v>
      </c>
    </row>
    <row r="7784" spans="1:30">
      <c r="A7784" s="172"/>
      <c r="B7784" s="178"/>
      <c r="C7784" s="179"/>
      <c r="D7784" s="180"/>
      <c r="E7784" s="125"/>
      <c r="F7784" s="178"/>
      <c r="G7784" s="178"/>
      <c r="H7784" s="178"/>
      <c r="I7784" s="178"/>
      <c r="J7784" s="178"/>
      <c r="K7784" s="178"/>
      <c r="L7784" s="125"/>
      <c r="M7784" s="125"/>
      <c r="N7784" s="182"/>
      <c r="O7784" s="177"/>
      <c r="P7784" s="176"/>
      <c r="Q7784" s="176"/>
      <c r="R7784" s="176"/>
      <c r="S7784" s="176"/>
      <c r="T7784" s="190"/>
      <c r="U7784" s="191"/>
      <c r="V7784" s="191">
        <f>+Table1[[#This Row],[SUBTOTAL]]+Table1[[#This Row],[IVA]]-Table1[[#This Row],[RET IVA]]-Table1[[#This Row],[RET ISR]]</f>
        <v>0</v>
      </c>
      <c r="W7784" s="185"/>
      <c r="X7784" s="186"/>
      <c r="Y7784" s="187"/>
      <c r="Z7784" s="204">
        <f>+Table1[[#This Row],[CONCEPTO]]+Table1[[#This Row],[TIPO2]]-Table1[[#This Row],[IVA]]-Table1[[#This Row],[OTROS IMPUESTOS]]-Table1[[#This Row],[RET IVA]]</f>
        <v>0</v>
      </c>
      <c r="AB7784" t="str">
        <f>IF(Table1[[#This Row],[TIPO2]]="costo", VLOOKUP(Table1[[#This Row],[PARTIDA PRESUPUESTAL]],'Cost Report'!G:G,1,0),"Balance")</f>
        <v>Balance</v>
      </c>
      <c r="AD7784" s="159">
        <f>+Table1[[#This Row],[SUBTOTAL]]+Table1[[#This Row],[IVA]]-Table1[[#This Row],[RET IVA]]-Table1[[#This Row],[RET ISR]]-Table1[[#This Row],[TOTAL]]</f>
        <v>0</v>
      </c>
    </row>
    <row r="7785" spans="1:30">
      <c r="A7785" s="172"/>
      <c r="B7785" s="178"/>
      <c r="C7785" s="179"/>
      <c r="D7785" s="180"/>
      <c r="E7785" s="125"/>
      <c r="F7785" s="178"/>
      <c r="G7785" s="178"/>
      <c r="H7785" s="178"/>
      <c r="I7785" s="178"/>
      <c r="J7785" s="178"/>
      <c r="K7785" s="178"/>
      <c r="L7785" s="125"/>
      <c r="M7785" s="125"/>
      <c r="N7785" s="182"/>
      <c r="O7785" s="177"/>
      <c r="P7785" s="176"/>
      <c r="Q7785" s="176"/>
      <c r="R7785" s="176"/>
      <c r="S7785" s="176"/>
      <c r="T7785" s="190"/>
      <c r="U7785" s="191"/>
      <c r="V7785" s="191">
        <f>+Table1[[#This Row],[SUBTOTAL]]+Table1[[#This Row],[IVA]]-Table1[[#This Row],[RET IVA]]-Table1[[#This Row],[RET ISR]]</f>
        <v>0</v>
      </c>
      <c r="W7785" s="185"/>
      <c r="X7785" s="186"/>
      <c r="Y7785" s="187"/>
      <c r="Z7785" s="204">
        <f>+Table1[[#This Row],[CONCEPTO]]+Table1[[#This Row],[TIPO2]]-Table1[[#This Row],[IVA]]-Table1[[#This Row],[OTROS IMPUESTOS]]-Table1[[#This Row],[RET IVA]]</f>
        <v>0</v>
      </c>
      <c r="AB7785" t="str">
        <f>IF(Table1[[#This Row],[TIPO2]]="costo", VLOOKUP(Table1[[#This Row],[PARTIDA PRESUPUESTAL]],'Cost Report'!G:G,1,0),"Balance")</f>
        <v>Balance</v>
      </c>
      <c r="AD7785" s="159">
        <f>+Table1[[#This Row],[SUBTOTAL]]+Table1[[#This Row],[IVA]]-Table1[[#This Row],[RET IVA]]-Table1[[#This Row],[RET ISR]]-Table1[[#This Row],[TOTAL]]</f>
        <v>0</v>
      </c>
    </row>
    <row r="7786" spans="1:30">
      <c r="A7786" s="172"/>
      <c r="B7786" s="178"/>
      <c r="C7786" s="179"/>
      <c r="D7786" s="180"/>
      <c r="E7786" s="125"/>
      <c r="F7786" s="178"/>
      <c r="G7786" s="178"/>
      <c r="H7786" s="178"/>
      <c r="I7786" s="178"/>
      <c r="J7786" s="178"/>
      <c r="K7786" s="178"/>
      <c r="L7786" s="125"/>
      <c r="M7786" s="125"/>
      <c r="N7786" s="182"/>
      <c r="O7786" s="177"/>
      <c r="P7786" s="176"/>
      <c r="Q7786" s="176"/>
      <c r="R7786" s="176"/>
      <c r="S7786" s="176"/>
      <c r="T7786" s="190"/>
      <c r="U7786" s="191"/>
      <c r="V7786" s="191">
        <f>+Table1[[#This Row],[SUBTOTAL]]+Table1[[#This Row],[IVA]]-Table1[[#This Row],[RET IVA]]-Table1[[#This Row],[RET ISR]]</f>
        <v>0</v>
      </c>
      <c r="W7786" s="185"/>
      <c r="X7786" s="186"/>
      <c r="Y7786" s="187"/>
      <c r="Z7786" s="204">
        <f>+Table1[[#This Row],[CONCEPTO]]+Table1[[#This Row],[TIPO2]]-Table1[[#This Row],[IVA]]-Table1[[#This Row],[OTROS IMPUESTOS]]-Table1[[#This Row],[RET IVA]]</f>
        <v>0</v>
      </c>
      <c r="AB7786" t="str">
        <f>IF(Table1[[#This Row],[TIPO2]]="costo", VLOOKUP(Table1[[#This Row],[PARTIDA PRESUPUESTAL]],'Cost Report'!G:G,1,0),"Balance")</f>
        <v>Balance</v>
      </c>
      <c r="AD7786" s="159">
        <f>+Table1[[#This Row],[SUBTOTAL]]+Table1[[#This Row],[IVA]]-Table1[[#This Row],[RET IVA]]-Table1[[#This Row],[RET ISR]]-Table1[[#This Row],[TOTAL]]</f>
        <v>0</v>
      </c>
    </row>
    <row r="7787" spans="1:30">
      <c r="A7787" s="172"/>
      <c r="B7787" s="178"/>
      <c r="C7787" s="179"/>
      <c r="D7787" s="180"/>
      <c r="E7787" s="125"/>
      <c r="F7787" s="178"/>
      <c r="G7787" s="178"/>
      <c r="H7787" s="178"/>
      <c r="I7787" s="178"/>
      <c r="J7787" s="178"/>
      <c r="K7787" s="178"/>
      <c r="L7787" s="125"/>
      <c r="M7787" s="125"/>
      <c r="N7787" s="182"/>
      <c r="O7787" s="177"/>
      <c r="P7787" s="176"/>
      <c r="Q7787" s="176"/>
      <c r="R7787" s="176"/>
      <c r="S7787" s="176"/>
      <c r="T7787" s="190"/>
      <c r="U7787" s="191"/>
      <c r="V7787" s="191">
        <f>+Table1[[#This Row],[SUBTOTAL]]+Table1[[#This Row],[IVA]]-Table1[[#This Row],[RET IVA]]-Table1[[#This Row],[RET ISR]]</f>
        <v>0</v>
      </c>
      <c r="W7787" s="185"/>
      <c r="X7787" s="186"/>
      <c r="Y7787" s="187"/>
      <c r="Z7787" s="204">
        <f>+Table1[[#This Row],[CONCEPTO]]+Table1[[#This Row],[TIPO2]]-Table1[[#This Row],[IVA]]-Table1[[#This Row],[OTROS IMPUESTOS]]-Table1[[#This Row],[RET IVA]]</f>
        <v>0</v>
      </c>
      <c r="AB7787" t="str">
        <f>IF(Table1[[#This Row],[TIPO2]]="costo", VLOOKUP(Table1[[#This Row],[PARTIDA PRESUPUESTAL]],'Cost Report'!G:G,1,0),"Balance")</f>
        <v>Balance</v>
      </c>
      <c r="AD7787" s="159">
        <f>+Table1[[#This Row],[SUBTOTAL]]+Table1[[#This Row],[IVA]]-Table1[[#This Row],[RET IVA]]-Table1[[#This Row],[RET ISR]]-Table1[[#This Row],[TOTAL]]</f>
        <v>0</v>
      </c>
    </row>
    <row r="7788" spans="1:30">
      <c r="A7788" s="172"/>
      <c r="B7788" s="178"/>
      <c r="C7788" s="179"/>
      <c r="D7788" s="180"/>
      <c r="E7788" s="125"/>
      <c r="F7788" s="178"/>
      <c r="G7788" s="178"/>
      <c r="H7788" s="178"/>
      <c r="I7788" s="178"/>
      <c r="J7788" s="178"/>
      <c r="K7788" s="178"/>
      <c r="L7788" s="125"/>
      <c r="M7788" s="125"/>
      <c r="N7788" s="182"/>
      <c r="O7788" s="177"/>
      <c r="P7788" s="176"/>
      <c r="Q7788" s="176"/>
      <c r="R7788" s="176"/>
      <c r="S7788" s="176"/>
      <c r="T7788" s="190"/>
      <c r="U7788" s="191"/>
      <c r="V7788" s="191">
        <f>+Table1[[#This Row],[SUBTOTAL]]+Table1[[#This Row],[IVA]]-Table1[[#This Row],[RET IVA]]-Table1[[#This Row],[RET ISR]]</f>
        <v>0</v>
      </c>
      <c r="W7788" s="185"/>
      <c r="X7788" s="186"/>
      <c r="Y7788" s="187"/>
      <c r="Z7788" s="204">
        <f>+Table1[[#This Row],[CONCEPTO]]+Table1[[#This Row],[TIPO2]]-Table1[[#This Row],[IVA]]-Table1[[#This Row],[OTROS IMPUESTOS]]-Table1[[#This Row],[RET IVA]]</f>
        <v>0</v>
      </c>
      <c r="AB7788" t="str">
        <f>IF(Table1[[#This Row],[TIPO2]]="costo", VLOOKUP(Table1[[#This Row],[PARTIDA PRESUPUESTAL]],'Cost Report'!G:G,1,0),"Balance")</f>
        <v>Balance</v>
      </c>
      <c r="AD7788" s="159">
        <f>+Table1[[#This Row],[SUBTOTAL]]+Table1[[#This Row],[IVA]]-Table1[[#This Row],[RET IVA]]-Table1[[#This Row],[RET ISR]]-Table1[[#This Row],[TOTAL]]</f>
        <v>0</v>
      </c>
    </row>
    <row r="7789" spans="1:30">
      <c r="A7789" s="172"/>
      <c r="B7789" s="178"/>
      <c r="C7789" s="179"/>
      <c r="D7789" s="180"/>
      <c r="E7789" s="125"/>
      <c r="F7789" s="178"/>
      <c r="G7789" s="178"/>
      <c r="H7789" s="178"/>
      <c r="I7789" s="178"/>
      <c r="J7789" s="178"/>
      <c r="K7789" s="178"/>
      <c r="L7789" s="125"/>
      <c r="M7789" s="125"/>
      <c r="N7789" s="182"/>
      <c r="O7789" s="177"/>
      <c r="P7789" s="176"/>
      <c r="Q7789" s="176"/>
      <c r="R7789" s="176"/>
      <c r="S7789" s="176"/>
      <c r="T7789" s="190"/>
      <c r="U7789" s="191"/>
      <c r="V7789" s="191">
        <f>+Table1[[#This Row],[SUBTOTAL]]+Table1[[#This Row],[IVA]]-Table1[[#This Row],[RET IVA]]-Table1[[#This Row],[RET ISR]]</f>
        <v>0</v>
      </c>
      <c r="W7789" s="185"/>
      <c r="X7789" s="186"/>
      <c r="Y7789" s="187"/>
      <c r="Z7789" s="204">
        <f>+Table1[[#This Row],[CONCEPTO]]+Table1[[#This Row],[TIPO2]]-Table1[[#This Row],[IVA]]-Table1[[#This Row],[OTROS IMPUESTOS]]-Table1[[#This Row],[RET IVA]]</f>
        <v>0</v>
      </c>
      <c r="AB7789" t="str">
        <f>IF(Table1[[#This Row],[TIPO2]]="costo", VLOOKUP(Table1[[#This Row],[PARTIDA PRESUPUESTAL]],'Cost Report'!G:G,1,0),"Balance")</f>
        <v>Balance</v>
      </c>
      <c r="AD7789" s="159">
        <f>+Table1[[#This Row],[SUBTOTAL]]+Table1[[#This Row],[IVA]]-Table1[[#This Row],[RET IVA]]-Table1[[#This Row],[RET ISR]]-Table1[[#This Row],[TOTAL]]</f>
        <v>0</v>
      </c>
    </row>
    <row r="7790" spans="1:30">
      <c r="A7790" s="172"/>
      <c r="B7790" s="178"/>
      <c r="C7790" s="179"/>
      <c r="D7790" s="180"/>
      <c r="E7790" s="125"/>
      <c r="F7790" s="178"/>
      <c r="G7790" s="178"/>
      <c r="H7790" s="178"/>
      <c r="I7790" s="178"/>
      <c r="J7790" s="178"/>
      <c r="K7790" s="178"/>
      <c r="L7790" s="125"/>
      <c r="M7790" s="125"/>
      <c r="N7790" s="182"/>
      <c r="O7790" s="177"/>
      <c r="P7790" s="176"/>
      <c r="Q7790" s="176"/>
      <c r="R7790" s="176"/>
      <c r="S7790" s="176"/>
      <c r="T7790" s="190"/>
      <c r="U7790" s="191"/>
      <c r="V7790" s="191">
        <f>+Table1[[#This Row],[SUBTOTAL]]+Table1[[#This Row],[IVA]]-Table1[[#This Row],[RET IVA]]-Table1[[#This Row],[RET ISR]]</f>
        <v>0</v>
      </c>
      <c r="W7790" s="185"/>
      <c r="X7790" s="186"/>
      <c r="Y7790" s="187"/>
      <c r="Z7790" s="204">
        <f>+Table1[[#This Row],[CONCEPTO]]+Table1[[#This Row],[TIPO2]]-Table1[[#This Row],[IVA]]-Table1[[#This Row],[OTROS IMPUESTOS]]-Table1[[#This Row],[RET IVA]]</f>
        <v>0</v>
      </c>
      <c r="AB7790" t="str">
        <f>IF(Table1[[#This Row],[TIPO2]]="costo", VLOOKUP(Table1[[#This Row],[PARTIDA PRESUPUESTAL]],'Cost Report'!G:G,1,0),"Balance")</f>
        <v>Balance</v>
      </c>
      <c r="AD7790" s="159">
        <f>+Table1[[#This Row],[SUBTOTAL]]+Table1[[#This Row],[IVA]]-Table1[[#This Row],[RET IVA]]-Table1[[#This Row],[RET ISR]]-Table1[[#This Row],[TOTAL]]</f>
        <v>0</v>
      </c>
    </row>
    <row r="7791" spans="1:30">
      <c r="A7791" s="172"/>
      <c r="B7791" s="178"/>
      <c r="C7791" s="179"/>
      <c r="D7791" s="180"/>
      <c r="E7791" s="125"/>
      <c r="F7791" s="178"/>
      <c r="G7791" s="178"/>
      <c r="H7791" s="178"/>
      <c r="I7791" s="178"/>
      <c r="J7791" s="178"/>
      <c r="K7791" s="178"/>
      <c r="L7791" s="125"/>
      <c r="M7791" s="125"/>
      <c r="N7791" s="182"/>
      <c r="O7791" s="177"/>
      <c r="P7791" s="176"/>
      <c r="Q7791" s="176"/>
      <c r="R7791" s="176"/>
      <c r="S7791" s="176"/>
      <c r="T7791" s="190"/>
      <c r="U7791" s="191"/>
      <c r="V7791" s="191">
        <f>+Table1[[#This Row],[SUBTOTAL]]+Table1[[#This Row],[IVA]]-Table1[[#This Row],[RET IVA]]-Table1[[#This Row],[RET ISR]]</f>
        <v>0</v>
      </c>
      <c r="W7791" s="185"/>
      <c r="X7791" s="186"/>
      <c r="Y7791" s="187"/>
      <c r="Z7791" s="204">
        <f>+Table1[[#This Row],[CONCEPTO]]+Table1[[#This Row],[TIPO2]]-Table1[[#This Row],[IVA]]-Table1[[#This Row],[OTROS IMPUESTOS]]-Table1[[#This Row],[RET IVA]]</f>
        <v>0</v>
      </c>
      <c r="AB7791" t="str">
        <f>IF(Table1[[#This Row],[TIPO2]]="costo", VLOOKUP(Table1[[#This Row],[PARTIDA PRESUPUESTAL]],'Cost Report'!G:G,1,0),"Balance")</f>
        <v>Balance</v>
      </c>
      <c r="AD7791" s="159">
        <f>+Table1[[#This Row],[SUBTOTAL]]+Table1[[#This Row],[IVA]]-Table1[[#This Row],[RET IVA]]-Table1[[#This Row],[RET ISR]]-Table1[[#This Row],[TOTAL]]</f>
        <v>0</v>
      </c>
    </row>
    <row r="7792" spans="1:30">
      <c r="A7792" s="172"/>
      <c r="B7792" s="178"/>
      <c r="C7792" s="179"/>
      <c r="D7792" s="180"/>
      <c r="E7792" s="125"/>
      <c r="F7792" s="178"/>
      <c r="G7792" s="178"/>
      <c r="H7792" s="178"/>
      <c r="I7792" s="178"/>
      <c r="J7792" s="178"/>
      <c r="K7792" s="178"/>
      <c r="L7792" s="125"/>
      <c r="M7792" s="125"/>
      <c r="N7792" s="182"/>
      <c r="O7792" s="177"/>
      <c r="P7792" s="176"/>
      <c r="Q7792" s="176"/>
      <c r="R7792" s="176"/>
      <c r="S7792" s="176"/>
      <c r="T7792" s="190"/>
      <c r="U7792" s="191"/>
      <c r="V7792" s="191">
        <f>+Table1[[#This Row],[SUBTOTAL]]+Table1[[#This Row],[IVA]]-Table1[[#This Row],[RET IVA]]-Table1[[#This Row],[RET ISR]]</f>
        <v>0</v>
      </c>
      <c r="W7792" s="185"/>
      <c r="X7792" s="186"/>
      <c r="Y7792" s="187"/>
      <c r="Z7792" s="204">
        <f>+Table1[[#This Row],[CONCEPTO]]+Table1[[#This Row],[TIPO2]]-Table1[[#This Row],[IVA]]-Table1[[#This Row],[OTROS IMPUESTOS]]-Table1[[#This Row],[RET IVA]]</f>
        <v>0</v>
      </c>
      <c r="AB7792" t="str">
        <f>IF(Table1[[#This Row],[TIPO2]]="costo", VLOOKUP(Table1[[#This Row],[PARTIDA PRESUPUESTAL]],'Cost Report'!G:G,1,0),"Balance")</f>
        <v>Balance</v>
      </c>
      <c r="AD7792" s="159">
        <f>+Table1[[#This Row],[SUBTOTAL]]+Table1[[#This Row],[IVA]]-Table1[[#This Row],[RET IVA]]-Table1[[#This Row],[RET ISR]]-Table1[[#This Row],[TOTAL]]</f>
        <v>0</v>
      </c>
    </row>
    <row r="7793" spans="1:30">
      <c r="A7793" s="172"/>
      <c r="B7793" s="178"/>
      <c r="C7793" s="179"/>
      <c r="D7793" s="180"/>
      <c r="E7793" s="125"/>
      <c r="F7793" s="178"/>
      <c r="G7793" s="178"/>
      <c r="H7793" s="178"/>
      <c r="I7793" s="178"/>
      <c r="J7793" s="178"/>
      <c r="K7793" s="178"/>
      <c r="L7793" s="125"/>
      <c r="M7793" s="125"/>
      <c r="N7793" s="182"/>
      <c r="O7793" s="177"/>
      <c r="P7793" s="176"/>
      <c r="Q7793" s="176"/>
      <c r="R7793" s="176"/>
      <c r="S7793" s="176"/>
      <c r="T7793" s="190"/>
      <c r="U7793" s="191"/>
      <c r="V7793" s="191">
        <f>+Table1[[#This Row],[SUBTOTAL]]+Table1[[#This Row],[IVA]]-Table1[[#This Row],[RET IVA]]-Table1[[#This Row],[RET ISR]]</f>
        <v>0</v>
      </c>
      <c r="W7793" s="185"/>
      <c r="X7793" s="186"/>
      <c r="Y7793" s="187"/>
      <c r="Z7793" s="204">
        <f>+Table1[[#This Row],[CONCEPTO]]+Table1[[#This Row],[TIPO2]]-Table1[[#This Row],[IVA]]-Table1[[#This Row],[OTROS IMPUESTOS]]-Table1[[#This Row],[RET IVA]]</f>
        <v>0</v>
      </c>
      <c r="AB7793" t="str">
        <f>IF(Table1[[#This Row],[TIPO2]]="costo", VLOOKUP(Table1[[#This Row],[PARTIDA PRESUPUESTAL]],'Cost Report'!G:G,1,0),"Balance")</f>
        <v>Balance</v>
      </c>
      <c r="AD7793" s="159">
        <f>+Table1[[#This Row],[SUBTOTAL]]+Table1[[#This Row],[IVA]]-Table1[[#This Row],[RET IVA]]-Table1[[#This Row],[RET ISR]]-Table1[[#This Row],[TOTAL]]</f>
        <v>0</v>
      </c>
    </row>
    <row r="7794" spans="1:30">
      <c r="A7794" s="172"/>
      <c r="B7794" s="178"/>
      <c r="C7794" s="179"/>
      <c r="D7794" s="180"/>
      <c r="E7794" s="125"/>
      <c r="F7794" s="178"/>
      <c r="G7794" s="178"/>
      <c r="H7794" s="178"/>
      <c r="I7794" s="178"/>
      <c r="J7794" s="178"/>
      <c r="K7794" s="178"/>
      <c r="L7794" s="125"/>
      <c r="M7794" s="125"/>
      <c r="N7794" s="182"/>
      <c r="O7794" s="177"/>
      <c r="P7794" s="176"/>
      <c r="Q7794" s="176"/>
      <c r="R7794" s="176"/>
      <c r="S7794" s="176"/>
      <c r="T7794" s="190"/>
      <c r="U7794" s="191"/>
      <c r="V7794" s="191">
        <f>+Table1[[#This Row],[SUBTOTAL]]+Table1[[#This Row],[IVA]]-Table1[[#This Row],[RET IVA]]-Table1[[#This Row],[RET ISR]]</f>
        <v>0</v>
      </c>
      <c r="W7794" s="185"/>
      <c r="X7794" s="186"/>
      <c r="Y7794" s="187"/>
      <c r="Z7794" s="204">
        <f>+Table1[[#This Row],[CONCEPTO]]+Table1[[#This Row],[TIPO2]]-Table1[[#This Row],[IVA]]-Table1[[#This Row],[OTROS IMPUESTOS]]-Table1[[#This Row],[RET IVA]]</f>
        <v>0</v>
      </c>
      <c r="AB7794" t="str">
        <f>IF(Table1[[#This Row],[TIPO2]]="costo", VLOOKUP(Table1[[#This Row],[PARTIDA PRESUPUESTAL]],'Cost Report'!G:G,1,0),"Balance")</f>
        <v>Balance</v>
      </c>
      <c r="AD7794" s="159">
        <f>+Table1[[#This Row],[SUBTOTAL]]+Table1[[#This Row],[IVA]]-Table1[[#This Row],[RET IVA]]-Table1[[#This Row],[RET ISR]]-Table1[[#This Row],[TOTAL]]</f>
        <v>0</v>
      </c>
    </row>
    <row r="7795" spans="1:30">
      <c r="A7795" s="172"/>
      <c r="B7795" s="178"/>
      <c r="C7795" s="179"/>
      <c r="D7795" s="180"/>
      <c r="E7795" s="125"/>
      <c r="F7795" s="178"/>
      <c r="G7795" s="178"/>
      <c r="H7795" s="178"/>
      <c r="I7795" s="178"/>
      <c r="J7795" s="178"/>
      <c r="K7795" s="178"/>
      <c r="L7795" s="125"/>
      <c r="M7795" s="125"/>
      <c r="N7795" s="182"/>
      <c r="O7795" s="177"/>
      <c r="P7795" s="176"/>
      <c r="Q7795" s="176"/>
      <c r="R7795" s="176"/>
      <c r="S7795" s="176"/>
      <c r="T7795" s="190"/>
      <c r="U7795" s="191"/>
      <c r="V7795" s="191">
        <f>+Table1[[#This Row],[SUBTOTAL]]+Table1[[#This Row],[IVA]]-Table1[[#This Row],[RET IVA]]-Table1[[#This Row],[RET ISR]]</f>
        <v>0</v>
      </c>
      <c r="W7795" s="185"/>
      <c r="X7795" s="186"/>
      <c r="Y7795" s="187"/>
      <c r="Z7795" s="204">
        <f>+Table1[[#This Row],[CONCEPTO]]+Table1[[#This Row],[TIPO2]]-Table1[[#This Row],[IVA]]-Table1[[#This Row],[OTROS IMPUESTOS]]-Table1[[#This Row],[RET IVA]]</f>
        <v>0</v>
      </c>
      <c r="AB7795" t="str">
        <f>IF(Table1[[#This Row],[TIPO2]]="costo", VLOOKUP(Table1[[#This Row],[PARTIDA PRESUPUESTAL]],'Cost Report'!G:G,1,0),"Balance")</f>
        <v>Balance</v>
      </c>
      <c r="AD7795" s="159">
        <f>+Table1[[#This Row],[SUBTOTAL]]+Table1[[#This Row],[IVA]]-Table1[[#This Row],[RET IVA]]-Table1[[#This Row],[RET ISR]]-Table1[[#This Row],[TOTAL]]</f>
        <v>0</v>
      </c>
    </row>
    <row r="7796" spans="1:30">
      <c r="A7796" s="172"/>
      <c r="B7796" s="178"/>
      <c r="C7796" s="179"/>
      <c r="D7796" s="180"/>
      <c r="E7796" s="125"/>
      <c r="F7796" s="178"/>
      <c r="G7796" s="178"/>
      <c r="H7796" s="178"/>
      <c r="I7796" s="178"/>
      <c r="J7796" s="178"/>
      <c r="K7796" s="178"/>
      <c r="L7796" s="125"/>
      <c r="M7796" s="125"/>
      <c r="N7796" s="182"/>
      <c r="O7796" s="177"/>
      <c r="P7796" s="176"/>
      <c r="Q7796" s="176"/>
      <c r="R7796" s="176"/>
      <c r="S7796" s="176"/>
      <c r="T7796" s="190"/>
      <c r="U7796" s="191"/>
      <c r="V7796" s="191">
        <f>+Table1[[#This Row],[SUBTOTAL]]+Table1[[#This Row],[IVA]]-Table1[[#This Row],[RET IVA]]-Table1[[#This Row],[RET ISR]]</f>
        <v>0</v>
      </c>
      <c r="W7796" s="185"/>
      <c r="X7796" s="186"/>
      <c r="Y7796" s="187"/>
      <c r="Z7796" s="204">
        <f>+Table1[[#This Row],[CONCEPTO]]+Table1[[#This Row],[TIPO2]]-Table1[[#This Row],[IVA]]-Table1[[#This Row],[OTROS IMPUESTOS]]-Table1[[#This Row],[RET IVA]]</f>
        <v>0</v>
      </c>
      <c r="AB7796" t="str">
        <f>IF(Table1[[#This Row],[TIPO2]]="costo", VLOOKUP(Table1[[#This Row],[PARTIDA PRESUPUESTAL]],'Cost Report'!G:G,1,0),"Balance")</f>
        <v>Balance</v>
      </c>
      <c r="AD7796" s="159">
        <f>+Table1[[#This Row],[SUBTOTAL]]+Table1[[#This Row],[IVA]]-Table1[[#This Row],[RET IVA]]-Table1[[#This Row],[RET ISR]]-Table1[[#This Row],[TOTAL]]</f>
        <v>0</v>
      </c>
    </row>
    <row r="7797" spans="1:30">
      <c r="A7797" s="172"/>
      <c r="B7797" s="178"/>
      <c r="C7797" s="179"/>
      <c r="D7797" s="180"/>
      <c r="E7797" s="125"/>
      <c r="F7797" s="178"/>
      <c r="G7797" s="178"/>
      <c r="H7797" s="178"/>
      <c r="I7797" s="178"/>
      <c r="J7797" s="178"/>
      <c r="K7797" s="178"/>
      <c r="L7797" s="125"/>
      <c r="M7797" s="125"/>
      <c r="N7797" s="182"/>
      <c r="O7797" s="177"/>
      <c r="P7797" s="176"/>
      <c r="Q7797" s="176"/>
      <c r="R7797" s="176"/>
      <c r="S7797" s="176"/>
      <c r="T7797" s="190"/>
      <c r="U7797" s="191"/>
      <c r="V7797" s="191">
        <f>+Table1[[#This Row],[SUBTOTAL]]+Table1[[#This Row],[IVA]]-Table1[[#This Row],[RET IVA]]-Table1[[#This Row],[RET ISR]]</f>
        <v>0</v>
      </c>
      <c r="W7797" s="185"/>
      <c r="X7797" s="186"/>
      <c r="Y7797" s="187"/>
      <c r="Z7797" s="204">
        <f>+Table1[[#This Row],[CONCEPTO]]+Table1[[#This Row],[TIPO2]]-Table1[[#This Row],[IVA]]-Table1[[#This Row],[OTROS IMPUESTOS]]-Table1[[#This Row],[RET IVA]]</f>
        <v>0</v>
      </c>
      <c r="AB7797" t="str">
        <f>IF(Table1[[#This Row],[TIPO2]]="costo", VLOOKUP(Table1[[#This Row],[PARTIDA PRESUPUESTAL]],'Cost Report'!G:G,1,0),"Balance")</f>
        <v>Balance</v>
      </c>
      <c r="AD7797" s="159">
        <f>+Table1[[#This Row],[SUBTOTAL]]+Table1[[#This Row],[IVA]]-Table1[[#This Row],[RET IVA]]-Table1[[#This Row],[RET ISR]]-Table1[[#This Row],[TOTAL]]</f>
        <v>0</v>
      </c>
    </row>
    <row r="7798" spans="1:30">
      <c r="A7798" s="172"/>
      <c r="B7798" s="178"/>
      <c r="C7798" s="179"/>
      <c r="D7798" s="180"/>
      <c r="E7798" s="125"/>
      <c r="F7798" s="178"/>
      <c r="G7798" s="178"/>
      <c r="H7798" s="178"/>
      <c r="I7798" s="178"/>
      <c r="J7798" s="178"/>
      <c r="K7798" s="178"/>
      <c r="L7798" s="125"/>
      <c r="M7798" s="125"/>
      <c r="N7798" s="182"/>
      <c r="O7798" s="177"/>
      <c r="P7798" s="176"/>
      <c r="Q7798" s="176"/>
      <c r="R7798" s="176"/>
      <c r="S7798" s="176"/>
      <c r="T7798" s="190"/>
      <c r="U7798" s="191"/>
      <c r="V7798" s="191">
        <f>+Table1[[#This Row],[SUBTOTAL]]+Table1[[#This Row],[IVA]]-Table1[[#This Row],[RET IVA]]-Table1[[#This Row],[RET ISR]]</f>
        <v>0</v>
      </c>
      <c r="W7798" s="185"/>
      <c r="X7798" s="186"/>
      <c r="Y7798" s="187"/>
      <c r="Z7798" s="204">
        <f>+Table1[[#This Row],[CONCEPTO]]+Table1[[#This Row],[TIPO2]]-Table1[[#This Row],[IVA]]-Table1[[#This Row],[OTROS IMPUESTOS]]-Table1[[#This Row],[RET IVA]]</f>
        <v>0</v>
      </c>
      <c r="AB7798" t="str">
        <f>IF(Table1[[#This Row],[TIPO2]]="costo", VLOOKUP(Table1[[#This Row],[PARTIDA PRESUPUESTAL]],'Cost Report'!G:G,1,0),"Balance")</f>
        <v>Balance</v>
      </c>
      <c r="AD7798" s="159">
        <f>+Table1[[#This Row],[SUBTOTAL]]+Table1[[#This Row],[IVA]]-Table1[[#This Row],[RET IVA]]-Table1[[#This Row],[RET ISR]]-Table1[[#This Row],[TOTAL]]</f>
        <v>0</v>
      </c>
    </row>
    <row r="7799" spans="1:30">
      <c r="A7799" s="172"/>
      <c r="B7799" s="178"/>
      <c r="C7799" s="179"/>
      <c r="D7799" s="180"/>
      <c r="E7799" s="125"/>
      <c r="F7799" s="178"/>
      <c r="G7799" s="178"/>
      <c r="H7799" s="178"/>
      <c r="I7799" s="178"/>
      <c r="J7799" s="178"/>
      <c r="K7799" s="178"/>
      <c r="L7799" s="125"/>
      <c r="M7799" s="125"/>
      <c r="N7799" s="182"/>
      <c r="O7799" s="177"/>
      <c r="P7799" s="176"/>
      <c r="Q7799" s="176"/>
      <c r="R7799" s="176"/>
      <c r="S7799" s="176"/>
      <c r="T7799" s="190"/>
      <c r="U7799" s="191"/>
      <c r="V7799" s="191">
        <f>+Table1[[#This Row],[SUBTOTAL]]+Table1[[#This Row],[IVA]]-Table1[[#This Row],[RET IVA]]-Table1[[#This Row],[RET ISR]]</f>
        <v>0</v>
      </c>
      <c r="W7799" s="185"/>
      <c r="X7799" s="186"/>
      <c r="Y7799" s="187"/>
      <c r="Z7799" s="204">
        <f>+Table1[[#This Row],[CONCEPTO]]+Table1[[#This Row],[TIPO2]]-Table1[[#This Row],[IVA]]-Table1[[#This Row],[OTROS IMPUESTOS]]-Table1[[#This Row],[RET IVA]]</f>
        <v>0</v>
      </c>
      <c r="AB7799" t="str">
        <f>IF(Table1[[#This Row],[TIPO2]]="costo", VLOOKUP(Table1[[#This Row],[PARTIDA PRESUPUESTAL]],'Cost Report'!G:G,1,0),"Balance")</f>
        <v>Balance</v>
      </c>
      <c r="AD7799" s="159">
        <f>+Table1[[#This Row],[SUBTOTAL]]+Table1[[#This Row],[IVA]]-Table1[[#This Row],[RET IVA]]-Table1[[#This Row],[RET ISR]]-Table1[[#This Row],[TOTAL]]</f>
        <v>0</v>
      </c>
    </row>
    <row r="7800" spans="1:30">
      <c r="A7800" s="172"/>
      <c r="B7800" s="178"/>
      <c r="C7800" s="179"/>
      <c r="D7800" s="180"/>
      <c r="E7800" s="125"/>
      <c r="F7800" s="178"/>
      <c r="G7800" s="178"/>
      <c r="H7800" s="178"/>
      <c r="I7800" s="178"/>
      <c r="J7800" s="178"/>
      <c r="K7800" s="178"/>
      <c r="L7800" s="125"/>
      <c r="M7800" s="125"/>
      <c r="N7800" s="182"/>
      <c r="O7800" s="177"/>
      <c r="P7800" s="176"/>
      <c r="Q7800" s="176"/>
      <c r="R7800" s="176"/>
      <c r="S7800" s="176"/>
      <c r="T7800" s="190"/>
      <c r="U7800" s="191"/>
      <c r="V7800" s="191">
        <f>+Table1[[#This Row],[SUBTOTAL]]+Table1[[#This Row],[IVA]]-Table1[[#This Row],[RET IVA]]-Table1[[#This Row],[RET ISR]]</f>
        <v>0</v>
      </c>
      <c r="W7800" s="185"/>
      <c r="X7800" s="186"/>
      <c r="Y7800" s="187"/>
      <c r="Z7800" s="204">
        <f>+Table1[[#This Row],[CONCEPTO]]+Table1[[#This Row],[TIPO2]]-Table1[[#This Row],[IVA]]-Table1[[#This Row],[OTROS IMPUESTOS]]-Table1[[#This Row],[RET IVA]]</f>
        <v>0</v>
      </c>
      <c r="AB7800" t="str">
        <f>IF(Table1[[#This Row],[TIPO2]]="costo", VLOOKUP(Table1[[#This Row],[PARTIDA PRESUPUESTAL]],'Cost Report'!G:G,1,0),"Balance")</f>
        <v>Balance</v>
      </c>
      <c r="AD7800" s="159">
        <f>+Table1[[#This Row],[SUBTOTAL]]+Table1[[#This Row],[IVA]]-Table1[[#This Row],[RET IVA]]-Table1[[#This Row],[RET ISR]]-Table1[[#This Row],[TOTAL]]</f>
        <v>0</v>
      </c>
    </row>
    <row r="7801" spans="1:30">
      <c r="A7801" s="172"/>
      <c r="B7801" s="178"/>
      <c r="C7801" s="179"/>
      <c r="D7801" s="180"/>
      <c r="E7801" s="125"/>
      <c r="F7801" s="178"/>
      <c r="G7801" s="178"/>
      <c r="H7801" s="178"/>
      <c r="I7801" s="178"/>
      <c r="J7801" s="178"/>
      <c r="K7801" s="178"/>
      <c r="L7801" s="125"/>
      <c r="M7801" s="125"/>
      <c r="N7801" s="182"/>
      <c r="O7801" s="177"/>
      <c r="P7801" s="176"/>
      <c r="Q7801" s="176"/>
      <c r="R7801" s="176"/>
      <c r="S7801" s="176"/>
      <c r="T7801" s="190"/>
      <c r="U7801" s="191"/>
      <c r="V7801" s="191">
        <f>+Table1[[#This Row],[SUBTOTAL]]+Table1[[#This Row],[IVA]]-Table1[[#This Row],[RET IVA]]-Table1[[#This Row],[RET ISR]]</f>
        <v>0</v>
      </c>
      <c r="W7801" s="185"/>
      <c r="X7801" s="186"/>
      <c r="Y7801" s="187"/>
      <c r="Z7801" s="204">
        <f>+Table1[[#This Row],[CONCEPTO]]+Table1[[#This Row],[TIPO2]]-Table1[[#This Row],[IVA]]-Table1[[#This Row],[OTROS IMPUESTOS]]-Table1[[#This Row],[RET IVA]]</f>
        <v>0</v>
      </c>
      <c r="AB7801" t="str">
        <f>IF(Table1[[#This Row],[TIPO2]]="costo", VLOOKUP(Table1[[#This Row],[PARTIDA PRESUPUESTAL]],'Cost Report'!G:G,1,0),"Balance")</f>
        <v>Balance</v>
      </c>
      <c r="AD7801" s="159">
        <f>+Table1[[#This Row],[SUBTOTAL]]+Table1[[#This Row],[IVA]]-Table1[[#This Row],[RET IVA]]-Table1[[#This Row],[RET ISR]]-Table1[[#This Row],[TOTAL]]</f>
        <v>0</v>
      </c>
    </row>
    <row r="7802" spans="1:30">
      <c r="A7802" s="172"/>
      <c r="B7802" s="178"/>
      <c r="C7802" s="179"/>
      <c r="D7802" s="180"/>
      <c r="E7802" s="125"/>
      <c r="F7802" s="178"/>
      <c r="G7802" s="178"/>
      <c r="H7802" s="178"/>
      <c r="I7802" s="178"/>
      <c r="J7802" s="178"/>
      <c r="K7802" s="178"/>
      <c r="L7802" s="125"/>
      <c r="M7802" s="125"/>
      <c r="N7802" s="182"/>
      <c r="O7802" s="177"/>
      <c r="P7802" s="176"/>
      <c r="Q7802" s="176"/>
      <c r="R7802" s="176"/>
      <c r="S7802" s="176"/>
      <c r="T7802" s="190"/>
      <c r="U7802" s="191"/>
      <c r="V7802" s="191">
        <f>+Table1[[#This Row],[SUBTOTAL]]+Table1[[#This Row],[IVA]]-Table1[[#This Row],[RET IVA]]-Table1[[#This Row],[RET ISR]]</f>
        <v>0</v>
      </c>
      <c r="W7802" s="185"/>
      <c r="X7802" s="186"/>
      <c r="Y7802" s="187"/>
      <c r="Z7802" s="204">
        <f>+Table1[[#This Row],[CONCEPTO]]+Table1[[#This Row],[TIPO2]]-Table1[[#This Row],[IVA]]-Table1[[#This Row],[OTROS IMPUESTOS]]-Table1[[#This Row],[RET IVA]]</f>
        <v>0</v>
      </c>
      <c r="AB7802" t="str">
        <f>IF(Table1[[#This Row],[TIPO2]]="costo", VLOOKUP(Table1[[#This Row],[PARTIDA PRESUPUESTAL]],'Cost Report'!G:G,1,0),"Balance")</f>
        <v>Balance</v>
      </c>
      <c r="AD7802" s="159">
        <f>+Table1[[#This Row],[SUBTOTAL]]+Table1[[#This Row],[IVA]]-Table1[[#This Row],[RET IVA]]-Table1[[#This Row],[RET ISR]]-Table1[[#This Row],[TOTAL]]</f>
        <v>0</v>
      </c>
    </row>
    <row r="7803" spans="1:30">
      <c r="A7803" s="172"/>
      <c r="B7803" s="178"/>
      <c r="C7803" s="179"/>
      <c r="D7803" s="180"/>
      <c r="E7803" s="125"/>
      <c r="F7803" s="178"/>
      <c r="G7803" s="178"/>
      <c r="H7803" s="178"/>
      <c r="I7803" s="178"/>
      <c r="J7803" s="178"/>
      <c r="K7803" s="178"/>
      <c r="L7803" s="125"/>
      <c r="M7803" s="125"/>
      <c r="N7803" s="182"/>
      <c r="O7803" s="177"/>
      <c r="P7803" s="176"/>
      <c r="Q7803" s="176"/>
      <c r="R7803" s="176"/>
      <c r="S7803" s="176"/>
      <c r="T7803" s="190"/>
      <c r="U7803" s="191"/>
      <c r="V7803" s="191">
        <f>+Table1[[#This Row],[SUBTOTAL]]+Table1[[#This Row],[IVA]]-Table1[[#This Row],[RET IVA]]-Table1[[#This Row],[RET ISR]]</f>
        <v>0</v>
      </c>
      <c r="W7803" s="185"/>
      <c r="X7803" s="186"/>
      <c r="Y7803" s="187"/>
      <c r="Z7803" s="204">
        <f>+Table1[[#This Row],[CONCEPTO]]+Table1[[#This Row],[TIPO2]]-Table1[[#This Row],[IVA]]-Table1[[#This Row],[OTROS IMPUESTOS]]-Table1[[#This Row],[RET IVA]]</f>
        <v>0</v>
      </c>
      <c r="AB7803" t="str">
        <f>IF(Table1[[#This Row],[TIPO2]]="costo", VLOOKUP(Table1[[#This Row],[PARTIDA PRESUPUESTAL]],'Cost Report'!G:G,1,0),"Balance")</f>
        <v>Balance</v>
      </c>
      <c r="AD7803" s="159">
        <f>+Table1[[#This Row],[SUBTOTAL]]+Table1[[#This Row],[IVA]]-Table1[[#This Row],[RET IVA]]-Table1[[#This Row],[RET ISR]]-Table1[[#This Row],[TOTAL]]</f>
        <v>0</v>
      </c>
    </row>
    <row r="7804" spans="1:30">
      <c r="A7804" s="172"/>
      <c r="B7804" s="178"/>
      <c r="C7804" s="179"/>
      <c r="D7804" s="180"/>
      <c r="E7804" s="125"/>
      <c r="F7804" s="178"/>
      <c r="G7804" s="178"/>
      <c r="H7804" s="178"/>
      <c r="I7804" s="178"/>
      <c r="J7804" s="178"/>
      <c r="K7804" s="178"/>
      <c r="L7804" s="125"/>
      <c r="M7804" s="125"/>
      <c r="N7804" s="182"/>
      <c r="O7804" s="177"/>
      <c r="P7804" s="176"/>
      <c r="Q7804" s="176"/>
      <c r="R7804" s="176"/>
      <c r="S7804" s="176"/>
      <c r="T7804" s="190"/>
      <c r="U7804" s="191"/>
      <c r="V7804" s="191">
        <f>+Table1[[#This Row],[SUBTOTAL]]+Table1[[#This Row],[IVA]]-Table1[[#This Row],[RET IVA]]-Table1[[#This Row],[RET ISR]]</f>
        <v>0</v>
      </c>
      <c r="W7804" s="185"/>
      <c r="X7804" s="186"/>
      <c r="Y7804" s="187"/>
      <c r="Z7804" s="204">
        <f>+Table1[[#This Row],[CONCEPTO]]+Table1[[#This Row],[TIPO2]]-Table1[[#This Row],[IVA]]-Table1[[#This Row],[OTROS IMPUESTOS]]-Table1[[#This Row],[RET IVA]]</f>
        <v>0</v>
      </c>
      <c r="AB7804" t="str">
        <f>IF(Table1[[#This Row],[TIPO2]]="costo", VLOOKUP(Table1[[#This Row],[PARTIDA PRESUPUESTAL]],'Cost Report'!G:G,1,0),"Balance")</f>
        <v>Balance</v>
      </c>
      <c r="AD7804" s="159">
        <f>+Table1[[#This Row],[SUBTOTAL]]+Table1[[#This Row],[IVA]]-Table1[[#This Row],[RET IVA]]-Table1[[#This Row],[RET ISR]]-Table1[[#This Row],[TOTAL]]</f>
        <v>0</v>
      </c>
    </row>
    <row r="7805" spans="1:30">
      <c r="A7805" s="172"/>
      <c r="B7805" s="178"/>
      <c r="C7805" s="179"/>
      <c r="D7805" s="180"/>
      <c r="E7805" s="125"/>
      <c r="F7805" s="178"/>
      <c r="G7805" s="178"/>
      <c r="H7805" s="178"/>
      <c r="I7805" s="178"/>
      <c r="J7805" s="178"/>
      <c r="K7805" s="178"/>
      <c r="L7805" s="125"/>
      <c r="M7805" s="125"/>
      <c r="N7805" s="182"/>
      <c r="O7805" s="177"/>
      <c r="P7805" s="176"/>
      <c r="Q7805" s="176"/>
      <c r="R7805" s="176"/>
      <c r="S7805" s="176"/>
      <c r="T7805" s="190"/>
      <c r="U7805" s="191"/>
      <c r="V7805" s="191">
        <f>+Table1[[#This Row],[SUBTOTAL]]+Table1[[#This Row],[IVA]]-Table1[[#This Row],[RET IVA]]-Table1[[#This Row],[RET ISR]]</f>
        <v>0</v>
      </c>
      <c r="W7805" s="185"/>
      <c r="X7805" s="186"/>
      <c r="Y7805" s="187"/>
      <c r="Z7805" s="204">
        <f>+Table1[[#This Row],[CONCEPTO]]+Table1[[#This Row],[TIPO2]]-Table1[[#This Row],[IVA]]-Table1[[#This Row],[OTROS IMPUESTOS]]-Table1[[#This Row],[RET IVA]]</f>
        <v>0</v>
      </c>
      <c r="AB7805" t="str">
        <f>IF(Table1[[#This Row],[TIPO2]]="costo", VLOOKUP(Table1[[#This Row],[PARTIDA PRESUPUESTAL]],'Cost Report'!G:G,1,0),"Balance")</f>
        <v>Balance</v>
      </c>
      <c r="AD7805" s="159">
        <f>+Table1[[#This Row],[SUBTOTAL]]+Table1[[#This Row],[IVA]]-Table1[[#This Row],[RET IVA]]-Table1[[#This Row],[RET ISR]]-Table1[[#This Row],[TOTAL]]</f>
        <v>0</v>
      </c>
    </row>
    <row r="7806" spans="1:30">
      <c r="A7806" s="172"/>
      <c r="B7806" s="178"/>
      <c r="C7806" s="179"/>
      <c r="D7806" s="180"/>
      <c r="E7806" s="125"/>
      <c r="F7806" s="178"/>
      <c r="G7806" s="178"/>
      <c r="H7806" s="178"/>
      <c r="I7806" s="178"/>
      <c r="J7806" s="178"/>
      <c r="K7806" s="178"/>
      <c r="L7806" s="125"/>
      <c r="M7806" s="125"/>
      <c r="N7806" s="182"/>
      <c r="O7806" s="177"/>
      <c r="P7806" s="176"/>
      <c r="Q7806" s="176"/>
      <c r="R7806" s="176"/>
      <c r="S7806" s="176"/>
      <c r="T7806" s="190"/>
      <c r="U7806" s="191"/>
      <c r="V7806" s="191">
        <f>+Table1[[#This Row],[SUBTOTAL]]+Table1[[#This Row],[IVA]]-Table1[[#This Row],[RET IVA]]-Table1[[#This Row],[RET ISR]]</f>
        <v>0</v>
      </c>
      <c r="W7806" s="185"/>
      <c r="X7806" s="186"/>
      <c r="Y7806" s="187"/>
      <c r="Z7806" s="204">
        <f>+Table1[[#This Row],[CONCEPTO]]+Table1[[#This Row],[TIPO2]]-Table1[[#This Row],[IVA]]-Table1[[#This Row],[OTROS IMPUESTOS]]-Table1[[#This Row],[RET IVA]]</f>
        <v>0</v>
      </c>
      <c r="AB7806" t="str">
        <f>IF(Table1[[#This Row],[TIPO2]]="costo", VLOOKUP(Table1[[#This Row],[PARTIDA PRESUPUESTAL]],'Cost Report'!G:G,1,0),"Balance")</f>
        <v>Balance</v>
      </c>
      <c r="AD7806" s="159">
        <f>+Table1[[#This Row],[SUBTOTAL]]+Table1[[#This Row],[IVA]]-Table1[[#This Row],[RET IVA]]-Table1[[#This Row],[RET ISR]]-Table1[[#This Row],[TOTAL]]</f>
        <v>0</v>
      </c>
    </row>
    <row r="7807" spans="1:30">
      <c r="A7807" s="172"/>
      <c r="B7807" s="178"/>
      <c r="C7807" s="179"/>
      <c r="D7807" s="180"/>
      <c r="E7807" s="125"/>
      <c r="F7807" s="178"/>
      <c r="G7807" s="178"/>
      <c r="H7807" s="178"/>
      <c r="I7807" s="178"/>
      <c r="J7807" s="178"/>
      <c r="K7807" s="178"/>
      <c r="L7807" s="125"/>
      <c r="M7807" s="125"/>
      <c r="N7807" s="182"/>
      <c r="O7807" s="177"/>
      <c r="P7807" s="176"/>
      <c r="Q7807" s="176"/>
      <c r="R7807" s="176"/>
      <c r="S7807" s="176"/>
      <c r="T7807" s="190"/>
      <c r="U7807" s="191"/>
      <c r="V7807" s="191">
        <f>+Table1[[#This Row],[SUBTOTAL]]+Table1[[#This Row],[IVA]]-Table1[[#This Row],[RET IVA]]-Table1[[#This Row],[RET ISR]]</f>
        <v>0</v>
      </c>
      <c r="W7807" s="185"/>
      <c r="X7807" s="186"/>
      <c r="Y7807" s="187"/>
      <c r="Z7807" s="204">
        <f>+Table1[[#This Row],[CONCEPTO]]+Table1[[#This Row],[TIPO2]]-Table1[[#This Row],[IVA]]-Table1[[#This Row],[OTROS IMPUESTOS]]-Table1[[#This Row],[RET IVA]]</f>
        <v>0</v>
      </c>
      <c r="AB7807" t="str">
        <f>IF(Table1[[#This Row],[TIPO2]]="costo", VLOOKUP(Table1[[#This Row],[PARTIDA PRESUPUESTAL]],'Cost Report'!G:G,1,0),"Balance")</f>
        <v>Balance</v>
      </c>
      <c r="AD7807" s="159">
        <f>+Table1[[#This Row],[SUBTOTAL]]+Table1[[#This Row],[IVA]]-Table1[[#This Row],[RET IVA]]-Table1[[#This Row],[RET ISR]]-Table1[[#This Row],[TOTAL]]</f>
        <v>0</v>
      </c>
    </row>
    <row r="7808" spans="1:30">
      <c r="A7808" s="172"/>
      <c r="B7808" s="178"/>
      <c r="C7808" s="179"/>
      <c r="D7808" s="180"/>
      <c r="E7808" s="125"/>
      <c r="F7808" s="178"/>
      <c r="G7808" s="178"/>
      <c r="H7808" s="178"/>
      <c r="I7808" s="178"/>
      <c r="J7808" s="178"/>
      <c r="K7808" s="178"/>
      <c r="L7808" s="125"/>
      <c r="M7808" s="125"/>
      <c r="N7808" s="182"/>
      <c r="O7808" s="177"/>
      <c r="P7808" s="176"/>
      <c r="Q7808" s="176"/>
      <c r="R7808" s="176"/>
      <c r="S7808" s="176"/>
      <c r="T7808" s="190"/>
      <c r="U7808" s="191"/>
      <c r="V7808" s="191">
        <f>+Table1[[#This Row],[SUBTOTAL]]+Table1[[#This Row],[IVA]]-Table1[[#This Row],[RET IVA]]-Table1[[#This Row],[RET ISR]]</f>
        <v>0</v>
      </c>
      <c r="W7808" s="185"/>
      <c r="X7808" s="186"/>
      <c r="Y7808" s="187"/>
      <c r="Z7808" s="204">
        <f>+Table1[[#This Row],[CONCEPTO]]+Table1[[#This Row],[TIPO2]]-Table1[[#This Row],[IVA]]-Table1[[#This Row],[OTROS IMPUESTOS]]-Table1[[#This Row],[RET IVA]]</f>
        <v>0</v>
      </c>
      <c r="AB7808" t="str">
        <f>IF(Table1[[#This Row],[TIPO2]]="costo", VLOOKUP(Table1[[#This Row],[PARTIDA PRESUPUESTAL]],'Cost Report'!G:G,1,0),"Balance")</f>
        <v>Balance</v>
      </c>
      <c r="AD7808" s="159">
        <f>+Table1[[#This Row],[SUBTOTAL]]+Table1[[#This Row],[IVA]]-Table1[[#This Row],[RET IVA]]-Table1[[#This Row],[RET ISR]]-Table1[[#This Row],[TOTAL]]</f>
        <v>0</v>
      </c>
    </row>
    <row r="7809" spans="1:30">
      <c r="A7809" s="172"/>
      <c r="B7809" s="178"/>
      <c r="C7809" s="179"/>
      <c r="D7809" s="180"/>
      <c r="E7809" s="125"/>
      <c r="F7809" s="178"/>
      <c r="G7809" s="178"/>
      <c r="H7809" s="178"/>
      <c r="I7809" s="178"/>
      <c r="J7809" s="178"/>
      <c r="K7809" s="178"/>
      <c r="L7809" s="125"/>
      <c r="M7809" s="125"/>
      <c r="N7809" s="182"/>
      <c r="O7809" s="177"/>
      <c r="P7809" s="176"/>
      <c r="Q7809" s="176"/>
      <c r="R7809" s="176"/>
      <c r="S7809" s="176"/>
      <c r="T7809" s="190"/>
      <c r="U7809" s="191"/>
      <c r="V7809" s="191">
        <f>+Table1[[#This Row],[SUBTOTAL]]+Table1[[#This Row],[IVA]]-Table1[[#This Row],[RET IVA]]-Table1[[#This Row],[RET ISR]]</f>
        <v>0</v>
      </c>
      <c r="W7809" s="185"/>
      <c r="X7809" s="186"/>
      <c r="Y7809" s="187"/>
      <c r="Z7809" s="204">
        <f>+Table1[[#This Row],[CONCEPTO]]+Table1[[#This Row],[TIPO2]]-Table1[[#This Row],[IVA]]-Table1[[#This Row],[OTROS IMPUESTOS]]-Table1[[#This Row],[RET IVA]]</f>
        <v>0</v>
      </c>
      <c r="AB7809" t="str">
        <f>IF(Table1[[#This Row],[TIPO2]]="costo", VLOOKUP(Table1[[#This Row],[PARTIDA PRESUPUESTAL]],'Cost Report'!G:G,1,0),"Balance")</f>
        <v>Balance</v>
      </c>
      <c r="AD7809" s="159">
        <f>+Table1[[#This Row],[SUBTOTAL]]+Table1[[#This Row],[IVA]]-Table1[[#This Row],[RET IVA]]-Table1[[#This Row],[RET ISR]]-Table1[[#This Row],[TOTAL]]</f>
        <v>0</v>
      </c>
    </row>
    <row r="7810" spans="1:30">
      <c r="A7810" s="172"/>
      <c r="B7810" s="178"/>
      <c r="C7810" s="179"/>
      <c r="D7810" s="180"/>
      <c r="E7810" s="125"/>
      <c r="F7810" s="178"/>
      <c r="G7810" s="178"/>
      <c r="H7810" s="178"/>
      <c r="I7810" s="178"/>
      <c r="J7810" s="178"/>
      <c r="K7810" s="178"/>
      <c r="L7810" s="125"/>
      <c r="M7810" s="125"/>
      <c r="N7810" s="182"/>
      <c r="O7810" s="177"/>
      <c r="P7810" s="176"/>
      <c r="Q7810" s="176"/>
      <c r="R7810" s="176"/>
      <c r="S7810" s="176"/>
      <c r="T7810" s="190"/>
      <c r="U7810" s="191"/>
      <c r="V7810" s="191">
        <f>+Table1[[#This Row],[SUBTOTAL]]+Table1[[#This Row],[IVA]]-Table1[[#This Row],[RET IVA]]-Table1[[#This Row],[RET ISR]]</f>
        <v>0</v>
      </c>
      <c r="W7810" s="185"/>
      <c r="X7810" s="186"/>
      <c r="Y7810" s="187"/>
      <c r="Z7810" s="204">
        <f>+Table1[[#This Row],[CONCEPTO]]+Table1[[#This Row],[TIPO2]]-Table1[[#This Row],[IVA]]-Table1[[#This Row],[OTROS IMPUESTOS]]-Table1[[#This Row],[RET IVA]]</f>
        <v>0</v>
      </c>
      <c r="AB7810" t="str">
        <f>IF(Table1[[#This Row],[TIPO2]]="costo", VLOOKUP(Table1[[#This Row],[PARTIDA PRESUPUESTAL]],'Cost Report'!G:G,1,0),"Balance")</f>
        <v>Balance</v>
      </c>
      <c r="AD7810" s="159">
        <f>+Table1[[#This Row],[SUBTOTAL]]+Table1[[#This Row],[IVA]]-Table1[[#This Row],[RET IVA]]-Table1[[#This Row],[RET ISR]]-Table1[[#This Row],[TOTAL]]</f>
        <v>0</v>
      </c>
    </row>
    <row r="7811" spans="1:30">
      <c r="A7811" s="172"/>
      <c r="B7811" s="178"/>
      <c r="C7811" s="179"/>
      <c r="D7811" s="180"/>
      <c r="E7811" s="125"/>
      <c r="F7811" s="178"/>
      <c r="G7811" s="178"/>
      <c r="H7811" s="178"/>
      <c r="I7811" s="178"/>
      <c r="J7811" s="178"/>
      <c r="K7811" s="178"/>
      <c r="L7811" s="125"/>
      <c r="M7811" s="125"/>
      <c r="N7811" s="182"/>
      <c r="O7811" s="177"/>
      <c r="P7811" s="176"/>
      <c r="Q7811" s="176"/>
      <c r="R7811" s="176"/>
      <c r="S7811" s="176"/>
      <c r="T7811" s="190"/>
      <c r="U7811" s="191"/>
      <c r="V7811" s="191">
        <f>+Table1[[#This Row],[SUBTOTAL]]+Table1[[#This Row],[IVA]]-Table1[[#This Row],[RET IVA]]-Table1[[#This Row],[RET ISR]]</f>
        <v>0</v>
      </c>
      <c r="W7811" s="185"/>
      <c r="X7811" s="186"/>
      <c r="Y7811" s="187"/>
      <c r="Z7811" s="204">
        <f>+Table1[[#This Row],[CONCEPTO]]+Table1[[#This Row],[TIPO2]]-Table1[[#This Row],[IVA]]-Table1[[#This Row],[OTROS IMPUESTOS]]-Table1[[#This Row],[RET IVA]]</f>
        <v>0</v>
      </c>
      <c r="AB7811" t="str">
        <f>IF(Table1[[#This Row],[TIPO2]]="costo", VLOOKUP(Table1[[#This Row],[PARTIDA PRESUPUESTAL]],'Cost Report'!G:G,1,0),"Balance")</f>
        <v>Balance</v>
      </c>
      <c r="AD7811" s="159">
        <f>+Table1[[#This Row],[SUBTOTAL]]+Table1[[#This Row],[IVA]]-Table1[[#This Row],[RET IVA]]-Table1[[#This Row],[RET ISR]]-Table1[[#This Row],[TOTAL]]</f>
        <v>0</v>
      </c>
    </row>
    <row r="7812" spans="1:30">
      <c r="A7812" s="172"/>
      <c r="B7812" s="178"/>
      <c r="C7812" s="179"/>
      <c r="D7812" s="180"/>
      <c r="E7812" s="125"/>
      <c r="F7812" s="178"/>
      <c r="G7812" s="178"/>
      <c r="H7812" s="178"/>
      <c r="I7812" s="178"/>
      <c r="J7812" s="178"/>
      <c r="K7812" s="178"/>
      <c r="L7812" s="125"/>
      <c r="M7812" s="125"/>
      <c r="N7812" s="182"/>
      <c r="O7812" s="177"/>
      <c r="P7812" s="176"/>
      <c r="Q7812" s="176"/>
      <c r="R7812" s="176"/>
      <c r="S7812" s="176"/>
      <c r="T7812" s="190"/>
      <c r="U7812" s="191"/>
      <c r="V7812" s="191">
        <f>+Table1[[#This Row],[SUBTOTAL]]+Table1[[#This Row],[IVA]]-Table1[[#This Row],[RET IVA]]-Table1[[#This Row],[RET ISR]]</f>
        <v>0</v>
      </c>
      <c r="W7812" s="185"/>
      <c r="X7812" s="186"/>
      <c r="Y7812" s="187"/>
      <c r="Z7812" s="204">
        <f>+Table1[[#This Row],[CONCEPTO]]+Table1[[#This Row],[TIPO2]]-Table1[[#This Row],[IVA]]-Table1[[#This Row],[OTROS IMPUESTOS]]-Table1[[#This Row],[RET IVA]]</f>
        <v>0</v>
      </c>
      <c r="AB7812" t="str">
        <f>IF(Table1[[#This Row],[TIPO2]]="costo", VLOOKUP(Table1[[#This Row],[PARTIDA PRESUPUESTAL]],'Cost Report'!G:G,1,0),"Balance")</f>
        <v>Balance</v>
      </c>
      <c r="AD7812" s="159">
        <f>+Table1[[#This Row],[SUBTOTAL]]+Table1[[#This Row],[IVA]]-Table1[[#This Row],[RET IVA]]-Table1[[#This Row],[RET ISR]]-Table1[[#This Row],[TOTAL]]</f>
        <v>0</v>
      </c>
    </row>
    <row r="7813" spans="1:30">
      <c r="A7813" s="172"/>
      <c r="B7813" s="178"/>
      <c r="C7813" s="179"/>
      <c r="D7813" s="180"/>
      <c r="E7813" s="125"/>
      <c r="F7813" s="178"/>
      <c r="G7813" s="178"/>
      <c r="H7813" s="178"/>
      <c r="I7813" s="178"/>
      <c r="J7813" s="178"/>
      <c r="K7813" s="178"/>
      <c r="L7813" s="125"/>
      <c r="M7813" s="125"/>
      <c r="N7813" s="182"/>
      <c r="O7813" s="177"/>
      <c r="P7813" s="176"/>
      <c r="Q7813" s="176"/>
      <c r="R7813" s="176"/>
      <c r="S7813" s="176"/>
      <c r="T7813" s="190"/>
      <c r="U7813" s="191"/>
      <c r="V7813" s="191">
        <f>+Table1[[#This Row],[SUBTOTAL]]+Table1[[#This Row],[IVA]]-Table1[[#This Row],[RET IVA]]-Table1[[#This Row],[RET ISR]]</f>
        <v>0</v>
      </c>
      <c r="W7813" s="185"/>
      <c r="X7813" s="186"/>
      <c r="Y7813" s="187"/>
      <c r="Z7813" s="204">
        <f>+Table1[[#This Row],[CONCEPTO]]+Table1[[#This Row],[TIPO2]]-Table1[[#This Row],[IVA]]-Table1[[#This Row],[OTROS IMPUESTOS]]-Table1[[#This Row],[RET IVA]]</f>
        <v>0</v>
      </c>
      <c r="AB7813" t="str">
        <f>IF(Table1[[#This Row],[TIPO2]]="costo", VLOOKUP(Table1[[#This Row],[PARTIDA PRESUPUESTAL]],'Cost Report'!G:G,1,0),"Balance")</f>
        <v>Balance</v>
      </c>
      <c r="AD7813" s="159">
        <f>+Table1[[#This Row],[SUBTOTAL]]+Table1[[#This Row],[IVA]]-Table1[[#This Row],[RET IVA]]-Table1[[#This Row],[RET ISR]]-Table1[[#This Row],[TOTAL]]</f>
        <v>0</v>
      </c>
    </row>
    <row r="7814" spans="1:30">
      <c r="A7814" s="172"/>
      <c r="B7814" s="178"/>
      <c r="C7814" s="179"/>
      <c r="D7814" s="180"/>
      <c r="E7814" s="125"/>
      <c r="F7814" s="178"/>
      <c r="G7814" s="178"/>
      <c r="H7814" s="178"/>
      <c r="I7814" s="178"/>
      <c r="J7814" s="178"/>
      <c r="K7814" s="178"/>
      <c r="L7814" s="125"/>
      <c r="M7814" s="125"/>
      <c r="N7814" s="182"/>
      <c r="O7814" s="177"/>
      <c r="P7814" s="176"/>
      <c r="Q7814" s="176"/>
      <c r="R7814" s="176"/>
      <c r="S7814" s="176"/>
      <c r="T7814" s="190"/>
      <c r="U7814" s="191"/>
      <c r="V7814" s="191">
        <f>+Table1[[#This Row],[SUBTOTAL]]+Table1[[#This Row],[IVA]]-Table1[[#This Row],[RET IVA]]-Table1[[#This Row],[RET ISR]]</f>
        <v>0</v>
      </c>
      <c r="W7814" s="185"/>
      <c r="X7814" s="186"/>
      <c r="Y7814" s="187"/>
      <c r="Z7814" s="204">
        <f>+Table1[[#This Row],[CONCEPTO]]+Table1[[#This Row],[TIPO2]]-Table1[[#This Row],[IVA]]-Table1[[#This Row],[OTROS IMPUESTOS]]-Table1[[#This Row],[RET IVA]]</f>
        <v>0</v>
      </c>
      <c r="AB7814" t="str">
        <f>IF(Table1[[#This Row],[TIPO2]]="costo", VLOOKUP(Table1[[#This Row],[PARTIDA PRESUPUESTAL]],'Cost Report'!G:G,1,0),"Balance")</f>
        <v>Balance</v>
      </c>
      <c r="AD7814" s="159">
        <f>+Table1[[#This Row],[SUBTOTAL]]+Table1[[#This Row],[IVA]]-Table1[[#This Row],[RET IVA]]-Table1[[#This Row],[RET ISR]]-Table1[[#This Row],[TOTAL]]</f>
        <v>0</v>
      </c>
    </row>
    <row r="7815" spans="1:30">
      <c r="A7815" s="172"/>
      <c r="B7815" s="178"/>
      <c r="C7815" s="179"/>
      <c r="D7815" s="180"/>
      <c r="E7815" s="125"/>
      <c r="F7815" s="178"/>
      <c r="G7815" s="178"/>
      <c r="H7815" s="178"/>
      <c r="I7815" s="178"/>
      <c r="J7815" s="178"/>
      <c r="K7815" s="178"/>
      <c r="L7815" s="125"/>
      <c r="M7815" s="125"/>
      <c r="N7815" s="182"/>
      <c r="O7815" s="177"/>
      <c r="P7815" s="176"/>
      <c r="Q7815" s="176"/>
      <c r="R7815" s="176"/>
      <c r="S7815" s="176"/>
      <c r="T7815" s="190"/>
      <c r="U7815" s="191"/>
      <c r="V7815" s="191">
        <f>+Table1[[#This Row],[SUBTOTAL]]+Table1[[#This Row],[IVA]]-Table1[[#This Row],[RET IVA]]-Table1[[#This Row],[RET ISR]]</f>
        <v>0</v>
      </c>
      <c r="W7815" s="185"/>
      <c r="X7815" s="186"/>
      <c r="Y7815" s="187"/>
      <c r="Z7815" s="204">
        <f>+Table1[[#This Row],[CONCEPTO]]+Table1[[#This Row],[TIPO2]]-Table1[[#This Row],[IVA]]-Table1[[#This Row],[OTROS IMPUESTOS]]-Table1[[#This Row],[RET IVA]]</f>
        <v>0</v>
      </c>
      <c r="AB7815" t="str">
        <f>IF(Table1[[#This Row],[TIPO2]]="costo", VLOOKUP(Table1[[#This Row],[PARTIDA PRESUPUESTAL]],'Cost Report'!G:G,1,0),"Balance")</f>
        <v>Balance</v>
      </c>
      <c r="AD7815" s="159">
        <f>+Table1[[#This Row],[SUBTOTAL]]+Table1[[#This Row],[IVA]]-Table1[[#This Row],[RET IVA]]-Table1[[#This Row],[RET ISR]]-Table1[[#This Row],[TOTAL]]</f>
        <v>0</v>
      </c>
    </row>
    <row r="7816" spans="1:30">
      <c r="A7816" s="172"/>
      <c r="B7816" s="178"/>
      <c r="C7816" s="179"/>
      <c r="D7816" s="180"/>
      <c r="E7816" s="125"/>
      <c r="F7816" s="178"/>
      <c r="G7816" s="178"/>
      <c r="H7816" s="178"/>
      <c r="I7816" s="178"/>
      <c r="J7816" s="178"/>
      <c r="K7816" s="178"/>
      <c r="L7816" s="125"/>
      <c r="M7816" s="125"/>
      <c r="N7816" s="182"/>
      <c r="O7816" s="177"/>
      <c r="P7816" s="176"/>
      <c r="Q7816" s="176"/>
      <c r="R7816" s="176"/>
      <c r="S7816" s="176"/>
      <c r="T7816" s="190"/>
      <c r="U7816" s="191"/>
      <c r="V7816" s="191">
        <f>+Table1[[#This Row],[SUBTOTAL]]+Table1[[#This Row],[IVA]]-Table1[[#This Row],[RET IVA]]-Table1[[#This Row],[RET ISR]]</f>
        <v>0</v>
      </c>
      <c r="W7816" s="185"/>
      <c r="X7816" s="186"/>
      <c r="Y7816" s="187"/>
      <c r="Z7816" s="204">
        <f>+Table1[[#This Row],[CONCEPTO]]+Table1[[#This Row],[TIPO2]]-Table1[[#This Row],[IVA]]-Table1[[#This Row],[OTROS IMPUESTOS]]-Table1[[#This Row],[RET IVA]]</f>
        <v>0</v>
      </c>
      <c r="AB7816" t="str">
        <f>IF(Table1[[#This Row],[TIPO2]]="costo", VLOOKUP(Table1[[#This Row],[PARTIDA PRESUPUESTAL]],'Cost Report'!G:G,1,0),"Balance")</f>
        <v>Balance</v>
      </c>
      <c r="AD7816" s="159">
        <f>+Table1[[#This Row],[SUBTOTAL]]+Table1[[#This Row],[IVA]]-Table1[[#This Row],[RET IVA]]-Table1[[#This Row],[RET ISR]]-Table1[[#This Row],[TOTAL]]</f>
        <v>0</v>
      </c>
    </row>
    <row r="7817" spans="1:30">
      <c r="A7817" s="172"/>
      <c r="B7817" s="178"/>
      <c r="C7817" s="179"/>
      <c r="D7817" s="180"/>
      <c r="E7817" s="125"/>
      <c r="F7817" s="178"/>
      <c r="G7817" s="178"/>
      <c r="H7817" s="178"/>
      <c r="I7817" s="178"/>
      <c r="J7817" s="178"/>
      <c r="K7817" s="178"/>
      <c r="L7817" s="125"/>
      <c r="M7817" s="125"/>
      <c r="N7817" s="182"/>
      <c r="O7817" s="177"/>
      <c r="P7817" s="176"/>
      <c r="Q7817" s="176"/>
      <c r="R7817" s="176"/>
      <c r="S7817" s="176"/>
      <c r="T7817" s="190"/>
      <c r="U7817" s="191"/>
      <c r="V7817" s="191">
        <f>+Table1[[#This Row],[SUBTOTAL]]+Table1[[#This Row],[IVA]]-Table1[[#This Row],[RET IVA]]-Table1[[#This Row],[RET ISR]]</f>
        <v>0</v>
      </c>
      <c r="W7817" s="185"/>
      <c r="X7817" s="186"/>
      <c r="Y7817" s="187"/>
      <c r="Z7817" s="204">
        <f>+Table1[[#This Row],[CONCEPTO]]+Table1[[#This Row],[TIPO2]]-Table1[[#This Row],[IVA]]-Table1[[#This Row],[OTROS IMPUESTOS]]-Table1[[#This Row],[RET IVA]]</f>
        <v>0</v>
      </c>
      <c r="AB7817" t="str">
        <f>IF(Table1[[#This Row],[TIPO2]]="costo", VLOOKUP(Table1[[#This Row],[PARTIDA PRESUPUESTAL]],'Cost Report'!G:G,1,0),"Balance")</f>
        <v>Balance</v>
      </c>
      <c r="AD7817" s="159">
        <f>+Table1[[#This Row],[SUBTOTAL]]+Table1[[#This Row],[IVA]]-Table1[[#This Row],[RET IVA]]-Table1[[#This Row],[RET ISR]]-Table1[[#This Row],[TOTAL]]</f>
        <v>0</v>
      </c>
    </row>
    <row r="7818" spans="1:30">
      <c r="A7818" s="172"/>
      <c r="B7818" s="178"/>
      <c r="C7818" s="179"/>
      <c r="D7818" s="180"/>
      <c r="E7818" s="125"/>
      <c r="F7818" s="178"/>
      <c r="G7818" s="178"/>
      <c r="H7818" s="178"/>
      <c r="I7818" s="178"/>
      <c r="J7818" s="178"/>
      <c r="K7818" s="178"/>
      <c r="L7818" s="125"/>
      <c r="M7818" s="125"/>
      <c r="N7818" s="182"/>
      <c r="O7818" s="177"/>
      <c r="P7818" s="176"/>
      <c r="Q7818" s="176"/>
      <c r="R7818" s="176"/>
      <c r="S7818" s="176"/>
      <c r="T7818" s="190"/>
      <c r="U7818" s="191"/>
      <c r="V7818" s="191">
        <f>+Table1[[#This Row],[SUBTOTAL]]+Table1[[#This Row],[IVA]]-Table1[[#This Row],[RET IVA]]-Table1[[#This Row],[RET ISR]]</f>
        <v>0</v>
      </c>
      <c r="W7818" s="185"/>
      <c r="X7818" s="186"/>
      <c r="Y7818" s="187"/>
      <c r="Z7818" s="204">
        <f>+Table1[[#This Row],[CONCEPTO]]+Table1[[#This Row],[TIPO2]]-Table1[[#This Row],[IVA]]-Table1[[#This Row],[OTROS IMPUESTOS]]-Table1[[#This Row],[RET IVA]]</f>
        <v>0</v>
      </c>
      <c r="AB7818" t="str">
        <f>IF(Table1[[#This Row],[TIPO2]]="costo", VLOOKUP(Table1[[#This Row],[PARTIDA PRESUPUESTAL]],'Cost Report'!G:G,1,0),"Balance")</f>
        <v>Balance</v>
      </c>
      <c r="AD7818" s="159">
        <f>+Table1[[#This Row],[SUBTOTAL]]+Table1[[#This Row],[IVA]]-Table1[[#This Row],[RET IVA]]-Table1[[#This Row],[RET ISR]]-Table1[[#This Row],[TOTAL]]</f>
        <v>0</v>
      </c>
    </row>
    <row r="7819" spans="1:30">
      <c r="A7819" s="172"/>
      <c r="B7819" s="178"/>
      <c r="C7819" s="179"/>
      <c r="D7819" s="180"/>
      <c r="E7819" s="125"/>
      <c r="F7819" s="178"/>
      <c r="G7819" s="178"/>
      <c r="H7819" s="178"/>
      <c r="I7819" s="178"/>
      <c r="J7819" s="178"/>
      <c r="K7819" s="178"/>
      <c r="L7819" s="125"/>
      <c r="M7819" s="125"/>
      <c r="N7819" s="182"/>
      <c r="O7819" s="177"/>
      <c r="P7819" s="176"/>
      <c r="Q7819" s="176"/>
      <c r="R7819" s="176"/>
      <c r="S7819" s="176"/>
      <c r="T7819" s="190"/>
      <c r="U7819" s="191"/>
      <c r="V7819" s="191">
        <f>+Table1[[#This Row],[SUBTOTAL]]+Table1[[#This Row],[IVA]]-Table1[[#This Row],[RET IVA]]-Table1[[#This Row],[RET ISR]]</f>
        <v>0</v>
      </c>
      <c r="W7819" s="185"/>
      <c r="X7819" s="186"/>
      <c r="Y7819" s="187"/>
      <c r="Z7819" s="204">
        <f>+Table1[[#This Row],[CONCEPTO]]+Table1[[#This Row],[TIPO2]]-Table1[[#This Row],[IVA]]-Table1[[#This Row],[OTROS IMPUESTOS]]-Table1[[#This Row],[RET IVA]]</f>
        <v>0</v>
      </c>
      <c r="AB7819" t="str">
        <f>IF(Table1[[#This Row],[TIPO2]]="costo", VLOOKUP(Table1[[#This Row],[PARTIDA PRESUPUESTAL]],'Cost Report'!G:G,1,0),"Balance")</f>
        <v>Balance</v>
      </c>
      <c r="AD7819" s="159">
        <f>+Table1[[#This Row],[SUBTOTAL]]+Table1[[#This Row],[IVA]]-Table1[[#This Row],[RET IVA]]-Table1[[#This Row],[RET ISR]]-Table1[[#This Row],[TOTAL]]</f>
        <v>0</v>
      </c>
    </row>
    <row r="7820" spans="1:30">
      <c r="A7820" s="172"/>
      <c r="B7820" s="178"/>
      <c r="C7820" s="179"/>
      <c r="D7820" s="180"/>
      <c r="E7820" s="125"/>
      <c r="F7820" s="178"/>
      <c r="G7820" s="178"/>
      <c r="H7820" s="178"/>
      <c r="I7820" s="178"/>
      <c r="J7820" s="178"/>
      <c r="K7820" s="178"/>
      <c r="L7820" s="125"/>
      <c r="M7820" s="125"/>
      <c r="N7820" s="182"/>
      <c r="O7820" s="177"/>
      <c r="P7820" s="176"/>
      <c r="Q7820" s="176"/>
      <c r="R7820" s="176"/>
      <c r="S7820" s="176"/>
      <c r="T7820" s="190"/>
      <c r="U7820" s="191"/>
      <c r="V7820" s="191">
        <f>+Table1[[#This Row],[SUBTOTAL]]+Table1[[#This Row],[IVA]]-Table1[[#This Row],[RET IVA]]-Table1[[#This Row],[RET ISR]]</f>
        <v>0</v>
      </c>
      <c r="W7820" s="185"/>
      <c r="X7820" s="186"/>
      <c r="Y7820" s="187"/>
      <c r="Z7820" s="204">
        <f>+Table1[[#This Row],[CONCEPTO]]+Table1[[#This Row],[TIPO2]]-Table1[[#This Row],[IVA]]-Table1[[#This Row],[OTROS IMPUESTOS]]-Table1[[#This Row],[RET IVA]]</f>
        <v>0</v>
      </c>
      <c r="AB7820" t="str">
        <f>IF(Table1[[#This Row],[TIPO2]]="costo", VLOOKUP(Table1[[#This Row],[PARTIDA PRESUPUESTAL]],'Cost Report'!G:G,1,0),"Balance")</f>
        <v>Balance</v>
      </c>
      <c r="AD7820" s="159">
        <f>+Table1[[#This Row],[SUBTOTAL]]+Table1[[#This Row],[IVA]]-Table1[[#This Row],[RET IVA]]-Table1[[#This Row],[RET ISR]]-Table1[[#This Row],[TOTAL]]</f>
        <v>0</v>
      </c>
    </row>
    <row r="7821" spans="1:30">
      <c r="A7821" s="172"/>
      <c r="B7821" s="178"/>
      <c r="C7821" s="179"/>
      <c r="D7821" s="180"/>
      <c r="E7821" s="125"/>
      <c r="F7821" s="178"/>
      <c r="G7821" s="178"/>
      <c r="H7821" s="178"/>
      <c r="I7821" s="178"/>
      <c r="J7821" s="178"/>
      <c r="K7821" s="178"/>
      <c r="L7821" s="125"/>
      <c r="M7821" s="125"/>
      <c r="N7821" s="182"/>
      <c r="O7821" s="177"/>
      <c r="P7821" s="176"/>
      <c r="Q7821" s="176"/>
      <c r="R7821" s="176"/>
      <c r="S7821" s="176"/>
      <c r="T7821" s="190"/>
      <c r="U7821" s="191"/>
      <c r="V7821" s="191">
        <f>+Table1[[#This Row],[SUBTOTAL]]+Table1[[#This Row],[IVA]]-Table1[[#This Row],[RET IVA]]-Table1[[#This Row],[RET ISR]]</f>
        <v>0</v>
      </c>
      <c r="W7821" s="185"/>
      <c r="X7821" s="186"/>
      <c r="Y7821" s="187"/>
      <c r="Z7821" s="204">
        <f>+Table1[[#This Row],[CONCEPTO]]+Table1[[#This Row],[TIPO2]]-Table1[[#This Row],[IVA]]-Table1[[#This Row],[OTROS IMPUESTOS]]-Table1[[#This Row],[RET IVA]]</f>
        <v>0</v>
      </c>
      <c r="AB7821" t="str">
        <f>IF(Table1[[#This Row],[TIPO2]]="costo", VLOOKUP(Table1[[#This Row],[PARTIDA PRESUPUESTAL]],'Cost Report'!G:G,1,0),"Balance")</f>
        <v>Balance</v>
      </c>
      <c r="AD7821" s="159">
        <f>+Table1[[#This Row],[SUBTOTAL]]+Table1[[#This Row],[IVA]]-Table1[[#This Row],[RET IVA]]-Table1[[#This Row],[RET ISR]]-Table1[[#This Row],[TOTAL]]</f>
        <v>0</v>
      </c>
    </row>
    <row r="7822" spans="1:30">
      <c r="A7822" s="172"/>
      <c r="B7822" s="178"/>
      <c r="C7822" s="179"/>
      <c r="D7822" s="180"/>
      <c r="E7822" s="125"/>
      <c r="F7822" s="178"/>
      <c r="G7822" s="178"/>
      <c r="H7822" s="178"/>
      <c r="I7822" s="178"/>
      <c r="J7822" s="178"/>
      <c r="K7822" s="178"/>
      <c r="L7822" s="125"/>
      <c r="M7822" s="125"/>
      <c r="N7822" s="182"/>
      <c r="O7822" s="177"/>
      <c r="P7822" s="176"/>
      <c r="Q7822" s="176"/>
      <c r="R7822" s="176"/>
      <c r="S7822" s="176"/>
      <c r="T7822" s="190"/>
      <c r="U7822" s="191"/>
      <c r="V7822" s="191">
        <f>+Table1[[#This Row],[SUBTOTAL]]+Table1[[#This Row],[IVA]]-Table1[[#This Row],[RET IVA]]-Table1[[#This Row],[RET ISR]]</f>
        <v>0</v>
      </c>
      <c r="W7822" s="185"/>
      <c r="X7822" s="186"/>
      <c r="Y7822" s="187"/>
      <c r="Z7822" s="204">
        <f>+Table1[[#This Row],[CONCEPTO]]+Table1[[#This Row],[TIPO2]]-Table1[[#This Row],[IVA]]-Table1[[#This Row],[OTROS IMPUESTOS]]-Table1[[#This Row],[RET IVA]]</f>
        <v>0</v>
      </c>
      <c r="AB7822" t="str">
        <f>IF(Table1[[#This Row],[TIPO2]]="costo", VLOOKUP(Table1[[#This Row],[PARTIDA PRESUPUESTAL]],'Cost Report'!G:G,1,0),"Balance")</f>
        <v>Balance</v>
      </c>
      <c r="AD7822" s="159">
        <f>+Table1[[#This Row],[SUBTOTAL]]+Table1[[#This Row],[IVA]]-Table1[[#This Row],[RET IVA]]-Table1[[#This Row],[RET ISR]]-Table1[[#This Row],[TOTAL]]</f>
        <v>0</v>
      </c>
    </row>
    <row r="7823" spans="1:30">
      <c r="A7823" s="172"/>
      <c r="B7823" s="178"/>
      <c r="C7823" s="179"/>
      <c r="D7823" s="180"/>
      <c r="E7823" s="125"/>
      <c r="F7823" s="178"/>
      <c r="G7823" s="178"/>
      <c r="H7823" s="178"/>
      <c r="I7823" s="178"/>
      <c r="J7823" s="178"/>
      <c r="K7823" s="178"/>
      <c r="L7823" s="125"/>
      <c r="M7823" s="125"/>
      <c r="N7823" s="182"/>
      <c r="O7823" s="177"/>
      <c r="P7823" s="176"/>
      <c r="Q7823" s="176"/>
      <c r="R7823" s="176"/>
      <c r="S7823" s="176"/>
      <c r="T7823" s="190"/>
      <c r="U7823" s="191"/>
      <c r="V7823" s="191">
        <f>+Table1[[#This Row],[SUBTOTAL]]+Table1[[#This Row],[IVA]]-Table1[[#This Row],[RET IVA]]-Table1[[#This Row],[RET ISR]]</f>
        <v>0</v>
      </c>
      <c r="W7823" s="185"/>
      <c r="X7823" s="186"/>
      <c r="Y7823" s="187"/>
      <c r="Z7823" s="204">
        <f>+Table1[[#This Row],[CONCEPTO]]+Table1[[#This Row],[TIPO2]]-Table1[[#This Row],[IVA]]-Table1[[#This Row],[OTROS IMPUESTOS]]-Table1[[#This Row],[RET IVA]]</f>
        <v>0</v>
      </c>
      <c r="AB7823" t="str">
        <f>IF(Table1[[#This Row],[TIPO2]]="costo", VLOOKUP(Table1[[#This Row],[PARTIDA PRESUPUESTAL]],'Cost Report'!G:G,1,0),"Balance")</f>
        <v>Balance</v>
      </c>
      <c r="AD7823" s="159">
        <f>+Table1[[#This Row],[SUBTOTAL]]+Table1[[#This Row],[IVA]]-Table1[[#This Row],[RET IVA]]-Table1[[#This Row],[RET ISR]]-Table1[[#This Row],[TOTAL]]</f>
        <v>0</v>
      </c>
    </row>
    <row r="7824" spans="1:30">
      <c r="A7824" s="172"/>
      <c r="B7824" s="178"/>
      <c r="C7824" s="179"/>
      <c r="D7824" s="180"/>
      <c r="E7824" s="125"/>
      <c r="F7824" s="178"/>
      <c r="G7824" s="178"/>
      <c r="H7824" s="178"/>
      <c r="I7824" s="178"/>
      <c r="J7824" s="178"/>
      <c r="K7824" s="178"/>
      <c r="L7824" s="125"/>
      <c r="M7824" s="125"/>
      <c r="N7824" s="182"/>
      <c r="O7824" s="177"/>
      <c r="P7824" s="176"/>
      <c r="Q7824" s="176"/>
      <c r="R7824" s="176"/>
      <c r="S7824" s="176"/>
      <c r="T7824" s="190"/>
      <c r="U7824" s="191"/>
      <c r="V7824" s="191">
        <f>+Table1[[#This Row],[SUBTOTAL]]+Table1[[#This Row],[IVA]]-Table1[[#This Row],[RET IVA]]-Table1[[#This Row],[RET ISR]]</f>
        <v>0</v>
      </c>
      <c r="W7824" s="185"/>
      <c r="X7824" s="186"/>
      <c r="Y7824" s="187"/>
      <c r="Z7824" s="204">
        <f>+Table1[[#This Row],[CONCEPTO]]+Table1[[#This Row],[TIPO2]]-Table1[[#This Row],[IVA]]-Table1[[#This Row],[OTROS IMPUESTOS]]-Table1[[#This Row],[RET IVA]]</f>
        <v>0</v>
      </c>
      <c r="AB7824" t="str">
        <f>IF(Table1[[#This Row],[TIPO2]]="costo", VLOOKUP(Table1[[#This Row],[PARTIDA PRESUPUESTAL]],'Cost Report'!G:G,1,0),"Balance")</f>
        <v>Balance</v>
      </c>
      <c r="AD7824" s="159">
        <f>+Table1[[#This Row],[SUBTOTAL]]+Table1[[#This Row],[IVA]]-Table1[[#This Row],[RET IVA]]-Table1[[#This Row],[RET ISR]]-Table1[[#This Row],[TOTAL]]</f>
        <v>0</v>
      </c>
    </row>
    <row r="7825" spans="1:30">
      <c r="A7825" s="172"/>
      <c r="B7825" s="178"/>
      <c r="C7825" s="179"/>
      <c r="D7825" s="180"/>
      <c r="E7825" s="125"/>
      <c r="F7825" s="178"/>
      <c r="G7825" s="178"/>
      <c r="H7825" s="178"/>
      <c r="I7825" s="178"/>
      <c r="J7825" s="178"/>
      <c r="K7825" s="178"/>
      <c r="L7825" s="125"/>
      <c r="M7825" s="125"/>
      <c r="N7825" s="182"/>
      <c r="O7825" s="177"/>
      <c r="P7825" s="176"/>
      <c r="Q7825" s="176"/>
      <c r="R7825" s="176"/>
      <c r="S7825" s="176"/>
      <c r="T7825" s="190"/>
      <c r="U7825" s="191"/>
      <c r="V7825" s="191">
        <f>+Table1[[#This Row],[SUBTOTAL]]+Table1[[#This Row],[IVA]]-Table1[[#This Row],[RET IVA]]-Table1[[#This Row],[RET ISR]]</f>
        <v>0</v>
      </c>
      <c r="W7825" s="185"/>
      <c r="X7825" s="186"/>
      <c r="Y7825" s="187"/>
      <c r="Z7825" s="204">
        <f>+Table1[[#This Row],[CONCEPTO]]+Table1[[#This Row],[TIPO2]]-Table1[[#This Row],[IVA]]-Table1[[#This Row],[OTROS IMPUESTOS]]-Table1[[#This Row],[RET IVA]]</f>
        <v>0</v>
      </c>
      <c r="AB7825" t="str">
        <f>IF(Table1[[#This Row],[TIPO2]]="costo", VLOOKUP(Table1[[#This Row],[PARTIDA PRESUPUESTAL]],'Cost Report'!G:G,1,0),"Balance")</f>
        <v>Balance</v>
      </c>
      <c r="AD7825" s="159">
        <f>+Table1[[#This Row],[SUBTOTAL]]+Table1[[#This Row],[IVA]]-Table1[[#This Row],[RET IVA]]-Table1[[#This Row],[RET ISR]]-Table1[[#This Row],[TOTAL]]</f>
        <v>0</v>
      </c>
    </row>
    <row r="7826" spans="1:30">
      <c r="A7826" s="172"/>
      <c r="B7826" s="178"/>
      <c r="C7826" s="179"/>
      <c r="D7826" s="180"/>
      <c r="E7826" s="125"/>
      <c r="F7826" s="178"/>
      <c r="G7826" s="178"/>
      <c r="H7826" s="178"/>
      <c r="I7826" s="178"/>
      <c r="J7826" s="178"/>
      <c r="K7826" s="178"/>
      <c r="L7826" s="125"/>
      <c r="M7826" s="125"/>
      <c r="N7826" s="182"/>
      <c r="O7826" s="177"/>
      <c r="P7826" s="176"/>
      <c r="Q7826" s="176"/>
      <c r="R7826" s="176"/>
      <c r="S7826" s="176"/>
      <c r="T7826" s="190"/>
      <c r="U7826" s="191"/>
      <c r="V7826" s="191">
        <f>+Table1[[#This Row],[SUBTOTAL]]+Table1[[#This Row],[IVA]]-Table1[[#This Row],[RET IVA]]-Table1[[#This Row],[RET ISR]]</f>
        <v>0</v>
      </c>
      <c r="W7826" s="185"/>
      <c r="X7826" s="186"/>
      <c r="Y7826" s="187"/>
      <c r="Z7826" s="204">
        <f>+Table1[[#This Row],[CONCEPTO]]+Table1[[#This Row],[TIPO2]]-Table1[[#This Row],[IVA]]-Table1[[#This Row],[OTROS IMPUESTOS]]-Table1[[#This Row],[RET IVA]]</f>
        <v>0</v>
      </c>
      <c r="AB7826" t="str">
        <f>IF(Table1[[#This Row],[TIPO2]]="costo", VLOOKUP(Table1[[#This Row],[PARTIDA PRESUPUESTAL]],'Cost Report'!G:G,1,0),"Balance")</f>
        <v>Balance</v>
      </c>
      <c r="AD7826" s="159">
        <f>+Table1[[#This Row],[SUBTOTAL]]+Table1[[#This Row],[IVA]]-Table1[[#This Row],[RET IVA]]-Table1[[#This Row],[RET ISR]]-Table1[[#This Row],[TOTAL]]</f>
        <v>0</v>
      </c>
    </row>
    <row r="7827" spans="1:30">
      <c r="A7827" s="172"/>
      <c r="B7827" s="178"/>
      <c r="C7827" s="179"/>
      <c r="D7827" s="180"/>
      <c r="E7827" s="125"/>
      <c r="F7827" s="178"/>
      <c r="G7827" s="178"/>
      <c r="H7827" s="178"/>
      <c r="I7827" s="178"/>
      <c r="J7827" s="178"/>
      <c r="K7827" s="178"/>
      <c r="L7827" s="125"/>
      <c r="M7827" s="125"/>
      <c r="N7827" s="182"/>
      <c r="O7827" s="177"/>
      <c r="P7827" s="176"/>
      <c r="Q7827" s="176"/>
      <c r="R7827" s="176"/>
      <c r="S7827" s="176"/>
      <c r="T7827" s="190"/>
      <c r="U7827" s="191"/>
      <c r="V7827" s="191">
        <f>+Table1[[#This Row],[SUBTOTAL]]+Table1[[#This Row],[IVA]]-Table1[[#This Row],[RET IVA]]-Table1[[#This Row],[RET ISR]]</f>
        <v>0</v>
      </c>
      <c r="W7827" s="185"/>
      <c r="X7827" s="186"/>
      <c r="Y7827" s="187"/>
      <c r="Z7827" s="204">
        <f>+Table1[[#This Row],[CONCEPTO]]+Table1[[#This Row],[TIPO2]]-Table1[[#This Row],[IVA]]-Table1[[#This Row],[OTROS IMPUESTOS]]-Table1[[#This Row],[RET IVA]]</f>
        <v>0</v>
      </c>
      <c r="AB7827" t="str">
        <f>IF(Table1[[#This Row],[TIPO2]]="costo", VLOOKUP(Table1[[#This Row],[PARTIDA PRESUPUESTAL]],'Cost Report'!G:G,1,0),"Balance")</f>
        <v>Balance</v>
      </c>
      <c r="AD7827" s="159">
        <f>+Table1[[#This Row],[SUBTOTAL]]+Table1[[#This Row],[IVA]]-Table1[[#This Row],[RET IVA]]-Table1[[#This Row],[RET ISR]]-Table1[[#This Row],[TOTAL]]</f>
        <v>0</v>
      </c>
    </row>
    <row r="7828" spans="1:30">
      <c r="A7828" s="172"/>
      <c r="B7828" s="178"/>
      <c r="C7828" s="179"/>
      <c r="D7828" s="180"/>
      <c r="E7828" s="125"/>
      <c r="F7828" s="178"/>
      <c r="G7828" s="178"/>
      <c r="H7828" s="178"/>
      <c r="I7828" s="178"/>
      <c r="J7828" s="178"/>
      <c r="K7828" s="178"/>
      <c r="L7828" s="125"/>
      <c r="M7828" s="125"/>
      <c r="N7828" s="182"/>
      <c r="O7828" s="177"/>
      <c r="P7828" s="176"/>
      <c r="Q7828" s="176"/>
      <c r="R7828" s="176"/>
      <c r="S7828" s="176"/>
      <c r="T7828" s="190"/>
      <c r="U7828" s="191"/>
      <c r="V7828" s="191">
        <f>+Table1[[#This Row],[SUBTOTAL]]+Table1[[#This Row],[IVA]]-Table1[[#This Row],[RET IVA]]-Table1[[#This Row],[RET ISR]]</f>
        <v>0</v>
      </c>
      <c r="W7828" s="185"/>
      <c r="X7828" s="186"/>
      <c r="Y7828" s="187"/>
      <c r="Z7828" s="204">
        <f>+Table1[[#This Row],[CONCEPTO]]+Table1[[#This Row],[TIPO2]]-Table1[[#This Row],[IVA]]-Table1[[#This Row],[OTROS IMPUESTOS]]-Table1[[#This Row],[RET IVA]]</f>
        <v>0</v>
      </c>
      <c r="AB7828" t="str">
        <f>IF(Table1[[#This Row],[TIPO2]]="costo", VLOOKUP(Table1[[#This Row],[PARTIDA PRESUPUESTAL]],'Cost Report'!G:G,1,0),"Balance")</f>
        <v>Balance</v>
      </c>
      <c r="AD7828" s="159">
        <f>+Table1[[#This Row],[SUBTOTAL]]+Table1[[#This Row],[IVA]]-Table1[[#This Row],[RET IVA]]-Table1[[#This Row],[RET ISR]]-Table1[[#This Row],[TOTAL]]</f>
        <v>0</v>
      </c>
    </row>
    <row r="7829" spans="1:30">
      <c r="A7829" s="172"/>
      <c r="B7829" s="178"/>
      <c r="C7829" s="179"/>
      <c r="D7829" s="180"/>
      <c r="E7829" s="125"/>
      <c r="F7829" s="178"/>
      <c r="G7829" s="178"/>
      <c r="H7829" s="178"/>
      <c r="I7829" s="178"/>
      <c r="J7829" s="178"/>
      <c r="K7829" s="178"/>
      <c r="L7829" s="125"/>
      <c r="M7829" s="125"/>
      <c r="N7829" s="182"/>
      <c r="O7829" s="177"/>
      <c r="P7829" s="176"/>
      <c r="Q7829" s="176"/>
      <c r="R7829" s="176"/>
      <c r="S7829" s="176"/>
      <c r="T7829" s="190"/>
      <c r="U7829" s="191"/>
      <c r="V7829" s="191">
        <f>+Table1[[#This Row],[SUBTOTAL]]+Table1[[#This Row],[IVA]]-Table1[[#This Row],[RET IVA]]-Table1[[#This Row],[RET ISR]]</f>
        <v>0</v>
      </c>
      <c r="W7829" s="185"/>
      <c r="X7829" s="186"/>
      <c r="Y7829" s="187"/>
      <c r="Z7829" s="204">
        <f>+Table1[[#This Row],[CONCEPTO]]+Table1[[#This Row],[TIPO2]]-Table1[[#This Row],[IVA]]-Table1[[#This Row],[OTROS IMPUESTOS]]-Table1[[#This Row],[RET IVA]]</f>
        <v>0</v>
      </c>
      <c r="AB7829" t="str">
        <f>IF(Table1[[#This Row],[TIPO2]]="costo", VLOOKUP(Table1[[#This Row],[PARTIDA PRESUPUESTAL]],'Cost Report'!G:G,1,0),"Balance")</f>
        <v>Balance</v>
      </c>
      <c r="AD7829" s="159">
        <f>+Table1[[#This Row],[SUBTOTAL]]+Table1[[#This Row],[IVA]]-Table1[[#This Row],[RET IVA]]-Table1[[#This Row],[RET ISR]]-Table1[[#This Row],[TOTAL]]</f>
        <v>0</v>
      </c>
    </row>
    <row r="7830" spans="1:30">
      <c r="A7830" s="172"/>
      <c r="B7830" s="178"/>
      <c r="C7830" s="179"/>
      <c r="D7830" s="180"/>
      <c r="E7830" s="125"/>
      <c r="F7830" s="178"/>
      <c r="G7830" s="178"/>
      <c r="H7830" s="178"/>
      <c r="I7830" s="178"/>
      <c r="J7830" s="178"/>
      <c r="K7830" s="178"/>
      <c r="L7830" s="125"/>
      <c r="M7830" s="125"/>
      <c r="N7830" s="182"/>
      <c r="O7830" s="177"/>
      <c r="P7830" s="176"/>
      <c r="Q7830" s="176"/>
      <c r="R7830" s="176"/>
      <c r="S7830" s="176"/>
      <c r="T7830" s="190"/>
      <c r="U7830" s="191"/>
      <c r="V7830" s="191">
        <f>+Table1[[#This Row],[SUBTOTAL]]+Table1[[#This Row],[IVA]]-Table1[[#This Row],[RET IVA]]-Table1[[#This Row],[RET ISR]]</f>
        <v>0</v>
      </c>
      <c r="W7830" s="185"/>
      <c r="X7830" s="186"/>
      <c r="Y7830" s="187"/>
      <c r="Z7830" s="204">
        <f>+Table1[[#This Row],[CONCEPTO]]+Table1[[#This Row],[TIPO2]]-Table1[[#This Row],[IVA]]-Table1[[#This Row],[OTROS IMPUESTOS]]-Table1[[#This Row],[RET IVA]]</f>
        <v>0</v>
      </c>
      <c r="AB7830" t="str">
        <f>IF(Table1[[#This Row],[TIPO2]]="costo", VLOOKUP(Table1[[#This Row],[PARTIDA PRESUPUESTAL]],'Cost Report'!G:G,1,0),"Balance")</f>
        <v>Balance</v>
      </c>
      <c r="AD7830" s="159">
        <f>+Table1[[#This Row],[SUBTOTAL]]+Table1[[#This Row],[IVA]]-Table1[[#This Row],[RET IVA]]-Table1[[#This Row],[RET ISR]]-Table1[[#This Row],[TOTAL]]</f>
        <v>0</v>
      </c>
    </row>
    <row r="7831" spans="1:30">
      <c r="A7831" s="172"/>
      <c r="B7831" s="178"/>
      <c r="C7831" s="179"/>
      <c r="D7831" s="180"/>
      <c r="E7831" s="125"/>
      <c r="F7831" s="178"/>
      <c r="G7831" s="178"/>
      <c r="H7831" s="178"/>
      <c r="I7831" s="178"/>
      <c r="J7831" s="178"/>
      <c r="K7831" s="178"/>
      <c r="L7831" s="125"/>
      <c r="M7831" s="125"/>
      <c r="N7831" s="182"/>
      <c r="O7831" s="177"/>
      <c r="P7831" s="176"/>
      <c r="Q7831" s="176"/>
      <c r="R7831" s="176"/>
      <c r="S7831" s="176"/>
      <c r="T7831" s="190"/>
      <c r="U7831" s="191"/>
      <c r="V7831" s="191">
        <f>+Table1[[#This Row],[SUBTOTAL]]+Table1[[#This Row],[IVA]]-Table1[[#This Row],[RET IVA]]-Table1[[#This Row],[RET ISR]]</f>
        <v>0</v>
      </c>
      <c r="W7831" s="185"/>
      <c r="X7831" s="186"/>
      <c r="Y7831" s="187"/>
      <c r="Z7831" s="204">
        <f>+Table1[[#This Row],[CONCEPTO]]+Table1[[#This Row],[TIPO2]]-Table1[[#This Row],[IVA]]-Table1[[#This Row],[OTROS IMPUESTOS]]-Table1[[#This Row],[RET IVA]]</f>
        <v>0</v>
      </c>
      <c r="AB7831" t="str">
        <f>IF(Table1[[#This Row],[TIPO2]]="costo", VLOOKUP(Table1[[#This Row],[PARTIDA PRESUPUESTAL]],'Cost Report'!G:G,1,0),"Balance")</f>
        <v>Balance</v>
      </c>
      <c r="AD7831" s="159">
        <f>+Table1[[#This Row],[SUBTOTAL]]+Table1[[#This Row],[IVA]]-Table1[[#This Row],[RET IVA]]-Table1[[#This Row],[RET ISR]]-Table1[[#This Row],[TOTAL]]</f>
        <v>0</v>
      </c>
    </row>
    <row r="7832" spans="1:30">
      <c r="A7832" s="172"/>
      <c r="B7832" s="178"/>
      <c r="C7832" s="179"/>
      <c r="D7832" s="180"/>
      <c r="E7832" s="125"/>
      <c r="F7832" s="178"/>
      <c r="G7832" s="178"/>
      <c r="H7832" s="178"/>
      <c r="I7832" s="178"/>
      <c r="J7832" s="178"/>
      <c r="K7832" s="178"/>
      <c r="L7832" s="125"/>
      <c r="M7832" s="125"/>
      <c r="N7832" s="182"/>
      <c r="O7832" s="177"/>
      <c r="P7832" s="176"/>
      <c r="Q7832" s="176"/>
      <c r="R7832" s="176"/>
      <c r="S7832" s="176"/>
      <c r="T7832" s="190"/>
      <c r="U7832" s="191"/>
      <c r="V7832" s="191">
        <f>+Table1[[#This Row],[SUBTOTAL]]+Table1[[#This Row],[IVA]]-Table1[[#This Row],[RET IVA]]-Table1[[#This Row],[RET ISR]]</f>
        <v>0</v>
      </c>
      <c r="W7832" s="185"/>
      <c r="X7832" s="186"/>
      <c r="Y7832" s="187"/>
      <c r="Z7832" s="204">
        <f>+Table1[[#This Row],[CONCEPTO]]+Table1[[#This Row],[TIPO2]]-Table1[[#This Row],[IVA]]-Table1[[#This Row],[OTROS IMPUESTOS]]-Table1[[#This Row],[RET IVA]]</f>
        <v>0</v>
      </c>
      <c r="AB7832" t="str">
        <f>IF(Table1[[#This Row],[TIPO2]]="costo", VLOOKUP(Table1[[#This Row],[PARTIDA PRESUPUESTAL]],'Cost Report'!G:G,1,0),"Balance")</f>
        <v>Balance</v>
      </c>
      <c r="AD7832" s="159">
        <f>+Table1[[#This Row],[SUBTOTAL]]+Table1[[#This Row],[IVA]]-Table1[[#This Row],[RET IVA]]-Table1[[#This Row],[RET ISR]]-Table1[[#This Row],[TOTAL]]</f>
        <v>0</v>
      </c>
    </row>
    <row r="7833" spans="1:30">
      <c r="A7833" s="172"/>
      <c r="B7833" s="178"/>
      <c r="C7833" s="179"/>
      <c r="D7833" s="180"/>
      <c r="E7833" s="125"/>
      <c r="F7833" s="178"/>
      <c r="G7833" s="178"/>
      <c r="H7833" s="178"/>
      <c r="I7833" s="178"/>
      <c r="J7833" s="178"/>
      <c r="K7833" s="178"/>
      <c r="L7833" s="125"/>
      <c r="M7833" s="125"/>
      <c r="N7833" s="182"/>
      <c r="O7833" s="177"/>
      <c r="P7833" s="176"/>
      <c r="Q7833" s="176"/>
      <c r="R7833" s="176"/>
      <c r="S7833" s="176"/>
      <c r="T7833" s="190"/>
      <c r="U7833" s="191"/>
      <c r="V7833" s="191">
        <f>+Table1[[#This Row],[SUBTOTAL]]+Table1[[#This Row],[IVA]]-Table1[[#This Row],[RET IVA]]-Table1[[#This Row],[RET ISR]]</f>
        <v>0</v>
      </c>
      <c r="W7833" s="185"/>
      <c r="X7833" s="186"/>
      <c r="Y7833" s="187"/>
      <c r="Z7833" s="204">
        <f>+Table1[[#This Row],[CONCEPTO]]+Table1[[#This Row],[TIPO2]]-Table1[[#This Row],[IVA]]-Table1[[#This Row],[OTROS IMPUESTOS]]-Table1[[#This Row],[RET IVA]]</f>
        <v>0</v>
      </c>
      <c r="AB7833" t="str">
        <f>IF(Table1[[#This Row],[TIPO2]]="costo", VLOOKUP(Table1[[#This Row],[PARTIDA PRESUPUESTAL]],'Cost Report'!G:G,1,0),"Balance")</f>
        <v>Balance</v>
      </c>
      <c r="AD7833" s="159">
        <f>+Table1[[#This Row],[SUBTOTAL]]+Table1[[#This Row],[IVA]]-Table1[[#This Row],[RET IVA]]-Table1[[#This Row],[RET ISR]]-Table1[[#This Row],[TOTAL]]</f>
        <v>0</v>
      </c>
    </row>
    <row r="7834" spans="1:30">
      <c r="A7834" s="172"/>
      <c r="B7834" s="178"/>
      <c r="C7834" s="179"/>
      <c r="D7834" s="180"/>
      <c r="E7834" s="125"/>
      <c r="F7834" s="178"/>
      <c r="G7834" s="178"/>
      <c r="H7834" s="178"/>
      <c r="I7834" s="178"/>
      <c r="J7834" s="178"/>
      <c r="K7834" s="178"/>
      <c r="L7834" s="125"/>
      <c r="M7834" s="125"/>
      <c r="N7834" s="182"/>
      <c r="O7834" s="177"/>
      <c r="P7834" s="176"/>
      <c r="Q7834" s="176"/>
      <c r="R7834" s="176"/>
      <c r="S7834" s="176"/>
      <c r="T7834" s="190"/>
      <c r="U7834" s="191"/>
      <c r="V7834" s="191">
        <f>+Table1[[#This Row],[SUBTOTAL]]+Table1[[#This Row],[IVA]]-Table1[[#This Row],[RET IVA]]-Table1[[#This Row],[RET ISR]]</f>
        <v>0</v>
      </c>
      <c r="W7834" s="185"/>
      <c r="X7834" s="186"/>
      <c r="Y7834" s="187"/>
      <c r="Z7834" s="204">
        <f>+Table1[[#This Row],[CONCEPTO]]+Table1[[#This Row],[TIPO2]]-Table1[[#This Row],[IVA]]-Table1[[#This Row],[OTROS IMPUESTOS]]-Table1[[#This Row],[RET IVA]]</f>
        <v>0</v>
      </c>
      <c r="AB7834" t="str">
        <f>IF(Table1[[#This Row],[TIPO2]]="costo", VLOOKUP(Table1[[#This Row],[PARTIDA PRESUPUESTAL]],'Cost Report'!G:G,1,0),"Balance")</f>
        <v>Balance</v>
      </c>
      <c r="AD7834" s="159">
        <f>+Table1[[#This Row],[SUBTOTAL]]+Table1[[#This Row],[IVA]]-Table1[[#This Row],[RET IVA]]-Table1[[#This Row],[RET ISR]]-Table1[[#This Row],[TOTAL]]</f>
        <v>0</v>
      </c>
    </row>
    <row r="7835" spans="1:30">
      <c r="A7835" s="172"/>
      <c r="B7835" s="178"/>
      <c r="C7835" s="179"/>
      <c r="D7835" s="180"/>
      <c r="E7835" s="125"/>
      <c r="F7835" s="178"/>
      <c r="G7835" s="178"/>
      <c r="H7835" s="178"/>
      <c r="I7835" s="178"/>
      <c r="J7835" s="178"/>
      <c r="K7835" s="178"/>
      <c r="L7835" s="125"/>
      <c r="M7835" s="125"/>
      <c r="N7835" s="182"/>
      <c r="O7835" s="177"/>
      <c r="P7835" s="176"/>
      <c r="Q7835" s="176"/>
      <c r="R7835" s="176"/>
      <c r="S7835" s="176"/>
      <c r="T7835" s="190"/>
      <c r="U7835" s="191"/>
      <c r="V7835" s="191">
        <f>+Table1[[#This Row],[SUBTOTAL]]+Table1[[#This Row],[IVA]]-Table1[[#This Row],[RET IVA]]-Table1[[#This Row],[RET ISR]]</f>
        <v>0</v>
      </c>
      <c r="W7835" s="185"/>
      <c r="X7835" s="186"/>
      <c r="Y7835" s="187"/>
      <c r="Z7835" s="204">
        <f>+Table1[[#This Row],[CONCEPTO]]+Table1[[#This Row],[TIPO2]]-Table1[[#This Row],[IVA]]-Table1[[#This Row],[OTROS IMPUESTOS]]-Table1[[#This Row],[RET IVA]]</f>
        <v>0</v>
      </c>
      <c r="AB7835" t="str">
        <f>IF(Table1[[#This Row],[TIPO2]]="costo", VLOOKUP(Table1[[#This Row],[PARTIDA PRESUPUESTAL]],'Cost Report'!G:G,1,0),"Balance")</f>
        <v>Balance</v>
      </c>
      <c r="AD7835" s="159">
        <f>+Table1[[#This Row],[SUBTOTAL]]+Table1[[#This Row],[IVA]]-Table1[[#This Row],[RET IVA]]-Table1[[#This Row],[RET ISR]]-Table1[[#This Row],[TOTAL]]</f>
        <v>0</v>
      </c>
    </row>
    <row r="7836" spans="1:30">
      <c r="A7836" s="172"/>
      <c r="B7836" s="178"/>
      <c r="C7836" s="179"/>
      <c r="D7836" s="180"/>
      <c r="E7836" s="125"/>
      <c r="F7836" s="178"/>
      <c r="G7836" s="178"/>
      <c r="H7836" s="178"/>
      <c r="I7836" s="178"/>
      <c r="J7836" s="178"/>
      <c r="K7836" s="178"/>
      <c r="L7836" s="125"/>
      <c r="M7836" s="125"/>
      <c r="N7836" s="182"/>
      <c r="O7836" s="177"/>
      <c r="P7836" s="176"/>
      <c r="Q7836" s="176"/>
      <c r="R7836" s="176"/>
      <c r="S7836" s="176"/>
      <c r="T7836" s="190"/>
      <c r="U7836" s="191"/>
      <c r="V7836" s="191">
        <f>+Table1[[#This Row],[SUBTOTAL]]+Table1[[#This Row],[IVA]]-Table1[[#This Row],[RET IVA]]-Table1[[#This Row],[RET ISR]]</f>
        <v>0</v>
      </c>
      <c r="W7836" s="185"/>
      <c r="X7836" s="186"/>
      <c r="Y7836" s="187"/>
      <c r="Z7836" s="204">
        <f>+Table1[[#This Row],[CONCEPTO]]+Table1[[#This Row],[TIPO2]]-Table1[[#This Row],[IVA]]-Table1[[#This Row],[OTROS IMPUESTOS]]-Table1[[#This Row],[RET IVA]]</f>
        <v>0</v>
      </c>
      <c r="AB7836" t="str">
        <f>IF(Table1[[#This Row],[TIPO2]]="costo", VLOOKUP(Table1[[#This Row],[PARTIDA PRESUPUESTAL]],'Cost Report'!G:G,1,0),"Balance")</f>
        <v>Balance</v>
      </c>
      <c r="AD7836" s="159">
        <f>+Table1[[#This Row],[SUBTOTAL]]+Table1[[#This Row],[IVA]]-Table1[[#This Row],[RET IVA]]-Table1[[#This Row],[RET ISR]]-Table1[[#This Row],[TOTAL]]</f>
        <v>0</v>
      </c>
    </row>
    <row r="7837" spans="1:30">
      <c r="A7837" s="172"/>
      <c r="B7837" s="178"/>
      <c r="C7837" s="179"/>
      <c r="D7837" s="180"/>
      <c r="E7837" s="125"/>
      <c r="F7837" s="178"/>
      <c r="G7837" s="178"/>
      <c r="H7837" s="178"/>
      <c r="I7837" s="178"/>
      <c r="J7837" s="178"/>
      <c r="K7837" s="178"/>
      <c r="L7837" s="125"/>
      <c r="M7837" s="125"/>
      <c r="N7837" s="182"/>
      <c r="O7837" s="177"/>
      <c r="P7837" s="176"/>
      <c r="Q7837" s="176"/>
      <c r="R7837" s="176"/>
      <c r="S7837" s="176"/>
      <c r="T7837" s="190"/>
      <c r="U7837" s="191"/>
      <c r="V7837" s="191">
        <f>+Table1[[#This Row],[SUBTOTAL]]+Table1[[#This Row],[IVA]]-Table1[[#This Row],[RET IVA]]-Table1[[#This Row],[RET ISR]]</f>
        <v>0</v>
      </c>
      <c r="W7837" s="185"/>
      <c r="X7837" s="186"/>
      <c r="Y7837" s="187"/>
      <c r="Z7837" s="204">
        <f>+Table1[[#This Row],[CONCEPTO]]+Table1[[#This Row],[TIPO2]]-Table1[[#This Row],[IVA]]-Table1[[#This Row],[OTROS IMPUESTOS]]-Table1[[#This Row],[RET IVA]]</f>
        <v>0</v>
      </c>
      <c r="AB7837" t="str">
        <f>IF(Table1[[#This Row],[TIPO2]]="costo", VLOOKUP(Table1[[#This Row],[PARTIDA PRESUPUESTAL]],'Cost Report'!G:G,1,0),"Balance")</f>
        <v>Balance</v>
      </c>
      <c r="AD7837" s="159">
        <f>+Table1[[#This Row],[SUBTOTAL]]+Table1[[#This Row],[IVA]]-Table1[[#This Row],[RET IVA]]-Table1[[#This Row],[RET ISR]]-Table1[[#This Row],[TOTAL]]</f>
        <v>0</v>
      </c>
    </row>
    <row r="7838" spans="1:30">
      <c r="A7838" s="172"/>
      <c r="B7838" s="178"/>
      <c r="C7838" s="179"/>
      <c r="D7838" s="180"/>
      <c r="E7838" s="125"/>
      <c r="F7838" s="178"/>
      <c r="G7838" s="178"/>
      <c r="H7838" s="178"/>
      <c r="I7838" s="178"/>
      <c r="J7838" s="178"/>
      <c r="K7838" s="178"/>
      <c r="L7838" s="125"/>
      <c r="M7838" s="125"/>
      <c r="N7838" s="182"/>
      <c r="O7838" s="177"/>
      <c r="P7838" s="176"/>
      <c r="Q7838" s="176"/>
      <c r="R7838" s="176"/>
      <c r="S7838" s="176"/>
      <c r="T7838" s="190"/>
      <c r="U7838" s="191"/>
      <c r="V7838" s="191">
        <f>+Table1[[#This Row],[SUBTOTAL]]+Table1[[#This Row],[IVA]]-Table1[[#This Row],[RET IVA]]-Table1[[#This Row],[RET ISR]]</f>
        <v>0</v>
      </c>
      <c r="W7838" s="185"/>
      <c r="X7838" s="186"/>
      <c r="Y7838" s="187"/>
      <c r="Z7838" s="204">
        <f>+Table1[[#This Row],[CONCEPTO]]+Table1[[#This Row],[TIPO2]]-Table1[[#This Row],[IVA]]-Table1[[#This Row],[OTROS IMPUESTOS]]-Table1[[#This Row],[RET IVA]]</f>
        <v>0</v>
      </c>
      <c r="AB7838" t="str">
        <f>IF(Table1[[#This Row],[TIPO2]]="costo", VLOOKUP(Table1[[#This Row],[PARTIDA PRESUPUESTAL]],'Cost Report'!G:G,1,0),"Balance")</f>
        <v>Balance</v>
      </c>
      <c r="AD7838" s="159">
        <f>+Table1[[#This Row],[SUBTOTAL]]+Table1[[#This Row],[IVA]]-Table1[[#This Row],[RET IVA]]-Table1[[#This Row],[RET ISR]]-Table1[[#This Row],[TOTAL]]</f>
        <v>0</v>
      </c>
    </row>
    <row r="7839" spans="1:30">
      <c r="A7839" s="172"/>
      <c r="B7839" s="178"/>
      <c r="C7839" s="179"/>
      <c r="D7839" s="180"/>
      <c r="E7839" s="125"/>
      <c r="F7839" s="178"/>
      <c r="G7839" s="178"/>
      <c r="H7839" s="178"/>
      <c r="I7839" s="178"/>
      <c r="J7839" s="178"/>
      <c r="K7839" s="178"/>
      <c r="L7839" s="125"/>
      <c r="M7839" s="125"/>
      <c r="N7839" s="182"/>
      <c r="O7839" s="177"/>
      <c r="P7839" s="176"/>
      <c r="Q7839" s="176"/>
      <c r="R7839" s="176"/>
      <c r="S7839" s="176"/>
      <c r="T7839" s="190"/>
      <c r="U7839" s="191"/>
      <c r="V7839" s="191">
        <f>+Table1[[#This Row],[SUBTOTAL]]+Table1[[#This Row],[IVA]]-Table1[[#This Row],[RET IVA]]-Table1[[#This Row],[RET ISR]]</f>
        <v>0</v>
      </c>
      <c r="W7839" s="185"/>
      <c r="X7839" s="186"/>
      <c r="Y7839" s="187"/>
      <c r="Z7839" s="204">
        <f>+Table1[[#This Row],[CONCEPTO]]+Table1[[#This Row],[TIPO2]]-Table1[[#This Row],[IVA]]-Table1[[#This Row],[OTROS IMPUESTOS]]-Table1[[#This Row],[RET IVA]]</f>
        <v>0</v>
      </c>
      <c r="AB7839" t="str">
        <f>IF(Table1[[#This Row],[TIPO2]]="costo", VLOOKUP(Table1[[#This Row],[PARTIDA PRESUPUESTAL]],'Cost Report'!G:G,1,0),"Balance")</f>
        <v>Balance</v>
      </c>
      <c r="AD7839" s="159">
        <f>+Table1[[#This Row],[SUBTOTAL]]+Table1[[#This Row],[IVA]]-Table1[[#This Row],[RET IVA]]-Table1[[#This Row],[RET ISR]]-Table1[[#This Row],[TOTAL]]</f>
        <v>0</v>
      </c>
    </row>
    <row r="7840" spans="1:30">
      <c r="A7840" s="172"/>
      <c r="B7840" s="178"/>
      <c r="C7840" s="179"/>
      <c r="D7840" s="180"/>
      <c r="E7840" s="125"/>
      <c r="F7840" s="178"/>
      <c r="G7840" s="178"/>
      <c r="H7840" s="178"/>
      <c r="I7840" s="178"/>
      <c r="J7840" s="178"/>
      <c r="K7840" s="178"/>
      <c r="L7840" s="125"/>
      <c r="M7840" s="125"/>
      <c r="N7840" s="182"/>
      <c r="O7840" s="177"/>
      <c r="P7840" s="176"/>
      <c r="Q7840" s="176"/>
      <c r="R7840" s="176"/>
      <c r="S7840" s="176"/>
      <c r="T7840" s="190"/>
      <c r="U7840" s="191"/>
      <c r="V7840" s="191">
        <f>+Table1[[#This Row],[SUBTOTAL]]+Table1[[#This Row],[IVA]]-Table1[[#This Row],[RET IVA]]-Table1[[#This Row],[RET ISR]]</f>
        <v>0</v>
      </c>
      <c r="W7840" s="185"/>
      <c r="X7840" s="186"/>
      <c r="Y7840" s="187"/>
      <c r="Z7840" s="204">
        <f>+Table1[[#This Row],[CONCEPTO]]+Table1[[#This Row],[TIPO2]]-Table1[[#This Row],[IVA]]-Table1[[#This Row],[OTROS IMPUESTOS]]-Table1[[#This Row],[RET IVA]]</f>
        <v>0</v>
      </c>
      <c r="AB7840" t="str">
        <f>IF(Table1[[#This Row],[TIPO2]]="costo", VLOOKUP(Table1[[#This Row],[PARTIDA PRESUPUESTAL]],'Cost Report'!G:G,1,0),"Balance")</f>
        <v>Balance</v>
      </c>
      <c r="AD7840" s="159">
        <f>+Table1[[#This Row],[SUBTOTAL]]+Table1[[#This Row],[IVA]]-Table1[[#This Row],[RET IVA]]-Table1[[#This Row],[RET ISR]]-Table1[[#This Row],[TOTAL]]</f>
        <v>0</v>
      </c>
    </row>
    <row r="7841" spans="1:30">
      <c r="A7841" s="172"/>
      <c r="B7841" s="178"/>
      <c r="C7841" s="179"/>
      <c r="D7841" s="180"/>
      <c r="E7841" s="125"/>
      <c r="F7841" s="178"/>
      <c r="G7841" s="178"/>
      <c r="H7841" s="178"/>
      <c r="I7841" s="178"/>
      <c r="J7841" s="178"/>
      <c r="K7841" s="178"/>
      <c r="L7841" s="125"/>
      <c r="M7841" s="125"/>
      <c r="N7841" s="182"/>
      <c r="O7841" s="177"/>
      <c r="P7841" s="176"/>
      <c r="Q7841" s="176"/>
      <c r="R7841" s="176"/>
      <c r="S7841" s="176"/>
      <c r="T7841" s="190"/>
      <c r="U7841" s="191"/>
      <c r="V7841" s="191">
        <f>+Table1[[#This Row],[SUBTOTAL]]+Table1[[#This Row],[IVA]]-Table1[[#This Row],[RET IVA]]-Table1[[#This Row],[RET ISR]]</f>
        <v>0</v>
      </c>
      <c r="W7841" s="185"/>
      <c r="X7841" s="186"/>
      <c r="Y7841" s="187"/>
      <c r="Z7841" s="204">
        <f>+Table1[[#This Row],[CONCEPTO]]+Table1[[#This Row],[TIPO2]]-Table1[[#This Row],[IVA]]-Table1[[#This Row],[OTROS IMPUESTOS]]-Table1[[#This Row],[RET IVA]]</f>
        <v>0</v>
      </c>
      <c r="AB7841" t="str">
        <f>IF(Table1[[#This Row],[TIPO2]]="costo", VLOOKUP(Table1[[#This Row],[PARTIDA PRESUPUESTAL]],'Cost Report'!G:G,1,0),"Balance")</f>
        <v>Balance</v>
      </c>
      <c r="AD7841" s="159">
        <f>+Table1[[#This Row],[SUBTOTAL]]+Table1[[#This Row],[IVA]]-Table1[[#This Row],[RET IVA]]-Table1[[#This Row],[RET ISR]]-Table1[[#This Row],[TOTAL]]</f>
        <v>0</v>
      </c>
    </row>
    <row r="7842" spans="1:30">
      <c r="A7842" s="172"/>
      <c r="B7842" s="178"/>
      <c r="C7842" s="179"/>
      <c r="D7842" s="180"/>
      <c r="E7842" s="125"/>
      <c r="F7842" s="178"/>
      <c r="G7842" s="178"/>
      <c r="H7842" s="178"/>
      <c r="I7842" s="178"/>
      <c r="J7842" s="178"/>
      <c r="K7842" s="178"/>
      <c r="L7842" s="125"/>
      <c r="M7842" s="125"/>
      <c r="N7842" s="182"/>
      <c r="O7842" s="177"/>
      <c r="P7842" s="176"/>
      <c r="Q7842" s="176"/>
      <c r="R7842" s="176"/>
      <c r="S7842" s="176"/>
      <c r="T7842" s="190"/>
      <c r="U7842" s="191"/>
      <c r="V7842" s="191">
        <f>+Table1[[#This Row],[SUBTOTAL]]+Table1[[#This Row],[IVA]]-Table1[[#This Row],[RET IVA]]-Table1[[#This Row],[RET ISR]]</f>
        <v>0</v>
      </c>
      <c r="W7842" s="185"/>
      <c r="X7842" s="186"/>
      <c r="Y7842" s="187"/>
      <c r="Z7842" s="204">
        <f>+Table1[[#This Row],[CONCEPTO]]+Table1[[#This Row],[TIPO2]]-Table1[[#This Row],[IVA]]-Table1[[#This Row],[OTROS IMPUESTOS]]-Table1[[#This Row],[RET IVA]]</f>
        <v>0</v>
      </c>
      <c r="AB7842" t="str">
        <f>IF(Table1[[#This Row],[TIPO2]]="costo", VLOOKUP(Table1[[#This Row],[PARTIDA PRESUPUESTAL]],'Cost Report'!G:G,1,0),"Balance")</f>
        <v>Balance</v>
      </c>
      <c r="AD7842" s="159">
        <f>+Table1[[#This Row],[SUBTOTAL]]+Table1[[#This Row],[IVA]]-Table1[[#This Row],[RET IVA]]-Table1[[#This Row],[RET ISR]]-Table1[[#This Row],[TOTAL]]</f>
        <v>0</v>
      </c>
    </row>
    <row r="7843" spans="1:30">
      <c r="A7843" s="172"/>
      <c r="B7843" s="178"/>
      <c r="C7843" s="179"/>
      <c r="D7843" s="180"/>
      <c r="E7843" s="125"/>
      <c r="F7843" s="178"/>
      <c r="G7843" s="178"/>
      <c r="H7843" s="178"/>
      <c r="I7843" s="178"/>
      <c r="J7843" s="178"/>
      <c r="K7843" s="178"/>
      <c r="L7843" s="125"/>
      <c r="M7843" s="125"/>
      <c r="N7843" s="182"/>
      <c r="O7843" s="177"/>
      <c r="P7843" s="176"/>
      <c r="Q7843" s="176"/>
      <c r="R7843" s="176"/>
      <c r="S7843" s="176"/>
      <c r="T7843" s="190"/>
      <c r="U7843" s="191"/>
      <c r="V7843" s="191">
        <f>+Table1[[#This Row],[SUBTOTAL]]+Table1[[#This Row],[IVA]]-Table1[[#This Row],[RET IVA]]-Table1[[#This Row],[RET ISR]]</f>
        <v>0</v>
      </c>
      <c r="W7843" s="185"/>
      <c r="X7843" s="186"/>
      <c r="Y7843" s="187"/>
      <c r="Z7843" s="204">
        <f>+Table1[[#This Row],[CONCEPTO]]+Table1[[#This Row],[TIPO2]]-Table1[[#This Row],[IVA]]-Table1[[#This Row],[OTROS IMPUESTOS]]-Table1[[#This Row],[RET IVA]]</f>
        <v>0</v>
      </c>
      <c r="AB7843" t="str">
        <f>IF(Table1[[#This Row],[TIPO2]]="costo", VLOOKUP(Table1[[#This Row],[PARTIDA PRESUPUESTAL]],'Cost Report'!G:G,1,0),"Balance")</f>
        <v>Balance</v>
      </c>
      <c r="AD7843" s="159">
        <f>+Table1[[#This Row],[SUBTOTAL]]+Table1[[#This Row],[IVA]]-Table1[[#This Row],[RET IVA]]-Table1[[#This Row],[RET ISR]]-Table1[[#This Row],[TOTAL]]</f>
        <v>0</v>
      </c>
    </row>
    <row r="7844" spans="1:30">
      <c r="A7844" s="172"/>
      <c r="B7844" s="178"/>
      <c r="C7844" s="179"/>
      <c r="D7844" s="180"/>
      <c r="E7844" s="125"/>
      <c r="F7844" s="178"/>
      <c r="G7844" s="178"/>
      <c r="H7844" s="178"/>
      <c r="I7844" s="178"/>
      <c r="J7844" s="178"/>
      <c r="K7844" s="178"/>
      <c r="L7844" s="125"/>
      <c r="M7844" s="125"/>
      <c r="N7844" s="182"/>
      <c r="O7844" s="177"/>
      <c r="P7844" s="176"/>
      <c r="Q7844" s="176"/>
      <c r="R7844" s="176"/>
      <c r="S7844" s="176"/>
      <c r="T7844" s="190"/>
      <c r="U7844" s="191"/>
      <c r="V7844" s="191">
        <f>+Table1[[#This Row],[SUBTOTAL]]+Table1[[#This Row],[IVA]]-Table1[[#This Row],[RET IVA]]-Table1[[#This Row],[RET ISR]]</f>
        <v>0</v>
      </c>
      <c r="W7844" s="185"/>
      <c r="X7844" s="186"/>
      <c r="Y7844" s="187"/>
      <c r="Z7844" s="204">
        <f>+Table1[[#This Row],[CONCEPTO]]+Table1[[#This Row],[TIPO2]]-Table1[[#This Row],[IVA]]-Table1[[#This Row],[OTROS IMPUESTOS]]-Table1[[#This Row],[RET IVA]]</f>
        <v>0</v>
      </c>
      <c r="AB7844" t="str">
        <f>IF(Table1[[#This Row],[TIPO2]]="costo", VLOOKUP(Table1[[#This Row],[PARTIDA PRESUPUESTAL]],'Cost Report'!G:G,1,0),"Balance")</f>
        <v>Balance</v>
      </c>
      <c r="AD7844" s="159">
        <f>+Table1[[#This Row],[SUBTOTAL]]+Table1[[#This Row],[IVA]]-Table1[[#This Row],[RET IVA]]-Table1[[#This Row],[RET ISR]]-Table1[[#This Row],[TOTAL]]</f>
        <v>0</v>
      </c>
    </row>
    <row r="7845" spans="1:30">
      <c r="A7845" s="172"/>
      <c r="B7845" s="178"/>
      <c r="C7845" s="179"/>
      <c r="D7845" s="180"/>
      <c r="E7845" s="125"/>
      <c r="F7845" s="178"/>
      <c r="G7845" s="178"/>
      <c r="H7845" s="178"/>
      <c r="I7845" s="178"/>
      <c r="J7845" s="178"/>
      <c r="K7845" s="178"/>
      <c r="L7845" s="125"/>
      <c r="M7845" s="125"/>
      <c r="N7845" s="182"/>
      <c r="O7845" s="177"/>
      <c r="P7845" s="176"/>
      <c r="Q7845" s="176"/>
      <c r="R7845" s="176"/>
      <c r="S7845" s="176"/>
      <c r="T7845" s="190"/>
      <c r="U7845" s="191"/>
      <c r="V7845" s="191">
        <f>+Table1[[#This Row],[SUBTOTAL]]+Table1[[#This Row],[IVA]]-Table1[[#This Row],[RET IVA]]-Table1[[#This Row],[RET ISR]]</f>
        <v>0</v>
      </c>
      <c r="W7845" s="185"/>
      <c r="X7845" s="186"/>
      <c r="Y7845" s="187"/>
      <c r="Z7845" s="204">
        <f>+Table1[[#This Row],[CONCEPTO]]+Table1[[#This Row],[TIPO2]]-Table1[[#This Row],[IVA]]-Table1[[#This Row],[OTROS IMPUESTOS]]-Table1[[#This Row],[RET IVA]]</f>
        <v>0</v>
      </c>
      <c r="AB7845" t="str">
        <f>IF(Table1[[#This Row],[TIPO2]]="costo", VLOOKUP(Table1[[#This Row],[PARTIDA PRESUPUESTAL]],'Cost Report'!G:G,1,0),"Balance")</f>
        <v>Balance</v>
      </c>
      <c r="AD7845" s="159">
        <f>+Table1[[#This Row],[SUBTOTAL]]+Table1[[#This Row],[IVA]]-Table1[[#This Row],[RET IVA]]-Table1[[#This Row],[RET ISR]]-Table1[[#This Row],[TOTAL]]</f>
        <v>0</v>
      </c>
    </row>
    <row r="7846" spans="1:30">
      <c r="A7846" s="172"/>
      <c r="B7846" s="178"/>
      <c r="C7846" s="179"/>
      <c r="D7846" s="180"/>
      <c r="E7846" s="125"/>
      <c r="F7846" s="178"/>
      <c r="G7846" s="178"/>
      <c r="H7846" s="178"/>
      <c r="I7846" s="178"/>
      <c r="J7846" s="178"/>
      <c r="K7846" s="178"/>
      <c r="L7846" s="125"/>
      <c r="M7846" s="125"/>
      <c r="N7846" s="182"/>
      <c r="O7846" s="177"/>
      <c r="P7846" s="176"/>
      <c r="Q7846" s="176"/>
      <c r="R7846" s="176"/>
      <c r="S7846" s="176"/>
      <c r="T7846" s="190"/>
      <c r="U7846" s="191"/>
      <c r="V7846" s="191">
        <f>+Table1[[#This Row],[SUBTOTAL]]+Table1[[#This Row],[IVA]]-Table1[[#This Row],[RET IVA]]-Table1[[#This Row],[RET ISR]]</f>
        <v>0</v>
      </c>
      <c r="W7846" s="185"/>
      <c r="X7846" s="186"/>
      <c r="Y7846" s="187"/>
      <c r="Z7846" s="204">
        <f>+Table1[[#This Row],[CONCEPTO]]+Table1[[#This Row],[TIPO2]]-Table1[[#This Row],[IVA]]-Table1[[#This Row],[OTROS IMPUESTOS]]-Table1[[#This Row],[RET IVA]]</f>
        <v>0</v>
      </c>
      <c r="AB7846" t="str">
        <f>IF(Table1[[#This Row],[TIPO2]]="costo", VLOOKUP(Table1[[#This Row],[PARTIDA PRESUPUESTAL]],'Cost Report'!G:G,1,0),"Balance")</f>
        <v>Balance</v>
      </c>
      <c r="AD7846" s="159">
        <f>+Table1[[#This Row],[SUBTOTAL]]+Table1[[#This Row],[IVA]]-Table1[[#This Row],[RET IVA]]-Table1[[#This Row],[RET ISR]]-Table1[[#This Row],[TOTAL]]</f>
        <v>0</v>
      </c>
    </row>
    <row r="7847" spans="1:30">
      <c r="A7847" s="172"/>
      <c r="B7847" s="178"/>
      <c r="C7847" s="179"/>
      <c r="D7847" s="180"/>
      <c r="E7847" s="125"/>
      <c r="F7847" s="178"/>
      <c r="G7847" s="178"/>
      <c r="H7847" s="178"/>
      <c r="I7847" s="178"/>
      <c r="J7847" s="178"/>
      <c r="K7847" s="178"/>
      <c r="L7847" s="125"/>
      <c r="M7847" s="125"/>
      <c r="N7847" s="182"/>
      <c r="O7847" s="177"/>
      <c r="P7847" s="176"/>
      <c r="Q7847" s="176"/>
      <c r="R7847" s="176"/>
      <c r="S7847" s="176"/>
      <c r="T7847" s="190"/>
      <c r="U7847" s="191"/>
      <c r="V7847" s="191">
        <f>+Table1[[#This Row],[SUBTOTAL]]+Table1[[#This Row],[IVA]]-Table1[[#This Row],[RET IVA]]-Table1[[#This Row],[RET ISR]]</f>
        <v>0</v>
      </c>
      <c r="W7847" s="185"/>
      <c r="X7847" s="186"/>
      <c r="Y7847" s="187"/>
      <c r="Z7847" s="204">
        <f>+Table1[[#This Row],[CONCEPTO]]+Table1[[#This Row],[TIPO2]]-Table1[[#This Row],[IVA]]-Table1[[#This Row],[OTROS IMPUESTOS]]-Table1[[#This Row],[RET IVA]]</f>
        <v>0</v>
      </c>
      <c r="AB7847" t="str">
        <f>IF(Table1[[#This Row],[TIPO2]]="costo", VLOOKUP(Table1[[#This Row],[PARTIDA PRESUPUESTAL]],'Cost Report'!G:G,1,0),"Balance")</f>
        <v>Balance</v>
      </c>
      <c r="AD7847" s="159">
        <f>+Table1[[#This Row],[SUBTOTAL]]+Table1[[#This Row],[IVA]]-Table1[[#This Row],[RET IVA]]-Table1[[#This Row],[RET ISR]]-Table1[[#This Row],[TOTAL]]</f>
        <v>0</v>
      </c>
    </row>
    <row r="7848" spans="1:30">
      <c r="A7848" s="172"/>
      <c r="B7848" s="178"/>
      <c r="C7848" s="179"/>
      <c r="D7848" s="180"/>
      <c r="E7848" s="125"/>
      <c r="F7848" s="178"/>
      <c r="G7848" s="178"/>
      <c r="H7848" s="178"/>
      <c r="I7848" s="178"/>
      <c r="J7848" s="178"/>
      <c r="K7848" s="178"/>
      <c r="L7848" s="125"/>
      <c r="M7848" s="125"/>
      <c r="N7848" s="182"/>
      <c r="O7848" s="177"/>
      <c r="P7848" s="176"/>
      <c r="Q7848" s="176"/>
      <c r="R7848" s="176"/>
      <c r="S7848" s="176"/>
      <c r="T7848" s="190"/>
      <c r="U7848" s="191"/>
      <c r="V7848" s="191">
        <f>+Table1[[#This Row],[SUBTOTAL]]+Table1[[#This Row],[IVA]]-Table1[[#This Row],[RET IVA]]-Table1[[#This Row],[RET ISR]]</f>
        <v>0</v>
      </c>
      <c r="W7848" s="185"/>
      <c r="X7848" s="186"/>
      <c r="Y7848" s="187"/>
      <c r="Z7848" s="204">
        <f>+Table1[[#This Row],[CONCEPTO]]+Table1[[#This Row],[TIPO2]]-Table1[[#This Row],[IVA]]-Table1[[#This Row],[OTROS IMPUESTOS]]-Table1[[#This Row],[RET IVA]]</f>
        <v>0</v>
      </c>
      <c r="AB7848" t="str">
        <f>IF(Table1[[#This Row],[TIPO2]]="costo", VLOOKUP(Table1[[#This Row],[PARTIDA PRESUPUESTAL]],'Cost Report'!G:G,1,0),"Balance")</f>
        <v>Balance</v>
      </c>
      <c r="AD7848" s="159">
        <f>+Table1[[#This Row],[SUBTOTAL]]+Table1[[#This Row],[IVA]]-Table1[[#This Row],[RET IVA]]-Table1[[#This Row],[RET ISR]]-Table1[[#This Row],[TOTAL]]</f>
        <v>0</v>
      </c>
    </row>
    <row r="7849" spans="1:30">
      <c r="A7849" s="172"/>
      <c r="B7849" s="178"/>
      <c r="C7849" s="179"/>
      <c r="D7849" s="180"/>
      <c r="E7849" s="125"/>
      <c r="F7849" s="178"/>
      <c r="G7849" s="178"/>
      <c r="H7849" s="178"/>
      <c r="I7849" s="178"/>
      <c r="J7849" s="178"/>
      <c r="K7849" s="178"/>
      <c r="L7849" s="125"/>
      <c r="M7849" s="125"/>
      <c r="N7849" s="182"/>
      <c r="O7849" s="177"/>
      <c r="P7849" s="176"/>
      <c r="Q7849" s="176"/>
      <c r="R7849" s="176"/>
      <c r="S7849" s="176"/>
      <c r="T7849" s="190"/>
      <c r="U7849" s="191"/>
      <c r="V7849" s="191">
        <f>+Table1[[#This Row],[SUBTOTAL]]+Table1[[#This Row],[IVA]]-Table1[[#This Row],[RET IVA]]-Table1[[#This Row],[RET ISR]]</f>
        <v>0</v>
      </c>
      <c r="W7849" s="185"/>
      <c r="X7849" s="186"/>
      <c r="Y7849" s="187"/>
      <c r="Z7849" s="204">
        <f>+Table1[[#This Row],[CONCEPTO]]+Table1[[#This Row],[TIPO2]]-Table1[[#This Row],[IVA]]-Table1[[#This Row],[OTROS IMPUESTOS]]-Table1[[#This Row],[RET IVA]]</f>
        <v>0</v>
      </c>
      <c r="AB7849" t="str">
        <f>IF(Table1[[#This Row],[TIPO2]]="costo", VLOOKUP(Table1[[#This Row],[PARTIDA PRESUPUESTAL]],'Cost Report'!G:G,1,0),"Balance")</f>
        <v>Balance</v>
      </c>
      <c r="AD7849" s="159">
        <f>+Table1[[#This Row],[SUBTOTAL]]+Table1[[#This Row],[IVA]]-Table1[[#This Row],[RET IVA]]-Table1[[#This Row],[RET ISR]]-Table1[[#This Row],[TOTAL]]</f>
        <v>0</v>
      </c>
    </row>
    <row r="7850" spans="1:30">
      <c r="A7850" s="172"/>
      <c r="B7850" s="178"/>
      <c r="C7850" s="179"/>
      <c r="D7850" s="180"/>
      <c r="E7850" s="125"/>
      <c r="F7850" s="178"/>
      <c r="G7850" s="178"/>
      <c r="H7850" s="178"/>
      <c r="I7850" s="178"/>
      <c r="J7850" s="178"/>
      <c r="K7850" s="178"/>
      <c r="L7850" s="125"/>
      <c r="M7850" s="125"/>
      <c r="N7850" s="182"/>
      <c r="O7850" s="177"/>
      <c r="P7850" s="176"/>
      <c r="Q7850" s="176"/>
      <c r="R7850" s="176"/>
      <c r="S7850" s="176"/>
      <c r="T7850" s="190"/>
      <c r="U7850" s="191"/>
      <c r="V7850" s="191">
        <f>+Table1[[#This Row],[SUBTOTAL]]+Table1[[#This Row],[IVA]]-Table1[[#This Row],[RET IVA]]-Table1[[#This Row],[RET ISR]]</f>
        <v>0</v>
      </c>
      <c r="W7850" s="185"/>
      <c r="X7850" s="186"/>
      <c r="Y7850" s="187"/>
      <c r="Z7850" s="204">
        <f>+Table1[[#This Row],[CONCEPTO]]+Table1[[#This Row],[TIPO2]]-Table1[[#This Row],[IVA]]-Table1[[#This Row],[OTROS IMPUESTOS]]-Table1[[#This Row],[RET IVA]]</f>
        <v>0</v>
      </c>
      <c r="AB7850" t="str">
        <f>IF(Table1[[#This Row],[TIPO2]]="costo", VLOOKUP(Table1[[#This Row],[PARTIDA PRESUPUESTAL]],'Cost Report'!G:G,1,0),"Balance")</f>
        <v>Balance</v>
      </c>
      <c r="AD7850" s="159">
        <f>+Table1[[#This Row],[SUBTOTAL]]+Table1[[#This Row],[IVA]]-Table1[[#This Row],[RET IVA]]-Table1[[#This Row],[RET ISR]]-Table1[[#This Row],[TOTAL]]</f>
        <v>0</v>
      </c>
    </row>
    <row r="7851" spans="1:30">
      <c r="A7851" s="172"/>
      <c r="B7851" s="178"/>
      <c r="C7851" s="179"/>
      <c r="D7851" s="180"/>
      <c r="E7851" s="125"/>
      <c r="F7851" s="178"/>
      <c r="G7851" s="178"/>
      <c r="H7851" s="178"/>
      <c r="I7851" s="178"/>
      <c r="J7851" s="178"/>
      <c r="K7851" s="178"/>
      <c r="L7851" s="125"/>
      <c r="M7851" s="125"/>
      <c r="N7851" s="182"/>
      <c r="O7851" s="177"/>
      <c r="P7851" s="176"/>
      <c r="Q7851" s="176"/>
      <c r="R7851" s="176"/>
      <c r="S7851" s="176"/>
      <c r="T7851" s="190"/>
      <c r="U7851" s="191"/>
      <c r="V7851" s="191">
        <f>+Table1[[#This Row],[SUBTOTAL]]+Table1[[#This Row],[IVA]]-Table1[[#This Row],[RET IVA]]-Table1[[#This Row],[RET ISR]]</f>
        <v>0</v>
      </c>
      <c r="W7851" s="185"/>
      <c r="X7851" s="186"/>
      <c r="Y7851" s="187"/>
      <c r="Z7851" s="204">
        <f>+Table1[[#This Row],[CONCEPTO]]+Table1[[#This Row],[TIPO2]]-Table1[[#This Row],[IVA]]-Table1[[#This Row],[OTROS IMPUESTOS]]-Table1[[#This Row],[RET IVA]]</f>
        <v>0</v>
      </c>
      <c r="AB7851" t="str">
        <f>IF(Table1[[#This Row],[TIPO2]]="costo", VLOOKUP(Table1[[#This Row],[PARTIDA PRESUPUESTAL]],'Cost Report'!G:G,1,0),"Balance")</f>
        <v>Balance</v>
      </c>
      <c r="AD7851" s="159">
        <f>+Table1[[#This Row],[SUBTOTAL]]+Table1[[#This Row],[IVA]]-Table1[[#This Row],[RET IVA]]-Table1[[#This Row],[RET ISR]]-Table1[[#This Row],[TOTAL]]</f>
        <v>0</v>
      </c>
    </row>
    <row r="7852" spans="1:30">
      <c r="A7852" s="172"/>
      <c r="B7852" s="178"/>
      <c r="C7852" s="179"/>
      <c r="D7852" s="180"/>
      <c r="E7852" s="125"/>
      <c r="F7852" s="178"/>
      <c r="G7852" s="178"/>
      <c r="H7852" s="178"/>
      <c r="I7852" s="178"/>
      <c r="J7852" s="178"/>
      <c r="K7852" s="178"/>
      <c r="L7852" s="125"/>
      <c r="M7852" s="125"/>
      <c r="N7852" s="182"/>
      <c r="O7852" s="177"/>
      <c r="P7852" s="176"/>
      <c r="Q7852" s="176"/>
      <c r="R7852" s="176"/>
      <c r="S7852" s="176"/>
      <c r="T7852" s="190"/>
      <c r="U7852" s="191"/>
      <c r="V7852" s="191">
        <f>+Table1[[#This Row],[SUBTOTAL]]+Table1[[#This Row],[IVA]]-Table1[[#This Row],[RET IVA]]-Table1[[#This Row],[RET ISR]]</f>
        <v>0</v>
      </c>
      <c r="W7852" s="185"/>
      <c r="X7852" s="186"/>
      <c r="Y7852" s="187"/>
      <c r="Z7852" s="204">
        <f>+Table1[[#This Row],[CONCEPTO]]+Table1[[#This Row],[TIPO2]]-Table1[[#This Row],[IVA]]-Table1[[#This Row],[OTROS IMPUESTOS]]-Table1[[#This Row],[RET IVA]]</f>
        <v>0</v>
      </c>
      <c r="AB7852" t="str">
        <f>IF(Table1[[#This Row],[TIPO2]]="costo", VLOOKUP(Table1[[#This Row],[PARTIDA PRESUPUESTAL]],'Cost Report'!G:G,1,0),"Balance")</f>
        <v>Balance</v>
      </c>
      <c r="AD7852" s="159">
        <f>+Table1[[#This Row],[SUBTOTAL]]+Table1[[#This Row],[IVA]]-Table1[[#This Row],[RET IVA]]-Table1[[#This Row],[RET ISR]]-Table1[[#This Row],[TOTAL]]</f>
        <v>0</v>
      </c>
    </row>
    <row r="7853" spans="1:30">
      <c r="A7853" s="172"/>
      <c r="B7853" s="178"/>
      <c r="C7853" s="179"/>
      <c r="D7853" s="180"/>
      <c r="E7853" s="125"/>
      <c r="F7853" s="178"/>
      <c r="G7853" s="178"/>
      <c r="H7853" s="178"/>
      <c r="I7853" s="178"/>
      <c r="J7853" s="178"/>
      <c r="K7853" s="178"/>
      <c r="L7853" s="125"/>
      <c r="M7853" s="125"/>
      <c r="N7853" s="182"/>
      <c r="O7853" s="177"/>
      <c r="P7853" s="176"/>
      <c r="Q7853" s="176"/>
      <c r="R7853" s="176"/>
      <c r="S7853" s="176"/>
      <c r="T7853" s="190"/>
      <c r="U7853" s="191"/>
      <c r="V7853" s="191">
        <f>+Table1[[#This Row],[SUBTOTAL]]+Table1[[#This Row],[IVA]]-Table1[[#This Row],[RET IVA]]-Table1[[#This Row],[RET ISR]]</f>
        <v>0</v>
      </c>
      <c r="W7853" s="185"/>
      <c r="X7853" s="186"/>
      <c r="Y7853" s="187"/>
      <c r="Z7853" s="204">
        <f>+Table1[[#This Row],[CONCEPTO]]+Table1[[#This Row],[TIPO2]]-Table1[[#This Row],[IVA]]-Table1[[#This Row],[OTROS IMPUESTOS]]-Table1[[#This Row],[RET IVA]]</f>
        <v>0</v>
      </c>
      <c r="AB7853" t="str">
        <f>IF(Table1[[#This Row],[TIPO2]]="costo", VLOOKUP(Table1[[#This Row],[PARTIDA PRESUPUESTAL]],'Cost Report'!G:G,1,0),"Balance")</f>
        <v>Balance</v>
      </c>
      <c r="AD7853" s="159">
        <f>+Table1[[#This Row],[SUBTOTAL]]+Table1[[#This Row],[IVA]]-Table1[[#This Row],[RET IVA]]-Table1[[#This Row],[RET ISR]]-Table1[[#This Row],[TOTAL]]</f>
        <v>0</v>
      </c>
    </row>
    <row r="7854" spans="1:30">
      <c r="A7854" s="172"/>
      <c r="B7854" s="178"/>
      <c r="C7854" s="179"/>
      <c r="D7854" s="180"/>
      <c r="E7854" s="125"/>
      <c r="F7854" s="178"/>
      <c r="G7854" s="178"/>
      <c r="H7854" s="178"/>
      <c r="I7854" s="178"/>
      <c r="J7854" s="178"/>
      <c r="K7854" s="178"/>
      <c r="L7854" s="125"/>
      <c r="M7854" s="125"/>
      <c r="N7854" s="182"/>
      <c r="O7854" s="177"/>
      <c r="P7854" s="176"/>
      <c r="Q7854" s="176"/>
      <c r="R7854" s="176"/>
      <c r="S7854" s="176"/>
      <c r="T7854" s="190"/>
      <c r="U7854" s="191"/>
      <c r="V7854" s="191">
        <f>+Table1[[#This Row],[SUBTOTAL]]+Table1[[#This Row],[IVA]]-Table1[[#This Row],[RET IVA]]-Table1[[#This Row],[RET ISR]]</f>
        <v>0</v>
      </c>
      <c r="W7854" s="185"/>
      <c r="X7854" s="186"/>
      <c r="Y7854" s="187"/>
      <c r="Z7854" s="204">
        <f>+Table1[[#This Row],[CONCEPTO]]+Table1[[#This Row],[TIPO2]]-Table1[[#This Row],[IVA]]-Table1[[#This Row],[OTROS IMPUESTOS]]-Table1[[#This Row],[RET IVA]]</f>
        <v>0</v>
      </c>
      <c r="AB7854" t="str">
        <f>IF(Table1[[#This Row],[TIPO2]]="costo", VLOOKUP(Table1[[#This Row],[PARTIDA PRESUPUESTAL]],'Cost Report'!G:G,1,0),"Balance")</f>
        <v>Balance</v>
      </c>
      <c r="AD7854" s="159">
        <f>+Table1[[#This Row],[SUBTOTAL]]+Table1[[#This Row],[IVA]]-Table1[[#This Row],[RET IVA]]-Table1[[#This Row],[RET ISR]]-Table1[[#This Row],[TOTAL]]</f>
        <v>0</v>
      </c>
    </row>
    <row r="7855" spans="1:30">
      <c r="A7855" s="172"/>
      <c r="B7855" s="178"/>
      <c r="C7855" s="179"/>
      <c r="D7855" s="180"/>
      <c r="E7855" s="125"/>
      <c r="F7855" s="178"/>
      <c r="G7855" s="178"/>
      <c r="H7855" s="178"/>
      <c r="I7855" s="178"/>
      <c r="J7855" s="178"/>
      <c r="K7855" s="178"/>
      <c r="L7855" s="125"/>
      <c r="M7855" s="125"/>
      <c r="N7855" s="182"/>
      <c r="O7855" s="177"/>
      <c r="P7855" s="176"/>
      <c r="Q7855" s="176"/>
      <c r="R7855" s="176"/>
      <c r="S7855" s="176"/>
      <c r="T7855" s="190"/>
      <c r="U7855" s="191"/>
      <c r="V7855" s="191">
        <f>+Table1[[#This Row],[SUBTOTAL]]+Table1[[#This Row],[IVA]]-Table1[[#This Row],[RET IVA]]-Table1[[#This Row],[RET ISR]]</f>
        <v>0</v>
      </c>
      <c r="W7855" s="185"/>
      <c r="X7855" s="186"/>
      <c r="Y7855" s="187"/>
      <c r="Z7855" s="204">
        <f>+Table1[[#This Row],[CONCEPTO]]+Table1[[#This Row],[TIPO2]]-Table1[[#This Row],[IVA]]-Table1[[#This Row],[OTROS IMPUESTOS]]-Table1[[#This Row],[RET IVA]]</f>
        <v>0</v>
      </c>
      <c r="AB7855" t="str">
        <f>IF(Table1[[#This Row],[TIPO2]]="costo", VLOOKUP(Table1[[#This Row],[PARTIDA PRESUPUESTAL]],'Cost Report'!G:G,1,0),"Balance")</f>
        <v>Balance</v>
      </c>
      <c r="AD7855" s="159">
        <f>+Table1[[#This Row],[SUBTOTAL]]+Table1[[#This Row],[IVA]]-Table1[[#This Row],[RET IVA]]-Table1[[#This Row],[RET ISR]]-Table1[[#This Row],[TOTAL]]</f>
        <v>0</v>
      </c>
    </row>
    <row r="7856" spans="1:30">
      <c r="A7856" s="172"/>
      <c r="B7856" s="178"/>
      <c r="C7856" s="179"/>
      <c r="D7856" s="180"/>
      <c r="E7856" s="125"/>
      <c r="F7856" s="178"/>
      <c r="G7856" s="178"/>
      <c r="H7856" s="178"/>
      <c r="I7856" s="178"/>
      <c r="J7856" s="178"/>
      <c r="K7856" s="178"/>
      <c r="L7856" s="125"/>
      <c r="M7856" s="125"/>
      <c r="N7856" s="182"/>
      <c r="O7856" s="177"/>
      <c r="P7856" s="176"/>
      <c r="Q7856" s="176"/>
      <c r="R7856" s="176"/>
      <c r="S7856" s="176"/>
      <c r="T7856" s="190"/>
      <c r="U7856" s="191"/>
      <c r="V7856" s="191">
        <f>+Table1[[#This Row],[SUBTOTAL]]+Table1[[#This Row],[IVA]]-Table1[[#This Row],[RET IVA]]-Table1[[#This Row],[RET ISR]]</f>
        <v>0</v>
      </c>
      <c r="W7856" s="185"/>
      <c r="X7856" s="186"/>
      <c r="Y7856" s="187"/>
      <c r="Z7856" s="204">
        <f>+Table1[[#This Row],[CONCEPTO]]+Table1[[#This Row],[TIPO2]]-Table1[[#This Row],[IVA]]-Table1[[#This Row],[OTROS IMPUESTOS]]-Table1[[#This Row],[RET IVA]]</f>
        <v>0</v>
      </c>
      <c r="AB7856" t="str">
        <f>IF(Table1[[#This Row],[TIPO2]]="costo", VLOOKUP(Table1[[#This Row],[PARTIDA PRESUPUESTAL]],'Cost Report'!G:G,1,0),"Balance")</f>
        <v>Balance</v>
      </c>
      <c r="AD7856" s="159">
        <f>+Table1[[#This Row],[SUBTOTAL]]+Table1[[#This Row],[IVA]]-Table1[[#This Row],[RET IVA]]-Table1[[#This Row],[RET ISR]]-Table1[[#This Row],[TOTAL]]</f>
        <v>0</v>
      </c>
    </row>
    <row r="7857" spans="1:30">
      <c r="A7857" s="172"/>
      <c r="B7857" s="178"/>
      <c r="C7857" s="179"/>
      <c r="D7857" s="180"/>
      <c r="E7857" s="125"/>
      <c r="F7857" s="178"/>
      <c r="G7857" s="178"/>
      <c r="H7857" s="178"/>
      <c r="I7857" s="178"/>
      <c r="J7857" s="178"/>
      <c r="K7857" s="178"/>
      <c r="L7857" s="125"/>
      <c r="M7857" s="125"/>
      <c r="N7857" s="182"/>
      <c r="O7857" s="177"/>
      <c r="P7857" s="176"/>
      <c r="Q7857" s="176"/>
      <c r="R7857" s="176"/>
      <c r="S7857" s="176"/>
      <c r="T7857" s="190"/>
      <c r="U7857" s="191"/>
      <c r="V7857" s="191">
        <f>+Table1[[#This Row],[SUBTOTAL]]+Table1[[#This Row],[IVA]]-Table1[[#This Row],[RET IVA]]-Table1[[#This Row],[RET ISR]]</f>
        <v>0</v>
      </c>
      <c r="W7857" s="185"/>
      <c r="X7857" s="186"/>
      <c r="Y7857" s="187"/>
      <c r="Z7857" s="204">
        <f>+Table1[[#This Row],[CONCEPTO]]+Table1[[#This Row],[TIPO2]]-Table1[[#This Row],[IVA]]-Table1[[#This Row],[OTROS IMPUESTOS]]-Table1[[#This Row],[RET IVA]]</f>
        <v>0</v>
      </c>
      <c r="AB7857" t="str">
        <f>IF(Table1[[#This Row],[TIPO2]]="costo", VLOOKUP(Table1[[#This Row],[PARTIDA PRESUPUESTAL]],'Cost Report'!G:G,1,0),"Balance")</f>
        <v>Balance</v>
      </c>
      <c r="AD7857" s="159">
        <f>+Table1[[#This Row],[SUBTOTAL]]+Table1[[#This Row],[IVA]]-Table1[[#This Row],[RET IVA]]-Table1[[#This Row],[RET ISR]]-Table1[[#This Row],[TOTAL]]</f>
        <v>0</v>
      </c>
    </row>
    <row r="7858" spans="1:30">
      <c r="A7858" s="172"/>
      <c r="B7858" s="178"/>
      <c r="C7858" s="179"/>
      <c r="D7858" s="180"/>
      <c r="E7858" s="125"/>
      <c r="F7858" s="178"/>
      <c r="G7858" s="178"/>
      <c r="H7858" s="178"/>
      <c r="I7858" s="178"/>
      <c r="J7858" s="178"/>
      <c r="K7858" s="178"/>
      <c r="L7858" s="125"/>
      <c r="M7858" s="125"/>
      <c r="N7858" s="182"/>
      <c r="O7858" s="177"/>
      <c r="P7858" s="176"/>
      <c r="Q7858" s="176"/>
      <c r="R7858" s="176"/>
      <c r="S7858" s="176"/>
      <c r="T7858" s="190"/>
      <c r="U7858" s="191"/>
      <c r="V7858" s="191">
        <f>+Table1[[#This Row],[SUBTOTAL]]+Table1[[#This Row],[IVA]]-Table1[[#This Row],[RET IVA]]-Table1[[#This Row],[RET ISR]]</f>
        <v>0</v>
      </c>
      <c r="W7858" s="185"/>
      <c r="X7858" s="186"/>
      <c r="Y7858" s="187"/>
      <c r="Z7858" s="204">
        <f>+Table1[[#This Row],[CONCEPTO]]+Table1[[#This Row],[TIPO2]]-Table1[[#This Row],[IVA]]-Table1[[#This Row],[OTROS IMPUESTOS]]-Table1[[#This Row],[RET IVA]]</f>
        <v>0</v>
      </c>
      <c r="AB7858" t="str">
        <f>IF(Table1[[#This Row],[TIPO2]]="costo", VLOOKUP(Table1[[#This Row],[PARTIDA PRESUPUESTAL]],'Cost Report'!G:G,1,0),"Balance")</f>
        <v>Balance</v>
      </c>
      <c r="AD7858" s="159">
        <f>+Table1[[#This Row],[SUBTOTAL]]+Table1[[#This Row],[IVA]]-Table1[[#This Row],[RET IVA]]-Table1[[#This Row],[RET ISR]]-Table1[[#This Row],[TOTAL]]</f>
        <v>0</v>
      </c>
    </row>
    <row r="7859" spans="1:30">
      <c r="A7859" s="172"/>
      <c r="B7859" s="178"/>
      <c r="C7859" s="179"/>
      <c r="D7859" s="180"/>
      <c r="E7859" s="125"/>
      <c r="F7859" s="178"/>
      <c r="G7859" s="178"/>
      <c r="H7859" s="178"/>
      <c r="I7859" s="178"/>
      <c r="J7859" s="178"/>
      <c r="K7859" s="178"/>
      <c r="L7859" s="125"/>
      <c r="M7859" s="125"/>
      <c r="N7859" s="182"/>
      <c r="O7859" s="177"/>
      <c r="P7859" s="176"/>
      <c r="Q7859" s="176"/>
      <c r="R7859" s="176"/>
      <c r="S7859" s="176"/>
      <c r="T7859" s="190"/>
      <c r="U7859" s="191"/>
      <c r="V7859" s="191">
        <f>+Table1[[#This Row],[SUBTOTAL]]+Table1[[#This Row],[IVA]]-Table1[[#This Row],[RET IVA]]-Table1[[#This Row],[RET ISR]]</f>
        <v>0</v>
      </c>
      <c r="W7859" s="185"/>
      <c r="X7859" s="186"/>
      <c r="Y7859" s="187"/>
      <c r="Z7859" s="204">
        <f>+Table1[[#This Row],[CONCEPTO]]+Table1[[#This Row],[TIPO2]]-Table1[[#This Row],[IVA]]-Table1[[#This Row],[OTROS IMPUESTOS]]-Table1[[#This Row],[RET IVA]]</f>
        <v>0</v>
      </c>
      <c r="AB7859" t="str">
        <f>IF(Table1[[#This Row],[TIPO2]]="costo", VLOOKUP(Table1[[#This Row],[PARTIDA PRESUPUESTAL]],'Cost Report'!G:G,1,0),"Balance")</f>
        <v>Balance</v>
      </c>
      <c r="AD7859" s="159">
        <f>+Table1[[#This Row],[SUBTOTAL]]+Table1[[#This Row],[IVA]]-Table1[[#This Row],[RET IVA]]-Table1[[#This Row],[RET ISR]]-Table1[[#This Row],[TOTAL]]</f>
        <v>0</v>
      </c>
    </row>
    <row r="7860" spans="1:30">
      <c r="A7860" s="172"/>
      <c r="B7860" s="178"/>
      <c r="C7860" s="179"/>
      <c r="D7860" s="180"/>
      <c r="E7860" s="125"/>
      <c r="F7860" s="178"/>
      <c r="G7860" s="178"/>
      <c r="H7860" s="178"/>
      <c r="I7860" s="178"/>
      <c r="J7860" s="178"/>
      <c r="K7860" s="178"/>
      <c r="L7860" s="125"/>
      <c r="M7860" s="125"/>
      <c r="N7860" s="182"/>
      <c r="O7860" s="177"/>
      <c r="P7860" s="176"/>
      <c r="Q7860" s="176"/>
      <c r="R7860" s="176"/>
      <c r="S7860" s="176"/>
      <c r="T7860" s="190"/>
      <c r="U7860" s="191"/>
      <c r="V7860" s="191">
        <f>+Table1[[#This Row],[SUBTOTAL]]+Table1[[#This Row],[IVA]]-Table1[[#This Row],[RET IVA]]-Table1[[#This Row],[RET ISR]]</f>
        <v>0</v>
      </c>
      <c r="W7860" s="185"/>
      <c r="X7860" s="186"/>
      <c r="Y7860" s="187"/>
      <c r="Z7860" s="204">
        <f>+Table1[[#This Row],[CONCEPTO]]+Table1[[#This Row],[TIPO2]]-Table1[[#This Row],[IVA]]-Table1[[#This Row],[OTROS IMPUESTOS]]-Table1[[#This Row],[RET IVA]]</f>
        <v>0</v>
      </c>
      <c r="AB7860" t="str">
        <f>IF(Table1[[#This Row],[TIPO2]]="costo", VLOOKUP(Table1[[#This Row],[PARTIDA PRESUPUESTAL]],'Cost Report'!G:G,1,0),"Balance")</f>
        <v>Balance</v>
      </c>
      <c r="AD7860" s="159">
        <f>+Table1[[#This Row],[SUBTOTAL]]+Table1[[#This Row],[IVA]]-Table1[[#This Row],[RET IVA]]-Table1[[#This Row],[RET ISR]]-Table1[[#This Row],[TOTAL]]</f>
        <v>0</v>
      </c>
    </row>
    <row r="7861" spans="1:30">
      <c r="A7861" s="172"/>
      <c r="B7861" s="178"/>
      <c r="C7861" s="179"/>
      <c r="D7861" s="180"/>
      <c r="E7861" s="125"/>
      <c r="F7861" s="178"/>
      <c r="G7861" s="178"/>
      <c r="H7861" s="178"/>
      <c r="I7861" s="178"/>
      <c r="J7861" s="178"/>
      <c r="K7861" s="178"/>
      <c r="L7861" s="125"/>
      <c r="M7861" s="125"/>
      <c r="N7861" s="182"/>
      <c r="O7861" s="177"/>
      <c r="P7861" s="176"/>
      <c r="Q7861" s="176"/>
      <c r="R7861" s="176"/>
      <c r="S7861" s="176"/>
      <c r="T7861" s="190"/>
      <c r="U7861" s="191"/>
      <c r="V7861" s="191">
        <f>+Table1[[#This Row],[SUBTOTAL]]+Table1[[#This Row],[IVA]]-Table1[[#This Row],[RET IVA]]-Table1[[#This Row],[RET ISR]]</f>
        <v>0</v>
      </c>
      <c r="W7861" s="185"/>
      <c r="X7861" s="186"/>
      <c r="Y7861" s="187"/>
      <c r="Z7861" s="204">
        <f>+Table1[[#This Row],[CONCEPTO]]+Table1[[#This Row],[TIPO2]]-Table1[[#This Row],[IVA]]-Table1[[#This Row],[OTROS IMPUESTOS]]-Table1[[#This Row],[RET IVA]]</f>
        <v>0</v>
      </c>
      <c r="AB7861" t="str">
        <f>IF(Table1[[#This Row],[TIPO2]]="costo", VLOOKUP(Table1[[#This Row],[PARTIDA PRESUPUESTAL]],'Cost Report'!G:G,1,0),"Balance")</f>
        <v>Balance</v>
      </c>
      <c r="AD7861" s="159">
        <f>+Table1[[#This Row],[SUBTOTAL]]+Table1[[#This Row],[IVA]]-Table1[[#This Row],[RET IVA]]-Table1[[#This Row],[RET ISR]]-Table1[[#This Row],[TOTAL]]</f>
        <v>0</v>
      </c>
    </row>
    <row r="7862" spans="1:30">
      <c r="A7862" s="172"/>
      <c r="B7862" s="178"/>
      <c r="C7862" s="179"/>
      <c r="D7862" s="180"/>
      <c r="E7862" s="125"/>
      <c r="F7862" s="178"/>
      <c r="G7862" s="178"/>
      <c r="H7862" s="178"/>
      <c r="I7862" s="178"/>
      <c r="J7862" s="178"/>
      <c r="K7862" s="178"/>
      <c r="L7862" s="125"/>
      <c r="M7862" s="125"/>
      <c r="N7862" s="182"/>
      <c r="O7862" s="177"/>
      <c r="P7862" s="176"/>
      <c r="Q7862" s="176"/>
      <c r="R7862" s="176"/>
      <c r="S7862" s="176"/>
      <c r="T7862" s="190"/>
      <c r="U7862" s="191"/>
      <c r="V7862" s="191">
        <f>+Table1[[#This Row],[SUBTOTAL]]+Table1[[#This Row],[IVA]]-Table1[[#This Row],[RET IVA]]-Table1[[#This Row],[RET ISR]]</f>
        <v>0</v>
      </c>
      <c r="W7862" s="185"/>
      <c r="X7862" s="186"/>
      <c r="Y7862" s="187"/>
      <c r="Z7862" s="204">
        <f>+Table1[[#This Row],[CONCEPTO]]+Table1[[#This Row],[TIPO2]]-Table1[[#This Row],[IVA]]-Table1[[#This Row],[OTROS IMPUESTOS]]-Table1[[#This Row],[RET IVA]]</f>
        <v>0</v>
      </c>
      <c r="AB7862" t="str">
        <f>IF(Table1[[#This Row],[TIPO2]]="costo", VLOOKUP(Table1[[#This Row],[PARTIDA PRESUPUESTAL]],'Cost Report'!G:G,1,0),"Balance")</f>
        <v>Balance</v>
      </c>
      <c r="AD7862" s="159">
        <f>+Table1[[#This Row],[SUBTOTAL]]+Table1[[#This Row],[IVA]]-Table1[[#This Row],[RET IVA]]-Table1[[#This Row],[RET ISR]]-Table1[[#This Row],[TOTAL]]</f>
        <v>0</v>
      </c>
    </row>
    <row r="7863" spans="1:30">
      <c r="A7863" s="172"/>
      <c r="B7863" s="178"/>
      <c r="C7863" s="179"/>
      <c r="D7863" s="180"/>
      <c r="E7863" s="125"/>
      <c r="F7863" s="178"/>
      <c r="G7863" s="178"/>
      <c r="H7863" s="178"/>
      <c r="I7863" s="178"/>
      <c r="J7863" s="178"/>
      <c r="K7863" s="178"/>
      <c r="L7863" s="125"/>
      <c r="M7863" s="125"/>
      <c r="N7863" s="182"/>
      <c r="O7863" s="177"/>
      <c r="P7863" s="176"/>
      <c r="Q7863" s="176"/>
      <c r="R7863" s="176"/>
      <c r="S7863" s="176"/>
      <c r="T7863" s="190"/>
      <c r="U7863" s="191"/>
      <c r="V7863" s="191">
        <f>+Table1[[#This Row],[SUBTOTAL]]+Table1[[#This Row],[IVA]]-Table1[[#This Row],[RET IVA]]-Table1[[#This Row],[RET ISR]]</f>
        <v>0</v>
      </c>
      <c r="W7863" s="185"/>
      <c r="X7863" s="186"/>
      <c r="Y7863" s="187"/>
      <c r="Z7863" s="204">
        <f>+Table1[[#This Row],[CONCEPTO]]+Table1[[#This Row],[TIPO2]]-Table1[[#This Row],[IVA]]-Table1[[#This Row],[OTROS IMPUESTOS]]-Table1[[#This Row],[RET IVA]]</f>
        <v>0</v>
      </c>
      <c r="AB7863" t="str">
        <f>IF(Table1[[#This Row],[TIPO2]]="costo", VLOOKUP(Table1[[#This Row],[PARTIDA PRESUPUESTAL]],'Cost Report'!G:G,1,0),"Balance")</f>
        <v>Balance</v>
      </c>
      <c r="AD7863" s="159">
        <f>+Table1[[#This Row],[SUBTOTAL]]+Table1[[#This Row],[IVA]]-Table1[[#This Row],[RET IVA]]-Table1[[#This Row],[RET ISR]]-Table1[[#This Row],[TOTAL]]</f>
        <v>0</v>
      </c>
    </row>
    <row r="7864" spans="1:30">
      <c r="A7864" s="172"/>
      <c r="B7864" s="178"/>
      <c r="C7864" s="179"/>
      <c r="D7864" s="180"/>
      <c r="E7864" s="125"/>
      <c r="F7864" s="178"/>
      <c r="G7864" s="178"/>
      <c r="H7864" s="178"/>
      <c r="I7864" s="178"/>
      <c r="J7864" s="178"/>
      <c r="K7864" s="178"/>
      <c r="L7864" s="125"/>
      <c r="M7864" s="125"/>
      <c r="N7864" s="182"/>
      <c r="O7864" s="177"/>
      <c r="P7864" s="176"/>
      <c r="Q7864" s="176"/>
      <c r="R7864" s="176"/>
      <c r="S7864" s="176"/>
      <c r="T7864" s="190"/>
      <c r="U7864" s="191"/>
      <c r="V7864" s="191">
        <f>+Table1[[#This Row],[SUBTOTAL]]+Table1[[#This Row],[IVA]]-Table1[[#This Row],[RET IVA]]-Table1[[#This Row],[RET ISR]]</f>
        <v>0</v>
      </c>
      <c r="W7864" s="185"/>
      <c r="X7864" s="186"/>
      <c r="Y7864" s="187"/>
      <c r="Z7864" s="204">
        <f>+Table1[[#This Row],[CONCEPTO]]+Table1[[#This Row],[TIPO2]]-Table1[[#This Row],[IVA]]-Table1[[#This Row],[OTROS IMPUESTOS]]-Table1[[#This Row],[RET IVA]]</f>
        <v>0</v>
      </c>
      <c r="AB7864" t="str">
        <f>IF(Table1[[#This Row],[TIPO2]]="costo", VLOOKUP(Table1[[#This Row],[PARTIDA PRESUPUESTAL]],'Cost Report'!G:G,1,0),"Balance")</f>
        <v>Balance</v>
      </c>
      <c r="AD7864" s="159">
        <f>+Table1[[#This Row],[SUBTOTAL]]+Table1[[#This Row],[IVA]]-Table1[[#This Row],[RET IVA]]-Table1[[#This Row],[RET ISR]]-Table1[[#This Row],[TOTAL]]</f>
        <v>0</v>
      </c>
    </row>
    <row r="7865" spans="1:30">
      <c r="A7865" s="172"/>
      <c r="B7865" s="178"/>
      <c r="C7865" s="179"/>
      <c r="D7865" s="180"/>
      <c r="E7865" s="125"/>
      <c r="F7865" s="178"/>
      <c r="G7865" s="178"/>
      <c r="H7865" s="178"/>
      <c r="I7865" s="178"/>
      <c r="J7865" s="178"/>
      <c r="K7865" s="178"/>
      <c r="L7865" s="125"/>
      <c r="M7865" s="125"/>
      <c r="N7865" s="182"/>
      <c r="O7865" s="177"/>
      <c r="P7865" s="176"/>
      <c r="Q7865" s="176"/>
      <c r="R7865" s="176"/>
      <c r="S7865" s="176"/>
      <c r="T7865" s="190"/>
      <c r="U7865" s="191"/>
      <c r="V7865" s="191">
        <f>+Table1[[#This Row],[SUBTOTAL]]+Table1[[#This Row],[IVA]]-Table1[[#This Row],[RET IVA]]-Table1[[#This Row],[RET ISR]]</f>
        <v>0</v>
      </c>
      <c r="W7865" s="185"/>
      <c r="X7865" s="186"/>
      <c r="Y7865" s="187"/>
      <c r="Z7865" s="204">
        <f>+Table1[[#This Row],[CONCEPTO]]+Table1[[#This Row],[TIPO2]]-Table1[[#This Row],[IVA]]-Table1[[#This Row],[OTROS IMPUESTOS]]-Table1[[#This Row],[RET IVA]]</f>
        <v>0</v>
      </c>
      <c r="AB7865" t="str">
        <f>IF(Table1[[#This Row],[TIPO2]]="costo", VLOOKUP(Table1[[#This Row],[PARTIDA PRESUPUESTAL]],'Cost Report'!G:G,1,0),"Balance")</f>
        <v>Balance</v>
      </c>
      <c r="AD7865" s="159">
        <f>+Table1[[#This Row],[SUBTOTAL]]+Table1[[#This Row],[IVA]]-Table1[[#This Row],[RET IVA]]-Table1[[#This Row],[RET ISR]]-Table1[[#This Row],[TOTAL]]</f>
        <v>0</v>
      </c>
    </row>
    <row r="7866" spans="1:30">
      <c r="A7866" s="172"/>
      <c r="B7866" s="178"/>
      <c r="C7866" s="179"/>
      <c r="D7866" s="180"/>
      <c r="E7866" s="125"/>
      <c r="F7866" s="178"/>
      <c r="G7866" s="178"/>
      <c r="H7866" s="178"/>
      <c r="I7866" s="178"/>
      <c r="J7866" s="178"/>
      <c r="K7866" s="178"/>
      <c r="L7866" s="125"/>
      <c r="M7866" s="125"/>
      <c r="N7866" s="182"/>
      <c r="O7866" s="177"/>
      <c r="P7866" s="176"/>
      <c r="Q7866" s="176"/>
      <c r="R7866" s="176"/>
      <c r="S7866" s="176"/>
      <c r="T7866" s="190"/>
      <c r="U7866" s="191"/>
      <c r="V7866" s="191">
        <f>+Table1[[#This Row],[SUBTOTAL]]+Table1[[#This Row],[IVA]]-Table1[[#This Row],[RET IVA]]-Table1[[#This Row],[RET ISR]]</f>
        <v>0</v>
      </c>
      <c r="W7866" s="185"/>
      <c r="X7866" s="186"/>
      <c r="Y7866" s="187"/>
      <c r="Z7866" s="204">
        <f>+Table1[[#This Row],[CONCEPTO]]+Table1[[#This Row],[TIPO2]]-Table1[[#This Row],[IVA]]-Table1[[#This Row],[OTROS IMPUESTOS]]-Table1[[#This Row],[RET IVA]]</f>
        <v>0</v>
      </c>
      <c r="AB7866" t="str">
        <f>IF(Table1[[#This Row],[TIPO2]]="costo", VLOOKUP(Table1[[#This Row],[PARTIDA PRESUPUESTAL]],'Cost Report'!G:G,1,0),"Balance")</f>
        <v>Balance</v>
      </c>
      <c r="AD7866" s="159">
        <f>+Table1[[#This Row],[SUBTOTAL]]+Table1[[#This Row],[IVA]]-Table1[[#This Row],[RET IVA]]-Table1[[#This Row],[RET ISR]]-Table1[[#This Row],[TOTAL]]</f>
        <v>0</v>
      </c>
    </row>
    <row r="7867" spans="1:30">
      <c r="A7867" s="172"/>
      <c r="B7867" s="178"/>
      <c r="C7867" s="179"/>
      <c r="D7867" s="180"/>
      <c r="E7867" s="125"/>
      <c r="F7867" s="178"/>
      <c r="G7867" s="178"/>
      <c r="H7867" s="178"/>
      <c r="I7867" s="178"/>
      <c r="J7867" s="178"/>
      <c r="K7867" s="178"/>
      <c r="L7867" s="125"/>
      <c r="M7867" s="125"/>
      <c r="N7867" s="182"/>
      <c r="O7867" s="177"/>
      <c r="P7867" s="176"/>
      <c r="Q7867" s="176"/>
      <c r="R7867" s="176"/>
      <c r="S7867" s="176"/>
      <c r="T7867" s="190"/>
      <c r="U7867" s="191"/>
      <c r="V7867" s="191">
        <f>+Table1[[#This Row],[SUBTOTAL]]+Table1[[#This Row],[IVA]]-Table1[[#This Row],[RET IVA]]-Table1[[#This Row],[RET ISR]]</f>
        <v>0</v>
      </c>
      <c r="W7867" s="185"/>
      <c r="X7867" s="186"/>
      <c r="Y7867" s="187"/>
      <c r="Z7867" s="204">
        <f>+Table1[[#This Row],[CONCEPTO]]+Table1[[#This Row],[TIPO2]]-Table1[[#This Row],[IVA]]-Table1[[#This Row],[OTROS IMPUESTOS]]-Table1[[#This Row],[RET IVA]]</f>
        <v>0</v>
      </c>
      <c r="AB7867" t="str">
        <f>IF(Table1[[#This Row],[TIPO2]]="costo", VLOOKUP(Table1[[#This Row],[PARTIDA PRESUPUESTAL]],'Cost Report'!G:G,1,0),"Balance")</f>
        <v>Balance</v>
      </c>
      <c r="AD7867" s="159">
        <f>+Table1[[#This Row],[SUBTOTAL]]+Table1[[#This Row],[IVA]]-Table1[[#This Row],[RET IVA]]-Table1[[#This Row],[RET ISR]]-Table1[[#This Row],[TOTAL]]</f>
        <v>0</v>
      </c>
    </row>
    <row r="7868" spans="1:30">
      <c r="A7868" s="172"/>
      <c r="B7868" s="178"/>
      <c r="C7868" s="179"/>
      <c r="D7868" s="180"/>
      <c r="E7868" s="125"/>
      <c r="F7868" s="178"/>
      <c r="G7868" s="178"/>
      <c r="H7868" s="178"/>
      <c r="I7868" s="178"/>
      <c r="J7868" s="178"/>
      <c r="K7868" s="178"/>
      <c r="L7868" s="125"/>
      <c r="M7868" s="125"/>
      <c r="N7868" s="182"/>
      <c r="O7868" s="177"/>
      <c r="P7868" s="176"/>
      <c r="Q7868" s="176"/>
      <c r="R7868" s="176"/>
      <c r="S7868" s="176"/>
      <c r="T7868" s="190"/>
      <c r="U7868" s="191"/>
      <c r="V7868" s="191">
        <f>+Table1[[#This Row],[SUBTOTAL]]+Table1[[#This Row],[IVA]]-Table1[[#This Row],[RET IVA]]-Table1[[#This Row],[RET ISR]]</f>
        <v>0</v>
      </c>
      <c r="W7868" s="185"/>
      <c r="X7868" s="186"/>
      <c r="Y7868" s="187"/>
      <c r="Z7868" s="204">
        <f>+Table1[[#This Row],[CONCEPTO]]+Table1[[#This Row],[TIPO2]]-Table1[[#This Row],[IVA]]-Table1[[#This Row],[OTROS IMPUESTOS]]-Table1[[#This Row],[RET IVA]]</f>
        <v>0</v>
      </c>
      <c r="AB7868" t="str">
        <f>IF(Table1[[#This Row],[TIPO2]]="costo", VLOOKUP(Table1[[#This Row],[PARTIDA PRESUPUESTAL]],'Cost Report'!G:G,1,0),"Balance")</f>
        <v>Balance</v>
      </c>
      <c r="AD7868" s="159">
        <f>+Table1[[#This Row],[SUBTOTAL]]+Table1[[#This Row],[IVA]]-Table1[[#This Row],[RET IVA]]-Table1[[#This Row],[RET ISR]]-Table1[[#This Row],[TOTAL]]</f>
        <v>0</v>
      </c>
    </row>
    <row r="7869" spans="1:30">
      <c r="A7869" s="172"/>
      <c r="B7869" s="178"/>
      <c r="C7869" s="179"/>
      <c r="D7869" s="180"/>
      <c r="E7869" s="125"/>
      <c r="F7869" s="178"/>
      <c r="G7869" s="178"/>
      <c r="H7869" s="178"/>
      <c r="I7869" s="178"/>
      <c r="J7869" s="178"/>
      <c r="K7869" s="178"/>
      <c r="L7869" s="125"/>
      <c r="M7869" s="125"/>
      <c r="N7869" s="182"/>
      <c r="O7869" s="177"/>
      <c r="P7869" s="176"/>
      <c r="Q7869" s="176"/>
      <c r="R7869" s="176"/>
      <c r="S7869" s="176"/>
      <c r="T7869" s="190"/>
      <c r="U7869" s="191"/>
      <c r="V7869" s="191">
        <f>+Table1[[#This Row],[SUBTOTAL]]+Table1[[#This Row],[IVA]]-Table1[[#This Row],[RET IVA]]-Table1[[#This Row],[RET ISR]]</f>
        <v>0</v>
      </c>
      <c r="W7869" s="185"/>
      <c r="X7869" s="186"/>
      <c r="Y7869" s="187"/>
      <c r="Z7869" s="204">
        <f>+Table1[[#This Row],[CONCEPTO]]+Table1[[#This Row],[TIPO2]]-Table1[[#This Row],[IVA]]-Table1[[#This Row],[OTROS IMPUESTOS]]-Table1[[#This Row],[RET IVA]]</f>
        <v>0</v>
      </c>
      <c r="AB7869" t="str">
        <f>IF(Table1[[#This Row],[TIPO2]]="costo", VLOOKUP(Table1[[#This Row],[PARTIDA PRESUPUESTAL]],'Cost Report'!G:G,1,0),"Balance")</f>
        <v>Balance</v>
      </c>
      <c r="AD7869" s="159">
        <f>+Table1[[#This Row],[SUBTOTAL]]+Table1[[#This Row],[IVA]]-Table1[[#This Row],[RET IVA]]-Table1[[#This Row],[RET ISR]]-Table1[[#This Row],[TOTAL]]</f>
        <v>0</v>
      </c>
    </row>
    <row r="7870" spans="1:30">
      <c r="A7870" s="172"/>
      <c r="B7870" s="178"/>
      <c r="C7870" s="179"/>
      <c r="D7870" s="180"/>
      <c r="E7870" s="125"/>
      <c r="F7870" s="178"/>
      <c r="G7870" s="178"/>
      <c r="H7870" s="178"/>
      <c r="I7870" s="178"/>
      <c r="J7870" s="178"/>
      <c r="K7870" s="178"/>
      <c r="L7870" s="125"/>
      <c r="M7870" s="125"/>
      <c r="N7870" s="182"/>
      <c r="O7870" s="177"/>
      <c r="P7870" s="176"/>
      <c r="Q7870" s="176"/>
      <c r="R7870" s="176"/>
      <c r="S7870" s="176"/>
      <c r="T7870" s="190"/>
      <c r="U7870" s="191"/>
      <c r="V7870" s="191">
        <f>+Table1[[#This Row],[SUBTOTAL]]+Table1[[#This Row],[IVA]]-Table1[[#This Row],[RET IVA]]-Table1[[#This Row],[RET ISR]]</f>
        <v>0</v>
      </c>
      <c r="W7870" s="185"/>
      <c r="X7870" s="186"/>
      <c r="Y7870" s="187"/>
      <c r="Z7870" s="204">
        <f>+Table1[[#This Row],[CONCEPTO]]+Table1[[#This Row],[TIPO2]]-Table1[[#This Row],[IVA]]-Table1[[#This Row],[OTROS IMPUESTOS]]-Table1[[#This Row],[RET IVA]]</f>
        <v>0</v>
      </c>
      <c r="AB7870" t="str">
        <f>IF(Table1[[#This Row],[TIPO2]]="costo", VLOOKUP(Table1[[#This Row],[PARTIDA PRESUPUESTAL]],'Cost Report'!G:G,1,0),"Balance")</f>
        <v>Balance</v>
      </c>
      <c r="AD7870" s="159">
        <f>+Table1[[#This Row],[SUBTOTAL]]+Table1[[#This Row],[IVA]]-Table1[[#This Row],[RET IVA]]-Table1[[#This Row],[RET ISR]]-Table1[[#This Row],[TOTAL]]</f>
        <v>0</v>
      </c>
    </row>
    <row r="7871" spans="1:30">
      <c r="A7871" s="172"/>
      <c r="B7871" s="178"/>
      <c r="C7871" s="179"/>
      <c r="D7871" s="180"/>
      <c r="E7871" s="125"/>
      <c r="F7871" s="178"/>
      <c r="G7871" s="178"/>
      <c r="H7871" s="178"/>
      <c r="I7871" s="178"/>
      <c r="J7871" s="178"/>
      <c r="K7871" s="178"/>
      <c r="L7871" s="125"/>
      <c r="M7871" s="125"/>
      <c r="N7871" s="182"/>
      <c r="O7871" s="177"/>
      <c r="P7871" s="176"/>
      <c r="Q7871" s="176"/>
      <c r="R7871" s="176"/>
      <c r="S7871" s="176"/>
      <c r="T7871" s="190"/>
      <c r="U7871" s="191"/>
      <c r="V7871" s="191">
        <f>+Table1[[#This Row],[SUBTOTAL]]+Table1[[#This Row],[IVA]]-Table1[[#This Row],[RET IVA]]-Table1[[#This Row],[RET ISR]]</f>
        <v>0</v>
      </c>
      <c r="W7871" s="185"/>
      <c r="X7871" s="186"/>
      <c r="Y7871" s="187"/>
      <c r="Z7871" s="204">
        <f>+Table1[[#This Row],[CONCEPTO]]+Table1[[#This Row],[TIPO2]]-Table1[[#This Row],[IVA]]-Table1[[#This Row],[OTROS IMPUESTOS]]-Table1[[#This Row],[RET IVA]]</f>
        <v>0</v>
      </c>
      <c r="AB7871" t="str">
        <f>IF(Table1[[#This Row],[TIPO2]]="costo", VLOOKUP(Table1[[#This Row],[PARTIDA PRESUPUESTAL]],'Cost Report'!G:G,1,0),"Balance")</f>
        <v>Balance</v>
      </c>
      <c r="AD7871" s="159">
        <f>+Table1[[#This Row],[SUBTOTAL]]+Table1[[#This Row],[IVA]]-Table1[[#This Row],[RET IVA]]-Table1[[#This Row],[RET ISR]]-Table1[[#This Row],[TOTAL]]</f>
        <v>0</v>
      </c>
    </row>
    <row r="7872" spans="1:30">
      <c r="A7872" s="172"/>
      <c r="B7872" s="178"/>
      <c r="C7872" s="179"/>
      <c r="D7872" s="180"/>
      <c r="E7872" s="125"/>
      <c r="F7872" s="178"/>
      <c r="G7872" s="178"/>
      <c r="H7872" s="178"/>
      <c r="I7872" s="178"/>
      <c r="J7872" s="178"/>
      <c r="K7872" s="178"/>
      <c r="L7872" s="125"/>
      <c r="M7872" s="125"/>
      <c r="N7872" s="182"/>
      <c r="O7872" s="177"/>
      <c r="P7872" s="176"/>
      <c r="Q7872" s="176"/>
      <c r="R7872" s="176"/>
      <c r="S7872" s="176"/>
      <c r="T7872" s="190"/>
      <c r="U7872" s="191"/>
      <c r="V7872" s="191">
        <f>+Table1[[#This Row],[SUBTOTAL]]+Table1[[#This Row],[IVA]]-Table1[[#This Row],[RET IVA]]-Table1[[#This Row],[RET ISR]]</f>
        <v>0</v>
      </c>
      <c r="W7872" s="185"/>
      <c r="X7872" s="186"/>
      <c r="Y7872" s="187"/>
      <c r="Z7872" s="204">
        <f>+Table1[[#This Row],[CONCEPTO]]+Table1[[#This Row],[TIPO2]]-Table1[[#This Row],[IVA]]-Table1[[#This Row],[OTROS IMPUESTOS]]-Table1[[#This Row],[RET IVA]]</f>
        <v>0</v>
      </c>
      <c r="AB7872" t="str">
        <f>IF(Table1[[#This Row],[TIPO2]]="costo", VLOOKUP(Table1[[#This Row],[PARTIDA PRESUPUESTAL]],'Cost Report'!G:G,1,0),"Balance")</f>
        <v>Balance</v>
      </c>
      <c r="AD7872" s="159">
        <f>+Table1[[#This Row],[SUBTOTAL]]+Table1[[#This Row],[IVA]]-Table1[[#This Row],[RET IVA]]-Table1[[#This Row],[RET ISR]]-Table1[[#This Row],[TOTAL]]</f>
        <v>0</v>
      </c>
    </row>
    <row r="7873" spans="1:30">
      <c r="A7873" s="172"/>
      <c r="B7873" s="178"/>
      <c r="C7873" s="179"/>
      <c r="D7873" s="180"/>
      <c r="E7873" s="125"/>
      <c r="F7873" s="178"/>
      <c r="G7873" s="178"/>
      <c r="H7873" s="178"/>
      <c r="I7873" s="178"/>
      <c r="J7873" s="178"/>
      <c r="K7873" s="178"/>
      <c r="L7873" s="125"/>
      <c r="M7873" s="125"/>
      <c r="N7873" s="182"/>
      <c r="O7873" s="177"/>
      <c r="P7873" s="176"/>
      <c r="Q7873" s="176"/>
      <c r="R7873" s="176"/>
      <c r="S7873" s="176"/>
      <c r="T7873" s="190"/>
      <c r="U7873" s="191"/>
      <c r="V7873" s="191">
        <f>+Table1[[#This Row],[SUBTOTAL]]+Table1[[#This Row],[IVA]]-Table1[[#This Row],[RET IVA]]-Table1[[#This Row],[RET ISR]]</f>
        <v>0</v>
      </c>
      <c r="W7873" s="185"/>
      <c r="X7873" s="186"/>
      <c r="Y7873" s="187"/>
      <c r="Z7873" s="204">
        <f>+Table1[[#This Row],[CONCEPTO]]+Table1[[#This Row],[TIPO2]]-Table1[[#This Row],[IVA]]-Table1[[#This Row],[OTROS IMPUESTOS]]-Table1[[#This Row],[RET IVA]]</f>
        <v>0</v>
      </c>
      <c r="AB7873" t="str">
        <f>IF(Table1[[#This Row],[TIPO2]]="costo", VLOOKUP(Table1[[#This Row],[PARTIDA PRESUPUESTAL]],'Cost Report'!G:G,1,0),"Balance")</f>
        <v>Balance</v>
      </c>
      <c r="AD7873" s="159">
        <f>+Table1[[#This Row],[SUBTOTAL]]+Table1[[#This Row],[IVA]]-Table1[[#This Row],[RET IVA]]-Table1[[#This Row],[RET ISR]]-Table1[[#This Row],[TOTAL]]</f>
        <v>0</v>
      </c>
    </row>
    <row r="7874" spans="1:30">
      <c r="A7874" s="172"/>
      <c r="B7874" s="178"/>
      <c r="C7874" s="179"/>
      <c r="D7874" s="180"/>
      <c r="E7874" s="125"/>
      <c r="F7874" s="178"/>
      <c r="G7874" s="178"/>
      <c r="H7874" s="178"/>
      <c r="I7874" s="178"/>
      <c r="J7874" s="178"/>
      <c r="K7874" s="178"/>
      <c r="L7874" s="125"/>
      <c r="M7874" s="125"/>
      <c r="N7874" s="182"/>
      <c r="O7874" s="177"/>
      <c r="P7874" s="176"/>
      <c r="Q7874" s="176"/>
      <c r="R7874" s="176"/>
      <c r="S7874" s="176"/>
      <c r="T7874" s="190"/>
      <c r="U7874" s="191"/>
      <c r="V7874" s="191">
        <f>+Table1[[#This Row],[SUBTOTAL]]+Table1[[#This Row],[IVA]]-Table1[[#This Row],[RET IVA]]-Table1[[#This Row],[RET ISR]]</f>
        <v>0</v>
      </c>
      <c r="W7874" s="185"/>
      <c r="X7874" s="186"/>
      <c r="Y7874" s="187"/>
      <c r="Z7874" s="204">
        <f>+Table1[[#This Row],[CONCEPTO]]+Table1[[#This Row],[TIPO2]]-Table1[[#This Row],[IVA]]-Table1[[#This Row],[OTROS IMPUESTOS]]-Table1[[#This Row],[RET IVA]]</f>
        <v>0</v>
      </c>
      <c r="AB7874" t="str">
        <f>IF(Table1[[#This Row],[TIPO2]]="costo", VLOOKUP(Table1[[#This Row],[PARTIDA PRESUPUESTAL]],'Cost Report'!G:G,1,0),"Balance")</f>
        <v>Balance</v>
      </c>
      <c r="AD7874" s="159">
        <f>+Table1[[#This Row],[SUBTOTAL]]+Table1[[#This Row],[IVA]]-Table1[[#This Row],[RET IVA]]-Table1[[#This Row],[RET ISR]]-Table1[[#This Row],[TOTAL]]</f>
        <v>0</v>
      </c>
    </row>
    <row r="7875" spans="1:30">
      <c r="A7875" s="172"/>
      <c r="B7875" s="178"/>
      <c r="C7875" s="179"/>
      <c r="D7875" s="180"/>
      <c r="E7875" s="125"/>
      <c r="F7875" s="178"/>
      <c r="G7875" s="178"/>
      <c r="H7875" s="178"/>
      <c r="I7875" s="178"/>
      <c r="J7875" s="178"/>
      <c r="K7875" s="178"/>
      <c r="L7875" s="125"/>
      <c r="M7875" s="125"/>
      <c r="N7875" s="182"/>
      <c r="O7875" s="177"/>
      <c r="P7875" s="176"/>
      <c r="Q7875" s="176"/>
      <c r="R7875" s="176"/>
      <c r="S7875" s="176"/>
      <c r="T7875" s="190"/>
      <c r="U7875" s="191"/>
      <c r="V7875" s="191">
        <f>+Table1[[#This Row],[SUBTOTAL]]+Table1[[#This Row],[IVA]]-Table1[[#This Row],[RET IVA]]-Table1[[#This Row],[RET ISR]]</f>
        <v>0</v>
      </c>
      <c r="W7875" s="185"/>
      <c r="X7875" s="186"/>
      <c r="Y7875" s="187"/>
      <c r="Z7875" s="204">
        <f>+Table1[[#This Row],[CONCEPTO]]+Table1[[#This Row],[TIPO2]]-Table1[[#This Row],[IVA]]-Table1[[#This Row],[OTROS IMPUESTOS]]-Table1[[#This Row],[RET IVA]]</f>
        <v>0</v>
      </c>
      <c r="AB7875" t="str">
        <f>IF(Table1[[#This Row],[TIPO2]]="costo", VLOOKUP(Table1[[#This Row],[PARTIDA PRESUPUESTAL]],'Cost Report'!G:G,1,0),"Balance")</f>
        <v>Balance</v>
      </c>
      <c r="AD7875" s="159">
        <f>+Table1[[#This Row],[SUBTOTAL]]+Table1[[#This Row],[IVA]]-Table1[[#This Row],[RET IVA]]-Table1[[#This Row],[RET ISR]]-Table1[[#This Row],[TOTAL]]</f>
        <v>0</v>
      </c>
    </row>
    <row r="7876" spans="1:30">
      <c r="A7876" s="172"/>
      <c r="B7876" s="178"/>
      <c r="C7876" s="179"/>
      <c r="D7876" s="180"/>
      <c r="E7876" s="125"/>
      <c r="F7876" s="178"/>
      <c r="G7876" s="178"/>
      <c r="H7876" s="178"/>
      <c r="I7876" s="178"/>
      <c r="J7876" s="178"/>
      <c r="K7876" s="178"/>
      <c r="L7876" s="125"/>
      <c r="M7876" s="125"/>
      <c r="N7876" s="182"/>
      <c r="O7876" s="177"/>
      <c r="P7876" s="176"/>
      <c r="Q7876" s="176"/>
      <c r="R7876" s="176"/>
      <c r="S7876" s="176"/>
      <c r="T7876" s="190"/>
      <c r="U7876" s="191"/>
      <c r="V7876" s="191">
        <f>+Table1[[#This Row],[SUBTOTAL]]+Table1[[#This Row],[IVA]]-Table1[[#This Row],[RET IVA]]-Table1[[#This Row],[RET ISR]]</f>
        <v>0</v>
      </c>
      <c r="W7876" s="185"/>
      <c r="X7876" s="186"/>
      <c r="Y7876" s="187"/>
      <c r="Z7876" s="204">
        <f>+Table1[[#This Row],[CONCEPTO]]+Table1[[#This Row],[TIPO2]]-Table1[[#This Row],[IVA]]-Table1[[#This Row],[OTROS IMPUESTOS]]-Table1[[#This Row],[RET IVA]]</f>
        <v>0</v>
      </c>
      <c r="AB7876" t="str">
        <f>IF(Table1[[#This Row],[TIPO2]]="costo", VLOOKUP(Table1[[#This Row],[PARTIDA PRESUPUESTAL]],'Cost Report'!G:G,1,0),"Balance")</f>
        <v>Balance</v>
      </c>
      <c r="AD7876" s="159">
        <f>+Table1[[#This Row],[SUBTOTAL]]+Table1[[#This Row],[IVA]]-Table1[[#This Row],[RET IVA]]-Table1[[#This Row],[RET ISR]]-Table1[[#This Row],[TOTAL]]</f>
        <v>0</v>
      </c>
    </row>
    <row r="7877" spans="1:30">
      <c r="A7877" s="172"/>
      <c r="B7877" s="178"/>
      <c r="C7877" s="179"/>
      <c r="D7877" s="180"/>
      <c r="E7877" s="125"/>
      <c r="F7877" s="178"/>
      <c r="G7877" s="178"/>
      <c r="H7877" s="178"/>
      <c r="I7877" s="178"/>
      <c r="J7877" s="178"/>
      <c r="K7877" s="178"/>
      <c r="L7877" s="125"/>
      <c r="M7877" s="125"/>
      <c r="N7877" s="182"/>
      <c r="O7877" s="177"/>
      <c r="P7877" s="176"/>
      <c r="Q7877" s="176"/>
      <c r="R7877" s="176"/>
      <c r="S7877" s="176"/>
      <c r="T7877" s="190"/>
      <c r="U7877" s="191"/>
      <c r="V7877" s="191">
        <f>+Table1[[#This Row],[SUBTOTAL]]+Table1[[#This Row],[IVA]]-Table1[[#This Row],[RET IVA]]-Table1[[#This Row],[RET ISR]]</f>
        <v>0</v>
      </c>
      <c r="W7877" s="185"/>
      <c r="X7877" s="186"/>
      <c r="Y7877" s="187"/>
      <c r="Z7877" s="204">
        <f>+Table1[[#This Row],[CONCEPTO]]+Table1[[#This Row],[TIPO2]]-Table1[[#This Row],[IVA]]-Table1[[#This Row],[OTROS IMPUESTOS]]-Table1[[#This Row],[RET IVA]]</f>
        <v>0</v>
      </c>
      <c r="AB7877" t="str">
        <f>IF(Table1[[#This Row],[TIPO2]]="costo", VLOOKUP(Table1[[#This Row],[PARTIDA PRESUPUESTAL]],'Cost Report'!G:G,1,0),"Balance")</f>
        <v>Balance</v>
      </c>
      <c r="AD7877" s="159">
        <f>+Table1[[#This Row],[SUBTOTAL]]+Table1[[#This Row],[IVA]]-Table1[[#This Row],[RET IVA]]-Table1[[#This Row],[RET ISR]]-Table1[[#This Row],[TOTAL]]</f>
        <v>0</v>
      </c>
    </row>
    <row r="7878" spans="1:30">
      <c r="A7878" s="172"/>
      <c r="B7878" s="178"/>
      <c r="C7878" s="179"/>
      <c r="D7878" s="180"/>
      <c r="E7878" s="125"/>
      <c r="F7878" s="178"/>
      <c r="G7878" s="178"/>
      <c r="H7878" s="178"/>
      <c r="I7878" s="178"/>
      <c r="J7878" s="178"/>
      <c r="K7878" s="178"/>
      <c r="L7878" s="125"/>
      <c r="M7878" s="125"/>
      <c r="N7878" s="182"/>
      <c r="O7878" s="177"/>
      <c r="P7878" s="176"/>
      <c r="Q7878" s="176"/>
      <c r="R7878" s="176"/>
      <c r="S7878" s="176"/>
      <c r="T7878" s="190"/>
      <c r="U7878" s="191"/>
      <c r="V7878" s="191">
        <f>+Table1[[#This Row],[SUBTOTAL]]+Table1[[#This Row],[IVA]]-Table1[[#This Row],[RET IVA]]-Table1[[#This Row],[RET ISR]]</f>
        <v>0</v>
      </c>
      <c r="W7878" s="185"/>
      <c r="X7878" s="186"/>
      <c r="Y7878" s="187"/>
      <c r="Z7878" s="204">
        <f>+Table1[[#This Row],[CONCEPTO]]+Table1[[#This Row],[TIPO2]]-Table1[[#This Row],[IVA]]-Table1[[#This Row],[OTROS IMPUESTOS]]-Table1[[#This Row],[RET IVA]]</f>
        <v>0</v>
      </c>
      <c r="AB7878" t="str">
        <f>IF(Table1[[#This Row],[TIPO2]]="costo", VLOOKUP(Table1[[#This Row],[PARTIDA PRESUPUESTAL]],'Cost Report'!G:G,1,0),"Balance")</f>
        <v>Balance</v>
      </c>
      <c r="AD7878" s="159">
        <f>+Table1[[#This Row],[SUBTOTAL]]+Table1[[#This Row],[IVA]]-Table1[[#This Row],[RET IVA]]-Table1[[#This Row],[RET ISR]]-Table1[[#This Row],[TOTAL]]</f>
        <v>0</v>
      </c>
    </row>
    <row r="7879" spans="1:30">
      <c r="A7879" s="172"/>
      <c r="B7879" s="178"/>
      <c r="C7879" s="179"/>
      <c r="D7879" s="180"/>
      <c r="E7879" s="125"/>
      <c r="F7879" s="178"/>
      <c r="G7879" s="178"/>
      <c r="H7879" s="178"/>
      <c r="I7879" s="178"/>
      <c r="J7879" s="178"/>
      <c r="K7879" s="178"/>
      <c r="L7879" s="125"/>
      <c r="M7879" s="125"/>
      <c r="N7879" s="182"/>
      <c r="O7879" s="177"/>
      <c r="P7879" s="176"/>
      <c r="Q7879" s="176"/>
      <c r="R7879" s="176"/>
      <c r="S7879" s="176"/>
      <c r="T7879" s="190"/>
      <c r="U7879" s="191"/>
      <c r="V7879" s="191">
        <f>+Table1[[#This Row],[SUBTOTAL]]+Table1[[#This Row],[IVA]]-Table1[[#This Row],[RET IVA]]-Table1[[#This Row],[RET ISR]]</f>
        <v>0</v>
      </c>
      <c r="W7879" s="185"/>
      <c r="X7879" s="186"/>
      <c r="Y7879" s="187"/>
      <c r="Z7879" s="204">
        <f>+Table1[[#This Row],[CONCEPTO]]+Table1[[#This Row],[TIPO2]]-Table1[[#This Row],[IVA]]-Table1[[#This Row],[OTROS IMPUESTOS]]-Table1[[#This Row],[RET IVA]]</f>
        <v>0</v>
      </c>
      <c r="AB7879" t="str">
        <f>IF(Table1[[#This Row],[TIPO2]]="costo", VLOOKUP(Table1[[#This Row],[PARTIDA PRESUPUESTAL]],'Cost Report'!G:G,1,0),"Balance")</f>
        <v>Balance</v>
      </c>
      <c r="AD7879" s="159">
        <f>+Table1[[#This Row],[SUBTOTAL]]+Table1[[#This Row],[IVA]]-Table1[[#This Row],[RET IVA]]-Table1[[#This Row],[RET ISR]]-Table1[[#This Row],[TOTAL]]</f>
        <v>0</v>
      </c>
    </row>
    <row r="7880" spans="1:30">
      <c r="A7880" s="172"/>
      <c r="B7880" s="178"/>
      <c r="C7880" s="179"/>
      <c r="D7880" s="180"/>
      <c r="E7880" s="125"/>
      <c r="F7880" s="178"/>
      <c r="G7880" s="178"/>
      <c r="H7880" s="178"/>
      <c r="I7880" s="178"/>
      <c r="J7880" s="178"/>
      <c r="K7880" s="178"/>
      <c r="L7880" s="125"/>
      <c r="M7880" s="125"/>
      <c r="N7880" s="182"/>
      <c r="O7880" s="177"/>
      <c r="P7880" s="176"/>
      <c r="Q7880" s="176"/>
      <c r="R7880" s="176"/>
      <c r="S7880" s="176"/>
      <c r="T7880" s="190"/>
      <c r="U7880" s="191"/>
      <c r="V7880" s="191">
        <f>+Table1[[#This Row],[SUBTOTAL]]+Table1[[#This Row],[IVA]]-Table1[[#This Row],[RET IVA]]-Table1[[#This Row],[RET ISR]]</f>
        <v>0</v>
      </c>
      <c r="W7880" s="185"/>
      <c r="X7880" s="186"/>
      <c r="Y7880" s="187"/>
      <c r="Z7880" s="204">
        <f>+Table1[[#This Row],[CONCEPTO]]+Table1[[#This Row],[TIPO2]]-Table1[[#This Row],[IVA]]-Table1[[#This Row],[OTROS IMPUESTOS]]-Table1[[#This Row],[RET IVA]]</f>
        <v>0</v>
      </c>
      <c r="AB7880" t="str">
        <f>IF(Table1[[#This Row],[TIPO2]]="costo", VLOOKUP(Table1[[#This Row],[PARTIDA PRESUPUESTAL]],'Cost Report'!G:G,1,0),"Balance")</f>
        <v>Balance</v>
      </c>
      <c r="AD7880" s="159">
        <f>+Table1[[#This Row],[SUBTOTAL]]+Table1[[#This Row],[IVA]]-Table1[[#This Row],[RET IVA]]-Table1[[#This Row],[RET ISR]]-Table1[[#This Row],[TOTAL]]</f>
        <v>0</v>
      </c>
    </row>
    <row r="7881" spans="1:30">
      <c r="A7881" s="172"/>
      <c r="B7881" s="178"/>
      <c r="C7881" s="179"/>
      <c r="D7881" s="180"/>
      <c r="E7881" s="125"/>
      <c r="F7881" s="178"/>
      <c r="G7881" s="178"/>
      <c r="H7881" s="178"/>
      <c r="I7881" s="178"/>
      <c r="J7881" s="178"/>
      <c r="K7881" s="178"/>
      <c r="L7881" s="125"/>
      <c r="M7881" s="125"/>
      <c r="N7881" s="182"/>
      <c r="O7881" s="177"/>
      <c r="P7881" s="176"/>
      <c r="Q7881" s="176"/>
      <c r="R7881" s="176"/>
      <c r="S7881" s="176"/>
      <c r="T7881" s="190"/>
      <c r="U7881" s="191"/>
      <c r="V7881" s="191">
        <f>+Table1[[#This Row],[SUBTOTAL]]+Table1[[#This Row],[IVA]]-Table1[[#This Row],[RET IVA]]-Table1[[#This Row],[RET ISR]]</f>
        <v>0</v>
      </c>
      <c r="W7881" s="185"/>
      <c r="X7881" s="186"/>
      <c r="Y7881" s="187"/>
      <c r="Z7881" s="204">
        <f>+Table1[[#This Row],[CONCEPTO]]+Table1[[#This Row],[TIPO2]]-Table1[[#This Row],[IVA]]-Table1[[#This Row],[OTROS IMPUESTOS]]-Table1[[#This Row],[RET IVA]]</f>
        <v>0</v>
      </c>
      <c r="AB7881" t="str">
        <f>IF(Table1[[#This Row],[TIPO2]]="costo", VLOOKUP(Table1[[#This Row],[PARTIDA PRESUPUESTAL]],'Cost Report'!G:G,1,0),"Balance")</f>
        <v>Balance</v>
      </c>
      <c r="AD7881" s="159">
        <f>+Table1[[#This Row],[SUBTOTAL]]+Table1[[#This Row],[IVA]]-Table1[[#This Row],[RET IVA]]-Table1[[#This Row],[RET ISR]]-Table1[[#This Row],[TOTAL]]</f>
        <v>0</v>
      </c>
    </row>
    <row r="7882" spans="1:30">
      <c r="A7882" s="172"/>
      <c r="B7882" s="178"/>
      <c r="C7882" s="179"/>
      <c r="D7882" s="180"/>
      <c r="E7882" s="125"/>
      <c r="F7882" s="178"/>
      <c r="G7882" s="178"/>
      <c r="H7882" s="178"/>
      <c r="I7882" s="178"/>
      <c r="J7882" s="178"/>
      <c r="K7882" s="178"/>
      <c r="L7882" s="125"/>
      <c r="M7882" s="125"/>
      <c r="N7882" s="182"/>
      <c r="O7882" s="177"/>
      <c r="P7882" s="176"/>
      <c r="Q7882" s="176"/>
      <c r="R7882" s="176"/>
      <c r="S7882" s="176"/>
      <c r="T7882" s="190"/>
      <c r="U7882" s="191"/>
      <c r="V7882" s="191">
        <f>+Table1[[#This Row],[SUBTOTAL]]+Table1[[#This Row],[IVA]]-Table1[[#This Row],[RET IVA]]-Table1[[#This Row],[RET ISR]]</f>
        <v>0</v>
      </c>
      <c r="W7882" s="185"/>
      <c r="X7882" s="186"/>
      <c r="Y7882" s="187"/>
      <c r="Z7882" s="204">
        <f>+Table1[[#This Row],[CONCEPTO]]+Table1[[#This Row],[TIPO2]]-Table1[[#This Row],[IVA]]-Table1[[#This Row],[OTROS IMPUESTOS]]-Table1[[#This Row],[RET IVA]]</f>
        <v>0</v>
      </c>
      <c r="AB7882" t="str">
        <f>IF(Table1[[#This Row],[TIPO2]]="costo", VLOOKUP(Table1[[#This Row],[PARTIDA PRESUPUESTAL]],'Cost Report'!G:G,1,0),"Balance")</f>
        <v>Balance</v>
      </c>
      <c r="AD7882" s="159">
        <f>+Table1[[#This Row],[SUBTOTAL]]+Table1[[#This Row],[IVA]]-Table1[[#This Row],[RET IVA]]-Table1[[#This Row],[RET ISR]]-Table1[[#This Row],[TOTAL]]</f>
        <v>0</v>
      </c>
    </row>
    <row r="7883" spans="1:30">
      <c r="A7883" s="172"/>
      <c r="B7883" s="178"/>
      <c r="C7883" s="179"/>
      <c r="D7883" s="180"/>
      <c r="E7883" s="125"/>
      <c r="F7883" s="178"/>
      <c r="G7883" s="178"/>
      <c r="H7883" s="178"/>
      <c r="I7883" s="178"/>
      <c r="J7883" s="178"/>
      <c r="K7883" s="178"/>
      <c r="L7883" s="125"/>
      <c r="M7883" s="125"/>
      <c r="N7883" s="182"/>
      <c r="O7883" s="177"/>
      <c r="P7883" s="176"/>
      <c r="Q7883" s="176"/>
      <c r="R7883" s="176"/>
      <c r="S7883" s="176"/>
      <c r="T7883" s="190"/>
      <c r="U7883" s="191"/>
      <c r="V7883" s="191">
        <f>+Table1[[#This Row],[SUBTOTAL]]+Table1[[#This Row],[IVA]]-Table1[[#This Row],[RET IVA]]-Table1[[#This Row],[RET ISR]]</f>
        <v>0</v>
      </c>
      <c r="W7883" s="185"/>
      <c r="X7883" s="186"/>
      <c r="Y7883" s="187"/>
      <c r="Z7883" s="204">
        <f>+Table1[[#This Row],[CONCEPTO]]+Table1[[#This Row],[TIPO2]]-Table1[[#This Row],[IVA]]-Table1[[#This Row],[OTROS IMPUESTOS]]-Table1[[#This Row],[RET IVA]]</f>
        <v>0</v>
      </c>
      <c r="AB7883" t="str">
        <f>IF(Table1[[#This Row],[TIPO2]]="costo", VLOOKUP(Table1[[#This Row],[PARTIDA PRESUPUESTAL]],'Cost Report'!G:G,1,0),"Balance")</f>
        <v>Balance</v>
      </c>
      <c r="AD7883" s="159">
        <f>+Table1[[#This Row],[SUBTOTAL]]+Table1[[#This Row],[IVA]]-Table1[[#This Row],[RET IVA]]-Table1[[#This Row],[RET ISR]]-Table1[[#This Row],[TOTAL]]</f>
        <v>0</v>
      </c>
    </row>
    <row r="7884" spans="1:30">
      <c r="A7884" s="172"/>
      <c r="B7884" s="178"/>
      <c r="C7884" s="179"/>
      <c r="D7884" s="180"/>
      <c r="E7884" s="125"/>
      <c r="F7884" s="178"/>
      <c r="G7884" s="178"/>
      <c r="H7884" s="178"/>
      <c r="I7884" s="178"/>
      <c r="J7884" s="178"/>
      <c r="K7884" s="178"/>
      <c r="L7884" s="125"/>
      <c r="M7884" s="125"/>
      <c r="N7884" s="182"/>
      <c r="O7884" s="177"/>
      <c r="P7884" s="176"/>
      <c r="Q7884" s="176"/>
      <c r="R7884" s="176"/>
      <c r="S7884" s="176"/>
      <c r="T7884" s="190"/>
      <c r="U7884" s="191"/>
      <c r="V7884" s="191">
        <f>+Table1[[#This Row],[SUBTOTAL]]+Table1[[#This Row],[IVA]]-Table1[[#This Row],[RET IVA]]-Table1[[#This Row],[RET ISR]]</f>
        <v>0</v>
      </c>
      <c r="W7884" s="185"/>
      <c r="X7884" s="186"/>
      <c r="Y7884" s="187"/>
      <c r="Z7884" s="204">
        <f>+Table1[[#This Row],[CONCEPTO]]+Table1[[#This Row],[TIPO2]]-Table1[[#This Row],[IVA]]-Table1[[#This Row],[OTROS IMPUESTOS]]-Table1[[#This Row],[RET IVA]]</f>
        <v>0</v>
      </c>
      <c r="AB7884" t="str">
        <f>IF(Table1[[#This Row],[TIPO2]]="costo", VLOOKUP(Table1[[#This Row],[PARTIDA PRESUPUESTAL]],'Cost Report'!G:G,1,0),"Balance")</f>
        <v>Balance</v>
      </c>
      <c r="AD7884" s="159">
        <f>+Table1[[#This Row],[SUBTOTAL]]+Table1[[#This Row],[IVA]]-Table1[[#This Row],[RET IVA]]-Table1[[#This Row],[RET ISR]]-Table1[[#This Row],[TOTAL]]</f>
        <v>0</v>
      </c>
    </row>
    <row r="7885" spans="1:30">
      <c r="A7885" s="172"/>
      <c r="B7885" s="178"/>
      <c r="C7885" s="179"/>
      <c r="D7885" s="180"/>
      <c r="E7885" s="125"/>
      <c r="F7885" s="178"/>
      <c r="G7885" s="178"/>
      <c r="H7885" s="178"/>
      <c r="I7885" s="178"/>
      <c r="J7885" s="178"/>
      <c r="K7885" s="178"/>
      <c r="L7885" s="125"/>
      <c r="M7885" s="125"/>
      <c r="N7885" s="182"/>
      <c r="O7885" s="177"/>
      <c r="P7885" s="176"/>
      <c r="Q7885" s="176"/>
      <c r="R7885" s="176"/>
      <c r="S7885" s="176"/>
      <c r="T7885" s="190"/>
      <c r="U7885" s="191"/>
      <c r="V7885" s="191">
        <f>+Table1[[#This Row],[SUBTOTAL]]+Table1[[#This Row],[IVA]]-Table1[[#This Row],[RET IVA]]-Table1[[#This Row],[RET ISR]]</f>
        <v>0</v>
      </c>
      <c r="W7885" s="185"/>
      <c r="X7885" s="186"/>
      <c r="Y7885" s="187"/>
      <c r="Z7885" s="204">
        <f>+Table1[[#This Row],[CONCEPTO]]+Table1[[#This Row],[TIPO2]]-Table1[[#This Row],[IVA]]-Table1[[#This Row],[OTROS IMPUESTOS]]-Table1[[#This Row],[RET IVA]]</f>
        <v>0</v>
      </c>
      <c r="AB7885" t="str">
        <f>IF(Table1[[#This Row],[TIPO2]]="costo", VLOOKUP(Table1[[#This Row],[PARTIDA PRESUPUESTAL]],'Cost Report'!G:G,1,0),"Balance")</f>
        <v>Balance</v>
      </c>
      <c r="AD7885" s="159">
        <f>+Table1[[#This Row],[SUBTOTAL]]+Table1[[#This Row],[IVA]]-Table1[[#This Row],[RET IVA]]-Table1[[#This Row],[RET ISR]]-Table1[[#This Row],[TOTAL]]</f>
        <v>0</v>
      </c>
    </row>
    <row r="7886" spans="1:30">
      <c r="A7886" s="172"/>
      <c r="B7886" s="178"/>
      <c r="C7886" s="179"/>
      <c r="D7886" s="180"/>
      <c r="E7886" s="125"/>
      <c r="F7886" s="178"/>
      <c r="G7886" s="178"/>
      <c r="H7886" s="178"/>
      <c r="I7886" s="178"/>
      <c r="J7886" s="178"/>
      <c r="K7886" s="178"/>
      <c r="L7886" s="125"/>
      <c r="M7886" s="125"/>
      <c r="N7886" s="182"/>
      <c r="O7886" s="177"/>
      <c r="P7886" s="176"/>
      <c r="Q7886" s="176"/>
      <c r="R7886" s="176"/>
      <c r="S7886" s="176"/>
      <c r="T7886" s="190"/>
      <c r="U7886" s="191"/>
      <c r="V7886" s="191">
        <f>+Table1[[#This Row],[SUBTOTAL]]+Table1[[#This Row],[IVA]]-Table1[[#This Row],[RET IVA]]-Table1[[#This Row],[RET ISR]]</f>
        <v>0</v>
      </c>
      <c r="W7886" s="185"/>
      <c r="X7886" s="186"/>
      <c r="Y7886" s="187"/>
      <c r="Z7886" s="204">
        <f>+Table1[[#This Row],[CONCEPTO]]+Table1[[#This Row],[TIPO2]]-Table1[[#This Row],[IVA]]-Table1[[#This Row],[OTROS IMPUESTOS]]-Table1[[#This Row],[RET IVA]]</f>
        <v>0</v>
      </c>
      <c r="AB7886" t="str">
        <f>IF(Table1[[#This Row],[TIPO2]]="costo", VLOOKUP(Table1[[#This Row],[PARTIDA PRESUPUESTAL]],'Cost Report'!G:G,1,0),"Balance")</f>
        <v>Balance</v>
      </c>
      <c r="AD7886" s="159">
        <f>+Table1[[#This Row],[SUBTOTAL]]+Table1[[#This Row],[IVA]]-Table1[[#This Row],[RET IVA]]-Table1[[#This Row],[RET ISR]]-Table1[[#This Row],[TOTAL]]</f>
        <v>0</v>
      </c>
    </row>
    <row r="7887" spans="1:30">
      <c r="A7887" s="172"/>
      <c r="B7887" s="178"/>
      <c r="C7887" s="179"/>
      <c r="D7887" s="180"/>
      <c r="E7887" s="125"/>
      <c r="F7887" s="178"/>
      <c r="G7887" s="178"/>
      <c r="H7887" s="178"/>
      <c r="I7887" s="178"/>
      <c r="J7887" s="178"/>
      <c r="K7887" s="178"/>
      <c r="L7887" s="125"/>
      <c r="M7887" s="125"/>
      <c r="N7887" s="182"/>
      <c r="O7887" s="177"/>
      <c r="P7887" s="176"/>
      <c r="Q7887" s="176"/>
      <c r="R7887" s="176"/>
      <c r="S7887" s="176"/>
      <c r="T7887" s="190"/>
      <c r="U7887" s="191"/>
      <c r="V7887" s="191">
        <f>+Table1[[#This Row],[SUBTOTAL]]+Table1[[#This Row],[IVA]]-Table1[[#This Row],[RET IVA]]-Table1[[#This Row],[RET ISR]]</f>
        <v>0</v>
      </c>
      <c r="W7887" s="185"/>
      <c r="X7887" s="186"/>
      <c r="Y7887" s="187"/>
      <c r="Z7887" s="204">
        <f>+Table1[[#This Row],[CONCEPTO]]+Table1[[#This Row],[TIPO2]]-Table1[[#This Row],[IVA]]-Table1[[#This Row],[OTROS IMPUESTOS]]-Table1[[#This Row],[RET IVA]]</f>
        <v>0</v>
      </c>
      <c r="AB7887" t="str">
        <f>IF(Table1[[#This Row],[TIPO2]]="costo", VLOOKUP(Table1[[#This Row],[PARTIDA PRESUPUESTAL]],'Cost Report'!G:G,1,0),"Balance")</f>
        <v>Balance</v>
      </c>
      <c r="AD7887" s="159">
        <f>+Table1[[#This Row],[SUBTOTAL]]+Table1[[#This Row],[IVA]]-Table1[[#This Row],[RET IVA]]-Table1[[#This Row],[RET ISR]]-Table1[[#This Row],[TOTAL]]</f>
        <v>0</v>
      </c>
    </row>
    <row r="7888" spans="1:30">
      <c r="A7888" s="172"/>
      <c r="B7888" s="178"/>
      <c r="C7888" s="179"/>
      <c r="D7888" s="180"/>
      <c r="E7888" s="125"/>
      <c r="F7888" s="178"/>
      <c r="G7888" s="178"/>
      <c r="H7888" s="178"/>
      <c r="I7888" s="178"/>
      <c r="J7888" s="178"/>
      <c r="K7888" s="178"/>
      <c r="L7888" s="125"/>
      <c r="M7888" s="125"/>
      <c r="N7888" s="182"/>
      <c r="O7888" s="177"/>
      <c r="P7888" s="233"/>
      <c r="Q7888" s="233"/>
      <c r="R7888" s="233"/>
      <c r="S7888" s="233"/>
      <c r="T7888" s="234"/>
      <c r="U7888" s="235"/>
      <c r="V7888" s="235"/>
      <c r="W7888" s="185"/>
      <c r="X7888" s="186"/>
      <c r="Y7888" s="304"/>
      <c r="Z7888" s="305"/>
      <c r="AD7888" s="159"/>
    </row>
  </sheetData>
  <phoneticPr fontId="7" type="noConversion"/>
  <conditionalFormatting sqref="A6581:A6604">
    <cfRule type="duplicateValues" dxfId="26" priority="204"/>
  </conditionalFormatting>
  <conditionalFormatting sqref="A6606:A6608">
    <cfRule type="duplicateValues" dxfId="25" priority="17"/>
  </conditionalFormatting>
  <conditionalFormatting sqref="A6612:A6613">
    <cfRule type="duplicateValues" dxfId="24" priority="14"/>
  </conditionalFormatting>
  <conditionalFormatting sqref="A6618">
    <cfRule type="duplicateValues" dxfId="23" priority="13"/>
  </conditionalFormatting>
  <conditionalFormatting sqref="A6620">
    <cfRule type="duplicateValues" dxfId="22" priority="12"/>
  </conditionalFormatting>
  <conditionalFormatting sqref="A6648">
    <cfRule type="duplicateValues" dxfId="21" priority="10"/>
    <cfRule type="duplicateValues" dxfId="20" priority="11"/>
  </conditionalFormatting>
  <conditionalFormatting sqref="A6687">
    <cfRule type="duplicateValues" dxfId="19" priority="7"/>
    <cfRule type="duplicateValues" dxfId="18" priority="8"/>
  </conditionalFormatting>
  <conditionalFormatting sqref="A6703">
    <cfRule type="duplicateValues" dxfId="17" priority="205"/>
  </conditionalFormatting>
  <conditionalFormatting sqref="Y6411:Y6518">
    <cfRule type="containsText" dxfId="16" priority="19" operator="containsText" text="PAGADO">
      <formula>NOT(ISERROR(SEARCH(("PAGADO"),(Y6411))))</formula>
    </cfRule>
  </conditionalFormatting>
  <conditionalFormatting sqref="Y6649">
    <cfRule type="containsText" dxfId="15" priority="9" operator="containsText" text="PAGADO">
      <formula>NOT(ISERROR(SEARCH(("PAGADO"),(Y6649))))</formula>
    </cfRule>
  </conditionalFormatting>
  <conditionalFormatting sqref="Y6704:Y6708">
    <cfRule type="containsText" dxfId="14" priority="3" operator="containsText" text="PAGADO">
      <formula>NOT(ISERROR(SEARCH(("PAGADO"),(Y6704))))</formula>
    </cfRule>
  </conditionalFormatting>
  <conditionalFormatting sqref="Y6727:Y6734">
    <cfRule type="containsText" dxfId="13" priority="2" operator="containsText" text="PAGADO">
      <formula>NOT(ISERROR(SEARCH(("PAGADO"),(Y6727))))</formula>
    </cfRule>
  </conditionalFormatting>
  <conditionalFormatting sqref="Y6747:Y6749">
    <cfRule type="containsText" dxfId="12" priority="1" operator="containsText" text="PAGADO">
      <formula>NOT(ISERROR(SEARCH(("PAGADO"),(Y6747))))</formula>
    </cfRule>
  </conditionalFormatting>
  <conditionalFormatting sqref="AE8:AE4894 A2:A6620">
    <cfRule type="duplicateValues" dxfId="11" priority="201"/>
  </conditionalFormatting>
  <conditionalFormatting sqref="AE6562 A6562:A6563">
    <cfRule type="duplicateValues" dxfId="10" priority="18"/>
  </conditionalFormatting>
  <conditionalFormatting sqref="AE6580 A6580">
    <cfRule type="duplicateValues" dxfId="9" priority="15"/>
  </conditionalFormatting>
  <dataValidations count="1">
    <dataValidation type="textLength" operator="lessThanOrEqual" allowBlank="1" showErrorMessage="1" errorTitle="Error" error="La Cuenta o Clabe capturada es incorrecta. Favor de Validarla." prompt="Captura Cuenta o Clabe" sqref="U1411:U1412 U1463 U1453:U1460 U1468:U1471 U1473 U1476:U1477 U1483:U1484 U1565" xr:uid="{8FDB9943-DCF1-3B4C-BC8C-1ABBB53599E9}">
      <formula1>18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6093:T6095" calculatedColumn="1"/>
  </ignoredErrors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77F86D-E3EF-174D-B5FD-941B29EE7549}">
          <x14:formula1>
            <xm:f>Budget!$K$2:$K$4</xm:f>
          </x14:formula1>
          <xm:sqref>N2:N48 N53:N170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CF46-BA45-634D-B377-F72C4ECF512F}">
  <sheetPr codeName="Sheet6">
    <tabColor theme="9"/>
  </sheetPr>
  <dimension ref="A1:G9"/>
  <sheetViews>
    <sheetView workbookViewId="0">
      <selection activeCell="I24" sqref="I24"/>
    </sheetView>
  </sheetViews>
  <sheetFormatPr baseColWidth="10" defaultRowHeight="15.6"/>
  <cols>
    <col min="1" max="4" width="25" customWidth="1"/>
    <col min="7" max="7" width="11.5" bestFit="1" customWidth="1"/>
  </cols>
  <sheetData>
    <row r="1" spans="1:7" ht="25.95" customHeight="1" thickBot="1">
      <c r="A1" s="93" t="s">
        <v>39</v>
      </c>
      <c r="B1" s="93" t="s">
        <v>93</v>
      </c>
      <c r="C1" s="93" t="s">
        <v>45</v>
      </c>
      <c r="D1" s="93" t="s">
        <v>94</v>
      </c>
      <c r="F1" s="116" t="s">
        <v>55</v>
      </c>
      <c r="G1" s="116" t="s">
        <v>94</v>
      </c>
    </row>
    <row r="2" spans="1:7">
      <c r="D2" s="107"/>
      <c r="E2" s="107"/>
      <c r="F2" s="107"/>
      <c r="G2" s="107"/>
    </row>
    <row r="3" spans="1:7">
      <c r="D3" s="107"/>
      <c r="E3" s="107"/>
      <c r="F3" s="107"/>
      <c r="G3" s="107"/>
    </row>
    <row r="4" spans="1:7">
      <c r="A4" s="1"/>
      <c r="D4" s="107"/>
      <c r="E4" s="107"/>
      <c r="F4" s="107"/>
      <c r="G4" s="107"/>
    </row>
    <row r="5" spans="1:7">
      <c r="A5" s="1"/>
      <c r="D5" s="107"/>
      <c r="E5" s="107"/>
      <c r="F5" s="107"/>
      <c r="G5" s="107"/>
    </row>
    <row r="6" spans="1:7">
      <c r="A6" s="1"/>
      <c r="D6" s="107"/>
      <c r="E6" s="107"/>
      <c r="F6" s="107"/>
      <c r="G6" s="107"/>
    </row>
    <row r="7" spans="1:7">
      <c r="A7" s="117"/>
      <c r="D7" s="107"/>
      <c r="E7" s="107"/>
      <c r="F7" s="107"/>
      <c r="G7" s="107"/>
    </row>
    <row r="8" spans="1:7">
      <c r="A8" s="117"/>
      <c r="D8" s="107"/>
      <c r="E8" s="107"/>
      <c r="F8" s="107"/>
      <c r="G8" s="107"/>
    </row>
    <row r="9" spans="1:7">
      <c r="D9" s="107"/>
      <c r="E9" s="107"/>
      <c r="F9" s="107"/>
      <c r="G9" s="10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31111-E100-5042-B0FF-13B1FA356B06}">
  <sheetPr codeName="Hoja2">
    <tabColor theme="3"/>
  </sheetPr>
  <dimension ref="A1:O212"/>
  <sheetViews>
    <sheetView workbookViewId="0">
      <selection activeCell="H7" sqref="H7"/>
    </sheetView>
  </sheetViews>
  <sheetFormatPr baseColWidth="10" defaultRowHeight="15.6"/>
  <cols>
    <col min="2" max="2" width="13" bestFit="1" customWidth="1"/>
    <col min="3" max="3" width="17.69921875" bestFit="1" customWidth="1"/>
    <col min="6" max="6" width="13" bestFit="1" customWidth="1"/>
    <col min="7" max="7" width="17.69921875" bestFit="1" customWidth="1"/>
    <col min="10" max="10" width="13" bestFit="1" customWidth="1"/>
    <col min="11" max="11" width="24.5" bestFit="1" customWidth="1"/>
    <col min="14" max="14" width="13" bestFit="1" customWidth="1"/>
    <col min="15" max="15" width="24.5" bestFit="1" customWidth="1"/>
  </cols>
  <sheetData>
    <row r="1" spans="1:15">
      <c r="B1" s="89" t="s">
        <v>3</v>
      </c>
      <c r="C1" t="s">
        <v>2117</v>
      </c>
      <c r="F1" s="89" t="s">
        <v>3</v>
      </c>
      <c r="G1" t="s">
        <v>2117</v>
      </c>
      <c r="J1" s="89" t="s">
        <v>3</v>
      </c>
      <c r="K1" t="s">
        <v>2117</v>
      </c>
      <c r="N1" s="89" t="s">
        <v>3</v>
      </c>
      <c r="O1" t="s">
        <v>2117</v>
      </c>
    </row>
    <row r="3" spans="1:15">
      <c r="B3" s="89" t="s">
        <v>81</v>
      </c>
      <c r="C3" t="s">
        <v>80</v>
      </c>
      <c r="F3" s="89" t="s">
        <v>81</v>
      </c>
      <c r="G3" t="s">
        <v>80</v>
      </c>
      <c r="J3" s="89" t="s">
        <v>81</v>
      </c>
      <c r="K3" t="s">
        <v>3690</v>
      </c>
      <c r="N3" s="89" t="s">
        <v>81</v>
      </c>
      <c r="O3" t="s">
        <v>3690</v>
      </c>
    </row>
    <row r="4" spans="1:15">
      <c r="A4">
        <v>1</v>
      </c>
      <c r="B4" s="90" t="s">
        <v>277</v>
      </c>
      <c r="C4">
        <v>-1194921.1999999997</v>
      </c>
      <c r="E4">
        <v>1</v>
      </c>
      <c r="F4" s="90" t="s">
        <v>981</v>
      </c>
      <c r="G4">
        <v>2610047.5440000007</v>
      </c>
      <c r="I4">
        <v>1</v>
      </c>
      <c r="J4" s="90" t="s">
        <v>1283</v>
      </c>
      <c r="K4">
        <v>-458343.24000000022</v>
      </c>
      <c r="M4">
        <v>1</v>
      </c>
      <c r="N4" s="90" t="s">
        <v>1387</v>
      </c>
      <c r="O4">
        <v>27000</v>
      </c>
    </row>
    <row r="5" spans="1:15">
      <c r="A5">
        <v>2</v>
      </c>
      <c r="B5" s="90" t="s">
        <v>1535</v>
      </c>
      <c r="C5">
        <v>-849515.52000000002</v>
      </c>
      <c r="E5">
        <v>2</v>
      </c>
      <c r="F5" s="90" t="s">
        <v>2463</v>
      </c>
      <c r="G5">
        <v>502980.31</v>
      </c>
      <c r="I5">
        <v>2</v>
      </c>
      <c r="J5" s="90" t="s">
        <v>413</v>
      </c>
      <c r="K5">
        <v>-9998.792999999976</v>
      </c>
      <c r="M5">
        <v>2</v>
      </c>
      <c r="N5" s="90" t="s">
        <v>2862</v>
      </c>
      <c r="O5">
        <v>170.04099999996834</v>
      </c>
    </row>
    <row r="6" spans="1:15">
      <c r="A6">
        <v>3</v>
      </c>
      <c r="B6" s="90" t="s">
        <v>391</v>
      </c>
      <c r="C6">
        <v>-831679.67800000019</v>
      </c>
      <c r="E6">
        <v>3</v>
      </c>
      <c r="F6" s="90" t="s">
        <v>1288</v>
      </c>
      <c r="G6">
        <v>400000</v>
      </c>
      <c r="I6">
        <v>3</v>
      </c>
      <c r="J6" s="90" t="s">
        <v>2441</v>
      </c>
      <c r="K6">
        <v>-8166.9869999999937</v>
      </c>
      <c r="M6">
        <v>3</v>
      </c>
      <c r="N6" s="90" t="s">
        <v>1403</v>
      </c>
      <c r="O6">
        <v>1.0000000009313226E-2</v>
      </c>
    </row>
    <row r="7" spans="1:15">
      <c r="A7">
        <v>4</v>
      </c>
      <c r="B7" s="90" t="s">
        <v>525</v>
      </c>
      <c r="C7">
        <v>-719865.60000000009</v>
      </c>
      <c r="E7">
        <v>4</v>
      </c>
      <c r="F7" s="90" t="s">
        <v>528</v>
      </c>
      <c r="G7">
        <v>292000</v>
      </c>
      <c r="I7">
        <v>4</v>
      </c>
      <c r="J7" s="90" t="s">
        <v>611</v>
      </c>
      <c r="K7">
        <v>-7715.4869999997318</v>
      </c>
      <c r="M7">
        <v>4</v>
      </c>
      <c r="N7" s="90" t="s">
        <v>1203</v>
      </c>
      <c r="O7">
        <v>0</v>
      </c>
    </row>
    <row r="8" spans="1:15">
      <c r="A8">
        <v>5</v>
      </c>
      <c r="B8" s="90" t="s">
        <v>827</v>
      </c>
      <c r="C8">
        <v>-634911.22</v>
      </c>
      <c r="E8">
        <v>5</v>
      </c>
      <c r="F8" s="90" t="s">
        <v>905</v>
      </c>
      <c r="G8">
        <v>269643</v>
      </c>
      <c r="I8">
        <v>5</v>
      </c>
      <c r="J8" s="90" t="s">
        <v>934</v>
      </c>
      <c r="K8">
        <v>-6571.9890000000014</v>
      </c>
      <c r="M8">
        <v>5</v>
      </c>
      <c r="N8" s="90" t="s">
        <v>2701</v>
      </c>
      <c r="O8">
        <v>0</v>
      </c>
    </row>
    <row r="9" spans="1:15">
      <c r="A9">
        <v>6</v>
      </c>
      <c r="B9" s="90" t="s">
        <v>1031</v>
      </c>
      <c r="C9">
        <v>-565043.4</v>
      </c>
      <c r="E9">
        <v>6</v>
      </c>
      <c r="F9" s="90" t="s">
        <v>1387</v>
      </c>
      <c r="G9">
        <v>239600</v>
      </c>
      <c r="I9">
        <v>6</v>
      </c>
      <c r="J9" s="90" t="s">
        <v>670</v>
      </c>
      <c r="K9">
        <v>-4340.7870000004768</v>
      </c>
      <c r="M9">
        <v>6</v>
      </c>
      <c r="N9" s="90" t="s">
        <v>731</v>
      </c>
      <c r="O9">
        <v>0</v>
      </c>
    </row>
    <row r="10" spans="1:15">
      <c r="A10">
        <v>7</v>
      </c>
      <c r="B10" s="90" t="s">
        <v>1283</v>
      </c>
      <c r="C10">
        <v>-417850.24</v>
      </c>
      <c r="E10">
        <v>7</v>
      </c>
      <c r="F10" s="90" t="s">
        <v>2862</v>
      </c>
      <c r="G10">
        <v>224078.76099999997</v>
      </c>
      <c r="I10">
        <v>7</v>
      </c>
      <c r="J10" s="90" t="s">
        <v>1396</v>
      </c>
      <c r="K10">
        <v>-4052.3980000000156</v>
      </c>
      <c r="M10">
        <v>7</v>
      </c>
      <c r="N10" s="90" t="s">
        <v>224</v>
      </c>
      <c r="O10">
        <v>0</v>
      </c>
    </row>
    <row r="11" spans="1:15">
      <c r="A11">
        <v>8</v>
      </c>
      <c r="B11" s="90" t="s">
        <v>1390</v>
      </c>
      <c r="C11">
        <v>-390000</v>
      </c>
      <c r="E11">
        <v>8</v>
      </c>
      <c r="F11" s="90" t="s">
        <v>3079</v>
      </c>
      <c r="G11">
        <v>216000</v>
      </c>
      <c r="I11">
        <v>8</v>
      </c>
      <c r="J11" s="90" t="s">
        <v>968</v>
      </c>
      <c r="K11">
        <v>-3834.311999999918</v>
      </c>
      <c r="M11">
        <v>8</v>
      </c>
      <c r="N11" s="90" t="s">
        <v>220</v>
      </c>
      <c r="O11">
        <v>0</v>
      </c>
    </row>
    <row r="12" spans="1:15">
      <c r="A12">
        <v>9</v>
      </c>
      <c r="B12" s="90" t="s">
        <v>918</v>
      </c>
      <c r="C12">
        <v>-283950.76</v>
      </c>
      <c r="E12">
        <v>9</v>
      </c>
      <c r="F12" s="90" t="s">
        <v>1396</v>
      </c>
      <c r="G12">
        <v>209541.82199999993</v>
      </c>
      <c r="I12">
        <v>9</v>
      </c>
      <c r="J12" s="90" t="s">
        <v>397</v>
      </c>
      <c r="K12">
        <v>-3000</v>
      </c>
      <c r="M12">
        <v>9</v>
      </c>
      <c r="N12" s="90" t="s">
        <v>226</v>
      </c>
      <c r="O12">
        <v>0</v>
      </c>
    </row>
    <row r="13" spans="1:15">
      <c r="A13">
        <v>10</v>
      </c>
      <c r="B13" s="90" t="s">
        <v>311</v>
      </c>
      <c r="C13">
        <v>-251532.17000000004</v>
      </c>
      <c r="E13">
        <v>10</v>
      </c>
      <c r="F13" s="90" t="s">
        <v>1793</v>
      </c>
      <c r="G13">
        <v>205200</v>
      </c>
      <c r="I13">
        <v>10</v>
      </c>
      <c r="J13" s="90" t="s">
        <v>1118</v>
      </c>
      <c r="K13">
        <v>-2946.8609999999753</v>
      </c>
      <c r="M13">
        <v>10</v>
      </c>
      <c r="N13" s="90" t="s">
        <v>1261</v>
      </c>
      <c r="O13">
        <v>0</v>
      </c>
    </row>
    <row r="14" spans="1:15">
      <c r="A14">
        <v>11</v>
      </c>
      <c r="B14" s="90" t="s">
        <v>1847</v>
      </c>
      <c r="C14">
        <v>-242700</v>
      </c>
      <c r="E14">
        <v>11</v>
      </c>
      <c r="F14" s="90" t="s">
        <v>373</v>
      </c>
      <c r="G14">
        <v>192188.64</v>
      </c>
      <c r="I14">
        <v>11</v>
      </c>
      <c r="J14" s="90" t="s">
        <v>1801</v>
      </c>
      <c r="K14">
        <v>-2698.2989999999845</v>
      </c>
      <c r="M14">
        <v>11</v>
      </c>
      <c r="N14" s="90" t="s">
        <v>232</v>
      </c>
      <c r="O14">
        <v>0</v>
      </c>
    </row>
    <row r="15" spans="1:15">
      <c r="A15">
        <v>12</v>
      </c>
      <c r="B15" s="90" t="s">
        <v>1803</v>
      </c>
      <c r="C15">
        <v>-206585.83000000002</v>
      </c>
      <c r="E15">
        <v>12</v>
      </c>
      <c r="F15" s="90" t="s">
        <v>1156</v>
      </c>
      <c r="G15">
        <v>191042.00000000003</v>
      </c>
      <c r="I15">
        <v>12</v>
      </c>
      <c r="J15" s="90" t="s">
        <v>638</v>
      </c>
      <c r="K15">
        <v>-2183.3039999999455</v>
      </c>
      <c r="M15">
        <v>12</v>
      </c>
      <c r="N15" s="90" t="s">
        <v>796</v>
      </c>
      <c r="O15">
        <v>0</v>
      </c>
    </row>
    <row r="16" spans="1:15">
      <c r="A16">
        <v>13</v>
      </c>
      <c r="B16" s="90" t="s">
        <v>968</v>
      </c>
      <c r="C16">
        <v>-191641.51200000031</v>
      </c>
      <c r="E16">
        <v>13</v>
      </c>
      <c r="F16" s="90" t="s">
        <v>2701</v>
      </c>
      <c r="G16">
        <v>190000</v>
      </c>
      <c r="I16">
        <v>13</v>
      </c>
      <c r="J16" s="90" t="s">
        <v>2434</v>
      </c>
      <c r="K16">
        <v>-1704.2250000000004</v>
      </c>
      <c r="M16">
        <v>13</v>
      </c>
      <c r="N16" s="90" t="s">
        <v>240</v>
      </c>
      <c r="O16">
        <v>0</v>
      </c>
    </row>
    <row r="17" spans="1:15">
      <c r="A17">
        <v>14</v>
      </c>
      <c r="B17" s="90" t="s">
        <v>361</v>
      </c>
      <c r="C17">
        <v>-187465.92999999996</v>
      </c>
      <c r="E17">
        <v>14</v>
      </c>
      <c r="F17" s="90" t="s">
        <v>611</v>
      </c>
      <c r="G17">
        <v>186630.43299999993</v>
      </c>
      <c r="I17">
        <v>14</v>
      </c>
      <c r="J17" s="90" t="s">
        <v>1400</v>
      </c>
      <c r="K17">
        <v>-1573.0380000000005</v>
      </c>
      <c r="M17">
        <v>14</v>
      </c>
      <c r="N17" s="90" t="s">
        <v>1847</v>
      </c>
      <c r="O17">
        <v>0</v>
      </c>
    </row>
    <row r="18" spans="1:15">
      <c r="A18">
        <v>15</v>
      </c>
      <c r="B18" s="90" t="s">
        <v>2940</v>
      </c>
      <c r="C18">
        <v>-160000</v>
      </c>
      <c r="E18">
        <v>15</v>
      </c>
      <c r="F18" s="90" t="s">
        <v>2875</v>
      </c>
      <c r="G18">
        <v>170000</v>
      </c>
      <c r="I18">
        <v>15</v>
      </c>
      <c r="J18" s="90" t="s">
        <v>389</v>
      </c>
      <c r="K18">
        <v>-1412.0100000000002</v>
      </c>
      <c r="M18">
        <v>15</v>
      </c>
      <c r="N18" s="90" t="s">
        <v>244</v>
      </c>
      <c r="O18">
        <v>0</v>
      </c>
    </row>
    <row r="19" spans="1:15">
      <c r="A19">
        <v>16</v>
      </c>
      <c r="B19" s="90" t="s">
        <v>638</v>
      </c>
      <c r="C19">
        <v>-159634.52399999986</v>
      </c>
      <c r="E19">
        <v>16</v>
      </c>
      <c r="F19" s="90" t="s">
        <v>782</v>
      </c>
      <c r="G19">
        <v>165858.63</v>
      </c>
      <c r="I19">
        <v>16</v>
      </c>
      <c r="J19" s="90" t="s">
        <v>1879</v>
      </c>
      <c r="K19">
        <v>-1388.8710000002757</v>
      </c>
      <c r="M19">
        <v>16</v>
      </c>
      <c r="N19" s="90" t="s">
        <v>1137</v>
      </c>
      <c r="O19">
        <v>0</v>
      </c>
    </row>
    <row r="20" spans="1:15">
      <c r="A20">
        <v>17</v>
      </c>
      <c r="B20" s="90" t="s">
        <v>1137</v>
      </c>
      <c r="C20">
        <v>-155435.29</v>
      </c>
      <c r="E20">
        <v>17</v>
      </c>
      <c r="F20" s="90" t="s">
        <v>352</v>
      </c>
      <c r="G20">
        <v>147790.69</v>
      </c>
      <c r="I20">
        <v>17</v>
      </c>
      <c r="J20" s="90" t="s">
        <v>386</v>
      </c>
      <c r="K20">
        <v>-1345.1969999999965</v>
      </c>
      <c r="M20">
        <v>17</v>
      </c>
      <c r="N20" s="90" t="s">
        <v>1787</v>
      </c>
      <c r="O20">
        <v>0</v>
      </c>
    </row>
    <row r="21" spans="1:15">
      <c r="A21">
        <v>18</v>
      </c>
      <c r="B21" s="90" t="s">
        <v>269</v>
      </c>
      <c r="C21">
        <v>-141746.45000000001</v>
      </c>
      <c r="E21">
        <v>18</v>
      </c>
      <c r="F21" s="90" t="s">
        <v>3076</v>
      </c>
      <c r="G21">
        <v>144000</v>
      </c>
      <c r="I21">
        <v>18</v>
      </c>
      <c r="J21" s="90" t="s">
        <v>636</v>
      </c>
      <c r="K21">
        <v>-985.79699999999139</v>
      </c>
      <c r="M21">
        <v>18</v>
      </c>
      <c r="N21" s="90" t="s">
        <v>1881</v>
      </c>
      <c r="O21">
        <v>0</v>
      </c>
    </row>
    <row r="22" spans="1:15">
      <c r="A22">
        <v>19</v>
      </c>
      <c r="B22" s="90" t="s">
        <v>2441</v>
      </c>
      <c r="C22">
        <v>-140735.81699999998</v>
      </c>
      <c r="E22">
        <v>19</v>
      </c>
      <c r="F22" s="90" t="s">
        <v>275</v>
      </c>
      <c r="G22">
        <v>132743.88</v>
      </c>
      <c r="I22">
        <v>19</v>
      </c>
      <c r="J22" s="90" t="s">
        <v>981</v>
      </c>
      <c r="K22">
        <v>-985.20000000018626</v>
      </c>
      <c r="M22">
        <v>19</v>
      </c>
      <c r="N22" s="90" t="s">
        <v>250</v>
      </c>
      <c r="O22">
        <v>0</v>
      </c>
    </row>
    <row r="23" spans="1:15">
      <c r="B23" s="90" t="s">
        <v>1864</v>
      </c>
      <c r="C23">
        <v>-140625.22000000012</v>
      </c>
      <c r="F23" s="90" t="s">
        <v>2858</v>
      </c>
      <c r="G23">
        <v>124757.89999999998</v>
      </c>
      <c r="J23" s="90" t="s">
        <v>619</v>
      </c>
      <c r="K23">
        <v>-842.40000000000873</v>
      </c>
      <c r="N23" s="90" t="s">
        <v>222</v>
      </c>
      <c r="O23">
        <v>0</v>
      </c>
    </row>
    <row r="24" spans="1:15">
      <c r="B24" s="90" t="s">
        <v>1102</v>
      </c>
      <c r="C24">
        <v>-124781</v>
      </c>
      <c r="F24" s="90" t="s">
        <v>418</v>
      </c>
      <c r="G24">
        <v>123897.28</v>
      </c>
      <c r="J24" s="90" t="s">
        <v>2858</v>
      </c>
      <c r="K24">
        <v>-737.10000000000582</v>
      </c>
      <c r="N24" s="90" t="s">
        <v>1288</v>
      </c>
      <c r="O24">
        <v>0</v>
      </c>
    </row>
    <row r="25" spans="1:15">
      <c r="B25" s="90" t="s">
        <v>1118</v>
      </c>
      <c r="C25">
        <v>-122606.94100000002</v>
      </c>
      <c r="F25" s="90" t="s">
        <v>754</v>
      </c>
      <c r="G25">
        <v>113295.02</v>
      </c>
      <c r="J25" s="90" t="s">
        <v>3106</v>
      </c>
      <c r="K25">
        <v>-583.79999999999927</v>
      </c>
      <c r="N25" s="90" t="s">
        <v>269</v>
      </c>
      <c r="O25">
        <v>0</v>
      </c>
    </row>
    <row r="26" spans="1:15">
      <c r="B26" s="90" t="s">
        <v>397</v>
      </c>
      <c r="C26">
        <v>-122168.59</v>
      </c>
      <c r="F26" s="90" t="s">
        <v>1114</v>
      </c>
      <c r="G26">
        <v>111500</v>
      </c>
      <c r="J26" s="90" t="s">
        <v>1179</v>
      </c>
      <c r="K26">
        <v>-424.29300000000148</v>
      </c>
      <c r="N26" s="90" t="s">
        <v>782</v>
      </c>
      <c r="O26">
        <v>0</v>
      </c>
    </row>
    <row r="27" spans="1:15">
      <c r="B27" s="90" t="s">
        <v>648</v>
      </c>
      <c r="C27">
        <v>-107200</v>
      </c>
      <c r="F27" s="90" t="s">
        <v>1411</v>
      </c>
      <c r="G27">
        <v>111300</v>
      </c>
      <c r="J27" s="90" t="s">
        <v>613</v>
      </c>
      <c r="K27">
        <v>-325.38000000000466</v>
      </c>
      <c r="N27" s="90" t="s">
        <v>1491</v>
      </c>
      <c r="O27">
        <v>0</v>
      </c>
    </row>
    <row r="28" spans="1:15">
      <c r="B28" s="90" t="s">
        <v>659</v>
      </c>
      <c r="C28">
        <v>-89640</v>
      </c>
      <c r="F28" s="90" t="s">
        <v>2328</v>
      </c>
      <c r="G28">
        <v>100000</v>
      </c>
      <c r="J28" s="90" t="s">
        <v>1864</v>
      </c>
      <c r="K28">
        <v>-217.19999999995343</v>
      </c>
      <c r="N28" s="90" t="s">
        <v>820</v>
      </c>
      <c r="O28">
        <v>0</v>
      </c>
    </row>
    <row r="29" spans="1:15">
      <c r="B29" s="90" t="s">
        <v>934</v>
      </c>
      <c r="C29">
        <v>-85085.489000000031</v>
      </c>
      <c r="F29" s="90" t="s">
        <v>2989</v>
      </c>
      <c r="G29">
        <v>97853.88</v>
      </c>
      <c r="J29" s="90" t="s">
        <v>608</v>
      </c>
      <c r="K29">
        <v>-174.30000000000291</v>
      </c>
      <c r="N29" s="90" t="s">
        <v>1793</v>
      </c>
      <c r="O29">
        <v>0</v>
      </c>
    </row>
    <row r="30" spans="1:15">
      <c r="B30" s="90" t="s">
        <v>488</v>
      </c>
      <c r="C30">
        <v>-79220.55</v>
      </c>
      <c r="F30" s="90" t="s">
        <v>1787</v>
      </c>
      <c r="G30">
        <v>92962.1</v>
      </c>
      <c r="J30" s="90" t="s">
        <v>648</v>
      </c>
      <c r="K30">
        <v>-120</v>
      </c>
      <c r="N30" s="90" t="s">
        <v>918</v>
      </c>
      <c r="O30">
        <v>0</v>
      </c>
    </row>
    <row r="31" spans="1:15">
      <c r="B31" s="90" t="s">
        <v>2216</v>
      </c>
      <c r="C31">
        <v>-77960.23000000001</v>
      </c>
      <c r="F31" s="90" t="s">
        <v>613</v>
      </c>
      <c r="G31">
        <v>91629.799999999988</v>
      </c>
      <c r="J31" s="90" t="s">
        <v>568</v>
      </c>
      <c r="K31">
        <v>-105.18600000000151</v>
      </c>
      <c r="N31" s="90" t="s">
        <v>275</v>
      </c>
      <c r="O31">
        <v>0</v>
      </c>
    </row>
    <row r="32" spans="1:15">
      <c r="B32" s="90" t="s">
        <v>472</v>
      </c>
      <c r="C32">
        <v>-75600</v>
      </c>
      <c r="F32" s="90" t="s">
        <v>727</v>
      </c>
      <c r="G32">
        <v>80000</v>
      </c>
      <c r="J32" s="90" t="s">
        <v>1856</v>
      </c>
      <c r="K32">
        <v>-101.92799999999988</v>
      </c>
      <c r="N32" s="90" t="s">
        <v>966</v>
      </c>
      <c r="O32">
        <v>0</v>
      </c>
    </row>
    <row r="33" spans="2:15">
      <c r="B33" s="90" t="s">
        <v>592</v>
      </c>
      <c r="C33">
        <v>-58096.66</v>
      </c>
      <c r="F33" s="90" t="s">
        <v>1270</v>
      </c>
      <c r="G33">
        <v>80000</v>
      </c>
      <c r="J33" s="90" t="s">
        <v>428</v>
      </c>
      <c r="K33">
        <v>-77.351999999999975</v>
      </c>
      <c r="N33" s="90" t="s">
        <v>277</v>
      </c>
      <c r="O33">
        <v>0</v>
      </c>
    </row>
    <row r="34" spans="2:15">
      <c r="B34" s="90" t="s">
        <v>250</v>
      </c>
      <c r="C34">
        <v>-45504.08</v>
      </c>
      <c r="F34" s="90" t="s">
        <v>788</v>
      </c>
      <c r="G34">
        <v>80000</v>
      </c>
      <c r="J34" s="90" t="s">
        <v>704</v>
      </c>
      <c r="K34">
        <v>-39.222000000008848</v>
      </c>
      <c r="N34" s="90" t="s">
        <v>2940</v>
      </c>
      <c r="O34">
        <v>0</v>
      </c>
    </row>
    <row r="35" spans="2:15">
      <c r="B35" s="90" t="s">
        <v>643</v>
      </c>
      <c r="C35">
        <v>-45453.750000000015</v>
      </c>
      <c r="F35" s="90" t="s">
        <v>2293</v>
      </c>
      <c r="G35">
        <v>78000</v>
      </c>
      <c r="J35" s="90" t="s">
        <v>1018</v>
      </c>
      <c r="K35">
        <v>-27</v>
      </c>
      <c r="N35" s="90" t="s">
        <v>311</v>
      </c>
      <c r="O35">
        <v>0</v>
      </c>
    </row>
    <row r="36" spans="2:15">
      <c r="B36" s="90" t="s">
        <v>438</v>
      </c>
      <c r="C36">
        <v>-42634</v>
      </c>
      <c r="F36" s="90" t="s">
        <v>378</v>
      </c>
      <c r="G36">
        <v>76800</v>
      </c>
      <c r="J36" s="90" t="s">
        <v>709</v>
      </c>
      <c r="K36">
        <v>0</v>
      </c>
      <c r="N36" s="90" t="s">
        <v>1185</v>
      </c>
      <c r="O36">
        <v>0</v>
      </c>
    </row>
    <row r="37" spans="2:15">
      <c r="B37" s="90" t="s">
        <v>908</v>
      </c>
      <c r="C37">
        <v>-36233.33</v>
      </c>
      <c r="F37" s="90" t="s">
        <v>421</v>
      </c>
      <c r="G37">
        <v>75408.41</v>
      </c>
      <c r="J37" s="90" t="s">
        <v>822</v>
      </c>
      <c r="K37">
        <v>0</v>
      </c>
      <c r="N37" s="90" t="s">
        <v>352</v>
      </c>
      <c r="O37">
        <v>0</v>
      </c>
    </row>
    <row r="38" spans="2:15">
      <c r="B38" s="90" t="s">
        <v>645</v>
      </c>
      <c r="C38">
        <v>-34400</v>
      </c>
      <c r="F38" s="90" t="s">
        <v>1182</v>
      </c>
      <c r="G38">
        <v>74511.109999999986</v>
      </c>
      <c r="J38" s="90" t="s">
        <v>418</v>
      </c>
      <c r="K38">
        <v>0</v>
      </c>
      <c r="N38" s="90" t="s">
        <v>1225</v>
      </c>
      <c r="O38">
        <v>0</v>
      </c>
    </row>
    <row r="39" spans="2:15">
      <c r="B39" s="90" t="s">
        <v>1195</v>
      </c>
      <c r="C39">
        <v>-33000</v>
      </c>
      <c r="F39" s="90" t="s">
        <v>2937</v>
      </c>
      <c r="G39">
        <v>73600</v>
      </c>
      <c r="J39" s="90" t="s">
        <v>1824</v>
      </c>
      <c r="K39">
        <v>0</v>
      </c>
      <c r="N39" s="90" t="s">
        <v>2216</v>
      </c>
      <c r="O39">
        <v>0</v>
      </c>
    </row>
    <row r="40" spans="2:15">
      <c r="B40" s="90" t="s">
        <v>796</v>
      </c>
      <c r="C40">
        <v>-32375.020000000011</v>
      </c>
      <c r="F40" s="90" t="s">
        <v>725</v>
      </c>
      <c r="G40">
        <v>71050</v>
      </c>
      <c r="J40" s="90" t="s">
        <v>226</v>
      </c>
      <c r="K40">
        <v>0</v>
      </c>
      <c r="N40" s="90" t="s">
        <v>1255</v>
      </c>
      <c r="O40">
        <v>0</v>
      </c>
    </row>
    <row r="41" spans="2:15">
      <c r="B41" s="90" t="s">
        <v>568</v>
      </c>
      <c r="C41">
        <v>-31213.206000000006</v>
      </c>
      <c r="F41" s="90" t="s">
        <v>409</v>
      </c>
      <c r="G41">
        <v>69327.19</v>
      </c>
      <c r="J41" s="90" t="s">
        <v>825</v>
      </c>
      <c r="K41">
        <v>0</v>
      </c>
      <c r="N41" s="90" t="s">
        <v>361</v>
      </c>
      <c r="O41">
        <v>0</v>
      </c>
    </row>
    <row r="42" spans="2:15">
      <c r="B42" s="90" t="s">
        <v>814</v>
      </c>
      <c r="C42">
        <v>-28583</v>
      </c>
      <c r="F42" s="90" t="s">
        <v>706</v>
      </c>
      <c r="G42">
        <v>67242.040000000008</v>
      </c>
      <c r="J42" s="90" t="s">
        <v>432</v>
      </c>
      <c r="K42">
        <v>0</v>
      </c>
      <c r="N42" s="90" t="s">
        <v>1280</v>
      </c>
      <c r="O42">
        <v>0</v>
      </c>
    </row>
    <row r="43" spans="2:15">
      <c r="B43" s="90" t="s">
        <v>514</v>
      </c>
      <c r="C43">
        <v>-28000</v>
      </c>
      <c r="F43" s="90" t="s">
        <v>709</v>
      </c>
      <c r="G43">
        <v>65696.750000000044</v>
      </c>
      <c r="J43" s="90" t="s">
        <v>2701</v>
      </c>
      <c r="K43">
        <v>0</v>
      </c>
      <c r="N43" s="90" t="s">
        <v>373</v>
      </c>
      <c r="O43">
        <v>0</v>
      </c>
    </row>
    <row r="44" spans="2:15">
      <c r="B44" s="90" t="s">
        <v>1018</v>
      </c>
      <c r="C44">
        <v>-26372.75</v>
      </c>
      <c r="F44" s="90" t="s">
        <v>1273</v>
      </c>
      <c r="G44">
        <v>65000</v>
      </c>
      <c r="J44" s="90" t="s">
        <v>442</v>
      </c>
      <c r="K44">
        <v>0</v>
      </c>
      <c r="N44" s="90" t="s">
        <v>3091</v>
      </c>
      <c r="O44">
        <v>0</v>
      </c>
    </row>
    <row r="45" spans="2:15">
      <c r="B45" s="90" t="s">
        <v>442</v>
      </c>
      <c r="C45">
        <v>-26250</v>
      </c>
      <c r="F45" s="90" t="s">
        <v>820</v>
      </c>
      <c r="G45">
        <v>60300</v>
      </c>
      <c r="J45" s="90" t="s">
        <v>827</v>
      </c>
      <c r="K45">
        <v>0</v>
      </c>
      <c r="N45" s="90" t="s">
        <v>2293</v>
      </c>
      <c r="O45">
        <v>0</v>
      </c>
    </row>
    <row r="46" spans="2:15">
      <c r="B46" s="90" t="s">
        <v>619</v>
      </c>
      <c r="C46">
        <v>-25933.850000000006</v>
      </c>
      <c r="F46" s="90" t="s">
        <v>1222</v>
      </c>
      <c r="G46">
        <v>55796.530000000006</v>
      </c>
      <c r="J46" s="90" t="s">
        <v>453</v>
      </c>
      <c r="K46">
        <v>0</v>
      </c>
      <c r="N46" s="90">
        <v>5221</v>
      </c>
      <c r="O46">
        <v>0</v>
      </c>
    </row>
    <row r="47" spans="2:15">
      <c r="B47" s="90" t="s">
        <v>482</v>
      </c>
      <c r="C47">
        <v>-23600</v>
      </c>
      <c r="F47" s="90" t="s">
        <v>672</v>
      </c>
      <c r="G47">
        <v>55050</v>
      </c>
      <c r="J47" s="90" t="s">
        <v>905</v>
      </c>
      <c r="K47">
        <v>0</v>
      </c>
      <c r="N47" s="90" t="s">
        <v>378</v>
      </c>
      <c r="O47">
        <v>0</v>
      </c>
    </row>
    <row r="48" spans="2:15">
      <c r="B48" s="90">
        <v>5221</v>
      </c>
      <c r="C48">
        <v>-22570</v>
      </c>
      <c r="F48" s="90" t="s">
        <v>825</v>
      </c>
      <c r="G48">
        <v>52734.559999999998</v>
      </c>
      <c r="J48" s="90" t="s">
        <v>463</v>
      </c>
      <c r="K48">
        <v>0</v>
      </c>
      <c r="N48" s="90" t="s">
        <v>754</v>
      </c>
      <c r="O48">
        <v>0</v>
      </c>
    </row>
    <row r="49" spans="2:15">
      <c r="B49" s="90" t="s">
        <v>573</v>
      </c>
      <c r="C49">
        <v>-22318.329999999998</v>
      </c>
      <c r="F49" s="90" t="s">
        <v>3067</v>
      </c>
      <c r="G49">
        <v>52015.53</v>
      </c>
      <c r="J49" s="90" t="s">
        <v>908</v>
      </c>
      <c r="K49">
        <v>0</v>
      </c>
      <c r="N49" s="90" t="s">
        <v>385</v>
      </c>
      <c r="O49">
        <v>0</v>
      </c>
    </row>
    <row r="50" spans="2:15">
      <c r="B50" s="90" t="s">
        <v>546</v>
      </c>
      <c r="C50">
        <v>-21630</v>
      </c>
      <c r="F50" s="90" t="s">
        <v>723</v>
      </c>
      <c r="G50">
        <v>50456.800000000003</v>
      </c>
      <c r="J50" s="90" t="s">
        <v>472</v>
      </c>
      <c r="K50">
        <v>0</v>
      </c>
      <c r="N50" s="90" t="s">
        <v>788</v>
      </c>
      <c r="O50">
        <v>0</v>
      </c>
    </row>
    <row r="51" spans="2:15">
      <c r="B51" s="90" t="s">
        <v>1111</v>
      </c>
      <c r="C51">
        <v>-21459.01999999999</v>
      </c>
      <c r="F51" s="90" t="s">
        <v>1241</v>
      </c>
      <c r="G51">
        <v>47500</v>
      </c>
      <c r="J51" s="90" t="s">
        <v>918</v>
      </c>
      <c r="K51">
        <v>0</v>
      </c>
      <c r="N51" s="90" t="s">
        <v>2328</v>
      </c>
      <c r="O51">
        <v>0</v>
      </c>
    </row>
    <row r="52" spans="2:15">
      <c r="B52" s="90" t="s">
        <v>2568</v>
      </c>
      <c r="C52">
        <v>-20978.25</v>
      </c>
      <c r="F52" s="90" t="s">
        <v>1408</v>
      </c>
      <c r="G52">
        <v>46000</v>
      </c>
      <c r="J52" s="90" t="s">
        <v>2414</v>
      </c>
      <c r="K52">
        <v>0</v>
      </c>
      <c r="N52" s="90" t="s">
        <v>2674</v>
      </c>
      <c r="O52">
        <v>0</v>
      </c>
    </row>
    <row r="53" spans="2:15">
      <c r="B53" s="90" t="s">
        <v>3106</v>
      </c>
      <c r="C53">
        <v>-18339.510000000002</v>
      </c>
      <c r="F53" s="90" t="s">
        <v>776</v>
      </c>
      <c r="G53">
        <v>45616.68</v>
      </c>
      <c r="J53" s="90" t="s">
        <v>925</v>
      </c>
      <c r="K53">
        <v>0</v>
      </c>
      <c r="N53" s="90" t="s">
        <v>391</v>
      </c>
      <c r="O53">
        <v>0</v>
      </c>
    </row>
    <row r="54" spans="2:15">
      <c r="B54" s="90" t="s">
        <v>1877</v>
      </c>
      <c r="C54">
        <v>-18000</v>
      </c>
      <c r="F54" s="90" t="s">
        <v>1020</v>
      </c>
      <c r="G54">
        <v>39829.770000000019</v>
      </c>
      <c r="J54" s="90" t="s">
        <v>488</v>
      </c>
      <c r="K54">
        <v>0</v>
      </c>
      <c r="N54" s="90" t="s">
        <v>1824</v>
      </c>
      <c r="O54">
        <v>0</v>
      </c>
    </row>
    <row r="55" spans="2:15">
      <c r="B55" s="90" t="s">
        <v>555</v>
      </c>
      <c r="C55">
        <v>-16600</v>
      </c>
      <c r="F55" s="90" t="s">
        <v>966</v>
      </c>
      <c r="G55">
        <v>35000</v>
      </c>
      <c r="J55" s="90" t="s">
        <v>928</v>
      </c>
      <c r="K55">
        <v>0</v>
      </c>
      <c r="N55" s="90" t="s">
        <v>393</v>
      </c>
      <c r="O55">
        <v>0</v>
      </c>
    </row>
    <row r="56" spans="2:15">
      <c r="B56" s="90" t="s">
        <v>1199</v>
      </c>
      <c r="C56">
        <v>-16500</v>
      </c>
      <c r="F56" s="90" t="s">
        <v>633</v>
      </c>
      <c r="G56">
        <v>34659.25</v>
      </c>
      <c r="J56" s="90" t="s">
        <v>232</v>
      </c>
      <c r="K56">
        <v>0</v>
      </c>
      <c r="N56" s="90" t="s">
        <v>905</v>
      </c>
      <c r="O56">
        <v>0</v>
      </c>
    </row>
    <row r="57" spans="2:15">
      <c r="B57" s="90" t="s">
        <v>2414</v>
      </c>
      <c r="C57">
        <v>-16000</v>
      </c>
      <c r="F57" s="90" t="s">
        <v>640</v>
      </c>
      <c r="G57">
        <v>33259.370000000003</v>
      </c>
      <c r="J57" s="90" t="s">
        <v>930</v>
      </c>
      <c r="K57">
        <v>0</v>
      </c>
      <c r="N57" s="90" t="s">
        <v>401</v>
      </c>
      <c r="O57">
        <v>0</v>
      </c>
    </row>
    <row r="58" spans="2:15">
      <c r="B58" s="90" t="s">
        <v>704</v>
      </c>
      <c r="C58">
        <v>-15637.141999999963</v>
      </c>
      <c r="F58" s="90" t="s">
        <v>413</v>
      </c>
      <c r="G58">
        <v>32521.60700000004</v>
      </c>
      <c r="J58" s="90" t="s">
        <v>240</v>
      </c>
      <c r="K58">
        <v>0</v>
      </c>
      <c r="N58" s="90" t="s">
        <v>928</v>
      </c>
      <c r="O58">
        <v>0</v>
      </c>
    </row>
    <row r="59" spans="2:15">
      <c r="B59" s="90" t="s">
        <v>930</v>
      </c>
      <c r="C59">
        <v>-15017.559999999998</v>
      </c>
      <c r="F59" s="90" t="s">
        <v>1024</v>
      </c>
      <c r="G59">
        <v>32000</v>
      </c>
      <c r="J59" s="90" t="s">
        <v>1847</v>
      </c>
      <c r="K59">
        <v>0</v>
      </c>
      <c r="N59" s="90" t="s">
        <v>409</v>
      </c>
      <c r="O59">
        <v>0</v>
      </c>
    </row>
    <row r="60" spans="2:15">
      <c r="B60" s="90" t="s">
        <v>476</v>
      </c>
      <c r="C60">
        <v>-14000</v>
      </c>
      <c r="F60" s="90" t="s">
        <v>731</v>
      </c>
      <c r="G60">
        <v>31937.880000000019</v>
      </c>
      <c r="J60" s="90" t="s">
        <v>528</v>
      </c>
      <c r="K60">
        <v>0</v>
      </c>
      <c r="N60" s="90" t="s">
        <v>946</v>
      </c>
      <c r="O60">
        <v>0</v>
      </c>
    </row>
    <row r="61" spans="2:15">
      <c r="B61" s="90" t="s">
        <v>791</v>
      </c>
      <c r="C61">
        <v>-14000</v>
      </c>
      <c r="F61" s="90" t="s">
        <v>608</v>
      </c>
      <c r="G61">
        <v>29712.27999999997</v>
      </c>
      <c r="J61" s="90" t="s">
        <v>361</v>
      </c>
      <c r="K61">
        <v>0</v>
      </c>
      <c r="N61" s="90" t="s">
        <v>418</v>
      </c>
      <c r="O61">
        <v>0</v>
      </c>
    </row>
    <row r="62" spans="2:15">
      <c r="B62" s="90" t="s">
        <v>678</v>
      </c>
      <c r="C62">
        <v>-13200</v>
      </c>
      <c r="F62" s="90" t="s">
        <v>2580</v>
      </c>
      <c r="G62">
        <v>25000</v>
      </c>
      <c r="J62" s="90" t="s">
        <v>538</v>
      </c>
      <c r="K62">
        <v>0</v>
      </c>
      <c r="N62" s="90" t="s">
        <v>1020</v>
      </c>
      <c r="O62">
        <v>0</v>
      </c>
    </row>
    <row r="63" spans="2:15">
      <c r="B63" s="90" t="s">
        <v>559</v>
      </c>
      <c r="C63">
        <v>-12600</v>
      </c>
      <c r="F63" s="90" t="s">
        <v>806</v>
      </c>
      <c r="G63">
        <v>23793.5</v>
      </c>
      <c r="J63" s="90" t="s">
        <v>942</v>
      </c>
      <c r="K63">
        <v>0</v>
      </c>
      <c r="N63" s="90" t="s">
        <v>421</v>
      </c>
      <c r="O63">
        <v>0</v>
      </c>
    </row>
    <row r="64" spans="2:15">
      <c r="B64" s="90" t="s">
        <v>457</v>
      </c>
      <c r="C64">
        <v>-11433.33</v>
      </c>
      <c r="F64" s="90" t="s">
        <v>401</v>
      </c>
      <c r="G64">
        <v>20993.309999999998</v>
      </c>
      <c r="J64" s="90" t="s">
        <v>546</v>
      </c>
      <c r="K64">
        <v>0</v>
      </c>
      <c r="N64" s="90" t="s">
        <v>1102</v>
      </c>
      <c r="O64">
        <v>0</v>
      </c>
    </row>
    <row r="65" spans="2:15">
      <c r="B65" s="90" t="s">
        <v>445</v>
      </c>
      <c r="C65">
        <v>-10000</v>
      </c>
      <c r="F65" s="90" t="s">
        <v>675</v>
      </c>
      <c r="G65">
        <v>20000</v>
      </c>
      <c r="J65" s="90" t="s">
        <v>946</v>
      </c>
      <c r="K65">
        <v>0</v>
      </c>
      <c r="N65" s="90" t="s">
        <v>430</v>
      </c>
      <c r="O65">
        <v>0</v>
      </c>
    </row>
    <row r="66" spans="2:15">
      <c r="B66" s="90" t="s">
        <v>1879</v>
      </c>
      <c r="C66">
        <v>-9608.2610000001732</v>
      </c>
      <c r="F66" s="90" t="s">
        <v>785</v>
      </c>
      <c r="G66">
        <v>18616.669999999998</v>
      </c>
      <c r="J66" s="90" t="s">
        <v>244</v>
      </c>
      <c r="K66">
        <v>0</v>
      </c>
      <c r="N66" s="90" t="s">
        <v>1111</v>
      </c>
      <c r="O66">
        <v>0</v>
      </c>
    </row>
    <row r="67" spans="2:15">
      <c r="B67" s="90" t="s">
        <v>1405</v>
      </c>
      <c r="C67">
        <v>-8368.5200000000186</v>
      </c>
      <c r="F67" s="90" t="s">
        <v>946</v>
      </c>
      <c r="G67">
        <v>14260</v>
      </c>
      <c r="J67" s="90" t="s">
        <v>960</v>
      </c>
      <c r="K67">
        <v>0</v>
      </c>
      <c r="N67" s="90" t="s">
        <v>432</v>
      </c>
      <c r="O67">
        <v>0</v>
      </c>
    </row>
    <row r="68" spans="2:15">
      <c r="B68" s="90" t="s">
        <v>925</v>
      </c>
      <c r="C68">
        <v>-5250</v>
      </c>
      <c r="F68" s="90" t="s">
        <v>942</v>
      </c>
      <c r="G68">
        <v>14000</v>
      </c>
      <c r="J68" s="90" t="s">
        <v>2456</v>
      </c>
      <c r="K68">
        <v>0</v>
      </c>
      <c r="N68" s="90" t="s">
        <v>2989</v>
      </c>
      <c r="O68">
        <v>0</v>
      </c>
    </row>
    <row r="69" spans="2:15">
      <c r="B69" s="90" t="s">
        <v>1179</v>
      </c>
      <c r="C69">
        <v>-4286.4629999999961</v>
      </c>
      <c r="F69" s="90" t="s">
        <v>1497</v>
      </c>
      <c r="G69">
        <v>12600</v>
      </c>
      <c r="J69" s="90" t="s">
        <v>966</v>
      </c>
      <c r="K69">
        <v>0</v>
      </c>
      <c r="N69" s="90" t="s">
        <v>438</v>
      </c>
      <c r="O69">
        <v>0</v>
      </c>
    </row>
    <row r="70" spans="2:15">
      <c r="B70" s="90" t="s">
        <v>2434</v>
      </c>
      <c r="C70">
        <v>-4054.2849999999999</v>
      </c>
      <c r="F70" s="90" t="s">
        <v>2456</v>
      </c>
      <c r="G70">
        <v>12433.799999999981</v>
      </c>
      <c r="J70" s="90" t="s">
        <v>1493</v>
      </c>
      <c r="K70">
        <v>0</v>
      </c>
      <c r="N70" s="90" t="s">
        <v>1195</v>
      </c>
      <c r="O70">
        <v>0</v>
      </c>
    </row>
    <row r="71" spans="2:15">
      <c r="B71" s="90" t="s">
        <v>1185</v>
      </c>
      <c r="C71">
        <v>-4000</v>
      </c>
      <c r="F71" s="90" t="s">
        <v>670</v>
      </c>
      <c r="G71">
        <v>11523.853000000818</v>
      </c>
      <c r="J71" s="90" t="s">
        <v>373</v>
      </c>
      <c r="K71">
        <v>0</v>
      </c>
      <c r="N71" s="90" t="s">
        <v>442</v>
      </c>
      <c r="O71">
        <v>0</v>
      </c>
    </row>
    <row r="72" spans="2:15">
      <c r="B72" s="90" t="s">
        <v>1491</v>
      </c>
      <c r="C72">
        <v>-4000</v>
      </c>
      <c r="F72" s="90" t="s">
        <v>393</v>
      </c>
      <c r="G72">
        <v>11239.820000000007</v>
      </c>
      <c r="J72" s="90" t="s">
        <v>570</v>
      </c>
      <c r="K72">
        <v>0</v>
      </c>
      <c r="N72" s="90" t="s">
        <v>1208</v>
      </c>
      <c r="O72">
        <v>0</v>
      </c>
    </row>
    <row r="73" spans="2:15">
      <c r="B73" s="90" t="s">
        <v>453</v>
      </c>
      <c r="C73">
        <v>-3750</v>
      </c>
      <c r="F73" s="90" t="s">
        <v>696</v>
      </c>
      <c r="G73">
        <v>10500</v>
      </c>
      <c r="J73" s="90" t="s">
        <v>2293</v>
      </c>
      <c r="K73">
        <v>0</v>
      </c>
      <c r="N73" s="90" t="s">
        <v>445</v>
      </c>
      <c r="O73">
        <v>0</v>
      </c>
    </row>
    <row r="74" spans="2:15">
      <c r="B74" s="90" t="s">
        <v>240</v>
      </c>
      <c r="C74">
        <v>-3750</v>
      </c>
      <c r="F74" s="90" t="s">
        <v>1818</v>
      </c>
      <c r="G74">
        <v>10000</v>
      </c>
      <c r="J74" s="90" t="s">
        <v>1497</v>
      </c>
      <c r="K74">
        <v>0</v>
      </c>
      <c r="N74" s="90" t="s">
        <v>1234</v>
      </c>
      <c r="O74">
        <v>0</v>
      </c>
    </row>
    <row r="75" spans="2:15">
      <c r="B75" s="90" t="s">
        <v>1856</v>
      </c>
      <c r="C75">
        <v>-3587.0779999999995</v>
      </c>
      <c r="F75" s="90" t="s">
        <v>428</v>
      </c>
      <c r="G75">
        <v>9729.7880000000005</v>
      </c>
      <c r="J75" s="90" t="s">
        <v>378</v>
      </c>
      <c r="K75">
        <v>0</v>
      </c>
      <c r="N75" s="90" t="s">
        <v>453</v>
      </c>
      <c r="O75">
        <v>0</v>
      </c>
    </row>
    <row r="76" spans="2:15">
      <c r="B76" s="90" t="s">
        <v>636</v>
      </c>
      <c r="C76">
        <v>-2729.1169999999838</v>
      </c>
      <c r="F76" s="90" t="s">
        <v>386</v>
      </c>
      <c r="G76">
        <v>9009.3430000000008</v>
      </c>
      <c r="J76" s="90" t="s">
        <v>1803</v>
      </c>
      <c r="K76">
        <v>0</v>
      </c>
      <c r="N76" s="90" t="s">
        <v>1241</v>
      </c>
      <c r="O76">
        <v>0</v>
      </c>
    </row>
    <row r="77" spans="2:15">
      <c r="B77" s="90" t="s">
        <v>1523</v>
      </c>
      <c r="C77">
        <v>-1500</v>
      </c>
      <c r="F77" s="90" t="s">
        <v>2844</v>
      </c>
      <c r="G77">
        <v>7400</v>
      </c>
      <c r="J77" s="90" t="s">
        <v>385</v>
      </c>
      <c r="K77">
        <v>0</v>
      </c>
      <c r="N77" s="90" t="s">
        <v>457</v>
      </c>
      <c r="O77">
        <v>0</v>
      </c>
    </row>
    <row r="78" spans="2:15">
      <c r="B78" s="90" t="s">
        <v>244</v>
      </c>
      <c r="C78">
        <v>-1500</v>
      </c>
      <c r="F78" s="90" t="s">
        <v>928</v>
      </c>
      <c r="G78">
        <v>6874.24</v>
      </c>
      <c r="J78" s="90" t="s">
        <v>1501</v>
      </c>
      <c r="K78">
        <v>0</v>
      </c>
      <c r="N78" s="90" t="s">
        <v>1259</v>
      </c>
      <c r="O78">
        <v>0</v>
      </c>
    </row>
    <row r="79" spans="2:15">
      <c r="B79" s="90" t="s">
        <v>737</v>
      </c>
      <c r="C79">
        <v>-1240.359999999986</v>
      </c>
      <c r="F79" s="90" t="s">
        <v>430</v>
      </c>
      <c r="G79">
        <v>6238.64</v>
      </c>
      <c r="J79" s="90" t="s">
        <v>2844</v>
      </c>
      <c r="K79">
        <v>0</v>
      </c>
      <c r="N79" s="90" t="s">
        <v>463</v>
      </c>
      <c r="O79">
        <v>0</v>
      </c>
    </row>
    <row r="80" spans="2:15">
      <c r="B80" s="90" t="s">
        <v>520</v>
      </c>
      <c r="C80">
        <v>-500</v>
      </c>
      <c r="F80" s="90" t="s">
        <v>1801</v>
      </c>
      <c r="G80">
        <v>6176.8210000000072</v>
      </c>
      <c r="J80" s="90" t="s">
        <v>1491</v>
      </c>
      <c r="K80">
        <v>0</v>
      </c>
      <c r="N80" s="90" t="s">
        <v>1273</v>
      </c>
      <c r="O80">
        <v>0</v>
      </c>
    </row>
    <row r="81" spans="2:15">
      <c r="B81" s="90" t="s">
        <v>385</v>
      </c>
      <c r="C81">
        <v>-18</v>
      </c>
      <c r="F81" s="90" t="s">
        <v>1501</v>
      </c>
      <c r="G81">
        <v>6000</v>
      </c>
      <c r="J81" s="90" t="s">
        <v>219</v>
      </c>
      <c r="K81">
        <v>0</v>
      </c>
      <c r="N81" s="90" t="s">
        <v>2391</v>
      </c>
      <c r="O81">
        <v>0</v>
      </c>
    </row>
    <row r="82" spans="2:15">
      <c r="B82" s="90" t="s">
        <v>220</v>
      </c>
      <c r="C82">
        <v>-5.9999999997671694E-2</v>
      </c>
      <c r="F82" s="90" t="s">
        <v>628</v>
      </c>
      <c r="G82">
        <v>5200</v>
      </c>
      <c r="J82" s="90" t="s">
        <v>622</v>
      </c>
      <c r="K82">
        <v>0</v>
      </c>
      <c r="N82" s="90" t="s">
        <v>3076</v>
      </c>
      <c r="O82">
        <v>0</v>
      </c>
    </row>
    <row r="83" spans="2:15">
      <c r="B83" s="90" t="s">
        <v>213</v>
      </c>
      <c r="C83">
        <v>-1.9999999756691977E-2</v>
      </c>
      <c r="F83" s="90" t="s">
        <v>960</v>
      </c>
      <c r="G83">
        <v>4250</v>
      </c>
      <c r="J83" s="90" t="s">
        <v>1020</v>
      </c>
      <c r="K83">
        <v>0</v>
      </c>
      <c r="N83" s="90" t="s">
        <v>472</v>
      </c>
      <c r="O83">
        <v>0</v>
      </c>
    </row>
    <row r="84" spans="2:15">
      <c r="B84" s="90" t="s">
        <v>684</v>
      </c>
      <c r="C84">
        <v>0</v>
      </c>
      <c r="F84" s="90" t="s">
        <v>1394</v>
      </c>
      <c r="G84">
        <v>3400</v>
      </c>
      <c r="J84" s="90" t="s">
        <v>633</v>
      </c>
      <c r="K84">
        <v>0</v>
      </c>
      <c r="N84" s="90" t="s">
        <v>219</v>
      </c>
      <c r="O84">
        <v>0</v>
      </c>
    </row>
    <row r="85" spans="2:15">
      <c r="B85" s="90" t="s">
        <v>224</v>
      </c>
      <c r="C85">
        <v>0</v>
      </c>
      <c r="F85" s="90" t="s">
        <v>3091</v>
      </c>
      <c r="G85">
        <v>3267</v>
      </c>
      <c r="J85" s="90" t="s">
        <v>1877</v>
      </c>
      <c r="K85">
        <v>0</v>
      </c>
      <c r="N85" s="90" t="s">
        <v>476</v>
      </c>
      <c r="O85">
        <v>0</v>
      </c>
    </row>
    <row r="86" spans="2:15">
      <c r="B86" s="90" t="s">
        <v>655</v>
      </c>
      <c r="C86">
        <v>0</v>
      </c>
      <c r="F86" s="90" t="s">
        <v>1493</v>
      </c>
      <c r="G86">
        <v>3160</v>
      </c>
      <c r="J86" s="90" t="s">
        <v>277</v>
      </c>
      <c r="K86">
        <v>0</v>
      </c>
      <c r="N86" s="90" t="s">
        <v>1390</v>
      </c>
      <c r="O86">
        <v>0</v>
      </c>
    </row>
    <row r="87" spans="2:15">
      <c r="B87" s="90" t="s">
        <v>1814</v>
      </c>
      <c r="C87">
        <v>0</v>
      </c>
      <c r="F87" s="90" t="s">
        <v>1400</v>
      </c>
      <c r="G87">
        <v>1973.9819999999963</v>
      </c>
      <c r="J87" s="90" t="s">
        <v>1024</v>
      </c>
      <c r="K87">
        <v>0</v>
      </c>
      <c r="N87" s="90" t="s">
        <v>2414</v>
      </c>
      <c r="O87">
        <v>0</v>
      </c>
    </row>
    <row r="88" spans="2:15">
      <c r="B88" s="90" t="s">
        <v>542</v>
      </c>
      <c r="C88">
        <v>0</v>
      </c>
      <c r="F88" s="90" t="s">
        <v>1824</v>
      </c>
      <c r="G88">
        <v>1875.0099999999948</v>
      </c>
      <c r="J88" s="90" t="s">
        <v>2568</v>
      </c>
      <c r="K88">
        <v>0</v>
      </c>
      <c r="N88" s="90" t="s">
        <v>1408</v>
      </c>
      <c r="O88">
        <v>0</v>
      </c>
    </row>
    <row r="89" spans="2:15">
      <c r="B89" s="90" t="s">
        <v>1203</v>
      </c>
      <c r="C89">
        <v>0</v>
      </c>
      <c r="F89" s="90" t="s">
        <v>570</v>
      </c>
      <c r="G89">
        <v>1598.5299999999988</v>
      </c>
      <c r="J89" s="90" t="s">
        <v>2328</v>
      </c>
      <c r="K89">
        <v>0</v>
      </c>
      <c r="N89" s="90" t="s">
        <v>482</v>
      </c>
      <c r="O89">
        <v>0</v>
      </c>
    </row>
    <row r="90" spans="2:15">
      <c r="B90" s="90" t="s">
        <v>232</v>
      </c>
      <c r="C90">
        <v>0</v>
      </c>
      <c r="F90" s="90" t="s">
        <v>226</v>
      </c>
      <c r="G90">
        <v>565.58999999985099</v>
      </c>
      <c r="J90" s="90" t="s">
        <v>645</v>
      </c>
      <c r="K90">
        <v>0</v>
      </c>
      <c r="N90" s="90" t="s">
        <v>727</v>
      </c>
      <c r="O90">
        <v>0</v>
      </c>
    </row>
    <row r="91" spans="2:15">
      <c r="B91" s="90" t="s">
        <v>1206</v>
      </c>
      <c r="C91">
        <v>0</v>
      </c>
      <c r="F91" s="90" t="s">
        <v>389</v>
      </c>
      <c r="G91">
        <v>422.86000000000149</v>
      </c>
      <c r="J91" s="90" t="s">
        <v>311</v>
      </c>
      <c r="K91">
        <v>0</v>
      </c>
      <c r="N91" s="90" t="s">
        <v>488</v>
      </c>
      <c r="O91">
        <v>0</v>
      </c>
    </row>
    <row r="92" spans="2:15">
      <c r="B92" s="90" t="s">
        <v>2674</v>
      </c>
      <c r="C92">
        <v>0</v>
      </c>
      <c r="F92" s="90" t="s">
        <v>1403</v>
      </c>
      <c r="G92">
        <v>1.0000000009313226E-2</v>
      </c>
      <c r="J92" s="90">
        <v>5221</v>
      </c>
      <c r="K92">
        <v>0</v>
      </c>
      <c r="N92" s="90" t="s">
        <v>737</v>
      </c>
      <c r="O92">
        <v>0</v>
      </c>
    </row>
    <row r="93" spans="2:15">
      <c r="B93" s="90" t="s">
        <v>1208</v>
      </c>
      <c r="C93">
        <v>0</v>
      </c>
      <c r="F93" s="90" t="s">
        <v>651</v>
      </c>
      <c r="G93">
        <v>0</v>
      </c>
      <c r="J93" s="90" t="s">
        <v>2580</v>
      </c>
      <c r="K93">
        <v>0</v>
      </c>
      <c r="N93" s="90" t="s">
        <v>514</v>
      </c>
      <c r="O93">
        <v>0</v>
      </c>
    </row>
    <row r="94" spans="2:15">
      <c r="B94" s="90" t="s">
        <v>822</v>
      </c>
      <c r="C94">
        <v>0</v>
      </c>
      <c r="F94" s="90" t="s">
        <v>1280</v>
      </c>
      <c r="G94">
        <v>0</v>
      </c>
      <c r="J94" s="90" t="s">
        <v>655</v>
      </c>
      <c r="K94">
        <v>0</v>
      </c>
      <c r="N94" s="90" t="s">
        <v>776</v>
      </c>
      <c r="O94">
        <v>0</v>
      </c>
    </row>
    <row r="95" spans="2:15">
      <c r="B95" s="90" t="s">
        <v>1225</v>
      </c>
      <c r="C95">
        <v>0</v>
      </c>
      <c r="F95" s="90" t="s">
        <v>534</v>
      </c>
      <c r="G95">
        <v>0</v>
      </c>
      <c r="J95" s="90" t="s">
        <v>2875</v>
      </c>
      <c r="K95">
        <v>0</v>
      </c>
      <c r="N95" s="90" t="s">
        <v>520</v>
      </c>
      <c r="O95">
        <v>0</v>
      </c>
    </row>
    <row r="96" spans="2:15">
      <c r="B96" s="90" t="s">
        <v>2391</v>
      </c>
      <c r="C96">
        <v>0</v>
      </c>
      <c r="F96" s="90" t="s">
        <v>1259</v>
      </c>
      <c r="G96">
        <v>0</v>
      </c>
      <c r="J96" s="90" t="s">
        <v>1523</v>
      </c>
      <c r="K96">
        <v>0</v>
      </c>
      <c r="N96" s="90" t="s">
        <v>785</v>
      </c>
      <c r="O96">
        <v>0</v>
      </c>
    </row>
    <row r="97" spans="2:15">
      <c r="B97" s="90" t="s">
        <v>1229</v>
      </c>
      <c r="C97">
        <v>0</v>
      </c>
      <c r="F97" s="90" t="s">
        <v>622</v>
      </c>
      <c r="G97">
        <v>0</v>
      </c>
      <c r="J97" s="90" t="s">
        <v>1031</v>
      </c>
      <c r="K97">
        <v>0</v>
      </c>
      <c r="N97" s="90" t="s">
        <v>525</v>
      </c>
      <c r="O97">
        <v>0</v>
      </c>
    </row>
    <row r="98" spans="2:15">
      <c r="B98" s="90" t="s">
        <v>219</v>
      </c>
      <c r="C98">
        <v>0</v>
      </c>
      <c r="F98" s="90" t="s">
        <v>3084</v>
      </c>
      <c r="G98">
        <v>0</v>
      </c>
      <c r="J98" s="90" t="s">
        <v>1818</v>
      </c>
      <c r="K98">
        <v>0</v>
      </c>
      <c r="N98" s="90" t="s">
        <v>791</v>
      </c>
      <c r="O98">
        <v>0</v>
      </c>
    </row>
    <row r="99" spans="2:15">
      <c r="B99" s="90" t="s">
        <v>1234</v>
      </c>
      <c r="C99">
        <v>0</v>
      </c>
      <c r="F99" s="90" t="s">
        <v>224</v>
      </c>
      <c r="G99">
        <v>0</v>
      </c>
      <c r="J99" s="90" t="s">
        <v>1102</v>
      </c>
      <c r="K99">
        <v>0</v>
      </c>
      <c r="N99" s="90" t="s">
        <v>528</v>
      </c>
      <c r="O99">
        <v>0</v>
      </c>
    </row>
    <row r="100" spans="2:15">
      <c r="B100" s="90" t="s">
        <v>622</v>
      </c>
      <c r="C100">
        <v>0</v>
      </c>
      <c r="F100" s="90" t="s">
        <v>1881</v>
      </c>
      <c r="G100">
        <v>0</v>
      </c>
      <c r="J100" s="90" t="s">
        <v>672</v>
      </c>
      <c r="K100">
        <v>0</v>
      </c>
      <c r="N100" s="90" t="s">
        <v>806</v>
      </c>
      <c r="O100">
        <v>0</v>
      </c>
    </row>
    <row r="101" spans="2:15">
      <c r="B101" s="90" t="s">
        <v>1236</v>
      </c>
      <c r="C101">
        <v>0</v>
      </c>
      <c r="F101" s="90" t="s">
        <v>684</v>
      </c>
      <c r="G101">
        <v>0</v>
      </c>
      <c r="J101" s="90" t="s">
        <v>2937</v>
      </c>
      <c r="K101">
        <v>0</v>
      </c>
      <c r="N101" s="90" t="s">
        <v>534</v>
      </c>
      <c r="O101">
        <v>0</v>
      </c>
    </row>
    <row r="102" spans="2:15">
      <c r="B102" s="90" t="s">
        <v>1106</v>
      </c>
      <c r="C102">
        <v>0</v>
      </c>
      <c r="F102" s="90" t="s">
        <v>1255</v>
      </c>
      <c r="G102">
        <v>0</v>
      </c>
      <c r="J102" s="90" t="s">
        <v>678</v>
      </c>
      <c r="K102">
        <v>0</v>
      </c>
      <c r="N102" s="90" t="s">
        <v>814</v>
      </c>
      <c r="O102">
        <v>0</v>
      </c>
    </row>
    <row r="103" spans="2:15">
      <c r="B103" s="90" t="s">
        <v>1881</v>
      </c>
      <c r="C103">
        <v>0</v>
      </c>
      <c r="F103" s="90" t="s">
        <v>542</v>
      </c>
      <c r="G103">
        <v>0</v>
      </c>
      <c r="J103" s="90" t="s">
        <v>2940</v>
      </c>
      <c r="K103">
        <v>0</v>
      </c>
      <c r="N103" s="90" t="s">
        <v>538</v>
      </c>
      <c r="O103">
        <v>0</v>
      </c>
    </row>
    <row r="104" spans="2:15">
      <c r="B104" s="90" t="s">
        <v>538</v>
      </c>
      <c r="C104">
        <v>0</v>
      </c>
      <c r="F104" s="90" t="s">
        <v>1261</v>
      </c>
      <c r="G104">
        <v>0</v>
      </c>
      <c r="J104" s="90" t="s">
        <v>692</v>
      </c>
      <c r="K104">
        <v>0</v>
      </c>
      <c r="N104" s="90" t="s">
        <v>822</v>
      </c>
      <c r="O104">
        <v>0</v>
      </c>
    </row>
    <row r="105" spans="2:15">
      <c r="B105" s="90" t="s">
        <v>1239</v>
      </c>
      <c r="C105">
        <v>0</v>
      </c>
      <c r="F105" s="90" t="s">
        <v>1814</v>
      </c>
      <c r="G105">
        <v>0</v>
      </c>
      <c r="J105" s="90" t="s">
        <v>1106</v>
      </c>
      <c r="K105">
        <v>0</v>
      </c>
      <c r="N105" s="90" t="s">
        <v>542</v>
      </c>
      <c r="O105">
        <v>0</v>
      </c>
    </row>
    <row r="106" spans="2:15">
      <c r="B106" s="90" t="s">
        <v>1191</v>
      </c>
      <c r="C106">
        <v>0</v>
      </c>
      <c r="F106" s="90" t="s">
        <v>2674</v>
      </c>
      <c r="G106">
        <v>0</v>
      </c>
      <c r="J106" s="90" t="s">
        <v>2216</v>
      </c>
      <c r="K106">
        <v>0</v>
      </c>
      <c r="N106" s="90" t="s">
        <v>825</v>
      </c>
      <c r="O106">
        <v>0</v>
      </c>
    </row>
    <row r="107" spans="2:15">
      <c r="B107" s="90" t="s">
        <v>1244</v>
      </c>
      <c r="C107">
        <v>0</v>
      </c>
      <c r="F107" s="90" t="s">
        <v>692</v>
      </c>
      <c r="G107">
        <v>0</v>
      </c>
      <c r="J107" s="90" t="s">
        <v>1111</v>
      </c>
      <c r="K107">
        <v>0</v>
      </c>
      <c r="N107" s="90" t="s">
        <v>546</v>
      </c>
      <c r="O107">
        <v>0</v>
      </c>
    </row>
    <row r="108" spans="2:15">
      <c r="B108" s="90" t="s">
        <v>692</v>
      </c>
      <c r="C108">
        <v>0</v>
      </c>
      <c r="F108" s="90" t="s">
        <v>1781</v>
      </c>
      <c r="G108">
        <v>0</v>
      </c>
      <c r="J108" s="90" t="s">
        <v>213</v>
      </c>
      <c r="K108">
        <v>0</v>
      </c>
      <c r="N108" s="90" t="s">
        <v>827</v>
      </c>
      <c r="O108">
        <v>0</v>
      </c>
    </row>
    <row r="109" spans="2:15">
      <c r="B109" s="90" t="s">
        <v>1255</v>
      </c>
      <c r="C109">
        <v>0</v>
      </c>
      <c r="F109" s="90" t="s">
        <v>1106</v>
      </c>
      <c r="G109">
        <v>0</v>
      </c>
      <c r="J109" s="90" t="s">
        <v>1114</v>
      </c>
      <c r="K109">
        <v>0</v>
      </c>
      <c r="N109" s="90" t="s">
        <v>555</v>
      </c>
      <c r="O109">
        <v>0</v>
      </c>
    </row>
    <row r="110" spans="2:15">
      <c r="B110" s="90" t="s">
        <v>463</v>
      </c>
      <c r="C110">
        <v>0</v>
      </c>
      <c r="F110" s="90" t="s">
        <v>1236</v>
      </c>
      <c r="G110">
        <v>0</v>
      </c>
      <c r="J110" s="90" t="s">
        <v>725</v>
      </c>
      <c r="K110">
        <v>0</v>
      </c>
      <c r="N110" s="90" t="s">
        <v>908</v>
      </c>
      <c r="O110">
        <v>0</v>
      </c>
    </row>
    <row r="111" spans="2:15">
      <c r="B111" s="90" t="s">
        <v>1257</v>
      </c>
      <c r="C111">
        <v>0</v>
      </c>
      <c r="F111" s="90" t="s">
        <v>538</v>
      </c>
      <c r="G111">
        <v>0</v>
      </c>
      <c r="J111" s="90" t="s">
        <v>220</v>
      </c>
      <c r="K111">
        <v>0</v>
      </c>
      <c r="N111" s="90" t="s">
        <v>559</v>
      </c>
      <c r="O111">
        <v>0</v>
      </c>
    </row>
    <row r="112" spans="2:15">
      <c r="B112" s="90" t="s">
        <v>222</v>
      </c>
      <c r="C112">
        <v>0</v>
      </c>
      <c r="F112" s="90" t="s">
        <v>1239</v>
      </c>
      <c r="G112">
        <v>0</v>
      </c>
      <c r="J112" s="90" t="s">
        <v>731</v>
      </c>
      <c r="K112">
        <v>0</v>
      </c>
      <c r="N112" s="90" t="s">
        <v>925</v>
      </c>
      <c r="O112">
        <v>0</v>
      </c>
    </row>
    <row r="113" spans="2:15">
      <c r="B113" s="90" t="s">
        <v>1259</v>
      </c>
      <c r="C113">
        <v>0</v>
      </c>
      <c r="F113" s="90" t="s">
        <v>219</v>
      </c>
      <c r="G113">
        <v>0</v>
      </c>
      <c r="J113" s="90" t="s">
        <v>1137</v>
      </c>
      <c r="K113">
        <v>0</v>
      </c>
      <c r="N113" s="90" t="s">
        <v>2456</v>
      </c>
      <c r="O113">
        <v>0</v>
      </c>
    </row>
    <row r="114" spans="2:15">
      <c r="B114" s="90" t="s">
        <v>432</v>
      </c>
      <c r="C114">
        <v>0</v>
      </c>
      <c r="F114" s="90" t="s">
        <v>1244</v>
      </c>
      <c r="G114">
        <v>0</v>
      </c>
      <c r="J114" s="90" t="s">
        <v>754</v>
      </c>
      <c r="K114">
        <v>0</v>
      </c>
      <c r="N114" s="90" t="s">
        <v>930</v>
      </c>
      <c r="O114">
        <v>0</v>
      </c>
    </row>
    <row r="115" spans="2:15">
      <c r="B115" s="90" t="s">
        <v>1883</v>
      </c>
      <c r="C115">
        <v>0</v>
      </c>
      <c r="F115" s="90" t="s">
        <v>232</v>
      </c>
      <c r="G115">
        <v>0</v>
      </c>
      <c r="J115" s="90" t="s">
        <v>1156</v>
      </c>
      <c r="K115">
        <v>0</v>
      </c>
      <c r="N115" s="90" t="s">
        <v>1493</v>
      </c>
      <c r="O115">
        <v>0</v>
      </c>
    </row>
    <row r="116" spans="2:15">
      <c r="B116" s="90" t="s">
        <v>1781</v>
      </c>
      <c r="C116">
        <v>0</v>
      </c>
      <c r="F116" s="90" t="s">
        <v>1257</v>
      </c>
      <c r="G116">
        <v>0</v>
      </c>
      <c r="J116" s="90" t="s">
        <v>782</v>
      </c>
      <c r="K116">
        <v>0</v>
      </c>
      <c r="N116" s="90" t="s">
        <v>942</v>
      </c>
      <c r="O116">
        <v>0</v>
      </c>
    </row>
    <row r="117" spans="2:15">
      <c r="B117" s="90" t="s">
        <v>1261</v>
      </c>
      <c r="C117">
        <v>0</v>
      </c>
      <c r="F117" s="90" t="s">
        <v>1191</v>
      </c>
      <c r="G117">
        <v>0</v>
      </c>
      <c r="J117" s="90" t="s">
        <v>391</v>
      </c>
      <c r="K117">
        <v>0</v>
      </c>
      <c r="N117" s="90" t="s">
        <v>2463</v>
      </c>
      <c r="O117">
        <v>0</v>
      </c>
    </row>
    <row r="118" spans="2:15">
      <c r="B118" s="90" t="s">
        <v>3084</v>
      </c>
      <c r="C118">
        <v>0</v>
      </c>
      <c r="F118" s="90" t="s">
        <v>1883</v>
      </c>
      <c r="G118">
        <v>0</v>
      </c>
      <c r="J118" s="90" t="s">
        <v>788</v>
      </c>
      <c r="K118">
        <v>0</v>
      </c>
      <c r="N118" s="90" t="s">
        <v>960</v>
      </c>
      <c r="O118">
        <v>0</v>
      </c>
    </row>
    <row r="119" spans="2:15">
      <c r="B119" s="90" t="s">
        <v>1276</v>
      </c>
      <c r="C119">
        <v>0</v>
      </c>
      <c r="F119" s="90" t="s">
        <v>1203</v>
      </c>
      <c r="G119">
        <v>0</v>
      </c>
      <c r="J119" s="90" t="s">
        <v>2989</v>
      </c>
      <c r="K119">
        <v>0</v>
      </c>
      <c r="N119" s="90" t="s">
        <v>570</v>
      </c>
      <c r="O119">
        <v>0</v>
      </c>
    </row>
    <row r="120" spans="2:15">
      <c r="B120" s="90" t="s">
        <v>651</v>
      </c>
      <c r="C120">
        <v>0</v>
      </c>
      <c r="F120" s="90" t="s">
        <v>1276</v>
      </c>
      <c r="G120">
        <v>0</v>
      </c>
      <c r="J120" s="90" t="s">
        <v>796</v>
      </c>
      <c r="K120">
        <v>0</v>
      </c>
      <c r="N120" s="90" t="s">
        <v>2844</v>
      </c>
      <c r="O120">
        <v>0</v>
      </c>
    </row>
    <row r="121" spans="2:15">
      <c r="B121" s="90" t="s">
        <v>1280</v>
      </c>
      <c r="C121">
        <v>0</v>
      </c>
      <c r="F121" s="90" t="s">
        <v>1206</v>
      </c>
      <c r="G121">
        <v>0</v>
      </c>
      <c r="J121" s="90" t="s">
        <v>1182</v>
      </c>
      <c r="K121">
        <v>0</v>
      </c>
      <c r="N121" s="90" t="s">
        <v>573</v>
      </c>
      <c r="O121">
        <v>0</v>
      </c>
    </row>
    <row r="122" spans="2:15">
      <c r="B122" s="90" t="s">
        <v>534</v>
      </c>
      <c r="C122">
        <v>0</v>
      </c>
      <c r="F122" s="90" t="s">
        <v>655</v>
      </c>
      <c r="G122">
        <v>0</v>
      </c>
      <c r="J122" s="90" t="s">
        <v>2674</v>
      </c>
      <c r="K122">
        <v>0</v>
      </c>
      <c r="N122" s="90" t="s">
        <v>1877</v>
      </c>
      <c r="O122">
        <v>0</v>
      </c>
    </row>
    <row r="123" spans="2:15">
      <c r="B123" s="90" t="s">
        <v>1403</v>
      </c>
      <c r="C123">
        <v>1.0000000009313226E-2</v>
      </c>
      <c r="F123" s="90" t="s">
        <v>1208</v>
      </c>
      <c r="G123">
        <v>0</v>
      </c>
      <c r="J123" s="90" t="s">
        <v>393</v>
      </c>
      <c r="K123">
        <v>0</v>
      </c>
      <c r="N123" s="90" t="s">
        <v>1024</v>
      </c>
      <c r="O123">
        <v>0</v>
      </c>
    </row>
    <row r="124" spans="2:15">
      <c r="B124" s="90" t="s">
        <v>389</v>
      </c>
      <c r="C124">
        <v>422.86000000000149</v>
      </c>
      <c r="F124" s="90" t="s">
        <v>432</v>
      </c>
      <c r="G124">
        <v>0</v>
      </c>
      <c r="J124" s="90" t="s">
        <v>820</v>
      </c>
      <c r="K124">
        <v>0</v>
      </c>
      <c r="N124" s="90" t="s">
        <v>2875</v>
      </c>
      <c r="O124">
        <v>0</v>
      </c>
    </row>
    <row r="125" spans="2:15">
      <c r="B125" s="90" t="s">
        <v>226</v>
      </c>
      <c r="C125">
        <v>565.58999999985099</v>
      </c>
      <c r="F125" s="90" t="s">
        <v>2391</v>
      </c>
      <c r="G125">
        <v>0</v>
      </c>
      <c r="J125" s="90" t="s">
        <v>1185</v>
      </c>
      <c r="K125">
        <v>0</v>
      </c>
      <c r="N125" s="90" t="s">
        <v>1497</v>
      </c>
      <c r="O125">
        <v>0</v>
      </c>
    </row>
    <row r="126" spans="2:15">
      <c r="B126" s="90" t="s">
        <v>570</v>
      </c>
      <c r="C126">
        <v>1598.5299999999988</v>
      </c>
      <c r="F126" s="90" t="s">
        <v>463</v>
      </c>
      <c r="G126">
        <v>0</v>
      </c>
      <c r="J126" s="90" t="s">
        <v>430</v>
      </c>
      <c r="K126">
        <v>0</v>
      </c>
      <c r="N126" s="90" t="s">
        <v>1031</v>
      </c>
      <c r="O126">
        <v>0</v>
      </c>
    </row>
    <row r="127" spans="2:15">
      <c r="B127" s="90" t="s">
        <v>1824</v>
      </c>
      <c r="C127">
        <v>1875.0099999999948</v>
      </c>
      <c r="F127" s="90" t="s">
        <v>222</v>
      </c>
      <c r="G127">
        <v>0</v>
      </c>
      <c r="J127" s="90" t="s">
        <v>1191</v>
      </c>
      <c r="K127">
        <v>0</v>
      </c>
      <c r="N127" s="90" t="s">
        <v>592</v>
      </c>
      <c r="O127">
        <v>0</v>
      </c>
    </row>
    <row r="128" spans="2:15">
      <c r="B128" s="90" t="s">
        <v>1400</v>
      </c>
      <c r="C128">
        <v>1973.9819999999963</v>
      </c>
      <c r="F128" s="90" t="s">
        <v>822</v>
      </c>
      <c r="G128">
        <v>0</v>
      </c>
      <c r="J128" s="90" t="s">
        <v>445</v>
      </c>
      <c r="K128">
        <v>0</v>
      </c>
      <c r="N128" s="90" t="s">
        <v>2937</v>
      </c>
      <c r="O128">
        <v>0</v>
      </c>
    </row>
    <row r="129" spans="2:15">
      <c r="B129" s="90" t="s">
        <v>1493</v>
      </c>
      <c r="C129">
        <v>3160</v>
      </c>
      <c r="F129" s="90" t="s">
        <v>1229</v>
      </c>
      <c r="G129">
        <v>0</v>
      </c>
      <c r="J129" s="90" t="s">
        <v>1195</v>
      </c>
      <c r="K129">
        <v>0</v>
      </c>
      <c r="N129" s="90" t="s">
        <v>1803</v>
      </c>
      <c r="O129">
        <v>0</v>
      </c>
    </row>
    <row r="130" spans="2:15">
      <c r="B130" s="90" t="s">
        <v>3091</v>
      </c>
      <c r="C130">
        <v>3267</v>
      </c>
      <c r="F130" s="90" t="s">
        <v>1234</v>
      </c>
      <c r="G130">
        <v>0</v>
      </c>
      <c r="J130" s="90" t="s">
        <v>2391</v>
      </c>
      <c r="K130">
        <v>0</v>
      </c>
      <c r="N130" s="90" t="s">
        <v>1106</v>
      </c>
      <c r="O130">
        <v>0</v>
      </c>
    </row>
    <row r="131" spans="2:15">
      <c r="B131" s="90" t="s">
        <v>1394</v>
      </c>
      <c r="C131">
        <v>3400</v>
      </c>
      <c r="F131" s="90" t="s">
        <v>1225</v>
      </c>
      <c r="G131">
        <v>0</v>
      </c>
      <c r="J131" s="90" t="s">
        <v>1199</v>
      </c>
      <c r="K131">
        <v>0</v>
      </c>
      <c r="N131" s="90" t="s">
        <v>1501</v>
      </c>
      <c r="O131">
        <v>0</v>
      </c>
    </row>
    <row r="132" spans="2:15">
      <c r="B132" s="90" t="s">
        <v>960</v>
      </c>
      <c r="C132">
        <v>4250</v>
      </c>
      <c r="F132" s="90" t="s">
        <v>213</v>
      </c>
      <c r="G132">
        <v>-1.9999999756691977E-2</v>
      </c>
      <c r="J132" s="90" t="s">
        <v>482</v>
      </c>
      <c r="K132">
        <v>0</v>
      </c>
      <c r="N132" s="90" t="s">
        <v>1114</v>
      </c>
      <c r="O132">
        <v>0</v>
      </c>
    </row>
    <row r="133" spans="2:15">
      <c r="B133" s="90" t="s">
        <v>628</v>
      </c>
      <c r="C133">
        <v>5200</v>
      </c>
      <c r="F133" s="90" t="s">
        <v>220</v>
      </c>
      <c r="G133">
        <v>-5.9999999997671694E-2</v>
      </c>
      <c r="J133" s="90" t="s">
        <v>1203</v>
      </c>
      <c r="K133">
        <v>0</v>
      </c>
      <c r="N133" s="90" t="s">
        <v>622</v>
      </c>
      <c r="O133">
        <v>0</v>
      </c>
    </row>
    <row r="134" spans="2:15">
      <c r="B134" s="90" t="s">
        <v>1501</v>
      </c>
      <c r="C134">
        <v>6000</v>
      </c>
      <c r="F134" s="90" t="s">
        <v>385</v>
      </c>
      <c r="G134">
        <v>-18</v>
      </c>
      <c r="J134" s="90" t="s">
        <v>520</v>
      </c>
      <c r="K134">
        <v>0</v>
      </c>
      <c r="N134" s="90" t="s">
        <v>1156</v>
      </c>
      <c r="O134">
        <v>0</v>
      </c>
    </row>
    <row r="135" spans="2:15">
      <c r="B135" s="90" t="s">
        <v>1801</v>
      </c>
      <c r="C135">
        <v>6176.8210000000072</v>
      </c>
      <c r="F135" s="90" t="s">
        <v>520</v>
      </c>
      <c r="G135">
        <v>-500</v>
      </c>
      <c r="J135" s="90" t="s">
        <v>1206</v>
      </c>
      <c r="K135">
        <v>0</v>
      </c>
      <c r="N135" s="90" t="s">
        <v>628</v>
      </c>
      <c r="O135">
        <v>0</v>
      </c>
    </row>
    <row r="136" spans="2:15">
      <c r="B136" s="90" t="s">
        <v>430</v>
      </c>
      <c r="C136">
        <v>6238.64</v>
      </c>
      <c r="F136" s="90" t="s">
        <v>737</v>
      </c>
      <c r="G136">
        <v>-1240.359999999986</v>
      </c>
      <c r="J136" s="90" t="s">
        <v>534</v>
      </c>
      <c r="K136">
        <v>0</v>
      </c>
      <c r="N136" s="90" t="s">
        <v>1182</v>
      </c>
      <c r="O136">
        <v>0</v>
      </c>
    </row>
    <row r="137" spans="2:15">
      <c r="B137" s="90" t="s">
        <v>928</v>
      </c>
      <c r="C137">
        <v>6874.24</v>
      </c>
      <c r="F137" s="90" t="s">
        <v>1523</v>
      </c>
      <c r="G137">
        <v>-1500</v>
      </c>
      <c r="J137" s="90" t="s">
        <v>1208</v>
      </c>
      <c r="K137">
        <v>0</v>
      </c>
      <c r="N137" s="90" t="s">
        <v>633</v>
      </c>
      <c r="O137">
        <v>0</v>
      </c>
    </row>
    <row r="138" spans="2:15">
      <c r="B138" s="90" t="s">
        <v>2844</v>
      </c>
      <c r="C138">
        <v>7400</v>
      </c>
      <c r="F138" s="90" t="s">
        <v>244</v>
      </c>
      <c r="G138">
        <v>-1500</v>
      </c>
      <c r="J138" s="90" t="s">
        <v>555</v>
      </c>
      <c r="K138">
        <v>0</v>
      </c>
      <c r="N138" s="90" t="s">
        <v>1191</v>
      </c>
      <c r="O138">
        <v>0</v>
      </c>
    </row>
    <row r="139" spans="2:15">
      <c r="B139" s="90" t="s">
        <v>386</v>
      </c>
      <c r="C139">
        <v>9009.3430000000008</v>
      </c>
      <c r="F139" s="90" t="s">
        <v>636</v>
      </c>
      <c r="G139">
        <v>-2729.1169999999838</v>
      </c>
      <c r="J139" s="90" t="s">
        <v>1222</v>
      </c>
      <c r="K139">
        <v>0</v>
      </c>
      <c r="N139" s="90" t="s">
        <v>640</v>
      </c>
      <c r="O139">
        <v>0</v>
      </c>
    </row>
    <row r="140" spans="2:15">
      <c r="B140" s="90" t="s">
        <v>428</v>
      </c>
      <c r="C140">
        <v>9729.7880000000005</v>
      </c>
      <c r="F140" s="90" t="s">
        <v>1856</v>
      </c>
      <c r="G140">
        <v>-3587.0779999999995</v>
      </c>
      <c r="J140" s="90" t="s">
        <v>1787</v>
      </c>
      <c r="K140">
        <v>0</v>
      </c>
      <c r="N140" s="90" t="s">
        <v>1199</v>
      </c>
      <c r="O140">
        <v>0</v>
      </c>
    </row>
    <row r="141" spans="2:15">
      <c r="B141" s="90" t="s">
        <v>1818</v>
      </c>
      <c r="C141">
        <v>10000</v>
      </c>
      <c r="F141" s="90" t="s">
        <v>453</v>
      </c>
      <c r="G141">
        <v>-3750</v>
      </c>
      <c r="J141" s="90" t="s">
        <v>1225</v>
      </c>
      <c r="K141">
        <v>0</v>
      </c>
      <c r="N141" s="90" t="s">
        <v>2568</v>
      </c>
      <c r="O141">
        <v>0</v>
      </c>
    </row>
    <row r="142" spans="2:15">
      <c r="B142" s="90" t="s">
        <v>696</v>
      </c>
      <c r="C142">
        <v>10500</v>
      </c>
      <c r="F142" s="90" t="s">
        <v>240</v>
      </c>
      <c r="G142">
        <v>-3750</v>
      </c>
      <c r="J142" s="90" t="s">
        <v>573</v>
      </c>
      <c r="K142">
        <v>0</v>
      </c>
      <c r="N142" s="90" t="s">
        <v>1206</v>
      </c>
      <c r="O142">
        <v>0</v>
      </c>
    </row>
    <row r="143" spans="2:15">
      <c r="B143" s="90" t="s">
        <v>393</v>
      </c>
      <c r="C143">
        <v>11239.820000000007</v>
      </c>
      <c r="F143" s="90" t="s">
        <v>1491</v>
      </c>
      <c r="G143">
        <v>-4000</v>
      </c>
      <c r="J143" s="90" t="s">
        <v>1229</v>
      </c>
      <c r="K143">
        <v>0</v>
      </c>
      <c r="N143" s="90" t="s">
        <v>643</v>
      </c>
      <c r="O143">
        <v>0</v>
      </c>
    </row>
    <row r="144" spans="2:15">
      <c r="B144" s="90" t="s">
        <v>670</v>
      </c>
      <c r="C144">
        <v>11523.853000000818</v>
      </c>
      <c r="F144" s="90" t="s">
        <v>1185</v>
      </c>
      <c r="G144">
        <v>-4000</v>
      </c>
      <c r="J144" s="90" t="s">
        <v>250</v>
      </c>
      <c r="K144">
        <v>0</v>
      </c>
      <c r="N144" s="90" t="s">
        <v>1222</v>
      </c>
      <c r="O144">
        <v>0</v>
      </c>
    </row>
    <row r="145" spans="2:15">
      <c r="B145" s="90" t="s">
        <v>2456</v>
      </c>
      <c r="C145">
        <v>12433.799999999981</v>
      </c>
      <c r="F145" s="90" t="s">
        <v>2434</v>
      </c>
      <c r="G145">
        <v>-4054.2849999999999</v>
      </c>
      <c r="J145" s="90" t="s">
        <v>1234</v>
      </c>
      <c r="K145">
        <v>0</v>
      </c>
      <c r="N145" s="90" t="s">
        <v>645</v>
      </c>
      <c r="O145">
        <v>0</v>
      </c>
    </row>
    <row r="146" spans="2:15">
      <c r="B146" s="90" t="s">
        <v>1497</v>
      </c>
      <c r="C146">
        <v>12600</v>
      </c>
      <c r="F146" s="90" t="s">
        <v>1179</v>
      </c>
      <c r="G146">
        <v>-4286.4629999999961</v>
      </c>
      <c r="J146" s="90" t="s">
        <v>1793</v>
      </c>
      <c r="K146">
        <v>0</v>
      </c>
      <c r="N146" s="90" t="s">
        <v>1229</v>
      </c>
      <c r="O146">
        <v>0</v>
      </c>
    </row>
    <row r="147" spans="2:15">
      <c r="B147" s="90" t="s">
        <v>942</v>
      </c>
      <c r="C147">
        <v>14000</v>
      </c>
      <c r="F147" s="90" t="s">
        <v>925</v>
      </c>
      <c r="G147">
        <v>-5250</v>
      </c>
      <c r="J147" s="90" t="s">
        <v>1236</v>
      </c>
      <c r="K147">
        <v>0</v>
      </c>
      <c r="N147" s="90" t="s">
        <v>2580</v>
      </c>
      <c r="O147">
        <v>0</v>
      </c>
    </row>
    <row r="148" spans="2:15">
      <c r="B148" s="90" t="s">
        <v>946</v>
      </c>
      <c r="C148">
        <v>14260</v>
      </c>
      <c r="F148" s="90" t="s">
        <v>1405</v>
      </c>
      <c r="G148">
        <v>-8368.5200000000186</v>
      </c>
      <c r="J148" s="90" t="s">
        <v>275</v>
      </c>
      <c r="K148">
        <v>0</v>
      </c>
      <c r="N148" s="90" t="s">
        <v>1236</v>
      </c>
      <c r="O148">
        <v>0</v>
      </c>
    </row>
    <row r="149" spans="2:15">
      <c r="B149" s="90" t="s">
        <v>785</v>
      </c>
      <c r="C149">
        <v>18616.669999999998</v>
      </c>
      <c r="F149" s="90" t="s">
        <v>1879</v>
      </c>
      <c r="G149">
        <v>-9608.2610000001732</v>
      </c>
      <c r="J149" s="90" t="s">
        <v>1881</v>
      </c>
      <c r="K149">
        <v>0</v>
      </c>
      <c r="N149" s="90" t="s">
        <v>651</v>
      </c>
      <c r="O149">
        <v>0</v>
      </c>
    </row>
    <row r="150" spans="2:15">
      <c r="B150" s="90" t="s">
        <v>675</v>
      </c>
      <c r="C150">
        <v>20000</v>
      </c>
      <c r="F150" s="90" t="s">
        <v>445</v>
      </c>
      <c r="G150">
        <v>-10000</v>
      </c>
      <c r="J150" s="90" t="s">
        <v>643</v>
      </c>
      <c r="K150">
        <v>0</v>
      </c>
      <c r="N150" s="90" t="s">
        <v>1239</v>
      </c>
      <c r="O150">
        <v>0</v>
      </c>
    </row>
    <row r="151" spans="2:15">
      <c r="B151" s="90" t="s">
        <v>401</v>
      </c>
      <c r="C151">
        <v>20993.309999999998</v>
      </c>
      <c r="F151" s="90" t="s">
        <v>457</v>
      </c>
      <c r="G151">
        <v>-11433.33</v>
      </c>
      <c r="J151" s="90" t="s">
        <v>1239</v>
      </c>
      <c r="K151">
        <v>0</v>
      </c>
      <c r="N151" s="90" t="s">
        <v>655</v>
      </c>
      <c r="O151">
        <v>0</v>
      </c>
    </row>
    <row r="152" spans="2:15">
      <c r="B152" s="90" t="s">
        <v>806</v>
      </c>
      <c r="C152">
        <v>23793.5</v>
      </c>
      <c r="F152" s="90" t="s">
        <v>559</v>
      </c>
      <c r="G152">
        <v>-12600</v>
      </c>
      <c r="J152" s="90" t="s">
        <v>1814</v>
      </c>
      <c r="K152">
        <v>0</v>
      </c>
      <c r="N152" s="90" t="s">
        <v>1244</v>
      </c>
      <c r="O152">
        <v>0</v>
      </c>
    </row>
    <row r="153" spans="2:15">
      <c r="B153" s="90" t="s">
        <v>2580</v>
      </c>
      <c r="C153">
        <v>25000</v>
      </c>
      <c r="F153" s="90" t="s">
        <v>678</v>
      </c>
      <c r="G153">
        <v>-13200</v>
      </c>
      <c r="J153" s="90" t="s">
        <v>1241</v>
      </c>
      <c r="K153">
        <v>0</v>
      </c>
      <c r="N153" s="90" t="s">
        <v>1814</v>
      </c>
      <c r="O153">
        <v>0</v>
      </c>
    </row>
    <row r="154" spans="2:15">
      <c r="B154" s="90" t="s">
        <v>608</v>
      </c>
      <c r="C154">
        <v>29712.27999999997</v>
      </c>
      <c r="F154" s="90" t="s">
        <v>476</v>
      </c>
      <c r="G154">
        <v>-14000</v>
      </c>
      <c r="J154" s="90" t="s">
        <v>352</v>
      </c>
      <c r="K154">
        <v>0</v>
      </c>
      <c r="N154" s="90" t="s">
        <v>1257</v>
      </c>
      <c r="O154">
        <v>0</v>
      </c>
    </row>
    <row r="155" spans="2:15">
      <c r="B155" s="90" t="s">
        <v>731</v>
      </c>
      <c r="C155">
        <v>31937.880000000019</v>
      </c>
      <c r="F155" s="90" t="s">
        <v>791</v>
      </c>
      <c r="G155">
        <v>-14000</v>
      </c>
      <c r="J155" s="90" t="s">
        <v>1244</v>
      </c>
      <c r="K155">
        <v>0</v>
      </c>
      <c r="N155" s="90" t="s">
        <v>1523</v>
      </c>
      <c r="O155">
        <v>0</v>
      </c>
    </row>
    <row r="156" spans="2:15">
      <c r="B156" s="90" t="s">
        <v>1024</v>
      </c>
      <c r="C156">
        <v>32000</v>
      </c>
      <c r="F156" s="90" t="s">
        <v>930</v>
      </c>
      <c r="G156">
        <v>-15017.559999999998</v>
      </c>
      <c r="J156" s="90" t="s">
        <v>684</v>
      </c>
      <c r="K156">
        <v>0</v>
      </c>
      <c r="N156" s="90" t="s">
        <v>1883</v>
      </c>
      <c r="O156">
        <v>0</v>
      </c>
    </row>
    <row r="157" spans="2:15">
      <c r="B157" s="90" t="s">
        <v>413</v>
      </c>
      <c r="C157">
        <v>32521.60700000004</v>
      </c>
      <c r="F157" s="90" t="s">
        <v>704</v>
      </c>
      <c r="G157">
        <v>-15637.141999999963</v>
      </c>
      <c r="J157" s="90" t="s">
        <v>1255</v>
      </c>
      <c r="K157">
        <v>0</v>
      </c>
      <c r="N157" s="90" t="s">
        <v>659</v>
      </c>
      <c r="O157">
        <v>0</v>
      </c>
    </row>
    <row r="158" spans="2:15">
      <c r="B158" s="90" t="s">
        <v>640</v>
      </c>
      <c r="C158">
        <v>33259.370000000003</v>
      </c>
      <c r="F158" s="90" t="s">
        <v>2414</v>
      </c>
      <c r="G158">
        <v>-16000</v>
      </c>
      <c r="J158" s="90" t="s">
        <v>706</v>
      </c>
      <c r="K158">
        <v>0</v>
      </c>
      <c r="N158" s="90" t="s">
        <v>1270</v>
      </c>
      <c r="O158">
        <v>0</v>
      </c>
    </row>
    <row r="159" spans="2:15">
      <c r="B159" s="90" t="s">
        <v>633</v>
      </c>
      <c r="C159">
        <v>34659.25</v>
      </c>
      <c r="F159" s="90" t="s">
        <v>1199</v>
      </c>
      <c r="G159">
        <v>-16500</v>
      </c>
      <c r="J159" s="90" t="s">
        <v>1257</v>
      </c>
      <c r="K159">
        <v>0</v>
      </c>
      <c r="N159" s="90" t="s">
        <v>1818</v>
      </c>
      <c r="O159">
        <v>0</v>
      </c>
    </row>
    <row r="160" spans="2:15">
      <c r="B160" s="90" t="s">
        <v>966</v>
      </c>
      <c r="C160">
        <v>35000</v>
      </c>
      <c r="F160" s="90" t="s">
        <v>555</v>
      </c>
      <c r="G160">
        <v>-16600</v>
      </c>
      <c r="J160" s="90" t="s">
        <v>727</v>
      </c>
      <c r="K160">
        <v>0</v>
      </c>
      <c r="N160" s="90" t="s">
        <v>1276</v>
      </c>
      <c r="O160">
        <v>0</v>
      </c>
    </row>
    <row r="161" spans="2:15">
      <c r="B161" s="90" t="s">
        <v>1020</v>
      </c>
      <c r="C161">
        <v>39829.770000000019</v>
      </c>
      <c r="F161" s="90" t="s">
        <v>1877</v>
      </c>
      <c r="G161">
        <v>-18000</v>
      </c>
      <c r="J161" s="90" t="s">
        <v>1259</v>
      </c>
      <c r="K161">
        <v>0</v>
      </c>
      <c r="N161" s="90" t="s">
        <v>672</v>
      </c>
      <c r="O161">
        <v>0</v>
      </c>
    </row>
    <row r="162" spans="2:15">
      <c r="B162" s="90" t="s">
        <v>776</v>
      </c>
      <c r="C162">
        <v>45616.68</v>
      </c>
      <c r="F162" s="90" t="s">
        <v>3106</v>
      </c>
      <c r="G162">
        <v>-18339.510000000002</v>
      </c>
      <c r="J162" s="90" t="s">
        <v>776</v>
      </c>
      <c r="K162">
        <v>0</v>
      </c>
      <c r="N162" s="90" t="s">
        <v>3067</v>
      </c>
      <c r="O162">
        <v>0</v>
      </c>
    </row>
    <row r="163" spans="2:15">
      <c r="B163" s="90" t="s">
        <v>1408</v>
      </c>
      <c r="C163">
        <v>46000</v>
      </c>
      <c r="F163" s="90" t="s">
        <v>2568</v>
      </c>
      <c r="G163">
        <v>-20978.25</v>
      </c>
      <c r="J163" s="90" t="s">
        <v>1883</v>
      </c>
      <c r="K163">
        <v>0</v>
      </c>
      <c r="N163" s="90" t="s">
        <v>675</v>
      </c>
      <c r="O163">
        <v>0</v>
      </c>
    </row>
    <row r="164" spans="2:15">
      <c r="B164" s="90" t="s">
        <v>1241</v>
      </c>
      <c r="C164">
        <v>47500</v>
      </c>
      <c r="F164" s="90" t="s">
        <v>1111</v>
      </c>
      <c r="G164">
        <v>-21459.01999999999</v>
      </c>
      <c r="J164" s="90" t="s">
        <v>791</v>
      </c>
      <c r="K164">
        <v>0</v>
      </c>
      <c r="N164" s="90" t="s">
        <v>3079</v>
      </c>
      <c r="O164">
        <v>0</v>
      </c>
    </row>
    <row r="165" spans="2:15">
      <c r="B165" s="90" t="s">
        <v>723</v>
      </c>
      <c r="C165">
        <v>50456.800000000003</v>
      </c>
      <c r="F165" s="90" t="s">
        <v>546</v>
      </c>
      <c r="G165">
        <v>-21630</v>
      </c>
      <c r="J165" s="90" t="s">
        <v>1261</v>
      </c>
      <c r="K165">
        <v>0</v>
      </c>
      <c r="N165" s="90" t="s">
        <v>678</v>
      </c>
      <c r="O165">
        <v>0</v>
      </c>
    </row>
    <row r="166" spans="2:15">
      <c r="B166" s="90" t="s">
        <v>3067</v>
      </c>
      <c r="C166">
        <v>52015.53</v>
      </c>
      <c r="F166" s="90" t="s">
        <v>573</v>
      </c>
      <c r="G166">
        <v>-22318.329999999998</v>
      </c>
      <c r="J166" s="90" t="s">
        <v>814</v>
      </c>
      <c r="K166">
        <v>0</v>
      </c>
      <c r="N166" s="90" t="s">
        <v>1535</v>
      </c>
      <c r="O166">
        <v>0</v>
      </c>
    </row>
    <row r="167" spans="2:15">
      <c r="B167" s="90" t="s">
        <v>825</v>
      </c>
      <c r="C167">
        <v>52734.559999999998</v>
      </c>
      <c r="F167" s="90">
        <v>5221</v>
      </c>
      <c r="G167">
        <v>-22570</v>
      </c>
      <c r="J167" s="90" t="s">
        <v>1270</v>
      </c>
      <c r="K167">
        <v>0</v>
      </c>
      <c r="N167" s="90" t="s">
        <v>684</v>
      </c>
      <c r="O167">
        <v>0</v>
      </c>
    </row>
    <row r="168" spans="2:15">
      <c r="B168" s="90" t="s">
        <v>672</v>
      </c>
      <c r="C168">
        <v>55050</v>
      </c>
      <c r="F168" s="90" t="s">
        <v>482</v>
      </c>
      <c r="G168">
        <v>-23600</v>
      </c>
      <c r="J168" s="90" t="s">
        <v>438</v>
      </c>
      <c r="K168">
        <v>0</v>
      </c>
      <c r="N168" s="90" t="s">
        <v>3084</v>
      </c>
      <c r="O168">
        <v>0</v>
      </c>
    </row>
    <row r="169" spans="2:15">
      <c r="B169" s="90" t="s">
        <v>1222</v>
      </c>
      <c r="C169">
        <v>55796.530000000006</v>
      </c>
      <c r="F169" s="90" t="s">
        <v>619</v>
      </c>
      <c r="G169">
        <v>-25933.850000000006</v>
      </c>
      <c r="J169" s="90" t="s">
        <v>1273</v>
      </c>
      <c r="K169">
        <v>0</v>
      </c>
      <c r="N169" s="90" t="s">
        <v>692</v>
      </c>
      <c r="O169">
        <v>0</v>
      </c>
    </row>
    <row r="170" spans="2:15">
      <c r="B170" s="90" t="s">
        <v>820</v>
      </c>
      <c r="C170">
        <v>60300</v>
      </c>
      <c r="F170" s="90" t="s">
        <v>442</v>
      </c>
      <c r="G170">
        <v>-26250</v>
      </c>
      <c r="J170" s="90" t="s">
        <v>476</v>
      </c>
      <c r="K170">
        <v>0</v>
      </c>
      <c r="N170" s="90" t="s">
        <v>1781</v>
      </c>
      <c r="O170">
        <v>0</v>
      </c>
    </row>
    <row r="171" spans="2:15">
      <c r="B171" s="90" t="s">
        <v>1273</v>
      </c>
      <c r="C171">
        <v>65000</v>
      </c>
      <c r="F171" s="90" t="s">
        <v>1018</v>
      </c>
      <c r="G171">
        <v>-26372.75</v>
      </c>
      <c r="J171" s="90" t="s">
        <v>1276</v>
      </c>
      <c r="K171">
        <v>0</v>
      </c>
      <c r="N171" s="90" t="s">
        <v>696</v>
      </c>
      <c r="O171">
        <v>0</v>
      </c>
    </row>
    <row r="172" spans="2:15">
      <c r="B172" s="90" t="s">
        <v>709</v>
      </c>
      <c r="C172">
        <v>65696.750000000044</v>
      </c>
      <c r="F172" s="90" t="s">
        <v>514</v>
      </c>
      <c r="G172">
        <v>-28000</v>
      </c>
      <c r="J172" s="90" t="s">
        <v>525</v>
      </c>
      <c r="K172">
        <v>0</v>
      </c>
      <c r="N172" s="90" t="s">
        <v>1394</v>
      </c>
      <c r="O172">
        <v>0</v>
      </c>
    </row>
    <row r="173" spans="2:15">
      <c r="B173" s="90" t="s">
        <v>706</v>
      </c>
      <c r="C173">
        <v>67242.040000000008</v>
      </c>
      <c r="F173" s="90" t="s">
        <v>814</v>
      </c>
      <c r="G173">
        <v>-28583</v>
      </c>
      <c r="J173" s="90" t="s">
        <v>1280</v>
      </c>
      <c r="K173">
        <v>0</v>
      </c>
      <c r="N173" s="90" t="s">
        <v>706</v>
      </c>
      <c r="O173">
        <v>0</v>
      </c>
    </row>
    <row r="174" spans="2:15">
      <c r="B174" s="90" t="s">
        <v>409</v>
      </c>
      <c r="C174">
        <v>69327.19</v>
      </c>
      <c r="F174" s="90" t="s">
        <v>568</v>
      </c>
      <c r="G174">
        <v>-31213.206000000006</v>
      </c>
      <c r="J174" s="90" t="s">
        <v>559</v>
      </c>
      <c r="K174">
        <v>0</v>
      </c>
      <c r="N174" s="90" t="s">
        <v>1405</v>
      </c>
      <c r="O174">
        <v>0</v>
      </c>
    </row>
    <row r="175" spans="2:15">
      <c r="B175" s="90" t="s">
        <v>725</v>
      </c>
      <c r="C175">
        <v>71050</v>
      </c>
      <c r="F175" s="90" t="s">
        <v>796</v>
      </c>
      <c r="G175">
        <v>-32375.020000000011</v>
      </c>
      <c r="J175" s="90" t="s">
        <v>222</v>
      </c>
      <c r="K175">
        <v>0</v>
      </c>
      <c r="N175" s="90" t="s">
        <v>213</v>
      </c>
      <c r="O175">
        <v>0</v>
      </c>
    </row>
    <row r="176" spans="2:15">
      <c r="B176" s="90" t="s">
        <v>2937</v>
      </c>
      <c r="C176">
        <v>73600</v>
      </c>
      <c r="F176" s="90" t="s">
        <v>1195</v>
      </c>
      <c r="G176">
        <v>-33000</v>
      </c>
      <c r="J176" s="90" t="s">
        <v>592</v>
      </c>
      <c r="K176">
        <v>0</v>
      </c>
      <c r="N176" s="90" t="s">
        <v>1411</v>
      </c>
      <c r="O176">
        <v>0</v>
      </c>
    </row>
    <row r="177" spans="2:15">
      <c r="B177" s="90" t="s">
        <v>1182</v>
      </c>
      <c r="C177">
        <v>74511.109999999986</v>
      </c>
      <c r="F177" s="90" t="s">
        <v>645</v>
      </c>
      <c r="G177">
        <v>-34400</v>
      </c>
      <c r="J177" s="90" t="s">
        <v>3067</v>
      </c>
      <c r="K177">
        <v>0</v>
      </c>
      <c r="N177" s="90" t="s">
        <v>723</v>
      </c>
      <c r="O177">
        <v>0</v>
      </c>
    </row>
    <row r="178" spans="2:15">
      <c r="B178" s="90" t="s">
        <v>421</v>
      </c>
      <c r="C178">
        <v>75408.41</v>
      </c>
      <c r="F178" s="90" t="s">
        <v>908</v>
      </c>
      <c r="G178">
        <v>-36233.33</v>
      </c>
      <c r="J178" s="90" t="s">
        <v>628</v>
      </c>
      <c r="K178">
        <v>0</v>
      </c>
      <c r="N178" s="90" t="s">
        <v>725</v>
      </c>
      <c r="O178">
        <v>0</v>
      </c>
    </row>
    <row r="179" spans="2:15">
      <c r="B179" s="90" t="s">
        <v>378</v>
      </c>
      <c r="C179">
        <v>76800</v>
      </c>
      <c r="F179" s="90" t="s">
        <v>438</v>
      </c>
      <c r="G179">
        <v>-42634</v>
      </c>
      <c r="J179" s="90" t="s">
        <v>3076</v>
      </c>
      <c r="K179">
        <v>0</v>
      </c>
      <c r="N179" s="90" t="s">
        <v>709</v>
      </c>
      <c r="O179">
        <v>0</v>
      </c>
    </row>
    <row r="180" spans="2:15">
      <c r="B180" s="90" t="s">
        <v>2293</v>
      </c>
      <c r="C180">
        <v>78000</v>
      </c>
      <c r="F180" s="90" t="s">
        <v>643</v>
      </c>
      <c r="G180">
        <v>-45453.750000000015</v>
      </c>
      <c r="J180" s="90" t="s">
        <v>651</v>
      </c>
      <c r="K180">
        <v>0</v>
      </c>
      <c r="N180" s="90" t="s">
        <v>1018</v>
      </c>
      <c r="O180">
        <v>-27</v>
      </c>
    </row>
    <row r="181" spans="2:15">
      <c r="B181" s="90" t="s">
        <v>788</v>
      </c>
      <c r="C181">
        <v>80000</v>
      </c>
      <c r="F181" s="90" t="s">
        <v>250</v>
      </c>
      <c r="G181">
        <v>-45504.08</v>
      </c>
      <c r="J181" s="90" t="s">
        <v>3079</v>
      </c>
      <c r="K181">
        <v>0</v>
      </c>
      <c r="N181" s="90" t="s">
        <v>704</v>
      </c>
      <c r="O181">
        <v>-39.222000000008848</v>
      </c>
    </row>
    <row r="182" spans="2:15">
      <c r="B182" s="90" t="s">
        <v>727</v>
      </c>
      <c r="C182">
        <v>80000</v>
      </c>
      <c r="F182" s="90" t="s">
        <v>592</v>
      </c>
      <c r="G182">
        <v>-58096.66</v>
      </c>
      <c r="J182" s="90" t="s">
        <v>675</v>
      </c>
      <c r="K182">
        <v>0</v>
      </c>
      <c r="N182" s="90" t="s">
        <v>428</v>
      </c>
      <c r="O182">
        <v>-77.351999999999975</v>
      </c>
    </row>
    <row r="183" spans="2:15">
      <c r="B183" s="90" t="s">
        <v>1270</v>
      </c>
      <c r="C183">
        <v>80000</v>
      </c>
      <c r="F183" s="90" t="s">
        <v>472</v>
      </c>
      <c r="G183">
        <v>-75600</v>
      </c>
      <c r="J183" s="90" t="s">
        <v>1288</v>
      </c>
      <c r="K183">
        <v>0</v>
      </c>
      <c r="N183" s="90" t="s">
        <v>1856</v>
      </c>
      <c r="O183">
        <v>-101.92799999999988</v>
      </c>
    </row>
    <row r="184" spans="2:15">
      <c r="B184" s="90" t="s">
        <v>613</v>
      </c>
      <c r="C184">
        <v>91629.799999999988</v>
      </c>
      <c r="F184" s="90" t="s">
        <v>2216</v>
      </c>
      <c r="G184">
        <v>-77960.23000000001</v>
      </c>
      <c r="J184" s="90" t="s">
        <v>723</v>
      </c>
      <c r="K184">
        <v>0</v>
      </c>
      <c r="N184" s="90" t="s">
        <v>568</v>
      </c>
      <c r="O184">
        <v>-105.18600000000151</v>
      </c>
    </row>
    <row r="185" spans="2:15">
      <c r="B185" s="90" t="s">
        <v>1787</v>
      </c>
      <c r="C185">
        <v>92962.1</v>
      </c>
      <c r="F185" s="90" t="s">
        <v>488</v>
      </c>
      <c r="G185">
        <v>-79220.55</v>
      </c>
      <c r="J185" s="90" t="s">
        <v>1535</v>
      </c>
      <c r="K185">
        <v>0</v>
      </c>
      <c r="N185" s="90" t="s">
        <v>648</v>
      </c>
      <c r="O185">
        <v>-120</v>
      </c>
    </row>
    <row r="186" spans="2:15">
      <c r="B186" s="90" t="s">
        <v>2989</v>
      </c>
      <c r="C186">
        <v>97853.88</v>
      </c>
      <c r="F186" s="90" t="s">
        <v>934</v>
      </c>
      <c r="G186">
        <v>-85085.489000000031</v>
      </c>
      <c r="J186" s="90" t="s">
        <v>785</v>
      </c>
      <c r="K186">
        <v>0</v>
      </c>
      <c r="N186" s="90" t="s">
        <v>608</v>
      </c>
      <c r="O186">
        <v>-174.30000000000291</v>
      </c>
    </row>
    <row r="187" spans="2:15">
      <c r="B187" s="90" t="s">
        <v>2328</v>
      </c>
      <c r="C187">
        <v>100000</v>
      </c>
      <c r="F187" s="90" t="s">
        <v>659</v>
      </c>
      <c r="G187">
        <v>-89640</v>
      </c>
      <c r="J187" s="90" t="s">
        <v>3084</v>
      </c>
      <c r="K187">
        <v>0</v>
      </c>
      <c r="N187" s="90" t="s">
        <v>1864</v>
      </c>
      <c r="O187">
        <v>-217.19999999995343</v>
      </c>
    </row>
    <row r="188" spans="2:15">
      <c r="B188" s="90" t="s">
        <v>1411</v>
      </c>
      <c r="C188">
        <v>111300</v>
      </c>
      <c r="F188" s="90" t="s">
        <v>648</v>
      </c>
      <c r="G188">
        <v>-107200</v>
      </c>
      <c r="J188" s="90" t="s">
        <v>421</v>
      </c>
      <c r="K188">
        <v>0</v>
      </c>
      <c r="N188" s="90" t="s">
        <v>613</v>
      </c>
      <c r="O188">
        <v>-325.38000000000466</v>
      </c>
    </row>
    <row r="189" spans="2:15">
      <c r="B189" s="90" t="s">
        <v>1114</v>
      </c>
      <c r="C189">
        <v>111500</v>
      </c>
      <c r="F189" s="90" t="s">
        <v>397</v>
      </c>
      <c r="G189">
        <v>-122168.59</v>
      </c>
      <c r="J189" s="90" t="s">
        <v>3091</v>
      </c>
      <c r="K189">
        <v>0</v>
      </c>
      <c r="N189" s="90" t="s">
        <v>1179</v>
      </c>
      <c r="O189">
        <v>-424.29300000000148</v>
      </c>
    </row>
    <row r="190" spans="2:15">
      <c r="B190" s="90" t="s">
        <v>754</v>
      </c>
      <c r="C190">
        <v>113295.02</v>
      </c>
      <c r="F190" s="90" t="s">
        <v>1118</v>
      </c>
      <c r="G190">
        <v>-122606.94100000002</v>
      </c>
      <c r="J190" s="90" t="s">
        <v>514</v>
      </c>
      <c r="K190">
        <v>0</v>
      </c>
      <c r="N190" s="90" t="s">
        <v>3106</v>
      </c>
      <c r="O190">
        <v>-583.79999999999927</v>
      </c>
    </row>
    <row r="191" spans="2:15">
      <c r="B191" s="90" t="s">
        <v>418</v>
      </c>
      <c r="C191">
        <v>123897.28</v>
      </c>
      <c r="F191" s="90" t="s">
        <v>1102</v>
      </c>
      <c r="G191">
        <v>-124781</v>
      </c>
      <c r="J191" s="90" t="s">
        <v>1781</v>
      </c>
      <c r="K191">
        <v>0</v>
      </c>
      <c r="N191" s="90" t="s">
        <v>2858</v>
      </c>
      <c r="O191">
        <v>-737.10000000000582</v>
      </c>
    </row>
    <row r="192" spans="2:15">
      <c r="B192" s="90" t="s">
        <v>2858</v>
      </c>
      <c r="C192">
        <v>124757.89999999998</v>
      </c>
      <c r="F192" s="90" t="s">
        <v>1864</v>
      </c>
      <c r="G192">
        <v>-140625.22000000012</v>
      </c>
      <c r="J192" s="90" t="s">
        <v>2463</v>
      </c>
      <c r="K192">
        <v>0</v>
      </c>
      <c r="N192" s="90" t="s">
        <v>619</v>
      </c>
      <c r="O192">
        <v>-842.40000000000873</v>
      </c>
    </row>
    <row r="193" spans="2:15">
      <c r="B193" s="90" t="s">
        <v>275</v>
      </c>
      <c r="C193">
        <v>132743.88</v>
      </c>
      <c r="F193" s="90" t="s">
        <v>2441</v>
      </c>
      <c r="G193">
        <v>-140735.81699999998</v>
      </c>
      <c r="J193" s="90" t="s">
        <v>1390</v>
      </c>
      <c r="K193">
        <v>0</v>
      </c>
      <c r="N193" s="90" t="s">
        <v>981</v>
      </c>
      <c r="O193">
        <v>-985.20000000018626</v>
      </c>
    </row>
    <row r="194" spans="2:15">
      <c r="B194" s="90" t="s">
        <v>3076</v>
      </c>
      <c r="C194">
        <v>144000</v>
      </c>
      <c r="F194" s="90" t="s">
        <v>269</v>
      </c>
      <c r="G194">
        <v>-141746.45000000001</v>
      </c>
      <c r="J194" s="90" t="s">
        <v>640</v>
      </c>
      <c r="K194">
        <v>0</v>
      </c>
      <c r="N194" s="90" t="s">
        <v>636</v>
      </c>
      <c r="O194">
        <v>-985.79699999999139</v>
      </c>
    </row>
    <row r="195" spans="2:15">
      <c r="B195" s="90" t="s">
        <v>352</v>
      </c>
      <c r="C195">
        <v>147790.69</v>
      </c>
      <c r="F195" s="90" t="s">
        <v>1137</v>
      </c>
      <c r="G195">
        <v>-155435.29</v>
      </c>
      <c r="J195" s="90" t="s">
        <v>1394</v>
      </c>
      <c r="K195">
        <v>0</v>
      </c>
      <c r="N195" s="90" t="s">
        <v>386</v>
      </c>
      <c r="O195">
        <v>-1345.1969999999965</v>
      </c>
    </row>
    <row r="196" spans="2:15">
      <c r="B196" s="90" t="s">
        <v>782</v>
      </c>
      <c r="C196">
        <v>165858.63</v>
      </c>
      <c r="F196" s="90" t="s">
        <v>638</v>
      </c>
      <c r="G196">
        <v>-159634.52399999986</v>
      </c>
      <c r="J196" s="90" t="s">
        <v>696</v>
      </c>
      <c r="K196">
        <v>0</v>
      </c>
      <c r="N196" s="90" t="s">
        <v>1879</v>
      </c>
      <c r="O196">
        <v>-1388.8710000002757</v>
      </c>
    </row>
    <row r="197" spans="2:15">
      <c r="B197" s="90" t="s">
        <v>2875</v>
      </c>
      <c r="C197">
        <v>170000</v>
      </c>
      <c r="F197" s="90" t="s">
        <v>2940</v>
      </c>
      <c r="G197">
        <v>-160000</v>
      </c>
      <c r="J197" s="90" t="s">
        <v>401</v>
      </c>
      <c r="K197">
        <v>0</v>
      </c>
      <c r="N197" s="90" t="s">
        <v>389</v>
      </c>
      <c r="O197">
        <v>-1412.0100000000002</v>
      </c>
    </row>
    <row r="198" spans="2:15">
      <c r="B198" s="90" t="s">
        <v>611</v>
      </c>
      <c r="C198">
        <v>186630.43299999993</v>
      </c>
      <c r="F198" s="90" t="s">
        <v>361</v>
      </c>
      <c r="G198">
        <v>-187465.92999999996</v>
      </c>
      <c r="J198" s="90" t="s">
        <v>806</v>
      </c>
      <c r="K198">
        <v>0</v>
      </c>
      <c r="N198" s="90" t="s">
        <v>1400</v>
      </c>
      <c r="O198">
        <v>-1573.0380000000005</v>
      </c>
    </row>
    <row r="199" spans="2:15">
      <c r="B199" s="90" t="s">
        <v>2701</v>
      </c>
      <c r="C199">
        <v>190000</v>
      </c>
      <c r="F199" s="90" t="s">
        <v>968</v>
      </c>
      <c r="G199">
        <v>-191641.51200000031</v>
      </c>
      <c r="J199" s="90" t="s">
        <v>409</v>
      </c>
      <c r="K199">
        <v>0</v>
      </c>
      <c r="N199" s="90" t="s">
        <v>2434</v>
      </c>
      <c r="O199">
        <v>-1704.2250000000004</v>
      </c>
    </row>
    <row r="200" spans="2:15">
      <c r="B200" s="90" t="s">
        <v>1156</v>
      </c>
      <c r="C200">
        <v>191042.00000000003</v>
      </c>
      <c r="F200" s="90" t="s">
        <v>1803</v>
      </c>
      <c r="G200">
        <v>-206585.83000000002</v>
      </c>
      <c r="J200" s="90" t="s">
        <v>542</v>
      </c>
      <c r="K200">
        <v>0</v>
      </c>
      <c r="N200" s="90" t="s">
        <v>638</v>
      </c>
      <c r="O200">
        <v>-2183.3039999999455</v>
      </c>
    </row>
    <row r="201" spans="2:15">
      <c r="B201" s="90" t="s">
        <v>373</v>
      </c>
      <c r="C201">
        <v>192188.64</v>
      </c>
      <c r="F201" s="90" t="s">
        <v>1847</v>
      </c>
      <c r="G201">
        <v>-242700</v>
      </c>
      <c r="J201" s="90" t="s">
        <v>224</v>
      </c>
      <c r="K201">
        <v>0</v>
      </c>
      <c r="N201" s="90" t="s">
        <v>1801</v>
      </c>
      <c r="O201">
        <v>-2698.2989999999845</v>
      </c>
    </row>
    <row r="202" spans="2:15">
      <c r="B202" s="90" t="s">
        <v>1793</v>
      </c>
      <c r="C202">
        <v>205200</v>
      </c>
      <c r="F202" s="90" t="s">
        <v>311</v>
      </c>
      <c r="G202">
        <v>-251532.17000000004</v>
      </c>
      <c r="J202" s="90" t="s">
        <v>659</v>
      </c>
      <c r="K202">
        <v>0</v>
      </c>
      <c r="N202" s="90" t="s">
        <v>1118</v>
      </c>
      <c r="O202">
        <v>-2946.8609999999753</v>
      </c>
    </row>
    <row r="203" spans="2:15">
      <c r="B203" s="90" t="s">
        <v>1396</v>
      </c>
      <c r="C203">
        <v>209541.82199999993</v>
      </c>
      <c r="F203" s="90" t="s">
        <v>918</v>
      </c>
      <c r="G203">
        <v>-283950.76</v>
      </c>
      <c r="J203" s="90" t="s">
        <v>737</v>
      </c>
      <c r="K203">
        <v>0</v>
      </c>
      <c r="N203" s="90" t="s">
        <v>397</v>
      </c>
      <c r="O203">
        <v>-3000</v>
      </c>
    </row>
    <row r="204" spans="2:15">
      <c r="B204" s="90" t="s">
        <v>3079</v>
      </c>
      <c r="C204">
        <v>216000</v>
      </c>
      <c r="F204" s="90" t="s">
        <v>1390</v>
      </c>
      <c r="G204">
        <v>-390000</v>
      </c>
      <c r="J204" s="90" t="s">
        <v>457</v>
      </c>
      <c r="K204">
        <v>0</v>
      </c>
      <c r="N204" s="90" t="s">
        <v>968</v>
      </c>
      <c r="O204">
        <v>-3834.311999999918</v>
      </c>
    </row>
    <row r="205" spans="2:15">
      <c r="B205" s="90" t="s">
        <v>2862</v>
      </c>
      <c r="C205">
        <v>224078.76099999997</v>
      </c>
      <c r="F205" s="90" t="s">
        <v>1283</v>
      </c>
      <c r="G205">
        <v>-417850.24</v>
      </c>
      <c r="J205" s="90" t="s">
        <v>269</v>
      </c>
      <c r="K205">
        <v>0</v>
      </c>
      <c r="N205" s="90" t="s">
        <v>1396</v>
      </c>
      <c r="O205">
        <v>-4052.3980000000156</v>
      </c>
    </row>
    <row r="206" spans="2:15">
      <c r="B206" s="90" t="s">
        <v>1387</v>
      </c>
      <c r="C206">
        <v>239600</v>
      </c>
      <c r="F206" s="90" t="s">
        <v>1031</v>
      </c>
      <c r="G206">
        <v>-565043.4</v>
      </c>
      <c r="J206" s="90" t="s">
        <v>1405</v>
      </c>
      <c r="K206">
        <v>0</v>
      </c>
      <c r="N206" s="90" t="s">
        <v>670</v>
      </c>
      <c r="O206">
        <v>-4340.7870000004768</v>
      </c>
    </row>
    <row r="207" spans="2:15">
      <c r="B207" s="90" t="s">
        <v>905</v>
      </c>
      <c r="C207">
        <v>269643</v>
      </c>
      <c r="F207" s="90" t="s">
        <v>827</v>
      </c>
      <c r="G207">
        <v>-634911.22</v>
      </c>
      <c r="J207" s="90" t="s">
        <v>1411</v>
      </c>
      <c r="K207">
        <v>0</v>
      </c>
      <c r="N207" s="90" t="s">
        <v>934</v>
      </c>
      <c r="O207">
        <v>-6571.9890000000014</v>
      </c>
    </row>
    <row r="208" spans="2:15">
      <c r="B208" s="90" t="s">
        <v>528</v>
      </c>
      <c r="C208">
        <v>292000</v>
      </c>
      <c r="F208" s="90" t="s">
        <v>525</v>
      </c>
      <c r="G208">
        <v>-719865.60000000009</v>
      </c>
      <c r="J208" s="90" t="s">
        <v>1408</v>
      </c>
      <c r="K208">
        <v>0</v>
      </c>
      <c r="N208" s="90" t="s">
        <v>611</v>
      </c>
      <c r="O208">
        <v>-7715.4869999997318</v>
      </c>
    </row>
    <row r="209" spans="2:15">
      <c r="B209" s="90" t="s">
        <v>1288</v>
      </c>
      <c r="C209">
        <v>400000</v>
      </c>
      <c r="F209" s="90" t="s">
        <v>391</v>
      </c>
      <c r="G209">
        <v>-831679.67800000019</v>
      </c>
      <c r="J209" s="90" t="s">
        <v>1403</v>
      </c>
      <c r="K209">
        <v>1.0000000009313226E-2</v>
      </c>
      <c r="N209" s="90" t="s">
        <v>2441</v>
      </c>
      <c r="O209">
        <v>-8166.9869999999937</v>
      </c>
    </row>
    <row r="210" spans="2:15">
      <c r="B210" s="90" t="s">
        <v>2463</v>
      </c>
      <c r="C210">
        <v>502980.31</v>
      </c>
      <c r="F210" s="90" t="s">
        <v>1535</v>
      </c>
      <c r="G210">
        <v>-849515.52000000002</v>
      </c>
      <c r="J210" s="90" t="s">
        <v>2862</v>
      </c>
      <c r="K210">
        <v>170.04099999996834</v>
      </c>
      <c r="N210" s="90" t="s">
        <v>413</v>
      </c>
      <c r="O210">
        <v>-9998.792999999976</v>
      </c>
    </row>
    <row r="211" spans="2:15">
      <c r="B211" s="90" t="s">
        <v>981</v>
      </c>
      <c r="C211">
        <v>2610047.5440000007</v>
      </c>
      <c r="F211" s="90" t="s">
        <v>277</v>
      </c>
      <c r="G211">
        <v>-1194921.1999999997</v>
      </c>
      <c r="J211" s="90" t="s">
        <v>1387</v>
      </c>
      <c r="K211">
        <v>27000</v>
      </c>
      <c r="N211" s="90" t="s">
        <v>1283</v>
      </c>
      <c r="O211">
        <v>-458343.24000000022</v>
      </c>
    </row>
    <row r="212" spans="2:15">
      <c r="B212" s="90" t="s">
        <v>82</v>
      </c>
      <c r="C212">
        <v>3492.1010000008682</v>
      </c>
      <c r="F212" s="90" t="s">
        <v>82</v>
      </c>
      <c r="G212">
        <v>3492.1010000008682</v>
      </c>
      <c r="J212" s="90" t="s">
        <v>82</v>
      </c>
      <c r="K212">
        <v>-499851.90500000073</v>
      </c>
      <c r="N212" s="90" t="s">
        <v>82</v>
      </c>
      <c r="O212">
        <v>-499851.90500000073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6F0E-4D01-F84F-B6BF-D6D2370C58B6}">
  <sheetPr codeName="Sheet10">
    <tabColor rgb="FFFFC000"/>
  </sheetPr>
  <dimension ref="A1:X3339"/>
  <sheetViews>
    <sheetView workbookViewId="0"/>
  </sheetViews>
  <sheetFormatPr baseColWidth="10" defaultRowHeight="15.6"/>
  <cols>
    <col min="1" max="1" width="13.296875" customWidth="1"/>
    <col min="2" max="4" width="15.5" bestFit="1" customWidth="1"/>
    <col min="5" max="5" width="17.19921875" customWidth="1"/>
    <col min="6" max="8" width="13.296875" customWidth="1"/>
    <col min="9" max="9" width="39" bestFit="1" customWidth="1"/>
    <col min="10" max="10" width="51.19921875" customWidth="1"/>
    <col min="11" max="11" width="15" style="95" bestFit="1" customWidth="1"/>
    <col min="12" max="15" width="13.296875" style="95" customWidth="1"/>
    <col min="16" max="17" width="21" customWidth="1"/>
    <col min="18" max="21" width="23.796875" customWidth="1"/>
    <col min="22" max="22" width="14" bestFit="1" customWidth="1"/>
    <col min="23" max="23" width="14.69921875" bestFit="1" customWidth="1"/>
    <col min="24" max="24" width="13" bestFit="1" customWidth="1"/>
  </cols>
  <sheetData>
    <row r="1" spans="1:20" ht="16.2" thickBot="1"/>
    <row r="2" spans="1:20" ht="29.4" thickBot="1">
      <c r="A2" s="93" t="s">
        <v>36</v>
      </c>
      <c r="B2" s="93" t="s">
        <v>39</v>
      </c>
      <c r="C2" s="93" t="s">
        <v>38</v>
      </c>
      <c r="D2" s="93" t="s">
        <v>2</v>
      </c>
      <c r="E2" s="93" t="s">
        <v>54</v>
      </c>
      <c r="F2" s="94" t="s">
        <v>40</v>
      </c>
      <c r="G2" s="93" t="s">
        <v>41</v>
      </c>
      <c r="H2" s="93" t="s">
        <v>83</v>
      </c>
      <c r="I2" s="93" t="s">
        <v>42</v>
      </c>
      <c r="J2" s="93" t="s">
        <v>45</v>
      </c>
      <c r="K2" s="96" t="s">
        <v>46</v>
      </c>
      <c r="L2" s="96" t="s">
        <v>47</v>
      </c>
      <c r="M2" s="96" t="s">
        <v>48</v>
      </c>
      <c r="N2" s="96" t="s">
        <v>49</v>
      </c>
      <c r="O2" s="96" t="s">
        <v>50</v>
      </c>
      <c r="P2" s="97" t="s">
        <v>84</v>
      </c>
      <c r="Q2" s="97" t="s">
        <v>85</v>
      </c>
      <c r="R2" s="97" t="s">
        <v>88</v>
      </c>
      <c r="S2" s="97" t="s">
        <v>89</v>
      </c>
      <c r="T2" s="100" t="s">
        <v>90</v>
      </c>
    </row>
    <row r="3" spans="1:20">
      <c r="A3" s="101"/>
      <c r="B3" s="101"/>
      <c r="C3" s="101"/>
      <c r="D3" s="101"/>
      <c r="E3" s="101"/>
      <c r="F3" s="102"/>
      <c r="G3" s="101"/>
      <c r="H3" s="102"/>
      <c r="I3" s="101"/>
      <c r="J3" s="101"/>
      <c r="K3" s="103"/>
      <c r="L3" s="103"/>
      <c r="M3" s="103"/>
      <c r="N3" s="103"/>
      <c r="O3" s="103"/>
      <c r="P3" s="98" t="s">
        <v>86</v>
      </c>
      <c r="Q3" s="99" t="s">
        <v>87</v>
      </c>
      <c r="R3" s="104">
        <f>IF(P3="Cargo",K3+L3+M3-N3-O3,0)</f>
        <v>0</v>
      </c>
      <c r="S3" s="104">
        <f>IF(P3="Abono",K3+L3+M3-N3-O3,0)</f>
        <v>0</v>
      </c>
      <c r="T3" s="104">
        <f>+R3-S3</f>
        <v>0</v>
      </c>
    </row>
    <row r="4" spans="1:20">
      <c r="A4" s="101"/>
      <c r="B4" s="101"/>
      <c r="C4" s="101"/>
      <c r="D4" s="101"/>
      <c r="E4" s="101"/>
      <c r="F4" s="102"/>
      <c r="G4" s="101"/>
      <c r="H4" s="102"/>
      <c r="I4" s="101"/>
      <c r="J4" s="101"/>
      <c r="K4" s="103"/>
      <c r="L4" s="103"/>
      <c r="M4" s="103"/>
      <c r="N4" s="103"/>
      <c r="O4" s="103"/>
      <c r="P4" s="98"/>
      <c r="Q4" s="99"/>
      <c r="R4" s="105">
        <f t="shared" ref="R4" si="0">IF(P4="Cargo",K4+L4-M4-N4+O4,0)</f>
        <v>0</v>
      </c>
      <c r="S4" s="108">
        <f t="shared" ref="S4:S65" si="1">IF(P4="Abono",K4+L4+M4-N4-O4,0)</f>
        <v>0</v>
      </c>
      <c r="T4" s="105">
        <f>IF(Q4="OK",+T3+R4-S4,T3)</f>
        <v>0</v>
      </c>
    </row>
    <row r="5" spans="1:20">
      <c r="A5" s="101"/>
      <c r="B5" s="101"/>
      <c r="C5" s="101"/>
      <c r="D5" s="101"/>
      <c r="E5" s="101"/>
      <c r="F5" s="102"/>
      <c r="G5" s="101"/>
      <c r="H5" s="102"/>
      <c r="I5" s="101"/>
      <c r="J5" s="101"/>
      <c r="K5" s="103"/>
      <c r="L5" s="103"/>
      <c r="M5" s="103"/>
      <c r="N5" s="103"/>
      <c r="O5" s="103"/>
      <c r="P5" s="98"/>
      <c r="Q5" s="99"/>
      <c r="R5" s="104">
        <f t="shared" ref="R5:R65" si="2">IF(P5="Cargo",K5+L5-M5-N5+O5,0)</f>
        <v>0</v>
      </c>
      <c r="S5" s="104">
        <f t="shared" si="1"/>
        <v>0</v>
      </c>
      <c r="T5" s="104">
        <f t="shared" ref="T5:T65" si="3">IF(Q5="OK",+T4+R5-S5,T4)</f>
        <v>0</v>
      </c>
    </row>
    <row r="6" spans="1:20">
      <c r="A6" s="101"/>
      <c r="B6" s="101"/>
      <c r="C6" s="101"/>
      <c r="D6" s="101"/>
      <c r="E6" s="101"/>
      <c r="F6" s="102"/>
      <c r="G6" s="101"/>
      <c r="H6" s="102"/>
      <c r="I6" s="101"/>
      <c r="J6" s="101"/>
      <c r="K6" s="111"/>
      <c r="L6" s="103"/>
      <c r="M6" s="103"/>
      <c r="N6" s="103"/>
      <c r="O6" s="103"/>
      <c r="P6" s="98"/>
      <c r="Q6" s="99"/>
      <c r="R6" s="105">
        <f t="shared" si="2"/>
        <v>0</v>
      </c>
      <c r="S6" s="108">
        <f t="shared" si="1"/>
        <v>0</v>
      </c>
      <c r="T6" s="105">
        <f t="shared" si="3"/>
        <v>0</v>
      </c>
    </row>
    <row r="7" spans="1:20">
      <c r="A7" s="101"/>
      <c r="B7" s="101"/>
      <c r="C7" s="101"/>
      <c r="D7" s="101"/>
      <c r="E7" s="101"/>
      <c r="F7" s="102"/>
      <c r="G7" s="101"/>
      <c r="H7" s="102"/>
      <c r="I7" s="101"/>
      <c r="J7" s="101"/>
      <c r="K7" s="103"/>
      <c r="L7" s="103"/>
      <c r="M7" s="103"/>
      <c r="N7" s="103"/>
      <c r="O7" s="103"/>
      <c r="P7" s="98"/>
      <c r="Q7" s="99"/>
      <c r="R7" s="104">
        <f t="shared" si="2"/>
        <v>0</v>
      </c>
      <c r="S7" s="104">
        <f t="shared" si="1"/>
        <v>0</v>
      </c>
      <c r="T7" s="104">
        <f t="shared" si="3"/>
        <v>0</v>
      </c>
    </row>
    <row r="8" spans="1:20">
      <c r="A8" s="101"/>
      <c r="B8" s="101"/>
      <c r="C8" s="101"/>
      <c r="D8" s="101"/>
      <c r="E8" s="101"/>
      <c r="F8" s="102"/>
      <c r="G8" s="101"/>
      <c r="H8" s="102"/>
      <c r="I8" s="101"/>
      <c r="J8" s="101"/>
      <c r="K8" s="103"/>
      <c r="L8" s="103"/>
      <c r="M8" s="103"/>
      <c r="N8" s="103"/>
      <c r="O8" s="103"/>
      <c r="P8" s="98"/>
      <c r="Q8" s="99"/>
      <c r="R8" s="105">
        <f t="shared" si="2"/>
        <v>0</v>
      </c>
      <c r="S8" s="108">
        <f t="shared" si="1"/>
        <v>0</v>
      </c>
      <c r="T8" s="105">
        <f t="shared" si="3"/>
        <v>0</v>
      </c>
    </row>
    <row r="9" spans="1:20">
      <c r="A9" s="101"/>
      <c r="B9" s="101"/>
      <c r="C9" s="101"/>
      <c r="D9" s="101"/>
      <c r="E9" s="101"/>
      <c r="F9" s="102"/>
      <c r="G9" s="101"/>
      <c r="H9" s="102"/>
      <c r="I9" s="101"/>
      <c r="J9" s="101"/>
      <c r="K9" s="103"/>
      <c r="L9" s="103"/>
      <c r="M9" s="103"/>
      <c r="N9" s="103"/>
      <c r="O9" s="103"/>
      <c r="P9" s="98"/>
      <c r="Q9" s="99"/>
      <c r="R9" s="104">
        <f t="shared" si="2"/>
        <v>0</v>
      </c>
      <c r="S9" s="104">
        <f t="shared" si="1"/>
        <v>0</v>
      </c>
      <c r="T9" s="104">
        <f t="shared" si="3"/>
        <v>0</v>
      </c>
    </row>
    <row r="10" spans="1:20">
      <c r="A10" s="101"/>
      <c r="B10" s="101"/>
      <c r="C10" s="101"/>
      <c r="D10" s="101"/>
      <c r="E10" s="101"/>
      <c r="F10" s="102"/>
      <c r="G10" s="101"/>
      <c r="H10" s="102"/>
      <c r="I10" s="101"/>
      <c r="J10" s="101"/>
      <c r="K10" s="103"/>
      <c r="L10" s="103"/>
      <c r="M10" s="103"/>
      <c r="N10" s="103"/>
      <c r="O10" s="103"/>
      <c r="P10" s="98"/>
      <c r="Q10" s="99"/>
      <c r="R10" s="105">
        <f t="shared" si="2"/>
        <v>0</v>
      </c>
      <c r="S10" s="108">
        <f t="shared" si="1"/>
        <v>0</v>
      </c>
      <c r="T10" s="105">
        <f t="shared" si="3"/>
        <v>0</v>
      </c>
    </row>
    <row r="11" spans="1:20">
      <c r="A11" s="101"/>
      <c r="B11" s="101"/>
      <c r="C11" s="101"/>
      <c r="D11" s="101"/>
      <c r="E11" s="101"/>
      <c r="F11" s="102"/>
      <c r="G11" s="101"/>
      <c r="H11" s="102"/>
      <c r="I11" s="101"/>
      <c r="J11" s="101"/>
      <c r="K11" s="103"/>
      <c r="L11" s="103"/>
      <c r="M11" s="103"/>
      <c r="N11" s="103"/>
      <c r="O11" s="103"/>
      <c r="P11" s="98"/>
      <c r="Q11" s="99"/>
      <c r="R11" s="104">
        <f t="shared" si="2"/>
        <v>0</v>
      </c>
      <c r="S11" s="104">
        <f t="shared" si="1"/>
        <v>0</v>
      </c>
      <c r="T11" s="104">
        <f t="shared" si="3"/>
        <v>0</v>
      </c>
    </row>
    <row r="12" spans="1:20">
      <c r="A12" s="101"/>
      <c r="B12" s="101"/>
      <c r="C12" s="101"/>
      <c r="D12" s="101"/>
      <c r="E12" s="101"/>
      <c r="F12" s="102"/>
      <c r="G12" s="101"/>
      <c r="H12" s="102"/>
      <c r="I12" s="101"/>
      <c r="J12" s="101"/>
      <c r="K12" s="103"/>
      <c r="L12" s="103"/>
      <c r="M12" s="103"/>
      <c r="N12" s="103"/>
      <c r="O12" s="103"/>
      <c r="P12" s="98"/>
      <c r="Q12" s="99"/>
      <c r="R12" s="105">
        <f t="shared" si="2"/>
        <v>0</v>
      </c>
      <c r="S12" s="108">
        <f t="shared" si="1"/>
        <v>0</v>
      </c>
      <c r="T12" s="105">
        <f t="shared" si="3"/>
        <v>0</v>
      </c>
    </row>
    <row r="13" spans="1:20">
      <c r="A13" s="101"/>
      <c r="B13" s="101"/>
      <c r="C13" s="101"/>
      <c r="D13" s="101"/>
      <c r="E13" s="101"/>
      <c r="F13" s="102"/>
      <c r="G13" s="101"/>
      <c r="H13" s="102"/>
      <c r="I13" s="101"/>
      <c r="J13" s="101"/>
      <c r="K13" s="103"/>
      <c r="L13" s="103"/>
      <c r="M13" s="103"/>
      <c r="N13" s="103"/>
      <c r="O13" s="103"/>
      <c r="P13" s="98"/>
      <c r="Q13" s="99"/>
      <c r="R13" s="104">
        <f t="shared" si="2"/>
        <v>0</v>
      </c>
      <c r="S13" s="104">
        <f t="shared" si="1"/>
        <v>0</v>
      </c>
      <c r="T13" s="104">
        <f t="shared" si="3"/>
        <v>0</v>
      </c>
    </row>
    <row r="14" spans="1:20">
      <c r="A14" s="101"/>
      <c r="B14" s="101"/>
      <c r="C14" s="101"/>
      <c r="D14" s="101"/>
      <c r="E14" s="101"/>
      <c r="F14" s="102"/>
      <c r="G14" s="101"/>
      <c r="H14" s="102"/>
      <c r="I14" s="101"/>
      <c r="J14" s="101"/>
      <c r="K14" s="103"/>
      <c r="L14" s="103"/>
      <c r="M14" s="103"/>
      <c r="N14" s="103"/>
      <c r="O14" s="103"/>
      <c r="P14" s="98"/>
      <c r="Q14" s="99"/>
      <c r="R14" s="105">
        <f t="shared" si="2"/>
        <v>0</v>
      </c>
      <c r="S14" s="108">
        <f t="shared" si="1"/>
        <v>0</v>
      </c>
      <c r="T14" s="105">
        <f t="shared" si="3"/>
        <v>0</v>
      </c>
    </row>
    <row r="15" spans="1:20">
      <c r="A15" s="101"/>
      <c r="B15" s="101"/>
      <c r="C15" s="101"/>
      <c r="D15" s="101"/>
      <c r="E15" s="101"/>
      <c r="F15" s="102"/>
      <c r="G15" s="101"/>
      <c r="H15" s="102"/>
      <c r="I15" s="101"/>
      <c r="J15" s="101"/>
      <c r="K15" s="103"/>
      <c r="L15" s="103"/>
      <c r="M15" s="103"/>
      <c r="N15" s="103"/>
      <c r="O15" s="103"/>
      <c r="P15" s="98"/>
      <c r="Q15" s="99"/>
      <c r="R15" s="104">
        <f t="shared" si="2"/>
        <v>0</v>
      </c>
      <c r="S15" s="104">
        <f t="shared" si="1"/>
        <v>0</v>
      </c>
      <c r="T15" s="104">
        <f t="shared" si="3"/>
        <v>0</v>
      </c>
    </row>
    <row r="16" spans="1:20">
      <c r="A16" s="101"/>
      <c r="B16" s="101"/>
      <c r="C16" s="101"/>
      <c r="D16" s="101"/>
      <c r="E16" s="101"/>
      <c r="F16" s="102"/>
      <c r="G16" s="101"/>
      <c r="H16" s="102"/>
      <c r="I16" s="101"/>
      <c r="J16" s="101"/>
      <c r="K16" s="103"/>
      <c r="L16" s="103"/>
      <c r="M16" s="103"/>
      <c r="N16" s="103"/>
      <c r="O16" s="103"/>
      <c r="P16" s="98"/>
      <c r="Q16" s="99"/>
      <c r="R16" s="105">
        <f t="shared" si="2"/>
        <v>0</v>
      </c>
      <c r="S16" s="108">
        <f t="shared" si="1"/>
        <v>0</v>
      </c>
      <c r="T16" s="105">
        <f t="shared" si="3"/>
        <v>0</v>
      </c>
    </row>
    <row r="17" spans="1:20">
      <c r="A17" s="101"/>
      <c r="B17" s="101"/>
      <c r="C17" s="101"/>
      <c r="D17" s="101"/>
      <c r="E17" s="101"/>
      <c r="F17" s="102"/>
      <c r="G17" s="101"/>
      <c r="H17" s="102"/>
      <c r="I17" s="101"/>
      <c r="J17" s="101"/>
      <c r="K17" s="103"/>
      <c r="L17" s="103"/>
      <c r="M17" s="103"/>
      <c r="N17" s="103"/>
      <c r="O17" s="103"/>
      <c r="P17" s="98"/>
      <c r="Q17" s="99"/>
      <c r="R17" s="104">
        <f t="shared" si="2"/>
        <v>0</v>
      </c>
      <c r="S17" s="104">
        <f t="shared" si="1"/>
        <v>0</v>
      </c>
      <c r="T17" s="104">
        <f t="shared" si="3"/>
        <v>0</v>
      </c>
    </row>
    <row r="18" spans="1:20">
      <c r="A18" s="101"/>
      <c r="B18" s="101"/>
      <c r="C18" s="101"/>
      <c r="D18" s="101"/>
      <c r="E18" s="101"/>
      <c r="F18" s="102"/>
      <c r="G18" s="101"/>
      <c r="H18" s="102"/>
      <c r="I18" s="101"/>
      <c r="J18" s="101"/>
      <c r="K18" s="103"/>
      <c r="L18" s="103"/>
      <c r="M18" s="103"/>
      <c r="N18" s="103"/>
      <c r="O18" s="103"/>
      <c r="P18" s="98"/>
      <c r="Q18" s="99"/>
      <c r="R18" s="105">
        <f t="shared" si="2"/>
        <v>0</v>
      </c>
      <c r="S18" s="108">
        <f t="shared" si="1"/>
        <v>0</v>
      </c>
      <c r="T18" s="105">
        <f t="shared" si="3"/>
        <v>0</v>
      </c>
    </row>
    <row r="19" spans="1:20">
      <c r="A19" s="101"/>
      <c r="B19" s="101"/>
      <c r="C19" s="101"/>
      <c r="D19" s="101"/>
      <c r="E19" s="101"/>
      <c r="F19" s="102"/>
      <c r="G19" s="101"/>
      <c r="H19" s="102"/>
      <c r="I19" s="101"/>
      <c r="J19" s="101"/>
      <c r="K19" s="103"/>
      <c r="L19" s="103"/>
      <c r="M19" s="103"/>
      <c r="N19" s="103"/>
      <c r="O19" s="103"/>
      <c r="P19" s="98"/>
      <c r="Q19" s="99"/>
      <c r="R19" s="104">
        <f t="shared" si="2"/>
        <v>0</v>
      </c>
      <c r="S19" s="104">
        <f t="shared" si="1"/>
        <v>0</v>
      </c>
      <c r="T19" s="104">
        <f t="shared" si="3"/>
        <v>0</v>
      </c>
    </row>
    <row r="20" spans="1:20">
      <c r="A20" s="101"/>
      <c r="B20" s="101"/>
      <c r="C20" s="101"/>
      <c r="D20" s="101"/>
      <c r="E20" s="101"/>
      <c r="F20" s="102"/>
      <c r="G20" s="101"/>
      <c r="H20" s="102"/>
      <c r="I20" s="101"/>
      <c r="J20" s="101"/>
      <c r="K20" s="103"/>
      <c r="L20" s="103"/>
      <c r="M20" s="103"/>
      <c r="N20" s="103"/>
      <c r="O20" s="103"/>
      <c r="P20" s="98"/>
      <c r="Q20" s="99"/>
      <c r="R20" s="105">
        <f t="shared" si="2"/>
        <v>0</v>
      </c>
      <c r="S20" s="108">
        <f t="shared" si="1"/>
        <v>0</v>
      </c>
      <c r="T20" s="105">
        <f t="shared" si="3"/>
        <v>0</v>
      </c>
    </row>
    <row r="21" spans="1:20">
      <c r="A21" s="101"/>
      <c r="B21" s="101"/>
      <c r="C21" s="101"/>
      <c r="D21" s="101"/>
      <c r="E21" s="101"/>
      <c r="F21" s="102"/>
      <c r="G21" s="101"/>
      <c r="H21" s="102"/>
      <c r="I21" s="101"/>
      <c r="J21" s="101"/>
      <c r="K21" s="103"/>
      <c r="L21" s="103"/>
      <c r="M21" s="103"/>
      <c r="N21" s="103"/>
      <c r="O21" s="103"/>
      <c r="P21" s="98"/>
      <c r="Q21" s="99"/>
      <c r="R21" s="104">
        <f t="shared" si="2"/>
        <v>0</v>
      </c>
      <c r="S21" s="104">
        <f t="shared" si="1"/>
        <v>0</v>
      </c>
      <c r="T21" s="104">
        <f t="shared" si="3"/>
        <v>0</v>
      </c>
    </row>
    <row r="22" spans="1:20">
      <c r="A22" s="101"/>
      <c r="B22" s="101"/>
      <c r="C22" s="101"/>
      <c r="D22" s="101"/>
      <c r="E22" s="101"/>
      <c r="F22" s="102"/>
      <c r="G22" s="101"/>
      <c r="H22" s="102"/>
      <c r="I22" s="101"/>
      <c r="J22" s="101"/>
      <c r="K22" s="103"/>
      <c r="L22" s="103"/>
      <c r="M22" s="103"/>
      <c r="N22" s="103"/>
      <c r="O22" s="103"/>
      <c r="P22" s="98"/>
      <c r="Q22" s="99"/>
      <c r="R22" s="105">
        <f t="shared" si="2"/>
        <v>0</v>
      </c>
      <c r="S22" s="108">
        <f t="shared" si="1"/>
        <v>0</v>
      </c>
      <c r="T22" s="105">
        <f t="shared" si="3"/>
        <v>0</v>
      </c>
    </row>
    <row r="23" spans="1:20">
      <c r="A23" s="101"/>
      <c r="B23" s="101"/>
      <c r="C23" s="101"/>
      <c r="D23" s="101"/>
      <c r="E23" s="101"/>
      <c r="F23" s="102"/>
      <c r="G23" s="101"/>
      <c r="H23" s="102"/>
      <c r="I23" s="101"/>
      <c r="J23" s="101"/>
      <c r="K23" s="103"/>
      <c r="L23" s="103"/>
      <c r="M23" s="103"/>
      <c r="N23" s="103"/>
      <c r="O23" s="103"/>
      <c r="P23" s="98"/>
      <c r="Q23" s="99"/>
      <c r="R23" s="104">
        <f t="shared" si="2"/>
        <v>0</v>
      </c>
      <c r="S23" s="104">
        <f t="shared" si="1"/>
        <v>0</v>
      </c>
      <c r="T23" s="104">
        <f t="shared" si="3"/>
        <v>0</v>
      </c>
    </row>
    <row r="24" spans="1:20">
      <c r="A24" s="101"/>
      <c r="B24" s="101"/>
      <c r="C24" s="101"/>
      <c r="D24" s="101"/>
      <c r="E24" s="101"/>
      <c r="F24" s="102"/>
      <c r="G24" s="101"/>
      <c r="H24" s="102"/>
      <c r="I24" s="101"/>
      <c r="J24" s="101"/>
      <c r="K24" s="103"/>
      <c r="L24" s="103"/>
      <c r="M24" s="103"/>
      <c r="N24" s="103"/>
      <c r="O24" s="103"/>
      <c r="P24" s="98"/>
      <c r="Q24" s="99"/>
      <c r="R24" s="105">
        <f t="shared" si="2"/>
        <v>0</v>
      </c>
      <c r="S24" s="108">
        <f t="shared" si="1"/>
        <v>0</v>
      </c>
      <c r="T24" s="105">
        <f t="shared" si="3"/>
        <v>0</v>
      </c>
    </row>
    <row r="25" spans="1:20">
      <c r="A25" s="101"/>
      <c r="B25" s="101"/>
      <c r="C25" s="101"/>
      <c r="D25" s="101"/>
      <c r="E25" s="101"/>
      <c r="F25" s="102"/>
      <c r="G25" s="101"/>
      <c r="H25" s="102"/>
      <c r="I25" s="101"/>
      <c r="J25" s="101"/>
      <c r="K25" s="103"/>
      <c r="L25" s="103"/>
      <c r="M25" s="103"/>
      <c r="N25" s="103"/>
      <c r="O25" s="103"/>
      <c r="P25" s="98"/>
      <c r="Q25" s="99"/>
      <c r="R25" s="104">
        <f t="shared" si="2"/>
        <v>0</v>
      </c>
      <c r="S25" s="104">
        <f t="shared" si="1"/>
        <v>0</v>
      </c>
      <c r="T25" s="104">
        <f t="shared" si="3"/>
        <v>0</v>
      </c>
    </row>
    <row r="26" spans="1:20">
      <c r="A26" s="101"/>
      <c r="B26" s="101"/>
      <c r="C26" s="101"/>
      <c r="D26" s="101"/>
      <c r="E26" s="101"/>
      <c r="F26" s="102"/>
      <c r="G26" s="101"/>
      <c r="H26" s="102"/>
      <c r="I26" s="101"/>
      <c r="J26" s="101"/>
      <c r="K26" s="103"/>
      <c r="L26" s="103"/>
      <c r="M26" s="103"/>
      <c r="N26" s="103"/>
      <c r="O26" s="103"/>
      <c r="P26" s="98"/>
      <c r="Q26" s="99"/>
      <c r="R26" s="105">
        <f t="shared" si="2"/>
        <v>0</v>
      </c>
      <c r="S26" s="108">
        <f t="shared" si="1"/>
        <v>0</v>
      </c>
      <c r="T26" s="105">
        <f t="shared" si="3"/>
        <v>0</v>
      </c>
    </row>
    <row r="27" spans="1:20">
      <c r="A27" s="101"/>
      <c r="B27" s="101"/>
      <c r="C27" s="101"/>
      <c r="D27" s="101"/>
      <c r="E27" s="101"/>
      <c r="F27" s="102"/>
      <c r="G27" s="101"/>
      <c r="H27" s="102"/>
      <c r="I27" s="101"/>
      <c r="J27" s="101"/>
      <c r="K27" s="103"/>
      <c r="L27" s="103"/>
      <c r="M27" s="103"/>
      <c r="N27" s="103"/>
      <c r="O27" s="103"/>
      <c r="P27" s="98"/>
      <c r="Q27" s="99"/>
      <c r="R27" s="104">
        <f t="shared" si="2"/>
        <v>0</v>
      </c>
      <c r="S27" s="104">
        <f t="shared" si="1"/>
        <v>0</v>
      </c>
      <c r="T27" s="104">
        <f t="shared" si="3"/>
        <v>0</v>
      </c>
    </row>
    <row r="28" spans="1:20">
      <c r="A28" s="101"/>
      <c r="B28" s="101"/>
      <c r="C28" s="101"/>
      <c r="D28" s="101"/>
      <c r="E28" s="101"/>
      <c r="F28" s="102"/>
      <c r="G28" s="101"/>
      <c r="H28" s="102"/>
      <c r="I28" s="101"/>
      <c r="J28" s="101"/>
      <c r="K28" s="103"/>
      <c r="L28" s="103"/>
      <c r="M28" s="103"/>
      <c r="N28" s="103"/>
      <c r="O28" s="103"/>
      <c r="P28" s="98"/>
      <c r="Q28" s="99"/>
      <c r="R28" s="105">
        <f t="shared" si="2"/>
        <v>0</v>
      </c>
      <c r="S28" s="108">
        <f t="shared" si="1"/>
        <v>0</v>
      </c>
      <c r="T28" s="105">
        <f t="shared" si="3"/>
        <v>0</v>
      </c>
    </row>
    <row r="29" spans="1:20">
      <c r="A29" s="101"/>
      <c r="B29" s="101"/>
      <c r="C29" s="101"/>
      <c r="D29" s="101"/>
      <c r="E29" s="101"/>
      <c r="F29" s="102"/>
      <c r="G29" s="101"/>
      <c r="H29" s="102"/>
      <c r="I29" s="101"/>
      <c r="J29" s="101"/>
      <c r="K29" s="103"/>
      <c r="L29" s="103"/>
      <c r="M29" s="103"/>
      <c r="N29" s="103"/>
      <c r="O29" s="103"/>
      <c r="P29" s="98"/>
      <c r="Q29" s="99"/>
      <c r="R29" s="104">
        <f t="shared" si="2"/>
        <v>0</v>
      </c>
      <c r="S29" s="104">
        <f t="shared" si="1"/>
        <v>0</v>
      </c>
      <c r="T29" s="104">
        <f t="shared" si="3"/>
        <v>0</v>
      </c>
    </row>
    <row r="30" spans="1:20">
      <c r="A30" s="101"/>
      <c r="B30" s="101"/>
      <c r="C30" s="101"/>
      <c r="D30" s="101"/>
      <c r="E30" s="101"/>
      <c r="F30" s="102"/>
      <c r="G30" s="101"/>
      <c r="H30" s="102"/>
      <c r="I30" s="101"/>
      <c r="J30" s="101"/>
      <c r="K30" s="103"/>
      <c r="L30" s="103"/>
      <c r="M30" s="103"/>
      <c r="N30" s="103"/>
      <c r="O30" s="103"/>
      <c r="P30" s="98"/>
      <c r="Q30" s="99"/>
      <c r="R30" s="105">
        <f t="shared" si="2"/>
        <v>0</v>
      </c>
      <c r="S30" s="108">
        <f t="shared" si="1"/>
        <v>0</v>
      </c>
      <c r="T30" s="105">
        <f t="shared" si="3"/>
        <v>0</v>
      </c>
    </row>
    <row r="31" spans="1:20">
      <c r="A31" s="101"/>
      <c r="B31" s="101"/>
      <c r="C31" s="101"/>
      <c r="D31" s="101"/>
      <c r="E31" s="101"/>
      <c r="F31" s="102"/>
      <c r="G31" s="101"/>
      <c r="H31" s="102"/>
      <c r="I31" s="101"/>
      <c r="J31" s="101"/>
      <c r="K31" s="103"/>
      <c r="L31" s="103"/>
      <c r="M31" s="103"/>
      <c r="N31" s="103"/>
      <c r="O31" s="103"/>
      <c r="P31" s="98"/>
      <c r="Q31" s="99"/>
      <c r="R31" s="104">
        <f t="shared" si="2"/>
        <v>0</v>
      </c>
      <c r="S31" s="104">
        <f t="shared" si="1"/>
        <v>0</v>
      </c>
      <c r="T31" s="104">
        <f t="shared" si="3"/>
        <v>0</v>
      </c>
    </row>
    <row r="32" spans="1:20">
      <c r="A32" s="101"/>
      <c r="B32" s="101"/>
      <c r="C32" s="101"/>
      <c r="D32" s="101"/>
      <c r="E32" s="101"/>
      <c r="F32" s="102"/>
      <c r="G32" s="101"/>
      <c r="H32" s="102"/>
      <c r="I32" s="101"/>
      <c r="J32" s="101"/>
      <c r="K32" s="103"/>
      <c r="L32" s="103"/>
      <c r="M32" s="103"/>
      <c r="N32" s="103"/>
      <c r="O32" s="103"/>
      <c r="P32" s="98"/>
      <c r="Q32" s="99"/>
      <c r="R32" s="105">
        <f t="shared" si="2"/>
        <v>0</v>
      </c>
      <c r="S32" s="108">
        <f t="shared" si="1"/>
        <v>0</v>
      </c>
      <c r="T32" s="105">
        <f t="shared" si="3"/>
        <v>0</v>
      </c>
    </row>
    <row r="33" spans="1:21">
      <c r="A33" s="101"/>
      <c r="B33" s="101"/>
      <c r="C33" s="101"/>
      <c r="D33" s="101"/>
      <c r="E33" s="101"/>
      <c r="F33" s="102"/>
      <c r="G33" s="101"/>
      <c r="H33" s="102"/>
      <c r="I33" s="101"/>
      <c r="J33" s="101"/>
      <c r="K33" s="103"/>
      <c r="L33" s="103"/>
      <c r="M33" s="103"/>
      <c r="N33" s="103"/>
      <c r="O33" s="103"/>
      <c r="P33" s="98"/>
      <c r="Q33" s="99"/>
      <c r="R33" s="104">
        <f t="shared" si="2"/>
        <v>0</v>
      </c>
      <c r="S33" s="104">
        <f t="shared" si="1"/>
        <v>0</v>
      </c>
      <c r="T33" s="104">
        <f t="shared" si="3"/>
        <v>0</v>
      </c>
    </row>
    <row r="34" spans="1:21">
      <c r="A34" s="101"/>
      <c r="B34" s="101"/>
      <c r="C34" s="101"/>
      <c r="D34" s="101"/>
      <c r="E34" s="101"/>
      <c r="F34" s="102"/>
      <c r="G34" s="101"/>
      <c r="H34" s="102"/>
      <c r="I34" s="101"/>
      <c r="J34" s="101"/>
      <c r="K34" s="103"/>
      <c r="L34" s="103"/>
      <c r="M34" s="103"/>
      <c r="N34" s="103"/>
      <c r="O34" s="103"/>
      <c r="P34" s="98"/>
      <c r="Q34" s="99"/>
      <c r="R34" s="105">
        <f t="shared" si="2"/>
        <v>0</v>
      </c>
      <c r="S34" s="108">
        <f t="shared" si="1"/>
        <v>0</v>
      </c>
      <c r="T34" s="105">
        <f t="shared" si="3"/>
        <v>0</v>
      </c>
    </row>
    <row r="35" spans="1:21">
      <c r="A35" s="101"/>
      <c r="B35" s="101"/>
      <c r="C35" s="101"/>
      <c r="D35" s="101"/>
      <c r="E35" s="101"/>
      <c r="F35" s="102"/>
      <c r="G35" s="101"/>
      <c r="H35" s="102"/>
      <c r="I35" s="101"/>
      <c r="J35" s="101"/>
      <c r="K35" s="103"/>
      <c r="L35" s="103"/>
      <c r="M35" s="103"/>
      <c r="N35" s="103"/>
      <c r="O35" s="103"/>
      <c r="P35" s="98"/>
      <c r="Q35" s="99"/>
      <c r="R35" s="104">
        <f t="shared" si="2"/>
        <v>0</v>
      </c>
      <c r="S35" s="104">
        <f t="shared" si="1"/>
        <v>0</v>
      </c>
      <c r="T35" s="104">
        <f t="shared" si="3"/>
        <v>0</v>
      </c>
    </row>
    <row r="36" spans="1:21">
      <c r="A36" s="101"/>
      <c r="B36" s="101"/>
      <c r="C36" s="101"/>
      <c r="D36" s="101"/>
      <c r="E36" s="101"/>
      <c r="F36" s="102"/>
      <c r="G36" s="101"/>
      <c r="H36" s="102"/>
      <c r="I36" s="101"/>
      <c r="J36" s="101"/>
      <c r="K36" s="103"/>
      <c r="L36" s="103"/>
      <c r="M36" s="103"/>
      <c r="N36" s="103"/>
      <c r="O36" s="103"/>
      <c r="P36" s="98"/>
      <c r="Q36" s="99"/>
      <c r="R36" s="105">
        <f t="shared" si="2"/>
        <v>0</v>
      </c>
      <c r="S36" s="108">
        <f t="shared" si="1"/>
        <v>0</v>
      </c>
      <c r="T36" s="105">
        <f t="shared" si="3"/>
        <v>0</v>
      </c>
    </row>
    <row r="37" spans="1:21">
      <c r="A37" s="101"/>
      <c r="B37" s="101"/>
      <c r="C37" s="101"/>
      <c r="D37" s="101"/>
      <c r="E37" s="101"/>
      <c r="F37" s="102"/>
      <c r="G37" s="101"/>
      <c r="H37" s="102"/>
      <c r="I37" s="101"/>
      <c r="J37" s="101"/>
      <c r="K37" s="103"/>
      <c r="L37" s="103"/>
      <c r="M37" s="103"/>
      <c r="N37" s="103"/>
      <c r="O37" s="103"/>
      <c r="P37" s="98"/>
      <c r="Q37" s="99"/>
      <c r="R37" s="104">
        <f t="shared" si="2"/>
        <v>0</v>
      </c>
      <c r="S37" s="104">
        <f t="shared" si="1"/>
        <v>0</v>
      </c>
      <c r="T37" s="104">
        <f t="shared" si="3"/>
        <v>0</v>
      </c>
    </row>
    <row r="38" spans="1:21">
      <c r="A38" s="101"/>
      <c r="B38" s="101"/>
      <c r="C38" s="101"/>
      <c r="D38" s="101"/>
      <c r="E38" s="101"/>
      <c r="F38" s="102"/>
      <c r="G38" s="101"/>
      <c r="H38" s="102"/>
      <c r="I38" s="101"/>
      <c r="J38" s="101"/>
      <c r="K38" s="103"/>
      <c r="L38" s="103"/>
      <c r="M38" s="103"/>
      <c r="N38" s="103"/>
      <c r="O38" s="103"/>
      <c r="P38" s="98"/>
      <c r="Q38" s="99"/>
      <c r="R38" s="105">
        <f t="shared" si="2"/>
        <v>0</v>
      </c>
      <c r="S38" s="108">
        <f t="shared" si="1"/>
        <v>0</v>
      </c>
      <c r="T38" s="105">
        <f t="shared" si="3"/>
        <v>0</v>
      </c>
      <c r="U38" s="106"/>
    </row>
    <row r="39" spans="1:21">
      <c r="A39" s="101"/>
      <c r="B39" s="101"/>
      <c r="C39" s="101"/>
      <c r="D39" s="101"/>
      <c r="E39" s="101"/>
      <c r="F39" s="102"/>
      <c r="G39" s="101"/>
      <c r="H39" s="102"/>
      <c r="I39" s="101"/>
      <c r="J39" s="101"/>
      <c r="K39" s="103"/>
      <c r="L39" s="103"/>
      <c r="M39" s="103"/>
      <c r="N39" s="103"/>
      <c r="O39" s="103"/>
      <c r="P39" s="98"/>
      <c r="Q39" s="99"/>
      <c r="R39" s="104">
        <f t="shared" si="2"/>
        <v>0</v>
      </c>
      <c r="S39" s="104">
        <f t="shared" si="1"/>
        <v>0</v>
      </c>
      <c r="T39" s="104">
        <f t="shared" si="3"/>
        <v>0</v>
      </c>
    </row>
    <row r="40" spans="1:21">
      <c r="A40" s="101"/>
      <c r="B40" s="101"/>
      <c r="C40" s="101"/>
      <c r="D40" s="101"/>
      <c r="E40" s="101"/>
      <c r="F40" s="102"/>
      <c r="G40" s="101"/>
      <c r="H40" s="102"/>
      <c r="I40" s="101"/>
      <c r="J40" s="101"/>
      <c r="K40" s="103"/>
      <c r="L40" s="103"/>
      <c r="M40" s="103"/>
      <c r="N40" s="103"/>
      <c r="O40" s="103"/>
      <c r="P40" s="98"/>
      <c r="Q40" s="99"/>
      <c r="R40" s="105">
        <f t="shared" si="2"/>
        <v>0</v>
      </c>
      <c r="S40" s="108">
        <f t="shared" si="1"/>
        <v>0</v>
      </c>
      <c r="T40" s="105">
        <f t="shared" si="3"/>
        <v>0</v>
      </c>
    </row>
    <row r="41" spans="1:21">
      <c r="A41" s="101"/>
      <c r="B41" s="101"/>
      <c r="C41" s="101"/>
      <c r="D41" s="101"/>
      <c r="E41" s="101"/>
      <c r="F41" s="102"/>
      <c r="G41" s="101"/>
      <c r="H41" s="102"/>
      <c r="I41" s="101"/>
      <c r="J41" s="101"/>
      <c r="K41" s="103"/>
      <c r="L41" s="103"/>
      <c r="M41" s="103"/>
      <c r="N41" s="103"/>
      <c r="O41" s="103"/>
      <c r="P41" s="98"/>
      <c r="Q41" s="99"/>
      <c r="R41" s="104">
        <f t="shared" si="2"/>
        <v>0</v>
      </c>
      <c r="S41" s="104">
        <f t="shared" si="1"/>
        <v>0</v>
      </c>
      <c r="T41" s="104">
        <f t="shared" si="3"/>
        <v>0</v>
      </c>
    </row>
    <row r="42" spans="1:21">
      <c r="A42" s="101"/>
      <c r="B42" s="101"/>
      <c r="C42" s="101"/>
      <c r="D42" s="101"/>
      <c r="E42" s="101"/>
      <c r="F42" s="102"/>
      <c r="G42" s="101"/>
      <c r="H42" s="102"/>
      <c r="I42" s="101"/>
      <c r="J42" s="101"/>
      <c r="K42" s="103"/>
      <c r="L42" s="103"/>
      <c r="M42" s="103"/>
      <c r="N42" s="103"/>
      <c r="O42" s="103"/>
      <c r="P42" s="98"/>
      <c r="Q42" s="99"/>
      <c r="R42" s="105">
        <f t="shared" si="2"/>
        <v>0</v>
      </c>
      <c r="S42" s="108">
        <f t="shared" si="1"/>
        <v>0</v>
      </c>
      <c r="T42" s="105">
        <f t="shared" si="3"/>
        <v>0</v>
      </c>
    </row>
    <row r="43" spans="1:21">
      <c r="A43" s="101"/>
      <c r="B43" s="101"/>
      <c r="C43" s="101"/>
      <c r="D43" s="101"/>
      <c r="E43" s="101"/>
      <c r="F43" s="102"/>
      <c r="G43" s="101"/>
      <c r="H43" s="102"/>
      <c r="I43" s="101"/>
      <c r="J43" s="101"/>
      <c r="K43" s="103"/>
      <c r="L43" s="103"/>
      <c r="M43" s="103"/>
      <c r="N43" s="103"/>
      <c r="O43" s="103"/>
      <c r="P43" s="98"/>
      <c r="Q43" s="99"/>
      <c r="R43" s="104">
        <f t="shared" si="2"/>
        <v>0</v>
      </c>
      <c r="S43" s="104">
        <f t="shared" si="1"/>
        <v>0</v>
      </c>
      <c r="T43" s="104">
        <f t="shared" si="3"/>
        <v>0</v>
      </c>
    </row>
    <row r="44" spans="1:21">
      <c r="A44" s="101"/>
      <c r="B44" s="101"/>
      <c r="C44" s="101"/>
      <c r="D44" s="101"/>
      <c r="E44" s="101"/>
      <c r="F44" s="102"/>
      <c r="G44" s="101"/>
      <c r="H44" s="102"/>
      <c r="I44" s="101"/>
      <c r="J44" s="101"/>
      <c r="K44" s="103"/>
      <c r="L44" s="103"/>
      <c r="M44" s="103"/>
      <c r="N44" s="103"/>
      <c r="O44" s="103"/>
      <c r="P44" s="98"/>
      <c r="Q44" s="99"/>
      <c r="R44" s="105">
        <f t="shared" si="2"/>
        <v>0</v>
      </c>
      <c r="S44" s="108">
        <f t="shared" si="1"/>
        <v>0</v>
      </c>
      <c r="T44" s="105">
        <f t="shared" si="3"/>
        <v>0</v>
      </c>
    </row>
    <row r="45" spans="1:21">
      <c r="A45" s="101"/>
      <c r="B45" s="101"/>
      <c r="C45" s="101"/>
      <c r="D45" s="101"/>
      <c r="E45" s="101"/>
      <c r="F45" s="102"/>
      <c r="G45" s="101"/>
      <c r="H45" s="102"/>
      <c r="I45" s="101"/>
      <c r="J45" s="101"/>
      <c r="K45" s="103"/>
      <c r="L45" s="103"/>
      <c r="M45" s="103"/>
      <c r="N45" s="103"/>
      <c r="O45" s="103"/>
      <c r="P45" s="98"/>
      <c r="Q45" s="99"/>
      <c r="R45" s="104">
        <f t="shared" si="2"/>
        <v>0</v>
      </c>
      <c r="S45" s="104">
        <f t="shared" si="1"/>
        <v>0</v>
      </c>
      <c r="T45" s="104">
        <f t="shared" si="3"/>
        <v>0</v>
      </c>
    </row>
    <row r="46" spans="1:21">
      <c r="A46" s="101"/>
      <c r="B46" s="101"/>
      <c r="C46" s="101"/>
      <c r="D46" s="101"/>
      <c r="E46" s="101"/>
      <c r="F46" s="102"/>
      <c r="G46" s="101"/>
      <c r="H46" s="102"/>
      <c r="I46" s="101"/>
      <c r="J46" s="101"/>
      <c r="K46" s="103"/>
      <c r="L46" s="103"/>
      <c r="M46" s="103"/>
      <c r="N46" s="103"/>
      <c r="O46" s="103"/>
      <c r="P46" s="98"/>
      <c r="Q46" s="99"/>
      <c r="R46" s="105">
        <f t="shared" si="2"/>
        <v>0</v>
      </c>
      <c r="S46" s="108">
        <f t="shared" si="1"/>
        <v>0</v>
      </c>
      <c r="T46" s="105">
        <f t="shared" si="3"/>
        <v>0</v>
      </c>
    </row>
    <row r="47" spans="1:21">
      <c r="A47" s="101"/>
      <c r="B47" s="101"/>
      <c r="C47" s="101"/>
      <c r="D47" s="101"/>
      <c r="E47" s="101"/>
      <c r="F47" s="102"/>
      <c r="G47" s="101"/>
      <c r="H47" s="102"/>
      <c r="I47" s="101"/>
      <c r="J47" s="101"/>
      <c r="K47" s="103"/>
      <c r="L47" s="103"/>
      <c r="M47" s="103"/>
      <c r="N47" s="103"/>
      <c r="O47" s="103"/>
      <c r="P47" s="98"/>
      <c r="Q47" s="99"/>
      <c r="R47" s="104">
        <f t="shared" si="2"/>
        <v>0</v>
      </c>
      <c r="S47" s="104">
        <f t="shared" si="1"/>
        <v>0</v>
      </c>
      <c r="T47" s="104">
        <f t="shared" si="3"/>
        <v>0</v>
      </c>
    </row>
    <row r="48" spans="1:21">
      <c r="A48" s="101"/>
      <c r="B48" s="101"/>
      <c r="C48" s="101"/>
      <c r="D48" s="101"/>
      <c r="E48" s="101"/>
      <c r="F48" s="102"/>
      <c r="G48" s="101"/>
      <c r="H48" s="102"/>
      <c r="I48" s="101"/>
      <c r="J48" s="101"/>
      <c r="K48" s="103"/>
      <c r="L48" s="103"/>
      <c r="M48" s="103"/>
      <c r="N48" s="103"/>
      <c r="O48" s="103"/>
      <c r="P48" s="98"/>
      <c r="Q48" s="99"/>
      <c r="R48" s="105">
        <f t="shared" si="2"/>
        <v>0</v>
      </c>
      <c r="S48" s="108">
        <f t="shared" si="1"/>
        <v>0</v>
      </c>
      <c r="T48" s="105">
        <f t="shared" si="3"/>
        <v>0</v>
      </c>
    </row>
    <row r="49" spans="1:24">
      <c r="A49" s="101"/>
      <c r="B49" s="101"/>
      <c r="C49" s="101"/>
      <c r="D49" s="101"/>
      <c r="E49" s="101"/>
      <c r="F49" s="102"/>
      <c r="G49" s="101"/>
      <c r="H49" s="102"/>
      <c r="I49" s="101"/>
      <c r="J49" s="101"/>
      <c r="K49" s="103"/>
      <c r="L49" s="103"/>
      <c r="M49" s="103"/>
      <c r="N49" s="103"/>
      <c r="O49" s="103"/>
      <c r="P49" s="98"/>
      <c r="Q49" s="99"/>
      <c r="R49" s="104">
        <f t="shared" si="2"/>
        <v>0</v>
      </c>
      <c r="S49" s="104">
        <f t="shared" si="1"/>
        <v>0</v>
      </c>
      <c r="T49" s="104">
        <f t="shared" si="3"/>
        <v>0</v>
      </c>
    </row>
    <row r="50" spans="1:24">
      <c r="A50" s="101"/>
      <c r="B50" s="101"/>
      <c r="C50" s="101"/>
      <c r="D50" s="101"/>
      <c r="E50" s="101"/>
      <c r="F50" s="102"/>
      <c r="G50" s="101"/>
      <c r="H50" s="102"/>
      <c r="I50" s="101"/>
      <c r="J50" s="101"/>
      <c r="K50" s="103"/>
      <c r="L50" s="103"/>
      <c r="M50" s="103"/>
      <c r="N50" s="103"/>
      <c r="O50" s="103"/>
      <c r="P50" s="98"/>
      <c r="Q50" s="99"/>
      <c r="R50" s="105">
        <f t="shared" si="2"/>
        <v>0</v>
      </c>
      <c r="S50" s="108">
        <f t="shared" si="1"/>
        <v>0</v>
      </c>
      <c r="T50" s="105">
        <f t="shared" si="3"/>
        <v>0</v>
      </c>
    </row>
    <row r="51" spans="1:24">
      <c r="A51" s="101"/>
      <c r="B51" s="101"/>
      <c r="C51" s="101"/>
      <c r="D51" s="101"/>
      <c r="E51" s="101"/>
      <c r="F51" s="102"/>
      <c r="G51" s="101"/>
      <c r="H51" s="102"/>
      <c r="I51" s="101"/>
      <c r="J51" s="101"/>
      <c r="K51" s="103"/>
      <c r="L51" s="103"/>
      <c r="M51" s="103"/>
      <c r="N51" s="103"/>
      <c r="O51" s="103"/>
      <c r="P51" s="98"/>
      <c r="Q51" s="99"/>
      <c r="R51" s="104">
        <f t="shared" si="2"/>
        <v>0</v>
      </c>
      <c r="S51" s="104">
        <f t="shared" si="1"/>
        <v>0</v>
      </c>
      <c r="T51" s="104">
        <f t="shared" si="3"/>
        <v>0</v>
      </c>
    </row>
    <row r="52" spans="1:24">
      <c r="A52" s="101"/>
      <c r="B52" s="101"/>
      <c r="C52" s="101"/>
      <c r="D52" s="101"/>
      <c r="E52" s="101"/>
      <c r="F52" s="102"/>
      <c r="G52" s="101"/>
      <c r="H52" s="102"/>
      <c r="I52" s="101"/>
      <c r="J52" s="101"/>
      <c r="K52" s="103"/>
      <c r="L52" s="103"/>
      <c r="M52" s="103"/>
      <c r="N52" s="103"/>
      <c r="O52" s="103"/>
      <c r="P52" s="98"/>
      <c r="Q52" s="99"/>
      <c r="R52" s="105">
        <f t="shared" si="2"/>
        <v>0</v>
      </c>
      <c r="S52" s="108">
        <f t="shared" si="1"/>
        <v>0</v>
      </c>
      <c r="T52" s="105">
        <f t="shared" si="3"/>
        <v>0</v>
      </c>
    </row>
    <row r="53" spans="1:24">
      <c r="A53" s="101"/>
      <c r="B53" s="101"/>
      <c r="C53" s="101"/>
      <c r="D53" s="101"/>
      <c r="E53" s="101"/>
      <c r="F53" s="102"/>
      <c r="G53" s="101"/>
      <c r="H53" s="102"/>
      <c r="I53" s="101"/>
      <c r="J53" s="101"/>
      <c r="K53" s="103"/>
      <c r="L53" s="103"/>
      <c r="M53" s="103"/>
      <c r="N53" s="103"/>
      <c r="O53" s="103"/>
      <c r="P53" s="98"/>
      <c r="Q53" s="99"/>
      <c r="R53" s="104">
        <f t="shared" si="2"/>
        <v>0</v>
      </c>
      <c r="S53" s="104">
        <f t="shared" si="1"/>
        <v>0</v>
      </c>
      <c r="T53" s="104">
        <f t="shared" si="3"/>
        <v>0</v>
      </c>
      <c r="X53" s="107"/>
    </row>
    <row r="54" spans="1:24">
      <c r="A54" s="101"/>
      <c r="B54" s="101"/>
      <c r="C54" s="101"/>
      <c r="D54" s="101"/>
      <c r="E54" s="101"/>
      <c r="F54" s="102"/>
      <c r="G54" s="101"/>
      <c r="H54" s="102"/>
      <c r="I54" s="101"/>
      <c r="J54" s="101"/>
      <c r="K54" s="103"/>
      <c r="L54" s="103"/>
      <c r="M54" s="103"/>
      <c r="N54" s="103"/>
      <c r="O54" s="103"/>
      <c r="P54" s="98"/>
      <c r="Q54" s="99"/>
      <c r="R54" s="105">
        <f t="shared" si="2"/>
        <v>0</v>
      </c>
      <c r="S54" s="108">
        <f t="shared" si="1"/>
        <v>0</v>
      </c>
      <c r="T54" s="105">
        <f t="shared" si="3"/>
        <v>0</v>
      </c>
      <c r="V54" s="107"/>
      <c r="W54" s="107"/>
      <c r="X54" s="107"/>
    </row>
    <row r="55" spans="1:24">
      <c r="A55" s="101"/>
      <c r="B55" s="101"/>
      <c r="C55" s="101"/>
      <c r="D55" s="101"/>
      <c r="E55" s="101"/>
      <c r="F55" s="102"/>
      <c r="G55" s="101"/>
      <c r="H55" s="102"/>
      <c r="I55" s="101"/>
      <c r="J55" s="101"/>
      <c r="K55" s="103"/>
      <c r="L55" s="103"/>
      <c r="M55" s="103"/>
      <c r="N55" s="103"/>
      <c r="O55" s="103"/>
      <c r="P55" s="98"/>
      <c r="Q55" s="99"/>
      <c r="R55" s="104">
        <f t="shared" si="2"/>
        <v>0</v>
      </c>
      <c r="S55" s="104">
        <f t="shared" si="1"/>
        <v>0</v>
      </c>
      <c r="T55" s="104">
        <f t="shared" si="3"/>
        <v>0</v>
      </c>
      <c r="X55" s="107"/>
    </row>
    <row r="56" spans="1:24">
      <c r="A56" s="101"/>
      <c r="B56" s="101"/>
      <c r="C56" s="101"/>
      <c r="D56" s="101"/>
      <c r="E56" s="101"/>
      <c r="F56" s="102"/>
      <c r="G56" s="101"/>
      <c r="H56" s="102"/>
      <c r="I56" s="101"/>
      <c r="J56" s="101"/>
      <c r="K56" s="103"/>
      <c r="L56" s="103"/>
      <c r="M56" s="103"/>
      <c r="N56" s="103"/>
      <c r="O56" s="103"/>
      <c r="P56" s="98"/>
      <c r="Q56" s="99"/>
      <c r="R56" s="105">
        <f t="shared" si="2"/>
        <v>0</v>
      </c>
      <c r="S56" s="108">
        <f t="shared" si="1"/>
        <v>0</v>
      </c>
      <c r="T56" s="105">
        <f t="shared" si="3"/>
        <v>0</v>
      </c>
    </row>
    <row r="57" spans="1:24">
      <c r="A57" s="101"/>
      <c r="B57" s="101"/>
      <c r="C57" s="101"/>
      <c r="D57" s="101"/>
      <c r="E57" s="101"/>
      <c r="F57" s="102"/>
      <c r="G57" s="101"/>
      <c r="H57" s="102"/>
      <c r="I57" s="101"/>
      <c r="J57" s="101"/>
      <c r="K57" s="103"/>
      <c r="L57" s="103"/>
      <c r="M57" s="103"/>
      <c r="N57" s="103"/>
      <c r="O57" s="103"/>
      <c r="P57" s="98"/>
      <c r="Q57" s="99"/>
      <c r="R57" s="104">
        <f t="shared" si="2"/>
        <v>0</v>
      </c>
      <c r="S57" s="104">
        <f t="shared" si="1"/>
        <v>0</v>
      </c>
      <c r="T57" s="104">
        <f t="shared" si="3"/>
        <v>0</v>
      </c>
      <c r="U57" s="107"/>
      <c r="V57" s="106"/>
    </row>
    <row r="58" spans="1:24">
      <c r="A58" s="101"/>
      <c r="B58" s="101"/>
      <c r="C58" s="101"/>
      <c r="D58" s="101"/>
      <c r="E58" s="101"/>
      <c r="F58" s="102"/>
      <c r="G58" s="101"/>
      <c r="H58" s="102"/>
      <c r="I58" s="101"/>
      <c r="J58" s="101"/>
      <c r="K58" s="103"/>
      <c r="L58" s="103"/>
      <c r="M58" s="103"/>
      <c r="N58" s="103"/>
      <c r="O58" s="103"/>
      <c r="P58" s="98"/>
      <c r="Q58" s="99"/>
      <c r="R58" s="105">
        <f t="shared" si="2"/>
        <v>0</v>
      </c>
      <c r="S58" s="108">
        <f t="shared" si="1"/>
        <v>0</v>
      </c>
      <c r="T58" s="105">
        <f t="shared" si="3"/>
        <v>0</v>
      </c>
    </row>
    <row r="59" spans="1:24">
      <c r="A59" s="101"/>
      <c r="B59" s="101"/>
      <c r="C59" s="101"/>
      <c r="D59" s="101"/>
      <c r="E59" s="101"/>
      <c r="F59" s="102"/>
      <c r="G59" s="101"/>
      <c r="H59" s="102"/>
      <c r="I59" s="101"/>
      <c r="J59" s="101"/>
      <c r="K59" s="103"/>
      <c r="L59" s="103"/>
      <c r="M59" s="103"/>
      <c r="N59" s="103"/>
      <c r="O59" s="103"/>
      <c r="P59" s="98"/>
      <c r="Q59" s="99"/>
      <c r="R59" s="104">
        <f t="shared" si="2"/>
        <v>0</v>
      </c>
      <c r="S59" s="104">
        <f t="shared" si="1"/>
        <v>0</v>
      </c>
      <c r="T59" s="104">
        <f t="shared" si="3"/>
        <v>0</v>
      </c>
    </row>
    <row r="60" spans="1:24">
      <c r="A60" s="101"/>
      <c r="B60" s="101"/>
      <c r="C60" s="101"/>
      <c r="D60" s="101"/>
      <c r="E60" s="101"/>
      <c r="F60" s="102"/>
      <c r="G60" s="101"/>
      <c r="H60" s="102"/>
      <c r="I60" s="101"/>
      <c r="J60" s="101"/>
      <c r="K60" s="103"/>
      <c r="L60" s="103"/>
      <c r="M60" s="103"/>
      <c r="N60" s="103"/>
      <c r="O60" s="103"/>
      <c r="P60" s="98"/>
      <c r="Q60" s="99"/>
      <c r="R60" s="105">
        <f t="shared" si="2"/>
        <v>0</v>
      </c>
      <c r="S60" s="108">
        <f t="shared" si="1"/>
        <v>0</v>
      </c>
      <c r="T60" s="105">
        <f t="shared" si="3"/>
        <v>0</v>
      </c>
    </row>
    <row r="61" spans="1:24">
      <c r="A61" s="101"/>
      <c r="B61" s="101"/>
      <c r="C61" s="101"/>
      <c r="D61" s="101"/>
      <c r="E61" s="101"/>
      <c r="F61" s="102"/>
      <c r="G61" s="101"/>
      <c r="H61" s="102"/>
      <c r="I61" s="101"/>
      <c r="J61" s="101"/>
      <c r="K61" s="103"/>
      <c r="L61" s="103"/>
      <c r="M61" s="103"/>
      <c r="N61" s="103"/>
      <c r="O61" s="103"/>
      <c r="P61" s="98"/>
      <c r="Q61" s="99"/>
      <c r="R61" s="104">
        <f t="shared" si="2"/>
        <v>0</v>
      </c>
      <c r="S61" s="104">
        <f t="shared" si="1"/>
        <v>0</v>
      </c>
      <c r="T61" s="104">
        <f t="shared" si="3"/>
        <v>0</v>
      </c>
      <c r="U61" s="106"/>
    </row>
    <row r="62" spans="1:24">
      <c r="A62" s="101"/>
      <c r="B62" s="101"/>
      <c r="C62" s="101"/>
      <c r="D62" s="101"/>
      <c r="E62" s="101"/>
      <c r="F62" s="102"/>
      <c r="G62" s="101"/>
      <c r="H62" s="102"/>
      <c r="I62" s="101"/>
      <c r="J62" s="101"/>
      <c r="K62" s="103"/>
      <c r="L62" s="103"/>
      <c r="M62" s="103"/>
      <c r="N62" s="103"/>
      <c r="O62" s="103"/>
      <c r="P62" s="98"/>
      <c r="Q62" s="99"/>
      <c r="R62" s="105">
        <f t="shared" si="2"/>
        <v>0</v>
      </c>
      <c r="S62" s="108">
        <f t="shared" si="1"/>
        <v>0</v>
      </c>
      <c r="T62" s="105">
        <f t="shared" si="3"/>
        <v>0</v>
      </c>
    </row>
    <row r="63" spans="1:24">
      <c r="A63" s="101"/>
      <c r="B63" s="101"/>
      <c r="C63" s="101"/>
      <c r="D63" s="101"/>
      <c r="E63" s="101"/>
      <c r="F63" s="102"/>
      <c r="G63" s="101"/>
      <c r="H63" s="102"/>
      <c r="I63" s="101"/>
      <c r="J63" s="101"/>
      <c r="K63" s="103"/>
      <c r="L63" s="103"/>
      <c r="M63" s="103"/>
      <c r="N63" s="103"/>
      <c r="O63" s="103"/>
      <c r="P63" s="98"/>
      <c r="Q63" s="99"/>
      <c r="R63" s="104">
        <f t="shared" si="2"/>
        <v>0</v>
      </c>
      <c r="S63" s="104">
        <f t="shared" si="1"/>
        <v>0</v>
      </c>
      <c r="T63" s="104">
        <f t="shared" si="3"/>
        <v>0</v>
      </c>
    </row>
    <row r="64" spans="1:24">
      <c r="A64" s="101"/>
      <c r="B64" s="101"/>
      <c r="C64" s="101"/>
      <c r="D64" s="101"/>
      <c r="E64" s="101"/>
      <c r="F64" s="102"/>
      <c r="G64" s="101"/>
      <c r="H64" s="102"/>
      <c r="I64" s="101"/>
      <c r="J64" s="101"/>
      <c r="K64" s="103"/>
      <c r="L64" s="103"/>
      <c r="M64" s="103"/>
      <c r="N64" s="103"/>
      <c r="O64" s="103"/>
      <c r="P64" s="98"/>
      <c r="Q64" s="99"/>
      <c r="R64" s="105">
        <f t="shared" si="2"/>
        <v>0</v>
      </c>
      <c r="S64" s="108">
        <f t="shared" si="1"/>
        <v>0</v>
      </c>
      <c r="T64" s="105">
        <f t="shared" si="3"/>
        <v>0</v>
      </c>
    </row>
    <row r="65" spans="1:21">
      <c r="A65" s="101"/>
      <c r="B65" s="101"/>
      <c r="C65" s="101"/>
      <c r="D65" s="101"/>
      <c r="E65" s="101"/>
      <c r="F65" s="102"/>
      <c r="G65" s="101"/>
      <c r="H65" s="102"/>
      <c r="I65" s="101"/>
      <c r="J65" s="101"/>
      <c r="K65" s="103"/>
      <c r="L65" s="103"/>
      <c r="M65" s="103"/>
      <c r="N65" s="103"/>
      <c r="O65" s="103"/>
      <c r="P65" s="98"/>
      <c r="Q65" s="99"/>
      <c r="R65" s="104">
        <f t="shared" si="2"/>
        <v>0</v>
      </c>
      <c r="S65" s="104">
        <f t="shared" si="1"/>
        <v>0</v>
      </c>
      <c r="T65" s="104">
        <f t="shared" si="3"/>
        <v>0</v>
      </c>
    </row>
    <row r="66" spans="1:21">
      <c r="A66" s="101"/>
      <c r="B66" s="101"/>
      <c r="C66" s="101"/>
      <c r="D66" s="101"/>
      <c r="E66" s="101"/>
      <c r="F66" s="102"/>
      <c r="G66" s="101"/>
      <c r="H66" s="102"/>
      <c r="I66" s="101"/>
      <c r="J66" s="101"/>
      <c r="K66" s="103"/>
      <c r="L66" s="103"/>
      <c r="M66" s="103"/>
      <c r="N66" s="103"/>
      <c r="O66" s="103"/>
      <c r="P66" s="98"/>
      <c r="Q66" s="99"/>
      <c r="R66" s="104">
        <f t="shared" ref="R66:R110" si="4">IF(P66="Cargo",K66+L66-M66-N66+O66,0)</f>
        <v>0</v>
      </c>
      <c r="S66" s="104">
        <f t="shared" ref="S66:S110" si="5">IF(P66="Abono",K66+L66+M66-N66-O66,0)</f>
        <v>0</v>
      </c>
      <c r="T66" s="104">
        <f t="shared" ref="T66:T110" si="6">IF(Q66="OK",+T65+R66-S66,T65)</f>
        <v>0</v>
      </c>
      <c r="U66" s="106"/>
    </row>
    <row r="67" spans="1:21">
      <c r="A67" s="101"/>
      <c r="B67" s="101"/>
      <c r="C67" s="101"/>
      <c r="D67" s="101"/>
      <c r="E67" s="101"/>
      <c r="F67" s="102"/>
      <c r="G67" s="101"/>
      <c r="H67" s="102"/>
      <c r="I67" s="101"/>
      <c r="J67" s="101"/>
      <c r="K67" s="103"/>
      <c r="L67" s="103"/>
      <c r="M67" s="103"/>
      <c r="N67" s="103"/>
      <c r="O67" s="103"/>
      <c r="P67" s="98"/>
      <c r="Q67" s="99"/>
      <c r="R67" s="104">
        <f t="shared" si="4"/>
        <v>0</v>
      </c>
      <c r="S67" s="104">
        <f t="shared" si="5"/>
        <v>0</v>
      </c>
      <c r="T67" s="104">
        <f t="shared" si="6"/>
        <v>0</v>
      </c>
    </row>
    <row r="68" spans="1:21">
      <c r="A68" s="101"/>
      <c r="B68" s="101"/>
      <c r="C68" s="101"/>
      <c r="D68" s="101"/>
      <c r="E68" s="101"/>
      <c r="F68" s="102"/>
      <c r="G68" s="101"/>
      <c r="H68" s="102"/>
      <c r="I68" s="101"/>
      <c r="J68" s="101"/>
      <c r="K68" s="103"/>
      <c r="L68" s="103"/>
      <c r="M68" s="103"/>
      <c r="N68" s="103"/>
      <c r="O68" s="103"/>
      <c r="P68" s="98"/>
      <c r="Q68" s="99"/>
      <c r="R68" s="104">
        <f t="shared" si="4"/>
        <v>0</v>
      </c>
      <c r="S68" s="104">
        <f t="shared" si="5"/>
        <v>0</v>
      </c>
      <c r="T68" s="104">
        <f t="shared" si="6"/>
        <v>0</v>
      </c>
    </row>
    <row r="69" spans="1:21">
      <c r="A69" s="101"/>
      <c r="B69" s="101"/>
      <c r="C69" s="101"/>
      <c r="D69" s="101"/>
      <c r="E69" s="101"/>
      <c r="F69" s="102"/>
      <c r="G69" s="101"/>
      <c r="H69" s="102"/>
      <c r="I69" s="101"/>
      <c r="J69" s="101"/>
      <c r="K69" s="103"/>
      <c r="L69" s="103"/>
      <c r="M69" s="103"/>
      <c r="N69" s="103"/>
      <c r="O69" s="103"/>
      <c r="P69" s="98"/>
      <c r="Q69" s="99"/>
      <c r="R69" s="104">
        <f t="shared" si="4"/>
        <v>0</v>
      </c>
      <c r="S69" s="104">
        <f t="shared" si="5"/>
        <v>0</v>
      </c>
      <c r="T69" s="104">
        <f t="shared" si="6"/>
        <v>0</v>
      </c>
    </row>
    <row r="70" spans="1:21">
      <c r="A70" s="101"/>
      <c r="B70" s="101"/>
      <c r="C70" s="101"/>
      <c r="D70" s="101"/>
      <c r="E70" s="101"/>
      <c r="F70" s="102"/>
      <c r="G70" s="101"/>
      <c r="H70" s="102"/>
      <c r="I70" s="101"/>
      <c r="J70" s="101"/>
      <c r="K70" s="103"/>
      <c r="L70" s="103"/>
      <c r="M70" s="103"/>
      <c r="N70" s="103"/>
      <c r="O70" s="103"/>
      <c r="P70" s="98"/>
      <c r="Q70" s="99"/>
      <c r="R70" s="104">
        <f t="shared" si="4"/>
        <v>0</v>
      </c>
      <c r="S70" s="104">
        <f t="shared" si="5"/>
        <v>0</v>
      </c>
      <c r="T70" s="104">
        <f t="shared" si="6"/>
        <v>0</v>
      </c>
    </row>
    <row r="71" spans="1:21">
      <c r="A71" s="101"/>
      <c r="B71" s="101"/>
      <c r="C71" s="101"/>
      <c r="D71" s="101"/>
      <c r="E71" s="101"/>
      <c r="F71" s="102"/>
      <c r="G71" s="101"/>
      <c r="H71" s="102"/>
      <c r="I71" s="101"/>
      <c r="J71" s="101"/>
      <c r="K71" s="103"/>
      <c r="L71" s="103"/>
      <c r="M71" s="103"/>
      <c r="N71" s="103"/>
      <c r="O71" s="103"/>
      <c r="P71" s="98"/>
      <c r="Q71" s="99"/>
      <c r="R71" s="104">
        <f t="shared" si="4"/>
        <v>0</v>
      </c>
      <c r="S71" s="104">
        <f t="shared" si="5"/>
        <v>0</v>
      </c>
      <c r="T71" s="104">
        <f t="shared" si="6"/>
        <v>0</v>
      </c>
    </row>
    <row r="72" spans="1:21">
      <c r="A72" s="101"/>
      <c r="B72" s="101"/>
      <c r="C72" s="101"/>
      <c r="D72" s="101"/>
      <c r="E72" s="101"/>
      <c r="F72" s="102"/>
      <c r="G72" s="101"/>
      <c r="H72" s="102"/>
      <c r="I72" s="101"/>
      <c r="J72" s="101"/>
      <c r="K72" s="103"/>
      <c r="L72" s="103"/>
      <c r="M72" s="103"/>
      <c r="N72" s="103"/>
      <c r="O72" s="103"/>
      <c r="P72" s="98"/>
      <c r="Q72" s="99"/>
      <c r="R72" s="104">
        <f t="shared" si="4"/>
        <v>0</v>
      </c>
      <c r="S72" s="104">
        <f t="shared" si="5"/>
        <v>0</v>
      </c>
      <c r="T72" s="104">
        <f t="shared" si="6"/>
        <v>0</v>
      </c>
    </row>
    <row r="73" spans="1:21">
      <c r="A73" s="101"/>
      <c r="B73" s="101"/>
      <c r="C73" s="101"/>
      <c r="D73" s="101"/>
      <c r="E73" s="101"/>
      <c r="F73" s="102"/>
      <c r="G73" s="101"/>
      <c r="H73" s="102"/>
      <c r="I73" s="101"/>
      <c r="J73" s="101"/>
      <c r="K73" s="103"/>
      <c r="L73" s="103"/>
      <c r="M73" s="103"/>
      <c r="N73" s="103"/>
      <c r="O73" s="103"/>
      <c r="P73" s="98"/>
      <c r="Q73" s="99"/>
      <c r="R73" s="104">
        <f t="shared" si="4"/>
        <v>0</v>
      </c>
      <c r="S73" s="104">
        <f t="shared" si="5"/>
        <v>0</v>
      </c>
      <c r="T73" s="104">
        <f t="shared" si="6"/>
        <v>0</v>
      </c>
    </row>
    <row r="74" spans="1:21">
      <c r="A74" s="101"/>
      <c r="B74" s="101"/>
      <c r="C74" s="101"/>
      <c r="D74" s="101"/>
      <c r="E74" s="101"/>
      <c r="F74" s="102"/>
      <c r="G74" s="101"/>
      <c r="H74" s="102"/>
      <c r="I74" s="101"/>
      <c r="J74" s="101"/>
      <c r="K74" s="103"/>
      <c r="L74" s="103"/>
      <c r="M74" s="103"/>
      <c r="N74" s="103"/>
      <c r="O74" s="103"/>
      <c r="P74" s="98"/>
      <c r="Q74" s="99"/>
      <c r="R74" s="104">
        <f t="shared" si="4"/>
        <v>0</v>
      </c>
      <c r="S74" s="104">
        <f t="shared" si="5"/>
        <v>0</v>
      </c>
      <c r="T74" s="104">
        <f t="shared" si="6"/>
        <v>0</v>
      </c>
    </row>
    <row r="75" spans="1:21">
      <c r="A75" s="101"/>
      <c r="B75" s="101"/>
      <c r="C75" s="101"/>
      <c r="D75" s="101"/>
      <c r="E75" s="101"/>
      <c r="F75" s="102"/>
      <c r="G75" s="101"/>
      <c r="H75" s="102"/>
      <c r="I75" s="101"/>
      <c r="J75" s="101"/>
      <c r="K75" s="103"/>
      <c r="L75" s="103"/>
      <c r="M75" s="103"/>
      <c r="N75" s="103"/>
      <c r="O75" s="103"/>
      <c r="P75" s="98"/>
      <c r="Q75" s="99"/>
      <c r="R75" s="104">
        <f t="shared" si="4"/>
        <v>0</v>
      </c>
      <c r="S75" s="104">
        <f t="shared" si="5"/>
        <v>0</v>
      </c>
      <c r="T75" s="104">
        <f t="shared" si="6"/>
        <v>0</v>
      </c>
    </row>
    <row r="76" spans="1:21">
      <c r="A76" s="101"/>
      <c r="B76" s="101"/>
      <c r="C76" s="101"/>
      <c r="D76" s="101"/>
      <c r="E76" s="101"/>
      <c r="F76" s="102"/>
      <c r="G76" s="101"/>
      <c r="H76" s="102"/>
      <c r="I76" s="101"/>
      <c r="J76" s="101"/>
      <c r="K76" s="103"/>
      <c r="L76" s="103"/>
      <c r="M76" s="103"/>
      <c r="N76" s="103"/>
      <c r="O76" s="103"/>
      <c r="P76" s="98"/>
      <c r="Q76" s="99"/>
      <c r="R76" s="104">
        <f t="shared" si="4"/>
        <v>0</v>
      </c>
      <c r="S76" s="104">
        <f t="shared" si="5"/>
        <v>0</v>
      </c>
      <c r="T76" s="104">
        <f t="shared" si="6"/>
        <v>0</v>
      </c>
    </row>
    <row r="77" spans="1:21">
      <c r="A77" s="101"/>
      <c r="B77" s="101"/>
      <c r="C77" s="101"/>
      <c r="D77" s="101"/>
      <c r="E77" s="101"/>
      <c r="F77" s="102"/>
      <c r="G77" s="101"/>
      <c r="H77" s="102"/>
      <c r="I77" s="101"/>
      <c r="J77" s="101"/>
      <c r="K77" s="103"/>
      <c r="L77" s="103"/>
      <c r="M77" s="103"/>
      <c r="N77" s="103"/>
      <c r="O77" s="103"/>
      <c r="P77" s="98"/>
      <c r="Q77" s="99"/>
      <c r="R77" s="104">
        <f t="shared" si="4"/>
        <v>0</v>
      </c>
      <c r="S77" s="104">
        <f t="shared" si="5"/>
        <v>0</v>
      </c>
      <c r="T77" s="104">
        <f t="shared" si="6"/>
        <v>0</v>
      </c>
    </row>
    <row r="78" spans="1:21">
      <c r="A78" s="101"/>
      <c r="B78" s="101"/>
      <c r="C78" s="101"/>
      <c r="D78" s="101"/>
      <c r="E78" s="101"/>
      <c r="F78" s="102"/>
      <c r="G78" s="101"/>
      <c r="H78" s="102"/>
      <c r="I78" s="101"/>
      <c r="J78" s="101"/>
      <c r="K78" s="103"/>
      <c r="L78" s="103"/>
      <c r="M78" s="103"/>
      <c r="N78" s="103"/>
      <c r="O78" s="103"/>
      <c r="P78" s="98"/>
      <c r="Q78" s="99"/>
      <c r="R78" s="104">
        <f t="shared" si="4"/>
        <v>0</v>
      </c>
      <c r="S78" s="104">
        <f t="shared" si="5"/>
        <v>0</v>
      </c>
      <c r="T78" s="104">
        <f t="shared" si="6"/>
        <v>0</v>
      </c>
    </row>
    <row r="79" spans="1:21">
      <c r="A79" s="101"/>
      <c r="B79" s="101"/>
      <c r="C79" s="101"/>
      <c r="D79" s="101"/>
      <c r="E79" s="101"/>
      <c r="F79" s="102"/>
      <c r="G79" s="101"/>
      <c r="H79" s="102"/>
      <c r="I79" s="101"/>
      <c r="J79" s="101"/>
      <c r="K79" s="103"/>
      <c r="L79" s="103"/>
      <c r="M79" s="103"/>
      <c r="N79" s="103"/>
      <c r="O79" s="103"/>
      <c r="P79" s="98"/>
      <c r="Q79" s="99"/>
      <c r="R79" s="104">
        <f t="shared" si="4"/>
        <v>0</v>
      </c>
      <c r="S79" s="104">
        <f t="shared" si="5"/>
        <v>0</v>
      </c>
      <c r="T79" s="104">
        <f t="shared" si="6"/>
        <v>0</v>
      </c>
    </row>
    <row r="80" spans="1:21">
      <c r="A80" s="101"/>
      <c r="B80" s="101"/>
      <c r="C80" s="101"/>
      <c r="D80" s="101"/>
      <c r="E80" s="101"/>
      <c r="F80" s="102"/>
      <c r="G80" s="101"/>
      <c r="H80" s="102"/>
      <c r="I80" s="101"/>
      <c r="J80" s="101"/>
      <c r="K80" s="103"/>
      <c r="L80" s="103"/>
      <c r="M80" s="103"/>
      <c r="N80" s="103"/>
      <c r="O80" s="103"/>
      <c r="P80" s="98"/>
      <c r="Q80" s="99"/>
      <c r="R80" s="104">
        <f t="shared" si="4"/>
        <v>0</v>
      </c>
      <c r="S80" s="104">
        <f t="shared" si="5"/>
        <v>0</v>
      </c>
      <c r="T80" s="104">
        <f t="shared" si="6"/>
        <v>0</v>
      </c>
    </row>
    <row r="81" spans="1:23">
      <c r="A81" s="101"/>
      <c r="B81" s="101"/>
      <c r="C81" s="101"/>
      <c r="D81" s="101"/>
      <c r="E81" s="101"/>
      <c r="F81" s="102"/>
      <c r="G81" s="101"/>
      <c r="H81" s="102"/>
      <c r="I81" s="101"/>
      <c r="J81" s="101"/>
      <c r="K81" s="103"/>
      <c r="L81" s="103"/>
      <c r="M81" s="103"/>
      <c r="N81" s="103"/>
      <c r="O81" s="103"/>
      <c r="P81" s="98"/>
      <c r="Q81" s="99"/>
      <c r="R81" s="104">
        <f t="shared" si="4"/>
        <v>0</v>
      </c>
      <c r="S81" s="104">
        <f t="shared" si="5"/>
        <v>0</v>
      </c>
      <c r="T81" s="104">
        <f t="shared" si="6"/>
        <v>0</v>
      </c>
    </row>
    <row r="82" spans="1:23">
      <c r="A82" s="101"/>
      <c r="B82" s="101"/>
      <c r="C82" s="101"/>
      <c r="D82" s="101"/>
      <c r="E82" s="101"/>
      <c r="F82" s="102"/>
      <c r="G82" s="101"/>
      <c r="H82" s="102"/>
      <c r="I82" s="101"/>
      <c r="J82" s="101"/>
      <c r="K82" s="103"/>
      <c r="L82" s="103"/>
      <c r="M82" s="103"/>
      <c r="N82" s="103"/>
      <c r="O82" s="103"/>
      <c r="P82" s="98"/>
      <c r="Q82" s="99"/>
      <c r="R82" s="104">
        <f t="shared" si="4"/>
        <v>0</v>
      </c>
      <c r="S82" s="104">
        <f t="shared" si="5"/>
        <v>0</v>
      </c>
      <c r="T82" s="104">
        <f t="shared" si="6"/>
        <v>0</v>
      </c>
    </row>
    <row r="83" spans="1:23">
      <c r="A83" s="101"/>
      <c r="B83" s="101"/>
      <c r="C83" s="101"/>
      <c r="D83" s="101"/>
      <c r="E83" s="101"/>
      <c r="F83" s="102"/>
      <c r="G83" s="101"/>
      <c r="H83" s="102"/>
      <c r="I83" s="101"/>
      <c r="J83" s="101"/>
      <c r="K83" s="103"/>
      <c r="L83" s="103"/>
      <c r="M83" s="103"/>
      <c r="N83" s="103"/>
      <c r="O83" s="103"/>
      <c r="P83" s="98"/>
      <c r="Q83" s="99"/>
      <c r="R83" s="104">
        <f t="shared" si="4"/>
        <v>0</v>
      </c>
      <c r="S83" s="104">
        <f t="shared" si="5"/>
        <v>0</v>
      </c>
      <c r="T83" s="104">
        <f t="shared" si="6"/>
        <v>0</v>
      </c>
    </row>
    <row r="84" spans="1:23">
      <c r="A84" s="101"/>
      <c r="B84" s="101"/>
      <c r="C84" s="101"/>
      <c r="D84" s="101"/>
      <c r="E84" s="101"/>
      <c r="F84" s="102"/>
      <c r="G84" s="101"/>
      <c r="H84" s="102"/>
      <c r="I84" s="101"/>
      <c r="J84" s="101"/>
      <c r="K84" s="103"/>
      <c r="L84" s="103"/>
      <c r="M84" s="103"/>
      <c r="N84" s="103"/>
      <c r="O84" s="103"/>
      <c r="P84" s="98"/>
      <c r="Q84" s="99"/>
      <c r="R84" s="104">
        <f t="shared" si="4"/>
        <v>0</v>
      </c>
      <c r="S84" s="104">
        <f t="shared" si="5"/>
        <v>0</v>
      </c>
      <c r="T84" s="104">
        <f t="shared" si="6"/>
        <v>0</v>
      </c>
    </row>
    <row r="85" spans="1:23">
      <c r="A85" s="101"/>
      <c r="B85" s="101"/>
      <c r="C85" s="101"/>
      <c r="D85" s="101"/>
      <c r="E85" s="101"/>
      <c r="F85" s="102"/>
      <c r="G85" s="101"/>
      <c r="H85" s="102"/>
      <c r="I85" s="101"/>
      <c r="J85" s="101"/>
      <c r="K85" s="103"/>
      <c r="L85" s="103"/>
      <c r="M85" s="103"/>
      <c r="N85" s="103"/>
      <c r="O85" s="103"/>
      <c r="P85" s="98"/>
      <c r="Q85" s="99"/>
      <c r="R85" s="104">
        <f t="shared" si="4"/>
        <v>0</v>
      </c>
      <c r="S85" s="104">
        <f t="shared" si="5"/>
        <v>0</v>
      </c>
      <c r="T85" s="104">
        <f t="shared" si="6"/>
        <v>0</v>
      </c>
    </row>
    <row r="86" spans="1:23">
      <c r="A86" s="101"/>
      <c r="B86" s="101"/>
      <c r="C86" s="101"/>
      <c r="D86" s="101"/>
      <c r="E86" s="101"/>
      <c r="F86" s="102"/>
      <c r="G86" s="101"/>
      <c r="H86" s="102"/>
      <c r="I86" s="101"/>
      <c r="J86" s="101"/>
      <c r="K86" s="103"/>
      <c r="L86" s="103"/>
      <c r="M86" s="103"/>
      <c r="N86" s="103"/>
      <c r="O86" s="103"/>
      <c r="P86" s="98"/>
      <c r="Q86" s="99"/>
      <c r="R86" s="104">
        <f t="shared" si="4"/>
        <v>0</v>
      </c>
      <c r="S86" s="104">
        <f t="shared" si="5"/>
        <v>0</v>
      </c>
      <c r="T86" s="104">
        <f t="shared" si="6"/>
        <v>0</v>
      </c>
    </row>
    <row r="87" spans="1:23">
      <c r="A87" s="101"/>
      <c r="B87" s="101"/>
      <c r="C87" s="101"/>
      <c r="D87" s="101"/>
      <c r="E87" s="101"/>
      <c r="F87" s="102"/>
      <c r="G87" s="101"/>
      <c r="H87" s="102"/>
      <c r="I87" s="101"/>
      <c r="J87" s="101"/>
      <c r="K87" s="103"/>
      <c r="L87" s="103"/>
      <c r="M87" s="103"/>
      <c r="N87" s="103"/>
      <c r="O87" s="103"/>
      <c r="P87" s="98"/>
      <c r="Q87" s="99"/>
      <c r="R87" s="104">
        <f t="shared" si="4"/>
        <v>0</v>
      </c>
      <c r="S87" s="104">
        <f t="shared" si="5"/>
        <v>0</v>
      </c>
      <c r="T87" s="104">
        <f t="shared" si="6"/>
        <v>0</v>
      </c>
    </row>
    <row r="88" spans="1:23">
      <c r="A88" s="101"/>
      <c r="B88" s="101"/>
      <c r="C88" s="101"/>
      <c r="D88" s="101"/>
      <c r="E88" s="101"/>
      <c r="F88" s="102"/>
      <c r="G88" s="101"/>
      <c r="H88" s="102"/>
      <c r="I88" s="101"/>
      <c r="J88" s="101"/>
      <c r="K88" s="103"/>
      <c r="L88" s="103"/>
      <c r="M88" s="103"/>
      <c r="N88" s="103"/>
      <c r="O88" s="103"/>
      <c r="P88" s="98"/>
      <c r="Q88" s="99"/>
      <c r="R88" s="104">
        <f t="shared" si="4"/>
        <v>0</v>
      </c>
      <c r="S88" s="104">
        <f t="shared" si="5"/>
        <v>0</v>
      </c>
      <c r="T88" s="104">
        <f t="shared" si="6"/>
        <v>0</v>
      </c>
    </row>
    <row r="89" spans="1:23">
      <c r="A89" s="101"/>
      <c r="B89" s="101"/>
      <c r="C89" s="101"/>
      <c r="D89" s="101"/>
      <c r="E89" s="101"/>
      <c r="F89" s="102"/>
      <c r="G89" s="101"/>
      <c r="H89" s="102"/>
      <c r="I89" s="101"/>
      <c r="J89" s="101"/>
      <c r="K89" s="103"/>
      <c r="L89" s="103"/>
      <c r="M89" s="103"/>
      <c r="N89" s="103"/>
      <c r="O89" s="103"/>
      <c r="P89" s="98"/>
      <c r="Q89" s="99"/>
      <c r="R89" s="104">
        <f t="shared" si="4"/>
        <v>0</v>
      </c>
      <c r="S89" s="104">
        <f t="shared" si="5"/>
        <v>0</v>
      </c>
      <c r="T89" s="104">
        <f t="shared" si="6"/>
        <v>0</v>
      </c>
    </row>
    <row r="90" spans="1:23">
      <c r="A90" s="101"/>
      <c r="B90" s="101"/>
      <c r="C90" s="101"/>
      <c r="D90" s="101"/>
      <c r="E90" s="101"/>
      <c r="F90" s="102"/>
      <c r="G90" s="101"/>
      <c r="H90" s="102"/>
      <c r="I90" s="101"/>
      <c r="J90" s="101"/>
      <c r="K90" s="103"/>
      <c r="L90" s="103"/>
      <c r="M90" s="103"/>
      <c r="N90" s="103"/>
      <c r="O90" s="103"/>
      <c r="P90" s="98"/>
      <c r="Q90" s="99"/>
      <c r="R90" s="104">
        <f t="shared" si="4"/>
        <v>0</v>
      </c>
      <c r="S90" s="104">
        <f t="shared" si="5"/>
        <v>0</v>
      </c>
      <c r="T90" s="104">
        <f t="shared" si="6"/>
        <v>0</v>
      </c>
    </row>
    <row r="91" spans="1:23">
      <c r="A91" s="101"/>
      <c r="B91" s="101"/>
      <c r="C91" s="101"/>
      <c r="D91" s="101"/>
      <c r="E91" s="101"/>
      <c r="F91" s="102"/>
      <c r="G91" s="101"/>
      <c r="H91" s="102"/>
      <c r="I91" s="101"/>
      <c r="J91" s="101"/>
      <c r="K91" s="103"/>
      <c r="L91" s="103"/>
      <c r="M91" s="103"/>
      <c r="N91" s="103"/>
      <c r="O91" s="103"/>
      <c r="P91" s="98"/>
      <c r="Q91" s="99"/>
      <c r="R91" s="104">
        <f t="shared" si="4"/>
        <v>0</v>
      </c>
      <c r="S91" s="104">
        <f t="shared" si="5"/>
        <v>0</v>
      </c>
      <c r="T91" s="104">
        <f t="shared" si="6"/>
        <v>0</v>
      </c>
    </row>
    <row r="92" spans="1:23">
      <c r="A92" s="101"/>
      <c r="B92" s="101"/>
      <c r="C92" s="101"/>
      <c r="D92" s="101"/>
      <c r="E92" s="101"/>
      <c r="F92" s="102"/>
      <c r="G92" s="101"/>
      <c r="H92" s="102"/>
      <c r="I92" s="101"/>
      <c r="J92" s="101"/>
      <c r="K92" s="103"/>
      <c r="L92" s="103"/>
      <c r="M92" s="103"/>
      <c r="N92" s="103"/>
      <c r="O92" s="103"/>
      <c r="P92" s="98"/>
      <c r="Q92" s="99"/>
      <c r="R92" s="104">
        <f t="shared" si="4"/>
        <v>0</v>
      </c>
      <c r="S92" s="104">
        <f t="shared" si="5"/>
        <v>0</v>
      </c>
      <c r="T92" s="104">
        <f t="shared" si="6"/>
        <v>0</v>
      </c>
    </row>
    <row r="93" spans="1:23">
      <c r="A93" s="101"/>
      <c r="B93" s="101"/>
      <c r="C93" s="101"/>
      <c r="D93" s="101"/>
      <c r="E93" s="101"/>
      <c r="F93" s="102"/>
      <c r="G93" s="101"/>
      <c r="H93" s="102"/>
      <c r="I93" s="101"/>
      <c r="J93" s="101"/>
      <c r="K93" s="103"/>
      <c r="L93" s="103"/>
      <c r="M93" s="103"/>
      <c r="N93" s="103"/>
      <c r="O93" s="103"/>
      <c r="P93" s="98"/>
      <c r="Q93" s="99"/>
      <c r="R93" s="104">
        <f t="shared" si="4"/>
        <v>0</v>
      </c>
      <c r="S93" s="104">
        <f t="shared" si="5"/>
        <v>0</v>
      </c>
      <c r="T93" s="104">
        <f t="shared" si="6"/>
        <v>0</v>
      </c>
    </row>
    <row r="94" spans="1:23">
      <c r="A94" s="101"/>
      <c r="B94" s="101"/>
      <c r="C94" s="101"/>
      <c r="D94" s="101"/>
      <c r="E94" s="101"/>
      <c r="F94" s="102"/>
      <c r="G94" s="101"/>
      <c r="H94" s="102"/>
      <c r="I94" s="101"/>
      <c r="J94" s="101"/>
      <c r="K94" s="103"/>
      <c r="L94" s="103"/>
      <c r="M94" s="103"/>
      <c r="N94" s="103"/>
      <c r="O94" s="103"/>
      <c r="P94" s="98"/>
      <c r="Q94" s="99"/>
      <c r="R94" s="104">
        <f t="shared" si="4"/>
        <v>0</v>
      </c>
      <c r="S94" s="104">
        <f t="shared" si="5"/>
        <v>0</v>
      </c>
      <c r="T94" s="104">
        <f t="shared" si="6"/>
        <v>0</v>
      </c>
    </row>
    <row r="95" spans="1:23">
      <c r="A95" s="101"/>
      <c r="B95" s="101"/>
      <c r="C95" s="101"/>
      <c r="D95" s="101"/>
      <c r="E95" s="101"/>
      <c r="F95" s="102"/>
      <c r="G95" s="101"/>
      <c r="H95" s="102"/>
      <c r="I95" s="101"/>
      <c r="J95" s="101"/>
      <c r="K95" s="103"/>
      <c r="L95" s="103"/>
      <c r="M95" s="103"/>
      <c r="N95" s="103"/>
      <c r="O95" s="103"/>
      <c r="P95" s="98"/>
      <c r="Q95" s="99"/>
      <c r="R95" s="104">
        <f t="shared" si="4"/>
        <v>0</v>
      </c>
      <c r="S95" s="104">
        <f t="shared" si="5"/>
        <v>0</v>
      </c>
      <c r="T95" s="104">
        <f t="shared" si="6"/>
        <v>0</v>
      </c>
      <c r="W95" s="112"/>
    </row>
    <row r="96" spans="1:23">
      <c r="A96" s="101"/>
      <c r="B96" s="101"/>
      <c r="C96" s="101"/>
      <c r="D96" s="101"/>
      <c r="E96" s="101"/>
      <c r="F96" s="102"/>
      <c r="G96" s="101"/>
      <c r="H96" s="102"/>
      <c r="I96" s="101"/>
      <c r="J96" s="101"/>
      <c r="K96" s="103"/>
      <c r="L96" s="103"/>
      <c r="M96" s="103"/>
      <c r="N96" s="103"/>
      <c r="O96" s="103"/>
      <c r="P96" s="98"/>
      <c r="Q96" s="99"/>
      <c r="R96" s="104">
        <f t="shared" si="4"/>
        <v>0</v>
      </c>
      <c r="S96" s="104">
        <f t="shared" si="5"/>
        <v>0</v>
      </c>
      <c r="T96" s="104">
        <f t="shared" si="6"/>
        <v>0</v>
      </c>
    </row>
    <row r="97" spans="1:22">
      <c r="A97" s="101"/>
      <c r="B97" s="101"/>
      <c r="C97" s="101"/>
      <c r="D97" s="101"/>
      <c r="E97" s="101"/>
      <c r="F97" s="102"/>
      <c r="G97" s="101"/>
      <c r="H97" s="102"/>
      <c r="I97" s="101"/>
      <c r="J97" s="101"/>
      <c r="K97" s="103"/>
      <c r="L97" s="103"/>
      <c r="M97" s="103"/>
      <c r="N97" s="103"/>
      <c r="O97" s="103"/>
      <c r="P97" s="98"/>
      <c r="Q97" s="99"/>
      <c r="R97" s="104">
        <f t="shared" si="4"/>
        <v>0</v>
      </c>
      <c r="S97" s="104">
        <f t="shared" si="5"/>
        <v>0</v>
      </c>
      <c r="T97" s="104">
        <f t="shared" si="6"/>
        <v>0</v>
      </c>
    </row>
    <row r="98" spans="1:22">
      <c r="A98" s="101"/>
      <c r="B98" s="101"/>
      <c r="C98" s="101"/>
      <c r="D98" s="101"/>
      <c r="E98" s="101"/>
      <c r="F98" s="102"/>
      <c r="G98" s="101"/>
      <c r="H98" s="102"/>
      <c r="I98" s="101"/>
      <c r="J98" s="101"/>
      <c r="K98" s="103"/>
      <c r="L98" s="103"/>
      <c r="M98" s="103"/>
      <c r="N98" s="103"/>
      <c r="O98" s="103"/>
      <c r="P98" s="98"/>
      <c r="Q98" s="99"/>
      <c r="R98" s="104">
        <f t="shared" si="4"/>
        <v>0</v>
      </c>
      <c r="S98" s="104">
        <f t="shared" si="5"/>
        <v>0</v>
      </c>
      <c r="T98" s="104">
        <f t="shared" si="6"/>
        <v>0</v>
      </c>
    </row>
    <row r="99" spans="1:22">
      <c r="A99" s="101"/>
      <c r="B99" s="101"/>
      <c r="C99" s="101"/>
      <c r="D99" s="101"/>
      <c r="E99" s="101"/>
      <c r="F99" s="102"/>
      <c r="G99" s="101"/>
      <c r="H99" s="102"/>
      <c r="I99" s="101"/>
      <c r="J99" s="101"/>
      <c r="K99" s="103"/>
      <c r="L99" s="103"/>
      <c r="M99" s="103"/>
      <c r="N99" s="103"/>
      <c r="O99" s="103"/>
      <c r="P99" s="98"/>
      <c r="Q99" s="99"/>
      <c r="R99" s="104">
        <f t="shared" si="4"/>
        <v>0</v>
      </c>
      <c r="S99" s="104">
        <f t="shared" si="5"/>
        <v>0</v>
      </c>
      <c r="T99" s="104">
        <f t="shared" si="6"/>
        <v>0</v>
      </c>
    </row>
    <row r="100" spans="1:22">
      <c r="A100" s="101"/>
      <c r="B100" s="101"/>
      <c r="C100" s="101"/>
      <c r="D100" s="101"/>
      <c r="E100" s="101"/>
      <c r="F100" s="102"/>
      <c r="G100" s="101"/>
      <c r="H100" s="102"/>
      <c r="I100" s="101"/>
      <c r="J100" s="101"/>
      <c r="K100" s="103"/>
      <c r="L100" s="103"/>
      <c r="M100" s="103"/>
      <c r="N100" s="103"/>
      <c r="O100" s="103"/>
      <c r="P100" s="98"/>
      <c r="Q100" s="99"/>
      <c r="R100" s="104">
        <f t="shared" si="4"/>
        <v>0</v>
      </c>
      <c r="S100" s="104">
        <f t="shared" si="5"/>
        <v>0</v>
      </c>
      <c r="T100" s="104">
        <f t="shared" si="6"/>
        <v>0</v>
      </c>
    </row>
    <row r="101" spans="1:22">
      <c r="A101" s="101"/>
      <c r="B101" s="101"/>
      <c r="C101" s="101"/>
      <c r="D101" s="101"/>
      <c r="E101" s="101"/>
      <c r="F101" s="102"/>
      <c r="G101" s="101"/>
      <c r="H101" s="102"/>
      <c r="I101" s="101"/>
      <c r="J101" s="101"/>
      <c r="K101" s="103"/>
      <c r="L101" s="103"/>
      <c r="M101" s="103"/>
      <c r="N101" s="103"/>
      <c r="O101" s="103"/>
      <c r="P101" s="98"/>
      <c r="Q101" s="99"/>
      <c r="R101" s="104">
        <f t="shared" si="4"/>
        <v>0</v>
      </c>
      <c r="S101" s="104">
        <f t="shared" si="5"/>
        <v>0</v>
      </c>
      <c r="T101" s="104">
        <f t="shared" si="6"/>
        <v>0</v>
      </c>
    </row>
    <row r="102" spans="1:22">
      <c r="A102" s="101"/>
      <c r="B102" s="101"/>
      <c r="C102" s="101"/>
      <c r="D102" s="101"/>
      <c r="E102" s="101"/>
      <c r="F102" s="102"/>
      <c r="G102" s="101"/>
      <c r="H102" s="102"/>
      <c r="I102" s="101"/>
      <c r="J102" s="101"/>
      <c r="K102" s="103"/>
      <c r="L102" s="103"/>
      <c r="M102" s="103"/>
      <c r="N102" s="103"/>
      <c r="O102" s="103"/>
      <c r="P102" s="98"/>
      <c r="Q102" s="99"/>
      <c r="R102" s="104">
        <f t="shared" si="4"/>
        <v>0</v>
      </c>
      <c r="S102" s="104">
        <f t="shared" si="5"/>
        <v>0</v>
      </c>
      <c r="T102" s="104">
        <f t="shared" si="6"/>
        <v>0</v>
      </c>
    </row>
    <row r="103" spans="1:22">
      <c r="A103" s="101"/>
      <c r="B103" s="101"/>
      <c r="C103" s="101"/>
      <c r="D103" s="101"/>
      <c r="E103" s="101"/>
      <c r="F103" s="102"/>
      <c r="G103" s="101"/>
      <c r="H103" s="102"/>
      <c r="I103" s="101"/>
      <c r="J103" s="101"/>
      <c r="K103" s="103"/>
      <c r="L103" s="103"/>
      <c r="M103" s="103"/>
      <c r="N103" s="103"/>
      <c r="O103" s="103"/>
      <c r="P103" s="98"/>
      <c r="Q103" s="99"/>
      <c r="R103" s="104">
        <f t="shared" si="4"/>
        <v>0</v>
      </c>
      <c r="S103" s="104">
        <f t="shared" si="5"/>
        <v>0</v>
      </c>
      <c r="T103" s="104">
        <f t="shared" si="6"/>
        <v>0</v>
      </c>
    </row>
    <row r="104" spans="1:22">
      <c r="A104" s="101"/>
      <c r="B104" s="101"/>
      <c r="C104" s="101"/>
      <c r="D104" s="101"/>
      <c r="E104" s="101"/>
      <c r="F104" s="102"/>
      <c r="G104" s="101"/>
      <c r="H104" s="102"/>
      <c r="I104" s="101"/>
      <c r="J104" s="101"/>
      <c r="K104" s="103"/>
      <c r="L104" s="103"/>
      <c r="M104" s="103"/>
      <c r="N104" s="103"/>
      <c r="O104" s="103"/>
      <c r="P104" s="98"/>
      <c r="Q104" s="99"/>
      <c r="R104" s="104">
        <f t="shared" si="4"/>
        <v>0</v>
      </c>
      <c r="S104" s="104">
        <f t="shared" si="5"/>
        <v>0</v>
      </c>
      <c r="T104" s="104">
        <f t="shared" si="6"/>
        <v>0</v>
      </c>
    </row>
    <row r="105" spans="1:22">
      <c r="A105" s="101"/>
      <c r="B105" s="101"/>
      <c r="C105" s="101"/>
      <c r="D105" s="101"/>
      <c r="E105" s="101"/>
      <c r="F105" s="102"/>
      <c r="G105" s="101"/>
      <c r="H105" s="102"/>
      <c r="I105" s="101"/>
      <c r="J105" s="101"/>
      <c r="K105" s="103"/>
      <c r="L105" s="103"/>
      <c r="M105" s="103"/>
      <c r="N105" s="103"/>
      <c r="O105" s="103"/>
      <c r="P105" s="98"/>
      <c r="Q105" s="99"/>
      <c r="R105" s="104">
        <f t="shared" si="4"/>
        <v>0</v>
      </c>
      <c r="S105" s="104">
        <f t="shared" si="5"/>
        <v>0</v>
      </c>
      <c r="T105" s="104">
        <f t="shared" si="6"/>
        <v>0</v>
      </c>
    </row>
    <row r="106" spans="1:22">
      <c r="A106" s="101"/>
      <c r="B106" s="101"/>
      <c r="C106" s="101"/>
      <c r="D106" s="101"/>
      <c r="E106" s="101"/>
      <c r="F106" s="102"/>
      <c r="G106" s="101"/>
      <c r="H106" s="102"/>
      <c r="I106" s="101"/>
      <c r="J106" s="101"/>
      <c r="K106" s="103"/>
      <c r="L106" s="103"/>
      <c r="M106" s="103"/>
      <c r="N106" s="103"/>
      <c r="O106" s="103"/>
      <c r="P106" s="98"/>
      <c r="Q106" s="99"/>
      <c r="R106" s="104">
        <f t="shared" si="4"/>
        <v>0</v>
      </c>
      <c r="S106" s="104">
        <f t="shared" si="5"/>
        <v>0</v>
      </c>
      <c r="T106" s="104">
        <f t="shared" si="6"/>
        <v>0</v>
      </c>
    </row>
    <row r="107" spans="1:22">
      <c r="A107" s="101"/>
      <c r="B107" s="101"/>
      <c r="C107" s="101"/>
      <c r="D107" s="101"/>
      <c r="E107" s="101"/>
      <c r="F107" s="102"/>
      <c r="G107" s="101"/>
      <c r="H107" s="102"/>
      <c r="I107" s="101"/>
      <c r="J107" s="101"/>
      <c r="K107" s="103"/>
      <c r="L107" s="103"/>
      <c r="M107" s="103"/>
      <c r="N107" s="103"/>
      <c r="O107" s="103"/>
      <c r="P107" s="98"/>
      <c r="Q107" s="99"/>
      <c r="R107" s="104">
        <f t="shared" si="4"/>
        <v>0</v>
      </c>
      <c r="S107" s="104">
        <f t="shared" si="5"/>
        <v>0</v>
      </c>
      <c r="T107" s="104">
        <f t="shared" si="6"/>
        <v>0</v>
      </c>
      <c r="V107" s="106"/>
    </row>
    <row r="108" spans="1:22">
      <c r="A108" s="101"/>
      <c r="B108" s="101"/>
      <c r="C108" s="101"/>
      <c r="D108" s="101"/>
      <c r="E108" s="101"/>
      <c r="F108" s="102"/>
      <c r="G108" s="101"/>
      <c r="H108" s="102"/>
      <c r="I108" s="101"/>
      <c r="J108" s="101"/>
      <c r="K108" s="103"/>
      <c r="L108" s="103"/>
      <c r="M108" s="103"/>
      <c r="N108" s="103"/>
      <c r="O108" s="103"/>
      <c r="P108" s="98"/>
      <c r="Q108" s="99"/>
      <c r="R108" s="104">
        <f t="shared" si="4"/>
        <v>0</v>
      </c>
      <c r="S108" s="104">
        <f t="shared" si="5"/>
        <v>0</v>
      </c>
      <c r="T108" s="104">
        <f t="shared" si="6"/>
        <v>0</v>
      </c>
    </row>
    <row r="109" spans="1:22">
      <c r="A109" s="101"/>
      <c r="B109" s="101"/>
      <c r="C109" s="101"/>
      <c r="D109" s="101"/>
      <c r="E109" s="101"/>
      <c r="F109" s="102"/>
      <c r="G109" s="101"/>
      <c r="H109" s="102"/>
      <c r="I109" s="101"/>
      <c r="J109" s="101"/>
      <c r="K109" s="103"/>
      <c r="L109" s="103"/>
      <c r="M109" s="103"/>
      <c r="N109" s="103"/>
      <c r="O109" s="103"/>
      <c r="P109" s="98"/>
      <c r="Q109" s="99"/>
      <c r="R109" s="104">
        <f t="shared" si="4"/>
        <v>0</v>
      </c>
      <c r="S109" s="104">
        <f t="shared" si="5"/>
        <v>0</v>
      </c>
      <c r="T109" s="104">
        <f t="shared" si="6"/>
        <v>0</v>
      </c>
    </row>
    <row r="110" spans="1:22">
      <c r="A110" s="101"/>
      <c r="B110" s="101"/>
      <c r="C110" s="101"/>
      <c r="D110" s="101"/>
      <c r="E110" s="101"/>
      <c r="F110" s="102"/>
      <c r="G110" s="101"/>
      <c r="H110" s="102"/>
      <c r="I110" s="101"/>
      <c r="J110" s="101"/>
      <c r="K110" s="103"/>
      <c r="L110" s="103"/>
      <c r="M110" s="103"/>
      <c r="N110" s="103"/>
      <c r="O110" s="103"/>
      <c r="P110" s="98"/>
      <c r="Q110" s="99"/>
      <c r="R110" s="104">
        <f t="shared" si="4"/>
        <v>0</v>
      </c>
      <c r="S110" s="104">
        <f t="shared" si="5"/>
        <v>0</v>
      </c>
      <c r="T110" s="104">
        <f t="shared" si="6"/>
        <v>0</v>
      </c>
    </row>
    <row r="111" spans="1:22">
      <c r="A111" s="101"/>
      <c r="B111" s="101"/>
      <c r="C111" s="101"/>
      <c r="D111" s="101"/>
      <c r="E111" s="101"/>
      <c r="F111" s="102"/>
      <c r="G111" s="101"/>
      <c r="H111" s="102"/>
      <c r="I111" s="101"/>
      <c r="J111" s="101"/>
      <c r="K111" s="103"/>
      <c r="L111" s="103"/>
      <c r="M111" s="103"/>
      <c r="N111" s="103"/>
      <c r="O111" s="103"/>
      <c r="P111" s="98"/>
      <c r="Q111" s="99"/>
      <c r="R111" s="104">
        <f t="shared" ref="R111:R132" si="7">IF(P111="Cargo",K111+L111-M111-N111+O111,0)</f>
        <v>0</v>
      </c>
      <c r="S111" s="104">
        <f t="shared" ref="S111:S131" si="8">IF(P111="Abono",K111+L111+M111-N111-O111,0)</f>
        <v>0</v>
      </c>
      <c r="T111" s="104">
        <f t="shared" ref="T111:T132" si="9">IF(Q111="OK",+T110+R111-S111,T110)</f>
        <v>0</v>
      </c>
    </row>
    <row r="112" spans="1:22">
      <c r="A112" s="101"/>
      <c r="B112" s="101"/>
      <c r="C112" s="101"/>
      <c r="D112" s="101"/>
      <c r="E112" s="101"/>
      <c r="F112" s="102"/>
      <c r="G112" s="101"/>
      <c r="H112" s="102"/>
      <c r="I112" s="101"/>
      <c r="J112" s="101"/>
      <c r="K112" s="103"/>
      <c r="L112" s="103"/>
      <c r="M112" s="103"/>
      <c r="N112" s="103"/>
      <c r="O112" s="103"/>
      <c r="P112" s="98"/>
      <c r="Q112" s="99"/>
      <c r="R112" s="105">
        <f t="shared" si="7"/>
        <v>0</v>
      </c>
      <c r="S112" s="108">
        <f t="shared" si="8"/>
        <v>0</v>
      </c>
      <c r="T112" s="105">
        <f t="shared" si="9"/>
        <v>0</v>
      </c>
    </row>
    <row r="113" spans="1:20">
      <c r="A113" s="101"/>
      <c r="B113" s="101"/>
      <c r="C113" s="101"/>
      <c r="D113" s="101"/>
      <c r="E113" s="101"/>
      <c r="F113" s="102"/>
      <c r="G113" s="101"/>
      <c r="H113" s="102"/>
      <c r="I113" s="101"/>
      <c r="J113" s="101"/>
      <c r="K113" s="103"/>
      <c r="L113" s="103"/>
      <c r="M113" s="103"/>
      <c r="N113" s="103"/>
      <c r="O113" s="103"/>
      <c r="P113" s="98"/>
      <c r="Q113" s="99"/>
      <c r="R113" s="104">
        <f t="shared" si="7"/>
        <v>0</v>
      </c>
      <c r="S113" s="104">
        <f t="shared" si="8"/>
        <v>0</v>
      </c>
      <c r="T113" s="104">
        <f t="shared" si="9"/>
        <v>0</v>
      </c>
    </row>
    <row r="114" spans="1:20">
      <c r="A114" s="101"/>
      <c r="B114" s="101"/>
      <c r="C114" s="101"/>
      <c r="D114" s="101"/>
      <c r="E114" s="101"/>
      <c r="F114" s="102"/>
      <c r="G114" s="101"/>
      <c r="H114" s="102"/>
      <c r="I114" s="101"/>
      <c r="J114" s="101"/>
      <c r="K114" s="103"/>
      <c r="L114" s="103"/>
      <c r="M114" s="103"/>
      <c r="N114" s="103"/>
      <c r="O114" s="103"/>
      <c r="P114" s="98"/>
      <c r="Q114" s="99"/>
      <c r="R114" s="105">
        <f t="shared" si="7"/>
        <v>0</v>
      </c>
      <c r="S114" s="108">
        <f t="shared" si="8"/>
        <v>0</v>
      </c>
      <c r="T114" s="105">
        <f t="shared" si="9"/>
        <v>0</v>
      </c>
    </row>
    <row r="115" spans="1:20">
      <c r="A115" s="101"/>
      <c r="B115" s="101"/>
      <c r="C115" s="101"/>
      <c r="D115" s="101"/>
      <c r="E115" s="101"/>
      <c r="F115" s="102"/>
      <c r="G115" s="101"/>
      <c r="H115" s="102"/>
      <c r="I115" s="101"/>
      <c r="J115" s="101"/>
      <c r="K115" s="103"/>
      <c r="L115" s="103"/>
      <c r="M115" s="103"/>
      <c r="N115" s="103"/>
      <c r="O115" s="103"/>
      <c r="P115" s="98"/>
      <c r="Q115" s="99"/>
      <c r="R115" s="104">
        <f t="shared" si="7"/>
        <v>0</v>
      </c>
      <c r="S115" s="104">
        <f t="shared" si="8"/>
        <v>0</v>
      </c>
      <c r="T115" s="104">
        <f t="shared" si="9"/>
        <v>0</v>
      </c>
    </row>
    <row r="116" spans="1:20">
      <c r="A116" s="101"/>
      <c r="B116" s="101"/>
      <c r="C116" s="101"/>
      <c r="D116" s="101"/>
      <c r="E116" s="101"/>
      <c r="F116" s="102"/>
      <c r="G116" s="101"/>
      <c r="H116" s="102"/>
      <c r="I116" s="101"/>
      <c r="J116" s="101"/>
      <c r="K116" s="103"/>
      <c r="L116" s="103"/>
      <c r="M116" s="103"/>
      <c r="N116" s="103"/>
      <c r="O116" s="103"/>
      <c r="P116" s="98"/>
      <c r="Q116" s="99"/>
      <c r="R116" s="105">
        <f t="shared" si="7"/>
        <v>0</v>
      </c>
      <c r="S116" s="108">
        <f t="shared" si="8"/>
        <v>0</v>
      </c>
      <c r="T116" s="105">
        <f t="shared" si="9"/>
        <v>0</v>
      </c>
    </row>
    <row r="117" spans="1:20">
      <c r="A117" s="101"/>
      <c r="B117" s="101"/>
      <c r="C117" s="101"/>
      <c r="D117" s="101"/>
      <c r="E117" s="101"/>
      <c r="F117" s="102"/>
      <c r="G117" s="101"/>
      <c r="H117" s="102"/>
      <c r="I117" s="101"/>
      <c r="J117" s="101"/>
      <c r="K117" s="103"/>
      <c r="L117" s="103"/>
      <c r="M117" s="103"/>
      <c r="N117" s="103"/>
      <c r="O117" s="103"/>
      <c r="P117" s="98"/>
      <c r="Q117" s="99"/>
      <c r="R117" s="104">
        <f t="shared" si="7"/>
        <v>0</v>
      </c>
      <c r="S117" s="104">
        <f t="shared" si="8"/>
        <v>0</v>
      </c>
      <c r="T117" s="104">
        <f t="shared" si="9"/>
        <v>0</v>
      </c>
    </row>
    <row r="118" spans="1:20">
      <c r="A118" s="101"/>
      <c r="B118" s="101"/>
      <c r="C118" s="101"/>
      <c r="D118" s="101"/>
      <c r="E118" s="101"/>
      <c r="F118" s="102"/>
      <c r="G118" s="101"/>
      <c r="H118" s="102"/>
      <c r="I118" s="101"/>
      <c r="J118" s="101"/>
      <c r="K118" s="103"/>
      <c r="L118" s="103"/>
      <c r="M118" s="103"/>
      <c r="N118" s="103"/>
      <c r="O118" s="103"/>
      <c r="P118" s="98"/>
      <c r="Q118" s="99"/>
      <c r="R118" s="105">
        <f t="shared" si="7"/>
        <v>0</v>
      </c>
      <c r="S118" s="108">
        <f t="shared" si="8"/>
        <v>0</v>
      </c>
      <c r="T118" s="105">
        <f t="shared" si="9"/>
        <v>0</v>
      </c>
    </row>
    <row r="119" spans="1:20">
      <c r="A119" s="101"/>
      <c r="B119" s="101"/>
      <c r="C119" s="101"/>
      <c r="D119" s="101"/>
      <c r="E119" s="101"/>
      <c r="F119" s="102"/>
      <c r="G119" s="101"/>
      <c r="H119" s="102"/>
      <c r="I119" s="101"/>
      <c r="J119" s="101"/>
      <c r="K119" s="103"/>
      <c r="L119" s="103"/>
      <c r="M119" s="103"/>
      <c r="N119" s="103"/>
      <c r="O119" s="103"/>
      <c r="P119" s="98"/>
      <c r="Q119" s="99"/>
      <c r="R119" s="104">
        <f t="shared" si="7"/>
        <v>0</v>
      </c>
      <c r="S119" s="104">
        <f t="shared" si="8"/>
        <v>0</v>
      </c>
      <c r="T119" s="104">
        <f t="shared" si="9"/>
        <v>0</v>
      </c>
    </row>
    <row r="120" spans="1:20">
      <c r="A120" s="101"/>
      <c r="B120" s="101"/>
      <c r="C120" s="101"/>
      <c r="D120" s="101"/>
      <c r="E120" s="101"/>
      <c r="F120" s="102"/>
      <c r="G120" s="101"/>
      <c r="H120" s="102"/>
      <c r="I120" s="101"/>
      <c r="J120" s="101"/>
      <c r="K120" s="103"/>
      <c r="L120" s="103"/>
      <c r="M120" s="103"/>
      <c r="N120" s="103"/>
      <c r="O120" s="103"/>
      <c r="P120" s="98"/>
      <c r="Q120" s="99"/>
      <c r="R120" s="105">
        <f t="shared" si="7"/>
        <v>0</v>
      </c>
      <c r="S120" s="108">
        <f t="shared" si="8"/>
        <v>0</v>
      </c>
      <c r="T120" s="105">
        <f t="shared" si="9"/>
        <v>0</v>
      </c>
    </row>
    <row r="121" spans="1:20">
      <c r="A121" s="101"/>
      <c r="B121" s="101"/>
      <c r="C121" s="101"/>
      <c r="D121" s="101"/>
      <c r="E121" s="101"/>
      <c r="F121" s="102"/>
      <c r="G121" s="101"/>
      <c r="H121" s="102"/>
      <c r="I121" s="101"/>
      <c r="J121" s="101"/>
      <c r="K121" s="103"/>
      <c r="L121" s="103"/>
      <c r="M121" s="103"/>
      <c r="N121" s="103"/>
      <c r="O121" s="103"/>
      <c r="P121" s="98"/>
      <c r="Q121" s="99"/>
      <c r="R121" s="104">
        <f t="shared" si="7"/>
        <v>0</v>
      </c>
      <c r="S121" s="104">
        <f t="shared" si="8"/>
        <v>0</v>
      </c>
      <c r="T121" s="104">
        <f t="shared" si="9"/>
        <v>0</v>
      </c>
    </row>
    <row r="122" spans="1:20">
      <c r="A122" s="101"/>
      <c r="B122" s="101"/>
      <c r="C122" s="101"/>
      <c r="D122" s="101"/>
      <c r="E122" s="101"/>
      <c r="F122" s="102"/>
      <c r="G122" s="101"/>
      <c r="H122" s="102"/>
      <c r="I122" s="101"/>
      <c r="J122" s="101"/>
      <c r="K122" s="103"/>
      <c r="L122" s="103"/>
      <c r="M122" s="103"/>
      <c r="N122" s="103"/>
      <c r="O122" s="103"/>
      <c r="P122" s="98"/>
      <c r="Q122" s="99"/>
      <c r="R122" s="105">
        <f t="shared" si="7"/>
        <v>0</v>
      </c>
      <c r="S122" s="108">
        <f t="shared" si="8"/>
        <v>0</v>
      </c>
      <c r="T122" s="105">
        <f t="shared" si="9"/>
        <v>0</v>
      </c>
    </row>
    <row r="123" spans="1:20">
      <c r="A123" s="101"/>
      <c r="B123" s="101"/>
      <c r="C123" s="101"/>
      <c r="D123" s="101"/>
      <c r="E123" s="101"/>
      <c r="F123" s="102"/>
      <c r="G123" s="101"/>
      <c r="H123" s="102"/>
      <c r="I123" s="101"/>
      <c r="J123" s="101"/>
      <c r="K123" s="103"/>
      <c r="L123" s="103"/>
      <c r="M123" s="103"/>
      <c r="N123" s="103"/>
      <c r="O123" s="103"/>
      <c r="P123" s="98"/>
      <c r="Q123" s="99"/>
      <c r="R123" s="104">
        <f t="shared" si="7"/>
        <v>0</v>
      </c>
      <c r="S123" s="104">
        <f t="shared" si="8"/>
        <v>0</v>
      </c>
      <c r="T123" s="104">
        <f t="shared" si="9"/>
        <v>0</v>
      </c>
    </row>
    <row r="124" spans="1:20">
      <c r="A124" s="101"/>
      <c r="B124" s="101"/>
      <c r="C124" s="101"/>
      <c r="D124" s="101"/>
      <c r="E124" s="101"/>
      <c r="F124" s="102"/>
      <c r="G124" s="101"/>
      <c r="H124" s="102"/>
      <c r="I124" s="101"/>
      <c r="J124" s="101"/>
      <c r="K124" s="103"/>
      <c r="L124" s="103"/>
      <c r="M124" s="103"/>
      <c r="N124" s="103"/>
      <c r="O124" s="103"/>
      <c r="P124" s="98"/>
      <c r="Q124" s="99"/>
      <c r="R124" s="105">
        <f t="shared" si="7"/>
        <v>0</v>
      </c>
      <c r="S124" s="108">
        <f t="shared" si="8"/>
        <v>0</v>
      </c>
      <c r="T124" s="105">
        <f t="shared" si="9"/>
        <v>0</v>
      </c>
    </row>
    <row r="125" spans="1:20">
      <c r="A125" s="101"/>
      <c r="B125" s="101"/>
      <c r="C125" s="101"/>
      <c r="D125" s="101"/>
      <c r="E125" s="101"/>
      <c r="F125" s="102"/>
      <c r="G125" s="101"/>
      <c r="H125" s="102"/>
      <c r="I125" s="101"/>
      <c r="J125" s="101"/>
      <c r="K125" s="103"/>
      <c r="L125" s="103"/>
      <c r="M125" s="103"/>
      <c r="N125" s="103"/>
      <c r="O125" s="103"/>
      <c r="P125" s="98"/>
      <c r="Q125" s="99"/>
      <c r="R125" s="104">
        <f t="shared" si="7"/>
        <v>0</v>
      </c>
      <c r="S125" s="104">
        <f t="shared" si="8"/>
        <v>0</v>
      </c>
      <c r="T125" s="104">
        <f t="shared" si="9"/>
        <v>0</v>
      </c>
    </row>
    <row r="126" spans="1:20">
      <c r="A126" s="101"/>
      <c r="B126" s="101"/>
      <c r="C126" s="101"/>
      <c r="D126" s="101"/>
      <c r="E126" s="101"/>
      <c r="F126" s="102"/>
      <c r="G126" s="101"/>
      <c r="H126" s="102"/>
      <c r="I126" s="101"/>
      <c r="J126" s="101"/>
      <c r="K126" s="103"/>
      <c r="L126" s="103"/>
      <c r="M126" s="103"/>
      <c r="N126" s="103"/>
      <c r="O126" s="103"/>
      <c r="P126" s="98"/>
      <c r="Q126" s="99"/>
      <c r="R126" s="105">
        <f t="shared" si="7"/>
        <v>0</v>
      </c>
      <c r="S126" s="108">
        <f t="shared" si="8"/>
        <v>0</v>
      </c>
      <c r="T126" s="105">
        <f t="shared" si="9"/>
        <v>0</v>
      </c>
    </row>
    <row r="127" spans="1:20">
      <c r="A127" s="101"/>
      <c r="B127" s="101"/>
      <c r="C127" s="101"/>
      <c r="D127" s="101"/>
      <c r="E127" s="101"/>
      <c r="F127" s="102"/>
      <c r="G127" s="101"/>
      <c r="H127" s="102"/>
      <c r="I127" s="101"/>
      <c r="J127" s="101"/>
      <c r="K127" s="103"/>
      <c r="L127" s="103"/>
      <c r="M127" s="103"/>
      <c r="N127" s="103"/>
      <c r="O127" s="103"/>
      <c r="P127" s="98"/>
      <c r="Q127" s="99"/>
      <c r="R127" s="104">
        <f t="shared" si="7"/>
        <v>0</v>
      </c>
      <c r="S127" s="104">
        <f t="shared" si="8"/>
        <v>0</v>
      </c>
      <c r="T127" s="104">
        <f t="shared" si="9"/>
        <v>0</v>
      </c>
    </row>
    <row r="128" spans="1:20">
      <c r="A128" s="101"/>
      <c r="B128" s="101"/>
      <c r="C128" s="101"/>
      <c r="D128" s="101"/>
      <c r="E128" s="101"/>
      <c r="F128" s="102"/>
      <c r="G128" s="101"/>
      <c r="H128" s="102"/>
      <c r="I128" s="101"/>
      <c r="J128" s="101"/>
      <c r="K128" s="103"/>
      <c r="L128" s="103"/>
      <c r="M128" s="103"/>
      <c r="N128" s="103"/>
      <c r="O128" s="103"/>
      <c r="P128" s="98"/>
      <c r="Q128" s="99"/>
      <c r="R128" s="105">
        <f t="shared" si="7"/>
        <v>0</v>
      </c>
      <c r="S128" s="108">
        <f t="shared" si="8"/>
        <v>0</v>
      </c>
      <c r="T128" s="105">
        <f t="shared" si="9"/>
        <v>0</v>
      </c>
    </row>
    <row r="129" spans="1:20">
      <c r="A129" s="101"/>
      <c r="B129" s="101"/>
      <c r="C129" s="101"/>
      <c r="D129" s="101"/>
      <c r="E129" s="101"/>
      <c r="F129" s="102"/>
      <c r="G129" s="101"/>
      <c r="H129" s="102"/>
      <c r="I129" s="101"/>
      <c r="J129" s="101"/>
      <c r="K129" s="103"/>
      <c r="L129" s="103"/>
      <c r="M129" s="103"/>
      <c r="N129" s="103"/>
      <c r="O129" s="103"/>
      <c r="P129" s="98"/>
      <c r="Q129" s="99"/>
      <c r="R129" s="104">
        <f t="shared" si="7"/>
        <v>0</v>
      </c>
      <c r="S129" s="104">
        <f t="shared" si="8"/>
        <v>0</v>
      </c>
      <c r="T129" s="104">
        <f t="shared" si="9"/>
        <v>0</v>
      </c>
    </row>
    <row r="130" spans="1:20">
      <c r="A130" s="101"/>
      <c r="B130" s="101"/>
      <c r="C130" s="101"/>
      <c r="D130" s="101"/>
      <c r="E130" s="101"/>
      <c r="F130" s="102"/>
      <c r="G130" s="101"/>
      <c r="H130" s="102"/>
      <c r="I130" s="101"/>
      <c r="J130" s="101"/>
      <c r="K130" s="103"/>
      <c r="L130" s="103"/>
      <c r="M130" s="103"/>
      <c r="N130" s="103"/>
      <c r="O130" s="103"/>
      <c r="P130" s="98"/>
      <c r="Q130" s="99"/>
      <c r="R130" s="105">
        <f t="shared" si="7"/>
        <v>0</v>
      </c>
      <c r="S130" s="108">
        <f t="shared" si="8"/>
        <v>0</v>
      </c>
      <c r="T130" s="105">
        <f t="shared" si="9"/>
        <v>0</v>
      </c>
    </row>
    <row r="131" spans="1:20">
      <c r="A131" s="101"/>
      <c r="B131" s="101"/>
      <c r="C131" s="101"/>
      <c r="D131" s="101"/>
      <c r="E131" s="101"/>
      <c r="F131" s="102"/>
      <c r="G131" s="101"/>
      <c r="H131" s="102"/>
      <c r="I131" s="101"/>
      <c r="J131" s="101"/>
      <c r="K131" s="103"/>
      <c r="L131" s="103"/>
      <c r="M131" s="103"/>
      <c r="N131" s="103"/>
      <c r="O131" s="103"/>
      <c r="P131" s="98"/>
      <c r="Q131" s="99"/>
      <c r="R131" s="104">
        <f t="shared" si="7"/>
        <v>0</v>
      </c>
      <c r="S131" s="104">
        <f t="shared" si="8"/>
        <v>0</v>
      </c>
      <c r="T131" s="104">
        <f t="shared" si="9"/>
        <v>0</v>
      </c>
    </row>
    <row r="132" spans="1:20">
      <c r="A132" s="101"/>
      <c r="B132" s="101"/>
      <c r="C132" s="101"/>
      <c r="D132" s="101"/>
      <c r="E132" s="101"/>
      <c r="F132" s="102"/>
      <c r="G132" s="101"/>
      <c r="H132" s="102"/>
      <c r="I132" s="101"/>
      <c r="J132" s="101"/>
      <c r="K132" s="103"/>
      <c r="L132" s="103"/>
      <c r="M132" s="103"/>
      <c r="N132" s="103"/>
      <c r="O132" s="103"/>
      <c r="P132" s="98"/>
      <c r="Q132" s="99"/>
      <c r="R132" s="105">
        <f t="shared" si="7"/>
        <v>0</v>
      </c>
      <c r="S132" s="108">
        <f t="shared" ref="S132:S195" si="10">IF(P132="Abono",K132+L132+M132-N132-O132,0)</f>
        <v>0</v>
      </c>
      <c r="T132" s="105">
        <f t="shared" si="9"/>
        <v>0</v>
      </c>
    </row>
    <row r="133" spans="1:20">
      <c r="A133" s="101"/>
      <c r="B133" s="101"/>
      <c r="C133" s="101"/>
      <c r="D133" s="101"/>
      <c r="E133" s="101"/>
      <c r="F133" s="102"/>
      <c r="G133" s="101"/>
      <c r="H133" s="102"/>
      <c r="I133" s="101"/>
      <c r="J133" s="101"/>
      <c r="K133" s="103"/>
      <c r="L133" s="103"/>
      <c r="M133" s="103"/>
      <c r="N133" s="103"/>
      <c r="O133" s="103"/>
      <c r="P133" s="98"/>
      <c r="Q133" s="99"/>
      <c r="R133" s="104">
        <f t="shared" ref="R133:R196" si="11">IF(P133="Cargo",K133+L133-M133-N133+O133,0)</f>
        <v>0</v>
      </c>
      <c r="S133" s="104">
        <f t="shared" si="10"/>
        <v>0</v>
      </c>
      <c r="T133" s="104">
        <f t="shared" ref="T133:T196" si="12">IF(Q133="OK",+T132+R133-S133,T132)</f>
        <v>0</v>
      </c>
    </row>
    <row r="134" spans="1:20">
      <c r="A134" s="101"/>
      <c r="B134" s="101"/>
      <c r="C134" s="101"/>
      <c r="D134" s="101"/>
      <c r="E134" s="101"/>
      <c r="F134" s="102"/>
      <c r="G134" s="101"/>
      <c r="H134" s="102"/>
      <c r="I134" s="101"/>
      <c r="J134" s="101"/>
      <c r="K134" s="103"/>
      <c r="L134" s="103"/>
      <c r="M134" s="103"/>
      <c r="N134" s="103"/>
      <c r="O134" s="103"/>
      <c r="P134" s="98"/>
      <c r="Q134" s="99"/>
      <c r="R134" s="105">
        <f t="shared" si="11"/>
        <v>0</v>
      </c>
      <c r="S134" s="108">
        <f t="shared" si="10"/>
        <v>0</v>
      </c>
      <c r="T134" s="105">
        <f t="shared" si="12"/>
        <v>0</v>
      </c>
    </row>
    <row r="135" spans="1:20">
      <c r="A135" s="101"/>
      <c r="B135" s="101"/>
      <c r="C135" s="101"/>
      <c r="D135" s="101"/>
      <c r="E135" s="101"/>
      <c r="F135" s="102"/>
      <c r="G135" s="101"/>
      <c r="H135" s="102"/>
      <c r="I135" s="101"/>
      <c r="J135" s="101"/>
      <c r="K135" s="103"/>
      <c r="L135" s="103"/>
      <c r="M135" s="103"/>
      <c r="N135" s="103"/>
      <c r="O135" s="103"/>
      <c r="P135" s="98"/>
      <c r="Q135" s="99"/>
      <c r="R135" s="104">
        <f t="shared" si="11"/>
        <v>0</v>
      </c>
      <c r="S135" s="104">
        <f t="shared" si="10"/>
        <v>0</v>
      </c>
      <c r="T135" s="104">
        <f t="shared" si="12"/>
        <v>0</v>
      </c>
    </row>
    <row r="136" spans="1:20">
      <c r="A136" s="101"/>
      <c r="B136" s="101"/>
      <c r="C136" s="101"/>
      <c r="D136" s="101"/>
      <c r="E136" s="101"/>
      <c r="F136" s="102"/>
      <c r="G136" s="101"/>
      <c r="H136" s="102"/>
      <c r="I136" s="101"/>
      <c r="J136" s="101"/>
      <c r="K136" s="103"/>
      <c r="L136" s="103"/>
      <c r="M136" s="103"/>
      <c r="N136" s="103"/>
      <c r="O136" s="103"/>
      <c r="P136" s="98"/>
      <c r="Q136" s="99"/>
      <c r="R136" s="105">
        <f t="shared" si="11"/>
        <v>0</v>
      </c>
      <c r="S136" s="108">
        <f t="shared" si="10"/>
        <v>0</v>
      </c>
      <c r="T136" s="105">
        <f t="shared" si="12"/>
        <v>0</v>
      </c>
    </row>
    <row r="137" spans="1:20">
      <c r="A137" s="101"/>
      <c r="B137" s="101"/>
      <c r="C137" s="101"/>
      <c r="D137" s="101"/>
      <c r="E137" s="101"/>
      <c r="F137" s="102"/>
      <c r="G137" s="101"/>
      <c r="H137" s="102"/>
      <c r="I137" s="101"/>
      <c r="J137" s="101"/>
      <c r="K137" s="103"/>
      <c r="L137" s="103"/>
      <c r="M137" s="103"/>
      <c r="N137" s="103"/>
      <c r="O137" s="103"/>
      <c r="P137" s="98"/>
      <c r="Q137" s="99"/>
      <c r="R137" s="104">
        <f t="shared" si="11"/>
        <v>0</v>
      </c>
      <c r="S137" s="104">
        <f t="shared" si="10"/>
        <v>0</v>
      </c>
      <c r="T137" s="104">
        <f t="shared" si="12"/>
        <v>0</v>
      </c>
    </row>
    <row r="138" spans="1:20">
      <c r="A138" s="101"/>
      <c r="B138" s="101"/>
      <c r="C138" s="101"/>
      <c r="D138" s="101"/>
      <c r="E138" s="101"/>
      <c r="F138" s="102"/>
      <c r="G138" s="101"/>
      <c r="H138" s="102"/>
      <c r="I138" s="101"/>
      <c r="J138" s="101"/>
      <c r="K138" s="103"/>
      <c r="L138" s="103"/>
      <c r="M138" s="103"/>
      <c r="N138" s="103"/>
      <c r="O138" s="103"/>
      <c r="P138" s="98"/>
      <c r="Q138" s="99"/>
      <c r="R138" s="105">
        <f t="shared" si="11"/>
        <v>0</v>
      </c>
      <c r="S138" s="108">
        <f t="shared" si="10"/>
        <v>0</v>
      </c>
      <c r="T138" s="105">
        <f t="shared" si="12"/>
        <v>0</v>
      </c>
    </row>
    <row r="139" spans="1:20">
      <c r="A139" s="101"/>
      <c r="B139" s="101"/>
      <c r="C139" s="101"/>
      <c r="D139" s="101"/>
      <c r="E139" s="101"/>
      <c r="F139" s="102"/>
      <c r="G139" s="101"/>
      <c r="H139" s="102"/>
      <c r="I139" s="101"/>
      <c r="J139" s="101"/>
      <c r="K139" s="103"/>
      <c r="L139" s="103"/>
      <c r="M139" s="103"/>
      <c r="N139" s="103"/>
      <c r="O139" s="103"/>
      <c r="P139" s="98"/>
      <c r="Q139" s="99"/>
      <c r="R139" s="104">
        <f t="shared" si="11"/>
        <v>0</v>
      </c>
      <c r="S139" s="104">
        <f t="shared" si="10"/>
        <v>0</v>
      </c>
      <c r="T139" s="104">
        <f t="shared" si="12"/>
        <v>0</v>
      </c>
    </row>
    <row r="140" spans="1:20">
      <c r="A140" s="101"/>
      <c r="B140" s="101"/>
      <c r="C140" s="101"/>
      <c r="D140" s="101"/>
      <c r="E140" s="101"/>
      <c r="F140" s="102"/>
      <c r="G140" s="101"/>
      <c r="H140" s="102"/>
      <c r="I140" s="101"/>
      <c r="J140" s="101"/>
      <c r="K140" s="103"/>
      <c r="L140" s="103"/>
      <c r="M140" s="103"/>
      <c r="N140" s="103"/>
      <c r="O140" s="103"/>
      <c r="P140" s="98"/>
      <c r="Q140" s="99"/>
      <c r="R140" s="105">
        <f t="shared" si="11"/>
        <v>0</v>
      </c>
      <c r="S140" s="108">
        <f t="shared" si="10"/>
        <v>0</v>
      </c>
      <c r="T140" s="105">
        <f t="shared" si="12"/>
        <v>0</v>
      </c>
    </row>
    <row r="141" spans="1:20">
      <c r="A141" s="101"/>
      <c r="B141" s="101"/>
      <c r="C141" s="101"/>
      <c r="D141" s="101"/>
      <c r="E141" s="101"/>
      <c r="F141" s="102"/>
      <c r="G141" s="101"/>
      <c r="H141" s="102"/>
      <c r="I141" s="101"/>
      <c r="J141" s="101"/>
      <c r="K141" s="103"/>
      <c r="L141" s="103"/>
      <c r="M141" s="103"/>
      <c r="N141" s="103"/>
      <c r="O141" s="103"/>
      <c r="P141" s="98"/>
      <c r="Q141" s="99"/>
      <c r="R141" s="104">
        <f t="shared" si="11"/>
        <v>0</v>
      </c>
      <c r="S141" s="104">
        <f t="shared" si="10"/>
        <v>0</v>
      </c>
      <c r="T141" s="104">
        <f t="shared" si="12"/>
        <v>0</v>
      </c>
    </row>
    <row r="142" spans="1:20">
      <c r="A142" s="101"/>
      <c r="B142" s="101"/>
      <c r="C142" s="101"/>
      <c r="D142" s="101"/>
      <c r="E142" s="101"/>
      <c r="F142" s="102"/>
      <c r="G142" s="101"/>
      <c r="H142" s="102"/>
      <c r="I142" s="101"/>
      <c r="J142" s="101"/>
      <c r="K142" s="103"/>
      <c r="L142" s="103"/>
      <c r="M142" s="103"/>
      <c r="N142" s="103"/>
      <c r="O142" s="103"/>
      <c r="P142" s="98"/>
      <c r="Q142" s="99"/>
      <c r="R142" s="105">
        <f t="shared" si="11"/>
        <v>0</v>
      </c>
      <c r="S142" s="108">
        <f t="shared" si="10"/>
        <v>0</v>
      </c>
      <c r="T142" s="105">
        <f t="shared" si="12"/>
        <v>0</v>
      </c>
    </row>
    <row r="143" spans="1:20">
      <c r="A143" s="101"/>
      <c r="B143" s="101"/>
      <c r="C143" s="101"/>
      <c r="D143" s="101"/>
      <c r="E143" s="101"/>
      <c r="F143" s="102"/>
      <c r="G143" s="101"/>
      <c r="H143" s="102"/>
      <c r="I143" s="101"/>
      <c r="J143" s="101"/>
      <c r="K143" s="103"/>
      <c r="L143" s="103"/>
      <c r="M143" s="103"/>
      <c r="N143" s="103"/>
      <c r="O143" s="103"/>
      <c r="P143" s="98"/>
      <c r="Q143" s="99"/>
      <c r="R143" s="104">
        <f t="shared" si="11"/>
        <v>0</v>
      </c>
      <c r="S143" s="104">
        <f t="shared" si="10"/>
        <v>0</v>
      </c>
      <c r="T143" s="104">
        <f t="shared" si="12"/>
        <v>0</v>
      </c>
    </row>
    <row r="144" spans="1:20">
      <c r="A144" s="101"/>
      <c r="B144" s="101"/>
      <c r="C144" s="101"/>
      <c r="D144" s="101"/>
      <c r="E144" s="101"/>
      <c r="F144" s="102"/>
      <c r="G144" s="101"/>
      <c r="H144" s="102"/>
      <c r="I144" s="101"/>
      <c r="J144" s="101"/>
      <c r="K144" s="103"/>
      <c r="L144" s="103"/>
      <c r="M144" s="103"/>
      <c r="N144" s="103"/>
      <c r="O144" s="103"/>
      <c r="P144" s="98"/>
      <c r="Q144" s="99"/>
      <c r="R144" s="105">
        <f t="shared" si="11"/>
        <v>0</v>
      </c>
      <c r="S144" s="108">
        <f t="shared" si="10"/>
        <v>0</v>
      </c>
      <c r="T144" s="105">
        <f t="shared" si="12"/>
        <v>0</v>
      </c>
    </row>
    <row r="145" spans="1:22">
      <c r="A145" s="101"/>
      <c r="B145" s="101"/>
      <c r="C145" s="101"/>
      <c r="D145" s="101"/>
      <c r="E145" s="101"/>
      <c r="F145" s="102"/>
      <c r="G145" s="101"/>
      <c r="H145" s="102"/>
      <c r="I145" s="101"/>
      <c r="J145" s="101"/>
      <c r="K145" s="103"/>
      <c r="L145" s="103"/>
      <c r="M145" s="103"/>
      <c r="N145" s="103"/>
      <c r="O145" s="103"/>
      <c r="P145" s="98"/>
      <c r="Q145" s="99"/>
      <c r="R145" s="104">
        <f t="shared" si="11"/>
        <v>0</v>
      </c>
      <c r="S145" s="104">
        <f t="shared" si="10"/>
        <v>0</v>
      </c>
      <c r="T145" s="104">
        <f t="shared" si="12"/>
        <v>0</v>
      </c>
    </row>
    <row r="146" spans="1:22">
      <c r="A146" s="101"/>
      <c r="B146" s="101"/>
      <c r="C146" s="101"/>
      <c r="D146" s="101"/>
      <c r="E146" s="101"/>
      <c r="F146" s="102"/>
      <c r="G146" s="101"/>
      <c r="H146" s="102"/>
      <c r="I146" s="101"/>
      <c r="J146" s="101"/>
      <c r="K146" s="103"/>
      <c r="L146" s="103"/>
      <c r="M146" s="103"/>
      <c r="N146" s="103"/>
      <c r="O146" s="103"/>
      <c r="P146" s="98"/>
      <c r="Q146" s="99"/>
      <c r="R146" s="105">
        <f t="shared" si="11"/>
        <v>0</v>
      </c>
      <c r="S146" s="108">
        <f t="shared" si="10"/>
        <v>0</v>
      </c>
      <c r="T146" s="105">
        <f t="shared" si="12"/>
        <v>0</v>
      </c>
    </row>
    <row r="147" spans="1:22">
      <c r="A147" s="101"/>
      <c r="B147" s="101"/>
      <c r="C147" s="101"/>
      <c r="D147" s="101"/>
      <c r="E147" s="101"/>
      <c r="F147" s="102"/>
      <c r="G147" s="101"/>
      <c r="H147" s="102"/>
      <c r="I147" s="101"/>
      <c r="J147" s="101"/>
      <c r="K147" s="103"/>
      <c r="L147" s="103"/>
      <c r="M147" s="103"/>
      <c r="N147" s="103"/>
      <c r="O147" s="103"/>
      <c r="P147" s="98"/>
      <c r="Q147" s="99"/>
      <c r="R147" s="104">
        <f t="shared" si="11"/>
        <v>0</v>
      </c>
      <c r="S147" s="104">
        <f t="shared" si="10"/>
        <v>0</v>
      </c>
      <c r="T147" s="104">
        <f t="shared" si="12"/>
        <v>0</v>
      </c>
    </row>
    <row r="148" spans="1:22">
      <c r="A148" s="101"/>
      <c r="B148" s="101"/>
      <c r="C148" s="101"/>
      <c r="D148" s="101"/>
      <c r="E148" s="101"/>
      <c r="F148" s="102"/>
      <c r="G148" s="101"/>
      <c r="H148" s="102"/>
      <c r="I148" s="101"/>
      <c r="J148" s="101"/>
      <c r="K148" s="103"/>
      <c r="L148" s="103"/>
      <c r="M148" s="103"/>
      <c r="N148" s="103"/>
      <c r="O148" s="103"/>
      <c r="P148" s="98"/>
      <c r="Q148" s="99"/>
      <c r="R148" s="105">
        <f t="shared" si="11"/>
        <v>0</v>
      </c>
      <c r="S148" s="108">
        <f t="shared" si="10"/>
        <v>0</v>
      </c>
      <c r="T148" s="105">
        <f t="shared" si="12"/>
        <v>0</v>
      </c>
    </row>
    <row r="149" spans="1:22">
      <c r="A149" s="101"/>
      <c r="B149" s="101"/>
      <c r="C149" s="101"/>
      <c r="D149" s="101"/>
      <c r="E149" s="101"/>
      <c r="F149" s="102"/>
      <c r="G149" s="101"/>
      <c r="H149" s="102"/>
      <c r="I149" s="101"/>
      <c r="J149" s="101"/>
      <c r="K149" s="103"/>
      <c r="L149" s="103"/>
      <c r="M149" s="103"/>
      <c r="N149" s="103"/>
      <c r="O149" s="103"/>
      <c r="P149" s="98"/>
      <c r="Q149" s="99"/>
      <c r="R149" s="104">
        <f t="shared" si="11"/>
        <v>0</v>
      </c>
      <c r="S149" s="104">
        <f t="shared" si="10"/>
        <v>0</v>
      </c>
      <c r="T149" s="104">
        <f t="shared" si="12"/>
        <v>0</v>
      </c>
    </row>
    <row r="150" spans="1:22">
      <c r="A150" s="101"/>
      <c r="B150" s="101"/>
      <c r="C150" s="101"/>
      <c r="D150" s="101"/>
      <c r="E150" s="101"/>
      <c r="F150" s="102"/>
      <c r="G150" s="101"/>
      <c r="H150" s="102"/>
      <c r="I150" s="101"/>
      <c r="J150" s="101"/>
      <c r="K150" s="103"/>
      <c r="L150" s="103"/>
      <c r="M150" s="103"/>
      <c r="N150" s="103"/>
      <c r="O150" s="103"/>
      <c r="P150" s="98"/>
      <c r="Q150" s="99"/>
      <c r="R150" s="105">
        <f t="shared" si="11"/>
        <v>0</v>
      </c>
      <c r="S150" s="108">
        <f t="shared" si="10"/>
        <v>0</v>
      </c>
      <c r="T150" s="105">
        <f t="shared" si="12"/>
        <v>0</v>
      </c>
      <c r="V150" s="106"/>
    </row>
    <row r="151" spans="1:22">
      <c r="A151" s="101"/>
      <c r="B151" s="101"/>
      <c r="C151" s="101"/>
      <c r="D151" s="101"/>
      <c r="E151" s="101"/>
      <c r="F151" s="102"/>
      <c r="G151" s="101"/>
      <c r="H151" s="102"/>
      <c r="I151" s="101"/>
      <c r="J151" s="101"/>
      <c r="K151" s="103"/>
      <c r="L151" s="103"/>
      <c r="M151" s="103"/>
      <c r="N151" s="103"/>
      <c r="O151" s="103"/>
      <c r="P151" s="98"/>
      <c r="Q151" s="99"/>
      <c r="R151" s="104">
        <f t="shared" si="11"/>
        <v>0</v>
      </c>
      <c r="S151" s="104">
        <f t="shared" si="10"/>
        <v>0</v>
      </c>
      <c r="T151" s="104">
        <f t="shared" si="12"/>
        <v>0</v>
      </c>
    </row>
    <row r="152" spans="1:22">
      <c r="A152" s="101"/>
      <c r="B152" s="101"/>
      <c r="C152" s="101"/>
      <c r="D152" s="101"/>
      <c r="E152" s="101"/>
      <c r="F152" s="102"/>
      <c r="G152" s="101"/>
      <c r="H152" s="102"/>
      <c r="I152" s="101"/>
      <c r="J152" s="101"/>
      <c r="K152" s="103"/>
      <c r="L152" s="103"/>
      <c r="M152" s="103"/>
      <c r="N152" s="103"/>
      <c r="O152" s="103"/>
      <c r="P152" s="98"/>
      <c r="Q152" s="99"/>
      <c r="R152" s="105">
        <f t="shared" si="11"/>
        <v>0</v>
      </c>
      <c r="S152" s="108">
        <f t="shared" si="10"/>
        <v>0</v>
      </c>
      <c r="T152" s="105">
        <f t="shared" si="12"/>
        <v>0</v>
      </c>
    </row>
    <row r="153" spans="1:22">
      <c r="A153" s="101"/>
      <c r="B153" s="101"/>
      <c r="C153" s="101"/>
      <c r="D153" s="101"/>
      <c r="E153" s="101"/>
      <c r="F153" s="102"/>
      <c r="G153" s="101"/>
      <c r="H153" s="102"/>
      <c r="I153" s="101"/>
      <c r="J153" s="101"/>
      <c r="K153" s="103"/>
      <c r="L153" s="103"/>
      <c r="M153" s="103"/>
      <c r="N153" s="103"/>
      <c r="O153" s="103"/>
      <c r="P153" s="98"/>
      <c r="Q153" s="99"/>
      <c r="R153" s="104">
        <f t="shared" si="11"/>
        <v>0</v>
      </c>
      <c r="S153" s="104">
        <f t="shared" si="10"/>
        <v>0</v>
      </c>
      <c r="T153" s="104">
        <f t="shared" si="12"/>
        <v>0</v>
      </c>
    </row>
    <row r="154" spans="1:22">
      <c r="A154" s="101"/>
      <c r="B154" s="101"/>
      <c r="C154" s="101"/>
      <c r="D154" s="101"/>
      <c r="E154" s="101"/>
      <c r="F154" s="102"/>
      <c r="G154" s="101"/>
      <c r="H154" s="102"/>
      <c r="I154" s="101"/>
      <c r="J154" s="101"/>
      <c r="K154" s="103"/>
      <c r="L154" s="103"/>
      <c r="M154" s="103"/>
      <c r="N154" s="103"/>
      <c r="O154" s="103"/>
      <c r="P154" s="98"/>
      <c r="Q154" s="99"/>
      <c r="R154" s="105">
        <f t="shared" si="11"/>
        <v>0</v>
      </c>
      <c r="S154" s="108">
        <f t="shared" si="10"/>
        <v>0</v>
      </c>
      <c r="T154" s="105">
        <f t="shared" si="12"/>
        <v>0</v>
      </c>
    </row>
    <row r="155" spans="1:22">
      <c r="A155" s="101"/>
      <c r="B155" s="101"/>
      <c r="C155" s="101"/>
      <c r="D155" s="101"/>
      <c r="E155" s="101"/>
      <c r="F155" s="102"/>
      <c r="G155" s="101"/>
      <c r="H155" s="102"/>
      <c r="I155" s="101"/>
      <c r="J155" s="101"/>
      <c r="K155" s="103"/>
      <c r="L155" s="103"/>
      <c r="M155" s="103"/>
      <c r="N155" s="103"/>
      <c r="O155" s="103"/>
      <c r="P155" s="98"/>
      <c r="Q155" s="99"/>
      <c r="R155" s="104">
        <f t="shared" si="11"/>
        <v>0</v>
      </c>
      <c r="S155" s="104">
        <f t="shared" si="10"/>
        <v>0</v>
      </c>
      <c r="T155" s="104">
        <f t="shared" si="12"/>
        <v>0</v>
      </c>
    </row>
    <row r="156" spans="1:22">
      <c r="A156" s="101"/>
      <c r="B156" s="101"/>
      <c r="C156" s="101"/>
      <c r="D156" s="101"/>
      <c r="E156" s="101"/>
      <c r="F156" s="102"/>
      <c r="G156" s="101"/>
      <c r="H156" s="102"/>
      <c r="I156" s="101"/>
      <c r="J156" s="101"/>
      <c r="K156" s="103"/>
      <c r="L156" s="103"/>
      <c r="M156" s="103"/>
      <c r="N156" s="103"/>
      <c r="O156" s="103"/>
      <c r="P156" s="98"/>
      <c r="Q156" s="99"/>
      <c r="R156" s="105">
        <f t="shared" si="11"/>
        <v>0</v>
      </c>
      <c r="S156" s="108">
        <f t="shared" si="10"/>
        <v>0</v>
      </c>
      <c r="T156" s="105">
        <f t="shared" si="12"/>
        <v>0</v>
      </c>
    </row>
    <row r="157" spans="1:22">
      <c r="A157" s="101"/>
      <c r="B157" s="101"/>
      <c r="C157" s="101"/>
      <c r="D157" s="101"/>
      <c r="E157" s="101"/>
      <c r="F157" s="102"/>
      <c r="G157" s="101"/>
      <c r="H157" s="102"/>
      <c r="I157" s="101"/>
      <c r="J157" s="101"/>
      <c r="K157" s="103"/>
      <c r="L157" s="103"/>
      <c r="M157" s="103"/>
      <c r="N157" s="103"/>
      <c r="O157" s="103"/>
      <c r="P157" s="98"/>
      <c r="Q157" s="99"/>
      <c r="R157" s="104">
        <f t="shared" si="11"/>
        <v>0</v>
      </c>
      <c r="S157" s="104">
        <f t="shared" si="10"/>
        <v>0</v>
      </c>
      <c r="T157" s="104">
        <f t="shared" si="12"/>
        <v>0</v>
      </c>
    </row>
    <row r="158" spans="1:22">
      <c r="A158" s="101"/>
      <c r="B158" s="101"/>
      <c r="C158" s="101"/>
      <c r="D158" s="101"/>
      <c r="E158" s="101"/>
      <c r="F158" s="102"/>
      <c r="G158" s="101"/>
      <c r="H158" s="102"/>
      <c r="I158" s="101"/>
      <c r="J158" s="101"/>
      <c r="K158" s="103"/>
      <c r="L158" s="103"/>
      <c r="M158" s="103"/>
      <c r="N158" s="103"/>
      <c r="O158" s="103"/>
      <c r="P158" s="98"/>
      <c r="Q158" s="99"/>
      <c r="R158" s="105">
        <f t="shared" si="11"/>
        <v>0</v>
      </c>
      <c r="S158" s="108">
        <f t="shared" si="10"/>
        <v>0</v>
      </c>
      <c r="T158" s="105">
        <f t="shared" si="12"/>
        <v>0</v>
      </c>
    </row>
    <row r="159" spans="1:22">
      <c r="A159" s="101"/>
      <c r="B159" s="101"/>
      <c r="C159" s="101"/>
      <c r="D159" s="101"/>
      <c r="E159" s="101"/>
      <c r="F159" s="102"/>
      <c r="G159" s="101"/>
      <c r="H159" s="102"/>
      <c r="I159" s="101"/>
      <c r="J159" s="101"/>
      <c r="K159" s="103"/>
      <c r="L159" s="103"/>
      <c r="M159" s="103"/>
      <c r="N159" s="103"/>
      <c r="O159" s="103"/>
      <c r="P159" s="98"/>
      <c r="Q159" s="99"/>
      <c r="R159" s="104">
        <f t="shared" si="11"/>
        <v>0</v>
      </c>
      <c r="S159" s="104">
        <f t="shared" si="10"/>
        <v>0</v>
      </c>
      <c r="T159" s="104">
        <f t="shared" si="12"/>
        <v>0</v>
      </c>
    </row>
    <row r="160" spans="1:22">
      <c r="A160" s="101"/>
      <c r="B160" s="101"/>
      <c r="C160" s="101"/>
      <c r="D160" s="101"/>
      <c r="E160" s="101"/>
      <c r="F160" s="102"/>
      <c r="G160" s="101"/>
      <c r="H160" s="102"/>
      <c r="I160" s="101"/>
      <c r="J160" s="101"/>
      <c r="K160" s="103"/>
      <c r="L160" s="103"/>
      <c r="M160" s="103"/>
      <c r="N160" s="103"/>
      <c r="O160" s="103"/>
      <c r="P160" s="98"/>
      <c r="Q160" s="99"/>
      <c r="R160" s="105">
        <f t="shared" si="11"/>
        <v>0</v>
      </c>
      <c r="S160" s="108">
        <f t="shared" si="10"/>
        <v>0</v>
      </c>
      <c r="T160" s="105">
        <f t="shared" si="12"/>
        <v>0</v>
      </c>
    </row>
    <row r="161" spans="1:22">
      <c r="A161" s="101"/>
      <c r="B161" s="101"/>
      <c r="C161" s="101"/>
      <c r="D161" s="101"/>
      <c r="E161" s="101"/>
      <c r="F161" s="102"/>
      <c r="G161" s="101"/>
      <c r="H161" s="102"/>
      <c r="I161" s="101"/>
      <c r="J161" s="101"/>
      <c r="K161" s="103"/>
      <c r="L161" s="103"/>
      <c r="M161" s="103"/>
      <c r="N161" s="103"/>
      <c r="O161" s="103"/>
      <c r="P161" s="98"/>
      <c r="Q161" s="99"/>
      <c r="R161" s="104">
        <f t="shared" si="11"/>
        <v>0</v>
      </c>
      <c r="S161" s="104">
        <f t="shared" si="10"/>
        <v>0</v>
      </c>
      <c r="T161" s="104">
        <f t="shared" si="12"/>
        <v>0</v>
      </c>
    </row>
    <row r="162" spans="1:22">
      <c r="A162" s="101"/>
      <c r="B162" s="101"/>
      <c r="C162" s="101"/>
      <c r="D162" s="101"/>
      <c r="E162" s="101"/>
      <c r="F162" s="102"/>
      <c r="G162" s="101"/>
      <c r="H162" s="102"/>
      <c r="I162" s="101"/>
      <c r="J162" s="101"/>
      <c r="K162" s="103"/>
      <c r="L162" s="103"/>
      <c r="M162" s="103"/>
      <c r="N162" s="103"/>
      <c r="O162" s="103"/>
      <c r="P162" s="98"/>
      <c r="Q162" s="99"/>
      <c r="R162" s="105">
        <f t="shared" si="11"/>
        <v>0</v>
      </c>
      <c r="S162" s="108">
        <f t="shared" si="10"/>
        <v>0</v>
      </c>
      <c r="T162" s="105">
        <f t="shared" si="12"/>
        <v>0</v>
      </c>
    </row>
    <row r="163" spans="1:22">
      <c r="A163" s="101"/>
      <c r="B163" s="101"/>
      <c r="C163" s="101"/>
      <c r="D163" s="101"/>
      <c r="E163" s="101"/>
      <c r="F163" s="102"/>
      <c r="G163" s="101"/>
      <c r="H163" s="102"/>
      <c r="I163" s="101"/>
      <c r="J163" s="101"/>
      <c r="K163" s="103"/>
      <c r="L163" s="103"/>
      <c r="M163" s="103"/>
      <c r="N163" s="103"/>
      <c r="O163" s="103"/>
      <c r="P163" s="98"/>
      <c r="Q163" s="99"/>
      <c r="R163" s="104">
        <f t="shared" si="11"/>
        <v>0</v>
      </c>
      <c r="S163" s="104">
        <f t="shared" si="10"/>
        <v>0</v>
      </c>
      <c r="T163" s="104">
        <f t="shared" si="12"/>
        <v>0</v>
      </c>
    </row>
    <row r="164" spans="1:22">
      <c r="A164" s="101"/>
      <c r="B164" s="101"/>
      <c r="C164" s="101"/>
      <c r="D164" s="101"/>
      <c r="E164" s="101"/>
      <c r="F164" s="102"/>
      <c r="G164" s="101"/>
      <c r="H164" s="102"/>
      <c r="I164" s="101"/>
      <c r="J164" s="101"/>
      <c r="K164" s="103"/>
      <c r="L164" s="103"/>
      <c r="M164" s="103"/>
      <c r="N164" s="103"/>
      <c r="O164" s="103"/>
      <c r="P164" s="98"/>
      <c r="Q164" s="99"/>
      <c r="R164" s="105">
        <f t="shared" si="11"/>
        <v>0</v>
      </c>
      <c r="S164" s="108">
        <f t="shared" si="10"/>
        <v>0</v>
      </c>
      <c r="T164" s="105">
        <f t="shared" si="12"/>
        <v>0</v>
      </c>
    </row>
    <row r="165" spans="1:22">
      <c r="A165" s="101"/>
      <c r="B165" s="101"/>
      <c r="C165" s="101"/>
      <c r="D165" s="101"/>
      <c r="E165" s="101"/>
      <c r="F165" s="102"/>
      <c r="G165" s="101"/>
      <c r="H165" s="102"/>
      <c r="I165" s="101"/>
      <c r="J165" s="101"/>
      <c r="K165" s="103"/>
      <c r="L165" s="103"/>
      <c r="M165" s="103"/>
      <c r="N165" s="103"/>
      <c r="O165" s="103"/>
      <c r="P165" s="98"/>
      <c r="Q165" s="99"/>
      <c r="R165" s="104">
        <f t="shared" si="11"/>
        <v>0</v>
      </c>
      <c r="S165" s="104">
        <f t="shared" si="10"/>
        <v>0</v>
      </c>
      <c r="T165" s="104">
        <f t="shared" si="12"/>
        <v>0</v>
      </c>
    </row>
    <row r="166" spans="1:22">
      <c r="A166" s="101"/>
      <c r="B166" s="101"/>
      <c r="C166" s="101"/>
      <c r="D166" s="101"/>
      <c r="E166" s="101"/>
      <c r="F166" s="102"/>
      <c r="G166" s="101"/>
      <c r="H166" s="102"/>
      <c r="I166" s="101"/>
      <c r="J166" s="101"/>
      <c r="K166" s="103"/>
      <c r="L166" s="103"/>
      <c r="M166" s="103"/>
      <c r="N166" s="103"/>
      <c r="O166" s="103"/>
      <c r="P166" s="98"/>
      <c r="Q166" s="99"/>
      <c r="R166" s="105">
        <f t="shared" si="11"/>
        <v>0</v>
      </c>
      <c r="S166" s="108">
        <f t="shared" si="10"/>
        <v>0</v>
      </c>
      <c r="T166" s="105">
        <f t="shared" si="12"/>
        <v>0</v>
      </c>
    </row>
    <row r="167" spans="1:22">
      <c r="A167" s="101"/>
      <c r="B167" s="101"/>
      <c r="C167" s="101"/>
      <c r="D167" s="101"/>
      <c r="E167" s="101"/>
      <c r="F167" s="102"/>
      <c r="G167" s="101"/>
      <c r="H167" s="102"/>
      <c r="I167" s="101"/>
      <c r="J167" s="101"/>
      <c r="K167" s="103"/>
      <c r="L167" s="103"/>
      <c r="M167" s="103"/>
      <c r="N167" s="103"/>
      <c r="O167" s="103"/>
      <c r="P167" s="98"/>
      <c r="Q167" s="99"/>
      <c r="R167" s="104">
        <f t="shared" si="11"/>
        <v>0</v>
      </c>
      <c r="S167" s="104">
        <f t="shared" si="10"/>
        <v>0</v>
      </c>
      <c r="T167" s="104">
        <f t="shared" si="12"/>
        <v>0</v>
      </c>
    </row>
    <row r="168" spans="1:22">
      <c r="A168" s="101"/>
      <c r="B168" s="101"/>
      <c r="C168" s="101"/>
      <c r="D168" s="101"/>
      <c r="E168" s="101"/>
      <c r="F168" s="102"/>
      <c r="G168" s="101"/>
      <c r="H168" s="102"/>
      <c r="I168" s="101"/>
      <c r="J168" s="101"/>
      <c r="K168" s="103"/>
      <c r="L168" s="103"/>
      <c r="M168" s="103"/>
      <c r="N168" s="103"/>
      <c r="O168" s="103"/>
      <c r="P168" s="98"/>
      <c r="Q168" s="99"/>
      <c r="R168" s="105">
        <f t="shared" si="11"/>
        <v>0</v>
      </c>
      <c r="S168" s="108">
        <f t="shared" si="10"/>
        <v>0</v>
      </c>
      <c r="T168" s="105">
        <f t="shared" si="12"/>
        <v>0</v>
      </c>
    </row>
    <row r="169" spans="1:22">
      <c r="A169" s="101"/>
      <c r="B169" s="101"/>
      <c r="C169" s="101"/>
      <c r="D169" s="101"/>
      <c r="E169" s="101"/>
      <c r="F169" s="102"/>
      <c r="G169" s="101"/>
      <c r="H169" s="102"/>
      <c r="I169" s="101"/>
      <c r="J169" s="101"/>
      <c r="K169" s="103"/>
      <c r="L169" s="103"/>
      <c r="M169" s="103"/>
      <c r="N169" s="103"/>
      <c r="O169" s="103"/>
      <c r="P169" s="98"/>
      <c r="Q169" s="99"/>
      <c r="R169" s="104">
        <f t="shared" si="11"/>
        <v>0</v>
      </c>
      <c r="S169" s="104">
        <f t="shared" si="10"/>
        <v>0</v>
      </c>
      <c r="T169" s="104">
        <f t="shared" si="12"/>
        <v>0</v>
      </c>
    </row>
    <row r="170" spans="1:22">
      <c r="A170" s="101"/>
      <c r="B170" s="101"/>
      <c r="C170" s="101"/>
      <c r="D170" s="101"/>
      <c r="E170" s="101"/>
      <c r="F170" s="102"/>
      <c r="G170" s="101"/>
      <c r="H170" s="102"/>
      <c r="I170" s="101"/>
      <c r="J170" s="101"/>
      <c r="K170" s="103"/>
      <c r="L170" s="103"/>
      <c r="M170" s="103"/>
      <c r="N170" s="103"/>
      <c r="O170" s="103"/>
      <c r="P170" s="98"/>
      <c r="Q170" s="99"/>
      <c r="R170" s="105">
        <f t="shared" si="11"/>
        <v>0</v>
      </c>
      <c r="S170" s="108">
        <f t="shared" si="10"/>
        <v>0</v>
      </c>
      <c r="T170" s="105">
        <f t="shared" si="12"/>
        <v>0</v>
      </c>
    </row>
    <row r="171" spans="1:22">
      <c r="A171" s="101"/>
      <c r="B171" s="101"/>
      <c r="C171" s="101"/>
      <c r="D171" s="101"/>
      <c r="E171" s="101"/>
      <c r="F171" s="102"/>
      <c r="G171" s="101"/>
      <c r="H171" s="102"/>
      <c r="I171" s="101"/>
      <c r="J171" s="101"/>
      <c r="K171" s="103"/>
      <c r="L171" s="103"/>
      <c r="M171" s="103"/>
      <c r="N171" s="103"/>
      <c r="O171" s="103"/>
      <c r="P171" s="98"/>
      <c r="Q171" s="99"/>
      <c r="R171" s="104">
        <f t="shared" si="11"/>
        <v>0</v>
      </c>
      <c r="S171" s="104">
        <f t="shared" si="10"/>
        <v>0</v>
      </c>
      <c r="T171" s="104">
        <f t="shared" si="12"/>
        <v>0</v>
      </c>
    </row>
    <row r="172" spans="1:22">
      <c r="A172" s="101"/>
      <c r="B172" s="101"/>
      <c r="C172" s="101"/>
      <c r="D172" s="101"/>
      <c r="E172" s="101"/>
      <c r="F172" s="102"/>
      <c r="G172" s="101"/>
      <c r="H172" s="102"/>
      <c r="I172" s="101"/>
      <c r="J172" s="101"/>
      <c r="K172" s="103"/>
      <c r="L172" s="103"/>
      <c r="M172" s="103"/>
      <c r="N172" s="103"/>
      <c r="O172" s="103"/>
      <c r="P172" s="98"/>
      <c r="Q172" s="99"/>
      <c r="R172" s="105">
        <f t="shared" si="11"/>
        <v>0</v>
      </c>
      <c r="S172" s="108">
        <f t="shared" si="10"/>
        <v>0</v>
      </c>
      <c r="T172" s="105">
        <f t="shared" si="12"/>
        <v>0</v>
      </c>
    </row>
    <row r="173" spans="1:22">
      <c r="A173" s="101"/>
      <c r="B173" s="101"/>
      <c r="C173" s="101"/>
      <c r="D173" s="101"/>
      <c r="E173" s="101"/>
      <c r="F173" s="102"/>
      <c r="G173" s="101"/>
      <c r="H173" s="102"/>
      <c r="I173" s="101"/>
      <c r="J173" s="101"/>
      <c r="K173" s="103"/>
      <c r="L173" s="103"/>
      <c r="M173" s="103"/>
      <c r="N173" s="103"/>
      <c r="O173" s="103"/>
      <c r="P173" s="98"/>
      <c r="Q173" s="99"/>
      <c r="R173" s="104">
        <f t="shared" si="11"/>
        <v>0</v>
      </c>
      <c r="S173" s="104">
        <f t="shared" si="10"/>
        <v>0</v>
      </c>
      <c r="T173" s="104">
        <f t="shared" si="12"/>
        <v>0</v>
      </c>
    </row>
    <row r="174" spans="1:22">
      <c r="A174" s="101"/>
      <c r="B174" s="101"/>
      <c r="C174" s="101"/>
      <c r="D174" s="101"/>
      <c r="E174" s="101"/>
      <c r="F174" s="102"/>
      <c r="G174" s="101"/>
      <c r="H174" s="102"/>
      <c r="I174" s="101"/>
      <c r="J174" s="101"/>
      <c r="K174" s="103"/>
      <c r="L174" s="103"/>
      <c r="M174" s="103"/>
      <c r="N174" s="103"/>
      <c r="O174" s="103"/>
      <c r="P174" s="98"/>
      <c r="Q174" s="99"/>
      <c r="R174" s="105">
        <f t="shared" si="11"/>
        <v>0</v>
      </c>
      <c r="S174" s="108">
        <f t="shared" si="10"/>
        <v>0</v>
      </c>
      <c r="T174" s="105">
        <f t="shared" si="12"/>
        <v>0</v>
      </c>
    </row>
    <row r="175" spans="1:22">
      <c r="A175" s="101"/>
      <c r="B175" s="101"/>
      <c r="C175" s="101"/>
      <c r="D175" s="101"/>
      <c r="E175" s="101"/>
      <c r="F175" s="102"/>
      <c r="G175" s="101"/>
      <c r="H175" s="102"/>
      <c r="I175" s="101"/>
      <c r="J175" s="101"/>
      <c r="K175" s="103"/>
      <c r="L175" s="103"/>
      <c r="M175" s="103"/>
      <c r="N175" s="103"/>
      <c r="O175" s="103"/>
      <c r="P175" s="98"/>
      <c r="Q175" s="99"/>
      <c r="R175" s="104">
        <f t="shared" si="11"/>
        <v>0</v>
      </c>
      <c r="S175" s="104">
        <f t="shared" si="10"/>
        <v>0</v>
      </c>
      <c r="T175" s="104">
        <f t="shared" si="12"/>
        <v>0</v>
      </c>
    </row>
    <row r="176" spans="1:22">
      <c r="A176" s="101"/>
      <c r="B176" s="101"/>
      <c r="C176" s="101"/>
      <c r="D176" s="101"/>
      <c r="E176" s="101"/>
      <c r="F176" s="102"/>
      <c r="G176" s="101"/>
      <c r="H176" s="102"/>
      <c r="I176" s="101"/>
      <c r="J176" s="101"/>
      <c r="K176" s="103"/>
      <c r="L176" s="103"/>
      <c r="M176" s="103"/>
      <c r="N176" s="103"/>
      <c r="O176" s="103"/>
      <c r="P176" s="98"/>
      <c r="Q176" s="99"/>
      <c r="R176" s="105">
        <f t="shared" si="11"/>
        <v>0</v>
      </c>
      <c r="S176" s="108">
        <f t="shared" si="10"/>
        <v>0</v>
      </c>
      <c r="T176" s="105">
        <f t="shared" si="12"/>
        <v>0</v>
      </c>
      <c r="V176" s="112"/>
    </row>
    <row r="177" spans="1:20">
      <c r="A177" s="101"/>
      <c r="B177" s="101"/>
      <c r="C177" s="101"/>
      <c r="D177" s="101"/>
      <c r="E177" s="101"/>
      <c r="F177" s="102"/>
      <c r="G177" s="101"/>
      <c r="H177" s="102"/>
      <c r="I177" s="101"/>
      <c r="J177" s="101"/>
      <c r="K177" s="103"/>
      <c r="L177" s="103"/>
      <c r="M177" s="103"/>
      <c r="N177" s="103"/>
      <c r="O177" s="103"/>
      <c r="P177" s="98"/>
      <c r="Q177" s="99"/>
      <c r="R177" s="104">
        <f t="shared" si="11"/>
        <v>0</v>
      </c>
      <c r="S177" s="104">
        <f t="shared" si="10"/>
        <v>0</v>
      </c>
      <c r="T177" s="104">
        <f t="shared" si="12"/>
        <v>0</v>
      </c>
    </row>
    <row r="178" spans="1:20">
      <c r="A178" s="101"/>
      <c r="B178" s="101"/>
      <c r="C178" s="101"/>
      <c r="D178" s="101"/>
      <c r="E178" s="101"/>
      <c r="F178" s="102"/>
      <c r="G178" s="101"/>
      <c r="H178" s="102"/>
      <c r="I178" s="101"/>
      <c r="J178" s="101"/>
      <c r="K178" s="103"/>
      <c r="L178" s="103"/>
      <c r="M178" s="103"/>
      <c r="N178" s="103"/>
      <c r="O178" s="103"/>
      <c r="P178" s="98"/>
      <c r="Q178" s="99"/>
      <c r="R178" s="105">
        <f t="shared" si="11"/>
        <v>0</v>
      </c>
      <c r="S178" s="108">
        <f t="shared" si="10"/>
        <v>0</v>
      </c>
      <c r="T178" s="105">
        <f t="shared" si="12"/>
        <v>0</v>
      </c>
    </row>
    <row r="179" spans="1:20">
      <c r="A179" s="101"/>
      <c r="B179" s="101"/>
      <c r="C179" s="101"/>
      <c r="D179" s="101"/>
      <c r="E179" s="101"/>
      <c r="F179" s="102"/>
      <c r="G179" s="101"/>
      <c r="H179" s="102"/>
      <c r="I179" s="101"/>
      <c r="J179" s="101"/>
      <c r="K179" s="103"/>
      <c r="L179" s="103"/>
      <c r="M179" s="103"/>
      <c r="N179" s="103"/>
      <c r="O179" s="103"/>
      <c r="P179" s="98"/>
      <c r="Q179" s="99"/>
      <c r="R179" s="104">
        <f t="shared" si="11"/>
        <v>0</v>
      </c>
      <c r="S179" s="104">
        <f t="shared" si="10"/>
        <v>0</v>
      </c>
      <c r="T179" s="104">
        <f t="shared" si="12"/>
        <v>0</v>
      </c>
    </row>
    <row r="180" spans="1:20">
      <c r="A180" s="101"/>
      <c r="B180" s="101"/>
      <c r="C180" s="101"/>
      <c r="D180" s="101"/>
      <c r="E180" s="101"/>
      <c r="F180" s="102"/>
      <c r="G180" s="101"/>
      <c r="H180" s="102"/>
      <c r="I180" s="101"/>
      <c r="J180" s="101"/>
      <c r="K180" s="103"/>
      <c r="L180" s="103"/>
      <c r="M180" s="103"/>
      <c r="N180" s="103"/>
      <c r="O180" s="103"/>
      <c r="P180" s="98"/>
      <c r="Q180" s="99"/>
      <c r="R180" s="105">
        <f t="shared" si="11"/>
        <v>0</v>
      </c>
      <c r="S180" s="108">
        <f t="shared" si="10"/>
        <v>0</v>
      </c>
      <c r="T180" s="105">
        <f t="shared" si="12"/>
        <v>0</v>
      </c>
    </row>
    <row r="181" spans="1:20">
      <c r="A181" s="101"/>
      <c r="B181" s="101"/>
      <c r="C181" s="101"/>
      <c r="D181" s="101"/>
      <c r="E181" s="101"/>
      <c r="F181" s="102"/>
      <c r="G181" s="101"/>
      <c r="H181" s="102"/>
      <c r="I181" s="101"/>
      <c r="J181" s="101"/>
      <c r="K181" s="103"/>
      <c r="L181" s="103"/>
      <c r="M181" s="103"/>
      <c r="N181" s="103"/>
      <c r="O181" s="103"/>
      <c r="P181" s="98"/>
      <c r="Q181" s="99"/>
      <c r="R181" s="104">
        <f t="shared" si="11"/>
        <v>0</v>
      </c>
      <c r="S181" s="104">
        <f t="shared" si="10"/>
        <v>0</v>
      </c>
      <c r="T181" s="104">
        <f t="shared" si="12"/>
        <v>0</v>
      </c>
    </row>
    <row r="182" spans="1:20">
      <c r="A182" s="101"/>
      <c r="B182" s="101"/>
      <c r="C182" s="101"/>
      <c r="D182" s="101"/>
      <c r="E182" s="101"/>
      <c r="F182" s="102"/>
      <c r="G182" s="101"/>
      <c r="H182" s="102"/>
      <c r="I182" s="101"/>
      <c r="J182" s="101"/>
      <c r="K182" s="103"/>
      <c r="L182" s="103"/>
      <c r="M182" s="103"/>
      <c r="N182" s="103"/>
      <c r="O182" s="103"/>
      <c r="P182" s="98"/>
      <c r="Q182" s="99"/>
      <c r="R182" s="105">
        <f t="shared" si="11"/>
        <v>0</v>
      </c>
      <c r="S182" s="108">
        <f t="shared" si="10"/>
        <v>0</v>
      </c>
      <c r="T182" s="105">
        <f t="shared" si="12"/>
        <v>0</v>
      </c>
    </row>
    <row r="183" spans="1:20">
      <c r="A183" s="101"/>
      <c r="B183" s="101"/>
      <c r="C183" s="101"/>
      <c r="D183" s="101"/>
      <c r="E183" s="101"/>
      <c r="F183" s="102"/>
      <c r="G183" s="101"/>
      <c r="H183" s="102"/>
      <c r="I183" s="101"/>
      <c r="J183" s="101"/>
      <c r="K183" s="103"/>
      <c r="L183" s="103"/>
      <c r="M183" s="103"/>
      <c r="N183" s="103"/>
      <c r="O183" s="103"/>
      <c r="P183" s="98"/>
      <c r="Q183" s="99"/>
      <c r="R183" s="104">
        <f t="shared" si="11"/>
        <v>0</v>
      </c>
      <c r="S183" s="104">
        <f t="shared" si="10"/>
        <v>0</v>
      </c>
      <c r="T183" s="104">
        <f t="shared" si="12"/>
        <v>0</v>
      </c>
    </row>
    <row r="184" spans="1:20">
      <c r="A184" s="101"/>
      <c r="B184" s="101"/>
      <c r="C184" s="101"/>
      <c r="D184" s="101"/>
      <c r="E184" s="101"/>
      <c r="F184" s="102"/>
      <c r="G184" s="101"/>
      <c r="H184" s="102"/>
      <c r="I184" s="101"/>
      <c r="J184" s="101"/>
      <c r="K184" s="103"/>
      <c r="L184" s="103"/>
      <c r="M184" s="103"/>
      <c r="N184" s="103"/>
      <c r="O184" s="103"/>
      <c r="P184" s="98"/>
      <c r="Q184" s="99"/>
      <c r="R184" s="105">
        <f t="shared" si="11"/>
        <v>0</v>
      </c>
      <c r="S184" s="108">
        <f t="shared" si="10"/>
        <v>0</v>
      </c>
      <c r="T184" s="105">
        <f t="shared" si="12"/>
        <v>0</v>
      </c>
    </row>
    <row r="185" spans="1:20">
      <c r="A185" s="101"/>
      <c r="B185" s="101"/>
      <c r="C185" s="101"/>
      <c r="D185" s="101"/>
      <c r="E185" s="101"/>
      <c r="F185" s="102"/>
      <c r="G185" s="101"/>
      <c r="H185" s="102"/>
      <c r="I185" s="101"/>
      <c r="J185" s="101"/>
      <c r="K185" s="103"/>
      <c r="L185" s="103"/>
      <c r="M185" s="103"/>
      <c r="N185" s="103"/>
      <c r="O185" s="103"/>
      <c r="P185" s="98"/>
      <c r="Q185" s="99"/>
      <c r="R185" s="104">
        <f t="shared" si="11"/>
        <v>0</v>
      </c>
      <c r="S185" s="104">
        <f t="shared" si="10"/>
        <v>0</v>
      </c>
      <c r="T185" s="104">
        <f t="shared" si="12"/>
        <v>0</v>
      </c>
    </row>
    <row r="186" spans="1:20">
      <c r="A186" s="101"/>
      <c r="B186" s="101"/>
      <c r="C186" s="101"/>
      <c r="D186" s="101"/>
      <c r="E186" s="101"/>
      <c r="F186" s="102"/>
      <c r="G186" s="101"/>
      <c r="H186" s="102"/>
      <c r="I186" s="101"/>
      <c r="J186" s="101"/>
      <c r="K186" s="103"/>
      <c r="L186" s="103"/>
      <c r="M186" s="103"/>
      <c r="N186" s="103"/>
      <c r="O186" s="103"/>
      <c r="P186" s="98"/>
      <c r="Q186" s="99"/>
      <c r="R186" s="105">
        <f t="shared" si="11"/>
        <v>0</v>
      </c>
      <c r="S186" s="108">
        <f t="shared" si="10"/>
        <v>0</v>
      </c>
      <c r="T186" s="105">
        <f t="shared" si="12"/>
        <v>0</v>
      </c>
    </row>
    <row r="187" spans="1:20">
      <c r="A187" s="101"/>
      <c r="B187" s="101"/>
      <c r="C187" s="101"/>
      <c r="D187" s="101"/>
      <c r="E187" s="101"/>
      <c r="F187" s="102"/>
      <c r="G187" s="101"/>
      <c r="H187" s="102"/>
      <c r="I187" s="101"/>
      <c r="J187" s="101"/>
      <c r="K187" s="103"/>
      <c r="L187" s="103"/>
      <c r="M187" s="103"/>
      <c r="N187" s="103"/>
      <c r="O187" s="103"/>
      <c r="P187" s="98"/>
      <c r="Q187" s="99"/>
      <c r="R187" s="104">
        <f t="shared" si="11"/>
        <v>0</v>
      </c>
      <c r="S187" s="104">
        <f t="shared" si="10"/>
        <v>0</v>
      </c>
      <c r="T187" s="104">
        <f t="shared" si="12"/>
        <v>0</v>
      </c>
    </row>
    <row r="188" spans="1:20">
      <c r="A188" s="101"/>
      <c r="B188" s="101"/>
      <c r="C188" s="101"/>
      <c r="D188" s="101"/>
      <c r="E188" s="101"/>
      <c r="F188" s="102"/>
      <c r="G188" s="101"/>
      <c r="H188" s="102"/>
      <c r="I188" s="101"/>
      <c r="J188" s="101"/>
      <c r="K188" s="103"/>
      <c r="L188" s="103"/>
      <c r="M188" s="103"/>
      <c r="N188" s="103"/>
      <c r="O188" s="103"/>
      <c r="P188" s="98"/>
      <c r="Q188" s="99"/>
      <c r="R188" s="105">
        <f t="shared" si="11"/>
        <v>0</v>
      </c>
      <c r="S188" s="108">
        <f t="shared" si="10"/>
        <v>0</v>
      </c>
      <c r="T188" s="105">
        <f t="shared" si="12"/>
        <v>0</v>
      </c>
    </row>
    <row r="189" spans="1:20">
      <c r="A189" s="101"/>
      <c r="B189" s="101"/>
      <c r="C189" s="101"/>
      <c r="D189" s="101"/>
      <c r="E189" s="101"/>
      <c r="F189" s="102"/>
      <c r="G189" s="101"/>
      <c r="H189" s="102"/>
      <c r="I189" s="101"/>
      <c r="J189" s="101"/>
      <c r="K189" s="103"/>
      <c r="L189" s="103"/>
      <c r="M189" s="103"/>
      <c r="N189" s="103"/>
      <c r="O189" s="103"/>
      <c r="P189" s="98"/>
      <c r="Q189" s="99"/>
      <c r="R189" s="104">
        <f t="shared" si="11"/>
        <v>0</v>
      </c>
      <c r="S189" s="104">
        <f t="shared" si="10"/>
        <v>0</v>
      </c>
      <c r="T189" s="104">
        <f t="shared" si="12"/>
        <v>0</v>
      </c>
    </row>
    <row r="190" spans="1:20">
      <c r="A190" s="101"/>
      <c r="B190" s="101"/>
      <c r="C190" s="101"/>
      <c r="D190" s="101"/>
      <c r="E190" s="101"/>
      <c r="F190" s="102"/>
      <c r="G190" s="101"/>
      <c r="H190" s="102"/>
      <c r="I190" s="101"/>
      <c r="J190" s="101"/>
      <c r="K190" s="103"/>
      <c r="L190" s="103"/>
      <c r="M190" s="103"/>
      <c r="N190" s="103"/>
      <c r="O190" s="103"/>
      <c r="P190" s="98"/>
      <c r="Q190" s="99"/>
      <c r="R190" s="105">
        <f t="shared" si="11"/>
        <v>0</v>
      </c>
      <c r="S190" s="108">
        <f t="shared" si="10"/>
        <v>0</v>
      </c>
      <c r="T190" s="105">
        <f t="shared" si="12"/>
        <v>0</v>
      </c>
    </row>
    <row r="191" spans="1:20">
      <c r="A191" s="101"/>
      <c r="B191" s="101"/>
      <c r="C191" s="101"/>
      <c r="D191" s="101"/>
      <c r="E191" s="101"/>
      <c r="F191" s="102"/>
      <c r="G191" s="101"/>
      <c r="H191" s="102"/>
      <c r="I191" s="101"/>
      <c r="J191" s="101"/>
      <c r="K191" s="103"/>
      <c r="L191" s="103"/>
      <c r="M191" s="103"/>
      <c r="N191" s="103"/>
      <c r="O191" s="103"/>
      <c r="P191" s="98"/>
      <c r="Q191" s="99"/>
      <c r="R191" s="104">
        <f t="shared" si="11"/>
        <v>0</v>
      </c>
      <c r="S191" s="104">
        <f t="shared" si="10"/>
        <v>0</v>
      </c>
      <c r="T191" s="104">
        <f t="shared" si="12"/>
        <v>0</v>
      </c>
    </row>
    <row r="192" spans="1:20">
      <c r="A192" s="101"/>
      <c r="B192" s="101"/>
      <c r="C192" s="101"/>
      <c r="D192" s="101"/>
      <c r="E192" s="101"/>
      <c r="F192" s="102"/>
      <c r="G192" s="101"/>
      <c r="H192" s="102"/>
      <c r="I192" s="101"/>
      <c r="J192" s="101"/>
      <c r="K192" s="103"/>
      <c r="L192" s="103"/>
      <c r="M192" s="103"/>
      <c r="N192" s="103"/>
      <c r="O192" s="103"/>
      <c r="P192" s="98"/>
      <c r="Q192" s="99"/>
      <c r="R192" s="105">
        <f t="shared" si="11"/>
        <v>0</v>
      </c>
      <c r="S192" s="108">
        <f t="shared" si="10"/>
        <v>0</v>
      </c>
      <c r="T192" s="105">
        <f t="shared" si="12"/>
        <v>0</v>
      </c>
    </row>
    <row r="193" spans="1:20">
      <c r="A193" s="101"/>
      <c r="B193" s="101"/>
      <c r="C193" s="101"/>
      <c r="D193" s="101"/>
      <c r="E193" s="101"/>
      <c r="F193" s="102"/>
      <c r="G193" s="101"/>
      <c r="H193" s="102"/>
      <c r="I193" s="101"/>
      <c r="J193" s="101"/>
      <c r="K193" s="103"/>
      <c r="L193" s="103"/>
      <c r="M193" s="103"/>
      <c r="N193" s="103"/>
      <c r="O193" s="103"/>
      <c r="P193" s="98"/>
      <c r="Q193" s="99"/>
      <c r="R193" s="104">
        <f t="shared" si="11"/>
        <v>0</v>
      </c>
      <c r="S193" s="104">
        <f t="shared" si="10"/>
        <v>0</v>
      </c>
      <c r="T193" s="104">
        <f t="shared" si="12"/>
        <v>0</v>
      </c>
    </row>
    <row r="194" spans="1:20">
      <c r="A194" s="101"/>
      <c r="B194" s="101"/>
      <c r="C194" s="101"/>
      <c r="D194" s="101"/>
      <c r="E194" s="101"/>
      <c r="F194" s="102"/>
      <c r="G194" s="101"/>
      <c r="H194" s="102"/>
      <c r="I194" s="101"/>
      <c r="J194" s="101"/>
      <c r="K194" s="103"/>
      <c r="L194" s="103"/>
      <c r="M194" s="103"/>
      <c r="N194" s="103"/>
      <c r="O194" s="103"/>
      <c r="P194" s="98"/>
      <c r="Q194" s="99"/>
      <c r="R194" s="105">
        <f t="shared" si="11"/>
        <v>0</v>
      </c>
      <c r="S194" s="108">
        <f t="shared" si="10"/>
        <v>0</v>
      </c>
      <c r="T194" s="105">
        <f t="shared" si="12"/>
        <v>0</v>
      </c>
    </row>
    <row r="195" spans="1:20">
      <c r="A195" s="101"/>
      <c r="B195" s="101"/>
      <c r="C195" s="101"/>
      <c r="D195" s="101"/>
      <c r="E195" s="101"/>
      <c r="F195" s="102"/>
      <c r="G195" s="101"/>
      <c r="H195" s="102"/>
      <c r="I195" s="101"/>
      <c r="J195" s="101"/>
      <c r="K195" s="103"/>
      <c r="L195" s="103"/>
      <c r="M195" s="103"/>
      <c r="N195" s="103"/>
      <c r="O195" s="103"/>
      <c r="P195" s="98"/>
      <c r="Q195" s="99"/>
      <c r="R195" s="104">
        <f t="shared" si="11"/>
        <v>0</v>
      </c>
      <c r="S195" s="104">
        <f t="shared" si="10"/>
        <v>0</v>
      </c>
      <c r="T195" s="104">
        <f t="shared" si="12"/>
        <v>0</v>
      </c>
    </row>
    <row r="196" spans="1:20">
      <c r="A196" s="101"/>
      <c r="B196" s="101"/>
      <c r="C196" s="101"/>
      <c r="D196" s="101"/>
      <c r="E196" s="101"/>
      <c r="F196" s="102"/>
      <c r="G196" s="101"/>
      <c r="H196" s="102"/>
      <c r="I196" s="101"/>
      <c r="J196" s="101"/>
      <c r="K196" s="103"/>
      <c r="L196" s="103"/>
      <c r="M196" s="103"/>
      <c r="N196" s="103"/>
      <c r="O196" s="103"/>
      <c r="P196" s="98"/>
      <c r="Q196" s="99"/>
      <c r="R196" s="105">
        <f t="shared" si="11"/>
        <v>0</v>
      </c>
      <c r="S196" s="108">
        <f t="shared" ref="S196:S259" si="13">IF(P196="Abono",K196+L196+M196-N196-O196,0)</f>
        <v>0</v>
      </c>
      <c r="T196" s="105">
        <f t="shared" si="12"/>
        <v>0</v>
      </c>
    </row>
    <row r="197" spans="1:20">
      <c r="A197" s="101"/>
      <c r="B197" s="101"/>
      <c r="C197" s="101"/>
      <c r="D197" s="101"/>
      <c r="E197" s="101"/>
      <c r="F197" s="102"/>
      <c r="G197" s="101"/>
      <c r="H197" s="102"/>
      <c r="I197" s="101"/>
      <c r="J197" s="101"/>
      <c r="K197" s="103"/>
      <c r="L197" s="103"/>
      <c r="M197" s="103"/>
      <c r="N197" s="103"/>
      <c r="O197" s="103"/>
      <c r="P197" s="98"/>
      <c r="Q197" s="99"/>
      <c r="R197" s="104">
        <f t="shared" ref="R197:R260" si="14">IF(P197="Cargo",K197+L197-M197-N197+O197,0)</f>
        <v>0</v>
      </c>
      <c r="S197" s="104">
        <f t="shared" si="13"/>
        <v>0</v>
      </c>
      <c r="T197" s="104">
        <f t="shared" ref="T197:T260" si="15">IF(Q197="OK",+T196+R197-S197,T196)</f>
        <v>0</v>
      </c>
    </row>
    <row r="198" spans="1:20">
      <c r="A198" s="101"/>
      <c r="B198" s="101"/>
      <c r="C198" s="101"/>
      <c r="D198" s="101"/>
      <c r="E198" s="101"/>
      <c r="F198" s="102"/>
      <c r="G198" s="101"/>
      <c r="H198" s="102"/>
      <c r="I198" s="101"/>
      <c r="J198" s="101"/>
      <c r="K198" s="103"/>
      <c r="L198" s="103"/>
      <c r="M198" s="103"/>
      <c r="N198" s="103"/>
      <c r="O198" s="103"/>
      <c r="P198" s="98"/>
      <c r="Q198" s="99"/>
      <c r="R198" s="105">
        <f t="shared" si="14"/>
        <v>0</v>
      </c>
      <c r="S198" s="108">
        <f t="shared" si="13"/>
        <v>0</v>
      </c>
      <c r="T198" s="105">
        <f t="shared" si="15"/>
        <v>0</v>
      </c>
    </row>
    <row r="199" spans="1:20">
      <c r="A199" s="101"/>
      <c r="B199" s="101"/>
      <c r="C199" s="101"/>
      <c r="D199" s="101"/>
      <c r="E199" s="101"/>
      <c r="F199" s="102"/>
      <c r="G199" s="101"/>
      <c r="H199" s="102"/>
      <c r="I199" s="101"/>
      <c r="J199" s="101"/>
      <c r="K199" s="103"/>
      <c r="L199" s="103"/>
      <c r="M199" s="103"/>
      <c r="N199" s="103"/>
      <c r="O199" s="103"/>
      <c r="P199" s="98"/>
      <c r="Q199" s="99"/>
      <c r="R199" s="104">
        <f t="shared" si="14"/>
        <v>0</v>
      </c>
      <c r="S199" s="104">
        <f t="shared" si="13"/>
        <v>0</v>
      </c>
      <c r="T199" s="104">
        <f t="shared" si="15"/>
        <v>0</v>
      </c>
    </row>
    <row r="200" spans="1:20">
      <c r="A200" s="101"/>
      <c r="B200" s="101"/>
      <c r="C200" s="101"/>
      <c r="D200" s="101"/>
      <c r="E200" s="101"/>
      <c r="F200" s="102"/>
      <c r="G200" s="101"/>
      <c r="H200" s="102"/>
      <c r="I200" s="101"/>
      <c r="J200" s="101"/>
      <c r="K200" s="103"/>
      <c r="L200" s="103"/>
      <c r="M200" s="103"/>
      <c r="N200" s="103"/>
      <c r="O200" s="103"/>
      <c r="P200" s="98"/>
      <c r="Q200" s="99"/>
      <c r="R200" s="105">
        <f t="shared" si="14"/>
        <v>0</v>
      </c>
      <c r="S200" s="108">
        <f t="shared" si="13"/>
        <v>0</v>
      </c>
      <c r="T200" s="105">
        <f t="shared" si="15"/>
        <v>0</v>
      </c>
    </row>
    <row r="201" spans="1:20">
      <c r="A201" s="101"/>
      <c r="B201" s="101"/>
      <c r="C201" s="101"/>
      <c r="D201" s="101"/>
      <c r="E201" s="101"/>
      <c r="F201" s="102"/>
      <c r="G201" s="101"/>
      <c r="H201" s="102"/>
      <c r="I201" s="101"/>
      <c r="J201" s="101"/>
      <c r="K201" s="103"/>
      <c r="L201" s="103"/>
      <c r="M201" s="103"/>
      <c r="N201" s="103"/>
      <c r="O201" s="103"/>
      <c r="P201" s="98"/>
      <c r="Q201" s="99"/>
      <c r="R201" s="104">
        <f t="shared" si="14"/>
        <v>0</v>
      </c>
      <c r="S201" s="104">
        <f t="shared" si="13"/>
        <v>0</v>
      </c>
      <c r="T201" s="104">
        <f t="shared" si="15"/>
        <v>0</v>
      </c>
    </row>
    <row r="202" spans="1:20">
      <c r="A202" s="101"/>
      <c r="B202" s="101"/>
      <c r="C202" s="101"/>
      <c r="D202" s="101"/>
      <c r="E202" s="101"/>
      <c r="F202" s="102"/>
      <c r="G202" s="101"/>
      <c r="H202" s="102"/>
      <c r="I202" s="101"/>
      <c r="J202" s="101"/>
      <c r="K202" s="103"/>
      <c r="L202" s="103"/>
      <c r="M202" s="103"/>
      <c r="N202" s="103"/>
      <c r="O202" s="103"/>
      <c r="P202" s="98"/>
      <c r="Q202" s="99"/>
      <c r="R202" s="105">
        <f t="shared" si="14"/>
        <v>0</v>
      </c>
      <c r="S202" s="108">
        <f t="shared" si="13"/>
        <v>0</v>
      </c>
      <c r="T202" s="105">
        <f t="shared" si="15"/>
        <v>0</v>
      </c>
    </row>
    <row r="203" spans="1:20">
      <c r="A203" s="101"/>
      <c r="B203" s="101"/>
      <c r="C203" s="101"/>
      <c r="D203" s="101"/>
      <c r="E203" s="101"/>
      <c r="F203" s="102"/>
      <c r="G203" s="101"/>
      <c r="H203" s="102"/>
      <c r="I203" s="101"/>
      <c r="J203" s="101"/>
      <c r="K203" s="103"/>
      <c r="L203" s="103"/>
      <c r="M203" s="103"/>
      <c r="N203" s="103"/>
      <c r="O203" s="103"/>
      <c r="P203" s="98"/>
      <c r="Q203" s="99"/>
      <c r="R203" s="104">
        <f t="shared" si="14"/>
        <v>0</v>
      </c>
      <c r="S203" s="104">
        <f t="shared" si="13"/>
        <v>0</v>
      </c>
      <c r="T203" s="104">
        <f t="shared" si="15"/>
        <v>0</v>
      </c>
    </row>
    <row r="204" spans="1:20">
      <c r="A204" s="101"/>
      <c r="B204" s="101"/>
      <c r="C204" s="101"/>
      <c r="D204" s="101"/>
      <c r="E204" s="101"/>
      <c r="F204" s="102"/>
      <c r="G204" s="101"/>
      <c r="H204" s="102"/>
      <c r="I204" s="101"/>
      <c r="J204" s="101"/>
      <c r="K204" s="103"/>
      <c r="L204" s="103"/>
      <c r="M204" s="103"/>
      <c r="N204" s="103"/>
      <c r="O204" s="103"/>
      <c r="P204" s="98"/>
      <c r="Q204" s="99"/>
      <c r="R204" s="105">
        <f t="shared" si="14"/>
        <v>0</v>
      </c>
      <c r="S204" s="108">
        <f t="shared" si="13"/>
        <v>0</v>
      </c>
      <c r="T204" s="105">
        <f t="shared" si="15"/>
        <v>0</v>
      </c>
    </row>
    <row r="205" spans="1:20">
      <c r="A205" s="101"/>
      <c r="B205" s="101"/>
      <c r="C205" s="101"/>
      <c r="D205" s="101"/>
      <c r="E205" s="101"/>
      <c r="F205" s="102"/>
      <c r="G205" s="101"/>
      <c r="H205" s="102"/>
      <c r="I205" s="101"/>
      <c r="J205" s="101"/>
      <c r="K205" s="103"/>
      <c r="L205" s="103"/>
      <c r="M205" s="103"/>
      <c r="N205" s="103"/>
      <c r="O205" s="103"/>
      <c r="P205" s="98"/>
      <c r="Q205" s="99"/>
      <c r="R205" s="104">
        <f t="shared" si="14"/>
        <v>0</v>
      </c>
      <c r="S205" s="104">
        <f t="shared" si="13"/>
        <v>0</v>
      </c>
      <c r="T205" s="104">
        <f t="shared" si="15"/>
        <v>0</v>
      </c>
    </row>
    <row r="206" spans="1:20">
      <c r="A206" s="101"/>
      <c r="B206" s="101"/>
      <c r="C206" s="101"/>
      <c r="D206" s="101"/>
      <c r="E206" s="101"/>
      <c r="F206" s="102"/>
      <c r="G206" s="101"/>
      <c r="H206" s="102"/>
      <c r="I206" s="101"/>
      <c r="J206" s="101"/>
      <c r="K206" s="103"/>
      <c r="L206" s="103"/>
      <c r="M206" s="103"/>
      <c r="N206" s="103"/>
      <c r="O206" s="103"/>
      <c r="P206" s="98"/>
      <c r="Q206" s="99"/>
      <c r="R206" s="105">
        <f t="shared" si="14"/>
        <v>0</v>
      </c>
      <c r="S206" s="108">
        <f t="shared" si="13"/>
        <v>0</v>
      </c>
      <c r="T206" s="105">
        <f t="shared" si="15"/>
        <v>0</v>
      </c>
    </row>
    <row r="207" spans="1:20">
      <c r="A207" s="101"/>
      <c r="B207" s="101"/>
      <c r="C207" s="101"/>
      <c r="D207" s="101"/>
      <c r="E207" s="101"/>
      <c r="F207" s="102"/>
      <c r="G207" s="101"/>
      <c r="H207" s="102"/>
      <c r="I207" s="101"/>
      <c r="J207" s="101"/>
      <c r="K207" s="103"/>
      <c r="L207" s="103"/>
      <c r="M207" s="103"/>
      <c r="N207" s="103"/>
      <c r="O207" s="103"/>
      <c r="P207" s="98"/>
      <c r="Q207" s="99"/>
      <c r="R207" s="104">
        <f t="shared" si="14"/>
        <v>0</v>
      </c>
      <c r="S207" s="104">
        <f t="shared" si="13"/>
        <v>0</v>
      </c>
      <c r="T207" s="104">
        <f t="shared" si="15"/>
        <v>0</v>
      </c>
    </row>
    <row r="208" spans="1:20">
      <c r="A208" s="101"/>
      <c r="B208" s="101"/>
      <c r="C208" s="101"/>
      <c r="D208" s="101"/>
      <c r="E208" s="101"/>
      <c r="F208" s="102"/>
      <c r="G208" s="101"/>
      <c r="H208" s="102"/>
      <c r="I208" s="101"/>
      <c r="J208" s="101"/>
      <c r="K208" s="103"/>
      <c r="L208" s="103"/>
      <c r="M208" s="103"/>
      <c r="N208" s="103"/>
      <c r="O208" s="103"/>
      <c r="P208" s="98"/>
      <c r="Q208" s="99"/>
      <c r="R208" s="105">
        <f t="shared" si="14"/>
        <v>0</v>
      </c>
      <c r="S208" s="108">
        <f t="shared" si="13"/>
        <v>0</v>
      </c>
      <c r="T208" s="105">
        <f t="shared" si="15"/>
        <v>0</v>
      </c>
    </row>
    <row r="209" spans="1:20">
      <c r="A209" s="101"/>
      <c r="B209" s="101"/>
      <c r="C209" s="101"/>
      <c r="D209" s="101"/>
      <c r="E209" s="101"/>
      <c r="F209" s="102"/>
      <c r="G209" s="101"/>
      <c r="H209" s="102"/>
      <c r="I209" s="101"/>
      <c r="J209" s="101"/>
      <c r="K209" s="103"/>
      <c r="L209" s="103"/>
      <c r="M209" s="103"/>
      <c r="N209" s="103"/>
      <c r="O209" s="103"/>
      <c r="P209" s="98"/>
      <c r="Q209" s="99"/>
      <c r="R209" s="104">
        <f t="shared" si="14"/>
        <v>0</v>
      </c>
      <c r="S209" s="104">
        <f t="shared" si="13"/>
        <v>0</v>
      </c>
      <c r="T209" s="104">
        <f t="shared" si="15"/>
        <v>0</v>
      </c>
    </row>
    <row r="210" spans="1:20">
      <c r="A210" s="101"/>
      <c r="B210" s="101"/>
      <c r="C210" s="101"/>
      <c r="D210" s="101"/>
      <c r="E210" s="101"/>
      <c r="F210" s="102"/>
      <c r="G210" s="101"/>
      <c r="H210" s="102"/>
      <c r="I210" s="101"/>
      <c r="J210" s="101"/>
      <c r="K210" s="103"/>
      <c r="L210" s="103"/>
      <c r="M210" s="103"/>
      <c r="N210" s="103"/>
      <c r="O210" s="103"/>
      <c r="P210" s="98"/>
      <c r="Q210" s="99"/>
      <c r="R210" s="105">
        <f t="shared" si="14"/>
        <v>0</v>
      </c>
      <c r="S210" s="108">
        <f t="shared" si="13"/>
        <v>0</v>
      </c>
      <c r="T210" s="105">
        <f t="shared" si="15"/>
        <v>0</v>
      </c>
    </row>
    <row r="211" spans="1:20">
      <c r="A211" s="101"/>
      <c r="B211" s="101"/>
      <c r="C211" s="101"/>
      <c r="D211" s="101"/>
      <c r="E211" s="101"/>
      <c r="F211" s="102"/>
      <c r="G211" s="101"/>
      <c r="H211" s="102"/>
      <c r="I211" s="101"/>
      <c r="J211" s="101"/>
      <c r="K211" s="103"/>
      <c r="L211" s="103"/>
      <c r="M211" s="103"/>
      <c r="N211" s="103"/>
      <c r="O211" s="103"/>
      <c r="P211" s="98"/>
      <c r="Q211" s="99"/>
      <c r="R211" s="104">
        <f t="shared" si="14"/>
        <v>0</v>
      </c>
      <c r="S211" s="104">
        <f t="shared" si="13"/>
        <v>0</v>
      </c>
      <c r="T211" s="104">
        <f t="shared" si="15"/>
        <v>0</v>
      </c>
    </row>
    <row r="212" spans="1:20">
      <c r="A212" s="101"/>
      <c r="B212" s="101"/>
      <c r="C212" s="101"/>
      <c r="D212" s="101"/>
      <c r="E212" s="101"/>
      <c r="F212" s="102"/>
      <c r="G212" s="101"/>
      <c r="H212" s="102"/>
      <c r="I212" s="101"/>
      <c r="J212" s="101"/>
      <c r="K212" s="103"/>
      <c r="L212" s="103"/>
      <c r="M212" s="103"/>
      <c r="N212" s="103"/>
      <c r="O212" s="103"/>
      <c r="P212" s="98"/>
      <c r="Q212" s="99"/>
      <c r="R212" s="105">
        <f t="shared" si="14"/>
        <v>0</v>
      </c>
      <c r="S212" s="108">
        <f t="shared" si="13"/>
        <v>0</v>
      </c>
      <c r="T212" s="105">
        <f t="shared" si="15"/>
        <v>0</v>
      </c>
    </row>
    <row r="213" spans="1:20">
      <c r="A213" s="101"/>
      <c r="B213" s="101"/>
      <c r="C213" s="101"/>
      <c r="D213" s="101"/>
      <c r="E213" s="101"/>
      <c r="F213" s="102"/>
      <c r="G213" s="101"/>
      <c r="H213" s="102"/>
      <c r="I213" s="101"/>
      <c r="J213" s="101"/>
      <c r="K213" s="103"/>
      <c r="L213" s="103"/>
      <c r="M213" s="103"/>
      <c r="N213" s="103"/>
      <c r="O213" s="103"/>
      <c r="P213" s="98"/>
      <c r="Q213" s="99"/>
      <c r="R213" s="104">
        <f t="shared" si="14"/>
        <v>0</v>
      </c>
      <c r="S213" s="104">
        <f t="shared" si="13"/>
        <v>0</v>
      </c>
      <c r="T213" s="104">
        <f t="shared" si="15"/>
        <v>0</v>
      </c>
    </row>
    <row r="214" spans="1:20">
      <c r="A214" s="101"/>
      <c r="B214" s="101"/>
      <c r="C214" s="101"/>
      <c r="D214" s="101"/>
      <c r="E214" s="101"/>
      <c r="F214" s="102"/>
      <c r="G214" s="101"/>
      <c r="H214" s="102"/>
      <c r="I214" s="101"/>
      <c r="J214" s="101"/>
      <c r="K214" s="103"/>
      <c r="L214" s="103"/>
      <c r="M214" s="103"/>
      <c r="N214" s="103"/>
      <c r="O214" s="103"/>
      <c r="P214" s="98"/>
      <c r="Q214" s="99"/>
      <c r="R214" s="105">
        <f t="shared" si="14"/>
        <v>0</v>
      </c>
      <c r="S214" s="108">
        <f t="shared" si="13"/>
        <v>0</v>
      </c>
      <c r="T214" s="105">
        <f t="shared" si="15"/>
        <v>0</v>
      </c>
    </row>
    <row r="215" spans="1:20">
      <c r="A215" s="101"/>
      <c r="B215" s="101"/>
      <c r="C215" s="101"/>
      <c r="D215" s="101"/>
      <c r="E215" s="101"/>
      <c r="F215" s="102"/>
      <c r="G215" s="101"/>
      <c r="H215" s="102"/>
      <c r="I215" s="101"/>
      <c r="J215" s="101"/>
      <c r="K215" s="103"/>
      <c r="L215" s="103"/>
      <c r="M215" s="103"/>
      <c r="N215" s="103"/>
      <c r="O215" s="103"/>
      <c r="P215" s="98"/>
      <c r="Q215" s="99"/>
      <c r="R215" s="104">
        <f t="shared" si="14"/>
        <v>0</v>
      </c>
      <c r="S215" s="104">
        <f t="shared" si="13"/>
        <v>0</v>
      </c>
      <c r="T215" s="104">
        <f t="shared" si="15"/>
        <v>0</v>
      </c>
    </row>
    <row r="216" spans="1:20">
      <c r="A216" s="101"/>
      <c r="B216" s="101"/>
      <c r="C216" s="101"/>
      <c r="D216" s="101"/>
      <c r="E216" s="101"/>
      <c r="F216" s="102"/>
      <c r="G216" s="101"/>
      <c r="H216" s="102"/>
      <c r="I216" s="101"/>
      <c r="J216" s="101"/>
      <c r="K216" s="103"/>
      <c r="L216" s="103"/>
      <c r="M216" s="103"/>
      <c r="N216" s="103"/>
      <c r="O216" s="103"/>
      <c r="P216" s="98"/>
      <c r="Q216" s="99"/>
      <c r="R216" s="105">
        <f t="shared" si="14"/>
        <v>0</v>
      </c>
      <c r="S216" s="108">
        <f t="shared" si="13"/>
        <v>0</v>
      </c>
      <c r="T216" s="105">
        <f t="shared" si="15"/>
        <v>0</v>
      </c>
    </row>
    <row r="217" spans="1:20">
      <c r="A217" s="101"/>
      <c r="B217" s="101"/>
      <c r="C217" s="101"/>
      <c r="D217" s="101"/>
      <c r="E217" s="101"/>
      <c r="F217" s="102"/>
      <c r="G217" s="101"/>
      <c r="H217" s="102"/>
      <c r="I217" s="101"/>
      <c r="J217" s="101"/>
      <c r="K217" s="103"/>
      <c r="L217" s="103"/>
      <c r="M217" s="103"/>
      <c r="N217" s="103"/>
      <c r="O217" s="103"/>
      <c r="P217" s="98"/>
      <c r="Q217" s="99"/>
      <c r="R217" s="104">
        <f t="shared" si="14"/>
        <v>0</v>
      </c>
      <c r="S217" s="104">
        <f t="shared" si="13"/>
        <v>0</v>
      </c>
      <c r="T217" s="104">
        <f t="shared" si="15"/>
        <v>0</v>
      </c>
    </row>
    <row r="218" spans="1:20">
      <c r="A218" s="101"/>
      <c r="B218" s="101"/>
      <c r="C218" s="101"/>
      <c r="D218" s="101"/>
      <c r="E218" s="101"/>
      <c r="F218" s="102"/>
      <c r="G218" s="101"/>
      <c r="H218" s="102"/>
      <c r="I218" s="101"/>
      <c r="J218" s="101"/>
      <c r="K218" s="103"/>
      <c r="L218" s="103"/>
      <c r="M218" s="103"/>
      <c r="N218" s="103"/>
      <c r="O218" s="103"/>
      <c r="P218" s="98"/>
      <c r="Q218" s="99"/>
      <c r="R218" s="105">
        <f t="shared" si="14"/>
        <v>0</v>
      </c>
      <c r="S218" s="108">
        <f t="shared" si="13"/>
        <v>0</v>
      </c>
      <c r="T218" s="105">
        <f t="shared" si="15"/>
        <v>0</v>
      </c>
    </row>
    <row r="219" spans="1:20">
      <c r="A219" s="101"/>
      <c r="B219" s="101"/>
      <c r="C219" s="101"/>
      <c r="D219" s="101"/>
      <c r="E219" s="101"/>
      <c r="F219" s="102"/>
      <c r="G219" s="101"/>
      <c r="H219" s="102"/>
      <c r="I219" s="101"/>
      <c r="J219" s="101"/>
      <c r="K219" s="103"/>
      <c r="L219" s="103"/>
      <c r="M219" s="103"/>
      <c r="N219" s="103"/>
      <c r="O219" s="103"/>
      <c r="P219" s="98"/>
      <c r="Q219" s="99"/>
      <c r="R219" s="104">
        <f t="shared" si="14"/>
        <v>0</v>
      </c>
      <c r="S219" s="104">
        <f t="shared" si="13"/>
        <v>0</v>
      </c>
      <c r="T219" s="104">
        <f t="shared" si="15"/>
        <v>0</v>
      </c>
    </row>
    <row r="220" spans="1:20">
      <c r="A220" s="101"/>
      <c r="B220" s="101"/>
      <c r="C220" s="101"/>
      <c r="D220" s="101"/>
      <c r="E220" s="101"/>
      <c r="F220" s="102"/>
      <c r="G220" s="101"/>
      <c r="H220" s="102"/>
      <c r="I220" s="101"/>
      <c r="J220" s="101"/>
      <c r="K220" s="103"/>
      <c r="L220" s="103"/>
      <c r="M220" s="103"/>
      <c r="N220" s="103"/>
      <c r="O220" s="103"/>
      <c r="P220" s="98"/>
      <c r="Q220" s="99"/>
      <c r="R220" s="105">
        <f t="shared" si="14"/>
        <v>0</v>
      </c>
      <c r="S220" s="108">
        <f t="shared" si="13"/>
        <v>0</v>
      </c>
      <c r="T220" s="105">
        <f t="shared" si="15"/>
        <v>0</v>
      </c>
    </row>
    <row r="221" spans="1:20">
      <c r="A221" s="101"/>
      <c r="B221" s="101"/>
      <c r="C221" s="101"/>
      <c r="D221" s="101"/>
      <c r="E221" s="101"/>
      <c r="F221" s="102"/>
      <c r="G221" s="101"/>
      <c r="H221" s="102"/>
      <c r="I221" s="101"/>
      <c r="J221" s="101"/>
      <c r="K221" s="103"/>
      <c r="L221" s="103"/>
      <c r="M221" s="103"/>
      <c r="N221" s="103"/>
      <c r="O221" s="103"/>
      <c r="P221" s="98"/>
      <c r="Q221" s="99"/>
      <c r="R221" s="104">
        <f t="shared" si="14"/>
        <v>0</v>
      </c>
      <c r="S221" s="104">
        <f t="shared" si="13"/>
        <v>0</v>
      </c>
      <c r="T221" s="104">
        <f t="shared" si="15"/>
        <v>0</v>
      </c>
    </row>
    <row r="222" spans="1:20">
      <c r="A222" s="101"/>
      <c r="B222" s="101"/>
      <c r="C222" s="101"/>
      <c r="D222" s="101"/>
      <c r="E222" s="101"/>
      <c r="F222" s="102"/>
      <c r="G222" s="101"/>
      <c r="H222" s="102"/>
      <c r="I222" s="101"/>
      <c r="J222" s="101"/>
      <c r="K222" s="103"/>
      <c r="L222" s="103"/>
      <c r="M222" s="103"/>
      <c r="N222" s="103"/>
      <c r="O222" s="103"/>
      <c r="P222" s="98"/>
      <c r="Q222" s="99"/>
      <c r="R222" s="105">
        <f t="shared" si="14"/>
        <v>0</v>
      </c>
      <c r="S222" s="108">
        <f t="shared" si="13"/>
        <v>0</v>
      </c>
      <c r="T222" s="105">
        <f t="shared" si="15"/>
        <v>0</v>
      </c>
    </row>
    <row r="223" spans="1:20">
      <c r="A223" s="101"/>
      <c r="B223" s="101"/>
      <c r="C223" s="101"/>
      <c r="D223" s="101"/>
      <c r="E223" s="101"/>
      <c r="F223" s="102"/>
      <c r="G223" s="101"/>
      <c r="H223" s="102"/>
      <c r="I223" s="101"/>
      <c r="J223" s="101"/>
      <c r="K223" s="103"/>
      <c r="L223" s="103"/>
      <c r="M223" s="103"/>
      <c r="N223" s="103"/>
      <c r="O223" s="103"/>
      <c r="P223" s="98"/>
      <c r="Q223" s="99"/>
      <c r="R223" s="104">
        <f t="shared" si="14"/>
        <v>0</v>
      </c>
      <c r="S223" s="104">
        <f t="shared" si="13"/>
        <v>0</v>
      </c>
      <c r="T223" s="104">
        <f t="shared" si="15"/>
        <v>0</v>
      </c>
    </row>
    <row r="224" spans="1:20">
      <c r="A224" s="101"/>
      <c r="B224" s="101"/>
      <c r="C224" s="101"/>
      <c r="D224" s="101"/>
      <c r="E224" s="101"/>
      <c r="F224" s="102"/>
      <c r="G224" s="101"/>
      <c r="H224" s="102"/>
      <c r="I224" s="101"/>
      <c r="J224" s="101"/>
      <c r="K224" s="103"/>
      <c r="L224" s="103"/>
      <c r="M224" s="103"/>
      <c r="N224" s="103"/>
      <c r="O224" s="103"/>
      <c r="P224" s="98"/>
      <c r="Q224" s="99"/>
      <c r="R224" s="105">
        <f t="shared" si="14"/>
        <v>0</v>
      </c>
      <c r="S224" s="108">
        <f t="shared" si="13"/>
        <v>0</v>
      </c>
      <c r="T224" s="105">
        <f t="shared" si="15"/>
        <v>0</v>
      </c>
    </row>
    <row r="225" spans="1:22">
      <c r="A225" s="101"/>
      <c r="B225" s="101"/>
      <c r="C225" s="101"/>
      <c r="D225" s="101"/>
      <c r="E225" s="101"/>
      <c r="F225" s="102"/>
      <c r="G225" s="101"/>
      <c r="H225" s="102"/>
      <c r="I225" s="101"/>
      <c r="J225" s="101"/>
      <c r="K225" s="103"/>
      <c r="L225" s="103"/>
      <c r="M225" s="103"/>
      <c r="N225" s="103"/>
      <c r="O225" s="103"/>
      <c r="P225" s="98"/>
      <c r="Q225" s="99"/>
      <c r="R225" s="104">
        <f t="shared" si="14"/>
        <v>0</v>
      </c>
      <c r="S225" s="104">
        <f t="shared" si="13"/>
        <v>0</v>
      </c>
      <c r="T225" s="104">
        <f t="shared" si="15"/>
        <v>0</v>
      </c>
    </row>
    <row r="226" spans="1:22">
      <c r="A226" s="101"/>
      <c r="B226" s="101"/>
      <c r="C226" s="101"/>
      <c r="D226" s="101"/>
      <c r="E226" s="101"/>
      <c r="F226" s="102"/>
      <c r="G226" s="101"/>
      <c r="H226" s="102"/>
      <c r="I226" s="101"/>
      <c r="J226" s="101"/>
      <c r="K226" s="103"/>
      <c r="L226" s="103"/>
      <c r="M226" s="103"/>
      <c r="N226" s="103"/>
      <c r="O226" s="103"/>
      <c r="P226" s="98"/>
      <c r="Q226" s="99"/>
      <c r="R226" s="105">
        <f t="shared" si="14"/>
        <v>0</v>
      </c>
      <c r="S226" s="108">
        <f t="shared" si="13"/>
        <v>0</v>
      </c>
      <c r="T226" s="105">
        <f t="shared" si="15"/>
        <v>0</v>
      </c>
    </row>
    <row r="227" spans="1:22">
      <c r="A227" s="101"/>
      <c r="B227" s="101"/>
      <c r="C227" s="101"/>
      <c r="D227" s="101"/>
      <c r="E227" s="101"/>
      <c r="F227" s="102"/>
      <c r="G227" s="101"/>
      <c r="H227" s="102"/>
      <c r="I227" s="101"/>
      <c r="J227" s="101"/>
      <c r="K227" s="103"/>
      <c r="L227" s="103"/>
      <c r="M227" s="103"/>
      <c r="N227" s="103"/>
      <c r="O227" s="103"/>
      <c r="P227" s="98"/>
      <c r="Q227" s="99"/>
      <c r="R227" s="104">
        <f t="shared" si="14"/>
        <v>0</v>
      </c>
      <c r="S227" s="104">
        <f t="shared" si="13"/>
        <v>0</v>
      </c>
      <c r="T227" s="104">
        <f t="shared" si="15"/>
        <v>0</v>
      </c>
    </row>
    <row r="228" spans="1:22">
      <c r="A228" s="101"/>
      <c r="B228" s="101"/>
      <c r="C228" s="101"/>
      <c r="D228" s="101"/>
      <c r="E228" s="101"/>
      <c r="F228" s="102"/>
      <c r="G228" s="101"/>
      <c r="H228" s="102"/>
      <c r="I228" s="101"/>
      <c r="J228" s="101"/>
      <c r="K228" s="103"/>
      <c r="L228" s="103"/>
      <c r="M228" s="103"/>
      <c r="N228" s="103"/>
      <c r="O228" s="103"/>
      <c r="P228" s="98"/>
      <c r="Q228" s="99"/>
      <c r="R228" s="105">
        <f t="shared" si="14"/>
        <v>0</v>
      </c>
      <c r="S228" s="108">
        <f t="shared" si="13"/>
        <v>0</v>
      </c>
      <c r="T228" s="105">
        <f t="shared" si="15"/>
        <v>0</v>
      </c>
    </row>
    <row r="229" spans="1:22">
      <c r="A229" s="101"/>
      <c r="B229" s="101"/>
      <c r="C229" s="101"/>
      <c r="D229" s="101"/>
      <c r="E229" s="101"/>
      <c r="F229" s="102"/>
      <c r="G229" s="101"/>
      <c r="H229" s="102"/>
      <c r="I229" s="101"/>
      <c r="J229" s="101"/>
      <c r="K229" s="103"/>
      <c r="L229" s="103"/>
      <c r="M229" s="103"/>
      <c r="N229" s="103"/>
      <c r="O229" s="103"/>
      <c r="P229" s="98"/>
      <c r="Q229" s="99"/>
      <c r="R229" s="104">
        <f t="shared" si="14"/>
        <v>0</v>
      </c>
      <c r="S229" s="104">
        <f t="shared" si="13"/>
        <v>0</v>
      </c>
      <c r="T229" s="104">
        <f t="shared" si="15"/>
        <v>0</v>
      </c>
    </row>
    <row r="230" spans="1:22">
      <c r="A230" s="101"/>
      <c r="B230" s="101"/>
      <c r="C230" s="101"/>
      <c r="D230" s="101"/>
      <c r="E230" s="101"/>
      <c r="F230" s="102"/>
      <c r="G230" s="101"/>
      <c r="H230" s="102"/>
      <c r="I230" s="101"/>
      <c r="J230" s="101"/>
      <c r="K230" s="103"/>
      <c r="L230" s="103"/>
      <c r="M230" s="103"/>
      <c r="N230" s="103"/>
      <c r="O230" s="103"/>
      <c r="P230" s="98"/>
      <c r="Q230" s="99"/>
      <c r="R230" s="105">
        <f t="shared" si="14"/>
        <v>0</v>
      </c>
      <c r="S230" s="108">
        <f t="shared" si="13"/>
        <v>0</v>
      </c>
      <c r="T230" s="105">
        <f t="shared" si="15"/>
        <v>0</v>
      </c>
    </row>
    <row r="231" spans="1:22">
      <c r="A231" s="101"/>
      <c r="B231" s="101"/>
      <c r="C231" s="101"/>
      <c r="D231" s="101"/>
      <c r="E231" s="101"/>
      <c r="F231" s="102"/>
      <c r="G231" s="101"/>
      <c r="H231" s="102"/>
      <c r="I231" s="101"/>
      <c r="J231" s="101"/>
      <c r="K231" s="103"/>
      <c r="L231" s="103"/>
      <c r="M231" s="103"/>
      <c r="N231" s="103"/>
      <c r="O231" s="103"/>
      <c r="P231" s="98"/>
      <c r="Q231" s="99"/>
      <c r="R231" s="104">
        <f t="shared" si="14"/>
        <v>0</v>
      </c>
      <c r="S231" s="104">
        <f t="shared" si="13"/>
        <v>0</v>
      </c>
      <c r="T231" s="104">
        <f t="shared" si="15"/>
        <v>0</v>
      </c>
    </row>
    <row r="232" spans="1:22">
      <c r="A232" s="101"/>
      <c r="B232" s="101"/>
      <c r="C232" s="101"/>
      <c r="D232" s="101"/>
      <c r="E232" s="101"/>
      <c r="F232" s="102"/>
      <c r="G232" s="101"/>
      <c r="H232" s="102"/>
      <c r="I232" s="101"/>
      <c r="J232" s="101"/>
      <c r="K232" s="103"/>
      <c r="L232" s="103"/>
      <c r="M232" s="103"/>
      <c r="N232" s="103"/>
      <c r="O232" s="103"/>
      <c r="P232" s="98"/>
      <c r="Q232" s="99"/>
      <c r="R232" s="105">
        <f t="shared" si="14"/>
        <v>0</v>
      </c>
      <c r="S232" s="108">
        <f t="shared" si="13"/>
        <v>0</v>
      </c>
      <c r="T232" s="105">
        <f t="shared" si="15"/>
        <v>0</v>
      </c>
    </row>
    <row r="233" spans="1:22">
      <c r="A233" s="101"/>
      <c r="B233" s="101"/>
      <c r="C233" s="101"/>
      <c r="D233" s="101"/>
      <c r="E233" s="101"/>
      <c r="F233" s="102"/>
      <c r="G233" s="101"/>
      <c r="H233" s="102"/>
      <c r="I233" s="101"/>
      <c r="J233" s="101"/>
      <c r="K233" s="103"/>
      <c r="L233" s="103"/>
      <c r="M233" s="103"/>
      <c r="N233" s="103"/>
      <c r="O233" s="103"/>
      <c r="P233" s="98"/>
      <c r="Q233" s="99"/>
      <c r="R233" s="104">
        <f t="shared" si="14"/>
        <v>0</v>
      </c>
      <c r="S233" s="104">
        <f t="shared" si="13"/>
        <v>0</v>
      </c>
      <c r="T233" s="104">
        <f t="shared" si="15"/>
        <v>0</v>
      </c>
    </row>
    <row r="234" spans="1:22">
      <c r="A234" s="101"/>
      <c r="B234" s="101"/>
      <c r="C234" s="101"/>
      <c r="D234" s="101"/>
      <c r="E234" s="101"/>
      <c r="F234" s="102"/>
      <c r="G234" s="101"/>
      <c r="H234" s="102"/>
      <c r="I234" s="101"/>
      <c r="J234" s="101"/>
      <c r="K234" s="103"/>
      <c r="L234" s="103"/>
      <c r="M234" s="103"/>
      <c r="N234" s="103"/>
      <c r="O234" s="103"/>
      <c r="P234" s="98"/>
      <c r="Q234" s="99"/>
      <c r="R234" s="105">
        <f t="shared" si="14"/>
        <v>0</v>
      </c>
      <c r="S234" s="108">
        <f t="shared" si="13"/>
        <v>0</v>
      </c>
      <c r="T234" s="105">
        <f t="shared" si="15"/>
        <v>0</v>
      </c>
    </row>
    <row r="235" spans="1:22">
      <c r="A235" s="101"/>
      <c r="B235" s="101"/>
      <c r="C235" s="101"/>
      <c r="D235" s="101"/>
      <c r="E235" s="101"/>
      <c r="F235" s="102"/>
      <c r="G235" s="101"/>
      <c r="H235" s="102"/>
      <c r="I235" s="101"/>
      <c r="J235" s="101"/>
      <c r="K235" s="103"/>
      <c r="L235" s="103"/>
      <c r="M235" s="103"/>
      <c r="N235" s="103"/>
      <c r="O235" s="103"/>
      <c r="P235" s="98"/>
      <c r="Q235" s="99"/>
      <c r="R235" s="104">
        <f t="shared" si="14"/>
        <v>0</v>
      </c>
      <c r="S235" s="104">
        <f t="shared" si="13"/>
        <v>0</v>
      </c>
      <c r="T235" s="104">
        <f t="shared" si="15"/>
        <v>0</v>
      </c>
      <c r="V235" s="112"/>
    </row>
    <row r="236" spans="1:22">
      <c r="A236" s="101"/>
      <c r="B236" s="101"/>
      <c r="C236" s="101"/>
      <c r="D236" s="101"/>
      <c r="E236" s="101"/>
      <c r="F236" s="102"/>
      <c r="G236" s="101"/>
      <c r="H236" s="102"/>
      <c r="I236" s="101"/>
      <c r="J236" s="101"/>
      <c r="K236" s="103"/>
      <c r="L236" s="103"/>
      <c r="M236" s="103"/>
      <c r="N236" s="103"/>
      <c r="O236" s="103"/>
      <c r="P236" s="98"/>
      <c r="Q236" s="99"/>
      <c r="R236" s="105">
        <f t="shared" si="14"/>
        <v>0</v>
      </c>
      <c r="S236" s="108">
        <f t="shared" si="13"/>
        <v>0</v>
      </c>
      <c r="T236" s="105">
        <f t="shared" si="15"/>
        <v>0</v>
      </c>
    </row>
    <row r="237" spans="1:22">
      <c r="A237" s="101"/>
      <c r="B237" s="101"/>
      <c r="C237" s="101"/>
      <c r="D237" s="101"/>
      <c r="E237" s="101"/>
      <c r="F237" s="102"/>
      <c r="G237" s="101"/>
      <c r="H237" s="102"/>
      <c r="I237" s="101"/>
      <c r="J237" s="101"/>
      <c r="K237" s="103"/>
      <c r="L237" s="103"/>
      <c r="M237" s="103"/>
      <c r="N237" s="103"/>
      <c r="O237" s="103"/>
      <c r="P237" s="98"/>
      <c r="Q237" s="99"/>
      <c r="R237" s="104">
        <f t="shared" si="14"/>
        <v>0</v>
      </c>
      <c r="S237" s="104">
        <f t="shared" si="13"/>
        <v>0</v>
      </c>
      <c r="T237" s="104">
        <f t="shared" si="15"/>
        <v>0</v>
      </c>
    </row>
    <row r="238" spans="1:22">
      <c r="A238" s="101"/>
      <c r="B238" s="101"/>
      <c r="C238" s="101"/>
      <c r="D238" s="101"/>
      <c r="E238" s="101"/>
      <c r="F238" s="102"/>
      <c r="G238" s="101"/>
      <c r="H238" s="102"/>
      <c r="I238" s="101"/>
      <c r="J238" s="101"/>
      <c r="K238" s="103"/>
      <c r="L238" s="103"/>
      <c r="M238" s="103"/>
      <c r="N238" s="103"/>
      <c r="O238" s="103"/>
      <c r="P238" s="98"/>
      <c r="Q238" s="99"/>
      <c r="R238" s="105">
        <f t="shared" si="14"/>
        <v>0</v>
      </c>
      <c r="S238" s="108">
        <f t="shared" si="13"/>
        <v>0</v>
      </c>
      <c r="T238" s="105">
        <f t="shared" si="15"/>
        <v>0</v>
      </c>
    </row>
    <row r="239" spans="1:22">
      <c r="A239" s="101"/>
      <c r="B239" s="101"/>
      <c r="C239" s="101"/>
      <c r="D239" s="101"/>
      <c r="E239" s="101"/>
      <c r="F239" s="102"/>
      <c r="G239" s="101"/>
      <c r="H239" s="102"/>
      <c r="I239" s="101"/>
      <c r="J239" s="101"/>
      <c r="K239" s="103"/>
      <c r="L239" s="103"/>
      <c r="M239" s="103"/>
      <c r="N239" s="103"/>
      <c r="O239" s="103"/>
      <c r="P239" s="98"/>
      <c r="Q239" s="99"/>
      <c r="R239" s="104">
        <f t="shared" si="14"/>
        <v>0</v>
      </c>
      <c r="S239" s="104">
        <f t="shared" si="13"/>
        <v>0</v>
      </c>
      <c r="T239" s="104">
        <f t="shared" si="15"/>
        <v>0</v>
      </c>
    </row>
    <row r="240" spans="1:22">
      <c r="A240" s="101"/>
      <c r="B240" s="101"/>
      <c r="C240" s="101"/>
      <c r="D240" s="101"/>
      <c r="E240" s="101"/>
      <c r="F240" s="102"/>
      <c r="G240" s="101"/>
      <c r="H240" s="102"/>
      <c r="I240" s="101"/>
      <c r="J240" s="101"/>
      <c r="K240" s="103"/>
      <c r="L240" s="103"/>
      <c r="M240" s="103"/>
      <c r="N240" s="103"/>
      <c r="O240" s="103"/>
      <c r="P240" s="98"/>
      <c r="Q240" s="99"/>
      <c r="R240" s="105">
        <f t="shared" si="14"/>
        <v>0</v>
      </c>
      <c r="S240" s="108">
        <f t="shared" si="13"/>
        <v>0</v>
      </c>
      <c r="T240" s="105">
        <f t="shared" si="15"/>
        <v>0</v>
      </c>
    </row>
    <row r="241" spans="1:20">
      <c r="A241" s="101"/>
      <c r="B241" s="101"/>
      <c r="C241" s="101"/>
      <c r="D241" s="101"/>
      <c r="E241" s="101"/>
      <c r="F241" s="102"/>
      <c r="G241" s="101"/>
      <c r="H241" s="102"/>
      <c r="I241" s="101"/>
      <c r="J241" s="101"/>
      <c r="K241" s="103"/>
      <c r="L241" s="103"/>
      <c r="M241" s="103"/>
      <c r="N241" s="103"/>
      <c r="O241" s="103"/>
      <c r="P241" s="98"/>
      <c r="Q241" s="99"/>
      <c r="R241" s="104">
        <f t="shared" si="14"/>
        <v>0</v>
      </c>
      <c r="S241" s="104">
        <f t="shared" si="13"/>
        <v>0</v>
      </c>
      <c r="T241" s="104">
        <f t="shared" si="15"/>
        <v>0</v>
      </c>
    </row>
    <row r="242" spans="1:20">
      <c r="A242" s="101"/>
      <c r="B242" s="101"/>
      <c r="C242" s="101"/>
      <c r="D242" s="101"/>
      <c r="E242" s="101"/>
      <c r="F242" s="102"/>
      <c r="G242" s="101"/>
      <c r="H242" s="102"/>
      <c r="I242" s="101"/>
      <c r="J242" s="101"/>
      <c r="K242" s="103"/>
      <c r="L242" s="103"/>
      <c r="M242" s="103"/>
      <c r="N242" s="103"/>
      <c r="O242" s="103"/>
      <c r="P242" s="98"/>
      <c r="Q242" s="99"/>
      <c r="R242" s="105">
        <f t="shared" si="14"/>
        <v>0</v>
      </c>
      <c r="S242" s="108">
        <f t="shared" si="13"/>
        <v>0</v>
      </c>
      <c r="T242" s="105">
        <f t="shared" si="15"/>
        <v>0</v>
      </c>
    </row>
    <row r="243" spans="1:20">
      <c r="A243" s="101"/>
      <c r="B243" s="101"/>
      <c r="C243" s="101"/>
      <c r="D243" s="101"/>
      <c r="E243" s="101"/>
      <c r="F243" s="102"/>
      <c r="G243" s="101"/>
      <c r="H243" s="102"/>
      <c r="I243" s="101"/>
      <c r="J243" s="101"/>
      <c r="K243" s="103"/>
      <c r="L243" s="103"/>
      <c r="M243" s="103"/>
      <c r="N243" s="103"/>
      <c r="O243" s="103"/>
      <c r="P243" s="98"/>
      <c r="Q243" s="99"/>
      <c r="R243" s="104">
        <f t="shared" si="14"/>
        <v>0</v>
      </c>
      <c r="S243" s="104">
        <f t="shared" si="13"/>
        <v>0</v>
      </c>
      <c r="T243" s="104">
        <f t="shared" si="15"/>
        <v>0</v>
      </c>
    </row>
    <row r="244" spans="1:20">
      <c r="A244" s="101"/>
      <c r="B244" s="101"/>
      <c r="C244" s="101"/>
      <c r="D244" s="101"/>
      <c r="E244" s="101"/>
      <c r="F244" s="102"/>
      <c r="G244" s="101"/>
      <c r="H244" s="102"/>
      <c r="I244" s="101"/>
      <c r="J244" s="101"/>
      <c r="K244" s="103"/>
      <c r="L244" s="103"/>
      <c r="M244" s="103"/>
      <c r="N244" s="103"/>
      <c r="O244" s="103"/>
      <c r="P244" s="98"/>
      <c r="Q244" s="99"/>
      <c r="R244" s="105">
        <f t="shared" si="14"/>
        <v>0</v>
      </c>
      <c r="S244" s="108">
        <f t="shared" si="13"/>
        <v>0</v>
      </c>
      <c r="T244" s="105">
        <f t="shared" si="15"/>
        <v>0</v>
      </c>
    </row>
    <row r="245" spans="1:20">
      <c r="A245" s="101"/>
      <c r="B245" s="101"/>
      <c r="C245" s="101"/>
      <c r="D245" s="101"/>
      <c r="E245" s="101"/>
      <c r="F245" s="102"/>
      <c r="G245" s="101"/>
      <c r="H245" s="102"/>
      <c r="I245" s="101"/>
      <c r="J245" s="101"/>
      <c r="K245" s="103"/>
      <c r="L245" s="103"/>
      <c r="M245" s="103"/>
      <c r="N245" s="103"/>
      <c r="O245" s="103"/>
      <c r="P245" s="98"/>
      <c r="Q245" s="99"/>
      <c r="R245" s="104">
        <f t="shared" si="14"/>
        <v>0</v>
      </c>
      <c r="S245" s="104">
        <f t="shared" si="13"/>
        <v>0</v>
      </c>
      <c r="T245" s="104">
        <f t="shared" si="15"/>
        <v>0</v>
      </c>
    </row>
    <row r="246" spans="1:20">
      <c r="A246" s="101"/>
      <c r="B246" s="101"/>
      <c r="C246" s="101"/>
      <c r="D246" s="101"/>
      <c r="E246" s="101"/>
      <c r="F246" s="102"/>
      <c r="G246" s="101"/>
      <c r="H246" s="102"/>
      <c r="I246" s="101"/>
      <c r="J246" s="101"/>
      <c r="K246" s="103"/>
      <c r="L246" s="103"/>
      <c r="M246" s="103"/>
      <c r="N246" s="103"/>
      <c r="O246" s="103"/>
      <c r="P246" s="98"/>
      <c r="Q246" s="99"/>
      <c r="R246" s="105">
        <f t="shared" si="14"/>
        <v>0</v>
      </c>
      <c r="S246" s="108">
        <f t="shared" si="13"/>
        <v>0</v>
      </c>
      <c r="T246" s="105">
        <f t="shared" si="15"/>
        <v>0</v>
      </c>
    </row>
    <row r="247" spans="1:20">
      <c r="A247" s="101"/>
      <c r="B247" s="101"/>
      <c r="C247" s="101"/>
      <c r="D247" s="101"/>
      <c r="E247" s="101"/>
      <c r="F247" s="102"/>
      <c r="G247" s="101"/>
      <c r="H247" s="102"/>
      <c r="I247" s="101"/>
      <c r="J247" s="101"/>
      <c r="K247" s="103"/>
      <c r="L247" s="103"/>
      <c r="M247" s="103"/>
      <c r="N247" s="103"/>
      <c r="O247" s="103"/>
      <c r="P247" s="98"/>
      <c r="Q247" s="98"/>
      <c r="R247" s="104">
        <f t="shared" si="14"/>
        <v>0</v>
      </c>
      <c r="S247" s="104">
        <f t="shared" si="13"/>
        <v>0</v>
      </c>
      <c r="T247" s="104">
        <f t="shared" si="15"/>
        <v>0</v>
      </c>
    </row>
    <row r="248" spans="1:20">
      <c r="A248" s="101"/>
      <c r="B248" s="101"/>
      <c r="C248" s="101"/>
      <c r="D248" s="101"/>
      <c r="E248" s="101"/>
      <c r="F248" s="102"/>
      <c r="G248" s="101"/>
      <c r="H248" s="102"/>
      <c r="I248" s="101"/>
      <c r="J248" s="101"/>
      <c r="K248" s="103"/>
      <c r="L248" s="103"/>
      <c r="M248" s="103"/>
      <c r="N248" s="103"/>
      <c r="O248" s="103"/>
      <c r="P248" s="98"/>
      <c r="Q248" s="98"/>
      <c r="R248" s="105">
        <f t="shared" si="14"/>
        <v>0</v>
      </c>
      <c r="S248" s="108">
        <f t="shared" si="13"/>
        <v>0</v>
      </c>
      <c r="T248" s="105">
        <f t="shared" si="15"/>
        <v>0</v>
      </c>
    </row>
    <row r="249" spans="1:20">
      <c r="A249" s="101"/>
      <c r="B249" s="101"/>
      <c r="C249" s="101"/>
      <c r="D249" s="101"/>
      <c r="E249" s="101"/>
      <c r="F249" s="102"/>
      <c r="G249" s="101"/>
      <c r="H249" s="102"/>
      <c r="I249" s="101"/>
      <c r="J249" s="101"/>
      <c r="K249" s="103"/>
      <c r="L249" s="103"/>
      <c r="M249" s="103"/>
      <c r="N249" s="103"/>
      <c r="O249" s="103"/>
      <c r="P249" s="98"/>
      <c r="Q249" s="98"/>
      <c r="R249" s="104">
        <f t="shared" si="14"/>
        <v>0</v>
      </c>
      <c r="S249" s="104">
        <f t="shared" si="13"/>
        <v>0</v>
      </c>
      <c r="T249" s="104">
        <f t="shared" si="15"/>
        <v>0</v>
      </c>
    </row>
    <row r="250" spans="1:20">
      <c r="A250" s="101"/>
      <c r="B250" s="101"/>
      <c r="C250" s="101"/>
      <c r="D250" s="101"/>
      <c r="E250" s="101"/>
      <c r="F250" s="102"/>
      <c r="G250" s="101"/>
      <c r="H250" s="102"/>
      <c r="I250" s="101"/>
      <c r="J250" s="101"/>
      <c r="K250" s="103"/>
      <c r="L250" s="103"/>
      <c r="M250" s="103"/>
      <c r="N250" s="103"/>
      <c r="O250" s="103"/>
      <c r="P250" s="98"/>
      <c r="Q250" s="98"/>
      <c r="R250" s="105">
        <f t="shared" si="14"/>
        <v>0</v>
      </c>
      <c r="S250" s="108">
        <f t="shared" si="13"/>
        <v>0</v>
      </c>
      <c r="T250" s="105">
        <f t="shared" si="15"/>
        <v>0</v>
      </c>
    </row>
    <row r="251" spans="1:20">
      <c r="A251" s="101"/>
      <c r="B251" s="101"/>
      <c r="C251" s="101"/>
      <c r="D251" s="101"/>
      <c r="E251" s="101"/>
      <c r="F251" s="102"/>
      <c r="G251" s="101"/>
      <c r="H251" s="102"/>
      <c r="I251" s="101"/>
      <c r="J251" s="101"/>
      <c r="K251" s="103"/>
      <c r="L251" s="103"/>
      <c r="M251" s="103"/>
      <c r="N251" s="103"/>
      <c r="O251" s="103"/>
      <c r="P251" s="98"/>
      <c r="Q251" s="98"/>
      <c r="R251" s="104">
        <f t="shared" si="14"/>
        <v>0</v>
      </c>
      <c r="S251" s="104">
        <f t="shared" si="13"/>
        <v>0</v>
      </c>
      <c r="T251" s="104">
        <f t="shared" si="15"/>
        <v>0</v>
      </c>
    </row>
    <row r="252" spans="1:20">
      <c r="A252" s="101"/>
      <c r="B252" s="101"/>
      <c r="C252" s="101"/>
      <c r="D252" s="101"/>
      <c r="E252" s="101"/>
      <c r="F252" s="102"/>
      <c r="G252" s="101"/>
      <c r="H252" s="102"/>
      <c r="I252" s="101"/>
      <c r="J252" s="101"/>
      <c r="K252" s="103"/>
      <c r="L252" s="103"/>
      <c r="M252" s="103"/>
      <c r="N252" s="103"/>
      <c r="O252" s="103"/>
      <c r="P252" s="98"/>
      <c r="Q252" s="98"/>
      <c r="R252" s="105">
        <f t="shared" si="14"/>
        <v>0</v>
      </c>
      <c r="S252" s="108">
        <f t="shared" si="13"/>
        <v>0</v>
      </c>
      <c r="T252" s="105">
        <f t="shared" si="15"/>
        <v>0</v>
      </c>
    </row>
    <row r="253" spans="1:20">
      <c r="A253" s="101"/>
      <c r="B253" s="101"/>
      <c r="C253" s="101"/>
      <c r="D253" s="101"/>
      <c r="E253" s="101"/>
      <c r="F253" s="102"/>
      <c r="G253" s="101"/>
      <c r="H253" s="102"/>
      <c r="I253" s="101"/>
      <c r="J253" s="101"/>
      <c r="K253" s="103"/>
      <c r="L253" s="103"/>
      <c r="M253" s="103"/>
      <c r="N253" s="103"/>
      <c r="O253" s="103"/>
      <c r="P253" s="98"/>
      <c r="Q253" s="98"/>
      <c r="R253" s="104">
        <f t="shared" si="14"/>
        <v>0</v>
      </c>
      <c r="S253" s="104">
        <f t="shared" si="13"/>
        <v>0</v>
      </c>
      <c r="T253" s="104">
        <f t="shared" si="15"/>
        <v>0</v>
      </c>
    </row>
    <row r="254" spans="1:20">
      <c r="A254" s="101"/>
      <c r="B254" s="101"/>
      <c r="C254" s="101"/>
      <c r="D254" s="101"/>
      <c r="E254" s="101"/>
      <c r="F254" s="102"/>
      <c r="G254" s="101"/>
      <c r="H254" s="102"/>
      <c r="I254" s="101"/>
      <c r="J254" s="101"/>
      <c r="K254" s="103"/>
      <c r="L254" s="103"/>
      <c r="M254" s="103"/>
      <c r="N254" s="103"/>
      <c r="O254" s="103"/>
      <c r="P254" s="98"/>
      <c r="Q254" s="98"/>
      <c r="R254" s="105">
        <f t="shared" si="14"/>
        <v>0</v>
      </c>
      <c r="S254" s="108">
        <f t="shared" si="13"/>
        <v>0</v>
      </c>
      <c r="T254" s="105">
        <f t="shared" si="15"/>
        <v>0</v>
      </c>
    </row>
    <row r="255" spans="1:20">
      <c r="A255" s="101"/>
      <c r="B255" s="101"/>
      <c r="C255" s="101"/>
      <c r="D255" s="101"/>
      <c r="E255" s="101"/>
      <c r="F255" s="102"/>
      <c r="G255" s="101"/>
      <c r="H255" s="102"/>
      <c r="I255" s="101"/>
      <c r="J255" s="101"/>
      <c r="K255" s="103"/>
      <c r="L255" s="103"/>
      <c r="M255" s="103"/>
      <c r="N255" s="103"/>
      <c r="O255" s="103"/>
      <c r="P255" s="98"/>
      <c r="Q255" s="98"/>
      <c r="R255" s="104">
        <f t="shared" si="14"/>
        <v>0</v>
      </c>
      <c r="S255" s="104">
        <f t="shared" si="13"/>
        <v>0</v>
      </c>
      <c r="T255" s="104">
        <f t="shared" si="15"/>
        <v>0</v>
      </c>
    </row>
    <row r="256" spans="1:20">
      <c r="A256" s="101"/>
      <c r="B256" s="101"/>
      <c r="C256" s="101"/>
      <c r="D256" s="101"/>
      <c r="E256" s="101"/>
      <c r="F256" s="102"/>
      <c r="G256" s="101"/>
      <c r="H256" s="102"/>
      <c r="I256" s="101"/>
      <c r="J256" s="101"/>
      <c r="K256" s="103"/>
      <c r="L256" s="103"/>
      <c r="M256" s="103"/>
      <c r="N256" s="103"/>
      <c r="O256" s="103"/>
      <c r="P256" s="98"/>
      <c r="Q256" s="98"/>
      <c r="R256" s="105">
        <f t="shared" si="14"/>
        <v>0</v>
      </c>
      <c r="S256" s="108">
        <f t="shared" si="13"/>
        <v>0</v>
      </c>
      <c r="T256" s="105">
        <f t="shared" si="15"/>
        <v>0</v>
      </c>
    </row>
    <row r="257" spans="1:20">
      <c r="A257" s="101"/>
      <c r="B257" s="101"/>
      <c r="C257" s="101"/>
      <c r="D257" s="101"/>
      <c r="E257" s="101"/>
      <c r="F257" s="102"/>
      <c r="G257" s="101"/>
      <c r="H257" s="102"/>
      <c r="I257" s="101"/>
      <c r="J257" s="101"/>
      <c r="K257" s="103"/>
      <c r="L257" s="103"/>
      <c r="M257" s="103"/>
      <c r="N257" s="103"/>
      <c r="O257" s="103"/>
      <c r="P257" s="98"/>
      <c r="Q257" s="98"/>
      <c r="R257" s="104">
        <f t="shared" si="14"/>
        <v>0</v>
      </c>
      <c r="S257" s="104">
        <f t="shared" si="13"/>
        <v>0</v>
      </c>
      <c r="T257" s="104">
        <f t="shared" si="15"/>
        <v>0</v>
      </c>
    </row>
    <row r="258" spans="1:20">
      <c r="A258" s="101"/>
      <c r="B258" s="101"/>
      <c r="C258" s="101"/>
      <c r="D258" s="101"/>
      <c r="E258" s="101"/>
      <c r="F258" s="102"/>
      <c r="G258" s="101"/>
      <c r="H258" s="102"/>
      <c r="I258" s="101"/>
      <c r="J258" s="101"/>
      <c r="K258" s="103"/>
      <c r="L258" s="103"/>
      <c r="M258" s="103"/>
      <c r="N258" s="103"/>
      <c r="O258" s="103"/>
      <c r="P258" s="98"/>
      <c r="Q258" s="98"/>
      <c r="R258" s="105">
        <f t="shared" si="14"/>
        <v>0</v>
      </c>
      <c r="S258" s="108">
        <f t="shared" si="13"/>
        <v>0</v>
      </c>
      <c r="T258" s="105">
        <f t="shared" si="15"/>
        <v>0</v>
      </c>
    </row>
    <row r="259" spans="1:20">
      <c r="A259" s="101"/>
      <c r="B259" s="101"/>
      <c r="C259" s="101"/>
      <c r="D259" s="101"/>
      <c r="E259" s="101"/>
      <c r="F259" s="102"/>
      <c r="G259" s="101"/>
      <c r="H259" s="102"/>
      <c r="I259" s="101"/>
      <c r="J259" s="101"/>
      <c r="K259" s="103"/>
      <c r="L259" s="103"/>
      <c r="M259" s="103"/>
      <c r="N259" s="103"/>
      <c r="O259" s="103"/>
      <c r="P259" s="98"/>
      <c r="Q259" s="98"/>
      <c r="R259" s="104">
        <f t="shared" si="14"/>
        <v>0</v>
      </c>
      <c r="S259" s="104">
        <f t="shared" si="13"/>
        <v>0</v>
      </c>
      <c r="T259" s="104">
        <f t="shared" si="15"/>
        <v>0</v>
      </c>
    </row>
    <row r="260" spans="1:20">
      <c r="A260" s="101"/>
      <c r="B260" s="101"/>
      <c r="C260" s="101"/>
      <c r="D260" s="101"/>
      <c r="E260" s="101"/>
      <c r="F260" s="102"/>
      <c r="G260" s="101"/>
      <c r="H260" s="102"/>
      <c r="I260" s="101"/>
      <c r="J260" s="101"/>
      <c r="K260" s="103"/>
      <c r="L260" s="103"/>
      <c r="M260" s="103"/>
      <c r="N260" s="103"/>
      <c r="O260" s="103"/>
      <c r="P260" s="98"/>
      <c r="Q260" s="98"/>
      <c r="R260" s="105">
        <f t="shared" si="14"/>
        <v>0</v>
      </c>
      <c r="S260" s="108">
        <f t="shared" ref="S260:S323" si="16">IF(P260="Abono",K260+L260+M260-N260-O260,0)</f>
        <v>0</v>
      </c>
      <c r="T260" s="105">
        <f t="shared" si="15"/>
        <v>0</v>
      </c>
    </row>
    <row r="261" spans="1:20">
      <c r="A261" s="101"/>
      <c r="B261" s="101"/>
      <c r="C261" s="101"/>
      <c r="D261" s="101"/>
      <c r="E261" s="101"/>
      <c r="F261" s="102"/>
      <c r="G261" s="101"/>
      <c r="H261" s="102"/>
      <c r="I261" s="101"/>
      <c r="J261" s="101"/>
      <c r="K261" s="103"/>
      <c r="L261" s="103"/>
      <c r="M261" s="103"/>
      <c r="N261" s="103"/>
      <c r="O261" s="103"/>
      <c r="P261" s="98"/>
      <c r="Q261" s="98"/>
      <c r="R261" s="104">
        <f t="shared" ref="R261:R324" si="17">IF(P261="Cargo",K261+L261-M261-N261+O261,0)</f>
        <v>0</v>
      </c>
      <c r="S261" s="104">
        <f t="shared" si="16"/>
        <v>0</v>
      </c>
      <c r="T261" s="104">
        <f t="shared" ref="T261:T324" si="18">IF(Q261="OK",+T260+R261-S261,T260)</f>
        <v>0</v>
      </c>
    </row>
    <row r="262" spans="1:20">
      <c r="A262" s="101"/>
      <c r="B262" s="101"/>
      <c r="C262" s="101"/>
      <c r="D262" s="101"/>
      <c r="E262" s="101"/>
      <c r="F262" s="102"/>
      <c r="G262" s="101"/>
      <c r="H262" s="102"/>
      <c r="I262" s="101"/>
      <c r="J262" s="101"/>
      <c r="K262" s="103"/>
      <c r="L262" s="103"/>
      <c r="M262" s="103"/>
      <c r="N262" s="103"/>
      <c r="O262" s="103"/>
      <c r="P262" s="98"/>
      <c r="Q262" s="98"/>
      <c r="R262" s="105">
        <f t="shared" si="17"/>
        <v>0</v>
      </c>
      <c r="S262" s="108">
        <f t="shared" si="16"/>
        <v>0</v>
      </c>
      <c r="T262" s="105">
        <f t="shared" si="18"/>
        <v>0</v>
      </c>
    </row>
    <row r="263" spans="1:20">
      <c r="A263" s="101"/>
      <c r="B263" s="101"/>
      <c r="C263" s="101"/>
      <c r="D263" s="101"/>
      <c r="E263" s="101"/>
      <c r="F263" s="102"/>
      <c r="G263" s="101"/>
      <c r="H263" s="102"/>
      <c r="I263" s="101"/>
      <c r="J263" s="101"/>
      <c r="K263" s="103"/>
      <c r="L263" s="103"/>
      <c r="M263" s="103"/>
      <c r="N263" s="103"/>
      <c r="O263" s="103"/>
      <c r="P263" s="98"/>
      <c r="Q263" s="98"/>
      <c r="R263" s="104">
        <f t="shared" si="17"/>
        <v>0</v>
      </c>
      <c r="S263" s="104">
        <f t="shared" si="16"/>
        <v>0</v>
      </c>
      <c r="T263" s="104">
        <f t="shared" si="18"/>
        <v>0</v>
      </c>
    </row>
    <row r="264" spans="1:20">
      <c r="A264" s="101"/>
      <c r="B264" s="101"/>
      <c r="C264" s="101"/>
      <c r="D264" s="101"/>
      <c r="E264" s="101"/>
      <c r="F264" s="102"/>
      <c r="G264" s="101"/>
      <c r="H264" s="102"/>
      <c r="I264" s="101"/>
      <c r="J264" s="101"/>
      <c r="K264" s="103"/>
      <c r="L264" s="103"/>
      <c r="M264" s="103"/>
      <c r="N264" s="103"/>
      <c r="O264" s="103"/>
      <c r="P264" s="98"/>
      <c r="Q264" s="98"/>
      <c r="R264" s="105">
        <f t="shared" si="17"/>
        <v>0</v>
      </c>
      <c r="S264" s="108">
        <f t="shared" si="16"/>
        <v>0</v>
      </c>
      <c r="T264" s="105">
        <f t="shared" si="18"/>
        <v>0</v>
      </c>
    </row>
    <row r="265" spans="1:20">
      <c r="A265" s="101"/>
      <c r="B265" s="101"/>
      <c r="C265" s="101"/>
      <c r="D265" s="101"/>
      <c r="E265" s="101"/>
      <c r="F265" s="102"/>
      <c r="G265" s="101"/>
      <c r="H265" s="102"/>
      <c r="I265" s="101"/>
      <c r="J265" s="101"/>
      <c r="K265" s="103"/>
      <c r="L265" s="103"/>
      <c r="M265" s="103"/>
      <c r="N265" s="103"/>
      <c r="O265" s="103"/>
      <c r="P265" s="98"/>
      <c r="Q265" s="98"/>
      <c r="R265" s="104">
        <f t="shared" si="17"/>
        <v>0</v>
      </c>
      <c r="S265" s="104">
        <f t="shared" si="16"/>
        <v>0</v>
      </c>
      <c r="T265" s="104">
        <f t="shared" si="18"/>
        <v>0</v>
      </c>
    </row>
    <row r="266" spans="1:20">
      <c r="A266" s="101"/>
      <c r="B266" s="101"/>
      <c r="C266" s="101"/>
      <c r="D266" s="101"/>
      <c r="E266" s="101"/>
      <c r="F266" s="102"/>
      <c r="G266" s="101"/>
      <c r="H266" s="102"/>
      <c r="I266" s="101"/>
      <c r="J266" s="101"/>
      <c r="K266" s="103"/>
      <c r="L266" s="103"/>
      <c r="M266" s="103"/>
      <c r="N266" s="103"/>
      <c r="O266" s="103"/>
      <c r="P266" s="98"/>
      <c r="Q266" s="98"/>
      <c r="R266" s="105">
        <f t="shared" si="17"/>
        <v>0</v>
      </c>
      <c r="S266" s="108">
        <f t="shared" si="16"/>
        <v>0</v>
      </c>
      <c r="T266" s="105">
        <f t="shared" si="18"/>
        <v>0</v>
      </c>
    </row>
    <row r="267" spans="1:20">
      <c r="A267" s="101"/>
      <c r="B267" s="101"/>
      <c r="C267" s="101"/>
      <c r="D267" s="101"/>
      <c r="E267" s="101"/>
      <c r="F267" s="102"/>
      <c r="G267" s="101"/>
      <c r="H267" s="102"/>
      <c r="I267" s="101"/>
      <c r="J267" s="101"/>
      <c r="K267" s="103"/>
      <c r="L267" s="103"/>
      <c r="M267" s="103"/>
      <c r="N267" s="103"/>
      <c r="O267" s="103"/>
      <c r="P267" s="98"/>
      <c r="Q267" s="98"/>
      <c r="R267" s="104">
        <f t="shared" si="17"/>
        <v>0</v>
      </c>
      <c r="S267" s="104">
        <f t="shared" si="16"/>
        <v>0</v>
      </c>
      <c r="T267" s="104">
        <f t="shared" si="18"/>
        <v>0</v>
      </c>
    </row>
    <row r="268" spans="1:20">
      <c r="A268" s="101"/>
      <c r="B268" s="101"/>
      <c r="C268" s="101"/>
      <c r="D268" s="101"/>
      <c r="E268" s="101"/>
      <c r="F268" s="102"/>
      <c r="G268" s="101"/>
      <c r="H268" s="102"/>
      <c r="I268" s="101"/>
      <c r="J268" s="101"/>
      <c r="K268" s="103"/>
      <c r="L268" s="103"/>
      <c r="M268" s="103"/>
      <c r="N268" s="103"/>
      <c r="O268" s="103"/>
      <c r="P268" s="98"/>
      <c r="Q268" s="98"/>
      <c r="R268" s="105">
        <f t="shared" si="17"/>
        <v>0</v>
      </c>
      <c r="S268" s="108">
        <f t="shared" si="16"/>
        <v>0</v>
      </c>
      <c r="T268" s="105">
        <f t="shared" si="18"/>
        <v>0</v>
      </c>
    </row>
    <row r="269" spans="1:20">
      <c r="A269" s="101"/>
      <c r="B269" s="101"/>
      <c r="C269" s="101"/>
      <c r="D269" s="101"/>
      <c r="E269" s="101"/>
      <c r="F269" s="102"/>
      <c r="G269" s="101"/>
      <c r="H269" s="102"/>
      <c r="I269" s="101"/>
      <c r="J269" s="101"/>
      <c r="K269" s="103"/>
      <c r="L269" s="103"/>
      <c r="M269" s="103"/>
      <c r="N269" s="103"/>
      <c r="O269" s="103"/>
      <c r="P269" s="98"/>
      <c r="Q269" s="98"/>
      <c r="R269" s="104">
        <f t="shared" si="17"/>
        <v>0</v>
      </c>
      <c r="S269" s="104">
        <f t="shared" si="16"/>
        <v>0</v>
      </c>
      <c r="T269" s="104">
        <f t="shared" si="18"/>
        <v>0</v>
      </c>
    </row>
    <row r="270" spans="1:20">
      <c r="A270" s="101"/>
      <c r="B270" s="101"/>
      <c r="C270" s="101"/>
      <c r="D270" s="101"/>
      <c r="E270" s="101"/>
      <c r="F270" s="102"/>
      <c r="G270" s="101"/>
      <c r="H270" s="102"/>
      <c r="I270" s="101"/>
      <c r="J270" s="101"/>
      <c r="K270" s="103"/>
      <c r="L270" s="103"/>
      <c r="M270" s="103"/>
      <c r="N270" s="103"/>
      <c r="O270" s="103"/>
      <c r="P270" s="98"/>
      <c r="Q270" s="98"/>
      <c r="R270" s="105">
        <f t="shared" si="17"/>
        <v>0</v>
      </c>
      <c r="S270" s="108">
        <f t="shared" si="16"/>
        <v>0</v>
      </c>
      <c r="T270" s="105">
        <f t="shared" si="18"/>
        <v>0</v>
      </c>
    </row>
    <row r="271" spans="1:20">
      <c r="A271" s="101"/>
      <c r="B271" s="101"/>
      <c r="C271" s="101"/>
      <c r="D271" s="101"/>
      <c r="E271" s="101"/>
      <c r="F271" s="102"/>
      <c r="G271" s="101"/>
      <c r="H271" s="102"/>
      <c r="I271" s="101"/>
      <c r="J271" s="101"/>
      <c r="K271" s="103"/>
      <c r="L271" s="103"/>
      <c r="M271" s="103"/>
      <c r="N271" s="103"/>
      <c r="O271" s="103"/>
      <c r="P271" s="98"/>
      <c r="Q271" s="98"/>
      <c r="R271" s="104">
        <f t="shared" si="17"/>
        <v>0</v>
      </c>
      <c r="S271" s="104">
        <f t="shared" si="16"/>
        <v>0</v>
      </c>
      <c r="T271" s="104">
        <f t="shared" si="18"/>
        <v>0</v>
      </c>
    </row>
    <row r="272" spans="1:20">
      <c r="A272" s="101"/>
      <c r="B272" s="101"/>
      <c r="C272" s="101"/>
      <c r="D272" s="101"/>
      <c r="E272" s="101"/>
      <c r="F272" s="102"/>
      <c r="G272" s="101"/>
      <c r="H272" s="102"/>
      <c r="I272" s="101"/>
      <c r="J272" s="101"/>
      <c r="K272" s="103"/>
      <c r="L272" s="103"/>
      <c r="M272" s="103"/>
      <c r="N272" s="103"/>
      <c r="O272" s="103"/>
      <c r="P272" s="98"/>
      <c r="Q272" s="98"/>
      <c r="R272" s="105">
        <f t="shared" si="17"/>
        <v>0</v>
      </c>
      <c r="S272" s="108">
        <f t="shared" si="16"/>
        <v>0</v>
      </c>
      <c r="T272" s="105">
        <f t="shared" si="18"/>
        <v>0</v>
      </c>
    </row>
    <row r="273" spans="1:20">
      <c r="A273" s="101"/>
      <c r="B273" s="101"/>
      <c r="C273" s="101"/>
      <c r="D273" s="101"/>
      <c r="E273" s="101"/>
      <c r="F273" s="102"/>
      <c r="G273" s="101"/>
      <c r="H273" s="102"/>
      <c r="I273" s="101"/>
      <c r="J273" s="101"/>
      <c r="K273" s="103"/>
      <c r="L273" s="103"/>
      <c r="M273" s="103"/>
      <c r="N273" s="103"/>
      <c r="O273" s="103"/>
      <c r="P273" s="98"/>
      <c r="Q273" s="98"/>
      <c r="R273" s="104">
        <f t="shared" si="17"/>
        <v>0</v>
      </c>
      <c r="S273" s="104">
        <f t="shared" si="16"/>
        <v>0</v>
      </c>
      <c r="T273" s="104">
        <f t="shared" si="18"/>
        <v>0</v>
      </c>
    </row>
    <row r="274" spans="1:20">
      <c r="A274" s="101"/>
      <c r="B274" s="101"/>
      <c r="C274" s="101"/>
      <c r="D274" s="101"/>
      <c r="E274" s="101"/>
      <c r="F274" s="102"/>
      <c r="G274" s="101"/>
      <c r="H274" s="102"/>
      <c r="I274" s="101"/>
      <c r="J274" s="101"/>
      <c r="K274" s="103"/>
      <c r="L274" s="103"/>
      <c r="M274" s="103"/>
      <c r="N274" s="103"/>
      <c r="O274" s="103"/>
      <c r="P274" s="98"/>
      <c r="Q274" s="98"/>
      <c r="R274" s="105">
        <f t="shared" si="17"/>
        <v>0</v>
      </c>
      <c r="S274" s="108">
        <f t="shared" si="16"/>
        <v>0</v>
      </c>
      <c r="T274" s="105">
        <f t="shared" si="18"/>
        <v>0</v>
      </c>
    </row>
    <row r="275" spans="1:20">
      <c r="A275" s="101"/>
      <c r="B275" s="101"/>
      <c r="C275" s="101"/>
      <c r="D275" s="101"/>
      <c r="E275" s="101"/>
      <c r="F275" s="102"/>
      <c r="G275" s="101"/>
      <c r="H275" s="102"/>
      <c r="I275" s="101"/>
      <c r="J275" s="101"/>
      <c r="K275" s="103"/>
      <c r="L275" s="103"/>
      <c r="M275" s="103"/>
      <c r="N275" s="103"/>
      <c r="O275" s="103"/>
      <c r="P275" s="98"/>
      <c r="Q275" s="98"/>
      <c r="R275" s="104">
        <f t="shared" si="17"/>
        <v>0</v>
      </c>
      <c r="S275" s="104">
        <f t="shared" si="16"/>
        <v>0</v>
      </c>
      <c r="T275" s="104">
        <f t="shared" si="18"/>
        <v>0</v>
      </c>
    </row>
    <row r="276" spans="1:20">
      <c r="A276" s="101"/>
      <c r="B276" s="101"/>
      <c r="C276" s="101"/>
      <c r="D276" s="101"/>
      <c r="E276" s="101"/>
      <c r="F276" s="102"/>
      <c r="G276" s="101"/>
      <c r="H276" s="102"/>
      <c r="I276" s="101"/>
      <c r="J276" s="101"/>
      <c r="K276" s="103"/>
      <c r="L276" s="103"/>
      <c r="M276" s="103"/>
      <c r="N276" s="103"/>
      <c r="O276" s="103"/>
      <c r="P276" s="98"/>
      <c r="Q276" s="98"/>
      <c r="R276" s="105">
        <f t="shared" si="17"/>
        <v>0</v>
      </c>
      <c r="S276" s="108">
        <f t="shared" si="16"/>
        <v>0</v>
      </c>
      <c r="T276" s="105">
        <f t="shared" si="18"/>
        <v>0</v>
      </c>
    </row>
    <row r="277" spans="1:20">
      <c r="A277" s="101"/>
      <c r="B277" s="101"/>
      <c r="C277" s="101"/>
      <c r="D277" s="101"/>
      <c r="E277" s="101"/>
      <c r="F277" s="102"/>
      <c r="G277" s="101"/>
      <c r="H277" s="102"/>
      <c r="I277" s="101"/>
      <c r="J277" s="101"/>
      <c r="K277" s="103"/>
      <c r="L277" s="103"/>
      <c r="M277" s="103"/>
      <c r="N277" s="103"/>
      <c r="O277" s="103"/>
      <c r="P277" s="98"/>
      <c r="Q277" s="98"/>
      <c r="R277" s="104">
        <f t="shared" si="17"/>
        <v>0</v>
      </c>
      <c r="S277" s="104">
        <f t="shared" si="16"/>
        <v>0</v>
      </c>
      <c r="T277" s="104">
        <f t="shared" si="18"/>
        <v>0</v>
      </c>
    </row>
    <row r="278" spans="1:20">
      <c r="A278" s="101"/>
      <c r="B278" s="101"/>
      <c r="C278" s="101"/>
      <c r="D278" s="101"/>
      <c r="E278" s="101"/>
      <c r="F278" s="102"/>
      <c r="G278" s="101"/>
      <c r="H278" s="102"/>
      <c r="I278" s="101"/>
      <c r="J278" s="101"/>
      <c r="K278" s="103"/>
      <c r="L278" s="103"/>
      <c r="M278" s="103"/>
      <c r="N278" s="103"/>
      <c r="O278" s="103"/>
      <c r="P278" s="98"/>
      <c r="Q278" s="98"/>
      <c r="R278" s="105">
        <f t="shared" si="17"/>
        <v>0</v>
      </c>
      <c r="S278" s="108">
        <f t="shared" si="16"/>
        <v>0</v>
      </c>
      <c r="T278" s="105">
        <f t="shared" si="18"/>
        <v>0</v>
      </c>
    </row>
    <row r="279" spans="1:20">
      <c r="A279" s="101"/>
      <c r="B279" s="101"/>
      <c r="C279" s="101"/>
      <c r="D279" s="101"/>
      <c r="E279" s="101"/>
      <c r="F279" s="102"/>
      <c r="G279" s="101"/>
      <c r="H279" s="102"/>
      <c r="I279" s="101"/>
      <c r="J279" s="101"/>
      <c r="K279" s="103"/>
      <c r="L279" s="103"/>
      <c r="M279" s="103"/>
      <c r="N279" s="103"/>
      <c r="O279" s="103"/>
      <c r="P279" s="98"/>
      <c r="Q279" s="98"/>
      <c r="R279" s="104">
        <f t="shared" si="17"/>
        <v>0</v>
      </c>
      <c r="S279" s="104">
        <f t="shared" si="16"/>
        <v>0</v>
      </c>
      <c r="T279" s="104">
        <f t="shared" si="18"/>
        <v>0</v>
      </c>
    </row>
    <row r="280" spans="1:20">
      <c r="A280" s="101"/>
      <c r="B280" s="101"/>
      <c r="C280" s="101"/>
      <c r="D280" s="101"/>
      <c r="E280" s="101"/>
      <c r="F280" s="102"/>
      <c r="G280" s="101"/>
      <c r="H280" s="102"/>
      <c r="I280" s="101"/>
      <c r="J280" s="101"/>
      <c r="K280" s="103"/>
      <c r="L280" s="103"/>
      <c r="M280" s="103"/>
      <c r="N280" s="103"/>
      <c r="O280" s="103"/>
      <c r="P280" s="98"/>
      <c r="Q280" s="98"/>
      <c r="R280" s="105">
        <f t="shared" si="17"/>
        <v>0</v>
      </c>
      <c r="S280" s="108">
        <f t="shared" si="16"/>
        <v>0</v>
      </c>
      <c r="T280" s="105">
        <f t="shared" si="18"/>
        <v>0</v>
      </c>
    </row>
    <row r="281" spans="1:20">
      <c r="A281" s="101"/>
      <c r="B281" s="101"/>
      <c r="C281" s="101"/>
      <c r="D281" s="101"/>
      <c r="E281" s="101"/>
      <c r="F281" s="102"/>
      <c r="G281" s="101"/>
      <c r="H281" s="102"/>
      <c r="I281" s="101"/>
      <c r="J281" s="101"/>
      <c r="K281" s="103"/>
      <c r="L281" s="103"/>
      <c r="M281" s="103"/>
      <c r="N281" s="103"/>
      <c r="O281" s="103"/>
      <c r="P281" s="98"/>
      <c r="Q281" s="98"/>
      <c r="R281" s="104">
        <f t="shared" si="17"/>
        <v>0</v>
      </c>
      <c r="S281" s="104">
        <f t="shared" si="16"/>
        <v>0</v>
      </c>
      <c r="T281" s="104">
        <f t="shared" si="18"/>
        <v>0</v>
      </c>
    </row>
    <row r="282" spans="1:20">
      <c r="A282" s="101"/>
      <c r="B282" s="101"/>
      <c r="C282" s="101"/>
      <c r="D282" s="101"/>
      <c r="E282" s="101"/>
      <c r="F282" s="102"/>
      <c r="G282" s="101"/>
      <c r="H282" s="102"/>
      <c r="I282" s="101"/>
      <c r="J282" s="101"/>
      <c r="K282" s="103"/>
      <c r="L282" s="103"/>
      <c r="M282" s="103"/>
      <c r="N282" s="103"/>
      <c r="O282" s="103"/>
      <c r="P282" s="98"/>
      <c r="Q282" s="98"/>
      <c r="R282" s="105">
        <f t="shared" si="17"/>
        <v>0</v>
      </c>
      <c r="S282" s="108">
        <f t="shared" si="16"/>
        <v>0</v>
      </c>
      <c r="T282" s="105">
        <f t="shared" si="18"/>
        <v>0</v>
      </c>
    </row>
    <row r="283" spans="1:20">
      <c r="A283" s="101"/>
      <c r="B283" s="101"/>
      <c r="C283" s="101"/>
      <c r="D283" s="101"/>
      <c r="E283" s="101"/>
      <c r="F283" s="102"/>
      <c r="G283" s="101"/>
      <c r="H283" s="102"/>
      <c r="I283" s="101"/>
      <c r="J283" s="101"/>
      <c r="K283" s="103"/>
      <c r="L283" s="103"/>
      <c r="M283" s="103"/>
      <c r="N283" s="103"/>
      <c r="O283" s="103"/>
      <c r="P283" s="98"/>
      <c r="Q283" s="98"/>
      <c r="R283" s="104">
        <f t="shared" si="17"/>
        <v>0</v>
      </c>
      <c r="S283" s="104">
        <f t="shared" si="16"/>
        <v>0</v>
      </c>
      <c r="T283" s="104">
        <f t="shared" si="18"/>
        <v>0</v>
      </c>
    </row>
    <row r="284" spans="1:20">
      <c r="A284" s="101"/>
      <c r="B284" s="101"/>
      <c r="C284" s="101"/>
      <c r="D284" s="101"/>
      <c r="E284" s="101"/>
      <c r="F284" s="102"/>
      <c r="G284" s="101"/>
      <c r="H284" s="102"/>
      <c r="I284" s="101"/>
      <c r="J284" s="101"/>
      <c r="K284" s="103"/>
      <c r="L284" s="103"/>
      <c r="M284" s="103"/>
      <c r="N284" s="103"/>
      <c r="O284" s="103"/>
      <c r="P284" s="98"/>
      <c r="Q284" s="98"/>
      <c r="R284" s="105">
        <f t="shared" si="17"/>
        <v>0</v>
      </c>
      <c r="S284" s="108">
        <f t="shared" si="16"/>
        <v>0</v>
      </c>
      <c r="T284" s="105">
        <f t="shared" si="18"/>
        <v>0</v>
      </c>
    </row>
    <row r="285" spans="1:20">
      <c r="A285" s="101"/>
      <c r="B285" s="101"/>
      <c r="C285" s="101"/>
      <c r="D285" s="101"/>
      <c r="E285" s="101"/>
      <c r="F285" s="102"/>
      <c r="G285" s="101"/>
      <c r="H285" s="102"/>
      <c r="I285" s="101"/>
      <c r="J285" s="101"/>
      <c r="K285" s="103"/>
      <c r="L285" s="103"/>
      <c r="M285" s="103"/>
      <c r="N285" s="103"/>
      <c r="O285" s="103"/>
      <c r="P285" s="98"/>
      <c r="Q285" s="98"/>
      <c r="R285" s="104">
        <f t="shared" si="17"/>
        <v>0</v>
      </c>
      <c r="S285" s="104">
        <f t="shared" si="16"/>
        <v>0</v>
      </c>
      <c r="T285" s="104">
        <f t="shared" si="18"/>
        <v>0</v>
      </c>
    </row>
    <row r="286" spans="1:20">
      <c r="A286" s="101"/>
      <c r="B286" s="101"/>
      <c r="C286" s="101"/>
      <c r="D286" s="101"/>
      <c r="E286" s="101"/>
      <c r="F286" s="102"/>
      <c r="G286" s="101"/>
      <c r="H286" s="102"/>
      <c r="I286" s="101"/>
      <c r="J286" s="101"/>
      <c r="K286" s="103"/>
      <c r="L286" s="103"/>
      <c r="M286" s="103"/>
      <c r="N286" s="103"/>
      <c r="O286" s="103"/>
      <c r="P286" s="98"/>
      <c r="Q286" s="98"/>
      <c r="R286" s="105">
        <f t="shared" si="17"/>
        <v>0</v>
      </c>
      <c r="S286" s="108">
        <f t="shared" si="16"/>
        <v>0</v>
      </c>
      <c r="T286" s="105">
        <f t="shared" si="18"/>
        <v>0</v>
      </c>
    </row>
    <row r="287" spans="1:20">
      <c r="A287" s="101"/>
      <c r="B287" s="101"/>
      <c r="C287" s="101"/>
      <c r="D287" s="101"/>
      <c r="E287" s="101"/>
      <c r="F287" s="102"/>
      <c r="G287" s="101"/>
      <c r="H287" s="102"/>
      <c r="I287" s="101"/>
      <c r="J287" s="101"/>
      <c r="K287" s="103"/>
      <c r="L287" s="103"/>
      <c r="M287" s="103"/>
      <c r="N287" s="103"/>
      <c r="O287" s="103"/>
      <c r="P287" s="98"/>
      <c r="Q287" s="98"/>
      <c r="R287" s="104">
        <f t="shared" si="17"/>
        <v>0</v>
      </c>
      <c r="S287" s="104">
        <f t="shared" si="16"/>
        <v>0</v>
      </c>
      <c r="T287" s="104">
        <f t="shared" si="18"/>
        <v>0</v>
      </c>
    </row>
    <row r="288" spans="1:20">
      <c r="A288" s="101"/>
      <c r="B288" s="101"/>
      <c r="C288" s="101"/>
      <c r="D288" s="101"/>
      <c r="E288" s="101"/>
      <c r="F288" s="102"/>
      <c r="G288" s="101"/>
      <c r="H288" s="102"/>
      <c r="I288" s="101"/>
      <c r="J288" s="101"/>
      <c r="K288" s="103"/>
      <c r="L288" s="103"/>
      <c r="M288" s="103"/>
      <c r="N288" s="103"/>
      <c r="O288" s="103"/>
      <c r="P288" s="98"/>
      <c r="Q288" s="98"/>
      <c r="R288" s="105">
        <f t="shared" si="17"/>
        <v>0</v>
      </c>
      <c r="S288" s="108">
        <f t="shared" si="16"/>
        <v>0</v>
      </c>
      <c r="T288" s="105">
        <f t="shared" si="18"/>
        <v>0</v>
      </c>
    </row>
    <row r="289" spans="1:20">
      <c r="A289" s="101"/>
      <c r="B289" s="101"/>
      <c r="C289" s="101"/>
      <c r="D289" s="101"/>
      <c r="E289" s="101"/>
      <c r="F289" s="102"/>
      <c r="G289" s="101"/>
      <c r="H289" s="102"/>
      <c r="I289" s="101"/>
      <c r="J289" s="101"/>
      <c r="K289" s="103"/>
      <c r="L289" s="103"/>
      <c r="M289" s="103"/>
      <c r="N289" s="103"/>
      <c r="O289" s="103"/>
      <c r="P289" s="98"/>
      <c r="Q289" s="98"/>
      <c r="R289" s="104">
        <f t="shared" si="17"/>
        <v>0</v>
      </c>
      <c r="S289" s="104">
        <f t="shared" si="16"/>
        <v>0</v>
      </c>
      <c r="T289" s="104">
        <f t="shared" si="18"/>
        <v>0</v>
      </c>
    </row>
    <row r="290" spans="1:20">
      <c r="A290" s="101"/>
      <c r="B290" s="101"/>
      <c r="C290" s="101"/>
      <c r="D290" s="101"/>
      <c r="E290" s="101"/>
      <c r="F290" s="102"/>
      <c r="G290" s="101"/>
      <c r="H290" s="102"/>
      <c r="I290" s="101"/>
      <c r="J290" s="101"/>
      <c r="K290" s="103"/>
      <c r="L290" s="103"/>
      <c r="M290" s="103"/>
      <c r="N290" s="103"/>
      <c r="O290" s="103"/>
      <c r="P290" s="98"/>
      <c r="Q290" s="98"/>
      <c r="R290" s="105">
        <f t="shared" si="17"/>
        <v>0</v>
      </c>
      <c r="S290" s="108">
        <f t="shared" si="16"/>
        <v>0</v>
      </c>
      <c r="T290" s="105">
        <f t="shared" si="18"/>
        <v>0</v>
      </c>
    </row>
    <row r="291" spans="1:20">
      <c r="A291" s="101"/>
      <c r="B291" s="101"/>
      <c r="C291" s="101"/>
      <c r="D291" s="101"/>
      <c r="E291" s="101"/>
      <c r="F291" s="102"/>
      <c r="G291" s="101"/>
      <c r="H291" s="102"/>
      <c r="I291" s="101"/>
      <c r="J291" s="101"/>
      <c r="K291" s="103"/>
      <c r="L291" s="103"/>
      <c r="M291" s="103"/>
      <c r="N291" s="103"/>
      <c r="O291" s="103"/>
      <c r="P291" s="98"/>
      <c r="Q291" s="98"/>
      <c r="R291" s="104">
        <f t="shared" si="17"/>
        <v>0</v>
      </c>
      <c r="S291" s="104">
        <f t="shared" si="16"/>
        <v>0</v>
      </c>
      <c r="T291" s="104">
        <f t="shared" si="18"/>
        <v>0</v>
      </c>
    </row>
    <row r="292" spans="1:20">
      <c r="A292" s="101"/>
      <c r="B292" s="101"/>
      <c r="C292" s="101"/>
      <c r="D292" s="101"/>
      <c r="E292" s="101"/>
      <c r="F292" s="102"/>
      <c r="G292" s="101"/>
      <c r="H292" s="102"/>
      <c r="I292" s="101"/>
      <c r="J292" s="101"/>
      <c r="K292" s="103"/>
      <c r="L292" s="103"/>
      <c r="M292" s="103"/>
      <c r="N292" s="103"/>
      <c r="O292" s="103"/>
      <c r="P292" s="98"/>
      <c r="Q292" s="98"/>
      <c r="R292" s="105">
        <f t="shared" si="17"/>
        <v>0</v>
      </c>
      <c r="S292" s="108">
        <f t="shared" si="16"/>
        <v>0</v>
      </c>
      <c r="T292" s="105">
        <f t="shared" si="18"/>
        <v>0</v>
      </c>
    </row>
    <row r="293" spans="1:20">
      <c r="A293" s="101"/>
      <c r="B293" s="101"/>
      <c r="C293" s="101"/>
      <c r="D293" s="101"/>
      <c r="E293" s="101"/>
      <c r="F293" s="102"/>
      <c r="G293" s="101"/>
      <c r="H293" s="102"/>
      <c r="I293" s="101"/>
      <c r="J293" s="101"/>
      <c r="K293" s="103"/>
      <c r="L293" s="103"/>
      <c r="M293" s="103"/>
      <c r="N293" s="103"/>
      <c r="O293" s="103"/>
      <c r="P293" s="98"/>
      <c r="Q293" s="98"/>
      <c r="R293" s="104">
        <f t="shared" si="17"/>
        <v>0</v>
      </c>
      <c r="S293" s="104">
        <f t="shared" si="16"/>
        <v>0</v>
      </c>
      <c r="T293" s="104">
        <f t="shared" si="18"/>
        <v>0</v>
      </c>
    </row>
    <row r="294" spans="1:20">
      <c r="A294" s="101"/>
      <c r="B294" s="101"/>
      <c r="C294" s="101"/>
      <c r="D294" s="101"/>
      <c r="E294" s="101"/>
      <c r="F294" s="102"/>
      <c r="G294" s="101"/>
      <c r="H294" s="102"/>
      <c r="I294" s="101"/>
      <c r="J294" s="101"/>
      <c r="K294" s="103"/>
      <c r="L294" s="103"/>
      <c r="M294" s="103"/>
      <c r="N294" s="103"/>
      <c r="O294" s="103"/>
      <c r="P294" s="98"/>
      <c r="Q294" s="98"/>
      <c r="R294" s="105">
        <f t="shared" si="17"/>
        <v>0</v>
      </c>
      <c r="S294" s="108">
        <f t="shared" si="16"/>
        <v>0</v>
      </c>
      <c r="T294" s="105">
        <f t="shared" si="18"/>
        <v>0</v>
      </c>
    </row>
    <row r="295" spans="1:20">
      <c r="A295" s="101"/>
      <c r="B295" s="101"/>
      <c r="C295" s="101"/>
      <c r="D295" s="101"/>
      <c r="E295" s="101"/>
      <c r="F295" s="102"/>
      <c r="G295" s="101"/>
      <c r="H295" s="102"/>
      <c r="I295" s="101"/>
      <c r="J295" s="101"/>
      <c r="K295" s="103"/>
      <c r="L295" s="103"/>
      <c r="M295" s="103"/>
      <c r="N295" s="103"/>
      <c r="O295" s="103"/>
      <c r="P295" s="98"/>
      <c r="Q295" s="98"/>
      <c r="R295" s="104">
        <f t="shared" si="17"/>
        <v>0</v>
      </c>
      <c r="S295" s="104">
        <f t="shared" si="16"/>
        <v>0</v>
      </c>
      <c r="T295" s="104">
        <f t="shared" si="18"/>
        <v>0</v>
      </c>
    </row>
    <row r="296" spans="1:20">
      <c r="A296" s="101"/>
      <c r="B296" s="101"/>
      <c r="C296" s="101"/>
      <c r="D296" s="101"/>
      <c r="E296" s="101"/>
      <c r="F296" s="102"/>
      <c r="G296" s="101"/>
      <c r="H296" s="102"/>
      <c r="I296" s="101"/>
      <c r="J296" s="101"/>
      <c r="K296" s="103"/>
      <c r="L296" s="103"/>
      <c r="M296" s="103"/>
      <c r="N296" s="103"/>
      <c r="O296" s="103"/>
      <c r="P296" s="98"/>
      <c r="Q296" s="98"/>
      <c r="R296" s="105">
        <f t="shared" si="17"/>
        <v>0</v>
      </c>
      <c r="S296" s="108">
        <f t="shared" si="16"/>
        <v>0</v>
      </c>
      <c r="T296" s="105">
        <f t="shared" si="18"/>
        <v>0</v>
      </c>
    </row>
    <row r="297" spans="1:20">
      <c r="A297" s="101"/>
      <c r="B297" s="101"/>
      <c r="C297" s="101"/>
      <c r="D297" s="101"/>
      <c r="E297" s="101"/>
      <c r="F297" s="102"/>
      <c r="G297" s="101"/>
      <c r="H297" s="102"/>
      <c r="I297" s="101"/>
      <c r="J297" s="101"/>
      <c r="K297" s="103"/>
      <c r="L297" s="103"/>
      <c r="M297" s="103"/>
      <c r="N297" s="103"/>
      <c r="O297" s="103"/>
      <c r="P297" s="98"/>
      <c r="Q297" s="98"/>
      <c r="R297" s="104">
        <f t="shared" si="17"/>
        <v>0</v>
      </c>
      <c r="S297" s="104">
        <f t="shared" si="16"/>
        <v>0</v>
      </c>
      <c r="T297" s="104">
        <f t="shared" si="18"/>
        <v>0</v>
      </c>
    </row>
    <row r="298" spans="1:20">
      <c r="A298" s="101"/>
      <c r="B298" s="101"/>
      <c r="C298" s="101"/>
      <c r="D298" s="101"/>
      <c r="E298" s="101"/>
      <c r="F298" s="102"/>
      <c r="G298" s="101"/>
      <c r="H298" s="102"/>
      <c r="I298" s="101"/>
      <c r="J298" s="101"/>
      <c r="K298" s="103"/>
      <c r="L298" s="103"/>
      <c r="M298" s="103"/>
      <c r="N298" s="103"/>
      <c r="O298" s="103"/>
      <c r="P298" s="98"/>
      <c r="Q298" s="98"/>
      <c r="R298" s="105">
        <f t="shared" si="17"/>
        <v>0</v>
      </c>
      <c r="S298" s="108">
        <f t="shared" si="16"/>
        <v>0</v>
      </c>
      <c r="T298" s="105">
        <f t="shared" si="18"/>
        <v>0</v>
      </c>
    </row>
    <row r="299" spans="1:20">
      <c r="A299" s="101"/>
      <c r="B299" s="101"/>
      <c r="C299" s="101"/>
      <c r="D299" s="101"/>
      <c r="E299" s="101"/>
      <c r="F299" s="102"/>
      <c r="G299" s="101"/>
      <c r="H299" s="102"/>
      <c r="I299" s="101"/>
      <c r="J299" s="101"/>
      <c r="K299" s="103"/>
      <c r="L299" s="103"/>
      <c r="M299" s="103"/>
      <c r="N299" s="103"/>
      <c r="O299" s="103"/>
      <c r="P299" s="98"/>
      <c r="Q299" s="98"/>
      <c r="R299" s="104">
        <f t="shared" si="17"/>
        <v>0</v>
      </c>
      <c r="S299" s="104">
        <f t="shared" si="16"/>
        <v>0</v>
      </c>
      <c r="T299" s="104">
        <f t="shared" si="18"/>
        <v>0</v>
      </c>
    </row>
    <row r="300" spans="1:20">
      <c r="A300" s="101"/>
      <c r="B300" s="101"/>
      <c r="C300" s="101"/>
      <c r="D300" s="101"/>
      <c r="E300" s="101"/>
      <c r="F300" s="102"/>
      <c r="G300" s="101"/>
      <c r="H300" s="102"/>
      <c r="I300" s="101"/>
      <c r="J300" s="101"/>
      <c r="K300" s="103"/>
      <c r="L300" s="103"/>
      <c r="M300" s="103"/>
      <c r="N300" s="103"/>
      <c r="O300" s="103"/>
      <c r="P300" s="98"/>
      <c r="Q300" s="98"/>
      <c r="R300" s="105">
        <f t="shared" si="17"/>
        <v>0</v>
      </c>
      <c r="S300" s="108">
        <f t="shared" si="16"/>
        <v>0</v>
      </c>
      <c r="T300" s="105">
        <f t="shared" si="18"/>
        <v>0</v>
      </c>
    </row>
    <row r="301" spans="1:20">
      <c r="A301" s="101"/>
      <c r="B301" s="101"/>
      <c r="C301" s="101"/>
      <c r="D301" s="101"/>
      <c r="E301" s="101"/>
      <c r="F301" s="102"/>
      <c r="G301" s="101"/>
      <c r="H301" s="102"/>
      <c r="I301" s="101"/>
      <c r="J301" s="101"/>
      <c r="K301" s="103"/>
      <c r="L301" s="103"/>
      <c r="M301" s="103"/>
      <c r="N301" s="103"/>
      <c r="O301" s="103"/>
      <c r="P301" s="98"/>
      <c r="Q301" s="98"/>
      <c r="R301" s="104">
        <f t="shared" si="17"/>
        <v>0</v>
      </c>
      <c r="S301" s="104">
        <f t="shared" si="16"/>
        <v>0</v>
      </c>
      <c r="T301" s="104">
        <f t="shared" si="18"/>
        <v>0</v>
      </c>
    </row>
    <row r="302" spans="1:20">
      <c r="A302" s="101"/>
      <c r="B302" s="101"/>
      <c r="C302" s="101"/>
      <c r="D302" s="101"/>
      <c r="E302" s="101"/>
      <c r="F302" s="102"/>
      <c r="G302" s="101"/>
      <c r="H302" s="102"/>
      <c r="I302" s="101"/>
      <c r="J302" s="101"/>
      <c r="K302" s="103"/>
      <c r="L302" s="103"/>
      <c r="M302" s="103"/>
      <c r="N302" s="103"/>
      <c r="O302" s="103"/>
      <c r="P302" s="98"/>
      <c r="Q302" s="98"/>
      <c r="R302" s="105">
        <f t="shared" si="17"/>
        <v>0</v>
      </c>
      <c r="S302" s="108">
        <f t="shared" si="16"/>
        <v>0</v>
      </c>
      <c r="T302" s="105">
        <f t="shared" si="18"/>
        <v>0</v>
      </c>
    </row>
    <row r="303" spans="1:20">
      <c r="A303" s="101"/>
      <c r="B303" s="101"/>
      <c r="C303" s="101"/>
      <c r="D303" s="101"/>
      <c r="E303" s="101"/>
      <c r="F303" s="102"/>
      <c r="G303" s="101"/>
      <c r="H303" s="102"/>
      <c r="I303" s="101"/>
      <c r="J303" s="101"/>
      <c r="K303" s="103"/>
      <c r="L303" s="103"/>
      <c r="M303" s="103"/>
      <c r="N303" s="103"/>
      <c r="O303" s="103"/>
      <c r="P303" s="98"/>
      <c r="Q303" s="98"/>
      <c r="R303" s="104">
        <f t="shared" si="17"/>
        <v>0</v>
      </c>
      <c r="S303" s="104">
        <f t="shared" si="16"/>
        <v>0</v>
      </c>
      <c r="T303" s="104">
        <f t="shared" si="18"/>
        <v>0</v>
      </c>
    </row>
    <row r="304" spans="1:20">
      <c r="A304" s="101"/>
      <c r="B304" s="101"/>
      <c r="C304" s="101"/>
      <c r="D304" s="101"/>
      <c r="E304" s="101"/>
      <c r="F304" s="102"/>
      <c r="G304" s="101"/>
      <c r="H304" s="102"/>
      <c r="I304" s="101"/>
      <c r="J304" s="101"/>
      <c r="K304" s="103"/>
      <c r="L304" s="103"/>
      <c r="M304" s="103"/>
      <c r="N304" s="103"/>
      <c r="O304" s="103"/>
      <c r="P304" s="98"/>
      <c r="Q304" s="98"/>
      <c r="R304" s="105">
        <f t="shared" si="17"/>
        <v>0</v>
      </c>
      <c r="S304" s="108">
        <f t="shared" si="16"/>
        <v>0</v>
      </c>
      <c r="T304" s="105">
        <f t="shared" si="18"/>
        <v>0</v>
      </c>
    </row>
    <row r="305" spans="1:20">
      <c r="A305" s="101"/>
      <c r="B305" s="101"/>
      <c r="C305" s="101"/>
      <c r="D305" s="101"/>
      <c r="E305" s="101"/>
      <c r="F305" s="102"/>
      <c r="G305" s="101"/>
      <c r="H305" s="102"/>
      <c r="I305" s="101"/>
      <c r="J305" s="101"/>
      <c r="K305" s="103"/>
      <c r="L305" s="103"/>
      <c r="M305" s="103"/>
      <c r="N305" s="103"/>
      <c r="O305" s="103"/>
      <c r="P305" s="98"/>
      <c r="Q305" s="98"/>
      <c r="R305" s="104">
        <f t="shared" si="17"/>
        <v>0</v>
      </c>
      <c r="S305" s="104">
        <f t="shared" si="16"/>
        <v>0</v>
      </c>
      <c r="T305" s="104">
        <f t="shared" si="18"/>
        <v>0</v>
      </c>
    </row>
    <row r="306" spans="1:20">
      <c r="A306" s="101"/>
      <c r="B306" s="101"/>
      <c r="C306" s="101"/>
      <c r="D306" s="101"/>
      <c r="E306" s="101"/>
      <c r="F306" s="102"/>
      <c r="G306" s="101"/>
      <c r="H306" s="102"/>
      <c r="I306" s="101"/>
      <c r="J306" s="101"/>
      <c r="K306" s="103"/>
      <c r="L306" s="103"/>
      <c r="M306" s="103"/>
      <c r="N306" s="103"/>
      <c r="O306" s="103"/>
      <c r="P306" s="98"/>
      <c r="Q306" s="98"/>
      <c r="R306" s="105">
        <f t="shared" si="17"/>
        <v>0</v>
      </c>
      <c r="S306" s="108">
        <f t="shared" si="16"/>
        <v>0</v>
      </c>
      <c r="T306" s="105">
        <f t="shared" si="18"/>
        <v>0</v>
      </c>
    </row>
    <row r="307" spans="1:20">
      <c r="A307" s="101"/>
      <c r="B307" s="101"/>
      <c r="C307" s="101"/>
      <c r="D307" s="101"/>
      <c r="E307" s="101"/>
      <c r="F307" s="102"/>
      <c r="G307" s="101"/>
      <c r="H307" s="102"/>
      <c r="I307" s="101"/>
      <c r="J307" s="101"/>
      <c r="K307" s="103"/>
      <c r="L307" s="103"/>
      <c r="M307" s="103"/>
      <c r="N307" s="103"/>
      <c r="O307" s="103"/>
      <c r="P307" s="98"/>
      <c r="Q307" s="98"/>
      <c r="R307" s="104">
        <f t="shared" si="17"/>
        <v>0</v>
      </c>
      <c r="S307" s="104">
        <f t="shared" si="16"/>
        <v>0</v>
      </c>
      <c r="T307" s="104">
        <f t="shared" si="18"/>
        <v>0</v>
      </c>
    </row>
    <row r="308" spans="1:20">
      <c r="A308" s="101"/>
      <c r="B308" s="101"/>
      <c r="C308" s="101"/>
      <c r="D308" s="101"/>
      <c r="E308" s="101"/>
      <c r="F308" s="102"/>
      <c r="G308" s="101"/>
      <c r="H308" s="102"/>
      <c r="I308" s="101"/>
      <c r="J308" s="101"/>
      <c r="K308" s="103"/>
      <c r="L308" s="103"/>
      <c r="M308" s="103"/>
      <c r="N308" s="103"/>
      <c r="O308" s="103"/>
      <c r="P308" s="98"/>
      <c r="Q308" s="98"/>
      <c r="R308" s="105">
        <f t="shared" si="17"/>
        <v>0</v>
      </c>
      <c r="S308" s="108">
        <f t="shared" si="16"/>
        <v>0</v>
      </c>
      <c r="T308" s="105">
        <f t="shared" si="18"/>
        <v>0</v>
      </c>
    </row>
    <row r="309" spans="1:20">
      <c r="A309" s="101"/>
      <c r="B309" s="101"/>
      <c r="C309" s="101"/>
      <c r="D309" s="101"/>
      <c r="E309" s="101"/>
      <c r="F309" s="102"/>
      <c r="G309" s="101"/>
      <c r="H309" s="102"/>
      <c r="I309" s="101"/>
      <c r="J309" s="101"/>
      <c r="K309" s="103"/>
      <c r="L309" s="103"/>
      <c r="M309" s="103"/>
      <c r="N309" s="103"/>
      <c r="O309" s="103"/>
      <c r="P309" s="98"/>
      <c r="Q309" s="98"/>
      <c r="R309" s="104">
        <f t="shared" si="17"/>
        <v>0</v>
      </c>
      <c r="S309" s="104">
        <f t="shared" si="16"/>
        <v>0</v>
      </c>
      <c r="T309" s="104">
        <f t="shared" si="18"/>
        <v>0</v>
      </c>
    </row>
    <row r="310" spans="1:20">
      <c r="A310" s="101"/>
      <c r="B310" s="101"/>
      <c r="C310" s="101"/>
      <c r="D310" s="101"/>
      <c r="E310" s="101"/>
      <c r="F310" s="102"/>
      <c r="G310" s="101"/>
      <c r="H310" s="102"/>
      <c r="I310" s="101"/>
      <c r="J310" s="101"/>
      <c r="K310" s="103"/>
      <c r="L310" s="103"/>
      <c r="M310" s="103"/>
      <c r="N310" s="103"/>
      <c r="O310" s="103"/>
      <c r="P310" s="98"/>
      <c r="Q310" s="98"/>
      <c r="R310" s="105">
        <f t="shared" si="17"/>
        <v>0</v>
      </c>
      <c r="S310" s="108">
        <f t="shared" si="16"/>
        <v>0</v>
      </c>
      <c r="T310" s="105">
        <f t="shared" si="18"/>
        <v>0</v>
      </c>
    </row>
    <row r="311" spans="1:20">
      <c r="A311" s="101"/>
      <c r="B311" s="101"/>
      <c r="C311" s="101"/>
      <c r="D311" s="101"/>
      <c r="E311" s="101"/>
      <c r="F311" s="102"/>
      <c r="G311" s="101"/>
      <c r="H311" s="102"/>
      <c r="I311" s="101"/>
      <c r="J311" s="101"/>
      <c r="K311" s="103"/>
      <c r="L311" s="103"/>
      <c r="M311" s="103"/>
      <c r="N311" s="103"/>
      <c r="O311" s="103"/>
      <c r="P311" s="98"/>
      <c r="Q311" s="98"/>
      <c r="R311" s="104">
        <f t="shared" si="17"/>
        <v>0</v>
      </c>
      <c r="S311" s="104">
        <f t="shared" si="16"/>
        <v>0</v>
      </c>
      <c r="T311" s="104">
        <f t="shared" si="18"/>
        <v>0</v>
      </c>
    </row>
    <row r="312" spans="1:20">
      <c r="A312" s="101"/>
      <c r="B312" s="101"/>
      <c r="C312" s="101"/>
      <c r="D312" s="101"/>
      <c r="E312" s="101"/>
      <c r="F312" s="102"/>
      <c r="G312" s="101"/>
      <c r="H312" s="102"/>
      <c r="I312" s="101"/>
      <c r="J312" s="101"/>
      <c r="K312" s="103"/>
      <c r="L312" s="103"/>
      <c r="M312" s="103"/>
      <c r="N312" s="103"/>
      <c r="O312" s="103"/>
      <c r="P312" s="98"/>
      <c r="Q312" s="98"/>
      <c r="R312" s="105">
        <f t="shared" si="17"/>
        <v>0</v>
      </c>
      <c r="S312" s="108">
        <f t="shared" si="16"/>
        <v>0</v>
      </c>
      <c r="T312" s="105">
        <f t="shared" si="18"/>
        <v>0</v>
      </c>
    </row>
    <row r="313" spans="1:20">
      <c r="A313" s="101"/>
      <c r="B313" s="101"/>
      <c r="C313" s="101"/>
      <c r="D313" s="101"/>
      <c r="E313" s="101"/>
      <c r="F313" s="102"/>
      <c r="G313" s="101"/>
      <c r="H313" s="102"/>
      <c r="I313" s="101"/>
      <c r="J313" s="101"/>
      <c r="K313" s="103"/>
      <c r="L313" s="103"/>
      <c r="M313" s="103"/>
      <c r="N313" s="103"/>
      <c r="O313" s="103"/>
      <c r="P313" s="98"/>
      <c r="Q313" s="98"/>
      <c r="R313" s="104">
        <f t="shared" si="17"/>
        <v>0</v>
      </c>
      <c r="S313" s="104">
        <f t="shared" si="16"/>
        <v>0</v>
      </c>
      <c r="T313" s="104">
        <f t="shared" si="18"/>
        <v>0</v>
      </c>
    </row>
    <row r="314" spans="1:20">
      <c r="A314" s="101"/>
      <c r="B314" s="101"/>
      <c r="C314" s="101"/>
      <c r="D314" s="101"/>
      <c r="E314" s="101"/>
      <c r="F314" s="102"/>
      <c r="G314" s="101"/>
      <c r="H314" s="102"/>
      <c r="I314" s="101"/>
      <c r="J314" s="101"/>
      <c r="K314" s="103"/>
      <c r="L314" s="103"/>
      <c r="M314" s="103"/>
      <c r="N314" s="103"/>
      <c r="O314" s="103"/>
      <c r="P314" s="98"/>
      <c r="Q314" s="98"/>
      <c r="R314" s="105">
        <f t="shared" si="17"/>
        <v>0</v>
      </c>
      <c r="S314" s="108">
        <f t="shared" si="16"/>
        <v>0</v>
      </c>
      <c r="T314" s="105">
        <f t="shared" si="18"/>
        <v>0</v>
      </c>
    </row>
    <row r="315" spans="1:20">
      <c r="A315" s="101"/>
      <c r="B315" s="101"/>
      <c r="C315" s="101"/>
      <c r="D315" s="101"/>
      <c r="E315" s="101"/>
      <c r="F315" s="102"/>
      <c r="G315" s="101"/>
      <c r="H315" s="102"/>
      <c r="I315" s="101"/>
      <c r="J315" s="101"/>
      <c r="K315" s="103"/>
      <c r="L315" s="103"/>
      <c r="M315" s="103"/>
      <c r="N315" s="103"/>
      <c r="O315" s="103"/>
      <c r="P315" s="98"/>
      <c r="Q315" s="99"/>
      <c r="R315" s="104">
        <f t="shared" si="17"/>
        <v>0</v>
      </c>
      <c r="S315" s="104">
        <f t="shared" si="16"/>
        <v>0</v>
      </c>
      <c r="T315" s="104">
        <f t="shared" si="18"/>
        <v>0</v>
      </c>
    </row>
    <row r="316" spans="1:20">
      <c r="A316" s="101"/>
      <c r="B316" s="101"/>
      <c r="C316" s="101"/>
      <c r="D316" s="101"/>
      <c r="E316" s="101"/>
      <c r="F316" s="102"/>
      <c r="G316" s="101"/>
      <c r="H316" s="102"/>
      <c r="I316" s="101"/>
      <c r="J316" s="101"/>
      <c r="K316" s="103"/>
      <c r="L316" s="103"/>
      <c r="M316" s="103"/>
      <c r="N316" s="103"/>
      <c r="O316" s="103"/>
      <c r="P316" s="98"/>
      <c r="Q316" s="99"/>
      <c r="R316" s="105">
        <f t="shared" si="17"/>
        <v>0</v>
      </c>
      <c r="S316" s="108">
        <f t="shared" si="16"/>
        <v>0</v>
      </c>
      <c r="T316" s="105">
        <f t="shared" si="18"/>
        <v>0</v>
      </c>
    </row>
    <row r="317" spans="1:20">
      <c r="A317" s="101"/>
      <c r="B317" s="101"/>
      <c r="C317" s="101"/>
      <c r="D317" s="101"/>
      <c r="E317" s="101"/>
      <c r="F317" s="102"/>
      <c r="G317" s="101"/>
      <c r="H317" s="102"/>
      <c r="I317" s="101"/>
      <c r="J317" s="101"/>
      <c r="K317" s="103"/>
      <c r="L317" s="103"/>
      <c r="M317" s="103"/>
      <c r="N317" s="103"/>
      <c r="O317" s="103"/>
      <c r="P317" s="98"/>
      <c r="Q317" s="99"/>
      <c r="R317" s="104">
        <f t="shared" si="17"/>
        <v>0</v>
      </c>
      <c r="S317" s="104">
        <f t="shared" si="16"/>
        <v>0</v>
      </c>
      <c r="T317" s="104">
        <f t="shared" si="18"/>
        <v>0</v>
      </c>
    </row>
    <row r="318" spans="1:20">
      <c r="A318" s="101"/>
      <c r="B318" s="101"/>
      <c r="C318" s="101"/>
      <c r="D318" s="101"/>
      <c r="E318" s="101"/>
      <c r="F318" s="102"/>
      <c r="G318" s="101"/>
      <c r="H318" s="102"/>
      <c r="I318" s="101"/>
      <c r="J318" s="101"/>
      <c r="K318" s="103"/>
      <c r="L318" s="103"/>
      <c r="M318" s="103"/>
      <c r="N318" s="103"/>
      <c r="O318" s="103"/>
      <c r="P318" s="98"/>
      <c r="Q318" s="99"/>
      <c r="R318" s="105">
        <f t="shared" si="17"/>
        <v>0</v>
      </c>
      <c r="S318" s="108">
        <f t="shared" si="16"/>
        <v>0</v>
      </c>
      <c r="T318" s="105">
        <f t="shared" si="18"/>
        <v>0</v>
      </c>
    </row>
    <row r="319" spans="1:20">
      <c r="A319" s="101"/>
      <c r="B319" s="101"/>
      <c r="C319" s="101"/>
      <c r="D319" s="101"/>
      <c r="E319" s="101"/>
      <c r="F319" s="102"/>
      <c r="G319" s="101"/>
      <c r="H319" s="102"/>
      <c r="I319" s="101"/>
      <c r="J319" s="101"/>
      <c r="K319" s="103"/>
      <c r="L319" s="103"/>
      <c r="M319" s="103"/>
      <c r="N319" s="103"/>
      <c r="O319" s="103"/>
      <c r="P319" s="98"/>
      <c r="Q319" s="99"/>
      <c r="R319" s="104">
        <f t="shared" si="17"/>
        <v>0</v>
      </c>
      <c r="S319" s="104">
        <f t="shared" si="16"/>
        <v>0</v>
      </c>
      <c r="T319" s="104">
        <f t="shared" si="18"/>
        <v>0</v>
      </c>
    </row>
    <row r="320" spans="1:20">
      <c r="A320" s="101"/>
      <c r="B320" s="101"/>
      <c r="C320" s="101"/>
      <c r="D320" s="101"/>
      <c r="E320" s="101"/>
      <c r="F320" s="102"/>
      <c r="G320" s="101"/>
      <c r="H320" s="102"/>
      <c r="I320" s="101"/>
      <c r="J320" s="101"/>
      <c r="K320" s="103"/>
      <c r="L320" s="103"/>
      <c r="M320" s="103"/>
      <c r="N320" s="103"/>
      <c r="O320" s="103"/>
      <c r="P320" s="98"/>
      <c r="Q320" s="99"/>
      <c r="R320" s="105">
        <f t="shared" si="17"/>
        <v>0</v>
      </c>
      <c r="S320" s="108">
        <f t="shared" si="16"/>
        <v>0</v>
      </c>
      <c r="T320" s="105">
        <f t="shared" si="18"/>
        <v>0</v>
      </c>
    </row>
    <row r="321" spans="1:22">
      <c r="A321" s="101"/>
      <c r="B321" s="101"/>
      <c r="C321" s="101"/>
      <c r="D321" s="101"/>
      <c r="E321" s="101"/>
      <c r="F321" s="102"/>
      <c r="G321" s="101"/>
      <c r="H321" s="102"/>
      <c r="I321" s="101"/>
      <c r="J321" s="101"/>
      <c r="K321" s="103"/>
      <c r="L321" s="103"/>
      <c r="M321" s="103"/>
      <c r="N321" s="103"/>
      <c r="O321" s="103"/>
      <c r="P321" s="98"/>
      <c r="Q321" s="99"/>
      <c r="R321" s="104">
        <f t="shared" si="17"/>
        <v>0</v>
      </c>
      <c r="S321" s="104">
        <f t="shared" si="16"/>
        <v>0</v>
      </c>
      <c r="T321" s="104">
        <f t="shared" si="18"/>
        <v>0</v>
      </c>
    </row>
    <row r="322" spans="1:22">
      <c r="A322" s="101"/>
      <c r="B322" s="101"/>
      <c r="C322" s="101"/>
      <c r="D322" s="101"/>
      <c r="E322" s="101"/>
      <c r="F322" s="102"/>
      <c r="G322" s="101"/>
      <c r="H322" s="102"/>
      <c r="I322" s="101"/>
      <c r="J322" s="101"/>
      <c r="K322" s="103"/>
      <c r="L322" s="103"/>
      <c r="M322" s="103"/>
      <c r="N322" s="103"/>
      <c r="O322" s="103"/>
      <c r="P322" s="98"/>
      <c r="Q322" s="98"/>
      <c r="R322" s="105">
        <f t="shared" si="17"/>
        <v>0</v>
      </c>
      <c r="S322" s="108">
        <f t="shared" si="16"/>
        <v>0</v>
      </c>
      <c r="T322" s="105">
        <f t="shared" si="18"/>
        <v>0</v>
      </c>
      <c r="V322" s="112"/>
    </row>
    <row r="323" spans="1:22">
      <c r="A323" s="101"/>
      <c r="B323" s="101"/>
      <c r="C323" s="101"/>
      <c r="D323" s="101"/>
      <c r="E323" s="101"/>
      <c r="F323" s="102"/>
      <c r="G323" s="101"/>
      <c r="H323" s="102"/>
      <c r="I323" s="101"/>
      <c r="J323" s="101"/>
      <c r="K323" s="103"/>
      <c r="L323" s="103"/>
      <c r="M323" s="103"/>
      <c r="N323" s="103"/>
      <c r="O323" s="103"/>
      <c r="P323" s="98"/>
      <c r="Q323" s="99"/>
      <c r="R323" s="104">
        <f t="shared" si="17"/>
        <v>0</v>
      </c>
      <c r="S323" s="104">
        <f t="shared" si="16"/>
        <v>0</v>
      </c>
      <c r="T323" s="104">
        <f t="shared" si="18"/>
        <v>0</v>
      </c>
      <c r="V323" s="112"/>
    </row>
    <row r="324" spans="1:22">
      <c r="A324" s="101"/>
      <c r="B324" s="101"/>
      <c r="C324" s="101"/>
      <c r="D324" s="101"/>
      <c r="E324" s="101"/>
      <c r="F324" s="102"/>
      <c r="G324" s="101"/>
      <c r="H324" s="102"/>
      <c r="I324" s="101"/>
      <c r="J324" s="101"/>
      <c r="K324" s="103"/>
      <c r="L324" s="103"/>
      <c r="M324" s="103"/>
      <c r="N324" s="103"/>
      <c r="O324" s="103"/>
      <c r="P324" s="98"/>
      <c r="Q324" s="99"/>
      <c r="R324" s="105">
        <f t="shared" si="17"/>
        <v>0</v>
      </c>
      <c r="S324" s="108">
        <f t="shared" ref="S324:S387" si="19">IF(P324="Abono",K324+L324+M324-N324-O324,0)</f>
        <v>0</v>
      </c>
      <c r="T324" s="105">
        <f t="shared" si="18"/>
        <v>0</v>
      </c>
      <c r="U324" s="107"/>
      <c r="V324" s="106"/>
    </row>
    <row r="325" spans="1:22">
      <c r="A325" s="101"/>
      <c r="B325" s="101"/>
      <c r="C325" s="101"/>
      <c r="D325" s="101"/>
      <c r="E325" s="101"/>
      <c r="F325" s="102"/>
      <c r="G325" s="101"/>
      <c r="H325" s="102"/>
      <c r="I325" s="101"/>
      <c r="J325" s="101"/>
      <c r="K325" s="103"/>
      <c r="L325" s="103"/>
      <c r="M325" s="103"/>
      <c r="N325" s="103"/>
      <c r="O325" s="103"/>
      <c r="P325" s="98"/>
      <c r="Q325" s="99"/>
      <c r="R325" s="104">
        <f t="shared" ref="R325:R388" si="20">IF(P325="Cargo",K325+L325-M325-N325+O325,0)</f>
        <v>0</v>
      </c>
      <c r="S325" s="104">
        <f t="shared" si="19"/>
        <v>0</v>
      </c>
      <c r="T325" s="104">
        <f t="shared" ref="T325:T388" si="21">IF(Q325="OK",+T324+R325-S325,T324)</f>
        <v>0</v>
      </c>
    </row>
    <row r="326" spans="1:22">
      <c r="A326" s="101"/>
      <c r="B326" s="101"/>
      <c r="C326" s="101"/>
      <c r="D326" s="101"/>
      <c r="E326" s="101"/>
      <c r="F326" s="102"/>
      <c r="G326" s="101"/>
      <c r="H326" s="102"/>
      <c r="I326" s="101"/>
      <c r="J326" s="101"/>
      <c r="K326" s="103"/>
      <c r="L326" s="103"/>
      <c r="M326" s="103"/>
      <c r="N326" s="103"/>
      <c r="O326" s="103"/>
      <c r="P326" s="98"/>
      <c r="Q326" s="99"/>
      <c r="R326" s="105">
        <f t="shared" si="20"/>
        <v>0</v>
      </c>
      <c r="S326" s="108">
        <f t="shared" si="19"/>
        <v>0</v>
      </c>
      <c r="T326" s="105">
        <f t="shared" si="21"/>
        <v>0</v>
      </c>
    </row>
    <row r="327" spans="1:22">
      <c r="A327" s="101"/>
      <c r="B327" s="101"/>
      <c r="C327" s="101"/>
      <c r="D327" s="101"/>
      <c r="E327" s="101"/>
      <c r="F327" s="102"/>
      <c r="G327" s="101"/>
      <c r="H327" s="102"/>
      <c r="I327" s="101"/>
      <c r="J327" s="101"/>
      <c r="K327" s="103"/>
      <c r="L327" s="103"/>
      <c r="M327" s="103"/>
      <c r="N327" s="103"/>
      <c r="O327" s="103"/>
      <c r="P327" s="98"/>
      <c r="Q327" s="99"/>
      <c r="R327" s="104">
        <f t="shared" si="20"/>
        <v>0</v>
      </c>
      <c r="S327" s="104">
        <f t="shared" si="19"/>
        <v>0</v>
      </c>
      <c r="T327" s="104">
        <f t="shared" si="21"/>
        <v>0</v>
      </c>
    </row>
    <row r="328" spans="1:22">
      <c r="A328" s="101"/>
      <c r="B328" s="101"/>
      <c r="C328" s="101"/>
      <c r="D328" s="101"/>
      <c r="E328" s="101"/>
      <c r="F328" s="102"/>
      <c r="G328" s="101"/>
      <c r="H328" s="102"/>
      <c r="I328" s="101"/>
      <c r="J328" s="101"/>
      <c r="K328" s="103"/>
      <c r="L328" s="103"/>
      <c r="M328" s="103"/>
      <c r="N328" s="103"/>
      <c r="O328" s="103"/>
      <c r="P328" s="98"/>
      <c r="Q328" s="99"/>
      <c r="R328" s="105">
        <f t="shared" si="20"/>
        <v>0</v>
      </c>
      <c r="S328" s="108">
        <f t="shared" si="19"/>
        <v>0</v>
      </c>
      <c r="T328" s="105">
        <f t="shared" si="21"/>
        <v>0</v>
      </c>
    </row>
    <row r="329" spans="1:22">
      <c r="A329" s="101"/>
      <c r="B329" s="101"/>
      <c r="C329" s="101"/>
      <c r="D329" s="101"/>
      <c r="E329" s="101"/>
      <c r="F329" s="102"/>
      <c r="G329" s="101"/>
      <c r="H329" s="102"/>
      <c r="I329" s="101"/>
      <c r="J329" s="101"/>
      <c r="K329" s="103"/>
      <c r="L329" s="103"/>
      <c r="M329" s="103"/>
      <c r="N329" s="103"/>
      <c r="O329" s="103"/>
      <c r="P329" s="98"/>
      <c r="Q329" s="99"/>
      <c r="R329" s="104">
        <f t="shared" si="20"/>
        <v>0</v>
      </c>
      <c r="S329" s="104">
        <f t="shared" si="19"/>
        <v>0</v>
      </c>
      <c r="T329" s="104">
        <f t="shared" si="21"/>
        <v>0</v>
      </c>
    </row>
    <row r="330" spans="1:22">
      <c r="A330" s="101"/>
      <c r="B330" s="101"/>
      <c r="C330" s="101"/>
      <c r="D330" s="101"/>
      <c r="E330" s="101"/>
      <c r="F330" s="102"/>
      <c r="G330" s="101"/>
      <c r="H330" s="102"/>
      <c r="I330" s="101"/>
      <c r="J330" s="101"/>
      <c r="K330" s="103"/>
      <c r="L330" s="103"/>
      <c r="M330" s="103"/>
      <c r="N330" s="103"/>
      <c r="O330" s="103"/>
      <c r="P330" s="98"/>
      <c r="Q330" s="99"/>
      <c r="R330" s="105">
        <f t="shared" si="20"/>
        <v>0</v>
      </c>
      <c r="S330" s="108">
        <f t="shared" si="19"/>
        <v>0</v>
      </c>
      <c r="T330" s="105">
        <f t="shared" si="21"/>
        <v>0</v>
      </c>
    </row>
    <row r="331" spans="1:22">
      <c r="A331" s="101"/>
      <c r="B331" s="101"/>
      <c r="C331" s="101"/>
      <c r="D331" s="101"/>
      <c r="E331" s="101"/>
      <c r="F331" s="102"/>
      <c r="G331" s="101"/>
      <c r="H331" s="102"/>
      <c r="I331" s="101"/>
      <c r="J331" s="101"/>
      <c r="K331" s="103"/>
      <c r="L331" s="103"/>
      <c r="M331" s="103"/>
      <c r="N331" s="103"/>
      <c r="O331" s="103"/>
      <c r="P331" s="98"/>
      <c r="Q331" s="99"/>
      <c r="R331" s="104">
        <f t="shared" si="20"/>
        <v>0</v>
      </c>
      <c r="S331" s="104">
        <f t="shared" si="19"/>
        <v>0</v>
      </c>
      <c r="T331" s="104">
        <f t="shared" si="21"/>
        <v>0</v>
      </c>
    </row>
    <row r="332" spans="1:22">
      <c r="A332" s="101"/>
      <c r="B332" s="101"/>
      <c r="C332" s="101"/>
      <c r="D332" s="101"/>
      <c r="E332" s="101"/>
      <c r="F332" s="102"/>
      <c r="G332" s="101"/>
      <c r="H332" s="102"/>
      <c r="I332" s="101"/>
      <c r="J332" s="101"/>
      <c r="K332" s="103"/>
      <c r="L332" s="103"/>
      <c r="M332" s="103"/>
      <c r="N332" s="103"/>
      <c r="O332" s="103"/>
      <c r="P332" s="98"/>
      <c r="Q332" s="99"/>
      <c r="R332" s="105">
        <f t="shared" si="20"/>
        <v>0</v>
      </c>
      <c r="S332" s="108">
        <f t="shared" si="19"/>
        <v>0</v>
      </c>
      <c r="T332" s="105">
        <f t="shared" si="21"/>
        <v>0</v>
      </c>
    </row>
    <row r="333" spans="1:22">
      <c r="A333" s="101"/>
      <c r="B333" s="101"/>
      <c r="C333" s="101"/>
      <c r="D333" s="101"/>
      <c r="E333" s="101"/>
      <c r="F333" s="102"/>
      <c r="G333" s="101"/>
      <c r="H333" s="102"/>
      <c r="I333" s="101"/>
      <c r="J333" s="101"/>
      <c r="K333" s="103"/>
      <c r="L333" s="103"/>
      <c r="M333" s="103"/>
      <c r="N333" s="103"/>
      <c r="O333" s="103"/>
      <c r="P333" s="98"/>
      <c r="Q333" s="99"/>
      <c r="R333" s="104">
        <f t="shared" si="20"/>
        <v>0</v>
      </c>
      <c r="S333" s="104">
        <f t="shared" si="19"/>
        <v>0</v>
      </c>
      <c r="T333" s="104">
        <f t="shared" si="21"/>
        <v>0</v>
      </c>
    </row>
    <row r="334" spans="1:22">
      <c r="A334" s="101"/>
      <c r="B334" s="101"/>
      <c r="C334" s="101"/>
      <c r="D334" s="101"/>
      <c r="E334" s="101"/>
      <c r="F334" s="102"/>
      <c r="G334" s="101"/>
      <c r="H334" s="102"/>
      <c r="I334" s="101"/>
      <c r="J334" s="101"/>
      <c r="K334" s="103"/>
      <c r="L334" s="103"/>
      <c r="M334" s="103"/>
      <c r="N334" s="103"/>
      <c r="O334" s="103"/>
      <c r="P334" s="98"/>
      <c r="Q334" s="99"/>
      <c r="R334" s="105">
        <f t="shared" si="20"/>
        <v>0</v>
      </c>
      <c r="S334" s="108">
        <f t="shared" si="19"/>
        <v>0</v>
      </c>
      <c r="T334" s="105">
        <f t="shared" si="21"/>
        <v>0</v>
      </c>
    </row>
    <row r="335" spans="1:22">
      <c r="A335" s="101"/>
      <c r="B335" s="101"/>
      <c r="C335" s="101"/>
      <c r="D335" s="101"/>
      <c r="E335" s="101"/>
      <c r="F335" s="102"/>
      <c r="G335" s="101"/>
      <c r="H335" s="102"/>
      <c r="I335" s="101"/>
      <c r="J335" s="101"/>
      <c r="K335" s="103"/>
      <c r="L335" s="103"/>
      <c r="M335" s="103"/>
      <c r="N335" s="103"/>
      <c r="O335" s="103"/>
      <c r="P335" s="98"/>
      <c r="Q335" s="99"/>
      <c r="R335" s="104">
        <f t="shared" si="20"/>
        <v>0</v>
      </c>
      <c r="S335" s="104">
        <f t="shared" si="19"/>
        <v>0</v>
      </c>
      <c r="T335" s="104">
        <f t="shared" si="21"/>
        <v>0</v>
      </c>
    </row>
    <row r="336" spans="1:22">
      <c r="A336" s="101"/>
      <c r="B336" s="101"/>
      <c r="C336" s="101"/>
      <c r="D336" s="101"/>
      <c r="E336" s="101"/>
      <c r="F336" s="102"/>
      <c r="G336" s="101"/>
      <c r="H336" s="102"/>
      <c r="I336" s="101"/>
      <c r="J336" s="101"/>
      <c r="K336" s="103"/>
      <c r="L336" s="103"/>
      <c r="M336" s="103"/>
      <c r="N336" s="103"/>
      <c r="O336" s="103"/>
      <c r="P336" s="98"/>
      <c r="Q336" s="99"/>
      <c r="R336" s="105">
        <f t="shared" si="20"/>
        <v>0</v>
      </c>
      <c r="S336" s="108">
        <f t="shared" si="19"/>
        <v>0</v>
      </c>
      <c r="T336" s="105">
        <f t="shared" si="21"/>
        <v>0</v>
      </c>
    </row>
    <row r="337" spans="1:20">
      <c r="A337" s="101"/>
      <c r="B337" s="101"/>
      <c r="C337" s="101"/>
      <c r="D337" s="101"/>
      <c r="E337" s="101"/>
      <c r="F337" s="102"/>
      <c r="G337" s="101"/>
      <c r="H337" s="102"/>
      <c r="I337" s="101"/>
      <c r="J337" s="101"/>
      <c r="K337" s="103"/>
      <c r="L337" s="103"/>
      <c r="M337" s="103"/>
      <c r="N337" s="103"/>
      <c r="O337" s="103"/>
      <c r="P337" s="98"/>
      <c r="Q337" s="99"/>
      <c r="R337" s="104">
        <f t="shared" si="20"/>
        <v>0</v>
      </c>
      <c r="S337" s="104">
        <f t="shared" si="19"/>
        <v>0</v>
      </c>
      <c r="T337" s="104">
        <f t="shared" si="21"/>
        <v>0</v>
      </c>
    </row>
    <row r="338" spans="1:20">
      <c r="A338" s="101"/>
      <c r="B338" s="101"/>
      <c r="C338" s="101"/>
      <c r="D338" s="101"/>
      <c r="E338" s="101"/>
      <c r="F338" s="102"/>
      <c r="G338" s="101"/>
      <c r="H338" s="102"/>
      <c r="I338" s="101"/>
      <c r="J338" s="101"/>
      <c r="K338" s="103"/>
      <c r="L338" s="103"/>
      <c r="M338" s="103"/>
      <c r="N338" s="103"/>
      <c r="O338" s="103"/>
      <c r="P338" s="98"/>
      <c r="Q338" s="99"/>
      <c r="R338" s="105">
        <f t="shared" si="20"/>
        <v>0</v>
      </c>
      <c r="S338" s="108">
        <f t="shared" si="19"/>
        <v>0</v>
      </c>
      <c r="T338" s="105">
        <f t="shared" si="21"/>
        <v>0</v>
      </c>
    </row>
    <row r="339" spans="1:20">
      <c r="A339" s="101"/>
      <c r="B339" s="101"/>
      <c r="C339" s="101"/>
      <c r="D339" s="101"/>
      <c r="E339" s="101"/>
      <c r="F339" s="102"/>
      <c r="G339" s="101"/>
      <c r="H339" s="102"/>
      <c r="I339" s="101"/>
      <c r="J339" s="101"/>
      <c r="K339" s="103"/>
      <c r="L339" s="103"/>
      <c r="M339" s="103"/>
      <c r="N339" s="103"/>
      <c r="O339" s="103"/>
      <c r="P339" s="98"/>
      <c r="Q339" s="99"/>
      <c r="R339" s="104">
        <f t="shared" si="20"/>
        <v>0</v>
      </c>
      <c r="S339" s="104">
        <f t="shared" si="19"/>
        <v>0</v>
      </c>
      <c r="T339" s="104">
        <f t="shared" si="21"/>
        <v>0</v>
      </c>
    </row>
    <row r="340" spans="1:20">
      <c r="A340" s="101"/>
      <c r="B340" s="101"/>
      <c r="C340" s="101"/>
      <c r="D340" s="101"/>
      <c r="E340" s="101"/>
      <c r="F340" s="102"/>
      <c r="G340" s="101"/>
      <c r="H340" s="102"/>
      <c r="I340" s="101"/>
      <c r="J340" s="101"/>
      <c r="K340" s="103"/>
      <c r="L340" s="103"/>
      <c r="M340" s="103"/>
      <c r="N340" s="103"/>
      <c r="O340" s="103"/>
      <c r="P340" s="98"/>
      <c r="Q340" s="99"/>
      <c r="R340" s="105">
        <f t="shared" si="20"/>
        <v>0</v>
      </c>
      <c r="S340" s="108">
        <f t="shared" si="19"/>
        <v>0</v>
      </c>
      <c r="T340" s="105">
        <f t="shared" si="21"/>
        <v>0</v>
      </c>
    </row>
    <row r="341" spans="1:20">
      <c r="A341" s="101"/>
      <c r="B341" s="101"/>
      <c r="C341" s="101"/>
      <c r="D341" s="101"/>
      <c r="E341" s="101"/>
      <c r="F341" s="102"/>
      <c r="G341" s="101"/>
      <c r="H341" s="102"/>
      <c r="I341" s="101"/>
      <c r="J341" s="101"/>
      <c r="K341" s="103"/>
      <c r="L341" s="103"/>
      <c r="M341" s="103"/>
      <c r="N341" s="103"/>
      <c r="O341" s="103"/>
      <c r="P341" s="98"/>
      <c r="Q341" s="99"/>
      <c r="R341" s="104">
        <f t="shared" si="20"/>
        <v>0</v>
      </c>
      <c r="S341" s="104">
        <f t="shared" si="19"/>
        <v>0</v>
      </c>
      <c r="T341" s="104">
        <f t="shared" si="21"/>
        <v>0</v>
      </c>
    </row>
    <row r="342" spans="1:20">
      <c r="A342" s="101"/>
      <c r="B342" s="101"/>
      <c r="C342" s="101"/>
      <c r="D342" s="101"/>
      <c r="E342" s="101"/>
      <c r="F342" s="102"/>
      <c r="G342" s="101"/>
      <c r="H342" s="102"/>
      <c r="I342" s="101"/>
      <c r="J342" s="101"/>
      <c r="K342" s="103"/>
      <c r="L342" s="103"/>
      <c r="M342" s="103"/>
      <c r="N342" s="103"/>
      <c r="O342" s="103"/>
      <c r="P342" s="98"/>
      <c r="Q342" s="99"/>
      <c r="R342" s="105">
        <f t="shared" si="20"/>
        <v>0</v>
      </c>
      <c r="S342" s="108">
        <f t="shared" si="19"/>
        <v>0</v>
      </c>
      <c r="T342" s="105">
        <f t="shared" si="21"/>
        <v>0</v>
      </c>
    </row>
    <row r="343" spans="1:20">
      <c r="A343" s="101"/>
      <c r="B343" s="101"/>
      <c r="C343" s="101"/>
      <c r="D343" s="101"/>
      <c r="E343" s="101"/>
      <c r="F343" s="102"/>
      <c r="G343" s="101"/>
      <c r="H343" s="102"/>
      <c r="I343" s="101"/>
      <c r="J343" s="101"/>
      <c r="K343" s="103"/>
      <c r="L343" s="103"/>
      <c r="M343" s="103"/>
      <c r="N343" s="103"/>
      <c r="O343" s="103"/>
      <c r="P343" s="98"/>
      <c r="Q343" s="99"/>
      <c r="R343" s="104">
        <f t="shared" si="20"/>
        <v>0</v>
      </c>
      <c r="S343" s="104">
        <f t="shared" si="19"/>
        <v>0</v>
      </c>
      <c r="T343" s="104">
        <f t="shared" si="21"/>
        <v>0</v>
      </c>
    </row>
    <row r="344" spans="1:20">
      <c r="A344" s="101"/>
      <c r="B344" s="101"/>
      <c r="C344" s="101"/>
      <c r="D344" s="101"/>
      <c r="E344" s="101"/>
      <c r="F344" s="102"/>
      <c r="G344" s="101"/>
      <c r="H344" s="102"/>
      <c r="I344" s="101"/>
      <c r="J344" s="101"/>
      <c r="K344" s="103"/>
      <c r="L344" s="103"/>
      <c r="M344" s="103"/>
      <c r="N344" s="103"/>
      <c r="O344" s="103"/>
      <c r="P344" s="98"/>
      <c r="Q344" s="99"/>
      <c r="R344" s="105">
        <f t="shared" si="20"/>
        <v>0</v>
      </c>
      <c r="S344" s="108">
        <f t="shared" si="19"/>
        <v>0</v>
      </c>
      <c r="T344" s="105">
        <f t="shared" si="21"/>
        <v>0</v>
      </c>
    </row>
    <row r="345" spans="1:20">
      <c r="A345" s="101"/>
      <c r="B345" s="101"/>
      <c r="C345" s="101"/>
      <c r="D345" s="101"/>
      <c r="E345" s="101"/>
      <c r="F345" s="102"/>
      <c r="G345" s="101"/>
      <c r="H345" s="102"/>
      <c r="I345" s="101"/>
      <c r="J345" s="101"/>
      <c r="K345" s="103"/>
      <c r="L345" s="103"/>
      <c r="M345" s="103"/>
      <c r="N345" s="103"/>
      <c r="O345" s="103"/>
      <c r="P345" s="98"/>
      <c r="Q345" s="99"/>
      <c r="R345" s="104">
        <f t="shared" si="20"/>
        <v>0</v>
      </c>
      <c r="S345" s="104">
        <f t="shared" si="19"/>
        <v>0</v>
      </c>
      <c r="T345" s="104">
        <f t="shared" si="21"/>
        <v>0</v>
      </c>
    </row>
    <row r="346" spans="1:20">
      <c r="A346" s="101"/>
      <c r="B346" s="101"/>
      <c r="C346" s="101"/>
      <c r="D346" s="101"/>
      <c r="E346" s="101"/>
      <c r="F346" s="102"/>
      <c r="G346" s="101"/>
      <c r="H346" s="102"/>
      <c r="I346" s="101"/>
      <c r="J346" s="101"/>
      <c r="K346" s="103"/>
      <c r="L346" s="103"/>
      <c r="M346" s="103"/>
      <c r="N346" s="103"/>
      <c r="O346" s="103"/>
      <c r="P346" s="98"/>
      <c r="Q346" s="99"/>
      <c r="R346" s="105">
        <f t="shared" si="20"/>
        <v>0</v>
      </c>
      <c r="S346" s="108">
        <f t="shared" si="19"/>
        <v>0</v>
      </c>
      <c r="T346" s="105">
        <f t="shared" si="21"/>
        <v>0</v>
      </c>
    </row>
    <row r="347" spans="1:20">
      <c r="A347" s="101"/>
      <c r="B347" s="101"/>
      <c r="C347" s="101"/>
      <c r="D347" s="101"/>
      <c r="E347" s="101"/>
      <c r="F347" s="102"/>
      <c r="G347" s="101"/>
      <c r="H347" s="102"/>
      <c r="I347" s="101"/>
      <c r="J347" s="101"/>
      <c r="K347" s="103"/>
      <c r="L347" s="103"/>
      <c r="M347" s="103"/>
      <c r="N347" s="103"/>
      <c r="O347" s="103"/>
      <c r="P347" s="98"/>
      <c r="Q347" s="99"/>
      <c r="R347" s="104">
        <f t="shared" si="20"/>
        <v>0</v>
      </c>
      <c r="S347" s="104">
        <f t="shared" si="19"/>
        <v>0</v>
      </c>
      <c r="T347" s="104">
        <f t="shared" si="21"/>
        <v>0</v>
      </c>
    </row>
    <row r="348" spans="1:20">
      <c r="A348" s="101"/>
      <c r="B348" s="101"/>
      <c r="C348" s="101"/>
      <c r="D348" s="101"/>
      <c r="E348" s="101"/>
      <c r="F348" s="102"/>
      <c r="G348" s="101"/>
      <c r="H348" s="102"/>
      <c r="I348" s="101"/>
      <c r="J348" s="101"/>
      <c r="K348" s="103"/>
      <c r="L348" s="103"/>
      <c r="M348" s="103"/>
      <c r="N348" s="103"/>
      <c r="O348" s="103"/>
      <c r="P348" s="98"/>
      <c r="Q348" s="99"/>
      <c r="R348" s="105">
        <f t="shared" si="20"/>
        <v>0</v>
      </c>
      <c r="S348" s="108">
        <f t="shared" si="19"/>
        <v>0</v>
      </c>
      <c r="T348" s="105">
        <f t="shared" si="21"/>
        <v>0</v>
      </c>
    </row>
    <row r="349" spans="1:20">
      <c r="A349" s="101"/>
      <c r="B349" s="101"/>
      <c r="C349" s="101"/>
      <c r="D349" s="101"/>
      <c r="E349" s="101"/>
      <c r="F349" s="102"/>
      <c r="G349" s="101"/>
      <c r="H349" s="102"/>
      <c r="I349" s="101"/>
      <c r="J349" s="101"/>
      <c r="K349" s="103"/>
      <c r="L349" s="103"/>
      <c r="M349" s="103"/>
      <c r="N349" s="103"/>
      <c r="O349" s="103"/>
      <c r="P349" s="98"/>
      <c r="Q349" s="99"/>
      <c r="R349" s="104">
        <f t="shared" si="20"/>
        <v>0</v>
      </c>
      <c r="S349" s="104">
        <f t="shared" si="19"/>
        <v>0</v>
      </c>
      <c r="T349" s="104">
        <f t="shared" si="21"/>
        <v>0</v>
      </c>
    </row>
    <row r="350" spans="1:20">
      <c r="A350" s="101"/>
      <c r="B350" s="101"/>
      <c r="C350" s="101"/>
      <c r="D350" s="101"/>
      <c r="E350" s="101"/>
      <c r="F350" s="102"/>
      <c r="G350" s="101"/>
      <c r="H350" s="102"/>
      <c r="I350" s="101"/>
      <c r="J350" s="101"/>
      <c r="K350" s="103"/>
      <c r="L350" s="103"/>
      <c r="M350" s="103"/>
      <c r="N350" s="103"/>
      <c r="O350" s="103"/>
      <c r="P350" s="98"/>
      <c r="Q350" s="99"/>
      <c r="R350" s="105">
        <f t="shared" si="20"/>
        <v>0</v>
      </c>
      <c r="S350" s="108">
        <f t="shared" si="19"/>
        <v>0</v>
      </c>
      <c r="T350" s="105">
        <f t="shared" si="21"/>
        <v>0</v>
      </c>
    </row>
    <row r="351" spans="1:20">
      <c r="A351" s="101"/>
      <c r="B351" s="101"/>
      <c r="C351" s="101"/>
      <c r="D351" s="101"/>
      <c r="E351" s="101"/>
      <c r="F351" s="102"/>
      <c r="G351" s="101"/>
      <c r="H351" s="102"/>
      <c r="I351" s="101"/>
      <c r="J351" s="101"/>
      <c r="K351" s="103"/>
      <c r="L351" s="103"/>
      <c r="M351" s="103"/>
      <c r="N351" s="103"/>
      <c r="O351" s="103"/>
      <c r="P351" s="98"/>
      <c r="Q351" s="99"/>
      <c r="R351" s="104">
        <f t="shared" si="20"/>
        <v>0</v>
      </c>
      <c r="S351" s="104">
        <f t="shared" si="19"/>
        <v>0</v>
      </c>
      <c r="T351" s="104">
        <f t="shared" si="21"/>
        <v>0</v>
      </c>
    </row>
    <row r="352" spans="1:20">
      <c r="A352" s="101"/>
      <c r="B352" s="101"/>
      <c r="C352" s="101"/>
      <c r="D352" s="101"/>
      <c r="E352" s="101"/>
      <c r="F352" s="102"/>
      <c r="G352" s="101"/>
      <c r="H352" s="102"/>
      <c r="I352" s="101"/>
      <c r="J352" s="101"/>
      <c r="K352" s="103"/>
      <c r="L352" s="103"/>
      <c r="M352" s="103"/>
      <c r="N352" s="103"/>
      <c r="O352" s="103"/>
      <c r="P352" s="98"/>
      <c r="Q352" s="99"/>
      <c r="R352" s="105">
        <f t="shared" si="20"/>
        <v>0</v>
      </c>
      <c r="S352" s="108">
        <f t="shared" si="19"/>
        <v>0</v>
      </c>
      <c r="T352" s="105">
        <f t="shared" si="21"/>
        <v>0</v>
      </c>
    </row>
    <row r="353" spans="1:20">
      <c r="A353" s="101"/>
      <c r="B353" s="101"/>
      <c r="C353" s="101"/>
      <c r="D353" s="101"/>
      <c r="E353" s="101"/>
      <c r="F353" s="102"/>
      <c r="G353" s="101"/>
      <c r="H353" s="102"/>
      <c r="I353" s="101"/>
      <c r="J353" s="101"/>
      <c r="K353" s="103"/>
      <c r="L353" s="103"/>
      <c r="M353" s="103"/>
      <c r="N353" s="103"/>
      <c r="O353" s="103"/>
      <c r="P353" s="98"/>
      <c r="Q353" s="99"/>
      <c r="R353" s="104">
        <f t="shared" si="20"/>
        <v>0</v>
      </c>
      <c r="S353" s="104">
        <f t="shared" si="19"/>
        <v>0</v>
      </c>
      <c r="T353" s="104">
        <f t="shared" si="21"/>
        <v>0</v>
      </c>
    </row>
    <row r="354" spans="1:20">
      <c r="A354" s="101"/>
      <c r="B354" s="101"/>
      <c r="C354" s="101"/>
      <c r="D354" s="101"/>
      <c r="E354" s="101"/>
      <c r="F354" s="102"/>
      <c r="G354" s="101"/>
      <c r="H354" s="102"/>
      <c r="I354" s="101"/>
      <c r="J354" s="101"/>
      <c r="K354" s="103"/>
      <c r="L354" s="103"/>
      <c r="M354" s="103"/>
      <c r="N354" s="103"/>
      <c r="O354" s="103"/>
      <c r="P354" s="98"/>
      <c r="Q354" s="99"/>
      <c r="R354" s="105">
        <f t="shared" si="20"/>
        <v>0</v>
      </c>
      <c r="S354" s="108">
        <f t="shared" si="19"/>
        <v>0</v>
      </c>
      <c r="T354" s="105">
        <f t="shared" si="21"/>
        <v>0</v>
      </c>
    </row>
    <row r="355" spans="1:20">
      <c r="A355" s="101"/>
      <c r="B355" s="101"/>
      <c r="C355" s="101"/>
      <c r="D355" s="101"/>
      <c r="E355" s="101"/>
      <c r="F355" s="102"/>
      <c r="G355" s="101"/>
      <c r="H355" s="102"/>
      <c r="I355" s="101"/>
      <c r="J355" s="101"/>
      <c r="K355" s="103"/>
      <c r="L355" s="103"/>
      <c r="M355" s="103"/>
      <c r="N355" s="103"/>
      <c r="O355" s="103"/>
      <c r="P355" s="98"/>
      <c r="Q355" s="99"/>
      <c r="R355" s="104">
        <f t="shared" si="20"/>
        <v>0</v>
      </c>
      <c r="S355" s="104">
        <f t="shared" si="19"/>
        <v>0</v>
      </c>
      <c r="T355" s="104">
        <f t="shared" si="21"/>
        <v>0</v>
      </c>
    </row>
    <row r="356" spans="1:20">
      <c r="A356" s="101"/>
      <c r="B356" s="101"/>
      <c r="C356" s="101"/>
      <c r="D356" s="101"/>
      <c r="E356" s="101"/>
      <c r="F356" s="102"/>
      <c r="G356" s="101"/>
      <c r="H356" s="102"/>
      <c r="I356" s="101"/>
      <c r="J356" s="101"/>
      <c r="K356" s="103"/>
      <c r="L356" s="103"/>
      <c r="M356" s="103"/>
      <c r="N356" s="103"/>
      <c r="O356" s="103"/>
      <c r="P356" s="98"/>
      <c r="Q356" s="99"/>
      <c r="R356" s="105">
        <f t="shared" si="20"/>
        <v>0</v>
      </c>
      <c r="S356" s="108">
        <f t="shared" si="19"/>
        <v>0</v>
      </c>
      <c r="T356" s="105">
        <f t="shared" si="21"/>
        <v>0</v>
      </c>
    </row>
    <row r="357" spans="1:20">
      <c r="A357" s="101"/>
      <c r="B357" s="101"/>
      <c r="C357" s="101"/>
      <c r="D357" s="101"/>
      <c r="E357" s="101"/>
      <c r="F357" s="102"/>
      <c r="G357" s="101"/>
      <c r="H357" s="102"/>
      <c r="I357" s="101"/>
      <c r="J357" s="101"/>
      <c r="K357" s="103"/>
      <c r="L357" s="103"/>
      <c r="M357" s="103"/>
      <c r="N357" s="103"/>
      <c r="O357" s="103"/>
      <c r="P357" s="98"/>
      <c r="Q357" s="99"/>
      <c r="R357" s="104">
        <f t="shared" si="20"/>
        <v>0</v>
      </c>
      <c r="S357" s="104">
        <f t="shared" si="19"/>
        <v>0</v>
      </c>
      <c r="T357" s="104">
        <f t="shared" si="21"/>
        <v>0</v>
      </c>
    </row>
    <row r="358" spans="1:20">
      <c r="A358" s="101"/>
      <c r="B358" s="101"/>
      <c r="C358" s="101"/>
      <c r="D358" s="101"/>
      <c r="E358" s="101"/>
      <c r="F358" s="102"/>
      <c r="G358" s="101"/>
      <c r="H358" s="102"/>
      <c r="I358" s="101"/>
      <c r="J358" s="101"/>
      <c r="K358" s="103"/>
      <c r="L358" s="103"/>
      <c r="M358" s="103"/>
      <c r="N358" s="103"/>
      <c r="O358" s="103"/>
      <c r="P358" s="98"/>
      <c r="Q358" s="99"/>
      <c r="R358" s="105">
        <f t="shared" si="20"/>
        <v>0</v>
      </c>
      <c r="S358" s="108">
        <f t="shared" si="19"/>
        <v>0</v>
      </c>
      <c r="T358" s="105">
        <f t="shared" si="21"/>
        <v>0</v>
      </c>
    </row>
    <row r="359" spans="1:20">
      <c r="A359" s="101"/>
      <c r="B359" s="101"/>
      <c r="C359" s="101"/>
      <c r="D359" s="101"/>
      <c r="E359" s="101"/>
      <c r="F359" s="102"/>
      <c r="G359" s="101"/>
      <c r="H359" s="102"/>
      <c r="I359" s="101"/>
      <c r="J359" s="101"/>
      <c r="K359" s="103"/>
      <c r="L359" s="103"/>
      <c r="M359" s="103"/>
      <c r="N359" s="103"/>
      <c r="O359" s="103"/>
      <c r="P359" s="98"/>
      <c r="Q359" s="99"/>
      <c r="R359" s="104">
        <f t="shared" si="20"/>
        <v>0</v>
      </c>
      <c r="S359" s="104">
        <f t="shared" si="19"/>
        <v>0</v>
      </c>
      <c r="T359" s="104">
        <f t="shared" si="21"/>
        <v>0</v>
      </c>
    </row>
    <row r="360" spans="1:20">
      <c r="A360" s="101"/>
      <c r="B360" s="101"/>
      <c r="C360" s="101"/>
      <c r="D360" s="101"/>
      <c r="E360" s="101"/>
      <c r="F360" s="102"/>
      <c r="G360" s="101"/>
      <c r="H360" s="102"/>
      <c r="I360" s="101"/>
      <c r="J360" s="101"/>
      <c r="K360" s="103"/>
      <c r="L360" s="103"/>
      <c r="M360" s="103"/>
      <c r="N360" s="103"/>
      <c r="O360" s="103"/>
      <c r="P360" s="98"/>
      <c r="Q360" s="99"/>
      <c r="R360" s="105">
        <f t="shared" si="20"/>
        <v>0</v>
      </c>
      <c r="S360" s="108">
        <f t="shared" si="19"/>
        <v>0</v>
      </c>
      <c r="T360" s="105">
        <f t="shared" si="21"/>
        <v>0</v>
      </c>
    </row>
    <row r="361" spans="1:20">
      <c r="A361" s="101"/>
      <c r="B361" s="101"/>
      <c r="C361" s="101"/>
      <c r="D361" s="101"/>
      <c r="E361" s="101"/>
      <c r="F361" s="102"/>
      <c r="G361" s="101"/>
      <c r="H361" s="102"/>
      <c r="I361" s="101"/>
      <c r="J361" s="101"/>
      <c r="K361" s="103"/>
      <c r="L361" s="103"/>
      <c r="M361" s="103"/>
      <c r="N361" s="103"/>
      <c r="O361" s="103"/>
      <c r="P361" s="98"/>
      <c r="Q361" s="99"/>
      <c r="R361" s="104">
        <f t="shared" si="20"/>
        <v>0</v>
      </c>
      <c r="S361" s="104">
        <f t="shared" si="19"/>
        <v>0</v>
      </c>
      <c r="T361" s="104">
        <f t="shared" si="21"/>
        <v>0</v>
      </c>
    </row>
    <row r="362" spans="1:20">
      <c r="A362" s="101"/>
      <c r="B362" s="101"/>
      <c r="C362" s="101"/>
      <c r="D362" s="101"/>
      <c r="E362" s="101"/>
      <c r="F362" s="102"/>
      <c r="G362" s="101"/>
      <c r="H362" s="102"/>
      <c r="I362" s="101"/>
      <c r="J362" s="101"/>
      <c r="K362" s="103"/>
      <c r="L362" s="103"/>
      <c r="M362" s="103"/>
      <c r="N362" s="103"/>
      <c r="O362" s="103"/>
      <c r="P362" s="98"/>
      <c r="Q362" s="99"/>
      <c r="R362" s="105">
        <f t="shared" si="20"/>
        <v>0</v>
      </c>
      <c r="S362" s="108">
        <f t="shared" si="19"/>
        <v>0</v>
      </c>
      <c r="T362" s="105">
        <f t="shared" si="21"/>
        <v>0</v>
      </c>
    </row>
    <row r="363" spans="1:20">
      <c r="A363" s="101"/>
      <c r="B363" s="101"/>
      <c r="C363" s="101"/>
      <c r="D363" s="101"/>
      <c r="E363" s="101"/>
      <c r="F363" s="102"/>
      <c r="G363" s="101"/>
      <c r="H363" s="102"/>
      <c r="I363" s="101"/>
      <c r="J363" s="101"/>
      <c r="K363" s="103"/>
      <c r="L363" s="103"/>
      <c r="M363" s="103"/>
      <c r="N363" s="103"/>
      <c r="O363" s="103"/>
      <c r="P363" s="98"/>
      <c r="Q363" s="99"/>
      <c r="R363" s="104">
        <f t="shared" si="20"/>
        <v>0</v>
      </c>
      <c r="S363" s="104">
        <f t="shared" si="19"/>
        <v>0</v>
      </c>
      <c r="T363" s="104">
        <f t="shared" si="21"/>
        <v>0</v>
      </c>
    </row>
    <row r="364" spans="1:20">
      <c r="A364" s="101"/>
      <c r="B364" s="101"/>
      <c r="C364" s="101"/>
      <c r="D364" s="101"/>
      <c r="E364" s="101"/>
      <c r="F364" s="102"/>
      <c r="G364" s="101"/>
      <c r="H364" s="102"/>
      <c r="I364" s="101"/>
      <c r="J364" s="101"/>
      <c r="K364" s="103"/>
      <c r="L364" s="103"/>
      <c r="M364" s="103"/>
      <c r="N364" s="103"/>
      <c r="O364" s="103"/>
      <c r="P364" s="98"/>
      <c r="Q364" s="99"/>
      <c r="R364" s="105">
        <f t="shared" si="20"/>
        <v>0</v>
      </c>
      <c r="S364" s="108">
        <f t="shared" si="19"/>
        <v>0</v>
      </c>
      <c r="T364" s="105">
        <f t="shared" si="21"/>
        <v>0</v>
      </c>
    </row>
    <row r="365" spans="1:20">
      <c r="A365" s="101"/>
      <c r="B365" s="101"/>
      <c r="C365" s="101"/>
      <c r="D365" s="101"/>
      <c r="E365" s="101"/>
      <c r="F365" s="102"/>
      <c r="G365" s="101"/>
      <c r="H365" s="102"/>
      <c r="I365" s="101"/>
      <c r="J365" s="101"/>
      <c r="K365" s="103"/>
      <c r="L365" s="103"/>
      <c r="M365" s="103"/>
      <c r="N365" s="103"/>
      <c r="O365" s="103"/>
      <c r="P365" s="98"/>
      <c r="Q365" s="99"/>
      <c r="R365" s="104">
        <f t="shared" si="20"/>
        <v>0</v>
      </c>
      <c r="S365" s="104">
        <f t="shared" si="19"/>
        <v>0</v>
      </c>
      <c r="T365" s="104">
        <f t="shared" si="21"/>
        <v>0</v>
      </c>
    </row>
    <row r="366" spans="1:20">
      <c r="A366" s="101"/>
      <c r="B366" s="101"/>
      <c r="C366" s="101"/>
      <c r="D366" s="101"/>
      <c r="E366" s="101"/>
      <c r="F366" s="102"/>
      <c r="G366" s="101"/>
      <c r="H366" s="102"/>
      <c r="I366" s="101"/>
      <c r="J366" s="101"/>
      <c r="K366" s="103"/>
      <c r="L366" s="103"/>
      <c r="M366" s="103"/>
      <c r="N366" s="103"/>
      <c r="O366" s="103"/>
      <c r="P366" s="98"/>
      <c r="Q366" s="99"/>
      <c r="R366" s="105">
        <f t="shared" si="20"/>
        <v>0</v>
      </c>
      <c r="S366" s="108">
        <f t="shared" si="19"/>
        <v>0</v>
      </c>
      <c r="T366" s="105">
        <f t="shared" si="21"/>
        <v>0</v>
      </c>
    </row>
    <row r="367" spans="1:20">
      <c r="A367" s="101"/>
      <c r="B367" s="101"/>
      <c r="C367" s="101"/>
      <c r="D367" s="101"/>
      <c r="E367" s="101"/>
      <c r="F367" s="102"/>
      <c r="G367" s="101"/>
      <c r="H367" s="102"/>
      <c r="I367" s="101"/>
      <c r="J367" s="101"/>
      <c r="K367" s="103"/>
      <c r="L367" s="103"/>
      <c r="M367" s="103"/>
      <c r="N367" s="103"/>
      <c r="O367" s="103"/>
      <c r="P367" s="98"/>
      <c r="Q367" s="99"/>
      <c r="R367" s="104">
        <f t="shared" si="20"/>
        <v>0</v>
      </c>
      <c r="S367" s="104">
        <f t="shared" si="19"/>
        <v>0</v>
      </c>
      <c r="T367" s="104">
        <f t="shared" si="21"/>
        <v>0</v>
      </c>
    </row>
    <row r="368" spans="1:20">
      <c r="A368" s="101"/>
      <c r="B368" s="101"/>
      <c r="C368" s="101"/>
      <c r="D368" s="101"/>
      <c r="E368" s="101"/>
      <c r="F368" s="102"/>
      <c r="G368" s="101"/>
      <c r="H368" s="102"/>
      <c r="I368" s="101"/>
      <c r="J368" s="101"/>
      <c r="K368" s="103"/>
      <c r="L368" s="103"/>
      <c r="M368" s="103"/>
      <c r="N368" s="103"/>
      <c r="O368" s="103"/>
      <c r="P368" s="98"/>
      <c r="Q368" s="99"/>
      <c r="R368" s="105">
        <f t="shared" si="20"/>
        <v>0</v>
      </c>
      <c r="S368" s="108">
        <f t="shared" si="19"/>
        <v>0</v>
      </c>
      <c r="T368" s="105">
        <f t="shared" si="21"/>
        <v>0</v>
      </c>
    </row>
    <row r="369" spans="1:20">
      <c r="A369" s="101"/>
      <c r="B369" s="101"/>
      <c r="C369" s="101"/>
      <c r="D369" s="101"/>
      <c r="E369" s="101"/>
      <c r="F369" s="102"/>
      <c r="G369" s="101"/>
      <c r="H369" s="102"/>
      <c r="I369" s="101"/>
      <c r="J369" s="101"/>
      <c r="K369" s="103"/>
      <c r="L369" s="103"/>
      <c r="M369" s="103"/>
      <c r="N369" s="103"/>
      <c r="O369" s="103"/>
      <c r="P369" s="98"/>
      <c r="Q369" s="99"/>
      <c r="R369" s="104">
        <f t="shared" si="20"/>
        <v>0</v>
      </c>
      <c r="S369" s="104">
        <f t="shared" si="19"/>
        <v>0</v>
      </c>
      <c r="T369" s="104">
        <f t="shared" si="21"/>
        <v>0</v>
      </c>
    </row>
    <row r="370" spans="1:20">
      <c r="A370" s="101"/>
      <c r="B370" s="101"/>
      <c r="C370" s="101"/>
      <c r="D370" s="101"/>
      <c r="E370" s="101"/>
      <c r="F370" s="102"/>
      <c r="G370" s="101"/>
      <c r="H370" s="102"/>
      <c r="I370" s="101"/>
      <c r="J370" s="101"/>
      <c r="K370" s="103"/>
      <c r="L370" s="103"/>
      <c r="M370" s="103"/>
      <c r="N370" s="103"/>
      <c r="O370" s="103"/>
      <c r="P370" s="98"/>
      <c r="Q370" s="99"/>
      <c r="R370" s="105">
        <f t="shared" si="20"/>
        <v>0</v>
      </c>
      <c r="S370" s="108">
        <f t="shared" si="19"/>
        <v>0</v>
      </c>
      <c r="T370" s="105">
        <f t="shared" si="21"/>
        <v>0</v>
      </c>
    </row>
    <row r="371" spans="1:20">
      <c r="A371" s="101"/>
      <c r="B371" s="101"/>
      <c r="C371" s="101"/>
      <c r="D371" s="101"/>
      <c r="E371" s="101"/>
      <c r="F371" s="102"/>
      <c r="G371" s="101"/>
      <c r="H371" s="102"/>
      <c r="I371" s="101"/>
      <c r="J371" s="101"/>
      <c r="K371" s="103"/>
      <c r="L371" s="103"/>
      <c r="M371" s="103"/>
      <c r="N371" s="103"/>
      <c r="O371" s="103"/>
      <c r="P371" s="98"/>
      <c r="Q371" s="99"/>
      <c r="R371" s="104">
        <f t="shared" si="20"/>
        <v>0</v>
      </c>
      <c r="S371" s="104">
        <f t="shared" si="19"/>
        <v>0</v>
      </c>
      <c r="T371" s="104">
        <f t="shared" si="21"/>
        <v>0</v>
      </c>
    </row>
    <row r="372" spans="1:20">
      <c r="A372" s="101"/>
      <c r="B372" s="101"/>
      <c r="C372" s="101"/>
      <c r="D372" s="101"/>
      <c r="E372" s="101"/>
      <c r="F372" s="102"/>
      <c r="G372" s="101"/>
      <c r="H372" s="102"/>
      <c r="I372" s="101"/>
      <c r="J372" s="101"/>
      <c r="K372" s="103"/>
      <c r="L372" s="103"/>
      <c r="M372" s="103"/>
      <c r="N372" s="103"/>
      <c r="O372" s="103"/>
      <c r="P372" s="98"/>
      <c r="Q372" s="99"/>
      <c r="R372" s="105">
        <f t="shared" si="20"/>
        <v>0</v>
      </c>
      <c r="S372" s="108">
        <f t="shared" si="19"/>
        <v>0</v>
      </c>
      <c r="T372" s="105">
        <f t="shared" si="21"/>
        <v>0</v>
      </c>
    </row>
    <row r="373" spans="1:20">
      <c r="A373" s="101"/>
      <c r="B373" s="101"/>
      <c r="C373" s="101"/>
      <c r="D373" s="101"/>
      <c r="E373" s="101"/>
      <c r="F373" s="102"/>
      <c r="G373" s="101"/>
      <c r="H373" s="102"/>
      <c r="I373" s="101"/>
      <c r="J373" s="101"/>
      <c r="K373" s="103"/>
      <c r="L373" s="103"/>
      <c r="M373" s="103"/>
      <c r="N373" s="103"/>
      <c r="O373" s="103"/>
      <c r="P373" s="98"/>
      <c r="Q373" s="99"/>
      <c r="R373" s="104">
        <f t="shared" si="20"/>
        <v>0</v>
      </c>
      <c r="S373" s="104">
        <f t="shared" si="19"/>
        <v>0</v>
      </c>
      <c r="T373" s="104">
        <f t="shared" si="21"/>
        <v>0</v>
      </c>
    </row>
    <row r="374" spans="1:20">
      <c r="A374" s="101"/>
      <c r="B374" s="101"/>
      <c r="C374" s="101"/>
      <c r="D374" s="101"/>
      <c r="E374" s="101"/>
      <c r="F374" s="102"/>
      <c r="G374" s="101"/>
      <c r="H374" s="102"/>
      <c r="I374" s="101"/>
      <c r="J374" s="101"/>
      <c r="K374" s="103"/>
      <c r="L374" s="103"/>
      <c r="M374" s="103"/>
      <c r="N374" s="103"/>
      <c r="O374" s="103"/>
      <c r="P374" s="98"/>
      <c r="Q374" s="99"/>
      <c r="R374" s="105">
        <f t="shared" si="20"/>
        <v>0</v>
      </c>
      <c r="S374" s="108">
        <f t="shared" si="19"/>
        <v>0</v>
      </c>
      <c r="T374" s="105">
        <f t="shared" si="21"/>
        <v>0</v>
      </c>
    </row>
    <row r="375" spans="1:20">
      <c r="A375" s="101"/>
      <c r="B375" s="101"/>
      <c r="C375" s="101"/>
      <c r="D375" s="101"/>
      <c r="E375" s="101"/>
      <c r="F375" s="102"/>
      <c r="G375" s="101"/>
      <c r="H375" s="102"/>
      <c r="I375" s="101"/>
      <c r="J375" s="101"/>
      <c r="K375" s="103"/>
      <c r="L375" s="103"/>
      <c r="M375" s="103"/>
      <c r="N375" s="103"/>
      <c r="O375" s="103"/>
      <c r="P375" s="98"/>
      <c r="Q375" s="99"/>
      <c r="R375" s="104">
        <f t="shared" si="20"/>
        <v>0</v>
      </c>
      <c r="S375" s="104">
        <f t="shared" si="19"/>
        <v>0</v>
      </c>
      <c r="T375" s="104">
        <f t="shared" si="21"/>
        <v>0</v>
      </c>
    </row>
    <row r="376" spans="1:20">
      <c r="A376" s="101"/>
      <c r="B376" s="101"/>
      <c r="C376" s="101"/>
      <c r="D376" s="101"/>
      <c r="E376" s="101"/>
      <c r="F376" s="102"/>
      <c r="G376" s="101"/>
      <c r="H376" s="102"/>
      <c r="I376" s="101"/>
      <c r="J376" s="101"/>
      <c r="K376" s="103"/>
      <c r="L376" s="103"/>
      <c r="M376" s="103"/>
      <c r="N376" s="103"/>
      <c r="O376" s="103"/>
      <c r="P376" s="98"/>
      <c r="Q376" s="99"/>
      <c r="R376" s="105">
        <f t="shared" si="20"/>
        <v>0</v>
      </c>
      <c r="S376" s="108">
        <f t="shared" si="19"/>
        <v>0</v>
      </c>
      <c r="T376" s="105">
        <f t="shared" si="21"/>
        <v>0</v>
      </c>
    </row>
    <row r="377" spans="1:20">
      <c r="A377" s="101"/>
      <c r="B377" s="101"/>
      <c r="C377" s="101"/>
      <c r="D377" s="101"/>
      <c r="E377" s="101"/>
      <c r="F377" s="102"/>
      <c r="G377" s="101"/>
      <c r="H377" s="102"/>
      <c r="I377" s="101"/>
      <c r="J377" s="101"/>
      <c r="K377" s="103"/>
      <c r="L377" s="103"/>
      <c r="M377" s="103"/>
      <c r="N377" s="103"/>
      <c r="O377" s="103"/>
      <c r="P377" s="98"/>
      <c r="Q377" s="99"/>
      <c r="R377" s="104">
        <f t="shared" si="20"/>
        <v>0</v>
      </c>
      <c r="S377" s="104">
        <f t="shared" si="19"/>
        <v>0</v>
      </c>
      <c r="T377" s="104">
        <f t="shared" si="21"/>
        <v>0</v>
      </c>
    </row>
    <row r="378" spans="1:20">
      <c r="A378" s="101"/>
      <c r="B378" s="101"/>
      <c r="C378" s="101"/>
      <c r="D378" s="101"/>
      <c r="E378" s="101"/>
      <c r="F378" s="102"/>
      <c r="G378" s="101"/>
      <c r="H378" s="102"/>
      <c r="I378" s="101"/>
      <c r="J378" s="101"/>
      <c r="K378" s="103"/>
      <c r="L378" s="103"/>
      <c r="M378" s="103"/>
      <c r="N378" s="103"/>
      <c r="O378" s="103"/>
      <c r="P378" s="98"/>
      <c r="Q378" s="99"/>
      <c r="R378" s="105">
        <f t="shared" si="20"/>
        <v>0</v>
      </c>
      <c r="S378" s="108">
        <f t="shared" si="19"/>
        <v>0</v>
      </c>
      <c r="T378" s="105">
        <f t="shared" si="21"/>
        <v>0</v>
      </c>
    </row>
    <row r="379" spans="1:20">
      <c r="A379" s="101"/>
      <c r="B379" s="101"/>
      <c r="C379" s="101"/>
      <c r="D379" s="101"/>
      <c r="E379" s="101"/>
      <c r="F379" s="102"/>
      <c r="G379" s="101"/>
      <c r="H379" s="102"/>
      <c r="I379" s="101"/>
      <c r="J379" s="101"/>
      <c r="K379" s="103"/>
      <c r="L379" s="103"/>
      <c r="M379" s="103"/>
      <c r="N379" s="103"/>
      <c r="O379" s="103"/>
      <c r="P379" s="98"/>
      <c r="Q379" s="99"/>
      <c r="R379" s="104">
        <f t="shared" si="20"/>
        <v>0</v>
      </c>
      <c r="S379" s="104">
        <f t="shared" si="19"/>
        <v>0</v>
      </c>
      <c r="T379" s="104">
        <f t="shared" si="21"/>
        <v>0</v>
      </c>
    </row>
    <row r="380" spans="1:20">
      <c r="A380" s="101"/>
      <c r="B380" s="101"/>
      <c r="C380" s="101"/>
      <c r="D380" s="101"/>
      <c r="E380" s="101"/>
      <c r="F380" s="102"/>
      <c r="G380" s="101"/>
      <c r="H380" s="102"/>
      <c r="I380" s="101"/>
      <c r="J380" s="101"/>
      <c r="K380" s="103"/>
      <c r="L380" s="103"/>
      <c r="M380" s="103"/>
      <c r="N380" s="103"/>
      <c r="O380" s="103"/>
      <c r="P380" s="98"/>
      <c r="Q380" s="99"/>
      <c r="R380" s="105">
        <f t="shared" si="20"/>
        <v>0</v>
      </c>
      <c r="S380" s="108">
        <f t="shared" si="19"/>
        <v>0</v>
      </c>
      <c r="T380" s="105">
        <f t="shared" si="21"/>
        <v>0</v>
      </c>
    </row>
    <row r="381" spans="1:20">
      <c r="A381" s="101"/>
      <c r="B381" s="101"/>
      <c r="C381" s="101"/>
      <c r="D381" s="101"/>
      <c r="E381" s="101"/>
      <c r="F381" s="102"/>
      <c r="G381" s="101"/>
      <c r="H381" s="102"/>
      <c r="I381" s="101"/>
      <c r="J381" s="101"/>
      <c r="K381" s="103"/>
      <c r="L381" s="103"/>
      <c r="M381" s="103"/>
      <c r="N381" s="103"/>
      <c r="O381" s="103"/>
      <c r="P381" s="98"/>
      <c r="Q381" s="99"/>
      <c r="R381" s="104">
        <f t="shared" si="20"/>
        <v>0</v>
      </c>
      <c r="S381" s="104">
        <f t="shared" si="19"/>
        <v>0</v>
      </c>
      <c r="T381" s="104">
        <f t="shared" si="21"/>
        <v>0</v>
      </c>
    </row>
    <row r="382" spans="1:20">
      <c r="A382" s="101"/>
      <c r="B382" s="101"/>
      <c r="C382" s="101"/>
      <c r="D382" s="101"/>
      <c r="E382" s="101"/>
      <c r="F382" s="102"/>
      <c r="G382" s="101"/>
      <c r="H382" s="102"/>
      <c r="I382" s="101"/>
      <c r="J382" s="101"/>
      <c r="K382" s="103"/>
      <c r="L382" s="103"/>
      <c r="M382" s="103"/>
      <c r="N382" s="103"/>
      <c r="O382" s="103"/>
      <c r="P382" s="98"/>
      <c r="Q382" s="99"/>
      <c r="R382" s="105">
        <f t="shared" si="20"/>
        <v>0</v>
      </c>
      <c r="S382" s="108">
        <f t="shared" si="19"/>
        <v>0</v>
      </c>
      <c r="T382" s="105">
        <f t="shared" si="21"/>
        <v>0</v>
      </c>
    </row>
    <row r="383" spans="1:20">
      <c r="A383" s="101"/>
      <c r="B383" s="101"/>
      <c r="C383" s="101"/>
      <c r="D383" s="101"/>
      <c r="E383" s="101"/>
      <c r="F383" s="102"/>
      <c r="G383" s="101"/>
      <c r="H383" s="102"/>
      <c r="I383" s="101"/>
      <c r="J383" s="101"/>
      <c r="K383" s="103"/>
      <c r="L383" s="103"/>
      <c r="M383" s="103"/>
      <c r="N383" s="103"/>
      <c r="O383" s="103"/>
      <c r="P383" s="98"/>
      <c r="Q383" s="99"/>
      <c r="R383" s="104">
        <f t="shared" si="20"/>
        <v>0</v>
      </c>
      <c r="S383" s="104">
        <f t="shared" si="19"/>
        <v>0</v>
      </c>
      <c r="T383" s="104">
        <f t="shared" si="21"/>
        <v>0</v>
      </c>
    </row>
    <row r="384" spans="1:20">
      <c r="A384" s="101"/>
      <c r="B384" s="101"/>
      <c r="C384" s="101"/>
      <c r="D384" s="101"/>
      <c r="E384" s="101"/>
      <c r="F384" s="102"/>
      <c r="G384" s="101"/>
      <c r="H384" s="102"/>
      <c r="I384" s="101"/>
      <c r="J384" s="101"/>
      <c r="K384" s="103"/>
      <c r="L384" s="103"/>
      <c r="M384" s="103"/>
      <c r="N384" s="103"/>
      <c r="O384" s="103"/>
      <c r="P384" s="98"/>
      <c r="Q384" s="99"/>
      <c r="R384" s="105">
        <f t="shared" si="20"/>
        <v>0</v>
      </c>
      <c r="S384" s="108">
        <f t="shared" si="19"/>
        <v>0</v>
      </c>
      <c r="T384" s="105">
        <f t="shared" si="21"/>
        <v>0</v>
      </c>
    </row>
    <row r="385" spans="1:20">
      <c r="A385" s="101"/>
      <c r="B385" s="101"/>
      <c r="C385" s="101"/>
      <c r="D385" s="101"/>
      <c r="E385" s="101"/>
      <c r="F385" s="102"/>
      <c r="G385" s="101"/>
      <c r="H385" s="102"/>
      <c r="I385" s="101"/>
      <c r="J385" s="101"/>
      <c r="K385" s="103"/>
      <c r="L385" s="103"/>
      <c r="M385" s="103"/>
      <c r="N385" s="103"/>
      <c r="O385" s="103"/>
      <c r="P385" s="98"/>
      <c r="Q385" s="99"/>
      <c r="R385" s="104">
        <f t="shared" si="20"/>
        <v>0</v>
      </c>
      <c r="S385" s="104">
        <f t="shared" si="19"/>
        <v>0</v>
      </c>
      <c r="T385" s="104">
        <f t="shared" si="21"/>
        <v>0</v>
      </c>
    </row>
    <row r="386" spans="1:20">
      <c r="A386" s="101"/>
      <c r="B386" s="101"/>
      <c r="C386" s="101"/>
      <c r="D386" s="101"/>
      <c r="E386" s="101"/>
      <c r="F386" s="102"/>
      <c r="G386" s="101"/>
      <c r="H386" s="102"/>
      <c r="I386" s="101"/>
      <c r="J386" s="101"/>
      <c r="K386" s="103"/>
      <c r="L386" s="103"/>
      <c r="M386" s="103"/>
      <c r="N386" s="103"/>
      <c r="O386" s="103"/>
      <c r="P386" s="98"/>
      <c r="Q386" s="99"/>
      <c r="R386" s="105">
        <f t="shared" si="20"/>
        <v>0</v>
      </c>
      <c r="S386" s="108">
        <f t="shared" si="19"/>
        <v>0</v>
      </c>
      <c r="T386" s="105">
        <f t="shared" si="21"/>
        <v>0</v>
      </c>
    </row>
    <row r="387" spans="1:20">
      <c r="A387" s="101"/>
      <c r="B387" s="101"/>
      <c r="C387" s="101"/>
      <c r="D387" s="101"/>
      <c r="E387" s="101"/>
      <c r="F387" s="102"/>
      <c r="G387" s="101"/>
      <c r="H387" s="102"/>
      <c r="I387" s="101"/>
      <c r="J387" s="101"/>
      <c r="K387" s="103"/>
      <c r="L387" s="103"/>
      <c r="M387" s="103"/>
      <c r="N387" s="103"/>
      <c r="O387" s="103"/>
      <c r="P387" s="98"/>
      <c r="Q387" s="99"/>
      <c r="R387" s="104">
        <f t="shared" si="20"/>
        <v>0</v>
      </c>
      <c r="S387" s="104">
        <f t="shared" si="19"/>
        <v>0</v>
      </c>
      <c r="T387" s="104">
        <f t="shared" si="21"/>
        <v>0</v>
      </c>
    </row>
    <row r="388" spans="1:20">
      <c r="A388" s="101"/>
      <c r="B388" s="101"/>
      <c r="C388" s="101"/>
      <c r="D388" s="101"/>
      <c r="E388" s="101"/>
      <c r="F388" s="102"/>
      <c r="G388" s="101"/>
      <c r="H388" s="102"/>
      <c r="I388" s="101"/>
      <c r="J388" s="101"/>
      <c r="K388" s="103"/>
      <c r="L388" s="103"/>
      <c r="M388" s="103"/>
      <c r="N388" s="103"/>
      <c r="O388" s="103"/>
      <c r="P388" s="98"/>
      <c r="Q388" s="99"/>
      <c r="R388" s="105">
        <f t="shared" si="20"/>
        <v>0</v>
      </c>
      <c r="S388" s="108">
        <f t="shared" ref="S388:S451" si="22">IF(P388="Abono",K388+L388+M388-N388-O388,0)</f>
        <v>0</v>
      </c>
      <c r="T388" s="105">
        <f t="shared" si="21"/>
        <v>0</v>
      </c>
    </row>
    <row r="389" spans="1:20">
      <c r="A389" s="101"/>
      <c r="B389" s="101"/>
      <c r="C389" s="101"/>
      <c r="D389" s="101"/>
      <c r="E389" s="101"/>
      <c r="F389" s="102"/>
      <c r="G389" s="101"/>
      <c r="H389" s="102"/>
      <c r="I389" s="101"/>
      <c r="J389" s="101"/>
      <c r="K389" s="103"/>
      <c r="L389" s="103"/>
      <c r="M389" s="103"/>
      <c r="N389" s="103"/>
      <c r="O389" s="103"/>
      <c r="P389" s="98"/>
      <c r="Q389" s="99"/>
      <c r="R389" s="104">
        <f t="shared" ref="R389:R452" si="23">IF(P389="Cargo",K389+L389-M389-N389+O389,0)</f>
        <v>0</v>
      </c>
      <c r="S389" s="104">
        <f t="shared" si="22"/>
        <v>0</v>
      </c>
      <c r="T389" s="104">
        <f t="shared" ref="T389:T452" si="24">IF(Q389="OK",+T388+R389-S389,T388)</f>
        <v>0</v>
      </c>
    </row>
    <row r="390" spans="1:20">
      <c r="A390" s="101"/>
      <c r="B390" s="101"/>
      <c r="C390" s="101"/>
      <c r="D390" s="101"/>
      <c r="E390" s="101"/>
      <c r="F390" s="102"/>
      <c r="G390" s="101"/>
      <c r="H390" s="102"/>
      <c r="I390" s="101"/>
      <c r="J390" s="101"/>
      <c r="K390" s="103"/>
      <c r="L390" s="103"/>
      <c r="M390" s="103"/>
      <c r="N390" s="103"/>
      <c r="O390" s="103"/>
      <c r="P390" s="98"/>
      <c r="Q390" s="99"/>
      <c r="R390" s="105">
        <f t="shared" si="23"/>
        <v>0</v>
      </c>
      <c r="S390" s="108">
        <f t="shared" si="22"/>
        <v>0</v>
      </c>
      <c r="T390" s="105">
        <f t="shared" si="24"/>
        <v>0</v>
      </c>
    </row>
    <row r="391" spans="1:20">
      <c r="A391" s="101"/>
      <c r="B391" s="101"/>
      <c r="C391" s="101"/>
      <c r="D391" s="101"/>
      <c r="E391" s="101"/>
      <c r="F391" s="102"/>
      <c r="G391" s="101"/>
      <c r="H391" s="102"/>
      <c r="I391" s="101"/>
      <c r="J391" s="101"/>
      <c r="K391" s="103"/>
      <c r="L391" s="103"/>
      <c r="M391" s="103"/>
      <c r="N391" s="103"/>
      <c r="O391" s="103"/>
      <c r="P391" s="98"/>
      <c r="Q391" s="99"/>
      <c r="R391" s="104">
        <f t="shared" si="23"/>
        <v>0</v>
      </c>
      <c r="S391" s="104">
        <f t="shared" si="22"/>
        <v>0</v>
      </c>
      <c r="T391" s="104">
        <f t="shared" si="24"/>
        <v>0</v>
      </c>
    </row>
    <row r="392" spans="1:20">
      <c r="A392" s="101"/>
      <c r="B392" s="101"/>
      <c r="C392" s="101"/>
      <c r="D392" s="101"/>
      <c r="E392" s="101"/>
      <c r="F392" s="102"/>
      <c r="G392" s="101"/>
      <c r="H392" s="102"/>
      <c r="I392" s="101"/>
      <c r="J392" s="101"/>
      <c r="K392" s="103"/>
      <c r="L392" s="103"/>
      <c r="M392" s="103"/>
      <c r="N392" s="103"/>
      <c r="O392" s="103"/>
      <c r="P392" s="98"/>
      <c r="Q392" s="99"/>
      <c r="R392" s="105">
        <f t="shared" si="23"/>
        <v>0</v>
      </c>
      <c r="S392" s="108">
        <f t="shared" si="22"/>
        <v>0</v>
      </c>
      <c r="T392" s="105">
        <f t="shared" si="24"/>
        <v>0</v>
      </c>
    </row>
    <row r="393" spans="1:20">
      <c r="A393" s="101"/>
      <c r="B393" s="101"/>
      <c r="C393" s="101"/>
      <c r="D393" s="101"/>
      <c r="E393" s="101"/>
      <c r="F393" s="102"/>
      <c r="G393" s="101"/>
      <c r="H393" s="102"/>
      <c r="I393" s="101"/>
      <c r="J393" s="101"/>
      <c r="K393" s="103"/>
      <c r="L393" s="103"/>
      <c r="M393" s="103"/>
      <c r="N393" s="103"/>
      <c r="O393" s="103"/>
      <c r="P393" s="98"/>
      <c r="Q393" s="99"/>
      <c r="R393" s="104">
        <f t="shared" si="23"/>
        <v>0</v>
      </c>
      <c r="S393" s="104">
        <f t="shared" si="22"/>
        <v>0</v>
      </c>
      <c r="T393" s="104">
        <f t="shared" si="24"/>
        <v>0</v>
      </c>
    </row>
    <row r="394" spans="1:20">
      <c r="A394" s="101"/>
      <c r="B394" s="101"/>
      <c r="C394" s="101"/>
      <c r="D394" s="101"/>
      <c r="E394" s="101"/>
      <c r="F394" s="102"/>
      <c r="G394" s="101"/>
      <c r="H394" s="102"/>
      <c r="I394" s="101"/>
      <c r="J394" s="101"/>
      <c r="K394" s="103"/>
      <c r="L394" s="103"/>
      <c r="M394" s="103"/>
      <c r="N394" s="103"/>
      <c r="O394" s="103"/>
      <c r="P394" s="98"/>
      <c r="Q394" s="99"/>
      <c r="R394" s="105">
        <f t="shared" si="23"/>
        <v>0</v>
      </c>
      <c r="S394" s="108">
        <f t="shared" si="22"/>
        <v>0</v>
      </c>
      <c r="T394" s="105">
        <f t="shared" si="24"/>
        <v>0</v>
      </c>
    </row>
    <row r="395" spans="1:20">
      <c r="A395" s="101"/>
      <c r="B395" s="101"/>
      <c r="C395" s="101"/>
      <c r="D395" s="101"/>
      <c r="E395" s="101"/>
      <c r="F395" s="102"/>
      <c r="G395" s="101"/>
      <c r="H395" s="102"/>
      <c r="I395" s="101"/>
      <c r="J395" s="101"/>
      <c r="K395" s="103"/>
      <c r="L395" s="103"/>
      <c r="M395" s="103"/>
      <c r="N395" s="103"/>
      <c r="O395" s="103"/>
      <c r="P395" s="98"/>
      <c r="Q395" s="99"/>
      <c r="R395" s="104">
        <f t="shared" si="23"/>
        <v>0</v>
      </c>
      <c r="S395" s="104">
        <f t="shared" si="22"/>
        <v>0</v>
      </c>
      <c r="T395" s="104">
        <f t="shared" si="24"/>
        <v>0</v>
      </c>
    </row>
    <row r="396" spans="1:20">
      <c r="A396" s="101"/>
      <c r="B396" s="101"/>
      <c r="C396" s="101"/>
      <c r="D396" s="101"/>
      <c r="E396" s="101"/>
      <c r="F396" s="102"/>
      <c r="G396" s="101"/>
      <c r="H396" s="102"/>
      <c r="I396" s="101"/>
      <c r="J396" s="101"/>
      <c r="K396" s="103"/>
      <c r="L396" s="103"/>
      <c r="M396" s="103"/>
      <c r="N396" s="103"/>
      <c r="O396" s="103"/>
      <c r="P396" s="98"/>
      <c r="Q396" s="99"/>
      <c r="R396" s="105">
        <f t="shared" si="23"/>
        <v>0</v>
      </c>
      <c r="S396" s="108">
        <f t="shared" si="22"/>
        <v>0</v>
      </c>
      <c r="T396" s="105">
        <f t="shared" si="24"/>
        <v>0</v>
      </c>
    </row>
    <row r="397" spans="1:20">
      <c r="A397" s="101"/>
      <c r="B397" s="101"/>
      <c r="C397" s="101"/>
      <c r="D397" s="101"/>
      <c r="E397" s="101"/>
      <c r="F397" s="102"/>
      <c r="G397" s="101"/>
      <c r="H397" s="102"/>
      <c r="I397" s="101"/>
      <c r="J397" s="101"/>
      <c r="K397" s="103"/>
      <c r="L397" s="103"/>
      <c r="M397" s="103"/>
      <c r="N397" s="103"/>
      <c r="O397" s="103"/>
      <c r="P397" s="98"/>
      <c r="Q397" s="99"/>
      <c r="R397" s="104">
        <f t="shared" si="23"/>
        <v>0</v>
      </c>
      <c r="S397" s="104">
        <f t="shared" si="22"/>
        <v>0</v>
      </c>
      <c r="T397" s="104">
        <f t="shared" si="24"/>
        <v>0</v>
      </c>
    </row>
    <row r="398" spans="1:20">
      <c r="A398" s="101"/>
      <c r="B398" s="101"/>
      <c r="C398" s="101"/>
      <c r="D398" s="101"/>
      <c r="E398" s="101"/>
      <c r="F398" s="102"/>
      <c r="G398" s="101"/>
      <c r="H398" s="102"/>
      <c r="I398" s="101"/>
      <c r="J398" s="101"/>
      <c r="K398" s="103"/>
      <c r="L398" s="103"/>
      <c r="M398" s="103"/>
      <c r="N398" s="103"/>
      <c r="O398" s="103"/>
      <c r="P398" s="98"/>
      <c r="Q398" s="99"/>
      <c r="R398" s="105">
        <f t="shared" si="23"/>
        <v>0</v>
      </c>
      <c r="S398" s="108">
        <f t="shared" si="22"/>
        <v>0</v>
      </c>
      <c r="T398" s="105">
        <f t="shared" si="24"/>
        <v>0</v>
      </c>
    </row>
    <row r="399" spans="1:20">
      <c r="A399" s="101"/>
      <c r="B399" s="101"/>
      <c r="C399" s="101"/>
      <c r="D399" s="101"/>
      <c r="E399" s="101"/>
      <c r="F399" s="102"/>
      <c r="G399" s="101"/>
      <c r="H399" s="102"/>
      <c r="I399" s="101"/>
      <c r="J399" s="101"/>
      <c r="K399" s="103"/>
      <c r="L399" s="103"/>
      <c r="M399" s="103"/>
      <c r="N399" s="103"/>
      <c r="O399" s="103"/>
      <c r="P399" s="98"/>
      <c r="Q399" s="99"/>
      <c r="R399" s="104">
        <f t="shared" si="23"/>
        <v>0</v>
      </c>
      <c r="S399" s="104">
        <f t="shared" si="22"/>
        <v>0</v>
      </c>
      <c r="T399" s="104">
        <f t="shared" si="24"/>
        <v>0</v>
      </c>
    </row>
    <row r="400" spans="1:20">
      <c r="A400" s="101"/>
      <c r="B400" s="101"/>
      <c r="C400" s="101"/>
      <c r="D400" s="101"/>
      <c r="E400" s="101"/>
      <c r="F400" s="102"/>
      <c r="G400" s="101"/>
      <c r="H400" s="102"/>
      <c r="I400" s="101"/>
      <c r="J400" s="101"/>
      <c r="K400" s="103"/>
      <c r="L400" s="103"/>
      <c r="M400" s="103"/>
      <c r="N400" s="103"/>
      <c r="O400" s="103"/>
      <c r="P400" s="98"/>
      <c r="Q400" s="99"/>
      <c r="R400" s="105">
        <f t="shared" si="23"/>
        <v>0</v>
      </c>
      <c r="S400" s="108">
        <f t="shared" si="22"/>
        <v>0</v>
      </c>
      <c r="T400" s="105">
        <f t="shared" si="24"/>
        <v>0</v>
      </c>
    </row>
    <row r="401" spans="1:20">
      <c r="A401" s="101"/>
      <c r="B401" s="101"/>
      <c r="C401" s="101"/>
      <c r="D401" s="101"/>
      <c r="E401" s="101"/>
      <c r="F401" s="102"/>
      <c r="G401" s="101"/>
      <c r="H401" s="102"/>
      <c r="I401" s="101"/>
      <c r="J401" s="101"/>
      <c r="K401" s="103"/>
      <c r="L401" s="103"/>
      <c r="M401" s="103"/>
      <c r="N401" s="103"/>
      <c r="O401" s="103"/>
      <c r="P401" s="98"/>
      <c r="Q401" s="99"/>
      <c r="R401" s="104">
        <f t="shared" si="23"/>
        <v>0</v>
      </c>
      <c r="S401" s="104">
        <f t="shared" si="22"/>
        <v>0</v>
      </c>
      <c r="T401" s="104">
        <f t="shared" si="24"/>
        <v>0</v>
      </c>
    </row>
    <row r="402" spans="1:20">
      <c r="A402" s="101"/>
      <c r="B402" s="101"/>
      <c r="C402" s="101"/>
      <c r="D402" s="101"/>
      <c r="E402" s="101"/>
      <c r="F402" s="102"/>
      <c r="G402" s="101"/>
      <c r="H402" s="102"/>
      <c r="I402" s="101"/>
      <c r="J402" s="101"/>
      <c r="K402" s="103"/>
      <c r="L402" s="103"/>
      <c r="M402" s="103"/>
      <c r="N402" s="103"/>
      <c r="O402" s="103"/>
      <c r="P402" s="98"/>
      <c r="Q402" s="99"/>
      <c r="R402" s="105">
        <f t="shared" si="23"/>
        <v>0</v>
      </c>
      <c r="S402" s="108">
        <f t="shared" si="22"/>
        <v>0</v>
      </c>
      <c r="T402" s="105">
        <f t="shared" si="24"/>
        <v>0</v>
      </c>
    </row>
    <row r="403" spans="1:20">
      <c r="A403" s="101"/>
      <c r="B403" s="101"/>
      <c r="C403" s="101"/>
      <c r="D403" s="101"/>
      <c r="E403" s="101"/>
      <c r="F403" s="102"/>
      <c r="G403" s="101"/>
      <c r="H403" s="102"/>
      <c r="I403" s="101"/>
      <c r="J403" s="101"/>
      <c r="K403" s="103"/>
      <c r="L403" s="103"/>
      <c r="M403" s="103"/>
      <c r="N403" s="103"/>
      <c r="O403" s="103"/>
      <c r="P403" s="98"/>
      <c r="Q403" s="99"/>
      <c r="R403" s="104">
        <f t="shared" si="23"/>
        <v>0</v>
      </c>
      <c r="S403" s="104">
        <f t="shared" si="22"/>
        <v>0</v>
      </c>
      <c r="T403" s="104">
        <f t="shared" si="24"/>
        <v>0</v>
      </c>
    </row>
    <row r="404" spans="1:20">
      <c r="A404" s="101"/>
      <c r="B404" s="101"/>
      <c r="C404" s="101"/>
      <c r="D404" s="101"/>
      <c r="E404" s="101"/>
      <c r="F404" s="102"/>
      <c r="G404" s="101"/>
      <c r="H404" s="102"/>
      <c r="I404" s="101"/>
      <c r="J404" s="101"/>
      <c r="K404" s="103"/>
      <c r="L404" s="103"/>
      <c r="M404" s="103"/>
      <c r="N404" s="103"/>
      <c r="O404" s="103"/>
      <c r="P404" s="98"/>
      <c r="Q404" s="99"/>
      <c r="R404" s="105">
        <f t="shared" si="23"/>
        <v>0</v>
      </c>
      <c r="S404" s="108">
        <f t="shared" si="22"/>
        <v>0</v>
      </c>
      <c r="T404" s="105">
        <f t="shared" si="24"/>
        <v>0</v>
      </c>
    </row>
    <row r="405" spans="1:20">
      <c r="A405" s="101"/>
      <c r="B405" s="101"/>
      <c r="C405" s="101"/>
      <c r="D405" s="101"/>
      <c r="E405" s="101"/>
      <c r="F405" s="102"/>
      <c r="G405" s="101"/>
      <c r="H405" s="102"/>
      <c r="I405" s="101"/>
      <c r="J405" s="101"/>
      <c r="K405" s="103"/>
      <c r="L405" s="103"/>
      <c r="M405" s="103"/>
      <c r="N405" s="103"/>
      <c r="O405" s="103"/>
      <c r="P405" s="98"/>
      <c r="Q405" s="99"/>
      <c r="R405" s="104">
        <f t="shared" si="23"/>
        <v>0</v>
      </c>
      <c r="S405" s="104">
        <f t="shared" si="22"/>
        <v>0</v>
      </c>
      <c r="T405" s="104">
        <f t="shared" si="24"/>
        <v>0</v>
      </c>
    </row>
    <row r="406" spans="1:20">
      <c r="A406" s="101"/>
      <c r="B406" s="101"/>
      <c r="C406" s="101"/>
      <c r="D406" s="101"/>
      <c r="E406" s="101"/>
      <c r="F406" s="102"/>
      <c r="G406" s="101"/>
      <c r="H406" s="102"/>
      <c r="I406" s="101"/>
      <c r="J406" s="101"/>
      <c r="K406" s="103"/>
      <c r="L406" s="103"/>
      <c r="M406" s="103"/>
      <c r="N406" s="103"/>
      <c r="O406" s="103"/>
      <c r="P406" s="98"/>
      <c r="Q406" s="99"/>
      <c r="R406" s="105">
        <f t="shared" si="23"/>
        <v>0</v>
      </c>
      <c r="S406" s="108">
        <f t="shared" si="22"/>
        <v>0</v>
      </c>
      <c r="T406" s="105">
        <f t="shared" si="24"/>
        <v>0</v>
      </c>
    </row>
    <row r="407" spans="1:20">
      <c r="A407" s="101"/>
      <c r="B407" s="101"/>
      <c r="C407" s="101"/>
      <c r="D407" s="101"/>
      <c r="E407" s="101"/>
      <c r="F407" s="102"/>
      <c r="G407" s="101"/>
      <c r="H407" s="102"/>
      <c r="I407" s="101"/>
      <c r="J407" s="101"/>
      <c r="K407" s="103"/>
      <c r="L407" s="103"/>
      <c r="M407" s="103"/>
      <c r="N407" s="103"/>
      <c r="O407" s="103"/>
      <c r="P407" s="98"/>
      <c r="Q407" s="99"/>
      <c r="R407" s="104">
        <f t="shared" si="23"/>
        <v>0</v>
      </c>
      <c r="S407" s="104">
        <f t="shared" si="22"/>
        <v>0</v>
      </c>
      <c r="T407" s="104">
        <f t="shared" si="24"/>
        <v>0</v>
      </c>
    </row>
    <row r="408" spans="1:20">
      <c r="A408" s="101"/>
      <c r="B408" s="101"/>
      <c r="C408" s="101"/>
      <c r="D408" s="101"/>
      <c r="E408" s="101"/>
      <c r="F408" s="102"/>
      <c r="G408" s="101"/>
      <c r="H408" s="102"/>
      <c r="I408" s="101"/>
      <c r="J408" s="101"/>
      <c r="K408" s="103"/>
      <c r="L408" s="103"/>
      <c r="M408" s="103"/>
      <c r="N408" s="103"/>
      <c r="O408" s="103"/>
      <c r="P408" s="98"/>
      <c r="Q408" s="99"/>
      <c r="R408" s="105">
        <f t="shared" si="23"/>
        <v>0</v>
      </c>
      <c r="S408" s="108">
        <f t="shared" si="22"/>
        <v>0</v>
      </c>
      <c r="T408" s="105">
        <f t="shared" si="24"/>
        <v>0</v>
      </c>
    </row>
    <row r="409" spans="1:20">
      <c r="A409" s="101"/>
      <c r="B409" s="101"/>
      <c r="C409" s="101"/>
      <c r="D409" s="101"/>
      <c r="E409" s="101"/>
      <c r="F409" s="102"/>
      <c r="G409" s="101"/>
      <c r="H409" s="102"/>
      <c r="I409" s="101"/>
      <c r="J409" s="101"/>
      <c r="K409" s="103"/>
      <c r="L409" s="103"/>
      <c r="M409" s="103"/>
      <c r="N409" s="103"/>
      <c r="O409" s="103"/>
      <c r="P409" s="98"/>
      <c r="Q409" s="99"/>
      <c r="R409" s="104">
        <f t="shared" si="23"/>
        <v>0</v>
      </c>
      <c r="S409" s="104">
        <f t="shared" si="22"/>
        <v>0</v>
      </c>
      <c r="T409" s="104">
        <f t="shared" si="24"/>
        <v>0</v>
      </c>
    </row>
    <row r="410" spans="1:20">
      <c r="A410" s="101"/>
      <c r="B410" s="101"/>
      <c r="C410" s="101"/>
      <c r="D410" s="101"/>
      <c r="E410" s="101"/>
      <c r="F410" s="102"/>
      <c r="G410" s="101"/>
      <c r="H410" s="102"/>
      <c r="I410" s="101"/>
      <c r="J410" s="101"/>
      <c r="K410" s="103"/>
      <c r="L410" s="103"/>
      <c r="M410" s="103"/>
      <c r="N410" s="103"/>
      <c r="O410" s="103"/>
      <c r="P410" s="98"/>
      <c r="Q410" s="99"/>
      <c r="R410" s="105">
        <f t="shared" si="23"/>
        <v>0</v>
      </c>
      <c r="S410" s="108">
        <f t="shared" si="22"/>
        <v>0</v>
      </c>
      <c r="T410" s="105">
        <f t="shared" si="24"/>
        <v>0</v>
      </c>
    </row>
    <row r="411" spans="1:20">
      <c r="A411" s="101"/>
      <c r="B411" s="101"/>
      <c r="C411" s="101"/>
      <c r="D411" s="101"/>
      <c r="E411" s="101"/>
      <c r="F411" s="102"/>
      <c r="G411" s="101"/>
      <c r="H411" s="102"/>
      <c r="I411" s="101"/>
      <c r="J411" s="101"/>
      <c r="K411" s="103"/>
      <c r="L411" s="103"/>
      <c r="M411" s="103"/>
      <c r="N411" s="103"/>
      <c r="O411" s="103"/>
      <c r="P411" s="98"/>
      <c r="Q411" s="99"/>
      <c r="R411" s="104">
        <f t="shared" si="23"/>
        <v>0</v>
      </c>
      <c r="S411" s="104">
        <f t="shared" si="22"/>
        <v>0</v>
      </c>
      <c r="T411" s="104">
        <f t="shared" si="24"/>
        <v>0</v>
      </c>
    </row>
    <row r="412" spans="1:20">
      <c r="A412" s="101"/>
      <c r="B412" s="101"/>
      <c r="C412" s="101"/>
      <c r="D412" s="101"/>
      <c r="E412" s="101"/>
      <c r="F412" s="102"/>
      <c r="G412" s="101"/>
      <c r="H412" s="102"/>
      <c r="I412" s="101"/>
      <c r="J412" s="101"/>
      <c r="K412" s="103"/>
      <c r="L412" s="103"/>
      <c r="M412" s="103"/>
      <c r="N412" s="103"/>
      <c r="O412" s="103"/>
      <c r="P412" s="98"/>
      <c r="Q412" s="99"/>
      <c r="R412" s="105">
        <f t="shared" si="23"/>
        <v>0</v>
      </c>
      <c r="S412" s="108">
        <f t="shared" si="22"/>
        <v>0</v>
      </c>
      <c r="T412" s="105">
        <f t="shared" si="24"/>
        <v>0</v>
      </c>
    </row>
    <row r="413" spans="1:20">
      <c r="A413" s="101"/>
      <c r="B413" s="101"/>
      <c r="C413" s="101"/>
      <c r="D413" s="101"/>
      <c r="E413" s="101"/>
      <c r="F413" s="102"/>
      <c r="G413" s="101"/>
      <c r="H413" s="102"/>
      <c r="I413" s="101"/>
      <c r="J413" s="101"/>
      <c r="K413" s="103"/>
      <c r="L413" s="103"/>
      <c r="M413" s="103"/>
      <c r="N413" s="103"/>
      <c r="O413" s="103"/>
      <c r="P413" s="98"/>
      <c r="Q413" s="99"/>
      <c r="R413" s="104">
        <f t="shared" si="23"/>
        <v>0</v>
      </c>
      <c r="S413" s="104">
        <f t="shared" si="22"/>
        <v>0</v>
      </c>
      <c r="T413" s="104">
        <f t="shared" si="24"/>
        <v>0</v>
      </c>
    </row>
    <row r="414" spans="1:20">
      <c r="A414" s="101"/>
      <c r="B414" s="101"/>
      <c r="C414" s="101"/>
      <c r="D414" s="101"/>
      <c r="E414" s="101"/>
      <c r="F414" s="102"/>
      <c r="G414" s="101"/>
      <c r="H414" s="102"/>
      <c r="I414" s="101"/>
      <c r="J414" s="101"/>
      <c r="K414" s="103"/>
      <c r="L414" s="103"/>
      <c r="M414" s="103"/>
      <c r="N414" s="103"/>
      <c r="O414" s="103"/>
      <c r="P414" s="98"/>
      <c r="Q414" s="99"/>
      <c r="R414" s="105">
        <f t="shared" si="23"/>
        <v>0</v>
      </c>
      <c r="S414" s="108">
        <f t="shared" si="22"/>
        <v>0</v>
      </c>
      <c r="T414" s="105">
        <f t="shared" si="24"/>
        <v>0</v>
      </c>
    </row>
    <row r="415" spans="1:20">
      <c r="A415" s="101"/>
      <c r="B415" s="101"/>
      <c r="C415" s="101"/>
      <c r="D415" s="101"/>
      <c r="E415" s="101"/>
      <c r="F415" s="102"/>
      <c r="G415" s="101"/>
      <c r="H415" s="102"/>
      <c r="I415" s="101"/>
      <c r="J415" s="101"/>
      <c r="K415" s="103"/>
      <c r="L415" s="103"/>
      <c r="M415" s="103"/>
      <c r="N415" s="103"/>
      <c r="O415" s="103"/>
      <c r="P415" s="98"/>
      <c r="Q415" s="99"/>
      <c r="R415" s="104">
        <f t="shared" si="23"/>
        <v>0</v>
      </c>
      <c r="S415" s="104">
        <f t="shared" si="22"/>
        <v>0</v>
      </c>
      <c r="T415" s="104">
        <f t="shared" si="24"/>
        <v>0</v>
      </c>
    </row>
    <row r="416" spans="1:20">
      <c r="A416" s="101"/>
      <c r="B416" s="101"/>
      <c r="C416" s="101"/>
      <c r="D416" s="101"/>
      <c r="E416" s="101"/>
      <c r="F416" s="102"/>
      <c r="G416" s="101"/>
      <c r="H416" s="102"/>
      <c r="I416" s="101"/>
      <c r="J416" s="101"/>
      <c r="K416" s="103"/>
      <c r="L416" s="103"/>
      <c r="M416" s="103"/>
      <c r="N416" s="103"/>
      <c r="O416" s="103"/>
      <c r="P416" s="98"/>
      <c r="Q416" s="99"/>
      <c r="R416" s="105">
        <f t="shared" si="23"/>
        <v>0</v>
      </c>
      <c r="S416" s="108">
        <f t="shared" si="22"/>
        <v>0</v>
      </c>
      <c r="T416" s="105">
        <f t="shared" si="24"/>
        <v>0</v>
      </c>
    </row>
    <row r="417" spans="1:20">
      <c r="A417" s="101"/>
      <c r="B417" s="101"/>
      <c r="C417" s="101"/>
      <c r="D417" s="101"/>
      <c r="E417" s="101"/>
      <c r="F417" s="102"/>
      <c r="G417" s="101"/>
      <c r="H417" s="102"/>
      <c r="I417" s="101"/>
      <c r="J417" s="101"/>
      <c r="K417" s="103"/>
      <c r="L417" s="103"/>
      <c r="M417" s="103"/>
      <c r="N417" s="103"/>
      <c r="O417" s="103"/>
      <c r="P417" s="98"/>
      <c r="Q417" s="99"/>
      <c r="R417" s="104">
        <f t="shared" si="23"/>
        <v>0</v>
      </c>
      <c r="S417" s="104">
        <f t="shared" si="22"/>
        <v>0</v>
      </c>
      <c r="T417" s="104">
        <f t="shared" si="24"/>
        <v>0</v>
      </c>
    </row>
    <row r="418" spans="1:20">
      <c r="A418" s="101"/>
      <c r="B418" s="101"/>
      <c r="C418" s="101"/>
      <c r="D418" s="101"/>
      <c r="E418" s="101"/>
      <c r="F418" s="102"/>
      <c r="G418" s="101"/>
      <c r="H418" s="102"/>
      <c r="I418" s="101"/>
      <c r="J418" s="101"/>
      <c r="K418" s="103"/>
      <c r="L418" s="103"/>
      <c r="M418" s="103"/>
      <c r="N418" s="103"/>
      <c r="O418" s="103"/>
      <c r="P418" s="98"/>
      <c r="Q418" s="99"/>
      <c r="R418" s="105">
        <f t="shared" si="23"/>
        <v>0</v>
      </c>
      <c r="S418" s="108">
        <f t="shared" si="22"/>
        <v>0</v>
      </c>
      <c r="T418" s="105">
        <f t="shared" si="24"/>
        <v>0</v>
      </c>
    </row>
    <row r="419" spans="1:20">
      <c r="A419" s="101"/>
      <c r="B419" s="101"/>
      <c r="C419" s="101"/>
      <c r="D419" s="101"/>
      <c r="E419" s="101"/>
      <c r="F419" s="102"/>
      <c r="G419" s="101"/>
      <c r="H419" s="102"/>
      <c r="I419" s="101"/>
      <c r="J419" s="101"/>
      <c r="K419" s="103"/>
      <c r="L419" s="103"/>
      <c r="M419" s="103"/>
      <c r="N419" s="103"/>
      <c r="O419" s="103"/>
      <c r="P419" s="98"/>
      <c r="Q419" s="99"/>
      <c r="R419" s="104">
        <f t="shared" si="23"/>
        <v>0</v>
      </c>
      <c r="S419" s="104">
        <f t="shared" si="22"/>
        <v>0</v>
      </c>
      <c r="T419" s="104">
        <f t="shared" si="24"/>
        <v>0</v>
      </c>
    </row>
    <row r="420" spans="1:20">
      <c r="A420" s="101"/>
      <c r="B420" s="101"/>
      <c r="C420" s="101"/>
      <c r="D420" s="101"/>
      <c r="E420" s="101"/>
      <c r="F420" s="102"/>
      <c r="G420" s="101"/>
      <c r="H420" s="102"/>
      <c r="I420" s="101"/>
      <c r="J420" s="101"/>
      <c r="K420" s="103"/>
      <c r="L420" s="103"/>
      <c r="M420" s="103"/>
      <c r="N420" s="103"/>
      <c r="O420" s="103"/>
      <c r="P420" s="98"/>
      <c r="Q420" s="99"/>
      <c r="R420" s="105">
        <f t="shared" si="23"/>
        <v>0</v>
      </c>
      <c r="S420" s="108">
        <f t="shared" si="22"/>
        <v>0</v>
      </c>
      <c r="T420" s="105">
        <f t="shared" si="24"/>
        <v>0</v>
      </c>
    </row>
    <row r="421" spans="1:20">
      <c r="A421" s="101"/>
      <c r="B421" s="101"/>
      <c r="C421" s="101"/>
      <c r="D421" s="101"/>
      <c r="E421" s="101"/>
      <c r="F421" s="102"/>
      <c r="G421" s="101"/>
      <c r="H421" s="102"/>
      <c r="I421" s="101"/>
      <c r="J421" s="101"/>
      <c r="K421" s="103"/>
      <c r="L421" s="103"/>
      <c r="M421" s="103"/>
      <c r="N421" s="103"/>
      <c r="O421" s="103"/>
      <c r="P421" s="98"/>
      <c r="Q421" s="99"/>
      <c r="R421" s="104">
        <f t="shared" si="23"/>
        <v>0</v>
      </c>
      <c r="S421" s="104">
        <f t="shared" si="22"/>
        <v>0</v>
      </c>
      <c r="T421" s="104">
        <f t="shared" si="24"/>
        <v>0</v>
      </c>
    </row>
    <row r="422" spans="1:20">
      <c r="A422" s="101"/>
      <c r="B422" s="101"/>
      <c r="C422" s="101"/>
      <c r="D422" s="101"/>
      <c r="E422" s="101"/>
      <c r="F422" s="102"/>
      <c r="G422" s="101"/>
      <c r="H422" s="102"/>
      <c r="I422" s="101"/>
      <c r="J422" s="101"/>
      <c r="K422" s="103"/>
      <c r="L422" s="103"/>
      <c r="M422" s="103"/>
      <c r="N422" s="103"/>
      <c r="O422" s="103"/>
      <c r="P422" s="98"/>
      <c r="Q422" s="99"/>
      <c r="R422" s="105">
        <f t="shared" si="23"/>
        <v>0</v>
      </c>
      <c r="S422" s="108">
        <f t="shared" si="22"/>
        <v>0</v>
      </c>
      <c r="T422" s="105">
        <f t="shared" si="24"/>
        <v>0</v>
      </c>
    </row>
    <row r="423" spans="1:20">
      <c r="A423" s="101"/>
      <c r="B423" s="101"/>
      <c r="C423" s="101"/>
      <c r="D423" s="101"/>
      <c r="E423" s="101"/>
      <c r="F423" s="102"/>
      <c r="G423" s="101"/>
      <c r="H423" s="102"/>
      <c r="I423" s="101"/>
      <c r="J423" s="101"/>
      <c r="K423" s="103"/>
      <c r="L423" s="103"/>
      <c r="M423" s="103"/>
      <c r="N423" s="103"/>
      <c r="O423" s="103"/>
      <c r="P423" s="98"/>
      <c r="Q423" s="99"/>
      <c r="R423" s="104">
        <f t="shared" si="23"/>
        <v>0</v>
      </c>
      <c r="S423" s="104">
        <f t="shared" si="22"/>
        <v>0</v>
      </c>
      <c r="T423" s="104">
        <f t="shared" si="24"/>
        <v>0</v>
      </c>
    </row>
    <row r="424" spans="1:20">
      <c r="A424" s="101"/>
      <c r="B424" s="101"/>
      <c r="C424" s="101"/>
      <c r="D424" s="101"/>
      <c r="E424" s="101"/>
      <c r="F424" s="102"/>
      <c r="G424" s="101"/>
      <c r="H424" s="102"/>
      <c r="I424" s="101"/>
      <c r="J424" s="101"/>
      <c r="K424" s="103"/>
      <c r="L424" s="103"/>
      <c r="M424" s="103"/>
      <c r="N424" s="103"/>
      <c r="O424" s="103"/>
      <c r="P424" s="98"/>
      <c r="Q424" s="99"/>
      <c r="R424" s="105">
        <f t="shared" si="23"/>
        <v>0</v>
      </c>
      <c r="S424" s="108">
        <f t="shared" si="22"/>
        <v>0</v>
      </c>
      <c r="T424" s="105">
        <f t="shared" si="24"/>
        <v>0</v>
      </c>
    </row>
    <row r="425" spans="1:20">
      <c r="A425" s="101"/>
      <c r="B425" s="101"/>
      <c r="C425" s="101"/>
      <c r="D425" s="101"/>
      <c r="E425" s="101"/>
      <c r="F425" s="102"/>
      <c r="G425" s="101"/>
      <c r="H425" s="102"/>
      <c r="I425" s="101"/>
      <c r="J425" s="101"/>
      <c r="K425" s="103"/>
      <c r="L425" s="103"/>
      <c r="M425" s="103"/>
      <c r="N425" s="103"/>
      <c r="O425" s="103"/>
      <c r="P425" s="98"/>
      <c r="Q425" s="99"/>
      <c r="R425" s="104">
        <f t="shared" si="23"/>
        <v>0</v>
      </c>
      <c r="S425" s="104">
        <f t="shared" si="22"/>
        <v>0</v>
      </c>
      <c r="T425" s="104">
        <f t="shared" si="24"/>
        <v>0</v>
      </c>
    </row>
    <row r="426" spans="1:20">
      <c r="A426" s="101"/>
      <c r="B426" s="101"/>
      <c r="C426" s="101"/>
      <c r="D426" s="101"/>
      <c r="E426" s="101"/>
      <c r="F426" s="102"/>
      <c r="G426" s="101"/>
      <c r="H426" s="102"/>
      <c r="I426" s="101"/>
      <c r="J426" s="101"/>
      <c r="K426" s="103"/>
      <c r="L426" s="103"/>
      <c r="M426" s="103"/>
      <c r="N426" s="103"/>
      <c r="O426" s="103"/>
      <c r="P426" s="98"/>
      <c r="Q426" s="99"/>
      <c r="R426" s="105">
        <f t="shared" si="23"/>
        <v>0</v>
      </c>
      <c r="S426" s="108">
        <f t="shared" si="22"/>
        <v>0</v>
      </c>
      <c r="T426" s="105">
        <f t="shared" si="24"/>
        <v>0</v>
      </c>
    </row>
    <row r="427" spans="1:20">
      <c r="A427" s="101"/>
      <c r="B427" s="101"/>
      <c r="C427" s="101"/>
      <c r="D427" s="101"/>
      <c r="E427" s="101"/>
      <c r="F427" s="102"/>
      <c r="G427" s="101"/>
      <c r="H427" s="102"/>
      <c r="I427" s="101"/>
      <c r="J427" s="101"/>
      <c r="K427" s="103"/>
      <c r="L427" s="103"/>
      <c r="M427" s="103"/>
      <c r="N427" s="103"/>
      <c r="O427" s="103"/>
      <c r="P427" s="98"/>
      <c r="Q427" s="99"/>
      <c r="R427" s="104">
        <f t="shared" si="23"/>
        <v>0</v>
      </c>
      <c r="S427" s="104">
        <f t="shared" si="22"/>
        <v>0</v>
      </c>
      <c r="T427" s="104">
        <f t="shared" si="24"/>
        <v>0</v>
      </c>
    </row>
    <row r="428" spans="1:20">
      <c r="A428" s="101"/>
      <c r="B428" s="101"/>
      <c r="C428" s="101"/>
      <c r="D428" s="101"/>
      <c r="E428" s="101"/>
      <c r="F428" s="102"/>
      <c r="G428" s="101"/>
      <c r="H428" s="102"/>
      <c r="I428" s="101"/>
      <c r="J428" s="101"/>
      <c r="K428" s="103"/>
      <c r="L428" s="103"/>
      <c r="M428" s="103"/>
      <c r="N428" s="103"/>
      <c r="O428" s="103"/>
      <c r="P428" s="98"/>
      <c r="Q428" s="99"/>
      <c r="R428" s="105">
        <f t="shared" si="23"/>
        <v>0</v>
      </c>
      <c r="S428" s="108">
        <f t="shared" si="22"/>
        <v>0</v>
      </c>
      <c r="T428" s="105">
        <f t="shared" si="24"/>
        <v>0</v>
      </c>
    </row>
    <row r="429" spans="1:20">
      <c r="A429" s="101"/>
      <c r="B429" s="101"/>
      <c r="C429" s="101"/>
      <c r="D429" s="101"/>
      <c r="E429" s="101"/>
      <c r="F429" s="102"/>
      <c r="G429" s="101"/>
      <c r="H429" s="102"/>
      <c r="I429" s="101"/>
      <c r="J429" s="101"/>
      <c r="K429" s="103"/>
      <c r="L429" s="103"/>
      <c r="M429" s="103"/>
      <c r="N429" s="103"/>
      <c r="O429" s="103"/>
      <c r="P429" s="98"/>
      <c r="Q429" s="99"/>
      <c r="R429" s="104">
        <f t="shared" si="23"/>
        <v>0</v>
      </c>
      <c r="S429" s="104">
        <f t="shared" si="22"/>
        <v>0</v>
      </c>
      <c r="T429" s="104">
        <f t="shared" si="24"/>
        <v>0</v>
      </c>
    </row>
    <row r="430" spans="1:20">
      <c r="A430" s="101"/>
      <c r="B430" s="101"/>
      <c r="C430" s="101"/>
      <c r="D430" s="101"/>
      <c r="E430" s="101"/>
      <c r="F430" s="102"/>
      <c r="G430" s="101"/>
      <c r="H430" s="102"/>
      <c r="I430" s="101"/>
      <c r="J430" s="101"/>
      <c r="K430" s="103"/>
      <c r="L430" s="103"/>
      <c r="M430" s="103"/>
      <c r="N430" s="103"/>
      <c r="O430" s="103"/>
      <c r="P430" s="98"/>
      <c r="Q430" s="99"/>
      <c r="R430" s="105">
        <f t="shared" si="23"/>
        <v>0</v>
      </c>
      <c r="S430" s="108">
        <f t="shared" si="22"/>
        <v>0</v>
      </c>
      <c r="T430" s="105">
        <f t="shared" si="24"/>
        <v>0</v>
      </c>
    </row>
    <row r="431" spans="1:20">
      <c r="A431" s="101"/>
      <c r="B431" s="101"/>
      <c r="C431" s="101"/>
      <c r="D431" s="101"/>
      <c r="E431" s="101"/>
      <c r="F431" s="102"/>
      <c r="G431" s="101"/>
      <c r="H431" s="102"/>
      <c r="I431" s="101"/>
      <c r="J431" s="101"/>
      <c r="K431" s="103"/>
      <c r="L431" s="103"/>
      <c r="M431" s="103"/>
      <c r="N431" s="103"/>
      <c r="O431" s="103"/>
      <c r="P431" s="98"/>
      <c r="Q431" s="99"/>
      <c r="R431" s="104">
        <f t="shared" si="23"/>
        <v>0</v>
      </c>
      <c r="S431" s="104">
        <f t="shared" si="22"/>
        <v>0</v>
      </c>
      <c r="T431" s="104">
        <f t="shared" si="24"/>
        <v>0</v>
      </c>
    </row>
    <row r="432" spans="1:20">
      <c r="A432" s="101"/>
      <c r="B432" s="101"/>
      <c r="C432" s="101"/>
      <c r="D432" s="101"/>
      <c r="E432" s="101"/>
      <c r="F432" s="102"/>
      <c r="G432" s="101"/>
      <c r="H432" s="102"/>
      <c r="I432" s="101"/>
      <c r="J432" s="101"/>
      <c r="K432" s="103"/>
      <c r="L432" s="103"/>
      <c r="M432" s="103"/>
      <c r="N432" s="103"/>
      <c r="O432" s="103"/>
      <c r="P432" s="98"/>
      <c r="Q432" s="99"/>
      <c r="R432" s="105">
        <f t="shared" si="23"/>
        <v>0</v>
      </c>
      <c r="S432" s="108">
        <f t="shared" si="22"/>
        <v>0</v>
      </c>
      <c r="T432" s="105">
        <f t="shared" si="24"/>
        <v>0</v>
      </c>
    </row>
    <row r="433" spans="1:20">
      <c r="A433" s="101"/>
      <c r="B433" s="101"/>
      <c r="C433" s="101"/>
      <c r="D433" s="101"/>
      <c r="E433" s="101"/>
      <c r="F433" s="102"/>
      <c r="G433" s="101"/>
      <c r="H433" s="102"/>
      <c r="I433" s="101"/>
      <c r="J433" s="101"/>
      <c r="K433" s="103"/>
      <c r="L433" s="103"/>
      <c r="M433" s="103"/>
      <c r="N433" s="103"/>
      <c r="O433" s="103"/>
      <c r="P433" s="98"/>
      <c r="Q433" s="99"/>
      <c r="R433" s="104">
        <f t="shared" si="23"/>
        <v>0</v>
      </c>
      <c r="S433" s="104">
        <f t="shared" si="22"/>
        <v>0</v>
      </c>
      <c r="T433" s="104">
        <f t="shared" si="24"/>
        <v>0</v>
      </c>
    </row>
    <row r="434" spans="1:20">
      <c r="A434" s="101"/>
      <c r="B434" s="101"/>
      <c r="C434" s="101"/>
      <c r="D434" s="101"/>
      <c r="E434" s="101"/>
      <c r="F434" s="102"/>
      <c r="G434" s="101"/>
      <c r="H434" s="102"/>
      <c r="I434" s="101"/>
      <c r="J434" s="101"/>
      <c r="K434" s="103"/>
      <c r="L434" s="103"/>
      <c r="M434" s="103"/>
      <c r="N434" s="103"/>
      <c r="O434" s="103"/>
      <c r="P434" s="98"/>
      <c r="Q434" s="99"/>
      <c r="R434" s="105">
        <f t="shared" si="23"/>
        <v>0</v>
      </c>
      <c r="S434" s="108">
        <f t="shared" si="22"/>
        <v>0</v>
      </c>
      <c r="T434" s="105">
        <f t="shared" si="24"/>
        <v>0</v>
      </c>
    </row>
    <row r="435" spans="1:20">
      <c r="A435" s="101"/>
      <c r="B435" s="101"/>
      <c r="C435" s="101"/>
      <c r="D435" s="101"/>
      <c r="E435" s="101"/>
      <c r="F435" s="102"/>
      <c r="G435" s="101"/>
      <c r="H435" s="102"/>
      <c r="I435" s="101"/>
      <c r="J435" s="101"/>
      <c r="K435" s="103"/>
      <c r="L435" s="103"/>
      <c r="M435" s="103"/>
      <c r="N435" s="103"/>
      <c r="O435" s="103"/>
      <c r="P435" s="98"/>
      <c r="Q435" s="99"/>
      <c r="R435" s="104">
        <f t="shared" si="23"/>
        <v>0</v>
      </c>
      <c r="S435" s="104">
        <f t="shared" si="22"/>
        <v>0</v>
      </c>
      <c r="T435" s="104">
        <f t="shared" si="24"/>
        <v>0</v>
      </c>
    </row>
    <row r="436" spans="1:20">
      <c r="A436" s="101"/>
      <c r="B436" s="101"/>
      <c r="C436" s="101"/>
      <c r="D436" s="101"/>
      <c r="E436" s="101"/>
      <c r="F436" s="102"/>
      <c r="G436" s="101"/>
      <c r="H436" s="102"/>
      <c r="I436" s="101"/>
      <c r="J436" s="101"/>
      <c r="K436" s="103"/>
      <c r="L436" s="103"/>
      <c r="M436" s="103"/>
      <c r="N436" s="103"/>
      <c r="O436" s="103"/>
      <c r="P436" s="98"/>
      <c r="Q436" s="99"/>
      <c r="R436" s="105">
        <f t="shared" si="23"/>
        <v>0</v>
      </c>
      <c r="S436" s="108">
        <f t="shared" si="22"/>
        <v>0</v>
      </c>
      <c r="T436" s="105">
        <f t="shared" si="24"/>
        <v>0</v>
      </c>
    </row>
    <row r="437" spans="1:20">
      <c r="A437" s="101"/>
      <c r="B437" s="101"/>
      <c r="C437" s="101"/>
      <c r="D437" s="101"/>
      <c r="E437" s="101"/>
      <c r="F437" s="102"/>
      <c r="G437" s="101"/>
      <c r="H437" s="102"/>
      <c r="I437" s="101"/>
      <c r="J437" s="101"/>
      <c r="K437" s="103"/>
      <c r="L437" s="103"/>
      <c r="M437" s="103"/>
      <c r="N437" s="103"/>
      <c r="O437" s="103"/>
      <c r="P437" s="98"/>
      <c r="Q437" s="99"/>
      <c r="R437" s="104">
        <f t="shared" si="23"/>
        <v>0</v>
      </c>
      <c r="S437" s="104">
        <f t="shared" si="22"/>
        <v>0</v>
      </c>
      <c r="T437" s="104">
        <f t="shared" si="24"/>
        <v>0</v>
      </c>
    </row>
    <row r="438" spans="1:20">
      <c r="A438" s="101"/>
      <c r="B438" s="101"/>
      <c r="C438" s="101"/>
      <c r="D438" s="101"/>
      <c r="E438" s="101"/>
      <c r="F438" s="102"/>
      <c r="G438" s="101"/>
      <c r="H438" s="102"/>
      <c r="I438" s="101"/>
      <c r="J438" s="101"/>
      <c r="K438" s="103"/>
      <c r="L438" s="103"/>
      <c r="M438" s="103"/>
      <c r="N438" s="103"/>
      <c r="O438" s="103"/>
      <c r="P438" s="98"/>
      <c r="Q438" s="99"/>
      <c r="R438" s="105">
        <f t="shared" si="23"/>
        <v>0</v>
      </c>
      <c r="S438" s="108">
        <f t="shared" si="22"/>
        <v>0</v>
      </c>
      <c r="T438" s="105">
        <f t="shared" si="24"/>
        <v>0</v>
      </c>
    </row>
    <row r="439" spans="1:20">
      <c r="A439" s="101"/>
      <c r="B439" s="101"/>
      <c r="C439" s="101"/>
      <c r="D439" s="101"/>
      <c r="E439" s="101"/>
      <c r="F439" s="102"/>
      <c r="G439" s="101"/>
      <c r="H439" s="102"/>
      <c r="I439" s="101"/>
      <c r="J439" s="101"/>
      <c r="K439" s="103"/>
      <c r="L439" s="103"/>
      <c r="M439" s="103"/>
      <c r="N439" s="103"/>
      <c r="O439" s="103"/>
      <c r="P439" s="98"/>
      <c r="Q439" s="99"/>
      <c r="R439" s="104">
        <f t="shared" si="23"/>
        <v>0</v>
      </c>
      <c r="S439" s="104">
        <f t="shared" si="22"/>
        <v>0</v>
      </c>
      <c r="T439" s="104">
        <f t="shared" si="24"/>
        <v>0</v>
      </c>
    </row>
    <row r="440" spans="1:20">
      <c r="A440" s="101"/>
      <c r="B440" s="101"/>
      <c r="C440" s="101"/>
      <c r="D440" s="101"/>
      <c r="E440" s="101"/>
      <c r="F440" s="102"/>
      <c r="G440" s="101"/>
      <c r="H440" s="102"/>
      <c r="I440" s="101"/>
      <c r="J440" s="101"/>
      <c r="K440" s="103"/>
      <c r="L440" s="103"/>
      <c r="M440" s="103"/>
      <c r="N440" s="103"/>
      <c r="O440" s="103"/>
      <c r="P440" s="98"/>
      <c r="Q440" s="99"/>
      <c r="R440" s="105">
        <f t="shared" si="23"/>
        <v>0</v>
      </c>
      <c r="S440" s="108">
        <f t="shared" si="22"/>
        <v>0</v>
      </c>
      <c r="T440" s="105">
        <f t="shared" si="24"/>
        <v>0</v>
      </c>
    </row>
    <row r="441" spans="1:20">
      <c r="A441" s="101"/>
      <c r="B441" s="101"/>
      <c r="C441" s="101"/>
      <c r="D441" s="101"/>
      <c r="E441" s="101"/>
      <c r="F441" s="102"/>
      <c r="G441" s="101"/>
      <c r="H441" s="102"/>
      <c r="I441" s="101"/>
      <c r="J441" s="101"/>
      <c r="K441" s="103"/>
      <c r="L441" s="103"/>
      <c r="M441" s="103"/>
      <c r="N441" s="103"/>
      <c r="O441" s="103"/>
      <c r="P441" s="98"/>
      <c r="Q441" s="99"/>
      <c r="R441" s="104">
        <f t="shared" si="23"/>
        <v>0</v>
      </c>
      <c r="S441" s="104">
        <f t="shared" si="22"/>
        <v>0</v>
      </c>
      <c r="T441" s="104">
        <f t="shared" si="24"/>
        <v>0</v>
      </c>
    </row>
    <row r="442" spans="1:20">
      <c r="A442" s="101"/>
      <c r="B442" s="101"/>
      <c r="C442" s="101"/>
      <c r="D442" s="101"/>
      <c r="E442" s="101"/>
      <c r="F442" s="102"/>
      <c r="G442" s="101"/>
      <c r="H442" s="102"/>
      <c r="I442" s="101"/>
      <c r="J442" s="101"/>
      <c r="K442" s="103"/>
      <c r="L442" s="103"/>
      <c r="M442" s="103"/>
      <c r="N442" s="103"/>
      <c r="O442" s="103"/>
      <c r="P442" s="98"/>
      <c r="Q442" s="99"/>
      <c r="R442" s="105">
        <f t="shared" si="23"/>
        <v>0</v>
      </c>
      <c r="S442" s="108">
        <f t="shared" si="22"/>
        <v>0</v>
      </c>
      <c r="T442" s="105">
        <f t="shared" si="24"/>
        <v>0</v>
      </c>
    </row>
    <row r="443" spans="1:20">
      <c r="A443" s="101"/>
      <c r="B443" s="101"/>
      <c r="C443" s="101"/>
      <c r="D443" s="101"/>
      <c r="E443" s="101"/>
      <c r="F443" s="102"/>
      <c r="G443" s="101"/>
      <c r="H443" s="102"/>
      <c r="I443" s="101"/>
      <c r="J443" s="101"/>
      <c r="K443" s="103"/>
      <c r="L443" s="103"/>
      <c r="M443" s="103"/>
      <c r="N443" s="103"/>
      <c r="O443" s="103"/>
      <c r="P443" s="98"/>
      <c r="Q443" s="99"/>
      <c r="R443" s="104">
        <f t="shared" si="23"/>
        <v>0</v>
      </c>
      <c r="S443" s="104">
        <f t="shared" si="22"/>
        <v>0</v>
      </c>
      <c r="T443" s="104">
        <f t="shared" si="24"/>
        <v>0</v>
      </c>
    </row>
    <row r="444" spans="1:20">
      <c r="A444" s="101"/>
      <c r="B444" s="101"/>
      <c r="C444" s="101"/>
      <c r="D444" s="101"/>
      <c r="E444" s="101"/>
      <c r="F444" s="102"/>
      <c r="G444" s="101"/>
      <c r="H444" s="102"/>
      <c r="I444" s="101"/>
      <c r="J444" s="101"/>
      <c r="K444" s="103"/>
      <c r="L444" s="103"/>
      <c r="M444" s="103"/>
      <c r="N444" s="103"/>
      <c r="O444" s="103"/>
      <c r="P444" s="98"/>
      <c r="Q444" s="99"/>
      <c r="R444" s="105">
        <f t="shared" si="23"/>
        <v>0</v>
      </c>
      <c r="S444" s="108">
        <f t="shared" si="22"/>
        <v>0</v>
      </c>
      <c r="T444" s="105">
        <f t="shared" si="24"/>
        <v>0</v>
      </c>
    </row>
    <row r="445" spans="1:20">
      <c r="A445" s="101"/>
      <c r="B445" s="101"/>
      <c r="C445" s="101"/>
      <c r="D445" s="101"/>
      <c r="E445" s="101"/>
      <c r="F445" s="102"/>
      <c r="G445" s="101"/>
      <c r="H445" s="102"/>
      <c r="I445" s="101"/>
      <c r="J445" s="101"/>
      <c r="K445" s="103"/>
      <c r="L445" s="103"/>
      <c r="M445" s="103"/>
      <c r="N445" s="103"/>
      <c r="O445" s="103"/>
      <c r="P445" s="98"/>
      <c r="Q445" s="99"/>
      <c r="R445" s="104">
        <f t="shared" si="23"/>
        <v>0</v>
      </c>
      <c r="S445" s="104">
        <f t="shared" si="22"/>
        <v>0</v>
      </c>
      <c r="T445" s="104">
        <f t="shared" si="24"/>
        <v>0</v>
      </c>
    </row>
    <row r="446" spans="1:20">
      <c r="A446" s="101"/>
      <c r="B446" s="101"/>
      <c r="C446" s="101"/>
      <c r="D446" s="101"/>
      <c r="E446" s="101"/>
      <c r="F446" s="102"/>
      <c r="G446" s="101"/>
      <c r="H446" s="102"/>
      <c r="I446" s="101"/>
      <c r="J446" s="101"/>
      <c r="K446" s="103"/>
      <c r="L446" s="103"/>
      <c r="M446" s="103"/>
      <c r="N446" s="103"/>
      <c r="O446" s="103"/>
      <c r="P446" s="98"/>
      <c r="Q446" s="99"/>
      <c r="R446" s="105">
        <f t="shared" si="23"/>
        <v>0</v>
      </c>
      <c r="S446" s="108">
        <f t="shared" si="22"/>
        <v>0</v>
      </c>
      <c r="T446" s="105">
        <f t="shared" si="24"/>
        <v>0</v>
      </c>
    </row>
    <row r="447" spans="1:20">
      <c r="A447" s="101"/>
      <c r="B447" s="101"/>
      <c r="C447" s="101"/>
      <c r="D447" s="101"/>
      <c r="E447" s="101"/>
      <c r="F447" s="102"/>
      <c r="G447" s="101"/>
      <c r="H447" s="102"/>
      <c r="I447" s="101"/>
      <c r="J447" s="101"/>
      <c r="K447" s="103"/>
      <c r="L447" s="103"/>
      <c r="M447" s="103"/>
      <c r="N447" s="103"/>
      <c r="O447" s="103"/>
      <c r="P447" s="98"/>
      <c r="Q447" s="99"/>
      <c r="R447" s="104">
        <f t="shared" si="23"/>
        <v>0</v>
      </c>
      <c r="S447" s="104">
        <f t="shared" si="22"/>
        <v>0</v>
      </c>
      <c r="T447" s="104">
        <f t="shared" si="24"/>
        <v>0</v>
      </c>
    </row>
    <row r="448" spans="1:20">
      <c r="A448" s="101"/>
      <c r="B448" s="101"/>
      <c r="C448" s="101"/>
      <c r="D448" s="101"/>
      <c r="E448" s="101"/>
      <c r="F448" s="102"/>
      <c r="G448" s="101"/>
      <c r="H448" s="102"/>
      <c r="I448" s="101"/>
      <c r="J448" s="101"/>
      <c r="K448" s="103"/>
      <c r="L448" s="103"/>
      <c r="M448" s="103"/>
      <c r="N448" s="103"/>
      <c r="O448" s="103"/>
      <c r="P448" s="98"/>
      <c r="Q448" s="99"/>
      <c r="R448" s="105">
        <f t="shared" si="23"/>
        <v>0</v>
      </c>
      <c r="S448" s="108">
        <f t="shared" si="22"/>
        <v>0</v>
      </c>
      <c r="T448" s="105">
        <f t="shared" si="24"/>
        <v>0</v>
      </c>
    </row>
    <row r="449" spans="1:20">
      <c r="A449" s="101"/>
      <c r="B449" s="101"/>
      <c r="C449" s="101"/>
      <c r="D449" s="101"/>
      <c r="E449" s="101"/>
      <c r="F449" s="102"/>
      <c r="G449" s="101"/>
      <c r="H449" s="102"/>
      <c r="I449" s="101"/>
      <c r="J449" s="101"/>
      <c r="K449" s="103"/>
      <c r="L449" s="103"/>
      <c r="M449" s="103"/>
      <c r="N449" s="103"/>
      <c r="O449" s="103"/>
      <c r="P449" s="98"/>
      <c r="Q449" s="99"/>
      <c r="R449" s="104">
        <f t="shared" si="23"/>
        <v>0</v>
      </c>
      <c r="S449" s="104">
        <f t="shared" si="22"/>
        <v>0</v>
      </c>
      <c r="T449" s="104">
        <f t="shared" si="24"/>
        <v>0</v>
      </c>
    </row>
    <row r="450" spans="1:20">
      <c r="A450" s="101"/>
      <c r="B450" s="101"/>
      <c r="C450" s="101"/>
      <c r="D450" s="101"/>
      <c r="E450" s="101"/>
      <c r="F450" s="102"/>
      <c r="G450" s="101"/>
      <c r="H450" s="102"/>
      <c r="I450" s="101"/>
      <c r="J450" s="101"/>
      <c r="K450" s="103"/>
      <c r="L450" s="103"/>
      <c r="M450" s="103"/>
      <c r="N450" s="103"/>
      <c r="O450" s="103"/>
      <c r="P450" s="98"/>
      <c r="Q450" s="99"/>
      <c r="R450" s="105">
        <f t="shared" si="23"/>
        <v>0</v>
      </c>
      <c r="S450" s="108">
        <f t="shared" si="22"/>
        <v>0</v>
      </c>
      <c r="T450" s="105">
        <f t="shared" si="24"/>
        <v>0</v>
      </c>
    </row>
    <row r="451" spans="1:20">
      <c r="A451" s="101"/>
      <c r="B451" s="101"/>
      <c r="C451" s="101"/>
      <c r="D451" s="101"/>
      <c r="E451" s="101"/>
      <c r="F451" s="102"/>
      <c r="G451" s="101"/>
      <c r="H451" s="102"/>
      <c r="I451" s="101"/>
      <c r="J451" s="101"/>
      <c r="K451" s="103"/>
      <c r="L451" s="103"/>
      <c r="M451" s="103"/>
      <c r="N451" s="103"/>
      <c r="O451" s="103"/>
      <c r="P451" s="98"/>
      <c r="Q451" s="99"/>
      <c r="R451" s="104">
        <f t="shared" si="23"/>
        <v>0</v>
      </c>
      <c r="S451" s="104">
        <f t="shared" si="22"/>
        <v>0</v>
      </c>
      <c r="T451" s="104">
        <f t="shared" si="24"/>
        <v>0</v>
      </c>
    </row>
    <row r="452" spans="1:20">
      <c r="A452" s="101"/>
      <c r="B452" s="101"/>
      <c r="C452" s="101"/>
      <c r="D452" s="101"/>
      <c r="E452" s="101"/>
      <c r="F452" s="102"/>
      <c r="G452" s="101"/>
      <c r="H452" s="102"/>
      <c r="I452" s="101"/>
      <c r="J452" s="101"/>
      <c r="K452" s="103"/>
      <c r="L452" s="103"/>
      <c r="M452" s="103"/>
      <c r="N452" s="103"/>
      <c r="O452" s="103"/>
      <c r="P452" s="98"/>
      <c r="Q452" s="99"/>
      <c r="R452" s="105">
        <f t="shared" si="23"/>
        <v>0</v>
      </c>
      <c r="S452" s="108">
        <f t="shared" ref="S452:S515" si="25">IF(P452="Abono",K452+L452+M452-N452-O452,0)</f>
        <v>0</v>
      </c>
      <c r="T452" s="105">
        <f t="shared" si="24"/>
        <v>0</v>
      </c>
    </row>
    <row r="453" spans="1:20">
      <c r="A453" s="101"/>
      <c r="B453" s="101"/>
      <c r="C453" s="101"/>
      <c r="D453" s="101"/>
      <c r="E453" s="101"/>
      <c r="F453" s="102"/>
      <c r="G453" s="101"/>
      <c r="H453" s="102"/>
      <c r="I453" s="101"/>
      <c r="J453" s="101"/>
      <c r="K453" s="103"/>
      <c r="L453" s="103"/>
      <c r="M453" s="103"/>
      <c r="N453" s="103"/>
      <c r="O453" s="103"/>
      <c r="P453" s="98"/>
      <c r="Q453" s="99"/>
      <c r="R453" s="104">
        <f t="shared" ref="R453:R516" si="26">IF(P453="Cargo",K453+L453-M453-N453+O453,0)</f>
        <v>0</v>
      </c>
      <c r="S453" s="104">
        <f t="shared" si="25"/>
        <v>0</v>
      </c>
      <c r="T453" s="104">
        <f t="shared" ref="T453:T516" si="27">IF(Q453="OK",+T452+R453-S453,T452)</f>
        <v>0</v>
      </c>
    </row>
    <row r="454" spans="1:20">
      <c r="A454" s="101"/>
      <c r="B454" s="101"/>
      <c r="C454" s="101"/>
      <c r="D454" s="101"/>
      <c r="E454" s="101"/>
      <c r="F454" s="102"/>
      <c r="G454" s="101"/>
      <c r="H454" s="102"/>
      <c r="I454" s="101"/>
      <c r="J454" s="101"/>
      <c r="K454" s="103"/>
      <c r="L454" s="103"/>
      <c r="M454" s="103"/>
      <c r="N454" s="103"/>
      <c r="O454" s="103"/>
      <c r="P454" s="98"/>
      <c r="Q454" s="99"/>
      <c r="R454" s="105">
        <f t="shared" si="26"/>
        <v>0</v>
      </c>
      <c r="S454" s="108">
        <f t="shared" si="25"/>
        <v>0</v>
      </c>
      <c r="T454" s="105">
        <f t="shared" si="27"/>
        <v>0</v>
      </c>
    </row>
    <row r="455" spans="1:20">
      <c r="A455" s="101"/>
      <c r="B455" s="101"/>
      <c r="C455" s="101"/>
      <c r="D455" s="101"/>
      <c r="E455" s="101"/>
      <c r="F455" s="102"/>
      <c r="G455" s="101"/>
      <c r="H455" s="102"/>
      <c r="I455" s="101"/>
      <c r="J455" s="101"/>
      <c r="K455" s="103"/>
      <c r="L455" s="103"/>
      <c r="M455" s="103"/>
      <c r="N455" s="103"/>
      <c r="O455" s="103"/>
      <c r="P455" s="98"/>
      <c r="Q455" s="99"/>
      <c r="R455" s="104">
        <f t="shared" si="26"/>
        <v>0</v>
      </c>
      <c r="S455" s="104">
        <f t="shared" si="25"/>
        <v>0</v>
      </c>
      <c r="T455" s="104">
        <f t="shared" si="27"/>
        <v>0</v>
      </c>
    </row>
    <row r="456" spans="1:20">
      <c r="A456" s="101"/>
      <c r="B456" s="101"/>
      <c r="C456" s="101"/>
      <c r="D456" s="101"/>
      <c r="E456" s="101"/>
      <c r="F456" s="102"/>
      <c r="G456" s="101"/>
      <c r="H456" s="102"/>
      <c r="I456" s="101"/>
      <c r="J456" s="101"/>
      <c r="K456" s="103"/>
      <c r="L456" s="103"/>
      <c r="M456" s="103"/>
      <c r="N456" s="103"/>
      <c r="O456" s="103"/>
      <c r="P456" s="98"/>
      <c r="Q456" s="99"/>
      <c r="R456" s="105">
        <f t="shared" si="26"/>
        <v>0</v>
      </c>
      <c r="S456" s="108">
        <f t="shared" si="25"/>
        <v>0</v>
      </c>
      <c r="T456" s="105">
        <f t="shared" si="27"/>
        <v>0</v>
      </c>
    </row>
    <row r="457" spans="1:20">
      <c r="A457" s="101"/>
      <c r="B457" s="101"/>
      <c r="C457" s="101"/>
      <c r="D457" s="101"/>
      <c r="E457" s="101"/>
      <c r="F457" s="102"/>
      <c r="G457" s="101"/>
      <c r="H457" s="102"/>
      <c r="I457" s="101"/>
      <c r="J457" s="101"/>
      <c r="K457" s="103"/>
      <c r="L457" s="103"/>
      <c r="M457" s="103"/>
      <c r="N457" s="103"/>
      <c r="O457" s="103"/>
      <c r="P457" s="98"/>
      <c r="Q457" s="99"/>
      <c r="R457" s="104">
        <f t="shared" si="26"/>
        <v>0</v>
      </c>
      <c r="S457" s="104">
        <f t="shared" si="25"/>
        <v>0</v>
      </c>
      <c r="T457" s="104">
        <f t="shared" si="27"/>
        <v>0</v>
      </c>
    </row>
    <row r="458" spans="1:20">
      <c r="A458" s="101"/>
      <c r="B458" s="101"/>
      <c r="C458" s="101"/>
      <c r="D458" s="101"/>
      <c r="E458" s="101"/>
      <c r="F458" s="102"/>
      <c r="G458" s="101"/>
      <c r="H458" s="102"/>
      <c r="I458" s="101"/>
      <c r="J458" s="101"/>
      <c r="K458" s="103"/>
      <c r="L458" s="103"/>
      <c r="M458" s="103"/>
      <c r="N458" s="103"/>
      <c r="O458" s="103"/>
      <c r="P458" s="98"/>
      <c r="Q458" s="99"/>
      <c r="R458" s="105">
        <f t="shared" si="26"/>
        <v>0</v>
      </c>
      <c r="S458" s="108">
        <f t="shared" si="25"/>
        <v>0</v>
      </c>
      <c r="T458" s="105">
        <f t="shared" si="27"/>
        <v>0</v>
      </c>
    </row>
    <row r="459" spans="1:20">
      <c r="A459" s="101"/>
      <c r="B459" s="101"/>
      <c r="C459" s="101"/>
      <c r="D459" s="101"/>
      <c r="E459" s="101"/>
      <c r="F459" s="102"/>
      <c r="G459" s="101"/>
      <c r="H459" s="102"/>
      <c r="I459" s="101"/>
      <c r="J459" s="101"/>
      <c r="K459" s="103"/>
      <c r="L459" s="103"/>
      <c r="M459" s="103"/>
      <c r="N459" s="103"/>
      <c r="O459" s="103"/>
      <c r="P459" s="98"/>
      <c r="Q459" s="99"/>
      <c r="R459" s="104">
        <f t="shared" si="26"/>
        <v>0</v>
      </c>
      <c r="S459" s="104">
        <f t="shared" si="25"/>
        <v>0</v>
      </c>
      <c r="T459" s="104">
        <f t="shared" si="27"/>
        <v>0</v>
      </c>
    </row>
    <row r="460" spans="1:20">
      <c r="A460" s="101"/>
      <c r="B460" s="101"/>
      <c r="C460" s="101"/>
      <c r="D460" s="101"/>
      <c r="E460" s="101"/>
      <c r="F460" s="102"/>
      <c r="G460" s="101"/>
      <c r="H460" s="102"/>
      <c r="I460" s="101"/>
      <c r="J460" s="101"/>
      <c r="K460" s="103"/>
      <c r="L460" s="103"/>
      <c r="M460" s="103"/>
      <c r="N460" s="103"/>
      <c r="O460" s="103"/>
      <c r="P460" s="98"/>
      <c r="Q460" s="99"/>
      <c r="R460" s="105">
        <f t="shared" si="26"/>
        <v>0</v>
      </c>
      <c r="S460" s="108">
        <f t="shared" si="25"/>
        <v>0</v>
      </c>
      <c r="T460" s="105">
        <f t="shared" si="27"/>
        <v>0</v>
      </c>
    </row>
    <row r="461" spans="1:20">
      <c r="A461" s="101"/>
      <c r="B461" s="101"/>
      <c r="C461" s="101"/>
      <c r="D461" s="101"/>
      <c r="E461" s="101"/>
      <c r="F461" s="102"/>
      <c r="G461" s="101"/>
      <c r="H461" s="102"/>
      <c r="I461" s="101"/>
      <c r="J461" s="101"/>
      <c r="K461" s="103"/>
      <c r="L461" s="103"/>
      <c r="M461" s="103"/>
      <c r="N461" s="103"/>
      <c r="O461" s="103"/>
      <c r="P461" s="98"/>
      <c r="Q461" s="99"/>
      <c r="R461" s="104">
        <f t="shared" si="26"/>
        <v>0</v>
      </c>
      <c r="S461" s="104">
        <f t="shared" si="25"/>
        <v>0</v>
      </c>
      <c r="T461" s="104">
        <f t="shared" si="27"/>
        <v>0</v>
      </c>
    </row>
    <row r="462" spans="1:20">
      <c r="A462" s="101"/>
      <c r="B462" s="101"/>
      <c r="C462" s="101"/>
      <c r="D462" s="101"/>
      <c r="E462" s="101"/>
      <c r="F462" s="102"/>
      <c r="G462" s="101"/>
      <c r="H462" s="102"/>
      <c r="I462" s="101"/>
      <c r="J462" s="101"/>
      <c r="K462" s="103"/>
      <c r="L462" s="103"/>
      <c r="M462" s="103"/>
      <c r="N462" s="103"/>
      <c r="O462" s="103"/>
      <c r="P462" s="98"/>
      <c r="Q462" s="99"/>
      <c r="R462" s="105">
        <f t="shared" si="26"/>
        <v>0</v>
      </c>
      <c r="S462" s="108">
        <f t="shared" si="25"/>
        <v>0</v>
      </c>
      <c r="T462" s="105">
        <f t="shared" si="27"/>
        <v>0</v>
      </c>
    </row>
    <row r="463" spans="1:20">
      <c r="A463" s="101"/>
      <c r="B463" s="101"/>
      <c r="C463" s="101"/>
      <c r="D463" s="101"/>
      <c r="E463" s="101"/>
      <c r="F463" s="102"/>
      <c r="G463" s="101"/>
      <c r="H463" s="102"/>
      <c r="I463" s="101"/>
      <c r="J463" s="101"/>
      <c r="K463" s="103"/>
      <c r="L463" s="103"/>
      <c r="M463" s="103"/>
      <c r="N463" s="103"/>
      <c r="O463" s="103"/>
      <c r="P463" s="98"/>
      <c r="Q463" s="99"/>
      <c r="R463" s="104">
        <f t="shared" si="26"/>
        <v>0</v>
      </c>
      <c r="S463" s="104">
        <f t="shared" si="25"/>
        <v>0</v>
      </c>
      <c r="T463" s="104">
        <f t="shared" si="27"/>
        <v>0</v>
      </c>
    </row>
    <row r="464" spans="1:20">
      <c r="A464" s="101"/>
      <c r="B464" s="101"/>
      <c r="C464" s="101"/>
      <c r="D464" s="101"/>
      <c r="E464" s="101"/>
      <c r="F464" s="102"/>
      <c r="G464" s="101"/>
      <c r="H464" s="102"/>
      <c r="I464" s="101"/>
      <c r="J464" s="101"/>
      <c r="K464" s="103"/>
      <c r="L464" s="103"/>
      <c r="M464" s="103"/>
      <c r="N464" s="103"/>
      <c r="O464" s="103"/>
      <c r="P464" s="98"/>
      <c r="Q464" s="99"/>
      <c r="R464" s="105">
        <f t="shared" si="26"/>
        <v>0</v>
      </c>
      <c r="S464" s="108">
        <f t="shared" si="25"/>
        <v>0</v>
      </c>
      <c r="T464" s="105">
        <f t="shared" si="27"/>
        <v>0</v>
      </c>
    </row>
    <row r="465" spans="1:20">
      <c r="A465" s="101"/>
      <c r="B465" s="101"/>
      <c r="C465" s="101"/>
      <c r="D465" s="101"/>
      <c r="E465" s="101"/>
      <c r="F465" s="102"/>
      <c r="G465" s="101"/>
      <c r="H465" s="102"/>
      <c r="I465" s="101"/>
      <c r="J465" s="101"/>
      <c r="K465" s="103"/>
      <c r="L465" s="103"/>
      <c r="M465" s="103"/>
      <c r="N465" s="103"/>
      <c r="O465" s="103"/>
      <c r="P465" s="98"/>
      <c r="Q465" s="99"/>
      <c r="R465" s="104">
        <f t="shared" si="26"/>
        <v>0</v>
      </c>
      <c r="S465" s="104">
        <f t="shared" si="25"/>
        <v>0</v>
      </c>
      <c r="T465" s="104">
        <f t="shared" si="27"/>
        <v>0</v>
      </c>
    </row>
    <row r="466" spans="1:20">
      <c r="A466" s="101"/>
      <c r="B466" s="101"/>
      <c r="C466" s="101"/>
      <c r="D466" s="101"/>
      <c r="E466" s="101"/>
      <c r="F466" s="102"/>
      <c r="G466" s="101"/>
      <c r="H466" s="102"/>
      <c r="I466" s="101"/>
      <c r="J466" s="101"/>
      <c r="K466" s="103"/>
      <c r="L466" s="103"/>
      <c r="M466" s="103"/>
      <c r="N466" s="103"/>
      <c r="O466" s="103"/>
      <c r="P466" s="98"/>
      <c r="Q466" s="99"/>
      <c r="R466" s="105">
        <f t="shared" si="26"/>
        <v>0</v>
      </c>
      <c r="S466" s="108">
        <f t="shared" si="25"/>
        <v>0</v>
      </c>
      <c r="T466" s="105">
        <f t="shared" si="27"/>
        <v>0</v>
      </c>
    </row>
    <row r="467" spans="1:20">
      <c r="A467" s="101"/>
      <c r="B467" s="101"/>
      <c r="C467" s="101"/>
      <c r="D467" s="101"/>
      <c r="E467" s="101"/>
      <c r="F467" s="102"/>
      <c r="G467" s="101"/>
      <c r="H467" s="102"/>
      <c r="I467" s="101"/>
      <c r="J467" s="101"/>
      <c r="K467" s="103"/>
      <c r="L467" s="103"/>
      <c r="M467" s="103"/>
      <c r="N467" s="103"/>
      <c r="O467" s="103"/>
      <c r="P467" s="98"/>
      <c r="Q467" s="99"/>
      <c r="R467" s="104">
        <f t="shared" si="26"/>
        <v>0</v>
      </c>
      <c r="S467" s="104">
        <f t="shared" si="25"/>
        <v>0</v>
      </c>
      <c r="T467" s="104">
        <f t="shared" si="27"/>
        <v>0</v>
      </c>
    </row>
    <row r="468" spans="1:20">
      <c r="A468" s="101"/>
      <c r="B468" s="101"/>
      <c r="C468" s="101"/>
      <c r="D468" s="101"/>
      <c r="E468" s="101"/>
      <c r="F468" s="102"/>
      <c r="G468" s="101"/>
      <c r="H468" s="102"/>
      <c r="I468" s="101"/>
      <c r="J468" s="101"/>
      <c r="K468" s="103"/>
      <c r="L468" s="103"/>
      <c r="M468" s="103"/>
      <c r="N468" s="103"/>
      <c r="O468" s="103"/>
      <c r="P468" s="98"/>
      <c r="Q468" s="99"/>
      <c r="R468" s="105">
        <f t="shared" si="26"/>
        <v>0</v>
      </c>
      <c r="S468" s="108">
        <f t="shared" si="25"/>
        <v>0</v>
      </c>
      <c r="T468" s="105">
        <f t="shared" si="27"/>
        <v>0</v>
      </c>
    </row>
    <row r="469" spans="1:20">
      <c r="A469" s="101"/>
      <c r="B469" s="101"/>
      <c r="C469" s="101"/>
      <c r="D469" s="101"/>
      <c r="E469" s="101"/>
      <c r="F469" s="102"/>
      <c r="G469" s="101"/>
      <c r="H469" s="102"/>
      <c r="I469" s="101"/>
      <c r="J469" s="101"/>
      <c r="K469" s="103"/>
      <c r="L469" s="103"/>
      <c r="M469" s="103"/>
      <c r="N469" s="103"/>
      <c r="O469" s="103"/>
      <c r="P469" s="98"/>
      <c r="Q469" s="99"/>
      <c r="R469" s="104">
        <f t="shared" si="26"/>
        <v>0</v>
      </c>
      <c r="S469" s="104">
        <f t="shared" si="25"/>
        <v>0</v>
      </c>
      <c r="T469" s="104">
        <f t="shared" si="27"/>
        <v>0</v>
      </c>
    </row>
    <row r="470" spans="1:20">
      <c r="A470" s="101"/>
      <c r="B470" s="101"/>
      <c r="C470" s="101"/>
      <c r="D470" s="101"/>
      <c r="E470" s="101"/>
      <c r="F470" s="102"/>
      <c r="G470" s="101"/>
      <c r="H470" s="102"/>
      <c r="I470" s="101"/>
      <c r="J470" s="101"/>
      <c r="K470" s="103"/>
      <c r="L470" s="103"/>
      <c r="M470" s="103"/>
      <c r="N470" s="103"/>
      <c r="O470" s="103"/>
      <c r="P470" s="98"/>
      <c r="Q470" s="99"/>
      <c r="R470" s="105">
        <f t="shared" si="26"/>
        <v>0</v>
      </c>
      <c r="S470" s="108">
        <f t="shared" si="25"/>
        <v>0</v>
      </c>
      <c r="T470" s="105">
        <f t="shared" si="27"/>
        <v>0</v>
      </c>
    </row>
    <row r="471" spans="1:20">
      <c r="A471" s="101"/>
      <c r="B471" s="101"/>
      <c r="C471" s="101"/>
      <c r="D471" s="101"/>
      <c r="E471" s="101"/>
      <c r="F471" s="102"/>
      <c r="G471" s="101"/>
      <c r="H471" s="102"/>
      <c r="I471" s="101"/>
      <c r="J471" s="101"/>
      <c r="K471" s="103"/>
      <c r="L471" s="103"/>
      <c r="M471" s="103"/>
      <c r="N471" s="103"/>
      <c r="O471" s="103"/>
      <c r="P471" s="98"/>
      <c r="Q471" s="99"/>
      <c r="R471" s="104">
        <f t="shared" si="26"/>
        <v>0</v>
      </c>
      <c r="S471" s="104">
        <f t="shared" si="25"/>
        <v>0</v>
      </c>
      <c r="T471" s="104">
        <f t="shared" si="27"/>
        <v>0</v>
      </c>
    </row>
    <row r="472" spans="1:20">
      <c r="A472" s="101"/>
      <c r="B472" s="101"/>
      <c r="C472" s="101"/>
      <c r="D472" s="101"/>
      <c r="E472" s="101"/>
      <c r="F472" s="102"/>
      <c r="G472" s="101"/>
      <c r="H472" s="102"/>
      <c r="I472" s="101"/>
      <c r="J472" s="101"/>
      <c r="K472" s="103"/>
      <c r="L472" s="103"/>
      <c r="M472" s="103"/>
      <c r="N472" s="103"/>
      <c r="O472" s="103"/>
      <c r="P472" s="98"/>
      <c r="Q472" s="99"/>
      <c r="R472" s="105">
        <f t="shared" si="26"/>
        <v>0</v>
      </c>
      <c r="S472" s="108">
        <f t="shared" si="25"/>
        <v>0</v>
      </c>
      <c r="T472" s="105">
        <f t="shared" si="27"/>
        <v>0</v>
      </c>
    </row>
    <row r="473" spans="1:20">
      <c r="A473" s="101"/>
      <c r="B473" s="101"/>
      <c r="C473" s="101"/>
      <c r="D473" s="101"/>
      <c r="E473" s="101"/>
      <c r="F473" s="102"/>
      <c r="G473" s="101"/>
      <c r="H473" s="102"/>
      <c r="I473" s="101"/>
      <c r="J473" s="101"/>
      <c r="K473" s="103"/>
      <c r="L473" s="103"/>
      <c r="M473" s="103"/>
      <c r="N473" s="103"/>
      <c r="O473" s="103"/>
      <c r="P473" s="98"/>
      <c r="Q473" s="99"/>
      <c r="R473" s="104">
        <f t="shared" si="26"/>
        <v>0</v>
      </c>
      <c r="S473" s="104">
        <f t="shared" si="25"/>
        <v>0</v>
      </c>
      <c r="T473" s="104">
        <f t="shared" si="27"/>
        <v>0</v>
      </c>
    </row>
    <row r="474" spans="1:20">
      <c r="A474" s="101"/>
      <c r="B474" s="101"/>
      <c r="C474" s="101"/>
      <c r="D474" s="101"/>
      <c r="E474" s="101"/>
      <c r="F474" s="102"/>
      <c r="G474" s="101"/>
      <c r="H474" s="102"/>
      <c r="I474" s="101"/>
      <c r="J474" s="101"/>
      <c r="K474" s="103"/>
      <c r="L474" s="103"/>
      <c r="M474" s="103"/>
      <c r="N474" s="103"/>
      <c r="O474" s="103"/>
      <c r="P474" s="98"/>
      <c r="Q474" s="99"/>
      <c r="R474" s="105">
        <f t="shared" si="26"/>
        <v>0</v>
      </c>
      <c r="S474" s="108">
        <f t="shared" si="25"/>
        <v>0</v>
      </c>
      <c r="T474" s="105">
        <f t="shared" si="27"/>
        <v>0</v>
      </c>
    </row>
    <row r="475" spans="1:20">
      <c r="A475" s="101"/>
      <c r="B475" s="101"/>
      <c r="C475" s="101"/>
      <c r="D475" s="101"/>
      <c r="E475" s="101"/>
      <c r="F475" s="102"/>
      <c r="G475" s="101"/>
      <c r="H475" s="102"/>
      <c r="I475" s="101"/>
      <c r="J475" s="101"/>
      <c r="K475" s="103"/>
      <c r="L475" s="103"/>
      <c r="M475" s="103"/>
      <c r="N475" s="103"/>
      <c r="O475" s="103"/>
      <c r="P475" s="98"/>
      <c r="Q475" s="99"/>
      <c r="R475" s="104">
        <f t="shared" si="26"/>
        <v>0</v>
      </c>
      <c r="S475" s="104">
        <f t="shared" si="25"/>
        <v>0</v>
      </c>
      <c r="T475" s="104">
        <f t="shared" si="27"/>
        <v>0</v>
      </c>
    </row>
    <row r="476" spans="1:20">
      <c r="A476" s="101"/>
      <c r="B476" s="101"/>
      <c r="C476" s="101"/>
      <c r="D476" s="101"/>
      <c r="E476" s="101"/>
      <c r="F476" s="102"/>
      <c r="G476" s="101"/>
      <c r="H476" s="102"/>
      <c r="I476" s="101"/>
      <c r="J476" s="101"/>
      <c r="K476" s="103"/>
      <c r="L476" s="103"/>
      <c r="M476" s="103"/>
      <c r="N476" s="103"/>
      <c r="O476" s="103"/>
      <c r="P476" s="98"/>
      <c r="Q476" s="99"/>
      <c r="R476" s="105">
        <f t="shared" si="26"/>
        <v>0</v>
      </c>
      <c r="S476" s="108">
        <f t="shared" si="25"/>
        <v>0</v>
      </c>
      <c r="T476" s="105">
        <f t="shared" si="27"/>
        <v>0</v>
      </c>
    </row>
    <row r="477" spans="1:20">
      <c r="A477" s="101"/>
      <c r="B477" s="101"/>
      <c r="C477" s="101"/>
      <c r="D477" s="101"/>
      <c r="E477" s="101"/>
      <c r="F477" s="102"/>
      <c r="G477" s="101"/>
      <c r="H477" s="102"/>
      <c r="I477" s="101"/>
      <c r="J477" s="101"/>
      <c r="K477" s="103"/>
      <c r="L477" s="103"/>
      <c r="M477" s="103"/>
      <c r="N477" s="103"/>
      <c r="O477" s="103"/>
      <c r="P477" s="98"/>
      <c r="Q477" s="99"/>
      <c r="R477" s="104">
        <f t="shared" si="26"/>
        <v>0</v>
      </c>
      <c r="S477" s="104">
        <f t="shared" si="25"/>
        <v>0</v>
      </c>
      <c r="T477" s="104">
        <f t="shared" si="27"/>
        <v>0</v>
      </c>
    </row>
    <row r="478" spans="1:20">
      <c r="A478" s="101"/>
      <c r="B478" s="101"/>
      <c r="C478" s="101"/>
      <c r="D478" s="101"/>
      <c r="E478" s="101"/>
      <c r="F478" s="102"/>
      <c r="G478" s="101"/>
      <c r="H478" s="102"/>
      <c r="I478" s="101"/>
      <c r="J478" s="101"/>
      <c r="K478" s="103"/>
      <c r="L478" s="103"/>
      <c r="M478" s="103"/>
      <c r="N478" s="103"/>
      <c r="O478" s="103"/>
      <c r="P478" s="98"/>
      <c r="Q478" s="99"/>
      <c r="R478" s="105">
        <f t="shared" si="26"/>
        <v>0</v>
      </c>
      <c r="S478" s="108">
        <f t="shared" si="25"/>
        <v>0</v>
      </c>
      <c r="T478" s="105">
        <f t="shared" si="27"/>
        <v>0</v>
      </c>
    </row>
    <row r="479" spans="1:20">
      <c r="A479" s="101"/>
      <c r="B479" s="101"/>
      <c r="C479" s="101"/>
      <c r="D479" s="101"/>
      <c r="E479" s="101"/>
      <c r="F479" s="102"/>
      <c r="G479" s="101"/>
      <c r="H479" s="102"/>
      <c r="I479" s="101"/>
      <c r="J479" s="101"/>
      <c r="K479" s="103"/>
      <c r="L479" s="103"/>
      <c r="M479" s="103"/>
      <c r="N479" s="103"/>
      <c r="O479" s="103"/>
      <c r="P479" s="98"/>
      <c r="Q479" s="99"/>
      <c r="R479" s="104">
        <f t="shared" si="26"/>
        <v>0</v>
      </c>
      <c r="S479" s="104">
        <f t="shared" si="25"/>
        <v>0</v>
      </c>
      <c r="T479" s="104">
        <f t="shared" si="27"/>
        <v>0</v>
      </c>
    </row>
    <row r="480" spans="1:20">
      <c r="A480" s="101"/>
      <c r="B480" s="101"/>
      <c r="C480" s="101"/>
      <c r="D480" s="101"/>
      <c r="E480" s="101"/>
      <c r="F480" s="102"/>
      <c r="G480" s="101"/>
      <c r="H480" s="102"/>
      <c r="I480" s="101"/>
      <c r="J480" s="101"/>
      <c r="K480" s="103"/>
      <c r="L480" s="103"/>
      <c r="M480" s="103"/>
      <c r="N480" s="103"/>
      <c r="O480" s="103"/>
      <c r="P480" s="98"/>
      <c r="Q480" s="99"/>
      <c r="R480" s="105">
        <f t="shared" si="26"/>
        <v>0</v>
      </c>
      <c r="S480" s="108">
        <f t="shared" si="25"/>
        <v>0</v>
      </c>
      <c r="T480" s="105">
        <f t="shared" si="27"/>
        <v>0</v>
      </c>
    </row>
    <row r="481" spans="1:20">
      <c r="A481" s="101"/>
      <c r="B481" s="101"/>
      <c r="C481" s="101"/>
      <c r="D481" s="101"/>
      <c r="E481" s="101"/>
      <c r="F481" s="102"/>
      <c r="G481" s="101"/>
      <c r="H481" s="102"/>
      <c r="I481" s="101"/>
      <c r="J481" s="101"/>
      <c r="K481" s="103"/>
      <c r="L481" s="103"/>
      <c r="M481" s="103"/>
      <c r="N481" s="103"/>
      <c r="O481" s="103"/>
      <c r="P481" s="98"/>
      <c r="Q481" s="99"/>
      <c r="R481" s="104">
        <f t="shared" si="26"/>
        <v>0</v>
      </c>
      <c r="S481" s="104">
        <f t="shared" si="25"/>
        <v>0</v>
      </c>
      <c r="T481" s="104">
        <f t="shared" si="27"/>
        <v>0</v>
      </c>
    </row>
    <row r="482" spans="1:20">
      <c r="A482" s="101"/>
      <c r="B482" s="101"/>
      <c r="C482" s="101"/>
      <c r="D482" s="101"/>
      <c r="E482" s="101"/>
      <c r="F482" s="102"/>
      <c r="G482" s="101"/>
      <c r="H482" s="102"/>
      <c r="I482" s="101"/>
      <c r="J482" s="101"/>
      <c r="K482" s="103"/>
      <c r="L482" s="103"/>
      <c r="M482" s="103"/>
      <c r="N482" s="103"/>
      <c r="O482" s="103"/>
      <c r="P482" s="98"/>
      <c r="Q482" s="99"/>
      <c r="R482" s="105">
        <f t="shared" si="26"/>
        <v>0</v>
      </c>
      <c r="S482" s="108">
        <f t="shared" si="25"/>
        <v>0</v>
      </c>
      <c r="T482" s="105">
        <f t="shared" si="27"/>
        <v>0</v>
      </c>
    </row>
    <row r="483" spans="1:20">
      <c r="A483" s="101"/>
      <c r="B483" s="101"/>
      <c r="C483" s="101"/>
      <c r="D483" s="101"/>
      <c r="E483" s="101"/>
      <c r="F483" s="102"/>
      <c r="G483" s="101"/>
      <c r="H483" s="102"/>
      <c r="I483" s="101"/>
      <c r="J483" s="101"/>
      <c r="K483" s="103"/>
      <c r="L483" s="103"/>
      <c r="M483" s="103"/>
      <c r="N483" s="103"/>
      <c r="O483" s="103"/>
      <c r="P483" s="98"/>
      <c r="Q483" s="99"/>
      <c r="R483" s="104">
        <f t="shared" si="26"/>
        <v>0</v>
      </c>
      <c r="S483" s="104">
        <f t="shared" si="25"/>
        <v>0</v>
      </c>
      <c r="T483" s="104">
        <f t="shared" si="27"/>
        <v>0</v>
      </c>
    </row>
    <row r="484" spans="1:20">
      <c r="A484" s="101"/>
      <c r="B484" s="101"/>
      <c r="C484" s="101"/>
      <c r="D484" s="101"/>
      <c r="E484" s="101"/>
      <c r="F484" s="102"/>
      <c r="G484" s="101"/>
      <c r="H484" s="102"/>
      <c r="I484" s="101"/>
      <c r="J484" s="101"/>
      <c r="K484" s="103"/>
      <c r="L484" s="103"/>
      <c r="M484" s="103"/>
      <c r="N484" s="103"/>
      <c r="O484" s="103"/>
      <c r="P484" s="98"/>
      <c r="Q484" s="99"/>
      <c r="R484" s="105">
        <f t="shared" si="26"/>
        <v>0</v>
      </c>
      <c r="S484" s="108">
        <f t="shared" si="25"/>
        <v>0</v>
      </c>
      <c r="T484" s="105">
        <f t="shared" si="27"/>
        <v>0</v>
      </c>
    </row>
    <row r="485" spans="1:20">
      <c r="A485" s="101"/>
      <c r="B485" s="101"/>
      <c r="C485" s="101"/>
      <c r="D485" s="101"/>
      <c r="E485" s="101"/>
      <c r="F485" s="102"/>
      <c r="G485" s="101"/>
      <c r="H485" s="102"/>
      <c r="I485" s="101"/>
      <c r="J485" s="101"/>
      <c r="K485" s="103"/>
      <c r="L485" s="103"/>
      <c r="M485" s="103"/>
      <c r="N485" s="103"/>
      <c r="O485" s="103"/>
      <c r="P485" s="98"/>
      <c r="Q485" s="99"/>
      <c r="R485" s="104">
        <f t="shared" si="26"/>
        <v>0</v>
      </c>
      <c r="S485" s="104">
        <f t="shared" si="25"/>
        <v>0</v>
      </c>
      <c r="T485" s="104">
        <f t="shared" si="27"/>
        <v>0</v>
      </c>
    </row>
    <row r="486" spans="1:20">
      <c r="A486" s="101"/>
      <c r="B486" s="101"/>
      <c r="C486" s="101"/>
      <c r="D486" s="101"/>
      <c r="E486" s="101"/>
      <c r="F486" s="102"/>
      <c r="G486" s="101"/>
      <c r="H486" s="102"/>
      <c r="I486" s="101"/>
      <c r="J486" s="101"/>
      <c r="K486" s="103"/>
      <c r="L486" s="103"/>
      <c r="M486" s="103"/>
      <c r="N486" s="103"/>
      <c r="O486" s="103"/>
      <c r="P486" s="98"/>
      <c r="Q486" s="99"/>
      <c r="R486" s="105">
        <f t="shared" si="26"/>
        <v>0</v>
      </c>
      <c r="S486" s="108">
        <f t="shared" si="25"/>
        <v>0</v>
      </c>
      <c r="T486" s="105">
        <f t="shared" si="27"/>
        <v>0</v>
      </c>
    </row>
    <row r="487" spans="1:20">
      <c r="A487" s="101"/>
      <c r="B487" s="101"/>
      <c r="C487" s="101"/>
      <c r="D487" s="101"/>
      <c r="E487" s="101"/>
      <c r="F487" s="102"/>
      <c r="G487" s="101"/>
      <c r="H487" s="102"/>
      <c r="I487" s="101"/>
      <c r="J487" s="101"/>
      <c r="K487" s="103"/>
      <c r="L487" s="103"/>
      <c r="M487" s="103"/>
      <c r="N487" s="103"/>
      <c r="O487" s="103"/>
      <c r="P487" s="98"/>
      <c r="Q487" s="99"/>
      <c r="R487" s="104">
        <f t="shared" si="26"/>
        <v>0</v>
      </c>
      <c r="S487" s="104">
        <f t="shared" si="25"/>
        <v>0</v>
      </c>
      <c r="T487" s="104">
        <f t="shared" si="27"/>
        <v>0</v>
      </c>
    </row>
    <row r="488" spans="1:20">
      <c r="A488" s="101"/>
      <c r="B488" s="101"/>
      <c r="C488" s="101"/>
      <c r="D488" s="101"/>
      <c r="E488" s="101"/>
      <c r="F488" s="102"/>
      <c r="G488" s="101"/>
      <c r="H488" s="102"/>
      <c r="I488" s="101"/>
      <c r="J488" s="101"/>
      <c r="K488" s="103"/>
      <c r="L488" s="103"/>
      <c r="M488" s="103"/>
      <c r="N488" s="103"/>
      <c r="O488" s="103"/>
      <c r="P488" s="98"/>
      <c r="Q488" s="99"/>
      <c r="R488" s="105">
        <f t="shared" si="26"/>
        <v>0</v>
      </c>
      <c r="S488" s="108">
        <f t="shared" si="25"/>
        <v>0</v>
      </c>
      <c r="T488" s="105">
        <f t="shared" si="27"/>
        <v>0</v>
      </c>
    </row>
    <row r="489" spans="1:20">
      <c r="A489" s="101"/>
      <c r="B489" s="101"/>
      <c r="C489" s="101"/>
      <c r="D489" s="101"/>
      <c r="E489" s="101"/>
      <c r="F489" s="102"/>
      <c r="G489" s="101"/>
      <c r="H489" s="102"/>
      <c r="I489" s="101"/>
      <c r="J489" s="101"/>
      <c r="K489" s="103"/>
      <c r="L489" s="103"/>
      <c r="M489" s="103"/>
      <c r="N489" s="103"/>
      <c r="O489" s="103"/>
      <c r="P489" s="98"/>
      <c r="Q489" s="99"/>
      <c r="R489" s="104">
        <f t="shared" si="26"/>
        <v>0</v>
      </c>
      <c r="S489" s="104">
        <f t="shared" si="25"/>
        <v>0</v>
      </c>
      <c r="T489" s="104">
        <f t="shared" si="27"/>
        <v>0</v>
      </c>
    </row>
    <row r="490" spans="1:20">
      <c r="A490" s="101"/>
      <c r="B490" s="101"/>
      <c r="C490" s="101"/>
      <c r="D490" s="101"/>
      <c r="E490" s="101"/>
      <c r="F490" s="102"/>
      <c r="G490" s="101"/>
      <c r="H490" s="102"/>
      <c r="I490" s="101"/>
      <c r="J490" s="101"/>
      <c r="K490" s="103"/>
      <c r="L490" s="103"/>
      <c r="M490" s="103"/>
      <c r="N490" s="103"/>
      <c r="O490" s="103"/>
      <c r="P490" s="98"/>
      <c r="Q490" s="99"/>
      <c r="R490" s="105">
        <f t="shared" si="26"/>
        <v>0</v>
      </c>
      <c r="S490" s="108">
        <f t="shared" si="25"/>
        <v>0</v>
      </c>
      <c r="T490" s="105">
        <f t="shared" si="27"/>
        <v>0</v>
      </c>
    </row>
    <row r="491" spans="1:20">
      <c r="A491" s="101"/>
      <c r="B491" s="101"/>
      <c r="C491" s="101"/>
      <c r="D491" s="101"/>
      <c r="E491" s="101"/>
      <c r="F491" s="102"/>
      <c r="G491" s="101"/>
      <c r="H491" s="102"/>
      <c r="I491" s="101"/>
      <c r="J491" s="101"/>
      <c r="K491" s="103"/>
      <c r="L491" s="103"/>
      <c r="M491" s="103"/>
      <c r="N491" s="103"/>
      <c r="O491" s="103"/>
      <c r="P491" s="98"/>
      <c r="Q491" s="99"/>
      <c r="R491" s="104">
        <f t="shared" si="26"/>
        <v>0</v>
      </c>
      <c r="S491" s="104">
        <f t="shared" si="25"/>
        <v>0</v>
      </c>
      <c r="T491" s="104">
        <f t="shared" si="27"/>
        <v>0</v>
      </c>
    </row>
    <row r="492" spans="1:20">
      <c r="A492" s="101"/>
      <c r="B492" s="101"/>
      <c r="C492" s="101"/>
      <c r="D492" s="101"/>
      <c r="E492" s="101"/>
      <c r="F492" s="102"/>
      <c r="G492" s="101"/>
      <c r="H492" s="102"/>
      <c r="I492" s="101"/>
      <c r="J492" s="101"/>
      <c r="K492" s="103"/>
      <c r="L492" s="103"/>
      <c r="M492" s="103"/>
      <c r="N492" s="103"/>
      <c r="O492" s="103"/>
      <c r="P492" s="98"/>
      <c r="Q492" s="99"/>
      <c r="R492" s="105">
        <f t="shared" si="26"/>
        <v>0</v>
      </c>
      <c r="S492" s="108">
        <f t="shared" si="25"/>
        <v>0</v>
      </c>
      <c r="T492" s="105">
        <f t="shared" si="27"/>
        <v>0</v>
      </c>
    </row>
    <row r="493" spans="1:20">
      <c r="A493" s="101"/>
      <c r="B493" s="101"/>
      <c r="C493" s="101"/>
      <c r="D493" s="101"/>
      <c r="E493" s="101"/>
      <c r="F493" s="102"/>
      <c r="G493" s="101"/>
      <c r="H493" s="102"/>
      <c r="I493" s="101"/>
      <c r="J493" s="101"/>
      <c r="K493" s="103"/>
      <c r="L493" s="103"/>
      <c r="M493" s="103"/>
      <c r="N493" s="103"/>
      <c r="O493" s="103"/>
      <c r="P493" s="98"/>
      <c r="Q493" s="99"/>
      <c r="R493" s="104">
        <f t="shared" si="26"/>
        <v>0</v>
      </c>
      <c r="S493" s="104">
        <f t="shared" si="25"/>
        <v>0</v>
      </c>
      <c r="T493" s="104">
        <f t="shared" si="27"/>
        <v>0</v>
      </c>
    </row>
    <row r="494" spans="1:20">
      <c r="A494" s="101"/>
      <c r="B494" s="101"/>
      <c r="C494" s="101"/>
      <c r="D494" s="101"/>
      <c r="E494" s="101"/>
      <c r="F494" s="102"/>
      <c r="G494" s="101"/>
      <c r="H494" s="102"/>
      <c r="I494" s="101"/>
      <c r="J494" s="101"/>
      <c r="K494" s="103"/>
      <c r="L494" s="103"/>
      <c r="M494" s="103"/>
      <c r="N494" s="103"/>
      <c r="O494" s="103"/>
      <c r="P494" s="98"/>
      <c r="Q494" s="99"/>
      <c r="R494" s="105">
        <f t="shared" si="26"/>
        <v>0</v>
      </c>
      <c r="S494" s="108">
        <f t="shared" si="25"/>
        <v>0</v>
      </c>
      <c r="T494" s="105">
        <f t="shared" si="27"/>
        <v>0</v>
      </c>
    </row>
    <row r="495" spans="1:20">
      <c r="A495" s="101"/>
      <c r="B495" s="101"/>
      <c r="C495" s="101"/>
      <c r="D495" s="101"/>
      <c r="E495" s="101"/>
      <c r="F495" s="102"/>
      <c r="G495" s="101"/>
      <c r="H495" s="102"/>
      <c r="I495" s="101"/>
      <c r="J495" s="101"/>
      <c r="K495" s="103"/>
      <c r="L495" s="103"/>
      <c r="M495" s="103"/>
      <c r="N495" s="103"/>
      <c r="O495" s="103"/>
      <c r="P495" s="98"/>
      <c r="Q495" s="99"/>
      <c r="R495" s="104">
        <f t="shared" si="26"/>
        <v>0</v>
      </c>
      <c r="S495" s="104">
        <f t="shared" si="25"/>
        <v>0</v>
      </c>
      <c r="T495" s="104">
        <f t="shared" si="27"/>
        <v>0</v>
      </c>
    </row>
    <row r="496" spans="1:20">
      <c r="A496" s="101"/>
      <c r="B496" s="101"/>
      <c r="C496" s="101"/>
      <c r="D496" s="101"/>
      <c r="E496" s="101"/>
      <c r="F496" s="102"/>
      <c r="G496" s="101"/>
      <c r="H496" s="102"/>
      <c r="I496" s="101"/>
      <c r="J496" s="101"/>
      <c r="K496" s="103"/>
      <c r="L496" s="103"/>
      <c r="M496" s="103"/>
      <c r="N496" s="103"/>
      <c r="O496" s="103"/>
      <c r="P496" s="98"/>
      <c r="Q496" s="99"/>
      <c r="R496" s="105">
        <f t="shared" si="26"/>
        <v>0</v>
      </c>
      <c r="S496" s="108">
        <f t="shared" si="25"/>
        <v>0</v>
      </c>
      <c r="T496" s="105">
        <f t="shared" si="27"/>
        <v>0</v>
      </c>
    </row>
    <row r="497" spans="1:20">
      <c r="A497" s="101"/>
      <c r="B497" s="101"/>
      <c r="C497" s="101"/>
      <c r="D497" s="101"/>
      <c r="E497" s="101"/>
      <c r="F497" s="102"/>
      <c r="G497" s="101"/>
      <c r="H497" s="102"/>
      <c r="I497" s="101"/>
      <c r="J497" s="101"/>
      <c r="K497" s="103"/>
      <c r="L497" s="103"/>
      <c r="M497" s="103"/>
      <c r="N497" s="103"/>
      <c r="O497" s="103"/>
      <c r="P497" s="98"/>
      <c r="Q497" s="99"/>
      <c r="R497" s="104">
        <f t="shared" si="26"/>
        <v>0</v>
      </c>
      <c r="S497" s="104">
        <f t="shared" si="25"/>
        <v>0</v>
      </c>
      <c r="T497" s="104">
        <f t="shared" si="27"/>
        <v>0</v>
      </c>
    </row>
    <row r="498" spans="1:20">
      <c r="A498" s="101"/>
      <c r="B498" s="101"/>
      <c r="C498" s="101"/>
      <c r="D498" s="101"/>
      <c r="E498" s="101"/>
      <c r="F498" s="102"/>
      <c r="G498" s="101"/>
      <c r="H498" s="102"/>
      <c r="I498" s="101"/>
      <c r="J498" s="101"/>
      <c r="K498" s="103"/>
      <c r="L498" s="103"/>
      <c r="M498" s="103"/>
      <c r="N498" s="103"/>
      <c r="O498" s="103"/>
      <c r="P498" s="98"/>
      <c r="Q498" s="99"/>
      <c r="R498" s="105">
        <f t="shared" si="26"/>
        <v>0</v>
      </c>
      <c r="S498" s="108">
        <f t="shared" si="25"/>
        <v>0</v>
      </c>
      <c r="T498" s="105">
        <f t="shared" si="27"/>
        <v>0</v>
      </c>
    </row>
    <row r="499" spans="1:20">
      <c r="A499" s="101"/>
      <c r="B499" s="101"/>
      <c r="C499" s="101"/>
      <c r="D499" s="101"/>
      <c r="E499" s="101"/>
      <c r="F499" s="102"/>
      <c r="G499" s="101"/>
      <c r="H499" s="102"/>
      <c r="I499" s="101"/>
      <c r="J499" s="101"/>
      <c r="K499" s="103"/>
      <c r="L499" s="103"/>
      <c r="M499" s="103"/>
      <c r="N499" s="103"/>
      <c r="O499" s="103"/>
      <c r="P499" s="98"/>
      <c r="Q499" s="99"/>
      <c r="R499" s="104">
        <f t="shared" si="26"/>
        <v>0</v>
      </c>
      <c r="S499" s="104">
        <f t="shared" si="25"/>
        <v>0</v>
      </c>
      <c r="T499" s="104">
        <f t="shared" si="27"/>
        <v>0</v>
      </c>
    </row>
    <row r="500" spans="1:20">
      <c r="A500" s="101"/>
      <c r="B500" s="101"/>
      <c r="C500" s="101"/>
      <c r="D500" s="101"/>
      <c r="E500" s="101"/>
      <c r="F500" s="102"/>
      <c r="G500" s="101"/>
      <c r="H500" s="102"/>
      <c r="I500" s="101"/>
      <c r="J500" s="101"/>
      <c r="K500" s="103"/>
      <c r="L500" s="103"/>
      <c r="M500" s="103"/>
      <c r="N500" s="103"/>
      <c r="O500" s="103"/>
      <c r="P500" s="98"/>
      <c r="Q500" s="99"/>
      <c r="R500" s="105">
        <f t="shared" si="26"/>
        <v>0</v>
      </c>
      <c r="S500" s="108">
        <f t="shared" si="25"/>
        <v>0</v>
      </c>
      <c r="T500" s="105">
        <f t="shared" si="27"/>
        <v>0</v>
      </c>
    </row>
    <row r="501" spans="1:20">
      <c r="A501" s="101"/>
      <c r="B501" s="101"/>
      <c r="C501" s="101"/>
      <c r="D501" s="101"/>
      <c r="E501" s="101"/>
      <c r="F501" s="102"/>
      <c r="G501" s="101"/>
      <c r="H501" s="102"/>
      <c r="I501" s="101"/>
      <c r="J501" s="101"/>
      <c r="K501" s="103"/>
      <c r="L501" s="103"/>
      <c r="M501" s="103"/>
      <c r="N501" s="103"/>
      <c r="O501" s="103"/>
      <c r="P501" s="98"/>
      <c r="Q501" s="99"/>
      <c r="R501" s="104">
        <f t="shared" si="26"/>
        <v>0</v>
      </c>
      <c r="S501" s="104">
        <f t="shared" si="25"/>
        <v>0</v>
      </c>
      <c r="T501" s="104">
        <f t="shared" si="27"/>
        <v>0</v>
      </c>
    </row>
    <row r="502" spans="1:20">
      <c r="A502" s="101"/>
      <c r="B502" s="101"/>
      <c r="C502" s="101"/>
      <c r="D502" s="101"/>
      <c r="E502" s="101"/>
      <c r="F502" s="102"/>
      <c r="G502" s="101"/>
      <c r="H502" s="102"/>
      <c r="I502" s="101"/>
      <c r="J502" s="101"/>
      <c r="K502" s="103"/>
      <c r="L502" s="103"/>
      <c r="M502" s="103"/>
      <c r="N502" s="103"/>
      <c r="O502" s="103"/>
      <c r="P502" s="98"/>
      <c r="Q502" s="99"/>
      <c r="R502" s="105">
        <f t="shared" si="26"/>
        <v>0</v>
      </c>
      <c r="S502" s="108">
        <f t="shared" si="25"/>
        <v>0</v>
      </c>
      <c r="T502" s="105">
        <f t="shared" si="27"/>
        <v>0</v>
      </c>
    </row>
    <row r="503" spans="1:20">
      <c r="A503" s="101"/>
      <c r="B503" s="101"/>
      <c r="C503" s="101"/>
      <c r="D503" s="101"/>
      <c r="E503" s="101"/>
      <c r="F503" s="102"/>
      <c r="G503" s="101"/>
      <c r="H503" s="102"/>
      <c r="I503" s="101"/>
      <c r="J503" s="101"/>
      <c r="K503" s="103"/>
      <c r="L503" s="103"/>
      <c r="M503" s="103"/>
      <c r="N503" s="103"/>
      <c r="O503" s="103"/>
      <c r="P503" s="98"/>
      <c r="Q503" s="99"/>
      <c r="R503" s="104">
        <f t="shared" si="26"/>
        <v>0</v>
      </c>
      <c r="S503" s="104">
        <f t="shared" si="25"/>
        <v>0</v>
      </c>
      <c r="T503" s="104">
        <f t="shared" si="27"/>
        <v>0</v>
      </c>
    </row>
    <row r="504" spans="1:20">
      <c r="A504" s="101"/>
      <c r="B504" s="101"/>
      <c r="C504" s="101"/>
      <c r="D504" s="101"/>
      <c r="E504" s="101"/>
      <c r="F504" s="102"/>
      <c r="G504" s="101"/>
      <c r="H504" s="102"/>
      <c r="I504" s="101"/>
      <c r="J504" s="101"/>
      <c r="K504" s="103"/>
      <c r="L504" s="103"/>
      <c r="M504" s="103"/>
      <c r="N504" s="103"/>
      <c r="O504" s="103"/>
      <c r="P504" s="98"/>
      <c r="Q504" s="99"/>
      <c r="R504" s="105">
        <f t="shared" si="26"/>
        <v>0</v>
      </c>
      <c r="S504" s="108">
        <f t="shared" si="25"/>
        <v>0</v>
      </c>
      <c r="T504" s="105">
        <f t="shared" si="27"/>
        <v>0</v>
      </c>
    </row>
    <row r="505" spans="1:20">
      <c r="A505" s="101"/>
      <c r="B505" s="101"/>
      <c r="C505" s="101"/>
      <c r="D505" s="101"/>
      <c r="E505" s="101"/>
      <c r="F505" s="102"/>
      <c r="G505" s="101"/>
      <c r="H505" s="102"/>
      <c r="I505" s="101"/>
      <c r="J505" s="101"/>
      <c r="K505" s="103"/>
      <c r="L505" s="103"/>
      <c r="M505" s="103"/>
      <c r="N505" s="103"/>
      <c r="O505" s="103"/>
      <c r="P505" s="98"/>
      <c r="Q505" s="99"/>
      <c r="R505" s="104">
        <f t="shared" si="26"/>
        <v>0</v>
      </c>
      <c r="S505" s="104">
        <f t="shared" si="25"/>
        <v>0</v>
      </c>
      <c r="T505" s="104">
        <f t="shared" si="27"/>
        <v>0</v>
      </c>
    </row>
    <row r="506" spans="1:20">
      <c r="A506" s="101"/>
      <c r="B506" s="101"/>
      <c r="C506" s="101"/>
      <c r="D506" s="101"/>
      <c r="E506" s="101"/>
      <c r="F506" s="102"/>
      <c r="G506" s="101"/>
      <c r="H506" s="102"/>
      <c r="I506" s="101"/>
      <c r="J506" s="101"/>
      <c r="K506" s="103"/>
      <c r="L506" s="103"/>
      <c r="M506" s="103"/>
      <c r="N506" s="103"/>
      <c r="O506" s="103"/>
      <c r="P506" s="98"/>
      <c r="Q506" s="99"/>
      <c r="R506" s="105">
        <f t="shared" si="26"/>
        <v>0</v>
      </c>
      <c r="S506" s="108">
        <f t="shared" si="25"/>
        <v>0</v>
      </c>
      <c r="T506" s="105">
        <f t="shared" si="27"/>
        <v>0</v>
      </c>
    </row>
    <row r="507" spans="1:20">
      <c r="A507" s="101"/>
      <c r="B507" s="101"/>
      <c r="C507" s="101"/>
      <c r="D507" s="101"/>
      <c r="E507" s="101"/>
      <c r="F507" s="102"/>
      <c r="G507" s="101"/>
      <c r="H507" s="102"/>
      <c r="I507" s="101"/>
      <c r="J507" s="101"/>
      <c r="K507" s="103"/>
      <c r="L507" s="103"/>
      <c r="M507" s="103"/>
      <c r="N507" s="103"/>
      <c r="O507" s="103"/>
      <c r="P507" s="98"/>
      <c r="Q507" s="99"/>
      <c r="R507" s="104">
        <f t="shared" si="26"/>
        <v>0</v>
      </c>
      <c r="S507" s="104">
        <f t="shared" si="25"/>
        <v>0</v>
      </c>
      <c r="T507" s="104">
        <f t="shared" si="27"/>
        <v>0</v>
      </c>
    </row>
    <row r="508" spans="1:20">
      <c r="A508" s="101"/>
      <c r="B508" s="101"/>
      <c r="C508" s="101"/>
      <c r="D508" s="101"/>
      <c r="E508" s="101"/>
      <c r="F508" s="102"/>
      <c r="G508" s="101"/>
      <c r="H508" s="102"/>
      <c r="I508" s="101"/>
      <c r="J508" s="101"/>
      <c r="K508" s="103"/>
      <c r="L508" s="103"/>
      <c r="M508" s="103"/>
      <c r="N508" s="103"/>
      <c r="O508" s="103"/>
      <c r="P508" s="98"/>
      <c r="Q508" s="99"/>
      <c r="R508" s="105">
        <f t="shared" si="26"/>
        <v>0</v>
      </c>
      <c r="S508" s="108">
        <f t="shared" si="25"/>
        <v>0</v>
      </c>
      <c r="T508" s="105">
        <f t="shared" si="27"/>
        <v>0</v>
      </c>
    </row>
    <row r="509" spans="1:20">
      <c r="A509" s="101"/>
      <c r="B509" s="101"/>
      <c r="C509" s="101"/>
      <c r="D509" s="101"/>
      <c r="E509" s="101"/>
      <c r="F509" s="102"/>
      <c r="G509" s="101"/>
      <c r="H509" s="102"/>
      <c r="I509" s="101"/>
      <c r="J509" s="101"/>
      <c r="K509" s="103"/>
      <c r="L509" s="103"/>
      <c r="M509" s="103"/>
      <c r="N509" s="103"/>
      <c r="O509" s="103"/>
      <c r="P509" s="98"/>
      <c r="Q509" s="99"/>
      <c r="R509" s="104">
        <f t="shared" si="26"/>
        <v>0</v>
      </c>
      <c r="S509" s="104">
        <f t="shared" si="25"/>
        <v>0</v>
      </c>
      <c r="T509" s="104">
        <f t="shared" si="27"/>
        <v>0</v>
      </c>
    </row>
    <row r="510" spans="1:20">
      <c r="A510" s="101"/>
      <c r="B510" s="101"/>
      <c r="C510" s="101"/>
      <c r="D510" s="101"/>
      <c r="E510" s="101"/>
      <c r="F510" s="102"/>
      <c r="G510" s="101"/>
      <c r="H510" s="102"/>
      <c r="I510" s="101"/>
      <c r="J510" s="101"/>
      <c r="K510" s="103"/>
      <c r="L510" s="103"/>
      <c r="M510" s="103"/>
      <c r="N510" s="103"/>
      <c r="O510" s="103"/>
      <c r="P510" s="98"/>
      <c r="Q510" s="99"/>
      <c r="R510" s="105">
        <f t="shared" si="26"/>
        <v>0</v>
      </c>
      <c r="S510" s="108">
        <f t="shared" si="25"/>
        <v>0</v>
      </c>
      <c r="T510" s="105">
        <f t="shared" si="27"/>
        <v>0</v>
      </c>
    </row>
    <row r="511" spans="1:20">
      <c r="A511" s="101"/>
      <c r="B511" s="101"/>
      <c r="C511" s="101"/>
      <c r="D511" s="101"/>
      <c r="E511" s="101"/>
      <c r="F511" s="102"/>
      <c r="G511" s="101"/>
      <c r="H511" s="102"/>
      <c r="I511" s="101"/>
      <c r="J511" s="101"/>
      <c r="K511" s="103"/>
      <c r="L511" s="103"/>
      <c r="M511" s="103"/>
      <c r="N511" s="103"/>
      <c r="O511" s="103"/>
      <c r="P511" s="98"/>
      <c r="Q511" s="99"/>
      <c r="R511" s="104">
        <f t="shared" si="26"/>
        <v>0</v>
      </c>
      <c r="S511" s="104">
        <f t="shared" si="25"/>
        <v>0</v>
      </c>
      <c r="T511" s="104">
        <f t="shared" si="27"/>
        <v>0</v>
      </c>
    </row>
    <row r="512" spans="1:20">
      <c r="A512" s="101"/>
      <c r="B512" s="101"/>
      <c r="C512" s="101"/>
      <c r="D512" s="101"/>
      <c r="E512" s="101"/>
      <c r="F512" s="102"/>
      <c r="G512" s="101"/>
      <c r="H512" s="102"/>
      <c r="I512" s="101"/>
      <c r="J512" s="101"/>
      <c r="K512" s="103"/>
      <c r="L512" s="103"/>
      <c r="M512" s="103"/>
      <c r="N512" s="103"/>
      <c r="O512" s="103"/>
      <c r="P512" s="98"/>
      <c r="Q512" s="99"/>
      <c r="R512" s="105">
        <f t="shared" si="26"/>
        <v>0</v>
      </c>
      <c r="S512" s="108">
        <f t="shared" si="25"/>
        <v>0</v>
      </c>
      <c r="T512" s="105">
        <f t="shared" si="27"/>
        <v>0</v>
      </c>
    </row>
    <row r="513" spans="1:20">
      <c r="A513" s="101"/>
      <c r="B513" s="101"/>
      <c r="C513" s="101"/>
      <c r="D513" s="101"/>
      <c r="E513" s="101"/>
      <c r="F513" s="102"/>
      <c r="G513" s="101"/>
      <c r="H513" s="102"/>
      <c r="I513" s="101"/>
      <c r="J513" s="101"/>
      <c r="K513" s="103"/>
      <c r="L513" s="103"/>
      <c r="M513" s="103"/>
      <c r="N513" s="103"/>
      <c r="O513" s="103"/>
      <c r="P513" s="98"/>
      <c r="Q513" s="99"/>
      <c r="R513" s="104">
        <f t="shared" si="26"/>
        <v>0</v>
      </c>
      <c r="S513" s="104">
        <f t="shared" si="25"/>
        <v>0</v>
      </c>
      <c r="T513" s="104">
        <f t="shared" si="27"/>
        <v>0</v>
      </c>
    </row>
    <row r="514" spans="1:20">
      <c r="A514" s="101"/>
      <c r="B514" s="101"/>
      <c r="C514" s="101"/>
      <c r="D514" s="101"/>
      <c r="E514" s="101"/>
      <c r="F514" s="102"/>
      <c r="G514" s="101"/>
      <c r="H514" s="102"/>
      <c r="I514" s="101"/>
      <c r="J514" s="101"/>
      <c r="K514" s="103"/>
      <c r="L514" s="103"/>
      <c r="M514" s="103"/>
      <c r="N514" s="103"/>
      <c r="O514" s="103"/>
      <c r="P514" s="98"/>
      <c r="Q514" s="99"/>
      <c r="R514" s="105">
        <f t="shared" si="26"/>
        <v>0</v>
      </c>
      <c r="S514" s="108">
        <f t="shared" si="25"/>
        <v>0</v>
      </c>
      <c r="T514" s="105">
        <f t="shared" si="27"/>
        <v>0</v>
      </c>
    </row>
    <row r="515" spans="1:20">
      <c r="A515" s="101"/>
      <c r="B515" s="101"/>
      <c r="C515" s="101"/>
      <c r="D515" s="101"/>
      <c r="E515" s="101"/>
      <c r="F515" s="102"/>
      <c r="G515" s="101"/>
      <c r="H515" s="102"/>
      <c r="I515" s="101"/>
      <c r="J515" s="101"/>
      <c r="K515" s="103"/>
      <c r="L515" s="103"/>
      <c r="M515" s="103"/>
      <c r="N515" s="103"/>
      <c r="O515" s="103"/>
      <c r="P515" s="98"/>
      <c r="Q515" s="99"/>
      <c r="R515" s="104">
        <f t="shared" si="26"/>
        <v>0</v>
      </c>
      <c r="S515" s="104">
        <f t="shared" si="25"/>
        <v>0</v>
      </c>
      <c r="T515" s="104">
        <f t="shared" si="27"/>
        <v>0</v>
      </c>
    </row>
    <row r="516" spans="1:20">
      <c r="A516" s="101"/>
      <c r="B516" s="101"/>
      <c r="C516" s="101"/>
      <c r="D516" s="101"/>
      <c r="E516" s="101"/>
      <c r="F516" s="102"/>
      <c r="G516" s="101"/>
      <c r="H516" s="102"/>
      <c r="I516" s="101"/>
      <c r="J516" s="101"/>
      <c r="K516" s="103"/>
      <c r="L516" s="103"/>
      <c r="M516" s="103"/>
      <c r="N516" s="103"/>
      <c r="O516" s="103"/>
      <c r="P516" s="98"/>
      <c r="Q516" s="99"/>
      <c r="R516" s="105">
        <f t="shared" si="26"/>
        <v>0</v>
      </c>
      <c r="S516" s="108">
        <f t="shared" ref="S516:S579" si="28">IF(P516="Abono",K516+L516+M516-N516-O516,0)</f>
        <v>0</v>
      </c>
      <c r="T516" s="105">
        <f t="shared" si="27"/>
        <v>0</v>
      </c>
    </row>
    <row r="517" spans="1:20">
      <c r="A517" s="101"/>
      <c r="B517" s="101"/>
      <c r="C517" s="101"/>
      <c r="D517" s="101"/>
      <c r="E517" s="101"/>
      <c r="F517" s="102"/>
      <c r="G517" s="101"/>
      <c r="H517" s="102"/>
      <c r="I517" s="101"/>
      <c r="J517" s="101"/>
      <c r="K517" s="103"/>
      <c r="L517" s="103"/>
      <c r="M517" s="103"/>
      <c r="N517" s="103"/>
      <c r="O517" s="103"/>
      <c r="P517" s="98"/>
      <c r="Q517" s="99"/>
      <c r="R517" s="104">
        <f t="shared" ref="R517:R580" si="29">IF(P517="Cargo",K517+L517-M517-N517+O517,0)</f>
        <v>0</v>
      </c>
      <c r="S517" s="104">
        <f t="shared" si="28"/>
        <v>0</v>
      </c>
      <c r="T517" s="104">
        <f t="shared" ref="T517:T580" si="30">IF(Q517="OK",+T516+R517-S517,T516)</f>
        <v>0</v>
      </c>
    </row>
    <row r="518" spans="1:20">
      <c r="A518" s="101"/>
      <c r="B518" s="101"/>
      <c r="C518" s="101"/>
      <c r="D518" s="101"/>
      <c r="E518" s="101"/>
      <c r="F518" s="102"/>
      <c r="G518" s="101"/>
      <c r="H518" s="102"/>
      <c r="I518" s="101"/>
      <c r="J518" s="101"/>
      <c r="K518" s="103"/>
      <c r="L518" s="103"/>
      <c r="M518" s="103"/>
      <c r="N518" s="103"/>
      <c r="O518" s="103"/>
      <c r="P518" s="98"/>
      <c r="Q518" s="99"/>
      <c r="R518" s="105">
        <f t="shared" si="29"/>
        <v>0</v>
      </c>
      <c r="S518" s="108">
        <f t="shared" si="28"/>
        <v>0</v>
      </c>
      <c r="T518" s="105">
        <f t="shared" si="30"/>
        <v>0</v>
      </c>
    </row>
    <row r="519" spans="1:20">
      <c r="A519" s="101"/>
      <c r="B519" s="101"/>
      <c r="C519" s="101"/>
      <c r="D519" s="101"/>
      <c r="E519" s="101"/>
      <c r="F519" s="102"/>
      <c r="G519" s="101"/>
      <c r="H519" s="102"/>
      <c r="I519" s="101"/>
      <c r="J519" s="101"/>
      <c r="K519" s="103"/>
      <c r="L519" s="103"/>
      <c r="M519" s="103"/>
      <c r="N519" s="103"/>
      <c r="O519" s="103"/>
      <c r="P519" s="98"/>
      <c r="Q519" s="99"/>
      <c r="R519" s="104">
        <f t="shared" si="29"/>
        <v>0</v>
      </c>
      <c r="S519" s="104">
        <f t="shared" si="28"/>
        <v>0</v>
      </c>
      <c r="T519" s="104">
        <f t="shared" si="30"/>
        <v>0</v>
      </c>
    </row>
    <row r="520" spans="1:20">
      <c r="A520" s="101"/>
      <c r="B520" s="101"/>
      <c r="C520" s="101"/>
      <c r="D520" s="101"/>
      <c r="E520" s="101"/>
      <c r="F520" s="102"/>
      <c r="G520" s="101"/>
      <c r="H520" s="102"/>
      <c r="I520" s="101"/>
      <c r="J520" s="101"/>
      <c r="K520" s="103"/>
      <c r="L520" s="103"/>
      <c r="M520" s="103"/>
      <c r="N520" s="103"/>
      <c r="O520" s="103"/>
      <c r="P520" s="98"/>
      <c r="Q520" s="99"/>
      <c r="R520" s="105">
        <f t="shared" si="29"/>
        <v>0</v>
      </c>
      <c r="S520" s="108">
        <f t="shared" si="28"/>
        <v>0</v>
      </c>
      <c r="T520" s="105">
        <f t="shared" si="30"/>
        <v>0</v>
      </c>
    </row>
    <row r="521" spans="1:20">
      <c r="A521" s="101"/>
      <c r="B521" s="101"/>
      <c r="C521" s="101"/>
      <c r="D521" s="101"/>
      <c r="E521" s="101"/>
      <c r="F521" s="102"/>
      <c r="G521" s="101"/>
      <c r="H521" s="102"/>
      <c r="I521" s="101"/>
      <c r="J521" s="101"/>
      <c r="K521" s="103"/>
      <c r="L521" s="103"/>
      <c r="M521" s="103"/>
      <c r="N521" s="103"/>
      <c r="O521" s="103"/>
      <c r="P521" s="98"/>
      <c r="Q521" s="99"/>
      <c r="R521" s="104">
        <f t="shared" si="29"/>
        <v>0</v>
      </c>
      <c r="S521" s="104">
        <f t="shared" si="28"/>
        <v>0</v>
      </c>
      <c r="T521" s="104">
        <f t="shared" si="30"/>
        <v>0</v>
      </c>
    </row>
    <row r="522" spans="1:20">
      <c r="A522" s="101"/>
      <c r="B522" s="101"/>
      <c r="C522" s="101"/>
      <c r="D522" s="101"/>
      <c r="E522" s="101"/>
      <c r="F522" s="102"/>
      <c r="G522" s="101"/>
      <c r="H522" s="102"/>
      <c r="I522" s="101"/>
      <c r="J522" s="101"/>
      <c r="K522" s="103"/>
      <c r="L522" s="103"/>
      <c r="M522" s="103"/>
      <c r="N522" s="103"/>
      <c r="O522" s="103"/>
      <c r="P522" s="98"/>
      <c r="Q522" s="99"/>
      <c r="R522" s="105">
        <f t="shared" si="29"/>
        <v>0</v>
      </c>
      <c r="S522" s="108">
        <f t="shared" si="28"/>
        <v>0</v>
      </c>
      <c r="T522" s="105">
        <f t="shared" si="30"/>
        <v>0</v>
      </c>
    </row>
    <row r="523" spans="1:20">
      <c r="A523" s="101"/>
      <c r="B523" s="101"/>
      <c r="C523" s="101"/>
      <c r="D523" s="101"/>
      <c r="E523" s="101"/>
      <c r="F523" s="102"/>
      <c r="G523" s="101"/>
      <c r="H523" s="102"/>
      <c r="I523" s="101"/>
      <c r="J523" s="101"/>
      <c r="K523" s="103"/>
      <c r="L523" s="103"/>
      <c r="M523" s="103"/>
      <c r="N523" s="103"/>
      <c r="O523" s="103"/>
      <c r="P523" s="98"/>
      <c r="Q523" s="99"/>
      <c r="R523" s="104">
        <f t="shared" si="29"/>
        <v>0</v>
      </c>
      <c r="S523" s="104">
        <f t="shared" si="28"/>
        <v>0</v>
      </c>
      <c r="T523" s="104">
        <f t="shared" si="30"/>
        <v>0</v>
      </c>
    </row>
    <row r="524" spans="1:20">
      <c r="A524" s="101"/>
      <c r="B524" s="101"/>
      <c r="C524" s="101"/>
      <c r="D524" s="101"/>
      <c r="E524" s="101"/>
      <c r="F524" s="102"/>
      <c r="G524" s="101"/>
      <c r="H524" s="102"/>
      <c r="I524" s="101"/>
      <c r="J524" s="101"/>
      <c r="K524" s="103"/>
      <c r="L524" s="103"/>
      <c r="M524" s="103"/>
      <c r="N524" s="103"/>
      <c r="O524" s="103"/>
      <c r="P524" s="98"/>
      <c r="Q524" s="99"/>
      <c r="R524" s="105">
        <f t="shared" si="29"/>
        <v>0</v>
      </c>
      <c r="S524" s="108">
        <f t="shared" si="28"/>
        <v>0</v>
      </c>
      <c r="T524" s="105">
        <f t="shared" si="30"/>
        <v>0</v>
      </c>
    </row>
    <row r="525" spans="1:20">
      <c r="A525" s="101"/>
      <c r="B525" s="101"/>
      <c r="C525" s="101"/>
      <c r="D525" s="101"/>
      <c r="E525" s="101"/>
      <c r="F525" s="102"/>
      <c r="G525" s="101"/>
      <c r="H525" s="102"/>
      <c r="I525" s="101"/>
      <c r="J525" s="101"/>
      <c r="K525" s="103"/>
      <c r="L525" s="103"/>
      <c r="M525" s="103"/>
      <c r="N525" s="103"/>
      <c r="O525" s="103"/>
      <c r="P525" s="98"/>
      <c r="Q525" s="99"/>
      <c r="R525" s="104">
        <f t="shared" si="29"/>
        <v>0</v>
      </c>
      <c r="S525" s="104">
        <f t="shared" si="28"/>
        <v>0</v>
      </c>
      <c r="T525" s="104">
        <f t="shared" si="30"/>
        <v>0</v>
      </c>
    </row>
    <row r="526" spans="1:20">
      <c r="A526" s="101"/>
      <c r="B526" s="101"/>
      <c r="C526" s="101"/>
      <c r="D526" s="101"/>
      <c r="E526" s="101"/>
      <c r="F526" s="102"/>
      <c r="G526" s="101"/>
      <c r="H526" s="102"/>
      <c r="I526" s="101"/>
      <c r="J526" s="101"/>
      <c r="K526" s="103"/>
      <c r="L526" s="103"/>
      <c r="M526" s="103"/>
      <c r="N526" s="103"/>
      <c r="O526" s="103"/>
      <c r="P526" s="98"/>
      <c r="Q526" s="99"/>
      <c r="R526" s="105">
        <f t="shared" si="29"/>
        <v>0</v>
      </c>
      <c r="S526" s="108">
        <f t="shared" si="28"/>
        <v>0</v>
      </c>
      <c r="T526" s="105">
        <f t="shared" si="30"/>
        <v>0</v>
      </c>
    </row>
    <row r="527" spans="1:20">
      <c r="A527" s="101"/>
      <c r="B527" s="101"/>
      <c r="C527" s="101"/>
      <c r="D527" s="101"/>
      <c r="E527" s="101"/>
      <c r="F527" s="102"/>
      <c r="G527" s="101"/>
      <c r="H527" s="102"/>
      <c r="I527" s="101"/>
      <c r="J527" s="101"/>
      <c r="K527" s="103"/>
      <c r="L527" s="103"/>
      <c r="M527" s="103"/>
      <c r="N527" s="103"/>
      <c r="O527" s="103"/>
      <c r="P527" s="98"/>
      <c r="Q527" s="99"/>
      <c r="R527" s="104">
        <f t="shared" si="29"/>
        <v>0</v>
      </c>
      <c r="S527" s="104">
        <f t="shared" si="28"/>
        <v>0</v>
      </c>
      <c r="T527" s="104">
        <f t="shared" si="30"/>
        <v>0</v>
      </c>
    </row>
    <row r="528" spans="1:20">
      <c r="A528" s="101"/>
      <c r="B528" s="101"/>
      <c r="C528" s="101"/>
      <c r="D528" s="101"/>
      <c r="E528" s="101"/>
      <c r="F528" s="102"/>
      <c r="G528" s="101"/>
      <c r="H528" s="102"/>
      <c r="I528" s="101"/>
      <c r="J528" s="101"/>
      <c r="K528" s="103"/>
      <c r="L528" s="103"/>
      <c r="M528" s="103"/>
      <c r="N528" s="103"/>
      <c r="O528" s="103"/>
      <c r="P528" s="98"/>
      <c r="Q528" s="99"/>
      <c r="R528" s="105">
        <f t="shared" si="29"/>
        <v>0</v>
      </c>
      <c r="S528" s="108">
        <f t="shared" si="28"/>
        <v>0</v>
      </c>
      <c r="T528" s="105">
        <f t="shared" si="30"/>
        <v>0</v>
      </c>
    </row>
    <row r="529" spans="1:20">
      <c r="A529" s="101"/>
      <c r="B529" s="101"/>
      <c r="C529" s="101"/>
      <c r="D529" s="101"/>
      <c r="E529" s="101"/>
      <c r="F529" s="102"/>
      <c r="G529" s="101"/>
      <c r="H529" s="102"/>
      <c r="I529" s="101"/>
      <c r="J529" s="101"/>
      <c r="K529" s="103"/>
      <c r="L529" s="103"/>
      <c r="M529" s="103"/>
      <c r="N529" s="103"/>
      <c r="O529" s="103"/>
      <c r="P529" s="98"/>
      <c r="Q529" s="99"/>
      <c r="R529" s="104">
        <f t="shared" si="29"/>
        <v>0</v>
      </c>
      <c r="S529" s="104">
        <f t="shared" si="28"/>
        <v>0</v>
      </c>
      <c r="T529" s="104">
        <f t="shared" si="30"/>
        <v>0</v>
      </c>
    </row>
    <row r="530" spans="1:20">
      <c r="A530" s="101"/>
      <c r="B530" s="101"/>
      <c r="C530" s="101"/>
      <c r="D530" s="101"/>
      <c r="E530" s="101"/>
      <c r="F530" s="102"/>
      <c r="G530" s="101"/>
      <c r="H530" s="102"/>
      <c r="I530" s="101"/>
      <c r="J530" s="101"/>
      <c r="K530" s="103"/>
      <c r="L530" s="103"/>
      <c r="M530" s="103"/>
      <c r="N530" s="103"/>
      <c r="O530" s="103"/>
      <c r="P530" s="98"/>
      <c r="Q530" s="99"/>
      <c r="R530" s="105">
        <f t="shared" si="29"/>
        <v>0</v>
      </c>
      <c r="S530" s="108">
        <f t="shared" si="28"/>
        <v>0</v>
      </c>
      <c r="T530" s="105">
        <f t="shared" si="30"/>
        <v>0</v>
      </c>
    </row>
    <row r="531" spans="1:20">
      <c r="A531" s="101"/>
      <c r="B531" s="101"/>
      <c r="C531" s="101"/>
      <c r="D531" s="101"/>
      <c r="E531" s="101"/>
      <c r="F531" s="102"/>
      <c r="G531" s="101"/>
      <c r="H531" s="102"/>
      <c r="I531" s="101"/>
      <c r="J531" s="101"/>
      <c r="K531" s="103"/>
      <c r="L531" s="103"/>
      <c r="M531" s="103"/>
      <c r="N531" s="103"/>
      <c r="O531" s="103"/>
      <c r="P531" s="98"/>
      <c r="Q531" s="99"/>
      <c r="R531" s="104">
        <f t="shared" si="29"/>
        <v>0</v>
      </c>
      <c r="S531" s="104">
        <f t="shared" si="28"/>
        <v>0</v>
      </c>
      <c r="T531" s="104">
        <f t="shared" si="30"/>
        <v>0</v>
      </c>
    </row>
    <row r="532" spans="1:20">
      <c r="A532" s="101"/>
      <c r="B532" s="101"/>
      <c r="C532" s="101"/>
      <c r="D532" s="101"/>
      <c r="E532" s="101"/>
      <c r="F532" s="102"/>
      <c r="G532" s="101"/>
      <c r="H532" s="102"/>
      <c r="I532" s="101"/>
      <c r="J532" s="101"/>
      <c r="K532" s="103"/>
      <c r="L532" s="103"/>
      <c r="M532" s="103"/>
      <c r="N532" s="103"/>
      <c r="O532" s="103"/>
      <c r="P532" s="98"/>
      <c r="Q532" s="99"/>
      <c r="R532" s="105">
        <f t="shared" si="29"/>
        <v>0</v>
      </c>
      <c r="S532" s="108">
        <f t="shared" si="28"/>
        <v>0</v>
      </c>
      <c r="T532" s="105">
        <f t="shared" si="30"/>
        <v>0</v>
      </c>
    </row>
    <row r="533" spans="1:20">
      <c r="A533" s="101"/>
      <c r="B533" s="101"/>
      <c r="C533" s="101"/>
      <c r="D533" s="101"/>
      <c r="E533" s="101"/>
      <c r="F533" s="102"/>
      <c r="G533" s="101"/>
      <c r="H533" s="102"/>
      <c r="I533" s="101"/>
      <c r="J533" s="101"/>
      <c r="K533" s="103"/>
      <c r="L533" s="103"/>
      <c r="M533" s="103"/>
      <c r="N533" s="103"/>
      <c r="O533" s="103"/>
      <c r="P533" s="98"/>
      <c r="Q533" s="99"/>
      <c r="R533" s="104">
        <f t="shared" si="29"/>
        <v>0</v>
      </c>
      <c r="S533" s="104">
        <f t="shared" si="28"/>
        <v>0</v>
      </c>
      <c r="T533" s="104">
        <f t="shared" si="30"/>
        <v>0</v>
      </c>
    </row>
    <row r="534" spans="1:20">
      <c r="A534" s="101"/>
      <c r="B534" s="101"/>
      <c r="C534" s="101"/>
      <c r="D534" s="101"/>
      <c r="E534" s="101"/>
      <c r="F534" s="102"/>
      <c r="G534" s="101"/>
      <c r="H534" s="102"/>
      <c r="I534" s="101"/>
      <c r="J534" s="101"/>
      <c r="K534" s="103"/>
      <c r="L534" s="103"/>
      <c r="M534" s="103"/>
      <c r="N534" s="103"/>
      <c r="O534" s="103"/>
      <c r="P534" s="98"/>
      <c r="Q534" s="99"/>
      <c r="R534" s="105">
        <f t="shared" si="29"/>
        <v>0</v>
      </c>
      <c r="S534" s="108">
        <f t="shared" si="28"/>
        <v>0</v>
      </c>
      <c r="T534" s="105">
        <f t="shared" si="30"/>
        <v>0</v>
      </c>
    </row>
    <row r="535" spans="1:20">
      <c r="A535" s="101"/>
      <c r="B535" s="101"/>
      <c r="C535" s="101"/>
      <c r="D535" s="101"/>
      <c r="E535" s="101"/>
      <c r="F535" s="102"/>
      <c r="G535" s="101"/>
      <c r="H535" s="102"/>
      <c r="I535" s="101"/>
      <c r="J535" s="101"/>
      <c r="K535" s="103"/>
      <c r="L535" s="103"/>
      <c r="M535" s="103"/>
      <c r="N535" s="103"/>
      <c r="O535" s="103"/>
      <c r="P535" s="98"/>
      <c r="Q535" s="99"/>
      <c r="R535" s="104">
        <f t="shared" si="29"/>
        <v>0</v>
      </c>
      <c r="S535" s="104">
        <f t="shared" si="28"/>
        <v>0</v>
      </c>
      <c r="T535" s="104">
        <f t="shared" si="30"/>
        <v>0</v>
      </c>
    </row>
    <row r="536" spans="1:20">
      <c r="A536" s="101"/>
      <c r="B536" s="101"/>
      <c r="C536" s="101"/>
      <c r="D536" s="101"/>
      <c r="E536" s="101"/>
      <c r="F536" s="102"/>
      <c r="G536" s="101"/>
      <c r="H536" s="102"/>
      <c r="I536" s="101"/>
      <c r="J536" s="101"/>
      <c r="K536" s="103"/>
      <c r="L536" s="103"/>
      <c r="M536" s="103"/>
      <c r="N536" s="103"/>
      <c r="O536" s="103"/>
      <c r="P536" s="98"/>
      <c r="Q536" s="99"/>
      <c r="R536" s="105">
        <f t="shared" si="29"/>
        <v>0</v>
      </c>
      <c r="S536" s="108">
        <f t="shared" si="28"/>
        <v>0</v>
      </c>
      <c r="T536" s="105">
        <f t="shared" si="30"/>
        <v>0</v>
      </c>
    </row>
    <row r="537" spans="1:20">
      <c r="A537" s="101"/>
      <c r="B537" s="101"/>
      <c r="C537" s="101"/>
      <c r="D537" s="101"/>
      <c r="E537" s="101"/>
      <c r="F537" s="102"/>
      <c r="G537" s="101"/>
      <c r="H537" s="102"/>
      <c r="I537" s="101"/>
      <c r="J537" s="101"/>
      <c r="K537" s="103"/>
      <c r="L537" s="103"/>
      <c r="M537" s="103"/>
      <c r="N537" s="103"/>
      <c r="O537" s="103"/>
      <c r="P537" s="98"/>
      <c r="Q537" s="99"/>
      <c r="R537" s="104">
        <f t="shared" si="29"/>
        <v>0</v>
      </c>
      <c r="S537" s="104">
        <f t="shared" si="28"/>
        <v>0</v>
      </c>
      <c r="T537" s="104">
        <f t="shared" si="30"/>
        <v>0</v>
      </c>
    </row>
    <row r="538" spans="1:20">
      <c r="A538" s="101"/>
      <c r="B538" s="101"/>
      <c r="C538" s="101"/>
      <c r="D538" s="101"/>
      <c r="E538" s="101"/>
      <c r="F538" s="102"/>
      <c r="G538" s="101"/>
      <c r="H538" s="102"/>
      <c r="I538" s="101"/>
      <c r="J538" s="101"/>
      <c r="K538" s="103"/>
      <c r="L538" s="103"/>
      <c r="M538" s="103"/>
      <c r="N538" s="103"/>
      <c r="O538" s="103"/>
      <c r="P538" s="98"/>
      <c r="Q538" s="99"/>
      <c r="R538" s="105">
        <f t="shared" si="29"/>
        <v>0</v>
      </c>
      <c r="S538" s="108">
        <f t="shared" si="28"/>
        <v>0</v>
      </c>
      <c r="T538" s="105">
        <f t="shared" si="30"/>
        <v>0</v>
      </c>
    </row>
    <row r="539" spans="1:20">
      <c r="A539" s="101"/>
      <c r="B539" s="101"/>
      <c r="C539" s="101"/>
      <c r="D539" s="101"/>
      <c r="E539" s="101"/>
      <c r="F539" s="102"/>
      <c r="G539" s="101"/>
      <c r="H539" s="102"/>
      <c r="I539" s="101"/>
      <c r="J539" s="101"/>
      <c r="K539" s="103"/>
      <c r="L539" s="103"/>
      <c r="M539" s="103"/>
      <c r="N539" s="103"/>
      <c r="O539" s="103"/>
      <c r="P539" s="98"/>
      <c r="Q539" s="99"/>
      <c r="R539" s="104">
        <f t="shared" si="29"/>
        <v>0</v>
      </c>
      <c r="S539" s="104">
        <f t="shared" si="28"/>
        <v>0</v>
      </c>
      <c r="T539" s="104">
        <f t="shared" si="30"/>
        <v>0</v>
      </c>
    </row>
    <row r="540" spans="1:20">
      <c r="A540" s="101"/>
      <c r="B540" s="101"/>
      <c r="C540" s="101"/>
      <c r="D540" s="101"/>
      <c r="E540" s="101"/>
      <c r="F540" s="102"/>
      <c r="G540" s="101"/>
      <c r="H540" s="102"/>
      <c r="I540" s="101"/>
      <c r="J540" s="101"/>
      <c r="K540" s="103"/>
      <c r="L540" s="103"/>
      <c r="M540" s="103"/>
      <c r="N540" s="103"/>
      <c r="O540" s="103"/>
      <c r="P540" s="98"/>
      <c r="Q540" s="99"/>
      <c r="R540" s="105">
        <f t="shared" si="29"/>
        <v>0</v>
      </c>
      <c r="S540" s="108">
        <f t="shared" si="28"/>
        <v>0</v>
      </c>
      <c r="T540" s="105">
        <f t="shared" si="30"/>
        <v>0</v>
      </c>
    </row>
    <row r="541" spans="1:20">
      <c r="A541" s="101"/>
      <c r="B541" s="101"/>
      <c r="C541" s="101"/>
      <c r="D541" s="101"/>
      <c r="E541" s="101"/>
      <c r="F541" s="102"/>
      <c r="G541" s="101"/>
      <c r="H541" s="102"/>
      <c r="I541" s="101"/>
      <c r="J541" s="101"/>
      <c r="K541" s="103"/>
      <c r="L541" s="103"/>
      <c r="M541" s="103"/>
      <c r="N541" s="103"/>
      <c r="O541" s="103"/>
      <c r="P541" s="98"/>
      <c r="Q541" s="99"/>
      <c r="R541" s="104">
        <f t="shared" si="29"/>
        <v>0</v>
      </c>
      <c r="S541" s="104">
        <f t="shared" si="28"/>
        <v>0</v>
      </c>
      <c r="T541" s="104">
        <f t="shared" si="30"/>
        <v>0</v>
      </c>
    </row>
    <row r="542" spans="1:20">
      <c r="A542" s="101"/>
      <c r="B542" s="101"/>
      <c r="C542" s="101"/>
      <c r="D542" s="101"/>
      <c r="E542" s="101"/>
      <c r="F542" s="102"/>
      <c r="G542" s="101"/>
      <c r="H542" s="102"/>
      <c r="I542" s="101"/>
      <c r="J542" s="101"/>
      <c r="K542" s="103"/>
      <c r="L542" s="103"/>
      <c r="M542" s="103"/>
      <c r="N542" s="103"/>
      <c r="O542" s="103"/>
      <c r="P542" s="98"/>
      <c r="Q542" s="99"/>
      <c r="R542" s="105">
        <f t="shared" si="29"/>
        <v>0</v>
      </c>
      <c r="S542" s="108">
        <f t="shared" si="28"/>
        <v>0</v>
      </c>
      <c r="T542" s="105">
        <f t="shared" si="30"/>
        <v>0</v>
      </c>
    </row>
    <row r="543" spans="1:20">
      <c r="A543" s="101"/>
      <c r="B543" s="101"/>
      <c r="C543" s="101"/>
      <c r="D543" s="101"/>
      <c r="E543" s="101"/>
      <c r="F543" s="102"/>
      <c r="G543" s="101"/>
      <c r="H543" s="102"/>
      <c r="I543" s="101"/>
      <c r="J543" s="101"/>
      <c r="K543" s="103"/>
      <c r="L543" s="103"/>
      <c r="M543" s="103"/>
      <c r="N543" s="103"/>
      <c r="O543" s="103"/>
      <c r="P543" s="98"/>
      <c r="Q543" s="99"/>
      <c r="R543" s="104">
        <f t="shared" si="29"/>
        <v>0</v>
      </c>
      <c r="S543" s="104">
        <f t="shared" si="28"/>
        <v>0</v>
      </c>
      <c r="T543" s="104">
        <f t="shared" si="30"/>
        <v>0</v>
      </c>
    </row>
    <row r="544" spans="1:20">
      <c r="A544" s="101"/>
      <c r="B544" s="101"/>
      <c r="C544" s="101"/>
      <c r="D544" s="101"/>
      <c r="E544" s="101"/>
      <c r="F544" s="102"/>
      <c r="G544" s="101"/>
      <c r="H544" s="102"/>
      <c r="I544" s="101"/>
      <c r="J544" s="101"/>
      <c r="K544" s="103"/>
      <c r="L544" s="103"/>
      <c r="M544" s="103"/>
      <c r="N544" s="103"/>
      <c r="O544" s="103"/>
      <c r="P544" s="98"/>
      <c r="Q544" s="99"/>
      <c r="R544" s="105">
        <f t="shared" si="29"/>
        <v>0</v>
      </c>
      <c r="S544" s="108">
        <f t="shared" si="28"/>
        <v>0</v>
      </c>
      <c r="T544" s="105">
        <f t="shared" si="30"/>
        <v>0</v>
      </c>
    </row>
    <row r="545" spans="1:20">
      <c r="A545" s="101"/>
      <c r="B545" s="101"/>
      <c r="C545" s="101"/>
      <c r="D545" s="101"/>
      <c r="E545" s="101"/>
      <c r="F545" s="102"/>
      <c r="G545" s="101"/>
      <c r="H545" s="102"/>
      <c r="I545" s="101"/>
      <c r="J545" s="101"/>
      <c r="K545" s="103"/>
      <c r="L545" s="103"/>
      <c r="M545" s="103"/>
      <c r="N545" s="103"/>
      <c r="O545" s="103"/>
      <c r="P545" s="98"/>
      <c r="Q545" s="99"/>
      <c r="R545" s="104">
        <f t="shared" si="29"/>
        <v>0</v>
      </c>
      <c r="S545" s="104">
        <f t="shared" si="28"/>
        <v>0</v>
      </c>
      <c r="T545" s="104">
        <f t="shared" si="30"/>
        <v>0</v>
      </c>
    </row>
    <row r="546" spans="1:20">
      <c r="A546" s="101"/>
      <c r="B546" s="101"/>
      <c r="C546" s="101"/>
      <c r="D546" s="101"/>
      <c r="E546" s="101"/>
      <c r="F546" s="102"/>
      <c r="G546" s="101"/>
      <c r="H546" s="102"/>
      <c r="I546" s="101"/>
      <c r="J546" s="101"/>
      <c r="K546" s="103"/>
      <c r="L546" s="103"/>
      <c r="M546" s="103"/>
      <c r="N546" s="103"/>
      <c r="O546" s="103"/>
      <c r="P546" s="98"/>
      <c r="Q546" s="99"/>
      <c r="R546" s="105">
        <f t="shared" si="29"/>
        <v>0</v>
      </c>
      <c r="S546" s="108">
        <f t="shared" si="28"/>
        <v>0</v>
      </c>
      <c r="T546" s="105">
        <f t="shared" si="30"/>
        <v>0</v>
      </c>
    </row>
    <row r="547" spans="1:20">
      <c r="A547" s="101"/>
      <c r="B547" s="101"/>
      <c r="C547" s="101"/>
      <c r="D547" s="101"/>
      <c r="E547" s="101"/>
      <c r="F547" s="102"/>
      <c r="G547" s="101"/>
      <c r="H547" s="102"/>
      <c r="I547" s="101"/>
      <c r="J547" s="101"/>
      <c r="K547" s="103"/>
      <c r="L547" s="103"/>
      <c r="M547" s="103"/>
      <c r="N547" s="103"/>
      <c r="O547" s="103"/>
      <c r="P547" s="98"/>
      <c r="Q547" s="99"/>
      <c r="R547" s="104">
        <f t="shared" si="29"/>
        <v>0</v>
      </c>
      <c r="S547" s="104">
        <f t="shared" si="28"/>
        <v>0</v>
      </c>
      <c r="T547" s="104">
        <f t="shared" si="30"/>
        <v>0</v>
      </c>
    </row>
    <row r="548" spans="1:20">
      <c r="A548" s="101"/>
      <c r="B548" s="101"/>
      <c r="C548" s="101"/>
      <c r="D548" s="101"/>
      <c r="E548" s="101"/>
      <c r="F548" s="102"/>
      <c r="G548" s="101"/>
      <c r="H548" s="102"/>
      <c r="I548" s="101"/>
      <c r="J548" s="101"/>
      <c r="K548" s="103"/>
      <c r="L548" s="103"/>
      <c r="M548" s="103"/>
      <c r="N548" s="103"/>
      <c r="O548" s="103"/>
      <c r="P548" s="98"/>
      <c r="Q548" s="99"/>
      <c r="R548" s="105">
        <f t="shared" si="29"/>
        <v>0</v>
      </c>
      <c r="S548" s="108">
        <f t="shared" si="28"/>
        <v>0</v>
      </c>
      <c r="T548" s="105">
        <f t="shared" si="30"/>
        <v>0</v>
      </c>
    </row>
    <row r="549" spans="1:20">
      <c r="A549" s="101"/>
      <c r="B549" s="101"/>
      <c r="C549" s="101"/>
      <c r="D549" s="101"/>
      <c r="E549" s="101"/>
      <c r="F549" s="102"/>
      <c r="G549" s="101"/>
      <c r="H549" s="102"/>
      <c r="I549" s="101"/>
      <c r="J549" s="101"/>
      <c r="K549" s="103"/>
      <c r="L549" s="103"/>
      <c r="M549" s="103"/>
      <c r="N549" s="103"/>
      <c r="O549" s="103"/>
      <c r="P549" s="98"/>
      <c r="Q549" s="99"/>
      <c r="R549" s="104">
        <f t="shared" si="29"/>
        <v>0</v>
      </c>
      <c r="S549" s="104">
        <f t="shared" si="28"/>
        <v>0</v>
      </c>
      <c r="T549" s="104">
        <f t="shared" si="30"/>
        <v>0</v>
      </c>
    </row>
    <row r="550" spans="1:20">
      <c r="A550" s="101"/>
      <c r="B550" s="101"/>
      <c r="C550" s="101"/>
      <c r="D550" s="101"/>
      <c r="E550" s="101"/>
      <c r="F550" s="102"/>
      <c r="G550" s="101"/>
      <c r="H550" s="102"/>
      <c r="I550" s="101"/>
      <c r="J550" s="101"/>
      <c r="K550" s="103"/>
      <c r="L550" s="103"/>
      <c r="M550" s="103"/>
      <c r="N550" s="103"/>
      <c r="O550" s="103"/>
      <c r="P550" s="98"/>
      <c r="Q550" s="99"/>
      <c r="R550" s="105">
        <f t="shared" si="29"/>
        <v>0</v>
      </c>
      <c r="S550" s="108">
        <f t="shared" si="28"/>
        <v>0</v>
      </c>
      <c r="T550" s="105">
        <f t="shared" si="30"/>
        <v>0</v>
      </c>
    </row>
    <row r="551" spans="1:20">
      <c r="A551" s="101"/>
      <c r="B551" s="101"/>
      <c r="C551" s="101"/>
      <c r="D551" s="101"/>
      <c r="E551" s="101"/>
      <c r="F551" s="102"/>
      <c r="G551" s="101"/>
      <c r="H551" s="102"/>
      <c r="I551" s="101"/>
      <c r="J551" s="101"/>
      <c r="K551" s="103"/>
      <c r="L551" s="103"/>
      <c r="M551" s="103"/>
      <c r="N551" s="103"/>
      <c r="O551" s="103"/>
      <c r="P551" s="98"/>
      <c r="Q551" s="99"/>
      <c r="R551" s="104">
        <f t="shared" si="29"/>
        <v>0</v>
      </c>
      <c r="S551" s="104">
        <f t="shared" si="28"/>
        <v>0</v>
      </c>
      <c r="T551" s="104">
        <f t="shared" si="30"/>
        <v>0</v>
      </c>
    </row>
    <row r="552" spans="1:20">
      <c r="A552" s="101"/>
      <c r="B552" s="101"/>
      <c r="C552" s="101"/>
      <c r="D552" s="101"/>
      <c r="E552" s="101"/>
      <c r="F552" s="102"/>
      <c r="G552" s="101"/>
      <c r="H552" s="102"/>
      <c r="I552" s="101"/>
      <c r="J552" s="101"/>
      <c r="K552" s="103"/>
      <c r="L552" s="103"/>
      <c r="M552" s="103"/>
      <c r="N552" s="103"/>
      <c r="O552" s="103"/>
      <c r="P552" s="98"/>
      <c r="Q552" s="99"/>
      <c r="R552" s="105">
        <f t="shared" si="29"/>
        <v>0</v>
      </c>
      <c r="S552" s="108">
        <f t="shared" si="28"/>
        <v>0</v>
      </c>
      <c r="T552" s="105">
        <f t="shared" si="30"/>
        <v>0</v>
      </c>
    </row>
    <row r="553" spans="1:20">
      <c r="A553" s="101"/>
      <c r="B553" s="101"/>
      <c r="C553" s="101"/>
      <c r="D553" s="101"/>
      <c r="E553" s="101"/>
      <c r="F553" s="102"/>
      <c r="G553" s="101"/>
      <c r="H553" s="102"/>
      <c r="I553" s="101"/>
      <c r="J553" s="101"/>
      <c r="K553" s="103"/>
      <c r="L553" s="103"/>
      <c r="M553" s="103"/>
      <c r="N553" s="103"/>
      <c r="O553" s="103"/>
      <c r="P553" s="98"/>
      <c r="Q553" s="99"/>
      <c r="R553" s="104">
        <f t="shared" si="29"/>
        <v>0</v>
      </c>
      <c r="S553" s="104">
        <f t="shared" si="28"/>
        <v>0</v>
      </c>
      <c r="T553" s="104">
        <f t="shared" si="30"/>
        <v>0</v>
      </c>
    </row>
    <row r="554" spans="1:20">
      <c r="A554" s="101"/>
      <c r="B554" s="101"/>
      <c r="C554" s="101"/>
      <c r="D554" s="101"/>
      <c r="E554" s="101"/>
      <c r="F554" s="102"/>
      <c r="G554" s="101"/>
      <c r="H554" s="102"/>
      <c r="I554" s="101"/>
      <c r="J554" s="101"/>
      <c r="K554" s="103"/>
      <c r="L554" s="103"/>
      <c r="M554" s="103"/>
      <c r="N554" s="103"/>
      <c r="O554" s="103"/>
      <c r="P554" s="98"/>
      <c r="Q554" s="99"/>
      <c r="R554" s="105">
        <f t="shared" si="29"/>
        <v>0</v>
      </c>
      <c r="S554" s="108">
        <f t="shared" si="28"/>
        <v>0</v>
      </c>
      <c r="T554" s="105">
        <f t="shared" si="30"/>
        <v>0</v>
      </c>
    </row>
    <row r="555" spans="1:20">
      <c r="A555" s="101"/>
      <c r="B555" s="101"/>
      <c r="C555" s="101"/>
      <c r="D555" s="101"/>
      <c r="E555" s="101"/>
      <c r="F555" s="102"/>
      <c r="G555" s="101"/>
      <c r="H555" s="102"/>
      <c r="I555" s="101"/>
      <c r="J555" s="101"/>
      <c r="K555" s="103"/>
      <c r="L555" s="103"/>
      <c r="M555" s="103"/>
      <c r="N555" s="103"/>
      <c r="O555" s="103"/>
      <c r="P555" s="98"/>
      <c r="Q555" s="99"/>
      <c r="R555" s="104">
        <f t="shared" si="29"/>
        <v>0</v>
      </c>
      <c r="S555" s="104">
        <f t="shared" si="28"/>
        <v>0</v>
      </c>
      <c r="T555" s="104">
        <f t="shared" si="30"/>
        <v>0</v>
      </c>
    </row>
    <row r="556" spans="1:20">
      <c r="A556" s="101"/>
      <c r="B556" s="101"/>
      <c r="C556" s="101"/>
      <c r="D556" s="101"/>
      <c r="E556" s="101"/>
      <c r="F556" s="102"/>
      <c r="G556" s="101"/>
      <c r="H556" s="102"/>
      <c r="I556" s="101"/>
      <c r="J556" s="101"/>
      <c r="K556" s="103"/>
      <c r="L556" s="103"/>
      <c r="M556" s="103"/>
      <c r="N556" s="103"/>
      <c r="O556" s="103"/>
      <c r="P556" s="98"/>
      <c r="Q556" s="99"/>
      <c r="R556" s="105">
        <f t="shared" si="29"/>
        <v>0</v>
      </c>
      <c r="S556" s="108">
        <f t="shared" si="28"/>
        <v>0</v>
      </c>
      <c r="T556" s="105">
        <f t="shared" si="30"/>
        <v>0</v>
      </c>
    </row>
    <row r="557" spans="1:20">
      <c r="A557" s="101"/>
      <c r="B557" s="101"/>
      <c r="C557" s="101"/>
      <c r="D557" s="101"/>
      <c r="E557" s="101"/>
      <c r="F557" s="102"/>
      <c r="G557" s="101"/>
      <c r="H557" s="102"/>
      <c r="I557" s="101"/>
      <c r="J557" s="101"/>
      <c r="K557" s="103"/>
      <c r="L557" s="103"/>
      <c r="M557" s="103"/>
      <c r="N557" s="103"/>
      <c r="O557" s="103"/>
      <c r="P557" s="98"/>
      <c r="Q557" s="99"/>
      <c r="R557" s="104">
        <f t="shared" si="29"/>
        <v>0</v>
      </c>
      <c r="S557" s="104">
        <f t="shared" si="28"/>
        <v>0</v>
      </c>
      <c r="T557" s="104">
        <f t="shared" si="30"/>
        <v>0</v>
      </c>
    </row>
    <row r="558" spans="1:20">
      <c r="A558" s="101"/>
      <c r="B558" s="101"/>
      <c r="C558" s="101"/>
      <c r="D558" s="101"/>
      <c r="E558" s="101"/>
      <c r="F558" s="102"/>
      <c r="G558" s="101"/>
      <c r="H558" s="102"/>
      <c r="I558" s="101"/>
      <c r="J558" s="101"/>
      <c r="K558" s="103"/>
      <c r="L558" s="103"/>
      <c r="M558" s="103"/>
      <c r="N558" s="103"/>
      <c r="O558" s="103"/>
      <c r="P558" s="98"/>
      <c r="Q558" s="99"/>
      <c r="R558" s="105">
        <f t="shared" si="29"/>
        <v>0</v>
      </c>
      <c r="S558" s="108">
        <f t="shared" si="28"/>
        <v>0</v>
      </c>
      <c r="T558" s="105">
        <f t="shared" si="30"/>
        <v>0</v>
      </c>
    </row>
    <row r="559" spans="1:20">
      <c r="A559" s="101"/>
      <c r="B559" s="101"/>
      <c r="C559" s="101"/>
      <c r="D559" s="101"/>
      <c r="E559" s="101"/>
      <c r="F559" s="102"/>
      <c r="G559" s="101"/>
      <c r="H559" s="102"/>
      <c r="I559" s="101"/>
      <c r="J559" s="101"/>
      <c r="K559" s="103"/>
      <c r="L559" s="103"/>
      <c r="M559" s="103"/>
      <c r="N559" s="103"/>
      <c r="O559" s="103"/>
      <c r="P559" s="98"/>
      <c r="Q559" s="99"/>
      <c r="R559" s="104">
        <f t="shared" si="29"/>
        <v>0</v>
      </c>
      <c r="S559" s="104">
        <f t="shared" si="28"/>
        <v>0</v>
      </c>
      <c r="T559" s="104">
        <f t="shared" si="30"/>
        <v>0</v>
      </c>
    </row>
    <row r="560" spans="1:20">
      <c r="A560" s="101"/>
      <c r="B560" s="101"/>
      <c r="C560" s="101"/>
      <c r="D560" s="101"/>
      <c r="E560" s="101"/>
      <c r="F560" s="102"/>
      <c r="G560" s="101"/>
      <c r="H560" s="102"/>
      <c r="I560" s="101"/>
      <c r="J560" s="101"/>
      <c r="K560" s="103"/>
      <c r="L560" s="103"/>
      <c r="M560" s="103"/>
      <c r="N560" s="103"/>
      <c r="O560" s="103"/>
      <c r="P560" s="98"/>
      <c r="Q560" s="99"/>
      <c r="R560" s="105">
        <f t="shared" si="29"/>
        <v>0</v>
      </c>
      <c r="S560" s="108">
        <f t="shared" si="28"/>
        <v>0</v>
      </c>
      <c r="T560" s="105">
        <f t="shared" si="30"/>
        <v>0</v>
      </c>
    </row>
    <row r="561" spans="1:20">
      <c r="A561" s="101"/>
      <c r="B561" s="101"/>
      <c r="C561" s="101"/>
      <c r="D561" s="101"/>
      <c r="E561" s="101"/>
      <c r="F561" s="102"/>
      <c r="G561" s="101"/>
      <c r="H561" s="102"/>
      <c r="I561" s="101"/>
      <c r="J561" s="101"/>
      <c r="K561" s="103"/>
      <c r="L561" s="103"/>
      <c r="M561" s="103"/>
      <c r="N561" s="103"/>
      <c r="O561" s="103"/>
      <c r="P561" s="98"/>
      <c r="Q561" s="99"/>
      <c r="R561" s="104">
        <f t="shared" si="29"/>
        <v>0</v>
      </c>
      <c r="S561" s="104">
        <f t="shared" si="28"/>
        <v>0</v>
      </c>
      <c r="T561" s="104">
        <f t="shared" si="30"/>
        <v>0</v>
      </c>
    </row>
    <row r="562" spans="1:20">
      <c r="A562" s="101"/>
      <c r="B562" s="101"/>
      <c r="C562" s="101"/>
      <c r="D562" s="101"/>
      <c r="E562" s="101"/>
      <c r="F562" s="102"/>
      <c r="G562" s="101"/>
      <c r="H562" s="102"/>
      <c r="I562" s="101"/>
      <c r="J562" s="101"/>
      <c r="K562" s="103"/>
      <c r="L562" s="103"/>
      <c r="M562" s="103"/>
      <c r="N562" s="103"/>
      <c r="O562" s="103"/>
      <c r="P562" s="98"/>
      <c r="Q562" s="99"/>
      <c r="R562" s="105">
        <f t="shared" si="29"/>
        <v>0</v>
      </c>
      <c r="S562" s="108">
        <f t="shared" si="28"/>
        <v>0</v>
      </c>
      <c r="T562" s="105">
        <f t="shared" si="30"/>
        <v>0</v>
      </c>
    </row>
    <row r="563" spans="1:20">
      <c r="A563" s="101"/>
      <c r="B563" s="101"/>
      <c r="C563" s="101"/>
      <c r="D563" s="101"/>
      <c r="E563" s="101"/>
      <c r="F563" s="102"/>
      <c r="G563" s="101"/>
      <c r="H563" s="102"/>
      <c r="I563" s="101"/>
      <c r="J563" s="101"/>
      <c r="K563" s="103"/>
      <c r="L563" s="103"/>
      <c r="M563" s="103"/>
      <c r="N563" s="103"/>
      <c r="O563" s="103"/>
      <c r="P563" s="98"/>
      <c r="Q563" s="99"/>
      <c r="R563" s="104">
        <f t="shared" si="29"/>
        <v>0</v>
      </c>
      <c r="S563" s="104">
        <f t="shared" si="28"/>
        <v>0</v>
      </c>
      <c r="T563" s="104">
        <f t="shared" si="30"/>
        <v>0</v>
      </c>
    </row>
    <row r="564" spans="1:20">
      <c r="A564" s="101"/>
      <c r="B564" s="101"/>
      <c r="C564" s="101"/>
      <c r="D564" s="101"/>
      <c r="E564" s="101"/>
      <c r="F564" s="102"/>
      <c r="G564" s="101"/>
      <c r="H564" s="102"/>
      <c r="I564" s="101"/>
      <c r="J564" s="101"/>
      <c r="K564" s="103"/>
      <c r="L564" s="103"/>
      <c r="M564" s="103"/>
      <c r="N564" s="103"/>
      <c r="O564" s="103"/>
      <c r="P564" s="98"/>
      <c r="Q564" s="99"/>
      <c r="R564" s="105">
        <f t="shared" si="29"/>
        <v>0</v>
      </c>
      <c r="S564" s="108">
        <f t="shared" si="28"/>
        <v>0</v>
      </c>
      <c r="T564" s="105">
        <f t="shared" si="30"/>
        <v>0</v>
      </c>
    </row>
    <row r="565" spans="1:20">
      <c r="A565" s="101"/>
      <c r="B565" s="101"/>
      <c r="C565" s="101"/>
      <c r="D565" s="101"/>
      <c r="E565" s="101"/>
      <c r="F565" s="102"/>
      <c r="G565" s="101"/>
      <c r="H565" s="102"/>
      <c r="I565" s="101"/>
      <c r="J565" s="101"/>
      <c r="K565" s="103"/>
      <c r="L565" s="103"/>
      <c r="M565" s="103"/>
      <c r="N565" s="103"/>
      <c r="O565" s="103"/>
      <c r="P565" s="98"/>
      <c r="Q565" s="99"/>
      <c r="R565" s="104">
        <f t="shared" si="29"/>
        <v>0</v>
      </c>
      <c r="S565" s="104">
        <f t="shared" si="28"/>
        <v>0</v>
      </c>
      <c r="T565" s="104">
        <f t="shared" si="30"/>
        <v>0</v>
      </c>
    </row>
    <row r="566" spans="1:20">
      <c r="A566" s="101"/>
      <c r="B566" s="101"/>
      <c r="C566" s="101"/>
      <c r="D566" s="101"/>
      <c r="E566" s="101"/>
      <c r="F566" s="102"/>
      <c r="G566" s="101"/>
      <c r="H566" s="102"/>
      <c r="I566" s="101"/>
      <c r="J566" s="101"/>
      <c r="K566" s="103"/>
      <c r="L566" s="103"/>
      <c r="M566" s="103"/>
      <c r="N566" s="103"/>
      <c r="O566" s="103"/>
      <c r="P566" s="98"/>
      <c r="Q566" s="99"/>
      <c r="R566" s="105">
        <f t="shared" si="29"/>
        <v>0</v>
      </c>
      <c r="S566" s="108">
        <f t="shared" si="28"/>
        <v>0</v>
      </c>
      <c r="T566" s="105">
        <f t="shared" si="30"/>
        <v>0</v>
      </c>
    </row>
    <row r="567" spans="1:20">
      <c r="A567" s="101"/>
      <c r="B567" s="101"/>
      <c r="C567" s="101"/>
      <c r="D567" s="101"/>
      <c r="E567" s="101"/>
      <c r="F567" s="102"/>
      <c r="G567" s="101"/>
      <c r="H567" s="102"/>
      <c r="I567" s="101"/>
      <c r="J567" s="101"/>
      <c r="K567" s="103"/>
      <c r="L567" s="103"/>
      <c r="M567" s="103"/>
      <c r="N567" s="103"/>
      <c r="O567" s="103"/>
      <c r="P567" s="98"/>
      <c r="Q567" s="99"/>
      <c r="R567" s="104">
        <f t="shared" si="29"/>
        <v>0</v>
      </c>
      <c r="S567" s="104">
        <f t="shared" si="28"/>
        <v>0</v>
      </c>
      <c r="T567" s="104">
        <f t="shared" si="30"/>
        <v>0</v>
      </c>
    </row>
    <row r="568" spans="1:20">
      <c r="A568" s="101"/>
      <c r="B568" s="101"/>
      <c r="C568" s="101"/>
      <c r="D568" s="101"/>
      <c r="E568" s="101"/>
      <c r="F568" s="102"/>
      <c r="G568" s="101"/>
      <c r="H568" s="102"/>
      <c r="I568" s="101"/>
      <c r="J568" s="101"/>
      <c r="K568" s="103"/>
      <c r="L568" s="103"/>
      <c r="M568" s="103"/>
      <c r="N568" s="103"/>
      <c r="O568" s="103"/>
      <c r="P568" s="98"/>
      <c r="Q568" s="99"/>
      <c r="R568" s="105">
        <f t="shared" si="29"/>
        <v>0</v>
      </c>
      <c r="S568" s="108">
        <f t="shared" si="28"/>
        <v>0</v>
      </c>
      <c r="T568" s="105">
        <f t="shared" si="30"/>
        <v>0</v>
      </c>
    </row>
    <row r="569" spans="1:20">
      <c r="A569" s="101"/>
      <c r="B569" s="101"/>
      <c r="C569" s="101"/>
      <c r="D569" s="101"/>
      <c r="E569" s="101"/>
      <c r="F569" s="102"/>
      <c r="G569" s="101"/>
      <c r="H569" s="102"/>
      <c r="I569" s="101"/>
      <c r="J569" s="101"/>
      <c r="K569" s="103"/>
      <c r="L569" s="103"/>
      <c r="M569" s="103"/>
      <c r="N569" s="103"/>
      <c r="O569" s="103"/>
      <c r="P569" s="98"/>
      <c r="Q569" s="99"/>
      <c r="R569" s="104">
        <f t="shared" si="29"/>
        <v>0</v>
      </c>
      <c r="S569" s="104">
        <f t="shared" si="28"/>
        <v>0</v>
      </c>
      <c r="T569" s="104">
        <f t="shared" si="30"/>
        <v>0</v>
      </c>
    </row>
    <row r="570" spans="1:20">
      <c r="A570" s="101"/>
      <c r="B570" s="101"/>
      <c r="C570" s="101"/>
      <c r="D570" s="101"/>
      <c r="E570" s="101"/>
      <c r="F570" s="102"/>
      <c r="G570" s="101"/>
      <c r="H570" s="102"/>
      <c r="I570" s="101"/>
      <c r="J570" s="101"/>
      <c r="K570" s="103"/>
      <c r="L570" s="103"/>
      <c r="M570" s="103"/>
      <c r="N570" s="103"/>
      <c r="O570" s="103"/>
      <c r="P570" s="98"/>
      <c r="Q570" s="99"/>
      <c r="R570" s="105">
        <f t="shared" si="29"/>
        <v>0</v>
      </c>
      <c r="S570" s="108">
        <f t="shared" si="28"/>
        <v>0</v>
      </c>
      <c r="T570" s="105">
        <f t="shared" si="30"/>
        <v>0</v>
      </c>
    </row>
    <row r="571" spans="1:20">
      <c r="A571" s="101"/>
      <c r="B571" s="101"/>
      <c r="C571" s="101"/>
      <c r="D571" s="101"/>
      <c r="E571" s="101"/>
      <c r="F571" s="102"/>
      <c r="G571" s="101"/>
      <c r="H571" s="102"/>
      <c r="I571" s="101"/>
      <c r="J571" s="101"/>
      <c r="K571" s="103"/>
      <c r="L571" s="103"/>
      <c r="M571" s="103"/>
      <c r="N571" s="103"/>
      <c r="O571" s="103"/>
      <c r="P571" s="98"/>
      <c r="Q571" s="99"/>
      <c r="R571" s="104">
        <f t="shared" si="29"/>
        <v>0</v>
      </c>
      <c r="S571" s="104">
        <f t="shared" si="28"/>
        <v>0</v>
      </c>
      <c r="T571" s="104">
        <f t="shared" si="30"/>
        <v>0</v>
      </c>
    </row>
    <row r="572" spans="1:20">
      <c r="A572" s="101"/>
      <c r="B572" s="101"/>
      <c r="C572" s="101"/>
      <c r="D572" s="101"/>
      <c r="E572" s="101"/>
      <c r="F572" s="102"/>
      <c r="G572" s="101"/>
      <c r="H572" s="102"/>
      <c r="I572" s="101"/>
      <c r="J572" s="101"/>
      <c r="K572" s="103"/>
      <c r="L572" s="103"/>
      <c r="M572" s="103"/>
      <c r="N572" s="103"/>
      <c r="O572" s="103"/>
      <c r="P572" s="98"/>
      <c r="Q572" s="99"/>
      <c r="R572" s="105">
        <f t="shared" si="29"/>
        <v>0</v>
      </c>
      <c r="S572" s="108">
        <f t="shared" si="28"/>
        <v>0</v>
      </c>
      <c r="T572" s="105">
        <f t="shared" si="30"/>
        <v>0</v>
      </c>
    </row>
    <row r="573" spans="1:20">
      <c r="A573" s="101"/>
      <c r="B573" s="101"/>
      <c r="C573" s="101"/>
      <c r="D573" s="101"/>
      <c r="E573" s="101"/>
      <c r="F573" s="102"/>
      <c r="G573" s="101"/>
      <c r="H573" s="102"/>
      <c r="I573" s="101"/>
      <c r="J573" s="101"/>
      <c r="K573" s="103"/>
      <c r="L573" s="103"/>
      <c r="M573" s="103"/>
      <c r="N573" s="103"/>
      <c r="O573" s="103"/>
      <c r="P573" s="98"/>
      <c r="Q573" s="99"/>
      <c r="R573" s="104">
        <f t="shared" si="29"/>
        <v>0</v>
      </c>
      <c r="S573" s="104">
        <f t="shared" si="28"/>
        <v>0</v>
      </c>
      <c r="T573" s="104">
        <f t="shared" si="30"/>
        <v>0</v>
      </c>
    </row>
    <row r="574" spans="1:20">
      <c r="A574" s="101"/>
      <c r="B574" s="101"/>
      <c r="C574" s="101"/>
      <c r="D574" s="101"/>
      <c r="E574" s="101"/>
      <c r="F574" s="102"/>
      <c r="G574" s="101"/>
      <c r="H574" s="102"/>
      <c r="I574" s="101"/>
      <c r="J574" s="101"/>
      <c r="K574" s="103"/>
      <c r="L574" s="103"/>
      <c r="M574" s="103"/>
      <c r="N574" s="103"/>
      <c r="O574" s="103"/>
      <c r="P574" s="98"/>
      <c r="Q574" s="99"/>
      <c r="R574" s="105">
        <f t="shared" si="29"/>
        <v>0</v>
      </c>
      <c r="S574" s="108">
        <f t="shared" si="28"/>
        <v>0</v>
      </c>
      <c r="T574" s="105">
        <f t="shared" si="30"/>
        <v>0</v>
      </c>
    </row>
    <row r="575" spans="1:20">
      <c r="A575" s="101"/>
      <c r="B575" s="101"/>
      <c r="C575" s="101"/>
      <c r="D575" s="101"/>
      <c r="E575" s="101"/>
      <c r="F575" s="102"/>
      <c r="G575" s="101"/>
      <c r="H575" s="102"/>
      <c r="I575" s="101"/>
      <c r="J575" s="101"/>
      <c r="K575" s="103"/>
      <c r="L575" s="103"/>
      <c r="M575" s="103"/>
      <c r="N575" s="103"/>
      <c r="O575" s="103"/>
      <c r="P575" s="98"/>
      <c r="Q575" s="99"/>
      <c r="R575" s="104">
        <f t="shared" si="29"/>
        <v>0</v>
      </c>
      <c r="S575" s="104">
        <f t="shared" si="28"/>
        <v>0</v>
      </c>
      <c r="T575" s="104">
        <f t="shared" si="30"/>
        <v>0</v>
      </c>
    </row>
    <row r="576" spans="1:20">
      <c r="A576" s="101"/>
      <c r="B576" s="101"/>
      <c r="C576" s="101"/>
      <c r="D576" s="101"/>
      <c r="E576" s="101"/>
      <c r="F576" s="102"/>
      <c r="G576" s="101"/>
      <c r="H576" s="102"/>
      <c r="I576" s="101"/>
      <c r="J576" s="101"/>
      <c r="K576" s="103"/>
      <c r="L576" s="103"/>
      <c r="M576" s="103"/>
      <c r="N576" s="103"/>
      <c r="O576" s="103"/>
      <c r="P576" s="98"/>
      <c r="Q576" s="99"/>
      <c r="R576" s="105">
        <f t="shared" si="29"/>
        <v>0</v>
      </c>
      <c r="S576" s="108">
        <f t="shared" si="28"/>
        <v>0</v>
      </c>
      <c r="T576" s="105">
        <f t="shared" si="30"/>
        <v>0</v>
      </c>
    </row>
    <row r="577" spans="1:20">
      <c r="A577" s="101"/>
      <c r="B577" s="101"/>
      <c r="C577" s="101"/>
      <c r="D577" s="101"/>
      <c r="E577" s="101"/>
      <c r="F577" s="102"/>
      <c r="G577" s="101"/>
      <c r="H577" s="102"/>
      <c r="I577" s="101"/>
      <c r="J577" s="101"/>
      <c r="K577" s="103"/>
      <c r="L577" s="103"/>
      <c r="M577" s="103"/>
      <c r="N577" s="103"/>
      <c r="O577" s="103"/>
      <c r="P577" s="98"/>
      <c r="Q577" s="99"/>
      <c r="R577" s="104">
        <f t="shared" si="29"/>
        <v>0</v>
      </c>
      <c r="S577" s="104">
        <f t="shared" si="28"/>
        <v>0</v>
      </c>
      <c r="T577" s="104">
        <f t="shared" si="30"/>
        <v>0</v>
      </c>
    </row>
    <row r="578" spans="1:20">
      <c r="A578" s="101"/>
      <c r="B578" s="101"/>
      <c r="C578" s="101"/>
      <c r="D578" s="101"/>
      <c r="E578" s="101"/>
      <c r="F578" s="102"/>
      <c r="G578" s="101"/>
      <c r="H578" s="102"/>
      <c r="I578" s="101"/>
      <c r="J578" s="101"/>
      <c r="K578" s="103"/>
      <c r="L578" s="103"/>
      <c r="M578" s="103"/>
      <c r="N578" s="103"/>
      <c r="O578" s="103"/>
      <c r="P578" s="98"/>
      <c r="Q578" s="99"/>
      <c r="R578" s="105">
        <f t="shared" si="29"/>
        <v>0</v>
      </c>
      <c r="S578" s="108">
        <f t="shared" si="28"/>
        <v>0</v>
      </c>
      <c r="T578" s="105">
        <f t="shared" si="30"/>
        <v>0</v>
      </c>
    </row>
    <row r="579" spans="1:20">
      <c r="A579" s="101"/>
      <c r="B579" s="101"/>
      <c r="C579" s="101"/>
      <c r="D579" s="101"/>
      <c r="E579" s="101"/>
      <c r="F579" s="102"/>
      <c r="G579" s="101"/>
      <c r="H579" s="102"/>
      <c r="I579" s="101"/>
      <c r="J579" s="101"/>
      <c r="K579" s="103"/>
      <c r="L579" s="103"/>
      <c r="M579" s="103"/>
      <c r="N579" s="103"/>
      <c r="O579" s="103"/>
      <c r="P579" s="98"/>
      <c r="Q579" s="99"/>
      <c r="R579" s="104">
        <f t="shared" si="29"/>
        <v>0</v>
      </c>
      <c r="S579" s="104">
        <f t="shared" si="28"/>
        <v>0</v>
      </c>
      <c r="T579" s="104">
        <f t="shared" si="30"/>
        <v>0</v>
      </c>
    </row>
    <row r="580" spans="1:20">
      <c r="A580" s="101"/>
      <c r="B580" s="101"/>
      <c r="C580" s="101"/>
      <c r="D580" s="101"/>
      <c r="E580" s="101"/>
      <c r="F580" s="102"/>
      <c r="G580" s="101"/>
      <c r="H580" s="102"/>
      <c r="I580" s="101"/>
      <c r="J580" s="101"/>
      <c r="K580" s="103"/>
      <c r="L580" s="103"/>
      <c r="M580" s="103"/>
      <c r="N580" s="103"/>
      <c r="O580" s="103"/>
      <c r="P580" s="98"/>
      <c r="Q580" s="99"/>
      <c r="R580" s="105">
        <f t="shared" si="29"/>
        <v>0</v>
      </c>
      <c r="S580" s="108">
        <f t="shared" ref="S580:S643" si="31">IF(P580="Abono",K580+L580+M580-N580-O580,0)</f>
        <v>0</v>
      </c>
      <c r="T580" s="105">
        <f t="shared" si="30"/>
        <v>0</v>
      </c>
    </row>
    <row r="581" spans="1:20">
      <c r="A581" s="101"/>
      <c r="B581" s="101"/>
      <c r="C581" s="101"/>
      <c r="D581" s="101"/>
      <c r="E581" s="101"/>
      <c r="F581" s="102"/>
      <c r="G581" s="101"/>
      <c r="H581" s="102"/>
      <c r="I581" s="101"/>
      <c r="J581" s="101"/>
      <c r="K581" s="103"/>
      <c r="L581" s="103"/>
      <c r="M581" s="103"/>
      <c r="N581" s="103"/>
      <c r="O581" s="103"/>
      <c r="P581" s="98"/>
      <c r="Q581" s="99"/>
      <c r="R581" s="104">
        <f t="shared" ref="R581:R644" si="32">IF(P581="Cargo",K581+L581-M581-N581+O581,0)</f>
        <v>0</v>
      </c>
      <c r="S581" s="104">
        <f t="shared" si="31"/>
        <v>0</v>
      </c>
      <c r="T581" s="104">
        <f t="shared" ref="T581:T644" si="33">IF(Q581="OK",+T580+R581-S581,T580)</f>
        <v>0</v>
      </c>
    </row>
    <row r="582" spans="1:20">
      <c r="A582" s="101"/>
      <c r="B582" s="101"/>
      <c r="C582" s="101"/>
      <c r="D582" s="101"/>
      <c r="E582" s="101"/>
      <c r="F582" s="102"/>
      <c r="G582" s="101"/>
      <c r="H582" s="102"/>
      <c r="I582" s="101"/>
      <c r="J582" s="101"/>
      <c r="K582" s="103"/>
      <c r="L582" s="103"/>
      <c r="M582" s="103"/>
      <c r="N582" s="103"/>
      <c r="O582" s="103"/>
      <c r="P582" s="98"/>
      <c r="Q582" s="99"/>
      <c r="R582" s="105">
        <f t="shared" si="32"/>
        <v>0</v>
      </c>
      <c r="S582" s="108">
        <f t="shared" si="31"/>
        <v>0</v>
      </c>
      <c r="T582" s="105">
        <f t="shared" si="33"/>
        <v>0</v>
      </c>
    </row>
    <row r="583" spans="1:20">
      <c r="A583" s="101"/>
      <c r="B583" s="101"/>
      <c r="C583" s="101"/>
      <c r="D583" s="101"/>
      <c r="E583" s="101"/>
      <c r="F583" s="102"/>
      <c r="G583" s="101"/>
      <c r="H583" s="102"/>
      <c r="I583" s="101"/>
      <c r="J583" s="101"/>
      <c r="K583" s="103"/>
      <c r="L583" s="103"/>
      <c r="M583" s="103"/>
      <c r="N583" s="103"/>
      <c r="O583" s="103"/>
      <c r="P583" s="98"/>
      <c r="Q583" s="99"/>
      <c r="R583" s="104">
        <f t="shared" si="32"/>
        <v>0</v>
      </c>
      <c r="S583" s="104">
        <f t="shared" si="31"/>
        <v>0</v>
      </c>
      <c r="T583" s="104">
        <f t="shared" si="33"/>
        <v>0</v>
      </c>
    </row>
    <row r="584" spans="1:20">
      <c r="A584" s="101"/>
      <c r="B584" s="101"/>
      <c r="C584" s="101"/>
      <c r="D584" s="101"/>
      <c r="E584" s="101"/>
      <c r="F584" s="102"/>
      <c r="G584" s="101"/>
      <c r="H584" s="102"/>
      <c r="I584" s="101"/>
      <c r="J584" s="101"/>
      <c r="K584" s="103"/>
      <c r="L584" s="103"/>
      <c r="M584" s="103"/>
      <c r="N584" s="103"/>
      <c r="O584" s="103"/>
      <c r="P584" s="98"/>
      <c r="Q584" s="99"/>
      <c r="R584" s="105">
        <f t="shared" si="32"/>
        <v>0</v>
      </c>
      <c r="S584" s="108">
        <f t="shared" si="31"/>
        <v>0</v>
      </c>
      <c r="T584" s="105">
        <f t="shared" si="33"/>
        <v>0</v>
      </c>
    </row>
    <row r="585" spans="1:20">
      <c r="A585" s="101"/>
      <c r="B585" s="101"/>
      <c r="C585" s="101"/>
      <c r="D585" s="101"/>
      <c r="E585" s="101"/>
      <c r="F585" s="102"/>
      <c r="G585" s="101"/>
      <c r="H585" s="102"/>
      <c r="I585" s="101"/>
      <c r="J585" s="101"/>
      <c r="K585" s="103"/>
      <c r="L585" s="103"/>
      <c r="M585" s="103"/>
      <c r="N585" s="103"/>
      <c r="O585" s="103"/>
      <c r="P585" s="98"/>
      <c r="Q585" s="99"/>
      <c r="R585" s="104">
        <f t="shared" si="32"/>
        <v>0</v>
      </c>
      <c r="S585" s="104">
        <f t="shared" si="31"/>
        <v>0</v>
      </c>
      <c r="T585" s="104">
        <f t="shared" si="33"/>
        <v>0</v>
      </c>
    </row>
    <row r="586" spans="1:20">
      <c r="A586" s="101"/>
      <c r="B586" s="101"/>
      <c r="C586" s="101"/>
      <c r="D586" s="101"/>
      <c r="E586" s="101"/>
      <c r="F586" s="102"/>
      <c r="G586" s="101"/>
      <c r="H586" s="102"/>
      <c r="I586" s="101"/>
      <c r="J586" s="101"/>
      <c r="K586" s="103"/>
      <c r="L586" s="103"/>
      <c r="M586" s="103"/>
      <c r="N586" s="103"/>
      <c r="O586" s="103"/>
      <c r="P586" s="98"/>
      <c r="Q586" s="99"/>
      <c r="R586" s="105">
        <f t="shared" si="32"/>
        <v>0</v>
      </c>
      <c r="S586" s="108">
        <f t="shared" si="31"/>
        <v>0</v>
      </c>
      <c r="T586" s="105">
        <f t="shared" si="33"/>
        <v>0</v>
      </c>
    </row>
    <row r="587" spans="1:20">
      <c r="A587" s="101"/>
      <c r="B587" s="101"/>
      <c r="C587" s="101"/>
      <c r="D587" s="101"/>
      <c r="E587" s="101"/>
      <c r="F587" s="102"/>
      <c r="G587" s="101"/>
      <c r="H587" s="102"/>
      <c r="I587" s="101"/>
      <c r="J587" s="101"/>
      <c r="K587" s="103"/>
      <c r="L587" s="103"/>
      <c r="M587" s="103"/>
      <c r="N587" s="103"/>
      <c r="O587" s="103"/>
      <c r="P587" s="98"/>
      <c r="Q587" s="99"/>
      <c r="R587" s="104">
        <f t="shared" si="32"/>
        <v>0</v>
      </c>
      <c r="S587" s="104">
        <f t="shared" si="31"/>
        <v>0</v>
      </c>
      <c r="T587" s="104">
        <f t="shared" si="33"/>
        <v>0</v>
      </c>
    </row>
    <row r="588" spans="1:20">
      <c r="A588" s="101"/>
      <c r="B588" s="101"/>
      <c r="C588" s="101"/>
      <c r="D588" s="101"/>
      <c r="E588" s="101"/>
      <c r="F588" s="102"/>
      <c r="G588" s="101"/>
      <c r="H588" s="102"/>
      <c r="I588" s="101"/>
      <c r="J588" s="101"/>
      <c r="K588" s="103"/>
      <c r="L588" s="103"/>
      <c r="M588" s="103"/>
      <c r="N588" s="103"/>
      <c r="O588" s="103"/>
      <c r="P588" s="98"/>
      <c r="Q588" s="99"/>
      <c r="R588" s="105">
        <f t="shared" si="32"/>
        <v>0</v>
      </c>
      <c r="S588" s="108">
        <f t="shared" si="31"/>
        <v>0</v>
      </c>
      <c r="T588" s="105">
        <f t="shared" si="33"/>
        <v>0</v>
      </c>
    </row>
    <row r="589" spans="1:20">
      <c r="A589" s="101"/>
      <c r="B589" s="101"/>
      <c r="C589" s="101"/>
      <c r="D589" s="101"/>
      <c r="E589" s="101"/>
      <c r="F589" s="102"/>
      <c r="G589" s="101"/>
      <c r="H589" s="102"/>
      <c r="I589" s="101"/>
      <c r="J589" s="101"/>
      <c r="K589" s="103"/>
      <c r="L589" s="103"/>
      <c r="M589" s="103"/>
      <c r="N589" s="103"/>
      <c r="O589" s="103"/>
      <c r="P589" s="98"/>
      <c r="Q589" s="99"/>
      <c r="R589" s="104">
        <f t="shared" si="32"/>
        <v>0</v>
      </c>
      <c r="S589" s="104">
        <f t="shared" si="31"/>
        <v>0</v>
      </c>
      <c r="T589" s="104">
        <f t="shared" si="33"/>
        <v>0</v>
      </c>
    </row>
    <row r="590" spans="1:20">
      <c r="A590" s="101"/>
      <c r="B590" s="101"/>
      <c r="C590" s="101"/>
      <c r="D590" s="101"/>
      <c r="E590" s="101"/>
      <c r="F590" s="102"/>
      <c r="G590" s="101"/>
      <c r="H590" s="102"/>
      <c r="I590" s="101"/>
      <c r="J590" s="101"/>
      <c r="K590" s="103"/>
      <c r="L590" s="103"/>
      <c r="M590" s="103"/>
      <c r="N590" s="103"/>
      <c r="O590" s="103"/>
      <c r="P590" s="98"/>
      <c r="Q590" s="99"/>
      <c r="R590" s="105">
        <f t="shared" si="32"/>
        <v>0</v>
      </c>
      <c r="S590" s="108">
        <f t="shared" si="31"/>
        <v>0</v>
      </c>
      <c r="T590" s="105">
        <f t="shared" si="33"/>
        <v>0</v>
      </c>
    </row>
    <row r="591" spans="1:20">
      <c r="A591" s="101"/>
      <c r="B591" s="101"/>
      <c r="C591" s="101"/>
      <c r="D591" s="101"/>
      <c r="E591" s="101"/>
      <c r="F591" s="102"/>
      <c r="G591" s="101"/>
      <c r="H591" s="102"/>
      <c r="I591" s="101"/>
      <c r="J591" s="101"/>
      <c r="K591" s="103"/>
      <c r="L591" s="103"/>
      <c r="M591" s="103"/>
      <c r="N591" s="103"/>
      <c r="O591" s="103"/>
      <c r="P591" s="98"/>
      <c r="Q591" s="99"/>
      <c r="R591" s="104">
        <f t="shared" si="32"/>
        <v>0</v>
      </c>
      <c r="S591" s="104">
        <f t="shared" si="31"/>
        <v>0</v>
      </c>
      <c r="T591" s="104">
        <f t="shared" si="33"/>
        <v>0</v>
      </c>
    </row>
    <row r="592" spans="1:20">
      <c r="A592" s="101"/>
      <c r="B592" s="101"/>
      <c r="C592" s="101"/>
      <c r="D592" s="101"/>
      <c r="E592" s="101"/>
      <c r="F592" s="102"/>
      <c r="G592" s="101"/>
      <c r="H592" s="102"/>
      <c r="I592" s="101"/>
      <c r="J592" s="101"/>
      <c r="K592" s="103"/>
      <c r="L592" s="103"/>
      <c r="M592" s="103"/>
      <c r="N592" s="103"/>
      <c r="O592" s="103"/>
      <c r="P592" s="98"/>
      <c r="Q592" s="99"/>
      <c r="R592" s="105">
        <f t="shared" si="32"/>
        <v>0</v>
      </c>
      <c r="S592" s="108">
        <f t="shared" si="31"/>
        <v>0</v>
      </c>
      <c r="T592" s="105">
        <f t="shared" si="33"/>
        <v>0</v>
      </c>
    </row>
    <row r="593" spans="1:20">
      <c r="A593" s="101"/>
      <c r="B593" s="101"/>
      <c r="C593" s="101"/>
      <c r="D593" s="101"/>
      <c r="E593" s="101"/>
      <c r="F593" s="102"/>
      <c r="G593" s="101"/>
      <c r="H593" s="102"/>
      <c r="I593" s="101"/>
      <c r="J593" s="101"/>
      <c r="K593" s="103"/>
      <c r="L593" s="103"/>
      <c r="M593" s="103"/>
      <c r="N593" s="103"/>
      <c r="O593" s="103"/>
      <c r="P593" s="98"/>
      <c r="Q593" s="99"/>
      <c r="R593" s="104">
        <f t="shared" si="32"/>
        <v>0</v>
      </c>
      <c r="S593" s="104">
        <f t="shared" si="31"/>
        <v>0</v>
      </c>
      <c r="T593" s="104">
        <f t="shared" si="33"/>
        <v>0</v>
      </c>
    </row>
    <row r="594" spans="1:20">
      <c r="A594" s="101"/>
      <c r="B594" s="101"/>
      <c r="C594" s="101"/>
      <c r="D594" s="101"/>
      <c r="E594" s="101"/>
      <c r="F594" s="102"/>
      <c r="G594" s="101"/>
      <c r="H594" s="102"/>
      <c r="I594" s="101"/>
      <c r="J594" s="101"/>
      <c r="K594" s="103"/>
      <c r="L594" s="103"/>
      <c r="M594" s="103"/>
      <c r="N594" s="103"/>
      <c r="O594" s="103"/>
      <c r="P594" s="98"/>
      <c r="Q594" s="99"/>
      <c r="R594" s="105">
        <f t="shared" si="32"/>
        <v>0</v>
      </c>
      <c r="S594" s="108">
        <f t="shared" si="31"/>
        <v>0</v>
      </c>
      <c r="T594" s="105">
        <f t="shared" si="33"/>
        <v>0</v>
      </c>
    </row>
    <row r="595" spans="1:20">
      <c r="A595" s="101"/>
      <c r="B595" s="101"/>
      <c r="C595" s="101"/>
      <c r="D595" s="101"/>
      <c r="E595" s="101"/>
      <c r="F595" s="102"/>
      <c r="G595" s="101"/>
      <c r="H595" s="102"/>
      <c r="I595" s="101"/>
      <c r="J595" s="101"/>
      <c r="K595" s="103"/>
      <c r="L595" s="103"/>
      <c r="M595" s="103"/>
      <c r="N595" s="103"/>
      <c r="O595" s="103"/>
      <c r="P595" s="98"/>
      <c r="Q595" s="99"/>
      <c r="R595" s="104">
        <f t="shared" si="32"/>
        <v>0</v>
      </c>
      <c r="S595" s="104">
        <f t="shared" si="31"/>
        <v>0</v>
      </c>
      <c r="T595" s="104">
        <f t="shared" si="33"/>
        <v>0</v>
      </c>
    </row>
    <row r="596" spans="1:20">
      <c r="A596" s="101"/>
      <c r="B596" s="101"/>
      <c r="C596" s="101"/>
      <c r="D596" s="101"/>
      <c r="E596" s="101"/>
      <c r="F596" s="102"/>
      <c r="G596" s="101"/>
      <c r="H596" s="102"/>
      <c r="I596" s="101"/>
      <c r="J596" s="101"/>
      <c r="K596" s="103"/>
      <c r="L596" s="103"/>
      <c r="M596" s="103"/>
      <c r="N596" s="103"/>
      <c r="O596" s="103"/>
      <c r="P596" s="98"/>
      <c r="Q596" s="99"/>
      <c r="R596" s="105">
        <f t="shared" si="32"/>
        <v>0</v>
      </c>
      <c r="S596" s="108">
        <f t="shared" si="31"/>
        <v>0</v>
      </c>
      <c r="T596" s="105">
        <f t="shared" si="33"/>
        <v>0</v>
      </c>
    </row>
    <row r="597" spans="1:20">
      <c r="A597" s="101"/>
      <c r="B597" s="101"/>
      <c r="C597" s="101"/>
      <c r="D597" s="101"/>
      <c r="E597" s="101"/>
      <c r="F597" s="102"/>
      <c r="G597" s="101"/>
      <c r="H597" s="102"/>
      <c r="I597" s="101"/>
      <c r="J597" s="101"/>
      <c r="K597" s="103"/>
      <c r="L597" s="103"/>
      <c r="M597" s="103"/>
      <c r="N597" s="103"/>
      <c r="O597" s="103"/>
      <c r="P597" s="98"/>
      <c r="Q597" s="99"/>
      <c r="R597" s="104">
        <f t="shared" si="32"/>
        <v>0</v>
      </c>
      <c r="S597" s="104">
        <f t="shared" si="31"/>
        <v>0</v>
      </c>
      <c r="T597" s="104">
        <f t="shared" si="33"/>
        <v>0</v>
      </c>
    </row>
    <row r="598" spans="1:20">
      <c r="A598" s="101"/>
      <c r="B598" s="101"/>
      <c r="C598" s="101"/>
      <c r="D598" s="101"/>
      <c r="E598" s="101"/>
      <c r="F598" s="102"/>
      <c r="G598" s="101"/>
      <c r="H598" s="102"/>
      <c r="I598" s="101"/>
      <c r="J598" s="101"/>
      <c r="K598" s="103"/>
      <c r="L598" s="103"/>
      <c r="M598" s="103"/>
      <c r="N598" s="103"/>
      <c r="O598" s="103"/>
      <c r="P598" s="98"/>
      <c r="Q598" s="99"/>
      <c r="R598" s="105">
        <f t="shared" si="32"/>
        <v>0</v>
      </c>
      <c r="S598" s="108">
        <f t="shared" si="31"/>
        <v>0</v>
      </c>
      <c r="T598" s="105">
        <f t="shared" si="33"/>
        <v>0</v>
      </c>
    </row>
    <row r="599" spans="1:20">
      <c r="A599" s="101"/>
      <c r="B599" s="101"/>
      <c r="C599" s="101"/>
      <c r="D599" s="101"/>
      <c r="E599" s="101"/>
      <c r="F599" s="102"/>
      <c r="G599" s="101"/>
      <c r="H599" s="102"/>
      <c r="I599" s="101"/>
      <c r="J599" s="101"/>
      <c r="K599" s="103"/>
      <c r="L599" s="103"/>
      <c r="M599" s="103"/>
      <c r="N599" s="103"/>
      <c r="O599" s="103"/>
      <c r="P599" s="98"/>
      <c r="Q599" s="99"/>
      <c r="R599" s="104">
        <f t="shared" si="32"/>
        <v>0</v>
      </c>
      <c r="S599" s="104">
        <f t="shared" si="31"/>
        <v>0</v>
      </c>
      <c r="T599" s="104">
        <f t="shared" si="33"/>
        <v>0</v>
      </c>
    </row>
    <row r="600" spans="1:20">
      <c r="A600" s="101"/>
      <c r="B600" s="101"/>
      <c r="C600" s="101"/>
      <c r="D600" s="101"/>
      <c r="E600" s="101"/>
      <c r="F600" s="102"/>
      <c r="G600" s="101"/>
      <c r="H600" s="102"/>
      <c r="I600" s="101"/>
      <c r="J600" s="101"/>
      <c r="K600" s="103"/>
      <c r="L600" s="103"/>
      <c r="M600" s="103"/>
      <c r="N600" s="103"/>
      <c r="O600" s="103"/>
      <c r="P600" s="98"/>
      <c r="Q600" s="99"/>
      <c r="R600" s="105">
        <f t="shared" si="32"/>
        <v>0</v>
      </c>
      <c r="S600" s="108">
        <f t="shared" si="31"/>
        <v>0</v>
      </c>
      <c r="T600" s="105">
        <f t="shared" si="33"/>
        <v>0</v>
      </c>
    </row>
    <row r="601" spans="1:20">
      <c r="A601" s="101"/>
      <c r="B601" s="101"/>
      <c r="C601" s="101"/>
      <c r="D601" s="101"/>
      <c r="E601" s="101"/>
      <c r="F601" s="102"/>
      <c r="G601" s="101"/>
      <c r="H601" s="102"/>
      <c r="I601" s="101"/>
      <c r="J601" s="101"/>
      <c r="K601" s="103"/>
      <c r="L601" s="103"/>
      <c r="M601" s="103"/>
      <c r="N601" s="103"/>
      <c r="O601" s="103"/>
      <c r="P601" s="98"/>
      <c r="Q601" s="99"/>
      <c r="R601" s="104">
        <f t="shared" si="32"/>
        <v>0</v>
      </c>
      <c r="S601" s="104">
        <f t="shared" si="31"/>
        <v>0</v>
      </c>
      <c r="T601" s="104">
        <f t="shared" si="33"/>
        <v>0</v>
      </c>
    </row>
    <row r="602" spans="1:20">
      <c r="A602" s="101"/>
      <c r="B602" s="101"/>
      <c r="C602" s="101"/>
      <c r="D602" s="101"/>
      <c r="E602" s="101"/>
      <c r="F602" s="102"/>
      <c r="G602" s="101"/>
      <c r="H602" s="102"/>
      <c r="I602" s="101"/>
      <c r="J602" s="101"/>
      <c r="K602" s="103"/>
      <c r="L602" s="103"/>
      <c r="M602" s="103"/>
      <c r="N602" s="103"/>
      <c r="O602" s="103"/>
      <c r="P602" s="98"/>
      <c r="Q602" s="99"/>
      <c r="R602" s="105">
        <f t="shared" si="32"/>
        <v>0</v>
      </c>
      <c r="S602" s="108">
        <f t="shared" si="31"/>
        <v>0</v>
      </c>
      <c r="T602" s="105">
        <f t="shared" si="33"/>
        <v>0</v>
      </c>
    </row>
    <row r="603" spans="1:20">
      <c r="A603" s="101"/>
      <c r="B603" s="101"/>
      <c r="C603" s="101"/>
      <c r="D603" s="101"/>
      <c r="E603" s="101"/>
      <c r="F603" s="102"/>
      <c r="G603" s="101"/>
      <c r="H603" s="102"/>
      <c r="I603" s="101"/>
      <c r="J603" s="101"/>
      <c r="K603" s="103"/>
      <c r="L603" s="103"/>
      <c r="M603" s="103"/>
      <c r="N603" s="103"/>
      <c r="O603" s="103"/>
      <c r="P603" s="98"/>
      <c r="Q603" s="99"/>
      <c r="R603" s="104">
        <f t="shared" si="32"/>
        <v>0</v>
      </c>
      <c r="S603" s="104">
        <f t="shared" si="31"/>
        <v>0</v>
      </c>
      <c r="T603" s="104">
        <f t="shared" si="33"/>
        <v>0</v>
      </c>
    </row>
    <row r="604" spans="1:20">
      <c r="A604" s="101"/>
      <c r="B604" s="101"/>
      <c r="C604" s="101"/>
      <c r="D604" s="101"/>
      <c r="E604" s="101"/>
      <c r="F604" s="102"/>
      <c r="G604" s="101"/>
      <c r="H604" s="102"/>
      <c r="I604" s="101"/>
      <c r="J604" s="101"/>
      <c r="K604" s="103"/>
      <c r="L604" s="103"/>
      <c r="M604" s="103"/>
      <c r="N604" s="103"/>
      <c r="O604" s="103"/>
      <c r="P604" s="98"/>
      <c r="Q604" s="99"/>
      <c r="R604" s="105">
        <f t="shared" si="32"/>
        <v>0</v>
      </c>
      <c r="S604" s="108">
        <f t="shared" si="31"/>
        <v>0</v>
      </c>
      <c r="T604" s="105">
        <f t="shared" si="33"/>
        <v>0</v>
      </c>
    </row>
    <row r="605" spans="1:20">
      <c r="A605" s="101"/>
      <c r="B605" s="101"/>
      <c r="C605" s="101"/>
      <c r="D605" s="101"/>
      <c r="E605" s="101"/>
      <c r="F605" s="102"/>
      <c r="G605" s="101"/>
      <c r="H605" s="102"/>
      <c r="I605" s="101"/>
      <c r="J605" s="101"/>
      <c r="K605" s="103"/>
      <c r="L605" s="103"/>
      <c r="M605" s="103"/>
      <c r="N605" s="103"/>
      <c r="O605" s="103"/>
      <c r="P605" s="98"/>
      <c r="Q605" s="99"/>
      <c r="R605" s="104">
        <f t="shared" si="32"/>
        <v>0</v>
      </c>
      <c r="S605" s="104">
        <f t="shared" si="31"/>
        <v>0</v>
      </c>
      <c r="T605" s="104">
        <f t="shared" si="33"/>
        <v>0</v>
      </c>
    </row>
    <row r="606" spans="1:20">
      <c r="A606" s="101"/>
      <c r="B606" s="101"/>
      <c r="C606" s="101"/>
      <c r="D606" s="101"/>
      <c r="E606" s="101"/>
      <c r="F606" s="102"/>
      <c r="G606" s="101"/>
      <c r="H606" s="102"/>
      <c r="I606" s="101"/>
      <c r="J606" s="101"/>
      <c r="K606" s="103"/>
      <c r="L606" s="103"/>
      <c r="M606" s="103"/>
      <c r="N606" s="103"/>
      <c r="O606" s="103"/>
      <c r="P606" s="98"/>
      <c r="Q606" s="99"/>
      <c r="R606" s="105">
        <f t="shared" si="32"/>
        <v>0</v>
      </c>
      <c r="S606" s="108">
        <f t="shared" si="31"/>
        <v>0</v>
      </c>
      <c r="T606" s="105">
        <f t="shared" si="33"/>
        <v>0</v>
      </c>
    </row>
    <row r="607" spans="1:20">
      <c r="A607" s="101"/>
      <c r="B607" s="101"/>
      <c r="C607" s="101"/>
      <c r="D607" s="101"/>
      <c r="E607" s="101"/>
      <c r="F607" s="102"/>
      <c r="G607" s="101"/>
      <c r="H607" s="102"/>
      <c r="I607" s="101"/>
      <c r="J607" s="101"/>
      <c r="K607" s="103"/>
      <c r="L607" s="103"/>
      <c r="M607" s="103"/>
      <c r="N607" s="103"/>
      <c r="O607" s="103"/>
      <c r="P607" s="98"/>
      <c r="Q607" s="99"/>
      <c r="R607" s="104">
        <f t="shared" si="32"/>
        <v>0</v>
      </c>
      <c r="S607" s="104">
        <f t="shared" si="31"/>
        <v>0</v>
      </c>
      <c r="T607" s="104">
        <f t="shared" si="33"/>
        <v>0</v>
      </c>
    </row>
    <row r="608" spans="1:20">
      <c r="A608" s="101"/>
      <c r="B608" s="101"/>
      <c r="C608" s="101"/>
      <c r="D608" s="101"/>
      <c r="E608" s="101"/>
      <c r="F608" s="102"/>
      <c r="G608" s="101"/>
      <c r="H608" s="102"/>
      <c r="I608" s="101"/>
      <c r="J608" s="101"/>
      <c r="K608" s="103"/>
      <c r="L608" s="103"/>
      <c r="M608" s="103"/>
      <c r="N608" s="103"/>
      <c r="O608" s="103"/>
      <c r="P608" s="98"/>
      <c r="Q608" s="99"/>
      <c r="R608" s="105">
        <f t="shared" si="32"/>
        <v>0</v>
      </c>
      <c r="S608" s="108">
        <f t="shared" si="31"/>
        <v>0</v>
      </c>
      <c r="T608" s="105">
        <f t="shared" si="33"/>
        <v>0</v>
      </c>
    </row>
    <row r="609" spans="1:20">
      <c r="A609" s="101"/>
      <c r="B609" s="101"/>
      <c r="C609" s="101"/>
      <c r="D609" s="101"/>
      <c r="E609" s="101"/>
      <c r="F609" s="102"/>
      <c r="G609" s="101"/>
      <c r="H609" s="102"/>
      <c r="I609" s="101"/>
      <c r="J609" s="101"/>
      <c r="K609" s="103"/>
      <c r="L609" s="103"/>
      <c r="M609" s="103"/>
      <c r="N609" s="103"/>
      <c r="O609" s="103"/>
      <c r="P609" s="98"/>
      <c r="Q609" s="99"/>
      <c r="R609" s="104">
        <f t="shared" si="32"/>
        <v>0</v>
      </c>
      <c r="S609" s="104">
        <f t="shared" si="31"/>
        <v>0</v>
      </c>
      <c r="T609" s="104">
        <f t="shared" si="33"/>
        <v>0</v>
      </c>
    </row>
    <row r="610" spans="1:20">
      <c r="A610" s="101"/>
      <c r="B610" s="101"/>
      <c r="C610" s="101"/>
      <c r="D610" s="101"/>
      <c r="E610" s="101"/>
      <c r="F610" s="102"/>
      <c r="G610" s="101"/>
      <c r="H610" s="102"/>
      <c r="I610" s="101"/>
      <c r="J610" s="101"/>
      <c r="K610" s="103"/>
      <c r="L610" s="103"/>
      <c r="M610" s="103"/>
      <c r="N610" s="103"/>
      <c r="O610" s="103"/>
      <c r="P610" s="98"/>
      <c r="Q610" s="99"/>
      <c r="R610" s="105">
        <f t="shared" si="32"/>
        <v>0</v>
      </c>
      <c r="S610" s="108">
        <f t="shared" si="31"/>
        <v>0</v>
      </c>
      <c r="T610" s="105">
        <f t="shared" si="33"/>
        <v>0</v>
      </c>
    </row>
    <row r="611" spans="1:20">
      <c r="A611" s="101"/>
      <c r="B611" s="101"/>
      <c r="C611" s="101"/>
      <c r="D611" s="101"/>
      <c r="E611" s="101"/>
      <c r="F611" s="102"/>
      <c r="G611" s="101"/>
      <c r="H611" s="102"/>
      <c r="I611" s="101"/>
      <c r="J611" s="101"/>
      <c r="K611" s="103"/>
      <c r="L611" s="103"/>
      <c r="M611" s="103"/>
      <c r="N611" s="103"/>
      <c r="O611" s="103"/>
      <c r="P611" s="98"/>
      <c r="Q611" s="99"/>
      <c r="R611" s="104">
        <f t="shared" si="32"/>
        <v>0</v>
      </c>
      <c r="S611" s="104">
        <f t="shared" si="31"/>
        <v>0</v>
      </c>
      <c r="T611" s="104">
        <f t="shared" si="33"/>
        <v>0</v>
      </c>
    </row>
    <row r="612" spans="1:20">
      <c r="A612" s="101"/>
      <c r="B612" s="101"/>
      <c r="C612" s="101"/>
      <c r="D612" s="101"/>
      <c r="E612" s="101"/>
      <c r="F612" s="102"/>
      <c r="G612" s="101"/>
      <c r="H612" s="102"/>
      <c r="I612" s="101"/>
      <c r="J612" s="101"/>
      <c r="K612" s="103"/>
      <c r="L612" s="103"/>
      <c r="M612" s="103"/>
      <c r="N612" s="103"/>
      <c r="O612" s="103"/>
      <c r="P612" s="98"/>
      <c r="Q612" s="99"/>
      <c r="R612" s="105">
        <f t="shared" si="32"/>
        <v>0</v>
      </c>
      <c r="S612" s="108">
        <f t="shared" si="31"/>
        <v>0</v>
      </c>
      <c r="T612" s="105">
        <f t="shared" si="33"/>
        <v>0</v>
      </c>
    </row>
    <row r="613" spans="1:20">
      <c r="A613" s="101"/>
      <c r="B613" s="101"/>
      <c r="C613" s="101"/>
      <c r="D613" s="101"/>
      <c r="E613" s="101"/>
      <c r="F613" s="102"/>
      <c r="G613" s="101"/>
      <c r="H613" s="102"/>
      <c r="I613" s="101"/>
      <c r="J613" s="101"/>
      <c r="K613" s="103"/>
      <c r="L613" s="103"/>
      <c r="M613" s="103"/>
      <c r="N613" s="103"/>
      <c r="O613" s="103"/>
      <c r="P613" s="98"/>
      <c r="Q613" s="99"/>
      <c r="R613" s="104">
        <f t="shared" si="32"/>
        <v>0</v>
      </c>
      <c r="S613" s="104">
        <f t="shared" si="31"/>
        <v>0</v>
      </c>
      <c r="T613" s="104">
        <f t="shared" si="33"/>
        <v>0</v>
      </c>
    </row>
    <row r="614" spans="1:20">
      <c r="A614" s="101"/>
      <c r="B614" s="101"/>
      <c r="C614" s="101"/>
      <c r="D614" s="101"/>
      <c r="E614" s="101"/>
      <c r="F614" s="102"/>
      <c r="G614" s="101"/>
      <c r="H614" s="102"/>
      <c r="I614" s="101"/>
      <c r="J614" s="101"/>
      <c r="K614" s="103"/>
      <c r="L614" s="103"/>
      <c r="M614" s="103"/>
      <c r="N614" s="103"/>
      <c r="O614" s="103"/>
      <c r="P614" s="98"/>
      <c r="Q614" s="99"/>
      <c r="R614" s="105">
        <f t="shared" si="32"/>
        <v>0</v>
      </c>
      <c r="S614" s="108">
        <f t="shared" si="31"/>
        <v>0</v>
      </c>
      <c r="T614" s="105">
        <f t="shared" si="33"/>
        <v>0</v>
      </c>
    </row>
    <row r="615" spans="1:20">
      <c r="A615" s="101"/>
      <c r="B615" s="101"/>
      <c r="C615" s="101"/>
      <c r="D615" s="101"/>
      <c r="E615" s="101"/>
      <c r="F615" s="102"/>
      <c r="G615" s="101"/>
      <c r="H615" s="102"/>
      <c r="I615" s="101"/>
      <c r="J615" s="101"/>
      <c r="K615" s="103"/>
      <c r="L615" s="103"/>
      <c r="M615" s="103"/>
      <c r="N615" s="103"/>
      <c r="O615" s="103"/>
      <c r="P615" s="98"/>
      <c r="Q615" s="99"/>
      <c r="R615" s="104">
        <f t="shared" si="32"/>
        <v>0</v>
      </c>
      <c r="S615" s="104">
        <f t="shared" si="31"/>
        <v>0</v>
      </c>
      <c r="T615" s="104">
        <f t="shared" si="33"/>
        <v>0</v>
      </c>
    </row>
    <row r="616" spans="1:20">
      <c r="A616" s="101"/>
      <c r="B616" s="101"/>
      <c r="C616" s="101"/>
      <c r="D616" s="101"/>
      <c r="E616" s="101"/>
      <c r="F616" s="102"/>
      <c r="G616" s="101"/>
      <c r="H616" s="102"/>
      <c r="I616" s="101"/>
      <c r="J616" s="101"/>
      <c r="K616" s="103"/>
      <c r="L616" s="103"/>
      <c r="M616" s="103"/>
      <c r="N616" s="103"/>
      <c r="O616" s="103"/>
      <c r="P616" s="98"/>
      <c r="Q616" s="99"/>
      <c r="R616" s="105">
        <f t="shared" si="32"/>
        <v>0</v>
      </c>
      <c r="S616" s="108">
        <f t="shared" si="31"/>
        <v>0</v>
      </c>
      <c r="T616" s="105">
        <f t="shared" si="33"/>
        <v>0</v>
      </c>
    </row>
    <row r="617" spans="1:20">
      <c r="A617" s="101"/>
      <c r="B617" s="101"/>
      <c r="C617" s="101"/>
      <c r="D617" s="101"/>
      <c r="E617" s="101"/>
      <c r="F617" s="102"/>
      <c r="G617" s="101"/>
      <c r="H617" s="102"/>
      <c r="I617" s="101"/>
      <c r="J617" s="101"/>
      <c r="K617" s="103"/>
      <c r="L617" s="103"/>
      <c r="M617" s="103"/>
      <c r="N617" s="103"/>
      <c r="O617" s="103"/>
      <c r="P617" s="98"/>
      <c r="Q617" s="99"/>
      <c r="R617" s="104">
        <f t="shared" si="32"/>
        <v>0</v>
      </c>
      <c r="S617" s="104">
        <f t="shared" si="31"/>
        <v>0</v>
      </c>
      <c r="T617" s="104">
        <f t="shared" si="33"/>
        <v>0</v>
      </c>
    </row>
    <row r="618" spans="1:20">
      <c r="A618" s="101"/>
      <c r="B618" s="101"/>
      <c r="C618" s="101"/>
      <c r="D618" s="101"/>
      <c r="E618" s="101"/>
      <c r="F618" s="102"/>
      <c r="G618" s="101"/>
      <c r="H618" s="102"/>
      <c r="I618" s="101"/>
      <c r="J618" s="101"/>
      <c r="K618" s="103"/>
      <c r="L618" s="103"/>
      <c r="M618" s="103"/>
      <c r="N618" s="103"/>
      <c r="O618" s="103"/>
      <c r="P618" s="98"/>
      <c r="Q618" s="99"/>
      <c r="R618" s="105">
        <f t="shared" si="32"/>
        <v>0</v>
      </c>
      <c r="S618" s="108">
        <f t="shared" si="31"/>
        <v>0</v>
      </c>
      <c r="T618" s="105">
        <f t="shared" si="33"/>
        <v>0</v>
      </c>
    </row>
    <row r="619" spans="1:20">
      <c r="A619" s="101"/>
      <c r="B619" s="101"/>
      <c r="C619" s="101"/>
      <c r="D619" s="101"/>
      <c r="E619" s="101"/>
      <c r="F619" s="102"/>
      <c r="G619" s="101"/>
      <c r="H619" s="102"/>
      <c r="I619" s="101"/>
      <c r="J619" s="101"/>
      <c r="K619" s="103"/>
      <c r="L619" s="103"/>
      <c r="M619" s="103"/>
      <c r="N619" s="103"/>
      <c r="O619" s="103"/>
      <c r="P619" s="98"/>
      <c r="Q619" s="99"/>
      <c r="R619" s="104">
        <f t="shared" si="32"/>
        <v>0</v>
      </c>
      <c r="S619" s="104">
        <f t="shared" si="31"/>
        <v>0</v>
      </c>
      <c r="T619" s="104">
        <f t="shared" si="33"/>
        <v>0</v>
      </c>
    </row>
    <row r="620" spans="1:20">
      <c r="A620" s="101"/>
      <c r="B620" s="101"/>
      <c r="C620" s="101"/>
      <c r="D620" s="101"/>
      <c r="E620" s="101"/>
      <c r="F620" s="102"/>
      <c r="G620" s="101"/>
      <c r="H620" s="102"/>
      <c r="I620" s="101"/>
      <c r="J620" s="101"/>
      <c r="K620" s="103"/>
      <c r="L620" s="103"/>
      <c r="M620" s="103"/>
      <c r="N620" s="103"/>
      <c r="O620" s="103"/>
      <c r="P620" s="98"/>
      <c r="Q620" s="99"/>
      <c r="R620" s="105">
        <f t="shared" si="32"/>
        <v>0</v>
      </c>
      <c r="S620" s="108">
        <f t="shared" si="31"/>
        <v>0</v>
      </c>
      <c r="T620" s="105">
        <f t="shared" si="33"/>
        <v>0</v>
      </c>
    </row>
    <row r="621" spans="1:20">
      <c r="A621" s="101"/>
      <c r="B621" s="101"/>
      <c r="C621" s="101"/>
      <c r="D621" s="101"/>
      <c r="E621" s="101"/>
      <c r="F621" s="102"/>
      <c r="G621" s="101"/>
      <c r="H621" s="102"/>
      <c r="I621" s="101"/>
      <c r="J621" s="101"/>
      <c r="K621" s="103"/>
      <c r="L621" s="103"/>
      <c r="M621" s="103"/>
      <c r="N621" s="103"/>
      <c r="O621" s="103"/>
      <c r="P621" s="98"/>
      <c r="Q621" s="99"/>
      <c r="R621" s="104">
        <f t="shared" si="32"/>
        <v>0</v>
      </c>
      <c r="S621" s="104">
        <f t="shared" si="31"/>
        <v>0</v>
      </c>
      <c r="T621" s="104">
        <f t="shared" si="33"/>
        <v>0</v>
      </c>
    </row>
    <row r="622" spans="1:20">
      <c r="A622" s="101"/>
      <c r="B622" s="101"/>
      <c r="C622" s="101"/>
      <c r="D622" s="101"/>
      <c r="E622" s="101"/>
      <c r="F622" s="102"/>
      <c r="G622" s="101"/>
      <c r="H622" s="102"/>
      <c r="I622" s="101"/>
      <c r="J622" s="101"/>
      <c r="K622" s="103"/>
      <c r="L622" s="103"/>
      <c r="M622" s="103"/>
      <c r="N622" s="103"/>
      <c r="O622" s="103"/>
      <c r="P622" s="98"/>
      <c r="Q622" s="99"/>
      <c r="R622" s="105">
        <f t="shared" si="32"/>
        <v>0</v>
      </c>
      <c r="S622" s="108">
        <f t="shared" si="31"/>
        <v>0</v>
      </c>
      <c r="T622" s="105">
        <f t="shared" si="33"/>
        <v>0</v>
      </c>
    </row>
    <row r="623" spans="1:20">
      <c r="A623" s="101"/>
      <c r="B623" s="101"/>
      <c r="C623" s="101"/>
      <c r="D623" s="101"/>
      <c r="E623" s="101"/>
      <c r="F623" s="102"/>
      <c r="G623" s="101"/>
      <c r="H623" s="102"/>
      <c r="I623" s="101"/>
      <c r="J623" s="101"/>
      <c r="K623" s="103"/>
      <c r="L623" s="103"/>
      <c r="M623" s="103"/>
      <c r="N623" s="103"/>
      <c r="O623" s="103"/>
      <c r="P623" s="98"/>
      <c r="Q623" s="99"/>
      <c r="R623" s="104">
        <f t="shared" si="32"/>
        <v>0</v>
      </c>
      <c r="S623" s="104">
        <f t="shared" si="31"/>
        <v>0</v>
      </c>
      <c r="T623" s="104">
        <f t="shared" si="33"/>
        <v>0</v>
      </c>
    </row>
    <row r="624" spans="1:20">
      <c r="A624" s="101"/>
      <c r="B624" s="101"/>
      <c r="C624" s="101"/>
      <c r="D624" s="101"/>
      <c r="E624" s="101"/>
      <c r="F624" s="102"/>
      <c r="G624" s="101"/>
      <c r="H624" s="102"/>
      <c r="I624" s="101"/>
      <c r="J624" s="101"/>
      <c r="K624" s="103"/>
      <c r="L624" s="103"/>
      <c r="M624" s="103"/>
      <c r="N624" s="103"/>
      <c r="O624" s="103"/>
      <c r="P624" s="98"/>
      <c r="Q624" s="99"/>
      <c r="R624" s="105">
        <f t="shared" si="32"/>
        <v>0</v>
      </c>
      <c r="S624" s="108">
        <f t="shared" si="31"/>
        <v>0</v>
      </c>
      <c r="T624" s="105">
        <f t="shared" si="33"/>
        <v>0</v>
      </c>
    </row>
    <row r="625" spans="1:20">
      <c r="A625" s="101"/>
      <c r="B625" s="101"/>
      <c r="C625" s="101"/>
      <c r="D625" s="101"/>
      <c r="E625" s="101"/>
      <c r="F625" s="102"/>
      <c r="G625" s="101"/>
      <c r="H625" s="102"/>
      <c r="I625" s="101"/>
      <c r="J625" s="101"/>
      <c r="K625" s="103"/>
      <c r="L625" s="103"/>
      <c r="M625" s="103"/>
      <c r="N625" s="103"/>
      <c r="O625" s="103"/>
      <c r="P625" s="98"/>
      <c r="Q625" s="99"/>
      <c r="R625" s="104">
        <f t="shared" si="32"/>
        <v>0</v>
      </c>
      <c r="S625" s="104">
        <f t="shared" si="31"/>
        <v>0</v>
      </c>
      <c r="T625" s="104">
        <f t="shared" si="33"/>
        <v>0</v>
      </c>
    </row>
    <row r="626" spans="1:20">
      <c r="A626" s="101"/>
      <c r="B626" s="101"/>
      <c r="C626" s="101"/>
      <c r="D626" s="101"/>
      <c r="E626" s="101"/>
      <c r="F626" s="102"/>
      <c r="G626" s="101"/>
      <c r="H626" s="102"/>
      <c r="I626" s="101"/>
      <c r="J626" s="101"/>
      <c r="K626" s="103"/>
      <c r="L626" s="103"/>
      <c r="M626" s="103"/>
      <c r="N626" s="103"/>
      <c r="O626" s="103"/>
      <c r="P626" s="98"/>
      <c r="Q626" s="99"/>
      <c r="R626" s="105">
        <f t="shared" si="32"/>
        <v>0</v>
      </c>
      <c r="S626" s="108">
        <f t="shared" si="31"/>
        <v>0</v>
      </c>
      <c r="T626" s="105">
        <f t="shared" si="33"/>
        <v>0</v>
      </c>
    </row>
    <row r="627" spans="1:20">
      <c r="A627" s="101"/>
      <c r="B627" s="101"/>
      <c r="C627" s="101"/>
      <c r="D627" s="101"/>
      <c r="E627" s="101"/>
      <c r="F627" s="102"/>
      <c r="G627" s="101"/>
      <c r="H627" s="102"/>
      <c r="I627" s="101"/>
      <c r="J627" s="101"/>
      <c r="K627" s="103"/>
      <c r="L627" s="103"/>
      <c r="M627" s="103"/>
      <c r="N627" s="103"/>
      <c r="O627" s="103"/>
      <c r="P627" s="98"/>
      <c r="Q627" s="99"/>
      <c r="R627" s="104">
        <f t="shared" si="32"/>
        <v>0</v>
      </c>
      <c r="S627" s="104">
        <f t="shared" si="31"/>
        <v>0</v>
      </c>
      <c r="T627" s="104">
        <f t="shared" si="33"/>
        <v>0</v>
      </c>
    </row>
    <row r="628" spans="1:20">
      <c r="A628" s="101"/>
      <c r="B628" s="101"/>
      <c r="C628" s="101"/>
      <c r="D628" s="101"/>
      <c r="E628" s="101"/>
      <c r="F628" s="102"/>
      <c r="G628" s="101"/>
      <c r="H628" s="102"/>
      <c r="I628" s="101"/>
      <c r="J628" s="101"/>
      <c r="K628" s="103"/>
      <c r="L628" s="103"/>
      <c r="M628" s="103"/>
      <c r="N628" s="103"/>
      <c r="O628" s="103"/>
      <c r="P628" s="98"/>
      <c r="Q628" s="99"/>
      <c r="R628" s="105">
        <f t="shared" si="32"/>
        <v>0</v>
      </c>
      <c r="S628" s="108">
        <f t="shared" si="31"/>
        <v>0</v>
      </c>
      <c r="T628" s="105">
        <f t="shared" si="33"/>
        <v>0</v>
      </c>
    </row>
    <row r="629" spans="1:20">
      <c r="A629" s="101"/>
      <c r="B629" s="101"/>
      <c r="C629" s="101"/>
      <c r="D629" s="101"/>
      <c r="E629" s="101"/>
      <c r="F629" s="102"/>
      <c r="G629" s="101"/>
      <c r="H629" s="102"/>
      <c r="I629" s="101"/>
      <c r="J629" s="101"/>
      <c r="K629" s="103"/>
      <c r="L629" s="103"/>
      <c r="M629" s="103"/>
      <c r="N629" s="103"/>
      <c r="O629" s="103"/>
      <c r="P629" s="98"/>
      <c r="Q629" s="99"/>
      <c r="R629" s="104">
        <f t="shared" si="32"/>
        <v>0</v>
      </c>
      <c r="S629" s="104">
        <f t="shared" si="31"/>
        <v>0</v>
      </c>
      <c r="T629" s="104">
        <f t="shared" si="33"/>
        <v>0</v>
      </c>
    </row>
    <row r="630" spans="1:20">
      <c r="A630" s="101"/>
      <c r="B630" s="101"/>
      <c r="C630" s="101"/>
      <c r="D630" s="101"/>
      <c r="E630" s="101"/>
      <c r="F630" s="102"/>
      <c r="G630" s="101"/>
      <c r="H630" s="102"/>
      <c r="I630" s="101"/>
      <c r="J630" s="101"/>
      <c r="K630" s="103"/>
      <c r="L630" s="103"/>
      <c r="M630" s="103"/>
      <c r="N630" s="103"/>
      <c r="O630" s="103"/>
      <c r="P630" s="98"/>
      <c r="Q630" s="99"/>
      <c r="R630" s="105">
        <f t="shared" si="32"/>
        <v>0</v>
      </c>
      <c r="S630" s="108">
        <f t="shared" si="31"/>
        <v>0</v>
      </c>
      <c r="T630" s="105">
        <f t="shared" si="33"/>
        <v>0</v>
      </c>
    </row>
    <row r="631" spans="1:20">
      <c r="A631" s="101"/>
      <c r="B631" s="101"/>
      <c r="C631" s="101"/>
      <c r="D631" s="101"/>
      <c r="E631" s="101"/>
      <c r="F631" s="102"/>
      <c r="G631" s="101"/>
      <c r="H631" s="102"/>
      <c r="I631" s="101"/>
      <c r="J631" s="101"/>
      <c r="K631" s="103"/>
      <c r="L631" s="103"/>
      <c r="M631" s="103"/>
      <c r="N631" s="103"/>
      <c r="O631" s="103"/>
      <c r="P631" s="98"/>
      <c r="Q631" s="99"/>
      <c r="R631" s="104">
        <f t="shared" si="32"/>
        <v>0</v>
      </c>
      <c r="S631" s="104">
        <f t="shared" si="31"/>
        <v>0</v>
      </c>
      <c r="T631" s="104">
        <f t="shared" si="33"/>
        <v>0</v>
      </c>
    </row>
    <row r="632" spans="1:20">
      <c r="A632" s="101"/>
      <c r="B632" s="101"/>
      <c r="C632" s="101"/>
      <c r="D632" s="101"/>
      <c r="E632" s="101"/>
      <c r="F632" s="102"/>
      <c r="G632" s="101"/>
      <c r="H632" s="102"/>
      <c r="I632" s="101"/>
      <c r="J632" s="101"/>
      <c r="K632" s="103"/>
      <c r="L632" s="103"/>
      <c r="M632" s="103"/>
      <c r="N632" s="103"/>
      <c r="O632" s="103"/>
      <c r="P632" s="98"/>
      <c r="Q632" s="99"/>
      <c r="R632" s="105">
        <f t="shared" si="32"/>
        <v>0</v>
      </c>
      <c r="S632" s="108">
        <f t="shared" si="31"/>
        <v>0</v>
      </c>
      <c r="T632" s="105">
        <f t="shared" si="33"/>
        <v>0</v>
      </c>
    </row>
    <row r="633" spans="1:20">
      <c r="A633" s="101"/>
      <c r="B633" s="101"/>
      <c r="C633" s="101"/>
      <c r="D633" s="101"/>
      <c r="E633" s="101"/>
      <c r="F633" s="102"/>
      <c r="G633" s="101"/>
      <c r="H633" s="102"/>
      <c r="I633" s="101"/>
      <c r="J633" s="101"/>
      <c r="K633" s="103"/>
      <c r="L633" s="103"/>
      <c r="M633" s="103"/>
      <c r="N633" s="103"/>
      <c r="O633" s="103"/>
      <c r="P633" s="98"/>
      <c r="Q633" s="99"/>
      <c r="R633" s="104">
        <f t="shared" si="32"/>
        <v>0</v>
      </c>
      <c r="S633" s="104">
        <f t="shared" si="31"/>
        <v>0</v>
      </c>
      <c r="T633" s="104">
        <f t="shared" si="33"/>
        <v>0</v>
      </c>
    </row>
    <row r="634" spans="1:20">
      <c r="A634" s="101"/>
      <c r="B634" s="101"/>
      <c r="C634" s="101"/>
      <c r="D634" s="101"/>
      <c r="E634" s="101"/>
      <c r="F634" s="102"/>
      <c r="G634" s="101"/>
      <c r="H634" s="102"/>
      <c r="I634" s="101"/>
      <c r="J634" s="101"/>
      <c r="K634" s="103"/>
      <c r="L634" s="103"/>
      <c r="M634" s="103"/>
      <c r="N634" s="103"/>
      <c r="O634" s="103"/>
      <c r="P634" s="98"/>
      <c r="Q634" s="99"/>
      <c r="R634" s="105">
        <f t="shared" si="32"/>
        <v>0</v>
      </c>
      <c r="S634" s="108">
        <f t="shared" si="31"/>
        <v>0</v>
      </c>
      <c r="T634" s="105">
        <f t="shared" si="33"/>
        <v>0</v>
      </c>
    </row>
    <row r="635" spans="1:20">
      <c r="A635" s="101"/>
      <c r="B635" s="101"/>
      <c r="C635" s="101"/>
      <c r="D635" s="101"/>
      <c r="E635" s="101"/>
      <c r="F635" s="102"/>
      <c r="G635" s="101"/>
      <c r="H635" s="102"/>
      <c r="I635" s="101"/>
      <c r="J635" s="101"/>
      <c r="K635" s="103"/>
      <c r="L635" s="103"/>
      <c r="M635" s="103"/>
      <c r="N635" s="103"/>
      <c r="O635" s="103"/>
      <c r="P635" s="98"/>
      <c r="Q635" s="99"/>
      <c r="R635" s="104">
        <f t="shared" si="32"/>
        <v>0</v>
      </c>
      <c r="S635" s="104">
        <f t="shared" si="31"/>
        <v>0</v>
      </c>
      <c r="T635" s="104">
        <f t="shared" si="33"/>
        <v>0</v>
      </c>
    </row>
    <row r="636" spans="1:20">
      <c r="A636" s="101"/>
      <c r="B636" s="101"/>
      <c r="C636" s="101"/>
      <c r="D636" s="101"/>
      <c r="E636" s="101"/>
      <c r="F636" s="102"/>
      <c r="G636" s="101"/>
      <c r="H636" s="102"/>
      <c r="I636" s="101"/>
      <c r="J636" s="101"/>
      <c r="K636" s="103"/>
      <c r="L636" s="103"/>
      <c r="M636" s="103"/>
      <c r="N636" s="103"/>
      <c r="O636" s="103"/>
      <c r="P636" s="98"/>
      <c r="Q636" s="99"/>
      <c r="R636" s="105">
        <f t="shared" si="32"/>
        <v>0</v>
      </c>
      <c r="S636" s="108">
        <f t="shared" si="31"/>
        <v>0</v>
      </c>
      <c r="T636" s="105">
        <f t="shared" si="33"/>
        <v>0</v>
      </c>
    </row>
    <row r="637" spans="1:20">
      <c r="A637" s="101"/>
      <c r="B637" s="101"/>
      <c r="C637" s="101"/>
      <c r="D637" s="101"/>
      <c r="E637" s="101"/>
      <c r="F637" s="102"/>
      <c r="G637" s="101"/>
      <c r="H637" s="102"/>
      <c r="I637" s="101"/>
      <c r="J637" s="101"/>
      <c r="K637" s="103"/>
      <c r="L637" s="103"/>
      <c r="M637" s="103"/>
      <c r="N637" s="103"/>
      <c r="O637" s="103"/>
      <c r="P637" s="98"/>
      <c r="Q637" s="99"/>
      <c r="R637" s="104">
        <f t="shared" si="32"/>
        <v>0</v>
      </c>
      <c r="S637" s="104">
        <f t="shared" si="31"/>
        <v>0</v>
      </c>
      <c r="T637" s="104">
        <f t="shared" si="33"/>
        <v>0</v>
      </c>
    </row>
    <row r="638" spans="1:20">
      <c r="A638" s="101"/>
      <c r="B638" s="101"/>
      <c r="C638" s="101"/>
      <c r="D638" s="101"/>
      <c r="E638" s="101"/>
      <c r="F638" s="102"/>
      <c r="G638" s="101"/>
      <c r="H638" s="102"/>
      <c r="I638" s="101"/>
      <c r="J638" s="101"/>
      <c r="K638" s="103"/>
      <c r="L638" s="103"/>
      <c r="M638" s="103"/>
      <c r="N638" s="103"/>
      <c r="O638" s="103"/>
      <c r="P638" s="98"/>
      <c r="Q638" s="99"/>
      <c r="R638" s="105">
        <f t="shared" si="32"/>
        <v>0</v>
      </c>
      <c r="S638" s="108">
        <f t="shared" si="31"/>
        <v>0</v>
      </c>
      <c r="T638" s="105">
        <f t="shared" si="33"/>
        <v>0</v>
      </c>
    </row>
    <row r="639" spans="1:20">
      <c r="A639" s="101"/>
      <c r="B639" s="101"/>
      <c r="C639" s="101"/>
      <c r="D639" s="101"/>
      <c r="E639" s="101"/>
      <c r="F639" s="102"/>
      <c r="G639" s="101"/>
      <c r="H639" s="102"/>
      <c r="I639" s="101"/>
      <c r="J639" s="101"/>
      <c r="K639" s="103"/>
      <c r="L639" s="103"/>
      <c r="M639" s="103"/>
      <c r="N639" s="103"/>
      <c r="O639" s="103"/>
      <c r="P639" s="98"/>
      <c r="Q639" s="99"/>
      <c r="R639" s="104">
        <f t="shared" si="32"/>
        <v>0</v>
      </c>
      <c r="S639" s="104">
        <f t="shared" si="31"/>
        <v>0</v>
      </c>
      <c r="T639" s="104">
        <f t="shared" si="33"/>
        <v>0</v>
      </c>
    </row>
    <row r="640" spans="1:20">
      <c r="A640" s="101"/>
      <c r="B640" s="101"/>
      <c r="C640" s="101"/>
      <c r="D640" s="101"/>
      <c r="E640" s="101"/>
      <c r="F640" s="102"/>
      <c r="G640" s="101"/>
      <c r="H640" s="102"/>
      <c r="I640" s="101"/>
      <c r="J640" s="101"/>
      <c r="K640" s="103"/>
      <c r="L640" s="103"/>
      <c r="M640" s="103"/>
      <c r="N640" s="103"/>
      <c r="O640" s="103"/>
      <c r="P640" s="98"/>
      <c r="Q640" s="99"/>
      <c r="R640" s="105">
        <f t="shared" si="32"/>
        <v>0</v>
      </c>
      <c r="S640" s="108">
        <f t="shared" si="31"/>
        <v>0</v>
      </c>
      <c r="T640" s="105">
        <f t="shared" si="33"/>
        <v>0</v>
      </c>
    </row>
    <row r="641" spans="1:20">
      <c r="A641" s="101"/>
      <c r="B641" s="101"/>
      <c r="C641" s="101"/>
      <c r="D641" s="101"/>
      <c r="E641" s="101"/>
      <c r="F641" s="102"/>
      <c r="G641" s="101"/>
      <c r="H641" s="102"/>
      <c r="I641" s="101"/>
      <c r="J641" s="101"/>
      <c r="K641" s="103"/>
      <c r="L641" s="103"/>
      <c r="M641" s="103"/>
      <c r="N641" s="103"/>
      <c r="O641" s="103"/>
      <c r="P641" s="98"/>
      <c r="Q641" s="99"/>
      <c r="R641" s="104">
        <f t="shared" si="32"/>
        <v>0</v>
      </c>
      <c r="S641" s="104">
        <f t="shared" si="31"/>
        <v>0</v>
      </c>
      <c r="T641" s="104">
        <f t="shared" si="33"/>
        <v>0</v>
      </c>
    </row>
    <row r="642" spans="1:20">
      <c r="A642" s="101"/>
      <c r="B642" s="101"/>
      <c r="C642" s="101"/>
      <c r="D642" s="101"/>
      <c r="E642" s="101"/>
      <c r="F642" s="102"/>
      <c r="G642" s="101"/>
      <c r="H642" s="102"/>
      <c r="I642" s="101"/>
      <c r="J642" s="101"/>
      <c r="K642" s="103"/>
      <c r="L642" s="103"/>
      <c r="M642" s="103"/>
      <c r="N642" s="103"/>
      <c r="O642" s="103"/>
      <c r="P642" s="98"/>
      <c r="Q642" s="99"/>
      <c r="R642" s="105">
        <f t="shared" si="32"/>
        <v>0</v>
      </c>
      <c r="S642" s="108">
        <f t="shared" si="31"/>
        <v>0</v>
      </c>
      <c r="T642" s="105">
        <f t="shared" si="33"/>
        <v>0</v>
      </c>
    </row>
    <row r="643" spans="1:20">
      <c r="A643" s="101"/>
      <c r="B643" s="101"/>
      <c r="C643" s="101"/>
      <c r="D643" s="101"/>
      <c r="E643" s="101"/>
      <c r="F643" s="102"/>
      <c r="G643" s="101"/>
      <c r="H643" s="102"/>
      <c r="I643" s="101"/>
      <c r="J643" s="101"/>
      <c r="K643" s="103"/>
      <c r="L643" s="103"/>
      <c r="M643" s="103"/>
      <c r="N643" s="103"/>
      <c r="O643" s="103"/>
      <c r="P643" s="98"/>
      <c r="Q643" s="99"/>
      <c r="R643" s="104">
        <f t="shared" si="32"/>
        <v>0</v>
      </c>
      <c r="S643" s="104">
        <f t="shared" si="31"/>
        <v>0</v>
      </c>
      <c r="T643" s="104">
        <f t="shared" si="33"/>
        <v>0</v>
      </c>
    </row>
    <row r="644" spans="1:20">
      <c r="A644" s="101"/>
      <c r="B644" s="101"/>
      <c r="C644" s="101"/>
      <c r="D644" s="101"/>
      <c r="E644" s="101"/>
      <c r="F644" s="102"/>
      <c r="G644" s="101"/>
      <c r="H644" s="102"/>
      <c r="I644" s="101"/>
      <c r="J644" s="101"/>
      <c r="K644" s="103"/>
      <c r="L644" s="103"/>
      <c r="M644" s="103"/>
      <c r="N644" s="103"/>
      <c r="O644" s="103"/>
      <c r="P644" s="98"/>
      <c r="Q644" s="99"/>
      <c r="R644" s="105">
        <f t="shared" si="32"/>
        <v>0</v>
      </c>
      <c r="S644" s="108">
        <f t="shared" ref="S644:S707" si="34">IF(P644="Abono",K644+L644+M644-N644-O644,0)</f>
        <v>0</v>
      </c>
      <c r="T644" s="105">
        <f t="shared" si="33"/>
        <v>0</v>
      </c>
    </row>
    <row r="645" spans="1:20">
      <c r="A645" s="101"/>
      <c r="B645" s="101"/>
      <c r="C645" s="101"/>
      <c r="D645" s="101"/>
      <c r="E645" s="101"/>
      <c r="F645" s="102"/>
      <c r="G645" s="101"/>
      <c r="H645" s="102"/>
      <c r="I645" s="101"/>
      <c r="J645" s="101"/>
      <c r="K645" s="103"/>
      <c r="L645" s="103"/>
      <c r="M645" s="103"/>
      <c r="N645" s="103"/>
      <c r="O645" s="103"/>
      <c r="P645" s="98"/>
      <c r="Q645" s="99"/>
      <c r="R645" s="104">
        <f t="shared" ref="R645:R708" si="35">IF(P645="Cargo",K645+L645-M645-N645+O645,0)</f>
        <v>0</v>
      </c>
      <c r="S645" s="104">
        <f t="shared" si="34"/>
        <v>0</v>
      </c>
      <c r="T645" s="104">
        <f t="shared" ref="T645:T708" si="36">IF(Q645="OK",+T644+R645-S645,T644)</f>
        <v>0</v>
      </c>
    </row>
    <row r="646" spans="1:20">
      <c r="A646" s="101"/>
      <c r="B646" s="101"/>
      <c r="C646" s="101"/>
      <c r="D646" s="101"/>
      <c r="E646" s="101"/>
      <c r="F646" s="102"/>
      <c r="G646" s="101"/>
      <c r="H646" s="102"/>
      <c r="I646" s="101"/>
      <c r="J646" s="101"/>
      <c r="K646" s="103"/>
      <c r="L646" s="103"/>
      <c r="M646" s="103"/>
      <c r="N646" s="103"/>
      <c r="O646" s="103"/>
      <c r="P646" s="98"/>
      <c r="Q646" s="99"/>
      <c r="R646" s="105">
        <f t="shared" si="35"/>
        <v>0</v>
      </c>
      <c r="S646" s="108">
        <f t="shared" si="34"/>
        <v>0</v>
      </c>
      <c r="T646" s="105">
        <f t="shared" si="36"/>
        <v>0</v>
      </c>
    </row>
    <row r="647" spans="1:20">
      <c r="A647" s="101"/>
      <c r="B647" s="101"/>
      <c r="C647" s="101"/>
      <c r="D647" s="101"/>
      <c r="E647" s="101"/>
      <c r="F647" s="102"/>
      <c r="G647" s="101"/>
      <c r="H647" s="102"/>
      <c r="I647" s="101"/>
      <c r="J647" s="101"/>
      <c r="K647" s="103"/>
      <c r="L647" s="103"/>
      <c r="M647" s="103"/>
      <c r="N647" s="103"/>
      <c r="O647" s="103"/>
      <c r="P647" s="98"/>
      <c r="Q647" s="99"/>
      <c r="R647" s="104">
        <f t="shared" si="35"/>
        <v>0</v>
      </c>
      <c r="S647" s="104">
        <f t="shared" si="34"/>
        <v>0</v>
      </c>
      <c r="T647" s="104">
        <f t="shared" si="36"/>
        <v>0</v>
      </c>
    </row>
    <row r="648" spans="1:20">
      <c r="A648" s="101"/>
      <c r="B648" s="101"/>
      <c r="C648" s="101"/>
      <c r="D648" s="101"/>
      <c r="E648" s="101"/>
      <c r="F648" s="102"/>
      <c r="G648" s="101"/>
      <c r="H648" s="102"/>
      <c r="I648" s="101"/>
      <c r="J648" s="101"/>
      <c r="K648" s="103"/>
      <c r="L648" s="103"/>
      <c r="M648" s="103"/>
      <c r="N648" s="103"/>
      <c r="O648" s="103"/>
      <c r="P648" s="98"/>
      <c r="Q648" s="99"/>
      <c r="R648" s="105">
        <f t="shared" si="35"/>
        <v>0</v>
      </c>
      <c r="S648" s="108">
        <f t="shared" si="34"/>
        <v>0</v>
      </c>
      <c r="T648" s="105">
        <f t="shared" si="36"/>
        <v>0</v>
      </c>
    </row>
    <row r="649" spans="1:20">
      <c r="A649" s="101"/>
      <c r="B649" s="101"/>
      <c r="C649" s="101"/>
      <c r="D649" s="101"/>
      <c r="E649" s="101"/>
      <c r="F649" s="102"/>
      <c r="G649" s="101"/>
      <c r="H649" s="102"/>
      <c r="I649" s="101"/>
      <c r="J649" s="101"/>
      <c r="K649" s="103"/>
      <c r="L649" s="103"/>
      <c r="M649" s="103"/>
      <c r="N649" s="103"/>
      <c r="O649" s="103"/>
      <c r="P649" s="98"/>
      <c r="Q649" s="99"/>
      <c r="R649" s="104">
        <f t="shared" si="35"/>
        <v>0</v>
      </c>
      <c r="S649" s="104">
        <f t="shared" si="34"/>
        <v>0</v>
      </c>
      <c r="T649" s="104">
        <f t="shared" si="36"/>
        <v>0</v>
      </c>
    </row>
    <row r="650" spans="1:20">
      <c r="A650" s="101"/>
      <c r="B650" s="101"/>
      <c r="C650" s="101"/>
      <c r="D650" s="101"/>
      <c r="E650" s="101"/>
      <c r="F650" s="102"/>
      <c r="G650" s="101"/>
      <c r="H650" s="102"/>
      <c r="I650" s="101"/>
      <c r="J650" s="101"/>
      <c r="K650" s="103"/>
      <c r="L650" s="103"/>
      <c r="M650" s="103"/>
      <c r="N650" s="103"/>
      <c r="O650" s="103"/>
      <c r="P650" s="98"/>
      <c r="Q650" s="99"/>
      <c r="R650" s="105">
        <f t="shared" si="35"/>
        <v>0</v>
      </c>
      <c r="S650" s="108">
        <f t="shared" si="34"/>
        <v>0</v>
      </c>
      <c r="T650" s="105">
        <f t="shared" si="36"/>
        <v>0</v>
      </c>
    </row>
    <row r="651" spans="1:20">
      <c r="A651" s="101"/>
      <c r="B651" s="101"/>
      <c r="C651" s="101"/>
      <c r="D651" s="101"/>
      <c r="E651" s="101"/>
      <c r="F651" s="102"/>
      <c r="G651" s="101"/>
      <c r="H651" s="102"/>
      <c r="I651" s="101"/>
      <c r="J651" s="101"/>
      <c r="K651" s="103"/>
      <c r="L651" s="103"/>
      <c r="M651" s="103"/>
      <c r="N651" s="103"/>
      <c r="O651" s="103"/>
      <c r="P651" s="98"/>
      <c r="Q651" s="99"/>
      <c r="R651" s="104">
        <f t="shared" si="35"/>
        <v>0</v>
      </c>
      <c r="S651" s="104">
        <f t="shared" si="34"/>
        <v>0</v>
      </c>
      <c r="T651" s="104">
        <f t="shared" si="36"/>
        <v>0</v>
      </c>
    </row>
    <row r="652" spans="1:20">
      <c r="A652" s="101"/>
      <c r="B652" s="101"/>
      <c r="C652" s="101"/>
      <c r="D652" s="101"/>
      <c r="E652" s="101"/>
      <c r="F652" s="102"/>
      <c r="G652" s="101"/>
      <c r="H652" s="102"/>
      <c r="I652" s="101"/>
      <c r="J652" s="101"/>
      <c r="K652" s="103"/>
      <c r="L652" s="103"/>
      <c r="M652" s="103"/>
      <c r="N652" s="103"/>
      <c r="O652" s="103"/>
      <c r="P652" s="98"/>
      <c r="Q652" s="99"/>
      <c r="R652" s="105">
        <f t="shared" si="35"/>
        <v>0</v>
      </c>
      <c r="S652" s="108">
        <f t="shared" si="34"/>
        <v>0</v>
      </c>
      <c r="T652" s="105">
        <f t="shared" si="36"/>
        <v>0</v>
      </c>
    </row>
    <row r="653" spans="1:20">
      <c r="A653" s="101"/>
      <c r="B653" s="101"/>
      <c r="C653" s="101"/>
      <c r="D653" s="101"/>
      <c r="E653" s="101"/>
      <c r="F653" s="102"/>
      <c r="G653" s="101"/>
      <c r="H653" s="102"/>
      <c r="I653" s="101"/>
      <c r="J653" s="101"/>
      <c r="K653" s="103"/>
      <c r="L653" s="103"/>
      <c r="M653" s="103"/>
      <c r="N653" s="103"/>
      <c r="O653" s="103"/>
      <c r="P653" s="98"/>
      <c r="Q653" s="99"/>
      <c r="R653" s="104">
        <f t="shared" si="35"/>
        <v>0</v>
      </c>
      <c r="S653" s="104">
        <f t="shared" si="34"/>
        <v>0</v>
      </c>
      <c r="T653" s="104">
        <f t="shared" si="36"/>
        <v>0</v>
      </c>
    </row>
    <row r="654" spans="1:20">
      <c r="A654" s="101"/>
      <c r="B654" s="101"/>
      <c r="C654" s="101"/>
      <c r="D654" s="101"/>
      <c r="E654" s="101"/>
      <c r="F654" s="102"/>
      <c r="G654" s="101"/>
      <c r="H654" s="102"/>
      <c r="I654" s="101"/>
      <c r="J654" s="101"/>
      <c r="K654" s="103"/>
      <c r="L654" s="103"/>
      <c r="M654" s="103"/>
      <c r="N654" s="103"/>
      <c r="O654" s="103"/>
      <c r="P654" s="98"/>
      <c r="Q654" s="99"/>
      <c r="R654" s="105">
        <f t="shared" si="35"/>
        <v>0</v>
      </c>
      <c r="S654" s="108">
        <f t="shared" si="34"/>
        <v>0</v>
      </c>
      <c r="T654" s="105">
        <f t="shared" si="36"/>
        <v>0</v>
      </c>
    </row>
    <row r="655" spans="1:20">
      <c r="A655" s="101"/>
      <c r="B655" s="101"/>
      <c r="C655" s="101"/>
      <c r="D655" s="101"/>
      <c r="E655" s="101"/>
      <c r="F655" s="102"/>
      <c r="G655" s="101"/>
      <c r="H655" s="102"/>
      <c r="I655" s="101"/>
      <c r="J655" s="101"/>
      <c r="K655" s="103"/>
      <c r="L655" s="103"/>
      <c r="M655" s="103"/>
      <c r="N655" s="103"/>
      <c r="O655" s="103"/>
      <c r="P655" s="98"/>
      <c r="Q655" s="99"/>
      <c r="R655" s="104">
        <f t="shared" si="35"/>
        <v>0</v>
      </c>
      <c r="S655" s="104">
        <f t="shared" si="34"/>
        <v>0</v>
      </c>
      <c r="T655" s="104">
        <f t="shared" si="36"/>
        <v>0</v>
      </c>
    </row>
    <row r="656" spans="1:20">
      <c r="A656" s="101"/>
      <c r="B656" s="101"/>
      <c r="C656" s="101"/>
      <c r="D656" s="101"/>
      <c r="E656" s="101"/>
      <c r="F656" s="102"/>
      <c r="G656" s="101"/>
      <c r="H656" s="102"/>
      <c r="I656" s="101"/>
      <c r="J656" s="101"/>
      <c r="K656" s="103"/>
      <c r="L656" s="103"/>
      <c r="M656" s="103"/>
      <c r="N656" s="103"/>
      <c r="O656" s="103"/>
      <c r="P656" s="98"/>
      <c r="Q656" s="99"/>
      <c r="R656" s="105">
        <f t="shared" si="35"/>
        <v>0</v>
      </c>
      <c r="S656" s="108">
        <f t="shared" si="34"/>
        <v>0</v>
      </c>
      <c r="T656" s="105">
        <f t="shared" si="36"/>
        <v>0</v>
      </c>
    </row>
    <row r="657" spans="1:20">
      <c r="A657" s="101"/>
      <c r="B657" s="101"/>
      <c r="C657" s="101"/>
      <c r="D657" s="101"/>
      <c r="E657" s="101"/>
      <c r="F657" s="102"/>
      <c r="G657" s="101"/>
      <c r="H657" s="102"/>
      <c r="I657" s="101"/>
      <c r="J657" s="101"/>
      <c r="K657" s="103"/>
      <c r="L657" s="103"/>
      <c r="M657" s="103"/>
      <c r="N657" s="103"/>
      <c r="O657" s="103"/>
      <c r="P657" s="98"/>
      <c r="Q657" s="99"/>
      <c r="R657" s="104">
        <f t="shared" si="35"/>
        <v>0</v>
      </c>
      <c r="S657" s="104">
        <f t="shared" si="34"/>
        <v>0</v>
      </c>
      <c r="T657" s="104">
        <f t="shared" si="36"/>
        <v>0</v>
      </c>
    </row>
    <row r="658" spans="1:20">
      <c r="A658" s="101"/>
      <c r="B658" s="101"/>
      <c r="C658" s="101"/>
      <c r="D658" s="101"/>
      <c r="E658" s="101"/>
      <c r="F658" s="102"/>
      <c r="G658" s="101"/>
      <c r="H658" s="102"/>
      <c r="I658" s="101"/>
      <c r="J658" s="101"/>
      <c r="K658" s="103"/>
      <c r="L658" s="103"/>
      <c r="M658" s="103"/>
      <c r="N658" s="103"/>
      <c r="O658" s="103"/>
      <c r="P658" s="98"/>
      <c r="Q658" s="99"/>
      <c r="R658" s="105">
        <f t="shared" si="35"/>
        <v>0</v>
      </c>
      <c r="S658" s="108">
        <f t="shared" si="34"/>
        <v>0</v>
      </c>
      <c r="T658" s="105">
        <f t="shared" si="36"/>
        <v>0</v>
      </c>
    </row>
    <row r="659" spans="1:20">
      <c r="A659" s="101"/>
      <c r="B659" s="101"/>
      <c r="C659" s="101"/>
      <c r="D659" s="101"/>
      <c r="E659" s="101"/>
      <c r="F659" s="102"/>
      <c r="G659" s="101"/>
      <c r="H659" s="102"/>
      <c r="I659" s="101"/>
      <c r="J659" s="101"/>
      <c r="K659" s="103"/>
      <c r="L659" s="103"/>
      <c r="M659" s="103"/>
      <c r="N659" s="103"/>
      <c r="O659" s="103"/>
      <c r="P659" s="98"/>
      <c r="Q659" s="99"/>
      <c r="R659" s="104">
        <f t="shared" si="35"/>
        <v>0</v>
      </c>
      <c r="S659" s="104">
        <f t="shared" si="34"/>
        <v>0</v>
      </c>
      <c r="T659" s="104">
        <f t="shared" si="36"/>
        <v>0</v>
      </c>
    </row>
    <row r="660" spans="1:20">
      <c r="A660" s="101"/>
      <c r="B660" s="101"/>
      <c r="C660" s="101"/>
      <c r="D660" s="101"/>
      <c r="E660" s="101"/>
      <c r="F660" s="102"/>
      <c r="G660" s="101"/>
      <c r="H660" s="102"/>
      <c r="I660" s="101"/>
      <c r="J660" s="101"/>
      <c r="K660" s="103"/>
      <c r="L660" s="103"/>
      <c r="M660" s="103"/>
      <c r="N660" s="103"/>
      <c r="O660" s="103"/>
      <c r="P660" s="98"/>
      <c r="Q660" s="99"/>
      <c r="R660" s="105">
        <f t="shared" si="35"/>
        <v>0</v>
      </c>
      <c r="S660" s="108">
        <f t="shared" si="34"/>
        <v>0</v>
      </c>
      <c r="T660" s="105">
        <f t="shared" si="36"/>
        <v>0</v>
      </c>
    </row>
    <row r="661" spans="1:20">
      <c r="A661" s="101"/>
      <c r="B661" s="101"/>
      <c r="C661" s="101"/>
      <c r="D661" s="101"/>
      <c r="E661" s="101"/>
      <c r="F661" s="102"/>
      <c r="G661" s="101"/>
      <c r="H661" s="102"/>
      <c r="I661" s="101"/>
      <c r="J661" s="101"/>
      <c r="K661" s="103"/>
      <c r="L661" s="103"/>
      <c r="M661" s="103"/>
      <c r="N661" s="103"/>
      <c r="O661" s="103"/>
      <c r="P661" s="98"/>
      <c r="Q661" s="99"/>
      <c r="R661" s="104">
        <f t="shared" si="35"/>
        <v>0</v>
      </c>
      <c r="S661" s="104">
        <f t="shared" si="34"/>
        <v>0</v>
      </c>
      <c r="T661" s="104">
        <f t="shared" si="36"/>
        <v>0</v>
      </c>
    </row>
    <row r="662" spans="1:20">
      <c r="A662" s="101"/>
      <c r="B662" s="101"/>
      <c r="C662" s="101"/>
      <c r="D662" s="101"/>
      <c r="E662" s="101"/>
      <c r="F662" s="102"/>
      <c r="G662" s="101"/>
      <c r="H662" s="102"/>
      <c r="I662" s="101"/>
      <c r="J662" s="101"/>
      <c r="K662" s="103"/>
      <c r="L662" s="103"/>
      <c r="M662" s="103"/>
      <c r="N662" s="103"/>
      <c r="O662" s="103"/>
      <c r="P662" s="98"/>
      <c r="Q662" s="99"/>
      <c r="R662" s="105">
        <f t="shared" si="35"/>
        <v>0</v>
      </c>
      <c r="S662" s="108">
        <f t="shared" si="34"/>
        <v>0</v>
      </c>
      <c r="T662" s="105">
        <f t="shared" si="36"/>
        <v>0</v>
      </c>
    </row>
    <row r="663" spans="1:20">
      <c r="A663" s="101"/>
      <c r="B663" s="101"/>
      <c r="C663" s="101"/>
      <c r="D663" s="101"/>
      <c r="E663" s="101"/>
      <c r="F663" s="102"/>
      <c r="G663" s="101"/>
      <c r="H663" s="102"/>
      <c r="I663" s="101"/>
      <c r="J663" s="101"/>
      <c r="K663" s="103"/>
      <c r="L663" s="103"/>
      <c r="M663" s="103"/>
      <c r="N663" s="103"/>
      <c r="O663" s="103"/>
      <c r="P663" s="98"/>
      <c r="Q663" s="99"/>
      <c r="R663" s="104">
        <f t="shared" si="35"/>
        <v>0</v>
      </c>
      <c r="S663" s="104">
        <f t="shared" si="34"/>
        <v>0</v>
      </c>
      <c r="T663" s="104">
        <f t="shared" si="36"/>
        <v>0</v>
      </c>
    </row>
    <row r="664" spans="1:20">
      <c r="A664" s="101"/>
      <c r="B664" s="101"/>
      <c r="C664" s="101"/>
      <c r="D664" s="101"/>
      <c r="E664" s="101"/>
      <c r="F664" s="102"/>
      <c r="G664" s="101"/>
      <c r="H664" s="102"/>
      <c r="I664" s="101"/>
      <c r="J664" s="101"/>
      <c r="K664" s="103"/>
      <c r="L664" s="103"/>
      <c r="M664" s="103"/>
      <c r="N664" s="103"/>
      <c r="O664" s="103"/>
      <c r="P664" s="98"/>
      <c r="Q664" s="99"/>
      <c r="R664" s="105">
        <f t="shared" si="35"/>
        <v>0</v>
      </c>
      <c r="S664" s="108">
        <f t="shared" si="34"/>
        <v>0</v>
      </c>
      <c r="T664" s="105">
        <f t="shared" si="36"/>
        <v>0</v>
      </c>
    </row>
    <row r="665" spans="1:20">
      <c r="A665" s="101"/>
      <c r="B665" s="101"/>
      <c r="C665" s="101"/>
      <c r="D665" s="101"/>
      <c r="E665" s="101"/>
      <c r="F665" s="102"/>
      <c r="G665" s="101"/>
      <c r="H665" s="102"/>
      <c r="I665" s="101"/>
      <c r="J665" s="101"/>
      <c r="K665" s="103"/>
      <c r="L665" s="103"/>
      <c r="M665" s="103"/>
      <c r="N665" s="103"/>
      <c r="O665" s="103"/>
      <c r="P665" s="98"/>
      <c r="Q665" s="99"/>
      <c r="R665" s="104">
        <f t="shared" si="35"/>
        <v>0</v>
      </c>
      <c r="S665" s="104">
        <f t="shared" si="34"/>
        <v>0</v>
      </c>
      <c r="T665" s="104">
        <f t="shared" si="36"/>
        <v>0</v>
      </c>
    </row>
    <row r="666" spans="1:20">
      <c r="A666" s="101"/>
      <c r="B666" s="101"/>
      <c r="C666" s="101"/>
      <c r="D666" s="101"/>
      <c r="E666" s="101"/>
      <c r="F666" s="102"/>
      <c r="G666" s="101"/>
      <c r="H666" s="102"/>
      <c r="I666" s="101"/>
      <c r="J666" s="101"/>
      <c r="K666" s="103"/>
      <c r="L666" s="103"/>
      <c r="M666" s="103"/>
      <c r="N666" s="103"/>
      <c r="O666" s="103"/>
      <c r="P666" s="98"/>
      <c r="Q666" s="99"/>
      <c r="R666" s="105">
        <f t="shared" si="35"/>
        <v>0</v>
      </c>
      <c r="S666" s="108">
        <f t="shared" si="34"/>
        <v>0</v>
      </c>
      <c r="T666" s="105">
        <f t="shared" si="36"/>
        <v>0</v>
      </c>
    </row>
    <row r="667" spans="1:20">
      <c r="A667" s="101"/>
      <c r="B667" s="101"/>
      <c r="C667" s="101"/>
      <c r="D667" s="101"/>
      <c r="E667" s="101"/>
      <c r="F667" s="102"/>
      <c r="G667" s="101"/>
      <c r="H667" s="102"/>
      <c r="I667" s="101"/>
      <c r="J667" s="101"/>
      <c r="K667" s="103"/>
      <c r="L667" s="103"/>
      <c r="M667" s="103"/>
      <c r="N667" s="103"/>
      <c r="O667" s="103"/>
      <c r="P667" s="98"/>
      <c r="Q667" s="99"/>
      <c r="R667" s="104">
        <f t="shared" si="35"/>
        <v>0</v>
      </c>
      <c r="S667" s="104">
        <f t="shared" si="34"/>
        <v>0</v>
      </c>
      <c r="T667" s="104">
        <f t="shared" si="36"/>
        <v>0</v>
      </c>
    </row>
    <row r="668" spans="1:20">
      <c r="A668" s="101"/>
      <c r="B668" s="101"/>
      <c r="C668" s="101"/>
      <c r="D668" s="101"/>
      <c r="E668" s="101"/>
      <c r="F668" s="102"/>
      <c r="G668" s="101"/>
      <c r="H668" s="102"/>
      <c r="I668" s="101"/>
      <c r="J668" s="101"/>
      <c r="K668" s="103"/>
      <c r="L668" s="103"/>
      <c r="M668" s="103"/>
      <c r="N668" s="103"/>
      <c r="O668" s="103"/>
      <c r="P668" s="98"/>
      <c r="Q668" s="99"/>
      <c r="R668" s="105">
        <f t="shared" si="35"/>
        <v>0</v>
      </c>
      <c r="S668" s="108">
        <f t="shared" si="34"/>
        <v>0</v>
      </c>
      <c r="T668" s="105">
        <f t="shared" si="36"/>
        <v>0</v>
      </c>
    </row>
    <row r="669" spans="1:20">
      <c r="A669" s="101"/>
      <c r="B669" s="101"/>
      <c r="C669" s="101"/>
      <c r="D669" s="101"/>
      <c r="E669" s="101"/>
      <c r="F669" s="102"/>
      <c r="G669" s="101"/>
      <c r="H669" s="102"/>
      <c r="I669" s="101"/>
      <c r="J669" s="101"/>
      <c r="K669" s="103"/>
      <c r="L669" s="103"/>
      <c r="M669" s="103"/>
      <c r="N669" s="103"/>
      <c r="O669" s="103"/>
      <c r="P669" s="98"/>
      <c r="Q669" s="99"/>
      <c r="R669" s="104">
        <f t="shared" si="35"/>
        <v>0</v>
      </c>
      <c r="S669" s="104">
        <f t="shared" si="34"/>
        <v>0</v>
      </c>
      <c r="T669" s="104">
        <f t="shared" si="36"/>
        <v>0</v>
      </c>
    </row>
    <row r="670" spans="1:20">
      <c r="A670" s="101"/>
      <c r="B670" s="101"/>
      <c r="C670" s="101"/>
      <c r="D670" s="101"/>
      <c r="E670" s="101"/>
      <c r="F670" s="102"/>
      <c r="G670" s="101"/>
      <c r="H670" s="102"/>
      <c r="I670" s="101"/>
      <c r="J670" s="101"/>
      <c r="K670" s="103"/>
      <c r="L670" s="103"/>
      <c r="M670" s="103"/>
      <c r="N670" s="103"/>
      <c r="O670" s="103"/>
      <c r="P670" s="98"/>
      <c r="Q670" s="99"/>
      <c r="R670" s="105">
        <f t="shared" si="35"/>
        <v>0</v>
      </c>
      <c r="S670" s="108">
        <f t="shared" si="34"/>
        <v>0</v>
      </c>
      <c r="T670" s="105">
        <f t="shared" si="36"/>
        <v>0</v>
      </c>
    </row>
    <row r="671" spans="1:20">
      <c r="A671" s="101"/>
      <c r="B671" s="101"/>
      <c r="C671" s="101"/>
      <c r="D671" s="101"/>
      <c r="E671" s="101"/>
      <c r="F671" s="102"/>
      <c r="G671" s="101"/>
      <c r="H671" s="102"/>
      <c r="I671" s="101"/>
      <c r="J671" s="101"/>
      <c r="K671" s="103"/>
      <c r="L671" s="103"/>
      <c r="M671" s="103"/>
      <c r="N671" s="103"/>
      <c r="O671" s="103"/>
      <c r="P671" s="98"/>
      <c r="Q671" s="99"/>
      <c r="R671" s="104">
        <f t="shared" si="35"/>
        <v>0</v>
      </c>
      <c r="S671" s="104">
        <f t="shared" si="34"/>
        <v>0</v>
      </c>
      <c r="T671" s="104">
        <f t="shared" si="36"/>
        <v>0</v>
      </c>
    </row>
    <row r="672" spans="1:20">
      <c r="A672" s="101"/>
      <c r="B672" s="101"/>
      <c r="C672" s="101"/>
      <c r="D672" s="101"/>
      <c r="E672" s="101"/>
      <c r="F672" s="102"/>
      <c r="G672" s="101"/>
      <c r="H672" s="102"/>
      <c r="I672" s="101"/>
      <c r="J672" s="101"/>
      <c r="K672" s="103"/>
      <c r="L672" s="103"/>
      <c r="M672" s="103"/>
      <c r="N672" s="103"/>
      <c r="O672" s="103"/>
      <c r="P672" s="98"/>
      <c r="Q672" s="99"/>
      <c r="R672" s="105">
        <f t="shared" si="35"/>
        <v>0</v>
      </c>
      <c r="S672" s="108">
        <f t="shared" si="34"/>
        <v>0</v>
      </c>
      <c r="T672" s="105">
        <f t="shared" si="36"/>
        <v>0</v>
      </c>
    </row>
    <row r="673" spans="1:20">
      <c r="A673" s="101"/>
      <c r="B673" s="101"/>
      <c r="C673" s="101"/>
      <c r="D673" s="101"/>
      <c r="E673" s="101"/>
      <c r="F673" s="102"/>
      <c r="G673" s="101"/>
      <c r="H673" s="102"/>
      <c r="I673" s="101"/>
      <c r="J673" s="101"/>
      <c r="K673" s="103"/>
      <c r="L673" s="103"/>
      <c r="M673" s="103"/>
      <c r="N673" s="103"/>
      <c r="O673" s="103"/>
      <c r="P673" s="98"/>
      <c r="Q673" s="99"/>
      <c r="R673" s="104">
        <f t="shared" si="35"/>
        <v>0</v>
      </c>
      <c r="S673" s="104">
        <f t="shared" si="34"/>
        <v>0</v>
      </c>
      <c r="T673" s="104">
        <f t="shared" si="36"/>
        <v>0</v>
      </c>
    </row>
    <row r="674" spans="1:20">
      <c r="A674" s="101"/>
      <c r="B674" s="101"/>
      <c r="C674" s="101"/>
      <c r="D674" s="101"/>
      <c r="E674" s="101"/>
      <c r="F674" s="102"/>
      <c r="G674" s="101"/>
      <c r="H674" s="102"/>
      <c r="I674" s="101"/>
      <c r="J674" s="101"/>
      <c r="K674" s="103"/>
      <c r="L674" s="103"/>
      <c r="M674" s="103"/>
      <c r="N674" s="103"/>
      <c r="O674" s="103"/>
      <c r="P674" s="98"/>
      <c r="Q674" s="99"/>
      <c r="R674" s="105">
        <f t="shared" si="35"/>
        <v>0</v>
      </c>
      <c r="S674" s="108">
        <f t="shared" si="34"/>
        <v>0</v>
      </c>
      <c r="T674" s="105">
        <f t="shared" si="36"/>
        <v>0</v>
      </c>
    </row>
    <row r="675" spans="1:20">
      <c r="A675" s="101"/>
      <c r="B675" s="101"/>
      <c r="C675" s="101"/>
      <c r="D675" s="101"/>
      <c r="E675" s="101"/>
      <c r="F675" s="102"/>
      <c r="G675" s="101"/>
      <c r="H675" s="102"/>
      <c r="I675" s="101"/>
      <c r="J675" s="101"/>
      <c r="K675" s="103"/>
      <c r="L675" s="103"/>
      <c r="M675" s="103"/>
      <c r="N675" s="103"/>
      <c r="O675" s="103"/>
      <c r="P675" s="98"/>
      <c r="Q675" s="99"/>
      <c r="R675" s="104">
        <f t="shared" si="35"/>
        <v>0</v>
      </c>
      <c r="S675" s="104">
        <f t="shared" si="34"/>
        <v>0</v>
      </c>
      <c r="T675" s="104">
        <f t="shared" si="36"/>
        <v>0</v>
      </c>
    </row>
    <row r="676" spans="1:20">
      <c r="A676" s="101"/>
      <c r="B676" s="101"/>
      <c r="C676" s="101"/>
      <c r="D676" s="101"/>
      <c r="E676" s="101"/>
      <c r="F676" s="102"/>
      <c r="G676" s="101"/>
      <c r="H676" s="102"/>
      <c r="I676" s="101"/>
      <c r="J676" s="101"/>
      <c r="K676" s="103"/>
      <c r="L676" s="103"/>
      <c r="M676" s="103"/>
      <c r="N676" s="103"/>
      <c r="O676" s="103"/>
      <c r="P676" s="98"/>
      <c r="Q676" s="99"/>
      <c r="R676" s="105">
        <f t="shared" si="35"/>
        <v>0</v>
      </c>
      <c r="S676" s="108">
        <f t="shared" si="34"/>
        <v>0</v>
      </c>
      <c r="T676" s="105">
        <f t="shared" si="36"/>
        <v>0</v>
      </c>
    </row>
    <row r="677" spans="1:20">
      <c r="A677" s="101"/>
      <c r="B677" s="101"/>
      <c r="C677" s="101"/>
      <c r="D677" s="101"/>
      <c r="E677" s="101"/>
      <c r="F677" s="102"/>
      <c r="G677" s="101"/>
      <c r="H677" s="102"/>
      <c r="I677" s="101"/>
      <c r="J677" s="101"/>
      <c r="K677" s="103"/>
      <c r="L677" s="103"/>
      <c r="M677" s="103"/>
      <c r="N677" s="103"/>
      <c r="O677" s="103"/>
      <c r="P677" s="98"/>
      <c r="Q677" s="99"/>
      <c r="R677" s="104">
        <f t="shared" si="35"/>
        <v>0</v>
      </c>
      <c r="S677" s="104">
        <f t="shared" si="34"/>
        <v>0</v>
      </c>
      <c r="T677" s="104">
        <f t="shared" si="36"/>
        <v>0</v>
      </c>
    </row>
    <row r="678" spans="1:20">
      <c r="A678" s="101"/>
      <c r="B678" s="101"/>
      <c r="C678" s="101"/>
      <c r="D678" s="101"/>
      <c r="E678" s="101"/>
      <c r="F678" s="102"/>
      <c r="G678" s="101"/>
      <c r="H678" s="102"/>
      <c r="I678" s="101"/>
      <c r="J678" s="101"/>
      <c r="K678" s="103"/>
      <c r="L678" s="103"/>
      <c r="M678" s="103"/>
      <c r="N678" s="103"/>
      <c r="O678" s="103"/>
      <c r="P678" s="98"/>
      <c r="Q678" s="99"/>
      <c r="R678" s="105">
        <f t="shared" si="35"/>
        <v>0</v>
      </c>
      <c r="S678" s="108">
        <f t="shared" si="34"/>
        <v>0</v>
      </c>
      <c r="T678" s="105">
        <f t="shared" si="36"/>
        <v>0</v>
      </c>
    </row>
    <row r="679" spans="1:20">
      <c r="A679" s="101"/>
      <c r="B679" s="101"/>
      <c r="C679" s="101"/>
      <c r="D679" s="101"/>
      <c r="E679" s="101"/>
      <c r="F679" s="102"/>
      <c r="G679" s="101"/>
      <c r="H679" s="102"/>
      <c r="I679" s="101"/>
      <c r="J679" s="101"/>
      <c r="K679" s="103"/>
      <c r="L679" s="103"/>
      <c r="M679" s="103"/>
      <c r="N679" s="103"/>
      <c r="O679" s="103"/>
      <c r="P679" s="98"/>
      <c r="Q679" s="99"/>
      <c r="R679" s="104">
        <f t="shared" si="35"/>
        <v>0</v>
      </c>
      <c r="S679" s="104">
        <f t="shared" si="34"/>
        <v>0</v>
      </c>
      <c r="T679" s="104">
        <f t="shared" si="36"/>
        <v>0</v>
      </c>
    </row>
    <row r="680" spans="1:20">
      <c r="A680" s="101"/>
      <c r="B680" s="101"/>
      <c r="C680" s="101"/>
      <c r="D680" s="101"/>
      <c r="E680" s="101"/>
      <c r="F680" s="102"/>
      <c r="G680" s="101"/>
      <c r="H680" s="102"/>
      <c r="I680" s="101"/>
      <c r="J680" s="101"/>
      <c r="K680" s="103"/>
      <c r="L680" s="103"/>
      <c r="M680" s="103"/>
      <c r="N680" s="103"/>
      <c r="O680" s="103"/>
      <c r="P680" s="98"/>
      <c r="Q680" s="99"/>
      <c r="R680" s="105">
        <f t="shared" si="35"/>
        <v>0</v>
      </c>
      <c r="S680" s="108">
        <f t="shared" si="34"/>
        <v>0</v>
      </c>
      <c r="T680" s="105">
        <f t="shared" si="36"/>
        <v>0</v>
      </c>
    </row>
    <row r="681" spans="1:20">
      <c r="A681" s="101"/>
      <c r="B681" s="101"/>
      <c r="C681" s="101"/>
      <c r="D681" s="101"/>
      <c r="E681" s="101"/>
      <c r="F681" s="102"/>
      <c r="G681" s="101"/>
      <c r="H681" s="102"/>
      <c r="I681" s="101"/>
      <c r="J681" s="101"/>
      <c r="K681" s="103"/>
      <c r="L681" s="103"/>
      <c r="M681" s="103"/>
      <c r="N681" s="103"/>
      <c r="O681" s="103"/>
      <c r="P681" s="98"/>
      <c r="Q681" s="99"/>
      <c r="R681" s="104">
        <f t="shared" si="35"/>
        <v>0</v>
      </c>
      <c r="S681" s="104">
        <f t="shared" si="34"/>
        <v>0</v>
      </c>
      <c r="T681" s="104">
        <f t="shared" si="36"/>
        <v>0</v>
      </c>
    </row>
    <row r="682" spans="1:20">
      <c r="A682" s="101"/>
      <c r="B682" s="101"/>
      <c r="C682" s="101"/>
      <c r="D682" s="101"/>
      <c r="E682" s="101"/>
      <c r="F682" s="102"/>
      <c r="G682" s="101"/>
      <c r="H682" s="102"/>
      <c r="I682" s="101"/>
      <c r="J682" s="101"/>
      <c r="K682" s="103"/>
      <c r="L682" s="103"/>
      <c r="M682" s="103"/>
      <c r="N682" s="103"/>
      <c r="O682" s="103"/>
      <c r="P682" s="98"/>
      <c r="Q682" s="99"/>
      <c r="R682" s="105">
        <f t="shared" si="35"/>
        <v>0</v>
      </c>
      <c r="S682" s="108">
        <f t="shared" si="34"/>
        <v>0</v>
      </c>
      <c r="T682" s="105">
        <f t="shared" si="36"/>
        <v>0</v>
      </c>
    </row>
    <row r="683" spans="1:20">
      <c r="A683" s="101"/>
      <c r="B683" s="101"/>
      <c r="C683" s="101"/>
      <c r="D683" s="101"/>
      <c r="E683" s="101"/>
      <c r="F683" s="102"/>
      <c r="G683" s="101"/>
      <c r="H683" s="102"/>
      <c r="I683" s="101"/>
      <c r="J683" s="101"/>
      <c r="K683" s="103"/>
      <c r="L683" s="103"/>
      <c r="M683" s="103"/>
      <c r="N683" s="103"/>
      <c r="O683" s="103"/>
      <c r="P683" s="98"/>
      <c r="Q683" s="99"/>
      <c r="R683" s="104">
        <f t="shared" si="35"/>
        <v>0</v>
      </c>
      <c r="S683" s="104">
        <f t="shared" si="34"/>
        <v>0</v>
      </c>
      <c r="T683" s="104">
        <f t="shared" si="36"/>
        <v>0</v>
      </c>
    </row>
    <row r="684" spans="1:20">
      <c r="A684" s="101"/>
      <c r="B684" s="101"/>
      <c r="C684" s="101"/>
      <c r="D684" s="101"/>
      <c r="E684" s="101"/>
      <c r="F684" s="102"/>
      <c r="G684" s="101"/>
      <c r="H684" s="102"/>
      <c r="I684" s="101"/>
      <c r="J684" s="101"/>
      <c r="K684" s="103"/>
      <c r="L684" s="103"/>
      <c r="M684" s="103"/>
      <c r="N684" s="103"/>
      <c r="O684" s="103"/>
      <c r="P684" s="98"/>
      <c r="Q684" s="99"/>
      <c r="R684" s="105">
        <f t="shared" si="35"/>
        <v>0</v>
      </c>
      <c r="S684" s="108">
        <f t="shared" si="34"/>
        <v>0</v>
      </c>
      <c r="T684" s="105">
        <f t="shared" si="36"/>
        <v>0</v>
      </c>
    </row>
    <row r="685" spans="1:20">
      <c r="A685" s="101"/>
      <c r="B685" s="101"/>
      <c r="C685" s="101"/>
      <c r="D685" s="101"/>
      <c r="E685" s="101"/>
      <c r="F685" s="102"/>
      <c r="G685" s="101"/>
      <c r="H685" s="102"/>
      <c r="I685" s="101"/>
      <c r="J685" s="101"/>
      <c r="K685" s="103"/>
      <c r="L685" s="103"/>
      <c r="M685" s="103"/>
      <c r="N685" s="103"/>
      <c r="O685" s="103"/>
      <c r="P685" s="98"/>
      <c r="Q685" s="99"/>
      <c r="R685" s="104">
        <f t="shared" si="35"/>
        <v>0</v>
      </c>
      <c r="S685" s="104">
        <f t="shared" si="34"/>
        <v>0</v>
      </c>
      <c r="T685" s="104">
        <f t="shared" si="36"/>
        <v>0</v>
      </c>
    </row>
    <row r="686" spans="1:20">
      <c r="A686" s="101"/>
      <c r="B686" s="101"/>
      <c r="C686" s="101"/>
      <c r="D686" s="101"/>
      <c r="E686" s="101"/>
      <c r="F686" s="102"/>
      <c r="G686" s="101"/>
      <c r="H686" s="102"/>
      <c r="I686" s="101"/>
      <c r="J686" s="101"/>
      <c r="K686" s="103"/>
      <c r="L686" s="103"/>
      <c r="M686" s="103"/>
      <c r="N686" s="103"/>
      <c r="O686" s="103"/>
      <c r="P686" s="98"/>
      <c r="Q686" s="99"/>
      <c r="R686" s="105">
        <f t="shared" si="35"/>
        <v>0</v>
      </c>
      <c r="S686" s="108">
        <f t="shared" si="34"/>
        <v>0</v>
      </c>
      <c r="T686" s="105">
        <f t="shared" si="36"/>
        <v>0</v>
      </c>
    </row>
    <row r="687" spans="1:20">
      <c r="A687" s="101"/>
      <c r="B687" s="101"/>
      <c r="C687" s="101"/>
      <c r="D687" s="101"/>
      <c r="E687" s="101"/>
      <c r="F687" s="102"/>
      <c r="G687" s="101"/>
      <c r="H687" s="102"/>
      <c r="I687" s="101"/>
      <c r="J687" s="101"/>
      <c r="K687" s="103"/>
      <c r="L687" s="103"/>
      <c r="M687" s="103"/>
      <c r="N687" s="103"/>
      <c r="O687" s="103"/>
      <c r="P687" s="98"/>
      <c r="Q687" s="99"/>
      <c r="R687" s="104">
        <f t="shared" si="35"/>
        <v>0</v>
      </c>
      <c r="S687" s="104">
        <f t="shared" si="34"/>
        <v>0</v>
      </c>
      <c r="T687" s="104">
        <f t="shared" si="36"/>
        <v>0</v>
      </c>
    </row>
    <row r="688" spans="1:20">
      <c r="A688" s="101"/>
      <c r="B688" s="101"/>
      <c r="C688" s="101"/>
      <c r="D688" s="101"/>
      <c r="E688" s="101"/>
      <c r="F688" s="102"/>
      <c r="G688" s="101"/>
      <c r="H688" s="102"/>
      <c r="I688" s="101"/>
      <c r="J688" s="101"/>
      <c r="K688" s="103"/>
      <c r="L688" s="103"/>
      <c r="M688" s="103"/>
      <c r="N688" s="103"/>
      <c r="O688" s="103"/>
      <c r="P688" s="98"/>
      <c r="Q688" s="99"/>
      <c r="R688" s="105">
        <f t="shared" si="35"/>
        <v>0</v>
      </c>
      <c r="S688" s="108">
        <f t="shared" si="34"/>
        <v>0</v>
      </c>
      <c r="T688" s="105">
        <f t="shared" si="36"/>
        <v>0</v>
      </c>
    </row>
    <row r="689" spans="1:21">
      <c r="A689" s="101"/>
      <c r="B689" s="101"/>
      <c r="C689" s="101"/>
      <c r="D689" s="101"/>
      <c r="E689" s="101"/>
      <c r="F689" s="102"/>
      <c r="G689" s="101"/>
      <c r="H689" s="102"/>
      <c r="I689" s="101"/>
      <c r="J689" s="101"/>
      <c r="K689" s="103"/>
      <c r="L689" s="103"/>
      <c r="M689" s="103"/>
      <c r="N689" s="103"/>
      <c r="O689" s="103"/>
      <c r="P689" s="98"/>
      <c r="Q689" s="99"/>
      <c r="R689" s="104">
        <f t="shared" si="35"/>
        <v>0</v>
      </c>
      <c r="S689" s="104">
        <f t="shared" si="34"/>
        <v>0</v>
      </c>
      <c r="T689" s="104">
        <f t="shared" si="36"/>
        <v>0</v>
      </c>
    </row>
    <row r="690" spans="1:21">
      <c r="A690" s="101"/>
      <c r="B690" s="101"/>
      <c r="C690" s="101"/>
      <c r="D690" s="101"/>
      <c r="E690" s="101"/>
      <c r="F690" s="102"/>
      <c r="G690" s="101"/>
      <c r="H690" s="102"/>
      <c r="I690" s="101"/>
      <c r="J690" s="101"/>
      <c r="K690" s="103"/>
      <c r="L690" s="103"/>
      <c r="M690" s="103"/>
      <c r="N690" s="103"/>
      <c r="O690" s="103"/>
      <c r="P690" s="98"/>
      <c r="Q690" s="99"/>
      <c r="R690" s="105">
        <f t="shared" si="35"/>
        <v>0</v>
      </c>
      <c r="S690" s="108">
        <f t="shared" si="34"/>
        <v>0</v>
      </c>
      <c r="T690" s="105">
        <f t="shared" si="36"/>
        <v>0</v>
      </c>
    </row>
    <row r="691" spans="1:21">
      <c r="A691" s="101"/>
      <c r="B691" s="101"/>
      <c r="C691" s="101"/>
      <c r="D691" s="101"/>
      <c r="E691" s="101"/>
      <c r="F691" s="102"/>
      <c r="G691" s="101"/>
      <c r="H691" s="102"/>
      <c r="I691" s="101"/>
      <c r="J691" s="101"/>
      <c r="K691" s="103"/>
      <c r="L691" s="103"/>
      <c r="M691" s="103"/>
      <c r="N691" s="103"/>
      <c r="O691" s="103"/>
      <c r="P691" s="98"/>
      <c r="Q691" s="99"/>
      <c r="R691" s="104">
        <f t="shared" si="35"/>
        <v>0</v>
      </c>
      <c r="S691" s="104">
        <f t="shared" si="34"/>
        <v>0</v>
      </c>
      <c r="T691" s="104">
        <f t="shared" si="36"/>
        <v>0</v>
      </c>
    </row>
    <row r="692" spans="1:21">
      <c r="A692" s="101"/>
      <c r="B692" s="101"/>
      <c r="C692" s="101"/>
      <c r="D692" s="101"/>
      <c r="E692" s="101"/>
      <c r="F692" s="102"/>
      <c r="G692" s="101"/>
      <c r="H692" s="102"/>
      <c r="I692" s="101"/>
      <c r="J692" s="101"/>
      <c r="K692" s="103"/>
      <c r="L692" s="103"/>
      <c r="M692" s="103"/>
      <c r="N692" s="103"/>
      <c r="O692" s="103"/>
      <c r="P692" s="98"/>
      <c r="Q692" s="99"/>
      <c r="R692" s="105">
        <f t="shared" si="35"/>
        <v>0</v>
      </c>
      <c r="S692" s="108">
        <f t="shared" si="34"/>
        <v>0</v>
      </c>
      <c r="T692" s="105">
        <f t="shared" si="36"/>
        <v>0</v>
      </c>
    </row>
    <row r="693" spans="1:21">
      <c r="A693" s="101"/>
      <c r="B693" s="101"/>
      <c r="C693" s="101"/>
      <c r="D693" s="101"/>
      <c r="E693" s="101"/>
      <c r="F693" s="102"/>
      <c r="G693" s="101"/>
      <c r="H693" s="102"/>
      <c r="I693" s="101"/>
      <c r="J693" s="101"/>
      <c r="K693" s="103"/>
      <c r="L693" s="103"/>
      <c r="M693" s="103"/>
      <c r="N693" s="103"/>
      <c r="O693" s="103"/>
      <c r="P693" s="98"/>
      <c r="Q693" s="99"/>
      <c r="R693" s="104">
        <f t="shared" si="35"/>
        <v>0</v>
      </c>
      <c r="S693" s="104">
        <f t="shared" si="34"/>
        <v>0</v>
      </c>
      <c r="T693" s="104">
        <f t="shared" si="36"/>
        <v>0</v>
      </c>
    </row>
    <row r="694" spans="1:21">
      <c r="A694" s="101"/>
      <c r="B694" s="101"/>
      <c r="C694" s="101"/>
      <c r="D694" s="101"/>
      <c r="E694" s="101"/>
      <c r="F694" s="102"/>
      <c r="G694" s="101"/>
      <c r="H694" s="102"/>
      <c r="I694" s="101"/>
      <c r="J694" s="101"/>
      <c r="K694" s="103"/>
      <c r="L694" s="103"/>
      <c r="M694" s="103"/>
      <c r="N694" s="103"/>
      <c r="O694" s="103"/>
      <c r="P694" s="98"/>
      <c r="Q694" s="99"/>
      <c r="R694" s="105">
        <f t="shared" si="35"/>
        <v>0</v>
      </c>
      <c r="S694" s="108">
        <f t="shared" si="34"/>
        <v>0</v>
      </c>
      <c r="T694" s="105">
        <f t="shared" si="36"/>
        <v>0</v>
      </c>
    </row>
    <row r="695" spans="1:21">
      <c r="A695" s="101"/>
      <c r="B695" s="101"/>
      <c r="C695" s="101"/>
      <c r="D695" s="101"/>
      <c r="E695" s="101"/>
      <c r="F695" s="102"/>
      <c r="G695" s="101"/>
      <c r="H695" s="102"/>
      <c r="I695" s="101"/>
      <c r="J695" s="101"/>
      <c r="K695" s="103"/>
      <c r="L695" s="103"/>
      <c r="M695" s="103"/>
      <c r="N695" s="103"/>
      <c r="O695" s="103"/>
      <c r="P695" s="98"/>
      <c r="Q695" s="99"/>
      <c r="R695" s="104">
        <f t="shared" si="35"/>
        <v>0</v>
      </c>
      <c r="S695" s="104">
        <f t="shared" si="34"/>
        <v>0</v>
      </c>
      <c r="T695" s="104">
        <f t="shared" si="36"/>
        <v>0</v>
      </c>
    </row>
    <row r="696" spans="1:21">
      <c r="A696" s="101"/>
      <c r="B696" s="101"/>
      <c r="C696" s="101"/>
      <c r="D696" s="101"/>
      <c r="E696" s="101"/>
      <c r="F696" s="102"/>
      <c r="G696" s="101"/>
      <c r="H696" s="102"/>
      <c r="I696" s="101"/>
      <c r="J696" s="101"/>
      <c r="K696" s="103"/>
      <c r="L696" s="103"/>
      <c r="M696" s="103"/>
      <c r="N696" s="103"/>
      <c r="O696" s="103"/>
      <c r="P696" s="98"/>
      <c r="Q696" s="99"/>
      <c r="R696" s="105">
        <f t="shared" si="35"/>
        <v>0</v>
      </c>
      <c r="S696" s="108">
        <f t="shared" si="34"/>
        <v>0</v>
      </c>
      <c r="T696" s="105">
        <f t="shared" si="36"/>
        <v>0</v>
      </c>
    </row>
    <row r="697" spans="1:21">
      <c r="A697" s="101"/>
      <c r="B697" s="101"/>
      <c r="C697" s="101"/>
      <c r="D697" s="101"/>
      <c r="E697" s="101"/>
      <c r="F697" s="102"/>
      <c r="G697" s="101"/>
      <c r="H697" s="102"/>
      <c r="I697" s="101"/>
      <c r="J697" s="101"/>
      <c r="K697" s="103"/>
      <c r="L697" s="103"/>
      <c r="M697" s="103"/>
      <c r="N697" s="103"/>
      <c r="O697" s="103"/>
      <c r="P697" s="98"/>
      <c r="Q697" s="99"/>
      <c r="R697" s="104">
        <f t="shared" si="35"/>
        <v>0</v>
      </c>
      <c r="S697" s="104">
        <f t="shared" si="34"/>
        <v>0</v>
      </c>
      <c r="T697" s="104">
        <f t="shared" si="36"/>
        <v>0</v>
      </c>
      <c r="U697" s="107"/>
    </row>
    <row r="698" spans="1:21">
      <c r="A698" s="101"/>
      <c r="B698" s="101"/>
      <c r="C698" s="101"/>
      <c r="D698" s="101"/>
      <c r="E698" s="101"/>
      <c r="F698" s="102"/>
      <c r="G698" s="101"/>
      <c r="H698" s="102"/>
      <c r="I698" s="101"/>
      <c r="J698" s="101"/>
      <c r="K698" s="103"/>
      <c r="L698" s="103"/>
      <c r="M698" s="103"/>
      <c r="N698" s="103"/>
      <c r="O698" s="103"/>
      <c r="P698" s="98"/>
      <c r="Q698" s="99"/>
      <c r="R698" s="105">
        <f t="shared" si="35"/>
        <v>0</v>
      </c>
      <c r="S698" s="108">
        <f t="shared" si="34"/>
        <v>0</v>
      </c>
      <c r="T698" s="105">
        <f t="shared" si="36"/>
        <v>0</v>
      </c>
    </row>
    <row r="699" spans="1:21">
      <c r="A699" s="101"/>
      <c r="B699" s="101"/>
      <c r="C699" s="101"/>
      <c r="D699" s="101"/>
      <c r="E699" s="101"/>
      <c r="F699" s="102"/>
      <c r="G699" s="101"/>
      <c r="H699" s="102"/>
      <c r="I699" s="101"/>
      <c r="J699" s="101"/>
      <c r="K699" s="103"/>
      <c r="L699" s="103"/>
      <c r="M699" s="103"/>
      <c r="N699" s="103"/>
      <c r="O699" s="103"/>
      <c r="P699" s="98"/>
      <c r="Q699" s="99"/>
      <c r="R699" s="104">
        <f t="shared" si="35"/>
        <v>0</v>
      </c>
      <c r="S699" s="104">
        <f t="shared" si="34"/>
        <v>0</v>
      </c>
      <c r="T699" s="104">
        <f t="shared" si="36"/>
        <v>0</v>
      </c>
    </row>
    <row r="700" spans="1:21">
      <c r="A700" s="101"/>
      <c r="B700" s="101"/>
      <c r="C700" s="101"/>
      <c r="D700" s="101"/>
      <c r="E700" s="101"/>
      <c r="F700" s="102"/>
      <c r="G700" s="101"/>
      <c r="H700" s="102"/>
      <c r="I700" s="101"/>
      <c r="J700" s="101"/>
      <c r="K700" s="103"/>
      <c r="L700" s="103"/>
      <c r="M700" s="103"/>
      <c r="N700" s="103"/>
      <c r="O700" s="103"/>
      <c r="P700" s="98"/>
      <c r="Q700" s="99"/>
      <c r="R700" s="105">
        <f t="shared" si="35"/>
        <v>0</v>
      </c>
      <c r="S700" s="108">
        <f t="shared" si="34"/>
        <v>0</v>
      </c>
      <c r="T700" s="105">
        <f t="shared" si="36"/>
        <v>0</v>
      </c>
    </row>
    <row r="701" spans="1:21">
      <c r="A701" s="101"/>
      <c r="B701" s="101"/>
      <c r="C701" s="101"/>
      <c r="D701" s="101"/>
      <c r="E701" s="101"/>
      <c r="F701" s="102"/>
      <c r="G701" s="101"/>
      <c r="H701" s="102"/>
      <c r="I701" s="101"/>
      <c r="J701" s="101"/>
      <c r="K701" s="103"/>
      <c r="L701" s="103"/>
      <c r="M701" s="103"/>
      <c r="N701" s="103"/>
      <c r="O701" s="103"/>
      <c r="P701" s="98"/>
      <c r="Q701" s="99"/>
      <c r="R701" s="104">
        <f t="shared" si="35"/>
        <v>0</v>
      </c>
      <c r="S701" s="104">
        <f t="shared" si="34"/>
        <v>0</v>
      </c>
      <c r="T701" s="104">
        <f t="shared" si="36"/>
        <v>0</v>
      </c>
    </row>
    <row r="702" spans="1:21">
      <c r="A702" s="101"/>
      <c r="B702" s="101"/>
      <c r="C702" s="101"/>
      <c r="D702" s="101"/>
      <c r="E702" s="101"/>
      <c r="F702" s="102"/>
      <c r="G702" s="101"/>
      <c r="H702" s="102"/>
      <c r="I702" s="101"/>
      <c r="J702" s="101"/>
      <c r="K702" s="103"/>
      <c r="L702" s="103"/>
      <c r="M702" s="103"/>
      <c r="N702" s="103"/>
      <c r="O702" s="103"/>
      <c r="P702" s="98"/>
      <c r="Q702" s="99"/>
      <c r="R702" s="105">
        <f t="shared" si="35"/>
        <v>0</v>
      </c>
      <c r="S702" s="108">
        <f t="shared" si="34"/>
        <v>0</v>
      </c>
      <c r="T702" s="105">
        <f t="shared" si="36"/>
        <v>0</v>
      </c>
    </row>
    <row r="703" spans="1:21">
      <c r="A703" s="101"/>
      <c r="B703" s="101"/>
      <c r="C703" s="101"/>
      <c r="D703" s="101"/>
      <c r="E703" s="101"/>
      <c r="F703" s="102"/>
      <c r="G703" s="101"/>
      <c r="H703" s="102"/>
      <c r="I703" s="101"/>
      <c r="J703" s="101"/>
      <c r="K703" s="103"/>
      <c r="L703" s="103"/>
      <c r="M703" s="103"/>
      <c r="N703" s="103"/>
      <c r="O703" s="103"/>
      <c r="P703" s="98"/>
      <c r="Q703" s="99"/>
      <c r="R703" s="104">
        <f t="shared" si="35"/>
        <v>0</v>
      </c>
      <c r="S703" s="104">
        <f t="shared" si="34"/>
        <v>0</v>
      </c>
      <c r="T703" s="104">
        <f t="shared" si="36"/>
        <v>0</v>
      </c>
    </row>
    <row r="704" spans="1:21">
      <c r="A704" s="101"/>
      <c r="B704" s="101"/>
      <c r="C704" s="101"/>
      <c r="D704" s="101"/>
      <c r="E704" s="101"/>
      <c r="F704" s="102"/>
      <c r="G704" s="101"/>
      <c r="H704" s="102"/>
      <c r="I704" s="101"/>
      <c r="J704" s="101"/>
      <c r="K704" s="103"/>
      <c r="L704" s="103"/>
      <c r="M704" s="103"/>
      <c r="N704" s="103"/>
      <c r="O704" s="103"/>
      <c r="P704" s="98"/>
      <c r="Q704" s="99"/>
      <c r="R704" s="105">
        <f t="shared" si="35"/>
        <v>0</v>
      </c>
      <c r="S704" s="108">
        <f t="shared" si="34"/>
        <v>0</v>
      </c>
      <c r="T704" s="105">
        <f t="shared" si="36"/>
        <v>0</v>
      </c>
    </row>
    <row r="705" spans="1:20">
      <c r="A705" s="101"/>
      <c r="B705" s="101"/>
      <c r="C705" s="101"/>
      <c r="D705" s="101"/>
      <c r="E705" s="101"/>
      <c r="F705" s="102"/>
      <c r="G705" s="101"/>
      <c r="H705" s="102"/>
      <c r="I705" s="101"/>
      <c r="J705" s="101"/>
      <c r="K705" s="103"/>
      <c r="L705" s="103"/>
      <c r="M705" s="103"/>
      <c r="N705" s="103"/>
      <c r="O705" s="103"/>
      <c r="P705" s="98"/>
      <c r="Q705" s="99"/>
      <c r="R705" s="104">
        <f t="shared" si="35"/>
        <v>0</v>
      </c>
      <c r="S705" s="104">
        <f t="shared" si="34"/>
        <v>0</v>
      </c>
      <c r="T705" s="104">
        <f t="shared" si="36"/>
        <v>0</v>
      </c>
    </row>
    <row r="706" spans="1:20">
      <c r="A706" s="101"/>
      <c r="B706" s="101"/>
      <c r="C706" s="101"/>
      <c r="D706" s="101"/>
      <c r="E706" s="101"/>
      <c r="F706" s="102"/>
      <c r="G706" s="101"/>
      <c r="H706" s="102"/>
      <c r="I706" s="101"/>
      <c r="J706" s="101"/>
      <c r="K706" s="103"/>
      <c r="L706" s="103"/>
      <c r="M706" s="103"/>
      <c r="N706" s="103"/>
      <c r="O706" s="103"/>
      <c r="P706" s="98"/>
      <c r="Q706" s="99"/>
      <c r="R706" s="105">
        <f t="shared" si="35"/>
        <v>0</v>
      </c>
      <c r="S706" s="108">
        <f t="shared" si="34"/>
        <v>0</v>
      </c>
      <c r="T706" s="105">
        <f t="shared" si="36"/>
        <v>0</v>
      </c>
    </row>
    <row r="707" spans="1:20">
      <c r="A707" s="101"/>
      <c r="B707" s="101"/>
      <c r="C707" s="101"/>
      <c r="D707" s="101"/>
      <c r="E707" s="101"/>
      <c r="F707" s="102"/>
      <c r="G707" s="101"/>
      <c r="H707" s="102"/>
      <c r="I707" s="101"/>
      <c r="J707" s="101"/>
      <c r="K707" s="103"/>
      <c r="L707" s="103"/>
      <c r="M707" s="103"/>
      <c r="N707" s="103"/>
      <c r="O707" s="103"/>
      <c r="P707" s="98"/>
      <c r="Q707" s="99"/>
      <c r="R707" s="104">
        <f t="shared" si="35"/>
        <v>0</v>
      </c>
      <c r="S707" s="104">
        <f t="shared" si="34"/>
        <v>0</v>
      </c>
      <c r="T707" s="104">
        <f t="shared" si="36"/>
        <v>0</v>
      </c>
    </row>
    <row r="708" spans="1:20">
      <c r="A708" s="101"/>
      <c r="B708" s="101"/>
      <c r="C708" s="101"/>
      <c r="D708" s="101"/>
      <c r="E708" s="101"/>
      <c r="F708" s="102"/>
      <c r="G708" s="101"/>
      <c r="H708" s="102"/>
      <c r="I708" s="101"/>
      <c r="J708" s="101"/>
      <c r="K708" s="103"/>
      <c r="L708" s="103"/>
      <c r="M708" s="103"/>
      <c r="N708" s="103"/>
      <c r="O708" s="103"/>
      <c r="P708" s="98"/>
      <c r="Q708" s="99"/>
      <c r="R708" s="105">
        <f t="shared" si="35"/>
        <v>0</v>
      </c>
      <c r="S708" s="108">
        <f t="shared" ref="S708:S771" si="37">IF(P708="Abono",K708+L708+M708-N708-O708,0)</f>
        <v>0</v>
      </c>
      <c r="T708" s="105">
        <f t="shared" si="36"/>
        <v>0</v>
      </c>
    </row>
    <row r="709" spans="1:20">
      <c r="A709" s="101"/>
      <c r="B709" s="101"/>
      <c r="C709" s="101"/>
      <c r="D709" s="101"/>
      <c r="E709" s="101"/>
      <c r="F709" s="102"/>
      <c r="G709" s="101"/>
      <c r="H709" s="102"/>
      <c r="I709" s="101"/>
      <c r="J709" s="101"/>
      <c r="K709" s="103"/>
      <c r="L709" s="103"/>
      <c r="M709" s="103"/>
      <c r="N709" s="103"/>
      <c r="O709" s="103"/>
      <c r="P709" s="98"/>
      <c r="Q709" s="99"/>
      <c r="R709" s="104">
        <f t="shared" ref="R709:R772" si="38">IF(P709="Cargo",K709+L709-M709-N709+O709,0)</f>
        <v>0</v>
      </c>
      <c r="S709" s="104">
        <f t="shared" si="37"/>
        <v>0</v>
      </c>
      <c r="T709" s="104">
        <f t="shared" ref="T709:T772" si="39">IF(Q709="OK",+T708+R709-S709,T708)</f>
        <v>0</v>
      </c>
    </row>
    <row r="710" spans="1:20">
      <c r="A710" s="101"/>
      <c r="B710" s="101"/>
      <c r="C710" s="101"/>
      <c r="D710" s="101"/>
      <c r="E710" s="101"/>
      <c r="F710" s="102"/>
      <c r="G710" s="101"/>
      <c r="H710" s="102"/>
      <c r="I710" s="101"/>
      <c r="J710" s="101"/>
      <c r="K710" s="103"/>
      <c r="L710" s="103"/>
      <c r="M710" s="103"/>
      <c r="N710" s="103"/>
      <c r="O710" s="103"/>
      <c r="P710" s="98"/>
      <c r="Q710" s="99"/>
      <c r="R710" s="105">
        <f t="shared" si="38"/>
        <v>0</v>
      </c>
      <c r="S710" s="108">
        <f t="shared" si="37"/>
        <v>0</v>
      </c>
      <c r="T710" s="105">
        <f t="shared" si="39"/>
        <v>0</v>
      </c>
    </row>
    <row r="711" spans="1:20">
      <c r="A711" s="101"/>
      <c r="B711" s="101"/>
      <c r="C711" s="101"/>
      <c r="D711" s="101"/>
      <c r="E711" s="101"/>
      <c r="F711" s="102"/>
      <c r="G711" s="101"/>
      <c r="H711" s="102"/>
      <c r="I711" s="101"/>
      <c r="J711" s="101"/>
      <c r="K711" s="103"/>
      <c r="L711" s="103"/>
      <c r="M711" s="103"/>
      <c r="N711" s="103"/>
      <c r="O711" s="103"/>
      <c r="P711" s="98"/>
      <c r="Q711" s="99"/>
      <c r="R711" s="104">
        <f t="shared" si="38"/>
        <v>0</v>
      </c>
      <c r="S711" s="104">
        <f t="shared" si="37"/>
        <v>0</v>
      </c>
      <c r="T711" s="104">
        <f t="shared" si="39"/>
        <v>0</v>
      </c>
    </row>
    <row r="712" spans="1:20">
      <c r="A712" s="101"/>
      <c r="B712" s="101"/>
      <c r="C712" s="101"/>
      <c r="D712" s="101"/>
      <c r="E712" s="101"/>
      <c r="F712" s="102"/>
      <c r="G712" s="101"/>
      <c r="H712" s="102"/>
      <c r="I712" s="101"/>
      <c r="J712" s="101"/>
      <c r="K712" s="103"/>
      <c r="L712" s="103"/>
      <c r="M712" s="103"/>
      <c r="N712" s="103"/>
      <c r="O712" s="103"/>
      <c r="P712" s="98"/>
      <c r="Q712" s="99"/>
      <c r="R712" s="105">
        <f t="shared" si="38"/>
        <v>0</v>
      </c>
      <c r="S712" s="108">
        <f t="shared" si="37"/>
        <v>0</v>
      </c>
      <c r="T712" s="105">
        <f t="shared" si="39"/>
        <v>0</v>
      </c>
    </row>
    <row r="713" spans="1:20">
      <c r="A713" s="101"/>
      <c r="B713" s="101"/>
      <c r="C713" s="101"/>
      <c r="D713" s="101"/>
      <c r="E713" s="101"/>
      <c r="F713" s="102"/>
      <c r="G713" s="101"/>
      <c r="H713" s="102"/>
      <c r="I713" s="101"/>
      <c r="J713" s="101"/>
      <c r="K713" s="103"/>
      <c r="L713" s="103"/>
      <c r="M713" s="103"/>
      <c r="N713" s="103"/>
      <c r="O713" s="103"/>
      <c r="P713" s="98"/>
      <c r="Q713" s="99"/>
      <c r="R713" s="104">
        <f t="shared" si="38"/>
        <v>0</v>
      </c>
      <c r="S713" s="104">
        <f t="shared" si="37"/>
        <v>0</v>
      </c>
      <c r="T713" s="104">
        <f t="shared" si="39"/>
        <v>0</v>
      </c>
    </row>
    <row r="714" spans="1:20">
      <c r="A714" s="101"/>
      <c r="B714" s="101"/>
      <c r="C714" s="101"/>
      <c r="D714" s="101"/>
      <c r="E714" s="101"/>
      <c r="F714" s="102"/>
      <c r="G714" s="101"/>
      <c r="H714" s="102"/>
      <c r="I714" s="101"/>
      <c r="J714" s="101"/>
      <c r="K714" s="103"/>
      <c r="L714" s="103"/>
      <c r="M714" s="103"/>
      <c r="N714" s="103"/>
      <c r="O714" s="103"/>
      <c r="P714" s="98"/>
      <c r="Q714" s="99"/>
      <c r="R714" s="105">
        <f t="shared" si="38"/>
        <v>0</v>
      </c>
      <c r="S714" s="108">
        <f t="shared" si="37"/>
        <v>0</v>
      </c>
      <c r="T714" s="105">
        <f t="shared" si="39"/>
        <v>0</v>
      </c>
    </row>
    <row r="715" spans="1:20">
      <c r="A715" s="101"/>
      <c r="B715" s="101"/>
      <c r="C715" s="101"/>
      <c r="D715" s="101"/>
      <c r="E715" s="101"/>
      <c r="F715" s="102"/>
      <c r="G715" s="101"/>
      <c r="H715" s="102"/>
      <c r="I715" s="101"/>
      <c r="J715" s="101"/>
      <c r="K715" s="103"/>
      <c r="L715" s="103"/>
      <c r="M715" s="103"/>
      <c r="N715" s="103"/>
      <c r="O715" s="103"/>
      <c r="P715" s="98"/>
      <c r="Q715" s="99"/>
      <c r="R715" s="104">
        <f t="shared" si="38"/>
        <v>0</v>
      </c>
      <c r="S715" s="104">
        <f t="shared" si="37"/>
        <v>0</v>
      </c>
      <c r="T715" s="104">
        <f t="shared" si="39"/>
        <v>0</v>
      </c>
    </row>
    <row r="716" spans="1:20">
      <c r="A716" s="101"/>
      <c r="B716" s="101"/>
      <c r="C716" s="101"/>
      <c r="D716" s="101"/>
      <c r="E716" s="101"/>
      <c r="F716" s="102"/>
      <c r="G716" s="101"/>
      <c r="H716" s="102"/>
      <c r="I716" s="101"/>
      <c r="J716" s="101"/>
      <c r="K716" s="103"/>
      <c r="L716" s="103"/>
      <c r="M716" s="103"/>
      <c r="N716" s="103"/>
      <c r="O716" s="103"/>
      <c r="P716" s="98"/>
      <c r="Q716" s="99"/>
      <c r="R716" s="105">
        <f t="shared" si="38"/>
        <v>0</v>
      </c>
      <c r="S716" s="108">
        <f t="shared" si="37"/>
        <v>0</v>
      </c>
      <c r="T716" s="105">
        <f t="shared" si="39"/>
        <v>0</v>
      </c>
    </row>
    <row r="717" spans="1:20">
      <c r="A717" s="101"/>
      <c r="B717" s="101"/>
      <c r="C717" s="101"/>
      <c r="D717" s="101"/>
      <c r="E717" s="101"/>
      <c r="F717" s="102"/>
      <c r="G717" s="101"/>
      <c r="H717" s="102"/>
      <c r="I717" s="101"/>
      <c r="J717" s="101"/>
      <c r="K717" s="103"/>
      <c r="L717" s="103"/>
      <c r="M717" s="103"/>
      <c r="N717" s="103"/>
      <c r="O717" s="103"/>
      <c r="P717" s="98"/>
      <c r="Q717" s="99"/>
      <c r="R717" s="104">
        <f t="shared" si="38"/>
        <v>0</v>
      </c>
      <c r="S717" s="104">
        <f t="shared" si="37"/>
        <v>0</v>
      </c>
      <c r="T717" s="104">
        <f t="shared" si="39"/>
        <v>0</v>
      </c>
    </row>
    <row r="718" spans="1:20">
      <c r="A718" s="101"/>
      <c r="B718" s="101"/>
      <c r="C718" s="101"/>
      <c r="D718" s="101"/>
      <c r="E718" s="101"/>
      <c r="F718" s="102"/>
      <c r="G718" s="101"/>
      <c r="H718" s="102"/>
      <c r="I718" s="101"/>
      <c r="J718" s="101"/>
      <c r="K718" s="103"/>
      <c r="L718" s="103"/>
      <c r="M718" s="103"/>
      <c r="N718" s="103"/>
      <c r="O718" s="103"/>
      <c r="P718" s="98"/>
      <c r="Q718" s="99"/>
      <c r="R718" s="105">
        <f t="shared" si="38"/>
        <v>0</v>
      </c>
      <c r="S718" s="108">
        <f t="shared" si="37"/>
        <v>0</v>
      </c>
      <c r="T718" s="105">
        <f t="shared" si="39"/>
        <v>0</v>
      </c>
    </row>
    <row r="719" spans="1:20">
      <c r="A719" s="101"/>
      <c r="B719" s="101"/>
      <c r="C719" s="101"/>
      <c r="D719" s="101"/>
      <c r="E719" s="101"/>
      <c r="F719" s="102"/>
      <c r="G719" s="101"/>
      <c r="H719" s="102"/>
      <c r="I719" s="101"/>
      <c r="J719" s="101"/>
      <c r="K719" s="103"/>
      <c r="L719" s="103"/>
      <c r="M719" s="103"/>
      <c r="N719" s="103"/>
      <c r="O719" s="103"/>
      <c r="P719" s="98"/>
      <c r="Q719" s="99"/>
      <c r="R719" s="104">
        <f t="shared" si="38"/>
        <v>0</v>
      </c>
      <c r="S719" s="104">
        <f t="shared" si="37"/>
        <v>0</v>
      </c>
      <c r="T719" s="104">
        <f t="shared" si="39"/>
        <v>0</v>
      </c>
    </row>
    <row r="720" spans="1:20">
      <c r="A720" s="101"/>
      <c r="B720" s="101"/>
      <c r="C720" s="101"/>
      <c r="D720" s="101"/>
      <c r="E720" s="101"/>
      <c r="F720" s="102"/>
      <c r="G720" s="101"/>
      <c r="H720" s="102"/>
      <c r="I720" s="101"/>
      <c r="J720" s="101"/>
      <c r="K720" s="103"/>
      <c r="L720" s="103"/>
      <c r="M720" s="103"/>
      <c r="N720" s="103"/>
      <c r="O720" s="103"/>
      <c r="P720" s="98"/>
      <c r="Q720" s="99"/>
      <c r="R720" s="105">
        <f t="shared" si="38"/>
        <v>0</v>
      </c>
      <c r="S720" s="108">
        <f t="shared" si="37"/>
        <v>0</v>
      </c>
      <c r="T720" s="105">
        <f t="shared" si="39"/>
        <v>0</v>
      </c>
    </row>
    <row r="721" spans="1:24">
      <c r="A721" s="101"/>
      <c r="B721" s="101"/>
      <c r="C721" s="101"/>
      <c r="D721" s="101"/>
      <c r="E721" s="101"/>
      <c r="F721" s="102"/>
      <c r="G721" s="101"/>
      <c r="H721" s="102"/>
      <c r="I721" s="101"/>
      <c r="J721" s="101"/>
      <c r="K721" s="103"/>
      <c r="L721" s="103"/>
      <c r="M721" s="103"/>
      <c r="N721" s="103"/>
      <c r="O721" s="103"/>
      <c r="P721" s="98"/>
      <c r="Q721" s="99"/>
      <c r="R721" s="104">
        <f t="shared" si="38"/>
        <v>0</v>
      </c>
      <c r="S721" s="104">
        <f t="shared" si="37"/>
        <v>0</v>
      </c>
      <c r="T721" s="104">
        <f t="shared" si="39"/>
        <v>0</v>
      </c>
    </row>
    <row r="722" spans="1:24">
      <c r="A722" s="101"/>
      <c r="B722" s="101"/>
      <c r="C722" s="101"/>
      <c r="D722" s="101"/>
      <c r="E722" s="101"/>
      <c r="F722" s="102"/>
      <c r="G722" s="101"/>
      <c r="H722" s="102"/>
      <c r="I722" s="101"/>
      <c r="J722" s="101"/>
      <c r="K722" s="103"/>
      <c r="L722" s="103"/>
      <c r="M722" s="103"/>
      <c r="N722" s="103"/>
      <c r="O722" s="103"/>
      <c r="P722" s="98"/>
      <c r="Q722" s="99"/>
      <c r="R722" s="105">
        <f t="shared" si="38"/>
        <v>0</v>
      </c>
      <c r="S722" s="108">
        <f t="shared" si="37"/>
        <v>0</v>
      </c>
      <c r="T722" s="105">
        <f t="shared" si="39"/>
        <v>0</v>
      </c>
    </row>
    <row r="723" spans="1:24">
      <c r="A723" s="101"/>
      <c r="B723" s="101"/>
      <c r="C723" s="101"/>
      <c r="D723" s="101"/>
      <c r="E723" s="101"/>
      <c r="F723" s="102"/>
      <c r="G723" s="101"/>
      <c r="H723" s="102"/>
      <c r="I723" s="101"/>
      <c r="J723" s="101"/>
      <c r="K723" s="103"/>
      <c r="L723" s="103"/>
      <c r="M723" s="103"/>
      <c r="N723" s="103"/>
      <c r="O723" s="103"/>
      <c r="P723" s="98"/>
      <c r="Q723" s="99"/>
      <c r="R723" s="104">
        <f t="shared" si="38"/>
        <v>0</v>
      </c>
      <c r="S723" s="104">
        <f t="shared" si="37"/>
        <v>0</v>
      </c>
      <c r="T723" s="104">
        <f t="shared" si="39"/>
        <v>0</v>
      </c>
      <c r="U723" s="106"/>
      <c r="W723" s="112"/>
    </row>
    <row r="724" spans="1:24">
      <c r="A724" s="101"/>
      <c r="B724" s="101"/>
      <c r="C724" s="101"/>
      <c r="D724" s="101"/>
      <c r="E724" s="101"/>
      <c r="F724" s="102"/>
      <c r="G724" s="101"/>
      <c r="H724" s="102"/>
      <c r="I724" s="101"/>
      <c r="J724" s="101"/>
      <c r="K724" s="103"/>
      <c r="L724" s="103"/>
      <c r="M724" s="103"/>
      <c r="N724" s="103"/>
      <c r="O724" s="103"/>
      <c r="P724" s="98"/>
      <c r="Q724" s="99"/>
      <c r="R724" s="105">
        <f t="shared" si="38"/>
        <v>0</v>
      </c>
      <c r="S724" s="108">
        <f t="shared" si="37"/>
        <v>0</v>
      </c>
      <c r="T724" s="105">
        <f t="shared" si="39"/>
        <v>0</v>
      </c>
      <c r="X724" s="115"/>
    </row>
    <row r="725" spans="1:24">
      <c r="A725" s="101"/>
      <c r="B725" s="101"/>
      <c r="C725" s="101"/>
      <c r="D725" s="101"/>
      <c r="E725" s="101"/>
      <c r="F725" s="102"/>
      <c r="G725" s="101"/>
      <c r="H725" s="102"/>
      <c r="I725" s="101"/>
      <c r="J725" s="101"/>
      <c r="K725" s="103"/>
      <c r="L725" s="103"/>
      <c r="M725" s="103"/>
      <c r="N725" s="103"/>
      <c r="O725" s="103"/>
      <c r="P725" s="98"/>
      <c r="Q725" s="99"/>
      <c r="R725" s="104">
        <f t="shared" si="38"/>
        <v>0</v>
      </c>
      <c r="S725" s="104">
        <f t="shared" si="37"/>
        <v>0</v>
      </c>
      <c r="T725" s="104">
        <f t="shared" si="39"/>
        <v>0</v>
      </c>
      <c r="X725" s="115"/>
    </row>
    <row r="726" spans="1:24">
      <c r="A726" s="101"/>
      <c r="B726" s="101"/>
      <c r="C726" s="101"/>
      <c r="D726" s="101"/>
      <c r="E726" s="101"/>
      <c r="F726" s="102"/>
      <c r="G726" s="101"/>
      <c r="H726" s="102"/>
      <c r="I726" s="101"/>
      <c r="J726" s="101"/>
      <c r="K726" s="103"/>
      <c r="L726" s="103"/>
      <c r="M726" s="103"/>
      <c r="N726" s="103"/>
      <c r="O726" s="103"/>
      <c r="P726" s="98"/>
      <c r="Q726" s="99"/>
      <c r="R726" s="105">
        <f t="shared" si="38"/>
        <v>0</v>
      </c>
      <c r="S726" s="108">
        <f t="shared" si="37"/>
        <v>0</v>
      </c>
      <c r="T726" s="105">
        <f t="shared" si="39"/>
        <v>0</v>
      </c>
      <c r="X726" s="115"/>
    </row>
    <row r="727" spans="1:24">
      <c r="A727" s="101"/>
      <c r="B727" s="101"/>
      <c r="C727" s="101"/>
      <c r="D727" s="101"/>
      <c r="E727" s="101"/>
      <c r="F727" s="102"/>
      <c r="G727" s="101"/>
      <c r="H727" s="102"/>
      <c r="I727" s="101"/>
      <c r="J727" s="101"/>
      <c r="K727" s="103"/>
      <c r="L727" s="103"/>
      <c r="M727" s="103"/>
      <c r="N727" s="103"/>
      <c r="O727" s="103"/>
      <c r="P727" s="98"/>
      <c r="Q727" s="99"/>
      <c r="R727" s="104">
        <f t="shared" si="38"/>
        <v>0</v>
      </c>
      <c r="S727" s="104">
        <f t="shared" si="37"/>
        <v>0</v>
      </c>
      <c r="T727" s="104">
        <f t="shared" si="39"/>
        <v>0</v>
      </c>
      <c r="X727" s="115"/>
    </row>
    <row r="728" spans="1:24">
      <c r="A728" s="101"/>
      <c r="B728" s="101"/>
      <c r="C728" s="101"/>
      <c r="D728" s="101"/>
      <c r="E728" s="101"/>
      <c r="F728" s="102"/>
      <c r="G728" s="101"/>
      <c r="H728" s="102"/>
      <c r="I728" s="101"/>
      <c r="J728" s="101"/>
      <c r="K728" s="103"/>
      <c r="L728" s="103"/>
      <c r="M728" s="103"/>
      <c r="N728" s="103"/>
      <c r="O728" s="103"/>
      <c r="P728" s="98"/>
      <c r="Q728" s="99"/>
      <c r="R728" s="105">
        <f t="shared" si="38"/>
        <v>0</v>
      </c>
      <c r="S728" s="108">
        <f t="shared" si="37"/>
        <v>0</v>
      </c>
      <c r="T728" s="105">
        <f t="shared" si="39"/>
        <v>0</v>
      </c>
      <c r="X728" s="115"/>
    </row>
    <row r="729" spans="1:24">
      <c r="A729" s="101"/>
      <c r="B729" s="101"/>
      <c r="C729" s="101"/>
      <c r="D729" s="101"/>
      <c r="E729" s="101"/>
      <c r="F729" s="102"/>
      <c r="G729" s="101"/>
      <c r="H729" s="102"/>
      <c r="I729" s="101"/>
      <c r="J729" s="101"/>
      <c r="K729" s="103"/>
      <c r="L729" s="103"/>
      <c r="M729" s="103"/>
      <c r="N729" s="103"/>
      <c r="O729" s="103"/>
      <c r="P729" s="98"/>
      <c r="Q729" s="99"/>
      <c r="R729" s="104">
        <f t="shared" si="38"/>
        <v>0</v>
      </c>
      <c r="S729" s="104">
        <f t="shared" si="37"/>
        <v>0</v>
      </c>
      <c r="T729" s="104">
        <f t="shared" si="39"/>
        <v>0</v>
      </c>
      <c r="X729" s="115"/>
    </row>
    <row r="730" spans="1:24">
      <c r="A730" s="101"/>
      <c r="B730" s="101"/>
      <c r="C730" s="101"/>
      <c r="D730" s="101"/>
      <c r="E730" s="101"/>
      <c r="F730" s="102"/>
      <c r="G730" s="101"/>
      <c r="H730" s="102"/>
      <c r="I730" s="101"/>
      <c r="J730" s="101"/>
      <c r="K730" s="103"/>
      <c r="L730" s="103"/>
      <c r="M730" s="103"/>
      <c r="N730" s="103"/>
      <c r="O730" s="103"/>
      <c r="P730" s="98"/>
      <c r="Q730" s="99"/>
      <c r="R730" s="105">
        <f t="shared" si="38"/>
        <v>0</v>
      </c>
      <c r="S730" s="108">
        <f t="shared" si="37"/>
        <v>0</v>
      </c>
      <c r="T730" s="105">
        <f t="shared" si="39"/>
        <v>0</v>
      </c>
      <c r="X730" s="115"/>
    </row>
    <row r="731" spans="1:24">
      <c r="A731" s="101"/>
      <c r="B731" s="101"/>
      <c r="C731" s="101"/>
      <c r="D731" s="101"/>
      <c r="E731" s="101"/>
      <c r="F731" s="102"/>
      <c r="G731" s="101"/>
      <c r="H731" s="102"/>
      <c r="I731" s="101"/>
      <c r="J731" s="101"/>
      <c r="K731" s="103"/>
      <c r="L731" s="103"/>
      <c r="M731" s="103"/>
      <c r="N731" s="103"/>
      <c r="O731" s="103"/>
      <c r="P731" s="98"/>
      <c r="Q731" s="99"/>
      <c r="R731" s="104">
        <f t="shared" si="38"/>
        <v>0</v>
      </c>
      <c r="S731" s="104">
        <f t="shared" si="37"/>
        <v>0</v>
      </c>
      <c r="T731" s="104">
        <f t="shared" si="39"/>
        <v>0</v>
      </c>
      <c r="X731" s="115"/>
    </row>
    <row r="732" spans="1:24">
      <c r="A732" s="101"/>
      <c r="B732" s="101"/>
      <c r="C732" s="101"/>
      <c r="D732" s="101"/>
      <c r="E732" s="101"/>
      <c r="F732" s="102"/>
      <c r="G732" s="101"/>
      <c r="H732" s="102"/>
      <c r="I732" s="101"/>
      <c r="J732" s="101"/>
      <c r="K732" s="103"/>
      <c r="L732" s="103"/>
      <c r="M732" s="103"/>
      <c r="N732" s="103"/>
      <c r="O732" s="103"/>
      <c r="P732" s="98"/>
      <c r="Q732" s="99"/>
      <c r="R732" s="105">
        <f t="shared" si="38"/>
        <v>0</v>
      </c>
      <c r="S732" s="108">
        <f t="shared" si="37"/>
        <v>0</v>
      </c>
      <c r="T732" s="105">
        <f t="shared" si="39"/>
        <v>0</v>
      </c>
      <c r="X732" s="115"/>
    </row>
    <row r="733" spans="1:24">
      <c r="A733" s="101"/>
      <c r="B733" s="101"/>
      <c r="C733" s="101"/>
      <c r="D733" s="101"/>
      <c r="E733" s="101"/>
      <c r="F733" s="102"/>
      <c r="G733" s="101"/>
      <c r="H733" s="102"/>
      <c r="I733" s="101"/>
      <c r="J733" s="101"/>
      <c r="K733" s="103"/>
      <c r="L733" s="103"/>
      <c r="M733" s="103"/>
      <c r="N733" s="103"/>
      <c r="O733" s="103"/>
      <c r="P733" s="98"/>
      <c r="Q733" s="99"/>
      <c r="R733" s="104">
        <f t="shared" si="38"/>
        <v>0</v>
      </c>
      <c r="S733" s="104">
        <f t="shared" si="37"/>
        <v>0</v>
      </c>
      <c r="T733" s="104">
        <f t="shared" si="39"/>
        <v>0</v>
      </c>
      <c r="X733" s="115"/>
    </row>
    <row r="734" spans="1:24">
      <c r="A734" s="101"/>
      <c r="B734" s="101"/>
      <c r="C734" s="101"/>
      <c r="D734" s="101"/>
      <c r="E734" s="101"/>
      <c r="F734" s="102"/>
      <c r="G734" s="101"/>
      <c r="H734" s="102"/>
      <c r="I734" s="101"/>
      <c r="J734" s="101"/>
      <c r="K734" s="103"/>
      <c r="L734" s="103"/>
      <c r="M734" s="103"/>
      <c r="N734" s="103"/>
      <c r="O734" s="103"/>
      <c r="P734" s="98"/>
      <c r="Q734" s="99"/>
      <c r="R734" s="105">
        <f t="shared" si="38"/>
        <v>0</v>
      </c>
      <c r="S734" s="108">
        <f t="shared" si="37"/>
        <v>0</v>
      </c>
      <c r="T734" s="105">
        <f t="shared" si="39"/>
        <v>0</v>
      </c>
      <c r="X734" s="115"/>
    </row>
    <row r="735" spans="1:24">
      <c r="A735" s="101"/>
      <c r="B735" s="101"/>
      <c r="C735" s="101"/>
      <c r="D735" s="101"/>
      <c r="E735" s="101"/>
      <c r="F735" s="102"/>
      <c r="G735" s="101"/>
      <c r="H735" s="102"/>
      <c r="I735" s="101"/>
      <c r="J735" s="101"/>
      <c r="K735" s="103"/>
      <c r="L735" s="103"/>
      <c r="M735" s="103"/>
      <c r="N735" s="103"/>
      <c r="O735" s="103"/>
      <c r="P735" s="98"/>
      <c r="Q735" s="99"/>
      <c r="R735" s="104">
        <f t="shared" si="38"/>
        <v>0</v>
      </c>
      <c r="S735" s="104">
        <f t="shared" si="37"/>
        <v>0</v>
      </c>
      <c r="T735" s="104">
        <f t="shared" si="39"/>
        <v>0</v>
      </c>
      <c r="X735" s="115"/>
    </row>
    <row r="736" spans="1:24">
      <c r="A736" s="101"/>
      <c r="B736" s="101"/>
      <c r="C736" s="101"/>
      <c r="D736" s="101"/>
      <c r="E736" s="101"/>
      <c r="F736" s="102"/>
      <c r="G736" s="101"/>
      <c r="H736" s="102"/>
      <c r="I736" s="101"/>
      <c r="J736" s="101"/>
      <c r="K736" s="103"/>
      <c r="L736" s="103"/>
      <c r="M736" s="103"/>
      <c r="N736" s="103"/>
      <c r="O736" s="103"/>
      <c r="P736" s="98"/>
      <c r="Q736" s="99"/>
      <c r="R736" s="105">
        <f t="shared" si="38"/>
        <v>0</v>
      </c>
      <c r="S736" s="108">
        <f t="shared" si="37"/>
        <v>0</v>
      </c>
      <c r="T736" s="105">
        <f t="shared" si="39"/>
        <v>0</v>
      </c>
      <c r="X736" s="115"/>
    </row>
    <row r="737" spans="1:24">
      <c r="A737" s="101"/>
      <c r="B737" s="101"/>
      <c r="C737" s="101"/>
      <c r="D737" s="101"/>
      <c r="E737" s="101"/>
      <c r="F737" s="102"/>
      <c r="G737" s="101"/>
      <c r="H737" s="102"/>
      <c r="I737" s="101"/>
      <c r="J737" s="101"/>
      <c r="K737" s="103"/>
      <c r="L737" s="103"/>
      <c r="M737" s="103"/>
      <c r="N737" s="103"/>
      <c r="O737" s="103"/>
      <c r="P737" s="98"/>
      <c r="Q737" s="99"/>
      <c r="R737" s="104">
        <f t="shared" si="38"/>
        <v>0</v>
      </c>
      <c r="S737" s="104">
        <f t="shared" si="37"/>
        <v>0</v>
      </c>
      <c r="T737" s="104">
        <f t="shared" si="39"/>
        <v>0</v>
      </c>
      <c r="X737" s="115"/>
    </row>
    <row r="738" spans="1:24">
      <c r="A738" s="101"/>
      <c r="B738" s="101"/>
      <c r="C738" s="101"/>
      <c r="D738" s="101"/>
      <c r="E738" s="101"/>
      <c r="F738" s="102"/>
      <c r="G738" s="101"/>
      <c r="H738" s="102"/>
      <c r="I738" s="101"/>
      <c r="J738" s="101"/>
      <c r="K738" s="103"/>
      <c r="L738" s="103"/>
      <c r="M738" s="103"/>
      <c r="N738" s="103"/>
      <c r="O738" s="103"/>
      <c r="P738" s="98"/>
      <c r="Q738" s="99"/>
      <c r="R738" s="105">
        <f t="shared" si="38"/>
        <v>0</v>
      </c>
      <c r="S738" s="108">
        <f t="shared" si="37"/>
        <v>0</v>
      </c>
      <c r="T738" s="105">
        <f t="shared" si="39"/>
        <v>0</v>
      </c>
      <c r="X738" s="115"/>
    </row>
    <row r="739" spans="1:24">
      <c r="A739" s="101"/>
      <c r="B739" s="101"/>
      <c r="C739" s="101"/>
      <c r="D739" s="101"/>
      <c r="E739" s="101"/>
      <c r="F739" s="102"/>
      <c r="G739" s="101"/>
      <c r="H739" s="102"/>
      <c r="I739" s="101"/>
      <c r="J739" s="101"/>
      <c r="K739" s="103"/>
      <c r="L739" s="103"/>
      <c r="M739" s="103"/>
      <c r="N739" s="103"/>
      <c r="O739" s="103"/>
      <c r="P739" s="98"/>
      <c r="Q739" s="99"/>
      <c r="R739" s="104">
        <f t="shared" si="38"/>
        <v>0</v>
      </c>
      <c r="S739" s="104">
        <f t="shared" si="37"/>
        <v>0</v>
      </c>
      <c r="T739" s="104">
        <f t="shared" si="39"/>
        <v>0</v>
      </c>
      <c r="X739" s="115"/>
    </row>
    <row r="740" spans="1:24">
      <c r="A740" s="101"/>
      <c r="B740" s="101"/>
      <c r="C740" s="101"/>
      <c r="D740" s="101"/>
      <c r="E740" s="101"/>
      <c r="F740" s="102"/>
      <c r="G740" s="101"/>
      <c r="H740" s="102"/>
      <c r="I740" s="101"/>
      <c r="J740" s="101"/>
      <c r="K740" s="103"/>
      <c r="L740" s="103"/>
      <c r="M740" s="103"/>
      <c r="N740" s="103"/>
      <c r="O740" s="103"/>
      <c r="P740" s="98"/>
      <c r="Q740" s="99"/>
      <c r="R740" s="105">
        <f t="shared" si="38"/>
        <v>0</v>
      </c>
      <c r="S740" s="108">
        <f t="shared" si="37"/>
        <v>0</v>
      </c>
      <c r="T740" s="105">
        <f t="shared" si="39"/>
        <v>0</v>
      </c>
      <c r="X740" s="115"/>
    </row>
    <row r="741" spans="1:24">
      <c r="A741" s="101"/>
      <c r="B741" s="101"/>
      <c r="C741" s="101"/>
      <c r="D741" s="101"/>
      <c r="E741" s="101"/>
      <c r="F741" s="102"/>
      <c r="G741" s="101"/>
      <c r="H741" s="102"/>
      <c r="I741" s="101"/>
      <c r="J741" s="101"/>
      <c r="K741" s="103"/>
      <c r="L741" s="103"/>
      <c r="M741" s="103"/>
      <c r="N741" s="103"/>
      <c r="O741" s="103"/>
      <c r="P741" s="98"/>
      <c r="Q741" s="99"/>
      <c r="R741" s="104">
        <f t="shared" si="38"/>
        <v>0</v>
      </c>
      <c r="S741" s="104">
        <f t="shared" si="37"/>
        <v>0</v>
      </c>
      <c r="T741" s="104">
        <f t="shared" si="39"/>
        <v>0</v>
      </c>
      <c r="X741" s="115"/>
    </row>
    <row r="742" spans="1:24">
      <c r="A742" s="101"/>
      <c r="B742" s="101"/>
      <c r="C742" s="101"/>
      <c r="D742" s="101"/>
      <c r="E742" s="101"/>
      <c r="F742" s="102"/>
      <c r="G742" s="101"/>
      <c r="H742" s="102"/>
      <c r="I742" s="101"/>
      <c r="J742" s="101"/>
      <c r="K742" s="103"/>
      <c r="L742" s="103"/>
      <c r="M742" s="103"/>
      <c r="N742" s="103"/>
      <c r="O742" s="103"/>
      <c r="P742" s="98"/>
      <c r="Q742" s="99"/>
      <c r="R742" s="105">
        <f t="shared" si="38"/>
        <v>0</v>
      </c>
      <c r="S742" s="108">
        <f t="shared" si="37"/>
        <v>0</v>
      </c>
      <c r="T742" s="105">
        <f t="shared" si="39"/>
        <v>0</v>
      </c>
      <c r="X742" s="115"/>
    </row>
    <row r="743" spans="1:24">
      <c r="A743" s="101"/>
      <c r="B743" s="101"/>
      <c r="C743" s="101"/>
      <c r="D743" s="101"/>
      <c r="E743" s="101"/>
      <c r="F743" s="102"/>
      <c r="G743" s="101"/>
      <c r="H743" s="102"/>
      <c r="I743" s="101"/>
      <c r="J743" s="101"/>
      <c r="K743" s="103"/>
      <c r="L743" s="103"/>
      <c r="M743" s="103"/>
      <c r="N743" s="103"/>
      <c r="O743" s="103"/>
      <c r="P743" s="98"/>
      <c r="Q743" s="99"/>
      <c r="R743" s="104">
        <f t="shared" si="38"/>
        <v>0</v>
      </c>
      <c r="S743" s="104">
        <f t="shared" si="37"/>
        <v>0</v>
      </c>
      <c r="T743" s="104">
        <f t="shared" si="39"/>
        <v>0</v>
      </c>
      <c r="X743" s="115"/>
    </row>
    <row r="744" spans="1:24">
      <c r="A744" s="101"/>
      <c r="B744" s="101"/>
      <c r="C744" s="101"/>
      <c r="D744" s="101"/>
      <c r="E744" s="101"/>
      <c r="F744" s="102"/>
      <c r="G744" s="101"/>
      <c r="H744" s="102"/>
      <c r="I744" s="101"/>
      <c r="J744" s="101"/>
      <c r="K744" s="103"/>
      <c r="L744" s="103"/>
      <c r="M744" s="103"/>
      <c r="N744" s="103"/>
      <c r="O744" s="103"/>
      <c r="P744" s="98"/>
      <c r="Q744" s="99"/>
      <c r="R744" s="105">
        <f t="shared" si="38"/>
        <v>0</v>
      </c>
      <c r="S744" s="108">
        <f t="shared" si="37"/>
        <v>0</v>
      </c>
      <c r="T744" s="105">
        <f t="shared" si="39"/>
        <v>0</v>
      </c>
      <c r="X744" s="115"/>
    </row>
    <row r="745" spans="1:24">
      <c r="A745" s="101"/>
      <c r="B745" s="101"/>
      <c r="C745" s="101"/>
      <c r="D745" s="101"/>
      <c r="E745" s="101"/>
      <c r="F745" s="102"/>
      <c r="G745" s="101"/>
      <c r="H745" s="102"/>
      <c r="I745" s="101"/>
      <c r="J745" s="101"/>
      <c r="K745" s="103"/>
      <c r="L745" s="103"/>
      <c r="M745" s="103"/>
      <c r="N745" s="103"/>
      <c r="O745" s="103"/>
      <c r="P745" s="98"/>
      <c r="Q745" s="99"/>
      <c r="R745" s="104">
        <f t="shared" si="38"/>
        <v>0</v>
      </c>
      <c r="S745" s="104">
        <f t="shared" si="37"/>
        <v>0</v>
      </c>
      <c r="T745" s="104">
        <f t="shared" si="39"/>
        <v>0</v>
      </c>
      <c r="X745" s="115"/>
    </row>
    <row r="746" spans="1:24">
      <c r="A746" s="101"/>
      <c r="B746" s="101"/>
      <c r="C746" s="101"/>
      <c r="D746" s="101"/>
      <c r="E746" s="101"/>
      <c r="F746" s="102"/>
      <c r="G746" s="101"/>
      <c r="H746" s="102"/>
      <c r="I746" s="101"/>
      <c r="J746" s="101"/>
      <c r="K746" s="103"/>
      <c r="L746" s="103"/>
      <c r="M746" s="103"/>
      <c r="N746" s="103"/>
      <c r="O746" s="103"/>
      <c r="P746" s="98"/>
      <c r="Q746" s="99"/>
      <c r="R746" s="105">
        <f t="shared" si="38"/>
        <v>0</v>
      </c>
      <c r="S746" s="108">
        <f t="shared" si="37"/>
        <v>0</v>
      </c>
      <c r="T746" s="105">
        <f t="shared" si="39"/>
        <v>0</v>
      </c>
      <c r="X746" s="115"/>
    </row>
    <row r="747" spans="1:24">
      <c r="A747" s="101"/>
      <c r="B747" s="101"/>
      <c r="C747" s="101"/>
      <c r="D747" s="101"/>
      <c r="E747" s="101"/>
      <c r="F747" s="102"/>
      <c r="G747" s="101"/>
      <c r="H747" s="102"/>
      <c r="I747" s="101"/>
      <c r="J747" s="101"/>
      <c r="K747" s="103"/>
      <c r="L747" s="103"/>
      <c r="M747" s="103"/>
      <c r="N747" s="103"/>
      <c r="O747" s="103"/>
      <c r="P747" s="98"/>
      <c r="Q747" s="99"/>
      <c r="R747" s="104">
        <f t="shared" si="38"/>
        <v>0</v>
      </c>
      <c r="S747" s="104">
        <f t="shared" si="37"/>
        <v>0</v>
      </c>
      <c r="T747" s="104">
        <f t="shared" si="39"/>
        <v>0</v>
      </c>
      <c r="X747" s="115"/>
    </row>
    <row r="748" spans="1:24">
      <c r="A748" s="101"/>
      <c r="B748" s="101"/>
      <c r="C748" s="101"/>
      <c r="D748" s="101"/>
      <c r="E748" s="101"/>
      <c r="F748" s="102"/>
      <c r="G748" s="101"/>
      <c r="H748" s="102"/>
      <c r="I748" s="101"/>
      <c r="J748" s="101"/>
      <c r="K748" s="103"/>
      <c r="L748" s="103"/>
      <c r="M748" s="103"/>
      <c r="N748" s="103"/>
      <c r="O748" s="103"/>
      <c r="P748" s="98"/>
      <c r="Q748" s="99"/>
      <c r="R748" s="105">
        <f t="shared" si="38"/>
        <v>0</v>
      </c>
      <c r="S748" s="108">
        <f t="shared" si="37"/>
        <v>0</v>
      </c>
      <c r="T748" s="105">
        <f t="shared" si="39"/>
        <v>0</v>
      </c>
      <c r="X748" s="115"/>
    </row>
    <row r="749" spans="1:24">
      <c r="A749" s="101"/>
      <c r="B749" s="101"/>
      <c r="C749" s="101"/>
      <c r="D749" s="101"/>
      <c r="E749" s="101"/>
      <c r="F749" s="102"/>
      <c r="G749" s="101"/>
      <c r="H749" s="102"/>
      <c r="I749" s="101"/>
      <c r="J749" s="101"/>
      <c r="K749" s="103"/>
      <c r="L749" s="103"/>
      <c r="M749" s="103"/>
      <c r="N749" s="103"/>
      <c r="O749" s="103"/>
      <c r="P749" s="98"/>
      <c r="Q749" s="99"/>
      <c r="R749" s="104">
        <f t="shared" si="38"/>
        <v>0</v>
      </c>
      <c r="S749" s="104">
        <f t="shared" si="37"/>
        <v>0</v>
      </c>
      <c r="T749" s="104">
        <f t="shared" si="39"/>
        <v>0</v>
      </c>
      <c r="X749" s="115"/>
    </row>
    <row r="750" spans="1:24">
      <c r="A750" s="101"/>
      <c r="B750" s="101"/>
      <c r="C750" s="101"/>
      <c r="D750" s="101"/>
      <c r="E750" s="101"/>
      <c r="F750" s="102"/>
      <c r="G750" s="101"/>
      <c r="H750" s="102"/>
      <c r="I750" s="101"/>
      <c r="J750" s="101"/>
      <c r="K750" s="103"/>
      <c r="L750" s="103"/>
      <c r="M750" s="103"/>
      <c r="N750" s="103"/>
      <c r="O750" s="103"/>
      <c r="P750" s="98"/>
      <c r="Q750" s="99"/>
      <c r="R750" s="105">
        <f t="shared" si="38"/>
        <v>0</v>
      </c>
      <c r="S750" s="108">
        <f t="shared" si="37"/>
        <v>0</v>
      </c>
      <c r="T750" s="105">
        <f t="shared" si="39"/>
        <v>0</v>
      </c>
      <c r="X750" s="115"/>
    </row>
    <row r="751" spans="1:24">
      <c r="A751" s="101"/>
      <c r="B751" s="101"/>
      <c r="C751" s="101"/>
      <c r="D751" s="101"/>
      <c r="E751" s="101"/>
      <c r="F751" s="102"/>
      <c r="G751" s="101"/>
      <c r="H751" s="102"/>
      <c r="I751" s="101"/>
      <c r="J751" s="101"/>
      <c r="K751" s="103"/>
      <c r="L751" s="103"/>
      <c r="M751" s="103"/>
      <c r="N751" s="103"/>
      <c r="O751" s="103"/>
      <c r="P751" s="98"/>
      <c r="Q751" s="99"/>
      <c r="R751" s="104">
        <f t="shared" si="38"/>
        <v>0</v>
      </c>
      <c r="S751" s="104">
        <f t="shared" si="37"/>
        <v>0</v>
      </c>
      <c r="T751" s="104">
        <f t="shared" si="39"/>
        <v>0</v>
      </c>
      <c r="X751" s="115"/>
    </row>
    <row r="752" spans="1:24">
      <c r="A752" s="101"/>
      <c r="B752" s="101"/>
      <c r="C752" s="101"/>
      <c r="D752" s="101"/>
      <c r="E752" s="101"/>
      <c r="F752" s="102"/>
      <c r="G752" s="101"/>
      <c r="H752" s="102"/>
      <c r="I752" s="101"/>
      <c r="J752" s="101"/>
      <c r="K752" s="103"/>
      <c r="L752" s="103"/>
      <c r="M752" s="103"/>
      <c r="N752" s="103"/>
      <c r="O752" s="103"/>
      <c r="P752" s="98"/>
      <c r="Q752" s="99"/>
      <c r="R752" s="105">
        <f t="shared" si="38"/>
        <v>0</v>
      </c>
      <c r="S752" s="108">
        <f t="shared" si="37"/>
        <v>0</v>
      </c>
      <c r="T752" s="105">
        <f t="shared" si="39"/>
        <v>0</v>
      </c>
      <c r="X752" s="115"/>
    </row>
    <row r="753" spans="1:24">
      <c r="A753" s="101"/>
      <c r="B753" s="101"/>
      <c r="C753" s="101"/>
      <c r="D753" s="101"/>
      <c r="E753" s="101"/>
      <c r="F753" s="102"/>
      <c r="G753" s="101"/>
      <c r="H753" s="102"/>
      <c r="I753" s="101"/>
      <c r="J753" s="101"/>
      <c r="K753" s="103"/>
      <c r="L753" s="103"/>
      <c r="M753" s="103"/>
      <c r="N753" s="103"/>
      <c r="O753" s="103"/>
      <c r="P753" s="98"/>
      <c r="Q753" s="99"/>
      <c r="R753" s="104">
        <f t="shared" si="38"/>
        <v>0</v>
      </c>
      <c r="S753" s="104">
        <f t="shared" si="37"/>
        <v>0</v>
      </c>
      <c r="T753" s="104">
        <f t="shared" si="39"/>
        <v>0</v>
      </c>
      <c r="X753" s="115"/>
    </row>
    <row r="754" spans="1:24">
      <c r="A754" s="101"/>
      <c r="B754" s="101"/>
      <c r="C754" s="101"/>
      <c r="D754" s="101"/>
      <c r="E754" s="101"/>
      <c r="F754" s="102"/>
      <c r="G754" s="101"/>
      <c r="H754" s="102"/>
      <c r="I754" s="101"/>
      <c r="J754" s="101"/>
      <c r="K754" s="103"/>
      <c r="L754" s="103"/>
      <c r="M754" s="103"/>
      <c r="N754" s="103"/>
      <c r="O754" s="103"/>
      <c r="P754" s="98"/>
      <c r="Q754" s="99"/>
      <c r="R754" s="105">
        <f t="shared" si="38"/>
        <v>0</v>
      </c>
      <c r="S754" s="108">
        <f t="shared" si="37"/>
        <v>0</v>
      </c>
      <c r="T754" s="105">
        <f t="shared" si="39"/>
        <v>0</v>
      </c>
      <c r="X754" s="115"/>
    </row>
    <row r="755" spans="1:24">
      <c r="A755" s="101"/>
      <c r="B755" s="101"/>
      <c r="C755" s="101"/>
      <c r="D755" s="101"/>
      <c r="E755" s="101"/>
      <c r="F755" s="102"/>
      <c r="G755" s="101"/>
      <c r="H755" s="102"/>
      <c r="I755" s="101"/>
      <c r="J755" s="101"/>
      <c r="K755" s="103"/>
      <c r="L755" s="103"/>
      <c r="M755" s="103"/>
      <c r="N755" s="103"/>
      <c r="O755" s="103"/>
      <c r="P755" s="98"/>
      <c r="Q755" s="99"/>
      <c r="R755" s="104">
        <f t="shared" si="38"/>
        <v>0</v>
      </c>
      <c r="S755" s="104">
        <f t="shared" si="37"/>
        <v>0</v>
      </c>
      <c r="T755" s="104">
        <f t="shared" si="39"/>
        <v>0</v>
      </c>
      <c r="X755" s="115"/>
    </row>
    <row r="756" spans="1:24">
      <c r="A756" s="101"/>
      <c r="B756" s="101"/>
      <c r="C756" s="101"/>
      <c r="D756" s="101"/>
      <c r="E756" s="101"/>
      <c r="F756" s="102"/>
      <c r="G756" s="101"/>
      <c r="H756" s="102"/>
      <c r="I756" s="101"/>
      <c r="J756" s="101"/>
      <c r="K756" s="103"/>
      <c r="L756" s="103"/>
      <c r="M756" s="103"/>
      <c r="N756" s="103"/>
      <c r="O756" s="103"/>
      <c r="P756" s="98"/>
      <c r="Q756" s="99"/>
      <c r="R756" s="105">
        <f t="shared" si="38"/>
        <v>0</v>
      </c>
      <c r="S756" s="108">
        <f t="shared" si="37"/>
        <v>0</v>
      </c>
      <c r="T756" s="105">
        <f t="shared" si="39"/>
        <v>0</v>
      </c>
      <c r="X756" s="115"/>
    </row>
    <row r="757" spans="1:24">
      <c r="A757" s="101"/>
      <c r="B757" s="101"/>
      <c r="C757" s="101"/>
      <c r="D757" s="101"/>
      <c r="E757" s="101"/>
      <c r="F757" s="102"/>
      <c r="G757" s="101"/>
      <c r="H757" s="102"/>
      <c r="I757" s="101"/>
      <c r="J757" s="101"/>
      <c r="K757" s="103"/>
      <c r="L757" s="103"/>
      <c r="M757" s="103"/>
      <c r="N757" s="103"/>
      <c r="O757" s="103"/>
      <c r="P757" s="98"/>
      <c r="Q757" s="99"/>
      <c r="R757" s="104">
        <f t="shared" si="38"/>
        <v>0</v>
      </c>
      <c r="S757" s="104">
        <f t="shared" si="37"/>
        <v>0</v>
      </c>
      <c r="T757" s="104">
        <f t="shared" si="39"/>
        <v>0</v>
      </c>
      <c r="X757" s="115"/>
    </row>
    <row r="758" spans="1:24">
      <c r="A758" s="101"/>
      <c r="B758" s="101"/>
      <c r="C758" s="101"/>
      <c r="D758" s="101"/>
      <c r="E758" s="101"/>
      <c r="F758" s="102"/>
      <c r="G758" s="101"/>
      <c r="H758" s="102"/>
      <c r="I758" s="101"/>
      <c r="J758" s="101"/>
      <c r="K758" s="103"/>
      <c r="L758" s="103"/>
      <c r="M758" s="103"/>
      <c r="N758" s="103"/>
      <c r="O758" s="103"/>
      <c r="P758" s="98"/>
      <c r="Q758" s="99"/>
      <c r="R758" s="105">
        <f t="shared" si="38"/>
        <v>0</v>
      </c>
      <c r="S758" s="108">
        <f t="shared" si="37"/>
        <v>0</v>
      </c>
      <c r="T758" s="105">
        <f t="shared" si="39"/>
        <v>0</v>
      </c>
      <c r="X758" s="115"/>
    </row>
    <row r="759" spans="1:24">
      <c r="A759" s="101"/>
      <c r="B759" s="101"/>
      <c r="C759" s="101"/>
      <c r="D759" s="101"/>
      <c r="E759" s="101"/>
      <c r="F759" s="102"/>
      <c r="G759" s="101"/>
      <c r="H759" s="102"/>
      <c r="I759" s="101"/>
      <c r="J759" s="101"/>
      <c r="K759" s="103"/>
      <c r="L759" s="103"/>
      <c r="M759" s="103"/>
      <c r="N759" s="103"/>
      <c r="O759" s="103"/>
      <c r="P759" s="98"/>
      <c r="Q759" s="99"/>
      <c r="R759" s="104">
        <f t="shared" si="38"/>
        <v>0</v>
      </c>
      <c r="S759" s="104">
        <f t="shared" si="37"/>
        <v>0</v>
      </c>
      <c r="T759" s="104">
        <f t="shared" si="39"/>
        <v>0</v>
      </c>
      <c r="X759" s="115"/>
    </row>
    <row r="760" spans="1:24">
      <c r="A760" s="101"/>
      <c r="B760" s="101"/>
      <c r="C760" s="101"/>
      <c r="D760" s="101"/>
      <c r="E760" s="101"/>
      <c r="F760" s="102"/>
      <c r="G760" s="101"/>
      <c r="H760" s="102"/>
      <c r="I760" s="101"/>
      <c r="J760" s="101"/>
      <c r="K760" s="103"/>
      <c r="L760" s="103"/>
      <c r="M760" s="103"/>
      <c r="N760" s="103"/>
      <c r="O760" s="103"/>
      <c r="P760" s="98"/>
      <c r="Q760" s="99"/>
      <c r="R760" s="105">
        <f t="shared" si="38"/>
        <v>0</v>
      </c>
      <c r="S760" s="108">
        <f t="shared" si="37"/>
        <v>0</v>
      </c>
      <c r="T760" s="105">
        <f t="shared" si="39"/>
        <v>0</v>
      </c>
      <c r="X760" s="115"/>
    </row>
    <row r="761" spans="1:24">
      <c r="A761" s="101"/>
      <c r="B761" s="101"/>
      <c r="C761" s="101"/>
      <c r="D761" s="101"/>
      <c r="E761" s="101"/>
      <c r="F761" s="102"/>
      <c r="G761" s="101"/>
      <c r="H761" s="102"/>
      <c r="I761" s="101"/>
      <c r="J761" s="101"/>
      <c r="K761" s="103"/>
      <c r="L761" s="103"/>
      <c r="M761" s="103"/>
      <c r="N761" s="103"/>
      <c r="O761" s="103"/>
      <c r="P761" s="98"/>
      <c r="Q761" s="99"/>
      <c r="R761" s="104">
        <f t="shared" si="38"/>
        <v>0</v>
      </c>
      <c r="S761" s="104">
        <f t="shared" si="37"/>
        <v>0</v>
      </c>
      <c r="T761" s="104">
        <f t="shared" si="39"/>
        <v>0</v>
      </c>
      <c r="X761" s="115"/>
    </row>
    <row r="762" spans="1:24">
      <c r="A762" s="101"/>
      <c r="B762" s="101"/>
      <c r="C762" s="101"/>
      <c r="D762" s="101"/>
      <c r="E762" s="101"/>
      <c r="F762" s="102"/>
      <c r="G762" s="101"/>
      <c r="H762" s="102"/>
      <c r="I762" s="101"/>
      <c r="J762" s="101"/>
      <c r="K762" s="103"/>
      <c r="L762" s="103"/>
      <c r="M762" s="103"/>
      <c r="N762" s="103"/>
      <c r="O762" s="103"/>
      <c r="P762" s="98"/>
      <c r="Q762" s="99"/>
      <c r="R762" s="105">
        <f t="shared" si="38"/>
        <v>0</v>
      </c>
      <c r="S762" s="108">
        <f t="shared" si="37"/>
        <v>0</v>
      </c>
      <c r="T762" s="105">
        <f t="shared" si="39"/>
        <v>0</v>
      </c>
      <c r="X762" s="115"/>
    </row>
    <row r="763" spans="1:24">
      <c r="A763" s="101"/>
      <c r="B763" s="101"/>
      <c r="C763" s="101"/>
      <c r="D763" s="101"/>
      <c r="E763" s="101"/>
      <c r="F763" s="102"/>
      <c r="G763" s="101"/>
      <c r="H763" s="102"/>
      <c r="I763" s="101"/>
      <c r="J763" s="101"/>
      <c r="K763" s="103"/>
      <c r="L763" s="103"/>
      <c r="M763" s="103"/>
      <c r="N763" s="103"/>
      <c r="O763" s="103"/>
      <c r="P763" s="98"/>
      <c r="Q763" s="99"/>
      <c r="R763" s="104">
        <f t="shared" si="38"/>
        <v>0</v>
      </c>
      <c r="S763" s="104">
        <f t="shared" si="37"/>
        <v>0</v>
      </c>
      <c r="T763" s="104">
        <f t="shared" si="39"/>
        <v>0</v>
      </c>
      <c r="X763" s="115"/>
    </row>
    <row r="764" spans="1:24">
      <c r="A764" s="101"/>
      <c r="B764" s="101"/>
      <c r="C764" s="101"/>
      <c r="D764" s="101"/>
      <c r="E764" s="101"/>
      <c r="F764" s="102"/>
      <c r="G764" s="101"/>
      <c r="H764" s="102"/>
      <c r="I764" s="101"/>
      <c r="J764" s="101"/>
      <c r="K764" s="103"/>
      <c r="L764" s="103"/>
      <c r="M764" s="103"/>
      <c r="N764" s="103"/>
      <c r="O764" s="103"/>
      <c r="P764" s="98"/>
      <c r="Q764" s="99"/>
      <c r="R764" s="105">
        <f t="shared" si="38"/>
        <v>0</v>
      </c>
      <c r="S764" s="108">
        <f t="shared" si="37"/>
        <v>0</v>
      </c>
      <c r="T764" s="105">
        <f t="shared" si="39"/>
        <v>0</v>
      </c>
      <c r="X764" s="115"/>
    </row>
    <row r="765" spans="1:24">
      <c r="A765" s="101"/>
      <c r="B765" s="101"/>
      <c r="C765" s="101"/>
      <c r="D765" s="101"/>
      <c r="E765" s="101"/>
      <c r="F765" s="102"/>
      <c r="G765" s="101"/>
      <c r="H765" s="102"/>
      <c r="I765" s="101"/>
      <c r="J765" s="101"/>
      <c r="K765" s="103"/>
      <c r="L765" s="103"/>
      <c r="M765" s="103"/>
      <c r="N765" s="103"/>
      <c r="O765" s="103"/>
      <c r="P765" s="98"/>
      <c r="Q765" s="99"/>
      <c r="R765" s="104">
        <f t="shared" si="38"/>
        <v>0</v>
      </c>
      <c r="S765" s="104">
        <f t="shared" si="37"/>
        <v>0</v>
      </c>
      <c r="T765" s="104">
        <f t="shared" si="39"/>
        <v>0</v>
      </c>
      <c r="X765" s="115"/>
    </row>
    <row r="766" spans="1:24">
      <c r="A766" s="101"/>
      <c r="B766" s="101"/>
      <c r="C766" s="101"/>
      <c r="D766" s="101"/>
      <c r="E766" s="101"/>
      <c r="F766" s="102"/>
      <c r="G766" s="101"/>
      <c r="H766" s="102"/>
      <c r="I766" s="101"/>
      <c r="J766" s="101"/>
      <c r="K766" s="103"/>
      <c r="L766" s="103"/>
      <c r="M766" s="103"/>
      <c r="N766" s="103"/>
      <c r="O766" s="103"/>
      <c r="P766" s="98"/>
      <c r="Q766" s="99"/>
      <c r="R766" s="105">
        <f t="shared" si="38"/>
        <v>0</v>
      </c>
      <c r="S766" s="108">
        <f t="shared" si="37"/>
        <v>0</v>
      </c>
      <c r="T766" s="105">
        <f t="shared" si="39"/>
        <v>0</v>
      </c>
      <c r="X766" s="115"/>
    </row>
    <row r="767" spans="1:24">
      <c r="A767" s="101"/>
      <c r="B767" s="101"/>
      <c r="C767" s="101"/>
      <c r="D767" s="101"/>
      <c r="E767" s="101"/>
      <c r="F767" s="102"/>
      <c r="G767" s="101"/>
      <c r="H767" s="102"/>
      <c r="I767" s="101"/>
      <c r="J767" s="101"/>
      <c r="K767" s="103"/>
      <c r="L767" s="103"/>
      <c r="M767" s="103"/>
      <c r="N767" s="103"/>
      <c r="O767" s="103"/>
      <c r="P767" s="98"/>
      <c r="Q767" s="99"/>
      <c r="R767" s="104">
        <f t="shared" si="38"/>
        <v>0</v>
      </c>
      <c r="S767" s="104">
        <f t="shared" si="37"/>
        <v>0</v>
      </c>
      <c r="T767" s="104">
        <f t="shared" si="39"/>
        <v>0</v>
      </c>
      <c r="X767" s="115"/>
    </row>
    <row r="768" spans="1:24">
      <c r="A768" s="101"/>
      <c r="B768" s="101"/>
      <c r="C768" s="101"/>
      <c r="D768" s="101"/>
      <c r="E768" s="101"/>
      <c r="F768" s="102"/>
      <c r="G768" s="101"/>
      <c r="H768" s="102"/>
      <c r="I768" s="101"/>
      <c r="J768" s="101"/>
      <c r="K768" s="103"/>
      <c r="L768" s="103"/>
      <c r="M768" s="103"/>
      <c r="N768" s="103"/>
      <c r="O768" s="103"/>
      <c r="P768" s="98"/>
      <c r="Q768" s="99"/>
      <c r="R768" s="105">
        <f t="shared" si="38"/>
        <v>0</v>
      </c>
      <c r="S768" s="108">
        <f t="shared" si="37"/>
        <v>0</v>
      </c>
      <c r="T768" s="105">
        <f t="shared" si="39"/>
        <v>0</v>
      </c>
      <c r="X768" s="115"/>
    </row>
    <row r="769" spans="1:24">
      <c r="A769" s="101"/>
      <c r="B769" s="101"/>
      <c r="C769" s="101"/>
      <c r="D769" s="101"/>
      <c r="E769" s="101"/>
      <c r="F769" s="102"/>
      <c r="G769" s="101"/>
      <c r="H769" s="102"/>
      <c r="I769" s="101"/>
      <c r="J769" s="101"/>
      <c r="K769" s="103"/>
      <c r="L769" s="103"/>
      <c r="M769" s="103"/>
      <c r="N769" s="103"/>
      <c r="O769" s="103"/>
      <c r="P769" s="98"/>
      <c r="Q769" s="99"/>
      <c r="R769" s="104">
        <f t="shared" si="38"/>
        <v>0</v>
      </c>
      <c r="S769" s="104">
        <f t="shared" si="37"/>
        <v>0</v>
      </c>
      <c r="T769" s="104">
        <f t="shared" si="39"/>
        <v>0</v>
      </c>
      <c r="X769" s="115"/>
    </row>
    <row r="770" spans="1:24">
      <c r="A770" s="101"/>
      <c r="B770" s="101"/>
      <c r="C770" s="101"/>
      <c r="D770" s="101"/>
      <c r="E770" s="101"/>
      <c r="F770" s="102"/>
      <c r="G770" s="101"/>
      <c r="H770" s="102"/>
      <c r="I770" s="101"/>
      <c r="J770" s="101"/>
      <c r="K770" s="103"/>
      <c r="L770" s="103"/>
      <c r="M770" s="103"/>
      <c r="N770" s="103"/>
      <c r="O770" s="103"/>
      <c r="P770" s="98"/>
      <c r="Q770" s="99"/>
      <c r="R770" s="105">
        <f t="shared" si="38"/>
        <v>0</v>
      </c>
      <c r="S770" s="108">
        <f t="shared" si="37"/>
        <v>0</v>
      </c>
      <c r="T770" s="105">
        <f t="shared" si="39"/>
        <v>0</v>
      </c>
      <c r="X770" s="115"/>
    </row>
    <row r="771" spans="1:24">
      <c r="A771" s="101"/>
      <c r="B771" s="101"/>
      <c r="C771" s="101"/>
      <c r="D771" s="101"/>
      <c r="E771" s="101"/>
      <c r="F771" s="102"/>
      <c r="G771" s="101"/>
      <c r="H771" s="102"/>
      <c r="I771" s="101"/>
      <c r="J771" s="101"/>
      <c r="K771" s="103"/>
      <c r="L771" s="103"/>
      <c r="M771" s="103"/>
      <c r="N771" s="103"/>
      <c r="O771" s="103"/>
      <c r="P771" s="98"/>
      <c r="Q771" s="99"/>
      <c r="R771" s="104">
        <f t="shared" si="38"/>
        <v>0</v>
      </c>
      <c r="S771" s="104">
        <f t="shared" si="37"/>
        <v>0</v>
      </c>
      <c r="T771" s="104">
        <f t="shared" si="39"/>
        <v>0</v>
      </c>
      <c r="X771" s="115"/>
    </row>
    <row r="772" spans="1:24">
      <c r="A772" s="101"/>
      <c r="B772" s="101"/>
      <c r="C772" s="101"/>
      <c r="D772" s="101"/>
      <c r="E772" s="101"/>
      <c r="F772" s="102"/>
      <c r="G772" s="101"/>
      <c r="H772" s="102"/>
      <c r="I772" s="101"/>
      <c r="J772" s="101"/>
      <c r="K772" s="103"/>
      <c r="L772" s="103"/>
      <c r="M772" s="103"/>
      <c r="N772" s="103"/>
      <c r="O772" s="103"/>
      <c r="P772" s="98"/>
      <c r="Q772" s="99"/>
      <c r="R772" s="105">
        <f t="shared" si="38"/>
        <v>0</v>
      </c>
      <c r="S772" s="108">
        <f t="shared" ref="S772:S835" si="40">IF(P772="Abono",K772+L772+M772-N772-O772,0)</f>
        <v>0</v>
      </c>
      <c r="T772" s="105">
        <f t="shared" si="39"/>
        <v>0</v>
      </c>
      <c r="X772" s="115"/>
    </row>
    <row r="773" spans="1:24">
      <c r="A773" s="101"/>
      <c r="B773" s="101"/>
      <c r="C773" s="101"/>
      <c r="D773" s="101"/>
      <c r="E773" s="101"/>
      <c r="F773" s="102"/>
      <c r="G773" s="101"/>
      <c r="H773" s="102"/>
      <c r="I773" s="101"/>
      <c r="J773" s="101"/>
      <c r="K773" s="103"/>
      <c r="L773" s="103"/>
      <c r="M773" s="103"/>
      <c r="N773" s="103"/>
      <c r="O773" s="103"/>
      <c r="P773" s="98"/>
      <c r="Q773" s="99"/>
      <c r="R773" s="104">
        <f t="shared" ref="R773:R836" si="41">IF(P773="Cargo",K773+L773-M773-N773+O773,0)</f>
        <v>0</v>
      </c>
      <c r="S773" s="104">
        <f t="shared" si="40"/>
        <v>0</v>
      </c>
      <c r="T773" s="104">
        <f t="shared" ref="T773:T836" si="42">IF(Q773="OK",+T772+R773-S773,T772)</f>
        <v>0</v>
      </c>
      <c r="X773" s="115"/>
    </row>
    <row r="774" spans="1:24">
      <c r="A774" s="101"/>
      <c r="B774" s="101"/>
      <c r="C774" s="101"/>
      <c r="D774" s="101"/>
      <c r="E774" s="101"/>
      <c r="F774" s="102"/>
      <c r="G774" s="101"/>
      <c r="H774" s="102"/>
      <c r="I774" s="101"/>
      <c r="J774" s="101"/>
      <c r="K774" s="103"/>
      <c r="L774" s="103"/>
      <c r="M774" s="103"/>
      <c r="N774" s="103"/>
      <c r="O774" s="103"/>
      <c r="P774" s="98"/>
      <c r="Q774" s="99"/>
      <c r="R774" s="105">
        <f t="shared" si="41"/>
        <v>0</v>
      </c>
      <c r="S774" s="108">
        <f t="shared" si="40"/>
        <v>0</v>
      </c>
      <c r="T774" s="105">
        <f t="shared" si="42"/>
        <v>0</v>
      </c>
      <c r="X774" s="115"/>
    </row>
    <row r="775" spans="1:24">
      <c r="A775" s="101"/>
      <c r="B775" s="101"/>
      <c r="C775" s="101"/>
      <c r="D775" s="101"/>
      <c r="E775" s="101"/>
      <c r="F775" s="102"/>
      <c r="G775" s="101"/>
      <c r="H775" s="102"/>
      <c r="I775" s="101"/>
      <c r="J775" s="101"/>
      <c r="K775" s="103"/>
      <c r="L775" s="103"/>
      <c r="M775" s="103"/>
      <c r="N775" s="103"/>
      <c r="O775" s="103"/>
      <c r="P775" s="98"/>
      <c r="Q775" s="99"/>
      <c r="R775" s="104">
        <f t="shared" si="41"/>
        <v>0</v>
      </c>
      <c r="S775" s="104">
        <f t="shared" si="40"/>
        <v>0</v>
      </c>
      <c r="T775" s="104">
        <f t="shared" si="42"/>
        <v>0</v>
      </c>
      <c r="X775" s="115"/>
    </row>
    <row r="776" spans="1:24">
      <c r="A776" s="101"/>
      <c r="B776" s="101"/>
      <c r="C776" s="101"/>
      <c r="D776" s="101"/>
      <c r="E776" s="101"/>
      <c r="F776" s="102"/>
      <c r="G776" s="101"/>
      <c r="H776" s="102"/>
      <c r="I776" s="101"/>
      <c r="J776" s="101"/>
      <c r="K776" s="103"/>
      <c r="L776" s="103"/>
      <c r="M776" s="103"/>
      <c r="N776" s="103"/>
      <c r="O776" s="103"/>
      <c r="P776" s="98"/>
      <c r="Q776" s="99"/>
      <c r="R776" s="105">
        <f t="shared" si="41"/>
        <v>0</v>
      </c>
      <c r="S776" s="108">
        <f t="shared" si="40"/>
        <v>0</v>
      </c>
      <c r="T776" s="105">
        <f t="shared" si="42"/>
        <v>0</v>
      </c>
      <c r="X776" s="115"/>
    </row>
    <row r="777" spans="1:24">
      <c r="A777" s="101"/>
      <c r="B777" s="101"/>
      <c r="C777" s="101"/>
      <c r="D777" s="101"/>
      <c r="E777" s="101"/>
      <c r="F777" s="102"/>
      <c r="G777" s="101"/>
      <c r="H777" s="102"/>
      <c r="I777" s="101"/>
      <c r="J777" s="101"/>
      <c r="K777" s="103"/>
      <c r="L777" s="103"/>
      <c r="M777" s="103"/>
      <c r="N777" s="103"/>
      <c r="O777" s="103"/>
      <c r="P777" s="98"/>
      <c r="Q777" s="99"/>
      <c r="R777" s="104">
        <f t="shared" si="41"/>
        <v>0</v>
      </c>
      <c r="S777" s="104">
        <f t="shared" si="40"/>
        <v>0</v>
      </c>
      <c r="T777" s="104">
        <f t="shared" si="42"/>
        <v>0</v>
      </c>
      <c r="X777" s="115"/>
    </row>
    <row r="778" spans="1:24">
      <c r="A778" s="101"/>
      <c r="B778" s="101"/>
      <c r="C778" s="101"/>
      <c r="D778" s="101"/>
      <c r="E778" s="101"/>
      <c r="F778" s="102"/>
      <c r="G778" s="101"/>
      <c r="H778" s="102"/>
      <c r="I778" s="101"/>
      <c r="J778" s="101"/>
      <c r="K778" s="103"/>
      <c r="L778" s="103"/>
      <c r="M778" s="103"/>
      <c r="N778" s="103"/>
      <c r="O778" s="103"/>
      <c r="P778" s="98"/>
      <c r="Q778" s="99"/>
      <c r="R778" s="105">
        <f t="shared" si="41"/>
        <v>0</v>
      </c>
      <c r="S778" s="108">
        <f t="shared" si="40"/>
        <v>0</v>
      </c>
      <c r="T778" s="105">
        <f t="shared" si="42"/>
        <v>0</v>
      </c>
      <c r="X778" s="115"/>
    </row>
    <row r="779" spans="1:24">
      <c r="A779" s="101"/>
      <c r="B779" s="101"/>
      <c r="C779" s="101"/>
      <c r="D779" s="101"/>
      <c r="E779" s="101"/>
      <c r="F779" s="102"/>
      <c r="G779" s="101"/>
      <c r="H779" s="102"/>
      <c r="I779" s="101"/>
      <c r="J779" s="101"/>
      <c r="K779" s="103"/>
      <c r="L779" s="103"/>
      <c r="M779" s="103"/>
      <c r="N779" s="103"/>
      <c r="O779" s="103"/>
      <c r="P779" s="98"/>
      <c r="Q779" s="99"/>
      <c r="R779" s="104">
        <f t="shared" si="41"/>
        <v>0</v>
      </c>
      <c r="S779" s="104">
        <f t="shared" si="40"/>
        <v>0</v>
      </c>
      <c r="T779" s="104">
        <f t="shared" si="42"/>
        <v>0</v>
      </c>
      <c r="X779" s="115"/>
    </row>
    <row r="780" spans="1:24">
      <c r="A780" s="101"/>
      <c r="B780" s="101"/>
      <c r="C780" s="101"/>
      <c r="D780" s="101"/>
      <c r="E780" s="101"/>
      <c r="F780" s="102"/>
      <c r="G780" s="101"/>
      <c r="H780" s="102"/>
      <c r="I780" s="101"/>
      <c r="J780" s="101"/>
      <c r="K780" s="103"/>
      <c r="L780" s="103"/>
      <c r="M780" s="103"/>
      <c r="N780" s="103"/>
      <c r="O780" s="103"/>
      <c r="P780" s="98"/>
      <c r="Q780" s="99"/>
      <c r="R780" s="105">
        <f t="shared" si="41"/>
        <v>0</v>
      </c>
      <c r="S780" s="108">
        <f t="shared" si="40"/>
        <v>0</v>
      </c>
      <c r="T780" s="105">
        <f t="shared" si="42"/>
        <v>0</v>
      </c>
      <c r="X780" s="115"/>
    </row>
    <row r="781" spans="1:24">
      <c r="A781" s="101"/>
      <c r="B781" s="101"/>
      <c r="C781" s="101"/>
      <c r="D781" s="101"/>
      <c r="E781" s="101"/>
      <c r="F781" s="102"/>
      <c r="G781" s="101"/>
      <c r="H781" s="102"/>
      <c r="I781" s="101"/>
      <c r="J781" s="101"/>
      <c r="K781" s="103"/>
      <c r="L781" s="103"/>
      <c r="M781" s="103"/>
      <c r="N781" s="103"/>
      <c r="O781" s="103"/>
      <c r="P781" s="98"/>
      <c r="Q781" s="99"/>
      <c r="R781" s="104">
        <f t="shared" si="41"/>
        <v>0</v>
      </c>
      <c r="S781" s="104">
        <f t="shared" si="40"/>
        <v>0</v>
      </c>
      <c r="T781" s="104">
        <f t="shared" si="42"/>
        <v>0</v>
      </c>
      <c r="X781" s="115"/>
    </row>
    <row r="782" spans="1:24">
      <c r="A782" s="101"/>
      <c r="B782" s="101"/>
      <c r="C782" s="101"/>
      <c r="D782" s="101"/>
      <c r="E782" s="101"/>
      <c r="F782" s="102"/>
      <c r="G782" s="101"/>
      <c r="H782" s="102"/>
      <c r="I782" s="101"/>
      <c r="J782" s="101"/>
      <c r="K782" s="103"/>
      <c r="L782" s="103"/>
      <c r="M782" s="103"/>
      <c r="N782" s="103"/>
      <c r="O782" s="103"/>
      <c r="P782" s="98"/>
      <c r="Q782" s="99"/>
      <c r="R782" s="105">
        <f t="shared" si="41"/>
        <v>0</v>
      </c>
      <c r="S782" s="108">
        <f t="shared" si="40"/>
        <v>0</v>
      </c>
      <c r="T782" s="105">
        <f t="shared" si="42"/>
        <v>0</v>
      </c>
      <c r="X782" s="115"/>
    </row>
    <row r="783" spans="1:24">
      <c r="A783" s="101"/>
      <c r="B783" s="101"/>
      <c r="C783" s="101"/>
      <c r="D783" s="101"/>
      <c r="E783" s="101"/>
      <c r="F783" s="102"/>
      <c r="G783" s="101"/>
      <c r="H783" s="102"/>
      <c r="I783" s="101"/>
      <c r="J783" s="101"/>
      <c r="K783" s="103"/>
      <c r="L783" s="103"/>
      <c r="M783" s="103"/>
      <c r="N783" s="103"/>
      <c r="O783" s="103"/>
      <c r="P783" s="98"/>
      <c r="Q783" s="99"/>
      <c r="R783" s="104">
        <f t="shared" si="41"/>
        <v>0</v>
      </c>
      <c r="S783" s="104">
        <f t="shared" si="40"/>
        <v>0</v>
      </c>
      <c r="T783" s="104">
        <f t="shared" si="42"/>
        <v>0</v>
      </c>
      <c r="X783" s="115"/>
    </row>
    <row r="784" spans="1:24">
      <c r="A784" s="101"/>
      <c r="B784" s="101"/>
      <c r="C784" s="101"/>
      <c r="D784" s="101"/>
      <c r="E784" s="101"/>
      <c r="F784" s="102"/>
      <c r="G784" s="101"/>
      <c r="H784" s="102"/>
      <c r="I784" s="101"/>
      <c r="J784" s="101"/>
      <c r="K784" s="103"/>
      <c r="L784" s="103"/>
      <c r="M784" s="103"/>
      <c r="N784" s="103"/>
      <c r="O784" s="103"/>
      <c r="P784" s="98"/>
      <c r="Q784" s="99"/>
      <c r="R784" s="105">
        <f t="shared" si="41"/>
        <v>0</v>
      </c>
      <c r="S784" s="108">
        <f t="shared" si="40"/>
        <v>0</v>
      </c>
      <c r="T784" s="105">
        <f t="shared" si="42"/>
        <v>0</v>
      </c>
      <c r="X784" s="115"/>
    </row>
    <row r="785" spans="1:24">
      <c r="A785" s="101"/>
      <c r="B785" s="101"/>
      <c r="C785" s="101"/>
      <c r="D785" s="101"/>
      <c r="E785" s="101"/>
      <c r="F785" s="102"/>
      <c r="G785" s="101"/>
      <c r="H785" s="102"/>
      <c r="I785" s="101"/>
      <c r="J785" s="101"/>
      <c r="K785" s="103"/>
      <c r="L785" s="103"/>
      <c r="M785" s="103"/>
      <c r="N785" s="103"/>
      <c r="O785" s="103"/>
      <c r="P785" s="98"/>
      <c r="Q785" s="99"/>
      <c r="R785" s="104">
        <f t="shared" si="41"/>
        <v>0</v>
      </c>
      <c r="S785" s="104">
        <f t="shared" si="40"/>
        <v>0</v>
      </c>
      <c r="T785" s="104">
        <f t="shared" si="42"/>
        <v>0</v>
      </c>
      <c r="X785" s="115"/>
    </row>
    <row r="786" spans="1:24">
      <c r="A786" s="101"/>
      <c r="B786" s="101"/>
      <c r="C786" s="101"/>
      <c r="D786" s="101"/>
      <c r="E786" s="101"/>
      <c r="F786" s="102"/>
      <c r="G786" s="101"/>
      <c r="H786" s="102"/>
      <c r="I786" s="101"/>
      <c r="J786" s="101"/>
      <c r="K786" s="103"/>
      <c r="L786" s="103"/>
      <c r="M786" s="103"/>
      <c r="N786" s="103"/>
      <c r="O786" s="103"/>
      <c r="P786" s="98"/>
      <c r="Q786" s="99"/>
      <c r="R786" s="105">
        <f t="shared" si="41"/>
        <v>0</v>
      </c>
      <c r="S786" s="108">
        <f t="shared" si="40"/>
        <v>0</v>
      </c>
      <c r="T786" s="105">
        <f t="shared" si="42"/>
        <v>0</v>
      </c>
      <c r="X786" s="115"/>
    </row>
    <row r="787" spans="1:24">
      <c r="A787" s="101"/>
      <c r="B787" s="101"/>
      <c r="C787" s="101"/>
      <c r="D787" s="101"/>
      <c r="E787" s="101"/>
      <c r="F787" s="102"/>
      <c r="G787" s="101"/>
      <c r="H787" s="102"/>
      <c r="I787" s="101"/>
      <c r="J787" s="101"/>
      <c r="K787" s="103"/>
      <c r="L787" s="103"/>
      <c r="M787" s="103"/>
      <c r="N787" s="103"/>
      <c r="O787" s="103"/>
      <c r="P787" s="98"/>
      <c r="Q787" s="99"/>
      <c r="R787" s="104">
        <f t="shared" si="41"/>
        <v>0</v>
      </c>
      <c r="S787" s="104">
        <f t="shared" si="40"/>
        <v>0</v>
      </c>
      <c r="T787" s="104">
        <f t="shared" si="42"/>
        <v>0</v>
      </c>
      <c r="X787" s="115"/>
    </row>
    <row r="788" spans="1:24">
      <c r="A788" s="101"/>
      <c r="B788" s="101"/>
      <c r="C788" s="101"/>
      <c r="D788" s="101"/>
      <c r="E788" s="101"/>
      <c r="F788" s="102"/>
      <c r="G788" s="101"/>
      <c r="H788" s="102"/>
      <c r="I788" s="101"/>
      <c r="J788" s="101"/>
      <c r="K788" s="103"/>
      <c r="L788" s="103"/>
      <c r="M788" s="103"/>
      <c r="N788" s="103"/>
      <c r="O788" s="103"/>
      <c r="P788" s="98"/>
      <c r="Q788" s="99"/>
      <c r="R788" s="105">
        <f t="shared" si="41"/>
        <v>0</v>
      </c>
      <c r="S788" s="108">
        <f t="shared" si="40"/>
        <v>0</v>
      </c>
      <c r="T788" s="105">
        <f t="shared" si="42"/>
        <v>0</v>
      </c>
      <c r="X788" s="115"/>
    </row>
    <row r="789" spans="1:24">
      <c r="A789" s="101"/>
      <c r="B789" s="101"/>
      <c r="C789" s="101"/>
      <c r="D789" s="101"/>
      <c r="E789" s="101"/>
      <c r="F789" s="102"/>
      <c r="G789" s="101"/>
      <c r="H789" s="102"/>
      <c r="I789" s="101"/>
      <c r="J789" s="101"/>
      <c r="K789" s="103"/>
      <c r="L789" s="103"/>
      <c r="M789" s="103"/>
      <c r="N789" s="103"/>
      <c r="O789" s="103"/>
      <c r="P789" s="98"/>
      <c r="Q789" s="99"/>
      <c r="R789" s="104">
        <f t="shared" si="41"/>
        <v>0</v>
      </c>
      <c r="S789" s="104">
        <f t="shared" si="40"/>
        <v>0</v>
      </c>
      <c r="T789" s="104">
        <f t="shared" si="42"/>
        <v>0</v>
      </c>
      <c r="X789" s="115"/>
    </row>
    <row r="790" spans="1:24">
      <c r="A790" s="101"/>
      <c r="B790" s="101"/>
      <c r="C790" s="101"/>
      <c r="D790" s="101"/>
      <c r="E790" s="101"/>
      <c r="F790" s="102"/>
      <c r="G790" s="101"/>
      <c r="H790" s="102"/>
      <c r="I790" s="101"/>
      <c r="J790" s="101"/>
      <c r="K790" s="103"/>
      <c r="L790" s="103"/>
      <c r="M790" s="103"/>
      <c r="N790" s="103"/>
      <c r="O790" s="103"/>
      <c r="P790" s="98"/>
      <c r="Q790" s="99"/>
      <c r="R790" s="105">
        <f t="shared" si="41"/>
        <v>0</v>
      </c>
      <c r="S790" s="108">
        <f t="shared" si="40"/>
        <v>0</v>
      </c>
      <c r="T790" s="105">
        <f t="shared" si="42"/>
        <v>0</v>
      </c>
      <c r="X790" s="115"/>
    </row>
    <row r="791" spans="1:24">
      <c r="A791" s="101"/>
      <c r="B791" s="101"/>
      <c r="C791" s="101"/>
      <c r="D791" s="101"/>
      <c r="E791" s="101"/>
      <c r="F791" s="102"/>
      <c r="G791" s="101"/>
      <c r="H791" s="102"/>
      <c r="I791" s="101"/>
      <c r="J791" s="101"/>
      <c r="K791" s="103"/>
      <c r="L791" s="103"/>
      <c r="M791" s="103"/>
      <c r="N791" s="103"/>
      <c r="O791" s="103"/>
      <c r="P791" s="98"/>
      <c r="Q791" s="99"/>
      <c r="R791" s="104">
        <f t="shared" si="41"/>
        <v>0</v>
      </c>
      <c r="S791" s="104">
        <f t="shared" si="40"/>
        <v>0</v>
      </c>
      <c r="T791" s="104">
        <f t="shared" si="42"/>
        <v>0</v>
      </c>
      <c r="X791" s="115"/>
    </row>
    <row r="792" spans="1:24">
      <c r="A792" s="101"/>
      <c r="B792" s="101"/>
      <c r="C792" s="101"/>
      <c r="D792" s="101"/>
      <c r="E792" s="101"/>
      <c r="F792" s="102"/>
      <c r="G792" s="101"/>
      <c r="H792" s="102"/>
      <c r="I792" s="101"/>
      <c r="J792" s="101"/>
      <c r="K792" s="103"/>
      <c r="L792" s="103"/>
      <c r="M792" s="103"/>
      <c r="N792" s="103"/>
      <c r="O792" s="103"/>
      <c r="P792" s="98"/>
      <c r="Q792" s="99"/>
      <c r="R792" s="105">
        <f t="shared" si="41"/>
        <v>0</v>
      </c>
      <c r="S792" s="108">
        <f t="shared" si="40"/>
        <v>0</v>
      </c>
      <c r="T792" s="105">
        <f t="shared" si="42"/>
        <v>0</v>
      </c>
      <c r="X792" s="115"/>
    </row>
    <row r="793" spans="1:24">
      <c r="A793" s="101"/>
      <c r="B793" s="101"/>
      <c r="C793" s="101"/>
      <c r="D793" s="101"/>
      <c r="E793" s="101"/>
      <c r="F793" s="102"/>
      <c r="G793" s="101"/>
      <c r="H793" s="102"/>
      <c r="I793" s="101"/>
      <c r="J793" s="101"/>
      <c r="K793" s="103"/>
      <c r="L793" s="103"/>
      <c r="M793" s="103"/>
      <c r="N793" s="103"/>
      <c r="O793" s="103"/>
      <c r="P793" s="98"/>
      <c r="Q793" s="99"/>
      <c r="R793" s="104">
        <f t="shared" si="41"/>
        <v>0</v>
      </c>
      <c r="S793" s="104">
        <f t="shared" si="40"/>
        <v>0</v>
      </c>
      <c r="T793" s="104">
        <f t="shared" si="42"/>
        <v>0</v>
      </c>
      <c r="X793" s="115"/>
    </row>
    <row r="794" spans="1:24">
      <c r="A794" s="101"/>
      <c r="B794" s="101"/>
      <c r="C794" s="101"/>
      <c r="D794" s="101"/>
      <c r="E794" s="101"/>
      <c r="F794" s="102"/>
      <c r="G794" s="101"/>
      <c r="H794" s="102"/>
      <c r="I794" s="101"/>
      <c r="J794" s="101"/>
      <c r="K794" s="103"/>
      <c r="L794" s="103"/>
      <c r="M794" s="103"/>
      <c r="N794" s="103"/>
      <c r="O794" s="103"/>
      <c r="P794" s="98"/>
      <c r="Q794" s="99"/>
      <c r="R794" s="105">
        <f t="shared" si="41"/>
        <v>0</v>
      </c>
      <c r="S794" s="108">
        <f t="shared" si="40"/>
        <v>0</v>
      </c>
      <c r="T794" s="105">
        <f t="shared" si="42"/>
        <v>0</v>
      </c>
      <c r="X794" s="115"/>
    </row>
    <row r="795" spans="1:24">
      <c r="A795" s="101"/>
      <c r="B795" s="101"/>
      <c r="C795" s="101"/>
      <c r="D795" s="101"/>
      <c r="E795" s="101"/>
      <c r="F795" s="102"/>
      <c r="G795" s="101"/>
      <c r="H795" s="102"/>
      <c r="I795" s="101"/>
      <c r="J795" s="101"/>
      <c r="K795" s="103"/>
      <c r="L795" s="103"/>
      <c r="M795" s="103"/>
      <c r="N795" s="103"/>
      <c r="O795" s="103"/>
      <c r="P795" s="98"/>
      <c r="Q795" s="99"/>
      <c r="R795" s="104">
        <f t="shared" si="41"/>
        <v>0</v>
      </c>
      <c r="S795" s="104">
        <f t="shared" si="40"/>
        <v>0</v>
      </c>
      <c r="T795" s="104">
        <f t="shared" si="42"/>
        <v>0</v>
      </c>
      <c r="X795" s="115"/>
    </row>
    <row r="796" spans="1:24">
      <c r="A796" s="101"/>
      <c r="B796" s="101"/>
      <c r="C796" s="101"/>
      <c r="D796" s="101"/>
      <c r="E796" s="101"/>
      <c r="F796" s="102"/>
      <c r="G796" s="101"/>
      <c r="H796" s="102"/>
      <c r="I796" s="101"/>
      <c r="J796" s="101"/>
      <c r="K796" s="103"/>
      <c r="L796" s="103"/>
      <c r="M796" s="103"/>
      <c r="N796" s="103"/>
      <c r="O796" s="103"/>
      <c r="P796" s="98"/>
      <c r="Q796" s="99"/>
      <c r="R796" s="105">
        <f t="shared" si="41"/>
        <v>0</v>
      </c>
      <c r="S796" s="108">
        <f t="shared" si="40"/>
        <v>0</v>
      </c>
      <c r="T796" s="105">
        <f t="shared" si="42"/>
        <v>0</v>
      </c>
      <c r="X796" s="115"/>
    </row>
    <row r="797" spans="1:24">
      <c r="A797" s="101"/>
      <c r="B797" s="101"/>
      <c r="C797" s="101"/>
      <c r="D797" s="101"/>
      <c r="E797" s="101"/>
      <c r="F797" s="102"/>
      <c r="G797" s="101"/>
      <c r="H797" s="102"/>
      <c r="I797" s="101"/>
      <c r="J797" s="101"/>
      <c r="K797" s="103"/>
      <c r="L797" s="103"/>
      <c r="M797" s="103"/>
      <c r="N797" s="103"/>
      <c r="O797" s="103"/>
      <c r="P797" s="98"/>
      <c r="Q797" s="99"/>
      <c r="R797" s="104">
        <f t="shared" si="41"/>
        <v>0</v>
      </c>
      <c r="S797" s="104">
        <f t="shared" si="40"/>
        <v>0</v>
      </c>
      <c r="T797" s="104">
        <f t="shared" si="42"/>
        <v>0</v>
      </c>
      <c r="X797" s="115"/>
    </row>
    <row r="798" spans="1:24">
      <c r="A798" s="101"/>
      <c r="B798" s="101"/>
      <c r="C798" s="101"/>
      <c r="D798" s="101"/>
      <c r="E798" s="101"/>
      <c r="F798" s="102"/>
      <c r="G798" s="101"/>
      <c r="H798" s="102"/>
      <c r="I798" s="101"/>
      <c r="J798" s="101"/>
      <c r="K798" s="103"/>
      <c r="L798" s="103"/>
      <c r="M798" s="103"/>
      <c r="N798" s="103"/>
      <c r="O798" s="103"/>
      <c r="P798" s="98"/>
      <c r="Q798" s="99"/>
      <c r="R798" s="105">
        <f t="shared" si="41"/>
        <v>0</v>
      </c>
      <c r="S798" s="108">
        <f t="shared" si="40"/>
        <v>0</v>
      </c>
      <c r="T798" s="105">
        <f t="shared" si="42"/>
        <v>0</v>
      </c>
      <c r="X798" s="115"/>
    </row>
    <row r="799" spans="1:24">
      <c r="A799" s="101"/>
      <c r="B799" s="101"/>
      <c r="C799" s="101"/>
      <c r="D799" s="101"/>
      <c r="E799" s="101"/>
      <c r="F799" s="102"/>
      <c r="G799" s="101"/>
      <c r="H799" s="102"/>
      <c r="I799" s="101"/>
      <c r="J799" s="101"/>
      <c r="K799" s="103"/>
      <c r="L799" s="103"/>
      <c r="M799" s="103"/>
      <c r="N799" s="103"/>
      <c r="O799" s="103"/>
      <c r="P799" s="98"/>
      <c r="Q799" s="99"/>
      <c r="R799" s="104">
        <f t="shared" si="41"/>
        <v>0</v>
      </c>
      <c r="S799" s="104">
        <f t="shared" si="40"/>
        <v>0</v>
      </c>
      <c r="T799" s="104">
        <f t="shared" si="42"/>
        <v>0</v>
      </c>
      <c r="X799" s="115"/>
    </row>
    <row r="800" spans="1:24">
      <c r="A800" s="101"/>
      <c r="B800" s="101"/>
      <c r="C800" s="101"/>
      <c r="D800" s="101"/>
      <c r="E800" s="101"/>
      <c r="F800" s="102"/>
      <c r="G800" s="101"/>
      <c r="H800" s="102"/>
      <c r="I800" s="101"/>
      <c r="J800" s="101"/>
      <c r="K800" s="103"/>
      <c r="L800" s="103"/>
      <c r="M800" s="103"/>
      <c r="N800" s="103"/>
      <c r="O800" s="103"/>
      <c r="P800" s="98"/>
      <c r="Q800" s="99"/>
      <c r="R800" s="105">
        <f t="shared" si="41"/>
        <v>0</v>
      </c>
      <c r="S800" s="108">
        <f t="shared" si="40"/>
        <v>0</v>
      </c>
      <c r="T800" s="105">
        <f t="shared" si="42"/>
        <v>0</v>
      </c>
      <c r="X800" s="115"/>
    </row>
    <row r="801" spans="1:24">
      <c r="A801" s="101"/>
      <c r="B801" s="101"/>
      <c r="C801" s="101"/>
      <c r="D801" s="101"/>
      <c r="E801" s="101"/>
      <c r="F801" s="102"/>
      <c r="G801" s="101"/>
      <c r="H801" s="102"/>
      <c r="I801" s="101"/>
      <c r="J801" s="101"/>
      <c r="K801" s="103"/>
      <c r="L801" s="103"/>
      <c r="M801" s="103"/>
      <c r="N801" s="103"/>
      <c r="O801" s="103"/>
      <c r="P801" s="98"/>
      <c r="Q801" s="99"/>
      <c r="R801" s="104">
        <f t="shared" si="41"/>
        <v>0</v>
      </c>
      <c r="S801" s="104">
        <f t="shared" si="40"/>
        <v>0</v>
      </c>
      <c r="T801" s="104">
        <f t="shared" si="42"/>
        <v>0</v>
      </c>
      <c r="X801" s="115"/>
    </row>
    <row r="802" spans="1:24">
      <c r="A802" s="101"/>
      <c r="B802" s="101"/>
      <c r="C802" s="101"/>
      <c r="D802" s="101"/>
      <c r="E802" s="101"/>
      <c r="F802" s="102"/>
      <c r="G802" s="101"/>
      <c r="H802" s="102"/>
      <c r="I802" s="101"/>
      <c r="J802" s="101"/>
      <c r="K802" s="103"/>
      <c r="L802" s="103"/>
      <c r="M802" s="103"/>
      <c r="N802" s="103"/>
      <c r="O802" s="103"/>
      <c r="P802" s="98"/>
      <c r="Q802" s="99"/>
      <c r="R802" s="105">
        <f t="shared" si="41"/>
        <v>0</v>
      </c>
      <c r="S802" s="108">
        <f t="shared" si="40"/>
        <v>0</v>
      </c>
      <c r="T802" s="105">
        <f t="shared" si="42"/>
        <v>0</v>
      </c>
      <c r="X802" s="115"/>
    </row>
    <row r="803" spans="1:24">
      <c r="A803" s="101"/>
      <c r="B803" s="101"/>
      <c r="C803" s="101"/>
      <c r="D803" s="101"/>
      <c r="E803" s="101"/>
      <c r="F803" s="102"/>
      <c r="G803" s="101"/>
      <c r="H803" s="102"/>
      <c r="I803" s="101"/>
      <c r="J803" s="101"/>
      <c r="K803" s="103"/>
      <c r="L803" s="103"/>
      <c r="M803" s="103"/>
      <c r="N803" s="103"/>
      <c r="O803" s="103"/>
      <c r="P803" s="98"/>
      <c r="Q803" s="99"/>
      <c r="R803" s="104">
        <f t="shared" si="41"/>
        <v>0</v>
      </c>
      <c r="S803" s="104">
        <f t="shared" si="40"/>
        <v>0</v>
      </c>
      <c r="T803" s="104">
        <f t="shared" si="42"/>
        <v>0</v>
      </c>
      <c r="X803" s="115"/>
    </row>
    <row r="804" spans="1:24">
      <c r="A804" s="101"/>
      <c r="B804" s="101"/>
      <c r="C804" s="101"/>
      <c r="D804" s="101"/>
      <c r="E804" s="101"/>
      <c r="F804" s="102"/>
      <c r="G804" s="101"/>
      <c r="H804" s="102"/>
      <c r="I804" s="101"/>
      <c r="J804" s="101"/>
      <c r="K804" s="103"/>
      <c r="L804" s="103"/>
      <c r="M804" s="103"/>
      <c r="N804" s="103"/>
      <c r="O804" s="103"/>
      <c r="P804" s="98"/>
      <c r="Q804" s="99"/>
      <c r="R804" s="105">
        <f t="shared" si="41"/>
        <v>0</v>
      </c>
      <c r="S804" s="108">
        <f t="shared" si="40"/>
        <v>0</v>
      </c>
      <c r="T804" s="105">
        <f t="shared" si="42"/>
        <v>0</v>
      </c>
      <c r="X804" s="115"/>
    </row>
    <row r="805" spans="1:24">
      <c r="A805" s="101"/>
      <c r="B805" s="101"/>
      <c r="C805" s="101"/>
      <c r="D805" s="101"/>
      <c r="E805" s="101"/>
      <c r="F805" s="102"/>
      <c r="G805" s="101"/>
      <c r="H805" s="102"/>
      <c r="I805" s="101"/>
      <c r="J805" s="101"/>
      <c r="K805" s="103"/>
      <c r="L805" s="103"/>
      <c r="M805" s="103"/>
      <c r="N805" s="103"/>
      <c r="O805" s="103"/>
      <c r="P805" s="98"/>
      <c r="Q805" s="99"/>
      <c r="R805" s="104">
        <f t="shared" si="41"/>
        <v>0</v>
      </c>
      <c r="S805" s="104">
        <f t="shared" si="40"/>
        <v>0</v>
      </c>
      <c r="T805" s="104">
        <f t="shared" si="42"/>
        <v>0</v>
      </c>
      <c r="X805" s="115"/>
    </row>
    <row r="806" spans="1:24">
      <c r="A806" s="101"/>
      <c r="B806" s="101"/>
      <c r="C806" s="101"/>
      <c r="D806" s="101"/>
      <c r="E806" s="101"/>
      <c r="F806" s="102"/>
      <c r="G806" s="101"/>
      <c r="H806" s="102"/>
      <c r="I806" s="101"/>
      <c r="J806" s="101"/>
      <c r="K806" s="103"/>
      <c r="L806" s="103"/>
      <c r="M806" s="103"/>
      <c r="N806" s="103"/>
      <c r="O806" s="103"/>
      <c r="P806" s="98"/>
      <c r="Q806" s="99"/>
      <c r="R806" s="105">
        <f t="shared" si="41"/>
        <v>0</v>
      </c>
      <c r="S806" s="108">
        <f t="shared" si="40"/>
        <v>0</v>
      </c>
      <c r="T806" s="105">
        <f t="shared" si="42"/>
        <v>0</v>
      </c>
      <c r="X806" s="115"/>
    </row>
    <row r="807" spans="1:24">
      <c r="A807" s="101"/>
      <c r="B807" s="101"/>
      <c r="C807" s="101"/>
      <c r="D807" s="101"/>
      <c r="E807" s="101"/>
      <c r="F807" s="102"/>
      <c r="G807" s="101"/>
      <c r="H807" s="102"/>
      <c r="I807" s="101"/>
      <c r="J807" s="101"/>
      <c r="K807" s="103"/>
      <c r="L807" s="103"/>
      <c r="M807" s="103"/>
      <c r="N807" s="103"/>
      <c r="O807" s="103"/>
      <c r="P807" s="98"/>
      <c r="Q807" s="99"/>
      <c r="R807" s="104">
        <f t="shared" si="41"/>
        <v>0</v>
      </c>
      <c r="S807" s="104">
        <f t="shared" si="40"/>
        <v>0</v>
      </c>
      <c r="T807" s="104">
        <f t="shared" si="42"/>
        <v>0</v>
      </c>
      <c r="X807" s="115"/>
    </row>
    <row r="808" spans="1:24">
      <c r="A808" s="101"/>
      <c r="B808" s="101"/>
      <c r="C808" s="101"/>
      <c r="D808" s="101"/>
      <c r="E808" s="101"/>
      <c r="F808" s="102"/>
      <c r="G808" s="101"/>
      <c r="H808" s="102"/>
      <c r="I808" s="101"/>
      <c r="J808" s="101"/>
      <c r="K808" s="103"/>
      <c r="L808" s="103"/>
      <c r="M808" s="103"/>
      <c r="N808" s="103"/>
      <c r="O808" s="103"/>
      <c r="P808" s="98"/>
      <c r="Q808" s="99"/>
      <c r="R808" s="105">
        <f t="shared" si="41"/>
        <v>0</v>
      </c>
      <c r="S808" s="108">
        <f t="shared" si="40"/>
        <v>0</v>
      </c>
      <c r="T808" s="105">
        <f t="shared" si="42"/>
        <v>0</v>
      </c>
      <c r="X808" s="115"/>
    </row>
    <row r="809" spans="1:24">
      <c r="A809" s="101"/>
      <c r="B809" s="101"/>
      <c r="C809" s="101"/>
      <c r="D809" s="101"/>
      <c r="E809" s="101"/>
      <c r="F809" s="102"/>
      <c r="G809" s="101"/>
      <c r="H809" s="102"/>
      <c r="I809" s="101"/>
      <c r="J809" s="101"/>
      <c r="K809" s="103"/>
      <c r="L809" s="103"/>
      <c r="M809" s="103"/>
      <c r="N809" s="103"/>
      <c r="O809" s="103"/>
      <c r="P809" s="98"/>
      <c r="Q809" s="99"/>
      <c r="R809" s="104">
        <f t="shared" si="41"/>
        <v>0</v>
      </c>
      <c r="S809" s="104">
        <f t="shared" si="40"/>
        <v>0</v>
      </c>
      <c r="T809" s="104">
        <f t="shared" si="42"/>
        <v>0</v>
      </c>
      <c r="X809" s="115"/>
    </row>
    <row r="810" spans="1:24">
      <c r="A810" s="101"/>
      <c r="B810" s="101"/>
      <c r="C810" s="101"/>
      <c r="D810" s="101"/>
      <c r="E810" s="101"/>
      <c r="F810" s="102"/>
      <c r="G810" s="101"/>
      <c r="H810" s="102"/>
      <c r="I810" s="101"/>
      <c r="J810" s="101"/>
      <c r="K810" s="103"/>
      <c r="L810" s="103"/>
      <c r="M810" s="103"/>
      <c r="N810" s="103"/>
      <c r="O810" s="103"/>
      <c r="P810" s="98"/>
      <c r="Q810" s="99"/>
      <c r="R810" s="105">
        <f t="shared" si="41"/>
        <v>0</v>
      </c>
      <c r="S810" s="108">
        <f t="shared" si="40"/>
        <v>0</v>
      </c>
      <c r="T810" s="105">
        <f t="shared" si="42"/>
        <v>0</v>
      </c>
      <c r="X810" s="115"/>
    </row>
    <row r="811" spans="1:24">
      <c r="A811" s="101"/>
      <c r="B811" s="101"/>
      <c r="C811" s="101"/>
      <c r="D811" s="101"/>
      <c r="E811" s="101"/>
      <c r="F811" s="102"/>
      <c r="G811" s="101"/>
      <c r="H811" s="102"/>
      <c r="I811" s="101"/>
      <c r="J811" s="101"/>
      <c r="K811" s="103"/>
      <c r="L811" s="103"/>
      <c r="M811" s="103"/>
      <c r="N811" s="103"/>
      <c r="O811" s="103"/>
      <c r="P811" s="98"/>
      <c r="Q811" s="99"/>
      <c r="R811" s="104">
        <f t="shared" si="41"/>
        <v>0</v>
      </c>
      <c r="S811" s="104">
        <f t="shared" si="40"/>
        <v>0</v>
      </c>
      <c r="T811" s="104">
        <f t="shared" si="42"/>
        <v>0</v>
      </c>
      <c r="X811" s="115"/>
    </row>
    <row r="812" spans="1:24">
      <c r="A812" s="101"/>
      <c r="B812" s="101"/>
      <c r="C812" s="101"/>
      <c r="D812" s="101"/>
      <c r="E812" s="101"/>
      <c r="F812" s="102"/>
      <c r="G812" s="101"/>
      <c r="H812" s="102"/>
      <c r="I812" s="101"/>
      <c r="J812" s="101"/>
      <c r="K812" s="103"/>
      <c r="L812" s="103"/>
      <c r="M812" s="103"/>
      <c r="N812" s="103"/>
      <c r="O812" s="103"/>
      <c r="P812" s="98"/>
      <c r="Q812" s="99"/>
      <c r="R812" s="105">
        <f t="shared" si="41"/>
        <v>0</v>
      </c>
      <c r="S812" s="108">
        <f t="shared" si="40"/>
        <v>0</v>
      </c>
      <c r="T812" s="105">
        <f t="shared" si="42"/>
        <v>0</v>
      </c>
      <c r="X812" s="115"/>
    </row>
    <row r="813" spans="1:24">
      <c r="A813" s="101"/>
      <c r="B813" s="101"/>
      <c r="C813" s="101"/>
      <c r="D813" s="101"/>
      <c r="E813" s="101"/>
      <c r="F813" s="102"/>
      <c r="G813" s="101"/>
      <c r="H813" s="102"/>
      <c r="I813" s="101"/>
      <c r="J813" s="101"/>
      <c r="K813" s="103"/>
      <c r="L813" s="103"/>
      <c r="M813" s="103"/>
      <c r="N813" s="103"/>
      <c r="O813" s="103"/>
      <c r="P813" s="98"/>
      <c r="Q813" s="99"/>
      <c r="R813" s="104">
        <f t="shared" si="41"/>
        <v>0</v>
      </c>
      <c r="S813" s="104">
        <f t="shared" si="40"/>
        <v>0</v>
      </c>
      <c r="T813" s="104">
        <f t="shared" si="42"/>
        <v>0</v>
      </c>
      <c r="X813" s="115"/>
    </row>
    <row r="814" spans="1:24">
      <c r="A814" s="101"/>
      <c r="B814" s="101"/>
      <c r="C814" s="101"/>
      <c r="D814" s="101"/>
      <c r="E814" s="101"/>
      <c r="F814" s="102"/>
      <c r="G814" s="101"/>
      <c r="H814" s="102"/>
      <c r="I814" s="101"/>
      <c r="J814" s="101"/>
      <c r="K814" s="103"/>
      <c r="L814" s="103"/>
      <c r="M814" s="103"/>
      <c r="N814" s="103"/>
      <c r="O814" s="103"/>
      <c r="P814" s="98"/>
      <c r="Q814" s="99"/>
      <c r="R814" s="105">
        <f t="shared" si="41"/>
        <v>0</v>
      </c>
      <c r="S814" s="108">
        <f t="shared" si="40"/>
        <v>0</v>
      </c>
      <c r="T814" s="105">
        <f t="shared" si="42"/>
        <v>0</v>
      </c>
      <c r="X814" s="115"/>
    </row>
    <row r="815" spans="1:24">
      <c r="A815" s="101"/>
      <c r="B815" s="101"/>
      <c r="C815" s="101"/>
      <c r="D815" s="101"/>
      <c r="E815" s="101"/>
      <c r="F815" s="102"/>
      <c r="G815" s="101"/>
      <c r="H815" s="102"/>
      <c r="I815" s="101"/>
      <c r="J815" s="101"/>
      <c r="K815" s="103"/>
      <c r="L815" s="103"/>
      <c r="M815" s="103"/>
      <c r="N815" s="103"/>
      <c r="O815" s="103"/>
      <c r="P815" s="98"/>
      <c r="Q815" s="99"/>
      <c r="R815" s="104">
        <f t="shared" si="41"/>
        <v>0</v>
      </c>
      <c r="S815" s="104">
        <f t="shared" si="40"/>
        <v>0</v>
      </c>
      <c r="T815" s="104">
        <f t="shared" si="42"/>
        <v>0</v>
      </c>
      <c r="X815" s="115"/>
    </row>
    <row r="816" spans="1:24">
      <c r="A816" s="101"/>
      <c r="B816" s="101"/>
      <c r="C816" s="101"/>
      <c r="D816" s="101"/>
      <c r="E816" s="101"/>
      <c r="F816" s="102"/>
      <c r="G816" s="101"/>
      <c r="H816" s="102"/>
      <c r="I816" s="101"/>
      <c r="J816" s="101"/>
      <c r="K816" s="103"/>
      <c r="L816" s="103"/>
      <c r="M816" s="103"/>
      <c r="N816" s="103"/>
      <c r="O816" s="103"/>
      <c r="P816" s="98"/>
      <c r="Q816" s="99"/>
      <c r="R816" s="105">
        <f t="shared" si="41"/>
        <v>0</v>
      </c>
      <c r="S816" s="108">
        <f t="shared" si="40"/>
        <v>0</v>
      </c>
      <c r="T816" s="105">
        <f t="shared" si="42"/>
        <v>0</v>
      </c>
      <c r="X816" s="115"/>
    </row>
    <row r="817" spans="1:24">
      <c r="A817" s="101"/>
      <c r="B817" s="101"/>
      <c r="C817" s="101"/>
      <c r="D817" s="101"/>
      <c r="E817" s="101"/>
      <c r="F817" s="102"/>
      <c r="G817" s="101"/>
      <c r="H817" s="102"/>
      <c r="I817" s="101"/>
      <c r="J817" s="101"/>
      <c r="K817" s="103"/>
      <c r="L817" s="103"/>
      <c r="M817" s="103"/>
      <c r="N817" s="103"/>
      <c r="O817" s="103"/>
      <c r="P817" s="98"/>
      <c r="Q817" s="99"/>
      <c r="R817" s="104">
        <f t="shared" si="41"/>
        <v>0</v>
      </c>
      <c r="S817" s="104">
        <f t="shared" si="40"/>
        <v>0</v>
      </c>
      <c r="T817" s="104">
        <f t="shared" si="42"/>
        <v>0</v>
      </c>
      <c r="X817" s="115"/>
    </row>
    <row r="818" spans="1:24">
      <c r="A818" s="101"/>
      <c r="B818" s="101"/>
      <c r="C818" s="101"/>
      <c r="D818" s="101"/>
      <c r="E818" s="101"/>
      <c r="F818" s="102"/>
      <c r="G818" s="101"/>
      <c r="H818" s="102"/>
      <c r="I818" s="101"/>
      <c r="J818" s="101"/>
      <c r="K818" s="103"/>
      <c r="L818" s="103"/>
      <c r="M818" s="103"/>
      <c r="N818" s="103"/>
      <c r="O818" s="103"/>
      <c r="P818" s="98"/>
      <c r="Q818" s="99"/>
      <c r="R818" s="105">
        <f t="shared" si="41"/>
        <v>0</v>
      </c>
      <c r="S818" s="108">
        <f t="shared" si="40"/>
        <v>0</v>
      </c>
      <c r="T818" s="105">
        <f t="shared" si="42"/>
        <v>0</v>
      </c>
      <c r="X818" s="115"/>
    </row>
    <row r="819" spans="1:24">
      <c r="A819" s="101"/>
      <c r="B819" s="101"/>
      <c r="C819" s="101"/>
      <c r="D819" s="101"/>
      <c r="E819" s="101"/>
      <c r="F819" s="102"/>
      <c r="G819" s="101"/>
      <c r="H819" s="102"/>
      <c r="I819" s="101"/>
      <c r="J819" s="101"/>
      <c r="K819" s="103"/>
      <c r="L819" s="103"/>
      <c r="M819" s="103"/>
      <c r="N819" s="103"/>
      <c r="O819" s="103"/>
      <c r="P819" s="98"/>
      <c r="Q819" s="99"/>
      <c r="R819" s="104">
        <f t="shared" si="41"/>
        <v>0</v>
      </c>
      <c r="S819" s="104">
        <f t="shared" si="40"/>
        <v>0</v>
      </c>
      <c r="T819" s="104">
        <f t="shared" si="42"/>
        <v>0</v>
      </c>
      <c r="X819" s="115"/>
    </row>
    <row r="820" spans="1:24">
      <c r="A820" s="101"/>
      <c r="B820" s="101"/>
      <c r="C820" s="101"/>
      <c r="D820" s="101"/>
      <c r="E820" s="101"/>
      <c r="F820" s="102"/>
      <c r="G820" s="101"/>
      <c r="H820" s="102"/>
      <c r="I820" s="101"/>
      <c r="J820" s="101"/>
      <c r="K820" s="103"/>
      <c r="L820" s="103"/>
      <c r="M820" s="103"/>
      <c r="N820" s="103"/>
      <c r="O820" s="103"/>
      <c r="P820" s="98"/>
      <c r="Q820" s="99"/>
      <c r="R820" s="105">
        <f t="shared" si="41"/>
        <v>0</v>
      </c>
      <c r="S820" s="108">
        <f t="shared" si="40"/>
        <v>0</v>
      </c>
      <c r="T820" s="105">
        <f t="shared" si="42"/>
        <v>0</v>
      </c>
      <c r="X820" s="115"/>
    </row>
    <row r="821" spans="1:24">
      <c r="A821" s="101"/>
      <c r="B821" s="101"/>
      <c r="C821" s="101"/>
      <c r="D821" s="101"/>
      <c r="E821" s="101"/>
      <c r="F821" s="102"/>
      <c r="G821" s="101"/>
      <c r="H821" s="102"/>
      <c r="I821" s="101"/>
      <c r="J821" s="101"/>
      <c r="K821" s="103"/>
      <c r="L821" s="103"/>
      <c r="M821" s="103"/>
      <c r="N821" s="103"/>
      <c r="O821" s="103"/>
      <c r="P821" s="98"/>
      <c r="Q821" s="99"/>
      <c r="R821" s="104">
        <f t="shared" si="41"/>
        <v>0</v>
      </c>
      <c r="S821" s="104">
        <f t="shared" si="40"/>
        <v>0</v>
      </c>
      <c r="T821" s="104">
        <f t="shared" si="42"/>
        <v>0</v>
      </c>
      <c r="X821" s="115"/>
    </row>
    <row r="822" spans="1:24">
      <c r="A822" s="101"/>
      <c r="B822" s="101"/>
      <c r="C822" s="101"/>
      <c r="D822" s="101"/>
      <c r="E822" s="101"/>
      <c r="F822" s="102"/>
      <c r="G822" s="101"/>
      <c r="H822" s="102"/>
      <c r="I822" s="101"/>
      <c r="J822" s="101"/>
      <c r="K822" s="103"/>
      <c r="L822" s="103"/>
      <c r="M822" s="103"/>
      <c r="N822" s="103"/>
      <c r="O822" s="103"/>
      <c r="P822" s="98"/>
      <c r="Q822" s="99"/>
      <c r="R822" s="105">
        <f t="shared" si="41"/>
        <v>0</v>
      </c>
      <c r="S822" s="108">
        <f t="shared" si="40"/>
        <v>0</v>
      </c>
      <c r="T822" s="105">
        <f t="shared" si="42"/>
        <v>0</v>
      </c>
      <c r="X822" s="115"/>
    </row>
    <row r="823" spans="1:24">
      <c r="A823" s="101"/>
      <c r="B823" s="101"/>
      <c r="C823" s="101"/>
      <c r="D823" s="101"/>
      <c r="E823" s="101"/>
      <c r="F823" s="102"/>
      <c r="G823" s="101"/>
      <c r="H823" s="102"/>
      <c r="I823" s="101"/>
      <c r="J823" s="101"/>
      <c r="K823" s="103"/>
      <c r="L823" s="103"/>
      <c r="M823" s="103"/>
      <c r="N823" s="103"/>
      <c r="O823" s="103"/>
      <c r="P823" s="98"/>
      <c r="Q823" s="99"/>
      <c r="R823" s="104">
        <f t="shared" si="41"/>
        <v>0</v>
      </c>
      <c r="S823" s="104">
        <f t="shared" si="40"/>
        <v>0</v>
      </c>
      <c r="T823" s="104">
        <f t="shared" si="42"/>
        <v>0</v>
      </c>
      <c r="X823" s="115"/>
    </row>
    <row r="824" spans="1:24">
      <c r="A824" s="101"/>
      <c r="B824" s="101"/>
      <c r="C824" s="101"/>
      <c r="D824" s="101"/>
      <c r="E824" s="101"/>
      <c r="F824" s="102"/>
      <c r="G824" s="101"/>
      <c r="H824" s="102"/>
      <c r="I824" s="101"/>
      <c r="J824" s="101"/>
      <c r="K824" s="103"/>
      <c r="L824" s="103"/>
      <c r="M824" s="103"/>
      <c r="N824" s="103"/>
      <c r="O824" s="103"/>
      <c r="P824" s="98"/>
      <c r="Q824" s="99"/>
      <c r="R824" s="105">
        <f t="shared" si="41"/>
        <v>0</v>
      </c>
      <c r="S824" s="108">
        <f t="shared" si="40"/>
        <v>0</v>
      </c>
      <c r="T824" s="105">
        <f t="shared" si="42"/>
        <v>0</v>
      </c>
      <c r="X824" s="115"/>
    </row>
    <row r="825" spans="1:24">
      <c r="A825" s="101"/>
      <c r="B825" s="101"/>
      <c r="C825" s="101"/>
      <c r="D825" s="101"/>
      <c r="E825" s="101"/>
      <c r="F825" s="102"/>
      <c r="G825" s="101"/>
      <c r="H825" s="102"/>
      <c r="I825" s="101"/>
      <c r="J825" s="101"/>
      <c r="K825" s="103"/>
      <c r="L825" s="103"/>
      <c r="M825" s="103"/>
      <c r="N825" s="103"/>
      <c r="O825" s="103"/>
      <c r="P825" s="98"/>
      <c r="Q825" s="99"/>
      <c r="R825" s="104">
        <f t="shared" si="41"/>
        <v>0</v>
      </c>
      <c r="S825" s="104">
        <f t="shared" si="40"/>
        <v>0</v>
      </c>
      <c r="T825" s="104">
        <f t="shared" si="42"/>
        <v>0</v>
      </c>
      <c r="X825" s="115"/>
    </row>
    <row r="826" spans="1:24">
      <c r="A826" s="101"/>
      <c r="B826" s="101"/>
      <c r="C826" s="101"/>
      <c r="D826" s="101"/>
      <c r="E826" s="101"/>
      <c r="F826" s="102"/>
      <c r="G826" s="101"/>
      <c r="H826" s="102"/>
      <c r="I826" s="101"/>
      <c r="J826" s="101"/>
      <c r="K826" s="103"/>
      <c r="L826" s="103"/>
      <c r="M826" s="103"/>
      <c r="N826" s="103"/>
      <c r="O826" s="103"/>
      <c r="P826" s="98"/>
      <c r="Q826" s="99"/>
      <c r="R826" s="105">
        <f t="shared" si="41"/>
        <v>0</v>
      </c>
      <c r="S826" s="108">
        <f t="shared" si="40"/>
        <v>0</v>
      </c>
      <c r="T826" s="105">
        <f t="shared" si="42"/>
        <v>0</v>
      </c>
      <c r="X826" s="115"/>
    </row>
    <row r="827" spans="1:24">
      <c r="A827" s="101"/>
      <c r="B827" s="101"/>
      <c r="C827" s="101"/>
      <c r="D827" s="101"/>
      <c r="E827" s="101"/>
      <c r="F827" s="102"/>
      <c r="G827" s="101"/>
      <c r="H827" s="102"/>
      <c r="I827" s="101"/>
      <c r="J827" s="101"/>
      <c r="K827" s="103"/>
      <c r="L827" s="103"/>
      <c r="M827" s="103"/>
      <c r="N827" s="103"/>
      <c r="O827" s="103"/>
      <c r="P827" s="98"/>
      <c r="Q827" s="99"/>
      <c r="R827" s="104">
        <f t="shared" si="41"/>
        <v>0</v>
      </c>
      <c r="S827" s="104">
        <f t="shared" si="40"/>
        <v>0</v>
      </c>
      <c r="T827" s="104">
        <f t="shared" si="42"/>
        <v>0</v>
      </c>
      <c r="X827" s="115"/>
    </row>
    <row r="828" spans="1:24">
      <c r="A828" s="101"/>
      <c r="B828" s="101"/>
      <c r="C828" s="101"/>
      <c r="D828" s="101"/>
      <c r="E828" s="101"/>
      <c r="F828" s="102"/>
      <c r="G828" s="101"/>
      <c r="H828" s="102"/>
      <c r="I828" s="101"/>
      <c r="J828" s="101"/>
      <c r="K828" s="103"/>
      <c r="L828" s="103"/>
      <c r="M828" s="103"/>
      <c r="N828" s="103"/>
      <c r="O828" s="103"/>
      <c r="P828" s="98"/>
      <c r="Q828" s="99"/>
      <c r="R828" s="105">
        <f t="shared" si="41"/>
        <v>0</v>
      </c>
      <c r="S828" s="108">
        <f t="shared" si="40"/>
        <v>0</v>
      </c>
      <c r="T828" s="105">
        <f t="shared" si="42"/>
        <v>0</v>
      </c>
      <c r="X828" s="115"/>
    </row>
    <row r="829" spans="1:24">
      <c r="A829" s="101"/>
      <c r="B829" s="101"/>
      <c r="C829" s="101"/>
      <c r="D829" s="101"/>
      <c r="E829" s="101"/>
      <c r="F829" s="102"/>
      <c r="G829" s="101"/>
      <c r="H829" s="102"/>
      <c r="I829" s="101"/>
      <c r="J829" s="101"/>
      <c r="K829" s="103"/>
      <c r="L829" s="103"/>
      <c r="M829" s="103"/>
      <c r="N829" s="103"/>
      <c r="O829" s="103"/>
      <c r="P829" s="98"/>
      <c r="Q829" s="99"/>
      <c r="R829" s="104">
        <f t="shared" si="41"/>
        <v>0</v>
      </c>
      <c r="S829" s="104">
        <f t="shared" si="40"/>
        <v>0</v>
      </c>
      <c r="T829" s="104">
        <f t="shared" si="42"/>
        <v>0</v>
      </c>
      <c r="X829" s="115"/>
    </row>
    <row r="830" spans="1:24">
      <c r="A830" s="101"/>
      <c r="B830" s="101"/>
      <c r="C830" s="101"/>
      <c r="D830" s="101"/>
      <c r="E830" s="101"/>
      <c r="F830" s="102"/>
      <c r="G830" s="101"/>
      <c r="H830" s="102"/>
      <c r="I830" s="101"/>
      <c r="J830" s="101"/>
      <c r="K830" s="103"/>
      <c r="L830" s="103"/>
      <c r="M830" s="103"/>
      <c r="N830" s="103"/>
      <c r="O830" s="103"/>
      <c r="P830" s="98"/>
      <c r="Q830" s="99"/>
      <c r="R830" s="105">
        <f t="shared" si="41"/>
        <v>0</v>
      </c>
      <c r="S830" s="108">
        <f t="shared" si="40"/>
        <v>0</v>
      </c>
      <c r="T830" s="105">
        <f t="shared" si="42"/>
        <v>0</v>
      </c>
      <c r="X830" s="115"/>
    </row>
    <row r="831" spans="1:24">
      <c r="A831" s="101"/>
      <c r="B831" s="101"/>
      <c r="C831" s="101"/>
      <c r="D831" s="101"/>
      <c r="E831" s="101"/>
      <c r="F831" s="102"/>
      <c r="G831" s="101"/>
      <c r="H831" s="102"/>
      <c r="I831" s="101"/>
      <c r="J831" s="101"/>
      <c r="K831" s="103"/>
      <c r="L831" s="103"/>
      <c r="M831" s="103"/>
      <c r="N831" s="103"/>
      <c r="O831" s="103"/>
      <c r="P831" s="98"/>
      <c r="Q831" s="99"/>
      <c r="R831" s="104">
        <f t="shared" si="41"/>
        <v>0</v>
      </c>
      <c r="S831" s="104">
        <f t="shared" si="40"/>
        <v>0</v>
      </c>
      <c r="T831" s="104">
        <f t="shared" si="42"/>
        <v>0</v>
      </c>
      <c r="X831" s="115"/>
    </row>
    <row r="832" spans="1:24">
      <c r="A832" s="101"/>
      <c r="B832" s="101"/>
      <c r="C832" s="101"/>
      <c r="D832" s="101"/>
      <c r="E832" s="101"/>
      <c r="F832" s="102"/>
      <c r="G832" s="101"/>
      <c r="H832" s="102"/>
      <c r="I832" s="101"/>
      <c r="J832" s="101"/>
      <c r="K832" s="103"/>
      <c r="L832" s="103"/>
      <c r="M832" s="103"/>
      <c r="N832" s="103"/>
      <c r="O832" s="103"/>
      <c r="P832" s="98"/>
      <c r="Q832" s="99"/>
      <c r="R832" s="105">
        <f t="shared" si="41"/>
        <v>0</v>
      </c>
      <c r="S832" s="108">
        <f t="shared" si="40"/>
        <v>0</v>
      </c>
      <c r="T832" s="105">
        <f t="shared" si="42"/>
        <v>0</v>
      </c>
      <c r="X832" s="115"/>
    </row>
    <row r="833" spans="1:24">
      <c r="A833" s="101"/>
      <c r="B833" s="101"/>
      <c r="C833" s="101"/>
      <c r="D833" s="101"/>
      <c r="E833" s="101"/>
      <c r="F833" s="102"/>
      <c r="G833" s="101"/>
      <c r="H833" s="102"/>
      <c r="I833" s="101"/>
      <c r="J833" s="101"/>
      <c r="K833" s="103"/>
      <c r="L833" s="103"/>
      <c r="M833" s="103"/>
      <c r="N833" s="103"/>
      <c r="O833" s="103"/>
      <c r="P833" s="98"/>
      <c r="Q833" s="99"/>
      <c r="R833" s="104">
        <f t="shared" si="41"/>
        <v>0</v>
      </c>
      <c r="S833" s="104">
        <f t="shared" si="40"/>
        <v>0</v>
      </c>
      <c r="T833" s="104">
        <f t="shared" si="42"/>
        <v>0</v>
      </c>
      <c r="X833" s="115"/>
    </row>
    <row r="834" spans="1:24">
      <c r="A834" s="101"/>
      <c r="B834" s="101"/>
      <c r="C834" s="101"/>
      <c r="D834" s="101"/>
      <c r="E834" s="101"/>
      <c r="F834" s="102"/>
      <c r="G834" s="101"/>
      <c r="H834" s="102"/>
      <c r="I834" s="101"/>
      <c r="J834" s="101"/>
      <c r="K834" s="103"/>
      <c r="L834" s="103"/>
      <c r="M834" s="103"/>
      <c r="N834" s="103"/>
      <c r="O834" s="103"/>
      <c r="P834" s="98"/>
      <c r="Q834" s="99"/>
      <c r="R834" s="105">
        <f t="shared" si="41"/>
        <v>0</v>
      </c>
      <c r="S834" s="108">
        <f t="shared" si="40"/>
        <v>0</v>
      </c>
      <c r="T834" s="105">
        <f t="shared" si="42"/>
        <v>0</v>
      </c>
      <c r="X834" s="115"/>
    </row>
    <row r="835" spans="1:24">
      <c r="A835" s="101"/>
      <c r="B835" s="101"/>
      <c r="C835" s="101"/>
      <c r="D835" s="101"/>
      <c r="E835" s="101"/>
      <c r="F835" s="102"/>
      <c r="G835" s="101"/>
      <c r="H835" s="102"/>
      <c r="I835" s="101"/>
      <c r="J835" s="101"/>
      <c r="K835" s="103"/>
      <c r="L835" s="103"/>
      <c r="M835" s="103"/>
      <c r="N835" s="103"/>
      <c r="O835" s="103"/>
      <c r="P835" s="98"/>
      <c r="Q835" s="99"/>
      <c r="R835" s="104">
        <f t="shared" si="41"/>
        <v>0</v>
      </c>
      <c r="S835" s="104">
        <f t="shared" si="40"/>
        <v>0</v>
      </c>
      <c r="T835" s="104">
        <f t="shared" si="42"/>
        <v>0</v>
      </c>
      <c r="X835" s="115"/>
    </row>
    <row r="836" spans="1:24">
      <c r="A836" s="101"/>
      <c r="B836" s="101"/>
      <c r="C836" s="101"/>
      <c r="D836" s="101"/>
      <c r="E836" s="101"/>
      <c r="F836" s="102"/>
      <c r="G836" s="101"/>
      <c r="H836" s="102"/>
      <c r="I836" s="101"/>
      <c r="J836" s="101"/>
      <c r="K836" s="103"/>
      <c r="L836" s="103"/>
      <c r="M836" s="103"/>
      <c r="N836" s="103"/>
      <c r="O836" s="103"/>
      <c r="P836" s="98"/>
      <c r="Q836" s="99"/>
      <c r="R836" s="105">
        <f t="shared" si="41"/>
        <v>0</v>
      </c>
      <c r="S836" s="108">
        <f t="shared" ref="S836:S899" si="43">IF(P836="Abono",K836+L836+M836-N836-O836,0)</f>
        <v>0</v>
      </c>
      <c r="T836" s="105">
        <f t="shared" si="42"/>
        <v>0</v>
      </c>
      <c r="X836" s="115"/>
    </row>
    <row r="837" spans="1:24">
      <c r="A837" s="101"/>
      <c r="B837" s="101"/>
      <c r="C837" s="101"/>
      <c r="D837" s="101"/>
      <c r="E837" s="101"/>
      <c r="F837" s="102"/>
      <c r="G837" s="101"/>
      <c r="H837" s="102"/>
      <c r="I837" s="101"/>
      <c r="J837" s="101"/>
      <c r="K837" s="103"/>
      <c r="L837" s="103"/>
      <c r="M837" s="103"/>
      <c r="N837" s="103"/>
      <c r="O837" s="103"/>
      <c r="P837" s="98"/>
      <c r="Q837" s="99"/>
      <c r="R837" s="104">
        <f t="shared" ref="R837:R900" si="44">IF(P837="Cargo",K837+L837-M837-N837+O837,0)</f>
        <v>0</v>
      </c>
      <c r="S837" s="104">
        <f t="shared" si="43"/>
        <v>0</v>
      </c>
      <c r="T837" s="104">
        <f t="shared" ref="T837:T900" si="45">IF(Q837="OK",+T836+R837-S837,T836)</f>
        <v>0</v>
      </c>
      <c r="X837" s="115"/>
    </row>
    <row r="838" spans="1:24">
      <c r="A838" s="101"/>
      <c r="B838" s="101"/>
      <c r="C838" s="101"/>
      <c r="D838" s="101"/>
      <c r="E838" s="101"/>
      <c r="F838" s="102"/>
      <c r="G838" s="101"/>
      <c r="H838" s="102"/>
      <c r="I838" s="101"/>
      <c r="J838" s="101"/>
      <c r="K838" s="103"/>
      <c r="L838" s="103"/>
      <c r="M838" s="103"/>
      <c r="N838" s="103"/>
      <c r="O838" s="103"/>
      <c r="P838" s="98"/>
      <c r="Q838" s="99"/>
      <c r="R838" s="105">
        <f t="shared" si="44"/>
        <v>0</v>
      </c>
      <c r="S838" s="108">
        <f t="shared" si="43"/>
        <v>0</v>
      </c>
      <c r="T838" s="105">
        <f t="shared" si="45"/>
        <v>0</v>
      </c>
      <c r="X838" s="115"/>
    </row>
    <row r="839" spans="1:24">
      <c r="A839" s="101"/>
      <c r="B839" s="101"/>
      <c r="C839" s="101"/>
      <c r="D839" s="101"/>
      <c r="E839" s="101"/>
      <c r="F839" s="102"/>
      <c r="G839" s="101"/>
      <c r="H839" s="102"/>
      <c r="I839" s="101"/>
      <c r="J839" s="101"/>
      <c r="K839" s="103"/>
      <c r="L839" s="103"/>
      <c r="M839" s="103"/>
      <c r="N839" s="103"/>
      <c r="O839" s="103"/>
      <c r="P839" s="98"/>
      <c r="Q839" s="99"/>
      <c r="R839" s="104">
        <f t="shared" si="44"/>
        <v>0</v>
      </c>
      <c r="S839" s="104">
        <f t="shared" si="43"/>
        <v>0</v>
      </c>
      <c r="T839" s="104">
        <f t="shared" si="45"/>
        <v>0</v>
      </c>
      <c r="X839" s="115"/>
    </row>
    <row r="840" spans="1:24">
      <c r="A840" s="101"/>
      <c r="B840" s="101"/>
      <c r="C840" s="101"/>
      <c r="D840" s="101"/>
      <c r="E840" s="101"/>
      <c r="F840" s="102"/>
      <c r="G840" s="101"/>
      <c r="H840" s="102"/>
      <c r="I840" s="101"/>
      <c r="J840" s="101"/>
      <c r="K840" s="103"/>
      <c r="L840" s="103"/>
      <c r="M840" s="103"/>
      <c r="N840" s="103"/>
      <c r="O840" s="103"/>
      <c r="P840" s="98"/>
      <c r="Q840" s="99"/>
      <c r="R840" s="105">
        <f t="shared" si="44"/>
        <v>0</v>
      </c>
      <c r="S840" s="108">
        <f t="shared" si="43"/>
        <v>0</v>
      </c>
      <c r="T840" s="105">
        <f t="shared" si="45"/>
        <v>0</v>
      </c>
      <c r="X840" s="115"/>
    </row>
    <row r="841" spans="1:24">
      <c r="A841" s="101"/>
      <c r="B841" s="101"/>
      <c r="C841" s="101"/>
      <c r="D841" s="101"/>
      <c r="E841" s="101"/>
      <c r="F841" s="102"/>
      <c r="G841" s="101"/>
      <c r="H841" s="102"/>
      <c r="I841" s="101"/>
      <c r="J841" s="101"/>
      <c r="K841" s="103"/>
      <c r="L841" s="103"/>
      <c r="M841" s="103"/>
      <c r="N841" s="103"/>
      <c r="O841" s="103"/>
      <c r="P841" s="98"/>
      <c r="Q841" s="99"/>
      <c r="R841" s="104">
        <f t="shared" si="44"/>
        <v>0</v>
      </c>
      <c r="S841" s="104">
        <f t="shared" si="43"/>
        <v>0</v>
      </c>
      <c r="T841" s="104">
        <f t="shared" si="45"/>
        <v>0</v>
      </c>
      <c r="X841" s="115"/>
    </row>
    <row r="842" spans="1:24">
      <c r="A842" s="101"/>
      <c r="B842" s="101"/>
      <c r="C842" s="101"/>
      <c r="D842" s="101"/>
      <c r="E842" s="101"/>
      <c r="F842" s="102"/>
      <c r="G842" s="101"/>
      <c r="H842" s="102"/>
      <c r="I842" s="101"/>
      <c r="J842" s="101"/>
      <c r="K842" s="103"/>
      <c r="L842" s="103"/>
      <c r="M842" s="103"/>
      <c r="N842" s="103"/>
      <c r="O842" s="103"/>
      <c r="P842" s="98"/>
      <c r="Q842" s="99"/>
      <c r="R842" s="105">
        <f t="shared" si="44"/>
        <v>0</v>
      </c>
      <c r="S842" s="108">
        <f t="shared" si="43"/>
        <v>0</v>
      </c>
      <c r="T842" s="105">
        <f t="shared" si="45"/>
        <v>0</v>
      </c>
      <c r="X842" s="115"/>
    </row>
    <row r="843" spans="1:24">
      <c r="A843" s="101"/>
      <c r="B843" s="101"/>
      <c r="C843" s="101"/>
      <c r="D843" s="101"/>
      <c r="E843" s="101"/>
      <c r="F843" s="102"/>
      <c r="G843" s="101"/>
      <c r="H843" s="102"/>
      <c r="I843" s="101"/>
      <c r="J843" s="101"/>
      <c r="K843" s="103"/>
      <c r="L843" s="103"/>
      <c r="M843" s="103"/>
      <c r="N843" s="103"/>
      <c r="O843" s="103"/>
      <c r="P843" s="98"/>
      <c r="Q843" s="99"/>
      <c r="R843" s="104">
        <f t="shared" si="44"/>
        <v>0</v>
      </c>
      <c r="S843" s="104">
        <f t="shared" si="43"/>
        <v>0</v>
      </c>
      <c r="T843" s="104">
        <f t="shared" si="45"/>
        <v>0</v>
      </c>
      <c r="X843" s="115"/>
    </row>
    <row r="844" spans="1:24">
      <c r="A844" s="101"/>
      <c r="B844" s="101"/>
      <c r="C844" s="101"/>
      <c r="D844" s="101"/>
      <c r="E844" s="101"/>
      <c r="F844" s="102"/>
      <c r="G844" s="101"/>
      <c r="H844" s="102"/>
      <c r="I844" s="101"/>
      <c r="J844" s="101"/>
      <c r="K844" s="103"/>
      <c r="L844" s="103"/>
      <c r="M844" s="103"/>
      <c r="N844" s="103"/>
      <c r="O844" s="103"/>
      <c r="P844" s="98"/>
      <c r="Q844" s="99"/>
      <c r="R844" s="105">
        <f t="shared" si="44"/>
        <v>0</v>
      </c>
      <c r="S844" s="108">
        <f t="shared" si="43"/>
        <v>0</v>
      </c>
      <c r="T844" s="105">
        <f t="shared" si="45"/>
        <v>0</v>
      </c>
      <c r="X844" s="115"/>
    </row>
    <row r="845" spans="1:24">
      <c r="A845" s="101"/>
      <c r="B845" s="101"/>
      <c r="C845" s="101"/>
      <c r="D845" s="101"/>
      <c r="E845" s="101"/>
      <c r="F845" s="102"/>
      <c r="G845" s="101"/>
      <c r="H845" s="102"/>
      <c r="I845" s="101"/>
      <c r="J845" s="101"/>
      <c r="K845" s="103"/>
      <c r="L845" s="103"/>
      <c r="M845" s="103"/>
      <c r="N845" s="103"/>
      <c r="O845" s="103"/>
      <c r="P845" s="98"/>
      <c r="Q845" s="99"/>
      <c r="R845" s="104">
        <f t="shared" si="44"/>
        <v>0</v>
      </c>
      <c r="S845" s="104">
        <f t="shared" si="43"/>
        <v>0</v>
      </c>
      <c r="T845" s="104">
        <f t="shared" si="45"/>
        <v>0</v>
      </c>
      <c r="X845" s="115"/>
    </row>
    <row r="846" spans="1:24">
      <c r="A846" s="101"/>
      <c r="B846" s="101"/>
      <c r="C846" s="101"/>
      <c r="D846" s="101"/>
      <c r="E846" s="101"/>
      <c r="F846" s="102"/>
      <c r="G846" s="101"/>
      <c r="H846" s="102"/>
      <c r="I846" s="101"/>
      <c r="J846" s="101"/>
      <c r="K846" s="103"/>
      <c r="L846" s="103"/>
      <c r="M846" s="103"/>
      <c r="N846" s="103"/>
      <c r="O846" s="103"/>
      <c r="P846" s="98"/>
      <c r="Q846" s="99"/>
      <c r="R846" s="105">
        <f t="shared" si="44"/>
        <v>0</v>
      </c>
      <c r="S846" s="108">
        <f t="shared" si="43"/>
        <v>0</v>
      </c>
      <c r="T846" s="105">
        <f t="shared" si="45"/>
        <v>0</v>
      </c>
      <c r="X846" s="115"/>
    </row>
    <row r="847" spans="1:24">
      <c r="A847" s="101"/>
      <c r="B847" s="101"/>
      <c r="C847" s="101"/>
      <c r="D847" s="101"/>
      <c r="E847" s="101"/>
      <c r="F847" s="102"/>
      <c r="G847" s="101"/>
      <c r="H847" s="102"/>
      <c r="I847" s="101"/>
      <c r="J847" s="101"/>
      <c r="K847" s="103"/>
      <c r="L847" s="103"/>
      <c r="M847" s="103"/>
      <c r="N847" s="103"/>
      <c r="O847" s="103"/>
      <c r="P847" s="98"/>
      <c r="Q847" s="99"/>
      <c r="R847" s="104">
        <f t="shared" si="44"/>
        <v>0</v>
      </c>
      <c r="S847" s="104">
        <f t="shared" si="43"/>
        <v>0</v>
      </c>
      <c r="T847" s="104">
        <f t="shared" si="45"/>
        <v>0</v>
      </c>
      <c r="X847" s="115"/>
    </row>
    <row r="848" spans="1:24">
      <c r="A848" s="101"/>
      <c r="B848" s="101"/>
      <c r="C848" s="101"/>
      <c r="D848" s="101"/>
      <c r="E848" s="101"/>
      <c r="F848" s="102"/>
      <c r="G848" s="101"/>
      <c r="H848" s="102"/>
      <c r="I848" s="101"/>
      <c r="J848" s="101"/>
      <c r="K848" s="103"/>
      <c r="L848" s="103"/>
      <c r="M848" s="103"/>
      <c r="N848" s="103"/>
      <c r="O848" s="103"/>
      <c r="P848" s="98"/>
      <c r="Q848" s="99"/>
      <c r="R848" s="105">
        <f t="shared" si="44"/>
        <v>0</v>
      </c>
      <c r="S848" s="108">
        <f t="shared" si="43"/>
        <v>0</v>
      </c>
      <c r="T848" s="105">
        <f t="shared" si="45"/>
        <v>0</v>
      </c>
      <c r="X848" s="115"/>
    </row>
    <row r="849" spans="1:24">
      <c r="A849" s="101"/>
      <c r="B849" s="101"/>
      <c r="C849" s="101"/>
      <c r="D849" s="101"/>
      <c r="E849" s="101"/>
      <c r="F849" s="102"/>
      <c r="G849" s="101"/>
      <c r="H849" s="102"/>
      <c r="I849" s="101"/>
      <c r="J849" s="101"/>
      <c r="K849" s="103"/>
      <c r="L849" s="103"/>
      <c r="M849" s="103"/>
      <c r="N849" s="103"/>
      <c r="O849" s="103"/>
      <c r="P849" s="98"/>
      <c r="Q849" s="99"/>
      <c r="R849" s="104">
        <f t="shared" si="44"/>
        <v>0</v>
      </c>
      <c r="S849" s="104">
        <f t="shared" si="43"/>
        <v>0</v>
      </c>
      <c r="T849" s="104">
        <f t="shared" si="45"/>
        <v>0</v>
      </c>
      <c r="X849" s="115"/>
    </row>
    <row r="850" spans="1:24">
      <c r="A850" s="101"/>
      <c r="B850" s="101"/>
      <c r="C850" s="101"/>
      <c r="D850" s="101"/>
      <c r="E850" s="101"/>
      <c r="F850" s="102"/>
      <c r="G850" s="101"/>
      <c r="H850" s="102"/>
      <c r="I850" s="101"/>
      <c r="J850" s="101"/>
      <c r="K850" s="103"/>
      <c r="L850" s="103"/>
      <c r="M850" s="103"/>
      <c r="N850" s="103"/>
      <c r="O850" s="103"/>
      <c r="P850" s="98"/>
      <c r="Q850" s="99"/>
      <c r="R850" s="105">
        <f t="shared" si="44"/>
        <v>0</v>
      </c>
      <c r="S850" s="108">
        <f t="shared" si="43"/>
        <v>0</v>
      </c>
      <c r="T850" s="105">
        <f t="shared" si="45"/>
        <v>0</v>
      </c>
      <c r="X850" s="115"/>
    </row>
    <row r="851" spans="1:24">
      <c r="A851" s="101"/>
      <c r="B851" s="101"/>
      <c r="C851" s="101"/>
      <c r="D851" s="101"/>
      <c r="E851" s="101"/>
      <c r="F851" s="102"/>
      <c r="G851" s="101"/>
      <c r="H851" s="102"/>
      <c r="I851" s="101"/>
      <c r="J851" s="101"/>
      <c r="K851" s="103"/>
      <c r="L851" s="103"/>
      <c r="M851" s="103"/>
      <c r="N851" s="103"/>
      <c r="O851" s="103"/>
      <c r="P851" s="98"/>
      <c r="Q851" s="99"/>
      <c r="R851" s="104">
        <f t="shared" si="44"/>
        <v>0</v>
      </c>
      <c r="S851" s="104">
        <f t="shared" si="43"/>
        <v>0</v>
      </c>
      <c r="T851" s="104">
        <f t="shared" si="45"/>
        <v>0</v>
      </c>
      <c r="X851" s="115"/>
    </row>
    <row r="852" spans="1:24">
      <c r="A852" s="101"/>
      <c r="B852" s="101"/>
      <c r="C852" s="101"/>
      <c r="D852" s="101"/>
      <c r="E852" s="101"/>
      <c r="F852" s="102"/>
      <c r="G852" s="101"/>
      <c r="H852" s="102"/>
      <c r="I852" s="101"/>
      <c r="J852" s="101"/>
      <c r="K852" s="103"/>
      <c r="L852" s="103"/>
      <c r="M852" s="103"/>
      <c r="N852" s="103"/>
      <c r="O852" s="103"/>
      <c r="P852" s="98"/>
      <c r="Q852" s="99"/>
      <c r="R852" s="105">
        <f t="shared" si="44"/>
        <v>0</v>
      </c>
      <c r="S852" s="108">
        <f t="shared" si="43"/>
        <v>0</v>
      </c>
      <c r="T852" s="105">
        <f t="shared" si="45"/>
        <v>0</v>
      </c>
      <c r="X852" s="115"/>
    </row>
    <row r="853" spans="1:24">
      <c r="A853" s="101"/>
      <c r="B853" s="101"/>
      <c r="C853" s="101"/>
      <c r="D853" s="101"/>
      <c r="E853" s="101"/>
      <c r="F853" s="102"/>
      <c r="G853" s="101"/>
      <c r="H853" s="102"/>
      <c r="I853" s="101"/>
      <c r="J853" s="101"/>
      <c r="K853" s="103"/>
      <c r="L853" s="103"/>
      <c r="M853" s="103"/>
      <c r="N853" s="103"/>
      <c r="O853" s="103"/>
      <c r="P853" s="98"/>
      <c r="Q853" s="99"/>
      <c r="R853" s="104">
        <f t="shared" si="44"/>
        <v>0</v>
      </c>
      <c r="S853" s="104">
        <f t="shared" si="43"/>
        <v>0</v>
      </c>
      <c r="T853" s="104">
        <f t="shared" si="45"/>
        <v>0</v>
      </c>
      <c r="X853" s="115"/>
    </row>
    <row r="854" spans="1:24">
      <c r="A854" s="101"/>
      <c r="B854" s="101"/>
      <c r="C854" s="101"/>
      <c r="D854" s="101"/>
      <c r="E854" s="101"/>
      <c r="F854" s="102"/>
      <c r="G854" s="101"/>
      <c r="H854" s="102"/>
      <c r="I854" s="101"/>
      <c r="J854" s="101"/>
      <c r="K854" s="103"/>
      <c r="L854" s="103"/>
      <c r="M854" s="103"/>
      <c r="N854" s="103"/>
      <c r="O854" s="103"/>
      <c r="P854" s="98"/>
      <c r="Q854" s="99"/>
      <c r="R854" s="105">
        <f t="shared" si="44"/>
        <v>0</v>
      </c>
      <c r="S854" s="108">
        <f t="shared" si="43"/>
        <v>0</v>
      </c>
      <c r="T854" s="105">
        <f t="shared" si="45"/>
        <v>0</v>
      </c>
      <c r="X854" s="115"/>
    </row>
    <row r="855" spans="1:24">
      <c r="A855" s="101"/>
      <c r="B855" s="101"/>
      <c r="C855" s="101"/>
      <c r="D855" s="101"/>
      <c r="E855" s="101"/>
      <c r="F855" s="102"/>
      <c r="G855" s="101"/>
      <c r="H855" s="102"/>
      <c r="I855" s="101"/>
      <c r="J855" s="101"/>
      <c r="K855" s="103"/>
      <c r="L855" s="103"/>
      <c r="M855" s="103"/>
      <c r="N855" s="103"/>
      <c r="O855" s="103"/>
      <c r="P855" s="98"/>
      <c r="Q855" s="99"/>
      <c r="R855" s="104">
        <f t="shared" si="44"/>
        <v>0</v>
      </c>
      <c r="S855" s="104">
        <f t="shared" si="43"/>
        <v>0</v>
      </c>
      <c r="T855" s="104">
        <f t="shared" si="45"/>
        <v>0</v>
      </c>
      <c r="X855" s="115"/>
    </row>
    <row r="856" spans="1:24">
      <c r="A856" s="101"/>
      <c r="B856" s="101"/>
      <c r="C856" s="101"/>
      <c r="D856" s="101"/>
      <c r="E856" s="101"/>
      <c r="F856" s="102"/>
      <c r="G856" s="101"/>
      <c r="H856" s="102"/>
      <c r="I856" s="101"/>
      <c r="J856" s="101"/>
      <c r="K856" s="103"/>
      <c r="L856" s="103"/>
      <c r="M856" s="103"/>
      <c r="N856" s="103"/>
      <c r="O856" s="103"/>
      <c r="P856" s="98"/>
      <c r="Q856" s="99"/>
      <c r="R856" s="105">
        <f t="shared" si="44"/>
        <v>0</v>
      </c>
      <c r="S856" s="108">
        <f t="shared" si="43"/>
        <v>0</v>
      </c>
      <c r="T856" s="105">
        <f t="shared" si="45"/>
        <v>0</v>
      </c>
      <c r="X856" s="115"/>
    </row>
    <row r="857" spans="1:24">
      <c r="A857" s="101"/>
      <c r="B857" s="101"/>
      <c r="C857" s="101"/>
      <c r="D857" s="101"/>
      <c r="E857" s="101"/>
      <c r="F857" s="102"/>
      <c r="G857" s="101"/>
      <c r="H857" s="102"/>
      <c r="I857" s="101"/>
      <c r="J857" s="101"/>
      <c r="K857" s="103"/>
      <c r="L857" s="103"/>
      <c r="M857" s="103"/>
      <c r="N857" s="103"/>
      <c r="O857" s="103"/>
      <c r="P857" s="98"/>
      <c r="Q857" s="99"/>
      <c r="R857" s="104">
        <f t="shared" si="44"/>
        <v>0</v>
      </c>
      <c r="S857" s="104">
        <f t="shared" si="43"/>
        <v>0</v>
      </c>
      <c r="T857" s="104">
        <f t="shared" si="45"/>
        <v>0</v>
      </c>
      <c r="X857" s="115"/>
    </row>
    <row r="858" spans="1:24">
      <c r="A858" s="101"/>
      <c r="B858" s="101"/>
      <c r="C858" s="101"/>
      <c r="D858" s="101"/>
      <c r="E858" s="101"/>
      <c r="F858" s="102"/>
      <c r="G858" s="101"/>
      <c r="H858" s="102"/>
      <c r="I858" s="101"/>
      <c r="J858" s="101"/>
      <c r="K858" s="103"/>
      <c r="L858" s="103"/>
      <c r="M858" s="103"/>
      <c r="N858" s="103"/>
      <c r="O858" s="103"/>
      <c r="P858" s="98"/>
      <c r="Q858" s="99"/>
      <c r="R858" s="105">
        <f t="shared" si="44"/>
        <v>0</v>
      </c>
      <c r="S858" s="108">
        <f t="shared" si="43"/>
        <v>0</v>
      </c>
      <c r="T858" s="105">
        <f t="shared" si="45"/>
        <v>0</v>
      </c>
      <c r="X858" s="115"/>
    </row>
    <row r="859" spans="1:24">
      <c r="A859" s="101"/>
      <c r="B859" s="101"/>
      <c r="C859" s="101"/>
      <c r="D859" s="101"/>
      <c r="E859" s="101"/>
      <c r="F859" s="102"/>
      <c r="G859" s="101"/>
      <c r="H859" s="102"/>
      <c r="I859" s="101"/>
      <c r="J859" s="101"/>
      <c r="K859" s="103"/>
      <c r="L859" s="103"/>
      <c r="M859" s="103"/>
      <c r="N859" s="103"/>
      <c r="O859" s="103"/>
      <c r="P859" s="98"/>
      <c r="Q859" s="99"/>
      <c r="R859" s="104">
        <f t="shared" si="44"/>
        <v>0</v>
      </c>
      <c r="S859" s="104">
        <f t="shared" si="43"/>
        <v>0</v>
      </c>
      <c r="T859" s="104">
        <f t="shared" si="45"/>
        <v>0</v>
      </c>
      <c r="X859" s="115"/>
    </row>
    <row r="860" spans="1:24">
      <c r="A860" s="101"/>
      <c r="B860" s="101"/>
      <c r="C860" s="101"/>
      <c r="D860" s="101"/>
      <c r="E860" s="101"/>
      <c r="F860" s="102"/>
      <c r="G860" s="101"/>
      <c r="H860" s="102"/>
      <c r="I860" s="101"/>
      <c r="J860" s="101"/>
      <c r="K860" s="103"/>
      <c r="L860" s="103"/>
      <c r="M860" s="103"/>
      <c r="N860" s="103"/>
      <c r="O860" s="103"/>
      <c r="P860" s="98"/>
      <c r="Q860" s="99"/>
      <c r="R860" s="105">
        <f t="shared" si="44"/>
        <v>0</v>
      </c>
      <c r="S860" s="108">
        <f t="shared" si="43"/>
        <v>0</v>
      </c>
      <c r="T860" s="105">
        <f t="shared" si="45"/>
        <v>0</v>
      </c>
      <c r="X860" s="115"/>
    </row>
    <row r="861" spans="1:24">
      <c r="A861" s="101"/>
      <c r="B861" s="101"/>
      <c r="C861" s="101"/>
      <c r="D861" s="101"/>
      <c r="E861" s="101"/>
      <c r="F861" s="102"/>
      <c r="G861" s="101"/>
      <c r="H861" s="102"/>
      <c r="I861" s="101"/>
      <c r="J861" s="101"/>
      <c r="K861" s="103"/>
      <c r="L861" s="103"/>
      <c r="M861" s="103"/>
      <c r="N861" s="103"/>
      <c r="O861" s="103"/>
      <c r="P861" s="98"/>
      <c r="Q861" s="99"/>
      <c r="R861" s="104">
        <f t="shared" si="44"/>
        <v>0</v>
      </c>
      <c r="S861" s="104">
        <f t="shared" si="43"/>
        <v>0</v>
      </c>
      <c r="T861" s="104">
        <f t="shared" si="45"/>
        <v>0</v>
      </c>
      <c r="X861" s="115"/>
    </row>
    <row r="862" spans="1:24">
      <c r="A862" s="101"/>
      <c r="B862" s="101"/>
      <c r="C862" s="101"/>
      <c r="D862" s="101"/>
      <c r="E862" s="101"/>
      <c r="F862" s="102"/>
      <c r="G862" s="101"/>
      <c r="H862" s="102"/>
      <c r="I862" s="101"/>
      <c r="J862" s="101"/>
      <c r="K862" s="103"/>
      <c r="L862" s="103"/>
      <c r="M862" s="103"/>
      <c r="N862" s="103"/>
      <c r="O862" s="103"/>
      <c r="P862" s="98"/>
      <c r="Q862" s="99"/>
      <c r="R862" s="105">
        <f t="shared" si="44"/>
        <v>0</v>
      </c>
      <c r="S862" s="108">
        <f t="shared" si="43"/>
        <v>0</v>
      </c>
      <c r="T862" s="105">
        <f t="shared" si="45"/>
        <v>0</v>
      </c>
      <c r="X862" s="115"/>
    </row>
    <row r="863" spans="1:24">
      <c r="A863" s="101"/>
      <c r="B863" s="101"/>
      <c r="C863" s="101"/>
      <c r="D863" s="101"/>
      <c r="E863" s="101"/>
      <c r="F863" s="102"/>
      <c r="G863" s="101"/>
      <c r="H863" s="102"/>
      <c r="I863" s="101"/>
      <c r="J863" s="101"/>
      <c r="K863" s="103"/>
      <c r="L863" s="103"/>
      <c r="M863" s="103"/>
      <c r="N863" s="103"/>
      <c r="O863" s="103"/>
      <c r="P863" s="98"/>
      <c r="Q863" s="99"/>
      <c r="R863" s="104">
        <f t="shared" si="44"/>
        <v>0</v>
      </c>
      <c r="S863" s="104">
        <f t="shared" si="43"/>
        <v>0</v>
      </c>
      <c r="T863" s="104">
        <f t="shared" si="45"/>
        <v>0</v>
      </c>
      <c r="X863" s="115"/>
    </row>
    <row r="864" spans="1:24">
      <c r="A864" s="101"/>
      <c r="B864" s="101"/>
      <c r="C864" s="101"/>
      <c r="D864" s="101"/>
      <c r="E864" s="101"/>
      <c r="F864" s="102"/>
      <c r="G864" s="101"/>
      <c r="H864" s="102"/>
      <c r="I864" s="101"/>
      <c r="J864" s="101"/>
      <c r="K864" s="103"/>
      <c r="L864" s="103"/>
      <c r="M864" s="103"/>
      <c r="N864" s="103"/>
      <c r="O864" s="103"/>
      <c r="P864" s="98"/>
      <c r="Q864" s="99"/>
      <c r="R864" s="105">
        <f t="shared" si="44"/>
        <v>0</v>
      </c>
      <c r="S864" s="108">
        <f t="shared" si="43"/>
        <v>0</v>
      </c>
      <c r="T864" s="105">
        <f t="shared" si="45"/>
        <v>0</v>
      </c>
      <c r="X864" s="115"/>
    </row>
    <row r="865" spans="1:24">
      <c r="A865" s="101"/>
      <c r="B865" s="101"/>
      <c r="C865" s="101"/>
      <c r="D865" s="101"/>
      <c r="E865" s="101"/>
      <c r="F865" s="102"/>
      <c r="G865" s="101"/>
      <c r="H865" s="102"/>
      <c r="I865" s="101"/>
      <c r="J865" s="101"/>
      <c r="K865" s="103"/>
      <c r="L865" s="103"/>
      <c r="M865" s="103"/>
      <c r="N865" s="103"/>
      <c r="O865" s="103"/>
      <c r="P865" s="98"/>
      <c r="Q865" s="99"/>
      <c r="R865" s="104">
        <f t="shared" si="44"/>
        <v>0</v>
      </c>
      <c r="S865" s="104">
        <f t="shared" si="43"/>
        <v>0</v>
      </c>
      <c r="T865" s="104">
        <f t="shared" si="45"/>
        <v>0</v>
      </c>
      <c r="X865" s="115"/>
    </row>
    <row r="866" spans="1:24">
      <c r="A866" s="101"/>
      <c r="B866" s="101"/>
      <c r="C866" s="101"/>
      <c r="D866" s="101"/>
      <c r="E866" s="101"/>
      <c r="F866" s="102"/>
      <c r="G866" s="101"/>
      <c r="H866" s="102"/>
      <c r="I866" s="101"/>
      <c r="J866" s="101"/>
      <c r="K866" s="103"/>
      <c r="L866" s="103"/>
      <c r="M866" s="103"/>
      <c r="N866" s="103"/>
      <c r="O866" s="103"/>
      <c r="P866" s="98"/>
      <c r="Q866" s="99"/>
      <c r="R866" s="105">
        <f t="shared" si="44"/>
        <v>0</v>
      </c>
      <c r="S866" s="108">
        <f t="shared" si="43"/>
        <v>0</v>
      </c>
      <c r="T866" s="105">
        <f t="shared" si="45"/>
        <v>0</v>
      </c>
      <c r="X866" s="115"/>
    </row>
    <row r="867" spans="1:24">
      <c r="A867" s="101"/>
      <c r="B867" s="101"/>
      <c r="C867" s="101"/>
      <c r="D867" s="101"/>
      <c r="E867" s="101"/>
      <c r="F867" s="102"/>
      <c r="G867" s="101"/>
      <c r="H867" s="102"/>
      <c r="I867" s="101"/>
      <c r="J867" s="101"/>
      <c r="K867" s="103"/>
      <c r="L867" s="103"/>
      <c r="M867" s="103"/>
      <c r="N867" s="103"/>
      <c r="O867" s="103"/>
      <c r="P867" s="98"/>
      <c r="Q867" s="99"/>
      <c r="R867" s="104">
        <f t="shared" si="44"/>
        <v>0</v>
      </c>
      <c r="S867" s="104">
        <f t="shared" si="43"/>
        <v>0</v>
      </c>
      <c r="T867" s="104">
        <f t="shared" si="45"/>
        <v>0</v>
      </c>
      <c r="X867" s="115"/>
    </row>
    <row r="868" spans="1:24">
      <c r="A868" s="101"/>
      <c r="B868" s="101"/>
      <c r="C868" s="101"/>
      <c r="D868" s="101"/>
      <c r="E868" s="101"/>
      <c r="F868" s="102"/>
      <c r="G868" s="101"/>
      <c r="H868" s="102"/>
      <c r="I868" s="101"/>
      <c r="J868" s="101"/>
      <c r="K868" s="103"/>
      <c r="L868" s="103"/>
      <c r="M868" s="103"/>
      <c r="N868" s="103"/>
      <c r="O868" s="103"/>
      <c r="P868" s="98"/>
      <c r="Q868" s="99"/>
      <c r="R868" s="105">
        <f t="shared" si="44"/>
        <v>0</v>
      </c>
      <c r="S868" s="108">
        <f t="shared" si="43"/>
        <v>0</v>
      </c>
      <c r="T868" s="105">
        <f t="shared" si="45"/>
        <v>0</v>
      </c>
      <c r="X868" s="115"/>
    </row>
    <row r="869" spans="1:24">
      <c r="A869" s="101"/>
      <c r="B869" s="101"/>
      <c r="C869" s="101"/>
      <c r="D869" s="101"/>
      <c r="E869" s="101"/>
      <c r="F869" s="102"/>
      <c r="G869" s="101"/>
      <c r="H869" s="102"/>
      <c r="I869" s="101"/>
      <c r="J869" s="101"/>
      <c r="K869" s="103"/>
      <c r="L869" s="103"/>
      <c r="M869" s="103"/>
      <c r="N869" s="103"/>
      <c r="O869" s="103"/>
      <c r="P869" s="98"/>
      <c r="Q869" s="99"/>
      <c r="R869" s="104">
        <f t="shared" si="44"/>
        <v>0</v>
      </c>
      <c r="S869" s="104">
        <f t="shared" si="43"/>
        <v>0</v>
      </c>
      <c r="T869" s="104">
        <f t="shared" si="45"/>
        <v>0</v>
      </c>
      <c r="X869" s="115"/>
    </row>
    <row r="870" spans="1:24">
      <c r="A870" s="101"/>
      <c r="B870" s="101"/>
      <c r="C870" s="101"/>
      <c r="D870" s="101"/>
      <c r="E870" s="101"/>
      <c r="F870" s="102"/>
      <c r="G870" s="101"/>
      <c r="H870" s="102"/>
      <c r="I870" s="101"/>
      <c r="J870" s="101"/>
      <c r="K870" s="103"/>
      <c r="L870" s="103"/>
      <c r="M870" s="103"/>
      <c r="N870" s="103"/>
      <c r="O870" s="103"/>
      <c r="P870" s="98"/>
      <c r="Q870" s="99"/>
      <c r="R870" s="105">
        <f t="shared" si="44"/>
        <v>0</v>
      </c>
      <c r="S870" s="108">
        <f t="shared" si="43"/>
        <v>0</v>
      </c>
      <c r="T870" s="105">
        <f t="shared" si="45"/>
        <v>0</v>
      </c>
      <c r="X870" s="115"/>
    </row>
    <row r="871" spans="1:24">
      <c r="A871" s="101"/>
      <c r="B871" s="101"/>
      <c r="C871" s="101"/>
      <c r="D871" s="101"/>
      <c r="E871" s="101"/>
      <c r="F871" s="102"/>
      <c r="G871" s="101"/>
      <c r="H871" s="102"/>
      <c r="I871" s="101"/>
      <c r="J871" s="101"/>
      <c r="K871" s="103"/>
      <c r="L871" s="103"/>
      <c r="M871" s="103"/>
      <c r="N871" s="103"/>
      <c r="O871" s="103"/>
      <c r="P871" s="98"/>
      <c r="Q871" s="99"/>
      <c r="R871" s="104">
        <f t="shared" si="44"/>
        <v>0</v>
      </c>
      <c r="S871" s="104">
        <f t="shared" si="43"/>
        <v>0</v>
      </c>
      <c r="T871" s="104">
        <f t="shared" si="45"/>
        <v>0</v>
      </c>
      <c r="X871" s="115"/>
    </row>
    <row r="872" spans="1:24">
      <c r="A872" s="101"/>
      <c r="B872" s="101"/>
      <c r="C872" s="101"/>
      <c r="D872" s="101"/>
      <c r="E872" s="101"/>
      <c r="F872" s="102"/>
      <c r="G872" s="101"/>
      <c r="H872" s="102"/>
      <c r="I872" s="101"/>
      <c r="J872" s="101"/>
      <c r="K872" s="103"/>
      <c r="L872" s="103"/>
      <c r="M872" s="103"/>
      <c r="N872" s="103"/>
      <c r="O872" s="103"/>
      <c r="P872" s="98"/>
      <c r="Q872" s="99"/>
      <c r="R872" s="105">
        <f t="shared" si="44"/>
        <v>0</v>
      </c>
      <c r="S872" s="108">
        <f t="shared" si="43"/>
        <v>0</v>
      </c>
      <c r="T872" s="105">
        <f t="shared" si="45"/>
        <v>0</v>
      </c>
      <c r="X872" s="115"/>
    </row>
    <row r="873" spans="1:24">
      <c r="A873" s="101"/>
      <c r="B873" s="101"/>
      <c r="C873" s="101"/>
      <c r="D873" s="101"/>
      <c r="E873" s="101"/>
      <c r="F873" s="102"/>
      <c r="G873" s="101"/>
      <c r="H873" s="102"/>
      <c r="I873" s="101"/>
      <c r="J873" s="101"/>
      <c r="K873" s="103"/>
      <c r="L873" s="103"/>
      <c r="M873" s="103"/>
      <c r="N873" s="103"/>
      <c r="O873" s="103"/>
      <c r="P873" s="98"/>
      <c r="Q873" s="99"/>
      <c r="R873" s="104">
        <f t="shared" si="44"/>
        <v>0</v>
      </c>
      <c r="S873" s="104">
        <f t="shared" si="43"/>
        <v>0</v>
      </c>
      <c r="T873" s="104">
        <f t="shared" si="45"/>
        <v>0</v>
      </c>
      <c r="X873" s="115"/>
    </row>
    <row r="874" spans="1:24">
      <c r="A874" s="101"/>
      <c r="B874" s="101"/>
      <c r="C874" s="101"/>
      <c r="D874" s="101"/>
      <c r="E874" s="101"/>
      <c r="F874" s="102"/>
      <c r="G874" s="101"/>
      <c r="H874" s="102"/>
      <c r="I874" s="101"/>
      <c r="J874" s="101"/>
      <c r="K874" s="103"/>
      <c r="L874" s="103"/>
      <c r="M874" s="103"/>
      <c r="N874" s="103"/>
      <c r="O874" s="103"/>
      <c r="P874" s="98"/>
      <c r="Q874" s="99"/>
      <c r="R874" s="105">
        <f t="shared" si="44"/>
        <v>0</v>
      </c>
      <c r="S874" s="108">
        <f t="shared" si="43"/>
        <v>0</v>
      </c>
      <c r="T874" s="105">
        <f t="shared" si="45"/>
        <v>0</v>
      </c>
      <c r="X874" s="115"/>
    </row>
    <row r="875" spans="1:24">
      <c r="A875" s="101"/>
      <c r="B875" s="101"/>
      <c r="C875" s="101"/>
      <c r="D875" s="101"/>
      <c r="E875" s="101"/>
      <c r="F875" s="102"/>
      <c r="G875" s="101"/>
      <c r="H875" s="102"/>
      <c r="I875" s="101"/>
      <c r="J875" s="101"/>
      <c r="K875" s="103"/>
      <c r="L875" s="103"/>
      <c r="M875" s="103"/>
      <c r="N875" s="103"/>
      <c r="O875" s="103"/>
      <c r="P875" s="98"/>
      <c r="Q875" s="99"/>
      <c r="R875" s="104">
        <f t="shared" si="44"/>
        <v>0</v>
      </c>
      <c r="S875" s="104">
        <f t="shared" si="43"/>
        <v>0</v>
      </c>
      <c r="T875" s="104">
        <f t="shared" si="45"/>
        <v>0</v>
      </c>
      <c r="X875" s="115"/>
    </row>
    <row r="876" spans="1:24">
      <c r="A876" s="101"/>
      <c r="B876" s="101"/>
      <c r="C876" s="101"/>
      <c r="D876" s="101"/>
      <c r="E876" s="101"/>
      <c r="F876" s="102"/>
      <c r="G876" s="101"/>
      <c r="H876" s="102"/>
      <c r="I876" s="101"/>
      <c r="J876" s="101"/>
      <c r="K876" s="103"/>
      <c r="L876" s="103"/>
      <c r="M876" s="103"/>
      <c r="N876" s="103"/>
      <c r="O876" s="103"/>
      <c r="P876" s="98"/>
      <c r="Q876" s="99"/>
      <c r="R876" s="105">
        <f t="shared" si="44"/>
        <v>0</v>
      </c>
      <c r="S876" s="108">
        <f t="shared" si="43"/>
        <v>0</v>
      </c>
      <c r="T876" s="105">
        <f t="shared" si="45"/>
        <v>0</v>
      </c>
      <c r="X876" s="115"/>
    </row>
    <row r="877" spans="1:24">
      <c r="A877" s="101"/>
      <c r="B877" s="101"/>
      <c r="C877" s="101"/>
      <c r="D877" s="101"/>
      <c r="E877" s="101"/>
      <c r="F877" s="102"/>
      <c r="G877" s="101"/>
      <c r="H877" s="102"/>
      <c r="I877" s="101"/>
      <c r="J877" s="101"/>
      <c r="K877" s="103"/>
      <c r="L877" s="103"/>
      <c r="M877" s="103"/>
      <c r="N877" s="103"/>
      <c r="O877" s="103"/>
      <c r="P877" s="98"/>
      <c r="Q877" s="99"/>
      <c r="R877" s="104">
        <f t="shared" si="44"/>
        <v>0</v>
      </c>
      <c r="S877" s="104">
        <f t="shared" si="43"/>
        <v>0</v>
      </c>
      <c r="T877" s="104">
        <f t="shared" si="45"/>
        <v>0</v>
      </c>
      <c r="X877" s="115"/>
    </row>
    <row r="878" spans="1:24">
      <c r="A878" s="101"/>
      <c r="B878" s="101"/>
      <c r="C878" s="101"/>
      <c r="D878" s="101"/>
      <c r="E878" s="101"/>
      <c r="F878" s="102"/>
      <c r="G878" s="101"/>
      <c r="H878" s="102"/>
      <c r="I878" s="101"/>
      <c r="J878" s="101"/>
      <c r="K878" s="103"/>
      <c r="L878" s="103"/>
      <c r="M878" s="103"/>
      <c r="N878" s="103"/>
      <c r="O878" s="103"/>
      <c r="P878" s="98"/>
      <c r="Q878" s="99"/>
      <c r="R878" s="105">
        <f t="shared" si="44"/>
        <v>0</v>
      </c>
      <c r="S878" s="108">
        <f t="shared" si="43"/>
        <v>0</v>
      </c>
      <c r="T878" s="105">
        <f t="shared" si="45"/>
        <v>0</v>
      </c>
      <c r="X878" s="115"/>
    </row>
    <row r="879" spans="1:24">
      <c r="A879" s="101"/>
      <c r="B879" s="101"/>
      <c r="C879" s="101"/>
      <c r="D879" s="101"/>
      <c r="E879" s="101"/>
      <c r="F879" s="102"/>
      <c r="G879" s="101"/>
      <c r="H879" s="102"/>
      <c r="I879" s="101"/>
      <c r="J879" s="101"/>
      <c r="K879" s="103"/>
      <c r="L879" s="103"/>
      <c r="M879" s="103"/>
      <c r="N879" s="103"/>
      <c r="O879" s="103"/>
      <c r="P879" s="98"/>
      <c r="Q879" s="99"/>
      <c r="R879" s="104">
        <f t="shared" si="44"/>
        <v>0</v>
      </c>
      <c r="S879" s="104">
        <f t="shared" si="43"/>
        <v>0</v>
      </c>
      <c r="T879" s="104">
        <f t="shared" si="45"/>
        <v>0</v>
      </c>
      <c r="X879" s="115"/>
    </row>
    <row r="880" spans="1:24">
      <c r="A880" s="101"/>
      <c r="B880" s="101"/>
      <c r="C880" s="101"/>
      <c r="D880" s="101"/>
      <c r="E880" s="101"/>
      <c r="F880" s="102"/>
      <c r="G880" s="101"/>
      <c r="H880" s="102"/>
      <c r="I880" s="101"/>
      <c r="J880" s="101"/>
      <c r="K880" s="103"/>
      <c r="L880" s="103"/>
      <c r="M880" s="103"/>
      <c r="N880" s="103"/>
      <c r="O880" s="103"/>
      <c r="P880" s="98"/>
      <c r="Q880" s="99"/>
      <c r="R880" s="105">
        <f t="shared" si="44"/>
        <v>0</v>
      </c>
      <c r="S880" s="108">
        <f t="shared" si="43"/>
        <v>0</v>
      </c>
      <c r="T880" s="105">
        <f t="shared" si="45"/>
        <v>0</v>
      </c>
      <c r="X880" s="115"/>
    </row>
    <row r="881" spans="1:24">
      <c r="A881" s="101"/>
      <c r="B881" s="101"/>
      <c r="C881" s="101"/>
      <c r="D881" s="101"/>
      <c r="E881" s="101"/>
      <c r="F881" s="102"/>
      <c r="G881" s="101"/>
      <c r="H881" s="102"/>
      <c r="I881" s="101"/>
      <c r="J881" s="101"/>
      <c r="K881" s="103"/>
      <c r="L881" s="103"/>
      <c r="M881" s="103"/>
      <c r="N881" s="103"/>
      <c r="O881" s="103"/>
      <c r="P881" s="98"/>
      <c r="Q881" s="99"/>
      <c r="R881" s="104">
        <f t="shared" si="44"/>
        <v>0</v>
      </c>
      <c r="S881" s="104">
        <f t="shared" si="43"/>
        <v>0</v>
      </c>
      <c r="T881" s="104">
        <f t="shared" si="45"/>
        <v>0</v>
      </c>
      <c r="X881" s="115"/>
    </row>
    <row r="882" spans="1:24">
      <c r="A882" s="101"/>
      <c r="B882" s="101"/>
      <c r="C882" s="101"/>
      <c r="D882" s="101"/>
      <c r="E882" s="101"/>
      <c r="F882" s="102"/>
      <c r="G882" s="101"/>
      <c r="H882" s="102"/>
      <c r="I882" s="101"/>
      <c r="J882" s="101"/>
      <c r="K882" s="103"/>
      <c r="L882" s="103"/>
      <c r="M882" s="103"/>
      <c r="N882" s="103"/>
      <c r="O882" s="103"/>
      <c r="P882" s="98"/>
      <c r="Q882" s="99"/>
      <c r="R882" s="105">
        <f t="shared" si="44"/>
        <v>0</v>
      </c>
      <c r="S882" s="108">
        <f t="shared" si="43"/>
        <v>0</v>
      </c>
      <c r="T882" s="105">
        <f t="shared" si="45"/>
        <v>0</v>
      </c>
      <c r="X882" s="115"/>
    </row>
    <row r="883" spans="1:24">
      <c r="A883" s="101"/>
      <c r="B883" s="101"/>
      <c r="C883" s="101"/>
      <c r="D883" s="101"/>
      <c r="E883" s="101"/>
      <c r="F883" s="102"/>
      <c r="G883" s="101"/>
      <c r="H883" s="102"/>
      <c r="I883" s="101"/>
      <c r="J883" s="101"/>
      <c r="K883" s="103"/>
      <c r="L883" s="103"/>
      <c r="M883" s="103"/>
      <c r="N883" s="103"/>
      <c r="O883" s="103"/>
      <c r="P883" s="98"/>
      <c r="Q883" s="99"/>
      <c r="R883" s="104">
        <f t="shared" si="44"/>
        <v>0</v>
      </c>
      <c r="S883" s="104">
        <f t="shared" si="43"/>
        <v>0</v>
      </c>
      <c r="T883" s="104">
        <f t="shared" si="45"/>
        <v>0</v>
      </c>
      <c r="X883" s="115"/>
    </row>
    <row r="884" spans="1:24">
      <c r="A884" s="101"/>
      <c r="B884" s="101"/>
      <c r="C884" s="101"/>
      <c r="D884" s="101"/>
      <c r="E884" s="101"/>
      <c r="F884" s="102"/>
      <c r="G884" s="101"/>
      <c r="H884" s="102"/>
      <c r="I884" s="101"/>
      <c r="J884" s="101"/>
      <c r="K884" s="103"/>
      <c r="L884" s="103"/>
      <c r="M884" s="103"/>
      <c r="N884" s="103"/>
      <c r="O884" s="103"/>
      <c r="P884" s="98"/>
      <c r="Q884" s="99"/>
      <c r="R884" s="105">
        <f t="shared" si="44"/>
        <v>0</v>
      </c>
      <c r="S884" s="108">
        <f t="shared" si="43"/>
        <v>0</v>
      </c>
      <c r="T884" s="105">
        <f t="shared" si="45"/>
        <v>0</v>
      </c>
      <c r="X884" s="115"/>
    </row>
    <row r="885" spans="1:24">
      <c r="A885" s="101"/>
      <c r="B885" s="101"/>
      <c r="C885" s="101"/>
      <c r="D885" s="101"/>
      <c r="E885" s="101"/>
      <c r="F885" s="102"/>
      <c r="G885" s="101"/>
      <c r="H885" s="102"/>
      <c r="I885" s="101"/>
      <c r="J885" s="101"/>
      <c r="K885" s="103"/>
      <c r="L885" s="103"/>
      <c r="M885" s="103"/>
      <c r="N885" s="103"/>
      <c r="O885" s="103"/>
      <c r="P885" s="98"/>
      <c r="Q885" s="99"/>
      <c r="R885" s="104">
        <f t="shared" si="44"/>
        <v>0</v>
      </c>
      <c r="S885" s="104">
        <f t="shared" si="43"/>
        <v>0</v>
      </c>
      <c r="T885" s="104">
        <f t="shared" si="45"/>
        <v>0</v>
      </c>
      <c r="X885" s="115"/>
    </row>
    <row r="886" spans="1:24">
      <c r="A886" s="101"/>
      <c r="B886" s="101"/>
      <c r="C886" s="101"/>
      <c r="D886" s="101"/>
      <c r="E886" s="101"/>
      <c r="F886" s="102"/>
      <c r="G886" s="101"/>
      <c r="H886" s="102"/>
      <c r="I886" s="101"/>
      <c r="J886" s="101"/>
      <c r="K886" s="103"/>
      <c r="L886" s="103"/>
      <c r="M886" s="103"/>
      <c r="N886" s="103"/>
      <c r="O886" s="103"/>
      <c r="P886" s="98"/>
      <c r="Q886" s="99"/>
      <c r="R886" s="105">
        <f t="shared" si="44"/>
        <v>0</v>
      </c>
      <c r="S886" s="108">
        <f t="shared" si="43"/>
        <v>0</v>
      </c>
      <c r="T886" s="105">
        <f t="shared" si="45"/>
        <v>0</v>
      </c>
      <c r="X886" s="115"/>
    </row>
    <row r="887" spans="1:24">
      <c r="A887" s="101"/>
      <c r="B887" s="101"/>
      <c r="C887" s="101"/>
      <c r="D887" s="101"/>
      <c r="E887" s="101"/>
      <c r="F887" s="102"/>
      <c r="G887" s="101"/>
      <c r="H887" s="102"/>
      <c r="I887" s="101"/>
      <c r="J887" s="101"/>
      <c r="K887" s="103"/>
      <c r="L887" s="103"/>
      <c r="M887" s="103"/>
      <c r="N887" s="103"/>
      <c r="O887" s="103"/>
      <c r="P887" s="98"/>
      <c r="Q887" s="99"/>
      <c r="R887" s="104">
        <f t="shared" si="44"/>
        <v>0</v>
      </c>
      <c r="S887" s="104">
        <f t="shared" si="43"/>
        <v>0</v>
      </c>
      <c r="T887" s="104">
        <f t="shared" si="45"/>
        <v>0</v>
      </c>
      <c r="X887" s="115"/>
    </row>
    <row r="888" spans="1:24">
      <c r="A888" s="101"/>
      <c r="B888" s="101"/>
      <c r="C888" s="101"/>
      <c r="D888" s="101"/>
      <c r="E888" s="101"/>
      <c r="F888" s="102"/>
      <c r="G888" s="101"/>
      <c r="H888" s="102"/>
      <c r="I888" s="101"/>
      <c r="J888" s="101"/>
      <c r="K888" s="103"/>
      <c r="L888" s="103"/>
      <c r="M888" s="103"/>
      <c r="N888" s="103"/>
      <c r="O888" s="103"/>
      <c r="P888" s="98"/>
      <c r="Q888" s="99"/>
      <c r="R888" s="105">
        <f t="shared" si="44"/>
        <v>0</v>
      </c>
      <c r="S888" s="108">
        <f t="shared" si="43"/>
        <v>0</v>
      </c>
      <c r="T888" s="105">
        <f t="shared" si="45"/>
        <v>0</v>
      </c>
      <c r="X888" s="115"/>
    </row>
    <row r="889" spans="1:24">
      <c r="A889" s="101"/>
      <c r="B889" s="101"/>
      <c r="C889" s="101"/>
      <c r="D889" s="101"/>
      <c r="E889" s="101"/>
      <c r="F889" s="102"/>
      <c r="G889" s="101"/>
      <c r="H889" s="102"/>
      <c r="I889" s="101"/>
      <c r="J889" s="101"/>
      <c r="K889" s="103"/>
      <c r="L889" s="103"/>
      <c r="M889" s="103"/>
      <c r="N889" s="103"/>
      <c r="O889" s="103"/>
      <c r="P889" s="98"/>
      <c r="Q889" s="99"/>
      <c r="R889" s="104">
        <f t="shared" si="44"/>
        <v>0</v>
      </c>
      <c r="S889" s="104">
        <f t="shared" si="43"/>
        <v>0</v>
      </c>
      <c r="T889" s="104">
        <f t="shared" si="45"/>
        <v>0</v>
      </c>
      <c r="X889" s="115"/>
    </row>
    <row r="890" spans="1:24">
      <c r="A890" s="101"/>
      <c r="B890" s="101"/>
      <c r="C890" s="101"/>
      <c r="D890" s="101"/>
      <c r="E890" s="101"/>
      <c r="F890" s="102"/>
      <c r="G890" s="101"/>
      <c r="H890" s="102"/>
      <c r="I890" s="101"/>
      <c r="J890" s="101"/>
      <c r="K890" s="103"/>
      <c r="L890" s="103"/>
      <c r="M890" s="103"/>
      <c r="N890" s="103"/>
      <c r="O890" s="103"/>
      <c r="P890" s="98"/>
      <c r="Q890" s="99"/>
      <c r="R890" s="105">
        <f t="shared" si="44"/>
        <v>0</v>
      </c>
      <c r="S890" s="108">
        <f t="shared" si="43"/>
        <v>0</v>
      </c>
      <c r="T890" s="105">
        <f t="shared" si="45"/>
        <v>0</v>
      </c>
      <c r="X890" s="115"/>
    </row>
    <row r="891" spans="1:24">
      <c r="A891" s="101"/>
      <c r="B891" s="101"/>
      <c r="C891" s="101"/>
      <c r="D891" s="101"/>
      <c r="E891" s="101"/>
      <c r="F891" s="102"/>
      <c r="G891" s="101"/>
      <c r="H891" s="102"/>
      <c r="I891" s="101"/>
      <c r="J891" s="101"/>
      <c r="K891" s="103"/>
      <c r="L891" s="103"/>
      <c r="M891" s="103"/>
      <c r="N891" s="103"/>
      <c r="O891" s="103"/>
      <c r="P891" s="98"/>
      <c r="Q891" s="99"/>
      <c r="R891" s="104">
        <f t="shared" si="44"/>
        <v>0</v>
      </c>
      <c r="S891" s="104">
        <f t="shared" si="43"/>
        <v>0</v>
      </c>
      <c r="T891" s="104">
        <f t="shared" si="45"/>
        <v>0</v>
      </c>
      <c r="X891" s="115"/>
    </row>
    <row r="892" spans="1:24">
      <c r="A892" s="101"/>
      <c r="B892" s="101"/>
      <c r="C892" s="101"/>
      <c r="D892" s="101"/>
      <c r="E892" s="101"/>
      <c r="F892" s="102"/>
      <c r="G892" s="101"/>
      <c r="H892" s="102"/>
      <c r="I892" s="101"/>
      <c r="J892" s="101"/>
      <c r="K892" s="103"/>
      <c r="L892" s="103"/>
      <c r="M892" s="103"/>
      <c r="N892" s="103"/>
      <c r="O892" s="103"/>
      <c r="P892" s="98"/>
      <c r="Q892" s="99"/>
      <c r="R892" s="105">
        <f t="shared" si="44"/>
        <v>0</v>
      </c>
      <c r="S892" s="108">
        <f t="shared" si="43"/>
        <v>0</v>
      </c>
      <c r="T892" s="105">
        <f t="shared" si="45"/>
        <v>0</v>
      </c>
      <c r="X892" s="115"/>
    </row>
    <row r="893" spans="1:24">
      <c r="A893" s="101"/>
      <c r="B893" s="101"/>
      <c r="C893" s="101"/>
      <c r="D893" s="101"/>
      <c r="E893" s="101"/>
      <c r="F893" s="102"/>
      <c r="G893" s="101"/>
      <c r="H893" s="102"/>
      <c r="I893" s="101"/>
      <c r="J893" s="101"/>
      <c r="K893" s="103"/>
      <c r="L893" s="103"/>
      <c r="M893" s="103"/>
      <c r="N893" s="103"/>
      <c r="O893" s="103"/>
      <c r="P893" s="98"/>
      <c r="Q893" s="99"/>
      <c r="R893" s="104">
        <f t="shared" si="44"/>
        <v>0</v>
      </c>
      <c r="S893" s="104">
        <f t="shared" si="43"/>
        <v>0</v>
      </c>
      <c r="T893" s="104">
        <f t="shared" si="45"/>
        <v>0</v>
      </c>
      <c r="X893" s="115"/>
    </row>
    <row r="894" spans="1:24">
      <c r="A894" s="101"/>
      <c r="B894" s="101"/>
      <c r="C894" s="101"/>
      <c r="D894" s="101"/>
      <c r="E894" s="101"/>
      <c r="F894" s="102"/>
      <c r="G894" s="101"/>
      <c r="H894" s="102"/>
      <c r="I894" s="101"/>
      <c r="J894" s="101"/>
      <c r="K894" s="103"/>
      <c r="L894" s="103"/>
      <c r="M894" s="103"/>
      <c r="N894" s="103"/>
      <c r="O894" s="103"/>
      <c r="P894" s="98"/>
      <c r="Q894" s="99"/>
      <c r="R894" s="105">
        <f t="shared" si="44"/>
        <v>0</v>
      </c>
      <c r="S894" s="108">
        <f t="shared" si="43"/>
        <v>0</v>
      </c>
      <c r="T894" s="105">
        <f t="shared" si="45"/>
        <v>0</v>
      </c>
      <c r="X894" s="115"/>
    </row>
    <row r="895" spans="1:24">
      <c r="A895" s="101"/>
      <c r="B895" s="101"/>
      <c r="C895" s="101"/>
      <c r="D895" s="101"/>
      <c r="E895" s="101"/>
      <c r="F895" s="102"/>
      <c r="G895" s="101"/>
      <c r="H895" s="102"/>
      <c r="I895" s="101"/>
      <c r="J895" s="101"/>
      <c r="K895" s="103"/>
      <c r="L895" s="103"/>
      <c r="M895" s="103"/>
      <c r="N895" s="103"/>
      <c r="O895" s="103"/>
      <c r="P895" s="98"/>
      <c r="Q895" s="99"/>
      <c r="R895" s="104">
        <f t="shared" si="44"/>
        <v>0</v>
      </c>
      <c r="S895" s="104">
        <f t="shared" si="43"/>
        <v>0</v>
      </c>
      <c r="T895" s="104">
        <f t="shared" si="45"/>
        <v>0</v>
      </c>
      <c r="X895" s="115"/>
    </row>
    <row r="896" spans="1:24">
      <c r="A896" s="101"/>
      <c r="B896" s="101"/>
      <c r="C896" s="101"/>
      <c r="D896" s="101"/>
      <c r="E896" s="101"/>
      <c r="F896" s="102"/>
      <c r="G896" s="101"/>
      <c r="H896" s="102"/>
      <c r="I896" s="101"/>
      <c r="J896" s="101"/>
      <c r="K896" s="103"/>
      <c r="L896" s="103"/>
      <c r="M896" s="103"/>
      <c r="N896" s="103"/>
      <c r="O896" s="103"/>
      <c r="P896" s="98"/>
      <c r="Q896" s="99"/>
      <c r="R896" s="105">
        <f t="shared" si="44"/>
        <v>0</v>
      </c>
      <c r="S896" s="108">
        <f t="shared" si="43"/>
        <v>0</v>
      </c>
      <c r="T896" s="105">
        <f t="shared" si="45"/>
        <v>0</v>
      </c>
      <c r="X896" s="115"/>
    </row>
    <row r="897" spans="1:24">
      <c r="A897" s="101"/>
      <c r="B897" s="101"/>
      <c r="C897" s="101"/>
      <c r="D897" s="101"/>
      <c r="E897" s="101"/>
      <c r="F897" s="102"/>
      <c r="G897" s="101"/>
      <c r="H897" s="102"/>
      <c r="I897" s="101"/>
      <c r="J897" s="101"/>
      <c r="K897" s="103"/>
      <c r="L897" s="103"/>
      <c r="M897" s="103"/>
      <c r="N897" s="103"/>
      <c r="O897" s="103"/>
      <c r="P897" s="98"/>
      <c r="Q897" s="99"/>
      <c r="R897" s="104">
        <f t="shared" si="44"/>
        <v>0</v>
      </c>
      <c r="S897" s="104">
        <f t="shared" si="43"/>
        <v>0</v>
      </c>
      <c r="T897" s="104">
        <f t="shared" si="45"/>
        <v>0</v>
      </c>
      <c r="X897" s="115"/>
    </row>
    <row r="898" spans="1:24">
      <c r="A898" s="101"/>
      <c r="B898" s="101"/>
      <c r="C898" s="101"/>
      <c r="D898" s="101"/>
      <c r="E898" s="101"/>
      <c r="F898" s="102"/>
      <c r="G898" s="101"/>
      <c r="H898" s="102"/>
      <c r="I898" s="101"/>
      <c r="J898" s="101"/>
      <c r="K898" s="103"/>
      <c r="L898" s="103"/>
      <c r="M898" s="103"/>
      <c r="N898" s="103"/>
      <c r="O898" s="103"/>
      <c r="P898" s="98"/>
      <c r="Q898" s="99"/>
      <c r="R898" s="105">
        <f t="shared" si="44"/>
        <v>0</v>
      </c>
      <c r="S898" s="108">
        <f t="shared" si="43"/>
        <v>0</v>
      </c>
      <c r="T898" s="105">
        <f t="shared" si="45"/>
        <v>0</v>
      </c>
      <c r="X898" s="115"/>
    </row>
    <row r="899" spans="1:24">
      <c r="A899" s="101"/>
      <c r="B899" s="101"/>
      <c r="C899" s="101"/>
      <c r="D899" s="101"/>
      <c r="E899" s="101"/>
      <c r="F899" s="102"/>
      <c r="G899" s="101"/>
      <c r="H899" s="102"/>
      <c r="I899" s="101"/>
      <c r="J899" s="101"/>
      <c r="K899" s="103"/>
      <c r="L899" s="103"/>
      <c r="M899" s="103"/>
      <c r="N899" s="103"/>
      <c r="O899" s="103"/>
      <c r="P899" s="98"/>
      <c r="Q899" s="99"/>
      <c r="R899" s="104">
        <f t="shared" si="44"/>
        <v>0</v>
      </c>
      <c r="S899" s="104">
        <f t="shared" si="43"/>
        <v>0</v>
      </c>
      <c r="T899" s="104">
        <f t="shared" si="45"/>
        <v>0</v>
      </c>
      <c r="X899" s="115"/>
    </row>
    <row r="900" spans="1:24">
      <c r="A900" s="101"/>
      <c r="B900" s="101"/>
      <c r="C900" s="101"/>
      <c r="D900" s="101"/>
      <c r="E900" s="101"/>
      <c r="F900" s="102"/>
      <c r="G900" s="101"/>
      <c r="H900" s="102"/>
      <c r="I900" s="101"/>
      <c r="J900" s="101"/>
      <c r="K900" s="103"/>
      <c r="L900" s="103"/>
      <c r="M900" s="103"/>
      <c r="N900" s="103"/>
      <c r="O900" s="103"/>
      <c r="P900" s="98"/>
      <c r="Q900" s="99"/>
      <c r="R900" s="105">
        <f t="shared" si="44"/>
        <v>0</v>
      </c>
      <c r="S900" s="108">
        <f t="shared" ref="S900:S963" si="46">IF(P900="Abono",K900+L900+M900-N900-O900,0)</f>
        <v>0</v>
      </c>
      <c r="T900" s="105">
        <f t="shared" si="45"/>
        <v>0</v>
      </c>
      <c r="X900" s="115"/>
    </row>
    <row r="901" spans="1:24">
      <c r="A901" s="101"/>
      <c r="B901" s="101"/>
      <c r="C901" s="101"/>
      <c r="D901" s="101"/>
      <c r="E901" s="101"/>
      <c r="F901" s="102"/>
      <c r="G901" s="101"/>
      <c r="H901" s="102"/>
      <c r="I901" s="101"/>
      <c r="J901" s="101"/>
      <c r="K901" s="103"/>
      <c r="L901" s="103"/>
      <c r="M901" s="103"/>
      <c r="N901" s="103"/>
      <c r="O901" s="103"/>
      <c r="P901" s="98"/>
      <c r="Q901" s="99"/>
      <c r="R901" s="104">
        <f t="shared" ref="R901:R964" si="47">IF(P901="Cargo",K901+L901-M901-N901+O901,0)</f>
        <v>0</v>
      </c>
      <c r="S901" s="104">
        <f t="shared" si="46"/>
        <v>0</v>
      </c>
      <c r="T901" s="104">
        <f t="shared" ref="T901:T964" si="48">IF(Q901="OK",+T900+R901-S901,T900)</f>
        <v>0</v>
      </c>
      <c r="X901" s="115"/>
    </row>
    <row r="902" spans="1:24">
      <c r="A902" s="101"/>
      <c r="B902" s="101"/>
      <c r="C902" s="101"/>
      <c r="D902" s="101"/>
      <c r="E902" s="101"/>
      <c r="F902" s="102"/>
      <c r="G902" s="101"/>
      <c r="H902" s="102"/>
      <c r="I902" s="101"/>
      <c r="J902" s="101"/>
      <c r="K902" s="103"/>
      <c r="L902" s="103"/>
      <c r="M902" s="103"/>
      <c r="N902" s="103"/>
      <c r="O902" s="103"/>
      <c r="P902" s="98"/>
      <c r="Q902" s="99"/>
      <c r="R902" s="105">
        <f t="shared" si="47"/>
        <v>0</v>
      </c>
      <c r="S902" s="108">
        <f t="shared" si="46"/>
        <v>0</v>
      </c>
      <c r="T902" s="105">
        <f t="shared" si="48"/>
        <v>0</v>
      </c>
      <c r="X902" s="115"/>
    </row>
    <row r="903" spans="1:24">
      <c r="A903" s="101"/>
      <c r="B903" s="101"/>
      <c r="C903" s="101"/>
      <c r="D903" s="101"/>
      <c r="E903" s="101"/>
      <c r="F903" s="102"/>
      <c r="G903" s="101"/>
      <c r="H903" s="102"/>
      <c r="I903" s="101"/>
      <c r="J903" s="101"/>
      <c r="K903" s="103"/>
      <c r="L903" s="103"/>
      <c r="M903" s="103"/>
      <c r="N903" s="103"/>
      <c r="O903" s="103"/>
      <c r="P903" s="98"/>
      <c r="Q903" s="99"/>
      <c r="R903" s="104">
        <f t="shared" si="47"/>
        <v>0</v>
      </c>
      <c r="S903" s="104">
        <f t="shared" si="46"/>
        <v>0</v>
      </c>
      <c r="T903" s="104">
        <f t="shared" si="48"/>
        <v>0</v>
      </c>
      <c r="X903" s="115"/>
    </row>
    <row r="904" spans="1:24">
      <c r="A904" s="101"/>
      <c r="B904" s="101"/>
      <c r="C904" s="101"/>
      <c r="D904" s="101"/>
      <c r="E904" s="101"/>
      <c r="F904" s="102"/>
      <c r="G904" s="101"/>
      <c r="H904" s="102"/>
      <c r="I904" s="101"/>
      <c r="J904" s="101"/>
      <c r="K904" s="103"/>
      <c r="L904" s="103"/>
      <c r="M904" s="103"/>
      <c r="N904" s="103"/>
      <c r="O904" s="103"/>
      <c r="P904" s="98"/>
      <c r="Q904" s="99"/>
      <c r="R904" s="105">
        <f t="shared" si="47"/>
        <v>0</v>
      </c>
      <c r="S904" s="108">
        <f t="shared" si="46"/>
        <v>0</v>
      </c>
      <c r="T904" s="105">
        <f t="shared" si="48"/>
        <v>0</v>
      </c>
      <c r="X904" s="115"/>
    </row>
    <row r="905" spans="1:24">
      <c r="A905" s="101"/>
      <c r="B905" s="101"/>
      <c r="C905" s="101"/>
      <c r="D905" s="101"/>
      <c r="E905" s="101"/>
      <c r="F905" s="102"/>
      <c r="G905" s="101"/>
      <c r="H905" s="102"/>
      <c r="I905" s="101"/>
      <c r="J905" s="101"/>
      <c r="K905" s="103"/>
      <c r="L905" s="103"/>
      <c r="M905" s="103"/>
      <c r="N905" s="103"/>
      <c r="O905" s="103"/>
      <c r="P905" s="98"/>
      <c r="Q905" s="99"/>
      <c r="R905" s="104">
        <f t="shared" si="47"/>
        <v>0</v>
      </c>
      <c r="S905" s="104">
        <f t="shared" si="46"/>
        <v>0</v>
      </c>
      <c r="T905" s="104">
        <f t="shared" si="48"/>
        <v>0</v>
      </c>
      <c r="X905" s="115"/>
    </row>
    <row r="906" spans="1:24">
      <c r="A906" s="101"/>
      <c r="B906" s="101"/>
      <c r="C906" s="101"/>
      <c r="D906" s="101"/>
      <c r="E906" s="101"/>
      <c r="F906" s="102"/>
      <c r="G906" s="101"/>
      <c r="H906" s="102"/>
      <c r="I906" s="101"/>
      <c r="J906" s="101"/>
      <c r="K906" s="103"/>
      <c r="L906" s="103"/>
      <c r="M906" s="103"/>
      <c r="N906" s="103"/>
      <c r="O906" s="103"/>
      <c r="P906" s="98"/>
      <c r="Q906" s="99"/>
      <c r="R906" s="105">
        <f t="shared" si="47"/>
        <v>0</v>
      </c>
      <c r="S906" s="108">
        <f t="shared" si="46"/>
        <v>0</v>
      </c>
      <c r="T906" s="105">
        <f t="shared" si="48"/>
        <v>0</v>
      </c>
      <c r="X906" s="115"/>
    </row>
    <row r="907" spans="1:24">
      <c r="A907" s="101"/>
      <c r="B907" s="101"/>
      <c r="C907" s="101"/>
      <c r="D907" s="101"/>
      <c r="E907" s="101"/>
      <c r="F907" s="102"/>
      <c r="G907" s="101"/>
      <c r="H907" s="102"/>
      <c r="I907" s="101"/>
      <c r="J907" s="101"/>
      <c r="K907" s="103"/>
      <c r="L907" s="103"/>
      <c r="M907" s="103"/>
      <c r="N907" s="103"/>
      <c r="O907" s="103"/>
      <c r="P907" s="98"/>
      <c r="Q907" s="99"/>
      <c r="R907" s="104">
        <f t="shared" si="47"/>
        <v>0</v>
      </c>
      <c r="S907" s="104">
        <f t="shared" si="46"/>
        <v>0</v>
      </c>
      <c r="T907" s="104">
        <f t="shared" si="48"/>
        <v>0</v>
      </c>
      <c r="X907" s="115"/>
    </row>
    <row r="908" spans="1:24">
      <c r="A908" s="101"/>
      <c r="B908" s="101"/>
      <c r="C908" s="101"/>
      <c r="D908" s="101"/>
      <c r="E908" s="101"/>
      <c r="F908" s="102"/>
      <c r="G908" s="101"/>
      <c r="H908" s="102"/>
      <c r="I908" s="101"/>
      <c r="J908" s="101"/>
      <c r="K908" s="103"/>
      <c r="L908" s="103"/>
      <c r="M908" s="103"/>
      <c r="N908" s="103"/>
      <c r="O908" s="103"/>
      <c r="P908" s="98"/>
      <c r="Q908" s="99"/>
      <c r="R908" s="105">
        <f t="shared" si="47"/>
        <v>0</v>
      </c>
      <c r="S908" s="108">
        <f t="shared" si="46"/>
        <v>0</v>
      </c>
      <c r="T908" s="105">
        <f t="shared" si="48"/>
        <v>0</v>
      </c>
      <c r="X908" s="115"/>
    </row>
    <row r="909" spans="1:24">
      <c r="A909" s="101"/>
      <c r="B909" s="101"/>
      <c r="C909" s="101"/>
      <c r="D909" s="101"/>
      <c r="E909" s="101"/>
      <c r="F909" s="102"/>
      <c r="G909" s="101"/>
      <c r="H909" s="102"/>
      <c r="I909" s="101"/>
      <c r="J909" s="101"/>
      <c r="K909" s="103"/>
      <c r="L909" s="103"/>
      <c r="M909" s="103"/>
      <c r="N909" s="103"/>
      <c r="O909" s="103"/>
      <c r="P909" s="98"/>
      <c r="Q909" s="99"/>
      <c r="R909" s="104">
        <f t="shared" si="47"/>
        <v>0</v>
      </c>
      <c r="S909" s="104">
        <f t="shared" si="46"/>
        <v>0</v>
      </c>
      <c r="T909" s="104">
        <f t="shared" si="48"/>
        <v>0</v>
      </c>
      <c r="X909" s="115"/>
    </row>
    <row r="910" spans="1:24">
      <c r="A910" s="101"/>
      <c r="B910" s="101"/>
      <c r="C910" s="101"/>
      <c r="D910" s="101"/>
      <c r="E910" s="101"/>
      <c r="F910" s="102"/>
      <c r="G910" s="101"/>
      <c r="H910" s="102"/>
      <c r="I910" s="101"/>
      <c r="J910" s="101"/>
      <c r="K910" s="103"/>
      <c r="L910" s="103"/>
      <c r="M910" s="103"/>
      <c r="N910" s="103"/>
      <c r="O910" s="103"/>
      <c r="P910" s="98"/>
      <c r="Q910" s="99"/>
      <c r="R910" s="105">
        <f t="shared" si="47"/>
        <v>0</v>
      </c>
      <c r="S910" s="108">
        <f t="shared" si="46"/>
        <v>0</v>
      </c>
      <c r="T910" s="105">
        <f t="shared" si="48"/>
        <v>0</v>
      </c>
      <c r="X910" s="115"/>
    </row>
    <row r="911" spans="1:24">
      <c r="A911" s="101"/>
      <c r="B911" s="101"/>
      <c r="C911" s="101"/>
      <c r="D911" s="101"/>
      <c r="E911" s="101"/>
      <c r="F911" s="102"/>
      <c r="G911" s="101"/>
      <c r="H911" s="102"/>
      <c r="I911" s="101"/>
      <c r="J911" s="101"/>
      <c r="K911" s="103"/>
      <c r="L911" s="103"/>
      <c r="M911" s="103"/>
      <c r="N911" s="103"/>
      <c r="O911" s="103"/>
      <c r="P911" s="98"/>
      <c r="Q911" s="99"/>
      <c r="R911" s="104">
        <f t="shared" si="47"/>
        <v>0</v>
      </c>
      <c r="S911" s="104">
        <f t="shared" si="46"/>
        <v>0</v>
      </c>
      <c r="T911" s="104">
        <f t="shared" si="48"/>
        <v>0</v>
      </c>
      <c r="X911" s="115"/>
    </row>
    <row r="912" spans="1:24">
      <c r="A912" s="101"/>
      <c r="B912" s="101"/>
      <c r="C912" s="101"/>
      <c r="D912" s="101"/>
      <c r="E912" s="101"/>
      <c r="F912" s="102"/>
      <c r="G912" s="101"/>
      <c r="H912" s="102"/>
      <c r="I912" s="101"/>
      <c r="J912" s="101"/>
      <c r="K912" s="103"/>
      <c r="L912" s="103"/>
      <c r="M912" s="103"/>
      <c r="N912" s="103"/>
      <c r="O912" s="103"/>
      <c r="P912" s="98"/>
      <c r="Q912" s="99"/>
      <c r="R912" s="105">
        <f t="shared" si="47"/>
        <v>0</v>
      </c>
      <c r="S912" s="108">
        <f t="shared" si="46"/>
        <v>0</v>
      </c>
      <c r="T912" s="105">
        <f t="shared" si="48"/>
        <v>0</v>
      </c>
      <c r="X912" s="115"/>
    </row>
    <row r="913" spans="1:24">
      <c r="A913" s="101"/>
      <c r="B913" s="101"/>
      <c r="C913" s="101"/>
      <c r="D913" s="101"/>
      <c r="E913" s="101"/>
      <c r="F913" s="102"/>
      <c r="G913" s="101"/>
      <c r="H913" s="102"/>
      <c r="I913" s="101"/>
      <c r="J913" s="101"/>
      <c r="K913" s="103"/>
      <c r="L913" s="103"/>
      <c r="M913" s="103"/>
      <c r="N913" s="103"/>
      <c r="O913" s="103"/>
      <c r="P913" s="98"/>
      <c r="Q913" s="99"/>
      <c r="R913" s="104">
        <f t="shared" si="47"/>
        <v>0</v>
      </c>
      <c r="S913" s="104">
        <f t="shared" si="46"/>
        <v>0</v>
      </c>
      <c r="T913" s="104">
        <f t="shared" si="48"/>
        <v>0</v>
      </c>
      <c r="X913" s="115"/>
    </row>
    <row r="914" spans="1:24">
      <c r="A914" s="101"/>
      <c r="B914" s="101"/>
      <c r="C914" s="101"/>
      <c r="D914" s="101"/>
      <c r="E914" s="101"/>
      <c r="F914" s="102"/>
      <c r="G914" s="101"/>
      <c r="H914" s="102"/>
      <c r="I914" s="101"/>
      <c r="J914" s="101"/>
      <c r="K914" s="103"/>
      <c r="L914" s="103"/>
      <c r="M914" s="103"/>
      <c r="N914" s="103"/>
      <c r="O914" s="103"/>
      <c r="P914" s="98"/>
      <c r="Q914" s="99"/>
      <c r="R914" s="105">
        <f t="shared" si="47"/>
        <v>0</v>
      </c>
      <c r="S914" s="108">
        <f t="shared" si="46"/>
        <v>0</v>
      </c>
      <c r="T914" s="105">
        <f t="shared" si="48"/>
        <v>0</v>
      </c>
      <c r="X914" s="115"/>
    </row>
    <row r="915" spans="1:24">
      <c r="A915" s="101"/>
      <c r="B915" s="101"/>
      <c r="C915" s="101"/>
      <c r="D915" s="101"/>
      <c r="E915" s="101"/>
      <c r="F915" s="102"/>
      <c r="G915" s="101"/>
      <c r="H915" s="102"/>
      <c r="I915" s="101"/>
      <c r="J915" s="101"/>
      <c r="K915" s="103"/>
      <c r="L915" s="103"/>
      <c r="M915" s="103"/>
      <c r="N915" s="103"/>
      <c r="O915" s="103"/>
      <c r="P915" s="98"/>
      <c r="Q915" s="99"/>
      <c r="R915" s="104">
        <f t="shared" si="47"/>
        <v>0</v>
      </c>
      <c r="S915" s="104">
        <f t="shared" si="46"/>
        <v>0</v>
      </c>
      <c r="T915" s="104">
        <f t="shared" si="48"/>
        <v>0</v>
      </c>
      <c r="X915" s="115"/>
    </row>
    <row r="916" spans="1:24">
      <c r="A916" s="101"/>
      <c r="B916" s="101"/>
      <c r="C916" s="101"/>
      <c r="D916" s="101"/>
      <c r="E916" s="101"/>
      <c r="F916" s="102"/>
      <c r="G916" s="101"/>
      <c r="H916" s="102"/>
      <c r="I916" s="101"/>
      <c r="J916" s="101"/>
      <c r="K916" s="103"/>
      <c r="L916" s="103"/>
      <c r="M916" s="103"/>
      <c r="N916" s="103"/>
      <c r="O916" s="103"/>
      <c r="P916" s="98"/>
      <c r="Q916" s="99"/>
      <c r="R916" s="105">
        <f t="shared" si="47"/>
        <v>0</v>
      </c>
      <c r="S916" s="108">
        <f t="shared" si="46"/>
        <v>0</v>
      </c>
      <c r="T916" s="105">
        <f t="shared" si="48"/>
        <v>0</v>
      </c>
      <c r="X916" s="115"/>
    </row>
    <row r="917" spans="1:24">
      <c r="A917" s="101"/>
      <c r="B917" s="101"/>
      <c r="C917" s="101"/>
      <c r="D917" s="101"/>
      <c r="E917" s="101"/>
      <c r="F917" s="102"/>
      <c r="G917" s="101"/>
      <c r="H917" s="102"/>
      <c r="I917" s="101"/>
      <c r="J917" s="101"/>
      <c r="K917" s="103"/>
      <c r="L917" s="103"/>
      <c r="M917" s="103"/>
      <c r="N917" s="103"/>
      <c r="O917" s="103"/>
      <c r="P917" s="98"/>
      <c r="Q917" s="99"/>
      <c r="R917" s="104">
        <f t="shared" si="47"/>
        <v>0</v>
      </c>
      <c r="S917" s="104">
        <f t="shared" si="46"/>
        <v>0</v>
      </c>
      <c r="T917" s="104">
        <f t="shared" si="48"/>
        <v>0</v>
      </c>
      <c r="X917" s="115"/>
    </row>
    <row r="918" spans="1:24">
      <c r="A918" s="101"/>
      <c r="B918" s="101"/>
      <c r="C918" s="101"/>
      <c r="D918" s="101"/>
      <c r="E918" s="101"/>
      <c r="F918" s="102"/>
      <c r="G918" s="101"/>
      <c r="H918" s="102"/>
      <c r="I918" s="101"/>
      <c r="J918" s="101"/>
      <c r="K918" s="103"/>
      <c r="L918" s="103"/>
      <c r="M918" s="103"/>
      <c r="N918" s="103"/>
      <c r="O918" s="103"/>
      <c r="P918" s="98"/>
      <c r="Q918" s="99"/>
      <c r="R918" s="105">
        <f t="shared" si="47"/>
        <v>0</v>
      </c>
      <c r="S918" s="108">
        <f t="shared" si="46"/>
        <v>0</v>
      </c>
      <c r="T918" s="105">
        <f t="shared" si="48"/>
        <v>0</v>
      </c>
      <c r="X918" s="115"/>
    </row>
    <row r="919" spans="1:24">
      <c r="A919" s="101"/>
      <c r="B919" s="101"/>
      <c r="C919" s="101"/>
      <c r="D919" s="101"/>
      <c r="E919" s="101"/>
      <c r="F919" s="102"/>
      <c r="G919" s="101"/>
      <c r="H919" s="102"/>
      <c r="I919" s="101"/>
      <c r="J919" s="101"/>
      <c r="K919" s="103"/>
      <c r="L919" s="103"/>
      <c r="M919" s="103"/>
      <c r="N919" s="103"/>
      <c r="O919" s="103"/>
      <c r="P919" s="98"/>
      <c r="Q919" s="99"/>
      <c r="R919" s="104">
        <f t="shared" si="47"/>
        <v>0</v>
      </c>
      <c r="S919" s="104">
        <f t="shared" si="46"/>
        <v>0</v>
      </c>
      <c r="T919" s="104">
        <f t="shared" si="48"/>
        <v>0</v>
      </c>
      <c r="X919" s="115"/>
    </row>
    <row r="920" spans="1:24">
      <c r="A920" s="101"/>
      <c r="B920" s="101"/>
      <c r="C920" s="101"/>
      <c r="D920" s="101"/>
      <c r="E920" s="101"/>
      <c r="F920" s="102"/>
      <c r="G920" s="101"/>
      <c r="H920" s="102"/>
      <c r="I920" s="101"/>
      <c r="J920" s="101"/>
      <c r="K920" s="103"/>
      <c r="L920" s="103"/>
      <c r="M920" s="103"/>
      <c r="N920" s="103"/>
      <c r="O920" s="103"/>
      <c r="P920" s="98"/>
      <c r="Q920" s="99"/>
      <c r="R920" s="105">
        <f t="shared" si="47"/>
        <v>0</v>
      </c>
      <c r="S920" s="108">
        <f t="shared" si="46"/>
        <v>0</v>
      </c>
      <c r="T920" s="105">
        <f t="shared" si="48"/>
        <v>0</v>
      </c>
      <c r="X920" s="115"/>
    </row>
    <row r="921" spans="1:24">
      <c r="A921" s="101"/>
      <c r="B921" s="101"/>
      <c r="C921" s="101"/>
      <c r="D921" s="101"/>
      <c r="E921" s="101"/>
      <c r="F921" s="102"/>
      <c r="G921" s="101"/>
      <c r="H921" s="102"/>
      <c r="I921" s="101"/>
      <c r="J921" s="101"/>
      <c r="K921" s="103"/>
      <c r="L921" s="103"/>
      <c r="M921" s="103"/>
      <c r="N921" s="103"/>
      <c r="O921" s="103"/>
      <c r="P921" s="98"/>
      <c r="Q921" s="99"/>
      <c r="R921" s="104">
        <f t="shared" si="47"/>
        <v>0</v>
      </c>
      <c r="S921" s="104">
        <f t="shared" si="46"/>
        <v>0</v>
      </c>
      <c r="T921" s="104">
        <f t="shared" si="48"/>
        <v>0</v>
      </c>
      <c r="X921" s="115"/>
    </row>
    <row r="922" spans="1:24">
      <c r="A922" s="101"/>
      <c r="B922" s="101"/>
      <c r="C922" s="101"/>
      <c r="D922" s="101"/>
      <c r="E922" s="101"/>
      <c r="F922" s="102"/>
      <c r="G922" s="101"/>
      <c r="H922" s="102"/>
      <c r="I922" s="101"/>
      <c r="J922" s="101"/>
      <c r="K922" s="103"/>
      <c r="L922" s="103"/>
      <c r="M922" s="103"/>
      <c r="N922" s="103"/>
      <c r="O922" s="103"/>
      <c r="P922" s="98"/>
      <c r="Q922" s="99"/>
      <c r="R922" s="105">
        <f t="shared" si="47"/>
        <v>0</v>
      </c>
      <c r="S922" s="108">
        <f t="shared" si="46"/>
        <v>0</v>
      </c>
      <c r="T922" s="105">
        <f t="shared" si="48"/>
        <v>0</v>
      </c>
      <c r="X922" s="115"/>
    </row>
    <row r="923" spans="1:24">
      <c r="A923" s="101"/>
      <c r="B923" s="101"/>
      <c r="C923" s="101"/>
      <c r="D923" s="101"/>
      <c r="E923" s="101"/>
      <c r="F923" s="102"/>
      <c r="G923" s="101"/>
      <c r="H923" s="102"/>
      <c r="I923" s="101"/>
      <c r="J923" s="101"/>
      <c r="K923" s="103"/>
      <c r="L923" s="103"/>
      <c r="M923" s="103"/>
      <c r="N923" s="103"/>
      <c r="O923" s="103"/>
      <c r="P923" s="98"/>
      <c r="Q923" s="99"/>
      <c r="R923" s="104">
        <f t="shared" si="47"/>
        <v>0</v>
      </c>
      <c r="S923" s="104">
        <f t="shared" si="46"/>
        <v>0</v>
      </c>
      <c r="T923" s="104">
        <f t="shared" si="48"/>
        <v>0</v>
      </c>
      <c r="X923" s="115"/>
    </row>
    <row r="924" spans="1:24">
      <c r="A924" s="101"/>
      <c r="B924" s="101"/>
      <c r="C924" s="101"/>
      <c r="D924" s="101"/>
      <c r="E924" s="101"/>
      <c r="F924" s="102"/>
      <c r="G924" s="101"/>
      <c r="H924" s="102"/>
      <c r="I924" s="101"/>
      <c r="J924" s="101"/>
      <c r="K924" s="103"/>
      <c r="L924" s="103"/>
      <c r="M924" s="103"/>
      <c r="N924" s="103"/>
      <c r="O924" s="103"/>
      <c r="P924" s="98"/>
      <c r="Q924" s="99"/>
      <c r="R924" s="105">
        <f t="shared" si="47"/>
        <v>0</v>
      </c>
      <c r="S924" s="108">
        <f t="shared" si="46"/>
        <v>0</v>
      </c>
      <c r="T924" s="105">
        <f t="shared" si="48"/>
        <v>0</v>
      </c>
      <c r="X924" s="115"/>
    </row>
    <row r="925" spans="1:24">
      <c r="A925" s="101"/>
      <c r="B925" s="101"/>
      <c r="C925" s="101"/>
      <c r="D925" s="101"/>
      <c r="E925" s="101"/>
      <c r="F925" s="102"/>
      <c r="G925" s="101"/>
      <c r="H925" s="102"/>
      <c r="I925" s="101"/>
      <c r="J925" s="101"/>
      <c r="K925" s="103"/>
      <c r="L925" s="103"/>
      <c r="M925" s="103"/>
      <c r="N925" s="103"/>
      <c r="O925" s="103"/>
      <c r="P925" s="98"/>
      <c r="Q925" s="99"/>
      <c r="R925" s="104">
        <f t="shared" si="47"/>
        <v>0</v>
      </c>
      <c r="S925" s="104">
        <f t="shared" si="46"/>
        <v>0</v>
      </c>
      <c r="T925" s="104">
        <f t="shared" si="48"/>
        <v>0</v>
      </c>
      <c r="X925" s="115"/>
    </row>
    <row r="926" spans="1:24">
      <c r="A926" s="101"/>
      <c r="B926" s="101"/>
      <c r="C926" s="101"/>
      <c r="D926" s="101"/>
      <c r="E926" s="101"/>
      <c r="F926" s="102"/>
      <c r="G926" s="101"/>
      <c r="H926" s="102"/>
      <c r="I926" s="101"/>
      <c r="J926" s="101"/>
      <c r="K926" s="103"/>
      <c r="L926" s="103"/>
      <c r="M926" s="103"/>
      <c r="N926" s="103"/>
      <c r="O926" s="103"/>
      <c r="P926" s="98"/>
      <c r="Q926" s="99"/>
      <c r="R926" s="105">
        <f t="shared" si="47"/>
        <v>0</v>
      </c>
      <c r="S926" s="108">
        <f t="shared" si="46"/>
        <v>0</v>
      </c>
      <c r="T926" s="105">
        <f t="shared" si="48"/>
        <v>0</v>
      </c>
      <c r="X926" s="115"/>
    </row>
    <row r="927" spans="1:24">
      <c r="A927" s="101"/>
      <c r="B927" s="101"/>
      <c r="C927" s="101"/>
      <c r="D927" s="101"/>
      <c r="E927" s="101"/>
      <c r="F927" s="102"/>
      <c r="G927" s="101"/>
      <c r="H927" s="102"/>
      <c r="I927" s="101"/>
      <c r="J927" s="101"/>
      <c r="K927" s="103"/>
      <c r="L927" s="103"/>
      <c r="M927" s="103"/>
      <c r="N927" s="103"/>
      <c r="O927" s="103"/>
      <c r="P927" s="98"/>
      <c r="Q927" s="99"/>
      <c r="R927" s="104">
        <f t="shared" si="47"/>
        <v>0</v>
      </c>
      <c r="S927" s="104">
        <f t="shared" si="46"/>
        <v>0</v>
      </c>
      <c r="T927" s="104">
        <f t="shared" si="48"/>
        <v>0</v>
      </c>
      <c r="X927" s="115"/>
    </row>
    <row r="928" spans="1:24">
      <c r="A928" s="101"/>
      <c r="B928" s="101"/>
      <c r="C928" s="101"/>
      <c r="D928" s="101"/>
      <c r="E928" s="101"/>
      <c r="F928" s="102"/>
      <c r="G928" s="101"/>
      <c r="H928" s="102"/>
      <c r="I928" s="101"/>
      <c r="J928" s="101"/>
      <c r="K928" s="103"/>
      <c r="L928" s="103"/>
      <c r="M928" s="103"/>
      <c r="N928" s="103"/>
      <c r="O928" s="103"/>
      <c r="P928" s="98"/>
      <c r="Q928" s="99"/>
      <c r="R928" s="105">
        <f t="shared" si="47"/>
        <v>0</v>
      </c>
      <c r="S928" s="108">
        <f t="shared" si="46"/>
        <v>0</v>
      </c>
      <c r="T928" s="105">
        <f t="shared" si="48"/>
        <v>0</v>
      </c>
      <c r="X928" s="115"/>
    </row>
    <row r="929" spans="1:24">
      <c r="A929" s="101"/>
      <c r="B929" s="101"/>
      <c r="C929" s="101"/>
      <c r="D929" s="101"/>
      <c r="E929" s="101"/>
      <c r="F929" s="102"/>
      <c r="G929" s="101"/>
      <c r="H929" s="102"/>
      <c r="I929" s="101"/>
      <c r="J929" s="101"/>
      <c r="K929" s="103"/>
      <c r="L929" s="103"/>
      <c r="M929" s="103"/>
      <c r="N929" s="103"/>
      <c r="O929" s="103"/>
      <c r="P929" s="98"/>
      <c r="Q929" s="99"/>
      <c r="R929" s="104">
        <f t="shared" si="47"/>
        <v>0</v>
      </c>
      <c r="S929" s="104">
        <f t="shared" si="46"/>
        <v>0</v>
      </c>
      <c r="T929" s="104">
        <f t="shared" si="48"/>
        <v>0</v>
      </c>
      <c r="X929" s="115"/>
    </row>
    <row r="930" spans="1:24">
      <c r="A930" s="101"/>
      <c r="B930" s="101"/>
      <c r="C930" s="101"/>
      <c r="D930" s="101"/>
      <c r="E930" s="101"/>
      <c r="F930" s="102"/>
      <c r="G930" s="101"/>
      <c r="H930" s="102"/>
      <c r="I930" s="101"/>
      <c r="J930" s="101"/>
      <c r="K930" s="103"/>
      <c r="L930" s="103"/>
      <c r="M930" s="103"/>
      <c r="N930" s="103"/>
      <c r="O930" s="103"/>
      <c r="P930" s="98"/>
      <c r="Q930" s="99"/>
      <c r="R930" s="105">
        <f t="shared" si="47"/>
        <v>0</v>
      </c>
      <c r="S930" s="108">
        <f t="shared" si="46"/>
        <v>0</v>
      </c>
      <c r="T930" s="105">
        <f t="shared" si="48"/>
        <v>0</v>
      </c>
      <c r="X930" s="115"/>
    </row>
    <row r="931" spans="1:24">
      <c r="A931" s="101"/>
      <c r="B931" s="101"/>
      <c r="C931" s="101"/>
      <c r="D931" s="101"/>
      <c r="E931" s="101"/>
      <c r="F931" s="102"/>
      <c r="G931" s="101"/>
      <c r="H931" s="102"/>
      <c r="I931" s="101"/>
      <c r="J931" s="101"/>
      <c r="K931" s="103"/>
      <c r="L931" s="103"/>
      <c r="M931" s="103"/>
      <c r="N931" s="103"/>
      <c r="O931" s="103"/>
      <c r="P931" s="98"/>
      <c r="Q931" s="99"/>
      <c r="R931" s="104">
        <f t="shared" si="47"/>
        <v>0</v>
      </c>
      <c r="S931" s="104">
        <f t="shared" si="46"/>
        <v>0</v>
      </c>
      <c r="T931" s="104">
        <f t="shared" si="48"/>
        <v>0</v>
      </c>
      <c r="X931" s="115"/>
    </row>
    <row r="932" spans="1:24">
      <c r="A932" s="101"/>
      <c r="B932" s="101"/>
      <c r="C932" s="101"/>
      <c r="D932" s="101"/>
      <c r="E932" s="101"/>
      <c r="F932" s="102"/>
      <c r="G932" s="101"/>
      <c r="H932" s="102"/>
      <c r="I932" s="101"/>
      <c r="J932" s="101"/>
      <c r="K932" s="103"/>
      <c r="L932" s="103"/>
      <c r="M932" s="103"/>
      <c r="N932" s="103"/>
      <c r="O932" s="103"/>
      <c r="P932" s="98"/>
      <c r="Q932" s="99"/>
      <c r="R932" s="105">
        <f t="shared" si="47"/>
        <v>0</v>
      </c>
      <c r="S932" s="108">
        <f t="shared" si="46"/>
        <v>0</v>
      </c>
      <c r="T932" s="105">
        <f t="shared" si="48"/>
        <v>0</v>
      </c>
      <c r="X932" s="115"/>
    </row>
    <row r="933" spans="1:24">
      <c r="A933" s="101"/>
      <c r="B933" s="101"/>
      <c r="C933" s="101"/>
      <c r="D933" s="101"/>
      <c r="E933" s="101"/>
      <c r="F933" s="102"/>
      <c r="G933" s="101"/>
      <c r="H933" s="102"/>
      <c r="I933" s="101"/>
      <c r="J933" s="101"/>
      <c r="K933" s="103"/>
      <c r="L933" s="103"/>
      <c r="M933" s="103"/>
      <c r="N933" s="103"/>
      <c r="O933" s="103"/>
      <c r="P933" s="98"/>
      <c r="Q933" s="99"/>
      <c r="R933" s="104">
        <f t="shared" si="47"/>
        <v>0</v>
      </c>
      <c r="S933" s="104">
        <f t="shared" si="46"/>
        <v>0</v>
      </c>
      <c r="T933" s="104">
        <f t="shared" si="48"/>
        <v>0</v>
      </c>
      <c r="X933" s="115"/>
    </row>
    <row r="934" spans="1:24">
      <c r="A934" s="101"/>
      <c r="B934" s="101"/>
      <c r="C934" s="101"/>
      <c r="D934" s="101"/>
      <c r="E934" s="101"/>
      <c r="F934" s="102"/>
      <c r="G934" s="101"/>
      <c r="H934" s="102"/>
      <c r="I934" s="101"/>
      <c r="J934" s="101"/>
      <c r="K934" s="103"/>
      <c r="L934" s="103"/>
      <c r="M934" s="103"/>
      <c r="N934" s="103"/>
      <c r="O934" s="103"/>
      <c r="P934" s="98"/>
      <c r="Q934" s="99"/>
      <c r="R934" s="105">
        <f t="shared" si="47"/>
        <v>0</v>
      </c>
      <c r="S934" s="108">
        <f t="shared" si="46"/>
        <v>0</v>
      </c>
      <c r="T934" s="105">
        <f t="shared" si="48"/>
        <v>0</v>
      </c>
      <c r="X934" s="115"/>
    </row>
    <row r="935" spans="1:24">
      <c r="A935" s="101"/>
      <c r="B935" s="101"/>
      <c r="C935" s="101"/>
      <c r="D935" s="101"/>
      <c r="E935" s="101"/>
      <c r="F935" s="102"/>
      <c r="G935" s="101"/>
      <c r="H935" s="102"/>
      <c r="I935" s="101"/>
      <c r="J935" s="101"/>
      <c r="K935" s="103"/>
      <c r="L935" s="103"/>
      <c r="M935" s="103"/>
      <c r="N935" s="103"/>
      <c r="O935" s="103"/>
      <c r="P935" s="98"/>
      <c r="Q935" s="99"/>
      <c r="R935" s="104">
        <f t="shared" si="47"/>
        <v>0</v>
      </c>
      <c r="S935" s="104">
        <f t="shared" si="46"/>
        <v>0</v>
      </c>
      <c r="T935" s="104">
        <f t="shared" si="48"/>
        <v>0</v>
      </c>
      <c r="X935" s="115"/>
    </row>
    <row r="936" spans="1:24">
      <c r="A936" s="101"/>
      <c r="B936" s="101"/>
      <c r="C936" s="101"/>
      <c r="D936" s="101"/>
      <c r="E936" s="101"/>
      <c r="F936" s="102"/>
      <c r="G936" s="101"/>
      <c r="H936" s="102"/>
      <c r="I936" s="101"/>
      <c r="J936" s="101"/>
      <c r="K936" s="103"/>
      <c r="L936" s="103"/>
      <c r="M936" s="103"/>
      <c r="N936" s="103"/>
      <c r="O936" s="103"/>
      <c r="P936" s="98"/>
      <c r="Q936" s="99"/>
      <c r="R936" s="105">
        <f t="shared" si="47"/>
        <v>0</v>
      </c>
      <c r="S936" s="108">
        <f t="shared" si="46"/>
        <v>0</v>
      </c>
      <c r="T936" s="105">
        <f t="shared" si="48"/>
        <v>0</v>
      </c>
      <c r="X936" s="115"/>
    </row>
    <row r="937" spans="1:24">
      <c r="A937" s="101"/>
      <c r="B937" s="101"/>
      <c r="C937" s="101"/>
      <c r="D937" s="101"/>
      <c r="E937" s="101"/>
      <c r="F937" s="102"/>
      <c r="G937" s="101"/>
      <c r="H937" s="102"/>
      <c r="I937" s="101"/>
      <c r="J937" s="101"/>
      <c r="K937" s="103"/>
      <c r="L937" s="103"/>
      <c r="M937" s="103"/>
      <c r="N937" s="103"/>
      <c r="O937" s="103"/>
      <c r="P937" s="98"/>
      <c r="Q937" s="99"/>
      <c r="R937" s="104">
        <f t="shared" si="47"/>
        <v>0</v>
      </c>
      <c r="S937" s="104">
        <f t="shared" si="46"/>
        <v>0</v>
      </c>
      <c r="T937" s="104">
        <f t="shared" si="48"/>
        <v>0</v>
      </c>
      <c r="X937" s="115"/>
    </row>
    <row r="938" spans="1:24">
      <c r="A938" s="101"/>
      <c r="B938" s="101"/>
      <c r="C938" s="101"/>
      <c r="D938" s="101"/>
      <c r="E938" s="101"/>
      <c r="F938" s="102"/>
      <c r="G938" s="101"/>
      <c r="H938" s="102"/>
      <c r="I938" s="101"/>
      <c r="J938" s="101"/>
      <c r="K938" s="103"/>
      <c r="L938" s="103"/>
      <c r="M938" s="103"/>
      <c r="N938" s="103"/>
      <c r="O938" s="103"/>
      <c r="P938" s="98"/>
      <c r="Q938" s="99"/>
      <c r="R938" s="105">
        <f t="shared" si="47"/>
        <v>0</v>
      </c>
      <c r="S938" s="108">
        <f t="shared" si="46"/>
        <v>0</v>
      </c>
      <c r="T938" s="105">
        <f t="shared" si="48"/>
        <v>0</v>
      </c>
      <c r="X938" s="115"/>
    </row>
    <row r="939" spans="1:24">
      <c r="A939" s="101"/>
      <c r="B939" s="101"/>
      <c r="C939" s="101"/>
      <c r="D939" s="101"/>
      <c r="E939" s="101"/>
      <c r="F939" s="102"/>
      <c r="G939" s="101"/>
      <c r="H939" s="102"/>
      <c r="I939" s="101"/>
      <c r="J939" s="101"/>
      <c r="K939" s="103"/>
      <c r="L939" s="103"/>
      <c r="M939" s="103"/>
      <c r="N939" s="103"/>
      <c r="O939" s="103"/>
      <c r="P939" s="98"/>
      <c r="Q939" s="99"/>
      <c r="R939" s="104">
        <f t="shared" si="47"/>
        <v>0</v>
      </c>
      <c r="S939" s="104">
        <f t="shared" si="46"/>
        <v>0</v>
      </c>
      <c r="T939" s="104">
        <f t="shared" si="48"/>
        <v>0</v>
      </c>
      <c r="X939" s="115"/>
    </row>
    <row r="940" spans="1:24">
      <c r="A940" s="101"/>
      <c r="B940" s="101"/>
      <c r="C940" s="101"/>
      <c r="D940" s="101"/>
      <c r="E940" s="101"/>
      <c r="F940" s="102"/>
      <c r="G940" s="101"/>
      <c r="H940" s="102"/>
      <c r="I940" s="101"/>
      <c r="J940" s="101"/>
      <c r="K940" s="103"/>
      <c r="L940" s="103"/>
      <c r="M940" s="103"/>
      <c r="N940" s="103"/>
      <c r="O940" s="103"/>
      <c r="P940" s="98"/>
      <c r="Q940" s="99"/>
      <c r="R940" s="105">
        <f t="shared" si="47"/>
        <v>0</v>
      </c>
      <c r="S940" s="108">
        <f t="shared" si="46"/>
        <v>0</v>
      </c>
      <c r="T940" s="105">
        <f t="shared" si="48"/>
        <v>0</v>
      </c>
      <c r="X940" s="115"/>
    </row>
    <row r="941" spans="1:24">
      <c r="A941" s="101"/>
      <c r="B941" s="101"/>
      <c r="C941" s="101"/>
      <c r="D941" s="101"/>
      <c r="E941" s="101"/>
      <c r="F941" s="102"/>
      <c r="G941" s="101"/>
      <c r="H941" s="102"/>
      <c r="I941" s="101"/>
      <c r="J941" s="101"/>
      <c r="K941" s="103"/>
      <c r="L941" s="103"/>
      <c r="M941" s="103"/>
      <c r="N941" s="103"/>
      <c r="O941" s="103"/>
      <c r="P941" s="98"/>
      <c r="Q941" s="99"/>
      <c r="R941" s="104">
        <f t="shared" si="47"/>
        <v>0</v>
      </c>
      <c r="S941" s="104">
        <f t="shared" si="46"/>
        <v>0</v>
      </c>
      <c r="T941" s="104">
        <f t="shared" si="48"/>
        <v>0</v>
      </c>
      <c r="X941" s="115"/>
    </row>
    <row r="942" spans="1:24">
      <c r="A942" s="101"/>
      <c r="B942" s="101"/>
      <c r="C942" s="101"/>
      <c r="D942" s="101"/>
      <c r="E942" s="101"/>
      <c r="F942" s="102"/>
      <c r="G942" s="101"/>
      <c r="H942" s="102"/>
      <c r="I942" s="101"/>
      <c r="J942" s="101"/>
      <c r="K942" s="103"/>
      <c r="L942" s="103"/>
      <c r="M942" s="103"/>
      <c r="N942" s="103"/>
      <c r="O942" s="103"/>
      <c r="P942" s="98"/>
      <c r="Q942" s="99"/>
      <c r="R942" s="105">
        <f t="shared" si="47"/>
        <v>0</v>
      </c>
      <c r="S942" s="108">
        <f t="shared" si="46"/>
        <v>0</v>
      </c>
      <c r="T942" s="105">
        <f t="shared" si="48"/>
        <v>0</v>
      </c>
      <c r="X942" s="115"/>
    </row>
    <row r="943" spans="1:24">
      <c r="A943" s="101"/>
      <c r="B943" s="101"/>
      <c r="C943" s="101"/>
      <c r="D943" s="101"/>
      <c r="E943" s="101"/>
      <c r="F943" s="102"/>
      <c r="G943" s="101"/>
      <c r="H943" s="102"/>
      <c r="I943" s="101"/>
      <c r="J943" s="101"/>
      <c r="K943" s="103"/>
      <c r="L943" s="103"/>
      <c r="M943" s="103"/>
      <c r="N943" s="103"/>
      <c r="O943" s="103"/>
      <c r="P943" s="98"/>
      <c r="Q943" s="99"/>
      <c r="R943" s="104">
        <f t="shared" si="47"/>
        <v>0</v>
      </c>
      <c r="S943" s="104">
        <f t="shared" si="46"/>
        <v>0</v>
      </c>
      <c r="T943" s="104">
        <f t="shared" si="48"/>
        <v>0</v>
      </c>
      <c r="X943" s="115"/>
    </row>
    <row r="944" spans="1:24">
      <c r="A944" s="101"/>
      <c r="B944" s="101"/>
      <c r="C944" s="101"/>
      <c r="D944" s="101"/>
      <c r="E944" s="101"/>
      <c r="F944" s="102"/>
      <c r="G944" s="101"/>
      <c r="H944" s="102"/>
      <c r="I944" s="101"/>
      <c r="J944" s="101"/>
      <c r="K944" s="103"/>
      <c r="L944" s="103"/>
      <c r="M944" s="103"/>
      <c r="N944" s="103"/>
      <c r="O944" s="103"/>
      <c r="P944" s="98"/>
      <c r="Q944" s="99"/>
      <c r="R944" s="105">
        <f t="shared" si="47"/>
        <v>0</v>
      </c>
      <c r="S944" s="108">
        <f t="shared" si="46"/>
        <v>0</v>
      </c>
      <c r="T944" s="105">
        <f t="shared" si="48"/>
        <v>0</v>
      </c>
      <c r="X944" s="115"/>
    </row>
    <row r="945" spans="1:24">
      <c r="A945" s="101"/>
      <c r="B945" s="101"/>
      <c r="C945" s="101"/>
      <c r="D945" s="101"/>
      <c r="E945" s="101"/>
      <c r="F945" s="102"/>
      <c r="G945" s="101"/>
      <c r="H945" s="102"/>
      <c r="I945" s="101"/>
      <c r="J945" s="101"/>
      <c r="K945" s="103"/>
      <c r="L945" s="103"/>
      <c r="M945" s="103"/>
      <c r="N945" s="103"/>
      <c r="O945" s="103"/>
      <c r="P945" s="98"/>
      <c r="Q945" s="99"/>
      <c r="R945" s="104">
        <f t="shared" si="47"/>
        <v>0</v>
      </c>
      <c r="S945" s="104">
        <f t="shared" si="46"/>
        <v>0</v>
      </c>
      <c r="T945" s="104">
        <f t="shared" si="48"/>
        <v>0</v>
      </c>
      <c r="X945" s="115"/>
    </row>
    <row r="946" spans="1:24">
      <c r="A946" s="101"/>
      <c r="B946" s="101"/>
      <c r="C946" s="101"/>
      <c r="D946" s="101"/>
      <c r="E946" s="101"/>
      <c r="F946" s="102"/>
      <c r="G946" s="101"/>
      <c r="H946" s="102"/>
      <c r="I946" s="101"/>
      <c r="J946" s="101"/>
      <c r="K946" s="103"/>
      <c r="L946" s="103"/>
      <c r="M946" s="103"/>
      <c r="N946" s="103"/>
      <c r="O946" s="103"/>
      <c r="P946" s="98"/>
      <c r="Q946" s="99"/>
      <c r="R946" s="105">
        <f t="shared" si="47"/>
        <v>0</v>
      </c>
      <c r="S946" s="108">
        <f t="shared" si="46"/>
        <v>0</v>
      </c>
      <c r="T946" s="105">
        <f t="shared" si="48"/>
        <v>0</v>
      </c>
      <c r="X946" s="115"/>
    </row>
    <row r="947" spans="1:24">
      <c r="A947" s="101"/>
      <c r="B947" s="101"/>
      <c r="C947" s="101"/>
      <c r="D947" s="101"/>
      <c r="E947" s="101"/>
      <c r="F947" s="102"/>
      <c r="G947" s="101"/>
      <c r="H947" s="102"/>
      <c r="I947" s="101"/>
      <c r="J947" s="101"/>
      <c r="K947" s="103"/>
      <c r="L947" s="103"/>
      <c r="M947" s="103"/>
      <c r="N947" s="103"/>
      <c r="O947" s="103"/>
      <c r="P947" s="98"/>
      <c r="Q947" s="99"/>
      <c r="R947" s="104">
        <f t="shared" si="47"/>
        <v>0</v>
      </c>
      <c r="S947" s="104">
        <f t="shared" si="46"/>
        <v>0</v>
      </c>
      <c r="T947" s="104">
        <f t="shared" si="48"/>
        <v>0</v>
      </c>
      <c r="X947" s="115"/>
    </row>
    <row r="948" spans="1:24">
      <c r="A948" s="101"/>
      <c r="B948" s="101"/>
      <c r="C948" s="101"/>
      <c r="D948" s="101"/>
      <c r="E948" s="101"/>
      <c r="F948" s="102"/>
      <c r="G948" s="101"/>
      <c r="H948" s="102"/>
      <c r="I948" s="101"/>
      <c r="J948" s="101"/>
      <c r="K948" s="103"/>
      <c r="L948" s="103"/>
      <c r="M948" s="103"/>
      <c r="N948" s="103"/>
      <c r="O948" s="103"/>
      <c r="P948" s="98"/>
      <c r="Q948" s="99"/>
      <c r="R948" s="105">
        <f t="shared" si="47"/>
        <v>0</v>
      </c>
      <c r="S948" s="108">
        <f t="shared" si="46"/>
        <v>0</v>
      </c>
      <c r="T948" s="105">
        <f t="shared" si="48"/>
        <v>0</v>
      </c>
      <c r="X948" s="115"/>
    </row>
    <row r="949" spans="1:24">
      <c r="A949" s="101"/>
      <c r="B949" s="101"/>
      <c r="C949" s="101"/>
      <c r="D949" s="101"/>
      <c r="E949" s="101"/>
      <c r="F949" s="102"/>
      <c r="G949" s="101"/>
      <c r="H949" s="102"/>
      <c r="I949" s="101"/>
      <c r="J949" s="101"/>
      <c r="K949" s="103"/>
      <c r="L949" s="103"/>
      <c r="M949" s="103"/>
      <c r="N949" s="103"/>
      <c r="O949" s="103"/>
      <c r="P949" s="98"/>
      <c r="Q949" s="99"/>
      <c r="R949" s="104">
        <f t="shared" si="47"/>
        <v>0</v>
      </c>
      <c r="S949" s="104">
        <f t="shared" si="46"/>
        <v>0</v>
      </c>
      <c r="T949" s="104">
        <f t="shared" si="48"/>
        <v>0</v>
      </c>
      <c r="X949" s="115"/>
    </row>
    <row r="950" spans="1:24">
      <c r="A950" s="101"/>
      <c r="B950" s="101"/>
      <c r="C950" s="101"/>
      <c r="D950" s="101"/>
      <c r="E950" s="101"/>
      <c r="F950" s="102"/>
      <c r="G950" s="101"/>
      <c r="H950" s="102"/>
      <c r="I950" s="101"/>
      <c r="J950" s="101"/>
      <c r="K950" s="103"/>
      <c r="L950" s="103"/>
      <c r="M950" s="103"/>
      <c r="N950" s="103"/>
      <c r="O950" s="103"/>
      <c r="P950" s="98"/>
      <c r="Q950" s="99"/>
      <c r="R950" s="105">
        <f t="shared" si="47"/>
        <v>0</v>
      </c>
      <c r="S950" s="108">
        <f t="shared" si="46"/>
        <v>0</v>
      </c>
      <c r="T950" s="105">
        <f t="shared" si="48"/>
        <v>0</v>
      </c>
      <c r="X950" s="115"/>
    </row>
    <row r="951" spans="1:24">
      <c r="A951" s="101"/>
      <c r="B951" s="101"/>
      <c r="C951" s="101"/>
      <c r="D951" s="101"/>
      <c r="E951" s="101"/>
      <c r="F951" s="102"/>
      <c r="G951" s="101"/>
      <c r="H951" s="102"/>
      <c r="I951" s="101"/>
      <c r="J951" s="101"/>
      <c r="K951" s="103"/>
      <c r="L951" s="103"/>
      <c r="M951" s="103"/>
      <c r="N951" s="103"/>
      <c r="O951" s="103"/>
      <c r="P951" s="98"/>
      <c r="Q951" s="99"/>
      <c r="R951" s="104">
        <f t="shared" si="47"/>
        <v>0</v>
      </c>
      <c r="S951" s="104">
        <f t="shared" si="46"/>
        <v>0</v>
      </c>
      <c r="T951" s="104">
        <f t="shared" si="48"/>
        <v>0</v>
      </c>
      <c r="X951" s="115"/>
    </row>
    <row r="952" spans="1:24">
      <c r="A952" s="101"/>
      <c r="B952" s="101"/>
      <c r="C952" s="101"/>
      <c r="D952" s="101"/>
      <c r="E952" s="101"/>
      <c r="F952" s="102"/>
      <c r="G952" s="101"/>
      <c r="H952" s="102"/>
      <c r="I952" s="101"/>
      <c r="J952" s="101"/>
      <c r="K952" s="103"/>
      <c r="L952" s="103"/>
      <c r="M952" s="103"/>
      <c r="N952" s="103"/>
      <c r="O952" s="103"/>
      <c r="P952" s="98"/>
      <c r="Q952" s="99"/>
      <c r="R952" s="105">
        <f t="shared" si="47"/>
        <v>0</v>
      </c>
      <c r="S952" s="108">
        <f t="shared" si="46"/>
        <v>0</v>
      </c>
      <c r="T952" s="105">
        <f t="shared" si="48"/>
        <v>0</v>
      </c>
      <c r="X952" s="115"/>
    </row>
    <row r="953" spans="1:24">
      <c r="A953" s="101"/>
      <c r="B953" s="101"/>
      <c r="C953" s="101"/>
      <c r="D953" s="101"/>
      <c r="E953" s="101"/>
      <c r="F953" s="102"/>
      <c r="G953" s="101"/>
      <c r="H953" s="102"/>
      <c r="I953" s="101"/>
      <c r="J953" s="101"/>
      <c r="K953" s="103"/>
      <c r="L953" s="103"/>
      <c r="M953" s="103"/>
      <c r="N953" s="103"/>
      <c r="O953" s="103"/>
      <c r="P953" s="98"/>
      <c r="Q953" s="99"/>
      <c r="R953" s="104">
        <f t="shared" si="47"/>
        <v>0</v>
      </c>
      <c r="S953" s="104">
        <f t="shared" si="46"/>
        <v>0</v>
      </c>
      <c r="T953" s="104">
        <f t="shared" si="48"/>
        <v>0</v>
      </c>
      <c r="X953" s="115"/>
    </row>
    <row r="954" spans="1:24">
      <c r="A954" s="101"/>
      <c r="B954" s="101"/>
      <c r="C954" s="101"/>
      <c r="D954" s="101"/>
      <c r="E954" s="101"/>
      <c r="F954" s="102"/>
      <c r="G954" s="101"/>
      <c r="H954" s="102"/>
      <c r="I954" s="101"/>
      <c r="J954" s="101"/>
      <c r="K954" s="103"/>
      <c r="L954" s="103"/>
      <c r="M954" s="103"/>
      <c r="N954" s="103"/>
      <c r="O954" s="103"/>
      <c r="P954" s="98"/>
      <c r="Q954" s="99"/>
      <c r="R954" s="105">
        <f t="shared" si="47"/>
        <v>0</v>
      </c>
      <c r="S954" s="108">
        <f t="shared" si="46"/>
        <v>0</v>
      </c>
      <c r="T954" s="105">
        <f t="shared" si="48"/>
        <v>0</v>
      </c>
      <c r="X954" s="115"/>
    </row>
    <row r="955" spans="1:24">
      <c r="A955" s="101"/>
      <c r="B955" s="101"/>
      <c r="C955" s="101"/>
      <c r="D955" s="101"/>
      <c r="E955" s="101"/>
      <c r="F955" s="102"/>
      <c r="G955" s="101"/>
      <c r="H955" s="102"/>
      <c r="I955" s="101"/>
      <c r="J955" s="101"/>
      <c r="K955" s="103"/>
      <c r="L955" s="103"/>
      <c r="M955" s="103"/>
      <c r="N955" s="103"/>
      <c r="O955" s="103"/>
      <c r="P955" s="98"/>
      <c r="Q955" s="99"/>
      <c r="R955" s="104">
        <f t="shared" si="47"/>
        <v>0</v>
      </c>
      <c r="S955" s="104">
        <f t="shared" si="46"/>
        <v>0</v>
      </c>
      <c r="T955" s="104">
        <f t="shared" si="48"/>
        <v>0</v>
      </c>
      <c r="X955" s="115"/>
    </row>
    <row r="956" spans="1:24">
      <c r="A956" s="101"/>
      <c r="B956" s="101"/>
      <c r="C956" s="101"/>
      <c r="D956" s="101"/>
      <c r="E956" s="101"/>
      <c r="F956" s="102"/>
      <c r="G956" s="101"/>
      <c r="H956" s="102"/>
      <c r="I956" s="101"/>
      <c r="J956" s="101"/>
      <c r="K956" s="103"/>
      <c r="L956" s="103"/>
      <c r="M956" s="103"/>
      <c r="N956" s="103"/>
      <c r="O956" s="103"/>
      <c r="P956" s="98"/>
      <c r="Q956" s="99"/>
      <c r="R956" s="105">
        <f t="shared" si="47"/>
        <v>0</v>
      </c>
      <c r="S956" s="108">
        <f t="shared" si="46"/>
        <v>0</v>
      </c>
      <c r="T956" s="105">
        <f t="shared" si="48"/>
        <v>0</v>
      </c>
      <c r="X956" s="115"/>
    </row>
    <row r="957" spans="1:24">
      <c r="A957" s="101"/>
      <c r="B957" s="101"/>
      <c r="C957" s="101"/>
      <c r="D957" s="101"/>
      <c r="E957" s="101"/>
      <c r="F957" s="102"/>
      <c r="G957" s="101"/>
      <c r="H957" s="102"/>
      <c r="I957" s="101"/>
      <c r="J957" s="101"/>
      <c r="K957" s="103"/>
      <c r="L957" s="103"/>
      <c r="M957" s="103"/>
      <c r="N957" s="103"/>
      <c r="O957" s="103"/>
      <c r="P957" s="98"/>
      <c r="Q957" s="99"/>
      <c r="R957" s="104">
        <f t="shared" si="47"/>
        <v>0</v>
      </c>
      <c r="S957" s="104">
        <f t="shared" si="46"/>
        <v>0</v>
      </c>
      <c r="T957" s="104">
        <f t="shared" si="48"/>
        <v>0</v>
      </c>
      <c r="X957" s="115"/>
    </row>
    <row r="958" spans="1:24">
      <c r="A958" s="101"/>
      <c r="B958" s="101"/>
      <c r="C958" s="101"/>
      <c r="D958" s="101"/>
      <c r="E958" s="101"/>
      <c r="F958" s="102"/>
      <c r="G958" s="101"/>
      <c r="H958" s="102"/>
      <c r="I958" s="101"/>
      <c r="J958" s="101"/>
      <c r="K958" s="103"/>
      <c r="L958" s="103"/>
      <c r="M958" s="103"/>
      <c r="N958" s="103"/>
      <c r="O958" s="103"/>
      <c r="P958" s="98"/>
      <c r="Q958" s="99"/>
      <c r="R958" s="105">
        <f t="shared" si="47"/>
        <v>0</v>
      </c>
      <c r="S958" s="108">
        <f t="shared" si="46"/>
        <v>0</v>
      </c>
      <c r="T958" s="105">
        <f t="shared" si="48"/>
        <v>0</v>
      </c>
      <c r="X958" s="115"/>
    </row>
    <row r="959" spans="1:24">
      <c r="A959" s="101"/>
      <c r="B959" s="101"/>
      <c r="C959" s="101"/>
      <c r="D959" s="101"/>
      <c r="E959" s="101"/>
      <c r="F959" s="102"/>
      <c r="G959" s="101"/>
      <c r="H959" s="102"/>
      <c r="I959" s="101"/>
      <c r="J959" s="101"/>
      <c r="K959" s="103"/>
      <c r="L959" s="103"/>
      <c r="M959" s="103"/>
      <c r="N959" s="103"/>
      <c r="O959" s="103"/>
      <c r="P959" s="98"/>
      <c r="Q959" s="99"/>
      <c r="R959" s="104">
        <f t="shared" si="47"/>
        <v>0</v>
      </c>
      <c r="S959" s="104">
        <f t="shared" si="46"/>
        <v>0</v>
      </c>
      <c r="T959" s="104">
        <f t="shared" si="48"/>
        <v>0</v>
      </c>
      <c r="X959" s="115"/>
    </row>
    <row r="960" spans="1:24">
      <c r="A960" s="101"/>
      <c r="B960" s="101"/>
      <c r="C960" s="101"/>
      <c r="D960" s="101"/>
      <c r="E960" s="101"/>
      <c r="F960" s="102"/>
      <c r="G960" s="101"/>
      <c r="H960" s="102"/>
      <c r="I960" s="101"/>
      <c r="J960" s="101"/>
      <c r="K960" s="103"/>
      <c r="L960" s="103"/>
      <c r="M960" s="103"/>
      <c r="N960" s="103"/>
      <c r="O960" s="103"/>
      <c r="P960" s="98"/>
      <c r="Q960" s="99"/>
      <c r="R960" s="105">
        <f t="shared" si="47"/>
        <v>0</v>
      </c>
      <c r="S960" s="108">
        <f t="shared" si="46"/>
        <v>0</v>
      </c>
      <c r="T960" s="105">
        <f t="shared" si="48"/>
        <v>0</v>
      </c>
      <c r="X960" s="115"/>
    </row>
    <row r="961" spans="1:24">
      <c r="A961" s="101"/>
      <c r="B961" s="101"/>
      <c r="C961" s="101"/>
      <c r="D961" s="101"/>
      <c r="E961" s="101"/>
      <c r="F961" s="102"/>
      <c r="G961" s="101"/>
      <c r="H961" s="102"/>
      <c r="I961" s="101"/>
      <c r="J961" s="101"/>
      <c r="K961" s="103"/>
      <c r="L961" s="103"/>
      <c r="M961" s="103"/>
      <c r="N961" s="103"/>
      <c r="O961" s="103"/>
      <c r="P961" s="98"/>
      <c r="Q961" s="99"/>
      <c r="R961" s="104">
        <f t="shared" si="47"/>
        <v>0</v>
      </c>
      <c r="S961" s="104">
        <f t="shared" si="46"/>
        <v>0</v>
      </c>
      <c r="T961" s="104">
        <f t="shared" si="48"/>
        <v>0</v>
      </c>
      <c r="X961" s="115"/>
    </row>
    <row r="962" spans="1:24">
      <c r="A962" s="101"/>
      <c r="B962" s="101"/>
      <c r="C962" s="101"/>
      <c r="D962" s="101"/>
      <c r="E962" s="101"/>
      <c r="F962" s="102"/>
      <c r="G962" s="101"/>
      <c r="H962" s="102"/>
      <c r="I962" s="101"/>
      <c r="J962" s="101"/>
      <c r="K962" s="103"/>
      <c r="L962" s="103"/>
      <c r="M962" s="103"/>
      <c r="N962" s="103"/>
      <c r="O962" s="103"/>
      <c r="P962" s="98"/>
      <c r="Q962" s="99"/>
      <c r="R962" s="105">
        <f t="shared" si="47"/>
        <v>0</v>
      </c>
      <c r="S962" s="108">
        <f t="shared" si="46"/>
        <v>0</v>
      </c>
      <c r="T962" s="105">
        <f t="shared" si="48"/>
        <v>0</v>
      </c>
      <c r="X962" s="115"/>
    </row>
    <row r="963" spans="1:24">
      <c r="A963" s="101"/>
      <c r="B963" s="101"/>
      <c r="C963" s="101"/>
      <c r="D963" s="101"/>
      <c r="E963" s="101"/>
      <c r="F963" s="102"/>
      <c r="G963" s="101"/>
      <c r="H963" s="102"/>
      <c r="I963" s="101"/>
      <c r="J963" s="101"/>
      <c r="K963" s="103"/>
      <c r="L963" s="103"/>
      <c r="M963" s="103"/>
      <c r="N963" s="103"/>
      <c r="O963" s="103"/>
      <c r="P963" s="98"/>
      <c r="Q963" s="99"/>
      <c r="R963" s="104">
        <f t="shared" si="47"/>
        <v>0</v>
      </c>
      <c r="S963" s="104">
        <f t="shared" si="46"/>
        <v>0</v>
      </c>
      <c r="T963" s="104">
        <f t="shared" si="48"/>
        <v>0</v>
      </c>
      <c r="X963" s="115"/>
    </row>
    <row r="964" spans="1:24">
      <c r="A964" s="101"/>
      <c r="B964" s="101"/>
      <c r="C964" s="101"/>
      <c r="D964" s="101"/>
      <c r="E964" s="101"/>
      <c r="F964" s="102"/>
      <c r="G964" s="101"/>
      <c r="H964" s="102"/>
      <c r="I964" s="101"/>
      <c r="J964" s="101"/>
      <c r="K964" s="103"/>
      <c r="L964" s="103"/>
      <c r="M964" s="103"/>
      <c r="N964" s="103"/>
      <c r="O964" s="103"/>
      <c r="P964" s="98"/>
      <c r="Q964" s="99"/>
      <c r="R964" s="105">
        <f t="shared" si="47"/>
        <v>0</v>
      </c>
      <c r="S964" s="108">
        <f t="shared" ref="S964:S1027" si="49">IF(P964="Abono",K964+L964+M964-N964-O964,0)</f>
        <v>0</v>
      </c>
      <c r="T964" s="105">
        <f t="shared" si="48"/>
        <v>0</v>
      </c>
      <c r="X964" s="115"/>
    </row>
    <row r="965" spans="1:24">
      <c r="A965" s="101"/>
      <c r="B965" s="101"/>
      <c r="C965" s="101"/>
      <c r="D965" s="101"/>
      <c r="E965" s="101"/>
      <c r="F965" s="102"/>
      <c r="G965" s="101"/>
      <c r="H965" s="102"/>
      <c r="I965" s="101"/>
      <c r="J965" s="101"/>
      <c r="K965" s="103"/>
      <c r="L965" s="103"/>
      <c r="M965" s="103"/>
      <c r="N965" s="103"/>
      <c r="O965" s="103"/>
      <c r="P965" s="98"/>
      <c r="Q965" s="99"/>
      <c r="R965" s="104">
        <f t="shared" ref="R965:R1028" si="50">IF(P965="Cargo",K965+L965-M965-N965+O965,0)</f>
        <v>0</v>
      </c>
      <c r="S965" s="104">
        <f t="shared" si="49"/>
        <v>0</v>
      </c>
      <c r="T965" s="104">
        <f t="shared" ref="T965:T1028" si="51">IF(Q965="OK",+T964+R965-S965,T964)</f>
        <v>0</v>
      </c>
      <c r="X965" s="115"/>
    </row>
    <row r="966" spans="1:24">
      <c r="A966" s="101"/>
      <c r="B966" s="101"/>
      <c r="C966" s="101"/>
      <c r="D966" s="101"/>
      <c r="E966" s="101"/>
      <c r="F966" s="102"/>
      <c r="G966" s="101"/>
      <c r="H966" s="102"/>
      <c r="I966" s="101"/>
      <c r="J966" s="101"/>
      <c r="K966" s="103"/>
      <c r="L966" s="103"/>
      <c r="M966" s="103"/>
      <c r="N966" s="103"/>
      <c r="O966" s="103"/>
      <c r="P966" s="98"/>
      <c r="Q966" s="99"/>
      <c r="R966" s="105">
        <f t="shared" si="50"/>
        <v>0</v>
      </c>
      <c r="S966" s="108">
        <f t="shared" si="49"/>
        <v>0</v>
      </c>
      <c r="T966" s="105">
        <f t="shared" si="51"/>
        <v>0</v>
      </c>
      <c r="X966" s="115"/>
    </row>
    <row r="967" spans="1:24">
      <c r="A967" s="101"/>
      <c r="B967" s="101"/>
      <c r="C967" s="101"/>
      <c r="D967" s="101"/>
      <c r="E967" s="101"/>
      <c r="F967" s="102"/>
      <c r="G967" s="101"/>
      <c r="H967" s="102"/>
      <c r="I967" s="101"/>
      <c r="J967" s="101"/>
      <c r="K967" s="103"/>
      <c r="L967" s="103"/>
      <c r="M967" s="103"/>
      <c r="N967" s="103"/>
      <c r="O967" s="103"/>
      <c r="P967" s="98"/>
      <c r="Q967" s="99"/>
      <c r="R967" s="104">
        <f t="shared" si="50"/>
        <v>0</v>
      </c>
      <c r="S967" s="104">
        <f t="shared" si="49"/>
        <v>0</v>
      </c>
      <c r="T967" s="104">
        <f t="shared" si="51"/>
        <v>0</v>
      </c>
      <c r="X967" s="115"/>
    </row>
    <row r="968" spans="1:24">
      <c r="A968" s="101"/>
      <c r="B968" s="101"/>
      <c r="C968" s="101"/>
      <c r="D968" s="101"/>
      <c r="E968" s="101"/>
      <c r="F968" s="102"/>
      <c r="G968" s="101"/>
      <c r="H968" s="102"/>
      <c r="I968" s="101"/>
      <c r="J968" s="101"/>
      <c r="K968" s="103"/>
      <c r="L968" s="103"/>
      <c r="M968" s="103"/>
      <c r="N968" s="103"/>
      <c r="O968" s="103"/>
      <c r="P968" s="98"/>
      <c r="Q968" s="99"/>
      <c r="R968" s="105">
        <f t="shared" si="50"/>
        <v>0</v>
      </c>
      <c r="S968" s="108">
        <f t="shared" si="49"/>
        <v>0</v>
      </c>
      <c r="T968" s="105">
        <f t="shared" si="51"/>
        <v>0</v>
      </c>
      <c r="X968" s="115"/>
    </row>
    <row r="969" spans="1:24">
      <c r="A969" s="101"/>
      <c r="B969" s="101"/>
      <c r="C969" s="101"/>
      <c r="D969" s="101"/>
      <c r="E969" s="101"/>
      <c r="F969" s="102"/>
      <c r="G969" s="101"/>
      <c r="H969" s="102"/>
      <c r="I969" s="101"/>
      <c r="J969" s="101"/>
      <c r="K969" s="103"/>
      <c r="L969" s="103"/>
      <c r="M969" s="103"/>
      <c r="N969" s="103"/>
      <c r="O969" s="103"/>
      <c r="P969" s="98"/>
      <c r="Q969" s="99"/>
      <c r="R969" s="104">
        <f t="shared" si="50"/>
        <v>0</v>
      </c>
      <c r="S969" s="104">
        <f t="shared" si="49"/>
        <v>0</v>
      </c>
      <c r="T969" s="104">
        <f t="shared" si="51"/>
        <v>0</v>
      </c>
      <c r="X969" s="115"/>
    </row>
    <row r="970" spans="1:24">
      <c r="A970" s="101"/>
      <c r="B970" s="101"/>
      <c r="C970" s="101"/>
      <c r="D970" s="101"/>
      <c r="E970" s="101"/>
      <c r="F970" s="102"/>
      <c r="G970" s="101"/>
      <c r="H970" s="102"/>
      <c r="I970" s="101"/>
      <c r="J970" s="101"/>
      <c r="K970" s="103"/>
      <c r="L970" s="103"/>
      <c r="M970" s="103"/>
      <c r="N970" s="103"/>
      <c r="O970" s="103"/>
      <c r="P970" s="98"/>
      <c r="Q970" s="99"/>
      <c r="R970" s="105">
        <f t="shared" si="50"/>
        <v>0</v>
      </c>
      <c r="S970" s="108">
        <f t="shared" si="49"/>
        <v>0</v>
      </c>
      <c r="T970" s="105">
        <f t="shared" si="51"/>
        <v>0</v>
      </c>
      <c r="X970" s="115"/>
    </row>
    <row r="971" spans="1:24">
      <c r="A971" s="101"/>
      <c r="B971" s="101"/>
      <c r="C971" s="101"/>
      <c r="D971" s="101"/>
      <c r="E971" s="101"/>
      <c r="F971" s="102"/>
      <c r="G971" s="101"/>
      <c r="H971" s="102"/>
      <c r="I971" s="101"/>
      <c r="J971" s="101"/>
      <c r="K971" s="103"/>
      <c r="L971" s="103"/>
      <c r="M971" s="103"/>
      <c r="N971" s="103"/>
      <c r="O971" s="103"/>
      <c r="P971" s="98"/>
      <c r="Q971" s="99"/>
      <c r="R971" s="104">
        <f t="shared" si="50"/>
        <v>0</v>
      </c>
      <c r="S971" s="104">
        <f t="shared" si="49"/>
        <v>0</v>
      </c>
      <c r="T971" s="104">
        <f t="shared" si="51"/>
        <v>0</v>
      </c>
      <c r="X971" s="115"/>
    </row>
    <row r="972" spans="1:24">
      <c r="A972" s="101"/>
      <c r="B972" s="101"/>
      <c r="C972" s="101"/>
      <c r="D972" s="101"/>
      <c r="E972" s="101"/>
      <c r="F972" s="102"/>
      <c r="G972" s="101"/>
      <c r="H972" s="102"/>
      <c r="I972" s="101"/>
      <c r="J972" s="101"/>
      <c r="K972" s="103"/>
      <c r="L972" s="103"/>
      <c r="M972" s="103"/>
      <c r="N972" s="103"/>
      <c r="O972" s="103"/>
      <c r="P972" s="98"/>
      <c r="Q972" s="99"/>
      <c r="R972" s="105">
        <f t="shared" si="50"/>
        <v>0</v>
      </c>
      <c r="S972" s="108">
        <f t="shared" si="49"/>
        <v>0</v>
      </c>
      <c r="T972" s="105">
        <f t="shared" si="51"/>
        <v>0</v>
      </c>
      <c r="X972" s="115"/>
    </row>
    <row r="973" spans="1:24">
      <c r="A973" s="101"/>
      <c r="B973" s="101"/>
      <c r="C973" s="101"/>
      <c r="D973" s="101"/>
      <c r="E973" s="101"/>
      <c r="F973" s="102"/>
      <c r="G973" s="101"/>
      <c r="H973" s="102"/>
      <c r="I973" s="101"/>
      <c r="J973" s="101"/>
      <c r="K973" s="103"/>
      <c r="L973" s="103"/>
      <c r="M973" s="103"/>
      <c r="N973" s="103"/>
      <c r="O973" s="103"/>
      <c r="P973" s="98"/>
      <c r="Q973" s="99"/>
      <c r="R973" s="104">
        <f t="shared" si="50"/>
        <v>0</v>
      </c>
      <c r="S973" s="104">
        <f t="shared" si="49"/>
        <v>0</v>
      </c>
      <c r="T973" s="104">
        <f t="shared" si="51"/>
        <v>0</v>
      </c>
      <c r="X973" s="115"/>
    </row>
    <row r="974" spans="1:24">
      <c r="A974" s="101"/>
      <c r="B974" s="101"/>
      <c r="C974" s="101"/>
      <c r="D974" s="101"/>
      <c r="E974" s="101"/>
      <c r="F974" s="102"/>
      <c r="G974" s="101"/>
      <c r="H974" s="102"/>
      <c r="I974" s="101"/>
      <c r="J974" s="101"/>
      <c r="K974" s="103"/>
      <c r="L974" s="103"/>
      <c r="M974" s="103"/>
      <c r="N974" s="103"/>
      <c r="O974" s="103"/>
      <c r="P974" s="98"/>
      <c r="Q974" s="99"/>
      <c r="R974" s="105">
        <f t="shared" si="50"/>
        <v>0</v>
      </c>
      <c r="S974" s="108">
        <f t="shared" si="49"/>
        <v>0</v>
      </c>
      <c r="T974" s="105">
        <f t="shared" si="51"/>
        <v>0</v>
      </c>
      <c r="X974" s="115"/>
    </row>
    <row r="975" spans="1:24">
      <c r="A975" s="101"/>
      <c r="B975" s="101"/>
      <c r="C975" s="101"/>
      <c r="D975" s="101"/>
      <c r="E975" s="101"/>
      <c r="F975" s="102"/>
      <c r="G975" s="101"/>
      <c r="H975" s="102"/>
      <c r="I975" s="101"/>
      <c r="J975" s="101"/>
      <c r="K975" s="103"/>
      <c r="L975" s="103"/>
      <c r="M975" s="103"/>
      <c r="N975" s="103"/>
      <c r="O975" s="103"/>
      <c r="P975" s="98"/>
      <c r="Q975" s="99"/>
      <c r="R975" s="104">
        <f t="shared" si="50"/>
        <v>0</v>
      </c>
      <c r="S975" s="104">
        <f t="shared" si="49"/>
        <v>0</v>
      </c>
      <c r="T975" s="104">
        <f t="shared" si="51"/>
        <v>0</v>
      </c>
      <c r="X975" s="115"/>
    </row>
    <row r="976" spans="1:24">
      <c r="A976" s="101"/>
      <c r="B976" s="101"/>
      <c r="C976" s="101"/>
      <c r="D976" s="101"/>
      <c r="E976" s="101"/>
      <c r="F976" s="102"/>
      <c r="G976" s="101"/>
      <c r="H976" s="102"/>
      <c r="I976" s="101"/>
      <c r="J976" s="101"/>
      <c r="K976" s="103"/>
      <c r="L976" s="103"/>
      <c r="M976" s="103"/>
      <c r="N976" s="103"/>
      <c r="O976" s="103"/>
      <c r="P976" s="98"/>
      <c r="Q976" s="99"/>
      <c r="R976" s="105">
        <f t="shared" si="50"/>
        <v>0</v>
      </c>
      <c r="S976" s="108">
        <f t="shared" si="49"/>
        <v>0</v>
      </c>
      <c r="T976" s="105">
        <f t="shared" si="51"/>
        <v>0</v>
      </c>
      <c r="X976" s="115"/>
    </row>
    <row r="977" spans="1:24">
      <c r="A977" s="101"/>
      <c r="B977" s="101"/>
      <c r="C977" s="101"/>
      <c r="D977" s="101"/>
      <c r="E977" s="101"/>
      <c r="F977" s="102"/>
      <c r="G977" s="101"/>
      <c r="H977" s="102"/>
      <c r="I977" s="101"/>
      <c r="J977" s="101"/>
      <c r="K977" s="103"/>
      <c r="L977" s="103"/>
      <c r="M977" s="103"/>
      <c r="N977" s="103"/>
      <c r="O977" s="103"/>
      <c r="P977" s="98"/>
      <c r="Q977" s="99"/>
      <c r="R977" s="104">
        <f t="shared" si="50"/>
        <v>0</v>
      </c>
      <c r="S977" s="104">
        <f t="shared" si="49"/>
        <v>0</v>
      </c>
      <c r="T977" s="104">
        <f t="shared" si="51"/>
        <v>0</v>
      </c>
      <c r="X977" s="115"/>
    </row>
    <row r="978" spans="1:24">
      <c r="A978" s="101"/>
      <c r="B978" s="101"/>
      <c r="C978" s="101"/>
      <c r="D978" s="101"/>
      <c r="E978" s="101"/>
      <c r="F978" s="102"/>
      <c r="G978" s="101"/>
      <c r="H978" s="102"/>
      <c r="I978" s="101"/>
      <c r="J978" s="101"/>
      <c r="K978" s="103"/>
      <c r="L978" s="103"/>
      <c r="M978" s="103"/>
      <c r="N978" s="103"/>
      <c r="O978" s="103"/>
      <c r="P978" s="98"/>
      <c r="Q978" s="99"/>
      <c r="R978" s="105">
        <f t="shared" si="50"/>
        <v>0</v>
      </c>
      <c r="S978" s="108">
        <f t="shared" si="49"/>
        <v>0</v>
      </c>
      <c r="T978" s="105">
        <f t="shared" si="51"/>
        <v>0</v>
      </c>
      <c r="X978" s="115"/>
    </row>
    <row r="979" spans="1:24">
      <c r="A979" s="101"/>
      <c r="B979" s="101"/>
      <c r="C979" s="101"/>
      <c r="D979" s="101"/>
      <c r="E979" s="101"/>
      <c r="F979" s="102"/>
      <c r="G979" s="101"/>
      <c r="H979" s="102"/>
      <c r="I979" s="101"/>
      <c r="J979" s="101"/>
      <c r="K979" s="103"/>
      <c r="L979" s="103"/>
      <c r="M979" s="103"/>
      <c r="N979" s="103"/>
      <c r="O979" s="103"/>
      <c r="P979" s="98"/>
      <c r="Q979" s="99"/>
      <c r="R979" s="104">
        <f t="shared" si="50"/>
        <v>0</v>
      </c>
      <c r="S979" s="104">
        <f t="shared" si="49"/>
        <v>0</v>
      </c>
      <c r="T979" s="104">
        <f t="shared" si="51"/>
        <v>0</v>
      </c>
      <c r="X979" s="115"/>
    </row>
    <row r="980" spans="1:24">
      <c r="A980" s="101"/>
      <c r="B980" s="101"/>
      <c r="C980" s="101"/>
      <c r="D980" s="101"/>
      <c r="E980" s="101"/>
      <c r="F980" s="102"/>
      <c r="G980" s="101"/>
      <c r="H980" s="102"/>
      <c r="I980" s="101"/>
      <c r="J980" s="101"/>
      <c r="K980" s="103"/>
      <c r="L980" s="103"/>
      <c r="M980" s="103"/>
      <c r="N980" s="103"/>
      <c r="O980" s="103"/>
      <c r="P980" s="98"/>
      <c r="Q980" s="99"/>
      <c r="R980" s="105">
        <f t="shared" si="50"/>
        <v>0</v>
      </c>
      <c r="S980" s="108">
        <f t="shared" si="49"/>
        <v>0</v>
      </c>
      <c r="T980" s="105">
        <f t="shared" si="51"/>
        <v>0</v>
      </c>
      <c r="X980" s="115"/>
    </row>
    <row r="981" spans="1:24">
      <c r="A981" s="101"/>
      <c r="B981" s="101"/>
      <c r="C981" s="101"/>
      <c r="D981" s="101"/>
      <c r="E981" s="101"/>
      <c r="F981" s="102"/>
      <c r="G981" s="101"/>
      <c r="H981" s="102"/>
      <c r="I981" s="101"/>
      <c r="J981" s="101"/>
      <c r="K981" s="103"/>
      <c r="L981" s="103"/>
      <c r="M981" s="103"/>
      <c r="N981" s="103"/>
      <c r="O981" s="103"/>
      <c r="P981" s="98"/>
      <c r="Q981" s="99"/>
      <c r="R981" s="104">
        <f t="shared" si="50"/>
        <v>0</v>
      </c>
      <c r="S981" s="104">
        <f t="shared" si="49"/>
        <v>0</v>
      </c>
      <c r="T981" s="104">
        <f t="shared" si="51"/>
        <v>0</v>
      </c>
      <c r="X981" s="115"/>
    </row>
    <row r="982" spans="1:24">
      <c r="A982" s="101"/>
      <c r="B982" s="101"/>
      <c r="C982" s="101"/>
      <c r="D982" s="101"/>
      <c r="E982" s="101"/>
      <c r="F982" s="102"/>
      <c r="G982" s="101"/>
      <c r="H982" s="102"/>
      <c r="I982" s="101"/>
      <c r="J982" s="101"/>
      <c r="K982" s="103"/>
      <c r="L982" s="103"/>
      <c r="M982" s="103"/>
      <c r="N982" s="103"/>
      <c r="O982" s="103"/>
      <c r="P982" s="98"/>
      <c r="Q982" s="99"/>
      <c r="R982" s="105">
        <f t="shared" si="50"/>
        <v>0</v>
      </c>
      <c r="S982" s="108">
        <f t="shared" si="49"/>
        <v>0</v>
      </c>
      <c r="T982" s="105">
        <f t="shared" si="51"/>
        <v>0</v>
      </c>
      <c r="X982" s="115"/>
    </row>
    <row r="983" spans="1:24">
      <c r="A983" s="101"/>
      <c r="B983" s="101"/>
      <c r="C983" s="101"/>
      <c r="D983" s="101"/>
      <c r="E983" s="101"/>
      <c r="F983" s="102"/>
      <c r="G983" s="101"/>
      <c r="H983" s="102"/>
      <c r="I983" s="101"/>
      <c r="J983" s="101"/>
      <c r="K983" s="103"/>
      <c r="L983" s="103"/>
      <c r="M983" s="103"/>
      <c r="N983" s="103"/>
      <c r="O983" s="103"/>
      <c r="P983" s="98"/>
      <c r="Q983" s="99"/>
      <c r="R983" s="104">
        <f t="shared" si="50"/>
        <v>0</v>
      </c>
      <c r="S983" s="104">
        <f t="shared" si="49"/>
        <v>0</v>
      </c>
      <c r="T983" s="104">
        <f t="shared" si="51"/>
        <v>0</v>
      </c>
      <c r="X983" s="115"/>
    </row>
    <row r="984" spans="1:24">
      <c r="A984" s="101"/>
      <c r="B984" s="101"/>
      <c r="C984" s="101"/>
      <c r="D984" s="101"/>
      <c r="E984" s="101"/>
      <c r="F984" s="102"/>
      <c r="G984" s="101"/>
      <c r="H984" s="102"/>
      <c r="I984" s="101"/>
      <c r="J984" s="101"/>
      <c r="K984" s="103"/>
      <c r="L984" s="103"/>
      <c r="M984" s="103"/>
      <c r="N984" s="103"/>
      <c r="O984" s="103"/>
      <c r="P984" s="98"/>
      <c r="Q984" s="99"/>
      <c r="R984" s="105">
        <f t="shared" si="50"/>
        <v>0</v>
      </c>
      <c r="S984" s="108">
        <f t="shared" si="49"/>
        <v>0</v>
      </c>
      <c r="T984" s="105">
        <f t="shared" si="51"/>
        <v>0</v>
      </c>
      <c r="X984" s="115"/>
    </row>
    <row r="985" spans="1:24">
      <c r="A985" s="101"/>
      <c r="B985" s="101"/>
      <c r="C985" s="101"/>
      <c r="D985" s="101"/>
      <c r="E985" s="101"/>
      <c r="F985" s="102"/>
      <c r="G985" s="101"/>
      <c r="H985" s="102"/>
      <c r="I985" s="101"/>
      <c r="J985" s="101"/>
      <c r="K985" s="103"/>
      <c r="L985" s="103"/>
      <c r="M985" s="103"/>
      <c r="N985" s="103"/>
      <c r="O985" s="103"/>
      <c r="P985" s="98"/>
      <c r="Q985" s="99"/>
      <c r="R985" s="104">
        <f t="shared" si="50"/>
        <v>0</v>
      </c>
      <c r="S985" s="104">
        <f t="shared" si="49"/>
        <v>0</v>
      </c>
      <c r="T985" s="104">
        <f t="shared" si="51"/>
        <v>0</v>
      </c>
      <c r="X985" s="115"/>
    </row>
    <row r="986" spans="1:24">
      <c r="A986" s="101"/>
      <c r="B986" s="101"/>
      <c r="C986" s="101"/>
      <c r="D986" s="101"/>
      <c r="E986" s="101"/>
      <c r="F986" s="102"/>
      <c r="G986" s="101"/>
      <c r="H986" s="102"/>
      <c r="I986" s="101"/>
      <c r="J986" s="101"/>
      <c r="K986" s="103"/>
      <c r="L986" s="103"/>
      <c r="M986" s="103"/>
      <c r="N986" s="103"/>
      <c r="O986" s="103"/>
      <c r="P986" s="98"/>
      <c r="Q986" s="99"/>
      <c r="R986" s="105">
        <f t="shared" si="50"/>
        <v>0</v>
      </c>
      <c r="S986" s="108">
        <f t="shared" si="49"/>
        <v>0</v>
      </c>
      <c r="T986" s="105">
        <f t="shared" si="51"/>
        <v>0</v>
      </c>
      <c r="X986" s="115"/>
    </row>
    <row r="987" spans="1:24">
      <c r="A987" s="101"/>
      <c r="B987" s="101"/>
      <c r="C987" s="101"/>
      <c r="D987" s="101"/>
      <c r="E987" s="101"/>
      <c r="F987" s="102"/>
      <c r="G987" s="101"/>
      <c r="H987" s="102"/>
      <c r="I987" s="101"/>
      <c r="J987" s="101"/>
      <c r="K987" s="103"/>
      <c r="L987" s="103"/>
      <c r="M987" s="103"/>
      <c r="N987" s="103"/>
      <c r="O987" s="103"/>
      <c r="P987" s="98"/>
      <c r="Q987" s="99"/>
      <c r="R987" s="104">
        <f t="shared" si="50"/>
        <v>0</v>
      </c>
      <c r="S987" s="104">
        <f t="shared" si="49"/>
        <v>0</v>
      </c>
      <c r="T987" s="104">
        <f t="shared" si="51"/>
        <v>0</v>
      </c>
      <c r="X987" s="115"/>
    </row>
    <row r="988" spans="1:24">
      <c r="A988" s="101"/>
      <c r="B988" s="101"/>
      <c r="C988" s="101"/>
      <c r="D988" s="101"/>
      <c r="E988" s="101"/>
      <c r="F988" s="102"/>
      <c r="G988" s="101"/>
      <c r="H988" s="102"/>
      <c r="I988" s="101"/>
      <c r="J988" s="101"/>
      <c r="K988" s="103"/>
      <c r="L988" s="103"/>
      <c r="M988" s="103"/>
      <c r="N988" s="103"/>
      <c r="O988" s="103"/>
      <c r="P988" s="98"/>
      <c r="Q988" s="99"/>
      <c r="R988" s="105">
        <f t="shared" si="50"/>
        <v>0</v>
      </c>
      <c r="S988" s="108">
        <f t="shared" si="49"/>
        <v>0</v>
      </c>
      <c r="T988" s="105">
        <f t="shared" si="51"/>
        <v>0</v>
      </c>
      <c r="X988" s="115"/>
    </row>
    <row r="989" spans="1:24">
      <c r="A989" s="101"/>
      <c r="B989" s="101"/>
      <c r="C989" s="101"/>
      <c r="D989" s="101"/>
      <c r="E989" s="101"/>
      <c r="F989" s="102"/>
      <c r="G989" s="101"/>
      <c r="H989" s="102"/>
      <c r="I989" s="101"/>
      <c r="J989" s="101"/>
      <c r="K989" s="103"/>
      <c r="L989" s="103"/>
      <c r="M989" s="103"/>
      <c r="N989" s="103"/>
      <c r="O989" s="103"/>
      <c r="P989" s="98"/>
      <c r="Q989" s="99"/>
      <c r="R989" s="104">
        <f t="shared" si="50"/>
        <v>0</v>
      </c>
      <c r="S989" s="104">
        <f t="shared" si="49"/>
        <v>0</v>
      </c>
      <c r="T989" s="104">
        <f t="shared" si="51"/>
        <v>0</v>
      </c>
      <c r="X989" s="115"/>
    </row>
    <row r="990" spans="1:24">
      <c r="A990" s="101"/>
      <c r="B990" s="101"/>
      <c r="C990" s="101"/>
      <c r="D990" s="101"/>
      <c r="E990" s="101"/>
      <c r="F990" s="102"/>
      <c r="G990" s="101"/>
      <c r="H990" s="102"/>
      <c r="I990" s="101"/>
      <c r="J990" s="101"/>
      <c r="K990" s="103"/>
      <c r="L990" s="103"/>
      <c r="M990" s="103"/>
      <c r="N990" s="103"/>
      <c r="O990" s="103"/>
      <c r="P990" s="98"/>
      <c r="Q990" s="99"/>
      <c r="R990" s="105">
        <f t="shared" si="50"/>
        <v>0</v>
      </c>
      <c r="S990" s="108">
        <f t="shared" si="49"/>
        <v>0</v>
      </c>
      <c r="T990" s="105">
        <f t="shared" si="51"/>
        <v>0</v>
      </c>
      <c r="X990" s="115"/>
    </row>
    <row r="991" spans="1:24">
      <c r="A991" s="101"/>
      <c r="B991" s="101"/>
      <c r="C991" s="101"/>
      <c r="D991" s="101"/>
      <c r="E991" s="101"/>
      <c r="F991" s="102"/>
      <c r="G991" s="101"/>
      <c r="H991" s="102"/>
      <c r="I991" s="101"/>
      <c r="J991" s="101"/>
      <c r="K991" s="103"/>
      <c r="L991" s="103"/>
      <c r="M991" s="103"/>
      <c r="N991" s="103"/>
      <c r="O991" s="103"/>
      <c r="P991" s="98"/>
      <c r="Q991" s="99"/>
      <c r="R991" s="104">
        <f t="shared" si="50"/>
        <v>0</v>
      </c>
      <c r="S991" s="104">
        <f t="shared" si="49"/>
        <v>0</v>
      </c>
      <c r="T991" s="104">
        <f t="shared" si="51"/>
        <v>0</v>
      </c>
      <c r="X991" s="115"/>
    </row>
    <row r="992" spans="1:24">
      <c r="A992" s="101"/>
      <c r="B992" s="101"/>
      <c r="C992" s="101"/>
      <c r="D992" s="101"/>
      <c r="E992" s="101"/>
      <c r="F992" s="102"/>
      <c r="G992" s="101"/>
      <c r="H992" s="102"/>
      <c r="I992" s="101"/>
      <c r="J992" s="101"/>
      <c r="K992" s="103"/>
      <c r="L992" s="103"/>
      <c r="M992" s="103"/>
      <c r="N992" s="103"/>
      <c r="O992" s="103"/>
      <c r="P992" s="98"/>
      <c r="Q992" s="99"/>
      <c r="R992" s="105">
        <f t="shared" si="50"/>
        <v>0</v>
      </c>
      <c r="S992" s="108">
        <f t="shared" si="49"/>
        <v>0</v>
      </c>
      <c r="T992" s="105">
        <f t="shared" si="51"/>
        <v>0</v>
      </c>
      <c r="X992" s="115"/>
    </row>
    <row r="993" spans="1:24">
      <c r="A993" s="101"/>
      <c r="B993" s="101"/>
      <c r="C993" s="101"/>
      <c r="D993" s="101"/>
      <c r="E993" s="101"/>
      <c r="F993" s="102"/>
      <c r="G993" s="101"/>
      <c r="H993" s="102"/>
      <c r="I993" s="101"/>
      <c r="J993" s="101"/>
      <c r="K993" s="103"/>
      <c r="L993" s="103"/>
      <c r="M993" s="103"/>
      <c r="N993" s="103"/>
      <c r="O993" s="103"/>
      <c r="P993" s="98"/>
      <c r="Q993" s="99"/>
      <c r="R993" s="104">
        <f t="shared" si="50"/>
        <v>0</v>
      </c>
      <c r="S993" s="104">
        <f t="shared" si="49"/>
        <v>0</v>
      </c>
      <c r="T993" s="104">
        <f t="shared" si="51"/>
        <v>0</v>
      </c>
      <c r="X993" s="115"/>
    </row>
    <row r="994" spans="1:24">
      <c r="A994" s="101"/>
      <c r="B994" s="101"/>
      <c r="C994" s="101"/>
      <c r="D994" s="101"/>
      <c r="E994" s="101"/>
      <c r="F994" s="102"/>
      <c r="G994" s="101"/>
      <c r="H994" s="102"/>
      <c r="I994" s="101"/>
      <c r="J994" s="101"/>
      <c r="K994" s="103"/>
      <c r="L994" s="103"/>
      <c r="M994" s="103"/>
      <c r="N994" s="103"/>
      <c r="O994" s="103"/>
      <c r="P994" s="98"/>
      <c r="Q994" s="99"/>
      <c r="R994" s="105">
        <f t="shared" si="50"/>
        <v>0</v>
      </c>
      <c r="S994" s="108">
        <f t="shared" si="49"/>
        <v>0</v>
      </c>
      <c r="T994" s="105">
        <f t="shared" si="51"/>
        <v>0</v>
      </c>
      <c r="X994" s="115"/>
    </row>
    <row r="995" spans="1:24">
      <c r="A995" s="101"/>
      <c r="B995" s="101"/>
      <c r="C995" s="101"/>
      <c r="D995" s="101"/>
      <c r="E995" s="101"/>
      <c r="F995" s="102"/>
      <c r="G995" s="101"/>
      <c r="H995" s="102"/>
      <c r="I995" s="101"/>
      <c r="J995" s="101"/>
      <c r="K995" s="103"/>
      <c r="L995" s="103"/>
      <c r="M995" s="103"/>
      <c r="N995" s="103"/>
      <c r="O995" s="103"/>
      <c r="P995" s="98"/>
      <c r="Q995" s="99"/>
      <c r="R995" s="104">
        <f t="shared" si="50"/>
        <v>0</v>
      </c>
      <c r="S995" s="104">
        <f t="shared" si="49"/>
        <v>0</v>
      </c>
      <c r="T995" s="104">
        <f t="shared" si="51"/>
        <v>0</v>
      </c>
      <c r="X995" s="115"/>
    </row>
    <row r="996" spans="1:24">
      <c r="A996" s="101"/>
      <c r="B996" s="101"/>
      <c r="C996" s="101"/>
      <c r="D996" s="101"/>
      <c r="E996" s="101"/>
      <c r="F996" s="102"/>
      <c r="G996" s="101"/>
      <c r="H996" s="102"/>
      <c r="I996" s="101"/>
      <c r="J996" s="101"/>
      <c r="K996" s="103"/>
      <c r="L996" s="103"/>
      <c r="M996" s="103"/>
      <c r="N996" s="103"/>
      <c r="O996" s="103"/>
      <c r="P996" s="98"/>
      <c r="Q996" s="99"/>
      <c r="R996" s="105">
        <f t="shared" si="50"/>
        <v>0</v>
      </c>
      <c r="S996" s="108">
        <f t="shared" si="49"/>
        <v>0</v>
      </c>
      <c r="T996" s="105">
        <f t="shared" si="51"/>
        <v>0</v>
      </c>
      <c r="X996" s="115"/>
    </row>
    <row r="997" spans="1:24">
      <c r="A997" s="101"/>
      <c r="B997" s="101"/>
      <c r="C997" s="101"/>
      <c r="D997" s="101"/>
      <c r="E997" s="101"/>
      <c r="F997" s="102"/>
      <c r="G997" s="101"/>
      <c r="H997" s="102"/>
      <c r="I997" s="101"/>
      <c r="J997" s="101"/>
      <c r="K997" s="103"/>
      <c r="L997" s="103"/>
      <c r="M997" s="103"/>
      <c r="N997" s="103"/>
      <c r="O997" s="103"/>
      <c r="P997" s="98"/>
      <c r="Q997" s="99"/>
      <c r="R997" s="104">
        <f t="shared" si="50"/>
        <v>0</v>
      </c>
      <c r="S997" s="104">
        <f t="shared" si="49"/>
        <v>0</v>
      </c>
      <c r="T997" s="104">
        <f t="shared" si="51"/>
        <v>0</v>
      </c>
      <c r="X997" s="115"/>
    </row>
    <row r="998" spans="1:24">
      <c r="A998" s="101"/>
      <c r="B998" s="101"/>
      <c r="C998" s="101"/>
      <c r="D998" s="101"/>
      <c r="E998" s="101"/>
      <c r="F998" s="102"/>
      <c r="G998" s="101"/>
      <c r="H998" s="102"/>
      <c r="I998" s="101"/>
      <c r="J998" s="101"/>
      <c r="K998" s="103"/>
      <c r="L998" s="103"/>
      <c r="M998" s="103"/>
      <c r="N998" s="103"/>
      <c r="O998" s="103"/>
      <c r="P998" s="98"/>
      <c r="Q998" s="99"/>
      <c r="R998" s="105">
        <f t="shared" si="50"/>
        <v>0</v>
      </c>
      <c r="S998" s="108">
        <f t="shared" si="49"/>
        <v>0</v>
      </c>
      <c r="T998" s="105">
        <f t="shared" si="51"/>
        <v>0</v>
      </c>
      <c r="X998" s="115"/>
    </row>
    <row r="999" spans="1:24">
      <c r="A999" s="101"/>
      <c r="B999" s="101"/>
      <c r="C999" s="101"/>
      <c r="D999" s="101"/>
      <c r="E999" s="101"/>
      <c r="F999" s="102"/>
      <c r="G999" s="101"/>
      <c r="H999" s="102"/>
      <c r="I999" s="101"/>
      <c r="J999" s="101"/>
      <c r="K999" s="103"/>
      <c r="L999" s="103"/>
      <c r="M999" s="103"/>
      <c r="N999" s="103"/>
      <c r="O999" s="103"/>
      <c r="P999" s="98"/>
      <c r="Q999" s="99"/>
      <c r="R999" s="104">
        <f t="shared" si="50"/>
        <v>0</v>
      </c>
      <c r="S999" s="104">
        <f t="shared" si="49"/>
        <v>0</v>
      </c>
      <c r="T999" s="104">
        <f t="shared" si="51"/>
        <v>0</v>
      </c>
      <c r="X999" s="115"/>
    </row>
    <row r="1000" spans="1:24">
      <c r="A1000" s="101"/>
      <c r="B1000" s="101"/>
      <c r="C1000" s="101"/>
      <c r="D1000" s="101"/>
      <c r="E1000" s="101"/>
      <c r="F1000" s="102"/>
      <c r="G1000" s="101"/>
      <c r="H1000" s="102"/>
      <c r="I1000" s="101"/>
      <c r="J1000" s="101"/>
      <c r="K1000" s="103"/>
      <c r="L1000" s="103"/>
      <c r="M1000" s="103"/>
      <c r="N1000" s="103"/>
      <c r="O1000" s="103"/>
      <c r="P1000" s="98"/>
      <c r="Q1000" s="99"/>
      <c r="R1000" s="105">
        <f t="shared" si="50"/>
        <v>0</v>
      </c>
      <c r="S1000" s="108">
        <f t="shared" si="49"/>
        <v>0</v>
      </c>
      <c r="T1000" s="105">
        <f t="shared" si="51"/>
        <v>0</v>
      </c>
      <c r="X1000" s="115"/>
    </row>
    <row r="1001" spans="1:24">
      <c r="A1001" s="101"/>
      <c r="B1001" s="101"/>
      <c r="C1001" s="101"/>
      <c r="D1001" s="101"/>
      <c r="E1001" s="101"/>
      <c r="F1001" s="102"/>
      <c r="G1001" s="101"/>
      <c r="H1001" s="102"/>
      <c r="I1001" s="101"/>
      <c r="J1001" s="101"/>
      <c r="K1001" s="103"/>
      <c r="L1001" s="103"/>
      <c r="M1001" s="103"/>
      <c r="N1001" s="103"/>
      <c r="O1001" s="103"/>
      <c r="P1001" s="98"/>
      <c r="Q1001" s="99"/>
      <c r="R1001" s="104">
        <f t="shared" si="50"/>
        <v>0</v>
      </c>
      <c r="S1001" s="104">
        <f t="shared" si="49"/>
        <v>0</v>
      </c>
      <c r="T1001" s="104">
        <f t="shared" si="51"/>
        <v>0</v>
      </c>
      <c r="X1001" s="115"/>
    </row>
    <row r="1002" spans="1:24">
      <c r="A1002" s="101"/>
      <c r="B1002" s="101"/>
      <c r="C1002" s="101"/>
      <c r="D1002" s="101"/>
      <c r="E1002" s="101"/>
      <c r="F1002" s="102"/>
      <c r="G1002" s="101"/>
      <c r="H1002" s="102"/>
      <c r="I1002" s="101"/>
      <c r="J1002" s="101"/>
      <c r="K1002" s="103"/>
      <c r="L1002" s="103"/>
      <c r="M1002" s="103"/>
      <c r="N1002" s="103"/>
      <c r="O1002" s="103"/>
      <c r="P1002" s="98"/>
      <c r="Q1002" s="99"/>
      <c r="R1002" s="105">
        <f t="shared" si="50"/>
        <v>0</v>
      </c>
      <c r="S1002" s="108">
        <f t="shared" si="49"/>
        <v>0</v>
      </c>
      <c r="T1002" s="105">
        <f t="shared" si="51"/>
        <v>0</v>
      </c>
      <c r="X1002" s="115"/>
    </row>
    <row r="1003" spans="1:24">
      <c r="A1003" s="101"/>
      <c r="B1003" s="101"/>
      <c r="C1003" s="101"/>
      <c r="D1003" s="101"/>
      <c r="E1003" s="101"/>
      <c r="F1003" s="102"/>
      <c r="G1003" s="101"/>
      <c r="H1003" s="102"/>
      <c r="I1003" s="101"/>
      <c r="J1003" s="101"/>
      <c r="K1003" s="103"/>
      <c r="L1003" s="103"/>
      <c r="M1003" s="103"/>
      <c r="N1003" s="103"/>
      <c r="O1003" s="103"/>
      <c r="P1003" s="98"/>
      <c r="Q1003" s="99"/>
      <c r="R1003" s="104">
        <f t="shared" si="50"/>
        <v>0</v>
      </c>
      <c r="S1003" s="104">
        <f t="shared" si="49"/>
        <v>0</v>
      </c>
      <c r="T1003" s="104">
        <f t="shared" si="51"/>
        <v>0</v>
      </c>
      <c r="X1003" s="115"/>
    </row>
    <row r="1004" spans="1:24">
      <c r="A1004" s="101"/>
      <c r="B1004" s="101"/>
      <c r="C1004" s="101"/>
      <c r="D1004" s="101"/>
      <c r="E1004" s="101"/>
      <c r="F1004" s="102"/>
      <c r="G1004" s="101"/>
      <c r="H1004" s="102"/>
      <c r="I1004" s="101"/>
      <c r="J1004" s="101"/>
      <c r="K1004" s="103"/>
      <c r="L1004" s="103"/>
      <c r="M1004" s="103"/>
      <c r="N1004" s="103"/>
      <c r="O1004" s="103"/>
      <c r="P1004" s="98"/>
      <c r="Q1004" s="99"/>
      <c r="R1004" s="105">
        <f t="shared" si="50"/>
        <v>0</v>
      </c>
      <c r="S1004" s="108">
        <f t="shared" si="49"/>
        <v>0</v>
      </c>
      <c r="T1004" s="105">
        <f t="shared" si="51"/>
        <v>0</v>
      </c>
      <c r="X1004" s="115"/>
    </row>
    <row r="1005" spans="1:24">
      <c r="A1005" s="101"/>
      <c r="B1005" s="101"/>
      <c r="C1005" s="101"/>
      <c r="D1005" s="101"/>
      <c r="E1005" s="101"/>
      <c r="F1005" s="102"/>
      <c r="G1005" s="101"/>
      <c r="H1005" s="102"/>
      <c r="I1005" s="101"/>
      <c r="J1005" s="101"/>
      <c r="K1005" s="103"/>
      <c r="L1005" s="103"/>
      <c r="M1005" s="103"/>
      <c r="N1005" s="103"/>
      <c r="O1005" s="103"/>
      <c r="P1005" s="98"/>
      <c r="Q1005" s="99"/>
      <c r="R1005" s="104">
        <f t="shared" si="50"/>
        <v>0</v>
      </c>
      <c r="S1005" s="104">
        <f t="shared" si="49"/>
        <v>0</v>
      </c>
      <c r="T1005" s="104">
        <f t="shared" si="51"/>
        <v>0</v>
      </c>
      <c r="X1005" s="115"/>
    </row>
    <row r="1006" spans="1:24">
      <c r="A1006" s="101"/>
      <c r="B1006" s="101"/>
      <c r="C1006" s="101"/>
      <c r="D1006" s="101"/>
      <c r="E1006" s="101"/>
      <c r="F1006" s="102"/>
      <c r="G1006" s="101"/>
      <c r="H1006" s="102"/>
      <c r="I1006" s="101"/>
      <c r="J1006" s="101"/>
      <c r="K1006" s="103"/>
      <c r="L1006" s="103"/>
      <c r="M1006" s="103"/>
      <c r="N1006" s="103"/>
      <c r="O1006" s="103"/>
      <c r="P1006" s="98"/>
      <c r="Q1006" s="99"/>
      <c r="R1006" s="105">
        <f t="shared" si="50"/>
        <v>0</v>
      </c>
      <c r="S1006" s="108">
        <f t="shared" si="49"/>
        <v>0</v>
      </c>
      <c r="T1006" s="105">
        <f t="shared" si="51"/>
        <v>0</v>
      </c>
      <c r="X1006" s="115"/>
    </row>
    <row r="1007" spans="1:24">
      <c r="A1007" s="101"/>
      <c r="B1007" s="101"/>
      <c r="C1007" s="101"/>
      <c r="D1007" s="101"/>
      <c r="E1007" s="101"/>
      <c r="F1007" s="102"/>
      <c r="G1007" s="101"/>
      <c r="H1007" s="102"/>
      <c r="I1007" s="101"/>
      <c r="J1007" s="101"/>
      <c r="K1007" s="103"/>
      <c r="L1007" s="103"/>
      <c r="M1007" s="103"/>
      <c r="N1007" s="103"/>
      <c r="O1007" s="103"/>
      <c r="P1007" s="98"/>
      <c r="Q1007" s="99"/>
      <c r="R1007" s="104">
        <f t="shared" si="50"/>
        <v>0</v>
      </c>
      <c r="S1007" s="104">
        <f t="shared" si="49"/>
        <v>0</v>
      </c>
      <c r="T1007" s="104">
        <f t="shared" si="51"/>
        <v>0</v>
      </c>
      <c r="X1007" s="115"/>
    </row>
    <row r="1008" spans="1:24">
      <c r="A1008" s="101"/>
      <c r="B1008" s="101"/>
      <c r="C1008" s="101"/>
      <c r="D1008" s="101"/>
      <c r="E1008" s="101"/>
      <c r="F1008" s="102"/>
      <c r="G1008" s="101"/>
      <c r="H1008" s="102"/>
      <c r="I1008" s="101"/>
      <c r="J1008" s="101"/>
      <c r="K1008" s="103"/>
      <c r="L1008" s="103"/>
      <c r="M1008" s="103"/>
      <c r="N1008" s="103"/>
      <c r="O1008" s="103"/>
      <c r="P1008" s="98"/>
      <c r="Q1008" s="99"/>
      <c r="R1008" s="105">
        <f t="shared" si="50"/>
        <v>0</v>
      </c>
      <c r="S1008" s="108">
        <f t="shared" si="49"/>
        <v>0</v>
      </c>
      <c r="T1008" s="105">
        <f t="shared" si="51"/>
        <v>0</v>
      </c>
      <c r="X1008" s="115"/>
    </row>
    <row r="1009" spans="1:24">
      <c r="A1009" s="101"/>
      <c r="B1009" s="101"/>
      <c r="C1009" s="101"/>
      <c r="D1009" s="101"/>
      <c r="E1009" s="101"/>
      <c r="F1009" s="102"/>
      <c r="G1009" s="101"/>
      <c r="H1009" s="102"/>
      <c r="I1009" s="101"/>
      <c r="J1009" s="101"/>
      <c r="K1009" s="103"/>
      <c r="L1009" s="103"/>
      <c r="M1009" s="103"/>
      <c r="N1009" s="103"/>
      <c r="O1009" s="103"/>
      <c r="P1009" s="98"/>
      <c r="Q1009" s="99"/>
      <c r="R1009" s="104">
        <f t="shared" si="50"/>
        <v>0</v>
      </c>
      <c r="S1009" s="104">
        <f t="shared" si="49"/>
        <v>0</v>
      </c>
      <c r="T1009" s="104">
        <f t="shared" si="51"/>
        <v>0</v>
      </c>
      <c r="X1009" s="115"/>
    </row>
    <row r="1010" spans="1:24">
      <c r="A1010" s="101"/>
      <c r="B1010" s="101"/>
      <c r="C1010" s="101"/>
      <c r="D1010" s="101"/>
      <c r="E1010" s="101"/>
      <c r="F1010" s="102"/>
      <c r="G1010" s="101"/>
      <c r="H1010" s="102"/>
      <c r="I1010" s="101"/>
      <c r="J1010" s="101"/>
      <c r="K1010" s="103"/>
      <c r="L1010" s="103"/>
      <c r="M1010" s="103"/>
      <c r="N1010" s="103"/>
      <c r="O1010" s="103"/>
      <c r="P1010" s="98"/>
      <c r="Q1010" s="99"/>
      <c r="R1010" s="105">
        <f t="shared" si="50"/>
        <v>0</v>
      </c>
      <c r="S1010" s="108">
        <f t="shared" si="49"/>
        <v>0</v>
      </c>
      <c r="T1010" s="105">
        <f t="shared" si="51"/>
        <v>0</v>
      </c>
      <c r="X1010" s="115"/>
    </row>
    <row r="1011" spans="1:24">
      <c r="A1011" s="101"/>
      <c r="B1011" s="101"/>
      <c r="C1011" s="101"/>
      <c r="D1011" s="101"/>
      <c r="E1011" s="101"/>
      <c r="F1011" s="102"/>
      <c r="G1011" s="101"/>
      <c r="H1011" s="102"/>
      <c r="I1011" s="101"/>
      <c r="J1011" s="101"/>
      <c r="K1011" s="103"/>
      <c r="L1011" s="103"/>
      <c r="M1011" s="103"/>
      <c r="N1011" s="103"/>
      <c r="O1011" s="103"/>
      <c r="P1011" s="98"/>
      <c r="Q1011" s="99"/>
      <c r="R1011" s="104">
        <f t="shared" si="50"/>
        <v>0</v>
      </c>
      <c r="S1011" s="104">
        <f t="shared" si="49"/>
        <v>0</v>
      </c>
      <c r="T1011" s="104">
        <f t="shared" si="51"/>
        <v>0</v>
      </c>
      <c r="X1011" s="115"/>
    </row>
    <row r="1012" spans="1:24">
      <c r="A1012" s="101"/>
      <c r="B1012" s="101"/>
      <c r="C1012" s="101"/>
      <c r="D1012" s="101"/>
      <c r="E1012" s="101"/>
      <c r="F1012" s="102"/>
      <c r="G1012" s="101"/>
      <c r="H1012" s="102"/>
      <c r="I1012" s="101"/>
      <c r="J1012" s="101"/>
      <c r="K1012" s="103"/>
      <c r="L1012" s="103"/>
      <c r="M1012" s="103"/>
      <c r="N1012" s="103"/>
      <c r="O1012" s="103"/>
      <c r="P1012" s="98"/>
      <c r="Q1012" s="99"/>
      <c r="R1012" s="105">
        <f t="shared" si="50"/>
        <v>0</v>
      </c>
      <c r="S1012" s="108">
        <f t="shared" si="49"/>
        <v>0</v>
      </c>
      <c r="T1012" s="105">
        <f t="shared" si="51"/>
        <v>0</v>
      </c>
      <c r="X1012" s="115"/>
    </row>
    <row r="1013" spans="1:24">
      <c r="A1013" s="101"/>
      <c r="B1013" s="101"/>
      <c r="C1013" s="101"/>
      <c r="D1013" s="101"/>
      <c r="E1013" s="101"/>
      <c r="F1013" s="102"/>
      <c r="G1013" s="101"/>
      <c r="H1013" s="102"/>
      <c r="I1013" s="101"/>
      <c r="J1013" s="101"/>
      <c r="K1013" s="103"/>
      <c r="L1013" s="103"/>
      <c r="M1013" s="103"/>
      <c r="N1013" s="103"/>
      <c r="O1013" s="103"/>
      <c r="P1013" s="98"/>
      <c r="Q1013" s="99"/>
      <c r="R1013" s="104">
        <f t="shared" si="50"/>
        <v>0</v>
      </c>
      <c r="S1013" s="104">
        <f t="shared" si="49"/>
        <v>0</v>
      </c>
      <c r="T1013" s="104">
        <f t="shared" si="51"/>
        <v>0</v>
      </c>
      <c r="X1013" s="115"/>
    </row>
    <row r="1014" spans="1:24">
      <c r="A1014" s="101"/>
      <c r="B1014" s="101"/>
      <c r="C1014" s="101"/>
      <c r="D1014" s="101"/>
      <c r="E1014" s="101"/>
      <c r="F1014" s="102"/>
      <c r="G1014" s="101"/>
      <c r="H1014" s="102"/>
      <c r="I1014" s="101"/>
      <c r="J1014" s="101"/>
      <c r="K1014" s="103"/>
      <c r="L1014" s="103"/>
      <c r="M1014" s="103"/>
      <c r="N1014" s="103"/>
      <c r="O1014" s="103"/>
      <c r="P1014" s="98"/>
      <c r="Q1014" s="99"/>
      <c r="R1014" s="105">
        <f t="shared" si="50"/>
        <v>0</v>
      </c>
      <c r="S1014" s="108">
        <f t="shared" si="49"/>
        <v>0</v>
      </c>
      <c r="T1014" s="105">
        <f t="shared" si="51"/>
        <v>0</v>
      </c>
      <c r="X1014" s="115"/>
    </row>
    <row r="1015" spans="1:24">
      <c r="A1015" s="101"/>
      <c r="B1015" s="101"/>
      <c r="C1015" s="101"/>
      <c r="D1015" s="101"/>
      <c r="E1015" s="101"/>
      <c r="F1015" s="102"/>
      <c r="G1015" s="101"/>
      <c r="H1015" s="102"/>
      <c r="I1015" s="101"/>
      <c r="J1015" s="101"/>
      <c r="K1015" s="103"/>
      <c r="L1015" s="103"/>
      <c r="M1015" s="103"/>
      <c r="N1015" s="103"/>
      <c r="O1015" s="103"/>
      <c r="P1015" s="98"/>
      <c r="Q1015" s="99"/>
      <c r="R1015" s="104">
        <f t="shared" si="50"/>
        <v>0</v>
      </c>
      <c r="S1015" s="104">
        <f t="shared" si="49"/>
        <v>0</v>
      </c>
      <c r="T1015" s="104">
        <f t="shared" si="51"/>
        <v>0</v>
      </c>
      <c r="X1015" s="115"/>
    </row>
    <row r="1016" spans="1:24">
      <c r="A1016" s="101"/>
      <c r="B1016" s="101"/>
      <c r="C1016" s="101"/>
      <c r="D1016" s="101"/>
      <c r="E1016" s="101"/>
      <c r="F1016" s="102"/>
      <c r="G1016" s="101"/>
      <c r="H1016" s="102"/>
      <c r="I1016" s="101"/>
      <c r="J1016" s="101"/>
      <c r="K1016" s="103"/>
      <c r="L1016" s="103"/>
      <c r="M1016" s="103"/>
      <c r="N1016" s="103"/>
      <c r="O1016" s="103"/>
      <c r="P1016" s="98"/>
      <c r="Q1016" s="99"/>
      <c r="R1016" s="105">
        <f t="shared" si="50"/>
        <v>0</v>
      </c>
      <c r="S1016" s="108">
        <f t="shared" si="49"/>
        <v>0</v>
      </c>
      <c r="T1016" s="105">
        <f t="shared" si="51"/>
        <v>0</v>
      </c>
      <c r="X1016" s="115"/>
    </row>
    <row r="1017" spans="1:24">
      <c r="A1017" s="101"/>
      <c r="B1017" s="101"/>
      <c r="C1017" s="101"/>
      <c r="D1017" s="101"/>
      <c r="E1017" s="101"/>
      <c r="F1017" s="102"/>
      <c r="G1017" s="101"/>
      <c r="H1017" s="102"/>
      <c r="I1017" s="101"/>
      <c r="J1017" s="101"/>
      <c r="K1017" s="103"/>
      <c r="L1017" s="103"/>
      <c r="M1017" s="103"/>
      <c r="N1017" s="103"/>
      <c r="O1017" s="103"/>
      <c r="P1017" s="98"/>
      <c r="Q1017" s="99"/>
      <c r="R1017" s="104">
        <f t="shared" si="50"/>
        <v>0</v>
      </c>
      <c r="S1017" s="104">
        <f t="shared" si="49"/>
        <v>0</v>
      </c>
      <c r="T1017" s="104">
        <f t="shared" si="51"/>
        <v>0</v>
      </c>
      <c r="X1017" s="115"/>
    </row>
    <row r="1018" spans="1:24">
      <c r="A1018" s="101"/>
      <c r="B1018" s="101"/>
      <c r="C1018" s="101"/>
      <c r="D1018" s="101"/>
      <c r="E1018" s="101"/>
      <c r="F1018" s="102"/>
      <c r="G1018" s="101"/>
      <c r="H1018" s="102"/>
      <c r="I1018" s="101"/>
      <c r="J1018" s="101"/>
      <c r="K1018" s="103"/>
      <c r="L1018" s="103"/>
      <c r="M1018" s="103"/>
      <c r="N1018" s="103"/>
      <c r="O1018" s="103"/>
      <c r="P1018" s="98"/>
      <c r="Q1018" s="99"/>
      <c r="R1018" s="105">
        <f t="shared" si="50"/>
        <v>0</v>
      </c>
      <c r="S1018" s="108">
        <f t="shared" si="49"/>
        <v>0</v>
      </c>
      <c r="T1018" s="105">
        <f t="shared" si="51"/>
        <v>0</v>
      </c>
      <c r="X1018" s="115"/>
    </row>
    <row r="1019" spans="1:24">
      <c r="A1019" s="101"/>
      <c r="B1019" s="101"/>
      <c r="C1019" s="101"/>
      <c r="D1019" s="101"/>
      <c r="E1019" s="101"/>
      <c r="F1019" s="102"/>
      <c r="G1019" s="101"/>
      <c r="H1019" s="102"/>
      <c r="I1019" s="101"/>
      <c r="J1019" s="101"/>
      <c r="K1019" s="103"/>
      <c r="L1019" s="103"/>
      <c r="M1019" s="103"/>
      <c r="N1019" s="103"/>
      <c r="O1019" s="103"/>
      <c r="P1019" s="98"/>
      <c r="Q1019" s="99"/>
      <c r="R1019" s="104">
        <f t="shared" si="50"/>
        <v>0</v>
      </c>
      <c r="S1019" s="104">
        <f t="shared" si="49"/>
        <v>0</v>
      </c>
      <c r="T1019" s="104">
        <f t="shared" si="51"/>
        <v>0</v>
      </c>
      <c r="X1019" s="115"/>
    </row>
    <row r="1020" spans="1:24">
      <c r="A1020" s="101"/>
      <c r="B1020" s="101"/>
      <c r="C1020" s="101"/>
      <c r="D1020" s="101"/>
      <c r="E1020" s="101"/>
      <c r="F1020" s="102"/>
      <c r="G1020" s="101"/>
      <c r="H1020" s="102"/>
      <c r="I1020" s="101"/>
      <c r="J1020" s="101"/>
      <c r="K1020" s="103"/>
      <c r="L1020" s="103"/>
      <c r="M1020" s="103"/>
      <c r="N1020" s="103"/>
      <c r="O1020" s="103"/>
      <c r="P1020" s="98"/>
      <c r="Q1020" s="99"/>
      <c r="R1020" s="105">
        <f t="shared" si="50"/>
        <v>0</v>
      </c>
      <c r="S1020" s="108">
        <f t="shared" si="49"/>
        <v>0</v>
      </c>
      <c r="T1020" s="105">
        <f t="shared" si="51"/>
        <v>0</v>
      </c>
      <c r="X1020" s="115"/>
    </row>
    <row r="1021" spans="1:24">
      <c r="A1021" s="101"/>
      <c r="B1021" s="101"/>
      <c r="C1021" s="101"/>
      <c r="D1021" s="101"/>
      <c r="E1021" s="101"/>
      <c r="F1021" s="102"/>
      <c r="G1021" s="101"/>
      <c r="H1021" s="102"/>
      <c r="I1021" s="101"/>
      <c r="J1021" s="101"/>
      <c r="K1021" s="103"/>
      <c r="L1021" s="103"/>
      <c r="M1021" s="103"/>
      <c r="N1021" s="103"/>
      <c r="O1021" s="103"/>
      <c r="P1021" s="98"/>
      <c r="Q1021" s="99"/>
      <c r="R1021" s="104">
        <f t="shared" si="50"/>
        <v>0</v>
      </c>
      <c r="S1021" s="104">
        <f t="shared" si="49"/>
        <v>0</v>
      </c>
      <c r="T1021" s="104">
        <f t="shared" si="51"/>
        <v>0</v>
      </c>
      <c r="X1021" s="115"/>
    </row>
    <row r="1022" spans="1:24">
      <c r="A1022" s="101"/>
      <c r="B1022" s="101"/>
      <c r="C1022" s="101"/>
      <c r="D1022" s="101"/>
      <c r="E1022" s="101"/>
      <c r="F1022" s="102"/>
      <c r="G1022" s="101"/>
      <c r="H1022" s="102"/>
      <c r="I1022" s="101"/>
      <c r="J1022" s="101"/>
      <c r="K1022" s="103"/>
      <c r="L1022" s="103"/>
      <c r="M1022" s="103"/>
      <c r="N1022" s="103"/>
      <c r="O1022" s="103"/>
      <c r="P1022" s="98"/>
      <c r="Q1022" s="99"/>
      <c r="R1022" s="105">
        <f t="shared" si="50"/>
        <v>0</v>
      </c>
      <c r="S1022" s="108">
        <f t="shared" si="49"/>
        <v>0</v>
      </c>
      <c r="T1022" s="105">
        <f t="shared" si="51"/>
        <v>0</v>
      </c>
      <c r="X1022" s="115"/>
    </row>
    <row r="1023" spans="1:24">
      <c r="A1023" s="101"/>
      <c r="B1023" s="101"/>
      <c r="C1023" s="101"/>
      <c r="D1023" s="101"/>
      <c r="E1023" s="101"/>
      <c r="F1023" s="102"/>
      <c r="G1023" s="101"/>
      <c r="H1023" s="102"/>
      <c r="I1023" s="101"/>
      <c r="J1023" s="101"/>
      <c r="K1023" s="103"/>
      <c r="L1023" s="103"/>
      <c r="M1023" s="103"/>
      <c r="N1023" s="103"/>
      <c r="O1023" s="103"/>
      <c r="P1023" s="98"/>
      <c r="Q1023" s="99"/>
      <c r="R1023" s="104">
        <f t="shared" si="50"/>
        <v>0</v>
      </c>
      <c r="S1023" s="104">
        <f t="shared" si="49"/>
        <v>0</v>
      </c>
      <c r="T1023" s="104">
        <f t="shared" si="51"/>
        <v>0</v>
      </c>
      <c r="X1023" s="115"/>
    </row>
    <row r="1024" spans="1:24">
      <c r="A1024" s="101"/>
      <c r="B1024" s="101"/>
      <c r="C1024" s="101"/>
      <c r="D1024" s="101"/>
      <c r="E1024" s="101"/>
      <c r="F1024" s="102"/>
      <c r="G1024" s="101"/>
      <c r="H1024" s="102"/>
      <c r="I1024" s="101"/>
      <c r="J1024" s="101"/>
      <c r="K1024" s="103"/>
      <c r="L1024" s="103"/>
      <c r="M1024" s="103"/>
      <c r="N1024" s="103"/>
      <c r="O1024" s="103"/>
      <c r="P1024" s="98"/>
      <c r="Q1024" s="99"/>
      <c r="R1024" s="105">
        <f t="shared" si="50"/>
        <v>0</v>
      </c>
      <c r="S1024" s="108">
        <f t="shared" si="49"/>
        <v>0</v>
      </c>
      <c r="T1024" s="105">
        <f t="shared" si="51"/>
        <v>0</v>
      </c>
      <c r="X1024" s="115"/>
    </row>
    <row r="1025" spans="1:24">
      <c r="A1025" s="101"/>
      <c r="B1025" s="101"/>
      <c r="C1025" s="101"/>
      <c r="D1025" s="101"/>
      <c r="E1025" s="101"/>
      <c r="F1025" s="102"/>
      <c r="G1025" s="101"/>
      <c r="H1025" s="102"/>
      <c r="I1025" s="101"/>
      <c r="J1025" s="101"/>
      <c r="K1025" s="103"/>
      <c r="L1025" s="103"/>
      <c r="M1025" s="103"/>
      <c r="N1025" s="103"/>
      <c r="O1025" s="103"/>
      <c r="P1025" s="98"/>
      <c r="Q1025" s="99"/>
      <c r="R1025" s="104">
        <f t="shared" si="50"/>
        <v>0</v>
      </c>
      <c r="S1025" s="104">
        <f t="shared" si="49"/>
        <v>0</v>
      </c>
      <c r="T1025" s="104">
        <f t="shared" si="51"/>
        <v>0</v>
      </c>
      <c r="X1025" s="115"/>
    </row>
    <row r="1026" spans="1:24">
      <c r="A1026" s="101"/>
      <c r="B1026" s="101"/>
      <c r="C1026" s="101"/>
      <c r="D1026" s="101"/>
      <c r="E1026" s="101"/>
      <c r="F1026" s="102"/>
      <c r="G1026" s="101"/>
      <c r="H1026" s="102"/>
      <c r="I1026" s="101"/>
      <c r="J1026" s="101"/>
      <c r="K1026" s="103"/>
      <c r="L1026" s="103"/>
      <c r="M1026" s="103"/>
      <c r="N1026" s="103"/>
      <c r="O1026" s="103"/>
      <c r="P1026" s="98"/>
      <c r="Q1026" s="99"/>
      <c r="R1026" s="105">
        <f t="shared" si="50"/>
        <v>0</v>
      </c>
      <c r="S1026" s="108">
        <f t="shared" si="49"/>
        <v>0</v>
      </c>
      <c r="T1026" s="105">
        <f t="shared" si="51"/>
        <v>0</v>
      </c>
      <c r="X1026" s="115"/>
    </row>
    <row r="1027" spans="1:24">
      <c r="A1027" s="101"/>
      <c r="B1027" s="101"/>
      <c r="C1027" s="101"/>
      <c r="D1027" s="101"/>
      <c r="E1027" s="101"/>
      <c r="F1027" s="102"/>
      <c r="G1027" s="101"/>
      <c r="H1027" s="102"/>
      <c r="I1027" s="101"/>
      <c r="J1027" s="101"/>
      <c r="K1027" s="103"/>
      <c r="L1027" s="103"/>
      <c r="M1027" s="103"/>
      <c r="N1027" s="103"/>
      <c r="O1027" s="103"/>
      <c r="P1027" s="98"/>
      <c r="Q1027" s="99"/>
      <c r="R1027" s="104">
        <f t="shared" si="50"/>
        <v>0</v>
      </c>
      <c r="S1027" s="104">
        <f t="shared" si="49"/>
        <v>0</v>
      </c>
      <c r="T1027" s="104">
        <f t="shared" si="51"/>
        <v>0</v>
      </c>
      <c r="X1027" s="115"/>
    </row>
    <row r="1028" spans="1:24">
      <c r="A1028" s="101"/>
      <c r="B1028" s="101"/>
      <c r="C1028" s="101"/>
      <c r="D1028" s="101"/>
      <c r="E1028" s="101"/>
      <c r="F1028" s="102"/>
      <c r="G1028" s="101"/>
      <c r="H1028" s="102"/>
      <c r="I1028" s="101"/>
      <c r="J1028" s="101"/>
      <c r="K1028" s="103"/>
      <c r="L1028" s="103"/>
      <c r="M1028" s="103"/>
      <c r="N1028" s="103"/>
      <c r="O1028" s="103"/>
      <c r="P1028" s="98"/>
      <c r="Q1028" s="99"/>
      <c r="R1028" s="105">
        <f t="shared" si="50"/>
        <v>0</v>
      </c>
      <c r="S1028" s="108">
        <f t="shared" ref="S1028:S1091" si="52">IF(P1028="Abono",K1028+L1028+M1028-N1028-O1028,0)</f>
        <v>0</v>
      </c>
      <c r="T1028" s="105">
        <f t="shared" si="51"/>
        <v>0</v>
      </c>
      <c r="X1028" s="115"/>
    </row>
    <row r="1029" spans="1:24">
      <c r="A1029" s="101"/>
      <c r="B1029" s="101"/>
      <c r="C1029" s="101"/>
      <c r="D1029" s="101"/>
      <c r="E1029" s="101"/>
      <c r="F1029" s="102"/>
      <c r="G1029" s="101"/>
      <c r="H1029" s="102"/>
      <c r="I1029" s="101"/>
      <c r="J1029" s="101"/>
      <c r="K1029" s="103"/>
      <c r="L1029" s="103"/>
      <c r="M1029" s="103"/>
      <c r="N1029" s="103"/>
      <c r="O1029" s="103"/>
      <c r="P1029" s="98"/>
      <c r="Q1029" s="99"/>
      <c r="R1029" s="104">
        <f t="shared" ref="R1029:R1092" si="53">IF(P1029="Cargo",K1029+L1029-M1029-N1029+O1029,0)</f>
        <v>0</v>
      </c>
      <c r="S1029" s="104">
        <f t="shared" si="52"/>
        <v>0</v>
      </c>
      <c r="T1029" s="104">
        <f t="shared" ref="T1029:T1092" si="54">IF(Q1029="OK",+T1028+R1029-S1029,T1028)</f>
        <v>0</v>
      </c>
      <c r="X1029" s="115"/>
    </row>
    <row r="1030" spans="1:24">
      <c r="A1030" s="101"/>
      <c r="B1030" s="101"/>
      <c r="C1030" s="101"/>
      <c r="D1030" s="101"/>
      <c r="E1030" s="101"/>
      <c r="F1030" s="102"/>
      <c r="G1030" s="101"/>
      <c r="H1030" s="102"/>
      <c r="I1030" s="101"/>
      <c r="J1030" s="101"/>
      <c r="K1030" s="103"/>
      <c r="L1030" s="103"/>
      <c r="M1030" s="103"/>
      <c r="N1030" s="103"/>
      <c r="O1030" s="103"/>
      <c r="P1030" s="98"/>
      <c r="Q1030" s="99"/>
      <c r="R1030" s="105">
        <f t="shared" si="53"/>
        <v>0</v>
      </c>
      <c r="S1030" s="108">
        <f t="shared" si="52"/>
        <v>0</v>
      </c>
      <c r="T1030" s="105">
        <f t="shared" si="54"/>
        <v>0</v>
      </c>
      <c r="X1030" s="115"/>
    </row>
    <row r="1031" spans="1:24">
      <c r="A1031" s="101"/>
      <c r="B1031" s="101"/>
      <c r="C1031" s="101"/>
      <c r="D1031" s="101"/>
      <c r="E1031" s="101"/>
      <c r="F1031" s="102"/>
      <c r="G1031" s="101"/>
      <c r="H1031" s="102"/>
      <c r="I1031" s="101"/>
      <c r="J1031" s="101"/>
      <c r="K1031" s="103"/>
      <c r="L1031" s="103"/>
      <c r="M1031" s="103"/>
      <c r="N1031" s="103"/>
      <c r="O1031" s="103"/>
      <c r="P1031" s="98"/>
      <c r="Q1031" s="99"/>
      <c r="R1031" s="104">
        <f t="shared" si="53"/>
        <v>0</v>
      </c>
      <c r="S1031" s="104">
        <f t="shared" si="52"/>
        <v>0</v>
      </c>
      <c r="T1031" s="104">
        <f t="shared" si="54"/>
        <v>0</v>
      </c>
      <c r="X1031" s="115"/>
    </row>
    <row r="1032" spans="1:24">
      <c r="A1032" s="101"/>
      <c r="B1032" s="101"/>
      <c r="C1032" s="101"/>
      <c r="D1032" s="101"/>
      <c r="E1032" s="101"/>
      <c r="F1032" s="102"/>
      <c r="G1032" s="101"/>
      <c r="H1032" s="102"/>
      <c r="I1032" s="101"/>
      <c r="J1032" s="101"/>
      <c r="K1032" s="103"/>
      <c r="L1032" s="103"/>
      <c r="M1032" s="103"/>
      <c r="N1032" s="103"/>
      <c r="O1032" s="103"/>
      <c r="P1032" s="98"/>
      <c r="Q1032" s="99"/>
      <c r="R1032" s="105">
        <f t="shared" si="53"/>
        <v>0</v>
      </c>
      <c r="S1032" s="108">
        <f t="shared" si="52"/>
        <v>0</v>
      </c>
      <c r="T1032" s="105">
        <f t="shared" si="54"/>
        <v>0</v>
      </c>
      <c r="X1032" s="115"/>
    </row>
    <row r="1033" spans="1:24">
      <c r="A1033" s="101"/>
      <c r="B1033" s="101"/>
      <c r="C1033" s="101"/>
      <c r="D1033" s="101"/>
      <c r="E1033" s="101"/>
      <c r="F1033" s="102"/>
      <c r="G1033" s="101"/>
      <c r="H1033" s="102"/>
      <c r="I1033" s="101"/>
      <c r="J1033" s="101"/>
      <c r="K1033" s="103"/>
      <c r="L1033" s="103"/>
      <c r="M1033" s="103"/>
      <c r="N1033" s="103"/>
      <c r="O1033" s="103"/>
      <c r="P1033" s="98"/>
      <c r="Q1033" s="99"/>
      <c r="R1033" s="104">
        <f t="shared" si="53"/>
        <v>0</v>
      </c>
      <c r="S1033" s="104">
        <f t="shared" si="52"/>
        <v>0</v>
      </c>
      <c r="T1033" s="104">
        <f t="shared" si="54"/>
        <v>0</v>
      </c>
      <c r="X1033" s="115"/>
    </row>
    <row r="1034" spans="1:24">
      <c r="A1034" s="101"/>
      <c r="B1034" s="101"/>
      <c r="C1034" s="101"/>
      <c r="D1034" s="101"/>
      <c r="E1034" s="101"/>
      <c r="F1034" s="102"/>
      <c r="G1034" s="101"/>
      <c r="H1034" s="102"/>
      <c r="I1034" s="101"/>
      <c r="J1034" s="101"/>
      <c r="K1034" s="103"/>
      <c r="L1034" s="103"/>
      <c r="M1034" s="103"/>
      <c r="N1034" s="103"/>
      <c r="O1034" s="103"/>
      <c r="P1034" s="98"/>
      <c r="Q1034" s="99"/>
      <c r="R1034" s="105">
        <f t="shared" si="53"/>
        <v>0</v>
      </c>
      <c r="S1034" s="108">
        <f t="shared" si="52"/>
        <v>0</v>
      </c>
      <c r="T1034" s="105">
        <f t="shared" si="54"/>
        <v>0</v>
      </c>
      <c r="X1034" s="115"/>
    </row>
    <row r="1035" spans="1:24">
      <c r="A1035" s="101"/>
      <c r="B1035" s="101"/>
      <c r="C1035" s="101"/>
      <c r="D1035" s="101"/>
      <c r="E1035" s="101"/>
      <c r="F1035" s="102"/>
      <c r="G1035" s="101"/>
      <c r="H1035" s="102"/>
      <c r="I1035" s="101"/>
      <c r="J1035" s="101"/>
      <c r="K1035" s="103"/>
      <c r="L1035" s="103"/>
      <c r="M1035" s="103"/>
      <c r="N1035" s="103"/>
      <c r="O1035" s="103"/>
      <c r="P1035" s="98"/>
      <c r="Q1035" s="99"/>
      <c r="R1035" s="104">
        <f t="shared" si="53"/>
        <v>0</v>
      </c>
      <c r="S1035" s="104">
        <f t="shared" si="52"/>
        <v>0</v>
      </c>
      <c r="T1035" s="104">
        <f t="shared" si="54"/>
        <v>0</v>
      </c>
      <c r="X1035" s="115"/>
    </row>
    <row r="1036" spans="1:24">
      <c r="A1036" s="101"/>
      <c r="B1036" s="101"/>
      <c r="C1036" s="101"/>
      <c r="D1036" s="101"/>
      <c r="E1036" s="101"/>
      <c r="F1036" s="102"/>
      <c r="G1036" s="101"/>
      <c r="H1036" s="102"/>
      <c r="I1036" s="101"/>
      <c r="J1036" s="101"/>
      <c r="K1036" s="103"/>
      <c r="L1036" s="103"/>
      <c r="M1036" s="103"/>
      <c r="N1036" s="103"/>
      <c r="O1036" s="103"/>
      <c r="P1036" s="98"/>
      <c r="Q1036" s="99"/>
      <c r="R1036" s="105">
        <f t="shared" si="53"/>
        <v>0</v>
      </c>
      <c r="S1036" s="108">
        <f t="shared" si="52"/>
        <v>0</v>
      </c>
      <c r="T1036" s="105">
        <f t="shared" si="54"/>
        <v>0</v>
      </c>
      <c r="X1036" s="115"/>
    </row>
    <row r="1037" spans="1:24">
      <c r="A1037" s="101"/>
      <c r="B1037" s="101"/>
      <c r="C1037" s="101"/>
      <c r="D1037" s="101"/>
      <c r="E1037" s="101"/>
      <c r="F1037" s="102"/>
      <c r="G1037" s="101"/>
      <c r="H1037" s="102"/>
      <c r="I1037" s="101"/>
      <c r="J1037" s="101"/>
      <c r="K1037" s="103"/>
      <c r="L1037" s="103"/>
      <c r="M1037" s="103"/>
      <c r="N1037" s="103"/>
      <c r="O1037" s="103"/>
      <c r="P1037" s="98"/>
      <c r="Q1037" s="99"/>
      <c r="R1037" s="104">
        <f t="shared" si="53"/>
        <v>0</v>
      </c>
      <c r="S1037" s="104">
        <f t="shared" si="52"/>
        <v>0</v>
      </c>
      <c r="T1037" s="104">
        <f t="shared" si="54"/>
        <v>0</v>
      </c>
      <c r="X1037" s="115"/>
    </row>
    <row r="1038" spans="1:24">
      <c r="A1038" s="101"/>
      <c r="B1038" s="101"/>
      <c r="C1038" s="101"/>
      <c r="D1038" s="101"/>
      <c r="E1038" s="101"/>
      <c r="F1038" s="102"/>
      <c r="G1038" s="101"/>
      <c r="H1038" s="102"/>
      <c r="I1038" s="101"/>
      <c r="J1038" s="101"/>
      <c r="K1038" s="103"/>
      <c r="L1038" s="103"/>
      <c r="M1038" s="103"/>
      <c r="N1038" s="103"/>
      <c r="O1038" s="103"/>
      <c r="P1038" s="98"/>
      <c r="Q1038" s="99"/>
      <c r="R1038" s="105">
        <f t="shared" si="53"/>
        <v>0</v>
      </c>
      <c r="S1038" s="108">
        <f t="shared" si="52"/>
        <v>0</v>
      </c>
      <c r="T1038" s="105">
        <f t="shared" si="54"/>
        <v>0</v>
      </c>
      <c r="X1038" s="115"/>
    </row>
    <row r="1039" spans="1:24">
      <c r="A1039" s="101"/>
      <c r="B1039" s="101"/>
      <c r="C1039" s="101"/>
      <c r="D1039" s="101"/>
      <c r="E1039" s="101"/>
      <c r="F1039" s="102"/>
      <c r="G1039" s="101"/>
      <c r="H1039" s="102"/>
      <c r="I1039" s="101"/>
      <c r="J1039" s="101"/>
      <c r="K1039" s="103"/>
      <c r="L1039" s="103"/>
      <c r="M1039" s="103"/>
      <c r="N1039" s="103"/>
      <c r="O1039" s="103"/>
      <c r="P1039" s="98"/>
      <c r="Q1039" s="99"/>
      <c r="R1039" s="104">
        <f t="shared" si="53"/>
        <v>0</v>
      </c>
      <c r="S1039" s="104">
        <f t="shared" si="52"/>
        <v>0</v>
      </c>
      <c r="T1039" s="104">
        <f t="shared" si="54"/>
        <v>0</v>
      </c>
      <c r="X1039" s="115"/>
    </row>
    <row r="1040" spans="1:24">
      <c r="A1040" s="101"/>
      <c r="B1040" s="101"/>
      <c r="C1040" s="101"/>
      <c r="D1040" s="101"/>
      <c r="E1040" s="101"/>
      <c r="F1040" s="102"/>
      <c r="G1040" s="101"/>
      <c r="H1040" s="102"/>
      <c r="I1040" s="101"/>
      <c r="J1040" s="101"/>
      <c r="K1040" s="103"/>
      <c r="L1040" s="103"/>
      <c r="M1040" s="103"/>
      <c r="N1040" s="103"/>
      <c r="O1040" s="103"/>
      <c r="P1040" s="98"/>
      <c r="Q1040" s="99"/>
      <c r="R1040" s="105">
        <f t="shared" si="53"/>
        <v>0</v>
      </c>
      <c r="S1040" s="108">
        <f t="shared" si="52"/>
        <v>0</v>
      </c>
      <c r="T1040" s="105">
        <f t="shared" si="54"/>
        <v>0</v>
      </c>
      <c r="X1040" s="115"/>
    </row>
    <row r="1041" spans="1:24">
      <c r="A1041" s="101"/>
      <c r="B1041" s="101"/>
      <c r="C1041" s="101"/>
      <c r="D1041" s="101"/>
      <c r="E1041" s="101"/>
      <c r="F1041" s="102"/>
      <c r="G1041" s="101"/>
      <c r="H1041" s="102"/>
      <c r="I1041" s="101"/>
      <c r="J1041" s="101"/>
      <c r="K1041" s="103"/>
      <c r="L1041" s="103"/>
      <c r="M1041" s="103"/>
      <c r="N1041" s="103"/>
      <c r="O1041" s="103"/>
      <c r="P1041" s="98"/>
      <c r="Q1041" s="99"/>
      <c r="R1041" s="104">
        <f t="shared" si="53"/>
        <v>0</v>
      </c>
      <c r="S1041" s="104">
        <f t="shared" si="52"/>
        <v>0</v>
      </c>
      <c r="T1041" s="104">
        <f t="shared" si="54"/>
        <v>0</v>
      </c>
      <c r="X1041" s="115"/>
    </row>
    <row r="1042" spans="1:24">
      <c r="A1042" s="101"/>
      <c r="B1042" s="101"/>
      <c r="C1042" s="101"/>
      <c r="D1042" s="101"/>
      <c r="E1042" s="101"/>
      <c r="F1042" s="102"/>
      <c r="G1042" s="101"/>
      <c r="H1042" s="102"/>
      <c r="I1042" s="101"/>
      <c r="J1042" s="101"/>
      <c r="K1042" s="103"/>
      <c r="L1042" s="103"/>
      <c r="M1042" s="103"/>
      <c r="N1042" s="103"/>
      <c r="O1042" s="103"/>
      <c r="P1042" s="98"/>
      <c r="Q1042" s="99"/>
      <c r="R1042" s="105">
        <f t="shared" si="53"/>
        <v>0</v>
      </c>
      <c r="S1042" s="108">
        <f t="shared" si="52"/>
        <v>0</v>
      </c>
      <c r="T1042" s="105">
        <f t="shared" si="54"/>
        <v>0</v>
      </c>
      <c r="X1042" s="115"/>
    </row>
    <row r="1043" spans="1:24">
      <c r="A1043" s="101"/>
      <c r="B1043" s="101"/>
      <c r="C1043" s="101"/>
      <c r="D1043" s="101"/>
      <c r="E1043" s="101"/>
      <c r="F1043" s="102"/>
      <c r="G1043" s="101"/>
      <c r="H1043" s="102"/>
      <c r="I1043" s="101"/>
      <c r="J1043" s="101"/>
      <c r="K1043" s="103"/>
      <c r="L1043" s="103"/>
      <c r="M1043" s="103"/>
      <c r="N1043" s="103"/>
      <c r="O1043" s="103"/>
      <c r="P1043" s="98"/>
      <c r="Q1043" s="99"/>
      <c r="R1043" s="104">
        <f t="shared" si="53"/>
        <v>0</v>
      </c>
      <c r="S1043" s="104">
        <f t="shared" si="52"/>
        <v>0</v>
      </c>
      <c r="T1043" s="104">
        <f t="shared" si="54"/>
        <v>0</v>
      </c>
      <c r="X1043" s="115"/>
    </row>
    <row r="1044" spans="1:24">
      <c r="A1044" s="101"/>
      <c r="B1044" s="101"/>
      <c r="C1044" s="101"/>
      <c r="D1044" s="101"/>
      <c r="E1044" s="101"/>
      <c r="F1044" s="102"/>
      <c r="G1044" s="101"/>
      <c r="H1044" s="102"/>
      <c r="I1044" s="101"/>
      <c r="J1044" s="101"/>
      <c r="K1044" s="103"/>
      <c r="L1044" s="103"/>
      <c r="M1044" s="103"/>
      <c r="N1044" s="103"/>
      <c r="O1044" s="103"/>
      <c r="P1044" s="98"/>
      <c r="Q1044" s="99"/>
      <c r="R1044" s="105">
        <f t="shared" si="53"/>
        <v>0</v>
      </c>
      <c r="S1044" s="108">
        <f t="shared" si="52"/>
        <v>0</v>
      </c>
      <c r="T1044" s="105">
        <f t="shared" si="54"/>
        <v>0</v>
      </c>
      <c r="X1044" s="115"/>
    </row>
    <row r="1045" spans="1:24">
      <c r="A1045" s="101"/>
      <c r="B1045" s="101"/>
      <c r="C1045" s="101"/>
      <c r="D1045" s="101"/>
      <c r="E1045" s="101"/>
      <c r="F1045" s="102"/>
      <c r="G1045" s="101"/>
      <c r="H1045" s="102"/>
      <c r="I1045" s="101"/>
      <c r="J1045" s="101"/>
      <c r="K1045" s="103"/>
      <c r="L1045" s="103"/>
      <c r="M1045" s="103"/>
      <c r="N1045" s="103"/>
      <c r="O1045" s="103"/>
      <c r="P1045" s="98"/>
      <c r="Q1045" s="99"/>
      <c r="R1045" s="104">
        <f t="shared" si="53"/>
        <v>0</v>
      </c>
      <c r="S1045" s="104">
        <f t="shared" si="52"/>
        <v>0</v>
      </c>
      <c r="T1045" s="104">
        <f t="shared" si="54"/>
        <v>0</v>
      </c>
      <c r="X1045" s="115"/>
    </row>
    <row r="1046" spans="1:24">
      <c r="A1046" s="101"/>
      <c r="B1046" s="101"/>
      <c r="C1046" s="101"/>
      <c r="D1046" s="101"/>
      <c r="E1046" s="101"/>
      <c r="F1046" s="102"/>
      <c r="G1046" s="101"/>
      <c r="H1046" s="102"/>
      <c r="I1046" s="101"/>
      <c r="J1046" s="101"/>
      <c r="K1046" s="103"/>
      <c r="L1046" s="103"/>
      <c r="M1046" s="103"/>
      <c r="N1046" s="103"/>
      <c r="O1046" s="103"/>
      <c r="P1046" s="98"/>
      <c r="Q1046" s="99"/>
      <c r="R1046" s="105">
        <f t="shared" si="53"/>
        <v>0</v>
      </c>
      <c r="S1046" s="108">
        <f t="shared" si="52"/>
        <v>0</v>
      </c>
      <c r="T1046" s="105">
        <f t="shared" si="54"/>
        <v>0</v>
      </c>
      <c r="X1046" s="115"/>
    </row>
    <row r="1047" spans="1:24">
      <c r="A1047" s="101"/>
      <c r="B1047" s="101"/>
      <c r="C1047" s="101"/>
      <c r="D1047" s="101"/>
      <c r="E1047" s="101"/>
      <c r="F1047" s="102"/>
      <c r="G1047" s="101"/>
      <c r="H1047" s="102"/>
      <c r="I1047" s="101"/>
      <c r="J1047" s="101"/>
      <c r="K1047" s="103"/>
      <c r="L1047" s="103"/>
      <c r="M1047" s="103"/>
      <c r="N1047" s="103"/>
      <c r="O1047" s="103"/>
      <c r="P1047" s="98"/>
      <c r="Q1047" s="99"/>
      <c r="R1047" s="104">
        <f t="shared" si="53"/>
        <v>0</v>
      </c>
      <c r="S1047" s="104">
        <f t="shared" si="52"/>
        <v>0</v>
      </c>
      <c r="T1047" s="104">
        <f t="shared" si="54"/>
        <v>0</v>
      </c>
      <c r="X1047" s="115"/>
    </row>
    <row r="1048" spans="1:24">
      <c r="A1048" s="101"/>
      <c r="B1048" s="101"/>
      <c r="C1048" s="101"/>
      <c r="D1048" s="101"/>
      <c r="E1048" s="101"/>
      <c r="F1048" s="102"/>
      <c r="G1048" s="101"/>
      <c r="H1048" s="102"/>
      <c r="I1048" s="101"/>
      <c r="J1048" s="101"/>
      <c r="K1048" s="103"/>
      <c r="L1048" s="103"/>
      <c r="M1048" s="103"/>
      <c r="N1048" s="103"/>
      <c r="O1048" s="103"/>
      <c r="P1048" s="98"/>
      <c r="Q1048" s="99"/>
      <c r="R1048" s="105">
        <f t="shared" si="53"/>
        <v>0</v>
      </c>
      <c r="S1048" s="108">
        <f t="shared" si="52"/>
        <v>0</v>
      </c>
      <c r="T1048" s="105">
        <f t="shared" si="54"/>
        <v>0</v>
      </c>
      <c r="X1048" s="115"/>
    </row>
    <row r="1049" spans="1:24">
      <c r="A1049" s="101"/>
      <c r="B1049" s="101"/>
      <c r="C1049" s="101"/>
      <c r="D1049" s="101"/>
      <c r="E1049" s="101"/>
      <c r="F1049" s="102"/>
      <c r="G1049" s="101"/>
      <c r="H1049" s="102"/>
      <c r="I1049" s="101"/>
      <c r="J1049" s="101"/>
      <c r="K1049" s="103"/>
      <c r="L1049" s="103"/>
      <c r="M1049" s="103"/>
      <c r="N1049" s="103"/>
      <c r="O1049" s="103"/>
      <c r="P1049" s="98"/>
      <c r="Q1049" s="99"/>
      <c r="R1049" s="104">
        <f t="shared" si="53"/>
        <v>0</v>
      </c>
      <c r="S1049" s="104">
        <f t="shared" si="52"/>
        <v>0</v>
      </c>
      <c r="T1049" s="104">
        <f t="shared" si="54"/>
        <v>0</v>
      </c>
      <c r="U1049" s="112"/>
      <c r="X1049" s="115"/>
    </row>
    <row r="1050" spans="1:24">
      <c r="A1050" s="101"/>
      <c r="B1050" s="101"/>
      <c r="C1050" s="101"/>
      <c r="D1050" s="101"/>
      <c r="E1050" s="101"/>
      <c r="F1050" s="102"/>
      <c r="G1050" s="101"/>
      <c r="H1050" s="102"/>
      <c r="I1050" s="101"/>
      <c r="J1050" s="101"/>
      <c r="K1050" s="103"/>
      <c r="L1050" s="103"/>
      <c r="M1050" s="103"/>
      <c r="N1050" s="103"/>
      <c r="O1050" s="103"/>
      <c r="P1050" s="98"/>
      <c r="Q1050" s="99"/>
      <c r="R1050" s="105">
        <f t="shared" si="53"/>
        <v>0</v>
      </c>
      <c r="S1050" s="108">
        <f t="shared" si="52"/>
        <v>0</v>
      </c>
      <c r="T1050" s="105">
        <f t="shared" si="54"/>
        <v>0</v>
      </c>
      <c r="V1050" s="106"/>
      <c r="X1050" s="115"/>
    </row>
    <row r="1051" spans="1:24">
      <c r="A1051" s="101"/>
      <c r="B1051" s="101"/>
      <c r="C1051" s="101"/>
      <c r="D1051" s="101"/>
      <c r="E1051" s="101"/>
      <c r="F1051" s="102"/>
      <c r="G1051" s="101"/>
      <c r="H1051" s="102"/>
      <c r="I1051" s="101"/>
      <c r="J1051" s="101"/>
      <c r="K1051" s="103"/>
      <c r="L1051" s="103"/>
      <c r="M1051" s="103"/>
      <c r="N1051" s="103"/>
      <c r="O1051" s="103"/>
      <c r="P1051" s="98"/>
      <c r="Q1051" s="99"/>
      <c r="R1051" s="104">
        <f t="shared" si="53"/>
        <v>0</v>
      </c>
      <c r="S1051" s="104">
        <f t="shared" si="52"/>
        <v>0</v>
      </c>
      <c r="T1051" s="104">
        <f t="shared" si="54"/>
        <v>0</v>
      </c>
      <c r="U1051" s="112"/>
      <c r="V1051" s="106"/>
      <c r="X1051" s="115"/>
    </row>
    <row r="1052" spans="1:24">
      <c r="A1052" s="101"/>
      <c r="B1052" s="101"/>
      <c r="C1052" s="101"/>
      <c r="D1052" s="101"/>
      <c r="E1052" s="101"/>
      <c r="F1052" s="102"/>
      <c r="G1052" s="101"/>
      <c r="H1052" s="102"/>
      <c r="I1052" s="101"/>
      <c r="J1052" s="101"/>
      <c r="K1052" s="103"/>
      <c r="L1052" s="103"/>
      <c r="M1052" s="103"/>
      <c r="N1052" s="103"/>
      <c r="O1052" s="103"/>
      <c r="P1052" s="98"/>
      <c r="Q1052" s="99"/>
      <c r="R1052" s="105">
        <f t="shared" si="53"/>
        <v>0</v>
      </c>
      <c r="S1052" s="108">
        <f t="shared" si="52"/>
        <v>0</v>
      </c>
      <c r="T1052" s="105">
        <f t="shared" si="54"/>
        <v>0</v>
      </c>
      <c r="V1052" s="119"/>
      <c r="X1052" s="115"/>
    </row>
    <row r="1053" spans="1:24">
      <c r="A1053" s="101"/>
      <c r="B1053" s="101"/>
      <c r="C1053" s="101"/>
      <c r="D1053" s="101"/>
      <c r="E1053" s="101"/>
      <c r="F1053" s="102"/>
      <c r="G1053" s="101"/>
      <c r="H1053" s="102"/>
      <c r="I1053" s="101"/>
      <c r="J1053" s="101"/>
      <c r="K1053" s="103"/>
      <c r="L1053" s="103"/>
      <c r="M1053" s="103"/>
      <c r="N1053" s="103"/>
      <c r="O1053" s="103"/>
      <c r="P1053" s="98"/>
      <c r="Q1053" s="99"/>
      <c r="R1053" s="104">
        <f t="shared" si="53"/>
        <v>0</v>
      </c>
      <c r="S1053" s="104">
        <f t="shared" si="52"/>
        <v>0</v>
      </c>
      <c r="T1053" s="104">
        <f t="shared" si="54"/>
        <v>0</v>
      </c>
      <c r="U1053" s="112"/>
    </row>
    <row r="1054" spans="1:24">
      <c r="A1054" s="101"/>
      <c r="B1054" s="101"/>
      <c r="C1054" s="101"/>
      <c r="D1054" s="101"/>
      <c r="E1054" s="101"/>
      <c r="F1054" s="102"/>
      <c r="G1054" s="101"/>
      <c r="H1054" s="102"/>
      <c r="I1054" s="101"/>
      <c r="J1054" s="101"/>
      <c r="K1054" s="103"/>
      <c r="L1054" s="103"/>
      <c r="M1054" s="103"/>
      <c r="N1054" s="103"/>
      <c r="O1054" s="103"/>
      <c r="P1054" s="98"/>
      <c r="Q1054" s="99"/>
      <c r="R1054" s="105">
        <f t="shared" si="53"/>
        <v>0</v>
      </c>
      <c r="S1054" s="108">
        <f t="shared" si="52"/>
        <v>0</v>
      </c>
      <c r="T1054" s="105">
        <f t="shared" si="54"/>
        <v>0</v>
      </c>
    </row>
    <row r="1055" spans="1:24">
      <c r="A1055" s="101"/>
      <c r="B1055" s="101"/>
      <c r="C1055" s="101"/>
      <c r="D1055" s="101"/>
      <c r="E1055" s="101"/>
      <c r="F1055" s="102"/>
      <c r="G1055" s="101"/>
      <c r="H1055" s="102"/>
      <c r="I1055" s="101"/>
      <c r="J1055" s="101"/>
      <c r="K1055" s="103"/>
      <c r="L1055" s="103"/>
      <c r="M1055" s="103"/>
      <c r="N1055" s="103"/>
      <c r="O1055" s="103"/>
      <c r="P1055" s="98"/>
      <c r="Q1055" s="99"/>
      <c r="R1055" s="104">
        <f t="shared" si="53"/>
        <v>0</v>
      </c>
      <c r="S1055" s="104">
        <f t="shared" si="52"/>
        <v>0</v>
      </c>
      <c r="T1055" s="104">
        <f t="shared" si="54"/>
        <v>0</v>
      </c>
    </row>
    <row r="1056" spans="1:24">
      <c r="A1056" s="101"/>
      <c r="B1056" s="101"/>
      <c r="C1056" s="101"/>
      <c r="D1056" s="101"/>
      <c r="E1056" s="101"/>
      <c r="F1056" s="102"/>
      <c r="G1056" s="101"/>
      <c r="H1056" s="102"/>
      <c r="I1056" s="101"/>
      <c r="J1056" s="101"/>
      <c r="K1056" s="103"/>
      <c r="L1056" s="103"/>
      <c r="M1056" s="103"/>
      <c r="N1056" s="103"/>
      <c r="O1056" s="103"/>
      <c r="P1056" s="98"/>
      <c r="Q1056" s="99"/>
      <c r="R1056" s="105">
        <f t="shared" si="53"/>
        <v>0</v>
      </c>
      <c r="S1056" s="108">
        <f t="shared" si="52"/>
        <v>0</v>
      </c>
      <c r="T1056" s="105">
        <f t="shared" si="54"/>
        <v>0</v>
      </c>
    </row>
    <row r="1057" spans="1:22">
      <c r="A1057" s="101"/>
      <c r="B1057" s="101"/>
      <c r="C1057" s="101"/>
      <c r="D1057" s="101"/>
      <c r="E1057" s="101"/>
      <c r="F1057" s="102"/>
      <c r="G1057" s="101"/>
      <c r="H1057" s="102"/>
      <c r="I1057" s="101"/>
      <c r="J1057" s="101"/>
      <c r="K1057" s="103"/>
      <c r="L1057" s="103"/>
      <c r="M1057" s="103"/>
      <c r="N1057" s="103"/>
      <c r="O1057" s="103"/>
      <c r="P1057" s="98"/>
      <c r="Q1057" s="99"/>
      <c r="R1057" s="104">
        <f t="shared" si="53"/>
        <v>0</v>
      </c>
      <c r="S1057" s="104">
        <f t="shared" si="52"/>
        <v>0</v>
      </c>
      <c r="T1057" s="104">
        <f t="shared" si="54"/>
        <v>0</v>
      </c>
    </row>
    <row r="1058" spans="1:22">
      <c r="A1058" s="101"/>
      <c r="B1058" s="101"/>
      <c r="C1058" s="101"/>
      <c r="D1058" s="101"/>
      <c r="E1058" s="101"/>
      <c r="F1058" s="102"/>
      <c r="G1058" s="101"/>
      <c r="H1058" s="102"/>
      <c r="I1058" s="101"/>
      <c r="J1058" s="101"/>
      <c r="K1058" s="103"/>
      <c r="L1058" s="103"/>
      <c r="M1058" s="103"/>
      <c r="N1058" s="103"/>
      <c r="O1058" s="103"/>
      <c r="P1058" s="98"/>
      <c r="Q1058" s="99"/>
      <c r="R1058" s="105">
        <f t="shared" si="53"/>
        <v>0</v>
      </c>
      <c r="S1058" s="108">
        <f t="shared" si="52"/>
        <v>0</v>
      </c>
      <c r="T1058" s="105">
        <f t="shared" si="54"/>
        <v>0</v>
      </c>
    </row>
    <row r="1059" spans="1:22">
      <c r="A1059" s="101"/>
      <c r="B1059" s="101"/>
      <c r="C1059" s="101"/>
      <c r="D1059" s="101"/>
      <c r="E1059" s="101"/>
      <c r="F1059" s="102"/>
      <c r="G1059" s="101"/>
      <c r="H1059" s="102"/>
      <c r="I1059" s="101"/>
      <c r="J1059" s="101"/>
      <c r="K1059" s="103"/>
      <c r="L1059" s="103"/>
      <c r="M1059" s="103"/>
      <c r="N1059" s="103"/>
      <c r="O1059" s="103"/>
      <c r="P1059" s="98"/>
      <c r="Q1059" s="99"/>
      <c r="R1059" s="104">
        <f t="shared" si="53"/>
        <v>0</v>
      </c>
      <c r="S1059" s="104">
        <f t="shared" si="52"/>
        <v>0</v>
      </c>
      <c r="T1059" s="104">
        <f t="shared" si="54"/>
        <v>0</v>
      </c>
    </row>
    <row r="1060" spans="1:22">
      <c r="A1060" s="101"/>
      <c r="B1060" s="101"/>
      <c r="C1060" s="101"/>
      <c r="D1060" s="101"/>
      <c r="E1060" s="101"/>
      <c r="F1060" s="102"/>
      <c r="G1060" s="101"/>
      <c r="H1060" s="102"/>
      <c r="I1060" s="101"/>
      <c r="J1060" s="101"/>
      <c r="K1060" s="103"/>
      <c r="L1060" s="103"/>
      <c r="M1060" s="103"/>
      <c r="N1060" s="103"/>
      <c r="O1060" s="103"/>
      <c r="P1060" s="98"/>
      <c r="Q1060" s="99"/>
      <c r="R1060" s="105">
        <f t="shared" si="53"/>
        <v>0</v>
      </c>
      <c r="S1060" s="108">
        <f t="shared" si="52"/>
        <v>0</v>
      </c>
      <c r="T1060" s="105">
        <f t="shared" si="54"/>
        <v>0</v>
      </c>
    </row>
    <row r="1061" spans="1:22">
      <c r="A1061" s="101"/>
      <c r="B1061" s="101"/>
      <c r="C1061" s="101"/>
      <c r="D1061" s="101"/>
      <c r="E1061" s="101"/>
      <c r="F1061" s="102"/>
      <c r="G1061" s="101"/>
      <c r="H1061" s="102"/>
      <c r="I1061" s="101"/>
      <c r="J1061" s="101"/>
      <c r="K1061" s="103"/>
      <c r="L1061" s="103"/>
      <c r="M1061" s="103"/>
      <c r="N1061" s="103"/>
      <c r="O1061" s="103"/>
      <c r="P1061" s="98"/>
      <c r="Q1061" s="99"/>
      <c r="R1061" s="104">
        <f t="shared" si="53"/>
        <v>0</v>
      </c>
      <c r="S1061" s="104">
        <f t="shared" si="52"/>
        <v>0</v>
      </c>
      <c r="T1061" s="104">
        <f t="shared" si="54"/>
        <v>0</v>
      </c>
    </row>
    <row r="1062" spans="1:22">
      <c r="A1062" s="101"/>
      <c r="B1062" s="101"/>
      <c r="C1062" s="101"/>
      <c r="D1062" s="101"/>
      <c r="E1062" s="101"/>
      <c r="F1062" s="102"/>
      <c r="G1062" s="101"/>
      <c r="H1062" s="102"/>
      <c r="I1062" s="101"/>
      <c r="J1062" s="101"/>
      <c r="K1062" s="103"/>
      <c r="L1062" s="103"/>
      <c r="M1062" s="103"/>
      <c r="N1062" s="103"/>
      <c r="O1062" s="103"/>
      <c r="P1062" s="98"/>
      <c r="Q1062" s="99"/>
      <c r="R1062" s="105">
        <f t="shared" si="53"/>
        <v>0</v>
      </c>
      <c r="S1062" s="108">
        <f t="shared" si="52"/>
        <v>0</v>
      </c>
      <c r="T1062" s="105">
        <f t="shared" si="54"/>
        <v>0</v>
      </c>
    </row>
    <row r="1063" spans="1:22">
      <c r="A1063" s="101"/>
      <c r="B1063" s="101"/>
      <c r="C1063" s="101"/>
      <c r="D1063" s="101"/>
      <c r="E1063" s="101"/>
      <c r="F1063" s="102"/>
      <c r="G1063" s="101"/>
      <c r="H1063" s="102"/>
      <c r="I1063" s="101"/>
      <c r="J1063" s="101"/>
      <c r="K1063" s="103"/>
      <c r="L1063" s="103"/>
      <c r="M1063" s="103"/>
      <c r="N1063" s="103"/>
      <c r="O1063" s="103"/>
      <c r="P1063" s="98"/>
      <c r="Q1063" s="99"/>
      <c r="R1063" s="104">
        <f t="shared" si="53"/>
        <v>0</v>
      </c>
      <c r="S1063" s="104">
        <f t="shared" si="52"/>
        <v>0</v>
      </c>
      <c r="T1063" s="104">
        <f t="shared" si="54"/>
        <v>0</v>
      </c>
    </row>
    <row r="1064" spans="1:22">
      <c r="A1064" s="101"/>
      <c r="B1064" s="101"/>
      <c r="C1064" s="101"/>
      <c r="D1064" s="101"/>
      <c r="E1064" s="101"/>
      <c r="F1064" s="102"/>
      <c r="G1064" s="101"/>
      <c r="H1064" s="102"/>
      <c r="I1064" s="101"/>
      <c r="J1064" s="101"/>
      <c r="K1064" s="103"/>
      <c r="L1064" s="103"/>
      <c r="M1064" s="103"/>
      <c r="N1064" s="103"/>
      <c r="O1064" s="103"/>
      <c r="P1064" s="98"/>
      <c r="Q1064" s="99"/>
      <c r="R1064" s="105">
        <f t="shared" si="53"/>
        <v>0</v>
      </c>
      <c r="S1064" s="108">
        <f t="shared" si="52"/>
        <v>0</v>
      </c>
      <c r="T1064" s="105">
        <f t="shared" si="54"/>
        <v>0</v>
      </c>
    </row>
    <row r="1065" spans="1:22">
      <c r="A1065" s="101"/>
      <c r="B1065" s="101"/>
      <c r="C1065" s="101"/>
      <c r="D1065" s="101"/>
      <c r="E1065" s="101"/>
      <c r="F1065" s="102"/>
      <c r="G1065" s="101"/>
      <c r="H1065" s="102"/>
      <c r="I1065" s="101"/>
      <c r="J1065" s="101"/>
      <c r="K1065" s="103"/>
      <c r="L1065" s="103"/>
      <c r="M1065" s="103"/>
      <c r="N1065" s="103"/>
      <c r="O1065" s="103"/>
      <c r="P1065" s="98"/>
      <c r="Q1065" s="99"/>
      <c r="R1065" s="104">
        <f t="shared" si="53"/>
        <v>0</v>
      </c>
      <c r="S1065" s="104">
        <f t="shared" si="52"/>
        <v>0</v>
      </c>
      <c r="T1065" s="104">
        <f t="shared" si="54"/>
        <v>0</v>
      </c>
    </row>
    <row r="1066" spans="1:22">
      <c r="A1066" s="101"/>
      <c r="B1066" s="101"/>
      <c r="C1066" s="101"/>
      <c r="D1066" s="101"/>
      <c r="E1066" s="101"/>
      <c r="F1066" s="102"/>
      <c r="G1066" s="101"/>
      <c r="H1066" s="102"/>
      <c r="I1066" s="101"/>
      <c r="J1066" s="101"/>
      <c r="K1066" s="103"/>
      <c r="L1066" s="103"/>
      <c r="M1066" s="103"/>
      <c r="N1066" s="103"/>
      <c r="O1066" s="103"/>
      <c r="P1066" s="98"/>
      <c r="Q1066" s="99"/>
      <c r="R1066" s="105">
        <f t="shared" si="53"/>
        <v>0</v>
      </c>
      <c r="S1066" s="108">
        <f t="shared" si="52"/>
        <v>0</v>
      </c>
      <c r="T1066" s="105">
        <f t="shared" si="54"/>
        <v>0</v>
      </c>
      <c r="V1066" s="112"/>
    </row>
    <row r="1067" spans="1:22">
      <c r="A1067" s="101"/>
      <c r="B1067" s="101"/>
      <c r="C1067" s="101"/>
      <c r="D1067" s="101"/>
      <c r="E1067" s="101"/>
      <c r="F1067" s="102"/>
      <c r="G1067" s="101"/>
      <c r="H1067" s="102"/>
      <c r="I1067" s="101"/>
      <c r="J1067" s="101"/>
      <c r="K1067" s="103"/>
      <c r="L1067" s="103"/>
      <c r="M1067" s="103"/>
      <c r="N1067" s="103"/>
      <c r="O1067" s="103"/>
      <c r="P1067" s="98"/>
      <c r="Q1067" s="99"/>
      <c r="R1067" s="104">
        <f t="shared" si="53"/>
        <v>0</v>
      </c>
      <c r="S1067" s="104">
        <f t="shared" si="52"/>
        <v>0</v>
      </c>
      <c r="T1067" s="104">
        <f t="shared" si="54"/>
        <v>0</v>
      </c>
    </row>
    <row r="1068" spans="1:22">
      <c r="A1068" s="101"/>
      <c r="B1068" s="101"/>
      <c r="C1068" s="101"/>
      <c r="D1068" s="101"/>
      <c r="E1068" s="101"/>
      <c r="F1068" s="102"/>
      <c r="G1068" s="101"/>
      <c r="H1068" s="102"/>
      <c r="I1068" s="101"/>
      <c r="J1068" s="101"/>
      <c r="K1068" s="103"/>
      <c r="L1068" s="103"/>
      <c r="M1068" s="103"/>
      <c r="N1068" s="103"/>
      <c r="O1068" s="103"/>
      <c r="P1068" s="98"/>
      <c r="Q1068" s="99"/>
      <c r="R1068" s="105">
        <f t="shared" si="53"/>
        <v>0</v>
      </c>
      <c r="S1068" s="108">
        <f t="shared" si="52"/>
        <v>0</v>
      </c>
      <c r="T1068" s="105">
        <f t="shared" si="54"/>
        <v>0</v>
      </c>
    </row>
    <row r="1069" spans="1:22">
      <c r="A1069" s="101"/>
      <c r="B1069" s="101"/>
      <c r="C1069" s="101"/>
      <c r="D1069" s="101"/>
      <c r="E1069" s="101"/>
      <c r="F1069" s="102"/>
      <c r="G1069" s="101"/>
      <c r="H1069" s="102"/>
      <c r="I1069" s="101"/>
      <c r="J1069" s="101"/>
      <c r="K1069" s="103"/>
      <c r="L1069" s="103"/>
      <c r="M1069" s="103"/>
      <c r="N1069" s="103"/>
      <c r="O1069" s="103"/>
      <c r="P1069" s="98"/>
      <c r="Q1069" s="99"/>
      <c r="R1069" s="104">
        <f t="shared" si="53"/>
        <v>0</v>
      </c>
      <c r="S1069" s="104">
        <f t="shared" si="52"/>
        <v>0</v>
      </c>
      <c r="T1069" s="104">
        <f t="shared" si="54"/>
        <v>0</v>
      </c>
      <c r="U1069" s="112"/>
    </row>
    <row r="1070" spans="1:22">
      <c r="A1070" s="101"/>
      <c r="B1070" s="101"/>
      <c r="C1070" s="101"/>
      <c r="D1070" s="101"/>
      <c r="E1070" s="101"/>
      <c r="F1070" s="102"/>
      <c r="G1070" s="101"/>
      <c r="H1070" s="102"/>
      <c r="I1070" s="101"/>
      <c r="J1070" s="101"/>
      <c r="K1070" s="103"/>
      <c r="L1070" s="103"/>
      <c r="M1070" s="103"/>
      <c r="N1070" s="103"/>
      <c r="O1070" s="103"/>
      <c r="P1070" s="98"/>
      <c r="Q1070" s="99"/>
      <c r="R1070" s="105">
        <f t="shared" si="53"/>
        <v>0</v>
      </c>
      <c r="S1070" s="108">
        <f t="shared" si="52"/>
        <v>0</v>
      </c>
      <c r="T1070" s="105">
        <f t="shared" si="54"/>
        <v>0</v>
      </c>
      <c r="U1070" s="112"/>
      <c r="V1070" s="106"/>
    </row>
    <row r="1071" spans="1:22">
      <c r="A1071" s="101"/>
      <c r="B1071" s="101"/>
      <c r="C1071" s="101"/>
      <c r="D1071" s="101"/>
      <c r="E1071" s="101"/>
      <c r="F1071" s="102"/>
      <c r="G1071" s="101"/>
      <c r="H1071" s="102"/>
      <c r="I1071" s="101"/>
      <c r="J1071" s="101"/>
      <c r="K1071" s="103"/>
      <c r="L1071" s="103"/>
      <c r="M1071" s="103"/>
      <c r="N1071" s="103"/>
      <c r="O1071" s="103"/>
      <c r="P1071" s="98"/>
      <c r="Q1071" s="99"/>
      <c r="R1071" s="104">
        <f t="shared" si="53"/>
        <v>0</v>
      </c>
      <c r="S1071" s="104">
        <f t="shared" si="52"/>
        <v>0</v>
      </c>
      <c r="T1071" s="104">
        <f t="shared" si="54"/>
        <v>0</v>
      </c>
    </row>
    <row r="1072" spans="1:22">
      <c r="A1072" s="101"/>
      <c r="B1072" s="101"/>
      <c r="C1072" s="101"/>
      <c r="D1072" s="101"/>
      <c r="E1072" s="101"/>
      <c r="F1072" s="102"/>
      <c r="G1072" s="101"/>
      <c r="H1072" s="102"/>
      <c r="I1072" s="101"/>
      <c r="J1072" s="101"/>
      <c r="K1072" s="103"/>
      <c r="L1072" s="103"/>
      <c r="M1072" s="103"/>
      <c r="N1072" s="103"/>
      <c r="O1072" s="103"/>
      <c r="P1072" s="98"/>
      <c r="Q1072" s="99"/>
      <c r="R1072" s="105">
        <f t="shared" si="53"/>
        <v>0</v>
      </c>
      <c r="S1072" s="108">
        <f t="shared" si="52"/>
        <v>0</v>
      </c>
      <c r="T1072" s="105">
        <f t="shared" si="54"/>
        <v>0</v>
      </c>
    </row>
    <row r="1073" spans="1:20">
      <c r="A1073" s="101"/>
      <c r="B1073" s="101"/>
      <c r="C1073" s="101"/>
      <c r="D1073" s="101"/>
      <c r="E1073" s="101"/>
      <c r="F1073" s="102"/>
      <c r="G1073" s="101"/>
      <c r="H1073" s="102"/>
      <c r="I1073" s="101"/>
      <c r="J1073" s="101"/>
      <c r="K1073" s="103"/>
      <c r="L1073" s="103"/>
      <c r="M1073" s="103"/>
      <c r="N1073" s="103"/>
      <c r="O1073" s="103"/>
      <c r="P1073" s="98"/>
      <c r="Q1073" s="99"/>
      <c r="R1073" s="104">
        <f t="shared" si="53"/>
        <v>0</v>
      </c>
      <c r="S1073" s="104">
        <f t="shared" si="52"/>
        <v>0</v>
      </c>
      <c r="T1073" s="104">
        <f t="shared" si="54"/>
        <v>0</v>
      </c>
    </row>
    <row r="1074" spans="1:20">
      <c r="A1074" s="101"/>
      <c r="B1074" s="101"/>
      <c r="C1074" s="101"/>
      <c r="D1074" s="101"/>
      <c r="E1074" s="101"/>
      <c r="F1074" s="102"/>
      <c r="G1074" s="101"/>
      <c r="H1074" s="102"/>
      <c r="I1074" s="101"/>
      <c r="J1074" s="101"/>
      <c r="K1074" s="103"/>
      <c r="L1074" s="103"/>
      <c r="M1074" s="103"/>
      <c r="N1074" s="103"/>
      <c r="O1074" s="103"/>
      <c r="P1074" s="98"/>
      <c r="Q1074" s="99"/>
      <c r="R1074" s="105">
        <f t="shared" si="53"/>
        <v>0</v>
      </c>
      <c r="S1074" s="108">
        <f t="shared" si="52"/>
        <v>0</v>
      </c>
      <c r="T1074" s="105">
        <f t="shared" si="54"/>
        <v>0</v>
      </c>
    </row>
    <row r="1075" spans="1:20">
      <c r="A1075" s="101"/>
      <c r="B1075" s="101"/>
      <c r="C1075" s="101"/>
      <c r="D1075" s="101"/>
      <c r="E1075" s="101"/>
      <c r="F1075" s="102"/>
      <c r="G1075" s="101"/>
      <c r="H1075" s="102"/>
      <c r="I1075" s="101"/>
      <c r="J1075" s="101"/>
      <c r="K1075" s="103"/>
      <c r="L1075" s="103"/>
      <c r="M1075" s="103"/>
      <c r="N1075" s="103"/>
      <c r="O1075" s="103"/>
      <c r="P1075" s="98"/>
      <c r="Q1075" s="99"/>
      <c r="R1075" s="104">
        <f t="shared" si="53"/>
        <v>0</v>
      </c>
      <c r="S1075" s="104">
        <f t="shared" si="52"/>
        <v>0</v>
      </c>
      <c r="T1075" s="104">
        <f t="shared" si="54"/>
        <v>0</v>
      </c>
    </row>
    <row r="1076" spans="1:20">
      <c r="A1076" s="101"/>
      <c r="B1076" s="101"/>
      <c r="C1076" s="101"/>
      <c r="D1076" s="101"/>
      <c r="E1076" s="101"/>
      <c r="F1076" s="102"/>
      <c r="G1076" s="101"/>
      <c r="H1076" s="102"/>
      <c r="I1076" s="101"/>
      <c r="J1076" s="101"/>
      <c r="K1076" s="103"/>
      <c r="L1076" s="103"/>
      <c r="M1076" s="103"/>
      <c r="N1076" s="103"/>
      <c r="O1076" s="103"/>
      <c r="P1076" s="98"/>
      <c r="Q1076" s="99"/>
      <c r="R1076" s="105">
        <f t="shared" si="53"/>
        <v>0</v>
      </c>
      <c r="S1076" s="108">
        <f t="shared" si="52"/>
        <v>0</v>
      </c>
      <c r="T1076" s="105">
        <f t="shared" si="54"/>
        <v>0</v>
      </c>
    </row>
    <row r="1077" spans="1:20">
      <c r="A1077" s="101"/>
      <c r="B1077" s="101"/>
      <c r="C1077" s="101"/>
      <c r="D1077" s="101"/>
      <c r="E1077" s="101"/>
      <c r="F1077" s="102"/>
      <c r="G1077" s="101"/>
      <c r="H1077" s="102"/>
      <c r="I1077" s="101"/>
      <c r="J1077" s="101"/>
      <c r="K1077" s="103"/>
      <c r="L1077" s="103"/>
      <c r="M1077" s="103"/>
      <c r="N1077" s="103"/>
      <c r="O1077" s="103"/>
      <c r="P1077" s="98"/>
      <c r="Q1077" s="99"/>
      <c r="R1077" s="104">
        <f t="shared" si="53"/>
        <v>0</v>
      </c>
      <c r="S1077" s="104">
        <f t="shared" si="52"/>
        <v>0</v>
      </c>
      <c r="T1077" s="104">
        <f t="shared" si="54"/>
        <v>0</v>
      </c>
    </row>
    <row r="1078" spans="1:20">
      <c r="A1078" s="101"/>
      <c r="B1078" s="101"/>
      <c r="C1078" s="101"/>
      <c r="D1078" s="101"/>
      <c r="E1078" s="101"/>
      <c r="F1078" s="102"/>
      <c r="G1078" s="101"/>
      <c r="H1078" s="102"/>
      <c r="I1078" s="101"/>
      <c r="J1078" s="101"/>
      <c r="K1078" s="103"/>
      <c r="L1078" s="103"/>
      <c r="M1078" s="103"/>
      <c r="N1078" s="103"/>
      <c r="O1078" s="103"/>
      <c r="P1078" s="98"/>
      <c r="Q1078" s="99"/>
      <c r="R1078" s="105">
        <f t="shared" si="53"/>
        <v>0</v>
      </c>
      <c r="S1078" s="108">
        <f t="shared" si="52"/>
        <v>0</v>
      </c>
      <c r="T1078" s="105">
        <f t="shared" si="54"/>
        <v>0</v>
      </c>
    </row>
    <row r="1079" spans="1:20">
      <c r="A1079" s="101"/>
      <c r="B1079" s="101"/>
      <c r="C1079" s="101"/>
      <c r="D1079" s="101"/>
      <c r="E1079" s="101"/>
      <c r="F1079" s="102"/>
      <c r="G1079" s="101"/>
      <c r="H1079" s="102"/>
      <c r="I1079" s="101"/>
      <c r="J1079" s="101"/>
      <c r="K1079" s="103"/>
      <c r="L1079" s="103"/>
      <c r="M1079" s="103"/>
      <c r="N1079" s="103"/>
      <c r="O1079" s="103"/>
      <c r="P1079" s="98"/>
      <c r="Q1079" s="99"/>
      <c r="R1079" s="104">
        <f t="shared" si="53"/>
        <v>0</v>
      </c>
      <c r="S1079" s="104">
        <f t="shared" si="52"/>
        <v>0</v>
      </c>
      <c r="T1079" s="104">
        <f t="shared" si="54"/>
        <v>0</v>
      </c>
    </row>
    <row r="1080" spans="1:20">
      <c r="A1080" s="101"/>
      <c r="B1080" s="101"/>
      <c r="C1080" s="101"/>
      <c r="D1080" s="101"/>
      <c r="E1080" s="101"/>
      <c r="F1080" s="102"/>
      <c r="G1080" s="101"/>
      <c r="H1080" s="102"/>
      <c r="I1080" s="101"/>
      <c r="J1080" s="101"/>
      <c r="K1080" s="103"/>
      <c r="L1080" s="103"/>
      <c r="M1080" s="103"/>
      <c r="N1080" s="103"/>
      <c r="O1080" s="103"/>
      <c r="P1080" s="98"/>
      <c r="Q1080" s="99"/>
      <c r="R1080" s="105">
        <f t="shared" si="53"/>
        <v>0</v>
      </c>
      <c r="S1080" s="108">
        <f t="shared" si="52"/>
        <v>0</v>
      </c>
      <c r="T1080" s="105">
        <f t="shared" si="54"/>
        <v>0</v>
      </c>
    </row>
    <row r="1081" spans="1:20">
      <c r="A1081" s="101"/>
      <c r="B1081" s="101"/>
      <c r="C1081" s="101"/>
      <c r="D1081" s="101"/>
      <c r="E1081" s="101"/>
      <c r="F1081" s="102"/>
      <c r="G1081" s="101"/>
      <c r="H1081" s="102"/>
      <c r="I1081" s="101"/>
      <c r="J1081" s="101"/>
      <c r="K1081" s="103"/>
      <c r="L1081" s="103"/>
      <c r="M1081" s="103"/>
      <c r="N1081" s="103"/>
      <c r="O1081" s="103"/>
      <c r="P1081" s="98"/>
      <c r="Q1081" s="99"/>
      <c r="R1081" s="104">
        <f t="shared" si="53"/>
        <v>0</v>
      </c>
      <c r="S1081" s="104">
        <f t="shared" si="52"/>
        <v>0</v>
      </c>
      <c r="T1081" s="104">
        <f t="shared" si="54"/>
        <v>0</v>
      </c>
    </row>
    <row r="1082" spans="1:20">
      <c r="A1082" s="101"/>
      <c r="B1082" s="101"/>
      <c r="C1082" s="101"/>
      <c r="D1082" s="101"/>
      <c r="E1082" s="101"/>
      <c r="F1082" s="102"/>
      <c r="G1082" s="101"/>
      <c r="H1082" s="102"/>
      <c r="I1082" s="101"/>
      <c r="J1082" s="101"/>
      <c r="K1082" s="103"/>
      <c r="L1082" s="103"/>
      <c r="M1082" s="103"/>
      <c r="N1082" s="103"/>
      <c r="O1082" s="103"/>
      <c r="P1082" s="98"/>
      <c r="Q1082" s="99"/>
      <c r="R1082" s="105">
        <f t="shared" si="53"/>
        <v>0</v>
      </c>
      <c r="S1082" s="108">
        <f t="shared" si="52"/>
        <v>0</v>
      </c>
      <c r="T1082" s="105">
        <f t="shared" si="54"/>
        <v>0</v>
      </c>
    </row>
    <row r="1083" spans="1:20">
      <c r="A1083" s="101"/>
      <c r="B1083" s="101"/>
      <c r="C1083" s="101"/>
      <c r="D1083" s="101"/>
      <c r="E1083" s="101"/>
      <c r="F1083" s="102"/>
      <c r="G1083" s="101"/>
      <c r="H1083" s="102"/>
      <c r="I1083" s="101"/>
      <c r="J1083" s="101"/>
      <c r="K1083" s="103"/>
      <c r="L1083" s="103"/>
      <c r="M1083" s="103"/>
      <c r="N1083" s="103"/>
      <c r="O1083" s="103"/>
      <c r="P1083" s="98"/>
      <c r="Q1083" s="99"/>
      <c r="R1083" s="104">
        <f t="shared" si="53"/>
        <v>0</v>
      </c>
      <c r="S1083" s="104">
        <f t="shared" si="52"/>
        <v>0</v>
      </c>
      <c r="T1083" s="104">
        <f t="shared" si="54"/>
        <v>0</v>
      </c>
    </row>
    <row r="1084" spans="1:20">
      <c r="A1084" s="101"/>
      <c r="B1084" s="101"/>
      <c r="C1084" s="101"/>
      <c r="D1084" s="101"/>
      <c r="E1084" s="101"/>
      <c r="F1084" s="102"/>
      <c r="G1084" s="101"/>
      <c r="H1084" s="102"/>
      <c r="I1084" s="101"/>
      <c r="J1084" s="101"/>
      <c r="K1084" s="103"/>
      <c r="L1084" s="103"/>
      <c r="M1084" s="103"/>
      <c r="N1084" s="103"/>
      <c r="O1084" s="103"/>
      <c r="P1084" s="98"/>
      <c r="Q1084" s="99"/>
      <c r="R1084" s="105">
        <f t="shared" si="53"/>
        <v>0</v>
      </c>
      <c r="S1084" s="108">
        <f t="shared" si="52"/>
        <v>0</v>
      </c>
      <c r="T1084" s="105">
        <f t="shared" si="54"/>
        <v>0</v>
      </c>
    </row>
    <row r="1085" spans="1:20">
      <c r="A1085" s="101"/>
      <c r="B1085" s="101"/>
      <c r="C1085" s="101"/>
      <c r="D1085" s="101"/>
      <c r="E1085" s="101"/>
      <c r="F1085" s="102"/>
      <c r="G1085" s="101"/>
      <c r="H1085" s="102"/>
      <c r="I1085" s="101"/>
      <c r="J1085" s="101"/>
      <c r="K1085" s="103"/>
      <c r="L1085" s="103"/>
      <c r="M1085" s="103"/>
      <c r="N1085" s="103"/>
      <c r="O1085" s="103"/>
      <c r="P1085" s="98"/>
      <c r="Q1085" s="99"/>
      <c r="R1085" s="104">
        <f t="shared" si="53"/>
        <v>0</v>
      </c>
      <c r="S1085" s="104">
        <f t="shared" si="52"/>
        <v>0</v>
      </c>
      <c r="T1085" s="104">
        <f t="shared" si="54"/>
        <v>0</v>
      </c>
    </row>
    <row r="1086" spans="1:20">
      <c r="A1086" s="101"/>
      <c r="B1086" s="101"/>
      <c r="C1086" s="101"/>
      <c r="D1086" s="101"/>
      <c r="E1086" s="101"/>
      <c r="F1086" s="102"/>
      <c r="G1086" s="101"/>
      <c r="H1086" s="102"/>
      <c r="I1086" s="101"/>
      <c r="J1086" s="101"/>
      <c r="K1086" s="103"/>
      <c r="L1086" s="103"/>
      <c r="M1086" s="103"/>
      <c r="N1086" s="103"/>
      <c r="O1086" s="103"/>
      <c r="P1086" s="98"/>
      <c r="Q1086" s="99"/>
      <c r="R1086" s="105">
        <f t="shared" si="53"/>
        <v>0</v>
      </c>
      <c r="S1086" s="108">
        <f t="shared" si="52"/>
        <v>0</v>
      </c>
      <c r="T1086" s="105">
        <f t="shared" si="54"/>
        <v>0</v>
      </c>
    </row>
    <row r="1087" spans="1:20">
      <c r="A1087" s="101"/>
      <c r="B1087" s="101"/>
      <c r="C1087" s="101"/>
      <c r="D1087" s="101"/>
      <c r="E1087" s="101"/>
      <c r="F1087" s="102"/>
      <c r="G1087" s="101"/>
      <c r="H1087" s="102"/>
      <c r="I1087" s="101"/>
      <c r="J1087" s="101"/>
      <c r="K1087" s="103"/>
      <c r="L1087" s="103"/>
      <c r="M1087" s="103"/>
      <c r="N1087" s="103"/>
      <c r="O1087" s="103"/>
      <c r="P1087" s="98"/>
      <c r="Q1087" s="99"/>
      <c r="R1087" s="104">
        <f t="shared" si="53"/>
        <v>0</v>
      </c>
      <c r="S1087" s="104">
        <f t="shared" si="52"/>
        <v>0</v>
      </c>
      <c r="T1087" s="104">
        <f t="shared" si="54"/>
        <v>0</v>
      </c>
    </row>
    <row r="1088" spans="1:20">
      <c r="A1088" s="101"/>
      <c r="B1088" s="101"/>
      <c r="C1088" s="101"/>
      <c r="D1088" s="101"/>
      <c r="E1088" s="101"/>
      <c r="F1088" s="102"/>
      <c r="G1088" s="101"/>
      <c r="H1088" s="102"/>
      <c r="I1088" s="101"/>
      <c r="J1088" s="101"/>
      <c r="K1088" s="103"/>
      <c r="L1088" s="103"/>
      <c r="M1088" s="103"/>
      <c r="N1088" s="103"/>
      <c r="O1088" s="103"/>
      <c r="P1088" s="98"/>
      <c r="Q1088" s="99"/>
      <c r="R1088" s="105">
        <f t="shared" si="53"/>
        <v>0</v>
      </c>
      <c r="S1088" s="108">
        <f t="shared" si="52"/>
        <v>0</v>
      </c>
      <c r="T1088" s="105">
        <f t="shared" si="54"/>
        <v>0</v>
      </c>
    </row>
    <row r="1089" spans="1:20">
      <c r="A1089" s="101"/>
      <c r="B1089" s="101"/>
      <c r="C1089" s="101"/>
      <c r="D1089" s="101"/>
      <c r="E1089" s="101"/>
      <c r="F1089" s="102"/>
      <c r="G1089" s="101"/>
      <c r="H1089" s="102"/>
      <c r="I1089" s="101"/>
      <c r="J1089" s="101"/>
      <c r="K1089" s="103"/>
      <c r="L1089" s="103"/>
      <c r="M1089" s="103"/>
      <c r="N1089" s="103"/>
      <c r="O1089" s="103"/>
      <c r="P1089" s="98"/>
      <c r="Q1089" s="99"/>
      <c r="R1089" s="104">
        <f t="shared" si="53"/>
        <v>0</v>
      </c>
      <c r="S1089" s="104">
        <f t="shared" si="52"/>
        <v>0</v>
      </c>
      <c r="T1089" s="104">
        <f t="shared" si="54"/>
        <v>0</v>
      </c>
    </row>
    <row r="1090" spans="1:20">
      <c r="A1090" s="101"/>
      <c r="B1090" s="101"/>
      <c r="C1090" s="101"/>
      <c r="D1090" s="101"/>
      <c r="E1090" s="101"/>
      <c r="F1090" s="102"/>
      <c r="G1090" s="101"/>
      <c r="H1090" s="102"/>
      <c r="I1090" s="101"/>
      <c r="J1090" s="101"/>
      <c r="K1090" s="103"/>
      <c r="L1090" s="103"/>
      <c r="M1090" s="103"/>
      <c r="N1090" s="103"/>
      <c r="O1090" s="103"/>
      <c r="P1090" s="98"/>
      <c r="Q1090" s="99"/>
      <c r="R1090" s="105">
        <f t="shared" si="53"/>
        <v>0</v>
      </c>
      <c r="S1090" s="108">
        <f t="shared" si="52"/>
        <v>0</v>
      </c>
      <c r="T1090" s="105">
        <f t="shared" si="54"/>
        <v>0</v>
      </c>
    </row>
    <row r="1091" spans="1:20">
      <c r="A1091" s="101"/>
      <c r="B1091" s="101"/>
      <c r="C1091" s="101"/>
      <c r="D1091" s="101"/>
      <c r="E1091" s="101"/>
      <c r="F1091" s="102"/>
      <c r="G1091" s="101"/>
      <c r="H1091" s="102"/>
      <c r="I1091" s="101"/>
      <c r="J1091" s="101"/>
      <c r="K1091" s="103"/>
      <c r="L1091" s="103"/>
      <c r="M1091" s="103"/>
      <c r="N1091" s="103"/>
      <c r="O1091" s="103"/>
      <c r="P1091" s="98"/>
      <c r="Q1091" s="99"/>
      <c r="R1091" s="104">
        <f t="shared" si="53"/>
        <v>0</v>
      </c>
      <c r="S1091" s="104">
        <f t="shared" si="52"/>
        <v>0</v>
      </c>
      <c r="T1091" s="104">
        <f t="shared" si="54"/>
        <v>0</v>
      </c>
    </row>
    <row r="1092" spans="1:20">
      <c r="A1092" s="101"/>
      <c r="B1092" s="101"/>
      <c r="C1092" s="101"/>
      <c r="D1092" s="101"/>
      <c r="E1092" s="101"/>
      <c r="F1092" s="102"/>
      <c r="G1092" s="101"/>
      <c r="H1092" s="102"/>
      <c r="I1092" s="101"/>
      <c r="J1092" s="101"/>
      <c r="K1092" s="103"/>
      <c r="L1092" s="103"/>
      <c r="M1092" s="103"/>
      <c r="N1092" s="103"/>
      <c r="O1092" s="103"/>
      <c r="P1092" s="98"/>
      <c r="Q1092" s="99"/>
      <c r="R1092" s="105">
        <f t="shared" si="53"/>
        <v>0</v>
      </c>
      <c r="S1092" s="108">
        <f t="shared" ref="S1092:S1155" si="55">IF(P1092="Abono",K1092+L1092+M1092-N1092-O1092,0)</f>
        <v>0</v>
      </c>
      <c r="T1092" s="105">
        <f t="shared" si="54"/>
        <v>0</v>
      </c>
    </row>
    <row r="1093" spans="1:20">
      <c r="A1093" s="101"/>
      <c r="B1093" s="101"/>
      <c r="C1093" s="101"/>
      <c r="D1093" s="101"/>
      <c r="E1093" s="101"/>
      <c r="F1093" s="102"/>
      <c r="G1093" s="101"/>
      <c r="H1093" s="102"/>
      <c r="I1093" s="101"/>
      <c r="J1093" s="101"/>
      <c r="K1093" s="103"/>
      <c r="L1093" s="103"/>
      <c r="M1093" s="103"/>
      <c r="N1093" s="103"/>
      <c r="O1093" s="103"/>
      <c r="P1093" s="98"/>
      <c r="Q1093" s="99"/>
      <c r="R1093" s="104">
        <f t="shared" ref="R1093:R1156" si="56">IF(P1093="Cargo",K1093+L1093-M1093-N1093+O1093,0)</f>
        <v>0</v>
      </c>
      <c r="S1093" s="104">
        <f t="shared" si="55"/>
        <v>0</v>
      </c>
      <c r="T1093" s="104">
        <f t="shared" ref="T1093:T1156" si="57">IF(Q1093="OK",+T1092+R1093-S1093,T1092)</f>
        <v>0</v>
      </c>
    </row>
    <row r="1094" spans="1:20">
      <c r="A1094" s="101"/>
      <c r="B1094" s="101"/>
      <c r="C1094" s="101"/>
      <c r="D1094" s="101"/>
      <c r="E1094" s="101"/>
      <c r="F1094" s="102"/>
      <c r="G1094" s="101"/>
      <c r="H1094" s="102"/>
      <c r="I1094" s="101"/>
      <c r="J1094" s="101"/>
      <c r="K1094" s="103"/>
      <c r="L1094" s="103"/>
      <c r="M1094" s="103"/>
      <c r="N1094" s="103"/>
      <c r="O1094" s="103"/>
      <c r="P1094" s="98"/>
      <c r="Q1094" s="99"/>
      <c r="R1094" s="105">
        <f t="shared" si="56"/>
        <v>0</v>
      </c>
      <c r="S1094" s="108">
        <f t="shared" si="55"/>
        <v>0</v>
      </c>
      <c r="T1094" s="105">
        <f t="shared" si="57"/>
        <v>0</v>
      </c>
    </row>
    <row r="1095" spans="1:20">
      <c r="A1095" s="101"/>
      <c r="B1095" s="101"/>
      <c r="C1095" s="101"/>
      <c r="D1095" s="101"/>
      <c r="E1095" s="101"/>
      <c r="F1095" s="102"/>
      <c r="G1095" s="101"/>
      <c r="H1095" s="102"/>
      <c r="I1095" s="101"/>
      <c r="J1095" s="101"/>
      <c r="K1095" s="103"/>
      <c r="L1095" s="103"/>
      <c r="M1095" s="103"/>
      <c r="N1095" s="103"/>
      <c r="O1095" s="103"/>
      <c r="P1095" s="98"/>
      <c r="Q1095" s="99"/>
      <c r="R1095" s="104">
        <f t="shared" si="56"/>
        <v>0</v>
      </c>
      <c r="S1095" s="104">
        <f t="shared" si="55"/>
        <v>0</v>
      </c>
      <c r="T1095" s="104">
        <f t="shared" si="57"/>
        <v>0</v>
      </c>
    </row>
    <row r="1096" spans="1:20">
      <c r="A1096" s="101"/>
      <c r="B1096" s="101"/>
      <c r="C1096" s="101"/>
      <c r="D1096" s="101"/>
      <c r="E1096" s="101"/>
      <c r="F1096" s="102"/>
      <c r="G1096" s="101"/>
      <c r="H1096" s="102"/>
      <c r="I1096" s="101"/>
      <c r="J1096" s="101"/>
      <c r="K1096" s="103"/>
      <c r="L1096" s="103"/>
      <c r="M1096" s="103"/>
      <c r="N1096" s="103"/>
      <c r="O1096" s="103"/>
      <c r="P1096" s="98"/>
      <c r="Q1096" s="99"/>
      <c r="R1096" s="105">
        <f t="shared" si="56"/>
        <v>0</v>
      </c>
      <c r="S1096" s="108">
        <f t="shared" si="55"/>
        <v>0</v>
      </c>
      <c r="T1096" s="105">
        <f t="shared" si="57"/>
        <v>0</v>
      </c>
    </row>
    <row r="1097" spans="1:20">
      <c r="A1097" s="101"/>
      <c r="B1097" s="101"/>
      <c r="C1097" s="101"/>
      <c r="D1097" s="101"/>
      <c r="E1097" s="101"/>
      <c r="F1097" s="102"/>
      <c r="G1097" s="101"/>
      <c r="H1097" s="102"/>
      <c r="I1097" s="101"/>
      <c r="J1097" s="101"/>
      <c r="K1097" s="103"/>
      <c r="L1097" s="103"/>
      <c r="M1097" s="103"/>
      <c r="N1097" s="103"/>
      <c r="O1097" s="103"/>
      <c r="P1097" s="98"/>
      <c r="Q1097" s="99"/>
      <c r="R1097" s="104">
        <f t="shared" si="56"/>
        <v>0</v>
      </c>
      <c r="S1097" s="104">
        <f t="shared" si="55"/>
        <v>0</v>
      </c>
      <c r="T1097" s="104">
        <f t="shared" si="57"/>
        <v>0</v>
      </c>
    </row>
    <row r="1098" spans="1:20">
      <c r="A1098" s="101"/>
      <c r="B1098" s="101"/>
      <c r="C1098" s="101"/>
      <c r="D1098" s="101"/>
      <c r="E1098" s="101"/>
      <c r="F1098" s="102"/>
      <c r="G1098" s="101"/>
      <c r="H1098" s="102"/>
      <c r="I1098" s="101"/>
      <c r="J1098" s="101"/>
      <c r="K1098" s="103"/>
      <c r="L1098" s="103"/>
      <c r="M1098" s="103"/>
      <c r="N1098" s="103"/>
      <c r="O1098" s="103"/>
      <c r="P1098" s="98"/>
      <c r="Q1098" s="99"/>
      <c r="R1098" s="105">
        <f t="shared" si="56"/>
        <v>0</v>
      </c>
      <c r="S1098" s="108">
        <f t="shared" si="55"/>
        <v>0</v>
      </c>
      <c r="T1098" s="105">
        <f t="shared" si="57"/>
        <v>0</v>
      </c>
    </row>
    <row r="1099" spans="1:20">
      <c r="A1099" s="101"/>
      <c r="B1099" s="101"/>
      <c r="C1099" s="101"/>
      <c r="D1099" s="101"/>
      <c r="E1099" s="101"/>
      <c r="F1099" s="102"/>
      <c r="G1099" s="101"/>
      <c r="H1099" s="102"/>
      <c r="I1099" s="101"/>
      <c r="J1099" s="101"/>
      <c r="K1099" s="103"/>
      <c r="L1099" s="103"/>
      <c r="M1099" s="103"/>
      <c r="N1099" s="103"/>
      <c r="O1099" s="103"/>
      <c r="P1099" s="98"/>
      <c r="Q1099" s="99"/>
      <c r="R1099" s="104">
        <f t="shared" si="56"/>
        <v>0</v>
      </c>
      <c r="S1099" s="104">
        <f t="shared" si="55"/>
        <v>0</v>
      </c>
      <c r="T1099" s="104">
        <f t="shared" si="57"/>
        <v>0</v>
      </c>
    </row>
    <row r="1100" spans="1:20">
      <c r="A1100" s="101"/>
      <c r="B1100" s="101"/>
      <c r="C1100" s="101"/>
      <c r="D1100" s="101"/>
      <c r="E1100" s="101"/>
      <c r="F1100" s="102"/>
      <c r="G1100" s="101"/>
      <c r="H1100" s="102"/>
      <c r="I1100" s="101"/>
      <c r="J1100" s="101"/>
      <c r="K1100" s="103"/>
      <c r="L1100" s="103"/>
      <c r="M1100" s="103"/>
      <c r="N1100" s="103"/>
      <c r="O1100" s="103"/>
      <c r="P1100" s="98"/>
      <c r="Q1100" s="99"/>
      <c r="R1100" s="105">
        <f t="shared" si="56"/>
        <v>0</v>
      </c>
      <c r="S1100" s="108">
        <f t="shared" si="55"/>
        <v>0</v>
      </c>
      <c r="T1100" s="105">
        <f t="shared" si="57"/>
        <v>0</v>
      </c>
    </row>
    <row r="1101" spans="1:20">
      <c r="A1101" s="101"/>
      <c r="B1101" s="101"/>
      <c r="C1101" s="101"/>
      <c r="D1101" s="101"/>
      <c r="E1101" s="101"/>
      <c r="F1101" s="102"/>
      <c r="G1101" s="101"/>
      <c r="H1101" s="102"/>
      <c r="I1101" s="101"/>
      <c r="J1101" s="101"/>
      <c r="K1101" s="103"/>
      <c r="L1101" s="103"/>
      <c r="M1101" s="103"/>
      <c r="N1101" s="103"/>
      <c r="O1101" s="103"/>
      <c r="P1101" s="98"/>
      <c r="Q1101" s="99"/>
      <c r="R1101" s="104">
        <f t="shared" si="56"/>
        <v>0</v>
      </c>
      <c r="S1101" s="104">
        <f t="shared" si="55"/>
        <v>0</v>
      </c>
      <c r="T1101" s="104">
        <f t="shared" si="57"/>
        <v>0</v>
      </c>
    </row>
    <row r="1102" spans="1:20">
      <c r="A1102" s="101"/>
      <c r="B1102" s="101"/>
      <c r="C1102" s="101"/>
      <c r="D1102" s="101"/>
      <c r="E1102" s="101"/>
      <c r="F1102" s="102"/>
      <c r="G1102" s="101"/>
      <c r="H1102" s="102"/>
      <c r="I1102" s="101"/>
      <c r="J1102" s="101"/>
      <c r="K1102" s="103"/>
      <c r="L1102" s="103"/>
      <c r="M1102" s="103"/>
      <c r="N1102" s="103"/>
      <c r="O1102" s="103"/>
      <c r="P1102" s="98"/>
      <c r="Q1102" s="99"/>
      <c r="R1102" s="105">
        <f t="shared" si="56"/>
        <v>0</v>
      </c>
      <c r="S1102" s="108">
        <f t="shared" si="55"/>
        <v>0</v>
      </c>
      <c r="T1102" s="105">
        <f t="shared" si="57"/>
        <v>0</v>
      </c>
    </row>
    <row r="1103" spans="1:20">
      <c r="A1103" s="101"/>
      <c r="B1103" s="101"/>
      <c r="C1103" s="101"/>
      <c r="D1103" s="101"/>
      <c r="E1103" s="101"/>
      <c r="F1103" s="102"/>
      <c r="G1103" s="101"/>
      <c r="H1103" s="102"/>
      <c r="I1103" s="101"/>
      <c r="J1103" s="101"/>
      <c r="K1103" s="103"/>
      <c r="L1103" s="103"/>
      <c r="M1103" s="103"/>
      <c r="N1103" s="103"/>
      <c r="O1103" s="103"/>
      <c r="P1103" s="98"/>
      <c r="Q1103" s="99"/>
      <c r="R1103" s="104">
        <f t="shared" si="56"/>
        <v>0</v>
      </c>
      <c r="S1103" s="104">
        <f t="shared" si="55"/>
        <v>0</v>
      </c>
      <c r="T1103" s="104">
        <f t="shared" si="57"/>
        <v>0</v>
      </c>
    </row>
    <row r="1104" spans="1:20">
      <c r="A1104" s="101"/>
      <c r="B1104" s="101"/>
      <c r="C1104" s="101"/>
      <c r="D1104" s="101"/>
      <c r="E1104" s="101"/>
      <c r="F1104" s="102"/>
      <c r="G1104" s="101"/>
      <c r="H1104" s="102"/>
      <c r="I1104" s="101"/>
      <c r="J1104" s="101"/>
      <c r="K1104" s="103"/>
      <c r="L1104" s="103"/>
      <c r="M1104" s="103"/>
      <c r="N1104" s="103"/>
      <c r="O1104" s="103"/>
      <c r="P1104" s="98"/>
      <c r="Q1104" s="99"/>
      <c r="R1104" s="105">
        <f t="shared" si="56"/>
        <v>0</v>
      </c>
      <c r="S1104" s="108">
        <f t="shared" si="55"/>
        <v>0</v>
      </c>
      <c r="T1104" s="105">
        <f t="shared" si="57"/>
        <v>0</v>
      </c>
    </row>
    <row r="1105" spans="1:20">
      <c r="A1105" s="101"/>
      <c r="B1105" s="101"/>
      <c r="C1105" s="101"/>
      <c r="D1105" s="101"/>
      <c r="E1105" s="101"/>
      <c r="F1105" s="102"/>
      <c r="G1105" s="101"/>
      <c r="H1105" s="102"/>
      <c r="I1105" s="101"/>
      <c r="J1105" s="101"/>
      <c r="K1105" s="103"/>
      <c r="L1105" s="103"/>
      <c r="M1105" s="103"/>
      <c r="N1105" s="103"/>
      <c r="O1105" s="103"/>
      <c r="P1105" s="98"/>
      <c r="Q1105" s="99"/>
      <c r="R1105" s="104">
        <f t="shared" si="56"/>
        <v>0</v>
      </c>
      <c r="S1105" s="104">
        <f t="shared" si="55"/>
        <v>0</v>
      </c>
      <c r="T1105" s="104">
        <f t="shared" si="57"/>
        <v>0</v>
      </c>
    </row>
    <row r="1106" spans="1:20">
      <c r="A1106" s="101"/>
      <c r="B1106" s="101"/>
      <c r="C1106" s="101"/>
      <c r="D1106" s="101"/>
      <c r="E1106" s="101"/>
      <c r="F1106" s="102"/>
      <c r="G1106" s="101"/>
      <c r="H1106" s="102"/>
      <c r="I1106" s="101"/>
      <c r="J1106" s="101"/>
      <c r="K1106" s="103"/>
      <c r="L1106" s="103"/>
      <c r="M1106" s="103"/>
      <c r="N1106" s="103"/>
      <c r="O1106" s="103"/>
      <c r="P1106" s="98"/>
      <c r="Q1106" s="99"/>
      <c r="R1106" s="105">
        <f t="shared" si="56"/>
        <v>0</v>
      </c>
      <c r="S1106" s="108">
        <f t="shared" si="55"/>
        <v>0</v>
      </c>
      <c r="T1106" s="105">
        <f t="shared" si="57"/>
        <v>0</v>
      </c>
    </row>
    <row r="1107" spans="1:20">
      <c r="A1107" s="101"/>
      <c r="B1107" s="101"/>
      <c r="C1107" s="101"/>
      <c r="D1107" s="101"/>
      <c r="E1107" s="101"/>
      <c r="F1107" s="102"/>
      <c r="G1107" s="101"/>
      <c r="H1107" s="102"/>
      <c r="I1107" s="101"/>
      <c r="J1107" s="101"/>
      <c r="K1107" s="103"/>
      <c r="L1107" s="103"/>
      <c r="M1107" s="103"/>
      <c r="N1107" s="103"/>
      <c r="O1107" s="103"/>
      <c r="P1107" s="98"/>
      <c r="Q1107" s="99"/>
      <c r="R1107" s="104">
        <f t="shared" si="56"/>
        <v>0</v>
      </c>
      <c r="S1107" s="104">
        <f t="shared" si="55"/>
        <v>0</v>
      </c>
      <c r="T1107" s="104">
        <f t="shared" si="57"/>
        <v>0</v>
      </c>
    </row>
    <row r="1108" spans="1:20">
      <c r="A1108" s="101"/>
      <c r="B1108" s="101"/>
      <c r="C1108" s="101"/>
      <c r="D1108" s="101"/>
      <c r="E1108" s="101"/>
      <c r="F1108" s="102"/>
      <c r="G1108" s="101"/>
      <c r="H1108" s="102"/>
      <c r="I1108" s="101"/>
      <c r="J1108" s="101"/>
      <c r="K1108" s="103"/>
      <c r="L1108" s="103"/>
      <c r="M1108" s="103"/>
      <c r="N1108" s="103"/>
      <c r="O1108" s="103"/>
      <c r="P1108" s="98"/>
      <c r="Q1108" s="99"/>
      <c r="R1108" s="105">
        <f t="shared" si="56"/>
        <v>0</v>
      </c>
      <c r="S1108" s="108">
        <f t="shared" si="55"/>
        <v>0</v>
      </c>
      <c r="T1108" s="105">
        <f t="shared" si="57"/>
        <v>0</v>
      </c>
    </row>
    <row r="1109" spans="1:20">
      <c r="A1109" s="101"/>
      <c r="B1109" s="101"/>
      <c r="C1109" s="101"/>
      <c r="D1109" s="101"/>
      <c r="E1109" s="101"/>
      <c r="F1109" s="102"/>
      <c r="G1109" s="101"/>
      <c r="H1109" s="102"/>
      <c r="I1109" s="101"/>
      <c r="J1109" s="101"/>
      <c r="K1109" s="103"/>
      <c r="L1109" s="103"/>
      <c r="M1109" s="103"/>
      <c r="N1109" s="103"/>
      <c r="O1109" s="103"/>
      <c r="P1109" s="98"/>
      <c r="Q1109" s="99"/>
      <c r="R1109" s="104">
        <f t="shared" si="56"/>
        <v>0</v>
      </c>
      <c r="S1109" s="104">
        <f t="shared" si="55"/>
        <v>0</v>
      </c>
      <c r="T1109" s="104">
        <f t="shared" si="57"/>
        <v>0</v>
      </c>
    </row>
    <row r="1110" spans="1:20">
      <c r="A1110" s="101"/>
      <c r="B1110" s="101"/>
      <c r="C1110" s="101"/>
      <c r="D1110" s="101"/>
      <c r="E1110" s="101"/>
      <c r="F1110" s="102"/>
      <c r="G1110" s="101"/>
      <c r="H1110" s="102"/>
      <c r="I1110" s="101"/>
      <c r="J1110" s="101"/>
      <c r="K1110" s="103"/>
      <c r="L1110" s="103"/>
      <c r="M1110" s="103"/>
      <c r="N1110" s="103"/>
      <c r="O1110" s="103"/>
      <c r="P1110" s="98"/>
      <c r="Q1110" s="99"/>
      <c r="R1110" s="105">
        <f t="shared" si="56"/>
        <v>0</v>
      </c>
      <c r="S1110" s="108">
        <f t="shared" si="55"/>
        <v>0</v>
      </c>
      <c r="T1110" s="105">
        <f t="shared" si="57"/>
        <v>0</v>
      </c>
    </row>
    <row r="1111" spans="1:20">
      <c r="A1111" s="101"/>
      <c r="B1111" s="101"/>
      <c r="C1111" s="101"/>
      <c r="D1111" s="101"/>
      <c r="E1111" s="101"/>
      <c r="F1111" s="102"/>
      <c r="G1111" s="101"/>
      <c r="H1111" s="102"/>
      <c r="I1111" s="101"/>
      <c r="J1111" s="101"/>
      <c r="K1111" s="103"/>
      <c r="L1111" s="103"/>
      <c r="M1111" s="103"/>
      <c r="N1111" s="103"/>
      <c r="O1111" s="103"/>
      <c r="P1111" s="98"/>
      <c r="Q1111" s="99"/>
      <c r="R1111" s="104">
        <f t="shared" si="56"/>
        <v>0</v>
      </c>
      <c r="S1111" s="104">
        <f t="shared" si="55"/>
        <v>0</v>
      </c>
      <c r="T1111" s="104">
        <f t="shared" si="57"/>
        <v>0</v>
      </c>
    </row>
    <row r="1112" spans="1:20">
      <c r="A1112" s="101"/>
      <c r="B1112" s="101"/>
      <c r="C1112" s="101"/>
      <c r="D1112" s="101"/>
      <c r="E1112" s="101"/>
      <c r="F1112" s="102"/>
      <c r="G1112" s="101"/>
      <c r="H1112" s="102"/>
      <c r="I1112" s="101"/>
      <c r="J1112" s="101"/>
      <c r="K1112" s="103"/>
      <c r="L1112" s="103"/>
      <c r="M1112" s="103"/>
      <c r="N1112" s="103"/>
      <c r="O1112" s="103"/>
      <c r="P1112" s="98"/>
      <c r="Q1112" s="99"/>
      <c r="R1112" s="105">
        <f t="shared" si="56"/>
        <v>0</v>
      </c>
      <c r="S1112" s="108">
        <f t="shared" si="55"/>
        <v>0</v>
      </c>
      <c r="T1112" s="105">
        <f t="shared" si="57"/>
        <v>0</v>
      </c>
    </row>
    <row r="1113" spans="1:20">
      <c r="A1113" s="101"/>
      <c r="B1113" s="101"/>
      <c r="C1113" s="101"/>
      <c r="D1113" s="101"/>
      <c r="E1113" s="101"/>
      <c r="F1113" s="102"/>
      <c r="G1113" s="101"/>
      <c r="H1113" s="102"/>
      <c r="I1113" s="101"/>
      <c r="J1113" s="101"/>
      <c r="K1113" s="103"/>
      <c r="L1113" s="103"/>
      <c r="M1113" s="103"/>
      <c r="N1113" s="103"/>
      <c r="O1113" s="103"/>
      <c r="P1113" s="98"/>
      <c r="Q1113" s="99"/>
      <c r="R1113" s="104">
        <f t="shared" si="56"/>
        <v>0</v>
      </c>
      <c r="S1113" s="104">
        <f t="shared" si="55"/>
        <v>0</v>
      </c>
      <c r="T1113" s="104">
        <f t="shared" si="57"/>
        <v>0</v>
      </c>
    </row>
    <row r="1114" spans="1:20">
      <c r="A1114" s="101"/>
      <c r="B1114" s="101"/>
      <c r="C1114" s="101"/>
      <c r="D1114" s="101"/>
      <c r="E1114" s="101"/>
      <c r="F1114" s="102"/>
      <c r="G1114" s="101"/>
      <c r="H1114" s="102"/>
      <c r="I1114" s="101"/>
      <c r="J1114" s="101"/>
      <c r="K1114" s="103"/>
      <c r="L1114" s="103"/>
      <c r="M1114" s="103"/>
      <c r="N1114" s="103"/>
      <c r="O1114" s="103"/>
      <c r="P1114" s="98"/>
      <c r="Q1114" s="99"/>
      <c r="R1114" s="105">
        <f t="shared" si="56"/>
        <v>0</v>
      </c>
      <c r="S1114" s="108">
        <f t="shared" si="55"/>
        <v>0</v>
      </c>
      <c r="T1114" s="105">
        <f t="shared" si="57"/>
        <v>0</v>
      </c>
    </row>
    <row r="1115" spans="1:20">
      <c r="A1115" s="101"/>
      <c r="B1115" s="101"/>
      <c r="C1115" s="101"/>
      <c r="D1115" s="101"/>
      <c r="E1115" s="101"/>
      <c r="F1115" s="102"/>
      <c r="G1115" s="101"/>
      <c r="H1115" s="102"/>
      <c r="I1115" s="101"/>
      <c r="J1115" s="101"/>
      <c r="K1115" s="103"/>
      <c r="L1115" s="103"/>
      <c r="M1115" s="103"/>
      <c r="N1115" s="103"/>
      <c r="O1115" s="103"/>
      <c r="P1115" s="98"/>
      <c r="Q1115" s="99"/>
      <c r="R1115" s="104">
        <f t="shared" si="56"/>
        <v>0</v>
      </c>
      <c r="S1115" s="104">
        <f t="shared" si="55"/>
        <v>0</v>
      </c>
      <c r="T1115" s="104">
        <f t="shared" si="57"/>
        <v>0</v>
      </c>
    </row>
    <row r="1116" spans="1:20">
      <c r="A1116" s="101"/>
      <c r="B1116" s="101"/>
      <c r="C1116" s="101"/>
      <c r="D1116" s="101"/>
      <c r="E1116" s="101"/>
      <c r="F1116" s="102"/>
      <c r="G1116" s="101"/>
      <c r="H1116" s="102"/>
      <c r="I1116" s="101"/>
      <c r="J1116" s="101"/>
      <c r="K1116" s="103"/>
      <c r="L1116" s="103"/>
      <c r="M1116" s="103"/>
      <c r="N1116" s="103"/>
      <c r="O1116" s="103"/>
      <c r="P1116" s="98"/>
      <c r="Q1116" s="99"/>
      <c r="R1116" s="105">
        <f t="shared" si="56"/>
        <v>0</v>
      </c>
      <c r="S1116" s="108">
        <f t="shared" si="55"/>
        <v>0</v>
      </c>
      <c r="T1116" s="105">
        <f t="shared" si="57"/>
        <v>0</v>
      </c>
    </row>
    <row r="1117" spans="1:20">
      <c r="A1117" s="101"/>
      <c r="B1117" s="101"/>
      <c r="C1117" s="101"/>
      <c r="D1117" s="101"/>
      <c r="E1117" s="101"/>
      <c r="F1117" s="102"/>
      <c r="G1117" s="101"/>
      <c r="H1117" s="102"/>
      <c r="I1117" s="101"/>
      <c r="J1117" s="101"/>
      <c r="K1117" s="103"/>
      <c r="L1117" s="103"/>
      <c r="M1117" s="103"/>
      <c r="N1117" s="103"/>
      <c r="O1117" s="103"/>
      <c r="P1117" s="98"/>
      <c r="Q1117" s="99"/>
      <c r="R1117" s="104">
        <f t="shared" si="56"/>
        <v>0</v>
      </c>
      <c r="S1117" s="104">
        <f t="shared" si="55"/>
        <v>0</v>
      </c>
      <c r="T1117" s="104">
        <f t="shared" si="57"/>
        <v>0</v>
      </c>
    </row>
    <row r="1118" spans="1:20">
      <c r="A1118" s="101"/>
      <c r="B1118" s="101"/>
      <c r="C1118" s="101"/>
      <c r="D1118" s="101"/>
      <c r="E1118" s="101"/>
      <c r="F1118" s="102"/>
      <c r="G1118" s="101"/>
      <c r="H1118" s="102"/>
      <c r="I1118" s="101"/>
      <c r="J1118" s="101"/>
      <c r="K1118" s="103"/>
      <c r="L1118" s="103"/>
      <c r="M1118" s="103"/>
      <c r="N1118" s="103"/>
      <c r="O1118" s="103"/>
      <c r="P1118" s="98"/>
      <c r="Q1118" s="99"/>
      <c r="R1118" s="105">
        <f t="shared" si="56"/>
        <v>0</v>
      </c>
      <c r="S1118" s="108">
        <f t="shared" si="55"/>
        <v>0</v>
      </c>
      <c r="T1118" s="105">
        <f t="shared" si="57"/>
        <v>0</v>
      </c>
    </row>
    <row r="1119" spans="1:20">
      <c r="A1119" s="101"/>
      <c r="B1119" s="101"/>
      <c r="C1119" s="101"/>
      <c r="D1119" s="101"/>
      <c r="E1119" s="101"/>
      <c r="F1119" s="102"/>
      <c r="G1119" s="101"/>
      <c r="H1119" s="102"/>
      <c r="I1119" s="101"/>
      <c r="J1119" s="101"/>
      <c r="K1119" s="103"/>
      <c r="L1119" s="103"/>
      <c r="M1119" s="103"/>
      <c r="N1119" s="103"/>
      <c r="O1119" s="103"/>
      <c r="P1119" s="98"/>
      <c r="Q1119" s="99"/>
      <c r="R1119" s="104">
        <f t="shared" si="56"/>
        <v>0</v>
      </c>
      <c r="S1119" s="104">
        <f t="shared" si="55"/>
        <v>0</v>
      </c>
      <c r="T1119" s="104">
        <f t="shared" si="57"/>
        <v>0</v>
      </c>
    </row>
    <row r="1120" spans="1:20">
      <c r="A1120" s="101"/>
      <c r="B1120" s="101"/>
      <c r="C1120" s="101"/>
      <c r="D1120" s="101"/>
      <c r="E1120" s="101"/>
      <c r="F1120" s="102"/>
      <c r="G1120" s="101"/>
      <c r="H1120" s="102"/>
      <c r="I1120" s="101"/>
      <c r="J1120" s="101"/>
      <c r="K1120" s="103"/>
      <c r="L1120" s="103"/>
      <c r="M1120" s="103"/>
      <c r="N1120" s="103"/>
      <c r="O1120" s="103"/>
      <c r="P1120" s="98"/>
      <c r="Q1120" s="99"/>
      <c r="R1120" s="105">
        <f t="shared" si="56"/>
        <v>0</v>
      </c>
      <c r="S1120" s="108">
        <f t="shared" si="55"/>
        <v>0</v>
      </c>
      <c r="T1120" s="105">
        <f t="shared" si="57"/>
        <v>0</v>
      </c>
    </row>
    <row r="1121" spans="1:20">
      <c r="A1121" s="101"/>
      <c r="B1121" s="101"/>
      <c r="C1121" s="101"/>
      <c r="D1121" s="101"/>
      <c r="E1121" s="101"/>
      <c r="F1121" s="102"/>
      <c r="G1121" s="101"/>
      <c r="H1121" s="102"/>
      <c r="I1121" s="101"/>
      <c r="J1121" s="101"/>
      <c r="K1121" s="103"/>
      <c r="L1121" s="103"/>
      <c r="M1121" s="103"/>
      <c r="N1121" s="103"/>
      <c r="O1121" s="103"/>
      <c r="P1121" s="98"/>
      <c r="Q1121" s="99"/>
      <c r="R1121" s="104">
        <f t="shared" si="56"/>
        <v>0</v>
      </c>
      <c r="S1121" s="104">
        <f t="shared" si="55"/>
        <v>0</v>
      </c>
      <c r="T1121" s="104">
        <f t="shared" si="57"/>
        <v>0</v>
      </c>
    </row>
    <row r="1122" spans="1:20">
      <c r="A1122" s="101"/>
      <c r="B1122" s="101"/>
      <c r="C1122" s="101"/>
      <c r="D1122" s="101"/>
      <c r="E1122" s="101"/>
      <c r="F1122" s="102"/>
      <c r="G1122" s="101"/>
      <c r="H1122" s="102"/>
      <c r="I1122" s="101"/>
      <c r="J1122" s="101"/>
      <c r="K1122" s="103"/>
      <c r="L1122" s="103"/>
      <c r="M1122" s="103"/>
      <c r="N1122" s="103"/>
      <c r="O1122" s="103"/>
      <c r="P1122" s="98"/>
      <c r="Q1122" s="99"/>
      <c r="R1122" s="105">
        <f t="shared" si="56"/>
        <v>0</v>
      </c>
      <c r="S1122" s="108">
        <f t="shared" si="55"/>
        <v>0</v>
      </c>
      <c r="T1122" s="105">
        <f t="shared" si="57"/>
        <v>0</v>
      </c>
    </row>
    <row r="1123" spans="1:20">
      <c r="A1123" s="101"/>
      <c r="B1123" s="101"/>
      <c r="C1123" s="101"/>
      <c r="D1123" s="101"/>
      <c r="E1123" s="101"/>
      <c r="F1123" s="102"/>
      <c r="G1123" s="101"/>
      <c r="H1123" s="102"/>
      <c r="I1123" s="101"/>
      <c r="J1123" s="101"/>
      <c r="K1123" s="103"/>
      <c r="L1123" s="103"/>
      <c r="M1123" s="103"/>
      <c r="N1123" s="103"/>
      <c r="O1123" s="103"/>
      <c r="P1123" s="98"/>
      <c r="Q1123" s="99"/>
      <c r="R1123" s="104">
        <f t="shared" si="56"/>
        <v>0</v>
      </c>
      <c r="S1123" s="104">
        <f t="shared" si="55"/>
        <v>0</v>
      </c>
      <c r="T1123" s="104">
        <f t="shared" si="57"/>
        <v>0</v>
      </c>
    </row>
    <row r="1124" spans="1:20">
      <c r="A1124" s="101"/>
      <c r="B1124" s="101"/>
      <c r="C1124" s="101"/>
      <c r="D1124" s="101"/>
      <c r="E1124" s="101"/>
      <c r="F1124" s="102"/>
      <c r="G1124" s="101"/>
      <c r="H1124" s="102"/>
      <c r="I1124" s="101"/>
      <c r="J1124" s="101"/>
      <c r="K1124" s="103"/>
      <c r="L1124" s="103"/>
      <c r="M1124" s="103"/>
      <c r="N1124" s="103"/>
      <c r="O1124" s="103"/>
      <c r="P1124" s="98"/>
      <c r="Q1124" s="99"/>
      <c r="R1124" s="105">
        <f t="shared" si="56"/>
        <v>0</v>
      </c>
      <c r="S1124" s="108">
        <f t="shared" si="55"/>
        <v>0</v>
      </c>
      <c r="T1124" s="105">
        <f t="shared" si="57"/>
        <v>0</v>
      </c>
    </row>
    <row r="1125" spans="1:20">
      <c r="A1125" s="101"/>
      <c r="B1125" s="101"/>
      <c r="C1125" s="101"/>
      <c r="D1125" s="101"/>
      <c r="E1125" s="101"/>
      <c r="F1125" s="102"/>
      <c r="G1125" s="101"/>
      <c r="H1125" s="102"/>
      <c r="I1125" s="101"/>
      <c r="J1125" s="101"/>
      <c r="K1125" s="103"/>
      <c r="L1125" s="103"/>
      <c r="M1125" s="103"/>
      <c r="N1125" s="103"/>
      <c r="O1125" s="103"/>
      <c r="P1125" s="98"/>
      <c r="Q1125" s="99"/>
      <c r="R1125" s="104">
        <f t="shared" si="56"/>
        <v>0</v>
      </c>
      <c r="S1125" s="104">
        <f t="shared" si="55"/>
        <v>0</v>
      </c>
      <c r="T1125" s="104">
        <f t="shared" si="57"/>
        <v>0</v>
      </c>
    </row>
    <row r="1126" spans="1:20">
      <c r="A1126" s="101"/>
      <c r="B1126" s="101"/>
      <c r="C1126" s="101"/>
      <c r="D1126" s="101"/>
      <c r="E1126" s="101"/>
      <c r="F1126" s="102"/>
      <c r="G1126" s="101"/>
      <c r="H1126" s="102"/>
      <c r="I1126" s="101"/>
      <c r="J1126" s="101"/>
      <c r="K1126" s="103"/>
      <c r="L1126" s="103"/>
      <c r="M1126" s="103"/>
      <c r="N1126" s="103"/>
      <c r="O1126" s="103"/>
      <c r="P1126" s="98"/>
      <c r="Q1126" s="99"/>
      <c r="R1126" s="105">
        <f t="shared" si="56"/>
        <v>0</v>
      </c>
      <c r="S1126" s="108">
        <f t="shared" si="55"/>
        <v>0</v>
      </c>
      <c r="T1126" s="105">
        <f t="shared" si="57"/>
        <v>0</v>
      </c>
    </row>
    <row r="1127" spans="1:20">
      <c r="A1127" s="101"/>
      <c r="B1127" s="101"/>
      <c r="C1127" s="101"/>
      <c r="D1127" s="101"/>
      <c r="E1127" s="101"/>
      <c r="F1127" s="102"/>
      <c r="G1127" s="101"/>
      <c r="H1127" s="102"/>
      <c r="I1127" s="101"/>
      <c r="J1127" s="101"/>
      <c r="K1127" s="103"/>
      <c r="L1127" s="103"/>
      <c r="M1127" s="103"/>
      <c r="N1127" s="103"/>
      <c r="O1127" s="103"/>
      <c r="P1127" s="98"/>
      <c r="Q1127" s="99"/>
      <c r="R1127" s="104">
        <f t="shared" si="56"/>
        <v>0</v>
      </c>
      <c r="S1127" s="104">
        <f t="shared" si="55"/>
        <v>0</v>
      </c>
      <c r="T1127" s="104">
        <f t="shared" si="57"/>
        <v>0</v>
      </c>
    </row>
    <row r="1128" spans="1:20">
      <c r="A1128" s="101"/>
      <c r="B1128" s="101"/>
      <c r="C1128" s="101"/>
      <c r="D1128" s="101"/>
      <c r="E1128" s="101"/>
      <c r="F1128" s="102"/>
      <c r="G1128" s="101"/>
      <c r="H1128" s="102"/>
      <c r="I1128" s="101"/>
      <c r="J1128" s="101"/>
      <c r="K1128" s="103"/>
      <c r="L1128" s="103"/>
      <c r="M1128" s="103"/>
      <c r="N1128" s="103"/>
      <c r="O1128" s="103"/>
      <c r="P1128" s="98"/>
      <c r="Q1128" s="99"/>
      <c r="R1128" s="105">
        <f t="shared" si="56"/>
        <v>0</v>
      </c>
      <c r="S1128" s="108">
        <f t="shared" si="55"/>
        <v>0</v>
      </c>
      <c r="T1128" s="105">
        <f t="shared" si="57"/>
        <v>0</v>
      </c>
    </row>
    <row r="1129" spans="1:20">
      <c r="A1129" s="101"/>
      <c r="B1129" s="101"/>
      <c r="C1129" s="101"/>
      <c r="D1129" s="101"/>
      <c r="E1129" s="101"/>
      <c r="F1129" s="102"/>
      <c r="G1129" s="101"/>
      <c r="H1129" s="102"/>
      <c r="I1129" s="101"/>
      <c r="J1129" s="101"/>
      <c r="K1129" s="103"/>
      <c r="L1129" s="103"/>
      <c r="M1129" s="103"/>
      <c r="N1129" s="103"/>
      <c r="O1129" s="103"/>
      <c r="P1129" s="98"/>
      <c r="Q1129" s="99"/>
      <c r="R1129" s="104">
        <f t="shared" si="56"/>
        <v>0</v>
      </c>
      <c r="S1129" s="104">
        <f t="shared" si="55"/>
        <v>0</v>
      </c>
      <c r="T1129" s="104">
        <f t="shared" si="57"/>
        <v>0</v>
      </c>
    </row>
    <row r="1130" spans="1:20">
      <c r="A1130" s="101"/>
      <c r="B1130" s="101"/>
      <c r="C1130" s="101"/>
      <c r="D1130" s="101"/>
      <c r="E1130" s="101"/>
      <c r="F1130" s="102"/>
      <c r="G1130" s="101"/>
      <c r="H1130" s="102"/>
      <c r="I1130" s="101"/>
      <c r="J1130" s="101"/>
      <c r="K1130" s="103"/>
      <c r="L1130" s="103"/>
      <c r="M1130" s="103"/>
      <c r="N1130" s="103"/>
      <c r="O1130" s="103"/>
      <c r="P1130" s="98"/>
      <c r="Q1130" s="99"/>
      <c r="R1130" s="105">
        <f t="shared" si="56"/>
        <v>0</v>
      </c>
      <c r="S1130" s="108">
        <f t="shared" si="55"/>
        <v>0</v>
      </c>
      <c r="T1130" s="105">
        <f t="shared" si="57"/>
        <v>0</v>
      </c>
    </row>
    <row r="1131" spans="1:20">
      <c r="A1131" s="101"/>
      <c r="B1131" s="101"/>
      <c r="C1131" s="101"/>
      <c r="D1131" s="101"/>
      <c r="E1131" s="101"/>
      <c r="F1131" s="102"/>
      <c r="G1131" s="101"/>
      <c r="H1131" s="102"/>
      <c r="I1131" s="101"/>
      <c r="J1131" s="101"/>
      <c r="K1131" s="103"/>
      <c r="L1131" s="103"/>
      <c r="M1131" s="103"/>
      <c r="N1131" s="103"/>
      <c r="O1131" s="103"/>
      <c r="P1131" s="98"/>
      <c r="Q1131" s="99"/>
      <c r="R1131" s="104">
        <f t="shared" si="56"/>
        <v>0</v>
      </c>
      <c r="S1131" s="104">
        <f t="shared" si="55"/>
        <v>0</v>
      </c>
      <c r="T1131" s="104">
        <f t="shared" si="57"/>
        <v>0</v>
      </c>
    </row>
    <row r="1132" spans="1:20">
      <c r="A1132" s="101"/>
      <c r="B1132" s="101"/>
      <c r="C1132" s="101"/>
      <c r="D1132" s="101"/>
      <c r="E1132" s="101"/>
      <c r="F1132" s="102"/>
      <c r="G1132" s="101"/>
      <c r="H1132" s="102"/>
      <c r="I1132" s="101"/>
      <c r="J1132" s="101"/>
      <c r="K1132" s="103"/>
      <c r="L1132" s="103"/>
      <c r="M1132" s="103"/>
      <c r="N1132" s="103"/>
      <c r="O1132" s="103"/>
      <c r="P1132" s="98"/>
      <c r="Q1132" s="99"/>
      <c r="R1132" s="105">
        <f t="shared" si="56"/>
        <v>0</v>
      </c>
      <c r="S1132" s="108">
        <f t="shared" si="55"/>
        <v>0</v>
      </c>
      <c r="T1132" s="105">
        <f t="shared" si="57"/>
        <v>0</v>
      </c>
    </row>
    <row r="1133" spans="1:20">
      <c r="A1133" s="101"/>
      <c r="B1133" s="101"/>
      <c r="C1133" s="101"/>
      <c r="D1133" s="101"/>
      <c r="E1133" s="101"/>
      <c r="F1133" s="102"/>
      <c r="G1133" s="101"/>
      <c r="H1133" s="102"/>
      <c r="I1133" s="101"/>
      <c r="J1133" s="101"/>
      <c r="K1133" s="103"/>
      <c r="L1133" s="103"/>
      <c r="M1133" s="103"/>
      <c r="N1133" s="103"/>
      <c r="O1133" s="103"/>
      <c r="P1133" s="98"/>
      <c r="Q1133" s="99"/>
      <c r="R1133" s="104">
        <f t="shared" si="56"/>
        <v>0</v>
      </c>
      <c r="S1133" s="104">
        <f t="shared" si="55"/>
        <v>0</v>
      </c>
      <c r="T1133" s="104">
        <f t="shared" si="57"/>
        <v>0</v>
      </c>
    </row>
    <row r="1134" spans="1:20">
      <c r="A1134" s="101"/>
      <c r="B1134" s="101"/>
      <c r="C1134" s="101"/>
      <c r="D1134" s="101"/>
      <c r="E1134" s="101"/>
      <c r="F1134" s="102"/>
      <c r="G1134" s="101"/>
      <c r="H1134" s="102"/>
      <c r="I1134" s="101"/>
      <c r="J1134" s="101"/>
      <c r="K1134" s="103"/>
      <c r="L1134" s="103"/>
      <c r="M1134" s="103"/>
      <c r="N1134" s="103"/>
      <c r="O1134" s="103"/>
      <c r="P1134" s="98"/>
      <c r="Q1134" s="99"/>
      <c r="R1134" s="105">
        <f t="shared" si="56"/>
        <v>0</v>
      </c>
      <c r="S1134" s="108">
        <f t="shared" si="55"/>
        <v>0</v>
      </c>
      <c r="T1134" s="105">
        <f t="shared" si="57"/>
        <v>0</v>
      </c>
    </row>
    <row r="1135" spans="1:20">
      <c r="A1135" s="101"/>
      <c r="B1135" s="101"/>
      <c r="C1135" s="101"/>
      <c r="D1135" s="101"/>
      <c r="E1135" s="101"/>
      <c r="F1135" s="102"/>
      <c r="G1135" s="101"/>
      <c r="H1135" s="102"/>
      <c r="I1135" s="101"/>
      <c r="J1135" s="101"/>
      <c r="K1135" s="103"/>
      <c r="L1135" s="103"/>
      <c r="M1135" s="103"/>
      <c r="N1135" s="103"/>
      <c r="O1135" s="103"/>
      <c r="P1135" s="98"/>
      <c r="Q1135" s="99"/>
      <c r="R1135" s="104">
        <f t="shared" si="56"/>
        <v>0</v>
      </c>
      <c r="S1135" s="104">
        <f t="shared" si="55"/>
        <v>0</v>
      </c>
      <c r="T1135" s="104">
        <f t="shared" si="57"/>
        <v>0</v>
      </c>
    </row>
    <row r="1136" spans="1:20">
      <c r="A1136" s="101"/>
      <c r="B1136" s="101"/>
      <c r="C1136" s="101"/>
      <c r="D1136" s="101"/>
      <c r="E1136" s="101"/>
      <c r="F1136" s="102"/>
      <c r="G1136" s="101"/>
      <c r="H1136" s="102"/>
      <c r="I1136" s="101"/>
      <c r="J1136" s="101"/>
      <c r="K1136" s="103"/>
      <c r="L1136" s="103"/>
      <c r="M1136" s="103"/>
      <c r="N1136" s="103"/>
      <c r="O1136" s="103"/>
      <c r="P1136" s="98"/>
      <c r="Q1136" s="99"/>
      <c r="R1136" s="105">
        <f t="shared" si="56"/>
        <v>0</v>
      </c>
      <c r="S1136" s="108">
        <f t="shared" si="55"/>
        <v>0</v>
      </c>
      <c r="T1136" s="105">
        <f t="shared" si="57"/>
        <v>0</v>
      </c>
    </row>
    <row r="1137" spans="1:23">
      <c r="A1137" s="101"/>
      <c r="B1137" s="101"/>
      <c r="C1137" s="101"/>
      <c r="D1137" s="101"/>
      <c r="E1137" s="101"/>
      <c r="F1137" s="102"/>
      <c r="G1137" s="101"/>
      <c r="H1137" s="102"/>
      <c r="I1137" s="101"/>
      <c r="J1137" s="101"/>
      <c r="K1137" s="103"/>
      <c r="L1137" s="103"/>
      <c r="M1137" s="103"/>
      <c r="N1137" s="103"/>
      <c r="O1137" s="103"/>
      <c r="P1137" s="98"/>
      <c r="Q1137" s="99"/>
      <c r="R1137" s="104">
        <f t="shared" si="56"/>
        <v>0</v>
      </c>
      <c r="S1137" s="104">
        <f t="shared" si="55"/>
        <v>0</v>
      </c>
      <c r="T1137" s="104">
        <f t="shared" si="57"/>
        <v>0</v>
      </c>
      <c r="U1137" s="112"/>
    </row>
    <row r="1138" spans="1:23">
      <c r="A1138" s="101"/>
      <c r="B1138" s="101"/>
      <c r="C1138" s="101"/>
      <c r="D1138" s="101"/>
      <c r="E1138" s="101"/>
      <c r="F1138" s="102"/>
      <c r="G1138" s="101"/>
      <c r="H1138" s="102"/>
      <c r="I1138" s="101"/>
      <c r="J1138" s="101"/>
      <c r="K1138" s="103"/>
      <c r="L1138" s="103"/>
      <c r="M1138" s="103"/>
      <c r="N1138" s="103"/>
      <c r="O1138" s="103"/>
      <c r="P1138" s="98"/>
      <c r="Q1138" s="99"/>
      <c r="R1138" s="105">
        <f t="shared" si="56"/>
        <v>0</v>
      </c>
      <c r="S1138" s="108">
        <f t="shared" si="55"/>
        <v>0</v>
      </c>
      <c r="T1138" s="105">
        <f t="shared" si="57"/>
        <v>0</v>
      </c>
    </row>
    <row r="1139" spans="1:23">
      <c r="A1139" s="101"/>
      <c r="B1139" s="101"/>
      <c r="C1139" s="101"/>
      <c r="D1139" s="101"/>
      <c r="E1139" s="101"/>
      <c r="F1139" s="102"/>
      <c r="G1139" s="101"/>
      <c r="H1139" s="102"/>
      <c r="I1139" s="101"/>
      <c r="J1139" s="101"/>
      <c r="K1139" s="103"/>
      <c r="L1139" s="103"/>
      <c r="M1139" s="103"/>
      <c r="N1139" s="103"/>
      <c r="O1139" s="103"/>
      <c r="P1139" s="98"/>
      <c r="Q1139" s="99"/>
      <c r="R1139" s="104">
        <f t="shared" si="56"/>
        <v>0</v>
      </c>
      <c r="S1139" s="104">
        <f t="shared" si="55"/>
        <v>0</v>
      </c>
      <c r="T1139" s="104">
        <f t="shared" si="57"/>
        <v>0</v>
      </c>
      <c r="U1139" s="112"/>
    </row>
    <row r="1140" spans="1:23">
      <c r="A1140" s="101"/>
      <c r="B1140" s="101"/>
      <c r="C1140" s="101"/>
      <c r="D1140" s="101"/>
      <c r="E1140" s="101"/>
      <c r="F1140" s="102"/>
      <c r="G1140" s="101"/>
      <c r="H1140" s="102"/>
      <c r="I1140" s="101"/>
      <c r="J1140" s="101"/>
      <c r="K1140" s="103"/>
      <c r="L1140" s="103"/>
      <c r="M1140" s="103"/>
      <c r="N1140" s="103"/>
      <c r="O1140" s="103"/>
      <c r="P1140" s="98"/>
      <c r="Q1140" s="99"/>
      <c r="R1140" s="105">
        <f t="shared" si="56"/>
        <v>0</v>
      </c>
      <c r="S1140" s="108">
        <f t="shared" si="55"/>
        <v>0</v>
      </c>
      <c r="T1140" s="105">
        <f t="shared" si="57"/>
        <v>0</v>
      </c>
    </row>
    <row r="1141" spans="1:23">
      <c r="A1141" s="101"/>
      <c r="B1141" s="101"/>
      <c r="C1141" s="101"/>
      <c r="D1141" s="101"/>
      <c r="E1141" s="101"/>
      <c r="F1141" s="102"/>
      <c r="G1141" s="101"/>
      <c r="H1141" s="102"/>
      <c r="I1141" s="101"/>
      <c r="J1141" s="101"/>
      <c r="K1141" s="103"/>
      <c r="L1141" s="103"/>
      <c r="M1141" s="103"/>
      <c r="N1141" s="103"/>
      <c r="O1141" s="103"/>
      <c r="P1141" s="98"/>
      <c r="Q1141" s="99"/>
      <c r="R1141" s="104">
        <f t="shared" si="56"/>
        <v>0</v>
      </c>
      <c r="S1141" s="104">
        <f t="shared" si="55"/>
        <v>0</v>
      </c>
      <c r="T1141" s="104">
        <f t="shared" si="57"/>
        <v>0</v>
      </c>
      <c r="V1141" s="112"/>
      <c r="W1141" s="106"/>
    </row>
    <row r="1142" spans="1:23">
      <c r="A1142" s="101"/>
      <c r="B1142" s="101"/>
      <c r="C1142" s="101"/>
      <c r="D1142" s="101"/>
      <c r="E1142" s="101"/>
      <c r="F1142" s="102"/>
      <c r="G1142" s="101"/>
      <c r="H1142" s="102"/>
      <c r="I1142" s="101"/>
      <c r="J1142" s="101"/>
      <c r="K1142" s="103"/>
      <c r="L1142" s="103"/>
      <c r="M1142" s="103"/>
      <c r="N1142" s="103"/>
      <c r="O1142" s="103"/>
      <c r="P1142" s="98"/>
      <c r="Q1142" s="99"/>
      <c r="R1142" s="105">
        <f t="shared" si="56"/>
        <v>0</v>
      </c>
      <c r="S1142" s="108">
        <f t="shared" si="55"/>
        <v>0</v>
      </c>
      <c r="T1142" s="105">
        <f t="shared" si="57"/>
        <v>0</v>
      </c>
    </row>
    <row r="1143" spans="1:23">
      <c r="A1143" s="101"/>
      <c r="B1143" s="101"/>
      <c r="C1143" s="101"/>
      <c r="D1143" s="101"/>
      <c r="E1143" s="101"/>
      <c r="F1143" s="102"/>
      <c r="G1143" s="101"/>
      <c r="H1143" s="102"/>
      <c r="I1143" s="101"/>
      <c r="J1143" s="101"/>
      <c r="K1143" s="103"/>
      <c r="L1143" s="103"/>
      <c r="M1143" s="103"/>
      <c r="N1143" s="103"/>
      <c r="O1143" s="103"/>
      <c r="P1143" s="98"/>
      <c r="Q1143" s="99"/>
      <c r="R1143" s="104">
        <f t="shared" si="56"/>
        <v>0</v>
      </c>
      <c r="S1143" s="104">
        <f t="shared" si="55"/>
        <v>0</v>
      </c>
      <c r="T1143" s="104">
        <f t="shared" si="57"/>
        <v>0</v>
      </c>
      <c r="U1143" s="112"/>
    </row>
    <row r="1144" spans="1:23">
      <c r="A1144" s="101"/>
      <c r="B1144" s="101"/>
      <c r="C1144" s="101"/>
      <c r="D1144" s="101"/>
      <c r="E1144" s="101"/>
      <c r="F1144" s="102"/>
      <c r="G1144" s="101"/>
      <c r="H1144" s="102"/>
      <c r="I1144" s="101"/>
      <c r="J1144" s="101"/>
      <c r="K1144" s="103"/>
      <c r="L1144" s="103"/>
      <c r="M1144" s="103"/>
      <c r="N1144" s="103"/>
      <c r="O1144" s="103"/>
      <c r="P1144" s="98"/>
      <c r="Q1144" s="99"/>
      <c r="R1144" s="105">
        <f t="shared" si="56"/>
        <v>0</v>
      </c>
      <c r="S1144" s="108">
        <f t="shared" si="55"/>
        <v>0</v>
      </c>
      <c r="T1144" s="105">
        <f t="shared" si="57"/>
        <v>0</v>
      </c>
    </row>
    <row r="1145" spans="1:23">
      <c r="A1145" s="101"/>
      <c r="B1145" s="101"/>
      <c r="C1145" s="101"/>
      <c r="D1145" s="101"/>
      <c r="E1145" s="101"/>
      <c r="F1145" s="102"/>
      <c r="G1145" s="101"/>
      <c r="H1145" s="102"/>
      <c r="I1145" s="101"/>
      <c r="J1145" s="101"/>
      <c r="K1145" s="103"/>
      <c r="L1145" s="103"/>
      <c r="M1145" s="103"/>
      <c r="N1145" s="103"/>
      <c r="O1145" s="103"/>
      <c r="P1145" s="98"/>
      <c r="Q1145" s="99"/>
      <c r="R1145" s="104">
        <f t="shared" si="56"/>
        <v>0</v>
      </c>
      <c r="S1145" s="104">
        <f t="shared" si="55"/>
        <v>0</v>
      </c>
      <c r="T1145" s="104">
        <f t="shared" si="57"/>
        <v>0</v>
      </c>
    </row>
    <row r="1146" spans="1:23">
      <c r="A1146" s="101"/>
      <c r="B1146" s="101"/>
      <c r="C1146" s="101"/>
      <c r="D1146" s="101"/>
      <c r="E1146" s="101"/>
      <c r="F1146" s="102"/>
      <c r="G1146" s="101"/>
      <c r="H1146" s="102"/>
      <c r="I1146" s="101"/>
      <c r="J1146" s="101"/>
      <c r="K1146" s="103"/>
      <c r="L1146" s="103"/>
      <c r="M1146" s="103"/>
      <c r="N1146" s="103"/>
      <c r="O1146" s="103"/>
      <c r="P1146" s="98"/>
      <c r="Q1146" s="99"/>
      <c r="R1146" s="105">
        <f t="shared" si="56"/>
        <v>0</v>
      </c>
      <c r="S1146" s="108">
        <f t="shared" si="55"/>
        <v>0</v>
      </c>
      <c r="T1146" s="105">
        <f t="shared" si="57"/>
        <v>0</v>
      </c>
    </row>
    <row r="1147" spans="1:23">
      <c r="A1147" s="101"/>
      <c r="B1147" s="101"/>
      <c r="C1147" s="101"/>
      <c r="D1147" s="101"/>
      <c r="E1147" s="101"/>
      <c r="F1147" s="102"/>
      <c r="G1147" s="101"/>
      <c r="H1147" s="102"/>
      <c r="I1147" s="101"/>
      <c r="J1147" s="101"/>
      <c r="K1147" s="103"/>
      <c r="L1147" s="103"/>
      <c r="M1147" s="103"/>
      <c r="N1147" s="103"/>
      <c r="O1147" s="103"/>
      <c r="P1147" s="98"/>
      <c r="Q1147" s="99"/>
      <c r="R1147" s="104">
        <f t="shared" si="56"/>
        <v>0</v>
      </c>
      <c r="S1147" s="104">
        <f t="shared" si="55"/>
        <v>0</v>
      </c>
      <c r="T1147" s="104">
        <f t="shared" si="57"/>
        <v>0</v>
      </c>
    </row>
    <row r="1148" spans="1:23">
      <c r="A1148" s="101"/>
      <c r="B1148" s="101"/>
      <c r="C1148" s="101"/>
      <c r="D1148" s="101"/>
      <c r="E1148" s="101"/>
      <c r="F1148" s="102"/>
      <c r="G1148" s="101"/>
      <c r="H1148" s="102"/>
      <c r="I1148" s="101"/>
      <c r="J1148" s="101"/>
      <c r="K1148" s="103"/>
      <c r="L1148" s="103"/>
      <c r="M1148" s="103"/>
      <c r="N1148" s="103"/>
      <c r="O1148" s="103"/>
      <c r="P1148" s="98"/>
      <c r="Q1148" s="99"/>
      <c r="R1148" s="105">
        <f t="shared" si="56"/>
        <v>0</v>
      </c>
      <c r="S1148" s="108">
        <f t="shared" si="55"/>
        <v>0</v>
      </c>
      <c r="T1148" s="105">
        <f t="shared" si="57"/>
        <v>0</v>
      </c>
    </row>
    <row r="1149" spans="1:23">
      <c r="A1149" s="101"/>
      <c r="B1149" s="101"/>
      <c r="C1149" s="101"/>
      <c r="D1149" s="101"/>
      <c r="E1149" s="101"/>
      <c r="F1149" s="102"/>
      <c r="G1149" s="101"/>
      <c r="H1149" s="102"/>
      <c r="I1149" s="101"/>
      <c r="J1149" s="101"/>
      <c r="K1149" s="103"/>
      <c r="L1149" s="103"/>
      <c r="M1149" s="103"/>
      <c r="N1149" s="103"/>
      <c r="O1149" s="103"/>
      <c r="P1149" s="98"/>
      <c r="Q1149" s="99"/>
      <c r="R1149" s="104">
        <f t="shared" si="56"/>
        <v>0</v>
      </c>
      <c r="S1149" s="104">
        <f t="shared" si="55"/>
        <v>0</v>
      </c>
      <c r="T1149" s="104">
        <f t="shared" si="57"/>
        <v>0</v>
      </c>
    </row>
    <row r="1150" spans="1:23">
      <c r="A1150" s="101"/>
      <c r="B1150" s="101"/>
      <c r="C1150" s="101"/>
      <c r="D1150" s="101"/>
      <c r="E1150" s="101"/>
      <c r="F1150" s="102"/>
      <c r="G1150" s="101"/>
      <c r="H1150" s="102"/>
      <c r="I1150" s="101"/>
      <c r="J1150" s="101"/>
      <c r="K1150" s="103"/>
      <c r="L1150" s="103"/>
      <c r="M1150" s="103"/>
      <c r="N1150" s="103"/>
      <c r="O1150" s="103"/>
      <c r="P1150" s="98"/>
      <c r="Q1150" s="99"/>
      <c r="R1150" s="105">
        <f t="shared" si="56"/>
        <v>0</v>
      </c>
      <c r="S1150" s="108">
        <f t="shared" si="55"/>
        <v>0</v>
      </c>
      <c r="T1150" s="105">
        <f t="shared" si="57"/>
        <v>0</v>
      </c>
    </row>
    <row r="1151" spans="1:23">
      <c r="A1151" s="101"/>
      <c r="B1151" s="101"/>
      <c r="C1151" s="101"/>
      <c r="D1151" s="101"/>
      <c r="E1151" s="101"/>
      <c r="F1151" s="102"/>
      <c r="G1151" s="101"/>
      <c r="H1151" s="102"/>
      <c r="I1151" s="101"/>
      <c r="J1151" s="101"/>
      <c r="K1151" s="103"/>
      <c r="L1151" s="103"/>
      <c r="M1151" s="103"/>
      <c r="N1151" s="103"/>
      <c r="O1151" s="103"/>
      <c r="P1151" s="98"/>
      <c r="Q1151" s="99"/>
      <c r="R1151" s="104">
        <f t="shared" si="56"/>
        <v>0</v>
      </c>
      <c r="S1151" s="104">
        <f t="shared" si="55"/>
        <v>0</v>
      </c>
      <c r="T1151" s="104">
        <f t="shared" si="57"/>
        <v>0</v>
      </c>
    </row>
    <row r="1152" spans="1:23">
      <c r="A1152" s="101"/>
      <c r="B1152" s="101"/>
      <c r="C1152" s="101"/>
      <c r="D1152" s="101"/>
      <c r="E1152" s="101"/>
      <c r="F1152" s="102"/>
      <c r="G1152" s="101"/>
      <c r="H1152" s="102"/>
      <c r="I1152" s="101"/>
      <c r="J1152" s="101"/>
      <c r="K1152" s="103"/>
      <c r="L1152" s="103"/>
      <c r="M1152" s="103"/>
      <c r="N1152" s="103"/>
      <c r="O1152" s="103"/>
      <c r="P1152" s="98"/>
      <c r="Q1152" s="99"/>
      <c r="R1152" s="105">
        <f t="shared" si="56"/>
        <v>0</v>
      </c>
      <c r="S1152" s="108">
        <f t="shared" si="55"/>
        <v>0</v>
      </c>
      <c r="T1152" s="105">
        <f t="shared" si="57"/>
        <v>0</v>
      </c>
    </row>
    <row r="1153" spans="1:20">
      <c r="A1153" s="101"/>
      <c r="B1153" s="101"/>
      <c r="C1153" s="101"/>
      <c r="D1153" s="101"/>
      <c r="E1153" s="101"/>
      <c r="F1153" s="102"/>
      <c r="G1153" s="101"/>
      <c r="H1153" s="102"/>
      <c r="I1153" s="101"/>
      <c r="J1153" s="101"/>
      <c r="K1153" s="103"/>
      <c r="L1153" s="103"/>
      <c r="M1153" s="103"/>
      <c r="N1153" s="103"/>
      <c r="O1153" s="103"/>
      <c r="P1153" s="98"/>
      <c r="Q1153" s="99"/>
      <c r="R1153" s="104">
        <f t="shared" si="56"/>
        <v>0</v>
      </c>
      <c r="S1153" s="104">
        <f t="shared" si="55"/>
        <v>0</v>
      </c>
      <c r="T1153" s="104">
        <f t="shared" si="57"/>
        <v>0</v>
      </c>
    </row>
    <row r="1154" spans="1:20">
      <c r="A1154" s="101"/>
      <c r="B1154" s="101"/>
      <c r="C1154" s="101"/>
      <c r="D1154" s="101"/>
      <c r="E1154" s="101"/>
      <c r="F1154" s="102"/>
      <c r="G1154" s="101"/>
      <c r="H1154" s="102"/>
      <c r="I1154" s="101"/>
      <c r="J1154" s="101"/>
      <c r="K1154" s="103"/>
      <c r="L1154" s="103"/>
      <c r="M1154" s="103"/>
      <c r="N1154" s="103"/>
      <c r="O1154" s="103"/>
      <c r="P1154" s="98"/>
      <c r="Q1154" s="99"/>
      <c r="R1154" s="105">
        <f t="shared" si="56"/>
        <v>0</v>
      </c>
      <c r="S1154" s="108">
        <f t="shared" si="55"/>
        <v>0</v>
      </c>
      <c r="T1154" s="105">
        <f t="shared" si="57"/>
        <v>0</v>
      </c>
    </row>
    <row r="1155" spans="1:20">
      <c r="A1155" s="101"/>
      <c r="B1155" s="101"/>
      <c r="C1155" s="101"/>
      <c r="D1155" s="101"/>
      <c r="E1155" s="101"/>
      <c r="F1155" s="102"/>
      <c r="G1155" s="101"/>
      <c r="H1155" s="102"/>
      <c r="I1155" s="101"/>
      <c r="J1155" s="101"/>
      <c r="K1155" s="103"/>
      <c r="L1155" s="103"/>
      <c r="M1155" s="103"/>
      <c r="N1155" s="103"/>
      <c r="O1155" s="103"/>
      <c r="P1155" s="98"/>
      <c r="Q1155" s="99"/>
      <c r="R1155" s="104">
        <f t="shared" si="56"/>
        <v>0</v>
      </c>
      <c r="S1155" s="104">
        <f t="shared" si="55"/>
        <v>0</v>
      </c>
      <c r="T1155" s="104">
        <f t="shared" si="57"/>
        <v>0</v>
      </c>
    </row>
    <row r="1156" spans="1:20">
      <c r="A1156" s="101"/>
      <c r="B1156" s="101"/>
      <c r="C1156" s="101"/>
      <c r="D1156" s="101"/>
      <c r="E1156" s="101"/>
      <c r="F1156" s="102"/>
      <c r="G1156" s="101"/>
      <c r="H1156" s="102"/>
      <c r="I1156" s="101"/>
      <c r="J1156" s="101"/>
      <c r="K1156" s="103"/>
      <c r="L1156" s="103"/>
      <c r="M1156" s="103"/>
      <c r="N1156" s="103"/>
      <c r="O1156" s="103"/>
      <c r="P1156" s="98"/>
      <c r="Q1156" s="99"/>
      <c r="R1156" s="105">
        <f t="shared" si="56"/>
        <v>0</v>
      </c>
      <c r="S1156" s="108">
        <f t="shared" ref="S1156:S1219" si="58">IF(P1156="Abono",K1156+L1156+M1156-N1156-O1156,0)</f>
        <v>0</v>
      </c>
      <c r="T1156" s="105">
        <f t="shared" si="57"/>
        <v>0</v>
      </c>
    </row>
    <row r="1157" spans="1:20">
      <c r="A1157" s="101"/>
      <c r="B1157" s="101"/>
      <c r="C1157" s="101"/>
      <c r="D1157" s="101"/>
      <c r="E1157" s="101"/>
      <c r="F1157" s="102"/>
      <c r="G1157" s="101"/>
      <c r="H1157" s="102"/>
      <c r="I1157" s="101"/>
      <c r="J1157" s="101"/>
      <c r="K1157" s="103"/>
      <c r="L1157" s="103"/>
      <c r="M1157" s="103"/>
      <c r="N1157" s="103"/>
      <c r="O1157" s="103"/>
      <c r="P1157" s="98"/>
      <c r="Q1157" s="99"/>
      <c r="R1157" s="104">
        <f t="shared" ref="R1157:R1220" si="59">IF(P1157="Cargo",K1157+L1157-M1157-N1157+O1157,0)</f>
        <v>0</v>
      </c>
      <c r="S1157" s="104">
        <f t="shared" si="58"/>
        <v>0</v>
      </c>
      <c r="T1157" s="104">
        <f t="shared" ref="T1157:T1220" si="60">IF(Q1157="OK",+T1156+R1157-S1157,T1156)</f>
        <v>0</v>
      </c>
    </row>
    <row r="1158" spans="1:20">
      <c r="A1158" s="101"/>
      <c r="B1158" s="101"/>
      <c r="C1158" s="101"/>
      <c r="D1158" s="101"/>
      <c r="E1158" s="101"/>
      <c r="F1158" s="102"/>
      <c r="G1158" s="101"/>
      <c r="H1158" s="102"/>
      <c r="I1158" s="101"/>
      <c r="J1158" s="101"/>
      <c r="K1158" s="103"/>
      <c r="L1158" s="103"/>
      <c r="M1158" s="103"/>
      <c r="N1158" s="103"/>
      <c r="O1158" s="103"/>
      <c r="P1158" s="98"/>
      <c r="Q1158" s="99"/>
      <c r="R1158" s="105">
        <f t="shared" si="59"/>
        <v>0</v>
      </c>
      <c r="S1158" s="108">
        <f t="shared" si="58"/>
        <v>0</v>
      </c>
      <c r="T1158" s="105">
        <f t="shared" si="60"/>
        <v>0</v>
      </c>
    </row>
    <row r="1159" spans="1:20">
      <c r="A1159" s="101"/>
      <c r="B1159" s="101"/>
      <c r="C1159" s="101"/>
      <c r="D1159" s="101"/>
      <c r="E1159" s="101"/>
      <c r="F1159" s="102"/>
      <c r="G1159" s="101"/>
      <c r="H1159" s="102"/>
      <c r="I1159" s="101"/>
      <c r="J1159" s="101"/>
      <c r="K1159" s="103"/>
      <c r="L1159" s="103"/>
      <c r="M1159" s="103"/>
      <c r="N1159" s="103"/>
      <c r="O1159" s="103"/>
      <c r="P1159" s="98"/>
      <c r="Q1159" s="99"/>
      <c r="R1159" s="104">
        <f t="shared" si="59"/>
        <v>0</v>
      </c>
      <c r="S1159" s="104">
        <f t="shared" si="58"/>
        <v>0</v>
      </c>
      <c r="T1159" s="104">
        <f t="shared" si="60"/>
        <v>0</v>
      </c>
    </row>
    <row r="1160" spans="1:20">
      <c r="A1160" s="101"/>
      <c r="B1160" s="101"/>
      <c r="C1160" s="101"/>
      <c r="D1160" s="101"/>
      <c r="E1160" s="101"/>
      <c r="F1160" s="102"/>
      <c r="G1160" s="101"/>
      <c r="H1160" s="102"/>
      <c r="I1160" s="101"/>
      <c r="J1160" s="101"/>
      <c r="K1160" s="103"/>
      <c r="L1160" s="103"/>
      <c r="M1160" s="103"/>
      <c r="N1160" s="103"/>
      <c r="O1160" s="103"/>
      <c r="P1160" s="98"/>
      <c r="Q1160" s="99"/>
      <c r="R1160" s="105">
        <f t="shared" si="59"/>
        <v>0</v>
      </c>
      <c r="S1160" s="108">
        <f t="shared" si="58"/>
        <v>0</v>
      </c>
      <c r="T1160" s="105">
        <f t="shared" si="60"/>
        <v>0</v>
      </c>
    </row>
    <row r="1161" spans="1:20">
      <c r="A1161" s="101"/>
      <c r="B1161" s="101"/>
      <c r="C1161" s="101"/>
      <c r="D1161" s="101"/>
      <c r="E1161" s="101"/>
      <c r="F1161" s="102"/>
      <c r="G1161" s="101"/>
      <c r="H1161" s="102"/>
      <c r="I1161" s="101"/>
      <c r="J1161" s="101"/>
      <c r="K1161" s="103"/>
      <c r="L1161" s="103"/>
      <c r="M1161" s="103"/>
      <c r="N1161" s="103"/>
      <c r="O1161" s="103"/>
      <c r="P1161" s="98"/>
      <c r="Q1161" s="99"/>
      <c r="R1161" s="104">
        <f t="shared" si="59"/>
        <v>0</v>
      </c>
      <c r="S1161" s="104">
        <f t="shared" si="58"/>
        <v>0</v>
      </c>
      <c r="T1161" s="104">
        <f t="shared" si="60"/>
        <v>0</v>
      </c>
    </row>
    <row r="1162" spans="1:20">
      <c r="A1162" s="101"/>
      <c r="B1162" s="101"/>
      <c r="C1162" s="101"/>
      <c r="D1162" s="101"/>
      <c r="E1162" s="101"/>
      <c r="F1162" s="102"/>
      <c r="G1162" s="101"/>
      <c r="H1162" s="102"/>
      <c r="I1162" s="101"/>
      <c r="J1162" s="101"/>
      <c r="K1162" s="103"/>
      <c r="L1162" s="103"/>
      <c r="M1162" s="103"/>
      <c r="N1162" s="103"/>
      <c r="O1162" s="103"/>
      <c r="P1162" s="98"/>
      <c r="Q1162" s="99"/>
      <c r="R1162" s="105">
        <f t="shared" si="59"/>
        <v>0</v>
      </c>
      <c r="S1162" s="108">
        <f t="shared" si="58"/>
        <v>0</v>
      </c>
      <c r="T1162" s="105">
        <f t="shared" si="60"/>
        <v>0</v>
      </c>
    </row>
    <row r="1163" spans="1:20">
      <c r="A1163" s="101"/>
      <c r="B1163" s="101"/>
      <c r="C1163" s="101"/>
      <c r="D1163" s="101"/>
      <c r="E1163" s="101"/>
      <c r="F1163" s="102"/>
      <c r="G1163" s="101"/>
      <c r="H1163" s="102"/>
      <c r="I1163" s="101"/>
      <c r="J1163" s="101"/>
      <c r="K1163" s="103"/>
      <c r="L1163" s="103"/>
      <c r="M1163" s="103"/>
      <c r="N1163" s="103"/>
      <c r="O1163" s="103"/>
      <c r="P1163" s="98"/>
      <c r="Q1163" s="99"/>
      <c r="R1163" s="104">
        <f t="shared" si="59"/>
        <v>0</v>
      </c>
      <c r="S1163" s="104">
        <f t="shared" si="58"/>
        <v>0</v>
      </c>
      <c r="T1163" s="104">
        <f t="shared" si="60"/>
        <v>0</v>
      </c>
    </row>
    <row r="1164" spans="1:20">
      <c r="A1164" s="101"/>
      <c r="B1164" s="101"/>
      <c r="C1164" s="101"/>
      <c r="D1164" s="101"/>
      <c r="E1164" s="101"/>
      <c r="F1164" s="102"/>
      <c r="G1164" s="101"/>
      <c r="H1164" s="102"/>
      <c r="I1164" s="101"/>
      <c r="J1164" s="101"/>
      <c r="K1164" s="103"/>
      <c r="L1164" s="103"/>
      <c r="M1164" s="103"/>
      <c r="N1164" s="103"/>
      <c r="O1164" s="103"/>
      <c r="P1164" s="98"/>
      <c r="Q1164" s="99"/>
      <c r="R1164" s="105">
        <f t="shared" si="59"/>
        <v>0</v>
      </c>
      <c r="S1164" s="108">
        <f t="shared" si="58"/>
        <v>0</v>
      </c>
      <c r="T1164" s="105">
        <f t="shared" si="60"/>
        <v>0</v>
      </c>
    </row>
    <row r="1165" spans="1:20">
      <c r="A1165" s="101"/>
      <c r="B1165" s="101"/>
      <c r="C1165" s="101"/>
      <c r="D1165" s="101"/>
      <c r="E1165" s="101"/>
      <c r="F1165" s="102"/>
      <c r="G1165" s="101"/>
      <c r="H1165" s="102"/>
      <c r="I1165" s="101"/>
      <c r="J1165" s="101"/>
      <c r="K1165" s="103"/>
      <c r="L1165" s="103"/>
      <c r="M1165" s="103"/>
      <c r="N1165" s="103"/>
      <c r="O1165" s="103"/>
      <c r="P1165" s="98"/>
      <c r="Q1165" s="99"/>
      <c r="R1165" s="104">
        <f t="shared" si="59"/>
        <v>0</v>
      </c>
      <c r="S1165" s="104">
        <f t="shared" si="58"/>
        <v>0</v>
      </c>
      <c r="T1165" s="104">
        <f t="shared" si="60"/>
        <v>0</v>
      </c>
    </row>
    <row r="1166" spans="1:20">
      <c r="A1166" s="101"/>
      <c r="B1166" s="101"/>
      <c r="C1166" s="101"/>
      <c r="D1166" s="101"/>
      <c r="E1166" s="101"/>
      <c r="F1166" s="102"/>
      <c r="G1166" s="101"/>
      <c r="H1166" s="102"/>
      <c r="I1166" s="101"/>
      <c r="J1166" s="101"/>
      <c r="K1166" s="103"/>
      <c r="L1166" s="103"/>
      <c r="M1166" s="103"/>
      <c r="N1166" s="103"/>
      <c r="O1166" s="103"/>
      <c r="P1166" s="98"/>
      <c r="Q1166" s="99"/>
      <c r="R1166" s="105">
        <f t="shared" si="59"/>
        <v>0</v>
      </c>
      <c r="S1166" s="108">
        <f t="shared" si="58"/>
        <v>0</v>
      </c>
      <c r="T1166" s="105">
        <f t="shared" si="60"/>
        <v>0</v>
      </c>
    </row>
    <row r="1167" spans="1:20">
      <c r="A1167" s="101"/>
      <c r="B1167" s="101"/>
      <c r="C1167" s="101"/>
      <c r="D1167" s="101"/>
      <c r="E1167" s="101"/>
      <c r="F1167" s="102"/>
      <c r="G1167" s="101"/>
      <c r="H1167" s="102"/>
      <c r="I1167" s="101"/>
      <c r="J1167" s="101"/>
      <c r="K1167" s="103"/>
      <c r="L1167" s="103"/>
      <c r="M1167" s="103"/>
      <c r="N1167" s="103"/>
      <c r="O1167" s="103"/>
      <c r="P1167" s="98"/>
      <c r="Q1167" s="99"/>
      <c r="R1167" s="104">
        <f t="shared" si="59"/>
        <v>0</v>
      </c>
      <c r="S1167" s="104">
        <f t="shared" si="58"/>
        <v>0</v>
      </c>
      <c r="T1167" s="104">
        <f t="shared" si="60"/>
        <v>0</v>
      </c>
    </row>
    <row r="1168" spans="1:20">
      <c r="A1168" s="101"/>
      <c r="B1168" s="101"/>
      <c r="C1168" s="101"/>
      <c r="D1168" s="101"/>
      <c r="E1168" s="101"/>
      <c r="F1168" s="102"/>
      <c r="G1168" s="101"/>
      <c r="H1168" s="102"/>
      <c r="I1168" s="101"/>
      <c r="J1168" s="101"/>
      <c r="K1168" s="103"/>
      <c r="L1168" s="103"/>
      <c r="M1168" s="103"/>
      <c r="N1168" s="103"/>
      <c r="O1168" s="103"/>
      <c r="P1168" s="98"/>
      <c r="Q1168" s="99"/>
      <c r="R1168" s="105">
        <f t="shared" si="59"/>
        <v>0</v>
      </c>
      <c r="S1168" s="108">
        <f t="shared" si="58"/>
        <v>0</v>
      </c>
      <c r="T1168" s="105">
        <f t="shared" si="60"/>
        <v>0</v>
      </c>
    </row>
    <row r="1169" spans="1:20">
      <c r="A1169" s="101"/>
      <c r="B1169" s="101"/>
      <c r="C1169" s="101"/>
      <c r="D1169" s="101"/>
      <c r="E1169" s="101"/>
      <c r="F1169" s="102"/>
      <c r="G1169" s="101"/>
      <c r="H1169" s="102"/>
      <c r="I1169" s="101"/>
      <c r="J1169" s="101"/>
      <c r="K1169" s="103"/>
      <c r="L1169" s="103"/>
      <c r="M1169" s="103"/>
      <c r="N1169" s="103"/>
      <c r="O1169" s="103"/>
      <c r="P1169" s="98"/>
      <c r="Q1169" s="99"/>
      <c r="R1169" s="104">
        <f t="shared" si="59"/>
        <v>0</v>
      </c>
      <c r="S1169" s="104">
        <f t="shared" si="58"/>
        <v>0</v>
      </c>
      <c r="T1169" s="104">
        <f t="shared" si="60"/>
        <v>0</v>
      </c>
    </row>
    <row r="1170" spans="1:20">
      <c r="A1170" s="101"/>
      <c r="B1170" s="101"/>
      <c r="C1170" s="101"/>
      <c r="D1170" s="101"/>
      <c r="E1170" s="101"/>
      <c r="F1170" s="102"/>
      <c r="G1170" s="101"/>
      <c r="H1170" s="102"/>
      <c r="I1170" s="101"/>
      <c r="J1170" s="101"/>
      <c r="K1170" s="103"/>
      <c r="L1170" s="103"/>
      <c r="M1170" s="103"/>
      <c r="N1170" s="103"/>
      <c r="O1170" s="103"/>
      <c r="P1170" s="98"/>
      <c r="Q1170" s="99"/>
      <c r="R1170" s="105">
        <f t="shared" si="59"/>
        <v>0</v>
      </c>
      <c r="S1170" s="108">
        <f t="shared" si="58"/>
        <v>0</v>
      </c>
      <c r="T1170" s="105">
        <f t="shared" si="60"/>
        <v>0</v>
      </c>
    </row>
    <row r="1171" spans="1:20">
      <c r="A1171" s="101"/>
      <c r="B1171" s="101"/>
      <c r="C1171" s="101"/>
      <c r="D1171" s="101"/>
      <c r="E1171" s="101"/>
      <c r="F1171" s="102"/>
      <c r="G1171" s="101"/>
      <c r="H1171" s="102"/>
      <c r="I1171" s="101"/>
      <c r="J1171" s="101"/>
      <c r="K1171" s="103"/>
      <c r="L1171" s="103"/>
      <c r="M1171" s="103"/>
      <c r="N1171" s="103"/>
      <c r="O1171" s="103"/>
      <c r="P1171" s="98"/>
      <c r="Q1171" s="99"/>
      <c r="R1171" s="104">
        <f t="shared" si="59"/>
        <v>0</v>
      </c>
      <c r="S1171" s="104">
        <f t="shared" si="58"/>
        <v>0</v>
      </c>
      <c r="T1171" s="104">
        <f t="shared" si="60"/>
        <v>0</v>
      </c>
    </row>
    <row r="1172" spans="1:20">
      <c r="A1172" s="101"/>
      <c r="B1172" s="101"/>
      <c r="C1172" s="101"/>
      <c r="D1172" s="101"/>
      <c r="E1172" s="101"/>
      <c r="F1172" s="102"/>
      <c r="G1172" s="101"/>
      <c r="H1172" s="102"/>
      <c r="I1172" s="101"/>
      <c r="J1172" s="101"/>
      <c r="K1172" s="103"/>
      <c r="L1172" s="103"/>
      <c r="M1172" s="103"/>
      <c r="N1172" s="103"/>
      <c r="O1172" s="103"/>
      <c r="P1172" s="98"/>
      <c r="Q1172" s="99"/>
      <c r="R1172" s="105">
        <f t="shared" si="59"/>
        <v>0</v>
      </c>
      <c r="S1172" s="108">
        <f t="shared" si="58"/>
        <v>0</v>
      </c>
      <c r="T1172" s="105">
        <f t="shared" si="60"/>
        <v>0</v>
      </c>
    </row>
    <row r="1173" spans="1:20">
      <c r="A1173" s="101"/>
      <c r="B1173" s="101"/>
      <c r="C1173" s="101"/>
      <c r="D1173" s="101"/>
      <c r="E1173" s="101"/>
      <c r="F1173" s="102"/>
      <c r="G1173" s="101"/>
      <c r="H1173" s="102"/>
      <c r="I1173" s="101"/>
      <c r="J1173" s="101"/>
      <c r="K1173" s="103"/>
      <c r="L1173" s="103"/>
      <c r="M1173" s="103"/>
      <c r="N1173" s="103"/>
      <c r="O1173" s="103"/>
      <c r="P1173" s="98"/>
      <c r="Q1173" s="99"/>
      <c r="R1173" s="104">
        <f t="shared" si="59"/>
        <v>0</v>
      </c>
      <c r="S1173" s="104">
        <f t="shared" si="58"/>
        <v>0</v>
      </c>
      <c r="T1173" s="104">
        <f t="shared" si="60"/>
        <v>0</v>
      </c>
    </row>
    <row r="1174" spans="1:20">
      <c r="A1174" s="101"/>
      <c r="B1174" s="101"/>
      <c r="C1174" s="101"/>
      <c r="D1174" s="101"/>
      <c r="E1174" s="101"/>
      <c r="F1174" s="102"/>
      <c r="G1174" s="101"/>
      <c r="H1174" s="102"/>
      <c r="I1174" s="101"/>
      <c r="J1174" s="101"/>
      <c r="K1174" s="103"/>
      <c r="L1174" s="103"/>
      <c r="M1174" s="103"/>
      <c r="N1174" s="103"/>
      <c r="O1174" s="103"/>
      <c r="P1174" s="98"/>
      <c r="Q1174" s="99"/>
      <c r="R1174" s="105">
        <f t="shared" si="59"/>
        <v>0</v>
      </c>
      <c r="S1174" s="108">
        <f t="shared" si="58"/>
        <v>0</v>
      </c>
      <c r="T1174" s="105">
        <f t="shared" si="60"/>
        <v>0</v>
      </c>
    </row>
    <row r="1175" spans="1:20">
      <c r="A1175" s="101"/>
      <c r="B1175" s="101"/>
      <c r="C1175" s="101"/>
      <c r="D1175" s="101"/>
      <c r="E1175" s="101"/>
      <c r="F1175" s="102"/>
      <c r="G1175" s="101"/>
      <c r="H1175" s="102"/>
      <c r="I1175" s="101"/>
      <c r="J1175" s="101"/>
      <c r="K1175" s="103"/>
      <c r="L1175" s="103"/>
      <c r="M1175" s="103"/>
      <c r="N1175" s="103"/>
      <c r="O1175" s="103"/>
      <c r="P1175" s="98"/>
      <c r="Q1175" s="99"/>
      <c r="R1175" s="104">
        <f t="shared" si="59"/>
        <v>0</v>
      </c>
      <c r="S1175" s="104">
        <f t="shared" si="58"/>
        <v>0</v>
      </c>
      <c r="T1175" s="104">
        <f t="shared" si="60"/>
        <v>0</v>
      </c>
    </row>
    <row r="1176" spans="1:20">
      <c r="A1176" s="101"/>
      <c r="B1176" s="101"/>
      <c r="C1176" s="101"/>
      <c r="D1176" s="101"/>
      <c r="E1176" s="101"/>
      <c r="F1176" s="102"/>
      <c r="G1176" s="101"/>
      <c r="H1176" s="102"/>
      <c r="I1176" s="101"/>
      <c r="J1176" s="101"/>
      <c r="K1176" s="103"/>
      <c r="L1176" s="103"/>
      <c r="M1176" s="103"/>
      <c r="N1176" s="103"/>
      <c r="O1176" s="103"/>
      <c r="P1176" s="98"/>
      <c r="Q1176" s="99"/>
      <c r="R1176" s="105">
        <f t="shared" si="59"/>
        <v>0</v>
      </c>
      <c r="S1176" s="108">
        <f t="shared" si="58"/>
        <v>0</v>
      </c>
      <c r="T1176" s="105">
        <f t="shared" si="60"/>
        <v>0</v>
      </c>
    </row>
    <row r="1177" spans="1:20">
      <c r="A1177" s="101"/>
      <c r="B1177" s="101"/>
      <c r="C1177" s="101"/>
      <c r="D1177" s="101"/>
      <c r="E1177" s="101"/>
      <c r="F1177" s="102"/>
      <c r="G1177" s="101"/>
      <c r="H1177" s="102"/>
      <c r="I1177" s="101"/>
      <c r="J1177" s="101"/>
      <c r="K1177" s="103"/>
      <c r="L1177" s="103"/>
      <c r="M1177" s="103"/>
      <c r="N1177" s="103"/>
      <c r="O1177" s="103"/>
      <c r="P1177" s="98"/>
      <c r="Q1177" s="99"/>
      <c r="R1177" s="104">
        <f t="shared" si="59"/>
        <v>0</v>
      </c>
      <c r="S1177" s="104">
        <f t="shared" si="58"/>
        <v>0</v>
      </c>
      <c r="T1177" s="104">
        <f t="shared" si="60"/>
        <v>0</v>
      </c>
    </row>
    <row r="1178" spans="1:20">
      <c r="A1178" s="101"/>
      <c r="B1178" s="101"/>
      <c r="C1178" s="101"/>
      <c r="D1178" s="101"/>
      <c r="E1178" s="101"/>
      <c r="F1178" s="102"/>
      <c r="G1178" s="101"/>
      <c r="H1178" s="102"/>
      <c r="I1178" s="101"/>
      <c r="J1178" s="101"/>
      <c r="K1178" s="103"/>
      <c r="L1178" s="103"/>
      <c r="M1178" s="103"/>
      <c r="N1178" s="103"/>
      <c r="O1178" s="103"/>
      <c r="P1178" s="98"/>
      <c r="Q1178" s="99"/>
      <c r="R1178" s="105">
        <f t="shared" si="59"/>
        <v>0</v>
      </c>
      <c r="S1178" s="108">
        <f t="shared" si="58"/>
        <v>0</v>
      </c>
      <c r="T1178" s="105">
        <f t="shared" si="60"/>
        <v>0</v>
      </c>
    </row>
    <row r="1179" spans="1:20">
      <c r="A1179" s="101"/>
      <c r="B1179" s="101"/>
      <c r="C1179" s="101"/>
      <c r="D1179" s="101"/>
      <c r="E1179" s="101"/>
      <c r="F1179" s="102"/>
      <c r="G1179" s="101"/>
      <c r="H1179" s="102"/>
      <c r="I1179" s="101"/>
      <c r="J1179" s="101"/>
      <c r="K1179" s="103"/>
      <c r="L1179" s="103"/>
      <c r="M1179" s="103"/>
      <c r="N1179" s="103"/>
      <c r="O1179" s="103"/>
      <c r="P1179" s="98"/>
      <c r="Q1179" s="99"/>
      <c r="R1179" s="104">
        <f t="shared" si="59"/>
        <v>0</v>
      </c>
      <c r="S1179" s="104">
        <f t="shared" si="58"/>
        <v>0</v>
      </c>
      <c r="T1179" s="104">
        <f t="shared" si="60"/>
        <v>0</v>
      </c>
    </row>
    <row r="1180" spans="1:20">
      <c r="A1180" s="101"/>
      <c r="B1180" s="101"/>
      <c r="C1180" s="101"/>
      <c r="D1180" s="101"/>
      <c r="E1180" s="101"/>
      <c r="F1180" s="102"/>
      <c r="G1180" s="101"/>
      <c r="H1180" s="102"/>
      <c r="I1180" s="101"/>
      <c r="J1180" s="101"/>
      <c r="K1180" s="103"/>
      <c r="L1180" s="103"/>
      <c r="M1180" s="103"/>
      <c r="N1180" s="103"/>
      <c r="O1180" s="103"/>
      <c r="P1180" s="98"/>
      <c r="Q1180" s="99"/>
      <c r="R1180" s="105">
        <f t="shared" si="59"/>
        <v>0</v>
      </c>
      <c r="S1180" s="108">
        <f t="shared" si="58"/>
        <v>0</v>
      </c>
      <c r="T1180" s="105">
        <f t="shared" si="60"/>
        <v>0</v>
      </c>
    </row>
    <row r="1181" spans="1:20">
      <c r="A1181" s="101"/>
      <c r="B1181" s="101"/>
      <c r="C1181" s="101"/>
      <c r="D1181" s="101"/>
      <c r="E1181" s="101"/>
      <c r="F1181" s="102"/>
      <c r="G1181" s="101"/>
      <c r="H1181" s="102"/>
      <c r="I1181" s="101"/>
      <c r="J1181" s="101"/>
      <c r="K1181" s="103"/>
      <c r="L1181" s="103"/>
      <c r="M1181" s="103"/>
      <c r="N1181" s="103"/>
      <c r="O1181" s="103"/>
      <c r="P1181" s="98"/>
      <c r="Q1181" s="99"/>
      <c r="R1181" s="104">
        <f t="shared" si="59"/>
        <v>0</v>
      </c>
      <c r="S1181" s="104">
        <f t="shared" si="58"/>
        <v>0</v>
      </c>
      <c r="T1181" s="104">
        <f t="shared" si="60"/>
        <v>0</v>
      </c>
    </row>
    <row r="1182" spans="1:20">
      <c r="A1182" s="101"/>
      <c r="B1182" s="101"/>
      <c r="C1182" s="101"/>
      <c r="D1182" s="101"/>
      <c r="E1182" s="101"/>
      <c r="F1182" s="102"/>
      <c r="G1182" s="101"/>
      <c r="H1182" s="102"/>
      <c r="I1182" s="101"/>
      <c r="J1182" s="101"/>
      <c r="K1182" s="103"/>
      <c r="L1182" s="103"/>
      <c r="M1182" s="103"/>
      <c r="N1182" s="103"/>
      <c r="O1182" s="103"/>
      <c r="P1182" s="98"/>
      <c r="Q1182" s="99"/>
      <c r="R1182" s="105">
        <f t="shared" si="59"/>
        <v>0</v>
      </c>
      <c r="S1182" s="108">
        <f t="shared" si="58"/>
        <v>0</v>
      </c>
      <c r="T1182" s="105">
        <f t="shared" si="60"/>
        <v>0</v>
      </c>
    </row>
    <row r="1183" spans="1:20">
      <c r="A1183" s="101"/>
      <c r="B1183" s="101"/>
      <c r="C1183" s="101"/>
      <c r="D1183" s="101"/>
      <c r="E1183" s="101"/>
      <c r="F1183" s="102"/>
      <c r="G1183" s="101"/>
      <c r="H1183" s="102"/>
      <c r="I1183" s="101"/>
      <c r="J1183" s="101"/>
      <c r="K1183" s="103"/>
      <c r="L1183" s="103"/>
      <c r="M1183" s="103"/>
      <c r="N1183" s="103"/>
      <c r="O1183" s="103"/>
      <c r="P1183" s="98"/>
      <c r="Q1183" s="99"/>
      <c r="R1183" s="104">
        <f t="shared" si="59"/>
        <v>0</v>
      </c>
      <c r="S1183" s="104">
        <f t="shared" si="58"/>
        <v>0</v>
      </c>
      <c r="T1183" s="104">
        <f t="shared" si="60"/>
        <v>0</v>
      </c>
    </row>
    <row r="1184" spans="1:20">
      <c r="A1184" s="101"/>
      <c r="B1184" s="101"/>
      <c r="C1184" s="101"/>
      <c r="D1184" s="101"/>
      <c r="E1184" s="101"/>
      <c r="F1184" s="102"/>
      <c r="G1184" s="101"/>
      <c r="H1184" s="102"/>
      <c r="I1184" s="101"/>
      <c r="J1184" s="101"/>
      <c r="K1184" s="103"/>
      <c r="L1184" s="103"/>
      <c r="M1184" s="103"/>
      <c r="N1184" s="103"/>
      <c r="O1184" s="103"/>
      <c r="P1184" s="98"/>
      <c r="Q1184" s="99"/>
      <c r="R1184" s="105">
        <f t="shared" si="59"/>
        <v>0</v>
      </c>
      <c r="S1184" s="108">
        <f t="shared" si="58"/>
        <v>0</v>
      </c>
      <c r="T1184" s="105">
        <f t="shared" si="60"/>
        <v>0</v>
      </c>
    </row>
    <row r="1185" spans="1:20">
      <c r="A1185" s="101"/>
      <c r="B1185" s="101"/>
      <c r="C1185" s="101"/>
      <c r="D1185" s="101"/>
      <c r="E1185" s="101"/>
      <c r="F1185" s="102"/>
      <c r="G1185" s="101"/>
      <c r="H1185" s="102"/>
      <c r="I1185" s="101"/>
      <c r="J1185" s="101"/>
      <c r="K1185" s="103"/>
      <c r="L1185" s="103"/>
      <c r="M1185" s="103"/>
      <c r="N1185" s="103"/>
      <c r="O1185" s="103"/>
      <c r="P1185" s="98"/>
      <c r="Q1185" s="99"/>
      <c r="R1185" s="104">
        <f t="shared" si="59"/>
        <v>0</v>
      </c>
      <c r="S1185" s="104">
        <f t="shared" si="58"/>
        <v>0</v>
      </c>
      <c r="T1185" s="104">
        <f t="shared" si="60"/>
        <v>0</v>
      </c>
    </row>
    <row r="1186" spans="1:20">
      <c r="A1186" s="101"/>
      <c r="B1186" s="101"/>
      <c r="C1186" s="101"/>
      <c r="D1186" s="101"/>
      <c r="E1186" s="101"/>
      <c r="F1186" s="102"/>
      <c r="G1186" s="101"/>
      <c r="H1186" s="102"/>
      <c r="I1186" s="101"/>
      <c r="J1186" s="101"/>
      <c r="K1186" s="103"/>
      <c r="L1186" s="103"/>
      <c r="M1186" s="103"/>
      <c r="N1186" s="103"/>
      <c r="O1186" s="103"/>
      <c r="P1186" s="98"/>
      <c r="Q1186" s="99"/>
      <c r="R1186" s="105">
        <f t="shared" si="59"/>
        <v>0</v>
      </c>
      <c r="S1186" s="108">
        <f t="shared" si="58"/>
        <v>0</v>
      </c>
      <c r="T1186" s="105">
        <f t="shared" si="60"/>
        <v>0</v>
      </c>
    </row>
    <row r="1187" spans="1:20">
      <c r="A1187" s="101"/>
      <c r="B1187" s="101"/>
      <c r="C1187" s="101"/>
      <c r="D1187" s="101"/>
      <c r="E1187" s="101"/>
      <c r="F1187" s="102"/>
      <c r="G1187" s="101"/>
      <c r="H1187" s="102"/>
      <c r="I1187" s="101"/>
      <c r="J1187" s="101"/>
      <c r="K1187" s="103"/>
      <c r="L1187" s="103"/>
      <c r="M1187" s="103"/>
      <c r="N1187" s="103"/>
      <c r="O1187" s="103"/>
      <c r="P1187" s="98"/>
      <c r="Q1187" s="99"/>
      <c r="R1187" s="104">
        <f t="shared" si="59"/>
        <v>0</v>
      </c>
      <c r="S1187" s="104">
        <f t="shared" si="58"/>
        <v>0</v>
      </c>
      <c r="T1187" s="104">
        <f t="shared" si="60"/>
        <v>0</v>
      </c>
    </row>
    <row r="1188" spans="1:20">
      <c r="A1188" s="101"/>
      <c r="B1188" s="101"/>
      <c r="C1188" s="101"/>
      <c r="D1188" s="101"/>
      <c r="E1188" s="101"/>
      <c r="F1188" s="102"/>
      <c r="G1188" s="101"/>
      <c r="H1188" s="102"/>
      <c r="I1188" s="101"/>
      <c r="J1188" s="101"/>
      <c r="K1188" s="103"/>
      <c r="L1188" s="103"/>
      <c r="M1188" s="103"/>
      <c r="N1188" s="103"/>
      <c r="O1188" s="103"/>
      <c r="P1188" s="98"/>
      <c r="Q1188" s="99"/>
      <c r="R1188" s="105">
        <f t="shared" si="59"/>
        <v>0</v>
      </c>
      <c r="S1188" s="108">
        <f t="shared" si="58"/>
        <v>0</v>
      </c>
      <c r="T1188" s="105">
        <f t="shared" si="60"/>
        <v>0</v>
      </c>
    </row>
    <row r="1189" spans="1:20">
      <c r="A1189" s="101"/>
      <c r="B1189" s="101"/>
      <c r="C1189" s="101"/>
      <c r="D1189" s="101"/>
      <c r="E1189" s="101"/>
      <c r="F1189" s="102"/>
      <c r="G1189" s="101"/>
      <c r="H1189" s="102"/>
      <c r="I1189" s="101"/>
      <c r="J1189" s="101"/>
      <c r="K1189" s="103"/>
      <c r="L1189" s="103"/>
      <c r="M1189" s="103"/>
      <c r="N1189" s="103"/>
      <c r="O1189" s="103"/>
      <c r="P1189" s="98"/>
      <c r="Q1189" s="99"/>
      <c r="R1189" s="104">
        <f t="shared" si="59"/>
        <v>0</v>
      </c>
      <c r="S1189" s="104">
        <f t="shared" si="58"/>
        <v>0</v>
      </c>
      <c r="T1189" s="104">
        <f t="shared" si="60"/>
        <v>0</v>
      </c>
    </row>
    <row r="1190" spans="1:20">
      <c r="A1190" s="101"/>
      <c r="B1190" s="101"/>
      <c r="C1190" s="101"/>
      <c r="D1190" s="101"/>
      <c r="E1190" s="101"/>
      <c r="F1190" s="102"/>
      <c r="G1190" s="101"/>
      <c r="H1190" s="102"/>
      <c r="I1190" s="101"/>
      <c r="J1190" s="101"/>
      <c r="K1190" s="103"/>
      <c r="L1190" s="103"/>
      <c r="M1190" s="103"/>
      <c r="N1190" s="103"/>
      <c r="O1190" s="103"/>
      <c r="P1190" s="98"/>
      <c r="Q1190" s="99"/>
      <c r="R1190" s="105">
        <f t="shared" si="59"/>
        <v>0</v>
      </c>
      <c r="S1190" s="108">
        <f t="shared" si="58"/>
        <v>0</v>
      </c>
      <c r="T1190" s="105">
        <f t="shared" si="60"/>
        <v>0</v>
      </c>
    </row>
    <row r="1191" spans="1:20">
      <c r="A1191" s="101"/>
      <c r="B1191" s="101"/>
      <c r="C1191" s="101"/>
      <c r="D1191" s="101"/>
      <c r="E1191" s="101"/>
      <c r="F1191" s="102"/>
      <c r="G1191" s="101"/>
      <c r="H1191" s="102"/>
      <c r="I1191" s="101"/>
      <c r="J1191" s="101"/>
      <c r="K1191" s="103"/>
      <c r="L1191" s="103"/>
      <c r="M1191" s="103"/>
      <c r="N1191" s="103"/>
      <c r="O1191" s="103"/>
      <c r="P1191" s="98"/>
      <c r="Q1191" s="99"/>
      <c r="R1191" s="104">
        <f t="shared" si="59"/>
        <v>0</v>
      </c>
      <c r="S1191" s="104">
        <f t="shared" si="58"/>
        <v>0</v>
      </c>
      <c r="T1191" s="104">
        <f t="shared" si="60"/>
        <v>0</v>
      </c>
    </row>
    <row r="1192" spans="1:20">
      <c r="A1192" s="101"/>
      <c r="B1192" s="101"/>
      <c r="C1192" s="101"/>
      <c r="D1192" s="101"/>
      <c r="E1192" s="101"/>
      <c r="F1192" s="102"/>
      <c r="G1192" s="101"/>
      <c r="H1192" s="102"/>
      <c r="I1192" s="101"/>
      <c r="J1192" s="101"/>
      <c r="K1192" s="103"/>
      <c r="L1192" s="103"/>
      <c r="M1192" s="103"/>
      <c r="N1192" s="103"/>
      <c r="O1192" s="103"/>
      <c r="P1192" s="98"/>
      <c r="Q1192" s="99"/>
      <c r="R1192" s="105">
        <f t="shared" si="59"/>
        <v>0</v>
      </c>
      <c r="S1192" s="108">
        <f t="shared" si="58"/>
        <v>0</v>
      </c>
      <c r="T1192" s="105">
        <f t="shared" si="60"/>
        <v>0</v>
      </c>
    </row>
    <row r="1193" spans="1:20">
      <c r="A1193" s="101"/>
      <c r="B1193" s="101"/>
      <c r="C1193" s="101"/>
      <c r="D1193" s="101"/>
      <c r="E1193" s="101"/>
      <c r="F1193" s="102"/>
      <c r="G1193" s="101"/>
      <c r="H1193" s="102"/>
      <c r="I1193" s="101"/>
      <c r="J1193" s="101"/>
      <c r="K1193" s="103"/>
      <c r="L1193" s="103"/>
      <c r="M1193" s="103"/>
      <c r="N1193" s="103"/>
      <c r="O1193" s="103"/>
      <c r="P1193" s="98"/>
      <c r="Q1193" s="99"/>
      <c r="R1193" s="104">
        <f t="shared" si="59"/>
        <v>0</v>
      </c>
      <c r="S1193" s="104">
        <f t="shared" si="58"/>
        <v>0</v>
      </c>
      <c r="T1193" s="104">
        <f t="shared" si="60"/>
        <v>0</v>
      </c>
    </row>
    <row r="1194" spans="1:20">
      <c r="A1194" s="101"/>
      <c r="B1194" s="101"/>
      <c r="C1194" s="101"/>
      <c r="D1194" s="101"/>
      <c r="E1194" s="101"/>
      <c r="F1194" s="102"/>
      <c r="G1194" s="101"/>
      <c r="H1194" s="102"/>
      <c r="I1194" s="101"/>
      <c r="J1194" s="101"/>
      <c r="K1194" s="103"/>
      <c r="L1194" s="103"/>
      <c r="M1194" s="103"/>
      <c r="N1194" s="103"/>
      <c r="O1194" s="103"/>
      <c r="P1194" s="98"/>
      <c r="Q1194" s="99"/>
      <c r="R1194" s="105">
        <f t="shared" si="59"/>
        <v>0</v>
      </c>
      <c r="S1194" s="108">
        <f t="shared" si="58"/>
        <v>0</v>
      </c>
      <c r="T1194" s="105">
        <f t="shared" si="60"/>
        <v>0</v>
      </c>
    </row>
    <row r="1195" spans="1:20">
      <c r="A1195" s="101"/>
      <c r="B1195" s="101"/>
      <c r="C1195" s="101"/>
      <c r="D1195" s="101"/>
      <c r="E1195" s="101"/>
      <c r="F1195" s="102"/>
      <c r="G1195" s="101"/>
      <c r="H1195" s="102"/>
      <c r="I1195" s="101"/>
      <c r="J1195" s="101"/>
      <c r="K1195" s="103"/>
      <c r="L1195" s="103"/>
      <c r="M1195" s="103"/>
      <c r="N1195" s="103"/>
      <c r="O1195" s="103"/>
      <c r="P1195" s="98"/>
      <c r="Q1195" s="99"/>
      <c r="R1195" s="104">
        <f t="shared" si="59"/>
        <v>0</v>
      </c>
      <c r="S1195" s="104">
        <f t="shared" si="58"/>
        <v>0</v>
      </c>
      <c r="T1195" s="104">
        <f t="shared" si="60"/>
        <v>0</v>
      </c>
    </row>
    <row r="1196" spans="1:20">
      <c r="A1196" s="101"/>
      <c r="B1196" s="101"/>
      <c r="C1196" s="101"/>
      <c r="D1196" s="101"/>
      <c r="E1196" s="101"/>
      <c r="F1196" s="102"/>
      <c r="G1196" s="101"/>
      <c r="H1196" s="102"/>
      <c r="I1196" s="101"/>
      <c r="J1196" s="101"/>
      <c r="K1196" s="103"/>
      <c r="L1196" s="103"/>
      <c r="M1196" s="103"/>
      <c r="N1196" s="103"/>
      <c r="O1196" s="103"/>
      <c r="P1196" s="98"/>
      <c r="Q1196" s="99"/>
      <c r="R1196" s="105">
        <f t="shared" si="59"/>
        <v>0</v>
      </c>
      <c r="S1196" s="108">
        <f t="shared" si="58"/>
        <v>0</v>
      </c>
      <c r="T1196" s="105">
        <f t="shared" si="60"/>
        <v>0</v>
      </c>
    </row>
    <row r="1197" spans="1:20">
      <c r="A1197" s="101"/>
      <c r="B1197" s="101"/>
      <c r="C1197" s="101"/>
      <c r="D1197" s="101"/>
      <c r="E1197" s="101"/>
      <c r="F1197" s="102"/>
      <c r="G1197" s="101"/>
      <c r="H1197" s="102"/>
      <c r="I1197" s="101"/>
      <c r="J1197" s="101"/>
      <c r="K1197" s="103"/>
      <c r="L1197" s="103"/>
      <c r="M1197" s="103"/>
      <c r="N1197" s="103"/>
      <c r="O1197" s="103"/>
      <c r="P1197" s="98"/>
      <c r="Q1197" s="99"/>
      <c r="R1197" s="104">
        <f t="shared" si="59"/>
        <v>0</v>
      </c>
      <c r="S1197" s="104">
        <f t="shared" si="58"/>
        <v>0</v>
      </c>
      <c r="T1197" s="104">
        <f t="shared" si="60"/>
        <v>0</v>
      </c>
    </row>
    <row r="1198" spans="1:20">
      <c r="A1198" s="101"/>
      <c r="B1198" s="101"/>
      <c r="C1198" s="101"/>
      <c r="D1198" s="101"/>
      <c r="E1198" s="101"/>
      <c r="F1198" s="102"/>
      <c r="G1198" s="101"/>
      <c r="H1198" s="102"/>
      <c r="I1198" s="101"/>
      <c r="J1198" s="101"/>
      <c r="K1198" s="103"/>
      <c r="L1198" s="103"/>
      <c r="M1198" s="103"/>
      <c r="N1198" s="103"/>
      <c r="O1198" s="103"/>
      <c r="P1198" s="98"/>
      <c r="Q1198" s="99"/>
      <c r="R1198" s="105">
        <f t="shared" si="59"/>
        <v>0</v>
      </c>
      <c r="S1198" s="108">
        <f t="shared" si="58"/>
        <v>0</v>
      </c>
      <c r="T1198" s="105">
        <f t="shared" si="60"/>
        <v>0</v>
      </c>
    </row>
    <row r="1199" spans="1:20">
      <c r="A1199" s="101"/>
      <c r="B1199" s="101"/>
      <c r="C1199" s="101"/>
      <c r="D1199" s="101"/>
      <c r="E1199" s="101"/>
      <c r="F1199" s="102"/>
      <c r="G1199" s="101"/>
      <c r="H1199" s="102"/>
      <c r="I1199" s="101"/>
      <c r="J1199" s="101"/>
      <c r="K1199" s="103"/>
      <c r="L1199" s="103"/>
      <c r="M1199" s="103"/>
      <c r="N1199" s="103"/>
      <c r="O1199" s="103"/>
      <c r="P1199" s="98"/>
      <c r="Q1199" s="99"/>
      <c r="R1199" s="104">
        <f t="shared" si="59"/>
        <v>0</v>
      </c>
      <c r="S1199" s="104">
        <f t="shared" si="58"/>
        <v>0</v>
      </c>
      <c r="T1199" s="104">
        <f t="shared" si="60"/>
        <v>0</v>
      </c>
    </row>
    <row r="1200" spans="1:20">
      <c r="A1200" s="101"/>
      <c r="B1200" s="101"/>
      <c r="C1200" s="101"/>
      <c r="D1200" s="101"/>
      <c r="E1200" s="101"/>
      <c r="F1200" s="102"/>
      <c r="G1200" s="101"/>
      <c r="H1200" s="102"/>
      <c r="I1200" s="101"/>
      <c r="J1200" s="101"/>
      <c r="K1200" s="103"/>
      <c r="L1200" s="103"/>
      <c r="M1200" s="103"/>
      <c r="N1200" s="103"/>
      <c r="O1200" s="103"/>
      <c r="P1200" s="98"/>
      <c r="Q1200" s="99"/>
      <c r="R1200" s="105">
        <f t="shared" si="59"/>
        <v>0</v>
      </c>
      <c r="S1200" s="108">
        <f t="shared" si="58"/>
        <v>0</v>
      </c>
      <c r="T1200" s="105">
        <f t="shared" si="60"/>
        <v>0</v>
      </c>
    </row>
    <row r="1201" spans="1:20">
      <c r="A1201" s="101"/>
      <c r="B1201" s="101"/>
      <c r="C1201" s="101"/>
      <c r="D1201" s="101"/>
      <c r="E1201" s="101"/>
      <c r="F1201" s="102"/>
      <c r="G1201" s="101"/>
      <c r="H1201" s="102"/>
      <c r="I1201" s="101"/>
      <c r="J1201" s="101"/>
      <c r="K1201" s="103"/>
      <c r="L1201" s="103"/>
      <c r="M1201" s="103"/>
      <c r="N1201" s="103"/>
      <c r="O1201" s="103"/>
      <c r="P1201" s="98"/>
      <c r="Q1201" s="99"/>
      <c r="R1201" s="104">
        <f t="shared" si="59"/>
        <v>0</v>
      </c>
      <c r="S1201" s="104">
        <f t="shared" si="58"/>
        <v>0</v>
      </c>
      <c r="T1201" s="104">
        <f t="shared" si="60"/>
        <v>0</v>
      </c>
    </row>
    <row r="1202" spans="1:20">
      <c r="A1202" s="101"/>
      <c r="B1202" s="101"/>
      <c r="C1202" s="101"/>
      <c r="D1202" s="101"/>
      <c r="E1202" s="101"/>
      <c r="F1202" s="102"/>
      <c r="G1202" s="101"/>
      <c r="H1202" s="102"/>
      <c r="I1202" s="101"/>
      <c r="J1202" s="101"/>
      <c r="K1202" s="103"/>
      <c r="L1202" s="103"/>
      <c r="M1202" s="103"/>
      <c r="N1202" s="103"/>
      <c r="O1202" s="103"/>
      <c r="P1202" s="98"/>
      <c r="Q1202" s="99"/>
      <c r="R1202" s="105">
        <f t="shared" si="59"/>
        <v>0</v>
      </c>
      <c r="S1202" s="108">
        <f t="shared" si="58"/>
        <v>0</v>
      </c>
      <c r="T1202" s="105">
        <f t="shared" si="60"/>
        <v>0</v>
      </c>
    </row>
    <row r="1203" spans="1:20">
      <c r="A1203" s="101"/>
      <c r="B1203" s="101"/>
      <c r="C1203" s="101"/>
      <c r="D1203" s="101"/>
      <c r="E1203" s="101"/>
      <c r="F1203" s="102"/>
      <c r="G1203" s="101"/>
      <c r="H1203" s="102"/>
      <c r="I1203" s="101"/>
      <c r="J1203" s="101"/>
      <c r="K1203" s="103"/>
      <c r="L1203" s="103"/>
      <c r="M1203" s="103"/>
      <c r="N1203" s="103"/>
      <c r="O1203" s="103"/>
      <c r="P1203" s="98"/>
      <c r="Q1203" s="99"/>
      <c r="R1203" s="104">
        <f t="shared" si="59"/>
        <v>0</v>
      </c>
      <c r="S1203" s="104">
        <f t="shared" si="58"/>
        <v>0</v>
      </c>
      <c r="T1203" s="104">
        <f t="shared" si="60"/>
        <v>0</v>
      </c>
    </row>
    <row r="1204" spans="1:20">
      <c r="A1204" s="101"/>
      <c r="B1204" s="101"/>
      <c r="C1204" s="101"/>
      <c r="D1204" s="101"/>
      <c r="E1204" s="101"/>
      <c r="F1204" s="102"/>
      <c r="G1204" s="101"/>
      <c r="H1204" s="102"/>
      <c r="I1204" s="101"/>
      <c r="J1204" s="101"/>
      <c r="K1204" s="103"/>
      <c r="L1204" s="103"/>
      <c r="M1204" s="103"/>
      <c r="N1204" s="103"/>
      <c r="O1204" s="103"/>
      <c r="P1204" s="98"/>
      <c r="Q1204" s="99"/>
      <c r="R1204" s="105">
        <f t="shared" si="59"/>
        <v>0</v>
      </c>
      <c r="S1204" s="108">
        <f t="shared" si="58"/>
        <v>0</v>
      </c>
      <c r="T1204" s="105">
        <f t="shared" si="60"/>
        <v>0</v>
      </c>
    </row>
    <row r="1205" spans="1:20">
      <c r="A1205" s="101"/>
      <c r="B1205" s="101"/>
      <c r="C1205" s="101"/>
      <c r="D1205" s="101"/>
      <c r="E1205" s="101"/>
      <c r="F1205" s="102"/>
      <c r="G1205" s="101"/>
      <c r="H1205" s="102"/>
      <c r="I1205" s="101"/>
      <c r="J1205" s="101"/>
      <c r="K1205" s="103"/>
      <c r="L1205" s="103"/>
      <c r="M1205" s="103"/>
      <c r="N1205" s="103"/>
      <c r="O1205" s="103"/>
      <c r="P1205" s="98"/>
      <c r="Q1205" s="99"/>
      <c r="R1205" s="104">
        <f t="shared" si="59"/>
        <v>0</v>
      </c>
      <c r="S1205" s="104">
        <f t="shared" si="58"/>
        <v>0</v>
      </c>
      <c r="T1205" s="104">
        <f t="shared" si="60"/>
        <v>0</v>
      </c>
    </row>
    <row r="1206" spans="1:20">
      <c r="A1206" s="101"/>
      <c r="B1206" s="101"/>
      <c r="C1206" s="101"/>
      <c r="D1206" s="101"/>
      <c r="E1206" s="101"/>
      <c r="F1206" s="102"/>
      <c r="G1206" s="101"/>
      <c r="H1206" s="102"/>
      <c r="I1206" s="101"/>
      <c r="J1206" s="101"/>
      <c r="K1206" s="103"/>
      <c r="L1206" s="103"/>
      <c r="M1206" s="103"/>
      <c r="N1206" s="103"/>
      <c r="O1206" s="103"/>
      <c r="P1206" s="98"/>
      <c r="Q1206" s="99"/>
      <c r="R1206" s="105">
        <f t="shared" si="59"/>
        <v>0</v>
      </c>
      <c r="S1206" s="108">
        <f t="shared" si="58"/>
        <v>0</v>
      </c>
      <c r="T1206" s="105">
        <f t="shared" si="60"/>
        <v>0</v>
      </c>
    </row>
    <row r="1207" spans="1:20">
      <c r="A1207" s="101"/>
      <c r="B1207" s="101"/>
      <c r="C1207" s="101"/>
      <c r="D1207" s="101"/>
      <c r="E1207" s="101"/>
      <c r="F1207" s="102"/>
      <c r="G1207" s="101"/>
      <c r="H1207" s="102"/>
      <c r="I1207" s="101"/>
      <c r="J1207" s="101"/>
      <c r="K1207" s="103"/>
      <c r="L1207" s="103"/>
      <c r="M1207" s="103"/>
      <c r="N1207" s="103"/>
      <c r="O1207" s="103"/>
      <c r="P1207" s="98"/>
      <c r="Q1207" s="99"/>
      <c r="R1207" s="104">
        <f t="shared" si="59"/>
        <v>0</v>
      </c>
      <c r="S1207" s="104">
        <f t="shared" si="58"/>
        <v>0</v>
      </c>
      <c r="T1207" s="104">
        <f t="shared" si="60"/>
        <v>0</v>
      </c>
    </row>
    <row r="1208" spans="1:20">
      <c r="A1208" s="101"/>
      <c r="B1208" s="101"/>
      <c r="C1208" s="101"/>
      <c r="D1208" s="101"/>
      <c r="E1208" s="101"/>
      <c r="F1208" s="102"/>
      <c r="G1208" s="101"/>
      <c r="H1208" s="102"/>
      <c r="I1208" s="101"/>
      <c r="J1208" s="101"/>
      <c r="K1208" s="103"/>
      <c r="L1208" s="103"/>
      <c r="M1208" s="103"/>
      <c r="N1208" s="103"/>
      <c r="O1208" s="103"/>
      <c r="P1208" s="98"/>
      <c r="Q1208" s="99"/>
      <c r="R1208" s="105">
        <f t="shared" si="59"/>
        <v>0</v>
      </c>
      <c r="S1208" s="108">
        <f t="shared" si="58"/>
        <v>0</v>
      </c>
      <c r="T1208" s="105">
        <f t="shared" si="60"/>
        <v>0</v>
      </c>
    </row>
    <row r="1209" spans="1:20">
      <c r="A1209" s="101"/>
      <c r="B1209" s="101"/>
      <c r="C1209" s="101"/>
      <c r="D1209" s="101"/>
      <c r="E1209" s="101"/>
      <c r="F1209" s="102"/>
      <c r="G1209" s="101"/>
      <c r="H1209" s="102"/>
      <c r="I1209" s="101"/>
      <c r="J1209" s="101"/>
      <c r="K1209" s="103"/>
      <c r="L1209" s="103"/>
      <c r="M1209" s="103"/>
      <c r="N1209" s="103"/>
      <c r="O1209" s="103"/>
      <c r="P1209" s="98"/>
      <c r="Q1209" s="99"/>
      <c r="R1209" s="104">
        <f t="shared" si="59"/>
        <v>0</v>
      </c>
      <c r="S1209" s="104">
        <f t="shared" si="58"/>
        <v>0</v>
      </c>
      <c r="T1209" s="104">
        <f t="shared" si="60"/>
        <v>0</v>
      </c>
    </row>
    <row r="1210" spans="1:20">
      <c r="A1210" s="101"/>
      <c r="B1210" s="101"/>
      <c r="C1210" s="101"/>
      <c r="D1210" s="101"/>
      <c r="E1210" s="101"/>
      <c r="F1210" s="102"/>
      <c r="G1210" s="101"/>
      <c r="H1210" s="102"/>
      <c r="I1210" s="101"/>
      <c r="J1210" s="101"/>
      <c r="K1210" s="103"/>
      <c r="L1210" s="103"/>
      <c r="M1210" s="103"/>
      <c r="N1210" s="103"/>
      <c r="O1210" s="103"/>
      <c r="P1210" s="98"/>
      <c r="Q1210" s="99"/>
      <c r="R1210" s="105">
        <f t="shared" si="59"/>
        <v>0</v>
      </c>
      <c r="S1210" s="108">
        <f t="shared" si="58"/>
        <v>0</v>
      </c>
      <c r="T1210" s="105">
        <f t="shared" si="60"/>
        <v>0</v>
      </c>
    </row>
    <row r="1211" spans="1:20">
      <c r="A1211" s="101"/>
      <c r="B1211" s="101"/>
      <c r="C1211" s="101"/>
      <c r="D1211" s="101"/>
      <c r="E1211" s="101"/>
      <c r="F1211" s="102"/>
      <c r="G1211" s="101"/>
      <c r="H1211" s="102"/>
      <c r="I1211" s="101"/>
      <c r="J1211" s="101"/>
      <c r="K1211" s="103"/>
      <c r="L1211" s="103"/>
      <c r="M1211" s="103"/>
      <c r="N1211" s="103"/>
      <c r="O1211" s="103"/>
      <c r="P1211" s="98"/>
      <c r="Q1211" s="99"/>
      <c r="R1211" s="104">
        <f t="shared" si="59"/>
        <v>0</v>
      </c>
      <c r="S1211" s="104">
        <f t="shared" si="58"/>
        <v>0</v>
      </c>
      <c r="T1211" s="104">
        <f t="shared" si="60"/>
        <v>0</v>
      </c>
    </row>
    <row r="1212" spans="1:20">
      <c r="A1212" s="101"/>
      <c r="B1212" s="101"/>
      <c r="C1212" s="101"/>
      <c r="D1212" s="101"/>
      <c r="E1212" s="101"/>
      <c r="F1212" s="102"/>
      <c r="G1212" s="101"/>
      <c r="H1212" s="102"/>
      <c r="I1212" s="101"/>
      <c r="J1212" s="101"/>
      <c r="K1212" s="103"/>
      <c r="L1212" s="103"/>
      <c r="M1212" s="103"/>
      <c r="N1212" s="103"/>
      <c r="O1212" s="103"/>
      <c r="P1212" s="98"/>
      <c r="Q1212" s="99"/>
      <c r="R1212" s="105">
        <f t="shared" si="59"/>
        <v>0</v>
      </c>
      <c r="S1212" s="108">
        <f t="shared" si="58"/>
        <v>0</v>
      </c>
      <c r="T1212" s="105">
        <f t="shared" si="60"/>
        <v>0</v>
      </c>
    </row>
    <row r="1213" spans="1:20">
      <c r="A1213" s="101"/>
      <c r="B1213" s="101"/>
      <c r="C1213" s="101"/>
      <c r="D1213" s="101"/>
      <c r="E1213" s="101"/>
      <c r="F1213" s="102"/>
      <c r="G1213" s="101"/>
      <c r="H1213" s="102"/>
      <c r="I1213" s="101"/>
      <c r="J1213" s="101"/>
      <c r="K1213" s="103"/>
      <c r="L1213" s="103"/>
      <c r="M1213" s="103"/>
      <c r="N1213" s="103"/>
      <c r="O1213" s="103"/>
      <c r="P1213" s="98"/>
      <c r="Q1213" s="99"/>
      <c r="R1213" s="104">
        <f t="shared" si="59"/>
        <v>0</v>
      </c>
      <c r="S1213" s="104">
        <f t="shared" si="58"/>
        <v>0</v>
      </c>
      <c r="T1213" s="104">
        <f t="shared" si="60"/>
        <v>0</v>
      </c>
    </row>
    <row r="1214" spans="1:20">
      <c r="A1214" s="101"/>
      <c r="B1214" s="101"/>
      <c r="C1214" s="101"/>
      <c r="D1214" s="101"/>
      <c r="E1214" s="101"/>
      <c r="F1214" s="102"/>
      <c r="G1214" s="101"/>
      <c r="H1214" s="102"/>
      <c r="I1214" s="101"/>
      <c r="J1214" s="101"/>
      <c r="K1214" s="103"/>
      <c r="L1214" s="103"/>
      <c r="M1214" s="103"/>
      <c r="N1214" s="103"/>
      <c r="O1214" s="103"/>
      <c r="P1214" s="98"/>
      <c r="Q1214" s="99"/>
      <c r="R1214" s="105">
        <f t="shared" si="59"/>
        <v>0</v>
      </c>
      <c r="S1214" s="108">
        <f t="shared" si="58"/>
        <v>0</v>
      </c>
      <c r="T1214" s="105">
        <f t="shared" si="60"/>
        <v>0</v>
      </c>
    </row>
    <row r="1215" spans="1:20">
      <c r="A1215" s="101"/>
      <c r="B1215" s="101"/>
      <c r="C1215" s="101"/>
      <c r="D1215" s="101"/>
      <c r="E1215" s="101"/>
      <c r="F1215" s="102"/>
      <c r="G1215" s="101"/>
      <c r="H1215" s="102"/>
      <c r="I1215" s="101"/>
      <c r="J1215" s="101"/>
      <c r="K1215" s="103"/>
      <c r="L1215" s="103"/>
      <c r="M1215" s="103"/>
      <c r="N1215" s="103"/>
      <c r="O1215" s="103"/>
      <c r="P1215" s="98"/>
      <c r="Q1215" s="99"/>
      <c r="R1215" s="104">
        <f t="shared" si="59"/>
        <v>0</v>
      </c>
      <c r="S1215" s="104">
        <f t="shared" si="58"/>
        <v>0</v>
      </c>
      <c r="T1215" s="104">
        <f t="shared" si="60"/>
        <v>0</v>
      </c>
    </row>
    <row r="1216" spans="1:20">
      <c r="A1216" s="101"/>
      <c r="B1216" s="101"/>
      <c r="C1216" s="101"/>
      <c r="D1216" s="101"/>
      <c r="E1216" s="101"/>
      <c r="F1216" s="102"/>
      <c r="G1216" s="101"/>
      <c r="H1216" s="102"/>
      <c r="I1216" s="101"/>
      <c r="J1216" s="101"/>
      <c r="K1216" s="103"/>
      <c r="L1216" s="103"/>
      <c r="M1216" s="103"/>
      <c r="N1216" s="103"/>
      <c r="O1216" s="103"/>
      <c r="P1216" s="98"/>
      <c r="Q1216" s="99"/>
      <c r="R1216" s="105">
        <f t="shared" si="59"/>
        <v>0</v>
      </c>
      <c r="S1216" s="108">
        <f t="shared" si="58"/>
        <v>0</v>
      </c>
      <c r="T1216" s="105">
        <f t="shared" si="60"/>
        <v>0</v>
      </c>
    </row>
    <row r="1217" spans="1:20">
      <c r="A1217" s="101"/>
      <c r="B1217" s="101"/>
      <c r="C1217" s="101"/>
      <c r="D1217" s="101"/>
      <c r="E1217" s="101"/>
      <c r="F1217" s="102"/>
      <c r="G1217" s="101"/>
      <c r="H1217" s="102"/>
      <c r="I1217" s="101"/>
      <c r="J1217" s="101"/>
      <c r="K1217" s="103"/>
      <c r="L1217" s="103"/>
      <c r="M1217" s="103"/>
      <c r="N1217" s="103"/>
      <c r="O1217" s="103"/>
      <c r="P1217" s="98"/>
      <c r="Q1217" s="99"/>
      <c r="R1217" s="104">
        <f t="shared" si="59"/>
        <v>0</v>
      </c>
      <c r="S1217" s="104">
        <f t="shared" si="58"/>
        <v>0</v>
      </c>
      <c r="T1217" s="104">
        <f t="shared" si="60"/>
        <v>0</v>
      </c>
    </row>
    <row r="1218" spans="1:20">
      <c r="A1218" s="101"/>
      <c r="B1218" s="101"/>
      <c r="C1218" s="101"/>
      <c r="D1218" s="101"/>
      <c r="E1218" s="101"/>
      <c r="F1218" s="102"/>
      <c r="G1218" s="101"/>
      <c r="H1218" s="102"/>
      <c r="I1218" s="101"/>
      <c r="J1218" s="101"/>
      <c r="K1218" s="103"/>
      <c r="L1218" s="103"/>
      <c r="M1218" s="103"/>
      <c r="N1218" s="103"/>
      <c r="O1218" s="103"/>
      <c r="P1218" s="98"/>
      <c r="Q1218" s="99"/>
      <c r="R1218" s="105">
        <f t="shared" si="59"/>
        <v>0</v>
      </c>
      <c r="S1218" s="108">
        <f t="shared" si="58"/>
        <v>0</v>
      </c>
      <c r="T1218" s="105">
        <f t="shared" si="60"/>
        <v>0</v>
      </c>
    </row>
    <row r="1219" spans="1:20">
      <c r="A1219" s="101"/>
      <c r="B1219" s="101"/>
      <c r="C1219" s="101"/>
      <c r="D1219" s="101"/>
      <c r="E1219" s="101"/>
      <c r="F1219" s="102"/>
      <c r="G1219" s="101"/>
      <c r="H1219" s="102"/>
      <c r="I1219" s="101"/>
      <c r="J1219" s="101"/>
      <c r="K1219" s="103"/>
      <c r="L1219" s="103"/>
      <c r="M1219" s="103"/>
      <c r="N1219" s="103"/>
      <c r="O1219" s="103"/>
      <c r="P1219" s="98"/>
      <c r="Q1219" s="99"/>
      <c r="R1219" s="104">
        <f t="shared" si="59"/>
        <v>0</v>
      </c>
      <c r="S1219" s="104">
        <f t="shared" si="58"/>
        <v>0</v>
      </c>
      <c r="T1219" s="104">
        <f t="shared" si="60"/>
        <v>0</v>
      </c>
    </row>
    <row r="1220" spans="1:20">
      <c r="A1220" s="101"/>
      <c r="B1220" s="101"/>
      <c r="C1220" s="101"/>
      <c r="D1220" s="101"/>
      <c r="E1220" s="101"/>
      <c r="F1220" s="102"/>
      <c r="G1220" s="101"/>
      <c r="H1220" s="102"/>
      <c r="I1220" s="101"/>
      <c r="J1220" s="101"/>
      <c r="K1220" s="103"/>
      <c r="L1220" s="103"/>
      <c r="M1220" s="103"/>
      <c r="N1220" s="103"/>
      <c r="O1220" s="103"/>
      <c r="P1220" s="98"/>
      <c r="Q1220" s="99"/>
      <c r="R1220" s="105">
        <f t="shared" si="59"/>
        <v>0</v>
      </c>
      <c r="S1220" s="108">
        <f t="shared" ref="S1220:S1283" si="61">IF(P1220="Abono",K1220+L1220+M1220-N1220-O1220,0)</f>
        <v>0</v>
      </c>
      <c r="T1220" s="105">
        <f t="shared" si="60"/>
        <v>0</v>
      </c>
    </row>
    <row r="1221" spans="1:20">
      <c r="A1221" s="101"/>
      <c r="B1221" s="101"/>
      <c r="C1221" s="101"/>
      <c r="D1221" s="101"/>
      <c r="E1221" s="101"/>
      <c r="F1221" s="102"/>
      <c r="G1221" s="101"/>
      <c r="H1221" s="102"/>
      <c r="I1221" s="101"/>
      <c r="J1221" s="101"/>
      <c r="K1221" s="103"/>
      <c r="L1221" s="103"/>
      <c r="M1221" s="103"/>
      <c r="N1221" s="103"/>
      <c r="O1221" s="103"/>
      <c r="P1221" s="98"/>
      <c r="Q1221" s="99"/>
      <c r="R1221" s="104">
        <f t="shared" ref="R1221:R1284" si="62">IF(P1221="Cargo",K1221+L1221-M1221-N1221+O1221,0)</f>
        <v>0</v>
      </c>
      <c r="S1221" s="104">
        <f t="shared" si="61"/>
        <v>0</v>
      </c>
      <c r="T1221" s="104">
        <f t="shared" ref="T1221:T1284" si="63">IF(Q1221="OK",+T1220+R1221-S1221,T1220)</f>
        <v>0</v>
      </c>
    </row>
    <row r="1222" spans="1:20">
      <c r="A1222" s="101"/>
      <c r="B1222" s="101"/>
      <c r="C1222" s="101"/>
      <c r="D1222" s="101"/>
      <c r="E1222" s="101"/>
      <c r="F1222" s="102"/>
      <c r="G1222" s="101"/>
      <c r="H1222" s="102"/>
      <c r="I1222" s="101"/>
      <c r="J1222" s="101"/>
      <c r="K1222" s="103"/>
      <c r="L1222" s="103"/>
      <c r="M1222" s="103"/>
      <c r="N1222" s="103"/>
      <c r="O1222" s="103"/>
      <c r="P1222" s="98"/>
      <c r="Q1222" s="99"/>
      <c r="R1222" s="105">
        <f t="shared" si="62"/>
        <v>0</v>
      </c>
      <c r="S1222" s="108">
        <f t="shared" si="61"/>
        <v>0</v>
      </c>
      <c r="T1222" s="105">
        <f t="shared" si="63"/>
        <v>0</v>
      </c>
    </row>
    <row r="1223" spans="1:20">
      <c r="A1223" s="101"/>
      <c r="B1223" s="101"/>
      <c r="C1223" s="101"/>
      <c r="D1223" s="101"/>
      <c r="E1223" s="101"/>
      <c r="F1223" s="102"/>
      <c r="G1223" s="101"/>
      <c r="H1223" s="102"/>
      <c r="I1223" s="101"/>
      <c r="J1223" s="101"/>
      <c r="K1223" s="103"/>
      <c r="L1223" s="103"/>
      <c r="M1223" s="103"/>
      <c r="N1223" s="103"/>
      <c r="O1223" s="103"/>
      <c r="P1223" s="98"/>
      <c r="Q1223" s="99"/>
      <c r="R1223" s="104">
        <f t="shared" si="62"/>
        <v>0</v>
      </c>
      <c r="S1223" s="104">
        <f t="shared" si="61"/>
        <v>0</v>
      </c>
      <c r="T1223" s="104">
        <f t="shared" si="63"/>
        <v>0</v>
      </c>
    </row>
    <row r="1224" spans="1:20">
      <c r="A1224" s="101"/>
      <c r="B1224" s="101"/>
      <c r="C1224" s="101"/>
      <c r="D1224" s="101"/>
      <c r="E1224" s="101"/>
      <c r="F1224" s="102"/>
      <c r="G1224" s="101"/>
      <c r="H1224" s="102"/>
      <c r="I1224" s="101"/>
      <c r="J1224" s="101"/>
      <c r="K1224" s="103"/>
      <c r="L1224" s="103"/>
      <c r="M1224" s="103"/>
      <c r="N1224" s="103"/>
      <c r="O1224" s="103"/>
      <c r="P1224" s="98"/>
      <c r="Q1224" s="99"/>
      <c r="R1224" s="105">
        <f t="shared" si="62"/>
        <v>0</v>
      </c>
      <c r="S1224" s="108">
        <f t="shared" si="61"/>
        <v>0</v>
      </c>
      <c r="T1224" s="105">
        <f t="shared" si="63"/>
        <v>0</v>
      </c>
    </row>
    <row r="1225" spans="1:20">
      <c r="A1225" s="101"/>
      <c r="B1225" s="101"/>
      <c r="C1225" s="101"/>
      <c r="D1225" s="101"/>
      <c r="E1225" s="101"/>
      <c r="F1225" s="102"/>
      <c r="G1225" s="101"/>
      <c r="H1225" s="102"/>
      <c r="I1225" s="101"/>
      <c r="J1225" s="101"/>
      <c r="K1225" s="103"/>
      <c r="L1225" s="103"/>
      <c r="M1225" s="103"/>
      <c r="N1225" s="103"/>
      <c r="O1225" s="103"/>
      <c r="P1225" s="98"/>
      <c r="Q1225" s="99"/>
      <c r="R1225" s="104">
        <f t="shared" si="62"/>
        <v>0</v>
      </c>
      <c r="S1225" s="104">
        <f t="shared" si="61"/>
        <v>0</v>
      </c>
      <c r="T1225" s="104">
        <f t="shared" si="63"/>
        <v>0</v>
      </c>
    </row>
    <row r="1226" spans="1:20">
      <c r="A1226" s="101"/>
      <c r="B1226" s="101"/>
      <c r="C1226" s="101"/>
      <c r="D1226" s="101"/>
      <c r="E1226" s="101"/>
      <c r="F1226" s="102"/>
      <c r="G1226" s="101"/>
      <c r="H1226" s="102"/>
      <c r="I1226" s="101"/>
      <c r="J1226" s="101"/>
      <c r="K1226" s="103"/>
      <c r="L1226" s="103"/>
      <c r="M1226" s="103"/>
      <c r="N1226" s="103"/>
      <c r="O1226" s="103"/>
      <c r="P1226" s="98"/>
      <c r="Q1226" s="99"/>
      <c r="R1226" s="105">
        <f t="shared" si="62"/>
        <v>0</v>
      </c>
      <c r="S1226" s="108">
        <f t="shared" si="61"/>
        <v>0</v>
      </c>
      <c r="T1226" s="105">
        <f t="shared" si="63"/>
        <v>0</v>
      </c>
    </row>
    <row r="1227" spans="1:20">
      <c r="A1227" s="101"/>
      <c r="B1227" s="101"/>
      <c r="C1227" s="101"/>
      <c r="D1227" s="101"/>
      <c r="E1227" s="101"/>
      <c r="F1227" s="102"/>
      <c r="G1227" s="101"/>
      <c r="H1227" s="102"/>
      <c r="I1227" s="101"/>
      <c r="J1227" s="101"/>
      <c r="K1227" s="103"/>
      <c r="L1227" s="103"/>
      <c r="M1227" s="103"/>
      <c r="N1227" s="103"/>
      <c r="O1227" s="103"/>
      <c r="P1227" s="98"/>
      <c r="Q1227" s="99"/>
      <c r="R1227" s="104">
        <f t="shared" si="62"/>
        <v>0</v>
      </c>
      <c r="S1227" s="104">
        <f t="shared" si="61"/>
        <v>0</v>
      </c>
      <c r="T1227" s="104">
        <f t="shared" si="63"/>
        <v>0</v>
      </c>
    </row>
    <row r="1228" spans="1:20">
      <c r="A1228" s="101"/>
      <c r="B1228" s="101"/>
      <c r="C1228" s="101"/>
      <c r="D1228" s="101"/>
      <c r="E1228" s="101"/>
      <c r="F1228" s="102"/>
      <c r="G1228" s="101"/>
      <c r="H1228" s="102"/>
      <c r="I1228" s="101"/>
      <c r="J1228" s="101"/>
      <c r="K1228" s="103"/>
      <c r="L1228" s="103"/>
      <c r="M1228" s="103"/>
      <c r="N1228" s="103"/>
      <c r="O1228" s="103"/>
      <c r="P1228" s="98"/>
      <c r="Q1228" s="99"/>
      <c r="R1228" s="105">
        <f t="shared" si="62"/>
        <v>0</v>
      </c>
      <c r="S1228" s="108">
        <f t="shared" si="61"/>
        <v>0</v>
      </c>
      <c r="T1228" s="105">
        <f t="shared" si="63"/>
        <v>0</v>
      </c>
    </row>
    <row r="1229" spans="1:20">
      <c r="A1229" s="101"/>
      <c r="B1229" s="101"/>
      <c r="C1229" s="101"/>
      <c r="D1229" s="101"/>
      <c r="E1229" s="101"/>
      <c r="F1229" s="102"/>
      <c r="G1229" s="101"/>
      <c r="H1229" s="102"/>
      <c r="I1229" s="101"/>
      <c r="J1229" s="101"/>
      <c r="K1229" s="103"/>
      <c r="L1229" s="103"/>
      <c r="M1229" s="103"/>
      <c r="N1229" s="103"/>
      <c r="O1229" s="103"/>
      <c r="P1229" s="98"/>
      <c r="Q1229" s="99"/>
      <c r="R1229" s="104">
        <f t="shared" si="62"/>
        <v>0</v>
      </c>
      <c r="S1229" s="104">
        <f t="shared" si="61"/>
        <v>0</v>
      </c>
      <c r="T1229" s="104">
        <f t="shared" si="63"/>
        <v>0</v>
      </c>
    </row>
    <row r="1230" spans="1:20">
      <c r="A1230" s="101"/>
      <c r="B1230" s="101"/>
      <c r="C1230" s="101"/>
      <c r="D1230" s="101"/>
      <c r="E1230" s="101"/>
      <c r="F1230" s="102"/>
      <c r="G1230" s="101"/>
      <c r="H1230" s="102"/>
      <c r="I1230" s="101"/>
      <c r="J1230" s="101"/>
      <c r="K1230" s="103"/>
      <c r="L1230" s="103"/>
      <c r="M1230" s="103"/>
      <c r="N1230" s="103"/>
      <c r="O1230" s="103"/>
      <c r="P1230" s="98"/>
      <c r="Q1230" s="99"/>
      <c r="R1230" s="105">
        <f t="shared" si="62"/>
        <v>0</v>
      </c>
      <c r="S1230" s="108">
        <f t="shared" si="61"/>
        <v>0</v>
      </c>
      <c r="T1230" s="105">
        <f t="shared" si="63"/>
        <v>0</v>
      </c>
    </row>
    <row r="1231" spans="1:20">
      <c r="A1231" s="101"/>
      <c r="B1231" s="101"/>
      <c r="C1231" s="101"/>
      <c r="D1231" s="101"/>
      <c r="E1231" s="101"/>
      <c r="F1231" s="102"/>
      <c r="G1231" s="101"/>
      <c r="H1231" s="102"/>
      <c r="I1231" s="101"/>
      <c r="J1231" s="101"/>
      <c r="K1231" s="103"/>
      <c r="L1231" s="103"/>
      <c r="M1231" s="103"/>
      <c r="N1231" s="103"/>
      <c r="O1231" s="103"/>
      <c r="P1231" s="98"/>
      <c r="Q1231" s="99"/>
      <c r="R1231" s="104">
        <f t="shared" si="62"/>
        <v>0</v>
      </c>
      <c r="S1231" s="104">
        <f t="shared" si="61"/>
        <v>0</v>
      </c>
      <c r="T1231" s="104">
        <f t="shared" si="63"/>
        <v>0</v>
      </c>
    </row>
    <row r="1232" spans="1:20">
      <c r="A1232" s="101"/>
      <c r="B1232" s="101"/>
      <c r="C1232" s="101"/>
      <c r="D1232" s="101"/>
      <c r="E1232" s="101"/>
      <c r="F1232" s="102"/>
      <c r="G1232" s="101"/>
      <c r="H1232" s="102"/>
      <c r="I1232" s="101"/>
      <c r="J1232" s="101"/>
      <c r="K1232" s="103"/>
      <c r="L1232" s="103"/>
      <c r="M1232" s="103"/>
      <c r="N1232" s="103"/>
      <c r="O1232" s="103"/>
      <c r="P1232" s="98"/>
      <c r="Q1232" s="99"/>
      <c r="R1232" s="105">
        <f t="shared" si="62"/>
        <v>0</v>
      </c>
      <c r="S1232" s="108">
        <f t="shared" si="61"/>
        <v>0</v>
      </c>
      <c r="T1232" s="105">
        <f t="shared" si="63"/>
        <v>0</v>
      </c>
    </row>
    <row r="1233" spans="1:22">
      <c r="A1233" s="101"/>
      <c r="B1233" s="101"/>
      <c r="C1233" s="101"/>
      <c r="D1233" s="101"/>
      <c r="E1233" s="101"/>
      <c r="F1233" s="102"/>
      <c r="G1233" s="101"/>
      <c r="H1233" s="102"/>
      <c r="I1233" s="101"/>
      <c r="J1233" s="101"/>
      <c r="K1233" s="103"/>
      <c r="L1233" s="103"/>
      <c r="M1233" s="103"/>
      <c r="N1233" s="103"/>
      <c r="O1233" s="103"/>
      <c r="P1233" s="98"/>
      <c r="Q1233" s="99"/>
      <c r="R1233" s="104">
        <f t="shared" si="62"/>
        <v>0</v>
      </c>
      <c r="S1233" s="104">
        <f t="shared" si="61"/>
        <v>0</v>
      </c>
      <c r="T1233" s="104">
        <f t="shared" si="63"/>
        <v>0</v>
      </c>
    </row>
    <row r="1234" spans="1:22">
      <c r="A1234" s="101"/>
      <c r="B1234" s="101"/>
      <c r="C1234" s="101"/>
      <c r="D1234" s="101"/>
      <c r="E1234" s="101"/>
      <c r="F1234" s="102"/>
      <c r="G1234" s="101"/>
      <c r="H1234" s="102"/>
      <c r="I1234" s="101"/>
      <c r="J1234" s="101"/>
      <c r="K1234" s="103"/>
      <c r="L1234" s="103"/>
      <c r="M1234" s="103"/>
      <c r="N1234" s="103"/>
      <c r="O1234" s="103"/>
      <c r="P1234" s="98"/>
      <c r="Q1234" s="99"/>
      <c r="R1234" s="105">
        <f t="shared" si="62"/>
        <v>0</v>
      </c>
      <c r="S1234" s="108">
        <f t="shared" si="61"/>
        <v>0</v>
      </c>
      <c r="T1234" s="105">
        <f t="shared" si="63"/>
        <v>0</v>
      </c>
    </row>
    <row r="1235" spans="1:22">
      <c r="A1235" s="101"/>
      <c r="B1235" s="101"/>
      <c r="C1235" s="101"/>
      <c r="D1235" s="101"/>
      <c r="E1235" s="101"/>
      <c r="F1235" s="102"/>
      <c r="G1235" s="101"/>
      <c r="H1235" s="102"/>
      <c r="I1235" s="101"/>
      <c r="J1235" s="101"/>
      <c r="K1235" s="103"/>
      <c r="L1235" s="103"/>
      <c r="M1235" s="103"/>
      <c r="N1235" s="103"/>
      <c r="O1235" s="103"/>
      <c r="P1235" s="98"/>
      <c r="Q1235" s="99"/>
      <c r="R1235" s="104">
        <f t="shared" si="62"/>
        <v>0</v>
      </c>
      <c r="S1235" s="104">
        <f t="shared" si="61"/>
        <v>0</v>
      </c>
      <c r="T1235" s="104">
        <f t="shared" si="63"/>
        <v>0</v>
      </c>
    </row>
    <row r="1236" spans="1:22">
      <c r="A1236" s="101"/>
      <c r="B1236" s="101"/>
      <c r="C1236" s="101"/>
      <c r="D1236" s="101"/>
      <c r="E1236" s="101"/>
      <c r="F1236" s="102"/>
      <c r="G1236" s="101"/>
      <c r="H1236" s="102"/>
      <c r="I1236" s="101"/>
      <c r="J1236" s="101"/>
      <c r="K1236" s="103"/>
      <c r="L1236" s="103"/>
      <c r="M1236" s="103"/>
      <c r="N1236" s="103"/>
      <c r="O1236" s="103"/>
      <c r="P1236" s="98"/>
      <c r="Q1236" s="99"/>
      <c r="R1236" s="105">
        <f t="shared" si="62"/>
        <v>0</v>
      </c>
      <c r="S1236" s="108">
        <f t="shared" si="61"/>
        <v>0</v>
      </c>
      <c r="T1236" s="105">
        <f t="shared" si="63"/>
        <v>0</v>
      </c>
    </row>
    <row r="1237" spans="1:22">
      <c r="A1237" s="101"/>
      <c r="B1237" s="101"/>
      <c r="C1237" s="101"/>
      <c r="D1237" s="101"/>
      <c r="E1237" s="101"/>
      <c r="F1237" s="102"/>
      <c r="G1237" s="101"/>
      <c r="H1237" s="102"/>
      <c r="I1237" s="101"/>
      <c r="J1237" s="101"/>
      <c r="K1237" s="103"/>
      <c r="L1237" s="103"/>
      <c r="M1237" s="103"/>
      <c r="N1237" s="103"/>
      <c r="O1237" s="103"/>
      <c r="P1237" s="98"/>
      <c r="Q1237" s="99"/>
      <c r="R1237" s="104">
        <f t="shared" si="62"/>
        <v>0</v>
      </c>
      <c r="S1237" s="104">
        <f t="shared" si="61"/>
        <v>0</v>
      </c>
      <c r="T1237" s="104">
        <f t="shared" si="63"/>
        <v>0</v>
      </c>
    </row>
    <row r="1238" spans="1:22">
      <c r="A1238" s="101"/>
      <c r="B1238" s="101"/>
      <c r="C1238" s="101"/>
      <c r="D1238" s="101"/>
      <c r="E1238" s="101"/>
      <c r="F1238" s="102"/>
      <c r="G1238" s="101"/>
      <c r="H1238" s="102"/>
      <c r="I1238" s="101"/>
      <c r="J1238" s="101"/>
      <c r="K1238" s="103"/>
      <c r="L1238" s="103"/>
      <c r="M1238" s="103"/>
      <c r="N1238" s="103"/>
      <c r="O1238" s="103"/>
      <c r="P1238" s="98"/>
      <c r="Q1238" s="99"/>
      <c r="R1238" s="105">
        <f t="shared" si="62"/>
        <v>0</v>
      </c>
      <c r="S1238" s="108">
        <f t="shared" si="61"/>
        <v>0</v>
      </c>
      <c r="T1238" s="105">
        <f t="shared" si="63"/>
        <v>0</v>
      </c>
    </row>
    <row r="1239" spans="1:22">
      <c r="A1239" s="101"/>
      <c r="B1239" s="101"/>
      <c r="C1239" s="101"/>
      <c r="D1239" s="101"/>
      <c r="E1239" s="101"/>
      <c r="F1239" s="102"/>
      <c r="G1239" s="101"/>
      <c r="H1239" s="102"/>
      <c r="I1239" s="101"/>
      <c r="J1239" s="101"/>
      <c r="K1239" s="103"/>
      <c r="L1239" s="103"/>
      <c r="M1239" s="103"/>
      <c r="N1239" s="103"/>
      <c r="O1239" s="103"/>
      <c r="P1239" s="98"/>
      <c r="Q1239" s="99"/>
      <c r="R1239" s="104">
        <f t="shared" si="62"/>
        <v>0</v>
      </c>
      <c r="S1239" s="104">
        <f t="shared" si="61"/>
        <v>0</v>
      </c>
      <c r="T1239" s="104">
        <f t="shared" si="63"/>
        <v>0</v>
      </c>
      <c r="V1239" s="112"/>
    </row>
    <row r="1240" spans="1:22">
      <c r="A1240" s="101"/>
      <c r="B1240" s="101"/>
      <c r="C1240" s="101"/>
      <c r="D1240" s="101"/>
      <c r="E1240" s="101"/>
      <c r="F1240" s="102"/>
      <c r="G1240" s="101"/>
      <c r="H1240" s="102"/>
      <c r="I1240" s="101"/>
      <c r="J1240" s="101"/>
      <c r="K1240" s="103"/>
      <c r="L1240" s="103"/>
      <c r="M1240" s="103"/>
      <c r="N1240" s="103"/>
      <c r="O1240" s="103"/>
      <c r="P1240" s="98"/>
      <c r="Q1240" s="99"/>
      <c r="R1240" s="105">
        <f t="shared" si="62"/>
        <v>0</v>
      </c>
      <c r="S1240" s="108">
        <f t="shared" si="61"/>
        <v>0</v>
      </c>
      <c r="T1240" s="105">
        <f t="shared" si="63"/>
        <v>0</v>
      </c>
    </row>
    <row r="1241" spans="1:22">
      <c r="A1241" s="101"/>
      <c r="B1241" s="101"/>
      <c r="C1241" s="101"/>
      <c r="D1241" s="101"/>
      <c r="E1241" s="101"/>
      <c r="F1241" s="102"/>
      <c r="G1241" s="101"/>
      <c r="H1241" s="102"/>
      <c r="I1241" s="101"/>
      <c r="J1241" s="101"/>
      <c r="K1241" s="103"/>
      <c r="L1241" s="103"/>
      <c r="M1241" s="103"/>
      <c r="N1241" s="103"/>
      <c r="O1241" s="103"/>
      <c r="P1241" s="98"/>
      <c r="Q1241" s="99"/>
      <c r="R1241" s="104">
        <f t="shared" si="62"/>
        <v>0</v>
      </c>
      <c r="S1241" s="104">
        <f t="shared" si="61"/>
        <v>0</v>
      </c>
      <c r="T1241" s="104">
        <f t="shared" si="63"/>
        <v>0</v>
      </c>
    </row>
    <row r="1242" spans="1:22">
      <c r="A1242" s="101"/>
      <c r="B1242" s="101"/>
      <c r="C1242" s="101"/>
      <c r="D1242" s="101"/>
      <c r="E1242" s="101"/>
      <c r="F1242" s="102"/>
      <c r="G1242" s="101"/>
      <c r="H1242" s="102"/>
      <c r="I1242" s="101"/>
      <c r="J1242" s="101"/>
      <c r="K1242" s="103"/>
      <c r="L1242" s="103"/>
      <c r="M1242" s="103"/>
      <c r="N1242" s="103"/>
      <c r="O1242" s="103"/>
      <c r="P1242" s="98"/>
      <c r="Q1242" s="99"/>
      <c r="R1242" s="105">
        <f t="shared" si="62"/>
        <v>0</v>
      </c>
      <c r="S1242" s="108">
        <f t="shared" si="61"/>
        <v>0</v>
      </c>
      <c r="T1242" s="105">
        <f t="shared" si="63"/>
        <v>0</v>
      </c>
    </row>
    <row r="1243" spans="1:22">
      <c r="A1243" s="101"/>
      <c r="B1243" s="101"/>
      <c r="C1243" s="101"/>
      <c r="D1243" s="101"/>
      <c r="E1243" s="101"/>
      <c r="F1243" s="102"/>
      <c r="G1243" s="101"/>
      <c r="H1243" s="102"/>
      <c r="I1243" s="101"/>
      <c r="J1243" s="101"/>
      <c r="K1243" s="103"/>
      <c r="L1243" s="103"/>
      <c r="M1243" s="103"/>
      <c r="N1243" s="103"/>
      <c r="O1243" s="103"/>
      <c r="P1243" s="98"/>
      <c r="Q1243" s="99"/>
      <c r="R1243" s="104">
        <f t="shared" si="62"/>
        <v>0</v>
      </c>
      <c r="S1243" s="104">
        <f t="shared" si="61"/>
        <v>0</v>
      </c>
      <c r="T1243" s="104">
        <f t="shared" si="63"/>
        <v>0</v>
      </c>
    </row>
    <row r="1244" spans="1:22">
      <c r="A1244" s="101"/>
      <c r="B1244" s="101"/>
      <c r="C1244" s="101"/>
      <c r="D1244" s="101"/>
      <c r="E1244" s="101"/>
      <c r="F1244" s="102"/>
      <c r="G1244" s="101"/>
      <c r="H1244" s="102"/>
      <c r="I1244" s="101"/>
      <c r="J1244" s="101"/>
      <c r="K1244" s="103"/>
      <c r="L1244" s="103"/>
      <c r="M1244" s="103"/>
      <c r="N1244" s="103"/>
      <c r="O1244" s="103"/>
      <c r="P1244" s="98"/>
      <c r="Q1244" s="99"/>
      <c r="R1244" s="105">
        <f t="shared" si="62"/>
        <v>0</v>
      </c>
      <c r="S1244" s="108">
        <f t="shared" si="61"/>
        <v>0</v>
      </c>
      <c r="T1244" s="105">
        <f t="shared" si="63"/>
        <v>0</v>
      </c>
    </row>
    <row r="1245" spans="1:22">
      <c r="A1245" s="101"/>
      <c r="B1245" s="101"/>
      <c r="C1245" s="101"/>
      <c r="D1245" s="101"/>
      <c r="E1245" s="101"/>
      <c r="F1245" s="102"/>
      <c r="G1245" s="101"/>
      <c r="H1245" s="102"/>
      <c r="I1245" s="101"/>
      <c r="J1245" s="101"/>
      <c r="K1245" s="103"/>
      <c r="L1245" s="103"/>
      <c r="M1245" s="103"/>
      <c r="N1245" s="103"/>
      <c r="O1245" s="103"/>
      <c r="P1245" s="98"/>
      <c r="Q1245" s="99"/>
      <c r="R1245" s="104">
        <f t="shared" si="62"/>
        <v>0</v>
      </c>
      <c r="S1245" s="104">
        <f t="shared" si="61"/>
        <v>0</v>
      </c>
      <c r="T1245" s="104">
        <f t="shared" si="63"/>
        <v>0</v>
      </c>
    </row>
    <row r="1246" spans="1:22">
      <c r="A1246" s="101"/>
      <c r="B1246" s="101"/>
      <c r="C1246" s="101"/>
      <c r="D1246" s="101"/>
      <c r="E1246" s="101"/>
      <c r="F1246" s="102"/>
      <c r="G1246" s="101"/>
      <c r="H1246" s="102"/>
      <c r="I1246" s="101"/>
      <c r="J1246" s="101"/>
      <c r="K1246" s="103"/>
      <c r="L1246" s="103"/>
      <c r="M1246" s="103"/>
      <c r="N1246" s="103"/>
      <c r="O1246" s="103"/>
      <c r="P1246" s="98"/>
      <c r="Q1246" s="99"/>
      <c r="R1246" s="105">
        <f t="shared" si="62"/>
        <v>0</v>
      </c>
      <c r="S1246" s="108">
        <f t="shared" si="61"/>
        <v>0</v>
      </c>
      <c r="T1246" s="105">
        <f t="shared" si="63"/>
        <v>0</v>
      </c>
    </row>
    <row r="1247" spans="1:22">
      <c r="A1247" s="101"/>
      <c r="B1247" s="101"/>
      <c r="C1247" s="101"/>
      <c r="D1247" s="101"/>
      <c r="E1247" s="101"/>
      <c r="F1247" s="102"/>
      <c r="G1247" s="101"/>
      <c r="H1247" s="102"/>
      <c r="I1247" s="101"/>
      <c r="J1247" s="101"/>
      <c r="K1247" s="103"/>
      <c r="L1247" s="103"/>
      <c r="M1247" s="103"/>
      <c r="N1247" s="103"/>
      <c r="O1247" s="103"/>
      <c r="P1247" s="98"/>
      <c r="Q1247" s="99"/>
      <c r="R1247" s="104">
        <f t="shared" si="62"/>
        <v>0</v>
      </c>
      <c r="S1247" s="104">
        <f t="shared" si="61"/>
        <v>0</v>
      </c>
      <c r="T1247" s="104">
        <f t="shared" si="63"/>
        <v>0</v>
      </c>
    </row>
    <row r="1248" spans="1:22">
      <c r="A1248" s="101"/>
      <c r="B1248" s="101"/>
      <c r="C1248" s="101"/>
      <c r="D1248" s="101"/>
      <c r="E1248" s="101"/>
      <c r="F1248" s="102"/>
      <c r="G1248" s="101"/>
      <c r="H1248" s="102"/>
      <c r="I1248" s="101"/>
      <c r="J1248" s="101"/>
      <c r="K1248" s="103"/>
      <c r="L1248" s="103"/>
      <c r="M1248" s="103"/>
      <c r="N1248" s="103"/>
      <c r="O1248" s="103"/>
      <c r="P1248" s="98"/>
      <c r="Q1248" s="99"/>
      <c r="R1248" s="105">
        <f t="shared" si="62"/>
        <v>0</v>
      </c>
      <c r="S1248" s="108">
        <f t="shared" si="61"/>
        <v>0</v>
      </c>
      <c r="T1248" s="105">
        <f t="shared" si="63"/>
        <v>0</v>
      </c>
    </row>
    <row r="1249" spans="1:20">
      <c r="A1249" s="101"/>
      <c r="B1249" s="101"/>
      <c r="C1249" s="101"/>
      <c r="D1249" s="101"/>
      <c r="E1249" s="101"/>
      <c r="F1249" s="102"/>
      <c r="G1249" s="101"/>
      <c r="H1249" s="102"/>
      <c r="I1249" s="101"/>
      <c r="J1249" s="101"/>
      <c r="K1249" s="103"/>
      <c r="L1249" s="103"/>
      <c r="M1249" s="103"/>
      <c r="N1249" s="103"/>
      <c r="O1249" s="103"/>
      <c r="P1249" s="98"/>
      <c r="Q1249" s="99"/>
      <c r="R1249" s="104">
        <f t="shared" si="62"/>
        <v>0</v>
      </c>
      <c r="S1249" s="104">
        <f t="shared" si="61"/>
        <v>0</v>
      </c>
      <c r="T1249" s="104">
        <f t="shared" si="63"/>
        <v>0</v>
      </c>
    </row>
    <row r="1250" spans="1:20">
      <c r="A1250" s="101"/>
      <c r="B1250" s="101"/>
      <c r="C1250" s="101"/>
      <c r="D1250" s="101"/>
      <c r="E1250" s="101"/>
      <c r="F1250" s="102"/>
      <c r="G1250" s="101"/>
      <c r="H1250" s="102"/>
      <c r="I1250" s="101"/>
      <c r="J1250" s="101"/>
      <c r="K1250" s="103"/>
      <c r="L1250" s="103"/>
      <c r="M1250" s="103"/>
      <c r="N1250" s="103"/>
      <c r="O1250" s="103"/>
      <c r="P1250" s="98"/>
      <c r="Q1250" s="99"/>
      <c r="R1250" s="105">
        <f t="shared" si="62"/>
        <v>0</v>
      </c>
      <c r="S1250" s="108">
        <f t="shared" si="61"/>
        <v>0</v>
      </c>
      <c r="T1250" s="105">
        <f t="shared" si="63"/>
        <v>0</v>
      </c>
    </row>
    <row r="1251" spans="1:20">
      <c r="A1251" s="101"/>
      <c r="B1251" s="101"/>
      <c r="C1251" s="101"/>
      <c r="D1251" s="101"/>
      <c r="E1251" s="101"/>
      <c r="F1251" s="102"/>
      <c r="G1251" s="101"/>
      <c r="H1251" s="102"/>
      <c r="I1251" s="101"/>
      <c r="J1251" s="101"/>
      <c r="K1251" s="103"/>
      <c r="L1251" s="103"/>
      <c r="M1251" s="103"/>
      <c r="N1251" s="103"/>
      <c r="O1251" s="103"/>
      <c r="P1251" s="98"/>
      <c r="Q1251" s="99"/>
      <c r="R1251" s="104">
        <f t="shared" si="62"/>
        <v>0</v>
      </c>
      <c r="S1251" s="104">
        <f t="shared" si="61"/>
        <v>0</v>
      </c>
      <c r="T1251" s="104">
        <f t="shared" si="63"/>
        <v>0</v>
      </c>
    </row>
    <row r="1252" spans="1:20">
      <c r="A1252" s="101"/>
      <c r="B1252" s="101"/>
      <c r="C1252" s="101"/>
      <c r="D1252" s="101"/>
      <c r="E1252" s="101"/>
      <c r="F1252" s="102"/>
      <c r="G1252" s="101"/>
      <c r="H1252" s="102"/>
      <c r="I1252" s="101"/>
      <c r="J1252" s="101"/>
      <c r="K1252" s="103"/>
      <c r="L1252" s="103"/>
      <c r="M1252" s="103"/>
      <c r="N1252" s="103"/>
      <c r="O1252" s="103"/>
      <c r="P1252" s="98"/>
      <c r="Q1252" s="99"/>
      <c r="R1252" s="105">
        <f t="shared" si="62"/>
        <v>0</v>
      </c>
      <c r="S1252" s="108">
        <f t="shared" si="61"/>
        <v>0</v>
      </c>
      <c r="T1252" s="105">
        <f t="shared" si="63"/>
        <v>0</v>
      </c>
    </row>
    <row r="1253" spans="1:20">
      <c r="A1253" s="101"/>
      <c r="B1253" s="101"/>
      <c r="C1253" s="101"/>
      <c r="D1253" s="101"/>
      <c r="E1253" s="101"/>
      <c r="F1253" s="102"/>
      <c r="G1253" s="101"/>
      <c r="H1253" s="102"/>
      <c r="I1253" s="101"/>
      <c r="J1253" s="101"/>
      <c r="K1253" s="103"/>
      <c r="L1253" s="103"/>
      <c r="M1253" s="103"/>
      <c r="N1253" s="103"/>
      <c r="O1253" s="103"/>
      <c r="P1253" s="98"/>
      <c r="Q1253" s="99"/>
      <c r="R1253" s="104">
        <f t="shared" si="62"/>
        <v>0</v>
      </c>
      <c r="S1253" s="104">
        <f t="shared" si="61"/>
        <v>0</v>
      </c>
      <c r="T1253" s="104">
        <f t="shared" si="63"/>
        <v>0</v>
      </c>
    </row>
    <row r="1254" spans="1:20">
      <c r="A1254" s="101"/>
      <c r="B1254" s="101"/>
      <c r="C1254" s="101"/>
      <c r="D1254" s="101"/>
      <c r="E1254" s="101"/>
      <c r="F1254" s="102"/>
      <c r="G1254" s="101"/>
      <c r="H1254" s="102"/>
      <c r="I1254" s="101"/>
      <c r="J1254" s="101"/>
      <c r="K1254" s="103"/>
      <c r="L1254" s="103"/>
      <c r="M1254" s="103"/>
      <c r="N1254" s="103"/>
      <c r="O1254" s="103"/>
      <c r="P1254" s="98"/>
      <c r="Q1254" s="99"/>
      <c r="R1254" s="105">
        <f t="shared" si="62"/>
        <v>0</v>
      </c>
      <c r="S1254" s="108">
        <f t="shared" si="61"/>
        <v>0</v>
      </c>
      <c r="T1254" s="105">
        <f t="shared" si="63"/>
        <v>0</v>
      </c>
    </row>
    <row r="1255" spans="1:20">
      <c r="A1255" s="101"/>
      <c r="B1255" s="101"/>
      <c r="C1255" s="101"/>
      <c r="D1255" s="101"/>
      <c r="E1255" s="101"/>
      <c r="F1255" s="102"/>
      <c r="G1255" s="101"/>
      <c r="H1255" s="102"/>
      <c r="I1255" s="101"/>
      <c r="J1255" s="101"/>
      <c r="K1255" s="103"/>
      <c r="L1255" s="103"/>
      <c r="M1255" s="103"/>
      <c r="N1255" s="103"/>
      <c r="O1255" s="103"/>
      <c r="P1255" s="98"/>
      <c r="Q1255" s="99"/>
      <c r="R1255" s="104">
        <f t="shared" si="62"/>
        <v>0</v>
      </c>
      <c r="S1255" s="104">
        <f t="shared" si="61"/>
        <v>0</v>
      </c>
      <c r="T1255" s="104">
        <f t="shared" si="63"/>
        <v>0</v>
      </c>
    </row>
    <row r="1256" spans="1:20">
      <c r="A1256" s="101"/>
      <c r="B1256" s="101"/>
      <c r="C1256" s="101"/>
      <c r="D1256" s="101"/>
      <c r="E1256" s="101"/>
      <c r="F1256" s="102"/>
      <c r="G1256" s="101"/>
      <c r="H1256" s="102"/>
      <c r="I1256" s="101"/>
      <c r="J1256" s="101"/>
      <c r="K1256" s="103"/>
      <c r="L1256" s="103"/>
      <c r="M1256" s="103"/>
      <c r="N1256" s="103"/>
      <c r="O1256" s="103"/>
      <c r="P1256" s="98"/>
      <c r="Q1256" s="99"/>
      <c r="R1256" s="105">
        <f t="shared" si="62"/>
        <v>0</v>
      </c>
      <c r="S1256" s="108">
        <f t="shared" si="61"/>
        <v>0</v>
      </c>
      <c r="T1256" s="105">
        <f t="shared" si="63"/>
        <v>0</v>
      </c>
    </row>
    <row r="1257" spans="1:20">
      <c r="A1257" s="101"/>
      <c r="B1257" s="101"/>
      <c r="C1257" s="101"/>
      <c r="D1257" s="101"/>
      <c r="E1257" s="101"/>
      <c r="F1257" s="102"/>
      <c r="G1257" s="101"/>
      <c r="H1257" s="102"/>
      <c r="I1257" s="101"/>
      <c r="J1257" s="101"/>
      <c r="K1257" s="103"/>
      <c r="L1257" s="103"/>
      <c r="M1257" s="103"/>
      <c r="N1257" s="103"/>
      <c r="O1257" s="103"/>
      <c r="P1257" s="98"/>
      <c r="Q1257" s="99"/>
      <c r="R1257" s="104">
        <f t="shared" si="62"/>
        <v>0</v>
      </c>
      <c r="S1257" s="104">
        <f t="shared" si="61"/>
        <v>0</v>
      </c>
      <c r="T1257" s="104">
        <f t="shared" si="63"/>
        <v>0</v>
      </c>
    </row>
    <row r="1258" spans="1:20">
      <c r="A1258" s="101"/>
      <c r="B1258" s="101"/>
      <c r="C1258" s="101"/>
      <c r="D1258" s="101"/>
      <c r="E1258" s="101"/>
      <c r="F1258" s="102"/>
      <c r="G1258" s="101"/>
      <c r="H1258" s="102"/>
      <c r="I1258" s="101"/>
      <c r="J1258" s="101"/>
      <c r="K1258" s="103"/>
      <c r="L1258" s="103"/>
      <c r="M1258" s="103"/>
      <c r="N1258" s="103"/>
      <c r="O1258" s="103"/>
      <c r="P1258" s="98"/>
      <c r="Q1258" s="99"/>
      <c r="R1258" s="105">
        <f t="shared" si="62"/>
        <v>0</v>
      </c>
      <c r="S1258" s="108">
        <f t="shared" si="61"/>
        <v>0</v>
      </c>
      <c r="T1258" s="105">
        <f t="shared" si="63"/>
        <v>0</v>
      </c>
    </row>
    <row r="1259" spans="1:20">
      <c r="A1259" s="101"/>
      <c r="B1259" s="101"/>
      <c r="C1259" s="101"/>
      <c r="D1259" s="101"/>
      <c r="E1259" s="101"/>
      <c r="F1259" s="102"/>
      <c r="G1259" s="101"/>
      <c r="H1259" s="102"/>
      <c r="I1259" s="101"/>
      <c r="J1259" s="101"/>
      <c r="K1259" s="103"/>
      <c r="L1259" s="103"/>
      <c r="M1259" s="103"/>
      <c r="N1259" s="103"/>
      <c r="O1259" s="103"/>
      <c r="P1259" s="98"/>
      <c r="Q1259" s="99"/>
      <c r="R1259" s="104">
        <f t="shared" si="62"/>
        <v>0</v>
      </c>
      <c r="S1259" s="104">
        <f t="shared" si="61"/>
        <v>0</v>
      </c>
      <c r="T1259" s="104">
        <f t="shared" si="63"/>
        <v>0</v>
      </c>
    </row>
    <row r="1260" spans="1:20">
      <c r="A1260" s="101"/>
      <c r="B1260" s="101"/>
      <c r="C1260" s="101"/>
      <c r="D1260" s="101"/>
      <c r="E1260" s="101"/>
      <c r="F1260" s="102"/>
      <c r="G1260" s="101"/>
      <c r="H1260" s="102"/>
      <c r="I1260" s="101"/>
      <c r="J1260" s="101"/>
      <c r="K1260" s="103"/>
      <c r="L1260" s="103"/>
      <c r="M1260" s="103"/>
      <c r="N1260" s="103"/>
      <c r="O1260" s="103"/>
      <c r="P1260" s="98"/>
      <c r="Q1260" s="99"/>
      <c r="R1260" s="105">
        <f t="shared" si="62"/>
        <v>0</v>
      </c>
      <c r="S1260" s="108">
        <f t="shared" si="61"/>
        <v>0</v>
      </c>
      <c r="T1260" s="105">
        <f t="shared" si="63"/>
        <v>0</v>
      </c>
    </row>
    <row r="1261" spans="1:20">
      <c r="A1261" s="101"/>
      <c r="B1261" s="101"/>
      <c r="C1261" s="101"/>
      <c r="D1261" s="101"/>
      <c r="E1261" s="101"/>
      <c r="F1261" s="102"/>
      <c r="G1261" s="101"/>
      <c r="H1261" s="102"/>
      <c r="I1261" s="101"/>
      <c r="J1261" s="101"/>
      <c r="K1261" s="103"/>
      <c r="L1261" s="103"/>
      <c r="M1261" s="103"/>
      <c r="N1261" s="103"/>
      <c r="O1261" s="103"/>
      <c r="P1261" s="98"/>
      <c r="Q1261" s="99"/>
      <c r="R1261" s="104">
        <f t="shared" si="62"/>
        <v>0</v>
      </c>
      <c r="S1261" s="104">
        <f t="shared" si="61"/>
        <v>0</v>
      </c>
      <c r="T1261" s="104">
        <f t="shared" si="63"/>
        <v>0</v>
      </c>
    </row>
    <row r="1262" spans="1:20">
      <c r="A1262" s="101"/>
      <c r="B1262" s="101"/>
      <c r="C1262" s="101"/>
      <c r="D1262" s="101"/>
      <c r="E1262" s="101"/>
      <c r="F1262" s="102"/>
      <c r="G1262" s="101"/>
      <c r="H1262" s="102"/>
      <c r="I1262" s="101"/>
      <c r="J1262" s="101"/>
      <c r="K1262" s="103"/>
      <c r="L1262" s="103"/>
      <c r="M1262" s="103"/>
      <c r="N1262" s="103"/>
      <c r="O1262" s="103"/>
      <c r="P1262" s="98"/>
      <c r="Q1262" s="99"/>
      <c r="R1262" s="105">
        <f t="shared" si="62"/>
        <v>0</v>
      </c>
      <c r="S1262" s="108">
        <f t="shared" si="61"/>
        <v>0</v>
      </c>
      <c r="T1262" s="105">
        <f t="shared" si="63"/>
        <v>0</v>
      </c>
    </row>
    <row r="1263" spans="1:20">
      <c r="A1263" s="101"/>
      <c r="B1263" s="101"/>
      <c r="C1263" s="101"/>
      <c r="D1263" s="101"/>
      <c r="E1263" s="101"/>
      <c r="F1263" s="102"/>
      <c r="G1263" s="101"/>
      <c r="H1263" s="102"/>
      <c r="I1263" s="101"/>
      <c r="J1263" s="101"/>
      <c r="K1263" s="103"/>
      <c r="L1263" s="103"/>
      <c r="M1263" s="103"/>
      <c r="N1263" s="103"/>
      <c r="O1263" s="103"/>
      <c r="P1263" s="98"/>
      <c r="Q1263" s="99"/>
      <c r="R1263" s="104">
        <f t="shared" si="62"/>
        <v>0</v>
      </c>
      <c r="S1263" s="104">
        <f t="shared" si="61"/>
        <v>0</v>
      </c>
      <c r="T1263" s="104">
        <f t="shared" si="63"/>
        <v>0</v>
      </c>
    </row>
    <row r="1264" spans="1:20">
      <c r="A1264" s="101"/>
      <c r="B1264" s="101"/>
      <c r="C1264" s="101"/>
      <c r="D1264" s="101"/>
      <c r="E1264" s="101"/>
      <c r="F1264" s="102"/>
      <c r="G1264" s="101"/>
      <c r="H1264" s="102"/>
      <c r="I1264" s="101"/>
      <c r="J1264" s="101"/>
      <c r="K1264" s="103"/>
      <c r="L1264" s="103"/>
      <c r="M1264" s="103"/>
      <c r="N1264" s="103"/>
      <c r="O1264" s="103"/>
      <c r="P1264" s="98"/>
      <c r="Q1264" s="99"/>
      <c r="R1264" s="105">
        <f t="shared" si="62"/>
        <v>0</v>
      </c>
      <c r="S1264" s="108">
        <f t="shared" si="61"/>
        <v>0</v>
      </c>
      <c r="T1264" s="105">
        <f t="shared" si="63"/>
        <v>0</v>
      </c>
    </row>
    <row r="1265" spans="1:20">
      <c r="A1265" s="101"/>
      <c r="B1265" s="101"/>
      <c r="C1265" s="101"/>
      <c r="D1265" s="101"/>
      <c r="E1265" s="101"/>
      <c r="F1265" s="102"/>
      <c r="G1265" s="101"/>
      <c r="H1265" s="102"/>
      <c r="I1265" s="101"/>
      <c r="J1265" s="101"/>
      <c r="K1265" s="103"/>
      <c r="L1265" s="103"/>
      <c r="M1265" s="103"/>
      <c r="N1265" s="103"/>
      <c r="O1265" s="103"/>
      <c r="P1265" s="98"/>
      <c r="Q1265" s="99"/>
      <c r="R1265" s="104">
        <f t="shared" si="62"/>
        <v>0</v>
      </c>
      <c r="S1265" s="104">
        <f t="shared" si="61"/>
        <v>0</v>
      </c>
      <c r="T1265" s="104">
        <f t="shared" si="63"/>
        <v>0</v>
      </c>
    </row>
    <row r="1266" spans="1:20">
      <c r="A1266" s="101"/>
      <c r="B1266" s="101"/>
      <c r="C1266" s="101"/>
      <c r="D1266" s="101"/>
      <c r="E1266" s="101"/>
      <c r="F1266" s="102"/>
      <c r="G1266" s="101"/>
      <c r="H1266" s="102"/>
      <c r="I1266" s="101"/>
      <c r="J1266" s="101"/>
      <c r="K1266" s="103"/>
      <c r="L1266" s="103"/>
      <c r="M1266" s="103"/>
      <c r="N1266" s="103"/>
      <c r="O1266" s="103"/>
      <c r="P1266" s="98"/>
      <c r="Q1266" s="99"/>
      <c r="R1266" s="105">
        <f t="shared" si="62"/>
        <v>0</v>
      </c>
      <c r="S1266" s="108">
        <f t="shared" si="61"/>
        <v>0</v>
      </c>
      <c r="T1266" s="105">
        <f t="shared" si="63"/>
        <v>0</v>
      </c>
    </row>
    <row r="1267" spans="1:20">
      <c r="A1267" s="101"/>
      <c r="B1267" s="101"/>
      <c r="C1267" s="101"/>
      <c r="D1267" s="101"/>
      <c r="E1267" s="101"/>
      <c r="F1267" s="102"/>
      <c r="G1267" s="101"/>
      <c r="H1267" s="102"/>
      <c r="I1267" s="101"/>
      <c r="J1267" s="101"/>
      <c r="K1267" s="103"/>
      <c r="L1267" s="103"/>
      <c r="M1267" s="103"/>
      <c r="N1267" s="103"/>
      <c r="O1267" s="103"/>
      <c r="P1267" s="98"/>
      <c r="Q1267" s="99"/>
      <c r="R1267" s="104">
        <f t="shared" si="62"/>
        <v>0</v>
      </c>
      <c r="S1267" s="104">
        <f t="shared" si="61"/>
        <v>0</v>
      </c>
      <c r="T1267" s="104">
        <f t="shared" si="63"/>
        <v>0</v>
      </c>
    </row>
    <row r="1268" spans="1:20">
      <c r="A1268" s="101"/>
      <c r="B1268" s="101"/>
      <c r="C1268" s="101"/>
      <c r="D1268" s="101"/>
      <c r="E1268" s="101"/>
      <c r="F1268" s="102"/>
      <c r="G1268" s="101"/>
      <c r="H1268" s="102"/>
      <c r="I1268" s="101"/>
      <c r="J1268" s="101"/>
      <c r="K1268" s="103"/>
      <c r="L1268" s="103"/>
      <c r="M1268" s="103"/>
      <c r="N1268" s="103"/>
      <c r="O1268" s="103"/>
      <c r="P1268" s="98"/>
      <c r="Q1268" s="99"/>
      <c r="R1268" s="105">
        <f t="shared" si="62"/>
        <v>0</v>
      </c>
      <c r="S1268" s="108">
        <f t="shared" si="61"/>
        <v>0</v>
      </c>
      <c r="T1268" s="105">
        <f t="shared" si="63"/>
        <v>0</v>
      </c>
    </row>
    <row r="1269" spans="1:20">
      <c r="A1269" s="101"/>
      <c r="B1269" s="101"/>
      <c r="C1269" s="101"/>
      <c r="D1269" s="101"/>
      <c r="E1269" s="101"/>
      <c r="F1269" s="102"/>
      <c r="G1269" s="101"/>
      <c r="H1269" s="102"/>
      <c r="I1269" s="101"/>
      <c r="J1269" s="101"/>
      <c r="K1269" s="103"/>
      <c r="L1269" s="103"/>
      <c r="M1269" s="103"/>
      <c r="N1269" s="103"/>
      <c r="O1269" s="103"/>
      <c r="P1269" s="98"/>
      <c r="Q1269" s="99"/>
      <c r="R1269" s="104">
        <f t="shared" si="62"/>
        <v>0</v>
      </c>
      <c r="S1269" s="104">
        <f t="shared" si="61"/>
        <v>0</v>
      </c>
      <c r="T1269" s="104">
        <f t="shared" si="63"/>
        <v>0</v>
      </c>
    </row>
    <row r="1270" spans="1:20">
      <c r="A1270" s="101"/>
      <c r="B1270" s="101"/>
      <c r="C1270" s="101"/>
      <c r="D1270" s="101"/>
      <c r="E1270" s="101"/>
      <c r="F1270" s="102"/>
      <c r="G1270" s="101"/>
      <c r="H1270" s="102"/>
      <c r="I1270" s="101"/>
      <c r="J1270" s="101"/>
      <c r="K1270" s="103"/>
      <c r="L1270" s="103"/>
      <c r="M1270" s="103"/>
      <c r="N1270" s="103"/>
      <c r="O1270" s="103"/>
      <c r="P1270" s="98"/>
      <c r="Q1270" s="99"/>
      <c r="R1270" s="105">
        <f t="shared" si="62"/>
        <v>0</v>
      </c>
      <c r="S1270" s="108">
        <f t="shared" si="61"/>
        <v>0</v>
      </c>
      <c r="T1270" s="105">
        <f t="shared" si="63"/>
        <v>0</v>
      </c>
    </row>
    <row r="1271" spans="1:20">
      <c r="A1271" s="101"/>
      <c r="B1271" s="101"/>
      <c r="C1271" s="101"/>
      <c r="D1271" s="101"/>
      <c r="E1271" s="101"/>
      <c r="F1271" s="102"/>
      <c r="G1271" s="101"/>
      <c r="H1271" s="102"/>
      <c r="I1271" s="101"/>
      <c r="J1271" s="101"/>
      <c r="K1271" s="103"/>
      <c r="L1271" s="103"/>
      <c r="M1271" s="103"/>
      <c r="N1271" s="103"/>
      <c r="O1271" s="103"/>
      <c r="P1271" s="98"/>
      <c r="Q1271" s="99"/>
      <c r="R1271" s="104">
        <f t="shared" si="62"/>
        <v>0</v>
      </c>
      <c r="S1271" s="104">
        <f t="shared" si="61"/>
        <v>0</v>
      </c>
      <c r="T1271" s="104">
        <f t="shared" si="63"/>
        <v>0</v>
      </c>
    </row>
    <row r="1272" spans="1:20">
      <c r="A1272" s="101"/>
      <c r="B1272" s="101"/>
      <c r="C1272" s="101"/>
      <c r="D1272" s="101"/>
      <c r="E1272" s="101"/>
      <c r="F1272" s="102"/>
      <c r="G1272" s="101"/>
      <c r="H1272" s="102"/>
      <c r="I1272" s="101"/>
      <c r="J1272" s="101"/>
      <c r="K1272" s="103"/>
      <c r="L1272" s="103"/>
      <c r="M1272" s="103"/>
      <c r="N1272" s="103"/>
      <c r="O1272" s="103"/>
      <c r="P1272" s="98"/>
      <c r="Q1272" s="99"/>
      <c r="R1272" s="105">
        <f t="shared" si="62"/>
        <v>0</v>
      </c>
      <c r="S1272" s="108">
        <f t="shared" si="61"/>
        <v>0</v>
      </c>
      <c r="T1272" s="105">
        <f t="shared" si="63"/>
        <v>0</v>
      </c>
    </row>
    <row r="1273" spans="1:20">
      <c r="A1273" s="101"/>
      <c r="B1273" s="101"/>
      <c r="C1273" s="101"/>
      <c r="D1273" s="101"/>
      <c r="E1273" s="101"/>
      <c r="F1273" s="102"/>
      <c r="G1273" s="101"/>
      <c r="H1273" s="102"/>
      <c r="I1273" s="101"/>
      <c r="J1273" s="101"/>
      <c r="K1273" s="103"/>
      <c r="L1273" s="103"/>
      <c r="M1273" s="103"/>
      <c r="N1273" s="103"/>
      <c r="O1273" s="103"/>
      <c r="P1273" s="98"/>
      <c r="Q1273" s="99"/>
      <c r="R1273" s="104">
        <f t="shared" si="62"/>
        <v>0</v>
      </c>
      <c r="S1273" s="104">
        <f t="shared" si="61"/>
        <v>0</v>
      </c>
      <c r="T1273" s="104">
        <f t="shared" si="63"/>
        <v>0</v>
      </c>
    </row>
    <row r="1274" spans="1:20">
      <c r="A1274" s="101"/>
      <c r="B1274" s="101"/>
      <c r="C1274" s="101"/>
      <c r="D1274" s="101"/>
      <c r="E1274" s="101"/>
      <c r="F1274" s="102"/>
      <c r="G1274" s="101"/>
      <c r="H1274" s="102"/>
      <c r="I1274" s="101"/>
      <c r="J1274" s="101"/>
      <c r="K1274" s="103"/>
      <c r="L1274" s="103"/>
      <c r="M1274" s="103"/>
      <c r="N1274" s="103"/>
      <c r="O1274" s="103"/>
      <c r="P1274" s="98"/>
      <c r="Q1274" s="99"/>
      <c r="R1274" s="105">
        <f t="shared" si="62"/>
        <v>0</v>
      </c>
      <c r="S1274" s="108">
        <f t="shared" si="61"/>
        <v>0</v>
      </c>
      <c r="T1274" s="105">
        <f t="shared" si="63"/>
        <v>0</v>
      </c>
    </row>
    <row r="1275" spans="1:20">
      <c r="A1275" s="101"/>
      <c r="B1275" s="101"/>
      <c r="C1275" s="101"/>
      <c r="D1275" s="101"/>
      <c r="E1275" s="101"/>
      <c r="F1275" s="102"/>
      <c r="G1275" s="101"/>
      <c r="H1275" s="102"/>
      <c r="I1275" s="101"/>
      <c r="J1275" s="101"/>
      <c r="K1275" s="103"/>
      <c r="L1275" s="103"/>
      <c r="M1275" s="103"/>
      <c r="N1275" s="103"/>
      <c r="O1275" s="103"/>
      <c r="P1275" s="98"/>
      <c r="Q1275" s="99"/>
      <c r="R1275" s="104">
        <f t="shared" si="62"/>
        <v>0</v>
      </c>
      <c r="S1275" s="104">
        <f t="shared" si="61"/>
        <v>0</v>
      </c>
      <c r="T1275" s="104">
        <f t="shared" si="63"/>
        <v>0</v>
      </c>
    </row>
    <row r="1276" spans="1:20">
      <c r="A1276" s="101"/>
      <c r="B1276" s="101"/>
      <c r="C1276" s="101"/>
      <c r="D1276" s="101"/>
      <c r="E1276" s="101"/>
      <c r="F1276" s="102"/>
      <c r="G1276" s="101"/>
      <c r="H1276" s="102"/>
      <c r="I1276" s="101"/>
      <c r="J1276" s="101"/>
      <c r="K1276" s="103"/>
      <c r="L1276" s="103"/>
      <c r="M1276" s="103"/>
      <c r="N1276" s="103"/>
      <c r="O1276" s="103"/>
      <c r="P1276" s="98"/>
      <c r="Q1276" s="99"/>
      <c r="R1276" s="105">
        <f t="shared" si="62"/>
        <v>0</v>
      </c>
      <c r="S1276" s="108">
        <f t="shared" si="61"/>
        <v>0</v>
      </c>
      <c r="T1276" s="105">
        <f t="shared" si="63"/>
        <v>0</v>
      </c>
    </row>
    <row r="1277" spans="1:20">
      <c r="A1277" s="101"/>
      <c r="B1277" s="101"/>
      <c r="C1277" s="101"/>
      <c r="D1277" s="101"/>
      <c r="E1277" s="101"/>
      <c r="F1277" s="102"/>
      <c r="G1277" s="101"/>
      <c r="H1277" s="102"/>
      <c r="I1277" s="101"/>
      <c r="J1277" s="101"/>
      <c r="K1277" s="103"/>
      <c r="L1277" s="103"/>
      <c r="M1277" s="103"/>
      <c r="N1277" s="103"/>
      <c r="O1277" s="103"/>
      <c r="P1277" s="98"/>
      <c r="Q1277" s="99"/>
      <c r="R1277" s="104">
        <f t="shared" si="62"/>
        <v>0</v>
      </c>
      <c r="S1277" s="104">
        <f t="shared" si="61"/>
        <v>0</v>
      </c>
      <c r="T1277" s="104">
        <f t="shared" si="63"/>
        <v>0</v>
      </c>
    </row>
    <row r="1278" spans="1:20">
      <c r="A1278" s="101"/>
      <c r="B1278" s="101"/>
      <c r="C1278" s="101"/>
      <c r="D1278" s="101"/>
      <c r="E1278" s="101"/>
      <c r="F1278" s="102"/>
      <c r="G1278" s="101"/>
      <c r="H1278" s="102"/>
      <c r="I1278" s="101"/>
      <c r="J1278" s="101"/>
      <c r="K1278" s="103"/>
      <c r="L1278" s="103"/>
      <c r="M1278" s="103"/>
      <c r="N1278" s="103"/>
      <c r="O1278" s="103"/>
      <c r="P1278" s="98"/>
      <c r="Q1278" s="99"/>
      <c r="R1278" s="105">
        <f t="shared" si="62"/>
        <v>0</v>
      </c>
      <c r="S1278" s="108">
        <f t="shared" si="61"/>
        <v>0</v>
      </c>
      <c r="T1278" s="105">
        <f t="shared" si="63"/>
        <v>0</v>
      </c>
    </row>
    <row r="1279" spans="1:20">
      <c r="A1279" s="101"/>
      <c r="B1279" s="101"/>
      <c r="C1279" s="101"/>
      <c r="D1279" s="101"/>
      <c r="E1279" s="101"/>
      <c r="F1279" s="102"/>
      <c r="G1279" s="101"/>
      <c r="H1279" s="102"/>
      <c r="I1279" s="101"/>
      <c r="J1279" s="101"/>
      <c r="K1279" s="103"/>
      <c r="L1279" s="103"/>
      <c r="M1279" s="103"/>
      <c r="N1279" s="103"/>
      <c r="O1279" s="103"/>
      <c r="P1279" s="98"/>
      <c r="Q1279" s="99"/>
      <c r="R1279" s="104">
        <f t="shared" si="62"/>
        <v>0</v>
      </c>
      <c r="S1279" s="104">
        <f t="shared" si="61"/>
        <v>0</v>
      </c>
      <c r="T1279" s="104">
        <f t="shared" si="63"/>
        <v>0</v>
      </c>
    </row>
    <row r="1280" spans="1:20">
      <c r="A1280" s="101"/>
      <c r="B1280" s="101"/>
      <c r="C1280" s="101"/>
      <c r="D1280" s="101"/>
      <c r="E1280" s="101"/>
      <c r="F1280" s="102"/>
      <c r="G1280" s="101"/>
      <c r="H1280" s="102"/>
      <c r="I1280" s="101"/>
      <c r="J1280" s="101"/>
      <c r="K1280" s="103"/>
      <c r="L1280" s="103"/>
      <c r="M1280" s="103"/>
      <c r="N1280" s="103"/>
      <c r="O1280" s="103"/>
      <c r="P1280" s="98"/>
      <c r="Q1280" s="99"/>
      <c r="R1280" s="105">
        <f t="shared" si="62"/>
        <v>0</v>
      </c>
      <c r="S1280" s="108">
        <f t="shared" si="61"/>
        <v>0</v>
      </c>
      <c r="T1280" s="105">
        <f t="shared" si="63"/>
        <v>0</v>
      </c>
    </row>
    <row r="1281" spans="1:20">
      <c r="A1281" s="101"/>
      <c r="B1281" s="101"/>
      <c r="C1281" s="101"/>
      <c r="D1281" s="101"/>
      <c r="E1281" s="101"/>
      <c r="F1281" s="102"/>
      <c r="G1281" s="101"/>
      <c r="H1281" s="102"/>
      <c r="I1281" s="101"/>
      <c r="J1281" s="101"/>
      <c r="K1281" s="103"/>
      <c r="L1281" s="103"/>
      <c r="M1281" s="103"/>
      <c r="N1281" s="103"/>
      <c r="O1281" s="103"/>
      <c r="P1281" s="98"/>
      <c r="Q1281" s="99"/>
      <c r="R1281" s="104">
        <f t="shared" si="62"/>
        <v>0</v>
      </c>
      <c r="S1281" s="104">
        <f t="shared" si="61"/>
        <v>0</v>
      </c>
      <c r="T1281" s="104">
        <f t="shared" si="63"/>
        <v>0</v>
      </c>
    </row>
    <row r="1282" spans="1:20">
      <c r="A1282" s="101"/>
      <c r="B1282" s="101"/>
      <c r="C1282" s="101"/>
      <c r="D1282" s="101"/>
      <c r="E1282" s="101"/>
      <c r="F1282" s="102"/>
      <c r="G1282" s="101"/>
      <c r="H1282" s="102"/>
      <c r="I1282" s="101"/>
      <c r="J1282" s="101"/>
      <c r="K1282" s="103"/>
      <c r="L1282" s="103"/>
      <c r="M1282" s="103"/>
      <c r="N1282" s="103"/>
      <c r="O1282" s="103"/>
      <c r="P1282" s="98"/>
      <c r="Q1282" s="99"/>
      <c r="R1282" s="105">
        <f t="shared" si="62"/>
        <v>0</v>
      </c>
      <c r="S1282" s="108">
        <f t="shared" si="61"/>
        <v>0</v>
      </c>
      <c r="T1282" s="105">
        <f t="shared" si="63"/>
        <v>0</v>
      </c>
    </row>
    <row r="1283" spans="1:20">
      <c r="A1283" s="101"/>
      <c r="B1283" s="101"/>
      <c r="C1283" s="101"/>
      <c r="D1283" s="101"/>
      <c r="E1283" s="101"/>
      <c r="F1283" s="102"/>
      <c r="G1283" s="101"/>
      <c r="H1283" s="102"/>
      <c r="I1283" s="101"/>
      <c r="J1283" s="101"/>
      <c r="K1283" s="103"/>
      <c r="L1283" s="103"/>
      <c r="M1283" s="103"/>
      <c r="N1283" s="103"/>
      <c r="O1283" s="103"/>
      <c r="P1283" s="98"/>
      <c r="Q1283" s="99"/>
      <c r="R1283" s="104">
        <f t="shared" si="62"/>
        <v>0</v>
      </c>
      <c r="S1283" s="104">
        <f t="shared" si="61"/>
        <v>0</v>
      </c>
      <c r="T1283" s="104">
        <f t="shared" si="63"/>
        <v>0</v>
      </c>
    </row>
    <row r="1284" spans="1:20">
      <c r="A1284" s="101"/>
      <c r="B1284" s="101"/>
      <c r="C1284" s="101"/>
      <c r="D1284" s="101"/>
      <c r="E1284" s="101"/>
      <c r="F1284" s="102"/>
      <c r="G1284" s="101"/>
      <c r="H1284" s="102"/>
      <c r="I1284" s="101"/>
      <c r="J1284" s="101"/>
      <c r="K1284" s="103"/>
      <c r="L1284" s="103"/>
      <c r="M1284" s="103"/>
      <c r="N1284" s="103"/>
      <c r="O1284" s="103"/>
      <c r="P1284" s="98"/>
      <c r="Q1284" s="99"/>
      <c r="R1284" s="105">
        <f t="shared" si="62"/>
        <v>0</v>
      </c>
      <c r="S1284" s="108">
        <f t="shared" ref="S1284:S1347" si="64">IF(P1284="Abono",K1284+L1284+M1284-N1284-O1284,0)</f>
        <v>0</v>
      </c>
      <c r="T1284" s="105">
        <f t="shared" si="63"/>
        <v>0</v>
      </c>
    </row>
    <row r="1285" spans="1:20">
      <c r="A1285" s="101"/>
      <c r="B1285" s="101"/>
      <c r="C1285" s="101"/>
      <c r="D1285" s="101"/>
      <c r="E1285" s="101"/>
      <c r="F1285" s="102"/>
      <c r="G1285" s="101"/>
      <c r="H1285" s="102"/>
      <c r="I1285" s="101"/>
      <c r="J1285" s="101"/>
      <c r="K1285" s="103"/>
      <c r="L1285" s="103"/>
      <c r="M1285" s="103"/>
      <c r="N1285" s="103"/>
      <c r="O1285" s="103"/>
      <c r="P1285" s="98"/>
      <c r="Q1285" s="99"/>
      <c r="R1285" s="104">
        <f t="shared" ref="R1285:R1348" si="65">IF(P1285="Cargo",K1285+L1285-M1285-N1285+O1285,0)</f>
        <v>0</v>
      </c>
      <c r="S1285" s="104">
        <f t="shared" si="64"/>
        <v>0</v>
      </c>
      <c r="T1285" s="104">
        <f t="shared" ref="T1285:T1348" si="66">IF(Q1285="OK",+T1284+R1285-S1285,T1284)</f>
        <v>0</v>
      </c>
    </row>
    <row r="1286" spans="1:20">
      <c r="A1286" s="101"/>
      <c r="B1286" s="101"/>
      <c r="C1286" s="101"/>
      <c r="D1286" s="101"/>
      <c r="E1286" s="101"/>
      <c r="F1286" s="102"/>
      <c r="G1286" s="101"/>
      <c r="H1286" s="102"/>
      <c r="I1286" s="101"/>
      <c r="J1286" s="101"/>
      <c r="K1286" s="103"/>
      <c r="L1286" s="103"/>
      <c r="M1286" s="103"/>
      <c r="N1286" s="103"/>
      <c r="O1286" s="103"/>
      <c r="P1286" s="98"/>
      <c r="Q1286" s="99"/>
      <c r="R1286" s="105">
        <f t="shared" si="65"/>
        <v>0</v>
      </c>
      <c r="S1286" s="108">
        <f t="shared" si="64"/>
        <v>0</v>
      </c>
      <c r="T1286" s="105">
        <f t="shared" si="66"/>
        <v>0</v>
      </c>
    </row>
    <row r="1287" spans="1:20">
      <c r="A1287" s="101"/>
      <c r="B1287" s="101"/>
      <c r="C1287" s="101"/>
      <c r="D1287" s="101"/>
      <c r="E1287" s="101"/>
      <c r="F1287" s="102"/>
      <c r="G1287" s="101"/>
      <c r="H1287" s="102"/>
      <c r="I1287" s="101"/>
      <c r="J1287" s="101"/>
      <c r="K1287" s="103"/>
      <c r="L1287" s="103"/>
      <c r="M1287" s="103"/>
      <c r="N1287" s="103"/>
      <c r="O1287" s="103"/>
      <c r="P1287" s="98"/>
      <c r="Q1287" s="99"/>
      <c r="R1287" s="104">
        <f t="shared" si="65"/>
        <v>0</v>
      </c>
      <c r="S1287" s="104">
        <f t="shared" si="64"/>
        <v>0</v>
      </c>
      <c r="T1287" s="104">
        <f t="shared" si="66"/>
        <v>0</v>
      </c>
    </row>
    <row r="1288" spans="1:20">
      <c r="A1288" s="101"/>
      <c r="B1288" s="101"/>
      <c r="C1288" s="101"/>
      <c r="D1288" s="101"/>
      <c r="E1288" s="101"/>
      <c r="F1288" s="102"/>
      <c r="G1288" s="101"/>
      <c r="H1288" s="102"/>
      <c r="I1288" s="101"/>
      <c r="J1288" s="101"/>
      <c r="K1288" s="103"/>
      <c r="L1288" s="103"/>
      <c r="M1288" s="103"/>
      <c r="N1288" s="103"/>
      <c r="O1288" s="103"/>
      <c r="P1288" s="98"/>
      <c r="Q1288" s="99"/>
      <c r="R1288" s="105">
        <f t="shared" si="65"/>
        <v>0</v>
      </c>
      <c r="S1288" s="108">
        <f t="shared" si="64"/>
        <v>0</v>
      </c>
      <c r="T1288" s="105">
        <f t="shared" si="66"/>
        <v>0</v>
      </c>
    </row>
    <row r="1289" spans="1:20">
      <c r="A1289" s="101"/>
      <c r="B1289" s="101"/>
      <c r="C1289" s="101"/>
      <c r="D1289" s="101"/>
      <c r="E1289" s="101"/>
      <c r="F1289" s="102"/>
      <c r="G1289" s="101"/>
      <c r="H1289" s="102"/>
      <c r="I1289" s="101"/>
      <c r="J1289" s="101"/>
      <c r="K1289" s="103"/>
      <c r="L1289" s="103"/>
      <c r="M1289" s="103"/>
      <c r="N1289" s="103"/>
      <c r="O1289" s="103"/>
      <c r="P1289" s="98"/>
      <c r="Q1289" s="99"/>
      <c r="R1289" s="104">
        <f t="shared" si="65"/>
        <v>0</v>
      </c>
      <c r="S1289" s="104">
        <f t="shared" si="64"/>
        <v>0</v>
      </c>
      <c r="T1289" s="104">
        <f t="shared" si="66"/>
        <v>0</v>
      </c>
    </row>
    <row r="1290" spans="1:20">
      <c r="A1290" s="101"/>
      <c r="B1290" s="101"/>
      <c r="C1290" s="101"/>
      <c r="D1290" s="101"/>
      <c r="E1290" s="101"/>
      <c r="F1290" s="102"/>
      <c r="G1290" s="101"/>
      <c r="H1290" s="102"/>
      <c r="I1290" s="101"/>
      <c r="J1290" s="101"/>
      <c r="K1290" s="103"/>
      <c r="L1290" s="103"/>
      <c r="M1290" s="103"/>
      <c r="N1290" s="103"/>
      <c r="O1290" s="103"/>
      <c r="P1290" s="98"/>
      <c r="Q1290" s="99"/>
      <c r="R1290" s="105">
        <f t="shared" si="65"/>
        <v>0</v>
      </c>
      <c r="S1290" s="108">
        <f t="shared" si="64"/>
        <v>0</v>
      </c>
      <c r="T1290" s="105">
        <f t="shared" si="66"/>
        <v>0</v>
      </c>
    </row>
    <row r="1291" spans="1:20">
      <c r="A1291" s="101"/>
      <c r="B1291" s="101"/>
      <c r="C1291" s="101"/>
      <c r="D1291" s="101"/>
      <c r="E1291" s="101"/>
      <c r="F1291" s="102"/>
      <c r="G1291" s="101"/>
      <c r="H1291" s="102"/>
      <c r="I1291" s="101"/>
      <c r="J1291" s="101"/>
      <c r="K1291" s="103"/>
      <c r="L1291" s="103"/>
      <c r="M1291" s="103"/>
      <c r="N1291" s="103"/>
      <c r="O1291" s="103"/>
      <c r="P1291" s="98"/>
      <c r="Q1291" s="99"/>
      <c r="R1291" s="104">
        <f t="shared" si="65"/>
        <v>0</v>
      </c>
      <c r="S1291" s="104">
        <f t="shared" si="64"/>
        <v>0</v>
      </c>
      <c r="T1291" s="104">
        <f t="shared" si="66"/>
        <v>0</v>
      </c>
    </row>
    <row r="1292" spans="1:20">
      <c r="A1292" s="101"/>
      <c r="B1292" s="101"/>
      <c r="C1292" s="101"/>
      <c r="D1292" s="101"/>
      <c r="E1292" s="101"/>
      <c r="F1292" s="102"/>
      <c r="G1292" s="101"/>
      <c r="H1292" s="102"/>
      <c r="I1292" s="101"/>
      <c r="J1292" s="101"/>
      <c r="K1292" s="103"/>
      <c r="L1292" s="103"/>
      <c r="M1292" s="103"/>
      <c r="N1292" s="103"/>
      <c r="O1292" s="103"/>
      <c r="P1292" s="98"/>
      <c r="Q1292" s="99"/>
      <c r="R1292" s="105">
        <f t="shared" si="65"/>
        <v>0</v>
      </c>
      <c r="S1292" s="108">
        <f t="shared" si="64"/>
        <v>0</v>
      </c>
      <c r="T1292" s="105">
        <f t="shared" si="66"/>
        <v>0</v>
      </c>
    </row>
    <row r="1293" spans="1:20">
      <c r="A1293" s="101"/>
      <c r="B1293" s="101"/>
      <c r="C1293" s="101"/>
      <c r="D1293" s="101"/>
      <c r="E1293" s="101"/>
      <c r="F1293" s="102"/>
      <c r="G1293" s="101"/>
      <c r="H1293" s="102"/>
      <c r="I1293" s="101"/>
      <c r="J1293" s="101"/>
      <c r="K1293" s="103"/>
      <c r="L1293" s="103"/>
      <c r="M1293" s="103"/>
      <c r="N1293" s="103"/>
      <c r="O1293" s="103"/>
      <c r="P1293" s="98"/>
      <c r="Q1293" s="99"/>
      <c r="R1293" s="104">
        <f t="shared" si="65"/>
        <v>0</v>
      </c>
      <c r="S1293" s="104">
        <f t="shared" si="64"/>
        <v>0</v>
      </c>
      <c r="T1293" s="104">
        <f t="shared" si="66"/>
        <v>0</v>
      </c>
    </row>
    <row r="1294" spans="1:20">
      <c r="A1294" s="101"/>
      <c r="B1294" s="101"/>
      <c r="C1294" s="101"/>
      <c r="D1294" s="101"/>
      <c r="E1294" s="101"/>
      <c r="F1294" s="102"/>
      <c r="G1294" s="101"/>
      <c r="H1294" s="102"/>
      <c r="I1294" s="101"/>
      <c r="J1294" s="101"/>
      <c r="K1294" s="103"/>
      <c r="L1294" s="103"/>
      <c r="M1294" s="103"/>
      <c r="N1294" s="103"/>
      <c r="O1294" s="103"/>
      <c r="P1294" s="98"/>
      <c r="Q1294" s="99"/>
      <c r="R1294" s="105">
        <f t="shared" si="65"/>
        <v>0</v>
      </c>
      <c r="S1294" s="108">
        <f t="shared" si="64"/>
        <v>0</v>
      </c>
      <c r="T1294" s="105">
        <f t="shared" si="66"/>
        <v>0</v>
      </c>
    </row>
    <row r="1295" spans="1:20">
      <c r="A1295" s="101"/>
      <c r="B1295" s="101"/>
      <c r="C1295" s="101"/>
      <c r="D1295" s="101"/>
      <c r="E1295" s="101"/>
      <c r="F1295" s="102"/>
      <c r="G1295" s="101"/>
      <c r="H1295" s="102"/>
      <c r="I1295" s="101"/>
      <c r="J1295" s="101"/>
      <c r="K1295" s="103"/>
      <c r="L1295" s="103"/>
      <c r="M1295" s="103"/>
      <c r="N1295" s="103"/>
      <c r="O1295" s="103"/>
      <c r="P1295" s="98"/>
      <c r="Q1295" s="99"/>
      <c r="R1295" s="104">
        <f t="shared" si="65"/>
        <v>0</v>
      </c>
      <c r="S1295" s="104">
        <f t="shared" si="64"/>
        <v>0</v>
      </c>
      <c r="T1295" s="104">
        <f t="shared" si="66"/>
        <v>0</v>
      </c>
    </row>
    <row r="1296" spans="1:20">
      <c r="A1296" s="101"/>
      <c r="B1296" s="101"/>
      <c r="C1296" s="101"/>
      <c r="D1296" s="101"/>
      <c r="E1296" s="101"/>
      <c r="F1296" s="102"/>
      <c r="G1296" s="101"/>
      <c r="H1296" s="102"/>
      <c r="I1296" s="101"/>
      <c r="J1296" s="101"/>
      <c r="K1296" s="103"/>
      <c r="L1296" s="103"/>
      <c r="M1296" s="103"/>
      <c r="N1296" s="103"/>
      <c r="O1296" s="103"/>
      <c r="P1296" s="98"/>
      <c r="Q1296" s="99"/>
      <c r="R1296" s="105">
        <f t="shared" si="65"/>
        <v>0</v>
      </c>
      <c r="S1296" s="108">
        <f t="shared" si="64"/>
        <v>0</v>
      </c>
      <c r="T1296" s="105">
        <f t="shared" si="66"/>
        <v>0</v>
      </c>
    </row>
    <row r="1297" spans="1:20">
      <c r="A1297" s="101"/>
      <c r="B1297" s="101"/>
      <c r="C1297" s="101"/>
      <c r="D1297" s="101"/>
      <c r="E1297" s="101"/>
      <c r="F1297" s="102"/>
      <c r="G1297" s="101"/>
      <c r="H1297" s="102"/>
      <c r="I1297" s="101"/>
      <c r="J1297" s="101"/>
      <c r="K1297" s="103"/>
      <c r="L1297" s="103"/>
      <c r="M1297" s="103"/>
      <c r="N1297" s="103"/>
      <c r="O1297" s="103"/>
      <c r="P1297" s="98"/>
      <c r="Q1297" s="99"/>
      <c r="R1297" s="104">
        <f t="shared" si="65"/>
        <v>0</v>
      </c>
      <c r="S1297" s="104">
        <f t="shared" si="64"/>
        <v>0</v>
      </c>
      <c r="T1297" s="104">
        <f t="shared" si="66"/>
        <v>0</v>
      </c>
    </row>
    <row r="1298" spans="1:20">
      <c r="A1298" s="101"/>
      <c r="B1298" s="101"/>
      <c r="C1298" s="101"/>
      <c r="D1298" s="101"/>
      <c r="E1298" s="101"/>
      <c r="F1298" s="102"/>
      <c r="G1298" s="101"/>
      <c r="H1298" s="102"/>
      <c r="I1298" s="101"/>
      <c r="J1298" s="101"/>
      <c r="K1298" s="103"/>
      <c r="L1298" s="103"/>
      <c r="M1298" s="103"/>
      <c r="N1298" s="103"/>
      <c r="O1298" s="103"/>
      <c r="P1298" s="98"/>
      <c r="Q1298" s="99"/>
      <c r="R1298" s="105">
        <f t="shared" si="65"/>
        <v>0</v>
      </c>
      <c r="S1298" s="108">
        <f t="shared" si="64"/>
        <v>0</v>
      </c>
      <c r="T1298" s="105">
        <f t="shared" si="66"/>
        <v>0</v>
      </c>
    </row>
    <row r="1299" spans="1:20">
      <c r="A1299" s="101"/>
      <c r="B1299" s="101"/>
      <c r="C1299" s="101"/>
      <c r="D1299" s="101"/>
      <c r="E1299" s="101"/>
      <c r="F1299" s="102"/>
      <c r="G1299" s="101"/>
      <c r="H1299" s="102"/>
      <c r="I1299" s="101"/>
      <c r="J1299" s="101"/>
      <c r="K1299" s="103"/>
      <c r="L1299" s="103"/>
      <c r="M1299" s="103"/>
      <c r="N1299" s="103"/>
      <c r="O1299" s="103"/>
      <c r="P1299" s="98"/>
      <c r="Q1299" s="99"/>
      <c r="R1299" s="104">
        <f t="shared" si="65"/>
        <v>0</v>
      </c>
      <c r="S1299" s="104">
        <f t="shared" si="64"/>
        <v>0</v>
      </c>
      <c r="T1299" s="104">
        <f t="shared" si="66"/>
        <v>0</v>
      </c>
    </row>
    <row r="1300" spans="1:20">
      <c r="A1300" s="101"/>
      <c r="B1300" s="101"/>
      <c r="C1300" s="101"/>
      <c r="D1300" s="101"/>
      <c r="E1300" s="101"/>
      <c r="F1300" s="102"/>
      <c r="G1300" s="101"/>
      <c r="H1300" s="102"/>
      <c r="I1300" s="101"/>
      <c r="J1300" s="101"/>
      <c r="K1300" s="103"/>
      <c r="L1300" s="103"/>
      <c r="M1300" s="103"/>
      <c r="N1300" s="103"/>
      <c r="O1300" s="103"/>
      <c r="P1300" s="98"/>
      <c r="Q1300" s="99"/>
      <c r="R1300" s="105">
        <f t="shared" si="65"/>
        <v>0</v>
      </c>
      <c r="S1300" s="108">
        <f t="shared" si="64"/>
        <v>0</v>
      </c>
      <c r="T1300" s="105">
        <f t="shared" si="66"/>
        <v>0</v>
      </c>
    </row>
    <row r="1301" spans="1:20">
      <c r="A1301" s="101"/>
      <c r="B1301" s="101"/>
      <c r="C1301" s="101"/>
      <c r="D1301" s="101"/>
      <c r="E1301" s="101"/>
      <c r="F1301" s="102"/>
      <c r="G1301" s="101"/>
      <c r="H1301" s="102"/>
      <c r="I1301" s="101"/>
      <c r="J1301" s="101"/>
      <c r="K1301" s="103"/>
      <c r="L1301" s="103"/>
      <c r="M1301" s="103"/>
      <c r="N1301" s="103"/>
      <c r="O1301" s="103"/>
      <c r="P1301" s="98"/>
      <c r="Q1301" s="99"/>
      <c r="R1301" s="104">
        <f t="shared" si="65"/>
        <v>0</v>
      </c>
      <c r="S1301" s="104">
        <f t="shared" si="64"/>
        <v>0</v>
      </c>
      <c r="T1301" s="104">
        <f t="shared" si="66"/>
        <v>0</v>
      </c>
    </row>
    <row r="1302" spans="1:20">
      <c r="A1302" s="101"/>
      <c r="B1302" s="101"/>
      <c r="C1302" s="101"/>
      <c r="D1302" s="101"/>
      <c r="E1302" s="101"/>
      <c r="F1302" s="102"/>
      <c r="G1302" s="101"/>
      <c r="H1302" s="102"/>
      <c r="I1302" s="101"/>
      <c r="J1302" s="101"/>
      <c r="K1302" s="103"/>
      <c r="L1302" s="103"/>
      <c r="M1302" s="103"/>
      <c r="N1302" s="103"/>
      <c r="O1302" s="103"/>
      <c r="P1302" s="98"/>
      <c r="Q1302" s="99"/>
      <c r="R1302" s="105">
        <f t="shared" si="65"/>
        <v>0</v>
      </c>
      <c r="S1302" s="108">
        <f t="shared" si="64"/>
        <v>0</v>
      </c>
      <c r="T1302" s="105">
        <f t="shared" si="66"/>
        <v>0</v>
      </c>
    </row>
    <row r="1303" spans="1:20">
      <c r="A1303" s="101"/>
      <c r="B1303" s="101"/>
      <c r="C1303" s="101"/>
      <c r="D1303" s="101"/>
      <c r="E1303" s="101"/>
      <c r="F1303" s="102"/>
      <c r="G1303" s="101"/>
      <c r="H1303" s="102"/>
      <c r="I1303" s="101"/>
      <c r="J1303" s="101"/>
      <c r="K1303" s="103"/>
      <c r="L1303" s="103"/>
      <c r="M1303" s="103"/>
      <c r="N1303" s="103"/>
      <c r="O1303" s="103"/>
      <c r="P1303" s="98"/>
      <c r="Q1303" s="99"/>
      <c r="R1303" s="104">
        <f t="shared" si="65"/>
        <v>0</v>
      </c>
      <c r="S1303" s="104">
        <f t="shared" si="64"/>
        <v>0</v>
      </c>
      <c r="T1303" s="104">
        <f t="shared" si="66"/>
        <v>0</v>
      </c>
    </row>
    <row r="1304" spans="1:20">
      <c r="A1304" s="101"/>
      <c r="B1304" s="101"/>
      <c r="C1304" s="101"/>
      <c r="D1304" s="101"/>
      <c r="E1304" s="101"/>
      <c r="F1304" s="102"/>
      <c r="G1304" s="101"/>
      <c r="H1304" s="102"/>
      <c r="I1304" s="101"/>
      <c r="J1304" s="101"/>
      <c r="K1304" s="103"/>
      <c r="L1304" s="103"/>
      <c r="M1304" s="103"/>
      <c r="N1304" s="103"/>
      <c r="O1304" s="103"/>
      <c r="P1304" s="98"/>
      <c r="Q1304" s="99"/>
      <c r="R1304" s="105">
        <f t="shared" si="65"/>
        <v>0</v>
      </c>
      <c r="S1304" s="108">
        <f t="shared" si="64"/>
        <v>0</v>
      </c>
      <c r="T1304" s="105">
        <f t="shared" si="66"/>
        <v>0</v>
      </c>
    </row>
    <row r="1305" spans="1:20">
      <c r="A1305" s="101"/>
      <c r="B1305" s="101"/>
      <c r="C1305" s="101"/>
      <c r="D1305" s="101"/>
      <c r="E1305" s="101"/>
      <c r="F1305" s="102"/>
      <c r="G1305" s="101"/>
      <c r="H1305" s="102"/>
      <c r="I1305" s="101"/>
      <c r="J1305" s="101"/>
      <c r="K1305" s="103"/>
      <c r="L1305" s="103"/>
      <c r="M1305" s="103"/>
      <c r="N1305" s="103"/>
      <c r="O1305" s="103"/>
      <c r="P1305" s="98"/>
      <c r="Q1305" s="99"/>
      <c r="R1305" s="104">
        <f t="shared" si="65"/>
        <v>0</v>
      </c>
      <c r="S1305" s="104">
        <f t="shared" si="64"/>
        <v>0</v>
      </c>
      <c r="T1305" s="104">
        <f t="shared" si="66"/>
        <v>0</v>
      </c>
    </row>
    <row r="1306" spans="1:20">
      <c r="A1306" s="101"/>
      <c r="B1306" s="101"/>
      <c r="C1306" s="101"/>
      <c r="D1306" s="101"/>
      <c r="E1306" s="101"/>
      <c r="F1306" s="102"/>
      <c r="G1306" s="101"/>
      <c r="H1306" s="102"/>
      <c r="I1306" s="101"/>
      <c r="J1306" s="101"/>
      <c r="K1306" s="103"/>
      <c r="L1306" s="103"/>
      <c r="M1306" s="103"/>
      <c r="N1306" s="103"/>
      <c r="O1306" s="103"/>
      <c r="P1306" s="98"/>
      <c r="Q1306" s="99"/>
      <c r="R1306" s="105">
        <f t="shared" si="65"/>
        <v>0</v>
      </c>
      <c r="S1306" s="108">
        <f t="shared" si="64"/>
        <v>0</v>
      </c>
      <c r="T1306" s="105">
        <f t="shared" si="66"/>
        <v>0</v>
      </c>
    </row>
    <row r="1307" spans="1:20">
      <c r="A1307" s="101"/>
      <c r="B1307" s="101"/>
      <c r="C1307" s="101"/>
      <c r="D1307" s="101"/>
      <c r="E1307" s="101"/>
      <c r="F1307" s="102"/>
      <c r="G1307" s="101"/>
      <c r="H1307" s="102"/>
      <c r="I1307" s="101"/>
      <c r="J1307" s="101"/>
      <c r="K1307" s="103"/>
      <c r="L1307" s="103"/>
      <c r="M1307" s="103"/>
      <c r="N1307" s="103"/>
      <c r="O1307" s="103"/>
      <c r="P1307" s="98"/>
      <c r="Q1307" s="99"/>
      <c r="R1307" s="104">
        <f t="shared" si="65"/>
        <v>0</v>
      </c>
      <c r="S1307" s="104">
        <f t="shared" si="64"/>
        <v>0</v>
      </c>
      <c r="T1307" s="104">
        <f t="shared" si="66"/>
        <v>0</v>
      </c>
    </row>
    <row r="1308" spans="1:20">
      <c r="A1308" s="101"/>
      <c r="B1308" s="101"/>
      <c r="C1308" s="101"/>
      <c r="D1308" s="101"/>
      <c r="E1308" s="101"/>
      <c r="F1308" s="102"/>
      <c r="G1308" s="101"/>
      <c r="H1308" s="102"/>
      <c r="I1308" s="101"/>
      <c r="J1308" s="101"/>
      <c r="K1308" s="103"/>
      <c r="L1308" s="103"/>
      <c r="M1308" s="103"/>
      <c r="N1308" s="103"/>
      <c r="O1308" s="103"/>
      <c r="P1308" s="98"/>
      <c r="Q1308" s="99"/>
      <c r="R1308" s="105">
        <f t="shared" si="65"/>
        <v>0</v>
      </c>
      <c r="S1308" s="108">
        <f t="shared" si="64"/>
        <v>0</v>
      </c>
      <c r="T1308" s="105">
        <f t="shared" si="66"/>
        <v>0</v>
      </c>
    </row>
    <row r="1309" spans="1:20">
      <c r="A1309" s="101"/>
      <c r="B1309" s="101"/>
      <c r="C1309" s="101"/>
      <c r="D1309" s="101"/>
      <c r="E1309" s="101"/>
      <c r="F1309" s="102"/>
      <c r="G1309" s="101"/>
      <c r="H1309" s="102"/>
      <c r="I1309" s="101"/>
      <c r="J1309" s="101"/>
      <c r="K1309" s="103"/>
      <c r="L1309" s="103"/>
      <c r="M1309" s="103"/>
      <c r="N1309" s="103"/>
      <c r="O1309" s="103"/>
      <c r="P1309" s="98"/>
      <c r="Q1309" s="99"/>
      <c r="R1309" s="104">
        <f t="shared" si="65"/>
        <v>0</v>
      </c>
      <c r="S1309" s="104">
        <f t="shared" si="64"/>
        <v>0</v>
      </c>
      <c r="T1309" s="104">
        <f t="shared" si="66"/>
        <v>0</v>
      </c>
    </row>
    <row r="1310" spans="1:20">
      <c r="A1310" s="101"/>
      <c r="B1310" s="101"/>
      <c r="C1310" s="101"/>
      <c r="D1310" s="101"/>
      <c r="E1310" s="101"/>
      <c r="F1310" s="102"/>
      <c r="G1310" s="101"/>
      <c r="H1310" s="102"/>
      <c r="I1310" s="101"/>
      <c r="J1310" s="101"/>
      <c r="K1310" s="103"/>
      <c r="L1310" s="103"/>
      <c r="M1310" s="103"/>
      <c r="N1310" s="103"/>
      <c r="O1310" s="103"/>
      <c r="P1310" s="98"/>
      <c r="Q1310" s="99"/>
      <c r="R1310" s="105">
        <f t="shared" si="65"/>
        <v>0</v>
      </c>
      <c r="S1310" s="108">
        <f t="shared" si="64"/>
        <v>0</v>
      </c>
      <c r="T1310" s="105">
        <f t="shared" si="66"/>
        <v>0</v>
      </c>
    </row>
    <row r="1311" spans="1:20">
      <c r="A1311" s="101"/>
      <c r="B1311" s="101"/>
      <c r="C1311" s="101"/>
      <c r="D1311" s="101"/>
      <c r="E1311" s="101"/>
      <c r="F1311" s="102"/>
      <c r="G1311" s="101"/>
      <c r="H1311" s="102"/>
      <c r="I1311" s="101"/>
      <c r="J1311" s="101"/>
      <c r="K1311" s="103"/>
      <c r="L1311" s="103"/>
      <c r="M1311" s="103"/>
      <c r="N1311" s="103"/>
      <c r="O1311" s="103"/>
      <c r="P1311" s="98"/>
      <c r="Q1311" s="99"/>
      <c r="R1311" s="104">
        <f t="shared" si="65"/>
        <v>0</v>
      </c>
      <c r="S1311" s="104">
        <f t="shared" si="64"/>
        <v>0</v>
      </c>
      <c r="T1311" s="104">
        <f t="shared" si="66"/>
        <v>0</v>
      </c>
    </row>
    <row r="1312" spans="1:20">
      <c r="A1312" s="101"/>
      <c r="B1312" s="101"/>
      <c r="C1312" s="101"/>
      <c r="D1312" s="101"/>
      <c r="E1312" s="101"/>
      <c r="F1312" s="102"/>
      <c r="G1312" s="101"/>
      <c r="H1312" s="102"/>
      <c r="I1312" s="101"/>
      <c r="J1312" s="101"/>
      <c r="K1312" s="103"/>
      <c r="L1312" s="103"/>
      <c r="M1312" s="103"/>
      <c r="N1312" s="103"/>
      <c r="O1312" s="103"/>
      <c r="P1312" s="98"/>
      <c r="Q1312" s="99"/>
      <c r="R1312" s="105">
        <f t="shared" si="65"/>
        <v>0</v>
      </c>
      <c r="S1312" s="108">
        <f t="shared" si="64"/>
        <v>0</v>
      </c>
      <c r="T1312" s="105">
        <f t="shared" si="66"/>
        <v>0</v>
      </c>
    </row>
    <row r="1313" spans="1:20">
      <c r="A1313" s="101"/>
      <c r="B1313" s="101"/>
      <c r="C1313" s="101"/>
      <c r="D1313" s="101"/>
      <c r="E1313" s="101"/>
      <c r="F1313" s="102"/>
      <c r="G1313" s="101"/>
      <c r="H1313" s="102"/>
      <c r="I1313" s="101"/>
      <c r="J1313" s="101"/>
      <c r="K1313" s="103"/>
      <c r="L1313" s="103"/>
      <c r="M1313" s="103"/>
      <c r="N1313" s="103"/>
      <c r="O1313" s="103"/>
      <c r="P1313" s="98"/>
      <c r="Q1313" s="99"/>
      <c r="R1313" s="104">
        <f t="shared" si="65"/>
        <v>0</v>
      </c>
      <c r="S1313" s="104">
        <f t="shared" si="64"/>
        <v>0</v>
      </c>
      <c r="T1313" s="104">
        <f t="shared" si="66"/>
        <v>0</v>
      </c>
    </row>
    <row r="1314" spans="1:20">
      <c r="A1314" s="101"/>
      <c r="B1314" s="101"/>
      <c r="C1314" s="101"/>
      <c r="D1314" s="101"/>
      <c r="E1314" s="101"/>
      <c r="F1314" s="102"/>
      <c r="G1314" s="101"/>
      <c r="H1314" s="102"/>
      <c r="I1314" s="101"/>
      <c r="J1314" s="101"/>
      <c r="K1314" s="103"/>
      <c r="L1314" s="103"/>
      <c r="M1314" s="103"/>
      <c r="N1314" s="103"/>
      <c r="O1314" s="103"/>
      <c r="P1314" s="98"/>
      <c r="Q1314" s="99"/>
      <c r="R1314" s="105">
        <f t="shared" si="65"/>
        <v>0</v>
      </c>
      <c r="S1314" s="108">
        <f t="shared" si="64"/>
        <v>0</v>
      </c>
      <c r="T1314" s="105">
        <f t="shared" si="66"/>
        <v>0</v>
      </c>
    </row>
    <row r="1315" spans="1:20">
      <c r="A1315" s="101"/>
      <c r="B1315" s="101"/>
      <c r="C1315" s="101"/>
      <c r="D1315" s="101"/>
      <c r="E1315" s="101"/>
      <c r="F1315" s="102"/>
      <c r="G1315" s="101"/>
      <c r="H1315" s="102"/>
      <c r="I1315" s="101"/>
      <c r="J1315" s="101"/>
      <c r="K1315" s="103"/>
      <c r="L1315" s="103"/>
      <c r="M1315" s="103"/>
      <c r="N1315" s="103"/>
      <c r="O1315" s="103"/>
      <c r="P1315" s="98"/>
      <c r="Q1315" s="99"/>
      <c r="R1315" s="104">
        <f t="shared" si="65"/>
        <v>0</v>
      </c>
      <c r="S1315" s="104">
        <f t="shared" si="64"/>
        <v>0</v>
      </c>
      <c r="T1315" s="104">
        <f t="shared" si="66"/>
        <v>0</v>
      </c>
    </row>
    <row r="1316" spans="1:20">
      <c r="A1316" s="101"/>
      <c r="B1316" s="101"/>
      <c r="C1316" s="101"/>
      <c r="D1316" s="101"/>
      <c r="E1316" s="101"/>
      <c r="F1316" s="102"/>
      <c r="G1316" s="101"/>
      <c r="H1316" s="102"/>
      <c r="I1316" s="101"/>
      <c r="J1316" s="101"/>
      <c r="K1316" s="103"/>
      <c r="L1316" s="103"/>
      <c r="M1316" s="103"/>
      <c r="N1316" s="103"/>
      <c r="O1316" s="103"/>
      <c r="P1316" s="98"/>
      <c r="Q1316" s="99"/>
      <c r="R1316" s="105">
        <f t="shared" si="65"/>
        <v>0</v>
      </c>
      <c r="S1316" s="108">
        <f t="shared" si="64"/>
        <v>0</v>
      </c>
      <c r="T1316" s="105">
        <f t="shared" si="66"/>
        <v>0</v>
      </c>
    </row>
    <row r="1317" spans="1:20">
      <c r="A1317" s="101"/>
      <c r="B1317" s="101"/>
      <c r="C1317" s="101"/>
      <c r="D1317" s="101"/>
      <c r="E1317" s="101"/>
      <c r="F1317" s="102"/>
      <c r="G1317" s="101"/>
      <c r="H1317" s="102"/>
      <c r="I1317" s="101"/>
      <c r="J1317" s="101"/>
      <c r="K1317" s="103"/>
      <c r="L1317" s="103"/>
      <c r="M1317" s="103"/>
      <c r="N1317" s="103"/>
      <c r="O1317" s="103"/>
      <c r="P1317" s="98"/>
      <c r="Q1317" s="99"/>
      <c r="R1317" s="104">
        <f t="shared" si="65"/>
        <v>0</v>
      </c>
      <c r="S1317" s="104">
        <f t="shared" si="64"/>
        <v>0</v>
      </c>
      <c r="T1317" s="104">
        <f t="shared" si="66"/>
        <v>0</v>
      </c>
    </row>
    <row r="1318" spans="1:20">
      <c r="A1318" s="101"/>
      <c r="B1318" s="101"/>
      <c r="C1318" s="101"/>
      <c r="D1318" s="101"/>
      <c r="E1318" s="101"/>
      <c r="F1318" s="102"/>
      <c r="G1318" s="101"/>
      <c r="H1318" s="102"/>
      <c r="I1318" s="101"/>
      <c r="J1318" s="101"/>
      <c r="K1318" s="103"/>
      <c r="L1318" s="103"/>
      <c r="M1318" s="103"/>
      <c r="N1318" s="103"/>
      <c r="O1318" s="103"/>
      <c r="P1318" s="98"/>
      <c r="Q1318" s="99"/>
      <c r="R1318" s="105">
        <f t="shared" si="65"/>
        <v>0</v>
      </c>
      <c r="S1318" s="108">
        <f t="shared" si="64"/>
        <v>0</v>
      </c>
      <c r="T1318" s="105">
        <f t="shared" si="66"/>
        <v>0</v>
      </c>
    </row>
    <row r="1319" spans="1:20">
      <c r="A1319" s="101"/>
      <c r="B1319" s="101"/>
      <c r="C1319" s="101"/>
      <c r="D1319" s="101"/>
      <c r="E1319" s="101"/>
      <c r="F1319" s="102"/>
      <c r="G1319" s="101"/>
      <c r="H1319" s="102"/>
      <c r="I1319" s="101"/>
      <c r="J1319" s="101"/>
      <c r="K1319" s="103"/>
      <c r="L1319" s="103"/>
      <c r="M1319" s="103"/>
      <c r="N1319" s="103"/>
      <c r="O1319" s="103"/>
      <c r="P1319" s="98"/>
      <c r="Q1319" s="99"/>
      <c r="R1319" s="104">
        <f t="shared" si="65"/>
        <v>0</v>
      </c>
      <c r="S1319" s="104">
        <f t="shared" si="64"/>
        <v>0</v>
      </c>
      <c r="T1319" s="104">
        <f t="shared" si="66"/>
        <v>0</v>
      </c>
    </row>
    <row r="1320" spans="1:20">
      <c r="A1320" s="101"/>
      <c r="B1320" s="101"/>
      <c r="C1320" s="101"/>
      <c r="D1320" s="101"/>
      <c r="E1320" s="101"/>
      <c r="F1320" s="102"/>
      <c r="G1320" s="101"/>
      <c r="H1320" s="102"/>
      <c r="I1320" s="101"/>
      <c r="J1320" s="101"/>
      <c r="K1320" s="103"/>
      <c r="L1320" s="103"/>
      <c r="M1320" s="103"/>
      <c r="N1320" s="103"/>
      <c r="O1320" s="103"/>
      <c r="P1320" s="98"/>
      <c r="Q1320" s="99"/>
      <c r="R1320" s="105">
        <f t="shared" si="65"/>
        <v>0</v>
      </c>
      <c r="S1320" s="108">
        <f t="shared" si="64"/>
        <v>0</v>
      </c>
      <c r="T1320" s="105">
        <f t="shared" si="66"/>
        <v>0</v>
      </c>
    </row>
    <row r="1321" spans="1:20">
      <c r="A1321" s="101"/>
      <c r="B1321" s="101"/>
      <c r="C1321" s="101"/>
      <c r="D1321" s="101"/>
      <c r="E1321" s="101"/>
      <c r="F1321" s="102"/>
      <c r="G1321" s="101"/>
      <c r="H1321" s="102"/>
      <c r="I1321" s="101"/>
      <c r="J1321" s="101"/>
      <c r="K1321" s="103"/>
      <c r="L1321" s="103"/>
      <c r="M1321" s="103"/>
      <c r="N1321" s="103"/>
      <c r="O1321" s="103"/>
      <c r="P1321" s="98"/>
      <c r="Q1321" s="99"/>
      <c r="R1321" s="104">
        <f t="shared" si="65"/>
        <v>0</v>
      </c>
      <c r="S1321" s="104">
        <f t="shared" si="64"/>
        <v>0</v>
      </c>
      <c r="T1321" s="104">
        <f t="shared" si="66"/>
        <v>0</v>
      </c>
    </row>
    <row r="1322" spans="1:20">
      <c r="A1322" s="101"/>
      <c r="B1322" s="101"/>
      <c r="C1322" s="101"/>
      <c r="D1322" s="101"/>
      <c r="E1322" s="101"/>
      <c r="F1322" s="102"/>
      <c r="G1322" s="101"/>
      <c r="H1322" s="102"/>
      <c r="I1322" s="101"/>
      <c r="J1322" s="101"/>
      <c r="K1322" s="103"/>
      <c r="L1322" s="103"/>
      <c r="M1322" s="103"/>
      <c r="N1322" s="103"/>
      <c r="O1322" s="103"/>
      <c r="P1322" s="98"/>
      <c r="Q1322" s="99"/>
      <c r="R1322" s="105">
        <f t="shared" si="65"/>
        <v>0</v>
      </c>
      <c r="S1322" s="108">
        <f t="shared" si="64"/>
        <v>0</v>
      </c>
      <c r="T1322" s="105">
        <f t="shared" si="66"/>
        <v>0</v>
      </c>
    </row>
    <row r="1323" spans="1:20">
      <c r="A1323" s="101"/>
      <c r="B1323" s="101"/>
      <c r="C1323" s="101"/>
      <c r="D1323" s="101"/>
      <c r="E1323" s="101"/>
      <c r="F1323" s="102"/>
      <c r="G1323" s="101"/>
      <c r="H1323" s="102"/>
      <c r="I1323" s="101"/>
      <c r="J1323" s="101"/>
      <c r="K1323" s="103"/>
      <c r="L1323" s="103"/>
      <c r="M1323" s="103"/>
      <c r="N1323" s="103"/>
      <c r="O1323" s="103"/>
      <c r="P1323" s="98"/>
      <c r="Q1323" s="99"/>
      <c r="R1323" s="104">
        <f t="shared" si="65"/>
        <v>0</v>
      </c>
      <c r="S1323" s="104">
        <f t="shared" si="64"/>
        <v>0</v>
      </c>
      <c r="T1323" s="104">
        <f t="shared" si="66"/>
        <v>0</v>
      </c>
    </row>
    <row r="1324" spans="1:20">
      <c r="A1324" s="101"/>
      <c r="B1324" s="101"/>
      <c r="C1324" s="101"/>
      <c r="D1324" s="101"/>
      <c r="E1324" s="101"/>
      <c r="F1324" s="102"/>
      <c r="G1324" s="101"/>
      <c r="H1324" s="102"/>
      <c r="I1324" s="101"/>
      <c r="J1324" s="101"/>
      <c r="K1324" s="103"/>
      <c r="L1324" s="103"/>
      <c r="M1324" s="103"/>
      <c r="N1324" s="103"/>
      <c r="O1324" s="103"/>
      <c r="P1324" s="98"/>
      <c r="Q1324" s="99"/>
      <c r="R1324" s="105">
        <f t="shared" si="65"/>
        <v>0</v>
      </c>
      <c r="S1324" s="108">
        <f t="shared" si="64"/>
        <v>0</v>
      </c>
      <c r="T1324" s="105">
        <f t="shared" si="66"/>
        <v>0</v>
      </c>
    </row>
    <row r="1325" spans="1:20">
      <c r="A1325" s="101"/>
      <c r="B1325" s="101"/>
      <c r="C1325" s="101"/>
      <c r="D1325" s="101"/>
      <c r="E1325" s="101"/>
      <c r="F1325" s="102"/>
      <c r="G1325" s="101"/>
      <c r="H1325" s="102"/>
      <c r="I1325" s="101"/>
      <c r="J1325" s="101"/>
      <c r="K1325" s="103"/>
      <c r="L1325" s="103"/>
      <c r="M1325" s="103"/>
      <c r="N1325" s="103"/>
      <c r="O1325" s="103"/>
      <c r="P1325" s="98"/>
      <c r="Q1325" s="99"/>
      <c r="R1325" s="104">
        <f t="shared" si="65"/>
        <v>0</v>
      </c>
      <c r="S1325" s="104">
        <f t="shared" si="64"/>
        <v>0</v>
      </c>
      <c r="T1325" s="104">
        <f t="shared" si="66"/>
        <v>0</v>
      </c>
    </row>
    <row r="1326" spans="1:20">
      <c r="A1326" s="101"/>
      <c r="B1326" s="101"/>
      <c r="C1326" s="101"/>
      <c r="D1326" s="101"/>
      <c r="E1326" s="101"/>
      <c r="F1326" s="102"/>
      <c r="G1326" s="101"/>
      <c r="H1326" s="102"/>
      <c r="I1326" s="101"/>
      <c r="J1326" s="101"/>
      <c r="K1326" s="103"/>
      <c r="L1326" s="103"/>
      <c r="M1326" s="103"/>
      <c r="N1326" s="103"/>
      <c r="O1326" s="103"/>
      <c r="P1326" s="98"/>
      <c r="Q1326" s="99"/>
      <c r="R1326" s="105">
        <f t="shared" si="65"/>
        <v>0</v>
      </c>
      <c r="S1326" s="108">
        <f t="shared" si="64"/>
        <v>0</v>
      </c>
      <c r="T1326" s="105">
        <f t="shared" si="66"/>
        <v>0</v>
      </c>
    </row>
    <row r="1327" spans="1:20">
      <c r="A1327" s="101"/>
      <c r="B1327" s="101"/>
      <c r="C1327" s="101"/>
      <c r="D1327" s="101"/>
      <c r="E1327" s="101"/>
      <c r="F1327" s="102"/>
      <c r="G1327" s="101"/>
      <c r="H1327" s="102"/>
      <c r="I1327" s="101"/>
      <c r="J1327" s="101"/>
      <c r="K1327" s="103"/>
      <c r="L1327" s="103"/>
      <c r="M1327" s="103"/>
      <c r="N1327" s="103"/>
      <c r="O1327" s="103"/>
      <c r="P1327" s="98"/>
      <c r="Q1327" s="99"/>
      <c r="R1327" s="104">
        <f t="shared" si="65"/>
        <v>0</v>
      </c>
      <c r="S1327" s="104">
        <f t="shared" si="64"/>
        <v>0</v>
      </c>
      <c r="T1327" s="104">
        <f t="shared" si="66"/>
        <v>0</v>
      </c>
    </row>
    <row r="1328" spans="1:20">
      <c r="A1328" s="101"/>
      <c r="B1328" s="101"/>
      <c r="C1328" s="101"/>
      <c r="D1328" s="101"/>
      <c r="E1328" s="101"/>
      <c r="F1328" s="102"/>
      <c r="G1328" s="101"/>
      <c r="H1328" s="102"/>
      <c r="I1328" s="101"/>
      <c r="J1328" s="101"/>
      <c r="K1328" s="103"/>
      <c r="L1328" s="103"/>
      <c r="M1328" s="103"/>
      <c r="N1328" s="103"/>
      <c r="O1328" s="103"/>
      <c r="P1328" s="98"/>
      <c r="Q1328" s="99"/>
      <c r="R1328" s="105">
        <f t="shared" si="65"/>
        <v>0</v>
      </c>
      <c r="S1328" s="108">
        <f t="shared" si="64"/>
        <v>0</v>
      </c>
      <c r="T1328" s="105">
        <f t="shared" si="66"/>
        <v>0</v>
      </c>
    </row>
    <row r="1329" spans="1:20">
      <c r="A1329" s="101"/>
      <c r="B1329" s="101"/>
      <c r="C1329" s="101"/>
      <c r="D1329" s="101"/>
      <c r="E1329" s="101"/>
      <c r="F1329" s="102"/>
      <c r="G1329" s="101"/>
      <c r="H1329" s="102"/>
      <c r="I1329" s="101"/>
      <c r="J1329" s="101"/>
      <c r="K1329" s="103"/>
      <c r="L1329" s="103"/>
      <c r="M1329" s="103"/>
      <c r="N1329" s="103"/>
      <c r="O1329" s="103"/>
      <c r="P1329" s="98"/>
      <c r="Q1329" s="99"/>
      <c r="R1329" s="104">
        <f t="shared" si="65"/>
        <v>0</v>
      </c>
      <c r="S1329" s="104">
        <f t="shared" si="64"/>
        <v>0</v>
      </c>
      <c r="T1329" s="104">
        <f t="shared" si="66"/>
        <v>0</v>
      </c>
    </row>
    <row r="1330" spans="1:20">
      <c r="A1330" s="101"/>
      <c r="B1330" s="101"/>
      <c r="C1330" s="101"/>
      <c r="D1330" s="101"/>
      <c r="E1330" s="101"/>
      <c r="F1330" s="102"/>
      <c r="G1330" s="101"/>
      <c r="H1330" s="102"/>
      <c r="I1330" s="101"/>
      <c r="J1330" s="101"/>
      <c r="K1330" s="103"/>
      <c r="L1330" s="103"/>
      <c r="M1330" s="103"/>
      <c r="N1330" s="103"/>
      <c r="O1330" s="103"/>
      <c r="P1330" s="98"/>
      <c r="Q1330" s="99"/>
      <c r="R1330" s="105">
        <f t="shared" si="65"/>
        <v>0</v>
      </c>
      <c r="S1330" s="108">
        <f t="shared" si="64"/>
        <v>0</v>
      </c>
      <c r="T1330" s="105">
        <f t="shared" si="66"/>
        <v>0</v>
      </c>
    </row>
    <row r="1331" spans="1:20">
      <c r="A1331" s="101"/>
      <c r="B1331" s="101"/>
      <c r="C1331" s="101"/>
      <c r="D1331" s="101"/>
      <c r="E1331" s="101"/>
      <c r="F1331" s="102"/>
      <c r="G1331" s="101"/>
      <c r="H1331" s="102"/>
      <c r="I1331" s="101"/>
      <c r="J1331" s="101"/>
      <c r="K1331" s="103"/>
      <c r="L1331" s="103"/>
      <c r="M1331" s="103"/>
      <c r="N1331" s="103"/>
      <c r="O1331" s="103"/>
      <c r="P1331" s="98"/>
      <c r="Q1331" s="99"/>
      <c r="R1331" s="104">
        <f t="shared" si="65"/>
        <v>0</v>
      </c>
      <c r="S1331" s="104">
        <f t="shared" si="64"/>
        <v>0</v>
      </c>
      <c r="T1331" s="104">
        <f t="shared" si="66"/>
        <v>0</v>
      </c>
    </row>
    <row r="1332" spans="1:20">
      <c r="A1332" s="101"/>
      <c r="B1332" s="101"/>
      <c r="C1332" s="101"/>
      <c r="D1332" s="101"/>
      <c r="E1332" s="101"/>
      <c r="F1332" s="102"/>
      <c r="G1332" s="101"/>
      <c r="H1332" s="102"/>
      <c r="I1332" s="101"/>
      <c r="J1332" s="101"/>
      <c r="K1332" s="103"/>
      <c r="L1332" s="103"/>
      <c r="M1332" s="103"/>
      <c r="N1332" s="103"/>
      <c r="O1332" s="103"/>
      <c r="P1332" s="98"/>
      <c r="Q1332" s="99"/>
      <c r="R1332" s="105">
        <f t="shared" si="65"/>
        <v>0</v>
      </c>
      <c r="S1332" s="108">
        <f t="shared" si="64"/>
        <v>0</v>
      </c>
      <c r="T1332" s="105">
        <f t="shared" si="66"/>
        <v>0</v>
      </c>
    </row>
    <row r="1333" spans="1:20">
      <c r="A1333" s="101"/>
      <c r="B1333" s="101"/>
      <c r="C1333" s="101"/>
      <c r="D1333" s="101"/>
      <c r="E1333" s="101"/>
      <c r="F1333" s="102"/>
      <c r="G1333" s="101"/>
      <c r="H1333" s="102"/>
      <c r="I1333" s="101"/>
      <c r="J1333" s="101"/>
      <c r="K1333" s="103"/>
      <c r="L1333" s="103"/>
      <c r="M1333" s="103"/>
      <c r="N1333" s="103"/>
      <c r="O1333" s="103"/>
      <c r="P1333" s="98"/>
      <c r="Q1333" s="99"/>
      <c r="R1333" s="104">
        <f t="shared" si="65"/>
        <v>0</v>
      </c>
      <c r="S1333" s="104">
        <f t="shared" si="64"/>
        <v>0</v>
      </c>
      <c r="T1333" s="104">
        <f t="shared" si="66"/>
        <v>0</v>
      </c>
    </row>
    <row r="1334" spans="1:20">
      <c r="A1334" s="101"/>
      <c r="B1334" s="101"/>
      <c r="C1334" s="101"/>
      <c r="D1334" s="101"/>
      <c r="E1334" s="101"/>
      <c r="F1334" s="102"/>
      <c r="G1334" s="101"/>
      <c r="H1334" s="102"/>
      <c r="I1334" s="101"/>
      <c r="J1334" s="101"/>
      <c r="K1334" s="103"/>
      <c r="L1334" s="103"/>
      <c r="M1334" s="103"/>
      <c r="N1334" s="103"/>
      <c r="O1334" s="103"/>
      <c r="P1334" s="98"/>
      <c r="Q1334" s="99"/>
      <c r="R1334" s="105">
        <f t="shared" si="65"/>
        <v>0</v>
      </c>
      <c r="S1334" s="108">
        <f t="shared" si="64"/>
        <v>0</v>
      </c>
      <c r="T1334" s="105">
        <f t="shared" si="66"/>
        <v>0</v>
      </c>
    </row>
    <row r="1335" spans="1:20">
      <c r="A1335" s="101"/>
      <c r="B1335" s="101"/>
      <c r="C1335" s="101"/>
      <c r="D1335" s="101"/>
      <c r="E1335" s="101"/>
      <c r="F1335" s="102"/>
      <c r="G1335" s="101"/>
      <c r="H1335" s="102"/>
      <c r="I1335" s="101"/>
      <c r="J1335" s="101"/>
      <c r="K1335" s="103"/>
      <c r="L1335" s="103"/>
      <c r="M1335" s="103"/>
      <c r="N1335" s="103"/>
      <c r="O1335" s="103"/>
      <c r="P1335" s="98"/>
      <c r="Q1335" s="99"/>
      <c r="R1335" s="104">
        <f t="shared" si="65"/>
        <v>0</v>
      </c>
      <c r="S1335" s="104">
        <f t="shared" si="64"/>
        <v>0</v>
      </c>
      <c r="T1335" s="104">
        <f t="shared" si="66"/>
        <v>0</v>
      </c>
    </row>
    <row r="1336" spans="1:20">
      <c r="A1336" s="101"/>
      <c r="B1336" s="101"/>
      <c r="C1336" s="101"/>
      <c r="D1336" s="101"/>
      <c r="E1336" s="101"/>
      <c r="F1336" s="102"/>
      <c r="G1336" s="101"/>
      <c r="H1336" s="102"/>
      <c r="I1336" s="101"/>
      <c r="J1336" s="101"/>
      <c r="K1336" s="103"/>
      <c r="L1336" s="103"/>
      <c r="M1336" s="103"/>
      <c r="N1336" s="103"/>
      <c r="O1336" s="103"/>
      <c r="P1336" s="98"/>
      <c r="Q1336" s="99"/>
      <c r="R1336" s="105">
        <f t="shared" si="65"/>
        <v>0</v>
      </c>
      <c r="S1336" s="108">
        <f t="shared" si="64"/>
        <v>0</v>
      </c>
      <c r="T1336" s="105">
        <f t="shared" si="66"/>
        <v>0</v>
      </c>
    </row>
    <row r="1337" spans="1:20">
      <c r="A1337" s="101"/>
      <c r="B1337" s="101"/>
      <c r="C1337" s="101"/>
      <c r="D1337" s="101"/>
      <c r="E1337" s="101"/>
      <c r="F1337" s="102"/>
      <c r="G1337" s="101"/>
      <c r="H1337" s="102"/>
      <c r="I1337" s="101"/>
      <c r="J1337" s="101"/>
      <c r="K1337" s="103"/>
      <c r="L1337" s="103"/>
      <c r="M1337" s="103"/>
      <c r="N1337" s="103"/>
      <c r="O1337" s="103"/>
      <c r="P1337" s="98"/>
      <c r="Q1337" s="99"/>
      <c r="R1337" s="104">
        <f t="shared" si="65"/>
        <v>0</v>
      </c>
      <c r="S1337" s="104">
        <f t="shared" si="64"/>
        <v>0</v>
      </c>
      <c r="T1337" s="104">
        <f t="shared" si="66"/>
        <v>0</v>
      </c>
    </row>
    <row r="1338" spans="1:20">
      <c r="A1338" s="101"/>
      <c r="B1338" s="101"/>
      <c r="C1338" s="101"/>
      <c r="D1338" s="101"/>
      <c r="E1338" s="101"/>
      <c r="F1338" s="102"/>
      <c r="G1338" s="101"/>
      <c r="H1338" s="102"/>
      <c r="I1338" s="101"/>
      <c r="J1338" s="101"/>
      <c r="K1338" s="103"/>
      <c r="L1338" s="103"/>
      <c r="M1338" s="103"/>
      <c r="N1338" s="103"/>
      <c r="O1338" s="103"/>
      <c r="P1338" s="98"/>
      <c r="Q1338" s="99"/>
      <c r="R1338" s="105">
        <f t="shared" si="65"/>
        <v>0</v>
      </c>
      <c r="S1338" s="108">
        <f t="shared" si="64"/>
        <v>0</v>
      </c>
      <c r="T1338" s="105">
        <f t="shared" si="66"/>
        <v>0</v>
      </c>
    </row>
    <row r="1339" spans="1:20">
      <c r="A1339" s="101"/>
      <c r="B1339" s="101"/>
      <c r="C1339" s="101"/>
      <c r="D1339" s="101"/>
      <c r="E1339" s="101"/>
      <c r="F1339" s="102"/>
      <c r="G1339" s="101"/>
      <c r="H1339" s="102"/>
      <c r="I1339" s="101"/>
      <c r="J1339" s="101"/>
      <c r="K1339" s="103"/>
      <c r="L1339" s="103"/>
      <c r="M1339" s="103"/>
      <c r="N1339" s="103"/>
      <c r="O1339" s="103"/>
      <c r="P1339" s="98"/>
      <c r="Q1339" s="99"/>
      <c r="R1339" s="104">
        <f t="shared" si="65"/>
        <v>0</v>
      </c>
      <c r="S1339" s="104">
        <f t="shared" si="64"/>
        <v>0</v>
      </c>
      <c r="T1339" s="104">
        <f t="shared" si="66"/>
        <v>0</v>
      </c>
    </row>
    <row r="1340" spans="1:20">
      <c r="A1340" s="101"/>
      <c r="B1340" s="101"/>
      <c r="C1340" s="101"/>
      <c r="D1340" s="101"/>
      <c r="E1340" s="101"/>
      <c r="F1340" s="102"/>
      <c r="G1340" s="101"/>
      <c r="H1340" s="102"/>
      <c r="I1340" s="101"/>
      <c r="J1340" s="101"/>
      <c r="K1340" s="103"/>
      <c r="L1340" s="103"/>
      <c r="M1340" s="103"/>
      <c r="N1340" s="103"/>
      <c r="O1340" s="103"/>
      <c r="P1340" s="98"/>
      <c r="Q1340" s="99"/>
      <c r="R1340" s="105">
        <f t="shared" si="65"/>
        <v>0</v>
      </c>
      <c r="S1340" s="108">
        <f t="shared" si="64"/>
        <v>0</v>
      </c>
      <c r="T1340" s="105">
        <f t="shared" si="66"/>
        <v>0</v>
      </c>
    </row>
    <row r="1341" spans="1:20">
      <c r="A1341" s="101"/>
      <c r="B1341" s="101"/>
      <c r="C1341" s="101"/>
      <c r="D1341" s="101"/>
      <c r="E1341" s="101"/>
      <c r="F1341" s="102"/>
      <c r="G1341" s="101"/>
      <c r="H1341" s="102"/>
      <c r="I1341" s="101"/>
      <c r="J1341" s="101"/>
      <c r="K1341" s="103"/>
      <c r="L1341" s="103"/>
      <c r="M1341" s="103"/>
      <c r="N1341" s="103"/>
      <c r="O1341" s="103"/>
      <c r="P1341" s="98"/>
      <c r="Q1341" s="99"/>
      <c r="R1341" s="104">
        <f t="shared" si="65"/>
        <v>0</v>
      </c>
      <c r="S1341" s="104">
        <f t="shared" si="64"/>
        <v>0</v>
      </c>
      <c r="T1341" s="104">
        <f t="shared" si="66"/>
        <v>0</v>
      </c>
    </row>
    <row r="1342" spans="1:20">
      <c r="A1342" s="101"/>
      <c r="B1342" s="101"/>
      <c r="C1342" s="101"/>
      <c r="D1342" s="101"/>
      <c r="E1342" s="101"/>
      <c r="F1342" s="102"/>
      <c r="G1342" s="101"/>
      <c r="H1342" s="102"/>
      <c r="I1342" s="101"/>
      <c r="J1342" s="101"/>
      <c r="K1342" s="103"/>
      <c r="L1342" s="103"/>
      <c r="M1342" s="103"/>
      <c r="N1342" s="103"/>
      <c r="O1342" s="103"/>
      <c r="P1342" s="98"/>
      <c r="Q1342" s="99"/>
      <c r="R1342" s="105">
        <f t="shared" si="65"/>
        <v>0</v>
      </c>
      <c r="S1342" s="108">
        <f t="shared" si="64"/>
        <v>0</v>
      </c>
      <c r="T1342" s="105">
        <f t="shared" si="66"/>
        <v>0</v>
      </c>
    </row>
    <row r="1343" spans="1:20">
      <c r="A1343" s="101"/>
      <c r="B1343" s="101"/>
      <c r="C1343" s="101"/>
      <c r="D1343" s="101"/>
      <c r="E1343" s="101"/>
      <c r="F1343" s="102"/>
      <c r="G1343" s="101"/>
      <c r="H1343" s="102"/>
      <c r="I1343" s="101"/>
      <c r="J1343" s="101"/>
      <c r="K1343" s="103"/>
      <c r="L1343" s="103"/>
      <c r="M1343" s="103"/>
      <c r="N1343" s="103"/>
      <c r="O1343" s="103"/>
      <c r="P1343" s="98"/>
      <c r="Q1343" s="99"/>
      <c r="R1343" s="104">
        <f t="shared" si="65"/>
        <v>0</v>
      </c>
      <c r="S1343" s="104">
        <f t="shared" si="64"/>
        <v>0</v>
      </c>
      <c r="T1343" s="104">
        <f t="shared" si="66"/>
        <v>0</v>
      </c>
    </row>
    <row r="1344" spans="1:20">
      <c r="A1344" s="101"/>
      <c r="B1344" s="101"/>
      <c r="C1344" s="101"/>
      <c r="D1344" s="101"/>
      <c r="E1344" s="101"/>
      <c r="F1344" s="102"/>
      <c r="G1344" s="101"/>
      <c r="H1344" s="102"/>
      <c r="I1344" s="101"/>
      <c r="J1344" s="101"/>
      <c r="K1344" s="103"/>
      <c r="L1344" s="103"/>
      <c r="M1344" s="103"/>
      <c r="N1344" s="103"/>
      <c r="O1344" s="103"/>
      <c r="P1344" s="98"/>
      <c r="Q1344" s="99"/>
      <c r="R1344" s="105">
        <f t="shared" si="65"/>
        <v>0</v>
      </c>
      <c r="S1344" s="108">
        <f t="shared" si="64"/>
        <v>0</v>
      </c>
      <c r="T1344" s="105">
        <f t="shared" si="66"/>
        <v>0</v>
      </c>
    </row>
    <row r="1345" spans="1:20">
      <c r="A1345" s="101"/>
      <c r="B1345" s="101"/>
      <c r="C1345" s="101"/>
      <c r="D1345" s="101"/>
      <c r="E1345" s="101"/>
      <c r="F1345" s="102"/>
      <c r="G1345" s="101"/>
      <c r="H1345" s="102"/>
      <c r="I1345" s="101"/>
      <c r="J1345" s="101"/>
      <c r="K1345" s="103"/>
      <c r="L1345" s="103"/>
      <c r="M1345" s="103"/>
      <c r="N1345" s="103"/>
      <c r="O1345" s="103"/>
      <c r="P1345" s="98"/>
      <c r="Q1345" s="99"/>
      <c r="R1345" s="104">
        <f t="shared" si="65"/>
        <v>0</v>
      </c>
      <c r="S1345" s="104">
        <f t="shared" si="64"/>
        <v>0</v>
      </c>
      <c r="T1345" s="104">
        <f t="shared" si="66"/>
        <v>0</v>
      </c>
    </row>
    <row r="1346" spans="1:20">
      <c r="A1346" s="101"/>
      <c r="B1346" s="101"/>
      <c r="C1346" s="101"/>
      <c r="D1346" s="101"/>
      <c r="E1346" s="101"/>
      <c r="F1346" s="102"/>
      <c r="G1346" s="101"/>
      <c r="H1346" s="102"/>
      <c r="I1346" s="101"/>
      <c r="J1346" s="101"/>
      <c r="K1346" s="103"/>
      <c r="L1346" s="103"/>
      <c r="M1346" s="103"/>
      <c r="N1346" s="103"/>
      <c r="O1346" s="103"/>
      <c r="P1346" s="98"/>
      <c r="Q1346" s="99"/>
      <c r="R1346" s="105">
        <f t="shared" si="65"/>
        <v>0</v>
      </c>
      <c r="S1346" s="108">
        <f t="shared" si="64"/>
        <v>0</v>
      </c>
      <c r="T1346" s="105">
        <f t="shared" si="66"/>
        <v>0</v>
      </c>
    </row>
    <row r="1347" spans="1:20">
      <c r="A1347" s="101"/>
      <c r="B1347" s="101"/>
      <c r="C1347" s="101"/>
      <c r="D1347" s="101"/>
      <c r="E1347" s="101"/>
      <c r="F1347" s="102"/>
      <c r="G1347" s="101"/>
      <c r="H1347" s="102"/>
      <c r="I1347" s="101"/>
      <c r="J1347" s="101"/>
      <c r="K1347" s="103"/>
      <c r="L1347" s="103"/>
      <c r="M1347" s="103"/>
      <c r="N1347" s="103"/>
      <c r="O1347" s="103"/>
      <c r="P1347" s="98"/>
      <c r="Q1347" s="99"/>
      <c r="R1347" s="104">
        <f t="shared" si="65"/>
        <v>0</v>
      </c>
      <c r="S1347" s="104">
        <f t="shared" si="64"/>
        <v>0</v>
      </c>
      <c r="T1347" s="104">
        <f t="shared" si="66"/>
        <v>0</v>
      </c>
    </row>
    <row r="1348" spans="1:20">
      <c r="A1348" s="101"/>
      <c r="B1348" s="101"/>
      <c r="C1348" s="101"/>
      <c r="D1348" s="101"/>
      <c r="E1348" s="101"/>
      <c r="F1348" s="102"/>
      <c r="G1348" s="101"/>
      <c r="H1348" s="102"/>
      <c r="I1348" s="101"/>
      <c r="J1348" s="101"/>
      <c r="K1348" s="103"/>
      <c r="L1348" s="103"/>
      <c r="M1348" s="103"/>
      <c r="N1348" s="103"/>
      <c r="O1348" s="103"/>
      <c r="P1348" s="98"/>
      <c r="Q1348" s="99"/>
      <c r="R1348" s="105">
        <f t="shared" si="65"/>
        <v>0</v>
      </c>
      <c r="S1348" s="108">
        <f t="shared" ref="S1348:S1411" si="67">IF(P1348="Abono",K1348+L1348+M1348-N1348-O1348,0)</f>
        <v>0</v>
      </c>
      <c r="T1348" s="105">
        <f t="shared" si="66"/>
        <v>0</v>
      </c>
    </row>
    <row r="1349" spans="1:20">
      <c r="A1349" s="101"/>
      <c r="B1349" s="101"/>
      <c r="C1349" s="101"/>
      <c r="D1349" s="101"/>
      <c r="E1349" s="101"/>
      <c r="F1349" s="102"/>
      <c r="G1349" s="101"/>
      <c r="H1349" s="102"/>
      <c r="I1349" s="101"/>
      <c r="J1349" s="101"/>
      <c r="K1349" s="103"/>
      <c r="L1349" s="103"/>
      <c r="M1349" s="103"/>
      <c r="N1349" s="103"/>
      <c r="O1349" s="103"/>
      <c r="P1349" s="98"/>
      <c r="Q1349" s="99"/>
      <c r="R1349" s="104">
        <f t="shared" ref="R1349:R1412" si="68">IF(P1349="Cargo",K1349+L1349-M1349-N1349+O1349,0)</f>
        <v>0</v>
      </c>
      <c r="S1349" s="104">
        <f t="shared" si="67"/>
        <v>0</v>
      </c>
      <c r="T1349" s="104">
        <f t="shared" ref="T1349:T1412" si="69">IF(Q1349="OK",+T1348+R1349-S1349,T1348)</f>
        <v>0</v>
      </c>
    </row>
    <row r="1350" spans="1:20">
      <c r="A1350" s="101"/>
      <c r="B1350" s="101"/>
      <c r="C1350" s="101"/>
      <c r="D1350" s="101"/>
      <c r="E1350" s="101"/>
      <c r="F1350" s="102"/>
      <c r="G1350" s="101"/>
      <c r="H1350" s="102"/>
      <c r="I1350" s="101"/>
      <c r="J1350" s="101"/>
      <c r="K1350" s="103"/>
      <c r="L1350" s="103"/>
      <c r="M1350" s="103"/>
      <c r="N1350" s="103"/>
      <c r="O1350" s="103"/>
      <c r="P1350" s="98"/>
      <c r="Q1350" s="99"/>
      <c r="R1350" s="105">
        <f t="shared" si="68"/>
        <v>0</v>
      </c>
      <c r="S1350" s="108">
        <f t="shared" si="67"/>
        <v>0</v>
      </c>
      <c r="T1350" s="105">
        <f t="shared" si="69"/>
        <v>0</v>
      </c>
    </row>
    <row r="1351" spans="1:20">
      <c r="A1351" s="101"/>
      <c r="B1351" s="101"/>
      <c r="C1351" s="101"/>
      <c r="D1351" s="101"/>
      <c r="E1351" s="101"/>
      <c r="F1351" s="102"/>
      <c r="G1351" s="101"/>
      <c r="H1351" s="102"/>
      <c r="I1351" s="101"/>
      <c r="J1351" s="101"/>
      <c r="K1351" s="103"/>
      <c r="L1351" s="103"/>
      <c r="M1351" s="103"/>
      <c r="N1351" s="103"/>
      <c r="O1351" s="103"/>
      <c r="P1351" s="98"/>
      <c r="Q1351" s="99"/>
      <c r="R1351" s="104">
        <f t="shared" si="68"/>
        <v>0</v>
      </c>
      <c r="S1351" s="104">
        <f t="shared" si="67"/>
        <v>0</v>
      </c>
      <c r="T1351" s="104">
        <f t="shared" si="69"/>
        <v>0</v>
      </c>
    </row>
    <row r="1352" spans="1:20">
      <c r="A1352" s="101"/>
      <c r="B1352" s="101"/>
      <c r="C1352" s="101"/>
      <c r="D1352" s="101"/>
      <c r="E1352" s="101"/>
      <c r="F1352" s="102"/>
      <c r="G1352" s="101"/>
      <c r="H1352" s="102"/>
      <c r="I1352" s="101"/>
      <c r="J1352" s="101"/>
      <c r="K1352" s="103"/>
      <c r="L1352" s="103"/>
      <c r="M1352" s="103"/>
      <c r="N1352" s="103"/>
      <c r="O1352" s="103"/>
      <c r="P1352" s="98"/>
      <c r="Q1352" s="99"/>
      <c r="R1352" s="105">
        <f t="shared" si="68"/>
        <v>0</v>
      </c>
      <c r="S1352" s="108">
        <f t="shared" si="67"/>
        <v>0</v>
      </c>
      <c r="T1352" s="105">
        <f t="shared" si="69"/>
        <v>0</v>
      </c>
    </row>
    <row r="1353" spans="1:20">
      <c r="A1353" s="101"/>
      <c r="B1353" s="101"/>
      <c r="C1353" s="101"/>
      <c r="D1353" s="101"/>
      <c r="E1353" s="101"/>
      <c r="F1353" s="102"/>
      <c r="G1353" s="101"/>
      <c r="H1353" s="102"/>
      <c r="I1353" s="101"/>
      <c r="J1353" s="101"/>
      <c r="K1353" s="103"/>
      <c r="L1353" s="103"/>
      <c r="M1353" s="103"/>
      <c r="N1353" s="103"/>
      <c r="O1353" s="103"/>
      <c r="P1353" s="98"/>
      <c r="Q1353" s="99"/>
      <c r="R1353" s="104">
        <f t="shared" si="68"/>
        <v>0</v>
      </c>
      <c r="S1353" s="104">
        <f t="shared" si="67"/>
        <v>0</v>
      </c>
      <c r="T1353" s="104">
        <f t="shared" si="69"/>
        <v>0</v>
      </c>
    </row>
    <row r="1354" spans="1:20">
      <c r="A1354" s="101"/>
      <c r="B1354" s="101"/>
      <c r="C1354" s="101"/>
      <c r="D1354" s="101"/>
      <c r="E1354" s="101"/>
      <c r="F1354" s="102"/>
      <c r="G1354" s="101"/>
      <c r="H1354" s="102"/>
      <c r="I1354" s="101"/>
      <c r="J1354" s="101"/>
      <c r="K1354" s="103"/>
      <c r="L1354" s="103"/>
      <c r="M1354" s="103"/>
      <c r="N1354" s="103"/>
      <c r="O1354" s="103"/>
      <c r="P1354" s="98"/>
      <c r="Q1354" s="99"/>
      <c r="R1354" s="105">
        <f t="shared" si="68"/>
        <v>0</v>
      </c>
      <c r="S1354" s="108">
        <f t="shared" si="67"/>
        <v>0</v>
      </c>
      <c r="T1354" s="105">
        <f t="shared" si="69"/>
        <v>0</v>
      </c>
    </row>
    <row r="1355" spans="1:20">
      <c r="A1355" s="101"/>
      <c r="B1355" s="101"/>
      <c r="C1355" s="101"/>
      <c r="D1355" s="101"/>
      <c r="E1355" s="101"/>
      <c r="F1355" s="102"/>
      <c r="G1355" s="101"/>
      <c r="H1355" s="102"/>
      <c r="I1355" s="101"/>
      <c r="J1355" s="101"/>
      <c r="K1355" s="103"/>
      <c r="L1355" s="103"/>
      <c r="M1355" s="103"/>
      <c r="N1355" s="103"/>
      <c r="O1355" s="103"/>
      <c r="P1355" s="98"/>
      <c r="Q1355" s="99"/>
      <c r="R1355" s="104">
        <f t="shared" si="68"/>
        <v>0</v>
      </c>
      <c r="S1355" s="104">
        <f t="shared" si="67"/>
        <v>0</v>
      </c>
      <c r="T1355" s="104">
        <f t="shared" si="69"/>
        <v>0</v>
      </c>
    </row>
    <row r="1356" spans="1:20">
      <c r="A1356" s="101"/>
      <c r="B1356" s="101"/>
      <c r="C1356" s="101"/>
      <c r="D1356" s="101"/>
      <c r="E1356" s="101"/>
      <c r="F1356" s="102"/>
      <c r="G1356" s="101"/>
      <c r="H1356" s="102"/>
      <c r="I1356" s="101"/>
      <c r="J1356" s="101"/>
      <c r="K1356" s="103"/>
      <c r="L1356" s="103"/>
      <c r="M1356" s="103"/>
      <c r="N1356" s="103"/>
      <c r="O1356" s="103"/>
      <c r="P1356" s="98"/>
      <c r="Q1356" s="99"/>
      <c r="R1356" s="105">
        <f t="shared" si="68"/>
        <v>0</v>
      </c>
      <c r="S1356" s="108">
        <f t="shared" si="67"/>
        <v>0</v>
      </c>
      <c r="T1356" s="105">
        <f t="shared" si="69"/>
        <v>0</v>
      </c>
    </row>
    <row r="1357" spans="1:20">
      <c r="A1357" s="101"/>
      <c r="B1357" s="101"/>
      <c r="C1357" s="101"/>
      <c r="D1357" s="101"/>
      <c r="E1357" s="101"/>
      <c r="F1357" s="102"/>
      <c r="G1357" s="101"/>
      <c r="H1357" s="102"/>
      <c r="I1357" s="101"/>
      <c r="J1357" s="101"/>
      <c r="K1357" s="103"/>
      <c r="L1357" s="103"/>
      <c r="M1357" s="103"/>
      <c r="N1357" s="103"/>
      <c r="O1357" s="103"/>
      <c r="P1357" s="98"/>
      <c r="Q1357" s="99"/>
      <c r="R1357" s="104">
        <f t="shared" si="68"/>
        <v>0</v>
      </c>
      <c r="S1357" s="104">
        <f t="shared" si="67"/>
        <v>0</v>
      </c>
      <c r="T1357" s="104">
        <f t="shared" si="69"/>
        <v>0</v>
      </c>
    </row>
    <row r="1358" spans="1:20">
      <c r="A1358" s="101"/>
      <c r="B1358" s="101"/>
      <c r="C1358" s="101"/>
      <c r="D1358" s="101"/>
      <c r="E1358" s="101"/>
      <c r="F1358" s="102"/>
      <c r="G1358" s="101"/>
      <c r="H1358" s="102"/>
      <c r="I1358" s="101"/>
      <c r="J1358" s="101"/>
      <c r="K1358" s="103"/>
      <c r="L1358" s="103"/>
      <c r="M1358" s="103"/>
      <c r="N1358" s="103"/>
      <c r="O1358" s="103"/>
      <c r="P1358" s="98"/>
      <c r="Q1358" s="99"/>
      <c r="R1358" s="105">
        <f t="shared" si="68"/>
        <v>0</v>
      </c>
      <c r="S1358" s="108">
        <f t="shared" si="67"/>
        <v>0</v>
      </c>
      <c r="T1358" s="105">
        <f t="shared" si="69"/>
        <v>0</v>
      </c>
    </row>
    <row r="1359" spans="1:20">
      <c r="A1359" s="101"/>
      <c r="B1359" s="101"/>
      <c r="C1359" s="101"/>
      <c r="D1359" s="101"/>
      <c r="E1359" s="101"/>
      <c r="F1359" s="102"/>
      <c r="G1359" s="101"/>
      <c r="H1359" s="102"/>
      <c r="I1359" s="101"/>
      <c r="J1359" s="101"/>
      <c r="K1359" s="103"/>
      <c r="L1359" s="103"/>
      <c r="M1359" s="103"/>
      <c r="N1359" s="103"/>
      <c r="O1359" s="103"/>
      <c r="P1359" s="98"/>
      <c r="Q1359" s="99"/>
      <c r="R1359" s="104">
        <f t="shared" si="68"/>
        <v>0</v>
      </c>
      <c r="S1359" s="104">
        <f t="shared" si="67"/>
        <v>0</v>
      </c>
      <c r="T1359" s="104">
        <f t="shared" si="69"/>
        <v>0</v>
      </c>
    </row>
    <row r="1360" spans="1:20">
      <c r="A1360" s="101"/>
      <c r="B1360" s="101"/>
      <c r="C1360" s="101"/>
      <c r="D1360" s="101"/>
      <c r="E1360" s="101"/>
      <c r="F1360" s="102"/>
      <c r="G1360" s="101"/>
      <c r="H1360" s="102"/>
      <c r="I1360" s="101"/>
      <c r="J1360" s="101"/>
      <c r="K1360" s="103"/>
      <c r="L1360" s="103"/>
      <c r="M1360" s="103"/>
      <c r="N1360" s="103"/>
      <c r="O1360" s="103"/>
      <c r="P1360" s="98"/>
      <c r="Q1360" s="99"/>
      <c r="R1360" s="105">
        <f t="shared" si="68"/>
        <v>0</v>
      </c>
      <c r="S1360" s="108">
        <f t="shared" si="67"/>
        <v>0</v>
      </c>
      <c r="T1360" s="105">
        <f t="shared" si="69"/>
        <v>0</v>
      </c>
    </row>
    <row r="1361" spans="1:20">
      <c r="A1361" s="101"/>
      <c r="B1361" s="101"/>
      <c r="C1361" s="101"/>
      <c r="D1361" s="101"/>
      <c r="E1361" s="101"/>
      <c r="F1361" s="102"/>
      <c r="G1361" s="101"/>
      <c r="H1361" s="102"/>
      <c r="I1361" s="101"/>
      <c r="J1361" s="101"/>
      <c r="K1361" s="103"/>
      <c r="L1361" s="103"/>
      <c r="M1361" s="103"/>
      <c r="N1361" s="103"/>
      <c r="O1361" s="103"/>
      <c r="P1361" s="98"/>
      <c r="Q1361" s="99"/>
      <c r="R1361" s="104">
        <f t="shared" si="68"/>
        <v>0</v>
      </c>
      <c r="S1361" s="104">
        <f t="shared" si="67"/>
        <v>0</v>
      </c>
      <c r="T1361" s="104">
        <f t="shared" si="69"/>
        <v>0</v>
      </c>
    </row>
    <row r="1362" spans="1:20">
      <c r="A1362" s="101"/>
      <c r="B1362" s="101"/>
      <c r="C1362" s="101"/>
      <c r="D1362" s="101"/>
      <c r="E1362" s="101"/>
      <c r="F1362" s="102"/>
      <c r="G1362" s="101"/>
      <c r="H1362" s="102"/>
      <c r="I1362" s="101"/>
      <c r="J1362" s="101"/>
      <c r="K1362" s="103"/>
      <c r="L1362" s="103"/>
      <c r="M1362" s="103"/>
      <c r="N1362" s="103"/>
      <c r="O1362" s="103"/>
      <c r="P1362" s="98"/>
      <c r="Q1362" s="99"/>
      <c r="R1362" s="105">
        <f t="shared" si="68"/>
        <v>0</v>
      </c>
      <c r="S1362" s="108">
        <f t="shared" si="67"/>
        <v>0</v>
      </c>
      <c r="T1362" s="105">
        <f t="shared" si="69"/>
        <v>0</v>
      </c>
    </row>
    <row r="1363" spans="1:20">
      <c r="A1363" s="101"/>
      <c r="B1363" s="101"/>
      <c r="C1363" s="101"/>
      <c r="D1363" s="101"/>
      <c r="E1363" s="101"/>
      <c r="F1363" s="102"/>
      <c r="G1363" s="101"/>
      <c r="H1363" s="102"/>
      <c r="I1363" s="101"/>
      <c r="J1363" s="101"/>
      <c r="K1363" s="103"/>
      <c r="L1363" s="103"/>
      <c r="M1363" s="103"/>
      <c r="N1363" s="103"/>
      <c r="O1363" s="103"/>
      <c r="P1363" s="98"/>
      <c r="Q1363" s="99"/>
      <c r="R1363" s="104">
        <f t="shared" si="68"/>
        <v>0</v>
      </c>
      <c r="S1363" s="104">
        <f t="shared" si="67"/>
        <v>0</v>
      </c>
      <c r="T1363" s="104">
        <f t="shared" si="69"/>
        <v>0</v>
      </c>
    </row>
    <row r="1364" spans="1:20">
      <c r="A1364" s="101"/>
      <c r="B1364" s="101"/>
      <c r="C1364" s="101"/>
      <c r="D1364" s="101"/>
      <c r="E1364" s="101"/>
      <c r="F1364" s="102"/>
      <c r="G1364" s="101"/>
      <c r="H1364" s="102"/>
      <c r="I1364" s="101"/>
      <c r="J1364" s="101"/>
      <c r="K1364" s="103"/>
      <c r="L1364" s="103"/>
      <c r="M1364" s="103"/>
      <c r="N1364" s="103"/>
      <c r="O1364" s="103"/>
      <c r="P1364" s="98"/>
      <c r="Q1364" s="99"/>
      <c r="R1364" s="105">
        <f t="shared" si="68"/>
        <v>0</v>
      </c>
      <c r="S1364" s="108">
        <f t="shared" si="67"/>
        <v>0</v>
      </c>
      <c r="T1364" s="105">
        <f t="shared" si="69"/>
        <v>0</v>
      </c>
    </row>
    <row r="1365" spans="1:20">
      <c r="A1365" s="101"/>
      <c r="B1365" s="101"/>
      <c r="C1365" s="101"/>
      <c r="D1365" s="101"/>
      <c r="E1365" s="101"/>
      <c r="F1365" s="102"/>
      <c r="G1365" s="101"/>
      <c r="H1365" s="102"/>
      <c r="I1365" s="101"/>
      <c r="J1365" s="101"/>
      <c r="K1365" s="103"/>
      <c r="L1365" s="103"/>
      <c r="M1365" s="103"/>
      <c r="N1365" s="103"/>
      <c r="O1365" s="103"/>
      <c r="P1365" s="98"/>
      <c r="Q1365" s="99"/>
      <c r="R1365" s="104">
        <f t="shared" si="68"/>
        <v>0</v>
      </c>
      <c r="S1365" s="104">
        <f t="shared" si="67"/>
        <v>0</v>
      </c>
      <c r="T1365" s="104">
        <f t="shared" si="69"/>
        <v>0</v>
      </c>
    </row>
    <row r="1366" spans="1:20">
      <c r="A1366" s="101"/>
      <c r="B1366" s="101"/>
      <c r="C1366" s="101"/>
      <c r="D1366" s="101"/>
      <c r="E1366" s="101"/>
      <c r="F1366" s="102"/>
      <c r="G1366" s="101"/>
      <c r="H1366" s="102"/>
      <c r="I1366" s="101"/>
      <c r="J1366" s="101"/>
      <c r="K1366" s="103"/>
      <c r="L1366" s="103"/>
      <c r="M1366" s="103"/>
      <c r="N1366" s="103"/>
      <c r="O1366" s="103"/>
      <c r="P1366" s="98"/>
      <c r="Q1366" s="99"/>
      <c r="R1366" s="105">
        <f t="shared" si="68"/>
        <v>0</v>
      </c>
      <c r="S1366" s="108">
        <f t="shared" si="67"/>
        <v>0</v>
      </c>
      <c r="T1366" s="105">
        <f t="shared" si="69"/>
        <v>0</v>
      </c>
    </row>
    <row r="1367" spans="1:20">
      <c r="A1367" s="101"/>
      <c r="B1367" s="101"/>
      <c r="C1367" s="101"/>
      <c r="D1367" s="101"/>
      <c r="E1367" s="101"/>
      <c r="F1367" s="102"/>
      <c r="G1367" s="101"/>
      <c r="H1367" s="102"/>
      <c r="I1367" s="101"/>
      <c r="J1367" s="101"/>
      <c r="K1367" s="103"/>
      <c r="L1367" s="103"/>
      <c r="M1367" s="103"/>
      <c r="N1367" s="103"/>
      <c r="O1367" s="103"/>
      <c r="P1367" s="98"/>
      <c r="Q1367" s="99"/>
      <c r="R1367" s="104">
        <f t="shared" si="68"/>
        <v>0</v>
      </c>
      <c r="S1367" s="104">
        <f t="shared" si="67"/>
        <v>0</v>
      </c>
      <c r="T1367" s="104">
        <f t="shared" si="69"/>
        <v>0</v>
      </c>
    </row>
    <row r="1368" spans="1:20">
      <c r="A1368" s="101"/>
      <c r="B1368" s="101"/>
      <c r="C1368" s="101"/>
      <c r="D1368" s="101"/>
      <c r="E1368" s="101"/>
      <c r="F1368" s="102"/>
      <c r="G1368" s="101"/>
      <c r="H1368" s="102"/>
      <c r="I1368" s="101"/>
      <c r="J1368" s="101"/>
      <c r="K1368" s="103"/>
      <c r="L1368" s="103"/>
      <c r="M1368" s="103"/>
      <c r="N1368" s="103"/>
      <c r="O1368" s="103"/>
      <c r="P1368" s="98"/>
      <c r="Q1368" s="99"/>
      <c r="R1368" s="105">
        <f t="shared" si="68"/>
        <v>0</v>
      </c>
      <c r="S1368" s="108">
        <f t="shared" si="67"/>
        <v>0</v>
      </c>
      <c r="T1368" s="105">
        <f t="shared" si="69"/>
        <v>0</v>
      </c>
    </row>
    <row r="1369" spans="1:20">
      <c r="A1369" s="101"/>
      <c r="B1369" s="101"/>
      <c r="C1369" s="101"/>
      <c r="D1369" s="101"/>
      <c r="E1369" s="101"/>
      <c r="F1369" s="102"/>
      <c r="G1369" s="101"/>
      <c r="H1369" s="102"/>
      <c r="I1369" s="101"/>
      <c r="J1369" s="101"/>
      <c r="K1369" s="103"/>
      <c r="L1369" s="103"/>
      <c r="M1369" s="103"/>
      <c r="N1369" s="103"/>
      <c r="O1369" s="103"/>
      <c r="P1369" s="98"/>
      <c r="Q1369" s="99"/>
      <c r="R1369" s="104">
        <f t="shared" si="68"/>
        <v>0</v>
      </c>
      <c r="S1369" s="104">
        <f t="shared" si="67"/>
        <v>0</v>
      </c>
      <c r="T1369" s="104">
        <f t="shared" si="69"/>
        <v>0</v>
      </c>
    </row>
    <row r="1370" spans="1:20">
      <c r="A1370" s="101"/>
      <c r="B1370" s="101"/>
      <c r="C1370" s="101"/>
      <c r="D1370" s="101"/>
      <c r="E1370" s="101"/>
      <c r="F1370" s="102"/>
      <c r="G1370" s="101"/>
      <c r="H1370" s="102"/>
      <c r="I1370" s="101"/>
      <c r="J1370" s="101"/>
      <c r="K1370" s="103"/>
      <c r="L1370" s="103"/>
      <c r="M1370" s="103"/>
      <c r="N1370" s="103"/>
      <c r="O1370" s="103"/>
      <c r="P1370" s="98"/>
      <c r="Q1370" s="99"/>
      <c r="R1370" s="105">
        <f t="shared" si="68"/>
        <v>0</v>
      </c>
      <c r="S1370" s="108">
        <f t="shared" si="67"/>
        <v>0</v>
      </c>
      <c r="T1370" s="105">
        <f t="shared" si="69"/>
        <v>0</v>
      </c>
    </row>
    <row r="1371" spans="1:20">
      <c r="A1371" s="101"/>
      <c r="B1371" s="101"/>
      <c r="C1371" s="101"/>
      <c r="D1371" s="101"/>
      <c r="E1371" s="101"/>
      <c r="F1371" s="102"/>
      <c r="G1371" s="101"/>
      <c r="H1371" s="102"/>
      <c r="I1371" s="101"/>
      <c r="J1371" s="101"/>
      <c r="K1371" s="103"/>
      <c r="L1371" s="103"/>
      <c r="M1371" s="103"/>
      <c r="N1371" s="103"/>
      <c r="O1371" s="103"/>
      <c r="P1371" s="98"/>
      <c r="Q1371" s="99"/>
      <c r="R1371" s="104">
        <f t="shared" si="68"/>
        <v>0</v>
      </c>
      <c r="S1371" s="104">
        <f t="shared" si="67"/>
        <v>0</v>
      </c>
      <c r="T1371" s="104">
        <f t="shared" si="69"/>
        <v>0</v>
      </c>
    </row>
    <row r="1372" spans="1:20">
      <c r="A1372" s="101"/>
      <c r="B1372" s="101"/>
      <c r="C1372" s="101"/>
      <c r="D1372" s="101"/>
      <c r="E1372" s="101"/>
      <c r="F1372" s="102"/>
      <c r="G1372" s="101"/>
      <c r="H1372" s="102"/>
      <c r="I1372" s="101"/>
      <c r="J1372" s="101"/>
      <c r="K1372" s="103"/>
      <c r="L1372" s="103"/>
      <c r="M1372" s="103"/>
      <c r="N1372" s="103"/>
      <c r="O1372" s="103"/>
      <c r="P1372" s="98"/>
      <c r="Q1372" s="99"/>
      <c r="R1372" s="105">
        <f t="shared" si="68"/>
        <v>0</v>
      </c>
      <c r="S1372" s="108">
        <f t="shared" si="67"/>
        <v>0</v>
      </c>
      <c r="T1372" s="105">
        <f t="shared" si="69"/>
        <v>0</v>
      </c>
    </row>
    <row r="1373" spans="1:20">
      <c r="A1373" s="101"/>
      <c r="B1373" s="101"/>
      <c r="C1373" s="101"/>
      <c r="D1373" s="101"/>
      <c r="E1373" s="101"/>
      <c r="F1373" s="102"/>
      <c r="G1373" s="101"/>
      <c r="H1373" s="102"/>
      <c r="I1373" s="101"/>
      <c r="J1373" s="101"/>
      <c r="K1373" s="103"/>
      <c r="L1373" s="103"/>
      <c r="M1373" s="103"/>
      <c r="N1373" s="103"/>
      <c r="O1373" s="103"/>
      <c r="P1373" s="98"/>
      <c r="Q1373" s="99"/>
      <c r="R1373" s="104">
        <f t="shared" si="68"/>
        <v>0</v>
      </c>
      <c r="S1373" s="104">
        <f t="shared" si="67"/>
        <v>0</v>
      </c>
      <c r="T1373" s="104">
        <f t="shared" si="69"/>
        <v>0</v>
      </c>
    </row>
    <row r="1374" spans="1:20">
      <c r="A1374" s="101"/>
      <c r="B1374" s="101"/>
      <c r="C1374" s="101"/>
      <c r="D1374" s="101"/>
      <c r="E1374" s="101"/>
      <c r="F1374" s="102"/>
      <c r="G1374" s="101"/>
      <c r="H1374" s="102"/>
      <c r="I1374" s="101"/>
      <c r="J1374" s="101"/>
      <c r="K1374" s="103"/>
      <c r="L1374" s="103"/>
      <c r="M1374" s="103"/>
      <c r="N1374" s="103"/>
      <c r="O1374" s="103"/>
      <c r="P1374" s="98"/>
      <c r="Q1374" s="99"/>
      <c r="R1374" s="105">
        <f t="shared" si="68"/>
        <v>0</v>
      </c>
      <c r="S1374" s="108">
        <f t="shared" si="67"/>
        <v>0</v>
      </c>
      <c r="T1374" s="105">
        <f t="shared" si="69"/>
        <v>0</v>
      </c>
    </row>
    <row r="1375" spans="1:20">
      <c r="A1375" s="101"/>
      <c r="B1375" s="101"/>
      <c r="C1375" s="101"/>
      <c r="D1375" s="101"/>
      <c r="E1375" s="101"/>
      <c r="F1375" s="102"/>
      <c r="G1375" s="101"/>
      <c r="H1375" s="102"/>
      <c r="I1375" s="101"/>
      <c r="J1375" s="101"/>
      <c r="K1375" s="103"/>
      <c r="L1375" s="103"/>
      <c r="M1375" s="103"/>
      <c r="N1375" s="103"/>
      <c r="O1375" s="103"/>
      <c r="P1375" s="98"/>
      <c r="Q1375" s="99"/>
      <c r="R1375" s="104">
        <f t="shared" si="68"/>
        <v>0</v>
      </c>
      <c r="S1375" s="104">
        <f t="shared" si="67"/>
        <v>0</v>
      </c>
      <c r="T1375" s="104">
        <f t="shared" si="69"/>
        <v>0</v>
      </c>
    </row>
    <row r="1376" spans="1:20">
      <c r="A1376" s="101"/>
      <c r="B1376" s="101"/>
      <c r="C1376" s="101"/>
      <c r="D1376" s="101"/>
      <c r="E1376" s="101"/>
      <c r="F1376" s="102"/>
      <c r="G1376" s="101"/>
      <c r="H1376" s="102"/>
      <c r="I1376" s="101"/>
      <c r="J1376" s="101"/>
      <c r="K1376" s="103"/>
      <c r="L1376" s="103"/>
      <c r="M1376" s="103"/>
      <c r="N1376" s="103"/>
      <c r="O1376" s="103"/>
      <c r="P1376" s="98"/>
      <c r="Q1376" s="99"/>
      <c r="R1376" s="105">
        <f t="shared" si="68"/>
        <v>0</v>
      </c>
      <c r="S1376" s="108">
        <f t="shared" si="67"/>
        <v>0</v>
      </c>
      <c r="T1376" s="105">
        <f t="shared" si="69"/>
        <v>0</v>
      </c>
    </row>
    <row r="1377" spans="1:20">
      <c r="A1377" s="101"/>
      <c r="B1377" s="101"/>
      <c r="C1377" s="101"/>
      <c r="D1377" s="101"/>
      <c r="E1377" s="101"/>
      <c r="F1377" s="102"/>
      <c r="G1377" s="101"/>
      <c r="H1377" s="102"/>
      <c r="I1377" s="101"/>
      <c r="J1377" s="101"/>
      <c r="K1377" s="103"/>
      <c r="L1377" s="103"/>
      <c r="M1377" s="103"/>
      <c r="N1377" s="103"/>
      <c r="O1377" s="103"/>
      <c r="P1377" s="98"/>
      <c r="Q1377" s="99"/>
      <c r="R1377" s="104">
        <f t="shared" si="68"/>
        <v>0</v>
      </c>
      <c r="S1377" s="104">
        <f t="shared" si="67"/>
        <v>0</v>
      </c>
      <c r="T1377" s="104">
        <f t="shared" si="69"/>
        <v>0</v>
      </c>
    </row>
    <row r="1378" spans="1:20">
      <c r="A1378" s="101"/>
      <c r="B1378" s="101"/>
      <c r="C1378" s="101"/>
      <c r="D1378" s="101"/>
      <c r="E1378" s="101"/>
      <c r="F1378" s="102"/>
      <c r="G1378" s="101"/>
      <c r="H1378" s="102"/>
      <c r="I1378" s="101"/>
      <c r="J1378" s="101"/>
      <c r="K1378" s="103"/>
      <c r="L1378" s="103"/>
      <c r="M1378" s="103"/>
      <c r="N1378" s="103"/>
      <c r="O1378" s="103"/>
      <c r="P1378" s="98"/>
      <c r="Q1378" s="99"/>
      <c r="R1378" s="105">
        <f t="shared" si="68"/>
        <v>0</v>
      </c>
      <c r="S1378" s="108">
        <f t="shared" si="67"/>
        <v>0</v>
      </c>
      <c r="T1378" s="105">
        <f t="shared" si="69"/>
        <v>0</v>
      </c>
    </row>
    <row r="1379" spans="1:20">
      <c r="A1379" s="101"/>
      <c r="B1379" s="101"/>
      <c r="C1379" s="101"/>
      <c r="D1379" s="101"/>
      <c r="E1379" s="101"/>
      <c r="F1379" s="102"/>
      <c r="G1379" s="101"/>
      <c r="H1379" s="102"/>
      <c r="I1379" s="101"/>
      <c r="J1379" s="101"/>
      <c r="K1379" s="103"/>
      <c r="L1379" s="103"/>
      <c r="M1379" s="103"/>
      <c r="N1379" s="103"/>
      <c r="O1379" s="103"/>
      <c r="P1379" s="98"/>
      <c r="Q1379" s="99"/>
      <c r="R1379" s="104">
        <f t="shared" si="68"/>
        <v>0</v>
      </c>
      <c r="S1379" s="104">
        <f t="shared" si="67"/>
        <v>0</v>
      </c>
      <c r="T1379" s="104">
        <f t="shared" si="69"/>
        <v>0</v>
      </c>
    </row>
    <row r="1380" spans="1:20">
      <c r="A1380" s="101"/>
      <c r="B1380" s="101"/>
      <c r="C1380" s="101"/>
      <c r="D1380" s="101"/>
      <c r="E1380" s="101"/>
      <c r="F1380" s="102"/>
      <c r="G1380" s="101"/>
      <c r="H1380" s="102"/>
      <c r="I1380" s="101"/>
      <c r="J1380" s="101"/>
      <c r="K1380" s="103"/>
      <c r="L1380" s="103"/>
      <c r="M1380" s="103"/>
      <c r="N1380" s="103"/>
      <c r="O1380" s="103"/>
      <c r="P1380" s="98"/>
      <c r="Q1380" s="99"/>
      <c r="R1380" s="105">
        <f t="shared" si="68"/>
        <v>0</v>
      </c>
      <c r="S1380" s="108">
        <f t="shared" si="67"/>
        <v>0</v>
      </c>
      <c r="T1380" s="105">
        <f t="shared" si="69"/>
        <v>0</v>
      </c>
    </row>
    <row r="1381" spans="1:20">
      <c r="A1381" s="101"/>
      <c r="B1381" s="101"/>
      <c r="C1381" s="101"/>
      <c r="D1381" s="101"/>
      <c r="E1381" s="101"/>
      <c r="F1381" s="102"/>
      <c r="G1381" s="101"/>
      <c r="H1381" s="102"/>
      <c r="I1381" s="101"/>
      <c r="J1381" s="101"/>
      <c r="K1381" s="103"/>
      <c r="L1381" s="103"/>
      <c r="M1381" s="103"/>
      <c r="N1381" s="103"/>
      <c r="O1381" s="103"/>
      <c r="P1381" s="98"/>
      <c r="Q1381" s="99"/>
      <c r="R1381" s="104">
        <f t="shared" si="68"/>
        <v>0</v>
      </c>
      <c r="S1381" s="104">
        <f t="shared" si="67"/>
        <v>0</v>
      </c>
      <c r="T1381" s="104">
        <f t="shared" si="69"/>
        <v>0</v>
      </c>
    </row>
    <row r="1382" spans="1:20">
      <c r="A1382" s="101"/>
      <c r="B1382" s="101"/>
      <c r="C1382" s="101"/>
      <c r="D1382" s="101"/>
      <c r="E1382" s="101"/>
      <c r="F1382" s="102"/>
      <c r="G1382" s="101"/>
      <c r="H1382" s="102"/>
      <c r="I1382" s="101"/>
      <c r="J1382" s="101"/>
      <c r="K1382" s="103"/>
      <c r="L1382" s="103"/>
      <c r="M1382" s="103"/>
      <c r="N1382" s="103"/>
      <c r="O1382" s="103"/>
      <c r="P1382" s="98"/>
      <c r="Q1382" s="99"/>
      <c r="R1382" s="105">
        <f t="shared" si="68"/>
        <v>0</v>
      </c>
      <c r="S1382" s="108">
        <f t="shared" si="67"/>
        <v>0</v>
      </c>
      <c r="T1382" s="105">
        <f t="shared" si="69"/>
        <v>0</v>
      </c>
    </row>
    <row r="1383" spans="1:20">
      <c r="A1383" s="101"/>
      <c r="B1383" s="101"/>
      <c r="C1383" s="101"/>
      <c r="D1383" s="101"/>
      <c r="E1383" s="101"/>
      <c r="F1383" s="102"/>
      <c r="G1383" s="101"/>
      <c r="H1383" s="102"/>
      <c r="I1383" s="101"/>
      <c r="J1383" s="101"/>
      <c r="K1383" s="103"/>
      <c r="L1383" s="103"/>
      <c r="M1383" s="103"/>
      <c r="N1383" s="103"/>
      <c r="O1383" s="103"/>
      <c r="P1383" s="98"/>
      <c r="Q1383" s="99"/>
      <c r="R1383" s="104">
        <f t="shared" si="68"/>
        <v>0</v>
      </c>
      <c r="S1383" s="104">
        <f t="shared" si="67"/>
        <v>0</v>
      </c>
      <c r="T1383" s="104">
        <f t="shared" si="69"/>
        <v>0</v>
      </c>
    </row>
    <row r="1384" spans="1:20">
      <c r="A1384" s="101"/>
      <c r="B1384" s="101"/>
      <c r="C1384" s="101"/>
      <c r="D1384" s="101"/>
      <c r="E1384" s="101"/>
      <c r="F1384" s="102"/>
      <c r="G1384" s="101"/>
      <c r="H1384" s="102"/>
      <c r="I1384" s="101"/>
      <c r="J1384" s="101"/>
      <c r="K1384" s="103"/>
      <c r="L1384" s="103"/>
      <c r="M1384" s="103"/>
      <c r="N1384" s="103"/>
      <c r="O1384" s="103"/>
      <c r="P1384" s="98"/>
      <c r="Q1384" s="99"/>
      <c r="R1384" s="105">
        <f t="shared" si="68"/>
        <v>0</v>
      </c>
      <c r="S1384" s="108">
        <f t="shared" si="67"/>
        <v>0</v>
      </c>
      <c r="T1384" s="105">
        <f t="shared" si="69"/>
        <v>0</v>
      </c>
    </row>
    <row r="1385" spans="1:20">
      <c r="A1385" s="101"/>
      <c r="B1385" s="101"/>
      <c r="C1385" s="101"/>
      <c r="D1385" s="101"/>
      <c r="E1385" s="101"/>
      <c r="F1385" s="102"/>
      <c r="G1385" s="101"/>
      <c r="H1385" s="102"/>
      <c r="I1385" s="101"/>
      <c r="J1385" s="101"/>
      <c r="K1385" s="103"/>
      <c r="L1385" s="103"/>
      <c r="M1385" s="103"/>
      <c r="N1385" s="103"/>
      <c r="O1385" s="103"/>
      <c r="P1385" s="98"/>
      <c r="Q1385" s="99"/>
      <c r="R1385" s="104">
        <f t="shared" si="68"/>
        <v>0</v>
      </c>
      <c r="S1385" s="104">
        <f t="shared" si="67"/>
        <v>0</v>
      </c>
      <c r="T1385" s="104">
        <f t="shared" si="69"/>
        <v>0</v>
      </c>
    </row>
    <row r="1386" spans="1:20">
      <c r="A1386" s="101"/>
      <c r="B1386" s="101"/>
      <c r="C1386" s="101"/>
      <c r="D1386" s="101"/>
      <c r="E1386" s="101"/>
      <c r="F1386" s="102"/>
      <c r="G1386" s="101"/>
      <c r="H1386" s="102"/>
      <c r="I1386" s="101"/>
      <c r="J1386" s="101"/>
      <c r="K1386" s="103"/>
      <c r="L1386" s="103"/>
      <c r="M1386" s="103"/>
      <c r="N1386" s="103"/>
      <c r="O1386" s="103"/>
      <c r="P1386" s="98"/>
      <c r="Q1386" s="99"/>
      <c r="R1386" s="105">
        <f t="shared" si="68"/>
        <v>0</v>
      </c>
      <c r="S1386" s="108">
        <f t="shared" si="67"/>
        <v>0</v>
      </c>
      <c r="T1386" s="105">
        <f t="shared" si="69"/>
        <v>0</v>
      </c>
    </row>
    <row r="1387" spans="1:20">
      <c r="A1387" s="101"/>
      <c r="B1387" s="101"/>
      <c r="C1387" s="101"/>
      <c r="D1387" s="101"/>
      <c r="E1387" s="101"/>
      <c r="F1387" s="102"/>
      <c r="G1387" s="101"/>
      <c r="H1387" s="102"/>
      <c r="I1387" s="101"/>
      <c r="J1387" s="101"/>
      <c r="K1387" s="103"/>
      <c r="L1387" s="103"/>
      <c r="M1387" s="103"/>
      <c r="N1387" s="103"/>
      <c r="O1387" s="103"/>
      <c r="P1387" s="98"/>
      <c r="Q1387" s="99"/>
      <c r="R1387" s="104">
        <f t="shared" si="68"/>
        <v>0</v>
      </c>
      <c r="S1387" s="104">
        <f t="shared" si="67"/>
        <v>0</v>
      </c>
      <c r="T1387" s="104">
        <f t="shared" si="69"/>
        <v>0</v>
      </c>
    </row>
    <row r="1388" spans="1:20">
      <c r="A1388" s="101"/>
      <c r="B1388" s="101"/>
      <c r="C1388" s="101"/>
      <c r="D1388" s="101"/>
      <c r="E1388" s="101"/>
      <c r="F1388" s="102"/>
      <c r="G1388" s="101"/>
      <c r="H1388" s="102"/>
      <c r="I1388" s="101"/>
      <c r="J1388" s="101"/>
      <c r="K1388" s="103"/>
      <c r="L1388" s="103"/>
      <c r="M1388" s="103"/>
      <c r="N1388" s="103"/>
      <c r="O1388" s="103"/>
      <c r="P1388" s="98"/>
      <c r="Q1388" s="99"/>
      <c r="R1388" s="105">
        <f t="shared" si="68"/>
        <v>0</v>
      </c>
      <c r="S1388" s="108">
        <f t="shared" si="67"/>
        <v>0</v>
      </c>
      <c r="T1388" s="105">
        <f t="shared" si="69"/>
        <v>0</v>
      </c>
    </row>
    <row r="1389" spans="1:20">
      <c r="A1389" s="101"/>
      <c r="B1389" s="101"/>
      <c r="C1389" s="101"/>
      <c r="D1389" s="101"/>
      <c r="E1389" s="101"/>
      <c r="F1389" s="102"/>
      <c r="G1389" s="101"/>
      <c r="H1389" s="102"/>
      <c r="I1389" s="101"/>
      <c r="J1389" s="101"/>
      <c r="K1389" s="103"/>
      <c r="L1389" s="103"/>
      <c r="M1389" s="103"/>
      <c r="N1389" s="103"/>
      <c r="O1389" s="103"/>
      <c r="P1389" s="98"/>
      <c r="Q1389" s="99"/>
      <c r="R1389" s="104">
        <f t="shared" si="68"/>
        <v>0</v>
      </c>
      <c r="S1389" s="104">
        <f t="shared" si="67"/>
        <v>0</v>
      </c>
      <c r="T1389" s="104">
        <f t="shared" si="69"/>
        <v>0</v>
      </c>
    </row>
    <row r="1390" spans="1:20">
      <c r="A1390" s="101"/>
      <c r="B1390" s="101"/>
      <c r="C1390" s="101"/>
      <c r="D1390" s="101"/>
      <c r="E1390" s="101"/>
      <c r="F1390" s="102"/>
      <c r="G1390" s="101"/>
      <c r="H1390" s="102"/>
      <c r="I1390" s="101"/>
      <c r="J1390" s="101"/>
      <c r="K1390" s="103"/>
      <c r="L1390" s="103"/>
      <c r="M1390" s="103"/>
      <c r="N1390" s="103"/>
      <c r="O1390" s="103"/>
      <c r="P1390" s="98"/>
      <c r="Q1390" s="99"/>
      <c r="R1390" s="105">
        <f t="shared" si="68"/>
        <v>0</v>
      </c>
      <c r="S1390" s="108">
        <f t="shared" si="67"/>
        <v>0</v>
      </c>
      <c r="T1390" s="105">
        <f t="shared" si="69"/>
        <v>0</v>
      </c>
    </row>
    <row r="1391" spans="1:20">
      <c r="A1391" s="101"/>
      <c r="B1391" s="101"/>
      <c r="C1391" s="101"/>
      <c r="D1391" s="101"/>
      <c r="E1391" s="101"/>
      <c r="F1391" s="102"/>
      <c r="G1391" s="101"/>
      <c r="H1391" s="102"/>
      <c r="I1391" s="101"/>
      <c r="J1391" s="101"/>
      <c r="K1391" s="103"/>
      <c r="L1391" s="103"/>
      <c r="M1391" s="103"/>
      <c r="N1391" s="103"/>
      <c r="O1391" s="103"/>
      <c r="P1391" s="98"/>
      <c r="Q1391" s="99"/>
      <c r="R1391" s="104">
        <f t="shared" si="68"/>
        <v>0</v>
      </c>
      <c r="S1391" s="104">
        <f t="shared" si="67"/>
        <v>0</v>
      </c>
      <c r="T1391" s="104">
        <f t="shared" si="69"/>
        <v>0</v>
      </c>
    </row>
    <row r="1392" spans="1:20">
      <c r="A1392" s="101"/>
      <c r="B1392" s="101"/>
      <c r="C1392" s="101"/>
      <c r="D1392" s="101"/>
      <c r="E1392" s="101"/>
      <c r="F1392" s="102"/>
      <c r="G1392" s="101"/>
      <c r="H1392" s="102"/>
      <c r="I1392" s="101"/>
      <c r="J1392" s="101"/>
      <c r="K1392" s="103"/>
      <c r="L1392" s="103"/>
      <c r="M1392" s="103"/>
      <c r="N1392" s="103"/>
      <c r="O1392" s="103"/>
      <c r="P1392" s="98"/>
      <c r="Q1392" s="99"/>
      <c r="R1392" s="105">
        <f t="shared" si="68"/>
        <v>0</v>
      </c>
      <c r="S1392" s="108">
        <f t="shared" si="67"/>
        <v>0</v>
      </c>
      <c r="T1392" s="105">
        <f t="shared" si="69"/>
        <v>0</v>
      </c>
    </row>
    <row r="1393" spans="1:20">
      <c r="A1393" s="101"/>
      <c r="B1393" s="101"/>
      <c r="C1393" s="101"/>
      <c r="D1393" s="101"/>
      <c r="E1393" s="101"/>
      <c r="F1393" s="102"/>
      <c r="G1393" s="101"/>
      <c r="H1393" s="102"/>
      <c r="I1393" s="101"/>
      <c r="J1393" s="101"/>
      <c r="K1393" s="103"/>
      <c r="L1393" s="103"/>
      <c r="M1393" s="103"/>
      <c r="N1393" s="103"/>
      <c r="O1393" s="103"/>
      <c r="P1393" s="98"/>
      <c r="Q1393" s="99"/>
      <c r="R1393" s="104">
        <f t="shared" si="68"/>
        <v>0</v>
      </c>
      <c r="S1393" s="104">
        <f t="shared" si="67"/>
        <v>0</v>
      </c>
      <c r="T1393" s="104">
        <f t="shared" si="69"/>
        <v>0</v>
      </c>
    </row>
    <row r="1394" spans="1:20">
      <c r="A1394" s="101"/>
      <c r="B1394" s="101"/>
      <c r="C1394" s="101"/>
      <c r="D1394" s="101"/>
      <c r="E1394" s="101"/>
      <c r="F1394" s="102"/>
      <c r="G1394" s="101"/>
      <c r="H1394" s="102"/>
      <c r="I1394" s="101"/>
      <c r="J1394" s="101"/>
      <c r="K1394" s="103"/>
      <c r="L1394" s="103"/>
      <c r="M1394" s="103"/>
      <c r="N1394" s="103"/>
      <c r="O1394" s="103"/>
      <c r="P1394" s="98"/>
      <c r="Q1394" s="99"/>
      <c r="R1394" s="105">
        <f t="shared" si="68"/>
        <v>0</v>
      </c>
      <c r="S1394" s="108">
        <f t="shared" si="67"/>
        <v>0</v>
      </c>
      <c r="T1394" s="105">
        <f t="shared" si="69"/>
        <v>0</v>
      </c>
    </row>
    <row r="1395" spans="1:20">
      <c r="A1395" s="101"/>
      <c r="B1395" s="101"/>
      <c r="C1395" s="101"/>
      <c r="D1395" s="101"/>
      <c r="E1395" s="101"/>
      <c r="F1395" s="102"/>
      <c r="G1395" s="101"/>
      <c r="H1395" s="102"/>
      <c r="I1395" s="101"/>
      <c r="J1395" s="101"/>
      <c r="K1395" s="103"/>
      <c r="L1395" s="103"/>
      <c r="M1395" s="103"/>
      <c r="N1395" s="103"/>
      <c r="O1395" s="103"/>
      <c r="P1395" s="98"/>
      <c r="Q1395" s="99"/>
      <c r="R1395" s="104">
        <f t="shared" si="68"/>
        <v>0</v>
      </c>
      <c r="S1395" s="104">
        <f t="shared" si="67"/>
        <v>0</v>
      </c>
      <c r="T1395" s="104">
        <f t="shared" si="69"/>
        <v>0</v>
      </c>
    </row>
    <row r="1396" spans="1:20">
      <c r="A1396" s="101"/>
      <c r="B1396" s="101"/>
      <c r="C1396" s="101"/>
      <c r="D1396" s="101"/>
      <c r="E1396" s="101"/>
      <c r="F1396" s="102"/>
      <c r="G1396" s="101"/>
      <c r="H1396" s="102"/>
      <c r="I1396" s="101"/>
      <c r="J1396" s="101"/>
      <c r="K1396" s="103"/>
      <c r="L1396" s="103"/>
      <c r="M1396" s="103"/>
      <c r="N1396" s="103"/>
      <c r="O1396" s="103"/>
      <c r="P1396" s="98"/>
      <c r="Q1396" s="99"/>
      <c r="R1396" s="105">
        <f t="shared" si="68"/>
        <v>0</v>
      </c>
      <c r="S1396" s="108">
        <f t="shared" si="67"/>
        <v>0</v>
      </c>
      <c r="T1396" s="105">
        <f t="shared" si="69"/>
        <v>0</v>
      </c>
    </row>
    <row r="1397" spans="1:20">
      <c r="A1397" s="101"/>
      <c r="B1397" s="101"/>
      <c r="C1397" s="101"/>
      <c r="D1397" s="101"/>
      <c r="E1397" s="101"/>
      <c r="F1397" s="102"/>
      <c r="G1397" s="101"/>
      <c r="H1397" s="102"/>
      <c r="I1397" s="101"/>
      <c r="J1397" s="101"/>
      <c r="K1397" s="103"/>
      <c r="L1397" s="103"/>
      <c r="M1397" s="103"/>
      <c r="N1397" s="103"/>
      <c r="O1397" s="103"/>
      <c r="P1397" s="98"/>
      <c r="Q1397" s="99"/>
      <c r="R1397" s="104">
        <f t="shared" si="68"/>
        <v>0</v>
      </c>
      <c r="S1397" s="104">
        <f t="shared" si="67"/>
        <v>0</v>
      </c>
      <c r="T1397" s="104">
        <f t="shared" si="69"/>
        <v>0</v>
      </c>
    </row>
    <row r="1398" spans="1:20">
      <c r="A1398" s="101"/>
      <c r="B1398" s="101"/>
      <c r="C1398" s="101"/>
      <c r="D1398" s="101"/>
      <c r="E1398" s="101"/>
      <c r="F1398" s="102"/>
      <c r="G1398" s="101"/>
      <c r="H1398" s="102"/>
      <c r="I1398" s="101"/>
      <c r="J1398" s="101"/>
      <c r="K1398" s="103"/>
      <c r="L1398" s="103"/>
      <c r="M1398" s="103"/>
      <c r="N1398" s="103"/>
      <c r="O1398" s="103"/>
      <c r="P1398" s="98"/>
      <c r="Q1398" s="99"/>
      <c r="R1398" s="105">
        <f t="shared" si="68"/>
        <v>0</v>
      </c>
      <c r="S1398" s="108">
        <f t="shared" si="67"/>
        <v>0</v>
      </c>
      <c r="T1398" s="105">
        <f t="shared" si="69"/>
        <v>0</v>
      </c>
    </row>
    <row r="1399" spans="1:20">
      <c r="A1399" s="101"/>
      <c r="B1399" s="101"/>
      <c r="C1399" s="101"/>
      <c r="D1399" s="101"/>
      <c r="E1399" s="101"/>
      <c r="F1399" s="102"/>
      <c r="G1399" s="101"/>
      <c r="H1399" s="102"/>
      <c r="I1399" s="101"/>
      <c r="J1399" s="101"/>
      <c r="K1399" s="103"/>
      <c r="L1399" s="103"/>
      <c r="M1399" s="103"/>
      <c r="N1399" s="103"/>
      <c r="O1399" s="103"/>
      <c r="P1399" s="98"/>
      <c r="Q1399" s="99"/>
      <c r="R1399" s="104">
        <f t="shared" si="68"/>
        <v>0</v>
      </c>
      <c r="S1399" s="104">
        <f t="shared" si="67"/>
        <v>0</v>
      </c>
      <c r="T1399" s="104">
        <f t="shared" si="69"/>
        <v>0</v>
      </c>
    </row>
    <row r="1400" spans="1:20">
      <c r="A1400" s="101"/>
      <c r="B1400" s="101"/>
      <c r="C1400" s="101"/>
      <c r="D1400" s="101"/>
      <c r="E1400" s="101"/>
      <c r="F1400" s="102"/>
      <c r="G1400" s="101"/>
      <c r="H1400" s="102"/>
      <c r="I1400" s="101"/>
      <c r="J1400" s="101"/>
      <c r="K1400" s="103"/>
      <c r="L1400" s="103"/>
      <c r="M1400" s="103"/>
      <c r="N1400" s="103"/>
      <c r="O1400" s="103"/>
      <c r="P1400" s="98"/>
      <c r="Q1400" s="99"/>
      <c r="R1400" s="105">
        <f t="shared" si="68"/>
        <v>0</v>
      </c>
      <c r="S1400" s="108">
        <f t="shared" si="67"/>
        <v>0</v>
      </c>
      <c r="T1400" s="105">
        <f t="shared" si="69"/>
        <v>0</v>
      </c>
    </row>
    <row r="1401" spans="1:20">
      <c r="A1401" s="101"/>
      <c r="B1401" s="101"/>
      <c r="C1401" s="101"/>
      <c r="D1401" s="101"/>
      <c r="E1401" s="101"/>
      <c r="F1401" s="102"/>
      <c r="G1401" s="101"/>
      <c r="H1401" s="102"/>
      <c r="I1401" s="101"/>
      <c r="J1401" s="101"/>
      <c r="K1401" s="103"/>
      <c r="L1401" s="103"/>
      <c r="M1401" s="103"/>
      <c r="N1401" s="103"/>
      <c r="O1401" s="103"/>
      <c r="P1401" s="98"/>
      <c r="Q1401" s="99"/>
      <c r="R1401" s="104">
        <f t="shared" si="68"/>
        <v>0</v>
      </c>
      <c r="S1401" s="104">
        <f t="shared" si="67"/>
        <v>0</v>
      </c>
      <c r="T1401" s="104">
        <f t="shared" si="69"/>
        <v>0</v>
      </c>
    </row>
    <row r="1402" spans="1:20">
      <c r="A1402" s="101"/>
      <c r="B1402" s="101"/>
      <c r="C1402" s="101"/>
      <c r="D1402" s="101"/>
      <c r="E1402" s="101"/>
      <c r="F1402" s="102"/>
      <c r="G1402" s="101"/>
      <c r="H1402" s="102"/>
      <c r="I1402" s="101"/>
      <c r="J1402" s="101"/>
      <c r="K1402" s="103"/>
      <c r="L1402" s="103"/>
      <c r="M1402" s="103"/>
      <c r="N1402" s="103"/>
      <c r="O1402" s="103"/>
      <c r="P1402" s="98"/>
      <c r="Q1402" s="99"/>
      <c r="R1402" s="105">
        <f t="shared" si="68"/>
        <v>0</v>
      </c>
      <c r="S1402" s="108">
        <f t="shared" si="67"/>
        <v>0</v>
      </c>
      <c r="T1402" s="105">
        <f t="shared" si="69"/>
        <v>0</v>
      </c>
    </row>
    <row r="1403" spans="1:20">
      <c r="A1403" s="101"/>
      <c r="B1403" s="101"/>
      <c r="C1403" s="101"/>
      <c r="D1403" s="101"/>
      <c r="E1403" s="101"/>
      <c r="F1403" s="102"/>
      <c r="G1403" s="101"/>
      <c r="H1403" s="102"/>
      <c r="I1403" s="101"/>
      <c r="J1403" s="101"/>
      <c r="K1403" s="103"/>
      <c r="L1403" s="103"/>
      <c r="M1403" s="103"/>
      <c r="N1403" s="103"/>
      <c r="O1403" s="103"/>
      <c r="P1403" s="98"/>
      <c r="Q1403" s="99"/>
      <c r="R1403" s="104">
        <f t="shared" si="68"/>
        <v>0</v>
      </c>
      <c r="S1403" s="104">
        <f t="shared" si="67"/>
        <v>0</v>
      </c>
      <c r="T1403" s="104">
        <f t="shared" si="69"/>
        <v>0</v>
      </c>
    </row>
    <row r="1404" spans="1:20">
      <c r="A1404" s="101"/>
      <c r="B1404" s="101"/>
      <c r="C1404" s="101"/>
      <c r="D1404" s="101"/>
      <c r="E1404" s="101"/>
      <c r="F1404" s="102"/>
      <c r="G1404" s="101"/>
      <c r="H1404" s="102"/>
      <c r="I1404" s="101"/>
      <c r="J1404" s="101"/>
      <c r="K1404" s="103"/>
      <c r="L1404" s="103"/>
      <c r="M1404" s="103"/>
      <c r="N1404" s="103"/>
      <c r="O1404" s="103"/>
      <c r="P1404" s="98"/>
      <c r="Q1404" s="99"/>
      <c r="R1404" s="105">
        <f t="shared" si="68"/>
        <v>0</v>
      </c>
      <c r="S1404" s="108">
        <f t="shared" si="67"/>
        <v>0</v>
      </c>
      <c r="T1404" s="105">
        <f t="shared" si="69"/>
        <v>0</v>
      </c>
    </row>
    <row r="1405" spans="1:20">
      <c r="A1405" s="101"/>
      <c r="B1405" s="101"/>
      <c r="C1405" s="101"/>
      <c r="D1405" s="101"/>
      <c r="E1405" s="101"/>
      <c r="F1405" s="102"/>
      <c r="G1405" s="101"/>
      <c r="H1405" s="102"/>
      <c r="I1405" s="101"/>
      <c r="J1405" s="101"/>
      <c r="K1405" s="103"/>
      <c r="L1405" s="103"/>
      <c r="M1405" s="103"/>
      <c r="N1405" s="103"/>
      <c r="O1405" s="103"/>
      <c r="P1405" s="98"/>
      <c r="Q1405" s="99"/>
      <c r="R1405" s="104">
        <f t="shared" si="68"/>
        <v>0</v>
      </c>
      <c r="S1405" s="104">
        <f t="shared" si="67"/>
        <v>0</v>
      </c>
      <c r="T1405" s="104">
        <f t="shared" si="69"/>
        <v>0</v>
      </c>
    </row>
    <row r="1406" spans="1:20">
      <c r="A1406" s="101"/>
      <c r="B1406" s="101"/>
      <c r="C1406" s="101"/>
      <c r="D1406" s="101"/>
      <c r="E1406" s="101"/>
      <c r="F1406" s="102"/>
      <c r="G1406" s="101"/>
      <c r="H1406" s="102"/>
      <c r="I1406" s="101"/>
      <c r="J1406" s="101"/>
      <c r="K1406" s="103"/>
      <c r="L1406" s="103"/>
      <c r="M1406" s="103"/>
      <c r="N1406" s="103"/>
      <c r="O1406" s="103"/>
      <c r="P1406" s="98"/>
      <c r="Q1406" s="99"/>
      <c r="R1406" s="105">
        <f t="shared" si="68"/>
        <v>0</v>
      </c>
      <c r="S1406" s="108">
        <f t="shared" si="67"/>
        <v>0</v>
      </c>
      <c r="T1406" s="105">
        <f t="shared" si="69"/>
        <v>0</v>
      </c>
    </row>
    <row r="1407" spans="1:20">
      <c r="A1407" s="101"/>
      <c r="B1407" s="101"/>
      <c r="C1407" s="101"/>
      <c r="D1407" s="101"/>
      <c r="E1407" s="101"/>
      <c r="F1407" s="102"/>
      <c r="G1407" s="101"/>
      <c r="H1407" s="102"/>
      <c r="I1407" s="101"/>
      <c r="J1407" s="101"/>
      <c r="K1407" s="103"/>
      <c r="L1407" s="103"/>
      <c r="M1407" s="103"/>
      <c r="N1407" s="103"/>
      <c r="O1407" s="103"/>
      <c r="P1407" s="98"/>
      <c r="Q1407" s="99"/>
      <c r="R1407" s="104">
        <f t="shared" si="68"/>
        <v>0</v>
      </c>
      <c r="S1407" s="104">
        <f t="shared" si="67"/>
        <v>0</v>
      </c>
      <c r="T1407" s="104">
        <f t="shared" si="69"/>
        <v>0</v>
      </c>
    </row>
    <row r="1408" spans="1:20">
      <c r="A1408" s="101"/>
      <c r="B1408" s="101"/>
      <c r="C1408" s="101"/>
      <c r="D1408" s="101"/>
      <c r="E1408" s="101"/>
      <c r="F1408" s="102"/>
      <c r="G1408" s="101"/>
      <c r="H1408" s="102"/>
      <c r="I1408" s="101"/>
      <c r="J1408" s="101"/>
      <c r="K1408" s="103"/>
      <c r="L1408" s="103"/>
      <c r="M1408" s="103"/>
      <c r="N1408" s="103"/>
      <c r="O1408" s="103"/>
      <c r="P1408" s="98"/>
      <c r="Q1408" s="99"/>
      <c r="R1408" s="105">
        <f t="shared" si="68"/>
        <v>0</v>
      </c>
      <c r="S1408" s="108">
        <f t="shared" si="67"/>
        <v>0</v>
      </c>
      <c r="T1408" s="105">
        <f t="shared" si="69"/>
        <v>0</v>
      </c>
    </row>
    <row r="1409" spans="1:20">
      <c r="A1409" s="101"/>
      <c r="B1409" s="101"/>
      <c r="C1409" s="101"/>
      <c r="D1409" s="101"/>
      <c r="E1409" s="101"/>
      <c r="F1409" s="102"/>
      <c r="G1409" s="101"/>
      <c r="H1409" s="102"/>
      <c r="I1409" s="101"/>
      <c r="J1409" s="101"/>
      <c r="K1409" s="103"/>
      <c r="L1409" s="103"/>
      <c r="M1409" s="103"/>
      <c r="N1409" s="103"/>
      <c r="O1409" s="103"/>
      <c r="P1409" s="98"/>
      <c r="Q1409" s="99"/>
      <c r="R1409" s="104">
        <f t="shared" si="68"/>
        <v>0</v>
      </c>
      <c r="S1409" s="104">
        <f t="shared" si="67"/>
        <v>0</v>
      </c>
      <c r="T1409" s="104">
        <f t="shared" si="69"/>
        <v>0</v>
      </c>
    </row>
    <row r="1410" spans="1:20">
      <c r="A1410" s="101"/>
      <c r="B1410" s="101"/>
      <c r="C1410" s="101"/>
      <c r="D1410" s="101"/>
      <c r="E1410" s="101"/>
      <c r="F1410" s="102"/>
      <c r="G1410" s="101"/>
      <c r="H1410" s="102"/>
      <c r="I1410" s="101"/>
      <c r="J1410" s="101"/>
      <c r="K1410" s="103"/>
      <c r="L1410" s="103"/>
      <c r="M1410" s="103"/>
      <c r="N1410" s="103"/>
      <c r="O1410" s="103"/>
      <c r="P1410" s="98"/>
      <c r="Q1410" s="99"/>
      <c r="R1410" s="105">
        <f t="shared" si="68"/>
        <v>0</v>
      </c>
      <c r="S1410" s="108">
        <f t="shared" si="67"/>
        <v>0</v>
      </c>
      <c r="T1410" s="105">
        <f t="shared" si="69"/>
        <v>0</v>
      </c>
    </row>
    <row r="1411" spans="1:20">
      <c r="A1411" s="101"/>
      <c r="B1411" s="101"/>
      <c r="C1411" s="101"/>
      <c r="D1411" s="101"/>
      <c r="E1411" s="101"/>
      <c r="F1411" s="102"/>
      <c r="G1411" s="101"/>
      <c r="H1411" s="102"/>
      <c r="I1411" s="101"/>
      <c r="J1411" s="101"/>
      <c r="K1411" s="103"/>
      <c r="L1411" s="103"/>
      <c r="M1411" s="103"/>
      <c r="N1411" s="103"/>
      <c r="O1411" s="103"/>
      <c r="P1411" s="98"/>
      <c r="Q1411" s="99"/>
      <c r="R1411" s="104">
        <f t="shared" si="68"/>
        <v>0</v>
      </c>
      <c r="S1411" s="104">
        <f t="shared" si="67"/>
        <v>0</v>
      </c>
      <c r="T1411" s="104">
        <f t="shared" si="69"/>
        <v>0</v>
      </c>
    </row>
    <row r="1412" spans="1:20">
      <c r="A1412" s="101"/>
      <c r="B1412" s="101"/>
      <c r="C1412" s="101"/>
      <c r="D1412" s="101"/>
      <c r="E1412" s="101"/>
      <c r="F1412" s="102"/>
      <c r="G1412" s="101"/>
      <c r="H1412" s="102"/>
      <c r="I1412" s="101"/>
      <c r="J1412" s="101"/>
      <c r="K1412" s="103"/>
      <c r="L1412" s="103"/>
      <c r="M1412" s="103"/>
      <c r="N1412" s="103"/>
      <c r="O1412" s="103"/>
      <c r="P1412" s="98"/>
      <c r="Q1412" s="99"/>
      <c r="R1412" s="105">
        <f t="shared" si="68"/>
        <v>0</v>
      </c>
      <c r="S1412" s="108">
        <f t="shared" ref="S1412:S1475" si="70">IF(P1412="Abono",K1412+L1412+M1412-N1412-O1412,0)</f>
        <v>0</v>
      </c>
      <c r="T1412" s="105">
        <f t="shared" si="69"/>
        <v>0</v>
      </c>
    </row>
    <row r="1413" spans="1:20">
      <c r="A1413" s="101"/>
      <c r="B1413" s="101"/>
      <c r="C1413" s="101"/>
      <c r="D1413" s="101"/>
      <c r="E1413" s="101"/>
      <c r="F1413" s="102"/>
      <c r="G1413" s="101"/>
      <c r="H1413" s="102"/>
      <c r="I1413" s="101"/>
      <c r="J1413" s="101"/>
      <c r="K1413" s="103"/>
      <c r="L1413" s="103"/>
      <c r="M1413" s="103"/>
      <c r="N1413" s="103"/>
      <c r="O1413" s="103"/>
      <c r="P1413" s="98"/>
      <c r="Q1413" s="99"/>
      <c r="R1413" s="104">
        <f t="shared" ref="R1413:R1476" si="71">IF(P1413="Cargo",K1413+L1413-M1413-N1413+O1413,0)</f>
        <v>0</v>
      </c>
      <c r="S1413" s="104">
        <f t="shared" si="70"/>
        <v>0</v>
      </c>
      <c r="T1413" s="104">
        <f t="shared" ref="T1413:T1476" si="72">IF(Q1413="OK",+T1412+R1413-S1413,T1412)</f>
        <v>0</v>
      </c>
    </row>
    <row r="1414" spans="1:20">
      <c r="A1414" s="101"/>
      <c r="B1414" s="101"/>
      <c r="C1414" s="101"/>
      <c r="D1414" s="101"/>
      <c r="E1414" s="101"/>
      <c r="F1414" s="102"/>
      <c r="G1414" s="101"/>
      <c r="H1414" s="102"/>
      <c r="I1414" s="101"/>
      <c r="J1414" s="101"/>
      <c r="K1414" s="103"/>
      <c r="L1414" s="103"/>
      <c r="M1414" s="103"/>
      <c r="N1414" s="103"/>
      <c r="O1414" s="103"/>
      <c r="P1414" s="98"/>
      <c r="Q1414" s="99"/>
      <c r="R1414" s="105">
        <f t="shared" si="71"/>
        <v>0</v>
      </c>
      <c r="S1414" s="108">
        <f t="shared" si="70"/>
        <v>0</v>
      </c>
      <c r="T1414" s="105">
        <f t="shared" si="72"/>
        <v>0</v>
      </c>
    </row>
    <row r="1415" spans="1:20">
      <c r="A1415" s="101"/>
      <c r="B1415" s="101"/>
      <c r="C1415" s="101"/>
      <c r="D1415" s="101"/>
      <c r="E1415" s="101"/>
      <c r="F1415" s="102"/>
      <c r="G1415" s="101"/>
      <c r="H1415" s="102"/>
      <c r="I1415" s="101"/>
      <c r="J1415" s="101"/>
      <c r="K1415" s="103"/>
      <c r="L1415" s="103"/>
      <c r="M1415" s="103"/>
      <c r="N1415" s="103"/>
      <c r="O1415" s="103"/>
      <c r="P1415" s="98"/>
      <c r="Q1415" s="99"/>
      <c r="R1415" s="104">
        <f t="shared" si="71"/>
        <v>0</v>
      </c>
      <c r="S1415" s="104">
        <f t="shared" si="70"/>
        <v>0</v>
      </c>
      <c r="T1415" s="104">
        <f t="shared" si="72"/>
        <v>0</v>
      </c>
    </row>
    <row r="1416" spans="1:20">
      <c r="A1416" s="101"/>
      <c r="B1416" s="101"/>
      <c r="C1416" s="101"/>
      <c r="D1416" s="101"/>
      <c r="E1416" s="101"/>
      <c r="F1416" s="102"/>
      <c r="G1416" s="101"/>
      <c r="H1416" s="102"/>
      <c r="I1416" s="101"/>
      <c r="J1416" s="101"/>
      <c r="K1416" s="103"/>
      <c r="L1416" s="103"/>
      <c r="M1416" s="103"/>
      <c r="N1416" s="103"/>
      <c r="O1416" s="103"/>
      <c r="P1416" s="98"/>
      <c r="Q1416" s="99"/>
      <c r="R1416" s="105">
        <f t="shared" si="71"/>
        <v>0</v>
      </c>
      <c r="S1416" s="108">
        <f t="shared" si="70"/>
        <v>0</v>
      </c>
      <c r="T1416" s="105">
        <f t="shared" si="72"/>
        <v>0</v>
      </c>
    </row>
    <row r="1417" spans="1:20">
      <c r="A1417" s="101"/>
      <c r="B1417" s="101"/>
      <c r="C1417" s="101"/>
      <c r="D1417" s="101"/>
      <c r="E1417" s="101"/>
      <c r="F1417" s="102"/>
      <c r="G1417" s="101"/>
      <c r="H1417" s="102"/>
      <c r="I1417" s="101"/>
      <c r="J1417" s="101"/>
      <c r="K1417" s="103"/>
      <c r="L1417" s="103"/>
      <c r="M1417" s="103"/>
      <c r="N1417" s="103"/>
      <c r="O1417" s="103"/>
      <c r="P1417" s="98"/>
      <c r="Q1417" s="99"/>
      <c r="R1417" s="104">
        <f t="shared" si="71"/>
        <v>0</v>
      </c>
      <c r="S1417" s="104">
        <f t="shared" si="70"/>
        <v>0</v>
      </c>
      <c r="T1417" s="104">
        <f t="shared" si="72"/>
        <v>0</v>
      </c>
    </row>
    <row r="1418" spans="1:20">
      <c r="A1418" s="101"/>
      <c r="B1418" s="101"/>
      <c r="C1418" s="101"/>
      <c r="D1418" s="101"/>
      <c r="E1418" s="101"/>
      <c r="F1418" s="102"/>
      <c r="G1418" s="101"/>
      <c r="H1418" s="102"/>
      <c r="I1418" s="101"/>
      <c r="J1418" s="101"/>
      <c r="K1418" s="103"/>
      <c r="L1418" s="103"/>
      <c r="M1418" s="103"/>
      <c r="N1418" s="103"/>
      <c r="O1418" s="103"/>
      <c r="P1418" s="98"/>
      <c r="Q1418" s="99"/>
      <c r="R1418" s="105">
        <f t="shared" si="71"/>
        <v>0</v>
      </c>
      <c r="S1418" s="108">
        <f t="shared" si="70"/>
        <v>0</v>
      </c>
      <c r="T1418" s="105">
        <f t="shared" si="72"/>
        <v>0</v>
      </c>
    </row>
    <row r="1419" spans="1:20">
      <c r="A1419" s="101"/>
      <c r="B1419" s="101"/>
      <c r="C1419" s="101"/>
      <c r="D1419" s="101"/>
      <c r="E1419" s="101"/>
      <c r="F1419" s="102"/>
      <c r="G1419" s="101"/>
      <c r="H1419" s="102"/>
      <c r="I1419" s="101"/>
      <c r="J1419" s="101"/>
      <c r="K1419" s="103"/>
      <c r="L1419" s="103"/>
      <c r="M1419" s="103"/>
      <c r="N1419" s="103"/>
      <c r="O1419" s="103"/>
      <c r="P1419" s="98"/>
      <c r="Q1419" s="99"/>
      <c r="R1419" s="104">
        <f t="shared" si="71"/>
        <v>0</v>
      </c>
      <c r="S1419" s="104">
        <f t="shared" si="70"/>
        <v>0</v>
      </c>
      <c r="T1419" s="104">
        <f t="shared" si="72"/>
        <v>0</v>
      </c>
    </row>
    <row r="1420" spans="1:20">
      <c r="A1420" s="101"/>
      <c r="B1420" s="101"/>
      <c r="C1420" s="101"/>
      <c r="D1420" s="101"/>
      <c r="E1420" s="101"/>
      <c r="F1420" s="102"/>
      <c r="G1420" s="101"/>
      <c r="H1420" s="102"/>
      <c r="I1420" s="101"/>
      <c r="J1420" s="101"/>
      <c r="K1420" s="103"/>
      <c r="L1420" s="103"/>
      <c r="M1420" s="103"/>
      <c r="N1420" s="103"/>
      <c r="O1420" s="103"/>
      <c r="P1420" s="98"/>
      <c r="Q1420" s="99"/>
      <c r="R1420" s="105">
        <f t="shared" si="71"/>
        <v>0</v>
      </c>
      <c r="S1420" s="108">
        <f t="shared" si="70"/>
        <v>0</v>
      </c>
      <c r="T1420" s="105">
        <f t="shared" si="72"/>
        <v>0</v>
      </c>
    </row>
    <row r="1421" spans="1:20">
      <c r="A1421" s="101"/>
      <c r="B1421" s="101"/>
      <c r="C1421" s="101"/>
      <c r="D1421" s="101"/>
      <c r="E1421" s="101"/>
      <c r="F1421" s="102"/>
      <c r="G1421" s="101"/>
      <c r="H1421" s="102"/>
      <c r="I1421" s="101"/>
      <c r="J1421" s="101"/>
      <c r="K1421" s="103"/>
      <c r="L1421" s="103"/>
      <c r="M1421" s="103"/>
      <c r="N1421" s="103"/>
      <c r="O1421" s="103"/>
      <c r="P1421" s="98"/>
      <c r="Q1421" s="99"/>
      <c r="R1421" s="104">
        <f t="shared" si="71"/>
        <v>0</v>
      </c>
      <c r="S1421" s="104">
        <f t="shared" si="70"/>
        <v>0</v>
      </c>
      <c r="T1421" s="104">
        <f t="shared" si="72"/>
        <v>0</v>
      </c>
    </row>
    <row r="1422" spans="1:20">
      <c r="A1422" s="101"/>
      <c r="B1422" s="101"/>
      <c r="C1422" s="101"/>
      <c r="D1422" s="101"/>
      <c r="E1422" s="101"/>
      <c r="F1422" s="102"/>
      <c r="G1422" s="101"/>
      <c r="H1422" s="102"/>
      <c r="I1422" s="101"/>
      <c r="J1422" s="101"/>
      <c r="K1422" s="103"/>
      <c r="L1422" s="103"/>
      <c r="M1422" s="103"/>
      <c r="N1422" s="103"/>
      <c r="O1422" s="103"/>
      <c r="P1422" s="98"/>
      <c r="Q1422" s="99"/>
      <c r="R1422" s="105">
        <f t="shared" si="71"/>
        <v>0</v>
      </c>
      <c r="S1422" s="108">
        <f t="shared" si="70"/>
        <v>0</v>
      </c>
      <c r="T1422" s="105">
        <f t="shared" si="72"/>
        <v>0</v>
      </c>
    </row>
    <row r="1423" spans="1:20">
      <c r="A1423" s="101"/>
      <c r="B1423" s="101"/>
      <c r="C1423" s="101"/>
      <c r="D1423" s="101"/>
      <c r="E1423" s="101"/>
      <c r="F1423" s="102"/>
      <c r="G1423" s="101"/>
      <c r="H1423" s="102"/>
      <c r="I1423" s="101"/>
      <c r="J1423" s="101"/>
      <c r="K1423" s="103"/>
      <c r="L1423" s="103"/>
      <c r="M1423" s="103"/>
      <c r="N1423" s="103"/>
      <c r="O1423" s="103"/>
      <c r="P1423" s="98"/>
      <c r="Q1423" s="99"/>
      <c r="R1423" s="104">
        <f t="shared" si="71"/>
        <v>0</v>
      </c>
      <c r="S1423" s="104">
        <f t="shared" si="70"/>
        <v>0</v>
      </c>
      <c r="T1423" s="104">
        <f t="shared" si="72"/>
        <v>0</v>
      </c>
    </row>
    <row r="1424" spans="1:20">
      <c r="A1424" s="101"/>
      <c r="B1424" s="101"/>
      <c r="C1424" s="101"/>
      <c r="D1424" s="101"/>
      <c r="E1424" s="101"/>
      <c r="F1424" s="102"/>
      <c r="G1424" s="101"/>
      <c r="H1424" s="102"/>
      <c r="I1424" s="101"/>
      <c r="J1424" s="101"/>
      <c r="K1424" s="103"/>
      <c r="L1424" s="103"/>
      <c r="M1424" s="103"/>
      <c r="N1424" s="103"/>
      <c r="O1424" s="103"/>
      <c r="P1424" s="98"/>
      <c r="Q1424" s="99"/>
      <c r="R1424" s="105">
        <f t="shared" si="71"/>
        <v>0</v>
      </c>
      <c r="S1424" s="108">
        <f t="shared" si="70"/>
        <v>0</v>
      </c>
      <c r="T1424" s="105">
        <f t="shared" si="72"/>
        <v>0</v>
      </c>
    </row>
    <row r="1425" spans="1:20">
      <c r="A1425" s="101"/>
      <c r="B1425" s="101"/>
      <c r="C1425" s="101"/>
      <c r="D1425" s="101"/>
      <c r="E1425" s="101"/>
      <c r="F1425" s="102"/>
      <c r="G1425" s="101"/>
      <c r="H1425" s="102"/>
      <c r="I1425" s="101"/>
      <c r="J1425" s="101"/>
      <c r="K1425" s="103"/>
      <c r="L1425" s="103"/>
      <c r="M1425" s="103"/>
      <c r="N1425" s="103"/>
      <c r="O1425" s="103"/>
      <c r="P1425" s="98"/>
      <c r="Q1425" s="99"/>
      <c r="R1425" s="104">
        <f t="shared" si="71"/>
        <v>0</v>
      </c>
      <c r="S1425" s="104">
        <f t="shared" si="70"/>
        <v>0</v>
      </c>
      <c r="T1425" s="104">
        <f t="shared" si="72"/>
        <v>0</v>
      </c>
    </row>
    <row r="1426" spans="1:20">
      <c r="A1426" s="101"/>
      <c r="B1426" s="101"/>
      <c r="C1426" s="101"/>
      <c r="D1426" s="101"/>
      <c r="E1426" s="101"/>
      <c r="F1426" s="102"/>
      <c r="G1426" s="101"/>
      <c r="H1426" s="102"/>
      <c r="I1426" s="101"/>
      <c r="J1426" s="101"/>
      <c r="K1426" s="103"/>
      <c r="L1426" s="103"/>
      <c r="M1426" s="103"/>
      <c r="N1426" s="103"/>
      <c r="O1426" s="103"/>
      <c r="P1426" s="98"/>
      <c r="Q1426" s="99"/>
      <c r="R1426" s="105">
        <f t="shared" si="71"/>
        <v>0</v>
      </c>
      <c r="S1426" s="108">
        <f t="shared" si="70"/>
        <v>0</v>
      </c>
      <c r="T1426" s="105">
        <f t="shared" si="72"/>
        <v>0</v>
      </c>
    </row>
    <row r="1427" spans="1:20">
      <c r="A1427" s="101"/>
      <c r="B1427" s="101"/>
      <c r="C1427" s="101"/>
      <c r="D1427" s="101"/>
      <c r="E1427" s="101"/>
      <c r="F1427" s="102"/>
      <c r="G1427" s="101"/>
      <c r="H1427" s="102"/>
      <c r="I1427" s="101"/>
      <c r="J1427" s="101"/>
      <c r="K1427" s="103"/>
      <c r="L1427" s="103"/>
      <c r="M1427" s="103"/>
      <c r="N1427" s="103"/>
      <c r="O1427" s="103"/>
      <c r="P1427" s="98"/>
      <c r="Q1427" s="99"/>
      <c r="R1427" s="104">
        <f t="shared" si="71"/>
        <v>0</v>
      </c>
      <c r="S1427" s="104">
        <f t="shared" si="70"/>
        <v>0</v>
      </c>
      <c r="T1427" s="104">
        <f t="shared" si="72"/>
        <v>0</v>
      </c>
    </row>
    <row r="1428" spans="1:20">
      <c r="A1428" s="101"/>
      <c r="B1428" s="101"/>
      <c r="C1428" s="101"/>
      <c r="D1428" s="101"/>
      <c r="E1428" s="101"/>
      <c r="F1428" s="102"/>
      <c r="G1428" s="101"/>
      <c r="H1428" s="102"/>
      <c r="I1428" s="101"/>
      <c r="J1428" s="101"/>
      <c r="K1428" s="103"/>
      <c r="L1428" s="103"/>
      <c r="M1428" s="103"/>
      <c r="N1428" s="103"/>
      <c r="O1428" s="103"/>
      <c r="P1428" s="98"/>
      <c r="Q1428" s="99"/>
      <c r="R1428" s="105">
        <f t="shared" si="71"/>
        <v>0</v>
      </c>
      <c r="S1428" s="108">
        <f t="shared" si="70"/>
        <v>0</v>
      </c>
      <c r="T1428" s="105">
        <f t="shared" si="72"/>
        <v>0</v>
      </c>
    </row>
    <row r="1429" spans="1:20">
      <c r="A1429" s="101"/>
      <c r="B1429" s="101"/>
      <c r="C1429" s="101"/>
      <c r="D1429" s="101"/>
      <c r="E1429" s="101"/>
      <c r="F1429" s="102"/>
      <c r="G1429" s="101"/>
      <c r="H1429" s="102"/>
      <c r="I1429" s="101"/>
      <c r="J1429" s="101"/>
      <c r="K1429" s="103"/>
      <c r="L1429" s="103"/>
      <c r="M1429" s="103"/>
      <c r="N1429" s="103"/>
      <c r="O1429" s="103"/>
      <c r="P1429" s="98"/>
      <c r="Q1429" s="99"/>
      <c r="R1429" s="104">
        <f t="shared" si="71"/>
        <v>0</v>
      </c>
      <c r="S1429" s="104">
        <f t="shared" si="70"/>
        <v>0</v>
      </c>
      <c r="T1429" s="104">
        <f t="shared" si="72"/>
        <v>0</v>
      </c>
    </row>
    <row r="1430" spans="1:20">
      <c r="A1430" s="101"/>
      <c r="B1430" s="101"/>
      <c r="C1430" s="101"/>
      <c r="D1430" s="101"/>
      <c r="E1430" s="101"/>
      <c r="F1430" s="102"/>
      <c r="G1430" s="101"/>
      <c r="H1430" s="102"/>
      <c r="I1430" s="101"/>
      <c r="J1430" s="101"/>
      <c r="K1430" s="103"/>
      <c r="L1430" s="103"/>
      <c r="M1430" s="103"/>
      <c r="N1430" s="103"/>
      <c r="O1430" s="103"/>
      <c r="P1430" s="98"/>
      <c r="Q1430" s="99"/>
      <c r="R1430" s="105">
        <f t="shared" si="71"/>
        <v>0</v>
      </c>
      <c r="S1430" s="108">
        <f t="shared" si="70"/>
        <v>0</v>
      </c>
      <c r="T1430" s="105">
        <f t="shared" si="72"/>
        <v>0</v>
      </c>
    </row>
    <row r="1431" spans="1:20">
      <c r="A1431" s="101"/>
      <c r="B1431" s="101"/>
      <c r="C1431" s="101"/>
      <c r="D1431" s="101"/>
      <c r="E1431" s="101"/>
      <c r="F1431" s="102"/>
      <c r="G1431" s="101"/>
      <c r="H1431" s="102"/>
      <c r="I1431" s="101"/>
      <c r="J1431" s="101"/>
      <c r="K1431" s="103"/>
      <c r="L1431" s="103"/>
      <c r="M1431" s="103"/>
      <c r="N1431" s="103"/>
      <c r="O1431" s="103"/>
      <c r="P1431" s="98"/>
      <c r="Q1431" s="99"/>
      <c r="R1431" s="104">
        <f t="shared" si="71"/>
        <v>0</v>
      </c>
      <c r="S1431" s="104">
        <f t="shared" si="70"/>
        <v>0</v>
      </c>
      <c r="T1431" s="104">
        <f t="shared" si="72"/>
        <v>0</v>
      </c>
    </row>
    <row r="1432" spans="1:20">
      <c r="A1432" s="101"/>
      <c r="B1432" s="101"/>
      <c r="C1432" s="101"/>
      <c r="D1432" s="101"/>
      <c r="E1432" s="101"/>
      <c r="F1432" s="102"/>
      <c r="G1432" s="101"/>
      <c r="H1432" s="102"/>
      <c r="I1432" s="101"/>
      <c r="J1432" s="101"/>
      <c r="K1432" s="103"/>
      <c r="L1432" s="103"/>
      <c r="M1432" s="103"/>
      <c r="N1432" s="103"/>
      <c r="O1432" s="103"/>
      <c r="P1432" s="98"/>
      <c r="Q1432" s="99"/>
      <c r="R1432" s="105">
        <f t="shared" si="71"/>
        <v>0</v>
      </c>
      <c r="S1432" s="108">
        <f t="shared" si="70"/>
        <v>0</v>
      </c>
      <c r="T1432" s="105">
        <f t="shared" si="72"/>
        <v>0</v>
      </c>
    </row>
    <row r="1433" spans="1:20">
      <c r="A1433" s="101"/>
      <c r="B1433" s="101"/>
      <c r="C1433" s="101"/>
      <c r="D1433" s="101"/>
      <c r="E1433" s="101"/>
      <c r="F1433" s="102"/>
      <c r="G1433" s="101"/>
      <c r="H1433" s="102"/>
      <c r="I1433" s="101"/>
      <c r="J1433" s="101"/>
      <c r="K1433" s="103"/>
      <c r="L1433" s="103"/>
      <c r="M1433" s="103"/>
      <c r="N1433" s="103"/>
      <c r="O1433" s="103"/>
      <c r="P1433" s="98"/>
      <c r="Q1433" s="99"/>
      <c r="R1433" s="104">
        <f t="shared" si="71"/>
        <v>0</v>
      </c>
      <c r="S1433" s="104">
        <f t="shared" si="70"/>
        <v>0</v>
      </c>
      <c r="T1433" s="104">
        <f t="shared" si="72"/>
        <v>0</v>
      </c>
    </row>
    <row r="1434" spans="1:20">
      <c r="A1434" s="101"/>
      <c r="B1434" s="101"/>
      <c r="C1434" s="101"/>
      <c r="D1434" s="101"/>
      <c r="E1434" s="101"/>
      <c r="F1434" s="102"/>
      <c r="G1434" s="101"/>
      <c r="H1434" s="102"/>
      <c r="I1434" s="101"/>
      <c r="J1434" s="101"/>
      <c r="K1434" s="103"/>
      <c r="L1434" s="103"/>
      <c r="M1434" s="103"/>
      <c r="N1434" s="103"/>
      <c r="O1434" s="103"/>
      <c r="P1434" s="98"/>
      <c r="Q1434" s="99"/>
      <c r="R1434" s="105">
        <f t="shared" si="71"/>
        <v>0</v>
      </c>
      <c r="S1434" s="108">
        <f t="shared" si="70"/>
        <v>0</v>
      </c>
      <c r="T1434" s="105">
        <f t="shared" si="72"/>
        <v>0</v>
      </c>
    </row>
    <row r="1435" spans="1:20">
      <c r="A1435" s="101"/>
      <c r="B1435" s="101"/>
      <c r="C1435" s="101"/>
      <c r="D1435" s="101"/>
      <c r="E1435" s="101"/>
      <c r="F1435" s="102"/>
      <c r="G1435" s="101"/>
      <c r="H1435" s="102"/>
      <c r="I1435" s="101"/>
      <c r="J1435" s="101"/>
      <c r="K1435" s="103"/>
      <c r="L1435" s="103"/>
      <c r="M1435" s="103"/>
      <c r="N1435" s="103"/>
      <c r="O1435" s="103"/>
      <c r="P1435" s="98"/>
      <c r="Q1435" s="99"/>
      <c r="R1435" s="104">
        <f t="shared" si="71"/>
        <v>0</v>
      </c>
      <c r="S1435" s="104">
        <f t="shared" si="70"/>
        <v>0</v>
      </c>
      <c r="T1435" s="104">
        <f t="shared" si="72"/>
        <v>0</v>
      </c>
    </row>
    <row r="1436" spans="1:20">
      <c r="A1436" s="101"/>
      <c r="B1436" s="101"/>
      <c r="C1436" s="101"/>
      <c r="D1436" s="101"/>
      <c r="E1436" s="101"/>
      <c r="F1436" s="102"/>
      <c r="G1436" s="101"/>
      <c r="H1436" s="102"/>
      <c r="I1436" s="101"/>
      <c r="J1436" s="101"/>
      <c r="K1436" s="103"/>
      <c r="L1436" s="103"/>
      <c r="M1436" s="103"/>
      <c r="N1436" s="103"/>
      <c r="O1436" s="103"/>
      <c r="P1436" s="98"/>
      <c r="Q1436" s="99"/>
      <c r="R1436" s="105">
        <f t="shared" si="71"/>
        <v>0</v>
      </c>
      <c r="S1436" s="108">
        <f t="shared" si="70"/>
        <v>0</v>
      </c>
      <c r="T1436" s="105">
        <f t="shared" si="72"/>
        <v>0</v>
      </c>
    </row>
    <row r="1437" spans="1:20">
      <c r="A1437" s="101"/>
      <c r="B1437" s="101"/>
      <c r="C1437" s="101"/>
      <c r="D1437" s="101"/>
      <c r="E1437" s="101"/>
      <c r="F1437" s="102"/>
      <c r="G1437" s="101"/>
      <c r="H1437" s="102"/>
      <c r="I1437" s="101"/>
      <c r="J1437" s="101"/>
      <c r="K1437" s="103"/>
      <c r="L1437" s="103"/>
      <c r="M1437" s="103"/>
      <c r="N1437" s="103"/>
      <c r="O1437" s="103"/>
      <c r="P1437" s="98"/>
      <c r="Q1437" s="99"/>
      <c r="R1437" s="104">
        <f t="shared" si="71"/>
        <v>0</v>
      </c>
      <c r="S1437" s="104">
        <f t="shared" si="70"/>
        <v>0</v>
      </c>
      <c r="T1437" s="104">
        <f t="shared" si="72"/>
        <v>0</v>
      </c>
    </row>
    <row r="1438" spans="1:20">
      <c r="A1438" s="101"/>
      <c r="B1438" s="101"/>
      <c r="C1438" s="101"/>
      <c r="D1438" s="101"/>
      <c r="E1438" s="101"/>
      <c r="F1438" s="102"/>
      <c r="G1438" s="101"/>
      <c r="H1438" s="102"/>
      <c r="I1438" s="101"/>
      <c r="J1438" s="101"/>
      <c r="K1438" s="103"/>
      <c r="L1438" s="103"/>
      <c r="M1438" s="103"/>
      <c r="N1438" s="103"/>
      <c r="O1438" s="103"/>
      <c r="P1438" s="98"/>
      <c r="Q1438" s="99"/>
      <c r="R1438" s="105">
        <f t="shared" si="71"/>
        <v>0</v>
      </c>
      <c r="S1438" s="108">
        <f t="shared" si="70"/>
        <v>0</v>
      </c>
      <c r="T1438" s="105">
        <f t="shared" si="72"/>
        <v>0</v>
      </c>
    </row>
    <row r="1439" spans="1:20">
      <c r="A1439" s="101"/>
      <c r="B1439" s="101"/>
      <c r="C1439" s="101"/>
      <c r="D1439" s="101"/>
      <c r="E1439" s="101"/>
      <c r="F1439" s="102"/>
      <c r="G1439" s="101"/>
      <c r="H1439" s="102"/>
      <c r="I1439" s="101"/>
      <c r="J1439" s="101"/>
      <c r="K1439" s="103"/>
      <c r="L1439" s="103"/>
      <c r="M1439" s="103"/>
      <c r="N1439" s="103"/>
      <c r="O1439" s="103"/>
      <c r="P1439" s="98"/>
      <c r="Q1439" s="99"/>
      <c r="R1439" s="104">
        <f t="shared" si="71"/>
        <v>0</v>
      </c>
      <c r="S1439" s="104">
        <f t="shared" si="70"/>
        <v>0</v>
      </c>
      <c r="T1439" s="104">
        <f t="shared" si="72"/>
        <v>0</v>
      </c>
    </row>
    <row r="1440" spans="1:20">
      <c r="A1440" s="101"/>
      <c r="B1440" s="101"/>
      <c r="C1440" s="101"/>
      <c r="D1440" s="101"/>
      <c r="E1440" s="101"/>
      <c r="F1440" s="102"/>
      <c r="G1440" s="101"/>
      <c r="H1440" s="102"/>
      <c r="I1440" s="101"/>
      <c r="J1440" s="101"/>
      <c r="K1440" s="103"/>
      <c r="L1440" s="103"/>
      <c r="M1440" s="103"/>
      <c r="N1440" s="103"/>
      <c r="O1440" s="103"/>
      <c r="P1440" s="98"/>
      <c r="Q1440" s="99"/>
      <c r="R1440" s="105">
        <f t="shared" si="71"/>
        <v>0</v>
      </c>
      <c r="S1440" s="108">
        <f t="shared" si="70"/>
        <v>0</v>
      </c>
      <c r="T1440" s="105">
        <f t="shared" si="72"/>
        <v>0</v>
      </c>
    </row>
    <row r="1441" spans="1:20">
      <c r="A1441" s="101"/>
      <c r="B1441" s="101"/>
      <c r="C1441" s="101"/>
      <c r="D1441" s="101"/>
      <c r="E1441" s="101"/>
      <c r="F1441" s="102"/>
      <c r="G1441" s="101"/>
      <c r="H1441" s="102"/>
      <c r="I1441" s="101"/>
      <c r="J1441" s="101"/>
      <c r="K1441" s="103"/>
      <c r="L1441" s="103"/>
      <c r="M1441" s="103"/>
      <c r="N1441" s="103"/>
      <c r="O1441" s="103"/>
      <c r="P1441" s="98"/>
      <c r="Q1441" s="99"/>
      <c r="R1441" s="104">
        <f t="shared" si="71"/>
        <v>0</v>
      </c>
      <c r="S1441" s="104">
        <f t="shared" si="70"/>
        <v>0</v>
      </c>
      <c r="T1441" s="104">
        <f t="shared" si="72"/>
        <v>0</v>
      </c>
    </row>
    <row r="1442" spans="1:20">
      <c r="A1442" s="101"/>
      <c r="B1442" s="101"/>
      <c r="C1442" s="101"/>
      <c r="D1442" s="101"/>
      <c r="E1442" s="101"/>
      <c r="F1442" s="102"/>
      <c r="G1442" s="101"/>
      <c r="H1442" s="102"/>
      <c r="I1442" s="101"/>
      <c r="J1442" s="101"/>
      <c r="K1442" s="103"/>
      <c r="L1442" s="103"/>
      <c r="M1442" s="103"/>
      <c r="N1442" s="103"/>
      <c r="O1442" s="103"/>
      <c r="P1442" s="98"/>
      <c r="Q1442" s="99"/>
      <c r="R1442" s="105">
        <f t="shared" si="71"/>
        <v>0</v>
      </c>
      <c r="S1442" s="108">
        <f t="shared" si="70"/>
        <v>0</v>
      </c>
      <c r="T1442" s="105">
        <f t="shared" si="72"/>
        <v>0</v>
      </c>
    </row>
    <row r="1443" spans="1:20">
      <c r="A1443" s="101"/>
      <c r="B1443" s="101"/>
      <c r="C1443" s="101"/>
      <c r="D1443" s="101"/>
      <c r="E1443" s="101"/>
      <c r="F1443" s="102"/>
      <c r="G1443" s="101"/>
      <c r="H1443" s="102"/>
      <c r="I1443" s="101"/>
      <c r="J1443" s="101"/>
      <c r="K1443" s="103"/>
      <c r="L1443" s="103"/>
      <c r="M1443" s="103"/>
      <c r="N1443" s="103"/>
      <c r="O1443" s="103"/>
      <c r="P1443" s="98"/>
      <c r="Q1443" s="99"/>
      <c r="R1443" s="104">
        <f t="shared" si="71"/>
        <v>0</v>
      </c>
      <c r="S1443" s="104">
        <f t="shared" si="70"/>
        <v>0</v>
      </c>
      <c r="T1443" s="104">
        <f t="shared" si="72"/>
        <v>0</v>
      </c>
    </row>
    <row r="1444" spans="1:20">
      <c r="A1444" s="101"/>
      <c r="B1444" s="101"/>
      <c r="C1444" s="101"/>
      <c r="D1444" s="101"/>
      <c r="E1444" s="101"/>
      <c r="F1444" s="102"/>
      <c r="G1444" s="101"/>
      <c r="H1444" s="102"/>
      <c r="I1444" s="101"/>
      <c r="J1444" s="101"/>
      <c r="K1444" s="103"/>
      <c r="L1444" s="103"/>
      <c r="M1444" s="103"/>
      <c r="N1444" s="103"/>
      <c r="O1444" s="103"/>
      <c r="P1444" s="98"/>
      <c r="Q1444" s="99"/>
      <c r="R1444" s="105">
        <f t="shared" si="71"/>
        <v>0</v>
      </c>
      <c r="S1444" s="108">
        <f t="shared" si="70"/>
        <v>0</v>
      </c>
      <c r="T1444" s="105">
        <f t="shared" si="72"/>
        <v>0</v>
      </c>
    </row>
    <row r="1445" spans="1:20">
      <c r="A1445" s="101"/>
      <c r="B1445" s="101"/>
      <c r="C1445" s="101"/>
      <c r="D1445" s="101"/>
      <c r="E1445" s="101"/>
      <c r="F1445" s="102"/>
      <c r="G1445" s="101"/>
      <c r="H1445" s="102"/>
      <c r="I1445" s="101"/>
      <c r="J1445" s="101"/>
      <c r="K1445" s="103"/>
      <c r="L1445" s="103"/>
      <c r="M1445" s="103"/>
      <c r="N1445" s="103"/>
      <c r="O1445" s="103"/>
      <c r="P1445" s="98"/>
      <c r="Q1445" s="99"/>
      <c r="R1445" s="104">
        <f t="shared" si="71"/>
        <v>0</v>
      </c>
      <c r="S1445" s="104">
        <f t="shared" si="70"/>
        <v>0</v>
      </c>
      <c r="T1445" s="104">
        <f t="shared" si="72"/>
        <v>0</v>
      </c>
    </row>
    <row r="1446" spans="1:20">
      <c r="A1446" s="101"/>
      <c r="B1446" s="101"/>
      <c r="C1446" s="101"/>
      <c r="D1446" s="101"/>
      <c r="E1446" s="101"/>
      <c r="F1446" s="102"/>
      <c r="G1446" s="101"/>
      <c r="H1446" s="102"/>
      <c r="I1446" s="101"/>
      <c r="J1446" s="101"/>
      <c r="K1446" s="103"/>
      <c r="L1446" s="103"/>
      <c r="M1446" s="103"/>
      <c r="N1446" s="103"/>
      <c r="O1446" s="103"/>
      <c r="P1446" s="98"/>
      <c r="Q1446" s="99"/>
      <c r="R1446" s="105">
        <f t="shared" si="71"/>
        <v>0</v>
      </c>
      <c r="S1446" s="108">
        <f t="shared" si="70"/>
        <v>0</v>
      </c>
      <c r="T1446" s="105">
        <f t="shared" si="72"/>
        <v>0</v>
      </c>
    </row>
    <row r="1447" spans="1:20">
      <c r="A1447" s="101"/>
      <c r="B1447" s="101"/>
      <c r="C1447" s="101"/>
      <c r="D1447" s="101"/>
      <c r="E1447" s="101"/>
      <c r="F1447" s="102"/>
      <c r="G1447" s="101"/>
      <c r="H1447" s="102"/>
      <c r="I1447" s="101"/>
      <c r="J1447" s="101"/>
      <c r="K1447" s="103"/>
      <c r="L1447" s="103"/>
      <c r="M1447" s="103"/>
      <c r="N1447" s="103"/>
      <c r="O1447" s="103"/>
      <c r="P1447" s="98"/>
      <c r="Q1447" s="99"/>
      <c r="R1447" s="104">
        <f t="shared" si="71"/>
        <v>0</v>
      </c>
      <c r="S1447" s="104">
        <f t="shared" si="70"/>
        <v>0</v>
      </c>
      <c r="T1447" s="104">
        <f t="shared" si="72"/>
        <v>0</v>
      </c>
    </row>
    <row r="1448" spans="1:20">
      <c r="A1448" s="101"/>
      <c r="B1448" s="101"/>
      <c r="C1448" s="101"/>
      <c r="D1448" s="101"/>
      <c r="E1448" s="101"/>
      <c r="F1448" s="102"/>
      <c r="G1448" s="101"/>
      <c r="H1448" s="102"/>
      <c r="I1448" s="101"/>
      <c r="J1448" s="101"/>
      <c r="K1448" s="103"/>
      <c r="L1448" s="103"/>
      <c r="M1448" s="103"/>
      <c r="N1448" s="103"/>
      <c r="O1448" s="103"/>
      <c r="P1448" s="98"/>
      <c r="Q1448" s="99"/>
      <c r="R1448" s="105">
        <f t="shared" si="71"/>
        <v>0</v>
      </c>
      <c r="S1448" s="108">
        <f t="shared" si="70"/>
        <v>0</v>
      </c>
      <c r="T1448" s="105">
        <f t="shared" si="72"/>
        <v>0</v>
      </c>
    </row>
    <row r="1449" spans="1:20">
      <c r="A1449" s="101"/>
      <c r="B1449" s="101"/>
      <c r="C1449" s="101"/>
      <c r="D1449" s="101"/>
      <c r="E1449" s="101"/>
      <c r="F1449" s="102"/>
      <c r="G1449" s="101"/>
      <c r="H1449" s="102"/>
      <c r="I1449" s="101"/>
      <c r="J1449" s="101"/>
      <c r="K1449" s="103"/>
      <c r="L1449" s="103"/>
      <c r="M1449" s="103"/>
      <c r="N1449" s="103"/>
      <c r="O1449" s="103"/>
      <c r="P1449" s="98"/>
      <c r="Q1449" s="99"/>
      <c r="R1449" s="104">
        <f t="shared" si="71"/>
        <v>0</v>
      </c>
      <c r="S1449" s="104">
        <f t="shared" si="70"/>
        <v>0</v>
      </c>
      <c r="T1449" s="104">
        <f t="shared" si="72"/>
        <v>0</v>
      </c>
    </row>
    <row r="1450" spans="1:20">
      <c r="A1450" s="101"/>
      <c r="B1450" s="101"/>
      <c r="C1450" s="101"/>
      <c r="D1450" s="101"/>
      <c r="E1450" s="101"/>
      <c r="F1450" s="102"/>
      <c r="G1450" s="101"/>
      <c r="H1450" s="102"/>
      <c r="I1450" s="101"/>
      <c r="J1450" s="101"/>
      <c r="K1450" s="103"/>
      <c r="L1450" s="103"/>
      <c r="M1450" s="103"/>
      <c r="N1450" s="103"/>
      <c r="O1450" s="103"/>
      <c r="P1450" s="98"/>
      <c r="Q1450" s="99"/>
      <c r="R1450" s="105">
        <f t="shared" si="71"/>
        <v>0</v>
      </c>
      <c r="S1450" s="108">
        <f t="shared" si="70"/>
        <v>0</v>
      </c>
      <c r="T1450" s="105">
        <f t="shared" si="72"/>
        <v>0</v>
      </c>
    </row>
    <row r="1451" spans="1:20">
      <c r="A1451" s="101"/>
      <c r="B1451" s="101"/>
      <c r="C1451" s="101"/>
      <c r="D1451" s="101"/>
      <c r="E1451" s="101"/>
      <c r="F1451" s="102"/>
      <c r="G1451" s="101"/>
      <c r="H1451" s="102"/>
      <c r="I1451" s="101"/>
      <c r="J1451" s="101"/>
      <c r="K1451" s="103"/>
      <c r="L1451" s="103"/>
      <c r="M1451" s="103"/>
      <c r="N1451" s="103"/>
      <c r="O1451" s="103"/>
      <c r="P1451" s="98"/>
      <c r="Q1451" s="99"/>
      <c r="R1451" s="104">
        <f t="shared" si="71"/>
        <v>0</v>
      </c>
      <c r="S1451" s="104">
        <f t="shared" si="70"/>
        <v>0</v>
      </c>
      <c r="T1451" s="104">
        <f t="shared" si="72"/>
        <v>0</v>
      </c>
    </row>
    <row r="1452" spans="1:20">
      <c r="A1452" s="101"/>
      <c r="B1452" s="101"/>
      <c r="C1452" s="101"/>
      <c r="D1452" s="101"/>
      <c r="E1452" s="101"/>
      <c r="F1452" s="102"/>
      <c r="G1452" s="101"/>
      <c r="H1452" s="102"/>
      <c r="I1452" s="101"/>
      <c r="J1452" s="101"/>
      <c r="K1452" s="103"/>
      <c r="L1452" s="103"/>
      <c r="M1452" s="103"/>
      <c r="N1452" s="103"/>
      <c r="O1452" s="103"/>
      <c r="P1452" s="98"/>
      <c r="Q1452" s="99"/>
      <c r="R1452" s="105">
        <f t="shared" si="71"/>
        <v>0</v>
      </c>
      <c r="S1452" s="108">
        <f t="shared" si="70"/>
        <v>0</v>
      </c>
      <c r="T1452" s="105">
        <f t="shared" si="72"/>
        <v>0</v>
      </c>
    </row>
    <row r="1453" spans="1:20">
      <c r="A1453" s="101"/>
      <c r="B1453" s="101"/>
      <c r="C1453" s="101"/>
      <c r="D1453" s="101"/>
      <c r="E1453" s="101"/>
      <c r="F1453" s="102"/>
      <c r="G1453" s="101"/>
      <c r="H1453" s="102"/>
      <c r="I1453" s="101"/>
      <c r="J1453" s="101"/>
      <c r="K1453" s="103"/>
      <c r="L1453" s="103"/>
      <c r="M1453" s="103"/>
      <c r="N1453" s="103"/>
      <c r="O1453" s="103"/>
      <c r="P1453" s="98"/>
      <c r="Q1453" s="99"/>
      <c r="R1453" s="104">
        <f t="shared" si="71"/>
        <v>0</v>
      </c>
      <c r="S1453" s="104">
        <f t="shared" si="70"/>
        <v>0</v>
      </c>
      <c r="T1453" s="104">
        <f t="shared" si="72"/>
        <v>0</v>
      </c>
    </row>
    <row r="1454" spans="1:20">
      <c r="A1454" s="101"/>
      <c r="B1454" s="101"/>
      <c r="C1454" s="101"/>
      <c r="D1454" s="101"/>
      <c r="E1454" s="101"/>
      <c r="F1454" s="102"/>
      <c r="G1454" s="101"/>
      <c r="H1454" s="102"/>
      <c r="I1454" s="101"/>
      <c r="J1454" s="101"/>
      <c r="K1454" s="103"/>
      <c r="L1454" s="103"/>
      <c r="M1454" s="103"/>
      <c r="N1454" s="103"/>
      <c r="O1454" s="103"/>
      <c r="P1454" s="98"/>
      <c r="Q1454" s="99"/>
      <c r="R1454" s="105">
        <f t="shared" si="71"/>
        <v>0</v>
      </c>
      <c r="S1454" s="108">
        <f t="shared" si="70"/>
        <v>0</v>
      </c>
      <c r="T1454" s="105">
        <f t="shared" si="72"/>
        <v>0</v>
      </c>
    </row>
    <row r="1455" spans="1:20">
      <c r="A1455" s="101"/>
      <c r="B1455" s="101"/>
      <c r="C1455" s="101"/>
      <c r="D1455" s="101"/>
      <c r="E1455" s="101"/>
      <c r="F1455" s="102"/>
      <c r="G1455" s="101"/>
      <c r="H1455" s="102"/>
      <c r="I1455" s="101"/>
      <c r="J1455" s="101"/>
      <c r="K1455" s="103"/>
      <c r="L1455" s="103"/>
      <c r="M1455" s="103"/>
      <c r="N1455" s="103"/>
      <c r="O1455" s="103"/>
      <c r="P1455" s="98"/>
      <c r="Q1455" s="99"/>
      <c r="R1455" s="104">
        <f t="shared" si="71"/>
        <v>0</v>
      </c>
      <c r="S1455" s="104">
        <f t="shared" si="70"/>
        <v>0</v>
      </c>
      <c r="T1455" s="104">
        <f t="shared" si="72"/>
        <v>0</v>
      </c>
    </row>
    <row r="1456" spans="1:20">
      <c r="A1456" s="101"/>
      <c r="B1456" s="101"/>
      <c r="C1456" s="101"/>
      <c r="D1456" s="101"/>
      <c r="E1456" s="101"/>
      <c r="F1456" s="102"/>
      <c r="G1456" s="101"/>
      <c r="H1456" s="102"/>
      <c r="I1456" s="101"/>
      <c r="J1456" s="101"/>
      <c r="K1456" s="103"/>
      <c r="L1456" s="103"/>
      <c r="M1456" s="103"/>
      <c r="N1456" s="103"/>
      <c r="O1456" s="103"/>
      <c r="P1456" s="98"/>
      <c r="Q1456" s="99"/>
      <c r="R1456" s="105">
        <f t="shared" si="71"/>
        <v>0</v>
      </c>
      <c r="S1456" s="108">
        <f t="shared" si="70"/>
        <v>0</v>
      </c>
      <c r="T1456" s="105">
        <f t="shared" si="72"/>
        <v>0</v>
      </c>
    </row>
    <row r="1457" spans="1:21">
      <c r="A1457" s="101"/>
      <c r="B1457" s="101"/>
      <c r="C1457" s="101"/>
      <c r="D1457" s="101"/>
      <c r="E1457" s="101"/>
      <c r="F1457" s="102"/>
      <c r="G1457" s="101"/>
      <c r="H1457" s="102"/>
      <c r="I1457" s="101"/>
      <c r="J1457" s="101"/>
      <c r="K1457" s="103"/>
      <c r="L1457" s="103"/>
      <c r="M1457" s="103"/>
      <c r="N1457" s="103"/>
      <c r="O1457" s="103"/>
      <c r="P1457" s="98"/>
      <c r="Q1457" s="99"/>
      <c r="R1457" s="104">
        <f t="shared" si="71"/>
        <v>0</v>
      </c>
      <c r="S1457" s="104">
        <f t="shared" si="70"/>
        <v>0</v>
      </c>
      <c r="T1457" s="104">
        <f t="shared" si="72"/>
        <v>0</v>
      </c>
      <c r="U1457" s="112"/>
    </row>
    <row r="1458" spans="1:21">
      <c r="A1458" s="101"/>
      <c r="B1458" s="101"/>
      <c r="C1458" s="101"/>
      <c r="D1458" s="101"/>
      <c r="E1458" s="101"/>
      <c r="F1458" s="102"/>
      <c r="G1458" s="101"/>
      <c r="H1458" s="102"/>
      <c r="I1458" s="101"/>
      <c r="J1458" s="101"/>
      <c r="K1458" s="103"/>
      <c r="L1458" s="103"/>
      <c r="M1458" s="103"/>
      <c r="N1458" s="103"/>
      <c r="O1458" s="103"/>
      <c r="P1458" s="98"/>
      <c r="Q1458" s="99"/>
      <c r="R1458" s="105">
        <f t="shared" si="71"/>
        <v>0</v>
      </c>
      <c r="S1458" s="108">
        <f t="shared" si="70"/>
        <v>0</v>
      </c>
      <c r="T1458" s="105">
        <f t="shared" si="72"/>
        <v>0</v>
      </c>
    </row>
    <row r="1459" spans="1:21">
      <c r="A1459" s="101"/>
      <c r="B1459" s="101"/>
      <c r="C1459" s="101"/>
      <c r="D1459" s="101"/>
      <c r="E1459" s="101"/>
      <c r="F1459" s="102"/>
      <c r="G1459" s="101"/>
      <c r="H1459" s="102"/>
      <c r="I1459" s="101"/>
      <c r="J1459" s="101"/>
      <c r="K1459" s="103"/>
      <c r="L1459" s="103"/>
      <c r="M1459" s="103"/>
      <c r="N1459" s="103"/>
      <c r="O1459" s="103"/>
      <c r="P1459" s="98"/>
      <c r="Q1459" s="99"/>
      <c r="R1459" s="104">
        <f t="shared" si="71"/>
        <v>0</v>
      </c>
      <c r="S1459" s="104">
        <f t="shared" si="70"/>
        <v>0</v>
      </c>
      <c r="T1459" s="104">
        <f t="shared" si="72"/>
        <v>0</v>
      </c>
    </row>
    <row r="1460" spans="1:21">
      <c r="A1460" s="101"/>
      <c r="B1460" s="101"/>
      <c r="C1460" s="101"/>
      <c r="D1460" s="101"/>
      <c r="E1460" s="101"/>
      <c r="F1460" s="102"/>
      <c r="G1460" s="101"/>
      <c r="H1460" s="102"/>
      <c r="I1460" s="101"/>
      <c r="J1460" s="101"/>
      <c r="K1460" s="103"/>
      <c r="L1460" s="103"/>
      <c r="M1460" s="103"/>
      <c r="N1460" s="103"/>
      <c r="O1460" s="103"/>
      <c r="P1460" s="98"/>
      <c r="Q1460" s="99"/>
      <c r="R1460" s="105">
        <f t="shared" si="71"/>
        <v>0</v>
      </c>
      <c r="S1460" s="108">
        <f t="shared" si="70"/>
        <v>0</v>
      </c>
      <c r="T1460" s="105">
        <f t="shared" si="72"/>
        <v>0</v>
      </c>
    </row>
    <row r="1461" spans="1:21">
      <c r="A1461" s="101"/>
      <c r="B1461" s="101"/>
      <c r="C1461" s="101"/>
      <c r="D1461" s="101"/>
      <c r="E1461" s="101"/>
      <c r="F1461" s="102"/>
      <c r="G1461" s="101"/>
      <c r="H1461" s="102"/>
      <c r="I1461" s="101"/>
      <c r="J1461" s="101"/>
      <c r="K1461" s="103"/>
      <c r="L1461" s="103"/>
      <c r="M1461" s="103"/>
      <c r="N1461" s="103"/>
      <c r="O1461" s="103"/>
      <c r="P1461" s="98"/>
      <c r="Q1461" s="99"/>
      <c r="R1461" s="104">
        <f t="shared" si="71"/>
        <v>0</v>
      </c>
      <c r="S1461" s="104">
        <f t="shared" si="70"/>
        <v>0</v>
      </c>
      <c r="T1461" s="104">
        <f t="shared" si="72"/>
        <v>0</v>
      </c>
    </row>
    <row r="1462" spans="1:21">
      <c r="A1462" s="101"/>
      <c r="B1462" s="101"/>
      <c r="C1462" s="101"/>
      <c r="D1462" s="101"/>
      <c r="E1462" s="101"/>
      <c r="F1462" s="102"/>
      <c r="G1462" s="101"/>
      <c r="H1462" s="102"/>
      <c r="I1462" s="101"/>
      <c r="J1462" s="101"/>
      <c r="K1462" s="103"/>
      <c r="L1462" s="103"/>
      <c r="M1462" s="103"/>
      <c r="N1462" s="103"/>
      <c r="O1462" s="103"/>
      <c r="P1462" s="98"/>
      <c r="Q1462" s="99"/>
      <c r="R1462" s="105">
        <f t="shared" si="71"/>
        <v>0</v>
      </c>
      <c r="S1462" s="108">
        <f t="shared" si="70"/>
        <v>0</v>
      </c>
      <c r="T1462" s="105">
        <f t="shared" si="72"/>
        <v>0</v>
      </c>
    </row>
    <row r="1463" spans="1:21">
      <c r="A1463" s="101"/>
      <c r="B1463" s="101"/>
      <c r="C1463" s="101"/>
      <c r="D1463" s="101"/>
      <c r="E1463" s="101"/>
      <c r="F1463" s="102"/>
      <c r="G1463" s="101"/>
      <c r="H1463" s="102"/>
      <c r="I1463" s="101"/>
      <c r="J1463" s="101"/>
      <c r="K1463" s="103"/>
      <c r="L1463" s="103"/>
      <c r="M1463" s="103"/>
      <c r="N1463" s="103"/>
      <c r="O1463" s="103"/>
      <c r="P1463" s="98"/>
      <c r="Q1463" s="99"/>
      <c r="R1463" s="104">
        <f t="shared" si="71"/>
        <v>0</v>
      </c>
      <c r="S1463" s="104">
        <f t="shared" si="70"/>
        <v>0</v>
      </c>
      <c r="T1463" s="104">
        <f t="shared" si="72"/>
        <v>0</v>
      </c>
    </row>
    <row r="1464" spans="1:21">
      <c r="A1464" s="101"/>
      <c r="B1464" s="101"/>
      <c r="C1464" s="101"/>
      <c r="D1464" s="101"/>
      <c r="E1464" s="101"/>
      <c r="F1464" s="102"/>
      <c r="G1464" s="101"/>
      <c r="H1464" s="102"/>
      <c r="I1464" s="101"/>
      <c r="J1464" s="101"/>
      <c r="K1464" s="103"/>
      <c r="L1464" s="103"/>
      <c r="M1464" s="103"/>
      <c r="N1464" s="103"/>
      <c r="O1464" s="103"/>
      <c r="P1464" s="98"/>
      <c r="Q1464" s="99"/>
      <c r="R1464" s="105">
        <f t="shared" si="71"/>
        <v>0</v>
      </c>
      <c r="S1464" s="108">
        <f t="shared" si="70"/>
        <v>0</v>
      </c>
      <c r="T1464" s="105">
        <f t="shared" si="72"/>
        <v>0</v>
      </c>
    </row>
    <row r="1465" spans="1:21">
      <c r="A1465" s="101"/>
      <c r="B1465" s="101"/>
      <c r="C1465" s="101"/>
      <c r="D1465" s="101"/>
      <c r="E1465" s="101"/>
      <c r="F1465" s="102"/>
      <c r="G1465" s="101"/>
      <c r="H1465" s="102"/>
      <c r="I1465" s="101"/>
      <c r="J1465" s="101"/>
      <c r="K1465" s="103"/>
      <c r="L1465" s="103"/>
      <c r="M1465" s="103"/>
      <c r="N1465" s="103"/>
      <c r="O1465" s="103"/>
      <c r="P1465" s="98"/>
      <c r="Q1465" s="99"/>
      <c r="R1465" s="104">
        <f t="shared" si="71"/>
        <v>0</v>
      </c>
      <c r="S1465" s="104">
        <f t="shared" si="70"/>
        <v>0</v>
      </c>
      <c r="T1465" s="104">
        <f t="shared" si="72"/>
        <v>0</v>
      </c>
    </row>
    <row r="1466" spans="1:21">
      <c r="A1466" s="101"/>
      <c r="B1466" s="101"/>
      <c r="C1466" s="101"/>
      <c r="D1466" s="101"/>
      <c r="E1466" s="101"/>
      <c r="F1466" s="102"/>
      <c r="G1466" s="101"/>
      <c r="H1466" s="102"/>
      <c r="I1466" s="101"/>
      <c r="J1466" s="101"/>
      <c r="K1466" s="103"/>
      <c r="L1466" s="103"/>
      <c r="M1466" s="103"/>
      <c r="N1466" s="103"/>
      <c r="O1466" s="103"/>
      <c r="P1466" s="98"/>
      <c r="Q1466" s="99"/>
      <c r="R1466" s="105">
        <f t="shared" si="71"/>
        <v>0</v>
      </c>
      <c r="S1466" s="108">
        <f t="shared" si="70"/>
        <v>0</v>
      </c>
      <c r="T1466" s="105">
        <f t="shared" si="72"/>
        <v>0</v>
      </c>
      <c r="U1466" s="112"/>
    </row>
    <row r="1467" spans="1:21">
      <c r="A1467" s="101"/>
      <c r="B1467" s="101"/>
      <c r="C1467" s="101"/>
      <c r="D1467" s="101"/>
      <c r="E1467" s="101"/>
      <c r="F1467" s="102"/>
      <c r="G1467" s="101"/>
      <c r="H1467" s="102"/>
      <c r="I1467" s="101"/>
      <c r="J1467" s="101"/>
      <c r="K1467" s="103"/>
      <c r="L1467" s="103"/>
      <c r="M1467" s="103"/>
      <c r="N1467" s="103"/>
      <c r="O1467" s="103"/>
      <c r="P1467" s="98"/>
      <c r="Q1467" s="99"/>
      <c r="R1467" s="104">
        <f t="shared" si="71"/>
        <v>0</v>
      </c>
      <c r="S1467" s="104">
        <f t="shared" si="70"/>
        <v>0</v>
      </c>
      <c r="T1467" s="104">
        <f t="shared" si="72"/>
        <v>0</v>
      </c>
      <c r="U1467" s="112"/>
    </row>
    <row r="1468" spans="1:21">
      <c r="A1468" s="101"/>
      <c r="B1468" s="101"/>
      <c r="C1468" s="101"/>
      <c r="D1468" s="101"/>
      <c r="E1468" s="101"/>
      <c r="F1468" s="102"/>
      <c r="G1468" s="101"/>
      <c r="H1468" s="102"/>
      <c r="I1468" s="101"/>
      <c r="J1468" s="101"/>
      <c r="K1468" s="103"/>
      <c r="L1468" s="103"/>
      <c r="M1468" s="103"/>
      <c r="N1468" s="103"/>
      <c r="O1468" s="103"/>
      <c r="P1468" s="98"/>
      <c r="Q1468" s="99"/>
      <c r="R1468" s="105">
        <f t="shared" si="71"/>
        <v>0</v>
      </c>
      <c r="S1468" s="108">
        <f t="shared" si="70"/>
        <v>0</v>
      </c>
      <c r="T1468" s="105">
        <f t="shared" si="72"/>
        <v>0</v>
      </c>
    </row>
    <row r="1469" spans="1:21">
      <c r="A1469" s="101"/>
      <c r="B1469" s="101"/>
      <c r="C1469" s="101"/>
      <c r="D1469" s="101"/>
      <c r="E1469" s="101"/>
      <c r="F1469" s="102"/>
      <c r="G1469" s="101"/>
      <c r="H1469" s="102"/>
      <c r="I1469" s="101"/>
      <c r="J1469" s="101"/>
      <c r="K1469" s="103"/>
      <c r="L1469" s="103"/>
      <c r="M1469" s="103"/>
      <c r="N1469" s="103"/>
      <c r="O1469" s="103"/>
      <c r="P1469" s="98"/>
      <c r="Q1469" s="99"/>
      <c r="R1469" s="104">
        <f t="shared" si="71"/>
        <v>0</v>
      </c>
      <c r="S1469" s="104">
        <f t="shared" si="70"/>
        <v>0</v>
      </c>
      <c r="T1469" s="104">
        <f t="shared" si="72"/>
        <v>0</v>
      </c>
    </row>
    <row r="1470" spans="1:21">
      <c r="A1470" s="101"/>
      <c r="B1470" s="101"/>
      <c r="C1470" s="101"/>
      <c r="D1470" s="101"/>
      <c r="E1470" s="101"/>
      <c r="F1470" s="102"/>
      <c r="G1470" s="101"/>
      <c r="H1470" s="102"/>
      <c r="I1470" s="101"/>
      <c r="J1470" s="101"/>
      <c r="K1470" s="103"/>
      <c r="L1470" s="103"/>
      <c r="M1470" s="103"/>
      <c r="N1470" s="103"/>
      <c r="O1470" s="103"/>
      <c r="P1470" s="98"/>
      <c r="Q1470" s="99"/>
      <c r="R1470" s="105">
        <f t="shared" si="71"/>
        <v>0</v>
      </c>
      <c r="S1470" s="108">
        <f t="shared" si="70"/>
        <v>0</v>
      </c>
      <c r="T1470" s="105">
        <f t="shared" si="72"/>
        <v>0</v>
      </c>
    </row>
    <row r="1471" spans="1:21">
      <c r="A1471" s="101"/>
      <c r="B1471" s="101"/>
      <c r="C1471" s="101"/>
      <c r="D1471" s="101"/>
      <c r="E1471" s="101"/>
      <c r="F1471" s="102"/>
      <c r="G1471" s="101"/>
      <c r="H1471" s="102"/>
      <c r="I1471" s="101"/>
      <c r="J1471" s="101"/>
      <c r="K1471" s="103"/>
      <c r="L1471" s="103"/>
      <c r="M1471" s="103"/>
      <c r="N1471" s="103"/>
      <c r="O1471" s="103"/>
      <c r="P1471" s="98"/>
      <c r="Q1471" s="99"/>
      <c r="R1471" s="104">
        <f t="shared" si="71"/>
        <v>0</v>
      </c>
      <c r="S1471" s="104">
        <f t="shared" si="70"/>
        <v>0</v>
      </c>
      <c r="T1471" s="104">
        <f t="shared" si="72"/>
        <v>0</v>
      </c>
    </row>
    <row r="1472" spans="1:21">
      <c r="A1472" s="101"/>
      <c r="B1472" s="101"/>
      <c r="C1472" s="101"/>
      <c r="D1472" s="101"/>
      <c r="E1472" s="101"/>
      <c r="F1472" s="102"/>
      <c r="G1472" s="101"/>
      <c r="H1472" s="102"/>
      <c r="I1472" s="101"/>
      <c r="J1472" s="101"/>
      <c r="K1472" s="103"/>
      <c r="L1472" s="103"/>
      <c r="M1472" s="103"/>
      <c r="N1472" s="103"/>
      <c r="O1472" s="103"/>
      <c r="P1472" s="98"/>
      <c r="Q1472" s="99"/>
      <c r="R1472" s="105">
        <f t="shared" si="71"/>
        <v>0</v>
      </c>
      <c r="S1472" s="108">
        <f t="shared" si="70"/>
        <v>0</v>
      </c>
      <c r="T1472" s="105">
        <f t="shared" si="72"/>
        <v>0</v>
      </c>
    </row>
    <row r="1473" spans="1:20">
      <c r="A1473" s="101"/>
      <c r="B1473" s="101"/>
      <c r="C1473" s="101"/>
      <c r="D1473" s="101"/>
      <c r="E1473" s="101"/>
      <c r="F1473" s="102"/>
      <c r="G1473" s="101"/>
      <c r="H1473" s="102"/>
      <c r="I1473" s="101"/>
      <c r="J1473" s="101"/>
      <c r="K1473" s="103"/>
      <c r="L1473" s="103"/>
      <c r="M1473" s="103"/>
      <c r="N1473" s="103"/>
      <c r="O1473" s="103"/>
      <c r="P1473" s="98"/>
      <c r="Q1473" s="99"/>
      <c r="R1473" s="104">
        <f t="shared" si="71"/>
        <v>0</v>
      </c>
      <c r="S1473" s="104">
        <f t="shared" si="70"/>
        <v>0</v>
      </c>
      <c r="T1473" s="104">
        <f t="shared" si="72"/>
        <v>0</v>
      </c>
    </row>
    <row r="1474" spans="1:20">
      <c r="A1474" s="101"/>
      <c r="B1474" s="101"/>
      <c r="C1474" s="101"/>
      <c r="D1474" s="101"/>
      <c r="E1474" s="101"/>
      <c r="F1474" s="102"/>
      <c r="G1474" s="101"/>
      <c r="H1474" s="102"/>
      <c r="I1474" s="101"/>
      <c r="J1474" s="101"/>
      <c r="K1474" s="103"/>
      <c r="L1474" s="103"/>
      <c r="M1474" s="103"/>
      <c r="N1474" s="103"/>
      <c r="O1474" s="103"/>
      <c r="P1474" s="98"/>
      <c r="Q1474" s="99"/>
      <c r="R1474" s="105">
        <f t="shared" si="71"/>
        <v>0</v>
      </c>
      <c r="S1474" s="108">
        <f t="shared" si="70"/>
        <v>0</v>
      </c>
      <c r="T1474" s="105">
        <f t="shared" si="72"/>
        <v>0</v>
      </c>
    </row>
    <row r="1475" spans="1:20">
      <c r="A1475" s="101"/>
      <c r="B1475" s="101"/>
      <c r="C1475" s="101"/>
      <c r="D1475" s="101"/>
      <c r="E1475" s="101"/>
      <c r="F1475" s="102"/>
      <c r="G1475" s="101"/>
      <c r="H1475" s="102"/>
      <c r="I1475" s="101"/>
      <c r="J1475" s="101"/>
      <c r="K1475" s="103"/>
      <c r="L1475" s="103"/>
      <c r="M1475" s="103"/>
      <c r="N1475" s="103"/>
      <c r="O1475" s="103"/>
      <c r="P1475" s="98"/>
      <c r="Q1475" s="99"/>
      <c r="R1475" s="104">
        <f t="shared" si="71"/>
        <v>0</v>
      </c>
      <c r="S1475" s="104">
        <f t="shared" si="70"/>
        <v>0</v>
      </c>
      <c r="T1475" s="104">
        <f t="shared" si="72"/>
        <v>0</v>
      </c>
    </row>
    <row r="1476" spans="1:20">
      <c r="A1476" s="101"/>
      <c r="B1476" s="101"/>
      <c r="C1476" s="101"/>
      <c r="D1476" s="101"/>
      <c r="E1476" s="101"/>
      <c r="F1476" s="102"/>
      <c r="G1476" s="101"/>
      <c r="H1476" s="102"/>
      <c r="I1476" s="101"/>
      <c r="J1476" s="101"/>
      <c r="K1476" s="103"/>
      <c r="L1476" s="103"/>
      <c r="M1476" s="103"/>
      <c r="N1476" s="103"/>
      <c r="O1476" s="103"/>
      <c r="P1476" s="98"/>
      <c r="Q1476" s="99"/>
      <c r="R1476" s="105">
        <f t="shared" si="71"/>
        <v>0</v>
      </c>
      <c r="S1476" s="108">
        <f t="shared" ref="S1476:S1539" si="73">IF(P1476="Abono",K1476+L1476+M1476-N1476-O1476,0)</f>
        <v>0</v>
      </c>
      <c r="T1476" s="105">
        <f t="shared" si="72"/>
        <v>0</v>
      </c>
    </row>
    <row r="1477" spans="1:20">
      <c r="A1477" s="101"/>
      <c r="B1477" s="101"/>
      <c r="C1477" s="101"/>
      <c r="D1477" s="101"/>
      <c r="E1477" s="101"/>
      <c r="F1477" s="102"/>
      <c r="G1477" s="101"/>
      <c r="H1477" s="102"/>
      <c r="I1477" s="101"/>
      <c r="J1477" s="101"/>
      <c r="K1477" s="103"/>
      <c r="L1477" s="103"/>
      <c r="M1477" s="103"/>
      <c r="N1477" s="103"/>
      <c r="O1477" s="103"/>
      <c r="P1477" s="98"/>
      <c r="Q1477" s="99"/>
      <c r="R1477" s="104">
        <f t="shared" ref="R1477:R1540" si="74">IF(P1477="Cargo",K1477+L1477-M1477-N1477+O1477,0)</f>
        <v>0</v>
      </c>
      <c r="S1477" s="104">
        <f t="shared" si="73"/>
        <v>0</v>
      </c>
      <c r="T1477" s="104">
        <f t="shared" ref="T1477:T1540" si="75">IF(Q1477="OK",+T1476+R1477-S1477,T1476)</f>
        <v>0</v>
      </c>
    </row>
    <row r="1478" spans="1:20">
      <c r="A1478" s="101"/>
      <c r="B1478" s="101"/>
      <c r="C1478" s="101"/>
      <c r="D1478" s="101"/>
      <c r="E1478" s="101"/>
      <c r="F1478" s="102"/>
      <c r="G1478" s="101"/>
      <c r="H1478" s="102"/>
      <c r="I1478" s="101"/>
      <c r="J1478" s="101"/>
      <c r="K1478" s="103"/>
      <c r="L1478" s="103"/>
      <c r="M1478" s="103"/>
      <c r="N1478" s="103"/>
      <c r="O1478" s="103"/>
      <c r="P1478" s="98"/>
      <c r="Q1478" s="99"/>
      <c r="R1478" s="105">
        <f t="shared" si="74"/>
        <v>0</v>
      </c>
      <c r="S1478" s="108">
        <f t="shared" si="73"/>
        <v>0</v>
      </c>
      <c r="T1478" s="105">
        <f t="shared" si="75"/>
        <v>0</v>
      </c>
    </row>
    <row r="1479" spans="1:20">
      <c r="A1479" s="101"/>
      <c r="B1479" s="101"/>
      <c r="C1479" s="101"/>
      <c r="D1479" s="101"/>
      <c r="E1479" s="101"/>
      <c r="F1479" s="102"/>
      <c r="G1479" s="101"/>
      <c r="H1479" s="102"/>
      <c r="I1479" s="101"/>
      <c r="J1479" s="101"/>
      <c r="K1479" s="103"/>
      <c r="L1479" s="103"/>
      <c r="M1479" s="103"/>
      <c r="N1479" s="103"/>
      <c r="O1479" s="103"/>
      <c r="P1479" s="98"/>
      <c r="Q1479" s="99"/>
      <c r="R1479" s="104">
        <f t="shared" si="74"/>
        <v>0</v>
      </c>
      <c r="S1479" s="104">
        <f t="shared" si="73"/>
        <v>0</v>
      </c>
      <c r="T1479" s="104">
        <f t="shared" si="75"/>
        <v>0</v>
      </c>
    </row>
    <row r="1480" spans="1:20">
      <c r="A1480" s="101"/>
      <c r="B1480" s="101"/>
      <c r="C1480" s="101"/>
      <c r="D1480" s="101"/>
      <c r="E1480" s="101"/>
      <c r="F1480" s="102"/>
      <c r="G1480" s="101"/>
      <c r="H1480" s="102"/>
      <c r="I1480" s="101"/>
      <c r="J1480" s="101"/>
      <c r="K1480" s="103"/>
      <c r="L1480" s="103"/>
      <c r="M1480" s="103"/>
      <c r="N1480" s="103"/>
      <c r="O1480" s="103"/>
      <c r="P1480" s="98"/>
      <c r="Q1480" s="99"/>
      <c r="R1480" s="105">
        <f t="shared" si="74"/>
        <v>0</v>
      </c>
      <c r="S1480" s="108">
        <f t="shared" si="73"/>
        <v>0</v>
      </c>
      <c r="T1480" s="105">
        <f t="shared" si="75"/>
        <v>0</v>
      </c>
    </row>
    <row r="1481" spans="1:20">
      <c r="A1481" s="101"/>
      <c r="B1481" s="101"/>
      <c r="C1481" s="101"/>
      <c r="D1481" s="101"/>
      <c r="E1481" s="101"/>
      <c r="F1481" s="102"/>
      <c r="G1481" s="101"/>
      <c r="H1481" s="102"/>
      <c r="I1481" s="101"/>
      <c r="J1481" s="101"/>
      <c r="K1481" s="103"/>
      <c r="L1481" s="103"/>
      <c r="M1481" s="103"/>
      <c r="N1481" s="103"/>
      <c r="O1481" s="103"/>
      <c r="P1481" s="98"/>
      <c r="Q1481" s="99"/>
      <c r="R1481" s="104">
        <f t="shared" si="74"/>
        <v>0</v>
      </c>
      <c r="S1481" s="104">
        <f t="shared" si="73"/>
        <v>0</v>
      </c>
      <c r="T1481" s="104">
        <f t="shared" si="75"/>
        <v>0</v>
      </c>
    </row>
    <row r="1482" spans="1:20">
      <c r="A1482" s="101"/>
      <c r="B1482" s="101"/>
      <c r="C1482" s="101"/>
      <c r="D1482" s="101"/>
      <c r="E1482" s="101"/>
      <c r="F1482" s="102"/>
      <c r="G1482" s="101"/>
      <c r="H1482" s="102"/>
      <c r="I1482" s="101"/>
      <c r="J1482" s="101"/>
      <c r="K1482" s="103"/>
      <c r="L1482" s="103"/>
      <c r="M1482" s="103"/>
      <c r="N1482" s="103"/>
      <c r="O1482" s="103"/>
      <c r="P1482" s="98"/>
      <c r="Q1482" s="99"/>
      <c r="R1482" s="105">
        <f t="shared" si="74"/>
        <v>0</v>
      </c>
      <c r="S1482" s="108">
        <f t="shared" si="73"/>
        <v>0</v>
      </c>
      <c r="T1482" s="105">
        <f t="shared" si="75"/>
        <v>0</v>
      </c>
    </row>
    <row r="1483" spans="1:20">
      <c r="A1483" s="101"/>
      <c r="B1483" s="101"/>
      <c r="C1483" s="101"/>
      <c r="D1483" s="101"/>
      <c r="E1483" s="101"/>
      <c r="F1483" s="102"/>
      <c r="G1483" s="101"/>
      <c r="H1483" s="102"/>
      <c r="I1483" s="101"/>
      <c r="J1483" s="101"/>
      <c r="K1483" s="103"/>
      <c r="L1483" s="103"/>
      <c r="M1483" s="103"/>
      <c r="N1483" s="103"/>
      <c r="O1483" s="103"/>
      <c r="P1483" s="98"/>
      <c r="Q1483" s="99"/>
      <c r="R1483" s="104">
        <f t="shared" si="74"/>
        <v>0</v>
      </c>
      <c r="S1483" s="104">
        <f t="shared" si="73"/>
        <v>0</v>
      </c>
      <c r="T1483" s="104">
        <f t="shared" si="75"/>
        <v>0</v>
      </c>
    </row>
    <row r="1484" spans="1:20">
      <c r="A1484" s="101"/>
      <c r="B1484" s="101"/>
      <c r="C1484" s="101"/>
      <c r="D1484" s="101"/>
      <c r="E1484" s="101"/>
      <c r="F1484" s="102"/>
      <c r="G1484" s="101"/>
      <c r="H1484" s="102"/>
      <c r="I1484" s="101"/>
      <c r="J1484" s="101"/>
      <c r="K1484" s="103"/>
      <c r="L1484" s="103"/>
      <c r="M1484" s="103"/>
      <c r="N1484" s="103"/>
      <c r="O1484" s="103"/>
      <c r="P1484" s="98"/>
      <c r="Q1484" s="99"/>
      <c r="R1484" s="105">
        <f t="shared" si="74"/>
        <v>0</v>
      </c>
      <c r="S1484" s="108">
        <f t="shared" si="73"/>
        <v>0</v>
      </c>
      <c r="T1484" s="105">
        <f t="shared" si="75"/>
        <v>0</v>
      </c>
    </row>
    <row r="1485" spans="1:20">
      <c r="A1485" s="101"/>
      <c r="B1485" s="101"/>
      <c r="C1485" s="101"/>
      <c r="D1485" s="101"/>
      <c r="E1485" s="101"/>
      <c r="F1485" s="102"/>
      <c r="G1485" s="101"/>
      <c r="H1485" s="102"/>
      <c r="I1485" s="101"/>
      <c r="J1485" s="101"/>
      <c r="K1485" s="103"/>
      <c r="L1485" s="103"/>
      <c r="M1485" s="103"/>
      <c r="N1485" s="103"/>
      <c r="O1485" s="103"/>
      <c r="P1485" s="98"/>
      <c r="Q1485" s="99"/>
      <c r="R1485" s="104">
        <f t="shared" si="74"/>
        <v>0</v>
      </c>
      <c r="S1485" s="104">
        <f t="shared" si="73"/>
        <v>0</v>
      </c>
      <c r="T1485" s="104">
        <f t="shared" si="75"/>
        <v>0</v>
      </c>
    </row>
    <row r="1486" spans="1:20">
      <c r="A1486" s="101"/>
      <c r="B1486" s="101"/>
      <c r="C1486" s="101"/>
      <c r="D1486" s="101"/>
      <c r="E1486" s="101"/>
      <c r="F1486" s="102"/>
      <c r="G1486" s="101"/>
      <c r="H1486" s="102"/>
      <c r="I1486" s="101"/>
      <c r="J1486" s="101"/>
      <c r="K1486" s="103"/>
      <c r="L1486" s="103"/>
      <c r="M1486" s="103"/>
      <c r="N1486" s="103"/>
      <c r="O1486" s="103"/>
      <c r="P1486" s="98"/>
      <c r="Q1486" s="99"/>
      <c r="R1486" s="105">
        <f t="shared" si="74"/>
        <v>0</v>
      </c>
      <c r="S1486" s="108">
        <f t="shared" si="73"/>
        <v>0</v>
      </c>
      <c r="T1486" s="105">
        <f t="shared" si="75"/>
        <v>0</v>
      </c>
    </row>
    <row r="1487" spans="1:20">
      <c r="A1487" s="101"/>
      <c r="B1487" s="101"/>
      <c r="C1487" s="101"/>
      <c r="D1487" s="101"/>
      <c r="E1487" s="101"/>
      <c r="F1487" s="102"/>
      <c r="G1487" s="101"/>
      <c r="H1487" s="102"/>
      <c r="I1487" s="101"/>
      <c r="J1487" s="101"/>
      <c r="K1487" s="103"/>
      <c r="L1487" s="103"/>
      <c r="M1487" s="103"/>
      <c r="N1487" s="103"/>
      <c r="O1487" s="103"/>
      <c r="P1487" s="98"/>
      <c r="Q1487" s="99"/>
      <c r="R1487" s="104">
        <f t="shared" si="74"/>
        <v>0</v>
      </c>
      <c r="S1487" s="104">
        <f t="shared" si="73"/>
        <v>0</v>
      </c>
      <c r="T1487" s="104">
        <f t="shared" si="75"/>
        <v>0</v>
      </c>
    </row>
    <row r="1488" spans="1:20">
      <c r="A1488" s="101"/>
      <c r="B1488" s="101"/>
      <c r="C1488" s="101"/>
      <c r="D1488" s="101"/>
      <c r="E1488" s="101"/>
      <c r="F1488" s="102"/>
      <c r="G1488" s="101"/>
      <c r="H1488" s="102"/>
      <c r="I1488" s="101"/>
      <c r="J1488" s="101"/>
      <c r="K1488" s="103"/>
      <c r="L1488" s="103"/>
      <c r="M1488" s="103"/>
      <c r="N1488" s="103"/>
      <c r="O1488" s="103"/>
      <c r="P1488" s="98"/>
      <c r="Q1488" s="99"/>
      <c r="R1488" s="105">
        <f t="shared" si="74"/>
        <v>0</v>
      </c>
      <c r="S1488" s="108">
        <f t="shared" si="73"/>
        <v>0</v>
      </c>
      <c r="T1488" s="105">
        <f t="shared" si="75"/>
        <v>0</v>
      </c>
    </row>
    <row r="1489" spans="1:20">
      <c r="A1489" s="101"/>
      <c r="B1489" s="101"/>
      <c r="C1489" s="101"/>
      <c r="D1489" s="101"/>
      <c r="E1489" s="101"/>
      <c r="F1489" s="102"/>
      <c r="G1489" s="101"/>
      <c r="H1489" s="102"/>
      <c r="I1489" s="101"/>
      <c r="J1489" s="101"/>
      <c r="K1489" s="103"/>
      <c r="L1489" s="103"/>
      <c r="M1489" s="103"/>
      <c r="N1489" s="103"/>
      <c r="O1489" s="103"/>
      <c r="P1489" s="98"/>
      <c r="Q1489" s="99"/>
      <c r="R1489" s="104">
        <f t="shared" si="74"/>
        <v>0</v>
      </c>
      <c r="S1489" s="104">
        <f t="shared" si="73"/>
        <v>0</v>
      </c>
      <c r="T1489" s="104">
        <f t="shared" si="75"/>
        <v>0</v>
      </c>
    </row>
    <row r="1490" spans="1:20">
      <c r="A1490" s="101"/>
      <c r="B1490" s="101"/>
      <c r="C1490" s="101"/>
      <c r="D1490" s="101"/>
      <c r="E1490" s="101"/>
      <c r="F1490" s="102"/>
      <c r="G1490" s="101"/>
      <c r="H1490" s="102"/>
      <c r="I1490" s="101"/>
      <c r="J1490" s="101"/>
      <c r="K1490" s="103"/>
      <c r="L1490" s="103"/>
      <c r="M1490" s="103"/>
      <c r="N1490" s="103"/>
      <c r="O1490" s="103"/>
      <c r="P1490" s="98"/>
      <c r="Q1490" s="99"/>
      <c r="R1490" s="105">
        <f t="shared" si="74"/>
        <v>0</v>
      </c>
      <c r="S1490" s="108">
        <f t="shared" si="73"/>
        <v>0</v>
      </c>
      <c r="T1490" s="105">
        <f t="shared" si="75"/>
        <v>0</v>
      </c>
    </row>
    <row r="1491" spans="1:20">
      <c r="A1491" s="101"/>
      <c r="B1491" s="101"/>
      <c r="C1491" s="101"/>
      <c r="D1491" s="101"/>
      <c r="E1491" s="101"/>
      <c r="F1491" s="102"/>
      <c r="G1491" s="101"/>
      <c r="H1491" s="102"/>
      <c r="I1491" s="101"/>
      <c r="J1491" s="101"/>
      <c r="K1491" s="103"/>
      <c r="L1491" s="103"/>
      <c r="M1491" s="103"/>
      <c r="N1491" s="103"/>
      <c r="O1491" s="103"/>
      <c r="P1491" s="98"/>
      <c r="Q1491" s="99"/>
      <c r="R1491" s="104">
        <f t="shared" si="74"/>
        <v>0</v>
      </c>
      <c r="S1491" s="104">
        <f t="shared" si="73"/>
        <v>0</v>
      </c>
      <c r="T1491" s="104">
        <f t="shared" si="75"/>
        <v>0</v>
      </c>
    </row>
    <row r="1492" spans="1:20">
      <c r="A1492" s="101"/>
      <c r="B1492" s="101"/>
      <c r="C1492" s="101"/>
      <c r="D1492" s="101"/>
      <c r="E1492" s="101"/>
      <c r="F1492" s="102"/>
      <c r="G1492" s="101"/>
      <c r="H1492" s="102"/>
      <c r="I1492" s="101"/>
      <c r="J1492" s="101"/>
      <c r="K1492" s="103"/>
      <c r="L1492" s="103"/>
      <c r="M1492" s="103"/>
      <c r="N1492" s="103"/>
      <c r="O1492" s="103"/>
      <c r="P1492" s="98"/>
      <c r="Q1492" s="99"/>
      <c r="R1492" s="105">
        <f t="shared" si="74"/>
        <v>0</v>
      </c>
      <c r="S1492" s="108">
        <f t="shared" si="73"/>
        <v>0</v>
      </c>
      <c r="T1492" s="105">
        <f t="shared" si="75"/>
        <v>0</v>
      </c>
    </row>
    <row r="1493" spans="1:20">
      <c r="A1493" s="101"/>
      <c r="B1493" s="101"/>
      <c r="C1493" s="101"/>
      <c r="D1493" s="101"/>
      <c r="E1493" s="101"/>
      <c r="F1493" s="102"/>
      <c r="G1493" s="101"/>
      <c r="H1493" s="102"/>
      <c r="I1493" s="101"/>
      <c r="J1493" s="101"/>
      <c r="K1493" s="103"/>
      <c r="L1493" s="103"/>
      <c r="M1493" s="103"/>
      <c r="N1493" s="103"/>
      <c r="O1493" s="103"/>
      <c r="P1493" s="98"/>
      <c r="Q1493" s="99"/>
      <c r="R1493" s="104">
        <f t="shared" si="74"/>
        <v>0</v>
      </c>
      <c r="S1493" s="104">
        <f t="shared" si="73"/>
        <v>0</v>
      </c>
      <c r="T1493" s="104">
        <f t="shared" si="75"/>
        <v>0</v>
      </c>
    </row>
    <row r="1494" spans="1:20">
      <c r="A1494" s="101"/>
      <c r="B1494" s="101"/>
      <c r="C1494" s="101"/>
      <c r="D1494" s="101"/>
      <c r="E1494" s="101"/>
      <c r="F1494" s="102"/>
      <c r="G1494" s="101"/>
      <c r="H1494" s="102"/>
      <c r="I1494" s="101"/>
      <c r="J1494" s="101"/>
      <c r="K1494" s="103"/>
      <c r="L1494" s="103"/>
      <c r="M1494" s="103"/>
      <c r="N1494" s="103"/>
      <c r="O1494" s="103"/>
      <c r="P1494" s="98"/>
      <c r="Q1494" s="99"/>
      <c r="R1494" s="105">
        <f t="shared" si="74"/>
        <v>0</v>
      </c>
      <c r="S1494" s="108">
        <f t="shared" si="73"/>
        <v>0</v>
      </c>
      <c r="T1494" s="105">
        <f t="shared" si="75"/>
        <v>0</v>
      </c>
    </row>
    <row r="1495" spans="1:20">
      <c r="A1495" s="101"/>
      <c r="B1495" s="101"/>
      <c r="C1495" s="101"/>
      <c r="D1495" s="101"/>
      <c r="E1495" s="101"/>
      <c r="F1495" s="102"/>
      <c r="G1495" s="101"/>
      <c r="H1495" s="102"/>
      <c r="I1495" s="101"/>
      <c r="J1495" s="101"/>
      <c r="K1495" s="103"/>
      <c r="L1495" s="103"/>
      <c r="M1495" s="103"/>
      <c r="N1495" s="103"/>
      <c r="O1495" s="103"/>
      <c r="P1495" s="98"/>
      <c r="Q1495" s="99"/>
      <c r="R1495" s="104">
        <f t="shared" si="74"/>
        <v>0</v>
      </c>
      <c r="S1495" s="104">
        <f t="shared" si="73"/>
        <v>0</v>
      </c>
      <c r="T1495" s="104">
        <f t="shared" si="75"/>
        <v>0</v>
      </c>
    </row>
    <row r="1496" spans="1:20">
      <c r="A1496" s="101"/>
      <c r="B1496" s="101"/>
      <c r="C1496" s="101"/>
      <c r="D1496" s="101"/>
      <c r="E1496" s="101"/>
      <c r="F1496" s="102"/>
      <c r="G1496" s="101"/>
      <c r="H1496" s="102"/>
      <c r="I1496" s="101"/>
      <c r="J1496" s="101"/>
      <c r="K1496" s="103"/>
      <c r="L1496" s="103"/>
      <c r="M1496" s="103"/>
      <c r="N1496" s="103"/>
      <c r="O1496" s="103"/>
      <c r="P1496" s="98"/>
      <c r="Q1496" s="99"/>
      <c r="R1496" s="105">
        <f t="shared" si="74"/>
        <v>0</v>
      </c>
      <c r="S1496" s="108">
        <f t="shared" si="73"/>
        <v>0</v>
      </c>
      <c r="T1496" s="105">
        <f t="shared" si="75"/>
        <v>0</v>
      </c>
    </row>
    <row r="1497" spans="1:20">
      <c r="A1497" s="101"/>
      <c r="B1497" s="101"/>
      <c r="C1497" s="101"/>
      <c r="D1497" s="101"/>
      <c r="E1497" s="101"/>
      <c r="F1497" s="102"/>
      <c r="G1497" s="101"/>
      <c r="H1497" s="102"/>
      <c r="I1497" s="101"/>
      <c r="J1497" s="101"/>
      <c r="K1497" s="103"/>
      <c r="L1497" s="103"/>
      <c r="M1497" s="103"/>
      <c r="N1497" s="103"/>
      <c r="O1497" s="103"/>
      <c r="P1497" s="98"/>
      <c r="Q1497" s="99"/>
      <c r="R1497" s="104">
        <f t="shared" si="74"/>
        <v>0</v>
      </c>
      <c r="S1497" s="104">
        <f t="shared" si="73"/>
        <v>0</v>
      </c>
      <c r="T1497" s="104">
        <f t="shared" si="75"/>
        <v>0</v>
      </c>
    </row>
    <row r="1498" spans="1:20">
      <c r="A1498" s="101"/>
      <c r="B1498" s="101"/>
      <c r="C1498" s="101"/>
      <c r="D1498" s="101"/>
      <c r="E1498" s="101"/>
      <c r="F1498" s="102"/>
      <c r="G1498" s="101"/>
      <c r="H1498" s="102"/>
      <c r="I1498" s="101"/>
      <c r="J1498" s="101"/>
      <c r="K1498" s="103"/>
      <c r="L1498" s="103"/>
      <c r="M1498" s="103"/>
      <c r="N1498" s="103"/>
      <c r="O1498" s="103"/>
      <c r="P1498" s="98"/>
      <c r="Q1498" s="99"/>
      <c r="R1498" s="105">
        <f t="shared" si="74"/>
        <v>0</v>
      </c>
      <c r="S1498" s="108">
        <f t="shared" si="73"/>
        <v>0</v>
      </c>
      <c r="T1498" s="105">
        <f t="shared" si="75"/>
        <v>0</v>
      </c>
    </row>
    <row r="1499" spans="1:20">
      <c r="A1499" s="101"/>
      <c r="B1499" s="101"/>
      <c r="C1499" s="101"/>
      <c r="D1499" s="101"/>
      <c r="E1499" s="101"/>
      <c r="F1499" s="102"/>
      <c r="G1499" s="101"/>
      <c r="H1499" s="102"/>
      <c r="I1499" s="101"/>
      <c r="J1499" s="101"/>
      <c r="K1499" s="103"/>
      <c r="L1499" s="103"/>
      <c r="M1499" s="103"/>
      <c r="N1499" s="103"/>
      <c r="O1499" s="103"/>
      <c r="P1499" s="98"/>
      <c r="Q1499" s="99"/>
      <c r="R1499" s="104">
        <f t="shared" si="74"/>
        <v>0</v>
      </c>
      <c r="S1499" s="104">
        <f t="shared" si="73"/>
        <v>0</v>
      </c>
      <c r="T1499" s="104">
        <f t="shared" si="75"/>
        <v>0</v>
      </c>
    </row>
    <row r="1500" spans="1:20">
      <c r="A1500" s="101"/>
      <c r="B1500" s="101"/>
      <c r="C1500" s="101"/>
      <c r="D1500" s="101"/>
      <c r="E1500" s="101"/>
      <c r="F1500" s="102"/>
      <c r="G1500" s="101"/>
      <c r="H1500" s="102"/>
      <c r="I1500" s="101"/>
      <c r="J1500" s="101"/>
      <c r="K1500" s="103"/>
      <c r="L1500" s="103"/>
      <c r="M1500" s="103"/>
      <c r="N1500" s="103"/>
      <c r="O1500" s="103"/>
      <c r="P1500" s="98"/>
      <c r="Q1500" s="99"/>
      <c r="R1500" s="105">
        <f t="shared" si="74"/>
        <v>0</v>
      </c>
      <c r="S1500" s="108">
        <f t="shared" si="73"/>
        <v>0</v>
      </c>
      <c r="T1500" s="105">
        <f t="shared" si="75"/>
        <v>0</v>
      </c>
    </row>
    <row r="1501" spans="1:20">
      <c r="A1501" s="101"/>
      <c r="B1501" s="101"/>
      <c r="C1501" s="101"/>
      <c r="D1501" s="101"/>
      <c r="E1501" s="101"/>
      <c r="F1501" s="102"/>
      <c r="G1501" s="101"/>
      <c r="H1501" s="102"/>
      <c r="I1501" s="101"/>
      <c r="J1501" s="101"/>
      <c r="K1501" s="103"/>
      <c r="L1501" s="103"/>
      <c r="M1501" s="103"/>
      <c r="N1501" s="103"/>
      <c r="O1501" s="103"/>
      <c r="P1501" s="98"/>
      <c r="Q1501" s="99"/>
      <c r="R1501" s="104">
        <f t="shared" si="74"/>
        <v>0</v>
      </c>
      <c r="S1501" s="104">
        <f t="shared" si="73"/>
        <v>0</v>
      </c>
      <c r="T1501" s="104">
        <f t="shared" si="75"/>
        <v>0</v>
      </c>
    </row>
    <row r="1502" spans="1:20">
      <c r="A1502" s="101"/>
      <c r="B1502" s="101"/>
      <c r="C1502" s="101"/>
      <c r="D1502" s="101"/>
      <c r="E1502" s="101"/>
      <c r="F1502" s="102"/>
      <c r="G1502" s="101"/>
      <c r="H1502" s="102"/>
      <c r="I1502" s="101"/>
      <c r="J1502" s="101"/>
      <c r="K1502" s="103"/>
      <c r="L1502" s="103"/>
      <c r="M1502" s="103"/>
      <c r="N1502" s="103"/>
      <c r="O1502" s="103"/>
      <c r="P1502" s="98"/>
      <c r="Q1502" s="99"/>
      <c r="R1502" s="105">
        <f t="shared" si="74"/>
        <v>0</v>
      </c>
      <c r="S1502" s="108">
        <f t="shared" si="73"/>
        <v>0</v>
      </c>
      <c r="T1502" s="105">
        <f t="shared" si="75"/>
        <v>0</v>
      </c>
    </row>
    <row r="1503" spans="1:20">
      <c r="A1503" s="101"/>
      <c r="B1503" s="101"/>
      <c r="C1503" s="101"/>
      <c r="D1503" s="101"/>
      <c r="E1503" s="101"/>
      <c r="F1503" s="102"/>
      <c r="G1503" s="101"/>
      <c r="H1503" s="102"/>
      <c r="I1503" s="101"/>
      <c r="J1503" s="101"/>
      <c r="K1503" s="103"/>
      <c r="L1503" s="103"/>
      <c r="M1503" s="103"/>
      <c r="N1503" s="103"/>
      <c r="O1503" s="103"/>
      <c r="P1503" s="98"/>
      <c r="Q1503" s="99"/>
      <c r="R1503" s="104">
        <f t="shared" si="74"/>
        <v>0</v>
      </c>
      <c r="S1503" s="104">
        <f t="shared" si="73"/>
        <v>0</v>
      </c>
      <c r="T1503" s="104">
        <f t="shared" si="75"/>
        <v>0</v>
      </c>
    </row>
    <row r="1504" spans="1:20">
      <c r="A1504" s="101"/>
      <c r="B1504" s="101"/>
      <c r="C1504" s="101"/>
      <c r="D1504" s="101"/>
      <c r="E1504" s="101"/>
      <c r="F1504" s="102"/>
      <c r="G1504" s="101"/>
      <c r="H1504" s="102"/>
      <c r="I1504" s="101"/>
      <c r="J1504" s="101"/>
      <c r="K1504" s="103"/>
      <c r="L1504" s="103"/>
      <c r="M1504" s="103"/>
      <c r="N1504" s="103"/>
      <c r="O1504" s="103"/>
      <c r="P1504" s="98"/>
      <c r="Q1504" s="99"/>
      <c r="R1504" s="105">
        <f t="shared" si="74"/>
        <v>0</v>
      </c>
      <c r="S1504" s="108">
        <f t="shared" si="73"/>
        <v>0</v>
      </c>
      <c r="T1504" s="105">
        <f t="shared" si="75"/>
        <v>0</v>
      </c>
    </row>
    <row r="1505" spans="1:20">
      <c r="A1505" s="101"/>
      <c r="B1505" s="101"/>
      <c r="C1505" s="101"/>
      <c r="D1505" s="101"/>
      <c r="E1505" s="101"/>
      <c r="F1505" s="102"/>
      <c r="G1505" s="101"/>
      <c r="H1505" s="102"/>
      <c r="I1505" s="101"/>
      <c r="J1505" s="101"/>
      <c r="K1505" s="103"/>
      <c r="L1505" s="103"/>
      <c r="M1505" s="103"/>
      <c r="N1505" s="103"/>
      <c r="O1505" s="103"/>
      <c r="P1505" s="98"/>
      <c r="Q1505" s="99"/>
      <c r="R1505" s="104">
        <f t="shared" si="74"/>
        <v>0</v>
      </c>
      <c r="S1505" s="104">
        <f t="shared" si="73"/>
        <v>0</v>
      </c>
      <c r="T1505" s="104">
        <f t="shared" si="75"/>
        <v>0</v>
      </c>
    </row>
    <row r="1506" spans="1:20">
      <c r="A1506" s="101"/>
      <c r="B1506" s="101"/>
      <c r="C1506" s="101"/>
      <c r="D1506" s="101"/>
      <c r="E1506" s="101"/>
      <c r="F1506" s="102"/>
      <c r="G1506" s="101"/>
      <c r="H1506" s="102"/>
      <c r="I1506" s="101"/>
      <c r="J1506" s="101"/>
      <c r="K1506" s="103"/>
      <c r="L1506" s="103"/>
      <c r="M1506" s="103"/>
      <c r="N1506" s="103"/>
      <c r="O1506" s="103"/>
      <c r="P1506" s="98"/>
      <c r="Q1506" s="99"/>
      <c r="R1506" s="105">
        <f t="shared" si="74"/>
        <v>0</v>
      </c>
      <c r="S1506" s="108">
        <f t="shared" si="73"/>
        <v>0</v>
      </c>
      <c r="T1506" s="105">
        <f t="shared" si="75"/>
        <v>0</v>
      </c>
    </row>
    <row r="1507" spans="1:20">
      <c r="A1507" s="101"/>
      <c r="B1507" s="101"/>
      <c r="C1507" s="101"/>
      <c r="D1507" s="101"/>
      <c r="E1507" s="101"/>
      <c r="F1507" s="102"/>
      <c r="G1507" s="101"/>
      <c r="H1507" s="102"/>
      <c r="I1507" s="101"/>
      <c r="J1507" s="101"/>
      <c r="K1507" s="103"/>
      <c r="L1507" s="103"/>
      <c r="M1507" s="103"/>
      <c r="N1507" s="103"/>
      <c r="O1507" s="103"/>
      <c r="P1507" s="98"/>
      <c r="Q1507" s="99"/>
      <c r="R1507" s="104">
        <f t="shared" si="74"/>
        <v>0</v>
      </c>
      <c r="S1507" s="104">
        <f t="shared" si="73"/>
        <v>0</v>
      </c>
      <c r="T1507" s="104">
        <f t="shared" si="75"/>
        <v>0</v>
      </c>
    </row>
    <row r="1508" spans="1:20">
      <c r="A1508" s="101"/>
      <c r="B1508" s="101"/>
      <c r="C1508" s="101"/>
      <c r="D1508" s="101"/>
      <c r="E1508" s="101"/>
      <c r="F1508" s="102"/>
      <c r="G1508" s="101"/>
      <c r="H1508" s="102"/>
      <c r="I1508" s="101"/>
      <c r="J1508" s="101"/>
      <c r="K1508" s="103"/>
      <c r="L1508" s="103"/>
      <c r="M1508" s="103"/>
      <c r="N1508" s="103"/>
      <c r="O1508" s="103"/>
      <c r="P1508" s="98"/>
      <c r="Q1508" s="99"/>
      <c r="R1508" s="105">
        <f t="shared" si="74"/>
        <v>0</v>
      </c>
      <c r="S1508" s="108">
        <f t="shared" si="73"/>
        <v>0</v>
      </c>
      <c r="T1508" s="105">
        <f t="shared" si="75"/>
        <v>0</v>
      </c>
    </row>
    <row r="1509" spans="1:20">
      <c r="A1509" s="101"/>
      <c r="B1509" s="101"/>
      <c r="C1509" s="101"/>
      <c r="D1509" s="101"/>
      <c r="E1509" s="101"/>
      <c r="F1509" s="102"/>
      <c r="G1509" s="101"/>
      <c r="H1509" s="102"/>
      <c r="I1509" s="101"/>
      <c r="J1509" s="101"/>
      <c r="K1509" s="103"/>
      <c r="L1509" s="103"/>
      <c r="M1509" s="103"/>
      <c r="N1509" s="103"/>
      <c r="O1509" s="103"/>
      <c r="P1509" s="98"/>
      <c r="Q1509" s="99"/>
      <c r="R1509" s="104">
        <f t="shared" si="74"/>
        <v>0</v>
      </c>
      <c r="S1509" s="104">
        <f t="shared" si="73"/>
        <v>0</v>
      </c>
      <c r="T1509" s="104">
        <f t="shared" si="75"/>
        <v>0</v>
      </c>
    </row>
    <row r="1510" spans="1:20">
      <c r="A1510" s="101"/>
      <c r="B1510" s="101"/>
      <c r="C1510" s="101"/>
      <c r="D1510" s="101"/>
      <c r="E1510" s="101"/>
      <c r="F1510" s="102"/>
      <c r="G1510" s="101"/>
      <c r="H1510" s="102"/>
      <c r="I1510" s="101"/>
      <c r="J1510" s="101"/>
      <c r="K1510" s="103"/>
      <c r="L1510" s="103"/>
      <c r="M1510" s="103"/>
      <c r="N1510" s="103"/>
      <c r="O1510" s="103"/>
      <c r="P1510" s="98"/>
      <c r="Q1510" s="99"/>
      <c r="R1510" s="105">
        <f t="shared" si="74"/>
        <v>0</v>
      </c>
      <c r="S1510" s="108">
        <f t="shared" si="73"/>
        <v>0</v>
      </c>
      <c r="T1510" s="105">
        <f t="shared" si="75"/>
        <v>0</v>
      </c>
    </row>
    <row r="1511" spans="1:20">
      <c r="A1511" s="101"/>
      <c r="B1511" s="101"/>
      <c r="C1511" s="101"/>
      <c r="D1511" s="101"/>
      <c r="E1511" s="101"/>
      <c r="F1511" s="102"/>
      <c r="G1511" s="101"/>
      <c r="H1511" s="102"/>
      <c r="I1511" s="101"/>
      <c r="J1511" s="101"/>
      <c r="K1511" s="103"/>
      <c r="L1511" s="103"/>
      <c r="M1511" s="103"/>
      <c r="N1511" s="103"/>
      <c r="O1511" s="103"/>
      <c r="P1511" s="98"/>
      <c r="Q1511" s="99"/>
      <c r="R1511" s="104">
        <f t="shared" si="74"/>
        <v>0</v>
      </c>
      <c r="S1511" s="104">
        <f t="shared" si="73"/>
        <v>0</v>
      </c>
      <c r="T1511" s="104">
        <f t="shared" si="75"/>
        <v>0</v>
      </c>
    </row>
    <row r="1512" spans="1:20">
      <c r="A1512" s="101"/>
      <c r="B1512" s="101"/>
      <c r="C1512" s="101"/>
      <c r="D1512" s="101"/>
      <c r="E1512" s="101"/>
      <c r="F1512" s="102"/>
      <c r="G1512" s="101"/>
      <c r="H1512" s="102"/>
      <c r="I1512" s="101"/>
      <c r="J1512" s="101"/>
      <c r="K1512" s="103"/>
      <c r="L1512" s="103"/>
      <c r="M1512" s="103"/>
      <c r="N1512" s="103"/>
      <c r="O1512" s="103"/>
      <c r="P1512" s="98"/>
      <c r="Q1512" s="99"/>
      <c r="R1512" s="105">
        <f t="shared" si="74"/>
        <v>0</v>
      </c>
      <c r="S1512" s="108">
        <f t="shared" si="73"/>
        <v>0</v>
      </c>
      <c r="T1512" s="105">
        <f t="shared" si="75"/>
        <v>0</v>
      </c>
    </row>
    <row r="1513" spans="1:20">
      <c r="A1513" s="101"/>
      <c r="B1513" s="101"/>
      <c r="C1513" s="101"/>
      <c r="D1513" s="101"/>
      <c r="E1513" s="101"/>
      <c r="F1513" s="102"/>
      <c r="G1513" s="101"/>
      <c r="H1513" s="102"/>
      <c r="I1513" s="101"/>
      <c r="J1513" s="101"/>
      <c r="K1513" s="103"/>
      <c r="L1513" s="103"/>
      <c r="M1513" s="103"/>
      <c r="N1513" s="103"/>
      <c r="O1513" s="103"/>
      <c r="P1513" s="98"/>
      <c r="Q1513" s="99"/>
      <c r="R1513" s="104">
        <f t="shared" si="74"/>
        <v>0</v>
      </c>
      <c r="S1513" s="104">
        <f t="shared" si="73"/>
        <v>0</v>
      </c>
      <c r="T1513" s="104">
        <f t="shared" si="75"/>
        <v>0</v>
      </c>
    </row>
    <row r="1514" spans="1:20">
      <c r="A1514" s="101"/>
      <c r="B1514" s="101"/>
      <c r="C1514" s="101"/>
      <c r="D1514" s="101"/>
      <c r="E1514" s="101"/>
      <c r="F1514" s="102"/>
      <c r="G1514" s="101"/>
      <c r="H1514" s="102"/>
      <c r="I1514" s="101"/>
      <c r="J1514" s="101"/>
      <c r="K1514" s="103"/>
      <c r="L1514" s="103"/>
      <c r="M1514" s="103"/>
      <c r="N1514" s="103"/>
      <c r="O1514" s="103"/>
      <c r="P1514" s="98"/>
      <c r="Q1514" s="99"/>
      <c r="R1514" s="105">
        <f t="shared" si="74"/>
        <v>0</v>
      </c>
      <c r="S1514" s="108">
        <f t="shared" si="73"/>
        <v>0</v>
      </c>
      <c r="T1514" s="105">
        <f t="shared" si="75"/>
        <v>0</v>
      </c>
    </row>
    <row r="1515" spans="1:20">
      <c r="A1515" s="101"/>
      <c r="B1515" s="101"/>
      <c r="C1515" s="101"/>
      <c r="D1515" s="101"/>
      <c r="E1515" s="101"/>
      <c r="F1515" s="102"/>
      <c r="G1515" s="101"/>
      <c r="H1515" s="102"/>
      <c r="I1515" s="101"/>
      <c r="J1515" s="101"/>
      <c r="K1515" s="103"/>
      <c r="L1515" s="103"/>
      <c r="M1515" s="103"/>
      <c r="N1515" s="103"/>
      <c r="O1515" s="103"/>
      <c r="P1515" s="98"/>
      <c r="Q1515" s="99"/>
      <c r="R1515" s="104">
        <f t="shared" si="74"/>
        <v>0</v>
      </c>
      <c r="S1515" s="104">
        <f t="shared" si="73"/>
        <v>0</v>
      </c>
      <c r="T1515" s="104">
        <f t="shared" si="75"/>
        <v>0</v>
      </c>
    </row>
    <row r="1516" spans="1:20">
      <c r="A1516" s="101"/>
      <c r="B1516" s="101"/>
      <c r="C1516" s="101"/>
      <c r="D1516" s="101"/>
      <c r="E1516" s="101"/>
      <c r="F1516" s="102"/>
      <c r="G1516" s="101"/>
      <c r="H1516" s="102"/>
      <c r="I1516" s="101"/>
      <c r="J1516" s="101"/>
      <c r="K1516" s="103"/>
      <c r="L1516" s="103"/>
      <c r="M1516" s="103"/>
      <c r="N1516" s="103"/>
      <c r="O1516" s="103"/>
      <c r="P1516" s="98"/>
      <c r="Q1516" s="99"/>
      <c r="R1516" s="105">
        <f t="shared" si="74"/>
        <v>0</v>
      </c>
      <c r="S1516" s="108">
        <f t="shared" si="73"/>
        <v>0</v>
      </c>
      <c r="T1516" s="105">
        <f t="shared" si="75"/>
        <v>0</v>
      </c>
    </row>
    <row r="1517" spans="1:20">
      <c r="A1517" s="101"/>
      <c r="B1517" s="101"/>
      <c r="C1517" s="101"/>
      <c r="D1517" s="101"/>
      <c r="E1517" s="101"/>
      <c r="F1517" s="102"/>
      <c r="G1517" s="101"/>
      <c r="H1517" s="102"/>
      <c r="I1517" s="101"/>
      <c r="J1517" s="101"/>
      <c r="K1517" s="103"/>
      <c r="L1517" s="103"/>
      <c r="M1517" s="103"/>
      <c r="N1517" s="103"/>
      <c r="O1517" s="103"/>
      <c r="P1517" s="98"/>
      <c r="Q1517" s="99"/>
      <c r="R1517" s="104">
        <f t="shared" si="74"/>
        <v>0</v>
      </c>
      <c r="S1517" s="104">
        <f t="shared" si="73"/>
        <v>0</v>
      </c>
      <c r="T1517" s="104">
        <f t="shared" si="75"/>
        <v>0</v>
      </c>
    </row>
    <row r="1518" spans="1:20">
      <c r="A1518" s="101"/>
      <c r="B1518" s="101"/>
      <c r="C1518" s="101"/>
      <c r="D1518" s="101"/>
      <c r="E1518" s="101"/>
      <c r="F1518" s="102"/>
      <c r="G1518" s="101"/>
      <c r="H1518" s="102"/>
      <c r="I1518" s="101"/>
      <c r="J1518" s="101"/>
      <c r="K1518" s="103"/>
      <c r="L1518" s="103"/>
      <c r="M1518" s="103"/>
      <c r="N1518" s="103"/>
      <c r="O1518" s="103"/>
      <c r="P1518" s="98"/>
      <c r="Q1518" s="99"/>
      <c r="R1518" s="105">
        <f t="shared" si="74"/>
        <v>0</v>
      </c>
      <c r="S1518" s="108">
        <f t="shared" si="73"/>
        <v>0</v>
      </c>
      <c r="T1518" s="105">
        <f t="shared" si="75"/>
        <v>0</v>
      </c>
    </row>
    <row r="1519" spans="1:20">
      <c r="A1519" s="101"/>
      <c r="B1519" s="101"/>
      <c r="C1519" s="101"/>
      <c r="D1519" s="101"/>
      <c r="E1519" s="101"/>
      <c r="F1519" s="102"/>
      <c r="G1519" s="101"/>
      <c r="H1519" s="102"/>
      <c r="I1519" s="101"/>
      <c r="J1519" s="101"/>
      <c r="K1519" s="103"/>
      <c r="L1519" s="103"/>
      <c r="M1519" s="103"/>
      <c r="N1519" s="103"/>
      <c r="O1519" s="103"/>
      <c r="P1519" s="98"/>
      <c r="Q1519" s="99"/>
      <c r="R1519" s="104">
        <f t="shared" si="74"/>
        <v>0</v>
      </c>
      <c r="S1519" s="104">
        <f t="shared" si="73"/>
        <v>0</v>
      </c>
      <c r="T1519" s="104">
        <f t="shared" si="75"/>
        <v>0</v>
      </c>
    </row>
    <row r="1520" spans="1:20">
      <c r="A1520" s="101"/>
      <c r="B1520" s="101"/>
      <c r="C1520" s="101"/>
      <c r="D1520" s="101"/>
      <c r="E1520" s="101"/>
      <c r="F1520" s="102"/>
      <c r="G1520" s="101"/>
      <c r="H1520" s="102"/>
      <c r="I1520" s="101"/>
      <c r="J1520" s="101"/>
      <c r="K1520" s="103"/>
      <c r="L1520" s="103"/>
      <c r="M1520" s="103"/>
      <c r="N1520" s="103"/>
      <c r="O1520" s="103"/>
      <c r="P1520" s="98"/>
      <c r="Q1520" s="99"/>
      <c r="R1520" s="105">
        <f t="shared" si="74"/>
        <v>0</v>
      </c>
      <c r="S1520" s="108">
        <f t="shared" si="73"/>
        <v>0</v>
      </c>
      <c r="T1520" s="105">
        <f t="shared" si="75"/>
        <v>0</v>
      </c>
    </row>
    <row r="1521" spans="1:20">
      <c r="A1521" s="101"/>
      <c r="B1521" s="101"/>
      <c r="C1521" s="101"/>
      <c r="D1521" s="101"/>
      <c r="E1521" s="101"/>
      <c r="F1521" s="102"/>
      <c r="G1521" s="101"/>
      <c r="H1521" s="102"/>
      <c r="I1521" s="101"/>
      <c r="J1521" s="101"/>
      <c r="K1521" s="103"/>
      <c r="L1521" s="103"/>
      <c r="M1521" s="103"/>
      <c r="N1521" s="103"/>
      <c r="O1521" s="103"/>
      <c r="P1521" s="98"/>
      <c r="Q1521" s="99"/>
      <c r="R1521" s="104">
        <f t="shared" si="74"/>
        <v>0</v>
      </c>
      <c r="S1521" s="104">
        <f t="shared" si="73"/>
        <v>0</v>
      </c>
      <c r="T1521" s="104">
        <f t="shared" si="75"/>
        <v>0</v>
      </c>
    </row>
    <row r="1522" spans="1:20">
      <c r="A1522" s="101"/>
      <c r="B1522" s="101"/>
      <c r="C1522" s="101"/>
      <c r="D1522" s="101"/>
      <c r="E1522" s="101"/>
      <c r="F1522" s="102"/>
      <c r="G1522" s="101"/>
      <c r="H1522" s="102"/>
      <c r="I1522" s="101"/>
      <c r="J1522" s="101"/>
      <c r="K1522" s="103"/>
      <c r="L1522" s="103"/>
      <c r="M1522" s="103"/>
      <c r="N1522" s="103"/>
      <c r="O1522" s="103"/>
      <c r="P1522" s="98"/>
      <c r="Q1522" s="99"/>
      <c r="R1522" s="105">
        <f t="shared" si="74"/>
        <v>0</v>
      </c>
      <c r="S1522" s="108">
        <f t="shared" si="73"/>
        <v>0</v>
      </c>
      <c r="T1522" s="105">
        <f t="shared" si="75"/>
        <v>0</v>
      </c>
    </row>
    <row r="1523" spans="1:20">
      <c r="A1523" s="101"/>
      <c r="B1523" s="101"/>
      <c r="C1523" s="101"/>
      <c r="D1523" s="101"/>
      <c r="E1523" s="101"/>
      <c r="F1523" s="102"/>
      <c r="G1523" s="101"/>
      <c r="H1523" s="102"/>
      <c r="I1523" s="101"/>
      <c r="J1523" s="101"/>
      <c r="K1523" s="103"/>
      <c r="L1523" s="103"/>
      <c r="M1523" s="103"/>
      <c r="N1523" s="103"/>
      <c r="O1523" s="103"/>
      <c r="P1523" s="98"/>
      <c r="Q1523" s="99"/>
      <c r="R1523" s="104">
        <f t="shared" si="74"/>
        <v>0</v>
      </c>
      <c r="S1523" s="104">
        <f t="shared" si="73"/>
        <v>0</v>
      </c>
      <c r="T1523" s="104">
        <f t="shared" si="75"/>
        <v>0</v>
      </c>
    </row>
    <row r="1524" spans="1:20">
      <c r="A1524" s="101"/>
      <c r="B1524" s="101"/>
      <c r="C1524" s="101"/>
      <c r="D1524" s="101"/>
      <c r="E1524" s="101"/>
      <c r="F1524" s="102"/>
      <c r="G1524" s="101"/>
      <c r="H1524" s="102"/>
      <c r="I1524" s="101"/>
      <c r="J1524" s="101"/>
      <c r="K1524" s="103"/>
      <c r="L1524" s="103"/>
      <c r="M1524" s="103"/>
      <c r="N1524" s="103"/>
      <c r="O1524" s="103"/>
      <c r="P1524" s="98"/>
      <c r="Q1524" s="99"/>
      <c r="R1524" s="105">
        <f t="shared" si="74"/>
        <v>0</v>
      </c>
      <c r="S1524" s="108">
        <f t="shared" si="73"/>
        <v>0</v>
      </c>
      <c r="T1524" s="105">
        <f t="shared" si="75"/>
        <v>0</v>
      </c>
    </row>
    <row r="1525" spans="1:20">
      <c r="A1525" s="101"/>
      <c r="B1525" s="101"/>
      <c r="C1525" s="101"/>
      <c r="D1525" s="101"/>
      <c r="E1525" s="101"/>
      <c r="F1525" s="102"/>
      <c r="G1525" s="101"/>
      <c r="H1525" s="102"/>
      <c r="I1525" s="101"/>
      <c r="J1525" s="101"/>
      <c r="K1525" s="103"/>
      <c r="L1525" s="103"/>
      <c r="M1525" s="103"/>
      <c r="N1525" s="103"/>
      <c r="O1525" s="103"/>
      <c r="P1525" s="98"/>
      <c r="Q1525" s="99"/>
      <c r="R1525" s="104">
        <f t="shared" si="74"/>
        <v>0</v>
      </c>
      <c r="S1525" s="104">
        <f t="shared" si="73"/>
        <v>0</v>
      </c>
      <c r="T1525" s="104">
        <f t="shared" si="75"/>
        <v>0</v>
      </c>
    </row>
    <row r="1526" spans="1:20">
      <c r="A1526" s="101"/>
      <c r="B1526" s="101"/>
      <c r="C1526" s="101"/>
      <c r="D1526" s="101"/>
      <c r="E1526" s="101"/>
      <c r="F1526" s="102"/>
      <c r="G1526" s="101"/>
      <c r="H1526" s="102"/>
      <c r="I1526" s="101"/>
      <c r="J1526" s="101"/>
      <c r="K1526" s="103"/>
      <c r="L1526" s="103"/>
      <c r="M1526" s="103"/>
      <c r="N1526" s="103"/>
      <c r="O1526" s="103"/>
      <c r="P1526" s="98"/>
      <c r="Q1526" s="99"/>
      <c r="R1526" s="105">
        <f t="shared" si="74"/>
        <v>0</v>
      </c>
      <c r="S1526" s="108">
        <f t="shared" si="73"/>
        <v>0</v>
      </c>
      <c r="T1526" s="105">
        <f t="shared" si="75"/>
        <v>0</v>
      </c>
    </row>
    <row r="1527" spans="1:20">
      <c r="A1527" s="101"/>
      <c r="B1527" s="101"/>
      <c r="C1527" s="101"/>
      <c r="D1527" s="101"/>
      <c r="E1527" s="101"/>
      <c r="F1527" s="102"/>
      <c r="G1527" s="101"/>
      <c r="H1527" s="102"/>
      <c r="I1527" s="101"/>
      <c r="J1527" s="101"/>
      <c r="K1527" s="103"/>
      <c r="L1527" s="103"/>
      <c r="M1527" s="103"/>
      <c r="N1527" s="103"/>
      <c r="O1527" s="103"/>
      <c r="P1527" s="98"/>
      <c r="Q1527" s="99"/>
      <c r="R1527" s="104">
        <f t="shared" si="74"/>
        <v>0</v>
      </c>
      <c r="S1527" s="104">
        <f t="shared" si="73"/>
        <v>0</v>
      </c>
      <c r="T1527" s="104">
        <f t="shared" si="75"/>
        <v>0</v>
      </c>
    </row>
    <row r="1528" spans="1:20">
      <c r="A1528" s="101"/>
      <c r="B1528" s="101"/>
      <c r="C1528" s="101"/>
      <c r="D1528" s="101"/>
      <c r="E1528" s="101"/>
      <c r="F1528" s="102"/>
      <c r="G1528" s="101"/>
      <c r="H1528" s="102"/>
      <c r="I1528" s="101"/>
      <c r="J1528" s="101"/>
      <c r="K1528" s="103"/>
      <c r="L1528" s="103"/>
      <c r="M1528" s="103"/>
      <c r="N1528" s="103"/>
      <c r="O1528" s="103"/>
      <c r="P1528" s="98"/>
      <c r="Q1528" s="99"/>
      <c r="R1528" s="105">
        <f t="shared" si="74"/>
        <v>0</v>
      </c>
      <c r="S1528" s="108">
        <f t="shared" si="73"/>
        <v>0</v>
      </c>
      <c r="T1528" s="105">
        <f t="shared" si="75"/>
        <v>0</v>
      </c>
    </row>
    <row r="1529" spans="1:20">
      <c r="A1529" s="101"/>
      <c r="B1529" s="101"/>
      <c r="C1529" s="101"/>
      <c r="D1529" s="101"/>
      <c r="E1529" s="101"/>
      <c r="F1529" s="102"/>
      <c r="G1529" s="101"/>
      <c r="H1529" s="102"/>
      <c r="I1529" s="101"/>
      <c r="J1529" s="101"/>
      <c r="K1529" s="103"/>
      <c r="L1529" s="103"/>
      <c r="M1529" s="103"/>
      <c r="N1529" s="103"/>
      <c r="O1529" s="103"/>
      <c r="P1529" s="98"/>
      <c r="Q1529" s="99"/>
      <c r="R1529" s="104">
        <f t="shared" si="74"/>
        <v>0</v>
      </c>
      <c r="S1529" s="104">
        <f t="shared" si="73"/>
        <v>0</v>
      </c>
      <c r="T1529" s="104">
        <f t="shared" si="75"/>
        <v>0</v>
      </c>
    </row>
    <row r="1530" spans="1:20">
      <c r="A1530" s="101"/>
      <c r="B1530" s="101"/>
      <c r="C1530" s="101"/>
      <c r="D1530" s="101"/>
      <c r="E1530" s="101"/>
      <c r="F1530" s="102"/>
      <c r="G1530" s="101"/>
      <c r="H1530" s="102"/>
      <c r="I1530" s="101"/>
      <c r="J1530" s="101"/>
      <c r="K1530" s="103"/>
      <c r="L1530" s="103"/>
      <c r="M1530" s="103"/>
      <c r="N1530" s="103"/>
      <c r="O1530" s="103"/>
      <c r="P1530" s="98"/>
      <c r="Q1530" s="99"/>
      <c r="R1530" s="105">
        <f t="shared" si="74"/>
        <v>0</v>
      </c>
      <c r="S1530" s="108">
        <f t="shared" si="73"/>
        <v>0</v>
      </c>
      <c r="T1530" s="105">
        <f t="shared" si="75"/>
        <v>0</v>
      </c>
    </row>
    <row r="1531" spans="1:20">
      <c r="A1531" s="101"/>
      <c r="B1531" s="101"/>
      <c r="C1531" s="101"/>
      <c r="D1531" s="101"/>
      <c r="E1531" s="101"/>
      <c r="F1531" s="102"/>
      <c r="G1531" s="101"/>
      <c r="H1531" s="102"/>
      <c r="I1531" s="101"/>
      <c r="J1531" s="101"/>
      <c r="K1531" s="103"/>
      <c r="L1531" s="103"/>
      <c r="M1531" s="103"/>
      <c r="N1531" s="103"/>
      <c r="O1531" s="103"/>
      <c r="P1531" s="98"/>
      <c r="Q1531" s="99"/>
      <c r="R1531" s="104">
        <f t="shared" si="74"/>
        <v>0</v>
      </c>
      <c r="S1531" s="104">
        <f t="shared" si="73"/>
        <v>0</v>
      </c>
      <c r="T1531" s="104">
        <f t="shared" si="75"/>
        <v>0</v>
      </c>
    </row>
    <row r="1532" spans="1:20">
      <c r="A1532" s="101"/>
      <c r="B1532" s="101"/>
      <c r="C1532" s="101"/>
      <c r="D1532" s="101"/>
      <c r="E1532" s="101"/>
      <c r="F1532" s="102"/>
      <c r="G1532" s="101"/>
      <c r="H1532" s="102"/>
      <c r="I1532" s="101"/>
      <c r="J1532" s="101"/>
      <c r="K1532" s="103"/>
      <c r="L1532" s="103"/>
      <c r="M1532" s="103"/>
      <c r="N1532" s="103"/>
      <c r="O1532" s="103"/>
      <c r="P1532" s="98"/>
      <c r="Q1532" s="99"/>
      <c r="R1532" s="105">
        <f t="shared" si="74"/>
        <v>0</v>
      </c>
      <c r="S1532" s="108">
        <f t="shared" si="73"/>
        <v>0</v>
      </c>
      <c r="T1532" s="105">
        <f t="shared" si="75"/>
        <v>0</v>
      </c>
    </row>
    <row r="1533" spans="1:20">
      <c r="A1533" s="101"/>
      <c r="B1533" s="101"/>
      <c r="C1533" s="101"/>
      <c r="D1533" s="101"/>
      <c r="E1533" s="101"/>
      <c r="F1533" s="102"/>
      <c r="G1533" s="101"/>
      <c r="H1533" s="102"/>
      <c r="I1533" s="101"/>
      <c r="J1533" s="101"/>
      <c r="K1533" s="103"/>
      <c r="L1533" s="103"/>
      <c r="M1533" s="103"/>
      <c r="N1533" s="103"/>
      <c r="O1533" s="103"/>
      <c r="P1533" s="98"/>
      <c r="Q1533" s="99"/>
      <c r="R1533" s="104">
        <f t="shared" si="74"/>
        <v>0</v>
      </c>
      <c r="S1533" s="104">
        <f t="shared" si="73"/>
        <v>0</v>
      </c>
      <c r="T1533" s="104">
        <f t="shared" si="75"/>
        <v>0</v>
      </c>
    </row>
    <row r="1534" spans="1:20">
      <c r="A1534" s="101"/>
      <c r="B1534" s="101"/>
      <c r="C1534" s="101"/>
      <c r="D1534" s="101"/>
      <c r="E1534" s="101"/>
      <c r="F1534" s="102"/>
      <c r="G1534" s="101"/>
      <c r="H1534" s="102"/>
      <c r="I1534" s="101"/>
      <c r="J1534" s="101"/>
      <c r="K1534" s="103"/>
      <c r="L1534" s="103"/>
      <c r="M1534" s="103"/>
      <c r="N1534" s="103"/>
      <c r="O1534" s="103"/>
      <c r="P1534" s="98"/>
      <c r="Q1534" s="99"/>
      <c r="R1534" s="105">
        <f t="shared" si="74"/>
        <v>0</v>
      </c>
      <c r="S1534" s="108">
        <f t="shared" si="73"/>
        <v>0</v>
      </c>
      <c r="T1534" s="105">
        <f t="shared" si="75"/>
        <v>0</v>
      </c>
    </row>
    <row r="1535" spans="1:20">
      <c r="A1535" s="101"/>
      <c r="B1535" s="101"/>
      <c r="C1535" s="101"/>
      <c r="D1535" s="101"/>
      <c r="E1535" s="101"/>
      <c r="F1535" s="102"/>
      <c r="G1535" s="101"/>
      <c r="H1535" s="102"/>
      <c r="I1535" s="101"/>
      <c r="J1535" s="101"/>
      <c r="K1535" s="103"/>
      <c r="L1535" s="103"/>
      <c r="M1535" s="103"/>
      <c r="N1535" s="103"/>
      <c r="O1535" s="103"/>
      <c r="P1535" s="98"/>
      <c r="Q1535" s="99"/>
      <c r="R1535" s="104">
        <f t="shared" si="74"/>
        <v>0</v>
      </c>
      <c r="S1535" s="104">
        <f t="shared" si="73"/>
        <v>0</v>
      </c>
      <c r="T1535" s="104">
        <f t="shared" si="75"/>
        <v>0</v>
      </c>
    </row>
    <row r="1536" spans="1:20">
      <c r="A1536" s="101"/>
      <c r="B1536" s="101"/>
      <c r="C1536" s="101"/>
      <c r="D1536" s="101"/>
      <c r="E1536" s="101"/>
      <c r="F1536" s="102"/>
      <c r="G1536" s="101"/>
      <c r="H1536" s="102"/>
      <c r="I1536" s="101"/>
      <c r="J1536" s="101"/>
      <c r="K1536" s="103"/>
      <c r="L1536" s="103"/>
      <c r="M1536" s="103"/>
      <c r="N1536" s="103"/>
      <c r="O1536" s="103"/>
      <c r="P1536" s="98"/>
      <c r="Q1536" s="99"/>
      <c r="R1536" s="105">
        <f t="shared" si="74"/>
        <v>0</v>
      </c>
      <c r="S1536" s="108">
        <f t="shared" si="73"/>
        <v>0</v>
      </c>
      <c r="T1536" s="105">
        <f t="shared" si="75"/>
        <v>0</v>
      </c>
    </row>
    <row r="1537" spans="1:20">
      <c r="A1537" s="101"/>
      <c r="B1537" s="101"/>
      <c r="C1537" s="101"/>
      <c r="D1537" s="101"/>
      <c r="E1537" s="101"/>
      <c r="F1537" s="102"/>
      <c r="G1537" s="101"/>
      <c r="H1537" s="102"/>
      <c r="I1537" s="101"/>
      <c r="J1537" s="101"/>
      <c r="K1537" s="103"/>
      <c r="L1537" s="103"/>
      <c r="M1537" s="103"/>
      <c r="N1537" s="103"/>
      <c r="O1537" s="103"/>
      <c r="P1537" s="98"/>
      <c r="Q1537" s="99"/>
      <c r="R1537" s="104">
        <f t="shared" si="74"/>
        <v>0</v>
      </c>
      <c r="S1537" s="104">
        <f t="shared" si="73"/>
        <v>0</v>
      </c>
      <c r="T1537" s="104">
        <f t="shared" si="75"/>
        <v>0</v>
      </c>
    </row>
    <row r="1538" spans="1:20">
      <c r="A1538" s="101"/>
      <c r="B1538" s="101"/>
      <c r="C1538" s="101"/>
      <c r="D1538" s="101"/>
      <c r="E1538" s="101"/>
      <c r="F1538" s="102"/>
      <c r="G1538" s="101"/>
      <c r="H1538" s="102"/>
      <c r="I1538" s="101"/>
      <c r="J1538" s="101"/>
      <c r="K1538" s="103"/>
      <c r="L1538" s="103"/>
      <c r="M1538" s="103"/>
      <c r="N1538" s="103"/>
      <c r="O1538" s="103"/>
      <c r="P1538" s="98"/>
      <c r="Q1538" s="99"/>
      <c r="R1538" s="105">
        <f t="shared" si="74"/>
        <v>0</v>
      </c>
      <c r="S1538" s="108">
        <f t="shared" si="73"/>
        <v>0</v>
      </c>
      <c r="T1538" s="105">
        <f t="shared" si="75"/>
        <v>0</v>
      </c>
    </row>
    <row r="1539" spans="1:20">
      <c r="A1539" s="101"/>
      <c r="B1539" s="101"/>
      <c r="C1539" s="101"/>
      <c r="D1539" s="101"/>
      <c r="E1539" s="101"/>
      <c r="F1539" s="102"/>
      <c r="G1539" s="101"/>
      <c r="H1539" s="102"/>
      <c r="I1539" s="101"/>
      <c r="J1539" s="101"/>
      <c r="K1539" s="103"/>
      <c r="L1539" s="103"/>
      <c r="M1539" s="103"/>
      <c r="N1539" s="103"/>
      <c r="O1539" s="103"/>
      <c r="P1539" s="98"/>
      <c r="Q1539" s="99"/>
      <c r="R1539" s="104">
        <f t="shared" si="74"/>
        <v>0</v>
      </c>
      <c r="S1539" s="104">
        <f t="shared" si="73"/>
        <v>0</v>
      </c>
      <c r="T1539" s="104">
        <f t="shared" si="75"/>
        <v>0</v>
      </c>
    </row>
    <row r="1540" spans="1:20">
      <c r="A1540" s="101"/>
      <c r="B1540" s="101"/>
      <c r="C1540" s="101"/>
      <c r="D1540" s="101"/>
      <c r="E1540" s="101"/>
      <c r="F1540" s="102"/>
      <c r="G1540" s="101"/>
      <c r="H1540" s="102"/>
      <c r="I1540" s="101"/>
      <c r="J1540" s="101"/>
      <c r="K1540" s="103"/>
      <c r="L1540" s="103"/>
      <c r="M1540" s="103"/>
      <c r="N1540" s="103"/>
      <c r="O1540" s="103"/>
      <c r="P1540" s="98"/>
      <c r="Q1540" s="99"/>
      <c r="R1540" s="105">
        <f t="shared" si="74"/>
        <v>0</v>
      </c>
      <c r="S1540" s="108">
        <f t="shared" ref="S1540:S1603" si="76">IF(P1540="Abono",K1540+L1540+M1540-N1540-O1540,0)</f>
        <v>0</v>
      </c>
      <c r="T1540" s="105">
        <f t="shared" si="75"/>
        <v>0</v>
      </c>
    </row>
    <row r="1541" spans="1:20">
      <c r="A1541" s="101"/>
      <c r="B1541" s="101"/>
      <c r="C1541" s="101"/>
      <c r="D1541" s="101"/>
      <c r="E1541" s="101"/>
      <c r="F1541" s="102"/>
      <c r="G1541" s="101"/>
      <c r="H1541" s="102"/>
      <c r="I1541" s="101"/>
      <c r="J1541" s="101"/>
      <c r="K1541" s="103"/>
      <c r="L1541" s="103"/>
      <c r="M1541" s="103"/>
      <c r="N1541" s="103"/>
      <c r="O1541" s="103"/>
      <c r="P1541" s="98"/>
      <c r="Q1541" s="99"/>
      <c r="R1541" s="104">
        <f t="shared" ref="R1541:R1604" si="77">IF(P1541="Cargo",K1541+L1541-M1541-N1541+O1541,0)</f>
        <v>0</v>
      </c>
      <c r="S1541" s="104">
        <f t="shared" si="76"/>
        <v>0</v>
      </c>
      <c r="T1541" s="104">
        <f t="shared" ref="T1541:T1604" si="78">IF(Q1541="OK",+T1540+R1541-S1541,T1540)</f>
        <v>0</v>
      </c>
    </row>
    <row r="1542" spans="1:20">
      <c r="A1542" s="101"/>
      <c r="B1542" s="101"/>
      <c r="C1542" s="101"/>
      <c r="D1542" s="101"/>
      <c r="E1542" s="101"/>
      <c r="F1542" s="102"/>
      <c r="G1542" s="101"/>
      <c r="H1542" s="102"/>
      <c r="I1542" s="101"/>
      <c r="J1542" s="101"/>
      <c r="K1542" s="103"/>
      <c r="L1542" s="103"/>
      <c r="M1542" s="103"/>
      <c r="N1542" s="103"/>
      <c r="O1542" s="103"/>
      <c r="P1542" s="98"/>
      <c r="Q1542" s="99"/>
      <c r="R1542" s="105">
        <f t="shared" si="77"/>
        <v>0</v>
      </c>
      <c r="S1542" s="108">
        <f t="shared" si="76"/>
        <v>0</v>
      </c>
      <c r="T1542" s="105">
        <f t="shared" si="78"/>
        <v>0</v>
      </c>
    </row>
    <row r="1543" spans="1:20">
      <c r="A1543" s="101"/>
      <c r="B1543" s="101"/>
      <c r="C1543" s="101"/>
      <c r="D1543" s="101"/>
      <c r="E1543" s="101"/>
      <c r="F1543" s="102"/>
      <c r="G1543" s="101"/>
      <c r="H1543" s="102"/>
      <c r="I1543" s="101"/>
      <c r="J1543" s="101"/>
      <c r="K1543" s="103"/>
      <c r="L1543" s="103"/>
      <c r="M1543" s="103"/>
      <c r="N1543" s="103"/>
      <c r="O1543" s="103"/>
      <c r="P1543" s="98"/>
      <c r="Q1543" s="99"/>
      <c r="R1543" s="104">
        <f t="shared" si="77"/>
        <v>0</v>
      </c>
      <c r="S1543" s="104">
        <f t="shared" si="76"/>
        <v>0</v>
      </c>
      <c r="T1543" s="104">
        <f t="shared" si="78"/>
        <v>0</v>
      </c>
    </row>
    <row r="1544" spans="1:20">
      <c r="A1544" s="101"/>
      <c r="B1544" s="101"/>
      <c r="C1544" s="101"/>
      <c r="D1544" s="101"/>
      <c r="E1544" s="101"/>
      <c r="F1544" s="102"/>
      <c r="G1544" s="101"/>
      <c r="H1544" s="102"/>
      <c r="I1544" s="101"/>
      <c r="J1544" s="101"/>
      <c r="K1544" s="103"/>
      <c r="L1544" s="103"/>
      <c r="M1544" s="103"/>
      <c r="N1544" s="103"/>
      <c r="O1544" s="103"/>
      <c r="P1544" s="98"/>
      <c r="Q1544" s="99"/>
      <c r="R1544" s="105">
        <f t="shared" si="77"/>
        <v>0</v>
      </c>
      <c r="S1544" s="108">
        <f t="shared" si="76"/>
        <v>0</v>
      </c>
      <c r="T1544" s="105">
        <f t="shared" si="78"/>
        <v>0</v>
      </c>
    </row>
    <row r="1545" spans="1:20">
      <c r="A1545" s="101"/>
      <c r="B1545" s="101"/>
      <c r="C1545" s="101"/>
      <c r="D1545" s="101"/>
      <c r="E1545" s="101"/>
      <c r="F1545" s="102"/>
      <c r="G1545" s="101"/>
      <c r="H1545" s="102"/>
      <c r="I1545" s="101"/>
      <c r="J1545" s="101"/>
      <c r="K1545" s="103"/>
      <c r="L1545" s="103"/>
      <c r="M1545" s="103"/>
      <c r="N1545" s="103"/>
      <c r="O1545" s="103"/>
      <c r="P1545" s="98"/>
      <c r="Q1545" s="99"/>
      <c r="R1545" s="104">
        <f t="shared" si="77"/>
        <v>0</v>
      </c>
      <c r="S1545" s="104">
        <f t="shared" si="76"/>
        <v>0</v>
      </c>
      <c r="T1545" s="104">
        <f t="shared" si="78"/>
        <v>0</v>
      </c>
    </row>
    <row r="1546" spans="1:20">
      <c r="A1546" s="101"/>
      <c r="B1546" s="101"/>
      <c r="C1546" s="101"/>
      <c r="D1546" s="101"/>
      <c r="E1546" s="101"/>
      <c r="F1546" s="102"/>
      <c r="G1546" s="101"/>
      <c r="H1546" s="102"/>
      <c r="I1546" s="101"/>
      <c r="J1546" s="101"/>
      <c r="K1546" s="103"/>
      <c r="L1546" s="103"/>
      <c r="M1546" s="103"/>
      <c r="N1546" s="103"/>
      <c r="O1546" s="103"/>
      <c r="P1546" s="98"/>
      <c r="Q1546" s="99"/>
      <c r="R1546" s="105">
        <f t="shared" si="77"/>
        <v>0</v>
      </c>
      <c r="S1546" s="108">
        <f t="shared" si="76"/>
        <v>0</v>
      </c>
      <c r="T1546" s="105">
        <f t="shared" si="78"/>
        <v>0</v>
      </c>
    </row>
    <row r="1547" spans="1:20">
      <c r="A1547" s="101"/>
      <c r="B1547" s="101"/>
      <c r="C1547" s="101"/>
      <c r="D1547" s="101"/>
      <c r="E1547" s="101"/>
      <c r="F1547" s="102"/>
      <c r="G1547" s="101"/>
      <c r="H1547" s="102"/>
      <c r="I1547" s="101"/>
      <c r="J1547" s="101"/>
      <c r="K1547" s="103"/>
      <c r="L1547" s="103"/>
      <c r="M1547" s="103"/>
      <c r="N1547" s="103"/>
      <c r="O1547" s="103"/>
      <c r="P1547" s="98"/>
      <c r="Q1547" s="99"/>
      <c r="R1547" s="104">
        <f t="shared" si="77"/>
        <v>0</v>
      </c>
      <c r="S1547" s="104">
        <f t="shared" si="76"/>
        <v>0</v>
      </c>
      <c r="T1547" s="104">
        <f t="shared" si="78"/>
        <v>0</v>
      </c>
    </row>
    <row r="1548" spans="1:20">
      <c r="A1548" s="101"/>
      <c r="B1548" s="101"/>
      <c r="C1548" s="101"/>
      <c r="D1548" s="101"/>
      <c r="E1548" s="101"/>
      <c r="F1548" s="102"/>
      <c r="G1548" s="101"/>
      <c r="H1548" s="102"/>
      <c r="I1548" s="101"/>
      <c r="J1548" s="101"/>
      <c r="K1548" s="103"/>
      <c r="L1548" s="103"/>
      <c r="M1548" s="103"/>
      <c r="N1548" s="103"/>
      <c r="O1548" s="103"/>
      <c r="P1548" s="98"/>
      <c r="Q1548" s="99"/>
      <c r="R1548" s="105">
        <f t="shared" si="77"/>
        <v>0</v>
      </c>
      <c r="S1548" s="108">
        <f t="shared" si="76"/>
        <v>0</v>
      </c>
      <c r="T1548" s="105">
        <f t="shared" si="78"/>
        <v>0</v>
      </c>
    </row>
    <row r="1549" spans="1:20">
      <c r="A1549" s="101"/>
      <c r="B1549" s="101"/>
      <c r="C1549" s="101"/>
      <c r="D1549" s="101"/>
      <c r="E1549" s="101"/>
      <c r="F1549" s="102"/>
      <c r="G1549" s="101"/>
      <c r="H1549" s="102"/>
      <c r="I1549" s="101"/>
      <c r="J1549" s="101"/>
      <c r="K1549" s="103"/>
      <c r="L1549" s="103"/>
      <c r="M1549" s="103"/>
      <c r="N1549" s="103"/>
      <c r="O1549" s="103"/>
      <c r="P1549" s="98"/>
      <c r="Q1549" s="99"/>
      <c r="R1549" s="104">
        <f t="shared" si="77"/>
        <v>0</v>
      </c>
      <c r="S1549" s="104">
        <f t="shared" si="76"/>
        <v>0</v>
      </c>
      <c r="T1549" s="104">
        <f t="shared" si="78"/>
        <v>0</v>
      </c>
    </row>
    <row r="1550" spans="1:20">
      <c r="A1550" s="101"/>
      <c r="B1550" s="101"/>
      <c r="C1550" s="101"/>
      <c r="D1550" s="101"/>
      <c r="E1550" s="101"/>
      <c r="F1550" s="102"/>
      <c r="G1550" s="101"/>
      <c r="H1550" s="102"/>
      <c r="I1550" s="101"/>
      <c r="J1550" s="101"/>
      <c r="K1550" s="103"/>
      <c r="L1550" s="103"/>
      <c r="M1550" s="103"/>
      <c r="N1550" s="103"/>
      <c r="O1550" s="103"/>
      <c r="P1550" s="98"/>
      <c r="Q1550" s="99"/>
      <c r="R1550" s="105">
        <f t="shared" si="77"/>
        <v>0</v>
      </c>
      <c r="S1550" s="108">
        <f t="shared" si="76"/>
        <v>0</v>
      </c>
      <c r="T1550" s="105">
        <f t="shared" si="78"/>
        <v>0</v>
      </c>
    </row>
    <row r="1551" spans="1:20">
      <c r="A1551" s="101"/>
      <c r="B1551" s="101"/>
      <c r="C1551" s="101"/>
      <c r="D1551" s="101"/>
      <c r="E1551" s="101"/>
      <c r="F1551" s="102"/>
      <c r="G1551" s="101"/>
      <c r="H1551" s="102"/>
      <c r="I1551" s="101"/>
      <c r="J1551" s="101"/>
      <c r="K1551" s="103"/>
      <c r="L1551" s="103"/>
      <c r="M1551" s="103"/>
      <c r="N1551" s="103"/>
      <c r="O1551" s="103"/>
      <c r="P1551" s="98"/>
      <c r="Q1551" s="99"/>
      <c r="R1551" s="104">
        <f t="shared" si="77"/>
        <v>0</v>
      </c>
      <c r="S1551" s="104">
        <f t="shared" si="76"/>
        <v>0</v>
      </c>
      <c r="T1551" s="104">
        <f t="shared" si="78"/>
        <v>0</v>
      </c>
    </row>
    <row r="1552" spans="1:20">
      <c r="A1552" s="101"/>
      <c r="B1552" s="101"/>
      <c r="C1552" s="101"/>
      <c r="D1552" s="101"/>
      <c r="E1552" s="101"/>
      <c r="F1552" s="102"/>
      <c r="G1552" s="101"/>
      <c r="H1552" s="102"/>
      <c r="I1552" s="101"/>
      <c r="J1552" s="101"/>
      <c r="K1552" s="103"/>
      <c r="L1552" s="103"/>
      <c r="M1552" s="103"/>
      <c r="N1552" s="103"/>
      <c r="O1552" s="103"/>
      <c r="P1552" s="98"/>
      <c r="Q1552" s="99"/>
      <c r="R1552" s="105">
        <f t="shared" si="77"/>
        <v>0</v>
      </c>
      <c r="S1552" s="108">
        <f t="shared" si="76"/>
        <v>0</v>
      </c>
      <c r="T1552" s="105">
        <f t="shared" si="78"/>
        <v>0</v>
      </c>
    </row>
    <row r="1553" spans="1:20">
      <c r="A1553" s="101"/>
      <c r="B1553" s="101"/>
      <c r="C1553" s="101"/>
      <c r="D1553" s="101"/>
      <c r="E1553" s="101"/>
      <c r="F1553" s="102"/>
      <c r="G1553" s="101"/>
      <c r="H1553" s="102"/>
      <c r="I1553" s="101"/>
      <c r="J1553" s="101"/>
      <c r="K1553" s="103"/>
      <c r="L1553" s="103"/>
      <c r="M1553" s="103"/>
      <c r="N1553" s="103"/>
      <c r="O1553" s="103"/>
      <c r="P1553" s="98"/>
      <c r="Q1553" s="99"/>
      <c r="R1553" s="104">
        <f t="shared" si="77"/>
        <v>0</v>
      </c>
      <c r="S1553" s="104">
        <f t="shared" si="76"/>
        <v>0</v>
      </c>
      <c r="T1553" s="104">
        <f t="shared" si="78"/>
        <v>0</v>
      </c>
    </row>
    <row r="1554" spans="1:20">
      <c r="A1554" s="101"/>
      <c r="B1554" s="101"/>
      <c r="C1554" s="101"/>
      <c r="D1554" s="101"/>
      <c r="E1554" s="101"/>
      <c r="F1554" s="102"/>
      <c r="G1554" s="101"/>
      <c r="H1554" s="102"/>
      <c r="I1554" s="101"/>
      <c r="J1554" s="101"/>
      <c r="K1554" s="103"/>
      <c r="L1554" s="103"/>
      <c r="M1554" s="103"/>
      <c r="N1554" s="103"/>
      <c r="O1554" s="103"/>
      <c r="P1554" s="98"/>
      <c r="Q1554" s="99"/>
      <c r="R1554" s="105">
        <f t="shared" si="77"/>
        <v>0</v>
      </c>
      <c r="S1554" s="108">
        <f t="shared" si="76"/>
        <v>0</v>
      </c>
      <c r="T1554" s="105">
        <f t="shared" si="78"/>
        <v>0</v>
      </c>
    </row>
    <row r="1555" spans="1:20">
      <c r="A1555" s="101"/>
      <c r="B1555" s="101"/>
      <c r="C1555" s="101"/>
      <c r="D1555" s="101"/>
      <c r="E1555" s="101"/>
      <c r="F1555" s="102"/>
      <c r="G1555" s="101"/>
      <c r="H1555" s="102"/>
      <c r="I1555" s="101"/>
      <c r="J1555" s="101"/>
      <c r="K1555" s="103"/>
      <c r="L1555" s="103"/>
      <c r="M1555" s="103"/>
      <c r="N1555" s="103"/>
      <c r="O1555" s="103"/>
      <c r="P1555" s="98"/>
      <c r="Q1555" s="99"/>
      <c r="R1555" s="104">
        <f t="shared" si="77"/>
        <v>0</v>
      </c>
      <c r="S1555" s="104">
        <f t="shared" si="76"/>
        <v>0</v>
      </c>
      <c r="T1555" s="104">
        <f t="shared" si="78"/>
        <v>0</v>
      </c>
    </row>
    <row r="1556" spans="1:20">
      <c r="A1556" s="101"/>
      <c r="B1556" s="101"/>
      <c r="C1556" s="101"/>
      <c r="D1556" s="101"/>
      <c r="E1556" s="101"/>
      <c r="F1556" s="102"/>
      <c r="G1556" s="101"/>
      <c r="H1556" s="102"/>
      <c r="I1556" s="101"/>
      <c r="J1556" s="101"/>
      <c r="K1556" s="103"/>
      <c r="L1556" s="103"/>
      <c r="M1556" s="103"/>
      <c r="N1556" s="103"/>
      <c r="O1556" s="103"/>
      <c r="P1556" s="98"/>
      <c r="Q1556" s="99"/>
      <c r="R1556" s="105">
        <f t="shared" si="77"/>
        <v>0</v>
      </c>
      <c r="S1556" s="108">
        <f t="shared" si="76"/>
        <v>0</v>
      </c>
      <c r="T1556" s="105">
        <f t="shared" si="78"/>
        <v>0</v>
      </c>
    </row>
    <row r="1557" spans="1:20">
      <c r="A1557" s="101"/>
      <c r="B1557" s="101"/>
      <c r="C1557" s="101"/>
      <c r="D1557" s="101"/>
      <c r="E1557" s="101"/>
      <c r="F1557" s="102"/>
      <c r="G1557" s="101"/>
      <c r="H1557" s="102"/>
      <c r="I1557" s="101"/>
      <c r="J1557" s="101"/>
      <c r="K1557" s="103"/>
      <c r="L1557" s="103"/>
      <c r="M1557" s="103"/>
      <c r="N1557" s="103"/>
      <c r="O1557" s="103"/>
      <c r="P1557" s="98"/>
      <c r="Q1557" s="99"/>
      <c r="R1557" s="104">
        <f t="shared" si="77"/>
        <v>0</v>
      </c>
      <c r="S1557" s="104">
        <f t="shared" si="76"/>
        <v>0</v>
      </c>
      <c r="T1557" s="104">
        <f t="shared" si="78"/>
        <v>0</v>
      </c>
    </row>
    <row r="1558" spans="1:20">
      <c r="A1558" s="101"/>
      <c r="B1558" s="101"/>
      <c r="C1558" s="101"/>
      <c r="D1558" s="101"/>
      <c r="E1558" s="101"/>
      <c r="F1558" s="102"/>
      <c r="G1558" s="101"/>
      <c r="H1558" s="102"/>
      <c r="I1558" s="101"/>
      <c r="J1558" s="101"/>
      <c r="K1558" s="103"/>
      <c r="L1558" s="103"/>
      <c r="M1558" s="103"/>
      <c r="N1558" s="103"/>
      <c r="O1558" s="103"/>
      <c r="P1558" s="98"/>
      <c r="Q1558" s="99"/>
      <c r="R1558" s="105">
        <f t="shared" si="77"/>
        <v>0</v>
      </c>
      <c r="S1558" s="108">
        <f t="shared" si="76"/>
        <v>0</v>
      </c>
      <c r="T1558" s="105">
        <f t="shared" si="78"/>
        <v>0</v>
      </c>
    </row>
    <row r="1559" spans="1:20">
      <c r="A1559" s="101"/>
      <c r="B1559" s="101"/>
      <c r="C1559" s="101"/>
      <c r="D1559" s="101"/>
      <c r="E1559" s="101"/>
      <c r="F1559" s="102"/>
      <c r="G1559" s="101"/>
      <c r="H1559" s="102"/>
      <c r="I1559" s="101"/>
      <c r="J1559" s="101"/>
      <c r="K1559" s="103"/>
      <c r="L1559" s="103"/>
      <c r="M1559" s="103"/>
      <c r="N1559" s="103"/>
      <c r="O1559" s="103"/>
      <c r="P1559" s="98"/>
      <c r="Q1559" s="99"/>
      <c r="R1559" s="104">
        <f t="shared" si="77"/>
        <v>0</v>
      </c>
      <c r="S1559" s="104">
        <f t="shared" si="76"/>
        <v>0</v>
      </c>
      <c r="T1559" s="104">
        <f t="shared" si="78"/>
        <v>0</v>
      </c>
    </row>
    <row r="1560" spans="1:20">
      <c r="A1560" s="101"/>
      <c r="B1560" s="101"/>
      <c r="C1560" s="101"/>
      <c r="D1560" s="101"/>
      <c r="E1560" s="101"/>
      <c r="F1560" s="102"/>
      <c r="G1560" s="101"/>
      <c r="H1560" s="102"/>
      <c r="I1560" s="101"/>
      <c r="J1560" s="101"/>
      <c r="K1560" s="103"/>
      <c r="L1560" s="103"/>
      <c r="M1560" s="103"/>
      <c r="N1560" s="103"/>
      <c r="O1560" s="103"/>
      <c r="P1560" s="98"/>
      <c r="Q1560" s="99"/>
      <c r="R1560" s="105">
        <f t="shared" si="77"/>
        <v>0</v>
      </c>
      <c r="S1560" s="108">
        <f t="shared" si="76"/>
        <v>0</v>
      </c>
      <c r="T1560" s="105">
        <f t="shared" si="78"/>
        <v>0</v>
      </c>
    </row>
    <row r="1561" spans="1:20">
      <c r="A1561" s="101"/>
      <c r="B1561" s="101"/>
      <c r="C1561" s="101"/>
      <c r="D1561" s="101"/>
      <c r="E1561" s="101"/>
      <c r="F1561" s="102"/>
      <c r="G1561" s="101"/>
      <c r="H1561" s="102"/>
      <c r="I1561" s="101"/>
      <c r="J1561" s="101"/>
      <c r="K1561" s="103"/>
      <c r="L1561" s="103"/>
      <c r="M1561" s="103"/>
      <c r="N1561" s="103"/>
      <c r="O1561" s="103"/>
      <c r="P1561" s="98"/>
      <c r="Q1561" s="99"/>
      <c r="R1561" s="104">
        <f t="shared" si="77"/>
        <v>0</v>
      </c>
      <c r="S1561" s="104">
        <f t="shared" si="76"/>
        <v>0</v>
      </c>
      <c r="T1561" s="104">
        <f t="shared" si="78"/>
        <v>0</v>
      </c>
    </row>
    <row r="1562" spans="1:20">
      <c r="A1562" s="101"/>
      <c r="B1562" s="101"/>
      <c r="C1562" s="101"/>
      <c r="D1562" s="101"/>
      <c r="E1562" s="101"/>
      <c r="F1562" s="102"/>
      <c r="G1562" s="101"/>
      <c r="H1562" s="102"/>
      <c r="I1562" s="101"/>
      <c r="J1562" s="101"/>
      <c r="K1562" s="103"/>
      <c r="L1562" s="103"/>
      <c r="M1562" s="103"/>
      <c r="N1562" s="103"/>
      <c r="O1562" s="103"/>
      <c r="P1562" s="98"/>
      <c r="Q1562" s="99"/>
      <c r="R1562" s="105">
        <f t="shared" si="77"/>
        <v>0</v>
      </c>
      <c r="S1562" s="108">
        <f t="shared" si="76"/>
        <v>0</v>
      </c>
      <c r="T1562" s="105">
        <f t="shared" si="78"/>
        <v>0</v>
      </c>
    </row>
    <row r="1563" spans="1:20">
      <c r="A1563" s="101"/>
      <c r="B1563" s="101"/>
      <c r="C1563" s="101"/>
      <c r="D1563" s="101"/>
      <c r="E1563" s="101"/>
      <c r="F1563" s="102"/>
      <c r="G1563" s="101"/>
      <c r="H1563" s="102"/>
      <c r="I1563" s="101"/>
      <c r="J1563" s="101"/>
      <c r="K1563" s="103"/>
      <c r="L1563" s="103"/>
      <c r="M1563" s="103"/>
      <c r="N1563" s="103"/>
      <c r="O1563" s="103"/>
      <c r="P1563" s="98"/>
      <c r="Q1563" s="99"/>
      <c r="R1563" s="104">
        <f t="shared" si="77"/>
        <v>0</v>
      </c>
      <c r="S1563" s="104">
        <f t="shared" si="76"/>
        <v>0</v>
      </c>
      <c r="T1563" s="104">
        <f t="shared" si="78"/>
        <v>0</v>
      </c>
    </row>
    <row r="1564" spans="1:20">
      <c r="A1564" s="101"/>
      <c r="B1564" s="101"/>
      <c r="C1564" s="101"/>
      <c r="D1564" s="101"/>
      <c r="E1564" s="101"/>
      <c r="F1564" s="102"/>
      <c r="G1564" s="101"/>
      <c r="H1564" s="102"/>
      <c r="I1564" s="101"/>
      <c r="J1564" s="101"/>
      <c r="K1564" s="103"/>
      <c r="L1564" s="103"/>
      <c r="M1564" s="103"/>
      <c r="N1564" s="103"/>
      <c r="O1564" s="103"/>
      <c r="P1564" s="98"/>
      <c r="Q1564" s="99"/>
      <c r="R1564" s="105">
        <f t="shared" si="77"/>
        <v>0</v>
      </c>
      <c r="S1564" s="108">
        <f t="shared" si="76"/>
        <v>0</v>
      </c>
      <c r="T1564" s="105">
        <f t="shared" si="78"/>
        <v>0</v>
      </c>
    </row>
    <row r="1565" spans="1:20">
      <c r="A1565" s="101"/>
      <c r="B1565" s="101"/>
      <c r="C1565" s="101"/>
      <c r="D1565" s="101"/>
      <c r="E1565" s="101"/>
      <c r="F1565" s="102"/>
      <c r="G1565" s="101"/>
      <c r="H1565" s="102"/>
      <c r="I1565" s="101"/>
      <c r="J1565" s="101"/>
      <c r="K1565" s="103"/>
      <c r="L1565" s="103"/>
      <c r="M1565" s="103"/>
      <c r="N1565" s="103"/>
      <c r="O1565" s="103"/>
      <c r="P1565" s="98"/>
      <c r="Q1565" s="99"/>
      <c r="R1565" s="104">
        <f t="shared" si="77"/>
        <v>0</v>
      </c>
      <c r="S1565" s="104">
        <f t="shared" si="76"/>
        <v>0</v>
      </c>
      <c r="T1565" s="104">
        <f t="shared" si="78"/>
        <v>0</v>
      </c>
    </row>
    <row r="1566" spans="1:20">
      <c r="A1566" s="101"/>
      <c r="B1566" s="101"/>
      <c r="C1566" s="101"/>
      <c r="D1566" s="101"/>
      <c r="E1566" s="101"/>
      <c r="F1566" s="102"/>
      <c r="G1566" s="101"/>
      <c r="H1566" s="102"/>
      <c r="I1566" s="101"/>
      <c r="J1566" s="101"/>
      <c r="K1566" s="103"/>
      <c r="L1566" s="103"/>
      <c r="M1566" s="103"/>
      <c r="N1566" s="103"/>
      <c r="O1566" s="103"/>
      <c r="P1566" s="98"/>
      <c r="Q1566" s="99"/>
      <c r="R1566" s="105">
        <f t="shared" si="77"/>
        <v>0</v>
      </c>
      <c r="S1566" s="108">
        <f t="shared" si="76"/>
        <v>0</v>
      </c>
      <c r="T1566" s="105">
        <f t="shared" si="78"/>
        <v>0</v>
      </c>
    </row>
    <row r="1567" spans="1:20">
      <c r="A1567" s="101"/>
      <c r="B1567" s="101"/>
      <c r="C1567" s="101"/>
      <c r="D1567" s="101"/>
      <c r="E1567" s="101"/>
      <c r="F1567" s="102"/>
      <c r="G1567" s="101"/>
      <c r="H1567" s="102"/>
      <c r="I1567" s="101"/>
      <c r="J1567" s="101"/>
      <c r="K1567" s="103"/>
      <c r="L1567" s="103"/>
      <c r="M1567" s="103"/>
      <c r="N1567" s="103"/>
      <c r="O1567" s="103"/>
      <c r="P1567" s="98"/>
      <c r="Q1567" s="99"/>
      <c r="R1567" s="104">
        <f t="shared" si="77"/>
        <v>0</v>
      </c>
      <c r="S1567" s="104">
        <f t="shared" si="76"/>
        <v>0</v>
      </c>
      <c r="T1567" s="104">
        <f t="shared" si="78"/>
        <v>0</v>
      </c>
    </row>
    <row r="1568" spans="1:20">
      <c r="A1568" s="101"/>
      <c r="B1568" s="101"/>
      <c r="C1568" s="101"/>
      <c r="D1568" s="101"/>
      <c r="E1568" s="101"/>
      <c r="F1568" s="102"/>
      <c r="G1568" s="101"/>
      <c r="H1568" s="102"/>
      <c r="I1568" s="101"/>
      <c r="J1568" s="101"/>
      <c r="K1568" s="103"/>
      <c r="L1568" s="103"/>
      <c r="M1568" s="103"/>
      <c r="N1568" s="103"/>
      <c r="O1568" s="103"/>
      <c r="P1568" s="98"/>
      <c r="Q1568" s="99"/>
      <c r="R1568" s="105">
        <f t="shared" si="77"/>
        <v>0</v>
      </c>
      <c r="S1568" s="108">
        <f t="shared" si="76"/>
        <v>0</v>
      </c>
      <c r="T1568" s="105">
        <f t="shared" si="78"/>
        <v>0</v>
      </c>
    </row>
    <row r="1569" spans="1:20">
      <c r="A1569" s="101"/>
      <c r="B1569" s="101"/>
      <c r="C1569" s="101"/>
      <c r="D1569" s="101"/>
      <c r="E1569" s="101"/>
      <c r="F1569" s="102"/>
      <c r="G1569" s="101"/>
      <c r="H1569" s="102"/>
      <c r="I1569" s="101"/>
      <c r="J1569" s="101"/>
      <c r="K1569" s="103"/>
      <c r="L1569" s="103"/>
      <c r="M1569" s="103"/>
      <c r="N1569" s="103"/>
      <c r="O1569" s="103"/>
      <c r="P1569" s="98"/>
      <c r="Q1569" s="99"/>
      <c r="R1569" s="104">
        <f t="shared" si="77"/>
        <v>0</v>
      </c>
      <c r="S1569" s="104">
        <f t="shared" si="76"/>
        <v>0</v>
      </c>
      <c r="T1569" s="104">
        <f t="shared" si="78"/>
        <v>0</v>
      </c>
    </row>
    <row r="1570" spans="1:20">
      <c r="A1570" s="101"/>
      <c r="B1570" s="101"/>
      <c r="C1570" s="101"/>
      <c r="D1570" s="101"/>
      <c r="E1570" s="101"/>
      <c r="F1570" s="102"/>
      <c r="G1570" s="101"/>
      <c r="H1570" s="102"/>
      <c r="I1570" s="101"/>
      <c r="J1570" s="101"/>
      <c r="K1570" s="103"/>
      <c r="L1570" s="103"/>
      <c r="M1570" s="103"/>
      <c r="N1570" s="103"/>
      <c r="O1570" s="103"/>
      <c r="P1570" s="98"/>
      <c r="Q1570" s="99"/>
      <c r="R1570" s="105">
        <f t="shared" si="77"/>
        <v>0</v>
      </c>
      <c r="S1570" s="108">
        <f t="shared" si="76"/>
        <v>0</v>
      </c>
      <c r="T1570" s="105">
        <f t="shared" si="78"/>
        <v>0</v>
      </c>
    </row>
    <row r="1571" spans="1:20">
      <c r="A1571" s="101"/>
      <c r="B1571" s="101"/>
      <c r="C1571" s="101"/>
      <c r="D1571" s="101"/>
      <c r="E1571" s="101"/>
      <c r="F1571" s="102"/>
      <c r="G1571" s="101"/>
      <c r="H1571" s="102"/>
      <c r="I1571" s="101"/>
      <c r="J1571" s="101"/>
      <c r="K1571" s="103"/>
      <c r="L1571" s="103"/>
      <c r="M1571" s="103"/>
      <c r="N1571" s="103"/>
      <c r="O1571" s="103"/>
      <c r="P1571" s="98"/>
      <c r="Q1571" s="99"/>
      <c r="R1571" s="104">
        <f t="shared" si="77"/>
        <v>0</v>
      </c>
      <c r="S1571" s="104">
        <f t="shared" si="76"/>
        <v>0</v>
      </c>
      <c r="T1571" s="104">
        <f t="shared" si="78"/>
        <v>0</v>
      </c>
    </row>
    <row r="1572" spans="1:20">
      <c r="A1572" s="101"/>
      <c r="B1572" s="101"/>
      <c r="C1572" s="101"/>
      <c r="D1572" s="101"/>
      <c r="E1572" s="101"/>
      <c r="F1572" s="102"/>
      <c r="G1572" s="101"/>
      <c r="H1572" s="102"/>
      <c r="I1572" s="101"/>
      <c r="J1572" s="101"/>
      <c r="K1572" s="103"/>
      <c r="L1572" s="103"/>
      <c r="M1572" s="103"/>
      <c r="N1572" s="103"/>
      <c r="O1572" s="103"/>
      <c r="P1572" s="98"/>
      <c r="Q1572" s="99"/>
      <c r="R1572" s="105">
        <f t="shared" si="77"/>
        <v>0</v>
      </c>
      <c r="S1572" s="108">
        <f t="shared" si="76"/>
        <v>0</v>
      </c>
      <c r="T1572" s="105">
        <f t="shared" si="78"/>
        <v>0</v>
      </c>
    </row>
    <row r="1573" spans="1:20">
      <c r="A1573" s="101"/>
      <c r="B1573" s="101"/>
      <c r="C1573" s="101"/>
      <c r="D1573" s="101"/>
      <c r="E1573" s="101"/>
      <c r="F1573" s="102"/>
      <c r="G1573" s="101"/>
      <c r="H1573" s="102"/>
      <c r="I1573" s="101"/>
      <c r="J1573" s="101"/>
      <c r="K1573" s="103"/>
      <c r="L1573" s="103"/>
      <c r="M1573" s="103"/>
      <c r="N1573" s="103"/>
      <c r="O1573" s="103"/>
      <c r="P1573" s="98"/>
      <c r="Q1573" s="99"/>
      <c r="R1573" s="104">
        <f t="shared" si="77"/>
        <v>0</v>
      </c>
      <c r="S1573" s="104">
        <f t="shared" si="76"/>
        <v>0</v>
      </c>
      <c r="T1573" s="104">
        <f t="shared" si="78"/>
        <v>0</v>
      </c>
    </row>
    <row r="1574" spans="1:20">
      <c r="A1574" s="101"/>
      <c r="B1574" s="101"/>
      <c r="C1574" s="101"/>
      <c r="D1574" s="101"/>
      <c r="E1574" s="101"/>
      <c r="F1574" s="102"/>
      <c r="G1574" s="101"/>
      <c r="H1574" s="102"/>
      <c r="I1574" s="101"/>
      <c r="J1574" s="101"/>
      <c r="K1574" s="103"/>
      <c r="L1574" s="103"/>
      <c r="M1574" s="103"/>
      <c r="N1574" s="103"/>
      <c r="O1574" s="103"/>
      <c r="P1574" s="98"/>
      <c r="Q1574" s="99"/>
      <c r="R1574" s="105">
        <f t="shared" si="77"/>
        <v>0</v>
      </c>
      <c r="S1574" s="108">
        <f t="shared" si="76"/>
        <v>0</v>
      </c>
      <c r="T1574" s="105">
        <f t="shared" si="78"/>
        <v>0</v>
      </c>
    </row>
    <row r="1575" spans="1:20">
      <c r="A1575" s="101"/>
      <c r="B1575" s="101"/>
      <c r="C1575" s="101"/>
      <c r="D1575" s="101"/>
      <c r="E1575" s="101"/>
      <c r="F1575" s="102"/>
      <c r="G1575" s="101"/>
      <c r="H1575" s="102"/>
      <c r="I1575" s="101"/>
      <c r="J1575" s="101"/>
      <c r="K1575" s="103"/>
      <c r="L1575" s="103"/>
      <c r="M1575" s="103"/>
      <c r="N1575" s="103"/>
      <c r="O1575" s="103"/>
      <c r="P1575" s="98"/>
      <c r="Q1575" s="99"/>
      <c r="R1575" s="104">
        <f t="shared" si="77"/>
        <v>0</v>
      </c>
      <c r="S1575" s="104">
        <f t="shared" si="76"/>
        <v>0</v>
      </c>
      <c r="T1575" s="104">
        <f t="shared" si="78"/>
        <v>0</v>
      </c>
    </row>
    <row r="1576" spans="1:20">
      <c r="A1576" s="101"/>
      <c r="B1576" s="101"/>
      <c r="C1576" s="101"/>
      <c r="D1576" s="101"/>
      <c r="E1576" s="101"/>
      <c r="F1576" s="102"/>
      <c r="G1576" s="101"/>
      <c r="H1576" s="102"/>
      <c r="I1576" s="101"/>
      <c r="J1576" s="101"/>
      <c r="K1576" s="103"/>
      <c r="L1576" s="103"/>
      <c r="M1576" s="103"/>
      <c r="N1576" s="103"/>
      <c r="O1576" s="103"/>
      <c r="P1576" s="98"/>
      <c r="Q1576" s="99"/>
      <c r="R1576" s="105">
        <f t="shared" si="77"/>
        <v>0</v>
      </c>
      <c r="S1576" s="108">
        <f t="shared" si="76"/>
        <v>0</v>
      </c>
      <c r="T1576" s="105">
        <f t="shared" si="78"/>
        <v>0</v>
      </c>
    </row>
    <row r="1577" spans="1:20">
      <c r="A1577" s="101"/>
      <c r="B1577" s="101"/>
      <c r="C1577" s="101"/>
      <c r="D1577" s="101"/>
      <c r="E1577" s="101"/>
      <c r="F1577" s="102"/>
      <c r="G1577" s="101"/>
      <c r="H1577" s="102"/>
      <c r="I1577" s="101"/>
      <c r="J1577" s="101"/>
      <c r="K1577" s="103"/>
      <c r="L1577" s="103"/>
      <c r="M1577" s="103"/>
      <c r="N1577" s="103"/>
      <c r="O1577" s="103"/>
      <c r="P1577" s="98"/>
      <c r="Q1577" s="99"/>
      <c r="R1577" s="104">
        <f t="shared" si="77"/>
        <v>0</v>
      </c>
      <c r="S1577" s="104">
        <f t="shared" si="76"/>
        <v>0</v>
      </c>
      <c r="T1577" s="104">
        <f t="shared" si="78"/>
        <v>0</v>
      </c>
    </row>
    <row r="1578" spans="1:20">
      <c r="A1578" s="101"/>
      <c r="B1578" s="101"/>
      <c r="C1578" s="101"/>
      <c r="D1578" s="101"/>
      <c r="E1578" s="101"/>
      <c r="F1578" s="102"/>
      <c r="G1578" s="101"/>
      <c r="H1578" s="102"/>
      <c r="I1578" s="101"/>
      <c r="J1578" s="101"/>
      <c r="K1578" s="103"/>
      <c r="L1578" s="103"/>
      <c r="M1578" s="103"/>
      <c r="N1578" s="103"/>
      <c r="O1578" s="103"/>
      <c r="P1578" s="98"/>
      <c r="Q1578" s="99"/>
      <c r="R1578" s="105">
        <f t="shared" si="77"/>
        <v>0</v>
      </c>
      <c r="S1578" s="108">
        <f t="shared" si="76"/>
        <v>0</v>
      </c>
      <c r="T1578" s="105">
        <f t="shared" si="78"/>
        <v>0</v>
      </c>
    </row>
    <row r="1579" spans="1:20">
      <c r="A1579" s="101"/>
      <c r="B1579" s="101"/>
      <c r="C1579" s="101"/>
      <c r="D1579" s="101"/>
      <c r="E1579" s="101"/>
      <c r="F1579" s="102"/>
      <c r="G1579" s="101"/>
      <c r="H1579" s="102"/>
      <c r="I1579" s="101"/>
      <c r="J1579" s="101"/>
      <c r="K1579" s="103"/>
      <c r="L1579" s="103"/>
      <c r="M1579" s="103"/>
      <c r="N1579" s="103"/>
      <c r="O1579" s="103"/>
      <c r="P1579" s="98"/>
      <c r="Q1579" s="99"/>
      <c r="R1579" s="104">
        <f t="shared" si="77"/>
        <v>0</v>
      </c>
      <c r="S1579" s="104">
        <f t="shared" si="76"/>
        <v>0</v>
      </c>
      <c r="T1579" s="104">
        <f t="shared" si="78"/>
        <v>0</v>
      </c>
    </row>
    <row r="1580" spans="1:20">
      <c r="A1580" s="101"/>
      <c r="B1580" s="101"/>
      <c r="C1580" s="101"/>
      <c r="D1580" s="101"/>
      <c r="E1580" s="101"/>
      <c r="F1580" s="102"/>
      <c r="G1580" s="101"/>
      <c r="H1580" s="102"/>
      <c r="I1580" s="101"/>
      <c r="J1580" s="101"/>
      <c r="K1580" s="103"/>
      <c r="L1580" s="103"/>
      <c r="M1580" s="103"/>
      <c r="N1580" s="103"/>
      <c r="O1580" s="103"/>
      <c r="P1580" s="98"/>
      <c r="Q1580" s="99"/>
      <c r="R1580" s="105">
        <f t="shared" si="77"/>
        <v>0</v>
      </c>
      <c r="S1580" s="108">
        <f t="shared" si="76"/>
        <v>0</v>
      </c>
      <c r="T1580" s="105">
        <f t="shared" si="78"/>
        <v>0</v>
      </c>
    </row>
    <row r="1581" spans="1:20">
      <c r="A1581" s="101"/>
      <c r="B1581" s="101"/>
      <c r="C1581" s="101"/>
      <c r="D1581" s="101"/>
      <c r="E1581" s="101"/>
      <c r="F1581" s="102"/>
      <c r="G1581" s="101"/>
      <c r="H1581" s="102"/>
      <c r="I1581" s="101"/>
      <c r="J1581" s="101"/>
      <c r="K1581" s="103"/>
      <c r="L1581" s="103"/>
      <c r="M1581" s="103"/>
      <c r="N1581" s="103"/>
      <c r="O1581" s="103"/>
      <c r="P1581" s="98"/>
      <c r="Q1581" s="99"/>
      <c r="R1581" s="104">
        <f t="shared" si="77"/>
        <v>0</v>
      </c>
      <c r="S1581" s="104">
        <f t="shared" si="76"/>
        <v>0</v>
      </c>
      <c r="T1581" s="104">
        <f t="shared" si="78"/>
        <v>0</v>
      </c>
    </row>
    <row r="1582" spans="1:20">
      <c r="A1582" s="101"/>
      <c r="B1582" s="101"/>
      <c r="C1582" s="101"/>
      <c r="D1582" s="101"/>
      <c r="E1582" s="101"/>
      <c r="F1582" s="102"/>
      <c r="G1582" s="101"/>
      <c r="H1582" s="102"/>
      <c r="I1582" s="101"/>
      <c r="J1582" s="101"/>
      <c r="K1582" s="103"/>
      <c r="L1582" s="103"/>
      <c r="M1582" s="103"/>
      <c r="N1582" s="103"/>
      <c r="O1582" s="103"/>
      <c r="P1582" s="98"/>
      <c r="Q1582" s="99"/>
      <c r="R1582" s="105">
        <f t="shared" si="77"/>
        <v>0</v>
      </c>
      <c r="S1582" s="108">
        <f t="shared" si="76"/>
        <v>0</v>
      </c>
      <c r="T1582" s="105">
        <f t="shared" si="78"/>
        <v>0</v>
      </c>
    </row>
    <row r="1583" spans="1:20">
      <c r="A1583" s="101"/>
      <c r="B1583" s="101"/>
      <c r="C1583" s="101"/>
      <c r="D1583" s="101"/>
      <c r="E1583" s="101"/>
      <c r="F1583" s="102"/>
      <c r="G1583" s="101"/>
      <c r="H1583" s="102"/>
      <c r="I1583" s="101"/>
      <c r="J1583" s="101"/>
      <c r="K1583" s="103"/>
      <c r="L1583" s="103"/>
      <c r="M1583" s="103"/>
      <c r="N1583" s="103"/>
      <c r="O1583" s="103"/>
      <c r="P1583" s="98"/>
      <c r="Q1583" s="99"/>
      <c r="R1583" s="104">
        <f t="shared" si="77"/>
        <v>0</v>
      </c>
      <c r="S1583" s="104">
        <f t="shared" si="76"/>
        <v>0</v>
      </c>
      <c r="T1583" s="104">
        <f t="shared" si="78"/>
        <v>0</v>
      </c>
    </row>
    <row r="1584" spans="1:20">
      <c r="A1584" s="101"/>
      <c r="B1584" s="101"/>
      <c r="C1584" s="101"/>
      <c r="D1584" s="101"/>
      <c r="E1584" s="101"/>
      <c r="F1584" s="102"/>
      <c r="G1584" s="101"/>
      <c r="H1584" s="102"/>
      <c r="I1584" s="101"/>
      <c r="J1584" s="101"/>
      <c r="K1584" s="103"/>
      <c r="L1584" s="103"/>
      <c r="M1584" s="103"/>
      <c r="N1584" s="103"/>
      <c r="O1584" s="103"/>
      <c r="P1584" s="98"/>
      <c r="Q1584" s="99"/>
      <c r="R1584" s="105">
        <f t="shared" si="77"/>
        <v>0</v>
      </c>
      <c r="S1584" s="108">
        <f t="shared" si="76"/>
        <v>0</v>
      </c>
      <c r="T1584" s="105">
        <f t="shared" si="78"/>
        <v>0</v>
      </c>
    </row>
    <row r="1585" spans="1:20">
      <c r="A1585" s="101"/>
      <c r="B1585" s="101"/>
      <c r="C1585" s="101"/>
      <c r="D1585" s="101"/>
      <c r="E1585" s="101"/>
      <c r="F1585" s="102"/>
      <c r="G1585" s="101"/>
      <c r="H1585" s="102"/>
      <c r="I1585" s="101"/>
      <c r="J1585" s="101"/>
      <c r="K1585" s="103"/>
      <c r="L1585" s="103"/>
      <c r="M1585" s="103"/>
      <c r="N1585" s="103"/>
      <c r="O1585" s="103"/>
      <c r="P1585" s="98"/>
      <c r="Q1585" s="99"/>
      <c r="R1585" s="104">
        <f t="shared" si="77"/>
        <v>0</v>
      </c>
      <c r="S1585" s="104">
        <f t="shared" si="76"/>
        <v>0</v>
      </c>
      <c r="T1585" s="104">
        <f t="shared" si="78"/>
        <v>0</v>
      </c>
    </row>
    <row r="1586" spans="1:20">
      <c r="A1586" s="101"/>
      <c r="B1586" s="101"/>
      <c r="C1586" s="101"/>
      <c r="D1586" s="101"/>
      <c r="E1586" s="101"/>
      <c r="F1586" s="102"/>
      <c r="G1586" s="101"/>
      <c r="H1586" s="102"/>
      <c r="I1586" s="101"/>
      <c r="J1586" s="101"/>
      <c r="K1586" s="103"/>
      <c r="L1586" s="103"/>
      <c r="M1586" s="103"/>
      <c r="N1586" s="103"/>
      <c r="O1586" s="103"/>
      <c r="P1586" s="98"/>
      <c r="Q1586" s="99"/>
      <c r="R1586" s="105">
        <f t="shared" si="77"/>
        <v>0</v>
      </c>
      <c r="S1586" s="108">
        <f t="shared" si="76"/>
        <v>0</v>
      </c>
      <c r="T1586" s="105">
        <f t="shared" si="78"/>
        <v>0</v>
      </c>
    </row>
    <row r="1587" spans="1:20">
      <c r="A1587" s="101"/>
      <c r="B1587" s="101"/>
      <c r="C1587" s="101"/>
      <c r="D1587" s="101"/>
      <c r="E1587" s="101"/>
      <c r="F1587" s="102"/>
      <c r="G1587" s="101"/>
      <c r="H1587" s="102"/>
      <c r="I1587" s="101"/>
      <c r="J1587" s="101"/>
      <c r="K1587" s="103"/>
      <c r="L1587" s="103"/>
      <c r="M1587" s="103"/>
      <c r="N1587" s="103"/>
      <c r="O1587" s="103"/>
      <c r="P1587" s="98"/>
      <c r="Q1587" s="99"/>
      <c r="R1587" s="104">
        <f t="shared" si="77"/>
        <v>0</v>
      </c>
      <c r="S1587" s="104">
        <f t="shared" si="76"/>
        <v>0</v>
      </c>
      <c r="T1587" s="104">
        <f t="shared" si="78"/>
        <v>0</v>
      </c>
    </row>
    <row r="1588" spans="1:20">
      <c r="A1588" s="101"/>
      <c r="B1588" s="101"/>
      <c r="C1588" s="101"/>
      <c r="D1588" s="101"/>
      <c r="E1588" s="101"/>
      <c r="F1588" s="102"/>
      <c r="G1588" s="101"/>
      <c r="H1588" s="102"/>
      <c r="I1588" s="101"/>
      <c r="J1588" s="101"/>
      <c r="K1588" s="103"/>
      <c r="L1588" s="103"/>
      <c r="M1588" s="103"/>
      <c r="N1588" s="103"/>
      <c r="O1588" s="103"/>
      <c r="P1588" s="98"/>
      <c r="Q1588" s="99"/>
      <c r="R1588" s="105">
        <f t="shared" si="77"/>
        <v>0</v>
      </c>
      <c r="S1588" s="108">
        <f t="shared" si="76"/>
        <v>0</v>
      </c>
      <c r="T1588" s="105">
        <f t="shared" si="78"/>
        <v>0</v>
      </c>
    </row>
    <row r="1589" spans="1:20">
      <c r="A1589" s="101"/>
      <c r="B1589" s="101"/>
      <c r="C1589" s="101"/>
      <c r="D1589" s="101"/>
      <c r="E1589" s="101"/>
      <c r="F1589" s="102"/>
      <c r="G1589" s="101"/>
      <c r="H1589" s="102"/>
      <c r="I1589" s="101"/>
      <c r="J1589" s="101"/>
      <c r="K1589" s="103"/>
      <c r="L1589" s="103"/>
      <c r="M1589" s="103"/>
      <c r="N1589" s="103"/>
      <c r="O1589" s="103"/>
      <c r="P1589" s="98"/>
      <c r="Q1589" s="99"/>
      <c r="R1589" s="104">
        <f t="shared" si="77"/>
        <v>0</v>
      </c>
      <c r="S1589" s="104">
        <f t="shared" si="76"/>
        <v>0</v>
      </c>
      <c r="T1589" s="104">
        <f t="shared" si="78"/>
        <v>0</v>
      </c>
    </row>
    <row r="1590" spans="1:20">
      <c r="A1590" s="101"/>
      <c r="B1590" s="101"/>
      <c r="C1590" s="101"/>
      <c r="D1590" s="101"/>
      <c r="E1590" s="101"/>
      <c r="F1590" s="102"/>
      <c r="G1590" s="101"/>
      <c r="H1590" s="102"/>
      <c r="I1590" s="101"/>
      <c r="J1590" s="101"/>
      <c r="K1590" s="103"/>
      <c r="L1590" s="103"/>
      <c r="M1590" s="103"/>
      <c r="N1590" s="103"/>
      <c r="O1590" s="103"/>
      <c r="P1590" s="98"/>
      <c r="Q1590" s="99"/>
      <c r="R1590" s="105">
        <f t="shared" si="77"/>
        <v>0</v>
      </c>
      <c r="S1590" s="108">
        <f t="shared" si="76"/>
        <v>0</v>
      </c>
      <c r="T1590" s="105">
        <f t="shared" si="78"/>
        <v>0</v>
      </c>
    </row>
    <row r="1591" spans="1:20">
      <c r="A1591" s="101"/>
      <c r="B1591" s="101"/>
      <c r="C1591" s="101"/>
      <c r="D1591" s="101"/>
      <c r="E1591" s="101"/>
      <c r="F1591" s="102"/>
      <c r="G1591" s="101"/>
      <c r="H1591" s="102"/>
      <c r="I1591" s="101"/>
      <c r="J1591" s="101"/>
      <c r="K1591" s="103"/>
      <c r="L1591" s="103"/>
      <c r="M1591" s="103"/>
      <c r="N1591" s="103"/>
      <c r="O1591" s="103"/>
      <c r="P1591" s="98"/>
      <c r="Q1591" s="99"/>
      <c r="R1591" s="104">
        <f t="shared" si="77"/>
        <v>0</v>
      </c>
      <c r="S1591" s="104">
        <f t="shared" si="76"/>
        <v>0</v>
      </c>
      <c r="T1591" s="104">
        <f t="shared" si="78"/>
        <v>0</v>
      </c>
    </row>
    <row r="1592" spans="1:20">
      <c r="A1592" s="101"/>
      <c r="B1592" s="101"/>
      <c r="C1592" s="101"/>
      <c r="D1592" s="101"/>
      <c r="E1592" s="101"/>
      <c r="F1592" s="102"/>
      <c r="G1592" s="101"/>
      <c r="H1592" s="102"/>
      <c r="I1592" s="101"/>
      <c r="J1592" s="101"/>
      <c r="K1592" s="103"/>
      <c r="L1592" s="103"/>
      <c r="M1592" s="103"/>
      <c r="N1592" s="103"/>
      <c r="O1592" s="103"/>
      <c r="P1592" s="98"/>
      <c r="Q1592" s="99"/>
      <c r="R1592" s="105">
        <f t="shared" si="77"/>
        <v>0</v>
      </c>
      <c r="S1592" s="108">
        <f t="shared" si="76"/>
        <v>0</v>
      </c>
      <c r="T1592" s="105">
        <f t="shared" si="78"/>
        <v>0</v>
      </c>
    </row>
    <row r="1593" spans="1:20">
      <c r="A1593" s="101"/>
      <c r="B1593" s="101"/>
      <c r="C1593" s="101"/>
      <c r="D1593" s="101"/>
      <c r="E1593" s="101"/>
      <c r="F1593" s="102"/>
      <c r="G1593" s="101"/>
      <c r="H1593" s="102"/>
      <c r="I1593" s="101"/>
      <c r="J1593" s="101"/>
      <c r="K1593" s="103"/>
      <c r="L1593" s="103"/>
      <c r="M1593" s="103"/>
      <c r="N1593" s="103"/>
      <c r="O1593" s="103"/>
      <c r="P1593" s="98"/>
      <c r="Q1593" s="99"/>
      <c r="R1593" s="104">
        <f t="shared" si="77"/>
        <v>0</v>
      </c>
      <c r="S1593" s="104">
        <f t="shared" si="76"/>
        <v>0</v>
      </c>
      <c r="T1593" s="104">
        <f t="shared" si="78"/>
        <v>0</v>
      </c>
    </row>
    <row r="1594" spans="1:20">
      <c r="A1594" s="101"/>
      <c r="B1594" s="101"/>
      <c r="C1594" s="101"/>
      <c r="D1594" s="101"/>
      <c r="E1594" s="101"/>
      <c r="F1594" s="102"/>
      <c r="G1594" s="101"/>
      <c r="H1594" s="102"/>
      <c r="I1594" s="101"/>
      <c r="J1594" s="101"/>
      <c r="K1594" s="103"/>
      <c r="L1594" s="103"/>
      <c r="M1594" s="103"/>
      <c r="N1594" s="103"/>
      <c r="O1594" s="103"/>
      <c r="P1594" s="98"/>
      <c r="Q1594" s="99"/>
      <c r="R1594" s="105">
        <f t="shared" si="77"/>
        <v>0</v>
      </c>
      <c r="S1594" s="108">
        <f t="shared" si="76"/>
        <v>0</v>
      </c>
      <c r="T1594" s="105">
        <f t="shared" si="78"/>
        <v>0</v>
      </c>
    </row>
    <row r="1595" spans="1:20">
      <c r="A1595" s="101"/>
      <c r="B1595" s="101"/>
      <c r="C1595" s="101"/>
      <c r="D1595" s="101"/>
      <c r="E1595" s="101"/>
      <c r="F1595" s="102"/>
      <c r="G1595" s="101"/>
      <c r="H1595" s="102"/>
      <c r="I1595" s="101"/>
      <c r="J1595" s="101"/>
      <c r="K1595" s="103"/>
      <c r="L1595" s="103"/>
      <c r="M1595" s="103"/>
      <c r="N1595" s="103"/>
      <c r="O1595" s="103"/>
      <c r="P1595" s="98"/>
      <c r="Q1595" s="99"/>
      <c r="R1595" s="104">
        <f t="shared" si="77"/>
        <v>0</v>
      </c>
      <c r="S1595" s="104">
        <f t="shared" si="76"/>
        <v>0</v>
      </c>
      <c r="T1595" s="104">
        <f t="shared" si="78"/>
        <v>0</v>
      </c>
    </row>
    <row r="1596" spans="1:20">
      <c r="A1596" s="101"/>
      <c r="B1596" s="101"/>
      <c r="C1596" s="101"/>
      <c r="D1596" s="101"/>
      <c r="E1596" s="101"/>
      <c r="F1596" s="102"/>
      <c r="G1596" s="101"/>
      <c r="H1596" s="102"/>
      <c r="I1596" s="101"/>
      <c r="J1596" s="101"/>
      <c r="K1596" s="103"/>
      <c r="L1596" s="103"/>
      <c r="M1596" s="103"/>
      <c r="N1596" s="103"/>
      <c r="O1596" s="103"/>
      <c r="P1596" s="98"/>
      <c r="Q1596" s="99"/>
      <c r="R1596" s="105">
        <f t="shared" si="77"/>
        <v>0</v>
      </c>
      <c r="S1596" s="108">
        <f t="shared" si="76"/>
        <v>0</v>
      </c>
      <c r="T1596" s="105">
        <f t="shared" si="78"/>
        <v>0</v>
      </c>
    </row>
    <row r="1597" spans="1:20">
      <c r="A1597" s="101"/>
      <c r="B1597" s="101"/>
      <c r="C1597" s="101"/>
      <c r="D1597" s="101"/>
      <c r="E1597" s="101"/>
      <c r="F1597" s="102"/>
      <c r="G1597" s="101"/>
      <c r="H1597" s="102"/>
      <c r="I1597" s="101"/>
      <c r="J1597" s="101"/>
      <c r="K1597" s="103"/>
      <c r="L1597" s="103"/>
      <c r="M1597" s="103"/>
      <c r="N1597" s="103"/>
      <c r="O1597" s="103"/>
      <c r="P1597" s="98"/>
      <c r="Q1597" s="99"/>
      <c r="R1597" s="104">
        <f t="shared" si="77"/>
        <v>0</v>
      </c>
      <c r="S1597" s="104">
        <f t="shared" si="76"/>
        <v>0</v>
      </c>
      <c r="T1597" s="104">
        <f t="shared" si="78"/>
        <v>0</v>
      </c>
    </row>
    <row r="1598" spans="1:20">
      <c r="A1598" s="101"/>
      <c r="B1598" s="101"/>
      <c r="C1598" s="101"/>
      <c r="D1598" s="101"/>
      <c r="E1598" s="101"/>
      <c r="F1598" s="102"/>
      <c r="G1598" s="101"/>
      <c r="H1598" s="102"/>
      <c r="I1598" s="101"/>
      <c r="J1598" s="101"/>
      <c r="K1598" s="103"/>
      <c r="L1598" s="103"/>
      <c r="M1598" s="103"/>
      <c r="N1598" s="103"/>
      <c r="O1598" s="103"/>
      <c r="P1598" s="98"/>
      <c r="Q1598" s="99"/>
      <c r="R1598" s="105">
        <f t="shared" si="77"/>
        <v>0</v>
      </c>
      <c r="S1598" s="108">
        <f t="shared" si="76"/>
        <v>0</v>
      </c>
      <c r="T1598" s="105">
        <f t="shared" si="78"/>
        <v>0</v>
      </c>
    </row>
    <row r="1599" spans="1:20">
      <c r="A1599" s="101"/>
      <c r="B1599" s="101"/>
      <c r="C1599" s="101"/>
      <c r="D1599" s="101"/>
      <c r="E1599" s="101"/>
      <c r="F1599" s="102"/>
      <c r="G1599" s="101"/>
      <c r="H1599" s="102"/>
      <c r="I1599" s="101"/>
      <c r="J1599" s="101"/>
      <c r="K1599" s="103"/>
      <c r="L1599" s="103"/>
      <c r="M1599" s="103"/>
      <c r="N1599" s="103"/>
      <c r="O1599" s="103"/>
      <c r="P1599" s="98"/>
      <c r="Q1599" s="99"/>
      <c r="R1599" s="104">
        <f t="shared" si="77"/>
        <v>0</v>
      </c>
      <c r="S1599" s="104">
        <f t="shared" si="76"/>
        <v>0</v>
      </c>
      <c r="T1599" s="104">
        <f t="shared" si="78"/>
        <v>0</v>
      </c>
    </row>
    <row r="1600" spans="1:20">
      <c r="A1600" s="101"/>
      <c r="B1600" s="101"/>
      <c r="C1600" s="101"/>
      <c r="D1600" s="101"/>
      <c r="E1600" s="101"/>
      <c r="F1600" s="102"/>
      <c r="G1600" s="101"/>
      <c r="H1600" s="102"/>
      <c r="I1600" s="101"/>
      <c r="J1600" s="101"/>
      <c r="K1600" s="103"/>
      <c r="L1600" s="103"/>
      <c r="M1600" s="103"/>
      <c r="N1600" s="103"/>
      <c r="O1600" s="103"/>
      <c r="P1600" s="98"/>
      <c r="Q1600" s="99"/>
      <c r="R1600" s="105">
        <f t="shared" si="77"/>
        <v>0</v>
      </c>
      <c r="S1600" s="108">
        <f t="shared" si="76"/>
        <v>0</v>
      </c>
      <c r="T1600" s="105">
        <f t="shared" si="78"/>
        <v>0</v>
      </c>
    </row>
    <row r="1601" spans="1:20">
      <c r="A1601" s="101"/>
      <c r="B1601" s="101"/>
      <c r="C1601" s="101"/>
      <c r="D1601" s="101"/>
      <c r="E1601" s="101"/>
      <c r="F1601" s="102"/>
      <c r="G1601" s="101"/>
      <c r="H1601" s="102"/>
      <c r="I1601" s="101"/>
      <c r="J1601" s="101"/>
      <c r="K1601" s="103"/>
      <c r="L1601" s="103"/>
      <c r="M1601" s="103"/>
      <c r="N1601" s="103"/>
      <c r="O1601" s="103"/>
      <c r="P1601" s="98"/>
      <c r="Q1601" s="99"/>
      <c r="R1601" s="104">
        <f t="shared" si="77"/>
        <v>0</v>
      </c>
      <c r="S1601" s="104">
        <f t="shared" si="76"/>
        <v>0</v>
      </c>
      <c r="T1601" s="104">
        <f t="shared" si="78"/>
        <v>0</v>
      </c>
    </row>
    <row r="1602" spans="1:20">
      <c r="A1602" s="101"/>
      <c r="B1602" s="101"/>
      <c r="C1602" s="101"/>
      <c r="D1602" s="101"/>
      <c r="E1602" s="101"/>
      <c r="F1602" s="102"/>
      <c r="G1602" s="101"/>
      <c r="H1602" s="102"/>
      <c r="I1602" s="101"/>
      <c r="J1602" s="101"/>
      <c r="K1602" s="103"/>
      <c r="L1602" s="103"/>
      <c r="M1602" s="103"/>
      <c r="N1602" s="103"/>
      <c r="O1602" s="103"/>
      <c r="P1602" s="98"/>
      <c r="Q1602" s="99"/>
      <c r="R1602" s="105">
        <f t="shared" si="77"/>
        <v>0</v>
      </c>
      <c r="S1602" s="108">
        <f t="shared" si="76"/>
        <v>0</v>
      </c>
      <c r="T1602" s="105">
        <f t="shared" si="78"/>
        <v>0</v>
      </c>
    </row>
    <row r="1603" spans="1:20">
      <c r="A1603" s="101"/>
      <c r="B1603" s="101"/>
      <c r="C1603" s="101"/>
      <c r="D1603" s="101"/>
      <c r="E1603" s="101"/>
      <c r="F1603" s="102"/>
      <c r="G1603" s="101"/>
      <c r="H1603" s="102"/>
      <c r="I1603" s="101"/>
      <c r="J1603" s="101"/>
      <c r="K1603" s="103"/>
      <c r="L1603" s="103"/>
      <c r="M1603" s="103"/>
      <c r="N1603" s="103"/>
      <c r="O1603" s="103"/>
      <c r="P1603" s="98"/>
      <c r="Q1603" s="99"/>
      <c r="R1603" s="104">
        <f t="shared" si="77"/>
        <v>0</v>
      </c>
      <c r="S1603" s="104">
        <f t="shared" si="76"/>
        <v>0</v>
      </c>
      <c r="T1603" s="104">
        <f t="shared" si="78"/>
        <v>0</v>
      </c>
    </row>
    <row r="1604" spans="1:20">
      <c r="A1604" s="101"/>
      <c r="B1604" s="101"/>
      <c r="C1604" s="101"/>
      <c r="D1604" s="101"/>
      <c r="E1604" s="101"/>
      <c r="F1604" s="102"/>
      <c r="G1604" s="101"/>
      <c r="H1604" s="102"/>
      <c r="I1604" s="101"/>
      <c r="J1604" s="101"/>
      <c r="K1604" s="103"/>
      <c r="L1604" s="103"/>
      <c r="M1604" s="103"/>
      <c r="N1604" s="103"/>
      <c r="O1604" s="103"/>
      <c r="P1604" s="98"/>
      <c r="Q1604" s="99"/>
      <c r="R1604" s="105">
        <f t="shared" si="77"/>
        <v>0</v>
      </c>
      <c r="S1604" s="108">
        <f t="shared" ref="S1604:S1667" si="79">IF(P1604="Abono",K1604+L1604+M1604-N1604-O1604,0)</f>
        <v>0</v>
      </c>
      <c r="T1604" s="105">
        <f t="shared" si="78"/>
        <v>0</v>
      </c>
    </row>
    <row r="1605" spans="1:20">
      <c r="A1605" s="101"/>
      <c r="B1605" s="101"/>
      <c r="C1605" s="101"/>
      <c r="D1605" s="101"/>
      <c r="E1605" s="101"/>
      <c r="F1605" s="102"/>
      <c r="G1605" s="101"/>
      <c r="H1605" s="102"/>
      <c r="I1605" s="101"/>
      <c r="J1605" s="101"/>
      <c r="K1605" s="103"/>
      <c r="L1605" s="103"/>
      <c r="M1605" s="103"/>
      <c r="N1605" s="103"/>
      <c r="O1605" s="103"/>
      <c r="P1605" s="98"/>
      <c r="Q1605" s="99"/>
      <c r="R1605" s="104">
        <f t="shared" ref="R1605:R1668" si="80">IF(P1605="Cargo",K1605+L1605-M1605-N1605+O1605,0)</f>
        <v>0</v>
      </c>
      <c r="S1605" s="104">
        <f t="shared" si="79"/>
        <v>0</v>
      </c>
      <c r="T1605" s="104">
        <f t="shared" ref="T1605:T1668" si="81">IF(Q1605="OK",+T1604+R1605-S1605,T1604)</f>
        <v>0</v>
      </c>
    </row>
    <row r="1606" spans="1:20">
      <c r="A1606" s="101"/>
      <c r="B1606" s="101"/>
      <c r="C1606" s="101"/>
      <c r="D1606" s="101"/>
      <c r="E1606" s="101"/>
      <c r="F1606" s="102"/>
      <c r="G1606" s="101"/>
      <c r="H1606" s="102"/>
      <c r="I1606" s="101"/>
      <c r="J1606" s="101"/>
      <c r="K1606" s="103"/>
      <c r="L1606" s="103"/>
      <c r="M1606" s="103"/>
      <c r="N1606" s="103"/>
      <c r="O1606" s="103"/>
      <c r="P1606" s="98"/>
      <c r="Q1606" s="99"/>
      <c r="R1606" s="105">
        <f t="shared" si="80"/>
        <v>0</v>
      </c>
      <c r="S1606" s="108">
        <f t="shared" si="79"/>
        <v>0</v>
      </c>
      <c r="T1606" s="105">
        <f t="shared" si="81"/>
        <v>0</v>
      </c>
    </row>
    <row r="1607" spans="1:20">
      <c r="A1607" s="101"/>
      <c r="B1607" s="101"/>
      <c r="C1607" s="101"/>
      <c r="D1607" s="101"/>
      <c r="E1607" s="101"/>
      <c r="F1607" s="102"/>
      <c r="G1607" s="101"/>
      <c r="H1607" s="102"/>
      <c r="I1607" s="101"/>
      <c r="J1607" s="101"/>
      <c r="K1607" s="103"/>
      <c r="L1607" s="103"/>
      <c r="M1607" s="103"/>
      <c r="N1607" s="103"/>
      <c r="O1607" s="103"/>
      <c r="P1607" s="98"/>
      <c r="Q1607" s="99"/>
      <c r="R1607" s="104">
        <f t="shared" si="80"/>
        <v>0</v>
      </c>
      <c r="S1607" s="104">
        <f t="shared" si="79"/>
        <v>0</v>
      </c>
      <c r="T1607" s="104">
        <f t="shared" si="81"/>
        <v>0</v>
      </c>
    </row>
    <row r="1608" spans="1:20">
      <c r="A1608" s="101"/>
      <c r="B1608" s="101"/>
      <c r="C1608" s="101"/>
      <c r="D1608" s="101"/>
      <c r="E1608" s="101"/>
      <c r="F1608" s="102"/>
      <c r="G1608" s="101"/>
      <c r="H1608" s="102"/>
      <c r="I1608" s="101"/>
      <c r="J1608" s="101"/>
      <c r="K1608" s="103"/>
      <c r="L1608" s="103"/>
      <c r="M1608" s="103"/>
      <c r="N1608" s="103"/>
      <c r="O1608" s="103"/>
      <c r="P1608" s="98"/>
      <c r="Q1608" s="99"/>
      <c r="R1608" s="105">
        <f t="shared" si="80"/>
        <v>0</v>
      </c>
      <c r="S1608" s="108">
        <f t="shared" si="79"/>
        <v>0</v>
      </c>
      <c r="T1608" s="105">
        <f t="shared" si="81"/>
        <v>0</v>
      </c>
    </row>
    <row r="1609" spans="1:20">
      <c r="A1609" s="101"/>
      <c r="B1609" s="101"/>
      <c r="C1609" s="101"/>
      <c r="D1609" s="101"/>
      <c r="E1609" s="101"/>
      <c r="F1609" s="102"/>
      <c r="G1609" s="101"/>
      <c r="H1609" s="102"/>
      <c r="I1609" s="101"/>
      <c r="J1609" s="101"/>
      <c r="K1609" s="103"/>
      <c r="L1609" s="103"/>
      <c r="M1609" s="103"/>
      <c r="N1609" s="103"/>
      <c r="O1609" s="103"/>
      <c r="P1609" s="98"/>
      <c r="Q1609" s="99"/>
      <c r="R1609" s="104">
        <f t="shared" si="80"/>
        <v>0</v>
      </c>
      <c r="S1609" s="104">
        <f t="shared" si="79"/>
        <v>0</v>
      </c>
      <c r="T1609" s="104">
        <f t="shared" si="81"/>
        <v>0</v>
      </c>
    </row>
    <row r="1610" spans="1:20">
      <c r="A1610" s="101"/>
      <c r="B1610" s="101"/>
      <c r="C1610" s="101"/>
      <c r="D1610" s="101"/>
      <c r="E1610" s="101"/>
      <c r="F1610" s="102"/>
      <c r="G1610" s="101"/>
      <c r="H1610" s="102"/>
      <c r="I1610" s="101"/>
      <c r="J1610" s="101"/>
      <c r="K1610" s="103"/>
      <c r="L1610" s="103"/>
      <c r="M1610" s="103"/>
      <c r="N1610" s="103"/>
      <c r="O1610" s="103"/>
      <c r="P1610" s="98"/>
      <c r="Q1610" s="99"/>
      <c r="R1610" s="105">
        <f t="shared" si="80"/>
        <v>0</v>
      </c>
      <c r="S1610" s="108">
        <f t="shared" si="79"/>
        <v>0</v>
      </c>
      <c r="T1610" s="105">
        <f t="shared" si="81"/>
        <v>0</v>
      </c>
    </row>
    <row r="1611" spans="1:20">
      <c r="A1611" s="101"/>
      <c r="B1611" s="101"/>
      <c r="C1611" s="101"/>
      <c r="D1611" s="101"/>
      <c r="E1611" s="101"/>
      <c r="F1611" s="102"/>
      <c r="G1611" s="101"/>
      <c r="H1611" s="102"/>
      <c r="I1611" s="101"/>
      <c r="J1611" s="101"/>
      <c r="K1611" s="103"/>
      <c r="L1611" s="103"/>
      <c r="M1611" s="103"/>
      <c r="N1611" s="103"/>
      <c r="O1611" s="103"/>
      <c r="P1611" s="98"/>
      <c r="Q1611" s="99"/>
      <c r="R1611" s="104">
        <f t="shared" si="80"/>
        <v>0</v>
      </c>
      <c r="S1611" s="104">
        <f t="shared" si="79"/>
        <v>0</v>
      </c>
      <c r="T1611" s="104">
        <f t="shared" si="81"/>
        <v>0</v>
      </c>
    </row>
    <row r="1612" spans="1:20">
      <c r="A1612" s="101"/>
      <c r="B1612" s="101"/>
      <c r="C1612" s="101"/>
      <c r="D1612" s="101"/>
      <c r="E1612" s="101"/>
      <c r="F1612" s="102"/>
      <c r="G1612" s="101"/>
      <c r="H1612" s="102"/>
      <c r="I1612" s="101"/>
      <c r="J1612" s="101"/>
      <c r="K1612" s="103"/>
      <c r="L1612" s="103"/>
      <c r="M1612" s="103"/>
      <c r="N1612" s="103"/>
      <c r="O1612" s="103"/>
      <c r="P1612" s="98"/>
      <c r="Q1612" s="99"/>
      <c r="R1612" s="105">
        <f t="shared" si="80"/>
        <v>0</v>
      </c>
      <c r="S1612" s="108">
        <f t="shared" si="79"/>
        <v>0</v>
      </c>
      <c r="T1612" s="105">
        <f t="shared" si="81"/>
        <v>0</v>
      </c>
    </row>
    <row r="1613" spans="1:20">
      <c r="A1613" s="101"/>
      <c r="B1613" s="101"/>
      <c r="C1613" s="101"/>
      <c r="D1613" s="101"/>
      <c r="E1613" s="101"/>
      <c r="F1613" s="102"/>
      <c r="G1613" s="101"/>
      <c r="H1613" s="102"/>
      <c r="I1613" s="101"/>
      <c r="J1613" s="101"/>
      <c r="K1613" s="103"/>
      <c r="L1613" s="103"/>
      <c r="M1613" s="103"/>
      <c r="N1613" s="103"/>
      <c r="O1613" s="103"/>
      <c r="P1613" s="98"/>
      <c r="Q1613" s="99"/>
      <c r="R1613" s="104">
        <f t="shared" si="80"/>
        <v>0</v>
      </c>
      <c r="S1613" s="104">
        <f t="shared" si="79"/>
        <v>0</v>
      </c>
      <c r="T1613" s="104">
        <f t="shared" si="81"/>
        <v>0</v>
      </c>
    </row>
    <row r="1614" spans="1:20">
      <c r="A1614" s="101"/>
      <c r="B1614" s="101"/>
      <c r="C1614" s="101"/>
      <c r="D1614" s="101"/>
      <c r="E1614" s="101"/>
      <c r="F1614" s="102"/>
      <c r="G1614" s="101"/>
      <c r="H1614" s="102"/>
      <c r="I1614" s="101"/>
      <c r="J1614" s="101"/>
      <c r="K1614" s="103"/>
      <c r="L1614" s="103"/>
      <c r="M1614" s="103"/>
      <c r="N1614" s="103"/>
      <c r="O1614" s="103"/>
      <c r="P1614" s="98"/>
      <c r="Q1614" s="99"/>
      <c r="R1614" s="105">
        <f t="shared" si="80"/>
        <v>0</v>
      </c>
      <c r="S1614" s="108">
        <f t="shared" si="79"/>
        <v>0</v>
      </c>
      <c r="T1614" s="105">
        <f t="shared" si="81"/>
        <v>0</v>
      </c>
    </row>
    <row r="1615" spans="1:20">
      <c r="A1615" s="101"/>
      <c r="B1615" s="101"/>
      <c r="C1615" s="101"/>
      <c r="D1615" s="101"/>
      <c r="E1615" s="101"/>
      <c r="F1615" s="102"/>
      <c r="G1615" s="101"/>
      <c r="H1615" s="102"/>
      <c r="I1615" s="101"/>
      <c r="J1615" s="101"/>
      <c r="K1615" s="103"/>
      <c r="L1615" s="103"/>
      <c r="M1615" s="103"/>
      <c r="N1615" s="103"/>
      <c r="O1615" s="103"/>
      <c r="P1615" s="98"/>
      <c r="Q1615" s="99"/>
      <c r="R1615" s="104">
        <f t="shared" si="80"/>
        <v>0</v>
      </c>
      <c r="S1615" s="104">
        <f t="shared" si="79"/>
        <v>0</v>
      </c>
      <c r="T1615" s="104">
        <f t="shared" si="81"/>
        <v>0</v>
      </c>
    </row>
    <row r="1616" spans="1:20">
      <c r="A1616" s="101"/>
      <c r="B1616" s="101"/>
      <c r="C1616" s="101"/>
      <c r="D1616" s="101"/>
      <c r="E1616" s="101"/>
      <c r="F1616" s="102"/>
      <c r="G1616" s="101"/>
      <c r="H1616" s="102"/>
      <c r="I1616" s="101"/>
      <c r="J1616" s="101"/>
      <c r="K1616" s="103"/>
      <c r="L1616" s="103"/>
      <c r="M1616" s="103"/>
      <c r="N1616" s="103"/>
      <c r="O1616" s="103"/>
      <c r="P1616" s="98"/>
      <c r="Q1616" s="99"/>
      <c r="R1616" s="105">
        <f t="shared" si="80"/>
        <v>0</v>
      </c>
      <c r="S1616" s="108">
        <f t="shared" si="79"/>
        <v>0</v>
      </c>
      <c r="T1616" s="105">
        <f t="shared" si="81"/>
        <v>0</v>
      </c>
    </row>
    <row r="1617" spans="1:20">
      <c r="A1617" s="101"/>
      <c r="B1617" s="101"/>
      <c r="C1617" s="101"/>
      <c r="D1617" s="101"/>
      <c r="E1617" s="101"/>
      <c r="F1617" s="102"/>
      <c r="G1617" s="101"/>
      <c r="H1617" s="102"/>
      <c r="I1617" s="101"/>
      <c r="J1617" s="101"/>
      <c r="K1617" s="103"/>
      <c r="L1617" s="103"/>
      <c r="M1617" s="103"/>
      <c r="N1617" s="103"/>
      <c r="O1617" s="103"/>
      <c r="P1617" s="98"/>
      <c r="Q1617" s="99"/>
      <c r="R1617" s="104">
        <f t="shared" si="80"/>
        <v>0</v>
      </c>
      <c r="S1617" s="104">
        <f t="shared" si="79"/>
        <v>0</v>
      </c>
      <c r="T1617" s="104">
        <f t="shared" si="81"/>
        <v>0</v>
      </c>
    </row>
    <row r="1618" spans="1:20">
      <c r="A1618" s="101"/>
      <c r="B1618" s="101"/>
      <c r="C1618" s="101"/>
      <c r="D1618" s="101"/>
      <c r="E1618" s="101"/>
      <c r="F1618" s="102"/>
      <c r="G1618" s="101"/>
      <c r="H1618" s="102"/>
      <c r="I1618" s="101"/>
      <c r="J1618" s="101"/>
      <c r="K1618" s="103"/>
      <c r="L1618" s="103"/>
      <c r="M1618" s="103"/>
      <c r="N1618" s="103"/>
      <c r="O1618" s="103"/>
      <c r="P1618" s="98"/>
      <c r="Q1618" s="99"/>
      <c r="R1618" s="105">
        <f t="shared" si="80"/>
        <v>0</v>
      </c>
      <c r="S1618" s="108">
        <f t="shared" si="79"/>
        <v>0</v>
      </c>
      <c r="T1618" s="105">
        <f t="shared" si="81"/>
        <v>0</v>
      </c>
    </row>
    <row r="1619" spans="1:20">
      <c r="A1619" s="101"/>
      <c r="B1619" s="101"/>
      <c r="C1619" s="101"/>
      <c r="D1619" s="101"/>
      <c r="E1619" s="101"/>
      <c r="F1619" s="102"/>
      <c r="G1619" s="101"/>
      <c r="H1619" s="102"/>
      <c r="I1619" s="101"/>
      <c r="J1619" s="101"/>
      <c r="K1619" s="103"/>
      <c r="L1619" s="103"/>
      <c r="M1619" s="103"/>
      <c r="N1619" s="103"/>
      <c r="O1619" s="103"/>
      <c r="P1619" s="98"/>
      <c r="Q1619" s="99"/>
      <c r="R1619" s="104">
        <f t="shared" si="80"/>
        <v>0</v>
      </c>
      <c r="S1619" s="104">
        <f t="shared" si="79"/>
        <v>0</v>
      </c>
      <c r="T1619" s="104">
        <f t="shared" si="81"/>
        <v>0</v>
      </c>
    </row>
    <row r="1620" spans="1:20">
      <c r="A1620" s="101"/>
      <c r="B1620" s="101"/>
      <c r="C1620" s="101"/>
      <c r="D1620" s="101"/>
      <c r="E1620" s="101"/>
      <c r="F1620" s="102"/>
      <c r="G1620" s="101"/>
      <c r="H1620" s="102"/>
      <c r="I1620" s="101"/>
      <c r="J1620" s="101"/>
      <c r="K1620" s="103"/>
      <c r="L1620" s="103"/>
      <c r="M1620" s="103"/>
      <c r="N1620" s="103"/>
      <c r="O1620" s="103"/>
      <c r="P1620" s="98"/>
      <c r="Q1620" s="99"/>
      <c r="R1620" s="105">
        <f t="shared" si="80"/>
        <v>0</v>
      </c>
      <c r="S1620" s="108">
        <f t="shared" si="79"/>
        <v>0</v>
      </c>
      <c r="T1620" s="105">
        <f t="shared" si="81"/>
        <v>0</v>
      </c>
    </row>
    <row r="1621" spans="1:20">
      <c r="A1621" s="101"/>
      <c r="B1621" s="101"/>
      <c r="C1621" s="101"/>
      <c r="D1621" s="101"/>
      <c r="E1621" s="101"/>
      <c r="F1621" s="102"/>
      <c r="G1621" s="101"/>
      <c r="H1621" s="102"/>
      <c r="I1621" s="101"/>
      <c r="J1621" s="101"/>
      <c r="K1621" s="103"/>
      <c r="L1621" s="103"/>
      <c r="M1621" s="103"/>
      <c r="N1621" s="103"/>
      <c r="O1621" s="103"/>
      <c r="P1621" s="98"/>
      <c r="Q1621" s="99"/>
      <c r="R1621" s="104">
        <f t="shared" si="80"/>
        <v>0</v>
      </c>
      <c r="S1621" s="104">
        <f t="shared" si="79"/>
        <v>0</v>
      </c>
      <c r="T1621" s="104">
        <f t="shared" si="81"/>
        <v>0</v>
      </c>
    </row>
    <row r="1622" spans="1:20">
      <c r="A1622" s="101"/>
      <c r="B1622" s="101"/>
      <c r="C1622" s="101"/>
      <c r="D1622" s="101"/>
      <c r="E1622" s="101"/>
      <c r="F1622" s="102"/>
      <c r="G1622" s="101"/>
      <c r="H1622" s="102"/>
      <c r="I1622" s="101"/>
      <c r="J1622" s="101"/>
      <c r="K1622" s="103"/>
      <c r="L1622" s="103"/>
      <c r="M1622" s="103"/>
      <c r="N1622" s="103"/>
      <c r="O1622" s="103"/>
      <c r="P1622" s="98"/>
      <c r="Q1622" s="99"/>
      <c r="R1622" s="105">
        <f t="shared" si="80"/>
        <v>0</v>
      </c>
      <c r="S1622" s="108">
        <f t="shared" si="79"/>
        <v>0</v>
      </c>
      <c r="T1622" s="105">
        <f t="shared" si="81"/>
        <v>0</v>
      </c>
    </row>
    <row r="1623" spans="1:20">
      <c r="A1623" s="101"/>
      <c r="B1623" s="101"/>
      <c r="C1623" s="101"/>
      <c r="D1623" s="101"/>
      <c r="E1623" s="101"/>
      <c r="F1623" s="102"/>
      <c r="G1623" s="101"/>
      <c r="H1623" s="102"/>
      <c r="I1623" s="101"/>
      <c r="J1623" s="101"/>
      <c r="K1623" s="103"/>
      <c r="L1623" s="103"/>
      <c r="M1623" s="103"/>
      <c r="N1623" s="103"/>
      <c r="O1623" s="103"/>
      <c r="P1623" s="98"/>
      <c r="Q1623" s="99"/>
      <c r="R1623" s="104">
        <f t="shared" si="80"/>
        <v>0</v>
      </c>
      <c r="S1623" s="104">
        <f t="shared" si="79"/>
        <v>0</v>
      </c>
      <c r="T1623" s="104">
        <f t="shared" si="81"/>
        <v>0</v>
      </c>
    </row>
    <row r="1624" spans="1:20">
      <c r="A1624" s="101"/>
      <c r="B1624" s="101"/>
      <c r="C1624" s="101"/>
      <c r="D1624" s="101"/>
      <c r="E1624" s="101"/>
      <c r="F1624" s="102"/>
      <c r="G1624" s="101"/>
      <c r="H1624" s="102"/>
      <c r="I1624" s="101"/>
      <c r="J1624" s="101"/>
      <c r="K1624" s="103"/>
      <c r="L1624" s="103"/>
      <c r="M1624" s="103"/>
      <c r="N1624" s="103"/>
      <c r="O1624" s="103"/>
      <c r="P1624" s="98"/>
      <c r="Q1624" s="99"/>
      <c r="R1624" s="105">
        <f t="shared" si="80"/>
        <v>0</v>
      </c>
      <c r="S1624" s="108">
        <f t="shared" si="79"/>
        <v>0</v>
      </c>
      <c r="T1624" s="105">
        <f t="shared" si="81"/>
        <v>0</v>
      </c>
    </row>
    <row r="1625" spans="1:20">
      <c r="A1625" s="101"/>
      <c r="B1625" s="101"/>
      <c r="C1625" s="101"/>
      <c r="D1625" s="101"/>
      <c r="E1625" s="101"/>
      <c r="F1625" s="102"/>
      <c r="G1625" s="101"/>
      <c r="H1625" s="102"/>
      <c r="I1625" s="101"/>
      <c r="J1625" s="101"/>
      <c r="K1625" s="103"/>
      <c r="L1625" s="103"/>
      <c r="M1625" s="103"/>
      <c r="N1625" s="103"/>
      <c r="O1625" s="103"/>
      <c r="P1625" s="98"/>
      <c r="Q1625" s="99"/>
      <c r="R1625" s="104">
        <f t="shared" si="80"/>
        <v>0</v>
      </c>
      <c r="S1625" s="104">
        <f t="shared" si="79"/>
        <v>0</v>
      </c>
      <c r="T1625" s="104">
        <f t="shared" si="81"/>
        <v>0</v>
      </c>
    </row>
    <row r="1626" spans="1:20">
      <c r="A1626" s="101"/>
      <c r="B1626" s="101"/>
      <c r="C1626" s="101"/>
      <c r="D1626" s="101"/>
      <c r="E1626" s="101"/>
      <c r="F1626" s="102"/>
      <c r="G1626" s="101"/>
      <c r="H1626" s="102"/>
      <c r="I1626" s="101"/>
      <c r="J1626" s="101"/>
      <c r="K1626" s="103"/>
      <c r="L1626" s="103"/>
      <c r="M1626" s="103"/>
      <c r="N1626" s="103"/>
      <c r="O1626" s="103"/>
      <c r="P1626" s="98"/>
      <c r="Q1626" s="99"/>
      <c r="R1626" s="105">
        <f t="shared" si="80"/>
        <v>0</v>
      </c>
      <c r="S1626" s="108">
        <f t="shared" si="79"/>
        <v>0</v>
      </c>
      <c r="T1626" s="105">
        <f t="shared" si="81"/>
        <v>0</v>
      </c>
    </row>
    <row r="1627" spans="1:20">
      <c r="A1627" s="101"/>
      <c r="B1627" s="101"/>
      <c r="C1627" s="101"/>
      <c r="D1627" s="101"/>
      <c r="E1627" s="101"/>
      <c r="F1627" s="102"/>
      <c r="G1627" s="101"/>
      <c r="H1627" s="102"/>
      <c r="I1627" s="101"/>
      <c r="J1627" s="101"/>
      <c r="K1627" s="103"/>
      <c r="L1627" s="103"/>
      <c r="M1627" s="103"/>
      <c r="N1627" s="103"/>
      <c r="O1627" s="103"/>
      <c r="P1627" s="98"/>
      <c r="Q1627" s="99"/>
      <c r="R1627" s="104">
        <f t="shared" si="80"/>
        <v>0</v>
      </c>
      <c r="S1627" s="104">
        <f t="shared" si="79"/>
        <v>0</v>
      </c>
      <c r="T1627" s="104">
        <f t="shared" si="81"/>
        <v>0</v>
      </c>
    </row>
    <row r="1628" spans="1:20">
      <c r="A1628" s="101"/>
      <c r="B1628" s="101"/>
      <c r="C1628" s="101"/>
      <c r="D1628" s="101"/>
      <c r="E1628" s="101"/>
      <c r="F1628" s="102"/>
      <c r="G1628" s="101"/>
      <c r="H1628" s="102"/>
      <c r="I1628" s="101"/>
      <c r="J1628" s="101"/>
      <c r="K1628" s="103"/>
      <c r="L1628" s="103"/>
      <c r="M1628" s="103"/>
      <c r="N1628" s="103"/>
      <c r="O1628" s="103"/>
      <c r="P1628" s="98"/>
      <c r="Q1628" s="99"/>
      <c r="R1628" s="105">
        <f t="shared" si="80"/>
        <v>0</v>
      </c>
      <c r="S1628" s="108">
        <f t="shared" si="79"/>
        <v>0</v>
      </c>
      <c r="T1628" s="105">
        <f t="shared" si="81"/>
        <v>0</v>
      </c>
    </row>
    <row r="1629" spans="1:20">
      <c r="A1629" s="101"/>
      <c r="B1629" s="101"/>
      <c r="C1629" s="101"/>
      <c r="D1629" s="101"/>
      <c r="E1629" s="101"/>
      <c r="F1629" s="102"/>
      <c r="G1629" s="101"/>
      <c r="H1629" s="102"/>
      <c r="I1629" s="101"/>
      <c r="J1629" s="101"/>
      <c r="K1629" s="103"/>
      <c r="L1629" s="103"/>
      <c r="M1629" s="103"/>
      <c r="N1629" s="103"/>
      <c r="O1629" s="103"/>
      <c r="P1629" s="98"/>
      <c r="Q1629" s="99"/>
      <c r="R1629" s="104">
        <f t="shared" si="80"/>
        <v>0</v>
      </c>
      <c r="S1629" s="104">
        <f t="shared" si="79"/>
        <v>0</v>
      </c>
      <c r="T1629" s="104">
        <f t="shared" si="81"/>
        <v>0</v>
      </c>
    </row>
    <row r="1630" spans="1:20">
      <c r="A1630" s="101"/>
      <c r="B1630" s="101"/>
      <c r="C1630" s="101"/>
      <c r="D1630" s="101"/>
      <c r="E1630" s="101"/>
      <c r="F1630" s="102"/>
      <c r="G1630" s="101"/>
      <c r="H1630" s="102"/>
      <c r="I1630" s="101"/>
      <c r="J1630" s="101"/>
      <c r="K1630" s="103"/>
      <c r="L1630" s="103"/>
      <c r="M1630" s="103"/>
      <c r="N1630" s="103"/>
      <c r="O1630" s="103"/>
      <c r="P1630" s="98"/>
      <c r="Q1630" s="99"/>
      <c r="R1630" s="105">
        <f t="shared" si="80"/>
        <v>0</v>
      </c>
      <c r="S1630" s="108">
        <f t="shared" si="79"/>
        <v>0</v>
      </c>
      <c r="T1630" s="105">
        <f t="shared" si="81"/>
        <v>0</v>
      </c>
    </row>
    <row r="1631" spans="1:20">
      <c r="A1631" s="101"/>
      <c r="B1631" s="101"/>
      <c r="C1631" s="101"/>
      <c r="D1631" s="101"/>
      <c r="E1631" s="101"/>
      <c r="F1631" s="102"/>
      <c r="G1631" s="101"/>
      <c r="H1631" s="102"/>
      <c r="I1631" s="101"/>
      <c r="J1631" s="101"/>
      <c r="K1631" s="103"/>
      <c r="L1631" s="103"/>
      <c r="M1631" s="103"/>
      <c r="N1631" s="103"/>
      <c r="O1631" s="103"/>
      <c r="P1631" s="98"/>
      <c r="Q1631" s="99"/>
      <c r="R1631" s="104">
        <f t="shared" si="80"/>
        <v>0</v>
      </c>
      <c r="S1631" s="104">
        <f t="shared" si="79"/>
        <v>0</v>
      </c>
      <c r="T1631" s="104">
        <f t="shared" si="81"/>
        <v>0</v>
      </c>
    </row>
    <row r="1632" spans="1:20">
      <c r="A1632" s="101"/>
      <c r="B1632" s="101"/>
      <c r="C1632" s="101"/>
      <c r="D1632" s="101"/>
      <c r="E1632" s="101"/>
      <c r="F1632" s="102"/>
      <c r="G1632" s="101"/>
      <c r="H1632" s="102"/>
      <c r="I1632" s="101"/>
      <c r="J1632" s="101"/>
      <c r="K1632" s="103"/>
      <c r="L1632" s="103"/>
      <c r="M1632" s="103"/>
      <c r="N1632" s="103"/>
      <c r="O1632" s="103"/>
      <c r="P1632" s="98"/>
      <c r="Q1632" s="99"/>
      <c r="R1632" s="105">
        <f t="shared" si="80"/>
        <v>0</v>
      </c>
      <c r="S1632" s="108">
        <f t="shared" si="79"/>
        <v>0</v>
      </c>
      <c r="T1632" s="105">
        <f t="shared" si="81"/>
        <v>0</v>
      </c>
    </row>
    <row r="1633" spans="1:20">
      <c r="A1633" s="101"/>
      <c r="B1633" s="101"/>
      <c r="C1633" s="101"/>
      <c r="D1633" s="101"/>
      <c r="E1633" s="101"/>
      <c r="F1633" s="102"/>
      <c r="G1633" s="101"/>
      <c r="H1633" s="102"/>
      <c r="I1633" s="101"/>
      <c r="J1633" s="101"/>
      <c r="K1633" s="103"/>
      <c r="L1633" s="103"/>
      <c r="M1633" s="103"/>
      <c r="N1633" s="103"/>
      <c r="O1633" s="103"/>
      <c r="P1633" s="98"/>
      <c r="Q1633" s="99"/>
      <c r="R1633" s="104">
        <f t="shared" si="80"/>
        <v>0</v>
      </c>
      <c r="S1633" s="104">
        <f t="shared" si="79"/>
        <v>0</v>
      </c>
      <c r="T1633" s="104">
        <f t="shared" si="81"/>
        <v>0</v>
      </c>
    </row>
    <row r="1634" spans="1:20">
      <c r="A1634" s="101"/>
      <c r="B1634" s="101"/>
      <c r="C1634" s="101"/>
      <c r="D1634" s="101"/>
      <c r="E1634" s="101"/>
      <c r="F1634" s="102"/>
      <c r="G1634" s="101"/>
      <c r="H1634" s="102"/>
      <c r="I1634" s="101"/>
      <c r="J1634" s="101"/>
      <c r="K1634" s="103"/>
      <c r="L1634" s="103"/>
      <c r="M1634" s="103"/>
      <c r="N1634" s="103"/>
      <c r="O1634" s="103"/>
      <c r="P1634" s="98"/>
      <c r="Q1634" s="99"/>
      <c r="R1634" s="105">
        <f t="shared" si="80"/>
        <v>0</v>
      </c>
      <c r="S1634" s="108">
        <f t="shared" si="79"/>
        <v>0</v>
      </c>
      <c r="T1634" s="105">
        <f t="shared" si="81"/>
        <v>0</v>
      </c>
    </row>
    <row r="1635" spans="1:20">
      <c r="A1635" s="101"/>
      <c r="B1635" s="101"/>
      <c r="C1635" s="101"/>
      <c r="D1635" s="101"/>
      <c r="E1635" s="101"/>
      <c r="F1635" s="102"/>
      <c r="G1635" s="101"/>
      <c r="H1635" s="102"/>
      <c r="I1635" s="101"/>
      <c r="J1635" s="101"/>
      <c r="K1635" s="103"/>
      <c r="L1635" s="103"/>
      <c r="M1635" s="103"/>
      <c r="N1635" s="103"/>
      <c r="O1635" s="103"/>
      <c r="P1635" s="98"/>
      <c r="Q1635" s="99"/>
      <c r="R1635" s="104">
        <f t="shared" si="80"/>
        <v>0</v>
      </c>
      <c r="S1635" s="104">
        <f t="shared" si="79"/>
        <v>0</v>
      </c>
      <c r="T1635" s="104">
        <f t="shared" si="81"/>
        <v>0</v>
      </c>
    </row>
    <row r="1636" spans="1:20">
      <c r="A1636" s="101"/>
      <c r="B1636" s="101"/>
      <c r="C1636" s="101"/>
      <c r="D1636" s="101"/>
      <c r="E1636" s="101"/>
      <c r="F1636" s="102"/>
      <c r="G1636" s="101"/>
      <c r="H1636" s="102"/>
      <c r="I1636" s="101"/>
      <c r="J1636" s="101"/>
      <c r="K1636" s="103"/>
      <c r="L1636" s="103"/>
      <c r="M1636" s="103"/>
      <c r="N1636" s="103"/>
      <c r="O1636" s="103"/>
      <c r="P1636" s="98"/>
      <c r="Q1636" s="99"/>
      <c r="R1636" s="105">
        <f t="shared" si="80"/>
        <v>0</v>
      </c>
      <c r="S1636" s="108">
        <f t="shared" si="79"/>
        <v>0</v>
      </c>
      <c r="T1636" s="105">
        <f t="shared" si="81"/>
        <v>0</v>
      </c>
    </row>
    <row r="1637" spans="1:20">
      <c r="A1637" s="101"/>
      <c r="B1637" s="101"/>
      <c r="C1637" s="101"/>
      <c r="D1637" s="101"/>
      <c r="E1637" s="101"/>
      <c r="F1637" s="102"/>
      <c r="G1637" s="101"/>
      <c r="H1637" s="102"/>
      <c r="I1637" s="101"/>
      <c r="J1637" s="101"/>
      <c r="K1637" s="103"/>
      <c r="L1637" s="103"/>
      <c r="M1637" s="103"/>
      <c r="N1637" s="103"/>
      <c r="O1637" s="103"/>
      <c r="P1637" s="98"/>
      <c r="Q1637" s="99"/>
      <c r="R1637" s="104">
        <f t="shared" si="80"/>
        <v>0</v>
      </c>
      <c r="S1637" s="104">
        <f t="shared" si="79"/>
        <v>0</v>
      </c>
      <c r="T1637" s="104">
        <f t="shared" si="81"/>
        <v>0</v>
      </c>
    </row>
    <row r="1638" spans="1:20">
      <c r="A1638" s="101"/>
      <c r="B1638" s="101"/>
      <c r="C1638" s="101"/>
      <c r="D1638" s="101"/>
      <c r="E1638" s="101"/>
      <c r="F1638" s="102"/>
      <c r="G1638" s="101"/>
      <c r="H1638" s="102"/>
      <c r="I1638" s="101"/>
      <c r="J1638" s="101"/>
      <c r="K1638" s="103"/>
      <c r="L1638" s="103"/>
      <c r="M1638" s="103"/>
      <c r="N1638" s="103"/>
      <c r="O1638" s="103"/>
      <c r="P1638" s="98"/>
      <c r="Q1638" s="99"/>
      <c r="R1638" s="105">
        <f t="shared" si="80"/>
        <v>0</v>
      </c>
      <c r="S1638" s="108">
        <f t="shared" si="79"/>
        <v>0</v>
      </c>
      <c r="T1638" s="105">
        <f t="shared" si="81"/>
        <v>0</v>
      </c>
    </row>
    <row r="1639" spans="1:20">
      <c r="A1639" s="101"/>
      <c r="B1639" s="101"/>
      <c r="C1639" s="101"/>
      <c r="D1639" s="101"/>
      <c r="E1639" s="101"/>
      <c r="F1639" s="102"/>
      <c r="G1639" s="101"/>
      <c r="H1639" s="102"/>
      <c r="I1639" s="101"/>
      <c r="J1639" s="101"/>
      <c r="K1639" s="103"/>
      <c r="L1639" s="103"/>
      <c r="M1639" s="103"/>
      <c r="N1639" s="103"/>
      <c r="O1639" s="103"/>
      <c r="P1639" s="98"/>
      <c r="Q1639" s="99"/>
      <c r="R1639" s="104">
        <f t="shared" si="80"/>
        <v>0</v>
      </c>
      <c r="S1639" s="104">
        <f t="shared" si="79"/>
        <v>0</v>
      </c>
      <c r="T1639" s="104">
        <f t="shared" si="81"/>
        <v>0</v>
      </c>
    </row>
    <row r="1640" spans="1:20">
      <c r="A1640" s="101"/>
      <c r="B1640" s="101"/>
      <c r="C1640" s="101"/>
      <c r="D1640" s="101"/>
      <c r="E1640" s="101"/>
      <c r="F1640" s="102"/>
      <c r="G1640" s="101"/>
      <c r="H1640" s="102"/>
      <c r="I1640" s="101"/>
      <c r="J1640" s="101"/>
      <c r="K1640" s="103"/>
      <c r="L1640" s="103"/>
      <c r="M1640" s="103"/>
      <c r="N1640" s="103"/>
      <c r="O1640" s="103"/>
      <c r="P1640" s="98"/>
      <c r="Q1640" s="99"/>
      <c r="R1640" s="105">
        <f t="shared" si="80"/>
        <v>0</v>
      </c>
      <c r="S1640" s="108">
        <f t="shared" si="79"/>
        <v>0</v>
      </c>
      <c r="T1640" s="105">
        <f t="shared" si="81"/>
        <v>0</v>
      </c>
    </row>
    <row r="1641" spans="1:20">
      <c r="A1641" s="101"/>
      <c r="B1641" s="101"/>
      <c r="C1641" s="101"/>
      <c r="D1641" s="101"/>
      <c r="E1641" s="101"/>
      <c r="F1641" s="102"/>
      <c r="G1641" s="101"/>
      <c r="H1641" s="102"/>
      <c r="I1641" s="101"/>
      <c r="J1641" s="101"/>
      <c r="K1641" s="103"/>
      <c r="L1641" s="103"/>
      <c r="M1641" s="103"/>
      <c r="N1641" s="103"/>
      <c r="O1641" s="103"/>
      <c r="P1641" s="98"/>
      <c r="Q1641" s="99"/>
      <c r="R1641" s="104">
        <f t="shared" si="80"/>
        <v>0</v>
      </c>
      <c r="S1641" s="104">
        <f t="shared" si="79"/>
        <v>0</v>
      </c>
      <c r="T1641" s="104">
        <f t="shared" si="81"/>
        <v>0</v>
      </c>
    </row>
    <row r="1642" spans="1:20">
      <c r="A1642" s="101"/>
      <c r="B1642" s="101"/>
      <c r="C1642" s="101"/>
      <c r="D1642" s="101"/>
      <c r="E1642" s="101"/>
      <c r="F1642" s="102"/>
      <c r="G1642" s="101"/>
      <c r="H1642" s="102"/>
      <c r="I1642" s="101"/>
      <c r="J1642" s="101"/>
      <c r="K1642" s="103"/>
      <c r="L1642" s="103"/>
      <c r="M1642" s="103"/>
      <c r="N1642" s="103"/>
      <c r="O1642" s="103"/>
      <c r="P1642" s="98"/>
      <c r="Q1642" s="99"/>
      <c r="R1642" s="105">
        <f t="shared" si="80"/>
        <v>0</v>
      </c>
      <c r="S1642" s="108">
        <f t="shared" si="79"/>
        <v>0</v>
      </c>
      <c r="T1642" s="105">
        <f t="shared" si="81"/>
        <v>0</v>
      </c>
    </row>
    <row r="1643" spans="1:20">
      <c r="A1643" s="101"/>
      <c r="B1643" s="101"/>
      <c r="C1643" s="101"/>
      <c r="D1643" s="101"/>
      <c r="E1643" s="101"/>
      <c r="F1643" s="102"/>
      <c r="G1643" s="101"/>
      <c r="H1643" s="102"/>
      <c r="I1643" s="101"/>
      <c r="J1643" s="101"/>
      <c r="K1643" s="103"/>
      <c r="L1643" s="103"/>
      <c r="M1643" s="103"/>
      <c r="N1643" s="103"/>
      <c r="O1643" s="103"/>
      <c r="P1643" s="98"/>
      <c r="Q1643" s="99"/>
      <c r="R1643" s="104">
        <f t="shared" si="80"/>
        <v>0</v>
      </c>
      <c r="S1643" s="104">
        <f t="shared" si="79"/>
        <v>0</v>
      </c>
      <c r="T1643" s="104">
        <f t="shared" si="81"/>
        <v>0</v>
      </c>
    </row>
    <row r="1644" spans="1:20">
      <c r="A1644" s="101"/>
      <c r="B1644" s="101"/>
      <c r="C1644" s="101"/>
      <c r="D1644" s="101"/>
      <c r="E1644" s="101"/>
      <c r="F1644" s="102"/>
      <c r="G1644" s="101"/>
      <c r="H1644" s="102"/>
      <c r="I1644" s="101"/>
      <c r="J1644" s="101"/>
      <c r="K1644" s="103"/>
      <c r="L1644" s="103"/>
      <c r="M1644" s="103"/>
      <c r="N1644" s="103"/>
      <c r="O1644" s="103"/>
      <c r="P1644" s="98"/>
      <c r="Q1644" s="99"/>
      <c r="R1644" s="105">
        <f t="shared" si="80"/>
        <v>0</v>
      </c>
      <c r="S1644" s="108">
        <f t="shared" si="79"/>
        <v>0</v>
      </c>
      <c r="T1644" s="105">
        <f t="shared" si="81"/>
        <v>0</v>
      </c>
    </row>
    <row r="1645" spans="1:20">
      <c r="A1645" s="101"/>
      <c r="B1645" s="101"/>
      <c r="C1645" s="101"/>
      <c r="D1645" s="101"/>
      <c r="E1645" s="101"/>
      <c r="F1645" s="102"/>
      <c r="G1645" s="101"/>
      <c r="H1645" s="102"/>
      <c r="I1645" s="101"/>
      <c r="J1645" s="101"/>
      <c r="K1645" s="103"/>
      <c r="L1645" s="103"/>
      <c r="M1645" s="103"/>
      <c r="N1645" s="103"/>
      <c r="O1645" s="103"/>
      <c r="P1645" s="98"/>
      <c r="Q1645" s="99"/>
      <c r="R1645" s="104">
        <f t="shared" si="80"/>
        <v>0</v>
      </c>
      <c r="S1645" s="104">
        <f t="shared" si="79"/>
        <v>0</v>
      </c>
      <c r="T1645" s="104">
        <f t="shared" si="81"/>
        <v>0</v>
      </c>
    </row>
    <row r="1646" spans="1:20">
      <c r="A1646" s="101"/>
      <c r="B1646" s="101"/>
      <c r="C1646" s="101"/>
      <c r="D1646" s="101"/>
      <c r="E1646" s="101"/>
      <c r="F1646" s="102"/>
      <c r="G1646" s="101"/>
      <c r="H1646" s="102"/>
      <c r="I1646" s="101"/>
      <c r="J1646" s="101"/>
      <c r="K1646" s="103"/>
      <c r="L1646" s="103"/>
      <c r="M1646" s="103"/>
      <c r="N1646" s="103"/>
      <c r="O1646" s="103"/>
      <c r="P1646" s="98"/>
      <c r="Q1646" s="99"/>
      <c r="R1646" s="105">
        <f t="shared" si="80"/>
        <v>0</v>
      </c>
      <c r="S1646" s="108">
        <f t="shared" si="79"/>
        <v>0</v>
      </c>
      <c r="T1646" s="105">
        <f t="shared" si="81"/>
        <v>0</v>
      </c>
    </row>
    <row r="1647" spans="1:20">
      <c r="A1647" s="101"/>
      <c r="B1647" s="101"/>
      <c r="C1647" s="101"/>
      <c r="D1647" s="101"/>
      <c r="E1647" s="101"/>
      <c r="F1647" s="102"/>
      <c r="G1647" s="101"/>
      <c r="H1647" s="102"/>
      <c r="I1647" s="101"/>
      <c r="J1647" s="101"/>
      <c r="K1647" s="103"/>
      <c r="L1647" s="103"/>
      <c r="M1647" s="103"/>
      <c r="N1647" s="103"/>
      <c r="O1647" s="103"/>
      <c r="P1647" s="98"/>
      <c r="Q1647" s="99"/>
      <c r="R1647" s="104">
        <f t="shared" si="80"/>
        <v>0</v>
      </c>
      <c r="S1647" s="104">
        <f t="shared" si="79"/>
        <v>0</v>
      </c>
      <c r="T1647" s="104">
        <f t="shared" si="81"/>
        <v>0</v>
      </c>
    </row>
    <row r="1648" spans="1:20">
      <c r="A1648" s="101"/>
      <c r="B1648" s="101"/>
      <c r="C1648" s="101"/>
      <c r="D1648" s="101"/>
      <c r="E1648" s="101"/>
      <c r="F1648" s="102"/>
      <c r="G1648" s="101"/>
      <c r="H1648" s="102"/>
      <c r="I1648" s="101"/>
      <c r="J1648" s="101"/>
      <c r="K1648" s="103"/>
      <c r="L1648" s="103"/>
      <c r="M1648" s="103"/>
      <c r="N1648" s="103"/>
      <c r="O1648" s="103"/>
      <c r="P1648" s="98"/>
      <c r="Q1648" s="99"/>
      <c r="R1648" s="105">
        <f t="shared" si="80"/>
        <v>0</v>
      </c>
      <c r="S1648" s="108">
        <f t="shared" si="79"/>
        <v>0</v>
      </c>
      <c r="T1648" s="105">
        <f t="shared" si="81"/>
        <v>0</v>
      </c>
    </row>
    <row r="1649" spans="1:20">
      <c r="A1649" s="101"/>
      <c r="B1649" s="101"/>
      <c r="C1649" s="101"/>
      <c r="D1649" s="101"/>
      <c r="E1649" s="101"/>
      <c r="F1649" s="102"/>
      <c r="G1649" s="101"/>
      <c r="H1649" s="102"/>
      <c r="I1649" s="101"/>
      <c r="J1649" s="101"/>
      <c r="K1649" s="103"/>
      <c r="L1649" s="103"/>
      <c r="M1649" s="103"/>
      <c r="N1649" s="103"/>
      <c r="O1649" s="103"/>
      <c r="P1649" s="98"/>
      <c r="Q1649" s="99"/>
      <c r="R1649" s="104">
        <f t="shared" si="80"/>
        <v>0</v>
      </c>
      <c r="S1649" s="104">
        <f t="shared" si="79"/>
        <v>0</v>
      </c>
      <c r="T1649" s="104">
        <f t="shared" si="81"/>
        <v>0</v>
      </c>
    </row>
    <row r="1650" spans="1:20">
      <c r="A1650" s="101"/>
      <c r="B1650" s="101"/>
      <c r="C1650" s="101"/>
      <c r="D1650" s="101"/>
      <c r="E1650" s="101"/>
      <c r="F1650" s="102"/>
      <c r="G1650" s="101"/>
      <c r="H1650" s="102"/>
      <c r="I1650" s="101"/>
      <c r="J1650" s="101"/>
      <c r="K1650" s="103"/>
      <c r="L1650" s="103"/>
      <c r="M1650" s="103"/>
      <c r="N1650" s="103"/>
      <c r="O1650" s="103"/>
      <c r="P1650" s="98"/>
      <c r="Q1650" s="99"/>
      <c r="R1650" s="105">
        <f t="shared" si="80"/>
        <v>0</v>
      </c>
      <c r="S1650" s="108">
        <f t="shared" si="79"/>
        <v>0</v>
      </c>
      <c r="T1650" s="105">
        <f t="shared" si="81"/>
        <v>0</v>
      </c>
    </row>
    <row r="1651" spans="1:20">
      <c r="A1651" s="101"/>
      <c r="B1651" s="101"/>
      <c r="C1651" s="101"/>
      <c r="D1651" s="101"/>
      <c r="E1651" s="101"/>
      <c r="F1651" s="102"/>
      <c r="G1651" s="101"/>
      <c r="H1651" s="102"/>
      <c r="I1651" s="101"/>
      <c r="J1651" s="101"/>
      <c r="K1651" s="103"/>
      <c r="L1651" s="103"/>
      <c r="M1651" s="103"/>
      <c r="N1651" s="103"/>
      <c r="O1651" s="103"/>
      <c r="P1651" s="98"/>
      <c r="Q1651" s="99"/>
      <c r="R1651" s="104">
        <f t="shared" si="80"/>
        <v>0</v>
      </c>
      <c r="S1651" s="104">
        <f t="shared" si="79"/>
        <v>0</v>
      </c>
      <c r="T1651" s="104">
        <f t="shared" si="81"/>
        <v>0</v>
      </c>
    </row>
    <row r="1652" spans="1:20">
      <c r="A1652" s="101"/>
      <c r="B1652" s="101"/>
      <c r="C1652" s="101"/>
      <c r="D1652" s="101"/>
      <c r="E1652" s="101"/>
      <c r="F1652" s="102"/>
      <c r="G1652" s="101"/>
      <c r="H1652" s="102"/>
      <c r="I1652" s="101"/>
      <c r="J1652" s="101"/>
      <c r="K1652" s="103"/>
      <c r="L1652" s="103"/>
      <c r="M1652" s="103"/>
      <c r="N1652" s="103"/>
      <c r="O1652" s="103"/>
      <c r="P1652" s="98"/>
      <c r="Q1652" s="99"/>
      <c r="R1652" s="105">
        <f t="shared" si="80"/>
        <v>0</v>
      </c>
      <c r="S1652" s="108">
        <f t="shared" si="79"/>
        <v>0</v>
      </c>
      <c r="T1652" s="105">
        <f t="shared" si="81"/>
        <v>0</v>
      </c>
    </row>
    <row r="1653" spans="1:20">
      <c r="A1653" s="101"/>
      <c r="B1653" s="101"/>
      <c r="C1653" s="101"/>
      <c r="D1653" s="101"/>
      <c r="E1653" s="101"/>
      <c r="F1653" s="102"/>
      <c r="G1653" s="101"/>
      <c r="H1653" s="102"/>
      <c r="I1653" s="101"/>
      <c r="J1653" s="101"/>
      <c r="K1653" s="103"/>
      <c r="L1653" s="103"/>
      <c r="M1653" s="103"/>
      <c r="N1653" s="103"/>
      <c r="O1653" s="103"/>
      <c r="P1653" s="98"/>
      <c r="Q1653" s="99"/>
      <c r="R1653" s="104">
        <f t="shared" si="80"/>
        <v>0</v>
      </c>
      <c r="S1653" s="104">
        <f t="shared" si="79"/>
        <v>0</v>
      </c>
      <c r="T1653" s="104">
        <f t="shared" si="81"/>
        <v>0</v>
      </c>
    </row>
    <row r="1654" spans="1:20">
      <c r="A1654" s="101"/>
      <c r="B1654" s="101"/>
      <c r="C1654" s="101"/>
      <c r="D1654" s="101"/>
      <c r="E1654" s="101"/>
      <c r="F1654" s="102"/>
      <c r="G1654" s="101"/>
      <c r="H1654" s="102"/>
      <c r="I1654" s="101"/>
      <c r="J1654" s="101"/>
      <c r="K1654" s="103"/>
      <c r="L1654" s="103"/>
      <c r="M1654" s="103"/>
      <c r="N1654" s="103"/>
      <c r="O1654" s="103"/>
      <c r="P1654" s="98"/>
      <c r="Q1654" s="99"/>
      <c r="R1654" s="105">
        <f t="shared" si="80"/>
        <v>0</v>
      </c>
      <c r="S1654" s="108">
        <f t="shared" si="79"/>
        <v>0</v>
      </c>
      <c r="T1654" s="105">
        <f t="shared" si="81"/>
        <v>0</v>
      </c>
    </row>
    <row r="1655" spans="1:20">
      <c r="A1655" s="101"/>
      <c r="B1655" s="101"/>
      <c r="C1655" s="101"/>
      <c r="D1655" s="101"/>
      <c r="E1655" s="101"/>
      <c r="F1655" s="102"/>
      <c r="G1655" s="101"/>
      <c r="H1655" s="102"/>
      <c r="I1655" s="101"/>
      <c r="J1655" s="101"/>
      <c r="K1655" s="103"/>
      <c r="L1655" s="103"/>
      <c r="M1655" s="103"/>
      <c r="N1655" s="103"/>
      <c r="O1655" s="103"/>
      <c r="P1655" s="98"/>
      <c r="Q1655" s="99"/>
      <c r="R1655" s="104">
        <f t="shared" si="80"/>
        <v>0</v>
      </c>
      <c r="S1655" s="104">
        <f t="shared" si="79"/>
        <v>0</v>
      </c>
      <c r="T1655" s="104">
        <f t="shared" si="81"/>
        <v>0</v>
      </c>
    </row>
    <row r="1656" spans="1:20">
      <c r="A1656" s="101"/>
      <c r="B1656" s="101"/>
      <c r="C1656" s="101"/>
      <c r="D1656" s="101"/>
      <c r="E1656" s="101"/>
      <c r="F1656" s="102"/>
      <c r="G1656" s="101"/>
      <c r="H1656" s="102"/>
      <c r="I1656" s="101"/>
      <c r="J1656" s="101"/>
      <c r="K1656" s="103"/>
      <c r="L1656" s="103"/>
      <c r="M1656" s="103"/>
      <c r="N1656" s="103"/>
      <c r="O1656" s="103"/>
      <c r="P1656" s="98"/>
      <c r="Q1656" s="99"/>
      <c r="R1656" s="105">
        <f t="shared" si="80"/>
        <v>0</v>
      </c>
      <c r="S1656" s="108">
        <f t="shared" si="79"/>
        <v>0</v>
      </c>
      <c r="T1656" s="105">
        <f t="shared" si="81"/>
        <v>0</v>
      </c>
    </row>
    <row r="1657" spans="1:20">
      <c r="A1657" s="101"/>
      <c r="B1657" s="101"/>
      <c r="C1657" s="101"/>
      <c r="D1657" s="101"/>
      <c r="E1657" s="101"/>
      <c r="F1657" s="102"/>
      <c r="G1657" s="101"/>
      <c r="H1657" s="102"/>
      <c r="I1657" s="101"/>
      <c r="J1657" s="101"/>
      <c r="K1657" s="103"/>
      <c r="L1657" s="103"/>
      <c r="M1657" s="103"/>
      <c r="N1657" s="103"/>
      <c r="O1657" s="103"/>
      <c r="P1657" s="98"/>
      <c r="Q1657" s="99"/>
      <c r="R1657" s="104">
        <f t="shared" si="80"/>
        <v>0</v>
      </c>
      <c r="S1657" s="104">
        <f t="shared" si="79"/>
        <v>0</v>
      </c>
      <c r="T1657" s="104">
        <f t="shared" si="81"/>
        <v>0</v>
      </c>
    </row>
    <row r="1658" spans="1:20">
      <c r="A1658" s="101"/>
      <c r="B1658" s="101"/>
      <c r="C1658" s="101"/>
      <c r="D1658" s="101"/>
      <c r="E1658" s="101"/>
      <c r="F1658" s="102"/>
      <c r="G1658" s="101"/>
      <c r="H1658" s="102"/>
      <c r="I1658" s="101"/>
      <c r="J1658" s="101"/>
      <c r="K1658" s="103"/>
      <c r="L1658" s="103"/>
      <c r="M1658" s="103"/>
      <c r="N1658" s="103"/>
      <c r="O1658" s="103"/>
      <c r="P1658" s="98"/>
      <c r="Q1658" s="99"/>
      <c r="R1658" s="105">
        <f t="shared" si="80"/>
        <v>0</v>
      </c>
      <c r="S1658" s="108">
        <f t="shared" si="79"/>
        <v>0</v>
      </c>
      <c r="T1658" s="105">
        <f t="shared" si="81"/>
        <v>0</v>
      </c>
    </row>
    <row r="1659" spans="1:20">
      <c r="A1659" s="101"/>
      <c r="B1659" s="101"/>
      <c r="C1659" s="101"/>
      <c r="D1659" s="101"/>
      <c r="E1659" s="101"/>
      <c r="F1659" s="102"/>
      <c r="G1659" s="101"/>
      <c r="H1659" s="102"/>
      <c r="I1659" s="101"/>
      <c r="J1659" s="101"/>
      <c r="K1659" s="103"/>
      <c r="L1659" s="103"/>
      <c r="M1659" s="103"/>
      <c r="N1659" s="103"/>
      <c r="O1659" s="103"/>
      <c r="P1659" s="98"/>
      <c r="Q1659" s="99"/>
      <c r="R1659" s="104">
        <f t="shared" si="80"/>
        <v>0</v>
      </c>
      <c r="S1659" s="104">
        <f t="shared" si="79"/>
        <v>0</v>
      </c>
      <c r="T1659" s="104">
        <f t="shared" si="81"/>
        <v>0</v>
      </c>
    </row>
    <row r="1660" spans="1:20">
      <c r="A1660" s="101"/>
      <c r="B1660" s="101"/>
      <c r="C1660" s="101"/>
      <c r="D1660" s="101"/>
      <c r="E1660" s="101"/>
      <c r="F1660" s="102"/>
      <c r="G1660" s="101"/>
      <c r="H1660" s="102"/>
      <c r="I1660" s="101"/>
      <c r="J1660" s="101"/>
      <c r="K1660" s="103"/>
      <c r="L1660" s="103"/>
      <c r="M1660" s="103"/>
      <c r="N1660" s="103"/>
      <c r="O1660" s="103"/>
      <c r="P1660" s="98"/>
      <c r="Q1660" s="99"/>
      <c r="R1660" s="105">
        <f t="shared" si="80"/>
        <v>0</v>
      </c>
      <c r="S1660" s="108">
        <f t="shared" si="79"/>
        <v>0</v>
      </c>
      <c r="T1660" s="105">
        <f t="shared" si="81"/>
        <v>0</v>
      </c>
    </row>
    <row r="1661" spans="1:20">
      <c r="A1661" s="101"/>
      <c r="B1661" s="101"/>
      <c r="C1661" s="101"/>
      <c r="D1661" s="101"/>
      <c r="E1661" s="101"/>
      <c r="F1661" s="102"/>
      <c r="G1661" s="101"/>
      <c r="H1661" s="102"/>
      <c r="I1661" s="101"/>
      <c r="J1661" s="101"/>
      <c r="K1661" s="103"/>
      <c r="L1661" s="103"/>
      <c r="M1661" s="103"/>
      <c r="N1661" s="103"/>
      <c r="O1661" s="103"/>
      <c r="P1661" s="98"/>
      <c r="Q1661" s="99"/>
      <c r="R1661" s="104">
        <f t="shared" si="80"/>
        <v>0</v>
      </c>
      <c r="S1661" s="104">
        <f t="shared" si="79"/>
        <v>0</v>
      </c>
      <c r="T1661" s="104">
        <f t="shared" si="81"/>
        <v>0</v>
      </c>
    </row>
    <row r="1662" spans="1:20">
      <c r="A1662" s="101"/>
      <c r="B1662" s="101"/>
      <c r="C1662" s="101"/>
      <c r="D1662" s="101"/>
      <c r="E1662" s="101"/>
      <c r="F1662" s="102"/>
      <c r="G1662" s="101"/>
      <c r="H1662" s="102"/>
      <c r="I1662" s="101"/>
      <c r="J1662" s="101"/>
      <c r="K1662" s="103"/>
      <c r="L1662" s="103"/>
      <c r="M1662" s="103"/>
      <c r="N1662" s="103"/>
      <c r="O1662" s="103"/>
      <c r="P1662" s="98"/>
      <c r="Q1662" s="99"/>
      <c r="R1662" s="105">
        <f t="shared" si="80"/>
        <v>0</v>
      </c>
      <c r="S1662" s="108">
        <f t="shared" si="79"/>
        <v>0</v>
      </c>
      <c r="T1662" s="105">
        <f t="shared" si="81"/>
        <v>0</v>
      </c>
    </row>
    <row r="1663" spans="1:20">
      <c r="A1663" s="101"/>
      <c r="B1663" s="101"/>
      <c r="C1663" s="101"/>
      <c r="D1663" s="101"/>
      <c r="E1663" s="101"/>
      <c r="F1663" s="102"/>
      <c r="G1663" s="101"/>
      <c r="H1663" s="102"/>
      <c r="I1663" s="101"/>
      <c r="J1663" s="101"/>
      <c r="K1663" s="103"/>
      <c r="L1663" s="103"/>
      <c r="M1663" s="103"/>
      <c r="N1663" s="103"/>
      <c r="O1663" s="103"/>
      <c r="P1663" s="98"/>
      <c r="Q1663" s="99"/>
      <c r="R1663" s="104">
        <f t="shared" si="80"/>
        <v>0</v>
      </c>
      <c r="S1663" s="104">
        <f t="shared" si="79"/>
        <v>0</v>
      </c>
      <c r="T1663" s="104">
        <f t="shared" si="81"/>
        <v>0</v>
      </c>
    </row>
    <row r="1664" spans="1:20">
      <c r="A1664" s="101"/>
      <c r="B1664" s="101"/>
      <c r="C1664" s="101"/>
      <c r="D1664" s="101"/>
      <c r="E1664" s="101"/>
      <c r="F1664" s="102"/>
      <c r="G1664" s="101"/>
      <c r="H1664" s="102"/>
      <c r="I1664" s="101"/>
      <c r="J1664" s="101"/>
      <c r="K1664" s="103"/>
      <c r="L1664" s="103"/>
      <c r="M1664" s="103"/>
      <c r="N1664" s="103"/>
      <c r="O1664" s="103"/>
      <c r="P1664" s="98"/>
      <c r="Q1664" s="99"/>
      <c r="R1664" s="105">
        <f t="shared" si="80"/>
        <v>0</v>
      </c>
      <c r="S1664" s="108">
        <f t="shared" si="79"/>
        <v>0</v>
      </c>
      <c r="T1664" s="105">
        <f t="shared" si="81"/>
        <v>0</v>
      </c>
    </row>
    <row r="1665" spans="1:20">
      <c r="A1665" s="101"/>
      <c r="B1665" s="101"/>
      <c r="C1665" s="101"/>
      <c r="D1665" s="101"/>
      <c r="E1665" s="101"/>
      <c r="F1665" s="102"/>
      <c r="G1665" s="101"/>
      <c r="H1665" s="102"/>
      <c r="I1665" s="101"/>
      <c r="J1665" s="101"/>
      <c r="K1665" s="103"/>
      <c r="L1665" s="103"/>
      <c r="M1665" s="103"/>
      <c r="N1665" s="103"/>
      <c r="O1665" s="103"/>
      <c r="P1665" s="98"/>
      <c r="Q1665" s="99"/>
      <c r="R1665" s="104">
        <f t="shared" si="80"/>
        <v>0</v>
      </c>
      <c r="S1665" s="104">
        <f t="shared" si="79"/>
        <v>0</v>
      </c>
      <c r="T1665" s="104">
        <f t="shared" si="81"/>
        <v>0</v>
      </c>
    </row>
    <row r="1666" spans="1:20">
      <c r="A1666" s="101"/>
      <c r="B1666" s="101"/>
      <c r="C1666" s="101"/>
      <c r="D1666" s="101"/>
      <c r="E1666" s="101"/>
      <c r="F1666" s="102"/>
      <c r="G1666" s="101"/>
      <c r="H1666" s="102"/>
      <c r="I1666" s="101"/>
      <c r="J1666" s="101"/>
      <c r="K1666" s="103"/>
      <c r="L1666" s="103"/>
      <c r="M1666" s="103"/>
      <c r="N1666" s="103"/>
      <c r="O1666" s="103"/>
      <c r="P1666" s="98"/>
      <c r="Q1666" s="99"/>
      <c r="R1666" s="105">
        <f t="shared" si="80"/>
        <v>0</v>
      </c>
      <c r="S1666" s="108">
        <f t="shared" si="79"/>
        <v>0</v>
      </c>
      <c r="T1666" s="105">
        <f t="shared" si="81"/>
        <v>0</v>
      </c>
    </row>
    <row r="1667" spans="1:20">
      <c r="A1667" s="101"/>
      <c r="B1667" s="101"/>
      <c r="C1667" s="101"/>
      <c r="D1667" s="101"/>
      <c r="E1667" s="101"/>
      <c r="F1667" s="102"/>
      <c r="G1667" s="101"/>
      <c r="H1667" s="102"/>
      <c r="I1667" s="101"/>
      <c r="J1667" s="101"/>
      <c r="K1667" s="103"/>
      <c r="L1667" s="103"/>
      <c r="M1667" s="103"/>
      <c r="N1667" s="103"/>
      <c r="O1667" s="103"/>
      <c r="P1667" s="98"/>
      <c r="Q1667" s="99"/>
      <c r="R1667" s="104">
        <f t="shared" si="80"/>
        <v>0</v>
      </c>
      <c r="S1667" s="104">
        <f t="shared" si="79"/>
        <v>0</v>
      </c>
      <c r="T1667" s="104">
        <f t="shared" si="81"/>
        <v>0</v>
      </c>
    </row>
    <row r="1668" spans="1:20">
      <c r="A1668" s="101"/>
      <c r="B1668" s="101"/>
      <c r="C1668" s="101"/>
      <c r="D1668" s="101"/>
      <c r="E1668" s="101"/>
      <c r="F1668" s="102"/>
      <c r="G1668" s="101"/>
      <c r="H1668" s="102"/>
      <c r="I1668" s="101"/>
      <c r="J1668" s="101"/>
      <c r="K1668" s="103"/>
      <c r="L1668" s="103"/>
      <c r="M1668" s="103"/>
      <c r="N1668" s="103"/>
      <c r="O1668" s="103"/>
      <c r="P1668" s="98"/>
      <c r="Q1668" s="99"/>
      <c r="R1668" s="105">
        <f t="shared" si="80"/>
        <v>0</v>
      </c>
      <c r="S1668" s="108">
        <f t="shared" ref="S1668:S1731" si="82">IF(P1668="Abono",K1668+L1668+M1668-N1668-O1668,0)</f>
        <v>0</v>
      </c>
      <c r="T1668" s="105">
        <f t="shared" si="81"/>
        <v>0</v>
      </c>
    </row>
    <row r="1669" spans="1:20">
      <c r="A1669" s="101"/>
      <c r="B1669" s="101"/>
      <c r="C1669" s="101"/>
      <c r="D1669" s="101"/>
      <c r="E1669" s="101"/>
      <c r="F1669" s="102"/>
      <c r="G1669" s="101"/>
      <c r="H1669" s="102"/>
      <c r="I1669" s="101"/>
      <c r="J1669" s="101"/>
      <c r="K1669" s="103"/>
      <c r="L1669" s="103"/>
      <c r="M1669" s="103"/>
      <c r="N1669" s="103"/>
      <c r="O1669" s="103"/>
      <c r="P1669" s="98"/>
      <c r="Q1669" s="99"/>
      <c r="R1669" s="104">
        <f t="shared" ref="R1669:R1732" si="83">IF(P1669="Cargo",K1669+L1669-M1669-N1669+O1669,0)</f>
        <v>0</v>
      </c>
      <c r="S1669" s="104">
        <f t="shared" si="82"/>
        <v>0</v>
      </c>
      <c r="T1669" s="104">
        <f t="shared" ref="T1669:T1732" si="84">IF(Q1669="OK",+T1668+R1669-S1669,T1668)</f>
        <v>0</v>
      </c>
    </row>
    <row r="1670" spans="1:20">
      <c r="A1670" s="101"/>
      <c r="B1670" s="101"/>
      <c r="C1670" s="101"/>
      <c r="D1670" s="101"/>
      <c r="E1670" s="101"/>
      <c r="F1670" s="102"/>
      <c r="G1670" s="101"/>
      <c r="H1670" s="102"/>
      <c r="I1670" s="101"/>
      <c r="J1670" s="101"/>
      <c r="K1670" s="103"/>
      <c r="L1670" s="103"/>
      <c r="M1670" s="103"/>
      <c r="N1670" s="103"/>
      <c r="O1670" s="103"/>
      <c r="P1670" s="98"/>
      <c r="Q1670" s="99"/>
      <c r="R1670" s="105">
        <f t="shared" si="83"/>
        <v>0</v>
      </c>
      <c r="S1670" s="108">
        <f t="shared" si="82"/>
        <v>0</v>
      </c>
      <c r="T1670" s="105">
        <f t="shared" si="84"/>
        <v>0</v>
      </c>
    </row>
    <row r="1671" spans="1:20">
      <c r="A1671" s="101"/>
      <c r="B1671" s="101"/>
      <c r="C1671" s="101"/>
      <c r="D1671" s="101"/>
      <c r="E1671" s="101"/>
      <c r="F1671" s="102"/>
      <c r="G1671" s="101"/>
      <c r="H1671" s="102"/>
      <c r="I1671" s="101"/>
      <c r="J1671" s="101"/>
      <c r="K1671" s="103"/>
      <c r="L1671" s="103"/>
      <c r="M1671" s="103"/>
      <c r="N1671" s="103"/>
      <c r="O1671" s="103"/>
      <c r="P1671" s="98"/>
      <c r="Q1671" s="99"/>
      <c r="R1671" s="104">
        <f t="shared" si="83"/>
        <v>0</v>
      </c>
      <c r="S1671" s="104">
        <f t="shared" si="82"/>
        <v>0</v>
      </c>
      <c r="T1671" s="104">
        <f t="shared" si="84"/>
        <v>0</v>
      </c>
    </row>
    <row r="1672" spans="1:20">
      <c r="A1672" s="101"/>
      <c r="B1672" s="101"/>
      <c r="C1672" s="101"/>
      <c r="D1672" s="101"/>
      <c r="E1672" s="101"/>
      <c r="F1672" s="102"/>
      <c r="G1672" s="101"/>
      <c r="H1672" s="102"/>
      <c r="I1672" s="101"/>
      <c r="J1672" s="101"/>
      <c r="K1672" s="103"/>
      <c r="L1672" s="103"/>
      <c r="M1672" s="103"/>
      <c r="N1672" s="103"/>
      <c r="O1672" s="103"/>
      <c r="P1672" s="98"/>
      <c r="Q1672" s="99"/>
      <c r="R1672" s="105">
        <f t="shared" si="83"/>
        <v>0</v>
      </c>
      <c r="S1672" s="108">
        <f t="shared" si="82"/>
        <v>0</v>
      </c>
      <c r="T1672" s="105">
        <f t="shared" si="84"/>
        <v>0</v>
      </c>
    </row>
    <row r="1673" spans="1:20">
      <c r="A1673" s="101"/>
      <c r="B1673" s="101"/>
      <c r="C1673" s="101"/>
      <c r="D1673" s="101"/>
      <c r="E1673" s="101"/>
      <c r="F1673" s="102"/>
      <c r="G1673" s="101"/>
      <c r="H1673" s="102"/>
      <c r="I1673" s="101"/>
      <c r="J1673" s="101"/>
      <c r="K1673" s="103"/>
      <c r="L1673" s="103"/>
      <c r="M1673" s="103"/>
      <c r="N1673" s="103"/>
      <c r="O1673" s="103"/>
      <c r="P1673" s="98"/>
      <c r="Q1673" s="99"/>
      <c r="R1673" s="104">
        <f t="shared" si="83"/>
        <v>0</v>
      </c>
      <c r="S1673" s="104">
        <f t="shared" si="82"/>
        <v>0</v>
      </c>
      <c r="T1673" s="104">
        <f t="shared" si="84"/>
        <v>0</v>
      </c>
    </row>
    <row r="1674" spans="1:20">
      <c r="A1674" s="101"/>
      <c r="B1674" s="101"/>
      <c r="C1674" s="101"/>
      <c r="D1674" s="101"/>
      <c r="E1674" s="101"/>
      <c r="F1674" s="102"/>
      <c r="G1674" s="101"/>
      <c r="H1674" s="102"/>
      <c r="I1674" s="101"/>
      <c r="J1674" s="101"/>
      <c r="K1674" s="103"/>
      <c r="L1674" s="103"/>
      <c r="M1674" s="103"/>
      <c r="N1674" s="103"/>
      <c r="O1674" s="103"/>
      <c r="P1674" s="98"/>
      <c r="Q1674" s="99"/>
      <c r="R1674" s="105">
        <f t="shared" si="83"/>
        <v>0</v>
      </c>
      <c r="S1674" s="108">
        <f t="shared" si="82"/>
        <v>0</v>
      </c>
      <c r="T1674" s="105">
        <f t="shared" si="84"/>
        <v>0</v>
      </c>
    </row>
    <row r="1675" spans="1:20">
      <c r="A1675" s="101"/>
      <c r="B1675" s="101"/>
      <c r="C1675" s="101"/>
      <c r="D1675" s="101"/>
      <c r="E1675" s="101"/>
      <c r="F1675" s="102"/>
      <c r="G1675" s="101"/>
      <c r="H1675" s="102"/>
      <c r="I1675" s="101"/>
      <c r="J1675" s="101"/>
      <c r="K1675" s="103"/>
      <c r="L1675" s="103"/>
      <c r="M1675" s="103"/>
      <c r="N1675" s="103"/>
      <c r="O1675" s="103"/>
      <c r="P1675" s="98"/>
      <c r="Q1675" s="99"/>
      <c r="R1675" s="104">
        <f t="shared" si="83"/>
        <v>0</v>
      </c>
      <c r="S1675" s="104">
        <f t="shared" si="82"/>
        <v>0</v>
      </c>
      <c r="T1675" s="104">
        <f t="shared" si="84"/>
        <v>0</v>
      </c>
    </row>
    <row r="1676" spans="1:20">
      <c r="A1676" s="101"/>
      <c r="B1676" s="101"/>
      <c r="C1676" s="101"/>
      <c r="D1676" s="101"/>
      <c r="E1676" s="101"/>
      <c r="F1676" s="102"/>
      <c r="G1676" s="101"/>
      <c r="H1676" s="102"/>
      <c r="I1676" s="101"/>
      <c r="J1676" s="101"/>
      <c r="K1676" s="103"/>
      <c r="L1676" s="103"/>
      <c r="M1676" s="103"/>
      <c r="N1676" s="103"/>
      <c r="O1676" s="103"/>
      <c r="P1676" s="98"/>
      <c r="Q1676" s="99"/>
      <c r="R1676" s="105">
        <f t="shared" si="83"/>
        <v>0</v>
      </c>
      <c r="S1676" s="108">
        <f t="shared" si="82"/>
        <v>0</v>
      </c>
      <c r="T1676" s="105">
        <f t="shared" si="84"/>
        <v>0</v>
      </c>
    </row>
    <row r="1677" spans="1:20">
      <c r="A1677" s="101"/>
      <c r="B1677" s="101"/>
      <c r="C1677" s="101"/>
      <c r="D1677" s="101"/>
      <c r="E1677" s="101"/>
      <c r="F1677" s="102"/>
      <c r="G1677" s="101"/>
      <c r="H1677" s="102"/>
      <c r="I1677" s="101"/>
      <c r="J1677" s="101"/>
      <c r="K1677" s="103"/>
      <c r="L1677" s="103"/>
      <c r="M1677" s="103"/>
      <c r="N1677" s="103"/>
      <c r="O1677" s="103"/>
      <c r="P1677" s="98"/>
      <c r="Q1677" s="99"/>
      <c r="R1677" s="104">
        <f t="shared" si="83"/>
        <v>0</v>
      </c>
      <c r="S1677" s="104">
        <f t="shared" si="82"/>
        <v>0</v>
      </c>
      <c r="T1677" s="104">
        <f t="shared" si="84"/>
        <v>0</v>
      </c>
    </row>
    <row r="1678" spans="1:20">
      <c r="A1678" s="101"/>
      <c r="B1678" s="101"/>
      <c r="C1678" s="101"/>
      <c r="D1678" s="101"/>
      <c r="E1678" s="101"/>
      <c r="F1678" s="102"/>
      <c r="G1678" s="101"/>
      <c r="H1678" s="102"/>
      <c r="I1678" s="101"/>
      <c r="J1678" s="101"/>
      <c r="K1678" s="103"/>
      <c r="L1678" s="103"/>
      <c r="M1678" s="103"/>
      <c r="N1678" s="103"/>
      <c r="O1678" s="103"/>
      <c r="P1678" s="98"/>
      <c r="Q1678" s="99"/>
      <c r="R1678" s="105">
        <f t="shared" si="83"/>
        <v>0</v>
      </c>
      <c r="S1678" s="108">
        <f t="shared" si="82"/>
        <v>0</v>
      </c>
      <c r="T1678" s="105">
        <f t="shared" si="84"/>
        <v>0</v>
      </c>
    </row>
    <row r="1679" spans="1:20">
      <c r="A1679" s="101"/>
      <c r="B1679" s="101"/>
      <c r="C1679" s="101"/>
      <c r="D1679" s="101"/>
      <c r="E1679" s="101"/>
      <c r="F1679" s="102"/>
      <c r="G1679" s="101"/>
      <c r="H1679" s="102"/>
      <c r="I1679" s="101"/>
      <c r="J1679" s="101"/>
      <c r="K1679" s="103"/>
      <c r="L1679" s="103"/>
      <c r="M1679" s="103"/>
      <c r="N1679" s="103"/>
      <c r="O1679" s="103"/>
      <c r="P1679" s="98"/>
      <c r="Q1679" s="99"/>
      <c r="R1679" s="104">
        <f t="shared" si="83"/>
        <v>0</v>
      </c>
      <c r="S1679" s="104">
        <f t="shared" si="82"/>
        <v>0</v>
      </c>
      <c r="T1679" s="104">
        <f t="shared" si="84"/>
        <v>0</v>
      </c>
    </row>
    <row r="1680" spans="1:20">
      <c r="A1680" s="101"/>
      <c r="B1680" s="101"/>
      <c r="C1680" s="101"/>
      <c r="D1680" s="101"/>
      <c r="E1680" s="101"/>
      <c r="F1680" s="102"/>
      <c r="G1680" s="101"/>
      <c r="H1680" s="102"/>
      <c r="I1680" s="101"/>
      <c r="J1680" s="101"/>
      <c r="K1680" s="103"/>
      <c r="L1680" s="103"/>
      <c r="M1680" s="103"/>
      <c r="N1680" s="103"/>
      <c r="O1680" s="103"/>
      <c r="P1680" s="98"/>
      <c r="Q1680" s="99"/>
      <c r="R1680" s="105">
        <f t="shared" si="83"/>
        <v>0</v>
      </c>
      <c r="S1680" s="108">
        <f t="shared" si="82"/>
        <v>0</v>
      </c>
      <c r="T1680" s="105">
        <f t="shared" si="84"/>
        <v>0</v>
      </c>
    </row>
    <row r="1681" spans="1:20">
      <c r="A1681" s="101"/>
      <c r="B1681" s="101"/>
      <c r="C1681" s="101"/>
      <c r="D1681" s="101"/>
      <c r="E1681" s="101"/>
      <c r="F1681" s="102"/>
      <c r="G1681" s="101"/>
      <c r="H1681" s="102"/>
      <c r="I1681" s="101"/>
      <c r="J1681" s="101"/>
      <c r="K1681" s="103"/>
      <c r="L1681" s="103"/>
      <c r="M1681" s="103"/>
      <c r="N1681" s="103"/>
      <c r="O1681" s="103"/>
      <c r="P1681" s="98"/>
      <c r="Q1681" s="99"/>
      <c r="R1681" s="104">
        <f t="shared" si="83"/>
        <v>0</v>
      </c>
      <c r="S1681" s="104">
        <f t="shared" si="82"/>
        <v>0</v>
      </c>
      <c r="T1681" s="104">
        <f t="shared" si="84"/>
        <v>0</v>
      </c>
    </row>
    <row r="1682" spans="1:20">
      <c r="A1682" s="101"/>
      <c r="B1682" s="101"/>
      <c r="C1682" s="101"/>
      <c r="D1682" s="101"/>
      <c r="E1682" s="101"/>
      <c r="F1682" s="102"/>
      <c r="G1682" s="101"/>
      <c r="H1682" s="102"/>
      <c r="I1682" s="101"/>
      <c r="J1682" s="101"/>
      <c r="K1682" s="103"/>
      <c r="L1682" s="103"/>
      <c r="M1682" s="103"/>
      <c r="N1682" s="103"/>
      <c r="O1682" s="103"/>
      <c r="P1682" s="98"/>
      <c r="Q1682" s="99"/>
      <c r="R1682" s="105">
        <f t="shared" si="83"/>
        <v>0</v>
      </c>
      <c r="S1682" s="108">
        <f t="shared" si="82"/>
        <v>0</v>
      </c>
      <c r="T1682" s="105">
        <f t="shared" si="84"/>
        <v>0</v>
      </c>
    </row>
    <row r="1683" spans="1:20">
      <c r="A1683" s="101"/>
      <c r="B1683" s="101"/>
      <c r="C1683" s="101"/>
      <c r="D1683" s="101"/>
      <c r="E1683" s="101"/>
      <c r="F1683" s="102"/>
      <c r="G1683" s="101"/>
      <c r="H1683" s="102"/>
      <c r="I1683" s="101"/>
      <c r="J1683" s="101"/>
      <c r="K1683" s="103"/>
      <c r="L1683" s="103"/>
      <c r="M1683" s="103"/>
      <c r="N1683" s="103"/>
      <c r="O1683" s="103"/>
      <c r="P1683" s="98"/>
      <c r="Q1683" s="99"/>
      <c r="R1683" s="104">
        <f t="shared" si="83"/>
        <v>0</v>
      </c>
      <c r="S1683" s="104">
        <f t="shared" si="82"/>
        <v>0</v>
      </c>
      <c r="T1683" s="104">
        <f t="shared" si="84"/>
        <v>0</v>
      </c>
    </row>
    <row r="1684" spans="1:20">
      <c r="A1684" s="101"/>
      <c r="B1684" s="101"/>
      <c r="C1684" s="101"/>
      <c r="D1684" s="101"/>
      <c r="E1684" s="101"/>
      <c r="F1684" s="102"/>
      <c r="G1684" s="101"/>
      <c r="H1684" s="102"/>
      <c r="I1684" s="101"/>
      <c r="J1684" s="101"/>
      <c r="K1684" s="103"/>
      <c r="L1684" s="103"/>
      <c r="M1684" s="103"/>
      <c r="N1684" s="103"/>
      <c r="O1684" s="103"/>
      <c r="P1684" s="98"/>
      <c r="Q1684" s="99"/>
      <c r="R1684" s="105">
        <f t="shared" si="83"/>
        <v>0</v>
      </c>
      <c r="S1684" s="108">
        <f t="shared" si="82"/>
        <v>0</v>
      </c>
      <c r="T1684" s="105">
        <f t="shared" si="84"/>
        <v>0</v>
      </c>
    </row>
    <row r="1685" spans="1:20">
      <c r="A1685" s="101"/>
      <c r="B1685" s="101"/>
      <c r="C1685" s="101"/>
      <c r="D1685" s="101"/>
      <c r="E1685" s="101"/>
      <c r="F1685" s="102"/>
      <c r="G1685" s="101"/>
      <c r="H1685" s="102"/>
      <c r="I1685" s="101"/>
      <c r="J1685" s="101"/>
      <c r="K1685" s="103"/>
      <c r="L1685" s="103"/>
      <c r="M1685" s="103"/>
      <c r="N1685" s="103"/>
      <c r="O1685" s="103"/>
      <c r="P1685" s="98"/>
      <c r="Q1685" s="99"/>
      <c r="R1685" s="104">
        <f t="shared" si="83"/>
        <v>0</v>
      </c>
      <c r="S1685" s="104">
        <f t="shared" si="82"/>
        <v>0</v>
      </c>
      <c r="T1685" s="104">
        <f t="shared" si="84"/>
        <v>0</v>
      </c>
    </row>
    <row r="1686" spans="1:20">
      <c r="A1686" s="101"/>
      <c r="B1686" s="101"/>
      <c r="C1686" s="101"/>
      <c r="D1686" s="101"/>
      <c r="E1686" s="101"/>
      <c r="F1686" s="102"/>
      <c r="G1686" s="101"/>
      <c r="H1686" s="102"/>
      <c r="I1686" s="101"/>
      <c r="J1686" s="101"/>
      <c r="K1686" s="103"/>
      <c r="L1686" s="103"/>
      <c r="M1686" s="103"/>
      <c r="N1686" s="103"/>
      <c r="O1686" s="103"/>
      <c r="P1686" s="98"/>
      <c r="Q1686" s="99"/>
      <c r="R1686" s="105">
        <f t="shared" si="83"/>
        <v>0</v>
      </c>
      <c r="S1686" s="108">
        <f t="shared" si="82"/>
        <v>0</v>
      </c>
      <c r="T1686" s="105">
        <f t="shared" si="84"/>
        <v>0</v>
      </c>
    </row>
    <row r="1687" spans="1:20">
      <c r="A1687" s="101"/>
      <c r="B1687" s="101"/>
      <c r="C1687" s="101"/>
      <c r="D1687" s="101"/>
      <c r="E1687" s="101"/>
      <c r="F1687" s="102"/>
      <c r="G1687" s="101"/>
      <c r="H1687" s="102"/>
      <c r="I1687" s="101"/>
      <c r="J1687" s="101"/>
      <c r="K1687" s="103"/>
      <c r="L1687" s="103"/>
      <c r="M1687" s="103"/>
      <c r="N1687" s="103"/>
      <c r="O1687" s="103"/>
      <c r="P1687" s="98"/>
      <c r="Q1687" s="99"/>
      <c r="R1687" s="104">
        <f t="shared" si="83"/>
        <v>0</v>
      </c>
      <c r="S1687" s="104">
        <f t="shared" si="82"/>
        <v>0</v>
      </c>
      <c r="T1687" s="104">
        <f t="shared" si="84"/>
        <v>0</v>
      </c>
    </row>
    <row r="1688" spans="1:20">
      <c r="A1688" s="101"/>
      <c r="B1688" s="101"/>
      <c r="C1688" s="101"/>
      <c r="D1688" s="101"/>
      <c r="E1688" s="101"/>
      <c r="F1688" s="102"/>
      <c r="G1688" s="101"/>
      <c r="H1688" s="102"/>
      <c r="I1688" s="101"/>
      <c r="J1688" s="101"/>
      <c r="K1688" s="103"/>
      <c r="L1688" s="103"/>
      <c r="M1688" s="103"/>
      <c r="N1688" s="103"/>
      <c r="O1688" s="103"/>
      <c r="P1688" s="98"/>
      <c r="Q1688" s="99"/>
      <c r="R1688" s="105">
        <f t="shared" si="83"/>
        <v>0</v>
      </c>
      <c r="S1688" s="108">
        <f t="shared" si="82"/>
        <v>0</v>
      </c>
      <c r="T1688" s="105">
        <f t="shared" si="84"/>
        <v>0</v>
      </c>
    </row>
    <row r="1689" spans="1:20">
      <c r="A1689" s="101"/>
      <c r="B1689" s="101"/>
      <c r="C1689" s="101"/>
      <c r="D1689" s="101"/>
      <c r="E1689" s="101"/>
      <c r="F1689" s="102"/>
      <c r="G1689" s="101"/>
      <c r="H1689" s="102"/>
      <c r="I1689" s="101"/>
      <c r="J1689" s="101"/>
      <c r="K1689" s="103"/>
      <c r="L1689" s="103"/>
      <c r="M1689" s="103"/>
      <c r="N1689" s="103"/>
      <c r="O1689" s="103"/>
      <c r="P1689" s="98"/>
      <c r="Q1689" s="99"/>
      <c r="R1689" s="104">
        <f t="shared" si="83"/>
        <v>0</v>
      </c>
      <c r="S1689" s="104">
        <f t="shared" si="82"/>
        <v>0</v>
      </c>
      <c r="T1689" s="104">
        <f t="shared" si="84"/>
        <v>0</v>
      </c>
    </row>
    <row r="1690" spans="1:20">
      <c r="A1690" s="101"/>
      <c r="B1690" s="101"/>
      <c r="C1690" s="101"/>
      <c r="D1690" s="101"/>
      <c r="E1690" s="101"/>
      <c r="F1690" s="102"/>
      <c r="G1690" s="101"/>
      <c r="H1690" s="102"/>
      <c r="I1690" s="101"/>
      <c r="J1690" s="101"/>
      <c r="K1690" s="103"/>
      <c r="L1690" s="103"/>
      <c r="M1690" s="103"/>
      <c r="N1690" s="103"/>
      <c r="O1690" s="103"/>
      <c r="P1690" s="98"/>
      <c r="Q1690" s="99"/>
      <c r="R1690" s="105">
        <f t="shared" si="83"/>
        <v>0</v>
      </c>
      <c r="S1690" s="108">
        <f t="shared" si="82"/>
        <v>0</v>
      </c>
      <c r="T1690" s="105">
        <f t="shared" si="84"/>
        <v>0</v>
      </c>
    </row>
    <row r="1691" spans="1:20">
      <c r="A1691" s="101"/>
      <c r="B1691" s="101"/>
      <c r="C1691" s="101"/>
      <c r="D1691" s="101"/>
      <c r="E1691" s="101"/>
      <c r="F1691" s="102"/>
      <c r="G1691" s="101"/>
      <c r="H1691" s="102"/>
      <c r="I1691" s="101"/>
      <c r="J1691" s="101"/>
      <c r="K1691" s="103"/>
      <c r="L1691" s="103"/>
      <c r="M1691" s="103"/>
      <c r="N1691" s="103"/>
      <c r="O1691" s="103"/>
      <c r="P1691" s="98"/>
      <c r="Q1691" s="99"/>
      <c r="R1691" s="104">
        <f t="shared" si="83"/>
        <v>0</v>
      </c>
      <c r="S1691" s="104">
        <f t="shared" si="82"/>
        <v>0</v>
      </c>
      <c r="T1691" s="104">
        <f t="shared" si="84"/>
        <v>0</v>
      </c>
    </row>
    <row r="1692" spans="1:20">
      <c r="A1692" s="101"/>
      <c r="B1692" s="101"/>
      <c r="C1692" s="101"/>
      <c r="D1692" s="101"/>
      <c r="E1692" s="101"/>
      <c r="F1692" s="102"/>
      <c r="G1692" s="101"/>
      <c r="H1692" s="102"/>
      <c r="I1692" s="101"/>
      <c r="J1692" s="101"/>
      <c r="K1692" s="103"/>
      <c r="L1692" s="103"/>
      <c r="M1692" s="103"/>
      <c r="N1692" s="103"/>
      <c r="O1692" s="103"/>
      <c r="P1692" s="98"/>
      <c r="Q1692" s="99"/>
      <c r="R1692" s="105">
        <f t="shared" si="83"/>
        <v>0</v>
      </c>
      <c r="S1692" s="108">
        <f t="shared" si="82"/>
        <v>0</v>
      </c>
      <c r="T1692" s="105">
        <f t="shared" si="84"/>
        <v>0</v>
      </c>
    </row>
    <row r="1693" spans="1:20">
      <c r="A1693" s="101"/>
      <c r="B1693" s="101"/>
      <c r="C1693" s="101"/>
      <c r="D1693" s="101"/>
      <c r="E1693" s="101"/>
      <c r="F1693" s="102"/>
      <c r="G1693" s="101"/>
      <c r="H1693" s="102"/>
      <c r="I1693" s="101"/>
      <c r="J1693" s="101"/>
      <c r="K1693" s="103"/>
      <c r="L1693" s="103"/>
      <c r="M1693" s="103"/>
      <c r="N1693" s="103"/>
      <c r="O1693" s="103"/>
      <c r="P1693" s="98"/>
      <c r="Q1693" s="99"/>
      <c r="R1693" s="104">
        <f t="shared" si="83"/>
        <v>0</v>
      </c>
      <c r="S1693" s="104">
        <f t="shared" si="82"/>
        <v>0</v>
      </c>
      <c r="T1693" s="104">
        <f t="shared" si="84"/>
        <v>0</v>
      </c>
    </row>
    <row r="1694" spans="1:20">
      <c r="A1694" s="101"/>
      <c r="B1694" s="101"/>
      <c r="C1694" s="101"/>
      <c r="D1694" s="101"/>
      <c r="E1694" s="101"/>
      <c r="F1694" s="102"/>
      <c r="G1694" s="101"/>
      <c r="H1694" s="102"/>
      <c r="I1694" s="101"/>
      <c r="J1694" s="101"/>
      <c r="K1694" s="103"/>
      <c r="L1694" s="103"/>
      <c r="M1694" s="103"/>
      <c r="N1694" s="103"/>
      <c r="O1694" s="103"/>
      <c r="P1694" s="98"/>
      <c r="Q1694" s="99"/>
      <c r="R1694" s="105">
        <f t="shared" si="83"/>
        <v>0</v>
      </c>
      <c r="S1694" s="108">
        <f t="shared" si="82"/>
        <v>0</v>
      </c>
      <c r="T1694" s="105">
        <f t="shared" si="84"/>
        <v>0</v>
      </c>
    </row>
    <row r="1695" spans="1:20">
      <c r="A1695" s="101"/>
      <c r="B1695" s="101"/>
      <c r="C1695" s="101"/>
      <c r="D1695" s="101"/>
      <c r="E1695" s="101"/>
      <c r="F1695" s="102"/>
      <c r="G1695" s="101"/>
      <c r="H1695" s="102"/>
      <c r="I1695" s="101"/>
      <c r="J1695" s="101"/>
      <c r="K1695" s="103"/>
      <c r="L1695" s="103"/>
      <c r="M1695" s="103"/>
      <c r="N1695" s="103"/>
      <c r="O1695" s="103"/>
      <c r="P1695" s="98"/>
      <c r="Q1695" s="99"/>
      <c r="R1695" s="104">
        <f t="shared" si="83"/>
        <v>0</v>
      </c>
      <c r="S1695" s="104">
        <f t="shared" si="82"/>
        <v>0</v>
      </c>
      <c r="T1695" s="104">
        <f t="shared" si="84"/>
        <v>0</v>
      </c>
    </row>
    <row r="1696" spans="1:20">
      <c r="A1696" s="101"/>
      <c r="B1696" s="101"/>
      <c r="C1696" s="101"/>
      <c r="D1696" s="101"/>
      <c r="E1696" s="101"/>
      <c r="F1696" s="102"/>
      <c r="G1696" s="101"/>
      <c r="H1696" s="102"/>
      <c r="I1696" s="101"/>
      <c r="J1696" s="101"/>
      <c r="K1696" s="103"/>
      <c r="L1696" s="103"/>
      <c r="M1696" s="103"/>
      <c r="N1696" s="103"/>
      <c r="O1696" s="103"/>
      <c r="P1696" s="98"/>
      <c r="Q1696" s="99"/>
      <c r="R1696" s="105">
        <f t="shared" si="83"/>
        <v>0</v>
      </c>
      <c r="S1696" s="108">
        <f t="shared" si="82"/>
        <v>0</v>
      </c>
      <c r="T1696" s="105">
        <f t="shared" si="84"/>
        <v>0</v>
      </c>
    </row>
    <row r="1697" spans="1:20">
      <c r="A1697" s="101"/>
      <c r="B1697" s="101"/>
      <c r="C1697" s="101"/>
      <c r="D1697" s="101"/>
      <c r="E1697" s="101"/>
      <c r="F1697" s="102"/>
      <c r="G1697" s="101"/>
      <c r="H1697" s="102"/>
      <c r="I1697" s="101"/>
      <c r="J1697" s="101"/>
      <c r="K1697" s="103"/>
      <c r="L1697" s="103"/>
      <c r="M1697" s="103"/>
      <c r="N1697" s="103"/>
      <c r="O1697" s="103"/>
      <c r="P1697" s="98"/>
      <c r="Q1697" s="99"/>
      <c r="R1697" s="104">
        <f t="shared" si="83"/>
        <v>0</v>
      </c>
      <c r="S1697" s="104">
        <f t="shared" si="82"/>
        <v>0</v>
      </c>
      <c r="T1697" s="104">
        <f t="shared" si="84"/>
        <v>0</v>
      </c>
    </row>
    <row r="1698" spans="1:20">
      <c r="A1698" s="101"/>
      <c r="B1698" s="101"/>
      <c r="C1698" s="101"/>
      <c r="D1698" s="101"/>
      <c r="E1698" s="101"/>
      <c r="F1698" s="102"/>
      <c r="G1698" s="101"/>
      <c r="H1698" s="102"/>
      <c r="I1698" s="101"/>
      <c r="J1698" s="101"/>
      <c r="K1698" s="103"/>
      <c r="L1698" s="103"/>
      <c r="M1698" s="103"/>
      <c r="N1698" s="103"/>
      <c r="O1698" s="103"/>
      <c r="P1698" s="98"/>
      <c r="Q1698" s="99"/>
      <c r="R1698" s="105">
        <f t="shared" si="83"/>
        <v>0</v>
      </c>
      <c r="S1698" s="108">
        <f t="shared" si="82"/>
        <v>0</v>
      </c>
      <c r="T1698" s="105">
        <f t="shared" si="84"/>
        <v>0</v>
      </c>
    </row>
    <row r="1699" spans="1:20">
      <c r="A1699" s="101"/>
      <c r="B1699" s="101"/>
      <c r="C1699" s="101"/>
      <c r="D1699" s="101"/>
      <c r="E1699" s="101"/>
      <c r="F1699" s="102"/>
      <c r="G1699" s="101"/>
      <c r="H1699" s="102"/>
      <c r="I1699" s="101"/>
      <c r="J1699" s="101"/>
      <c r="K1699" s="103"/>
      <c r="L1699" s="103"/>
      <c r="M1699" s="103"/>
      <c r="N1699" s="103"/>
      <c r="O1699" s="103"/>
      <c r="P1699" s="98"/>
      <c r="Q1699" s="99"/>
      <c r="R1699" s="104">
        <f t="shared" si="83"/>
        <v>0</v>
      </c>
      <c r="S1699" s="104">
        <f t="shared" si="82"/>
        <v>0</v>
      </c>
      <c r="T1699" s="104">
        <f t="shared" si="84"/>
        <v>0</v>
      </c>
    </row>
    <row r="1700" spans="1:20">
      <c r="A1700" s="101"/>
      <c r="B1700" s="101"/>
      <c r="C1700" s="101"/>
      <c r="D1700" s="101"/>
      <c r="E1700" s="101"/>
      <c r="F1700" s="102"/>
      <c r="G1700" s="101"/>
      <c r="H1700" s="102"/>
      <c r="I1700" s="101"/>
      <c r="J1700" s="101"/>
      <c r="K1700" s="103"/>
      <c r="L1700" s="103"/>
      <c r="M1700" s="103"/>
      <c r="N1700" s="103"/>
      <c r="O1700" s="103"/>
      <c r="P1700" s="98"/>
      <c r="Q1700" s="99"/>
      <c r="R1700" s="105">
        <f t="shared" si="83"/>
        <v>0</v>
      </c>
      <c r="S1700" s="108">
        <f t="shared" si="82"/>
        <v>0</v>
      </c>
      <c r="T1700" s="105">
        <f t="shared" si="84"/>
        <v>0</v>
      </c>
    </row>
    <row r="1701" spans="1:20">
      <c r="A1701" s="101"/>
      <c r="B1701" s="101"/>
      <c r="C1701" s="101"/>
      <c r="D1701" s="101"/>
      <c r="E1701" s="101"/>
      <c r="F1701" s="102"/>
      <c r="G1701" s="101"/>
      <c r="H1701" s="102"/>
      <c r="I1701" s="101"/>
      <c r="J1701" s="101"/>
      <c r="K1701" s="103"/>
      <c r="L1701" s="103"/>
      <c r="M1701" s="103"/>
      <c r="N1701" s="103"/>
      <c r="O1701" s="103"/>
      <c r="P1701" s="98"/>
      <c r="Q1701" s="99"/>
      <c r="R1701" s="104">
        <f t="shared" si="83"/>
        <v>0</v>
      </c>
      <c r="S1701" s="104">
        <f t="shared" si="82"/>
        <v>0</v>
      </c>
      <c r="T1701" s="104">
        <f t="shared" si="84"/>
        <v>0</v>
      </c>
    </row>
    <row r="1702" spans="1:20">
      <c r="A1702" s="101"/>
      <c r="B1702" s="101"/>
      <c r="C1702" s="101"/>
      <c r="D1702" s="101"/>
      <c r="E1702" s="101"/>
      <c r="F1702" s="102"/>
      <c r="G1702" s="101"/>
      <c r="H1702" s="102"/>
      <c r="I1702" s="101"/>
      <c r="J1702" s="101"/>
      <c r="K1702" s="103"/>
      <c r="L1702" s="103"/>
      <c r="M1702" s="103"/>
      <c r="N1702" s="103"/>
      <c r="O1702" s="103"/>
      <c r="P1702" s="98"/>
      <c r="Q1702" s="99"/>
      <c r="R1702" s="105">
        <f t="shared" si="83"/>
        <v>0</v>
      </c>
      <c r="S1702" s="108">
        <f t="shared" si="82"/>
        <v>0</v>
      </c>
      <c r="T1702" s="105">
        <f t="shared" si="84"/>
        <v>0</v>
      </c>
    </row>
    <row r="1703" spans="1:20">
      <c r="A1703" s="101"/>
      <c r="B1703" s="101"/>
      <c r="C1703" s="101"/>
      <c r="D1703" s="101"/>
      <c r="E1703" s="101"/>
      <c r="F1703" s="102"/>
      <c r="G1703" s="101"/>
      <c r="H1703" s="102"/>
      <c r="I1703" s="101"/>
      <c r="J1703" s="101"/>
      <c r="K1703" s="103"/>
      <c r="L1703" s="103"/>
      <c r="M1703" s="103"/>
      <c r="N1703" s="103"/>
      <c r="O1703" s="103"/>
      <c r="P1703" s="98"/>
      <c r="Q1703" s="99"/>
      <c r="R1703" s="104">
        <f t="shared" si="83"/>
        <v>0</v>
      </c>
      <c r="S1703" s="104">
        <f t="shared" si="82"/>
        <v>0</v>
      </c>
      <c r="T1703" s="104">
        <f t="shared" si="84"/>
        <v>0</v>
      </c>
    </row>
    <row r="1704" spans="1:20">
      <c r="A1704" s="101"/>
      <c r="B1704" s="101"/>
      <c r="C1704" s="101"/>
      <c r="D1704" s="101"/>
      <c r="E1704" s="101"/>
      <c r="F1704" s="102"/>
      <c r="G1704" s="101"/>
      <c r="H1704" s="102"/>
      <c r="I1704" s="101"/>
      <c r="J1704" s="101"/>
      <c r="K1704" s="103"/>
      <c r="L1704" s="103"/>
      <c r="M1704" s="103"/>
      <c r="N1704" s="103"/>
      <c r="O1704" s="103"/>
      <c r="P1704" s="98"/>
      <c r="Q1704" s="99"/>
      <c r="R1704" s="105">
        <f t="shared" si="83"/>
        <v>0</v>
      </c>
      <c r="S1704" s="108">
        <f t="shared" si="82"/>
        <v>0</v>
      </c>
      <c r="T1704" s="105">
        <f t="shared" si="84"/>
        <v>0</v>
      </c>
    </row>
    <row r="1705" spans="1:20">
      <c r="A1705" s="101"/>
      <c r="B1705" s="101"/>
      <c r="C1705" s="101"/>
      <c r="D1705" s="101"/>
      <c r="E1705" s="101"/>
      <c r="F1705" s="102"/>
      <c r="G1705" s="101"/>
      <c r="H1705" s="102"/>
      <c r="I1705" s="101"/>
      <c r="J1705" s="101"/>
      <c r="K1705" s="103"/>
      <c r="L1705" s="103"/>
      <c r="M1705" s="103"/>
      <c r="N1705" s="103"/>
      <c r="O1705" s="103"/>
      <c r="P1705" s="98"/>
      <c r="Q1705" s="99"/>
      <c r="R1705" s="104">
        <f t="shared" si="83"/>
        <v>0</v>
      </c>
      <c r="S1705" s="104">
        <f t="shared" si="82"/>
        <v>0</v>
      </c>
      <c r="T1705" s="104">
        <f t="shared" si="84"/>
        <v>0</v>
      </c>
    </row>
    <row r="1706" spans="1:20">
      <c r="A1706" s="101"/>
      <c r="B1706" s="101"/>
      <c r="C1706" s="101"/>
      <c r="D1706" s="101"/>
      <c r="E1706" s="101"/>
      <c r="F1706" s="102"/>
      <c r="G1706" s="101"/>
      <c r="H1706" s="102"/>
      <c r="I1706" s="101"/>
      <c r="J1706" s="101"/>
      <c r="K1706" s="103"/>
      <c r="L1706" s="103"/>
      <c r="M1706" s="103"/>
      <c r="N1706" s="103"/>
      <c r="O1706" s="103"/>
      <c r="P1706" s="98"/>
      <c r="Q1706" s="99"/>
      <c r="R1706" s="105">
        <f t="shared" si="83"/>
        <v>0</v>
      </c>
      <c r="S1706" s="108">
        <f t="shared" si="82"/>
        <v>0</v>
      </c>
      <c r="T1706" s="105">
        <f t="shared" si="84"/>
        <v>0</v>
      </c>
    </row>
    <row r="1707" spans="1:20">
      <c r="A1707" s="101"/>
      <c r="B1707" s="101"/>
      <c r="C1707" s="101"/>
      <c r="D1707" s="101"/>
      <c r="E1707" s="101"/>
      <c r="F1707" s="102"/>
      <c r="G1707" s="101"/>
      <c r="H1707" s="102"/>
      <c r="I1707" s="101"/>
      <c r="J1707" s="101"/>
      <c r="K1707" s="103"/>
      <c r="L1707" s="103"/>
      <c r="M1707" s="103"/>
      <c r="N1707" s="103"/>
      <c r="O1707" s="103"/>
      <c r="P1707" s="98"/>
      <c r="Q1707" s="99"/>
      <c r="R1707" s="104">
        <f t="shared" si="83"/>
        <v>0</v>
      </c>
      <c r="S1707" s="104">
        <f t="shared" si="82"/>
        <v>0</v>
      </c>
      <c r="T1707" s="104">
        <f t="shared" si="84"/>
        <v>0</v>
      </c>
    </row>
    <row r="1708" spans="1:20">
      <c r="A1708" s="101"/>
      <c r="B1708" s="101"/>
      <c r="C1708" s="101"/>
      <c r="D1708" s="101"/>
      <c r="E1708" s="101"/>
      <c r="F1708" s="102"/>
      <c r="G1708" s="101"/>
      <c r="H1708" s="102"/>
      <c r="I1708" s="101"/>
      <c r="J1708" s="101"/>
      <c r="K1708" s="103"/>
      <c r="L1708" s="103"/>
      <c r="M1708" s="103"/>
      <c r="N1708" s="103"/>
      <c r="O1708" s="103"/>
      <c r="P1708" s="98"/>
      <c r="Q1708" s="99"/>
      <c r="R1708" s="105">
        <f t="shared" si="83"/>
        <v>0</v>
      </c>
      <c r="S1708" s="108">
        <f t="shared" si="82"/>
        <v>0</v>
      </c>
      <c r="T1708" s="105">
        <f t="shared" si="84"/>
        <v>0</v>
      </c>
    </row>
    <row r="1709" spans="1:20">
      <c r="A1709" s="101"/>
      <c r="B1709" s="101"/>
      <c r="C1709" s="101"/>
      <c r="D1709" s="101"/>
      <c r="E1709" s="101"/>
      <c r="F1709" s="102"/>
      <c r="G1709" s="101"/>
      <c r="H1709" s="102"/>
      <c r="I1709" s="101"/>
      <c r="J1709" s="101"/>
      <c r="K1709" s="103"/>
      <c r="L1709" s="103"/>
      <c r="M1709" s="103"/>
      <c r="N1709" s="103"/>
      <c r="O1709" s="103"/>
      <c r="P1709" s="98"/>
      <c r="Q1709" s="99"/>
      <c r="R1709" s="104">
        <f t="shared" si="83"/>
        <v>0</v>
      </c>
      <c r="S1709" s="104">
        <f t="shared" si="82"/>
        <v>0</v>
      </c>
      <c r="T1709" s="104">
        <f t="shared" si="84"/>
        <v>0</v>
      </c>
    </row>
    <row r="1710" spans="1:20">
      <c r="A1710" s="101"/>
      <c r="B1710" s="101"/>
      <c r="C1710" s="101"/>
      <c r="D1710" s="101"/>
      <c r="E1710" s="101"/>
      <c r="F1710" s="102"/>
      <c r="G1710" s="101"/>
      <c r="H1710" s="102"/>
      <c r="I1710" s="101"/>
      <c r="J1710" s="101"/>
      <c r="K1710" s="103"/>
      <c r="L1710" s="103"/>
      <c r="M1710" s="103"/>
      <c r="N1710" s="103"/>
      <c r="O1710" s="103"/>
      <c r="P1710" s="98"/>
      <c r="Q1710" s="99"/>
      <c r="R1710" s="105">
        <f t="shared" si="83"/>
        <v>0</v>
      </c>
      <c r="S1710" s="108">
        <f t="shared" si="82"/>
        <v>0</v>
      </c>
      <c r="T1710" s="105">
        <f t="shared" si="84"/>
        <v>0</v>
      </c>
    </row>
    <row r="1711" spans="1:20">
      <c r="A1711" s="101"/>
      <c r="B1711" s="101"/>
      <c r="C1711" s="101"/>
      <c r="D1711" s="101"/>
      <c r="E1711" s="101"/>
      <c r="F1711" s="102"/>
      <c r="G1711" s="101"/>
      <c r="H1711" s="102"/>
      <c r="I1711" s="101"/>
      <c r="J1711" s="101"/>
      <c r="K1711" s="103"/>
      <c r="L1711" s="103"/>
      <c r="M1711" s="103"/>
      <c r="N1711" s="103"/>
      <c r="O1711" s="103"/>
      <c r="P1711" s="98"/>
      <c r="Q1711" s="99"/>
      <c r="R1711" s="104">
        <f t="shared" si="83"/>
        <v>0</v>
      </c>
      <c r="S1711" s="104">
        <f t="shared" si="82"/>
        <v>0</v>
      </c>
      <c r="T1711" s="104">
        <f t="shared" si="84"/>
        <v>0</v>
      </c>
    </row>
    <row r="1712" spans="1:20">
      <c r="A1712" s="101"/>
      <c r="B1712" s="101"/>
      <c r="C1712" s="101"/>
      <c r="D1712" s="101"/>
      <c r="E1712" s="101"/>
      <c r="F1712" s="102"/>
      <c r="G1712" s="101"/>
      <c r="H1712" s="102"/>
      <c r="I1712" s="101"/>
      <c r="J1712" s="101"/>
      <c r="K1712" s="103"/>
      <c r="L1712" s="103"/>
      <c r="M1712" s="103"/>
      <c r="N1712" s="103"/>
      <c r="O1712" s="103"/>
      <c r="P1712" s="98"/>
      <c r="Q1712" s="99"/>
      <c r="R1712" s="105">
        <f t="shared" si="83"/>
        <v>0</v>
      </c>
      <c r="S1712" s="108">
        <f t="shared" si="82"/>
        <v>0</v>
      </c>
      <c r="T1712" s="105">
        <f t="shared" si="84"/>
        <v>0</v>
      </c>
    </row>
    <row r="1713" spans="1:20">
      <c r="A1713" s="101"/>
      <c r="B1713" s="101"/>
      <c r="C1713" s="101"/>
      <c r="D1713" s="101"/>
      <c r="E1713" s="101"/>
      <c r="F1713" s="102"/>
      <c r="G1713" s="101"/>
      <c r="H1713" s="102"/>
      <c r="I1713" s="101"/>
      <c r="J1713" s="101"/>
      <c r="K1713" s="103"/>
      <c r="L1713" s="103"/>
      <c r="M1713" s="103"/>
      <c r="N1713" s="103"/>
      <c r="O1713" s="103"/>
      <c r="P1713" s="98"/>
      <c r="Q1713" s="99"/>
      <c r="R1713" s="104">
        <f t="shared" si="83"/>
        <v>0</v>
      </c>
      <c r="S1713" s="104">
        <f t="shared" si="82"/>
        <v>0</v>
      </c>
      <c r="T1713" s="104">
        <f t="shared" si="84"/>
        <v>0</v>
      </c>
    </row>
    <row r="1714" spans="1:20">
      <c r="A1714" s="101"/>
      <c r="B1714" s="101"/>
      <c r="C1714" s="101"/>
      <c r="D1714" s="101"/>
      <c r="E1714" s="101"/>
      <c r="F1714" s="102"/>
      <c r="G1714" s="101"/>
      <c r="H1714" s="102"/>
      <c r="I1714" s="101"/>
      <c r="J1714" s="101"/>
      <c r="K1714" s="103"/>
      <c r="L1714" s="103"/>
      <c r="M1714" s="103"/>
      <c r="N1714" s="103"/>
      <c r="O1714" s="103"/>
      <c r="P1714" s="98"/>
      <c r="Q1714" s="99"/>
      <c r="R1714" s="105">
        <f t="shared" si="83"/>
        <v>0</v>
      </c>
      <c r="S1714" s="108">
        <f t="shared" si="82"/>
        <v>0</v>
      </c>
      <c r="T1714" s="105">
        <f t="shared" si="84"/>
        <v>0</v>
      </c>
    </row>
    <row r="1715" spans="1:20">
      <c r="A1715" s="101"/>
      <c r="B1715" s="101"/>
      <c r="C1715" s="101"/>
      <c r="D1715" s="101"/>
      <c r="E1715" s="101"/>
      <c r="F1715" s="102"/>
      <c r="G1715" s="101"/>
      <c r="H1715" s="102"/>
      <c r="I1715" s="101"/>
      <c r="J1715" s="101"/>
      <c r="K1715" s="103"/>
      <c r="L1715" s="103"/>
      <c r="M1715" s="103"/>
      <c r="N1715" s="103"/>
      <c r="O1715" s="103"/>
      <c r="P1715" s="98"/>
      <c r="Q1715" s="99"/>
      <c r="R1715" s="104">
        <f t="shared" si="83"/>
        <v>0</v>
      </c>
      <c r="S1715" s="104">
        <f t="shared" si="82"/>
        <v>0</v>
      </c>
      <c r="T1715" s="104">
        <f t="shared" si="84"/>
        <v>0</v>
      </c>
    </row>
    <row r="1716" spans="1:20">
      <c r="A1716" s="101"/>
      <c r="B1716" s="101"/>
      <c r="C1716" s="101"/>
      <c r="D1716" s="101"/>
      <c r="E1716" s="101"/>
      <c r="F1716" s="102"/>
      <c r="G1716" s="101"/>
      <c r="H1716" s="102"/>
      <c r="I1716" s="101"/>
      <c r="J1716" s="101"/>
      <c r="K1716" s="103"/>
      <c r="L1716" s="103"/>
      <c r="M1716" s="103"/>
      <c r="N1716" s="103"/>
      <c r="O1716" s="103"/>
      <c r="P1716" s="98"/>
      <c r="Q1716" s="99"/>
      <c r="R1716" s="105">
        <f t="shared" si="83"/>
        <v>0</v>
      </c>
      <c r="S1716" s="108">
        <f t="shared" si="82"/>
        <v>0</v>
      </c>
      <c r="T1716" s="105">
        <f t="shared" si="84"/>
        <v>0</v>
      </c>
    </row>
    <row r="1717" spans="1:20">
      <c r="A1717" s="101"/>
      <c r="B1717" s="101"/>
      <c r="C1717" s="101"/>
      <c r="D1717" s="101"/>
      <c r="E1717" s="101"/>
      <c r="F1717" s="102"/>
      <c r="G1717" s="101"/>
      <c r="H1717" s="102"/>
      <c r="I1717" s="101"/>
      <c r="J1717" s="101"/>
      <c r="K1717" s="103"/>
      <c r="L1717" s="103"/>
      <c r="M1717" s="103"/>
      <c r="N1717" s="103"/>
      <c r="O1717" s="103"/>
      <c r="P1717" s="98"/>
      <c r="Q1717" s="99"/>
      <c r="R1717" s="104">
        <f t="shared" si="83"/>
        <v>0</v>
      </c>
      <c r="S1717" s="104">
        <f t="shared" si="82"/>
        <v>0</v>
      </c>
      <c r="T1717" s="104">
        <f t="shared" si="84"/>
        <v>0</v>
      </c>
    </row>
    <row r="1718" spans="1:20">
      <c r="A1718" s="101"/>
      <c r="B1718" s="101"/>
      <c r="C1718" s="101"/>
      <c r="D1718" s="101"/>
      <c r="E1718" s="101"/>
      <c r="F1718" s="102"/>
      <c r="G1718" s="101"/>
      <c r="H1718" s="102"/>
      <c r="I1718" s="101"/>
      <c r="J1718" s="101"/>
      <c r="K1718" s="103"/>
      <c r="L1718" s="103"/>
      <c r="M1718" s="103"/>
      <c r="N1718" s="103"/>
      <c r="O1718" s="103"/>
      <c r="P1718" s="98"/>
      <c r="Q1718" s="99"/>
      <c r="R1718" s="105">
        <f t="shared" si="83"/>
        <v>0</v>
      </c>
      <c r="S1718" s="108">
        <f t="shared" si="82"/>
        <v>0</v>
      </c>
      <c r="T1718" s="105">
        <f t="shared" si="84"/>
        <v>0</v>
      </c>
    </row>
    <row r="1719" spans="1:20">
      <c r="A1719" s="101"/>
      <c r="B1719" s="101"/>
      <c r="C1719" s="101"/>
      <c r="D1719" s="101"/>
      <c r="E1719" s="101"/>
      <c r="F1719" s="102"/>
      <c r="G1719" s="101"/>
      <c r="H1719" s="102"/>
      <c r="I1719" s="101"/>
      <c r="J1719" s="101"/>
      <c r="K1719" s="103"/>
      <c r="L1719" s="103"/>
      <c r="M1719" s="103"/>
      <c r="N1719" s="103"/>
      <c r="O1719" s="103"/>
      <c r="P1719" s="98"/>
      <c r="Q1719" s="99"/>
      <c r="R1719" s="104">
        <f t="shared" si="83"/>
        <v>0</v>
      </c>
      <c r="S1719" s="104">
        <f t="shared" si="82"/>
        <v>0</v>
      </c>
      <c r="T1719" s="104">
        <f t="shared" si="84"/>
        <v>0</v>
      </c>
    </row>
    <row r="1720" spans="1:20">
      <c r="A1720" s="101"/>
      <c r="B1720" s="101"/>
      <c r="C1720" s="101"/>
      <c r="D1720" s="101"/>
      <c r="E1720" s="101"/>
      <c r="F1720" s="102"/>
      <c r="G1720" s="101"/>
      <c r="H1720" s="102"/>
      <c r="I1720" s="101"/>
      <c r="J1720" s="101"/>
      <c r="K1720" s="103"/>
      <c r="L1720" s="103"/>
      <c r="M1720" s="103"/>
      <c r="N1720" s="103"/>
      <c r="O1720" s="103"/>
      <c r="P1720" s="98"/>
      <c r="Q1720" s="99"/>
      <c r="R1720" s="105">
        <f t="shared" si="83"/>
        <v>0</v>
      </c>
      <c r="S1720" s="108">
        <f t="shared" si="82"/>
        <v>0</v>
      </c>
      <c r="T1720" s="105">
        <f t="shared" si="84"/>
        <v>0</v>
      </c>
    </row>
    <row r="1721" spans="1:20">
      <c r="A1721" s="101"/>
      <c r="B1721" s="101"/>
      <c r="C1721" s="101"/>
      <c r="D1721" s="101"/>
      <c r="E1721" s="101"/>
      <c r="F1721" s="102"/>
      <c r="G1721" s="101"/>
      <c r="H1721" s="102"/>
      <c r="I1721" s="101"/>
      <c r="J1721" s="101"/>
      <c r="K1721" s="103"/>
      <c r="L1721" s="103"/>
      <c r="M1721" s="103"/>
      <c r="N1721" s="103"/>
      <c r="O1721" s="103"/>
      <c r="P1721" s="98"/>
      <c r="Q1721" s="99"/>
      <c r="R1721" s="104">
        <f t="shared" si="83"/>
        <v>0</v>
      </c>
      <c r="S1721" s="104">
        <f t="shared" si="82"/>
        <v>0</v>
      </c>
      <c r="T1721" s="104">
        <f t="shared" si="84"/>
        <v>0</v>
      </c>
    </row>
    <row r="1722" spans="1:20">
      <c r="A1722" s="101"/>
      <c r="B1722" s="101"/>
      <c r="C1722" s="101"/>
      <c r="D1722" s="101"/>
      <c r="E1722" s="101"/>
      <c r="F1722" s="102"/>
      <c r="G1722" s="101"/>
      <c r="H1722" s="102"/>
      <c r="I1722" s="101"/>
      <c r="J1722" s="101"/>
      <c r="K1722" s="103"/>
      <c r="L1722" s="103"/>
      <c r="M1722" s="103"/>
      <c r="N1722" s="103"/>
      <c r="O1722" s="103"/>
      <c r="P1722" s="98"/>
      <c r="Q1722" s="99"/>
      <c r="R1722" s="105">
        <f t="shared" si="83"/>
        <v>0</v>
      </c>
      <c r="S1722" s="108">
        <f t="shared" si="82"/>
        <v>0</v>
      </c>
      <c r="T1722" s="105">
        <f t="shared" si="84"/>
        <v>0</v>
      </c>
    </row>
    <row r="1723" spans="1:20">
      <c r="A1723" s="101"/>
      <c r="B1723" s="101"/>
      <c r="C1723" s="101"/>
      <c r="D1723" s="101"/>
      <c r="E1723" s="101"/>
      <c r="F1723" s="102"/>
      <c r="G1723" s="101"/>
      <c r="H1723" s="102"/>
      <c r="I1723" s="101"/>
      <c r="J1723" s="101"/>
      <c r="K1723" s="103"/>
      <c r="L1723" s="103"/>
      <c r="M1723" s="103"/>
      <c r="N1723" s="103"/>
      <c r="O1723" s="103"/>
      <c r="P1723" s="98"/>
      <c r="Q1723" s="99"/>
      <c r="R1723" s="104">
        <f t="shared" si="83"/>
        <v>0</v>
      </c>
      <c r="S1723" s="104">
        <f t="shared" si="82"/>
        <v>0</v>
      </c>
      <c r="T1723" s="104">
        <f t="shared" si="84"/>
        <v>0</v>
      </c>
    </row>
    <row r="1724" spans="1:20">
      <c r="A1724" s="101"/>
      <c r="B1724" s="101"/>
      <c r="C1724" s="101"/>
      <c r="D1724" s="101"/>
      <c r="E1724" s="101"/>
      <c r="F1724" s="102"/>
      <c r="G1724" s="101"/>
      <c r="H1724" s="102"/>
      <c r="I1724" s="101"/>
      <c r="J1724" s="101"/>
      <c r="K1724" s="103"/>
      <c r="L1724" s="103"/>
      <c r="M1724" s="103"/>
      <c r="N1724" s="103"/>
      <c r="O1724" s="103"/>
      <c r="P1724" s="98"/>
      <c r="Q1724" s="99"/>
      <c r="R1724" s="105">
        <f t="shared" si="83"/>
        <v>0</v>
      </c>
      <c r="S1724" s="108">
        <f t="shared" si="82"/>
        <v>0</v>
      </c>
      <c r="T1724" s="105">
        <f t="shared" si="84"/>
        <v>0</v>
      </c>
    </row>
    <row r="1725" spans="1:20">
      <c r="A1725" s="101"/>
      <c r="B1725" s="101"/>
      <c r="C1725" s="101"/>
      <c r="D1725" s="101"/>
      <c r="E1725" s="101"/>
      <c r="F1725" s="102"/>
      <c r="G1725" s="101"/>
      <c r="H1725" s="102"/>
      <c r="I1725" s="101"/>
      <c r="J1725" s="101"/>
      <c r="K1725" s="103"/>
      <c r="L1725" s="103"/>
      <c r="M1725" s="103"/>
      <c r="N1725" s="103"/>
      <c r="O1725" s="103"/>
      <c r="P1725" s="98"/>
      <c r="Q1725" s="99"/>
      <c r="R1725" s="104">
        <f t="shared" si="83"/>
        <v>0</v>
      </c>
      <c r="S1725" s="104">
        <f t="shared" si="82"/>
        <v>0</v>
      </c>
      <c r="T1725" s="104">
        <f t="shared" si="84"/>
        <v>0</v>
      </c>
    </row>
    <row r="1726" spans="1:20">
      <c r="A1726" s="101"/>
      <c r="B1726" s="101"/>
      <c r="C1726" s="101"/>
      <c r="D1726" s="101"/>
      <c r="E1726" s="101"/>
      <c r="F1726" s="102"/>
      <c r="G1726" s="101"/>
      <c r="H1726" s="102"/>
      <c r="I1726" s="101"/>
      <c r="J1726" s="101"/>
      <c r="K1726" s="103"/>
      <c r="L1726" s="103"/>
      <c r="M1726" s="103"/>
      <c r="N1726" s="103"/>
      <c r="O1726" s="103"/>
      <c r="P1726" s="98"/>
      <c r="Q1726" s="99"/>
      <c r="R1726" s="105">
        <f t="shared" si="83"/>
        <v>0</v>
      </c>
      <c r="S1726" s="108">
        <f t="shared" si="82"/>
        <v>0</v>
      </c>
      <c r="T1726" s="105">
        <f t="shared" si="84"/>
        <v>0</v>
      </c>
    </row>
    <row r="1727" spans="1:20">
      <c r="A1727" s="101"/>
      <c r="B1727" s="101"/>
      <c r="C1727" s="101"/>
      <c r="D1727" s="101"/>
      <c r="E1727" s="101"/>
      <c r="F1727" s="102"/>
      <c r="G1727" s="101"/>
      <c r="H1727" s="102"/>
      <c r="I1727" s="101"/>
      <c r="J1727" s="101"/>
      <c r="K1727" s="103"/>
      <c r="L1727" s="103"/>
      <c r="M1727" s="103"/>
      <c r="N1727" s="103"/>
      <c r="O1727" s="103"/>
      <c r="P1727" s="98"/>
      <c r="Q1727" s="99"/>
      <c r="R1727" s="104">
        <f t="shared" si="83"/>
        <v>0</v>
      </c>
      <c r="S1727" s="104">
        <f t="shared" si="82"/>
        <v>0</v>
      </c>
      <c r="T1727" s="104">
        <f t="shared" si="84"/>
        <v>0</v>
      </c>
    </row>
    <row r="1728" spans="1:20">
      <c r="A1728" s="101"/>
      <c r="B1728" s="101"/>
      <c r="C1728" s="101"/>
      <c r="D1728" s="101"/>
      <c r="E1728" s="101"/>
      <c r="F1728" s="102"/>
      <c r="G1728" s="101"/>
      <c r="H1728" s="102"/>
      <c r="I1728" s="101"/>
      <c r="J1728" s="101"/>
      <c r="K1728" s="103"/>
      <c r="L1728" s="103"/>
      <c r="M1728" s="103"/>
      <c r="N1728" s="103"/>
      <c r="O1728" s="103"/>
      <c r="P1728" s="98"/>
      <c r="Q1728" s="99"/>
      <c r="R1728" s="105">
        <f t="shared" si="83"/>
        <v>0</v>
      </c>
      <c r="S1728" s="108">
        <f t="shared" si="82"/>
        <v>0</v>
      </c>
      <c r="T1728" s="105">
        <f t="shared" si="84"/>
        <v>0</v>
      </c>
    </row>
    <row r="1729" spans="1:20">
      <c r="A1729" s="101"/>
      <c r="B1729" s="101"/>
      <c r="C1729" s="101"/>
      <c r="D1729" s="101"/>
      <c r="E1729" s="101"/>
      <c r="F1729" s="102"/>
      <c r="G1729" s="101"/>
      <c r="H1729" s="102"/>
      <c r="I1729" s="101"/>
      <c r="J1729" s="101"/>
      <c r="K1729" s="103"/>
      <c r="L1729" s="103"/>
      <c r="M1729" s="103"/>
      <c r="N1729" s="103"/>
      <c r="O1729" s="103"/>
      <c r="P1729" s="98"/>
      <c r="Q1729" s="99"/>
      <c r="R1729" s="104">
        <f t="shared" si="83"/>
        <v>0</v>
      </c>
      <c r="S1729" s="104">
        <f t="shared" si="82"/>
        <v>0</v>
      </c>
      <c r="T1729" s="104">
        <f t="shared" si="84"/>
        <v>0</v>
      </c>
    </row>
    <row r="1730" spans="1:20">
      <c r="A1730" s="101"/>
      <c r="B1730" s="101"/>
      <c r="C1730" s="101"/>
      <c r="D1730" s="101"/>
      <c r="E1730" s="101"/>
      <c r="F1730" s="102"/>
      <c r="G1730" s="101"/>
      <c r="H1730" s="102"/>
      <c r="I1730" s="101"/>
      <c r="J1730" s="101"/>
      <c r="K1730" s="103"/>
      <c r="L1730" s="103"/>
      <c r="M1730" s="103"/>
      <c r="N1730" s="103"/>
      <c r="O1730" s="103"/>
      <c r="P1730" s="98"/>
      <c r="Q1730" s="99"/>
      <c r="R1730" s="105">
        <f t="shared" si="83"/>
        <v>0</v>
      </c>
      <c r="S1730" s="108">
        <f t="shared" si="82"/>
        <v>0</v>
      </c>
      <c r="T1730" s="105">
        <f t="shared" si="84"/>
        <v>0</v>
      </c>
    </row>
    <row r="1731" spans="1:20">
      <c r="A1731" s="101"/>
      <c r="B1731" s="101"/>
      <c r="C1731" s="101"/>
      <c r="D1731" s="101"/>
      <c r="E1731" s="101"/>
      <c r="F1731" s="102"/>
      <c r="G1731" s="101"/>
      <c r="H1731" s="102"/>
      <c r="I1731" s="101"/>
      <c r="J1731" s="101"/>
      <c r="K1731" s="103"/>
      <c r="L1731" s="103"/>
      <c r="M1731" s="103"/>
      <c r="N1731" s="103"/>
      <c r="O1731" s="103"/>
      <c r="P1731" s="98"/>
      <c r="Q1731" s="99"/>
      <c r="R1731" s="104">
        <f t="shared" si="83"/>
        <v>0</v>
      </c>
      <c r="S1731" s="104">
        <f t="shared" si="82"/>
        <v>0</v>
      </c>
      <c r="T1731" s="104">
        <f t="shared" si="84"/>
        <v>0</v>
      </c>
    </row>
    <row r="1732" spans="1:20">
      <c r="A1732" s="101"/>
      <c r="B1732" s="101"/>
      <c r="C1732" s="101"/>
      <c r="D1732" s="101"/>
      <c r="E1732" s="101"/>
      <c r="F1732" s="102"/>
      <c r="G1732" s="101"/>
      <c r="H1732" s="102"/>
      <c r="I1732" s="101"/>
      <c r="J1732" s="101"/>
      <c r="K1732" s="103"/>
      <c r="L1732" s="103"/>
      <c r="M1732" s="103"/>
      <c r="N1732" s="103"/>
      <c r="O1732" s="103"/>
      <c r="P1732" s="98"/>
      <c r="Q1732" s="99"/>
      <c r="R1732" s="105">
        <f t="shared" si="83"/>
        <v>0</v>
      </c>
      <c r="S1732" s="108">
        <f t="shared" ref="S1732:S1795" si="85">IF(P1732="Abono",K1732+L1732+M1732-N1732-O1732,0)</f>
        <v>0</v>
      </c>
      <c r="T1732" s="105">
        <f t="shared" si="84"/>
        <v>0</v>
      </c>
    </row>
    <row r="1733" spans="1:20">
      <c r="A1733" s="101"/>
      <c r="B1733" s="101"/>
      <c r="C1733" s="101"/>
      <c r="D1733" s="101"/>
      <c r="E1733" s="101"/>
      <c r="F1733" s="102"/>
      <c r="G1733" s="101"/>
      <c r="H1733" s="102"/>
      <c r="I1733" s="101"/>
      <c r="J1733" s="101"/>
      <c r="K1733" s="103"/>
      <c r="L1733" s="103"/>
      <c r="M1733" s="103"/>
      <c r="N1733" s="103"/>
      <c r="O1733" s="103"/>
      <c r="P1733" s="98"/>
      <c r="Q1733" s="99"/>
      <c r="R1733" s="104">
        <f t="shared" ref="R1733:R1796" si="86">IF(P1733="Cargo",K1733+L1733-M1733-N1733+O1733,0)</f>
        <v>0</v>
      </c>
      <c r="S1733" s="104">
        <f t="shared" si="85"/>
        <v>0</v>
      </c>
      <c r="T1733" s="104">
        <f t="shared" ref="T1733:T1796" si="87">IF(Q1733="OK",+T1732+R1733-S1733,T1732)</f>
        <v>0</v>
      </c>
    </row>
    <row r="1734" spans="1:20">
      <c r="A1734" s="101"/>
      <c r="B1734" s="101"/>
      <c r="C1734" s="101"/>
      <c r="D1734" s="101"/>
      <c r="E1734" s="101"/>
      <c r="F1734" s="102"/>
      <c r="G1734" s="101"/>
      <c r="H1734" s="102"/>
      <c r="I1734" s="101"/>
      <c r="J1734" s="101"/>
      <c r="K1734" s="103"/>
      <c r="L1734" s="103"/>
      <c r="M1734" s="103"/>
      <c r="N1734" s="103"/>
      <c r="O1734" s="103"/>
      <c r="P1734" s="98"/>
      <c r="Q1734" s="99"/>
      <c r="R1734" s="105">
        <f t="shared" si="86"/>
        <v>0</v>
      </c>
      <c r="S1734" s="108">
        <f t="shared" si="85"/>
        <v>0</v>
      </c>
      <c r="T1734" s="105">
        <f t="shared" si="87"/>
        <v>0</v>
      </c>
    </row>
    <row r="1735" spans="1:20">
      <c r="A1735" s="101"/>
      <c r="B1735" s="101"/>
      <c r="C1735" s="101"/>
      <c r="D1735" s="101"/>
      <c r="E1735" s="101"/>
      <c r="F1735" s="102"/>
      <c r="G1735" s="101"/>
      <c r="H1735" s="102"/>
      <c r="I1735" s="101"/>
      <c r="J1735" s="101"/>
      <c r="K1735" s="103"/>
      <c r="L1735" s="103"/>
      <c r="M1735" s="103"/>
      <c r="N1735" s="103"/>
      <c r="O1735" s="103"/>
      <c r="P1735" s="98"/>
      <c r="Q1735" s="99"/>
      <c r="R1735" s="104">
        <f t="shared" si="86"/>
        <v>0</v>
      </c>
      <c r="S1735" s="104">
        <f t="shared" si="85"/>
        <v>0</v>
      </c>
      <c r="T1735" s="104">
        <f t="shared" si="87"/>
        <v>0</v>
      </c>
    </row>
    <row r="1736" spans="1:20">
      <c r="A1736" s="101"/>
      <c r="B1736" s="101"/>
      <c r="C1736" s="101"/>
      <c r="D1736" s="101"/>
      <c r="E1736" s="101"/>
      <c r="F1736" s="102"/>
      <c r="G1736" s="101"/>
      <c r="H1736" s="102"/>
      <c r="I1736" s="101"/>
      <c r="J1736" s="101"/>
      <c r="K1736" s="103"/>
      <c r="L1736" s="103"/>
      <c r="M1736" s="103"/>
      <c r="N1736" s="103"/>
      <c r="O1736" s="103"/>
      <c r="P1736" s="98"/>
      <c r="Q1736" s="99"/>
      <c r="R1736" s="105">
        <f t="shared" si="86"/>
        <v>0</v>
      </c>
      <c r="S1736" s="108">
        <f t="shared" si="85"/>
        <v>0</v>
      </c>
      <c r="T1736" s="105">
        <f t="shared" si="87"/>
        <v>0</v>
      </c>
    </row>
    <row r="1737" spans="1:20">
      <c r="A1737" s="101"/>
      <c r="B1737" s="101"/>
      <c r="C1737" s="101"/>
      <c r="D1737" s="101"/>
      <c r="E1737" s="101"/>
      <c r="F1737" s="102"/>
      <c r="G1737" s="101"/>
      <c r="H1737" s="102"/>
      <c r="I1737" s="101"/>
      <c r="J1737" s="101"/>
      <c r="K1737" s="103"/>
      <c r="L1737" s="103"/>
      <c r="M1737" s="103"/>
      <c r="N1737" s="103"/>
      <c r="O1737" s="103"/>
      <c r="P1737" s="98"/>
      <c r="Q1737" s="99"/>
      <c r="R1737" s="104">
        <f t="shared" si="86"/>
        <v>0</v>
      </c>
      <c r="S1737" s="104">
        <f t="shared" si="85"/>
        <v>0</v>
      </c>
      <c r="T1737" s="104">
        <f t="shared" si="87"/>
        <v>0</v>
      </c>
    </row>
    <row r="1738" spans="1:20">
      <c r="A1738" s="101"/>
      <c r="B1738" s="101"/>
      <c r="C1738" s="101"/>
      <c r="D1738" s="101"/>
      <c r="E1738" s="101"/>
      <c r="F1738" s="102"/>
      <c r="G1738" s="101"/>
      <c r="H1738" s="102"/>
      <c r="I1738" s="101"/>
      <c r="J1738" s="101"/>
      <c r="K1738" s="103"/>
      <c r="L1738" s="103"/>
      <c r="M1738" s="103"/>
      <c r="N1738" s="103"/>
      <c r="O1738" s="103"/>
      <c r="P1738" s="98"/>
      <c r="Q1738" s="99"/>
      <c r="R1738" s="105">
        <f t="shared" si="86"/>
        <v>0</v>
      </c>
      <c r="S1738" s="108">
        <f t="shared" si="85"/>
        <v>0</v>
      </c>
      <c r="T1738" s="105">
        <f t="shared" si="87"/>
        <v>0</v>
      </c>
    </row>
    <row r="1739" spans="1:20">
      <c r="A1739" s="101"/>
      <c r="B1739" s="101"/>
      <c r="C1739" s="101"/>
      <c r="D1739" s="101"/>
      <c r="E1739" s="101"/>
      <c r="F1739" s="102"/>
      <c r="G1739" s="101"/>
      <c r="H1739" s="102"/>
      <c r="I1739" s="101"/>
      <c r="J1739" s="101"/>
      <c r="K1739" s="103"/>
      <c r="L1739" s="103"/>
      <c r="M1739" s="103"/>
      <c r="N1739" s="103"/>
      <c r="O1739" s="103"/>
      <c r="P1739" s="98"/>
      <c r="Q1739" s="99"/>
      <c r="R1739" s="104">
        <f t="shared" si="86"/>
        <v>0</v>
      </c>
      <c r="S1739" s="104">
        <f t="shared" si="85"/>
        <v>0</v>
      </c>
      <c r="T1739" s="104">
        <f t="shared" si="87"/>
        <v>0</v>
      </c>
    </row>
    <row r="1740" spans="1:20">
      <c r="A1740" s="101"/>
      <c r="B1740" s="101"/>
      <c r="C1740" s="101"/>
      <c r="D1740" s="101"/>
      <c r="E1740" s="101"/>
      <c r="F1740" s="102"/>
      <c r="G1740" s="101"/>
      <c r="H1740" s="102"/>
      <c r="I1740" s="101"/>
      <c r="J1740" s="101"/>
      <c r="K1740" s="103"/>
      <c r="L1740" s="103"/>
      <c r="M1740" s="103"/>
      <c r="N1740" s="103"/>
      <c r="O1740" s="103"/>
      <c r="P1740" s="98"/>
      <c r="Q1740" s="99"/>
      <c r="R1740" s="105">
        <f t="shared" si="86"/>
        <v>0</v>
      </c>
      <c r="S1740" s="108">
        <f t="shared" si="85"/>
        <v>0</v>
      </c>
      <c r="T1740" s="105">
        <f t="shared" si="87"/>
        <v>0</v>
      </c>
    </row>
    <row r="1741" spans="1:20">
      <c r="A1741" s="101"/>
      <c r="B1741" s="101"/>
      <c r="C1741" s="101"/>
      <c r="D1741" s="101"/>
      <c r="E1741" s="101"/>
      <c r="F1741" s="102"/>
      <c r="G1741" s="101"/>
      <c r="H1741" s="102"/>
      <c r="I1741" s="101"/>
      <c r="J1741" s="101"/>
      <c r="K1741" s="103"/>
      <c r="L1741" s="103"/>
      <c r="M1741" s="103"/>
      <c r="N1741" s="103"/>
      <c r="O1741" s="103"/>
      <c r="P1741" s="98"/>
      <c r="Q1741" s="99"/>
      <c r="R1741" s="104">
        <f t="shared" si="86"/>
        <v>0</v>
      </c>
      <c r="S1741" s="104">
        <f t="shared" si="85"/>
        <v>0</v>
      </c>
      <c r="T1741" s="104">
        <f t="shared" si="87"/>
        <v>0</v>
      </c>
    </row>
    <row r="1742" spans="1:20">
      <c r="A1742" s="101"/>
      <c r="B1742" s="101"/>
      <c r="C1742" s="101"/>
      <c r="D1742" s="101"/>
      <c r="E1742" s="101"/>
      <c r="F1742" s="102"/>
      <c r="G1742" s="101"/>
      <c r="H1742" s="102"/>
      <c r="I1742" s="101"/>
      <c r="J1742" s="101"/>
      <c r="K1742" s="103"/>
      <c r="L1742" s="103"/>
      <c r="M1742" s="103"/>
      <c r="N1742" s="103"/>
      <c r="O1742" s="103"/>
      <c r="P1742" s="98"/>
      <c r="Q1742" s="99"/>
      <c r="R1742" s="105">
        <f t="shared" si="86"/>
        <v>0</v>
      </c>
      <c r="S1742" s="108">
        <f t="shared" si="85"/>
        <v>0</v>
      </c>
      <c r="T1742" s="105">
        <f t="shared" si="87"/>
        <v>0</v>
      </c>
    </row>
    <row r="1743" spans="1:20">
      <c r="A1743" s="101"/>
      <c r="B1743" s="101"/>
      <c r="C1743" s="101"/>
      <c r="D1743" s="101"/>
      <c r="E1743" s="101"/>
      <c r="F1743" s="102"/>
      <c r="G1743" s="101"/>
      <c r="H1743" s="102"/>
      <c r="I1743" s="101"/>
      <c r="J1743" s="101"/>
      <c r="K1743" s="103"/>
      <c r="L1743" s="103"/>
      <c r="M1743" s="103"/>
      <c r="N1743" s="103"/>
      <c r="O1743" s="103"/>
      <c r="P1743" s="98"/>
      <c r="Q1743" s="99"/>
      <c r="R1743" s="104">
        <f t="shared" si="86"/>
        <v>0</v>
      </c>
      <c r="S1743" s="104">
        <f t="shared" si="85"/>
        <v>0</v>
      </c>
      <c r="T1743" s="104">
        <f t="shared" si="87"/>
        <v>0</v>
      </c>
    </row>
    <row r="1744" spans="1:20">
      <c r="A1744" s="101"/>
      <c r="B1744" s="101"/>
      <c r="C1744" s="101"/>
      <c r="D1744" s="101"/>
      <c r="E1744" s="101"/>
      <c r="F1744" s="102"/>
      <c r="G1744" s="101"/>
      <c r="H1744" s="102"/>
      <c r="I1744" s="101"/>
      <c r="J1744" s="101"/>
      <c r="K1744" s="103"/>
      <c r="L1744" s="103"/>
      <c r="M1744" s="103"/>
      <c r="N1744" s="103"/>
      <c r="O1744" s="103"/>
      <c r="P1744" s="98"/>
      <c r="Q1744" s="99"/>
      <c r="R1744" s="105">
        <f t="shared" si="86"/>
        <v>0</v>
      </c>
      <c r="S1744" s="108">
        <f t="shared" si="85"/>
        <v>0</v>
      </c>
      <c r="T1744" s="105">
        <f t="shared" si="87"/>
        <v>0</v>
      </c>
    </row>
    <row r="1745" spans="1:20">
      <c r="A1745" s="101"/>
      <c r="B1745" s="101"/>
      <c r="C1745" s="101"/>
      <c r="D1745" s="101"/>
      <c r="E1745" s="101"/>
      <c r="F1745" s="102"/>
      <c r="G1745" s="101"/>
      <c r="H1745" s="102"/>
      <c r="I1745" s="101"/>
      <c r="J1745" s="101"/>
      <c r="K1745" s="103"/>
      <c r="L1745" s="103"/>
      <c r="M1745" s="103"/>
      <c r="N1745" s="103"/>
      <c r="O1745" s="103"/>
      <c r="P1745" s="98"/>
      <c r="Q1745" s="99"/>
      <c r="R1745" s="104">
        <f t="shared" si="86"/>
        <v>0</v>
      </c>
      <c r="S1745" s="104">
        <f t="shared" si="85"/>
        <v>0</v>
      </c>
      <c r="T1745" s="104">
        <f t="shared" si="87"/>
        <v>0</v>
      </c>
    </row>
    <row r="1746" spans="1:20">
      <c r="A1746" s="101"/>
      <c r="B1746" s="101"/>
      <c r="C1746" s="101"/>
      <c r="D1746" s="101"/>
      <c r="E1746" s="101"/>
      <c r="F1746" s="102"/>
      <c r="G1746" s="101"/>
      <c r="H1746" s="102"/>
      <c r="I1746" s="101"/>
      <c r="J1746" s="101"/>
      <c r="K1746" s="103"/>
      <c r="L1746" s="103"/>
      <c r="M1746" s="103"/>
      <c r="N1746" s="103"/>
      <c r="O1746" s="103"/>
      <c r="P1746" s="98"/>
      <c r="Q1746" s="99"/>
      <c r="R1746" s="105">
        <f t="shared" si="86"/>
        <v>0</v>
      </c>
      <c r="S1746" s="108">
        <f t="shared" si="85"/>
        <v>0</v>
      </c>
      <c r="T1746" s="105">
        <f t="shared" si="87"/>
        <v>0</v>
      </c>
    </row>
    <row r="1747" spans="1:20">
      <c r="A1747" s="101"/>
      <c r="B1747" s="101"/>
      <c r="C1747" s="101"/>
      <c r="D1747" s="101"/>
      <c r="E1747" s="101"/>
      <c r="F1747" s="102"/>
      <c r="G1747" s="101"/>
      <c r="H1747" s="102"/>
      <c r="I1747" s="101"/>
      <c r="J1747" s="101"/>
      <c r="K1747" s="103"/>
      <c r="L1747" s="103"/>
      <c r="M1747" s="103"/>
      <c r="N1747" s="103"/>
      <c r="O1747" s="103"/>
      <c r="P1747" s="98"/>
      <c r="Q1747" s="99"/>
      <c r="R1747" s="104">
        <f t="shared" si="86"/>
        <v>0</v>
      </c>
      <c r="S1747" s="104">
        <f t="shared" si="85"/>
        <v>0</v>
      </c>
      <c r="T1747" s="104">
        <f t="shared" si="87"/>
        <v>0</v>
      </c>
    </row>
    <row r="1748" spans="1:20">
      <c r="A1748" s="101"/>
      <c r="B1748" s="101"/>
      <c r="C1748" s="101"/>
      <c r="D1748" s="101"/>
      <c r="E1748" s="101"/>
      <c r="F1748" s="102"/>
      <c r="G1748" s="101"/>
      <c r="H1748" s="102"/>
      <c r="I1748" s="101"/>
      <c r="J1748" s="101"/>
      <c r="K1748" s="103"/>
      <c r="L1748" s="103"/>
      <c r="M1748" s="103"/>
      <c r="N1748" s="103"/>
      <c r="O1748" s="103"/>
      <c r="P1748" s="98"/>
      <c r="Q1748" s="99"/>
      <c r="R1748" s="105">
        <f t="shared" si="86"/>
        <v>0</v>
      </c>
      <c r="S1748" s="108">
        <f t="shared" si="85"/>
        <v>0</v>
      </c>
      <c r="T1748" s="105">
        <f t="shared" si="87"/>
        <v>0</v>
      </c>
    </row>
    <row r="1749" spans="1:20">
      <c r="A1749" s="101"/>
      <c r="B1749" s="101"/>
      <c r="C1749" s="101"/>
      <c r="D1749" s="101"/>
      <c r="E1749" s="101"/>
      <c r="F1749" s="102"/>
      <c r="G1749" s="101"/>
      <c r="H1749" s="102"/>
      <c r="I1749" s="101"/>
      <c r="J1749" s="101"/>
      <c r="K1749" s="103"/>
      <c r="L1749" s="103"/>
      <c r="M1749" s="103"/>
      <c r="N1749" s="103"/>
      <c r="O1749" s="103"/>
      <c r="P1749" s="98"/>
      <c r="Q1749" s="99"/>
      <c r="R1749" s="104">
        <f t="shared" si="86"/>
        <v>0</v>
      </c>
      <c r="S1749" s="104">
        <f t="shared" si="85"/>
        <v>0</v>
      </c>
      <c r="T1749" s="104">
        <f t="shared" si="87"/>
        <v>0</v>
      </c>
    </row>
    <row r="1750" spans="1:20">
      <c r="A1750" s="101"/>
      <c r="B1750" s="101"/>
      <c r="C1750" s="101"/>
      <c r="D1750" s="101"/>
      <c r="E1750" s="101"/>
      <c r="F1750" s="102"/>
      <c r="G1750" s="101"/>
      <c r="H1750" s="102"/>
      <c r="I1750" s="101"/>
      <c r="J1750" s="101"/>
      <c r="K1750" s="103"/>
      <c r="L1750" s="103"/>
      <c r="M1750" s="103"/>
      <c r="N1750" s="103"/>
      <c r="O1750" s="103"/>
      <c r="P1750" s="98"/>
      <c r="Q1750" s="99"/>
      <c r="R1750" s="105">
        <f t="shared" si="86"/>
        <v>0</v>
      </c>
      <c r="S1750" s="108">
        <f t="shared" si="85"/>
        <v>0</v>
      </c>
      <c r="T1750" s="105">
        <f t="shared" si="87"/>
        <v>0</v>
      </c>
    </row>
    <row r="1751" spans="1:20">
      <c r="A1751" s="101"/>
      <c r="B1751" s="101"/>
      <c r="C1751" s="101"/>
      <c r="D1751" s="101"/>
      <c r="E1751" s="101"/>
      <c r="F1751" s="102"/>
      <c r="G1751" s="101"/>
      <c r="H1751" s="102"/>
      <c r="I1751" s="101"/>
      <c r="J1751" s="101"/>
      <c r="K1751" s="103"/>
      <c r="L1751" s="103"/>
      <c r="M1751" s="103"/>
      <c r="N1751" s="103"/>
      <c r="O1751" s="103"/>
      <c r="P1751" s="98"/>
      <c r="Q1751" s="99"/>
      <c r="R1751" s="104">
        <f t="shared" si="86"/>
        <v>0</v>
      </c>
      <c r="S1751" s="104">
        <f t="shared" si="85"/>
        <v>0</v>
      </c>
      <c r="T1751" s="104">
        <f t="shared" si="87"/>
        <v>0</v>
      </c>
    </row>
    <row r="1752" spans="1:20">
      <c r="A1752" s="101"/>
      <c r="B1752" s="101"/>
      <c r="C1752" s="101"/>
      <c r="D1752" s="101"/>
      <c r="E1752" s="101"/>
      <c r="F1752" s="102"/>
      <c r="G1752" s="101"/>
      <c r="H1752" s="102"/>
      <c r="I1752" s="101"/>
      <c r="J1752" s="101"/>
      <c r="K1752" s="103"/>
      <c r="L1752" s="103"/>
      <c r="M1752" s="103"/>
      <c r="N1752" s="103"/>
      <c r="O1752" s="103"/>
      <c r="P1752" s="98"/>
      <c r="Q1752" s="99"/>
      <c r="R1752" s="105">
        <f t="shared" si="86"/>
        <v>0</v>
      </c>
      <c r="S1752" s="108">
        <f t="shared" si="85"/>
        <v>0</v>
      </c>
      <c r="T1752" s="105">
        <f t="shared" si="87"/>
        <v>0</v>
      </c>
    </row>
    <row r="1753" spans="1:20">
      <c r="A1753" s="101"/>
      <c r="B1753" s="101"/>
      <c r="C1753" s="101"/>
      <c r="D1753" s="101"/>
      <c r="E1753" s="101"/>
      <c r="F1753" s="102"/>
      <c r="G1753" s="101"/>
      <c r="H1753" s="102"/>
      <c r="I1753" s="101"/>
      <c r="J1753" s="101"/>
      <c r="K1753" s="103"/>
      <c r="L1753" s="103"/>
      <c r="M1753" s="103"/>
      <c r="N1753" s="103"/>
      <c r="O1753" s="103"/>
      <c r="P1753" s="98"/>
      <c r="Q1753" s="99"/>
      <c r="R1753" s="104">
        <f t="shared" si="86"/>
        <v>0</v>
      </c>
      <c r="S1753" s="104">
        <f t="shared" si="85"/>
        <v>0</v>
      </c>
      <c r="T1753" s="104">
        <f t="shared" si="87"/>
        <v>0</v>
      </c>
    </row>
    <row r="1754" spans="1:20">
      <c r="A1754" s="101"/>
      <c r="B1754" s="101"/>
      <c r="C1754" s="101"/>
      <c r="D1754" s="101"/>
      <c r="E1754" s="101"/>
      <c r="F1754" s="102"/>
      <c r="G1754" s="101"/>
      <c r="H1754" s="102"/>
      <c r="I1754" s="101"/>
      <c r="J1754" s="101"/>
      <c r="K1754" s="103"/>
      <c r="L1754" s="103"/>
      <c r="M1754" s="103"/>
      <c r="N1754" s="103"/>
      <c r="O1754" s="103"/>
      <c r="P1754" s="98"/>
      <c r="Q1754" s="99"/>
      <c r="R1754" s="105">
        <f t="shared" si="86"/>
        <v>0</v>
      </c>
      <c r="S1754" s="108">
        <f t="shared" si="85"/>
        <v>0</v>
      </c>
      <c r="T1754" s="105">
        <f t="shared" si="87"/>
        <v>0</v>
      </c>
    </row>
    <row r="1755" spans="1:20">
      <c r="A1755" s="101"/>
      <c r="B1755" s="101"/>
      <c r="C1755" s="101"/>
      <c r="D1755" s="101"/>
      <c r="E1755" s="101"/>
      <c r="F1755" s="102"/>
      <c r="G1755" s="101"/>
      <c r="H1755" s="102"/>
      <c r="I1755" s="101"/>
      <c r="J1755" s="101"/>
      <c r="K1755" s="103"/>
      <c r="L1755" s="103"/>
      <c r="M1755" s="103"/>
      <c r="N1755" s="103"/>
      <c r="O1755" s="103"/>
      <c r="P1755" s="98"/>
      <c r="Q1755" s="99"/>
      <c r="R1755" s="104">
        <f t="shared" si="86"/>
        <v>0</v>
      </c>
      <c r="S1755" s="104">
        <f t="shared" si="85"/>
        <v>0</v>
      </c>
      <c r="T1755" s="104">
        <f t="shared" si="87"/>
        <v>0</v>
      </c>
    </row>
    <row r="1756" spans="1:20">
      <c r="A1756" s="101"/>
      <c r="B1756" s="101"/>
      <c r="C1756" s="101"/>
      <c r="D1756" s="101"/>
      <c r="E1756" s="101"/>
      <c r="F1756" s="102"/>
      <c r="G1756" s="101"/>
      <c r="H1756" s="102"/>
      <c r="I1756" s="101"/>
      <c r="J1756" s="101"/>
      <c r="K1756" s="103"/>
      <c r="L1756" s="103"/>
      <c r="M1756" s="103"/>
      <c r="N1756" s="103"/>
      <c r="O1756" s="103"/>
      <c r="P1756" s="98"/>
      <c r="Q1756" s="99"/>
      <c r="R1756" s="105">
        <f t="shared" si="86"/>
        <v>0</v>
      </c>
      <c r="S1756" s="108">
        <f t="shared" si="85"/>
        <v>0</v>
      </c>
      <c r="T1756" s="105">
        <f t="shared" si="87"/>
        <v>0</v>
      </c>
    </row>
    <row r="1757" spans="1:20">
      <c r="A1757" s="101"/>
      <c r="B1757" s="101"/>
      <c r="C1757" s="101"/>
      <c r="D1757" s="101"/>
      <c r="E1757" s="101"/>
      <c r="F1757" s="102"/>
      <c r="G1757" s="101"/>
      <c r="H1757" s="102"/>
      <c r="I1757" s="101"/>
      <c r="J1757" s="101"/>
      <c r="K1757" s="103"/>
      <c r="L1757" s="103"/>
      <c r="M1757" s="103"/>
      <c r="N1757" s="103"/>
      <c r="O1757" s="103"/>
      <c r="P1757" s="98"/>
      <c r="Q1757" s="99"/>
      <c r="R1757" s="104">
        <f t="shared" si="86"/>
        <v>0</v>
      </c>
      <c r="S1757" s="104">
        <f t="shared" si="85"/>
        <v>0</v>
      </c>
      <c r="T1757" s="104">
        <f t="shared" si="87"/>
        <v>0</v>
      </c>
    </row>
    <row r="1758" spans="1:20">
      <c r="A1758" s="101"/>
      <c r="B1758" s="101"/>
      <c r="C1758" s="101"/>
      <c r="D1758" s="101"/>
      <c r="E1758" s="101"/>
      <c r="F1758" s="102"/>
      <c r="G1758" s="101"/>
      <c r="H1758" s="102"/>
      <c r="I1758" s="101"/>
      <c r="J1758" s="101"/>
      <c r="K1758" s="103"/>
      <c r="L1758" s="103"/>
      <c r="M1758" s="103"/>
      <c r="N1758" s="103"/>
      <c r="O1758" s="103"/>
      <c r="P1758" s="98"/>
      <c r="Q1758" s="99"/>
      <c r="R1758" s="105">
        <f t="shared" si="86"/>
        <v>0</v>
      </c>
      <c r="S1758" s="108">
        <f t="shared" si="85"/>
        <v>0</v>
      </c>
      <c r="T1758" s="105">
        <f t="shared" si="87"/>
        <v>0</v>
      </c>
    </row>
    <row r="1759" spans="1:20">
      <c r="A1759" s="101"/>
      <c r="B1759" s="101"/>
      <c r="C1759" s="101"/>
      <c r="D1759" s="101"/>
      <c r="E1759" s="101"/>
      <c r="F1759" s="102"/>
      <c r="G1759" s="101"/>
      <c r="H1759" s="102"/>
      <c r="I1759" s="101"/>
      <c r="J1759" s="101"/>
      <c r="K1759" s="103"/>
      <c r="L1759" s="103"/>
      <c r="M1759" s="103"/>
      <c r="N1759" s="103"/>
      <c r="O1759" s="103"/>
      <c r="P1759" s="98"/>
      <c r="Q1759" s="99"/>
      <c r="R1759" s="104">
        <f t="shared" si="86"/>
        <v>0</v>
      </c>
      <c r="S1759" s="104">
        <f t="shared" si="85"/>
        <v>0</v>
      </c>
      <c r="T1759" s="104">
        <f t="shared" si="87"/>
        <v>0</v>
      </c>
    </row>
    <row r="1760" spans="1:20">
      <c r="A1760" s="101"/>
      <c r="B1760" s="101"/>
      <c r="C1760" s="101"/>
      <c r="D1760" s="101"/>
      <c r="E1760" s="101"/>
      <c r="F1760" s="102"/>
      <c r="G1760" s="101"/>
      <c r="H1760" s="102"/>
      <c r="I1760" s="101"/>
      <c r="J1760" s="101"/>
      <c r="K1760" s="103"/>
      <c r="L1760" s="103"/>
      <c r="M1760" s="103"/>
      <c r="N1760" s="103"/>
      <c r="O1760" s="103"/>
      <c r="P1760" s="98"/>
      <c r="Q1760" s="99"/>
      <c r="R1760" s="105">
        <f t="shared" si="86"/>
        <v>0</v>
      </c>
      <c r="S1760" s="108">
        <f t="shared" si="85"/>
        <v>0</v>
      </c>
      <c r="T1760" s="105">
        <f t="shared" si="87"/>
        <v>0</v>
      </c>
    </row>
    <row r="1761" spans="1:20">
      <c r="A1761" s="101"/>
      <c r="B1761" s="101"/>
      <c r="C1761" s="101"/>
      <c r="D1761" s="101"/>
      <c r="E1761" s="101"/>
      <c r="F1761" s="102"/>
      <c r="G1761" s="101"/>
      <c r="H1761" s="102"/>
      <c r="I1761" s="101"/>
      <c r="J1761" s="101"/>
      <c r="K1761" s="103"/>
      <c r="L1761" s="103"/>
      <c r="M1761" s="103"/>
      <c r="N1761" s="103"/>
      <c r="O1761" s="103"/>
      <c r="P1761" s="98"/>
      <c r="Q1761" s="99"/>
      <c r="R1761" s="104">
        <f t="shared" si="86"/>
        <v>0</v>
      </c>
      <c r="S1761" s="104">
        <f t="shared" si="85"/>
        <v>0</v>
      </c>
      <c r="T1761" s="104">
        <f t="shared" si="87"/>
        <v>0</v>
      </c>
    </row>
    <row r="1762" spans="1:20">
      <c r="A1762" s="101"/>
      <c r="B1762" s="101"/>
      <c r="C1762" s="101"/>
      <c r="D1762" s="101"/>
      <c r="E1762" s="101"/>
      <c r="F1762" s="102"/>
      <c r="G1762" s="101"/>
      <c r="H1762" s="102"/>
      <c r="I1762" s="101"/>
      <c r="J1762" s="101"/>
      <c r="K1762" s="103"/>
      <c r="L1762" s="103"/>
      <c r="M1762" s="103"/>
      <c r="N1762" s="103"/>
      <c r="O1762" s="103"/>
      <c r="P1762" s="98"/>
      <c r="Q1762" s="99"/>
      <c r="R1762" s="105">
        <f t="shared" si="86"/>
        <v>0</v>
      </c>
      <c r="S1762" s="108">
        <f t="shared" si="85"/>
        <v>0</v>
      </c>
      <c r="T1762" s="105">
        <f t="shared" si="87"/>
        <v>0</v>
      </c>
    </row>
    <row r="1763" spans="1:20">
      <c r="A1763" s="101"/>
      <c r="B1763" s="101"/>
      <c r="C1763" s="101"/>
      <c r="D1763" s="101"/>
      <c r="E1763" s="101"/>
      <c r="F1763" s="102"/>
      <c r="G1763" s="101"/>
      <c r="H1763" s="102"/>
      <c r="I1763" s="101"/>
      <c r="J1763" s="101"/>
      <c r="K1763" s="103"/>
      <c r="L1763" s="103"/>
      <c r="M1763" s="103"/>
      <c r="N1763" s="103"/>
      <c r="O1763" s="103"/>
      <c r="P1763" s="98"/>
      <c r="Q1763" s="99"/>
      <c r="R1763" s="104">
        <f t="shared" si="86"/>
        <v>0</v>
      </c>
      <c r="S1763" s="104">
        <f t="shared" si="85"/>
        <v>0</v>
      </c>
      <c r="T1763" s="104">
        <f t="shared" si="87"/>
        <v>0</v>
      </c>
    </row>
    <row r="1764" spans="1:20">
      <c r="A1764" s="101"/>
      <c r="B1764" s="101"/>
      <c r="C1764" s="101"/>
      <c r="D1764" s="101"/>
      <c r="E1764" s="101"/>
      <c r="F1764" s="102"/>
      <c r="G1764" s="101"/>
      <c r="H1764" s="102"/>
      <c r="I1764" s="101"/>
      <c r="J1764" s="101"/>
      <c r="K1764" s="103"/>
      <c r="L1764" s="103"/>
      <c r="M1764" s="103"/>
      <c r="N1764" s="103"/>
      <c r="O1764" s="103"/>
      <c r="P1764" s="98"/>
      <c r="Q1764" s="99"/>
      <c r="R1764" s="105">
        <f t="shared" si="86"/>
        <v>0</v>
      </c>
      <c r="S1764" s="108">
        <f t="shared" si="85"/>
        <v>0</v>
      </c>
      <c r="T1764" s="105">
        <f t="shared" si="87"/>
        <v>0</v>
      </c>
    </row>
    <row r="1765" spans="1:20">
      <c r="A1765" s="101"/>
      <c r="B1765" s="101"/>
      <c r="C1765" s="101"/>
      <c r="D1765" s="101"/>
      <c r="E1765" s="101"/>
      <c r="F1765" s="102"/>
      <c r="G1765" s="101"/>
      <c r="H1765" s="102"/>
      <c r="I1765" s="101"/>
      <c r="J1765" s="101"/>
      <c r="K1765" s="103"/>
      <c r="L1765" s="103"/>
      <c r="M1765" s="103"/>
      <c r="N1765" s="103"/>
      <c r="O1765" s="103"/>
      <c r="P1765" s="98"/>
      <c r="Q1765" s="99"/>
      <c r="R1765" s="104">
        <f t="shared" si="86"/>
        <v>0</v>
      </c>
      <c r="S1765" s="104">
        <f t="shared" si="85"/>
        <v>0</v>
      </c>
      <c r="T1765" s="104">
        <f t="shared" si="87"/>
        <v>0</v>
      </c>
    </row>
    <row r="1766" spans="1:20">
      <c r="A1766" s="101"/>
      <c r="B1766" s="101"/>
      <c r="C1766" s="101"/>
      <c r="D1766" s="101"/>
      <c r="E1766" s="101"/>
      <c r="F1766" s="102"/>
      <c r="G1766" s="101"/>
      <c r="H1766" s="102"/>
      <c r="I1766" s="101"/>
      <c r="J1766" s="101"/>
      <c r="K1766" s="103"/>
      <c r="L1766" s="103"/>
      <c r="M1766" s="103"/>
      <c r="N1766" s="103"/>
      <c r="O1766" s="103"/>
      <c r="P1766" s="98"/>
      <c r="Q1766" s="99"/>
      <c r="R1766" s="105">
        <f t="shared" si="86"/>
        <v>0</v>
      </c>
      <c r="S1766" s="108">
        <f t="shared" si="85"/>
        <v>0</v>
      </c>
      <c r="T1766" s="105">
        <f t="shared" si="87"/>
        <v>0</v>
      </c>
    </row>
    <row r="1767" spans="1:20">
      <c r="A1767" s="101"/>
      <c r="B1767" s="101"/>
      <c r="C1767" s="101"/>
      <c r="D1767" s="101"/>
      <c r="E1767" s="101"/>
      <c r="F1767" s="102"/>
      <c r="G1767" s="101"/>
      <c r="H1767" s="102"/>
      <c r="I1767" s="101"/>
      <c r="J1767" s="101"/>
      <c r="K1767" s="103"/>
      <c r="L1767" s="103"/>
      <c r="M1767" s="103"/>
      <c r="N1767" s="103"/>
      <c r="O1767" s="103"/>
      <c r="P1767" s="98"/>
      <c r="Q1767" s="99"/>
      <c r="R1767" s="104">
        <f t="shared" si="86"/>
        <v>0</v>
      </c>
      <c r="S1767" s="104">
        <f t="shared" si="85"/>
        <v>0</v>
      </c>
      <c r="T1767" s="104">
        <f t="shared" si="87"/>
        <v>0</v>
      </c>
    </row>
    <row r="1768" spans="1:20">
      <c r="A1768" s="101"/>
      <c r="B1768" s="101"/>
      <c r="C1768" s="101"/>
      <c r="D1768" s="101"/>
      <c r="E1768" s="101"/>
      <c r="F1768" s="102"/>
      <c r="G1768" s="101"/>
      <c r="H1768" s="102"/>
      <c r="I1768" s="101"/>
      <c r="J1768" s="101"/>
      <c r="K1768" s="103"/>
      <c r="L1768" s="103"/>
      <c r="M1768" s="103"/>
      <c r="N1768" s="103"/>
      <c r="O1768" s="103"/>
      <c r="P1768" s="98"/>
      <c r="Q1768" s="99"/>
      <c r="R1768" s="105">
        <f t="shared" si="86"/>
        <v>0</v>
      </c>
      <c r="S1768" s="108">
        <f t="shared" si="85"/>
        <v>0</v>
      </c>
      <c r="T1768" s="105">
        <f t="shared" si="87"/>
        <v>0</v>
      </c>
    </row>
    <row r="1769" spans="1:20">
      <c r="A1769" s="101"/>
      <c r="B1769" s="101"/>
      <c r="C1769" s="101"/>
      <c r="D1769" s="101"/>
      <c r="E1769" s="101"/>
      <c r="F1769" s="102"/>
      <c r="G1769" s="101"/>
      <c r="H1769" s="102"/>
      <c r="I1769" s="101"/>
      <c r="J1769" s="101"/>
      <c r="K1769" s="103"/>
      <c r="L1769" s="103"/>
      <c r="M1769" s="103"/>
      <c r="N1769" s="103"/>
      <c r="O1769" s="103"/>
      <c r="P1769" s="98"/>
      <c r="Q1769" s="99"/>
      <c r="R1769" s="104">
        <f t="shared" si="86"/>
        <v>0</v>
      </c>
      <c r="S1769" s="104">
        <f t="shared" si="85"/>
        <v>0</v>
      </c>
      <c r="T1769" s="104">
        <f t="shared" si="87"/>
        <v>0</v>
      </c>
    </row>
    <row r="1770" spans="1:20">
      <c r="A1770" s="101"/>
      <c r="B1770" s="101"/>
      <c r="C1770" s="101"/>
      <c r="D1770" s="101"/>
      <c r="E1770" s="101"/>
      <c r="F1770" s="102"/>
      <c r="G1770" s="101"/>
      <c r="H1770" s="102"/>
      <c r="I1770" s="101"/>
      <c r="J1770" s="101"/>
      <c r="K1770" s="103"/>
      <c r="L1770" s="103"/>
      <c r="M1770" s="103"/>
      <c r="N1770" s="103"/>
      <c r="O1770" s="103"/>
      <c r="P1770" s="98"/>
      <c r="Q1770" s="99"/>
      <c r="R1770" s="105">
        <f t="shared" si="86"/>
        <v>0</v>
      </c>
      <c r="S1770" s="108">
        <f t="shared" si="85"/>
        <v>0</v>
      </c>
      <c r="T1770" s="105">
        <f t="shared" si="87"/>
        <v>0</v>
      </c>
    </row>
    <row r="1771" spans="1:20">
      <c r="A1771" s="101"/>
      <c r="B1771" s="101"/>
      <c r="C1771" s="101"/>
      <c r="D1771" s="101"/>
      <c r="E1771" s="101"/>
      <c r="F1771" s="102"/>
      <c r="G1771" s="101"/>
      <c r="H1771" s="102"/>
      <c r="I1771" s="101"/>
      <c r="J1771" s="101"/>
      <c r="K1771" s="103"/>
      <c r="L1771" s="103"/>
      <c r="M1771" s="103"/>
      <c r="N1771" s="103"/>
      <c r="O1771" s="103"/>
      <c r="P1771" s="98"/>
      <c r="Q1771" s="99"/>
      <c r="R1771" s="104">
        <f t="shared" si="86"/>
        <v>0</v>
      </c>
      <c r="S1771" s="104">
        <f t="shared" si="85"/>
        <v>0</v>
      </c>
      <c r="T1771" s="104">
        <f t="shared" si="87"/>
        <v>0</v>
      </c>
    </row>
    <row r="1772" spans="1:20">
      <c r="A1772" s="101"/>
      <c r="B1772" s="101"/>
      <c r="C1772" s="101"/>
      <c r="D1772" s="101"/>
      <c r="E1772" s="101"/>
      <c r="F1772" s="102"/>
      <c r="G1772" s="101"/>
      <c r="H1772" s="102"/>
      <c r="I1772" s="101"/>
      <c r="J1772" s="101"/>
      <c r="K1772" s="103"/>
      <c r="L1772" s="103"/>
      <c r="M1772" s="103"/>
      <c r="N1772" s="103"/>
      <c r="O1772" s="103"/>
      <c r="P1772" s="98"/>
      <c r="Q1772" s="99"/>
      <c r="R1772" s="105">
        <f t="shared" si="86"/>
        <v>0</v>
      </c>
      <c r="S1772" s="108">
        <f t="shared" si="85"/>
        <v>0</v>
      </c>
      <c r="T1772" s="105">
        <f t="shared" si="87"/>
        <v>0</v>
      </c>
    </row>
    <row r="1773" spans="1:20">
      <c r="A1773" s="101"/>
      <c r="B1773" s="101"/>
      <c r="C1773" s="101"/>
      <c r="D1773" s="101"/>
      <c r="E1773" s="101"/>
      <c r="F1773" s="102"/>
      <c r="G1773" s="101"/>
      <c r="H1773" s="102"/>
      <c r="I1773" s="101"/>
      <c r="J1773" s="101"/>
      <c r="K1773" s="103"/>
      <c r="L1773" s="103"/>
      <c r="M1773" s="103"/>
      <c r="N1773" s="103"/>
      <c r="O1773" s="103"/>
      <c r="P1773" s="98"/>
      <c r="Q1773" s="99"/>
      <c r="R1773" s="104">
        <f t="shared" si="86"/>
        <v>0</v>
      </c>
      <c r="S1773" s="104">
        <f t="shared" si="85"/>
        <v>0</v>
      </c>
      <c r="T1773" s="104">
        <f t="shared" si="87"/>
        <v>0</v>
      </c>
    </row>
    <row r="1774" spans="1:20">
      <c r="A1774" s="101"/>
      <c r="B1774" s="101"/>
      <c r="C1774" s="101"/>
      <c r="D1774" s="101"/>
      <c r="E1774" s="101"/>
      <c r="F1774" s="102"/>
      <c r="G1774" s="101"/>
      <c r="H1774" s="102"/>
      <c r="I1774" s="101"/>
      <c r="J1774" s="101"/>
      <c r="K1774" s="103"/>
      <c r="L1774" s="103"/>
      <c r="M1774" s="103"/>
      <c r="N1774" s="103"/>
      <c r="O1774" s="103"/>
      <c r="P1774" s="98"/>
      <c r="Q1774" s="99"/>
      <c r="R1774" s="105">
        <f t="shared" si="86"/>
        <v>0</v>
      </c>
      <c r="S1774" s="108">
        <f t="shared" si="85"/>
        <v>0</v>
      </c>
      <c r="T1774" s="105">
        <f t="shared" si="87"/>
        <v>0</v>
      </c>
    </row>
    <row r="1775" spans="1:20">
      <c r="A1775" s="101"/>
      <c r="B1775" s="101"/>
      <c r="C1775" s="101"/>
      <c r="D1775" s="101"/>
      <c r="E1775" s="101"/>
      <c r="F1775" s="102"/>
      <c r="G1775" s="101"/>
      <c r="H1775" s="102"/>
      <c r="I1775" s="101"/>
      <c r="J1775" s="101"/>
      <c r="K1775" s="103"/>
      <c r="L1775" s="103"/>
      <c r="M1775" s="103"/>
      <c r="N1775" s="103"/>
      <c r="O1775" s="103"/>
      <c r="P1775" s="98"/>
      <c r="Q1775" s="99"/>
      <c r="R1775" s="104">
        <f t="shared" si="86"/>
        <v>0</v>
      </c>
      <c r="S1775" s="104">
        <f t="shared" si="85"/>
        <v>0</v>
      </c>
      <c r="T1775" s="104">
        <f t="shared" si="87"/>
        <v>0</v>
      </c>
    </row>
    <row r="1776" spans="1:20">
      <c r="A1776" s="101"/>
      <c r="B1776" s="101"/>
      <c r="C1776" s="101"/>
      <c r="D1776" s="101"/>
      <c r="E1776" s="101"/>
      <c r="F1776" s="102"/>
      <c r="G1776" s="101"/>
      <c r="H1776" s="102"/>
      <c r="I1776" s="101"/>
      <c r="J1776" s="101"/>
      <c r="K1776" s="103"/>
      <c r="L1776" s="103"/>
      <c r="M1776" s="103"/>
      <c r="N1776" s="103"/>
      <c r="O1776" s="103"/>
      <c r="P1776" s="98"/>
      <c r="Q1776" s="99"/>
      <c r="R1776" s="105">
        <f t="shared" si="86"/>
        <v>0</v>
      </c>
      <c r="S1776" s="108">
        <f t="shared" si="85"/>
        <v>0</v>
      </c>
      <c r="T1776" s="105">
        <f t="shared" si="87"/>
        <v>0</v>
      </c>
    </row>
    <row r="1777" spans="1:20">
      <c r="A1777" s="101"/>
      <c r="B1777" s="101"/>
      <c r="C1777" s="101"/>
      <c r="D1777" s="101"/>
      <c r="E1777" s="101"/>
      <c r="F1777" s="102"/>
      <c r="G1777" s="101"/>
      <c r="H1777" s="102"/>
      <c r="I1777" s="101"/>
      <c r="J1777" s="101"/>
      <c r="K1777" s="103"/>
      <c r="L1777" s="103"/>
      <c r="M1777" s="103"/>
      <c r="N1777" s="103"/>
      <c r="O1777" s="103"/>
      <c r="P1777" s="98"/>
      <c r="Q1777" s="99"/>
      <c r="R1777" s="104">
        <f t="shared" si="86"/>
        <v>0</v>
      </c>
      <c r="S1777" s="104">
        <f t="shared" si="85"/>
        <v>0</v>
      </c>
      <c r="T1777" s="104">
        <f t="shared" si="87"/>
        <v>0</v>
      </c>
    </row>
    <row r="1778" spans="1:20">
      <c r="A1778" s="101"/>
      <c r="B1778" s="101"/>
      <c r="C1778" s="101"/>
      <c r="D1778" s="101"/>
      <c r="E1778" s="101"/>
      <c r="F1778" s="102"/>
      <c r="G1778" s="101"/>
      <c r="H1778" s="102"/>
      <c r="I1778" s="101"/>
      <c r="J1778" s="101"/>
      <c r="K1778" s="103"/>
      <c r="L1778" s="103"/>
      <c r="M1778" s="103"/>
      <c r="N1778" s="103"/>
      <c r="O1778" s="103"/>
      <c r="P1778" s="98"/>
      <c r="Q1778" s="99"/>
      <c r="R1778" s="105">
        <f t="shared" si="86"/>
        <v>0</v>
      </c>
      <c r="S1778" s="108">
        <f t="shared" si="85"/>
        <v>0</v>
      </c>
      <c r="T1778" s="105">
        <f t="shared" si="87"/>
        <v>0</v>
      </c>
    </row>
    <row r="1779" spans="1:20">
      <c r="A1779" s="101"/>
      <c r="B1779" s="101"/>
      <c r="C1779" s="101"/>
      <c r="D1779" s="101"/>
      <c r="E1779" s="101"/>
      <c r="F1779" s="102"/>
      <c r="G1779" s="101"/>
      <c r="H1779" s="102"/>
      <c r="I1779" s="101"/>
      <c r="J1779" s="101"/>
      <c r="K1779" s="103"/>
      <c r="L1779" s="103"/>
      <c r="M1779" s="103"/>
      <c r="N1779" s="103"/>
      <c r="O1779" s="103"/>
      <c r="P1779" s="98"/>
      <c r="Q1779" s="99"/>
      <c r="R1779" s="104">
        <f t="shared" si="86"/>
        <v>0</v>
      </c>
      <c r="S1779" s="104">
        <f t="shared" si="85"/>
        <v>0</v>
      </c>
      <c r="T1779" s="104">
        <f t="shared" si="87"/>
        <v>0</v>
      </c>
    </row>
    <row r="1780" spans="1:20">
      <c r="A1780" s="101"/>
      <c r="B1780" s="101"/>
      <c r="C1780" s="101"/>
      <c r="D1780" s="101"/>
      <c r="E1780" s="101"/>
      <c r="F1780" s="102"/>
      <c r="G1780" s="101"/>
      <c r="H1780" s="102"/>
      <c r="I1780" s="101"/>
      <c r="J1780" s="101"/>
      <c r="K1780" s="103"/>
      <c r="L1780" s="103"/>
      <c r="M1780" s="103"/>
      <c r="N1780" s="103"/>
      <c r="O1780" s="103"/>
      <c r="P1780" s="98"/>
      <c r="Q1780" s="99"/>
      <c r="R1780" s="105">
        <f t="shared" si="86"/>
        <v>0</v>
      </c>
      <c r="S1780" s="108">
        <f t="shared" si="85"/>
        <v>0</v>
      </c>
      <c r="T1780" s="105">
        <f t="shared" si="87"/>
        <v>0</v>
      </c>
    </row>
    <row r="1781" spans="1:20">
      <c r="A1781" s="101"/>
      <c r="B1781" s="101"/>
      <c r="C1781" s="101"/>
      <c r="D1781" s="101"/>
      <c r="E1781" s="101"/>
      <c r="F1781" s="102"/>
      <c r="G1781" s="101"/>
      <c r="H1781" s="102"/>
      <c r="I1781" s="101"/>
      <c r="J1781" s="101"/>
      <c r="K1781" s="103"/>
      <c r="L1781" s="103"/>
      <c r="M1781" s="103"/>
      <c r="N1781" s="103"/>
      <c r="O1781" s="103"/>
      <c r="P1781" s="98"/>
      <c r="Q1781" s="99"/>
      <c r="R1781" s="104">
        <f t="shared" si="86"/>
        <v>0</v>
      </c>
      <c r="S1781" s="104">
        <f t="shared" si="85"/>
        <v>0</v>
      </c>
      <c r="T1781" s="104">
        <f t="shared" si="87"/>
        <v>0</v>
      </c>
    </row>
    <row r="1782" spans="1:20">
      <c r="A1782" s="101"/>
      <c r="B1782" s="101"/>
      <c r="C1782" s="101"/>
      <c r="D1782" s="101"/>
      <c r="E1782" s="101"/>
      <c r="F1782" s="102"/>
      <c r="G1782" s="101"/>
      <c r="H1782" s="102"/>
      <c r="I1782" s="101"/>
      <c r="J1782" s="101"/>
      <c r="K1782" s="103"/>
      <c r="L1782" s="103"/>
      <c r="M1782" s="103"/>
      <c r="N1782" s="103"/>
      <c r="O1782" s="103"/>
      <c r="P1782" s="98"/>
      <c r="Q1782" s="99"/>
      <c r="R1782" s="105">
        <f t="shared" si="86"/>
        <v>0</v>
      </c>
      <c r="S1782" s="108">
        <f t="shared" si="85"/>
        <v>0</v>
      </c>
      <c r="T1782" s="105">
        <f t="shared" si="87"/>
        <v>0</v>
      </c>
    </row>
    <row r="1783" spans="1:20">
      <c r="A1783" s="101"/>
      <c r="B1783" s="101"/>
      <c r="C1783" s="101"/>
      <c r="D1783" s="101"/>
      <c r="E1783" s="101"/>
      <c r="F1783" s="102"/>
      <c r="G1783" s="101"/>
      <c r="H1783" s="102"/>
      <c r="I1783" s="101"/>
      <c r="J1783" s="101"/>
      <c r="K1783" s="103"/>
      <c r="L1783" s="103"/>
      <c r="M1783" s="103"/>
      <c r="N1783" s="103"/>
      <c r="O1783" s="103"/>
      <c r="P1783" s="98"/>
      <c r="Q1783" s="99"/>
      <c r="R1783" s="104">
        <f t="shared" si="86"/>
        <v>0</v>
      </c>
      <c r="S1783" s="104">
        <f t="shared" si="85"/>
        <v>0</v>
      </c>
      <c r="T1783" s="104">
        <f t="shared" si="87"/>
        <v>0</v>
      </c>
    </row>
    <row r="1784" spans="1:20">
      <c r="A1784" s="101"/>
      <c r="B1784" s="101"/>
      <c r="C1784" s="101"/>
      <c r="D1784" s="101"/>
      <c r="E1784" s="101"/>
      <c r="F1784" s="102"/>
      <c r="G1784" s="101"/>
      <c r="H1784" s="102"/>
      <c r="I1784" s="101"/>
      <c r="J1784" s="101"/>
      <c r="K1784" s="103"/>
      <c r="L1784" s="103"/>
      <c r="M1784" s="103"/>
      <c r="N1784" s="103"/>
      <c r="O1784" s="103"/>
      <c r="P1784" s="98"/>
      <c r="Q1784" s="99"/>
      <c r="R1784" s="105">
        <f t="shared" si="86"/>
        <v>0</v>
      </c>
      <c r="S1784" s="108">
        <f t="shared" si="85"/>
        <v>0</v>
      </c>
      <c r="T1784" s="105">
        <f t="shared" si="87"/>
        <v>0</v>
      </c>
    </row>
    <row r="1785" spans="1:20">
      <c r="A1785" s="101"/>
      <c r="B1785" s="101"/>
      <c r="C1785" s="101"/>
      <c r="D1785" s="101"/>
      <c r="E1785" s="101"/>
      <c r="F1785" s="102"/>
      <c r="G1785" s="101"/>
      <c r="H1785" s="102"/>
      <c r="I1785" s="101"/>
      <c r="J1785" s="101"/>
      <c r="K1785" s="103"/>
      <c r="L1785" s="103"/>
      <c r="M1785" s="103"/>
      <c r="N1785" s="103"/>
      <c r="O1785" s="103"/>
      <c r="P1785" s="98"/>
      <c r="Q1785" s="99"/>
      <c r="R1785" s="104">
        <f t="shared" si="86"/>
        <v>0</v>
      </c>
      <c r="S1785" s="104">
        <f t="shared" si="85"/>
        <v>0</v>
      </c>
      <c r="T1785" s="104">
        <f t="shared" si="87"/>
        <v>0</v>
      </c>
    </row>
    <row r="1786" spans="1:20">
      <c r="A1786" s="101"/>
      <c r="B1786" s="101"/>
      <c r="C1786" s="101"/>
      <c r="D1786" s="101"/>
      <c r="E1786" s="101"/>
      <c r="F1786" s="102"/>
      <c r="G1786" s="101"/>
      <c r="H1786" s="102"/>
      <c r="I1786" s="101"/>
      <c r="J1786" s="101"/>
      <c r="K1786" s="103"/>
      <c r="L1786" s="103"/>
      <c r="M1786" s="103"/>
      <c r="N1786" s="103"/>
      <c r="O1786" s="103"/>
      <c r="P1786" s="98"/>
      <c r="Q1786" s="99"/>
      <c r="R1786" s="105">
        <f t="shared" si="86"/>
        <v>0</v>
      </c>
      <c r="S1786" s="108">
        <f t="shared" si="85"/>
        <v>0</v>
      </c>
      <c r="T1786" s="105">
        <f t="shared" si="87"/>
        <v>0</v>
      </c>
    </row>
    <row r="1787" spans="1:20">
      <c r="A1787" s="101"/>
      <c r="B1787" s="101"/>
      <c r="C1787" s="101"/>
      <c r="D1787" s="101"/>
      <c r="E1787" s="101"/>
      <c r="F1787" s="102"/>
      <c r="G1787" s="101"/>
      <c r="H1787" s="102"/>
      <c r="I1787" s="101"/>
      <c r="J1787" s="101"/>
      <c r="K1787" s="103"/>
      <c r="L1787" s="103"/>
      <c r="M1787" s="103"/>
      <c r="N1787" s="103"/>
      <c r="O1787" s="103"/>
      <c r="P1787" s="98"/>
      <c r="Q1787" s="99"/>
      <c r="R1787" s="104">
        <f t="shared" si="86"/>
        <v>0</v>
      </c>
      <c r="S1787" s="104">
        <f t="shared" si="85"/>
        <v>0</v>
      </c>
      <c r="T1787" s="104">
        <f t="shared" si="87"/>
        <v>0</v>
      </c>
    </row>
    <row r="1788" spans="1:20">
      <c r="A1788" s="101"/>
      <c r="B1788" s="101"/>
      <c r="C1788" s="101"/>
      <c r="D1788" s="101"/>
      <c r="E1788" s="101"/>
      <c r="F1788" s="102"/>
      <c r="G1788" s="101"/>
      <c r="H1788" s="102"/>
      <c r="I1788" s="101"/>
      <c r="J1788" s="101"/>
      <c r="K1788" s="103"/>
      <c r="L1788" s="103"/>
      <c r="M1788" s="103"/>
      <c r="N1788" s="103"/>
      <c r="O1788" s="103"/>
      <c r="P1788" s="98"/>
      <c r="Q1788" s="99"/>
      <c r="R1788" s="105">
        <f t="shared" si="86"/>
        <v>0</v>
      </c>
      <c r="S1788" s="108">
        <f t="shared" si="85"/>
        <v>0</v>
      </c>
      <c r="T1788" s="105">
        <f t="shared" si="87"/>
        <v>0</v>
      </c>
    </row>
    <row r="1789" spans="1:20">
      <c r="A1789" s="101"/>
      <c r="B1789" s="101"/>
      <c r="C1789" s="101"/>
      <c r="D1789" s="101"/>
      <c r="E1789" s="101"/>
      <c r="F1789" s="102"/>
      <c r="G1789" s="101"/>
      <c r="H1789" s="102"/>
      <c r="I1789" s="101"/>
      <c r="J1789" s="101"/>
      <c r="K1789" s="103"/>
      <c r="L1789" s="103"/>
      <c r="M1789" s="103"/>
      <c r="N1789" s="103"/>
      <c r="O1789" s="103"/>
      <c r="P1789" s="98"/>
      <c r="Q1789" s="99"/>
      <c r="R1789" s="104">
        <f t="shared" si="86"/>
        <v>0</v>
      </c>
      <c r="S1789" s="104">
        <f t="shared" si="85"/>
        <v>0</v>
      </c>
      <c r="T1789" s="104">
        <f t="shared" si="87"/>
        <v>0</v>
      </c>
    </row>
    <row r="1790" spans="1:20">
      <c r="A1790" s="101"/>
      <c r="B1790" s="101"/>
      <c r="C1790" s="101"/>
      <c r="D1790" s="101"/>
      <c r="E1790" s="101"/>
      <c r="F1790" s="102"/>
      <c r="G1790" s="101"/>
      <c r="H1790" s="102"/>
      <c r="I1790" s="101"/>
      <c r="J1790" s="101"/>
      <c r="K1790" s="103"/>
      <c r="L1790" s="103"/>
      <c r="M1790" s="103"/>
      <c r="N1790" s="103"/>
      <c r="O1790" s="103"/>
      <c r="P1790" s="98"/>
      <c r="Q1790" s="99"/>
      <c r="R1790" s="105">
        <f t="shared" si="86"/>
        <v>0</v>
      </c>
      <c r="S1790" s="108">
        <f t="shared" si="85"/>
        <v>0</v>
      </c>
      <c r="T1790" s="105">
        <f t="shared" si="87"/>
        <v>0</v>
      </c>
    </row>
    <row r="1791" spans="1:20">
      <c r="A1791" s="101"/>
      <c r="B1791" s="101"/>
      <c r="C1791" s="101"/>
      <c r="D1791" s="101"/>
      <c r="E1791" s="101"/>
      <c r="F1791" s="102"/>
      <c r="G1791" s="101"/>
      <c r="H1791" s="102"/>
      <c r="I1791" s="101"/>
      <c r="J1791" s="101"/>
      <c r="K1791" s="103"/>
      <c r="L1791" s="103"/>
      <c r="M1791" s="103"/>
      <c r="N1791" s="103"/>
      <c r="O1791" s="103"/>
      <c r="P1791" s="98"/>
      <c r="Q1791" s="99"/>
      <c r="R1791" s="104">
        <f t="shared" si="86"/>
        <v>0</v>
      </c>
      <c r="S1791" s="104">
        <f t="shared" si="85"/>
        <v>0</v>
      </c>
      <c r="T1791" s="104">
        <f t="shared" si="87"/>
        <v>0</v>
      </c>
    </row>
    <row r="1792" spans="1:20">
      <c r="A1792" s="101"/>
      <c r="B1792" s="101"/>
      <c r="C1792" s="101"/>
      <c r="D1792" s="101"/>
      <c r="E1792" s="101"/>
      <c r="F1792" s="102"/>
      <c r="G1792" s="101"/>
      <c r="H1792" s="102"/>
      <c r="I1792" s="101"/>
      <c r="J1792" s="101"/>
      <c r="K1792" s="103"/>
      <c r="L1792" s="103"/>
      <c r="M1792" s="103"/>
      <c r="N1792" s="103"/>
      <c r="O1792" s="103"/>
      <c r="P1792" s="98"/>
      <c r="Q1792" s="99"/>
      <c r="R1792" s="105">
        <f t="shared" si="86"/>
        <v>0</v>
      </c>
      <c r="S1792" s="108">
        <f t="shared" si="85"/>
        <v>0</v>
      </c>
      <c r="T1792" s="105">
        <f t="shared" si="87"/>
        <v>0</v>
      </c>
    </row>
    <row r="1793" spans="1:20">
      <c r="A1793" s="101"/>
      <c r="B1793" s="101"/>
      <c r="C1793" s="101"/>
      <c r="D1793" s="101"/>
      <c r="E1793" s="101"/>
      <c r="F1793" s="102"/>
      <c r="G1793" s="101"/>
      <c r="H1793" s="102"/>
      <c r="I1793" s="101"/>
      <c r="J1793" s="101"/>
      <c r="K1793" s="103"/>
      <c r="L1793" s="103"/>
      <c r="M1793" s="103"/>
      <c r="N1793" s="103"/>
      <c r="O1793" s="103"/>
      <c r="P1793" s="98"/>
      <c r="Q1793" s="99"/>
      <c r="R1793" s="104">
        <f t="shared" si="86"/>
        <v>0</v>
      </c>
      <c r="S1793" s="104">
        <f t="shared" si="85"/>
        <v>0</v>
      </c>
      <c r="T1793" s="104">
        <f t="shared" si="87"/>
        <v>0</v>
      </c>
    </row>
    <row r="1794" spans="1:20">
      <c r="A1794" s="101"/>
      <c r="B1794" s="101"/>
      <c r="C1794" s="101"/>
      <c r="D1794" s="101"/>
      <c r="E1794" s="101"/>
      <c r="F1794" s="102"/>
      <c r="G1794" s="101"/>
      <c r="H1794" s="102"/>
      <c r="I1794" s="101"/>
      <c r="J1794" s="101"/>
      <c r="K1794" s="103"/>
      <c r="L1794" s="103"/>
      <c r="M1794" s="103"/>
      <c r="N1794" s="103"/>
      <c r="O1794" s="103"/>
      <c r="P1794" s="98"/>
      <c r="Q1794" s="99"/>
      <c r="R1794" s="105">
        <f t="shared" si="86"/>
        <v>0</v>
      </c>
      <c r="S1794" s="108">
        <f t="shared" si="85"/>
        <v>0</v>
      </c>
      <c r="T1794" s="105">
        <f t="shared" si="87"/>
        <v>0</v>
      </c>
    </row>
    <row r="1795" spans="1:20">
      <c r="A1795" s="101"/>
      <c r="B1795" s="101"/>
      <c r="C1795" s="101"/>
      <c r="D1795" s="101"/>
      <c r="E1795" s="101"/>
      <c r="F1795" s="102"/>
      <c r="G1795" s="101"/>
      <c r="H1795" s="102"/>
      <c r="I1795" s="101"/>
      <c r="J1795" s="101"/>
      <c r="K1795" s="103"/>
      <c r="L1795" s="103"/>
      <c r="M1795" s="103"/>
      <c r="N1795" s="103"/>
      <c r="O1795" s="103"/>
      <c r="P1795" s="98"/>
      <c r="Q1795" s="99"/>
      <c r="R1795" s="104">
        <f t="shared" si="86"/>
        <v>0</v>
      </c>
      <c r="S1795" s="104">
        <f t="shared" si="85"/>
        <v>0</v>
      </c>
      <c r="T1795" s="104">
        <f t="shared" si="87"/>
        <v>0</v>
      </c>
    </row>
    <row r="1796" spans="1:20">
      <c r="A1796" s="101"/>
      <c r="B1796" s="101"/>
      <c r="C1796" s="101"/>
      <c r="D1796" s="101"/>
      <c r="E1796" s="101"/>
      <c r="F1796" s="102"/>
      <c r="G1796" s="101"/>
      <c r="H1796" s="102"/>
      <c r="I1796" s="101"/>
      <c r="J1796" s="101"/>
      <c r="K1796" s="103"/>
      <c r="L1796" s="103"/>
      <c r="M1796" s="103"/>
      <c r="N1796" s="103"/>
      <c r="O1796" s="103"/>
      <c r="P1796" s="98"/>
      <c r="Q1796" s="99"/>
      <c r="R1796" s="105">
        <f t="shared" si="86"/>
        <v>0</v>
      </c>
      <c r="S1796" s="108">
        <f t="shared" ref="S1796:S1859" si="88">IF(P1796="Abono",K1796+L1796+M1796-N1796-O1796,0)</f>
        <v>0</v>
      </c>
      <c r="T1796" s="105">
        <f t="shared" si="87"/>
        <v>0</v>
      </c>
    </row>
    <row r="1797" spans="1:20">
      <c r="A1797" s="101"/>
      <c r="B1797" s="101"/>
      <c r="C1797" s="101"/>
      <c r="D1797" s="101"/>
      <c r="E1797" s="101"/>
      <c r="F1797" s="102"/>
      <c r="G1797" s="101"/>
      <c r="H1797" s="102"/>
      <c r="I1797" s="101"/>
      <c r="J1797" s="101"/>
      <c r="K1797" s="103"/>
      <c r="L1797" s="103"/>
      <c r="M1797" s="103"/>
      <c r="N1797" s="103"/>
      <c r="O1797" s="103"/>
      <c r="P1797" s="98"/>
      <c r="Q1797" s="99"/>
      <c r="R1797" s="104">
        <f t="shared" ref="R1797:R1860" si="89">IF(P1797="Cargo",K1797+L1797-M1797-N1797+O1797,0)</f>
        <v>0</v>
      </c>
      <c r="S1797" s="104">
        <f t="shared" si="88"/>
        <v>0</v>
      </c>
      <c r="T1797" s="104">
        <f t="shared" ref="T1797:T1860" si="90">IF(Q1797="OK",+T1796+R1797-S1797,T1796)</f>
        <v>0</v>
      </c>
    </row>
    <row r="1798" spans="1:20">
      <c r="A1798" s="101"/>
      <c r="B1798" s="101"/>
      <c r="C1798" s="101"/>
      <c r="D1798" s="101"/>
      <c r="E1798" s="101"/>
      <c r="F1798" s="102"/>
      <c r="G1798" s="101"/>
      <c r="H1798" s="102"/>
      <c r="I1798" s="101"/>
      <c r="J1798" s="101"/>
      <c r="K1798" s="103"/>
      <c r="L1798" s="103"/>
      <c r="M1798" s="103"/>
      <c r="N1798" s="103"/>
      <c r="O1798" s="103"/>
      <c r="P1798" s="98"/>
      <c r="Q1798" s="99"/>
      <c r="R1798" s="105">
        <f t="shared" si="89"/>
        <v>0</v>
      </c>
      <c r="S1798" s="108">
        <f t="shared" si="88"/>
        <v>0</v>
      </c>
      <c r="T1798" s="105">
        <f t="shared" si="90"/>
        <v>0</v>
      </c>
    </row>
    <row r="1799" spans="1:20">
      <c r="A1799" s="101"/>
      <c r="B1799" s="101"/>
      <c r="C1799" s="101"/>
      <c r="D1799" s="101"/>
      <c r="E1799" s="101"/>
      <c r="F1799" s="102"/>
      <c r="G1799" s="101"/>
      <c r="H1799" s="102"/>
      <c r="I1799" s="101"/>
      <c r="J1799" s="101"/>
      <c r="K1799" s="103"/>
      <c r="L1799" s="103"/>
      <c r="M1799" s="103"/>
      <c r="N1799" s="103"/>
      <c r="O1799" s="103"/>
      <c r="P1799" s="98"/>
      <c r="Q1799" s="99"/>
      <c r="R1799" s="104">
        <f t="shared" si="89"/>
        <v>0</v>
      </c>
      <c r="S1799" s="104">
        <f t="shared" si="88"/>
        <v>0</v>
      </c>
      <c r="T1799" s="104">
        <f t="shared" si="90"/>
        <v>0</v>
      </c>
    </row>
    <row r="1800" spans="1:20">
      <c r="A1800" s="101"/>
      <c r="B1800" s="101"/>
      <c r="C1800" s="101"/>
      <c r="D1800" s="101"/>
      <c r="E1800" s="101"/>
      <c r="F1800" s="102"/>
      <c r="G1800" s="101"/>
      <c r="H1800" s="102"/>
      <c r="I1800" s="101"/>
      <c r="J1800" s="101"/>
      <c r="K1800" s="103"/>
      <c r="L1800" s="103"/>
      <c r="M1800" s="103"/>
      <c r="N1800" s="103"/>
      <c r="O1800" s="103"/>
      <c r="P1800" s="98"/>
      <c r="Q1800" s="99"/>
      <c r="R1800" s="105">
        <f t="shared" si="89"/>
        <v>0</v>
      </c>
      <c r="S1800" s="108">
        <f t="shared" si="88"/>
        <v>0</v>
      </c>
      <c r="T1800" s="105">
        <f t="shared" si="90"/>
        <v>0</v>
      </c>
    </row>
    <row r="1801" spans="1:20">
      <c r="A1801" s="101"/>
      <c r="B1801" s="101"/>
      <c r="C1801" s="101"/>
      <c r="D1801" s="101"/>
      <c r="E1801" s="101"/>
      <c r="F1801" s="102"/>
      <c r="G1801" s="101"/>
      <c r="H1801" s="102"/>
      <c r="I1801" s="101"/>
      <c r="J1801" s="101"/>
      <c r="K1801" s="103"/>
      <c r="L1801" s="103"/>
      <c r="M1801" s="103"/>
      <c r="N1801" s="103"/>
      <c r="O1801" s="103"/>
      <c r="P1801" s="98"/>
      <c r="Q1801" s="99"/>
      <c r="R1801" s="104">
        <f t="shared" si="89"/>
        <v>0</v>
      </c>
      <c r="S1801" s="104">
        <f t="shared" si="88"/>
        <v>0</v>
      </c>
      <c r="T1801" s="104">
        <f t="shared" si="90"/>
        <v>0</v>
      </c>
    </row>
    <row r="1802" spans="1:20">
      <c r="A1802" s="101"/>
      <c r="B1802" s="101"/>
      <c r="C1802" s="101"/>
      <c r="D1802" s="101"/>
      <c r="E1802" s="101"/>
      <c r="F1802" s="102"/>
      <c r="G1802" s="101"/>
      <c r="H1802" s="102"/>
      <c r="I1802" s="101"/>
      <c r="J1802" s="101"/>
      <c r="K1802" s="103"/>
      <c r="L1802" s="103"/>
      <c r="M1802" s="103"/>
      <c r="N1802" s="103"/>
      <c r="O1802" s="103"/>
      <c r="P1802" s="98"/>
      <c r="Q1802" s="99"/>
      <c r="R1802" s="105">
        <f t="shared" si="89"/>
        <v>0</v>
      </c>
      <c r="S1802" s="108">
        <f t="shared" si="88"/>
        <v>0</v>
      </c>
      <c r="T1802" s="105">
        <f t="shared" si="90"/>
        <v>0</v>
      </c>
    </row>
    <row r="1803" spans="1:20">
      <c r="A1803" s="101"/>
      <c r="B1803" s="101"/>
      <c r="C1803" s="101"/>
      <c r="D1803" s="101"/>
      <c r="E1803" s="101"/>
      <c r="F1803" s="102"/>
      <c r="G1803" s="101"/>
      <c r="H1803" s="102"/>
      <c r="I1803" s="101"/>
      <c r="J1803" s="101"/>
      <c r="K1803" s="103"/>
      <c r="L1803" s="103"/>
      <c r="M1803" s="103"/>
      <c r="N1803" s="103"/>
      <c r="O1803" s="103"/>
      <c r="P1803" s="98"/>
      <c r="Q1803" s="99"/>
      <c r="R1803" s="104">
        <f t="shared" si="89"/>
        <v>0</v>
      </c>
      <c r="S1803" s="104">
        <f t="shared" si="88"/>
        <v>0</v>
      </c>
      <c r="T1803" s="104">
        <f t="shared" si="90"/>
        <v>0</v>
      </c>
    </row>
    <row r="1804" spans="1:20">
      <c r="A1804" s="101"/>
      <c r="B1804" s="101"/>
      <c r="C1804" s="101"/>
      <c r="D1804" s="101"/>
      <c r="E1804" s="101"/>
      <c r="F1804" s="102"/>
      <c r="G1804" s="101"/>
      <c r="H1804" s="102"/>
      <c r="I1804" s="101"/>
      <c r="J1804" s="101"/>
      <c r="K1804" s="103"/>
      <c r="L1804" s="103"/>
      <c r="M1804" s="103"/>
      <c r="N1804" s="103"/>
      <c r="O1804" s="103"/>
      <c r="P1804" s="98"/>
      <c r="Q1804" s="99"/>
      <c r="R1804" s="105">
        <f t="shared" si="89"/>
        <v>0</v>
      </c>
      <c r="S1804" s="108">
        <f t="shared" si="88"/>
        <v>0</v>
      </c>
      <c r="T1804" s="105">
        <f t="shared" si="90"/>
        <v>0</v>
      </c>
    </row>
    <row r="1805" spans="1:20">
      <c r="A1805" s="101"/>
      <c r="B1805" s="101"/>
      <c r="C1805" s="101"/>
      <c r="D1805" s="101"/>
      <c r="E1805" s="101"/>
      <c r="F1805" s="102"/>
      <c r="G1805" s="101"/>
      <c r="H1805" s="102"/>
      <c r="I1805" s="101"/>
      <c r="J1805" s="101"/>
      <c r="K1805" s="103"/>
      <c r="L1805" s="103"/>
      <c r="M1805" s="103"/>
      <c r="N1805" s="103"/>
      <c r="O1805" s="103"/>
      <c r="P1805" s="98"/>
      <c r="Q1805" s="99"/>
      <c r="R1805" s="104">
        <f t="shared" si="89"/>
        <v>0</v>
      </c>
      <c r="S1805" s="104">
        <f t="shared" si="88"/>
        <v>0</v>
      </c>
      <c r="T1805" s="104">
        <f t="shared" si="90"/>
        <v>0</v>
      </c>
    </row>
    <row r="1806" spans="1:20">
      <c r="A1806" s="101"/>
      <c r="B1806" s="101"/>
      <c r="C1806" s="101"/>
      <c r="D1806" s="101"/>
      <c r="E1806" s="101"/>
      <c r="F1806" s="102"/>
      <c r="G1806" s="101"/>
      <c r="H1806" s="102"/>
      <c r="I1806" s="101"/>
      <c r="J1806" s="101"/>
      <c r="K1806" s="103"/>
      <c r="L1806" s="103"/>
      <c r="M1806" s="103"/>
      <c r="N1806" s="103"/>
      <c r="O1806" s="103"/>
      <c r="P1806" s="98"/>
      <c r="Q1806" s="99"/>
      <c r="R1806" s="105">
        <f t="shared" si="89"/>
        <v>0</v>
      </c>
      <c r="S1806" s="108">
        <f t="shared" si="88"/>
        <v>0</v>
      </c>
      <c r="T1806" s="105">
        <f t="shared" si="90"/>
        <v>0</v>
      </c>
    </row>
    <row r="1807" spans="1:20">
      <c r="A1807" s="101"/>
      <c r="B1807" s="101"/>
      <c r="C1807" s="101"/>
      <c r="D1807" s="101"/>
      <c r="E1807" s="101"/>
      <c r="F1807" s="102"/>
      <c r="G1807" s="101"/>
      <c r="H1807" s="102"/>
      <c r="I1807" s="101"/>
      <c r="J1807" s="101"/>
      <c r="K1807" s="103"/>
      <c r="L1807" s="103"/>
      <c r="M1807" s="103"/>
      <c r="N1807" s="103"/>
      <c r="O1807" s="103"/>
      <c r="P1807" s="98"/>
      <c r="Q1807" s="99"/>
      <c r="R1807" s="104">
        <f t="shared" si="89"/>
        <v>0</v>
      </c>
      <c r="S1807" s="104">
        <f t="shared" si="88"/>
        <v>0</v>
      </c>
      <c r="T1807" s="104">
        <f t="shared" si="90"/>
        <v>0</v>
      </c>
    </row>
    <row r="1808" spans="1:20">
      <c r="A1808" s="101"/>
      <c r="B1808" s="101"/>
      <c r="C1808" s="101"/>
      <c r="D1808" s="101"/>
      <c r="E1808" s="101"/>
      <c r="F1808" s="102"/>
      <c r="G1808" s="101"/>
      <c r="H1808" s="102"/>
      <c r="I1808" s="101"/>
      <c r="J1808" s="101"/>
      <c r="K1808" s="103"/>
      <c r="L1808" s="103"/>
      <c r="M1808" s="103"/>
      <c r="N1808" s="103"/>
      <c r="O1808" s="103"/>
      <c r="P1808" s="98"/>
      <c r="Q1808" s="99"/>
      <c r="R1808" s="105">
        <f t="shared" si="89"/>
        <v>0</v>
      </c>
      <c r="S1808" s="108">
        <f t="shared" si="88"/>
        <v>0</v>
      </c>
      <c r="T1808" s="105">
        <f t="shared" si="90"/>
        <v>0</v>
      </c>
    </row>
    <row r="1809" spans="1:20">
      <c r="A1809" s="101"/>
      <c r="B1809" s="101"/>
      <c r="C1809" s="101"/>
      <c r="D1809" s="101"/>
      <c r="E1809" s="101"/>
      <c r="F1809" s="102"/>
      <c r="G1809" s="101"/>
      <c r="H1809" s="102"/>
      <c r="I1809" s="101"/>
      <c r="J1809" s="101"/>
      <c r="K1809" s="103"/>
      <c r="L1809" s="103"/>
      <c r="M1809" s="103"/>
      <c r="N1809" s="103"/>
      <c r="O1809" s="103"/>
      <c r="P1809" s="98"/>
      <c r="Q1809" s="99"/>
      <c r="R1809" s="104">
        <f t="shared" si="89"/>
        <v>0</v>
      </c>
      <c r="S1809" s="104">
        <f t="shared" si="88"/>
        <v>0</v>
      </c>
      <c r="T1809" s="104">
        <f t="shared" si="90"/>
        <v>0</v>
      </c>
    </row>
    <row r="1810" spans="1:20">
      <c r="A1810" s="101"/>
      <c r="B1810" s="101"/>
      <c r="C1810" s="101"/>
      <c r="D1810" s="101"/>
      <c r="E1810" s="101"/>
      <c r="F1810" s="102"/>
      <c r="G1810" s="101"/>
      <c r="H1810" s="102"/>
      <c r="I1810" s="101"/>
      <c r="J1810" s="101"/>
      <c r="K1810" s="103"/>
      <c r="L1810" s="103"/>
      <c r="M1810" s="103"/>
      <c r="N1810" s="103"/>
      <c r="O1810" s="103"/>
      <c r="P1810" s="98"/>
      <c r="Q1810" s="99"/>
      <c r="R1810" s="105">
        <f t="shared" si="89"/>
        <v>0</v>
      </c>
      <c r="S1810" s="108">
        <f t="shared" si="88"/>
        <v>0</v>
      </c>
      <c r="T1810" s="105">
        <f t="shared" si="90"/>
        <v>0</v>
      </c>
    </row>
    <row r="1811" spans="1:20">
      <c r="A1811" s="101"/>
      <c r="B1811" s="101"/>
      <c r="C1811" s="101"/>
      <c r="D1811" s="101"/>
      <c r="E1811" s="101"/>
      <c r="F1811" s="102"/>
      <c r="G1811" s="101"/>
      <c r="H1811" s="102"/>
      <c r="I1811" s="101"/>
      <c r="J1811" s="101"/>
      <c r="K1811" s="103"/>
      <c r="L1811" s="103"/>
      <c r="M1811" s="103"/>
      <c r="N1811" s="103"/>
      <c r="O1811" s="103"/>
      <c r="P1811" s="98"/>
      <c r="Q1811" s="99"/>
      <c r="R1811" s="104">
        <f t="shared" si="89"/>
        <v>0</v>
      </c>
      <c r="S1811" s="104">
        <f t="shared" si="88"/>
        <v>0</v>
      </c>
      <c r="T1811" s="104">
        <f t="shared" si="90"/>
        <v>0</v>
      </c>
    </row>
    <row r="1812" spans="1:20">
      <c r="A1812" s="101"/>
      <c r="B1812" s="101"/>
      <c r="C1812" s="101"/>
      <c r="D1812" s="101"/>
      <c r="E1812" s="101"/>
      <c r="F1812" s="102"/>
      <c r="G1812" s="101"/>
      <c r="H1812" s="102"/>
      <c r="I1812" s="101"/>
      <c r="J1812" s="101"/>
      <c r="K1812" s="103"/>
      <c r="L1812" s="103"/>
      <c r="M1812" s="103"/>
      <c r="N1812" s="103"/>
      <c r="O1812" s="103"/>
      <c r="P1812" s="98"/>
      <c r="Q1812" s="99"/>
      <c r="R1812" s="105">
        <f t="shared" si="89"/>
        <v>0</v>
      </c>
      <c r="S1812" s="108">
        <f t="shared" si="88"/>
        <v>0</v>
      </c>
      <c r="T1812" s="105">
        <f t="shared" si="90"/>
        <v>0</v>
      </c>
    </row>
    <row r="1813" spans="1:20">
      <c r="A1813" s="101"/>
      <c r="B1813" s="101"/>
      <c r="C1813" s="101"/>
      <c r="D1813" s="101"/>
      <c r="E1813" s="101"/>
      <c r="F1813" s="102"/>
      <c r="G1813" s="101"/>
      <c r="H1813" s="102"/>
      <c r="I1813" s="101"/>
      <c r="J1813" s="101"/>
      <c r="K1813" s="103"/>
      <c r="L1813" s="103"/>
      <c r="M1813" s="103"/>
      <c r="N1813" s="103"/>
      <c r="O1813" s="103"/>
      <c r="P1813" s="98"/>
      <c r="Q1813" s="99"/>
      <c r="R1813" s="104">
        <f t="shared" si="89"/>
        <v>0</v>
      </c>
      <c r="S1813" s="104">
        <f t="shared" si="88"/>
        <v>0</v>
      </c>
      <c r="T1813" s="104">
        <f t="shared" si="90"/>
        <v>0</v>
      </c>
    </row>
    <row r="1814" spans="1:20">
      <c r="A1814" s="101"/>
      <c r="B1814" s="101"/>
      <c r="C1814" s="101"/>
      <c r="D1814" s="101"/>
      <c r="E1814" s="101"/>
      <c r="F1814" s="102"/>
      <c r="G1814" s="101"/>
      <c r="H1814" s="102"/>
      <c r="I1814" s="101"/>
      <c r="J1814" s="101"/>
      <c r="K1814" s="103"/>
      <c r="L1814" s="103"/>
      <c r="M1814" s="103"/>
      <c r="N1814" s="103"/>
      <c r="O1814" s="103"/>
      <c r="P1814" s="98"/>
      <c r="Q1814" s="99"/>
      <c r="R1814" s="105">
        <f t="shared" si="89"/>
        <v>0</v>
      </c>
      <c r="S1814" s="108">
        <f t="shared" si="88"/>
        <v>0</v>
      </c>
      <c r="T1814" s="105">
        <f t="shared" si="90"/>
        <v>0</v>
      </c>
    </row>
    <row r="1815" spans="1:20">
      <c r="A1815" s="101"/>
      <c r="B1815" s="101"/>
      <c r="C1815" s="101"/>
      <c r="D1815" s="101"/>
      <c r="E1815" s="101"/>
      <c r="F1815" s="102"/>
      <c r="G1815" s="101"/>
      <c r="H1815" s="102"/>
      <c r="I1815" s="101"/>
      <c r="J1815" s="101"/>
      <c r="K1815" s="103"/>
      <c r="L1815" s="103"/>
      <c r="M1815" s="103"/>
      <c r="N1815" s="103"/>
      <c r="O1815" s="103"/>
      <c r="P1815" s="98"/>
      <c r="Q1815" s="99"/>
      <c r="R1815" s="104">
        <f t="shared" si="89"/>
        <v>0</v>
      </c>
      <c r="S1815" s="104">
        <f t="shared" si="88"/>
        <v>0</v>
      </c>
      <c r="T1815" s="104">
        <f t="shared" si="90"/>
        <v>0</v>
      </c>
    </row>
    <row r="1816" spans="1:20">
      <c r="A1816" s="101"/>
      <c r="B1816" s="101"/>
      <c r="C1816" s="101"/>
      <c r="D1816" s="101"/>
      <c r="E1816" s="101"/>
      <c r="F1816" s="102"/>
      <c r="G1816" s="101"/>
      <c r="H1816" s="102"/>
      <c r="I1816" s="101"/>
      <c r="J1816" s="101"/>
      <c r="K1816" s="103"/>
      <c r="L1816" s="103"/>
      <c r="M1816" s="103"/>
      <c r="N1816" s="103"/>
      <c r="O1816" s="103"/>
      <c r="P1816" s="98"/>
      <c r="Q1816" s="99"/>
      <c r="R1816" s="105">
        <f t="shared" si="89"/>
        <v>0</v>
      </c>
      <c r="S1816" s="108">
        <f t="shared" si="88"/>
        <v>0</v>
      </c>
      <c r="T1816" s="105">
        <f t="shared" si="90"/>
        <v>0</v>
      </c>
    </row>
    <row r="1817" spans="1:20">
      <c r="A1817" s="101"/>
      <c r="B1817" s="101"/>
      <c r="C1817" s="101"/>
      <c r="D1817" s="101"/>
      <c r="E1817" s="101"/>
      <c r="F1817" s="102"/>
      <c r="G1817" s="101"/>
      <c r="H1817" s="102"/>
      <c r="I1817" s="101"/>
      <c r="J1817" s="101"/>
      <c r="K1817" s="103"/>
      <c r="L1817" s="103"/>
      <c r="M1817" s="103"/>
      <c r="N1817" s="103"/>
      <c r="O1817" s="103"/>
      <c r="P1817" s="98"/>
      <c r="Q1817" s="99"/>
      <c r="R1817" s="104">
        <f t="shared" si="89"/>
        <v>0</v>
      </c>
      <c r="S1817" s="104">
        <f t="shared" si="88"/>
        <v>0</v>
      </c>
      <c r="T1817" s="104">
        <f t="shared" si="90"/>
        <v>0</v>
      </c>
    </row>
    <row r="1818" spans="1:20">
      <c r="A1818" s="101"/>
      <c r="B1818" s="101"/>
      <c r="C1818" s="101"/>
      <c r="D1818" s="101"/>
      <c r="E1818" s="101"/>
      <c r="F1818" s="102"/>
      <c r="G1818" s="101"/>
      <c r="H1818" s="102"/>
      <c r="I1818" s="101"/>
      <c r="J1818" s="101"/>
      <c r="K1818" s="103"/>
      <c r="L1818" s="103"/>
      <c r="M1818" s="103"/>
      <c r="N1818" s="103"/>
      <c r="O1818" s="103"/>
      <c r="P1818" s="98"/>
      <c r="Q1818" s="99"/>
      <c r="R1818" s="105">
        <f t="shared" si="89"/>
        <v>0</v>
      </c>
      <c r="S1818" s="108">
        <f t="shared" si="88"/>
        <v>0</v>
      </c>
      <c r="T1818" s="105">
        <f t="shared" si="90"/>
        <v>0</v>
      </c>
    </row>
    <row r="1819" spans="1:20">
      <c r="A1819" s="101"/>
      <c r="B1819" s="101"/>
      <c r="C1819" s="101"/>
      <c r="D1819" s="101"/>
      <c r="E1819" s="101"/>
      <c r="F1819" s="102"/>
      <c r="G1819" s="101"/>
      <c r="H1819" s="102"/>
      <c r="I1819" s="101"/>
      <c r="J1819" s="101"/>
      <c r="K1819" s="103"/>
      <c r="L1819" s="103"/>
      <c r="M1819" s="103"/>
      <c r="N1819" s="103"/>
      <c r="O1819" s="103"/>
      <c r="P1819" s="98"/>
      <c r="Q1819" s="99"/>
      <c r="R1819" s="104">
        <f t="shared" si="89"/>
        <v>0</v>
      </c>
      <c r="S1819" s="104">
        <f t="shared" si="88"/>
        <v>0</v>
      </c>
      <c r="T1819" s="104">
        <f t="shared" si="90"/>
        <v>0</v>
      </c>
    </row>
    <row r="1820" spans="1:20">
      <c r="A1820" s="101"/>
      <c r="B1820" s="101"/>
      <c r="C1820" s="101"/>
      <c r="D1820" s="101"/>
      <c r="E1820" s="101"/>
      <c r="F1820" s="102"/>
      <c r="G1820" s="101"/>
      <c r="H1820" s="102"/>
      <c r="I1820" s="101"/>
      <c r="J1820" s="101"/>
      <c r="K1820" s="103"/>
      <c r="L1820" s="103"/>
      <c r="M1820" s="103"/>
      <c r="N1820" s="103"/>
      <c r="O1820" s="103"/>
      <c r="P1820" s="98"/>
      <c r="Q1820" s="99"/>
      <c r="R1820" s="105">
        <f t="shared" si="89"/>
        <v>0</v>
      </c>
      <c r="S1820" s="108">
        <f t="shared" si="88"/>
        <v>0</v>
      </c>
      <c r="T1820" s="105">
        <f t="shared" si="90"/>
        <v>0</v>
      </c>
    </row>
    <row r="1821" spans="1:20">
      <c r="A1821" s="101"/>
      <c r="B1821" s="101"/>
      <c r="C1821" s="101"/>
      <c r="D1821" s="101"/>
      <c r="E1821" s="101"/>
      <c r="F1821" s="102"/>
      <c r="G1821" s="101"/>
      <c r="H1821" s="102"/>
      <c r="I1821" s="101"/>
      <c r="J1821" s="101"/>
      <c r="K1821" s="103"/>
      <c r="L1821" s="103"/>
      <c r="M1821" s="103"/>
      <c r="N1821" s="103"/>
      <c r="O1821" s="103"/>
      <c r="P1821" s="98"/>
      <c r="Q1821" s="99"/>
      <c r="R1821" s="104">
        <f t="shared" si="89"/>
        <v>0</v>
      </c>
      <c r="S1821" s="104">
        <f t="shared" si="88"/>
        <v>0</v>
      </c>
      <c r="T1821" s="104">
        <f t="shared" si="90"/>
        <v>0</v>
      </c>
    </row>
    <row r="1822" spans="1:20">
      <c r="A1822" s="101"/>
      <c r="B1822" s="101"/>
      <c r="C1822" s="101"/>
      <c r="D1822" s="101"/>
      <c r="E1822" s="101"/>
      <c r="F1822" s="102"/>
      <c r="G1822" s="101"/>
      <c r="H1822" s="102"/>
      <c r="I1822" s="101"/>
      <c r="J1822" s="101"/>
      <c r="K1822" s="103"/>
      <c r="L1822" s="103"/>
      <c r="M1822" s="103"/>
      <c r="N1822" s="103"/>
      <c r="O1822" s="103"/>
      <c r="P1822" s="98"/>
      <c r="Q1822" s="99"/>
      <c r="R1822" s="105">
        <f t="shared" si="89"/>
        <v>0</v>
      </c>
      <c r="S1822" s="108">
        <f t="shared" si="88"/>
        <v>0</v>
      </c>
      <c r="T1822" s="105">
        <f t="shared" si="90"/>
        <v>0</v>
      </c>
    </row>
    <row r="1823" spans="1:20">
      <c r="A1823" s="101"/>
      <c r="B1823" s="101"/>
      <c r="C1823" s="101"/>
      <c r="D1823" s="101"/>
      <c r="E1823" s="101"/>
      <c r="F1823" s="102"/>
      <c r="G1823" s="101"/>
      <c r="H1823" s="102"/>
      <c r="I1823" s="101"/>
      <c r="J1823" s="101"/>
      <c r="K1823" s="103"/>
      <c r="L1823" s="103"/>
      <c r="M1823" s="103"/>
      <c r="N1823" s="103"/>
      <c r="O1823" s="103"/>
      <c r="P1823" s="98"/>
      <c r="Q1823" s="99"/>
      <c r="R1823" s="104">
        <f t="shared" si="89"/>
        <v>0</v>
      </c>
      <c r="S1823" s="104">
        <f t="shared" si="88"/>
        <v>0</v>
      </c>
      <c r="T1823" s="104">
        <f t="shared" si="90"/>
        <v>0</v>
      </c>
    </row>
    <row r="1824" spans="1:20">
      <c r="A1824" s="101"/>
      <c r="B1824" s="101"/>
      <c r="C1824" s="101"/>
      <c r="D1824" s="101"/>
      <c r="E1824" s="101"/>
      <c r="F1824" s="102"/>
      <c r="G1824" s="101"/>
      <c r="H1824" s="102"/>
      <c r="I1824" s="101"/>
      <c r="J1824" s="101"/>
      <c r="K1824" s="103"/>
      <c r="L1824" s="103"/>
      <c r="M1824" s="103"/>
      <c r="N1824" s="103"/>
      <c r="O1824" s="103"/>
      <c r="P1824" s="98"/>
      <c r="Q1824" s="99"/>
      <c r="R1824" s="105">
        <f t="shared" si="89"/>
        <v>0</v>
      </c>
      <c r="S1824" s="108">
        <f t="shared" si="88"/>
        <v>0</v>
      </c>
      <c r="T1824" s="105">
        <f t="shared" si="90"/>
        <v>0</v>
      </c>
    </row>
    <row r="1825" spans="1:20">
      <c r="A1825" s="101"/>
      <c r="B1825" s="101"/>
      <c r="C1825" s="101"/>
      <c r="D1825" s="101"/>
      <c r="E1825" s="101"/>
      <c r="F1825" s="102"/>
      <c r="G1825" s="101"/>
      <c r="H1825" s="102"/>
      <c r="I1825" s="101"/>
      <c r="J1825" s="101"/>
      <c r="K1825" s="103"/>
      <c r="L1825" s="103"/>
      <c r="M1825" s="103"/>
      <c r="N1825" s="103"/>
      <c r="O1825" s="103"/>
      <c r="P1825" s="98"/>
      <c r="Q1825" s="99"/>
      <c r="R1825" s="104">
        <f t="shared" si="89"/>
        <v>0</v>
      </c>
      <c r="S1825" s="104">
        <f t="shared" si="88"/>
        <v>0</v>
      </c>
      <c r="T1825" s="104">
        <f t="shared" si="90"/>
        <v>0</v>
      </c>
    </row>
    <row r="1826" spans="1:20">
      <c r="A1826" s="101"/>
      <c r="B1826" s="101"/>
      <c r="C1826" s="101"/>
      <c r="D1826" s="101"/>
      <c r="E1826" s="101"/>
      <c r="F1826" s="102"/>
      <c r="G1826" s="101"/>
      <c r="H1826" s="102"/>
      <c r="I1826" s="101"/>
      <c r="J1826" s="101"/>
      <c r="K1826" s="103"/>
      <c r="L1826" s="103"/>
      <c r="M1826" s="103"/>
      <c r="N1826" s="103"/>
      <c r="O1826" s="103"/>
      <c r="P1826" s="98"/>
      <c r="Q1826" s="99"/>
      <c r="R1826" s="105">
        <f t="shared" si="89"/>
        <v>0</v>
      </c>
      <c r="S1826" s="108">
        <f t="shared" si="88"/>
        <v>0</v>
      </c>
      <c r="T1826" s="105">
        <f t="shared" si="90"/>
        <v>0</v>
      </c>
    </row>
    <row r="1827" spans="1:20">
      <c r="A1827" s="101"/>
      <c r="B1827" s="101"/>
      <c r="C1827" s="101"/>
      <c r="D1827" s="101"/>
      <c r="E1827" s="101"/>
      <c r="F1827" s="102"/>
      <c r="G1827" s="101"/>
      <c r="H1827" s="102"/>
      <c r="I1827" s="101"/>
      <c r="J1827" s="101"/>
      <c r="K1827" s="103"/>
      <c r="L1827" s="103"/>
      <c r="M1827" s="103"/>
      <c r="N1827" s="103"/>
      <c r="O1827" s="103"/>
      <c r="P1827" s="98"/>
      <c r="Q1827" s="99"/>
      <c r="R1827" s="104">
        <f t="shared" si="89"/>
        <v>0</v>
      </c>
      <c r="S1827" s="104">
        <f t="shared" si="88"/>
        <v>0</v>
      </c>
      <c r="T1827" s="104">
        <f t="shared" si="90"/>
        <v>0</v>
      </c>
    </row>
    <row r="1828" spans="1:20">
      <c r="A1828" s="101"/>
      <c r="B1828" s="101"/>
      <c r="C1828" s="101"/>
      <c r="D1828" s="101"/>
      <c r="E1828" s="101"/>
      <c r="F1828" s="102"/>
      <c r="G1828" s="101"/>
      <c r="H1828" s="102"/>
      <c r="I1828" s="101"/>
      <c r="J1828" s="101"/>
      <c r="K1828" s="103"/>
      <c r="L1828" s="103"/>
      <c r="M1828" s="103"/>
      <c r="N1828" s="103"/>
      <c r="O1828" s="103"/>
      <c r="P1828" s="98"/>
      <c r="Q1828" s="99"/>
      <c r="R1828" s="105">
        <f t="shared" si="89"/>
        <v>0</v>
      </c>
      <c r="S1828" s="108">
        <f t="shared" si="88"/>
        <v>0</v>
      </c>
      <c r="T1828" s="105">
        <f t="shared" si="90"/>
        <v>0</v>
      </c>
    </row>
    <row r="1829" spans="1:20">
      <c r="A1829" s="101"/>
      <c r="B1829" s="101"/>
      <c r="C1829" s="101"/>
      <c r="D1829" s="101"/>
      <c r="E1829" s="101"/>
      <c r="F1829" s="102"/>
      <c r="G1829" s="101"/>
      <c r="H1829" s="102"/>
      <c r="I1829" s="101"/>
      <c r="J1829" s="101"/>
      <c r="K1829" s="103"/>
      <c r="L1829" s="103"/>
      <c r="M1829" s="103"/>
      <c r="N1829" s="103"/>
      <c r="O1829" s="103"/>
      <c r="P1829" s="98"/>
      <c r="Q1829" s="99"/>
      <c r="R1829" s="104">
        <f t="shared" si="89"/>
        <v>0</v>
      </c>
      <c r="S1829" s="104">
        <f t="shared" si="88"/>
        <v>0</v>
      </c>
      <c r="T1829" s="104">
        <f t="shared" si="90"/>
        <v>0</v>
      </c>
    </row>
    <row r="1830" spans="1:20">
      <c r="A1830" s="101"/>
      <c r="B1830" s="101"/>
      <c r="C1830" s="101"/>
      <c r="D1830" s="101"/>
      <c r="E1830" s="101"/>
      <c r="F1830" s="102"/>
      <c r="G1830" s="101"/>
      <c r="H1830" s="102"/>
      <c r="I1830" s="101"/>
      <c r="J1830" s="101"/>
      <c r="K1830" s="103"/>
      <c r="L1830" s="103"/>
      <c r="M1830" s="103"/>
      <c r="N1830" s="103"/>
      <c r="O1830" s="103"/>
      <c r="P1830" s="98"/>
      <c r="Q1830" s="99"/>
      <c r="R1830" s="105">
        <f t="shared" si="89"/>
        <v>0</v>
      </c>
      <c r="S1830" s="108">
        <f t="shared" si="88"/>
        <v>0</v>
      </c>
      <c r="T1830" s="105">
        <f t="shared" si="90"/>
        <v>0</v>
      </c>
    </row>
    <row r="1831" spans="1:20">
      <c r="A1831" s="101"/>
      <c r="B1831" s="101"/>
      <c r="C1831" s="101"/>
      <c r="D1831" s="101"/>
      <c r="E1831" s="101"/>
      <c r="F1831" s="102"/>
      <c r="G1831" s="101"/>
      <c r="H1831" s="102"/>
      <c r="I1831" s="101"/>
      <c r="J1831" s="101"/>
      <c r="K1831" s="103"/>
      <c r="L1831" s="103"/>
      <c r="M1831" s="103"/>
      <c r="N1831" s="103"/>
      <c r="O1831" s="103"/>
      <c r="P1831" s="98"/>
      <c r="Q1831" s="99"/>
      <c r="R1831" s="104">
        <f t="shared" si="89"/>
        <v>0</v>
      </c>
      <c r="S1831" s="104">
        <f t="shared" si="88"/>
        <v>0</v>
      </c>
      <c r="T1831" s="104">
        <f t="shared" si="90"/>
        <v>0</v>
      </c>
    </row>
    <row r="1832" spans="1:20">
      <c r="A1832" s="101"/>
      <c r="B1832" s="101"/>
      <c r="C1832" s="101"/>
      <c r="D1832" s="101"/>
      <c r="E1832" s="101"/>
      <c r="F1832" s="102"/>
      <c r="G1832" s="101"/>
      <c r="H1832" s="102"/>
      <c r="I1832" s="101"/>
      <c r="J1832" s="101"/>
      <c r="K1832" s="103"/>
      <c r="L1832" s="103"/>
      <c r="M1832" s="103"/>
      <c r="N1832" s="103"/>
      <c r="O1832" s="103"/>
      <c r="P1832" s="98"/>
      <c r="Q1832" s="99"/>
      <c r="R1832" s="105">
        <f t="shared" si="89"/>
        <v>0</v>
      </c>
      <c r="S1832" s="108">
        <f t="shared" si="88"/>
        <v>0</v>
      </c>
      <c r="T1832" s="105">
        <f t="shared" si="90"/>
        <v>0</v>
      </c>
    </row>
    <row r="1833" spans="1:20">
      <c r="A1833" s="101"/>
      <c r="B1833" s="101"/>
      <c r="C1833" s="101"/>
      <c r="D1833" s="101"/>
      <c r="E1833" s="101"/>
      <c r="F1833" s="102"/>
      <c r="G1833" s="101"/>
      <c r="H1833" s="102"/>
      <c r="I1833" s="101"/>
      <c r="J1833" s="101"/>
      <c r="K1833" s="103"/>
      <c r="L1833" s="103"/>
      <c r="M1833" s="103"/>
      <c r="N1833" s="103"/>
      <c r="O1833" s="103"/>
      <c r="P1833" s="98"/>
      <c r="Q1833" s="99"/>
      <c r="R1833" s="104">
        <f t="shared" si="89"/>
        <v>0</v>
      </c>
      <c r="S1833" s="104">
        <f t="shared" si="88"/>
        <v>0</v>
      </c>
      <c r="T1833" s="104">
        <f t="shared" si="90"/>
        <v>0</v>
      </c>
    </row>
    <row r="1834" spans="1:20">
      <c r="A1834" s="101"/>
      <c r="B1834" s="101"/>
      <c r="C1834" s="101"/>
      <c r="D1834" s="101"/>
      <c r="E1834" s="101"/>
      <c r="F1834" s="102"/>
      <c r="G1834" s="101"/>
      <c r="H1834" s="102"/>
      <c r="I1834" s="101"/>
      <c r="J1834" s="101"/>
      <c r="K1834" s="103"/>
      <c r="L1834" s="103"/>
      <c r="M1834" s="103"/>
      <c r="N1834" s="103"/>
      <c r="O1834" s="103"/>
      <c r="P1834" s="98"/>
      <c r="Q1834" s="99"/>
      <c r="R1834" s="105">
        <f t="shared" si="89"/>
        <v>0</v>
      </c>
      <c r="S1834" s="108">
        <f t="shared" si="88"/>
        <v>0</v>
      </c>
      <c r="T1834" s="105">
        <f t="shared" si="90"/>
        <v>0</v>
      </c>
    </row>
    <row r="1835" spans="1:20">
      <c r="A1835" s="101"/>
      <c r="B1835" s="101"/>
      <c r="C1835" s="101"/>
      <c r="D1835" s="101"/>
      <c r="E1835" s="101"/>
      <c r="F1835" s="102"/>
      <c r="G1835" s="101"/>
      <c r="H1835" s="102"/>
      <c r="I1835" s="101"/>
      <c r="J1835" s="101"/>
      <c r="K1835" s="103"/>
      <c r="L1835" s="103"/>
      <c r="M1835" s="103"/>
      <c r="N1835" s="103"/>
      <c r="O1835" s="103"/>
      <c r="P1835" s="98"/>
      <c r="Q1835" s="99"/>
      <c r="R1835" s="104">
        <f t="shared" si="89"/>
        <v>0</v>
      </c>
      <c r="S1835" s="104">
        <f t="shared" si="88"/>
        <v>0</v>
      </c>
      <c r="T1835" s="104">
        <f t="shared" si="90"/>
        <v>0</v>
      </c>
    </row>
    <row r="1836" spans="1:20">
      <c r="A1836" s="101"/>
      <c r="B1836" s="101"/>
      <c r="C1836" s="101"/>
      <c r="D1836" s="101"/>
      <c r="E1836" s="101"/>
      <c r="F1836" s="102"/>
      <c r="G1836" s="101"/>
      <c r="H1836" s="102"/>
      <c r="I1836" s="101"/>
      <c r="J1836" s="101"/>
      <c r="K1836" s="103"/>
      <c r="L1836" s="103"/>
      <c r="M1836" s="103"/>
      <c r="N1836" s="103"/>
      <c r="O1836" s="103"/>
      <c r="P1836" s="98"/>
      <c r="Q1836" s="99"/>
      <c r="R1836" s="105">
        <f t="shared" si="89"/>
        <v>0</v>
      </c>
      <c r="S1836" s="108">
        <f t="shared" si="88"/>
        <v>0</v>
      </c>
      <c r="T1836" s="105">
        <f t="shared" si="90"/>
        <v>0</v>
      </c>
    </row>
    <row r="1837" spans="1:20">
      <c r="A1837" s="101"/>
      <c r="B1837" s="101"/>
      <c r="C1837" s="101"/>
      <c r="D1837" s="101"/>
      <c r="E1837" s="101"/>
      <c r="F1837" s="102"/>
      <c r="G1837" s="101"/>
      <c r="H1837" s="102"/>
      <c r="I1837" s="101"/>
      <c r="J1837" s="101"/>
      <c r="K1837" s="103"/>
      <c r="L1837" s="103"/>
      <c r="M1837" s="103"/>
      <c r="N1837" s="103"/>
      <c r="O1837" s="103"/>
      <c r="P1837" s="98"/>
      <c r="Q1837" s="99"/>
      <c r="R1837" s="104">
        <f t="shared" si="89"/>
        <v>0</v>
      </c>
      <c r="S1837" s="104">
        <f t="shared" si="88"/>
        <v>0</v>
      </c>
      <c r="T1837" s="104">
        <f t="shared" si="90"/>
        <v>0</v>
      </c>
    </row>
    <row r="1838" spans="1:20">
      <c r="A1838" s="101"/>
      <c r="B1838" s="101"/>
      <c r="C1838" s="101"/>
      <c r="D1838" s="101"/>
      <c r="E1838" s="101"/>
      <c r="F1838" s="102"/>
      <c r="G1838" s="101"/>
      <c r="H1838" s="102"/>
      <c r="I1838" s="101"/>
      <c r="J1838" s="101"/>
      <c r="K1838" s="103"/>
      <c r="L1838" s="103"/>
      <c r="M1838" s="103"/>
      <c r="N1838" s="103"/>
      <c r="O1838" s="103"/>
      <c r="P1838" s="98"/>
      <c r="Q1838" s="99"/>
      <c r="R1838" s="105">
        <f t="shared" si="89"/>
        <v>0</v>
      </c>
      <c r="S1838" s="108">
        <f t="shared" si="88"/>
        <v>0</v>
      </c>
      <c r="T1838" s="105">
        <f t="shared" si="90"/>
        <v>0</v>
      </c>
    </row>
    <row r="1839" spans="1:20">
      <c r="A1839" s="101"/>
      <c r="B1839" s="101"/>
      <c r="C1839" s="101"/>
      <c r="D1839" s="101"/>
      <c r="E1839" s="101"/>
      <c r="F1839" s="102"/>
      <c r="G1839" s="101"/>
      <c r="H1839" s="102"/>
      <c r="I1839" s="101"/>
      <c r="J1839" s="101"/>
      <c r="K1839" s="103"/>
      <c r="L1839" s="103"/>
      <c r="M1839" s="103"/>
      <c r="N1839" s="103"/>
      <c r="O1839" s="103"/>
      <c r="P1839" s="98"/>
      <c r="Q1839" s="99"/>
      <c r="R1839" s="104">
        <f t="shared" si="89"/>
        <v>0</v>
      </c>
      <c r="S1839" s="104">
        <f t="shared" si="88"/>
        <v>0</v>
      </c>
      <c r="T1839" s="104">
        <f t="shared" si="90"/>
        <v>0</v>
      </c>
    </row>
    <row r="1840" spans="1:20">
      <c r="A1840" s="101"/>
      <c r="B1840" s="101"/>
      <c r="C1840" s="101"/>
      <c r="D1840" s="101"/>
      <c r="E1840" s="101"/>
      <c r="F1840" s="102"/>
      <c r="G1840" s="101"/>
      <c r="H1840" s="102"/>
      <c r="I1840" s="101"/>
      <c r="J1840" s="101"/>
      <c r="K1840" s="103"/>
      <c r="L1840" s="103"/>
      <c r="M1840" s="103"/>
      <c r="N1840" s="103"/>
      <c r="O1840" s="103"/>
      <c r="P1840" s="98"/>
      <c r="Q1840" s="99"/>
      <c r="R1840" s="105">
        <f t="shared" si="89"/>
        <v>0</v>
      </c>
      <c r="S1840" s="108">
        <f t="shared" si="88"/>
        <v>0</v>
      </c>
      <c r="T1840" s="105">
        <f t="shared" si="90"/>
        <v>0</v>
      </c>
    </row>
    <row r="1841" spans="1:20">
      <c r="A1841" s="101"/>
      <c r="B1841" s="101"/>
      <c r="C1841" s="101"/>
      <c r="D1841" s="101"/>
      <c r="E1841" s="101"/>
      <c r="F1841" s="102"/>
      <c r="G1841" s="101"/>
      <c r="H1841" s="102"/>
      <c r="I1841" s="101"/>
      <c r="J1841" s="101"/>
      <c r="K1841" s="103"/>
      <c r="L1841" s="103"/>
      <c r="M1841" s="103"/>
      <c r="N1841" s="103"/>
      <c r="O1841" s="103"/>
      <c r="P1841" s="98"/>
      <c r="Q1841" s="99"/>
      <c r="R1841" s="104">
        <f t="shared" si="89"/>
        <v>0</v>
      </c>
      <c r="S1841" s="104">
        <f t="shared" si="88"/>
        <v>0</v>
      </c>
      <c r="T1841" s="104">
        <f t="shared" si="90"/>
        <v>0</v>
      </c>
    </row>
    <row r="1842" spans="1:20">
      <c r="A1842" s="101"/>
      <c r="B1842" s="101"/>
      <c r="C1842" s="101"/>
      <c r="D1842" s="101"/>
      <c r="E1842" s="101"/>
      <c r="F1842" s="102"/>
      <c r="G1842" s="101"/>
      <c r="H1842" s="102"/>
      <c r="I1842" s="101"/>
      <c r="J1842" s="101"/>
      <c r="K1842" s="103"/>
      <c r="L1842" s="103"/>
      <c r="M1842" s="103"/>
      <c r="N1842" s="103"/>
      <c r="O1842" s="103"/>
      <c r="P1842" s="98"/>
      <c r="Q1842" s="99"/>
      <c r="R1842" s="105">
        <f t="shared" si="89"/>
        <v>0</v>
      </c>
      <c r="S1842" s="108">
        <f t="shared" si="88"/>
        <v>0</v>
      </c>
      <c r="T1842" s="105">
        <f t="shared" si="90"/>
        <v>0</v>
      </c>
    </row>
    <row r="1843" spans="1:20">
      <c r="A1843" s="101"/>
      <c r="B1843" s="101"/>
      <c r="C1843" s="101"/>
      <c r="D1843" s="101"/>
      <c r="E1843" s="101"/>
      <c r="F1843" s="102"/>
      <c r="G1843" s="101"/>
      <c r="H1843" s="102"/>
      <c r="I1843" s="101"/>
      <c r="J1843" s="101"/>
      <c r="K1843" s="103"/>
      <c r="L1843" s="103"/>
      <c r="M1843" s="103"/>
      <c r="N1843" s="103"/>
      <c r="O1843" s="103"/>
      <c r="P1843" s="98"/>
      <c r="Q1843" s="99"/>
      <c r="R1843" s="104">
        <f t="shared" si="89"/>
        <v>0</v>
      </c>
      <c r="S1843" s="104">
        <f t="shared" si="88"/>
        <v>0</v>
      </c>
      <c r="T1843" s="104">
        <f t="shared" si="90"/>
        <v>0</v>
      </c>
    </row>
    <row r="1844" spans="1:20">
      <c r="A1844" s="101"/>
      <c r="B1844" s="101"/>
      <c r="C1844" s="101"/>
      <c r="D1844" s="101"/>
      <c r="E1844" s="101"/>
      <c r="F1844" s="102"/>
      <c r="G1844" s="101"/>
      <c r="H1844" s="102"/>
      <c r="I1844" s="101"/>
      <c r="J1844" s="101"/>
      <c r="K1844" s="103"/>
      <c r="L1844" s="103"/>
      <c r="M1844" s="103"/>
      <c r="N1844" s="103"/>
      <c r="O1844" s="103"/>
      <c r="P1844" s="98"/>
      <c r="Q1844" s="99"/>
      <c r="R1844" s="105">
        <f t="shared" si="89"/>
        <v>0</v>
      </c>
      <c r="S1844" s="108">
        <f t="shared" si="88"/>
        <v>0</v>
      </c>
      <c r="T1844" s="105">
        <f t="shared" si="90"/>
        <v>0</v>
      </c>
    </row>
    <row r="1845" spans="1:20">
      <c r="A1845" s="101"/>
      <c r="B1845" s="101"/>
      <c r="C1845" s="101"/>
      <c r="D1845" s="101"/>
      <c r="E1845" s="101"/>
      <c r="F1845" s="102"/>
      <c r="G1845" s="101"/>
      <c r="H1845" s="102"/>
      <c r="I1845" s="101"/>
      <c r="J1845" s="101"/>
      <c r="K1845" s="103"/>
      <c r="L1845" s="103"/>
      <c r="M1845" s="103"/>
      <c r="N1845" s="103"/>
      <c r="O1845" s="103"/>
      <c r="P1845" s="98"/>
      <c r="Q1845" s="99"/>
      <c r="R1845" s="104">
        <f t="shared" si="89"/>
        <v>0</v>
      </c>
      <c r="S1845" s="104">
        <f t="shared" si="88"/>
        <v>0</v>
      </c>
      <c r="T1845" s="104">
        <f t="shared" si="90"/>
        <v>0</v>
      </c>
    </row>
    <row r="1846" spans="1:20">
      <c r="A1846" s="101"/>
      <c r="B1846" s="101"/>
      <c r="C1846" s="101"/>
      <c r="D1846" s="101"/>
      <c r="E1846" s="101"/>
      <c r="F1846" s="102"/>
      <c r="G1846" s="101"/>
      <c r="H1846" s="102"/>
      <c r="I1846" s="101"/>
      <c r="J1846" s="101"/>
      <c r="K1846" s="103"/>
      <c r="L1846" s="103"/>
      <c r="M1846" s="103"/>
      <c r="N1846" s="103"/>
      <c r="O1846" s="103"/>
      <c r="P1846" s="98"/>
      <c r="Q1846" s="99"/>
      <c r="R1846" s="105">
        <f t="shared" si="89"/>
        <v>0</v>
      </c>
      <c r="S1846" s="108">
        <f t="shared" si="88"/>
        <v>0</v>
      </c>
      <c r="T1846" s="105">
        <f t="shared" si="90"/>
        <v>0</v>
      </c>
    </row>
    <row r="1847" spans="1:20">
      <c r="A1847" s="101"/>
      <c r="B1847" s="101"/>
      <c r="C1847" s="101"/>
      <c r="D1847" s="101"/>
      <c r="E1847" s="101"/>
      <c r="F1847" s="102"/>
      <c r="G1847" s="101"/>
      <c r="H1847" s="102"/>
      <c r="I1847" s="101"/>
      <c r="J1847" s="101"/>
      <c r="K1847" s="103"/>
      <c r="L1847" s="103"/>
      <c r="M1847" s="103"/>
      <c r="N1847" s="103"/>
      <c r="O1847" s="103"/>
      <c r="P1847" s="98"/>
      <c r="Q1847" s="99"/>
      <c r="R1847" s="104">
        <f t="shared" si="89"/>
        <v>0</v>
      </c>
      <c r="S1847" s="104">
        <f t="shared" si="88"/>
        <v>0</v>
      </c>
      <c r="T1847" s="104">
        <f t="shared" si="90"/>
        <v>0</v>
      </c>
    </row>
    <row r="1848" spans="1:20">
      <c r="A1848" s="101"/>
      <c r="B1848" s="101"/>
      <c r="C1848" s="101"/>
      <c r="D1848" s="101"/>
      <c r="E1848" s="101"/>
      <c r="F1848" s="102"/>
      <c r="G1848" s="101"/>
      <c r="H1848" s="102"/>
      <c r="I1848" s="101"/>
      <c r="J1848" s="101"/>
      <c r="K1848" s="103"/>
      <c r="L1848" s="103"/>
      <c r="M1848" s="103"/>
      <c r="N1848" s="103"/>
      <c r="O1848" s="103"/>
      <c r="P1848" s="98"/>
      <c r="Q1848" s="99"/>
      <c r="R1848" s="105">
        <f t="shared" si="89"/>
        <v>0</v>
      </c>
      <c r="S1848" s="108">
        <f t="shared" si="88"/>
        <v>0</v>
      </c>
      <c r="T1848" s="105">
        <f t="shared" si="90"/>
        <v>0</v>
      </c>
    </row>
    <row r="1849" spans="1:20">
      <c r="A1849" s="101"/>
      <c r="B1849" s="101"/>
      <c r="C1849" s="101"/>
      <c r="D1849" s="101"/>
      <c r="E1849" s="101"/>
      <c r="F1849" s="102"/>
      <c r="G1849" s="101"/>
      <c r="H1849" s="102"/>
      <c r="I1849" s="101"/>
      <c r="J1849" s="101"/>
      <c r="K1849" s="103"/>
      <c r="L1849" s="103"/>
      <c r="M1849" s="103"/>
      <c r="N1849" s="103"/>
      <c r="O1849" s="103"/>
      <c r="P1849" s="98"/>
      <c r="Q1849" s="99"/>
      <c r="R1849" s="104">
        <f t="shared" si="89"/>
        <v>0</v>
      </c>
      <c r="S1849" s="104">
        <f t="shared" si="88"/>
        <v>0</v>
      </c>
      <c r="T1849" s="104">
        <f t="shared" si="90"/>
        <v>0</v>
      </c>
    </row>
    <row r="1850" spans="1:20">
      <c r="A1850" s="101"/>
      <c r="B1850" s="101"/>
      <c r="C1850" s="101"/>
      <c r="D1850" s="101"/>
      <c r="E1850" s="101"/>
      <c r="F1850" s="102"/>
      <c r="G1850" s="101"/>
      <c r="H1850" s="102"/>
      <c r="I1850" s="101"/>
      <c r="J1850" s="101"/>
      <c r="K1850" s="103"/>
      <c r="L1850" s="103"/>
      <c r="M1850" s="103"/>
      <c r="N1850" s="103"/>
      <c r="O1850" s="103"/>
      <c r="P1850" s="98"/>
      <c r="Q1850" s="99"/>
      <c r="R1850" s="105">
        <f t="shared" si="89"/>
        <v>0</v>
      </c>
      <c r="S1850" s="108">
        <f t="shared" si="88"/>
        <v>0</v>
      </c>
      <c r="T1850" s="105">
        <f t="shared" si="90"/>
        <v>0</v>
      </c>
    </row>
    <row r="1851" spans="1:20">
      <c r="A1851" s="101"/>
      <c r="B1851" s="101"/>
      <c r="C1851" s="101"/>
      <c r="D1851" s="101"/>
      <c r="E1851" s="101"/>
      <c r="F1851" s="102"/>
      <c r="G1851" s="101"/>
      <c r="H1851" s="102"/>
      <c r="I1851" s="101"/>
      <c r="J1851" s="101"/>
      <c r="K1851" s="103"/>
      <c r="L1851" s="103"/>
      <c r="M1851" s="103"/>
      <c r="N1851" s="103"/>
      <c r="O1851" s="103"/>
      <c r="P1851" s="98"/>
      <c r="Q1851" s="99"/>
      <c r="R1851" s="104">
        <f t="shared" si="89"/>
        <v>0</v>
      </c>
      <c r="S1851" s="104">
        <f t="shared" si="88"/>
        <v>0</v>
      </c>
      <c r="T1851" s="104">
        <f t="shared" si="90"/>
        <v>0</v>
      </c>
    </row>
    <row r="1852" spans="1:20">
      <c r="A1852" s="101"/>
      <c r="B1852" s="101"/>
      <c r="C1852" s="101"/>
      <c r="D1852" s="101"/>
      <c r="E1852" s="101"/>
      <c r="F1852" s="102"/>
      <c r="G1852" s="101"/>
      <c r="H1852" s="102"/>
      <c r="I1852" s="101"/>
      <c r="J1852" s="101"/>
      <c r="K1852" s="103"/>
      <c r="L1852" s="103"/>
      <c r="M1852" s="103"/>
      <c r="N1852" s="103"/>
      <c r="O1852" s="103"/>
      <c r="P1852" s="98"/>
      <c r="Q1852" s="99"/>
      <c r="R1852" s="105">
        <f t="shared" si="89"/>
        <v>0</v>
      </c>
      <c r="S1852" s="108">
        <f t="shared" si="88"/>
        <v>0</v>
      </c>
      <c r="T1852" s="105">
        <f t="shared" si="90"/>
        <v>0</v>
      </c>
    </row>
    <row r="1853" spans="1:20">
      <c r="A1853" s="101"/>
      <c r="B1853" s="101"/>
      <c r="C1853" s="101"/>
      <c r="D1853" s="101"/>
      <c r="E1853" s="101"/>
      <c r="F1853" s="102"/>
      <c r="G1853" s="101"/>
      <c r="H1853" s="102"/>
      <c r="I1853" s="101"/>
      <c r="J1853" s="101"/>
      <c r="K1853" s="103"/>
      <c r="L1853" s="103"/>
      <c r="M1853" s="103"/>
      <c r="N1853" s="103"/>
      <c r="O1853" s="103"/>
      <c r="P1853" s="98"/>
      <c r="Q1853" s="99"/>
      <c r="R1853" s="104">
        <f t="shared" si="89"/>
        <v>0</v>
      </c>
      <c r="S1853" s="104">
        <f t="shared" si="88"/>
        <v>0</v>
      </c>
      <c r="T1853" s="104">
        <f t="shared" si="90"/>
        <v>0</v>
      </c>
    </row>
    <row r="1854" spans="1:20">
      <c r="A1854" s="101"/>
      <c r="B1854" s="101"/>
      <c r="C1854" s="101"/>
      <c r="D1854" s="101"/>
      <c r="E1854" s="101"/>
      <c r="F1854" s="102"/>
      <c r="G1854" s="101"/>
      <c r="H1854" s="102"/>
      <c r="I1854" s="101"/>
      <c r="J1854" s="101"/>
      <c r="K1854" s="103"/>
      <c r="L1854" s="103"/>
      <c r="M1854" s="103"/>
      <c r="N1854" s="103"/>
      <c r="O1854" s="103"/>
      <c r="P1854" s="98"/>
      <c r="Q1854" s="99"/>
      <c r="R1854" s="105">
        <f t="shared" si="89"/>
        <v>0</v>
      </c>
      <c r="S1854" s="108">
        <f t="shared" si="88"/>
        <v>0</v>
      </c>
      <c r="T1854" s="105">
        <f t="shared" si="90"/>
        <v>0</v>
      </c>
    </row>
    <row r="1855" spans="1:20">
      <c r="A1855" s="101"/>
      <c r="B1855" s="101"/>
      <c r="C1855" s="101"/>
      <c r="D1855" s="101"/>
      <c r="E1855" s="101"/>
      <c r="F1855" s="102"/>
      <c r="G1855" s="101"/>
      <c r="H1855" s="102"/>
      <c r="I1855" s="101"/>
      <c r="J1855" s="101"/>
      <c r="K1855" s="103"/>
      <c r="L1855" s="103"/>
      <c r="M1855" s="103"/>
      <c r="N1855" s="103"/>
      <c r="O1855" s="103"/>
      <c r="P1855" s="98"/>
      <c r="Q1855" s="99"/>
      <c r="R1855" s="104">
        <f t="shared" si="89"/>
        <v>0</v>
      </c>
      <c r="S1855" s="104">
        <f t="shared" si="88"/>
        <v>0</v>
      </c>
      <c r="T1855" s="104">
        <f t="shared" si="90"/>
        <v>0</v>
      </c>
    </row>
    <row r="1856" spans="1:20">
      <c r="A1856" s="101"/>
      <c r="B1856" s="101"/>
      <c r="C1856" s="101"/>
      <c r="D1856" s="101"/>
      <c r="E1856" s="101"/>
      <c r="F1856" s="102"/>
      <c r="G1856" s="101"/>
      <c r="H1856" s="102"/>
      <c r="I1856" s="101"/>
      <c r="J1856" s="101"/>
      <c r="K1856" s="103"/>
      <c r="L1856" s="103"/>
      <c r="M1856" s="103"/>
      <c r="N1856" s="103"/>
      <c r="O1856" s="103"/>
      <c r="P1856" s="98"/>
      <c r="Q1856" s="99"/>
      <c r="R1856" s="105">
        <f t="shared" si="89"/>
        <v>0</v>
      </c>
      <c r="S1856" s="108">
        <f t="shared" si="88"/>
        <v>0</v>
      </c>
      <c r="T1856" s="105">
        <f t="shared" si="90"/>
        <v>0</v>
      </c>
    </row>
    <row r="1857" spans="1:20">
      <c r="A1857" s="101"/>
      <c r="B1857" s="101"/>
      <c r="C1857" s="101"/>
      <c r="D1857" s="101"/>
      <c r="E1857" s="101"/>
      <c r="F1857" s="102"/>
      <c r="G1857" s="101"/>
      <c r="H1857" s="102"/>
      <c r="I1857" s="101"/>
      <c r="J1857" s="101"/>
      <c r="K1857" s="103"/>
      <c r="L1857" s="103"/>
      <c r="M1857" s="103"/>
      <c r="N1857" s="103"/>
      <c r="O1857" s="103"/>
      <c r="P1857" s="98"/>
      <c r="Q1857" s="99"/>
      <c r="R1857" s="104">
        <f t="shared" si="89"/>
        <v>0</v>
      </c>
      <c r="S1857" s="104">
        <f t="shared" si="88"/>
        <v>0</v>
      </c>
      <c r="T1857" s="104">
        <f t="shared" si="90"/>
        <v>0</v>
      </c>
    </row>
    <row r="1858" spans="1:20">
      <c r="A1858" s="101"/>
      <c r="B1858" s="101"/>
      <c r="C1858" s="101"/>
      <c r="D1858" s="101"/>
      <c r="E1858" s="101"/>
      <c r="F1858" s="102"/>
      <c r="G1858" s="101"/>
      <c r="H1858" s="102"/>
      <c r="I1858" s="101"/>
      <c r="J1858" s="101"/>
      <c r="K1858" s="103"/>
      <c r="L1858" s="103"/>
      <c r="M1858" s="103"/>
      <c r="N1858" s="103"/>
      <c r="O1858" s="103"/>
      <c r="P1858" s="98"/>
      <c r="Q1858" s="99"/>
      <c r="R1858" s="105">
        <f t="shared" si="89"/>
        <v>0</v>
      </c>
      <c r="S1858" s="108">
        <f t="shared" si="88"/>
        <v>0</v>
      </c>
      <c r="T1858" s="105">
        <f t="shared" si="90"/>
        <v>0</v>
      </c>
    </row>
    <row r="1859" spans="1:20">
      <c r="A1859" s="101"/>
      <c r="B1859" s="101"/>
      <c r="C1859" s="101"/>
      <c r="D1859" s="101"/>
      <c r="E1859" s="101"/>
      <c r="F1859" s="102"/>
      <c r="G1859" s="101"/>
      <c r="H1859" s="102"/>
      <c r="I1859" s="101"/>
      <c r="J1859" s="101"/>
      <c r="K1859" s="103"/>
      <c r="L1859" s="103"/>
      <c r="M1859" s="103"/>
      <c r="N1859" s="103"/>
      <c r="O1859" s="103"/>
      <c r="P1859" s="98"/>
      <c r="Q1859" s="99"/>
      <c r="R1859" s="104">
        <f t="shared" si="89"/>
        <v>0</v>
      </c>
      <c r="S1859" s="104">
        <f t="shared" si="88"/>
        <v>0</v>
      </c>
      <c r="T1859" s="104">
        <f t="shared" si="90"/>
        <v>0</v>
      </c>
    </row>
    <row r="1860" spans="1:20">
      <c r="A1860" s="101"/>
      <c r="B1860" s="101"/>
      <c r="C1860" s="101"/>
      <c r="D1860" s="101"/>
      <c r="E1860" s="101"/>
      <c r="F1860" s="102"/>
      <c r="G1860" s="101"/>
      <c r="H1860" s="102"/>
      <c r="I1860" s="101"/>
      <c r="J1860" s="101"/>
      <c r="K1860" s="103"/>
      <c r="L1860" s="103"/>
      <c r="M1860" s="103"/>
      <c r="N1860" s="103"/>
      <c r="O1860" s="103"/>
      <c r="P1860" s="98"/>
      <c r="Q1860" s="99"/>
      <c r="R1860" s="105">
        <f t="shared" si="89"/>
        <v>0</v>
      </c>
      <c r="S1860" s="108">
        <f t="shared" ref="S1860:S1923" si="91">IF(P1860="Abono",K1860+L1860+M1860-N1860-O1860,0)</f>
        <v>0</v>
      </c>
      <c r="T1860" s="105">
        <f t="shared" si="90"/>
        <v>0</v>
      </c>
    </row>
    <row r="1861" spans="1:20">
      <c r="A1861" s="101"/>
      <c r="B1861" s="101"/>
      <c r="C1861" s="101"/>
      <c r="D1861" s="101"/>
      <c r="E1861" s="101"/>
      <c r="F1861" s="102"/>
      <c r="G1861" s="101"/>
      <c r="H1861" s="102"/>
      <c r="I1861" s="101"/>
      <c r="J1861" s="101"/>
      <c r="K1861" s="103"/>
      <c r="L1861" s="103"/>
      <c r="M1861" s="103"/>
      <c r="N1861" s="103"/>
      <c r="O1861" s="103"/>
      <c r="P1861" s="98"/>
      <c r="Q1861" s="99"/>
      <c r="R1861" s="104">
        <f t="shared" ref="R1861:R1924" si="92">IF(P1861="Cargo",K1861+L1861-M1861-N1861+O1861,0)</f>
        <v>0</v>
      </c>
      <c r="S1861" s="104">
        <f t="shared" si="91"/>
        <v>0</v>
      </c>
      <c r="T1861" s="104">
        <f t="shared" ref="T1861:T1924" si="93">IF(Q1861="OK",+T1860+R1861-S1861,T1860)</f>
        <v>0</v>
      </c>
    </row>
    <row r="1862" spans="1:20">
      <c r="A1862" s="101"/>
      <c r="B1862" s="101"/>
      <c r="C1862" s="101"/>
      <c r="D1862" s="101"/>
      <c r="E1862" s="101"/>
      <c r="F1862" s="102"/>
      <c r="G1862" s="101"/>
      <c r="H1862" s="102"/>
      <c r="I1862" s="101"/>
      <c r="J1862" s="101"/>
      <c r="K1862" s="103"/>
      <c r="L1862" s="103"/>
      <c r="M1862" s="103"/>
      <c r="N1862" s="103"/>
      <c r="O1862" s="103"/>
      <c r="P1862" s="98"/>
      <c r="Q1862" s="99"/>
      <c r="R1862" s="105">
        <f t="shared" si="92"/>
        <v>0</v>
      </c>
      <c r="S1862" s="108">
        <f t="shared" si="91"/>
        <v>0</v>
      </c>
      <c r="T1862" s="105">
        <f t="shared" si="93"/>
        <v>0</v>
      </c>
    </row>
    <row r="1863" spans="1:20">
      <c r="A1863" s="101"/>
      <c r="B1863" s="101"/>
      <c r="C1863" s="101"/>
      <c r="D1863" s="101"/>
      <c r="E1863" s="101"/>
      <c r="F1863" s="102"/>
      <c r="G1863" s="101"/>
      <c r="H1863" s="102"/>
      <c r="I1863" s="101"/>
      <c r="J1863" s="101"/>
      <c r="K1863" s="103"/>
      <c r="L1863" s="103"/>
      <c r="M1863" s="103"/>
      <c r="N1863" s="103"/>
      <c r="O1863" s="103"/>
      <c r="P1863" s="98"/>
      <c r="Q1863" s="99"/>
      <c r="R1863" s="104">
        <f t="shared" si="92"/>
        <v>0</v>
      </c>
      <c r="S1863" s="104">
        <f t="shared" si="91"/>
        <v>0</v>
      </c>
      <c r="T1863" s="104">
        <f t="shared" si="93"/>
        <v>0</v>
      </c>
    </row>
    <row r="1864" spans="1:20">
      <c r="A1864" s="101"/>
      <c r="B1864" s="101"/>
      <c r="C1864" s="101"/>
      <c r="D1864" s="101"/>
      <c r="E1864" s="101"/>
      <c r="F1864" s="102"/>
      <c r="G1864" s="101"/>
      <c r="H1864" s="102"/>
      <c r="I1864" s="101"/>
      <c r="J1864" s="101"/>
      <c r="K1864" s="103"/>
      <c r="L1864" s="103"/>
      <c r="M1864" s="103"/>
      <c r="N1864" s="103"/>
      <c r="O1864" s="103"/>
      <c r="P1864" s="98"/>
      <c r="Q1864" s="99"/>
      <c r="R1864" s="105">
        <f t="shared" si="92"/>
        <v>0</v>
      </c>
      <c r="S1864" s="108">
        <f t="shared" si="91"/>
        <v>0</v>
      </c>
      <c r="T1864" s="105">
        <f t="shared" si="93"/>
        <v>0</v>
      </c>
    </row>
    <row r="1865" spans="1:20">
      <c r="A1865" s="101"/>
      <c r="B1865" s="101"/>
      <c r="C1865" s="101"/>
      <c r="D1865" s="101"/>
      <c r="E1865" s="101"/>
      <c r="F1865" s="102"/>
      <c r="G1865" s="101"/>
      <c r="H1865" s="102"/>
      <c r="I1865" s="101"/>
      <c r="J1865" s="101"/>
      <c r="K1865" s="103"/>
      <c r="L1865" s="103"/>
      <c r="M1865" s="103"/>
      <c r="N1865" s="103"/>
      <c r="O1865" s="103"/>
      <c r="P1865" s="98"/>
      <c r="Q1865" s="99"/>
      <c r="R1865" s="104">
        <f t="shared" si="92"/>
        <v>0</v>
      </c>
      <c r="S1865" s="104">
        <f t="shared" si="91"/>
        <v>0</v>
      </c>
      <c r="T1865" s="104">
        <f t="shared" si="93"/>
        <v>0</v>
      </c>
    </row>
    <row r="1866" spans="1:20">
      <c r="A1866" s="101"/>
      <c r="B1866" s="101"/>
      <c r="C1866" s="101"/>
      <c r="D1866" s="101"/>
      <c r="E1866" s="101"/>
      <c r="F1866" s="102"/>
      <c r="G1866" s="101"/>
      <c r="H1866" s="102"/>
      <c r="I1866" s="101"/>
      <c r="J1866" s="101"/>
      <c r="K1866" s="103"/>
      <c r="L1866" s="103"/>
      <c r="M1866" s="103"/>
      <c r="N1866" s="103"/>
      <c r="O1866" s="103"/>
      <c r="P1866" s="98"/>
      <c r="Q1866" s="99"/>
      <c r="R1866" s="105">
        <f t="shared" si="92"/>
        <v>0</v>
      </c>
      <c r="S1866" s="108">
        <f t="shared" si="91"/>
        <v>0</v>
      </c>
      <c r="T1866" s="105">
        <f t="shared" si="93"/>
        <v>0</v>
      </c>
    </row>
    <row r="1867" spans="1:20">
      <c r="A1867" s="101"/>
      <c r="B1867" s="101"/>
      <c r="C1867" s="101"/>
      <c r="D1867" s="101"/>
      <c r="E1867" s="101"/>
      <c r="F1867" s="102"/>
      <c r="G1867" s="101"/>
      <c r="H1867" s="102"/>
      <c r="I1867" s="101"/>
      <c r="J1867" s="101"/>
      <c r="K1867" s="103"/>
      <c r="L1867" s="103"/>
      <c r="M1867" s="103"/>
      <c r="N1867" s="103"/>
      <c r="O1867" s="103"/>
      <c r="P1867" s="98"/>
      <c r="Q1867" s="99"/>
      <c r="R1867" s="104">
        <f t="shared" si="92"/>
        <v>0</v>
      </c>
      <c r="S1867" s="104">
        <f t="shared" si="91"/>
        <v>0</v>
      </c>
      <c r="T1867" s="104">
        <f t="shared" si="93"/>
        <v>0</v>
      </c>
    </row>
    <row r="1868" spans="1:20">
      <c r="A1868" s="101"/>
      <c r="B1868" s="101"/>
      <c r="C1868" s="101"/>
      <c r="D1868" s="101"/>
      <c r="E1868" s="101"/>
      <c r="F1868" s="102"/>
      <c r="G1868" s="101"/>
      <c r="H1868" s="102"/>
      <c r="I1868" s="101"/>
      <c r="J1868" s="101"/>
      <c r="K1868" s="103"/>
      <c r="L1868" s="103"/>
      <c r="M1868" s="103"/>
      <c r="N1868" s="103"/>
      <c r="O1868" s="103"/>
      <c r="P1868" s="98"/>
      <c r="Q1868" s="99"/>
      <c r="R1868" s="105">
        <f t="shared" si="92"/>
        <v>0</v>
      </c>
      <c r="S1868" s="108">
        <f t="shared" si="91"/>
        <v>0</v>
      </c>
      <c r="T1868" s="105">
        <f t="shared" si="93"/>
        <v>0</v>
      </c>
    </row>
    <row r="1869" spans="1:20">
      <c r="A1869" s="101"/>
      <c r="B1869" s="101"/>
      <c r="C1869" s="101"/>
      <c r="D1869" s="101"/>
      <c r="E1869" s="101"/>
      <c r="F1869" s="102"/>
      <c r="G1869" s="101"/>
      <c r="H1869" s="102"/>
      <c r="I1869" s="101"/>
      <c r="J1869" s="101"/>
      <c r="K1869" s="103"/>
      <c r="L1869" s="103"/>
      <c r="M1869" s="103"/>
      <c r="N1869" s="103"/>
      <c r="O1869" s="103"/>
      <c r="P1869" s="98"/>
      <c r="Q1869" s="99"/>
      <c r="R1869" s="104">
        <f t="shared" si="92"/>
        <v>0</v>
      </c>
      <c r="S1869" s="104">
        <f t="shared" si="91"/>
        <v>0</v>
      </c>
      <c r="T1869" s="104">
        <f t="shared" si="93"/>
        <v>0</v>
      </c>
    </row>
    <row r="1870" spans="1:20">
      <c r="A1870" s="101"/>
      <c r="B1870" s="101"/>
      <c r="C1870" s="101"/>
      <c r="D1870" s="101"/>
      <c r="E1870" s="101"/>
      <c r="F1870" s="102"/>
      <c r="G1870" s="101"/>
      <c r="H1870" s="102"/>
      <c r="I1870" s="101"/>
      <c r="J1870" s="101"/>
      <c r="K1870" s="103"/>
      <c r="L1870" s="103"/>
      <c r="M1870" s="103"/>
      <c r="N1870" s="103"/>
      <c r="O1870" s="103"/>
      <c r="P1870" s="98"/>
      <c r="Q1870" s="99"/>
      <c r="R1870" s="105">
        <f t="shared" si="92"/>
        <v>0</v>
      </c>
      <c r="S1870" s="108">
        <f t="shared" si="91"/>
        <v>0</v>
      </c>
      <c r="T1870" s="105">
        <f t="shared" si="93"/>
        <v>0</v>
      </c>
    </row>
    <row r="1871" spans="1:20">
      <c r="A1871" s="101"/>
      <c r="B1871" s="101"/>
      <c r="C1871" s="101"/>
      <c r="D1871" s="101"/>
      <c r="E1871" s="101"/>
      <c r="F1871" s="102"/>
      <c r="G1871" s="101"/>
      <c r="H1871" s="102"/>
      <c r="I1871" s="101"/>
      <c r="J1871" s="101"/>
      <c r="K1871" s="103"/>
      <c r="L1871" s="103"/>
      <c r="M1871" s="103"/>
      <c r="N1871" s="103"/>
      <c r="O1871" s="103"/>
      <c r="P1871" s="98"/>
      <c r="Q1871" s="99"/>
      <c r="R1871" s="104">
        <f t="shared" si="92"/>
        <v>0</v>
      </c>
      <c r="S1871" s="104">
        <f t="shared" si="91"/>
        <v>0</v>
      </c>
      <c r="T1871" s="104">
        <f t="shared" si="93"/>
        <v>0</v>
      </c>
    </row>
    <row r="1872" spans="1:20">
      <c r="A1872" s="101"/>
      <c r="B1872" s="101"/>
      <c r="C1872" s="101"/>
      <c r="D1872" s="101"/>
      <c r="E1872" s="101"/>
      <c r="F1872" s="102"/>
      <c r="G1872" s="101"/>
      <c r="H1872" s="102"/>
      <c r="I1872" s="101"/>
      <c r="J1872" s="101"/>
      <c r="K1872" s="103"/>
      <c r="L1872" s="103"/>
      <c r="M1872" s="103"/>
      <c r="N1872" s="103"/>
      <c r="O1872" s="103"/>
      <c r="P1872" s="98"/>
      <c r="Q1872" s="99"/>
      <c r="R1872" s="105">
        <f t="shared" si="92"/>
        <v>0</v>
      </c>
      <c r="S1872" s="108">
        <f t="shared" si="91"/>
        <v>0</v>
      </c>
      <c r="T1872" s="105">
        <f t="shared" si="93"/>
        <v>0</v>
      </c>
    </row>
    <row r="1873" spans="1:20">
      <c r="A1873" s="101"/>
      <c r="B1873" s="101"/>
      <c r="C1873" s="101"/>
      <c r="D1873" s="101"/>
      <c r="E1873" s="101"/>
      <c r="F1873" s="102"/>
      <c r="G1873" s="101"/>
      <c r="H1873" s="102"/>
      <c r="I1873" s="101"/>
      <c r="J1873" s="101"/>
      <c r="K1873" s="103"/>
      <c r="L1873" s="103"/>
      <c r="M1873" s="103"/>
      <c r="N1873" s="103"/>
      <c r="O1873" s="103"/>
      <c r="P1873" s="98"/>
      <c r="Q1873" s="99"/>
      <c r="R1873" s="104">
        <f t="shared" si="92"/>
        <v>0</v>
      </c>
      <c r="S1873" s="104">
        <f t="shared" si="91"/>
        <v>0</v>
      </c>
      <c r="T1873" s="104">
        <f t="shared" si="93"/>
        <v>0</v>
      </c>
    </row>
    <row r="1874" spans="1:20">
      <c r="A1874" s="101"/>
      <c r="B1874" s="101"/>
      <c r="C1874" s="101"/>
      <c r="D1874" s="101"/>
      <c r="E1874" s="101"/>
      <c r="F1874" s="102"/>
      <c r="G1874" s="101"/>
      <c r="H1874" s="102"/>
      <c r="I1874" s="101"/>
      <c r="J1874" s="101"/>
      <c r="K1874" s="103"/>
      <c r="L1874" s="103"/>
      <c r="M1874" s="103"/>
      <c r="N1874" s="103"/>
      <c r="O1874" s="103"/>
      <c r="P1874" s="98"/>
      <c r="Q1874" s="99"/>
      <c r="R1874" s="105">
        <f t="shared" si="92"/>
        <v>0</v>
      </c>
      <c r="S1874" s="108">
        <f t="shared" si="91"/>
        <v>0</v>
      </c>
      <c r="T1874" s="105">
        <f t="shared" si="93"/>
        <v>0</v>
      </c>
    </row>
    <row r="1875" spans="1:20">
      <c r="A1875" s="101"/>
      <c r="B1875" s="101"/>
      <c r="C1875" s="101"/>
      <c r="D1875" s="101"/>
      <c r="E1875" s="101"/>
      <c r="F1875" s="102"/>
      <c r="G1875" s="101"/>
      <c r="H1875" s="102"/>
      <c r="I1875" s="101"/>
      <c r="J1875" s="101"/>
      <c r="K1875" s="103"/>
      <c r="L1875" s="103"/>
      <c r="M1875" s="103"/>
      <c r="N1875" s="103"/>
      <c r="O1875" s="103"/>
      <c r="P1875" s="98"/>
      <c r="Q1875" s="99"/>
      <c r="R1875" s="104">
        <f t="shared" si="92"/>
        <v>0</v>
      </c>
      <c r="S1875" s="104">
        <f t="shared" si="91"/>
        <v>0</v>
      </c>
      <c r="T1875" s="104">
        <f t="shared" si="93"/>
        <v>0</v>
      </c>
    </row>
    <row r="1876" spans="1:20">
      <c r="A1876" s="101"/>
      <c r="B1876" s="101"/>
      <c r="C1876" s="101"/>
      <c r="D1876" s="101"/>
      <c r="E1876" s="101"/>
      <c r="F1876" s="102"/>
      <c r="G1876" s="101"/>
      <c r="H1876" s="102"/>
      <c r="I1876" s="101"/>
      <c r="J1876" s="101"/>
      <c r="K1876" s="103"/>
      <c r="L1876" s="103"/>
      <c r="M1876" s="103"/>
      <c r="N1876" s="103"/>
      <c r="O1876" s="103"/>
      <c r="P1876" s="98"/>
      <c r="Q1876" s="99"/>
      <c r="R1876" s="105">
        <f t="shared" si="92"/>
        <v>0</v>
      </c>
      <c r="S1876" s="108">
        <f t="shared" si="91"/>
        <v>0</v>
      </c>
      <c r="T1876" s="105">
        <f t="shared" si="93"/>
        <v>0</v>
      </c>
    </row>
    <row r="1877" spans="1:20">
      <c r="A1877" s="101"/>
      <c r="B1877" s="101"/>
      <c r="C1877" s="101"/>
      <c r="D1877" s="101"/>
      <c r="E1877" s="101"/>
      <c r="F1877" s="102"/>
      <c r="G1877" s="101"/>
      <c r="H1877" s="102"/>
      <c r="I1877" s="101"/>
      <c r="J1877" s="101"/>
      <c r="K1877" s="103"/>
      <c r="L1877" s="103"/>
      <c r="M1877" s="103"/>
      <c r="N1877" s="103"/>
      <c r="O1877" s="103"/>
      <c r="P1877" s="98"/>
      <c r="Q1877" s="99"/>
      <c r="R1877" s="104">
        <f t="shared" si="92"/>
        <v>0</v>
      </c>
      <c r="S1877" s="104">
        <f t="shared" si="91"/>
        <v>0</v>
      </c>
      <c r="T1877" s="104">
        <f t="shared" si="93"/>
        <v>0</v>
      </c>
    </row>
    <row r="1878" spans="1:20">
      <c r="A1878" s="101"/>
      <c r="B1878" s="101"/>
      <c r="C1878" s="101"/>
      <c r="D1878" s="101"/>
      <c r="E1878" s="101"/>
      <c r="F1878" s="102"/>
      <c r="G1878" s="101"/>
      <c r="H1878" s="102"/>
      <c r="I1878" s="101"/>
      <c r="J1878" s="101"/>
      <c r="K1878" s="103"/>
      <c r="L1878" s="103"/>
      <c r="M1878" s="103"/>
      <c r="N1878" s="103"/>
      <c r="O1878" s="103"/>
      <c r="P1878" s="98"/>
      <c r="Q1878" s="99"/>
      <c r="R1878" s="105">
        <f t="shared" si="92"/>
        <v>0</v>
      </c>
      <c r="S1878" s="108">
        <f t="shared" si="91"/>
        <v>0</v>
      </c>
      <c r="T1878" s="105">
        <f t="shared" si="93"/>
        <v>0</v>
      </c>
    </row>
    <row r="1879" spans="1:20">
      <c r="A1879" s="101"/>
      <c r="B1879" s="101"/>
      <c r="C1879" s="101"/>
      <c r="D1879" s="101"/>
      <c r="E1879" s="101"/>
      <c r="F1879" s="102"/>
      <c r="G1879" s="101"/>
      <c r="H1879" s="102"/>
      <c r="I1879" s="101"/>
      <c r="J1879" s="101"/>
      <c r="K1879" s="103"/>
      <c r="L1879" s="103"/>
      <c r="M1879" s="103"/>
      <c r="N1879" s="103"/>
      <c r="O1879" s="103"/>
      <c r="P1879" s="98"/>
      <c r="Q1879" s="99"/>
      <c r="R1879" s="104">
        <f t="shared" si="92"/>
        <v>0</v>
      </c>
      <c r="S1879" s="104">
        <f t="shared" si="91"/>
        <v>0</v>
      </c>
      <c r="T1879" s="104">
        <f t="shared" si="93"/>
        <v>0</v>
      </c>
    </row>
    <row r="1880" spans="1:20">
      <c r="A1880" s="101"/>
      <c r="B1880" s="101"/>
      <c r="C1880" s="101"/>
      <c r="D1880" s="101"/>
      <c r="E1880" s="101"/>
      <c r="F1880" s="102"/>
      <c r="G1880" s="101"/>
      <c r="H1880" s="102"/>
      <c r="I1880" s="101"/>
      <c r="J1880" s="101"/>
      <c r="K1880" s="103"/>
      <c r="L1880" s="103"/>
      <c r="M1880" s="103"/>
      <c r="N1880" s="103"/>
      <c r="O1880" s="103"/>
      <c r="P1880" s="98"/>
      <c r="Q1880" s="99"/>
      <c r="R1880" s="105">
        <f t="shared" si="92"/>
        <v>0</v>
      </c>
      <c r="S1880" s="108">
        <f t="shared" si="91"/>
        <v>0</v>
      </c>
      <c r="T1880" s="105">
        <f t="shared" si="93"/>
        <v>0</v>
      </c>
    </row>
    <row r="1881" spans="1:20">
      <c r="A1881" s="101"/>
      <c r="B1881" s="101"/>
      <c r="C1881" s="101"/>
      <c r="D1881" s="101"/>
      <c r="E1881" s="101"/>
      <c r="F1881" s="102"/>
      <c r="G1881" s="101"/>
      <c r="H1881" s="102"/>
      <c r="I1881" s="101"/>
      <c r="J1881" s="101"/>
      <c r="K1881" s="103"/>
      <c r="L1881" s="103"/>
      <c r="M1881" s="103"/>
      <c r="N1881" s="103"/>
      <c r="O1881" s="103"/>
      <c r="P1881" s="98"/>
      <c r="Q1881" s="99"/>
      <c r="R1881" s="104">
        <f t="shared" si="92"/>
        <v>0</v>
      </c>
      <c r="S1881" s="104">
        <f t="shared" si="91"/>
        <v>0</v>
      </c>
      <c r="T1881" s="104">
        <f t="shared" si="93"/>
        <v>0</v>
      </c>
    </row>
    <row r="1882" spans="1:20">
      <c r="A1882" s="101"/>
      <c r="B1882" s="101"/>
      <c r="C1882" s="101"/>
      <c r="D1882" s="101"/>
      <c r="E1882" s="101"/>
      <c r="F1882" s="102"/>
      <c r="G1882" s="101"/>
      <c r="H1882" s="102"/>
      <c r="I1882" s="101"/>
      <c r="J1882" s="101"/>
      <c r="K1882" s="103"/>
      <c r="L1882" s="103"/>
      <c r="M1882" s="103"/>
      <c r="N1882" s="103"/>
      <c r="O1882" s="103"/>
      <c r="P1882" s="98"/>
      <c r="Q1882" s="99"/>
      <c r="R1882" s="105">
        <f t="shared" si="92"/>
        <v>0</v>
      </c>
      <c r="S1882" s="108">
        <f t="shared" si="91"/>
        <v>0</v>
      </c>
      <c r="T1882" s="105">
        <f t="shared" si="93"/>
        <v>0</v>
      </c>
    </row>
    <row r="1883" spans="1:20">
      <c r="A1883" s="101"/>
      <c r="B1883" s="101"/>
      <c r="C1883" s="101"/>
      <c r="D1883" s="101"/>
      <c r="E1883" s="101"/>
      <c r="F1883" s="102"/>
      <c r="G1883" s="101"/>
      <c r="H1883" s="102"/>
      <c r="I1883" s="101"/>
      <c r="J1883" s="101"/>
      <c r="K1883" s="103"/>
      <c r="L1883" s="103"/>
      <c r="M1883" s="103"/>
      <c r="N1883" s="103"/>
      <c r="O1883" s="103"/>
      <c r="P1883" s="98"/>
      <c r="Q1883" s="99"/>
      <c r="R1883" s="104">
        <f t="shared" si="92"/>
        <v>0</v>
      </c>
      <c r="S1883" s="104">
        <f t="shared" si="91"/>
        <v>0</v>
      </c>
      <c r="T1883" s="104">
        <f t="shared" si="93"/>
        <v>0</v>
      </c>
    </row>
    <row r="1884" spans="1:20">
      <c r="A1884" s="101"/>
      <c r="B1884" s="101"/>
      <c r="C1884" s="101"/>
      <c r="D1884" s="101"/>
      <c r="E1884" s="101"/>
      <c r="F1884" s="102"/>
      <c r="G1884" s="101"/>
      <c r="H1884" s="102"/>
      <c r="I1884" s="101"/>
      <c r="J1884" s="101"/>
      <c r="K1884" s="103"/>
      <c r="L1884" s="103"/>
      <c r="M1884" s="103"/>
      <c r="N1884" s="103"/>
      <c r="O1884" s="103"/>
      <c r="P1884" s="98"/>
      <c r="Q1884" s="99"/>
      <c r="R1884" s="105">
        <f t="shared" si="92"/>
        <v>0</v>
      </c>
      <c r="S1884" s="108">
        <f t="shared" si="91"/>
        <v>0</v>
      </c>
      <c r="T1884" s="105">
        <f t="shared" si="93"/>
        <v>0</v>
      </c>
    </row>
    <row r="1885" spans="1:20">
      <c r="A1885" s="101"/>
      <c r="B1885" s="101"/>
      <c r="C1885" s="101"/>
      <c r="D1885" s="101"/>
      <c r="E1885" s="101"/>
      <c r="F1885" s="102"/>
      <c r="G1885" s="101"/>
      <c r="H1885" s="102"/>
      <c r="I1885" s="101"/>
      <c r="J1885" s="101"/>
      <c r="K1885" s="103"/>
      <c r="L1885" s="103"/>
      <c r="M1885" s="103"/>
      <c r="N1885" s="103"/>
      <c r="O1885" s="103"/>
      <c r="P1885" s="98"/>
      <c r="Q1885" s="99"/>
      <c r="R1885" s="104">
        <f t="shared" si="92"/>
        <v>0</v>
      </c>
      <c r="S1885" s="104">
        <f t="shared" si="91"/>
        <v>0</v>
      </c>
      <c r="T1885" s="104">
        <f t="shared" si="93"/>
        <v>0</v>
      </c>
    </row>
    <row r="1886" spans="1:20">
      <c r="A1886" s="101"/>
      <c r="B1886" s="101"/>
      <c r="C1886" s="101"/>
      <c r="D1886" s="101"/>
      <c r="E1886" s="101"/>
      <c r="F1886" s="102"/>
      <c r="G1886" s="101"/>
      <c r="H1886" s="102"/>
      <c r="I1886" s="101"/>
      <c r="J1886" s="101"/>
      <c r="K1886" s="103"/>
      <c r="L1886" s="103"/>
      <c r="M1886" s="103"/>
      <c r="N1886" s="103"/>
      <c r="O1886" s="103"/>
      <c r="P1886" s="98"/>
      <c r="Q1886" s="99"/>
      <c r="R1886" s="105">
        <f t="shared" si="92"/>
        <v>0</v>
      </c>
      <c r="S1886" s="108">
        <f t="shared" si="91"/>
        <v>0</v>
      </c>
      <c r="T1886" s="105">
        <f t="shared" si="93"/>
        <v>0</v>
      </c>
    </row>
    <row r="1887" spans="1:20">
      <c r="A1887" s="101"/>
      <c r="B1887" s="101"/>
      <c r="C1887" s="101"/>
      <c r="D1887" s="101"/>
      <c r="E1887" s="101"/>
      <c r="F1887" s="102"/>
      <c r="G1887" s="101"/>
      <c r="H1887" s="102"/>
      <c r="I1887" s="101"/>
      <c r="J1887" s="101"/>
      <c r="K1887" s="103"/>
      <c r="L1887" s="103"/>
      <c r="M1887" s="103"/>
      <c r="N1887" s="103"/>
      <c r="O1887" s="103"/>
      <c r="P1887" s="98"/>
      <c r="Q1887" s="99"/>
      <c r="R1887" s="104">
        <f t="shared" si="92"/>
        <v>0</v>
      </c>
      <c r="S1887" s="104">
        <f t="shared" si="91"/>
        <v>0</v>
      </c>
      <c r="T1887" s="104">
        <f t="shared" si="93"/>
        <v>0</v>
      </c>
    </row>
    <row r="1888" spans="1:20">
      <c r="A1888" s="101"/>
      <c r="B1888" s="101"/>
      <c r="C1888" s="101"/>
      <c r="D1888" s="101"/>
      <c r="E1888" s="101"/>
      <c r="F1888" s="102"/>
      <c r="G1888" s="101"/>
      <c r="H1888" s="102"/>
      <c r="I1888" s="101"/>
      <c r="J1888" s="101"/>
      <c r="K1888" s="103"/>
      <c r="L1888" s="103"/>
      <c r="M1888" s="103"/>
      <c r="N1888" s="103"/>
      <c r="O1888" s="103"/>
      <c r="P1888" s="98"/>
      <c r="Q1888" s="99"/>
      <c r="R1888" s="105">
        <f t="shared" si="92"/>
        <v>0</v>
      </c>
      <c r="S1888" s="108">
        <f t="shared" si="91"/>
        <v>0</v>
      </c>
      <c r="T1888" s="105">
        <f t="shared" si="93"/>
        <v>0</v>
      </c>
    </row>
    <row r="1889" spans="1:20">
      <c r="A1889" s="101"/>
      <c r="B1889" s="101"/>
      <c r="C1889" s="101"/>
      <c r="D1889" s="101"/>
      <c r="E1889" s="101"/>
      <c r="F1889" s="102"/>
      <c r="G1889" s="101"/>
      <c r="H1889" s="102"/>
      <c r="I1889" s="101"/>
      <c r="J1889" s="101"/>
      <c r="K1889" s="103"/>
      <c r="L1889" s="103"/>
      <c r="M1889" s="103"/>
      <c r="N1889" s="103"/>
      <c r="O1889" s="103"/>
      <c r="P1889" s="98"/>
      <c r="Q1889" s="99"/>
      <c r="R1889" s="104">
        <f t="shared" si="92"/>
        <v>0</v>
      </c>
      <c r="S1889" s="104">
        <f t="shared" si="91"/>
        <v>0</v>
      </c>
      <c r="T1889" s="104">
        <f t="shared" si="93"/>
        <v>0</v>
      </c>
    </row>
    <row r="1890" spans="1:20">
      <c r="A1890" s="101"/>
      <c r="B1890" s="101"/>
      <c r="C1890" s="101"/>
      <c r="D1890" s="101"/>
      <c r="E1890" s="101"/>
      <c r="F1890" s="102"/>
      <c r="G1890" s="101"/>
      <c r="H1890" s="102"/>
      <c r="I1890" s="101"/>
      <c r="J1890" s="101"/>
      <c r="K1890" s="103"/>
      <c r="L1890" s="103"/>
      <c r="M1890" s="103"/>
      <c r="N1890" s="103"/>
      <c r="O1890" s="103"/>
      <c r="P1890" s="98"/>
      <c r="Q1890" s="99"/>
      <c r="R1890" s="105">
        <f t="shared" si="92"/>
        <v>0</v>
      </c>
      <c r="S1890" s="108">
        <f t="shared" si="91"/>
        <v>0</v>
      </c>
      <c r="T1890" s="105">
        <f t="shared" si="93"/>
        <v>0</v>
      </c>
    </row>
    <row r="1891" spans="1:20">
      <c r="A1891" s="101"/>
      <c r="B1891" s="101"/>
      <c r="C1891" s="101"/>
      <c r="D1891" s="101"/>
      <c r="E1891" s="101"/>
      <c r="F1891" s="102"/>
      <c r="G1891" s="101"/>
      <c r="H1891" s="102"/>
      <c r="I1891" s="101"/>
      <c r="J1891" s="101"/>
      <c r="K1891" s="103"/>
      <c r="L1891" s="103"/>
      <c r="M1891" s="103"/>
      <c r="N1891" s="103"/>
      <c r="O1891" s="103"/>
      <c r="P1891" s="98"/>
      <c r="Q1891" s="99"/>
      <c r="R1891" s="104">
        <f t="shared" si="92"/>
        <v>0</v>
      </c>
      <c r="S1891" s="104">
        <f t="shared" si="91"/>
        <v>0</v>
      </c>
      <c r="T1891" s="104">
        <f t="shared" si="93"/>
        <v>0</v>
      </c>
    </row>
    <row r="1892" spans="1:20">
      <c r="A1892" s="101"/>
      <c r="B1892" s="101"/>
      <c r="C1892" s="101"/>
      <c r="D1892" s="101"/>
      <c r="E1892" s="101"/>
      <c r="F1892" s="102"/>
      <c r="G1892" s="101"/>
      <c r="H1892" s="102"/>
      <c r="I1892" s="101"/>
      <c r="J1892" s="101"/>
      <c r="K1892" s="103"/>
      <c r="L1892" s="103"/>
      <c r="M1892" s="103"/>
      <c r="N1892" s="103"/>
      <c r="O1892" s="103"/>
      <c r="P1892" s="98"/>
      <c r="Q1892" s="99"/>
      <c r="R1892" s="105">
        <f t="shared" si="92"/>
        <v>0</v>
      </c>
      <c r="S1892" s="108">
        <f t="shared" si="91"/>
        <v>0</v>
      </c>
      <c r="T1892" s="105">
        <f t="shared" si="93"/>
        <v>0</v>
      </c>
    </row>
    <row r="1893" spans="1:20">
      <c r="A1893" s="101"/>
      <c r="B1893" s="101"/>
      <c r="C1893" s="101"/>
      <c r="D1893" s="101"/>
      <c r="E1893" s="101"/>
      <c r="F1893" s="102"/>
      <c r="G1893" s="101"/>
      <c r="H1893" s="102"/>
      <c r="I1893" s="101"/>
      <c r="J1893" s="101"/>
      <c r="K1893" s="103"/>
      <c r="L1893" s="103"/>
      <c r="M1893" s="103"/>
      <c r="N1893" s="103"/>
      <c r="O1893" s="103"/>
      <c r="P1893" s="98"/>
      <c r="Q1893" s="99"/>
      <c r="R1893" s="104">
        <f t="shared" si="92"/>
        <v>0</v>
      </c>
      <c r="S1893" s="104">
        <f t="shared" si="91"/>
        <v>0</v>
      </c>
      <c r="T1893" s="104">
        <f t="shared" si="93"/>
        <v>0</v>
      </c>
    </row>
    <row r="1894" spans="1:20">
      <c r="A1894" s="101"/>
      <c r="B1894" s="101"/>
      <c r="C1894" s="101"/>
      <c r="D1894" s="101"/>
      <c r="E1894" s="101"/>
      <c r="F1894" s="102"/>
      <c r="G1894" s="101"/>
      <c r="H1894" s="102"/>
      <c r="I1894" s="101"/>
      <c r="J1894" s="101"/>
      <c r="K1894" s="103"/>
      <c r="L1894" s="103"/>
      <c r="M1894" s="103"/>
      <c r="N1894" s="103"/>
      <c r="O1894" s="103"/>
      <c r="P1894" s="98"/>
      <c r="Q1894" s="99"/>
      <c r="R1894" s="105">
        <f t="shared" si="92"/>
        <v>0</v>
      </c>
      <c r="S1894" s="108">
        <f t="shared" si="91"/>
        <v>0</v>
      </c>
      <c r="T1894" s="105">
        <f t="shared" si="93"/>
        <v>0</v>
      </c>
    </row>
    <row r="1895" spans="1:20">
      <c r="A1895" s="101"/>
      <c r="B1895" s="101"/>
      <c r="C1895" s="101"/>
      <c r="D1895" s="101"/>
      <c r="E1895" s="101"/>
      <c r="F1895" s="102"/>
      <c r="G1895" s="101"/>
      <c r="H1895" s="102"/>
      <c r="I1895" s="101"/>
      <c r="J1895" s="101"/>
      <c r="K1895" s="103"/>
      <c r="L1895" s="103"/>
      <c r="M1895" s="103"/>
      <c r="N1895" s="103"/>
      <c r="O1895" s="103"/>
      <c r="P1895" s="98"/>
      <c r="Q1895" s="99"/>
      <c r="R1895" s="104">
        <f t="shared" si="92"/>
        <v>0</v>
      </c>
      <c r="S1895" s="104">
        <f t="shared" si="91"/>
        <v>0</v>
      </c>
      <c r="T1895" s="104">
        <f t="shared" si="93"/>
        <v>0</v>
      </c>
    </row>
    <row r="1896" spans="1:20">
      <c r="A1896" s="101"/>
      <c r="B1896" s="101"/>
      <c r="C1896" s="101"/>
      <c r="D1896" s="101"/>
      <c r="E1896" s="101"/>
      <c r="F1896" s="102"/>
      <c r="G1896" s="101"/>
      <c r="H1896" s="102"/>
      <c r="I1896" s="101"/>
      <c r="J1896" s="101"/>
      <c r="K1896" s="103"/>
      <c r="L1896" s="103"/>
      <c r="M1896" s="103"/>
      <c r="N1896" s="103"/>
      <c r="O1896" s="103"/>
      <c r="P1896" s="98"/>
      <c r="Q1896" s="99"/>
      <c r="R1896" s="105">
        <f t="shared" si="92"/>
        <v>0</v>
      </c>
      <c r="S1896" s="108">
        <f t="shared" si="91"/>
        <v>0</v>
      </c>
      <c r="T1896" s="105">
        <f t="shared" si="93"/>
        <v>0</v>
      </c>
    </row>
    <row r="1897" spans="1:20">
      <c r="A1897" s="101"/>
      <c r="B1897" s="101"/>
      <c r="C1897" s="101"/>
      <c r="D1897" s="101"/>
      <c r="E1897" s="101"/>
      <c r="F1897" s="102"/>
      <c r="G1897" s="101"/>
      <c r="H1897" s="102"/>
      <c r="I1897" s="101"/>
      <c r="J1897" s="101"/>
      <c r="K1897" s="103"/>
      <c r="L1897" s="103"/>
      <c r="M1897" s="103"/>
      <c r="N1897" s="103"/>
      <c r="O1897" s="103"/>
      <c r="P1897" s="98"/>
      <c r="Q1897" s="99"/>
      <c r="R1897" s="104">
        <f t="shared" si="92"/>
        <v>0</v>
      </c>
      <c r="S1897" s="104">
        <f t="shared" si="91"/>
        <v>0</v>
      </c>
      <c r="T1897" s="104">
        <f t="shared" si="93"/>
        <v>0</v>
      </c>
    </row>
    <row r="1898" spans="1:20">
      <c r="A1898" s="101"/>
      <c r="B1898" s="101"/>
      <c r="C1898" s="101"/>
      <c r="D1898" s="101"/>
      <c r="E1898" s="101"/>
      <c r="F1898" s="102"/>
      <c r="G1898" s="101"/>
      <c r="H1898" s="102"/>
      <c r="I1898" s="101"/>
      <c r="J1898" s="101"/>
      <c r="K1898" s="103"/>
      <c r="L1898" s="103"/>
      <c r="M1898" s="103"/>
      <c r="N1898" s="103"/>
      <c r="O1898" s="103"/>
      <c r="P1898" s="98"/>
      <c r="Q1898" s="99"/>
      <c r="R1898" s="105">
        <f t="shared" si="92"/>
        <v>0</v>
      </c>
      <c r="S1898" s="108">
        <f t="shared" si="91"/>
        <v>0</v>
      </c>
      <c r="T1898" s="105">
        <f t="shared" si="93"/>
        <v>0</v>
      </c>
    </row>
    <row r="1899" spans="1:20">
      <c r="A1899" s="101"/>
      <c r="B1899" s="101"/>
      <c r="C1899" s="101"/>
      <c r="D1899" s="101"/>
      <c r="E1899" s="101"/>
      <c r="F1899" s="102"/>
      <c r="G1899" s="101"/>
      <c r="H1899" s="102"/>
      <c r="I1899" s="101"/>
      <c r="J1899" s="101"/>
      <c r="K1899" s="103"/>
      <c r="L1899" s="103"/>
      <c r="M1899" s="103"/>
      <c r="N1899" s="103"/>
      <c r="O1899" s="103"/>
      <c r="P1899" s="98"/>
      <c r="Q1899" s="99"/>
      <c r="R1899" s="104">
        <f t="shared" si="92"/>
        <v>0</v>
      </c>
      <c r="S1899" s="104">
        <f t="shared" si="91"/>
        <v>0</v>
      </c>
      <c r="T1899" s="104">
        <f t="shared" si="93"/>
        <v>0</v>
      </c>
    </row>
    <row r="1900" spans="1:20">
      <c r="A1900" s="101"/>
      <c r="B1900" s="101"/>
      <c r="C1900" s="101"/>
      <c r="D1900" s="101"/>
      <c r="E1900" s="101"/>
      <c r="F1900" s="102"/>
      <c r="G1900" s="101"/>
      <c r="H1900" s="102"/>
      <c r="I1900" s="101"/>
      <c r="J1900" s="101"/>
      <c r="K1900" s="103"/>
      <c r="L1900" s="103"/>
      <c r="M1900" s="103"/>
      <c r="N1900" s="103"/>
      <c r="O1900" s="103"/>
      <c r="P1900" s="98"/>
      <c r="Q1900" s="99"/>
      <c r="R1900" s="105">
        <f t="shared" si="92"/>
        <v>0</v>
      </c>
      <c r="S1900" s="108">
        <f t="shared" si="91"/>
        <v>0</v>
      </c>
      <c r="T1900" s="105">
        <f t="shared" si="93"/>
        <v>0</v>
      </c>
    </row>
    <row r="1901" spans="1:20">
      <c r="A1901" s="101"/>
      <c r="B1901" s="101"/>
      <c r="C1901" s="101"/>
      <c r="D1901" s="101"/>
      <c r="E1901" s="101"/>
      <c r="F1901" s="102"/>
      <c r="G1901" s="101"/>
      <c r="H1901" s="102"/>
      <c r="I1901" s="101"/>
      <c r="J1901" s="101"/>
      <c r="K1901" s="103"/>
      <c r="L1901" s="103"/>
      <c r="M1901" s="103"/>
      <c r="N1901" s="103"/>
      <c r="O1901" s="103"/>
      <c r="P1901" s="98"/>
      <c r="Q1901" s="99"/>
      <c r="R1901" s="104">
        <f t="shared" si="92"/>
        <v>0</v>
      </c>
      <c r="S1901" s="104">
        <f t="shared" si="91"/>
        <v>0</v>
      </c>
      <c r="T1901" s="104">
        <f t="shared" si="93"/>
        <v>0</v>
      </c>
    </row>
    <row r="1902" spans="1:20">
      <c r="A1902" s="101"/>
      <c r="B1902" s="101"/>
      <c r="C1902" s="101"/>
      <c r="D1902" s="101"/>
      <c r="E1902" s="101"/>
      <c r="F1902" s="102"/>
      <c r="G1902" s="101"/>
      <c r="H1902" s="102"/>
      <c r="I1902" s="101"/>
      <c r="J1902" s="101"/>
      <c r="K1902" s="103"/>
      <c r="L1902" s="103"/>
      <c r="M1902" s="103"/>
      <c r="N1902" s="103"/>
      <c r="O1902" s="103"/>
      <c r="P1902" s="98"/>
      <c r="Q1902" s="99"/>
      <c r="R1902" s="105">
        <f t="shared" si="92"/>
        <v>0</v>
      </c>
      <c r="S1902" s="108">
        <f t="shared" si="91"/>
        <v>0</v>
      </c>
      <c r="T1902" s="105">
        <f t="shared" si="93"/>
        <v>0</v>
      </c>
    </row>
    <row r="1903" spans="1:20">
      <c r="A1903" s="101"/>
      <c r="B1903" s="101"/>
      <c r="C1903" s="101"/>
      <c r="D1903" s="101"/>
      <c r="E1903" s="101"/>
      <c r="F1903" s="102"/>
      <c r="G1903" s="101"/>
      <c r="H1903" s="102"/>
      <c r="I1903" s="101"/>
      <c r="J1903" s="101"/>
      <c r="K1903" s="103"/>
      <c r="L1903" s="103"/>
      <c r="M1903" s="103"/>
      <c r="N1903" s="103"/>
      <c r="O1903" s="103"/>
      <c r="P1903" s="98"/>
      <c r="Q1903" s="99"/>
      <c r="R1903" s="104">
        <f t="shared" si="92"/>
        <v>0</v>
      </c>
      <c r="S1903" s="104">
        <f t="shared" si="91"/>
        <v>0</v>
      </c>
      <c r="T1903" s="104">
        <f t="shared" si="93"/>
        <v>0</v>
      </c>
    </row>
    <row r="1904" spans="1:20">
      <c r="A1904" s="101"/>
      <c r="B1904" s="101"/>
      <c r="C1904" s="101"/>
      <c r="D1904" s="101"/>
      <c r="E1904" s="101"/>
      <c r="F1904" s="102"/>
      <c r="G1904" s="101"/>
      <c r="H1904" s="102"/>
      <c r="I1904" s="101"/>
      <c r="J1904" s="101"/>
      <c r="K1904" s="103"/>
      <c r="L1904" s="103"/>
      <c r="M1904" s="103"/>
      <c r="N1904" s="103"/>
      <c r="O1904" s="103"/>
      <c r="P1904" s="98"/>
      <c r="Q1904" s="99"/>
      <c r="R1904" s="105">
        <f t="shared" si="92"/>
        <v>0</v>
      </c>
      <c r="S1904" s="108">
        <f t="shared" si="91"/>
        <v>0</v>
      </c>
      <c r="T1904" s="105">
        <f t="shared" si="93"/>
        <v>0</v>
      </c>
    </row>
    <row r="1905" spans="1:20">
      <c r="A1905" s="101"/>
      <c r="B1905" s="101"/>
      <c r="C1905" s="101"/>
      <c r="D1905" s="101"/>
      <c r="E1905" s="101"/>
      <c r="F1905" s="102"/>
      <c r="G1905" s="101"/>
      <c r="H1905" s="102"/>
      <c r="I1905" s="101"/>
      <c r="J1905" s="101"/>
      <c r="K1905" s="103"/>
      <c r="L1905" s="103"/>
      <c r="M1905" s="103"/>
      <c r="N1905" s="103"/>
      <c r="O1905" s="103"/>
      <c r="P1905" s="98"/>
      <c r="Q1905" s="99"/>
      <c r="R1905" s="104">
        <f t="shared" si="92"/>
        <v>0</v>
      </c>
      <c r="S1905" s="104">
        <f t="shared" si="91"/>
        <v>0</v>
      </c>
      <c r="T1905" s="104">
        <f t="shared" si="93"/>
        <v>0</v>
      </c>
    </row>
    <row r="1906" spans="1:20">
      <c r="A1906" s="101"/>
      <c r="B1906" s="101"/>
      <c r="C1906" s="101"/>
      <c r="D1906" s="101"/>
      <c r="E1906" s="101"/>
      <c r="F1906" s="102"/>
      <c r="G1906" s="101"/>
      <c r="H1906" s="102"/>
      <c r="I1906" s="101"/>
      <c r="J1906" s="101"/>
      <c r="K1906" s="103"/>
      <c r="L1906" s="103"/>
      <c r="M1906" s="103"/>
      <c r="N1906" s="103"/>
      <c r="O1906" s="103"/>
      <c r="P1906" s="98"/>
      <c r="Q1906" s="99"/>
      <c r="R1906" s="105">
        <f t="shared" si="92"/>
        <v>0</v>
      </c>
      <c r="S1906" s="108">
        <f t="shared" si="91"/>
        <v>0</v>
      </c>
      <c r="T1906" s="105">
        <f t="shared" si="93"/>
        <v>0</v>
      </c>
    </row>
    <row r="1907" spans="1:20">
      <c r="A1907" s="101"/>
      <c r="B1907" s="101"/>
      <c r="C1907" s="101"/>
      <c r="D1907" s="101"/>
      <c r="E1907" s="101"/>
      <c r="F1907" s="102"/>
      <c r="G1907" s="101"/>
      <c r="H1907" s="102"/>
      <c r="I1907" s="101"/>
      <c r="J1907" s="101"/>
      <c r="K1907" s="103"/>
      <c r="L1907" s="103"/>
      <c r="M1907" s="103"/>
      <c r="N1907" s="103"/>
      <c r="O1907" s="103"/>
      <c r="P1907" s="98"/>
      <c r="Q1907" s="99"/>
      <c r="R1907" s="104">
        <f t="shared" si="92"/>
        <v>0</v>
      </c>
      <c r="S1907" s="104">
        <f t="shared" si="91"/>
        <v>0</v>
      </c>
      <c r="T1907" s="104">
        <f t="shared" si="93"/>
        <v>0</v>
      </c>
    </row>
    <row r="1908" spans="1:20">
      <c r="A1908" s="101"/>
      <c r="B1908" s="101"/>
      <c r="C1908" s="101"/>
      <c r="D1908" s="101"/>
      <c r="E1908" s="101"/>
      <c r="F1908" s="102"/>
      <c r="G1908" s="101"/>
      <c r="H1908" s="102"/>
      <c r="I1908" s="101"/>
      <c r="J1908" s="101"/>
      <c r="K1908" s="103"/>
      <c r="L1908" s="103"/>
      <c r="M1908" s="103"/>
      <c r="N1908" s="103"/>
      <c r="O1908" s="103"/>
      <c r="P1908" s="98"/>
      <c r="Q1908" s="99"/>
      <c r="R1908" s="105">
        <f t="shared" si="92"/>
        <v>0</v>
      </c>
      <c r="S1908" s="108">
        <f t="shared" si="91"/>
        <v>0</v>
      </c>
      <c r="T1908" s="105">
        <f t="shared" si="93"/>
        <v>0</v>
      </c>
    </row>
    <row r="1909" spans="1:20">
      <c r="A1909" s="101"/>
      <c r="B1909" s="101"/>
      <c r="C1909" s="101"/>
      <c r="D1909" s="101"/>
      <c r="E1909" s="101"/>
      <c r="F1909" s="102"/>
      <c r="G1909" s="101"/>
      <c r="H1909" s="102"/>
      <c r="I1909" s="101"/>
      <c r="J1909" s="101"/>
      <c r="K1909" s="103"/>
      <c r="L1909" s="103"/>
      <c r="M1909" s="103"/>
      <c r="N1909" s="103"/>
      <c r="O1909" s="103"/>
      <c r="P1909" s="98"/>
      <c r="Q1909" s="99"/>
      <c r="R1909" s="104">
        <f t="shared" si="92"/>
        <v>0</v>
      </c>
      <c r="S1909" s="104">
        <f t="shared" si="91"/>
        <v>0</v>
      </c>
      <c r="T1909" s="104">
        <f t="shared" si="93"/>
        <v>0</v>
      </c>
    </row>
    <row r="1910" spans="1:20">
      <c r="A1910" s="101"/>
      <c r="B1910" s="101"/>
      <c r="C1910" s="101"/>
      <c r="D1910" s="101"/>
      <c r="E1910" s="101"/>
      <c r="F1910" s="102"/>
      <c r="G1910" s="101"/>
      <c r="H1910" s="102"/>
      <c r="I1910" s="101"/>
      <c r="J1910" s="101"/>
      <c r="K1910" s="103"/>
      <c r="L1910" s="103"/>
      <c r="M1910" s="103"/>
      <c r="N1910" s="103"/>
      <c r="O1910" s="103"/>
      <c r="P1910" s="98"/>
      <c r="Q1910" s="99"/>
      <c r="R1910" s="105">
        <f t="shared" si="92"/>
        <v>0</v>
      </c>
      <c r="S1910" s="108">
        <f t="shared" si="91"/>
        <v>0</v>
      </c>
      <c r="T1910" s="105">
        <f t="shared" si="93"/>
        <v>0</v>
      </c>
    </row>
    <row r="1911" spans="1:20">
      <c r="A1911" s="101"/>
      <c r="B1911" s="101"/>
      <c r="C1911" s="101"/>
      <c r="D1911" s="101"/>
      <c r="E1911" s="101"/>
      <c r="F1911" s="102"/>
      <c r="G1911" s="101"/>
      <c r="H1911" s="102"/>
      <c r="I1911" s="101"/>
      <c r="J1911" s="101"/>
      <c r="K1911" s="103"/>
      <c r="L1911" s="103"/>
      <c r="M1911" s="103"/>
      <c r="N1911" s="103"/>
      <c r="O1911" s="103"/>
      <c r="P1911" s="98"/>
      <c r="Q1911" s="99"/>
      <c r="R1911" s="104">
        <f t="shared" si="92"/>
        <v>0</v>
      </c>
      <c r="S1911" s="104">
        <f t="shared" si="91"/>
        <v>0</v>
      </c>
      <c r="T1911" s="104">
        <f t="shared" si="93"/>
        <v>0</v>
      </c>
    </row>
    <row r="1912" spans="1:20">
      <c r="A1912" s="101"/>
      <c r="B1912" s="101"/>
      <c r="C1912" s="101"/>
      <c r="D1912" s="101"/>
      <c r="E1912" s="101"/>
      <c r="F1912" s="102"/>
      <c r="G1912" s="101"/>
      <c r="H1912" s="102"/>
      <c r="I1912" s="101"/>
      <c r="J1912" s="101"/>
      <c r="K1912" s="103"/>
      <c r="L1912" s="103"/>
      <c r="M1912" s="103"/>
      <c r="N1912" s="103"/>
      <c r="O1912" s="103"/>
      <c r="P1912" s="98"/>
      <c r="Q1912" s="99"/>
      <c r="R1912" s="105">
        <f t="shared" si="92"/>
        <v>0</v>
      </c>
      <c r="S1912" s="108">
        <f t="shared" si="91"/>
        <v>0</v>
      </c>
      <c r="T1912" s="105">
        <f t="shared" si="93"/>
        <v>0</v>
      </c>
    </row>
    <row r="1913" spans="1:20">
      <c r="A1913" s="101"/>
      <c r="B1913" s="101"/>
      <c r="C1913" s="101"/>
      <c r="D1913" s="101"/>
      <c r="E1913" s="101"/>
      <c r="F1913" s="102"/>
      <c r="G1913" s="101"/>
      <c r="H1913" s="102"/>
      <c r="I1913" s="101"/>
      <c r="J1913" s="101"/>
      <c r="K1913" s="103"/>
      <c r="L1913" s="103"/>
      <c r="M1913" s="103"/>
      <c r="N1913" s="103"/>
      <c r="O1913" s="103"/>
      <c r="P1913" s="98"/>
      <c r="Q1913" s="99"/>
      <c r="R1913" s="104">
        <f t="shared" si="92"/>
        <v>0</v>
      </c>
      <c r="S1913" s="104">
        <f t="shared" si="91"/>
        <v>0</v>
      </c>
      <c r="T1913" s="104">
        <f t="shared" si="93"/>
        <v>0</v>
      </c>
    </row>
    <row r="1914" spans="1:20">
      <c r="A1914" s="101"/>
      <c r="B1914" s="101"/>
      <c r="C1914" s="101"/>
      <c r="D1914" s="101"/>
      <c r="E1914" s="101"/>
      <c r="F1914" s="102"/>
      <c r="G1914" s="101"/>
      <c r="H1914" s="102"/>
      <c r="I1914" s="101"/>
      <c r="J1914" s="101"/>
      <c r="K1914" s="103"/>
      <c r="L1914" s="103"/>
      <c r="M1914" s="103"/>
      <c r="N1914" s="103"/>
      <c r="O1914" s="103"/>
      <c r="P1914" s="98"/>
      <c r="Q1914" s="99"/>
      <c r="R1914" s="105">
        <f t="shared" si="92"/>
        <v>0</v>
      </c>
      <c r="S1914" s="108">
        <f t="shared" si="91"/>
        <v>0</v>
      </c>
      <c r="T1914" s="105">
        <f t="shared" si="93"/>
        <v>0</v>
      </c>
    </row>
    <row r="1915" spans="1:20">
      <c r="A1915" s="101"/>
      <c r="B1915" s="101"/>
      <c r="C1915" s="101"/>
      <c r="D1915" s="101"/>
      <c r="E1915" s="101"/>
      <c r="F1915" s="102"/>
      <c r="G1915" s="101"/>
      <c r="H1915" s="102"/>
      <c r="I1915" s="101"/>
      <c r="J1915" s="101"/>
      <c r="K1915" s="103"/>
      <c r="L1915" s="103"/>
      <c r="M1915" s="103"/>
      <c r="N1915" s="103"/>
      <c r="O1915" s="103"/>
      <c r="P1915" s="98"/>
      <c r="Q1915" s="99"/>
      <c r="R1915" s="104">
        <f t="shared" si="92"/>
        <v>0</v>
      </c>
      <c r="S1915" s="104">
        <f t="shared" si="91"/>
        <v>0</v>
      </c>
      <c r="T1915" s="104">
        <f t="shared" si="93"/>
        <v>0</v>
      </c>
    </row>
    <row r="1916" spans="1:20">
      <c r="A1916" s="101"/>
      <c r="B1916" s="101"/>
      <c r="C1916" s="101"/>
      <c r="D1916" s="101"/>
      <c r="E1916" s="101"/>
      <c r="F1916" s="102"/>
      <c r="G1916" s="101"/>
      <c r="H1916" s="102"/>
      <c r="I1916" s="101"/>
      <c r="J1916" s="101"/>
      <c r="K1916" s="103"/>
      <c r="L1916" s="103"/>
      <c r="M1916" s="103"/>
      <c r="N1916" s="103"/>
      <c r="O1916" s="103"/>
      <c r="P1916" s="98"/>
      <c r="Q1916" s="99"/>
      <c r="R1916" s="105">
        <f t="shared" si="92"/>
        <v>0</v>
      </c>
      <c r="S1916" s="108">
        <f t="shared" si="91"/>
        <v>0</v>
      </c>
      <c r="T1916" s="105">
        <f t="shared" si="93"/>
        <v>0</v>
      </c>
    </row>
    <row r="1917" spans="1:20">
      <c r="A1917" s="101"/>
      <c r="B1917" s="101"/>
      <c r="C1917" s="101"/>
      <c r="D1917" s="101"/>
      <c r="E1917" s="101"/>
      <c r="F1917" s="102"/>
      <c r="G1917" s="101"/>
      <c r="H1917" s="102"/>
      <c r="I1917" s="101"/>
      <c r="J1917" s="101"/>
      <c r="K1917" s="103"/>
      <c r="L1917" s="103"/>
      <c r="M1917" s="103"/>
      <c r="N1917" s="103"/>
      <c r="O1917" s="103"/>
      <c r="P1917" s="98"/>
      <c r="Q1917" s="99"/>
      <c r="R1917" s="104">
        <f t="shared" si="92"/>
        <v>0</v>
      </c>
      <c r="S1917" s="104">
        <f t="shared" si="91"/>
        <v>0</v>
      </c>
      <c r="T1917" s="104">
        <f t="shared" si="93"/>
        <v>0</v>
      </c>
    </row>
    <row r="1918" spans="1:20">
      <c r="A1918" s="101"/>
      <c r="B1918" s="101"/>
      <c r="C1918" s="101"/>
      <c r="D1918" s="101"/>
      <c r="E1918" s="101"/>
      <c r="F1918" s="102"/>
      <c r="G1918" s="101"/>
      <c r="H1918" s="102"/>
      <c r="I1918" s="101"/>
      <c r="J1918" s="101"/>
      <c r="K1918" s="103"/>
      <c r="L1918" s="103"/>
      <c r="M1918" s="103"/>
      <c r="N1918" s="103"/>
      <c r="O1918" s="103"/>
      <c r="P1918" s="98"/>
      <c r="Q1918" s="99"/>
      <c r="R1918" s="105">
        <f t="shared" si="92"/>
        <v>0</v>
      </c>
      <c r="S1918" s="108">
        <f t="shared" si="91"/>
        <v>0</v>
      </c>
      <c r="T1918" s="105">
        <f t="shared" si="93"/>
        <v>0</v>
      </c>
    </row>
    <row r="1919" spans="1:20">
      <c r="A1919" s="101"/>
      <c r="B1919" s="101"/>
      <c r="C1919" s="101"/>
      <c r="D1919" s="101"/>
      <c r="E1919" s="101"/>
      <c r="F1919" s="102"/>
      <c r="G1919" s="101"/>
      <c r="H1919" s="102"/>
      <c r="I1919" s="101"/>
      <c r="J1919" s="101"/>
      <c r="K1919" s="103"/>
      <c r="L1919" s="103"/>
      <c r="M1919" s="103"/>
      <c r="N1919" s="103"/>
      <c r="O1919" s="103"/>
      <c r="P1919" s="98"/>
      <c r="Q1919" s="99"/>
      <c r="R1919" s="104">
        <f t="shared" si="92"/>
        <v>0</v>
      </c>
      <c r="S1919" s="104">
        <f t="shared" si="91"/>
        <v>0</v>
      </c>
      <c r="T1919" s="104">
        <f t="shared" si="93"/>
        <v>0</v>
      </c>
    </row>
    <row r="1920" spans="1:20">
      <c r="A1920" s="101"/>
      <c r="B1920" s="101"/>
      <c r="C1920" s="101"/>
      <c r="D1920" s="101"/>
      <c r="E1920" s="101"/>
      <c r="F1920" s="102"/>
      <c r="G1920" s="101"/>
      <c r="H1920" s="102"/>
      <c r="I1920" s="101"/>
      <c r="J1920" s="101"/>
      <c r="K1920" s="103"/>
      <c r="L1920" s="103"/>
      <c r="M1920" s="103"/>
      <c r="N1920" s="103"/>
      <c r="O1920" s="103"/>
      <c r="P1920" s="98"/>
      <c r="Q1920" s="99"/>
      <c r="R1920" s="105">
        <f t="shared" si="92"/>
        <v>0</v>
      </c>
      <c r="S1920" s="108">
        <f t="shared" si="91"/>
        <v>0</v>
      </c>
      <c r="T1920" s="105">
        <f t="shared" si="93"/>
        <v>0</v>
      </c>
    </row>
    <row r="1921" spans="1:20">
      <c r="A1921" s="101"/>
      <c r="B1921" s="101"/>
      <c r="C1921" s="101"/>
      <c r="D1921" s="101"/>
      <c r="E1921" s="101"/>
      <c r="F1921" s="102"/>
      <c r="G1921" s="101"/>
      <c r="H1921" s="102"/>
      <c r="I1921" s="101"/>
      <c r="J1921" s="101"/>
      <c r="K1921" s="103"/>
      <c r="L1921" s="103"/>
      <c r="M1921" s="103"/>
      <c r="N1921" s="103"/>
      <c r="O1921" s="103"/>
      <c r="P1921" s="98"/>
      <c r="Q1921" s="99"/>
      <c r="R1921" s="104">
        <f t="shared" si="92"/>
        <v>0</v>
      </c>
      <c r="S1921" s="104">
        <f t="shared" si="91"/>
        <v>0</v>
      </c>
      <c r="T1921" s="104">
        <f t="shared" si="93"/>
        <v>0</v>
      </c>
    </row>
    <row r="1922" spans="1:20">
      <c r="A1922" s="101"/>
      <c r="B1922" s="101"/>
      <c r="C1922" s="101"/>
      <c r="D1922" s="101"/>
      <c r="E1922" s="101"/>
      <c r="F1922" s="102"/>
      <c r="G1922" s="101"/>
      <c r="H1922" s="102"/>
      <c r="I1922" s="101"/>
      <c r="J1922" s="101"/>
      <c r="K1922" s="103"/>
      <c r="L1922" s="103"/>
      <c r="M1922" s="103"/>
      <c r="N1922" s="103"/>
      <c r="O1922" s="103"/>
      <c r="P1922" s="98"/>
      <c r="Q1922" s="99"/>
      <c r="R1922" s="105">
        <f t="shared" si="92"/>
        <v>0</v>
      </c>
      <c r="S1922" s="108">
        <f t="shared" si="91"/>
        <v>0</v>
      </c>
      <c r="T1922" s="105">
        <f t="shared" si="93"/>
        <v>0</v>
      </c>
    </row>
    <row r="1923" spans="1:20">
      <c r="A1923" s="101"/>
      <c r="B1923" s="101"/>
      <c r="C1923" s="101"/>
      <c r="D1923" s="101"/>
      <c r="E1923" s="101"/>
      <c r="F1923" s="102"/>
      <c r="G1923" s="101"/>
      <c r="H1923" s="102"/>
      <c r="I1923" s="101"/>
      <c r="J1923" s="101"/>
      <c r="K1923" s="103"/>
      <c r="L1923" s="103"/>
      <c r="M1923" s="103"/>
      <c r="N1923" s="103"/>
      <c r="O1923" s="103"/>
      <c r="P1923" s="98"/>
      <c r="Q1923" s="99"/>
      <c r="R1923" s="104">
        <f t="shared" si="92"/>
        <v>0</v>
      </c>
      <c r="S1923" s="104">
        <f t="shared" si="91"/>
        <v>0</v>
      </c>
      <c r="T1923" s="104">
        <f t="shared" si="93"/>
        <v>0</v>
      </c>
    </row>
    <row r="1924" spans="1:20">
      <c r="A1924" s="101"/>
      <c r="B1924" s="101"/>
      <c r="C1924" s="101"/>
      <c r="D1924" s="101"/>
      <c r="E1924" s="101"/>
      <c r="F1924" s="102"/>
      <c r="G1924" s="101"/>
      <c r="H1924" s="102"/>
      <c r="I1924" s="101"/>
      <c r="J1924" s="101"/>
      <c r="K1924" s="103"/>
      <c r="L1924" s="103"/>
      <c r="M1924" s="103"/>
      <c r="N1924" s="103"/>
      <c r="O1924" s="103"/>
      <c r="P1924" s="98"/>
      <c r="Q1924" s="99"/>
      <c r="R1924" s="105">
        <f t="shared" si="92"/>
        <v>0</v>
      </c>
      <c r="S1924" s="108">
        <f t="shared" ref="S1924:S1987" si="94">IF(P1924="Abono",K1924+L1924+M1924-N1924-O1924,0)</f>
        <v>0</v>
      </c>
      <c r="T1924" s="105">
        <f t="shared" si="93"/>
        <v>0</v>
      </c>
    </row>
    <row r="1925" spans="1:20">
      <c r="A1925" s="101"/>
      <c r="B1925" s="101"/>
      <c r="C1925" s="101"/>
      <c r="D1925" s="101"/>
      <c r="E1925" s="101"/>
      <c r="F1925" s="102"/>
      <c r="G1925" s="101"/>
      <c r="H1925" s="102"/>
      <c r="I1925" s="101"/>
      <c r="J1925" s="101"/>
      <c r="K1925" s="103"/>
      <c r="L1925" s="103"/>
      <c r="M1925" s="103"/>
      <c r="N1925" s="103"/>
      <c r="O1925" s="103"/>
      <c r="P1925" s="98"/>
      <c r="Q1925" s="99"/>
      <c r="R1925" s="104">
        <f t="shared" ref="R1925:R1988" si="95">IF(P1925="Cargo",K1925+L1925-M1925-N1925+O1925,0)</f>
        <v>0</v>
      </c>
      <c r="S1925" s="104">
        <f t="shared" si="94"/>
        <v>0</v>
      </c>
      <c r="T1925" s="104">
        <f t="shared" ref="T1925:T1988" si="96">IF(Q1925="OK",+T1924+R1925-S1925,T1924)</f>
        <v>0</v>
      </c>
    </row>
    <row r="1926" spans="1:20">
      <c r="A1926" s="101"/>
      <c r="B1926" s="101"/>
      <c r="C1926" s="101"/>
      <c r="D1926" s="101"/>
      <c r="E1926" s="101"/>
      <c r="F1926" s="102"/>
      <c r="G1926" s="101"/>
      <c r="H1926" s="102"/>
      <c r="I1926" s="101"/>
      <c r="J1926" s="101"/>
      <c r="K1926" s="103"/>
      <c r="L1926" s="103"/>
      <c r="M1926" s="103"/>
      <c r="N1926" s="103"/>
      <c r="O1926" s="103"/>
      <c r="P1926" s="98"/>
      <c r="Q1926" s="99"/>
      <c r="R1926" s="105">
        <f t="shared" si="95"/>
        <v>0</v>
      </c>
      <c r="S1926" s="108">
        <f t="shared" si="94"/>
        <v>0</v>
      </c>
      <c r="T1926" s="105">
        <f t="shared" si="96"/>
        <v>0</v>
      </c>
    </row>
    <row r="1927" spans="1:20">
      <c r="A1927" s="101"/>
      <c r="B1927" s="101"/>
      <c r="C1927" s="101"/>
      <c r="D1927" s="101"/>
      <c r="E1927" s="101"/>
      <c r="F1927" s="102"/>
      <c r="G1927" s="101"/>
      <c r="H1927" s="102"/>
      <c r="I1927" s="101"/>
      <c r="J1927" s="101"/>
      <c r="K1927" s="103"/>
      <c r="L1927" s="103"/>
      <c r="M1927" s="103"/>
      <c r="N1927" s="103"/>
      <c r="O1927" s="103"/>
      <c r="P1927" s="98"/>
      <c r="Q1927" s="99"/>
      <c r="R1927" s="104">
        <f t="shared" si="95"/>
        <v>0</v>
      </c>
      <c r="S1927" s="104">
        <f t="shared" si="94"/>
        <v>0</v>
      </c>
      <c r="T1927" s="104">
        <f t="shared" si="96"/>
        <v>0</v>
      </c>
    </row>
    <row r="1928" spans="1:20">
      <c r="A1928" s="101"/>
      <c r="B1928" s="101"/>
      <c r="C1928" s="101"/>
      <c r="D1928" s="101"/>
      <c r="E1928" s="101"/>
      <c r="F1928" s="102"/>
      <c r="G1928" s="101"/>
      <c r="H1928" s="102"/>
      <c r="I1928" s="101"/>
      <c r="J1928" s="101"/>
      <c r="K1928" s="103"/>
      <c r="L1928" s="103"/>
      <c r="M1928" s="103"/>
      <c r="N1928" s="103"/>
      <c r="O1928" s="103"/>
      <c r="P1928" s="98"/>
      <c r="Q1928" s="99"/>
      <c r="R1928" s="105">
        <f t="shared" si="95"/>
        <v>0</v>
      </c>
      <c r="S1928" s="108">
        <f t="shared" si="94"/>
        <v>0</v>
      </c>
      <c r="T1928" s="105">
        <f t="shared" si="96"/>
        <v>0</v>
      </c>
    </row>
    <row r="1929" spans="1:20">
      <c r="A1929" s="101"/>
      <c r="B1929" s="101"/>
      <c r="C1929" s="101"/>
      <c r="D1929" s="101"/>
      <c r="E1929" s="101"/>
      <c r="F1929" s="102"/>
      <c r="G1929" s="101"/>
      <c r="H1929" s="102"/>
      <c r="I1929" s="101"/>
      <c r="J1929" s="101"/>
      <c r="K1929" s="103"/>
      <c r="L1929" s="103"/>
      <c r="M1929" s="103"/>
      <c r="N1929" s="103"/>
      <c r="O1929" s="103"/>
      <c r="P1929" s="98"/>
      <c r="Q1929" s="99"/>
      <c r="R1929" s="104">
        <f t="shared" si="95"/>
        <v>0</v>
      </c>
      <c r="S1929" s="104">
        <f t="shared" si="94"/>
        <v>0</v>
      </c>
      <c r="T1929" s="104">
        <f t="shared" si="96"/>
        <v>0</v>
      </c>
    </row>
    <row r="1930" spans="1:20">
      <c r="A1930" s="101"/>
      <c r="B1930" s="101"/>
      <c r="C1930" s="101"/>
      <c r="D1930" s="101"/>
      <c r="E1930" s="101"/>
      <c r="F1930" s="102"/>
      <c r="G1930" s="101"/>
      <c r="H1930" s="102"/>
      <c r="I1930" s="101"/>
      <c r="J1930" s="101"/>
      <c r="K1930" s="103"/>
      <c r="L1930" s="103"/>
      <c r="M1930" s="103"/>
      <c r="N1930" s="103"/>
      <c r="O1930" s="103"/>
      <c r="P1930" s="98"/>
      <c r="Q1930" s="99"/>
      <c r="R1930" s="105">
        <f t="shared" si="95"/>
        <v>0</v>
      </c>
      <c r="S1930" s="108">
        <f t="shared" si="94"/>
        <v>0</v>
      </c>
      <c r="T1930" s="105">
        <f t="shared" si="96"/>
        <v>0</v>
      </c>
    </row>
    <row r="1931" spans="1:20">
      <c r="A1931" s="101"/>
      <c r="B1931" s="101"/>
      <c r="C1931" s="101"/>
      <c r="D1931" s="101"/>
      <c r="E1931" s="101"/>
      <c r="F1931" s="102"/>
      <c r="G1931" s="101"/>
      <c r="H1931" s="102"/>
      <c r="I1931" s="101"/>
      <c r="J1931" s="101"/>
      <c r="K1931" s="103"/>
      <c r="L1931" s="103"/>
      <c r="M1931" s="103"/>
      <c r="N1931" s="103"/>
      <c r="O1931" s="103"/>
      <c r="P1931" s="98"/>
      <c r="Q1931" s="99"/>
      <c r="R1931" s="104">
        <f t="shared" si="95"/>
        <v>0</v>
      </c>
      <c r="S1931" s="104">
        <f t="shared" si="94"/>
        <v>0</v>
      </c>
      <c r="T1931" s="104">
        <f t="shared" si="96"/>
        <v>0</v>
      </c>
    </row>
    <row r="1932" spans="1:20">
      <c r="A1932" s="101"/>
      <c r="B1932" s="101"/>
      <c r="C1932" s="101"/>
      <c r="D1932" s="101"/>
      <c r="E1932" s="101"/>
      <c r="F1932" s="102"/>
      <c r="G1932" s="101"/>
      <c r="H1932" s="102"/>
      <c r="I1932" s="101"/>
      <c r="J1932" s="101"/>
      <c r="K1932" s="103"/>
      <c r="L1932" s="103"/>
      <c r="M1932" s="103"/>
      <c r="N1932" s="103"/>
      <c r="O1932" s="103"/>
      <c r="P1932" s="98"/>
      <c r="Q1932" s="99"/>
      <c r="R1932" s="105">
        <f t="shared" si="95"/>
        <v>0</v>
      </c>
      <c r="S1932" s="108">
        <f t="shared" si="94"/>
        <v>0</v>
      </c>
      <c r="T1932" s="105">
        <f t="shared" si="96"/>
        <v>0</v>
      </c>
    </row>
    <row r="1933" spans="1:20">
      <c r="A1933" s="101"/>
      <c r="B1933" s="101"/>
      <c r="C1933" s="101"/>
      <c r="D1933" s="101"/>
      <c r="E1933" s="101"/>
      <c r="F1933" s="102"/>
      <c r="G1933" s="101"/>
      <c r="H1933" s="102"/>
      <c r="I1933" s="101"/>
      <c r="J1933" s="101"/>
      <c r="K1933" s="103"/>
      <c r="L1933" s="103"/>
      <c r="M1933" s="103"/>
      <c r="N1933" s="103"/>
      <c r="O1933" s="103"/>
      <c r="P1933" s="98"/>
      <c r="Q1933" s="99"/>
      <c r="R1933" s="104">
        <f t="shared" si="95"/>
        <v>0</v>
      </c>
      <c r="S1933" s="104">
        <f t="shared" si="94"/>
        <v>0</v>
      </c>
      <c r="T1933" s="104">
        <f t="shared" si="96"/>
        <v>0</v>
      </c>
    </row>
    <row r="1934" spans="1:20">
      <c r="A1934" s="101"/>
      <c r="B1934" s="101"/>
      <c r="C1934" s="101"/>
      <c r="D1934" s="101"/>
      <c r="E1934" s="101"/>
      <c r="F1934" s="102"/>
      <c r="G1934" s="101"/>
      <c r="H1934" s="102"/>
      <c r="I1934" s="101"/>
      <c r="J1934" s="101"/>
      <c r="K1934" s="103"/>
      <c r="L1934" s="103"/>
      <c r="M1934" s="103"/>
      <c r="N1934" s="103"/>
      <c r="O1934" s="103"/>
      <c r="P1934" s="98"/>
      <c r="Q1934" s="99"/>
      <c r="R1934" s="105">
        <f t="shared" si="95"/>
        <v>0</v>
      </c>
      <c r="S1934" s="108">
        <f t="shared" si="94"/>
        <v>0</v>
      </c>
      <c r="T1934" s="105">
        <f t="shared" si="96"/>
        <v>0</v>
      </c>
    </row>
    <row r="1935" spans="1:20">
      <c r="A1935" s="101"/>
      <c r="B1935" s="101"/>
      <c r="C1935" s="101"/>
      <c r="D1935" s="101"/>
      <c r="E1935" s="101"/>
      <c r="F1935" s="102"/>
      <c r="G1935" s="101"/>
      <c r="H1935" s="102"/>
      <c r="I1935" s="101"/>
      <c r="J1935" s="101"/>
      <c r="K1935" s="103"/>
      <c r="L1935" s="103"/>
      <c r="M1935" s="103"/>
      <c r="N1935" s="103"/>
      <c r="O1935" s="103"/>
      <c r="P1935" s="98"/>
      <c r="Q1935" s="99"/>
      <c r="R1935" s="104">
        <f t="shared" si="95"/>
        <v>0</v>
      </c>
      <c r="S1935" s="104">
        <f t="shared" si="94"/>
        <v>0</v>
      </c>
      <c r="T1935" s="104">
        <f t="shared" si="96"/>
        <v>0</v>
      </c>
    </row>
    <row r="1936" spans="1:20">
      <c r="A1936" s="101"/>
      <c r="B1936" s="101"/>
      <c r="C1936" s="101"/>
      <c r="D1936" s="101"/>
      <c r="E1936" s="101"/>
      <c r="F1936" s="102"/>
      <c r="G1936" s="101"/>
      <c r="H1936" s="102"/>
      <c r="I1936" s="101"/>
      <c r="J1936" s="101"/>
      <c r="K1936" s="103"/>
      <c r="L1936" s="103"/>
      <c r="M1936" s="103"/>
      <c r="N1936" s="103"/>
      <c r="O1936" s="103"/>
      <c r="P1936" s="98"/>
      <c r="Q1936" s="99"/>
      <c r="R1936" s="105">
        <f t="shared" si="95"/>
        <v>0</v>
      </c>
      <c r="S1936" s="108">
        <f t="shared" si="94"/>
        <v>0</v>
      </c>
      <c r="T1936" s="105">
        <f t="shared" si="96"/>
        <v>0</v>
      </c>
    </row>
    <row r="1937" spans="1:20">
      <c r="A1937" s="101"/>
      <c r="B1937" s="101"/>
      <c r="C1937" s="101"/>
      <c r="D1937" s="101"/>
      <c r="E1937" s="101"/>
      <c r="F1937" s="102"/>
      <c r="G1937" s="101"/>
      <c r="H1937" s="102"/>
      <c r="I1937" s="101"/>
      <c r="J1937" s="101"/>
      <c r="K1937" s="103"/>
      <c r="L1937" s="103"/>
      <c r="M1937" s="103"/>
      <c r="N1937" s="103"/>
      <c r="O1937" s="103"/>
      <c r="P1937" s="98"/>
      <c r="Q1937" s="99"/>
      <c r="R1937" s="104">
        <f t="shared" si="95"/>
        <v>0</v>
      </c>
      <c r="S1937" s="104">
        <f t="shared" si="94"/>
        <v>0</v>
      </c>
      <c r="T1937" s="104">
        <f t="shared" si="96"/>
        <v>0</v>
      </c>
    </row>
    <row r="1938" spans="1:20">
      <c r="A1938" s="101"/>
      <c r="B1938" s="101"/>
      <c r="C1938" s="101"/>
      <c r="D1938" s="101"/>
      <c r="E1938" s="101"/>
      <c r="F1938" s="102"/>
      <c r="G1938" s="101"/>
      <c r="H1938" s="102"/>
      <c r="I1938" s="101"/>
      <c r="J1938" s="101"/>
      <c r="K1938" s="103"/>
      <c r="L1938" s="103"/>
      <c r="M1938" s="103"/>
      <c r="N1938" s="103"/>
      <c r="O1938" s="103"/>
      <c r="P1938" s="98"/>
      <c r="Q1938" s="99"/>
      <c r="R1938" s="105">
        <f t="shared" si="95"/>
        <v>0</v>
      </c>
      <c r="S1938" s="108">
        <f t="shared" si="94"/>
        <v>0</v>
      </c>
      <c r="T1938" s="105">
        <f t="shared" si="96"/>
        <v>0</v>
      </c>
    </row>
    <row r="1939" spans="1:20">
      <c r="A1939" s="101"/>
      <c r="B1939" s="101"/>
      <c r="C1939" s="101"/>
      <c r="D1939" s="101"/>
      <c r="E1939" s="101"/>
      <c r="F1939" s="102"/>
      <c r="G1939" s="101"/>
      <c r="H1939" s="102"/>
      <c r="I1939" s="101"/>
      <c r="J1939" s="101"/>
      <c r="K1939" s="103"/>
      <c r="L1939" s="103"/>
      <c r="M1939" s="103"/>
      <c r="N1939" s="103"/>
      <c r="O1939" s="103"/>
      <c r="P1939" s="98"/>
      <c r="Q1939" s="99"/>
      <c r="R1939" s="104">
        <f t="shared" si="95"/>
        <v>0</v>
      </c>
      <c r="S1939" s="104">
        <f t="shared" si="94"/>
        <v>0</v>
      </c>
      <c r="T1939" s="104">
        <f t="shared" si="96"/>
        <v>0</v>
      </c>
    </row>
    <row r="1940" spans="1:20">
      <c r="A1940" s="101"/>
      <c r="B1940" s="101"/>
      <c r="C1940" s="101"/>
      <c r="D1940" s="101"/>
      <c r="E1940" s="101"/>
      <c r="F1940" s="102"/>
      <c r="G1940" s="101"/>
      <c r="H1940" s="102"/>
      <c r="I1940" s="101"/>
      <c r="J1940" s="101"/>
      <c r="K1940" s="103"/>
      <c r="L1940" s="103"/>
      <c r="M1940" s="103"/>
      <c r="N1940" s="103"/>
      <c r="O1940" s="103"/>
      <c r="P1940" s="98"/>
      <c r="Q1940" s="99"/>
      <c r="R1940" s="105">
        <f t="shared" si="95"/>
        <v>0</v>
      </c>
      <c r="S1940" s="108">
        <f t="shared" si="94"/>
        <v>0</v>
      </c>
      <c r="T1940" s="105">
        <f t="shared" si="96"/>
        <v>0</v>
      </c>
    </row>
    <row r="1941" spans="1:20">
      <c r="A1941" s="101"/>
      <c r="B1941" s="101"/>
      <c r="C1941" s="101"/>
      <c r="D1941" s="101"/>
      <c r="E1941" s="101"/>
      <c r="F1941" s="102"/>
      <c r="G1941" s="101"/>
      <c r="H1941" s="102"/>
      <c r="I1941" s="101"/>
      <c r="J1941" s="101"/>
      <c r="K1941" s="103"/>
      <c r="L1941" s="103"/>
      <c r="M1941" s="103"/>
      <c r="N1941" s="103"/>
      <c r="O1941" s="103"/>
      <c r="P1941" s="98"/>
      <c r="Q1941" s="99"/>
      <c r="R1941" s="104">
        <f t="shared" si="95"/>
        <v>0</v>
      </c>
      <c r="S1941" s="104">
        <f t="shared" si="94"/>
        <v>0</v>
      </c>
      <c r="T1941" s="104">
        <f t="shared" si="96"/>
        <v>0</v>
      </c>
    </row>
    <row r="1942" spans="1:20">
      <c r="A1942" s="101"/>
      <c r="B1942" s="101"/>
      <c r="C1942" s="101"/>
      <c r="D1942" s="101"/>
      <c r="E1942" s="101"/>
      <c r="F1942" s="102"/>
      <c r="G1942" s="101"/>
      <c r="H1942" s="102"/>
      <c r="I1942" s="101"/>
      <c r="J1942" s="101"/>
      <c r="K1942" s="103"/>
      <c r="L1942" s="103"/>
      <c r="M1942" s="103"/>
      <c r="N1942" s="103"/>
      <c r="O1942" s="103"/>
      <c r="P1942" s="98"/>
      <c r="Q1942" s="99"/>
      <c r="R1942" s="105">
        <f t="shared" si="95"/>
        <v>0</v>
      </c>
      <c r="S1942" s="108">
        <f t="shared" si="94"/>
        <v>0</v>
      </c>
      <c r="T1942" s="105">
        <f t="shared" si="96"/>
        <v>0</v>
      </c>
    </row>
    <row r="1943" spans="1:20">
      <c r="A1943" s="101"/>
      <c r="B1943" s="101"/>
      <c r="C1943" s="101"/>
      <c r="D1943" s="101"/>
      <c r="E1943" s="101"/>
      <c r="F1943" s="102"/>
      <c r="G1943" s="101"/>
      <c r="H1943" s="102"/>
      <c r="I1943" s="101"/>
      <c r="J1943" s="101"/>
      <c r="K1943" s="103"/>
      <c r="L1943" s="103"/>
      <c r="M1943" s="103"/>
      <c r="N1943" s="103"/>
      <c r="O1943" s="103"/>
      <c r="P1943" s="98"/>
      <c r="Q1943" s="99"/>
      <c r="R1943" s="104">
        <f t="shared" si="95"/>
        <v>0</v>
      </c>
      <c r="S1943" s="104">
        <f t="shared" si="94"/>
        <v>0</v>
      </c>
      <c r="T1943" s="104">
        <f t="shared" si="96"/>
        <v>0</v>
      </c>
    </row>
    <row r="1944" spans="1:20">
      <c r="A1944" s="101"/>
      <c r="B1944" s="101"/>
      <c r="C1944" s="101"/>
      <c r="D1944" s="101"/>
      <c r="E1944" s="101"/>
      <c r="F1944" s="102"/>
      <c r="G1944" s="101"/>
      <c r="H1944" s="102"/>
      <c r="I1944" s="101"/>
      <c r="J1944" s="101"/>
      <c r="K1944" s="103"/>
      <c r="L1944" s="103"/>
      <c r="M1944" s="103"/>
      <c r="N1944" s="103"/>
      <c r="O1944" s="103"/>
      <c r="P1944" s="98"/>
      <c r="Q1944" s="99"/>
      <c r="R1944" s="105">
        <f t="shared" si="95"/>
        <v>0</v>
      </c>
      <c r="S1944" s="108">
        <f t="shared" si="94"/>
        <v>0</v>
      </c>
      <c r="T1944" s="105">
        <f t="shared" si="96"/>
        <v>0</v>
      </c>
    </row>
    <row r="1945" spans="1:20">
      <c r="A1945" s="101"/>
      <c r="B1945" s="101"/>
      <c r="C1945" s="101"/>
      <c r="D1945" s="101"/>
      <c r="E1945" s="101"/>
      <c r="F1945" s="102"/>
      <c r="G1945" s="101"/>
      <c r="H1945" s="102"/>
      <c r="I1945" s="101"/>
      <c r="J1945" s="101"/>
      <c r="K1945" s="103"/>
      <c r="L1945" s="103"/>
      <c r="M1945" s="103"/>
      <c r="N1945" s="103"/>
      <c r="O1945" s="103"/>
      <c r="P1945" s="98"/>
      <c r="Q1945" s="99"/>
      <c r="R1945" s="104">
        <f t="shared" si="95"/>
        <v>0</v>
      </c>
      <c r="S1945" s="104">
        <f t="shared" si="94"/>
        <v>0</v>
      </c>
      <c r="T1945" s="104">
        <f t="shared" si="96"/>
        <v>0</v>
      </c>
    </row>
    <row r="1946" spans="1:20">
      <c r="A1946" s="101"/>
      <c r="B1946" s="101"/>
      <c r="C1946" s="101"/>
      <c r="D1946" s="101"/>
      <c r="E1946" s="101"/>
      <c r="F1946" s="102"/>
      <c r="G1946" s="101"/>
      <c r="H1946" s="102"/>
      <c r="I1946" s="101"/>
      <c r="J1946" s="101"/>
      <c r="K1946" s="103"/>
      <c r="L1946" s="103"/>
      <c r="M1946" s="103"/>
      <c r="N1946" s="103"/>
      <c r="O1946" s="103"/>
      <c r="P1946" s="98"/>
      <c r="Q1946" s="99"/>
      <c r="R1946" s="105">
        <f t="shared" si="95"/>
        <v>0</v>
      </c>
      <c r="S1946" s="108">
        <f t="shared" si="94"/>
        <v>0</v>
      </c>
      <c r="T1946" s="105">
        <f t="shared" si="96"/>
        <v>0</v>
      </c>
    </row>
    <row r="1947" spans="1:20">
      <c r="A1947" s="101"/>
      <c r="B1947" s="101"/>
      <c r="C1947" s="101"/>
      <c r="D1947" s="101"/>
      <c r="E1947" s="101"/>
      <c r="F1947" s="102"/>
      <c r="G1947" s="101"/>
      <c r="H1947" s="102"/>
      <c r="I1947" s="101"/>
      <c r="J1947" s="101"/>
      <c r="K1947" s="103"/>
      <c r="L1947" s="103"/>
      <c r="M1947" s="103"/>
      <c r="N1947" s="103"/>
      <c r="O1947" s="103"/>
      <c r="P1947" s="98"/>
      <c r="Q1947" s="99"/>
      <c r="R1947" s="104">
        <f t="shared" si="95"/>
        <v>0</v>
      </c>
      <c r="S1947" s="104">
        <f t="shared" si="94"/>
        <v>0</v>
      </c>
      <c r="T1947" s="104">
        <f t="shared" si="96"/>
        <v>0</v>
      </c>
    </row>
    <row r="1948" spans="1:20">
      <c r="A1948" s="101"/>
      <c r="B1948" s="101"/>
      <c r="C1948" s="101"/>
      <c r="D1948" s="101"/>
      <c r="E1948" s="101"/>
      <c r="F1948" s="102"/>
      <c r="G1948" s="101"/>
      <c r="H1948" s="102"/>
      <c r="I1948" s="101"/>
      <c r="J1948" s="101"/>
      <c r="K1948" s="103"/>
      <c r="L1948" s="103"/>
      <c r="M1948" s="103"/>
      <c r="N1948" s="103"/>
      <c r="O1948" s="103"/>
      <c r="P1948" s="98"/>
      <c r="Q1948" s="99"/>
      <c r="R1948" s="105">
        <f t="shared" si="95"/>
        <v>0</v>
      </c>
      <c r="S1948" s="108">
        <f t="shared" si="94"/>
        <v>0</v>
      </c>
      <c r="T1948" s="105">
        <f t="shared" si="96"/>
        <v>0</v>
      </c>
    </row>
    <row r="1949" spans="1:20">
      <c r="A1949" s="101"/>
      <c r="B1949" s="101"/>
      <c r="C1949" s="101"/>
      <c r="D1949" s="101"/>
      <c r="E1949" s="101"/>
      <c r="F1949" s="102"/>
      <c r="G1949" s="101"/>
      <c r="H1949" s="102"/>
      <c r="I1949" s="101"/>
      <c r="J1949" s="101"/>
      <c r="K1949" s="103"/>
      <c r="L1949" s="103"/>
      <c r="M1949" s="103"/>
      <c r="N1949" s="103"/>
      <c r="O1949" s="103"/>
      <c r="P1949" s="98"/>
      <c r="Q1949" s="99"/>
      <c r="R1949" s="104">
        <f t="shared" si="95"/>
        <v>0</v>
      </c>
      <c r="S1949" s="104">
        <f t="shared" si="94"/>
        <v>0</v>
      </c>
      <c r="T1949" s="104">
        <f t="shared" si="96"/>
        <v>0</v>
      </c>
    </row>
    <row r="1950" spans="1:20">
      <c r="A1950" s="101"/>
      <c r="B1950" s="101"/>
      <c r="C1950" s="101"/>
      <c r="D1950" s="101"/>
      <c r="E1950" s="101"/>
      <c r="F1950" s="102"/>
      <c r="G1950" s="101"/>
      <c r="H1950" s="102"/>
      <c r="I1950" s="101"/>
      <c r="J1950" s="101"/>
      <c r="K1950" s="103"/>
      <c r="L1950" s="103"/>
      <c r="M1950" s="103"/>
      <c r="N1950" s="103"/>
      <c r="O1950" s="103"/>
      <c r="P1950" s="98"/>
      <c r="Q1950" s="99"/>
      <c r="R1950" s="105">
        <f t="shared" si="95"/>
        <v>0</v>
      </c>
      <c r="S1950" s="108">
        <f t="shared" si="94"/>
        <v>0</v>
      </c>
      <c r="T1950" s="105">
        <f t="shared" si="96"/>
        <v>0</v>
      </c>
    </row>
    <row r="1951" spans="1:20">
      <c r="A1951" s="101"/>
      <c r="B1951" s="101"/>
      <c r="C1951" s="101"/>
      <c r="D1951" s="101"/>
      <c r="E1951" s="101"/>
      <c r="F1951" s="102"/>
      <c r="G1951" s="101"/>
      <c r="H1951" s="102"/>
      <c r="I1951" s="101"/>
      <c r="J1951" s="101"/>
      <c r="K1951" s="103"/>
      <c r="L1951" s="103"/>
      <c r="M1951" s="103"/>
      <c r="N1951" s="103"/>
      <c r="O1951" s="103"/>
      <c r="P1951" s="98"/>
      <c r="Q1951" s="99"/>
      <c r="R1951" s="104">
        <f t="shared" si="95"/>
        <v>0</v>
      </c>
      <c r="S1951" s="104">
        <f t="shared" si="94"/>
        <v>0</v>
      </c>
      <c r="T1951" s="104">
        <f t="shared" si="96"/>
        <v>0</v>
      </c>
    </row>
    <row r="1952" spans="1:20">
      <c r="A1952" s="101"/>
      <c r="B1952" s="101"/>
      <c r="C1952" s="101"/>
      <c r="D1952" s="101"/>
      <c r="E1952" s="101"/>
      <c r="F1952" s="102"/>
      <c r="G1952" s="101"/>
      <c r="H1952" s="102"/>
      <c r="I1952" s="101"/>
      <c r="J1952" s="101"/>
      <c r="K1952" s="103"/>
      <c r="L1952" s="103"/>
      <c r="M1952" s="103"/>
      <c r="N1952" s="103"/>
      <c r="O1952" s="103"/>
      <c r="P1952" s="98"/>
      <c r="Q1952" s="99"/>
      <c r="R1952" s="105">
        <f t="shared" si="95"/>
        <v>0</v>
      </c>
      <c r="S1952" s="108">
        <f t="shared" si="94"/>
        <v>0</v>
      </c>
      <c r="T1952" s="105">
        <f t="shared" si="96"/>
        <v>0</v>
      </c>
    </row>
    <row r="1953" spans="1:20">
      <c r="A1953" s="101"/>
      <c r="B1953" s="101"/>
      <c r="C1953" s="101"/>
      <c r="D1953" s="101"/>
      <c r="E1953" s="101"/>
      <c r="F1953" s="102"/>
      <c r="G1953" s="101"/>
      <c r="H1953" s="102"/>
      <c r="I1953" s="101"/>
      <c r="J1953" s="101"/>
      <c r="K1953" s="103"/>
      <c r="L1953" s="103"/>
      <c r="M1953" s="103"/>
      <c r="N1953" s="103"/>
      <c r="O1953" s="103"/>
      <c r="P1953" s="98"/>
      <c r="Q1953" s="99"/>
      <c r="R1953" s="104">
        <f t="shared" si="95"/>
        <v>0</v>
      </c>
      <c r="S1953" s="104">
        <f t="shared" si="94"/>
        <v>0</v>
      </c>
      <c r="T1953" s="104">
        <f t="shared" si="96"/>
        <v>0</v>
      </c>
    </row>
    <row r="1954" spans="1:20">
      <c r="A1954" s="101"/>
      <c r="B1954" s="101"/>
      <c r="C1954" s="101"/>
      <c r="D1954" s="101"/>
      <c r="E1954" s="101"/>
      <c r="F1954" s="102"/>
      <c r="G1954" s="101"/>
      <c r="H1954" s="102"/>
      <c r="I1954" s="101"/>
      <c r="J1954" s="101"/>
      <c r="K1954" s="103"/>
      <c r="L1954" s="103"/>
      <c r="M1954" s="103"/>
      <c r="N1954" s="103"/>
      <c r="O1954" s="103"/>
      <c r="P1954" s="98"/>
      <c r="Q1954" s="99"/>
      <c r="R1954" s="105">
        <f t="shared" si="95"/>
        <v>0</v>
      </c>
      <c r="S1954" s="108">
        <f t="shared" si="94"/>
        <v>0</v>
      </c>
      <c r="T1954" s="105">
        <f t="shared" si="96"/>
        <v>0</v>
      </c>
    </row>
    <row r="1955" spans="1:20">
      <c r="A1955" s="101"/>
      <c r="B1955" s="101"/>
      <c r="C1955" s="101"/>
      <c r="D1955" s="101"/>
      <c r="E1955" s="101"/>
      <c r="F1955" s="102"/>
      <c r="G1955" s="101"/>
      <c r="H1955" s="102"/>
      <c r="I1955" s="101"/>
      <c r="J1955" s="101"/>
      <c r="K1955" s="103"/>
      <c r="L1955" s="103"/>
      <c r="M1955" s="103"/>
      <c r="N1955" s="103"/>
      <c r="O1955" s="103"/>
      <c r="P1955" s="98"/>
      <c r="Q1955" s="99"/>
      <c r="R1955" s="104">
        <f t="shared" si="95"/>
        <v>0</v>
      </c>
      <c r="S1955" s="104">
        <f t="shared" si="94"/>
        <v>0</v>
      </c>
      <c r="T1955" s="104">
        <f t="shared" si="96"/>
        <v>0</v>
      </c>
    </row>
    <row r="1956" spans="1:20">
      <c r="A1956" s="101"/>
      <c r="B1956" s="101"/>
      <c r="C1956" s="101"/>
      <c r="D1956" s="101"/>
      <c r="E1956" s="101"/>
      <c r="F1956" s="102"/>
      <c r="G1956" s="101"/>
      <c r="H1956" s="102"/>
      <c r="I1956" s="101"/>
      <c r="J1956" s="101"/>
      <c r="K1956" s="103"/>
      <c r="L1956" s="103"/>
      <c r="M1956" s="103"/>
      <c r="N1956" s="103"/>
      <c r="O1956" s="103"/>
      <c r="P1956" s="98"/>
      <c r="Q1956" s="99"/>
      <c r="R1956" s="105">
        <f t="shared" si="95"/>
        <v>0</v>
      </c>
      <c r="S1956" s="108">
        <f t="shared" si="94"/>
        <v>0</v>
      </c>
      <c r="T1956" s="105">
        <f t="shared" si="96"/>
        <v>0</v>
      </c>
    </row>
    <row r="1957" spans="1:20">
      <c r="A1957" s="101"/>
      <c r="B1957" s="101"/>
      <c r="C1957" s="101"/>
      <c r="D1957" s="101"/>
      <c r="E1957" s="101"/>
      <c r="F1957" s="102"/>
      <c r="G1957" s="101"/>
      <c r="H1957" s="102"/>
      <c r="I1957" s="101"/>
      <c r="J1957" s="101"/>
      <c r="K1957" s="103"/>
      <c r="L1957" s="103"/>
      <c r="M1957" s="103"/>
      <c r="N1957" s="103"/>
      <c r="O1957" s="103"/>
      <c r="P1957" s="98"/>
      <c r="Q1957" s="99"/>
      <c r="R1957" s="104">
        <f t="shared" si="95"/>
        <v>0</v>
      </c>
      <c r="S1957" s="104">
        <f t="shared" si="94"/>
        <v>0</v>
      </c>
      <c r="T1957" s="104">
        <f t="shared" si="96"/>
        <v>0</v>
      </c>
    </row>
    <row r="1958" spans="1:20">
      <c r="A1958" s="101"/>
      <c r="B1958" s="101"/>
      <c r="C1958" s="101"/>
      <c r="D1958" s="101"/>
      <c r="E1958" s="101"/>
      <c r="F1958" s="102"/>
      <c r="G1958" s="101"/>
      <c r="H1958" s="102"/>
      <c r="I1958" s="101"/>
      <c r="J1958" s="101"/>
      <c r="K1958" s="103"/>
      <c r="L1958" s="103"/>
      <c r="M1958" s="103"/>
      <c r="N1958" s="103"/>
      <c r="O1958" s="103"/>
      <c r="P1958" s="98"/>
      <c r="Q1958" s="99"/>
      <c r="R1958" s="105">
        <f t="shared" si="95"/>
        <v>0</v>
      </c>
      <c r="S1958" s="108">
        <f t="shared" si="94"/>
        <v>0</v>
      </c>
      <c r="T1958" s="105">
        <f t="shared" si="96"/>
        <v>0</v>
      </c>
    </row>
    <row r="1959" spans="1:20">
      <c r="A1959" s="101"/>
      <c r="B1959" s="101"/>
      <c r="C1959" s="101"/>
      <c r="D1959" s="101"/>
      <c r="E1959" s="101"/>
      <c r="F1959" s="102"/>
      <c r="G1959" s="101"/>
      <c r="H1959" s="102"/>
      <c r="I1959" s="101"/>
      <c r="J1959" s="101"/>
      <c r="K1959" s="103"/>
      <c r="L1959" s="103"/>
      <c r="M1959" s="103"/>
      <c r="N1959" s="103"/>
      <c r="O1959" s="103"/>
      <c r="P1959" s="98"/>
      <c r="Q1959" s="99"/>
      <c r="R1959" s="104">
        <f t="shared" si="95"/>
        <v>0</v>
      </c>
      <c r="S1959" s="104">
        <f t="shared" si="94"/>
        <v>0</v>
      </c>
      <c r="T1959" s="104">
        <f t="shared" si="96"/>
        <v>0</v>
      </c>
    </row>
    <row r="1960" spans="1:20">
      <c r="A1960" s="101"/>
      <c r="B1960" s="101"/>
      <c r="C1960" s="101"/>
      <c r="D1960" s="101"/>
      <c r="E1960" s="101"/>
      <c r="F1960" s="102"/>
      <c r="G1960" s="101"/>
      <c r="H1960" s="102"/>
      <c r="I1960" s="101"/>
      <c r="J1960" s="101"/>
      <c r="K1960" s="103"/>
      <c r="L1960" s="103"/>
      <c r="M1960" s="103"/>
      <c r="N1960" s="103"/>
      <c r="O1960" s="103"/>
      <c r="P1960" s="98"/>
      <c r="Q1960" s="99"/>
      <c r="R1960" s="105">
        <f t="shared" si="95"/>
        <v>0</v>
      </c>
      <c r="S1960" s="108">
        <f t="shared" si="94"/>
        <v>0</v>
      </c>
      <c r="T1960" s="105">
        <f t="shared" si="96"/>
        <v>0</v>
      </c>
    </row>
    <row r="1961" spans="1:20">
      <c r="A1961" s="101"/>
      <c r="B1961" s="101"/>
      <c r="C1961" s="101"/>
      <c r="D1961" s="101"/>
      <c r="E1961" s="101"/>
      <c r="F1961" s="102"/>
      <c r="G1961" s="101"/>
      <c r="H1961" s="102"/>
      <c r="I1961" s="101"/>
      <c r="J1961" s="101"/>
      <c r="K1961" s="103"/>
      <c r="L1961" s="103"/>
      <c r="M1961" s="103"/>
      <c r="N1961" s="103"/>
      <c r="O1961" s="103"/>
      <c r="P1961" s="98"/>
      <c r="Q1961" s="99"/>
      <c r="R1961" s="104">
        <f t="shared" si="95"/>
        <v>0</v>
      </c>
      <c r="S1961" s="104">
        <f t="shared" si="94"/>
        <v>0</v>
      </c>
      <c r="T1961" s="104">
        <f t="shared" si="96"/>
        <v>0</v>
      </c>
    </row>
    <row r="1962" spans="1:20">
      <c r="A1962" s="101"/>
      <c r="B1962" s="101"/>
      <c r="C1962" s="101"/>
      <c r="D1962" s="101"/>
      <c r="E1962" s="101"/>
      <c r="F1962" s="102"/>
      <c r="G1962" s="101"/>
      <c r="H1962" s="102"/>
      <c r="I1962" s="101"/>
      <c r="J1962" s="101"/>
      <c r="K1962" s="103"/>
      <c r="L1962" s="103"/>
      <c r="M1962" s="103"/>
      <c r="N1962" s="103"/>
      <c r="O1962" s="103"/>
      <c r="P1962" s="98"/>
      <c r="Q1962" s="99"/>
      <c r="R1962" s="105">
        <f t="shared" si="95"/>
        <v>0</v>
      </c>
      <c r="S1962" s="108">
        <f t="shared" si="94"/>
        <v>0</v>
      </c>
      <c r="T1962" s="105">
        <f t="shared" si="96"/>
        <v>0</v>
      </c>
    </row>
    <row r="1963" spans="1:20">
      <c r="A1963" s="101"/>
      <c r="B1963" s="101"/>
      <c r="C1963" s="101"/>
      <c r="D1963" s="101"/>
      <c r="E1963" s="101"/>
      <c r="F1963" s="102"/>
      <c r="G1963" s="101"/>
      <c r="H1963" s="102"/>
      <c r="I1963" s="101"/>
      <c r="J1963" s="101"/>
      <c r="K1963" s="103"/>
      <c r="L1963" s="103"/>
      <c r="M1963" s="103"/>
      <c r="N1963" s="103"/>
      <c r="O1963" s="103"/>
      <c r="P1963" s="98"/>
      <c r="Q1963" s="99"/>
      <c r="R1963" s="104">
        <f t="shared" si="95"/>
        <v>0</v>
      </c>
      <c r="S1963" s="104">
        <f t="shared" si="94"/>
        <v>0</v>
      </c>
      <c r="T1963" s="104">
        <f t="shared" si="96"/>
        <v>0</v>
      </c>
    </row>
    <row r="1964" spans="1:20">
      <c r="A1964" s="101"/>
      <c r="B1964" s="101"/>
      <c r="C1964" s="101"/>
      <c r="D1964" s="101"/>
      <c r="E1964" s="101"/>
      <c r="F1964" s="102"/>
      <c r="G1964" s="101"/>
      <c r="H1964" s="102"/>
      <c r="I1964" s="101"/>
      <c r="J1964" s="101"/>
      <c r="K1964" s="103"/>
      <c r="L1964" s="103"/>
      <c r="M1964" s="103"/>
      <c r="N1964" s="103"/>
      <c r="O1964" s="103"/>
      <c r="P1964" s="98"/>
      <c r="Q1964" s="99"/>
      <c r="R1964" s="105">
        <f t="shared" si="95"/>
        <v>0</v>
      </c>
      <c r="S1964" s="108">
        <f t="shared" si="94"/>
        <v>0</v>
      </c>
      <c r="T1964" s="105">
        <f t="shared" si="96"/>
        <v>0</v>
      </c>
    </row>
    <row r="1965" spans="1:20">
      <c r="A1965" s="101"/>
      <c r="B1965" s="101"/>
      <c r="C1965" s="101"/>
      <c r="D1965" s="101"/>
      <c r="E1965" s="101"/>
      <c r="F1965" s="102"/>
      <c r="G1965" s="101"/>
      <c r="H1965" s="102"/>
      <c r="I1965" s="101"/>
      <c r="J1965" s="101"/>
      <c r="K1965" s="103"/>
      <c r="L1965" s="103"/>
      <c r="M1965" s="103"/>
      <c r="N1965" s="103"/>
      <c r="O1965" s="103"/>
      <c r="P1965" s="98"/>
      <c r="Q1965" s="99"/>
      <c r="R1965" s="104">
        <f t="shared" si="95"/>
        <v>0</v>
      </c>
      <c r="S1965" s="104">
        <f t="shared" si="94"/>
        <v>0</v>
      </c>
      <c r="T1965" s="104">
        <f t="shared" si="96"/>
        <v>0</v>
      </c>
    </row>
    <row r="1966" spans="1:20">
      <c r="A1966" s="101"/>
      <c r="B1966" s="101"/>
      <c r="C1966" s="101"/>
      <c r="D1966" s="101"/>
      <c r="E1966" s="101"/>
      <c r="F1966" s="102"/>
      <c r="G1966" s="101"/>
      <c r="H1966" s="102"/>
      <c r="I1966" s="101"/>
      <c r="J1966" s="101"/>
      <c r="K1966" s="103"/>
      <c r="L1966" s="103"/>
      <c r="M1966" s="103"/>
      <c r="N1966" s="103"/>
      <c r="O1966" s="103"/>
      <c r="P1966" s="98"/>
      <c r="Q1966" s="99"/>
      <c r="R1966" s="105">
        <f t="shared" si="95"/>
        <v>0</v>
      </c>
      <c r="S1966" s="108">
        <f t="shared" si="94"/>
        <v>0</v>
      </c>
      <c r="T1966" s="105">
        <f t="shared" si="96"/>
        <v>0</v>
      </c>
    </row>
    <row r="1967" spans="1:20">
      <c r="A1967" s="101"/>
      <c r="B1967" s="101"/>
      <c r="C1967" s="101"/>
      <c r="D1967" s="101"/>
      <c r="E1967" s="101"/>
      <c r="F1967" s="102"/>
      <c r="G1967" s="101"/>
      <c r="H1967" s="102"/>
      <c r="I1967" s="101"/>
      <c r="J1967" s="101"/>
      <c r="K1967" s="103"/>
      <c r="L1967" s="103"/>
      <c r="M1967" s="103"/>
      <c r="N1967" s="103"/>
      <c r="O1967" s="103"/>
      <c r="P1967" s="98"/>
      <c r="Q1967" s="99"/>
      <c r="R1967" s="104">
        <f t="shared" si="95"/>
        <v>0</v>
      </c>
      <c r="S1967" s="104">
        <f t="shared" si="94"/>
        <v>0</v>
      </c>
      <c r="T1967" s="104">
        <f t="shared" si="96"/>
        <v>0</v>
      </c>
    </row>
    <row r="1968" spans="1:20">
      <c r="A1968" s="101"/>
      <c r="B1968" s="101"/>
      <c r="C1968" s="101"/>
      <c r="D1968" s="101"/>
      <c r="E1968" s="101"/>
      <c r="F1968" s="102"/>
      <c r="G1968" s="101"/>
      <c r="H1968" s="102"/>
      <c r="I1968" s="101"/>
      <c r="J1968" s="101"/>
      <c r="K1968" s="103"/>
      <c r="L1968" s="103"/>
      <c r="M1968" s="103"/>
      <c r="N1968" s="103"/>
      <c r="O1968" s="103"/>
      <c r="P1968" s="98"/>
      <c r="Q1968" s="99"/>
      <c r="R1968" s="105">
        <f t="shared" si="95"/>
        <v>0</v>
      </c>
      <c r="S1968" s="108">
        <f t="shared" si="94"/>
        <v>0</v>
      </c>
      <c r="T1968" s="105">
        <f t="shared" si="96"/>
        <v>0</v>
      </c>
    </row>
    <row r="1969" spans="1:20">
      <c r="A1969" s="101"/>
      <c r="B1969" s="101"/>
      <c r="C1969" s="101"/>
      <c r="D1969" s="101"/>
      <c r="E1969" s="101"/>
      <c r="F1969" s="102"/>
      <c r="G1969" s="101"/>
      <c r="H1969" s="102"/>
      <c r="I1969" s="101"/>
      <c r="J1969" s="101"/>
      <c r="K1969" s="103"/>
      <c r="L1969" s="103"/>
      <c r="M1969" s="103"/>
      <c r="N1969" s="103"/>
      <c r="O1969" s="103"/>
      <c r="P1969" s="98"/>
      <c r="Q1969" s="99"/>
      <c r="R1969" s="104">
        <f t="shared" si="95"/>
        <v>0</v>
      </c>
      <c r="S1969" s="104">
        <f t="shared" si="94"/>
        <v>0</v>
      </c>
      <c r="T1969" s="104">
        <f t="shared" si="96"/>
        <v>0</v>
      </c>
    </row>
    <row r="1970" spans="1:20">
      <c r="A1970" s="101"/>
      <c r="B1970" s="101"/>
      <c r="C1970" s="101"/>
      <c r="D1970" s="101"/>
      <c r="E1970" s="101"/>
      <c r="F1970" s="102"/>
      <c r="G1970" s="101"/>
      <c r="H1970" s="102"/>
      <c r="I1970" s="101"/>
      <c r="J1970" s="101"/>
      <c r="K1970" s="103"/>
      <c r="L1970" s="103"/>
      <c r="M1970" s="103"/>
      <c r="N1970" s="103"/>
      <c r="O1970" s="103"/>
      <c r="P1970" s="98"/>
      <c r="Q1970" s="99"/>
      <c r="R1970" s="105">
        <f t="shared" si="95"/>
        <v>0</v>
      </c>
      <c r="S1970" s="108">
        <f t="shared" si="94"/>
        <v>0</v>
      </c>
      <c r="T1970" s="105">
        <f t="shared" si="96"/>
        <v>0</v>
      </c>
    </row>
    <row r="1971" spans="1:20">
      <c r="A1971" s="101"/>
      <c r="B1971" s="101"/>
      <c r="C1971" s="101"/>
      <c r="D1971" s="101"/>
      <c r="E1971" s="101"/>
      <c r="F1971" s="102"/>
      <c r="G1971" s="101"/>
      <c r="H1971" s="102"/>
      <c r="I1971" s="101"/>
      <c r="J1971" s="101"/>
      <c r="K1971" s="103"/>
      <c r="L1971" s="103"/>
      <c r="M1971" s="103"/>
      <c r="N1971" s="103"/>
      <c r="O1971" s="103"/>
      <c r="P1971" s="98"/>
      <c r="Q1971" s="99"/>
      <c r="R1971" s="104">
        <f t="shared" si="95"/>
        <v>0</v>
      </c>
      <c r="S1971" s="104">
        <f t="shared" si="94"/>
        <v>0</v>
      </c>
      <c r="T1971" s="104">
        <f t="shared" si="96"/>
        <v>0</v>
      </c>
    </row>
    <row r="1972" spans="1:20">
      <c r="A1972" s="101"/>
      <c r="B1972" s="101"/>
      <c r="C1972" s="101"/>
      <c r="D1972" s="101"/>
      <c r="E1972" s="101"/>
      <c r="F1972" s="102"/>
      <c r="G1972" s="101"/>
      <c r="H1972" s="102"/>
      <c r="I1972" s="101"/>
      <c r="J1972" s="101"/>
      <c r="K1972" s="103"/>
      <c r="L1972" s="103"/>
      <c r="M1972" s="103"/>
      <c r="N1972" s="103"/>
      <c r="O1972" s="103"/>
      <c r="P1972" s="98"/>
      <c r="Q1972" s="99"/>
      <c r="R1972" s="105">
        <f t="shared" si="95"/>
        <v>0</v>
      </c>
      <c r="S1972" s="108">
        <f t="shared" si="94"/>
        <v>0</v>
      </c>
      <c r="T1972" s="105">
        <f t="shared" si="96"/>
        <v>0</v>
      </c>
    </row>
    <row r="1973" spans="1:20">
      <c r="A1973" s="101"/>
      <c r="B1973" s="101"/>
      <c r="C1973" s="101"/>
      <c r="D1973" s="101"/>
      <c r="E1973" s="101"/>
      <c r="F1973" s="102"/>
      <c r="G1973" s="101"/>
      <c r="H1973" s="102"/>
      <c r="I1973" s="101"/>
      <c r="J1973" s="101"/>
      <c r="K1973" s="103"/>
      <c r="L1973" s="103"/>
      <c r="M1973" s="103"/>
      <c r="N1973" s="103"/>
      <c r="O1973" s="103"/>
      <c r="P1973" s="98"/>
      <c r="Q1973" s="99"/>
      <c r="R1973" s="104">
        <f t="shared" si="95"/>
        <v>0</v>
      </c>
      <c r="S1973" s="104">
        <f t="shared" si="94"/>
        <v>0</v>
      </c>
      <c r="T1973" s="104">
        <f t="shared" si="96"/>
        <v>0</v>
      </c>
    </row>
    <row r="1974" spans="1:20">
      <c r="A1974" s="101"/>
      <c r="B1974" s="101"/>
      <c r="C1974" s="101"/>
      <c r="D1974" s="101"/>
      <c r="E1974" s="101"/>
      <c r="F1974" s="102"/>
      <c r="G1974" s="101"/>
      <c r="H1974" s="102"/>
      <c r="I1974" s="101"/>
      <c r="J1974" s="101"/>
      <c r="K1974" s="103"/>
      <c r="L1974" s="103"/>
      <c r="M1974" s="103"/>
      <c r="N1974" s="103"/>
      <c r="O1974" s="103"/>
      <c r="P1974" s="98"/>
      <c r="Q1974" s="99"/>
      <c r="R1974" s="105">
        <f t="shared" si="95"/>
        <v>0</v>
      </c>
      <c r="S1974" s="108">
        <f t="shared" si="94"/>
        <v>0</v>
      </c>
      <c r="T1974" s="105">
        <f t="shared" si="96"/>
        <v>0</v>
      </c>
    </row>
    <row r="1975" spans="1:20">
      <c r="A1975" s="101"/>
      <c r="B1975" s="101"/>
      <c r="C1975" s="101"/>
      <c r="D1975" s="101"/>
      <c r="E1975" s="101"/>
      <c r="F1975" s="102"/>
      <c r="G1975" s="101"/>
      <c r="H1975" s="102"/>
      <c r="I1975" s="101"/>
      <c r="J1975" s="101"/>
      <c r="K1975" s="103"/>
      <c r="L1975" s="103"/>
      <c r="M1975" s="103"/>
      <c r="N1975" s="103"/>
      <c r="O1975" s="103"/>
      <c r="P1975" s="98"/>
      <c r="Q1975" s="99"/>
      <c r="R1975" s="104">
        <f t="shared" si="95"/>
        <v>0</v>
      </c>
      <c r="S1975" s="104">
        <f t="shared" si="94"/>
        <v>0</v>
      </c>
      <c r="T1975" s="104">
        <f t="shared" si="96"/>
        <v>0</v>
      </c>
    </row>
    <row r="1976" spans="1:20">
      <c r="A1976" s="101"/>
      <c r="B1976" s="101"/>
      <c r="C1976" s="101"/>
      <c r="D1976" s="101"/>
      <c r="E1976" s="101"/>
      <c r="F1976" s="102"/>
      <c r="G1976" s="101"/>
      <c r="H1976" s="102"/>
      <c r="I1976" s="101"/>
      <c r="J1976" s="101"/>
      <c r="K1976" s="103"/>
      <c r="L1976" s="103"/>
      <c r="M1976" s="103"/>
      <c r="N1976" s="103"/>
      <c r="O1976" s="103"/>
      <c r="P1976" s="98"/>
      <c r="Q1976" s="99"/>
      <c r="R1976" s="105">
        <f t="shared" si="95"/>
        <v>0</v>
      </c>
      <c r="S1976" s="108">
        <f t="shared" si="94"/>
        <v>0</v>
      </c>
      <c r="T1976" s="105">
        <f t="shared" si="96"/>
        <v>0</v>
      </c>
    </row>
    <row r="1977" spans="1:20">
      <c r="A1977" s="101"/>
      <c r="B1977" s="101"/>
      <c r="C1977" s="101"/>
      <c r="D1977" s="101"/>
      <c r="E1977" s="101"/>
      <c r="F1977" s="102"/>
      <c r="G1977" s="101"/>
      <c r="H1977" s="102"/>
      <c r="I1977" s="101"/>
      <c r="J1977" s="101"/>
      <c r="K1977" s="103"/>
      <c r="L1977" s="103"/>
      <c r="M1977" s="103"/>
      <c r="N1977" s="103"/>
      <c r="O1977" s="103"/>
      <c r="P1977" s="98"/>
      <c r="Q1977" s="99"/>
      <c r="R1977" s="104">
        <f t="shared" si="95"/>
        <v>0</v>
      </c>
      <c r="S1977" s="104">
        <f t="shared" si="94"/>
        <v>0</v>
      </c>
      <c r="T1977" s="104">
        <f t="shared" si="96"/>
        <v>0</v>
      </c>
    </row>
    <row r="1978" spans="1:20">
      <c r="A1978" s="101"/>
      <c r="B1978" s="101"/>
      <c r="C1978" s="101"/>
      <c r="D1978" s="101"/>
      <c r="E1978" s="101"/>
      <c r="F1978" s="102"/>
      <c r="G1978" s="101"/>
      <c r="H1978" s="102"/>
      <c r="I1978" s="101"/>
      <c r="J1978" s="101"/>
      <c r="K1978" s="103"/>
      <c r="L1978" s="103"/>
      <c r="M1978" s="103"/>
      <c r="N1978" s="103"/>
      <c r="O1978" s="103"/>
      <c r="P1978" s="98"/>
      <c r="Q1978" s="99"/>
      <c r="R1978" s="105">
        <f t="shared" si="95"/>
        <v>0</v>
      </c>
      <c r="S1978" s="108">
        <f t="shared" si="94"/>
        <v>0</v>
      </c>
      <c r="T1978" s="105">
        <f t="shared" si="96"/>
        <v>0</v>
      </c>
    </row>
    <row r="1979" spans="1:20">
      <c r="A1979" s="101"/>
      <c r="B1979" s="101"/>
      <c r="C1979" s="101"/>
      <c r="D1979" s="101"/>
      <c r="E1979" s="101"/>
      <c r="F1979" s="102"/>
      <c r="G1979" s="101"/>
      <c r="H1979" s="102"/>
      <c r="I1979" s="101"/>
      <c r="J1979" s="101"/>
      <c r="K1979" s="103"/>
      <c r="L1979" s="103"/>
      <c r="M1979" s="103"/>
      <c r="N1979" s="103"/>
      <c r="O1979" s="103"/>
      <c r="P1979" s="98"/>
      <c r="Q1979" s="99"/>
      <c r="R1979" s="104">
        <f t="shared" si="95"/>
        <v>0</v>
      </c>
      <c r="S1979" s="104">
        <f t="shared" si="94"/>
        <v>0</v>
      </c>
      <c r="T1979" s="104">
        <f t="shared" si="96"/>
        <v>0</v>
      </c>
    </row>
    <row r="1980" spans="1:20">
      <c r="A1980" s="101"/>
      <c r="B1980" s="101"/>
      <c r="C1980" s="101"/>
      <c r="D1980" s="101"/>
      <c r="E1980" s="101"/>
      <c r="F1980" s="102"/>
      <c r="G1980" s="101"/>
      <c r="H1980" s="102"/>
      <c r="I1980" s="101"/>
      <c r="J1980" s="101"/>
      <c r="K1980" s="103"/>
      <c r="L1980" s="103"/>
      <c r="M1980" s="103"/>
      <c r="N1980" s="103"/>
      <c r="O1980" s="103"/>
      <c r="P1980" s="98"/>
      <c r="Q1980" s="99"/>
      <c r="R1980" s="105">
        <f t="shared" si="95"/>
        <v>0</v>
      </c>
      <c r="S1980" s="108">
        <f t="shared" si="94"/>
        <v>0</v>
      </c>
      <c r="T1980" s="105">
        <f t="shared" si="96"/>
        <v>0</v>
      </c>
    </row>
    <row r="1981" spans="1:20">
      <c r="A1981" s="101"/>
      <c r="B1981" s="101"/>
      <c r="C1981" s="101"/>
      <c r="D1981" s="101"/>
      <c r="E1981" s="101"/>
      <c r="F1981" s="102"/>
      <c r="G1981" s="101"/>
      <c r="H1981" s="102"/>
      <c r="I1981" s="101"/>
      <c r="J1981" s="101"/>
      <c r="K1981" s="103"/>
      <c r="L1981" s="103"/>
      <c r="M1981" s="103"/>
      <c r="N1981" s="103"/>
      <c r="O1981" s="103"/>
      <c r="P1981" s="98"/>
      <c r="Q1981" s="99"/>
      <c r="R1981" s="104">
        <f t="shared" si="95"/>
        <v>0</v>
      </c>
      <c r="S1981" s="104">
        <f t="shared" si="94"/>
        <v>0</v>
      </c>
      <c r="T1981" s="104">
        <f t="shared" si="96"/>
        <v>0</v>
      </c>
    </row>
    <row r="1982" spans="1:20">
      <c r="A1982" s="101"/>
      <c r="B1982" s="101"/>
      <c r="C1982" s="101"/>
      <c r="D1982" s="101"/>
      <c r="E1982" s="101"/>
      <c r="F1982" s="102"/>
      <c r="G1982" s="101"/>
      <c r="H1982" s="102"/>
      <c r="I1982" s="101"/>
      <c r="J1982" s="101"/>
      <c r="K1982" s="103"/>
      <c r="L1982" s="103"/>
      <c r="M1982" s="103"/>
      <c r="N1982" s="103"/>
      <c r="O1982" s="103"/>
      <c r="P1982" s="98"/>
      <c r="Q1982" s="99"/>
      <c r="R1982" s="105">
        <f t="shared" si="95"/>
        <v>0</v>
      </c>
      <c r="S1982" s="108">
        <f t="shared" si="94"/>
        <v>0</v>
      </c>
      <c r="T1982" s="105">
        <f t="shared" si="96"/>
        <v>0</v>
      </c>
    </row>
    <row r="1983" spans="1:20">
      <c r="A1983" s="101"/>
      <c r="B1983" s="101"/>
      <c r="C1983" s="101"/>
      <c r="D1983" s="101"/>
      <c r="E1983" s="101"/>
      <c r="F1983" s="102"/>
      <c r="G1983" s="101"/>
      <c r="H1983" s="102"/>
      <c r="I1983" s="101"/>
      <c r="J1983" s="101"/>
      <c r="K1983" s="103"/>
      <c r="L1983" s="103"/>
      <c r="M1983" s="103"/>
      <c r="N1983" s="103"/>
      <c r="O1983" s="103"/>
      <c r="P1983" s="98"/>
      <c r="Q1983" s="99"/>
      <c r="R1983" s="104">
        <f t="shared" si="95"/>
        <v>0</v>
      </c>
      <c r="S1983" s="104">
        <f t="shared" si="94"/>
        <v>0</v>
      </c>
      <c r="T1983" s="104">
        <f t="shared" si="96"/>
        <v>0</v>
      </c>
    </row>
    <row r="1984" spans="1:20">
      <c r="A1984" s="101"/>
      <c r="B1984" s="101"/>
      <c r="C1984" s="101"/>
      <c r="D1984" s="101"/>
      <c r="E1984" s="101"/>
      <c r="F1984" s="102"/>
      <c r="G1984" s="101"/>
      <c r="H1984" s="102"/>
      <c r="I1984" s="101"/>
      <c r="J1984" s="101"/>
      <c r="K1984" s="103"/>
      <c r="L1984" s="103"/>
      <c r="M1984" s="103"/>
      <c r="N1984" s="103"/>
      <c r="O1984" s="103"/>
      <c r="P1984" s="98"/>
      <c r="Q1984" s="99"/>
      <c r="R1984" s="105">
        <f t="shared" si="95"/>
        <v>0</v>
      </c>
      <c r="S1984" s="108">
        <f t="shared" si="94"/>
        <v>0</v>
      </c>
      <c r="T1984" s="105">
        <f t="shared" si="96"/>
        <v>0</v>
      </c>
    </row>
    <row r="1985" spans="1:20">
      <c r="A1985" s="101"/>
      <c r="B1985" s="101"/>
      <c r="C1985" s="101"/>
      <c r="D1985" s="101"/>
      <c r="E1985" s="101"/>
      <c r="F1985" s="102"/>
      <c r="G1985" s="101"/>
      <c r="H1985" s="102"/>
      <c r="I1985" s="101"/>
      <c r="J1985" s="101"/>
      <c r="K1985" s="103"/>
      <c r="L1985" s="103"/>
      <c r="M1985" s="103"/>
      <c r="N1985" s="103"/>
      <c r="O1985" s="103"/>
      <c r="P1985" s="98"/>
      <c r="Q1985" s="99"/>
      <c r="R1985" s="104">
        <f t="shared" si="95"/>
        <v>0</v>
      </c>
      <c r="S1985" s="104">
        <f t="shared" si="94"/>
        <v>0</v>
      </c>
      <c r="T1985" s="104">
        <f t="shared" si="96"/>
        <v>0</v>
      </c>
    </row>
    <row r="1986" spans="1:20">
      <c r="A1986" s="101"/>
      <c r="B1986" s="101"/>
      <c r="C1986" s="101"/>
      <c r="D1986" s="101"/>
      <c r="E1986" s="101"/>
      <c r="F1986" s="102"/>
      <c r="G1986" s="101"/>
      <c r="H1986" s="102"/>
      <c r="I1986" s="101"/>
      <c r="J1986" s="101"/>
      <c r="K1986" s="103"/>
      <c r="L1986" s="103"/>
      <c r="M1986" s="103"/>
      <c r="N1986" s="103"/>
      <c r="O1986" s="103"/>
      <c r="P1986" s="98"/>
      <c r="Q1986" s="99"/>
      <c r="R1986" s="105">
        <f t="shared" si="95"/>
        <v>0</v>
      </c>
      <c r="S1986" s="108">
        <f t="shared" si="94"/>
        <v>0</v>
      </c>
      <c r="T1986" s="105">
        <f t="shared" si="96"/>
        <v>0</v>
      </c>
    </row>
    <row r="1987" spans="1:20">
      <c r="A1987" s="101"/>
      <c r="B1987" s="101"/>
      <c r="C1987" s="101"/>
      <c r="D1987" s="101"/>
      <c r="E1987" s="101"/>
      <c r="F1987" s="102"/>
      <c r="G1987" s="101"/>
      <c r="H1987" s="102"/>
      <c r="I1987" s="101"/>
      <c r="J1987" s="101"/>
      <c r="K1987" s="103"/>
      <c r="L1987" s="103"/>
      <c r="M1987" s="103"/>
      <c r="N1987" s="103"/>
      <c r="O1987" s="103"/>
      <c r="P1987" s="98"/>
      <c r="Q1987" s="99"/>
      <c r="R1987" s="104">
        <f t="shared" si="95"/>
        <v>0</v>
      </c>
      <c r="S1987" s="104">
        <f t="shared" si="94"/>
        <v>0</v>
      </c>
      <c r="T1987" s="104">
        <f t="shared" si="96"/>
        <v>0</v>
      </c>
    </row>
    <row r="1988" spans="1:20">
      <c r="A1988" s="101"/>
      <c r="B1988" s="101"/>
      <c r="C1988" s="101"/>
      <c r="D1988" s="101"/>
      <c r="E1988" s="101"/>
      <c r="F1988" s="102"/>
      <c r="G1988" s="101"/>
      <c r="H1988" s="102"/>
      <c r="I1988" s="101"/>
      <c r="J1988" s="101"/>
      <c r="K1988" s="103"/>
      <c r="L1988" s="103"/>
      <c r="M1988" s="103"/>
      <c r="N1988" s="103"/>
      <c r="O1988" s="103"/>
      <c r="P1988" s="98"/>
      <c r="Q1988" s="99"/>
      <c r="R1988" s="105">
        <f t="shared" si="95"/>
        <v>0</v>
      </c>
      <c r="S1988" s="108">
        <f t="shared" ref="S1988:S2001" si="97">IF(P1988="Abono",K1988+L1988+M1988-N1988-O1988,0)</f>
        <v>0</v>
      </c>
      <c r="T1988" s="105">
        <f t="shared" si="96"/>
        <v>0</v>
      </c>
    </row>
    <row r="1989" spans="1:20">
      <c r="A1989" s="101"/>
      <c r="B1989" s="101"/>
      <c r="C1989" s="101"/>
      <c r="D1989" s="101"/>
      <c r="E1989" s="101"/>
      <c r="F1989" s="102"/>
      <c r="G1989" s="101"/>
      <c r="H1989" s="102"/>
      <c r="I1989" s="101"/>
      <c r="J1989" s="101"/>
      <c r="K1989" s="103"/>
      <c r="L1989" s="103"/>
      <c r="M1989" s="103"/>
      <c r="N1989" s="103"/>
      <c r="O1989" s="103"/>
      <c r="P1989" s="98"/>
      <c r="Q1989" s="99"/>
      <c r="R1989" s="104">
        <f t="shared" ref="R1989:R2001" si="98">IF(P1989="Cargo",K1989+L1989-M1989-N1989+O1989,0)</f>
        <v>0</v>
      </c>
      <c r="S1989" s="104">
        <f t="shared" si="97"/>
        <v>0</v>
      </c>
      <c r="T1989" s="104">
        <f t="shared" ref="T1989:T2001" si="99">IF(Q1989="OK",+T1988+R1989-S1989,T1988)</f>
        <v>0</v>
      </c>
    </row>
    <row r="1990" spans="1:20">
      <c r="A1990" s="101"/>
      <c r="B1990" s="101"/>
      <c r="C1990" s="101"/>
      <c r="D1990" s="101"/>
      <c r="E1990" s="101"/>
      <c r="F1990" s="102"/>
      <c r="G1990" s="101"/>
      <c r="H1990" s="102"/>
      <c r="I1990" s="101"/>
      <c r="J1990" s="101"/>
      <c r="K1990" s="103"/>
      <c r="L1990" s="103"/>
      <c r="M1990" s="103"/>
      <c r="N1990" s="103"/>
      <c r="O1990" s="103"/>
      <c r="P1990" s="98"/>
      <c r="Q1990" s="99"/>
      <c r="R1990" s="105">
        <f t="shared" si="98"/>
        <v>0</v>
      </c>
      <c r="S1990" s="108">
        <f t="shared" si="97"/>
        <v>0</v>
      </c>
      <c r="T1990" s="105">
        <f t="shared" si="99"/>
        <v>0</v>
      </c>
    </row>
    <row r="1991" spans="1:20">
      <c r="A1991" s="101"/>
      <c r="B1991" s="101"/>
      <c r="C1991" s="101"/>
      <c r="D1991" s="101"/>
      <c r="E1991" s="101"/>
      <c r="F1991" s="102"/>
      <c r="G1991" s="101"/>
      <c r="H1991" s="102"/>
      <c r="I1991" s="101"/>
      <c r="J1991" s="101"/>
      <c r="K1991" s="103"/>
      <c r="L1991" s="103"/>
      <c r="M1991" s="103"/>
      <c r="N1991" s="103"/>
      <c r="O1991" s="103"/>
      <c r="P1991" s="98"/>
      <c r="Q1991" s="99"/>
      <c r="R1991" s="104">
        <f t="shared" si="98"/>
        <v>0</v>
      </c>
      <c r="S1991" s="104">
        <f t="shared" si="97"/>
        <v>0</v>
      </c>
      <c r="T1991" s="104">
        <f t="shared" si="99"/>
        <v>0</v>
      </c>
    </row>
    <row r="1992" spans="1:20">
      <c r="A1992" s="101"/>
      <c r="B1992" s="101"/>
      <c r="C1992" s="101"/>
      <c r="D1992" s="101"/>
      <c r="E1992" s="101"/>
      <c r="F1992" s="102"/>
      <c r="G1992" s="101"/>
      <c r="H1992" s="102"/>
      <c r="I1992" s="101"/>
      <c r="J1992" s="101"/>
      <c r="K1992" s="103"/>
      <c r="L1992" s="103"/>
      <c r="M1992" s="103"/>
      <c r="N1992" s="103"/>
      <c r="O1992" s="103"/>
      <c r="P1992" s="98"/>
      <c r="Q1992" s="99"/>
      <c r="R1992" s="105">
        <f t="shared" si="98"/>
        <v>0</v>
      </c>
      <c r="S1992" s="108">
        <f t="shared" si="97"/>
        <v>0</v>
      </c>
      <c r="T1992" s="105">
        <f t="shared" si="99"/>
        <v>0</v>
      </c>
    </row>
    <row r="1993" spans="1:20">
      <c r="A1993" s="101"/>
      <c r="B1993" s="101"/>
      <c r="C1993" s="101"/>
      <c r="D1993" s="101"/>
      <c r="E1993" s="101"/>
      <c r="F1993" s="102"/>
      <c r="G1993" s="101"/>
      <c r="H1993" s="102"/>
      <c r="I1993" s="101"/>
      <c r="J1993" s="101"/>
      <c r="K1993" s="103"/>
      <c r="L1993" s="103"/>
      <c r="M1993" s="103"/>
      <c r="N1993" s="103"/>
      <c r="O1993" s="103"/>
      <c r="P1993" s="98"/>
      <c r="Q1993" s="99"/>
      <c r="R1993" s="104">
        <f t="shared" si="98"/>
        <v>0</v>
      </c>
      <c r="S1993" s="104">
        <f t="shared" si="97"/>
        <v>0</v>
      </c>
      <c r="T1993" s="104">
        <f t="shared" si="99"/>
        <v>0</v>
      </c>
    </row>
    <row r="1994" spans="1:20">
      <c r="A1994" s="101"/>
      <c r="B1994" s="101"/>
      <c r="C1994" s="101"/>
      <c r="D1994" s="101"/>
      <c r="E1994" s="101"/>
      <c r="F1994" s="102"/>
      <c r="G1994" s="101"/>
      <c r="H1994" s="102"/>
      <c r="I1994" s="101"/>
      <c r="J1994" s="101"/>
      <c r="K1994" s="103"/>
      <c r="L1994" s="103"/>
      <c r="M1994" s="103"/>
      <c r="N1994" s="103"/>
      <c r="O1994" s="103"/>
      <c r="P1994" s="98"/>
      <c r="Q1994" s="99"/>
      <c r="R1994" s="105">
        <f t="shared" si="98"/>
        <v>0</v>
      </c>
      <c r="S1994" s="108">
        <f t="shared" si="97"/>
        <v>0</v>
      </c>
      <c r="T1994" s="105">
        <f t="shared" si="99"/>
        <v>0</v>
      </c>
    </row>
    <row r="1995" spans="1:20">
      <c r="A1995" s="101"/>
      <c r="B1995" s="101"/>
      <c r="C1995" s="101"/>
      <c r="D1995" s="101"/>
      <c r="E1995" s="101"/>
      <c r="F1995" s="102"/>
      <c r="G1995" s="101"/>
      <c r="H1995" s="102"/>
      <c r="I1995" s="101"/>
      <c r="J1995" s="101"/>
      <c r="K1995" s="103"/>
      <c r="L1995" s="103"/>
      <c r="M1995" s="103"/>
      <c r="N1995" s="103"/>
      <c r="O1995" s="103"/>
      <c r="P1995" s="98"/>
      <c r="Q1995" s="99"/>
      <c r="R1995" s="104">
        <f t="shared" si="98"/>
        <v>0</v>
      </c>
      <c r="S1995" s="104">
        <f t="shared" si="97"/>
        <v>0</v>
      </c>
      <c r="T1995" s="104">
        <f t="shared" si="99"/>
        <v>0</v>
      </c>
    </row>
    <row r="1996" spans="1:20">
      <c r="A1996" s="101"/>
      <c r="B1996" s="101"/>
      <c r="C1996" s="101"/>
      <c r="D1996" s="101"/>
      <c r="E1996" s="101"/>
      <c r="F1996" s="102"/>
      <c r="G1996" s="101"/>
      <c r="H1996" s="102"/>
      <c r="I1996" s="101"/>
      <c r="J1996" s="101"/>
      <c r="K1996" s="103"/>
      <c r="L1996" s="103"/>
      <c r="M1996" s="103"/>
      <c r="N1996" s="103"/>
      <c r="O1996" s="103"/>
      <c r="P1996" s="98"/>
      <c r="Q1996" s="99"/>
      <c r="R1996" s="105">
        <f t="shared" si="98"/>
        <v>0</v>
      </c>
      <c r="S1996" s="108">
        <f t="shared" si="97"/>
        <v>0</v>
      </c>
      <c r="T1996" s="105">
        <f t="shared" si="99"/>
        <v>0</v>
      </c>
    </row>
    <row r="1997" spans="1:20">
      <c r="A1997" s="101"/>
      <c r="B1997" s="101"/>
      <c r="C1997" s="101"/>
      <c r="D1997" s="101"/>
      <c r="E1997" s="101"/>
      <c r="F1997" s="102"/>
      <c r="G1997" s="101"/>
      <c r="H1997" s="102"/>
      <c r="I1997" s="101"/>
      <c r="J1997" s="101"/>
      <c r="K1997" s="103"/>
      <c r="L1997" s="103"/>
      <c r="M1997" s="103"/>
      <c r="N1997" s="103"/>
      <c r="O1997" s="103"/>
      <c r="P1997" s="98"/>
      <c r="Q1997" s="99"/>
      <c r="R1997" s="104">
        <f t="shared" si="98"/>
        <v>0</v>
      </c>
      <c r="S1997" s="104">
        <f t="shared" si="97"/>
        <v>0</v>
      </c>
      <c r="T1997" s="104">
        <f t="shared" si="99"/>
        <v>0</v>
      </c>
    </row>
    <row r="1998" spans="1:20">
      <c r="A1998" s="101"/>
      <c r="B1998" s="101"/>
      <c r="C1998" s="101"/>
      <c r="D1998" s="101"/>
      <c r="E1998" s="101"/>
      <c r="F1998" s="102"/>
      <c r="G1998" s="101"/>
      <c r="H1998" s="102"/>
      <c r="I1998" s="101"/>
      <c r="J1998" s="101"/>
      <c r="K1998" s="103"/>
      <c r="L1998" s="103"/>
      <c r="M1998" s="103"/>
      <c r="N1998" s="103"/>
      <c r="O1998" s="103"/>
      <c r="P1998" s="98"/>
      <c r="Q1998" s="99"/>
      <c r="R1998" s="105">
        <f t="shared" si="98"/>
        <v>0</v>
      </c>
      <c r="S1998" s="108">
        <f t="shared" si="97"/>
        <v>0</v>
      </c>
      <c r="T1998" s="105">
        <f t="shared" si="99"/>
        <v>0</v>
      </c>
    </row>
    <row r="1999" spans="1:20">
      <c r="A1999" s="101"/>
      <c r="B1999" s="101"/>
      <c r="C1999" s="101"/>
      <c r="D1999" s="101"/>
      <c r="E1999" s="101"/>
      <c r="F1999" s="102"/>
      <c r="G1999" s="101"/>
      <c r="H1999" s="102"/>
      <c r="I1999" s="101"/>
      <c r="J1999" s="101"/>
      <c r="K1999" s="103"/>
      <c r="L1999" s="103"/>
      <c r="M1999" s="103"/>
      <c r="N1999" s="103"/>
      <c r="O1999" s="103"/>
      <c r="P1999" s="98"/>
      <c r="Q1999" s="99"/>
      <c r="R1999" s="104">
        <f t="shared" si="98"/>
        <v>0</v>
      </c>
      <c r="S1999" s="104">
        <f t="shared" si="97"/>
        <v>0</v>
      </c>
      <c r="T1999" s="104">
        <f t="shared" si="99"/>
        <v>0</v>
      </c>
    </row>
    <row r="2000" spans="1:20">
      <c r="A2000" s="101"/>
      <c r="B2000" s="101"/>
      <c r="C2000" s="101"/>
      <c r="D2000" s="101"/>
      <c r="E2000" s="101"/>
      <c r="F2000" s="102"/>
      <c r="G2000" s="101"/>
      <c r="H2000" s="102"/>
      <c r="I2000" s="101"/>
      <c r="J2000" s="101"/>
      <c r="K2000" s="103"/>
      <c r="L2000" s="103"/>
      <c r="M2000" s="103"/>
      <c r="N2000" s="103"/>
      <c r="O2000" s="103"/>
      <c r="P2000" s="98"/>
      <c r="Q2000" s="99"/>
      <c r="R2000" s="105">
        <f t="shared" si="98"/>
        <v>0</v>
      </c>
      <c r="S2000" s="108">
        <f t="shared" si="97"/>
        <v>0</v>
      </c>
      <c r="T2000" s="105">
        <f t="shared" si="99"/>
        <v>0</v>
      </c>
    </row>
    <row r="2001" spans="1:20">
      <c r="A2001" s="101"/>
      <c r="B2001" s="101"/>
      <c r="C2001" s="101"/>
      <c r="D2001" s="101"/>
      <c r="E2001" s="101"/>
      <c r="F2001" s="102"/>
      <c r="G2001" s="101"/>
      <c r="H2001" s="102"/>
      <c r="I2001" s="101"/>
      <c r="J2001" s="101"/>
      <c r="K2001" s="103"/>
      <c r="L2001" s="103"/>
      <c r="M2001" s="103"/>
      <c r="N2001" s="103"/>
      <c r="O2001" s="103"/>
      <c r="P2001" s="98"/>
      <c r="Q2001" s="99"/>
      <c r="R2001" s="104">
        <f t="shared" si="98"/>
        <v>0</v>
      </c>
      <c r="S2001" s="104">
        <f t="shared" si="97"/>
        <v>0</v>
      </c>
      <c r="T2001" s="104">
        <f t="shared" si="99"/>
        <v>0</v>
      </c>
    </row>
    <row r="2002" spans="1:20">
      <c r="A2002" s="101"/>
      <c r="B2002" s="101"/>
      <c r="C2002" s="101"/>
      <c r="D2002" s="101"/>
      <c r="E2002" s="101"/>
      <c r="F2002" s="102"/>
      <c r="G2002" s="101"/>
      <c r="H2002" s="102"/>
      <c r="I2002" s="101"/>
      <c r="J2002" s="101"/>
      <c r="K2002" s="103"/>
      <c r="L2002" s="103"/>
      <c r="M2002" s="103"/>
      <c r="N2002" s="103"/>
      <c r="O2002" s="103"/>
      <c r="P2002" s="98"/>
      <c r="Q2002" s="99"/>
      <c r="R2002" s="105">
        <f t="shared" ref="R2002:R2065" si="100">IF(P2002="Cargo",K2002+L2002-M2002-N2002+O2002,0)</f>
        <v>0</v>
      </c>
      <c r="S2002" s="108">
        <f t="shared" ref="S2002:S2065" si="101">IF(P2002="Abono",K2002+L2002+M2002-N2002-O2002,0)</f>
        <v>0</v>
      </c>
      <c r="T2002" s="105">
        <f t="shared" ref="T2002:T2065" si="102">IF(Q2002="OK",+T2001+R2002-S2002,T2001)</f>
        <v>0</v>
      </c>
    </row>
    <row r="2003" spans="1:20">
      <c r="A2003" s="101"/>
      <c r="B2003" s="101"/>
      <c r="C2003" s="101"/>
      <c r="D2003" s="101"/>
      <c r="E2003" s="101"/>
      <c r="F2003" s="102"/>
      <c r="G2003" s="101"/>
      <c r="H2003" s="102"/>
      <c r="I2003" s="101"/>
      <c r="J2003" s="101"/>
      <c r="K2003" s="103"/>
      <c r="L2003" s="103"/>
      <c r="M2003" s="103"/>
      <c r="N2003" s="103"/>
      <c r="O2003" s="103"/>
      <c r="P2003" s="98"/>
      <c r="Q2003" s="99"/>
      <c r="R2003" s="104">
        <f t="shared" si="100"/>
        <v>0</v>
      </c>
      <c r="S2003" s="104">
        <f t="shared" si="101"/>
        <v>0</v>
      </c>
      <c r="T2003" s="104">
        <f t="shared" si="102"/>
        <v>0</v>
      </c>
    </row>
    <row r="2004" spans="1:20">
      <c r="A2004" s="101"/>
      <c r="B2004" s="101"/>
      <c r="C2004" s="101"/>
      <c r="D2004" s="101"/>
      <c r="E2004" s="101"/>
      <c r="F2004" s="102"/>
      <c r="G2004" s="101"/>
      <c r="H2004" s="102"/>
      <c r="I2004" s="101"/>
      <c r="J2004" s="101"/>
      <c r="K2004" s="103"/>
      <c r="L2004" s="103"/>
      <c r="M2004" s="103"/>
      <c r="N2004" s="103"/>
      <c r="O2004" s="103"/>
      <c r="P2004" s="98"/>
      <c r="Q2004" s="99"/>
      <c r="R2004" s="105">
        <f t="shared" si="100"/>
        <v>0</v>
      </c>
      <c r="S2004" s="108">
        <f t="shared" si="101"/>
        <v>0</v>
      </c>
      <c r="T2004" s="105">
        <f t="shared" si="102"/>
        <v>0</v>
      </c>
    </row>
    <row r="2005" spans="1:20">
      <c r="A2005" s="101"/>
      <c r="B2005" s="101"/>
      <c r="C2005" s="101"/>
      <c r="D2005" s="101"/>
      <c r="E2005" s="101"/>
      <c r="F2005" s="102"/>
      <c r="G2005" s="101"/>
      <c r="H2005" s="102"/>
      <c r="I2005" s="101"/>
      <c r="J2005" s="101"/>
      <c r="K2005" s="103"/>
      <c r="L2005" s="103"/>
      <c r="M2005" s="103"/>
      <c r="N2005" s="103"/>
      <c r="O2005" s="103"/>
      <c r="P2005" s="98"/>
      <c r="Q2005" s="99"/>
      <c r="R2005" s="104">
        <f t="shared" si="100"/>
        <v>0</v>
      </c>
      <c r="S2005" s="104">
        <f t="shared" si="101"/>
        <v>0</v>
      </c>
      <c r="T2005" s="104">
        <f t="shared" si="102"/>
        <v>0</v>
      </c>
    </row>
    <row r="2006" spans="1:20">
      <c r="A2006" s="101"/>
      <c r="B2006" s="101"/>
      <c r="C2006" s="101"/>
      <c r="D2006" s="101"/>
      <c r="E2006" s="101"/>
      <c r="F2006" s="102"/>
      <c r="G2006" s="101"/>
      <c r="H2006" s="102"/>
      <c r="I2006" s="101"/>
      <c r="J2006" s="101"/>
      <c r="K2006" s="103"/>
      <c r="L2006" s="103"/>
      <c r="M2006" s="103"/>
      <c r="N2006" s="103"/>
      <c r="O2006" s="103"/>
      <c r="P2006" s="98"/>
      <c r="Q2006" s="99"/>
      <c r="R2006" s="105">
        <f t="shared" si="100"/>
        <v>0</v>
      </c>
      <c r="S2006" s="108">
        <f t="shared" si="101"/>
        <v>0</v>
      </c>
      <c r="T2006" s="105">
        <f t="shared" si="102"/>
        <v>0</v>
      </c>
    </row>
    <row r="2007" spans="1:20">
      <c r="A2007" s="101"/>
      <c r="B2007" s="101"/>
      <c r="C2007" s="101"/>
      <c r="D2007" s="101"/>
      <c r="E2007" s="101"/>
      <c r="F2007" s="102"/>
      <c r="G2007" s="101"/>
      <c r="H2007" s="102"/>
      <c r="I2007" s="101"/>
      <c r="J2007" s="101"/>
      <c r="K2007" s="103"/>
      <c r="L2007" s="103"/>
      <c r="M2007" s="103"/>
      <c r="N2007" s="103"/>
      <c r="O2007" s="103"/>
      <c r="P2007" s="98"/>
      <c r="Q2007" s="99"/>
      <c r="R2007" s="104">
        <f t="shared" si="100"/>
        <v>0</v>
      </c>
      <c r="S2007" s="104">
        <f t="shared" si="101"/>
        <v>0</v>
      </c>
      <c r="T2007" s="104">
        <f t="shared" si="102"/>
        <v>0</v>
      </c>
    </row>
    <row r="2008" spans="1:20">
      <c r="A2008" s="101"/>
      <c r="B2008" s="101"/>
      <c r="C2008" s="101"/>
      <c r="D2008" s="101"/>
      <c r="E2008" s="101"/>
      <c r="F2008" s="102"/>
      <c r="G2008" s="101"/>
      <c r="H2008" s="102"/>
      <c r="I2008" s="101"/>
      <c r="J2008" s="101"/>
      <c r="K2008" s="103"/>
      <c r="L2008" s="103"/>
      <c r="M2008" s="103"/>
      <c r="N2008" s="103"/>
      <c r="O2008" s="103"/>
      <c r="P2008" s="98"/>
      <c r="Q2008" s="99"/>
      <c r="R2008" s="105">
        <f t="shared" si="100"/>
        <v>0</v>
      </c>
      <c r="S2008" s="108">
        <f t="shared" si="101"/>
        <v>0</v>
      </c>
      <c r="T2008" s="105">
        <f t="shared" si="102"/>
        <v>0</v>
      </c>
    </row>
    <row r="2009" spans="1:20">
      <c r="A2009" s="101"/>
      <c r="B2009" s="101"/>
      <c r="C2009" s="101"/>
      <c r="D2009" s="101"/>
      <c r="E2009" s="101"/>
      <c r="F2009" s="102"/>
      <c r="G2009" s="101"/>
      <c r="H2009" s="102"/>
      <c r="I2009" s="101"/>
      <c r="J2009" s="101"/>
      <c r="K2009" s="103"/>
      <c r="L2009" s="103"/>
      <c r="M2009" s="103"/>
      <c r="N2009" s="103"/>
      <c r="O2009" s="103"/>
      <c r="P2009" s="98"/>
      <c r="Q2009" s="99"/>
      <c r="R2009" s="104">
        <f t="shared" si="100"/>
        <v>0</v>
      </c>
      <c r="S2009" s="104">
        <f t="shared" si="101"/>
        <v>0</v>
      </c>
      <c r="T2009" s="104">
        <f t="shared" si="102"/>
        <v>0</v>
      </c>
    </row>
    <row r="2010" spans="1:20">
      <c r="A2010" s="101"/>
      <c r="B2010" s="101"/>
      <c r="C2010" s="101"/>
      <c r="D2010" s="101"/>
      <c r="E2010" s="101"/>
      <c r="F2010" s="102"/>
      <c r="G2010" s="101"/>
      <c r="H2010" s="102"/>
      <c r="I2010" s="101"/>
      <c r="J2010" s="101"/>
      <c r="K2010" s="103"/>
      <c r="L2010" s="103"/>
      <c r="M2010" s="103"/>
      <c r="N2010" s="103"/>
      <c r="O2010" s="103"/>
      <c r="P2010" s="98"/>
      <c r="Q2010" s="99"/>
      <c r="R2010" s="105">
        <f t="shared" si="100"/>
        <v>0</v>
      </c>
      <c r="S2010" s="108">
        <f t="shared" si="101"/>
        <v>0</v>
      </c>
      <c r="T2010" s="105">
        <f t="shared" si="102"/>
        <v>0</v>
      </c>
    </row>
    <row r="2011" spans="1:20">
      <c r="A2011" s="101"/>
      <c r="B2011" s="101"/>
      <c r="C2011" s="101"/>
      <c r="D2011" s="101"/>
      <c r="E2011" s="101"/>
      <c r="F2011" s="102"/>
      <c r="G2011" s="101"/>
      <c r="H2011" s="102"/>
      <c r="I2011" s="101"/>
      <c r="J2011" s="101"/>
      <c r="K2011" s="103"/>
      <c r="L2011" s="103"/>
      <c r="M2011" s="103"/>
      <c r="N2011" s="103"/>
      <c r="O2011" s="103"/>
      <c r="P2011" s="98"/>
      <c r="Q2011" s="99"/>
      <c r="R2011" s="104">
        <f t="shared" si="100"/>
        <v>0</v>
      </c>
      <c r="S2011" s="104">
        <f t="shared" si="101"/>
        <v>0</v>
      </c>
      <c r="T2011" s="104">
        <f t="shared" si="102"/>
        <v>0</v>
      </c>
    </row>
    <row r="2012" spans="1:20">
      <c r="A2012" s="101"/>
      <c r="B2012" s="101"/>
      <c r="C2012" s="101"/>
      <c r="D2012" s="101"/>
      <c r="E2012" s="101"/>
      <c r="F2012" s="102"/>
      <c r="G2012" s="101"/>
      <c r="H2012" s="102"/>
      <c r="I2012" s="101"/>
      <c r="J2012" s="101"/>
      <c r="K2012" s="103"/>
      <c r="L2012" s="103"/>
      <c r="M2012" s="103"/>
      <c r="N2012" s="103"/>
      <c r="O2012" s="103"/>
      <c r="P2012" s="98"/>
      <c r="Q2012" s="99"/>
      <c r="R2012" s="105">
        <f t="shared" si="100"/>
        <v>0</v>
      </c>
      <c r="S2012" s="108">
        <f t="shared" si="101"/>
        <v>0</v>
      </c>
      <c r="T2012" s="105">
        <f t="shared" si="102"/>
        <v>0</v>
      </c>
    </row>
    <row r="2013" spans="1:20">
      <c r="A2013" s="101"/>
      <c r="B2013" s="101"/>
      <c r="C2013" s="101"/>
      <c r="D2013" s="101"/>
      <c r="E2013" s="101"/>
      <c r="F2013" s="102"/>
      <c r="G2013" s="101"/>
      <c r="H2013" s="102"/>
      <c r="I2013" s="101"/>
      <c r="J2013" s="101"/>
      <c r="K2013" s="103"/>
      <c r="L2013" s="103"/>
      <c r="M2013" s="103"/>
      <c r="N2013" s="103"/>
      <c r="O2013" s="103"/>
      <c r="P2013" s="98"/>
      <c r="Q2013" s="99"/>
      <c r="R2013" s="104">
        <f t="shared" si="100"/>
        <v>0</v>
      </c>
      <c r="S2013" s="104">
        <f t="shared" si="101"/>
        <v>0</v>
      </c>
      <c r="T2013" s="104">
        <f t="shared" si="102"/>
        <v>0</v>
      </c>
    </row>
    <row r="2014" spans="1:20">
      <c r="A2014" s="101"/>
      <c r="B2014" s="101"/>
      <c r="C2014" s="101"/>
      <c r="D2014" s="101"/>
      <c r="E2014" s="101"/>
      <c r="F2014" s="102"/>
      <c r="G2014" s="101"/>
      <c r="H2014" s="102"/>
      <c r="I2014" s="101"/>
      <c r="J2014" s="101"/>
      <c r="K2014" s="103"/>
      <c r="L2014" s="103"/>
      <c r="M2014" s="103"/>
      <c r="N2014" s="103"/>
      <c r="O2014" s="103"/>
      <c r="P2014" s="98"/>
      <c r="Q2014" s="99"/>
      <c r="R2014" s="105">
        <f t="shared" si="100"/>
        <v>0</v>
      </c>
      <c r="S2014" s="108">
        <f t="shared" si="101"/>
        <v>0</v>
      </c>
      <c r="T2014" s="105">
        <f t="shared" si="102"/>
        <v>0</v>
      </c>
    </row>
    <row r="2015" spans="1:20">
      <c r="A2015" s="101"/>
      <c r="B2015" s="101"/>
      <c r="C2015" s="101"/>
      <c r="D2015" s="101"/>
      <c r="E2015" s="101"/>
      <c r="F2015" s="102"/>
      <c r="G2015" s="101"/>
      <c r="H2015" s="102"/>
      <c r="I2015" s="101"/>
      <c r="J2015" s="101"/>
      <c r="K2015" s="103"/>
      <c r="L2015" s="103"/>
      <c r="M2015" s="103"/>
      <c r="N2015" s="103"/>
      <c r="O2015" s="103"/>
      <c r="P2015" s="98"/>
      <c r="Q2015" s="99"/>
      <c r="R2015" s="104">
        <f t="shared" si="100"/>
        <v>0</v>
      </c>
      <c r="S2015" s="104">
        <f t="shared" si="101"/>
        <v>0</v>
      </c>
      <c r="T2015" s="104">
        <f t="shared" si="102"/>
        <v>0</v>
      </c>
    </row>
    <row r="2016" spans="1:20">
      <c r="A2016" s="101"/>
      <c r="B2016" s="101"/>
      <c r="C2016" s="101"/>
      <c r="D2016" s="101"/>
      <c r="E2016" s="101"/>
      <c r="F2016" s="102"/>
      <c r="G2016" s="101"/>
      <c r="H2016" s="102"/>
      <c r="I2016" s="101"/>
      <c r="J2016" s="101"/>
      <c r="K2016" s="103"/>
      <c r="L2016" s="103"/>
      <c r="M2016" s="103"/>
      <c r="N2016" s="103"/>
      <c r="O2016" s="103"/>
      <c r="P2016" s="98"/>
      <c r="Q2016" s="99"/>
      <c r="R2016" s="105">
        <f t="shared" si="100"/>
        <v>0</v>
      </c>
      <c r="S2016" s="108">
        <f t="shared" si="101"/>
        <v>0</v>
      </c>
      <c r="T2016" s="105">
        <f t="shared" si="102"/>
        <v>0</v>
      </c>
    </row>
    <row r="2017" spans="1:20">
      <c r="A2017" s="101"/>
      <c r="B2017" s="101"/>
      <c r="C2017" s="101"/>
      <c r="D2017" s="101"/>
      <c r="E2017" s="101"/>
      <c r="F2017" s="102"/>
      <c r="G2017" s="101"/>
      <c r="H2017" s="102"/>
      <c r="I2017" s="101"/>
      <c r="J2017" s="101"/>
      <c r="K2017" s="103"/>
      <c r="L2017" s="103"/>
      <c r="M2017" s="103"/>
      <c r="N2017" s="103"/>
      <c r="O2017" s="103"/>
      <c r="P2017" s="98"/>
      <c r="Q2017" s="99"/>
      <c r="R2017" s="104">
        <f t="shared" si="100"/>
        <v>0</v>
      </c>
      <c r="S2017" s="104">
        <f t="shared" si="101"/>
        <v>0</v>
      </c>
      <c r="T2017" s="104">
        <f t="shared" si="102"/>
        <v>0</v>
      </c>
    </row>
    <row r="2018" spans="1:20">
      <c r="A2018" s="101"/>
      <c r="B2018" s="101"/>
      <c r="C2018" s="101"/>
      <c r="D2018" s="101"/>
      <c r="E2018" s="101"/>
      <c r="F2018" s="102"/>
      <c r="G2018" s="101"/>
      <c r="H2018" s="102"/>
      <c r="I2018" s="101"/>
      <c r="J2018" s="101"/>
      <c r="K2018" s="103"/>
      <c r="L2018" s="103"/>
      <c r="M2018" s="103"/>
      <c r="N2018" s="103"/>
      <c r="O2018" s="103"/>
      <c r="P2018" s="98"/>
      <c r="Q2018" s="99"/>
      <c r="R2018" s="105">
        <f t="shared" si="100"/>
        <v>0</v>
      </c>
      <c r="S2018" s="108">
        <f t="shared" si="101"/>
        <v>0</v>
      </c>
      <c r="T2018" s="105">
        <f t="shared" si="102"/>
        <v>0</v>
      </c>
    </row>
    <row r="2019" spans="1:20">
      <c r="A2019" s="101"/>
      <c r="B2019" s="101"/>
      <c r="C2019" s="101"/>
      <c r="D2019" s="101"/>
      <c r="E2019" s="101"/>
      <c r="F2019" s="102"/>
      <c r="G2019" s="101"/>
      <c r="H2019" s="102"/>
      <c r="I2019" s="101"/>
      <c r="J2019" s="101"/>
      <c r="K2019" s="103"/>
      <c r="L2019" s="103"/>
      <c r="M2019" s="103"/>
      <c r="N2019" s="103"/>
      <c r="O2019" s="103"/>
      <c r="P2019" s="98"/>
      <c r="Q2019" s="99"/>
      <c r="R2019" s="104">
        <f t="shared" si="100"/>
        <v>0</v>
      </c>
      <c r="S2019" s="104">
        <f t="shared" si="101"/>
        <v>0</v>
      </c>
      <c r="T2019" s="104">
        <f t="shared" si="102"/>
        <v>0</v>
      </c>
    </row>
    <row r="2020" spans="1:20">
      <c r="A2020" s="101"/>
      <c r="B2020" s="101"/>
      <c r="C2020" s="101"/>
      <c r="D2020" s="101"/>
      <c r="E2020" s="101"/>
      <c r="F2020" s="102"/>
      <c r="G2020" s="101"/>
      <c r="H2020" s="102"/>
      <c r="I2020" s="101"/>
      <c r="J2020" s="101"/>
      <c r="K2020" s="103"/>
      <c r="L2020" s="103"/>
      <c r="M2020" s="103"/>
      <c r="N2020" s="103"/>
      <c r="O2020" s="103"/>
      <c r="P2020" s="98"/>
      <c r="Q2020" s="99"/>
      <c r="R2020" s="105">
        <f t="shared" si="100"/>
        <v>0</v>
      </c>
      <c r="S2020" s="108">
        <f t="shared" si="101"/>
        <v>0</v>
      </c>
      <c r="T2020" s="105">
        <f t="shared" si="102"/>
        <v>0</v>
      </c>
    </row>
    <row r="2021" spans="1:20">
      <c r="A2021" s="101"/>
      <c r="B2021" s="101"/>
      <c r="C2021" s="101"/>
      <c r="D2021" s="101"/>
      <c r="E2021" s="101"/>
      <c r="F2021" s="102"/>
      <c r="G2021" s="101"/>
      <c r="H2021" s="102"/>
      <c r="I2021" s="101"/>
      <c r="J2021" s="101"/>
      <c r="K2021" s="103"/>
      <c r="L2021" s="103"/>
      <c r="M2021" s="103"/>
      <c r="N2021" s="103"/>
      <c r="O2021" s="103"/>
      <c r="P2021" s="98"/>
      <c r="Q2021" s="99"/>
      <c r="R2021" s="104">
        <f t="shared" si="100"/>
        <v>0</v>
      </c>
      <c r="S2021" s="104">
        <f t="shared" si="101"/>
        <v>0</v>
      </c>
      <c r="T2021" s="104">
        <f t="shared" si="102"/>
        <v>0</v>
      </c>
    </row>
    <row r="2022" spans="1:20">
      <c r="A2022" s="101"/>
      <c r="B2022" s="101"/>
      <c r="C2022" s="101"/>
      <c r="D2022" s="101"/>
      <c r="E2022" s="101"/>
      <c r="F2022" s="102"/>
      <c r="G2022" s="101"/>
      <c r="H2022" s="102"/>
      <c r="I2022" s="101"/>
      <c r="J2022" s="101"/>
      <c r="K2022" s="103"/>
      <c r="L2022" s="103"/>
      <c r="M2022" s="103"/>
      <c r="N2022" s="103"/>
      <c r="O2022" s="103"/>
      <c r="P2022" s="98"/>
      <c r="Q2022" s="99"/>
      <c r="R2022" s="105">
        <f t="shared" si="100"/>
        <v>0</v>
      </c>
      <c r="S2022" s="108">
        <f t="shared" si="101"/>
        <v>0</v>
      </c>
      <c r="T2022" s="105">
        <f t="shared" si="102"/>
        <v>0</v>
      </c>
    </row>
    <row r="2023" spans="1:20">
      <c r="A2023" s="101"/>
      <c r="B2023" s="101"/>
      <c r="C2023" s="101"/>
      <c r="D2023" s="101"/>
      <c r="E2023" s="101"/>
      <c r="F2023" s="102"/>
      <c r="G2023" s="101"/>
      <c r="H2023" s="102"/>
      <c r="I2023" s="101"/>
      <c r="J2023" s="101"/>
      <c r="K2023" s="103"/>
      <c r="L2023" s="103"/>
      <c r="M2023" s="103"/>
      <c r="N2023" s="103"/>
      <c r="O2023" s="103"/>
      <c r="P2023" s="98"/>
      <c r="Q2023" s="99"/>
      <c r="R2023" s="104">
        <f t="shared" si="100"/>
        <v>0</v>
      </c>
      <c r="S2023" s="104">
        <f t="shared" si="101"/>
        <v>0</v>
      </c>
      <c r="T2023" s="104">
        <f t="shared" si="102"/>
        <v>0</v>
      </c>
    </row>
    <row r="2024" spans="1:20">
      <c r="A2024" s="101"/>
      <c r="B2024" s="101"/>
      <c r="C2024" s="101"/>
      <c r="D2024" s="101"/>
      <c r="E2024" s="101"/>
      <c r="F2024" s="102"/>
      <c r="G2024" s="101"/>
      <c r="H2024" s="102"/>
      <c r="I2024" s="101"/>
      <c r="J2024" s="101"/>
      <c r="K2024" s="103"/>
      <c r="L2024" s="103"/>
      <c r="M2024" s="103"/>
      <c r="N2024" s="103"/>
      <c r="O2024" s="103"/>
      <c r="P2024" s="98"/>
      <c r="Q2024" s="99"/>
      <c r="R2024" s="105">
        <f t="shared" si="100"/>
        <v>0</v>
      </c>
      <c r="S2024" s="108">
        <f t="shared" si="101"/>
        <v>0</v>
      </c>
      <c r="T2024" s="105">
        <f t="shared" si="102"/>
        <v>0</v>
      </c>
    </row>
    <row r="2025" spans="1:20">
      <c r="A2025" s="101"/>
      <c r="B2025" s="101"/>
      <c r="C2025" s="101"/>
      <c r="D2025" s="101"/>
      <c r="E2025" s="101"/>
      <c r="F2025" s="102"/>
      <c r="G2025" s="101"/>
      <c r="H2025" s="102"/>
      <c r="I2025" s="101"/>
      <c r="J2025" s="101"/>
      <c r="K2025" s="103"/>
      <c r="L2025" s="103"/>
      <c r="M2025" s="103"/>
      <c r="N2025" s="103"/>
      <c r="O2025" s="103"/>
      <c r="P2025" s="98"/>
      <c r="Q2025" s="99"/>
      <c r="R2025" s="104">
        <f t="shared" si="100"/>
        <v>0</v>
      </c>
      <c r="S2025" s="104">
        <f t="shared" si="101"/>
        <v>0</v>
      </c>
      <c r="T2025" s="104">
        <f t="shared" si="102"/>
        <v>0</v>
      </c>
    </row>
    <row r="2026" spans="1:20">
      <c r="A2026" s="101"/>
      <c r="B2026" s="101"/>
      <c r="C2026" s="101"/>
      <c r="D2026" s="101"/>
      <c r="E2026" s="101"/>
      <c r="F2026" s="102"/>
      <c r="G2026" s="101"/>
      <c r="H2026" s="102"/>
      <c r="I2026" s="101"/>
      <c r="J2026" s="101"/>
      <c r="K2026" s="103"/>
      <c r="L2026" s="103"/>
      <c r="M2026" s="103"/>
      <c r="N2026" s="103"/>
      <c r="O2026" s="103"/>
      <c r="P2026" s="98"/>
      <c r="Q2026" s="99"/>
      <c r="R2026" s="105">
        <f t="shared" si="100"/>
        <v>0</v>
      </c>
      <c r="S2026" s="108">
        <f t="shared" si="101"/>
        <v>0</v>
      </c>
      <c r="T2026" s="105">
        <f t="shared" si="102"/>
        <v>0</v>
      </c>
    </row>
    <row r="2027" spans="1:20">
      <c r="A2027" s="101"/>
      <c r="B2027" s="101"/>
      <c r="C2027" s="101"/>
      <c r="D2027" s="101"/>
      <c r="E2027" s="101"/>
      <c r="F2027" s="102"/>
      <c r="G2027" s="101"/>
      <c r="H2027" s="102"/>
      <c r="I2027" s="101"/>
      <c r="J2027" s="101"/>
      <c r="K2027" s="103"/>
      <c r="L2027" s="103"/>
      <c r="M2027" s="103"/>
      <c r="N2027" s="103"/>
      <c r="O2027" s="103"/>
      <c r="P2027" s="98"/>
      <c r="Q2027" s="99"/>
      <c r="R2027" s="104">
        <f t="shared" si="100"/>
        <v>0</v>
      </c>
      <c r="S2027" s="104">
        <f t="shared" si="101"/>
        <v>0</v>
      </c>
      <c r="T2027" s="104">
        <f t="shared" si="102"/>
        <v>0</v>
      </c>
    </row>
    <row r="2028" spans="1:20">
      <c r="A2028" s="101"/>
      <c r="B2028" s="101"/>
      <c r="C2028" s="101"/>
      <c r="D2028" s="101"/>
      <c r="E2028" s="101"/>
      <c r="F2028" s="102"/>
      <c r="G2028" s="101"/>
      <c r="H2028" s="102"/>
      <c r="I2028" s="101"/>
      <c r="J2028" s="101"/>
      <c r="K2028" s="103"/>
      <c r="L2028" s="103"/>
      <c r="M2028" s="103"/>
      <c r="N2028" s="103"/>
      <c r="O2028" s="103"/>
      <c r="P2028" s="98"/>
      <c r="Q2028" s="99"/>
      <c r="R2028" s="105">
        <f t="shared" si="100"/>
        <v>0</v>
      </c>
      <c r="S2028" s="108">
        <f t="shared" si="101"/>
        <v>0</v>
      </c>
      <c r="T2028" s="105">
        <f t="shared" si="102"/>
        <v>0</v>
      </c>
    </row>
    <row r="2029" spans="1:20">
      <c r="A2029" s="101"/>
      <c r="B2029" s="101"/>
      <c r="C2029" s="101"/>
      <c r="D2029" s="101"/>
      <c r="E2029" s="101"/>
      <c r="F2029" s="102"/>
      <c r="G2029" s="101"/>
      <c r="H2029" s="102"/>
      <c r="I2029" s="101"/>
      <c r="J2029" s="101"/>
      <c r="K2029" s="103"/>
      <c r="L2029" s="103"/>
      <c r="M2029" s="103"/>
      <c r="N2029" s="103"/>
      <c r="O2029" s="103"/>
      <c r="P2029" s="98"/>
      <c r="Q2029" s="99"/>
      <c r="R2029" s="104">
        <f t="shared" si="100"/>
        <v>0</v>
      </c>
      <c r="S2029" s="104">
        <f t="shared" si="101"/>
        <v>0</v>
      </c>
      <c r="T2029" s="104">
        <f t="shared" si="102"/>
        <v>0</v>
      </c>
    </row>
    <row r="2030" spans="1:20">
      <c r="A2030" s="101"/>
      <c r="B2030" s="101"/>
      <c r="C2030" s="101"/>
      <c r="D2030" s="101"/>
      <c r="E2030" s="101"/>
      <c r="F2030" s="102"/>
      <c r="G2030" s="101"/>
      <c r="H2030" s="102"/>
      <c r="I2030" s="101"/>
      <c r="J2030" s="101"/>
      <c r="K2030" s="103"/>
      <c r="L2030" s="103"/>
      <c r="M2030" s="103"/>
      <c r="N2030" s="103"/>
      <c r="O2030" s="103"/>
      <c r="P2030" s="98"/>
      <c r="Q2030" s="99"/>
      <c r="R2030" s="105">
        <f t="shared" si="100"/>
        <v>0</v>
      </c>
      <c r="S2030" s="108">
        <f t="shared" si="101"/>
        <v>0</v>
      </c>
      <c r="T2030" s="105">
        <f t="shared" si="102"/>
        <v>0</v>
      </c>
    </row>
    <row r="2031" spans="1:20">
      <c r="A2031" s="101"/>
      <c r="B2031" s="101"/>
      <c r="C2031" s="101"/>
      <c r="D2031" s="101"/>
      <c r="E2031" s="101"/>
      <c r="F2031" s="102"/>
      <c r="G2031" s="101"/>
      <c r="H2031" s="102"/>
      <c r="I2031" s="101"/>
      <c r="J2031" s="101"/>
      <c r="K2031" s="103"/>
      <c r="L2031" s="103"/>
      <c r="M2031" s="103"/>
      <c r="N2031" s="103"/>
      <c r="O2031" s="103"/>
      <c r="P2031" s="98"/>
      <c r="Q2031" s="99"/>
      <c r="R2031" s="104">
        <f t="shared" si="100"/>
        <v>0</v>
      </c>
      <c r="S2031" s="104">
        <f t="shared" si="101"/>
        <v>0</v>
      </c>
      <c r="T2031" s="104">
        <f t="shared" si="102"/>
        <v>0</v>
      </c>
    </row>
    <row r="2032" spans="1:20">
      <c r="A2032" s="101"/>
      <c r="B2032" s="101"/>
      <c r="C2032" s="101"/>
      <c r="D2032" s="101"/>
      <c r="E2032" s="101"/>
      <c r="F2032" s="102"/>
      <c r="G2032" s="101"/>
      <c r="H2032" s="102"/>
      <c r="I2032" s="101"/>
      <c r="J2032" s="101"/>
      <c r="K2032" s="103"/>
      <c r="L2032" s="103"/>
      <c r="M2032" s="103"/>
      <c r="N2032" s="103"/>
      <c r="O2032" s="103"/>
      <c r="P2032" s="98"/>
      <c r="Q2032" s="99"/>
      <c r="R2032" s="105">
        <f t="shared" si="100"/>
        <v>0</v>
      </c>
      <c r="S2032" s="108">
        <f t="shared" si="101"/>
        <v>0</v>
      </c>
      <c r="T2032" s="105">
        <f t="shared" si="102"/>
        <v>0</v>
      </c>
    </row>
    <row r="2033" spans="1:20">
      <c r="A2033" s="101"/>
      <c r="B2033" s="101"/>
      <c r="C2033" s="101"/>
      <c r="D2033" s="101"/>
      <c r="E2033" s="101"/>
      <c r="F2033" s="102"/>
      <c r="G2033" s="101"/>
      <c r="H2033" s="102"/>
      <c r="I2033" s="101"/>
      <c r="J2033" s="101"/>
      <c r="K2033" s="103"/>
      <c r="L2033" s="103"/>
      <c r="M2033" s="103"/>
      <c r="N2033" s="103"/>
      <c r="O2033" s="103"/>
      <c r="P2033" s="98"/>
      <c r="Q2033" s="99"/>
      <c r="R2033" s="104">
        <f t="shared" si="100"/>
        <v>0</v>
      </c>
      <c r="S2033" s="104">
        <f t="shared" si="101"/>
        <v>0</v>
      </c>
      <c r="T2033" s="104">
        <f t="shared" si="102"/>
        <v>0</v>
      </c>
    </row>
    <row r="2034" spans="1:20">
      <c r="A2034" s="101"/>
      <c r="B2034" s="101"/>
      <c r="C2034" s="101"/>
      <c r="D2034" s="101"/>
      <c r="E2034" s="101"/>
      <c r="F2034" s="102"/>
      <c r="G2034" s="101"/>
      <c r="H2034" s="102"/>
      <c r="I2034" s="101"/>
      <c r="J2034" s="101"/>
      <c r="K2034" s="103"/>
      <c r="L2034" s="103"/>
      <c r="M2034" s="103"/>
      <c r="N2034" s="103"/>
      <c r="O2034" s="103"/>
      <c r="P2034" s="98"/>
      <c r="Q2034" s="99"/>
      <c r="R2034" s="105">
        <f t="shared" si="100"/>
        <v>0</v>
      </c>
      <c r="S2034" s="108">
        <f t="shared" si="101"/>
        <v>0</v>
      </c>
      <c r="T2034" s="105">
        <f t="shared" si="102"/>
        <v>0</v>
      </c>
    </row>
    <row r="2035" spans="1:20">
      <c r="A2035" s="101"/>
      <c r="B2035" s="101"/>
      <c r="C2035" s="101"/>
      <c r="D2035" s="101"/>
      <c r="E2035" s="101"/>
      <c r="F2035" s="102"/>
      <c r="G2035" s="101"/>
      <c r="H2035" s="102"/>
      <c r="I2035" s="101"/>
      <c r="J2035" s="101"/>
      <c r="K2035" s="103"/>
      <c r="L2035" s="103"/>
      <c r="M2035" s="103"/>
      <c r="N2035" s="103"/>
      <c r="O2035" s="103"/>
      <c r="P2035" s="98"/>
      <c r="Q2035" s="99"/>
      <c r="R2035" s="104">
        <f t="shared" si="100"/>
        <v>0</v>
      </c>
      <c r="S2035" s="104">
        <f t="shared" si="101"/>
        <v>0</v>
      </c>
      <c r="T2035" s="104">
        <f t="shared" si="102"/>
        <v>0</v>
      </c>
    </row>
    <row r="2036" spans="1:20">
      <c r="A2036" s="101"/>
      <c r="B2036" s="101"/>
      <c r="C2036" s="101"/>
      <c r="D2036" s="101"/>
      <c r="E2036" s="101"/>
      <c r="F2036" s="102"/>
      <c r="G2036" s="101"/>
      <c r="H2036" s="102"/>
      <c r="I2036" s="101"/>
      <c r="J2036" s="101"/>
      <c r="K2036" s="103"/>
      <c r="L2036" s="103"/>
      <c r="M2036" s="103"/>
      <c r="N2036" s="103"/>
      <c r="O2036" s="103"/>
      <c r="P2036" s="98"/>
      <c r="Q2036" s="99"/>
      <c r="R2036" s="105">
        <f t="shared" si="100"/>
        <v>0</v>
      </c>
      <c r="S2036" s="108">
        <f t="shared" si="101"/>
        <v>0</v>
      </c>
      <c r="T2036" s="105">
        <f t="shared" si="102"/>
        <v>0</v>
      </c>
    </row>
    <row r="2037" spans="1:20">
      <c r="A2037" s="101"/>
      <c r="B2037" s="101"/>
      <c r="C2037" s="101"/>
      <c r="D2037" s="101"/>
      <c r="E2037" s="101"/>
      <c r="F2037" s="102"/>
      <c r="G2037" s="101"/>
      <c r="H2037" s="102"/>
      <c r="I2037" s="101"/>
      <c r="J2037" s="101"/>
      <c r="K2037" s="103"/>
      <c r="L2037" s="103"/>
      <c r="M2037" s="103"/>
      <c r="N2037" s="103"/>
      <c r="O2037" s="103"/>
      <c r="P2037" s="98"/>
      <c r="Q2037" s="99"/>
      <c r="R2037" s="104">
        <f t="shared" si="100"/>
        <v>0</v>
      </c>
      <c r="S2037" s="104">
        <f t="shared" si="101"/>
        <v>0</v>
      </c>
      <c r="T2037" s="104">
        <f t="shared" si="102"/>
        <v>0</v>
      </c>
    </row>
    <row r="2038" spans="1:20">
      <c r="A2038" s="101"/>
      <c r="B2038" s="101"/>
      <c r="C2038" s="101"/>
      <c r="D2038" s="101"/>
      <c r="E2038" s="101"/>
      <c r="F2038" s="102"/>
      <c r="G2038" s="101"/>
      <c r="H2038" s="102"/>
      <c r="I2038" s="101"/>
      <c r="J2038" s="101"/>
      <c r="K2038" s="103"/>
      <c r="L2038" s="103"/>
      <c r="M2038" s="103"/>
      <c r="N2038" s="103"/>
      <c r="O2038" s="103"/>
      <c r="P2038" s="98"/>
      <c r="Q2038" s="99"/>
      <c r="R2038" s="105">
        <f t="shared" si="100"/>
        <v>0</v>
      </c>
      <c r="S2038" s="108">
        <f t="shared" si="101"/>
        <v>0</v>
      </c>
      <c r="T2038" s="105">
        <f t="shared" si="102"/>
        <v>0</v>
      </c>
    </row>
    <row r="2039" spans="1:20">
      <c r="A2039" s="101"/>
      <c r="B2039" s="101"/>
      <c r="C2039" s="101"/>
      <c r="D2039" s="101"/>
      <c r="E2039" s="101"/>
      <c r="F2039" s="102"/>
      <c r="G2039" s="101"/>
      <c r="H2039" s="102"/>
      <c r="I2039" s="101"/>
      <c r="J2039" s="101"/>
      <c r="K2039" s="103"/>
      <c r="L2039" s="103"/>
      <c r="M2039" s="103"/>
      <c r="N2039" s="103"/>
      <c r="O2039" s="103"/>
      <c r="P2039" s="98"/>
      <c r="Q2039" s="99"/>
      <c r="R2039" s="104">
        <f t="shared" si="100"/>
        <v>0</v>
      </c>
      <c r="S2039" s="104">
        <f t="shared" si="101"/>
        <v>0</v>
      </c>
      <c r="T2039" s="104">
        <f t="shared" si="102"/>
        <v>0</v>
      </c>
    </row>
    <row r="2040" spans="1:20">
      <c r="A2040" s="101"/>
      <c r="B2040" s="101"/>
      <c r="C2040" s="101"/>
      <c r="D2040" s="101"/>
      <c r="E2040" s="101"/>
      <c r="F2040" s="102"/>
      <c r="G2040" s="101"/>
      <c r="H2040" s="102"/>
      <c r="I2040" s="101"/>
      <c r="J2040" s="101"/>
      <c r="K2040" s="103"/>
      <c r="L2040" s="103"/>
      <c r="M2040" s="103"/>
      <c r="N2040" s="103"/>
      <c r="O2040" s="103"/>
      <c r="P2040" s="98"/>
      <c r="Q2040" s="99"/>
      <c r="R2040" s="105">
        <f t="shared" si="100"/>
        <v>0</v>
      </c>
      <c r="S2040" s="108">
        <f t="shared" si="101"/>
        <v>0</v>
      </c>
      <c r="T2040" s="105">
        <f t="shared" si="102"/>
        <v>0</v>
      </c>
    </row>
    <row r="2041" spans="1:20">
      <c r="A2041" s="101"/>
      <c r="B2041" s="101"/>
      <c r="C2041" s="101"/>
      <c r="D2041" s="101"/>
      <c r="E2041" s="101"/>
      <c r="F2041" s="102"/>
      <c r="G2041" s="101"/>
      <c r="H2041" s="102"/>
      <c r="I2041" s="101"/>
      <c r="J2041" s="101"/>
      <c r="K2041" s="103"/>
      <c r="L2041" s="103"/>
      <c r="M2041" s="103"/>
      <c r="N2041" s="103"/>
      <c r="O2041" s="103"/>
      <c r="P2041" s="98"/>
      <c r="Q2041" s="99"/>
      <c r="R2041" s="104">
        <f t="shared" si="100"/>
        <v>0</v>
      </c>
      <c r="S2041" s="104">
        <f t="shared" si="101"/>
        <v>0</v>
      </c>
      <c r="T2041" s="104">
        <f t="shared" si="102"/>
        <v>0</v>
      </c>
    </row>
    <row r="2042" spans="1:20">
      <c r="A2042" s="101"/>
      <c r="B2042" s="101"/>
      <c r="C2042" s="101"/>
      <c r="D2042" s="101"/>
      <c r="E2042" s="101"/>
      <c r="F2042" s="102"/>
      <c r="G2042" s="101"/>
      <c r="H2042" s="102"/>
      <c r="I2042" s="101"/>
      <c r="J2042" s="101"/>
      <c r="K2042" s="103"/>
      <c r="L2042" s="103"/>
      <c r="M2042" s="103"/>
      <c r="N2042" s="103"/>
      <c r="O2042" s="103"/>
      <c r="P2042" s="98"/>
      <c r="Q2042" s="99"/>
      <c r="R2042" s="105">
        <f t="shared" si="100"/>
        <v>0</v>
      </c>
      <c r="S2042" s="108">
        <f t="shared" si="101"/>
        <v>0</v>
      </c>
      <c r="T2042" s="105">
        <f t="shared" si="102"/>
        <v>0</v>
      </c>
    </row>
    <row r="2043" spans="1:20">
      <c r="A2043" s="101"/>
      <c r="B2043" s="101"/>
      <c r="C2043" s="101"/>
      <c r="D2043" s="101"/>
      <c r="E2043" s="101"/>
      <c r="F2043" s="102"/>
      <c r="G2043" s="101"/>
      <c r="H2043" s="102"/>
      <c r="I2043" s="101"/>
      <c r="J2043" s="101"/>
      <c r="K2043" s="103"/>
      <c r="L2043" s="103"/>
      <c r="M2043" s="103"/>
      <c r="N2043" s="103"/>
      <c r="O2043" s="103"/>
      <c r="P2043" s="98"/>
      <c r="Q2043" s="99"/>
      <c r="R2043" s="104">
        <f t="shared" si="100"/>
        <v>0</v>
      </c>
      <c r="S2043" s="104">
        <f t="shared" si="101"/>
        <v>0</v>
      </c>
      <c r="T2043" s="104">
        <f t="shared" si="102"/>
        <v>0</v>
      </c>
    </row>
    <row r="2044" spans="1:20">
      <c r="A2044" s="101"/>
      <c r="B2044" s="101"/>
      <c r="C2044" s="101"/>
      <c r="D2044" s="101"/>
      <c r="E2044" s="101"/>
      <c r="F2044" s="102"/>
      <c r="G2044" s="101"/>
      <c r="H2044" s="102"/>
      <c r="I2044" s="101"/>
      <c r="J2044" s="101"/>
      <c r="K2044" s="103"/>
      <c r="L2044" s="103"/>
      <c r="M2044" s="103"/>
      <c r="N2044" s="103"/>
      <c r="O2044" s="103"/>
      <c r="P2044" s="98"/>
      <c r="Q2044" s="99"/>
      <c r="R2044" s="105">
        <f t="shared" si="100"/>
        <v>0</v>
      </c>
      <c r="S2044" s="108">
        <f t="shared" si="101"/>
        <v>0</v>
      </c>
      <c r="T2044" s="105">
        <f t="shared" si="102"/>
        <v>0</v>
      </c>
    </row>
    <row r="2045" spans="1:20">
      <c r="A2045" s="101"/>
      <c r="B2045" s="101"/>
      <c r="C2045" s="101"/>
      <c r="D2045" s="101"/>
      <c r="E2045" s="101"/>
      <c r="F2045" s="102"/>
      <c r="G2045" s="101"/>
      <c r="H2045" s="102"/>
      <c r="I2045" s="101"/>
      <c r="J2045" s="101"/>
      <c r="K2045" s="103"/>
      <c r="L2045" s="103"/>
      <c r="M2045" s="103"/>
      <c r="N2045" s="103"/>
      <c r="O2045" s="103"/>
      <c r="P2045" s="98"/>
      <c r="Q2045" s="99"/>
      <c r="R2045" s="104">
        <f t="shared" si="100"/>
        <v>0</v>
      </c>
      <c r="S2045" s="104">
        <f t="shared" si="101"/>
        <v>0</v>
      </c>
      <c r="T2045" s="104">
        <f t="shared" si="102"/>
        <v>0</v>
      </c>
    </row>
    <row r="2046" spans="1:20">
      <c r="A2046" s="101"/>
      <c r="B2046" s="101"/>
      <c r="C2046" s="101"/>
      <c r="D2046" s="101"/>
      <c r="E2046" s="101"/>
      <c r="F2046" s="102"/>
      <c r="G2046" s="101"/>
      <c r="H2046" s="102"/>
      <c r="I2046" s="101"/>
      <c r="J2046" s="101"/>
      <c r="K2046" s="103"/>
      <c r="L2046" s="103"/>
      <c r="M2046" s="103"/>
      <c r="N2046" s="103"/>
      <c r="O2046" s="103"/>
      <c r="P2046" s="98"/>
      <c r="Q2046" s="99"/>
      <c r="R2046" s="105">
        <f t="shared" si="100"/>
        <v>0</v>
      </c>
      <c r="S2046" s="108">
        <f t="shared" si="101"/>
        <v>0</v>
      </c>
      <c r="T2046" s="105">
        <f t="shared" si="102"/>
        <v>0</v>
      </c>
    </row>
    <row r="2047" spans="1:20">
      <c r="A2047" s="101"/>
      <c r="B2047" s="101"/>
      <c r="C2047" s="101"/>
      <c r="D2047" s="101"/>
      <c r="E2047" s="101"/>
      <c r="F2047" s="102"/>
      <c r="G2047" s="101"/>
      <c r="H2047" s="102"/>
      <c r="I2047" s="101"/>
      <c r="J2047" s="101"/>
      <c r="K2047" s="103"/>
      <c r="L2047" s="103"/>
      <c r="M2047" s="103"/>
      <c r="N2047" s="103"/>
      <c r="O2047" s="103"/>
      <c r="P2047" s="98"/>
      <c r="Q2047" s="99"/>
      <c r="R2047" s="104">
        <f t="shared" si="100"/>
        <v>0</v>
      </c>
      <c r="S2047" s="104">
        <f t="shared" si="101"/>
        <v>0</v>
      </c>
      <c r="T2047" s="104">
        <f t="shared" si="102"/>
        <v>0</v>
      </c>
    </row>
    <row r="2048" spans="1:20">
      <c r="A2048" s="101"/>
      <c r="B2048" s="101"/>
      <c r="C2048" s="101"/>
      <c r="D2048" s="101"/>
      <c r="E2048" s="101"/>
      <c r="F2048" s="102"/>
      <c r="G2048" s="101"/>
      <c r="H2048" s="102"/>
      <c r="I2048" s="101"/>
      <c r="J2048" s="101"/>
      <c r="K2048" s="103"/>
      <c r="L2048" s="103"/>
      <c r="M2048" s="103"/>
      <c r="N2048" s="103"/>
      <c r="O2048" s="103"/>
      <c r="P2048" s="98"/>
      <c r="Q2048" s="99"/>
      <c r="R2048" s="105">
        <f t="shared" si="100"/>
        <v>0</v>
      </c>
      <c r="S2048" s="108">
        <f t="shared" si="101"/>
        <v>0</v>
      </c>
      <c r="T2048" s="105">
        <f t="shared" si="102"/>
        <v>0</v>
      </c>
    </row>
    <row r="2049" spans="1:20">
      <c r="A2049" s="101"/>
      <c r="B2049" s="101"/>
      <c r="C2049" s="101"/>
      <c r="D2049" s="101"/>
      <c r="E2049" s="101"/>
      <c r="F2049" s="102"/>
      <c r="G2049" s="101"/>
      <c r="H2049" s="102"/>
      <c r="I2049" s="101"/>
      <c r="J2049" s="101"/>
      <c r="K2049" s="103"/>
      <c r="L2049" s="103"/>
      <c r="M2049" s="103"/>
      <c r="N2049" s="103"/>
      <c r="O2049" s="103"/>
      <c r="P2049" s="98"/>
      <c r="Q2049" s="99"/>
      <c r="R2049" s="104">
        <f t="shared" si="100"/>
        <v>0</v>
      </c>
      <c r="S2049" s="104">
        <f t="shared" si="101"/>
        <v>0</v>
      </c>
      <c r="T2049" s="104">
        <f t="shared" si="102"/>
        <v>0</v>
      </c>
    </row>
    <row r="2050" spans="1:20">
      <c r="A2050" s="101"/>
      <c r="B2050" s="101"/>
      <c r="C2050" s="101"/>
      <c r="D2050" s="101"/>
      <c r="E2050" s="101"/>
      <c r="F2050" s="102"/>
      <c r="G2050" s="101"/>
      <c r="H2050" s="102"/>
      <c r="I2050" s="101"/>
      <c r="J2050" s="101"/>
      <c r="K2050" s="103"/>
      <c r="L2050" s="103"/>
      <c r="M2050" s="103"/>
      <c r="N2050" s="103"/>
      <c r="O2050" s="103"/>
      <c r="P2050" s="98"/>
      <c r="Q2050" s="99"/>
      <c r="R2050" s="105">
        <f t="shared" si="100"/>
        <v>0</v>
      </c>
      <c r="S2050" s="108">
        <f t="shared" si="101"/>
        <v>0</v>
      </c>
      <c r="T2050" s="105">
        <f t="shared" si="102"/>
        <v>0</v>
      </c>
    </row>
    <row r="2051" spans="1:20">
      <c r="A2051" s="101"/>
      <c r="B2051" s="101"/>
      <c r="C2051" s="101"/>
      <c r="D2051" s="101"/>
      <c r="E2051" s="101"/>
      <c r="F2051" s="102"/>
      <c r="G2051" s="101"/>
      <c r="H2051" s="102"/>
      <c r="I2051" s="101"/>
      <c r="J2051" s="101"/>
      <c r="K2051" s="103"/>
      <c r="L2051" s="103"/>
      <c r="M2051" s="103"/>
      <c r="N2051" s="103"/>
      <c r="O2051" s="103"/>
      <c r="P2051" s="98"/>
      <c r="Q2051" s="99"/>
      <c r="R2051" s="104">
        <f t="shared" si="100"/>
        <v>0</v>
      </c>
      <c r="S2051" s="104">
        <f t="shared" si="101"/>
        <v>0</v>
      </c>
      <c r="T2051" s="104">
        <f t="shared" si="102"/>
        <v>0</v>
      </c>
    </row>
    <row r="2052" spans="1:20">
      <c r="A2052" s="101"/>
      <c r="B2052" s="101"/>
      <c r="C2052" s="101"/>
      <c r="D2052" s="101"/>
      <c r="E2052" s="101"/>
      <c r="F2052" s="102"/>
      <c r="G2052" s="101"/>
      <c r="H2052" s="102"/>
      <c r="I2052" s="101"/>
      <c r="J2052" s="101"/>
      <c r="K2052" s="103"/>
      <c r="L2052" s="103"/>
      <c r="M2052" s="103"/>
      <c r="N2052" s="103"/>
      <c r="O2052" s="103"/>
      <c r="P2052" s="98"/>
      <c r="Q2052" s="99"/>
      <c r="R2052" s="105">
        <f t="shared" si="100"/>
        <v>0</v>
      </c>
      <c r="S2052" s="108">
        <f t="shared" si="101"/>
        <v>0</v>
      </c>
      <c r="T2052" s="105">
        <f t="shared" si="102"/>
        <v>0</v>
      </c>
    </row>
    <row r="2053" spans="1:20">
      <c r="A2053" s="101"/>
      <c r="B2053" s="101"/>
      <c r="C2053" s="101"/>
      <c r="D2053" s="101"/>
      <c r="E2053" s="101"/>
      <c r="F2053" s="102"/>
      <c r="G2053" s="101"/>
      <c r="H2053" s="102"/>
      <c r="I2053" s="101"/>
      <c r="J2053" s="101"/>
      <c r="K2053" s="103"/>
      <c r="L2053" s="103"/>
      <c r="M2053" s="103"/>
      <c r="N2053" s="103"/>
      <c r="O2053" s="103"/>
      <c r="P2053" s="98"/>
      <c r="Q2053" s="99"/>
      <c r="R2053" s="104">
        <f t="shared" si="100"/>
        <v>0</v>
      </c>
      <c r="S2053" s="104">
        <f t="shared" si="101"/>
        <v>0</v>
      </c>
      <c r="T2053" s="104">
        <f t="shared" si="102"/>
        <v>0</v>
      </c>
    </row>
    <row r="2054" spans="1:20">
      <c r="A2054" s="101"/>
      <c r="B2054" s="101"/>
      <c r="C2054" s="101"/>
      <c r="D2054" s="101"/>
      <c r="E2054" s="101"/>
      <c r="F2054" s="102"/>
      <c r="G2054" s="101"/>
      <c r="H2054" s="102"/>
      <c r="I2054" s="101"/>
      <c r="J2054" s="101"/>
      <c r="K2054" s="103"/>
      <c r="L2054" s="103"/>
      <c r="M2054" s="103"/>
      <c r="N2054" s="103"/>
      <c r="O2054" s="103"/>
      <c r="P2054" s="98"/>
      <c r="Q2054" s="99"/>
      <c r="R2054" s="105">
        <f t="shared" si="100"/>
        <v>0</v>
      </c>
      <c r="S2054" s="108">
        <f t="shared" si="101"/>
        <v>0</v>
      </c>
      <c r="T2054" s="105">
        <f t="shared" si="102"/>
        <v>0</v>
      </c>
    </row>
    <row r="2055" spans="1:20">
      <c r="A2055" s="101"/>
      <c r="B2055" s="101"/>
      <c r="C2055" s="101"/>
      <c r="D2055" s="101"/>
      <c r="E2055" s="101"/>
      <c r="F2055" s="102"/>
      <c r="G2055" s="101"/>
      <c r="H2055" s="102"/>
      <c r="I2055" s="101"/>
      <c r="J2055" s="101"/>
      <c r="K2055" s="103"/>
      <c r="L2055" s="103"/>
      <c r="M2055" s="103"/>
      <c r="N2055" s="103"/>
      <c r="O2055" s="103"/>
      <c r="P2055" s="98"/>
      <c r="Q2055" s="99"/>
      <c r="R2055" s="104">
        <f t="shared" si="100"/>
        <v>0</v>
      </c>
      <c r="S2055" s="104">
        <f t="shared" si="101"/>
        <v>0</v>
      </c>
      <c r="T2055" s="104">
        <f t="shared" si="102"/>
        <v>0</v>
      </c>
    </row>
    <row r="2056" spans="1:20">
      <c r="A2056" s="101"/>
      <c r="B2056" s="101"/>
      <c r="C2056" s="101"/>
      <c r="D2056" s="101"/>
      <c r="E2056" s="101"/>
      <c r="F2056" s="102"/>
      <c r="G2056" s="101"/>
      <c r="H2056" s="102"/>
      <c r="I2056" s="101"/>
      <c r="J2056" s="101"/>
      <c r="K2056" s="103"/>
      <c r="L2056" s="103"/>
      <c r="M2056" s="103"/>
      <c r="N2056" s="103"/>
      <c r="O2056" s="103"/>
      <c r="P2056" s="98"/>
      <c r="Q2056" s="99"/>
      <c r="R2056" s="105">
        <f t="shared" si="100"/>
        <v>0</v>
      </c>
      <c r="S2056" s="108">
        <f t="shared" si="101"/>
        <v>0</v>
      </c>
      <c r="T2056" s="105">
        <f t="shared" si="102"/>
        <v>0</v>
      </c>
    </row>
    <row r="2057" spans="1:20">
      <c r="A2057" s="101"/>
      <c r="B2057" s="101"/>
      <c r="C2057" s="101"/>
      <c r="D2057" s="101"/>
      <c r="E2057" s="101"/>
      <c r="F2057" s="102"/>
      <c r="G2057" s="101"/>
      <c r="H2057" s="102"/>
      <c r="I2057" s="101"/>
      <c r="J2057" s="101"/>
      <c r="K2057" s="103"/>
      <c r="L2057" s="103"/>
      <c r="M2057" s="103"/>
      <c r="N2057" s="103"/>
      <c r="O2057" s="103"/>
      <c r="P2057" s="98"/>
      <c r="Q2057" s="99"/>
      <c r="R2057" s="104">
        <f t="shared" si="100"/>
        <v>0</v>
      </c>
      <c r="S2057" s="104">
        <f t="shared" si="101"/>
        <v>0</v>
      </c>
      <c r="T2057" s="104">
        <f t="shared" si="102"/>
        <v>0</v>
      </c>
    </row>
    <row r="2058" spans="1:20">
      <c r="A2058" s="101"/>
      <c r="B2058" s="101"/>
      <c r="C2058" s="101"/>
      <c r="D2058" s="101"/>
      <c r="E2058" s="101"/>
      <c r="F2058" s="102"/>
      <c r="G2058" s="101"/>
      <c r="H2058" s="102"/>
      <c r="I2058" s="101"/>
      <c r="J2058" s="101"/>
      <c r="K2058" s="103"/>
      <c r="L2058" s="103"/>
      <c r="M2058" s="103"/>
      <c r="N2058" s="103"/>
      <c r="O2058" s="103"/>
      <c r="P2058" s="98"/>
      <c r="Q2058" s="99"/>
      <c r="R2058" s="105">
        <f t="shared" si="100"/>
        <v>0</v>
      </c>
      <c r="S2058" s="108">
        <f t="shared" si="101"/>
        <v>0</v>
      </c>
      <c r="T2058" s="105">
        <f t="shared" si="102"/>
        <v>0</v>
      </c>
    </row>
    <row r="2059" spans="1:20">
      <c r="A2059" s="101"/>
      <c r="B2059" s="101"/>
      <c r="C2059" s="101"/>
      <c r="D2059" s="101"/>
      <c r="E2059" s="101"/>
      <c r="F2059" s="102"/>
      <c r="G2059" s="101"/>
      <c r="H2059" s="102"/>
      <c r="I2059" s="101"/>
      <c r="J2059" s="101"/>
      <c r="K2059" s="103"/>
      <c r="L2059" s="103"/>
      <c r="M2059" s="103"/>
      <c r="N2059" s="103"/>
      <c r="O2059" s="103"/>
      <c r="P2059" s="98"/>
      <c r="Q2059" s="99"/>
      <c r="R2059" s="104">
        <f t="shared" si="100"/>
        <v>0</v>
      </c>
      <c r="S2059" s="104">
        <f t="shared" si="101"/>
        <v>0</v>
      </c>
      <c r="T2059" s="104">
        <f t="shared" si="102"/>
        <v>0</v>
      </c>
    </row>
    <row r="2060" spans="1:20">
      <c r="A2060" s="101"/>
      <c r="B2060" s="101"/>
      <c r="C2060" s="101"/>
      <c r="D2060" s="101"/>
      <c r="E2060" s="101"/>
      <c r="F2060" s="102"/>
      <c r="G2060" s="101"/>
      <c r="H2060" s="102"/>
      <c r="I2060" s="101"/>
      <c r="J2060" s="101"/>
      <c r="K2060" s="103"/>
      <c r="L2060" s="103"/>
      <c r="M2060" s="103"/>
      <c r="N2060" s="103"/>
      <c r="O2060" s="103"/>
      <c r="P2060" s="98"/>
      <c r="Q2060" s="99"/>
      <c r="R2060" s="105">
        <f t="shared" si="100"/>
        <v>0</v>
      </c>
      <c r="S2060" s="108">
        <f t="shared" si="101"/>
        <v>0</v>
      </c>
      <c r="T2060" s="105">
        <f t="shared" si="102"/>
        <v>0</v>
      </c>
    </row>
    <row r="2061" spans="1:20">
      <c r="A2061" s="101"/>
      <c r="B2061" s="101"/>
      <c r="C2061" s="101"/>
      <c r="D2061" s="101"/>
      <c r="E2061" s="101"/>
      <c r="F2061" s="102"/>
      <c r="G2061" s="101"/>
      <c r="H2061" s="102"/>
      <c r="I2061" s="101"/>
      <c r="J2061" s="101"/>
      <c r="K2061" s="103"/>
      <c r="L2061" s="103"/>
      <c r="M2061" s="103"/>
      <c r="N2061" s="103"/>
      <c r="O2061" s="103"/>
      <c r="P2061" s="98"/>
      <c r="Q2061" s="99"/>
      <c r="R2061" s="104">
        <f t="shared" si="100"/>
        <v>0</v>
      </c>
      <c r="S2061" s="104">
        <f t="shared" si="101"/>
        <v>0</v>
      </c>
      <c r="T2061" s="104">
        <f t="shared" si="102"/>
        <v>0</v>
      </c>
    </row>
    <row r="2062" spans="1:20">
      <c r="A2062" s="101"/>
      <c r="B2062" s="101"/>
      <c r="C2062" s="101"/>
      <c r="D2062" s="101"/>
      <c r="E2062" s="101"/>
      <c r="F2062" s="102"/>
      <c r="G2062" s="101"/>
      <c r="H2062" s="102"/>
      <c r="I2062" s="101"/>
      <c r="J2062" s="101"/>
      <c r="K2062" s="103"/>
      <c r="L2062" s="103"/>
      <c r="M2062" s="103"/>
      <c r="N2062" s="103"/>
      <c r="O2062" s="103"/>
      <c r="P2062" s="98"/>
      <c r="Q2062" s="99"/>
      <c r="R2062" s="105">
        <f t="shared" si="100"/>
        <v>0</v>
      </c>
      <c r="S2062" s="108">
        <f t="shared" si="101"/>
        <v>0</v>
      </c>
      <c r="T2062" s="105">
        <f t="shared" si="102"/>
        <v>0</v>
      </c>
    </row>
    <row r="2063" spans="1:20">
      <c r="A2063" s="101"/>
      <c r="B2063" s="101"/>
      <c r="C2063" s="101"/>
      <c r="D2063" s="101"/>
      <c r="E2063" s="101"/>
      <c r="F2063" s="102"/>
      <c r="G2063" s="101"/>
      <c r="H2063" s="102"/>
      <c r="I2063" s="101"/>
      <c r="J2063" s="101"/>
      <c r="K2063" s="103"/>
      <c r="L2063" s="103"/>
      <c r="M2063" s="103"/>
      <c r="N2063" s="103"/>
      <c r="O2063" s="103"/>
      <c r="P2063" s="98"/>
      <c r="Q2063" s="99"/>
      <c r="R2063" s="104">
        <f t="shared" si="100"/>
        <v>0</v>
      </c>
      <c r="S2063" s="104">
        <f t="shared" si="101"/>
        <v>0</v>
      </c>
      <c r="T2063" s="104">
        <f t="shared" si="102"/>
        <v>0</v>
      </c>
    </row>
    <row r="2064" spans="1:20">
      <c r="A2064" s="101"/>
      <c r="B2064" s="101"/>
      <c r="C2064" s="101"/>
      <c r="D2064" s="101"/>
      <c r="E2064" s="101"/>
      <c r="F2064" s="102"/>
      <c r="G2064" s="101"/>
      <c r="H2064" s="102"/>
      <c r="I2064" s="101"/>
      <c r="J2064" s="101"/>
      <c r="K2064" s="103"/>
      <c r="L2064" s="103"/>
      <c r="M2064" s="103"/>
      <c r="N2064" s="103"/>
      <c r="O2064" s="103"/>
      <c r="P2064" s="98"/>
      <c r="Q2064" s="99"/>
      <c r="R2064" s="105">
        <f t="shared" si="100"/>
        <v>0</v>
      </c>
      <c r="S2064" s="108">
        <f t="shared" si="101"/>
        <v>0</v>
      </c>
      <c r="T2064" s="105">
        <f t="shared" si="102"/>
        <v>0</v>
      </c>
    </row>
    <row r="2065" spans="1:20">
      <c r="A2065" s="101"/>
      <c r="B2065" s="101"/>
      <c r="C2065" s="101"/>
      <c r="D2065" s="101"/>
      <c r="E2065" s="101"/>
      <c r="F2065" s="102"/>
      <c r="G2065" s="101"/>
      <c r="H2065" s="102"/>
      <c r="I2065" s="101"/>
      <c r="J2065" s="101"/>
      <c r="K2065" s="103"/>
      <c r="L2065" s="103"/>
      <c r="M2065" s="103"/>
      <c r="N2065" s="103"/>
      <c r="O2065" s="103"/>
      <c r="P2065" s="98"/>
      <c r="Q2065" s="99"/>
      <c r="R2065" s="104">
        <f t="shared" si="100"/>
        <v>0</v>
      </c>
      <c r="S2065" s="104">
        <f t="shared" si="101"/>
        <v>0</v>
      </c>
      <c r="T2065" s="104">
        <f t="shared" si="102"/>
        <v>0</v>
      </c>
    </row>
    <row r="2066" spans="1:20">
      <c r="A2066" s="101"/>
      <c r="B2066" s="101"/>
      <c r="C2066" s="101"/>
      <c r="D2066" s="101"/>
      <c r="E2066" s="101"/>
      <c r="F2066" s="102"/>
      <c r="G2066" s="101"/>
      <c r="H2066" s="102"/>
      <c r="I2066" s="101"/>
      <c r="J2066" s="101"/>
      <c r="K2066" s="103"/>
      <c r="L2066" s="103"/>
      <c r="M2066" s="103"/>
      <c r="N2066" s="103"/>
      <c r="O2066" s="103"/>
      <c r="P2066" s="98"/>
      <c r="Q2066" s="99"/>
      <c r="R2066" s="105">
        <f t="shared" ref="R2066:R2121" si="103">IF(P2066="Cargo",K2066+L2066-M2066-N2066+O2066,0)</f>
        <v>0</v>
      </c>
      <c r="S2066" s="108">
        <f t="shared" ref="S2066:S2121" si="104">IF(P2066="Abono",K2066+L2066+M2066-N2066-O2066,0)</f>
        <v>0</v>
      </c>
      <c r="T2066" s="105">
        <f t="shared" ref="T2066:T2121" si="105">IF(Q2066="OK",+T2065+R2066-S2066,T2065)</f>
        <v>0</v>
      </c>
    </row>
    <row r="2067" spans="1:20">
      <c r="A2067" s="101"/>
      <c r="B2067" s="101"/>
      <c r="C2067" s="101"/>
      <c r="D2067" s="101"/>
      <c r="E2067" s="101"/>
      <c r="F2067" s="102"/>
      <c r="G2067" s="101"/>
      <c r="H2067" s="102"/>
      <c r="I2067" s="101"/>
      <c r="J2067" s="101"/>
      <c r="K2067" s="103"/>
      <c r="L2067" s="103"/>
      <c r="M2067" s="103"/>
      <c r="N2067" s="103"/>
      <c r="O2067" s="103"/>
      <c r="P2067" s="98"/>
      <c r="Q2067" s="99"/>
      <c r="R2067" s="104">
        <f t="shared" si="103"/>
        <v>0</v>
      </c>
      <c r="S2067" s="104">
        <f t="shared" si="104"/>
        <v>0</v>
      </c>
      <c r="T2067" s="104">
        <f t="shared" si="105"/>
        <v>0</v>
      </c>
    </row>
    <row r="2068" spans="1:20">
      <c r="A2068" s="101"/>
      <c r="B2068" s="101"/>
      <c r="C2068" s="101"/>
      <c r="D2068" s="101"/>
      <c r="E2068" s="101"/>
      <c r="F2068" s="102"/>
      <c r="G2068" s="101"/>
      <c r="H2068" s="102"/>
      <c r="I2068" s="101"/>
      <c r="J2068" s="101"/>
      <c r="K2068" s="103"/>
      <c r="L2068" s="103"/>
      <c r="M2068" s="103"/>
      <c r="N2068" s="103"/>
      <c r="O2068" s="103"/>
      <c r="P2068" s="98"/>
      <c r="Q2068" s="99"/>
      <c r="R2068" s="105">
        <f t="shared" si="103"/>
        <v>0</v>
      </c>
      <c r="S2068" s="108">
        <f t="shared" si="104"/>
        <v>0</v>
      </c>
      <c r="T2068" s="105">
        <f t="shared" si="105"/>
        <v>0</v>
      </c>
    </row>
    <row r="2069" spans="1:20">
      <c r="A2069" s="101"/>
      <c r="B2069" s="101"/>
      <c r="C2069" s="101"/>
      <c r="D2069" s="101"/>
      <c r="E2069" s="101"/>
      <c r="F2069" s="102"/>
      <c r="G2069" s="101"/>
      <c r="H2069" s="102"/>
      <c r="I2069" s="101"/>
      <c r="J2069" s="101"/>
      <c r="K2069" s="103"/>
      <c r="L2069" s="103"/>
      <c r="M2069" s="103"/>
      <c r="N2069" s="103"/>
      <c r="O2069" s="103"/>
      <c r="P2069" s="98"/>
      <c r="Q2069" s="99"/>
      <c r="R2069" s="104">
        <f t="shared" si="103"/>
        <v>0</v>
      </c>
      <c r="S2069" s="104">
        <f t="shared" si="104"/>
        <v>0</v>
      </c>
      <c r="T2069" s="104">
        <f t="shared" si="105"/>
        <v>0</v>
      </c>
    </row>
    <row r="2070" spans="1:20">
      <c r="A2070" s="101"/>
      <c r="B2070" s="101"/>
      <c r="C2070" s="101"/>
      <c r="D2070" s="101"/>
      <c r="E2070" s="101"/>
      <c r="F2070" s="102"/>
      <c r="G2070" s="101"/>
      <c r="H2070" s="102"/>
      <c r="I2070" s="101"/>
      <c r="J2070" s="101"/>
      <c r="K2070" s="103"/>
      <c r="L2070" s="103"/>
      <c r="M2070" s="103"/>
      <c r="N2070" s="103"/>
      <c r="O2070" s="103"/>
      <c r="P2070" s="98"/>
      <c r="Q2070" s="99"/>
      <c r="R2070" s="105">
        <f t="shared" si="103"/>
        <v>0</v>
      </c>
      <c r="S2070" s="108">
        <f t="shared" si="104"/>
        <v>0</v>
      </c>
      <c r="T2070" s="105">
        <f t="shared" si="105"/>
        <v>0</v>
      </c>
    </row>
    <row r="2071" spans="1:20">
      <c r="A2071" s="101"/>
      <c r="B2071" s="101"/>
      <c r="C2071" s="101"/>
      <c r="D2071" s="101"/>
      <c r="E2071" s="101"/>
      <c r="F2071" s="102"/>
      <c r="G2071" s="101"/>
      <c r="H2071" s="102"/>
      <c r="I2071" s="101"/>
      <c r="J2071" s="101"/>
      <c r="K2071" s="103"/>
      <c r="L2071" s="103"/>
      <c r="M2071" s="103"/>
      <c r="N2071" s="103"/>
      <c r="O2071" s="103"/>
      <c r="P2071" s="98"/>
      <c r="Q2071" s="99"/>
      <c r="R2071" s="104">
        <f t="shared" si="103"/>
        <v>0</v>
      </c>
      <c r="S2071" s="104">
        <f t="shared" si="104"/>
        <v>0</v>
      </c>
      <c r="T2071" s="104">
        <f t="shared" si="105"/>
        <v>0</v>
      </c>
    </row>
    <row r="2072" spans="1:20">
      <c r="A2072" s="101"/>
      <c r="B2072" s="101"/>
      <c r="C2072" s="101"/>
      <c r="D2072" s="101"/>
      <c r="E2072" s="101"/>
      <c r="F2072" s="102"/>
      <c r="G2072" s="101"/>
      <c r="H2072" s="102"/>
      <c r="I2072" s="101"/>
      <c r="J2072" s="101"/>
      <c r="K2072" s="103"/>
      <c r="L2072" s="103"/>
      <c r="M2072" s="103"/>
      <c r="N2072" s="103"/>
      <c r="O2072" s="103"/>
      <c r="P2072" s="98"/>
      <c r="Q2072" s="99"/>
      <c r="R2072" s="105">
        <f t="shared" si="103"/>
        <v>0</v>
      </c>
      <c r="S2072" s="108">
        <f t="shared" si="104"/>
        <v>0</v>
      </c>
      <c r="T2072" s="105">
        <f t="shared" si="105"/>
        <v>0</v>
      </c>
    </row>
    <row r="2073" spans="1:20">
      <c r="A2073" s="101"/>
      <c r="B2073" s="101"/>
      <c r="C2073" s="101"/>
      <c r="D2073" s="101"/>
      <c r="E2073" s="101"/>
      <c r="F2073" s="102"/>
      <c r="G2073" s="101"/>
      <c r="H2073" s="102"/>
      <c r="I2073" s="101"/>
      <c r="J2073" s="101"/>
      <c r="K2073" s="103"/>
      <c r="L2073" s="103"/>
      <c r="M2073" s="103"/>
      <c r="N2073" s="103"/>
      <c r="O2073" s="103"/>
      <c r="P2073" s="98"/>
      <c r="Q2073" s="99"/>
      <c r="R2073" s="104">
        <f t="shared" si="103"/>
        <v>0</v>
      </c>
      <c r="S2073" s="104">
        <f t="shared" si="104"/>
        <v>0</v>
      </c>
      <c r="T2073" s="104">
        <f t="shared" si="105"/>
        <v>0</v>
      </c>
    </row>
    <row r="2074" spans="1:20">
      <c r="A2074" s="101"/>
      <c r="B2074" s="101"/>
      <c r="C2074" s="101"/>
      <c r="D2074" s="101"/>
      <c r="E2074" s="101"/>
      <c r="F2074" s="102"/>
      <c r="G2074" s="101"/>
      <c r="H2074" s="102"/>
      <c r="I2074" s="101"/>
      <c r="J2074" s="101"/>
      <c r="K2074" s="103"/>
      <c r="L2074" s="103"/>
      <c r="M2074" s="103"/>
      <c r="N2074" s="103"/>
      <c r="O2074" s="103"/>
      <c r="P2074" s="98"/>
      <c r="Q2074" s="99"/>
      <c r="R2074" s="105">
        <f t="shared" si="103"/>
        <v>0</v>
      </c>
      <c r="S2074" s="108">
        <f t="shared" si="104"/>
        <v>0</v>
      </c>
      <c r="T2074" s="105">
        <f t="shared" si="105"/>
        <v>0</v>
      </c>
    </row>
    <row r="2075" spans="1:20">
      <c r="A2075" s="101"/>
      <c r="B2075" s="101"/>
      <c r="C2075" s="101"/>
      <c r="D2075" s="101"/>
      <c r="E2075" s="101"/>
      <c r="F2075" s="102"/>
      <c r="G2075" s="101"/>
      <c r="H2075" s="102"/>
      <c r="I2075" s="101"/>
      <c r="J2075" s="101"/>
      <c r="K2075" s="103"/>
      <c r="L2075" s="103"/>
      <c r="M2075" s="103"/>
      <c r="N2075" s="103"/>
      <c r="O2075" s="103"/>
      <c r="P2075" s="98"/>
      <c r="Q2075" s="99"/>
      <c r="R2075" s="104">
        <f t="shared" si="103"/>
        <v>0</v>
      </c>
      <c r="S2075" s="104">
        <f t="shared" si="104"/>
        <v>0</v>
      </c>
      <c r="T2075" s="104">
        <f t="shared" si="105"/>
        <v>0</v>
      </c>
    </row>
    <row r="2076" spans="1:20">
      <c r="A2076" s="101"/>
      <c r="B2076" s="101"/>
      <c r="C2076" s="101"/>
      <c r="D2076" s="101"/>
      <c r="E2076" s="101"/>
      <c r="F2076" s="102"/>
      <c r="G2076" s="101"/>
      <c r="H2076" s="102"/>
      <c r="I2076" s="101"/>
      <c r="J2076" s="101"/>
      <c r="K2076" s="103"/>
      <c r="L2076" s="103"/>
      <c r="M2076" s="103"/>
      <c r="N2076" s="103"/>
      <c r="O2076" s="103"/>
      <c r="P2076" s="98"/>
      <c r="Q2076" s="99"/>
      <c r="R2076" s="105">
        <f t="shared" si="103"/>
        <v>0</v>
      </c>
      <c r="S2076" s="108">
        <f t="shared" si="104"/>
        <v>0</v>
      </c>
      <c r="T2076" s="105">
        <f t="shared" si="105"/>
        <v>0</v>
      </c>
    </row>
    <row r="2077" spans="1:20">
      <c r="A2077" s="101"/>
      <c r="B2077" s="101"/>
      <c r="C2077" s="101"/>
      <c r="D2077" s="101"/>
      <c r="E2077" s="101"/>
      <c r="F2077" s="102"/>
      <c r="G2077" s="101"/>
      <c r="H2077" s="102"/>
      <c r="I2077" s="101"/>
      <c r="J2077" s="101"/>
      <c r="K2077" s="103"/>
      <c r="L2077" s="103"/>
      <c r="M2077" s="103"/>
      <c r="N2077" s="103"/>
      <c r="O2077" s="103"/>
      <c r="P2077" s="98"/>
      <c r="Q2077" s="99"/>
      <c r="R2077" s="104">
        <f t="shared" si="103"/>
        <v>0</v>
      </c>
      <c r="S2077" s="104">
        <f t="shared" si="104"/>
        <v>0</v>
      </c>
      <c r="T2077" s="104">
        <f t="shared" si="105"/>
        <v>0</v>
      </c>
    </row>
    <row r="2078" spans="1:20">
      <c r="A2078" s="101"/>
      <c r="B2078" s="101"/>
      <c r="C2078" s="101"/>
      <c r="D2078" s="101"/>
      <c r="E2078" s="101"/>
      <c r="F2078" s="102"/>
      <c r="G2078" s="101"/>
      <c r="H2078" s="102"/>
      <c r="I2078" s="101"/>
      <c r="J2078" s="101"/>
      <c r="K2078" s="103"/>
      <c r="L2078" s="103"/>
      <c r="M2078" s="103"/>
      <c r="N2078" s="103"/>
      <c r="O2078" s="103"/>
      <c r="P2078" s="98"/>
      <c r="Q2078" s="99"/>
      <c r="R2078" s="105">
        <f t="shared" si="103"/>
        <v>0</v>
      </c>
      <c r="S2078" s="108">
        <f t="shared" si="104"/>
        <v>0</v>
      </c>
      <c r="T2078" s="105">
        <f t="shared" si="105"/>
        <v>0</v>
      </c>
    </row>
    <row r="2079" spans="1:20">
      <c r="A2079" s="101"/>
      <c r="B2079" s="101"/>
      <c r="C2079" s="101"/>
      <c r="D2079" s="101"/>
      <c r="E2079" s="101"/>
      <c r="F2079" s="102"/>
      <c r="G2079" s="101"/>
      <c r="H2079" s="102"/>
      <c r="I2079" s="101"/>
      <c r="J2079" s="101"/>
      <c r="K2079" s="103"/>
      <c r="L2079" s="103"/>
      <c r="M2079" s="103"/>
      <c r="N2079" s="103"/>
      <c r="O2079" s="103"/>
      <c r="P2079" s="98"/>
      <c r="Q2079" s="99"/>
      <c r="R2079" s="104">
        <f t="shared" si="103"/>
        <v>0</v>
      </c>
      <c r="S2079" s="104">
        <f t="shared" si="104"/>
        <v>0</v>
      </c>
      <c r="T2079" s="104">
        <f t="shared" si="105"/>
        <v>0</v>
      </c>
    </row>
    <row r="2080" spans="1:20">
      <c r="A2080" s="101"/>
      <c r="B2080" s="101"/>
      <c r="C2080" s="101"/>
      <c r="D2080" s="101"/>
      <c r="E2080" s="101"/>
      <c r="F2080" s="102"/>
      <c r="G2080" s="101"/>
      <c r="H2080" s="102"/>
      <c r="I2080" s="101"/>
      <c r="J2080" s="101"/>
      <c r="K2080" s="103"/>
      <c r="L2080" s="103"/>
      <c r="M2080" s="103"/>
      <c r="N2080" s="103"/>
      <c r="O2080" s="103"/>
      <c r="P2080" s="98"/>
      <c r="Q2080" s="99"/>
      <c r="R2080" s="105">
        <f t="shared" si="103"/>
        <v>0</v>
      </c>
      <c r="S2080" s="108">
        <f t="shared" si="104"/>
        <v>0</v>
      </c>
      <c r="T2080" s="105">
        <f t="shared" si="105"/>
        <v>0</v>
      </c>
    </row>
    <row r="2081" spans="1:20">
      <c r="A2081" s="101"/>
      <c r="B2081" s="101"/>
      <c r="C2081" s="101"/>
      <c r="D2081" s="101"/>
      <c r="E2081" s="101"/>
      <c r="F2081" s="102"/>
      <c r="G2081" s="101"/>
      <c r="H2081" s="102"/>
      <c r="I2081" s="101"/>
      <c r="J2081" s="101"/>
      <c r="K2081" s="103"/>
      <c r="L2081" s="103"/>
      <c r="M2081" s="103"/>
      <c r="N2081" s="103"/>
      <c r="O2081" s="103"/>
      <c r="P2081" s="98"/>
      <c r="Q2081" s="99"/>
      <c r="R2081" s="104">
        <f t="shared" si="103"/>
        <v>0</v>
      </c>
      <c r="S2081" s="104">
        <f t="shared" si="104"/>
        <v>0</v>
      </c>
      <c r="T2081" s="104">
        <f t="shared" si="105"/>
        <v>0</v>
      </c>
    </row>
    <row r="2082" spans="1:20">
      <c r="A2082" s="101"/>
      <c r="B2082" s="101"/>
      <c r="C2082" s="101"/>
      <c r="D2082" s="101"/>
      <c r="E2082" s="101"/>
      <c r="F2082" s="102"/>
      <c r="G2082" s="101"/>
      <c r="H2082" s="102"/>
      <c r="I2082" s="101"/>
      <c r="J2082" s="101"/>
      <c r="K2082" s="103"/>
      <c r="L2082" s="103"/>
      <c r="M2082" s="103"/>
      <c r="N2082" s="103"/>
      <c r="O2082" s="103"/>
      <c r="P2082" s="98"/>
      <c r="Q2082" s="99"/>
      <c r="R2082" s="105">
        <f t="shared" si="103"/>
        <v>0</v>
      </c>
      <c r="S2082" s="108">
        <f t="shared" si="104"/>
        <v>0</v>
      </c>
      <c r="T2082" s="105">
        <f t="shared" si="105"/>
        <v>0</v>
      </c>
    </row>
    <row r="2083" spans="1:20">
      <c r="A2083" s="101"/>
      <c r="B2083" s="101"/>
      <c r="C2083" s="101"/>
      <c r="D2083" s="101"/>
      <c r="E2083" s="101"/>
      <c r="F2083" s="102"/>
      <c r="G2083" s="101"/>
      <c r="H2083" s="102"/>
      <c r="I2083" s="101"/>
      <c r="J2083" s="101"/>
      <c r="K2083" s="103"/>
      <c r="L2083" s="103"/>
      <c r="M2083" s="103"/>
      <c r="N2083" s="103"/>
      <c r="O2083" s="103"/>
      <c r="P2083" s="98"/>
      <c r="Q2083" s="99"/>
      <c r="R2083" s="104">
        <f t="shared" si="103"/>
        <v>0</v>
      </c>
      <c r="S2083" s="104">
        <f t="shared" si="104"/>
        <v>0</v>
      </c>
      <c r="T2083" s="104">
        <f t="shared" si="105"/>
        <v>0</v>
      </c>
    </row>
    <row r="2084" spans="1:20">
      <c r="A2084" s="101"/>
      <c r="B2084" s="101"/>
      <c r="C2084" s="101"/>
      <c r="D2084" s="101"/>
      <c r="E2084" s="101"/>
      <c r="F2084" s="102"/>
      <c r="G2084" s="101"/>
      <c r="H2084" s="102"/>
      <c r="I2084" s="101"/>
      <c r="J2084" s="101"/>
      <c r="K2084" s="103"/>
      <c r="L2084" s="103"/>
      <c r="M2084" s="103"/>
      <c r="N2084" s="103"/>
      <c r="O2084" s="103"/>
      <c r="P2084" s="98"/>
      <c r="Q2084" s="99"/>
      <c r="R2084" s="105">
        <f t="shared" si="103"/>
        <v>0</v>
      </c>
      <c r="S2084" s="108">
        <f t="shared" si="104"/>
        <v>0</v>
      </c>
      <c r="T2084" s="105">
        <f t="shared" si="105"/>
        <v>0</v>
      </c>
    </row>
    <row r="2085" spans="1:20">
      <c r="A2085" s="101"/>
      <c r="B2085" s="101"/>
      <c r="C2085" s="101"/>
      <c r="D2085" s="101"/>
      <c r="E2085" s="101"/>
      <c r="F2085" s="102"/>
      <c r="G2085" s="101"/>
      <c r="H2085" s="102"/>
      <c r="I2085" s="101"/>
      <c r="J2085" s="101"/>
      <c r="K2085" s="103"/>
      <c r="L2085" s="103"/>
      <c r="M2085" s="103"/>
      <c r="N2085" s="103"/>
      <c r="O2085" s="103"/>
      <c r="P2085" s="98"/>
      <c r="Q2085" s="99"/>
      <c r="R2085" s="104">
        <f t="shared" si="103"/>
        <v>0</v>
      </c>
      <c r="S2085" s="104">
        <f t="shared" si="104"/>
        <v>0</v>
      </c>
      <c r="T2085" s="104">
        <f t="shared" si="105"/>
        <v>0</v>
      </c>
    </row>
    <row r="2086" spans="1:20">
      <c r="A2086" s="101"/>
      <c r="B2086" s="101"/>
      <c r="C2086" s="101"/>
      <c r="D2086" s="101"/>
      <c r="E2086" s="101"/>
      <c r="F2086" s="102"/>
      <c r="G2086" s="101"/>
      <c r="H2086" s="102"/>
      <c r="I2086" s="101"/>
      <c r="J2086" s="101"/>
      <c r="K2086" s="103"/>
      <c r="L2086" s="103"/>
      <c r="M2086" s="103"/>
      <c r="N2086" s="103"/>
      <c r="O2086" s="103"/>
      <c r="P2086" s="98"/>
      <c r="Q2086" s="99"/>
      <c r="R2086" s="105">
        <f t="shared" si="103"/>
        <v>0</v>
      </c>
      <c r="S2086" s="108">
        <f t="shared" si="104"/>
        <v>0</v>
      </c>
      <c r="T2086" s="105">
        <f t="shared" si="105"/>
        <v>0</v>
      </c>
    </row>
    <row r="2087" spans="1:20">
      <c r="A2087" s="101"/>
      <c r="B2087" s="101"/>
      <c r="C2087" s="101"/>
      <c r="D2087" s="101"/>
      <c r="E2087" s="101"/>
      <c r="F2087" s="102"/>
      <c r="G2087" s="101"/>
      <c r="H2087" s="102"/>
      <c r="I2087" s="101"/>
      <c r="J2087" s="101"/>
      <c r="K2087" s="103"/>
      <c r="L2087" s="103"/>
      <c r="M2087" s="103"/>
      <c r="N2087" s="103"/>
      <c r="O2087" s="103"/>
      <c r="P2087" s="98"/>
      <c r="Q2087" s="99"/>
      <c r="R2087" s="104">
        <f t="shared" si="103"/>
        <v>0</v>
      </c>
      <c r="S2087" s="104">
        <f t="shared" si="104"/>
        <v>0</v>
      </c>
      <c r="T2087" s="104">
        <f t="shared" si="105"/>
        <v>0</v>
      </c>
    </row>
    <row r="2088" spans="1:20">
      <c r="A2088" s="101"/>
      <c r="B2088" s="101"/>
      <c r="C2088" s="101"/>
      <c r="D2088" s="101"/>
      <c r="E2088" s="101"/>
      <c r="F2088" s="102"/>
      <c r="G2088" s="101"/>
      <c r="H2088" s="102"/>
      <c r="I2088" s="101"/>
      <c r="J2088" s="101"/>
      <c r="K2088" s="103"/>
      <c r="L2088" s="103"/>
      <c r="M2088" s="103"/>
      <c r="N2088" s="103"/>
      <c r="O2088" s="103"/>
      <c r="P2088" s="98"/>
      <c r="Q2088" s="99"/>
      <c r="R2088" s="105">
        <f t="shared" si="103"/>
        <v>0</v>
      </c>
      <c r="S2088" s="108">
        <f t="shared" si="104"/>
        <v>0</v>
      </c>
      <c r="T2088" s="105">
        <f t="shared" si="105"/>
        <v>0</v>
      </c>
    </row>
    <row r="2089" spans="1:20">
      <c r="A2089" s="101"/>
      <c r="B2089" s="101"/>
      <c r="C2089" s="101"/>
      <c r="D2089" s="101"/>
      <c r="E2089" s="101"/>
      <c r="F2089" s="102"/>
      <c r="G2089" s="101"/>
      <c r="H2089" s="102"/>
      <c r="I2089" s="101"/>
      <c r="J2089" s="101"/>
      <c r="K2089" s="103"/>
      <c r="L2089" s="103"/>
      <c r="M2089" s="103"/>
      <c r="N2089" s="103"/>
      <c r="O2089" s="103"/>
      <c r="P2089" s="98"/>
      <c r="Q2089" s="99"/>
      <c r="R2089" s="104">
        <f t="shared" si="103"/>
        <v>0</v>
      </c>
      <c r="S2089" s="104">
        <f t="shared" si="104"/>
        <v>0</v>
      </c>
      <c r="T2089" s="104">
        <f t="shared" si="105"/>
        <v>0</v>
      </c>
    </row>
    <row r="2090" spans="1:20">
      <c r="A2090" s="101"/>
      <c r="B2090" s="101"/>
      <c r="C2090" s="101"/>
      <c r="D2090" s="101"/>
      <c r="E2090" s="101"/>
      <c r="F2090" s="102"/>
      <c r="G2090" s="101"/>
      <c r="H2090" s="102"/>
      <c r="I2090" s="101"/>
      <c r="J2090" s="101"/>
      <c r="K2090" s="103"/>
      <c r="L2090" s="103"/>
      <c r="M2090" s="103"/>
      <c r="N2090" s="103"/>
      <c r="O2090" s="103"/>
      <c r="P2090" s="98"/>
      <c r="Q2090" s="99"/>
      <c r="R2090" s="105">
        <f t="shared" si="103"/>
        <v>0</v>
      </c>
      <c r="S2090" s="108">
        <f t="shared" si="104"/>
        <v>0</v>
      </c>
      <c r="T2090" s="105">
        <f t="shared" si="105"/>
        <v>0</v>
      </c>
    </row>
    <row r="2091" spans="1:20">
      <c r="A2091" s="101"/>
      <c r="B2091" s="101"/>
      <c r="C2091" s="101"/>
      <c r="D2091" s="101"/>
      <c r="E2091" s="101"/>
      <c r="F2091" s="102"/>
      <c r="G2091" s="101"/>
      <c r="H2091" s="102"/>
      <c r="I2091" s="101"/>
      <c r="J2091" s="101"/>
      <c r="K2091" s="103"/>
      <c r="L2091" s="103"/>
      <c r="M2091" s="103"/>
      <c r="N2091" s="103"/>
      <c r="O2091" s="103"/>
      <c r="P2091" s="98"/>
      <c r="Q2091" s="99"/>
      <c r="R2091" s="104">
        <f t="shared" si="103"/>
        <v>0</v>
      </c>
      <c r="S2091" s="104">
        <f t="shared" si="104"/>
        <v>0</v>
      </c>
      <c r="T2091" s="104">
        <f t="shared" si="105"/>
        <v>0</v>
      </c>
    </row>
    <row r="2092" spans="1:20">
      <c r="A2092" s="101"/>
      <c r="B2092" s="101"/>
      <c r="C2092" s="101"/>
      <c r="D2092" s="101"/>
      <c r="E2092" s="101"/>
      <c r="F2092" s="102"/>
      <c r="G2092" s="101"/>
      <c r="H2092" s="102"/>
      <c r="I2092" s="101"/>
      <c r="J2092" s="101"/>
      <c r="K2092" s="103"/>
      <c r="L2092" s="103"/>
      <c r="M2092" s="103"/>
      <c r="N2092" s="103"/>
      <c r="O2092" s="103"/>
      <c r="P2092" s="98"/>
      <c r="Q2092" s="99"/>
      <c r="R2092" s="105">
        <f t="shared" si="103"/>
        <v>0</v>
      </c>
      <c r="S2092" s="108">
        <f t="shared" si="104"/>
        <v>0</v>
      </c>
      <c r="T2092" s="105">
        <f t="shared" si="105"/>
        <v>0</v>
      </c>
    </row>
    <row r="2093" spans="1:20">
      <c r="A2093" s="101"/>
      <c r="B2093" s="101"/>
      <c r="C2093" s="101"/>
      <c r="D2093" s="101"/>
      <c r="E2093" s="101"/>
      <c r="F2093" s="102"/>
      <c r="G2093" s="101"/>
      <c r="H2093" s="102"/>
      <c r="I2093" s="101"/>
      <c r="J2093" s="101"/>
      <c r="K2093" s="103"/>
      <c r="L2093" s="103"/>
      <c r="M2093" s="103"/>
      <c r="N2093" s="103"/>
      <c r="O2093" s="103"/>
      <c r="P2093" s="98"/>
      <c r="Q2093" s="99"/>
      <c r="R2093" s="104">
        <f t="shared" si="103"/>
        <v>0</v>
      </c>
      <c r="S2093" s="104">
        <f t="shared" si="104"/>
        <v>0</v>
      </c>
      <c r="T2093" s="104">
        <f t="shared" si="105"/>
        <v>0</v>
      </c>
    </row>
    <row r="2094" spans="1:20">
      <c r="A2094" s="101"/>
      <c r="B2094" s="101"/>
      <c r="C2094" s="101"/>
      <c r="D2094" s="101"/>
      <c r="E2094" s="101"/>
      <c r="F2094" s="102"/>
      <c r="G2094" s="101"/>
      <c r="H2094" s="102"/>
      <c r="I2094" s="101"/>
      <c r="J2094" s="101"/>
      <c r="K2094" s="103"/>
      <c r="L2094" s="103"/>
      <c r="M2094" s="103"/>
      <c r="N2094" s="103"/>
      <c r="O2094" s="103"/>
      <c r="P2094" s="98"/>
      <c r="Q2094" s="99"/>
      <c r="R2094" s="105">
        <f t="shared" si="103"/>
        <v>0</v>
      </c>
      <c r="S2094" s="108">
        <f t="shared" si="104"/>
        <v>0</v>
      </c>
      <c r="T2094" s="105">
        <f t="shared" si="105"/>
        <v>0</v>
      </c>
    </row>
    <row r="2095" spans="1:20">
      <c r="A2095" s="101"/>
      <c r="B2095" s="101"/>
      <c r="C2095" s="101"/>
      <c r="D2095" s="101"/>
      <c r="E2095" s="101"/>
      <c r="F2095" s="102"/>
      <c r="G2095" s="101"/>
      <c r="H2095" s="102"/>
      <c r="I2095" s="101"/>
      <c r="J2095" s="101"/>
      <c r="K2095" s="103"/>
      <c r="L2095" s="103"/>
      <c r="M2095" s="103"/>
      <c r="N2095" s="103"/>
      <c r="O2095" s="103"/>
      <c r="P2095" s="98"/>
      <c r="Q2095" s="99"/>
      <c r="R2095" s="104">
        <f t="shared" si="103"/>
        <v>0</v>
      </c>
      <c r="S2095" s="104">
        <f t="shared" si="104"/>
        <v>0</v>
      </c>
      <c r="T2095" s="104">
        <f t="shared" si="105"/>
        <v>0</v>
      </c>
    </row>
    <row r="2096" spans="1:20">
      <c r="A2096" s="101"/>
      <c r="B2096" s="101"/>
      <c r="C2096" s="101"/>
      <c r="D2096" s="101"/>
      <c r="E2096" s="101"/>
      <c r="F2096" s="102"/>
      <c r="G2096" s="101"/>
      <c r="H2096" s="102"/>
      <c r="I2096" s="101"/>
      <c r="J2096" s="101"/>
      <c r="K2096" s="103"/>
      <c r="L2096" s="103"/>
      <c r="M2096" s="103"/>
      <c r="N2096" s="103"/>
      <c r="O2096" s="103"/>
      <c r="P2096" s="98"/>
      <c r="Q2096" s="99"/>
      <c r="R2096" s="105">
        <f t="shared" si="103"/>
        <v>0</v>
      </c>
      <c r="S2096" s="108">
        <f t="shared" si="104"/>
        <v>0</v>
      </c>
      <c r="T2096" s="105">
        <f t="shared" si="105"/>
        <v>0</v>
      </c>
    </row>
    <row r="2097" spans="1:20">
      <c r="A2097" s="101"/>
      <c r="B2097" s="101"/>
      <c r="C2097" s="101"/>
      <c r="D2097" s="101"/>
      <c r="E2097" s="101"/>
      <c r="F2097" s="102"/>
      <c r="G2097" s="101"/>
      <c r="H2097" s="102"/>
      <c r="I2097" s="101"/>
      <c r="J2097" s="101"/>
      <c r="K2097" s="103"/>
      <c r="L2097" s="103"/>
      <c r="M2097" s="103"/>
      <c r="N2097" s="103"/>
      <c r="O2097" s="103"/>
      <c r="P2097" s="98"/>
      <c r="Q2097" s="99"/>
      <c r="R2097" s="104">
        <f t="shared" si="103"/>
        <v>0</v>
      </c>
      <c r="S2097" s="104">
        <f t="shared" si="104"/>
        <v>0</v>
      </c>
      <c r="T2097" s="104">
        <f t="shared" si="105"/>
        <v>0</v>
      </c>
    </row>
    <row r="2098" spans="1:20">
      <c r="A2098" s="101"/>
      <c r="B2098" s="101"/>
      <c r="C2098" s="101"/>
      <c r="D2098" s="101"/>
      <c r="E2098" s="101"/>
      <c r="F2098" s="102"/>
      <c r="G2098" s="101"/>
      <c r="H2098" s="102"/>
      <c r="I2098" s="101"/>
      <c r="J2098" s="101"/>
      <c r="K2098" s="103"/>
      <c r="L2098" s="103"/>
      <c r="M2098" s="103"/>
      <c r="N2098" s="103"/>
      <c r="O2098" s="103"/>
      <c r="P2098" s="98"/>
      <c r="Q2098" s="99"/>
      <c r="R2098" s="105">
        <f t="shared" si="103"/>
        <v>0</v>
      </c>
      <c r="S2098" s="108">
        <f t="shared" si="104"/>
        <v>0</v>
      </c>
      <c r="T2098" s="105">
        <f t="shared" si="105"/>
        <v>0</v>
      </c>
    </row>
    <row r="2099" spans="1:20">
      <c r="A2099" s="101"/>
      <c r="B2099" s="101"/>
      <c r="C2099" s="101"/>
      <c r="D2099" s="101"/>
      <c r="E2099" s="101"/>
      <c r="F2099" s="102"/>
      <c r="G2099" s="101"/>
      <c r="H2099" s="102"/>
      <c r="I2099" s="101"/>
      <c r="J2099" s="101"/>
      <c r="K2099" s="103"/>
      <c r="L2099" s="103"/>
      <c r="M2099" s="103"/>
      <c r="N2099" s="103"/>
      <c r="O2099" s="103"/>
      <c r="P2099" s="98"/>
      <c r="Q2099" s="99"/>
      <c r="R2099" s="104">
        <f t="shared" si="103"/>
        <v>0</v>
      </c>
      <c r="S2099" s="104">
        <f t="shared" si="104"/>
        <v>0</v>
      </c>
      <c r="T2099" s="104">
        <f t="shared" si="105"/>
        <v>0</v>
      </c>
    </row>
    <row r="2100" spans="1:20">
      <c r="A2100" s="101"/>
      <c r="B2100" s="101"/>
      <c r="C2100" s="101"/>
      <c r="D2100" s="101"/>
      <c r="E2100" s="101"/>
      <c r="F2100" s="102"/>
      <c r="G2100" s="101"/>
      <c r="H2100" s="102"/>
      <c r="I2100" s="101"/>
      <c r="J2100" s="101"/>
      <c r="K2100" s="103"/>
      <c r="L2100" s="103"/>
      <c r="M2100" s="103"/>
      <c r="N2100" s="103"/>
      <c r="O2100" s="103"/>
      <c r="P2100" s="98"/>
      <c r="Q2100" s="99"/>
      <c r="R2100" s="105">
        <f t="shared" si="103"/>
        <v>0</v>
      </c>
      <c r="S2100" s="108">
        <f t="shared" si="104"/>
        <v>0</v>
      </c>
      <c r="T2100" s="105">
        <f t="shared" si="105"/>
        <v>0</v>
      </c>
    </row>
    <row r="2101" spans="1:20">
      <c r="A2101" s="101"/>
      <c r="B2101" s="101"/>
      <c r="C2101" s="101"/>
      <c r="D2101" s="101"/>
      <c r="E2101" s="101"/>
      <c r="F2101" s="102"/>
      <c r="G2101" s="101"/>
      <c r="H2101" s="102"/>
      <c r="I2101" s="101"/>
      <c r="J2101" s="101"/>
      <c r="K2101" s="103"/>
      <c r="L2101" s="103"/>
      <c r="M2101" s="103"/>
      <c r="N2101" s="103"/>
      <c r="O2101" s="103"/>
      <c r="P2101" s="98"/>
      <c r="Q2101" s="99"/>
      <c r="R2101" s="104">
        <f t="shared" si="103"/>
        <v>0</v>
      </c>
      <c r="S2101" s="104">
        <f t="shared" si="104"/>
        <v>0</v>
      </c>
      <c r="T2101" s="104">
        <f t="shared" si="105"/>
        <v>0</v>
      </c>
    </row>
    <row r="2102" spans="1:20">
      <c r="A2102" s="101"/>
      <c r="B2102" s="101"/>
      <c r="C2102" s="101"/>
      <c r="D2102" s="101"/>
      <c r="E2102" s="101"/>
      <c r="F2102" s="102"/>
      <c r="G2102" s="101"/>
      <c r="H2102" s="102"/>
      <c r="I2102" s="101"/>
      <c r="J2102" s="101"/>
      <c r="K2102" s="103"/>
      <c r="L2102" s="103"/>
      <c r="M2102" s="103"/>
      <c r="N2102" s="103"/>
      <c r="O2102" s="103"/>
      <c r="P2102" s="98"/>
      <c r="Q2102" s="99"/>
      <c r="R2102" s="105">
        <f t="shared" si="103"/>
        <v>0</v>
      </c>
      <c r="S2102" s="108">
        <f t="shared" si="104"/>
        <v>0</v>
      </c>
      <c r="T2102" s="105">
        <f t="shared" si="105"/>
        <v>0</v>
      </c>
    </row>
    <row r="2103" spans="1:20">
      <c r="A2103" s="101"/>
      <c r="B2103" s="101"/>
      <c r="C2103" s="101"/>
      <c r="D2103" s="101"/>
      <c r="E2103" s="101"/>
      <c r="F2103" s="102"/>
      <c r="G2103" s="101"/>
      <c r="H2103" s="102"/>
      <c r="I2103" s="101"/>
      <c r="J2103" s="101"/>
      <c r="K2103" s="103"/>
      <c r="L2103" s="103"/>
      <c r="M2103" s="103"/>
      <c r="N2103" s="103"/>
      <c r="O2103" s="103"/>
      <c r="P2103" s="98"/>
      <c r="Q2103" s="99"/>
      <c r="R2103" s="104">
        <f t="shared" si="103"/>
        <v>0</v>
      </c>
      <c r="S2103" s="104">
        <f t="shared" si="104"/>
        <v>0</v>
      </c>
      <c r="T2103" s="104">
        <f t="shared" si="105"/>
        <v>0</v>
      </c>
    </row>
    <row r="2104" spans="1:20">
      <c r="A2104" s="101"/>
      <c r="B2104" s="101"/>
      <c r="C2104" s="101"/>
      <c r="D2104" s="101"/>
      <c r="E2104" s="101"/>
      <c r="F2104" s="102"/>
      <c r="G2104" s="101"/>
      <c r="H2104" s="102"/>
      <c r="I2104" s="101"/>
      <c r="J2104" s="101"/>
      <c r="K2104" s="103"/>
      <c r="L2104" s="103"/>
      <c r="M2104" s="103"/>
      <c r="N2104" s="103"/>
      <c r="O2104" s="103"/>
      <c r="P2104" s="98"/>
      <c r="Q2104" s="99"/>
      <c r="R2104" s="105">
        <f t="shared" si="103"/>
        <v>0</v>
      </c>
      <c r="S2104" s="108">
        <f t="shared" si="104"/>
        <v>0</v>
      </c>
      <c r="T2104" s="105">
        <f t="shared" si="105"/>
        <v>0</v>
      </c>
    </row>
    <row r="2105" spans="1:20">
      <c r="A2105" s="101"/>
      <c r="B2105" s="101"/>
      <c r="C2105" s="101"/>
      <c r="D2105" s="101"/>
      <c r="E2105" s="101"/>
      <c r="F2105" s="102"/>
      <c r="G2105" s="101"/>
      <c r="H2105" s="102"/>
      <c r="I2105" s="101"/>
      <c r="J2105" s="101"/>
      <c r="K2105" s="103"/>
      <c r="L2105" s="103"/>
      <c r="M2105" s="103"/>
      <c r="N2105" s="103"/>
      <c r="O2105" s="103"/>
      <c r="P2105" s="98"/>
      <c r="Q2105" s="99"/>
      <c r="R2105" s="104">
        <f t="shared" si="103"/>
        <v>0</v>
      </c>
      <c r="S2105" s="104">
        <f t="shared" si="104"/>
        <v>0</v>
      </c>
      <c r="T2105" s="104">
        <f t="shared" si="105"/>
        <v>0</v>
      </c>
    </row>
    <row r="2106" spans="1:20">
      <c r="A2106" s="101"/>
      <c r="B2106" s="101"/>
      <c r="C2106" s="101"/>
      <c r="D2106" s="101"/>
      <c r="E2106" s="101"/>
      <c r="F2106" s="102"/>
      <c r="G2106" s="101"/>
      <c r="H2106" s="102"/>
      <c r="I2106" s="101"/>
      <c r="J2106" s="101"/>
      <c r="K2106" s="103"/>
      <c r="L2106" s="103"/>
      <c r="M2106" s="103"/>
      <c r="N2106" s="103"/>
      <c r="O2106" s="103"/>
      <c r="P2106" s="98"/>
      <c r="Q2106" s="99"/>
      <c r="R2106" s="105">
        <f t="shared" si="103"/>
        <v>0</v>
      </c>
      <c r="S2106" s="108">
        <f t="shared" si="104"/>
        <v>0</v>
      </c>
      <c r="T2106" s="105">
        <f t="shared" si="105"/>
        <v>0</v>
      </c>
    </row>
    <row r="2107" spans="1:20">
      <c r="A2107" s="101"/>
      <c r="B2107" s="101"/>
      <c r="C2107" s="101"/>
      <c r="D2107" s="101"/>
      <c r="E2107" s="101"/>
      <c r="F2107" s="102"/>
      <c r="G2107" s="101"/>
      <c r="H2107" s="102"/>
      <c r="I2107" s="101"/>
      <c r="J2107" s="101"/>
      <c r="K2107" s="103"/>
      <c r="L2107" s="103"/>
      <c r="M2107" s="103"/>
      <c r="N2107" s="103"/>
      <c r="O2107" s="103"/>
      <c r="P2107" s="98"/>
      <c r="Q2107" s="99"/>
      <c r="R2107" s="104">
        <f t="shared" si="103"/>
        <v>0</v>
      </c>
      <c r="S2107" s="104">
        <f t="shared" si="104"/>
        <v>0</v>
      </c>
      <c r="T2107" s="104">
        <f t="shared" si="105"/>
        <v>0</v>
      </c>
    </row>
    <row r="2108" spans="1:20">
      <c r="A2108" s="101"/>
      <c r="B2108" s="101"/>
      <c r="C2108" s="101"/>
      <c r="D2108" s="101"/>
      <c r="E2108" s="101"/>
      <c r="F2108" s="102"/>
      <c r="G2108" s="101"/>
      <c r="H2108" s="102"/>
      <c r="I2108" s="101"/>
      <c r="J2108" s="101"/>
      <c r="K2108" s="103"/>
      <c r="L2108" s="103"/>
      <c r="M2108" s="103"/>
      <c r="N2108" s="103"/>
      <c r="O2108" s="103"/>
      <c r="P2108" s="98"/>
      <c r="Q2108" s="99"/>
      <c r="R2108" s="105">
        <f t="shared" si="103"/>
        <v>0</v>
      </c>
      <c r="S2108" s="108">
        <f t="shared" si="104"/>
        <v>0</v>
      </c>
      <c r="T2108" s="105">
        <f t="shared" si="105"/>
        <v>0</v>
      </c>
    </row>
    <row r="2109" spans="1:20">
      <c r="A2109" s="101"/>
      <c r="B2109" s="101"/>
      <c r="C2109" s="101"/>
      <c r="D2109" s="101"/>
      <c r="E2109" s="101"/>
      <c r="F2109" s="102"/>
      <c r="G2109" s="101"/>
      <c r="H2109" s="102"/>
      <c r="I2109" s="101"/>
      <c r="J2109" s="101"/>
      <c r="K2109" s="103"/>
      <c r="L2109" s="103"/>
      <c r="M2109" s="103"/>
      <c r="N2109" s="103"/>
      <c r="O2109" s="103"/>
      <c r="P2109" s="98"/>
      <c r="Q2109" s="99"/>
      <c r="R2109" s="104">
        <f t="shared" si="103"/>
        <v>0</v>
      </c>
      <c r="S2109" s="104">
        <f t="shared" si="104"/>
        <v>0</v>
      </c>
      <c r="T2109" s="104">
        <f t="shared" si="105"/>
        <v>0</v>
      </c>
    </row>
    <row r="2110" spans="1:20">
      <c r="A2110" s="101"/>
      <c r="B2110" s="101"/>
      <c r="C2110" s="101"/>
      <c r="D2110" s="101"/>
      <c r="E2110" s="101"/>
      <c r="F2110" s="102"/>
      <c r="G2110" s="101"/>
      <c r="H2110" s="102"/>
      <c r="I2110" s="101"/>
      <c r="J2110" s="101"/>
      <c r="K2110" s="103"/>
      <c r="L2110" s="103"/>
      <c r="M2110" s="103"/>
      <c r="N2110" s="103"/>
      <c r="O2110" s="103"/>
      <c r="P2110" s="98"/>
      <c r="Q2110" s="99"/>
      <c r="R2110" s="105">
        <f t="shared" si="103"/>
        <v>0</v>
      </c>
      <c r="S2110" s="108">
        <f t="shared" si="104"/>
        <v>0</v>
      </c>
      <c r="T2110" s="105">
        <f t="shared" si="105"/>
        <v>0</v>
      </c>
    </row>
    <row r="2111" spans="1:20">
      <c r="A2111" s="101"/>
      <c r="B2111" s="101"/>
      <c r="C2111" s="101"/>
      <c r="D2111" s="101"/>
      <c r="E2111" s="101"/>
      <c r="F2111" s="102"/>
      <c r="G2111" s="101"/>
      <c r="H2111" s="102"/>
      <c r="I2111" s="101"/>
      <c r="J2111" s="101"/>
      <c r="K2111" s="103"/>
      <c r="L2111" s="103"/>
      <c r="M2111" s="103"/>
      <c r="N2111" s="103"/>
      <c r="O2111" s="103"/>
      <c r="P2111" s="98"/>
      <c r="Q2111" s="99"/>
      <c r="R2111" s="104">
        <f t="shared" si="103"/>
        <v>0</v>
      </c>
      <c r="S2111" s="104">
        <f t="shared" si="104"/>
        <v>0</v>
      </c>
      <c r="T2111" s="104">
        <f t="shared" si="105"/>
        <v>0</v>
      </c>
    </row>
    <row r="2112" spans="1:20">
      <c r="A2112" s="101"/>
      <c r="B2112" s="101"/>
      <c r="C2112" s="101"/>
      <c r="D2112" s="101"/>
      <c r="E2112" s="101"/>
      <c r="F2112" s="102"/>
      <c r="G2112" s="101"/>
      <c r="H2112" s="102"/>
      <c r="I2112" s="101"/>
      <c r="J2112" s="101"/>
      <c r="K2112" s="103"/>
      <c r="L2112" s="103"/>
      <c r="M2112" s="103"/>
      <c r="N2112" s="103"/>
      <c r="O2112" s="103"/>
      <c r="P2112" s="98"/>
      <c r="Q2112" s="99"/>
      <c r="R2112" s="105">
        <f t="shared" si="103"/>
        <v>0</v>
      </c>
      <c r="S2112" s="108">
        <f t="shared" si="104"/>
        <v>0</v>
      </c>
      <c r="T2112" s="105">
        <f t="shared" si="105"/>
        <v>0</v>
      </c>
    </row>
    <row r="2113" spans="1:22">
      <c r="A2113" s="101"/>
      <c r="B2113" s="101"/>
      <c r="C2113" s="101"/>
      <c r="D2113" s="101"/>
      <c r="E2113" s="101"/>
      <c r="F2113" s="102"/>
      <c r="G2113" s="101"/>
      <c r="H2113" s="102"/>
      <c r="I2113" s="101"/>
      <c r="J2113" s="101"/>
      <c r="K2113" s="103"/>
      <c r="L2113" s="103"/>
      <c r="M2113" s="103"/>
      <c r="N2113" s="103"/>
      <c r="O2113" s="103"/>
      <c r="P2113" s="98"/>
      <c r="Q2113" s="99"/>
      <c r="R2113" s="104">
        <f t="shared" si="103"/>
        <v>0</v>
      </c>
      <c r="S2113" s="104">
        <f t="shared" si="104"/>
        <v>0</v>
      </c>
      <c r="T2113" s="104">
        <f t="shared" si="105"/>
        <v>0</v>
      </c>
    </row>
    <row r="2114" spans="1:22">
      <c r="A2114" s="101"/>
      <c r="B2114" s="101"/>
      <c r="C2114" s="101"/>
      <c r="D2114" s="101"/>
      <c r="E2114" s="101"/>
      <c r="F2114" s="102"/>
      <c r="G2114" s="101"/>
      <c r="H2114" s="102"/>
      <c r="I2114" s="101"/>
      <c r="J2114" s="101"/>
      <c r="K2114" s="103"/>
      <c r="L2114" s="103"/>
      <c r="M2114" s="103"/>
      <c r="N2114" s="103"/>
      <c r="O2114" s="103"/>
      <c r="P2114" s="98"/>
      <c r="Q2114" s="99"/>
      <c r="R2114" s="105">
        <f t="shared" si="103"/>
        <v>0</v>
      </c>
      <c r="S2114" s="108">
        <f t="shared" si="104"/>
        <v>0</v>
      </c>
      <c r="T2114" s="105">
        <f t="shared" si="105"/>
        <v>0</v>
      </c>
    </row>
    <row r="2115" spans="1:22">
      <c r="A2115" s="101"/>
      <c r="B2115" s="101"/>
      <c r="C2115" s="101"/>
      <c r="D2115" s="101"/>
      <c r="E2115" s="101"/>
      <c r="F2115" s="102"/>
      <c r="G2115" s="101"/>
      <c r="H2115" s="102"/>
      <c r="I2115" s="101"/>
      <c r="J2115" s="101"/>
      <c r="K2115" s="103"/>
      <c r="L2115" s="103"/>
      <c r="M2115" s="103"/>
      <c r="N2115" s="103"/>
      <c r="O2115" s="103"/>
      <c r="P2115" s="98"/>
      <c r="Q2115" s="99"/>
      <c r="R2115" s="104">
        <f t="shared" si="103"/>
        <v>0</v>
      </c>
      <c r="S2115" s="104">
        <f t="shared" si="104"/>
        <v>0</v>
      </c>
      <c r="T2115" s="104">
        <f t="shared" si="105"/>
        <v>0</v>
      </c>
    </row>
    <row r="2116" spans="1:22">
      <c r="A2116" s="101"/>
      <c r="B2116" s="101"/>
      <c r="C2116" s="101"/>
      <c r="D2116" s="101"/>
      <c r="E2116" s="101"/>
      <c r="F2116" s="102"/>
      <c r="G2116" s="101"/>
      <c r="H2116" s="102"/>
      <c r="I2116" s="101"/>
      <c r="J2116" s="101"/>
      <c r="K2116" s="103"/>
      <c r="L2116" s="103"/>
      <c r="M2116" s="103"/>
      <c r="N2116" s="103"/>
      <c r="O2116" s="103"/>
      <c r="P2116" s="98"/>
      <c r="Q2116" s="99"/>
      <c r="R2116" s="105">
        <f t="shared" si="103"/>
        <v>0</v>
      </c>
      <c r="S2116" s="108">
        <f t="shared" si="104"/>
        <v>0</v>
      </c>
      <c r="T2116" s="105">
        <f t="shared" si="105"/>
        <v>0</v>
      </c>
    </row>
    <row r="2117" spans="1:22">
      <c r="A2117" s="101"/>
      <c r="B2117" s="101"/>
      <c r="C2117" s="101"/>
      <c r="D2117" s="101"/>
      <c r="E2117" s="101"/>
      <c r="F2117" s="102"/>
      <c r="G2117" s="101"/>
      <c r="H2117" s="102"/>
      <c r="I2117" s="101"/>
      <c r="J2117" s="101"/>
      <c r="K2117" s="103"/>
      <c r="L2117" s="103"/>
      <c r="M2117" s="103"/>
      <c r="N2117" s="103"/>
      <c r="O2117" s="103"/>
      <c r="P2117" s="98"/>
      <c r="Q2117" s="99"/>
      <c r="R2117" s="104">
        <f t="shared" si="103"/>
        <v>0</v>
      </c>
      <c r="S2117" s="104">
        <f t="shared" si="104"/>
        <v>0</v>
      </c>
      <c r="T2117" s="104">
        <f t="shared" si="105"/>
        <v>0</v>
      </c>
    </row>
    <row r="2118" spans="1:22">
      <c r="A2118" s="101"/>
      <c r="B2118" s="101"/>
      <c r="C2118" s="101"/>
      <c r="D2118" s="101"/>
      <c r="E2118" s="101"/>
      <c r="F2118" s="102"/>
      <c r="G2118" s="101"/>
      <c r="H2118" s="102"/>
      <c r="I2118" s="101"/>
      <c r="J2118" s="101"/>
      <c r="K2118" s="103"/>
      <c r="L2118" s="103"/>
      <c r="M2118" s="103"/>
      <c r="N2118" s="103"/>
      <c r="O2118" s="103"/>
      <c r="P2118" s="98"/>
      <c r="Q2118" s="99"/>
      <c r="R2118" s="105">
        <f t="shared" si="103"/>
        <v>0</v>
      </c>
      <c r="S2118" s="108">
        <f t="shared" si="104"/>
        <v>0</v>
      </c>
      <c r="T2118" s="105">
        <f t="shared" si="105"/>
        <v>0</v>
      </c>
    </row>
    <row r="2119" spans="1:22">
      <c r="A2119" s="101"/>
      <c r="B2119" s="101"/>
      <c r="C2119" s="101"/>
      <c r="D2119" s="101"/>
      <c r="E2119" s="101"/>
      <c r="F2119" s="102"/>
      <c r="G2119" s="101"/>
      <c r="H2119" s="102"/>
      <c r="I2119" s="101"/>
      <c r="J2119" s="101"/>
      <c r="K2119" s="103"/>
      <c r="L2119" s="103"/>
      <c r="M2119" s="103"/>
      <c r="N2119" s="103"/>
      <c r="O2119" s="103"/>
      <c r="P2119" s="98"/>
      <c r="Q2119" s="99"/>
      <c r="R2119" s="104">
        <f t="shared" si="103"/>
        <v>0</v>
      </c>
      <c r="S2119" s="104">
        <f t="shared" si="104"/>
        <v>0</v>
      </c>
      <c r="T2119" s="104">
        <f t="shared" si="105"/>
        <v>0</v>
      </c>
    </row>
    <row r="2120" spans="1:22">
      <c r="A2120" s="101"/>
      <c r="B2120" s="101"/>
      <c r="C2120" s="101"/>
      <c r="D2120" s="101"/>
      <c r="E2120" s="101"/>
      <c r="F2120" s="102"/>
      <c r="G2120" s="101"/>
      <c r="H2120" s="102"/>
      <c r="I2120" s="101"/>
      <c r="J2120" s="101"/>
      <c r="K2120" s="103"/>
      <c r="L2120" s="103"/>
      <c r="M2120" s="103"/>
      <c r="N2120" s="103"/>
      <c r="O2120" s="103"/>
      <c r="P2120" s="98"/>
      <c r="Q2120" s="99"/>
      <c r="R2120" s="105">
        <f t="shared" si="103"/>
        <v>0</v>
      </c>
      <c r="S2120" s="108">
        <f t="shared" si="104"/>
        <v>0</v>
      </c>
      <c r="T2120" s="105">
        <f t="shared" si="105"/>
        <v>0</v>
      </c>
    </row>
    <row r="2121" spans="1:22">
      <c r="A2121" s="101"/>
      <c r="B2121" s="101"/>
      <c r="C2121" s="101"/>
      <c r="D2121" s="101"/>
      <c r="E2121" s="101"/>
      <c r="F2121" s="102"/>
      <c r="G2121" s="101"/>
      <c r="H2121" s="102"/>
      <c r="I2121" s="101"/>
      <c r="J2121" s="101"/>
      <c r="K2121" s="103"/>
      <c r="L2121" s="103"/>
      <c r="M2121" s="103"/>
      <c r="N2121" s="103"/>
      <c r="O2121" s="103"/>
      <c r="P2121" s="98"/>
      <c r="Q2121" s="99"/>
      <c r="R2121" s="104">
        <f t="shared" si="103"/>
        <v>0</v>
      </c>
      <c r="S2121" s="104">
        <f t="shared" si="104"/>
        <v>0</v>
      </c>
      <c r="T2121" s="104">
        <f t="shared" si="105"/>
        <v>0</v>
      </c>
      <c r="U2121" s="112"/>
      <c r="V2121" s="112"/>
    </row>
    <row r="2122" spans="1:22">
      <c r="A2122" s="101"/>
      <c r="B2122" s="101"/>
      <c r="C2122" s="101"/>
      <c r="D2122" s="101"/>
      <c r="E2122" s="101"/>
      <c r="F2122" s="102"/>
      <c r="G2122" s="101"/>
      <c r="H2122" s="102"/>
      <c r="I2122" s="101"/>
      <c r="J2122" s="101"/>
      <c r="K2122" s="103"/>
      <c r="L2122" s="103"/>
      <c r="M2122" s="103"/>
      <c r="N2122" s="103"/>
      <c r="O2122" s="103"/>
      <c r="P2122" s="98"/>
      <c r="Q2122" s="99"/>
      <c r="R2122" s="104">
        <f t="shared" ref="R2122:R2185" si="106">IF(P2122="Cargo",K2122+L2122-M2122-N2122+O2122,0)</f>
        <v>0</v>
      </c>
      <c r="S2122" s="104">
        <f t="shared" ref="S2122:S2185" si="107">IF(P2122="Abono",K2122+L2122+M2122-N2122-O2122,0)</f>
        <v>0</v>
      </c>
      <c r="T2122" s="104">
        <f t="shared" ref="T2122:T2185" si="108">IF(Q2122="OK",+T2121+R2122-S2122,T2121)</f>
        <v>0</v>
      </c>
    </row>
    <row r="2123" spans="1:22">
      <c r="A2123" s="101"/>
      <c r="B2123" s="101"/>
      <c r="C2123" s="101"/>
      <c r="D2123" s="101"/>
      <c r="E2123" s="101"/>
      <c r="F2123" s="102"/>
      <c r="G2123" s="101"/>
      <c r="H2123" s="102"/>
      <c r="I2123" s="101"/>
      <c r="J2123" s="101"/>
      <c r="K2123" s="103"/>
      <c r="L2123" s="103"/>
      <c r="M2123" s="103"/>
      <c r="N2123" s="103"/>
      <c r="O2123" s="103"/>
      <c r="P2123" s="98"/>
      <c r="Q2123" s="99"/>
      <c r="R2123" s="104">
        <f t="shared" si="106"/>
        <v>0</v>
      </c>
      <c r="S2123" s="104">
        <f t="shared" si="107"/>
        <v>0</v>
      </c>
      <c r="T2123" s="104">
        <f t="shared" si="108"/>
        <v>0</v>
      </c>
    </row>
    <row r="2124" spans="1:22">
      <c r="A2124" s="101"/>
      <c r="B2124" s="101"/>
      <c r="C2124" s="101"/>
      <c r="D2124" s="101"/>
      <c r="E2124" s="101"/>
      <c r="F2124" s="102"/>
      <c r="G2124" s="101"/>
      <c r="H2124" s="102"/>
      <c r="I2124" s="101"/>
      <c r="J2124" s="101"/>
      <c r="K2124" s="103"/>
      <c r="L2124" s="103"/>
      <c r="M2124" s="103"/>
      <c r="N2124" s="103"/>
      <c r="O2124" s="103"/>
      <c r="P2124" s="98"/>
      <c r="Q2124" s="99"/>
      <c r="R2124" s="104">
        <f t="shared" si="106"/>
        <v>0</v>
      </c>
      <c r="S2124" s="104">
        <f t="shared" si="107"/>
        <v>0</v>
      </c>
      <c r="T2124" s="104">
        <f t="shared" si="108"/>
        <v>0</v>
      </c>
    </row>
    <row r="2125" spans="1:22">
      <c r="A2125" s="101"/>
      <c r="B2125" s="101"/>
      <c r="C2125" s="101"/>
      <c r="D2125" s="101"/>
      <c r="E2125" s="101"/>
      <c r="F2125" s="102"/>
      <c r="G2125" s="101"/>
      <c r="H2125" s="102"/>
      <c r="I2125" s="101"/>
      <c r="J2125" s="101"/>
      <c r="K2125" s="103"/>
      <c r="L2125" s="103"/>
      <c r="M2125" s="103"/>
      <c r="N2125" s="103"/>
      <c r="O2125" s="103"/>
      <c r="P2125" s="98"/>
      <c r="Q2125" s="99"/>
      <c r="R2125" s="104">
        <f t="shared" si="106"/>
        <v>0</v>
      </c>
      <c r="S2125" s="104">
        <f t="shared" si="107"/>
        <v>0</v>
      </c>
      <c r="T2125" s="104">
        <f t="shared" si="108"/>
        <v>0</v>
      </c>
    </row>
    <row r="2126" spans="1:22">
      <c r="A2126" s="101"/>
      <c r="B2126" s="101"/>
      <c r="C2126" s="101"/>
      <c r="D2126" s="101"/>
      <c r="E2126" s="101"/>
      <c r="F2126" s="102"/>
      <c r="G2126" s="101"/>
      <c r="H2126" s="102"/>
      <c r="I2126" s="101"/>
      <c r="J2126" s="101"/>
      <c r="K2126" s="103"/>
      <c r="L2126" s="103"/>
      <c r="M2126" s="103"/>
      <c r="N2126" s="103"/>
      <c r="O2126" s="103"/>
      <c r="P2126" s="98"/>
      <c r="Q2126" s="99"/>
      <c r="R2126" s="104">
        <f t="shared" si="106"/>
        <v>0</v>
      </c>
      <c r="S2126" s="104">
        <f t="shared" si="107"/>
        <v>0</v>
      </c>
      <c r="T2126" s="104">
        <f t="shared" si="108"/>
        <v>0</v>
      </c>
    </row>
    <row r="2127" spans="1:22">
      <c r="A2127" s="101"/>
      <c r="B2127" s="101"/>
      <c r="C2127" s="101"/>
      <c r="D2127" s="101"/>
      <c r="E2127" s="101"/>
      <c r="F2127" s="102"/>
      <c r="G2127" s="101"/>
      <c r="H2127" s="102"/>
      <c r="I2127" s="101"/>
      <c r="J2127" s="101"/>
      <c r="K2127" s="103"/>
      <c r="L2127" s="103"/>
      <c r="M2127" s="103"/>
      <c r="N2127" s="103"/>
      <c r="O2127" s="103"/>
      <c r="P2127" s="98"/>
      <c r="Q2127" s="99"/>
      <c r="R2127" s="104">
        <f t="shared" si="106"/>
        <v>0</v>
      </c>
      <c r="S2127" s="104">
        <f t="shared" si="107"/>
        <v>0</v>
      </c>
      <c r="T2127" s="104">
        <f t="shared" si="108"/>
        <v>0</v>
      </c>
    </row>
    <row r="2128" spans="1:22">
      <c r="A2128" s="101"/>
      <c r="B2128" s="101"/>
      <c r="C2128" s="101"/>
      <c r="D2128" s="101"/>
      <c r="E2128" s="101"/>
      <c r="F2128" s="102"/>
      <c r="G2128" s="101"/>
      <c r="H2128" s="102"/>
      <c r="I2128" s="101"/>
      <c r="J2128" s="101"/>
      <c r="K2128" s="103"/>
      <c r="L2128" s="103"/>
      <c r="M2128" s="103"/>
      <c r="N2128" s="103"/>
      <c r="O2128" s="103"/>
      <c r="P2128" s="98"/>
      <c r="Q2128" s="99"/>
      <c r="R2128" s="104">
        <f t="shared" si="106"/>
        <v>0</v>
      </c>
      <c r="S2128" s="104">
        <f t="shared" si="107"/>
        <v>0</v>
      </c>
      <c r="T2128" s="104">
        <f t="shared" si="108"/>
        <v>0</v>
      </c>
    </row>
    <row r="2129" spans="1:20">
      <c r="A2129" s="101"/>
      <c r="B2129" s="101"/>
      <c r="C2129" s="101"/>
      <c r="D2129" s="101"/>
      <c r="E2129" s="101"/>
      <c r="F2129" s="102"/>
      <c r="G2129" s="101"/>
      <c r="H2129" s="102"/>
      <c r="I2129" s="101"/>
      <c r="J2129" s="101"/>
      <c r="K2129" s="103"/>
      <c r="L2129" s="103"/>
      <c r="M2129" s="103"/>
      <c r="N2129" s="103"/>
      <c r="O2129" s="103"/>
      <c r="P2129" s="98"/>
      <c r="Q2129" s="99"/>
      <c r="R2129" s="104">
        <f t="shared" si="106"/>
        <v>0</v>
      </c>
      <c r="S2129" s="104">
        <f t="shared" si="107"/>
        <v>0</v>
      </c>
      <c r="T2129" s="104">
        <f t="shared" si="108"/>
        <v>0</v>
      </c>
    </row>
    <row r="2130" spans="1:20">
      <c r="A2130" s="101"/>
      <c r="B2130" s="101"/>
      <c r="C2130" s="101"/>
      <c r="D2130" s="101"/>
      <c r="E2130" s="101"/>
      <c r="F2130" s="102"/>
      <c r="G2130" s="101"/>
      <c r="H2130" s="102"/>
      <c r="I2130" s="101"/>
      <c r="J2130" s="101"/>
      <c r="K2130" s="103"/>
      <c r="L2130" s="103"/>
      <c r="M2130" s="103"/>
      <c r="N2130" s="103"/>
      <c r="O2130" s="103"/>
      <c r="P2130" s="98"/>
      <c r="Q2130" s="99"/>
      <c r="R2130" s="104">
        <f t="shared" si="106"/>
        <v>0</v>
      </c>
      <c r="S2130" s="104">
        <f t="shared" si="107"/>
        <v>0</v>
      </c>
      <c r="T2130" s="104">
        <f t="shared" si="108"/>
        <v>0</v>
      </c>
    </row>
    <row r="2131" spans="1:20">
      <c r="A2131" s="101"/>
      <c r="B2131" s="101"/>
      <c r="C2131" s="101"/>
      <c r="D2131" s="101"/>
      <c r="E2131" s="101"/>
      <c r="F2131" s="102"/>
      <c r="G2131" s="101"/>
      <c r="H2131" s="102"/>
      <c r="I2131" s="101"/>
      <c r="J2131" s="101"/>
      <c r="K2131" s="103"/>
      <c r="L2131" s="103"/>
      <c r="M2131" s="103"/>
      <c r="N2131" s="103"/>
      <c r="O2131" s="103"/>
      <c r="P2131" s="98"/>
      <c r="Q2131" s="99"/>
      <c r="R2131" s="104">
        <f t="shared" si="106"/>
        <v>0</v>
      </c>
      <c r="S2131" s="104">
        <f t="shared" si="107"/>
        <v>0</v>
      </c>
      <c r="T2131" s="104">
        <f t="shared" si="108"/>
        <v>0</v>
      </c>
    </row>
    <row r="2132" spans="1:20">
      <c r="A2132" s="101"/>
      <c r="B2132" s="101"/>
      <c r="C2132" s="101"/>
      <c r="D2132" s="101"/>
      <c r="E2132" s="101"/>
      <c r="F2132" s="102"/>
      <c r="G2132" s="101"/>
      <c r="H2132" s="102"/>
      <c r="I2132" s="101"/>
      <c r="J2132" s="101"/>
      <c r="K2132" s="103"/>
      <c r="L2132" s="103"/>
      <c r="M2132" s="103"/>
      <c r="N2132" s="103"/>
      <c r="O2132" s="103"/>
      <c r="P2132" s="98"/>
      <c r="Q2132" s="99"/>
      <c r="R2132" s="104">
        <f t="shared" si="106"/>
        <v>0</v>
      </c>
      <c r="S2132" s="104">
        <f t="shared" si="107"/>
        <v>0</v>
      </c>
      <c r="T2132" s="104">
        <f t="shared" si="108"/>
        <v>0</v>
      </c>
    </row>
    <row r="2133" spans="1:20">
      <c r="A2133" s="101"/>
      <c r="B2133" s="101"/>
      <c r="C2133" s="101"/>
      <c r="D2133" s="101"/>
      <c r="E2133" s="101"/>
      <c r="F2133" s="102"/>
      <c r="G2133" s="101"/>
      <c r="H2133" s="102"/>
      <c r="I2133" s="101"/>
      <c r="J2133" s="101"/>
      <c r="K2133" s="103"/>
      <c r="L2133" s="103"/>
      <c r="M2133" s="103"/>
      <c r="N2133" s="103"/>
      <c r="O2133" s="103"/>
      <c r="P2133" s="98"/>
      <c r="Q2133" s="99"/>
      <c r="R2133" s="104">
        <f t="shared" si="106"/>
        <v>0</v>
      </c>
      <c r="S2133" s="104">
        <f t="shared" si="107"/>
        <v>0</v>
      </c>
      <c r="T2133" s="104">
        <f t="shared" si="108"/>
        <v>0</v>
      </c>
    </row>
    <row r="2134" spans="1:20">
      <c r="A2134" s="101"/>
      <c r="B2134" s="101"/>
      <c r="C2134" s="101"/>
      <c r="D2134" s="101"/>
      <c r="E2134" s="101"/>
      <c r="F2134" s="102"/>
      <c r="G2134" s="101"/>
      <c r="H2134" s="102"/>
      <c r="I2134" s="101"/>
      <c r="J2134" s="101"/>
      <c r="K2134" s="103"/>
      <c r="L2134" s="103"/>
      <c r="M2134" s="103"/>
      <c r="N2134" s="103"/>
      <c r="O2134" s="103"/>
      <c r="P2134" s="98"/>
      <c r="Q2134" s="99"/>
      <c r="R2134" s="104">
        <f t="shared" si="106"/>
        <v>0</v>
      </c>
      <c r="S2134" s="104">
        <f t="shared" si="107"/>
        <v>0</v>
      </c>
      <c r="T2134" s="104">
        <f t="shared" si="108"/>
        <v>0</v>
      </c>
    </row>
    <row r="2135" spans="1:20">
      <c r="A2135" s="101"/>
      <c r="B2135" s="101"/>
      <c r="C2135" s="101"/>
      <c r="D2135" s="101"/>
      <c r="E2135" s="101"/>
      <c r="F2135" s="102"/>
      <c r="G2135" s="101"/>
      <c r="H2135" s="102"/>
      <c r="I2135" s="101"/>
      <c r="J2135" s="101"/>
      <c r="K2135" s="103"/>
      <c r="L2135" s="103"/>
      <c r="M2135" s="103"/>
      <c r="N2135" s="103"/>
      <c r="O2135" s="103"/>
      <c r="P2135" s="98"/>
      <c r="Q2135" s="99"/>
      <c r="R2135" s="104">
        <f t="shared" si="106"/>
        <v>0</v>
      </c>
      <c r="S2135" s="104">
        <f t="shared" si="107"/>
        <v>0</v>
      </c>
      <c r="T2135" s="104">
        <f t="shared" si="108"/>
        <v>0</v>
      </c>
    </row>
    <row r="2136" spans="1:20">
      <c r="A2136" s="101"/>
      <c r="B2136" s="101"/>
      <c r="C2136" s="101"/>
      <c r="D2136" s="101"/>
      <c r="E2136" s="101"/>
      <c r="F2136" s="102"/>
      <c r="G2136" s="101"/>
      <c r="H2136" s="102"/>
      <c r="I2136" s="101"/>
      <c r="J2136" s="101"/>
      <c r="K2136" s="103"/>
      <c r="L2136" s="103"/>
      <c r="M2136" s="103"/>
      <c r="N2136" s="103"/>
      <c r="O2136" s="103"/>
      <c r="P2136" s="98"/>
      <c r="Q2136" s="99"/>
      <c r="R2136" s="104">
        <f t="shared" si="106"/>
        <v>0</v>
      </c>
      <c r="S2136" s="104">
        <f t="shared" si="107"/>
        <v>0</v>
      </c>
      <c r="T2136" s="104">
        <f t="shared" si="108"/>
        <v>0</v>
      </c>
    </row>
    <row r="2137" spans="1:20">
      <c r="A2137" s="101"/>
      <c r="B2137" s="101"/>
      <c r="C2137" s="101"/>
      <c r="D2137" s="101"/>
      <c r="E2137" s="101"/>
      <c r="F2137" s="102"/>
      <c r="G2137" s="101"/>
      <c r="H2137" s="102"/>
      <c r="I2137" s="101"/>
      <c r="J2137" s="101"/>
      <c r="K2137" s="103"/>
      <c r="L2137" s="103"/>
      <c r="M2137" s="103"/>
      <c r="N2137" s="103"/>
      <c r="O2137" s="103"/>
      <c r="P2137" s="98"/>
      <c r="Q2137" s="99"/>
      <c r="R2137" s="104">
        <f t="shared" si="106"/>
        <v>0</v>
      </c>
      <c r="S2137" s="104">
        <f t="shared" si="107"/>
        <v>0</v>
      </c>
      <c r="T2137" s="104">
        <f t="shared" si="108"/>
        <v>0</v>
      </c>
    </row>
    <row r="2138" spans="1:20">
      <c r="A2138" s="101"/>
      <c r="B2138" s="101"/>
      <c r="C2138" s="101"/>
      <c r="D2138" s="101"/>
      <c r="E2138" s="101"/>
      <c r="F2138" s="102"/>
      <c r="G2138" s="101"/>
      <c r="H2138" s="102"/>
      <c r="I2138" s="101"/>
      <c r="J2138" s="101"/>
      <c r="K2138" s="103"/>
      <c r="L2138" s="103"/>
      <c r="M2138" s="103"/>
      <c r="N2138" s="103"/>
      <c r="O2138" s="103"/>
      <c r="P2138" s="98"/>
      <c r="Q2138" s="99"/>
      <c r="R2138" s="104">
        <f t="shared" si="106"/>
        <v>0</v>
      </c>
      <c r="S2138" s="104">
        <f t="shared" si="107"/>
        <v>0</v>
      </c>
      <c r="T2138" s="104">
        <f t="shared" si="108"/>
        <v>0</v>
      </c>
    </row>
    <row r="2139" spans="1:20">
      <c r="A2139" s="101"/>
      <c r="B2139" s="101"/>
      <c r="C2139" s="101"/>
      <c r="D2139" s="101"/>
      <c r="E2139" s="101"/>
      <c r="F2139" s="102"/>
      <c r="G2139" s="101"/>
      <c r="H2139" s="102"/>
      <c r="I2139" s="101"/>
      <c r="J2139" s="101"/>
      <c r="K2139" s="103"/>
      <c r="L2139" s="103"/>
      <c r="M2139" s="103"/>
      <c r="N2139" s="103"/>
      <c r="O2139" s="103"/>
      <c r="P2139" s="98"/>
      <c r="Q2139" s="99"/>
      <c r="R2139" s="104">
        <f t="shared" si="106"/>
        <v>0</v>
      </c>
      <c r="S2139" s="104">
        <f t="shared" si="107"/>
        <v>0</v>
      </c>
      <c r="T2139" s="104">
        <f t="shared" si="108"/>
        <v>0</v>
      </c>
    </row>
    <row r="2140" spans="1:20">
      <c r="A2140" s="101"/>
      <c r="B2140" s="101"/>
      <c r="C2140" s="101"/>
      <c r="D2140" s="101"/>
      <c r="E2140" s="101"/>
      <c r="F2140" s="102"/>
      <c r="G2140" s="101"/>
      <c r="H2140" s="102"/>
      <c r="I2140" s="101"/>
      <c r="J2140" s="101"/>
      <c r="K2140" s="103"/>
      <c r="L2140" s="103"/>
      <c r="M2140" s="103"/>
      <c r="N2140" s="103"/>
      <c r="O2140" s="103"/>
      <c r="P2140" s="98"/>
      <c r="Q2140" s="99"/>
      <c r="R2140" s="104">
        <f t="shared" si="106"/>
        <v>0</v>
      </c>
      <c r="S2140" s="104">
        <f t="shared" si="107"/>
        <v>0</v>
      </c>
      <c r="T2140" s="104">
        <f t="shared" si="108"/>
        <v>0</v>
      </c>
    </row>
    <row r="2141" spans="1:20">
      <c r="A2141" s="101"/>
      <c r="B2141" s="101"/>
      <c r="C2141" s="101"/>
      <c r="D2141" s="101"/>
      <c r="E2141" s="101"/>
      <c r="F2141" s="102"/>
      <c r="G2141" s="101"/>
      <c r="H2141" s="102"/>
      <c r="I2141" s="101"/>
      <c r="J2141" s="101"/>
      <c r="K2141" s="103"/>
      <c r="L2141" s="103"/>
      <c r="M2141" s="103"/>
      <c r="N2141" s="103"/>
      <c r="O2141" s="103"/>
      <c r="P2141" s="98"/>
      <c r="Q2141" s="99"/>
      <c r="R2141" s="104">
        <f t="shared" si="106"/>
        <v>0</v>
      </c>
      <c r="S2141" s="104">
        <f t="shared" si="107"/>
        <v>0</v>
      </c>
      <c r="T2141" s="104">
        <f t="shared" si="108"/>
        <v>0</v>
      </c>
    </row>
    <row r="2142" spans="1:20">
      <c r="A2142" s="101"/>
      <c r="B2142" s="101"/>
      <c r="C2142" s="101"/>
      <c r="D2142" s="101"/>
      <c r="E2142" s="101"/>
      <c r="F2142" s="102"/>
      <c r="G2142" s="101"/>
      <c r="H2142" s="102"/>
      <c r="I2142" s="101"/>
      <c r="J2142" s="101"/>
      <c r="K2142" s="103"/>
      <c r="L2142" s="103"/>
      <c r="M2142" s="103"/>
      <c r="N2142" s="103"/>
      <c r="O2142" s="103"/>
      <c r="P2142" s="98"/>
      <c r="Q2142" s="99"/>
      <c r="R2142" s="104">
        <f t="shared" si="106"/>
        <v>0</v>
      </c>
      <c r="S2142" s="104">
        <f t="shared" si="107"/>
        <v>0</v>
      </c>
      <c r="T2142" s="104">
        <f t="shared" si="108"/>
        <v>0</v>
      </c>
    </row>
    <row r="2143" spans="1:20">
      <c r="A2143" s="101"/>
      <c r="B2143" s="101"/>
      <c r="C2143" s="101"/>
      <c r="D2143" s="101"/>
      <c r="E2143" s="101"/>
      <c r="F2143" s="102"/>
      <c r="G2143" s="101"/>
      <c r="H2143" s="102"/>
      <c r="I2143" s="101"/>
      <c r="J2143" s="101"/>
      <c r="K2143" s="103"/>
      <c r="L2143" s="103"/>
      <c r="M2143" s="103"/>
      <c r="N2143" s="103"/>
      <c r="O2143" s="103"/>
      <c r="P2143" s="98"/>
      <c r="Q2143" s="99"/>
      <c r="R2143" s="104">
        <f t="shared" si="106"/>
        <v>0</v>
      </c>
      <c r="S2143" s="104">
        <f t="shared" si="107"/>
        <v>0</v>
      </c>
      <c r="T2143" s="104">
        <f t="shared" si="108"/>
        <v>0</v>
      </c>
    </row>
    <row r="2144" spans="1:20">
      <c r="A2144" s="101"/>
      <c r="B2144" s="101"/>
      <c r="C2144" s="101"/>
      <c r="D2144" s="101"/>
      <c r="E2144" s="101"/>
      <c r="F2144" s="102"/>
      <c r="G2144" s="101"/>
      <c r="H2144" s="102"/>
      <c r="I2144" s="101"/>
      <c r="J2144" s="101"/>
      <c r="K2144" s="103"/>
      <c r="L2144" s="103"/>
      <c r="M2144" s="103"/>
      <c r="N2144" s="103"/>
      <c r="O2144" s="103"/>
      <c r="P2144" s="98"/>
      <c r="Q2144" s="99"/>
      <c r="R2144" s="104">
        <f t="shared" si="106"/>
        <v>0</v>
      </c>
      <c r="S2144" s="104">
        <f t="shared" si="107"/>
        <v>0</v>
      </c>
      <c r="T2144" s="104">
        <f t="shared" si="108"/>
        <v>0</v>
      </c>
    </row>
    <row r="2145" spans="1:20">
      <c r="A2145" s="101"/>
      <c r="B2145" s="101"/>
      <c r="C2145" s="101"/>
      <c r="D2145" s="101"/>
      <c r="E2145" s="101"/>
      <c r="F2145" s="102"/>
      <c r="G2145" s="101"/>
      <c r="H2145" s="102"/>
      <c r="I2145" s="101"/>
      <c r="J2145" s="101"/>
      <c r="K2145" s="103"/>
      <c r="L2145" s="103"/>
      <c r="M2145" s="103"/>
      <c r="N2145" s="103"/>
      <c r="O2145" s="103"/>
      <c r="P2145" s="98"/>
      <c r="Q2145" s="99"/>
      <c r="R2145" s="104">
        <f t="shared" si="106"/>
        <v>0</v>
      </c>
      <c r="S2145" s="104">
        <f t="shared" si="107"/>
        <v>0</v>
      </c>
      <c r="T2145" s="104">
        <f t="shared" si="108"/>
        <v>0</v>
      </c>
    </row>
    <row r="2146" spans="1:20">
      <c r="A2146" s="101"/>
      <c r="B2146" s="101"/>
      <c r="C2146" s="101"/>
      <c r="D2146" s="101"/>
      <c r="E2146" s="101"/>
      <c r="F2146" s="102"/>
      <c r="G2146" s="101"/>
      <c r="H2146" s="102"/>
      <c r="I2146" s="101"/>
      <c r="J2146" s="101"/>
      <c r="K2146" s="103"/>
      <c r="L2146" s="103"/>
      <c r="M2146" s="103"/>
      <c r="N2146" s="103"/>
      <c r="O2146" s="103"/>
      <c r="P2146" s="98"/>
      <c r="Q2146" s="99"/>
      <c r="R2146" s="104">
        <f t="shared" si="106"/>
        <v>0</v>
      </c>
      <c r="S2146" s="104">
        <f t="shared" si="107"/>
        <v>0</v>
      </c>
      <c r="T2146" s="104">
        <f t="shared" si="108"/>
        <v>0</v>
      </c>
    </row>
    <row r="2147" spans="1:20">
      <c r="A2147" s="101"/>
      <c r="B2147" s="101"/>
      <c r="C2147" s="101"/>
      <c r="D2147" s="101"/>
      <c r="E2147" s="101"/>
      <c r="F2147" s="102"/>
      <c r="G2147" s="101"/>
      <c r="H2147" s="102"/>
      <c r="I2147" s="101"/>
      <c r="J2147" s="101"/>
      <c r="K2147" s="103"/>
      <c r="L2147" s="103"/>
      <c r="M2147" s="103"/>
      <c r="N2147" s="103"/>
      <c r="O2147" s="103"/>
      <c r="P2147" s="98"/>
      <c r="Q2147" s="99"/>
      <c r="R2147" s="104">
        <f t="shared" si="106"/>
        <v>0</v>
      </c>
      <c r="S2147" s="104">
        <f t="shared" si="107"/>
        <v>0</v>
      </c>
      <c r="T2147" s="104">
        <f t="shared" si="108"/>
        <v>0</v>
      </c>
    </row>
    <row r="2148" spans="1:20">
      <c r="A2148" s="101"/>
      <c r="B2148" s="101"/>
      <c r="C2148" s="101"/>
      <c r="D2148" s="101"/>
      <c r="E2148" s="101"/>
      <c r="F2148" s="102"/>
      <c r="G2148" s="101"/>
      <c r="H2148" s="102"/>
      <c r="I2148" s="101"/>
      <c r="J2148" s="101"/>
      <c r="K2148" s="103"/>
      <c r="L2148" s="103"/>
      <c r="M2148" s="103"/>
      <c r="N2148" s="103"/>
      <c r="O2148" s="103"/>
      <c r="P2148" s="98"/>
      <c r="Q2148" s="99"/>
      <c r="R2148" s="104">
        <f t="shared" si="106"/>
        <v>0</v>
      </c>
      <c r="S2148" s="104">
        <f t="shared" si="107"/>
        <v>0</v>
      </c>
      <c r="T2148" s="104">
        <f t="shared" si="108"/>
        <v>0</v>
      </c>
    </row>
    <row r="2149" spans="1:20">
      <c r="A2149" s="101"/>
      <c r="B2149" s="101"/>
      <c r="C2149" s="101"/>
      <c r="D2149" s="101"/>
      <c r="E2149" s="101"/>
      <c r="F2149" s="102"/>
      <c r="G2149" s="101"/>
      <c r="H2149" s="102"/>
      <c r="I2149" s="101"/>
      <c r="J2149" s="101"/>
      <c r="K2149" s="103"/>
      <c r="L2149" s="103"/>
      <c r="M2149" s="103"/>
      <c r="N2149" s="103"/>
      <c r="O2149" s="103"/>
      <c r="P2149" s="98"/>
      <c r="Q2149" s="99"/>
      <c r="R2149" s="104">
        <f t="shared" si="106"/>
        <v>0</v>
      </c>
      <c r="S2149" s="104">
        <f t="shared" si="107"/>
        <v>0</v>
      </c>
      <c r="T2149" s="104">
        <f t="shared" si="108"/>
        <v>0</v>
      </c>
    </row>
    <row r="2150" spans="1:20">
      <c r="A2150" s="101"/>
      <c r="B2150" s="101"/>
      <c r="C2150" s="101"/>
      <c r="D2150" s="101"/>
      <c r="E2150" s="101"/>
      <c r="F2150" s="102"/>
      <c r="G2150" s="101"/>
      <c r="H2150" s="102"/>
      <c r="I2150" s="101"/>
      <c r="J2150" s="101"/>
      <c r="K2150" s="103"/>
      <c r="L2150" s="103"/>
      <c r="M2150" s="103"/>
      <c r="N2150" s="103"/>
      <c r="O2150" s="103"/>
      <c r="P2150" s="98"/>
      <c r="Q2150" s="99"/>
      <c r="R2150" s="104">
        <f t="shared" si="106"/>
        <v>0</v>
      </c>
      <c r="S2150" s="104">
        <f t="shared" si="107"/>
        <v>0</v>
      </c>
      <c r="T2150" s="104">
        <f t="shared" si="108"/>
        <v>0</v>
      </c>
    </row>
    <row r="2151" spans="1:20">
      <c r="A2151" s="101"/>
      <c r="B2151" s="101"/>
      <c r="C2151" s="101"/>
      <c r="D2151" s="101"/>
      <c r="E2151" s="101"/>
      <c r="F2151" s="102"/>
      <c r="G2151" s="101"/>
      <c r="H2151" s="102"/>
      <c r="I2151" s="101"/>
      <c r="J2151" s="101"/>
      <c r="K2151" s="103"/>
      <c r="L2151" s="103"/>
      <c r="M2151" s="103"/>
      <c r="N2151" s="103"/>
      <c r="O2151" s="103"/>
      <c r="P2151" s="98"/>
      <c r="Q2151" s="99"/>
      <c r="R2151" s="104">
        <f t="shared" si="106"/>
        <v>0</v>
      </c>
      <c r="S2151" s="104">
        <f t="shared" si="107"/>
        <v>0</v>
      </c>
      <c r="T2151" s="104">
        <f t="shared" si="108"/>
        <v>0</v>
      </c>
    </row>
    <row r="2152" spans="1:20">
      <c r="A2152" s="101"/>
      <c r="B2152" s="101"/>
      <c r="C2152" s="101"/>
      <c r="D2152" s="101"/>
      <c r="E2152" s="101"/>
      <c r="F2152" s="102"/>
      <c r="G2152" s="101"/>
      <c r="H2152" s="102"/>
      <c r="I2152" s="101"/>
      <c r="J2152" s="101"/>
      <c r="K2152" s="103"/>
      <c r="L2152" s="103"/>
      <c r="M2152" s="103"/>
      <c r="N2152" s="103"/>
      <c r="O2152" s="103"/>
      <c r="P2152" s="98"/>
      <c r="Q2152" s="99"/>
      <c r="R2152" s="104">
        <f t="shared" si="106"/>
        <v>0</v>
      </c>
      <c r="S2152" s="104">
        <f t="shared" si="107"/>
        <v>0</v>
      </c>
      <c r="T2152" s="104">
        <f t="shared" si="108"/>
        <v>0</v>
      </c>
    </row>
    <row r="2153" spans="1:20">
      <c r="A2153" s="101"/>
      <c r="B2153" s="101"/>
      <c r="C2153" s="101"/>
      <c r="D2153" s="101"/>
      <c r="E2153" s="101"/>
      <c r="F2153" s="102"/>
      <c r="G2153" s="101"/>
      <c r="H2153" s="102"/>
      <c r="I2153" s="101"/>
      <c r="J2153" s="101"/>
      <c r="K2153" s="103"/>
      <c r="L2153" s="103"/>
      <c r="M2153" s="103"/>
      <c r="N2153" s="103"/>
      <c r="O2153" s="103"/>
      <c r="P2153" s="98"/>
      <c r="Q2153" s="99"/>
      <c r="R2153" s="104">
        <f t="shared" si="106"/>
        <v>0</v>
      </c>
      <c r="S2153" s="104">
        <f t="shared" si="107"/>
        <v>0</v>
      </c>
      <c r="T2153" s="104">
        <f t="shared" si="108"/>
        <v>0</v>
      </c>
    </row>
    <row r="2154" spans="1:20">
      <c r="A2154" s="101"/>
      <c r="B2154" s="101"/>
      <c r="C2154" s="101"/>
      <c r="D2154" s="101"/>
      <c r="E2154" s="101"/>
      <c r="F2154" s="102"/>
      <c r="G2154" s="101"/>
      <c r="H2154" s="102"/>
      <c r="I2154" s="101"/>
      <c r="J2154" s="101"/>
      <c r="K2154" s="103"/>
      <c r="L2154" s="103"/>
      <c r="M2154" s="103"/>
      <c r="N2154" s="103"/>
      <c r="O2154" s="103"/>
      <c r="P2154" s="98"/>
      <c r="Q2154" s="99"/>
      <c r="R2154" s="104">
        <f t="shared" si="106"/>
        <v>0</v>
      </c>
      <c r="S2154" s="104">
        <f t="shared" si="107"/>
        <v>0</v>
      </c>
      <c r="T2154" s="104">
        <f t="shared" si="108"/>
        <v>0</v>
      </c>
    </row>
    <row r="2155" spans="1:20">
      <c r="A2155" s="101"/>
      <c r="B2155" s="101"/>
      <c r="C2155" s="101"/>
      <c r="D2155" s="101"/>
      <c r="E2155" s="101"/>
      <c r="F2155" s="102"/>
      <c r="G2155" s="101"/>
      <c r="H2155" s="102"/>
      <c r="I2155" s="101"/>
      <c r="J2155" s="101"/>
      <c r="K2155" s="103"/>
      <c r="L2155" s="103"/>
      <c r="M2155" s="103"/>
      <c r="N2155" s="103"/>
      <c r="O2155" s="103"/>
      <c r="P2155" s="98"/>
      <c r="Q2155" s="99"/>
      <c r="R2155" s="104">
        <f t="shared" si="106"/>
        <v>0</v>
      </c>
      <c r="S2155" s="104">
        <f t="shared" si="107"/>
        <v>0</v>
      </c>
      <c r="T2155" s="104">
        <f t="shared" si="108"/>
        <v>0</v>
      </c>
    </row>
    <row r="2156" spans="1:20">
      <c r="A2156" s="101"/>
      <c r="B2156" s="101"/>
      <c r="C2156" s="101"/>
      <c r="D2156" s="101"/>
      <c r="E2156" s="101"/>
      <c r="F2156" s="102"/>
      <c r="G2156" s="101"/>
      <c r="H2156" s="102"/>
      <c r="I2156" s="101"/>
      <c r="J2156" s="101"/>
      <c r="K2156" s="103"/>
      <c r="L2156" s="103"/>
      <c r="M2156" s="103"/>
      <c r="N2156" s="103"/>
      <c r="O2156" s="103"/>
      <c r="P2156" s="98"/>
      <c r="Q2156" s="99"/>
      <c r="R2156" s="104">
        <f t="shared" si="106"/>
        <v>0</v>
      </c>
      <c r="S2156" s="104">
        <f t="shared" si="107"/>
        <v>0</v>
      </c>
      <c r="T2156" s="104">
        <f t="shared" si="108"/>
        <v>0</v>
      </c>
    </row>
    <row r="2157" spans="1:20">
      <c r="A2157" s="101"/>
      <c r="B2157" s="101"/>
      <c r="C2157" s="101"/>
      <c r="D2157" s="101"/>
      <c r="E2157" s="101"/>
      <c r="F2157" s="102"/>
      <c r="G2157" s="101"/>
      <c r="H2157" s="102"/>
      <c r="I2157" s="101"/>
      <c r="J2157" s="101"/>
      <c r="K2157" s="103"/>
      <c r="L2157" s="103"/>
      <c r="M2157" s="103"/>
      <c r="N2157" s="103"/>
      <c r="O2157" s="103"/>
      <c r="P2157" s="98"/>
      <c r="Q2157" s="99"/>
      <c r="R2157" s="104">
        <f t="shared" si="106"/>
        <v>0</v>
      </c>
      <c r="S2157" s="104">
        <f t="shared" si="107"/>
        <v>0</v>
      </c>
      <c r="T2157" s="104">
        <f t="shared" si="108"/>
        <v>0</v>
      </c>
    </row>
    <row r="2158" spans="1:20">
      <c r="A2158" s="101"/>
      <c r="B2158" s="101"/>
      <c r="C2158" s="101"/>
      <c r="D2158" s="101"/>
      <c r="E2158" s="101"/>
      <c r="F2158" s="102"/>
      <c r="G2158" s="101"/>
      <c r="H2158" s="102"/>
      <c r="I2158" s="101"/>
      <c r="J2158" s="101"/>
      <c r="K2158" s="103"/>
      <c r="L2158" s="103"/>
      <c r="M2158" s="103"/>
      <c r="N2158" s="103"/>
      <c r="O2158" s="103"/>
      <c r="P2158" s="98"/>
      <c r="Q2158" s="99"/>
      <c r="R2158" s="104">
        <f t="shared" si="106"/>
        <v>0</v>
      </c>
      <c r="S2158" s="104">
        <f t="shared" si="107"/>
        <v>0</v>
      </c>
      <c r="T2158" s="104">
        <f t="shared" si="108"/>
        <v>0</v>
      </c>
    </row>
    <row r="2159" spans="1:20">
      <c r="A2159" s="101"/>
      <c r="B2159" s="101"/>
      <c r="C2159" s="101"/>
      <c r="D2159" s="101"/>
      <c r="E2159" s="101"/>
      <c r="F2159" s="102"/>
      <c r="G2159" s="101"/>
      <c r="H2159" s="102"/>
      <c r="I2159" s="101"/>
      <c r="J2159" s="101"/>
      <c r="K2159" s="103"/>
      <c r="L2159" s="103"/>
      <c r="M2159" s="103"/>
      <c r="N2159" s="103"/>
      <c r="O2159" s="103"/>
      <c r="P2159" s="98"/>
      <c r="Q2159" s="99"/>
      <c r="R2159" s="104">
        <f t="shared" si="106"/>
        <v>0</v>
      </c>
      <c r="S2159" s="104">
        <f t="shared" si="107"/>
        <v>0</v>
      </c>
      <c r="T2159" s="104">
        <f t="shared" si="108"/>
        <v>0</v>
      </c>
    </row>
    <row r="2160" spans="1:20">
      <c r="A2160" s="101"/>
      <c r="B2160" s="101"/>
      <c r="C2160" s="101"/>
      <c r="D2160" s="101"/>
      <c r="E2160" s="101"/>
      <c r="F2160" s="102"/>
      <c r="G2160" s="101"/>
      <c r="H2160" s="102"/>
      <c r="I2160" s="101"/>
      <c r="J2160" s="101"/>
      <c r="K2160" s="103"/>
      <c r="L2160" s="103"/>
      <c r="M2160" s="103"/>
      <c r="N2160" s="103"/>
      <c r="O2160" s="103"/>
      <c r="P2160" s="98"/>
      <c r="Q2160" s="99"/>
      <c r="R2160" s="104">
        <f t="shared" si="106"/>
        <v>0</v>
      </c>
      <c r="S2160" s="104">
        <f t="shared" si="107"/>
        <v>0</v>
      </c>
      <c r="T2160" s="104">
        <f t="shared" si="108"/>
        <v>0</v>
      </c>
    </row>
    <row r="2161" spans="1:20">
      <c r="A2161" s="101"/>
      <c r="B2161" s="101"/>
      <c r="C2161" s="101"/>
      <c r="D2161" s="101"/>
      <c r="E2161" s="101"/>
      <c r="F2161" s="102"/>
      <c r="G2161" s="101"/>
      <c r="H2161" s="102"/>
      <c r="I2161" s="101"/>
      <c r="J2161" s="101"/>
      <c r="K2161" s="103"/>
      <c r="L2161" s="103"/>
      <c r="M2161" s="103"/>
      <c r="N2161" s="103"/>
      <c r="O2161" s="103"/>
      <c r="P2161" s="98"/>
      <c r="Q2161" s="99"/>
      <c r="R2161" s="104">
        <f t="shared" si="106"/>
        <v>0</v>
      </c>
      <c r="S2161" s="104">
        <f t="shared" si="107"/>
        <v>0</v>
      </c>
      <c r="T2161" s="104">
        <f t="shared" si="108"/>
        <v>0</v>
      </c>
    </row>
    <row r="2162" spans="1:20">
      <c r="A2162" s="101"/>
      <c r="B2162" s="101"/>
      <c r="C2162" s="101"/>
      <c r="D2162" s="101"/>
      <c r="E2162" s="101"/>
      <c r="F2162" s="102"/>
      <c r="G2162" s="101"/>
      <c r="H2162" s="102"/>
      <c r="I2162" s="101"/>
      <c r="J2162" s="101"/>
      <c r="K2162" s="103"/>
      <c r="L2162" s="103"/>
      <c r="M2162" s="103"/>
      <c r="N2162" s="103"/>
      <c r="O2162" s="103"/>
      <c r="P2162" s="98"/>
      <c r="Q2162" s="99"/>
      <c r="R2162" s="104">
        <f t="shared" si="106"/>
        <v>0</v>
      </c>
      <c r="S2162" s="104">
        <f t="shared" si="107"/>
        <v>0</v>
      </c>
      <c r="T2162" s="104">
        <f t="shared" si="108"/>
        <v>0</v>
      </c>
    </row>
    <row r="2163" spans="1:20">
      <c r="A2163" s="101"/>
      <c r="B2163" s="101"/>
      <c r="C2163" s="101"/>
      <c r="D2163" s="101"/>
      <c r="E2163" s="101"/>
      <c r="F2163" s="102"/>
      <c r="G2163" s="101"/>
      <c r="H2163" s="102"/>
      <c r="I2163" s="101"/>
      <c r="J2163" s="101"/>
      <c r="K2163" s="103"/>
      <c r="L2163" s="103"/>
      <c r="M2163" s="103"/>
      <c r="N2163" s="103"/>
      <c r="O2163" s="103"/>
      <c r="P2163" s="98"/>
      <c r="Q2163" s="99"/>
      <c r="R2163" s="104">
        <f t="shared" si="106"/>
        <v>0</v>
      </c>
      <c r="S2163" s="104">
        <f t="shared" si="107"/>
        <v>0</v>
      </c>
      <c r="T2163" s="104">
        <f t="shared" si="108"/>
        <v>0</v>
      </c>
    </row>
    <row r="2164" spans="1:20">
      <c r="A2164" s="101"/>
      <c r="B2164" s="101"/>
      <c r="C2164" s="101"/>
      <c r="D2164" s="101"/>
      <c r="E2164" s="101"/>
      <c r="F2164" s="102"/>
      <c r="G2164" s="101"/>
      <c r="H2164" s="102"/>
      <c r="I2164" s="101"/>
      <c r="J2164" s="101"/>
      <c r="K2164" s="103"/>
      <c r="L2164" s="103"/>
      <c r="M2164" s="103"/>
      <c r="N2164" s="103"/>
      <c r="O2164" s="103"/>
      <c r="P2164" s="98"/>
      <c r="Q2164" s="99"/>
      <c r="R2164" s="104">
        <f t="shared" si="106"/>
        <v>0</v>
      </c>
      <c r="S2164" s="104">
        <f t="shared" si="107"/>
        <v>0</v>
      </c>
      <c r="T2164" s="104">
        <f t="shared" si="108"/>
        <v>0</v>
      </c>
    </row>
    <row r="2165" spans="1:20">
      <c r="A2165" s="101"/>
      <c r="B2165" s="101"/>
      <c r="C2165" s="101"/>
      <c r="D2165" s="101"/>
      <c r="E2165" s="101"/>
      <c r="F2165" s="102"/>
      <c r="G2165" s="101"/>
      <c r="H2165" s="102"/>
      <c r="I2165" s="101"/>
      <c r="J2165" s="101"/>
      <c r="K2165" s="103"/>
      <c r="L2165" s="103"/>
      <c r="M2165" s="103"/>
      <c r="N2165" s="103"/>
      <c r="O2165" s="103"/>
      <c r="P2165" s="98"/>
      <c r="Q2165" s="99"/>
      <c r="R2165" s="104">
        <f t="shared" si="106"/>
        <v>0</v>
      </c>
      <c r="S2165" s="104">
        <f t="shared" si="107"/>
        <v>0</v>
      </c>
      <c r="T2165" s="104">
        <f t="shared" si="108"/>
        <v>0</v>
      </c>
    </row>
    <row r="2166" spans="1:20">
      <c r="A2166" s="101"/>
      <c r="B2166" s="101"/>
      <c r="C2166" s="101"/>
      <c r="D2166" s="101"/>
      <c r="E2166" s="101"/>
      <c r="F2166" s="102"/>
      <c r="G2166" s="101"/>
      <c r="H2166" s="102"/>
      <c r="I2166" s="101"/>
      <c r="J2166" s="101"/>
      <c r="K2166" s="103"/>
      <c r="L2166" s="103"/>
      <c r="M2166" s="103"/>
      <c r="N2166" s="103"/>
      <c r="O2166" s="103"/>
      <c r="P2166" s="98"/>
      <c r="Q2166" s="99"/>
      <c r="R2166" s="104">
        <f t="shared" si="106"/>
        <v>0</v>
      </c>
      <c r="S2166" s="104">
        <f t="shared" si="107"/>
        <v>0</v>
      </c>
      <c r="T2166" s="104">
        <f t="shared" si="108"/>
        <v>0</v>
      </c>
    </row>
    <row r="2167" spans="1:20">
      <c r="A2167" s="101"/>
      <c r="B2167" s="101"/>
      <c r="C2167" s="101"/>
      <c r="D2167" s="101"/>
      <c r="E2167" s="101"/>
      <c r="F2167" s="102"/>
      <c r="G2167" s="101"/>
      <c r="H2167" s="102"/>
      <c r="I2167" s="101"/>
      <c r="J2167" s="101"/>
      <c r="K2167" s="103"/>
      <c r="L2167" s="103"/>
      <c r="M2167" s="103"/>
      <c r="N2167" s="103"/>
      <c r="O2167" s="103"/>
      <c r="P2167" s="98"/>
      <c r="Q2167" s="99"/>
      <c r="R2167" s="104">
        <f t="shared" si="106"/>
        <v>0</v>
      </c>
      <c r="S2167" s="104">
        <f t="shared" si="107"/>
        <v>0</v>
      </c>
      <c r="T2167" s="104">
        <f t="shared" si="108"/>
        <v>0</v>
      </c>
    </row>
    <row r="2168" spans="1:20">
      <c r="A2168" s="101"/>
      <c r="B2168" s="101"/>
      <c r="C2168" s="101"/>
      <c r="D2168" s="101"/>
      <c r="E2168" s="101"/>
      <c r="F2168" s="102"/>
      <c r="G2168" s="101"/>
      <c r="H2168" s="102"/>
      <c r="I2168" s="101"/>
      <c r="J2168" s="101"/>
      <c r="K2168" s="103"/>
      <c r="L2168" s="103"/>
      <c r="M2168" s="103"/>
      <c r="N2168" s="103"/>
      <c r="O2168" s="103"/>
      <c r="P2168" s="98"/>
      <c r="Q2168" s="99"/>
      <c r="R2168" s="104">
        <f t="shared" si="106"/>
        <v>0</v>
      </c>
      <c r="S2168" s="104">
        <f t="shared" si="107"/>
        <v>0</v>
      </c>
      <c r="T2168" s="104">
        <f t="shared" si="108"/>
        <v>0</v>
      </c>
    </row>
    <row r="2169" spans="1:20">
      <c r="A2169" s="101"/>
      <c r="B2169" s="101"/>
      <c r="C2169" s="101"/>
      <c r="D2169" s="101"/>
      <c r="E2169" s="101"/>
      <c r="F2169" s="102"/>
      <c r="G2169" s="101"/>
      <c r="H2169" s="102"/>
      <c r="I2169" s="101"/>
      <c r="J2169" s="101"/>
      <c r="K2169" s="103"/>
      <c r="L2169" s="103"/>
      <c r="M2169" s="103"/>
      <c r="N2169" s="103"/>
      <c r="O2169" s="103"/>
      <c r="P2169" s="98"/>
      <c r="Q2169" s="99"/>
      <c r="R2169" s="104">
        <f t="shared" si="106"/>
        <v>0</v>
      </c>
      <c r="S2169" s="104">
        <f t="shared" si="107"/>
        <v>0</v>
      </c>
      <c r="T2169" s="104">
        <f t="shared" si="108"/>
        <v>0</v>
      </c>
    </row>
    <row r="2170" spans="1:20">
      <c r="A2170" s="101"/>
      <c r="B2170" s="101"/>
      <c r="C2170" s="101"/>
      <c r="D2170" s="101"/>
      <c r="E2170" s="101"/>
      <c r="F2170" s="102"/>
      <c r="G2170" s="101"/>
      <c r="H2170" s="102"/>
      <c r="I2170" s="101"/>
      <c r="J2170" s="101"/>
      <c r="K2170" s="103"/>
      <c r="L2170" s="103"/>
      <c r="M2170" s="103"/>
      <c r="N2170" s="103"/>
      <c r="O2170" s="103"/>
      <c r="P2170" s="98"/>
      <c r="Q2170" s="99"/>
      <c r="R2170" s="104">
        <f t="shared" si="106"/>
        <v>0</v>
      </c>
      <c r="S2170" s="104">
        <f t="shared" si="107"/>
        <v>0</v>
      </c>
      <c r="T2170" s="104">
        <f t="shared" si="108"/>
        <v>0</v>
      </c>
    </row>
    <row r="2171" spans="1:20">
      <c r="A2171" s="101"/>
      <c r="B2171" s="101"/>
      <c r="C2171" s="101"/>
      <c r="D2171" s="101"/>
      <c r="E2171" s="101"/>
      <c r="F2171" s="102"/>
      <c r="G2171" s="101"/>
      <c r="H2171" s="102"/>
      <c r="I2171" s="101"/>
      <c r="J2171" s="101"/>
      <c r="K2171" s="103"/>
      <c r="L2171" s="103"/>
      <c r="M2171" s="103"/>
      <c r="N2171" s="103"/>
      <c r="O2171" s="103"/>
      <c r="P2171" s="98"/>
      <c r="Q2171" s="99"/>
      <c r="R2171" s="104">
        <f t="shared" si="106"/>
        <v>0</v>
      </c>
      <c r="S2171" s="104">
        <f t="shared" si="107"/>
        <v>0</v>
      </c>
      <c r="T2171" s="104">
        <f t="shared" si="108"/>
        <v>0</v>
      </c>
    </row>
    <row r="2172" spans="1:20">
      <c r="A2172" s="101"/>
      <c r="B2172" s="101"/>
      <c r="C2172" s="101"/>
      <c r="D2172" s="101"/>
      <c r="E2172" s="101"/>
      <c r="F2172" s="102"/>
      <c r="G2172" s="101"/>
      <c r="H2172" s="102"/>
      <c r="I2172" s="101"/>
      <c r="J2172" s="101"/>
      <c r="K2172" s="103"/>
      <c r="L2172" s="103"/>
      <c r="M2172" s="103"/>
      <c r="N2172" s="103"/>
      <c r="O2172" s="103"/>
      <c r="P2172" s="98"/>
      <c r="Q2172" s="99"/>
      <c r="R2172" s="104">
        <f t="shared" si="106"/>
        <v>0</v>
      </c>
      <c r="S2172" s="104">
        <f t="shared" si="107"/>
        <v>0</v>
      </c>
      <c r="T2172" s="104">
        <f t="shared" si="108"/>
        <v>0</v>
      </c>
    </row>
    <row r="2173" spans="1:20">
      <c r="A2173" s="101"/>
      <c r="B2173" s="101"/>
      <c r="C2173" s="101"/>
      <c r="D2173" s="101"/>
      <c r="E2173" s="101"/>
      <c r="F2173" s="102"/>
      <c r="G2173" s="101"/>
      <c r="H2173" s="102"/>
      <c r="I2173" s="101"/>
      <c r="J2173" s="101"/>
      <c r="K2173" s="103"/>
      <c r="L2173" s="103"/>
      <c r="M2173" s="103"/>
      <c r="N2173" s="103"/>
      <c r="O2173" s="103"/>
      <c r="P2173" s="98"/>
      <c r="Q2173" s="99"/>
      <c r="R2173" s="104">
        <f t="shared" si="106"/>
        <v>0</v>
      </c>
      <c r="S2173" s="104">
        <f t="shared" si="107"/>
        <v>0</v>
      </c>
      <c r="T2173" s="104">
        <f t="shared" si="108"/>
        <v>0</v>
      </c>
    </row>
    <row r="2174" spans="1:20">
      <c r="A2174" s="101"/>
      <c r="B2174" s="101"/>
      <c r="C2174" s="101"/>
      <c r="D2174" s="101"/>
      <c r="E2174" s="101"/>
      <c r="F2174" s="102"/>
      <c r="G2174" s="101"/>
      <c r="H2174" s="102"/>
      <c r="I2174" s="101"/>
      <c r="J2174" s="101"/>
      <c r="K2174" s="103"/>
      <c r="L2174" s="103"/>
      <c r="M2174" s="103"/>
      <c r="N2174" s="103"/>
      <c r="O2174" s="103"/>
      <c r="P2174" s="98"/>
      <c r="Q2174" s="99"/>
      <c r="R2174" s="104">
        <f t="shared" si="106"/>
        <v>0</v>
      </c>
      <c r="S2174" s="104">
        <f t="shared" si="107"/>
        <v>0</v>
      </c>
      <c r="T2174" s="104">
        <f t="shared" si="108"/>
        <v>0</v>
      </c>
    </row>
    <row r="2175" spans="1:20">
      <c r="A2175" s="101"/>
      <c r="B2175" s="101"/>
      <c r="C2175" s="101"/>
      <c r="D2175" s="101"/>
      <c r="E2175" s="101"/>
      <c r="F2175" s="102"/>
      <c r="G2175" s="101"/>
      <c r="H2175" s="102"/>
      <c r="I2175" s="101"/>
      <c r="J2175" s="101"/>
      <c r="K2175" s="103"/>
      <c r="L2175" s="103"/>
      <c r="M2175" s="103"/>
      <c r="N2175" s="103"/>
      <c r="O2175" s="103"/>
      <c r="P2175" s="98"/>
      <c r="Q2175" s="99"/>
      <c r="R2175" s="104">
        <f t="shared" si="106"/>
        <v>0</v>
      </c>
      <c r="S2175" s="104">
        <f t="shared" si="107"/>
        <v>0</v>
      </c>
      <c r="T2175" s="104">
        <f t="shared" si="108"/>
        <v>0</v>
      </c>
    </row>
    <row r="2176" spans="1:20">
      <c r="A2176" s="101"/>
      <c r="B2176" s="101"/>
      <c r="C2176" s="101"/>
      <c r="D2176" s="101"/>
      <c r="E2176" s="101"/>
      <c r="F2176" s="102"/>
      <c r="G2176" s="101"/>
      <c r="H2176" s="102"/>
      <c r="I2176" s="101"/>
      <c r="J2176" s="101"/>
      <c r="K2176" s="103"/>
      <c r="L2176" s="103"/>
      <c r="M2176" s="103"/>
      <c r="N2176" s="103"/>
      <c r="O2176" s="103"/>
      <c r="P2176" s="98"/>
      <c r="Q2176" s="99"/>
      <c r="R2176" s="104">
        <f t="shared" si="106"/>
        <v>0</v>
      </c>
      <c r="S2176" s="104">
        <f t="shared" si="107"/>
        <v>0</v>
      </c>
      <c r="T2176" s="104">
        <f t="shared" si="108"/>
        <v>0</v>
      </c>
    </row>
    <row r="2177" spans="1:20">
      <c r="A2177" s="101"/>
      <c r="B2177" s="101"/>
      <c r="C2177" s="101"/>
      <c r="D2177" s="101"/>
      <c r="E2177" s="101"/>
      <c r="F2177" s="102"/>
      <c r="G2177" s="101"/>
      <c r="H2177" s="102"/>
      <c r="I2177" s="101"/>
      <c r="J2177" s="101"/>
      <c r="K2177" s="103"/>
      <c r="L2177" s="103"/>
      <c r="M2177" s="103"/>
      <c r="N2177" s="103"/>
      <c r="O2177" s="103"/>
      <c r="P2177" s="98"/>
      <c r="Q2177" s="99"/>
      <c r="R2177" s="104">
        <f t="shared" si="106"/>
        <v>0</v>
      </c>
      <c r="S2177" s="104">
        <f t="shared" si="107"/>
        <v>0</v>
      </c>
      <c r="T2177" s="104">
        <f t="shared" si="108"/>
        <v>0</v>
      </c>
    </row>
    <row r="2178" spans="1:20">
      <c r="A2178" s="101"/>
      <c r="B2178" s="101"/>
      <c r="C2178" s="101"/>
      <c r="D2178" s="101"/>
      <c r="E2178" s="101"/>
      <c r="F2178" s="102"/>
      <c r="G2178" s="101"/>
      <c r="H2178" s="102"/>
      <c r="I2178" s="101"/>
      <c r="J2178" s="101"/>
      <c r="K2178" s="103"/>
      <c r="L2178" s="103"/>
      <c r="M2178" s="103"/>
      <c r="N2178" s="103"/>
      <c r="O2178" s="103"/>
      <c r="P2178" s="98"/>
      <c r="Q2178" s="99"/>
      <c r="R2178" s="104">
        <f t="shared" si="106"/>
        <v>0</v>
      </c>
      <c r="S2178" s="104">
        <f t="shared" si="107"/>
        <v>0</v>
      </c>
      <c r="T2178" s="104">
        <f t="shared" si="108"/>
        <v>0</v>
      </c>
    </row>
    <row r="2179" spans="1:20">
      <c r="A2179" s="101"/>
      <c r="B2179" s="101"/>
      <c r="C2179" s="101"/>
      <c r="D2179" s="101"/>
      <c r="E2179" s="101"/>
      <c r="F2179" s="102"/>
      <c r="G2179" s="101"/>
      <c r="H2179" s="102"/>
      <c r="I2179" s="101"/>
      <c r="J2179" s="101"/>
      <c r="K2179" s="103"/>
      <c r="L2179" s="103"/>
      <c r="M2179" s="103"/>
      <c r="N2179" s="103"/>
      <c r="O2179" s="103"/>
      <c r="P2179" s="98"/>
      <c r="Q2179" s="99"/>
      <c r="R2179" s="104">
        <f t="shared" si="106"/>
        <v>0</v>
      </c>
      <c r="S2179" s="104">
        <f t="shared" si="107"/>
        <v>0</v>
      </c>
      <c r="T2179" s="104">
        <f t="shared" si="108"/>
        <v>0</v>
      </c>
    </row>
    <row r="2180" spans="1:20">
      <c r="A2180" s="101"/>
      <c r="B2180" s="101"/>
      <c r="C2180" s="101"/>
      <c r="D2180" s="101"/>
      <c r="E2180" s="101"/>
      <c r="F2180" s="102"/>
      <c r="G2180" s="101"/>
      <c r="H2180" s="102"/>
      <c r="I2180" s="101"/>
      <c r="J2180" s="101"/>
      <c r="K2180" s="103"/>
      <c r="L2180" s="103"/>
      <c r="M2180" s="103"/>
      <c r="N2180" s="103"/>
      <c r="O2180" s="103"/>
      <c r="P2180" s="98"/>
      <c r="Q2180" s="99"/>
      <c r="R2180" s="104">
        <f t="shared" si="106"/>
        <v>0</v>
      </c>
      <c r="S2180" s="104">
        <f t="shared" si="107"/>
        <v>0</v>
      </c>
      <c r="T2180" s="104">
        <f t="shared" si="108"/>
        <v>0</v>
      </c>
    </row>
    <row r="2181" spans="1:20">
      <c r="A2181" s="101"/>
      <c r="B2181" s="101"/>
      <c r="C2181" s="101"/>
      <c r="D2181" s="101"/>
      <c r="E2181" s="101"/>
      <c r="F2181" s="102"/>
      <c r="G2181" s="101"/>
      <c r="H2181" s="102"/>
      <c r="I2181" s="101"/>
      <c r="J2181" s="101"/>
      <c r="K2181" s="103"/>
      <c r="L2181" s="103"/>
      <c r="M2181" s="103"/>
      <c r="N2181" s="103"/>
      <c r="O2181" s="103"/>
      <c r="P2181" s="98"/>
      <c r="Q2181" s="99"/>
      <c r="R2181" s="104">
        <f t="shared" si="106"/>
        <v>0</v>
      </c>
      <c r="S2181" s="104">
        <f t="shared" si="107"/>
        <v>0</v>
      </c>
      <c r="T2181" s="104">
        <f t="shared" si="108"/>
        <v>0</v>
      </c>
    </row>
    <row r="2182" spans="1:20">
      <c r="A2182" s="101"/>
      <c r="B2182" s="101"/>
      <c r="C2182" s="101"/>
      <c r="D2182" s="101"/>
      <c r="E2182" s="101"/>
      <c r="F2182" s="102"/>
      <c r="G2182" s="101"/>
      <c r="H2182" s="102"/>
      <c r="I2182" s="101"/>
      <c r="J2182" s="101"/>
      <c r="K2182" s="103"/>
      <c r="L2182" s="103"/>
      <c r="M2182" s="103"/>
      <c r="N2182" s="103"/>
      <c r="O2182" s="103"/>
      <c r="P2182" s="98"/>
      <c r="Q2182" s="99"/>
      <c r="R2182" s="104">
        <f t="shared" si="106"/>
        <v>0</v>
      </c>
      <c r="S2182" s="104">
        <f t="shared" si="107"/>
        <v>0</v>
      </c>
      <c r="T2182" s="104">
        <f t="shared" si="108"/>
        <v>0</v>
      </c>
    </row>
    <row r="2183" spans="1:20">
      <c r="A2183" s="101"/>
      <c r="B2183" s="101"/>
      <c r="C2183" s="101"/>
      <c r="D2183" s="101"/>
      <c r="E2183" s="101"/>
      <c r="F2183" s="102"/>
      <c r="G2183" s="101"/>
      <c r="H2183" s="102"/>
      <c r="I2183" s="101"/>
      <c r="J2183" s="101"/>
      <c r="K2183" s="103"/>
      <c r="L2183" s="103"/>
      <c r="M2183" s="103"/>
      <c r="N2183" s="103"/>
      <c r="O2183" s="103"/>
      <c r="P2183" s="98"/>
      <c r="Q2183" s="99"/>
      <c r="R2183" s="104">
        <f t="shared" si="106"/>
        <v>0</v>
      </c>
      <c r="S2183" s="104">
        <f t="shared" si="107"/>
        <v>0</v>
      </c>
      <c r="T2183" s="104">
        <f t="shared" si="108"/>
        <v>0</v>
      </c>
    </row>
    <row r="2184" spans="1:20">
      <c r="A2184" s="101"/>
      <c r="B2184" s="101"/>
      <c r="C2184" s="101"/>
      <c r="D2184" s="101"/>
      <c r="E2184" s="101"/>
      <c r="F2184" s="102"/>
      <c r="G2184" s="101"/>
      <c r="H2184" s="102"/>
      <c r="I2184" s="101"/>
      <c r="J2184" s="101"/>
      <c r="K2184" s="103"/>
      <c r="L2184" s="103"/>
      <c r="M2184" s="103"/>
      <c r="N2184" s="103"/>
      <c r="O2184" s="103"/>
      <c r="P2184" s="98"/>
      <c r="Q2184" s="99"/>
      <c r="R2184" s="104">
        <f t="shared" si="106"/>
        <v>0</v>
      </c>
      <c r="S2184" s="104">
        <f t="shared" si="107"/>
        <v>0</v>
      </c>
      <c r="T2184" s="104">
        <f t="shared" si="108"/>
        <v>0</v>
      </c>
    </row>
    <row r="2185" spans="1:20">
      <c r="A2185" s="101"/>
      <c r="B2185" s="101"/>
      <c r="C2185" s="101"/>
      <c r="D2185" s="101"/>
      <c r="E2185" s="101"/>
      <c r="F2185" s="102"/>
      <c r="G2185" s="101"/>
      <c r="H2185" s="102"/>
      <c r="I2185" s="101"/>
      <c r="J2185" s="101"/>
      <c r="K2185" s="103"/>
      <c r="L2185" s="103"/>
      <c r="M2185" s="103"/>
      <c r="N2185" s="103"/>
      <c r="O2185" s="103"/>
      <c r="P2185" s="98"/>
      <c r="Q2185" s="99"/>
      <c r="R2185" s="104">
        <f t="shared" si="106"/>
        <v>0</v>
      </c>
      <c r="S2185" s="104">
        <f t="shared" si="107"/>
        <v>0</v>
      </c>
      <c r="T2185" s="104">
        <f t="shared" si="108"/>
        <v>0</v>
      </c>
    </row>
    <row r="2186" spans="1:20">
      <c r="A2186" s="101"/>
      <c r="B2186" s="101"/>
      <c r="C2186" s="101"/>
      <c r="D2186" s="101"/>
      <c r="E2186" s="101"/>
      <c r="F2186" s="102"/>
      <c r="G2186" s="101"/>
      <c r="H2186" s="102"/>
      <c r="I2186" s="101"/>
      <c r="J2186" s="101"/>
      <c r="K2186" s="103"/>
      <c r="L2186" s="103"/>
      <c r="M2186" s="103"/>
      <c r="N2186" s="103"/>
      <c r="O2186" s="103"/>
      <c r="P2186" s="98"/>
      <c r="Q2186" s="99"/>
      <c r="R2186" s="104">
        <f t="shared" ref="R2186:R2249" si="109">IF(P2186="Cargo",K2186+L2186-M2186-N2186+O2186,0)</f>
        <v>0</v>
      </c>
      <c r="S2186" s="104">
        <f t="shared" ref="S2186:S2249" si="110">IF(P2186="Abono",K2186+L2186+M2186-N2186-O2186,0)</f>
        <v>0</v>
      </c>
      <c r="T2186" s="104">
        <f t="shared" ref="T2186:T2249" si="111">IF(Q2186="OK",+T2185+R2186-S2186,T2185)</f>
        <v>0</v>
      </c>
    </row>
    <row r="2187" spans="1:20">
      <c r="A2187" s="101"/>
      <c r="B2187" s="101"/>
      <c r="C2187" s="101"/>
      <c r="D2187" s="101"/>
      <c r="E2187" s="101"/>
      <c r="F2187" s="102"/>
      <c r="G2187" s="101"/>
      <c r="H2187" s="102"/>
      <c r="I2187" s="101"/>
      <c r="J2187" s="101"/>
      <c r="K2187" s="103"/>
      <c r="L2187" s="103"/>
      <c r="M2187" s="103"/>
      <c r="N2187" s="103"/>
      <c r="O2187" s="103"/>
      <c r="P2187" s="98"/>
      <c r="Q2187" s="99"/>
      <c r="R2187" s="104">
        <f t="shared" si="109"/>
        <v>0</v>
      </c>
      <c r="S2187" s="104">
        <f t="shared" si="110"/>
        <v>0</v>
      </c>
      <c r="T2187" s="104">
        <f t="shared" si="111"/>
        <v>0</v>
      </c>
    </row>
    <row r="2188" spans="1:20">
      <c r="A2188" s="101"/>
      <c r="B2188" s="101"/>
      <c r="C2188" s="101"/>
      <c r="D2188" s="101"/>
      <c r="E2188" s="101"/>
      <c r="F2188" s="102"/>
      <c r="G2188" s="101"/>
      <c r="H2188" s="102"/>
      <c r="I2188" s="101"/>
      <c r="J2188" s="101"/>
      <c r="K2188" s="103"/>
      <c r="L2188" s="103"/>
      <c r="M2188" s="103"/>
      <c r="N2188" s="103"/>
      <c r="O2188" s="103"/>
      <c r="P2188" s="98"/>
      <c r="Q2188" s="99"/>
      <c r="R2188" s="104">
        <f t="shared" si="109"/>
        <v>0</v>
      </c>
      <c r="S2188" s="104">
        <f t="shared" si="110"/>
        <v>0</v>
      </c>
      <c r="T2188" s="104">
        <f t="shared" si="111"/>
        <v>0</v>
      </c>
    </row>
    <row r="2189" spans="1:20">
      <c r="A2189" s="101"/>
      <c r="B2189" s="101"/>
      <c r="C2189" s="101"/>
      <c r="D2189" s="101"/>
      <c r="E2189" s="101"/>
      <c r="F2189" s="102"/>
      <c r="G2189" s="101"/>
      <c r="H2189" s="102"/>
      <c r="I2189" s="101"/>
      <c r="J2189" s="101"/>
      <c r="K2189" s="103"/>
      <c r="L2189" s="103"/>
      <c r="M2189" s="103"/>
      <c r="N2189" s="103"/>
      <c r="O2189" s="103"/>
      <c r="P2189" s="98"/>
      <c r="Q2189" s="99"/>
      <c r="R2189" s="104">
        <f t="shared" si="109"/>
        <v>0</v>
      </c>
      <c r="S2189" s="104">
        <f t="shared" si="110"/>
        <v>0</v>
      </c>
      <c r="T2189" s="104">
        <f t="shared" si="111"/>
        <v>0</v>
      </c>
    </row>
    <row r="2190" spans="1:20">
      <c r="A2190" s="101"/>
      <c r="B2190" s="101"/>
      <c r="C2190" s="101"/>
      <c r="D2190" s="101"/>
      <c r="E2190" s="101"/>
      <c r="F2190" s="102"/>
      <c r="G2190" s="101"/>
      <c r="H2190" s="102"/>
      <c r="I2190" s="101"/>
      <c r="J2190" s="101"/>
      <c r="K2190" s="103"/>
      <c r="L2190" s="103"/>
      <c r="M2190" s="103"/>
      <c r="N2190" s="103"/>
      <c r="O2190" s="103"/>
      <c r="P2190" s="98"/>
      <c r="Q2190" s="99"/>
      <c r="R2190" s="104">
        <f t="shared" si="109"/>
        <v>0</v>
      </c>
      <c r="S2190" s="104">
        <f t="shared" si="110"/>
        <v>0</v>
      </c>
      <c r="T2190" s="104">
        <f t="shared" si="111"/>
        <v>0</v>
      </c>
    </row>
    <row r="2191" spans="1:20">
      <c r="A2191" s="101"/>
      <c r="B2191" s="101"/>
      <c r="C2191" s="101"/>
      <c r="D2191" s="101"/>
      <c r="E2191" s="101"/>
      <c r="F2191" s="102"/>
      <c r="G2191" s="101"/>
      <c r="H2191" s="102"/>
      <c r="I2191" s="101"/>
      <c r="J2191" s="101"/>
      <c r="K2191" s="103"/>
      <c r="L2191" s="103"/>
      <c r="M2191" s="103"/>
      <c r="N2191" s="103"/>
      <c r="O2191" s="103"/>
      <c r="P2191" s="98"/>
      <c r="Q2191" s="99"/>
      <c r="R2191" s="104">
        <f t="shared" si="109"/>
        <v>0</v>
      </c>
      <c r="S2191" s="104">
        <f t="shared" si="110"/>
        <v>0</v>
      </c>
      <c r="T2191" s="104">
        <f t="shared" si="111"/>
        <v>0</v>
      </c>
    </row>
    <row r="2192" spans="1:20">
      <c r="A2192" s="101"/>
      <c r="B2192" s="101"/>
      <c r="C2192" s="101"/>
      <c r="D2192" s="101"/>
      <c r="E2192" s="101"/>
      <c r="F2192" s="102"/>
      <c r="G2192" s="101"/>
      <c r="H2192" s="102"/>
      <c r="I2192" s="101"/>
      <c r="J2192" s="101"/>
      <c r="K2192" s="103"/>
      <c r="L2192" s="103"/>
      <c r="M2192" s="103"/>
      <c r="N2192" s="103"/>
      <c r="O2192" s="103"/>
      <c r="P2192" s="98"/>
      <c r="Q2192" s="99"/>
      <c r="R2192" s="104">
        <f t="shared" si="109"/>
        <v>0</v>
      </c>
      <c r="S2192" s="104">
        <f t="shared" si="110"/>
        <v>0</v>
      </c>
      <c r="T2192" s="104">
        <f t="shared" si="111"/>
        <v>0</v>
      </c>
    </row>
    <row r="2193" spans="1:20">
      <c r="A2193" s="101"/>
      <c r="B2193" s="101"/>
      <c r="C2193" s="101"/>
      <c r="D2193" s="101"/>
      <c r="E2193" s="101"/>
      <c r="F2193" s="102"/>
      <c r="G2193" s="101"/>
      <c r="H2193" s="102"/>
      <c r="I2193" s="101"/>
      <c r="J2193" s="101"/>
      <c r="K2193" s="103"/>
      <c r="L2193" s="103"/>
      <c r="M2193" s="103"/>
      <c r="N2193" s="103"/>
      <c r="O2193" s="103"/>
      <c r="P2193" s="98"/>
      <c r="Q2193" s="99"/>
      <c r="R2193" s="104">
        <f t="shared" si="109"/>
        <v>0</v>
      </c>
      <c r="S2193" s="104">
        <f t="shared" si="110"/>
        <v>0</v>
      </c>
      <c r="T2193" s="104">
        <f t="shared" si="111"/>
        <v>0</v>
      </c>
    </row>
    <row r="2194" spans="1:20">
      <c r="A2194" s="101"/>
      <c r="B2194" s="101"/>
      <c r="C2194" s="101"/>
      <c r="D2194" s="101"/>
      <c r="E2194" s="101"/>
      <c r="F2194" s="102"/>
      <c r="G2194" s="101"/>
      <c r="H2194" s="102"/>
      <c r="I2194" s="101"/>
      <c r="J2194" s="101"/>
      <c r="K2194" s="103"/>
      <c r="L2194" s="103"/>
      <c r="M2194" s="103"/>
      <c r="N2194" s="103"/>
      <c r="O2194" s="103"/>
      <c r="P2194" s="98"/>
      <c r="Q2194" s="99"/>
      <c r="R2194" s="104">
        <f t="shared" si="109"/>
        <v>0</v>
      </c>
      <c r="S2194" s="104">
        <f t="shared" si="110"/>
        <v>0</v>
      </c>
      <c r="T2194" s="104">
        <f t="shared" si="111"/>
        <v>0</v>
      </c>
    </row>
    <row r="2195" spans="1:20">
      <c r="A2195" s="101"/>
      <c r="B2195" s="101"/>
      <c r="C2195" s="101"/>
      <c r="D2195" s="101"/>
      <c r="E2195" s="101"/>
      <c r="F2195" s="102"/>
      <c r="G2195" s="101"/>
      <c r="H2195" s="102"/>
      <c r="I2195" s="101"/>
      <c r="J2195" s="101"/>
      <c r="K2195" s="103"/>
      <c r="L2195" s="103"/>
      <c r="M2195" s="103"/>
      <c r="N2195" s="103"/>
      <c r="O2195" s="103"/>
      <c r="P2195" s="98"/>
      <c r="Q2195" s="99"/>
      <c r="R2195" s="104">
        <f t="shared" si="109"/>
        <v>0</v>
      </c>
      <c r="S2195" s="104">
        <f t="shared" si="110"/>
        <v>0</v>
      </c>
      <c r="T2195" s="104">
        <f t="shared" si="111"/>
        <v>0</v>
      </c>
    </row>
    <row r="2196" spans="1:20">
      <c r="A2196" s="101"/>
      <c r="B2196" s="101"/>
      <c r="C2196" s="101"/>
      <c r="D2196" s="101"/>
      <c r="E2196" s="101"/>
      <c r="F2196" s="102"/>
      <c r="G2196" s="101"/>
      <c r="H2196" s="102"/>
      <c r="I2196" s="101"/>
      <c r="J2196" s="101"/>
      <c r="K2196" s="103"/>
      <c r="L2196" s="103"/>
      <c r="M2196" s="103"/>
      <c r="N2196" s="103"/>
      <c r="O2196" s="103"/>
      <c r="P2196" s="98"/>
      <c r="Q2196" s="99"/>
      <c r="R2196" s="104">
        <f t="shared" si="109"/>
        <v>0</v>
      </c>
      <c r="S2196" s="104">
        <f t="shared" si="110"/>
        <v>0</v>
      </c>
      <c r="T2196" s="104">
        <f t="shared" si="111"/>
        <v>0</v>
      </c>
    </row>
    <row r="2197" spans="1:20">
      <c r="A2197" s="101"/>
      <c r="B2197" s="101"/>
      <c r="C2197" s="101"/>
      <c r="D2197" s="101"/>
      <c r="E2197" s="101"/>
      <c r="F2197" s="102"/>
      <c r="G2197" s="101"/>
      <c r="H2197" s="102"/>
      <c r="I2197" s="101"/>
      <c r="J2197" s="101"/>
      <c r="K2197" s="103"/>
      <c r="L2197" s="103"/>
      <c r="M2197" s="103"/>
      <c r="N2197" s="103"/>
      <c r="O2197" s="103"/>
      <c r="P2197" s="98"/>
      <c r="Q2197" s="99"/>
      <c r="R2197" s="104">
        <f t="shared" si="109"/>
        <v>0</v>
      </c>
      <c r="S2197" s="104">
        <f t="shared" si="110"/>
        <v>0</v>
      </c>
      <c r="T2197" s="104">
        <f t="shared" si="111"/>
        <v>0</v>
      </c>
    </row>
    <row r="2198" spans="1:20">
      <c r="A2198" s="101"/>
      <c r="B2198" s="101"/>
      <c r="C2198" s="101"/>
      <c r="D2198" s="101"/>
      <c r="E2198" s="101"/>
      <c r="F2198" s="102"/>
      <c r="G2198" s="101"/>
      <c r="H2198" s="102"/>
      <c r="I2198" s="101"/>
      <c r="J2198" s="101"/>
      <c r="K2198" s="103"/>
      <c r="L2198" s="103"/>
      <c r="M2198" s="103"/>
      <c r="N2198" s="103"/>
      <c r="O2198" s="103"/>
      <c r="P2198" s="98"/>
      <c r="Q2198" s="99"/>
      <c r="R2198" s="104">
        <f t="shared" si="109"/>
        <v>0</v>
      </c>
      <c r="S2198" s="104">
        <f t="shared" si="110"/>
        <v>0</v>
      </c>
      <c r="T2198" s="104">
        <f t="shared" si="111"/>
        <v>0</v>
      </c>
    </row>
    <row r="2199" spans="1:20">
      <c r="A2199" s="101"/>
      <c r="B2199" s="101"/>
      <c r="C2199" s="101"/>
      <c r="D2199" s="101"/>
      <c r="E2199" s="101"/>
      <c r="F2199" s="102"/>
      <c r="G2199" s="101"/>
      <c r="H2199" s="102"/>
      <c r="I2199" s="101"/>
      <c r="J2199" s="101"/>
      <c r="K2199" s="103"/>
      <c r="L2199" s="103"/>
      <c r="M2199" s="103"/>
      <c r="N2199" s="103"/>
      <c r="O2199" s="103"/>
      <c r="P2199" s="98"/>
      <c r="Q2199" s="99"/>
      <c r="R2199" s="104">
        <f t="shared" si="109"/>
        <v>0</v>
      </c>
      <c r="S2199" s="104">
        <f t="shared" si="110"/>
        <v>0</v>
      </c>
      <c r="T2199" s="104">
        <f t="shared" si="111"/>
        <v>0</v>
      </c>
    </row>
    <row r="2200" spans="1:20">
      <c r="A2200" s="101"/>
      <c r="B2200" s="101"/>
      <c r="C2200" s="101"/>
      <c r="D2200" s="101"/>
      <c r="E2200" s="101"/>
      <c r="F2200" s="102"/>
      <c r="G2200" s="101"/>
      <c r="H2200" s="102"/>
      <c r="I2200" s="101"/>
      <c r="J2200" s="101"/>
      <c r="K2200" s="103"/>
      <c r="L2200" s="103"/>
      <c r="M2200" s="103"/>
      <c r="N2200" s="103"/>
      <c r="O2200" s="103"/>
      <c r="P2200" s="98"/>
      <c r="Q2200" s="99"/>
      <c r="R2200" s="104">
        <f t="shared" si="109"/>
        <v>0</v>
      </c>
      <c r="S2200" s="104">
        <f t="shared" si="110"/>
        <v>0</v>
      </c>
      <c r="T2200" s="104">
        <f t="shared" si="111"/>
        <v>0</v>
      </c>
    </row>
    <row r="2201" spans="1:20">
      <c r="A2201" s="101"/>
      <c r="B2201" s="101"/>
      <c r="C2201" s="101"/>
      <c r="D2201" s="101"/>
      <c r="E2201" s="101"/>
      <c r="F2201" s="102"/>
      <c r="G2201" s="101"/>
      <c r="H2201" s="102"/>
      <c r="I2201" s="101"/>
      <c r="J2201" s="101"/>
      <c r="K2201" s="103"/>
      <c r="L2201" s="103"/>
      <c r="M2201" s="103"/>
      <c r="N2201" s="103"/>
      <c r="O2201" s="103"/>
      <c r="P2201" s="98"/>
      <c r="Q2201" s="99"/>
      <c r="R2201" s="104">
        <f t="shared" si="109"/>
        <v>0</v>
      </c>
      <c r="S2201" s="104">
        <f t="shared" si="110"/>
        <v>0</v>
      </c>
      <c r="T2201" s="104">
        <f t="shared" si="111"/>
        <v>0</v>
      </c>
    </row>
    <row r="2202" spans="1:20">
      <c r="A2202" s="101"/>
      <c r="B2202" s="101"/>
      <c r="C2202" s="101"/>
      <c r="D2202" s="101"/>
      <c r="E2202" s="101"/>
      <c r="F2202" s="102"/>
      <c r="G2202" s="101"/>
      <c r="H2202" s="102"/>
      <c r="I2202" s="101"/>
      <c r="J2202" s="101"/>
      <c r="K2202" s="103"/>
      <c r="L2202" s="103"/>
      <c r="M2202" s="103"/>
      <c r="N2202" s="103"/>
      <c r="O2202" s="103"/>
      <c r="P2202" s="98"/>
      <c r="Q2202" s="99"/>
      <c r="R2202" s="104">
        <f t="shared" si="109"/>
        <v>0</v>
      </c>
      <c r="S2202" s="104">
        <f t="shared" si="110"/>
        <v>0</v>
      </c>
      <c r="T2202" s="104">
        <f t="shared" si="111"/>
        <v>0</v>
      </c>
    </row>
    <row r="2203" spans="1:20">
      <c r="A2203" s="101"/>
      <c r="B2203" s="101"/>
      <c r="C2203" s="101"/>
      <c r="D2203" s="101"/>
      <c r="E2203" s="101"/>
      <c r="F2203" s="102"/>
      <c r="G2203" s="101"/>
      <c r="H2203" s="102"/>
      <c r="I2203" s="101"/>
      <c r="J2203" s="101"/>
      <c r="K2203" s="103"/>
      <c r="L2203" s="103"/>
      <c r="M2203" s="103"/>
      <c r="N2203" s="103"/>
      <c r="O2203" s="103"/>
      <c r="P2203" s="98"/>
      <c r="Q2203" s="99"/>
      <c r="R2203" s="104">
        <f t="shared" si="109"/>
        <v>0</v>
      </c>
      <c r="S2203" s="104">
        <f t="shared" si="110"/>
        <v>0</v>
      </c>
      <c r="T2203" s="104">
        <f t="shared" si="111"/>
        <v>0</v>
      </c>
    </row>
    <row r="2204" spans="1:20">
      <c r="A2204" s="101"/>
      <c r="B2204" s="101"/>
      <c r="C2204" s="101"/>
      <c r="D2204" s="101"/>
      <c r="E2204" s="101"/>
      <c r="F2204" s="102"/>
      <c r="G2204" s="101"/>
      <c r="H2204" s="102"/>
      <c r="I2204" s="101"/>
      <c r="J2204" s="101"/>
      <c r="K2204" s="103"/>
      <c r="L2204" s="103"/>
      <c r="M2204" s="103"/>
      <c r="N2204" s="103"/>
      <c r="O2204" s="103"/>
      <c r="P2204" s="98"/>
      <c r="Q2204" s="99"/>
      <c r="R2204" s="104">
        <f t="shared" si="109"/>
        <v>0</v>
      </c>
      <c r="S2204" s="104">
        <f t="shared" si="110"/>
        <v>0</v>
      </c>
      <c r="T2204" s="104">
        <f t="shared" si="111"/>
        <v>0</v>
      </c>
    </row>
    <row r="2205" spans="1:20">
      <c r="A2205" s="101"/>
      <c r="B2205" s="101"/>
      <c r="C2205" s="101"/>
      <c r="D2205" s="101"/>
      <c r="E2205" s="101"/>
      <c r="F2205" s="102"/>
      <c r="G2205" s="101"/>
      <c r="H2205" s="102"/>
      <c r="I2205" s="101"/>
      <c r="J2205" s="101"/>
      <c r="K2205" s="103"/>
      <c r="L2205" s="103"/>
      <c r="M2205" s="103"/>
      <c r="N2205" s="103"/>
      <c r="O2205" s="103"/>
      <c r="P2205" s="98"/>
      <c r="Q2205" s="99"/>
      <c r="R2205" s="104">
        <f t="shared" si="109"/>
        <v>0</v>
      </c>
      <c r="S2205" s="104">
        <f t="shared" si="110"/>
        <v>0</v>
      </c>
      <c r="T2205" s="104">
        <f t="shared" si="111"/>
        <v>0</v>
      </c>
    </row>
    <row r="2206" spans="1:20">
      <c r="A2206" s="101"/>
      <c r="B2206" s="101"/>
      <c r="C2206" s="101"/>
      <c r="D2206" s="101"/>
      <c r="E2206" s="101"/>
      <c r="F2206" s="102"/>
      <c r="G2206" s="101"/>
      <c r="H2206" s="102"/>
      <c r="I2206" s="101"/>
      <c r="J2206" s="101"/>
      <c r="K2206" s="103"/>
      <c r="L2206" s="103"/>
      <c r="M2206" s="103"/>
      <c r="N2206" s="103"/>
      <c r="O2206" s="103"/>
      <c r="P2206" s="98"/>
      <c r="Q2206" s="99"/>
      <c r="R2206" s="104">
        <f t="shared" si="109"/>
        <v>0</v>
      </c>
      <c r="S2206" s="104">
        <f t="shared" si="110"/>
        <v>0</v>
      </c>
      <c r="T2206" s="104">
        <f t="shared" si="111"/>
        <v>0</v>
      </c>
    </row>
    <row r="2207" spans="1:20">
      <c r="A2207" s="101"/>
      <c r="B2207" s="101"/>
      <c r="C2207" s="101"/>
      <c r="D2207" s="101"/>
      <c r="E2207" s="101"/>
      <c r="F2207" s="102"/>
      <c r="G2207" s="101"/>
      <c r="H2207" s="102"/>
      <c r="I2207" s="101"/>
      <c r="J2207" s="101"/>
      <c r="K2207" s="103"/>
      <c r="L2207" s="103"/>
      <c r="M2207" s="103"/>
      <c r="N2207" s="103"/>
      <c r="O2207" s="103"/>
      <c r="P2207" s="98"/>
      <c r="Q2207" s="99"/>
      <c r="R2207" s="104">
        <f t="shared" si="109"/>
        <v>0</v>
      </c>
      <c r="S2207" s="104">
        <f t="shared" si="110"/>
        <v>0</v>
      </c>
      <c r="T2207" s="104">
        <f t="shared" si="111"/>
        <v>0</v>
      </c>
    </row>
    <row r="2208" spans="1:20">
      <c r="A2208" s="101"/>
      <c r="B2208" s="101"/>
      <c r="C2208" s="101"/>
      <c r="D2208" s="101"/>
      <c r="E2208" s="101"/>
      <c r="F2208" s="102"/>
      <c r="G2208" s="101"/>
      <c r="H2208" s="102"/>
      <c r="I2208" s="101"/>
      <c r="J2208" s="101"/>
      <c r="K2208" s="103"/>
      <c r="L2208" s="103"/>
      <c r="M2208" s="103"/>
      <c r="N2208" s="103"/>
      <c r="O2208" s="103"/>
      <c r="P2208" s="98"/>
      <c r="Q2208" s="99"/>
      <c r="R2208" s="104">
        <f t="shared" si="109"/>
        <v>0</v>
      </c>
      <c r="S2208" s="104">
        <f t="shared" si="110"/>
        <v>0</v>
      </c>
      <c r="T2208" s="104">
        <f t="shared" si="111"/>
        <v>0</v>
      </c>
    </row>
    <row r="2209" spans="1:20">
      <c r="A2209" s="101"/>
      <c r="B2209" s="101"/>
      <c r="C2209" s="101"/>
      <c r="D2209" s="101"/>
      <c r="E2209" s="101"/>
      <c r="F2209" s="102"/>
      <c r="G2209" s="101"/>
      <c r="H2209" s="102"/>
      <c r="I2209" s="101"/>
      <c r="J2209" s="101"/>
      <c r="K2209" s="103"/>
      <c r="L2209" s="103"/>
      <c r="M2209" s="103"/>
      <c r="N2209" s="103"/>
      <c r="O2209" s="103"/>
      <c r="P2209" s="98"/>
      <c r="Q2209" s="99"/>
      <c r="R2209" s="104">
        <f t="shared" si="109"/>
        <v>0</v>
      </c>
      <c r="S2209" s="104">
        <f t="shared" si="110"/>
        <v>0</v>
      </c>
      <c r="T2209" s="104">
        <f t="shared" si="111"/>
        <v>0</v>
      </c>
    </row>
    <row r="2210" spans="1:20">
      <c r="A2210" s="101"/>
      <c r="B2210" s="101"/>
      <c r="C2210" s="101"/>
      <c r="D2210" s="101"/>
      <c r="E2210" s="101"/>
      <c r="F2210" s="102"/>
      <c r="G2210" s="101"/>
      <c r="H2210" s="102"/>
      <c r="I2210" s="101"/>
      <c r="J2210" s="101"/>
      <c r="K2210" s="103"/>
      <c r="L2210" s="103"/>
      <c r="M2210" s="103"/>
      <c r="N2210" s="103"/>
      <c r="O2210" s="103"/>
      <c r="P2210" s="98"/>
      <c r="Q2210" s="99"/>
      <c r="R2210" s="104">
        <f t="shared" si="109"/>
        <v>0</v>
      </c>
      <c r="S2210" s="104">
        <f t="shared" si="110"/>
        <v>0</v>
      </c>
      <c r="T2210" s="104">
        <f t="shared" si="111"/>
        <v>0</v>
      </c>
    </row>
    <row r="2211" spans="1:20">
      <c r="A2211" s="101"/>
      <c r="B2211" s="101"/>
      <c r="C2211" s="101"/>
      <c r="D2211" s="101"/>
      <c r="E2211" s="101"/>
      <c r="F2211" s="102"/>
      <c r="G2211" s="101"/>
      <c r="H2211" s="102"/>
      <c r="I2211" s="101"/>
      <c r="J2211" s="101"/>
      <c r="K2211" s="103"/>
      <c r="L2211" s="103"/>
      <c r="M2211" s="103"/>
      <c r="N2211" s="103"/>
      <c r="O2211" s="103"/>
      <c r="P2211" s="98"/>
      <c r="Q2211" s="99"/>
      <c r="R2211" s="104">
        <f t="shared" si="109"/>
        <v>0</v>
      </c>
      <c r="S2211" s="104">
        <f t="shared" si="110"/>
        <v>0</v>
      </c>
      <c r="T2211" s="104">
        <f t="shared" si="111"/>
        <v>0</v>
      </c>
    </row>
    <row r="2212" spans="1:20">
      <c r="A2212" s="101"/>
      <c r="B2212" s="101"/>
      <c r="C2212" s="101"/>
      <c r="D2212" s="101"/>
      <c r="E2212" s="101"/>
      <c r="F2212" s="102"/>
      <c r="G2212" s="101"/>
      <c r="H2212" s="102"/>
      <c r="I2212" s="101"/>
      <c r="J2212" s="101"/>
      <c r="K2212" s="103"/>
      <c r="L2212" s="103"/>
      <c r="M2212" s="103"/>
      <c r="N2212" s="103"/>
      <c r="O2212" s="103"/>
      <c r="P2212" s="98"/>
      <c r="Q2212" s="99"/>
      <c r="R2212" s="104">
        <f t="shared" si="109"/>
        <v>0</v>
      </c>
      <c r="S2212" s="104">
        <f t="shared" si="110"/>
        <v>0</v>
      </c>
      <c r="T2212" s="104">
        <f t="shared" si="111"/>
        <v>0</v>
      </c>
    </row>
    <row r="2213" spans="1:20">
      <c r="A2213" s="101"/>
      <c r="B2213" s="101"/>
      <c r="C2213" s="101"/>
      <c r="D2213" s="101"/>
      <c r="E2213" s="101"/>
      <c r="F2213" s="102"/>
      <c r="G2213" s="101"/>
      <c r="H2213" s="102"/>
      <c r="I2213" s="101"/>
      <c r="J2213" s="101"/>
      <c r="K2213" s="103"/>
      <c r="L2213" s="103"/>
      <c r="M2213" s="103"/>
      <c r="N2213" s="103"/>
      <c r="O2213" s="103"/>
      <c r="P2213" s="98"/>
      <c r="Q2213" s="99"/>
      <c r="R2213" s="104">
        <f t="shared" si="109"/>
        <v>0</v>
      </c>
      <c r="S2213" s="104">
        <f t="shared" si="110"/>
        <v>0</v>
      </c>
      <c r="T2213" s="104">
        <f t="shared" si="111"/>
        <v>0</v>
      </c>
    </row>
    <row r="2214" spans="1:20">
      <c r="A2214" s="101"/>
      <c r="B2214" s="101"/>
      <c r="C2214" s="101"/>
      <c r="D2214" s="101"/>
      <c r="E2214" s="101"/>
      <c r="F2214" s="102"/>
      <c r="G2214" s="101"/>
      <c r="H2214" s="102"/>
      <c r="I2214" s="101"/>
      <c r="J2214" s="101"/>
      <c r="K2214" s="103"/>
      <c r="L2214" s="103"/>
      <c r="M2214" s="103"/>
      <c r="N2214" s="103"/>
      <c r="O2214" s="103"/>
      <c r="P2214" s="98"/>
      <c r="Q2214" s="99"/>
      <c r="R2214" s="104">
        <f t="shared" si="109"/>
        <v>0</v>
      </c>
      <c r="S2214" s="104">
        <f t="shared" si="110"/>
        <v>0</v>
      </c>
      <c r="T2214" s="104">
        <f t="shared" si="111"/>
        <v>0</v>
      </c>
    </row>
    <row r="2215" spans="1:20">
      <c r="A2215" s="101"/>
      <c r="B2215" s="101"/>
      <c r="C2215" s="101"/>
      <c r="D2215" s="101"/>
      <c r="E2215" s="101"/>
      <c r="F2215" s="102"/>
      <c r="G2215" s="101"/>
      <c r="H2215" s="102"/>
      <c r="I2215" s="101"/>
      <c r="J2215" s="101"/>
      <c r="K2215" s="103"/>
      <c r="L2215" s="103"/>
      <c r="M2215" s="103"/>
      <c r="N2215" s="103"/>
      <c r="O2215" s="103"/>
      <c r="P2215" s="98"/>
      <c r="Q2215" s="99"/>
      <c r="R2215" s="104">
        <f t="shared" si="109"/>
        <v>0</v>
      </c>
      <c r="S2215" s="104">
        <f t="shared" si="110"/>
        <v>0</v>
      </c>
      <c r="T2215" s="104">
        <f t="shared" si="111"/>
        <v>0</v>
      </c>
    </row>
    <row r="2216" spans="1:20">
      <c r="A2216" s="101"/>
      <c r="B2216" s="101"/>
      <c r="C2216" s="101"/>
      <c r="D2216" s="101"/>
      <c r="E2216" s="101"/>
      <c r="F2216" s="102"/>
      <c r="G2216" s="101"/>
      <c r="H2216" s="102"/>
      <c r="I2216" s="101"/>
      <c r="J2216" s="101"/>
      <c r="K2216" s="103"/>
      <c r="L2216" s="103"/>
      <c r="M2216" s="103"/>
      <c r="N2216" s="103"/>
      <c r="O2216" s="103"/>
      <c r="P2216" s="98"/>
      <c r="Q2216" s="99"/>
      <c r="R2216" s="104">
        <f t="shared" si="109"/>
        <v>0</v>
      </c>
      <c r="S2216" s="104">
        <f t="shared" si="110"/>
        <v>0</v>
      </c>
      <c r="T2216" s="104">
        <f t="shared" si="111"/>
        <v>0</v>
      </c>
    </row>
    <row r="2217" spans="1:20">
      <c r="A2217" s="101"/>
      <c r="B2217" s="101"/>
      <c r="C2217" s="101"/>
      <c r="D2217" s="101"/>
      <c r="E2217" s="101"/>
      <c r="F2217" s="102"/>
      <c r="G2217" s="101"/>
      <c r="H2217" s="102"/>
      <c r="I2217" s="101"/>
      <c r="J2217" s="101"/>
      <c r="K2217" s="103"/>
      <c r="L2217" s="103"/>
      <c r="M2217" s="103"/>
      <c r="N2217" s="103"/>
      <c r="O2217" s="103"/>
      <c r="P2217" s="98"/>
      <c r="Q2217" s="99"/>
      <c r="R2217" s="104">
        <f t="shared" si="109"/>
        <v>0</v>
      </c>
      <c r="S2217" s="104">
        <f t="shared" si="110"/>
        <v>0</v>
      </c>
      <c r="T2217" s="104">
        <f t="shared" si="111"/>
        <v>0</v>
      </c>
    </row>
    <row r="2218" spans="1:20">
      <c r="A2218" s="101"/>
      <c r="B2218" s="101"/>
      <c r="C2218" s="101"/>
      <c r="D2218" s="101"/>
      <c r="E2218" s="101"/>
      <c r="F2218" s="102"/>
      <c r="G2218" s="101"/>
      <c r="H2218" s="102"/>
      <c r="I2218" s="101"/>
      <c r="J2218" s="101"/>
      <c r="K2218" s="103"/>
      <c r="L2218" s="103"/>
      <c r="M2218" s="103"/>
      <c r="N2218" s="103"/>
      <c r="O2218" s="103"/>
      <c r="P2218" s="98"/>
      <c r="Q2218" s="99"/>
      <c r="R2218" s="104">
        <f t="shared" si="109"/>
        <v>0</v>
      </c>
      <c r="S2218" s="104">
        <f t="shared" si="110"/>
        <v>0</v>
      </c>
      <c r="T2218" s="104">
        <f t="shared" si="111"/>
        <v>0</v>
      </c>
    </row>
    <row r="2219" spans="1:20">
      <c r="A2219" s="101"/>
      <c r="B2219" s="101"/>
      <c r="C2219" s="101"/>
      <c r="D2219" s="101"/>
      <c r="E2219" s="101"/>
      <c r="F2219" s="102"/>
      <c r="G2219" s="101"/>
      <c r="H2219" s="102"/>
      <c r="I2219" s="101"/>
      <c r="J2219" s="101"/>
      <c r="K2219" s="103"/>
      <c r="L2219" s="103"/>
      <c r="M2219" s="103"/>
      <c r="N2219" s="103"/>
      <c r="O2219" s="103"/>
      <c r="P2219" s="98"/>
      <c r="Q2219" s="99"/>
      <c r="R2219" s="104">
        <f t="shared" si="109"/>
        <v>0</v>
      </c>
      <c r="S2219" s="104">
        <f t="shared" si="110"/>
        <v>0</v>
      </c>
      <c r="T2219" s="104">
        <f t="shared" si="111"/>
        <v>0</v>
      </c>
    </row>
    <row r="2220" spans="1:20">
      <c r="A2220" s="101"/>
      <c r="B2220" s="101"/>
      <c r="C2220" s="101"/>
      <c r="D2220" s="101"/>
      <c r="E2220" s="101"/>
      <c r="F2220" s="102"/>
      <c r="G2220" s="101"/>
      <c r="H2220" s="102"/>
      <c r="I2220" s="101"/>
      <c r="J2220" s="101"/>
      <c r="K2220" s="103"/>
      <c r="L2220" s="103"/>
      <c r="M2220" s="103"/>
      <c r="N2220" s="103"/>
      <c r="O2220" s="103"/>
      <c r="P2220" s="98"/>
      <c r="Q2220" s="99"/>
      <c r="R2220" s="104">
        <f t="shared" si="109"/>
        <v>0</v>
      </c>
      <c r="S2220" s="104">
        <f t="shared" si="110"/>
        <v>0</v>
      </c>
      <c r="T2220" s="104">
        <f t="shared" si="111"/>
        <v>0</v>
      </c>
    </row>
    <row r="2221" spans="1:20">
      <c r="A2221" s="101"/>
      <c r="B2221" s="101"/>
      <c r="C2221" s="101"/>
      <c r="D2221" s="101"/>
      <c r="E2221" s="101"/>
      <c r="F2221" s="102"/>
      <c r="G2221" s="101"/>
      <c r="H2221" s="102"/>
      <c r="I2221" s="101"/>
      <c r="J2221" s="101"/>
      <c r="K2221" s="103"/>
      <c r="L2221" s="103"/>
      <c r="M2221" s="103"/>
      <c r="N2221" s="103"/>
      <c r="O2221" s="103"/>
      <c r="P2221" s="98"/>
      <c r="Q2221" s="99"/>
      <c r="R2221" s="104">
        <f t="shared" si="109"/>
        <v>0</v>
      </c>
      <c r="S2221" s="104">
        <f t="shared" si="110"/>
        <v>0</v>
      </c>
      <c r="T2221" s="104">
        <f t="shared" si="111"/>
        <v>0</v>
      </c>
    </row>
    <row r="2222" spans="1:20">
      <c r="A2222" s="101"/>
      <c r="B2222" s="101"/>
      <c r="C2222" s="101"/>
      <c r="D2222" s="101"/>
      <c r="E2222" s="101"/>
      <c r="F2222" s="102"/>
      <c r="G2222" s="101"/>
      <c r="H2222" s="102"/>
      <c r="I2222" s="101"/>
      <c r="J2222" s="101"/>
      <c r="K2222" s="103"/>
      <c r="L2222" s="103"/>
      <c r="M2222" s="103"/>
      <c r="N2222" s="103"/>
      <c r="O2222" s="103"/>
      <c r="P2222" s="98"/>
      <c r="Q2222" s="99"/>
      <c r="R2222" s="104">
        <f t="shared" si="109"/>
        <v>0</v>
      </c>
      <c r="S2222" s="104">
        <f t="shared" si="110"/>
        <v>0</v>
      </c>
      <c r="T2222" s="104">
        <f t="shared" si="111"/>
        <v>0</v>
      </c>
    </row>
    <row r="2223" spans="1:20">
      <c r="A2223" s="101"/>
      <c r="B2223" s="101"/>
      <c r="C2223" s="101"/>
      <c r="D2223" s="101"/>
      <c r="E2223" s="101"/>
      <c r="F2223" s="102"/>
      <c r="G2223" s="101"/>
      <c r="H2223" s="102"/>
      <c r="I2223" s="101"/>
      <c r="J2223" s="101"/>
      <c r="K2223" s="103"/>
      <c r="L2223" s="103"/>
      <c r="M2223" s="103"/>
      <c r="N2223" s="103"/>
      <c r="O2223" s="103"/>
      <c r="P2223" s="98"/>
      <c r="Q2223" s="99"/>
      <c r="R2223" s="104">
        <f t="shared" si="109"/>
        <v>0</v>
      </c>
      <c r="S2223" s="104">
        <f t="shared" si="110"/>
        <v>0</v>
      </c>
      <c r="T2223" s="104">
        <f t="shared" si="111"/>
        <v>0</v>
      </c>
    </row>
    <row r="2224" spans="1:20">
      <c r="A2224" s="101"/>
      <c r="B2224" s="101"/>
      <c r="C2224" s="101"/>
      <c r="D2224" s="101"/>
      <c r="E2224" s="101"/>
      <c r="F2224" s="102"/>
      <c r="G2224" s="101"/>
      <c r="H2224" s="102"/>
      <c r="I2224" s="101"/>
      <c r="J2224" s="101"/>
      <c r="K2224" s="103"/>
      <c r="L2224" s="103"/>
      <c r="M2224" s="103"/>
      <c r="N2224" s="103"/>
      <c r="O2224" s="103"/>
      <c r="P2224" s="98"/>
      <c r="Q2224" s="99"/>
      <c r="R2224" s="104">
        <f t="shared" si="109"/>
        <v>0</v>
      </c>
      <c r="S2224" s="104">
        <f t="shared" si="110"/>
        <v>0</v>
      </c>
      <c r="T2224" s="104">
        <f t="shared" si="111"/>
        <v>0</v>
      </c>
    </row>
    <row r="2225" spans="1:20">
      <c r="A2225" s="101"/>
      <c r="B2225" s="101"/>
      <c r="C2225" s="101"/>
      <c r="D2225" s="101"/>
      <c r="E2225" s="101"/>
      <c r="F2225" s="102"/>
      <c r="G2225" s="101"/>
      <c r="H2225" s="102"/>
      <c r="I2225" s="101"/>
      <c r="J2225" s="101"/>
      <c r="K2225" s="103"/>
      <c r="L2225" s="103"/>
      <c r="M2225" s="103"/>
      <c r="N2225" s="103"/>
      <c r="O2225" s="103"/>
      <c r="P2225" s="98"/>
      <c r="Q2225" s="99"/>
      <c r="R2225" s="104">
        <f t="shared" si="109"/>
        <v>0</v>
      </c>
      <c r="S2225" s="104">
        <f t="shared" si="110"/>
        <v>0</v>
      </c>
      <c r="T2225" s="104">
        <f t="shared" si="111"/>
        <v>0</v>
      </c>
    </row>
    <row r="2226" spans="1:20">
      <c r="A2226" s="101"/>
      <c r="B2226" s="101"/>
      <c r="C2226" s="101"/>
      <c r="D2226" s="101"/>
      <c r="E2226" s="101"/>
      <c r="F2226" s="102"/>
      <c r="G2226" s="101"/>
      <c r="H2226" s="102"/>
      <c r="I2226" s="101"/>
      <c r="J2226" s="101"/>
      <c r="K2226" s="103"/>
      <c r="L2226" s="103"/>
      <c r="M2226" s="103"/>
      <c r="N2226" s="103"/>
      <c r="O2226" s="103"/>
      <c r="P2226" s="98"/>
      <c r="Q2226" s="99"/>
      <c r="R2226" s="104">
        <f t="shared" si="109"/>
        <v>0</v>
      </c>
      <c r="S2226" s="104">
        <f t="shared" si="110"/>
        <v>0</v>
      </c>
      <c r="T2226" s="104">
        <f t="shared" si="111"/>
        <v>0</v>
      </c>
    </row>
    <row r="2227" spans="1:20">
      <c r="A2227" s="101"/>
      <c r="B2227" s="101"/>
      <c r="C2227" s="101"/>
      <c r="D2227" s="101"/>
      <c r="E2227" s="101"/>
      <c r="F2227" s="102"/>
      <c r="G2227" s="101"/>
      <c r="H2227" s="102"/>
      <c r="I2227" s="101"/>
      <c r="J2227" s="101"/>
      <c r="K2227" s="103"/>
      <c r="L2227" s="103"/>
      <c r="M2227" s="103"/>
      <c r="N2227" s="103"/>
      <c r="O2227" s="103"/>
      <c r="P2227" s="98"/>
      <c r="Q2227" s="99"/>
      <c r="R2227" s="104">
        <f t="shared" si="109"/>
        <v>0</v>
      </c>
      <c r="S2227" s="104">
        <f t="shared" si="110"/>
        <v>0</v>
      </c>
      <c r="T2227" s="104">
        <f t="shared" si="111"/>
        <v>0</v>
      </c>
    </row>
    <row r="2228" spans="1:20">
      <c r="A2228" s="101"/>
      <c r="B2228" s="101"/>
      <c r="C2228" s="101"/>
      <c r="D2228" s="101"/>
      <c r="E2228" s="101"/>
      <c r="F2228" s="102"/>
      <c r="G2228" s="101"/>
      <c r="H2228" s="102"/>
      <c r="I2228" s="101"/>
      <c r="J2228" s="101"/>
      <c r="K2228" s="103"/>
      <c r="L2228" s="103"/>
      <c r="M2228" s="103"/>
      <c r="N2228" s="103"/>
      <c r="O2228" s="103"/>
      <c r="P2228" s="98"/>
      <c r="Q2228" s="99"/>
      <c r="R2228" s="104">
        <f t="shared" si="109"/>
        <v>0</v>
      </c>
      <c r="S2228" s="104">
        <f t="shared" si="110"/>
        <v>0</v>
      </c>
      <c r="T2228" s="104">
        <f t="shared" si="111"/>
        <v>0</v>
      </c>
    </row>
    <row r="2229" spans="1:20">
      <c r="A2229" s="101"/>
      <c r="B2229" s="101"/>
      <c r="C2229" s="101"/>
      <c r="D2229" s="101"/>
      <c r="E2229" s="101"/>
      <c r="F2229" s="102"/>
      <c r="G2229" s="101"/>
      <c r="H2229" s="102"/>
      <c r="I2229" s="101"/>
      <c r="J2229" s="101"/>
      <c r="K2229" s="103"/>
      <c r="L2229" s="103"/>
      <c r="M2229" s="103"/>
      <c r="N2229" s="103"/>
      <c r="O2229" s="103"/>
      <c r="P2229" s="98"/>
      <c r="Q2229" s="99"/>
      <c r="R2229" s="104">
        <f t="shared" si="109"/>
        <v>0</v>
      </c>
      <c r="S2229" s="104">
        <f t="shared" si="110"/>
        <v>0</v>
      </c>
      <c r="T2229" s="104">
        <f t="shared" si="111"/>
        <v>0</v>
      </c>
    </row>
    <row r="2230" spans="1:20">
      <c r="A2230" s="101"/>
      <c r="B2230" s="101"/>
      <c r="C2230" s="101"/>
      <c r="D2230" s="101"/>
      <c r="E2230" s="101"/>
      <c r="F2230" s="102"/>
      <c r="G2230" s="101"/>
      <c r="H2230" s="102"/>
      <c r="I2230" s="101"/>
      <c r="J2230" s="101"/>
      <c r="K2230" s="103"/>
      <c r="L2230" s="103"/>
      <c r="M2230" s="103"/>
      <c r="N2230" s="103"/>
      <c r="O2230" s="103"/>
      <c r="P2230" s="98"/>
      <c r="Q2230" s="99"/>
      <c r="R2230" s="104">
        <f t="shared" si="109"/>
        <v>0</v>
      </c>
      <c r="S2230" s="104">
        <f t="shared" si="110"/>
        <v>0</v>
      </c>
      <c r="T2230" s="104">
        <f t="shared" si="111"/>
        <v>0</v>
      </c>
    </row>
    <row r="2231" spans="1:20">
      <c r="A2231" s="101"/>
      <c r="B2231" s="101"/>
      <c r="C2231" s="101"/>
      <c r="D2231" s="101"/>
      <c r="E2231" s="101"/>
      <c r="F2231" s="102"/>
      <c r="G2231" s="101"/>
      <c r="H2231" s="102"/>
      <c r="I2231" s="101"/>
      <c r="J2231" s="101"/>
      <c r="K2231" s="103"/>
      <c r="L2231" s="103"/>
      <c r="M2231" s="103"/>
      <c r="N2231" s="103"/>
      <c r="O2231" s="103"/>
      <c r="P2231" s="98"/>
      <c r="Q2231" s="99"/>
      <c r="R2231" s="104">
        <f t="shared" si="109"/>
        <v>0</v>
      </c>
      <c r="S2231" s="104">
        <f t="shared" si="110"/>
        <v>0</v>
      </c>
      <c r="T2231" s="104">
        <f t="shared" si="111"/>
        <v>0</v>
      </c>
    </row>
    <row r="2232" spans="1:20">
      <c r="A2232" s="101"/>
      <c r="B2232" s="101"/>
      <c r="C2232" s="101"/>
      <c r="D2232" s="101"/>
      <c r="E2232" s="101"/>
      <c r="F2232" s="102"/>
      <c r="G2232" s="101"/>
      <c r="H2232" s="102"/>
      <c r="I2232" s="101"/>
      <c r="J2232" s="101"/>
      <c r="K2232" s="103"/>
      <c r="L2232" s="103"/>
      <c r="M2232" s="103"/>
      <c r="N2232" s="103"/>
      <c r="O2232" s="103"/>
      <c r="P2232" s="98"/>
      <c r="Q2232" s="99"/>
      <c r="R2232" s="104">
        <f t="shared" si="109"/>
        <v>0</v>
      </c>
      <c r="S2232" s="104">
        <f t="shared" si="110"/>
        <v>0</v>
      </c>
      <c r="T2232" s="104">
        <f t="shared" si="111"/>
        <v>0</v>
      </c>
    </row>
    <row r="2233" spans="1:20">
      <c r="A2233" s="101"/>
      <c r="B2233" s="101"/>
      <c r="C2233" s="101"/>
      <c r="D2233" s="101"/>
      <c r="E2233" s="101"/>
      <c r="F2233" s="102"/>
      <c r="G2233" s="101"/>
      <c r="H2233" s="102"/>
      <c r="I2233" s="101"/>
      <c r="J2233" s="101"/>
      <c r="K2233" s="103"/>
      <c r="L2233" s="103"/>
      <c r="M2233" s="103"/>
      <c r="N2233" s="103"/>
      <c r="O2233" s="103"/>
      <c r="P2233" s="98"/>
      <c r="Q2233" s="99"/>
      <c r="R2233" s="104">
        <f t="shared" si="109"/>
        <v>0</v>
      </c>
      <c r="S2233" s="104">
        <f t="shared" si="110"/>
        <v>0</v>
      </c>
      <c r="T2233" s="104">
        <f t="shared" si="111"/>
        <v>0</v>
      </c>
    </row>
    <row r="2234" spans="1:20">
      <c r="A2234" s="101"/>
      <c r="B2234" s="101"/>
      <c r="C2234" s="101"/>
      <c r="D2234" s="101"/>
      <c r="E2234" s="101"/>
      <c r="F2234" s="102"/>
      <c r="G2234" s="101"/>
      <c r="H2234" s="102"/>
      <c r="I2234" s="101"/>
      <c r="J2234" s="101"/>
      <c r="K2234" s="103"/>
      <c r="L2234" s="103"/>
      <c r="M2234" s="103"/>
      <c r="N2234" s="103"/>
      <c r="O2234" s="103"/>
      <c r="P2234" s="98"/>
      <c r="Q2234" s="99"/>
      <c r="R2234" s="104">
        <f t="shared" si="109"/>
        <v>0</v>
      </c>
      <c r="S2234" s="104">
        <f t="shared" si="110"/>
        <v>0</v>
      </c>
      <c r="T2234" s="104">
        <f t="shared" si="111"/>
        <v>0</v>
      </c>
    </row>
    <row r="2235" spans="1:20">
      <c r="A2235" s="101"/>
      <c r="B2235" s="101"/>
      <c r="C2235" s="101"/>
      <c r="D2235" s="101"/>
      <c r="E2235" s="101"/>
      <c r="F2235" s="102"/>
      <c r="G2235" s="101"/>
      <c r="H2235" s="102"/>
      <c r="I2235" s="101"/>
      <c r="J2235" s="101"/>
      <c r="K2235" s="103"/>
      <c r="L2235" s="103"/>
      <c r="M2235" s="103"/>
      <c r="N2235" s="103"/>
      <c r="O2235" s="103"/>
      <c r="P2235" s="98"/>
      <c r="Q2235" s="99"/>
      <c r="R2235" s="104">
        <f t="shared" si="109"/>
        <v>0</v>
      </c>
      <c r="S2235" s="104">
        <f t="shared" si="110"/>
        <v>0</v>
      </c>
      <c r="T2235" s="104">
        <f t="shared" si="111"/>
        <v>0</v>
      </c>
    </row>
    <row r="2236" spans="1:20">
      <c r="A2236" s="101"/>
      <c r="B2236" s="101"/>
      <c r="C2236" s="101"/>
      <c r="D2236" s="101"/>
      <c r="E2236" s="101"/>
      <c r="F2236" s="102"/>
      <c r="G2236" s="101"/>
      <c r="H2236" s="102"/>
      <c r="I2236" s="101"/>
      <c r="J2236" s="101"/>
      <c r="K2236" s="103"/>
      <c r="L2236" s="103"/>
      <c r="M2236" s="103"/>
      <c r="N2236" s="103"/>
      <c r="O2236" s="103"/>
      <c r="P2236" s="98"/>
      <c r="Q2236" s="99"/>
      <c r="R2236" s="104">
        <f t="shared" si="109"/>
        <v>0</v>
      </c>
      <c r="S2236" s="104">
        <f t="shared" si="110"/>
        <v>0</v>
      </c>
      <c r="T2236" s="104">
        <f t="shared" si="111"/>
        <v>0</v>
      </c>
    </row>
    <row r="2237" spans="1:20">
      <c r="A2237" s="101"/>
      <c r="B2237" s="101"/>
      <c r="C2237" s="101"/>
      <c r="D2237" s="101"/>
      <c r="E2237" s="101"/>
      <c r="F2237" s="102"/>
      <c r="G2237" s="101"/>
      <c r="H2237" s="102"/>
      <c r="I2237" s="101"/>
      <c r="J2237" s="101"/>
      <c r="K2237" s="103"/>
      <c r="L2237" s="103"/>
      <c r="M2237" s="103"/>
      <c r="N2237" s="103"/>
      <c r="O2237" s="103"/>
      <c r="P2237" s="98"/>
      <c r="Q2237" s="99"/>
      <c r="R2237" s="104">
        <f t="shared" si="109"/>
        <v>0</v>
      </c>
      <c r="S2237" s="104">
        <f t="shared" si="110"/>
        <v>0</v>
      </c>
      <c r="T2237" s="104">
        <f t="shared" si="111"/>
        <v>0</v>
      </c>
    </row>
    <row r="2238" spans="1:20">
      <c r="A2238" s="101"/>
      <c r="B2238" s="101"/>
      <c r="C2238" s="101"/>
      <c r="D2238" s="101"/>
      <c r="E2238" s="101"/>
      <c r="F2238" s="102"/>
      <c r="G2238" s="101"/>
      <c r="H2238" s="102"/>
      <c r="I2238" s="101"/>
      <c r="J2238" s="101"/>
      <c r="K2238" s="103"/>
      <c r="L2238" s="103"/>
      <c r="M2238" s="103"/>
      <c r="N2238" s="103"/>
      <c r="O2238" s="103"/>
      <c r="P2238" s="98"/>
      <c r="Q2238" s="99"/>
      <c r="R2238" s="104">
        <f t="shared" si="109"/>
        <v>0</v>
      </c>
      <c r="S2238" s="104">
        <f t="shared" si="110"/>
        <v>0</v>
      </c>
      <c r="T2238" s="104">
        <f t="shared" si="111"/>
        <v>0</v>
      </c>
    </row>
    <row r="2239" spans="1:20">
      <c r="A2239" s="101"/>
      <c r="B2239" s="101"/>
      <c r="C2239" s="101"/>
      <c r="D2239" s="101"/>
      <c r="E2239" s="101"/>
      <c r="F2239" s="102"/>
      <c r="G2239" s="101"/>
      <c r="H2239" s="102"/>
      <c r="I2239" s="101"/>
      <c r="J2239" s="101"/>
      <c r="K2239" s="103"/>
      <c r="L2239" s="103"/>
      <c r="M2239" s="103"/>
      <c r="N2239" s="103"/>
      <c r="O2239" s="103"/>
      <c r="P2239" s="98"/>
      <c r="Q2239" s="99"/>
      <c r="R2239" s="104">
        <f t="shared" si="109"/>
        <v>0</v>
      </c>
      <c r="S2239" s="104">
        <f t="shared" si="110"/>
        <v>0</v>
      </c>
      <c r="T2239" s="104">
        <f t="shared" si="111"/>
        <v>0</v>
      </c>
    </row>
    <row r="2240" spans="1:20">
      <c r="A2240" s="101"/>
      <c r="B2240" s="101"/>
      <c r="C2240" s="101"/>
      <c r="D2240" s="101"/>
      <c r="E2240" s="101"/>
      <c r="F2240" s="102"/>
      <c r="G2240" s="101"/>
      <c r="H2240" s="102"/>
      <c r="I2240" s="101"/>
      <c r="J2240" s="101"/>
      <c r="K2240" s="103"/>
      <c r="L2240" s="103"/>
      <c r="M2240" s="103"/>
      <c r="N2240" s="103"/>
      <c r="O2240" s="103"/>
      <c r="P2240" s="98"/>
      <c r="Q2240" s="99"/>
      <c r="R2240" s="104">
        <f t="shared" si="109"/>
        <v>0</v>
      </c>
      <c r="S2240" s="104">
        <f t="shared" si="110"/>
        <v>0</v>
      </c>
      <c r="T2240" s="104">
        <f t="shared" si="111"/>
        <v>0</v>
      </c>
    </row>
    <row r="2241" spans="1:20">
      <c r="A2241" s="101"/>
      <c r="B2241" s="101"/>
      <c r="C2241" s="101"/>
      <c r="D2241" s="101"/>
      <c r="E2241" s="101"/>
      <c r="F2241" s="102"/>
      <c r="G2241" s="101"/>
      <c r="H2241" s="102"/>
      <c r="I2241" s="101"/>
      <c r="J2241" s="101"/>
      <c r="K2241" s="103"/>
      <c r="L2241" s="103"/>
      <c r="M2241" s="103"/>
      <c r="N2241" s="103"/>
      <c r="O2241" s="103"/>
      <c r="P2241" s="98"/>
      <c r="Q2241" s="99"/>
      <c r="R2241" s="104">
        <f t="shared" si="109"/>
        <v>0</v>
      </c>
      <c r="S2241" s="104">
        <f t="shared" si="110"/>
        <v>0</v>
      </c>
      <c r="T2241" s="104">
        <f t="shared" si="111"/>
        <v>0</v>
      </c>
    </row>
    <row r="2242" spans="1:20">
      <c r="A2242" s="101"/>
      <c r="B2242" s="101"/>
      <c r="C2242" s="101"/>
      <c r="D2242" s="101"/>
      <c r="E2242" s="101"/>
      <c r="F2242" s="102"/>
      <c r="G2242" s="101"/>
      <c r="H2242" s="102"/>
      <c r="I2242" s="101"/>
      <c r="J2242" s="101"/>
      <c r="K2242" s="103"/>
      <c r="L2242" s="103"/>
      <c r="M2242" s="103"/>
      <c r="N2242" s="103"/>
      <c r="O2242" s="103"/>
      <c r="P2242" s="98"/>
      <c r="Q2242" s="99"/>
      <c r="R2242" s="104">
        <f t="shared" si="109"/>
        <v>0</v>
      </c>
      <c r="S2242" s="104">
        <f t="shared" si="110"/>
        <v>0</v>
      </c>
      <c r="T2242" s="104">
        <f t="shared" si="111"/>
        <v>0</v>
      </c>
    </row>
    <row r="2243" spans="1:20">
      <c r="A2243" s="101"/>
      <c r="B2243" s="101"/>
      <c r="C2243" s="101"/>
      <c r="D2243" s="101"/>
      <c r="E2243" s="101"/>
      <c r="F2243" s="102"/>
      <c r="G2243" s="101"/>
      <c r="H2243" s="102"/>
      <c r="I2243" s="101"/>
      <c r="J2243" s="101"/>
      <c r="K2243" s="103"/>
      <c r="L2243" s="103"/>
      <c r="M2243" s="103"/>
      <c r="N2243" s="103"/>
      <c r="O2243" s="103"/>
      <c r="P2243" s="98"/>
      <c r="Q2243" s="99"/>
      <c r="R2243" s="104">
        <f t="shared" si="109"/>
        <v>0</v>
      </c>
      <c r="S2243" s="104">
        <f t="shared" si="110"/>
        <v>0</v>
      </c>
      <c r="T2243" s="104">
        <f t="shared" si="111"/>
        <v>0</v>
      </c>
    </row>
    <row r="2244" spans="1:20">
      <c r="A2244" s="101"/>
      <c r="B2244" s="101"/>
      <c r="C2244" s="101"/>
      <c r="D2244" s="101"/>
      <c r="E2244" s="101"/>
      <c r="F2244" s="102"/>
      <c r="G2244" s="101"/>
      <c r="H2244" s="102"/>
      <c r="I2244" s="101"/>
      <c r="J2244" s="101"/>
      <c r="K2244" s="103"/>
      <c r="L2244" s="103"/>
      <c r="M2244" s="103"/>
      <c r="N2244" s="103"/>
      <c r="O2244" s="103"/>
      <c r="P2244" s="98"/>
      <c r="Q2244" s="99"/>
      <c r="R2244" s="104">
        <f t="shared" si="109"/>
        <v>0</v>
      </c>
      <c r="S2244" s="104">
        <f t="shared" si="110"/>
        <v>0</v>
      </c>
      <c r="T2244" s="104">
        <f t="shared" si="111"/>
        <v>0</v>
      </c>
    </row>
    <row r="2245" spans="1:20">
      <c r="A2245" s="101"/>
      <c r="B2245" s="101"/>
      <c r="C2245" s="101"/>
      <c r="D2245" s="101"/>
      <c r="E2245" s="101"/>
      <c r="F2245" s="102"/>
      <c r="G2245" s="101"/>
      <c r="H2245" s="102"/>
      <c r="I2245" s="101"/>
      <c r="J2245" s="101"/>
      <c r="K2245" s="103"/>
      <c r="L2245" s="103"/>
      <c r="M2245" s="103"/>
      <c r="N2245" s="103"/>
      <c r="O2245" s="103"/>
      <c r="P2245" s="98"/>
      <c r="Q2245" s="99"/>
      <c r="R2245" s="104">
        <f t="shared" si="109"/>
        <v>0</v>
      </c>
      <c r="S2245" s="104">
        <f t="shared" si="110"/>
        <v>0</v>
      </c>
      <c r="T2245" s="104">
        <f t="shared" si="111"/>
        <v>0</v>
      </c>
    </row>
    <row r="2246" spans="1:20">
      <c r="A2246" s="101"/>
      <c r="B2246" s="101"/>
      <c r="C2246" s="101"/>
      <c r="D2246" s="101"/>
      <c r="E2246" s="101"/>
      <c r="F2246" s="102"/>
      <c r="G2246" s="101"/>
      <c r="H2246" s="102"/>
      <c r="I2246" s="101"/>
      <c r="J2246" s="101"/>
      <c r="K2246" s="103"/>
      <c r="L2246" s="103"/>
      <c r="M2246" s="103"/>
      <c r="N2246" s="103"/>
      <c r="O2246" s="103"/>
      <c r="P2246" s="98"/>
      <c r="Q2246" s="99"/>
      <c r="R2246" s="104">
        <f t="shared" si="109"/>
        <v>0</v>
      </c>
      <c r="S2246" s="104">
        <f t="shared" si="110"/>
        <v>0</v>
      </c>
      <c r="T2246" s="104">
        <f t="shared" si="111"/>
        <v>0</v>
      </c>
    </row>
    <row r="2247" spans="1:20">
      <c r="A2247" s="101"/>
      <c r="B2247" s="101"/>
      <c r="C2247" s="101"/>
      <c r="D2247" s="101"/>
      <c r="E2247" s="101"/>
      <c r="F2247" s="102"/>
      <c r="G2247" s="101"/>
      <c r="H2247" s="102"/>
      <c r="I2247" s="101"/>
      <c r="J2247" s="101"/>
      <c r="K2247" s="103"/>
      <c r="L2247" s="103"/>
      <c r="M2247" s="103"/>
      <c r="N2247" s="103"/>
      <c r="O2247" s="103"/>
      <c r="P2247" s="98"/>
      <c r="Q2247" s="99"/>
      <c r="R2247" s="104">
        <f t="shared" si="109"/>
        <v>0</v>
      </c>
      <c r="S2247" s="104">
        <f t="shared" si="110"/>
        <v>0</v>
      </c>
      <c r="T2247" s="104">
        <f t="shared" si="111"/>
        <v>0</v>
      </c>
    </row>
    <row r="2248" spans="1:20">
      <c r="A2248" s="101"/>
      <c r="B2248" s="101"/>
      <c r="C2248" s="101"/>
      <c r="D2248" s="101"/>
      <c r="E2248" s="101"/>
      <c r="F2248" s="102"/>
      <c r="G2248" s="101"/>
      <c r="H2248" s="102"/>
      <c r="I2248" s="101"/>
      <c r="J2248" s="101"/>
      <c r="K2248" s="103"/>
      <c r="L2248" s="103"/>
      <c r="M2248" s="103"/>
      <c r="N2248" s="103"/>
      <c r="O2248" s="103"/>
      <c r="P2248" s="98"/>
      <c r="Q2248" s="99"/>
      <c r="R2248" s="104">
        <f t="shared" si="109"/>
        <v>0</v>
      </c>
      <c r="S2248" s="104">
        <f t="shared" si="110"/>
        <v>0</v>
      </c>
      <c r="T2248" s="104">
        <f t="shared" si="111"/>
        <v>0</v>
      </c>
    </row>
    <row r="2249" spans="1:20">
      <c r="A2249" s="101"/>
      <c r="B2249" s="101"/>
      <c r="C2249" s="101"/>
      <c r="D2249" s="101"/>
      <c r="E2249" s="101"/>
      <c r="F2249" s="102"/>
      <c r="G2249" s="101"/>
      <c r="H2249" s="102"/>
      <c r="I2249" s="101"/>
      <c r="J2249" s="101"/>
      <c r="K2249" s="103"/>
      <c r="L2249" s="103"/>
      <c r="M2249" s="103"/>
      <c r="N2249" s="103"/>
      <c r="O2249" s="103"/>
      <c r="P2249" s="98"/>
      <c r="Q2249" s="99"/>
      <c r="R2249" s="104">
        <f t="shared" si="109"/>
        <v>0</v>
      </c>
      <c r="S2249" s="104">
        <f t="shared" si="110"/>
        <v>0</v>
      </c>
      <c r="T2249" s="104">
        <f t="shared" si="111"/>
        <v>0</v>
      </c>
    </row>
    <row r="2250" spans="1:20">
      <c r="A2250" s="101"/>
      <c r="B2250" s="101"/>
      <c r="C2250" s="101"/>
      <c r="D2250" s="101"/>
      <c r="E2250" s="101"/>
      <c r="F2250" s="102"/>
      <c r="G2250" s="101"/>
      <c r="H2250" s="102"/>
      <c r="I2250" s="101"/>
      <c r="J2250" s="101"/>
      <c r="K2250" s="103"/>
      <c r="L2250" s="103"/>
      <c r="M2250" s="103"/>
      <c r="N2250" s="103"/>
      <c r="O2250" s="103"/>
      <c r="P2250" s="98"/>
      <c r="Q2250" s="99"/>
      <c r="R2250" s="104">
        <f t="shared" ref="R2250:R2313" si="112">IF(P2250="Cargo",K2250+L2250-M2250-N2250+O2250,0)</f>
        <v>0</v>
      </c>
      <c r="S2250" s="104">
        <f t="shared" ref="S2250:S2313" si="113">IF(P2250="Abono",K2250+L2250+M2250-N2250-O2250,0)</f>
        <v>0</v>
      </c>
      <c r="T2250" s="104">
        <f t="shared" ref="T2250:T2313" si="114">IF(Q2250="OK",+T2249+R2250-S2250,T2249)</f>
        <v>0</v>
      </c>
    </row>
    <row r="2251" spans="1:20">
      <c r="A2251" s="101"/>
      <c r="B2251" s="101"/>
      <c r="C2251" s="101"/>
      <c r="D2251" s="101"/>
      <c r="E2251" s="101"/>
      <c r="F2251" s="102"/>
      <c r="G2251" s="101"/>
      <c r="H2251" s="102"/>
      <c r="I2251" s="101"/>
      <c r="J2251" s="101"/>
      <c r="K2251" s="103"/>
      <c r="L2251" s="103"/>
      <c r="M2251" s="103"/>
      <c r="N2251" s="103"/>
      <c r="O2251" s="103"/>
      <c r="P2251" s="98"/>
      <c r="Q2251" s="99"/>
      <c r="R2251" s="104">
        <f t="shared" si="112"/>
        <v>0</v>
      </c>
      <c r="S2251" s="104">
        <f t="shared" si="113"/>
        <v>0</v>
      </c>
      <c r="T2251" s="104">
        <f t="shared" si="114"/>
        <v>0</v>
      </c>
    </row>
    <row r="2252" spans="1:20">
      <c r="A2252" s="101"/>
      <c r="B2252" s="101"/>
      <c r="C2252" s="101"/>
      <c r="D2252" s="101"/>
      <c r="E2252" s="101"/>
      <c r="F2252" s="102"/>
      <c r="G2252" s="101"/>
      <c r="H2252" s="102"/>
      <c r="I2252" s="101"/>
      <c r="J2252" s="101"/>
      <c r="K2252" s="103"/>
      <c r="L2252" s="103"/>
      <c r="M2252" s="103"/>
      <c r="N2252" s="103"/>
      <c r="O2252" s="103"/>
      <c r="P2252" s="98"/>
      <c r="Q2252" s="99"/>
      <c r="R2252" s="104">
        <f t="shared" si="112"/>
        <v>0</v>
      </c>
      <c r="S2252" s="104">
        <f t="shared" si="113"/>
        <v>0</v>
      </c>
      <c r="T2252" s="104">
        <f t="shared" si="114"/>
        <v>0</v>
      </c>
    </row>
    <row r="2253" spans="1:20">
      <c r="A2253" s="101"/>
      <c r="B2253" s="101"/>
      <c r="C2253" s="101"/>
      <c r="D2253" s="101"/>
      <c r="E2253" s="101"/>
      <c r="F2253" s="102"/>
      <c r="G2253" s="101"/>
      <c r="H2253" s="102"/>
      <c r="I2253" s="101"/>
      <c r="J2253" s="101"/>
      <c r="K2253" s="103"/>
      <c r="L2253" s="103"/>
      <c r="M2253" s="103"/>
      <c r="N2253" s="103"/>
      <c r="O2253" s="103"/>
      <c r="P2253" s="98"/>
      <c r="Q2253" s="99"/>
      <c r="R2253" s="104">
        <f t="shared" si="112"/>
        <v>0</v>
      </c>
      <c r="S2253" s="104">
        <f t="shared" si="113"/>
        <v>0</v>
      </c>
      <c r="T2253" s="104">
        <f t="shared" si="114"/>
        <v>0</v>
      </c>
    </row>
    <row r="2254" spans="1:20">
      <c r="A2254" s="101"/>
      <c r="B2254" s="101"/>
      <c r="C2254" s="101"/>
      <c r="D2254" s="101"/>
      <c r="E2254" s="101"/>
      <c r="F2254" s="102"/>
      <c r="G2254" s="101"/>
      <c r="H2254" s="102"/>
      <c r="I2254" s="101"/>
      <c r="J2254" s="101"/>
      <c r="K2254" s="103"/>
      <c r="L2254" s="103"/>
      <c r="M2254" s="103"/>
      <c r="N2254" s="103"/>
      <c r="O2254" s="103"/>
      <c r="P2254" s="98"/>
      <c r="Q2254" s="99"/>
      <c r="R2254" s="104">
        <f t="shared" si="112"/>
        <v>0</v>
      </c>
      <c r="S2254" s="104">
        <f t="shared" si="113"/>
        <v>0</v>
      </c>
      <c r="T2254" s="104">
        <f t="shared" si="114"/>
        <v>0</v>
      </c>
    </row>
    <row r="2255" spans="1:20">
      <c r="A2255" s="101"/>
      <c r="B2255" s="101"/>
      <c r="C2255" s="101"/>
      <c r="D2255" s="101"/>
      <c r="E2255" s="101"/>
      <c r="F2255" s="102"/>
      <c r="G2255" s="101"/>
      <c r="H2255" s="102"/>
      <c r="I2255" s="101"/>
      <c r="J2255" s="101"/>
      <c r="K2255" s="103"/>
      <c r="L2255" s="103"/>
      <c r="M2255" s="103"/>
      <c r="N2255" s="103"/>
      <c r="O2255" s="103"/>
      <c r="P2255" s="98"/>
      <c r="Q2255" s="99"/>
      <c r="R2255" s="104">
        <f t="shared" si="112"/>
        <v>0</v>
      </c>
      <c r="S2255" s="104">
        <f t="shared" si="113"/>
        <v>0</v>
      </c>
      <c r="T2255" s="104">
        <f t="shared" si="114"/>
        <v>0</v>
      </c>
    </row>
    <row r="2256" spans="1:20">
      <c r="A2256" s="101"/>
      <c r="B2256" s="101"/>
      <c r="C2256" s="101"/>
      <c r="D2256" s="101"/>
      <c r="E2256" s="101"/>
      <c r="F2256" s="102"/>
      <c r="G2256" s="101"/>
      <c r="H2256" s="102"/>
      <c r="I2256" s="101"/>
      <c r="J2256" s="101"/>
      <c r="K2256" s="103"/>
      <c r="L2256" s="103"/>
      <c r="M2256" s="103"/>
      <c r="N2256" s="103"/>
      <c r="O2256" s="103"/>
      <c r="P2256" s="98"/>
      <c r="Q2256" s="99"/>
      <c r="R2256" s="104">
        <f t="shared" si="112"/>
        <v>0</v>
      </c>
      <c r="S2256" s="104">
        <f t="shared" si="113"/>
        <v>0</v>
      </c>
      <c r="T2256" s="104">
        <f t="shared" si="114"/>
        <v>0</v>
      </c>
    </row>
    <row r="2257" spans="1:20">
      <c r="A2257" s="101"/>
      <c r="B2257" s="101"/>
      <c r="C2257" s="101"/>
      <c r="D2257" s="101"/>
      <c r="E2257" s="101"/>
      <c r="F2257" s="102"/>
      <c r="G2257" s="101"/>
      <c r="H2257" s="102"/>
      <c r="I2257" s="101"/>
      <c r="J2257" s="101"/>
      <c r="K2257" s="103"/>
      <c r="L2257" s="103"/>
      <c r="M2257" s="103"/>
      <c r="N2257" s="103"/>
      <c r="O2257" s="103"/>
      <c r="P2257" s="98"/>
      <c r="Q2257" s="99"/>
      <c r="R2257" s="104">
        <f t="shared" si="112"/>
        <v>0</v>
      </c>
      <c r="S2257" s="104">
        <f t="shared" si="113"/>
        <v>0</v>
      </c>
      <c r="T2257" s="104">
        <f t="shared" si="114"/>
        <v>0</v>
      </c>
    </row>
    <row r="2258" spans="1:20">
      <c r="A2258" s="101"/>
      <c r="B2258" s="101"/>
      <c r="C2258" s="101"/>
      <c r="D2258" s="101"/>
      <c r="E2258" s="101"/>
      <c r="F2258" s="102"/>
      <c r="G2258" s="101"/>
      <c r="H2258" s="102"/>
      <c r="I2258" s="101"/>
      <c r="J2258" s="101"/>
      <c r="K2258" s="103"/>
      <c r="L2258" s="103"/>
      <c r="M2258" s="103"/>
      <c r="N2258" s="103"/>
      <c r="O2258" s="103"/>
      <c r="P2258" s="98"/>
      <c r="Q2258" s="99"/>
      <c r="R2258" s="104">
        <f t="shared" si="112"/>
        <v>0</v>
      </c>
      <c r="S2258" s="104">
        <f t="shared" si="113"/>
        <v>0</v>
      </c>
      <c r="T2258" s="104">
        <f t="shared" si="114"/>
        <v>0</v>
      </c>
    </row>
    <row r="2259" spans="1:20">
      <c r="A2259" s="101"/>
      <c r="B2259" s="101"/>
      <c r="C2259" s="101"/>
      <c r="D2259" s="101"/>
      <c r="E2259" s="101"/>
      <c r="F2259" s="102"/>
      <c r="G2259" s="101"/>
      <c r="H2259" s="102"/>
      <c r="I2259" s="101"/>
      <c r="J2259" s="101"/>
      <c r="K2259" s="103"/>
      <c r="L2259" s="103"/>
      <c r="M2259" s="103"/>
      <c r="N2259" s="103"/>
      <c r="O2259" s="103"/>
      <c r="P2259" s="98"/>
      <c r="Q2259" s="99"/>
      <c r="R2259" s="104">
        <f t="shared" si="112"/>
        <v>0</v>
      </c>
      <c r="S2259" s="104">
        <f t="shared" si="113"/>
        <v>0</v>
      </c>
      <c r="T2259" s="104">
        <f t="shared" si="114"/>
        <v>0</v>
      </c>
    </row>
    <row r="2260" spans="1:20">
      <c r="A2260" s="101"/>
      <c r="B2260" s="101"/>
      <c r="C2260" s="101"/>
      <c r="D2260" s="101"/>
      <c r="E2260" s="101"/>
      <c r="F2260" s="102"/>
      <c r="G2260" s="101"/>
      <c r="H2260" s="102"/>
      <c r="I2260" s="101"/>
      <c r="J2260" s="101"/>
      <c r="K2260" s="103"/>
      <c r="L2260" s="103"/>
      <c r="M2260" s="103"/>
      <c r="N2260" s="103"/>
      <c r="O2260" s="103"/>
      <c r="P2260" s="98"/>
      <c r="Q2260" s="99"/>
      <c r="R2260" s="104">
        <f t="shared" si="112"/>
        <v>0</v>
      </c>
      <c r="S2260" s="104">
        <f t="shared" si="113"/>
        <v>0</v>
      </c>
      <c r="T2260" s="104">
        <f t="shared" si="114"/>
        <v>0</v>
      </c>
    </row>
    <row r="2261" spans="1:20">
      <c r="A2261" s="101"/>
      <c r="B2261" s="101"/>
      <c r="C2261" s="101"/>
      <c r="D2261" s="101"/>
      <c r="E2261" s="101"/>
      <c r="F2261" s="102"/>
      <c r="G2261" s="101"/>
      <c r="H2261" s="102"/>
      <c r="I2261" s="101"/>
      <c r="J2261" s="101"/>
      <c r="K2261" s="103"/>
      <c r="L2261" s="103"/>
      <c r="M2261" s="103"/>
      <c r="N2261" s="103"/>
      <c r="O2261" s="103"/>
      <c r="P2261" s="98"/>
      <c r="Q2261" s="99"/>
      <c r="R2261" s="104">
        <f t="shared" si="112"/>
        <v>0</v>
      </c>
      <c r="S2261" s="104">
        <f t="shared" si="113"/>
        <v>0</v>
      </c>
      <c r="T2261" s="104">
        <f t="shared" si="114"/>
        <v>0</v>
      </c>
    </row>
    <row r="2262" spans="1:20">
      <c r="A2262" s="101"/>
      <c r="B2262" s="101"/>
      <c r="C2262" s="101"/>
      <c r="D2262" s="101"/>
      <c r="E2262" s="101"/>
      <c r="F2262" s="102"/>
      <c r="G2262" s="101"/>
      <c r="H2262" s="102"/>
      <c r="I2262" s="101"/>
      <c r="J2262" s="101"/>
      <c r="K2262" s="103"/>
      <c r="L2262" s="103"/>
      <c r="M2262" s="103"/>
      <c r="N2262" s="103"/>
      <c r="O2262" s="103"/>
      <c r="P2262" s="98"/>
      <c r="Q2262" s="99"/>
      <c r="R2262" s="104">
        <f t="shared" si="112"/>
        <v>0</v>
      </c>
      <c r="S2262" s="104">
        <f t="shared" si="113"/>
        <v>0</v>
      </c>
      <c r="T2262" s="104">
        <f t="shared" si="114"/>
        <v>0</v>
      </c>
    </row>
    <row r="2263" spans="1:20">
      <c r="A2263" s="101"/>
      <c r="B2263" s="101"/>
      <c r="C2263" s="101"/>
      <c r="D2263" s="101"/>
      <c r="E2263" s="101"/>
      <c r="F2263" s="102"/>
      <c r="G2263" s="101"/>
      <c r="H2263" s="102"/>
      <c r="I2263" s="101"/>
      <c r="J2263" s="101"/>
      <c r="K2263" s="103"/>
      <c r="L2263" s="103"/>
      <c r="M2263" s="103"/>
      <c r="N2263" s="103"/>
      <c r="O2263" s="103"/>
      <c r="P2263" s="98"/>
      <c r="Q2263" s="99"/>
      <c r="R2263" s="104">
        <f t="shared" si="112"/>
        <v>0</v>
      </c>
      <c r="S2263" s="104">
        <f t="shared" si="113"/>
        <v>0</v>
      </c>
      <c r="T2263" s="104">
        <f t="shared" si="114"/>
        <v>0</v>
      </c>
    </row>
    <row r="2264" spans="1:20">
      <c r="A2264" s="101"/>
      <c r="B2264" s="101"/>
      <c r="C2264" s="101"/>
      <c r="D2264" s="101"/>
      <c r="E2264" s="101"/>
      <c r="F2264" s="102"/>
      <c r="G2264" s="101"/>
      <c r="H2264" s="102"/>
      <c r="I2264" s="101"/>
      <c r="J2264" s="101"/>
      <c r="K2264" s="103"/>
      <c r="L2264" s="103"/>
      <c r="M2264" s="103"/>
      <c r="N2264" s="103"/>
      <c r="O2264" s="103"/>
      <c r="P2264" s="98"/>
      <c r="Q2264" s="99"/>
      <c r="R2264" s="104">
        <f t="shared" si="112"/>
        <v>0</v>
      </c>
      <c r="S2264" s="104">
        <f t="shared" si="113"/>
        <v>0</v>
      </c>
      <c r="T2264" s="104">
        <f t="shared" si="114"/>
        <v>0</v>
      </c>
    </row>
    <row r="2265" spans="1:20">
      <c r="A2265" s="101"/>
      <c r="B2265" s="101"/>
      <c r="C2265" s="101"/>
      <c r="D2265" s="101"/>
      <c r="E2265" s="101"/>
      <c r="F2265" s="102"/>
      <c r="G2265" s="101"/>
      <c r="H2265" s="102"/>
      <c r="I2265" s="101"/>
      <c r="J2265" s="101"/>
      <c r="K2265" s="103"/>
      <c r="L2265" s="103"/>
      <c r="M2265" s="103"/>
      <c r="N2265" s="103"/>
      <c r="O2265" s="103"/>
      <c r="P2265" s="98"/>
      <c r="Q2265" s="99"/>
      <c r="R2265" s="104">
        <f t="shared" si="112"/>
        <v>0</v>
      </c>
      <c r="S2265" s="104">
        <f t="shared" si="113"/>
        <v>0</v>
      </c>
      <c r="T2265" s="104">
        <f t="shared" si="114"/>
        <v>0</v>
      </c>
    </row>
    <row r="2266" spans="1:20">
      <c r="A2266" s="101"/>
      <c r="B2266" s="101"/>
      <c r="C2266" s="101"/>
      <c r="D2266" s="101"/>
      <c r="E2266" s="101"/>
      <c r="F2266" s="102"/>
      <c r="G2266" s="101"/>
      <c r="H2266" s="102"/>
      <c r="I2266" s="101"/>
      <c r="J2266" s="101"/>
      <c r="K2266" s="103"/>
      <c r="L2266" s="103"/>
      <c r="M2266" s="103"/>
      <c r="N2266" s="103"/>
      <c r="O2266" s="103"/>
      <c r="P2266" s="98"/>
      <c r="Q2266" s="99"/>
      <c r="R2266" s="104">
        <f t="shared" si="112"/>
        <v>0</v>
      </c>
      <c r="S2266" s="104">
        <f t="shared" si="113"/>
        <v>0</v>
      </c>
      <c r="T2266" s="104">
        <f t="shared" si="114"/>
        <v>0</v>
      </c>
    </row>
    <row r="2267" spans="1:20">
      <c r="A2267" s="101"/>
      <c r="B2267" s="101"/>
      <c r="C2267" s="101"/>
      <c r="D2267" s="101"/>
      <c r="E2267" s="101"/>
      <c r="F2267" s="102"/>
      <c r="G2267" s="101"/>
      <c r="H2267" s="102"/>
      <c r="I2267" s="101"/>
      <c r="J2267" s="101"/>
      <c r="K2267" s="103"/>
      <c r="L2267" s="103"/>
      <c r="M2267" s="103"/>
      <c r="N2267" s="103"/>
      <c r="O2267" s="103"/>
      <c r="P2267" s="98"/>
      <c r="Q2267" s="99"/>
      <c r="R2267" s="104">
        <f t="shared" si="112"/>
        <v>0</v>
      </c>
      <c r="S2267" s="104">
        <f t="shared" si="113"/>
        <v>0</v>
      </c>
      <c r="T2267" s="104">
        <f t="shared" si="114"/>
        <v>0</v>
      </c>
    </row>
    <row r="2268" spans="1:20">
      <c r="A2268" s="101"/>
      <c r="B2268" s="101"/>
      <c r="C2268" s="101"/>
      <c r="D2268" s="101"/>
      <c r="E2268" s="101"/>
      <c r="F2268" s="102"/>
      <c r="G2268" s="101"/>
      <c r="H2268" s="102"/>
      <c r="I2268" s="101"/>
      <c r="J2268" s="101"/>
      <c r="K2268" s="103"/>
      <c r="L2268" s="103"/>
      <c r="M2268" s="103"/>
      <c r="N2268" s="103"/>
      <c r="O2268" s="103"/>
      <c r="P2268" s="98"/>
      <c r="Q2268" s="99"/>
      <c r="R2268" s="104">
        <f t="shared" si="112"/>
        <v>0</v>
      </c>
      <c r="S2268" s="104">
        <f t="shared" si="113"/>
        <v>0</v>
      </c>
      <c r="T2268" s="104">
        <f t="shared" si="114"/>
        <v>0</v>
      </c>
    </row>
    <row r="2269" spans="1:20">
      <c r="A2269" s="101"/>
      <c r="B2269" s="101"/>
      <c r="C2269" s="101"/>
      <c r="D2269" s="101"/>
      <c r="E2269" s="101"/>
      <c r="F2269" s="102"/>
      <c r="G2269" s="101"/>
      <c r="H2269" s="102"/>
      <c r="I2269" s="101"/>
      <c r="J2269" s="101"/>
      <c r="K2269" s="103"/>
      <c r="L2269" s="103"/>
      <c r="M2269" s="103"/>
      <c r="N2269" s="103"/>
      <c r="O2269" s="103"/>
      <c r="P2269" s="98"/>
      <c r="Q2269" s="99"/>
      <c r="R2269" s="104">
        <f t="shared" si="112"/>
        <v>0</v>
      </c>
      <c r="S2269" s="104">
        <f t="shared" si="113"/>
        <v>0</v>
      </c>
      <c r="T2269" s="104">
        <f t="shared" si="114"/>
        <v>0</v>
      </c>
    </row>
    <row r="2270" spans="1:20">
      <c r="A2270" s="101"/>
      <c r="B2270" s="101"/>
      <c r="C2270" s="101"/>
      <c r="D2270" s="101"/>
      <c r="E2270" s="101"/>
      <c r="F2270" s="102"/>
      <c r="G2270" s="101"/>
      <c r="H2270" s="102"/>
      <c r="I2270" s="101"/>
      <c r="J2270" s="101"/>
      <c r="K2270" s="103"/>
      <c r="L2270" s="103"/>
      <c r="M2270" s="103"/>
      <c r="N2270" s="103"/>
      <c r="O2270" s="103"/>
      <c r="P2270" s="98"/>
      <c r="Q2270" s="99"/>
      <c r="R2270" s="104">
        <f t="shared" si="112"/>
        <v>0</v>
      </c>
      <c r="S2270" s="104">
        <f t="shared" si="113"/>
        <v>0</v>
      </c>
      <c r="T2270" s="104">
        <f t="shared" si="114"/>
        <v>0</v>
      </c>
    </row>
    <row r="2271" spans="1:20">
      <c r="A2271" s="101"/>
      <c r="B2271" s="101"/>
      <c r="C2271" s="101"/>
      <c r="D2271" s="101"/>
      <c r="E2271" s="101"/>
      <c r="F2271" s="102"/>
      <c r="G2271" s="101"/>
      <c r="H2271" s="102"/>
      <c r="I2271" s="101"/>
      <c r="J2271" s="101"/>
      <c r="K2271" s="103"/>
      <c r="L2271" s="103"/>
      <c r="M2271" s="103"/>
      <c r="N2271" s="103"/>
      <c r="O2271" s="103"/>
      <c r="P2271" s="98"/>
      <c r="Q2271" s="99"/>
      <c r="R2271" s="104">
        <f t="shared" si="112"/>
        <v>0</v>
      </c>
      <c r="S2271" s="104">
        <f t="shared" si="113"/>
        <v>0</v>
      </c>
      <c r="T2271" s="104">
        <f t="shared" si="114"/>
        <v>0</v>
      </c>
    </row>
    <row r="2272" spans="1:20">
      <c r="A2272" s="101"/>
      <c r="B2272" s="101"/>
      <c r="C2272" s="101"/>
      <c r="D2272" s="101"/>
      <c r="E2272" s="101"/>
      <c r="F2272" s="102"/>
      <c r="G2272" s="101"/>
      <c r="H2272" s="102"/>
      <c r="I2272" s="101"/>
      <c r="J2272" s="101"/>
      <c r="K2272" s="103"/>
      <c r="L2272" s="103"/>
      <c r="M2272" s="103"/>
      <c r="N2272" s="103"/>
      <c r="O2272" s="103"/>
      <c r="P2272" s="98"/>
      <c r="Q2272" s="99"/>
      <c r="R2272" s="104">
        <f t="shared" si="112"/>
        <v>0</v>
      </c>
      <c r="S2272" s="104">
        <f t="shared" si="113"/>
        <v>0</v>
      </c>
      <c r="T2272" s="104">
        <f t="shared" si="114"/>
        <v>0</v>
      </c>
    </row>
    <row r="2273" spans="1:20">
      <c r="A2273" s="101"/>
      <c r="B2273" s="101"/>
      <c r="C2273" s="101"/>
      <c r="D2273" s="101"/>
      <c r="E2273" s="101"/>
      <c r="F2273" s="102"/>
      <c r="G2273" s="101"/>
      <c r="H2273" s="102"/>
      <c r="I2273" s="101"/>
      <c r="J2273" s="101"/>
      <c r="K2273" s="103"/>
      <c r="L2273" s="103"/>
      <c r="M2273" s="103"/>
      <c r="N2273" s="103"/>
      <c r="O2273" s="103"/>
      <c r="P2273" s="98"/>
      <c r="Q2273" s="99"/>
      <c r="R2273" s="104">
        <f t="shared" si="112"/>
        <v>0</v>
      </c>
      <c r="S2273" s="104">
        <f t="shared" si="113"/>
        <v>0</v>
      </c>
      <c r="T2273" s="104">
        <f t="shared" si="114"/>
        <v>0</v>
      </c>
    </row>
    <row r="2274" spans="1:20">
      <c r="A2274" s="101"/>
      <c r="B2274" s="101"/>
      <c r="C2274" s="101"/>
      <c r="D2274" s="101"/>
      <c r="E2274" s="101"/>
      <c r="F2274" s="102"/>
      <c r="G2274" s="101"/>
      <c r="H2274" s="102"/>
      <c r="I2274" s="101"/>
      <c r="J2274" s="101"/>
      <c r="K2274" s="103"/>
      <c r="L2274" s="103"/>
      <c r="M2274" s="103"/>
      <c r="N2274" s="103"/>
      <c r="O2274" s="103"/>
      <c r="P2274" s="98"/>
      <c r="Q2274" s="99"/>
      <c r="R2274" s="104">
        <f t="shared" si="112"/>
        <v>0</v>
      </c>
      <c r="S2274" s="104">
        <f t="shared" si="113"/>
        <v>0</v>
      </c>
      <c r="T2274" s="104">
        <f t="shared" si="114"/>
        <v>0</v>
      </c>
    </row>
    <row r="2275" spans="1:20">
      <c r="A2275" s="101"/>
      <c r="B2275" s="101"/>
      <c r="C2275" s="101"/>
      <c r="D2275" s="101"/>
      <c r="E2275" s="101"/>
      <c r="F2275" s="102"/>
      <c r="G2275" s="101"/>
      <c r="H2275" s="102"/>
      <c r="I2275" s="101"/>
      <c r="J2275" s="101"/>
      <c r="K2275" s="103"/>
      <c r="L2275" s="103"/>
      <c r="M2275" s="103"/>
      <c r="N2275" s="103"/>
      <c r="O2275" s="103"/>
      <c r="P2275" s="98"/>
      <c r="Q2275" s="99"/>
      <c r="R2275" s="104">
        <f t="shared" si="112"/>
        <v>0</v>
      </c>
      <c r="S2275" s="104">
        <f t="shared" si="113"/>
        <v>0</v>
      </c>
      <c r="T2275" s="104">
        <f t="shared" si="114"/>
        <v>0</v>
      </c>
    </row>
    <row r="2276" spans="1:20">
      <c r="A2276" s="101"/>
      <c r="B2276" s="101"/>
      <c r="C2276" s="101"/>
      <c r="D2276" s="101"/>
      <c r="E2276" s="101"/>
      <c r="F2276" s="102"/>
      <c r="G2276" s="101"/>
      <c r="H2276" s="102"/>
      <c r="I2276" s="101"/>
      <c r="J2276" s="101"/>
      <c r="K2276" s="103"/>
      <c r="L2276" s="103"/>
      <c r="M2276" s="103"/>
      <c r="N2276" s="103"/>
      <c r="O2276" s="103"/>
      <c r="P2276" s="98"/>
      <c r="Q2276" s="99"/>
      <c r="R2276" s="104">
        <f t="shared" si="112"/>
        <v>0</v>
      </c>
      <c r="S2276" s="104">
        <f t="shared" si="113"/>
        <v>0</v>
      </c>
      <c r="T2276" s="104">
        <f t="shared" si="114"/>
        <v>0</v>
      </c>
    </row>
    <row r="2277" spans="1:20">
      <c r="A2277" s="101"/>
      <c r="B2277" s="101"/>
      <c r="C2277" s="101"/>
      <c r="D2277" s="101"/>
      <c r="E2277" s="101"/>
      <c r="F2277" s="102"/>
      <c r="G2277" s="101"/>
      <c r="H2277" s="102"/>
      <c r="I2277" s="101"/>
      <c r="J2277" s="101"/>
      <c r="K2277" s="103"/>
      <c r="L2277" s="103"/>
      <c r="M2277" s="103"/>
      <c r="N2277" s="103"/>
      <c r="O2277" s="103"/>
      <c r="P2277" s="98"/>
      <c r="Q2277" s="99"/>
      <c r="R2277" s="104">
        <f t="shared" si="112"/>
        <v>0</v>
      </c>
      <c r="S2277" s="104">
        <f t="shared" si="113"/>
        <v>0</v>
      </c>
      <c r="T2277" s="104">
        <f t="shared" si="114"/>
        <v>0</v>
      </c>
    </row>
    <row r="2278" spans="1:20">
      <c r="A2278" s="101"/>
      <c r="B2278" s="101"/>
      <c r="C2278" s="101"/>
      <c r="D2278" s="101"/>
      <c r="E2278" s="101"/>
      <c r="F2278" s="102"/>
      <c r="G2278" s="101"/>
      <c r="H2278" s="102"/>
      <c r="I2278" s="101"/>
      <c r="J2278" s="101"/>
      <c r="K2278" s="103"/>
      <c r="L2278" s="103"/>
      <c r="M2278" s="103"/>
      <c r="N2278" s="103"/>
      <c r="O2278" s="103"/>
      <c r="P2278" s="98"/>
      <c r="Q2278" s="99"/>
      <c r="R2278" s="104">
        <f t="shared" si="112"/>
        <v>0</v>
      </c>
      <c r="S2278" s="104">
        <f t="shared" si="113"/>
        <v>0</v>
      </c>
      <c r="T2278" s="104">
        <f t="shared" si="114"/>
        <v>0</v>
      </c>
    </row>
    <row r="2279" spans="1:20">
      <c r="A2279" s="101"/>
      <c r="B2279" s="101"/>
      <c r="C2279" s="101"/>
      <c r="D2279" s="101"/>
      <c r="E2279" s="101"/>
      <c r="F2279" s="102"/>
      <c r="G2279" s="101"/>
      <c r="H2279" s="102"/>
      <c r="I2279" s="101"/>
      <c r="J2279" s="101"/>
      <c r="K2279" s="103"/>
      <c r="L2279" s="103"/>
      <c r="M2279" s="103"/>
      <c r="N2279" s="103"/>
      <c r="O2279" s="103"/>
      <c r="P2279" s="98"/>
      <c r="Q2279" s="99"/>
      <c r="R2279" s="104">
        <f t="shared" si="112"/>
        <v>0</v>
      </c>
      <c r="S2279" s="104">
        <f t="shared" si="113"/>
        <v>0</v>
      </c>
      <c r="T2279" s="104">
        <f t="shared" si="114"/>
        <v>0</v>
      </c>
    </row>
    <row r="2280" spans="1:20">
      <c r="A2280" s="101"/>
      <c r="B2280" s="101"/>
      <c r="C2280" s="101"/>
      <c r="D2280" s="101"/>
      <c r="E2280" s="101"/>
      <c r="F2280" s="102"/>
      <c r="G2280" s="101"/>
      <c r="H2280" s="102"/>
      <c r="I2280" s="101"/>
      <c r="J2280" s="101"/>
      <c r="K2280" s="103"/>
      <c r="L2280" s="103"/>
      <c r="M2280" s="103"/>
      <c r="N2280" s="103"/>
      <c r="O2280" s="103"/>
      <c r="P2280" s="98"/>
      <c r="Q2280" s="99"/>
      <c r="R2280" s="104">
        <f t="shared" si="112"/>
        <v>0</v>
      </c>
      <c r="S2280" s="104">
        <f t="shared" si="113"/>
        <v>0</v>
      </c>
      <c r="T2280" s="104">
        <f t="shared" si="114"/>
        <v>0</v>
      </c>
    </row>
    <row r="2281" spans="1:20">
      <c r="A2281" s="101"/>
      <c r="B2281" s="101"/>
      <c r="C2281" s="101"/>
      <c r="D2281" s="101"/>
      <c r="E2281" s="101"/>
      <c r="F2281" s="102"/>
      <c r="G2281" s="101"/>
      <c r="H2281" s="102"/>
      <c r="I2281" s="101"/>
      <c r="J2281" s="101"/>
      <c r="K2281" s="103"/>
      <c r="L2281" s="103"/>
      <c r="M2281" s="103"/>
      <c r="N2281" s="103"/>
      <c r="O2281" s="103"/>
      <c r="P2281" s="98"/>
      <c r="Q2281" s="99"/>
      <c r="R2281" s="104">
        <f t="shared" si="112"/>
        <v>0</v>
      </c>
      <c r="S2281" s="104">
        <f t="shared" si="113"/>
        <v>0</v>
      </c>
      <c r="T2281" s="104">
        <f t="shared" si="114"/>
        <v>0</v>
      </c>
    </row>
    <row r="2282" spans="1:20">
      <c r="A2282" s="101"/>
      <c r="B2282" s="101"/>
      <c r="C2282" s="101"/>
      <c r="D2282" s="101"/>
      <c r="E2282" s="101"/>
      <c r="F2282" s="102"/>
      <c r="G2282" s="101"/>
      <c r="H2282" s="102"/>
      <c r="I2282" s="101"/>
      <c r="J2282" s="101"/>
      <c r="K2282" s="103"/>
      <c r="L2282" s="103"/>
      <c r="M2282" s="103"/>
      <c r="N2282" s="103"/>
      <c r="O2282" s="103"/>
      <c r="P2282" s="98"/>
      <c r="Q2282" s="99"/>
      <c r="R2282" s="104">
        <f t="shared" si="112"/>
        <v>0</v>
      </c>
      <c r="S2282" s="104">
        <f t="shared" si="113"/>
        <v>0</v>
      </c>
      <c r="T2282" s="104">
        <f t="shared" si="114"/>
        <v>0</v>
      </c>
    </row>
    <row r="2283" spans="1:20">
      <c r="A2283" s="101"/>
      <c r="B2283" s="101"/>
      <c r="C2283" s="101"/>
      <c r="D2283" s="101"/>
      <c r="E2283" s="101"/>
      <c r="F2283" s="102"/>
      <c r="G2283" s="101"/>
      <c r="H2283" s="102"/>
      <c r="I2283" s="101"/>
      <c r="J2283" s="101"/>
      <c r="K2283" s="103"/>
      <c r="L2283" s="103"/>
      <c r="M2283" s="103"/>
      <c r="N2283" s="103"/>
      <c r="O2283" s="103"/>
      <c r="P2283" s="98"/>
      <c r="Q2283" s="99"/>
      <c r="R2283" s="104">
        <f t="shared" si="112"/>
        <v>0</v>
      </c>
      <c r="S2283" s="104">
        <f t="shared" si="113"/>
        <v>0</v>
      </c>
      <c r="T2283" s="104">
        <f t="shared" si="114"/>
        <v>0</v>
      </c>
    </row>
    <row r="2284" spans="1:20">
      <c r="A2284" s="101"/>
      <c r="B2284" s="101"/>
      <c r="C2284" s="101"/>
      <c r="D2284" s="101"/>
      <c r="E2284" s="101"/>
      <c r="F2284" s="102"/>
      <c r="G2284" s="101"/>
      <c r="H2284" s="102"/>
      <c r="I2284" s="101"/>
      <c r="J2284" s="101"/>
      <c r="K2284" s="103"/>
      <c r="L2284" s="103"/>
      <c r="M2284" s="103"/>
      <c r="N2284" s="103"/>
      <c r="O2284" s="103"/>
      <c r="P2284" s="98"/>
      <c r="Q2284" s="99"/>
      <c r="R2284" s="104">
        <f t="shared" si="112"/>
        <v>0</v>
      </c>
      <c r="S2284" s="104">
        <f t="shared" si="113"/>
        <v>0</v>
      </c>
      <c r="T2284" s="104">
        <f t="shared" si="114"/>
        <v>0</v>
      </c>
    </row>
    <row r="2285" spans="1:20">
      <c r="A2285" s="101"/>
      <c r="B2285" s="101"/>
      <c r="C2285" s="101"/>
      <c r="D2285" s="101"/>
      <c r="E2285" s="101"/>
      <c r="F2285" s="102"/>
      <c r="G2285" s="101"/>
      <c r="H2285" s="102"/>
      <c r="I2285" s="101"/>
      <c r="J2285" s="101"/>
      <c r="K2285" s="103"/>
      <c r="L2285" s="103"/>
      <c r="M2285" s="103"/>
      <c r="N2285" s="103"/>
      <c r="O2285" s="103"/>
      <c r="P2285" s="98"/>
      <c r="Q2285" s="99"/>
      <c r="R2285" s="104">
        <f t="shared" si="112"/>
        <v>0</v>
      </c>
      <c r="S2285" s="104">
        <f t="shared" si="113"/>
        <v>0</v>
      </c>
      <c r="T2285" s="104">
        <f t="shared" si="114"/>
        <v>0</v>
      </c>
    </row>
    <row r="2286" spans="1:20">
      <c r="A2286" s="101"/>
      <c r="B2286" s="101"/>
      <c r="C2286" s="101"/>
      <c r="D2286" s="101"/>
      <c r="E2286" s="101"/>
      <c r="F2286" s="102"/>
      <c r="G2286" s="101"/>
      <c r="H2286" s="102"/>
      <c r="I2286" s="101"/>
      <c r="J2286" s="101"/>
      <c r="K2286" s="103"/>
      <c r="L2286" s="103"/>
      <c r="M2286" s="103"/>
      <c r="N2286" s="103"/>
      <c r="O2286" s="103"/>
      <c r="P2286" s="98"/>
      <c r="Q2286" s="99"/>
      <c r="R2286" s="104">
        <f t="shared" si="112"/>
        <v>0</v>
      </c>
      <c r="S2286" s="104">
        <f t="shared" si="113"/>
        <v>0</v>
      </c>
      <c r="T2286" s="104">
        <f t="shared" si="114"/>
        <v>0</v>
      </c>
    </row>
    <row r="2287" spans="1:20">
      <c r="A2287" s="101"/>
      <c r="B2287" s="101"/>
      <c r="C2287" s="101"/>
      <c r="D2287" s="101"/>
      <c r="E2287" s="101"/>
      <c r="F2287" s="102"/>
      <c r="G2287" s="101"/>
      <c r="H2287" s="102"/>
      <c r="I2287" s="101"/>
      <c r="J2287" s="101"/>
      <c r="K2287" s="103"/>
      <c r="L2287" s="103"/>
      <c r="M2287" s="103"/>
      <c r="N2287" s="103"/>
      <c r="O2287" s="103"/>
      <c r="P2287" s="98"/>
      <c r="Q2287" s="99"/>
      <c r="R2287" s="104">
        <f t="shared" si="112"/>
        <v>0</v>
      </c>
      <c r="S2287" s="104">
        <f t="shared" si="113"/>
        <v>0</v>
      </c>
      <c r="T2287" s="104">
        <f t="shared" si="114"/>
        <v>0</v>
      </c>
    </row>
    <row r="2288" spans="1:20">
      <c r="A2288" s="101"/>
      <c r="B2288" s="101"/>
      <c r="C2288" s="101"/>
      <c r="D2288" s="101"/>
      <c r="E2288" s="101"/>
      <c r="F2288" s="102"/>
      <c r="G2288" s="101"/>
      <c r="H2288" s="102"/>
      <c r="I2288" s="101"/>
      <c r="J2288" s="101"/>
      <c r="K2288" s="103"/>
      <c r="L2288" s="103"/>
      <c r="M2288" s="103"/>
      <c r="N2288" s="103"/>
      <c r="O2288" s="103"/>
      <c r="P2288" s="98"/>
      <c r="Q2288" s="99"/>
      <c r="R2288" s="104">
        <f t="shared" si="112"/>
        <v>0</v>
      </c>
      <c r="S2288" s="104">
        <f t="shared" si="113"/>
        <v>0</v>
      </c>
      <c r="T2288" s="104">
        <f t="shared" si="114"/>
        <v>0</v>
      </c>
    </row>
    <row r="2289" spans="1:20">
      <c r="A2289" s="101"/>
      <c r="B2289" s="101"/>
      <c r="C2289" s="101"/>
      <c r="D2289" s="101"/>
      <c r="E2289" s="101"/>
      <c r="F2289" s="102"/>
      <c r="G2289" s="101"/>
      <c r="H2289" s="102"/>
      <c r="I2289" s="101"/>
      <c r="J2289" s="101"/>
      <c r="K2289" s="103"/>
      <c r="L2289" s="103"/>
      <c r="M2289" s="103"/>
      <c r="N2289" s="103"/>
      <c r="O2289" s="103"/>
      <c r="P2289" s="98"/>
      <c r="Q2289" s="99"/>
      <c r="R2289" s="104">
        <f t="shared" si="112"/>
        <v>0</v>
      </c>
      <c r="S2289" s="104">
        <f t="shared" si="113"/>
        <v>0</v>
      </c>
      <c r="T2289" s="104">
        <f t="shared" si="114"/>
        <v>0</v>
      </c>
    </row>
    <row r="2290" spans="1:20">
      <c r="A2290" s="101"/>
      <c r="B2290" s="101"/>
      <c r="C2290" s="101"/>
      <c r="D2290" s="101"/>
      <c r="E2290" s="101"/>
      <c r="F2290" s="102"/>
      <c r="G2290" s="101"/>
      <c r="H2290" s="102"/>
      <c r="I2290" s="101"/>
      <c r="J2290" s="101"/>
      <c r="K2290" s="103"/>
      <c r="L2290" s="103"/>
      <c r="M2290" s="103"/>
      <c r="N2290" s="103"/>
      <c r="O2290" s="103"/>
      <c r="P2290" s="98"/>
      <c r="Q2290" s="99"/>
      <c r="R2290" s="104">
        <f t="shared" si="112"/>
        <v>0</v>
      </c>
      <c r="S2290" s="104">
        <f t="shared" si="113"/>
        <v>0</v>
      </c>
      <c r="T2290" s="104">
        <f t="shared" si="114"/>
        <v>0</v>
      </c>
    </row>
    <row r="2291" spans="1:20">
      <c r="A2291" s="101"/>
      <c r="B2291" s="101"/>
      <c r="C2291" s="101"/>
      <c r="D2291" s="101"/>
      <c r="E2291" s="101"/>
      <c r="F2291" s="102"/>
      <c r="G2291" s="101"/>
      <c r="H2291" s="102"/>
      <c r="I2291" s="101"/>
      <c r="J2291" s="101"/>
      <c r="K2291" s="103"/>
      <c r="L2291" s="103"/>
      <c r="M2291" s="103"/>
      <c r="N2291" s="103"/>
      <c r="O2291" s="103"/>
      <c r="P2291" s="98"/>
      <c r="Q2291" s="99"/>
      <c r="R2291" s="104">
        <f t="shared" si="112"/>
        <v>0</v>
      </c>
      <c r="S2291" s="104">
        <f t="shared" si="113"/>
        <v>0</v>
      </c>
      <c r="T2291" s="104">
        <f t="shared" si="114"/>
        <v>0</v>
      </c>
    </row>
    <row r="2292" spans="1:20">
      <c r="A2292" s="101"/>
      <c r="B2292" s="101"/>
      <c r="C2292" s="101"/>
      <c r="D2292" s="101"/>
      <c r="E2292" s="101"/>
      <c r="F2292" s="102"/>
      <c r="G2292" s="101"/>
      <c r="H2292" s="102"/>
      <c r="I2292" s="101"/>
      <c r="J2292" s="101"/>
      <c r="K2292" s="103"/>
      <c r="L2292" s="103"/>
      <c r="M2292" s="103"/>
      <c r="N2292" s="103"/>
      <c r="O2292" s="103"/>
      <c r="P2292" s="98"/>
      <c r="Q2292" s="99"/>
      <c r="R2292" s="104">
        <f t="shared" si="112"/>
        <v>0</v>
      </c>
      <c r="S2292" s="104">
        <f t="shared" si="113"/>
        <v>0</v>
      </c>
      <c r="T2292" s="104">
        <f t="shared" si="114"/>
        <v>0</v>
      </c>
    </row>
    <row r="2293" spans="1:20">
      <c r="A2293" s="101"/>
      <c r="B2293" s="101"/>
      <c r="C2293" s="101"/>
      <c r="D2293" s="101"/>
      <c r="E2293" s="101"/>
      <c r="F2293" s="102"/>
      <c r="G2293" s="101"/>
      <c r="H2293" s="102"/>
      <c r="I2293" s="101"/>
      <c r="J2293" s="101"/>
      <c r="K2293" s="103"/>
      <c r="L2293" s="103"/>
      <c r="M2293" s="103"/>
      <c r="N2293" s="103"/>
      <c r="O2293" s="103"/>
      <c r="P2293" s="98"/>
      <c r="Q2293" s="99"/>
      <c r="R2293" s="104">
        <f t="shared" si="112"/>
        <v>0</v>
      </c>
      <c r="S2293" s="104">
        <f t="shared" si="113"/>
        <v>0</v>
      </c>
      <c r="T2293" s="104">
        <f t="shared" si="114"/>
        <v>0</v>
      </c>
    </row>
    <row r="2294" spans="1:20">
      <c r="A2294" s="101"/>
      <c r="B2294" s="101"/>
      <c r="C2294" s="101"/>
      <c r="D2294" s="101"/>
      <c r="E2294" s="101"/>
      <c r="F2294" s="102"/>
      <c r="G2294" s="101"/>
      <c r="H2294" s="102"/>
      <c r="I2294" s="101"/>
      <c r="J2294" s="101"/>
      <c r="K2294" s="103"/>
      <c r="L2294" s="103"/>
      <c r="M2294" s="103"/>
      <c r="N2294" s="103"/>
      <c r="O2294" s="103"/>
      <c r="P2294" s="98"/>
      <c r="Q2294" s="99"/>
      <c r="R2294" s="104">
        <f t="shared" si="112"/>
        <v>0</v>
      </c>
      <c r="S2294" s="104">
        <f t="shared" si="113"/>
        <v>0</v>
      </c>
      <c r="T2294" s="104">
        <f t="shared" si="114"/>
        <v>0</v>
      </c>
    </row>
    <row r="2295" spans="1:20">
      <c r="A2295" s="101"/>
      <c r="B2295" s="101"/>
      <c r="C2295" s="101"/>
      <c r="D2295" s="101"/>
      <c r="E2295" s="101"/>
      <c r="F2295" s="102"/>
      <c r="G2295" s="101"/>
      <c r="H2295" s="102"/>
      <c r="I2295" s="101"/>
      <c r="J2295" s="101"/>
      <c r="K2295" s="103"/>
      <c r="L2295" s="103"/>
      <c r="M2295" s="103"/>
      <c r="N2295" s="103"/>
      <c r="O2295" s="103"/>
      <c r="P2295" s="98"/>
      <c r="Q2295" s="99"/>
      <c r="R2295" s="104">
        <f t="shared" si="112"/>
        <v>0</v>
      </c>
      <c r="S2295" s="104">
        <f t="shared" si="113"/>
        <v>0</v>
      </c>
      <c r="T2295" s="104">
        <f t="shared" si="114"/>
        <v>0</v>
      </c>
    </row>
    <row r="2296" spans="1:20">
      <c r="A2296" s="101"/>
      <c r="B2296" s="101"/>
      <c r="C2296" s="101"/>
      <c r="D2296" s="101"/>
      <c r="E2296" s="101"/>
      <c r="F2296" s="102"/>
      <c r="G2296" s="101"/>
      <c r="H2296" s="102"/>
      <c r="I2296" s="101"/>
      <c r="J2296" s="101"/>
      <c r="K2296" s="103"/>
      <c r="L2296" s="103"/>
      <c r="M2296" s="103"/>
      <c r="N2296" s="103"/>
      <c r="O2296" s="103"/>
      <c r="P2296" s="98"/>
      <c r="Q2296" s="99"/>
      <c r="R2296" s="104">
        <f t="shared" si="112"/>
        <v>0</v>
      </c>
      <c r="S2296" s="104">
        <f t="shared" si="113"/>
        <v>0</v>
      </c>
      <c r="T2296" s="104">
        <f t="shared" si="114"/>
        <v>0</v>
      </c>
    </row>
    <row r="2297" spans="1:20">
      <c r="A2297" s="101"/>
      <c r="B2297" s="101"/>
      <c r="C2297" s="101"/>
      <c r="D2297" s="101"/>
      <c r="E2297" s="101"/>
      <c r="F2297" s="102"/>
      <c r="G2297" s="101"/>
      <c r="H2297" s="102"/>
      <c r="I2297" s="101"/>
      <c r="J2297" s="101"/>
      <c r="K2297" s="103"/>
      <c r="L2297" s="103"/>
      <c r="M2297" s="103"/>
      <c r="N2297" s="103"/>
      <c r="O2297" s="103"/>
      <c r="P2297" s="98"/>
      <c r="Q2297" s="99"/>
      <c r="R2297" s="104">
        <f t="shared" si="112"/>
        <v>0</v>
      </c>
      <c r="S2297" s="104">
        <f t="shared" si="113"/>
        <v>0</v>
      </c>
      <c r="T2297" s="104">
        <f t="shared" si="114"/>
        <v>0</v>
      </c>
    </row>
    <row r="2298" spans="1:20">
      <c r="A2298" s="101"/>
      <c r="B2298" s="101"/>
      <c r="C2298" s="101"/>
      <c r="D2298" s="101"/>
      <c r="E2298" s="101"/>
      <c r="F2298" s="102"/>
      <c r="G2298" s="101"/>
      <c r="H2298" s="102"/>
      <c r="I2298" s="101"/>
      <c r="J2298" s="101"/>
      <c r="K2298" s="103"/>
      <c r="L2298" s="103"/>
      <c r="M2298" s="103"/>
      <c r="N2298" s="103"/>
      <c r="O2298" s="103"/>
      <c r="P2298" s="98"/>
      <c r="Q2298" s="99"/>
      <c r="R2298" s="104">
        <f t="shared" si="112"/>
        <v>0</v>
      </c>
      <c r="S2298" s="104">
        <f t="shared" si="113"/>
        <v>0</v>
      </c>
      <c r="T2298" s="104">
        <f t="shared" si="114"/>
        <v>0</v>
      </c>
    </row>
    <row r="2299" spans="1:20">
      <c r="A2299" s="101"/>
      <c r="B2299" s="101"/>
      <c r="C2299" s="101"/>
      <c r="D2299" s="101"/>
      <c r="E2299" s="101"/>
      <c r="F2299" s="102"/>
      <c r="G2299" s="101"/>
      <c r="H2299" s="102"/>
      <c r="I2299" s="101"/>
      <c r="J2299" s="101"/>
      <c r="K2299" s="103"/>
      <c r="L2299" s="103"/>
      <c r="M2299" s="103"/>
      <c r="N2299" s="103"/>
      <c r="O2299" s="103"/>
      <c r="P2299" s="98"/>
      <c r="Q2299" s="99"/>
      <c r="R2299" s="104">
        <f t="shared" si="112"/>
        <v>0</v>
      </c>
      <c r="S2299" s="104">
        <f t="shared" si="113"/>
        <v>0</v>
      </c>
      <c r="T2299" s="104">
        <f t="shared" si="114"/>
        <v>0</v>
      </c>
    </row>
    <row r="2300" spans="1:20">
      <c r="A2300" s="101"/>
      <c r="B2300" s="101"/>
      <c r="C2300" s="101"/>
      <c r="D2300" s="101"/>
      <c r="E2300" s="101"/>
      <c r="F2300" s="102"/>
      <c r="G2300" s="101"/>
      <c r="H2300" s="102"/>
      <c r="I2300" s="101"/>
      <c r="J2300" s="101"/>
      <c r="K2300" s="103"/>
      <c r="L2300" s="103"/>
      <c r="M2300" s="103"/>
      <c r="N2300" s="103"/>
      <c r="O2300" s="103"/>
      <c r="P2300" s="98"/>
      <c r="Q2300" s="99"/>
      <c r="R2300" s="104">
        <f t="shared" si="112"/>
        <v>0</v>
      </c>
      <c r="S2300" s="104">
        <f t="shared" si="113"/>
        <v>0</v>
      </c>
      <c r="T2300" s="104">
        <f t="shared" si="114"/>
        <v>0</v>
      </c>
    </row>
    <row r="2301" spans="1:20">
      <c r="A2301" s="101"/>
      <c r="B2301" s="101"/>
      <c r="C2301" s="101"/>
      <c r="D2301" s="101"/>
      <c r="E2301" s="101"/>
      <c r="F2301" s="102"/>
      <c r="G2301" s="101"/>
      <c r="H2301" s="102"/>
      <c r="I2301" s="101"/>
      <c r="J2301" s="101"/>
      <c r="K2301" s="103"/>
      <c r="L2301" s="103"/>
      <c r="M2301" s="103"/>
      <c r="N2301" s="103"/>
      <c r="O2301" s="103"/>
      <c r="P2301" s="98"/>
      <c r="Q2301" s="99"/>
      <c r="R2301" s="104">
        <f t="shared" si="112"/>
        <v>0</v>
      </c>
      <c r="S2301" s="104">
        <f t="shared" si="113"/>
        <v>0</v>
      </c>
      <c r="T2301" s="104">
        <f t="shared" si="114"/>
        <v>0</v>
      </c>
    </row>
    <row r="2302" spans="1:20">
      <c r="A2302" s="101"/>
      <c r="B2302" s="101"/>
      <c r="C2302" s="101"/>
      <c r="D2302" s="101"/>
      <c r="E2302" s="101"/>
      <c r="F2302" s="102"/>
      <c r="G2302" s="101"/>
      <c r="H2302" s="102"/>
      <c r="I2302" s="101"/>
      <c r="J2302" s="101"/>
      <c r="K2302" s="103"/>
      <c r="L2302" s="103"/>
      <c r="M2302" s="103"/>
      <c r="N2302" s="103"/>
      <c r="O2302" s="103"/>
      <c r="P2302" s="98"/>
      <c r="Q2302" s="99"/>
      <c r="R2302" s="104">
        <f t="shared" si="112"/>
        <v>0</v>
      </c>
      <c r="S2302" s="104">
        <f t="shared" si="113"/>
        <v>0</v>
      </c>
      <c r="T2302" s="104">
        <f t="shared" si="114"/>
        <v>0</v>
      </c>
    </row>
    <row r="2303" spans="1:20">
      <c r="A2303" s="101"/>
      <c r="B2303" s="101"/>
      <c r="C2303" s="101"/>
      <c r="D2303" s="101"/>
      <c r="E2303" s="101"/>
      <c r="F2303" s="102"/>
      <c r="G2303" s="101"/>
      <c r="H2303" s="102"/>
      <c r="I2303" s="101"/>
      <c r="J2303" s="101"/>
      <c r="K2303" s="103"/>
      <c r="L2303" s="103"/>
      <c r="M2303" s="103"/>
      <c r="N2303" s="103"/>
      <c r="O2303" s="103"/>
      <c r="P2303" s="98"/>
      <c r="Q2303" s="99"/>
      <c r="R2303" s="104">
        <f t="shared" si="112"/>
        <v>0</v>
      </c>
      <c r="S2303" s="104">
        <f t="shared" si="113"/>
        <v>0</v>
      </c>
      <c r="T2303" s="104">
        <f t="shared" si="114"/>
        <v>0</v>
      </c>
    </row>
    <row r="2304" spans="1:20">
      <c r="A2304" s="101"/>
      <c r="B2304" s="101"/>
      <c r="C2304" s="101"/>
      <c r="D2304" s="101"/>
      <c r="E2304" s="101"/>
      <c r="F2304" s="102"/>
      <c r="G2304" s="101"/>
      <c r="H2304" s="102"/>
      <c r="I2304" s="101"/>
      <c r="J2304" s="101"/>
      <c r="K2304" s="103"/>
      <c r="L2304" s="103"/>
      <c r="M2304" s="103"/>
      <c r="N2304" s="103"/>
      <c r="O2304" s="103"/>
      <c r="P2304" s="98"/>
      <c r="Q2304" s="99"/>
      <c r="R2304" s="104">
        <f t="shared" si="112"/>
        <v>0</v>
      </c>
      <c r="S2304" s="104">
        <f t="shared" si="113"/>
        <v>0</v>
      </c>
      <c r="T2304" s="104">
        <f t="shared" si="114"/>
        <v>0</v>
      </c>
    </row>
    <row r="2305" spans="1:20">
      <c r="A2305" s="101"/>
      <c r="B2305" s="101"/>
      <c r="C2305" s="101"/>
      <c r="D2305" s="101"/>
      <c r="E2305" s="101"/>
      <c r="F2305" s="102"/>
      <c r="G2305" s="101"/>
      <c r="H2305" s="102"/>
      <c r="I2305" s="101"/>
      <c r="J2305" s="101"/>
      <c r="K2305" s="103"/>
      <c r="L2305" s="103"/>
      <c r="M2305" s="103"/>
      <c r="N2305" s="103"/>
      <c r="O2305" s="103"/>
      <c r="P2305" s="98"/>
      <c r="Q2305" s="99"/>
      <c r="R2305" s="104">
        <f t="shared" si="112"/>
        <v>0</v>
      </c>
      <c r="S2305" s="104">
        <f t="shared" si="113"/>
        <v>0</v>
      </c>
      <c r="T2305" s="104">
        <f t="shared" si="114"/>
        <v>0</v>
      </c>
    </row>
    <row r="2306" spans="1:20">
      <c r="A2306" s="101"/>
      <c r="B2306" s="101"/>
      <c r="C2306" s="101"/>
      <c r="D2306" s="101"/>
      <c r="E2306" s="101"/>
      <c r="F2306" s="102"/>
      <c r="G2306" s="101"/>
      <c r="H2306" s="102"/>
      <c r="I2306" s="101"/>
      <c r="J2306" s="101"/>
      <c r="K2306" s="103"/>
      <c r="L2306" s="103"/>
      <c r="M2306" s="103"/>
      <c r="N2306" s="103"/>
      <c r="O2306" s="103"/>
      <c r="P2306" s="98"/>
      <c r="Q2306" s="99"/>
      <c r="R2306" s="104">
        <f t="shared" si="112"/>
        <v>0</v>
      </c>
      <c r="S2306" s="104">
        <f t="shared" si="113"/>
        <v>0</v>
      </c>
      <c r="T2306" s="104">
        <f t="shared" si="114"/>
        <v>0</v>
      </c>
    </row>
    <row r="2307" spans="1:20">
      <c r="A2307" s="101"/>
      <c r="B2307" s="101"/>
      <c r="C2307" s="101"/>
      <c r="D2307" s="101"/>
      <c r="E2307" s="101"/>
      <c r="F2307" s="102"/>
      <c r="G2307" s="101"/>
      <c r="H2307" s="102"/>
      <c r="I2307" s="101"/>
      <c r="J2307" s="101"/>
      <c r="K2307" s="103"/>
      <c r="L2307" s="103"/>
      <c r="M2307" s="103"/>
      <c r="N2307" s="103"/>
      <c r="O2307" s="103"/>
      <c r="P2307" s="98"/>
      <c r="Q2307" s="99"/>
      <c r="R2307" s="104">
        <f t="shared" si="112"/>
        <v>0</v>
      </c>
      <c r="S2307" s="104">
        <f t="shared" si="113"/>
        <v>0</v>
      </c>
      <c r="T2307" s="104">
        <f t="shared" si="114"/>
        <v>0</v>
      </c>
    </row>
    <row r="2308" spans="1:20">
      <c r="A2308" s="101"/>
      <c r="B2308" s="101"/>
      <c r="C2308" s="101"/>
      <c r="D2308" s="101"/>
      <c r="E2308" s="101"/>
      <c r="F2308" s="102"/>
      <c r="G2308" s="101"/>
      <c r="H2308" s="102"/>
      <c r="I2308" s="101"/>
      <c r="J2308" s="101"/>
      <c r="K2308" s="103"/>
      <c r="L2308" s="103"/>
      <c r="M2308" s="103"/>
      <c r="N2308" s="103"/>
      <c r="O2308" s="103"/>
      <c r="P2308" s="98"/>
      <c r="Q2308" s="99"/>
      <c r="R2308" s="104">
        <f t="shared" si="112"/>
        <v>0</v>
      </c>
      <c r="S2308" s="104">
        <f t="shared" si="113"/>
        <v>0</v>
      </c>
      <c r="T2308" s="104">
        <f t="shared" si="114"/>
        <v>0</v>
      </c>
    </row>
    <row r="2309" spans="1:20">
      <c r="A2309" s="101"/>
      <c r="B2309" s="101"/>
      <c r="C2309" s="101"/>
      <c r="D2309" s="101"/>
      <c r="E2309" s="101"/>
      <c r="F2309" s="102"/>
      <c r="G2309" s="101"/>
      <c r="H2309" s="102"/>
      <c r="I2309" s="101"/>
      <c r="J2309" s="101"/>
      <c r="K2309" s="103"/>
      <c r="L2309" s="103"/>
      <c r="M2309" s="103"/>
      <c r="N2309" s="103"/>
      <c r="O2309" s="103"/>
      <c r="P2309" s="98"/>
      <c r="Q2309" s="99"/>
      <c r="R2309" s="104">
        <f t="shared" si="112"/>
        <v>0</v>
      </c>
      <c r="S2309" s="104">
        <f t="shared" si="113"/>
        <v>0</v>
      </c>
      <c r="T2309" s="104">
        <f t="shared" si="114"/>
        <v>0</v>
      </c>
    </row>
    <row r="2310" spans="1:20">
      <c r="A2310" s="101"/>
      <c r="B2310" s="101"/>
      <c r="C2310" s="101"/>
      <c r="D2310" s="101"/>
      <c r="E2310" s="101"/>
      <c r="F2310" s="102"/>
      <c r="G2310" s="101"/>
      <c r="H2310" s="102"/>
      <c r="I2310" s="101"/>
      <c r="J2310" s="101"/>
      <c r="K2310" s="103"/>
      <c r="L2310" s="103"/>
      <c r="M2310" s="103"/>
      <c r="N2310" s="103"/>
      <c r="O2310" s="103"/>
      <c r="P2310" s="98"/>
      <c r="Q2310" s="99"/>
      <c r="R2310" s="104">
        <f t="shared" si="112"/>
        <v>0</v>
      </c>
      <c r="S2310" s="104">
        <f t="shared" si="113"/>
        <v>0</v>
      </c>
      <c r="T2310" s="104">
        <f t="shared" si="114"/>
        <v>0</v>
      </c>
    </row>
    <row r="2311" spans="1:20">
      <c r="A2311" s="101"/>
      <c r="B2311" s="101"/>
      <c r="C2311" s="101"/>
      <c r="D2311" s="101"/>
      <c r="E2311" s="101"/>
      <c r="F2311" s="102"/>
      <c r="G2311" s="101"/>
      <c r="H2311" s="102"/>
      <c r="I2311" s="101"/>
      <c r="J2311" s="101"/>
      <c r="K2311" s="103"/>
      <c r="L2311" s="103"/>
      <c r="M2311" s="103"/>
      <c r="N2311" s="103"/>
      <c r="O2311" s="103"/>
      <c r="P2311" s="98"/>
      <c r="Q2311" s="99"/>
      <c r="R2311" s="104">
        <f t="shared" si="112"/>
        <v>0</v>
      </c>
      <c r="S2311" s="104">
        <f t="shared" si="113"/>
        <v>0</v>
      </c>
      <c r="T2311" s="104">
        <f t="shared" si="114"/>
        <v>0</v>
      </c>
    </row>
    <row r="2312" spans="1:20">
      <c r="A2312" s="101"/>
      <c r="B2312" s="101"/>
      <c r="C2312" s="101"/>
      <c r="D2312" s="101"/>
      <c r="E2312" s="101"/>
      <c r="F2312" s="102"/>
      <c r="G2312" s="101"/>
      <c r="H2312" s="102"/>
      <c r="I2312" s="101"/>
      <c r="J2312" s="101"/>
      <c r="K2312" s="103"/>
      <c r="L2312" s="103"/>
      <c r="M2312" s="103"/>
      <c r="N2312" s="103"/>
      <c r="O2312" s="103"/>
      <c r="P2312" s="98"/>
      <c r="Q2312" s="99"/>
      <c r="R2312" s="104">
        <f t="shared" si="112"/>
        <v>0</v>
      </c>
      <c r="S2312" s="104">
        <f t="shared" si="113"/>
        <v>0</v>
      </c>
      <c r="T2312" s="104">
        <f t="shared" si="114"/>
        <v>0</v>
      </c>
    </row>
    <row r="2313" spans="1:20">
      <c r="A2313" s="101"/>
      <c r="B2313" s="101"/>
      <c r="C2313" s="101"/>
      <c r="D2313" s="101"/>
      <c r="E2313" s="101"/>
      <c r="F2313" s="102"/>
      <c r="G2313" s="101"/>
      <c r="H2313" s="102"/>
      <c r="I2313" s="101"/>
      <c r="J2313" s="101"/>
      <c r="K2313" s="103"/>
      <c r="L2313" s="103"/>
      <c r="M2313" s="103"/>
      <c r="N2313" s="103"/>
      <c r="O2313" s="103"/>
      <c r="P2313" s="98"/>
      <c r="Q2313" s="99"/>
      <c r="R2313" s="104">
        <f t="shared" si="112"/>
        <v>0</v>
      </c>
      <c r="S2313" s="104">
        <f t="shared" si="113"/>
        <v>0</v>
      </c>
      <c r="T2313" s="104">
        <f t="shared" si="114"/>
        <v>0</v>
      </c>
    </row>
    <row r="2314" spans="1:20">
      <c r="A2314" s="101"/>
      <c r="B2314" s="101"/>
      <c r="C2314" s="101"/>
      <c r="D2314" s="101"/>
      <c r="E2314" s="101"/>
      <c r="F2314" s="102"/>
      <c r="G2314" s="101"/>
      <c r="H2314" s="102"/>
      <c r="I2314" s="101"/>
      <c r="J2314" s="101"/>
      <c r="K2314" s="103"/>
      <c r="L2314" s="103"/>
      <c r="M2314" s="103"/>
      <c r="N2314" s="103"/>
      <c r="O2314" s="103"/>
      <c r="P2314" s="98"/>
      <c r="Q2314" s="99"/>
      <c r="R2314" s="104">
        <f t="shared" ref="R2314:R2377" si="115">IF(P2314="Cargo",K2314+L2314-M2314-N2314+O2314,0)</f>
        <v>0</v>
      </c>
      <c r="S2314" s="104">
        <f t="shared" ref="S2314:S2377" si="116">IF(P2314="Abono",K2314+L2314+M2314-N2314-O2314,0)</f>
        <v>0</v>
      </c>
      <c r="T2314" s="104">
        <f t="shared" ref="T2314:T2377" si="117">IF(Q2314="OK",+T2313+R2314-S2314,T2313)</f>
        <v>0</v>
      </c>
    </row>
    <row r="2315" spans="1:20">
      <c r="A2315" s="101"/>
      <c r="B2315" s="101"/>
      <c r="C2315" s="101"/>
      <c r="D2315" s="101"/>
      <c r="E2315" s="101"/>
      <c r="F2315" s="102"/>
      <c r="G2315" s="101"/>
      <c r="H2315" s="102"/>
      <c r="I2315" s="101"/>
      <c r="J2315" s="101"/>
      <c r="K2315" s="103"/>
      <c r="L2315" s="103"/>
      <c r="M2315" s="103"/>
      <c r="N2315" s="103"/>
      <c r="O2315" s="103"/>
      <c r="P2315" s="98"/>
      <c r="Q2315" s="99"/>
      <c r="R2315" s="104">
        <f t="shared" si="115"/>
        <v>0</v>
      </c>
      <c r="S2315" s="104">
        <f t="shared" si="116"/>
        <v>0</v>
      </c>
      <c r="T2315" s="104">
        <f t="shared" si="117"/>
        <v>0</v>
      </c>
    </row>
    <row r="2316" spans="1:20">
      <c r="A2316" s="101"/>
      <c r="B2316" s="101"/>
      <c r="C2316" s="101"/>
      <c r="D2316" s="101"/>
      <c r="E2316" s="101"/>
      <c r="F2316" s="102"/>
      <c r="G2316" s="101"/>
      <c r="H2316" s="102"/>
      <c r="I2316" s="101"/>
      <c r="J2316" s="101"/>
      <c r="K2316" s="103"/>
      <c r="L2316" s="103"/>
      <c r="M2316" s="103"/>
      <c r="N2316" s="103"/>
      <c r="O2316" s="103"/>
      <c r="P2316" s="98"/>
      <c r="Q2316" s="99"/>
      <c r="R2316" s="104">
        <f t="shared" si="115"/>
        <v>0</v>
      </c>
      <c r="S2316" s="104">
        <f t="shared" si="116"/>
        <v>0</v>
      </c>
      <c r="T2316" s="104">
        <f t="shared" si="117"/>
        <v>0</v>
      </c>
    </row>
    <row r="2317" spans="1:20">
      <c r="A2317" s="101"/>
      <c r="B2317" s="101"/>
      <c r="C2317" s="101"/>
      <c r="D2317" s="101"/>
      <c r="E2317" s="101"/>
      <c r="F2317" s="102"/>
      <c r="G2317" s="101"/>
      <c r="H2317" s="102"/>
      <c r="I2317" s="101"/>
      <c r="J2317" s="101"/>
      <c r="K2317" s="103"/>
      <c r="L2317" s="103"/>
      <c r="M2317" s="103"/>
      <c r="N2317" s="103"/>
      <c r="O2317" s="103"/>
      <c r="P2317" s="98"/>
      <c r="Q2317" s="99"/>
      <c r="R2317" s="104">
        <f t="shared" si="115"/>
        <v>0</v>
      </c>
      <c r="S2317" s="104">
        <f t="shared" si="116"/>
        <v>0</v>
      </c>
      <c r="T2317" s="104">
        <f t="shared" si="117"/>
        <v>0</v>
      </c>
    </row>
    <row r="2318" spans="1:20">
      <c r="A2318" s="101"/>
      <c r="B2318" s="101"/>
      <c r="C2318" s="101"/>
      <c r="D2318" s="101"/>
      <c r="E2318" s="101"/>
      <c r="F2318" s="102"/>
      <c r="G2318" s="101"/>
      <c r="H2318" s="102"/>
      <c r="I2318" s="101"/>
      <c r="J2318" s="101"/>
      <c r="K2318" s="103"/>
      <c r="L2318" s="103"/>
      <c r="M2318" s="103"/>
      <c r="N2318" s="103"/>
      <c r="O2318" s="103"/>
      <c r="P2318" s="98"/>
      <c r="Q2318" s="99"/>
      <c r="R2318" s="104">
        <f t="shared" si="115"/>
        <v>0</v>
      </c>
      <c r="S2318" s="104">
        <f t="shared" si="116"/>
        <v>0</v>
      </c>
      <c r="T2318" s="104">
        <f t="shared" si="117"/>
        <v>0</v>
      </c>
    </row>
    <row r="2319" spans="1:20">
      <c r="A2319" s="101"/>
      <c r="B2319" s="101"/>
      <c r="C2319" s="101"/>
      <c r="D2319" s="101"/>
      <c r="E2319" s="101"/>
      <c r="F2319" s="102"/>
      <c r="G2319" s="101"/>
      <c r="H2319" s="102"/>
      <c r="I2319" s="101"/>
      <c r="J2319" s="101"/>
      <c r="K2319" s="103"/>
      <c r="L2319" s="103"/>
      <c r="M2319" s="103"/>
      <c r="N2319" s="103"/>
      <c r="O2319" s="103"/>
      <c r="P2319" s="98"/>
      <c r="Q2319" s="99"/>
      <c r="R2319" s="104">
        <f t="shared" si="115"/>
        <v>0</v>
      </c>
      <c r="S2319" s="104">
        <f t="shared" si="116"/>
        <v>0</v>
      </c>
      <c r="T2319" s="104">
        <f t="shared" si="117"/>
        <v>0</v>
      </c>
    </row>
    <row r="2320" spans="1:20">
      <c r="A2320" s="101"/>
      <c r="B2320" s="101"/>
      <c r="C2320" s="101"/>
      <c r="D2320" s="101"/>
      <c r="E2320" s="101"/>
      <c r="F2320" s="102"/>
      <c r="G2320" s="101"/>
      <c r="H2320" s="102"/>
      <c r="I2320" s="101"/>
      <c r="J2320" s="101"/>
      <c r="K2320" s="103"/>
      <c r="L2320" s="103"/>
      <c r="M2320" s="103"/>
      <c r="N2320" s="103"/>
      <c r="O2320" s="103"/>
      <c r="P2320" s="98"/>
      <c r="Q2320" s="99"/>
      <c r="R2320" s="104">
        <f t="shared" si="115"/>
        <v>0</v>
      </c>
      <c r="S2320" s="104">
        <f t="shared" si="116"/>
        <v>0</v>
      </c>
      <c r="T2320" s="104">
        <f t="shared" si="117"/>
        <v>0</v>
      </c>
    </row>
    <row r="2321" spans="1:20">
      <c r="A2321" s="101"/>
      <c r="B2321" s="101"/>
      <c r="C2321" s="101"/>
      <c r="D2321" s="101"/>
      <c r="E2321" s="101"/>
      <c r="F2321" s="102"/>
      <c r="G2321" s="101"/>
      <c r="H2321" s="102"/>
      <c r="I2321" s="101"/>
      <c r="J2321" s="101"/>
      <c r="K2321" s="103"/>
      <c r="L2321" s="103"/>
      <c r="M2321" s="103"/>
      <c r="N2321" s="103"/>
      <c r="O2321" s="103"/>
      <c r="P2321" s="98"/>
      <c r="Q2321" s="99"/>
      <c r="R2321" s="104">
        <f t="shared" si="115"/>
        <v>0</v>
      </c>
      <c r="S2321" s="104">
        <f t="shared" si="116"/>
        <v>0</v>
      </c>
      <c r="T2321" s="104">
        <f t="shared" si="117"/>
        <v>0</v>
      </c>
    </row>
    <row r="2322" spans="1:20">
      <c r="A2322" s="101"/>
      <c r="B2322" s="101"/>
      <c r="C2322" s="101"/>
      <c r="D2322" s="101"/>
      <c r="E2322" s="101"/>
      <c r="F2322" s="102"/>
      <c r="G2322" s="101"/>
      <c r="H2322" s="102"/>
      <c r="I2322" s="101"/>
      <c r="J2322" s="101"/>
      <c r="K2322" s="103"/>
      <c r="L2322" s="103"/>
      <c r="M2322" s="103"/>
      <c r="N2322" s="103"/>
      <c r="O2322" s="103"/>
      <c r="P2322" s="98"/>
      <c r="Q2322" s="99"/>
      <c r="R2322" s="104">
        <f t="shared" si="115"/>
        <v>0</v>
      </c>
      <c r="S2322" s="104">
        <f t="shared" si="116"/>
        <v>0</v>
      </c>
      <c r="T2322" s="104">
        <f t="shared" si="117"/>
        <v>0</v>
      </c>
    </row>
    <row r="2323" spans="1:20">
      <c r="A2323" s="101"/>
      <c r="B2323" s="101"/>
      <c r="C2323" s="101"/>
      <c r="D2323" s="101"/>
      <c r="E2323" s="101"/>
      <c r="F2323" s="102"/>
      <c r="G2323" s="101"/>
      <c r="H2323" s="102"/>
      <c r="I2323" s="101"/>
      <c r="J2323" s="101"/>
      <c r="K2323" s="103"/>
      <c r="L2323" s="103"/>
      <c r="M2323" s="103"/>
      <c r="N2323" s="103"/>
      <c r="O2323" s="103"/>
      <c r="P2323" s="98"/>
      <c r="Q2323" s="99"/>
      <c r="R2323" s="104">
        <f t="shared" si="115"/>
        <v>0</v>
      </c>
      <c r="S2323" s="104">
        <f t="shared" si="116"/>
        <v>0</v>
      </c>
      <c r="T2323" s="104">
        <f t="shared" si="117"/>
        <v>0</v>
      </c>
    </row>
    <row r="2324" spans="1:20">
      <c r="A2324" s="101"/>
      <c r="B2324" s="101"/>
      <c r="C2324" s="101"/>
      <c r="D2324" s="101"/>
      <c r="E2324" s="101"/>
      <c r="F2324" s="102"/>
      <c r="G2324" s="101"/>
      <c r="H2324" s="102"/>
      <c r="I2324" s="101"/>
      <c r="J2324" s="101"/>
      <c r="K2324" s="103"/>
      <c r="L2324" s="103"/>
      <c r="M2324" s="103"/>
      <c r="N2324" s="103"/>
      <c r="O2324" s="103"/>
      <c r="P2324" s="98"/>
      <c r="Q2324" s="99"/>
      <c r="R2324" s="104">
        <f t="shared" si="115"/>
        <v>0</v>
      </c>
      <c r="S2324" s="104">
        <f t="shared" si="116"/>
        <v>0</v>
      </c>
      <c r="T2324" s="104">
        <f t="shared" si="117"/>
        <v>0</v>
      </c>
    </row>
    <row r="2325" spans="1:20">
      <c r="A2325" s="101"/>
      <c r="B2325" s="101"/>
      <c r="C2325" s="101"/>
      <c r="D2325" s="101"/>
      <c r="E2325" s="101"/>
      <c r="F2325" s="102"/>
      <c r="G2325" s="101"/>
      <c r="H2325" s="102"/>
      <c r="I2325" s="101"/>
      <c r="J2325" s="101"/>
      <c r="K2325" s="103"/>
      <c r="L2325" s="103"/>
      <c r="M2325" s="103"/>
      <c r="N2325" s="103"/>
      <c r="O2325" s="103"/>
      <c r="P2325" s="98"/>
      <c r="Q2325" s="99"/>
      <c r="R2325" s="104">
        <f t="shared" si="115"/>
        <v>0</v>
      </c>
      <c r="S2325" s="104">
        <f t="shared" si="116"/>
        <v>0</v>
      </c>
      <c r="T2325" s="104">
        <f t="shared" si="117"/>
        <v>0</v>
      </c>
    </row>
    <row r="2326" spans="1:20">
      <c r="A2326" s="101"/>
      <c r="B2326" s="101"/>
      <c r="C2326" s="101"/>
      <c r="D2326" s="101"/>
      <c r="E2326" s="101"/>
      <c r="F2326" s="102"/>
      <c r="G2326" s="101"/>
      <c r="H2326" s="102"/>
      <c r="I2326" s="101"/>
      <c r="J2326" s="101"/>
      <c r="K2326" s="103"/>
      <c r="L2326" s="103"/>
      <c r="M2326" s="103"/>
      <c r="N2326" s="103"/>
      <c r="O2326" s="103"/>
      <c r="P2326" s="98"/>
      <c r="Q2326" s="99"/>
      <c r="R2326" s="104">
        <f t="shared" si="115"/>
        <v>0</v>
      </c>
      <c r="S2326" s="104">
        <f t="shared" si="116"/>
        <v>0</v>
      </c>
      <c r="T2326" s="104">
        <f t="shared" si="117"/>
        <v>0</v>
      </c>
    </row>
    <row r="2327" spans="1:20">
      <c r="A2327" s="101"/>
      <c r="B2327" s="101"/>
      <c r="C2327" s="101"/>
      <c r="D2327" s="101"/>
      <c r="E2327" s="101"/>
      <c r="F2327" s="102"/>
      <c r="G2327" s="101"/>
      <c r="H2327" s="102"/>
      <c r="I2327" s="101"/>
      <c r="J2327" s="101"/>
      <c r="K2327" s="103"/>
      <c r="L2327" s="103"/>
      <c r="M2327" s="103"/>
      <c r="N2327" s="103"/>
      <c r="O2327" s="103"/>
      <c r="P2327" s="98"/>
      <c r="Q2327" s="99"/>
      <c r="R2327" s="104">
        <f t="shared" si="115"/>
        <v>0</v>
      </c>
      <c r="S2327" s="104">
        <f t="shared" si="116"/>
        <v>0</v>
      </c>
      <c r="T2327" s="104">
        <f t="shared" si="117"/>
        <v>0</v>
      </c>
    </row>
    <row r="2328" spans="1:20">
      <c r="A2328" s="101"/>
      <c r="B2328" s="101"/>
      <c r="C2328" s="101"/>
      <c r="D2328" s="101"/>
      <c r="E2328" s="101"/>
      <c r="F2328" s="102"/>
      <c r="G2328" s="101"/>
      <c r="H2328" s="102"/>
      <c r="I2328" s="101"/>
      <c r="J2328" s="101"/>
      <c r="K2328" s="103"/>
      <c r="L2328" s="103"/>
      <c r="M2328" s="103"/>
      <c r="N2328" s="103"/>
      <c r="O2328" s="103"/>
      <c r="P2328" s="98"/>
      <c r="Q2328" s="99"/>
      <c r="R2328" s="104">
        <f t="shared" si="115"/>
        <v>0</v>
      </c>
      <c r="S2328" s="104">
        <f t="shared" si="116"/>
        <v>0</v>
      </c>
      <c r="T2328" s="104">
        <f t="shared" si="117"/>
        <v>0</v>
      </c>
    </row>
    <row r="2329" spans="1:20">
      <c r="A2329" s="101"/>
      <c r="B2329" s="101"/>
      <c r="C2329" s="101"/>
      <c r="D2329" s="101"/>
      <c r="E2329" s="101"/>
      <c r="F2329" s="102"/>
      <c r="G2329" s="101"/>
      <c r="H2329" s="102"/>
      <c r="I2329" s="101"/>
      <c r="J2329" s="101"/>
      <c r="K2329" s="103"/>
      <c r="L2329" s="103"/>
      <c r="M2329" s="103"/>
      <c r="N2329" s="103"/>
      <c r="O2329" s="103"/>
      <c r="P2329" s="98"/>
      <c r="Q2329" s="99"/>
      <c r="R2329" s="104">
        <f t="shared" si="115"/>
        <v>0</v>
      </c>
      <c r="S2329" s="104">
        <f t="shared" si="116"/>
        <v>0</v>
      </c>
      <c r="T2329" s="104">
        <f t="shared" si="117"/>
        <v>0</v>
      </c>
    </row>
    <row r="2330" spans="1:20">
      <c r="A2330" s="101"/>
      <c r="B2330" s="101"/>
      <c r="C2330" s="101"/>
      <c r="D2330" s="101"/>
      <c r="E2330" s="101"/>
      <c r="F2330" s="102"/>
      <c r="G2330" s="101"/>
      <c r="H2330" s="102"/>
      <c r="I2330" s="101"/>
      <c r="J2330" s="101"/>
      <c r="K2330" s="103"/>
      <c r="L2330" s="103"/>
      <c r="M2330" s="103"/>
      <c r="N2330" s="103"/>
      <c r="O2330" s="103"/>
      <c r="P2330" s="98"/>
      <c r="Q2330" s="99"/>
      <c r="R2330" s="104">
        <f t="shared" si="115"/>
        <v>0</v>
      </c>
      <c r="S2330" s="104">
        <f t="shared" si="116"/>
        <v>0</v>
      </c>
      <c r="T2330" s="104">
        <f t="shared" si="117"/>
        <v>0</v>
      </c>
    </row>
    <row r="2331" spans="1:20">
      <c r="A2331" s="101"/>
      <c r="B2331" s="101"/>
      <c r="C2331" s="101"/>
      <c r="D2331" s="101"/>
      <c r="E2331" s="101"/>
      <c r="F2331" s="102"/>
      <c r="G2331" s="101"/>
      <c r="H2331" s="102"/>
      <c r="I2331" s="101"/>
      <c r="J2331" s="101"/>
      <c r="K2331" s="103"/>
      <c r="L2331" s="103"/>
      <c r="M2331" s="103"/>
      <c r="N2331" s="103"/>
      <c r="O2331" s="103"/>
      <c r="P2331" s="98"/>
      <c r="Q2331" s="99"/>
      <c r="R2331" s="104">
        <f t="shared" si="115"/>
        <v>0</v>
      </c>
      <c r="S2331" s="104">
        <f t="shared" si="116"/>
        <v>0</v>
      </c>
      <c r="T2331" s="104">
        <f t="shared" si="117"/>
        <v>0</v>
      </c>
    </row>
    <row r="2332" spans="1:20">
      <c r="A2332" s="101"/>
      <c r="B2332" s="101"/>
      <c r="C2332" s="101"/>
      <c r="D2332" s="101"/>
      <c r="E2332" s="101"/>
      <c r="F2332" s="102"/>
      <c r="G2332" s="101"/>
      <c r="H2332" s="102"/>
      <c r="I2332" s="101"/>
      <c r="J2332" s="101"/>
      <c r="K2332" s="103"/>
      <c r="L2332" s="103"/>
      <c r="M2332" s="103"/>
      <c r="N2332" s="103"/>
      <c r="O2332" s="103"/>
      <c r="P2332" s="98"/>
      <c r="Q2332" s="99"/>
      <c r="R2332" s="104">
        <f t="shared" si="115"/>
        <v>0</v>
      </c>
      <c r="S2332" s="104">
        <f t="shared" si="116"/>
        <v>0</v>
      </c>
      <c r="T2332" s="104">
        <f t="shared" si="117"/>
        <v>0</v>
      </c>
    </row>
    <row r="2333" spans="1:20">
      <c r="A2333" s="101"/>
      <c r="B2333" s="101"/>
      <c r="C2333" s="101"/>
      <c r="D2333" s="101"/>
      <c r="E2333" s="101"/>
      <c r="F2333" s="102"/>
      <c r="G2333" s="101"/>
      <c r="H2333" s="102"/>
      <c r="I2333" s="101"/>
      <c r="J2333" s="101"/>
      <c r="K2333" s="103"/>
      <c r="L2333" s="103"/>
      <c r="M2333" s="103"/>
      <c r="N2333" s="103"/>
      <c r="O2333" s="103"/>
      <c r="P2333" s="98"/>
      <c r="Q2333" s="99"/>
      <c r="R2333" s="104">
        <f t="shared" si="115"/>
        <v>0</v>
      </c>
      <c r="S2333" s="104">
        <f t="shared" si="116"/>
        <v>0</v>
      </c>
      <c r="T2333" s="104">
        <f t="shared" si="117"/>
        <v>0</v>
      </c>
    </row>
    <row r="2334" spans="1:20">
      <c r="A2334" s="101"/>
      <c r="B2334" s="101"/>
      <c r="C2334" s="101"/>
      <c r="D2334" s="101"/>
      <c r="E2334" s="101"/>
      <c r="F2334" s="102"/>
      <c r="G2334" s="101"/>
      <c r="H2334" s="102"/>
      <c r="I2334" s="101"/>
      <c r="J2334" s="101"/>
      <c r="K2334" s="103"/>
      <c r="L2334" s="103"/>
      <c r="M2334" s="103"/>
      <c r="N2334" s="103"/>
      <c r="O2334" s="103"/>
      <c r="P2334" s="98"/>
      <c r="Q2334" s="99"/>
      <c r="R2334" s="104">
        <f t="shared" si="115"/>
        <v>0</v>
      </c>
      <c r="S2334" s="104">
        <f t="shared" si="116"/>
        <v>0</v>
      </c>
      <c r="T2334" s="104">
        <f t="shared" si="117"/>
        <v>0</v>
      </c>
    </row>
    <row r="2335" spans="1:20">
      <c r="A2335" s="101"/>
      <c r="B2335" s="101"/>
      <c r="C2335" s="101"/>
      <c r="D2335" s="101"/>
      <c r="E2335" s="101"/>
      <c r="F2335" s="102"/>
      <c r="G2335" s="101"/>
      <c r="H2335" s="102"/>
      <c r="I2335" s="101"/>
      <c r="J2335" s="101"/>
      <c r="K2335" s="103"/>
      <c r="L2335" s="103"/>
      <c r="M2335" s="103"/>
      <c r="N2335" s="103"/>
      <c r="O2335" s="103"/>
      <c r="P2335" s="98"/>
      <c r="Q2335" s="99"/>
      <c r="R2335" s="104">
        <f t="shared" si="115"/>
        <v>0</v>
      </c>
      <c r="S2335" s="104">
        <f t="shared" si="116"/>
        <v>0</v>
      </c>
      <c r="T2335" s="104">
        <f t="shared" si="117"/>
        <v>0</v>
      </c>
    </row>
    <row r="2336" spans="1:20">
      <c r="A2336" s="101"/>
      <c r="B2336" s="101"/>
      <c r="C2336" s="101"/>
      <c r="D2336" s="101"/>
      <c r="E2336" s="101"/>
      <c r="F2336" s="102"/>
      <c r="G2336" s="101"/>
      <c r="H2336" s="102"/>
      <c r="I2336" s="101"/>
      <c r="J2336" s="101"/>
      <c r="K2336" s="103"/>
      <c r="L2336" s="103"/>
      <c r="M2336" s="103"/>
      <c r="N2336" s="103"/>
      <c r="O2336" s="103"/>
      <c r="P2336" s="98"/>
      <c r="Q2336" s="99"/>
      <c r="R2336" s="104">
        <f t="shared" si="115"/>
        <v>0</v>
      </c>
      <c r="S2336" s="104">
        <f t="shared" si="116"/>
        <v>0</v>
      </c>
      <c r="T2336" s="104">
        <f t="shared" si="117"/>
        <v>0</v>
      </c>
    </row>
    <row r="2337" spans="1:20">
      <c r="A2337" s="101"/>
      <c r="B2337" s="101"/>
      <c r="C2337" s="101"/>
      <c r="D2337" s="101"/>
      <c r="E2337" s="101"/>
      <c r="F2337" s="102"/>
      <c r="G2337" s="101"/>
      <c r="H2337" s="102"/>
      <c r="I2337" s="101"/>
      <c r="J2337" s="101"/>
      <c r="K2337" s="103"/>
      <c r="L2337" s="103"/>
      <c r="M2337" s="103"/>
      <c r="N2337" s="103"/>
      <c r="O2337" s="103"/>
      <c r="P2337" s="98"/>
      <c r="Q2337" s="99"/>
      <c r="R2337" s="104">
        <f t="shared" si="115"/>
        <v>0</v>
      </c>
      <c r="S2337" s="104">
        <f t="shared" si="116"/>
        <v>0</v>
      </c>
      <c r="T2337" s="104">
        <f t="shared" si="117"/>
        <v>0</v>
      </c>
    </row>
    <row r="2338" spans="1:20">
      <c r="A2338" s="101"/>
      <c r="B2338" s="101"/>
      <c r="C2338" s="101"/>
      <c r="D2338" s="101"/>
      <c r="E2338" s="101"/>
      <c r="F2338" s="102"/>
      <c r="G2338" s="101"/>
      <c r="H2338" s="102"/>
      <c r="I2338" s="101"/>
      <c r="J2338" s="101"/>
      <c r="K2338" s="103"/>
      <c r="L2338" s="103"/>
      <c r="M2338" s="103"/>
      <c r="N2338" s="103"/>
      <c r="O2338" s="103"/>
      <c r="P2338" s="98"/>
      <c r="Q2338" s="99"/>
      <c r="R2338" s="104">
        <f t="shared" si="115"/>
        <v>0</v>
      </c>
      <c r="S2338" s="104">
        <f t="shared" si="116"/>
        <v>0</v>
      </c>
      <c r="T2338" s="104">
        <f t="shared" si="117"/>
        <v>0</v>
      </c>
    </row>
    <row r="2339" spans="1:20">
      <c r="A2339" s="101"/>
      <c r="B2339" s="101"/>
      <c r="C2339" s="101"/>
      <c r="D2339" s="101"/>
      <c r="E2339" s="101"/>
      <c r="F2339" s="102"/>
      <c r="G2339" s="101"/>
      <c r="H2339" s="102"/>
      <c r="I2339" s="101"/>
      <c r="J2339" s="101"/>
      <c r="K2339" s="103"/>
      <c r="L2339" s="103"/>
      <c r="M2339" s="103"/>
      <c r="N2339" s="103"/>
      <c r="O2339" s="103"/>
      <c r="P2339" s="98"/>
      <c r="Q2339" s="99"/>
      <c r="R2339" s="104">
        <f t="shared" si="115"/>
        <v>0</v>
      </c>
      <c r="S2339" s="104">
        <f t="shared" si="116"/>
        <v>0</v>
      </c>
      <c r="T2339" s="104">
        <f t="shared" si="117"/>
        <v>0</v>
      </c>
    </row>
    <row r="2340" spans="1:20">
      <c r="A2340" s="101"/>
      <c r="B2340" s="101"/>
      <c r="C2340" s="101"/>
      <c r="D2340" s="101"/>
      <c r="E2340" s="101"/>
      <c r="F2340" s="102"/>
      <c r="G2340" s="101"/>
      <c r="H2340" s="102"/>
      <c r="I2340" s="101"/>
      <c r="J2340" s="101"/>
      <c r="K2340" s="103"/>
      <c r="L2340" s="103"/>
      <c r="M2340" s="103"/>
      <c r="N2340" s="103"/>
      <c r="O2340" s="103"/>
      <c r="P2340" s="98"/>
      <c r="Q2340" s="99"/>
      <c r="R2340" s="104">
        <f t="shared" si="115"/>
        <v>0</v>
      </c>
      <c r="S2340" s="104">
        <f t="shared" si="116"/>
        <v>0</v>
      </c>
      <c r="T2340" s="104">
        <f t="shared" si="117"/>
        <v>0</v>
      </c>
    </row>
    <row r="2341" spans="1:20">
      <c r="A2341" s="101"/>
      <c r="B2341" s="101"/>
      <c r="C2341" s="101"/>
      <c r="D2341" s="101"/>
      <c r="E2341" s="101"/>
      <c r="F2341" s="102"/>
      <c r="G2341" s="101"/>
      <c r="H2341" s="102"/>
      <c r="I2341" s="101"/>
      <c r="J2341" s="101"/>
      <c r="K2341" s="103"/>
      <c r="L2341" s="103"/>
      <c r="M2341" s="103"/>
      <c r="N2341" s="103"/>
      <c r="O2341" s="103"/>
      <c r="P2341" s="98"/>
      <c r="Q2341" s="99"/>
      <c r="R2341" s="104">
        <f t="shared" si="115"/>
        <v>0</v>
      </c>
      <c r="S2341" s="104">
        <f t="shared" si="116"/>
        <v>0</v>
      </c>
      <c r="T2341" s="104">
        <f t="shared" si="117"/>
        <v>0</v>
      </c>
    </row>
    <row r="2342" spans="1:20">
      <c r="A2342" s="101"/>
      <c r="B2342" s="101"/>
      <c r="C2342" s="101"/>
      <c r="D2342" s="101"/>
      <c r="E2342" s="101"/>
      <c r="F2342" s="102"/>
      <c r="G2342" s="101"/>
      <c r="H2342" s="102"/>
      <c r="I2342" s="101"/>
      <c r="J2342" s="101"/>
      <c r="K2342" s="103"/>
      <c r="L2342" s="103"/>
      <c r="M2342" s="103"/>
      <c r="N2342" s="103"/>
      <c r="O2342" s="103"/>
      <c r="P2342" s="98"/>
      <c r="Q2342" s="99"/>
      <c r="R2342" s="104">
        <f t="shared" si="115"/>
        <v>0</v>
      </c>
      <c r="S2342" s="104">
        <f t="shared" si="116"/>
        <v>0</v>
      </c>
      <c r="T2342" s="104">
        <f t="shared" si="117"/>
        <v>0</v>
      </c>
    </row>
    <row r="2343" spans="1:20">
      <c r="A2343" s="101"/>
      <c r="B2343" s="101"/>
      <c r="C2343" s="101"/>
      <c r="D2343" s="101"/>
      <c r="E2343" s="101"/>
      <c r="F2343" s="102"/>
      <c r="G2343" s="101"/>
      <c r="H2343" s="102"/>
      <c r="I2343" s="101"/>
      <c r="J2343" s="101"/>
      <c r="K2343" s="103"/>
      <c r="L2343" s="103"/>
      <c r="M2343" s="103"/>
      <c r="N2343" s="103"/>
      <c r="O2343" s="103"/>
      <c r="P2343" s="98"/>
      <c r="Q2343" s="99"/>
      <c r="R2343" s="104">
        <f t="shared" si="115"/>
        <v>0</v>
      </c>
      <c r="S2343" s="104">
        <f t="shared" si="116"/>
        <v>0</v>
      </c>
      <c r="T2343" s="104">
        <f t="shared" si="117"/>
        <v>0</v>
      </c>
    </row>
    <row r="2344" spans="1:20">
      <c r="A2344" s="101"/>
      <c r="B2344" s="101"/>
      <c r="C2344" s="101"/>
      <c r="D2344" s="101"/>
      <c r="E2344" s="101"/>
      <c r="F2344" s="102"/>
      <c r="G2344" s="101"/>
      <c r="H2344" s="102"/>
      <c r="I2344" s="101"/>
      <c r="J2344" s="101"/>
      <c r="K2344" s="103"/>
      <c r="L2344" s="103"/>
      <c r="M2344" s="103"/>
      <c r="N2344" s="103"/>
      <c r="O2344" s="103"/>
      <c r="P2344" s="98"/>
      <c r="Q2344" s="99"/>
      <c r="R2344" s="104">
        <f t="shared" si="115"/>
        <v>0</v>
      </c>
      <c r="S2344" s="104">
        <f t="shared" si="116"/>
        <v>0</v>
      </c>
      <c r="T2344" s="104">
        <f t="shared" si="117"/>
        <v>0</v>
      </c>
    </row>
    <row r="2345" spans="1:20">
      <c r="A2345" s="101"/>
      <c r="B2345" s="101"/>
      <c r="C2345" s="101"/>
      <c r="D2345" s="101"/>
      <c r="E2345" s="101"/>
      <c r="F2345" s="102"/>
      <c r="G2345" s="101"/>
      <c r="H2345" s="102"/>
      <c r="I2345" s="101"/>
      <c r="J2345" s="101"/>
      <c r="K2345" s="103"/>
      <c r="L2345" s="103"/>
      <c r="M2345" s="103"/>
      <c r="N2345" s="103"/>
      <c r="O2345" s="103"/>
      <c r="P2345" s="98"/>
      <c r="Q2345" s="99"/>
      <c r="R2345" s="104">
        <f t="shared" si="115"/>
        <v>0</v>
      </c>
      <c r="S2345" s="104">
        <f t="shared" si="116"/>
        <v>0</v>
      </c>
      <c r="T2345" s="104">
        <f t="shared" si="117"/>
        <v>0</v>
      </c>
    </row>
    <row r="2346" spans="1:20">
      <c r="A2346" s="101"/>
      <c r="B2346" s="101"/>
      <c r="C2346" s="101"/>
      <c r="D2346" s="101"/>
      <c r="E2346" s="101"/>
      <c r="F2346" s="102"/>
      <c r="G2346" s="101"/>
      <c r="H2346" s="102"/>
      <c r="I2346" s="101"/>
      <c r="J2346" s="101"/>
      <c r="K2346" s="103"/>
      <c r="L2346" s="103"/>
      <c r="M2346" s="103"/>
      <c r="N2346" s="103"/>
      <c r="O2346" s="103"/>
      <c r="P2346" s="98"/>
      <c r="Q2346" s="99"/>
      <c r="R2346" s="104">
        <f t="shared" si="115"/>
        <v>0</v>
      </c>
      <c r="S2346" s="104">
        <f t="shared" si="116"/>
        <v>0</v>
      </c>
      <c r="T2346" s="104">
        <f t="shared" si="117"/>
        <v>0</v>
      </c>
    </row>
    <row r="2347" spans="1:20">
      <c r="A2347" s="101"/>
      <c r="B2347" s="101"/>
      <c r="C2347" s="101"/>
      <c r="D2347" s="101"/>
      <c r="E2347" s="101"/>
      <c r="F2347" s="102"/>
      <c r="G2347" s="101"/>
      <c r="H2347" s="102"/>
      <c r="I2347" s="101"/>
      <c r="J2347" s="101"/>
      <c r="K2347" s="103"/>
      <c r="L2347" s="103"/>
      <c r="M2347" s="103"/>
      <c r="N2347" s="103"/>
      <c r="O2347" s="103"/>
      <c r="P2347" s="98"/>
      <c r="Q2347" s="99"/>
      <c r="R2347" s="104">
        <f t="shared" si="115"/>
        <v>0</v>
      </c>
      <c r="S2347" s="104">
        <f t="shared" si="116"/>
        <v>0</v>
      </c>
      <c r="T2347" s="104">
        <f t="shared" si="117"/>
        <v>0</v>
      </c>
    </row>
    <row r="2348" spans="1:20">
      <c r="A2348" s="101"/>
      <c r="B2348" s="101"/>
      <c r="C2348" s="101"/>
      <c r="D2348" s="101"/>
      <c r="E2348" s="101"/>
      <c r="F2348" s="102"/>
      <c r="G2348" s="101"/>
      <c r="H2348" s="102"/>
      <c r="I2348" s="101"/>
      <c r="J2348" s="101"/>
      <c r="K2348" s="103"/>
      <c r="L2348" s="103"/>
      <c r="M2348" s="103"/>
      <c r="N2348" s="103"/>
      <c r="O2348" s="103"/>
      <c r="P2348" s="98"/>
      <c r="Q2348" s="99"/>
      <c r="R2348" s="104">
        <f t="shared" si="115"/>
        <v>0</v>
      </c>
      <c r="S2348" s="104">
        <f t="shared" si="116"/>
        <v>0</v>
      </c>
      <c r="T2348" s="104">
        <f t="shared" si="117"/>
        <v>0</v>
      </c>
    </row>
    <row r="2349" spans="1:20">
      <c r="A2349" s="101"/>
      <c r="B2349" s="101"/>
      <c r="C2349" s="101"/>
      <c r="D2349" s="101"/>
      <c r="E2349" s="101"/>
      <c r="F2349" s="102"/>
      <c r="G2349" s="101"/>
      <c r="H2349" s="102"/>
      <c r="I2349" s="101"/>
      <c r="J2349" s="101"/>
      <c r="K2349" s="103"/>
      <c r="L2349" s="103"/>
      <c r="M2349" s="103"/>
      <c r="N2349" s="103"/>
      <c r="O2349" s="103"/>
      <c r="P2349" s="98"/>
      <c r="Q2349" s="99"/>
      <c r="R2349" s="104">
        <f t="shared" si="115"/>
        <v>0</v>
      </c>
      <c r="S2349" s="104">
        <f t="shared" si="116"/>
        <v>0</v>
      </c>
      <c r="T2349" s="104">
        <f t="shared" si="117"/>
        <v>0</v>
      </c>
    </row>
    <row r="2350" spans="1:20">
      <c r="A2350" s="101"/>
      <c r="B2350" s="101"/>
      <c r="C2350" s="101"/>
      <c r="D2350" s="101"/>
      <c r="E2350" s="101"/>
      <c r="F2350" s="102"/>
      <c r="G2350" s="101"/>
      <c r="H2350" s="102"/>
      <c r="I2350" s="101"/>
      <c r="J2350" s="101"/>
      <c r="K2350" s="103"/>
      <c r="L2350" s="103"/>
      <c r="M2350" s="103"/>
      <c r="N2350" s="103"/>
      <c r="O2350" s="103"/>
      <c r="P2350" s="98"/>
      <c r="Q2350" s="99"/>
      <c r="R2350" s="104">
        <f t="shared" si="115"/>
        <v>0</v>
      </c>
      <c r="S2350" s="104">
        <f t="shared" si="116"/>
        <v>0</v>
      </c>
      <c r="T2350" s="104">
        <f t="shared" si="117"/>
        <v>0</v>
      </c>
    </row>
    <row r="2351" spans="1:20">
      <c r="A2351" s="101"/>
      <c r="B2351" s="101"/>
      <c r="C2351" s="101"/>
      <c r="D2351" s="101"/>
      <c r="E2351" s="101"/>
      <c r="F2351" s="102"/>
      <c r="G2351" s="101"/>
      <c r="H2351" s="102"/>
      <c r="I2351" s="101"/>
      <c r="J2351" s="101"/>
      <c r="K2351" s="103"/>
      <c r="L2351" s="103"/>
      <c r="M2351" s="103"/>
      <c r="N2351" s="103"/>
      <c r="O2351" s="103"/>
      <c r="P2351" s="98"/>
      <c r="Q2351" s="99"/>
      <c r="R2351" s="104">
        <f t="shared" si="115"/>
        <v>0</v>
      </c>
      <c r="S2351" s="104">
        <f t="shared" si="116"/>
        <v>0</v>
      </c>
      <c r="T2351" s="104">
        <f t="shared" si="117"/>
        <v>0</v>
      </c>
    </row>
    <row r="2352" spans="1:20">
      <c r="A2352" s="101"/>
      <c r="B2352" s="101"/>
      <c r="C2352" s="101"/>
      <c r="D2352" s="101"/>
      <c r="E2352" s="101"/>
      <c r="F2352" s="102"/>
      <c r="G2352" s="101"/>
      <c r="H2352" s="102"/>
      <c r="I2352" s="101"/>
      <c r="J2352" s="101"/>
      <c r="K2352" s="103"/>
      <c r="L2352" s="103"/>
      <c r="M2352" s="103"/>
      <c r="N2352" s="103"/>
      <c r="O2352" s="103"/>
      <c r="P2352" s="98"/>
      <c r="Q2352" s="99"/>
      <c r="R2352" s="104">
        <f t="shared" si="115"/>
        <v>0</v>
      </c>
      <c r="S2352" s="104">
        <f t="shared" si="116"/>
        <v>0</v>
      </c>
      <c r="T2352" s="104">
        <f t="shared" si="117"/>
        <v>0</v>
      </c>
    </row>
    <row r="2353" spans="1:20">
      <c r="A2353" s="101"/>
      <c r="B2353" s="101"/>
      <c r="C2353" s="101"/>
      <c r="D2353" s="101"/>
      <c r="E2353" s="101"/>
      <c r="F2353" s="102"/>
      <c r="G2353" s="101"/>
      <c r="H2353" s="102"/>
      <c r="I2353" s="101"/>
      <c r="J2353" s="101"/>
      <c r="K2353" s="103"/>
      <c r="L2353" s="103"/>
      <c r="M2353" s="103"/>
      <c r="N2353" s="103"/>
      <c r="O2353" s="103"/>
      <c r="P2353" s="98"/>
      <c r="Q2353" s="99"/>
      <c r="R2353" s="104">
        <f t="shared" si="115"/>
        <v>0</v>
      </c>
      <c r="S2353" s="104">
        <f t="shared" si="116"/>
        <v>0</v>
      </c>
      <c r="T2353" s="104">
        <f t="shared" si="117"/>
        <v>0</v>
      </c>
    </row>
    <row r="2354" spans="1:20">
      <c r="A2354" s="101"/>
      <c r="B2354" s="101"/>
      <c r="C2354" s="101"/>
      <c r="D2354" s="101"/>
      <c r="E2354" s="101"/>
      <c r="F2354" s="102"/>
      <c r="G2354" s="101"/>
      <c r="H2354" s="102"/>
      <c r="I2354" s="101"/>
      <c r="J2354" s="101"/>
      <c r="K2354" s="103"/>
      <c r="L2354" s="103"/>
      <c r="M2354" s="103"/>
      <c r="N2354" s="103"/>
      <c r="O2354" s="103"/>
      <c r="P2354" s="98"/>
      <c r="Q2354" s="99"/>
      <c r="R2354" s="104">
        <f t="shared" si="115"/>
        <v>0</v>
      </c>
      <c r="S2354" s="104">
        <f t="shared" si="116"/>
        <v>0</v>
      </c>
      <c r="T2354" s="104">
        <f t="shared" si="117"/>
        <v>0</v>
      </c>
    </row>
    <row r="2355" spans="1:20">
      <c r="A2355" s="101"/>
      <c r="B2355" s="101"/>
      <c r="C2355" s="101"/>
      <c r="D2355" s="101"/>
      <c r="E2355" s="101"/>
      <c r="F2355" s="102"/>
      <c r="G2355" s="101"/>
      <c r="H2355" s="102"/>
      <c r="I2355" s="101"/>
      <c r="J2355" s="101"/>
      <c r="K2355" s="103"/>
      <c r="L2355" s="103"/>
      <c r="M2355" s="103"/>
      <c r="N2355" s="103"/>
      <c r="O2355" s="103"/>
      <c r="P2355" s="98"/>
      <c r="Q2355" s="99"/>
      <c r="R2355" s="104">
        <f t="shared" si="115"/>
        <v>0</v>
      </c>
      <c r="S2355" s="104">
        <f t="shared" si="116"/>
        <v>0</v>
      </c>
      <c r="T2355" s="104">
        <f t="shared" si="117"/>
        <v>0</v>
      </c>
    </row>
    <row r="2356" spans="1:20">
      <c r="A2356" s="101"/>
      <c r="B2356" s="101"/>
      <c r="C2356" s="101"/>
      <c r="D2356" s="101"/>
      <c r="E2356" s="101"/>
      <c r="F2356" s="102"/>
      <c r="G2356" s="101"/>
      <c r="H2356" s="102"/>
      <c r="I2356" s="101"/>
      <c r="J2356" s="101"/>
      <c r="K2356" s="103"/>
      <c r="L2356" s="103"/>
      <c r="M2356" s="103"/>
      <c r="N2356" s="103"/>
      <c r="O2356" s="103"/>
      <c r="P2356" s="98"/>
      <c r="Q2356" s="99"/>
      <c r="R2356" s="104">
        <f t="shared" si="115"/>
        <v>0</v>
      </c>
      <c r="S2356" s="104">
        <f t="shared" si="116"/>
        <v>0</v>
      </c>
      <c r="T2356" s="104">
        <f t="shared" si="117"/>
        <v>0</v>
      </c>
    </row>
    <row r="2357" spans="1:20">
      <c r="A2357" s="101"/>
      <c r="B2357" s="101"/>
      <c r="C2357" s="101"/>
      <c r="D2357" s="101"/>
      <c r="E2357" s="101"/>
      <c r="F2357" s="102"/>
      <c r="G2357" s="101"/>
      <c r="H2357" s="102"/>
      <c r="I2357" s="101"/>
      <c r="J2357" s="101"/>
      <c r="K2357" s="103"/>
      <c r="L2357" s="103"/>
      <c r="M2357" s="103"/>
      <c r="N2357" s="103"/>
      <c r="O2357" s="103"/>
      <c r="P2357" s="98"/>
      <c r="Q2357" s="99"/>
      <c r="R2357" s="104">
        <f t="shared" si="115"/>
        <v>0</v>
      </c>
      <c r="S2357" s="104">
        <f t="shared" si="116"/>
        <v>0</v>
      </c>
      <c r="T2357" s="104">
        <f t="shared" si="117"/>
        <v>0</v>
      </c>
    </row>
    <row r="2358" spans="1:20">
      <c r="A2358" s="101"/>
      <c r="B2358" s="101"/>
      <c r="C2358" s="101"/>
      <c r="D2358" s="101"/>
      <c r="E2358" s="101"/>
      <c r="F2358" s="102"/>
      <c r="G2358" s="101"/>
      <c r="H2358" s="102"/>
      <c r="I2358" s="101"/>
      <c r="J2358" s="101"/>
      <c r="K2358" s="103"/>
      <c r="L2358" s="103"/>
      <c r="M2358" s="103"/>
      <c r="N2358" s="103"/>
      <c r="O2358" s="103"/>
      <c r="P2358" s="98"/>
      <c r="Q2358" s="99"/>
      <c r="R2358" s="104">
        <f t="shared" si="115"/>
        <v>0</v>
      </c>
      <c r="S2358" s="104">
        <f t="shared" si="116"/>
        <v>0</v>
      </c>
      <c r="T2358" s="104">
        <f t="shared" si="117"/>
        <v>0</v>
      </c>
    </row>
    <row r="2359" spans="1:20">
      <c r="A2359" s="101"/>
      <c r="B2359" s="101"/>
      <c r="C2359" s="101"/>
      <c r="D2359" s="101"/>
      <c r="E2359" s="101"/>
      <c r="F2359" s="102"/>
      <c r="G2359" s="101"/>
      <c r="H2359" s="102"/>
      <c r="I2359" s="101"/>
      <c r="J2359" s="101"/>
      <c r="K2359" s="103"/>
      <c r="L2359" s="103"/>
      <c r="M2359" s="103"/>
      <c r="N2359" s="103"/>
      <c r="O2359" s="103"/>
      <c r="P2359" s="98"/>
      <c r="Q2359" s="99"/>
      <c r="R2359" s="104">
        <f t="shared" si="115"/>
        <v>0</v>
      </c>
      <c r="S2359" s="104">
        <f t="shared" si="116"/>
        <v>0</v>
      </c>
      <c r="T2359" s="104">
        <f t="shared" si="117"/>
        <v>0</v>
      </c>
    </row>
    <row r="2360" spans="1:20">
      <c r="A2360" s="101"/>
      <c r="B2360" s="101"/>
      <c r="C2360" s="101"/>
      <c r="D2360" s="101"/>
      <c r="E2360" s="101"/>
      <c r="F2360" s="102"/>
      <c r="G2360" s="101"/>
      <c r="H2360" s="102"/>
      <c r="I2360" s="101"/>
      <c r="J2360" s="101"/>
      <c r="K2360" s="103"/>
      <c r="L2360" s="103"/>
      <c r="M2360" s="103"/>
      <c r="N2360" s="103"/>
      <c r="O2360" s="103"/>
      <c r="P2360" s="98"/>
      <c r="Q2360" s="99"/>
      <c r="R2360" s="104">
        <f t="shared" si="115"/>
        <v>0</v>
      </c>
      <c r="S2360" s="104">
        <f t="shared" si="116"/>
        <v>0</v>
      </c>
      <c r="T2360" s="104">
        <f t="shared" si="117"/>
        <v>0</v>
      </c>
    </row>
    <row r="2361" spans="1:20">
      <c r="A2361" s="101"/>
      <c r="B2361" s="101"/>
      <c r="C2361" s="101"/>
      <c r="D2361" s="101"/>
      <c r="E2361" s="101"/>
      <c r="F2361" s="102"/>
      <c r="G2361" s="101"/>
      <c r="H2361" s="102"/>
      <c r="I2361" s="101"/>
      <c r="J2361" s="101"/>
      <c r="K2361" s="103"/>
      <c r="L2361" s="103"/>
      <c r="M2361" s="103"/>
      <c r="N2361" s="103"/>
      <c r="O2361" s="103"/>
      <c r="P2361" s="98"/>
      <c r="Q2361" s="99"/>
      <c r="R2361" s="104">
        <f t="shared" si="115"/>
        <v>0</v>
      </c>
      <c r="S2361" s="104">
        <f t="shared" si="116"/>
        <v>0</v>
      </c>
      <c r="T2361" s="104">
        <f t="shared" si="117"/>
        <v>0</v>
      </c>
    </row>
    <row r="2362" spans="1:20">
      <c r="A2362" s="101"/>
      <c r="B2362" s="101"/>
      <c r="C2362" s="101"/>
      <c r="D2362" s="101"/>
      <c r="E2362" s="101"/>
      <c r="F2362" s="102"/>
      <c r="G2362" s="101"/>
      <c r="H2362" s="102"/>
      <c r="I2362" s="101"/>
      <c r="J2362" s="101"/>
      <c r="K2362" s="103"/>
      <c r="L2362" s="103"/>
      <c r="M2362" s="103"/>
      <c r="N2362" s="103"/>
      <c r="O2362" s="103"/>
      <c r="P2362" s="98"/>
      <c r="Q2362" s="99"/>
      <c r="R2362" s="104">
        <f t="shared" si="115"/>
        <v>0</v>
      </c>
      <c r="S2362" s="104">
        <f t="shared" si="116"/>
        <v>0</v>
      </c>
      <c r="T2362" s="104">
        <f t="shared" si="117"/>
        <v>0</v>
      </c>
    </row>
    <row r="2363" spans="1:20">
      <c r="A2363" s="101"/>
      <c r="B2363" s="101"/>
      <c r="C2363" s="101"/>
      <c r="D2363" s="101"/>
      <c r="E2363" s="101"/>
      <c r="F2363" s="102"/>
      <c r="G2363" s="101"/>
      <c r="H2363" s="102"/>
      <c r="I2363" s="101"/>
      <c r="J2363" s="101"/>
      <c r="K2363" s="103"/>
      <c r="L2363" s="103"/>
      <c r="M2363" s="103"/>
      <c r="N2363" s="103"/>
      <c r="O2363" s="103"/>
      <c r="P2363" s="98"/>
      <c r="Q2363" s="99"/>
      <c r="R2363" s="104">
        <f t="shared" si="115"/>
        <v>0</v>
      </c>
      <c r="S2363" s="104">
        <f t="shared" si="116"/>
        <v>0</v>
      </c>
      <c r="T2363" s="104">
        <f t="shared" si="117"/>
        <v>0</v>
      </c>
    </row>
    <row r="2364" spans="1:20">
      <c r="A2364" s="101"/>
      <c r="B2364" s="101"/>
      <c r="C2364" s="101"/>
      <c r="D2364" s="101"/>
      <c r="E2364" s="101"/>
      <c r="F2364" s="102"/>
      <c r="G2364" s="101"/>
      <c r="H2364" s="102"/>
      <c r="I2364" s="101"/>
      <c r="J2364" s="101"/>
      <c r="K2364" s="103"/>
      <c r="L2364" s="103"/>
      <c r="M2364" s="103"/>
      <c r="N2364" s="103"/>
      <c r="O2364" s="103"/>
      <c r="P2364" s="98"/>
      <c r="Q2364" s="99"/>
      <c r="R2364" s="104">
        <f t="shared" si="115"/>
        <v>0</v>
      </c>
      <c r="S2364" s="104">
        <f t="shared" si="116"/>
        <v>0</v>
      </c>
      <c r="T2364" s="104">
        <f t="shared" si="117"/>
        <v>0</v>
      </c>
    </row>
    <row r="2365" spans="1:20">
      <c r="A2365" s="101"/>
      <c r="B2365" s="101"/>
      <c r="C2365" s="101"/>
      <c r="D2365" s="101"/>
      <c r="E2365" s="101"/>
      <c r="F2365" s="102"/>
      <c r="G2365" s="101"/>
      <c r="H2365" s="102"/>
      <c r="I2365" s="101"/>
      <c r="J2365" s="101"/>
      <c r="K2365" s="103"/>
      <c r="L2365" s="103"/>
      <c r="M2365" s="103"/>
      <c r="N2365" s="103"/>
      <c r="O2365" s="103"/>
      <c r="P2365" s="98"/>
      <c r="Q2365" s="99"/>
      <c r="R2365" s="104">
        <f t="shared" si="115"/>
        <v>0</v>
      </c>
      <c r="S2365" s="104">
        <f t="shared" si="116"/>
        <v>0</v>
      </c>
      <c r="T2365" s="104">
        <f t="shared" si="117"/>
        <v>0</v>
      </c>
    </row>
    <row r="2366" spans="1:20">
      <c r="A2366" s="101"/>
      <c r="B2366" s="101"/>
      <c r="C2366" s="101"/>
      <c r="D2366" s="101"/>
      <c r="E2366" s="101"/>
      <c r="F2366" s="102"/>
      <c r="G2366" s="101"/>
      <c r="H2366" s="102"/>
      <c r="I2366" s="101"/>
      <c r="J2366" s="101"/>
      <c r="K2366" s="103"/>
      <c r="L2366" s="103"/>
      <c r="M2366" s="103"/>
      <c r="N2366" s="103"/>
      <c r="O2366" s="103"/>
      <c r="P2366" s="98"/>
      <c r="Q2366" s="99"/>
      <c r="R2366" s="104">
        <f t="shared" si="115"/>
        <v>0</v>
      </c>
      <c r="S2366" s="104">
        <f t="shared" si="116"/>
        <v>0</v>
      </c>
      <c r="T2366" s="104">
        <f t="shared" si="117"/>
        <v>0</v>
      </c>
    </row>
    <row r="2367" spans="1:20">
      <c r="A2367" s="101"/>
      <c r="B2367" s="101"/>
      <c r="C2367" s="101"/>
      <c r="D2367" s="101"/>
      <c r="E2367" s="101"/>
      <c r="F2367" s="102"/>
      <c r="G2367" s="101"/>
      <c r="H2367" s="102"/>
      <c r="I2367" s="101"/>
      <c r="J2367" s="101"/>
      <c r="K2367" s="103"/>
      <c r="L2367" s="103"/>
      <c r="M2367" s="103"/>
      <c r="N2367" s="103"/>
      <c r="O2367" s="103"/>
      <c r="P2367" s="98"/>
      <c r="Q2367" s="99"/>
      <c r="R2367" s="104">
        <f t="shared" si="115"/>
        <v>0</v>
      </c>
      <c r="S2367" s="104">
        <f t="shared" si="116"/>
        <v>0</v>
      </c>
      <c r="T2367" s="104">
        <f t="shared" si="117"/>
        <v>0</v>
      </c>
    </row>
    <row r="2368" spans="1:20">
      <c r="A2368" s="101"/>
      <c r="B2368" s="101"/>
      <c r="C2368" s="101"/>
      <c r="D2368" s="101"/>
      <c r="E2368" s="101"/>
      <c r="F2368" s="102"/>
      <c r="G2368" s="101"/>
      <c r="H2368" s="102"/>
      <c r="I2368" s="101"/>
      <c r="J2368" s="101"/>
      <c r="K2368" s="103"/>
      <c r="L2368" s="103"/>
      <c r="M2368" s="103"/>
      <c r="N2368" s="103"/>
      <c r="O2368" s="103"/>
      <c r="P2368" s="98"/>
      <c r="Q2368" s="99"/>
      <c r="R2368" s="104">
        <f t="shared" si="115"/>
        <v>0</v>
      </c>
      <c r="S2368" s="104">
        <f t="shared" si="116"/>
        <v>0</v>
      </c>
      <c r="T2368" s="104">
        <f t="shared" si="117"/>
        <v>0</v>
      </c>
    </row>
    <row r="2369" spans="1:20">
      <c r="A2369" s="101"/>
      <c r="B2369" s="101"/>
      <c r="C2369" s="101"/>
      <c r="D2369" s="101"/>
      <c r="E2369" s="101"/>
      <c r="F2369" s="102"/>
      <c r="G2369" s="101"/>
      <c r="H2369" s="102"/>
      <c r="I2369" s="101"/>
      <c r="J2369" s="101"/>
      <c r="K2369" s="103"/>
      <c r="L2369" s="103"/>
      <c r="M2369" s="103"/>
      <c r="N2369" s="103"/>
      <c r="O2369" s="103"/>
      <c r="P2369" s="98"/>
      <c r="Q2369" s="99"/>
      <c r="R2369" s="104">
        <f t="shared" si="115"/>
        <v>0</v>
      </c>
      <c r="S2369" s="104">
        <f t="shared" si="116"/>
        <v>0</v>
      </c>
      <c r="T2369" s="104">
        <f t="shared" si="117"/>
        <v>0</v>
      </c>
    </row>
    <row r="2370" spans="1:20">
      <c r="A2370" s="101"/>
      <c r="B2370" s="101"/>
      <c r="C2370" s="101"/>
      <c r="D2370" s="101"/>
      <c r="E2370" s="101"/>
      <c r="F2370" s="102"/>
      <c r="G2370" s="101"/>
      <c r="H2370" s="102"/>
      <c r="I2370" s="101"/>
      <c r="J2370" s="101"/>
      <c r="K2370" s="103"/>
      <c r="L2370" s="103"/>
      <c r="M2370" s="103"/>
      <c r="N2370" s="103"/>
      <c r="O2370" s="103"/>
      <c r="P2370" s="98"/>
      <c r="Q2370" s="99"/>
      <c r="R2370" s="104">
        <f t="shared" si="115"/>
        <v>0</v>
      </c>
      <c r="S2370" s="104">
        <f t="shared" si="116"/>
        <v>0</v>
      </c>
      <c r="T2370" s="104">
        <f t="shared" si="117"/>
        <v>0</v>
      </c>
    </row>
    <row r="2371" spans="1:20">
      <c r="A2371" s="101"/>
      <c r="B2371" s="101"/>
      <c r="C2371" s="101"/>
      <c r="D2371" s="101"/>
      <c r="E2371" s="101"/>
      <c r="F2371" s="102"/>
      <c r="G2371" s="101"/>
      <c r="H2371" s="102"/>
      <c r="I2371" s="101"/>
      <c r="J2371" s="101"/>
      <c r="K2371" s="103"/>
      <c r="L2371" s="103"/>
      <c r="M2371" s="103"/>
      <c r="N2371" s="103"/>
      <c r="O2371" s="103"/>
      <c r="P2371" s="98"/>
      <c r="Q2371" s="99"/>
      <c r="R2371" s="104">
        <f t="shared" si="115"/>
        <v>0</v>
      </c>
      <c r="S2371" s="104">
        <f t="shared" si="116"/>
        <v>0</v>
      </c>
      <c r="T2371" s="104">
        <f t="shared" si="117"/>
        <v>0</v>
      </c>
    </row>
    <row r="2372" spans="1:20">
      <c r="A2372" s="101"/>
      <c r="B2372" s="101"/>
      <c r="C2372" s="101"/>
      <c r="D2372" s="101"/>
      <c r="E2372" s="101"/>
      <c r="F2372" s="102"/>
      <c r="G2372" s="101"/>
      <c r="H2372" s="102"/>
      <c r="I2372" s="101"/>
      <c r="J2372" s="101"/>
      <c r="K2372" s="103"/>
      <c r="L2372" s="103"/>
      <c r="M2372" s="103"/>
      <c r="N2372" s="103"/>
      <c r="O2372" s="103"/>
      <c r="P2372" s="98"/>
      <c r="Q2372" s="99"/>
      <c r="R2372" s="104">
        <f t="shared" si="115"/>
        <v>0</v>
      </c>
      <c r="S2372" s="104">
        <f t="shared" si="116"/>
        <v>0</v>
      </c>
      <c r="T2372" s="104">
        <f t="shared" si="117"/>
        <v>0</v>
      </c>
    </row>
    <row r="2373" spans="1:20">
      <c r="A2373" s="101"/>
      <c r="B2373" s="101"/>
      <c r="C2373" s="101"/>
      <c r="D2373" s="101"/>
      <c r="E2373" s="101"/>
      <c r="F2373" s="102"/>
      <c r="G2373" s="101"/>
      <c r="H2373" s="102"/>
      <c r="I2373" s="101"/>
      <c r="J2373" s="101"/>
      <c r="K2373" s="103"/>
      <c r="L2373" s="103"/>
      <c r="M2373" s="103"/>
      <c r="N2373" s="103"/>
      <c r="O2373" s="103"/>
      <c r="P2373" s="98"/>
      <c r="Q2373" s="99"/>
      <c r="R2373" s="104">
        <f t="shared" si="115"/>
        <v>0</v>
      </c>
      <c r="S2373" s="104">
        <f t="shared" si="116"/>
        <v>0</v>
      </c>
      <c r="T2373" s="104">
        <f t="shared" si="117"/>
        <v>0</v>
      </c>
    </row>
    <row r="2374" spans="1:20">
      <c r="A2374" s="101"/>
      <c r="B2374" s="101"/>
      <c r="C2374" s="101"/>
      <c r="D2374" s="101"/>
      <c r="E2374" s="101"/>
      <c r="F2374" s="102"/>
      <c r="G2374" s="101"/>
      <c r="H2374" s="102"/>
      <c r="I2374" s="101"/>
      <c r="J2374" s="101"/>
      <c r="K2374" s="103"/>
      <c r="L2374" s="103"/>
      <c r="M2374" s="103"/>
      <c r="N2374" s="103"/>
      <c r="O2374" s="103"/>
      <c r="P2374" s="98"/>
      <c r="Q2374" s="99"/>
      <c r="R2374" s="104">
        <f t="shared" si="115"/>
        <v>0</v>
      </c>
      <c r="S2374" s="104">
        <f t="shared" si="116"/>
        <v>0</v>
      </c>
      <c r="T2374" s="104">
        <f t="shared" si="117"/>
        <v>0</v>
      </c>
    </row>
    <row r="2375" spans="1:20">
      <c r="A2375" s="101"/>
      <c r="B2375" s="101"/>
      <c r="C2375" s="101"/>
      <c r="D2375" s="101"/>
      <c r="E2375" s="101"/>
      <c r="F2375" s="102"/>
      <c r="G2375" s="101"/>
      <c r="H2375" s="102"/>
      <c r="I2375" s="101"/>
      <c r="J2375" s="101"/>
      <c r="K2375" s="103"/>
      <c r="L2375" s="103"/>
      <c r="M2375" s="103"/>
      <c r="N2375" s="103"/>
      <c r="O2375" s="103"/>
      <c r="P2375" s="98"/>
      <c r="Q2375" s="99"/>
      <c r="R2375" s="104">
        <f t="shared" si="115"/>
        <v>0</v>
      </c>
      <c r="S2375" s="104">
        <f t="shared" si="116"/>
        <v>0</v>
      </c>
      <c r="T2375" s="104">
        <f t="shared" si="117"/>
        <v>0</v>
      </c>
    </row>
    <row r="2376" spans="1:20">
      <c r="A2376" s="101"/>
      <c r="B2376" s="101"/>
      <c r="C2376" s="101"/>
      <c r="D2376" s="101"/>
      <c r="E2376" s="101"/>
      <c r="F2376" s="102"/>
      <c r="G2376" s="101"/>
      <c r="H2376" s="102"/>
      <c r="I2376" s="101"/>
      <c r="J2376" s="101"/>
      <c r="K2376" s="103"/>
      <c r="L2376" s="103"/>
      <c r="M2376" s="103"/>
      <c r="N2376" s="103"/>
      <c r="O2376" s="103"/>
      <c r="P2376" s="98"/>
      <c r="Q2376" s="99"/>
      <c r="R2376" s="104">
        <f t="shared" si="115"/>
        <v>0</v>
      </c>
      <c r="S2376" s="104">
        <f t="shared" si="116"/>
        <v>0</v>
      </c>
      <c r="T2376" s="104">
        <f t="shared" si="117"/>
        <v>0</v>
      </c>
    </row>
    <row r="2377" spans="1:20">
      <c r="A2377" s="101"/>
      <c r="B2377" s="101"/>
      <c r="C2377" s="101"/>
      <c r="D2377" s="101"/>
      <c r="E2377" s="101"/>
      <c r="F2377" s="102"/>
      <c r="G2377" s="101"/>
      <c r="H2377" s="102"/>
      <c r="I2377" s="101"/>
      <c r="J2377" s="101"/>
      <c r="K2377" s="103"/>
      <c r="L2377" s="103"/>
      <c r="M2377" s="103"/>
      <c r="N2377" s="103"/>
      <c r="O2377" s="103"/>
      <c r="P2377" s="98"/>
      <c r="Q2377" s="99"/>
      <c r="R2377" s="104">
        <f t="shared" si="115"/>
        <v>0</v>
      </c>
      <c r="S2377" s="104">
        <f t="shared" si="116"/>
        <v>0</v>
      </c>
      <c r="T2377" s="104">
        <f t="shared" si="117"/>
        <v>0</v>
      </c>
    </row>
    <row r="2378" spans="1:20">
      <c r="A2378" s="101"/>
      <c r="B2378" s="101"/>
      <c r="C2378" s="101"/>
      <c r="D2378" s="101"/>
      <c r="E2378" s="101"/>
      <c r="F2378" s="102"/>
      <c r="G2378" s="101"/>
      <c r="H2378" s="102"/>
      <c r="I2378" s="101"/>
      <c r="J2378" s="101"/>
      <c r="K2378" s="103"/>
      <c r="L2378" s="103"/>
      <c r="M2378" s="103"/>
      <c r="N2378" s="103"/>
      <c r="O2378" s="103"/>
      <c r="P2378" s="98"/>
      <c r="Q2378" s="99"/>
      <c r="R2378" s="104">
        <f t="shared" ref="R2378:R2441" si="118">IF(P2378="Cargo",K2378+L2378-M2378-N2378+O2378,0)</f>
        <v>0</v>
      </c>
      <c r="S2378" s="104">
        <f t="shared" ref="S2378:S2441" si="119">IF(P2378="Abono",K2378+L2378+M2378-N2378-O2378,0)</f>
        <v>0</v>
      </c>
      <c r="T2378" s="104">
        <f t="shared" ref="T2378:T2441" si="120">IF(Q2378="OK",+T2377+R2378-S2378,T2377)</f>
        <v>0</v>
      </c>
    </row>
    <row r="2379" spans="1:20">
      <c r="A2379" s="101"/>
      <c r="B2379" s="101"/>
      <c r="C2379" s="101"/>
      <c r="D2379" s="101"/>
      <c r="E2379" s="101"/>
      <c r="F2379" s="102"/>
      <c r="G2379" s="101"/>
      <c r="H2379" s="102"/>
      <c r="I2379" s="101"/>
      <c r="J2379" s="101"/>
      <c r="K2379" s="103"/>
      <c r="L2379" s="103"/>
      <c r="M2379" s="103"/>
      <c r="N2379" s="103"/>
      <c r="O2379" s="103"/>
      <c r="P2379" s="98"/>
      <c r="Q2379" s="99"/>
      <c r="R2379" s="104">
        <f t="shared" si="118"/>
        <v>0</v>
      </c>
      <c r="S2379" s="104">
        <f t="shared" si="119"/>
        <v>0</v>
      </c>
      <c r="T2379" s="104">
        <f t="shared" si="120"/>
        <v>0</v>
      </c>
    </row>
    <row r="2380" spans="1:20">
      <c r="A2380" s="101"/>
      <c r="B2380" s="101"/>
      <c r="C2380" s="101"/>
      <c r="D2380" s="101"/>
      <c r="E2380" s="101"/>
      <c r="F2380" s="102"/>
      <c r="G2380" s="101"/>
      <c r="H2380" s="102"/>
      <c r="I2380" s="101"/>
      <c r="J2380" s="101"/>
      <c r="K2380" s="103"/>
      <c r="L2380" s="103"/>
      <c r="M2380" s="103"/>
      <c r="N2380" s="103"/>
      <c r="O2380" s="103"/>
      <c r="P2380" s="98"/>
      <c r="Q2380" s="99"/>
      <c r="R2380" s="104">
        <f t="shared" si="118"/>
        <v>0</v>
      </c>
      <c r="S2380" s="104">
        <f t="shared" si="119"/>
        <v>0</v>
      </c>
      <c r="T2380" s="104">
        <f t="shared" si="120"/>
        <v>0</v>
      </c>
    </row>
    <row r="2381" spans="1:20">
      <c r="A2381" s="101"/>
      <c r="B2381" s="101"/>
      <c r="C2381" s="101"/>
      <c r="D2381" s="101"/>
      <c r="E2381" s="101"/>
      <c r="F2381" s="102"/>
      <c r="G2381" s="101"/>
      <c r="H2381" s="102"/>
      <c r="I2381" s="101"/>
      <c r="J2381" s="101"/>
      <c r="K2381" s="103"/>
      <c r="L2381" s="103"/>
      <c r="M2381" s="103"/>
      <c r="N2381" s="103"/>
      <c r="O2381" s="103"/>
      <c r="P2381" s="98"/>
      <c r="Q2381" s="99"/>
      <c r="R2381" s="104">
        <f t="shared" si="118"/>
        <v>0</v>
      </c>
      <c r="S2381" s="104">
        <f t="shared" si="119"/>
        <v>0</v>
      </c>
      <c r="T2381" s="104">
        <f t="shared" si="120"/>
        <v>0</v>
      </c>
    </row>
    <row r="2382" spans="1:20">
      <c r="A2382" s="101"/>
      <c r="B2382" s="101"/>
      <c r="C2382" s="101"/>
      <c r="D2382" s="101"/>
      <c r="E2382" s="101"/>
      <c r="F2382" s="102"/>
      <c r="G2382" s="101"/>
      <c r="H2382" s="102"/>
      <c r="I2382" s="101"/>
      <c r="J2382" s="101"/>
      <c r="K2382" s="103"/>
      <c r="L2382" s="103"/>
      <c r="M2382" s="103"/>
      <c r="N2382" s="103"/>
      <c r="O2382" s="103"/>
      <c r="P2382" s="98"/>
      <c r="Q2382" s="99"/>
      <c r="R2382" s="104">
        <f t="shared" si="118"/>
        <v>0</v>
      </c>
      <c r="S2382" s="104">
        <f t="shared" si="119"/>
        <v>0</v>
      </c>
      <c r="T2382" s="104">
        <f t="shared" si="120"/>
        <v>0</v>
      </c>
    </row>
    <row r="2383" spans="1:20">
      <c r="A2383" s="101"/>
      <c r="B2383" s="101"/>
      <c r="C2383" s="101"/>
      <c r="D2383" s="101"/>
      <c r="E2383" s="101"/>
      <c r="F2383" s="102"/>
      <c r="G2383" s="101"/>
      <c r="H2383" s="102"/>
      <c r="I2383" s="101"/>
      <c r="J2383" s="101"/>
      <c r="K2383" s="103"/>
      <c r="L2383" s="103"/>
      <c r="M2383" s="103"/>
      <c r="N2383" s="103"/>
      <c r="O2383" s="103"/>
      <c r="P2383" s="98"/>
      <c r="Q2383" s="99"/>
      <c r="R2383" s="104">
        <f t="shared" si="118"/>
        <v>0</v>
      </c>
      <c r="S2383" s="104">
        <f t="shared" si="119"/>
        <v>0</v>
      </c>
      <c r="T2383" s="104">
        <f t="shared" si="120"/>
        <v>0</v>
      </c>
    </row>
    <row r="2384" spans="1:20">
      <c r="A2384" s="101"/>
      <c r="B2384" s="101"/>
      <c r="C2384" s="101"/>
      <c r="D2384" s="101"/>
      <c r="E2384" s="101"/>
      <c r="F2384" s="102"/>
      <c r="G2384" s="101"/>
      <c r="H2384" s="102"/>
      <c r="I2384" s="101"/>
      <c r="J2384" s="101"/>
      <c r="K2384" s="103"/>
      <c r="L2384" s="103"/>
      <c r="M2384" s="103"/>
      <c r="N2384" s="103"/>
      <c r="O2384" s="103"/>
      <c r="P2384" s="98"/>
      <c r="Q2384" s="99"/>
      <c r="R2384" s="104">
        <f t="shared" si="118"/>
        <v>0</v>
      </c>
      <c r="S2384" s="104">
        <f t="shared" si="119"/>
        <v>0</v>
      </c>
      <c r="T2384" s="104">
        <f t="shared" si="120"/>
        <v>0</v>
      </c>
    </row>
    <row r="2385" spans="1:20">
      <c r="A2385" s="101"/>
      <c r="B2385" s="101"/>
      <c r="C2385" s="101"/>
      <c r="D2385" s="101"/>
      <c r="E2385" s="101"/>
      <c r="F2385" s="102"/>
      <c r="G2385" s="101"/>
      <c r="H2385" s="102"/>
      <c r="I2385" s="101"/>
      <c r="J2385" s="101"/>
      <c r="K2385" s="103"/>
      <c r="L2385" s="103"/>
      <c r="M2385" s="103"/>
      <c r="N2385" s="103"/>
      <c r="O2385" s="103"/>
      <c r="P2385" s="98"/>
      <c r="Q2385" s="99"/>
      <c r="R2385" s="104">
        <f t="shared" si="118"/>
        <v>0</v>
      </c>
      <c r="S2385" s="104">
        <f t="shared" si="119"/>
        <v>0</v>
      </c>
      <c r="T2385" s="104">
        <f t="shared" si="120"/>
        <v>0</v>
      </c>
    </row>
    <row r="2386" spans="1:20">
      <c r="A2386" s="101"/>
      <c r="B2386" s="101"/>
      <c r="C2386" s="101"/>
      <c r="D2386" s="101"/>
      <c r="E2386" s="101"/>
      <c r="F2386" s="102"/>
      <c r="G2386" s="101"/>
      <c r="H2386" s="102"/>
      <c r="I2386" s="101"/>
      <c r="J2386" s="101"/>
      <c r="K2386" s="103"/>
      <c r="L2386" s="103"/>
      <c r="M2386" s="103"/>
      <c r="N2386" s="103"/>
      <c r="O2386" s="103"/>
      <c r="P2386" s="98"/>
      <c r="Q2386" s="99"/>
      <c r="R2386" s="104">
        <f t="shared" si="118"/>
        <v>0</v>
      </c>
      <c r="S2386" s="104">
        <f t="shared" si="119"/>
        <v>0</v>
      </c>
      <c r="T2386" s="104">
        <f t="shared" si="120"/>
        <v>0</v>
      </c>
    </row>
    <row r="2387" spans="1:20">
      <c r="A2387" s="101"/>
      <c r="B2387" s="101"/>
      <c r="C2387" s="101"/>
      <c r="D2387" s="101"/>
      <c r="E2387" s="101"/>
      <c r="F2387" s="102"/>
      <c r="G2387" s="101"/>
      <c r="H2387" s="102"/>
      <c r="I2387" s="101"/>
      <c r="J2387" s="101"/>
      <c r="K2387" s="103"/>
      <c r="L2387" s="103"/>
      <c r="M2387" s="103"/>
      <c r="N2387" s="103"/>
      <c r="O2387" s="103"/>
      <c r="P2387" s="98"/>
      <c r="Q2387" s="99"/>
      <c r="R2387" s="104">
        <f t="shared" si="118"/>
        <v>0</v>
      </c>
      <c r="S2387" s="104">
        <f t="shared" si="119"/>
        <v>0</v>
      </c>
      <c r="T2387" s="104">
        <f t="shared" si="120"/>
        <v>0</v>
      </c>
    </row>
    <row r="2388" spans="1:20">
      <c r="A2388" s="101"/>
      <c r="B2388" s="101"/>
      <c r="C2388" s="101"/>
      <c r="D2388" s="101"/>
      <c r="E2388" s="101"/>
      <c r="F2388" s="102"/>
      <c r="G2388" s="101"/>
      <c r="H2388" s="102"/>
      <c r="I2388" s="101"/>
      <c r="J2388" s="101"/>
      <c r="K2388" s="103"/>
      <c r="L2388" s="103"/>
      <c r="M2388" s="103"/>
      <c r="N2388" s="103"/>
      <c r="O2388" s="103"/>
      <c r="P2388" s="98"/>
      <c r="Q2388" s="99"/>
      <c r="R2388" s="104">
        <f t="shared" si="118"/>
        <v>0</v>
      </c>
      <c r="S2388" s="104">
        <f t="shared" si="119"/>
        <v>0</v>
      </c>
      <c r="T2388" s="104">
        <f t="shared" si="120"/>
        <v>0</v>
      </c>
    </row>
    <row r="2389" spans="1:20">
      <c r="A2389" s="101"/>
      <c r="B2389" s="101"/>
      <c r="C2389" s="101"/>
      <c r="D2389" s="101"/>
      <c r="E2389" s="101"/>
      <c r="F2389" s="102"/>
      <c r="G2389" s="101"/>
      <c r="H2389" s="102"/>
      <c r="I2389" s="101"/>
      <c r="J2389" s="101"/>
      <c r="K2389" s="103"/>
      <c r="L2389" s="103"/>
      <c r="M2389" s="103"/>
      <c r="N2389" s="103"/>
      <c r="O2389" s="103"/>
      <c r="P2389" s="98"/>
      <c r="Q2389" s="99"/>
      <c r="R2389" s="104">
        <f t="shared" si="118"/>
        <v>0</v>
      </c>
      <c r="S2389" s="104">
        <f t="shared" si="119"/>
        <v>0</v>
      </c>
      <c r="T2389" s="104">
        <f t="shared" si="120"/>
        <v>0</v>
      </c>
    </row>
    <row r="2390" spans="1:20">
      <c r="A2390" s="101"/>
      <c r="B2390" s="101"/>
      <c r="C2390" s="101"/>
      <c r="D2390" s="101"/>
      <c r="E2390" s="101"/>
      <c r="F2390" s="102"/>
      <c r="G2390" s="101"/>
      <c r="H2390" s="102"/>
      <c r="I2390" s="101"/>
      <c r="J2390" s="101"/>
      <c r="K2390" s="103"/>
      <c r="L2390" s="103"/>
      <c r="M2390" s="103"/>
      <c r="N2390" s="103"/>
      <c r="O2390" s="103"/>
      <c r="P2390" s="98"/>
      <c r="Q2390" s="99"/>
      <c r="R2390" s="104">
        <f t="shared" si="118"/>
        <v>0</v>
      </c>
      <c r="S2390" s="104">
        <f t="shared" si="119"/>
        <v>0</v>
      </c>
      <c r="T2390" s="104">
        <f t="shared" si="120"/>
        <v>0</v>
      </c>
    </row>
    <row r="2391" spans="1:20">
      <c r="A2391" s="101"/>
      <c r="B2391" s="101"/>
      <c r="C2391" s="101"/>
      <c r="D2391" s="101"/>
      <c r="E2391" s="101"/>
      <c r="F2391" s="102"/>
      <c r="G2391" s="101"/>
      <c r="H2391" s="102"/>
      <c r="I2391" s="101"/>
      <c r="J2391" s="101"/>
      <c r="K2391" s="103"/>
      <c r="L2391" s="103"/>
      <c r="M2391" s="103"/>
      <c r="N2391" s="103"/>
      <c r="O2391" s="103"/>
      <c r="P2391" s="98"/>
      <c r="Q2391" s="99"/>
      <c r="R2391" s="104">
        <f t="shared" si="118"/>
        <v>0</v>
      </c>
      <c r="S2391" s="104">
        <f t="shared" si="119"/>
        <v>0</v>
      </c>
      <c r="T2391" s="104">
        <f t="shared" si="120"/>
        <v>0</v>
      </c>
    </row>
    <row r="2392" spans="1:20">
      <c r="A2392" s="101"/>
      <c r="B2392" s="101"/>
      <c r="C2392" s="101"/>
      <c r="D2392" s="101"/>
      <c r="E2392" s="101"/>
      <c r="F2392" s="102"/>
      <c r="G2392" s="101"/>
      <c r="H2392" s="102"/>
      <c r="I2392" s="101"/>
      <c r="J2392" s="101"/>
      <c r="K2392" s="103"/>
      <c r="L2392" s="103"/>
      <c r="M2392" s="103"/>
      <c r="N2392" s="103"/>
      <c r="O2392" s="103"/>
      <c r="P2392" s="98"/>
      <c r="Q2392" s="99"/>
      <c r="R2392" s="104">
        <f t="shared" si="118"/>
        <v>0</v>
      </c>
      <c r="S2392" s="104">
        <f t="shared" si="119"/>
        <v>0</v>
      </c>
      <c r="T2392" s="104">
        <f t="shared" si="120"/>
        <v>0</v>
      </c>
    </row>
    <row r="2393" spans="1:20">
      <c r="A2393" s="101"/>
      <c r="B2393" s="101"/>
      <c r="C2393" s="101"/>
      <c r="D2393" s="101"/>
      <c r="E2393" s="101"/>
      <c r="F2393" s="102"/>
      <c r="G2393" s="101"/>
      <c r="H2393" s="102"/>
      <c r="I2393" s="101"/>
      <c r="J2393" s="101"/>
      <c r="K2393" s="103"/>
      <c r="L2393" s="103"/>
      <c r="M2393" s="103"/>
      <c r="N2393" s="103"/>
      <c r="O2393" s="103"/>
      <c r="P2393" s="98"/>
      <c r="Q2393" s="99"/>
      <c r="R2393" s="104">
        <f t="shared" si="118"/>
        <v>0</v>
      </c>
      <c r="S2393" s="104">
        <f t="shared" si="119"/>
        <v>0</v>
      </c>
      <c r="T2393" s="104">
        <f t="shared" si="120"/>
        <v>0</v>
      </c>
    </row>
    <row r="2394" spans="1:20">
      <c r="A2394" s="101"/>
      <c r="B2394" s="101"/>
      <c r="C2394" s="101"/>
      <c r="D2394" s="101"/>
      <c r="E2394" s="101"/>
      <c r="F2394" s="102"/>
      <c r="G2394" s="101"/>
      <c r="H2394" s="102"/>
      <c r="I2394" s="101"/>
      <c r="J2394" s="101"/>
      <c r="K2394" s="103"/>
      <c r="L2394" s="103"/>
      <c r="M2394" s="103"/>
      <c r="N2394" s="103"/>
      <c r="O2394" s="103"/>
      <c r="P2394" s="98"/>
      <c r="Q2394" s="99"/>
      <c r="R2394" s="104">
        <f t="shared" si="118"/>
        <v>0</v>
      </c>
      <c r="S2394" s="104">
        <f t="shared" si="119"/>
        <v>0</v>
      </c>
      <c r="T2394" s="104">
        <f t="shared" si="120"/>
        <v>0</v>
      </c>
    </row>
    <row r="2395" spans="1:20">
      <c r="A2395" s="101"/>
      <c r="B2395" s="101"/>
      <c r="C2395" s="101"/>
      <c r="D2395" s="101"/>
      <c r="E2395" s="101"/>
      <c r="F2395" s="102"/>
      <c r="G2395" s="101"/>
      <c r="H2395" s="102"/>
      <c r="I2395" s="101"/>
      <c r="J2395" s="101"/>
      <c r="K2395" s="103"/>
      <c r="L2395" s="103"/>
      <c r="M2395" s="103"/>
      <c r="N2395" s="103"/>
      <c r="O2395" s="103"/>
      <c r="P2395" s="98"/>
      <c r="Q2395" s="99"/>
      <c r="R2395" s="104">
        <f t="shared" si="118"/>
        <v>0</v>
      </c>
      <c r="S2395" s="104">
        <f t="shared" si="119"/>
        <v>0</v>
      </c>
      <c r="T2395" s="104">
        <f t="shared" si="120"/>
        <v>0</v>
      </c>
    </row>
    <row r="2396" spans="1:20">
      <c r="A2396" s="101"/>
      <c r="B2396" s="101"/>
      <c r="C2396" s="101"/>
      <c r="D2396" s="101"/>
      <c r="E2396" s="101"/>
      <c r="F2396" s="102"/>
      <c r="G2396" s="101"/>
      <c r="H2396" s="102"/>
      <c r="I2396" s="101"/>
      <c r="J2396" s="101"/>
      <c r="K2396" s="103"/>
      <c r="L2396" s="103"/>
      <c r="M2396" s="103"/>
      <c r="N2396" s="103"/>
      <c r="O2396" s="103"/>
      <c r="P2396" s="98"/>
      <c r="Q2396" s="99"/>
      <c r="R2396" s="104">
        <f t="shared" si="118"/>
        <v>0</v>
      </c>
      <c r="S2396" s="104">
        <f t="shared" si="119"/>
        <v>0</v>
      </c>
      <c r="T2396" s="104">
        <f t="shared" si="120"/>
        <v>0</v>
      </c>
    </row>
    <row r="2397" spans="1:20">
      <c r="A2397" s="101"/>
      <c r="B2397" s="101"/>
      <c r="C2397" s="101"/>
      <c r="D2397" s="101"/>
      <c r="E2397" s="101"/>
      <c r="F2397" s="102"/>
      <c r="G2397" s="101"/>
      <c r="H2397" s="102"/>
      <c r="I2397" s="101"/>
      <c r="J2397" s="101"/>
      <c r="K2397" s="103"/>
      <c r="L2397" s="103"/>
      <c r="M2397" s="103"/>
      <c r="N2397" s="103"/>
      <c r="O2397" s="103"/>
      <c r="P2397" s="98"/>
      <c r="Q2397" s="99"/>
      <c r="R2397" s="104">
        <f t="shared" si="118"/>
        <v>0</v>
      </c>
      <c r="S2397" s="104">
        <f t="shared" si="119"/>
        <v>0</v>
      </c>
      <c r="T2397" s="104">
        <f t="shared" si="120"/>
        <v>0</v>
      </c>
    </row>
    <row r="2398" spans="1:20">
      <c r="A2398" s="101"/>
      <c r="B2398" s="101"/>
      <c r="C2398" s="101"/>
      <c r="D2398" s="101"/>
      <c r="E2398" s="101"/>
      <c r="F2398" s="102"/>
      <c r="G2398" s="101"/>
      <c r="H2398" s="102"/>
      <c r="I2398" s="101"/>
      <c r="J2398" s="101"/>
      <c r="K2398" s="103"/>
      <c r="L2398" s="103"/>
      <c r="M2398" s="103"/>
      <c r="N2398" s="103"/>
      <c r="O2398" s="103"/>
      <c r="P2398" s="98"/>
      <c r="Q2398" s="99"/>
      <c r="R2398" s="104">
        <f t="shared" si="118"/>
        <v>0</v>
      </c>
      <c r="S2398" s="104">
        <f t="shared" si="119"/>
        <v>0</v>
      </c>
      <c r="T2398" s="104">
        <f t="shared" si="120"/>
        <v>0</v>
      </c>
    </row>
    <row r="2399" spans="1:20">
      <c r="A2399" s="101"/>
      <c r="B2399" s="101"/>
      <c r="C2399" s="101"/>
      <c r="D2399" s="101"/>
      <c r="E2399" s="101"/>
      <c r="F2399" s="102"/>
      <c r="G2399" s="101"/>
      <c r="H2399" s="102"/>
      <c r="I2399" s="101"/>
      <c r="J2399" s="101"/>
      <c r="K2399" s="103"/>
      <c r="L2399" s="103"/>
      <c r="M2399" s="103"/>
      <c r="N2399" s="103"/>
      <c r="O2399" s="103"/>
      <c r="P2399" s="98"/>
      <c r="Q2399" s="99"/>
      <c r="R2399" s="104">
        <f t="shared" si="118"/>
        <v>0</v>
      </c>
      <c r="S2399" s="104">
        <f t="shared" si="119"/>
        <v>0</v>
      </c>
      <c r="T2399" s="104">
        <f t="shared" si="120"/>
        <v>0</v>
      </c>
    </row>
    <row r="2400" spans="1:20">
      <c r="A2400" s="101"/>
      <c r="B2400" s="101"/>
      <c r="C2400" s="101"/>
      <c r="D2400" s="101"/>
      <c r="E2400" s="101"/>
      <c r="F2400" s="102"/>
      <c r="G2400" s="101"/>
      <c r="H2400" s="102"/>
      <c r="I2400" s="101"/>
      <c r="J2400" s="101"/>
      <c r="K2400" s="103"/>
      <c r="L2400" s="103"/>
      <c r="M2400" s="103"/>
      <c r="N2400" s="103"/>
      <c r="O2400" s="103"/>
      <c r="P2400" s="98"/>
      <c r="Q2400" s="99"/>
      <c r="R2400" s="104">
        <f t="shared" si="118"/>
        <v>0</v>
      </c>
      <c r="S2400" s="104">
        <f t="shared" si="119"/>
        <v>0</v>
      </c>
      <c r="T2400" s="104">
        <f t="shared" si="120"/>
        <v>0</v>
      </c>
    </row>
    <row r="2401" spans="1:20">
      <c r="A2401" s="101"/>
      <c r="B2401" s="101"/>
      <c r="C2401" s="101"/>
      <c r="D2401" s="101"/>
      <c r="E2401" s="101"/>
      <c r="F2401" s="102"/>
      <c r="G2401" s="101"/>
      <c r="H2401" s="102"/>
      <c r="I2401" s="101"/>
      <c r="J2401" s="101"/>
      <c r="K2401" s="103"/>
      <c r="L2401" s="103"/>
      <c r="M2401" s="103"/>
      <c r="N2401" s="103"/>
      <c r="O2401" s="103"/>
      <c r="P2401" s="98"/>
      <c r="Q2401" s="99"/>
      <c r="R2401" s="104">
        <f t="shared" si="118"/>
        <v>0</v>
      </c>
      <c r="S2401" s="104">
        <f t="shared" si="119"/>
        <v>0</v>
      </c>
      <c r="T2401" s="104">
        <f t="shared" si="120"/>
        <v>0</v>
      </c>
    </row>
    <row r="2402" spans="1:20">
      <c r="A2402" s="101"/>
      <c r="B2402" s="101"/>
      <c r="C2402" s="101"/>
      <c r="D2402" s="101"/>
      <c r="E2402" s="101"/>
      <c r="F2402" s="102"/>
      <c r="G2402" s="101"/>
      <c r="H2402" s="102"/>
      <c r="I2402" s="101"/>
      <c r="J2402" s="101"/>
      <c r="K2402" s="103"/>
      <c r="L2402" s="103"/>
      <c r="M2402" s="103"/>
      <c r="N2402" s="103"/>
      <c r="O2402" s="103"/>
      <c r="P2402" s="98"/>
      <c r="Q2402" s="99"/>
      <c r="R2402" s="104">
        <f t="shared" si="118"/>
        <v>0</v>
      </c>
      <c r="S2402" s="104">
        <f t="shared" si="119"/>
        <v>0</v>
      </c>
      <c r="T2402" s="104">
        <f t="shared" si="120"/>
        <v>0</v>
      </c>
    </row>
    <row r="2403" spans="1:20">
      <c r="A2403" s="101"/>
      <c r="B2403" s="101"/>
      <c r="C2403" s="101"/>
      <c r="D2403" s="101"/>
      <c r="E2403" s="101"/>
      <c r="F2403" s="102"/>
      <c r="G2403" s="101"/>
      <c r="H2403" s="102"/>
      <c r="I2403" s="101"/>
      <c r="J2403" s="101"/>
      <c r="K2403" s="103"/>
      <c r="L2403" s="103"/>
      <c r="M2403" s="103"/>
      <c r="N2403" s="103"/>
      <c r="O2403" s="103"/>
      <c r="P2403" s="98"/>
      <c r="Q2403" s="99"/>
      <c r="R2403" s="104">
        <f t="shared" si="118"/>
        <v>0</v>
      </c>
      <c r="S2403" s="104">
        <f t="shared" si="119"/>
        <v>0</v>
      </c>
      <c r="T2403" s="104">
        <f t="shared" si="120"/>
        <v>0</v>
      </c>
    </row>
    <row r="2404" spans="1:20">
      <c r="A2404" s="101"/>
      <c r="B2404" s="101"/>
      <c r="C2404" s="101"/>
      <c r="D2404" s="101"/>
      <c r="E2404" s="101"/>
      <c r="F2404" s="102"/>
      <c r="G2404" s="101"/>
      <c r="H2404" s="102"/>
      <c r="I2404" s="101"/>
      <c r="J2404" s="101"/>
      <c r="K2404" s="103"/>
      <c r="L2404" s="103"/>
      <c r="M2404" s="103"/>
      <c r="N2404" s="103"/>
      <c r="O2404" s="103"/>
      <c r="P2404" s="98"/>
      <c r="Q2404" s="99"/>
      <c r="R2404" s="104">
        <f t="shared" si="118"/>
        <v>0</v>
      </c>
      <c r="S2404" s="104">
        <f t="shared" si="119"/>
        <v>0</v>
      </c>
      <c r="T2404" s="104">
        <f t="shared" si="120"/>
        <v>0</v>
      </c>
    </row>
    <row r="2405" spans="1:20">
      <c r="A2405" s="101"/>
      <c r="B2405" s="101"/>
      <c r="C2405" s="101"/>
      <c r="D2405" s="101"/>
      <c r="E2405" s="101"/>
      <c r="F2405" s="102"/>
      <c r="G2405" s="101"/>
      <c r="H2405" s="102"/>
      <c r="I2405" s="101"/>
      <c r="J2405" s="101"/>
      <c r="K2405" s="103"/>
      <c r="L2405" s="103"/>
      <c r="M2405" s="103"/>
      <c r="N2405" s="103"/>
      <c r="O2405" s="103"/>
      <c r="P2405" s="98"/>
      <c r="Q2405" s="99"/>
      <c r="R2405" s="104">
        <f t="shared" si="118"/>
        <v>0</v>
      </c>
      <c r="S2405" s="104">
        <f t="shared" si="119"/>
        <v>0</v>
      </c>
      <c r="T2405" s="104">
        <f t="shared" si="120"/>
        <v>0</v>
      </c>
    </row>
    <row r="2406" spans="1:20">
      <c r="A2406" s="101"/>
      <c r="B2406" s="101"/>
      <c r="C2406" s="101"/>
      <c r="D2406" s="101"/>
      <c r="E2406" s="101"/>
      <c r="F2406" s="102"/>
      <c r="G2406" s="101"/>
      <c r="H2406" s="102"/>
      <c r="I2406" s="101"/>
      <c r="J2406" s="101"/>
      <c r="K2406" s="103"/>
      <c r="L2406" s="103"/>
      <c r="M2406" s="103"/>
      <c r="N2406" s="103"/>
      <c r="O2406" s="103"/>
      <c r="P2406" s="98"/>
      <c r="Q2406" s="99"/>
      <c r="R2406" s="104">
        <f t="shared" si="118"/>
        <v>0</v>
      </c>
      <c r="S2406" s="104">
        <f t="shared" si="119"/>
        <v>0</v>
      </c>
      <c r="T2406" s="104">
        <f t="shared" si="120"/>
        <v>0</v>
      </c>
    </row>
    <row r="2407" spans="1:20">
      <c r="A2407" s="101"/>
      <c r="B2407" s="101"/>
      <c r="C2407" s="101"/>
      <c r="D2407" s="101"/>
      <c r="E2407" s="101"/>
      <c r="F2407" s="102"/>
      <c r="G2407" s="101"/>
      <c r="H2407" s="102"/>
      <c r="I2407" s="101"/>
      <c r="J2407" s="101"/>
      <c r="K2407" s="103"/>
      <c r="L2407" s="103"/>
      <c r="M2407" s="103"/>
      <c r="N2407" s="103"/>
      <c r="O2407" s="103"/>
      <c r="P2407" s="98"/>
      <c r="Q2407" s="99"/>
      <c r="R2407" s="104">
        <f t="shared" si="118"/>
        <v>0</v>
      </c>
      <c r="S2407" s="104">
        <f t="shared" si="119"/>
        <v>0</v>
      </c>
      <c r="T2407" s="104">
        <f t="shared" si="120"/>
        <v>0</v>
      </c>
    </row>
    <row r="2408" spans="1:20">
      <c r="A2408" s="101"/>
      <c r="B2408" s="101"/>
      <c r="C2408" s="101"/>
      <c r="D2408" s="101"/>
      <c r="E2408" s="101"/>
      <c r="F2408" s="102"/>
      <c r="G2408" s="101"/>
      <c r="H2408" s="102"/>
      <c r="I2408" s="101"/>
      <c r="J2408" s="101"/>
      <c r="K2408" s="103"/>
      <c r="L2408" s="103"/>
      <c r="M2408" s="103"/>
      <c r="N2408" s="103"/>
      <c r="O2408" s="103"/>
      <c r="P2408" s="98"/>
      <c r="Q2408" s="99"/>
      <c r="R2408" s="104">
        <f t="shared" si="118"/>
        <v>0</v>
      </c>
      <c r="S2408" s="104">
        <f t="shared" si="119"/>
        <v>0</v>
      </c>
      <c r="T2408" s="104">
        <f t="shared" si="120"/>
        <v>0</v>
      </c>
    </row>
    <row r="2409" spans="1:20">
      <c r="A2409" s="101"/>
      <c r="B2409" s="101"/>
      <c r="C2409" s="101"/>
      <c r="D2409" s="101"/>
      <c r="E2409" s="101"/>
      <c r="F2409" s="102"/>
      <c r="G2409" s="101"/>
      <c r="H2409" s="102"/>
      <c r="I2409" s="101"/>
      <c r="J2409" s="101"/>
      <c r="K2409" s="103"/>
      <c r="L2409" s="103"/>
      <c r="M2409" s="103"/>
      <c r="N2409" s="103"/>
      <c r="O2409" s="103"/>
      <c r="P2409" s="98"/>
      <c r="Q2409" s="99"/>
      <c r="R2409" s="104">
        <f t="shared" si="118"/>
        <v>0</v>
      </c>
      <c r="S2409" s="104">
        <f t="shared" si="119"/>
        <v>0</v>
      </c>
      <c r="T2409" s="104">
        <f t="shared" si="120"/>
        <v>0</v>
      </c>
    </row>
    <row r="2410" spans="1:20">
      <c r="A2410" s="101"/>
      <c r="B2410" s="101"/>
      <c r="C2410" s="101"/>
      <c r="D2410" s="101"/>
      <c r="E2410" s="101"/>
      <c r="F2410" s="102"/>
      <c r="G2410" s="101"/>
      <c r="H2410" s="102"/>
      <c r="I2410" s="101"/>
      <c r="J2410" s="101"/>
      <c r="K2410" s="103"/>
      <c r="L2410" s="103"/>
      <c r="M2410" s="103"/>
      <c r="N2410" s="103"/>
      <c r="O2410" s="103"/>
      <c r="P2410" s="98"/>
      <c r="Q2410" s="99"/>
      <c r="R2410" s="104">
        <f t="shared" si="118"/>
        <v>0</v>
      </c>
      <c r="S2410" s="104">
        <f t="shared" si="119"/>
        <v>0</v>
      </c>
      <c r="T2410" s="104">
        <f t="shared" si="120"/>
        <v>0</v>
      </c>
    </row>
    <row r="2411" spans="1:20">
      <c r="A2411" s="101"/>
      <c r="B2411" s="101"/>
      <c r="C2411" s="101"/>
      <c r="D2411" s="101"/>
      <c r="E2411" s="101"/>
      <c r="F2411" s="102"/>
      <c r="G2411" s="101"/>
      <c r="H2411" s="102"/>
      <c r="I2411" s="101"/>
      <c r="J2411" s="101"/>
      <c r="K2411" s="103"/>
      <c r="L2411" s="103"/>
      <c r="M2411" s="103"/>
      <c r="N2411" s="103"/>
      <c r="O2411" s="103"/>
      <c r="P2411" s="98"/>
      <c r="Q2411" s="99"/>
      <c r="R2411" s="104">
        <f t="shared" si="118"/>
        <v>0</v>
      </c>
      <c r="S2411" s="104">
        <f t="shared" si="119"/>
        <v>0</v>
      </c>
      <c r="T2411" s="104">
        <f t="shared" si="120"/>
        <v>0</v>
      </c>
    </row>
    <row r="2412" spans="1:20">
      <c r="A2412" s="101"/>
      <c r="B2412" s="101"/>
      <c r="C2412" s="101"/>
      <c r="D2412" s="101"/>
      <c r="E2412" s="101"/>
      <c r="F2412" s="102"/>
      <c r="G2412" s="101"/>
      <c r="H2412" s="102"/>
      <c r="I2412" s="101"/>
      <c r="J2412" s="101"/>
      <c r="K2412" s="103"/>
      <c r="L2412" s="103"/>
      <c r="M2412" s="103"/>
      <c r="N2412" s="103"/>
      <c r="O2412" s="103"/>
      <c r="P2412" s="98"/>
      <c r="Q2412" s="99"/>
      <c r="R2412" s="104">
        <f t="shared" si="118"/>
        <v>0</v>
      </c>
      <c r="S2412" s="104">
        <f t="shared" si="119"/>
        <v>0</v>
      </c>
      <c r="T2412" s="104">
        <f t="shared" si="120"/>
        <v>0</v>
      </c>
    </row>
    <row r="2413" spans="1:20">
      <c r="A2413" s="101"/>
      <c r="B2413" s="101"/>
      <c r="C2413" s="101"/>
      <c r="D2413" s="101"/>
      <c r="E2413" s="101"/>
      <c r="F2413" s="102"/>
      <c r="G2413" s="101"/>
      <c r="H2413" s="102"/>
      <c r="I2413" s="101"/>
      <c r="J2413" s="101"/>
      <c r="K2413" s="103"/>
      <c r="L2413" s="103"/>
      <c r="M2413" s="103"/>
      <c r="N2413" s="103"/>
      <c r="O2413" s="103"/>
      <c r="P2413" s="98"/>
      <c r="Q2413" s="99"/>
      <c r="R2413" s="104">
        <f t="shared" si="118"/>
        <v>0</v>
      </c>
      <c r="S2413" s="104">
        <f t="shared" si="119"/>
        <v>0</v>
      </c>
      <c r="T2413" s="104">
        <f t="shared" si="120"/>
        <v>0</v>
      </c>
    </row>
    <row r="2414" spans="1:20">
      <c r="A2414" s="101"/>
      <c r="B2414" s="101"/>
      <c r="C2414" s="101"/>
      <c r="D2414" s="101"/>
      <c r="E2414" s="101"/>
      <c r="F2414" s="102"/>
      <c r="G2414" s="101"/>
      <c r="H2414" s="102"/>
      <c r="I2414" s="101"/>
      <c r="J2414" s="101"/>
      <c r="K2414" s="103"/>
      <c r="L2414" s="103"/>
      <c r="M2414" s="103"/>
      <c r="N2414" s="103"/>
      <c r="O2414" s="103"/>
      <c r="P2414" s="98"/>
      <c r="Q2414" s="99"/>
      <c r="R2414" s="104">
        <f t="shared" si="118"/>
        <v>0</v>
      </c>
      <c r="S2414" s="104">
        <f t="shared" si="119"/>
        <v>0</v>
      </c>
      <c r="T2414" s="104">
        <f t="shared" si="120"/>
        <v>0</v>
      </c>
    </row>
    <row r="2415" spans="1:20">
      <c r="A2415" s="101"/>
      <c r="B2415" s="101"/>
      <c r="C2415" s="101"/>
      <c r="D2415" s="101"/>
      <c r="E2415" s="101"/>
      <c r="F2415" s="102"/>
      <c r="G2415" s="101"/>
      <c r="H2415" s="102"/>
      <c r="I2415" s="101"/>
      <c r="J2415" s="101"/>
      <c r="K2415" s="103"/>
      <c r="L2415" s="103"/>
      <c r="M2415" s="103"/>
      <c r="N2415" s="103"/>
      <c r="O2415" s="103"/>
      <c r="P2415" s="98"/>
      <c r="Q2415" s="99"/>
      <c r="R2415" s="104">
        <f t="shared" si="118"/>
        <v>0</v>
      </c>
      <c r="S2415" s="104">
        <f t="shared" si="119"/>
        <v>0</v>
      </c>
      <c r="T2415" s="104">
        <f t="shared" si="120"/>
        <v>0</v>
      </c>
    </row>
    <row r="2416" spans="1:20">
      <c r="A2416" s="101"/>
      <c r="B2416" s="101"/>
      <c r="C2416" s="101"/>
      <c r="D2416" s="101"/>
      <c r="E2416" s="101"/>
      <c r="F2416" s="102"/>
      <c r="G2416" s="101"/>
      <c r="H2416" s="102"/>
      <c r="I2416" s="101"/>
      <c r="J2416" s="101"/>
      <c r="K2416" s="103"/>
      <c r="L2416" s="103"/>
      <c r="M2416" s="103"/>
      <c r="N2416" s="103"/>
      <c r="O2416" s="103"/>
      <c r="P2416" s="98"/>
      <c r="Q2416" s="99"/>
      <c r="R2416" s="104">
        <f t="shared" si="118"/>
        <v>0</v>
      </c>
      <c r="S2416" s="104">
        <f t="shared" si="119"/>
        <v>0</v>
      </c>
      <c r="T2416" s="104">
        <f t="shared" si="120"/>
        <v>0</v>
      </c>
    </row>
    <row r="2417" spans="1:20">
      <c r="A2417" s="101"/>
      <c r="B2417" s="101"/>
      <c r="C2417" s="101"/>
      <c r="D2417" s="101"/>
      <c r="E2417" s="101"/>
      <c r="F2417" s="102"/>
      <c r="G2417" s="101"/>
      <c r="H2417" s="102"/>
      <c r="I2417" s="101"/>
      <c r="J2417" s="101"/>
      <c r="K2417" s="103"/>
      <c r="L2417" s="103"/>
      <c r="M2417" s="103"/>
      <c r="N2417" s="103"/>
      <c r="O2417" s="103"/>
      <c r="P2417" s="98"/>
      <c r="Q2417" s="99"/>
      <c r="R2417" s="104">
        <f t="shared" si="118"/>
        <v>0</v>
      </c>
      <c r="S2417" s="104">
        <f t="shared" si="119"/>
        <v>0</v>
      </c>
      <c r="T2417" s="104">
        <f t="shared" si="120"/>
        <v>0</v>
      </c>
    </row>
    <row r="2418" spans="1:20">
      <c r="A2418" s="101"/>
      <c r="B2418" s="101"/>
      <c r="C2418" s="101"/>
      <c r="D2418" s="101"/>
      <c r="E2418" s="101"/>
      <c r="F2418" s="102"/>
      <c r="G2418" s="101"/>
      <c r="H2418" s="102"/>
      <c r="I2418" s="101"/>
      <c r="J2418" s="101"/>
      <c r="K2418" s="103"/>
      <c r="L2418" s="103"/>
      <c r="M2418" s="103"/>
      <c r="N2418" s="103"/>
      <c r="O2418" s="103"/>
      <c r="P2418" s="98"/>
      <c r="Q2418" s="99"/>
      <c r="R2418" s="104">
        <f t="shared" si="118"/>
        <v>0</v>
      </c>
      <c r="S2418" s="104">
        <f t="shared" si="119"/>
        <v>0</v>
      </c>
      <c r="T2418" s="104">
        <f t="shared" si="120"/>
        <v>0</v>
      </c>
    </row>
    <row r="2419" spans="1:20">
      <c r="A2419" s="101"/>
      <c r="B2419" s="101"/>
      <c r="C2419" s="101"/>
      <c r="D2419" s="101"/>
      <c r="E2419" s="101"/>
      <c r="F2419" s="102"/>
      <c r="G2419" s="101"/>
      <c r="H2419" s="102"/>
      <c r="I2419" s="101"/>
      <c r="J2419" s="101"/>
      <c r="K2419" s="103"/>
      <c r="L2419" s="103"/>
      <c r="M2419" s="103"/>
      <c r="N2419" s="103"/>
      <c r="O2419" s="103"/>
      <c r="P2419" s="98"/>
      <c r="Q2419" s="99"/>
      <c r="R2419" s="104">
        <f t="shared" si="118"/>
        <v>0</v>
      </c>
      <c r="S2419" s="104">
        <f t="shared" si="119"/>
        <v>0</v>
      </c>
      <c r="T2419" s="104">
        <f t="shared" si="120"/>
        <v>0</v>
      </c>
    </row>
    <row r="2420" spans="1:20">
      <c r="A2420" s="101"/>
      <c r="B2420" s="101"/>
      <c r="C2420" s="101"/>
      <c r="D2420" s="101"/>
      <c r="E2420" s="101"/>
      <c r="F2420" s="102"/>
      <c r="G2420" s="101"/>
      <c r="H2420" s="102"/>
      <c r="I2420" s="101"/>
      <c r="J2420" s="101"/>
      <c r="K2420" s="103"/>
      <c r="L2420" s="103"/>
      <c r="M2420" s="103"/>
      <c r="N2420" s="103"/>
      <c r="O2420" s="103"/>
      <c r="P2420" s="98"/>
      <c r="Q2420" s="99"/>
      <c r="R2420" s="104">
        <f t="shared" si="118"/>
        <v>0</v>
      </c>
      <c r="S2420" s="104">
        <f t="shared" si="119"/>
        <v>0</v>
      </c>
      <c r="T2420" s="104">
        <f t="shared" si="120"/>
        <v>0</v>
      </c>
    </row>
    <row r="2421" spans="1:20">
      <c r="A2421" s="101"/>
      <c r="B2421" s="101"/>
      <c r="C2421" s="101"/>
      <c r="D2421" s="101"/>
      <c r="E2421" s="101"/>
      <c r="F2421" s="102"/>
      <c r="G2421" s="101"/>
      <c r="H2421" s="102"/>
      <c r="I2421" s="101"/>
      <c r="J2421" s="101"/>
      <c r="K2421" s="103"/>
      <c r="L2421" s="103"/>
      <c r="M2421" s="103"/>
      <c r="N2421" s="103"/>
      <c r="O2421" s="103"/>
      <c r="P2421" s="98"/>
      <c r="Q2421" s="99"/>
      <c r="R2421" s="104">
        <f t="shared" si="118"/>
        <v>0</v>
      </c>
      <c r="S2421" s="104">
        <f t="shared" si="119"/>
        <v>0</v>
      </c>
      <c r="T2421" s="104">
        <f t="shared" si="120"/>
        <v>0</v>
      </c>
    </row>
    <row r="2422" spans="1:20">
      <c r="A2422" s="101"/>
      <c r="B2422" s="101"/>
      <c r="C2422" s="101"/>
      <c r="D2422" s="101"/>
      <c r="E2422" s="101"/>
      <c r="F2422" s="102"/>
      <c r="G2422" s="101"/>
      <c r="H2422" s="102"/>
      <c r="I2422" s="101"/>
      <c r="J2422" s="101"/>
      <c r="K2422" s="103"/>
      <c r="L2422" s="103"/>
      <c r="M2422" s="103"/>
      <c r="N2422" s="103"/>
      <c r="O2422" s="103"/>
      <c r="P2422" s="98"/>
      <c r="Q2422" s="99"/>
      <c r="R2422" s="104">
        <f t="shared" si="118"/>
        <v>0</v>
      </c>
      <c r="S2422" s="104">
        <f t="shared" si="119"/>
        <v>0</v>
      </c>
      <c r="T2422" s="104">
        <f t="shared" si="120"/>
        <v>0</v>
      </c>
    </row>
    <row r="2423" spans="1:20">
      <c r="A2423" s="101"/>
      <c r="B2423" s="101"/>
      <c r="C2423" s="101"/>
      <c r="D2423" s="101"/>
      <c r="E2423" s="101"/>
      <c r="F2423" s="102"/>
      <c r="G2423" s="101"/>
      <c r="H2423" s="102"/>
      <c r="I2423" s="101"/>
      <c r="J2423" s="101"/>
      <c r="K2423" s="103"/>
      <c r="L2423" s="103"/>
      <c r="M2423" s="103"/>
      <c r="N2423" s="103"/>
      <c r="O2423" s="103"/>
      <c r="P2423" s="98"/>
      <c r="Q2423" s="99"/>
      <c r="R2423" s="104">
        <f t="shared" si="118"/>
        <v>0</v>
      </c>
      <c r="S2423" s="104">
        <f t="shared" si="119"/>
        <v>0</v>
      </c>
      <c r="T2423" s="104">
        <f t="shared" si="120"/>
        <v>0</v>
      </c>
    </row>
    <row r="2424" spans="1:20">
      <c r="A2424" s="101"/>
      <c r="B2424" s="101"/>
      <c r="C2424" s="101"/>
      <c r="D2424" s="101"/>
      <c r="E2424" s="101"/>
      <c r="F2424" s="102"/>
      <c r="G2424" s="101"/>
      <c r="H2424" s="102"/>
      <c r="I2424" s="101"/>
      <c r="J2424" s="101"/>
      <c r="K2424" s="103"/>
      <c r="L2424" s="103"/>
      <c r="M2424" s="103"/>
      <c r="N2424" s="103"/>
      <c r="O2424" s="103"/>
      <c r="P2424" s="98"/>
      <c r="Q2424" s="99"/>
      <c r="R2424" s="104">
        <f t="shared" si="118"/>
        <v>0</v>
      </c>
      <c r="S2424" s="104">
        <f t="shared" si="119"/>
        <v>0</v>
      </c>
      <c r="T2424" s="104">
        <f t="shared" si="120"/>
        <v>0</v>
      </c>
    </row>
    <row r="2425" spans="1:20">
      <c r="A2425" s="101"/>
      <c r="B2425" s="101"/>
      <c r="C2425" s="101"/>
      <c r="D2425" s="101"/>
      <c r="E2425" s="101"/>
      <c r="F2425" s="102"/>
      <c r="G2425" s="101"/>
      <c r="H2425" s="102"/>
      <c r="I2425" s="101"/>
      <c r="J2425" s="101"/>
      <c r="K2425" s="103"/>
      <c r="L2425" s="103"/>
      <c r="M2425" s="103"/>
      <c r="N2425" s="103"/>
      <c r="O2425" s="103"/>
      <c r="P2425" s="98"/>
      <c r="Q2425" s="99"/>
      <c r="R2425" s="104">
        <f t="shared" si="118"/>
        <v>0</v>
      </c>
      <c r="S2425" s="104">
        <f t="shared" si="119"/>
        <v>0</v>
      </c>
      <c r="T2425" s="104">
        <f t="shared" si="120"/>
        <v>0</v>
      </c>
    </row>
    <row r="2426" spans="1:20">
      <c r="A2426" s="101"/>
      <c r="B2426" s="101"/>
      <c r="C2426" s="101"/>
      <c r="D2426" s="101"/>
      <c r="E2426" s="101"/>
      <c r="F2426" s="102"/>
      <c r="G2426" s="101"/>
      <c r="H2426" s="102"/>
      <c r="I2426" s="101"/>
      <c r="J2426" s="101"/>
      <c r="K2426" s="103"/>
      <c r="L2426" s="103"/>
      <c r="M2426" s="103"/>
      <c r="N2426" s="103"/>
      <c r="O2426" s="103"/>
      <c r="P2426" s="98"/>
      <c r="Q2426" s="99"/>
      <c r="R2426" s="104">
        <f t="shared" si="118"/>
        <v>0</v>
      </c>
      <c r="S2426" s="104">
        <f t="shared" si="119"/>
        <v>0</v>
      </c>
      <c r="T2426" s="104">
        <f t="shared" si="120"/>
        <v>0</v>
      </c>
    </row>
    <row r="2427" spans="1:20">
      <c r="A2427" s="101"/>
      <c r="B2427" s="101"/>
      <c r="C2427" s="101"/>
      <c r="D2427" s="101"/>
      <c r="E2427" s="101"/>
      <c r="F2427" s="102"/>
      <c r="G2427" s="101"/>
      <c r="H2427" s="102"/>
      <c r="I2427" s="101"/>
      <c r="J2427" s="101"/>
      <c r="K2427" s="103"/>
      <c r="L2427" s="103"/>
      <c r="M2427" s="103"/>
      <c r="N2427" s="103"/>
      <c r="O2427" s="103"/>
      <c r="P2427" s="98"/>
      <c r="Q2427" s="99"/>
      <c r="R2427" s="104">
        <f t="shared" si="118"/>
        <v>0</v>
      </c>
      <c r="S2427" s="104">
        <f t="shared" si="119"/>
        <v>0</v>
      </c>
      <c r="T2427" s="104">
        <f t="shared" si="120"/>
        <v>0</v>
      </c>
    </row>
    <row r="2428" spans="1:20">
      <c r="A2428" s="101"/>
      <c r="B2428" s="101"/>
      <c r="C2428" s="101"/>
      <c r="D2428" s="101"/>
      <c r="E2428" s="101"/>
      <c r="F2428" s="102"/>
      <c r="G2428" s="101"/>
      <c r="H2428" s="102"/>
      <c r="I2428" s="101"/>
      <c r="J2428" s="101"/>
      <c r="K2428" s="103"/>
      <c r="L2428" s="103"/>
      <c r="M2428" s="103"/>
      <c r="N2428" s="103"/>
      <c r="O2428" s="103"/>
      <c r="P2428" s="98"/>
      <c r="Q2428" s="99"/>
      <c r="R2428" s="104">
        <f t="shared" si="118"/>
        <v>0</v>
      </c>
      <c r="S2428" s="104">
        <f t="shared" si="119"/>
        <v>0</v>
      </c>
      <c r="T2428" s="104">
        <f t="shared" si="120"/>
        <v>0</v>
      </c>
    </row>
    <row r="2429" spans="1:20">
      <c r="A2429" s="101"/>
      <c r="B2429" s="101"/>
      <c r="C2429" s="101"/>
      <c r="D2429" s="101"/>
      <c r="E2429" s="101"/>
      <c r="F2429" s="102"/>
      <c r="G2429" s="101"/>
      <c r="H2429" s="102"/>
      <c r="I2429" s="101"/>
      <c r="J2429" s="101"/>
      <c r="K2429" s="103"/>
      <c r="L2429" s="103"/>
      <c r="M2429" s="103"/>
      <c r="N2429" s="103"/>
      <c r="O2429" s="103"/>
      <c r="P2429" s="98"/>
      <c r="Q2429" s="99"/>
      <c r="R2429" s="104">
        <f t="shared" si="118"/>
        <v>0</v>
      </c>
      <c r="S2429" s="104">
        <f t="shared" si="119"/>
        <v>0</v>
      </c>
      <c r="T2429" s="104">
        <f t="shared" si="120"/>
        <v>0</v>
      </c>
    </row>
    <row r="2430" spans="1:20">
      <c r="A2430" s="101"/>
      <c r="B2430" s="101"/>
      <c r="C2430" s="101"/>
      <c r="D2430" s="101"/>
      <c r="E2430" s="101"/>
      <c r="F2430" s="102"/>
      <c r="G2430" s="101"/>
      <c r="H2430" s="102"/>
      <c r="I2430" s="101"/>
      <c r="J2430" s="101"/>
      <c r="K2430" s="103"/>
      <c r="L2430" s="103"/>
      <c r="M2430" s="103"/>
      <c r="N2430" s="103"/>
      <c r="O2430" s="103"/>
      <c r="P2430" s="98"/>
      <c r="Q2430" s="99"/>
      <c r="R2430" s="104">
        <f t="shared" si="118"/>
        <v>0</v>
      </c>
      <c r="S2430" s="104">
        <f t="shared" si="119"/>
        <v>0</v>
      </c>
      <c r="T2430" s="104">
        <f t="shared" si="120"/>
        <v>0</v>
      </c>
    </row>
    <row r="2431" spans="1:20">
      <c r="A2431" s="101"/>
      <c r="B2431" s="101"/>
      <c r="C2431" s="101"/>
      <c r="D2431" s="101"/>
      <c r="E2431" s="101"/>
      <c r="F2431" s="102"/>
      <c r="G2431" s="101"/>
      <c r="H2431" s="102"/>
      <c r="I2431" s="101"/>
      <c r="J2431" s="101"/>
      <c r="K2431" s="103"/>
      <c r="L2431" s="103"/>
      <c r="M2431" s="103"/>
      <c r="N2431" s="103"/>
      <c r="O2431" s="103"/>
      <c r="P2431" s="98"/>
      <c r="Q2431" s="99"/>
      <c r="R2431" s="104">
        <f t="shared" si="118"/>
        <v>0</v>
      </c>
      <c r="S2431" s="104">
        <f t="shared" si="119"/>
        <v>0</v>
      </c>
      <c r="T2431" s="104">
        <f t="shared" si="120"/>
        <v>0</v>
      </c>
    </row>
    <row r="2432" spans="1:20">
      <c r="A2432" s="101"/>
      <c r="B2432" s="101"/>
      <c r="C2432" s="101"/>
      <c r="D2432" s="101"/>
      <c r="E2432" s="101"/>
      <c r="F2432" s="102"/>
      <c r="G2432" s="101"/>
      <c r="H2432" s="102"/>
      <c r="I2432" s="101"/>
      <c r="J2432" s="101"/>
      <c r="K2432" s="103"/>
      <c r="L2432" s="103"/>
      <c r="M2432" s="103"/>
      <c r="N2432" s="103"/>
      <c r="O2432" s="103"/>
      <c r="P2432" s="98"/>
      <c r="Q2432" s="99"/>
      <c r="R2432" s="104">
        <f t="shared" si="118"/>
        <v>0</v>
      </c>
      <c r="S2432" s="104">
        <f t="shared" si="119"/>
        <v>0</v>
      </c>
      <c r="T2432" s="104">
        <f t="shared" si="120"/>
        <v>0</v>
      </c>
    </row>
    <row r="2433" spans="1:20">
      <c r="A2433" s="101"/>
      <c r="B2433" s="101"/>
      <c r="C2433" s="101"/>
      <c r="D2433" s="101"/>
      <c r="E2433" s="101"/>
      <c r="F2433" s="102"/>
      <c r="G2433" s="101"/>
      <c r="H2433" s="102"/>
      <c r="I2433" s="101"/>
      <c r="J2433" s="101"/>
      <c r="K2433" s="103"/>
      <c r="L2433" s="103"/>
      <c r="M2433" s="103"/>
      <c r="N2433" s="103"/>
      <c r="O2433" s="103"/>
      <c r="P2433" s="98"/>
      <c r="Q2433" s="99"/>
      <c r="R2433" s="104">
        <f t="shared" si="118"/>
        <v>0</v>
      </c>
      <c r="S2433" s="104">
        <f t="shared" si="119"/>
        <v>0</v>
      </c>
      <c r="T2433" s="104">
        <f t="shared" si="120"/>
        <v>0</v>
      </c>
    </row>
    <row r="2434" spans="1:20">
      <c r="A2434" s="101"/>
      <c r="B2434" s="101"/>
      <c r="C2434" s="101"/>
      <c r="D2434" s="101"/>
      <c r="E2434" s="101"/>
      <c r="F2434" s="102"/>
      <c r="G2434" s="101"/>
      <c r="H2434" s="102"/>
      <c r="I2434" s="101"/>
      <c r="J2434" s="101"/>
      <c r="K2434" s="103"/>
      <c r="L2434" s="103"/>
      <c r="M2434" s="103"/>
      <c r="N2434" s="103"/>
      <c r="O2434" s="103"/>
      <c r="P2434" s="98"/>
      <c r="Q2434" s="99"/>
      <c r="R2434" s="104">
        <f t="shared" si="118"/>
        <v>0</v>
      </c>
      <c r="S2434" s="104">
        <f t="shared" si="119"/>
        <v>0</v>
      </c>
      <c r="T2434" s="104">
        <f t="shared" si="120"/>
        <v>0</v>
      </c>
    </row>
    <row r="2435" spans="1:20">
      <c r="A2435" s="101"/>
      <c r="B2435" s="101"/>
      <c r="C2435" s="101"/>
      <c r="D2435" s="101"/>
      <c r="E2435" s="101"/>
      <c r="F2435" s="102"/>
      <c r="G2435" s="101"/>
      <c r="H2435" s="102"/>
      <c r="I2435" s="101"/>
      <c r="J2435" s="101"/>
      <c r="K2435" s="103"/>
      <c r="L2435" s="103"/>
      <c r="M2435" s="103"/>
      <c r="N2435" s="103"/>
      <c r="O2435" s="103"/>
      <c r="P2435" s="98"/>
      <c r="Q2435" s="99"/>
      <c r="R2435" s="104">
        <f t="shared" si="118"/>
        <v>0</v>
      </c>
      <c r="S2435" s="104">
        <f t="shared" si="119"/>
        <v>0</v>
      </c>
      <c r="T2435" s="104">
        <f t="shared" si="120"/>
        <v>0</v>
      </c>
    </row>
    <row r="2436" spans="1:20">
      <c r="A2436" s="101"/>
      <c r="B2436" s="101"/>
      <c r="C2436" s="101"/>
      <c r="D2436" s="101"/>
      <c r="E2436" s="101"/>
      <c r="F2436" s="102"/>
      <c r="G2436" s="101"/>
      <c r="H2436" s="102"/>
      <c r="I2436" s="101"/>
      <c r="J2436" s="101"/>
      <c r="K2436" s="103"/>
      <c r="L2436" s="103"/>
      <c r="M2436" s="103"/>
      <c r="N2436" s="103"/>
      <c r="O2436" s="103"/>
      <c r="P2436" s="98"/>
      <c r="Q2436" s="99"/>
      <c r="R2436" s="104">
        <f t="shared" si="118"/>
        <v>0</v>
      </c>
      <c r="S2436" s="104">
        <f t="shared" si="119"/>
        <v>0</v>
      </c>
      <c r="T2436" s="104">
        <f t="shared" si="120"/>
        <v>0</v>
      </c>
    </row>
    <row r="2437" spans="1:20">
      <c r="A2437" s="101"/>
      <c r="B2437" s="101"/>
      <c r="C2437" s="101"/>
      <c r="D2437" s="101"/>
      <c r="E2437" s="101"/>
      <c r="F2437" s="102"/>
      <c r="G2437" s="101"/>
      <c r="H2437" s="102"/>
      <c r="I2437" s="101"/>
      <c r="J2437" s="101"/>
      <c r="K2437" s="103"/>
      <c r="L2437" s="103"/>
      <c r="M2437" s="103"/>
      <c r="N2437" s="103"/>
      <c r="O2437" s="103"/>
      <c r="P2437" s="98"/>
      <c r="Q2437" s="99"/>
      <c r="R2437" s="104">
        <f t="shared" si="118"/>
        <v>0</v>
      </c>
      <c r="S2437" s="104">
        <f t="shared" si="119"/>
        <v>0</v>
      </c>
      <c r="T2437" s="104">
        <f t="shared" si="120"/>
        <v>0</v>
      </c>
    </row>
    <row r="2438" spans="1:20">
      <c r="A2438" s="101"/>
      <c r="B2438" s="101"/>
      <c r="C2438" s="101"/>
      <c r="D2438" s="101"/>
      <c r="E2438" s="101"/>
      <c r="F2438" s="102"/>
      <c r="G2438" s="101"/>
      <c r="H2438" s="102"/>
      <c r="I2438" s="101"/>
      <c r="J2438" s="101"/>
      <c r="K2438" s="103"/>
      <c r="L2438" s="103"/>
      <c r="M2438" s="103"/>
      <c r="N2438" s="103"/>
      <c r="O2438" s="103"/>
      <c r="P2438" s="98"/>
      <c r="Q2438" s="99"/>
      <c r="R2438" s="104">
        <f t="shared" si="118"/>
        <v>0</v>
      </c>
      <c r="S2438" s="104">
        <f t="shared" si="119"/>
        <v>0</v>
      </c>
      <c r="T2438" s="104">
        <f t="shared" si="120"/>
        <v>0</v>
      </c>
    </row>
    <row r="2439" spans="1:20">
      <c r="A2439" s="101"/>
      <c r="B2439" s="101"/>
      <c r="C2439" s="101"/>
      <c r="D2439" s="101"/>
      <c r="E2439" s="101"/>
      <c r="F2439" s="102"/>
      <c r="G2439" s="101"/>
      <c r="H2439" s="102"/>
      <c r="I2439" s="101"/>
      <c r="J2439" s="101"/>
      <c r="K2439" s="103"/>
      <c r="L2439" s="103"/>
      <c r="M2439" s="103"/>
      <c r="N2439" s="103"/>
      <c r="O2439" s="103"/>
      <c r="P2439" s="98"/>
      <c r="Q2439" s="99"/>
      <c r="R2439" s="104">
        <f t="shared" si="118"/>
        <v>0</v>
      </c>
      <c r="S2439" s="104">
        <f t="shared" si="119"/>
        <v>0</v>
      </c>
      <c r="T2439" s="104">
        <f t="shared" si="120"/>
        <v>0</v>
      </c>
    </row>
    <row r="2440" spans="1:20">
      <c r="A2440" s="101"/>
      <c r="B2440" s="101"/>
      <c r="C2440" s="101"/>
      <c r="D2440" s="101"/>
      <c r="E2440" s="101"/>
      <c r="F2440" s="102"/>
      <c r="G2440" s="101"/>
      <c r="H2440" s="102"/>
      <c r="I2440" s="101"/>
      <c r="J2440" s="101"/>
      <c r="K2440" s="103"/>
      <c r="L2440" s="103"/>
      <c r="M2440" s="103"/>
      <c r="N2440" s="103"/>
      <c r="O2440" s="103"/>
      <c r="P2440" s="98"/>
      <c r="Q2440" s="99"/>
      <c r="R2440" s="104">
        <f t="shared" si="118"/>
        <v>0</v>
      </c>
      <c r="S2440" s="104">
        <f t="shared" si="119"/>
        <v>0</v>
      </c>
      <c r="T2440" s="104">
        <f t="shared" si="120"/>
        <v>0</v>
      </c>
    </row>
    <row r="2441" spans="1:20">
      <c r="A2441" s="101"/>
      <c r="B2441" s="101"/>
      <c r="C2441" s="101"/>
      <c r="D2441" s="101"/>
      <c r="E2441" s="101"/>
      <c r="F2441" s="102"/>
      <c r="G2441" s="101"/>
      <c r="H2441" s="102"/>
      <c r="I2441" s="101"/>
      <c r="J2441" s="101"/>
      <c r="K2441" s="103"/>
      <c r="L2441" s="103"/>
      <c r="M2441" s="103"/>
      <c r="N2441" s="103"/>
      <c r="O2441" s="103"/>
      <c r="P2441" s="98"/>
      <c r="Q2441" s="99"/>
      <c r="R2441" s="104">
        <f t="shared" si="118"/>
        <v>0</v>
      </c>
      <c r="S2441" s="104">
        <f t="shared" si="119"/>
        <v>0</v>
      </c>
      <c r="T2441" s="104">
        <f t="shared" si="120"/>
        <v>0</v>
      </c>
    </row>
    <row r="2442" spans="1:20">
      <c r="A2442" s="101"/>
      <c r="B2442" s="101"/>
      <c r="C2442" s="101"/>
      <c r="D2442" s="101"/>
      <c r="E2442" s="101"/>
      <c r="F2442" s="102"/>
      <c r="G2442" s="101"/>
      <c r="H2442" s="102"/>
      <c r="I2442" s="101"/>
      <c r="J2442" s="101"/>
      <c r="K2442" s="103"/>
      <c r="L2442" s="103"/>
      <c r="M2442" s="103"/>
      <c r="N2442" s="103"/>
      <c r="O2442" s="103"/>
      <c r="P2442" s="98"/>
      <c r="Q2442" s="99"/>
      <c r="R2442" s="104">
        <f t="shared" ref="R2442:R2505" si="121">IF(P2442="Cargo",K2442+L2442-M2442-N2442+O2442,0)</f>
        <v>0</v>
      </c>
      <c r="S2442" s="104">
        <f t="shared" ref="S2442:S2505" si="122">IF(P2442="Abono",K2442+L2442+M2442-N2442-O2442,0)</f>
        <v>0</v>
      </c>
      <c r="T2442" s="104">
        <f t="shared" ref="T2442:T2505" si="123">IF(Q2442="OK",+T2441+R2442-S2442,T2441)</f>
        <v>0</v>
      </c>
    </row>
    <row r="2443" spans="1:20">
      <c r="A2443" s="101"/>
      <c r="B2443" s="101"/>
      <c r="C2443" s="101"/>
      <c r="D2443" s="101"/>
      <c r="E2443" s="101"/>
      <c r="F2443" s="102"/>
      <c r="G2443" s="101"/>
      <c r="H2443" s="102"/>
      <c r="I2443" s="101"/>
      <c r="J2443" s="101"/>
      <c r="K2443" s="103"/>
      <c r="L2443" s="103"/>
      <c r="M2443" s="103"/>
      <c r="N2443" s="103"/>
      <c r="O2443" s="103"/>
      <c r="P2443" s="98"/>
      <c r="Q2443" s="99"/>
      <c r="R2443" s="104">
        <f t="shared" si="121"/>
        <v>0</v>
      </c>
      <c r="S2443" s="104">
        <f t="shared" si="122"/>
        <v>0</v>
      </c>
      <c r="T2443" s="104">
        <f t="shared" si="123"/>
        <v>0</v>
      </c>
    </row>
    <row r="2444" spans="1:20">
      <c r="A2444" s="101"/>
      <c r="B2444" s="101"/>
      <c r="C2444" s="101"/>
      <c r="D2444" s="101"/>
      <c r="E2444" s="101"/>
      <c r="F2444" s="102"/>
      <c r="G2444" s="101"/>
      <c r="H2444" s="102"/>
      <c r="I2444" s="101"/>
      <c r="J2444" s="101"/>
      <c r="K2444" s="103"/>
      <c r="L2444" s="103"/>
      <c r="M2444" s="103"/>
      <c r="N2444" s="103"/>
      <c r="O2444" s="103"/>
      <c r="P2444" s="98"/>
      <c r="Q2444" s="99"/>
      <c r="R2444" s="104">
        <f t="shared" si="121"/>
        <v>0</v>
      </c>
      <c r="S2444" s="104">
        <f t="shared" si="122"/>
        <v>0</v>
      </c>
      <c r="T2444" s="104">
        <f t="shared" si="123"/>
        <v>0</v>
      </c>
    </row>
    <row r="2445" spans="1:20">
      <c r="A2445" s="101"/>
      <c r="B2445" s="101"/>
      <c r="C2445" s="101"/>
      <c r="D2445" s="101"/>
      <c r="E2445" s="101"/>
      <c r="F2445" s="102"/>
      <c r="G2445" s="101"/>
      <c r="H2445" s="102"/>
      <c r="I2445" s="101"/>
      <c r="J2445" s="101"/>
      <c r="K2445" s="103"/>
      <c r="L2445" s="103"/>
      <c r="M2445" s="103"/>
      <c r="N2445" s="103"/>
      <c r="O2445" s="103"/>
      <c r="P2445" s="98"/>
      <c r="Q2445" s="99"/>
      <c r="R2445" s="104">
        <f t="shared" si="121"/>
        <v>0</v>
      </c>
      <c r="S2445" s="104">
        <f t="shared" si="122"/>
        <v>0</v>
      </c>
      <c r="T2445" s="104">
        <f t="shared" si="123"/>
        <v>0</v>
      </c>
    </row>
    <row r="2446" spans="1:20">
      <c r="A2446" s="101"/>
      <c r="B2446" s="101"/>
      <c r="C2446" s="101"/>
      <c r="D2446" s="101"/>
      <c r="E2446" s="101"/>
      <c r="F2446" s="102"/>
      <c r="G2446" s="101"/>
      <c r="H2446" s="102"/>
      <c r="I2446" s="101"/>
      <c r="J2446" s="101"/>
      <c r="K2446" s="103"/>
      <c r="L2446" s="103"/>
      <c r="M2446" s="103"/>
      <c r="N2446" s="103"/>
      <c r="O2446" s="103"/>
      <c r="P2446" s="98"/>
      <c r="Q2446" s="99"/>
      <c r="R2446" s="104">
        <f t="shared" si="121"/>
        <v>0</v>
      </c>
      <c r="S2446" s="104">
        <f t="shared" si="122"/>
        <v>0</v>
      </c>
      <c r="T2446" s="104">
        <f t="shared" si="123"/>
        <v>0</v>
      </c>
    </row>
    <row r="2447" spans="1:20">
      <c r="A2447" s="101"/>
      <c r="B2447" s="101"/>
      <c r="C2447" s="101"/>
      <c r="D2447" s="101"/>
      <c r="E2447" s="101"/>
      <c r="F2447" s="102"/>
      <c r="G2447" s="101"/>
      <c r="H2447" s="102"/>
      <c r="I2447" s="101"/>
      <c r="J2447" s="101"/>
      <c r="K2447" s="103"/>
      <c r="L2447" s="103"/>
      <c r="M2447" s="103"/>
      <c r="N2447" s="103"/>
      <c r="O2447" s="103"/>
      <c r="P2447" s="98"/>
      <c r="Q2447" s="99"/>
      <c r="R2447" s="104">
        <f t="shared" si="121"/>
        <v>0</v>
      </c>
      <c r="S2447" s="104">
        <f t="shared" si="122"/>
        <v>0</v>
      </c>
      <c r="T2447" s="104">
        <f t="shared" si="123"/>
        <v>0</v>
      </c>
    </row>
    <row r="2448" spans="1:20">
      <c r="A2448" s="101"/>
      <c r="B2448" s="101"/>
      <c r="C2448" s="101"/>
      <c r="D2448" s="101"/>
      <c r="E2448" s="101"/>
      <c r="F2448" s="102"/>
      <c r="G2448" s="101"/>
      <c r="H2448" s="102"/>
      <c r="I2448" s="101"/>
      <c r="J2448" s="101"/>
      <c r="K2448" s="103"/>
      <c r="L2448" s="103"/>
      <c r="M2448" s="103"/>
      <c r="N2448" s="103"/>
      <c r="O2448" s="103"/>
      <c r="P2448" s="98"/>
      <c r="Q2448" s="99"/>
      <c r="R2448" s="104">
        <f t="shared" si="121"/>
        <v>0</v>
      </c>
      <c r="S2448" s="104">
        <f t="shared" si="122"/>
        <v>0</v>
      </c>
      <c r="T2448" s="104">
        <f t="shared" si="123"/>
        <v>0</v>
      </c>
    </row>
    <row r="2449" spans="1:20">
      <c r="A2449" s="101"/>
      <c r="B2449" s="101"/>
      <c r="C2449" s="101"/>
      <c r="D2449" s="101"/>
      <c r="E2449" s="101"/>
      <c r="F2449" s="102"/>
      <c r="G2449" s="101"/>
      <c r="H2449" s="102"/>
      <c r="I2449" s="101"/>
      <c r="J2449" s="101"/>
      <c r="K2449" s="103"/>
      <c r="L2449" s="103"/>
      <c r="M2449" s="103"/>
      <c r="N2449" s="103"/>
      <c r="O2449" s="103"/>
      <c r="P2449" s="98"/>
      <c r="Q2449" s="99"/>
      <c r="R2449" s="104">
        <f t="shared" si="121"/>
        <v>0</v>
      </c>
      <c r="S2449" s="104">
        <f t="shared" si="122"/>
        <v>0</v>
      </c>
      <c r="T2449" s="104">
        <f t="shared" si="123"/>
        <v>0</v>
      </c>
    </row>
    <row r="2450" spans="1:20">
      <c r="A2450" s="101"/>
      <c r="B2450" s="101"/>
      <c r="C2450" s="101"/>
      <c r="D2450" s="101"/>
      <c r="E2450" s="101"/>
      <c r="F2450" s="102"/>
      <c r="G2450" s="101"/>
      <c r="H2450" s="102"/>
      <c r="I2450" s="101"/>
      <c r="J2450" s="101"/>
      <c r="K2450" s="103"/>
      <c r="L2450" s="103"/>
      <c r="M2450" s="103"/>
      <c r="N2450" s="103"/>
      <c r="O2450" s="103"/>
      <c r="P2450" s="98"/>
      <c r="Q2450" s="99"/>
      <c r="R2450" s="104">
        <f t="shared" si="121"/>
        <v>0</v>
      </c>
      <c r="S2450" s="104">
        <f t="shared" si="122"/>
        <v>0</v>
      </c>
      <c r="T2450" s="104">
        <f t="shared" si="123"/>
        <v>0</v>
      </c>
    </row>
    <row r="2451" spans="1:20">
      <c r="A2451" s="101"/>
      <c r="B2451" s="101"/>
      <c r="C2451" s="101"/>
      <c r="D2451" s="101"/>
      <c r="E2451" s="101"/>
      <c r="F2451" s="102"/>
      <c r="G2451" s="101"/>
      <c r="H2451" s="102"/>
      <c r="I2451" s="101"/>
      <c r="J2451" s="101"/>
      <c r="K2451" s="103"/>
      <c r="L2451" s="103"/>
      <c r="M2451" s="103"/>
      <c r="N2451" s="103"/>
      <c r="O2451" s="103"/>
      <c r="P2451" s="98"/>
      <c r="Q2451" s="99"/>
      <c r="R2451" s="104">
        <f t="shared" si="121"/>
        <v>0</v>
      </c>
      <c r="S2451" s="104">
        <f t="shared" si="122"/>
        <v>0</v>
      </c>
      <c r="T2451" s="104">
        <f t="shared" si="123"/>
        <v>0</v>
      </c>
    </row>
    <row r="2452" spans="1:20">
      <c r="A2452" s="101"/>
      <c r="B2452" s="101"/>
      <c r="C2452" s="101"/>
      <c r="D2452" s="101"/>
      <c r="E2452" s="101"/>
      <c r="F2452" s="102"/>
      <c r="G2452" s="101"/>
      <c r="H2452" s="102"/>
      <c r="I2452" s="101"/>
      <c r="J2452" s="101"/>
      <c r="K2452" s="103"/>
      <c r="L2452" s="103"/>
      <c r="M2452" s="103"/>
      <c r="N2452" s="103"/>
      <c r="O2452" s="103"/>
      <c r="P2452" s="98"/>
      <c r="Q2452" s="99"/>
      <c r="R2452" s="104">
        <f t="shared" si="121"/>
        <v>0</v>
      </c>
      <c r="S2452" s="104">
        <f t="shared" si="122"/>
        <v>0</v>
      </c>
      <c r="T2452" s="104">
        <f t="shared" si="123"/>
        <v>0</v>
      </c>
    </row>
    <row r="2453" spans="1:20">
      <c r="A2453" s="101"/>
      <c r="B2453" s="101"/>
      <c r="C2453" s="101"/>
      <c r="D2453" s="101"/>
      <c r="E2453" s="101"/>
      <c r="F2453" s="102"/>
      <c r="G2453" s="101"/>
      <c r="H2453" s="102"/>
      <c r="I2453" s="101"/>
      <c r="J2453" s="101"/>
      <c r="K2453" s="103"/>
      <c r="L2453" s="103"/>
      <c r="M2453" s="103"/>
      <c r="N2453" s="103"/>
      <c r="O2453" s="103"/>
      <c r="P2453" s="98"/>
      <c r="Q2453" s="99"/>
      <c r="R2453" s="104">
        <f t="shared" si="121"/>
        <v>0</v>
      </c>
      <c r="S2453" s="104">
        <f t="shared" si="122"/>
        <v>0</v>
      </c>
      <c r="T2453" s="104">
        <f t="shared" si="123"/>
        <v>0</v>
      </c>
    </row>
    <row r="2454" spans="1:20">
      <c r="A2454" s="101"/>
      <c r="B2454" s="101"/>
      <c r="C2454" s="101"/>
      <c r="D2454" s="101"/>
      <c r="E2454" s="101"/>
      <c r="F2454" s="102"/>
      <c r="G2454" s="101"/>
      <c r="H2454" s="102"/>
      <c r="I2454" s="101"/>
      <c r="J2454" s="101"/>
      <c r="K2454" s="103"/>
      <c r="L2454" s="103"/>
      <c r="M2454" s="103"/>
      <c r="N2454" s="103"/>
      <c r="O2454" s="103"/>
      <c r="P2454" s="98"/>
      <c r="Q2454" s="99"/>
      <c r="R2454" s="104">
        <f t="shared" si="121"/>
        <v>0</v>
      </c>
      <c r="S2454" s="104">
        <f t="shared" si="122"/>
        <v>0</v>
      </c>
      <c r="T2454" s="104">
        <f t="shared" si="123"/>
        <v>0</v>
      </c>
    </row>
    <row r="2455" spans="1:20">
      <c r="A2455" s="101"/>
      <c r="B2455" s="101"/>
      <c r="C2455" s="101"/>
      <c r="D2455" s="101"/>
      <c r="E2455" s="101"/>
      <c r="F2455" s="102"/>
      <c r="G2455" s="101"/>
      <c r="H2455" s="102"/>
      <c r="I2455" s="101"/>
      <c r="J2455" s="101"/>
      <c r="K2455" s="103"/>
      <c r="L2455" s="103"/>
      <c r="M2455" s="103"/>
      <c r="N2455" s="103"/>
      <c r="O2455" s="103"/>
      <c r="P2455" s="98"/>
      <c r="Q2455" s="99"/>
      <c r="R2455" s="104">
        <f t="shared" si="121"/>
        <v>0</v>
      </c>
      <c r="S2455" s="104">
        <f t="shared" si="122"/>
        <v>0</v>
      </c>
      <c r="T2455" s="104">
        <f t="shared" si="123"/>
        <v>0</v>
      </c>
    </row>
    <row r="2456" spans="1:20">
      <c r="A2456" s="101"/>
      <c r="B2456" s="101"/>
      <c r="C2456" s="101"/>
      <c r="D2456" s="101"/>
      <c r="E2456" s="101"/>
      <c r="F2456" s="102"/>
      <c r="G2456" s="101"/>
      <c r="H2456" s="102"/>
      <c r="I2456" s="101"/>
      <c r="J2456" s="101"/>
      <c r="K2456" s="103"/>
      <c r="L2456" s="103"/>
      <c r="M2456" s="103"/>
      <c r="N2456" s="103"/>
      <c r="O2456" s="103"/>
      <c r="P2456" s="98"/>
      <c r="Q2456" s="99"/>
      <c r="R2456" s="104">
        <f t="shared" si="121"/>
        <v>0</v>
      </c>
      <c r="S2456" s="104">
        <f t="shared" si="122"/>
        <v>0</v>
      </c>
      <c r="T2456" s="104">
        <f t="shared" si="123"/>
        <v>0</v>
      </c>
    </row>
    <row r="2457" spans="1:20">
      <c r="A2457" s="101"/>
      <c r="B2457" s="101"/>
      <c r="C2457" s="101"/>
      <c r="D2457" s="101"/>
      <c r="E2457" s="101"/>
      <c r="F2457" s="102"/>
      <c r="G2457" s="101"/>
      <c r="H2457" s="102"/>
      <c r="I2457" s="101"/>
      <c r="J2457" s="101"/>
      <c r="K2457" s="103"/>
      <c r="L2457" s="103"/>
      <c r="M2457" s="103"/>
      <c r="N2457" s="103"/>
      <c r="O2457" s="103"/>
      <c r="P2457" s="98"/>
      <c r="Q2457" s="99"/>
      <c r="R2457" s="104">
        <f t="shared" si="121"/>
        <v>0</v>
      </c>
      <c r="S2457" s="104">
        <f t="shared" si="122"/>
        <v>0</v>
      </c>
      <c r="T2457" s="104">
        <f t="shared" si="123"/>
        <v>0</v>
      </c>
    </row>
    <row r="2458" spans="1:20">
      <c r="A2458" s="101"/>
      <c r="B2458" s="101"/>
      <c r="C2458" s="101"/>
      <c r="D2458" s="101"/>
      <c r="E2458" s="101"/>
      <c r="F2458" s="102"/>
      <c r="G2458" s="101"/>
      <c r="H2458" s="102"/>
      <c r="I2458" s="101"/>
      <c r="J2458" s="101"/>
      <c r="K2458" s="103"/>
      <c r="L2458" s="103"/>
      <c r="M2458" s="103"/>
      <c r="N2458" s="103"/>
      <c r="O2458" s="103"/>
      <c r="P2458" s="98"/>
      <c r="Q2458" s="99"/>
      <c r="R2458" s="104">
        <f t="shared" si="121"/>
        <v>0</v>
      </c>
      <c r="S2458" s="104">
        <f t="shared" si="122"/>
        <v>0</v>
      </c>
      <c r="T2458" s="104">
        <f t="shared" si="123"/>
        <v>0</v>
      </c>
    </row>
    <row r="2459" spans="1:20">
      <c r="A2459" s="101"/>
      <c r="B2459" s="101"/>
      <c r="C2459" s="101"/>
      <c r="D2459" s="101"/>
      <c r="E2459" s="101"/>
      <c r="F2459" s="102"/>
      <c r="G2459" s="101"/>
      <c r="H2459" s="102"/>
      <c r="I2459" s="101"/>
      <c r="J2459" s="101"/>
      <c r="K2459" s="103"/>
      <c r="L2459" s="103"/>
      <c r="M2459" s="103"/>
      <c r="N2459" s="103"/>
      <c r="O2459" s="103"/>
      <c r="P2459" s="98"/>
      <c r="Q2459" s="99"/>
      <c r="R2459" s="104">
        <f t="shared" si="121"/>
        <v>0</v>
      </c>
      <c r="S2459" s="104">
        <f t="shared" si="122"/>
        <v>0</v>
      </c>
      <c r="T2459" s="104">
        <f t="shared" si="123"/>
        <v>0</v>
      </c>
    </row>
    <row r="2460" spans="1:20">
      <c r="A2460" s="101"/>
      <c r="B2460" s="101"/>
      <c r="C2460" s="101"/>
      <c r="D2460" s="101"/>
      <c r="E2460" s="101"/>
      <c r="F2460" s="102"/>
      <c r="G2460" s="101"/>
      <c r="H2460" s="102"/>
      <c r="I2460" s="101"/>
      <c r="J2460" s="101"/>
      <c r="K2460" s="103"/>
      <c r="L2460" s="103"/>
      <c r="M2460" s="103"/>
      <c r="N2460" s="103"/>
      <c r="O2460" s="103"/>
      <c r="P2460" s="98"/>
      <c r="Q2460" s="99"/>
      <c r="R2460" s="104">
        <f t="shared" si="121"/>
        <v>0</v>
      </c>
      <c r="S2460" s="104">
        <f t="shared" si="122"/>
        <v>0</v>
      </c>
      <c r="T2460" s="104">
        <f t="shared" si="123"/>
        <v>0</v>
      </c>
    </row>
    <row r="2461" spans="1:20">
      <c r="A2461" s="101"/>
      <c r="B2461" s="101"/>
      <c r="C2461" s="101"/>
      <c r="D2461" s="101"/>
      <c r="E2461" s="101"/>
      <c r="F2461" s="102"/>
      <c r="G2461" s="101"/>
      <c r="H2461" s="102"/>
      <c r="I2461" s="101"/>
      <c r="J2461" s="101"/>
      <c r="K2461" s="103"/>
      <c r="L2461" s="103"/>
      <c r="M2461" s="103"/>
      <c r="N2461" s="103"/>
      <c r="O2461" s="103"/>
      <c r="P2461" s="98"/>
      <c r="Q2461" s="99"/>
      <c r="R2461" s="104">
        <f t="shared" si="121"/>
        <v>0</v>
      </c>
      <c r="S2461" s="104">
        <f t="shared" si="122"/>
        <v>0</v>
      </c>
      <c r="T2461" s="104">
        <f t="shared" si="123"/>
        <v>0</v>
      </c>
    </row>
    <row r="2462" spans="1:20">
      <c r="A2462" s="101"/>
      <c r="B2462" s="101"/>
      <c r="C2462" s="101"/>
      <c r="D2462" s="101"/>
      <c r="E2462" s="101"/>
      <c r="F2462" s="102"/>
      <c r="G2462" s="101"/>
      <c r="H2462" s="102"/>
      <c r="I2462" s="101"/>
      <c r="J2462" s="101"/>
      <c r="K2462" s="103"/>
      <c r="L2462" s="103"/>
      <c r="M2462" s="103"/>
      <c r="N2462" s="103"/>
      <c r="O2462" s="103"/>
      <c r="P2462" s="98"/>
      <c r="Q2462" s="99"/>
      <c r="R2462" s="104">
        <f t="shared" si="121"/>
        <v>0</v>
      </c>
      <c r="S2462" s="104">
        <f t="shared" si="122"/>
        <v>0</v>
      </c>
      <c r="T2462" s="104">
        <f t="shared" si="123"/>
        <v>0</v>
      </c>
    </row>
    <row r="2463" spans="1:20">
      <c r="A2463" s="101"/>
      <c r="B2463" s="101"/>
      <c r="C2463" s="101"/>
      <c r="D2463" s="101"/>
      <c r="E2463" s="101"/>
      <c r="F2463" s="102"/>
      <c r="G2463" s="101"/>
      <c r="H2463" s="102"/>
      <c r="I2463" s="101"/>
      <c r="J2463" s="101"/>
      <c r="K2463" s="103"/>
      <c r="L2463" s="103"/>
      <c r="M2463" s="103"/>
      <c r="N2463" s="103"/>
      <c r="O2463" s="103"/>
      <c r="P2463" s="98"/>
      <c r="Q2463" s="99"/>
      <c r="R2463" s="104">
        <f t="shared" si="121"/>
        <v>0</v>
      </c>
      <c r="S2463" s="104">
        <f t="shared" si="122"/>
        <v>0</v>
      </c>
      <c r="T2463" s="104">
        <f t="shared" si="123"/>
        <v>0</v>
      </c>
    </row>
    <row r="2464" spans="1:20">
      <c r="A2464" s="101"/>
      <c r="B2464" s="101"/>
      <c r="C2464" s="101"/>
      <c r="D2464" s="101"/>
      <c r="E2464" s="101"/>
      <c r="F2464" s="102"/>
      <c r="G2464" s="101"/>
      <c r="H2464" s="102"/>
      <c r="I2464" s="101"/>
      <c r="J2464" s="101"/>
      <c r="K2464" s="103"/>
      <c r="L2464" s="103"/>
      <c r="M2464" s="103"/>
      <c r="N2464" s="103"/>
      <c r="O2464" s="103"/>
      <c r="P2464" s="98"/>
      <c r="Q2464" s="99"/>
      <c r="R2464" s="104">
        <f t="shared" si="121"/>
        <v>0</v>
      </c>
      <c r="S2464" s="104">
        <f t="shared" si="122"/>
        <v>0</v>
      </c>
      <c r="T2464" s="104">
        <f t="shared" si="123"/>
        <v>0</v>
      </c>
    </row>
    <row r="2465" spans="1:20">
      <c r="A2465" s="101"/>
      <c r="B2465" s="101"/>
      <c r="C2465" s="101"/>
      <c r="D2465" s="101"/>
      <c r="E2465" s="101"/>
      <c r="F2465" s="102"/>
      <c r="G2465" s="101"/>
      <c r="H2465" s="102"/>
      <c r="I2465" s="101"/>
      <c r="J2465" s="101"/>
      <c r="K2465" s="103"/>
      <c r="L2465" s="103"/>
      <c r="M2465" s="103"/>
      <c r="N2465" s="103"/>
      <c r="O2465" s="103"/>
      <c r="P2465" s="98"/>
      <c r="Q2465" s="99"/>
      <c r="R2465" s="104">
        <f t="shared" si="121"/>
        <v>0</v>
      </c>
      <c r="S2465" s="104">
        <f t="shared" si="122"/>
        <v>0</v>
      </c>
      <c r="T2465" s="104">
        <f t="shared" si="123"/>
        <v>0</v>
      </c>
    </row>
    <row r="2466" spans="1:20">
      <c r="A2466" s="101"/>
      <c r="B2466" s="101"/>
      <c r="C2466" s="101"/>
      <c r="D2466" s="101"/>
      <c r="E2466" s="101"/>
      <c r="F2466" s="102"/>
      <c r="G2466" s="101"/>
      <c r="H2466" s="102"/>
      <c r="I2466" s="101"/>
      <c r="J2466" s="101"/>
      <c r="K2466" s="103"/>
      <c r="L2466" s="103"/>
      <c r="M2466" s="103"/>
      <c r="N2466" s="103"/>
      <c r="O2466" s="103"/>
      <c r="P2466" s="98"/>
      <c r="Q2466" s="99"/>
      <c r="R2466" s="104">
        <f t="shared" si="121"/>
        <v>0</v>
      </c>
      <c r="S2466" s="104">
        <f t="shared" si="122"/>
        <v>0</v>
      </c>
      <c r="T2466" s="104">
        <f t="shared" si="123"/>
        <v>0</v>
      </c>
    </row>
    <row r="2467" spans="1:20">
      <c r="A2467" s="101"/>
      <c r="B2467" s="101"/>
      <c r="C2467" s="101"/>
      <c r="D2467" s="101"/>
      <c r="E2467" s="101"/>
      <c r="F2467" s="102"/>
      <c r="G2467" s="101"/>
      <c r="H2467" s="102"/>
      <c r="I2467" s="101"/>
      <c r="J2467" s="101"/>
      <c r="K2467" s="103"/>
      <c r="L2467" s="103"/>
      <c r="M2467" s="103"/>
      <c r="N2467" s="103"/>
      <c r="O2467" s="103"/>
      <c r="P2467" s="98"/>
      <c r="Q2467" s="99"/>
      <c r="R2467" s="104">
        <f t="shared" si="121"/>
        <v>0</v>
      </c>
      <c r="S2467" s="104">
        <f t="shared" si="122"/>
        <v>0</v>
      </c>
      <c r="T2467" s="104">
        <f t="shared" si="123"/>
        <v>0</v>
      </c>
    </row>
    <row r="2468" spans="1:20">
      <c r="A2468" s="101"/>
      <c r="B2468" s="101"/>
      <c r="C2468" s="101"/>
      <c r="D2468" s="101"/>
      <c r="E2468" s="101"/>
      <c r="F2468" s="102"/>
      <c r="G2468" s="101"/>
      <c r="H2468" s="102"/>
      <c r="I2468" s="101"/>
      <c r="J2468" s="101"/>
      <c r="K2468" s="103"/>
      <c r="L2468" s="103"/>
      <c r="M2468" s="103"/>
      <c r="N2468" s="103"/>
      <c r="O2468" s="103"/>
      <c r="P2468" s="98"/>
      <c r="Q2468" s="99"/>
      <c r="R2468" s="104">
        <f t="shared" si="121"/>
        <v>0</v>
      </c>
      <c r="S2468" s="104">
        <f t="shared" si="122"/>
        <v>0</v>
      </c>
      <c r="T2468" s="104">
        <f t="shared" si="123"/>
        <v>0</v>
      </c>
    </row>
    <row r="2469" spans="1:20">
      <c r="A2469" s="101"/>
      <c r="B2469" s="101"/>
      <c r="C2469" s="101"/>
      <c r="D2469" s="101"/>
      <c r="E2469" s="101"/>
      <c r="F2469" s="102"/>
      <c r="G2469" s="101"/>
      <c r="H2469" s="102"/>
      <c r="I2469" s="101"/>
      <c r="J2469" s="101"/>
      <c r="K2469" s="103"/>
      <c r="L2469" s="103"/>
      <c r="M2469" s="103"/>
      <c r="N2469" s="103"/>
      <c r="O2469" s="103"/>
      <c r="P2469" s="98"/>
      <c r="Q2469" s="99"/>
      <c r="R2469" s="104">
        <f t="shared" si="121"/>
        <v>0</v>
      </c>
      <c r="S2469" s="104">
        <f t="shared" si="122"/>
        <v>0</v>
      </c>
      <c r="T2469" s="104">
        <f t="shared" si="123"/>
        <v>0</v>
      </c>
    </row>
    <row r="2470" spans="1:20">
      <c r="A2470" s="101"/>
      <c r="B2470" s="101"/>
      <c r="C2470" s="101"/>
      <c r="D2470" s="101"/>
      <c r="E2470" s="101"/>
      <c r="F2470" s="102"/>
      <c r="G2470" s="101"/>
      <c r="H2470" s="102"/>
      <c r="I2470" s="101"/>
      <c r="J2470" s="101"/>
      <c r="K2470" s="103"/>
      <c r="L2470" s="103"/>
      <c r="M2470" s="103"/>
      <c r="N2470" s="103"/>
      <c r="O2470" s="103"/>
      <c r="P2470" s="98"/>
      <c r="Q2470" s="99"/>
      <c r="R2470" s="104">
        <f t="shared" si="121"/>
        <v>0</v>
      </c>
      <c r="S2470" s="104">
        <f t="shared" si="122"/>
        <v>0</v>
      </c>
      <c r="T2470" s="104">
        <f t="shared" si="123"/>
        <v>0</v>
      </c>
    </row>
    <row r="2471" spans="1:20">
      <c r="A2471" s="101"/>
      <c r="B2471" s="101"/>
      <c r="C2471" s="101"/>
      <c r="D2471" s="101"/>
      <c r="E2471" s="101"/>
      <c r="F2471" s="102"/>
      <c r="G2471" s="101"/>
      <c r="H2471" s="102"/>
      <c r="I2471" s="101"/>
      <c r="J2471" s="101"/>
      <c r="K2471" s="103"/>
      <c r="L2471" s="103"/>
      <c r="M2471" s="103"/>
      <c r="N2471" s="103"/>
      <c r="O2471" s="103"/>
      <c r="P2471" s="98"/>
      <c r="Q2471" s="99"/>
      <c r="R2471" s="104">
        <f t="shared" si="121"/>
        <v>0</v>
      </c>
      <c r="S2471" s="104">
        <f t="shared" si="122"/>
        <v>0</v>
      </c>
      <c r="T2471" s="104">
        <f t="shared" si="123"/>
        <v>0</v>
      </c>
    </row>
    <row r="2472" spans="1:20">
      <c r="A2472" s="101"/>
      <c r="B2472" s="101"/>
      <c r="C2472" s="101"/>
      <c r="D2472" s="101"/>
      <c r="E2472" s="101"/>
      <c r="F2472" s="102"/>
      <c r="G2472" s="101"/>
      <c r="H2472" s="102"/>
      <c r="I2472" s="101"/>
      <c r="J2472" s="101"/>
      <c r="K2472" s="103"/>
      <c r="L2472" s="103"/>
      <c r="M2472" s="103"/>
      <c r="N2472" s="103"/>
      <c r="O2472" s="103"/>
      <c r="P2472" s="98"/>
      <c r="Q2472" s="99"/>
      <c r="R2472" s="104">
        <f t="shared" si="121"/>
        <v>0</v>
      </c>
      <c r="S2472" s="104">
        <f t="shared" si="122"/>
        <v>0</v>
      </c>
      <c r="T2472" s="104">
        <f t="shared" si="123"/>
        <v>0</v>
      </c>
    </row>
    <row r="2473" spans="1:20">
      <c r="A2473" s="101"/>
      <c r="B2473" s="101"/>
      <c r="C2473" s="101"/>
      <c r="D2473" s="101"/>
      <c r="E2473" s="101"/>
      <c r="F2473" s="102"/>
      <c r="G2473" s="101"/>
      <c r="H2473" s="102"/>
      <c r="I2473" s="101"/>
      <c r="J2473" s="101"/>
      <c r="K2473" s="103"/>
      <c r="L2473" s="103"/>
      <c r="M2473" s="103"/>
      <c r="N2473" s="103"/>
      <c r="O2473" s="103"/>
      <c r="P2473" s="98"/>
      <c r="Q2473" s="99"/>
      <c r="R2473" s="104">
        <f t="shared" si="121"/>
        <v>0</v>
      </c>
      <c r="S2473" s="104">
        <f t="shared" si="122"/>
        <v>0</v>
      </c>
      <c r="T2473" s="104">
        <f t="shared" si="123"/>
        <v>0</v>
      </c>
    </row>
    <row r="2474" spans="1:20">
      <c r="A2474" s="101"/>
      <c r="B2474" s="101"/>
      <c r="C2474" s="101"/>
      <c r="D2474" s="101"/>
      <c r="E2474" s="101"/>
      <c r="F2474" s="102"/>
      <c r="G2474" s="101"/>
      <c r="H2474" s="102"/>
      <c r="I2474" s="101"/>
      <c r="J2474" s="101"/>
      <c r="K2474" s="103"/>
      <c r="L2474" s="103"/>
      <c r="M2474" s="103"/>
      <c r="N2474" s="103"/>
      <c r="O2474" s="103"/>
      <c r="P2474" s="98"/>
      <c r="Q2474" s="99"/>
      <c r="R2474" s="104">
        <f t="shared" si="121"/>
        <v>0</v>
      </c>
      <c r="S2474" s="104">
        <f t="shared" si="122"/>
        <v>0</v>
      </c>
      <c r="T2474" s="104">
        <f t="shared" si="123"/>
        <v>0</v>
      </c>
    </row>
    <row r="2475" spans="1:20">
      <c r="A2475" s="101"/>
      <c r="B2475" s="101"/>
      <c r="C2475" s="101"/>
      <c r="D2475" s="101"/>
      <c r="E2475" s="101"/>
      <c r="F2475" s="102"/>
      <c r="G2475" s="101"/>
      <c r="H2475" s="102"/>
      <c r="I2475" s="101"/>
      <c r="J2475" s="101"/>
      <c r="K2475" s="103"/>
      <c r="L2475" s="103"/>
      <c r="M2475" s="103"/>
      <c r="N2475" s="103"/>
      <c r="O2475" s="103"/>
      <c r="P2475" s="98"/>
      <c r="Q2475" s="99"/>
      <c r="R2475" s="104">
        <f t="shared" si="121"/>
        <v>0</v>
      </c>
      <c r="S2475" s="104">
        <f t="shared" si="122"/>
        <v>0</v>
      </c>
      <c r="T2475" s="104">
        <f t="shared" si="123"/>
        <v>0</v>
      </c>
    </row>
    <row r="2476" spans="1:20">
      <c r="A2476" s="101"/>
      <c r="B2476" s="101"/>
      <c r="C2476" s="101"/>
      <c r="D2476" s="101"/>
      <c r="E2476" s="101"/>
      <c r="F2476" s="102"/>
      <c r="G2476" s="101"/>
      <c r="H2476" s="102"/>
      <c r="I2476" s="101"/>
      <c r="J2476" s="101"/>
      <c r="K2476" s="103"/>
      <c r="L2476" s="103"/>
      <c r="M2476" s="103"/>
      <c r="N2476" s="103"/>
      <c r="O2476" s="103"/>
      <c r="P2476" s="98"/>
      <c r="Q2476" s="99"/>
      <c r="R2476" s="104">
        <f t="shared" si="121"/>
        <v>0</v>
      </c>
      <c r="S2476" s="104">
        <f t="shared" si="122"/>
        <v>0</v>
      </c>
      <c r="T2476" s="104">
        <f t="shared" si="123"/>
        <v>0</v>
      </c>
    </row>
    <row r="2477" spans="1:20">
      <c r="A2477" s="101"/>
      <c r="B2477" s="101"/>
      <c r="C2477" s="101"/>
      <c r="D2477" s="101"/>
      <c r="E2477" s="101"/>
      <c r="F2477" s="102"/>
      <c r="G2477" s="101"/>
      <c r="H2477" s="102"/>
      <c r="I2477" s="101"/>
      <c r="J2477" s="101"/>
      <c r="K2477" s="103"/>
      <c r="L2477" s="103"/>
      <c r="M2477" s="103"/>
      <c r="N2477" s="103"/>
      <c r="O2477" s="103"/>
      <c r="P2477" s="98"/>
      <c r="Q2477" s="99"/>
      <c r="R2477" s="104">
        <f t="shared" si="121"/>
        <v>0</v>
      </c>
      <c r="S2477" s="104">
        <f t="shared" si="122"/>
        <v>0</v>
      </c>
      <c r="T2477" s="104">
        <f t="shared" si="123"/>
        <v>0</v>
      </c>
    </row>
    <row r="2478" spans="1:20">
      <c r="A2478" s="101"/>
      <c r="B2478" s="101"/>
      <c r="C2478" s="101"/>
      <c r="D2478" s="101"/>
      <c r="E2478" s="101"/>
      <c r="F2478" s="102"/>
      <c r="G2478" s="101"/>
      <c r="H2478" s="102"/>
      <c r="I2478" s="101"/>
      <c r="J2478" s="101"/>
      <c r="K2478" s="103"/>
      <c r="L2478" s="103"/>
      <c r="M2478" s="103"/>
      <c r="N2478" s="103"/>
      <c r="O2478" s="103"/>
      <c r="P2478" s="98"/>
      <c r="Q2478" s="99"/>
      <c r="R2478" s="104">
        <f t="shared" si="121"/>
        <v>0</v>
      </c>
      <c r="S2478" s="104">
        <f t="shared" si="122"/>
        <v>0</v>
      </c>
      <c r="T2478" s="104">
        <f t="shared" si="123"/>
        <v>0</v>
      </c>
    </row>
    <row r="2479" spans="1:20">
      <c r="A2479" s="101"/>
      <c r="B2479" s="101"/>
      <c r="C2479" s="101"/>
      <c r="D2479" s="101"/>
      <c r="E2479" s="101"/>
      <c r="F2479" s="102"/>
      <c r="G2479" s="101"/>
      <c r="H2479" s="102"/>
      <c r="I2479" s="101"/>
      <c r="J2479" s="101"/>
      <c r="K2479" s="103"/>
      <c r="L2479" s="103"/>
      <c r="M2479" s="103"/>
      <c r="N2479" s="103"/>
      <c r="O2479" s="103"/>
      <c r="P2479" s="98"/>
      <c r="Q2479" s="99"/>
      <c r="R2479" s="104">
        <f t="shared" si="121"/>
        <v>0</v>
      </c>
      <c r="S2479" s="104">
        <f t="shared" si="122"/>
        <v>0</v>
      </c>
      <c r="T2479" s="104">
        <f t="shared" si="123"/>
        <v>0</v>
      </c>
    </row>
    <row r="2480" spans="1:20">
      <c r="A2480" s="101"/>
      <c r="B2480" s="101"/>
      <c r="C2480" s="101"/>
      <c r="D2480" s="101"/>
      <c r="E2480" s="101"/>
      <c r="F2480" s="102"/>
      <c r="G2480" s="101"/>
      <c r="H2480" s="102"/>
      <c r="I2480" s="101"/>
      <c r="J2480" s="101"/>
      <c r="K2480" s="103"/>
      <c r="L2480" s="103"/>
      <c r="M2480" s="103"/>
      <c r="N2480" s="103"/>
      <c r="O2480" s="103"/>
      <c r="P2480" s="98"/>
      <c r="Q2480" s="99"/>
      <c r="R2480" s="104">
        <f t="shared" si="121"/>
        <v>0</v>
      </c>
      <c r="S2480" s="104">
        <f t="shared" si="122"/>
        <v>0</v>
      </c>
      <c r="T2480" s="104">
        <f t="shared" si="123"/>
        <v>0</v>
      </c>
    </row>
    <row r="2481" spans="1:20">
      <c r="A2481" s="101"/>
      <c r="B2481" s="101"/>
      <c r="C2481" s="101"/>
      <c r="D2481" s="101"/>
      <c r="E2481" s="101"/>
      <c r="F2481" s="102"/>
      <c r="G2481" s="101"/>
      <c r="H2481" s="102"/>
      <c r="I2481" s="101"/>
      <c r="J2481" s="101"/>
      <c r="K2481" s="103"/>
      <c r="L2481" s="103"/>
      <c r="M2481" s="103"/>
      <c r="N2481" s="103"/>
      <c r="O2481" s="103"/>
      <c r="P2481" s="98"/>
      <c r="Q2481" s="99"/>
      <c r="R2481" s="104">
        <f t="shared" si="121"/>
        <v>0</v>
      </c>
      <c r="S2481" s="104">
        <f t="shared" si="122"/>
        <v>0</v>
      </c>
      <c r="T2481" s="104">
        <f t="shared" si="123"/>
        <v>0</v>
      </c>
    </row>
    <row r="2482" spans="1:20">
      <c r="A2482" s="101"/>
      <c r="B2482" s="101"/>
      <c r="C2482" s="101"/>
      <c r="D2482" s="101"/>
      <c r="E2482" s="101"/>
      <c r="F2482" s="102"/>
      <c r="G2482" s="101"/>
      <c r="H2482" s="102"/>
      <c r="I2482" s="101"/>
      <c r="J2482" s="101"/>
      <c r="K2482" s="103"/>
      <c r="L2482" s="103"/>
      <c r="M2482" s="103"/>
      <c r="N2482" s="103"/>
      <c r="O2482" s="103"/>
      <c r="P2482" s="98"/>
      <c r="Q2482" s="99"/>
      <c r="R2482" s="104">
        <f t="shared" si="121"/>
        <v>0</v>
      </c>
      <c r="S2482" s="104">
        <f t="shared" si="122"/>
        <v>0</v>
      </c>
      <c r="T2482" s="104">
        <f t="shared" si="123"/>
        <v>0</v>
      </c>
    </row>
    <row r="2483" spans="1:20">
      <c r="A2483" s="101"/>
      <c r="B2483" s="101"/>
      <c r="C2483" s="101"/>
      <c r="D2483" s="101"/>
      <c r="E2483" s="101"/>
      <c r="F2483" s="102"/>
      <c r="G2483" s="101"/>
      <c r="H2483" s="102"/>
      <c r="I2483" s="101"/>
      <c r="J2483" s="101"/>
      <c r="K2483" s="103"/>
      <c r="L2483" s="103"/>
      <c r="M2483" s="103"/>
      <c r="N2483" s="103"/>
      <c r="O2483" s="103"/>
      <c r="P2483" s="98"/>
      <c r="Q2483" s="99"/>
      <c r="R2483" s="104">
        <f t="shared" si="121"/>
        <v>0</v>
      </c>
      <c r="S2483" s="104">
        <f t="shared" si="122"/>
        <v>0</v>
      </c>
      <c r="T2483" s="104">
        <f t="shared" si="123"/>
        <v>0</v>
      </c>
    </row>
    <row r="2484" spans="1:20">
      <c r="A2484" s="101"/>
      <c r="B2484" s="101"/>
      <c r="C2484" s="101"/>
      <c r="D2484" s="101"/>
      <c r="E2484" s="101"/>
      <c r="F2484" s="102"/>
      <c r="G2484" s="101"/>
      <c r="H2484" s="102"/>
      <c r="I2484" s="101"/>
      <c r="J2484" s="101"/>
      <c r="K2484" s="103"/>
      <c r="L2484" s="103"/>
      <c r="M2484" s="103"/>
      <c r="N2484" s="103"/>
      <c r="O2484" s="103"/>
      <c r="P2484" s="98"/>
      <c r="Q2484" s="99"/>
      <c r="R2484" s="104">
        <f t="shared" si="121"/>
        <v>0</v>
      </c>
      <c r="S2484" s="104">
        <f t="shared" si="122"/>
        <v>0</v>
      </c>
      <c r="T2484" s="104">
        <f t="shared" si="123"/>
        <v>0</v>
      </c>
    </row>
    <row r="2485" spans="1:20">
      <c r="A2485" s="101"/>
      <c r="B2485" s="101"/>
      <c r="C2485" s="101"/>
      <c r="D2485" s="101"/>
      <c r="E2485" s="101"/>
      <c r="F2485" s="102"/>
      <c r="G2485" s="101"/>
      <c r="H2485" s="102"/>
      <c r="I2485" s="101"/>
      <c r="J2485" s="101"/>
      <c r="K2485" s="103"/>
      <c r="L2485" s="103"/>
      <c r="M2485" s="103"/>
      <c r="N2485" s="103"/>
      <c r="O2485" s="103"/>
      <c r="P2485" s="98"/>
      <c r="Q2485" s="99"/>
      <c r="R2485" s="104">
        <f t="shared" si="121"/>
        <v>0</v>
      </c>
      <c r="S2485" s="104">
        <f t="shared" si="122"/>
        <v>0</v>
      </c>
      <c r="T2485" s="104">
        <f t="shared" si="123"/>
        <v>0</v>
      </c>
    </row>
    <row r="2486" spans="1:20">
      <c r="A2486" s="101"/>
      <c r="B2486" s="101"/>
      <c r="C2486" s="101"/>
      <c r="D2486" s="101"/>
      <c r="E2486" s="101"/>
      <c r="F2486" s="102"/>
      <c r="G2486" s="101"/>
      <c r="H2486" s="102"/>
      <c r="I2486" s="101"/>
      <c r="J2486" s="101"/>
      <c r="K2486" s="103"/>
      <c r="L2486" s="103"/>
      <c r="M2486" s="103"/>
      <c r="N2486" s="103"/>
      <c r="O2486" s="103"/>
      <c r="P2486" s="98"/>
      <c r="Q2486" s="99"/>
      <c r="R2486" s="104">
        <f t="shared" si="121"/>
        <v>0</v>
      </c>
      <c r="S2486" s="104">
        <f t="shared" si="122"/>
        <v>0</v>
      </c>
      <c r="T2486" s="104">
        <f t="shared" si="123"/>
        <v>0</v>
      </c>
    </row>
    <row r="2487" spans="1:20">
      <c r="A2487" s="101"/>
      <c r="B2487" s="101"/>
      <c r="C2487" s="101"/>
      <c r="D2487" s="101"/>
      <c r="E2487" s="101"/>
      <c r="F2487" s="102"/>
      <c r="G2487" s="101"/>
      <c r="H2487" s="102"/>
      <c r="I2487" s="101"/>
      <c r="J2487" s="101"/>
      <c r="K2487" s="103"/>
      <c r="L2487" s="103"/>
      <c r="M2487" s="103"/>
      <c r="N2487" s="103"/>
      <c r="O2487" s="103"/>
      <c r="P2487" s="98"/>
      <c r="Q2487" s="99"/>
      <c r="R2487" s="104">
        <f t="shared" si="121"/>
        <v>0</v>
      </c>
      <c r="S2487" s="104">
        <f t="shared" si="122"/>
        <v>0</v>
      </c>
      <c r="T2487" s="104">
        <f t="shared" si="123"/>
        <v>0</v>
      </c>
    </row>
    <row r="2488" spans="1:20">
      <c r="A2488" s="101"/>
      <c r="B2488" s="101"/>
      <c r="C2488" s="101"/>
      <c r="D2488" s="101"/>
      <c r="E2488" s="101"/>
      <c r="F2488" s="102"/>
      <c r="G2488" s="101"/>
      <c r="H2488" s="102"/>
      <c r="I2488" s="101"/>
      <c r="J2488" s="101"/>
      <c r="K2488" s="103"/>
      <c r="L2488" s="103"/>
      <c r="M2488" s="103"/>
      <c r="N2488" s="103"/>
      <c r="O2488" s="103"/>
      <c r="P2488" s="98"/>
      <c r="Q2488" s="99"/>
      <c r="R2488" s="104">
        <f t="shared" si="121"/>
        <v>0</v>
      </c>
      <c r="S2488" s="104">
        <f t="shared" si="122"/>
        <v>0</v>
      </c>
      <c r="T2488" s="104">
        <f t="shared" si="123"/>
        <v>0</v>
      </c>
    </row>
    <row r="2489" spans="1:20">
      <c r="A2489" s="101"/>
      <c r="B2489" s="101"/>
      <c r="C2489" s="101"/>
      <c r="D2489" s="101"/>
      <c r="E2489" s="101"/>
      <c r="F2489" s="102"/>
      <c r="G2489" s="101"/>
      <c r="H2489" s="102"/>
      <c r="I2489" s="101"/>
      <c r="J2489" s="101"/>
      <c r="K2489" s="103"/>
      <c r="L2489" s="103"/>
      <c r="M2489" s="103"/>
      <c r="N2489" s="103"/>
      <c r="O2489" s="103"/>
      <c r="P2489" s="98"/>
      <c r="Q2489" s="99"/>
      <c r="R2489" s="104">
        <f t="shared" si="121"/>
        <v>0</v>
      </c>
      <c r="S2489" s="104">
        <f t="shared" si="122"/>
        <v>0</v>
      </c>
      <c r="T2489" s="104">
        <f t="shared" si="123"/>
        <v>0</v>
      </c>
    </row>
    <row r="2490" spans="1:20">
      <c r="A2490" s="101"/>
      <c r="B2490" s="101"/>
      <c r="C2490" s="101"/>
      <c r="D2490" s="101"/>
      <c r="E2490" s="101"/>
      <c r="F2490" s="102"/>
      <c r="G2490" s="101"/>
      <c r="H2490" s="102"/>
      <c r="I2490" s="101"/>
      <c r="J2490" s="101"/>
      <c r="K2490" s="103"/>
      <c r="L2490" s="103"/>
      <c r="M2490" s="103"/>
      <c r="N2490" s="103"/>
      <c r="O2490" s="103"/>
      <c r="P2490" s="98"/>
      <c r="Q2490" s="99"/>
      <c r="R2490" s="104">
        <f t="shared" si="121"/>
        <v>0</v>
      </c>
      <c r="S2490" s="104">
        <f t="shared" si="122"/>
        <v>0</v>
      </c>
      <c r="T2490" s="104">
        <f t="shared" si="123"/>
        <v>0</v>
      </c>
    </row>
    <row r="2491" spans="1:20">
      <c r="A2491" s="101"/>
      <c r="B2491" s="101"/>
      <c r="C2491" s="101"/>
      <c r="D2491" s="101"/>
      <c r="E2491" s="101"/>
      <c r="F2491" s="102"/>
      <c r="G2491" s="101"/>
      <c r="H2491" s="102"/>
      <c r="I2491" s="101"/>
      <c r="J2491" s="101"/>
      <c r="K2491" s="103"/>
      <c r="L2491" s="103"/>
      <c r="M2491" s="103"/>
      <c r="N2491" s="103"/>
      <c r="O2491" s="103"/>
      <c r="P2491" s="98"/>
      <c r="Q2491" s="99"/>
      <c r="R2491" s="104">
        <f t="shared" si="121"/>
        <v>0</v>
      </c>
      <c r="S2491" s="104">
        <f t="shared" si="122"/>
        <v>0</v>
      </c>
      <c r="T2491" s="104">
        <f t="shared" si="123"/>
        <v>0</v>
      </c>
    </row>
    <row r="2492" spans="1:20">
      <c r="A2492" s="101"/>
      <c r="B2492" s="101"/>
      <c r="C2492" s="101"/>
      <c r="D2492" s="101"/>
      <c r="E2492" s="101"/>
      <c r="F2492" s="102"/>
      <c r="G2492" s="101"/>
      <c r="H2492" s="102"/>
      <c r="I2492" s="101"/>
      <c r="J2492" s="101"/>
      <c r="K2492" s="103"/>
      <c r="L2492" s="103"/>
      <c r="M2492" s="103"/>
      <c r="N2492" s="103"/>
      <c r="O2492" s="103"/>
      <c r="P2492" s="98"/>
      <c r="Q2492" s="99"/>
      <c r="R2492" s="104">
        <f t="shared" si="121"/>
        <v>0</v>
      </c>
      <c r="S2492" s="104">
        <f t="shared" si="122"/>
        <v>0</v>
      </c>
      <c r="T2492" s="104">
        <f t="shared" si="123"/>
        <v>0</v>
      </c>
    </row>
    <row r="2493" spans="1:20">
      <c r="A2493" s="101"/>
      <c r="B2493" s="101"/>
      <c r="C2493" s="101"/>
      <c r="D2493" s="101"/>
      <c r="E2493" s="101"/>
      <c r="F2493" s="102"/>
      <c r="G2493" s="101"/>
      <c r="H2493" s="102"/>
      <c r="I2493" s="101"/>
      <c r="J2493" s="101"/>
      <c r="K2493" s="103"/>
      <c r="L2493" s="103"/>
      <c r="M2493" s="103"/>
      <c r="N2493" s="103"/>
      <c r="O2493" s="103"/>
      <c r="P2493" s="98"/>
      <c r="Q2493" s="99"/>
      <c r="R2493" s="104">
        <f t="shared" si="121"/>
        <v>0</v>
      </c>
      <c r="S2493" s="104">
        <f t="shared" si="122"/>
        <v>0</v>
      </c>
      <c r="T2493" s="104">
        <f t="shared" si="123"/>
        <v>0</v>
      </c>
    </row>
    <row r="2494" spans="1:20">
      <c r="A2494" s="101"/>
      <c r="B2494" s="101"/>
      <c r="C2494" s="101"/>
      <c r="D2494" s="101"/>
      <c r="E2494" s="101"/>
      <c r="F2494" s="102"/>
      <c r="G2494" s="101"/>
      <c r="H2494" s="102"/>
      <c r="I2494" s="101"/>
      <c r="J2494" s="101"/>
      <c r="K2494" s="103"/>
      <c r="L2494" s="103"/>
      <c r="M2494" s="103"/>
      <c r="N2494" s="103"/>
      <c r="O2494" s="103"/>
      <c r="P2494" s="98"/>
      <c r="Q2494" s="99"/>
      <c r="R2494" s="104">
        <f t="shared" si="121"/>
        <v>0</v>
      </c>
      <c r="S2494" s="104">
        <f t="shared" si="122"/>
        <v>0</v>
      </c>
      <c r="T2494" s="104">
        <f t="shared" si="123"/>
        <v>0</v>
      </c>
    </row>
    <row r="2495" spans="1:20">
      <c r="A2495" s="101"/>
      <c r="B2495" s="101"/>
      <c r="C2495" s="101"/>
      <c r="D2495" s="101"/>
      <c r="E2495" s="101"/>
      <c r="F2495" s="102"/>
      <c r="G2495" s="101"/>
      <c r="H2495" s="102"/>
      <c r="I2495" s="101"/>
      <c r="J2495" s="101"/>
      <c r="K2495" s="103"/>
      <c r="L2495" s="103"/>
      <c r="M2495" s="103"/>
      <c r="N2495" s="103"/>
      <c r="O2495" s="103"/>
      <c r="P2495" s="98"/>
      <c r="Q2495" s="99"/>
      <c r="R2495" s="104">
        <f t="shared" si="121"/>
        <v>0</v>
      </c>
      <c r="S2495" s="104">
        <f t="shared" si="122"/>
        <v>0</v>
      </c>
      <c r="T2495" s="104">
        <f t="shared" si="123"/>
        <v>0</v>
      </c>
    </row>
    <row r="2496" spans="1:20">
      <c r="A2496" s="101"/>
      <c r="B2496" s="101"/>
      <c r="C2496" s="101"/>
      <c r="D2496" s="101"/>
      <c r="E2496" s="101"/>
      <c r="F2496" s="102"/>
      <c r="G2496" s="101"/>
      <c r="H2496" s="102"/>
      <c r="I2496" s="101"/>
      <c r="J2496" s="101"/>
      <c r="K2496" s="103"/>
      <c r="L2496" s="103"/>
      <c r="M2496" s="103"/>
      <c r="N2496" s="103"/>
      <c r="O2496" s="103"/>
      <c r="P2496" s="98"/>
      <c r="Q2496" s="99"/>
      <c r="R2496" s="104">
        <f t="shared" si="121"/>
        <v>0</v>
      </c>
      <c r="S2496" s="104">
        <f t="shared" si="122"/>
        <v>0</v>
      </c>
      <c r="T2496" s="104">
        <f t="shared" si="123"/>
        <v>0</v>
      </c>
    </row>
    <row r="2497" spans="1:20">
      <c r="A2497" s="101"/>
      <c r="B2497" s="101"/>
      <c r="C2497" s="101"/>
      <c r="D2497" s="101"/>
      <c r="E2497" s="101"/>
      <c r="F2497" s="102"/>
      <c r="G2497" s="101"/>
      <c r="H2497" s="102"/>
      <c r="I2497" s="101"/>
      <c r="J2497" s="101"/>
      <c r="K2497" s="103"/>
      <c r="L2497" s="103"/>
      <c r="M2497" s="103"/>
      <c r="N2497" s="103"/>
      <c r="O2497" s="103"/>
      <c r="P2497" s="98"/>
      <c r="Q2497" s="99"/>
      <c r="R2497" s="104">
        <f t="shared" si="121"/>
        <v>0</v>
      </c>
      <c r="S2497" s="104">
        <f t="shared" si="122"/>
        <v>0</v>
      </c>
      <c r="T2497" s="104">
        <f t="shared" si="123"/>
        <v>0</v>
      </c>
    </row>
    <row r="2498" spans="1:20">
      <c r="A2498" s="101"/>
      <c r="B2498" s="101"/>
      <c r="C2498" s="101"/>
      <c r="D2498" s="101"/>
      <c r="E2498" s="101"/>
      <c r="F2498" s="102"/>
      <c r="G2498" s="101"/>
      <c r="H2498" s="102"/>
      <c r="I2498" s="101"/>
      <c r="J2498" s="101"/>
      <c r="K2498" s="103"/>
      <c r="L2498" s="103"/>
      <c r="M2498" s="103"/>
      <c r="N2498" s="103"/>
      <c r="O2498" s="103"/>
      <c r="P2498" s="98"/>
      <c r="Q2498" s="99"/>
      <c r="R2498" s="104">
        <f t="shared" si="121"/>
        <v>0</v>
      </c>
      <c r="S2498" s="104">
        <f t="shared" si="122"/>
        <v>0</v>
      </c>
      <c r="T2498" s="104">
        <f t="shared" si="123"/>
        <v>0</v>
      </c>
    </row>
    <row r="2499" spans="1:20">
      <c r="A2499" s="101"/>
      <c r="B2499" s="101"/>
      <c r="C2499" s="101"/>
      <c r="D2499" s="101"/>
      <c r="E2499" s="101"/>
      <c r="F2499" s="102"/>
      <c r="G2499" s="101"/>
      <c r="H2499" s="102"/>
      <c r="I2499" s="101"/>
      <c r="J2499" s="101"/>
      <c r="K2499" s="103"/>
      <c r="L2499" s="103"/>
      <c r="M2499" s="103"/>
      <c r="N2499" s="103"/>
      <c r="O2499" s="103"/>
      <c r="P2499" s="98"/>
      <c r="Q2499" s="99"/>
      <c r="R2499" s="104">
        <f t="shared" si="121"/>
        <v>0</v>
      </c>
      <c r="S2499" s="104">
        <f t="shared" si="122"/>
        <v>0</v>
      </c>
      <c r="T2499" s="104">
        <f t="shared" si="123"/>
        <v>0</v>
      </c>
    </row>
    <row r="2500" spans="1:20">
      <c r="A2500" s="101"/>
      <c r="B2500" s="101"/>
      <c r="C2500" s="101"/>
      <c r="D2500" s="101"/>
      <c r="E2500" s="101"/>
      <c r="F2500" s="102"/>
      <c r="G2500" s="101"/>
      <c r="H2500" s="102"/>
      <c r="I2500" s="101"/>
      <c r="J2500" s="101"/>
      <c r="K2500" s="103"/>
      <c r="L2500" s="103"/>
      <c r="M2500" s="103"/>
      <c r="N2500" s="103"/>
      <c r="O2500" s="103"/>
      <c r="P2500" s="98"/>
      <c r="Q2500" s="99"/>
      <c r="R2500" s="104">
        <f t="shared" si="121"/>
        <v>0</v>
      </c>
      <c r="S2500" s="104">
        <f t="shared" si="122"/>
        <v>0</v>
      </c>
      <c r="T2500" s="104">
        <f t="shared" si="123"/>
        <v>0</v>
      </c>
    </row>
    <row r="2501" spans="1:20">
      <c r="A2501" s="101"/>
      <c r="B2501" s="101"/>
      <c r="C2501" s="101"/>
      <c r="D2501" s="101"/>
      <c r="E2501" s="101"/>
      <c r="F2501" s="102"/>
      <c r="G2501" s="101"/>
      <c r="H2501" s="102"/>
      <c r="I2501" s="101"/>
      <c r="J2501" s="101"/>
      <c r="K2501" s="103"/>
      <c r="L2501" s="103"/>
      <c r="M2501" s="103"/>
      <c r="N2501" s="103"/>
      <c r="O2501" s="103"/>
      <c r="P2501" s="98"/>
      <c r="Q2501" s="99"/>
      <c r="R2501" s="104">
        <f t="shared" si="121"/>
        <v>0</v>
      </c>
      <c r="S2501" s="104">
        <f t="shared" si="122"/>
        <v>0</v>
      </c>
      <c r="T2501" s="104">
        <f t="shared" si="123"/>
        <v>0</v>
      </c>
    </row>
    <row r="2502" spans="1:20">
      <c r="A2502" s="101"/>
      <c r="B2502" s="101"/>
      <c r="C2502" s="101"/>
      <c r="D2502" s="101"/>
      <c r="E2502" s="101"/>
      <c r="F2502" s="102"/>
      <c r="G2502" s="101"/>
      <c r="H2502" s="102"/>
      <c r="I2502" s="101"/>
      <c r="J2502" s="101"/>
      <c r="K2502" s="103"/>
      <c r="L2502" s="103"/>
      <c r="M2502" s="103"/>
      <c r="N2502" s="103"/>
      <c r="O2502" s="103"/>
      <c r="P2502" s="98"/>
      <c r="Q2502" s="99"/>
      <c r="R2502" s="104">
        <f t="shared" si="121"/>
        <v>0</v>
      </c>
      <c r="S2502" s="104">
        <f t="shared" si="122"/>
        <v>0</v>
      </c>
      <c r="T2502" s="104">
        <f t="shared" si="123"/>
        <v>0</v>
      </c>
    </row>
    <row r="2503" spans="1:20">
      <c r="A2503" s="101"/>
      <c r="B2503" s="101"/>
      <c r="C2503" s="101"/>
      <c r="D2503" s="101"/>
      <c r="E2503" s="101"/>
      <c r="F2503" s="102"/>
      <c r="G2503" s="101"/>
      <c r="H2503" s="102"/>
      <c r="I2503" s="101"/>
      <c r="J2503" s="101"/>
      <c r="K2503" s="103"/>
      <c r="L2503" s="103"/>
      <c r="M2503" s="103"/>
      <c r="N2503" s="103"/>
      <c r="O2503" s="103"/>
      <c r="P2503" s="98"/>
      <c r="Q2503" s="99"/>
      <c r="R2503" s="104">
        <f t="shared" si="121"/>
        <v>0</v>
      </c>
      <c r="S2503" s="104">
        <f t="shared" si="122"/>
        <v>0</v>
      </c>
      <c r="T2503" s="104">
        <f t="shared" si="123"/>
        <v>0</v>
      </c>
    </row>
    <row r="2504" spans="1:20">
      <c r="A2504" s="101"/>
      <c r="B2504" s="101"/>
      <c r="C2504" s="101"/>
      <c r="D2504" s="101"/>
      <c r="E2504" s="101"/>
      <c r="F2504" s="102"/>
      <c r="G2504" s="101"/>
      <c r="H2504" s="102"/>
      <c r="I2504" s="101"/>
      <c r="J2504" s="101"/>
      <c r="K2504" s="103"/>
      <c r="L2504" s="103"/>
      <c r="M2504" s="103"/>
      <c r="N2504" s="103"/>
      <c r="O2504" s="103"/>
      <c r="P2504" s="98"/>
      <c r="Q2504" s="99"/>
      <c r="R2504" s="104">
        <f t="shared" si="121"/>
        <v>0</v>
      </c>
      <c r="S2504" s="104">
        <f t="shared" si="122"/>
        <v>0</v>
      </c>
      <c r="T2504" s="104">
        <f t="shared" si="123"/>
        <v>0</v>
      </c>
    </row>
    <row r="2505" spans="1:20">
      <c r="A2505" s="101"/>
      <c r="B2505" s="101"/>
      <c r="C2505" s="101"/>
      <c r="D2505" s="101"/>
      <c r="E2505" s="101"/>
      <c r="F2505" s="102"/>
      <c r="G2505" s="101"/>
      <c r="H2505" s="102"/>
      <c r="I2505" s="101"/>
      <c r="J2505" s="101"/>
      <c r="K2505" s="103"/>
      <c r="L2505" s="103"/>
      <c r="M2505" s="103"/>
      <c r="N2505" s="103"/>
      <c r="O2505" s="103"/>
      <c r="P2505" s="98"/>
      <c r="Q2505" s="99"/>
      <c r="R2505" s="104">
        <f t="shared" si="121"/>
        <v>0</v>
      </c>
      <c r="S2505" s="104">
        <f t="shared" si="122"/>
        <v>0</v>
      </c>
      <c r="T2505" s="104">
        <f t="shared" si="123"/>
        <v>0</v>
      </c>
    </row>
    <row r="2506" spans="1:20">
      <c r="A2506" s="101"/>
      <c r="B2506" s="101"/>
      <c r="C2506" s="101"/>
      <c r="D2506" s="101"/>
      <c r="E2506" s="101"/>
      <c r="F2506" s="102"/>
      <c r="G2506" s="101"/>
      <c r="H2506" s="102"/>
      <c r="I2506" s="101"/>
      <c r="J2506" s="101"/>
      <c r="K2506" s="103"/>
      <c r="L2506" s="103"/>
      <c r="M2506" s="103"/>
      <c r="N2506" s="103"/>
      <c r="O2506" s="103"/>
      <c r="P2506" s="98"/>
      <c r="Q2506" s="99"/>
      <c r="R2506" s="104">
        <f t="shared" ref="R2506:R2569" si="124">IF(P2506="Cargo",K2506+L2506-M2506-N2506+O2506,0)</f>
        <v>0</v>
      </c>
      <c r="S2506" s="104">
        <f t="shared" ref="S2506:S2569" si="125">IF(P2506="Abono",K2506+L2506+M2506-N2506-O2506,0)</f>
        <v>0</v>
      </c>
      <c r="T2506" s="104">
        <f t="shared" ref="T2506:T2569" si="126">IF(Q2506="OK",+T2505+R2506-S2506,T2505)</f>
        <v>0</v>
      </c>
    </row>
    <row r="2507" spans="1:20">
      <c r="A2507" s="101"/>
      <c r="B2507" s="101"/>
      <c r="C2507" s="101"/>
      <c r="D2507" s="101"/>
      <c r="E2507" s="101"/>
      <c r="F2507" s="102"/>
      <c r="G2507" s="101"/>
      <c r="H2507" s="102"/>
      <c r="I2507" s="101"/>
      <c r="J2507" s="101"/>
      <c r="K2507" s="103"/>
      <c r="L2507" s="103"/>
      <c r="M2507" s="103"/>
      <c r="N2507" s="103"/>
      <c r="O2507" s="103"/>
      <c r="P2507" s="98"/>
      <c r="Q2507" s="99"/>
      <c r="R2507" s="104">
        <f t="shared" si="124"/>
        <v>0</v>
      </c>
      <c r="S2507" s="104">
        <f t="shared" si="125"/>
        <v>0</v>
      </c>
      <c r="T2507" s="104">
        <f t="shared" si="126"/>
        <v>0</v>
      </c>
    </row>
    <row r="2508" spans="1:20">
      <c r="A2508" s="101"/>
      <c r="B2508" s="101"/>
      <c r="C2508" s="101"/>
      <c r="D2508" s="101"/>
      <c r="E2508" s="101"/>
      <c r="F2508" s="102"/>
      <c r="G2508" s="101"/>
      <c r="H2508" s="102"/>
      <c r="I2508" s="101"/>
      <c r="J2508" s="101"/>
      <c r="K2508" s="103"/>
      <c r="L2508" s="103"/>
      <c r="M2508" s="103"/>
      <c r="N2508" s="103"/>
      <c r="O2508" s="103"/>
      <c r="P2508" s="98"/>
      <c r="Q2508" s="99"/>
      <c r="R2508" s="104">
        <f t="shared" si="124"/>
        <v>0</v>
      </c>
      <c r="S2508" s="104">
        <f t="shared" si="125"/>
        <v>0</v>
      </c>
      <c r="T2508" s="104">
        <f t="shared" si="126"/>
        <v>0</v>
      </c>
    </row>
    <row r="2509" spans="1:20">
      <c r="A2509" s="101"/>
      <c r="B2509" s="101"/>
      <c r="C2509" s="101"/>
      <c r="D2509" s="101"/>
      <c r="E2509" s="101"/>
      <c r="F2509" s="102"/>
      <c r="G2509" s="101"/>
      <c r="H2509" s="102"/>
      <c r="I2509" s="101"/>
      <c r="J2509" s="101"/>
      <c r="K2509" s="103"/>
      <c r="L2509" s="103"/>
      <c r="M2509" s="103"/>
      <c r="N2509" s="103"/>
      <c r="O2509" s="103"/>
      <c r="P2509" s="98"/>
      <c r="Q2509" s="99"/>
      <c r="R2509" s="104">
        <f t="shared" si="124"/>
        <v>0</v>
      </c>
      <c r="S2509" s="104">
        <f t="shared" si="125"/>
        <v>0</v>
      </c>
      <c r="T2509" s="104">
        <f t="shared" si="126"/>
        <v>0</v>
      </c>
    </row>
    <row r="2510" spans="1:20">
      <c r="A2510" s="101"/>
      <c r="B2510" s="101"/>
      <c r="C2510" s="101"/>
      <c r="D2510" s="101"/>
      <c r="E2510" s="101"/>
      <c r="F2510" s="102"/>
      <c r="G2510" s="101"/>
      <c r="H2510" s="102"/>
      <c r="I2510" s="101"/>
      <c r="J2510" s="101"/>
      <c r="K2510" s="103"/>
      <c r="L2510" s="103"/>
      <c r="M2510" s="103"/>
      <c r="N2510" s="103"/>
      <c r="O2510" s="103"/>
      <c r="P2510" s="98"/>
      <c r="Q2510" s="99"/>
      <c r="R2510" s="104">
        <f t="shared" si="124"/>
        <v>0</v>
      </c>
      <c r="S2510" s="104">
        <f t="shared" si="125"/>
        <v>0</v>
      </c>
      <c r="T2510" s="104">
        <f t="shared" si="126"/>
        <v>0</v>
      </c>
    </row>
    <row r="2511" spans="1:20">
      <c r="A2511" s="101"/>
      <c r="B2511" s="101"/>
      <c r="C2511" s="101"/>
      <c r="D2511" s="101"/>
      <c r="E2511" s="101"/>
      <c r="F2511" s="102"/>
      <c r="G2511" s="101"/>
      <c r="H2511" s="102"/>
      <c r="I2511" s="101"/>
      <c r="J2511" s="101"/>
      <c r="K2511" s="103"/>
      <c r="L2511" s="103"/>
      <c r="M2511" s="103"/>
      <c r="N2511" s="103"/>
      <c r="O2511" s="103"/>
      <c r="P2511" s="98"/>
      <c r="Q2511" s="99"/>
      <c r="R2511" s="104">
        <f t="shared" si="124"/>
        <v>0</v>
      </c>
      <c r="S2511" s="104">
        <f t="shared" si="125"/>
        <v>0</v>
      </c>
      <c r="T2511" s="104">
        <f t="shared" si="126"/>
        <v>0</v>
      </c>
    </row>
    <row r="2512" spans="1:20">
      <c r="A2512" s="101"/>
      <c r="B2512" s="101"/>
      <c r="C2512" s="101"/>
      <c r="D2512" s="101"/>
      <c r="E2512" s="101"/>
      <c r="F2512" s="102"/>
      <c r="G2512" s="101"/>
      <c r="H2512" s="102"/>
      <c r="I2512" s="101"/>
      <c r="J2512" s="101"/>
      <c r="K2512" s="103"/>
      <c r="L2512" s="103"/>
      <c r="M2512" s="103"/>
      <c r="N2512" s="103"/>
      <c r="O2512" s="103"/>
      <c r="P2512" s="98"/>
      <c r="Q2512" s="99"/>
      <c r="R2512" s="104">
        <f t="shared" si="124"/>
        <v>0</v>
      </c>
      <c r="S2512" s="104">
        <f t="shared" si="125"/>
        <v>0</v>
      </c>
      <c r="T2512" s="104">
        <f t="shared" si="126"/>
        <v>0</v>
      </c>
    </row>
    <row r="2513" spans="1:20">
      <c r="A2513" s="101"/>
      <c r="B2513" s="101"/>
      <c r="C2513" s="101"/>
      <c r="D2513" s="101"/>
      <c r="E2513" s="101"/>
      <c r="F2513" s="102"/>
      <c r="G2513" s="101"/>
      <c r="H2513" s="102"/>
      <c r="I2513" s="101"/>
      <c r="J2513" s="101"/>
      <c r="K2513" s="103"/>
      <c r="L2513" s="103"/>
      <c r="M2513" s="103"/>
      <c r="N2513" s="103"/>
      <c r="O2513" s="103"/>
      <c r="P2513" s="98"/>
      <c r="Q2513" s="99"/>
      <c r="R2513" s="104">
        <f t="shared" si="124"/>
        <v>0</v>
      </c>
      <c r="S2513" s="104">
        <f t="shared" si="125"/>
        <v>0</v>
      </c>
      <c r="T2513" s="104">
        <f t="shared" si="126"/>
        <v>0</v>
      </c>
    </row>
    <row r="2514" spans="1:20">
      <c r="A2514" s="101"/>
      <c r="B2514" s="101"/>
      <c r="C2514" s="101"/>
      <c r="D2514" s="101"/>
      <c r="E2514" s="101"/>
      <c r="F2514" s="102"/>
      <c r="G2514" s="101"/>
      <c r="H2514" s="102"/>
      <c r="I2514" s="101"/>
      <c r="J2514" s="101"/>
      <c r="K2514" s="103"/>
      <c r="L2514" s="103"/>
      <c r="M2514" s="103"/>
      <c r="N2514" s="103"/>
      <c r="O2514" s="103"/>
      <c r="P2514" s="98"/>
      <c r="Q2514" s="99"/>
      <c r="R2514" s="104">
        <f t="shared" si="124"/>
        <v>0</v>
      </c>
      <c r="S2514" s="104">
        <f t="shared" si="125"/>
        <v>0</v>
      </c>
      <c r="T2514" s="104">
        <f t="shared" si="126"/>
        <v>0</v>
      </c>
    </row>
    <row r="2515" spans="1:20">
      <c r="A2515" s="101"/>
      <c r="B2515" s="101"/>
      <c r="C2515" s="101"/>
      <c r="D2515" s="101"/>
      <c r="E2515" s="101"/>
      <c r="F2515" s="102"/>
      <c r="G2515" s="101"/>
      <c r="H2515" s="102"/>
      <c r="I2515" s="101"/>
      <c r="J2515" s="101"/>
      <c r="K2515" s="103"/>
      <c r="L2515" s="103"/>
      <c r="M2515" s="103"/>
      <c r="N2515" s="103"/>
      <c r="O2515" s="103"/>
      <c r="P2515" s="98"/>
      <c r="Q2515" s="99"/>
      <c r="R2515" s="104">
        <f t="shared" si="124"/>
        <v>0</v>
      </c>
      <c r="S2515" s="104">
        <f t="shared" si="125"/>
        <v>0</v>
      </c>
      <c r="T2515" s="104">
        <f t="shared" si="126"/>
        <v>0</v>
      </c>
    </row>
    <row r="2516" spans="1:20">
      <c r="A2516" s="101"/>
      <c r="B2516" s="101"/>
      <c r="C2516" s="101"/>
      <c r="D2516" s="101"/>
      <c r="E2516" s="101"/>
      <c r="F2516" s="102"/>
      <c r="G2516" s="101"/>
      <c r="H2516" s="102"/>
      <c r="I2516" s="101"/>
      <c r="J2516" s="101"/>
      <c r="K2516" s="103"/>
      <c r="L2516" s="103"/>
      <c r="M2516" s="103"/>
      <c r="N2516" s="103"/>
      <c r="O2516" s="103"/>
      <c r="P2516" s="98"/>
      <c r="Q2516" s="99"/>
      <c r="R2516" s="104">
        <f t="shared" si="124"/>
        <v>0</v>
      </c>
      <c r="S2516" s="104">
        <f t="shared" si="125"/>
        <v>0</v>
      </c>
      <c r="T2516" s="104">
        <f t="shared" si="126"/>
        <v>0</v>
      </c>
    </row>
    <row r="2517" spans="1:20">
      <c r="A2517" s="101"/>
      <c r="B2517" s="101"/>
      <c r="C2517" s="101"/>
      <c r="D2517" s="101"/>
      <c r="E2517" s="101"/>
      <c r="F2517" s="102"/>
      <c r="G2517" s="101"/>
      <c r="H2517" s="102"/>
      <c r="I2517" s="101"/>
      <c r="J2517" s="101"/>
      <c r="K2517" s="103"/>
      <c r="L2517" s="103"/>
      <c r="M2517" s="103"/>
      <c r="N2517" s="103"/>
      <c r="O2517" s="103"/>
      <c r="P2517" s="98"/>
      <c r="Q2517" s="99"/>
      <c r="R2517" s="104">
        <f t="shared" si="124"/>
        <v>0</v>
      </c>
      <c r="S2517" s="104">
        <f t="shared" si="125"/>
        <v>0</v>
      </c>
      <c r="T2517" s="104">
        <f t="shared" si="126"/>
        <v>0</v>
      </c>
    </row>
    <row r="2518" spans="1:20">
      <c r="A2518" s="101"/>
      <c r="B2518" s="101"/>
      <c r="C2518" s="101"/>
      <c r="D2518" s="101"/>
      <c r="E2518" s="101"/>
      <c r="F2518" s="102"/>
      <c r="G2518" s="101"/>
      <c r="H2518" s="102"/>
      <c r="I2518" s="101"/>
      <c r="J2518" s="101"/>
      <c r="K2518" s="103"/>
      <c r="L2518" s="103"/>
      <c r="M2518" s="103"/>
      <c r="N2518" s="103"/>
      <c r="O2518" s="103"/>
      <c r="P2518" s="98"/>
      <c r="Q2518" s="99"/>
      <c r="R2518" s="104">
        <f t="shared" si="124"/>
        <v>0</v>
      </c>
      <c r="S2518" s="104">
        <f t="shared" si="125"/>
        <v>0</v>
      </c>
      <c r="T2518" s="104">
        <f t="shared" si="126"/>
        <v>0</v>
      </c>
    </row>
    <row r="2519" spans="1:20">
      <c r="A2519" s="101"/>
      <c r="B2519" s="101"/>
      <c r="C2519" s="101"/>
      <c r="D2519" s="101"/>
      <c r="E2519" s="101"/>
      <c r="F2519" s="102"/>
      <c r="G2519" s="101"/>
      <c r="H2519" s="102"/>
      <c r="I2519" s="101"/>
      <c r="J2519" s="101"/>
      <c r="K2519" s="103"/>
      <c r="L2519" s="103"/>
      <c r="M2519" s="103"/>
      <c r="N2519" s="103"/>
      <c r="O2519" s="103"/>
      <c r="P2519" s="98"/>
      <c r="Q2519" s="99"/>
      <c r="R2519" s="104">
        <f t="shared" si="124"/>
        <v>0</v>
      </c>
      <c r="S2519" s="104">
        <f t="shared" si="125"/>
        <v>0</v>
      </c>
      <c r="T2519" s="104">
        <f t="shared" si="126"/>
        <v>0</v>
      </c>
    </row>
    <row r="2520" spans="1:20">
      <c r="A2520" s="101"/>
      <c r="B2520" s="101"/>
      <c r="C2520" s="101"/>
      <c r="D2520" s="101"/>
      <c r="E2520" s="101"/>
      <c r="F2520" s="102"/>
      <c r="G2520" s="101"/>
      <c r="H2520" s="102"/>
      <c r="I2520" s="101"/>
      <c r="J2520" s="101"/>
      <c r="K2520" s="103"/>
      <c r="L2520" s="103"/>
      <c r="M2520" s="103"/>
      <c r="N2520" s="103"/>
      <c r="O2520" s="103"/>
      <c r="P2520" s="98"/>
      <c r="Q2520" s="99"/>
      <c r="R2520" s="104">
        <f t="shared" si="124"/>
        <v>0</v>
      </c>
      <c r="S2520" s="104">
        <f t="shared" si="125"/>
        <v>0</v>
      </c>
      <c r="T2520" s="104">
        <f t="shared" si="126"/>
        <v>0</v>
      </c>
    </row>
    <row r="2521" spans="1:20">
      <c r="A2521" s="101"/>
      <c r="B2521" s="101"/>
      <c r="C2521" s="101"/>
      <c r="D2521" s="101"/>
      <c r="E2521" s="101"/>
      <c r="F2521" s="102"/>
      <c r="G2521" s="101"/>
      <c r="H2521" s="102"/>
      <c r="I2521" s="101"/>
      <c r="J2521" s="101"/>
      <c r="K2521" s="103"/>
      <c r="L2521" s="103"/>
      <c r="M2521" s="103"/>
      <c r="N2521" s="103"/>
      <c r="O2521" s="103"/>
      <c r="P2521" s="98"/>
      <c r="Q2521" s="99"/>
      <c r="R2521" s="104">
        <f t="shared" si="124"/>
        <v>0</v>
      </c>
      <c r="S2521" s="104">
        <f t="shared" si="125"/>
        <v>0</v>
      </c>
      <c r="T2521" s="104">
        <f t="shared" si="126"/>
        <v>0</v>
      </c>
    </row>
    <row r="2522" spans="1:20">
      <c r="A2522" s="101"/>
      <c r="B2522" s="101"/>
      <c r="C2522" s="101"/>
      <c r="D2522" s="101"/>
      <c r="E2522" s="101"/>
      <c r="F2522" s="102"/>
      <c r="G2522" s="101"/>
      <c r="H2522" s="102"/>
      <c r="I2522" s="101"/>
      <c r="J2522" s="101"/>
      <c r="K2522" s="103"/>
      <c r="L2522" s="103"/>
      <c r="M2522" s="103"/>
      <c r="N2522" s="103"/>
      <c r="O2522" s="103"/>
      <c r="P2522" s="98"/>
      <c r="Q2522" s="99"/>
      <c r="R2522" s="104">
        <f t="shared" si="124"/>
        <v>0</v>
      </c>
      <c r="S2522" s="104">
        <f t="shared" si="125"/>
        <v>0</v>
      </c>
      <c r="T2522" s="104">
        <f t="shared" si="126"/>
        <v>0</v>
      </c>
    </row>
    <row r="2523" spans="1:20">
      <c r="A2523" s="101"/>
      <c r="B2523" s="101"/>
      <c r="C2523" s="101"/>
      <c r="D2523" s="101"/>
      <c r="E2523" s="101"/>
      <c r="F2523" s="102"/>
      <c r="G2523" s="101"/>
      <c r="H2523" s="102"/>
      <c r="I2523" s="101"/>
      <c r="J2523" s="101"/>
      <c r="K2523" s="103"/>
      <c r="L2523" s="103"/>
      <c r="M2523" s="103"/>
      <c r="N2523" s="103"/>
      <c r="O2523" s="103"/>
      <c r="P2523" s="98"/>
      <c r="Q2523" s="99"/>
      <c r="R2523" s="104">
        <f t="shared" si="124"/>
        <v>0</v>
      </c>
      <c r="S2523" s="104">
        <f t="shared" si="125"/>
        <v>0</v>
      </c>
      <c r="T2523" s="104">
        <f t="shared" si="126"/>
        <v>0</v>
      </c>
    </row>
    <row r="2524" spans="1:20">
      <c r="A2524" s="101"/>
      <c r="B2524" s="101"/>
      <c r="C2524" s="101"/>
      <c r="D2524" s="101"/>
      <c r="E2524" s="101"/>
      <c r="F2524" s="102"/>
      <c r="G2524" s="101"/>
      <c r="H2524" s="102"/>
      <c r="I2524" s="101"/>
      <c r="J2524" s="101"/>
      <c r="K2524" s="103"/>
      <c r="L2524" s="103"/>
      <c r="M2524" s="103"/>
      <c r="N2524" s="103"/>
      <c r="O2524" s="103"/>
      <c r="P2524" s="98"/>
      <c r="Q2524" s="99"/>
      <c r="R2524" s="104">
        <f t="shared" si="124"/>
        <v>0</v>
      </c>
      <c r="S2524" s="104">
        <f t="shared" si="125"/>
        <v>0</v>
      </c>
      <c r="T2524" s="104">
        <f t="shared" si="126"/>
        <v>0</v>
      </c>
    </row>
    <row r="2525" spans="1:20">
      <c r="A2525" s="101"/>
      <c r="B2525" s="101"/>
      <c r="C2525" s="101"/>
      <c r="D2525" s="101"/>
      <c r="E2525" s="101"/>
      <c r="F2525" s="102"/>
      <c r="G2525" s="101"/>
      <c r="H2525" s="102"/>
      <c r="I2525" s="101"/>
      <c r="J2525" s="101"/>
      <c r="K2525" s="103"/>
      <c r="L2525" s="103"/>
      <c r="M2525" s="103"/>
      <c r="N2525" s="103"/>
      <c r="O2525" s="103"/>
      <c r="P2525" s="98"/>
      <c r="Q2525" s="99"/>
      <c r="R2525" s="104">
        <f t="shared" si="124"/>
        <v>0</v>
      </c>
      <c r="S2525" s="104">
        <f t="shared" si="125"/>
        <v>0</v>
      </c>
      <c r="T2525" s="104">
        <f t="shared" si="126"/>
        <v>0</v>
      </c>
    </row>
    <row r="2526" spans="1:20">
      <c r="A2526" s="101"/>
      <c r="B2526" s="101"/>
      <c r="C2526" s="101"/>
      <c r="D2526" s="101"/>
      <c r="E2526" s="101"/>
      <c r="F2526" s="102"/>
      <c r="G2526" s="101"/>
      <c r="H2526" s="102"/>
      <c r="I2526" s="101"/>
      <c r="J2526" s="101"/>
      <c r="K2526" s="103"/>
      <c r="L2526" s="103"/>
      <c r="M2526" s="103"/>
      <c r="N2526" s="103"/>
      <c r="O2526" s="103"/>
      <c r="P2526" s="98"/>
      <c r="Q2526" s="99"/>
      <c r="R2526" s="104">
        <f t="shared" si="124"/>
        <v>0</v>
      </c>
      <c r="S2526" s="104">
        <f t="shared" si="125"/>
        <v>0</v>
      </c>
      <c r="T2526" s="104">
        <f t="shared" si="126"/>
        <v>0</v>
      </c>
    </row>
    <row r="2527" spans="1:20">
      <c r="A2527" s="101"/>
      <c r="B2527" s="101"/>
      <c r="C2527" s="101"/>
      <c r="D2527" s="101"/>
      <c r="E2527" s="101"/>
      <c r="F2527" s="102"/>
      <c r="G2527" s="101"/>
      <c r="H2527" s="102"/>
      <c r="I2527" s="101"/>
      <c r="J2527" s="101"/>
      <c r="K2527" s="103"/>
      <c r="L2527" s="103"/>
      <c r="M2527" s="103"/>
      <c r="N2527" s="103"/>
      <c r="O2527" s="103"/>
      <c r="P2527" s="98"/>
      <c r="Q2527" s="99"/>
      <c r="R2527" s="104">
        <f t="shared" si="124"/>
        <v>0</v>
      </c>
      <c r="S2527" s="104">
        <f t="shared" si="125"/>
        <v>0</v>
      </c>
      <c r="T2527" s="104">
        <f t="shared" si="126"/>
        <v>0</v>
      </c>
    </row>
    <row r="2528" spans="1:20">
      <c r="A2528" s="101"/>
      <c r="B2528" s="101"/>
      <c r="C2528" s="101"/>
      <c r="D2528" s="101"/>
      <c r="E2528" s="101"/>
      <c r="F2528" s="102"/>
      <c r="G2528" s="101"/>
      <c r="H2528" s="102"/>
      <c r="I2528" s="101"/>
      <c r="J2528" s="101"/>
      <c r="K2528" s="103"/>
      <c r="L2528" s="103"/>
      <c r="M2528" s="103"/>
      <c r="N2528" s="103"/>
      <c r="O2528" s="103"/>
      <c r="P2528" s="98"/>
      <c r="Q2528" s="99"/>
      <c r="R2528" s="104">
        <f t="shared" si="124"/>
        <v>0</v>
      </c>
      <c r="S2528" s="104">
        <f t="shared" si="125"/>
        <v>0</v>
      </c>
      <c r="T2528" s="104">
        <f t="shared" si="126"/>
        <v>0</v>
      </c>
    </row>
    <row r="2529" spans="1:20">
      <c r="A2529" s="101"/>
      <c r="B2529" s="101"/>
      <c r="C2529" s="101"/>
      <c r="D2529" s="101"/>
      <c r="E2529" s="101"/>
      <c r="F2529" s="102"/>
      <c r="G2529" s="101"/>
      <c r="H2529" s="102"/>
      <c r="I2529" s="101"/>
      <c r="J2529" s="101"/>
      <c r="K2529" s="103"/>
      <c r="L2529" s="103"/>
      <c r="M2529" s="103"/>
      <c r="N2529" s="103"/>
      <c r="O2529" s="103"/>
      <c r="P2529" s="98"/>
      <c r="Q2529" s="99"/>
      <c r="R2529" s="104">
        <f t="shared" si="124"/>
        <v>0</v>
      </c>
      <c r="S2529" s="104">
        <f t="shared" si="125"/>
        <v>0</v>
      </c>
      <c r="T2529" s="104">
        <f t="shared" si="126"/>
        <v>0</v>
      </c>
    </row>
    <row r="2530" spans="1:20">
      <c r="A2530" s="101"/>
      <c r="B2530" s="101"/>
      <c r="C2530" s="101"/>
      <c r="D2530" s="101"/>
      <c r="E2530" s="101"/>
      <c r="F2530" s="102"/>
      <c r="G2530" s="101"/>
      <c r="H2530" s="102"/>
      <c r="I2530" s="101"/>
      <c r="J2530" s="101"/>
      <c r="K2530" s="103"/>
      <c r="L2530" s="103"/>
      <c r="M2530" s="103"/>
      <c r="N2530" s="103"/>
      <c r="O2530" s="103"/>
      <c r="P2530" s="98"/>
      <c r="Q2530" s="99"/>
      <c r="R2530" s="104">
        <f t="shared" si="124"/>
        <v>0</v>
      </c>
      <c r="S2530" s="104">
        <f t="shared" si="125"/>
        <v>0</v>
      </c>
      <c r="T2530" s="104">
        <f t="shared" si="126"/>
        <v>0</v>
      </c>
    </row>
    <row r="2531" spans="1:20">
      <c r="A2531" s="101"/>
      <c r="B2531" s="101"/>
      <c r="C2531" s="101"/>
      <c r="D2531" s="101"/>
      <c r="E2531" s="101"/>
      <c r="F2531" s="102"/>
      <c r="G2531" s="101"/>
      <c r="H2531" s="102"/>
      <c r="I2531" s="101"/>
      <c r="J2531" s="101"/>
      <c r="K2531" s="103"/>
      <c r="L2531" s="103"/>
      <c r="M2531" s="103"/>
      <c r="N2531" s="103"/>
      <c r="O2531" s="103"/>
      <c r="P2531" s="98"/>
      <c r="Q2531" s="99"/>
      <c r="R2531" s="104">
        <f t="shared" si="124"/>
        <v>0</v>
      </c>
      <c r="S2531" s="104">
        <f t="shared" si="125"/>
        <v>0</v>
      </c>
      <c r="T2531" s="104">
        <f t="shared" si="126"/>
        <v>0</v>
      </c>
    </row>
    <row r="2532" spans="1:20">
      <c r="A2532" s="101"/>
      <c r="B2532" s="101"/>
      <c r="C2532" s="101"/>
      <c r="D2532" s="101"/>
      <c r="E2532" s="101"/>
      <c r="F2532" s="102"/>
      <c r="G2532" s="101"/>
      <c r="H2532" s="102"/>
      <c r="I2532" s="101"/>
      <c r="J2532" s="101"/>
      <c r="K2532" s="103"/>
      <c r="L2532" s="103"/>
      <c r="M2532" s="103"/>
      <c r="N2532" s="103"/>
      <c r="O2532" s="103"/>
      <c r="P2532" s="98"/>
      <c r="Q2532" s="99"/>
      <c r="R2532" s="104">
        <f t="shared" si="124"/>
        <v>0</v>
      </c>
      <c r="S2532" s="104">
        <f t="shared" si="125"/>
        <v>0</v>
      </c>
      <c r="T2532" s="104">
        <f t="shared" si="126"/>
        <v>0</v>
      </c>
    </row>
    <row r="2533" spans="1:20">
      <c r="A2533" s="101"/>
      <c r="B2533" s="101"/>
      <c r="C2533" s="101"/>
      <c r="D2533" s="101"/>
      <c r="E2533" s="101"/>
      <c r="F2533" s="102"/>
      <c r="G2533" s="101"/>
      <c r="H2533" s="102"/>
      <c r="I2533" s="101"/>
      <c r="J2533" s="101"/>
      <c r="K2533" s="103"/>
      <c r="L2533" s="103"/>
      <c r="M2533" s="103"/>
      <c r="N2533" s="103"/>
      <c r="O2533" s="103"/>
      <c r="P2533" s="98"/>
      <c r="Q2533" s="99"/>
      <c r="R2533" s="104">
        <f t="shared" si="124"/>
        <v>0</v>
      </c>
      <c r="S2533" s="104">
        <f t="shared" si="125"/>
        <v>0</v>
      </c>
      <c r="T2533" s="104">
        <f t="shared" si="126"/>
        <v>0</v>
      </c>
    </row>
    <row r="2534" spans="1:20">
      <c r="A2534" s="101"/>
      <c r="B2534" s="101"/>
      <c r="C2534" s="101"/>
      <c r="D2534" s="101"/>
      <c r="E2534" s="101"/>
      <c r="F2534" s="102"/>
      <c r="G2534" s="101"/>
      <c r="H2534" s="102"/>
      <c r="I2534" s="101"/>
      <c r="J2534" s="101"/>
      <c r="K2534" s="103"/>
      <c r="L2534" s="103"/>
      <c r="M2534" s="103"/>
      <c r="N2534" s="103"/>
      <c r="O2534" s="103"/>
      <c r="P2534" s="98"/>
      <c r="Q2534" s="99"/>
      <c r="R2534" s="104">
        <f t="shared" si="124"/>
        <v>0</v>
      </c>
      <c r="S2534" s="104">
        <f t="shared" si="125"/>
        <v>0</v>
      </c>
      <c r="T2534" s="104">
        <f t="shared" si="126"/>
        <v>0</v>
      </c>
    </row>
    <row r="2535" spans="1:20">
      <c r="A2535" s="101"/>
      <c r="B2535" s="101"/>
      <c r="C2535" s="101"/>
      <c r="D2535" s="101"/>
      <c r="E2535" s="101"/>
      <c r="F2535" s="102"/>
      <c r="G2535" s="101"/>
      <c r="H2535" s="102"/>
      <c r="I2535" s="101"/>
      <c r="J2535" s="101"/>
      <c r="K2535" s="103"/>
      <c r="L2535" s="103"/>
      <c r="M2535" s="103"/>
      <c r="N2535" s="103"/>
      <c r="O2535" s="103"/>
      <c r="P2535" s="98"/>
      <c r="Q2535" s="99"/>
      <c r="R2535" s="104">
        <f t="shared" si="124"/>
        <v>0</v>
      </c>
      <c r="S2535" s="104">
        <f t="shared" si="125"/>
        <v>0</v>
      </c>
      <c r="T2535" s="104">
        <f t="shared" si="126"/>
        <v>0</v>
      </c>
    </row>
    <row r="2536" spans="1:20">
      <c r="A2536" s="101"/>
      <c r="B2536" s="101"/>
      <c r="C2536" s="101"/>
      <c r="D2536" s="101"/>
      <c r="E2536" s="101"/>
      <c r="F2536" s="102"/>
      <c r="G2536" s="101"/>
      <c r="H2536" s="102"/>
      <c r="I2536" s="101"/>
      <c r="J2536" s="101"/>
      <c r="K2536" s="103"/>
      <c r="L2536" s="103"/>
      <c r="M2536" s="103"/>
      <c r="N2536" s="103"/>
      <c r="O2536" s="103"/>
      <c r="P2536" s="98"/>
      <c r="Q2536" s="99"/>
      <c r="R2536" s="104">
        <f t="shared" si="124"/>
        <v>0</v>
      </c>
      <c r="S2536" s="104">
        <f t="shared" si="125"/>
        <v>0</v>
      </c>
      <c r="T2536" s="104">
        <f t="shared" si="126"/>
        <v>0</v>
      </c>
    </row>
    <row r="2537" spans="1:20">
      <c r="A2537" s="101"/>
      <c r="B2537" s="101"/>
      <c r="C2537" s="101"/>
      <c r="D2537" s="101"/>
      <c r="E2537" s="101"/>
      <c r="F2537" s="102"/>
      <c r="G2537" s="101"/>
      <c r="H2537" s="102"/>
      <c r="I2537" s="101"/>
      <c r="J2537" s="101"/>
      <c r="K2537" s="103"/>
      <c r="L2537" s="103"/>
      <c r="M2537" s="103"/>
      <c r="N2537" s="103"/>
      <c r="O2537" s="103"/>
      <c r="P2537" s="98"/>
      <c r="Q2537" s="99"/>
      <c r="R2537" s="104">
        <f t="shared" si="124"/>
        <v>0</v>
      </c>
      <c r="S2537" s="104">
        <f t="shared" si="125"/>
        <v>0</v>
      </c>
      <c r="T2537" s="104">
        <f t="shared" si="126"/>
        <v>0</v>
      </c>
    </row>
    <row r="2538" spans="1:20">
      <c r="A2538" s="101"/>
      <c r="B2538" s="101"/>
      <c r="C2538" s="101"/>
      <c r="D2538" s="101"/>
      <c r="E2538" s="101"/>
      <c r="F2538" s="102"/>
      <c r="G2538" s="101"/>
      <c r="H2538" s="102"/>
      <c r="I2538" s="101"/>
      <c r="J2538" s="101"/>
      <c r="K2538" s="103"/>
      <c r="L2538" s="103"/>
      <c r="M2538" s="103"/>
      <c r="N2538" s="103"/>
      <c r="O2538" s="103"/>
      <c r="P2538" s="98"/>
      <c r="Q2538" s="99"/>
      <c r="R2538" s="104">
        <f t="shared" si="124"/>
        <v>0</v>
      </c>
      <c r="S2538" s="104">
        <f t="shared" si="125"/>
        <v>0</v>
      </c>
      <c r="T2538" s="104">
        <f t="shared" si="126"/>
        <v>0</v>
      </c>
    </row>
    <row r="2539" spans="1:20">
      <c r="A2539" s="101"/>
      <c r="B2539" s="101"/>
      <c r="C2539" s="101"/>
      <c r="D2539" s="101"/>
      <c r="E2539" s="101"/>
      <c r="F2539" s="102"/>
      <c r="G2539" s="101"/>
      <c r="H2539" s="102"/>
      <c r="I2539" s="101"/>
      <c r="J2539" s="101"/>
      <c r="K2539" s="103"/>
      <c r="L2539" s="103"/>
      <c r="M2539" s="103"/>
      <c r="N2539" s="103"/>
      <c r="O2539" s="103"/>
      <c r="P2539" s="98"/>
      <c r="Q2539" s="99"/>
      <c r="R2539" s="104">
        <f t="shared" si="124"/>
        <v>0</v>
      </c>
      <c r="S2539" s="104">
        <f t="shared" si="125"/>
        <v>0</v>
      </c>
      <c r="T2539" s="104">
        <f t="shared" si="126"/>
        <v>0</v>
      </c>
    </row>
    <row r="2540" spans="1:20">
      <c r="A2540" s="101"/>
      <c r="B2540" s="101"/>
      <c r="C2540" s="101"/>
      <c r="D2540" s="101"/>
      <c r="E2540" s="101"/>
      <c r="F2540" s="102"/>
      <c r="G2540" s="101"/>
      <c r="H2540" s="102"/>
      <c r="I2540" s="101"/>
      <c r="J2540" s="101"/>
      <c r="K2540" s="103"/>
      <c r="L2540" s="103"/>
      <c r="M2540" s="103"/>
      <c r="N2540" s="103"/>
      <c r="O2540" s="103"/>
      <c r="P2540" s="98"/>
      <c r="Q2540" s="99"/>
      <c r="R2540" s="104">
        <f t="shared" si="124"/>
        <v>0</v>
      </c>
      <c r="S2540" s="104">
        <f t="shared" si="125"/>
        <v>0</v>
      </c>
      <c r="T2540" s="104">
        <f t="shared" si="126"/>
        <v>0</v>
      </c>
    </row>
    <row r="2541" spans="1:20">
      <c r="A2541" s="101"/>
      <c r="B2541" s="101"/>
      <c r="C2541" s="101"/>
      <c r="D2541" s="101"/>
      <c r="E2541" s="101"/>
      <c r="F2541" s="102"/>
      <c r="G2541" s="101"/>
      <c r="H2541" s="102"/>
      <c r="I2541" s="101"/>
      <c r="J2541" s="101"/>
      <c r="K2541" s="103"/>
      <c r="L2541" s="103"/>
      <c r="M2541" s="103"/>
      <c r="N2541" s="103"/>
      <c r="O2541" s="103"/>
      <c r="P2541" s="98"/>
      <c r="Q2541" s="99"/>
      <c r="R2541" s="104">
        <f t="shared" si="124"/>
        <v>0</v>
      </c>
      <c r="S2541" s="104">
        <f t="shared" si="125"/>
        <v>0</v>
      </c>
      <c r="T2541" s="104">
        <f t="shared" si="126"/>
        <v>0</v>
      </c>
    </row>
    <row r="2542" spans="1:20">
      <c r="A2542" s="101"/>
      <c r="B2542" s="101"/>
      <c r="C2542" s="101"/>
      <c r="D2542" s="101"/>
      <c r="E2542" s="101"/>
      <c r="F2542" s="102"/>
      <c r="G2542" s="101"/>
      <c r="H2542" s="102"/>
      <c r="I2542" s="101"/>
      <c r="J2542" s="101"/>
      <c r="K2542" s="103"/>
      <c r="L2542" s="103"/>
      <c r="M2542" s="103"/>
      <c r="N2542" s="103"/>
      <c r="O2542" s="103"/>
      <c r="P2542" s="98"/>
      <c r="Q2542" s="99"/>
      <c r="R2542" s="104">
        <f t="shared" si="124"/>
        <v>0</v>
      </c>
      <c r="S2542" s="104">
        <f t="shared" si="125"/>
        <v>0</v>
      </c>
      <c r="T2542" s="104">
        <f t="shared" si="126"/>
        <v>0</v>
      </c>
    </row>
    <row r="2543" spans="1:20">
      <c r="A2543" s="101"/>
      <c r="B2543" s="101"/>
      <c r="C2543" s="101"/>
      <c r="D2543" s="101"/>
      <c r="E2543" s="101"/>
      <c r="F2543" s="102"/>
      <c r="G2543" s="101"/>
      <c r="H2543" s="102"/>
      <c r="I2543" s="101"/>
      <c r="J2543" s="101"/>
      <c r="K2543" s="103"/>
      <c r="L2543" s="103"/>
      <c r="M2543" s="103"/>
      <c r="N2543" s="103"/>
      <c r="O2543" s="103"/>
      <c r="P2543" s="98"/>
      <c r="Q2543" s="99"/>
      <c r="R2543" s="104">
        <f t="shared" si="124"/>
        <v>0</v>
      </c>
      <c r="S2543" s="104">
        <f t="shared" si="125"/>
        <v>0</v>
      </c>
      <c r="T2543" s="104">
        <f t="shared" si="126"/>
        <v>0</v>
      </c>
    </row>
    <row r="2544" spans="1:20">
      <c r="A2544" s="101"/>
      <c r="B2544" s="101"/>
      <c r="C2544" s="101"/>
      <c r="D2544" s="101"/>
      <c r="E2544" s="101"/>
      <c r="F2544" s="102"/>
      <c r="G2544" s="101"/>
      <c r="H2544" s="102"/>
      <c r="I2544" s="101"/>
      <c r="J2544" s="101"/>
      <c r="K2544" s="103"/>
      <c r="L2544" s="103"/>
      <c r="M2544" s="103"/>
      <c r="N2544" s="103"/>
      <c r="O2544" s="103"/>
      <c r="P2544" s="98"/>
      <c r="Q2544" s="99"/>
      <c r="R2544" s="104">
        <f t="shared" si="124"/>
        <v>0</v>
      </c>
      <c r="S2544" s="104">
        <f t="shared" si="125"/>
        <v>0</v>
      </c>
      <c r="T2544" s="104">
        <f t="shared" si="126"/>
        <v>0</v>
      </c>
    </row>
    <row r="2545" spans="1:20">
      <c r="A2545" s="101"/>
      <c r="B2545" s="101"/>
      <c r="C2545" s="101"/>
      <c r="D2545" s="101"/>
      <c r="E2545" s="101"/>
      <c r="F2545" s="102"/>
      <c r="G2545" s="101"/>
      <c r="H2545" s="102"/>
      <c r="I2545" s="101"/>
      <c r="J2545" s="101"/>
      <c r="K2545" s="103"/>
      <c r="L2545" s="103"/>
      <c r="M2545" s="103"/>
      <c r="N2545" s="103"/>
      <c r="O2545" s="103"/>
      <c r="P2545" s="98"/>
      <c r="Q2545" s="99"/>
      <c r="R2545" s="104">
        <f t="shared" si="124"/>
        <v>0</v>
      </c>
      <c r="S2545" s="104">
        <f t="shared" si="125"/>
        <v>0</v>
      </c>
      <c r="T2545" s="104">
        <f t="shared" si="126"/>
        <v>0</v>
      </c>
    </row>
    <row r="2546" spans="1:20">
      <c r="A2546" s="101"/>
      <c r="B2546" s="101"/>
      <c r="C2546" s="101"/>
      <c r="D2546" s="101"/>
      <c r="E2546" s="101"/>
      <c r="F2546" s="102"/>
      <c r="G2546" s="101"/>
      <c r="H2546" s="102"/>
      <c r="I2546" s="101"/>
      <c r="J2546" s="101"/>
      <c r="K2546" s="103"/>
      <c r="L2546" s="103"/>
      <c r="M2546" s="103"/>
      <c r="N2546" s="103"/>
      <c r="O2546" s="103"/>
      <c r="P2546" s="98"/>
      <c r="Q2546" s="99"/>
      <c r="R2546" s="104">
        <f t="shared" si="124"/>
        <v>0</v>
      </c>
      <c r="S2546" s="104">
        <f t="shared" si="125"/>
        <v>0</v>
      </c>
      <c r="T2546" s="104">
        <f t="shared" si="126"/>
        <v>0</v>
      </c>
    </row>
    <row r="2547" spans="1:20">
      <c r="A2547" s="101"/>
      <c r="B2547" s="101"/>
      <c r="C2547" s="101"/>
      <c r="D2547" s="101"/>
      <c r="E2547" s="101"/>
      <c r="F2547" s="102"/>
      <c r="G2547" s="101"/>
      <c r="H2547" s="102"/>
      <c r="I2547" s="101"/>
      <c r="J2547" s="101"/>
      <c r="K2547" s="103"/>
      <c r="L2547" s="103"/>
      <c r="M2547" s="103"/>
      <c r="N2547" s="103"/>
      <c r="O2547" s="103"/>
      <c r="P2547" s="98"/>
      <c r="Q2547" s="99"/>
      <c r="R2547" s="104">
        <f t="shared" si="124"/>
        <v>0</v>
      </c>
      <c r="S2547" s="104">
        <f t="shared" si="125"/>
        <v>0</v>
      </c>
      <c r="T2547" s="104">
        <f t="shared" si="126"/>
        <v>0</v>
      </c>
    </row>
    <row r="2548" spans="1:20">
      <c r="A2548" s="101"/>
      <c r="B2548" s="101"/>
      <c r="C2548" s="101"/>
      <c r="D2548" s="101"/>
      <c r="E2548" s="101"/>
      <c r="F2548" s="102"/>
      <c r="G2548" s="101"/>
      <c r="H2548" s="102"/>
      <c r="I2548" s="101"/>
      <c r="J2548" s="101"/>
      <c r="K2548" s="103"/>
      <c r="L2548" s="103"/>
      <c r="M2548" s="103"/>
      <c r="N2548" s="103"/>
      <c r="O2548" s="103"/>
      <c r="P2548" s="98"/>
      <c r="Q2548" s="99"/>
      <c r="R2548" s="104">
        <f t="shared" si="124"/>
        <v>0</v>
      </c>
      <c r="S2548" s="104">
        <f t="shared" si="125"/>
        <v>0</v>
      </c>
      <c r="T2548" s="104">
        <f t="shared" si="126"/>
        <v>0</v>
      </c>
    </row>
    <row r="2549" spans="1:20">
      <c r="A2549" s="101"/>
      <c r="B2549" s="101"/>
      <c r="C2549" s="101"/>
      <c r="D2549" s="101"/>
      <c r="E2549" s="101"/>
      <c r="F2549" s="102"/>
      <c r="G2549" s="101"/>
      <c r="H2549" s="102"/>
      <c r="I2549" s="101"/>
      <c r="J2549" s="101"/>
      <c r="K2549" s="103"/>
      <c r="L2549" s="103"/>
      <c r="M2549" s="103"/>
      <c r="N2549" s="103"/>
      <c r="O2549" s="103"/>
      <c r="P2549" s="98"/>
      <c r="Q2549" s="99"/>
      <c r="R2549" s="104">
        <f t="shared" si="124"/>
        <v>0</v>
      </c>
      <c r="S2549" s="104">
        <f t="shared" si="125"/>
        <v>0</v>
      </c>
      <c r="T2549" s="104">
        <f t="shared" si="126"/>
        <v>0</v>
      </c>
    </row>
    <row r="2550" spans="1:20">
      <c r="A2550" s="101"/>
      <c r="B2550" s="101"/>
      <c r="C2550" s="101"/>
      <c r="D2550" s="101"/>
      <c r="E2550" s="101"/>
      <c r="F2550" s="102"/>
      <c r="G2550" s="101"/>
      <c r="H2550" s="102"/>
      <c r="I2550" s="101"/>
      <c r="J2550" s="101"/>
      <c r="K2550" s="103"/>
      <c r="L2550" s="103"/>
      <c r="M2550" s="103"/>
      <c r="N2550" s="103"/>
      <c r="O2550" s="103"/>
      <c r="P2550" s="98"/>
      <c r="Q2550" s="99"/>
      <c r="R2550" s="104">
        <f t="shared" si="124"/>
        <v>0</v>
      </c>
      <c r="S2550" s="104">
        <f t="shared" si="125"/>
        <v>0</v>
      </c>
      <c r="T2550" s="104">
        <f t="shared" si="126"/>
        <v>0</v>
      </c>
    </row>
    <row r="2551" spans="1:20">
      <c r="A2551" s="101"/>
      <c r="B2551" s="101"/>
      <c r="C2551" s="101"/>
      <c r="D2551" s="101"/>
      <c r="E2551" s="101"/>
      <c r="F2551" s="102"/>
      <c r="G2551" s="101"/>
      <c r="H2551" s="102"/>
      <c r="I2551" s="101"/>
      <c r="J2551" s="101"/>
      <c r="K2551" s="103"/>
      <c r="L2551" s="103"/>
      <c r="M2551" s="103"/>
      <c r="N2551" s="103"/>
      <c r="O2551" s="103"/>
      <c r="P2551" s="98"/>
      <c r="Q2551" s="99"/>
      <c r="R2551" s="104">
        <f t="shared" si="124"/>
        <v>0</v>
      </c>
      <c r="S2551" s="104">
        <f t="shared" si="125"/>
        <v>0</v>
      </c>
      <c r="T2551" s="104">
        <f t="shared" si="126"/>
        <v>0</v>
      </c>
    </row>
    <row r="2552" spans="1:20">
      <c r="A2552" s="101"/>
      <c r="B2552" s="101"/>
      <c r="C2552" s="101"/>
      <c r="D2552" s="101"/>
      <c r="E2552" s="101"/>
      <c r="F2552" s="102"/>
      <c r="G2552" s="101"/>
      <c r="H2552" s="102"/>
      <c r="I2552" s="101"/>
      <c r="J2552" s="101"/>
      <c r="K2552" s="103"/>
      <c r="L2552" s="103"/>
      <c r="M2552" s="103"/>
      <c r="N2552" s="103"/>
      <c r="O2552" s="103"/>
      <c r="P2552" s="98"/>
      <c r="Q2552" s="99"/>
      <c r="R2552" s="104">
        <f t="shared" si="124"/>
        <v>0</v>
      </c>
      <c r="S2552" s="104">
        <f t="shared" si="125"/>
        <v>0</v>
      </c>
      <c r="T2552" s="104">
        <f t="shared" si="126"/>
        <v>0</v>
      </c>
    </row>
    <row r="2553" spans="1:20">
      <c r="A2553" s="101"/>
      <c r="B2553" s="101"/>
      <c r="C2553" s="101"/>
      <c r="D2553" s="101"/>
      <c r="E2553" s="101"/>
      <c r="F2553" s="102"/>
      <c r="G2553" s="101"/>
      <c r="H2553" s="102"/>
      <c r="I2553" s="101"/>
      <c r="J2553" s="101"/>
      <c r="K2553" s="103"/>
      <c r="L2553" s="103"/>
      <c r="M2553" s="103"/>
      <c r="N2553" s="103"/>
      <c r="O2553" s="103"/>
      <c r="P2553" s="98"/>
      <c r="Q2553" s="99"/>
      <c r="R2553" s="104">
        <f t="shared" si="124"/>
        <v>0</v>
      </c>
      <c r="S2553" s="104">
        <f t="shared" si="125"/>
        <v>0</v>
      </c>
      <c r="T2553" s="104">
        <f t="shared" si="126"/>
        <v>0</v>
      </c>
    </row>
    <row r="2554" spans="1:20">
      <c r="A2554" s="101"/>
      <c r="B2554" s="101"/>
      <c r="C2554" s="101"/>
      <c r="D2554" s="101"/>
      <c r="E2554" s="101"/>
      <c r="F2554" s="102"/>
      <c r="G2554" s="101"/>
      <c r="H2554" s="102"/>
      <c r="I2554" s="101"/>
      <c r="J2554" s="101"/>
      <c r="K2554" s="103"/>
      <c r="L2554" s="103"/>
      <c r="M2554" s="103"/>
      <c r="N2554" s="103"/>
      <c r="O2554" s="103"/>
      <c r="P2554" s="98"/>
      <c r="Q2554" s="99"/>
      <c r="R2554" s="104">
        <f t="shared" si="124"/>
        <v>0</v>
      </c>
      <c r="S2554" s="104">
        <f t="shared" si="125"/>
        <v>0</v>
      </c>
      <c r="T2554" s="104">
        <f t="shared" si="126"/>
        <v>0</v>
      </c>
    </row>
    <row r="2555" spans="1:20">
      <c r="A2555" s="101"/>
      <c r="B2555" s="101"/>
      <c r="C2555" s="101"/>
      <c r="D2555" s="101"/>
      <c r="E2555" s="101"/>
      <c r="F2555" s="102"/>
      <c r="G2555" s="101"/>
      <c r="H2555" s="102"/>
      <c r="I2555" s="101"/>
      <c r="J2555" s="101"/>
      <c r="K2555" s="103"/>
      <c r="L2555" s="103"/>
      <c r="M2555" s="103"/>
      <c r="N2555" s="103"/>
      <c r="O2555" s="103"/>
      <c r="P2555" s="98"/>
      <c r="Q2555" s="99"/>
      <c r="R2555" s="104">
        <f t="shared" si="124"/>
        <v>0</v>
      </c>
      <c r="S2555" s="104">
        <f t="shared" si="125"/>
        <v>0</v>
      </c>
      <c r="T2555" s="104">
        <f t="shared" si="126"/>
        <v>0</v>
      </c>
    </row>
    <row r="2556" spans="1:20">
      <c r="A2556" s="101"/>
      <c r="B2556" s="101"/>
      <c r="C2556" s="101"/>
      <c r="D2556" s="101"/>
      <c r="E2556" s="101"/>
      <c r="F2556" s="102"/>
      <c r="G2556" s="101"/>
      <c r="H2556" s="102"/>
      <c r="I2556" s="101"/>
      <c r="J2556" s="101"/>
      <c r="K2556" s="103"/>
      <c r="L2556" s="103"/>
      <c r="M2556" s="103"/>
      <c r="N2556" s="103"/>
      <c r="O2556" s="103"/>
      <c r="P2556" s="98"/>
      <c r="Q2556" s="99"/>
      <c r="R2556" s="104">
        <f t="shared" si="124"/>
        <v>0</v>
      </c>
      <c r="S2556" s="104">
        <f t="shared" si="125"/>
        <v>0</v>
      </c>
      <c r="T2556" s="104">
        <f t="shared" si="126"/>
        <v>0</v>
      </c>
    </row>
    <row r="2557" spans="1:20">
      <c r="A2557" s="101"/>
      <c r="B2557" s="101"/>
      <c r="C2557" s="101"/>
      <c r="D2557" s="101"/>
      <c r="E2557" s="101"/>
      <c r="F2557" s="102"/>
      <c r="G2557" s="101"/>
      <c r="H2557" s="102"/>
      <c r="I2557" s="101"/>
      <c r="J2557" s="101"/>
      <c r="K2557" s="103"/>
      <c r="L2557" s="103"/>
      <c r="M2557" s="103"/>
      <c r="N2557" s="103"/>
      <c r="O2557" s="103"/>
      <c r="P2557" s="98"/>
      <c r="Q2557" s="99"/>
      <c r="R2557" s="104">
        <f t="shared" si="124"/>
        <v>0</v>
      </c>
      <c r="S2557" s="104">
        <f t="shared" si="125"/>
        <v>0</v>
      </c>
      <c r="T2557" s="104">
        <f t="shared" si="126"/>
        <v>0</v>
      </c>
    </row>
    <row r="2558" spans="1:20">
      <c r="A2558" s="101"/>
      <c r="B2558" s="101"/>
      <c r="C2558" s="101"/>
      <c r="D2558" s="101"/>
      <c r="E2558" s="101"/>
      <c r="F2558" s="102"/>
      <c r="G2558" s="101"/>
      <c r="H2558" s="102"/>
      <c r="I2558" s="101"/>
      <c r="J2558" s="101"/>
      <c r="K2558" s="103"/>
      <c r="L2558" s="103"/>
      <c r="M2558" s="103"/>
      <c r="N2558" s="103"/>
      <c r="O2558" s="103"/>
      <c r="P2558" s="98"/>
      <c r="Q2558" s="99"/>
      <c r="R2558" s="104">
        <f t="shared" si="124"/>
        <v>0</v>
      </c>
      <c r="S2558" s="104">
        <f t="shared" si="125"/>
        <v>0</v>
      </c>
      <c r="T2558" s="104">
        <f t="shared" si="126"/>
        <v>0</v>
      </c>
    </row>
    <row r="2559" spans="1:20">
      <c r="A2559" s="101"/>
      <c r="B2559" s="101"/>
      <c r="C2559" s="101"/>
      <c r="D2559" s="101"/>
      <c r="E2559" s="101"/>
      <c r="F2559" s="102"/>
      <c r="G2559" s="101"/>
      <c r="H2559" s="102"/>
      <c r="I2559" s="101"/>
      <c r="J2559" s="101"/>
      <c r="K2559" s="103"/>
      <c r="L2559" s="103"/>
      <c r="M2559" s="103"/>
      <c r="N2559" s="103"/>
      <c r="O2559" s="103"/>
      <c r="P2559" s="98"/>
      <c r="Q2559" s="99"/>
      <c r="R2559" s="104">
        <f t="shared" si="124"/>
        <v>0</v>
      </c>
      <c r="S2559" s="104">
        <f t="shared" si="125"/>
        <v>0</v>
      </c>
      <c r="T2559" s="104">
        <f t="shared" si="126"/>
        <v>0</v>
      </c>
    </row>
    <row r="2560" spans="1:20">
      <c r="A2560" s="101"/>
      <c r="B2560" s="101"/>
      <c r="C2560" s="101"/>
      <c r="D2560" s="101"/>
      <c r="E2560" s="101"/>
      <c r="F2560" s="102"/>
      <c r="G2560" s="101"/>
      <c r="H2560" s="102"/>
      <c r="I2560" s="101"/>
      <c r="J2560" s="101"/>
      <c r="K2560" s="103"/>
      <c r="L2560" s="103"/>
      <c r="M2560" s="103"/>
      <c r="N2560" s="103"/>
      <c r="O2560" s="103"/>
      <c r="P2560" s="98"/>
      <c r="Q2560" s="99"/>
      <c r="R2560" s="104">
        <f t="shared" si="124"/>
        <v>0</v>
      </c>
      <c r="S2560" s="104">
        <f t="shared" si="125"/>
        <v>0</v>
      </c>
      <c r="T2560" s="104">
        <f t="shared" si="126"/>
        <v>0</v>
      </c>
    </row>
    <row r="2561" spans="1:20">
      <c r="A2561" s="101"/>
      <c r="B2561" s="101"/>
      <c r="C2561" s="101"/>
      <c r="D2561" s="101"/>
      <c r="E2561" s="101"/>
      <c r="F2561" s="102"/>
      <c r="G2561" s="101"/>
      <c r="H2561" s="102"/>
      <c r="I2561" s="101"/>
      <c r="J2561" s="101"/>
      <c r="K2561" s="103"/>
      <c r="L2561" s="103"/>
      <c r="M2561" s="103"/>
      <c r="N2561" s="103"/>
      <c r="O2561" s="103"/>
      <c r="P2561" s="98"/>
      <c r="Q2561" s="99"/>
      <c r="R2561" s="104">
        <f t="shared" si="124"/>
        <v>0</v>
      </c>
      <c r="S2561" s="104">
        <f t="shared" si="125"/>
        <v>0</v>
      </c>
      <c r="T2561" s="104">
        <f t="shared" si="126"/>
        <v>0</v>
      </c>
    </row>
    <row r="2562" spans="1:20">
      <c r="A2562" s="101"/>
      <c r="B2562" s="101"/>
      <c r="C2562" s="101"/>
      <c r="D2562" s="101"/>
      <c r="E2562" s="101"/>
      <c r="F2562" s="102"/>
      <c r="G2562" s="101"/>
      <c r="H2562" s="102"/>
      <c r="I2562" s="101"/>
      <c r="J2562" s="101"/>
      <c r="K2562" s="103"/>
      <c r="L2562" s="103"/>
      <c r="M2562" s="103"/>
      <c r="N2562" s="103"/>
      <c r="O2562" s="103"/>
      <c r="P2562" s="98"/>
      <c r="Q2562" s="99"/>
      <c r="R2562" s="104">
        <f t="shared" si="124"/>
        <v>0</v>
      </c>
      <c r="S2562" s="104">
        <f t="shared" si="125"/>
        <v>0</v>
      </c>
      <c r="T2562" s="104">
        <f t="shared" si="126"/>
        <v>0</v>
      </c>
    </row>
    <row r="2563" spans="1:20">
      <c r="A2563" s="101"/>
      <c r="B2563" s="101"/>
      <c r="C2563" s="101"/>
      <c r="D2563" s="101"/>
      <c r="E2563" s="101"/>
      <c r="F2563" s="102"/>
      <c r="G2563" s="101"/>
      <c r="H2563" s="102"/>
      <c r="I2563" s="101"/>
      <c r="J2563" s="101"/>
      <c r="K2563" s="103"/>
      <c r="L2563" s="103"/>
      <c r="M2563" s="103"/>
      <c r="N2563" s="103"/>
      <c r="O2563" s="103"/>
      <c r="P2563" s="98"/>
      <c r="Q2563" s="99"/>
      <c r="R2563" s="104">
        <f t="shared" si="124"/>
        <v>0</v>
      </c>
      <c r="S2563" s="104">
        <f t="shared" si="125"/>
        <v>0</v>
      </c>
      <c r="T2563" s="104">
        <f t="shared" si="126"/>
        <v>0</v>
      </c>
    </row>
    <row r="2564" spans="1:20">
      <c r="A2564" s="101"/>
      <c r="B2564" s="101"/>
      <c r="C2564" s="101"/>
      <c r="D2564" s="101"/>
      <c r="E2564" s="101"/>
      <c r="F2564" s="102"/>
      <c r="G2564" s="101"/>
      <c r="H2564" s="102"/>
      <c r="I2564" s="101"/>
      <c r="J2564" s="101"/>
      <c r="K2564" s="103"/>
      <c r="L2564" s="103"/>
      <c r="M2564" s="103"/>
      <c r="N2564" s="103"/>
      <c r="O2564" s="103"/>
      <c r="P2564" s="98"/>
      <c r="Q2564" s="99"/>
      <c r="R2564" s="104">
        <f t="shared" si="124"/>
        <v>0</v>
      </c>
      <c r="S2564" s="104">
        <f t="shared" si="125"/>
        <v>0</v>
      </c>
      <c r="T2564" s="104">
        <f t="shared" si="126"/>
        <v>0</v>
      </c>
    </row>
    <row r="2565" spans="1:20">
      <c r="A2565" s="101"/>
      <c r="B2565" s="101"/>
      <c r="C2565" s="101"/>
      <c r="D2565" s="101"/>
      <c r="E2565" s="101"/>
      <c r="F2565" s="102"/>
      <c r="G2565" s="101"/>
      <c r="H2565" s="102"/>
      <c r="I2565" s="101"/>
      <c r="J2565" s="101"/>
      <c r="K2565" s="103"/>
      <c r="L2565" s="103"/>
      <c r="M2565" s="103"/>
      <c r="N2565" s="103"/>
      <c r="O2565" s="103"/>
      <c r="P2565" s="98"/>
      <c r="Q2565" s="99"/>
      <c r="R2565" s="104">
        <f t="shared" si="124"/>
        <v>0</v>
      </c>
      <c r="S2565" s="104">
        <f t="shared" si="125"/>
        <v>0</v>
      </c>
      <c r="T2565" s="104">
        <f t="shared" si="126"/>
        <v>0</v>
      </c>
    </row>
    <row r="2566" spans="1:20">
      <c r="A2566" s="101"/>
      <c r="B2566" s="101"/>
      <c r="C2566" s="101"/>
      <c r="D2566" s="101"/>
      <c r="E2566" s="101"/>
      <c r="F2566" s="102"/>
      <c r="G2566" s="101"/>
      <c r="H2566" s="102"/>
      <c r="I2566" s="101"/>
      <c r="J2566" s="101"/>
      <c r="K2566" s="103"/>
      <c r="L2566" s="103"/>
      <c r="M2566" s="103"/>
      <c r="N2566" s="103"/>
      <c r="O2566" s="103"/>
      <c r="P2566" s="98"/>
      <c r="Q2566" s="99"/>
      <c r="R2566" s="104">
        <f t="shared" si="124"/>
        <v>0</v>
      </c>
      <c r="S2566" s="104">
        <f t="shared" si="125"/>
        <v>0</v>
      </c>
      <c r="T2566" s="104">
        <f t="shared" si="126"/>
        <v>0</v>
      </c>
    </row>
    <row r="2567" spans="1:20">
      <c r="A2567" s="101"/>
      <c r="B2567" s="101"/>
      <c r="C2567" s="101"/>
      <c r="D2567" s="101"/>
      <c r="E2567" s="101"/>
      <c r="F2567" s="102"/>
      <c r="G2567" s="101"/>
      <c r="H2567" s="102"/>
      <c r="I2567" s="101"/>
      <c r="J2567" s="101"/>
      <c r="K2567" s="103"/>
      <c r="L2567" s="103"/>
      <c r="M2567" s="103"/>
      <c r="N2567" s="103"/>
      <c r="O2567" s="103"/>
      <c r="P2567" s="98"/>
      <c r="Q2567" s="99"/>
      <c r="R2567" s="104">
        <f t="shared" si="124"/>
        <v>0</v>
      </c>
      <c r="S2567" s="104">
        <f t="shared" si="125"/>
        <v>0</v>
      </c>
      <c r="T2567" s="104">
        <f t="shared" si="126"/>
        <v>0</v>
      </c>
    </row>
    <row r="2568" spans="1:20">
      <c r="A2568" s="101"/>
      <c r="B2568" s="101"/>
      <c r="C2568" s="101"/>
      <c r="D2568" s="101"/>
      <c r="E2568" s="101"/>
      <c r="F2568" s="102"/>
      <c r="G2568" s="101"/>
      <c r="H2568" s="102"/>
      <c r="I2568" s="101"/>
      <c r="J2568" s="101"/>
      <c r="K2568" s="103"/>
      <c r="L2568" s="103"/>
      <c r="M2568" s="103"/>
      <c r="N2568" s="103"/>
      <c r="O2568" s="103"/>
      <c r="P2568" s="98"/>
      <c r="Q2568" s="99"/>
      <c r="R2568" s="104">
        <f t="shared" si="124"/>
        <v>0</v>
      </c>
      <c r="S2568" s="104">
        <f t="shared" si="125"/>
        <v>0</v>
      </c>
      <c r="T2568" s="104">
        <f t="shared" si="126"/>
        <v>0</v>
      </c>
    </row>
    <row r="2569" spans="1:20">
      <c r="A2569" s="101"/>
      <c r="B2569" s="101"/>
      <c r="C2569" s="101"/>
      <c r="D2569" s="101"/>
      <c r="E2569" s="101"/>
      <c r="F2569" s="102"/>
      <c r="G2569" s="101"/>
      <c r="H2569" s="102"/>
      <c r="I2569" s="101"/>
      <c r="J2569" s="101"/>
      <c r="K2569" s="103"/>
      <c r="L2569" s="103"/>
      <c r="M2569" s="103"/>
      <c r="N2569" s="103"/>
      <c r="O2569" s="103"/>
      <c r="P2569" s="98"/>
      <c r="Q2569" s="99"/>
      <c r="R2569" s="104">
        <f t="shared" si="124"/>
        <v>0</v>
      </c>
      <c r="S2569" s="104">
        <f t="shared" si="125"/>
        <v>0</v>
      </c>
      <c r="T2569" s="104">
        <f t="shared" si="126"/>
        <v>0</v>
      </c>
    </row>
    <row r="2570" spans="1:20">
      <c r="A2570" s="101"/>
      <c r="B2570" s="101"/>
      <c r="C2570" s="101"/>
      <c r="D2570" s="101"/>
      <c r="E2570" s="101"/>
      <c r="F2570" s="102"/>
      <c r="G2570" s="101"/>
      <c r="H2570" s="102"/>
      <c r="I2570" s="101"/>
      <c r="J2570" s="101"/>
      <c r="K2570" s="103"/>
      <c r="L2570" s="103"/>
      <c r="M2570" s="103"/>
      <c r="N2570" s="103"/>
      <c r="O2570" s="103"/>
      <c r="P2570" s="98"/>
      <c r="Q2570" s="99"/>
      <c r="R2570" s="104">
        <f t="shared" ref="R2570:R2633" si="127">IF(P2570="Cargo",K2570+L2570-M2570-N2570+O2570,0)</f>
        <v>0</v>
      </c>
      <c r="S2570" s="104">
        <f t="shared" ref="S2570:S2633" si="128">IF(P2570="Abono",K2570+L2570+M2570-N2570-O2570,0)</f>
        <v>0</v>
      </c>
      <c r="T2570" s="104">
        <f t="shared" ref="T2570:T2633" si="129">IF(Q2570="OK",+T2569+R2570-S2570,T2569)</f>
        <v>0</v>
      </c>
    </row>
    <row r="2571" spans="1:20">
      <c r="A2571" s="101"/>
      <c r="B2571" s="101"/>
      <c r="C2571" s="101"/>
      <c r="D2571" s="101"/>
      <c r="E2571" s="101"/>
      <c r="F2571" s="102"/>
      <c r="G2571" s="101"/>
      <c r="H2571" s="102"/>
      <c r="I2571" s="101"/>
      <c r="J2571" s="101"/>
      <c r="K2571" s="103"/>
      <c r="L2571" s="103"/>
      <c r="M2571" s="103"/>
      <c r="N2571" s="103"/>
      <c r="O2571" s="103"/>
      <c r="P2571" s="98"/>
      <c r="Q2571" s="99"/>
      <c r="R2571" s="104">
        <f t="shared" si="127"/>
        <v>0</v>
      </c>
      <c r="S2571" s="104">
        <f t="shared" si="128"/>
        <v>0</v>
      </c>
      <c r="T2571" s="104">
        <f t="shared" si="129"/>
        <v>0</v>
      </c>
    </row>
    <row r="2572" spans="1:20">
      <c r="A2572" s="101"/>
      <c r="B2572" s="101"/>
      <c r="C2572" s="101"/>
      <c r="D2572" s="101"/>
      <c r="E2572" s="101"/>
      <c r="F2572" s="102"/>
      <c r="G2572" s="101"/>
      <c r="H2572" s="102"/>
      <c r="I2572" s="101"/>
      <c r="J2572" s="101"/>
      <c r="K2572" s="103"/>
      <c r="L2572" s="103"/>
      <c r="M2572" s="103"/>
      <c r="N2572" s="103"/>
      <c r="O2572" s="103"/>
      <c r="P2572" s="98"/>
      <c r="Q2572" s="99"/>
      <c r="R2572" s="104">
        <f t="shared" si="127"/>
        <v>0</v>
      </c>
      <c r="S2572" s="104">
        <f t="shared" si="128"/>
        <v>0</v>
      </c>
      <c r="T2572" s="104">
        <f t="shared" si="129"/>
        <v>0</v>
      </c>
    </row>
    <row r="2573" spans="1:20">
      <c r="A2573" s="101"/>
      <c r="B2573" s="101"/>
      <c r="C2573" s="101"/>
      <c r="D2573" s="101"/>
      <c r="E2573" s="101"/>
      <c r="F2573" s="102"/>
      <c r="G2573" s="101"/>
      <c r="H2573" s="102"/>
      <c r="I2573" s="101"/>
      <c r="J2573" s="101"/>
      <c r="K2573" s="103"/>
      <c r="L2573" s="103"/>
      <c r="M2573" s="103"/>
      <c r="N2573" s="103"/>
      <c r="O2573" s="103"/>
      <c r="P2573" s="98"/>
      <c r="Q2573" s="99"/>
      <c r="R2573" s="104">
        <f t="shared" si="127"/>
        <v>0</v>
      </c>
      <c r="S2573" s="104">
        <f t="shared" si="128"/>
        <v>0</v>
      </c>
      <c r="T2573" s="104">
        <f t="shared" si="129"/>
        <v>0</v>
      </c>
    </row>
    <row r="2574" spans="1:20">
      <c r="A2574" s="101"/>
      <c r="B2574" s="101"/>
      <c r="C2574" s="101"/>
      <c r="D2574" s="101"/>
      <c r="E2574" s="101"/>
      <c r="F2574" s="102"/>
      <c r="G2574" s="101"/>
      <c r="H2574" s="102"/>
      <c r="I2574" s="101"/>
      <c r="J2574" s="101"/>
      <c r="K2574" s="103"/>
      <c r="L2574" s="103"/>
      <c r="M2574" s="103"/>
      <c r="N2574" s="103"/>
      <c r="O2574" s="103"/>
      <c r="P2574" s="98"/>
      <c r="Q2574" s="99"/>
      <c r="R2574" s="104">
        <f t="shared" si="127"/>
        <v>0</v>
      </c>
      <c r="S2574" s="104">
        <f t="shared" si="128"/>
        <v>0</v>
      </c>
      <c r="T2574" s="104">
        <f t="shared" si="129"/>
        <v>0</v>
      </c>
    </row>
    <row r="2575" spans="1:20">
      <c r="A2575" s="101"/>
      <c r="B2575" s="101"/>
      <c r="C2575" s="101"/>
      <c r="D2575" s="101"/>
      <c r="E2575" s="101"/>
      <c r="F2575" s="102"/>
      <c r="G2575" s="101"/>
      <c r="H2575" s="102"/>
      <c r="I2575" s="101"/>
      <c r="J2575" s="101"/>
      <c r="K2575" s="103"/>
      <c r="L2575" s="103"/>
      <c r="M2575" s="103"/>
      <c r="N2575" s="103"/>
      <c r="O2575" s="103"/>
      <c r="P2575" s="98"/>
      <c r="Q2575" s="99"/>
      <c r="R2575" s="104">
        <f t="shared" si="127"/>
        <v>0</v>
      </c>
      <c r="S2575" s="104">
        <f t="shared" si="128"/>
        <v>0</v>
      </c>
      <c r="T2575" s="104">
        <f t="shared" si="129"/>
        <v>0</v>
      </c>
    </row>
    <row r="2576" spans="1:20">
      <c r="A2576" s="101"/>
      <c r="B2576" s="101"/>
      <c r="C2576" s="101"/>
      <c r="D2576" s="101"/>
      <c r="E2576" s="101"/>
      <c r="F2576" s="102"/>
      <c r="G2576" s="101"/>
      <c r="H2576" s="102"/>
      <c r="I2576" s="101"/>
      <c r="J2576" s="101"/>
      <c r="K2576" s="103"/>
      <c r="L2576" s="103"/>
      <c r="M2576" s="103"/>
      <c r="N2576" s="103"/>
      <c r="O2576" s="103"/>
      <c r="P2576" s="98"/>
      <c r="Q2576" s="99"/>
      <c r="R2576" s="104">
        <f t="shared" si="127"/>
        <v>0</v>
      </c>
      <c r="S2576" s="104">
        <f t="shared" si="128"/>
        <v>0</v>
      </c>
      <c r="T2576" s="104">
        <f t="shared" si="129"/>
        <v>0</v>
      </c>
    </row>
    <row r="2577" spans="1:20">
      <c r="A2577" s="101"/>
      <c r="B2577" s="101"/>
      <c r="C2577" s="101"/>
      <c r="D2577" s="101"/>
      <c r="E2577" s="101"/>
      <c r="F2577" s="102"/>
      <c r="G2577" s="101"/>
      <c r="H2577" s="102"/>
      <c r="I2577" s="101"/>
      <c r="J2577" s="101"/>
      <c r="K2577" s="103"/>
      <c r="L2577" s="103"/>
      <c r="M2577" s="103"/>
      <c r="N2577" s="103"/>
      <c r="O2577" s="103"/>
      <c r="P2577" s="98"/>
      <c r="Q2577" s="99"/>
      <c r="R2577" s="104">
        <f t="shared" si="127"/>
        <v>0</v>
      </c>
      <c r="S2577" s="104">
        <f t="shared" si="128"/>
        <v>0</v>
      </c>
      <c r="T2577" s="104">
        <f t="shared" si="129"/>
        <v>0</v>
      </c>
    </row>
    <row r="2578" spans="1:20">
      <c r="A2578" s="101"/>
      <c r="B2578" s="101"/>
      <c r="C2578" s="101"/>
      <c r="D2578" s="101"/>
      <c r="E2578" s="101"/>
      <c r="F2578" s="102"/>
      <c r="G2578" s="101"/>
      <c r="H2578" s="102"/>
      <c r="I2578" s="101"/>
      <c r="J2578" s="101"/>
      <c r="K2578" s="103"/>
      <c r="L2578" s="103"/>
      <c r="M2578" s="103"/>
      <c r="N2578" s="103"/>
      <c r="O2578" s="103"/>
      <c r="P2578" s="98"/>
      <c r="Q2578" s="99"/>
      <c r="R2578" s="104">
        <f t="shared" si="127"/>
        <v>0</v>
      </c>
      <c r="S2578" s="104">
        <f t="shared" si="128"/>
        <v>0</v>
      </c>
      <c r="T2578" s="104">
        <f t="shared" si="129"/>
        <v>0</v>
      </c>
    </row>
    <row r="2579" spans="1:20">
      <c r="A2579" s="101"/>
      <c r="B2579" s="101"/>
      <c r="C2579" s="101"/>
      <c r="D2579" s="101"/>
      <c r="E2579" s="101"/>
      <c r="F2579" s="102"/>
      <c r="G2579" s="101"/>
      <c r="H2579" s="102"/>
      <c r="I2579" s="101"/>
      <c r="J2579" s="101"/>
      <c r="K2579" s="103"/>
      <c r="L2579" s="103"/>
      <c r="M2579" s="103"/>
      <c r="N2579" s="103"/>
      <c r="O2579" s="103"/>
      <c r="P2579" s="98"/>
      <c r="Q2579" s="99"/>
      <c r="R2579" s="104">
        <f t="shared" si="127"/>
        <v>0</v>
      </c>
      <c r="S2579" s="104">
        <f t="shared" si="128"/>
        <v>0</v>
      </c>
      <c r="T2579" s="104">
        <f t="shared" si="129"/>
        <v>0</v>
      </c>
    </row>
    <row r="2580" spans="1:20">
      <c r="A2580" s="101"/>
      <c r="B2580" s="101"/>
      <c r="C2580" s="101"/>
      <c r="D2580" s="101"/>
      <c r="E2580" s="101"/>
      <c r="F2580" s="102"/>
      <c r="G2580" s="101"/>
      <c r="H2580" s="102"/>
      <c r="I2580" s="101"/>
      <c r="J2580" s="101"/>
      <c r="K2580" s="103"/>
      <c r="L2580" s="103"/>
      <c r="M2580" s="103"/>
      <c r="N2580" s="103"/>
      <c r="O2580" s="103"/>
      <c r="P2580" s="98"/>
      <c r="Q2580" s="99"/>
      <c r="R2580" s="104">
        <f t="shared" si="127"/>
        <v>0</v>
      </c>
      <c r="S2580" s="104">
        <f t="shared" si="128"/>
        <v>0</v>
      </c>
      <c r="T2580" s="104">
        <f t="shared" si="129"/>
        <v>0</v>
      </c>
    </row>
    <row r="2581" spans="1:20">
      <c r="A2581" s="101"/>
      <c r="B2581" s="101"/>
      <c r="C2581" s="101"/>
      <c r="D2581" s="101"/>
      <c r="E2581" s="101"/>
      <c r="F2581" s="102"/>
      <c r="G2581" s="101"/>
      <c r="H2581" s="102"/>
      <c r="I2581" s="101"/>
      <c r="J2581" s="101"/>
      <c r="K2581" s="103"/>
      <c r="L2581" s="103"/>
      <c r="M2581" s="103"/>
      <c r="N2581" s="103"/>
      <c r="O2581" s="103"/>
      <c r="P2581" s="98"/>
      <c r="Q2581" s="99"/>
      <c r="R2581" s="104">
        <f t="shared" si="127"/>
        <v>0</v>
      </c>
      <c r="S2581" s="104">
        <f t="shared" si="128"/>
        <v>0</v>
      </c>
      <c r="T2581" s="104">
        <f t="shared" si="129"/>
        <v>0</v>
      </c>
    </row>
    <row r="2582" spans="1:20">
      <c r="A2582" s="101"/>
      <c r="B2582" s="101"/>
      <c r="C2582" s="101"/>
      <c r="D2582" s="101"/>
      <c r="E2582" s="101"/>
      <c r="F2582" s="102"/>
      <c r="G2582" s="101"/>
      <c r="H2582" s="102"/>
      <c r="I2582" s="101"/>
      <c r="J2582" s="101"/>
      <c r="K2582" s="103"/>
      <c r="L2582" s="103"/>
      <c r="M2582" s="103"/>
      <c r="N2582" s="103"/>
      <c r="O2582" s="103"/>
      <c r="P2582" s="98"/>
      <c r="Q2582" s="99"/>
      <c r="R2582" s="104">
        <f t="shared" si="127"/>
        <v>0</v>
      </c>
      <c r="S2582" s="104">
        <f t="shared" si="128"/>
        <v>0</v>
      </c>
      <c r="T2582" s="104">
        <f t="shared" si="129"/>
        <v>0</v>
      </c>
    </row>
    <row r="2583" spans="1:20">
      <c r="A2583" s="101"/>
      <c r="B2583" s="101"/>
      <c r="C2583" s="101"/>
      <c r="D2583" s="101"/>
      <c r="E2583" s="101"/>
      <c r="F2583" s="102"/>
      <c r="G2583" s="101"/>
      <c r="H2583" s="102"/>
      <c r="I2583" s="101"/>
      <c r="J2583" s="101"/>
      <c r="K2583" s="103"/>
      <c r="L2583" s="103"/>
      <c r="M2583" s="103"/>
      <c r="N2583" s="103"/>
      <c r="O2583" s="103"/>
      <c r="P2583" s="98"/>
      <c r="Q2583" s="99"/>
      <c r="R2583" s="104">
        <f t="shared" si="127"/>
        <v>0</v>
      </c>
      <c r="S2583" s="104">
        <f t="shared" si="128"/>
        <v>0</v>
      </c>
      <c r="T2583" s="104">
        <f t="shared" si="129"/>
        <v>0</v>
      </c>
    </row>
    <row r="2584" spans="1:20">
      <c r="A2584" s="101"/>
      <c r="B2584" s="101"/>
      <c r="C2584" s="101"/>
      <c r="D2584" s="101"/>
      <c r="E2584" s="101"/>
      <c r="F2584" s="102"/>
      <c r="G2584" s="101"/>
      <c r="H2584" s="102"/>
      <c r="I2584" s="101"/>
      <c r="J2584" s="101"/>
      <c r="K2584" s="103"/>
      <c r="L2584" s="103"/>
      <c r="M2584" s="103"/>
      <c r="N2584" s="103"/>
      <c r="O2584" s="103"/>
      <c r="P2584" s="98"/>
      <c r="Q2584" s="99"/>
      <c r="R2584" s="104">
        <f t="shared" si="127"/>
        <v>0</v>
      </c>
      <c r="S2584" s="104">
        <f t="shared" si="128"/>
        <v>0</v>
      </c>
      <c r="T2584" s="104">
        <f t="shared" si="129"/>
        <v>0</v>
      </c>
    </row>
    <row r="2585" spans="1:20">
      <c r="A2585" s="101"/>
      <c r="B2585" s="101"/>
      <c r="C2585" s="101"/>
      <c r="D2585" s="101"/>
      <c r="E2585" s="101"/>
      <c r="F2585" s="102"/>
      <c r="G2585" s="101"/>
      <c r="H2585" s="102"/>
      <c r="I2585" s="101"/>
      <c r="J2585" s="101"/>
      <c r="K2585" s="103"/>
      <c r="L2585" s="103"/>
      <c r="M2585" s="103"/>
      <c r="N2585" s="103"/>
      <c r="O2585" s="103"/>
      <c r="P2585" s="98"/>
      <c r="Q2585" s="99"/>
      <c r="R2585" s="104">
        <f t="shared" si="127"/>
        <v>0</v>
      </c>
      <c r="S2585" s="104">
        <f t="shared" si="128"/>
        <v>0</v>
      </c>
      <c r="T2585" s="104">
        <f t="shared" si="129"/>
        <v>0</v>
      </c>
    </row>
    <row r="2586" spans="1:20">
      <c r="A2586" s="101"/>
      <c r="B2586" s="101"/>
      <c r="C2586" s="101"/>
      <c r="D2586" s="101"/>
      <c r="E2586" s="101"/>
      <c r="F2586" s="102"/>
      <c r="G2586" s="101"/>
      <c r="H2586" s="102"/>
      <c r="I2586" s="101"/>
      <c r="J2586" s="101"/>
      <c r="K2586" s="103"/>
      <c r="L2586" s="103"/>
      <c r="M2586" s="103"/>
      <c r="N2586" s="103"/>
      <c r="O2586" s="103"/>
      <c r="P2586" s="98"/>
      <c r="Q2586" s="99"/>
      <c r="R2586" s="104">
        <f t="shared" si="127"/>
        <v>0</v>
      </c>
      <c r="S2586" s="104">
        <f t="shared" si="128"/>
        <v>0</v>
      </c>
      <c r="T2586" s="104">
        <f t="shared" si="129"/>
        <v>0</v>
      </c>
    </row>
    <row r="2587" spans="1:20">
      <c r="A2587" s="101"/>
      <c r="B2587" s="101"/>
      <c r="C2587" s="101"/>
      <c r="D2587" s="101"/>
      <c r="E2587" s="101"/>
      <c r="F2587" s="102"/>
      <c r="G2587" s="101"/>
      <c r="H2587" s="102"/>
      <c r="I2587" s="101"/>
      <c r="J2587" s="101"/>
      <c r="K2587" s="103"/>
      <c r="L2587" s="103"/>
      <c r="M2587" s="103"/>
      <c r="N2587" s="103"/>
      <c r="O2587" s="103"/>
      <c r="P2587" s="98"/>
      <c r="Q2587" s="99"/>
      <c r="R2587" s="104">
        <f t="shared" si="127"/>
        <v>0</v>
      </c>
      <c r="S2587" s="104">
        <f t="shared" si="128"/>
        <v>0</v>
      </c>
      <c r="T2587" s="104">
        <f t="shared" si="129"/>
        <v>0</v>
      </c>
    </row>
    <row r="2588" spans="1:20">
      <c r="A2588" s="101"/>
      <c r="B2588" s="101"/>
      <c r="C2588" s="101"/>
      <c r="D2588" s="101"/>
      <c r="E2588" s="101"/>
      <c r="F2588" s="102"/>
      <c r="G2588" s="101"/>
      <c r="H2588" s="102"/>
      <c r="I2588" s="101"/>
      <c r="J2588" s="101"/>
      <c r="K2588" s="103"/>
      <c r="L2588" s="103"/>
      <c r="M2588" s="103"/>
      <c r="N2588" s="103"/>
      <c r="O2588" s="103"/>
      <c r="P2588" s="98"/>
      <c r="Q2588" s="99"/>
      <c r="R2588" s="104">
        <f t="shared" si="127"/>
        <v>0</v>
      </c>
      <c r="S2588" s="104">
        <f t="shared" si="128"/>
        <v>0</v>
      </c>
      <c r="T2588" s="104">
        <f t="shared" si="129"/>
        <v>0</v>
      </c>
    </row>
    <row r="2589" spans="1:20">
      <c r="A2589" s="101"/>
      <c r="B2589" s="101"/>
      <c r="C2589" s="101"/>
      <c r="D2589" s="101"/>
      <c r="E2589" s="101"/>
      <c r="F2589" s="102"/>
      <c r="G2589" s="101"/>
      <c r="H2589" s="102"/>
      <c r="I2589" s="101"/>
      <c r="J2589" s="101"/>
      <c r="K2589" s="103"/>
      <c r="L2589" s="103"/>
      <c r="M2589" s="103"/>
      <c r="N2589" s="103"/>
      <c r="O2589" s="103"/>
      <c r="P2589" s="98"/>
      <c r="Q2589" s="99"/>
      <c r="R2589" s="104">
        <f t="shared" si="127"/>
        <v>0</v>
      </c>
      <c r="S2589" s="104">
        <f t="shared" si="128"/>
        <v>0</v>
      </c>
      <c r="T2589" s="104">
        <f t="shared" si="129"/>
        <v>0</v>
      </c>
    </row>
    <row r="2590" spans="1:20">
      <c r="A2590" s="101"/>
      <c r="B2590" s="101"/>
      <c r="C2590" s="101"/>
      <c r="D2590" s="101"/>
      <c r="E2590" s="101"/>
      <c r="F2590" s="102"/>
      <c r="G2590" s="101"/>
      <c r="H2590" s="102"/>
      <c r="I2590" s="101"/>
      <c r="J2590" s="101"/>
      <c r="K2590" s="103"/>
      <c r="L2590" s="103"/>
      <c r="M2590" s="103"/>
      <c r="N2590" s="103"/>
      <c r="O2590" s="103"/>
      <c r="P2590" s="98"/>
      <c r="Q2590" s="99"/>
      <c r="R2590" s="104">
        <f t="shared" si="127"/>
        <v>0</v>
      </c>
      <c r="S2590" s="104">
        <f t="shared" si="128"/>
        <v>0</v>
      </c>
      <c r="T2590" s="104">
        <f t="shared" si="129"/>
        <v>0</v>
      </c>
    </row>
    <row r="2591" spans="1:20">
      <c r="A2591" s="101"/>
      <c r="B2591" s="101"/>
      <c r="C2591" s="101"/>
      <c r="D2591" s="101"/>
      <c r="E2591" s="101"/>
      <c r="F2591" s="102"/>
      <c r="G2591" s="101"/>
      <c r="H2591" s="102"/>
      <c r="I2591" s="101"/>
      <c r="J2591" s="101"/>
      <c r="K2591" s="103"/>
      <c r="L2591" s="103"/>
      <c r="M2591" s="103"/>
      <c r="N2591" s="103"/>
      <c r="O2591" s="103"/>
      <c r="P2591" s="98"/>
      <c r="Q2591" s="99"/>
      <c r="R2591" s="104">
        <f t="shared" si="127"/>
        <v>0</v>
      </c>
      <c r="S2591" s="104">
        <f t="shared" si="128"/>
        <v>0</v>
      </c>
      <c r="T2591" s="104">
        <f t="shared" si="129"/>
        <v>0</v>
      </c>
    </row>
    <row r="2592" spans="1:20">
      <c r="A2592" s="101"/>
      <c r="B2592" s="101"/>
      <c r="C2592" s="101"/>
      <c r="D2592" s="101"/>
      <c r="E2592" s="101"/>
      <c r="F2592" s="102"/>
      <c r="G2592" s="101"/>
      <c r="H2592" s="102"/>
      <c r="I2592" s="101"/>
      <c r="J2592" s="101"/>
      <c r="K2592" s="103"/>
      <c r="L2592" s="103"/>
      <c r="M2592" s="103"/>
      <c r="N2592" s="103"/>
      <c r="O2592" s="103"/>
      <c r="P2592" s="98"/>
      <c r="Q2592" s="99"/>
      <c r="R2592" s="104">
        <f t="shared" si="127"/>
        <v>0</v>
      </c>
      <c r="S2592" s="104">
        <f t="shared" si="128"/>
        <v>0</v>
      </c>
      <c r="T2592" s="104">
        <f t="shared" si="129"/>
        <v>0</v>
      </c>
    </row>
    <row r="2593" spans="1:20">
      <c r="A2593" s="101"/>
      <c r="B2593" s="101"/>
      <c r="C2593" s="101"/>
      <c r="D2593" s="101"/>
      <c r="E2593" s="101"/>
      <c r="F2593" s="102"/>
      <c r="G2593" s="101"/>
      <c r="H2593" s="102"/>
      <c r="I2593" s="101"/>
      <c r="J2593" s="101"/>
      <c r="K2593" s="103"/>
      <c r="L2593" s="103"/>
      <c r="M2593" s="103"/>
      <c r="N2593" s="103"/>
      <c r="O2593" s="103"/>
      <c r="P2593" s="98"/>
      <c r="Q2593" s="99"/>
      <c r="R2593" s="104">
        <f t="shared" si="127"/>
        <v>0</v>
      </c>
      <c r="S2593" s="104">
        <f t="shared" si="128"/>
        <v>0</v>
      </c>
      <c r="T2593" s="104">
        <f t="shared" si="129"/>
        <v>0</v>
      </c>
    </row>
    <row r="2594" spans="1:20">
      <c r="A2594" s="101"/>
      <c r="B2594" s="101"/>
      <c r="C2594" s="101"/>
      <c r="D2594" s="101"/>
      <c r="E2594" s="101"/>
      <c r="F2594" s="102"/>
      <c r="G2594" s="101"/>
      <c r="H2594" s="102"/>
      <c r="I2594" s="101"/>
      <c r="J2594" s="101"/>
      <c r="K2594" s="103"/>
      <c r="L2594" s="103"/>
      <c r="M2594" s="103"/>
      <c r="N2594" s="103"/>
      <c r="O2594" s="103"/>
      <c r="P2594" s="98"/>
      <c r="Q2594" s="99"/>
      <c r="R2594" s="104">
        <f t="shared" si="127"/>
        <v>0</v>
      </c>
      <c r="S2594" s="104">
        <f t="shared" si="128"/>
        <v>0</v>
      </c>
      <c r="T2594" s="104">
        <f t="shared" si="129"/>
        <v>0</v>
      </c>
    </row>
    <row r="2595" spans="1:20">
      <c r="A2595" s="101"/>
      <c r="B2595" s="101"/>
      <c r="C2595" s="101"/>
      <c r="D2595" s="101"/>
      <c r="E2595" s="101"/>
      <c r="F2595" s="102"/>
      <c r="G2595" s="101"/>
      <c r="H2595" s="102"/>
      <c r="I2595" s="101"/>
      <c r="J2595" s="101"/>
      <c r="K2595" s="103"/>
      <c r="L2595" s="103"/>
      <c r="M2595" s="103"/>
      <c r="N2595" s="103"/>
      <c r="O2595" s="103"/>
      <c r="P2595" s="98"/>
      <c r="Q2595" s="99"/>
      <c r="R2595" s="104">
        <f t="shared" si="127"/>
        <v>0</v>
      </c>
      <c r="S2595" s="104">
        <f t="shared" si="128"/>
        <v>0</v>
      </c>
      <c r="T2595" s="104">
        <f t="shared" si="129"/>
        <v>0</v>
      </c>
    </row>
    <row r="2596" spans="1:20">
      <c r="A2596" s="101"/>
      <c r="B2596" s="101"/>
      <c r="C2596" s="101"/>
      <c r="D2596" s="101"/>
      <c r="E2596" s="101"/>
      <c r="F2596" s="102"/>
      <c r="G2596" s="101"/>
      <c r="H2596" s="102"/>
      <c r="I2596" s="101"/>
      <c r="J2596" s="101"/>
      <c r="K2596" s="103"/>
      <c r="L2596" s="103"/>
      <c r="M2596" s="103"/>
      <c r="N2596" s="103"/>
      <c r="O2596" s="103"/>
      <c r="P2596" s="98"/>
      <c r="Q2596" s="99"/>
      <c r="R2596" s="104">
        <f t="shared" si="127"/>
        <v>0</v>
      </c>
      <c r="S2596" s="104">
        <f t="shared" si="128"/>
        <v>0</v>
      </c>
      <c r="T2596" s="104">
        <f t="shared" si="129"/>
        <v>0</v>
      </c>
    </row>
    <row r="2597" spans="1:20">
      <c r="A2597" s="101"/>
      <c r="B2597" s="101"/>
      <c r="C2597" s="101"/>
      <c r="D2597" s="101"/>
      <c r="E2597" s="101"/>
      <c r="F2597" s="102"/>
      <c r="G2597" s="101"/>
      <c r="H2597" s="102"/>
      <c r="I2597" s="101"/>
      <c r="J2597" s="101"/>
      <c r="K2597" s="103"/>
      <c r="L2597" s="103"/>
      <c r="M2597" s="103"/>
      <c r="N2597" s="103"/>
      <c r="O2597" s="103"/>
      <c r="P2597" s="98"/>
      <c r="Q2597" s="99"/>
      <c r="R2597" s="104">
        <f t="shared" si="127"/>
        <v>0</v>
      </c>
      <c r="S2597" s="104">
        <f t="shared" si="128"/>
        <v>0</v>
      </c>
      <c r="T2597" s="104">
        <f t="shared" si="129"/>
        <v>0</v>
      </c>
    </row>
    <row r="2598" spans="1:20">
      <c r="A2598" s="101"/>
      <c r="B2598" s="101"/>
      <c r="C2598" s="101"/>
      <c r="D2598" s="101"/>
      <c r="E2598" s="101"/>
      <c r="F2598" s="102"/>
      <c r="G2598" s="101"/>
      <c r="H2598" s="102"/>
      <c r="I2598" s="101"/>
      <c r="J2598" s="101"/>
      <c r="K2598" s="103"/>
      <c r="L2598" s="103"/>
      <c r="M2598" s="103"/>
      <c r="N2598" s="103"/>
      <c r="O2598" s="103"/>
      <c r="P2598" s="98"/>
      <c r="Q2598" s="99"/>
      <c r="R2598" s="104">
        <f t="shared" si="127"/>
        <v>0</v>
      </c>
      <c r="S2598" s="104">
        <f t="shared" si="128"/>
        <v>0</v>
      </c>
      <c r="T2598" s="104">
        <f t="shared" si="129"/>
        <v>0</v>
      </c>
    </row>
    <row r="2599" spans="1:20">
      <c r="A2599" s="101"/>
      <c r="B2599" s="101"/>
      <c r="C2599" s="101"/>
      <c r="D2599" s="101"/>
      <c r="E2599" s="101"/>
      <c r="F2599" s="102"/>
      <c r="G2599" s="101"/>
      <c r="H2599" s="102"/>
      <c r="I2599" s="101"/>
      <c r="J2599" s="101"/>
      <c r="K2599" s="103"/>
      <c r="L2599" s="103"/>
      <c r="M2599" s="103"/>
      <c r="N2599" s="103"/>
      <c r="O2599" s="103"/>
      <c r="P2599" s="98"/>
      <c r="Q2599" s="99"/>
      <c r="R2599" s="104">
        <f t="shared" si="127"/>
        <v>0</v>
      </c>
      <c r="S2599" s="104">
        <f t="shared" si="128"/>
        <v>0</v>
      </c>
      <c r="T2599" s="104">
        <f t="shared" si="129"/>
        <v>0</v>
      </c>
    </row>
    <row r="2600" spans="1:20">
      <c r="A2600" s="101"/>
      <c r="B2600" s="101"/>
      <c r="C2600" s="101"/>
      <c r="D2600" s="101"/>
      <c r="E2600" s="101"/>
      <c r="F2600" s="102"/>
      <c r="G2600" s="101"/>
      <c r="H2600" s="102"/>
      <c r="I2600" s="101"/>
      <c r="J2600" s="101"/>
      <c r="K2600" s="103"/>
      <c r="L2600" s="103"/>
      <c r="M2600" s="103"/>
      <c r="N2600" s="103"/>
      <c r="O2600" s="103"/>
      <c r="P2600" s="98"/>
      <c r="Q2600" s="99"/>
      <c r="R2600" s="104">
        <f t="shared" si="127"/>
        <v>0</v>
      </c>
      <c r="S2600" s="104">
        <f t="shared" si="128"/>
        <v>0</v>
      </c>
      <c r="T2600" s="104">
        <f t="shared" si="129"/>
        <v>0</v>
      </c>
    </row>
    <row r="2601" spans="1:20">
      <c r="A2601" s="101"/>
      <c r="B2601" s="101"/>
      <c r="C2601" s="101"/>
      <c r="D2601" s="101"/>
      <c r="E2601" s="101"/>
      <c r="F2601" s="102"/>
      <c r="G2601" s="101"/>
      <c r="H2601" s="102"/>
      <c r="I2601" s="101"/>
      <c r="J2601" s="101"/>
      <c r="K2601" s="103"/>
      <c r="L2601" s="103"/>
      <c r="M2601" s="103"/>
      <c r="N2601" s="103"/>
      <c r="O2601" s="103"/>
      <c r="P2601" s="98"/>
      <c r="Q2601" s="99"/>
      <c r="R2601" s="104">
        <f t="shared" si="127"/>
        <v>0</v>
      </c>
      <c r="S2601" s="104">
        <f t="shared" si="128"/>
        <v>0</v>
      </c>
      <c r="T2601" s="104">
        <f t="shared" si="129"/>
        <v>0</v>
      </c>
    </row>
    <row r="2602" spans="1:20">
      <c r="A2602" s="101"/>
      <c r="B2602" s="101"/>
      <c r="C2602" s="101"/>
      <c r="D2602" s="101"/>
      <c r="E2602" s="101"/>
      <c r="F2602" s="102"/>
      <c r="G2602" s="101"/>
      <c r="H2602" s="102"/>
      <c r="I2602" s="101"/>
      <c r="J2602" s="101"/>
      <c r="K2602" s="103"/>
      <c r="L2602" s="103"/>
      <c r="M2602" s="103"/>
      <c r="N2602" s="103"/>
      <c r="O2602" s="103"/>
      <c r="P2602" s="98"/>
      <c r="Q2602" s="99"/>
      <c r="R2602" s="104">
        <f t="shared" si="127"/>
        <v>0</v>
      </c>
      <c r="S2602" s="104">
        <f t="shared" si="128"/>
        <v>0</v>
      </c>
      <c r="T2602" s="104">
        <f t="shared" si="129"/>
        <v>0</v>
      </c>
    </row>
    <row r="2603" spans="1:20">
      <c r="A2603" s="101"/>
      <c r="B2603" s="101"/>
      <c r="C2603" s="101"/>
      <c r="D2603" s="101"/>
      <c r="E2603" s="101"/>
      <c r="F2603" s="102"/>
      <c r="G2603" s="101"/>
      <c r="H2603" s="102"/>
      <c r="I2603" s="101"/>
      <c r="J2603" s="101"/>
      <c r="K2603" s="103"/>
      <c r="L2603" s="103"/>
      <c r="M2603" s="103"/>
      <c r="N2603" s="103"/>
      <c r="O2603" s="103"/>
      <c r="P2603" s="98"/>
      <c r="Q2603" s="99"/>
      <c r="R2603" s="104">
        <f t="shared" si="127"/>
        <v>0</v>
      </c>
      <c r="S2603" s="104">
        <f t="shared" si="128"/>
        <v>0</v>
      </c>
      <c r="T2603" s="104">
        <f t="shared" si="129"/>
        <v>0</v>
      </c>
    </row>
    <row r="2604" spans="1:20">
      <c r="A2604" s="101"/>
      <c r="B2604" s="101"/>
      <c r="C2604" s="101"/>
      <c r="D2604" s="101"/>
      <c r="E2604" s="101"/>
      <c r="F2604" s="102"/>
      <c r="G2604" s="101"/>
      <c r="H2604" s="102"/>
      <c r="I2604" s="101"/>
      <c r="J2604" s="101"/>
      <c r="K2604" s="103"/>
      <c r="L2604" s="103"/>
      <c r="M2604" s="103"/>
      <c r="N2604" s="103"/>
      <c r="O2604" s="103"/>
      <c r="P2604" s="98"/>
      <c r="Q2604" s="99"/>
      <c r="R2604" s="104">
        <f t="shared" si="127"/>
        <v>0</v>
      </c>
      <c r="S2604" s="104">
        <f t="shared" si="128"/>
        <v>0</v>
      </c>
      <c r="T2604" s="104">
        <f t="shared" si="129"/>
        <v>0</v>
      </c>
    </row>
    <row r="2605" spans="1:20">
      <c r="A2605" s="101"/>
      <c r="B2605" s="101"/>
      <c r="C2605" s="101"/>
      <c r="D2605" s="101"/>
      <c r="E2605" s="101"/>
      <c r="F2605" s="102"/>
      <c r="G2605" s="101"/>
      <c r="H2605" s="102"/>
      <c r="I2605" s="101"/>
      <c r="J2605" s="101"/>
      <c r="K2605" s="103"/>
      <c r="L2605" s="103"/>
      <c r="M2605" s="103"/>
      <c r="N2605" s="103"/>
      <c r="O2605" s="103"/>
      <c r="P2605" s="98"/>
      <c r="Q2605" s="99"/>
      <c r="R2605" s="104">
        <f t="shared" si="127"/>
        <v>0</v>
      </c>
      <c r="S2605" s="104">
        <f t="shared" si="128"/>
        <v>0</v>
      </c>
      <c r="T2605" s="104">
        <f t="shared" si="129"/>
        <v>0</v>
      </c>
    </row>
    <row r="2606" spans="1:20">
      <c r="A2606" s="101"/>
      <c r="B2606" s="101"/>
      <c r="C2606" s="101"/>
      <c r="D2606" s="101"/>
      <c r="E2606" s="101"/>
      <c r="F2606" s="102"/>
      <c r="G2606" s="101"/>
      <c r="H2606" s="102"/>
      <c r="I2606" s="101"/>
      <c r="J2606" s="101"/>
      <c r="K2606" s="103"/>
      <c r="L2606" s="103"/>
      <c r="M2606" s="103"/>
      <c r="N2606" s="103"/>
      <c r="O2606" s="103"/>
      <c r="P2606" s="98"/>
      <c r="Q2606" s="99"/>
      <c r="R2606" s="104">
        <f t="shared" si="127"/>
        <v>0</v>
      </c>
      <c r="S2606" s="104">
        <f t="shared" si="128"/>
        <v>0</v>
      </c>
      <c r="T2606" s="104">
        <f t="shared" si="129"/>
        <v>0</v>
      </c>
    </row>
    <row r="2607" spans="1:20">
      <c r="A2607" s="101"/>
      <c r="B2607" s="101"/>
      <c r="C2607" s="101"/>
      <c r="D2607" s="101"/>
      <c r="E2607" s="101"/>
      <c r="F2607" s="102"/>
      <c r="G2607" s="101"/>
      <c r="H2607" s="102"/>
      <c r="I2607" s="101"/>
      <c r="J2607" s="101"/>
      <c r="K2607" s="103"/>
      <c r="L2607" s="103"/>
      <c r="M2607" s="103"/>
      <c r="N2607" s="103"/>
      <c r="O2607" s="103"/>
      <c r="P2607" s="98"/>
      <c r="Q2607" s="99"/>
      <c r="R2607" s="104">
        <f t="shared" si="127"/>
        <v>0</v>
      </c>
      <c r="S2607" s="104">
        <f t="shared" si="128"/>
        <v>0</v>
      </c>
      <c r="T2607" s="104">
        <f t="shared" si="129"/>
        <v>0</v>
      </c>
    </row>
    <row r="2608" spans="1:20">
      <c r="A2608" s="101"/>
      <c r="B2608" s="101"/>
      <c r="C2608" s="101"/>
      <c r="D2608" s="101"/>
      <c r="E2608" s="101"/>
      <c r="F2608" s="102"/>
      <c r="G2608" s="101"/>
      <c r="H2608" s="102"/>
      <c r="I2608" s="101"/>
      <c r="J2608" s="101"/>
      <c r="K2608" s="103"/>
      <c r="L2608" s="103"/>
      <c r="M2608" s="103"/>
      <c r="N2608" s="103"/>
      <c r="O2608" s="103"/>
      <c r="P2608" s="98"/>
      <c r="Q2608" s="99"/>
      <c r="R2608" s="104">
        <f t="shared" si="127"/>
        <v>0</v>
      </c>
      <c r="S2608" s="104">
        <f t="shared" si="128"/>
        <v>0</v>
      </c>
      <c r="T2608" s="104">
        <f t="shared" si="129"/>
        <v>0</v>
      </c>
    </row>
    <row r="2609" spans="1:20">
      <c r="A2609" s="101"/>
      <c r="B2609" s="101"/>
      <c r="C2609" s="101"/>
      <c r="D2609" s="101"/>
      <c r="E2609" s="101"/>
      <c r="F2609" s="102"/>
      <c r="G2609" s="101"/>
      <c r="H2609" s="102"/>
      <c r="I2609" s="101"/>
      <c r="J2609" s="101"/>
      <c r="K2609" s="103"/>
      <c r="L2609" s="103"/>
      <c r="M2609" s="103"/>
      <c r="N2609" s="103"/>
      <c r="O2609" s="103"/>
      <c r="P2609" s="98"/>
      <c r="Q2609" s="99"/>
      <c r="R2609" s="104">
        <f t="shared" si="127"/>
        <v>0</v>
      </c>
      <c r="S2609" s="104">
        <f t="shared" si="128"/>
        <v>0</v>
      </c>
      <c r="T2609" s="104">
        <f t="shared" si="129"/>
        <v>0</v>
      </c>
    </row>
    <row r="2610" spans="1:20">
      <c r="A2610" s="101"/>
      <c r="B2610" s="101"/>
      <c r="C2610" s="101"/>
      <c r="D2610" s="101"/>
      <c r="E2610" s="101"/>
      <c r="F2610" s="102"/>
      <c r="G2610" s="101"/>
      <c r="H2610" s="102"/>
      <c r="I2610" s="101"/>
      <c r="J2610" s="101"/>
      <c r="K2610" s="103"/>
      <c r="L2610" s="103"/>
      <c r="M2610" s="103"/>
      <c r="N2610" s="103"/>
      <c r="O2610" s="103"/>
      <c r="P2610" s="98"/>
      <c r="Q2610" s="99"/>
      <c r="R2610" s="104">
        <f t="shared" si="127"/>
        <v>0</v>
      </c>
      <c r="S2610" s="104">
        <f t="shared" si="128"/>
        <v>0</v>
      </c>
      <c r="T2610" s="104">
        <f t="shared" si="129"/>
        <v>0</v>
      </c>
    </row>
    <row r="2611" spans="1:20">
      <c r="A2611" s="101"/>
      <c r="B2611" s="101"/>
      <c r="C2611" s="101"/>
      <c r="D2611" s="101"/>
      <c r="E2611" s="101"/>
      <c r="F2611" s="102"/>
      <c r="G2611" s="101"/>
      <c r="H2611" s="102"/>
      <c r="I2611" s="101"/>
      <c r="J2611" s="101"/>
      <c r="K2611" s="103"/>
      <c r="L2611" s="103"/>
      <c r="M2611" s="103"/>
      <c r="N2611" s="103"/>
      <c r="O2611" s="103"/>
      <c r="P2611" s="98"/>
      <c r="Q2611" s="99"/>
      <c r="R2611" s="104">
        <f t="shared" si="127"/>
        <v>0</v>
      </c>
      <c r="S2611" s="104">
        <f t="shared" si="128"/>
        <v>0</v>
      </c>
      <c r="T2611" s="104">
        <f t="shared" si="129"/>
        <v>0</v>
      </c>
    </row>
    <row r="2612" spans="1:20">
      <c r="A2612" s="101"/>
      <c r="B2612" s="101"/>
      <c r="C2612" s="101"/>
      <c r="D2612" s="101"/>
      <c r="E2612" s="101"/>
      <c r="F2612" s="102"/>
      <c r="G2612" s="101"/>
      <c r="H2612" s="102"/>
      <c r="I2612" s="101"/>
      <c r="J2612" s="101"/>
      <c r="K2612" s="103"/>
      <c r="L2612" s="103"/>
      <c r="M2612" s="103"/>
      <c r="N2612" s="103"/>
      <c r="O2612" s="103"/>
      <c r="P2612" s="98"/>
      <c r="Q2612" s="99"/>
      <c r="R2612" s="104">
        <f t="shared" si="127"/>
        <v>0</v>
      </c>
      <c r="S2612" s="104">
        <f t="shared" si="128"/>
        <v>0</v>
      </c>
      <c r="T2612" s="104">
        <f t="shared" si="129"/>
        <v>0</v>
      </c>
    </row>
    <row r="2613" spans="1:20">
      <c r="A2613" s="101"/>
      <c r="B2613" s="101"/>
      <c r="C2613" s="101"/>
      <c r="D2613" s="101"/>
      <c r="E2613" s="101"/>
      <c r="F2613" s="102"/>
      <c r="G2613" s="101"/>
      <c r="H2613" s="102"/>
      <c r="I2613" s="101"/>
      <c r="J2613" s="101"/>
      <c r="K2613" s="103"/>
      <c r="L2613" s="103"/>
      <c r="M2613" s="103"/>
      <c r="N2613" s="103"/>
      <c r="O2613" s="103"/>
      <c r="P2613" s="98"/>
      <c r="Q2613" s="99"/>
      <c r="R2613" s="104">
        <f t="shared" si="127"/>
        <v>0</v>
      </c>
      <c r="S2613" s="104">
        <f t="shared" si="128"/>
        <v>0</v>
      </c>
      <c r="T2613" s="104">
        <f t="shared" si="129"/>
        <v>0</v>
      </c>
    </row>
    <row r="2614" spans="1:20">
      <c r="A2614" s="101"/>
      <c r="B2614" s="101"/>
      <c r="C2614" s="101"/>
      <c r="D2614" s="101"/>
      <c r="E2614" s="101"/>
      <c r="F2614" s="102"/>
      <c r="G2614" s="101"/>
      <c r="H2614" s="102"/>
      <c r="I2614" s="101"/>
      <c r="J2614" s="101"/>
      <c r="K2614" s="103"/>
      <c r="L2614" s="103"/>
      <c r="M2614" s="103"/>
      <c r="N2614" s="103"/>
      <c r="O2614" s="103"/>
      <c r="P2614" s="98"/>
      <c r="Q2614" s="99"/>
      <c r="R2614" s="104">
        <f t="shared" si="127"/>
        <v>0</v>
      </c>
      <c r="S2614" s="104">
        <f t="shared" si="128"/>
        <v>0</v>
      </c>
      <c r="T2614" s="104">
        <f t="shared" si="129"/>
        <v>0</v>
      </c>
    </row>
    <row r="2615" spans="1:20">
      <c r="A2615" s="101"/>
      <c r="B2615" s="101"/>
      <c r="C2615" s="101"/>
      <c r="D2615" s="101"/>
      <c r="E2615" s="101"/>
      <c r="F2615" s="102"/>
      <c r="G2615" s="101"/>
      <c r="H2615" s="102"/>
      <c r="I2615" s="101"/>
      <c r="J2615" s="101"/>
      <c r="K2615" s="103"/>
      <c r="L2615" s="103"/>
      <c r="M2615" s="103"/>
      <c r="N2615" s="103"/>
      <c r="O2615" s="103"/>
      <c r="P2615" s="98"/>
      <c r="Q2615" s="99"/>
      <c r="R2615" s="104">
        <f t="shared" si="127"/>
        <v>0</v>
      </c>
      <c r="S2615" s="104">
        <f t="shared" si="128"/>
        <v>0</v>
      </c>
      <c r="T2615" s="104">
        <f t="shared" si="129"/>
        <v>0</v>
      </c>
    </row>
    <row r="2616" spans="1:20">
      <c r="A2616" s="101"/>
      <c r="B2616" s="101"/>
      <c r="C2616" s="101"/>
      <c r="D2616" s="101"/>
      <c r="E2616" s="101"/>
      <c r="F2616" s="102"/>
      <c r="G2616" s="101"/>
      <c r="H2616" s="102"/>
      <c r="I2616" s="101"/>
      <c r="J2616" s="101"/>
      <c r="K2616" s="103"/>
      <c r="L2616" s="103"/>
      <c r="M2616" s="103"/>
      <c r="N2616" s="103"/>
      <c r="O2616" s="103"/>
      <c r="P2616" s="98"/>
      <c r="Q2616" s="99"/>
      <c r="R2616" s="104">
        <f t="shared" si="127"/>
        <v>0</v>
      </c>
      <c r="S2616" s="104">
        <f t="shared" si="128"/>
        <v>0</v>
      </c>
      <c r="T2616" s="104">
        <f t="shared" si="129"/>
        <v>0</v>
      </c>
    </row>
    <row r="2617" spans="1:20">
      <c r="A2617" s="101"/>
      <c r="B2617" s="101"/>
      <c r="C2617" s="101"/>
      <c r="D2617" s="101"/>
      <c r="E2617" s="101"/>
      <c r="F2617" s="102"/>
      <c r="G2617" s="101"/>
      <c r="H2617" s="102"/>
      <c r="I2617" s="101"/>
      <c r="J2617" s="101"/>
      <c r="K2617" s="103"/>
      <c r="L2617" s="103"/>
      <c r="M2617" s="103"/>
      <c r="N2617" s="103"/>
      <c r="O2617" s="103"/>
      <c r="P2617" s="98"/>
      <c r="Q2617" s="99"/>
      <c r="R2617" s="104">
        <f t="shared" si="127"/>
        <v>0</v>
      </c>
      <c r="S2617" s="104">
        <f t="shared" si="128"/>
        <v>0</v>
      </c>
      <c r="T2617" s="104">
        <f t="shared" si="129"/>
        <v>0</v>
      </c>
    </row>
    <row r="2618" spans="1:20">
      <c r="A2618" s="101"/>
      <c r="B2618" s="101"/>
      <c r="C2618" s="101"/>
      <c r="D2618" s="101"/>
      <c r="E2618" s="101"/>
      <c r="F2618" s="102"/>
      <c r="G2618" s="101"/>
      <c r="H2618" s="102"/>
      <c r="I2618" s="101"/>
      <c r="J2618" s="101"/>
      <c r="K2618" s="103"/>
      <c r="L2618" s="103"/>
      <c r="M2618" s="103"/>
      <c r="N2618" s="103"/>
      <c r="O2618" s="103"/>
      <c r="P2618" s="98"/>
      <c r="Q2618" s="99"/>
      <c r="R2618" s="104">
        <f t="shared" si="127"/>
        <v>0</v>
      </c>
      <c r="S2618" s="104">
        <f t="shared" si="128"/>
        <v>0</v>
      </c>
      <c r="T2618" s="104">
        <f t="shared" si="129"/>
        <v>0</v>
      </c>
    </row>
    <row r="2619" spans="1:20">
      <c r="A2619" s="101"/>
      <c r="B2619" s="101"/>
      <c r="C2619" s="101"/>
      <c r="D2619" s="101"/>
      <c r="E2619" s="101"/>
      <c r="F2619" s="102"/>
      <c r="G2619" s="101"/>
      <c r="H2619" s="102"/>
      <c r="I2619" s="101"/>
      <c r="J2619" s="101"/>
      <c r="K2619" s="103"/>
      <c r="L2619" s="103"/>
      <c r="M2619" s="103"/>
      <c r="N2619" s="103"/>
      <c r="O2619" s="103"/>
      <c r="P2619" s="98"/>
      <c r="Q2619" s="99"/>
      <c r="R2619" s="104">
        <f t="shared" si="127"/>
        <v>0</v>
      </c>
      <c r="S2619" s="104">
        <f t="shared" si="128"/>
        <v>0</v>
      </c>
      <c r="T2619" s="104">
        <f t="shared" si="129"/>
        <v>0</v>
      </c>
    </row>
    <row r="2620" spans="1:20">
      <c r="A2620" s="101"/>
      <c r="B2620" s="101"/>
      <c r="C2620" s="101"/>
      <c r="D2620" s="101"/>
      <c r="E2620" s="101"/>
      <c r="F2620" s="102"/>
      <c r="G2620" s="101"/>
      <c r="H2620" s="102"/>
      <c r="I2620" s="101"/>
      <c r="J2620" s="101"/>
      <c r="K2620" s="103"/>
      <c r="L2620" s="103"/>
      <c r="M2620" s="103"/>
      <c r="N2620" s="103"/>
      <c r="O2620" s="103"/>
      <c r="P2620" s="98"/>
      <c r="Q2620" s="99"/>
      <c r="R2620" s="104">
        <f t="shared" si="127"/>
        <v>0</v>
      </c>
      <c r="S2620" s="104">
        <f t="shared" si="128"/>
        <v>0</v>
      </c>
      <c r="T2620" s="104">
        <f t="shared" si="129"/>
        <v>0</v>
      </c>
    </row>
    <row r="2621" spans="1:20">
      <c r="A2621" s="101"/>
      <c r="B2621" s="101"/>
      <c r="C2621" s="101"/>
      <c r="D2621" s="101"/>
      <c r="E2621" s="101"/>
      <c r="F2621" s="102"/>
      <c r="G2621" s="101"/>
      <c r="H2621" s="102"/>
      <c r="I2621" s="101"/>
      <c r="J2621" s="101"/>
      <c r="K2621" s="103"/>
      <c r="L2621" s="103"/>
      <c r="M2621" s="103"/>
      <c r="N2621" s="103"/>
      <c r="O2621" s="103"/>
      <c r="P2621" s="98"/>
      <c r="Q2621" s="99"/>
      <c r="R2621" s="104">
        <f t="shared" si="127"/>
        <v>0</v>
      </c>
      <c r="S2621" s="104">
        <f t="shared" si="128"/>
        <v>0</v>
      </c>
      <c r="T2621" s="104">
        <f t="shared" si="129"/>
        <v>0</v>
      </c>
    </row>
    <row r="2622" spans="1:20">
      <c r="A2622" s="101"/>
      <c r="B2622" s="101"/>
      <c r="C2622" s="101"/>
      <c r="D2622" s="101"/>
      <c r="E2622" s="101"/>
      <c r="F2622" s="102"/>
      <c r="G2622" s="101"/>
      <c r="H2622" s="102"/>
      <c r="I2622" s="101"/>
      <c r="J2622" s="101"/>
      <c r="K2622" s="103"/>
      <c r="L2622" s="103"/>
      <c r="M2622" s="103"/>
      <c r="N2622" s="103"/>
      <c r="O2622" s="103"/>
      <c r="P2622" s="98"/>
      <c r="Q2622" s="99"/>
      <c r="R2622" s="104">
        <f t="shared" si="127"/>
        <v>0</v>
      </c>
      <c r="S2622" s="104">
        <f t="shared" si="128"/>
        <v>0</v>
      </c>
      <c r="T2622" s="104">
        <f t="shared" si="129"/>
        <v>0</v>
      </c>
    </row>
    <row r="2623" spans="1:20">
      <c r="A2623" s="101"/>
      <c r="B2623" s="101"/>
      <c r="C2623" s="101"/>
      <c r="D2623" s="101"/>
      <c r="E2623" s="101"/>
      <c r="F2623" s="102"/>
      <c r="G2623" s="101"/>
      <c r="H2623" s="102"/>
      <c r="I2623" s="101"/>
      <c r="J2623" s="101"/>
      <c r="K2623" s="103"/>
      <c r="L2623" s="103"/>
      <c r="M2623" s="103"/>
      <c r="N2623" s="103"/>
      <c r="O2623" s="103"/>
      <c r="P2623" s="98"/>
      <c r="Q2623" s="99"/>
      <c r="R2623" s="104">
        <f t="shared" si="127"/>
        <v>0</v>
      </c>
      <c r="S2623" s="104">
        <f t="shared" si="128"/>
        <v>0</v>
      </c>
      <c r="T2623" s="104">
        <f t="shared" si="129"/>
        <v>0</v>
      </c>
    </row>
    <row r="2624" spans="1:20">
      <c r="A2624" s="101"/>
      <c r="B2624" s="101"/>
      <c r="C2624" s="101"/>
      <c r="D2624" s="101"/>
      <c r="E2624" s="101"/>
      <c r="F2624" s="102"/>
      <c r="G2624" s="101"/>
      <c r="H2624" s="102"/>
      <c r="I2624" s="101"/>
      <c r="J2624" s="101"/>
      <c r="K2624" s="103"/>
      <c r="L2624" s="103"/>
      <c r="M2624" s="103"/>
      <c r="N2624" s="103"/>
      <c r="O2624" s="103"/>
      <c r="P2624" s="98"/>
      <c r="Q2624" s="99"/>
      <c r="R2624" s="104">
        <f t="shared" si="127"/>
        <v>0</v>
      </c>
      <c r="S2624" s="104">
        <f t="shared" si="128"/>
        <v>0</v>
      </c>
      <c r="T2624" s="104">
        <f t="shared" si="129"/>
        <v>0</v>
      </c>
    </row>
    <row r="2625" spans="1:20">
      <c r="A2625" s="101"/>
      <c r="B2625" s="101"/>
      <c r="C2625" s="101"/>
      <c r="D2625" s="101"/>
      <c r="E2625" s="101"/>
      <c r="F2625" s="102"/>
      <c r="G2625" s="101"/>
      <c r="H2625" s="102"/>
      <c r="I2625" s="101"/>
      <c r="J2625" s="101"/>
      <c r="K2625" s="103"/>
      <c r="L2625" s="103"/>
      <c r="M2625" s="103"/>
      <c r="N2625" s="103"/>
      <c r="O2625" s="103"/>
      <c r="P2625" s="98"/>
      <c r="Q2625" s="99"/>
      <c r="R2625" s="104">
        <f t="shared" si="127"/>
        <v>0</v>
      </c>
      <c r="S2625" s="104">
        <f t="shared" si="128"/>
        <v>0</v>
      </c>
      <c r="T2625" s="104">
        <f t="shared" si="129"/>
        <v>0</v>
      </c>
    </row>
    <row r="2626" spans="1:20">
      <c r="A2626" s="101"/>
      <c r="B2626" s="101"/>
      <c r="C2626" s="101"/>
      <c r="D2626" s="101"/>
      <c r="E2626" s="101"/>
      <c r="F2626" s="102"/>
      <c r="G2626" s="101"/>
      <c r="H2626" s="102"/>
      <c r="I2626" s="101"/>
      <c r="J2626" s="101"/>
      <c r="K2626" s="103"/>
      <c r="L2626" s="103"/>
      <c r="M2626" s="103"/>
      <c r="N2626" s="103"/>
      <c r="O2626" s="103"/>
      <c r="P2626" s="98"/>
      <c r="Q2626" s="99"/>
      <c r="R2626" s="104">
        <f t="shared" si="127"/>
        <v>0</v>
      </c>
      <c r="S2626" s="104">
        <f t="shared" si="128"/>
        <v>0</v>
      </c>
      <c r="T2626" s="104">
        <f t="shared" si="129"/>
        <v>0</v>
      </c>
    </row>
    <row r="2627" spans="1:20">
      <c r="A2627" s="101"/>
      <c r="B2627" s="101"/>
      <c r="C2627" s="101"/>
      <c r="D2627" s="101"/>
      <c r="E2627" s="101"/>
      <c r="F2627" s="102"/>
      <c r="G2627" s="101"/>
      <c r="H2627" s="102"/>
      <c r="I2627" s="101"/>
      <c r="J2627" s="101"/>
      <c r="K2627" s="103"/>
      <c r="L2627" s="103"/>
      <c r="M2627" s="103"/>
      <c r="N2627" s="103"/>
      <c r="O2627" s="103"/>
      <c r="P2627" s="98"/>
      <c r="Q2627" s="99"/>
      <c r="R2627" s="104">
        <f t="shared" si="127"/>
        <v>0</v>
      </c>
      <c r="S2627" s="104">
        <f t="shared" si="128"/>
        <v>0</v>
      </c>
      <c r="T2627" s="104">
        <f t="shared" si="129"/>
        <v>0</v>
      </c>
    </row>
    <row r="2628" spans="1:20">
      <c r="A2628" s="101"/>
      <c r="B2628" s="101"/>
      <c r="C2628" s="101"/>
      <c r="D2628" s="101"/>
      <c r="E2628" s="101"/>
      <c r="F2628" s="102"/>
      <c r="G2628" s="101"/>
      <c r="H2628" s="102"/>
      <c r="I2628" s="101"/>
      <c r="J2628" s="101"/>
      <c r="K2628" s="103"/>
      <c r="L2628" s="103"/>
      <c r="M2628" s="103"/>
      <c r="N2628" s="103"/>
      <c r="O2628" s="103"/>
      <c r="P2628" s="98"/>
      <c r="Q2628" s="99"/>
      <c r="R2628" s="104">
        <f t="shared" si="127"/>
        <v>0</v>
      </c>
      <c r="S2628" s="104">
        <f t="shared" si="128"/>
        <v>0</v>
      </c>
      <c r="T2628" s="104">
        <f t="shared" si="129"/>
        <v>0</v>
      </c>
    </row>
    <row r="2629" spans="1:20">
      <c r="A2629" s="101"/>
      <c r="B2629" s="101"/>
      <c r="C2629" s="101"/>
      <c r="D2629" s="101"/>
      <c r="E2629" s="101"/>
      <c r="F2629" s="102"/>
      <c r="G2629" s="101"/>
      <c r="H2629" s="102"/>
      <c r="I2629" s="101"/>
      <c r="J2629" s="101"/>
      <c r="K2629" s="103"/>
      <c r="L2629" s="103"/>
      <c r="M2629" s="103"/>
      <c r="N2629" s="103"/>
      <c r="O2629" s="103"/>
      <c r="P2629" s="98"/>
      <c r="Q2629" s="99"/>
      <c r="R2629" s="104">
        <f t="shared" si="127"/>
        <v>0</v>
      </c>
      <c r="S2629" s="104">
        <f t="shared" si="128"/>
        <v>0</v>
      </c>
      <c r="T2629" s="104">
        <f t="shared" si="129"/>
        <v>0</v>
      </c>
    </row>
    <row r="2630" spans="1:20">
      <c r="A2630" s="101"/>
      <c r="B2630" s="101"/>
      <c r="C2630" s="101"/>
      <c r="D2630" s="101"/>
      <c r="E2630" s="101"/>
      <c r="F2630" s="102"/>
      <c r="G2630" s="101"/>
      <c r="H2630" s="102"/>
      <c r="I2630" s="101"/>
      <c r="J2630" s="101"/>
      <c r="K2630" s="103"/>
      <c r="L2630" s="103"/>
      <c r="M2630" s="103"/>
      <c r="N2630" s="103"/>
      <c r="O2630" s="103"/>
      <c r="P2630" s="98"/>
      <c r="Q2630" s="99"/>
      <c r="R2630" s="104">
        <f t="shared" si="127"/>
        <v>0</v>
      </c>
      <c r="S2630" s="104">
        <f t="shared" si="128"/>
        <v>0</v>
      </c>
      <c r="T2630" s="104">
        <f t="shared" si="129"/>
        <v>0</v>
      </c>
    </row>
    <row r="2631" spans="1:20">
      <c r="A2631" s="101"/>
      <c r="B2631" s="101"/>
      <c r="C2631" s="101"/>
      <c r="D2631" s="101"/>
      <c r="E2631" s="101"/>
      <c r="F2631" s="102"/>
      <c r="G2631" s="101"/>
      <c r="H2631" s="102"/>
      <c r="I2631" s="101"/>
      <c r="J2631" s="101"/>
      <c r="K2631" s="103"/>
      <c r="L2631" s="103"/>
      <c r="M2631" s="103"/>
      <c r="N2631" s="103"/>
      <c r="O2631" s="103"/>
      <c r="P2631" s="98"/>
      <c r="Q2631" s="99"/>
      <c r="R2631" s="104">
        <f t="shared" si="127"/>
        <v>0</v>
      </c>
      <c r="S2631" s="104">
        <f t="shared" si="128"/>
        <v>0</v>
      </c>
      <c r="T2631" s="104">
        <f t="shared" si="129"/>
        <v>0</v>
      </c>
    </row>
    <row r="2632" spans="1:20">
      <c r="A2632" s="101"/>
      <c r="B2632" s="101"/>
      <c r="C2632" s="101"/>
      <c r="D2632" s="101"/>
      <c r="E2632" s="101"/>
      <c r="F2632" s="102"/>
      <c r="G2632" s="101"/>
      <c r="H2632" s="102"/>
      <c r="I2632" s="101"/>
      <c r="J2632" s="101"/>
      <c r="K2632" s="103"/>
      <c r="L2632" s="103"/>
      <c r="M2632" s="103"/>
      <c r="N2632" s="103"/>
      <c r="O2632" s="103"/>
      <c r="P2632" s="98"/>
      <c r="Q2632" s="99"/>
      <c r="R2632" s="104">
        <f t="shared" si="127"/>
        <v>0</v>
      </c>
      <c r="S2632" s="104">
        <f t="shared" si="128"/>
        <v>0</v>
      </c>
      <c r="T2632" s="104">
        <f t="shared" si="129"/>
        <v>0</v>
      </c>
    </row>
    <row r="2633" spans="1:20">
      <c r="A2633" s="101"/>
      <c r="B2633" s="101"/>
      <c r="C2633" s="101"/>
      <c r="D2633" s="101"/>
      <c r="E2633" s="101"/>
      <c r="F2633" s="102"/>
      <c r="G2633" s="101"/>
      <c r="H2633" s="102"/>
      <c r="I2633" s="101"/>
      <c r="J2633" s="101"/>
      <c r="K2633" s="103"/>
      <c r="L2633" s="103"/>
      <c r="M2633" s="103"/>
      <c r="N2633" s="103"/>
      <c r="O2633" s="103"/>
      <c r="P2633" s="98"/>
      <c r="Q2633" s="99"/>
      <c r="R2633" s="104">
        <f t="shared" si="127"/>
        <v>0</v>
      </c>
      <c r="S2633" s="104">
        <f t="shared" si="128"/>
        <v>0</v>
      </c>
      <c r="T2633" s="104">
        <f t="shared" si="129"/>
        <v>0</v>
      </c>
    </row>
    <row r="2634" spans="1:20">
      <c r="A2634" s="101"/>
      <c r="B2634" s="101"/>
      <c r="C2634" s="101"/>
      <c r="D2634" s="101"/>
      <c r="E2634" s="101"/>
      <c r="F2634" s="102"/>
      <c r="G2634" s="101"/>
      <c r="H2634" s="102"/>
      <c r="I2634" s="101"/>
      <c r="J2634" s="101"/>
      <c r="K2634" s="103"/>
      <c r="L2634" s="103"/>
      <c r="M2634" s="103"/>
      <c r="N2634" s="103"/>
      <c r="O2634" s="103"/>
      <c r="P2634" s="98"/>
      <c r="Q2634" s="99"/>
      <c r="R2634" s="104">
        <f t="shared" ref="R2634:R2697" si="130">IF(P2634="Cargo",K2634+L2634-M2634-N2634+O2634,0)</f>
        <v>0</v>
      </c>
      <c r="S2634" s="104">
        <f t="shared" ref="S2634:S2697" si="131">IF(P2634="Abono",K2634+L2634+M2634-N2634-O2634,0)</f>
        <v>0</v>
      </c>
      <c r="T2634" s="104">
        <f t="shared" ref="T2634:T2697" si="132">IF(Q2634="OK",+T2633+R2634-S2634,T2633)</f>
        <v>0</v>
      </c>
    </row>
    <row r="2635" spans="1:20">
      <c r="A2635" s="101"/>
      <c r="B2635" s="101"/>
      <c r="C2635" s="101"/>
      <c r="D2635" s="101"/>
      <c r="E2635" s="101"/>
      <c r="F2635" s="102"/>
      <c r="G2635" s="101"/>
      <c r="H2635" s="102"/>
      <c r="I2635" s="101"/>
      <c r="J2635" s="101"/>
      <c r="K2635" s="103"/>
      <c r="L2635" s="103"/>
      <c r="M2635" s="103"/>
      <c r="N2635" s="103"/>
      <c r="O2635" s="103"/>
      <c r="P2635" s="98"/>
      <c r="Q2635" s="99"/>
      <c r="R2635" s="104">
        <f t="shared" si="130"/>
        <v>0</v>
      </c>
      <c r="S2635" s="104">
        <f t="shared" si="131"/>
        <v>0</v>
      </c>
      <c r="T2635" s="104">
        <f t="shared" si="132"/>
        <v>0</v>
      </c>
    </row>
    <row r="2636" spans="1:20">
      <c r="A2636" s="101"/>
      <c r="B2636" s="101"/>
      <c r="C2636" s="101"/>
      <c r="D2636" s="101"/>
      <c r="E2636" s="101"/>
      <c r="F2636" s="102"/>
      <c r="G2636" s="101"/>
      <c r="H2636" s="102"/>
      <c r="I2636" s="101"/>
      <c r="J2636" s="101"/>
      <c r="K2636" s="103"/>
      <c r="L2636" s="103"/>
      <c r="M2636" s="103"/>
      <c r="N2636" s="103"/>
      <c r="O2636" s="103"/>
      <c r="P2636" s="98"/>
      <c r="Q2636" s="99"/>
      <c r="R2636" s="104">
        <f t="shared" si="130"/>
        <v>0</v>
      </c>
      <c r="S2636" s="104">
        <f t="shared" si="131"/>
        <v>0</v>
      </c>
      <c r="T2636" s="104">
        <f t="shared" si="132"/>
        <v>0</v>
      </c>
    </row>
    <row r="2637" spans="1:20">
      <c r="A2637" s="101"/>
      <c r="B2637" s="101"/>
      <c r="C2637" s="101"/>
      <c r="D2637" s="101"/>
      <c r="E2637" s="101"/>
      <c r="F2637" s="102"/>
      <c r="G2637" s="101"/>
      <c r="H2637" s="102"/>
      <c r="I2637" s="101"/>
      <c r="J2637" s="101"/>
      <c r="K2637" s="103"/>
      <c r="L2637" s="103"/>
      <c r="M2637" s="103"/>
      <c r="N2637" s="103"/>
      <c r="O2637" s="103"/>
      <c r="P2637" s="98"/>
      <c r="Q2637" s="99"/>
      <c r="R2637" s="104">
        <f t="shared" si="130"/>
        <v>0</v>
      </c>
      <c r="S2637" s="104">
        <f t="shared" si="131"/>
        <v>0</v>
      </c>
      <c r="T2637" s="104">
        <f t="shared" si="132"/>
        <v>0</v>
      </c>
    </row>
    <row r="2638" spans="1:20">
      <c r="A2638" s="101"/>
      <c r="B2638" s="101"/>
      <c r="C2638" s="101"/>
      <c r="D2638" s="101"/>
      <c r="E2638" s="101"/>
      <c r="F2638" s="102"/>
      <c r="G2638" s="101"/>
      <c r="H2638" s="102"/>
      <c r="I2638" s="101"/>
      <c r="J2638" s="101"/>
      <c r="K2638" s="103"/>
      <c r="L2638" s="103"/>
      <c r="M2638" s="103"/>
      <c r="N2638" s="103"/>
      <c r="O2638" s="103"/>
      <c r="P2638" s="98"/>
      <c r="Q2638" s="99"/>
      <c r="R2638" s="104">
        <f t="shared" si="130"/>
        <v>0</v>
      </c>
      <c r="S2638" s="104">
        <f t="shared" si="131"/>
        <v>0</v>
      </c>
      <c r="T2638" s="104">
        <f t="shared" si="132"/>
        <v>0</v>
      </c>
    </row>
    <row r="2639" spans="1:20">
      <c r="A2639" s="101"/>
      <c r="B2639" s="101"/>
      <c r="C2639" s="101"/>
      <c r="D2639" s="101"/>
      <c r="E2639" s="101"/>
      <c r="F2639" s="102"/>
      <c r="G2639" s="101"/>
      <c r="H2639" s="102"/>
      <c r="I2639" s="101"/>
      <c r="J2639" s="101"/>
      <c r="K2639" s="103"/>
      <c r="L2639" s="103"/>
      <c r="M2639" s="103"/>
      <c r="N2639" s="103"/>
      <c r="O2639" s="103"/>
      <c r="P2639" s="98"/>
      <c r="Q2639" s="99"/>
      <c r="R2639" s="104">
        <f t="shared" si="130"/>
        <v>0</v>
      </c>
      <c r="S2639" s="104">
        <f t="shared" si="131"/>
        <v>0</v>
      </c>
      <c r="T2639" s="104">
        <f t="shared" si="132"/>
        <v>0</v>
      </c>
    </row>
    <row r="2640" spans="1:20">
      <c r="A2640" s="101"/>
      <c r="B2640" s="101"/>
      <c r="C2640" s="101"/>
      <c r="D2640" s="101"/>
      <c r="E2640" s="101"/>
      <c r="F2640" s="102"/>
      <c r="G2640" s="101"/>
      <c r="H2640" s="102"/>
      <c r="I2640" s="101"/>
      <c r="J2640" s="101"/>
      <c r="K2640" s="103"/>
      <c r="L2640" s="103"/>
      <c r="M2640" s="103"/>
      <c r="N2640" s="103"/>
      <c r="O2640" s="103"/>
      <c r="P2640" s="98"/>
      <c r="Q2640" s="99"/>
      <c r="R2640" s="104">
        <f t="shared" si="130"/>
        <v>0</v>
      </c>
      <c r="S2640" s="104">
        <f t="shared" si="131"/>
        <v>0</v>
      </c>
      <c r="T2640" s="104">
        <f t="shared" si="132"/>
        <v>0</v>
      </c>
    </row>
    <row r="2641" spans="1:20">
      <c r="A2641" s="101"/>
      <c r="B2641" s="101"/>
      <c r="C2641" s="101"/>
      <c r="D2641" s="101"/>
      <c r="E2641" s="101"/>
      <c r="F2641" s="102"/>
      <c r="G2641" s="101"/>
      <c r="H2641" s="102"/>
      <c r="I2641" s="101"/>
      <c r="J2641" s="101"/>
      <c r="K2641" s="103"/>
      <c r="L2641" s="103"/>
      <c r="M2641" s="103"/>
      <c r="N2641" s="103"/>
      <c r="O2641" s="103"/>
      <c r="P2641" s="98"/>
      <c r="Q2641" s="99"/>
      <c r="R2641" s="104">
        <f t="shared" si="130"/>
        <v>0</v>
      </c>
      <c r="S2641" s="104">
        <f t="shared" si="131"/>
        <v>0</v>
      </c>
      <c r="T2641" s="104">
        <f t="shared" si="132"/>
        <v>0</v>
      </c>
    </row>
    <row r="2642" spans="1:20">
      <c r="A2642" s="101"/>
      <c r="B2642" s="101"/>
      <c r="C2642" s="101"/>
      <c r="D2642" s="101"/>
      <c r="E2642" s="101"/>
      <c r="F2642" s="102"/>
      <c r="G2642" s="101"/>
      <c r="H2642" s="102"/>
      <c r="I2642" s="101"/>
      <c r="J2642" s="101"/>
      <c r="K2642" s="103"/>
      <c r="L2642" s="103"/>
      <c r="M2642" s="103"/>
      <c r="N2642" s="103"/>
      <c r="O2642" s="103"/>
      <c r="P2642" s="98"/>
      <c r="Q2642" s="99"/>
      <c r="R2642" s="104">
        <f t="shared" si="130"/>
        <v>0</v>
      </c>
      <c r="S2642" s="104">
        <f t="shared" si="131"/>
        <v>0</v>
      </c>
      <c r="T2642" s="104">
        <f t="shared" si="132"/>
        <v>0</v>
      </c>
    </row>
    <row r="2643" spans="1:20">
      <c r="A2643" s="101"/>
      <c r="B2643" s="101"/>
      <c r="C2643" s="101"/>
      <c r="D2643" s="101"/>
      <c r="E2643" s="101"/>
      <c r="F2643" s="102"/>
      <c r="G2643" s="101"/>
      <c r="H2643" s="102"/>
      <c r="I2643" s="101"/>
      <c r="J2643" s="101"/>
      <c r="K2643" s="103"/>
      <c r="L2643" s="103"/>
      <c r="M2643" s="103"/>
      <c r="N2643" s="103"/>
      <c r="O2643" s="103"/>
      <c r="P2643" s="98"/>
      <c r="Q2643" s="99"/>
      <c r="R2643" s="104">
        <f t="shared" si="130"/>
        <v>0</v>
      </c>
      <c r="S2643" s="104">
        <f t="shared" si="131"/>
        <v>0</v>
      </c>
      <c r="T2643" s="104">
        <f t="shared" si="132"/>
        <v>0</v>
      </c>
    </row>
    <row r="2644" spans="1:20">
      <c r="A2644" s="101"/>
      <c r="B2644" s="101"/>
      <c r="C2644" s="101"/>
      <c r="D2644" s="101"/>
      <c r="E2644" s="101"/>
      <c r="F2644" s="102"/>
      <c r="G2644" s="101"/>
      <c r="H2644" s="102"/>
      <c r="I2644" s="101"/>
      <c r="J2644" s="101"/>
      <c r="K2644" s="103"/>
      <c r="L2644" s="103"/>
      <c r="M2644" s="103"/>
      <c r="N2644" s="103"/>
      <c r="O2644" s="103"/>
      <c r="P2644" s="98"/>
      <c r="Q2644" s="99"/>
      <c r="R2644" s="104">
        <f t="shared" si="130"/>
        <v>0</v>
      </c>
      <c r="S2644" s="104">
        <f t="shared" si="131"/>
        <v>0</v>
      </c>
      <c r="T2644" s="104">
        <f t="shared" si="132"/>
        <v>0</v>
      </c>
    </row>
    <row r="2645" spans="1:20">
      <c r="A2645" s="101"/>
      <c r="B2645" s="101"/>
      <c r="C2645" s="101"/>
      <c r="D2645" s="101"/>
      <c r="E2645" s="101"/>
      <c r="F2645" s="102"/>
      <c r="G2645" s="101"/>
      <c r="H2645" s="102"/>
      <c r="I2645" s="101"/>
      <c r="J2645" s="101"/>
      <c r="K2645" s="103"/>
      <c r="L2645" s="103"/>
      <c r="M2645" s="103"/>
      <c r="N2645" s="103"/>
      <c r="O2645" s="103"/>
      <c r="P2645" s="98"/>
      <c r="Q2645" s="99"/>
      <c r="R2645" s="104">
        <f t="shared" si="130"/>
        <v>0</v>
      </c>
      <c r="S2645" s="104">
        <f t="shared" si="131"/>
        <v>0</v>
      </c>
      <c r="T2645" s="104">
        <f t="shared" si="132"/>
        <v>0</v>
      </c>
    </row>
    <row r="2646" spans="1:20">
      <c r="A2646" s="101"/>
      <c r="B2646" s="101"/>
      <c r="C2646" s="101"/>
      <c r="D2646" s="101"/>
      <c r="E2646" s="101"/>
      <c r="F2646" s="102"/>
      <c r="G2646" s="101"/>
      <c r="H2646" s="102"/>
      <c r="I2646" s="101"/>
      <c r="J2646" s="101"/>
      <c r="K2646" s="103"/>
      <c r="L2646" s="103"/>
      <c r="M2646" s="103"/>
      <c r="N2646" s="103"/>
      <c r="O2646" s="103"/>
      <c r="P2646" s="98"/>
      <c r="Q2646" s="99"/>
      <c r="R2646" s="104">
        <f t="shared" si="130"/>
        <v>0</v>
      </c>
      <c r="S2646" s="104">
        <f t="shared" si="131"/>
        <v>0</v>
      </c>
      <c r="T2646" s="104">
        <f t="shared" si="132"/>
        <v>0</v>
      </c>
    </row>
    <row r="2647" spans="1:20">
      <c r="A2647" s="101"/>
      <c r="B2647" s="101"/>
      <c r="C2647" s="101"/>
      <c r="D2647" s="101"/>
      <c r="E2647" s="101"/>
      <c r="F2647" s="102"/>
      <c r="G2647" s="101"/>
      <c r="H2647" s="102"/>
      <c r="I2647" s="101"/>
      <c r="J2647" s="101"/>
      <c r="K2647" s="103"/>
      <c r="L2647" s="103"/>
      <c r="M2647" s="103"/>
      <c r="N2647" s="103"/>
      <c r="O2647" s="103"/>
      <c r="P2647" s="98"/>
      <c r="Q2647" s="99"/>
      <c r="R2647" s="104">
        <f t="shared" si="130"/>
        <v>0</v>
      </c>
      <c r="S2647" s="104">
        <f t="shared" si="131"/>
        <v>0</v>
      </c>
      <c r="T2647" s="104">
        <f t="shared" si="132"/>
        <v>0</v>
      </c>
    </row>
    <row r="2648" spans="1:20">
      <c r="A2648" s="101"/>
      <c r="B2648" s="101"/>
      <c r="C2648" s="101"/>
      <c r="D2648" s="101"/>
      <c r="E2648" s="101"/>
      <c r="F2648" s="102"/>
      <c r="G2648" s="101"/>
      <c r="H2648" s="102"/>
      <c r="I2648" s="101"/>
      <c r="J2648" s="101"/>
      <c r="K2648" s="103"/>
      <c r="L2648" s="103"/>
      <c r="M2648" s="103"/>
      <c r="N2648" s="103"/>
      <c r="O2648" s="103"/>
      <c r="P2648" s="98"/>
      <c r="Q2648" s="99"/>
      <c r="R2648" s="104">
        <f t="shared" si="130"/>
        <v>0</v>
      </c>
      <c r="S2648" s="104">
        <f t="shared" si="131"/>
        <v>0</v>
      </c>
      <c r="T2648" s="104">
        <f t="shared" si="132"/>
        <v>0</v>
      </c>
    </row>
    <row r="2649" spans="1:20">
      <c r="A2649" s="101"/>
      <c r="B2649" s="101"/>
      <c r="C2649" s="101"/>
      <c r="D2649" s="101"/>
      <c r="E2649" s="101"/>
      <c r="F2649" s="102"/>
      <c r="G2649" s="101"/>
      <c r="H2649" s="102"/>
      <c r="I2649" s="101"/>
      <c r="J2649" s="101"/>
      <c r="K2649" s="103"/>
      <c r="L2649" s="103"/>
      <c r="M2649" s="103"/>
      <c r="N2649" s="103"/>
      <c r="O2649" s="103"/>
      <c r="P2649" s="98"/>
      <c r="Q2649" s="99"/>
      <c r="R2649" s="104">
        <f t="shared" si="130"/>
        <v>0</v>
      </c>
      <c r="S2649" s="104">
        <f t="shared" si="131"/>
        <v>0</v>
      </c>
      <c r="T2649" s="104">
        <f t="shared" si="132"/>
        <v>0</v>
      </c>
    </row>
    <row r="2650" spans="1:20">
      <c r="A2650" s="101"/>
      <c r="B2650" s="101"/>
      <c r="C2650" s="101"/>
      <c r="D2650" s="101"/>
      <c r="E2650" s="101"/>
      <c r="F2650" s="102"/>
      <c r="G2650" s="101"/>
      <c r="H2650" s="102"/>
      <c r="I2650" s="101"/>
      <c r="J2650" s="101"/>
      <c r="K2650" s="103"/>
      <c r="L2650" s="103"/>
      <c r="M2650" s="103"/>
      <c r="N2650" s="103"/>
      <c r="O2650" s="103"/>
      <c r="P2650" s="98"/>
      <c r="Q2650" s="99"/>
      <c r="R2650" s="104">
        <f t="shared" si="130"/>
        <v>0</v>
      </c>
      <c r="S2650" s="104">
        <f t="shared" si="131"/>
        <v>0</v>
      </c>
      <c r="T2650" s="104">
        <f t="shared" si="132"/>
        <v>0</v>
      </c>
    </row>
    <row r="2651" spans="1:20">
      <c r="A2651" s="101"/>
      <c r="B2651" s="101"/>
      <c r="C2651" s="101"/>
      <c r="D2651" s="101"/>
      <c r="E2651" s="101"/>
      <c r="F2651" s="102"/>
      <c r="G2651" s="101"/>
      <c r="H2651" s="102"/>
      <c r="I2651" s="101"/>
      <c r="J2651" s="101"/>
      <c r="K2651" s="103"/>
      <c r="L2651" s="103"/>
      <c r="M2651" s="103"/>
      <c r="N2651" s="103"/>
      <c r="O2651" s="103"/>
      <c r="P2651" s="98"/>
      <c r="Q2651" s="99"/>
      <c r="R2651" s="104">
        <f t="shared" si="130"/>
        <v>0</v>
      </c>
      <c r="S2651" s="104">
        <f t="shared" si="131"/>
        <v>0</v>
      </c>
      <c r="T2651" s="104">
        <f t="shared" si="132"/>
        <v>0</v>
      </c>
    </row>
    <row r="2652" spans="1:20">
      <c r="A2652" s="101"/>
      <c r="B2652" s="101"/>
      <c r="C2652" s="101"/>
      <c r="D2652" s="101"/>
      <c r="E2652" s="101"/>
      <c r="F2652" s="102"/>
      <c r="G2652" s="101"/>
      <c r="H2652" s="102"/>
      <c r="I2652" s="101"/>
      <c r="J2652" s="101"/>
      <c r="K2652" s="103"/>
      <c r="L2652" s="103"/>
      <c r="M2652" s="103"/>
      <c r="N2652" s="103"/>
      <c r="O2652" s="103"/>
      <c r="P2652" s="98"/>
      <c r="Q2652" s="99"/>
      <c r="R2652" s="104">
        <f t="shared" si="130"/>
        <v>0</v>
      </c>
      <c r="S2652" s="104">
        <f t="shared" si="131"/>
        <v>0</v>
      </c>
      <c r="T2652" s="104">
        <f t="shared" si="132"/>
        <v>0</v>
      </c>
    </row>
    <row r="2653" spans="1:20">
      <c r="A2653" s="101"/>
      <c r="B2653" s="101"/>
      <c r="C2653" s="101"/>
      <c r="D2653" s="101"/>
      <c r="E2653" s="101"/>
      <c r="F2653" s="102"/>
      <c r="G2653" s="101"/>
      <c r="H2653" s="102"/>
      <c r="I2653" s="101"/>
      <c r="J2653" s="101"/>
      <c r="K2653" s="103"/>
      <c r="L2653" s="103"/>
      <c r="M2653" s="103"/>
      <c r="N2653" s="103"/>
      <c r="O2653" s="103"/>
      <c r="P2653" s="98"/>
      <c r="Q2653" s="99"/>
      <c r="R2653" s="104">
        <f t="shared" si="130"/>
        <v>0</v>
      </c>
      <c r="S2653" s="104">
        <f t="shared" si="131"/>
        <v>0</v>
      </c>
      <c r="T2653" s="104">
        <f t="shared" si="132"/>
        <v>0</v>
      </c>
    </row>
    <row r="2654" spans="1:20">
      <c r="A2654" s="101"/>
      <c r="B2654" s="101"/>
      <c r="C2654" s="101"/>
      <c r="D2654" s="101"/>
      <c r="E2654" s="101"/>
      <c r="F2654" s="102"/>
      <c r="G2654" s="101"/>
      <c r="H2654" s="102"/>
      <c r="I2654" s="101"/>
      <c r="J2654" s="101"/>
      <c r="K2654" s="103"/>
      <c r="L2654" s="103"/>
      <c r="M2654" s="103"/>
      <c r="N2654" s="103"/>
      <c r="O2654" s="103"/>
      <c r="P2654" s="98"/>
      <c r="Q2654" s="99"/>
      <c r="R2654" s="104">
        <f t="shared" si="130"/>
        <v>0</v>
      </c>
      <c r="S2654" s="104">
        <f t="shared" si="131"/>
        <v>0</v>
      </c>
      <c r="T2654" s="104">
        <f t="shared" si="132"/>
        <v>0</v>
      </c>
    </row>
    <row r="2655" spans="1:20">
      <c r="A2655" s="101"/>
      <c r="B2655" s="101"/>
      <c r="C2655" s="101"/>
      <c r="D2655" s="101"/>
      <c r="E2655" s="101"/>
      <c r="F2655" s="102"/>
      <c r="G2655" s="101"/>
      <c r="H2655" s="102"/>
      <c r="I2655" s="101"/>
      <c r="J2655" s="101"/>
      <c r="K2655" s="103"/>
      <c r="L2655" s="103"/>
      <c r="M2655" s="103"/>
      <c r="N2655" s="103"/>
      <c r="O2655" s="103"/>
      <c r="P2655" s="98"/>
      <c r="Q2655" s="99"/>
      <c r="R2655" s="104">
        <f t="shared" si="130"/>
        <v>0</v>
      </c>
      <c r="S2655" s="104">
        <f t="shared" si="131"/>
        <v>0</v>
      </c>
      <c r="T2655" s="104">
        <f t="shared" si="132"/>
        <v>0</v>
      </c>
    </row>
    <row r="2656" spans="1:20">
      <c r="A2656" s="101"/>
      <c r="B2656" s="101"/>
      <c r="C2656" s="101"/>
      <c r="D2656" s="101"/>
      <c r="E2656" s="101"/>
      <c r="F2656" s="102"/>
      <c r="G2656" s="101"/>
      <c r="H2656" s="102"/>
      <c r="I2656" s="101"/>
      <c r="J2656" s="101"/>
      <c r="K2656" s="103"/>
      <c r="L2656" s="103"/>
      <c r="M2656" s="103"/>
      <c r="N2656" s="103"/>
      <c r="O2656" s="103"/>
      <c r="P2656" s="98"/>
      <c r="Q2656" s="99"/>
      <c r="R2656" s="104">
        <f t="shared" si="130"/>
        <v>0</v>
      </c>
      <c r="S2656" s="104">
        <f t="shared" si="131"/>
        <v>0</v>
      </c>
      <c r="T2656" s="104">
        <f t="shared" si="132"/>
        <v>0</v>
      </c>
    </row>
    <row r="2657" spans="1:20">
      <c r="A2657" s="101"/>
      <c r="B2657" s="101"/>
      <c r="C2657" s="101"/>
      <c r="D2657" s="101"/>
      <c r="E2657" s="101"/>
      <c r="F2657" s="102"/>
      <c r="G2657" s="101"/>
      <c r="H2657" s="102"/>
      <c r="I2657" s="101"/>
      <c r="J2657" s="101"/>
      <c r="K2657" s="103"/>
      <c r="L2657" s="103"/>
      <c r="M2657" s="103"/>
      <c r="N2657" s="103"/>
      <c r="O2657" s="103"/>
      <c r="P2657" s="98"/>
      <c r="Q2657" s="99"/>
      <c r="R2657" s="104">
        <f t="shared" si="130"/>
        <v>0</v>
      </c>
      <c r="S2657" s="104">
        <f t="shared" si="131"/>
        <v>0</v>
      </c>
      <c r="T2657" s="104">
        <f t="shared" si="132"/>
        <v>0</v>
      </c>
    </row>
    <row r="2658" spans="1:20">
      <c r="A2658" s="101"/>
      <c r="B2658" s="101"/>
      <c r="C2658" s="101"/>
      <c r="D2658" s="101"/>
      <c r="E2658" s="101"/>
      <c r="F2658" s="102"/>
      <c r="G2658" s="101"/>
      <c r="H2658" s="102"/>
      <c r="I2658" s="101"/>
      <c r="J2658" s="101"/>
      <c r="K2658" s="103"/>
      <c r="L2658" s="103"/>
      <c r="M2658" s="103"/>
      <c r="N2658" s="103"/>
      <c r="O2658" s="103"/>
      <c r="P2658" s="98"/>
      <c r="Q2658" s="99"/>
      <c r="R2658" s="104">
        <f t="shared" si="130"/>
        <v>0</v>
      </c>
      <c r="S2658" s="104">
        <f t="shared" si="131"/>
        <v>0</v>
      </c>
      <c r="T2658" s="104">
        <f t="shared" si="132"/>
        <v>0</v>
      </c>
    </row>
    <row r="2659" spans="1:20">
      <c r="A2659" s="101"/>
      <c r="B2659" s="101"/>
      <c r="C2659" s="101"/>
      <c r="D2659" s="101"/>
      <c r="E2659" s="101"/>
      <c r="F2659" s="102"/>
      <c r="G2659" s="101"/>
      <c r="H2659" s="102"/>
      <c r="I2659" s="101"/>
      <c r="J2659" s="101"/>
      <c r="K2659" s="103"/>
      <c r="L2659" s="103"/>
      <c r="M2659" s="103"/>
      <c r="N2659" s="103"/>
      <c r="O2659" s="103"/>
      <c r="P2659" s="98"/>
      <c r="Q2659" s="99"/>
      <c r="R2659" s="104">
        <f t="shared" si="130"/>
        <v>0</v>
      </c>
      <c r="S2659" s="104">
        <f t="shared" si="131"/>
        <v>0</v>
      </c>
      <c r="T2659" s="104">
        <f t="shared" si="132"/>
        <v>0</v>
      </c>
    </row>
    <row r="2660" spans="1:20">
      <c r="A2660" s="101"/>
      <c r="B2660" s="101"/>
      <c r="C2660" s="101"/>
      <c r="D2660" s="101"/>
      <c r="E2660" s="101"/>
      <c r="F2660" s="102"/>
      <c r="G2660" s="101"/>
      <c r="H2660" s="102"/>
      <c r="I2660" s="101"/>
      <c r="J2660" s="101"/>
      <c r="K2660" s="103"/>
      <c r="L2660" s="103"/>
      <c r="M2660" s="103"/>
      <c r="N2660" s="103"/>
      <c r="O2660" s="103"/>
      <c r="P2660" s="98"/>
      <c r="Q2660" s="99"/>
      <c r="R2660" s="104">
        <f t="shared" si="130"/>
        <v>0</v>
      </c>
      <c r="S2660" s="104">
        <f t="shared" si="131"/>
        <v>0</v>
      </c>
      <c r="T2660" s="104">
        <f t="shared" si="132"/>
        <v>0</v>
      </c>
    </row>
    <row r="2661" spans="1:20">
      <c r="A2661" s="101"/>
      <c r="B2661" s="101"/>
      <c r="C2661" s="101"/>
      <c r="D2661" s="101"/>
      <c r="E2661" s="101"/>
      <c r="F2661" s="102"/>
      <c r="G2661" s="101"/>
      <c r="H2661" s="102"/>
      <c r="I2661" s="101"/>
      <c r="J2661" s="101"/>
      <c r="K2661" s="103"/>
      <c r="L2661" s="103"/>
      <c r="M2661" s="103"/>
      <c r="N2661" s="103"/>
      <c r="O2661" s="103"/>
      <c r="P2661" s="98"/>
      <c r="Q2661" s="99"/>
      <c r="R2661" s="104">
        <f t="shared" si="130"/>
        <v>0</v>
      </c>
      <c r="S2661" s="104">
        <f t="shared" si="131"/>
        <v>0</v>
      </c>
      <c r="T2661" s="104">
        <f t="shared" si="132"/>
        <v>0</v>
      </c>
    </row>
    <row r="2662" spans="1:20">
      <c r="A2662" s="101"/>
      <c r="B2662" s="101"/>
      <c r="C2662" s="101"/>
      <c r="D2662" s="101"/>
      <c r="E2662" s="101"/>
      <c r="F2662" s="102"/>
      <c r="G2662" s="101"/>
      <c r="H2662" s="102"/>
      <c r="I2662" s="101"/>
      <c r="J2662" s="101"/>
      <c r="K2662" s="103"/>
      <c r="L2662" s="103"/>
      <c r="M2662" s="103"/>
      <c r="N2662" s="103"/>
      <c r="O2662" s="103"/>
      <c r="P2662" s="98"/>
      <c r="Q2662" s="99"/>
      <c r="R2662" s="104">
        <f t="shared" si="130"/>
        <v>0</v>
      </c>
      <c r="S2662" s="104">
        <f t="shared" si="131"/>
        <v>0</v>
      </c>
      <c r="T2662" s="104">
        <f t="shared" si="132"/>
        <v>0</v>
      </c>
    </row>
    <row r="2663" spans="1:20">
      <c r="A2663" s="101"/>
      <c r="B2663" s="101"/>
      <c r="C2663" s="101"/>
      <c r="D2663" s="101"/>
      <c r="E2663" s="101"/>
      <c r="F2663" s="102"/>
      <c r="G2663" s="101"/>
      <c r="H2663" s="102"/>
      <c r="I2663" s="101"/>
      <c r="J2663" s="101"/>
      <c r="K2663" s="103"/>
      <c r="L2663" s="103"/>
      <c r="M2663" s="103"/>
      <c r="N2663" s="103"/>
      <c r="O2663" s="103"/>
      <c r="P2663" s="98"/>
      <c r="Q2663" s="99"/>
      <c r="R2663" s="104">
        <f t="shared" si="130"/>
        <v>0</v>
      </c>
      <c r="S2663" s="104">
        <f t="shared" si="131"/>
        <v>0</v>
      </c>
      <c r="T2663" s="104">
        <f t="shared" si="132"/>
        <v>0</v>
      </c>
    </row>
    <row r="2664" spans="1:20">
      <c r="A2664" s="101"/>
      <c r="B2664" s="101"/>
      <c r="C2664" s="101"/>
      <c r="D2664" s="101"/>
      <c r="E2664" s="101"/>
      <c r="F2664" s="102"/>
      <c r="G2664" s="101"/>
      <c r="H2664" s="102"/>
      <c r="I2664" s="101"/>
      <c r="J2664" s="101"/>
      <c r="K2664" s="103"/>
      <c r="L2664" s="103"/>
      <c r="M2664" s="103"/>
      <c r="N2664" s="103"/>
      <c r="O2664" s="103"/>
      <c r="P2664" s="98"/>
      <c r="Q2664" s="99"/>
      <c r="R2664" s="104">
        <f t="shared" si="130"/>
        <v>0</v>
      </c>
      <c r="S2664" s="104">
        <f t="shared" si="131"/>
        <v>0</v>
      </c>
      <c r="T2664" s="104">
        <f t="shared" si="132"/>
        <v>0</v>
      </c>
    </row>
    <row r="2665" spans="1:20">
      <c r="A2665" s="101"/>
      <c r="B2665" s="101"/>
      <c r="C2665" s="101"/>
      <c r="D2665" s="101"/>
      <c r="E2665" s="101"/>
      <c r="F2665" s="102"/>
      <c r="G2665" s="101"/>
      <c r="H2665" s="102"/>
      <c r="I2665" s="101"/>
      <c r="J2665" s="101"/>
      <c r="K2665" s="103"/>
      <c r="L2665" s="103"/>
      <c r="M2665" s="103"/>
      <c r="N2665" s="103"/>
      <c r="O2665" s="103"/>
      <c r="P2665" s="98"/>
      <c r="Q2665" s="99"/>
      <c r="R2665" s="104">
        <f t="shared" si="130"/>
        <v>0</v>
      </c>
      <c r="S2665" s="104">
        <f t="shared" si="131"/>
        <v>0</v>
      </c>
      <c r="T2665" s="104">
        <f t="shared" si="132"/>
        <v>0</v>
      </c>
    </row>
    <row r="2666" spans="1:20">
      <c r="A2666" s="101"/>
      <c r="B2666" s="101"/>
      <c r="C2666" s="101"/>
      <c r="D2666" s="101"/>
      <c r="E2666" s="101"/>
      <c r="F2666" s="102"/>
      <c r="G2666" s="101"/>
      <c r="H2666" s="102"/>
      <c r="I2666" s="101"/>
      <c r="J2666" s="101"/>
      <c r="K2666" s="103"/>
      <c r="L2666" s="103"/>
      <c r="M2666" s="103"/>
      <c r="N2666" s="103"/>
      <c r="O2666" s="103"/>
      <c r="P2666" s="98"/>
      <c r="Q2666" s="99"/>
      <c r="R2666" s="104">
        <f t="shared" si="130"/>
        <v>0</v>
      </c>
      <c r="S2666" s="104">
        <f t="shared" si="131"/>
        <v>0</v>
      </c>
      <c r="T2666" s="104">
        <f t="shared" si="132"/>
        <v>0</v>
      </c>
    </row>
    <row r="2667" spans="1:20">
      <c r="A2667" s="101"/>
      <c r="B2667" s="101"/>
      <c r="C2667" s="101"/>
      <c r="D2667" s="101"/>
      <c r="E2667" s="101"/>
      <c r="F2667" s="102"/>
      <c r="G2667" s="101"/>
      <c r="H2667" s="102"/>
      <c r="I2667" s="101"/>
      <c r="J2667" s="101"/>
      <c r="K2667" s="103"/>
      <c r="L2667" s="103"/>
      <c r="M2667" s="103"/>
      <c r="N2667" s="103"/>
      <c r="O2667" s="103"/>
      <c r="P2667" s="98"/>
      <c r="Q2667" s="99"/>
      <c r="R2667" s="104">
        <f t="shared" si="130"/>
        <v>0</v>
      </c>
      <c r="S2667" s="104">
        <f t="shared" si="131"/>
        <v>0</v>
      </c>
      <c r="T2667" s="104">
        <f t="shared" si="132"/>
        <v>0</v>
      </c>
    </row>
    <row r="2668" spans="1:20">
      <c r="A2668" s="101"/>
      <c r="B2668" s="101"/>
      <c r="C2668" s="101"/>
      <c r="D2668" s="101"/>
      <c r="E2668" s="101"/>
      <c r="F2668" s="102"/>
      <c r="G2668" s="101"/>
      <c r="H2668" s="102"/>
      <c r="I2668" s="101"/>
      <c r="J2668" s="101"/>
      <c r="K2668" s="103"/>
      <c r="L2668" s="103"/>
      <c r="M2668" s="103"/>
      <c r="N2668" s="103"/>
      <c r="O2668" s="103"/>
      <c r="P2668" s="98"/>
      <c r="Q2668" s="99"/>
      <c r="R2668" s="104">
        <f t="shared" si="130"/>
        <v>0</v>
      </c>
      <c r="S2668" s="104">
        <f t="shared" si="131"/>
        <v>0</v>
      </c>
      <c r="T2668" s="104">
        <f t="shared" si="132"/>
        <v>0</v>
      </c>
    </row>
    <row r="2669" spans="1:20">
      <c r="A2669" s="101"/>
      <c r="B2669" s="101"/>
      <c r="C2669" s="101"/>
      <c r="D2669" s="101"/>
      <c r="E2669" s="101"/>
      <c r="F2669" s="102"/>
      <c r="G2669" s="101"/>
      <c r="H2669" s="102"/>
      <c r="I2669" s="101"/>
      <c r="J2669" s="101"/>
      <c r="K2669" s="103"/>
      <c r="L2669" s="103"/>
      <c r="M2669" s="103"/>
      <c r="N2669" s="103"/>
      <c r="O2669" s="103"/>
      <c r="P2669" s="98"/>
      <c r="Q2669" s="99"/>
      <c r="R2669" s="104">
        <f t="shared" si="130"/>
        <v>0</v>
      </c>
      <c r="S2669" s="104">
        <f t="shared" si="131"/>
        <v>0</v>
      </c>
      <c r="T2669" s="104">
        <f t="shared" si="132"/>
        <v>0</v>
      </c>
    </row>
    <row r="2670" spans="1:20">
      <c r="A2670" s="101"/>
      <c r="B2670" s="101"/>
      <c r="C2670" s="101"/>
      <c r="D2670" s="101"/>
      <c r="E2670" s="101"/>
      <c r="F2670" s="102"/>
      <c r="G2670" s="101"/>
      <c r="H2670" s="102"/>
      <c r="I2670" s="101"/>
      <c r="J2670" s="101"/>
      <c r="K2670" s="103"/>
      <c r="L2670" s="103"/>
      <c r="M2670" s="103"/>
      <c r="N2670" s="103"/>
      <c r="O2670" s="103"/>
      <c r="P2670" s="98"/>
      <c r="Q2670" s="99"/>
      <c r="R2670" s="104">
        <f t="shared" si="130"/>
        <v>0</v>
      </c>
      <c r="S2670" s="104">
        <f t="shared" si="131"/>
        <v>0</v>
      </c>
      <c r="T2670" s="104">
        <f t="shared" si="132"/>
        <v>0</v>
      </c>
    </row>
    <row r="2671" spans="1:20">
      <c r="A2671" s="101"/>
      <c r="B2671" s="101"/>
      <c r="C2671" s="101"/>
      <c r="D2671" s="101"/>
      <c r="E2671" s="101"/>
      <c r="F2671" s="102"/>
      <c r="G2671" s="101"/>
      <c r="H2671" s="102"/>
      <c r="I2671" s="101"/>
      <c r="J2671" s="101"/>
      <c r="K2671" s="103"/>
      <c r="L2671" s="103"/>
      <c r="M2671" s="103"/>
      <c r="N2671" s="103"/>
      <c r="O2671" s="103"/>
      <c r="P2671" s="98"/>
      <c r="Q2671" s="99"/>
      <c r="R2671" s="104">
        <f t="shared" si="130"/>
        <v>0</v>
      </c>
      <c r="S2671" s="104">
        <f t="shared" si="131"/>
        <v>0</v>
      </c>
      <c r="T2671" s="104">
        <f t="shared" si="132"/>
        <v>0</v>
      </c>
    </row>
    <row r="2672" spans="1:20">
      <c r="A2672" s="101"/>
      <c r="B2672" s="101"/>
      <c r="C2672" s="101"/>
      <c r="D2672" s="101"/>
      <c r="E2672" s="101"/>
      <c r="F2672" s="102"/>
      <c r="G2672" s="101"/>
      <c r="H2672" s="102"/>
      <c r="I2672" s="101"/>
      <c r="J2672" s="101"/>
      <c r="K2672" s="103"/>
      <c r="L2672" s="103"/>
      <c r="M2672" s="103"/>
      <c r="N2672" s="103"/>
      <c r="O2672" s="103"/>
      <c r="P2672" s="98"/>
      <c r="Q2672" s="99"/>
      <c r="R2672" s="104">
        <f t="shared" si="130"/>
        <v>0</v>
      </c>
      <c r="S2672" s="104">
        <f t="shared" si="131"/>
        <v>0</v>
      </c>
      <c r="T2672" s="104">
        <f t="shared" si="132"/>
        <v>0</v>
      </c>
    </row>
    <row r="2673" spans="1:20">
      <c r="A2673" s="101"/>
      <c r="B2673" s="101"/>
      <c r="C2673" s="101"/>
      <c r="D2673" s="101"/>
      <c r="E2673" s="101"/>
      <c r="F2673" s="102"/>
      <c r="G2673" s="101"/>
      <c r="H2673" s="102"/>
      <c r="I2673" s="101"/>
      <c r="J2673" s="101"/>
      <c r="K2673" s="103"/>
      <c r="L2673" s="103"/>
      <c r="M2673" s="103"/>
      <c r="N2673" s="103"/>
      <c r="O2673" s="103"/>
      <c r="P2673" s="98"/>
      <c r="Q2673" s="99"/>
      <c r="R2673" s="104">
        <f t="shared" si="130"/>
        <v>0</v>
      </c>
      <c r="S2673" s="104">
        <f t="shared" si="131"/>
        <v>0</v>
      </c>
      <c r="T2673" s="104">
        <f t="shared" si="132"/>
        <v>0</v>
      </c>
    </row>
    <row r="2674" spans="1:20">
      <c r="A2674" s="101"/>
      <c r="B2674" s="101"/>
      <c r="C2674" s="101"/>
      <c r="D2674" s="101"/>
      <c r="E2674" s="101"/>
      <c r="F2674" s="102"/>
      <c r="G2674" s="101"/>
      <c r="H2674" s="102"/>
      <c r="I2674" s="101"/>
      <c r="J2674" s="101"/>
      <c r="K2674" s="103"/>
      <c r="L2674" s="103"/>
      <c r="M2674" s="103"/>
      <c r="N2674" s="103"/>
      <c r="O2674" s="103"/>
      <c r="P2674" s="98"/>
      <c r="Q2674" s="99"/>
      <c r="R2674" s="104">
        <f t="shared" si="130"/>
        <v>0</v>
      </c>
      <c r="S2674" s="104">
        <f t="shared" si="131"/>
        <v>0</v>
      </c>
      <c r="T2674" s="104">
        <f t="shared" si="132"/>
        <v>0</v>
      </c>
    </row>
    <row r="2675" spans="1:20">
      <c r="A2675" s="101"/>
      <c r="B2675" s="101"/>
      <c r="C2675" s="101"/>
      <c r="D2675" s="101"/>
      <c r="E2675" s="101"/>
      <c r="F2675" s="102"/>
      <c r="G2675" s="101"/>
      <c r="H2675" s="102"/>
      <c r="I2675" s="101"/>
      <c r="J2675" s="101"/>
      <c r="K2675" s="103"/>
      <c r="L2675" s="103"/>
      <c r="M2675" s="103"/>
      <c r="N2675" s="103"/>
      <c r="O2675" s="103"/>
      <c r="P2675" s="98"/>
      <c r="Q2675" s="99"/>
      <c r="R2675" s="104">
        <f t="shared" si="130"/>
        <v>0</v>
      </c>
      <c r="S2675" s="104">
        <f t="shared" si="131"/>
        <v>0</v>
      </c>
      <c r="T2675" s="104">
        <f t="shared" si="132"/>
        <v>0</v>
      </c>
    </row>
    <row r="2676" spans="1:20">
      <c r="A2676" s="101"/>
      <c r="B2676" s="101"/>
      <c r="C2676" s="101"/>
      <c r="D2676" s="101"/>
      <c r="E2676" s="101"/>
      <c r="F2676" s="102"/>
      <c r="G2676" s="101"/>
      <c r="H2676" s="102"/>
      <c r="I2676" s="101"/>
      <c r="J2676" s="101"/>
      <c r="K2676" s="103"/>
      <c r="L2676" s="103"/>
      <c r="M2676" s="103"/>
      <c r="N2676" s="103"/>
      <c r="O2676" s="103"/>
      <c r="P2676" s="98"/>
      <c r="Q2676" s="99"/>
      <c r="R2676" s="104">
        <f t="shared" si="130"/>
        <v>0</v>
      </c>
      <c r="S2676" s="104">
        <f t="shared" si="131"/>
        <v>0</v>
      </c>
      <c r="T2676" s="104">
        <f t="shared" si="132"/>
        <v>0</v>
      </c>
    </row>
    <row r="2677" spans="1:20">
      <c r="A2677" s="101"/>
      <c r="B2677" s="101"/>
      <c r="C2677" s="101"/>
      <c r="D2677" s="101"/>
      <c r="E2677" s="101"/>
      <c r="F2677" s="102"/>
      <c r="G2677" s="101"/>
      <c r="H2677" s="102"/>
      <c r="I2677" s="101"/>
      <c r="J2677" s="101"/>
      <c r="K2677" s="103"/>
      <c r="L2677" s="103"/>
      <c r="M2677" s="103"/>
      <c r="N2677" s="103"/>
      <c r="O2677" s="103"/>
      <c r="P2677" s="98"/>
      <c r="Q2677" s="99"/>
      <c r="R2677" s="104">
        <f t="shared" si="130"/>
        <v>0</v>
      </c>
      <c r="S2677" s="104">
        <f t="shared" si="131"/>
        <v>0</v>
      </c>
      <c r="T2677" s="104">
        <f t="shared" si="132"/>
        <v>0</v>
      </c>
    </row>
    <row r="2678" spans="1:20">
      <c r="A2678" s="101"/>
      <c r="B2678" s="101"/>
      <c r="C2678" s="101"/>
      <c r="D2678" s="101"/>
      <c r="E2678" s="101"/>
      <c r="F2678" s="102"/>
      <c r="G2678" s="101"/>
      <c r="H2678" s="102"/>
      <c r="I2678" s="101"/>
      <c r="J2678" s="101"/>
      <c r="K2678" s="103"/>
      <c r="L2678" s="103"/>
      <c r="M2678" s="103"/>
      <c r="N2678" s="103"/>
      <c r="O2678" s="103"/>
      <c r="P2678" s="98"/>
      <c r="Q2678" s="99"/>
      <c r="R2678" s="104">
        <f t="shared" si="130"/>
        <v>0</v>
      </c>
      <c r="S2678" s="104">
        <f t="shared" si="131"/>
        <v>0</v>
      </c>
      <c r="T2678" s="104">
        <f t="shared" si="132"/>
        <v>0</v>
      </c>
    </row>
    <row r="2679" spans="1:20">
      <c r="A2679" s="101"/>
      <c r="B2679" s="101"/>
      <c r="C2679" s="101"/>
      <c r="D2679" s="101"/>
      <c r="E2679" s="101"/>
      <c r="F2679" s="102"/>
      <c r="G2679" s="101"/>
      <c r="H2679" s="102"/>
      <c r="I2679" s="101"/>
      <c r="J2679" s="101"/>
      <c r="K2679" s="103"/>
      <c r="L2679" s="103"/>
      <c r="M2679" s="103"/>
      <c r="N2679" s="103"/>
      <c r="O2679" s="103"/>
      <c r="P2679" s="98"/>
      <c r="Q2679" s="99"/>
      <c r="R2679" s="104">
        <f t="shared" si="130"/>
        <v>0</v>
      </c>
      <c r="S2679" s="104">
        <f t="shared" si="131"/>
        <v>0</v>
      </c>
      <c r="T2679" s="104">
        <f t="shared" si="132"/>
        <v>0</v>
      </c>
    </row>
    <row r="2680" spans="1:20">
      <c r="A2680" s="101"/>
      <c r="B2680" s="101"/>
      <c r="C2680" s="101"/>
      <c r="D2680" s="101"/>
      <c r="E2680" s="101"/>
      <c r="F2680" s="102"/>
      <c r="G2680" s="101"/>
      <c r="H2680" s="102"/>
      <c r="I2680" s="101"/>
      <c r="J2680" s="101"/>
      <c r="K2680" s="103"/>
      <c r="L2680" s="103"/>
      <c r="M2680" s="103"/>
      <c r="N2680" s="103"/>
      <c r="O2680" s="103"/>
      <c r="P2680" s="98"/>
      <c r="Q2680" s="99"/>
      <c r="R2680" s="104">
        <f t="shared" si="130"/>
        <v>0</v>
      </c>
      <c r="S2680" s="104">
        <f t="shared" si="131"/>
        <v>0</v>
      </c>
      <c r="T2680" s="104">
        <f t="shared" si="132"/>
        <v>0</v>
      </c>
    </row>
    <row r="2681" spans="1:20">
      <c r="A2681" s="101"/>
      <c r="B2681" s="101"/>
      <c r="C2681" s="101"/>
      <c r="D2681" s="101"/>
      <c r="E2681" s="101"/>
      <c r="F2681" s="102"/>
      <c r="G2681" s="101"/>
      <c r="H2681" s="102"/>
      <c r="I2681" s="101"/>
      <c r="J2681" s="101"/>
      <c r="K2681" s="103"/>
      <c r="L2681" s="103"/>
      <c r="M2681" s="103"/>
      <c r="N2681" s="103"/>
      <c r="O2681" s="103"/>
      <c r="P2681" s="98"/>
      <c r="Q2681" s="99"/>
      <c r="R2681" s="104">
        <f t="shared" si="130"/>
        <v>0</v>
      </c>
      <c r="S2681" s="104">
        <f t="shared" si="131"/>
        <v>0</v>
      </c>
      <c r="T2681" s="104">
        <f t="shared" si="132"/>
        <v>0</v>
      </c>
    </row>
    <row r="2682" spans="1:20">
      <c r="A2682" s="101"/>
      <c r="B2682" s="101"/>
      <c r="C2682" s="101"/>
      <c r="D2682" s="101"/>
      <c r="E2682" s="101"/>
      <c r="F2682" s="102"/>
      <c r="G2682" s="101"/>
      <c r="H2682" s="102"/>
      <c r="I2682" s="101"/>
      <c r="J2682" s="101"/>
      <c r="K2682" s="103"/>
      <c r="L2682" s="103"/>
      <c r="M2682" s="103"/>
      <c r="N2682" s="103"/>
      <c r="O2682" s="103"/>
      <c r="P2682" s="98"/>
      <c r="Q2682" s="99"/>
      <c r="R2682" s="104">
        <f t="shared" si="130"/>
        <v>0</v>
      </c>
      <c r="S2682" s="104">
        <f t="shared" si="131"/>
        <v>0</v>
      </c>
      <c r="T2682" s="104">
        <f t="shared" si="132"/>
        <v>0</v>
      </c>
    </row>
    <row r="2683" spans="1:20">
      <c r="A2683" s="101"/>
      <c r="B2683" s="101"/>
      <c r="C2683" s="101"/>
      <c r="D2683" s="101"/>
      <c r="E2683" s="101"/>
      <c r="F2683" s="102"/>
      <c r="G2683" s="101"/>
      <c r="H2683" s="102"/>
      <c r="I2683" s="101"/>
      <c r="J2683" s="101"/>
      <c r="K2683" s="103"/>
      <c r="L2683" s="103"/>
      <c r="M2683" s="103"/>
      <c r="N2683" s="103"/>
      <c r="O2683" s="103"/>
      <c r="P2683" s="98"/>
      <c r="Q2683" s="99"/>
      <c r="R2683" s="104">
        <f t="shared" si="130"/>
        <v>0</v>
      </c>
      <c r="S2683" s="104">
        <f t="shared" si="131"/>
        <v>0</v>
      </c>
      <c r="T2683" s="104">
        <f t="shared" si="132"/>
        <v>0</v>
      </c>
    </row>
    <row r="2684" spans="1:20">
      <c r="A2684" s="101"/>
      <c r="B2684" s="101"/>
      <c r="C2684" s="101"/>
      <c r="D2684" s="101"/>
      <c r="E2684" s="101"/>
      <c r="F2684" s="102"/>
      <c r="G2684" s="101"/>
      <c r="H2684" s="102"/>
      <c r="I2684" s="101"/>
      <c r="J2684" s="101"/>
      <c r="K2684" s="103"/>
      <c r="L2684" s="103"/>
      <c r="M2684" s="103"/>
      <c r="N2684" s="103"/>
      <c r="O2684" s="103"/>
      <c r="P2684" s="98"/>
      <c r="Q2684" s="99"/>
      <c r="R2684" s="104">
        <f t="shared" si="130"/>
        <v>0</v>
      </c>
      <c r="S2684" s="104">
        <f t="shared" si="131"/>
        <v>0</v>
      </c>
      <c r="T2684" s="104">
        <f t="shared" si="132"/>
        <v>0</v>
      </c>
    </row>
    <row r="2685" spans="1:20">
      <c r="A2685" s="101"/>
      <c r="B2685" s="101"/>
      <c r="C2685" s="101"/>
      <c r="D2685" s="101"/>
      <c r="E2685" s="101"/>
      <c r="F2685" s="102"/>
      <c r="G2685" s="101"/>
      <c r="H2685" s="102"/>
      <c r="I2685" s="101"/>
      <c r="J2685" s="101"/>
      <c r="K2685" s="103"/>
      <c r="L2685" s="103"/>
      <c r="M2685" s="103"/>
      <c r="N2685" s="103"/>
      <c r="O2685" s="103"/>
      <c r="P2685" s="98"/>
      <c r="Q2685" s="99"/>
      <c r="R2685" s="104">
        <f t="shared" si="130"/>
        <v>0</v>
      </c>
      <c r="S2685" s="104">
        <f t="shared" si="131"/>
        <v>0</v>
      </c>
      <c r="T2685" s="104">
        <f t="shared" si="132"/>
        <v>0</v>
      </c>
    </row>
    <row r="2686" spans="1:20">
      <c r="A2686" s="101"/>
      <c r="B2686" s="101"/>
      <c r="C2686" s="101"/>
      <c r="D2686" s="101"/>
      <c r="E2686" s="101"/>
      <c r="F2686" s="102"/>
      <c r="G2686" s="101"/>
      <c r="H2686" s="102"/>
      <c r="I2686" s="101"/>
      <c r="J2686" s="101"/>
      <c r="K2686" s="103"/>
      <c r="L2686" s="103"/>
      <c r="M2686" s="103"/>
      <c r="N2686" s="103"/>
      <c r="O2686" s="103"/>
      <c r="P2686" s="98"/>
      <c r="Q2686" s="99"/>
      <c r="R2686" s="104">
        <f t="shared" si="130"/>
        <v>0</v>
      </c>
      <c r="S2686" s="104">
        <f t="shared" si="131"/>
        <v>0</v>
      </c>
      <c r="T2686" s="104">
        <f t="shared" si="132"/>
        <v>0</v>
      </c>
    </row>
    <row r="2687" spans="1:20">
      <c r="A2687" s="101"/>
      <c r="B2687" s="101"/>
      <c r="C2687" s="101"/>
      <c r="D2687" s="101"/>
      <c r="E2687" s="101"/>
      <c r="F2687" s="102"/>
      <c r="G2687" s="101"/>
      <c r="H2687" s="102"/>
      <c r="I2687" s="101"/>
      <c r="J2687" s="101"/>
      <c r="K2687" s="103"/>
      <c r="L2687" s="103"/>
      <c r="M2687" s="103"/>
      <c r="N2687" s="103"/>
      <c r="O2687" s="103"/>
      <c r="P2687" s="98"/>
      <c r="Q2687" s="99"/>
      <c r="R2687" s="104">
        <f t="shared" si="130"/>
        <v>0</v>
      </c>
      <c r="S2687" s="104">
        <f t="shared" si="131"/>
        <v>0</v>
      </c>
      <c r="T2687" s="104">
        <f t="shared" si="132"/>
        <v>0</v>
      </c>
    </row>
    <row r="2688" spans="1:20">
      <c r="A2688" s="101"/>
      <c r="B2688" s="101"/>
      <c r="C2688" s="101"/>
      <c r="D2688" s="101"/>
      <c r="E2688" s="101"/>
      <c r="F2688" s="102"/>
      <c r="G2688" s="101"/>
      <c r="H2688" s="102"/>
      <c r="I2688" s="101"/>
      <c r="J2688" s="101"/>
      <c r="K2688" s="103"/>
      <c r="L2688" s="103"/>
      <c r="M2688" s="103"/>
      <c r="N2688" s="103"/>
      <c r="O2688" s="103"/>
      <c r="P2688" s="98"/>
      <c r="Q2688" s="99"/>
      <c r="R2688" s="104">
        <f t="shared" si="130"/>
        <v>0</v>
      </c>
      <c r="S2688" s="104">
        <f t="shared" si="131"/>
        <v>0</v>
      </c>
      <c r="T2688" s="104">
        <f t="shared" si="132"/>
        <v>0</v>
      </c>
    </row>
    <row r="2689" spans="1:20">
      <c r="A2689" s="101"/>
      <c r="B2689" s="101"/>
      <c r="C2689" s="101"/>
      <c r="D2689" s="101"/>
      <c r="E2689" s="101"/>
      <c r="F2689" s="102"/>
      <c r="G2689" s="101"/>
      <c r="H2689" s="102"/>
      <c r="I2689" s="101"/>
      <c r="J2689" s="101"/>
      <c r="K2689" s="103"/>
      <c r="L2689" s="103"/>
      <c r="M2689" s="103"/>
      <c r="N2689" s="103"/>
      <c r="O2689" s="103"/>
      <c r="P2689" s="98"/>
      <c r="Q2689" s="99"/>
      <c r="R2689" s="104">
        <f t="shared" si="130"/>
        <v>0</v>
      </c>
      <c r="S2689" s="104">
        <f t="shared" si="131"/>
        <v>0</v>
      </c>
      <c r="T2689" s="104">
        <f t="shared" si="132"/>
        <v>0</v>
      </c>
    </row>
    <row r="2690" spans="1:20">
      <c r="A2690" s="101"/>
      <c r="B2690" s="101"/>
      <c r="C2690" s="101"/>
      <c r="D2690" s="101"/>
      <c r="E2690" s="101"/>
      <c r="F2690" s="102"/>
      <c r="G2690" s="101"/>
      <c r="H2690" s="102"/>
      <c r="I2690" s="101"/>
      <c r="J2690" s="101"/>
      <c r="K2690" s="103"/>
      <c r="L2690" s="103"/>
      <c r="M2690" s="103"/>
      <c r="N2690" s="103"/>
      <c r="O2690" s="103"/>
      <c r="P2690" s="98"/>
      <c r="Q2690" s="99"/>
      <c r="R2690" s="104">
        <f t="shared" si="130"/>
        <v>0</v>
      </c>
      <c r="S2690" s="104">
        <f t="shared" si="131"/>
        <v>0</v>
      </c>
      <c r="T2690" s="104">
        <f t="shared" si="132"/>
        <v>0</v>
      </c>
    </row>
    <row r="2691" spans="1:20">
      <c r="A2691" s="101"/>
      <c r="B2691" s="101"/>
      <c r="C2691" s="101"/>
      <c r="D2691" s="101"/>
      <c r="E2691" s="101"/>
      <c r="F2691" s="102"/>
      <c r="G2691" s="101"/>
      <c r="H2691" s="102"/>
      <c r="I2691" s="101"/>
      <c r="J2691" s="101"/>
      <c r="K2691" s="103"/>
      <c r="L2691" s="103"/>
      <c r="M2691" s="103"/>
      <c r="N2691" s="103"/>
      <c r="O2691" s="103"/>
      <c r="P2691" s="98"/>
      <c r="Q2691" s="99"/>
      <c r="R2691" s="104">
        <f t="shared" si="130"/>
        <v>0</v>
      </c>
      <c r="S2691" s="104">
        <f t="shared" si="131"/>
        <v>0</v>
      </c>
      <c r="T2691" s="104">
        <f t="shared" si="132"/>
        <v>0</v>
      </c>
    </row>
    <row r="2692" spans="1:20">
      <c r="A2692" s="101"/>
      <c r="B2692" s="101"/>
      <c r="C2692" s="101"/>
      <c r="D2692" s="101"/>
      <c r="E2692" s="101"/>
      <c r="F2692" s="102"/>
      <c r="G2692" s="101"/>
      <c r="H2692" s="102"/>
      <c r="I2692" s="101"/>
      <c r="J2692" s="101"/>
      <c r="K2692" s="103"/>
      <c r="L2692" s="103"/>
      <c r="M2692" s="103"/>
      <c r="N2692" s="103"/>
      <c r="O2692" s="103"/>
      <c r="P2692" s="98"/>
      <c r="Q2692" s="99"/>
      <c r="R2692" s="104">
        <f t="shared" si="130"/>
        <v>0</v>
      </c>
      <c r="S2692" s="104">
        <f t="shared" si="131"/>
        <v>0</v>
      </c>
      <c r="T2692" s="104">
        <f t="shared" si="132"/>
        <v>0</v>
      </c>
    </row>
    <row r="2693" spans="1:20">
      <c r="A2693" s="101"/>
      <c r="B2693" s="101"/>
      <c r="C2693" s="101"/>
      <c r="D2693" s="101"/>
      <c r="E2693" s="101"/>
      <c r="F2693" s="102"/>
      <c r="G2693" s="101"/>
      <c r="H2693" s="102"/>
      <c r="I2693" s="101"/>
      <c r="J2693" s="101"/>
      <c r="K2693" s="103"/>
      <c r="L2693" s="103"/>
      <c r="M2693" s="103"/>
      <c r="N2693" s="103"/>
      <c r="O2693" s="103"/>
      <c r="P2693" s="98"/>
      <c r="Q2693" s="99"/>
      <c r="R2693" s="104">
        <f t="shared" si="130"/>
        <v>0</v>
      </c>
      <c r="S2693" s="104">
        <f t="shared" si="131"/>
        <v>0</v>
      </c>
      <c r="T2693" s="104">
        <f t="shared" si="132"/>
        <v>0</v>
      </c>
    </row>
    <row r="2694" spans="1:20">
      <c r="A2694" s="101"/>
      <c r="B2694" s="101"/>
      <c r="C2694" s="101"/>
      <c r="D2694" s="101"/>
      <c r="E2694" s="101"/>
      <c r="F2694" s="102"/>
      <c r="G2694" s="101"/>
      <c r="H2694" s="102"/>
      <c r="I2694" s="101"/>
      <c r="J2694" s="101"/>
      <c r="K2694" s="103"/>
      <c r="L2694" s="103"/>
      <c r="M2694" s="103"/>
      <c r="N2694" s="103"/>
      <c r="O2694" s="103"/>
      <c r="P2694" s="98"/>
      <c r="Q2694" s="99"/>
      <c r="R2694" s="104">
        <f t="shared" si="130"/>
        <v>0</v>
      </c>
      <c r="S2694" s="104">
        <f t="shared" si="131"/>
        <v>0</v>
      </c>
      <c r="T2694" s="104">
        <f t="shared" si="132"/>
        <v>0</v>
      </c>
    </row>
    <row r="2695" spans="1:20">
      <c r="A2695" s="101"/>
      <c r="B2695" s="101"/>
      <c r="C2695" s="101"/>
      <c r="D2695" s="101"/>
      <c r="E2695" s="101"/>
      <c r="F2695" s="102"/>
      <c r="G2695" s="101"/>
      <c r="H2695" s="102"/>
      <c r="I2695" s="101"/>
      <c r="J2695" s="101"/>
      <c r="K2695" s="103"/>
      <c r="L2695" s="103"/>
      <c r="M2695" s="103"/>
      <c r="N2695" s="103"/>
      <c r="O2695" s="103"/>
      <c r="P2695" s="98"/>
      <c r="Q2695" s="99"/>
      <c r="R2695" s="104">
        <f t="shared" si="130"/>
        <v>0</v>
      </c>
      <c r="S2695" s="104">
        <f t="shared" si="131"/>
        <v>0</v>
      </c>
      <c r="T2695" s="104">
        <f t="shared" si="132"/>
        <v>0</v>
      </c>
    </row>
    <row r="2696" spans="1:20">
      <c r="A2696" s="101"/>
      <c r="B2696" s="101"/>
      <c r="C2696" s="101"/>
      <c r="D2696" s="101"/>
      <c r="E2696" s="101"/>
      <c r="F2696" s="102"/>
      <c r="G2696" s="101"/>
      <c r="H2696" s="102"/>
      <c r="I2696" s="101"/>
      <c r="J2696" s="101"/>
      <c r="K2696" s="103"/>
      <c r="L2696" s="103"/>
      <c r="M2696" s="103"/>
      <c r="N2696" s="103"/>
      <c r="O2696" s="103"/>
      <c r="P2696" s="98"/>
      <c r="Q2696" s="99"/>
      <c r="R2696" s="104">
        <f t="shared" si="130"/>
        <v>0</v>
      </c>
      <c r="S2696" s="104">
        <f t="shared" si="131"/>
        <v>0</v>
      </c>
      <c r="T2696" s="104">
        <f t="shared" si="132"/>
        <v>0</v>
      </c>
    </row>
    <row r="2697" spans="1:20">
      <c r="A2697" s="101"/>
      <c r="B2697" s="101"/>
      <c r="C2697" s="101"/>
      <c r="D2697" s="101"/>
      <c r="E2697" s="101"/>
      <c r="F2697" s="102"/>
      <c r="G2697" s="101"/>
      <c r="H2697" s="102"/>
      <c r="I2697" s="101"/>
      <c r="J2697" s="101"/>
      <c r="K2697" s="103"/>
      <c r="L2697" s="103"/>
      <c r="M2697" s="103"/>
      <c r="N2697" s="103"/>
      <c r="O2697" s="103"/>
      <c r="P2697" s="98"/>
      <c r="Q2697" s="99"/>
      <c r="R2697" s="104">
        <f t="shared" si="130"/>
        <v>0</v>
      </c>
      <c r="S2697" s="104">
        <f t="shared" si="131"/>
        <v>0</v>
      </c>
      <c r="T2697" s="104">
        <f t="shared" si="132"/>
        <v>0</v>
      </c>
    </row>
    <row r="2698" spans="1:20">
      <c r="A2698" s="101"/>
      <c r="B2698" s="101"/>
      <c r="C2698" s="101"/>
      <c r="D2698" s="101"/>
      <c r="E2698" s="101"/>
      <c r="F2698" s="102"/>
      <c r="G2698" s="101"/>
      <c r="H2698" s="102"/>
      <c r="I2698" s="101"/>
      <c r="J2698" s="101"/>
      <c r="K2698" s="103"/>
      <c r="L2698" s="103"/>
      <c r="M2698" s="103"/>
      <c r="N2698" s="103"/>
      <c r="O2698" s="103"/>
      <c r="P2698" s="98"/>
      <c r="Q2698" s="99"/>
      <c r="R2698" s="104">
        <f t="shared" ref="R2698:R2761" si="133">IF(P2698="Cargo",K2698+L2698-M2698-N2698+O2698,0)</f>
        <v>0</v>
      </c>
      <c r="S2698" s="104">
        <f t="shared" ref="S2698:S2761" si="134">IF(P2698="Abono",K2698+L2698+M2698-N2698-O2698,0)</f>
        <v>0</v>
      </c>
      <c r="T2698" s="104">
        <f t="shared" ref="T2698:T2761" si="135">IF(Q2698="OK",+T2697+R2698-S2698,T2697)</f>
        <v>0</v>
      </c>
    </row>
    <row r="2699" spans="1:20">
      <c r="A2699" s="101"/>
      <c r="B2699" s="101"/>
      <c r="C2699" s="101"/>
      <c r="D2699" s="101"/>
      <c r="E2699" s="101"/>
      <c r="F2699" s="102"/>
      <c r="G2699" s="101"/>
      <c r="H2699" s="102"/>
      <c r="I2699" s="101"/>
      <c r="J2699" s="101"/>
      <c r="K2699" s="103"/>
      <c r="L2699" s="103"/>
      <c r="M2699" s="103"/>
      <c r="N2699" s="103"/>
      <c r="O2699" s="103"/>
      <c r="P2699" s="98"/>
      <c r="Q2699" s="99"/>
      <c r="R2699" s="104">
        <f t="shared" si="133"/>
        <v>0</v>
      </c>
      <c r="S2699" s="104">
        <f t="shared" si="134"/>
        <v>0</v>
      </c>
      <c r="T2699" s="104">
        <f t="shared" si="135"/>
        <v>0</v>
      </c>
    </row>
    <row r="2700" spans="1:20">
      <c r="A2700" s="101"/>
      <c r="B2700" s="101"/>
      <c r="C2700" s="101"/>
      <c r="D2700" s="101"/>
      <c r="E2700" s="101"/>
      <c r="F2700" s="102"/>
      <c r="G2700" s="101"/>
      <c r="H2700" s="102"/>
      <c r="I2700" s="101"/>
      <c r="J2700" s="101"/>
      <c r="K2700" s="103"/>
      <c r="L2700" s="103"/>
      <c r="M2700" s="103"/>
      <c r="N2700" s="103"/>
      <c r="O2700" s="103"/>
      <c r="P2700" s="98"/>
      <c r="Q2700" s="99"/>
      <c r="R2700" s="104">
        <f t="shared" si="133"/>
        <v>0</v>
      </c>
      <c r="S2700" s="104">
        <f t="shared" si="134"/>
        <v>0</v>
      </c>
      <c r="T2700" s="104">
        <f t="shared" si="135"/>
        <v>0</v>
      </c>
    </row>
    <row r="2701" spans="1:20">
      <c r="A2701" s="101"/>
      <c r="B2701" s="101"/>
      <c r="C2701" s="101"/>
      <c r="D2701" s="101"/>
      <c r="E2701" s="101"/>
      <c r="F2701" s="102"/>
      <c r="G2701" s="101"/>
      <c r="H2701" s="102"/>
      <c r="I2701" s="101"/>
      <c r="J2701" s="101"/>
      <c r="K2701" s="103"/>
      <c r="L2701" s="103"/>
      <c r="M2701" s="103"/>
      <c r="N2701" s="103"/>
      <c r="O2701" s="103"/>
      <c r="P2701" s="98"/>
      <c r="Q2701" s="99"/>
      <c r="R2701" s="104">
        <f t="shared" si="133"/>
        <v>0</v>
      </c>
      <c r="S2701" s="104">
        <f t="shared" si="134"/>
        <v>0</v>
      </c>
      <c r="T2701" s="104">
        <f t="shared" si="135"/>
        <v>0</v>
      </c>
    </row>
    <row r="2702" spans="1:20">
      <c r="A2702" s="101"/>
      <c r="B2702" s="101"/>
      <c r="C2702" s="101"/>
      <c r="D2702" s="101"/>
      <c r="E2702" s="101"/>
      <c r="F2702" s="102"/>
      <c r="G2702" s="101"/>
      <c r="H2702" s="102"/>
      <c r="I2702" s="101"/>
      <c r="J2702" s="101"/>
      <c r="K2702" s="103"/>
      <c r="L2702" s="103"/>
      <c r="M2702" s="103"/>
      <c r="N2702" s="103"/>
      <c r="O2702" s="103"/>
      <c r="P2702" s="98"/>
      <c r="Q2702" s="99"/>
      <c r="R2702" s="104">
        <f t="shared" si="133"/>
        <v>0</v>
      </c>
      <c r="S2702" s="104">
        <f t="shared" si="134"/>
        <v>0</v>
      </c>
      <c r="T2702" s="104">
        <f t="shared" si="135"/>
        <v>0</v>
      </c>
    </row>
    <row r="2703" spans="1:20">
      <c r="A2703" s="101"/>
      <c r="B2703" s="101"/>
      <c r="C2703" s="101"/>
      <c r="D2703" s="101"/>
      <c r="E2703" s="101"/>
      <c r="F2703" s="102"/>
      <c r="G2703" s="101"/>
      <c r="H2703" s="102"/>
      <c r="I2703" s="101"/>
      <c r="J2703" s="101"/>
      <c r="K2703" s="103"/>
      <c r="L2703" s="103"/>
      <c r="M2703" s="103"/>
      <c r="N2703" s="103"/>
      <c r="O2703" s="103"/>
      <c r="P2703" s="98"/>
      <c r="Q2703" s="99"/>
      <c r="R2703" s="104">
        <f t="shared" si="133"/>
        <v>0</v>
      </c>
      <c r="S2703" s="104">
        <f t="shared" si="134"/>
        <v>0</v>
      </c>
      <c r="T2703" s="104">
        <f t="shared" si="135"/>
        <v>0</v>
      </c>
    </row>
    <row r="2704" spans="1:20">
      <c r="A2704" s="101"/>
      <c r="B2704" s="101"/>
      <c r="C2704" s="101"/>
      <c r="D2704" s="101"/>
      <c r="E2704" s="101"/>
      <c r="F2704" s="102"/>
      <c r="G2704" s="101"/>
      <c r="H2704" s="102"/>
      <c r="I2704" s="101"/>
      <c r="J2704" s="101"/>
      <c r="K2704" s="103"/>
      <c r="L2704" s="103"/>
      <c r="M2704" s="103"/>
      <c r="N2704" s="103"/>
      <c r="O2704" s="103"/>
      <c r="P2704" s="98"/>
      <c r="Q2704" s="99"/>
      <c r="R2704" s="104">
        <f t="shared" si="133"/>
        <v>0</v>
      </c>
      <c r="S2704" s="104">
        <f t="shared" si="134"/>
        <v>0</v>
      </c>
      <c r="T2704" s="104">
        <f t="shared" si="135"/>
        <v>0</v>
      </c>
    </row>
    <row r="2705" spans="1:20">
      <c r="A2705" s="101"/>
      <c r="B2705" s="101"/>
      <c r="C2705" s="101"/>
      <c r="D2705" s="101"/>
      <c r="E2705" s="101"/>
      <c r="F2705" s="102"/>
      <c r="G2705" s="101"/>
      <c r="H2705" s="102"/>
      <c r="I2705" s="101"/>
      <c r="J2705" s="101"/>
      <c r="K2705" s="103"/>
      <c r="L2705" s="103"/>
      <c r="M2705" s="103"/>
      <c r="N2705" s="103"/>
      <c r="O2705" s="103"/>
      <c r="P2705" s="98"/>
      <c r="Q2705" s="99"/>
      <c r="R2705" s="104">
        <f t="shared" si="133"/>
        <v>0</v>
      </c>
      <c r="S2705" s="104">
        <f t="shared" si="134"/>
        <v>0</v>
      </c>
      <c r="T2705" s="104">
        <f t="shared" si="135"/>
        <v>0</v>
      </c>
    </row>
    <row r="2706" spans="1:20">
      <c r="A2706" s="101"/>
      <c r="B2706" s="101"/>
      <c r="C2706" s="101"/>
      <c r="D2706" s="101"/>
      <c r="E2706" s="101"/>
      <c r="F2706" s="102"/>
      <c r="G2706" s="101"/>
      <c r="H2706" s="102"/>
      <c r="I2706" s="101"/>
      <c r="J2706" s="101"/>
      <c r="K2706" s="103"/>
      <c r="L2706" s="103"/>
      <c r="M2706" s="103"/>
      <c r="N2706" s="103"/>
      <c r="O2706" s="103"/>
      <c r="P2706" s="98"/>
      <c r="Q2706" s="99"/>
      <c r="R2706" s="104">
        <f t="shared" si="133"/>
        <v>0</v>
      </c>
      <c r="S2706" s="104">
        <f t="shared" si="134"/>
        <v>0</v>
      </c>
      <c r="T2706" s="104">
        <f t="shared" si="135"/>
        <v>0</v>
      </c>
    </row>
    <row r="2707" spans="1:20">
      <c r="A2707" s="101"/>
      <c r="B2707" s="101"/>
      <c r="C2707" s="101"/>
      <c r="D2707" s="101"/>
      <c r="E2707" s="101"/>
      <c r="F2707" s="102"/>
      <c r="G2707" s="101"/>
      <c r="H2707" s="102"/>
      <c r="I2707" s="101"/>
      <c r="J2707" s="101"/>
      <c r="K2707" s="103"/>
      <c r="L2707" s="103"/>
      <c r="M2707" s="103"/>
      <c r="N2707" s="103"/>
      <c r="O2707" s="103"/>
      <c r="P2707" s="98"/>
      <c r="Q2707" s="99"/>
      <c r="R2707" s="104">
        <f t="shared" si="133"/>
        <v>0</v>
      </c>
      <c r="S2707" s="104">
        <f t="shared" si="134"/>
        <v>0</v>
      </c>
      <c r="T2707" s="104">
        <f t="shared" si="135"/>
        <v>0</v>
      </c>
    </row>
    <row r="2708" spans="1:20">
      <c r="A2708" s="101"/>
      <c r="B2708" s="101"/>
      <c r="C2708" s="101"/>
      <c r="D2708" s="101"/>
      <c r="E2708" s="101"/>
      <c r="F2708" s="102"/>
      <c r="G2708" s="101"/>
      <c r="H2708" s="102"/>
      <c r="I2708" s="101"/>
      <c r="J2708" s="101"/>
      <c r="K2708" s="103"/>
      <c r="L2708" s="103"/>
      <c r="M2708" s="103"/>
      <c r="N2708" s="103"/>
      <c r="O2708" s="103"/>
      <c r="P2708" s="98"/>
      <c r="Q2708" s="99"/>
      <c r="R2708" s="104">
        <f t="shared" si="133"/>
        <v>0</v>
      </c>
      <c r="S2708" s="104">
        <f t="shared" si="134"/>
        <v>0</v>
      </c>
      <c r="T2708" s="104">
        <f t="shared" si="135"/>
        <v>0</v>
      </c>
    </row>
    <row r="2709" spans="1:20">
      <c r="A2709" s="101"/>
      <c r="B2709" s="101"/>
      <c r="C2709" s="101"/>
      <c r="D2709" s="101"/>
      <c r="E2709" s="101"/>
      <c r="F2709" s="102"/>
      <c r="G2709" s="101"/>
      <c r="H2709" s="102"/>
      <c r="I2709" s="101"/>
      <c r="J2709" s="101"/>
      <c r="K2709" s="103"/>
      <c r="L2709" s="103"/>
      <c r="M2709" s="103"/>
      <c r="N2709" s="103"/>
      <c r="O2709" s="103"/>
      <c r="P2709" s="98"/>
      <c r="Q2709" s="99"/>
      <c r="R2709" s="104">
        <f t="shared" si="133"/>
        <v>0</v>
      </c>
      <c r="S2709" s="104">
        <f t="shared" si="134"/>
        <v>0</v>
      </c>
      <c r="T2709" s="104">
        <f t="shared" si="135"/>
        <v>0</v>
      </c>
    </row>
    <row r="2710" spans="1:20">
      <c r="A2710" s="101"/>
      <c r="B2710" s="101"/>
      <c r="C2710" s="101"/>
      <c r="D2710" s="101"/>
      <c r="E2710" s="101"/>
      <c r="F2710" s="102"/>
      <c r="G2710" s="101"/>
      <c r="H2710" s="102"/>
      <c r="I2710" s="101"/>
      <c r="J2710" s="101"/>
      <c r="K2710" s="103"/>
      <c r="L2710" s="103"/>
      <c r="M2710" s="103"/>
      <c r="N2710" s="103"/>
      <c r="O2710" s="103"/>
      <c r="P2710" s="98"/>
      <c r="Q2710" s="99"/>
      <c r="R2710" s="104">
        <f t="shared" si="133"/>
        <v>0</v>
      </c>
      <c r="S2710" s="104">
        <f t="shared" si="134"/>
        <v>0</v>
      </c>
      <c r="T2710" s="104">
        <f t="shared" si="135"/>
        <v>0</v>
      </c>
    </row>
    <row r="2711" spans="1:20">
      <c r="A2711" s="101"/>
      <c r="B2711" s="101"/>
      <c r="C2711" s="101"/>
      <c r="D2711" s="101"/>
      <c r="E2711" s="101"/>
      <c r="F2711" s="102"/>
      <c r="G2711" s="101"/>
      <c r="H2711" s="102"/>
      <c r="I2711" s="101"/>
      <c r="J2711" s="101"/>
      <c r="K2711" s="103"/>
      <c r="L2711" s="103"/>
      <c r="M2711" s="103"/>
      <c r="N2711" s="103"/>
      <c r="O2711" s="103"/>
      <c r="P2711" s="98"/>
      <c r="Q2711" s="99"/>
      <c r="R2711" s="104">
        <f t="shared" si="133"/>
        <v>0</v>
      </c>
      <c r="S2711" s="104">
        <f t="shared" si="134"/>
        <v>0</v>
      </c>
      <c r="T2711" s="104">
        <f t="shared" si="135"/>
        <v>0</v>
      </c>
    </row>
    <row r="2712" spans="1:20">
      <c r="A2712" s="101"/>
      <c r="B2712" s="101"/>
      <c r="C2712" s="101"/>
      <c r="D2712" s="101"/>
      <c r="E2712" s="101"/>
      <c r="F2712" s="102"/>
      <c r="G2712" s="101"/>
      <c r="H2712" s="102"/>
      <c r="I2712" s="101"/>
      <c r="J2712" s="101"/>
      <c r="K2712" s="103"/>
      <c r="L2712" s="103"/>
      <c r="M2712" s="103"/>
      <c r="N2712" s="103"/>
      <c r="O2712" s="103"/>
      <c r="P2712" s="98"/>
      <c r="Q2712" s="99"/>
      <c r="R2712" s="104">
        <f t="shared" si="133"/>
        <v>0</v>
      </c>
      <c r="S2712" s="104">
        <f t="shared" si="134"/>
        <v>0</v>
      </c>
      <c r="T2712" s="104">
        <f t="shared" si="135"/>
        <v>0</v>
      </c>
    </row>
    <row r="2713" spans="1:20">
      <c r="A2713" s="101"/>
      <c r="B2713" s="101"/>
      <c r="C2713" s="101"/>
      <c r="D2713" s="101"/>
      <c r="E2713" s="101"/>
      <c r="F2713" s="102"/>
      <c r="G2713" s="101"/>
      <c r="H2713" s="102"/>
      <c r="I2713" s="101"/>
      <c r="J2713" s="101"/>
      <c r="K2713" s="103"/>
      <c r="L2713" s="103"/>
      <c r="M2713" s="103"/>
      <c r="N2713" s="103"/>
      <c r="O2713" s="103"/>
      <c r="P2713" s="98"/>
      <c r="Q2713" s="99"/>
      <c r="R2713" s="104">
        <f t="shared" si="133"/>
        <v>0</v>
      </c>
      <c r="S2713" s="104">
        <f t="shared" si="134"/>
        <v>0</v>
      </c>
      <c r="T2713" s="104">
        <f t="shared" si="135"/>
        <v>0</v>
      </c>
    </row>
    <row r="2714" spans="1:20">
      <c r="A2714" s="101"/>
      <c r="B2714" s="101"/>
      <c r="C2714" s="101"/>
      <c r="D2714" s="101"/>
      <c r="E2714" s="101"/>
      <c r="F2714" s="102"/>
      <c r="G2714" s="101"/>
      <c r="H2714" s="102"/>
      <c r="I2714" s="101"/>
      <c r="J2714" s="101"/>
      <c r="K2714" s="103"/>
      <c r="L2714" s="103"/>
      <c r="M2714" s="103"/>
      <c r="N2714" s="103"/>
      <c r="O2714" s="103"/>
      <c r="P2714" s="98"/>
      <c r="Q2714" s="99"/>
      <c r="R2714" s="104">
        <f t="shared" si="133"/>
        <v>0</v>
      </c>
      <c r="S2714" s="104">
        <f t="shared" si="134"/>
        <v>0</v>
      </c>
      <c r="T2714" s="104">
        <f t="shared" si="135"/>
        <v>0</v>
      </c>
    </row>
    <row r="2715" spans="1:20">
      <c r="A2715" s="101"/>
      <c r="B2715" s="101"/>
      <c r="C2715" s="101"/>
      <c r="D2715" s="101"/>
      <c r="E2715" s="101"/>
      <c r="F2715" s="102"/>
      <c r="G2715" s="101"/>
      <c r="H2715" s="102"/>
      <c r="I2715" s="101"/>
      <c r="J2715" s="101"/>
      <c r="K2715" s="103"/>
      <c r="L2715" s="103"/>
      <c r="M2715" s="103"/>
      <c r="N2715" s="103"/>
      <c r="O2715" s="103"/>
      <c r="P2715" s="98"/>
      <c r="Q2715" s="99"/>
      <c r="R2715" s="104">
        <f t="shared" si="133"/>
        <v>0</v>
      </c>
      <c r="S2715" s="104">
        <f t="shared" si="134"/>
        <v>0</v>
      </c>
      <c r="T2715" s="104">
        <f t="shared" si="135"/>
        <v>0</v>
      </c>
    </row>
    <row r="2716" spans="1:20">
      <c r="A2716" s="101"/>
      <c r="B2716" s="101"/>
      <c r="C2716" s="101"/>
      <c r="D2716" s="101"/>
      <c r="E2716" s="101"/>
      <c r="F2716" s="102"/>
      <c r="G2716" s="101"/>
      <c r="H2716" s="102"/>
      <c r="I2716" s="101"/>
      <c r="J2716" s="101"/>
      <c r="K2716" s="103"/>
      <c r="L2716" s="103"/>
      <c r="M2716" s="103"/>
      <c r="N2716" s="103"/>
      <c r="O2716" s="103"/>
      <c r="P2716" s="98"/>
      <c r="Q2716" s="99"/>
      <c r="R2716" s="104">
        <f t="shared" si="133"/>
        <v>0</v>
      </c>
      <c r="S2716" s="104">
        <f t="shared" si="134"/>
        <v>0</v>
      </c>
      <c r="T2716" s="104">
        <f t="shared" si="135"/>
        <v>0</v>
      </c>
    </row>
    <row r="2717" spans="1:20">
      <c r="A2717" s="101"/>
      <c r="B2717" s="101"/>
      <c r="C2717" s="101"/>
      <c r="D2717" s="101"/>
      <c r="E2717" s="101"/>
      <c r="F2717" s="102"/>
      <c r="G2717" s="101"/>
      <c r="H2717" s="102"/>
      <c r="I2717" s="101"/>
      <c r="J2717" s="101"/>
      <c r="K2717" s="103"/>
      <c r="L2717" s="103"/>
      <c r="M2717" s="103"/>
      <c r="N2717" s="103"/>
      <c r="O2717" s="103"/>
      <c r="P2717" s="98"/>
      <c r="Q2717" s="99"/>
      <c r="R2717" s="104">
        <f t="shared" si="133"/>
        <v>0</v>
      </c>
      <c r="S2717" s="104">
        <f t="shared" si="134"/>
        <v>0</v>
      </c>
      <c r="T2717" s="104">
        <f t="shared" si="135"/>
        <v>0</v>
      </c>
    </row>
    <row r="2718" spans="1:20">
      <c r="A2718" s="101"/>
      <c r="B2718" s="101"/>
      <c r="C2718" s="101"/>
      <c r="D2718" s="101"/>
      <c r="E2718" s="101"/>
      <c r="F2718" s="102"/>
      <c r="G2718" s="101"/>
      <c r="H2718" s="102"/>
      <c r="I2718" s="101"/>
      <c r="J2718" s="101"/>
      <c r="K2718" s="103"/>
      <c r="L2718" s="103"/>
      <c r="M2718" s="103"/>
      <c r="N2718" s="103"/>
      <c r="O2718" s="103"/>
      <c r="P2718" s="98"/>
      <c r="Q2718" s="99"/>
      <c r="R2718" s="104">
        <f t="shared" si="133"/>
        <v>0</v>
      </c>
      <c r="S2718" s="104">
        <f t="shared" si="134"/>
        <v>0</v>
      </c>
      <c r="T2718" s="104">
        <f t="shared" si="135"/>
        <v>0</v>
      </c>
    </row>
    <row r="2719" spans="1:20">
      <c r="A2719" s="101"/>
      <c r="B2719" s="101"/>
      <c r="C2719" s="101"/>
      <c r="D2719" s="101"/>
      <c r="E2719" s="101"/>
      <c r="F2719" s="102"/>
      <c r="G2719" s="101"/>
      <c r="H2719" s="102"/>
      <c r="I2719" s="101"/>
      <c r="J2719" s="101"/>
      <c r="K2719" s="103"/>
      <c r="L2719" s="103"/>
      <c r="M2719" s="103"/>
      <c r="N2719" s="103"/>
      <c r="O2719" s="103"/>
      <c r="P2719" s="98"/>
      <c r="Q2719" s="99"/>
      <c r="R2719" s="104">
        <f t="shared" si="133"/>
        <v>0</v>
      </c>
      <c r="S2719" s="104">
        <f t="shared" si="134"/>
        <v>0</v>
      </c>
      <c r="T2719" s="104">
        <f t="shared" si="135"/>
        <v>0</v>
      </c>
    </row>
    <row r="2720" spans="1:20">
      <c r="A2720" s="101"/>
      <c r="B2720" s="101"/>
      <c r="C2720" s="101"/>
      <c r="D2720" s="101"/>
      <c r="E2720" s="101"/>
      <c r="F2720" s="102"/>
      <c r="G2720" s="101"/>
      <c r="H2720" s="102"/>
      <c r="I2720" s="101"/>
      <c r="J2720" s="101"/>
      <c r="K2720" s="103"/>
      <c r="L2720" s="103"/>
      <c r="M2720" s="103"/>
      <c r="N2720" s="103"/>
      <c r="O2720" s="103"/>
      <c r="P2720" s="98"/>
      <c r="Q2720" s="99"/>
      <c r="R2720" s="104">
        <f t="shared" si="133"/>
        <v>0</v>
      </c>
      <c r="S2720" s="104">
        <f t="shared" si="134"/>
        <v>0</v>
      </c>
      <c r="T2720" s="104">
        <f t="shared" si="135"/>
        <v>0</v>
      </c>
    </row>
    <row r="2721" spans="1:20">
      <c r="A2721" s="101"/>
      <c r="B2721" s="101"/>
      <c r="C2721" s="101"/>
      <c r="D2721" s="101"/>
      <c r="E2721" s="101"/>
      <c r="F2721" s="102"/>
      <c r="G2721" s="101"/>
      <c r="H2721" s="102"/>
      <c r="I2721" s="101"/>
      <c r="J2721" s="101"/>
      <c r="K2721" s="103"/>
      <c r="L2721" s="103"/>
      <c r="M2721" s="103"/>
      <c r="N2721" s="103"/>
      <c r="O2721" s="103"/>
      <c r="P2721" s="98"/>
      <c r="Q2721" s="99"/>
      <c r="R2721" s="104">
        <f t="shared" si="133"/>
        <v>0</v>
      </c>
      <c r="S2721" s="104">
        <f t="shared" si="134"/>
        <v>0</v>
      </c>
      <c r="T2721" s="104">
        <f t="shared" si="135"/>
        <v>0</v>
      </c>
    </row>
    <row r="2722" spans="1:20">
      <c r="A2722" s="101"/>
      <c r="B2722" s="101"/>
      <c r="C2722" s="101"/>
      <c r="D2722" s="101"/>
      <c r="E2722" s="101"/>
      <c r="F2722" s="102"/>
      <c r="G2722" s="101"/>
      <c r="H2722" s="102"/>
      <c r="I2722" s="101"/>
      <c r="J2722" s="101"/>
      <c r="K2722" s="103"/>
      <c r="L2722" s="103"/>
      <c r="M2722" s="103"/>
      <c r="N2722" s="103"/>
      <c r="O2722" s="103"/>
      <c r="P2722" s="98"/>
      <c r="Q2722" s="99"/>
      <c r="R2722" s="104">
        <f t="shared" si="133"/>
        <v>0</v>
      </c>
      <c r="S2722" s="104">
        <f t="shared" si="134"/>
        <v>0</v>
      </c>
      <c r="T2722" s="104">
        <f t="shared" si="135"/>
        <v>0</v>
      </c>
    </row>
    <row r="2723" spans="1:20">
      <c r="A2723" s="101"/>
      <c r="B2723" s="101"/>
      <c r="C2723" s="101"/>
      <c r="D2723" s="101"/>
      <c r="E2723" s="101"/>
      <c r="F2723" s="102"/>
      <c r="G2723" s="101"/>
      <c r="H2723" s="102"/>
      <c r="I2723" s="101"/>
      <c r="J2723" s="101"/>
      <c r="K2723" s="103"/>
      <c r="L2723" s="103"/>
      <c r="M2723" s="103"/>
      <c r="N2723" s="103"/>
      <c r="O2723" s="103"/>
      <c r="P2723" s="98"/>
      <c r="Q2723" s="99"/>
      <c r="R2723" s="104">
        <f t="shared" si="133"/>
        <v>0</v>
      </c>
      <c r="S2723" s="104">
        <f t="shared" si="134"/>
        <v>0</v>
      </c>
      <c r="T2723" s="104">
        <f t="shared" si="135"/>
        <v>0</v>
      </c>
    </row>
    <row r="2724" spans="1:20">
      <c r="A2724" s="101"/>
      <c r="B2724" s="101"/>
      <c r="C2724" s="101"/>
      <c r="D2724" s="101"/>
      <c r="E2724" s="101"/>
      <c r="F2724" s="102"/>
      <c r="G2724" s="101"/>
      <c r="H2724" s="102"/>
      <c r="I2724" s="101"/>
      <c r="J2724" s="101"/>
      <c r="K2724" s="103"/>
      <c r="L2724" s="103"/>
      <c r="M2724" s="103"/>
      <c r="N2724" s="103"/>
      <c r="O2724" s="103"/>
      <c r="P2724" s="98"/>
      <c r="Q2724" s="99"/>
      <c r="R2724" s="104">
        <f t="shared" si="133"/>
        <v>0</v>
      </c>
      <c r="S2724" s="104">
        <f t="shared" si="134"/>
        <v>0</v>
      </c>
      <c r="T2724" s="104">
        <f t="shared" si="135"/>
        <v>0</v>
      </c>
    </row>
    <row r="2725" spans="1:20">
      <c r="A2725" s="101"/>
      <c r="B2725" s="101"/>
      <c r="C2725" s="101"/>
      <c r="D2725" s="101"/>
      <c r="E2725" s="101"/>
      <c r="F2725" s="102"/>
      <c r="G2725" s="101"/>
      <c r="H2725" s="102"/>
      <c r="I2725" s="101"/>
      <c r="J2725" s="101"/>
      <c r="K2725" s="103"/>
      <c r="L2725" s="103"/>
      <c r="M2725" s="103"/>
      <c r="N2725" s="103"/>
      <c r="O2725" s="103"/>
      <c r="P2725" s="98"/>
      <c r="Q2725" s="99"/>
      <c r="R2725" s="104">
        <f t="shared" si="133"/>
        <v>0</v>
      </c>
      <c r="S2725" s="104">
        <f t="shared" si="134"/>
        <v>0</v>
      </c>
      <c r="T2725" s="104">
        <f t="shared" si="135"/>
        <v>0</v>
      </c>
    </row>
    <row r="2726" spans="1:20">
      <c r="A2726" s="101"/>
      <c r="B2726" s="101"/>
      <c r="C2726" s="101"/>
      <c r="D2726" s="101"/>
      <c r="E2726" s="101"/>
      <c r="F2726" s="102"/>
      <c r="G2726" s="101"/>
      <c r="H2726" s="102"/>
      <c r="I2726" s="101"/>
      <c r="J2726" s="101"/>
      <c r="K2726" s="103"/>
      <c r="L2726" s="103"/>
      <c r="M2726" s="103"/>
      <c r="N2726" s="103"/>
      <c r="O2726" s="103"/>
      <c r="P2726" s="98"/>
      <c r="Q2726" s="99"/>
      <c r="R2726" s="104">
        <f t="shared" si="133"/>
        <v>0</v>
      </c>
      <c r="S2726" s="104">
        <f t="shared" si="134"/>
        <v>0</v>
      </c>
      <c r="T2726" s="104">
        <f t="shared" si="135"/>
        <v>0</v>
      </c>
    </row>
    <row r="2727" spans="1:20">
      <c r="A2727" s="101"/>
      <c r="B2727" s="101"/>
      <c r="C2727" s="101"/>
      <c r="D2727" s="101"/>
      <c r="E2727" s="101"/>
      <c r="F2727" s="102"/>
      <c r="G2727" s="101"/>
      <c r="H2727" s="102"/>
      <c r="I2727" s="101"/>
      <c r="J2727" s="101"/>
      <c r="K2727" s="103"/>
      <c r="L2727" s="103"/>
      <c r="M2727" s="103"/>
      <c r="N2727" s="103"/>
      <c r="O2727" s="103"/>
      <c r="P2727" s="98"/>
      <c r="Q2727" s="99"/>
      <c r="R2727" s="104">
        <f t="shared" si="133"/>
        <v>0</v>
      </c>
      <c r="S2727" s="104">
        <f t="shared" si="134"/>
        <v>0</v>
      </c>
      <c r="T2727" s="104">
        <f t="shared" si="135"/>
        <v>0</v>
      </c>
    </row>
    <row r="2728" spans="1:20">
      <c r="A2728" s="101"/>
      <c r="B2728" s="101"/>
      <c r="C2728" s="101"/>
      <c r="D2728" s="101"/>
      <c r="E2728" s="101"/>
      <c r="F2728" s="102"/>
      <c r="G2728" s="101"/>
      <c r="H2728" s="102"/>
      <c r="I2728" s="101"/>
      <c r="J2728" s="101"/>
      <c r="K2728" s="103"/>
      <c r="L2728" s="103"/>
      <c r="M2728" s="103"/>
      <c r="N2728" s="103"/>
      <c r="O2728" s="103"/>
      <c r="P2728" s="98"/>
      <c r="Q2728" s="99"/>
      <c r="R2728" s="104">
        <f t="shared" si="133"/>
        <v>0</v>
      </c>
      <c r="S2728" s="104">
        <f t="shared" si="134"/>
        <v>0</v>
      </c>
      <c r="T2728" s="104">
        <f t="shared" si="135"/>
        <v>0</v>
      </c>
    </row>
    <row r="2729" spans="1:20">
      <c r="A2729" s="101"/>
      <c r="B2729" s="101"/>
      <c r="C2729" s="101"/>
      <c r="D2729" s="101"/>
      <c r="E2729" s="101"/>
      <c r="F2729" s="102"/>
      <c r="G2729" s="101"/>
      <c r="H2729" s="102"/>
      <c r="I2729" s="101"/>
      <c r="J2729" s="101"/>
      <c r="K2729" s="103"/>
      <c r="L2729" s="103"/>
      <c r="M2729" s="103"/>
      <c r="N2729" s="103"/>
      <c r="O2729" s="103"/>
      <c r="P2729" s="98"/>
      <c r="Q2729" s="99"/>
      <c r="R2729" s="104">
        <f t="shared" si="133"/>
        <v>0</v>
      </c>
      <c r="S2729" s="104">
        <f t="shared" si="134"/>
        <v>0</v>
      </c>
      <c r="T2729" s="104">
        <f t="shared" si="135"/>
        <v>0</v>
      </c>
    </row>
    <row r="2730" spans="1:20">
      <c r="A2730" s="101"/>
      <c r="B2730" s="101"/>
      <c r="C2730" s="101"/>
      <c r="D2730" s="101"/>
      <c r="E2730" s="101"/>
      <c r="F2730" s="102"/>
      <c r="G2730" s="101"/>
      <c r="H2730" s="102"/>
      <c r="I2730" s="101"/>
      <c r="J2730" s="101"/>
      <c r="K2730" s="103"/>
      <c r="L2730" s="103"/>
      <c r="M2730" s="103"/>
      <c r="N2730" s="103"/>
      <c r="O2730" s="103"/>
      <c r="P2730" s="98"/>
      <c r="Q2730" s="99"/>
      <c r="R2730" s="104">
        <f t="shared" si="133"/>
        <v>0</v>
      </c>
      <c r="S2730" s="104">
        <f t="shared" si="134"/>
        <v>0</v>
      </c>
      <c r="T2730" s="104">
        <f t="shared" si="135"/>
        <v>0</v>
      </c>
    </row>
    <row r="2731" spans="1:20">
      <c r="A2731" s="101"/>
      <c r="B2731" s="101"/>
      <c r="C2731" s="101"/>
      <c r="D2731" s="101"/>
      <c r="E2731" s="101"/>
      <c r="F2731" s="102"/>
      <c r="G2731" s="101"/>
      <c r="H2731" s="102"/>
      <c r="I2731" s="101"/>
      <c r="J2731" s="101"/>
      <c r="K2731" s="103"/>
      <c r="L2731" s="103"/>
      <c r="M2731" s="103"/>
      <c r="N2731" s="103"/>
      <c r="O2731" s="103"/>
      <c r="P2731" s="98"/>
      <c r="Q2731" s="99"/>
      <c r="R2731" s="104">
        <f t="shared" si="133"/>
        <v>0</v>
      </c>
      <c r="S2731" s="104">
        <f t="shared" si="134"/>
        <v>0</v>
      </c>
      <c r="T2731" s="104">
        <f t="shared" si="135"/>
        <v>0</v>
      </c>
    </row>
    <row r="2732" spans="1:20">
      <c r="A2732" s="101"/>
      <c r="B2732" s="101"/>
      <c r="C2732" s="101"/>
      <c r="D2732" s="101"/>
      <c r="E2732" s="101"/>
      <c r="F2732" s="102"/>
      <c r="G2732" s="101"/>
      <c r="H2732" s="102"/>
      <c r="I2732" s="101"/>
      <c r="J2732" s="101"/>
      <c r="K2732" s="103"/>
      <c r="L2732" s="103"/>
      <c r="M2732" s="103"/>
      <c r="N2732" s="103"/>
      <c r="O2732" s="103"/>
      <c r="P2732" s="98"/>
      <c r="Q2732" s="99"/>
      <c r="R2732" s="104">
        <f t="shared" si="133"/>
        <v>0</v>
      </c>
      <c r="S2732" s="104">
        <f t="shared" si="134"/>
        <v>0</v>
      </c>
      <c r="T2732" s="104">
        <f t="shared" si="135"/>
        <v>0</v>
      </c>
    </row>
    <row r="2733" spans="1:20">
      <c r="A2733" s="101"/>
      <c r="B2733" s="101"/>
      <c r="C2733" s="101"/>
      <c r="D2733" s="101"/>
      <c r="E2733" s="101"/>
      <c r="F2733" s="102"/>
      <c r="G2733" s="101"/>
      <c r="H2733" s="102"/>
      <c r="I2733" s="101"/>
      <c r="J2733" s="101"/>
      <c r="K2733" s="103"/>
      <c r="L2733" s="103"/>
      <c r="M2733" s="103"/>
      <c r="N2733" s="103"/>
      <c r="O2733" s="103"/>
      <c r="P2733" s="98"/>
      <c r="Q2733" s="99"/>
      <c r="R2733" s="104">
        <f t="shared" si="133"/>
        <v>0</v>
      </c>
      <c r="S2733" s="104">
        <f t="shared" si="134"/>
        <v>0</v>
      </c>
      <c r="T2733" s="104">
        <f t="shared" si="135"/>
        <v>0</v>
      </c>
    </row>
    <row r="2734" spans="1:20">
      <c r="A2734" s="101"/>
      <c r="B2734" s="101"/>
      <c r="C2734" s="101"/>
      <c r="D2734" s="101"/>
      <c r="E2734" s="101"/>
      <c r="F2734" s="102"/>
      <c r="G2734" s="101"/>
      <c r="H2734" s="102"/>
      <c r="I2734" s="101"/>
      <c r="J2734" s="101"/>
      <c r="K2734" s="103"/>
      <c r="L2734" s="103"/>
      <c r="M2734" s="103"/>
      <c r="N2734" s="103"/>
      <c r="O2734" s="103"/>
      <c r="P2734" s="98"/>
      <c r="Q2734" s="99"/>
      <c r="R2734" s="104">
        <f t="shared" si="133"/>
        <v>0</v>
      </c>
      <c r="S2734" s="104">
        <f t="shared" si="134"/>
        <v>0</v>
      </c>
      <c r="T2734" s="104">
        <f t="shared" si="135"/>
        <v>0</v>
      </c>
    </row>
    <row r="2735" spans="1:20">
      <c r="A2735" s="101"/>
      <c r="B2735" s="101"/>
      <c r="C2735" s="101"/>
      <c r="D2735" s="101"/>
      <c r="E2735" s="101"/>
      <c r="F2735" s="102"/>
      <c r="G2735" s="101"/>
      <c r="H2735" s="102"/>
      <c r="I2735" s="101"/>
      <c r="J2735" s="101"/>
      <c r="K2735" s="103"/>
      <c r="L2735" s="103"/>
      <c r="M2735" s="103"/>
      <c r="N2735" s="103"/>
      <c r="O2735" s="103"/>
      <c r="P2735" s="98"/>
      <c r="Q2735" s="99"/>
      <c r="R2735" s="104">
        <f t="shared" si="133"/>
        <v>0</v>
      </c>
      <c r="S2735" s="104">
        <f t="shared" si="134"/>
        <v>0</v>
      </c>
      <c r="T2735" s="104">
        <f t="shared" si="135"/>
        <v>0</v>
      </c>
    </row>
    <row r="2736" spans="1:20">
      <c r="A2736" s="101"/>
      <c r="B2736" s="101"/>
      <c r="C2736" s="101"/>
      <c r="D2736" s="101"/>
      <c r="E2736" s="101"/>
      <c r="F2736" s="102"/>
      <c r="G2736" s="101"/>
      <c r="H2736" s="102"/>
      <c r="I2736" s="101"/>
      <c r="J2736" s="101"/>
      <c r="K2736" s="103"/>
      <c r="L2736" s="103"/>
      <c r="M2736" s="103"/>
      <c r="N2736" s="103"/>
      <c r="O2736" s="103"/>
      <c r="P2736" s="98"/>
      <c r="Q2736" s="99"/>
      <c r="R2736" s="104">
        <f t="shared" si="133"/>
        <v>0</v>
      </c>
      <c r="S2736" s="104">
        <f t="shared" si="134"/>
        <v>0</v>
      </c>
      <c r="T2736" s="104">
        <f t="shared" si="135"/>
        <v>0</v>
      </c>
    </row>
    <row r="2737" spans="1:20">
      <c r="A2737" s="101"/>
      <c r="B2737" s="101"/>
      <c r="C2737" s="101"/>
      <c r="D2737" s="101"/>
      <c r="E2737" s="101"/>
      <c r="F2737" s="102"/>
      <c r="G2737" s="101"/>
      <c r="H2737" s="102"/>
      <c r="I2737" s="101"/>
      <c r="J2737" s="101"/>
      <c r="K2737" s="103"/>
      <c r="L2737" s="103"/>
      <c r="M2737" s="103"/>
      <c r="N2737" s="103"/>
      <c r="O2737" s="103"/>
      <c r="P2737" s="98"/>
      <c r="Q2737" s="99"/>
      <c r="R2737" s="104">
        <f t="shared" si="133"/>
        <v>0</v>
      </c>
      <c r="S2737" s="104">
        <f t="shared" si="134"/>
        <v>0</v>
      </c>
      <c r="T2737" s="104">
        <f t="shared" si="135"/>
        <v>0</v>
      </c>
    </row>
    <row r="2738" spans="1:20">
      <c r="A2738" s="101"/>
      <c r="B2738" s="101"/>
      <c r="C2738" s="101"/>
      <c r="D2738" s="101"/>
      <c r="E2738" s="101"/>
      <c r="F2738" s="102"/>
      <c r="G2738" s="101"/>
      <c r="H2738" s="102"/>
      <c r="I2738" s="101"/>
      <c r="J2738" s="101"/>
      <c r="K2738" s="103"/>
      <c r="L2738" s="103"/>
      <c r="M2738" s="103"/>
      <c r="N2738" s="103"/>
      <c r="O2738" s="103"/>
      <c r="P2738" s="98"/>
      <c r="Q2738" s="99"/>
      <c r="R2738" s="104">
        <f t="shared" si="133"/>
        <v>0</v>
      </c>
      <c r="S2738" s="104">
        <f t="shared" si="134"/>
        <v>0</v>
      </c>
      <c r="T2738" s="104">
        <f t="shared" si="135"/>
        <v>0</v>
      </c>
    </row>
    <row r="2739" spans="1:20">
      <c r="A2739" s="101"/>
      <c r="B2739" s="101"/>
      <c r="C2739" s="101"/>
      <c r="D2739" s="101"/>
      <c r="E2739" s="101"/>
      <c r="F2739" s="102"/>
      <c r="G2739" s="101"/>
      <c r="H2739" s="102"/>
      <c r="I2739" s="101"/>
      <c r="J2739" s="101"/>
      <c r="K2739" s="103"/>
      <c r="L2739" s="103"/>
      <c r="M2739" s="103"/>
      <c r="N2739" s="103"/>
      <c r="O2739" s="103"/>
      <c r="P2739" s="98"/>
      <c r="Q2739" s="99"/>
      <c r="R2739" s="104">
        <f t="shared" si="133"/>
        <v>0</v>
      </c>
      <c r="S2739" s="104">
        <f t="shared" si="134"/>
        <v>0</v>
      </c>
      <c r="T2739" s="104">
        <f t="shared" si="135"/>
        <v>0</v>
      </c>
    </row>
    <row r="2740" spans="1:20">
      <c r="A2740" s="101"/>
      <c r="B2740" s="101"/>
      <c r="C2740" s="101"/>
      <c r="D2740" s="101"/>
      <c r="E2740" s="101"/>
      <c r="F2740" s="102"/>
      <c r="G2740" s="101"/>
      <c r="H2740" s="102"/>
      <c r="I2740" s="101"/>
      <c r="J2740" s="101"/>
      <c r="K2740" s="103"/>
      <c r="L2740" s="103"/>
      <c r="M2740" s="103"/>
      <c r="N2740" s="103"/>
      <c r="O2740" s="103"/>
      <c r="P2740" s="98"/>
      <c r="Q2740" s="99"/>
      <c r="R2740" s="104">
        <f t="shared" si="133"/>
        <v>0</v>
      </c>
      <c r="S2740" s="104">
        <f t="shared" si="134"/>
        <v>0</v>
      </c>
      <c r="T2740" s="104">
        <f t="shared" si="135"/>
        <v>0</v>
      </c>
    </row>
    <row r="2741" spans="1:20">
      <c r="A2741" s="101"/>
      <c r="B2741" s="101"/>
      <c r="C2741" s="101"/>
      <c r="D2741" s="101"/>
      <c r="E2741" s="101"/>
      <c r="F2741" s="102"/>
      <c r="G2741" s="101"/>
      <c r="H2741" s="102"/>
      <c r="I2741" s="101"/>
      <c r="J2741" s="101"/>
      <c r="K2741" s="103"/>
      <c r="L2741" s="103"/>
      <c r="M2741" s="103"/>
      <c r="N2741" s="103"/>
      <c r="O2741" s="103"/>
      <c r="P2741" s="98"/>
      <c r="Q2741" s="99"/>
      <c r="R2741" s="104">
        <f t="shared" si="133"/>
        <v>0</v>
      </c>
      <c r="S2741" s="104">
        <f t="shared" si="134"/>
        <v>0</v>
      </c>
      <c r="T2741" s="104">
        <f t="shared" si="135"/>
        <v>0</v>
      </c>
    </row>
    <row r="2742" spans="1:20">
      <c r="A2742" s="101"/>
      <c r="B2742" s="101"/>
      <c r="C2742" s="101"/>
      <c r="D2742" s="101"/>
      <c r="E2742" s="101"/>
      <c r="F2742" s="102"/>
      <c r="G2742" s="101"/>
      <c r="H2742" s="102"/>
      <c r="I2742" s="101"/>
      <c r="J2742" s="101"/>
      <c r="K2742" s="103"/>
      <c r="L2742" s="103"/>
      <c r="M2742" s="103"/>
      <c r="N2742" s="103"/>
      <c r="O2742" s="103"/>
      <c r="P2742" s="98"/>
      <c r="Q2742" s="99"/>
      <c r="R2742" s="104">
        <f t="shared" si="133"/>
        <v>0</v>
      </c>
      <c r="S2742" s="104">
        <f t="shared" si="134"/>
        <v>0</v>
      </c>
      <c r="T2742" s="104">
        <f t="shared" si="135"/>
        <v>0</v>
      </c>
    </row>
    <row r="2743" spans="1:20">
      <c r="A2743" s="101"/>
      <c r="B2743" s="101"/>
      <c r="C2743" s="101"/>
      <c r="D2743" s="101"/>
      <c r="E2743" s="101"/>
      <c r="F2743" s="102"/>
      <c r="G2743" s="101"/>
      <c r="H2743" s="102"/>
      <c r="I2743" s="101"/>
      <c r="J2743" s="101"/>
      <c r="K2743" s="103"/>
      <c r="L2743" s="103"/>
      <c r="M2743" s="103"/>
      <c r="N2743" s="103"/>
      <c r="O2743" s="103"/>
      <c r="P2743" s="98"/>
      <c r="Q2743" s="99"/>
      <c r="R2743" s="104">
        <f t="shared" si="133"/>
        <v>0</v>
      </c>
      <c r="S2743" s="104">
        <f t="shared" si="134"/>
        <v>0</v>
      </c>
      <c r="T2743" s="104">
        <f t="shared" si="135"/>
        <v>0</v>
      </c>
    </row>
    <row r="2744" spans="1:20">
      <c r="A2744" s="101"/>
      <c r="B2744" s="101"/>
      <c r="C2744" s="101"/>
      <c r="D2744" s="101"/>
      <c r="E2744" s="101"/>
      <c r="F2744" s="102"/>
      <c r="G2744" s="101"/>
      <c r="H2744" s="102"/>
      <c r="I2744" s="101"/>
      <c r="J2744" s="101"/>
      <c r="K2744" s="103"/>
      <c r="L2744" s="103"/>
      <c r="M2744" s="103"/>
      <c r="N2744" s="103"/>
      <c r="O2744" s="103"/>
      <c r="P2744" s="98"/>
      <c r="Q2744" s="99"/>
      <c r="R2744" s="104">
        <f t="shared" si="133"/>
        <v>0</v>
      </c>
      <c r="S2744" s="104">
        <f t="shared" si="134"/>
        <v>0</v>
      </c>
      <c r="T2744" s="104">
        <f t="shared" si="135"/>
        <v>0</v>
      </c>
    </row>
    <row r="2745" spans="1:20">
      <c r="A2745" s="101"/>
      <c r="B2745" s="101"/>
      <c r="C2745" s="101"/>
      <c r="D2745" s="101"/>
      <c r="E2745" s="101"/>
      <c r="F2745" s="102"/>
      <c r="G2745" s="101"/>
      <c r="H2745" s="102"/>
      <c r="I2745" s="101"/>
      <c r="J2745" s="101"/>
      <c r="K2745" s="103"/>
      <c r="L2745" s="103"/>
      <c r="M2745" s="103"/>
      <c r="N2745" s="103"/>
      <c r="O2745" s="103"/>
      <c r="P2745" s="98"/>
      <c r="Q2745" s="99"/>
      <c r="R2745" s="104">
        <f t="shared" si="133"/>
        <v>0</v>
      </c>
      <c r="S2745" s="104">
        <f t="shared" si="134"/>
        <v>0</v>
      </c>
      <c r="T2745" s="104">
        <f t="shared" si="135"/>
        <v>0</v>
      </c>
    </row>
    <row r="2746" spans="1:20">
      <c r="A2746" s="101"/>
      <c r="B2746" s="101"/>
      <c r="C2746" s="101"/>
      <c r="D2746" s="101"/>
      <c r="E2746" s="101"/>
      <c r="F2746" s="102"/>
      <c r="G2746" s="101"/>
      <c r="H2746" s="102"/>
      <c r="I2746" s="101"/>
      <c r="J2746" s="101"/>
      <c r="K2746" s="103"/>
      <c r="L2746" s="103"/>
      <c r="M2746" s="103"/>
      <c r="N2746" s="103"/>
      <c r="O2746" s="103"/>
      <c r="P2746" s="98"/>
      <c r="Q2746" s="99"/>
      <c r="R2746" s="104">
        <f t="shared" si="133"/>
        <v>0</v>
      </c>
      <c r="S2746" s="104">
        <f t="shared" si="134"/>
        <v>0</v>
      </c>
      <c r="T2746" s="104">
        <f t="shared" si="135"/>
        <v>0</v>
      </c>
    </row>
    <row r="2747" spans="1:20">
      <c r="A2747" s="101"/>
      <c r="B2747" s="101"/>
      <c r="C2747" s="101"/>
      <c r="D2747" s="101"/>
      <c r="E2747" s="101"/>
      <c r="F2747" s="102"/>
      <c r="G2747" s="101"/>
      <c r="H2747" s="102"/>
      <c r="I2747" s="101"/>
      <c r="J2747" s="101"/>
      <c r="K2747" s="103"/>
      <c r="L2747" s="103"/>
      <c r="M2747" s="103"/>
      <c r="N2747" s="103"/>
      <c r="O2747" s="103"/>
      <c r="P2747" s="98"/>
      <c r="Q2747" s="99"/>
      <c r="R2747" s="104">
        <f t="shared" si="133"/>
        <v>0</v>
      </c>
      <c r="S2747" s="104">
        <f t="shared" si="134"/>
        <v>0</v>
      </c>
      <c r="T2747" s="104">
        <f t="shared" si="135"/>
        <v>0</v>
      </c>
    </row>
    <row r="2748" spans="1:20">
      <c r="A2748" s="101"/>
      <c r="B2748" s="101"/>
      <c r="C2748" s="101"/>
      <c r="D2748" s="101"/>
      <c r="E2748" s="101"/>
      <c r="F2748" s="102"/>
      <c r="G2748" s="101"/>
      <c r="H2748" s="102"/>
      <c r="I2748" s="101"/>
      <c r="J2748" s="101"/>
      <c r="K2748" s="103"/>
      <c r="L2748" s="103"/>
      <c r="M2748" s="103"/>
      <c r="N2748" s="103"/>
      <c r="O2748" s="103"/>
      <c r="P2748" s="98"/>
      <c r="Q2748" s="99"/>
      <c r="R2748" s="104">
        <f t="shared" si="133"/>
        <v>0</v>
      </c>
      <c r="S2748" s="104">
        <f t="shared" si="134"/>
        <v>0</v>
      </c>
      <c r="T2748" s="104">
        <f t="shared" si="135"/>
        <v>0</v>
      </c>
    </row>
    <row r="2749" spans="1:20">
      <c r="A2749" s="101"/>
      <c r="B2749" s="101"/>
      <c r="C2749" s="101"/>
      <c r="D2749" s="101"/>
      <c r="E2749" s="101"/>
      <c r="F2749" s="102"/>
      <c r="G2749" s="101"/>
      <c r="H2749" s="102"/>
      <c r="I2749" s="101"/>
      <c r="J2749" s="101"/>
      <c r="K2749" s="103"/>
      <c r="L2749" s="103"/>
      <c r="M2749" s="103"/>
      <c r="N2749" s="103"/>
      <c r="O2749" s="103"/>
      <c r="P2749" s="98"/>
      <c r="Q2749" s="99"/>
      <c r="R2749" s="104">
        <f t="shared" si="133"/>
        <v>0</v>
      </c>
      <c r="S2749" s="104">
        <f t="shared" si="134"/>
        <v>0</v>
      </c>
      <c r="T2749" s="104">
        <f t="shared" si="135"/>
        <v>0</v>
      </c>
    </row>
    <row r="2750" spans="1:20">
      <c r="A2750" s="101"/>
      <c r="B2750" s="101"/>
      <c r="C2750" s="101"/>
      <c r="D2750" s="101"/>
      <c r="E2750" s="101"/>
      <c r="F2750" s="102"/>
      <c r="G2750" s="101"/>
      <c r="H2750" s="102"/>
      <c r="I2750" s="101"/>
      <c r="J2750" s="101"/>
      <c r="K2750" s="103"/>
      <c r="L2750" s="103"/>
      <c r="M2750" s="103"/>
      <c r="N2750" s="103"/>
      <c r="O2750" s="103"/>
      <c r="P2750" s="98"/>
      <c r="Q2750" s="99"/>
      <c r="R2750" s="104">
        <f t="shared" si="133"/>
        <v>0</v>
      </c>
      <c r="S2750" s="104">
        <f t="shared" si="134"/>
        <v>0</v>
      </c>
      <c r="T2750" s="104">
        <f t="shared" si="135"/>
        <v>0</v>
      </c>
    </row>
    <row r="2751" spans="1:20">
      <c r="A2751" s="101"/>
      <c r="B2751" s="101"/>
      <c r="C2751" s="101"/>
      <c r="D2751" s="101"/>
      <c r="E2751" s="101"/>
      <c r="F2751" s="102"/>
      <c r="G2751" s="101"/>
      <c r="H2751" s="102"/>
      <c r="I2751" s="101"/>
      <c r="J2751" s="101"/>
      <c r="K2751" s="103"/>
      <c r="L2751" s="103"/>
      <c r="M2751" s="103"/>
      <c r="N2751" s="103"/>
      <c r="O2751" s="103"/>
      <c r="P2751" s="98"/>
      <c r="Q2751" s="99"/>
      <c r="R2751" s="104">
        <f t="shared" si="133"/>
        <v>0</v>
      </c>
      <c r="S2751" s="104">
        <f t="shared" si="134"/>
        <v>0</v>
      </c>
      <c r="T2751" s="104">
        <f t="shared" si="135"/>
        <v>0</v>
      </c>
    </row>
    <row r="2752" spans="1:20">
      <c r="A2752" s="101"/>
      <c r="B2752" s="101"/>
      <c r="C2752" s="101"/>
      <c r="D2752" s="101"/>
      <c r="E2752" s="101"/>
      <c r="F2752" s="102"/>
      <c r="G2752" s="101"/>
      <c r="H2752" s="102"/>
      <c r="I2752" s="101"/>
      <c r="J2752" s="101"/>
      <c r="K2752" s="103"/>
      <c r="L2752" s="103"/>
      <c r="M2752" s="103"/>
      <c r="N2752" s="103"/>
      <c r="O2752" s="103"/>
      <c r="P2752" s="98"/>
      <c r="Q2752" s="99"/>
      <c r="R2752" s="104">
        <f t="shared" si="133"/>
        <v>0</v>
      </c>
      <c r="S2752" s="104">
        <f t="shared" si="134"/>
        <v>0</v>
      </c>
      <c r="T2752" s="104">
        <f t="shared" si="135"/>
        <v>0</v>
      </c>
    </row>
    <row r="2753" spans="1:20">
      <c r="A2753" s="101"/>
      <c r="B2753" s="101"/>
      <c r="C2753" s="101"/>
      <c r="D2753" s="101"/>
      <c r="E2753" s="101"/>
      <c r="F2753" s="102"/>
      <c r="G2753" s="101"/>
      <c r="H2753" s="102"/>
      <c r="I2753" s="101"/>
      <c r="J2753" s="101"/>
      <c r="K2753" s="103"/>
      <c r="L2753" s="103"/>
      <c r="M2753" s="103"/>
      <c r="N2753" s="103"/>
      <c r="O2753" s="103"/>
      <c r="P2753" s="98"/>
      <c r="Q2753" s="99"/>
      <c r="R2753" s="104">
        <f t="shared" si="133"/>
        <v>0</v>
      </c>
      <c r="S2753" s="104">
        <f t="shared" si="134"/>
        <v>0</v>
      </c>
      <c r="T2753" s="104">
        <f t="shared" si="135"/>
        <v>0</v>
      </c>
    </row>
    <row r="2754" spans="1:20">
      <c r="A2754" s="101"/>
      <c r="B2754" s="101"/>
      <c r="C2754" s="101"/>
      <c r="D2754" s="101"/>
      <c r="E2754" s="101"/>
      <c r="F2754" s="102"/>
      <c r="G2754" s="101"/>
      <c r="H2754" s="102"/>
      <c r="I2754" s="101"/>
      <c r="J2754" s="101"/>
      <c r="K2754" s="103"/>
      <c r="L2754" s="103"/>
      <c r="M2754" s="103"/>
      <c r="N2754" s="103"/>
      <c r="O2754" s="103"/>
      <c r="P2754" s="98"/>
      <c r="Q2754" s="99"/>
      <c r="R2754" s="104">
        <f t="shared" si="133"/>
        <v>0</v>
      </c>
      <c r="S2754" s="104">
        <f t="shared" si="134"/>
        <v>0</v>
      </c>
      <c r="T2754" s="104">
        <f t="shared" si="135"/>
        <v>0</v>
      </c>
    </row>
    <row r="2755" spans="1:20">
      <c r="A2755" s="101"/>
      <c r="B2755" s="101"/>
      <c r="C2755" s="101"/>
      <c r="D2755" s="101"/>
      <c r="E2755" s="101"/>
      <c r="F2755" s="102"/>
      <c r="G2755" s="101"/>
      <c r="H2755" s="102"/>
      <c r="I2755" s="101"/>
      <c r="J2755" s="101"/>
      <c r="K2755" s="103"/>
      <c r="L2755" s="103"/>
      <c r="M2755" s="103"/>
      <c r="N2755" s="103"/>
      <c r="O2755" s="103"/>
      <c r="P2755" s="98"/>
      <c r="Q2755" s="99"/>
      <c r="R2755" s="104">
        <f t="shared" si="133"/>
        <v>0</v>
      </c>
      <c r="S2755" s="104">
        <f t="shared" si="134"/>
        <v>0</v>
      </c>
      <c r="T2755" s="104">
        <f t="shared" si="135"/>
        <v>0</v>
      </c>
    </row>
    <row r="2756" spans="1:20">
      <c r="A2756" s="101"/>
      <c r="B2756" s="101"/>
      <c r="C2756" s="101"/>
      <c r="D2756" s="101"/>
      <c r="E2756" s="101"/>
      <c r="F2756" s="102"/>
      <c r="G2756" s="101"/>
      <c r="H2756" s="102"/>
      <c r="I2756" s="101"/>
      <c r="J2756" s="101"/>
      <c r="K2756" s="103"/>
      <c r="L2756" s="103"/>
      <c r="M2756" s="103"/>
      <c r="N2756" s="103"/>
      <c r="O2756" s="103"/>
      <c r="P2756" s="98"/>
      <c r="Q2756" s="99"/>
      <c r="R2756" s="104">
        <f t="shared" si="133"/>
        <v>0</v>
      </c>
      <c r="S2756" s="104">
        <f t="shared" si="134"/>
        <v>0</v>
      </c>
      <c r="T2756" s="104">
        <f t="shared" si="135"/>
        <v>0</v>
      </c>
    </row>
    <row r="2757" spans="1:20">
      <c r="A2757" s="101"/>
      <c r="B2757" s="101"/>
      <c r="C2757" s="101"/>
      <c r="D2757" s="101"/>
      <c r="E2757" s="101"/>
      <c r="F2757" s="102"/>
      <c r="G2757" s="101"/>
      <c r="H2757" s="102"/>
      <c r="I2757" s="101"/>
      <c r="J2757" s="101"/>
      <c r="K2757" s="103"/>
      <c r="L2757" s="103"/>
      <c r="M2757" s="103"/>
      <c r="N2757" s="103"/>
      <c r="O2757" s="103"/>
      <c r="P2757" s="98"/>
      <c r="Q2757" s="99"/>
      <c r="R2757" s="104">
        <f t="shared" si="133"/>
        <v>0</v>
      </c>
      <c r="S2757" s="104">
        <f t="shared" si="134"/>
        <v>0</v>
      </c>
      <c r="T2757" s="104">
        <f t="shared" si="135"/>
        <v>0</v>
      </c>
    </row>
    <row r="2758" spans="1:20">
      <c r="A2758" s="101"/>
      <c r="B2758" s="101"/>
      <c r="C2758" s="101"/>
      <c r="D2758" s="101"/>
      <c r="E2758" s="101"/>
      <c r="F2758" s="102"/>
      <c r="G2758" s="101"/>
      <c r="H2758" s="102"/>
      <c r="I2758" s="101"/>
      <c r="J2758" s="101"/>
      <c r="K2758" s="103"/>
      <c r="L2758" s="103"/>
      <c r="M2758" s="103"/>
      <c r="N2758" s="103"/>
      <c r="O2758" s="103"/>
      <c r="P2758" s="98"/>
      <c r="Q2758" s="99"/>
      <c r="R2758" s="104">
        <f t="shared" si="133"/>
        <v>0</v>
      </c>
      <c r="S2758" s="104">
        <f t="shared" si="134"/>
        <v>0</v>
      </c>
      <c r="T2758" s="104">
        <f t="shared" si="135"/>
        <v>0</v>
      </c>
    </row>
    <row r="2759" spans="1:20">
      <c r="A2759" s="101"/>
      <c r="B2759" s="101"/>
      <c r="C2759" s="101"/>
      <c r="D2759" s="101"/>
      <c r="E2759" s="101"/>
      <c r="F2759" s="102"/>
      <c r="G2759" s="101"/>
      <c r="H2759" s="102"/>
      <c r="I2759" s="101"/>
      <c r="J2759" s="101"/>
      <c r="K2759" s="103"/>
      <c r="L2759" s="103"/>
      <c r="M2759" s="103"/>
      <c r="N2759" s="103"/>
      <c r="O2759" s="103"/>
      <c r="P2759" s="98"/>
      <c r="Q2759" s="99"/>
      <c r="R2759" s="104">
        <f t="shared" si="133"/>
        <v>0</v>
      </c>
      <c r="S2759" s="104">
        <f t="shared" si="134"/>
        <v>0</v>
      </c>
      <c r="T2759" s="104">
        <f t="shared" si="135"/>
        <v>0</v>
      </c>
    </row>
    <row r="2760" spans="1:20">
      <c r="A2760" s="101"/>
      <c r="B2760" s="101"/>
      <c r="C2760" s="101"/>
      <c r="D2760" s="101"/>
      <c r="E2760" s="101"/>
      <c r="F2760" s="102"/>
      <c r="G2760" s="101"/>
      <c r="H2760" s="102"/>
      <c r="I2760" s="101"/>
      <c r="J2760" s="101"/>
      <c r="K2760" s="103"/>
      <c r="L2760" s="103"/>
      <c r="M2760" s="103"/>
      <c r="N2760" s="103"/>
      <c r="O2760" s="103"/>
      <c r="P2760" s="98"/>
      <c r="Q2760" s="99"/>
      <c r="R2760" s="104">
        <f t="shared" si="133"/>
        <v>0</v>
      </c>
      <c r="S2760" s="104">
        <f t="shared" si="134"/>
        <v>0</v>
      </c>
      <c r="T2760" s="104">
        <f t="shared" si="135"/>
        <v>0</v>
      </c>
    </row>
    <row r="2761" spans="1:20">
      <c r="A2761" s="101"/>
      <c r="B2761" s="101"/>
      <c r="C2761" s="101"/>
      <c r="D2761" s="101"/>
      <c r="E2761" s="101"/>
      <c r="F2761" s="102"/>
      <c r="G2761" s="101"/>
      <c r="H2761" s="102"/>
      <c r="I2761" s="101"/>
      <c r="J2761" s="101"/>
      <c r="K2761" s="103"/>
      <c r="L2761" s="103"/>
      <c r="M2761" s="103"/>
      <c r="N2761" s="103"/>
      <c r="O2761" s="103"/>
      <c r="P2761" s="98"/>
      <c r="Q2761" s="99"/>
      <c r="R2761" s="104">
        <f t="shared" si="133"/>
        <v>0</v>
      </c>
      <c r="S2761" s="104">
        <f t="shared" si="134"/>
        <v>0</v>
      </c>
      <c r="T2761" s="104">
        <f t="shared" si="135"/>
        <v>0</v>
      </c>
    </row>
    <row r="2762" spans="1:20">
      <c r="A2762" s="101"/>
      <c r="B2762" s="101"/>
      <c r="C2762" s="101"/>
      <c r="D2762" s="101"/>
      <c r="E2762" s="101"/>
      <c r="F2762" s="102"/>
      <c r="G2762" s="101"/>
      <c r="H2762" s="102"/>
      <c r="I2762" s="101"/>
      <c r="J2762" s="101"/>
      <c r="K2762" s="103"/>
      <c r="L2762" s="103"/>
      <c r="M2762" s="103"/>
      <c r="N2762" s="103"/>
      <c r="O2762" s="103"/>
      <c r="P2762" s="98"/>
      <c r="Q2762" s="99"/>
      <c r="R2762" s="104">
        <f t="shared" ref="R2762:R2825" si="136">IF(P2762="Cargo",K2762+L2762-M2762-N2762+O2762,0)</f>
        <v>0</v>
      </c>
      <c r="S2762" s="104">
        <f t="shared" ref="S2762:S2825" si="137">IF(P2762="Abono",K2762+L2762+M2762-N2762-O2762,0)</f>
        <v>0</v>
      </c>
      <c r="T2762" s="104">
        <f t="shared" ref="T2762:T2825" si="138">IF(Q2762="OK",+T2761+R2762-S2762,T2761)</f>
        <v>0</v>
      </c>
    </row>
    <row r="2763" spans="1:20">
      <c r="A2763" s="101"/>
      <c r="B2763" s="101"/>
      <c r="C2763" s="101"/>
      <c r="D2763" s="101"/>
      <c r="E2763" s="101"/>
      <c r="F2763" s="102"/>
      <c r="G2763" s="101"/>
      <c r="H2763" s="102"/>
      <c r="I2763" s="101"/>
      <c r="J2763" s="101"/>
      <c r="K2763" s="103"/>
      <c r="L2763" s="103"/>
      <c r="M2763" s="103"/>
      <c r="N2763" s="103"/>
      <c r="O2763" s="103"/>
      <c r="P2763" s="98"/>
      <c r="Q2763" s="99"/>
      <c r="R2763" s="104">
        <f t="shared" si="136"/>
        <v>0</v>
      </c>
      <c r="S2763" s="104">
        <f t="shared" si="137"/>
        <v>0</v>
      </c>
      <c r="T2763" s="104">
        <f t="shared" si="138"/>
        <v>0</v>
      </c>
    </row>
    <row r="2764" spans="1:20">
      <c r="A2764" s="101"/>
      <c r="B2764" s="101"/>
      <c r="C2764" s="101"/>
      <c r="D2764" s="101"/>
      <c r="E2764" s="101"/>
      <c r="F2764" s="102"/>
      <c r="G2764" s="101"/>
      <c r="H2764" s="102"/>
      <c r="I2764" s="101"/>
      <c r="J2764" s="101"/>
      <c r="K2764" s="103"/>
      <c r="L2764" s="103"/>
      <c r="M2764" s="103"/>
      <c r="N2764" s="103"/>
      <c r="O2764" s="103"/>
      <c r="P2764" s="98"/>
      <c r="Q2764" s="99"/>
      <c r="R2764" s="104">
        <f t="shared" si="136"/>
        <v>0</v>
      </c>
      <c r="S2764" s="104">
        <f t="shared" si="137"/>
        <v>0</v>
      </c>
      <c r="T2764" s="104">
        <f t="shared" si="138"/>
        <v>0</v>
      </c>
    </row>
    <row r="2765" spans="1:20">
      <c r="A2765" s="101"/>
      <c r="B2765" s="101"/>
      <c r="C2765" s="101"/>
      <c r="D2765" s="101"/>
      <c r="E2765" s="101"/>
      <c r="F2765" s="102"/>
      <c r="G2765" s="101"/>
      <c r="H2765" s="102"/>
      <c r="I2765" s="101"/>
      <c r="J2765" s="101"/>
      <c r="K2765" s="103"/>
      <c r="L2765" s="103"/>
      <c r="M2765" s="103"/>
      <c r="N2765" s="103"/>
      <c r="O2765" s="103"/>
      <c r="P2765" s="98"/>
      <c r="Q2765" s="99"/>
      <c r="R2765" s="104">
        <f t="shared" si="136"/>
        <v>0</v>
      </c>
      <c r="S2765" s="104">
        <f t="shared" si="137"/>
        <v>0</v>
      </c>
      <c r="T2765" s="104">
        <f t="shared" si="138"/>
        <v>0</v>
      </c>
    </row>
    <row r="2766" spans="1:20">
      <c r="A2766" s="101"/>
      <c r="B2766" s="101"/>
      <c r="C2766" s="101"/>
      <c r="D2766" s="101"/>
      <c r="E2766" s="101"/>
      <c r="F2766" s="102"/>
      <c r="G2766" s="101"/>
      <c r="H2766" s="102"/>
      <c r="I2766" s="101"/>
      <c r="J2766" s="101"/>
      <c r="K2766" s="103"/>
      <c r="L2766" s="103"/>
      <c r="M2766" s="103"/>
      <c r="N2766" s="103"/>
      <c r="O2766" s="103"/>
      <c r="P2766" s="98"/>
      <c r="Q2766" s="99"/>
      <c r="R2766" s="104">
        <f t="shared" si="136"/>
        <v>0</v>
      </c>
      <c r="S2766" s="104">
        <f t="shared" si="137"/>
        <v>0</v>
      </c>
      <c r="T2766" s="104">
        <f t="shared" si="138"/>
        <v>0</v>
      </c>
    </row>
    <row r="2767" spans="1:20">
      <c r="A2767" s="101"/>
      <c r="B2767" s="101"/>
      <c r="C2767" s="101"/>
      <c r="D2767" s="101"/>
      <c r="E2767" s="101"/>
      <c r="F2767" s="102"/>
      <c r="G2767" s="101"/>
      <c r="H2767" s="102"/>
      <c r="I2767" s="101"/>
      <c r="J2767" s="101"/>
      <c r="K2767" s="103"/>
      <c r="L2767" s="103"/>
      <c r="M2767" s="103"/>
      <c r="N2767" s="103"/>
      <c r="O2767" s="103"/>
      <c r="P2767" s="98"/>
      <c r="Q2767" s="99"/>
      <c r="R2767" s="104">
        <f t="shared" si="136"/>
        <v>0</v>
      </c>
      <c r="S2767" s="104">
        <f t="shared" si="137"/>
        <v>0</v>
      </c>
      <c r="T2767" s="104">
        <f t="shared" si="138"/>
        <v>0</v>
      </c>
    </row>
    <row r="2768" spans="1:20">
      <c r="A2768" s="101"/>
      <c r="B2768" s="101"/>
      <c r="C2768" s="101"/>
      <c r="D2768" s="101"/>
      <c r="E2768" s="101"/>
      <c r="F2768" s="102"/>
      <c r="G2768" s="101"/>
      <c r="H2768" s="102"/>
      <c r="I2768" s="101"/>
      <c r="J2768" s="101"/>
      <c r="K2768" s="103"/>
      <c r="L2768" s="103"/>
      <c r="M2768" s="103"/>
      <c r="N2768" s="103"/>
      <c r="O2768" s="103"/>
      <c r="P2768" s="98"/>
      <c r="Q2768" s="99"/>
      <c r="R2768" s="104">
        <f t="shared" si="136"/>
        <v>0</v>
      </c>
      <c r="S2768" s="104">
        <f t="shared" si="137"/>
        <v>0</v>
      </c>
      <c r="T2768" s="104">
        <f t="shared" si="138"/>
        <v>0</v>
      </c>
    </row>
    <row r="2769" spans="1:20">
      <c r="A2769" s="101"/>
      <c r="B2769" s="101"/>
      <c r="C2769" s="101"/>
      <c r="D2769" s="101"/>
      <c r="E2769" s="101"/>
      <c r="F2769" s="102"/>
      <c r="G2769" s="101"/>
      <c r="H2769" s="102"/>
      <c r="I2769" s="101"/>
      <c r="J2769" s="101"/>
      <c r="K2769" s="103"/>
      <c r="L2769" s="103"/>
      <c r="M2769" s="103"/>
      <c r="N2769" s="103"/>
      <c r="O2769" s="103"/>
      <c r="P2769" s="98"/>
      <c r="Q2769" s="99"/>
      <c r="R2769" s="104">
        <f t="shared" si="136"/>
        <v>0</v>
      </c>
      <c r="S2769" s="104">
        <f t="shared" si="137"/>
        <v>0</v>
      </c>
      <c r="T2769" s="104">
        <f t="shared" si="138"/>
        <v>0</v>
      </c>
    </row>
    <row r="2770" spans="1:20">
      <c r="A2770" s="101"/>
      <c r="B2770" s="101"/>
      <c r="C2770" s="101"/>
      <c r="D2770" s="101"/>
      <c r="E2770" s="101"/>
      <c r="F2770" s="102"/>
      <c r="G2770" s="101"/>
      <c r="H2770" s="102"/>
      <c r="I2770" s="101"/>
      <c r="J2770" s="101"/>
      <c r="K2770" s="103"/>
      <c r="L2770" s="103"/>
      <c r="M2770" s="103"/>
      <c r="N2770" s="103"/>
      <c r="O2770" s="103"/>
      <c r="P2770" s="98"/>
      <c r="Q2770" s="99"/>
      <c r="R2770" s="104">
        <f t="shared" si="136"/>
        <v>0</v>
      </c>
      <c r="S2770" s="104">
        <f t="shared" si="137"/>
        <v>0</v>
      </c>
      <c r="T2770" s="104">
        <f t="shared" si="138"/>
        <v>0</v>
      </c>
    </row>
    <row r="2771" spans="1:20">
      <c r="A2771" s="101"/>
      <c r="B2771" s="101"/>
      <c r="C2771" s="101"/>
      <c r="D2771" s="101"/>
      <c r="E2771" s="101"/>
      <c r="F2771" s="102"/>
      <c r="G2771" s="101"/>
      <c r="H2771" s="102"/>
      <c r="I2771" s="101"/>
      <c r="J2771" s="101"/>
      <c r="K2771" s="103"/>
      <c r="L2771" s="103"/>
      <c r="M2771" s="103"/>
      <c r="N2771" s="103"/>
      <c r="O2771" s="103"/>
      <c r="P2771" s="98"/>
      <c r="Q2771" s="99"/>
      <c r="R2771" s="104">
        <f t="shared" si="136"/>
        <v>0</v>
      </c>
      <c r="S2771" s="104">
        <f t="shared" si="137"/>
        <v>0</v>
      </c>
      <c r="T2771" s="104">
        <f t="shared" si="138"/>
        <v>0</v>
      </c>
    </row>
    <row r="2772" spans="1:20">
      <c r="A2772" s="101"/>
      <c r="B2772" s="101"/>
      <c r="C2772" s="101"/>
      <c r="D2772" s="101"/>
      <c r="E2772" s="101"/>
      <c r="F2772" s="102"/>
      <c r="G2772" s="101"/>
      <c r="H2772" s="102"/>
      <c r="I2772" s="101"/>
      <c r="J2772" s="101"/>
      <c r="K2772" s="103"/>
      <c r="L2772" s="103"/>
      <c r="M2772" s="103"/>
      <c r="N2772" s="103"/>
      <c r="O2772" s="103"/>
      <c r="P2772" s="98"/>
      <c r="Q2772" s="99"/>
      <c r="R2772" s="104">
        <f t="shared" si="136"/>
        <v>0</v>
      </c>
      <c r="S2772" s="104">
        <f t="shared" si="137"/>
        <v>0</v>
      </c>
      <c r="T2772" s="104">
        <f t="shared" si="138"/>
        <v>0</v>
      </c>
    </row>
    <row r="2773" spans="1:20">
      <c r="A2773" s="101"/>
      <c r="B2773" s="101"/>
      <c r="C2773" s="101"/>
      <c r="D2773" s="101"/>
      <c r="E2773" s="101"/>
      <c r="F2773" s="102"/>
      <c r="G2773" s="101"/>
      <c r="H2773" s="102"/>
      <c r="I2773" s="101"/>
      <c r="J2773" s="101"/>
      <c r="K2773" s="103"/>
      <c r="L2773" s="103"/>
      <c r="M2773" s="103"/>
      <c r="N2773" s="103"/>
      <c r="O2773" s="103"/>
      <c r="P2773" s="98"/>
      <c r="Q2773" s="99"/>
      <c r="R2773" s="104">
        <f t="shared" si="136"/>
        <v>0</v>
      </c>
      <c r="S2773" s="104">
        <f t="shared" si="137"/>
        <v>0</v>
      </c>
      <c r="T2773" s="104">
        <f t="shared" si="138"/>
        <v>0</v>
      </c>
    </row>
    <row r="2774" spans="1:20">
      <c r="A2774" s="101"/>
      <c r="B2774" s="101"/>
      <c r="C2774" s="101"/>
      <c r="D2774" s="101"/>
      <c r="E2774" s="101"/>
      <c r="F2774" s="102"/>
      <c r="G2774" s="101"/>
      <c r="H2774" s="102"/>
      <c r="I2774" s="101"/>
      <c r="J2774" s="101"/>
      <c r="K2774" s="103"/>
      <c r="L2774" s="103"/>
      <c r="M2774" s="103"/>
      <c r="N2774" s="103"/>
      <c r="O2774" s="103"/>
      <c r="P2774" s="98"/>
      <c r="Q2774" s="99"/>
      <c r="R2774" s="104">
        <f t="shared" si="136"/>
        <v>0</v>
      </c>
      <c r="S2774" s="104">
        <f t="shared" si="137"/>
        <v>0</v>
      </c>
      <c r="T2774" s="104">
        <f t="shared" si="138"/>
        <v>0</v>
      </c>
    </row>
    <row r="2775" spans="1:20">
      <c r="A2775" s="101"/>
      <c r="B2775" s="101"/>
      <c r="C2775" s="101"/>
      <c r="D2775" s="101"/>
      <c r="E2775" s="101"/>
      <c r="F2775" s="102"/>
      <c r="G2775" s="101"/>
      <c r="H2775" s="102"/>
      <c r="I2775" s="101"/>
      <c r="J2775" s="101"/>
      <c r="K2775" s="103"/>
      <c r="L2775" s="103"/>
      <c r="M2775" s="103"/>
      <c r="N2775" s="103"/>
      <c r="O2775" s="103"/>
      <c r="P2775" s="98"/>
      <c r="Q2775" s="99"/>
      <c r="R2775" s="104">
        <f t="shared" si="136"/>
        <v>0</v>
      </c>
      <c r="S2775" s="104">
        <f t="shared" si="137"/>
        <v>0</v>
      </c>
      <c r="T2775" s="104">
        <f t="shared" si="138"/>
        <v>0</v>
      </c>
    </row>
    <row r="2776" spans="1:20">
      <c r="A2776" s="101"/>
      <c r="B2776" s="101"/>
      <c r="C2776" s="101"/>
      <c r="D2776" s="101"/>
      <c r="E2776" s="101"/>
      <c r="F2776" s="102"/>
      <c r="G2776" s="101"/>
      <c r="H2776" s="102"/>
      <c r="I2776" s="101"/>
      <c r="J2776" s="101"/>
      <c r="K2776" s="103"/>
      <c r="L2776" s="103"/>
      <c r="M2776" s="103"/>
      <c r="N2776" s="103"/>
      <c r="O2776" s="103"/>
      <c r="P2776" s="98"/>
      <c r="Q2776" s="99"/>
      <c r="R2776" s="104">
        <f t="shared" si="136"/>
        <v>0</v>
      </c>
      <c r="S2776" s="104">
        <f t="shared" si="137"/>
        <v>0</v>
      </c>
      <c r="T2776" s="104">
        <f t="shared" si="138"/>
        <v>0</v>
      </c>
    </row>
    <row r="2777" spans="1:20">
      <c r="A2777" s="101"/>
      <c r="B2777" s="101"/>
      <c r="C2777" s="101"/>
      <c r="D2777" s="101"/>
      <c r="E2777" s="101"/>
      <c r="F2777" s="102"/>
      <c r="G2777" s="101"/>
      <c r="H2777" s="102"/>
      <c r="I2777" s="101"/>
      <c r="J2777" s="101"/>
      <c r="K2777" s="103"/>
      <c r="L2777" s="103"/>
      <c r="M2777" s="103"/>
      <c r="N2777" s="103"/>
      <c r="O2777" s="103"/>
      <c r="P2777" s="98"/>
      <c r="Q2777" s="99"/>
      <c r="R2777" s="104">
        <f t="shared" si="136"/>
        <v>0</v>
      </c>
      <c r="S2777" s="104">
        <f t="shared" si="137"/>
        <v>0</v>
      </c>
      <c r="T2777" s="104">
        <f t="shared" si="138"/>
        <v>0</v>
      </c>
    </row>
    <row r="2778" spans="1:20">
      <c r="A2778" s="101"/>
      <c r="B2778" s="101"/>
      <c r="C2778" s="101"/>
      <c r="D2778" s="101"/>
      <c r="E2778" s="101"/>
      <c r="F2778" s="102"/>
      <c r="G2778" s="101"/>
      <c r="H2778" s="102"/>
      <c r="I2778" s="101"/>
      <c r="J2778" s="101"/>
      <c r="K2778" s="103"/>
      <c r="L2778" s="103"/>
      <c r="M2778" s="103"/>
      <c r="N2778" s="103"/>
      <c r="O2778" s="103"/>
      <c r="P2778" s="98"/>
      <c r="Q2778" s="99"/>
      <c r="R2778" s="104">
        <f t="shared" si="136"/>
        <v>0</v>
      </c>
      <c r="S2778" s="104">
        <f t="shared" si="137"/>
        <v>0</v>
      </c>
      <c r="T2778" s="104">
        <f t="shared" si="138"/>
        <v>0</v>
      </c>
    </row>
    <row r="2779" spans="1:20">
      <c r="A2779" s="101"/>
      <c r="B2779" s="101"/>
      <c r="C2779" s="101"/>
      <c r="D2779" s="101"/>
      <c r="E2779" s="101"/>
      <c r="F2779" s="102"/>
      <c r="G2779" s="101"/>
      <c r="H2779" s="102"/>
      <c r="I2779" s="101"/>
      <c r="J2779" s="101"/>
      <c r="K2779" s="103"/>
      <c r="L2779" s="103"/>
      <c r="M2779" s="103"/>
      <c r="N2779" s="103"/>
      <c r="O2779" s="103"/>
      <c r="P2779" s="98"/>
      <c r="Q2779" s="99"/>
      <c r="R2779" s="104">
        <f t="shared" si="136"/>
        <v>0</v>
      </c>
      <c r="S2779" s="104">
        <f t="shared" si="137"/>
        <v>0</v>
      </c>
      <c r="T2779" s="104">
        <f t="shared" si="138"/>
        <v>0</v>
      </c>
    </row>
    <row r="2780" spans="1:20">
      <c r="A2780" s="101"/>
      <c r="B2780" s="101"/>
      <c r="C2780" s="101"/>
      <c r="D2780" s="101"/>
      <c r="E2780" s="101"/>
      <c r="F2780" s="102"/>
      <c r="G2780" s="101"/>
      <c r="H2780" s="102"/>
      <c r="I2780" s="101"/>
      <c r="J2780" s="101"/>
      <c r="K2780" s="103"/>
      <c r="L2780" s="103"/>
      <c r="M2780" s="103"/>
      <c r="N2780" s="103"/>
      <c r="O2780" s="103"/>
      <c r="P2780" s="98"/>
      <c r="Q2780" s="99"/>
      <c r="R2780" s="104">
        <f t="shared" si="136"/>
        <v>0</v>
      </c>
      <c r="S2780" s="104">
        <f t="shared" si="137"/>
        <v>0</v>
      </c>
      <c r="T2780" s="104">
        <f t="shared" si="138"/>
        <v>0</v>
      </c>
    </row>
    <row r="2781" spans="1:20">
      <c r="A2781" s="101"/>
      <c r="B2781" s="101"/>
      <c r="C2781" s="101"/>
      <c r="D2781" s="101"/>
      <c r="E2781" s="101"/>
      <c r="F2781" s="102"/>
      <c r="G2781" s="101"/>
      <c r="H2781" s="102"/>
      <c r="I2781" s="101"/>
      <c r="J2781" s="101"/>
      <c r="K2781" s="103"/>
      <c r="L2781" s="103"/>
      <c r="M2781" s="103"/>
      <c r="N2781" s="103"/>
      <c r="O2781" s="103"/>
      <c r="P2781" s="98"/>
      <c r="Q2781" s="99"/>
      <c r="R2781" s="104">
        <f t="shared" si="136"/>
        <v>0</v>
      </c>
      <c r="S2781" s="104">
        <f t="shared" si="137"/>
        <v>0</v>
      </c>
      <c r="T2781" s="104">
        <f t="shared" si="138"/>
        <v>0</v>
      </c>
    </row>
    <row r="2782" spans="1:20">
      <c r="A2782" s="101"/>
      <c r="B2782" s="101"/>
      <c r="C2782" s="101"/>
      <c r="D2782" s="101"/>
      <c r="E2782" s="101"/>
      <c r="F2782" s="102"/>
      <c r="G2782" s="101"/>
      <c r="H2782" s="102"/>
      <c r="I2782" s="101"/>
      <c r="J2782" s="101"/>
      <c r="K2782" s="103"/>
      <c r="L2782" s="103"/>
      <c r="M2782" s="103"/>
      <c r="N2782" s="103"/>
      <c r="O2782" s="103"/>
      <c r="P2782" s="98"/>
      <c r="Q2782" s="99"/>
      <c r="R2782" s="104">
        <f t="shared" si="136"/>
        <v>0</v>
      </c>
      <c r="S2782" s="104">
        <f t="shared" si="137"/>
        <v>0</v>
      </c>
      <c r="T2782" s="104">
        <f t="shared" si="138"/>
        <v>0</v>
      </c>
    </row>
    <row r="2783" spans="1:20">
      <c r="A2783" s="101"/>
      <c r="B2783" s="101"/>
      <c r="C2783" s="101"/>
      <c r="D2783" s="101"/>
      <c r="E2783" s="101"/>
      <c r="F2783" s="102"/>
      <c r="G2783" s="101"/>
      <c r="H2783" s="102"/>
      <c r="I2783" s="101"/>
      <c r="J2783" s="101"/>
      <c r="K2783" s="103"/>
      <c r="L2783" s="103"/>
      <c r="M2783" s="103"/>
      <c r="N2783" s="103"/>
      <c r="O2783" s="103"/>
      <c r="P2783" s="98"/>
      <c r="Q2783" s="99"/>
      <c r="R2783" s="104">
        <f t="shared" si="136"/>
        <v>0</v>
      </c>
      <c r="S2783" s="104">
        <f t="shared" si="137"/>
        <v>0</v>
      </c>
      <c r="T2783" s="104">
        <f t="shared" si="138"/>
        <v>0</v>
      </c>
    </row>
    <row r="2784" spans="1:20">
      <c r="A2784" s="101"/>
      <c r="B2784" s="101"/>
      <c r="C2784" s="101"/>
      <c r="D2784" s="101"/>
      <c r="E2784" s="101"/>
      <c r="F2784" s="102"/>
      <c r="G2784" s="101"/>
      <c r="H2784" s="102"/>
      <c r="I2784" s="101"/>
      <c r="J2784" s="101"/>
      <c r="K2784" s="103"/>
      <c r="L2784" s="103"/>
      <c r="M2784" s="103"/>
      <c r="N2784" s="103"/>
      <c r="O2784" s="103"/>
      <c r="P2784" s="98"/>
      <c r="Q2784" s="99"/>
      <c r="R2784" s="104">
        <f t="shared" si="136"/>
        <v>0</v>
      </c>
      <c r="S2784" s="104">
        <f t="shared" si="137"/>
        <v>0</v>
      </c>
      <c r="T2784" s="104">
        <f t="shared" si="138"/>
        <v>0</v>
      </c>
    </row>
    <row r="2785" spans="1:20">
      <c r="A2785" s="101"/>
      <c r="B2785" s="101"/>
      <c r="C2785" s="101"/>
      <c r="D2785" s="101"/>
      <c r="E2785" s="101"/>
      <c r="F2785" s="102"/>
      <c r="G2785" s="101"/>
      <c r="H2785" s="102"/>
      <c r="I2785" s="101"/>
      <c r="J2785" s="101"/>
      <c r="K2785" s="103"/>
      <c r="L2785" s="103"/>
      <c r="M2785" s="103"/>
      <c r="N2785" s="103"/>
      <c r="O2785" s="103"/>
      <c r="P2785" s="98"/>
      <c r="Q2785" s="99"/>
      <c r="R2785" s="104">
        <f t="shared" si="136"/>
        <v>0</v>
      </c>
      <c r="S2785" s="104">
        <f t="shared" si="137"/>
        <v>0</v>
      </c>
      <c r="T2785" s="104">
        <f t="shared" si="138"/>
        <v>0</v>
      </c>
    </row>
    <row r="2786" spans="1:20">
      <c r="A2786" s="101"/>
      <c r="B2786" s="101"/>
      <c r="C2786" s="101"/>
      <c r="D2786" s="101"/>
      <c r="E2786" s="101"/>
      <c r="F2786" s="102"/>
      <c r="G2786" s="101"/>
      <c r="H2786" s="102"/>
      <c r="I2786" s="101"/>
      <c r="J2786" s="101"/>
      <c r="K2786" s="103"/>
      <c r="L2786" s="103"/>
      <c r="M2786" s="103"/>
      <c r="N2786" s="103"/>
      <c r="O2786" s="103"/>
      <c r="P2786" s="98"/>
      <c r="Q2786" s="99"/>
      <c r="R2786" s="104">
        <f t="shared" si="136"/>
        <v>0</v>
      </c>
      <c r="S2786" s="104">
        <f t="shared" si="137"/>
        <v>0</v>
      </c>
      <c r="T2786" s="104">
        <f t="shared" si="138"/>
        <v>0</v>
      </c>
    </row>
    <row r="2787" spans="1:20">
      <c r="A2787" s="101"/>
      <c r="B2787" s="101"/>
      <c r="C2787" s="101"/>
      <c r="D2787" s="101"/>
      <c r="E2787" s="101"/>
      <c r="F2787" s="102"/>
      <c r="G2787" s="101"/>
      <c r="H2787" s="102"/>
      <c r="I2787" s="101"/>
      <c r="J2787" s="101"/>
      <c r="K2787" s="103"/>
      <c r="L2787" s="103"/>
      <c r="M2787" s="103"/>
      <c r="N2787" s="103"/>
      <c r="O2787" s="103"/>
      <c r="P2787" s="98"/>
      <c r="Q2787" s="99"/>
      <c r="R2787" s="104">
        <f t="shared" si="136"/>
        <v>0</v>
      </c>
      <c r="S2787" s="104">
        <f t="shared" si="137"/>
        <v>0</v>
      </c>
      <c r="T2787" s="104">
        <f t="shared" si="138"/>
        <v>0</v>
      </c>
    </row>
    <row r="2788" spans="1:20">
      <c r="A2788" s="101"/>
      <c r="B2788" s="101"/>
      <c r="C2788" s="101"/>
      <c r="D2788" s="101"/>
      <c r="E2788" s="101"/>
      <c r="F2788" s="102"/>
      <c r="G2788" s="101"/>
      <c r="H2788" s="102"/>
      <c r="I2788" s="101"/>
      <c r="J2788" s="101"/>
      <c r="K2788" s="103"/>
      <c r="L2788" s="103"/>
      <c r="M2788" s="103"/>
      <c r="N2788" s="103"/>
      <c r="O2788" s="103"/>
      <c r="P2788" s="98"/>
      <c r="Q2788" s="99"/>
      <c r="R2788" s="104">
        <f t="shared" si="136"/>
        <v>0</v>
      </c>
      <c r="S2788" s="104">
        <f t="shared" si="137"/>
        <v>0</v>
      </c>
      <c r="T2788" s="104">
        <f t="shared" si="138"/>
        <v>0</v>
      </c>
    </row>
    <row r="2789" spans="1:20">
      <c r="A2789" s="101"/>
      <c r="B2789" s="101"/>
      <c r="C2789" s="101"/>
      <c r="D2789" s="101"/>
      <c r="E2789" s="101"/>
      <c r="F2789" s="102"/>
      <c r="G2789" s="101"/>
      <c r="H2789" s="102"/>
      <c r="I2789" s="101"/>
      <c r="J2789" s="101"/>
      <c r="K2789" s="103"/>
      <c r="L2789" s="103"/>
      <c r="M2789" s="103"/>
      <c r="N2789" s="103"/>
      <c r="O2789" s="103"/>
      <c r="P2789" s="98"/>
      <c r="Q2789" s="99"/>
      <c r="R2789" s="104">
        <f t="shared" si="136"/>
        <v>0</v>
      </c>
      <c r="S2789" s="104">
        <f t="shared" si="137"/>
        <v>0</v>
      </c>
      <c r="T2789" s="104">
        <f t="shared" si="138"/>
        <v>0</v>
      </c>
    </row>
    <row r="2790" spans="1:20">
      <c r="A2790" s="101"/>
      <c r="B2790" s="101"/>
      <c r="C2790" s="101"/>
      <c r="D2790" s="101"/>
      <c r="E2790" s="101"/>
      <c r="F2790" s="102"/>
      <c r="G2790" s="101"/>
      <c r="H2790" s="102"/>
      <c r="I2790" s="101"/>
      <c r="J2790" s="101"/>
      <c r="K2790" s="103"/>
      <c r="L2790" s="103"/>
      <c r="M2790" s="103"/>
      <c r="N2790" s="103"/>
      <c r="O2790" s="103"/>
      <c r="P2790" s="98"/>
      <c r="Q2790" s="99"/>
      <c r="R2790" s="104">
        <f t="shared" si="136"/>
        <v>0</v>
      </c>
      <c r="S2790" s="104">
        <f t="shared" si="137"/>
        <v>0</v>
      </c>
      <c r="T2790" s="104">
        <f t="shared" si="138"/>
        <v>0</v>
      </c>
    </row>
    <row r="2791" spans="1:20">
      <c r="A2791" s="101"/>
      <c r="B2791" s="101"/>
      <c r="C2791" s="101"/>
      <c r="D2791" s="101"/>
      <c r="E2791" s="101"/>
      <c r="F2791" s="102"/>
      <c r="G2791" s="101"/>
      <c r="H2791" s="102"/>
      <c r="I2791" s="101"/>
      <c r="J2791" s="101"/>
      <c r="K2791" s="103"/>
      <c r="L2791" s="103"/>
      <c r="M2791" s="103"/>
      <c r="N2791" s="103"/>
      <c r="O2791" s="103"/>
      <c r="P2791" s="98"/>
      <c r="Q2791" s="99"/>
      <c r="R2791" s="104">
        <f t="shared" si="136"/>
        <v>0</v>
      </c>
      <c r="S2791" s="104">
        <f t="shared" si="137"/>
        <v>0</v>
      </c>
      <c r="T2791" s="104">
        <f t="shared" si="138"/>
        <v>0</v>
      </c>
    </row>
    <row r="2792" spans="1:20">
      <c r="A2792" s="101"/>
      <c r="B2792" s="101"/>
      <c r="C2792" s="101"/>
      <c r="D2792" s="101"/>
      <c r="E2792" s="101"/>
      <c r="F2792" s="102"/>
      <c r="G2792" s="101"/>
      <c r="H2792" s="102"/>
      <c r="I2792" s="101"/>
      <c r="J2792" s="101"/>
      <c r="K2792" s="103"/>
      <c r="L2792" s="103"/>
      <c r="M2792" s="103"/>
      <c r="N2792" s="103"/>
      <c r="O2792" s="103"/>
      <c r="P2792" s="98"/>
      <c r="Q2792" s="99"/>
      <c r="R2792" s="104">
        <f t="shared" si="136"/>
        <v>0</v>
      </c>
      <c r="S2792" s="104">
        <f t="shared" si="137"/>
        <v>0</v>
      </c>
      <c r="T2792" s="104">
        <f t="shared" si="138"/>
        <v>0</v>
      </c>
    </row>
    <row r="2793" spans="1:20">
      <c r="A2793" s="101"/>
      <c r="B2793" s="101"/>
      <c r="C2793" s="101"/>
      <c r="D2793" s="101"/>
      <c r="E2793" s="101"/>
      <c r="F2793" s="102"/>
      <c r="G2793" s="101"/>
      <c r="H2793" s="102"/>
      <c r="I2793" s="101"/>
      <c r="J2793" s="101"/>
      <c r="K2793" s="103"/>
      <c r="L2793" s="103"/>
      <c r="M2793" s="103"/>
      <c r="N2793" s="103"/>
      <c r="O2793" s="103"/>
      <c r="P2793" s="98"/>
      <c r="Q2793" s="99"/>
      <c r="R2793" s="104">
        <f t="shared" si="136"/>
        <v>0</v>
      </c>
      <c r="S2793" s="104">
        <f t="shared" si="137"/>
        <v>0</v>
      </c>
      <c r="T2793" s="104">
        <f t="shared" si="138"/>
        <v>0</v>
      </c>
    </row>
    <row r="2794" spans="1:20">
      <c r="A2794" s="101"/>
      <c r="B2794" s="101"/>
      <c r="C2794" s="101"/>
      <c r="D2794" s="101"/>
      <c r="E2794" s="101"/>
      <c r="F2794" s="102"/>
      <c r="G2794" s="101"/>
      <c r="H2794" s="102"/>
      <c r="I2794" s="101"/>
      <c r="J2794" s="101"/>
      <c r="K2794" s="103"/>
      <c r="L2794" s="103"/>
      <c r="M2794" s="103"/>
      <c r="N2794" s="103"/>
      <c r="O2794" s="103"/>
      <c r="P2794" s="98"/>
      <c r="Q2794" s="99"/>
      <c r="R2794" s="104">
        <f t="shared" si="136"/>
        <v>0</v>
      </c>
      <c r="S2794" s="104">
        <f t="shared" si="137"/>
        <v>0</v>
      </c>
      <c r="T2794" s="104">
        <f t="shared" si="138"/>
        <v>0</v>
      </c>
    </row>
    <row r="2795" spans="1:20">
      <c r="A2795" s="101"/>
      <c r="B2795" s="101"/>
      <c r="C2795" s="101"/>
      <c r="D2795" s="101"/>
      <c r="E2795" s="101"/>
      <c r="F2795" s="102"/>
      <c r="G2795" s="101"/>
      <c r="H2795" s="102"/>
      <c r="I2795" s="101"/>
      <c r="J2795" s="101"/>
      <c r="K2795" s="103"/>
      <c r="L2795" s="103"/>
      <c r="M2795" s="103"/>
      <c r="N2795" s="103"/>
      <c r="O2795" s="103"/>
      <c r="P2795" s="98"/>
      <c r="Q2795" s="99"/>
      <c r="R2795" s="104">
        <f t="shared" si="136"/>
        <v>0</v>
      </c>
      <c r="S2795" s="104">
        <f t="shared" si="137"/>
        <v>0</v>
      </c>
      <c r="T2795" s="104">
        <f t="shared" si="138"/>
        <v>0</v>
      </c>
    </row>
    <row r="2796" spans="1:20">
      <c r="A2796" s="101"/>
      <c r="B2796" s="101"/>
      <c r="C2796" s="101"/>
      <c r="D2796" s="101"/>
      <c r="E2796" s="101"/>
      <c r="F2796" s="102"/>
      <c r="G2796" s="101"/>
      <c r="H2796" s="102"/>
      <c r="I2796" s="101"/>
      <c r="J2796" s="101"/>
      <c r="K2796" s="103"/>
      <c r="L2796" s="103"/>
      <c r="M2796" s="103"/>
      <c r="N2796" s="103"/>
      <c r="O2796" s="103"/>
      <c r="P2796" s="98"/>
      <c r="Q2796" s="99"/>
      <c r="R2796" s="104">
        <f t="shared" si="136"/>
        <v>0</v>
      </c>
      <c r="S2796" s="104">
        <f t="shared" si="137"/>
        <v>0</v>
      </c>
      <c r="T2796" s="104">
        <f t="shared" si="138"/>
        <v>0</v>
      </c>
    </row>
    <row r="2797" spans="1:20">
      <c r="A2797" s="101"/>
      <c r="B2797" s="101"/>
      <c r="C2797" s="101"/>
      <c r="D2797" s="101"/>
      <c r="E2797" s="101"/>
      <c r="F2797" s="102"/>
      <c r="G2797" s="101"/>
      <c r="H2797" s="102"/>
      <c r="I2797" s="101"/>
      <c r="J2797" s="101"/>
      <c r="K2797" s="103"/>
      <c r="L2797" s="103"/>
      <c r="M2797" s="103"/>
      <c r="N2797" s="103"/>
      <c r="O2797" s="103"/>
      <c r="P2797" s="98"/>
      <c r="Q2797" s="99"/>
      <c r="R2797" s="104">
        <f t="shared" si="136"/>
        <v>0</v>
      </c>
      <c r="S2797" s="104">
        <f t="shared" si="137"/>
        <v>0</v>
      </c>
      <c r="T2797" s="104">
        <f t="shared" si="138"/>
        <v>0</v>
      </c>
    </row>
    <row r="2798" spans="1:20">
      <c r="A2798" s="101"/>
      <c r="B2798" s="101"/>
      <c r="C2798" s="101"/>
      <c r="D2798" s="101"/>
      <c r="E2798" s="101"/>
      <c r="F2798" s="102"/>
      <c r="G2798" s="101"/>
      <c r="H2798" s="102"/>
      <c r="I2798" s="101"/>
      <c r="J2798" s="101"/>
      <c r="K2798" s="103"/>
      <c r="L2798" s="103"/>
      <c r="M2798" s="103"/>
      <c r="N2798" s="103"/>
      <c r="O2798" s="103"/>
      <c r="P2798" s="98"/>
      <c r="Q2798" s="99"/>
      <c r="R2798" s="104">
        <f t="shared" si="136"/>
        <v>0</v>
      </c>
      <c r="S2798" s="104">
        <f t="shared" si="137"/>
        <v>0</v>
      </c>
      <c r="T2798" s="104">
        <f t="shared" si="138"/>
        <v>0</v>
      </c>
    </row>
    <row r="2799" spans="1:20">
      <c r="A2799" s="101"/>
      <c r="B2799" s="101"/>
      <c r="C2799" s="101"/>
      <c r="D2799" s="101"/>
      <c r="E2799" s="101"/>
      <c r="F2799" s="102"/>
      <c r="G2799" s="101"/>
      <c r="H2799" s="102"/>
      <c r="I2799" s="101"/>
      <c r="J2799" s="101"/>
      <c r="K2799" s="103"/>
      <c r="L2799" s="103"/>
      <c r="M2799" s="103"/>
      <c r="N2799" s="103"/>
      <c r="O2799" s="103"/>
      <c r="P2799" s="98"/>
      <c r="Q2799" s="99"/>
      <c r="R2799" s="104">
        <f t="shared" si="136"/>
        <v>0</v>
      </c>
      <c r="S2799" s="104">
        <f t="shared" si="137"/>
        <v>0</v>
      </c>
      <c r="T2799" s="104">
        <f t="shared" si="138"/>
        <v>0</v>
      </c>
    </row>
    <row r="2800" spans="1:20">
      <c r="A2800" s="101"/>
      <c r="B2800" s="101"/>
      <c r="C2800" s="101"/>
      <c r="D2800" s="101"/>
      <c r="E2800" s="101"/>
      <c r="F2800" s="102"/>
      <c r="G2800" s="101"/>
      <c r="H2800" s="102"/>
      <c r="I2800" s="101"/>
      <c r="J2800" s="101"/>
      <c r="K2800" s="103"/>
      <c r="L2800" s="103"/>
      <c r="M2800" s="103"/>
      <c r="N2800" s="103"/>
      <c r="O2800" s="103"/>
      <c r="P2800" s="98"/>
      <c r="Q2800" s="99"/>
      <c r="R2800" s="104">
        <f t="shared" si="136"/>
        <v>0</v>
      </c>
      <c r="S2800" s="104">
        <f t="shared" si="137"/>
        <v>0</v>
      </c>
      <c r="T2800" s="104">
        <f t="shared" si="138"/>
        <v>0</v>
      </c>
    </row>
    <row r="2801" spans="1:20">
      <c r="A2801" s="101"/>
      <c r="B2801" s="101"/>
      <c r="C2801" s="101"/>
      <c r="D2801" s="101"/>
      <c r="E2801" s="101"/>
      <c r="F2801" s="102"/>
      <c r="G2801" s="101"/>
      <c r="H2801" s="102"/>
      <c r="I2801" s="101"/>
      <c r="J2801" s="101"/>
      <c r="K2801" s="103"/>
      <c r="L2801" s="103"/>
      <c r="M2801" s="103"/>
      <c r="N2801" s="103"/>
      <c r="O2801" s="103"/>
      <c r="P2801" s="98"/>
      <c r="Q2801" s="99"/>
      <c r="R2801" s="104">
        <f t="shared" si="136"/>
        <v>0</v>
      </c>
      <c r="S2801" s="104">
        <f t="shared" si="137"/>
        <v>0</v>
      </c>
      <c r="T2801" s="104">
        <f t="shared" si="138"/>
        <v>0</v>
      </c>
    </row>
    <row r="2802" spans="1:20">
      <c r="A2802" s="101"/>
      <c r="B2802" s="101"/>
      <c r="C2802" s="101"/>
      <c r="D2802" s="101"/>
      <c r="E2802" s="101"/>
      <c r="F2802" s="102"/>
      <c r="G2802" s="101"/>
      <c r="H2802" s="102"/>
      <c r="I2802" s="101"/>
      <c r="J2802" s="101"/>
      <c r="K2802" s="103"/>
      <c r="L2802" s="103"/>
      <c r="M2802" s="103"/>
      <c r="N2802" s="103"/>
      <c r="O2802" s="103"/>
      <c r="P2802" s="98"/>
      <c r="Q2802" s="99"/>
      <c r="R2802" s="104">
        <f t="shared" si="136"/>
        <v>0</v>
      </c>
      <c r="S2802" s="104">
        <f t="shared" si="137"/>
        <v>0</v>
      </c>
      <c r="T2802" s="104">
        <f t="shared" si="138"/>
        <v>0</v>
      </c>
    </row>
    <row r="2803" spans="1:20">
      <c r="A2803" s="101"/>
      <c r="B2803" s="101"/>
      <c r="C2803" s="101"/>
      <c r="D2803" s="101"/>
      <c r="E2803" s="101"/>
      <c r="F2803" s="102"/>
      <c r="G2803" s="101"/>
      <c r="H2803" s="102"/>
      <c r="I2803" s="101"/>
      <c r="J2803" s="101"/>
      <c r="K2803" s="103"/>
      <c r="L2803" s="103"/>
      <c r="M2803" s="103"/>
      <c r="N2803" s="103"/>
      <c r="O2803" s="103"/>
      <c r="P2803" s="98"/>
      <c r="Q2803" s="99"/>
      <c r="R2803" s="104">
        <f t="shared" si="136"/>
        <v>0</v>
      </c>
      <c r="S2803" s="104">
        <f t="shared" si="137"/>
        <v>0</v>
      </c>
      <c r="T2803" s="104">
        <f t="shared" si="138"/>
        <v>0</v>
      </c>
    </row>
    <row r="2804" spans="1:20">
      <c r="A2804" s="101"/>
      <c r="B2804" s="101"/>
      <c r="C2804" s="101"/>
      <c r="D2804" s="101"/>
      <c r="E2804" s="101"/>
      <c r="F2804" s="102"/>
      <c r="G2804" s="101"/>
      <c r="H2804" s="102"/>
      <c r="I2804" s="101"/>
      <c r="J2804" s="101"/>
      <c r="K2804" s="103"/>
      <c r="L2804" s="103"/>
      <c r="M2804" s="103"/>
      <c r="N2804" s="103"/>
      <c r="O2804" s="103"/>
      <c r="P2804" s="98"/>
      <c r="Q2804" s="99"/>
      <c r="R2804" s="104">
        <f t="shared" si="136"/>
        <v>0</v>
      </c>
      <c r="S2804" s="104">
        <f t="shared" si="137"/>
        <v>0</v>
      </c>
      <c r="T2804" s="104">
        <f t="shared" si="138"/>
        <v>0</v>
      </c>
    </row>
    <row r="2805" spans="1:20">
      <c r="A2805" s="101"/>
      <c r="B2805" s="101"/>
      <c r="C2805" s="101"/>
      <c r="D2805" s="101"/>
      <c r="E2805" s="101"/>
      <c r="F2805" s="102"/>
      <c r="G2805" s="101"/>
      <c r="H2805" s="102"/>
      <c r="I2805" s="101"/>
      <c r="J2805" s="101"/>
      <c r="K2805" s="103"/>
      <c r="L2805" s="103"/>
      <c r="M2805" s="103"/>
      <c r="N2805" s="103"/>
      <c r="O2805" s="103"/>
      <c r="P2805" s="98"/>
      <c r="Q2805" s="99"/>
      <c r="R2805" s="104">
        <f t="shared" si="136"/>
        <v>0</v>
      </c>
      <c r="S2805" s="104">
        <f t="shared" si="137"/>
        <v>0</v>
      </c>
      <c r="T2805" s="104">
        <f t="shared" si="138"/>
        <v>0</v>
      </c>
    </row>
    <row r="2806" spans="1:20">
      <c r="A2806" s="101"/>
      <c r="B2806" s="101"/>
      <c r="C2806" s="101"/>
      <c r="D2806" s="101"/>
      <c r="E2806" s="101"/>
      <c r="F2806" s="102"/>
      <c r="G2806" s="101"/>
      <c r="H2806" s="102"/>
      <c r="I2806" s="101"/>
      <c r="J2806" s="101"/>
      <c r="K2806" s="103"/>
      <c r="L2806" s="103"/>
      <c r="M2806" s="103"/>
      <c r="N2806" s="103"/>
      <c r="O2806" s="103"/>
      <c r="P2806" s="98"/>
      <c r="Q2806" s="99"/>
      <c r="R2806" s="104">
        <f t="shared" si="136"/>
        <v>0</v>
      </c>
      <c r="S2806" s="104">
        <f t="shared" si="137"/>
        <v>0</v>
      </c>
      <c r="T2806" s="104">
        <f t="shared" si="138"/>
        <v>0</v>
      </c>
    </row>
    <row r="2807" spans="1:20">
      <c r="A2807" s="101"/>
      <c r="B2807" s="101"/>
      <c r="C2807" s="101"/>
      <c r="D2807" s="101"/>
      <c r="E2807" s="101"/>
      <c r="F2807" s="102"/>
      <c r="G2807" s="101"/>
      <c r="H2807" s="102"/>
      <c r="I2807" s="101"/>
      <c r="J2807" s="101"/>
      <c r="K2807" s="103"/>
      <c r="L2807" s="103"/>
      <c r="M2807" s="103"/>
      <c r="N2807" s="103"/>
      <c r="O2807" s="103"/>
      <c r="P2807" s="98"/>
      <c r="Q2807" s="99"/>
      <c r="R2807" s="104">
        <f t="shared" si="136"/>
        <v>0</v>
      </c>
      <c r="S2807" s="104">
        <f t="shared" si="137"/>
        <v>0</v>
      </c>
      <c r="T2807" s="104">
        <f t="shared" si="138"/>
        <v>0</v>
      </c>
    </row>
    <row r="2808" spans="1:20">
      <c r="A2808" s="101"/>
      <c r="B2808" s="101"/>
      <c r="C2808" s="101"/>
      <c r="D2808" s="101"/>
      <c r="E2808" s="101"/>
      <c r="F2808" s="102"/>
      <c r="G2808" s="101"/>
      <c r="H2808" s="102"/>
      <c r="I2808" s="101"/>
      <c r="J2808" s="101"/>
      <c r="K2808" s="103"/>
      <c r="L2808" s="103"/>
      <c r="M2808" s="103"/>
      <c r="N2808" s="103"/>
      <c r="O2808" s="103"/>
      <c r="P2808" s="98"/>
      <c r="Q2808" s="99"/>
      <c r="R2808" s="104">
        <f t="shared" si="136"/>
        <v>0</v>
      </c>
      <c r="S2808" s="104">
        <f t="shared" si="137"/>
        <v>0</v>
      </c>
      <c r="T2808" s="104">
        <f t="shared" si="138"/>
        <v>0</v>
      </c>
    </row>
    <row r="2809" spans="1:20">
      <c r="A2809" s="101"/>
      <c r="B2809" s="101"/>
      <c r="C2809" s="101"/>
      <c r="D2809" s="101"/>
      <c r="E2809" s="101"/>
      <c r="F2809" s="102"/>
      <c r="G2809" s="101"/>
      <c r="H2809" s="102"/>
      <c r="I2809" s="101"/>
      <c r="J2809" s="101"/>
      <c r="K2809" s="103"/>
      <c r="L2809" s="103"/>
      <c r="M2809" s="103"/>
      <c r="N2809" s="103"/>
      <c r="O2809" s="103"/>
      <c r="P2809" s="98"/>
      <c r="Q2809" s="99"/>
      <c r="R2809" s="104">
        <f t="shared" si="136"/>
        <v>0</v>
      </c>
      <c r="S2809" s="104">
        <f t="shared" si="137"/>
        <v>0</v>
      </c>
      <c r="T2809" s="104">
        <f t="shared" si="138"/>
        <v>0</v>
      </c>
    </row>
    <row r="2810" spans="1:20">
      <c r="A2810" s="101"/>
      <c r="B2810" s="101"/>
      <c r="C2810" s="101"/>
      <c r="D2810" s="101"/>
      <c r="E2810" s="101"/>
      <c r="F2810" s="102"/>
      <c r="G2810" s="101"/>
      <c r="H2810" s="102"/>
      <c r="I2810" s="101"/>
      <c r="J2810" s="101"/>
      <c r="K2810" s="103"/>
      <c r="L2810" s="103"/>
      <c r="M2810" s="103"/>
      <c r="N2810" s="103"/>
      <c r="O2810" s="103"/>
      <c r="P2810" s="98"/>
      <c r="Q2810" s="99"/>
      <c r="R2810" s="104">
        <f t="shared" si="136"/>
        <v>0</v>
      </c>
      <c r="S2810" s="104">
        <f t="shared" si="137"/>
        <v>0</v>
      </c>
      <c r="T2810" s="104">
        <f t="shared" si="138"/>
        <v>0</v>
      </c>
    </row>
    <row r="2811" spans="1:20">
      <c r="A2811" s="101"/>
      <c r="B2811" s="101"/>
      <c r="C2811" s="101"/>
      <c r="D2811" s="101"/>
      <c r="E2811" s="101"/>
      <c r="F2811" s="102"/>
      <c r="G2811" s="101"/>
      <c r="H2811" s="102"/>
      <c r="I2811" s="101"/>
      <c r="J2811" s="101"/>
      <c r="K2811" s="103"/>
      <c r="L2811" s="103"/>
      <c r="M2811" s="103"/>
      <c r="N2811" s="103"/>
      <c r="O2811" s="103"/>
      <c r="P2811" s="98"/>
      <c r="Q2811" s="99"/>
      <c r="R2811" s="104">
        <f t="shared" si="136"/>
        <v>0</v>
      </c>
      <c r="S2811" s="104">
        <f t="shared" si="137"/>
        <v>0</v>
      </c>
      <c r="T2811" s="104">
        <f t="shared" si="138"/>
        <v>0</v>
      </c>
    </row>
    <row r="2812" spans="1:20">
      <c r="A2812" s="101"/>
      <c r="B2812" s="101"/>
      <c r="C2812" s="101"/>
      <c r="D2812" s="101"/>
      <c r="E2812" s="101"/>
      <c r="F2812" s="102"/>
      <c r="G2812" s="101"/>
      <c r="H2812" s="102"/>
      <c r="I2812" s="101"/>
      <c r="J2812" s="101"/>
      <c r="K2812" s="103"/>
      <c r="L2812" s="103"/>
      <c r="M2812" s="103"/>
      <c r="N2812" s="103"/>
      <c r="O2812" s="103"/>
      <c r="P2812" s="98"/>
      <c r="Q2812" s="99"/>
      <c r="R2812" s="104">
        <f t="shared" si="136"/>
        <v>0</v>
      </c>
      <c r="S2812" s="104">
        <f t="shared" si="137"/>
        <v>0</v>
      </c>
      <c r="T2812" s="104">
        <f t="shared" si="138"/>
        <v>0</v>
      </c>
    </row>
    <row r="2813" spans="1:20">
      <c r="A2813" s="101"/>
      <c r="B2813" s="101"/>
      <c r="C2813" s="101"/>
      <c r="D2813" s="101"/>
      <c r="E2813" s="101"/>
      <c r="F2813" s="102"/>
      <c r="G2813" s="101"/>
      <c r="H2813" s="102"/>
      <c r="I2813" s="101"/>
      <c r="J2813" s="101"/>
      <c r="K2813" s="103"/>
      <c r="L2813" s="103"/>
      <c r="M2813" s="103"/>
      <c r="N2813" s="103"/>
      <c r="O2813" s="103"/>
      <c r="P2813" s="98"/>
      <c r="Q2813" s="99"/>
      <c r="R2813" s="104">
        <f t="shared" si="136"/>
        <v>0</v>
      </c>
      <c r="S2813" s="104">
        <f t="shared" si="137"/>
        <v>0</v>
      </c>
      <c r="T2813" s="104">
        <f t="shared" si="138"/>
        <v>0</v>
      </c>
    </row>
    <row r="2814" spans="1:20">
      <c r="A2814" s="101"/>
      <c r="B2814" s="101"/>
      <c r="C2814" s="101"/>
      <c r="D2814" s="101"/>
      <c r="E2814" s="101"/>
      <c r="F2814" s="102"/>
      <c r="G2814" s="101"/>
      <c r="H2814" s="102"/>
      <c r="I2814" s="101"/>
      <c r="J2814" s="101"/>
      <c r="K2814" s="103"/>
      <c r="L2814" s="103"/>
      <c r="M2814" s="103"/>
      <c r="N2814" s="103"/>
      <c r="O2814" s="103"/>
      <c r="P2814" s="98"/>
      <c r="Q2814" s="99"/>
      <c r="R2814" s="104">
        <f t="shared" si="136"/>
        <v>0</v>
      </c>
      <c r="S2814" s="104">
        <f t="shared" si="137"/>
        <v>0</v>
      </c>
      <c r="T2814" s="104">
        <f t="shared" si="138"/>
        <v>0</v>
      </c>
    </row>
    <row r="2815" spans="1:20">
      <c r="A2815" s="101"/>
      <c r="B2815" s="101"/>
      <c r="C2815" s="101"/>
      <c r="D2815" s="101"/>
      <c r="E2815" s="101"/>
      <c r="F2815" s="102"/>
      <c r="G2815" s="101"/>
      <c r="H2815" s="102"/>
      <c r="I2815" s="101"/>
      <c r="J2815" s="101"/>
      <c r="K2815" s="103"/>
      <c r="L2815" s="103"/>
      <c r="M2815" s="103"/>
      <c r="N2815" s="103"/>
      <c r="O2815" s="103"/>
      <c r="P2815" s="98"/>
      <c r="Q2815" s="99"/>
      <c r="R2815" s="104">
        <f t="shared" si="136"/>
        <v>0</v>
      </c>
      <c r="S2815" s="104">
        <f t="shared" si="137"/>
        <v>0</v>
      </c>
      <c r="T2815" s="104">
        <f t="shared" si="138"/>
        <v>0</v>
      </c>
    </row>
    <row r="2816" spans="1:20">
      <c r="A2816" s="101"/>
      <c r="B2816" s="101"/>
      <c r="C2816" s="101"/>
      <c r="D2816" s="101"/>
      <c r="E2816" s="101"/>
      <c r="F2816" s="102"/>
      <c r="G2816" s="101"/>
      <c r="H2816" s="102"/>
      <c r="I2816" s="101"/>
      <c r="J2816" s="101"/>
      <c r="K2816" s="103"/>
      <c r="L2816" s="103"/>
      <c r="M2816" s="103"/>
      <c r="N2816" s="103"/>
      <c r="O2816" s="103"/>
      <c r="P2816" s="98"/>
      <c r="Q2816" s="99"/>
      <c r="R2816" s="104">
        <f t="shared" si="136"/>
        <v>0</v>
      </c>
      <c r="S2816" s="104">
        <f t="shared" si="137"/>
        <v>0</v>
      </c>
      <c r="T2816" s="104">
        <f t="shared" si="138"/>
        <v>0</v>
      </c>
    </row>
    <row r="2817" spans="1:20">
      <c r="A2817" s="101"/>
      <c r="B2817" s="101"/>
      <c r="C2817" s="101"/>
      <c r="D2817" s="101"/>
      <c r="E2817" s="101"/>
      <c r="F2817" s="102"/>
      <c r="G2817" s="101"/>
      <c r="H2817" s="102"/>
      <c r="I2817" s="101"/>
      <c r="J2817" s="101"/>
      <c r="K2817" s="103"/>
      <c r="L2817" s="103"/>
      <c r="M2817" s="103"/>
      <c r="N2817" s="103"/>
      <c r="O2817" s="103"/>
      <c r="P2817" s="98"/>
      <c r="Q2817" s="99"/>
      <c r="R2817" s="104">
        <f t="shared" si="136"/>
        <v>0</v>
      </c>
      <c r="S2817" s="104">
        <f t="shared" si="137"/>
        <v>0</v>
      </c>
      <c r="T2817" s="104">
        <f t="shared" si="138"/>
        <v>0</v>
      </c>
    </row>
    <row r="2818" spans="1:20">
      <c r="A2818" s="101"/>
      <c r="B2818" s="101"/>
      <c r="C2818" s="101"/>
      <c r="D2818" s="101"/>
      <c r="E2818" s="101"/>
      <c r="F2818" s="102"/>
      <c r="G2818" s="101"/>
      <c r="H2818" s="102"/>
      <c r="I2818" s="101"/>
      <c r="J2818" s="101"/>
      <c r="K2818" s="103"/>
      <c r="L2818" s="103"/>
      <c r="M2818" s="103"/>
      <c r="N2818" s="103"/>
      <c r="O2818" s="103"/>
      <c r="P2818" s="98"/>
      <c r="Q2818" s="99"/>
      <c r="R2818" s="104">
        <f t="shared" si="136"/>
        <v>0</v>
      </c>
      <c r="S2818" s="104">
        <f t="shared" si="137"/>
        <v>0</v>
      </c>
      <c r="T2818" s="104">
        <f t="shared" si="138"/>
        <v>0</v>
      </c>
    </row>
    <row r="2819" spans="1:20">
      <c r="A2819" s="101"/>
      <c r="B2819" s="101"/>
      <c r="C2819" s="101"/>
      <c r="D2819" s="101"/>
      <c r="E2819" s="101"/>
      <c r="F2819" s="102"/>
      <c r="G2819" s="101"/>
      <c r="H2819" s="102"/>
      <c r="I2819" s="101"/>
      <c r="J2819" s="101"/>
      <c r="K2819" s="103"/>
      <c r="L2819" s="103"/>
      <c r="M2819" s="103"/>
      <c r="N2819" s="103"/>
      <c r="O2819" s="103"/>
      <c r="P2819" s="98"/>
      <c r="Q2819" s="99"/>
      <c r="R2819" s="104">
        <f t="shared" si="136"/>
        <v>0</v>
      </c>
      <c r="S2819" s="104">
        <f t="shared" si="137"/>
        <v>0</v>
      </c>
      <c r="T2819" s="104">
        <f t="shared" si="138"/>
        <v>0</v>
      </c>
    </row>
    <row r="2820" spans="1:20">
      <c r="A2820" s="101"/>
      <c r="B2820" s="101"/>
      <c r="C2820" s="101"/>
      <c r="D2820" s="101"/>
      <c r="E2820" s="101"/>
      <c r="F2820" s="102"/>
      <c r="G2820" s="101"/>
      <c r="H2820" s="102"/>
      <c r="I2820" s="101"/>
      <c r="J2820" s="101"/>
      <c r="K2820" s="103"/>
      <c r="L2820" s="103"/>
      <c r="M2820" s="103"/>
      <c r="N2820" s="103"/>
      <c r="O2820" s="103"/>
      <c r="P2820" s="98"/>
      <c r="Q2820" s="99"/>
      <c r="R2820" s="104">
        <f t="shared" si="136"/>
        <v>0</v>
      </c>
      <c r="S2820" s="104">
        <f t="shared" si="137"/>
        <v>0</v>
      </c>
      <c r="T2820" s="104">
        <f t="shared" si="138"/>
        <v>0</v>
      </c>
    </row>
    <row r="2821" spans="1:20">
      <c r="A2821" s="101"/>
      <c r="B2821" s="101"/>
      <c r="C2821" s="101"/>
      <c r="D2821" s="101"/>
      <c r="E2821" s="101"/>
      <c r="F2821" s="102"/>
      <c r="G2821" s="101"/>
      <c r="H2821" s="102"/>
      <c r="I2821" s="101"/>
      <c r="J2821" s="101"/>
      <c r="K2821" s="103"/>
      <c r="L2821" s="103"/>
      <c r="M2821" s="103"/>
      <c r="N2821" s="103"/>
      <c r="O2821" s="103"/>
      <c r="P2821" s="98"/>
      <c r="Q2821" s="99"/>
      <c r="R2821" s="104">
        <f t="shared" si="136"/>
        <v>0</v>
      </c>
      <c r="S2821" s="104">
        <f t="shared" si="137"/>
        <v>0</v>
      </c>
      <c r="T2821" s="104">
        <f t="shared" si="138"/>
        <v>0</v>
      </c>
    </row>
    <row r="2822" spans="1:20">
      <c r="A2822" s="101"/>
      <c r="B2822" s="101"/>
      <c r="C2822" s="101"/>
      <c r="D2822" s="101"/>
      <c r="E2822" s="101"/>
      <c r="F2822" s="102"/>
      <c r="G2822" s="101"/>
      <c r="H2822" s="102"/>
      <c r="I2822" s="101"/>
      <c r="J2822" s="101"/>
      <c r="K2822" s="103"/>
      <c r="L2822" s="103"/>
      <c r="M2822" s="103"/>
      <c r="N2822" s="103"/>
      <c r="O2822" s="103"/>
      <c r="P2822" s="98"/>
      <c r="Q2822" s="99"/>
      <c r="R2822" s="104">
        <f t="shared" si="136"/>
        <v>0</v>
      </c>
      <c r="S2822" s="104">
        <f t="shared" si="137"/>
        <v>0</v>
      </c>
      <c r="T2822" s="104">
        <f t="shared" si="138"/>
        <v>0</v>
      </c>
    </row>
    <row r="2823" spans="1:20">
      <c r="A2823" s="101"/>
      <c r="B2823" s="101"/>
      <c r="C2823" s="101"/>
      <c r="D2823" s="101"/>
      <c r="E2823" s="101"/>
      <c r="F2823" s="102"/>
      <c r="G2823" s="101"/>
      <c r="H2823" s="102"/>
      <c r="I2823" s="101"/>
      <c r="J2823" s="101"/>
      <c r="K2823" s="103"/>
      <c r="L2823" s="103"/>
      <c r="M2823" s="103"/>
      <c r="N2823" s="103"/>
      <c r="O2823" s="103"/>
      <c r="P2823" s="98"/>
      <c r="Q2823" s="99"/>
      <c r="R2823" s="104">
        <f t="shared" si="136"/>
        <v>0</v>
      </c>
      <c r="S2823" s="104">
        <f t="shared" si="137"/>
        <v>0</v>
      </c>
      <c r="T2823" s="104">
        <f t="shared" si="138"/>
        <v>0</v>
      </c>
    </row>
    <row r="2824" spans="1:20">
      <c r="A2824" s="101"/>
      <c r="B2824" s="101"/>
      <c r="C2824" s="101"/>
      <c r="D2824" s="101"/>
      <c r="E2824" s="101"/>
      <c r="F2824" s="102"/>
      <c r="G2824" s="101"/>
      <c r="H2824" s="102"/>
      <c r="I2824" s="101"/>
      <c r="J2824" s="101"/>
      <c r="K2824" s="103"/>
      <c r="L2824" s="103"/>
      <c r="M2824" s="103"/>
      <c r="N2824" s="103"/>
      <c r="O2824" s="103"/>
      <c r="P2824" s="98"/>
      <c r="Q2824" s="99"/>
      <c r="R2824" s="104">
        <f t="shared" si="136"/>
        <v>0</v>
      </c>
      <c r="S2824" s="104">
        <f t="shared" si="137"/>
        <v>0</v>
      </c>
      <c r="T2824" s="104">
        <f t="shared" si="138"/>
        <v>0</v>
      </c>
    </row>
    <row r="2825" spans="1:20">
      <c r="A2825" s="101"/>
      <c r="B2825" s="101"/>
      <c r="C2825" s="101"/>
      <c r="D2825" s="101"/>
      <c r="E2825" s="101"/>
      <c r="F2825" s="102"/>
      <c r="G2825" s="101"/>
      <c r="H2825" s="102"/>
      <c r="I2825" s="101"/>
      <c r="J2825" s="101"/>
      <c r="K2825" s="103"/>
      <c r="L2825" s="103"/>
      <c r="M2825" s="103"/>
      <c r="N2825" s="103"/>
      <c r="O2825" s="103"/>
      <c r="P2825" s="98"/>
      <c r="Q2825" s="99"/>
      <c r="R2825" s="104">
        <f t="shared" si="136"/>
        <v>0</v>
      </c>
      <c r="S2825" s="104">
        <f t="shared" si="137"/>
        <v>0</v>
      </c>
      <c r="T2825" s="104">
        <f t="shared" si="138"/>
        <v>0</v>
      </c>
    </row>
    <row r="2826" spans="1:20">
      <c r="A2826" s="101"/>
      <c r="B2826" s="101"/>
      <c r="C2826" s="101"/>
      <c r="D2826" s="101"/>
      <c r="E2826" s="101"/>
      <c r="F2826" s="102"/>
      <c r="G2826" s="101"/>
      <c r="H2826" s="102"/>
      <c r="I2826" s="101"/>
      <c r="J2826" s="101"/>
      <c r="K2826" s="103"/>
      <c r="L2826" s="103"/>
      <c r="M2826" s="103"/>
      <c r="N2826" s="103"/>
      <c r="O2826" s="103"/>
      <c r="P2826" s="98"/>
      <c r="Q2826" s="99"/>
      <c r="R2826" s="104">
        <f t="shared" ref="R2826:R2889" si="139">IF(P2826="Cargo",K2826+L2826-M2826-N2826+O2826,0)</f>
        <v>0</v>
      </c>
      <c r="S2826" s="104">
        <f t="shared" ref="S2826:S2889" si="140">IF(P2826="Abono",K2826+L2826+M2826-N2826-O2826,0)</f>
        <v>0</v>
      </c>
      <c r="T2826" s="104">
        <f t="shared" ref="T2826:T2889" si="141">IF(Q2826="OK",+T2825+R2826-S2826,T2825)</f>
        <v>0</v>
      </c>
    </row>
    <row r="2827" spans="1:20">
      <c r="A2827" s="101"/>
      <c r="B2827" s="101"/>
      <c r="C2827" s="101"/>
      <c r="D2827" s="101"/>
      <c r="E2827" s="101"/>
      <c r="F2827" s="102"/>
      <c r="G2827" s="101"/>
      <c r="H2827" s="102"/>
      <c r="I2827" s="101"/>
      <c r="J2827" s="101"/>
      <c r="K2827" s="103"/>
      <c r="L2827" s="103"/>
      <c r="M2827" s="103"/>
      <c r="N2827" s="103"/>
      <c r="O2827" s="103"/>
      <c r="P2827" s="98"/>
      <c r="Q2827" s="99"/>
      <c r="R2827" s="104">
        <f t="shared" si="139"/>
        <v>0</v>
      </c>
      <c r="S2827" s="104">
        <f t="shared" si="140"/>
        <v>0</v>
      </c>
      <c r="T2827" s="104">
        <f t="shared" si="141"/>
        <v>0</v>
      </c>
    </row>
    <row r="2828" spans="1:20">
      <c r="A2828" s="101"/>
      <c r="B2828" s="101"/>
      <c r="C2828" s="101"/>
      <c r="D2828" s="101"/>
      <c r="E2828" s="101"/>
      <c r="F2828" s="102"/>
      <c r="G2828" s="101"/>
      <c r="H2828" s="102"/>
      <c r="I2828" s="101"/>
      <c r="J2828" s="101"/>
      <c r="K2828" s="103"/>
      <c r="L2828" s="103"/>
      <c r="M2828" s="103"/>
      <c r="N2828" s="103"/>
      <c r="O2828" s="103"/>
      <c r="P2828" s="98"/>
      <c r="Q2828" s="99"/>
      <c r="R2828" s="104">
        <f t="shared" si="139"/>
        <v>0</v>
      </c>
      <c r="S2828" s="104">
        <f t="shared" si="140"/>
        <v>0</v>
      </c>
      <c r="T2828" s="104">
        <f t="shared" si="141"/>
        <v>0</v>
      </c>
    </row>
    <row r="2829" spans="1:20">
      <c r="A2829" s="101"/>
      <c r="B2829" s="101"/>
      <c r="C2829" s="101"/>
      <c r="D2829" s="101"/>
      <c r="E2829" s="101"/>
      <c r="F2829" s="102"/>
      <c r="G2829" s="101"/>
      <c r="H2829" s="102"/>
      <c r="I2829" s="101"/>
      <c r="J2829" s="101"/>
      <c r="K2829" s="103"/>
      <c r="L2829" s="103"/>
      <c r="M2829" s="103"/>
      <c r="N2829" s="103"/>
      <c r="O2829" s="103"/>
      <c r="P2829" s="98"/>
      <c r="Q2829" s="99"/>
      <c r="R2829" s="104">
        <f t="shared" si="139"/>
        <v>0</v>
      </c>
      <c r="S2829" s="104">
        <f t="shared" si="140"/>
        <v>0</v>
      </c>
      <c r="T2829" s="104">
        <f t="shared" si="141"/>
        <v>0</v>
      </c>
    </row>
    <row r="2830" spans="1:20">
      <c r="A2830" s="101"/>
      <c r="B2830" s="101"/>
      <c r="C2830" s="101"/>
      <c r="D2830" s="101"/>
      <c r="E2830" s="101"/>
      <c r="F2830" s="102"/>
      <c r="G2830" s="101"/>
      <c r="H2830" s="102"/>
      <c r="I2830" s="101"/>
      <c r="J2830" s="101"/>
      <c r="K2830" s="103"/>
      <c r="L2830" s="103"/>
      <c r="M2830" s="103"/>
      <c r="N2830" s="103"/>
      <c r="O2830" s="103"/>
      <c r="P2830" s="98"/>
      <c r="Q2830" s="99"/>
      <c r="R2830" s="104">
        <f t="shared" si="139"/>
        <v>0</v>
      </c>
      <c r="S2830" s="104">
        <f t="shared" si="140"/>
        <v>0</v>
      </c>
      <c r="T2830" s="104">
        <f t="shared" si="141"/>
        <v>0</v>
      </c>
    </row>
    <row r="2831" spans="1:20">
      <c r="A2831" s="101"/>
      <c r="B2831" s="101"/>
      <c r="C2831" s="101"/>
      <c r="D2831" s="101"/>
      <c r="E2831" s="101"/>
      <c r="F2831" s="102"/>
      <c r="G2831" s="101"/>
      <c r="H2831" s="102"/>
      <c r="I2831" s="101"/>
      <c r="J2831" s="101"/>
      <c r="K2831" s="103"/>
      <c r="L2831" s="103"/>
      <c r="M2831" s="103"/>
      <c r="N2831" s="103"/>
      <c r="O2831" s="103"/>
      <c r="P2831" s="98"/>
      <c r="Q2831" s="99"/>
      <c r="R2831" s="104">
        <f t="shared" si="139"/>
        <v>0</v>
      </c>
      <c r="S2831" s="104">
        <f t="shared" si="140"/>
        <v>0</v>
      </c>
      <c r="T2831" s="104">
        <f t="shared" si="141"/>
        <v>0</v>
      </c>
    </row>
    <row r="2832" spans="1:20">
      <c r="A2832" s="101"/>
      <c r="B2832" s="101"/>
      <c r="C2832" s="101"/>
      <c r="D2832" s="101"/>
      <c r="E2832" s="101"/>
      <c r="F2832" s="102"/>
      <c r="G2832" s="101"/>
      <c r="H2832" s="102"/>
      <c r="I2832" s="101"/>
      <c r="J2832" s="101"/>
      <c r="K2832" s="103"/>
      <c r="L2832" s="103"/>
      <c r="M2832" s="103"/>
      <c r="N2832" s="103"/>
      <c r="O2832" s="103"/>
      <c r="P2832" s="98"/>
      <c r="Q2832" s="99"/>
      <c r="R2832" s="104">
        <f t="shared" si="139"/>
        <v>0</v>
      </c>
      <c r="S2832" s="104">
        <f t="shared" si="140"/>
        <v>0</v>
      </c>
      <c r="T2832" s="104">
        <f t="shared" si="141"/>
        <v>0</v>
      </c>
    </row>
    <row r="2833" spans="1:20">
      <c r="A2833" s="101"/>
      <c r="B2833" s="101"/>
      <c r="C2833" s="101"/>
      <c r="D2833" s="101"/>
      <c r="E2833" s="101"/>
      <c r="F2833" s="102"/>
      <c r="G2833" s="101"/>
      <c r="H2833" s="102"/>
      <c r="I2833" s="101"/>
      <c r="J2833" s="101"/>
      <c r="K2833" s="103"/>
      <c r="L2833" s="103"/>
      <c r="M2833" s="103"/>
      <c r="N2833" s="103"/>
      <c r="O2833" s="103"/>
      <c r="P2833" s="98"/>
      <c r="Q2833" s="99"/>
      <c r="R2833" s="104">
        <f t="shared" si="139"/>
        <v>0</v>
      </c>
      <c r="S2833" s="104">
        <f t="shared" si="140"/>
        <v>0</v>
      </c>
      <c r="T2833" s="104">
        <f t="shared" si="141"/>
        <v>0</v>
      </c>
    </row>
    <row r="2834" spans="1:20">
      <c r="A2834" s="101"/>
      <c r="B2834" s="101"/>
      <c r="C2834" s="101"/>
      <c r="D2834" s="101"/>
      <c r="E2834" s="101"/>
      <c r="F2834" s="102"/>
      <c r="G2834" s="101"/>
      <c r="H2834" s="102"/>
      <c r="I2834" s="101"/>
      <c r="J2834" s="101"/>
      <c r="K2834" s="103"/>
      <c r="L2834" s="103"/>
      <c r="M2834" s="103"/>
      <c r="N2834" s="103"/>
      <c r="O2834" s="103"/>
      <c r="P2834" s="98"/>
      <c r="Q2834" s="99"/>
      <c r="R2834" s="104">
        <f t="shared" si="139"/>
        <v>0</v>
      </c>
      <c r="S2834" s="104">
        <f t="shared" si="140"/>
        <v>0</v>
      </c>
      <c r="T2834" s="104">
        <f t="shared" si="141"/>
        <v>0</v>
      </c>
    </row>
    <row r="2835" spans="1:20">
      <c r="A2835" s="101"/>
      <c r="B2835" s="101"/>
      <c r="C2835" s="101"/>
      <c r="D2835" s="101"/>
      <c r="E2835" s="101"/>
      <c r="F2835" s="102"/>
      <c r="G2835" s="101"/>
      <c r="H2835" s="102"/>
      <c r="I2835" s="101"/>
      <c r="J2835" s="101"/>
      <c r="K2835" s="103"/>
      <c r="L2835" s="103"/>
      <c r="M2835" s="103"/>
      <c r="N2835" s="103"/>
      <c r="O2835" s="103"/>
      <c r="P2835" s="98"/>
      <c r="Q2835" s="99"/>
      <c r="R2835" s="104">
        <f t="shared" si="139"/>
        <v>0</v>
      </c>
      <c r="S2835" s="104">
        <f t="shared" si="140"/>
        <v>0</v>
      </c>
      <c r="T2835" s="104">
        <f t="shared" si="141"/>
        <v>0</v>
      </c>
    </row>
    <row r="2836" spans="1:20">
      <c r="A2836" s="101"/>
      <c r="B2836" s="101"/>
      <c r="C2836" s="101"/>
      <c r="D2836" s="101"/>
      <c r="E2836" s="101"/>
      <c r="F2836" s="102"/>
      <c r="G2836" s="101"/>
      <c r="H2836" s="102"/>
      <c r="I2836" s="101"/>
      <c r="J2836" s="101"/>
      <c r="K2836" s="103"/>
      <c r="L2836" s="103"/>
      <c r="M2836" s="103"/>
      <c r="N2836" s="103"/>
      <c r="O2836" s="103"/>
      <c r="P2836" s="98"/>
      <c r="Q2836" s="99"/>
      <c r="R2836" s="104">
        <f t="shared" si="139"/>
        <v>0</v>
      </c>
      <c r="S2836" s="104">
        <f t="shared" si="140"/>
        <v>0</v>
      </c>
      <c r="T2836" s="104">
        <f t="shared" si="141"/>
        <v>0</v>
      </c>
    </row>
    <row r="2837" spans="1:20">
      <c r="A2837" s="101"/>
      <c r="B2837" s="101"/>
      <c r="C2837" s="101"/>
      <c r="D2837" s="101"/>
      <c r="E2837" s="101"/>
      <c r="F2837" s="102"/>
      <c r="G2837" s="101"/>
      <c r="H2837" s="102"/>
      <c r="I2837" s="101"/>
      <c r="J2837" s="101"/>
      <c r="K2837" s="103"/>
      <c r="L2837" s="103"/>
      <c r="M2837" s="103"/>
      <c r="N2837" s="103"/>
      <c r="O2837" s="103"/>
      <c r="P2837" s="98"/>
      <c r="Q2837" s="99"/>
      <c r="R2837" s="104">
        <f t="shared" si="139"/>
        <v>0</v>
      </c>
      <c r="S2837" s="104">
        <f t="shared" si="140"/>
        <v>0</v>
      </c>
      <c r="T2837" s="104">
        <f t="shared" si="141"/>
        <v>0</v>
      </c>
    </row>
    <row r="2838" spans="1:20">
      <c r="A2838" s="101"/>
      <c r="B2838" s="101"/>
      <c r="C2838" s="101"/>
      <c r="D2838" s="101"/>
      <c r="E2838" s="101"/>
      <c r="F2838" s="102"/>
      <c r="G2838" s="101"/>
      <c r="H2838" s="102"/>
      <c r="I2838" s="101"/>
      <c r="J2838" s="101"/>
      <c r="K2838" s="103"/>
      <c r="L2838" s="103"/>
      <c r="M2838" s="103"/>
      <c r="N2838" s="103"/>
      <c r="O2838" s="103"/>
      <c r="P2838" s="98"/>
      <c r="Q2838" s="99"/>
      <c r="R2838" s="104">
        <f t="shared" si="139"/>
        <v>0</v>
      </c>
      <c r="S2838" s="104">
        <f t="shared" si="140"/>
        <v>0</v>
      </c>
      <c r="T2838" s="104">
        <f t="shared" si="141"/>
        <v>0</v>
      </c>
    </row>
    <row r="2839" spans="1:20">
      <c r="A2839" s="101"/>
      <c r="B2839" s="101"/>
      <c r="C2839" s="101"/>
      <c r="D2839" s="101"/>
      <c r="E2839" s="101"/>
      <c r="F2839" s="102"/>
      <c r="G2839" s="101"/>
      <c r="H2839" s="102"/>
      <c r="I2839" s="101"/>
      <c r="J2839" s="101"/>
      <c r="K2839" s="103"/>
      <c r="L2839" s="103"/>
      <c r="M2839" s="103"/>
      <c r="N2839" s="103"/>
      <c r="O2839" s="103"/>
      <c r="P2839" s="98"/>
      <c r="Q2839" s="99"/>
      <c r="R2839" s="104">
        <f t="shared" si="139"/>
        <v>0</v>
      </c>
      <c r="S2839" s="104">
        <f t="shared" si="140"/>
        <v>0</v>
      </c>
      <c r="T2839" s="104">
        <f t="shared" si="141"/>
        <v>0</v>
      </c>
    </row>
    <row r="2840" spans="1:20">
      <c r="A2840" s="101"/>
      <c r="B2840" s="101"/>
      <c r="C2840" s="101"/>
      <c r="D2840" s="101"/>
      <c r="E2840" s="101"/>
      <c r="F2840" s="102"/>
      <c r="G2840" s="101"/>
      <c r="H2840" s="102"/>
      <c r="I2840" s="101"/>
      <c r="J2840" s="101"/>
      <c r="K2840" s="103"/>
      <c r="L2840" s="103"/>
      <c r="M2840" s="103"/>
      <c r="N2840" s="103"/>
      <c r="O2840" s="103"/>
      <c r="P2840" s="98"/>
      <c r="Q2840" s="99"/>
      <c r="R2840" s="104">
        <f t="shared" si="139"/>
        <v>0</v>
      </c>
      <c r="S2840" s="104">
        <f t="shared" si="140"/>
        <v>0</v>
      </c>
      <c r="T2840" s="104">
        <f t="shared" si="141"/>
        <v>0</v>
      </c>
    </row>
    <row r="2841" spans="1:20">
      <c r="A2841" s="101"/>
      <c r="B2841" s="101"/>
      <c r="C2841" s="101"/>
      <c r="D2841" s="101"/>
      <c r="E2841" s="101"/>
      <c r="F2841" s="102"/>
      <c r="G2841" s="101"/>
      <c r="H2841" s="102"/>
      <c r="I2841" s="101"/>
      <c r="J2841" s="101"/>
      <c r="K2841" s="103"/>
      <c r="L2841" s="103"/>
      <c r="M2841" s="103"/>
      <c r="N2841" s="103"/>
      <c r="O2841" s="103"/>
      <c r="P2841" s="98"/>
      <c r="Q2841" s="99"/>
      <c r="R2841" s="104">
        <f t="shared" si="139"/>
        <v>0</v>
      </c>
      <c r="S2841" s="104">
        <f t="shared" si="140"/>
        <v>0</v>
      </c>
      <c r="T2841" s="104">
        <f t="shared" si="141"/>
        <v>0</v>
      </c>
    </row>
    <row r="2842" spans="1:20">
      <c r="A2842" s="101"/>
      <c r="B2842" s="101"/>
      <c r="C2842" s="101"/>
      <c r="D2842" s="101"/>
      <c r="E2842" s="101"/>
      <c r="F2842" s="102"/>
      <c r="G2842" s="101"/>
      <c r="H2842" s="102"/>
      <c r="I2842" s="101"/>
      <c r="J2842" s="101"/>
      <c r="K2842" s="103"/>
      <c r="L2842" s="103"/>
      <c r="M2842" s="103"/>
      <c r="N2842" s="103"/>
      <c r="O2842" s="103"/>
      <c r="P2842" s="98"/>
      <c r="Q2842" s="99"/>
      <c r="R2842" s="104">
        <f t="shared" si="139"/>
        <v>0</v>
      </c>
      <c r="S2842" s="104">
        <f t="shared" si="140"/>
        <v>0</v>
      </c>
      <c r="T2842" s="104">
        <f t="shared" si="141"/>
        <v>0</v>
      </c>
    </row>
    <row r="2843" spans="1:20">
      <c r="A2843" s="101"/>
      <c r="B2843" s="101"/>
      <c r="C2843" s="101"/>
      <c r="D2843" s="101"/>
      <c r="E2843" s="101"/>
      <c r="F2843" s="102"/>
      <c r="G2843" s="101"/>
      <c r="H2843" s="102"/>
      <c r="I2843" s="101"/>
      <c r="J2843" s="101"/>
      <c r="K2843" s="103"/>
      <c r="L2843" s="103"/>
      <c r="M2843" s="103"/>
      <c r="N2843" s="103"/>
      <c r="O2843" s="103"/>
      <c r="P2843" s="98"/>
      <c r="Q2843" s="99"/>
      <c r="R2843" s="104">
        <f t="shared" si="139"/>
        <v>0</v>
      </c>
      <c r="S2843" s="104">
        <f t="shared" si="140"/>
        <v>0</v>
      </c>
      <c r="T2843" s="104">
        <f t="shared" si="141"/>
        <v>0</v>
      </c>
    </row>
    <row r="2844" spans="1:20">
      <c r="A2844" s="101"/>
      <c r="B2844" s="101"/>
      <c r="C2844" s="101"/>
      <c r="D2844" s="101"/>
      <c r="E2844" s="101"/>
      <c r="F2844" s="102"/>
      <c r="G2844" s="101"/>
      <c r="H2844" s="102"/>
      <c r="I2844" s="101"/>
      <c r="J2844" s="101"/>
      <c r="K2844" s="103"/>
      <c r="L2844" s="103"/>
      <c r="M2844" s="103"/>
      <c r="N2844" s="103"/>
      <c r="O2844" s="103"/>
      <c r="P2844" s="98"/>
      <c r="Q2844" s="99"/>
      <c r="R2844" s="104">
        <f t="shared" si="139"/>
        <v>0</v>
      </c>
      <c r="S2844" s="104">
        <f t="shared" si="140"/>
        <v>0</v>
      </c>
      <c r="T2844" s="104">
        <f t="shared" si="141"/>
        <v>0</v>
      </c>
    </row>
    <row r="2845" spans="1:20">
      <c r="A2845" s="101"/>
      <c r="B2845" s="101"/>
      <c r="C2845" s="101"/>
      <c r="D2845" s="101"/>
      <c r="E2845" s="101"/>
      <c r="F2845" s="102"/>
      <c r="G2845" s="101"/>
      <c r="H2845" s="102"/>
      <c r="I2845" s="101"/>
      <c r="J2845" s="101"/>
      <c r="K2845" s="103"/>
      <c r="L2845" s="103"/>
      <c r="M2845" s="103"/>
      <c r="N2845" s="103"/>
      <c r="O2845" s="103"/>
      <c r="P2845" s="98"/>
      <c r="Q2845" s="99"/>
      <c r="R2845" s="104">
        <f t="shared" si="139"/>
        <v>0</v>
      </c>
      <c r="S2845" s="104">
        <f t="shared" si="140"/>
        <v>0</v>
      </c>
      <c r="T2845" s="104">
        <f t="shared" si="141"/>
        <v>0</v>
      </c>
    </row>
    <row r="2846" spans="1:20">
      <c r="A2846" s="101"/>
      <c r="B2846" s="101"/>
      <c r="C2846" s="101"/>
      <c r="D2846" s="101"/>
      <c r="E2846" s="101"/>
      <c r="F2846" s="102"/>
      <c r="G2846" s="101"/>
      <c r="H2846" s="102"/>
      <c r="I2846" s="101"/>
      <c r="J2846" s="101"/>
      <c r="K2846" s="103"/>
      <c r="L2846" s="103"/>
      <c r="M2846" s="103"/>
      <c r="N2846" s="103"/>
      <c r="O2846" s="103"/>
      <c r="P2846" s="98"/>
      <c r="Q2846" s="99"/>
      <c r="R2846" s="104">
        <f t="shared" si="139"/>
        <v>0</v>
      </c>
      <c r="S2846" s="104">
        <f t="shared" si="140"/>
        <v>0</v>
      </c>
      <c r="T2846" s="104">
        <f t="shared" si="141"/>
        <v>0</v>
      </c>
    </row>
    <row r="2847" spans="1:20">
      <c r="A2847" s="101"/>
      <c r="B2847" s="101"/>
      <c r="C2847" s="101"/>
      <c r="D2847" s="101"/>
      <c r="E2847" s="101"/>
      <c r="F2847" s="102"/>
      <c r="G2847" s="101"/>
      <c r="H2847" s="102"/>
      <c r="I2847" s="101"/>
      <c r="J2847" s="101"/>
      <c r="K2847" s="103"/>
      <c r="L2847" s="103"/>
      <c r="M2847" s="103"/>
      <c r="N2847" s="103"/>
      <c r="O2847" s="103"/>
      <c r="P2847" s="98"/>
      <c r="Q2847" s="99"/>
      <c r="R2847" s="104">
        <f t="shared" si="139"/>
        <v>0</v>
      </c>
      <c r="S2847" s="104">
        <f t="shared" si="140"/>
        <v>0</v>
      </c>
      <c r="T2847" s="104">
        <f t="shared" si="141"/>
        <v>0</v>
      </c>
    </row>
    <row r="2848" spans="1:20">
      <c r="A2848" s="101"/>
      <c r="B2848" s="101"/>
      <c r="C2848" s="101"/>
      <c r="D2848" s="101"/>
      <c r="E2848" s="101"/>
      <c r="F2848" s="102"/>
      <c r="G2848" s="101"/>
      <c r="H2848" s="102"/>
      <c r="I2848" s="101"/>
      <c r="J2848" s="101"/>
      <c r="K2848" s="103"/>
      <c r="L2848" s="103"/>
      <c r="M2848" s="103"/>
      <c r="N2848" s="103"/>
      <c r="O2848" s="103"/>
      <c r="P2848" s="98"/>
      <c r="Q2848" s="99"/>
      <c r="R2848" s="104">
        <f t="shared" si="139"/>
        <v>0</v>
      </c>
      <c r="S2848" s="104">
        <f t="shared" si="140"/>
        <v>0</v>
      </c>
      <c r="T2848" s="104">
        <f t="shared" si="141"/>
        <v>0</v>
      </c>
    </row>
    <row r="2849" spans="1:20">
      <c r="A2849" s="101"/>
      <c r="B2849" s="101"/>
      <c r="C2849" s="101"/>
      <c r="D2849" s="101"/>
      <c r="E2849" s="101"/>
      <c r="F2849" s="102"/>
      <c r="G2849" s="101"/>
      <c r="H2849" s="102"/>
      <c r="I2849" s="101"/>
      <c r="J2849" s="101"/>
      <c r="K2849" s="103"/>
      <c r="L2849" s="103"/>
      <c r="M2849" s="103"/>
      <c r="N2849" s="103"/>
      <c r="O2849" s="103"/>
      <c r="P2849" s="98"/>
      <c r="Q2849" s="99"/>
      <c r="R2849" s="104">
        <f t="shared" si="139"/>
        <v>0</v>
      </c>
      <c r="S2849" s="104">
        <f t="shared" si="140"/>
        <v>0</v>
      </c>
      <c r="T2849" s="104">
        <f t="shared" si="141"/>
        <v>0</v>
      </c>
    </row>
    <row r="2850" spans="1:20">
      <c r="A2850" s="101"/>
      <c r="B2850" s="101"/>
      <c r="C2850" s="101"/>
      <c r="D2850" s="101"/>
      <c r="E2850" s="101"/>
      <c r="F2850" s="102"/>
      <c r="G2850" s="101"/>
      <c r="H2850" s="102"/>
      <c r="I2850" s="101"/>
      <c r="J2850" s="101"/>
      <c r="K2850" s="103"/>
      <c r="L2850" s="103"/>
      <c r="M2850" s="103"/>
      <c r="N2850" s="103"/>
      <c r="O2850" s="103"/>
      <c r="P2850" s="98"/>
      <c r="Q2850" s="99"/>
      <c r="R2850" s="104">
        <f t="shared" si="139"/>
        <v>0</v>
      </c>
      <c r="S2850" s="104">
        <f t="shared" si="140"/>
        <v>0</v>
      </c>
      <c r="T2850" s="104">
        <f t="shared" si="141"/>
        <v>0</v>
      </c>
    </row>
    <row r="2851" spans="1:20">
      <c r="A2851" s="101"/>
      <c r="B2851" s="101"/>
      <c r="C2851" s="101"/>
      <c r="D2851" s="101"/>
      <c r="E2851" s="101"/>
      <c r="F2851" s="102"/>
      <c r="G2851" s="101"/>
      <c r="H2851" s="102"/>
      <c r="I2851" s="101"/>
      <c r="J2851" s="101"/>
      <c r="K2851" s="103"/>
      <c r="L2851" s="103"/>
      <c r="M2851" s="103"/>
      <c r="N2851" s="103"/>
      <c r="O2851" s="103"/>
      <c r="P2851" s="98"/>
      <c r="Q2851" s="99"/>
      <c r="R2851" s="104">
        <f t="shared" si="139"/>
        <v>0</v>
      </c>
      <c r="S2851" s="104">
        <f t="shared" si="140"/>
        <v>0</v>
      </c>
      <c r="T2851" s="104">
        <f t="shared" si="141"/>
        <v>0</v>
      </c>
    </row>
    <row r="2852" spans="1:20">
      <c r="A2852" s="101"/>
      <c r="B2852" s="101"/>
      <c r="C2852" s="101"/>
      <c r="D2852" s="101"/>
      <c r="E2852" s="101"/>
      <c r="F2852" s="102"/>
      <c r="G2852" s="101"/>
      <c r="H2852" s="102"/>
      <c r="I2852" s="101"/>
      <c r="J2852" s="101"/>
      <c r="K2852" s="103"/>
      <c r="L2852" s="103"/>
      <c r="M2852" s="103"/>
      <c r="N2852" s="103"/>
      <c r="O2852" s="103"/>
      <c r="P2852" s="98"/>
      <c r="Q2852" s="99"/>
      <c r="R2852" s="104">
        <f t="shared" si="139"/>
        <v>0</v>
      </c>
      <c r="S2852" s="104">
        <f t="shared" si="140"/>
        <v>0</v>
      </c>
      <c r="T2852" s="104">
        <f t="shared" si="141"/>
        <v>0</v>
      </c>
    </row>
    <row r="2853" spans="1:20">
      <c r="A2853" s="101"/>
      <c r="B2853" s="101"/>
      <c r="C2853" s="101"/>
      <c r="D2853" s="101"/>
      <c r="E2853" s="101"/>
      <c r="F2853" s="102"/>
      <c r="G2853" s="101"/>
      <c r="H2853" s="102"/>
      <c r="I2853" s="101"/>
      <c r="J2853" s="101"/>
      <c r="K2853" s="103"/>
      <c r="L2853" s="103"/>
      <c r="M2853" s="103"/>
      <c r="N2853" s="103"/>
      <c r="O2853" s="103"/>
      <c r="P2853" s="98"/>
      <c r="Q2853" s="99"/>
      <c r="R2853" s="104">
        <f t="shared" si="139"/>
        <v>0</v>
      </c>
      <c r="S2853" s="104">
        <f t="shared" si="140"/>
        <v>0</v>
      </c>
      <c r="T2853" s="104">
        <f t="shared" si="141"/>
        <v>0</v>
      </c>
    </row>
    <row r="2854" spans="1:20">
      <c r="A2854" s="101"/>
      <c r="B2854" s="101"/>
      <c r="C2854" s="101"/>
      <c r="D2854" s="101"/>
      <c r="E2854" s="101"/>
      <c r="F2854" s="102"/>
      <c r="G2854" s="101"/>
      <c r="H2854" s="102"/>
      <c r="I2854" s="101"/>
      <c r="J2854" s="101"/>
      <c r="K2854" s="103"/>
      <c r="L2854" s="103"/>
      <c r="M2854" s="103"/>
      <c r="N2854" s="103"/>
      <c r="O2854" s="103"/>
      <c r="P2854" s="98"/>
      <c r="Q2854" s="99"/>
      <c r="R2854" s="104">
        <f t="shared" si="139"/>
        <v>0</v>
      </c>
      <c r="S2854" s="104">
        <f t="shared" si="140"/>
        <v>0</v>
      </c>
      <c r="T2854" s="104">
        <f t="shared" si="141"/>
        <v>0</v>
      </c>
    </row>
    <row r="2855" spans="1:20">
      <c r="A2855" s="101"/>
      <c r="B2855" s="101"/>
      <c r="C2855" s="101"/>
      <c r="D2855" s="101"/>
      <c r="E2855" s="101"/>
      <c r="F2855" s="102"/>
      <c r="G2855" s="101"/>
      <c r="H2855" s="102"/>
      <c r="I2855" s="101"/>
      <c r="J2855" s="101"/>
      <c r="K2855" s="103"/>
      <c r="L2855" s="103"/>
      <c r="M2855" s="103"/>
      <c r="N2855" s="103"/>
      <c r="O2855" s="103"/>
      <c r="P2855" s="98"/>
      <c r="Q2855" s="99"/>
      <c r="R2855" s="104">
        <f t="shared" si="139"/>
        <v>0</v>
      </c>
      <c r="S2855" s="104">
        <f t="shared" si="140"/>
        <v>0</v>
      </c>
      <c r="T2855" s="104">
        <f t="shared" si="141"/>
        <v>0</v>
      </c>
    </row>
    <row r="2856" spans="1:20">
      <c r="A2856" s="101"/>
      <c r="B2856" s="101"/>
      <c r="C2856" s="101"/>
      <c r="D2856" s="101"/>
      <c r="E2856" s="101"/>
      <c r="F2856" s="102"/>
      <c r="G2856" s="101"/>
      <c r="H2856" s="102"/>
      <c r="I2856" s="101"/>
      <c r="J2856" s="101"/>
      <c r="K2856" s="103"/>
      <c r="L2856" s="103"/>
      <c r="M2856" s="103"/>
      <c r="N2856" s="103"/>
      <c r="O2856" s="103"/>
      <c r="P2856" s="98"/>
      <c r="Q2856" s="99"/>
      <c r="R2856" s="104">
        <f t="shared" si="139"/>
        <v>0</v>
      </c>
      <c r="S2856" s="104">
        <f t="shared" si="140"/>
        <v>0</v>
      </c>
      <c r="T2856" s="104">
        <f t="shared" si="141"/>
        <v>0</v>
      </c>
    </row>
    <row r="2857" spans="1:20">
      <c r="A2857" s="101"/>
      <c r="B2857" s="101"/>
      <c r="C2857" s="101"/>
      <c r="D2857" s="101"/>
      <c r="E2857" s="101"/>
      <c r="F2857" s="102"/>
      <c r="G2857" s="101"/>
      <c r="H2857" s="102"/>
      <c r="I2857" s="101"/>
      <c r="J2857" s="101"/>
      <c r="K2857" s="103"/>
      <c r="L2857" s="103"/>
      <c r="M2857" s="103"/>
      <c r="N2857" s="103"/>
      <c r="O2857" s="103"/>
      <c r="P2857" s="98"/>
      <c r="Q2857" s="99"/>
      <c r="R2857" s="104">
        <f t="shared" si="139"/>
        <v>0</v>
      </c>
      <c r="S2857" s="104">
        <f t="shared" si="140"/>
        <v>0</v>
      </c>
      <c r="T2857" s="104">
        <f t="shared" si="141"/>
        <v>0</v>
      </c>
    </row>
    <row r="2858" spans="1:20">
      <c r="A2858" s="101"/>
      <c r="B2858" s="101"/>
      <c r="C2858" s="101"/>
      <c r="D2858" s="101"/>
      <c r="E2858" s="101"/>
      <c r="F2858" s="102"/>
      <c r="G2858" s="101"/>
      <c r="H2858" s="102"/>
      <c r="I2858" s="101"/>
      <c r="J2858" s="101"/>
      <c r="K2858" s="103"/>
      <c r="L2858" s="103"/>
      <c r="M2858" s="103"/>
      <c r="N2858" s="103"/>
      <c r="O2858" s="103"/>
      <c r="P2858" s="98"/>
      <c r="Q2858" s="99"/>
      <c r="R2858" s="104">
        <f t="shared" si="139"/>
        <v>0</v>
      </c>
      <c r="S2858" s="104">
        <f t="shared" si="140"/>
        <v>0</v>
      </c>
      <c r="T2858" s="104">
        <f t="shared" si="141"/>
        <v>0</v>
      </c>
    </row>
    <row r="2859" spans="1:20">
      <c r="A2859" s="101"/>
      <c r="B2859" s="101"/>
      <c r="C2859" s="101"/>
      <c r="D2859" s="101"/>
      <c r="E2859" s="101"/>
      <c r="F2859" s="102"/>
      <c r="G2859" s="101"/>
      <c r="H2859" s="102"/>
      <c r="I2859" s="101"/>
      <c r="J2859" s="101"/>
      <c r="K2859" s="103"/>
      <c r="L2859" s="103"/>
      <c r="M2859" s="103"/>
      <c r="N2859" s="103"/>
      <c r="O2859" s="103"/>
      <c r="P2859" s="98"/>
      <c r="Q2859" s="99"/>
      <c r="R2859" s="104">
        <f t="shared" si="139"/>
        <v>0</v>
      </c>
      <c r="S2859" s="104">
        <f t="shared" si="140"/>
        <v>0</v>
      </c>
      <c r="T2859" s="104">
        <f t="shared" si="141"/>
        <v>0</v>
      </c>
    </row>
    <row r="2860" spans="1:20">
      <c r="A2860" s="101"/>
      <c r="B2860" s="101"/>
      <c r="C2860" s="101"/>
      <c r="D2860" s="101"/>
      <c r="E2860" s="101"/>
      <c r="F2860" s="102"/>
      <c r="G2860" s="101"/>
      <c r="H2860" s="102"/>
      <c r="I2860" s="101"/>
      <c r="J2860" s="101"/>
      <c r="K2860" s="103"/>
      <c r="L2860" s="103"/>
      <c r="M2860" s="103"/>
      <c r="N2860" s="103"/>
      <c r="O2860" s="103"/>
      <c r="P2860" s="98"/>
      <c r="Q2860" s="99"/>
      <c r="R2860" s="104">
        <f t="shared" si="139"/>
        <v>0</v>
      </c>
      <c r="S2860" s="104">
        <f t="shared" si="140"/>
        <v>0</v>
      </c>
      <c r="T2860" s="104">
        <f t="shared" si="141"/>
        <v>0</v>
      </c>
    </row>
    <row r="2861" spans="1:20">
      <c r="A2861" s="101"/>
      <c r="B2861" s="101"/>
      <c r="C2861" s="101"/>
      <c r="D2861" s="101"/>
      <c r="E2861" s="101"/>
      <c r="F2861" s="102"/>
      <c r="G2861" s="101"/>
      <c r="H2861" s="102"/>
      <c r="I2861" s="101"/>
      <c r="J2861" s="101"/>
      <c r="K2861" s="103"/>
      <c r="L2861" s="103"/>
      <c r="M2861" s="103"/>
      <c r="N2861" s="103"/>
      <c r="O2861" s="103"/>
      <c r="P2861" s="98"/>
      <c r="Q2861" s="99"/>
      <c r="R2861" s="104">
        <f t="shared" si="139"/>
        <v>0</v>
      </c>
      <c r="S2861" s="104">
        <f t="shared" si="140"/>
        <v>0</v>
      </c>
      <c r="T2861" s="104">
        <f t="shared" si="141"/>
        <v>0</v>
      </c>
    </row>
    <row r="2862" spans="1:20">
      <c r="A2862" s="101"/>
      <c r="B2862" s="101"/>
      <c r="C2862" s="101"/>
      <c r="D2862" s="101"/>
      <c r="E2862" s="101"/>
      <c r="F2862" s="102"/>
      <c r="G2862" s="101"/>
      <c r="H2862" s="102"/>
      <c r="I2862" s="101"/>
      <c r="J2862" s="101"/>
      <c r="K2862" s="103"/>
      <c r="L2862" s="103"/>
      <c r="M2862" s="103"/>
      <c r="N2862" s="103"/>
      <c r="O2862" s="103"/>
      <c r="P2862" s="98"/>
      <c r="Q2862" s="99"/>
      <c r="R2862" s="104">
        <f t="shared" si="139"/>
        <v>0</v>
      </c>
      <c r="S2862" s="104">
        <f t="shared" si="140"/>
        <v>0</v>
      </c>
      <c r="T2862" s="104">
        <f t="shared" si="141"/>
        <v>0</v>
      </c>
    </row>
    <row r="2863" spans="1:20">
      <c r="A2863" s="101"/>
      <c r="B2863" s="101"/>
      <c r="C2863" s="101"/>
      <c r="D2863" s="101"/>
      <c r="E2863" s="101"/>
      <c r="F2863" s="102"/>
      <c r="G2863" s="101"/>
      <c r="H2863" s="102"/>
      <c r="I2863" s="101"/>
      <c r="J2863" s="101"/>
      <c r="K2863" s="103"/>
      <c r="L2863" s="103"/>
      <c r="M2863" s="103"/>
      <c r="N2863" s="103"/>
      <c r="O2863" s="103"/>
      <c r="P2863" s="98"/>
      <c r="Q2863" s="99"/>
      <c r="R2863" s="104">
        <f t="shared" si="139"/>
        <v>0</v>
      </c>
      <c r="S2863" s="104">
        <f t="shared" si="140"/>
        <v>0</v>
      </c>
      <c r="T2863" s="104">
        <f t="shared" si="141"/>
        <v>0</v>
      </c>
    </row>
    <row r="2864" spans="1:20">
      <c r="A2864" s="101"/>
      <c r="B2864" s="101"/>
      <c r="C2864" s="101"/>
      <c r="D2864" s="101"/>
      <c r="E2864" s="101"/>
      <c r="F2864" s="102"/>
      <c r="G2864" s="101"/>
      <c r="H2864" s="102"/>
      <c r="I2864" s="101"/>
      <c r="J2864" s="101"/>
      <c r="K2864" s="103"/>
      <c r="L2864" s="103"/>
      <c r="M2864" s="103"/>
      <c r="N2864" s="103"/>
      <c r="O2864" s="103"/>
      <c r="P2864" s="98"/>
      <c r="Q2864" s="99"/>
      <c r="R2864" s="104">
        <f t="shared" si="139"/>
        <v>0</v>
      </c>
      <c r="S2864" s="104">
        <f t="shared" si="140"/>
        <v>0</v>
      </c>
      <c r="T2864" s="104">
        <f t="shared" si="141"/>
        <v>0</v>
      </c>
    </row>
    <row r="2865" spans="1:20">
      <c r="A2865" s="101"/>
      <c r="B2865" s="101"/>
      <c r="C2865" s="101"/>
      <c r="D2865" s="101"/>
      <c r="E2865" s="101"/>
      <c r="F2865" s="102"/>
      <c r="G2865" s="101"/>
      <c r="H2865" s="102"/>
      <c r="I2865" s="101"/>
      <c r="J2865" s="101"/>
      <c r="K2865" s="103"/>
      <c r="L2865" s="103"/>
      <c r="M2865" s="103"/>
      <c r="N2865" s="103"/>
      <c r="O2865" s="103"/>
      <c r="P2865" s="98"/>
      <c r="Q2865" s="99"/>
      <c r="R2865" s="104">
        <f t="shared" si="139"/>
        <v>0</v>
      </c>
      <c r="S2865" s="104">
        <f t="shared" si="140"/>
        <v>0</v>
      </c>
      <c r="T2865" s="104">
        <f t="shared" si="141"/>
        <v>0</v>
      </c>
    </row>
    <row r="2866" spans="1:20">
      <c r="A2866" s="101"/>
      <c r="B2866" s="101"/>
      <c r="C2866" s="101"/>
      <c r="D2866" s="101"/>
      <c r="E2866" s="101"/>
      <c r="F2866" s="102"/>
      <c r="G2866" s="101"/>
      <c r="H2866" s="102"/>
      <c r="I2866" s="101"/>
      <c r="J2866" s="101"/>
      <c r="K2866" s="103"/>
      <c r="L2866" s="103"/>
      <c r="M2866" s="103"/>
      <c r="N2866" s="103"/>
      <c r="O2866" s="103"/>
      <c r="P2866" s="98"/>
      <c r="Q2866" s="99"/>
      <c r="R2866" s="104">
        <f t="shared" si="139"/>
        <v>0</v>
      </c>
      <c r="S2866" s="104">
        <f t="shared" si="140"/>
        <v>0</v>
      </c>
      <c r="T2866" s="104">
        <f t="shared" si="141"/>
        <v>0</v>
      </c>
    </row>
    <row r="2867" spans="1:20">
      <c r="A2867" s="101"/>
      <c r="B2867" s="101"/>
      <c r="C2867" s="101"/>
      <c r="D2867" s="101"/>
      <c r="E2867" s="101"/>
      <c r="F2867" s="102"/>
      <c r="G2867" s="101"/>
      <c r="H2867" s="102"/>
      <c r="I2867" s="101"/>
      <c r="J2867" s="101"/>
      <c r="K2867" s="103"/>
      <c r="L2867" s="103"/>
      <c r="M2867" s="103"/>
      <c r="N2867" s="103"/>
      <c r="O2867" s="103"/>
      <c r="P2867" s="98"/>
      <c r="Q2867" s="99"/>
      <c r="R2867" s="104">
        <f t="shared" si="139"/>
        <v>0</v>
      </c>
      <c r="S2867" s="104">
        <f t="shared" si="140"/>
        <v>0</v>
      </c>
      <c r="T2867" s="104">
        <f t="shared" si="141"/>
        <v>0</v>
      </c>
    </row>
    <row r="2868" spans="1:20">
      <c r="A2868" s="101"/>
      <c r="B2868" s="101"/>
      <c r="C2868" s="101"/>
      <c r="D2868" s="101"/>
      <c r="E2868" s="101"/>
      <c r="F2868" s="102"/>
      <c r="G2868" s="101"/>
      <c r="H2868" s="102"/>
      <c r="I2868" s="101"/>
      <c r="J2868" s="101"/>
      <c r="K2868" s="103"/>
      <c r="L2868" s="103"/>
      <c r="M2868" s="103"/>
      <c r="N2868" s="103"/>
      <c r="O2868" s="103"/>
      <c r="P2868" s="98"/>
      <c r="Q2868" s="99"/>
      <c r="R2868" s="104">
        <f t="shared" si="139"/>
        <v>0</v>
      </c>
      <c r="S2868" s="104">
        <f t="shared" si="140"/>
        <v>0</v>
      </c>
      <c r="T2868" s="104">
        <f t="shared" si="141"/>
        <v>0</v>
      </c>
    </row>
    <row r="2869" spans="1:20">
      <c r="A2869" s="101"/>
      <c r="B2869" s="101"/>
      <c r="C2869" s="101"/>
      <c r="D2869" s="101"/>
      <c r="E2869" s="101"/>
      <c r="F2869" s="102"/>
      <c r="G2869" s="101"/>
      <c r="H2869" s="102"/>
      <c r="I2869" s="101"/>
      <c r="J2869" s="101"/>
      <c r="K2869" s="103"/>
      <c r="L2869" s="103"/>
      <c r="M2869" s="103"/>
      <c r="N2869" s="103"/>
      <c r="O2869" s="103"/>
      <c r="P2869" s="98"/>
      <c r="Q2869" s="99"/>
      <c r="R2869" s="104">
        <f t="shared" si="139"/>
        <v>0</v>
      </c>
      <c r="S2869" s="104">
        <f t="shared" si="140"/>
        <v>0</v>
      </c>
      <c r="T2869" s="104">
        <f t="shared" si="141"/>
        <v>0</v>
      </c>
    </row>
    <row r="2870" spans="1:20">
      <c r="A2870" s="101"/>
      <c r="B2870" s="101"/>
      <c r="C2870" s="101"/>
      <c r="D2870" s="101"/>
      <c r="E2870" s="101"/>
      <c r="F2870" s="102"/>
      <c r="G2870" s="101"/>
      <c r="H2870" s="102"/>
      <c r="I2870" s="101"/>
      <c r="J2870" s="101"/>
      <c r="K2870" s="103"/>
      <c r="L2870" s="103"/>
      <c r="M2870" s="103"/>
      <c r="N2870" s="103"/>
      <c r="O2870" s="103"/>
      <c r="P2870" s="98"/>
      <c r="Q2870" s="99"/>
      <c r="R2870" s="104">
        <f t="shared" si="139"/>
        <v>0</v>
      </c>
      <c r="S2870" s="104">
        <f t="shared" si="140"/>
        <v>0</v>
      </c>
      <c r="T2870" s="104">
        <f t="shared" si="141"/>
        <v>0</v>
      </c>
    </row>
    <row r="2871" spans="1:20">
      <c r="A2871" s="101"/>
      <c r="B2871" s="101"/>
      <c r="C2871" s="101"/>
      <c r="D2871" s="101"/>
      <c r="E2871" s="101"/>
      <c r="F2871" s="102"/>
      <c r="G2871" s="101"/>
      <c r="H2871" s="102"/>
      <c r="I2871" s="101"/>
      <c r="J2871" s="101"/>
      <c r="K2871" s="103"/>
      <c r="L2871" s="103"/>
      <c r="M2871" s="103"/>
      <c r="N2871" s="103"/>
      <c r="O2871" s="103"/>
      <c r="P2871" s="98"/>
      <c r="Q2871" s="99"/>
      <c r="R2871" s="104">
        <f t="shared" si="139"/>
        <v>0</v>
      </c>
      <c r="S2871" s="104">
        <f t="shared" si="140"/>
        <v>0</v>
      </c>
      <c r="T2871" s="104">
        <f t="shared" si="141"/>
        <v>0</v>
      </c>
    </row>
    <row r="2872" spans="1:20">
      <c r="A2872" s="101"/>
      <c r="B2872" s="101"/>
      <c r="C2872" s="101"/>
      <c r="D2872" s="101"/>
      <c r="E2872" s="101"/>
      <c r="F2872" s="102"/>
      <c r="G2872" s="101"/>
      <c r="H2872" s="102"/>
      <c r="I2872" s="101"/>
      <c r="J2872" s="101"/>
      <c r="K2872" s="103"/>
      <c r="L2872" s="103"/>
      <c r="M2872" s="103"/>
      <c r="N2872" s="103"/>
      <c r="O2872" s="103"/>
      <c r="P2872" s="98"/>
      <c r="Q2872" s="99"/>
      <c r="R2872" s="104">
        <f t="shared" si="139"/>
        <v>0</v>
      </c>
      <c r="S2872" s="104">
        <f t="shared" si="140"/>
        <v>0</v>
      </c>
      <c r="T2872" s="104">
        <f t="shared" si="141"/>
        <v>0</v>
      </c>
    </row>
    <row r="2873" spans="1:20">
      <c r="A2873" s="101"/>
      <c r="B2873" s="101"/>
      <c r="C2873" s="101"/>
      <c r="D2873" s="101"/>
      <c r="E2873" s="101"/>
      <c r="F2873" s="102"/>
      <c r="G2873" s="101"/>
      <c r="H2873" s="102"/>
      <c r="I2873" s="101"/>
      <c r="J2873" s="101"/>
      <c r="K2873" s="103"/>
      <c r="L2873" s="103"/>
      <c r="M2873" s="103"/>
      <c r="N2873" s="103"/>
      <c r="O2873" s="103"/>
      <c r="P2873" s="98"/>
      <c r="Q2873" s="99"/>
      <c r="R2873" s="104">
        <f t="shared" si="139"/>
        <v>0</v>
      </c>
      <c r="S2873" s="104">
        <f t="shared" si="140"/>
        <v>0</v>
      </c>
      <c r="T2873" s="104">
        <f t="shared" si="141"/>
        <v>0</v>
      </c>
    </row>
    <row r="2874" spans="1:20">
      <c r="A2874" s="101"/>
      <c r="B2874" s="101"/>
      <c r="C2874" s="101"/>
      <c r="D2874" s="101"/>
      <c r="E2874" s="101"/>
      <c r="F2874" s="102"/>
      <c r="G2874" s="101"/>
      <c r="H2874" s="102"/>
      <c r="I2874" s="101"/>
      <c r="J2874" s="101"/>
      <c r="K2874" s="103"/>
      <c r="L2874" s="103"/>
      <c r="M2874" s="103"/>
      <c r="N2874" s="103"/>
      <c r="O2874" s="103"/>
      <c r="P2874" s="98"/>
      <c r="Q2874" s="99"/>
      <c r="R2874" s="104">
        <f t="shared" si="139"/>
        <v>0</v>
      </c>
      <c r="S2874" s="104">
        <f t="shared" si="140"/>
        <v>0</v>
      </c>
      <c r="T2874" s="104">
        <f t="shared" si="141"/>
        <v>0</v>
      </c>
    </row>
    <row r="2875" spans="1:20">
      <c r="A2875" s="101"/>
      <c r="B2875" s="101"/>
      <c r="C2875" s="101"/>
      <c r="D2875" s="101"/>
      <c r="E2875" s="101"/>
      <c r="F2875" s="102"/>
      <c r="G2875" s="101"/>
      <c r="H2875" s="102"/>
      <c r="I2875" s="101"/>
      <c r="J2875" s="101"/>
      <c r="K2875" s="103"/>
      <c r="L2875" s="103"/>
      <c r="M2875" s="103"/>
      <c r="N2875" s="103"/>
      <c r="O2875" s="103"/>
      <c r="P2875" s="98"/>
      <c r="Q2875" s="99"/>
      <c r="R2875" s="104">
        <f t="shared" si="139"/>
        <v>0</v>
      </c>
      <c r="S2875" s="104">
        <f t="shared" si="140"/>
        <v>0</v>
      </c>
      <c r="T2875" s="104">
        <f t="shared" si="141"/>
        <v>0</v>
      </c>
    </row>
    <row r="2876" spans="1:20">
      <c r="A2876" s="101"/>
      <c r="B2876" s="101"/>
      <c r="C2876" s="101"/>
      <c r="D2876" s="101"/>
      <c r="E2876" s="101"/>
      <c r="F2876" s="102"/>
      <c r="G2876" s="101"/>
      <c r="H2876" s="102"/>
      <c r="I2876" s="101"/>
      <c r="J2876" s="101"/>
      <c r="K2876" s="103"/>
      <c r="L2876" s="103"/>
      <c r="M2876" s="103"/>
      <c r="N2876" s="103"/>
      <c r="O2876" s="103"/>
      <c r="P2876" s="98"/>
      <c r="Q2876" s="99"/>
      <c r="R2876" s="104">
        <f t="shared" si="139"/>
        <v>0</v>
      </c>
      <c r="S2876" s="104">
        <f t="shared" si="140"/>
        <v>0</v>
      </c>
      <c r="T2876" s="104">
        <f t="shared" si="141"/>
        <v>0</v>
      </c>
    </row>
    <row r="2877" spans="1:20">
      <c r="A2877" s="101"/>
      <c r="B2877" s="101"/>
      <c r="C2877" s="101"/>
      <c r="D2877" s="101"/>
      <c r="E2877" s="101"/>
      <c r="F2877" s="102"/>
      <c r="G2877" s="101"/>
      <c r="H2877" s="102"/>
      <c r="I2877" s="101"/>
      <c r="J2877" s="101"/>
      <c r="K2877" s="103"/>
      <c r="L2877" s="103"/>
      <c r="M2877" s="103"/>
      <c r="N2877" s="103"/>
      <c r="O2877" s="103"/>
      <c r="P2877" s="98"/>
      <c r="Q2877" s="99"/>
      <c r="R2877" s="104">
        <f t="shared" si="139"/>
        <v>0</v>
      </c>
      <c r="S2877" s="104">
        <f t="shared" si="140"/>
        <v>0</v>
      </c>
      <c r="T2877" s="104">
        <f t="shared" si="141"/>
        <v>0</v>
      </c>
    </row>
    <row r="2878" spans="1:20">
      <c r="A2878" s="101"/>
      <c r="B2878" s="101"/>
      <c r="C2878" s="101"/>
      <c r="D2878" s="101"/>
      <c r="E2878" s="101"/>
      <c r="F2878" s="102"/>
      <c r="G2878" s="101"/>
      <c r="H2878" s="102"/>
      <c r="I2878" s="101"/>
      <c r="J2878" s="101"/>
      <c r="K2878" s="103"/>
      <c r="L2878" s="103"/>
      <c r="M2878" s="103"/>
      <c r="N2878" s="103"/>
      <c r="O2878" s="103"/>
      <c r="P2878" s="98"/>
      <c r="Q2878" s="99"/>
      <c r="R2878" s="104">
        <f t="shared" si="139"/>
        <v>0</v>
      </c>
      <c r="S2878" s="104">
        <f t="shared" si="140"/>
        <v>0</v>
      </c>
      <c r="T2878" s="104">
        <f t="shared" si="141"/>
        <v>0</v>
      </c>
    </row>
    <row r="2879" spans="1:20">
      <c r="A2879" s="101"/>
      <c r="B2879" s="101"/>
      <c r="C2879" s="101"/>
      <c r="D2879" s="101"/>
      <c r="E2879" s="101"/>
      <c r="F2879" s="102"/>
      <c r="G2879" s="101"/>
      <c r="H2879" s="102"/>
      <c r="I2879" s="101"/>
      <c r="J2879" s="101"/>
      <c r="K2879" s="103"/>
      <c r="L2879" s="103"/>
      <c r="M2879" s="103"/>
      <c r="N2879" s="103"/>
      <c r="O2879" s="103"/>
      <c r="P2879" s="98"/>
      <c r="Q2879" s="99"/>
      <c r="R2879" s="104">
        <f t="shared" si="139"/>
        <v>0</v>
      </c>
      <c r="S2879" s="104">
        <f t="shared" si="140"/>
        <v>0</v>
      </c>
      <c r="T2879" s="104">
        <f t="shared" si="141"/>
        <v>0</v>
      </c>
    </row>
    <row r="2880" spans="1:20">
      <c r="A2880" s="101"/>
      <c r="B2880" s="101"/>
      <c r="C2880" s="101"/>
      <c r="D2880" s="101"/>
      <c r="E2880" s="101"/>
      <c r="F2880" s="102"/>
      <c r="G2880" s="101"/>
      <c r="H2880" s="102"/>
      <c r="I2880" s="101"/>
      <c r="J2880" s="101"/>
      <c r="K2880" s="103"/>
      <c r="L2880" s="103"/>
      <c r="M2880" s="103"/>
      <c r="N2880" s="103"/>
      <c r="O2880" s="103"/>
      <c r="P2880" s="98"/>
      <c r="Q2880" s="99"/>
      <c r="R2880" s="104">
        <f t="shared" si="139"/>
        <v>0</v>
      </c>
      <c r="S2880" s="104">
        <f t="shared" si="140"/>
        <v>0</v>
      </c>
      <c r="T2880" s="104">
        <f t="shared" si="141"/>
        <v>0</v>
      </c>
    </row>
    <row r="2881" spans="1:20">
      <c r="A2881" s="101"/>
      <c r="B2881" s="101"/>
      <c r="C2881" s="101"/>
      <c r="D2881" s="101"/>
      <c r="E2881" s="101"/>
      <c r="F2881" s="102"/>
      <c r="G2881" s="101"/>
      <c r="H2881" s="102"/>
      <c r="I2881" s="101"/>
      <c r="J2881" s="101"/>
      <c r="K2881" s="103"/>
      <c r="L2881" s="103"/>
      <c r="M2881" s="103"/>
      <c r="N2881" s="103"/>
      <c r="O2881" s="103"/>
      <c r="P2881" s="98"/>
      <c r="Q2881" s="99"/>
      <c r="R2881" s="104">
        <f t="shared" si="139"/>
        <v>0</v>
      </c>
      <c r="S2881" s="104">
        <f t="shared" si="140"/>
        <v>0</v>
      </c>
      <c r="T2881" s="104">
        <f t="shared" si="141"/>
        <v>0</v>
      </c>
    </row>
    <row r="2882" spans="1:20">
      <c r="A2882" s="101"/>
      <c r="B2882" s="101"/>
      <c r="C2882" s="101"/>
      <c r="D2882" s="101"/>
      <c r="E2882" s="101"/>
      <c r="F2882" s="102"/>
      <c r="G2882" s="101"/>
      <c r="H2882" s="102"/>
      <c r="I2882" s="101"/>
      <c r="J2882" s="101"/>
      <c r="K2882" s="103"/>
      <c r="L2882" s="103"/>
      <c r="M2882" s="103"/>
      <c r="N2882" s="103"/>
      <c r="O2882" s="103"/>
      <c r="P2882" s="98"/>
      <c r="Q2882" s="99"/>
      <c r="R2882" s="104">
        <f t="shared" si="139"/>
        <v>0</v>
      </c>
      <c r="S2882" s="104">
        <f t="shared" si="140"/>
        <v>0</v>
      </c>
      <c r="T2882" s="104">
        <f t="shared" si="141"/>
        <v>0</v>
      </c>
    </row>
    <row r="2883" spans="1:20">
      <c r="A2883" s="101"/>
      <c r="B2883" s="101"/>
      <c r="C2883" s="101"/>
      <c r="D2883" s="101"/>
      <c r="E2883" s="101"/>
      <c r="F2883" s="102"/>
      <c r="G2883" s="101"/>
      <c r="H2883" s="102"/>
      <c r="I2883" s="101"/>
      <c r="J2883" s="101"/>
      <c r="K2883" s="103"/>
      <c r="L2883" s="103"/>
      <c r="M2883" s="103"/>
      <c r="N2883" s="103"/>
      <c r="O2883" s="103"/>
      <c r="P2883" s="98"/>
      <c r="Q2883" s="99"/>
      <c r="R2883" s="104">
        <f t="shared" si="139"/>
        <v>0</v>
      </c>
      <c r="S2883" s="104">
        <f t="shared" si="140"/>
        <v>0</v>
      </c>
      <c r="T2883" s="104">
        <f t="shared" si="141"/>
        <v>0</v>
      </c>
    </row>
    <row r="2884" spans="1:20">
      <c r="A2884" s="101"/>
      <c r="B2884" s="101"/>
      <c r="C2884" s="101"/>
      <c r="D2884" s="101"/>
      <c r="E2884" s="101"/>
      <c r="F2884" s="102"/>
      <c r="G2884" s="101"/>
      <c r="H2884" s="102"/>
      <c r="I2884" s="101"/>
      <c r="J2884" s="101"/>
      <c r="K2884" s="103"/>
      <c r="L2884" s="103"/>
      <c r="M2884" s="103"/>
      <c r="N2884" s="103"/>
      <c r="O2884" s="103"/>
      <c r="P2884" s="98"/>
      <c r="Q2884" s="99"/>
      <c r="R2884" s="104">
        <f t="shared" si="139"/>
        <v>0</v>
      </c>
      <c r="S2884" s="104">
        <f t="shared" si="140"/>
        <v>0</v>
      </c>
      <c r="T2884" s="104">
        <f t="shared" si="141"/>
        <v>0</v>
      </c>
    </row>
    <row r="2885" spans="1:20">
      <c r="A2885" s="101"/>
      <c r="B2885" s="101"/>
      <c r="C2885" s="101"/>
      <c r="D2885" s="101"/>
      <c r="E2885" s="101"/>
      <c r="F2885" s="102"/>
      <c r="G2885" s="101"/>
      <c r="H2885" s="102"/>
      <c r="I2885" s="101"/>
      <c r="J2885" s="101"/>
      <c r="K2885" s="103"/>
      <c r="L2885" s="103"/>
      <c r="M2885" s="103"/>
      <c r="N2885" s="103"/>
      <c r="O2885" s="103"/>
      <c r="P2885" s="98"/>
      <c r="Q2885" s="99"/>
      <c r="R2885" s="104">
        <f t="shared" si="139"/>
        <v>0</v>
      </c>
      <c r="S2885" s="104">
        <f t="shared" si="140"/>
        <v>0</v>
      </c>
      <c r="T2885" s="104">
        <f t="shared" si="141"/>
        <v>0</v>
      </c>
    </row>
    <row r="2886" spans="1:20">
      <c r="A2886" s="101"/>
      <c r="B2886" s="101"/>
      <c r="C2886" s="101"/>
      <c r="D2886" s="101"/>
      <c r="E2886" s="101"/>
      <c r="F2886" s="102"/>
      <c r="G2886" s="101"/>
      <c r="H2886" s="102"/>
      <c r="I2886" s="101"/>
      <c r="J2886" s="101"/>
      <c r="K2886" s="103"/>
      <c r="L2886" s="103"/>
      <c r="M2886" s="103"/>
      <c r="N2886" s="103"/>
      <c r="O2886" s="103"/>
      <c r="P2886" s="98"/>
      <c r="Q2886" s="99"/>
      <c r="R2886" s="104">
        <f t="shared" si="139"/>
        <v>0</v>
      </c>
      <c r="S2886" s="104">
        <f t="shared" si="140"/>
        <v>0</v>
      </c>
      <c r="T2886" s="104">
        <f t="shared" si="141"/>
        <v>0</v>
      </c>
    </row>
    <row r="2887" spans="1:20">
      <c r="A2887" s="101"/>
      <c r="B2887" s="101"/>
      <c r="C2887" s="101"/>
      <c r="D2887" s="101"/>
      <c r="E2887" s="101"/>
      <c r="F2887" s="102"/>
      <c r="G2887" s="101"/>
      <c r="H2887" s="102"/>
      <c r="I2887" s="101"/>
      <c r="J2887" s="101"/>
      <c r="K2887" s="103"/>
      <c r="L2887" s="103"/>
      <c r="M2887" s="103"/>
      <c r="N2887" s="103"/>
      <c r="O2887" s="103"/>
      <c r="P2887" s="98"/>
      <c r="Q2887" s="99"/>
      <c r="R2887" s="104">
        <f t="shared" si="139"/>
        <v>0</v>
      </c>
      <c r="S2887" s="104">
        <f t="shared" si="140"/>
        <v>0</v>
      </c>
      <c r="T2887" s="104">
        <f t="shared" si="141"/>
        <v>0</v>
      </c>
    </row>
    <row r="2888" spans="1:20">
      <c r="A2888" s="101"/>
      <c r="B2888" s="101"/>
      <c r="C2888" s="101"/>
      <c r="D2888" s="101"/>
      <c r="E2888" s="101"/>
      <c r="F2888" s="102"/>
      <c r="G2888" s="101"/>
      <c r="H2888" s="102"/>
      <c r="I2888" s="101"/>
      <c r="J2888" s="101"/>
      <c r="K2888" s="103"/>
      <c r="L2888" s="103"/>
      <c r="M2888" s="103"/>
      <c r="N2888" s="103"/>
      <c r="O2888" s="103"/>
      <c r="P2888" s="98"/>
      <c r="Q2888" s="99"/>
      <c r="R2888" s="104">
        <f t="shared" si="139"/>
        <v>0</v>
      </c>
      <c r="S2888" s="104">
        <f t="shared" si="140"/>
        <v>0</v>
      </c>
      <c r="T2888" s="104">
        <f t="shared" si="141"/>
        <v>0</v>
      </c>
    </row>
    <row r="2889" spans="1:20">
      <c r="A2889" s="101"/>
      <c r="B2889" s="101"/>
      <c r="C2889" s="101"/>
      <c r="D2889" s="101"/>
      <c r="E2889" s="101"/>
      <c r="F2889" s="102"/>
      <c r="G2889" s="101"/>
      <c r="H2889" s="102"/>
      <c r="I2889" s="101"/>
      <c r="J2889" s="101"/>
      <c r="K2889" s="103"/>
      <c r="L2889" s="103"/>
      <c r="M2889" s="103"/>
      <c r="N2889" s="103"/>
      <c r="O2889" s="103"/>
      <c r="P2889" s="98"/>
      <c r="Q2889" s="99"/>
      <c r="R2889" s="104">
        <f t="shared" si="139"/>
        <v>0</v>
      </c>
      <c r="S2889" s="104">
        <f t="shared" si="140"/>
        <v>0</v>
      </c>
      <c r="T2889" s="104">
        <f t="shared" si="141"/>
        <v>0</v>
      </c>
    </row>
    <row r="2890" spans="1:20">
      <c r="A2890" s="101"/>
      <c r="B2890" s="101"/>
      <c r="C2890" s="101"/>
      <c r="D2890" s="101"/>
      <c r="E2890" s="101"/>
      <c r="F2890" s="102"/>
      <c r="G2890" s="101"/>
      <c r="H2890" s="102"/>
      <c r="I2890" s="101"/>
      <c r="J2890" s="101"/>
      <c r="K2890" s="103"/>
      <c r="L2890" s="103"/>
      <c r="M2890" s="103"/>
      <c r="N2890" s="103"/>
      <c r="O2890" s="103"/>
      <c r="P2890" s="98"/>
      <c r="Q2890" s="99"/>
      <c r="R2890" s="104">
        <f t="shared" ref="R2890:R2953" si="142">IF(P2890="Cargo",K2890+L2890-M2890-N2890+O2890,0)</f>
        <v>0</v>
      </c>
      <c r="S2890" s="104">
        <f t="shared" ref="S2890:S2953" si="143">IF(P2890="Abono",K2890+L2890+M2890-N2890-O2890,0)</f>
        <v>0</v>
      </c>
      <c r="T2890" s="104">
        <f t="shared" ref="T2890:T2953" si="144">IF(Q2890="OK",+T2889+R2890-S2890,T2889)</f>
        <v>0</v>
      </c>
    </row>
    <row r="2891" spans="1:20">
      <c r="A2891" s="101"/>
      <c r="B2891" s="101"/>
      <c r="C2891" s="101"/>
      <c r="D2891" s="101"/>
      <c r="E2891" s="101"/>
      <c r="F2891" s="102"/>
      <c r="G2891" s="101"/>
      <c r="H2891" s="102"/>
      <c r="I2891" s="101"/>
      <c r="J2891" s="101"/>
      <c r="K2891" s="103"/>
      <c r="L2891" s="103"/>
      <c r="M2891" s="103"/>
      <c r="N2891" s="103"/>
      <c r="O2891" s="103"/>
      <c r="P2891" s="98"/>
      <c r="Q2891" s="99"/>
      <c r="R2891" s="104">
        <f t="shared" si="142"/>
        <v>0</v>
      </c>
      <c r="S2891" s="104">
        <f t="shared" si="143"/>
        <v>0</v>
      </c>
      <c r="T2891" s="104">
        <f t="shared" si="144"/>
        <v>0</v>
      </c>
    </row>
    <row r="2892" spans="1:20">
      <c r="A2892" s="101"/>
      <c r="B2892" s="101"/>
      <c r="C2892" s="101"/>
      <c r="D2892" s="101"/>
      <c r="E2892" s="101"/>
      <c r="F2892" s="102"/>
      <c r="G2892" s="101"/>
      <c r="H2892" s="102"/>
      <c r="I2892" s="101"/>
      <c r="J2892" s="101"/>
      <c r="K2892" s="103"/>
      <c r="L2892" s="103"/>
      <c r="M2892" s="103"/>
      <c r="N2892" s="103"/>
      <c r="O2892" s="103"/>
      <c r="P2892" s="98"/>
      <c r="Q2892" s="99"/>
      <c r="R2892" s="104">
        <f t="shared" si="142"/>
        <v>0</v>
      </c>
      <c r="S2892" s="104">
        <f t="shared" si="143"/>
        <v>0</v>
      </c>
      <c r="T2892" s="104">
        <f t="shared" si="144"/>
        <v>0</v>
      </c>
    </row>
    <row r="2893" spans="1:20">
      <c r="A2893" s="101"/>
      <c r="B2893" s="101"/>
      <c r="C2893" s="101"/>
      <c r="D2893" s="101"/>
      <c r="E2893" s="101"/>
      <c r="F2893" s="102"/>
      <c r="G2893" s="101"/>
      <c r="H2893" s="102"/>
      <c r="I2893" s="101"/>
      <c r="J2893" s="101"/>
      <c r="K2893" s="103"/>
      <c r="L2893" s="103"/>
      <c r="M2893" s="103"/>
      <c r="N2893" s="103"/>
      <c r="O2893" s="103"/>
      <c r="P2893" s="98"/>
      <c r="Q2893" s="99"/>
      <c r="R2893" s="104">
        <f t="shared" si="142"/>
        <v>0</v>
      </c>
      <c r="S2893" s="104">
        <f t="shared" si="143"/>
        <v>0</v>
      </c>
      <c r="T2893" s="104">
        <f t="shared" si="144"/>
        <v>0</v>
      </c>
    </row>
    <row r="2894" spans="1:20">
      <c r="A2894" s="101"/>
      <c r="B2894" s="101"/>
      <c r="C2894" s="101"/>
      <c r="D2894" s="101"/>
      <c r="E2894" s="101"/>
      <c r="F2894" s="102"/>
      <c r="G2894" s="101"/>
      <c r="H2894" s="102"/>
      <c r="I2894" s="101"/>
      <c r="J2894" s="101"/>
      <c r="K2894" s="103"/>
      <c r="L2894" s="103"/>
      <c r="M2894" s="103"/>
      <c r="N2894" s="103"/>
      <c r="O2894" s="103"/>
      <c r="P2894" s="98"/>
      <c r="Q2894" s="99"/>
      <c r="R2894" s="104">
        <f t="shared" si="142"/>
        <v>0</v>
      </c>
      <c r="S2894" s="104">
        <f t="shared" si="143"/>
        <v>0</v>
      </c>
      <c r="T2894" s="104">
        <f t="shared" si="144"/>
        <v>0</v>
      </c>
    </row>
    <row r="2895" spans="1:20">
      <c r="A2895" s="101"/>
      <c r="B2895" s="101"/>
      <c r="C2895" s="101"/>
      <c r="D2895" s="101"/>
      <c r="E2895" s="101"/>
      <c r="F2895" s="102"/>
      <c r="G2895" s="101"/>
      <c r="H2895" s="102"/>
      <c r="I2895" s="101"/>
      <c r="J2895" s="101"/>
      <c r="K2895" s="103"/>
      <c r="L2895" s="103"/>
      <c r="M2895" s="103"/>
      <c r="N2895" s="103"/>
      <c r="O2895" s="103"/>
      <c r="P2895" s="98"/>
      <c r="Q2895" s="99"/>
      <c r="R2895" s="104">
        <f t="shared" si="142"/>
        <v>0</v>
      </c>
      <c r="S2895" s="104">
        <f t="shared" si="143"/>
        <v>0</v>
      </c>
      <c r="T2895" s="104">
        <f t="shared" si="144"/>
        <v>0</v>
      </c>
    </row>
    <row r="2896" spans="1:20">
      <c r="A2896" s="101"/>
      <c r="B2896" s="101"/>
      <c r="C2896" s="101"/>
      <c r="D2896" s="101"/>
      <c r="E2896" s="101"/>
      <c r="F2896" s="102"/>
      <c r="G2896" s="101"/>
      <c r="H2896" s="102"/>
      <c r="I2896" s="101"/>
      <c r="J2896" s="101"/>
      <c r="K2896" s="103"/>
      <c r="L2896" s="103"/>
      <c r="M2896" s="103"/>
      <c r="N2896" s="103"/>
      <c r="O2896" s="103"/>
      <c r="P2896" s="98"/>
      <c r="Q2896" s="99"/>
      <c r="R2896" s="104">
        <f t="shared" si="142"/>
        <v>0</v>
      </c>
      <c r="S2896" s="104">
        <f t="shared" si="143"/>
        <v>0</v>
      </c>
      <c r="T2896" s="104">
        <f t="shared" si="144"/>
        <v>0</v>
      </c>
    </row>
    <row r="2897" spans="1:20">
      <c r="A2897" s="101"/>
      <c r="B2897" s="101"/>
      <c r="C2897" s="101"/>
      <c r="D2897" s="101"/>
      <c r="E2897" s="101"/>
      <c r="F2897" s="102"/>
      <c r="G2897" s="101"/>
      <c r="H2897" s="102"/>
      <c r="I2897" s="101"/>
      <c r="J2897" s="101"/>
      <c r="K2897" s="103"/>
      <c r="L2897" s="103"/>
      <c r="M2897" s="103"/>
      <c r="N2897" s="103"/>
      <c r="O2897" s="103"/>
      <c r="P2897" s="98"/>
      <c r="Q2897" s="99"/>
      <c r="R2897" s="104">
        <f t="shared" si="142"/>
        <v>0</v>
      </c>
      <c r="S2897" s="104">
        <f t="shared" si="143"/>
        <v>0</v>
      </c>
      <c r="T2897" s="104">
        <f t="shared" si="144"/>
        <v>0</v>
      </c>
    </row>
    <row r="2898" spans="1:20">
      <c r="A2898" s="101"/>
      <c r="B2898" s="101"/>
      <c r="C2898" s="101"/>
      <c r="D2898" s="101"/>
      <c r="E2898" s="101"/>
      <c r="F2898" s="102"/>
      <c r="G2898" s="101"/>
      <c r="H2898" s="102"/>
      <c r="I2898" s="101"/>
      <c r="J2898" s="101"/>
      <c r="K2898" s="103"/>
      <c r="L2898" s="103"/>
      <c r="M2898" s="103"/>
      <c r="N2898" s="103"/>
      <c r="O2898" s="103"/>
      <c r="P2898" s="98"/>
      <c r="Q2898" s="99"/>
      <c r="R2898" s="104">
        <f t="shared" si="142"/>
        <v>0</v>
      </c>
      <c r="S2898" s="104">
        <f t="shared" si="143"/>
        <v>0</v>
      </c>
      <c r="T2898" s="104">
        <f t="shared" si="144"/>
        <v>0</v>
      </c>
    </row>
    <row r="2899" spans="1:20">
      <c r="A2899" s="101"/>
      <c r="B2899" s="101"/>
      <c r="C2899" s="101"/>
      <c r="D2899" s="101"/>
      <c r="E2899" s="101"/>
      <c r="F2899" s="102"/>
      <c r="G2899" s="101"/>
      <c r="H2899" s="102"/>
      <c r="I2899" s="101"/>
      <c r="J2899" s="101"/>
      <c r="K2899" s="103"/>
      <c r="L2899" s="103"/>
      <c r="M2899" s="103"/>
      <c r="N2899" s="103"/>
      <c r="O2899" s="103"/>
      <c r="P2899" s="98"/>
      <c r="Q2899" s="99"/>
      <c r="R2899" s="104">
        <f t="shared" si="142"/>
        <v>0</v>
      </c>
      <c r="S2899" s="104">
        <f t="shared" si="143"/>
        <v>0</v>
      </c>
      <c r="T2899" s="104">
        <f t="shared" si="144"/>
        <v>0</v>
      </c>
    </row>
    <row r="2900" spans="1:20">
      <c r="A2900" s="101"/>
      <c r="B2900" s="101"/>
      <c r="C2900" s="101"/>
      <c r="D2900" s="101"/>
      <c r="E2900" s="101"/>
      <c r="F2900" s="102"/>
      <c r="G2900" s="101"/>
      <c r="H2900" s="102"/>
      <c r="I2900" s="101"/>
      <c r="J2900" s="101"/>
      <c r="K2900" s="103"/>
      <c r="L2900" s="103"/>
      <c r="M2900" s="103"/>
      <c r="N2900" s="103"/>
      <c r="O2900" s="103"/>
      <c r="P2900" s="98"/>
      <c r="Q2900" s="99"/>
      <c r="R2900" s="104">
        <f t="shared" si="142"/>
        <v>0</v>
      </c>
      <c r="S2900" s="104">
        <f t="shared" si="143"/>
        <v>0</v>
      </c>
      <c r="T2900" s="104">
        <f t="shared" si="144"/>
        <v>0</v>
      </c>
    </row>
    <row r="2901" spans="1:20">
      <c r="A2901" s="101"/>
      <c r="B2901" s="101"/>
      <c r="C2901" s="101"/>
      <c r="D2901" s="101"/>
      <c r="E2901" s="101"/>
      <c r="F2901" s="102"/>
      <c r="G2901" s="101"/>
      <c r="H2901" s="102"/>
      <c r="I2901" s="101"/>
      <c r="J2901" s="101"/>
      <c r="K2901" s="103"/>
      <c r="L2901" s="103"/>
      <c r="M2901" s="103"/>
      <c r="N2901" s="103"/>
      <c r="O2901" s="103"/>
      <c r="P2901" s="98"/>
      <c r="Q2901" s="99"/>
      <c r="R2901" s="104">
        <f t="shared" si="142"/>
        <v>0</v>
      </c>
      <c r="S2901" s="104">
        <f t="shared" si="143"/>
        <v>0</v>
      </c>
      <c r="T2901" s="104">
        <f t="shared" si="144"/>
        <v>0</v>
      </c>
    </row>
    <row r="2902" spans="1:20">
      <c r="A2902" s="101"/>
      <c r="B2902" s="101"/>
      <c r="C2902" s="101"/>
      <c r="D2902" s="101"/>
      <c r="E2902" s="101"/>
      <c r="F2902" s="102"/>
      <c r="G2902" s="101"/>
      <c r="H2902" s="102"/>
      <c r="I2902" s="101"/>
      <c r="J2902" s="101"/>
      <c r="K2902" s="103"/>
      <c r="L2902" s="103"/>
      <c r="M2902" s="103"/>
      <c r="N2902" s="103"/>
      <c r="O2902" s="103"/>
      <c r="P2902" s="98"/>
      <c r="Q2902" s="99"/>
      <c r="R2902" s="104">
        <f t="shared" si="142"/>
        <v>0</v>
      </c>
      <c r="S2902" s="104">
        <f t="shared" si="143"/>
        <v>0</v>
      </c>
      <c r="T2902" s="104">
        <f t="shared" si="144"/>
        <v>0</v>
      </c>
    </row>
    <row r="2903" spans="1:20">
      <c r="A2903" s="101"/>
      <c r="B2903" s="101"/>
      <c r="C2903" s="101"/>
      <c r="D2903" s="101"/>
      <c r="E2903" s="101"/>
      <c r="F2903" s="102"/>
      <c r="G2903" s="101"/>
      <c r="H2903" s="102"/>
      <c r="I2903" s="101"/>
      <c r="J2903" s="101"/>
      <c r="K2903" s="103"/>
      <c r="L2903" s="103"/>
      <c r="M2903" s="103"/>
      <c r="N2903" s="103"/>
      <c r="O2903" s="103"/>
      <c r="P2903" s="98"/>
      <c r="Q2903" s="99"/>
      <c r="R2903" s="104">
        <f t="shared" si="142"/>
        <v>0</v>
      </c>
      <c r="S2903" s="104">
        <f t="shared" si="143"/>
        <v>0</v>
      </c>
      <c r="T2903" s="104">
        <f t="shared" si="144"/>
        <v>0</v>
      </c>
    </row>
    <row r="2904" spans="1:20">
      <c r="A2904" s="101"/>
      <c r="B2904" s="101"/>
      <c r="C2904" s="101"/>
      <c r="D2904" s="101"/>
      <c r="E2904" s="101"/>
      <c r="F2904" s="102"/>
      <c r="G2904" s="101"/>
      <c r="H2904" s="102"/>
      <c r="I2904" s="101"/>
      <c r="J2904" s="101"/>
      <c r="K2904" s="103"/>
      <c r="L2904" s="103"/>
      <c r="M2904" s="103"/>
      <c r="N2904" s="103"/>
      <c r="O2904" s="103"/>
      <c r="P2904" s="98"/>
      <c r="Q2904" s="99"/>
      <c r="R2904" s="104">
        <f t="shared" si="142"/>
        <v>0</v>
      </c>
      <c r="S2904" s="104">
        <f t="shared" si="143"/>
        <v>0</v>
      </c>
      <c r="T2904" s="104">
        <f t="shared" si="144"/>
        <v>0</v>
      </c>
    </row>
    <row r="2905" spans="1:20">
      <c r="A2905" s="101"/>
      <c r="B2905" s="101"/>
      <c r="C2905" s="101"/>
      <c r="D2905" s="101"/>
      <c r="E2905" s="101"/>
      <c r="F2905" s="102"/>
      <c r="G2905" s="101"/>
      <c r="H2905" s="102"/>
      <c r="I2905" s="101"/>
      <c r="J2905" s="101"/>
      <c r="K2905" s="103"/>
      <c r="L2905" s="103"/>
      <c r="M2905" s="103"/>
      <c r="N2905" s="103"/>
      <c r="O2905" s="103"/>
      <c r="P2905" s="98"/>
      <c r="Q2905" s="99"/>
      <c r="R2905" s="104">
        <f t="shared" si="142"/>
        <v>0</v>
      </c>
      <c r="S2905" s="104">
        <f t="shared" si="143"/>
        <v>0</v>
      </c>
      <c r="T2905" s="104">
        <f t="shared" si="144"/>
        <v>0</v>
      </c>
    </row>
    <row r="2906" spans="1:20">
      <c r="A2906" s="101"/>
      <c r="B2906" s="101"/>
      <c r="C2906" s="101"/>
      <c r="D2906" s="101"/>
      <c r="E2906" s="101"/>
      <c r="F2906" s="102"/>
      <c r="G2906" s="101"/>
      <c r="H2906" s="102"/>
      <c r="I2906" s="101"/>
      <c r="J2906" s="101"/>
      <c r="K2906" s="103"/>
      <c r="L2906" s="103"/>
      <c r="M2906" s="103"/>
      <c r="N2906" s="103"/>
      <c r="O2906" s="103"/>
      <c r="P2906" s="98"/>
      <c r="Q2906" s="99"/>
      <c r="R2906" s="104">
        <f t="shared" si="142"/>
        <v>0</v>
      </c>
      <c r="S2906" s="104">
        <f t="shared" si="143"/>
        <v>0</v>
      </c>
      <c r="T2906" s="104">
        <f t="shared" si="144"/>
        <v>0</v>
      </c>
    </row>
    <row r="2907" spans="1:20">
      <c r="A2907" s="101"/>
      <c r="B2907" s="101"/>
      <c r="C2907" s="101"/>
      <c r="D2907" s="101"/>
      <c r="E2907" s="101"/>
      <c r="F2907" s="102"/>
      <c r="G2907" s="101"/>
      <c r="H2907" s="102"/>
      <c r="I2907" s="101"/>
      <c r="J2907" s="101"/>
      <c r="K2907" s="103"/>
      <c r="L2907" s="103"/>
      <c r="M2907" s="103"/>
      <c r="N2907" s="103"/>
      <c r="O2907" s="103"/>
      <c r="P2907" s="98"/>
      <c r="Q2907" s="99"/>
      <c r="R2907" s="104">
        <f t="shared" si="142"/>
        <v>0</v>
      </c>
      <c r="S2907" s="104">
        <f t="shared" si="143"/>
        <v>0</v>
      </c>
      <c r="T2907" s="104">
        <f t="shared" si="144"/>
        <v>0</v>
      </c>
    </row>
    <row r="2908" spans="1:20">
      <c r="A2908" s="101"/>
      <c r="B2908" s="101"/>
      <c r="C2908" s="101"/>
      <c r="D2908" s="101"/>
      <c r="E2908" s="101"/>
      <c r="F2908" s="102"/>
      <c r="G2908" s="101"/>
      <c r="H2908" s="102"/>
      <c r="I2908" s="101"/>
      <c r="J2908" s="101"/>
      <c r="K2908" s="103"/>
      <c r="L2908" s="103"/>
      <c r="M2908" s="103"/>
      <c r="N2908" s="103"/>
      <c r="O2908" s="103"/>
      <c r="P2908" s="98"/>
      <c r="Q2908" s="99"/>
      <c r="R2908" s="104">
        <f t="shared" si="142"/>
        <v>0</v>
      </c>
      <c r="S2908" s="104">
        <f t="shared" si="143"/>
        <v>0</v>
      </c>
      <c r="T2908" s="104">
        <f t="shared" si="144"/>
        <v>0</v>
      </c>
    </row>
    <row r="2909" spans="1:20">
      <c r="A2909" s="101"/>
      <c r="B2909" s="101"/>
      <c r="C2909" s="101"/>
      <c r="D2909" s="101"/>
      <c r="E2909" s="101"/>
      <c r="F2909" s="102"/>
      <c r="G2909" s="101"/>
      <c r="H2909" s="102"/>
      <c r="I2909" s="101"/>
      <c r="J2909" s="101"/>
      <c r="K2909" s="103"/>
      <c r="L2909" s="103"/>
      <c r="M2909" s="103"/>
      <c r="N2909" s="103"/>
      <c r="O2909" s="103"/>
      <c r="P2909" s="98"/>
      <c r="Q2909" s="99"/>
      <c r="R2909" s="104">
        <f t="shared" si="142"/>
        <v>0</v>
      </c>
      <c r="S2909" s="104">
        <f t="shared" si="143"/>
        <v>0</v>
      </c>
      <c r="T2909" s="104">
        <f t="shared" si="144"/>
        <v>0</v>
      </c>
    </row>
    <row r="2910" spans="1:20">
      <c r="A2910" s="101"/>
      <c r="B2910" s="101"/>
      <c r="C2910" s="101"/>
      <c r="D2910" s="101"/>
      <c r="E2910" s="101"/>
      <c r="F2910" s="102"/>
      <c r="G2910" s="101"/>
      <c r="H2910" s="102"/>
      <c r="I2910" s="101"/>
      <c r="J2910" s="101"/>
      <c r="K2910" s="103"/>
      <c r="L2910" s="103"/>
      <c r="M2910" s="103"/>
      <c r="N2910" s="103"/>
      <c r="O2910" s="103"/>
      <c r="P2910" s="98"/>
      <c r="Q2910" s="99"/>
      <c r="R2910" s="104">
        <f t="shared" si="142"/>
        <v>0</v>
      </c>
      <c r="S2910" s="104">
        <f t="shared" si="143"/>
        <v>0</v>
      </c>
      <c r="T2910" s="104">
        <f t="shared" si="144"/>
        <v>0</v>
      </c>
    </row>
    <row r="2911" spans="1:20">
      <c r="A2911" s="101"/>
      <c r="B2911" s="101"/>
      <c r="C2911" s="101"/>
      <c r="D2911" s="101"/>
      <c r="E2911" s="101"/>
      <c r="F2911" s="102"/>
      <c r="G2911" s="101"/>
      <c r="H2911" s="102"/>
      <c r="I2911" s="101"/>
      <c r="J2911" s="101"/>
      <c r="K2911" s="103"/>
      <c r="L2911" s="103"/>
      <c r="M2911" s="103"/>
      <c r="N2911" s="103"/>
      <c r="O2911" s="103"/>
      <c r="P2911" s="98"/>
      <c r="Q2911" s="99"/>
      <c r="R2911" s="104">
        <f t="shared" si="142"/>
        <v>0</v>
      </c>
      <c r="S2911" s="104">
        <f t="shared" si="143"/>
        <v>0</v>
      </c>
      <c r="T2911" s="104">
        <f t="shared" si="144"/>
        <v>0</v>
      </c>
    </row>
    <row r="2912" spans="1:20">
      <c r="A2912" s="101"/>
      <c r="B2912" s="101"/>
      <c r="C2912" s="101"/>
      <c r="D2912" s="101"/>
      <c r="E2912" s="101"/>
      <c r="F2912" s="102"/>
      <c r="G2912" s="101"/>
      <c r="H2912" s="102"/>
      <c r="I2912" s="101"/>
      <c r="J2912" s="101"/>
      <c r="K2912" s="103"/>
      <c r="L2912" s="103"/>
      <c r="M2912" s="103"/>
      <c r="N2912" s="103"/>
      <c r="O2912" s="103"/>
      <c r="P2912" s="98"/>
      <c r="Q2912" s="99"/>
      <c r="R2912" s="104">
        <f t="shared" si="142"/>
        <v>0</v>
      </c>
      <c r="S2912" s="104">
        <f t="shared" si="143"/>
        <v>0</v>
      </c>
      <c r="T2912" s="104">
        <f t="shared" si="144"/>
        <v>0</v>
      </c>
    </row>
    <row r="2913" spans="1:20">
      <c r="A2913" s="101"/>
      <c r="B2913" s="101"/>
      <c r="C2913" s="101"/>
      <c r="D2913" s="101"/>
      <c r="E2913" s="101"/>
      <c r="F2913" s="102"/>
      <c r="G2913" s="101"/>
      <c r="H2913" s="102"/>
      <c r="I2913" s="101"/>
      <c r="J2913" s="101"/>
      <c r="K2913" s="103"/>
      <c r="L2913" s="103"/>
      <c r="M2913" s="103"/>
      <c r="N2913" s="103"/>
      <c r="O2913" s="103"/>
      <c r="P2913" s="98"/>
      <c r="Q2913" s="99"/>
      <c r="R2913" s="104">
        <f t="shared" si="142"/>
        <v>0</v>
      </c>
      <c r="S2913" s="104">
        <f t="shared" si="143"/>
        <v>0</v>
      </c>
      <c r="T2913" s="104">
        <f t="shared" si="144"/>
        <v>0</v>
      </c>
    </row>
    <row r="2914" spans="1:20">
      <c r="A2914" s="101"/>
      <c r="B2914" s="101"/>
      <c r="C2914" s="101"/>
      <c r="D2914" s="101"/>
      <c r="E2914" s="101"/>
      <c r="F2914" s="102"/>
      <c r="G2914" s="101"/>
      <c r="H2914" s="102"/>
      <c r="I2914" s="101"/>
      <c r="J2914" s="101"/>
      <c r="K2914" s="103"/>
      <c r="L2914" s="103"/>
      <c r="M2914" s="103"/>
      <c r="N2914" s="103"/>
      <c r="O2914" s="103"/>
      <c r="P2914" s="98"/>
      <c r="Q2914" s="99"/>
      <c r="R2914" s="104">
        <f t="shared" si="142"/>
        <v>0</v>
      </c>
      <c r="S2914" s="104">
        <f t="shared" si="143"/>
        <v>0</v>
      </c>
      <c r="T2914" s="104">
        <f t="shared" si="144"/>
        <v>0</v>
      </c>
    </row>
    <row r="2915" spans="1:20">
      <c r="A2915" s="101"/>
      <c r="B2915" s="101"/>
      <c r="C2915" s="101"/>
      <c r="D2915" s="101"/>
      <c r="E2915" s="101"/>
      <c r="F2915" s="102"/>
      <c r="G2915" s="101"/>
      <c r="H2915" s="102"/>
      <c r="I2915" s="101"/>
      <c r="J2915" s="101"/>
      <c r="K2915" s="103"/>
      <c r="L2915" s="103"/>
      <c r="M2915" s="103"/>
      <c r="N2915" s="103"/>
      <c r="O2915" s="103"/>
      <c r="P2915" s="98"/>
      <c r="Q2915" s="99"/>
      <c r="R2915" s="104">
        <f t="shared" si="142"/>
        <v>0</v>
      </c>
      <c r="S2915" s="104">
        <f t="shared" si="143"/>
        <v>0</v>
      </c>
      <c r="T2915" s="104">
        <f t="shared" si="144"/>
        <v>0</v>
      </c>
    </row>
    <row r="2916" spans="1:20">
      <c r="A2916" s="101"/>
      <c r="B2916" s="101"/>
      <c r="C2916" s="101"/>
      <c r="D2916" s="101"/>
      <c r="E2916" s="101"/>
      <c r="F2916" s="102"/>
      <c r="G2916" s="101"/>
      <c r="H2916" s="102"/>
      <c r="I2916" s="101"/>
      <c r="J2916" s="101"/>
      <c r="K2916" s="103"/>
      <c r="L2916" s="103"/>
      <c r="M2916" s="103"/>
      <c r="N2916" s="103"/>
      <c r="O2916" s="103"/>
      <c r="P2916" s="98"/>
      <c r="Q2916" s="99"/>
      <c r="R2916" s="104">
        <f t="shared" si="142"/>
        <v>0</v>
      </c>
      <c r="S2916" s="104">
        <f t="shared" si="143"/>
        <v>0</v>
      </c>
      <c r="T2916" s="104">
        <f t="shared" si="144"/>
        <v>0</v>
      </c>
    </row>
    <row r="2917" spans="1:20">
      <c r="A2917" s="101"/>
      <c r="B2917" s="101"/>
      <c r="C2917" s="101"/>
      <c r="D2917" s="101"/>
      <c r="E2917" s="101"/>
      <c r="F2917" s="102"/>
      <c r="G2917" s="101"/>
      <c r="H2917" s="102"/>
      <c r="I2917" s="101"/>
      <c r="J2917" s="101"/>
      <c r="K2917" s="103"/>
      <c r="L2917" s="103"/>
      <c r="M2917" s="103"/>
      <c r="N2917" s="103"/>
      <c r="O2917" s="103"/>
      <c r="P2917" s="98"/>
      <c r="Q2917" s="99"/>
      <c r="R2917" s="104">
        <f t="shared" si="142"/>
        <v>0</v>
      </c>
      <c r="S2917" s="104">
        <f t="shared" si="143"/>
        <v>0</v>
      </c>
      <c r="T2917" s="104">
        <f t="shared" si="144"/>
        <v>0</v>
      </c>
    </row>
    <row r="2918" spans="1:20">
      <c r="A2918" s="101"/>
      <c r="B2918" s="101"/>
      <c r="C2918" s="101"/>
      <c r="D2918" s="101"/>
      <c r="E2918" s="101"/>
      <c r="F2918" s="102"/>
      <c r="G2918" s="101"/>
      <c r="H2918" s="102"/>
      <c r="I2918" s="101"/>
      <c r="J2918" s="101"/>
      <c r="K2918" s="103"/>
      <c r="L2918" s="103"/>
      <c r="M2918" s="103"/>
      <c r="N2918" s="103"/>
      <c r="O2918" s="103"/>
      <c r="P2918" s="98"/>
      <c r="Q2918" s="99"/>
      <c r="R2918" s="104">
        <f t="shared" si="142"/>
        <v>0</v>
      </c>
      <c r="S2918" s="104">
        <f t="shared" si="143"/>
        <v>0</v>
      </c>
      <c r="T2918" s="104">
        <f t="shared" si="144"/>
        <v>0</v>
      </c>
    </row>
    <row r="2919" spans="1:20">
      <c r="A2919" s="101"/>
      <c r="B2919" s="101"/>
      <c r="C2919" s="101"/>
      <c r="D2919" s="101"/>
      <c r="E2919" s="101"/>
      <c r="F2919" s="102"/>
      <c r="G2919" s="101"/>
      <c r="H2919" s="102"/>
      <c r="I2919" s="101"/>
      <c r="J2919" s="101"/>
      <c r="K2919" s="103"/>
      <c r="L2919" s="103"/>
      <c r="M2919" s="103"/>
      <c r="N2919" s="103"/>
      <c r="O2919" s="103"/>
      <c r="P2919" s="98"/>
      <c r="Q2919" s="99"/>
      <c r="R2919" s="104">
        <f t="shared" si="142"/>
        <v>0</v>
      </c>
      <c r="S2919" s="104">
        <f t="shared" si="143"/>
        <v>0</v>
      </c>
      <c r="T2919" s="104">
        <f t="shared" si="144"/>
        <v>0</v>
      </c>
    </row>
    <row r="2920" spans="1:20">
      <c r="A2920" s="101"/>
      <c r="B2920" s="101"/>
      <c r="C2920" s="101"/>
      <c r="D2920" s="101"/>
      <c r="E2920" s="101"/>
      <c r="F2920" s="102"/>
      <c r="G2920" s="101"/>
      <c r="H2920" s="102"/>
      <c r="I2920" s="101"/>
      <c r="J2920" s="101"/>
      <c r="K2920" s="103"/>
      <c r="L2920" s="103"/>
      <c r="M2920" s="103"/>
      <c r="N2920" s="103"/>
      <c r="O2920" s="103"/>
      <c r="P2920" s="98"/>
      <c r="Q2920" s="99"/>
      <c r="R2920" s="104">
        <f t="shared" si="142"/>
        <v>0</v>
      </c>
      <c r="S2920" s="104">
        <f t="shared" si="143"/>
        <v>0</v>
      </c>
      <c r="T2920" s="104">
        <f t="shared" si="144"/>
        <v>0</v>
      </c>
    </row>
    <row r="2921" spans="1:20">
      <c r="A2921" s="101"/>
      <c r="B2921" s="101"/>
      <c r="C2921" s="101"/>
      <c r="D2921" s="101"/>
      <c r="E2921" s="101"/>
      <c r="F2921" s="102"/>
      <c r="G2921" s="101"/>
      <c r="H2921" s="102"/>
      <c r="I2921" s="101"/>
      <c r="J2921" s="101"/>
      <c r="K2921" s="103"/>
      <c r="L2921" s="103"/>
      <c r="M2921" s="103"/>
      <c r="N2921" s="103"/>
      <c r="O2921" s="103"/>
      <c r="P2921" s="98"/>
      <c r="Q2921" s="99"/>
      <c r="R2921" s="104">
        <f t="shared" si="142"/>
        <v>0</v>
      </c>
      <c r="S2921" s="104">
        <f t="shared" si="143"/>
        <v>0</v>
      </c>
      <c r="T2921" s="104">
        <f t="shared" si="144"/>
        <v>0</v>
      </c>
    </row>
    <row r="2922" spans="1:20">
      <c r="A2922" s="101"/>
      <c r="B2922" s="101"/>
      <c r="C2922" s="101"/>
      <c r="D2922" s="101"/>
      <c r="E2922" s="101"/>
      <c r="F2922" s="102"/>
      <c r="G2922" s="101"/>
      <c r="H2922" s="102"/>
      <c r="I2922" s="101"/>
      <c r="J2922" s="101"/>
      <c r="K2922" s="103"/>
      <c r="L2922" s="103"/>
      <c r="M2922" s="103"/>
      <c r="N2922" s="103"/>
      <c r="O2922" s="103"/>
      <c r="P2922" s="98"/>
      <c r="Q2922" s="99"/>
      <c r="R2922" s="104">
        <f t="shared" si="142"/>
        <v>0</v>
      </c>
      <c r="S2922" s="104">
        <f t="shared" si="143"/>
        <v>0</v>
      </c>
      <c r="T2922" s="104">
        <f t="shared" si="144"/>
        <v>0</v>
      </c>
    </row>
    <row r="2923" spans="1:20">
      <c r="A2923" s="101"/>
      <c r="B2923" s="101"/>
      <c r="C2923" s="101"/>
      <c r="D2923" s="101"/>
      <c r="E2923" s="101"/>
      <c r="F2923" s="102"/>
      <c r="G2923" s="101"/>
      <c r="H2923" s="102"/>
      <c r="I2923" s="101"/>
      <c r="J2923" s="101"/>
      <c r="K2923" s="103"/>
      <c r="L2923" s="103"/>
      <c r="M2923" s="103"/>
      <c r="N2923" s="103"/>
      <c r="O2923" s="103"/>
      <c r="P2923" s="98"/>
      <c r="Q2923" s="99"/>
      <c r="R2923" s="104">
        <f t="shared" si="142"/>
        <v>0</v>
      </c>
      <c r="S2923" s="104">
        <f t="shared" si="143"/>
        <v>0</v>
      </c>
      <c r="T2923" s="104">
        <f t="shared" si="144"/>
        <v>0</v>
      </c>
    </row>
    <row r="2924" spans="1:20">
      <c r="A2924" s="101"/>
      <c r="B2924" s="101"/>
      <c r="C2924" s="101"/>
      <c r="D2924" s="101"/>
      <c r="E2924" s="101"/>
      <c r="F2924" s="102"/>
      <c r="G2924" s="101"/>
      <c r="H2924" s="102"/>
      <c r="I2924" s="101"/>
      <c r="J2924" s="101"/>
      <c r="K2924" s="103"/>
      <c r="L2924" s="103"/>
      <c r="M2924" s="103"/>
      <c r="N2924" s="103"/>
      <c r="O2924" s="103"/>
      <c r="P2924" s="98"/>
      <c r="Q2924" s="99"/>
      <c r="R2924" s="104">
        <f t="shared" si="142"/>
        <v>0</v>
      </c>
      <c r="S2924" s="104">
        <f t="shared" si="143"/>
        <v>0</v>
      </c>
      <c r="T2924" s="104">
        <f t="shared" si="144"/>
        <v>0</v>
      </c>
    </row>
    <row r="2925" spans="1:20">
      <c r="A2925" s="101"/>
      <c r="B2925" s="101"/>
      <c r="C2925" s="101"/>
      <c r="D2925" s="101"/>
      <c r="E2925" s="101"/>
      <c r="F2925" s="102"/>
      <c r="G2925" s="101"/>
      <c r="H2925" s="102"/>
      <c r="I2925" s="101"/>
      <c r="J2925" s="101"/>
      <c r="K2925" s="103"/>
      <c r="L2925" s="103"/>
      <c r="M2925" s="103"/>
      <c r="N2925" s="103"/>
      <c r="O2925" s="103"/>
      <c r="P2925" s="98"/>
      <c r="Q2925" s="99"/>
      <c r="R2925" s="104">
        <f t="shared" si="142"/>
        <v>0</v>
      </c>
      <c r="S2925" s="104">
        <f t="shared" si="143"/>
        <v>0</v>
      </c>
      <c r="T2925" s="104">
        <f t="shared" si="144"/>
        <v>0</v>
      </c>
    </row>
    <row r="2926" spans="1:20">
      <c r="A2926" s="101"/>
      <c r="B2926" s="101"/>
      <c r="C2926" s="101"/>
      <c r="D2926" s="101"/>
      <c r="E2926" s="101"/>
      <c r="F2926" s="102"/>
      <c r="G2926" s="101"/>
      <c r="H2926" s="102"/>
      <c r="I2926" s="101"/>
      <c r="J2926" s="101"/>
      <c r="K2926" s="103"/>
      <c r="L2926" s="103"/>
      <c r="M2926" s="103"/>
      <c r="N2926" s="103"/>
      <c r="O2926" s="103"/>
      <c r="P2926" s="98"/>
      <c r="Q2926" s="99"/>
      <c r="R2926" s="104">
        <f t="shared" si="142"/>
        <v>0</v>
      </c>
      <c r="S2926" s="104">
        <f t="shared" si="143"/>
        <v>0</v>
      </c>
      <c r="T2926" s="104">
        <f t="shared" si="144"/>
        <v>0</v>
      </c>
    </row>
    <row r="2927" spans="1:20">
      <c r="A2927" s="101"/>
      <c r="B2927" s="101"/>
      <c r="C2927" s="101"/>
      <c r="D2927" s="101"/>
      <c r="E2927" s="101"/>
      <c r="F2927" s="102"/>
      <c r="G2927" s="101"/>
      <c r="H2927" s="102"/>
      <c r="I2927" s="101"/>
      <c r="J2927" s="101"/>
      <c r="K2927" s="103"/>
      <c r="L2927" s="103"/>
      <c r="M2927" s="103"/>
      <c r="N2927" s="103"/>
      <c r="O2927" s="103"/>
      <c r="P2927" s="98"/>
      <c r="Q2927" s="99"/>
      <c r="R2927" s="104">
        <f t="shared" si="142"/>
        <v>0</v>
      </c>
      <c r="S2927" s="104">
        <f t="shared" si="143"/>
        <v>0</v>
      </c>
      <c r="T2927" s="104">
        <f t="shared" si="144"/>
        <v>0</v>
      </c>
    </row>
    <row r="2928" spans="1:20">
      <c r="A2928" s="101"/>
      <c r="B2928" s="101"/>
      <c r="C2928" s="101"/>
      <c r="D2928" s="101"/>
      <c r="E2928" s="101"/>
      <c r="F2928" s="102"/>
      <c r="G2928" s="101"/>
      <c r="H2928" s="102"/>
      <c r="I2928" s="101"/>
      <c r="J2928" s="101"/>
      <c r="K2928" s="103"/>
      <c r="L2928" s="103"/>
      <c r="M2928" s="103"/>
      <c r="N2928" s="103"/>
      <c r="O2928" s="103"/>
      <c r="P2928" s="98"/>
      <c r="Q2928" s="99"/>
      <c r="R2928" s="104">
        <f t="shared" si="142"/>
        <v>0</v>
      </c>
      <c r="S2928" s="104">
        <f t="shared" si="143"/>
        <v>0</v>
      </c>
      <c r="T2928" s="104">
        <f t="shared" si="144"/>
        <v>0</v>
      </c>
    </row>
    <row r="2929" spans="1:20">
      <c r="A2929" s="101"/>
      <c r="B2929" s="101"/>
      <c r="C2929" s="101"/>
      <c r="D2929" s="101"/>
      <c r="E2929" s="101"/>
      <c r="F2929" s="102"/>
      <c r="G2929" s="101"/>
      <c r="H2929" s="102"/>
      <c r="I2929" s="101"/>
      <c r="J2929" s="101"/>
      <c r="K2929" s="103"/>
      <c r="L2929" s="103"/>
      <c r="M2929" s="103"/>
      <c r="N2929" s="103"/>
      <c r="O2929" s="103"/>
      <c r="P2929" s="98"/>
      <c r="Q2929" s="99"/>
      <c r="R2929" s="104">
        <f t="shared" si="142"/>
        <v>0</v>
      </c>
      <c r="S2929" s="104">
        <f t="shared" si="143"/>
        <v>0</v>
      </c>
      <c r="T2929" s="104">
        <f t="shared" si="144"/>
        <v>0</v>
      </c>
    </row>
    <row r="2930" spans="1:20">
      <c r="A2930" s="101"/>
      <c r="B2930" s="101"/>
      <c r="C2930" s="101"/>
      <c r="D2930" s="101"/>
      <c r="E2930" s="101"/>
      <c r="F2930" s="102"/>
      <c r="G2930" s="101"/>
      <c r="H2930" s="102"/>
      <c r="I2930" s="101"/>
      <c r="J2930" s="101"/>
      <c r="K2930" s="103"/>
      <c r="L2930" s="103"/>
      <c r="M2930" s="103"/>
      <c r="N2930" s="103"/>
      <c r="O2930" s="103"/>
      <c r="P2930" s="98"/>
      <c r="Q2930" s="99"/>
      <c r="R2930" s="104">
        <f t="shared" si="142"/>
        <v>0</v>
      </c>
      <c r="S2930" s="104">
        <f t="shared" si="143"/>
        <v>0</v>
      </c>
      <c r="T2930" s="104">
        <f t="shared" si="144"/>
        <v>0</v>
      </c>
    </row>
    <row r="2931" spans="1:20">
      <c r="A2931" s="101"/>
      <c r="B2931" s="101"/>
      <c r="C2931" s="101"/>
      <c r="D2931" s="101"/>
      <c r="E2931" s="101"/>
      <c r="F2931" s="102"/>
      <c r="G2931" s="101"/>
      <c r="H2931" s="102"/>
      <c r="I2931" s="101"/>
      <c r="J2931" s="101"/>
      <c r="K2931" s="103"/>
      <c r="L2931" s="103"/>
      <c r="M2931" s="103"/>
      <c r="N2931" s="103"/>
      <c r="O2931" s="103"/>
      <c r="P2931" s="98"/>
      <c r="Q2931" s="99"/>
      <c r="R2931" s="104">
        <f t="shared" si="142"/>
        <v>0</v>
      </c>
      <c r="S2931" s="104">
        <f t="shared" si="143"/>
        <v>0</v>
      </c>
      <c r="T2931" s="104">
        <f t="shared" si="144"/>
        <v>0</v>
      </c>
    </row>
    <row r="2932" spans="1:20">
      <c r="A2932" s="101"/>
      <c r="B2932" s="101"/>
      <c r="C2932" s="101"/>
      <c r="D2932" s="101"/>
      <c r="E2932" s="101"/>
      <c r="F2932" s="102"/>
      <c r="G2932" s="101"/>
      <c r="H2932" s="102"/>
      <c r="I2932" s="101"/>
      <c r="J2932" s="101"/>
      <c r="K2932" s="103"/>
      <c r="L2932" s="103"/>
      <c r="M2932" s="103"/>
      <c r="N2932" s="103"/>
      <c r="O2932" s="103"/>
      <c r="P2932" s="98"/>
      <c r="Q2932" s="99"/>
      <c r="R2932" s="104">
        <f t="shared" si="142"/>
        <v>0</v>
      </c>
      <c r="S2932" s="104">
        <f t="shared" si="143"/>
        <v>0</v>
      </c>
      <c r="T2932" s="104">
        <f t="shared" si="144"/>
        <v>0</v>
      </c>
    </row>
    <row r="2933" spans="1:20">
      <c r="A2933" s="101"/>
      <c r="B2933" s="101"/>
      <c r="C2933" s="101"/>
      <c r="D2933" s="101"/>
      <c r="E2933" s="101"/>
      <c r="F2933" s="102"/>
      <c r="G2933" s="101"/>
      <c r="H2933" s="102"/>
      <c r="I2933" s="101"/>
      <c r="J2933" s="101"/>
      <c r="K2933" s="103"/>
      <c r="L2933" s="103"/>
      <c r="M2933" s="103"/>
      <c r="N2933" s="103"/>
      <c r="O2933" s="103"/>
      <c r="P2933" s="98"/>
      <c r="Q2933" s="99"/>
      <c r="R2933" s="104">
        <f t="shared" si="142"/>
        <v>0</v>
      </c>
      <c r="S2933" s="104">
        <f t="shared" si="143"/>
        <v>0</v>
      </c>
      <c r="T2933" s="104">
        <f t="shared" si="144"/>
        <v>0</v>
      </c>
    </row>
    <row r="2934" spans="1:20">
      <c r="A2934" s="101"/>
      <c r="B2934" s="101"/>
      <c r="C2934" s="101"/>
      <c r="D2934" s="101"/>
      <c r="E2934" s="101"/>
      <c r="F2934" s="102"/>
      <c r="G2934" s="101"/>
      <c r="H2934" s="102"/>
      <c r="I2934" s="101"/>
      <c r="J2934" s="101"/>
      <c r="K2934" s="103"/>
      <c r="L2934" s="103"/>
      <c r="M2934" s="103"/>
      <c r="N2934" s="103"/>
      <c r="O2934" s="103"/>
      <c r="P2934" s="98"/>
      <c r="Q2934" s="99"/>
      <c r="R2934" s="104">
        <f t="shared" si="142"/>
        <v>0</v>
      </c>
      <c r="S2934" s="104">
        <f t="shared" si="143"/>
        <v>0</v>
      </c>
      <c r="T2934" s="104">
        <f t="shared" si="144"/>
        <v>0</v>
      </c>
    </row>
    <row r="2935" spans="1:20">
      <c r="A2935" s="101"/>
      <c r="B2935" s="101"/>
      <c r="C2935" s="101"/>
      <c r="D2935" s="101"/>
      <c r="E2935" s="101"/>
      <c r="F2935" s="102"/>
      <c r="G2935" s="101"/>
      <c r="H2935" s="102"/>
      <c r="I2935" s="101"/>
      <c r="J2935" s="101"/>
      <c r="K2935" s="103"/>
      <c r="L2935" s="103"/>
      <c r="M2935" s="103"/>
      <c r="N2935" s="103"/>
      <c r="O2935" s="103"/>
      <c r="P2935" s="98"/>
      <c r="Q2935" s="99"/>
      <c r="R2935" s="104">
        <f t="shared" si="142"/>
        <v>0</v>
      </c>
      <c r="S2935" s="104">
        <f t="shared" si="143"/>
        <v>0</v>
      </c>
      <c r="T2935" s="104">
        <f t="shared" si="144"/>
        <v>0</v>
      </c>
    </row>
    <row r="2936" spans="1:20">
      <c r="A2936" s="101"/>
      <c r="B2936" s="101"/>
      <c r="C2936" s="101"/>
      <c r="D2936" s="101"/>
      <c r="E2936" s="101"/>
      <c r="F2936" s="102"/>
      <c r="G2936" s="101"/>
      <c r="H2936" s="102"/>
      <c r="I2936" s="101"/>
      <c r="J2936" s="101"/>
      <c r="K2936" s="103"/>
      <c r="L2936" s="103"/>
      <c r="M2936" s="103"/>
      <c r="N2936" s="103"/>
      <c r="O2936" s="103"/>
      <c r="P2936" s="98"/>
      <c r="Q2936" s="99"/>
      <c r="R2936" s="104">
        <f t="shared" si="142"/>
        <v>0</v>
      </c>
      <c r="S2936" s="104">
        <f t="shared" si="143"/>
        <v>0</v>
      </c>
      <c r="T2936" s="104">
        <f t="shared" si="144"/>
        <v>0</v>
      </c>
    </row>
    <row r="2937" spans="1:20">
      <c r="A2937" s="101"/>
      <c r="B2937" s="101"/>
      <c r="C2937" s="101"/>
      <c r="D2937" s="101"/>
      <c r="E2937" s="101"/>
      <c r="F2937" s="102"/>
      <c r="G2937" s="101"/>
      <c r="H2937" s="102"/>
      <c r="I2937" s="101"/>
      <c r="J2937" s="101"/>
      <c r="K2937" s="103"/>
      <c r="L2937" s="103"/>
      <c r="M2937" s="103"/>
      <c r="N2937" s="103"/>
      <c r="O2937" s="103"/>
      <c r="P2937" s="98"/>
      <c r="Q2937" s="99"/>
      <c r="R2937" s="104">
        <f t="shared" si="142"/>
        <v>0</v>
      </c>
      <c r="S2937" s="104">
        <f t="shared" si="143"/>
        <v>0</v>
      </c>
      <c r="T2937" s="104">
        <f t="shared" si="144"/>
        <v>0</v>
      </c>
    </row>
    <row r="2938" spans="1:20">
      <c r="A2938" s="101"/>
      <c r="B2938" s="101"/>
      <c r="C2938" s="101"/>
      <c r="D2938" s="101"/>
      <c r="E2938" s="101"/>
      <c r="F2938" s="102"/>
      <c r="G2938" s="101"/>
      <c r="H2938" s="102"/>
      <c r="I2938" s="101"/>
      <c r="J2938" s="101"/>
      <c r="K2938" s="103"/>
      <c r="L2938" s="103"/>
      <c r="M2938" s="103"/>
      <c r="N2938" s="103"/>
      <c r="O2938" s="103"/>
      <c r="P2938" s="98"/>
      <c r="Q2938" s="99"/>
      <c r="R2938" s="104">
        <f t="shared" si="142"/>
        <v>0</v>
      </c>
      <c r="S2938" s="104">
        <f t="shared" si="143"/>
        <v>0</v>
      </c>
      <c r="T2938" s="104">
        <f t="shared" si="144"/>
        <v>0</v>
      </c>
    </row>
    <row r="2939" spans="1:20">
      <c r="A2939" s="101"/>
      <c r="B2939" s="101"/>
      <c r="C2939" s="101"/>
      <c r="D2939" s="101"/>
      <c r="E2939" s="101"/>
      <c r="F2939" s="102"/>
      <c r="G2939" s="101"/>
      <c r="H2939" s="102"/>
      <c r="I2939" s="101"/>
      <c r="J2939" s="101"/>
      <c r="K2939" s="103"/>
      <c r="L2939" s="103"/>
      <c r="M2939" s="103"/>
      <c r="N2939" s="103"/>
      <c r="O2939" s="103"/>
      <c r="P2939" s="98"/>
      <c r="Q2939" s="99"/>
      <c r="R2939" s="104">
        <f t="shared" si="142"/>
        <v>0</v>
      </c>
      <c r="S2939" s="104">
        <f t="shared" si="143"/>
        <v>0</v>
      </c>
      <c r="T2939" s="104">
        <f t="shared" si="144"/>
        <v>0</v>
      </c>
    </row>
    <row r="2940" spans="1:20">
      <c r="A2940" s="101"/>
      <c r="B2940" s="101"/>
      <c r="C2940" s="101"/>
      <c r="D2940" s="101"/>
      <c r="E2940" s="101"/>
      <c r="F2940" s="102"/>
      <c r="G2940" s="101"/>
      <c r="H2940" s="102"/>
      <c r="I2940" s="101"/>
      <c r="J2940" s="101"/>
      <c r="K2940" s="103"/>
      <c r="L2940" s="103"/>
      <c r="M2940" s="103"/>
      <c r="N2940" s="103"/>
      <c r="O2940" s="103"/>
      <c r="P2940" s="98"/>
      <c r="Q2940" s="99"/>
      <c r="R2940" s="104">
        <f t="shared" si="142"/>
        <v>0</v>
      </c>
      <c r="S2940" s="104">
        <f t="shared" si="143"/>
        <v>0</v>
      </c>
      <c r="T2940" s="104">
        <f t="shared" si="144"/>
        <v>0</v>
      </c>
    </row>
    <row r="2941" spans="1:20">
      <c r="A2941" s="101"/>
      <c r="B2941" s="101"/>
      <c r="C2941" s="101"/>
      <c r="D2941" s="101"/>
      <c r="E2941" s="101"/>
      <c r="F2941" s="102"/>
      <c r="G2941" s="101"/>
      <c r="H2941" s="102"/>
      <c r="I2941" s="101"/>
      <c r="J2941" s="101"/>
      <c r="K2941" s="103"/>
      <c r="L2941" s="103"/>
      <c r="M2941" s="103"/>
      <c r="N2941" s="103"/>
      <c r="O2941" s="103"/>
      <c r="P2941" s="98"/>
      <c r="Q2941" s="99"/>
      <c r="R2941" s="104">
        <f t="shared" si="142"/>
        <v>0</v>
      </c>
      <c r="S2941" s="104">
        <f t="shared" si="143"/>
        <v>0</v>
      </c>
      <c r="T2941" s="104">
        <f t="shared" si="144"/>
        <v>0</v>
      </c>
    </row>
    <row r="2942" spans="1:20">
      <c r="A2942" s="101"/>
      <c r="B2942" s="101"/>
      <c r="C2942" s="101"/>
      <c r="D2942" s="101"/>
      <c r="E2942" s="101"/>
      <c r="F2942" s="102"/>
      <c r="G2942" s="101"/>
      <c r="H2942" s="102"/>
      <c r="I2942" s="101"/>
      <c r="J2942" s="101"/>
      <c r="K2942" s="103"/>
      <c r="L2942" s="103"/>
      <c r="M2942" s="103"/>
      <c r="N2942" s="103"/>
      <c r="O2942" s="103"/>
      <c r="P2942" s="98"/>
      <c r="Q2942" s="99"/>
      <c r="R2942" s="104">
        <f t="shared" si="142"/>
        <v>0</v>
      </c>
      <c r="S2942" s="104">
        <f t="shared" si="143"/>
        <v>0</v>
      </c>
      <c r="T2942" s="104">
        <f t="shared" si="144"/>
        <v>0</v>
      </c>
    </row>
    <row r="2943" spans="1:20">
      <c r="A2943" s="101"/>
      <c r="B2943" s="101"/>
      <c r="C2943" s="101"/>
      <c r="D2943" s="101"/>
      <c r="E2943" s="101"/>
      <c r="F2943" s="102"/>
      <c r="G2943" s="101"/>
      <c r="H2943" s="102"/>
      <c r="I2943" s="101"/>
      <c r="J2943" s="101"/>
      <c r="K2943" s="103"/>
      <c r="L2943" s="103"/>
      <c r="M2943" s="103"/>
      <c r="N2943" s="103"/>
      <c r="O2943" s="103"/>
      <c r="P2943" s="98"/>
      <c r="Q2943" s="99"/>
      <c r="R2943" s="104">
        <f t="shared" si="142"/>
        <v>0</v>
      </c>
      <c r="S2943" s="104">
        <f t="shared" si="143"/>
        <v>0</v>
      </c>
      <c r="T2943" s="104">
        <f t="shared" si="144"/>
        <v>0</v>
      </c>
    </row>
    <row r="2944" spans="1:20">
      <c r="A2944" s="101"/>
      <c r="B2944" s="101"/>
      <c r="C2944" s="101"/>
      <c r="D2944" s="101"/>
      <c r="E2944" s="101"/>
      <c r="F2944" s="102"/>
      <c r="G2944" s="101"/>
      <c r="H2944" s="102"/>
      <c r="I2944" s="101"/>
      <c r="J2944" s="101"/>
      <c r="K2944" s="103"/>
      <c r="L2944" s="103"/>
      <c r="M2944" s="103"/>
      <c r="N2944" s="103"/>
      <c r="O2944" s="103"/>
      <c r="P2944" s="98"/>
      <c r="Q2944" s="99"/>
      <c r="R2944" s="104">
        <f t="shared" si="142"/>
        <v>0</v>
      </c>
      <c r="S2944" s="104">
        <f t="shared" si="143"/>
        <v>0</v>
      </c>
      <c r="T2944" s="104">
        <f t="shared" si="144"/>
        <v>0</v>
      </c>
    </row>
    <row r="2945" spans="1:20">
      <c r="A2945" s="101"/>
      <c r="B2945" s="101"/>
      <c r="C2945" s="101"/>
      <c r="D2945" s="101"/>
      <c r="E2945" s="101"/>
      <c r="F2945" s="102"/>
      <c r="G2945" s="101"/>
      <c r="H2945" s="102"/>
      <c r="I2945" s="101"/>
      <c r="J2945" s="101"/>
      <c r="K2945" s="103"/>
      <c r="L2945" s="103"/>
      <c r="M2945" s="103"/>
      <c r="N2945" s="103"/>
      <c r="O2945" s="103"/>
      <c r="P2945" s="98"/>
      <c r="Q2945" s="99"/>
      <c r="R2945" s="104">
        <f t="shared" si="142"/>
        <v>0</v>
      </c>
      <c r="S2945" s="104">
        <f t="shared" si="143"/>
        <v>0</v>
      </c>
      <c r="T2945" s="104">
        <f t="shared" si="144"/>
        <v>0</v>
      </c>
    </row>
    <row r="2946" spans="1:20">
      <c r="A2946" s="101"/>
      <c r="B2946" s="101"/>
      <c r="C2946" s="101"/>
      <c r="D2946" s="101"/>
      <c r="E2946" s="101"/>
      <c r="F2946" s="102"/>
      <c r="G2946" s="101"/>
      <c r="H2946" s="102"/>
      <c r="I2946" s="101"/>
      <c r="J2946" s="101"/>
      <c r="K2946" s="103"/>
      <c r="L2946" s="103"/>
      <c r="M2946" s="103"/>
      <c r="N2946" s="103"/>
      <c r="O2946" s="103"/>
      <c r="P2946" s="98"/>
      <c r="Q2946" s="99"/>
      <c r="R2946" s="104">
        <f t="shared" si="142"/>
        <v>0</v>
      </c>
      <c r="S2946" s="104">
        <f t="shared" si="143"/>
        <v>0</v>
      </c>
      <c r="T2946" s="104">
        <f t="shared" si="144"/>
        <v>0</v>
      </c>
    </row>
    <row r="2947" spans="1:20">
      <c r="A2947" s="101"/>
      <c r="B2947" s="101"/>
      <c r="C2947" s="101"/>
      <c r="D2947" s="101"/>
      <c r="E2947" s="101"/>
      <c r="F2947" s="102"/>
      <c r="G2947" s="101"/>
      <c r="H2947" s="102"/>
      <c r="I2947" s="101"/>
      <c r="J2947" s="101"/>
      <c r="K2947" s="103"/>
      <c r="L2947" s="103"/>
      <c r="M2947" s="103"/>
      <c r="N2947" s="103"/>
      <c r="O2947" s="103"/>
      <c r="P2947" s="98"/>
      <c r="Q2947" s="99"/>
      <c r="R2947" s="104">
        <f t="shared" si="142"/>
        <v>0</v>
      </c>
      <c r="S2947" s="104">
        <f t="shared" si="143"/>
        <v>0</v>
      </c>
      <c r="T2947" s="104">
        <f t="shared" si="144"/>
        <v>0</v>
      </c>
    </row>
    <row r="2948" spans="1:20">
      <c r="A2948" s="101"/>
      <c r="B2948" s="101"/>
      <c r="C2948" s="101"/>
      <c r="D2948" s="101"/>
      <c r="E2948" s="101"/>
      <c r="F2948" s="102"/>
      <c r="G2948" s="101"/>
      <c r="H2948" s="102"/>
      <c r="I2948" s="101"/>
      <c r="J2948" s="101"/>
      <c r="K2948" s="103"/>
      <c r="L2948" s="103"/>
      <c r="M2948" s="103"/>
      <c r="N2948" s="103"/>
      <c r="O2948" s="103"/>
      <c r="P2948" s="98"/>
      <c r="Q2948" s="99"/>
      <c r="R2948" s="104">
        <f t="shared" si="142"/>
        <v>0</v>
      </c>
      <c r="S2948" s="104">
        <f t="shared" si="143"/>
        <v>0</v>
      </c>
      <c r="T2948" s="104">
        <f t="shared" si="144"/>
        <v>0</v>
      </c>
    </row>
    <row r="2949" spans="1:20">
      <c r="A2949" s="101"/>
      <c r="B2949" s="101"/>
      <c r="C2949" s="101"/>
      <c r="D2949" s="101"/>
      <c r="E2949" s="101"/>
      <c r="F2949" s="102"/>
      <c r="G2949" s="101"/>
      <c r="H2949" s="102"/>
      <c r="I2949" s="101"/>
      <c r="J2949" s="101"/>
      <c r="K2949" s="103"/>
      <c r="L2949" s="103"/>
      <c r="M2949" s="103"/>
      <c r="N2949" s="103"/>
      <c r="O2949" s="103"/>
      <c r="P2949" s="98"/>
      <c r="Q2949" s="99"/>
      <c r="R2949" s="104">
        <f t="shared" si="142"/>
        <v>0</v>
      </c>
      <c r="S2949" s="104">
        <f t="shared" si="143"/>
        <v>0</v>
      </c>
      <c r="T2949" s="104">
        <f t="shared" si="144"/>
        <v>0</v>
      </c>
    </row>
    <row r="2950" spans="1:20">
      <c r="A2950" s="101"/>
      <c r="B2950" s="101"/>
      <c r="C2950" s="101"/>
      <c r="D2950" s="101"/>
      <c r="E2950" s="101"/>
      <c r="F2950" s="102"/>
      <c r="G2950" s="101"/>
      <c r="H2950" s="102"/>
      <c r="I2950" s="101"/>
      <c r="J2950" s="101"/>
      <c r="K2950" s="103"/>
      <c r="L2950" s="103"/>
      <c r="M2950" s="103"/>
      <c r="N2950" s="103"/>
      <c r="O2950" s="103"/>
      <c r="P2950" s="98"/>
      <c r="Q2950" s="99"/>
      <c r="R2950" s="104">
        <f t="shared" si="142"/>
        <v>0</v>
      </c>
      <c r="S2950" s="104">
        <f t="shared" si="143"/>
        <v>0</v>
      </c>
      <c r="T2950" s="104">
        <f t="shared" si="144"/>
        <v>0</v>
      </c>
    </row>
    <row r="2951" spans="1:20">
      <c r="A2951" s="101"/>
      <c r="B2951" s="101"/>
      <c r="C2951" s="101"/>
      <c r="D2951" s="101"/>
      <c r="E2951" s="101"/>
      <c r="F2951" s="102"/>
      <c r="G2951" s="101"/>
      <c r="H2951" s="102"/>
      <c r="I2951" s="101"/>
      <c r="J2951" s="101"/>
      <c r="K2951" s="103"/>
      <c r="L2951" s="103"/>
      <c r="M2951" s="103"/>
      <c r="N2951" s="103"/>
      <c r="O2951" s="103"/>
      <c r="P2951" s="98"/>
      <c r="Q2951" s="99"/>
      <c r="R2951" s="104">
        <f t="shared" si="142"/>
        <v>0</v>
      </c>
      <c r="S2951" s="104">
        <f t="shared" si="143"/>
        <v>0</v>
      </c>
      <c r="T2951" s="104">
        <f t="shared" si="144"/>
        <v>0</v>
      </c>
    </row>
    <row r="2952" spans="1:20">
      <c r="A2952" s="101"/>
      <c r="B2952" s="101"/>
      <c r="C2952" s="101"/>
      <c r="D2952" s="101"/>
      <c r="E2952" s="101"/>
      <c r="F2952" s="102"/>
      <c r="G2952" s="101"/>
      <c r="H2952" s="102"/>
      <c r="I2952" s="101"/>
      <c r="J2952" s="101"/>
      <c r="K2952" s="103"/>
      <c r="L2952" s="103"/>
      <c r="M2952" s="103"/>
      <c r="N2952" s="103"/>
      <c r="O2952" s="103"/>
      <c r="P2952" s="98"/>
      <c r="Q2952" s="99"/>
      <c r="R2952" s="104">
        <f t="shared" si="142"/>
        <v>0</v>
      </c>
      <c r="S2952" s="104">
        <f t="shared" si="143"/>
        <v>0</v>
      </c>
      <c r="T2952" s="104">
        <f t="shared" si="144"/>
        <v>0</v>
      </c>
    </row>
    <row r="2953" spans="1:20">
      <c r="A2953" s="101"/>
      <c r="B2953" s="101"/>
      <c r="C2953" s="101"/>
      <c r="D2953" s="101"/>
      <c r="E2953" s="101"/>
      <c r="F2953" s="102"/>
      <c r="G2953" s="101"/>
      <c r="H2953" s="102"/>
      <c r="I2953" s="101"/>
      <c r="J2953" s="101"/>
      <c r="K2953" s="103"/>
      <c r="L2953" s="103"/>
      <c r="M2953" s="103"/>
      <c r="N2953" s="103"/>
      <c r="O2953" s="103"/>
      <c r="P2953" s="98"/>
      <c r="Q2953" s="99"/>
      <c r="R2953" s="104">
        <f t="shared" si="142"/>
        <v>0</v>
      </c>
      <c r="S2953" s="104">
        <f t="shared" si="143"/>
        <v>0</v>
      </c>
      <c r="T2953" s="104">
        <f t="shared" si="144"/>
        <v>0</v>
      </c>
    </row>
    <row r="2954" spans="1:20">
      <c r="A2954" s="101"/>
      <c r="B2954" s="101"/>
      <c r="C2954" s="101"/>
      <c r="D2954" s="101"/>
      <c r="E2954" s="101"/>
      <c r="F2954" s="102"/>
      <c r="G2954" s="101"/>
      <c r="H2954" s="102"/>
      <c r="I2954" s="101"/>
      <c r="J2954" s="101"/>
      <c r="K2954" s="103"/>
      <c r="L2954" s="103"/>
      <c r="M2954" s="103"/>
      <c r="N2954" s="103"/>
      <c r="O2954" s="103"/>
      <c r="P2954" s="98"/>
      <c r="Q2954" s="99"/>
      <c r="R2954" s="104">
        <f t="shared" ref="R2954:R3017" si="145">IF(P2954="Cargo",K2954+L2954-M2954-N2954+O2954,0)</f>
        <v>0</v>
      </c>
      <c r="S2954" s="104">
        <f t="shared" ref="S2954:S3017" si="146">IF(P2954="Abono",K2954+L2954+M2954-N2954-O2954,0)</f>
        <v>0</v>
      </c>
      <c r="T2954" s="104">
        <f t="shared" ref="T2954:T3017" si="147">IF(Q2954="OK",+T2953+R2954-S2954,T2953)</f>
        <v>0</v>
      </c>
    </row>
    <row r="2955" spans="1:20">
      <c r="A2955" s="101"/>
      <c r="B2955" s="101"/>
      <c r="C2955" s="101"/>
      <c r="D2955" s="101"/>
      <c r="E2955" s="101"/>
      <c r="F2955" s="102"/>
      <c r="G2955" s="101"/>
      <c r="H2955" s="102"/>
      <c r="I2955" s="101"/>
      <c r="J2955" s="101"/>
      <c r="K2955" s="103"/>
      <c r="L2955" s="103"/>
      <c r="M2955" s="103"/>
      <c r="N2955" s="103"/>
      <c r="O2955" s="103"/>
      <c r="P2955" s="98"/>
      <c r="Q2955" s="99"/>
      <c r="R2955" s="104">
        <f t="shared" si="145"/>
        <v>0</v>
      </c>
      <c r="S2955" s="104">
        <f t="shared" si="146"/>
        <v>0</v>
      </c>
      <c r="T2955" s="104">
        <f t="shared" si="147"/>
        <v>0</v>
      </c>
    </row>
    <row r="2956" spans="1:20">
      <c r="A2956" s="101"/>
      <c r="B2956" s="101"/>
      <c r="C2956" s="101"/>
      <c r="D2956" s="101"/>
      <c r="E2956" s="101"/>
      <c r="F2956" s="102"/>
      <c r="G2956" s="101"/>
      <c r="H2956" s="102"/>
      <c r="I2956" s="101"/>
      <c r="J2956" s="101"/>
      <c r="K2956" s="103"/>
      <c r="L2956" s="103"/>
      <c r="M2956" s="103"/>
      <c r="N2956" s="103"/>
      <c r="O2956" s="103"/>
      <c r="P2956" s="98"/>
      <c r="Q2956" s="99"/>
      <c r="R2956" s="104">
        <f t="shared" si="145"/>
        <v>0</v>
      </c>
      <c r="S2956" s="104">
        <f t="shared" si="146"/>
        <v>0</v>
      </c>
      <c r="T2956" s="104">
        <f t="shared" si="147"/>
        <v>0</v>
      </c>
    </row>
    <row r="2957" spans="1:20">
      <c r="A2957" s="101"/>
      <c r="B2957" s="101"/>
      <c r="C2957" s="101"/>
      <c r="D2957" s="101"/>
      <c r="E2957" s="101"/>
      <c r="F2957" s="102"/>
      <c r="G2957" s="101"/>
      <c r="H2957" s="102"/>
      <c r="I2957" s="101"/>
      <c r="J2957" s="101"/>
      <c r="K2957" s="103"/>
      <c r="L2957" s="103"/>
      <c r="M2957" s="103"/>
      <c r="N2957" s="103"/>
      <c r="O2957" s="103"/>
      <c r="P2957" s="98"/>
      <c r="Q2957" s="99"/>
      <c r="R2957" s="104">
        <f t="shared" si="145"/>
        <v>0</v>
      </c>
      <c r="S2957" s="104">
        <f t="shared" si="146"/>
        <v>0</v>
      </c>
      <c r="T2957" s="104">
        <f t="shared" si="147"/>
        <v>0</v>
      </c>
    </row>
    <row r="2958" spans="1:20">
      <c r="A2958" s="101"/>
      <c r="B2958" s="101"/>
      <c r="C2958" s="101"/>
      <c r="D2958" s="101"/>
      <c r="E2958" s="101"/>
      <c r="F2958" s="102"/>
      <c r="G2958" s="101"/>
      <c r="H2958" s="102"/>
      <c r="I2958" s="101"/>
      <c r="J2958" s="101"/>
      <c r="K2958" s="103"/>
      <c r="L2958" s="103"/>
      <c r="M2958" s="103"/>
      <c r="N2958" s="103"/>
      <c r="O2958" s="103"/>
      <c r="P2958" s="98"/>
      <c r="Q2958" s="99"/>
      <c r="R2958" s="104">
        <f t="shared" si="145"/>
        <v>0</v>
      </c>
      <c r="S2958" s="104">
        <f t="shared" si="146"/>
        <v>0</v>
      </c>
      <c r="T2958" s="104">
        <f t="shared" si="147"/>
        <v>0</v>
      </c>
    </row>
    <row r="2959" spans="1:20">
      <c r="A2959" s="101"/>
      <c r="B2959" s="101"/>
      <c r="C2959" s="101"/>
      <c r="D2959" s="101"/>
      <c r="E2959" s="101"/>
      <c r="F2959" s="102"/>
      <c r="G2959" s="101"/>
      <c r="H2959" s="102"/>
      <c r="I2959" s="101"/>
      <c r="J2959" s="101"/>
      <c r="K2959" s="103"/>
      <c r="L2959" s="103"/>
      <c r="M2959" s="103"/>
      <c r="N2959" s="103"/>
      <c r="O2959" s="103"/>
      <c r="P2959" s="98"/>
      <c r="Q2959" s="99"/>
      <c r="R2959" s="104">
        <f t="shared" si="145"/>
        <v>0</v>
      </c>
      <c r="S2959" s="104">
        <f t="shared" si="146"/>
        <v>0</v>
      </c>
      <c r="T2959" s="104">
        <f t="shared" si="147"/>
        <v>0</v>
      </c>
    </row>
    <row r="2960" spans="1:20">
      <c r="A2960" s="101"/>
      <c r="B2960" s="101"/>
      <c r="C2960" s="101"/>
      <c r="D2960" s="101"/>
      <c r="E2960" s="101"/>
      <c r="F2960" s="102"/>
      <c r="G2960" s="101"/>
      <c r="H2960" s="102"/>
      <c r="I2960" s="101"/>
      <c r="J2960" s="101"/>
      <c r="K2960" s="103"/>
      <c r="L2960" s="103"/>
      <c r="M2960" s="103"/>
      <c r="N2960" s="103"/>
      <c r="O2960" s="103"/>
      <c r="P2960" s="98"/>
      <c r="Q2960" s="99"/>
      <c r="R2960" s="104">
        <f t="shared" si="145"/>
        <v>0</v>
      </c>
      <c r="S2960" s="104">
        <f t="shared" si="146"/>
        <v>0</v>
      </c>
      <c r="T2960" s="104">
        <f t="shared" si="147"/>
        <v>0</v>
      </c>
    </row>
    <row r="2961" spans="1:20">
      <c r="A2961" s="101"/>
      <c r="B2961" s="101"/>
      <c r="C2961" s="101"/>
      <c r="D2961" s="101"/>
      <c r="E2961" s="101"/>
      <c r="F2961" s="102"/>
      <c r="G2961" s="101"/>
      <c r="H2961" s="102"/>
      <c r="I2961" s="101"/>
      <c r="J2961" s="101"/>
      <c r="K2961" s="103"/>
      <c r="L2961" s="103"/>
      <c r="M2961" s="103"/>
      <c r="N2961" s="103"/>
      <c r="O2961" s="103"/>
      <c r="P2961" s="98"/>
      <c r="Q2961" s="99"/>
      <c r="R2961" s="104">
        <f t="shared" si="145"/>
        <v>0</v>
      </c>
      <c r="S2961" s="104">
        <f t="shared" si="146"/>
        <v>0</v>
      </c>
      <c r="T2961" s="104">
        <f t="shared" si="147"/>
        <v>0</v>
      </c>
    </row>
    <row r="2962" spans="1:20">
      <c r="A2962" s="101"/>
      <c r="B2962" s="101"/>
      <c r="C2962" s="101"/>
      <c r="D2962" s="101"/>
      <c r="E2962" s="101"/>
      <c r="F2962" s="102"/>
      <c r="G2962" s="101"/>
      <c r="H2962" s="102"/>
      <c r="I2962" s="101"/>
      <c r="J2962" s="101"/>
      <c r="K2962" s="103"/>
      <c r="L2962" s="103"/>
      <c r="M2962" s="103"/>
      <c r="N2962" s="103"/>
      <c r="O2962" s="103"/>
      <c r="P2962" s="98"/>
      <c r="Q2962" s="99"/>
      <c r="R2962" s="104">
        <f t="shared" si="145"/>
        <v>0</v>
      </c>
      <c r="S2962" s="104">
        <f t="shared" si="146"/>
        <v>0</v>
      </c>
      <c r="T2962" s="104">
        <f t="shared" si="147"/>
        <v>0</v>
      </c>
    </row>
    <row r="2963" spans="1:20">
      <c r="A2963" s="101"/>
      <c r="B2963" s="101"/>
      <c r="C2963" s="101"/>
      <c r="D2963" s="101"/>
      <c r="E2963" s="101"/>
      <c r="F2963" s="102"/>
      <c r="G2963" s="101"/>
      <c r="H2963" s="102"/>
      <c r="I2963" s="101"/>
      <c r="J2963" s="101"/>
      <c r="K2963" s="103"/>
      <c r="L2963" s="103"/>
      <c r="M2963" s="103"/>
      <c r="N2963" s="103"/>
      <c r="O2963" s="103"/>
      <c r="P2963" s="98"/>
      <c r="Q2963" s="99"/>
      <c r="R2963" s="104">
        <f t="shared" si="145"/>
        <v>0</v>
      </c>
      <c r="S2963" s="104">
        <f t="shared" si="146"/>
        <v>0</v>
      </c>
      <c r="T2963" s="104">
        <f t="shared" si="147"/>
        <v>0</v>
      </c>
    </row>
    <row r="2964" spans="1:20">
      <c r="A2964" s="101"/>
      <c r="B2964" s="101"/>
      <c r="C2964" s="101"/>
      <c r="D2964" s="101"/>
      <c r="E2964" s="101"/>
      <c r="F2964" s="102"/>
      <c r="G2964" s="101"/>
      <c r="H2964" s="102"/>
      <c r="I2964" s="101"/>
      <c r="J2964" s="101"/>
      <c r="K2964" s="103"/>
      <c r="L2964" s="103"/>
      <c r="M2964" s="103"/>
      <c r="N2964" s="103"/>
      <c r="O2964" s="103"/>
      <c r="P2964" s="98"/>
      <c r="Q2964" s="99"/>
      <c r="R2964" s="104">
        <f t="shared" si="145"/>
        <v>0</v>
      </c>
      <c r="S2964" s="104">
        <f t="shared" si="146"/>
        <v>0</v>
      </c>
      <c r="T2964" s="104">
        <f t="shared" si="147"/>
        <v>0</v>
      </c>
    </row>
    <row r="2965" spans="1:20">
      <c r="A2965" s="101"/>
      <c r="B2965" s="101"/>
      <c r="C2965" s="101"/>
      <c r="D2965" s="101"/>
      <c r="E2965" s="101"/>
      <c r="F2965" s="102"/>
      <c r="G2965" s="101"/>
      <c r="H2965" s="102"/>
      <c r="I2965" s="101"/>
      <c r="J2965" s="101"/>
      <c r="K2965" s="103"/>
      <c r="L2965" s="103"/>
      <c r="M2965" s="103"/>
      <c r="N2965" s="103"/>
      <c r="O2965" s="103"/>
      <c r="P2965" s="98"/>
      <c r="Q2965" s="99"/>
      <c r="R2965" s="104">
        <f t="shared" si="145"/>
        <v>0</v>
      </c>
      <c r="S2965" s="104">
        <f t="shared" si="146"/>
        <v>0</v>
      </c>
      <c r="T2965" s="104">
        <f t="shared" si="147"/>
        <v>0</v>
      </c>
    </row>
    <row r="2966" spans="1:20">
      <c r="A2966" s="101"/>
      <c r="B2966" s="101"/>
      <c r="C2966" s="101"/>
      <c r="D2966" s="101"/>
      <c r="E2966" s="101"/>
      <c r="F2966" s="102"/>
      <c r="G2966" s="101"/>
      <c r="H2966" s="102"/>
      <c r="I2966" s="101"/>
      <c r="J2966" s="101"/>
      <c r="K2966" s="103"/>
      <c r="L2966" s="103"/>
      <c r="M2966" s="103"/>
      <c r="N2966" s="103"/>
      <c r="O2966" s="103"/>
      <c r="P2966" s="98"/>
      <c r="Q2966" s="99"/>
      <c r="R2966" s="104">
        <f t="shared" si="145"/>
        <v>0</v>
      </c>
      <c r="S2966" s="104">
        <f t="shared" si="146"/>
        <v>0</v>
      </c>
      <c r="T2966" s="104">
        <f t="shared" si="147"/>
        <v>0</v>
      </c>
    </row>
    <row r="2967" spans="1:20">
      <c r="A2967" s="101"/>
      <c r="B2967" s="101"/>
      <c r="C2967" s="101"/>
      <c r="D2967" s="101"/>
      <c r="E2967" s="101"/>
      <c r="F2967" s="102"/>
      <c r="G2967" s="101"/>
      <c r="H2967" s="102"/>
      <c r="I2967" s="101"/>
      <c r="J2967" s="101"/>
      <c r="K2967" s="103"/>
      <c r="L2967" s="103"/>
      <c r="M2967" s="103"/>
      <c r="N2967" s="103"/>
      <c r="O2967" s="103"/>
      <c r="P2967" s="98"/>
      <c r="Q2967" s="99"/>
      <c r="R2967" s="104">
        <f t="shared" si="145"/>
        <v>0</v>
      </c>
      <c r="S2967" s="104">
        <f t="shared" si="146"/>
        <v>0</v>
      </c>
      <c r="T2967" s="104">
        <f t="shared" si="147"/>
        <v>0</v>
      </c>
    </row>
    <row r="2968" spans="1:20">
      <c r="A2968" s="101"/>
      <c r="B2968" s="101"/>
      <c r="C2968" s="101"/>
      <c r="D2968" s="101"/>
      <c r="E2968" s="101"/>
      <c r="F2968" s="102"/>
      <c r="G2968" s="101"/>
      <c r="H2968" s="102"/>
      <c r="I2968" s="101"/>
      <c r="J2968" s="101"/>
      <c r="K2968" s="103"/>
      <c r="L2968" s="103"/>
      <c r="M2968" s="103"/>
      <c r="N2968" s="103"/>
      <c r="O2968" s="103"/>
      <c r="P2968" s="98"/>
      <c r="Q2968" s="99"/>
      <c r="R2968" s="104">
        <f t="shared" si="145"/>
        <v>0</v>
      </c>
      <c r="S2968" s="104">
        <f t="shared" si="146"/>
        <v>0</v>
      </c>
      <c r="T2968" s="104">
        <f t="shared" si="147"/>
        <v>0</v>
      </c>
    </row>
    <row r="2969" spans="1:20">
      <c r="A2969" s="101"/>
      <c r="B2969" s="101"/>
      <c r="C2969" s="101"/>
      <c r="D2969" s="101"/>
      <c r="E2969" s="101"/>
      <c r="F2969" s="102"/>
      <c r="G2969" s="101"/>
      <c r="H2969" s="102"/>
      <c r="I2969" s="101"/>
      <c r="J2969" s="101"/>
      <c r="K2969" s="103"/>
      <c r="L2969" s="103"/>
      <c r="M2969" s="103"/>
      <c r="N2969" s="103"/>
      <c r="O2969" s="103"/>
      <c r="P2969" s="98"/>
      <c r="Q2969" s="99"/>
      <c r="R2969" s="104">
        <f t="shared" si="145"/>
        <v>0</v>
      </c>
      <c r="S2969" s="104">
        <f t="shared" si="146"/>
        <v>0</v>
      </c>
      <c r="T2969" s="104">
        <f t="shared" si="147"/>
        <v>0</v>
      </c>
    </row>
    <row r="2970" spans="1:20">
      <c r="A2970" s="101"/>
      <c r="B2970" s="101"/>
      <c r="C2970" s="101"/>
      <c r="D2970" s="101"/>
      <c r="E2970" s="101"/>
      <c r="F2970" s="102"/>
      <c r="G2970" s="101"/>
      <c r="H2970" s="102"/>
      <c r="I2970" s="101"/>
      <c r="J2970" s="101"/>
      <c r="K2970" s="103"/>
      <c r="L2970" s="103"/>
      <c r="M2970" s="103"/>
      <c r="N2970" s="103"/>
      <c r="O2970" s="103"/>
      <c r="P2970" s="98"/>
      <c r="Q2970" s="99"/>
      <c r="R2970" s="104">
        <f t="shared" si="145"/>
        <v>0</v>
      </c>
      <c r="S2970" s="104">
        <f t="shared" si="146"/>
        <v>0</v>
      </c>
      <c r="T2970" s="104">
        <f t="shared" si="147"/>
        <v>0</v>
      </c>
    </row>
    <row r="2971" spans="1:20">
      <c r="A2971" s="101"/>
      <c r="B2971" s="101"/>
      <c r="C2971" s="101"/>
      <c r="D2971" s="101"/>
      <c r="E2971" s="101"/>
      <c r="F2971" s="102"/>
      <c r="G2971" s="101"/>
      <c r="H2971" s="102"/>
      <c r="I2971" s="101"/>
      <c r="J2971" s="101"/>
      <c r="K2971" s="103"/>
      <c r="L2971" s="103"/>
      <c r="M2971" s="103"/>
      <c r="N2971" s="103"/>
      <c r="O2971" s="103"/>
      <c r="P2971" s="98"/>
      <c r="Q2971" s="99"/>
      <c r="R2971" s="104">
        <f t="shared" si="145"/>
        <v>0</v>
      </c>
      <c r="S2971" s="104">
        <f t="shared" si="146"/>
        <v>0</v>
      </c>
      <c r="T2971" s="104">
        <f t="shared" si="147"/>
        <v>0</v>
      </c>
    </row>
    <row r="2972" spans="1:20">
      <c r="A2972" s="101"/>
      <c r="B2972" s="101"/>
      <c r="C2972" s="101"/>
      <c r="D2972" s="101"/>
      <c r="E2972" s="101"/>
      <c r="F2972" s="102"/>
      <c r="G2972" s="101"/>
      <c r="H2972" s="102"/>
      <c r="I2972" s="101"/>
      <c r="J2972" s="101"/>
      <c r="K2972" s="103"/>
      <c r="L2972" s="103"/>
      <c r="M2972" s="103"/>
      <c r="N2972" s="103"/>
      <c r="O2972" s="103"/>
      <c r="P2972" s="98"/>
      <c r="Q2972" s="99"/>
      <c r="R2972" s="104">
        <f t="shared" si="145"/>
        <v>0</v>
      </c>
      <c r="S2972" s="104">
        <f t="shared" si="146"/>
        <v>0</v>
      </c>
      <c r="T2972" s="104">
        <f t="shared" si="147"/>
        <v>0</v>
      </c>
    </row>
    <row r="2973" spans="1:20">
      <c r="A2973" s="101"/>
      <c r="B2973" s="101"/>
      <c r="C2973" s="101"/>
      <c r="D2973" s="101"/>
      <c r="E2973" s="101"/>
      <c r="F2973" s="102"/>
      <c r="G2973" s="101"/>
      <c r="H2973" s="102"/>
      <c r="I2973" s="101"/>
      <c r="J2973" s="101"/>
      <c r="K2973" s="103"/>
      <c r="L2973" s="103"/>
      <c r="M2973" s="103"/>
      <c r="N2973" s="103"/>
      <c r="O2973" s="103"/>
      <c r="P2973" s="98"/>
      <c r="Q2973" s="99"/>
      <c r="R2973" s="104">
        <f t="shared" si="145"/>
        <v>0</v>
      </c>
      <c r="S2973" s="104">
        <f t="shared" si="146"/>
        <v>0</v>
      </c>
      <c r="T2973" s="104">
        <f t="shared" si="147"/>
        <v>0</v>
      </c>
    </row>
    <row r="2974" spans="1:20">
      <c r="A2974" s="101"/>
      <c r="B2974" s="101"/>
      <c r="C2974" s="101"/>
      <c r="D2974" s="101"/>
      <c r="E2974" s="101"/>
      <c r="F2974" s="102"/>
      <c r="G2974" s="101"/>
      <c r="H2974" s="102"/>
      <c r="I2974" s="101"/>
      <c r="J2974" s="101"/>
      <c r="K2974" s="103"/>
      <c r="L2974" s="103"/>
      <c r="M2974" s="103"/>
      <c r="N2974" s="103"/>
      <c r="O2974" s="103"/>
      <c r="P2974" s="98"/>
      <c r="Q2974" s="99"/>
      <c r="R2974" s="104">
        <f t="shared" si="145"/>
        <v>0</v>
      </c>
      <c r="S2974" s="104">
        <f t="shared" si="146"/>
        <v>0</v>
      </c>
      <c r="T2974" s="104">
        <f t="shared" si="147"/>
        <v>0</v>
      </c>
    </row>
    <row r="2975" spans="1:20">
      <c r="A2975" s="101"/>
      <c r="B2975" s="101"/>
      <c r="C2975" s="101"/>
      <c r="D2975" s="101"/>
      <c r="E2975" s="101"/>
      <c r="F2975" s="102"/>
      <c r="G2975" s="101"/>
      <c r="H2975" s="102"/>
      <c r="I2975" s="101"/>
      <c r="J2975" s="101"/>
      <c r="K2975" s="103"/>
      <c r="L2975" s="103"/>
      <c r="M2975" s="103"/>
      <c r="N2975" s="103"/>
      <c r="O2975" s="103"/>
      <c r="P2975" s="98"/>
      <c r="Q2975" s="99"/>
      <c r="R2975" s="104">
        <f t="shared" si="145"/>
        <v>0</v>
      </c>
      <c r="S2975" s="104">
        <f t="shared" si="146"/>
        <v>0</v>
      </c>
      <c r="T2975" s="104">
        <f t="shared" si="147"/>
        <v>0</v>
      </c>
    </row>
    <row r="2976" spans="1:20">
      <c r="A2976" s="101"/>
      <c r="B2976" s="101"/>
      <c r="C2976" s="101"/>
      <c r="D2976" s="101"/>
      <c r="E2976" s="101"/>
      <c r="F2976" s="102"/>
      <c r="G2976" s="101"/>
      <c r="H2976" s="102"/>
      <c r="I2976" s="101"/>
      <c r="J2976" s="101"/>
      <c r="K2976" s="103"/>
      <c r="L2976" s="103"/>
      <c r="M2976" s="103"/>
      <c r="N2976" s="103"/>
      <c r="O2976" s="103"/>
      <c r="P2976" s="98"/>
      <c r="Q2976" s="99"/>
      <c r="R2976" s="104">
        <f t="shared" si="145"/>
        <v>0</v>
      </c>
      <c r="S2976" s="104">
        <f t="shared" si="146"/>
        <v>0</v>
      </c>
      <c r="T2976" s="104">
        <f t="shared" si="147"/>
        <v>0</v>
      </c>
    </row>
    <row r="2977" spans="1:22">
      <c r="A2977" s="101"/>
      <c r="B2977" s="101"/>
      <c r="C2977" s="101"/>
      <c r="D2977" s="101"/>
      <c r="E2977" s="101"/>
      <c r="F2977" s="102"/>
      <c r="G2977" s="101"/>
      <c r="H2977" s="102"/>
      <c r="I2977" s="101"/>
      <c r="J2977" s="101"/>
      <c r="K2977" s="103"/>
      <c r="L2977" s="103"/>
      <c r="M2977" s="103"/>
      <c r="N2977" s="103"/>
      <c r="O2977" s="103"/>
      <c r="P2977" s="98"/>
      <c r="Q2977" s="99"/>
      <c r="R2977" s="104">
        <f t="shared" si="145"/>
        <v>0</v>
      </c>
      <c r="S2977" s="104">
        <f t="shared" si="146"/>
        <v>0</v>
      </c>
      <c r="T2977" s="104">
        <f t="shared" si="147"/>
        <v>0</v>
      </c>
    </row>
    <row r="2978" spans="1:22">
      <c r="A2978" s="101"/>
      <c r="B2978" s="101"/>
      <c r="C2978" s="101"/>
      <c r="D2978" s="101"/>
      <c r="E2978" s="101"/>
      <c r="F2978" s="102"/>
      <c r="G2978" s="101"/>
      <c r="H2978" s="102"/>
      <c r="I2978" s="101"/>
      <c r="J2978" s="101"/>
      <c r="K2978" s="103"/>
      <c r="L2978" s="103"/>
      <c r="M2978" s="103"/>
      <c r="N2978" s="103"/>
      <c r="O2978" s="103"/>
      <c r="P2978" s="98"/>
      <c r="Q2978" s="99"/>
      <c r="R2978" s="104">
        <f t="shared" si="145"/>
        <v>0</v>
      </c>
      <c r="S2978" s="104">
        <f t="shared" si="146"/>
        <v>0</v>
      </c>
      <c r="T2978" s="104">
        <f t="shared" si="147"/>
        <v>0</v>
      </c>
    </row>
    <row r="2979" spans="1:22">
      <c r="A2979" s="101"/>
      <c r="B2979" s="101"/>
      <c r="C2979" s="101"/>
      <c r="D2979" s="101"/>
      <c r="E2979" s="101"/>
      <c r="F2979" s="102"/>
      <c r="G2979" s="101"/>
      <c r="H2979" s="102"/>
      <c r="I2979" s="101"/>
      <c r="J2979" s="101"/>
      <c r="K2979" s="103"/>
      <c r="L2979" s="103"/>
      <c r="M2979" s="103"/>
      <c r="N2979" s="103"/>
      <c r="O2979" s="103"/>
      <c r="P2979" s="98"/>
      <c r="Q2979" s="99"/>
      <c r="R2979" s="104">
        <f t="shared" si="145"/>
        <v>0</v>
      </c>
      <c r="S2979" s="104">
        <f t="shared" si="146"/>
        <v>0</v>
      </c>
      <c r="T2979" s="104">
        <f t="shared" si="147"/>
        <v>0</v>
      </c>
    </row>
    <row r="2980" spans="1:22">
      <c r="A2980" s="101"/>
      <c r="B2980" s="101"/>
      <c r="C2980" s="101"/>
      <c r="D2980" s="101"/>
      <c r="E2980" s="101"/>
      <c r="F2980" s="102"/>
      <c r="G2980" s="101"/>
      <c r="H2980" s="102"/>
      <c r="I2980" s="101"/>
      <c r="J2980" s="101"/>
      <c r="K2980" s="103"/>
      <c r="L2980" s="103"/>
      <c r="M2980" s="103"/>
      <c r="N2980" s="103"/>
      <c r="O2980" s="103"/>
      <c r="P2980" s="98"/>
      <c r="Q2980" s="99"/>
      <c r="R2980" s="104">
        <f t="shared" si="145"/>
        <v>0</v>
      </c>
      <c r="S2980" s="104">
        <f t="shared" si="146"/>
        <v>0</v>
      </c>
      <c r="T2980" s="104">
        <f t="shared" si="147"/>
        <v>0</v>
      </c>
    </row>
    <row r="2981" spans="1:22">
      <c r="A2981" s="101"/>
      <c r="B2981" s="101"/>
      <c r="C2981" s="101"/>
      <c r="D2981" s="101"/>
      <c r="E2981" s="101"/>
      <c r="F2981" s="102"/>
      <c r="G2981" s="101"/>
      <c r="H2981" s="102"/>
      <c r="I2981" s="101"/>
      <c r="J2981" s="101"/>
      <c r="K2981" s="103"/>
      <c r="L2981" s="103"/>
      <c r="M2981" s="103"/>
      <c r="N2981" s="103"/>
      <c r="O2981" s="103"/>
      <c r="P2981" s="98"/>
      <c r="Q2981" s="99"/>
      <c r="R2981" s="104">
        <f t="shared" si="145"/>
        <v>0</v>
      </c>
      <c r="S2981" s="104">
        <f t="shared" si="146"/>
        <v>0</v>
      </c>
      <c r="T2981" s="104">
        <f t="shared" si="147"/>
        <v>0</v>
      </c>
    </row>
    <row r="2982" spans="1:22">
      <c r="A2982" s="101"/>
      <c r="B2982" s="101"/>
      <c r="C2982" s="101"/>
      <c r="D2982" s="101"/>
      <c r="E2982" s="101"/>
      <c r="F2982" s="102"/>
      <c r="G2982" s="101"/>
      <c r="H2982" s="102"/>
      <c r="I2982" s="101"/>
      <c r="J2982" s="101"/>
      <c r="K2982" s="103"/>
      <c r="L2982" s="103"/>
      <c r="M2982" s="103"/>
      <c r="N2982" s="103"/>
      <c r="O2982" s="103"/>
      <c r="P2982" s="98"/>
      <c r="Q2982" s="99"/>
      <c r="R2982" s="104">
        <f t="shared" si="145"/>
        <v>0</v>
      </c>
      <c r="S2982" s="104">
        <f t="shared" si="146"/>
        <v>0</v>
      </c>
      <c r="T2982" s="104">
        <f t="shared" si="147"/>
        <v>0</v>
      </c>
      <c r="V2982" s="112"/>
    </row>
    <row r="2983" spans="1:22">
      <c r="A2983" s="101"/>
      <c r="B2983" s="101"/>
      <c r="C2983" s="101"/>
      <c r="D2983" s="101"/>
      <c r="E2983" s="101"/>
      <c r="F2983" s="102"/>
      <c r="G2983" s="101"/>
      <c r="H2983" s="102"/>
      <c r="I2983" s="101"/>
      <c r="J2983" s="101"/>
      <c r="K2983" s="103"/>
      <c r="L2983" s="103"/>
      <c r="M2983" s="103"/>
      <c r="N2983" s="103"/>
      <c r="O2983" s="103"/>
      <c r="P2983" s="98"/>
      <c r="Q2983" s="99"/>
      <c r="R2983" s="104">
        <f t="shared" si="145"/>
        <v>0</v>
      </c>
      <c r="S2983" s="104">
        <f t="shared" si="146"/>
        <v>0</v>
      </c>
      <c r="T2983" s="104">
        <f t="shared" si="147"/>
        <v>0</v>
      </c>
      <c r="V2983" s="112"/>
    </row>
    <row r="2984" spans="1:22">
      <c r="A2984" s="101"/>
      <c r="B2984" s="101"/>
      <c r="C2984" s="101"/>
      <c r="D2984" s="101"/>
      <c r="E2984" s="101"/>
      <c r="F2984" s="102"/>
      <c r="G2984" s="101"/>
      <c r="H2984" s="102"/>
      <c r="I2984" s="101"/>
      <c r="J2984" s="101"/>
      <c r="K2984" s="103"/>
      <c r="L2984" s="103"/>
      <c r="M2984" s="103"/>
      <c r="N2984" s="103"/>
      <c r="O2984" s="103"/>
      <c r="P2984" s="98"/>
      <c r="Q2984" s="99"/>
      <c r="R2984" s="104">
        <f t="shared" si="145"/>
        <v>0</v>
      </c>
      <c r="S2984" s="104">
        <f t="shared" si="146"/>
        <v>0</v>
      </c>
      <c r="T2984" s="104">
        <f t="shared" si="147"/>
        <v>0</v>
      </c>
    </row>
    <row r="2985" spans="1:22">
      <c r="A2985" s="101"/>
      <c r="B2985" s="101"/>
      <c r="C2985" s="101"/>
      <c r="D2985" s="101"/>
      <c r="E2985" s="101"/>
      <c r="F2985" s="102"/>
      <c r="G2985" s="101"/>
      <c r="H2985" s="102"/>
      <c r="I2985" s="101"/>
      <c r="J2985" s="101"/>
      <c r="K2985" s="103"/>
      <c r="L2985" s="103"/>
      <c r="M2985" s="103"/>
      <c r="N2985" s="103"/>
      <c r="O2985" s="103"/>
      <c r="P2985" s="98"/>
      <c r="Q2985" s="99"/>
      <c r="R2985" s="104">
        <f t="shared" si="145"/>
        <v>0</v>
      </c>
      <c r="S2985" s="104">
        <f t="shared" si="146"/>
        <v>0</v>
      </c>
      <c r="T2985" s="104">
        <f t="shared" si="147"/>
        <v>0</v>
      </c>
    </row>
    <row r="2986" spans="1:22">
      <c r="A2986" s="101"/>
      <c r="B2986" s="101"/>
      <c r="C2986" s="101"/>
      <c r="D2986" s="101"/>
      <c r="E2986" s="101"/>
      <c r="F2986" s="102"/>
      <c r="G2986" s="101"/>
      <c r="H2986" s="102"/>
      <c r="I2986" s="101"/>
      <c r="J2986" s="101"/>
      <c r="K2986" s="103"/>
      <c r="L2986" s="103"/>
      <c r="M2986" s="103"/>
      <c r="N2986" s="103"/>
      <c r="O2986" s="103"/>
      <c r="P2986" s="98"/>
      <c r="Q2986" s="99"/>
      <c r="R2986" s="104">
        <f t="shared" si="145"/>
        <v>0</v>
      </c>
      <c r="S2986" s="104">
        <f t="shared" si="146"/>
        <v>0</v>
      </c>
      <c r="T2986" s="104">
        <f t="shared" si="147"/>
        <v>0</v>
      </c>
    </row>
    <row r="2987" spans="1:22">
      <c r="A2987" s="101"/>
      <c r="B2987" s="101"/>
      <c r="C2987" s="101"/>
      <c r="D2987" s="101"/>
      <c r="E2987" s="101"/>
      <c r="F2987" s="102"/>
      <c r="G2987" s="101"/>
      <c r="H2987" s="102"/>
      <c r="I2987" s="101"/>
      <c r="J2987" s="101"/>
      <c r="K2987" s="103"/>
      <c r="L2987" s="103"/>
      <c r="M2987" s="103"/>
      <c r="N2987" s="103"/>
      <c r="O2987" s="103"/>
      <c r="P2987" s="98"/>
      <c r="Q2987" s="99"/>
      <c r="R2987" s="104">
        <f t="shared" si="145"/>
        <v>0</v>
      </c>
      <c r="S2987" s="104">
        <f t="shared" si="146"/>
        <v>0</v>
      </c>
      <c r="T2987" s="104">
        <f t="shared" si="147"/>
        <v>0</v>
      </c>
    </row>
    <row r="2988" spans="1:22">
      <c r="A2988" s="101"/>
      <c r="B2988" s="101"/>
      <c r="C2988" s="101"/>
      <c r="D2988" s="101"/>
      <c r="E2988" s="101"/>
      <c r="F2988" s="102"/>
      <c r="G2988" s="101"/>
      <c r="H2988" s="102"/>
      <c r="I2988" s="101"/>
      <c r="J2988" s="101"/>
      <c r="K2988" s="103"/>
      <c r="L2988" s="103"/>
      <c r="M2988" s="103"/>
      <c r="N2988" s="103"/>
      <c r="O2988" s="103"/>
      <c r="P2988" s="98"/>
      <c r="Q2988" s="99"/>
      <c r="R2988" s="104">
        <f t="shared" si="145"/>
        <v>0</v>
      </c>
      <c r="S2988" s="104">
        <f t="shared" si="146"/>
        <v>0</v>
      </c>
      <c r="T2988" s="104">
        <f t="shared" si="147"/>
        <v>0</v>
      </c>
    </row>
    <row r="2989" spans="1:22">
      <c r="A2989" s="101"/>
      <c r="B2989" s="101"/>
      <c r="C2989" s="101"/>
      <c r="D2989" s="101"/>
      <c r="E2989" s="101"/>
      <c r="F2989" s="102"/>
      <c r="G2989" s="101"/>
      <c r="H2989" s="102"/>
      <c r="I2989" s="101"/>
      <c r="J2989" s="101"/>
      <c r="K2989" s="103"/>
      <c r="L2989" s="103"/>
      <c r="M2989" s="103"/>
      <c r="N2989" s="103"/>
      <c r="O2989" s="103"/>
      <c r="P2989" s="98"/>
      <c r="Q2989" s="99"/>
      <c r="R2989" s="104">
        <f t="shared" si="145"/>
        <v>0</v>
      </c>
      <c r="S2989" s="104">
        <f t="shared" si="146"/>
        <v>0</v>
      </c>
      <c r="T2989" s="104">
        <f t="shared" si="147"/>
        <v>0</v>
      </c>
    </row>
    <row r="2990" spans="1:22">
      <c r="A2990" s="101"/>
      <c r="B2990" s="101"/>
      <c r="C2990" s="101"/>
      <c r="D2990" s="101"/>
      <c r="E2990" s="101"/>
      <c r="F2990" s="102"/>
      <c r="G2990" s="101"/>
      <c r="H2990" s="102"/>
      <c r="I2990" s="101"/>
      <c r="J2990" s="101"/>
      <c r="K2990" s="103"/>
      <c r="L2990" s="103"/>
      <c r="M2990" s="103"/>
      <c r="N2990" s="103"/>
      <c r="O2990" s="103"/>
      <c r="P2990" s="98"/>
      <c r="Q2990" s="99"/>
      <c r="R2990" s="104">
        <f t="shared" si="145"/>
        <v>0</v>
      </c>
      <c r="S2990" s="104">
        <f t="shared" si="146"/>
        <v>0</v>
      </c>
      <c r="T2990" s="104">
        <f t="shared" si="147"/>
        <v>0</v>
      </c>
    </row>
    <row r="2991" spans="1:22">
      <c r="A2991" s="101"/>
      <c r="B2991" s="101"/>
      <c r="C2991" s="101"/>
      <c r="D2991" s="101"/>
      <c r="E2991" s="101"/>
      <c r="F2991" s="102"/>
      <c r="G2991" s="101"/>
      <c r="H2991" s="102"/>
      <c r="I2991" s="101"/>
      <c r="J2991" s="101"/>
      <c r="K2991" s="103"/>
      <c r="L2991" s="103"/>
      <c r="M2991" s="103"/>
      <c r="N2991" s="103"/>
      <c r="O2991" s="103"/>
      <c r="P2991" s="98"/>
      <c r="Q2991" s="99"/>
      <c r="R2991" s="104">
        <f t="shared" si="145"/>
        <v>0</v>
      </c>
      <c r="S2991" s="104">
        <f t="shared" si="146"/>
        <v>0</v>
      </c>
      <c r="T2991" s="104">
        <f t="shared" si="147"/>
        <v>0</v>
      </c>
    </row>
    <row r="2992" spans="1:22">
      <c r="A2992" s="101"/>
      <c r="B2992" s="101"/>
      <c r="C2992" s="101"/>
      <c r="D2992" s="101"/>
      <c r="E2992" s="101"/>
      <c r="F2992" s="102"/>
      <c r="G2992" s="101"/>
      <c r="H2992" s="102"/>
      <c r="I2992" s="101"/>
      <c r="J2992" s="101"/>
      <c r="K2992" s="103"/>
      <c r="L2992" s="103"/>
      <c r="M2992" s="103"/>
      <c r="N2992" s="103"/>
      <c r="O2992" s="103"/>
      <c r="P2992" s="98"/>
      <c r="Q2992" s="99"/>
      <c r="R2992" s="104">
        <f t="shared" si="145"/>
        <v>0</v>
      </c>
      <c r="S2992" s="104">
        <f t="shared" si="146"/>
        <v>0</v>
      </c>
      <c r="T2992" s="104">
        <f t="shared" si="147"/>
        <v>0</v>
      </c>
    </row>
    <row r="2993" spans="1:20">
      <c r="A2993" s="101"/>
      <c r="B2993" s="101"/>
      <c r="C2993" s="101"/>
      <c r="D2993" s="101"/>
      <c r="E2993" s="101"/>
      <c r="F2993" s="102"/>
      <c r="G2993" s="101"/>
      <c r="H2993" s="102"/>
      <c r="I2993" s="101"/>
      <c r="J2993" s="101"/>
      <c r="K2993" s="103"/>
      <c r="L2993" s="103"/>
      <c r="M2993" s="103"/>
      <c r="N2993" s="103"/>
      <c r="O2993" s="103"/>
      <c r="P2993" s="98"/>
      <c r="Q2993" s="99"/>
      <c r="R2993" s="104">
        <f t="shared" si="145"/>
        <v>0</v>
      </c>
      <c r="S2993" s="104">
        <f t="shared" si="146"/>
        <v>0</v>
      </c>
      <c r="T2993" s="104">
        <f t="shared" si="147"/>
        <v>0</v>
      </c>
    </row>
    <row r="2994" spans="1:20">
      <c r="A2994" s="101"/>
      <c r="B2994" s="101"/>
      <c r="C2994" s="101"/>
      <c r="D2994" s="101"/>
      <c r="E2994" s="101"/>
      <c r="F2994" s="102"/>
      <c r="G2994" s="101"/>
      <c r="H2994" s="102"/>
      <c r="I2994" s="101"/>
      <c r="J2994" s="101"/>
      <c r="K2994" s="103"/>
      <c r="L2994" s="103"/>
      <c r="M2994" s="103"/>
      <c r="N2994" s="103"/>
      <c r="O2994" s="103"/>
      <c r="P2994" s="98"/>
      <c r="Q2994" s="99"/>
      <c r="R2994" s="104">
        <f t="shared" si="145"/>
        <v>0</v>
      </c>
      <c r="S2994" s="104">
        <f t="shared" si="146"/>
        <v>0</v>
      </c>
      <c r="T2994" s="104">
        <f t="shared" si="147"/>
        <v>0</v>
      </c>
    </row>
    <row r="2995" spans="1:20">
      <c r="A2995" s="101"/>
      <c r="B2995" s="101"/>
      <c r="C2995" s="101"/>
      <c r="D2995" s="101"/>
      <c r="E2995" s="101"/>
      <c r="F2995" s="102"/>
      <c r="G2995" s="101"/>
      <c r="H2995" s="102"/>
      <c r="I2995" s="101"/>
      <c r="J2995" s="101"/>
      <c r="K2995" s="103"/>
      <c r="L2995" s="103"/>
      <c r="M2995" s="103"/>
      <c r="N2995" s="103"/>
      <c r="O2995" s="103"/>
      <c r="P2995" s="98"/>
      <c r="Q2995" s="99"/>
      <c r="R2995" s="104">
        <f t="shared" si="145"/>
        <v>0</v>
      </c>
      <c r="S2995" s="104">
        <f t="shared" si="146"/>
        <v>0</v>
      </c>
      <c r="T2995" s="104">
        <f t="shared" si="147"/>
        <v>0</v>
      </c>
    </row>
    <row r="2996" spans="1:20">
      <c r="A2996" s="101"/>
      <c r="B2996" s="101"/>
      <c r="C2996" s="101"/>
      <c r="D2996" s="101"/>
      <c r="E2996" s="101"/>
      <c r="F2996" s="102"/>
      <c r="G2996" s="101"/>
      <c r="H2996" s="102"/>
      <c r="I2996" s="101"/>
      <c r="J2996" s="101"/>
      <c r="K2996" s="103"/>
      <c r="L2996" s="103"/>
      <c r="M2996" s="103"/>
      <c r="N2996" s="103"/>
      <c r="O2996" s="103"/>
      <c r="P2996" s="98"/>
      <c r="Q2996" s="99"/>
      <c r="R2996" s="104">
        <f t="shared" si="145"/>
        <v>0</v>
      </c>
      <c r="S2996" s="104">
        <f t="shared" si="146"/>
        <v>0</v>
      </c>
      <c r="T2996" s="104">
        <f t="shared" si="147"/>
        <v>0</v>
      </c>
    </row>
    <row r="2997" spans="1:20">
      <c r="A2997" s="101"/>
      <c r="B2997" s="101"/>
      <c r="C2997" s="101"/>
      <c r="D2997" s="101"/>
      <c r="E2997" s="101"/>
      <c r="F2997" s="102"/>
      <c r="G2997" s="101"/>
      <c r="H2997" s="102"/>
      <c r="I2997" s="101"/>
      <c r="J2997" s="101"/>
      <c r="K2997" s="103"/>
      <c r="L2997" s="103"/>
      <c r="M2997" s="103"/>
      <c r="N2997" s="103"/>
      <c r="O2997" s="103"/>
      <c r="P2997" s="98"/>
      <c r="Q2997" s="99"/>
      <c r="R2997" s="104">
        <f t="shared" si="145"/>
        <v>0</v>
      </c>
      <c r="S2997" s="104">
        <f t="shared" si="146"/>
        <v>0</v>
      </c>
      <c r="T2997" s="104">
        <f t="shared" si="147"/>
        <v>0</v>
      </c>
    </row>
    <row r="2998" spans="1:20">
      <c r="A2998" s="101"/>
      <c r="B2998" s="101"/>
      <c r="C2998" s="101"/>
      <c r="D2998" s="101"/>
      <c r="E2998" s="101"/>
      <c r="F2998" s="102"/>
      <c r="G2998" s="101"/>
      <c r="H2998" s="102"/>
      <c r="I2998" s="101"/>
      <c r="J2998" s="101"/>
      <c r="K2998" s="103"/>
      <c r="L2998" s="103"/>
      <c r="M2998" s="103"/>
      <c r="N2998" s="103"/>
      <c r="O2998" s="103"/>
      <c r="P2998" s="98"/>
      <c r="Q2998" s="99"/>
      <c r="R2998" s="104">
        <f t="shared" si="145"/>
        <v>0</v>
      </c>
      <c r="S2998" s="104">
        <f t="shared" si="146"/>
        <v>0</v>
      </c>
      <c r="T2998" s="104">
        <f t="shared" si="147"/>
        <v>0</v>
      </c>
    </row>
    <row r="2999" spans="1:20">
      <c r="A2999" s="101"/>
      <c r="B2999" s="101"/>
      <c r="C2999" s="101"/>
      <c r="D2999" s="101"/>
      <c r="E2999" s="101"/>
      <c r="F2999" s="102"/>
      <c r="G2999" s="101"/>
      <c r="H2999" s="102"/>
      <c r="I2999" s="101"/>
      <c r="J2999" s="101"/>
      <c r="K2999" s="103"/>
      <c r="L2999" s="103"/>
      <c r="M2999" s="103"/>
      <c r="N2999" s="103"/>
      <c r="O2999" s="103"/>
      <c r="P2999" s="98"/>
      <c r="Q2999" s="99"/>
      <c r="R2999" s="104">
        <f t="shared" si="145"/>
        <v>0</v>
      </c>
      <c r="S2999" s="104">
        <f t="shared" si="146"/>
        <v>0</v>
      </c>
      <c r="T2999" s="104">
        <f t="shared" si="147"/>
        <v>0</v>
      </c>
    </row>
    <row r="3000" spans="1:20">
      <c r="A3000" s="101"/>
      <c r="B3000" s="101"/>
      <c r="C3000" s="101"/>
      <c r="D3000" s="101"/>
      <c r="E3000" s="101"/>
      <c r="F3000" s="102"/>
      <c r="G3000" s="101"/>
      <c r="H3000" s="102"/>
      <c r="I3000" s="101"/>
      <c r="J3000" s="101"/>
      <c r="K3000" s="103"/>
      <c r="L3000" s="103"/>
      <c r="M3000" s="103"/>
      <c r="N3000" s="103"/>
      <c r="O3000" s="103"/>
      <c r="P3000" s="98"/>
      <c r="Q3000" s="99"/>
      <c r="R3000" s="104">
        <f t="shared" si="145"/>
        <v>0</v>
      </c>
      <c r="S3000" s="104">
        <f t="shared" si="146"/>
        <v>0</v>
      </c>
      <c r="T3000" s="104">
        <f t="shared" si="147"/>
        <v>0</v>
      </c>
    </row>
    <row r="3001" spans="1:20">
      <c r="A3001" s="101"/>
      <c r="B3001" s="101"/>
      <c r="C3001" s="101"/>
      <c r="D3001" s="101"/>
      <c r="E3001" s="101"/>
      <c r="F3001" s="102"/>
      <c r="G3001" s="101"/>
      <c r="H3001" s="102"/>
      <c r="I3001" s="101"/>
      <c r="J3001" s="101"/>
      <c r="K3001" s="103"/>
      <c r="L3001" s="103"/>
      <c r="M3001" s="103"/>
      <c r="N3001" s="103"/>
      <c r="O3001" s="103"/>
      <c r="P3001" s="98"/>
      <c r="Q3001" s="99"/>
      <c r="R3001" s="104">
        <f t="shared" si="145"/>
        <v>0</v>
      </c>
      <c r="S3001" s="104">
        <f t="shared" si="146"/>
        <v>0</v>
      </c>
      <c r="T3001" s="104">
        <f t="shared" si="147"/>
        <v>0</v>
      </c>
    </row>
    <row r="3002" spans="1:20">
      <c r="A3002" s="101"/>
      <c r="B3002" s="101"/>
      <c r="C3002" s="101"/>
      <c r="D3002" s="101"/>
      <c r="E3002" s="101"/>
      <c r="F3002" s="102"/>
      <c r="G3002" s="101"/>
      <c r="H3002" s="102"/>
      <c r="I3002" s="101"/>
      <c r="J3002" s="101"/>
      <c r="K3002" s="103"/>
      <c r="L3002" s="103"/>
      <c r="M3002" s="103"/>
      <c r="N3002" s="103"/>
      <c r="O3002" s="103"/>
      <c r="P3002" s="98"/>
      <c r="Q3002" s="99"/>
      <c r="R3002" s="104">
        <f t="shared" si="145"/>
        <v>0</v>
      </c>
      <c r="S3002" s="104">
        <f t="shared" si="146"/>
        <v>0</v>
      </c>
      <c r="T3002" s="104">
        <f t="shared" si="147"/>
        <v>0</v>
      </c>
    </row>
    <row r="3003" spans="1:20">
      <c r="A3003" s="101"/>
      <c r="B3003" s="101"/>
      <c r="C3003" s="101"/>
      <c r="D3003" s="101"/>
      <c r="E3003" s="101"/>
      <c r="F3003" s="102"/>
      <c r="G3003" s="101"/>
      <c r="H3003" s="102"/>
      <c r="I3003" s="101"/>
      <c r="J3003" s="101"/>
      <c r="K3003" s="103"/>
      <c r="L3003" s="103"/>
      <c r="M3003" s="103"/>
      <c r="N3003" s="103"/>
      <c r="O3003" s="103"/>
      <c r="P3003" s="98"/>
      <c r="Q3003" s="99"/>
      <c r="R3003" s="104">
        <f t="shared" si="145"/>
        <v>0</v>
      </c>
      <c r="S3003" s="104">
        <f t="shared" si="146"/>
        <v>0</v>
      </c>
      <c r="T3003" s="104">
        <f t="shared" si="147"/>
        <v>0</v>
      </c>
    </row>
    <row r="3004" spans="1:20">
      <c r="A3004" s="101"/>
      <c r="B3004" s="101"/>
      <c r="C3004" s="101"/>
      <c r="D3004" s="101"/>
      <c r="E3004" s="101"/>
      <c r="F3004" s="102"/>
      <c r="G3004" s="101"/>
      <c r="H3004" s="102"/>
      <c r="I3004" s="101"/>
      <c r="J3004" s="101"/>
      <c r="K3004" s="103"/>
      <c r="L3004" s="103"/>
      <c r="M3004" s="103"/>
      <c r="N3004" s="103"/>
      <c r="O3004" s="103"/>
      <c r="P3004" s="98"/>
      <c r="Q3004" s="99"/>
      <c r="R3004" s="104">
        <f t="shared" si="145"/>
        <v>0</v>
      </c>
      <c r="S3004" s="104">
        <f t="shared" si="146"/>
        <v>0</v>
      </c>
      <c r="T3004" s="104">
        <f t="shared" si="147"/>
        <v>0</v>
      </c>
    </row>
    <row r="3005" spans="1:20">
      <c r="A3005" s="101"/>
      <c r="B3005" s="101"/>
      <c r="C3005" s="101"/>
      <c r="D3005" s="101"/>
      <c r="E3005" s="101"/>
      <c r="F3005" s="102"/>
      <c r="G3005" s="101"/>
      <c r="H3005" s="102"/>
      <c r="I3005" s="101"/>
      <c r="J3005" s="101"/>
      <c r="K3005" s="103"/>
      <c r="L3005" s="103"/>
      <c r="M3005" s="103"/>
      <c r="N3005" s="103"/>
      <c r="O3005" s="103"/>
      <c r="P3005" s="98"/>
      <c r="Q3005" s="99"/>
      <c r="R3005" s="104">
        <f t="shared" si="145"/>
        <v>0</v>
      </c>
      <c r="S3005" s="104">
        <f t="shared" si="146"/>
        <v>0</v>
      </c>
      <c r="T3005" s="104">
        <f t="shared" si="147"/>
        <v>0</v>
      </c>
    </row>
    <row r="3006" spans="1:20">
      <c r="A3006" s="101"/>
      <c r="B3006" s="101"/>
      <c r="C3006" s="101"/>
      <c r="D3006" s="101"/>
      <c r="E3006" s="101"/>
      <c r="F3006" s="102"/>
      <c r="G3006" s="101"/>
      <c r="H3006" s="102"/>
      <c r="I3006" s="101"/>
      <c r="J3006" s="101"/>
      <c r="K3006" s="103"/>
      <c r="L3006" s="103"/>
      <c r="M3006" s="103"/>
      <c r="N3006" s="103"/>
      <c r="O3006" s="103"/>
      <c r="P3006" s="98"/>
      <c r="Q3006" s="99"/>
      <c r="R3006" s="104">
        <f t="shared" si="145"/>
        <v>0</v>
      </c>
      <c r="S3006" s="104">
        <f t="shared" si="146"/>
        <v>0</v>
      </c>
      <c r="T3006" s="104">
        <f t="shared" si="147"/>
        <v>0</v>
      </c>
    </row>
    <row r="3007" spans="1:20">
      <c r="A3007" s="101"/>
      <c r="B3007" s="101"/>
      <c r="C3007" s="101"/>
      <c r="D3007" s="101"/>
      <c r="E3007" s="101"/>
      <c r="F3007" s="102"/>
      <c r="G3007" s="101"/>
      <c r="H3007" s="102"/>
      <c r="I3007" s="101"/>
      <c r="J3007" s="101"/>
      <c r="K3007" s="103"/>
      <c r="L3007" s="103"/>
      <c r="M3007" s="103"/>
      <c r="N3007" s="103"/>
      <c r="O3007" s="103"/>
      <c r="P3007" s="98"/>
      <c r="Q3007" s="99"/>
      <c r="R3007" s="104">
        <f t="shared" si="145"/>
        <v>0</v>
      </c>
      <c r="S3007" s="104">
        <f t="shared" si="146"/>
        <v>0</v>
      </c>
      <c r="T3007" s="104">
        <f t="shared" si="147"/>
        <v>0</v>
      </c>
    </row>
    <row r="3008" spans="1:20">
      <c r="A3008" s="101"/>
      <c r="B3008" s="101"/>
      <c r="C3008" s="101"/>
      <c r="D3008" s="101"/>
      <c r="E3008" s="101"/>
      <c r="F3008" s="102"/>
      <c r="G3008" s="101"/>
      <c r="H3008" s="102"/>
      <c r="I3008" s="101"/>
      <c r="J3008" s="101"/>
      <c r="K3008" s="103"/>
      <c r="L3008" s="103"/>
      <c r="M3008" s="103"/>
      <c r="N3008" s="103"/>
      <c r="O3008" s="103"/>
      <c r="P3008" s="98"/>
      <c r="Q3008" s="99"/>
      <c r="R3008" s="104">
        <f t="shared" si="145"/>
        <v>0</v>
      </c>
      <c r="S3008" s="104">
        <f t="shared" si="146"/>
        <v>0</v>
      </c>
      <c r="T3008" s="104">
        <f t="shared" si="147"/>
        <v>0</v>
      </c>
    </row>
    <row r="3009" spans="1:20">
      <c r="A3009" s="101"/>
      <c r="B3009" s="101"/>
      <c r="C3009" s="101"/>
      <c r="D3009" s="101"/>
      <c r="E3009" s="101"/>
      <c r="F3009" s="102"/>
      <c r="G3009" s="101"/>
      <c r="H3009" s="102"/>
      <c r="I3009" s="101"/>
      <c r="J3009" s="101"/>
      <c r="K3009" s="103"/>
      <c r="L3009" s="103"/>
      <c r="M3009" s="103"/>
      <c r="N3009" s="103"/>
      <c r="O3009" s="103"/>
      <c r="P3009" s="98"/>
      <c r="Q3009" s="99"/>
      <c r="R3009" s="104">
        <f t="shared" si="145"/>
        <v>0</v>
      </c>
      <c r="S3009" s="104">
        <f t="shared" si="146"/>
        <v>0</v>
      </c>
      <c r="T3009" s="104">
        <f t="shared" si="147"/>
        <v>0</v>
      </c>
    </row>
    <row r="3010" spans="1:20">
      <c r="A3010" s="101"/>
      <c r="B3010" s="101"/>
      <c r="C3010" s="101"/>
      <c r="D3010" s="101"/>
      <c r="E3010" s="101"/>
      <c r="F3010" s="102"/>
      <c r="G3010" s="101"/>
      <c r="H3010" s="102"/>
      <c r="I3010" s="101"/>
      <c r="J3010" s="101"/>
      <c r="K3010" s="103"/>
      <c r="L3010" s="103"/>
      <c r="M3010" s="103"/>
      <c r="N3010" s="103"/>
      <c r="O3010" s="103"/>
      <c r="P3010" s="98"/>
      <c r="Q3010" s="99"/>
      <c r="R3010" s="104">
        <f t="shared" si="145"/>
        <v>0</v>
      </c>
      <c r="S3010" s="104">
        <f t="shared" si="146"/>
        <v>0</v>
      </c>
      <c r="T3010" s="104">
        <f t="shared" si="147"/>
        <v>0</v>
      </c>
    </row>
    <row r="3011" spans="1:20">
      <c r="A3011" s="101"/>
      <c r="B3011" s="101"/>
      <c r="C3011" s="101"/>
      <c r="D3011" s="101"/>
      <c r="E3011" s="101"/>
      <c r="F3011" s="102"/>
      <c r="G3011" s="101"/>
      <c r="H3011" s="102"/>
      <c r="I3011" s="101"/>
      <c r="J3011" s="101"/>
      <c r="K3011" s="103"/>
      <c r="L3011" s="103"/>
      <c r="M3011" s="103"/>
      <c r="N3011" s="103"/>
      <c r="O3011" s="103"/>
      <c r="P3011" s="98"/>
      <c r="Q3011" s="99"/>
      <c r="R3011" s="104">
        <f t="shared" si="145"/>
        <v>0</v>
      </c>
      <c r="S3011" s="104">
        <f t="shared" si="146"/>
        <v>0</v>
      </c>
      <c r="T3011" s="104">
        <f t="shared" si="147"/>
        <v>0</v>
      </c>
    </row>
    <row r="3012" spans="1:20">
      <c r="A3012" s="101"/>
      <c r="B3012" s="101"/>
      <c r="C3012" s="101"/>
      <c r="D3012" s="101"/>
      <c r="E3012" s="101"/>
      <c r="F3012" s="102"/>
      <c r="G3012" s="101"/>
      <c r="H3012" s="102"/>
      <c r="I3012" s="101"/>
      <c r="J3012" s="101"/>
      <c r="K3012" s="103"/>
      <c r="L3012" s="103"/>
      <c r="M3012" s="103"/>
      <c r="N3012" s="103"/>
      <c r="O3012" s="103"/>
      <c r="P3012" s="98"/>
      <c r="Q3012" s="99"/>
      <c r="R3012" s="104">
        <f t="shared" si="145"/>
        <v>0</v>
      </c>
      <c r="S3012" s="104">
        <f t="shared" si="146"/>
        <v>0</v>
      </c>
      <c r="T3012" s="104">
        <f t="shared" si="147"/>
        <v>0</v>
      </c>
    </row>
    <row r="3013" spans="1:20">
      <c r="A3013" s="101"/>
      <c r="B3013" s="101"/>
      <c r="C3013" s="101"/>
      <c r="D3013" s="101"/>
      <c r="E3013" s="101"/>
      <c r="F3013" s="102"/>
      <c r="G3013" s="101"/>
      <c r="H3013" s="102"/>
      <c r="I3013" s="101"/>
      <c r="J3013" s="101"/>
      <c r="K3013" s="103"/>
      <c r="L3013" s="103"/>
      <c r="M3013" s="103"/>
      <c r="N3013" s="103"/>
      <c r="O3013" s="103"/>
      <c r="P3013" s="98"/>
      <c r="Q3013" s="99"/>
      <c r="R3013" s="104">
        <f t="shared" si="145"/>
        <v>0</v>
      </c>
      <c r="S3013" s="104">
        <f t="shared" si="146"/>
        <v>0</v>
      </c>
      <c r="T3013" s="104">
        <f t="shared" si="147"/>
        <v>0</v>
      </c>
    </row>
    <row r="3014" spans="1:20">
      <c r="A3014" s="101"/>
      <c r="B3014" s="101"/>
      <c r="C3014" s="101"/>
      <c r="D3014" s="101"/>
      <c r="E3014" s="101"/>
      <c r="F3014" s="102"/>
      <c r="G3014" s="101"/>
      <c r="H3014" s="102"/>
      <c r="I3014" s="101"/>
      <c r="J3014" s="101"/>
      <c r="K3014" s="103"/>
      <c r="L3014" s="103"/>
      <c r="M3014" s="103"/>
      <c r="N3014" s="103"/>
      <c r="O3014" s="103"/>
      <c r="P3014" s="98"/>
      <c r="Q3014" s="99"/>
      <c r="R3014" s="104">
        <f t="shared" si="145"/>
        <v>0</v>
      </c>
      <c r="S3014" s="104">
        <f t="shared" si="146"/>
        <v>0</v>
      </c>
      <c r="T3014" s="104">
        <f t="shared" si="147"/>
        <v>0</v>
      </c>
    </row>
    <row r="3015" spans="1:20">
      <c r="A3015" s="101"/>
      <c r="B3015" s="101"/>
      <c r="C3015" s="101"/>
      <c r="D3015" s="101"/>
      <c r="E3015" s="101"/>
      <c r="F3015" s="102"/>
      <c r="G3015" s="101"/>
      <c r="H3015" s="102"/>
      <c r="I3015" s="101"/>
      <c r="J3015" s="101"/>
      <c r="K3015" s="103"/>
      <c r="L3015" s="103"/>
      <c r="M3015" s="103"/>
      <c r="N3015" s="103"/>
      <c r="O3015" s="103"/>
      <c r="P3015" s="98"/>
      <c r="Q3015" s="99"/>
      <c r="R3015" s="104">
        <f t="shared" si="145"/>
        <v>0</v>
      </c>
      <c r="S3015" s="104">
        <f t="shared" si="146"/>
        <v>0</v>
      </c>
      <c r="T3015" s="104">
        <f t="shared" si="147"/>
        <v>0</v>
      </c>
    </row>
    <row r="3016" spans="1:20">
      <c r="A3016" s="101"/>
      <c r="B3016" s="101"/>
      <c r="C3016" s="101"/>
      <c r="D3016" s="101"/>
      <c r="E3016" s="101"/>
      <c r="F3016" s="102"/>
      <c r="G3016" s="101"/>
      <c r="H3016" s="102"/>
      <c r="I3016" s="101"/>
      <c r="J3016" s="101"/>
      <c r="K3016" s="103"/>
      <c r="L3016" s="103"/>
      <c r="M3016" s="103"/>
      <c r="N3016" s="103"/>
      <c r="O3016" s="103"/>
      <c r="P3016" s="98"/>
      <c r="Q3016" s="99"/>
      <c r="R3016" s="104">
        <f t="shared" si="145"/>
        <v>0</v>
      </c>
      <c r="S3016" s="104">
        <f t="shared" si="146"/>
        <v>0</v>
      </c>
      <c r="T3016" s="104">
        <f t="shared" si="147"/>
        <v>0</v>
      </c>
    </row>
    <row r="3017" spans="1:20">
      <c r="A3017" s="101"/>
      <c r="B3017" s="101"/>
      <c r="C3017" s="101"/>
      <c r="D3017" s="101"/>
      <c r="E3017" s="101"/>
      <c r="F3017" s="102"/>
      <c r="G3017" s="101"/>
      <c r="H3017" s="102"/>
      <c r="I3017" s="101"/>
      <c r="J3017" s="101"/>
      <c r="K3017" s="103"/>
      <c r="L3017" s="103"/>
      <c r="M3017" s="103"/>
      <c r="N3017" s="103"/>
      <c r="O3017" s="103"/>
      <c r="P3017" s="98"/>
      <c r="Q3017" s="99"/>
      <c r="R3017" s="104">
        <f t="shared" si="145"/>
        <v>0</v>
      </c>
      <c r="S3017" s="104">
        <f t="shared" si="146"/>
        <v>0</v>
      </c>
      <c r="T3017" s="104">
        <f t="shared" si="147"/>
        <v>0</v>
      </c>
    </row>
    <row r="3018" spans="1:20">
      <c r="A3018" s="101"/>
      <c r="B3018" s="101"/>
      <c r="C3018" s="101"/>
      <c r="D3018" s="101"/>
      <c r="E3018" s="101"/>
      <c r="F3018" s="102"/>
      <c r="G3018" s="101"/>
      <c r="H3018" s="102"/>
      <c r="I3018" s="101"/>
      <c r="J3018" s="101"/>
      <c r="K3018" s="103"/>
      <c r="L3018" s="103"/>
      <c r="M3018" s="103"/>
      <c r="N3018" s="103"/>
      <c r="O3018" s="103"/>
      <c r="P3018" s="98"/>
      <c r="Q3018" s="99"/>
      <c r="R3018" s="104">
        <f t="shared" ref="R3018:R3081" si="148">IF(P3018="Cargo",K3018+L3018-M3018-N3018+O3018,0)</f>
        <v>0</v>
      </c>
      <c r="S3018" s="104">
        <f t="shared" ref="S3018:S3081" si="149">IF(P3018="Abono",K3018+L3018+M3018-N3018-O3018,0)</f>
        <v>0</v>
      </c>
      <c r="T3018" s="104">
        <f t="shared" ref="T3018:T3081" si="150">IF(Q3018="OK",+T3017+R3018-S3018,T3017)</f>
        <v>0</v>
      </c>
    </row>
    <row r="3019" spans="1:20">
      <c r="A3019" s="101"/>
      <c r="B3019" s="101"/>
      <c r="C3019" s="101"/>
      <c r="D3019" s="101"/>
      <c r="E3019" s="101"/>
      <c r="F3019" s="102"/>
      <c r="G3019" s="101"/>
      <c r="H3019" s="102"/>
      <c r="I3019" s="101"/>
      <c r="J3019" s="101"/>
      <c r="K3019" s="103"/>
      <c r="L3019" s="103"/>
      <c r="M3019" s="103"/>
      <c r="N3019" s="103"/>
      <c r="O3019" s="103"/>
      <c r="P3019" s="98"/>
      <c r="Q3019" s="99"/>
      <c r="R3019" s="104">
        <f t="shared" si="148"/>
        <v>0</v>
      </c>
      <c r="S3019" s="104">
        <f t="shared" si="149"/>
        <v>0</v>
      </c>
      <c r="T3019" s="104">
        <f t="shared" si="150"/>
        <v>0</v>
      </c>
    </row>
    <row r="3020" spans="1:20">
      <c r="A3020" s="101"/>
      <c r="B3020" s="101"/>
      <c r="C3020" s="101"/>
      <c r="D3020" s="101"/>
      <c r="E3020" s="101"/>
      <c r="F3020" s="102"/>
      <c r="G3020" s="101"/>
      <c r="H3020" s="102"/>
      <c r="I3020" s="101"/>
      <c r="J3020" s="101"/>
      <c r="K3020" s="103"/>
      <c r="L3020" s="103"/>
      <c r="M3020" s="103"/>
      <c r="N3020" s="103"/>
      <c r="O3020" s="103"/>
      <c r="P3020" s="98"/>
      <c r="Q3020" s="99"/>
      <c r="R3020" s="104">
        <f t="shared" si="148"/>
        <v>0</v>
      </c>
      <c r="S3020" s="104">
        <f t="shared" si="149"/>
        <v>0</v>
      </c>
      <c r="T3020" s="104">
        <f t="shared" si="150"/>
        <v>0</v>
      </c>
    </row>
    <row r="3021" spans="1:20">
      <c r="A3021" s="101"/>
      <c r="B3021" s="101"/>
      <c r="C3021" s="101"/>
      <c r="D3021" s="101"/>
      <c r="E3021" s="101"/>
      <c r="F3021" s="102"/>
      <c r="G3021" s="101"/>
      <c r="H3021" s="102"/>
      <c r="I3021" s="101"/>
      <c r="J3021" s="101"/>
      <c r="K3021" s="103"/>
      <c r="L3021" s="103"/>
      <c r="M3021" s="103"/>
      <c r="N3021" s="103"/>
      <c r="O3021" s="103"/>
      <c r="P3021" s="98"/>
      <c r="Q3021" s="99"/>
      <c r="R3021" s="104">
        <f t="shared" si="148"/>
        <v>0</v>
      </c>
      <c r="S3021" s="104">
        <f t="shared" si="149"/>
        <v>0</v>
      </c>
      <c r="T3021" s="104">
        <f t="shared" si="150"/>
        <v>0</v>
      </c>
    </row>
    <row r="3022" spans="1:20">
      <c r="A3022" s="101"/>
      <c r="B3022" s="101"/>
      <c r="C3022" s="101"/>
      <c r="D3022" s="101"/>
      <c r="E3022" s="101"/>
      <c r="F3022" s="102"/>
      <c r="G3022" s="101"/>
      <c r="H3022" s="102"/>
      <c r="I3022" s="101"/>
      <c r="J3022" s="101"/>
      <c r="K3022" s="103"/>
      <c r="L3022" s="103"/>
      <c r="M3022" s="103"/>
      <c r="N3022" s="103"/>
      <c r="O3022" s="103"/>
      <c r="P3022" s="98"/>
      <c r="Q3022" s="99"/>
      <c r="R3022" s="104">
        <f t="shared" si="148"/>
        <v>0</v>
      </c>
      <c r="S3022" s="104">
        <f t="shared" si="149"/>
        <v>0</v>
      </c>
      <c r="T3022" s="104">
        <f t="shared" si="150"/>
        <v>0</v>
      </c>
    </row>
    <row r="3023" spans="1:20">
      <c r="A3023" s="101"/>
      <c r="B3023" s="101"/>
      <c r="C3023" s="101"/>
      <c r="D3023" s="101"/>
      <c r="E3023" s="101"/>
      <c r="F3023" s="102"/>
      <c r="G3023" s="101"/>
      <c r="H3023" s="102"/>
      <c r="I3023" s="101"/>
      <c r="J3023" s="101"/>
      <c r="K3023" s="103"/>
      <c r="L3023" s="103"/>
      <c r="M3023" s="103"/>
      <c r="N3023" s="103"/>
      <c r="O3023" s="103"/>
      <c r="P3023" s="98"/>
      <c r="Q3023" s="99"/>
      <c r="R3023" s="104">
        <f t="shared" si="148"/>
        <v>0</v>
      </c>
      <c r="S3023" s="104">
        <f t="shared" si="149"/>
        <v>0</v>
      </c>
      <c r="T3023" s="104">
        <f t="shared" si="150"/>
        <v>0</v>
      </c>
    </row>
    <row r="3024" spans="1:20">
      <c r="A3024" s="101"/>
      <c r="B3024" s="101"/>
      <c r="C3024" s="101"/>
      <c r="D3024" s="101"/>
      <c r="E3024" s="101"/>
      <c r="F3024" s="102"/>
      <c r="G3024" s="101"/>
      <c r="H3024" s="102"/>
      <c r="I3024" s="101"/>
      <c r="J3024" s="101"/>
      <c r="K3024" s="103"/>
      <c r="L3024" s="103"/>
      <c r="M3024" s="103"/>
      <c r="N3024" s="103"/>
      <c r="O3024" s="103"/>
      <c r="P3024" s="98"/>
      <c r="Q3024" s="99"/>
      <c r="R3024" s="104">
        <f t="shared" si="148"/>
        <v>0</v>
      </c>
      <c r="S3024" s="104">
        <f t="shared" si="149"/>
        <v>0</v>
      </c>
      <c r="T3024" s="104">
        <f t="shared" si="150"/>
        <v>0</v>
      </c>
    </row>
    <row r="3025" spans="1:20">
      <c r="A3025" s="101"/>
      <c r="B3025" s="101"/>
      <c r="C3025" s="101"/>
      <c r="D3025" s="101"/>
      <c r="E3025" s="101"/>
      <c r="F3025" s="102"/>
      <c r="G3025" s="101"/>
      <c r="H3025" s="102"/>
      <c r="I3025" s="101"/>
      <c r="J3025" s="101"/>
      <c r="K3025" s="103"/>
      <c r="L3025" s="103"/>
      <c r="M3025" s="103"/>
      <c r="N3025" s="103"/>
      <c r="O3025" s="103"/>
      <c r="P3025" s="98"/>
      <c r="Q3025" s="99"/>
      <c r="R3025" s="104">
        <f t="shared" si="148"/>
        <v>0</v>
      </c>
      <c r="S3025" s="104">
        <f t="shared" si="149"/>
        <v>0</v>
      </c>
      <c r="T3025" s="104">
        <f t="shared" si="150"/>
        <v>0</v>
      </c>
    </row>
    <row r="3026" spans="1:20">
      <c r="A3026" s="101"/>
      <c r="B3026" s="101"/>
      <c r="C3026" s="101"/>
      <c r="D3026" s="101"/>
      <c r="E3026" s="101"/>
      <c r="F3026" s="102"/>
      <c r="G3026" s="101"/>
      <c r="H3026" s="102"/>
      <c r="I3026" s="101"/>
      <c r="J3026" s="101"/>
      <c r="K3026" s="103"/>
      <c r="L3026" s="103"/>
      <c r="M3026" s="103"/>
      <c r="N3026" s="103"/>
      <c r="O3026" s="103"/>
      <c r="P3026" s="98"/>
      <c r="Q3026" s="99"/>
      <c r="R3026" s="104">
        <f t="shared" si="148"/>
        <v>0</v>
      </c>
      <c r="S3026" s="104">
        <f t="shared" si="149"/>
        <v>0</v>
      </c>
      <c r="T3026" s="104">
        <f t="shared" si="150"/>
        <v>0</v>
      </c>
    </row>
    <row r="3027" spans="1:20">
      <c r="A3027" s="101"/>
      <c r="B3027" s="101"/>
      <c r="C3027" s="101"/>
      <c r="D3027" s="101"/>
      <c r="E3027" s="101"/>
      <c r="F3027" s="102"/>
      <c r="G3027" s="101"/>
      <c r="H3027" s="102"/>
      <c r="I3027" s="101"/>
      <c r="J3027" s="101"/>
      <c r="K3027" s="103"/>
      <c r="L3027" s="103"/>
      <c r="M3027" s="103"/>
      <c r="N3027" s="103"/>
      <c r="O3027" s="103"/>
      <c r="P3027" s="98"/>
      <c r="Q3027" s="99"/>
      <c r="R3027" s="104">
        <f t="shared" si="148"/>
        <v>0</v>
      </c>
      <c r="S3027" s="104">
        <f t="shared" si="149"/>
        <v>0</v>
      </c>
      <c r="T3027" s="104">
        <f t="shared" si="150"/>
        <v>0</v>
      </c>
    </row>
    <row r="3028" spans="1:20">
      <c r="A3028" s="101"/>
      <c r="B3028" s="101"/>
      <c r="C3028" s="101"/>
      <c r="D3028" s="101"/>
      <c r="E3028" s="101"/>
      <c r="F3028" s="102"/>
      <c r="G3028" s="101"/>
      <c r="H3028" s="102"/>
      <c r="I3028" s="101"/>
      <c r="J3028" s="101"/>
      <c r="K3028" s="103"/>
      <c r="L3028" s="103"/>
      <c r="M3028" s="103"/>
      <c r="N3028" s="103"/>
      <c r="O3028" s="103"/>
      <c r="P3028" s="98"/>
      <c r="Q3028" s="99"/>
      <c r="R3028" s="104">
        <f t="shared" si="148"/>
        <v>0</v>
      </c>
      <c r="S3028" s="104">
        <f t="shared" si="149"/>
        <v>0</v>
      </c>
      <c r="T3028" s="104">
        <f t="shared" si="150"/>
        <v>0</v>
      </c>
    </row>
    <row r="3029" spans="1:20">
      <c r="A3029" s="101"/>
      <c r="B3029" s="101"/>
      <c r="C3029" s="101"/>
      <c r="D3029" s="101"/>
      <c r="E3029" s="101"/>
      <c r="F3029" s="102"/>
      <c r="G3029" s="101"/>
      <c r="H3029" s="102"/>
      <c r="I3029" s="101"/>
      <c r="J3029" s="101"/>
      <c r="K3029" s="103"/>
      <c r="L3029" s="103"/>
      <c r="M3029" s="103"/>
      <c r="N3029" s="103"/>
      <c r="O3029" s="103"/>
      <c r="P3029" s="98"/>
      <c r="Q3029" s="99"/>
      <c r="R3029" s="104">
        <f t="shared" si="148"/>
        <v>0</v>
      </c>
      <c r="S3029" s="104">
        <f t="shared" si="149"/>
        <v>0</v>
      </c>
      <c r="T3029" s="104">
        <f t="shared" si="150"/>
        <v>0</v>
      </c>
    </row>
    <row r="3030" spans="1:20">
      <c r="A3030" s="101"/>
      <c r="B3030" s="101"/>
      <c r="C3030" s="101"/>
      <c r="D3030" s="101"/>
      <c r="E3030" s="101"/>
      <c r="F3030" s="102"/>
      <c r="G3030" s="101"/>
      <c r="H3030" s="102"/>
      <c r="I3030" s="101"/>
      <c r="J3030" s="101"/>
      <c r="K3030" s="103"/>
      <c r="L3030" s="103"/>
      <c r="M3030" s="103"/>
      <c r="N3030" s="103"/>
      <c r="O3030" s="103"/>
      <c r="P3030" s="98"/>
      <c r="Q3030" s="99"/>
      <c r="R3030" s="104">
        <f t="shared" si="148"/>
        <v>0</v>
      </c>
      <c r="S3030" s="104">
        <f t="shared" si="149"/>
        <v>0</v>
      </c>
      <c r="T3030" s="104">
        <f t="shared" si="150"/>
        <v>0</v>
      </c>
    </row>
    <row r="3031" spans="1:20">
      <c r="A3031" s="101"/>
      <c r="B3031" s="101"/>
      <c r="C3031" s="101"/>
      <c r="D3031" s="101"/>
      <c r="E3031" s="101"/>
      <c r="F3031" s="102"/>
      <c r="G3031" s="101"/>
      <c r="H3031" s="102"/>
      <c r="I3031" s="101"/>
      <c r="J3031" s="101"/>
      <c r="K3031" s="103"/>
      <c r="L3031" s="103"/>
      <c r="M3031" s="103"/>
      <c r="N3031" s="103"/>
      <c r="O3031" s="103"/>
      <c r="P3031" s="98"/>
      <c r="Q3031" s="99"/>
      <c r="R3031" s="104">
        <f t="shared" si="148"/>
        <v>0</v>
      </c>
      <c r="S3031" s="104">
        <f t="shared" si="149"/>
        <v>0</v>
      </c>
      <c r="T3031" s="104">
        <f t="shared" si="150"/>
        <v>0</v>
      </c>
    </row>
    <row r="3032" spans="1:20">
      <c r="A3032" s="101"/>
      <c r="B3032" s="101"/>
      <c r="C3032" s="101"/>
      <c r="D3032" s="101"/>
      <c r="E3032" s="101"/>
      <c r="F3032" s="102"/>
      <c r="G3032" s="101"/>
      <c r="H3032" s="102"/>
      <c r="I3032" s="101"/>
      <c r="J3032" s="101"/>
      <c r="K3032" s="103"/>
      <c r="L3032" s="103"/>
      <c r="M3032" s="103"/>
      <c r="N3032" s="103"/>
      <c r="O3032" s="103"/>
      <c r="P3032" s="98"/>
      <c r="Q3032" s="99"/>
      <c r="R3032" s="104">
        <f t="shared" si="148"/>
        <v>0</v>
      </c>
      <c r="S3032" s="104">
        <f t="shared" si="149"/>
        <v>0</v>
      </c>
      <c r="T3032" s="104">
        <f t="shared" si="150"/>
        <v>0</v>
      </c>
    </row>
    <row r="3033" spans="1:20">
      <c r="A3033" s="101"/>
      <c r="B3033" s="101"/>
      <c r="C3033" s="101"/>
      <c r="D3033" s="101"/>
      <c r="E3033" s="101"/>
      <c r="F3033" s="102"/>
      <c r="G3033" s="101"/>
      <c r="H3033" s="102"/>
      <c r="I3033" s="101"/>
      <c r="J3033" s="101"/>
      <c r="K3033" s="103"/>
      <c r="L3033" s="103"/>
      <c r="M3033" s="103"/>
      <c r="N3033" s="103"/>
      <c r="O3033" s="103"/>
      <c r="P3033" s="98"/>
      <c r="Q3033" s="99"/>
      <c r="R3033" s="104">
        <f t="shared" si="148"/>
        <v>0</v>
      </c>
      <c r="S3033" s="104">
        <f t="shared" si="149"/>
        <v>0</v>
      </c>
      <c r="T3033" s="104">
        <f t="shared" si="150"/>
        <v>0</v>
      </c>
    </row>
    <row r="3034" spans="1:20">
      <c r="A3034" s="101"/>
      <c r="B3034" s="101"/>
      <c r="C3034" s="101"/>
      <c r="D3034" s="101"/>
      <c r="E3034" s="101"/>
      <c r="F3034" s="102"/>
      <c r="G3034" s="101"/>
      <c r="H3034" s="102"/>
      <c r="I3034" s="101"/>
      <c r="J3034" s="101"/>
      <c r="K3034" s="103"/>
      <c r="L3034" s="103"/>
      <c r="M3034" s="103"/>
      <c r="N3034" s="103"/>
      <c r="O3034" s="103"/>
      <c r="P3034" s="98"/>
      <c r="Q3034" s="99"/>
      <c r="R3034" s="104">
        <f t="shared" si="148"/>
        <v>0</v>
      </c>
      <c r="S3034" s="104">
        <f t="shared" si="149"/>
        <v>0</v>
      </c>
      <c r="T3034" s="104">
        <f t="shared" si="150"/>
        <v>0</v>
      </c>
    </row>
    <row r="3035" spans="1:20">
      <c r="A3035" s="101"/>
      <c r="B3035" s="101"/>
      <c r="C3035" s="101"/>
      <c r="D3035" s="101"/>
      <c r="E3035" s="101"/>
      <c r="F3035" s="102"/>
      <c r="G3035" s="101"/>
      <c r="H3035" s="102"/>
      <c r="I3035" s="101"/>
      <c r="J3035" s="101"/>
      <c r="K3035" s="103"/>
      <c r="L3035" s="103"/>
      <c r="M3035" s="103"/>
      <c r="N3035" s="103"/>
      <c r="O3035" s="103"/>
      <c r="P3035" s="98"/>
      <c r="Q3035" s="99"/>
      <c r="R3035" s="104">
        <f t="shared" si="148"/>
        <v>0</v>
      </c>
      <c r="S3035" s="104">
        <f t="shared" si="149"/>
        <v>0</v>
      </c>
      <c r="T3035" s="104">
        <f t="shared" si="150"/>
        <v>0</v>
      </c>
    </row>
    <row r="3036" spans="1:20">
      <c r="A3036" s="101"/>
      <c r="B3036" s="101"/>
      <c r="C3036" s="101"/>
      <c r="D3036" s="101"/>
      <c r="E3036" s="101"/>
      <c r="F3036" s="102"/>
      <c r="G3036" s="101"/>
      <c r="H3036" s="102"/>
      <c r="I3036" s="101"/>
      <c r="J3036" s="101"/>
      <c r="K3036" s="103"/>
      <c r="L3036" s="103"/>
      <c r="M3036" s="103"/>
      <c r="N3036" s="103"/>
      <c r="O3036" s="103"/>
      <c r="P3036" s="98"/>
      <c r="Q3036" s="99"/>
      <c r="R3036" s="104">
        <f t="shared" si="148"/>
        <v>0</v>
      </c>
      <c r="S3036" s="104">
        <f t="shared" si="149"/>
        <v>0</v>
      </c>
      <c r="T3036" s="104">
        <f t="shared" si="150"/>
        <v>0</v>
      </c>
    </row>
    <row r="3037" spans="1:20">
      <c r="A3037" s="101"/>
      <c r="B3037" s="101"/>
      <c r="C3037" s="101"/>
      <c r="D3037" s="101"/>
      <c r="E3037" s="101"/>
      <c r="F3037" s="102"/>
      <c r="G3037" s="101"/>
      <c r="H3037" s="102"/>
      <c r="I3037" s="101"/>
      <c r="J3037" s="101"/>
      <c r="K3037" s="103"/>
      <c r="L3037" s="103"/>
      <c r="M3037" s="103"/>
      <c r="N3037" s="103"/>
      <c r="O3037" s="103"/>
      <c r="P3037" s="98"/>
      <c r="Q3037" s="99"/>
      <c r="R3037" s="104">
        <f t="shared" si="148"/>
        <v>0</v>
      </c>
      <c r="S3037" s="104">
        <f t="shared" si="149"/>
        <v>0</v>
      </c>
      <c r="T3037" s="104">
        <f t="shared" si="150"/>
        <v>0</v>
      </c>
    </row>
    <row r="3038" spans="1:20">
      <c r="A3038" s="101"/>
      <c r="B3038" s="101"/>
      <c r="C3038" s="101"/>
      <c r="D3038" s="101"/>
      <c r="E3038" s="101"/>
      <c r="F3038" s="102"/>
      <c r="G3038" s="101"/>
      <c r="H3038" s="102"/>
      <c r="I3038" s="101"/>
      <c r="J3038" s="101"/>
      <c r="K3038" s="103"/>
      <c r="L3038" s="103"/>
      <c r="M3038" s="103"/>
      <c r="N3038" s="103"/>
      <c r="O3038" s="103"/>
      <c r="P3038" s="98"/>
      <c r="Q3038" s="99"/>
      <c r="R3038" s="104">
        <f t="shared" si="148"/>
        <v>0</v>
      </c>
      <c r="S3038" s="104">
        <f t="shared" si="149"/>
        <v>0</v>
      </c>
      <c r="T3038" s="104">
        <f t="shared" si="150"/>
        <v>0</v>
      </c>
    </row>
    <row r="3039" spans="1:20">
      <c r="A3039" s="101"/>
      <c r="B3039" s="101"/>
      <c r="C3039" s="101"/>
      <c r="D3039" s="101"/>
      <c r="E3039" s="101"/>
      <c r="F3039" s="102"/>
      <c r="G3039" s="101"/>
      <c r="H3039" s="102"/>
      <c r="I3039" s="101"/>
      <c r="J3039" s="101"/>
      <c r="K3039" s="103"/>
      <c r="L3039" s="103"/>
      <c r="M3039" s="103"/>
      <c r="N3039" s="103"/>
      <c r="O3039" s="103"/>
      <c r="P3039" s="98"/>
      <c r="Q3039" s="99"/>
      <c r="R3039" s="104">
        <f t="shared" si="148"/>
        <v>0</v>
      </c>
      <c r="S3039" s="104">
        <f t="shared" si="149"/>
        <v>0</v>
      </c>
      <c r="T3039" s="104">
        <f t="shared" si="150"/>
        <v>0</v>
      </c>
    </row>
    <row r="3040" spans="1:20">
      <c r="A3040" s="101"/>
      <c r="B3040" s="101"/>
      <c r="C3040" s="101"/>
      <c r="D3040" s="101"/>
      <c r="E3040" s="101"/>
      <c r="F3040" s="102"/>
      <c r="G3040" s="101"/>
      <c r="H3040" s="102"/>
      <c r="I3040" s="101"/>
      <c r="J3040" s="101"/>
      <c r="K3040" s="103"/>
      <c r="L3040" s="103"/>
      <c r="M3040" s="103"/>
      <c r="N3040" s="103"/>
      <c r="O3040" s="103"/>
      <c r="P3040" s="98"/>
      <c r="Q3040" s="99"/>
      <c r="R3040" s="104">
        <f t="shared" si="148"/>
        <v>0</v>
      </c>
      <c r="S3040" s="104">
        <f t="shared" si="149"/>
        <v>0</v>
      </c>
      <c r="T3040" s="104">
        <f t="shared" si="150"/>
        <v>0</v>
      </c>
    </row>
    <row r="3041" spans="1:20">
      <c r="A3041" s="101"/>
      <c r="B3041" s="101"/>
      <c r="C3041" s="101"/>
      <c r="D3041" s="101"/>
      <c r="E3041" s="101"/>
      <c r="F3041" s="102"/>
      <c r="G3041" s="101"/>
      <c r="H3041" s="102"/>
      <c r="I3041" s="101"/>
      <c r="J3041" s="101"/>
      <c r="K3041" s="103"/>
      <c r="L3041" s="103"/>
      <c r="M3041" s="103"/>
      <c r="N3041" s="103"/>
      <c r="O3041" s="103"/>
      <c r="P3041" s="98"/>
      <c r="Q3041" s="99"/>
      <c r="R3041" s="104">
        <f t="shared" si="148"/>
        <v>0</v>
      </c>
      <c r="S3041" s="104">
        <f t="shared" si="149"/>
        <v>0</v>
      </c>
      <c r="T3041" s="104">
        <f t="shared" si="150"/>
        <v>0</v>
      </c>
    </row>
    <row r="3042" spans="1:20">
      <c r="A3042" s="101"/>
      <c r="B3042" s="101"/>
      <c r="C3042" s="101"/>
      <c r="D3042" s="101"/>
      <c r="E3042" s="101"/>
      <c r="F3042" s="102"/>
      <c r="G3042" s="101"/>
      <c r="H3042" s="102"/>
      <c r="I3042" s="101"/>
      <c r="J3042" s="101"/>
      <c r="K3042" s="103"/>
      <c r="L3042" s="103"/>
      <c r="M3042" s="103"/>
      <c r="N3042" s="103"/>
      <c r="O3042" s="103"/>
      <c r="P3042" s="98"/>
      <c r="Q3042" s="99"/>
      <c r="R3042" s="104">
        <f t="shared" si="148"/>
        <v>0</v>
      </c>
      <c r="S3042" s="104">
        <f t="shared" si="149"/>
        <v>0</v>
      </c>
      <c r="T3042" s="104">
        <f t="shared" si="150"/>
        <v>0</v>
      </c>
    </row>
    <row r="3043" spans="1:20">
      <c r="A3043" s="101"/>
      <c r="B3043" s="101"/>
      <c r="C3043" s="101"/>
      <c r="D3043" s="101"/>
      <c r="E3043" s="101"/>
      <c r="F3043" s="102"/>
      <c r="G3043" s="101"/>
      <c r="H3043" s="102"/>
      <c r="I3043" s="101"/>
      <c r="J3043" s="101"/>
      <c r="K3043" s="103"/>
      <c r="L3043" s="103"/>
      <c r="M3043" s="103"/>
      <c r="N3043" s="103"/>
      <c r="O3043" s="103"/>
      <c r="P3043" s="98"/>
      <c r="Q3043" s="99"/>
      <c r="R3043" s="104">
        <f t="shared" si="148"/>
        <v>0</v>
      </c>
      <c r="S3043" s="104">
        <f t="shared" si="149"/>
        <v>0</v>
      </c>
      <c r="T3043" s="104">
        <f t="shared" si="150"/>
        <v>0</v>
      </c>
    </row>
    <row r="3044" spans="1:20">
      <c r="A3044" s="101"/>
      <c r="B3044" s="101"/>
      <c r="C3044" s="101"/>
      <c r="D3044" s="101"/>
      <c r="E3044" s="101"/>
      <c r="F3044" s="102"/>
      <c r="G3044" s="101"/>
      <c r="H3044" s="102"/>
      <c r="I3044" s="101"/>
      <c r="J3044" s="101"/>
      <c r="K3044" s="103"/>
      <c r="L3044" s="103"/>
      <c r="M3044" s="103"/>
      <c r="N3044" s="103"/>
      <c r="O3044" s="103"/>
      <c r="P3044" s="98"/>
      <c r="Q3044" s="99"/>
      <c r="R3044" s="104">
        <f t="shared" si="148"/>
        <v>0</v>
      </c>
      <c r="S3044" s="104">
        <f t="shared" si="149"/>
        <v>0</v>
      </c>
      <c r="T3044" s="104">
        <f t="shared" si="150"/>
        <v>0</v>
      </c>
    </row>
    <row r="3045" spans="1:20">
      <c r="A3045" s="101"/>
      <c r="B3045" s="101"/>
      <c r="C3045" s="101"/>
      <c r="D3045" s="101"/>
      <c r="E3045" s="101"/>
      <c r="F3045" s="102"/>
      <c r="G3045" s="101"/>
      <c r="H3045" s="102"/>
      <c r="I3045" s="101"/>
      <c r="J3045" s="101"/>
      <c r="K3045" s="103"/>
      <c r="L3045" s="103"/>
      <c r="M3045" s="103"/>
      <c r="N3045" s="103"/>
      <c r="O3045" s="103"/>
      <c r="P3045" s="98"/>
      <c r="Q3045" s="99"/>
      <c r="R3045" s="104">
        <f t="shared" si="148"/>
        <v>0</v>
      </c>
      <c r="S3045" s="104">
        <f t="shared" si="149"/>
        <v>0</v>
      </c>
      <c r="T3045" s="104">
        <f t="shared" si="150"/>
        <v>0</v>
      </c>
    </row>
    <row r="3046" spans="1:20">
      <c r="A3046" s="101"/>
      <c r="B3046" s="101"/>
      <c r="C3046" s="101"/>
      <c r="D3046" s="101"/>
      <c r="E3046" s="101"/>
      <c r="F3046" s="102"/>
      <c r="G3046" s="101"/>
      <c r="H3046" s="102"/>
      <c r="I3046" s="101"/>
      <c r="J3046" s="101"/>
      <c r="K3046" s="103"/>
      <c r="L3046" s="103"/>
      <c r="M3046" s="103"/>
      <c r="N3046" s="103"/>
      <c r="O3046" s="103"/>
      <c r="P3046" s="98"/>
      <c r="Q3046" s="99"/>
      <c r="R3046" s="104">
        <f t="shared" si="148"/>
        <v>0</v>
      </c>
      <c r="S3046" s="104">
        <f t="shared" si="149"/>
        <v>0</v>
      </c>
      <c r="T3046" s="104">
        <f t="shared" si="150"/>
        <v>0</v>
      </c>
    </row>
    <row r="3047" spans="1:20">
      <c r="A3047" s="101"/>
      <c r="B3047" s="101"/>
      <c r="C3047" s="101"/>
      <c r="D3047" s="101"/>
      <c r="E3047" s="101"/>
      <c r="F3047" s="102"/>
      <c r="G3047" s="101"/>
      <c r="H3047" s="102"/>
      <c r="I3047" s="101"/>
      <c r="J3047" s="101"/>
      <c r="K3047" s="103"/>
      <c r="L3047" s="103"/>
      <c r="M3047" s="103"/>
      <c r="N3047" s="103"/>
      <c r="O3047" s="103"/>
      <c r="P3047" s="98"/>
      <c r="Q3047" s="99"/>
      <c r="R3047" s="104">
        <f t="shared" si="148"/>
        <v>0</v>
      </c>
      <c r="S3047" s="104">
        <f t="shared" si="149"/>
        <v>0</v>
      </c>
      <c r="T3047" s="104">
        <f t="shared" si="150"/>
        <v>0</v>
      </c>
    </row>
    <row r="3048" spans="1:20">
      <c r="A3048" s="101"/>
      <c r="B3048" s="101"/>
      <c r="C3048" s="101"/>
      <c r="D3048" s="101"/>
      <c r="E3048" s="101"/>
      <c r="F3048" s="102"/>
      <c r="G3048" s="101"/>
      <c r="H3048" s="102"/>
      <c r="I3048" s="101"/>
      <c r="J3048" s="101"/>
      <c r="K3048" s="103"/>
      <c r="L3048" s="103"/>
      <c r="M3048" s="103"/>
      <c r="N3048" s="103"/>
      <c r="O3048" s="103"/>
      <c r="P3048" s="98"/>
      <c r="Q3048" s="99"/>
      <c r="R3048" s="104">
        <f t="shared" si="148"/>
        <v>0</v>
      </c>
      <c r="S3048" s="104">
        <f t="shared" si="149"/>
        <v>0</v>
      </c>
      <c r="T3048" s="104">
        <f t="shared" si="150"/>
        <v>0</v>
      </c>
    </row>
    <row r="3049" spans="1:20">
      <c r="A3049" s="101"/>
      <c r="B3049" s="101"/>
      <c r="C3049" s="101"/>
      <c r="D3049" s="101"/>
      <c r="E3049" s="101"/>
      <c r="F3049" s="102"/>
      <c r="G3049" s="101"/>
      <c r="H3049" s="102"/>
      <c r="I3049" s="101"/>
      <c r="J3049" s="101"/>
      <c r="K3049" s="103"/>
      <c r="L3049" s="103"/>
      <c r="M3049" s="103"/>
      <c r="N3049" s="103"/>
      <c r="O3049" s="103"/>
      <c r="P3049" s="98"/>
      <c r="Q3049" s="99"/>
      <c r="R3049" s="104">
        <f t="shared" si="148"/>
        <v>0</v>
      </c>
      <c r="S3049" s="104">
        <f t="shared" si="149"/>
        <v>0</v>
      </c>
      <c r="T3049" s="104">
        <f t="shared" si="150"/>
        <v>0</v>
      </c>
    </row>
    <row r="3050" spans="1:20">
      <c r="A3050" s="101"/>
      <c r="B3050" s="101"/>
      <c r="C3050" s="101"/>
      <c r="D3050" s="101"/>
      <c r="E3050" s="101"/>
      <c r="F3050" s="102"/>
      <c r="G3050" s="101"/>
      <c r="H3050" s="102"/>
      <c r="I3050" s="101"/>
      <c r="J3050" s="101"/>
      <c r="K3050" s="103"/>
      <c r="L3050" s="103"/>
      <c r="M3050" s="103"/>
      <c r="N3050" s="103"/>
      <c r="O3050" s="103"/>
      <c r="P3050" s="98"/>
      <c r="Q3050" s="99"/>
      <c r="R3050" s="104">
        <f t="shared" si="148"/>
        <v>0</v>
      </c>
      <c r="S3050" s="104">
        <f t="shared" si="149"/>
        <v>0</v>
      </c>
      <c r="T3050" s="104">
        <f t="shared" si="150"/>
        <v>0</v>
      </c>
    </row>
    <row r="3051" spans="1:20">
      <c r="A3051" s="101"/>
      <c r="B3051" s="101"/>
      <c r="C3051" s="101"/>
      <c r="D3051" s="101"/>
      <c r="E3051" s="101"/>
      <c r="F3051" s="102"/>
      <c r="G3051" s="101"/>
      <c r="H3051" s="102"/>
      <c r="I3051" s="101"/>
      <c r="J3051" s="101"/>
      <c r="K3051" s="103"/>
      <c r="L3051" s="103"/>
      <c r="M3051" s="103"/>
      <c r="N3051" s="103"/>
      <c r="O3051" s="103"/>
      <c r="P3051" s="98"/>
      <c r="Q3051" s="99"/>
      <c r="R3051" s="104">
        <f t="shared" si="148"/>
        <v>0</v>
      </c>
      <c r="S3051" s="104">
        <f t="shared" si="149"/>
        <v>0</v>
      </c>
      <c r="T3051" s="104">
        <f t="shared" si="150"/>
        <v>0</v>
      </c>
    </row>
    <row r="3052" spans="1:20">
      <c r="A3052" s="101"/>
      <c r="B3052" s="101"/>
      <c r="C3052" s="101"/>
      <c r="D3052" s="101"/>
      <c r="E3052" s="101"/>
      <c r="F3052" s="102"/>
      <c r="G3052" s="101"/>
      <c r="H3052" s="102"/>
      <c r="I3052" s="101"/>
      <c r="J3052" s="101"/>
      <c r="K3052" s="103"/>
      <c r="L3052" s="103"/>
      <c r="M3052" s="103"/>
      <c r="N3052" s="103"/>
      <c r="O3052" s="103"/>
      <c r="P3052" s="98"/>
      <c r="Q3052" s="99"/>
      <c r="R3052" s="104">
        <f t="shared" si="148"/>
        <v>0</v>
      </c>
      <c r="S3052" s="104">
        <f t="shared" si="149"/>
        <v>0</v>
      </c>
      <c r="T3052" s="104">
        <f t="shared" si="150"/>
        <v>0</v>
      </c>
    </row>
    <row r="3053" spans="1:20">
      <c r="A3053" s="101"/>
      <c r="B3053" s="101"/>
      <c r="C3053" s="101"/>
      <c r="D3053" s="101"/>
      <c r="E3053" s="101"/>
      <c r="F3053" s="102"/>
      <c r="G3053" s="101"/>
      <c r="H3053" s="102"/>
      <c r="I3053" s="101"/>
      <c r="J3053" s="101"/>
      <c r="K3053" s="103"/>
      <c r="L3053" s="103"/>
      <c r="M3053" s="103"/>
      <c r="N3053" s="103"/>
      <c r="O3053" s="103"/>
      <c r="P3053" s="98"/>
      <c r="Q3053" s="99"/>
      <c r="R3053" s="104">
        <f t="shared" si="148"/>
        <v>0</v>
      </c>
      <c r="S3053" s="104">
        <f t="shared" si="149"/>
        <v>0</v>
      </c>
      <c r="T3053" s="104">
        <f t="shared" si="150"/>
        <v>0</v>
      </c>
    </row>
    <row r="3054" spans="1:20">
      <c r="A3054" s="101"/>
      <c r="B3054" s="101"/>
      <c r="C3054" s="101"/>
      <c r="D3054" s="101"/>
      <c r="E3054" s="101"/>
      <c r="F3054" s="102"/>
      <c r="G3054" s="101"/>
      <c r="H3054" s="102"/>
      <c r="I3054" s="101"/>
      <c r="J3054" s="101"/>
      <c r="K3054" s="103"/>
      <c r="L3054" s="103"/>
      <c r="M3054" s="103"/>
      <c r="N3054" s="103"/>
      <c r="O3054" s="103"/>
      <c r="P3054" s="98"/>
      <c r="Q3054" s="99"/>
      <c r="R3054" s="104">
        <f t="shared" si="148"/>
        <v>0</v>
      </c>
      <c r="S3054" s="104">
        <f t="shared" si="149"/>
        <v>0</v>
      </c>
      <c r="T3054" s="104">
        <f t="shared" si="150"/>
        <v>0</v>
      </c>
    </row>
    <row r="3055" spans="1:20">
      <c r="A3055" s="101"/>
      <c r="B3055" s="101"/>
      <c r="C3055" s="101"/>
      <c r="D3055" s="101"/>
      <c r="E3055" s="101"/>
      <c r="F3055" s="102"/>
      <c r="G3055" s="101"/>
      <c r="H3055" s="102"/>
      <c r="I3055" s="101"/>
      <c r="J3055" s="101"/>
      <c r="K3055" s="103"/>
      <c r="L3055" s="103"/>
      <c r="M3055" s="103"/>
      <c r="N3055" s="103"/>
      <c r="O3055" s="103"/>
      <c r="P3055" s="98"/>
      <c r="Q3055" s="99"/>
      <c r="R3055" s="104">
        <f t="shared" si="148"/>
        <v>0</v>
      </c>
      <c r="S3055" s="104">
        <f t="shared" si="149"/>
        <v>0</v>
      </c>
      <c r="T3055" s="104">
        <f t="shared" si="150"/>
        <v>0</v>
      </c>
    </row>
    <row r="3056" spans="1:20">
      <c r="A3056" s="101"/>
      <c r="B3056" s="101"/>
      <c r="C3056" s="101"/>
      <c r="D3056" s="101"/>
      <c r="E3056" s="101"/>
      <c r="F3056" s="102"/>
      <c r="G3056" s="101"/>
      <c r="H3056" s="102"/>
      <c r="I3056" s="101"/>
      <c r="J3056" s="101"/>
      <c r="K3056" s="103"/>
      <c r="L3056" s="103"/>
      <c r="M3056" s="103"/>
      <c r="N3056" s="103"/>
      <c r="O3056" s="103"/>
      <c r="P3056" s="98"/>
      <c r="Q3056" s="99"/>
      <c r="R3056" s="104">
        <f t="shared" si="148"/>
        <v>0</v>
      </c>
      <c r="S3056" s="104">
        <f t="shared" si="149"/>
        <v>0</v>
      </c>
      <c r="T3056" s="104">
        <f t="shared" si="150"/>
        <v>0</v>
      </c>
    </row>
    <row r="3057" spans="1:20">
      <c r="A3057" s="101"/>
      <c r="B3057" s="101"/>
      <c r="C3057" s="101"/>
      <c r="D3057" s="101"/>
      <c r="E3057" s="101"/>
      <c r="F3057" s="102"/>
      <c r="G3057" s="101"/>
      <c r="H3057" s="102"/>
      <c r="I3057" s="101"/>
      <c r="J3057" s="101"/>
      <c r="K3057" s="103"/>
      <c r="L3057" s="103"/>
      <c r="M3057" s="103"/>
      <c r="N3057" s="103"/>
      <c r="O3057" s="103"/>
      <c r="P3057" s="98"/>
      <c r="Q3057" s="99"/>
      <c r="R3057" s="104">
        <f t="shared" si="148"/>
        <v>0</v>
      </c>
      <c r="S3057" s="104">
        <f t="shared" si="149"/>
        <v>0</v>
      </c>
      <c r="T3057" s="104">
        <f t="shared" si="150"/>
        <v>0</v>
      </c>
    </row>
    <row r="3058" spans="1:20">
      <c r="A3058" s="101"/>
      <c r="B3058" s="101"/>
      <c r="C3058" s="101"/>
      <c r="D3058" s="101"/>
      <c r="E3058" s="101"/>
      <c r="F3058" s="102"/>
      <c r="G3058" s="101"/>
      <c r="H3058" s="102"/>
      <c r="I3058" s="101"/>
      <c r="J3058" s="101"/>
      <c r="K3058" s="103"/>
      <c r="L3058" s="103"/>
      <c r="M3058" s="103"/>
      <c r="N3058" s="103"/>
      <c r="O3058" s="103"/>
      <c r="P3058" s="98"/>
      <c r="Q3058" s="99"/>
      <c r="R3058" s="104">
        <f t="shared" si="148"/>
        <v>0</v>
      </c>
      <c r="S3058" s="104">
        <f t="shared" si="149"/>
        <v>0</v>
      </c>
      <c r="T3058" s="104">
        <f t="shared" si="150"/>
        <v>0</v>
      </c>
    </row>
    <row r="3059" spans="1:20">
      <c r="A3059" s="101"/>
      <c r="B3059" s="101"/>
      <c r="C3059" s="101"/>
      <c r="D3059" s="101"/>
      <c r="E3059" s="101"/>
      <c r="F3059" s="102"/>
      <c r="G3059" s="101"/>
      <c r="H3059" s="102"/>
      <c r="I3059" s="101"/>
      <c r="J3059" s="101"/>
      <c r="K3059" s="103"/>
      <c r="L3059" s="103"/>
      <c r="M3059" s="103"/>
      <c r="N3059" s="103"/>
      <c r="O3059" s="103"/>
      <c r="P3059" s="98"/>
      <c r="Q3059" s="99"/>
      <c r="R3059" s="104">
        <f t="shared" si="148"/>
        <v>0</v>
      </c>
      <c r="S3059" s="104">
        <f t="shared" si="149"/>
        <v>0</v>
      </c>
      <c r="T3059" s="104">
        <f t="shared" si="150"/>
        <v>0</v>
      </c>
    </row>
    <row r="3060" spans="1:20">
      <c r="A3060" s="101"/>
      <c r="B3060" s="101"/>
      <c r="C3060" s="101"/>
      <c r="D3060" s="101"/>
      <c r="E3060" s="101"/>
      <c r="F3060" s="102"/>
      <c r="G3060" s="101"/>
      <c r="H3060" s="102"/>
      <c r="I3060" s="101"/>
      <c r="J3060" s="101"/>
      <c r="K3060" s="103"/>
      <c r="L3060" s="103"/>
      <c r="M3060" s="103"/>
      <c r="N3060" s="103"/>
      <c r="O3060" s="103"/>
      <c r="P3060" s="98"/>
      <c r="Q3060" s="99"/>
      <c r="R3060" s="104">
        <f t="shared" si="148"/>
        <v>0</v>
      </c>
      <c r="S3060" s="104">
        <f t="shared" si="149"/>
        <v>0</v>
      </c>
      <c r="T3060" s="104">
        <f t="shared" si="150"/>
        <v>0</v>
      </c>
    </row>
    <row r="3061" spans="1:20">
      <c r="A3061" s="101"/>
      <c r="B3061" s="101"/>
      <c r="C3061" s="101"/>
      <c r="D3061" s="101"/>
      <c r="E3061" s="101"/>
      <c r="F3061" s="102"/>
      <c r="G3061" s="101"/>
      <c r="H3061" s="102"/>
      <c r="I3061" s="101"/>
      <c r="J3061" s="101"/>
      <c r="K3061" s="103"/>
      <c r="L3061" s="103"/>
      <c r="M3061" s="103"/>
      <c r="N3061" s="103"/>
      <c r="O3061" s="103"/>
      <c r="P3061" s="98"/>
      <c r="Q3061" s="99"/>
      <c r="R3061" s="104">
        <f t="shared" si="148"/>
        <v>0</v>
      </c>
      <c r="S3061" s="104">
        <f t="shared" si="149"/>
        <v>0</v>
      </c>
      <c r="T3061" s="104">
        <f t="shared" si="150"/>
        <v>0</v>
      </c>
    </row>
    <row r="3062" spans="1:20">
      <c r="A3062" s="101"/>
      <c r="B3062" s="101"/>
      <c r="C3062" s="101"/>
      <c r="D3062" s="101"/>
      <c r="E3062" s="101"/>
      <c r="F3062" s="102"/>
      <c r="G3062" s="101"/>
      <c r="H3062" s="102"/>
      <c r="I3062" s="101"/>
      <c r="J3062" s="101"/>
      <c r="K3062" s="103"/>
      <c r="L3062" s="103"/>
      <c r="M3062" s="103"/>
      <c r="N3062" s="103"/>
      <c r="O3062" s="103"/>
      <c r="P3062" s="98"/>
      <c r="Q3062" s="99"/>
      <c r="R3062" s="104">
        <f t="shared" si="148"/>
        <v>0</v>
      </c>
      <c r="S3062" s="104">
        <f t="shared" si="149"/>
        <v>0</v>
      </c>
      <c r="T3062" s="104">
        <f t="shared" si="150"/>
        <v>0</v>
      </c>
    </row>
    <row r="3063" spans="1:20">
      <c r="A3063" s="101"/>
      <c r="B3063" s="101"/>
      <c r="C3063" s="101"/>
      <c r="D3063" s="101"/>
      <c r="E3063" s="101"/>
      <c r="F3063" s="102"/>
      <c r="G3063" s="101"/>
      <c r="H3063" s="102"/>
      <c r="I3063" s="101"/>
      <c r="J3063" s="101"/>
      <c r="K3063" s="103"/>
      <c r="L3063" s="103"/>
      <c r="M3063" s="103"/>
      <c r="N3063" s="103"/>
      <c r="O3063" s="103"/>
      <c r="P3063" s="98"/>
      <c r="Q3063" s="99"/>
      <c r="R3063" s="104">
        <f t="shared" si="148"/>
        <v>0</v>
      </c>
      <c r="S3063" s="104">
        <f t="shared" si="149"/>
        <v>0</v>
      </c>
      <c r="T3063" s="104">
        <f t="shared" si="150"/>
        <v>0</v>
      </c>
    </row>
    <row r="3064" spans="1:20">
      <c r="A3064" s="101"/>
      <c r="B3064" s="101"/>
      <c r="C3064" s="101"/>
      <c r="D3064" s="101"/>
      <c r="E3064" s="101"/>
      <c r="F3064" s="102"/>
      <c r="G3064" s="101"/>
      <c r="H3064" s="102"/>
      <c r="I3064" s="101"/>
      <c r="J3064" s="101"/>
      <c r="K3064" s="103"/>
      <c r="L3064" s="103"/>
      <c r="M3064" s="103"/>
      <c r="N3064" s="103"/>
      <c r="O3064" s="103"/>
      <c r="P3064" s="98"/>
      <c r="Q3064" s="99"/>
      <c r="R3064" s="104">
        <f t="shared" si="148"/>
        <v>0</v>
      </c>
      <c r="S3064" s="104">
        <f t="shared" si="149"/>
        <v>0</v>
      </c>
      <c r="T3064" s="104">
        <f t="shared" si="150"/>
        <v>0</v>
      </c>
    </row>
    <row r="3065" spans="1:20">
      <c r="A3065" s="101"/>
      <c r="B3065" s="101"/>
      <c r="C3065" s="101"/>
      <c r="D3065" s="101"/>
      <c r="E3065" s="101"/>
      <c r="F3065" s="102"/>
      <c r="G3065" s="101"/>
      <c r="H3065" s="102"/>
      <c r="I3065" s="101"/>
      <c r="J3065" s="101"/>
      <c r="K3065" s="103"/>
      <c r="L3065" s="103"/>
      <c r="M3065" s="103"/>
      <c r="N3065" s="103"/>
      <c r="O3065" s="103"/>
      <c r="P3065" s="98"/>
      <c r="Q3065" s="99"/>
      <c r="R3065" s="104">
        <f t="shared" si="148"/>
        <v>0</v>
      </c>
      <c r="S3065" s="104">
        <f t="shared" si="149"/>
        <v>0</v>
      </c>
      <c r="T3065" s="104">
        <f t="shared" si="150"/>
        <v>0</v>
      </c>
    </row>
    <row r="3066" spans="1:20">
      <c r="A3066" s="101"/>
      <c r="B3066" s="101"/>
      <c r="C3066" s="101"/>
      <c r="D3066" s="101"/>
      <c r="E3066" s="101"/>
      <c r="F3066" s="102"/>
      <c r="G3066" s="101"/>
      <c r="H3066" s="102"/>
      <c r="I3066" s="101"/>
      <c r="J3066" s="101"/>
      <c r="K3066" s="103"/>
      <c r="L3066" s="103"/>
      <c r="M3066" s="103"/>
      <c r="N3066" s="103"/>
      <c r="O3066" s="103"/>
      <c r="P3066" s="98"/>
      <c r="Q3066" s="99"/>
      <c r="R3066" s="104">
        <f t="shared" si="148"/>
        <v>0</v>
      </c>
      <c r="S3066" s="104">
        <f t="shared" si="149"/>
        <v>0</v>
      </c>
      <c r="T3066" s="104">
        <f t="shared" si="150"/>
        <v>0</v>
      </c>
    </row>
    <row r="3067" spans="1:20">
      <c r="A3067" s="101"/>
      <c r="B3067" s="101"/>
      <c r="C3067" s="101"/>
      <c r="D3067" s="101"/>
      <c r="E3067" s="101"/>
      <c r="F3067" s="102"/>
      <c r="G3067" s="101"/>
      <c r="H3067" s="102"/>
      <c r="I3067" s="101"/>
      <c r="J3067" s="101"/>
      <c r="K3067" s="103"/>
      <c r="L3067" s="103"/>
      <c r="M3067" s="103"/>
      <c r="N3067" s="103"/>
      <c r="O3067" s="103"/>
      <c r="P3067" s="98"/>
      <c r="Q3067" s="99"/>
      <c r="R3067" s="104">
        <f t="shared" si="148"/>
        <v>0</v>
      </c>
      <c r="S3067" s="104">
        <f t="shared" si="149"/>
        <v>0</v>
      </c>
      <c r="T3067" s="104">
        <f t="shared" si="150"/>
        <v>0</v>
      </c>
    </row>
    <row r="3068" spans="1:20">
      <c r="A3068" s="101"/>
      <c r="B3068" s="101"/>
      <c r="C3068" s="101"/>
      <c r="D3068" s="101"/>
      <c r="E3068" s="101"/>
      <c r="F3068" s="102"/>
      <c r="G3068" s="101"/>
      <c r="H3068" s="102"/>
      <c r="I3068" s="101"/>
      <c r="J3068" s="101"/>
      <c r="K3068" s="103"/>
      <c r="L3068" s="103"/>
      <c r="M3068" s="103"/>
      <c r="N3068" s="103"/>
      <c r="O3068" s="103"/>
      <c r="P3068" s="98"/>
      <c r="Q3068" s="99"/>
      <c r="R3068" s="104">
        <f t="shared" si="148"/>
        <v>0</v>
      </c>
      <c r="S3068" s="104">
        <f t="shared" si="149"/>
        <v>0</v>
      </c>
      <c r="T3068" s="104">
        <f t="shared" si="150"/>
        <v>0</v>
      </c>
    </row>
    <row r="3069" spans="1:20">
      <c r="A3069" s="101"/>
      <c r="B3069" s="101"/>
      <c r="C3069" s="101"/>
      <c r="D3069" s="101"/>
      <c r="E3069" s="101"/>
      <c r="F3069" s="102"/>
      <c r="G3069" s="101"/>
      <c r="H3069" s="102"/>
      <c r="I3069" s="101"/>
      <c r="J3069" s="101"/>
      <c r="K3069" s="103"/>
      <c r="L3069" s="103"/>
      <c r="M3069" s="103"/>
      <c r="N3069" s="103"/>
      <c r="O3069" s="103"/>
      <c r="P3069" s="98"/>
      <c r="Q3069" s="99"/>
      <c r="R3069" s="104">
        <f t="shared" si="148"/>
        <v>0</v>
      </c>
      <c r="S3069" s="104">
        <f t="shared" si="149"/>
        <v>0</v>
      </c>
      <c r="T3069" s="104">
        <f t="shared" si="150"/>
        <v>0</v>
      </c>
    </row>
    <row r="3070" spans="1:20">
      <c r="A3070" s="101"/>
      <c r="B3070" s="101"/>
      <c r="C3070" s="101"/>
      <c r="D3070" s="101"/>
      <c r="E3070" s="101"/>
      <c r="F3070" s="102"/>
      <c r="G3070" s="101"/>
      <c r="H3070" s="102"/>
      <c r="I3070" s="101"/>
      <c r="J3070" s="101"/>
      <c r="K3070" s="103"/>
      <c r="L3070" s="103"/>
      <c r="M3070" s="103"/>
      <c r="N3070" s="103"/>
      <c r="O3070" s="103"/>
      <c r="P3070" s="98"/>
      <c r="Q3070" s="99"/>
      <c r="R3070" s="104">
        <f t="shared" si="148"/>
        <v>0</v>
      </c>
      <c r="S3070" s="104">
        <f t="shared" si="149"/>
        <v>0</v>
      </c>
      <c r="T3070" s="104">
        <f t="shared" si="150"/>
        <v>0</v>
      </c>
    </row>
    <row r="3071" spans="1:20">
      <c r="A3071" s="101"/>
      <c r="B3071" s="101"/>
      <c r="C3071" s="101"/>
      <c r="D3071" s="101"/>
      <c r="E3071" s="101"/>
      <c r="F3071" s="102"/>
      <c r="G3071" s="101"/>
      <c r="H3071" s="102"/>
      <c r="I3071" s="101"/>
      <c r="J3071" s="101"/>
      <c r="K3071" s="103"/>
      <c r="L3071" s="103"/>
      <c r="M3071" s="103"/>
      <c r="N3071" s="103"/>
      <c r="O3071" s="103"/>
      <c r="P3071" s="98"/>
      <c r="Q3071" s="99"/>
      <c r="R3071" s="104">
        <f t="shared" si="148"/>
        <v>0</v>
      </c>
      <c r="S3071" s="104">
        <f t="shared" si="149"/>
        <v>0</v>
      </c>
      <c r="T3071" s="104">
        <f t="shared" si="150"/>
        <v>0</v>
      </c>
    </row>
    <row r="3072" spans="1:20">
      <c r="A3072" s="101"/>
      <c r="B3072" s="101"/>
      <c r="C3072" s="101"/>
      <c r="D3072" s="101"/>
      <c r="E3072" s="101"/>
      <c r="F3072" s="102"/>
      <c r="G3072" s="101"/>
      <c r="H3072" s="102"/>
      <c r="I3072" s="101"/>
      <c r="J3072" s="101"/>
      <c r="K3072" s="103"/>
      <c r="L3072" s="103"/>
      <c r="M3072" s="103"/>
      <c r="N3072" s="103"/>
      <c r="O3072" s="103"/>
      <c r="P3072" s="98"/>
      <c r="Q3072" s="99"/>
      <c r="R3072" s="104">
        <f t="shared" si="148"/>
        <v>0</v>
      </c>
      <c r="S3072" s="104">
        <f t="shared" si="149"/>
        <v>0</v>
      </c>
      <c r="T3072" s="104">
        <f t="shared" si="150"/>
        <v>0</v>
      </c>
    </row>
    <row r="3073" spans="1:20">
      <c r="A3073" s="101"/>
      <c r="B3073" s="101"/>
      <c r="C3073" s="101"/>
      <c r="D3073" s="101"/>
      <c r="E3073" s="101"/>
      <c r="F3073" s="102"/>
      <c r="G3073" s="101"/>
      <c r="H3073" s="102"/>
      <c r="I3073" s="101"/>
      <c r="J3073" s="101"/>
      <c r="K3073" s="103"/>
      <c r="L3073" s="103"/>
      <c r="M3073" s="103"/>
      <c r="N3073" s="103"/>
      <c r="O3073" s="103"/>
      <c r="P3073" s="98"/>
      <c r="Q3073" s="99"/>
      <c r="R3073" s="104">
        <f t="shared" si="148"/>
        <v>0</v>
      </c>
      <c r="S3073" s="104">
        <f t="shared" si="149"/>
        <v>0</v>
      </c>
      <c r="T3073" s="104">
        <f t="shared" si="150"/>
        <v>0</v>
      </c>
    </row>
    <row r="3074" spans="1:20">
      <c r="A3074" s="101"/>
      <c r="B3074" s="101"/>
      <c r="C3074" s="101"/>
      <c r="D3074" s="101"/>
      <c r="E3074" s="101"/>
      <c r="F3074" s="102"/>
      <c r="G3074" s="101"/>
      <c r="H3074" s="102"/>
      <c r="I3074" s="101"/>
      <c r="J3074" s="101"/>
      <c r="K3074" s="103"/>
      <c r="L3074" s="103"/>
      <c r="M3074" s="103"/>
      <c r="N3074" s="103"/>
      <c r="O3074" s="103"/>
      <c r="P3074" s="98"/>
      <c r="Q3074" s="99"/>
      <c r="R3074" s="104">
        <f t="shared" si="148"/>
        <v>0</v>
      </c>
      <c r="S3074" s="104">
        <f t="shared" si="149"/>
        <v>0</v>
      </c>
      <c r="T3074" s="104">
        <f t="shared" si="150"/>
        <v>0</v>
      </c>
    </row>
    <row r="3075" spans="1:20">
      <c r="A3075" s="101"/>
      <c r="B3075" s="101"/>
      <c r="C3075" s="101"/>
      <c r="D3075" s="101"/>
      <c r="E3075" s="101"/>
      <c r="F3075" s="102"/>
      <c r="G3075" s="101"/>
      <c r="H3075" s="102"/>
      <c r="I3075" s="101"/>
      <c r="J3075" s="101"/>
      <c r="K3075" s="103"/>
      <c r="L3075" s="103"/>
      <c r="M3075" s="103"/>
      <c r="N3075" s="103"/>
      <c r="O3075" s="103"/>
      <c r="P3075" s="98"/>
      <c r="Q3075" s="99"/>
      <c r="R3075" s="104">
        <f t="shared" si="148"/>
        <v>0</v>
      </c>
      <c r="S3075" s="104">
        <f t="shared" si="149"/>
        <v>0</v>
      </c>
      <c r="T3075" s="104">
        <f t="shared" si="150"/>
        <v>0</v>
      </c>
    </row>
    <row r="3076" spans="1:20">
      <c r="A3076" s="101"/>
      <c r="B3076" s="101"/>
      <c r="C3076" s="101"/>
      <c r="D3076" s="101"/>
      <c r="E3076" s="101"/>
      <c r="F3076" s="102"/>
      <c r="G3076" s="101"/>
      <c r="H3076" s="102"/>
      <c r="I3076" s="101"/>
      <c r="J3076" s="101"/>
      <c r="K3076" s="103"/>
      <c r="L3076" s="103"/>
      <c r="M3076" s="103"/>
      <c r="N3076" s="103"/>
      <c r="O3076" s="103"/>
      <c r="P3076" s="98"/>
      <c r="Q3076" s="99"/>
      <c r="R3076" s="104">
        <f t="shared" si="148"/>
        <v>0</v>
      </c>
      <c r="S3076" s="104">
        <f t="shared" si="149"/>
        <v>0</v>
      </c>
      <c r="T3076" s="104">
        <f t="shared" si="150"/>
        <v>0</v>
      </c>
    </row>
    <row r="3077" spans="1:20">
      <c r="A3077" s="101"/>
      <c r="B3077" s="101"/>
      <c r="C3077" s="101"/>
      <c r="D3077" s="101"/>
      <c r="E3077" s="101"/>
      <c r="F3077" s="102"/>
      <c r="G3077" s="101"/>
      <c r="H3077" s="102"/>
      <c r="I3077" s="101"/>
      <c r="J3077" s="101"/>
      <c r="K3077" s="103"/>
      <c r="L3077" s="103"/>
      <c r="M3077" s="103"/>
      <c r="N3077" s="103"/>
      <c r="O3077" s="103"/>
      <c r="P3077" s="98"/>
      <c r="Q3077" s="99"/>
      <c r="R3077" s="104">
        <f t="shared" si="148"/>
        <v>0</v>
      </c>
      <c r="S3077" s="104">
        <f t="shared" si="149"/>
        <v>0</v>
      </c>
      <c r="T3077" s="104">
        <f t="shared" si="150"/>
        <v>0</v>
      </c>
    </row>
    <row r="3078" spans="1:20">
      <c r="A3078" s="101"/>
      <c r="B3078" s="101"/>
      <c r="C3078" s="101"/>
      <c r="D3078" s="101"/>
      <c r="E3078" s="101"/>
      <c r="F3078" s="102"/>
      <c r="G3078" s="101"/>
      <c r="H3078" s="102"/>
      <c r="I3078" s="101"/>
      <c r="J3078" s="101"/>
      <c r="K3078" s="103"/>
      <c r="L3078" s="103"/>
      <c r="M3078" s="103"/>
      <c r="N3078" s="103"/>
      <c r="O3078" s="103"/>
      <c r="P3078" s="98"/>
      <c r="Q3078" s="99"/>
      <c r="R3078" s="104">
        <f t="shared" si="148"/>
        <v>0</v>
      </c>
      <c r="S3078" s="104">
        <f t="shared" si="149"/>
        <v>0</v>
      </c>
      <c r="T3078" s="104">
        <f t="shared" si="150"/>
        <v>0</v>
      </c>
    </row>
    <row r="3079" spans="1:20">
      <c r="A3079" s="101"/>
      <c r="B3079" s="101"/>
      <c r="C3079" s="101"/>
      <c r="D3079" s="101"/>
      <c r="E3079" s="101"/>
      <c r="F3079" s="102"/>
      <c r="G3079" s="101"/>
      <c r="H3079" s="102"/>
      <c r="I3079" s="101"/>
      <c r="J3079" s="101"/>
      <c r="K3079" s="103"/>
      <c r="L3079" s="103"/>
      <c r="M3079" s="103"/>
      <c r="N3079" s="103"/>
      <c r="O3079" s="103"/>
      <c r="P3079" s="98"/>
      <c r="Q3079" s="99"/>
      <c r="R3079" s="104">
        <f t="shared" si="148"/>
        <v>0</v>
      </c>
      <c r="S3079" s="104">
        <f t="shared" si="149"/>
        <v>0</v>
      </c>
      <c r="T3079" s="104">
        <f t="shared" si="150"/>
        <v>0</v>
      </c>
    </row>
    <row r="3080" spans="1:20">
      <c r="A3080" s="101"/>
      <c r="B3080" s="101"/>
      <c r="C3080" s="101"/>
      <c r="D3080" s="101"/>
      <c r="E3080" s="101"/>
      <c r="F3080" s="102"/>
      <c r="G3080" s="101"/>
      <c r="H3080" s="102"/>
      <c r="I3080" s="101"/>
      <c r="J3080" s="101"/>
      <c r="K3080" s="103"/>
      <c r="L3080" s="103"/>
      <c r="M3080" s="103"/>
      <c r="N3080" s="103"/>
      <c r="O3080" s="103"/>
      <c r="P3080" s="98"/>
      <c r="Q3080" s="99"/>
      <c r="R3080" s="104">
        <f t="shared" si="148"/>
        <v>0</v>
      </c>
      <c r="S3080" s="104">
        <f t="shared" si="149"/>
        <v>0</v>
      </c>
      <c r="T3080" s="104">
        <f t="shared" si="150"/>
        <v>0</v>
      </c>
    </row>
    <row r="3081" spans="1:20">
      <c r="A3081" s="101"/>
      <c r="B3081" s="101"/>
      <c r="C3081" s="101"/>
      <c r="D3081" s="101"/>
      <c r="E3081" s="101"/>
      <c r="F3081" s="102"/>
      <c r="G3081" s="101"/>
      <c r="H3081" s="102"/>
      <c r="I3081" s="101"/>
      <c r="J3081" s="101"/>
      <c r="K3081" s="103"/>
      <c r="L3081" s="103"/>
      <c r="M3081" s="103"/>
      <c r="N3081" s="103"/>
      <c r="O3081" s="103"/>
      <c r="P3081" s="98"/>
      <c r="Q3081" s="99"/>
      <c r="R3081" s="104">
        <f t="shared" si="148"/>
        <v>0</v>
      </c>
      <c r="S3081" s="104">
        <f t="shared" si="149"/>
        <v>0</v>
      </c>
      <c r="T3081" s="104">
        <f t="shared" si="150"/>
        <v>0</v>
      </c>
    </row>
    <row r="3082" spans="1:20">
      <c r="A3082" s="101"/>
      <c r="B3082" s="101"/>
      <c r="C3082" s="101"/>
      <c r="D3082" s="101"/>
      <c r="E3082" s="101"/>
      <c r="F3082" s="102"/>
      <c r="G3082" s="101"/>
      <c r="H3082" s="102"/>
      <c r="I3082" s="101"/>
      <c r="J3082" s="101"/>
      <c r="K3082" s="103"/>
      <c r="L3082" s="103"/>
      <c r="M3082" s="103"/>
      <c r="N3082" s="103"/>
      <c r="O3082" s="103"/>
      <c r="P3082" s="98"/>
      <c r="Q3082" s="99"/>
      <c r="R3082" s="104">
        <f t="shared" ref="R3082:R3145" si="151">IF(P3082="Cargo",K3082+L3082-M3082-N3082+O3082,0)</f>
        <v>0</v>
      </c>
      <c r="S3082" s="104">
        <f t="shared" ref="S3082:S3145" si="152">IF(P3082="Abono",K3082+L3082+M3082-N3082-O3082,0)</f>
        <v>0</v>
      </c>
      <c r="T3082" s="104">
        <f t="shared" ref="T3082:T3145" si="153">IF(Q3082="OK",+T3081+R3082-S3082,T3081)</f>
        <v>0</v>
      </c>
    </row>
    <row r="3083" spans="1:20">
      <c r="A3083" s="101"/>
      <c r="B3083" s="101"/>
      <c r="C3083" s="101"/>
      <c r="D3083" s="101"/>
      <c r="E3083" s="101"/>
      <c r="F3083" s="102"/>
      <c r="G3083" s="101"/>
      <c r="H3083" s="102"/>
      <c r="I3083" s="101"/>
      <c r="J3083" s="101"/>
      <c r="K3083" s="103"/>
      <c r="L3083" s="103"/>
      <c r="M3083" s="103"/>
      <c r="N3083" s="103"/>
      <c r="O3083" s="103"/>
      <c r="P3083" s="98"/>
      <c r="Q3083" s="99"/>
      <c r="R3083" s="104">
        <f t="shared" si="151"/>
        <v>0</v>
      </c>
      <c r="S3083" s="104">
        <f t="shared" si="152"/>
        <v>0</v>
      </c>
      <c r="T3083" s="104">
        <f t="shared" si="153"/>
        <v>0</v>
      </c>
    </row>
    <row r="3084" spans="1:20">
      <c r="A3084" s="101"/>
      <c r="B3084" s="101"/>
      <c r="C3084" s="101"/>
      <c r="D3084" s="101"/>
      <c r="E3084" s="101"/>
      <c r="F3084" s="102"/>
      <c r="G3084" s="101"/>
      <c r="H3084" s="102"/>
      <c r="I3084" s="101"/>
      <c r="J3084" s="101"/>
      <c r="K3084" s="103"/>
      <c r="L3084" s="103"/>
      <c r="M3084" s="103"/>
      <c r="N3084" s="103"/>
      <c r="O3084" s="103"/>
      <c r="P3084" s="98"/>
      <c r="Q3084" s="99"/>
      <c r="R3084" s="104">
        <f t="shared" si="151"/>
        <v>0</v>
      </c>
      <c r="S3084" s="104">
        <f t="shared" si="152"/>
        <v>0</v>
      </c>
      <c r="T3084" s="104">
        <f t="shared" si="153"/>
        <v>0</v>
      </c>
    </row>
    <row r="3085" spans="1:20">
      <c r="A3085" s="101"/>
      <c r="B3085" s="101"/>
      <c r="C3085" s="101"/>
      <c r="D3085" s="101"/>
      <c r="E3085" s="101"/>
      <c r="F3085" s="102"/>
      <c r="G3085" s="101"/>
      <c r="H3085" s="102"/>
      <c r="I3085" s="101"/>
      <c r="J3085" s="101"/>
      <c r="K3085" s="103"/>
      <c r="L3085" s="103"/>
      <c r="M3085" s="103"/>
      <c r="N3085" s="103"/>
      <c r="O3085" s="103"/>
      <c r="P3085" s="98"/>
      <c r="Q3085" s="99"/>
      <c r="R3085" s="104">
        <f t="shared" si="151"/>
        <v>0</v>
      </c>
      <c r="S3085" s="104">
        <f t="shared" si="152"/>
        <v>0</v>
      </c>
      <c r="T3085" s="104">
        <f t="shared" si="153"/>
        <v>0</v>
      </c>
    </row>
    <row r="3086" spans="1:20">
      <c r="A3086" s="101"/>
      <c r="B3086" s="101"/>
      <c r="C3086" s="101"/>
      <c r="D3086" s="101"/>
      <c r="E3086" s="101"/>
      <c r="F3086" s="102"/>
      <c r="G3086" s="101"/>
      <c r="H3086" s="102"/>
      <c r="I3086" s="101"/>
      <c r="J3086" s="101"/>
      <c r="K3086" s="103"/>
      <c r="L3086" s="103"/>
      <c r="M3086" s="103"/>
      <c r="N3086" s="103"/>
      <c r="O3086" s="103"/>
      <c r="P3086" s="98"/>
      <c r="Q3086" s="99"/>
      <c r="R3086" s="104">
        <f t="shared" si="151"/>
        <v>0</v>
      </c>
      <c r="S3086" s="104">
        <f t="shared" si="152"/>
        <v>0</v>
      </c>
      <c r="T3086" s="104">
        <f t="shared" si="153"/>
        <v>0</v>
      </c>
    </row>
    <row r="3087" spans="1:20">
      <c r="A3087" s="101"/>
      <c r="B3087" s="101"/>
      <c r="C3087" s="101"/>
      <c r="D3087" s="101"/>
      <c r="E3087" s="101"/>
      <c r="F3087" s="102"/>
      <c r="G3087" s="101"/>
      <c r="H3087" s="102"/>
      <c r="I3087" s="101"/>
      <c r="J3087" s="101"/>
      <c r="K3087" s="103"/>
      <c r="L3087" s="103"/>
      <c r="M3087" s="103"/>
      <c r="N3087" s="103"/>
      <c r="O3087" s="103"/>
      <c r="P3087" s="98"/>
      <c r="Q3087" s="99"/>
      <c r="R3087" s="104">
        <f t="shared" si="151"/>
        <v>0</v>
      </c>
      <c r="S3087" s="104">
        <f t="shared" si="152"/>
        <v>0</v>
      </c>
      <c r="T3087" s="104">
        <f t="shared" si="153"/>
        <v>0</v>
      </c>
    </row>
    <row r="3088" spans="1:20">
      <c r="A3088" s="101"/>
      <c r="B3088" s="101"/>
      <c r="C3088" s="101"/>
      <c r="D3088" s="101"/>
      <c r="E3088" s="101"/>
      <c r="F3088" s="102"/>
      <c r="G3088" s="101"/>
      <c r="H3088" s="102"/>
      <c r="I3088" s="101"/>
      <c r="J3088" s="101"/>
      <c r="K3088" s="103"/>
      <c r="L3088" s="103"/>
      <c r="M3088" s="103"/>
      <c r="N3088" s="103"/>
      <c r="O3088" s="103"/>
      <c r="P3088" s="98"/>
      <c r="Q3088" s="99"/>
      <c r="R3088" s="104">
        <f t="shared" si="151"/>
        <v>0</v>
      </c>
      <c r="S3088" s="104">
        <f t="shared" si="152"/>
        <v>0</v>
      </c>
      <c r="T3088" s="104">
        <f t="shared" si="153"/>
        <v>0</v>
      </c>
    </row>
    <row r="3089" spans="1:20">
      <c r="A3089" s="101"/>
      <c r="B3089" s="101"/>
      <c r="C3089" s="101"/>
      <c r="D3089" s="101"/>
      <c r="E3089" s="101"/>
      <c r="F3089" s="102"/>
      <c r="G3089" s="101"/>
      <c r="H3089" s="102"/>
      <c r="I3089" s="101"/>
      <c r="J3089" s="101"/>
      <c r="K3089" s="103"/>
      <c r="L3089" s="103"/>
      <c r="M3089" s="103"/>
      <c r="N3089" s="103"/>
      <c r="O3089" s="103"/>
      <c r="P3089" s="98"/>
      <c r="Q3089" s="99"/>
      <c r="R3089" s="104">
        <f t="shared" si="151"/>
        <v>0</v>
      </c>
      <c r="S3089" s="104">
        <f t="shared" si="152"/>
        <v>0</v>
      </c>
      <c r="T3089" s="104">
        <f t="shared" si="153"/>
        <v>0</v>
      </c>
    </row>
    <row r="3090" spans="1:20">
      <c r="A3090" s="101"/>
      <c r="B3090" s="101"/>
      <c r="C3090" s="101"/>
      <c r="D3090" s="101"/>
      <c r="E3090" s="101"/>
      <c r="F3090" s="102"/>
      <c r="G3090" s="101"/>
      <c r="H3090" s="102"/>
      <c r="I3090" s="101"/>
      <c r="J3090" s="101"/>
      <c r="K3090" s="103"/>
      <c r="L3090" s="103"/>
      <c r="M3090" s="103"/>
      <c r="N3090" s="103"/>
      <c r="O3090" s="103"/>
      <c r="P3090" s="98"/>
      <c r="Q3090" s="99"/>
      <c r="R3090" s="104">
        <f t="shared" si="151"/>
        <v>0</v>
      </c>
      <c r="S3090" s="104">
        <f t="shared" si="152"/>
        <v>0</v>
      </c>
      <c r="T3090" s="104">
        <f t="shared" si="153"/>
        <v>0</v>
      </c>
    </row>
    <row r="3091" spans="1:20">
      <c r="A3091" s="101"/>
      <c r="B3091" s="101"/>
      <c r="C3091" s="101"/>
      <c r="D3091" s="101"/>
      <c r="E3091" s="101"/>
      <c r="F3091" s="102"/>
      <c r="G3091" s="101"/>
      <c r="H3091" s="102"/>
      <c r="I3091" s="101"/>
      <c r="J3091" s="101"/>
      <c r="K3091" s="103"/>
      <c r="L3091" s="103"/>
      <c r="M3091" s="103"/>
      <c r="N3091" s="103"/>
      <c r="O3091" s="103"/>
      <c r="P3091" s="98"/>
      <c r="Q3091" s="99"/>
      <c r="R3091" s="104">
        <f t="shared" si="151"/>
        <v>0</v>
      </c>
      <c r="S3091" s="104">
        <f t="shared" si="152"/>
        <v>0</v>
      </c>
      <c r="T3091" s="104">
        <f t="shared" si="153"/>
        <v>0</v>
      </c>
    </row>
    <row r="3092" spans="1:20">
      <c r="A3092" s="101"/>
      <c r="B3092" s="101"/>
      <c r="C3092" s="101"/>
      <c r="D3092" s="101"/>
      <c r="E3092" s="101"/>
      <c r="F3092" s="102"/>
      <c r="G3092" s="101"/>
      <c r="H3092" s="102"/>
      <c r="I3092" s="101"/>
      <c r="J3092" s="101"/>
      <c r="K3092" s="103"/>
      <c r="L3092" s="103"/>
      <c r="M3092" s="103"/>
      <c r="N3092" s="103"/>
      <c r="O3092" s="103"/>
      <c r="P3092" s="98"/>
      <c r="Q3092" s="99"/>
      <c r="R3092" s="104">
        <f t="shared" si="151"/>
        <v>0</v>
      </c>
      <c r="S3092" s="104">
        <f t="shared" si="152"/>
        <v>0</v>
      </c>
      <c r="T3092" s="104">
        <f t="shared" si="153"/>
        <v>0</v>
      </c>
    </row>
    <row r="3093" spans="1:20">
      <c r="A3093" s="101"/>
      <c r="B3093" s="101"/>
      <c r="C3093" s="101"/>
      <c r="D3093" s="101"/>
      <c r="E3093" s="101"/>
      <c r="F3093" s="102"/>
      <c r="G3093" s="101"/>
      <c r="H3093" s="102"/>
      <c r="I3093" s="101"/>
      <c r="J3093" s="101"/>
      <c r="K3093" s="103"/>
      <c r="L3093" s="103"/>
      <c r="M3093" s="103"/>
      <c r="N3093" s="103"/>
      <c r="O3093" s="103"/>
      <c r="P3093" s="98"/>
      <c r="Q3093" s="99"/>
      <c r="R3093" s="104">
        <f t="shared" si="151"/>
        <v>0</v>
      </c>
      <c r="S3093" s="104">
        <f t="shared" si="152"/>
        <v>0</v>
      </c>
      <c r="T3093" s="104">
        <f t="shared" si="153"/>
        <v>0</v>
      </c>
    </row>
    <row r="3094" spans="1:20">
      <c r="A3094" s="101"/>
      <c r="B3094" s="101"/>
      <c r="C3094" s="101"/>
      <c r="D3094" s="101"/>
      <c r="E3094" s="101"/>
      <c r="F3094" s="102"/>
      <c r="G3094" s="101"/>
      <c r="H3094" s="102"/>
      <c r="I3094" s="101"/>
      <c r="J3094" s="101"/>
      <c r="K3094" s="103"/>
      <c r="L3094" s="103"/>
      <c r="M3094" s="103"/>
      <c r="N3094" s="103"/>
      <c r="O3094" s="103"/>
      <c r="P3094" s="98"/>
      <c r="Q3094" s="99"/>
      <c r="R3094" s="104">
        <f t="shared" si="151"/>
        <v>0</v>
      </c>
      <c r="S3094" s="104">
        <f t="shared" si="152"/>
        <v>0</v>
      </c>
      <c r="T3094" s="104">
        <f t="shared" si="153"/>
        <v>0</v>
      </c>
    </row>
    <row r="3095" spans="1:20">
      <c r="A3095" s="101"/>
      <c r="B3095" s="101"/>
      <c r="C3095" s="101"/>
      <c r="D3095" s="101"/>
      <c r="E3095" s="101"/>
      <c r="F3095" s="102"/>
      <c r="G3095" s="101"/>
      <c r="H3095" s="102"/>
      <c r="I3095" s="101"/>
      <c r="J3095" s="101"/>
      <c r="K3095" s="103"/>
      <c r="L3095" s="103"/>
      <c r="M3095" s="103"/>
      <c r="N3095" s="103"/>
      <c r="O3095" s="103"/>
      <c r="P3095" s="98"/>
      <c r="Q3095" s="99"/>
      <c r="R3095" s="104">
        <f t="shared" si="151"/>
        <v>0</v>
      </c>
      <c r="S3095" s="104">
        <f t="shared" si="152"/>
        <v>0</v>
      </c>
      <c r="T3095" s="104">
        <f t="shared" si="153"/>
        <v>0</v>
      </c>
    </row>
    <row r="3096" spans="1:20">
      <c r="A3096" s="101"/>
      <c r="B3096" s="101"/>
      <c r="C3096" s="101"/>
      <c r="D3096" s="101"/>
      <c r="E3096" s="101"/>
      <c r="F3096" s="102"/>
      <c r="G3096" s="101"/>
      <c r="H3096" s="102"/>
      <c r="I3096" s="101"/>
      <c r="J3096" s="101"/>
      <c r="K3096" s="103"/>
      <c r="L3096" s="103"/>
      <c r="M3096" s="103"/>
      <c r="N3096" s="103"/>
      <c r="O3096" s="103"/>
      <c r="P3096" s="98"/>
      <c r="Q3096" s="99"/>
      <c r="R3096" s="104">
        <f t="shared" si="151"/>
        <v>0</v>
      </c>
      <c r="S3096" s="104">
        <f t="shared" si="152"/>
        <v>0</v>
      </c>
      <c r="T3096" s="104">
        <f t="shared" si="153"/>
        <v>0</v>
      </c>
    </row>
    <row r="3097" spans="1:20">
      <c r="A3097" s="101"/>
      <c r="B3097" s="101"/>
      <c r="C3097" s="101"/>
      <c r="D3097" s="101"/>
      <c r="E3097" s="101"/>
      <c r="F3097" s="102"/>
      <c r="G3097" s="101"/>
      <c r="H3097" s="102"/>
      <c r="I3097" s="101"/>
      <c r="J3097" s="101"/>
      <c r="K3097" s="103"/>
      <c r="L3097" s="103"/>
      <c r="M3097" s="103"/>
      <c r="N3097" s="103"/>
      <c r="O3097" s="103"/>
      <c r="P3097" s="98"/>
      <c r="Q3097" s="99"/>
      <c r="R3097" s="104">
        <f t="shared" si="151"/>
        <v>0</v>
      </c>
      <c r="S3097" s="104">
        <f t="shared" si="152"/>
        <v>0</v>
      </c>
      <c r="T3097" s="104">
        <f t="shared" si="153"/>
        <v>0</v>
      </c>
    </row>
    <row r="3098" spans="1:20">
      <c r="A3098" s="101"/>
      <c r="B3098" s="101"/>
      <c r="C3098" s="101"/>
      <c r="D3098" s="101"/>
      <c r="E3098" s="101"/>
      <c r="F3098" s="102"/>
      <c r="G3098" s="101"/>
      <c r="H3098" s="102"/>
      <c r="I3098" s="101"/>
      <c r="J3098" s="101"/>
      <c r="K3098" s="103"/>
      <c r="L3098" s="103"/>
      <c r="M3098" s="103"/>
      <c r="N3098" s="103"/>
      <c r="O3098" s="103"/>
      <c r="P3098" s="98"/>
      <c r="Q3098" s="99"/>
      <c r="R3098" s="104">
        <f t="shared" si="151"/>
        <v>0</v>
      </c>
      <c r="S3098" s="104">
        <f t="shared" si="152"/>
        <v>0</v>
      </c>
      <c r="T3098" s="104">
        <f t="shared" si="153"/>
        <v>0</v>
      </c>
    </row>
    <row r="3099" spans="1:20">
      <c r="A3099" s="101"/>
      <c r="B3099" s="101"/>
      <c r="C3099" s="101"/>
      <c r="D3099" s="101"/>
      <c r="E3099" s="101"/>
      <c r="F3099" s="102"/>
      <c r="G3099" s="101"/>
      <c r="H3099" s="102"/>
      <c r="I3099" s="101"/>
      <c r="J3099" s="101"/>
      <c r="K3099" s="103"/>
      <c r="L3099" s="103"/>
      <c r="M3099" s="103"/>
      <c r="N3099" s="103"/>
      <c r="O3099" s="103"/>
      <c r="P3099" s="98"/>
      <c r="Q3099" s="99"/>
      <c r="R3099" s="104">
        <f t="shared" si="151"/>
        <v>0</v>
      </c>
      <c r="S3099" s="104">
        <f t="shared" si="152"/>
        <v>0</v>
      </c>
      <c r="T3099" s="104">
        <f t="shared" si="153"/>
        <v>0</v>
      </c>
    </row>
    <row r="3100" spans="1:20">
      <c r="A3100" s="101"/>
      <c r="B3100" s="101"/>
      <c r="C3100" s="101"/>
      <c r="D3100" s="101"/>
      <c r="E3100" s="101"/>
      <c r="F3100" s="102"/>
      <c r="G3100" s="101"/>
      <c r="H3100" s="102"/>
      <c r="I3100" s="101"/>
      <c r="J3100" s="101"/>
      <c r="K3100" s="103"/>
      <c r="L3100" s="103"/>
      <c r="M3100" s="103"/>
      <c r="N3100" s="103"/>
      <c r="O3100" s="103"/>
      <c r="P3100" s="98"/>
      <c r="Q3100" s="99"/>
      <c r="R3100" s="104">
        <f t="shared" si="151"/>
        <v>0</v>
      </c>
      <c r="S3100" s="104">
        <f t="shared" si="152"/>
        <v>0</v>
      </c>
      <c r="T3100" s="104">
        <f t="shared" si="153"/>
        <v>0</v>
      </c>
    </row>
    <row r="3101" spans="1:20">
      <c r="A3101" s="101"/>
      <c r="B3101" s="101"/>
      <c r="C3101" s="101"/>
      <c r="D3101" s="101"/>
      <c r="E3101" s="101"/>
      <c r="F3101" s="102"/>
      <c r="G3101" s="101"/>
      <c r="H3101" s="102"/>
      <c r="I3101" s="101"/>
      <c r="J3101" s="101"/>
      <c r="K3101" s="103"/>
      <c r="L3101" s="103"/>
      <c r="M3101" s="103"/>
      <c r="N3101" s="103"/>
      <c r="O3101" s="103"/>
      <c r="P3101" s="98"/>
      <c r="Q3101" s="99"/>
      <c r="R3101" s="104">
        <f t="shared" si="151"/>
        <v>0</v>
      </c>
      <c r="S3101" s="104">
        <f t="shared" si="152"/>
        <v>0</v>
      </c>
      <c r="T3101" s="104">
        <f t="shared" si="153"/>
        <v>0</v>
      </c>
    </row>
    <row r="3102" spans="1:20">
      <c r="A3102" s="101"/>
      <c r="B3102" s="101"/>
      <c r="C3102" s="101"/>
      <c r="D3102" s="101"/>
      <c r="E3102" s="101"/>
      <c r="F3102" s="102"/>
      <c r="G3102" s="101"/>
      <c r="H3102" s="102"/>
      <c r="I3102" s="101"/>
      <c r="J3102" s="101"/>
      <c r="K3102" s="103"/>
      <c r="L3102" s="103"/>
      <c r="M3102" s="103"/>
      <c r="N3102" s="103"/>
      <c r="O3102" s="103"/>
      <c r="P3102" s="98"/>
      <c r="Q3102" s="99"/>
      <c r="R3102" s="104">
        <f t="shared" si="151"/>
        <v>0</v>
      </c>
      <c r="S3102" s="104">
        <f t="shared" si="152"/>
        <v>0</v>
      </c>
      <c r="T3102" s="104">
        <f t="shared" si="153"/>
        <v>0</v>
      </c>
    </row>
    <row r="3103" spans="1:20">
      <c r="A3103" s="101"/>
      <c r="B3103" s="101"/>
      <c r="C3103" s="101"/>
      <c r="D3103" s="101"/>
      <c r="E3103" s="101"/>
      <c r="F3103" s="102"/>
      <c r="G3103" s="101"/>
      <c r="H3103" s="102"/>
      <c r="I3103" s="101"/>
      <c r="J3103" s="101"/>
      <c r="K3103" s="103"/>
      <c r="L3103" s="103"/>
      <c r="M3103" s="103"/>
      <c r="N3103" s="103"/>
      <c r="O3103" s="103"/>
      <c r="P3103" s="98"/>
      <c r="Q3103" s="99"/>
      <c r="R3103" s="104">
        <f t="shared" si="151"/>
        <v>0</v>
      </c>
      <c r="S3103" s="104">
        <f t="shared" si="152"/>
        <v>0</v>
      </c>
      <c r="T3103" s="104">
        <f t="shared" si="153"/>
        <v>0</v>
      </c>
    </row>
    <row r="3104" spans="1:20">
      <c r="A3104" s="101"/>
      <c r="B3104" s="101"/>
      <c r="C3104" s="101"/>
      <c r="D3104" s="101"/>
      <c r="E3104" s="101"/>
      <c r="F3104" s="102"/>
      <c r="G3104" s="101"/>
      <c r="H3104" s="102"/>
      <c r="I3104" s="101"/>
      <c r="J3104" s="101"/>
      <c r="K3104" s="103"/>
      <c r="L3104" s="103"/>
      <c r="M3104" s="103"/>
      <c r="N3104" s="103"/>
      <c r="O3104" s="103"/>
      <c r="P3104" s="98"/>
      <c r="Q3104" s="99"/>
      <c r="R3104" s="104">
        <f t="shared" si="151"/>
        <v>0</v>
      </c>
      <c r="S3104" s="104">
        <f t="shared" si="152"/>
        <v>0</v>
      </c>
      <c r="T3104" s="104">
        <f t="shared" si="153"/>
        <v>0</v>
      </c>
    </row>
    <row r="3105" spans="1:20">
      <c r="A3105" s="101"/>
      <c r="B3105" s="101"/>
      <c r="C3105" s="101"/>
      <c r="D3105" s="101"/>
      <c r="E3105" s="101"/>
      <c r="F3105" s="102"/>
      <c r="G3105" s="101"/>
      <c r="H3105" s="102"/>
      <c r="I3105" s="101"/>
      <c r="J3105" s="101"/>
      <c r="K3105" s="103"/>
      <c r="L3105" s="103"/>
      <c r="M3105" s="103"/>
      <c r="N3105" s="103"/>
      <c r="O3105" s="103"/>
      <c r="P3105" s="98"/>
      <c r="Q3105" s="99"/>
      <c r="R3105" s="104">
        <f t="shared" si="151"/>
        <v>0</v>
      </c>
      <c r="S3105" s="104">
        <f t="shared" si="152"/>
        <v>0</v>
      </c>
      <c r="T3105" s="104">
        <f t="shared" si="153"/>
        <v>0</v>
      </c>
    </row>
    <row r="3106" spans="1:20">
      <c r="A3106" s="101"/>
      <c r="B3106" s="101"/>
      <c r="C3106" s="101"/>
      <c r="D3106" s="101"/>
      <c r="E3106" s="101"/>
      <c r="F3106" s="102"/>
      <c r="G3106" s="101"/>
      <c r="H3106" s="102"/>
      <c r="I3106" s="101"/>
      <c r="J3106" s="101"/>
      <c r="K3106" s="103"/>
      <c r="L3106" s="103"/>
      <c r="M3106" s="103"/>
      <c r="N3106" s="103"/>
      <c r="O3106" s="103"/>
      <c r="P3106" s="98"/>
      <c r="Q3106" s="99"/>
      <c r="R3106" s="104">
        <f t="shared" si="151"/>
        <v>0</v>
      </c>
      <c r="S3106" s="104">
        <f t="shared" si="152"/>
        <v>0</v>
      </c>
      <c r="T3106" s="104">
        <f t="shared" si="153"/>
        <v>0</v>
      </c>
    </row>
    <row r="3107" spans="1:20">
      <c r="A3107" s="101"/>
      <c r="B3107" s="101"/>
      <c r="C3107" s="101"/>
      <c r="D3107" s="101"/>
      <c r="E3107" s="101"/>
      <c r="F3107" s="102"/>
      <c r="G3107" s="101"/>
      <c r="H3107" s="102"/>
      <c r="I3107" s="101"/>
      <c r="J3107" s="101"/>
      <c r="K3107" s="103"/>
      <c r="L3107" s="103"/>
      <c r="M3107" s="103"/>
      <c r="N3107" s="103"/>
      <c r="O3107" s="103"/>
      <c r="P3107" s="98"/>
      <c r="Q3107" s="99"/>
      <c r="R3107" s="104">
        <f t="shared" si="151"/>
        <v>0</v>
      </c>
      <c r="S3107" s="104">
        <f t="shared" si="152"/>
        <v>0</v>
      </c>
      <c r="T3107" s="104">
        <f t="shared" si="153"/>
        <v>0</v>
      </c>
    </row>
    <row r="3108" spans="1:20">
      <c r="A3108" s="101"/>
      <c r="B3108" s="101"/>
      <c r="C3108" s="101"/>
      <c r="D3108" s="101"/>
      <c r="E3108" s="101"/>
      <c r="F3108" s="102"/>
      <c r="G3108" s="101"/>
      <c r="H3108" s="102"/>
      <c r="I3108" s="101"/>
      <c r="J3108" s="101"/>
      <c r="K3108" s="103"/>
      <c r="L3108" s="103"/>
      <c r="M3108" s="103"/>
      <c r="N3108" s="103"/>
      <c r="O3108" s="103"/>
      <c r="P3108" s="98"/>
      <c r="Q3108" s="99"/>
      <c r="R3108" s="104">
        <f t="shared" si="151"/>
        <v>0</v>
      </c>
      <c r="S3108" s="104">
        <f t="shared" si="152"/>
        <v>0</v>
      </c>
      <c r="T3108" s="104">
        <f t="shared" si="153"/>
        <v>0</v>
      </c>
    </row>
    <row r="3109" spans="1:20">
      <c r="A3109" s="101"/>
      <c r="B3109" s="101"/>
      <c r="C3109" s="101"/>
      <c r="D3109" s="101"/>
      <c r="E3109" s="101"/>
      <c r="F3109" s="102"/>
      <c r="G3109" s="101"/>
      <c r="H3109" s="102"/>
      <c r="I3109" s="101"/>
      <c r="J3109" s="101"/>
      <c r="K3109" s="103"/>
      <c r="L3109" s="103"/>
      <c r="M3109" s="103"/>
      <c r="N3109" s="103"/>
      <c r="O3109" s="103"/>
      <c r="P3109" s="98"/>
      <c r="Q3109" s="99"/>
      <c r="R3109" s="104">
        <f t="shared" si="151"/>
        <v>0</v>
      </c>
      <c r="S3109" s="104">
        <f t="shared" si="152"/>
        <v>0</v>
      </c>
      <c r="T3109" s="104">
        <f t="shared" si="153"/>
        <v>0</v>
      </c>
    </row>
    <row r="3110" spans="1:20">
      <c r="A3110" s="101"/>
      <c r="B3110" s="101"/>
      <c r="C3110" s="101"/>
      <c r="D3110" s="101"/>
      <c r="E3110" s="101"/>
      <c r="F3110" s="102"/>
      <c r="G3110" s="101"/>
      <c r="H3110" s="102"/>
      <c r="I3110" s="101"/>
      <c r="J3110" s="101"/>
      <c r="K3110" s="103"/>
      <c r="L3110" s="103"/>
      <c r="M3110" s="103"/>
      <c r="N3110" s="103"/>
      <c r="O3110" s="103"/>
      <c r="P3110" s="98"/>
      <c r="Q3110" s="99"/>
      <c r="R3110" s="104">
        <f t="shared" si="151"/>
        <v>0</v>
      </c>
      <c r="S3110" s="104">
        <f t="shared" si="152"/>
        <v>0</v>
      </c>
      <c r="T3110" s="104">
        <f t="shared" si="153"/>
        <v>0</v>
      </c>
    </row>
    <row r="3111" spans="1:20">
      <c r="A3111" s="101"/>
      <c r="B3111" s="101"/>
      <c r="C3111" s="101"/>
      <c r="D3111" s="101"/>
      <c r="E3111" s="101"/>
      <c r="F3111" s="102"/>
      <c r="G3111" s="101"/>
      <c r="H3111" s="102"/>
      <c r="I3111" s="101"/>
      <c r="J3111" s="101"/>
      <c r="K3111" s="103"/>
      <c r="L3111" s="103"/>
      <c r="M3111" s="103"/>
      <c r="N3111" s="103"/>
      <c r="O3111" s="103"/>
      <c r="P3111" s="98"/>
      <c r="Q3111" s="99"/>
      <c r="R3111" s="104">
        <f t="shared" si="151"/>
        <v>0</v>
      </c>
      <c r="S3111" s="104">
        <f t="shared" si="152"/>
        <v>0</v>
      </c>
      <c r="T3111" s="104">
        <f t="shared" si="153"/>
        <v>0</v>
      </c>
    </row>
    <row r="3112" spans="1:20">
      <c r="A3112" s="101"/>
      <c r="B3112" s="101"/>
      <c r="C3112" s="101"/>
      <c r="D3112" s="101"/>
      <c r="E3112" s="101"/>
      <c r="F3112" s="102"/>
      <c r="G3112" s="101"/>
      <c r="H3112" s="102"/>
      <c r="I3112" s="101"/>
      <c r="J3112" s="101"/>
      <c r="K3112" s="103"/>
      <c r="L3112" s="103"/>
      <c r="M3112" s="103"/>
      <c r="N3112" s="103"/>
      <c r="O3112" s="103"/>
      <c r="P3112" s="98"/>
      <c r="Q3112" s="99"/>
      <c r="R3112" s="104">
        <f t="shared" si="151"/>
        <v>0</v>
      </c>
      <c r="S3112" s="104">
        <f t="shared" si="152"/>
        <v>0</v>
      </c>
      <c r="T3112" s="104">
        <f t="shared" si="153"/>
        <v>0</v>
      </c>
    </row>
    <row r="3113" spans="1:20">
      <c r="A3113" s="101"/>
      <c r="B3113" s="101"/>
      <c r="C3113" s="101"/>
      <c r="D3113" s="101"/>
      <c r="E3113" s="101"/>
      <c r="F3113" s="102"/>
      <c r="G3113" s="101"/>
      <c r="H3113" s="102"/>
      <c r="I3113" s="101"/>
      <c r="J3113" s="101"/>
      <c r="K3113" s="103"/>
      <c r="L3113" s="103"/>
      <c r="M3113" s="103"/>
      <c r="N3113" s="103"/>
      <c r="O3113" s="103"/>
      <c r="P3113" s="98"/>
      <c r="Q3113" s="99"/>
      <c r="R3113" s="104">
        <f t="shared" si="151"/>
        <v>0</v>
      </c>
      <c r="S3113" s="104">
        <f t="shared" si="152"/>
        <v>0</v>
      </c>
      <c r="T3113" s="104">
        <f t="shared" si="153"/>
        <v>0</v>
      </c>
    </row>
    <row r="3114" spans="1:20">
      <c r="A3114" s="101"/>
      <c r="B3114" s="101"/>
      <c r="C3114" s="101"/>
      <c r="D3114" s="101"/>
      <c r="E3114" s="101"/>
      <c r="F3114" s="102"/>
      <c r="G3114" s="101"/>
      <c r="H3114" s="102"/>
      <c r="I3114" s="101"/>
      <c r="J3114" s="101"/>
      <c r="K3114" s="103"/>
      <c r="L3114" s="103"/>
      <c r="M3114" s="103"/>
      <c r="N3114" s="103"/>
      <c r="O3114" s="103"/>
      <c r="P3114" s="98"/>
      <c r="Q3114" s="99"/>
      <c r="R3114" s="104">
        <f t="shared" si="151"/>
        <v>0</v>
      </c>
      <c r="S3114" s="104">
        <f t="shared" si="152"/>
        <v>0</v>
      </c>
      <c r="T3114" s="104">
        <f t="shared" si="153"/>
        <v>0</v>
      </c>
    </row>
    <row r="3115" spans="1:20">
      <c r="A3115" s="101"/>
      <c r="B3115" s="101"/>
      <c r="C3115" s="101"/>
      <c r="D3115" s="101"/>
      <c r="E3115" s="101"/>
      <c r="F3115" s="102"/>
      <c r="G3115" s="101"/>
      <c r="H3115" s="102"/>
      <c r="I3115" s="101"/>
      <c r="J3115" s="101"/>
      <c r="K3115" s="103"/>
      <c r="L3115" s="103"/>
      <c r="M3115" s="103"/>
      <c r="N3115" s="103"/>
      <c r="O3115" s="103"/>
      <c r="P3115" s="98"/>
      <c r="Q3115" s="99"/>
      <c r="R3115" s="104">
        <f t="shared" si="151"/>
        <v>0</v>
      </c>
      <c r="S3115" s="104">
        <f t="shared" si="152"/>
        <v>0</v>
      </c>
      <c r="T3115" s="104">
        <f t="shared" si="153"/>
        <v>0</v>
      </c>
    </row>
    <row r="3116" spans="1:20">
      <c r="A3116" s="101"/>
      <c r="B3116" s="101"/>
      <c r="C3116" s="101"/>
      <c r="D3116" s="101"/>
      <c r="E3116" s="101"/>
      <c r="F3116" s="102"/>
      <c r="G3116" s="101"/>
      <c r="H3116" s="102"/>
      <c r="I3116" s="101"/>
      <c r="J3116" s="101"/>
      <c r="K3116" s="103"/>
      <c r="L3116" s="103"/>
      <c r="M3116" s="103"/>
      <c r="N3116" s="103"/>
      <c r="O3116" s="103"/>
      <c r="P3116" s="98"/>
      <c r="Q3116" s="99"/>
      <c r="R3116" s="104">
        <f t="shared" si="151"/>
        <v>0</v>
      </c>
      <c r="S3116" s="104">
        <f t="shared" si="152"/>
        <v>0</v>
      </c>
      <c r="T3116" s="104">
        <f t="shared" si="153"/>
        <v>0</v>
      </c>
    </row>
    <row r="3117" spans="1:20">
      <c r="A3117" s="101"/>
      <c r="B3117" s="101"/>
      <c r="C3117" s="101"/>
      <c r="D3117" s="101"/>
      <c r="E3117" s="101"/>
      <c r="F3117" s="102"/>
      <c r="G3117" s="101"/>
      <c r="H3117" s="102"/>
      <c r="I3117" s="101"/>
      <c r="J3117" s="101"/>
      <c r="K3117" s="103"/>
      <c r="L3117" s="103"/>
      <c r="M3117" s="103"/>
      <c r="N3117" s="103"/>
      <c r="O3117" s="103"/>
      <c r="P3117" s="98"/>
      <c r="Q3117" s="99"/>
      <c r="R3117" s="104">
        <f t="shared" si="151"/>
        <v>0</v>
      </c>
      <c r="S3117" s="104">
        <f t="shared" si="152"/>
        <v>0</v>
      </c>
      <c r="T3117" s="104">
        <f t="shared" si="153"/>
        <v>0</v>
      </c>
    </row>
    <row r="3118" spans="1:20">
      <c r="A3118" s="101"/>
      <c r="B3118" s="101"/>
      <c r="C3118" s="101"/>
      <c r="D3118" s="101"/>
      <c r="E3118" s="101"/>
      <c r="F3118" s="102"/>
      <c r="G3118" s="101"/>
      <c r="H3118" s="102"/>
      <c r="I3118" s="101"/>
      <c r="J3118" s="101"/>
      <c r="K3118" s="103"/>
      <c r="L3118" s="103"/>
      <c r="M3118" s="103"/>
      <c r="N3118" s="103"/>
      <c r="O3118" s="103"/>
      <c r="P3118" s="98"/>
      <c r="Q3118" s="99"/>
      <c r="R3118" s="104">
        <f t="shared" si="151"/>
        <v>0</v>
      </c>
      <c r="S3118" s="104">
        <f t="shared" si="152"/>
        <v>0</v>
      </c>
      <c r="T3118" s="104">
        <f t="shared" si="153"/>
        <v>0</v>
      </c>
    </row>
    <row r="3119" spans="1:20">
      <c r="A3119" s="101"/>
      <c r="B3119" s="101"/>
      <c r="C3119" s="101"/>
      <c r="D3119" s="101"/>
      <c r="E3119" s="101"/>
      <c r="F3119" s="102"/>
      <c r="G3119" s="101"/>
      <c r="H3119" s="102"/>
      <c r="I3119" s="101"/>
      <c r="J3119" s="101"/>
      <c r="K3119" s="103"/>
      <c r="L3119" s="103"/>
      <c r="M3119" s="103"/>
      <c r="N3119" s="103"/>
      <c r="O3119" s="103"/>
      <c r="P3119" s="98"/>
      <c r="Q3119" s="99"/>
      <c r="R3119" s="104">
        <f t="shared" si="151"/>
        <v>0</v>
      </c>
      <c r="S3119" s="104">
        <f t="shared" si="152"/>
        <v>0</v>
      </c>
      <c r="T3119" s="104">
        <f t="shared" si="153"/>
        <v>0</v>
      </c>
    </row>
    <row r="3120" spans="1:20">
      <c r="A3120" s="101"/>
      <c r="B3120" s="101"/>
      <c r="C3120" s="101"/>
      <c r="D3120" s="101"/>
      <c r="E3120" s="101"/>
      <c r="F3120" s="102"/>
      <c r="G3120" s="101"/>
      <c r="H3120" s="102"/>
      <c r="I3120" s="101"/>
      <c r="J3120" s="101"/>
      <c r="K3120" s="103"/>
      <c r="L3120" s="103"/>
      <c r="M3120" s="103"/>
      <c r="N3120" s="103"/>
      <c r="O3120" s="103"/>
      <c r="P3120" s="98"/>
      <c r="Q3120" s="99"/>
      <c r="R3120" s="104">
        <f t="shared" si="151"/>
        <v>0</v>
      </c>
      <c r="S3120" s="104">
        <f t="shared" si="152"/>
        <v>0</v>
      </c>
      <c r="T3120" s="104">
        <f t="shared" si="153"/>
        <v>0</v>
      </c>
    </row>
    <row r="3121" spans="1:20">
      <c r="A3121" s="101"/>
      <c r="B3121" s="101"/>
      <c r="C3121" s="101"/>
      <c r="D3121" s="101"/>
      <c r="E3121" s="101"/>
      <c r="F3121" s="102"/>
      <c r="G3121" s="101"/>
      <c r="H3121" s="102"/>
      <c r="I3121" s="101"/>
      <c r="J3121" s="101"/>
      <c r="K3121" s="103"/>
      <c r="L3121" s="103"/>
      <c r="M3121" s="103"/>
      <c r="N3121" s="103"/>
      <c r="O3121" s="103"/>
      <c r="P3121" s="98"/>
      <c r="Q3121" s="99"/>
      <c r="R3121" s="104">
        <f t="shared" si="151"/>
        <v>0</v>
      </c>
      <c r="S3121" s="104">
        <f t="shared" si="152"/>
        <v>0</v>
      </c>
      <c r="T3121" s="104">
        <f t="shared" si="153"/>
        <v>0</v>
      </c>
    </row>
    <row r="3122" spans="1:20">
      <c r="A3122" s="101"/>
      <c r="B3122" s="101"/>
      <c r="C3122" s="101"/>
      <c r="D3122" s="101"/>
      <c r="E3122" s="101"/>
      <c r="F3122" s="102"/>
      <c r="G3122" s="101"/>
      <c r="H3122" s="102"/>
      <c r="I3122" s="101"/>
      <c r="J3122" s="101"/>
      <c r="K3122" s="103"/>
      <c r="L3122" s="103"/>
      <c r="M3122" s="103"/>
      <c r="N3122" s="103"/>
      <c r="O3122" s="103"/>
      <c r="P3122" s="98"/>
      <c r="Q3122" s="99"/>
      <c r="R3122" s="104">
        <f t="shared" si="151"/>
        <v>0</v>
      </c>
      <c r="S3122" s="104">
        <f t="shared" si="152"/>
        <v>0</v>
      </c>
      <c r="T3122" s="104">
        <f t="shared" si="153"/>
        <v>0</v>
      </c>
    </row>
    <row r="3123" spans="1:20">
      <c r="A3123" s="101"/>
      <c r="B3123" s="101"/>
      <c r="C3123" s="101"/>
      <c r="D3123" s="101"/>
      <c r="E3123" s="101"/>
      <c r="F3123" s="102"/>
      <c r="G3123" s="101"/>
      <c r="H3123" s="102"/>
      <c r="I3123" s="101"/>
      <c r="J3123" s="101"/>
      <c r="K3123" s="103"/>
      <c r="L3123" s="103"/>
      <c r="M3123" s="103"/>
      <c r="N3123" s="103"/>
      <c r="O3123" s="103"/>
      <c r="P3123" s="98"/>
      <c r="Q3123" s="99"/>
      <c r="R3123" s="104">
        <f t="shared" si="151"/>
        <v>0</v>
      </c>
      <c r="S3123" s="104">
        <f t="shared" si="152"/>
        <v>0</v>
      </c>
      <c r="T3123" s="104">
        <f t="shared" si="153"/>
        <v>0</v>
      </c>
    </row>
    <row r="3124" spans="1:20">
      <c r="A3124" s="101"/>
      <c r="B3124" s="101"/>
      <c r="C3124" s="101"/>
      <c r="D3124" s="101"/>
      <c r="E3124" s="101"/>
      <c r="F3124" s="102"/>
      <c r="G3124" s="101"/>
      <c r="H3124" s="102"/>
      <c r="I3124" s="101"/>
      <c r="J3124" s="101"/>
      <c r="K3124" s="103"/>
      <c r="L3124" s="103"/>
      <c r="M3124" s="103"/>
      <c r="N3124" s="103"/>
      <c r="O3124" s="103"/>
      <c r="P3124" s="98"/>
      <c r="Q3124" s="99"/>
      <c r="R3124" s="104">
        <f t="shared" si="151"/>
        <v>0</v>
      </c>
      <c r="S3124" s="104">
        <f t="shared" si="152"/>
        <v>0</v>
      </c>
      <c r="T3124" s="104">
        <f t="shared" si="153"/>
        <v>0</v>
      </c>
    </row>
    <row r="3125" spans="1:20">
      <c r="A3125" s="101"/>
      <c r="B3125" s="101"/>
      <c r="C3125" s="101"/>
      <c r="D3125" s="101"/>
      <c r="E3125" s="101"/>
      <c r="F3125" s="102"/>
      <c r="G3125" s="101"/>
      <c r="H3125" s="102"/>
      <c r="I3125" s="101"/>
      <c r="J3125" s="101"/>
      <c r="K3125" s="103"/>
      <c r="L3125" s="103"/>
      <c r="M3125" s="103"/>
      <c r="N3125" s="103"/>
      <c r="O3125" s="103"/>
      <c r="P3125" s="98"/>
      <c r="Q3125" s="99"/>
      <c r="R3125" s="104">
        <f t="shared" si="151"/>
        <v>0</v>
      </c>
      <c r="S3125" s="104">
        <f t="shared" si="152"/>
        <v>0</v>
      </c>
      <c r="T3125" s="104">
        <f t="shared" si="153"/>
        <v>0</v>
      </c>
    </row>
    <row r="3126" spans="1:20">
      <c r="A3126" s="101"/>
      <c r="B3126" s="101"/>
      <c r="C3126" s="101"/>
      <c r="D3126" s="101"/>
      <c r="E3126" s="101"/>
      <c r="F3126" s="102"/>
      <c r="G3126" s="101"/>
      <c r="H3126" s="102"/>
      <c r="I3126" s="101"/>
      <c r="J3126" s="101"/>
      <c r="K3126" s="103"/>
      <c r="L3126" s="103"/>
      <c r="M3126" s="103"/>
      <c r="N3126" s="103"/>
      <c r="O3126" s="103"/>
      <c r="P3126" s="98"/>
      <c r="Q3126" s="99"/>
      <c r="R3126" s="104">
        <f t="shared" si="151"/>
        <v>0</v>
      </c>
      <c r="S3126" s="104">
        <f t="shared" si="152"/>
        <v>0</v>
      </c>
      <c r="T3126" s="104">
        <f t="shared" si="153"/>
        <v>0</v>
      </c>
    </row>
    <row r="3127" spans="1:20">
      <c r="A3127" s="101"/>
      <c r="B3127" s="101"/>
      <c r="C3127" s="101"/>
      <c r="D3127" s="101"/>
      <c r="E3127" s="101"/>
      <c r="F3127" s="102"/>
      <c r="G3127" s="101"/>
      <c r="H3127" s="102"/>
      <c r="I3127" s="101"/>
      <c r="J3127" s="101"/>
      <c r="K3127" s="103"/>
      <c r="L3127" s="103"/>
      <c r="M3127" s="103"/>
      <c r="N3127" s="103"/>
      <c r="O3127" s="103"/>
      <c r="P3127" s="98"/>
      <c r="Q3127" s="99"/>
      <c r="R3127" s="104">
        <f t="shared" si="151"/>
        <v>0</v>
      </c>
      <c r="S3127" s="104">
        <f t="shared" si="152"/>
        <v>0</v>
      </c>
      <c r="T3127" s="104">
        <f t="shared" si="153"/>
        <v>0</v>
      </c>
    </row>
    <row r="3128" spans="1:20">
      <c r="A3128" s="101"/>
      <c r="B3128" s="101"/>
      <c r="C3128" s="101"/>
      <c r="D3128" s="101"/>
      <c r="E3128" s="101"/>
      <c r="F3128" s="102"/>
      <c r="G3128" s="101"/>
      <c r="H3128" s="102"/>
      <c r="I3128" s="101"/>
      <c r="J3128" s="101"/>
      <c r="K3128" s="103"/>
      <c r="L3128" s="103"/>
      <c r="M3128" s="103"/>
      <c r="N3128" s="103"/>
      <c r="O3128" s="103"/>
      <c r="P3128" s="98"/>
      <c r="Q3128" s="99"/>
      <c r="R3128" s="104">
        <f t="shared" si="151"/>
        <v>0</v>
      </c>
      <c r="S3128" s="104">
        <f t="shared" si="152"/>
        <v>0</v>
      </c>
      <c r="T3128" s="104">
        <f t="shared" si="153"/>
        <v>0</v>
      </c>
    </row>
    <row r="3129" spans="1:20">
      <c r="A3129" s="101"/>
      <c r="B3129" s="101"/>
      <c r="C3129" s="101"/>
      <c r="D3129" s="101"/>
      <c r="E3129" s="101"/>
      <c r="F3129" s="102"/>
      <c r="G3129" s="101"/>
      <c r="H3129" s="102"/>
      <c r="I3129" s="101"/>
      <c r="J3129" s="101"/>
      <c r="K3129" s="103"/>
      <c r="L3129" s="103"/>
      <c r="M3129" s="103"/>
      <c r="N3129" s="103"/>
      <c r="O3129" s="103"/>
      <c r="P3129" s="98"/>
      <c r="Q3129" s="99"/>
      <c r="R3129" s="104">
        <f t="shared" si="151"/>
        <v>0</v>
      </c>
      <c r="S3129" s="104">
        <f t="shared" si="152"/>
        <v>0</v>
      </c>
      <c r="T3129" s="104">
        <f t="shared" si="153"/>
        <v>0</v>
      </c>
    </row>
    <row r="3130" spans="1:20">
      <c r="A3130" s="101"/>
      <c r="B3130" s="101"/>
      <c r="C3130" s="101"/>
      <c r="D3130" s="101"/>
      <c r="E3130" s="101"/>
      <c r="F3130" s="102"/>
      <c r="G3130" s="101"/>
      <c r="H3130" s="102"/>
      <c r="I3130" s="101"/>
      <c r="J3130" s="101"/>
      <c r="K3130" s="103"/>
      <c r="L3130" s="103"/>
      <c r="M3130" s="103"/>
      <c r="N3130" s="103"/>
      <c r="O3130" s="103"/>
      <c r="P3130" s="98"/>
      <c r="Q3130" s="99"/>
      <c r="R3130" s="104">
        <f t="shared" si="151"/>
        <v>0</v>
      </c>
      <c r="S3130" s="104">
        <f t="shared" si="152"/>
        <v>0</v>
      </c>
      <c r="T3130" s="104">
        <f t="shared" si="153"/>
        <v>0</v>
      </c>
    </row>
    <row r="3131" spans="1:20">
      <c r="A3131" s="101"/>
      <c r="B3131" s="101"/>
      <c r="C3131" s="101"/>
      <c r="D3131" s="101"/>
      <c r="E3131" s="101"/>
      <c r="F3131" s="102"/>
      <c r="G3131" s="101"/>
      <c r="H3131" s="102"/>
      <c r="I3131" s="101"/>
      <c r="J3131" s="101"/>
      <c r="K3131" s="103"/>
      <c r="L3131" s="103"/>
      <c r="M3131" s="103"/>
      <c r="N3131" s="103"/>
      <c r="O3131" s="103"/>
      <c r="P3131" s="98"/>
      <c r="Q3131" s="99"/>
      <c r="R3131" s="104">
        <f t="shared" si="151"/>
        <v>0</v>
      </c>
      <c r="S3131" s="104">
        <f t="shared" si="152"/>
        <v>0</v>
      </c>
      <c r="T3131" s="104">
        <f t="shared" si="153"/>
        <v>0</v>
      </c>
    </row>
    <row r="3132" spans="1:20">
      <c r="A3132" s="101"/>
      <c r="B3132" s="101"/>
      <c r="C3132" s="101"/>
      <c r="D3132" s="101"/>
      <c r="E3132" s="101"/>
      <c r="F3132" s="102"/>
      <c r="G3132" s="101"/>
      <c r="H3132" s="102"/>
      <c r="I3132" s="101"/>
      <c r="J3132" s="101"/>
      <c r="K3132" s="103"/>
      <c r="L3132" s="103"/>
      <c r="M3132" s="103"/>
      <c r="N3132" s="103"/>
      <c r="O3132" s="103"/>
      <c r="P3132" s="98"/>
      <c r="Q3132" s="99"/>
      <c r="R3132" s="104">
        <f t="shared" si="151"/>
        <v>0</v>
      </c>
      <c r="S3132" s="104">
        <f t="shared" si="152"/>
        <v>0</v>
      </c>
      <c r="T3132" s="104">
        <f t="shared" si="153"/>
        <v>0</v>
      </c>
    </row>
    <row r="3133" spans="1:20">
      <c r="A3133" s="101"/>
      <c r="B3133" s="101"/>
      <c r="C3133" s="101"/>
      <c r="D3133" s="101"/>
      <c r="E3133" s="101"/>
      <c r="F3133" s="102"/>
      <c r="G3133" s="101"/>
      <c r="H3133" s="102"/>
      <c r="I3133" s="101"/>
      <c r="J3133" s="101"/>
      <c r="K3133" s="103"/>
      <c r="L3133" s="103"/>
      <c r="M3133" s="103"/>
      <c r="N3133" s="103"/>
      <c r="O3133" s="103"/>
      <c r="P3133" s="98"/>
      <c r="Q3133" s="99"/>
      <c r="R3133" s="104">
        <f t="shared" si="151"/>
        <v>0</v>
      </c>
      <c r="S3133" s="104">
        <f t="shared" si="152"/>
        <v>0</v>
      </c>
      <c r="T3133" s="104">
        <f t="shared" si="153"/>
        <v>0</v>
      </c>
    </row>
    <row r="3134" spans="1:20">
      <c r="A3134" s="101"/>
      <c r="B3134" s="101"/>
      <c r="C3134" s="101"/>
      <c r="D3134" s="101"/>
      <c r="E3134" s="101"/>
      <c r="F3134" s="102"/>
      <c r="G3134" s="101"/>
      <c r="H3134" s="102"/>
      <c r="I3134" s="101"/>
      <c r="J3134" s="101"/>
      <c r="K3134" s="103"/>
      <c r="L3134" s="103"/>
      <c r="M3134" s="103"/>
      <c r="N3134" s="103"/>
      <c r="O3134" s="103"/>
      <c r="P3134" s="98"/>
      <c r="Q3134" s="99"/>
      <c r="R3134" s="104">
        <f t="shared" si="151"/>
        <v>0</v>
      </c>
      <c r="S3134" s="104">
        <f t="shared" si="152"/>
        <v>0</v>
      </c>
      <c r="T3134" s="104">
        <f t="shared" si="153"/>
        <v>0</v>
      </c>
    </row>
    <row r="3135" spans="1:20">
      <c r="A3135" s="101"/>
      <c r="B3135" s="101"/>
      <c r="C3135" s="101"/>
      <c r="D3135" s="101"/>
      <c r="E3135" s="101"/>
      <c r="F3135" s="102"/>
      <c r="G3135" s="101"/>
      <c r="H3135" s="102"/>
      <c r="I3135" s="101"/>
      <c r="J3135" s="101"/>
      <c r="K3135" s="103"/>
      <c r="L3135" s="103"/>
      <c r="M3135" s="103"/>
      <c r="N3135" s="103"/>
      <c r="O3135" s="103"/>
      <c r="P3135" s="98"/>
      <c r="Q3135" s="99"/>
      <c r="R3135" s="104">
        <f t="shared" si="151"/>
        <v>0</v>
      </c>
      <c r="S3135" s="104">
        <f t="shared" si="152"/>
        <v>0</v>
      </c>
      <c r="T3135" s="104">
        <f t="shared" si="153"/>
        <v>0</v>
      </c>
    </row>
    <row r="3136" spans="1:20">
      <c r="A3136" s="101"/>
      <c r="B3136" s="101"/>
      <c r="C3136" s="101"/>
      <c r="D3136" s="101"/>
      <c r="E3136" s="101"/>
      <c r="F3136" s="102"/>
      <c r="G3136" s="101"/>
      <c r="H3136" s="102"/>
      <c r="I3136" s="101"/>
      <c r="J3136" s="101"/>
      <c r="K3136" s="103"/>
      <c r="L3136" s="103"/>
      <c r="M3136" s="103"/>
      <c r="N3136" s="103"/>
      <c r="O3136" s="103"/>
      <c r="P3136" s="98"/>
      <c r="Q3136" s="99"/>
      <c r="R3136" s="104">
        <f t="shared" si="151"/>
        <v>0</v>
      </c>
      <c r="S3136" s="104">
        <f t="shared" si="152"/>
        <v>0</v>
      </c>
      <c r="T3136" s="104">
        <f t="shared" si="153"/>
        <v>0</v>
      </c>
    </row>
    <row r="3137" spans="1:20">
      <c r="A3137" s="101"/>
      <c r="B3137" s="101"/>
      <c r="C3137" s="101"/>
      <c r="D3137" s="101"/>
      <c r="E3137" s="101"/>
      <c r="F3137" s="102"/>
      <c r="G3137" s="101"/>
      <c r="H3137" s="102"/>
      <c r="I3137" s="101"/>
      <c r="J3137" s="101"/>
      <c r="K3137" s="103"/>
      <c r="L3137" s="103"/>
      <c r="M3137" s="103"/>
      <c r="N3137" s="103"/>
      <c r="O3137" s="103"/>
      <c r="P3137" s="98"/>
      <c r="Q3137" s="99"/>
      <c r="R3137" s="104">
        <f t="shared" si="151"/>
        <v>0</v>
      </c>
      <c r="S3137" s="104">
        <f t="shared" si="152"/>
        <v>0</v>
      </c>
      <c r="T3137" s="104">
        <f t="shared" si="153"/>
        <v>0</v>
      </c>
    </row>
    <row r="3138" spans="1:20">
      <c r="A3138" s="101"/>
      <c r="B3138" s="101"/>
      <c r="C3138" s="101"/>
      <c r="D3138" s="101"/>
      <c r="E3138" s="101"/>
      <c r="F3138" s="102"/>
      <c r="G3138" s="101"/>
      <c r="H3138" s="102"/>
      <c r="I3138" s="101"/>
      <c r="J3138" s="101"/>
      <c r="K3138" s="103"/>
      <c r="L3138" s="103"/>
      <c r="M3138" s="103"/>
      <c r="N3138" s="103"/>
      <c r="O3138" s="103"/>
      <c r="P3138" s="98"/>
      <c r="Q3138" s="99"/>
      <c r="R3138" s="104">
        <f t="shared" si="151"/>
        <v>0</v>
      </c>
      <c r="S3138" s="104">
        <f t="shared" si="152"/>
        <v>0</v>
      </c>
      <c r="T3138" s="104">
        <f t="shared" si="153"/>
        <v>0</v>
      </c>
    </row>
    <row r="3139" spans="1:20">
      <c r="A3139" s="101"/>
      <c r="B3139" s="101"/>
      <c r="C3139" s="101"/>
      <c r="D3139" s="101"/>
      <c r="E3139" s="101"/>
      <c r="F3139" s="102"/>
      <c r="G3139" s="101"/>
      <c r="H3139" s="102"/>
      <c r="I3139" s="101"/>
      <c r="J3139" s="101"/>
      <c r="K3139" s="103"/>
      <c r="L3139" s="103"/>
      <c r="M3139" s="103"/>
      <c r="N3139" s="103"/>
      <c r="O3139" s="103"/>
      <c r="P3139" s="98"/>
      <c r="Q3139" s="99"/>
      <c r="R3139" s="104">
        <f t="shared" si="151"/>
        <v>0</v>
      </c>
      <c r="S3139" s="104">
        <f t="shared" si="152"/>
        <v>0</v>
      </c>
      <c r="T3139" s="104">
        <f t="shared" si="153"/>
        <v>0</v>
      </c>
    </row>
    <row r="3140" spans="1:20">
      <c r="A3140" s="101"/>
      <c r="B3140" s="101"/>
      <c r="C3140" s="101"/>
      <c r="D3140" s="101"/>
      <c r="E3140" s="101"/>
      <c r="F3140" s="102"/>
      <c r="G3140" s="101"/>
      <c r="H3140" s="102"/>
      <c r="I3140" s="101"/>
      <c r="J3140" s="101"/>
      <c r="K3140" s="103"/>
      <c r="L3140" s="103"/>
      <c r="M3140" s="103"/>
      <c r="N3140" s="103"/>
      <c r="O3140" s="103"/>
      <c r="P3140" s="98"/>
      <c r="Q3140" s="99"/>
      <c r="R3140" s="104">
        <f t="shared" si="151"/>
        <v>0</v>
      </c>
      <c r="S3140" s="104">
        <f t="shared" si="152"/>
        <v>0</v>
      </c>
      <c r="T3140" s="104">
        <f t="shared" si="153"/>
        <v>0</v>
      </c>
    </row>
    <row r="3141" spans="1:20">
      <c r="A3141" s="101"/>
      <c r="B3141" s="101"/>
      <c r="C3141" s="101"/>
      <c r="D3141" s="101"/>
      <c r="E3141" s="101"/>
      <c r="F3141" s="102"/>
      <c r="G3141" s="101"/>
      <c r="H3141" s="102"/>
      <c r="I3141" s="101"/>
      <c r="J3141" s="101"/>
      <c r="K3141" s="103"/>
      <c r="L3141" s="103"/>
      <c r="M3141" s="103"/>
      <c r="N3141" s="103"/>
      <c r="O3141" s="103"/>
      <c r="P3141" s="98"/>
      <c r="Q3141" s="99"/>
      <c r="R3141" s="104">
        <f t="shared" si="151"/>
        <v>0</v>
      </c>
      <c r="S3141" s="104">
        <f t="shared" si="152"/>
        <v>0</v>
      </c>
      <c r="T3141" s="104">
        <f t="shared" si="153"/>
        <v>0</v>
      </c>
    </row>
    <row r="3142" spans="1:20">
      <c r="A3142" s="101"/>
      <c r="B3142" s="101"/>
      <c r="C3142" s="101"/>
      <c r="D3142" s="101"/>
      <c r="E3142" s="101"/>
      <c r="F3142" s="102"/>
      <c r="G3142" s="101"/>
      <c r="H3142" s="102"/>
      <c r="I3142" s="101"/>
      <c r="J3142" s="101"/>
      <c r="K3142" s="103"/>
      <c r="L3142" s="103"/>
      <c r="M3142" s="103"/>
      <c r="N3142" s="103"/>
      <c r="O3142" s="103"/>
      <c r="P3142" s="98"/>
      <c r="Q3142" s="99"/>
      <c r="R3142" s="104">
        <f t="shared" si="151"/>
        <v>0</v>
      </c>
      <c r="S3142" s="104">
        <f t="shared" si="152"/>
        <v>0</v>
      </c>
      <c r="T3142" s="104">
        <f t="shared" si="153"/>
        <v>0</v>
      </c>
    </row>
    <row r="3143" spans="1:20">
      <c r="A3143" s="101"/>
      <c r="B3143" s="101"/>
      <c r="C3143" s="101"/>
      <c r="D3143" s="101"/>
      <c r="E3143" s="101"/>
      <c r="F3143" s="102"/>
      <c r="G3143" s="101"/>
      <c r="H3143" s="102"/>
      <c r="I3143" s="101"/>
      <c r="J3143" s="101"/>
      <c r="K3143" s="103"/>
      <c r="L3143" s="103"/>
      <c r="M3143" s="103"/>
      <c r="N3143" s="103"/>
      <c r="O3143" s="103"/>
      <c r="P3143" s="98"/>
      <c r="Q3143" s="99"/>
      <c r="R3143" s="104">
        <f t="shared" si="151"/>
        <v>0</v>
      </c>
      <c r="S3143" s="104">
        <f t="shared" si="152"/>
        <v>0</v>
      </c>
      <c r="T3143" s="104">
        <f t="shared" si="153"/>
        <v>0</v>
      </c>
    </row>
    <row r="3144" spans="1:20">
      <c r="A3144" s="101"/>
      <c r="B3144" s="101"/>
      <c r="C3144" s="101"/>
      <c r="D3144" s="101"/>
      <c r="E3144" s="101"/>
      <c r="F3144" s="102"/>
      <c r="G3144" s="101"/>
      <c r="H3144" s="102"/>
      <c r="I3144" s="101"/>
      <c r="J3144" s="101"/>
      <c r="K3144" s="103"/>
      <c r="L3144" s="103"/>
      <c r="M3144" s="103"/>
      <c r="N3144" s="103"/>
      <c r="O3144" s="103"/>
      <c r="P3144" s="98"/>
      <c r="Q3144" s="99"/>
      <c r="R3144" s="104">
        <f t="shared" si="151"/>
        <v>0</v>
      </c>
      <c r="S3144" s="104">
        <f t="shared" si="152"/>
        <v>0</v>
      </c>
      <c r="T3144" s="104">
        <f t="shared" si="153"/>
        <v>0</v>
      </c>
    </row>
    <row r="3145" spans="1:20">
      <c r="A3145" s="101"/>
      <c r="B3145" s="101"/>
      <c r="C3145" s="101"/>
      <c r="D3145" s="101"/>
      <c r="E3145" s="101"/>
      <c r="F3145" s="102"/>
      <c r="G3145" s="101"/>
      <c r="H3145" s="102"/>
      <c r="I3145" s="101"/>
      <c r="J3145" s="101"/>
      <c r="K3145" s="103"/>
      <c r="L3145" s="103"/>
      <c r="M3145" s="103"/>
      <c r="N3145" s="103"/>
      <c r="O3145" s="103"/>
      <c r="P3145" s="98"/>
      <c r="Q3145" s="99"/>
      <c r="R3145" s="104">
        <f t="shared" si="151"/>
        <v>0</v>
      </c>
      <c r="S3145" s="104">
        <f t="shared" si="152"/>
        <v>0</v>
      </c>
      <c r="T3145" s="104">
        <f t="shared" si="153"/>
        <v>0</v>
      </c>
    </row>
    <row r="3146" spans="1:20">
      <c r="A3146" s="101"/>
      <c r="B3146" s="101"/>
      <c r="C3146" s="101"/>
      <c r="D3146" s="101"/>
      <c r="E3146" s="101"/>
      <c r="F3146" s="102"/>
      <c r="G3146" s="101"/>
      <c r="H3146" s="102"/>
      <c r="I3146" s="101"/>
      <c r="J3146" s="101"/>
      <c r="K3146" s="103"/>
      <c r="L3146" s="103"/>
      <c r="M3146" s="103"/>
      <c r="N3146" s="103"/>
      <c r="O3146" s="103"/>
      <c r="P3146" s="98"/>
      <c r="Q3146" s="99"/>
      <c r="R3146" s="104">
        <f t="shared" ref="R3146:R3209" si="154">IF(P3146="Cargo",K3146+L3146-M3146-N3146+O3146,0)</f>
        <v>0</v>
      </c>
      <c r="S3146" s="104">
        <f t="shared" ref="S3146:S3209" si="155">IF(P3146="Abono",K3146+L3146+M3146-N3146-O3146,0)</f>
        <v>0</v>
      </c>
      <c r="T3146" s="104">
        <f t="shared" ref="T3146:T3209" si="156">IF(Q3146="OK",+T3145+R3146-S3146,T3145)</f>
        <v>0</v>
      </c>
    </row>
    <row r="3147" spans="1:20">
      <c r="A3147" s="101"/>
      <c r="B3147" s="101"/>
      <c r="C3147" s="101"/>
      <c r="D3147" s="101"/>
      <c r="E3147" s="101"/>
      <c r="F3147" s="102"/>
      <c r="G3147" s="101"/>
      <c r="H3147" s="102"/>
      <c r="I3147" s="101"/>
      <c r="J3147" s="101"/>
      <c r="K3147" s="103"/>
      <c r="L3147" s="103"/>
      <c r="M3147" s="103"/>
      <c r="N3147" s="103"/>
      <c r="O3147" s="103"/>
      <c r="P3147" s="98"/>
      <c r="Q3147" s="99"/>
      <c r="R3147" s="104">
        <f t="shared" si="154"/>
        <v>0</v>
      </c>
      <c r="S3147" s="104">
        <f t="shared" si="155"/>
        <v>0</v>
      </c>
      <c r="T3147" s="104">
        <f t="shared" si="156"/>
        <v>0</v>
      </c>
    </row>
    <row r="3148" spans="1:20">
      <c r="A3148" s="101"/>
      <c r="B3148" s="101"/>
      <c r="C3148" s="101"/>
      <c r="D3148" s="101"/>
      <c r="E3148" s="101"/>
      <c r="F3148" s="102"/>
      <c r="G3148" s="101"/>
      <c r="H3148" s="102"/>
      <c r="I3148" s="101"/>
      <c r="J3148" s="101"/>
      <c r="K3148" s="103"/>
      <c r="L3148" s="103"/>
      <c r="M3148" s="103"/>
      <c r="N3148" s="103"/>
      <c r="O3148" s="103"/>
      <c r="P3148" s="98"/>
      <c r="Q3148" s="99"/>
      <c r="R3148" s="104">
        <f t="shared" si="154"/>
        <v>0</v>
      </c>
      <c r="S3148" s="104">
        <f t="shared" si="155"/>
        <v>0</v>
      </c>
      <c r="T3148" s="104">
        <f t="shared" si="156"/>
        <v>0</v>
      </c>
    </row>
    <row r="3149" spans="1:20">
      <c r="A3149" s="101"/>
      <c r="B3149" s="101"/>
      <c r="C3149" s="101"/>
      <c r="D3149" s="101"/>
      <c r="E3149" s="101"/>
      <c r="F3149" s="102"/>
      <c r="G3149" s="101"/>
      <c r="H3149" s="102"/>
      <c r="I3149" s="101"/>
      <c r="J3149" s="101"/>
      <c r="K3149" s="103"/>
      <c r="L3149" s="103"/>
      <c r="M3149" s="103"/>
      <c r="N3149" s="103"/>
      <c r="O3149" s="103"/>
      <c r="P3149" s="98"/>
      <c r="Q3149" s="99"/>
      <c r="R3149" s="104">
        <f t="shared" si="154"/>
        <v>0</v>
      </c>
      <c r="S3149" s="104">
        <f t="shared" si="155"/>
        <v>0</v>
      </c>
      <c r="T3149" s="104">
        <f t="shared" si="156"/>
        <v>0</v>
      </c>
    </row>
    <row r="3150" spans="1:20">
      <c r="A3150" s="101"/>
      <c r="B3150" s="101"/>
      <c r="C3150" s="101"/>
      <c r="D3150" s="101"/>
      <c r="E3150" s="101"/>
      <c r="F3150" s="102"/>
      <c r="G3150" s="101"/>
      <c r="H3150" s="102"/>
      <c r="I3150" s="101"/>
      <c r="J3150" s="101"/>
      <c r="K3150" s="103"/>
      <c r="L3150" s="103"/>
      <c r="M3150" s="103"/>
      <c r="N3150" s="103"/>
      <c r="O3150" s="103"/>
      <c r="P3150" s="98"/>
      <c r="Q3150" s="99"/>
      <c r="R3150" s="104">
        <f t="shared" si="154"/>
        <v>0</v>
      </c>
      <c r="S3150" s="104">
        <f t="shared" si="155"/>
        <v>0</v>
      </c>
      <c r="T3150" s="104">
        <f t="shared" si="156"/>
        <v>0</v>
      </c>
    </row>
    <row r="3151" spans="1:20">
      <c r="A3151" s="101"/>
      <c r="B3151" s="101"/>
      <c r="C3151" s="101"/>
      <c r="D3151" s="101"/>
      <c r="E3151" s="101"/>
      <c r="F3151" s="102"/>
      <c r="G3151" s="101"/>
      <c r="H3151" s="102"/>
      <c r="I3151" s="101"/>
      <c r="J3151" s="101"/>
      <c r="K3151" s="103"/>
      <c r="L3151" s="103"/>
      <c r="M3151" s="103"/>
      <c r="N3151" s="103"/>
      <c r="O3151" s="103"/>
      <c r="P3151" s="98"/>
      <c r="Q3151" s="99"/>
      <c r="R3151" s="104">
        <f t="shared" si="154"/>
        <v>0</v>
      </c>
      <c r="S3151" s="104">
        <f t="shared" si="155"/>
        <v>0</v>
      </c>
      <c r="T3151" s="104">
        <f t="shared" si="156"/>
        <v>0</v>
      </c>
    </row>
    <row r="3152" spans="1:20">
      <c r="A3152" s="101"/>
      <c r="B3152" s="101"/>
      <c r="C3152" s="101"/>
      <c r="D3152" s="101"/>
      <c r="E3152" s="101"/>
      <c r="F3152" s="102"/>
      <c r="G3152" s="101"/>
      <c r="H3152" s="102"/>
      <c r="I3152" s="101"/>
      <c r="J3152" s="101"/>
      <c r="K3152" s="103"/>
      <c r="L3152" s="103"/>
      <c r="M3152" s="103"/>
      <c r="N3152" s="103"/>
      <c r="O3152" s="103"/>
      <c r="P3152" s="98"/>
      <c r="Q3152" s="99"/>
      <c r="R3152" s="104">
        <f t="shared" si="154"/>
        <v>0</v>
      </c>
      <c r="S3152" s="104">
        <f t="shared" si="155"/>
        <v>0</v>
      </c>
      <c r="T3152" s="104">
        <f t="shared" si="156"/>
        <v>0</v>
      </c>
    </row>
    <row r="3153" spans="1:20">
      <c r="A3153" s="101"/>
      <c r="B3153" s="101"/>
      <c r="C3153" s="101"/>
      <c r="D3153" s="101"/>
      <c r="E3153" s="101"/>
      <c r="F3153" s="102"/>
      <c r="G3153" s="101"/>
      <c r="H3153" s="102"/>
      <c r="I3153" s="101"/>
      <c r="J3153" s="101"/>
      <c r="K3153" s="103"/>
      <c r="L3153" s="103"/>
      <c r="M3153" s="103"/>
      <c r="N3153" s="103"/>
      <c r="O3153" s="103"/>
      <c r="P3153" s="98"/>
      <c r="Q3153" s="99"/>
      <c r="R3153" s="104">
        <f t="shared" si="154"/>
        <v>0</v>
      </c>
      <c r="S3153" s="104">
        <f t="shared" si="155"/>
        <v>0</v>
      </c>
      <c r="T3153" s="104">
        <f t="shared" si="156"/>
        <v>0</v>
      </c>
    </row>
    <row r="3154" spans="1:20">
      <c r="A3154" s="101"/>
      <c r="B3154" s="101"/>
      <c r="C3154" s="101"/>
      <c r="D3154" s="101"/>
      <c r="E3154" s="101"/>
      <c r="F3154" s="102"/>
      <c r="G3154" s="101"/>
      <c r="H3154" s="102"/>
      <c r="I3154" s="101"/>
      <c r="J3154" s="101"/>
      <c r="K3154" s="103"/>
      <c r="L3154" s="103"/>
      <c r="M3154" s="103"/>
      <c r="N3154" s="103"/>
      <c r="O3154" s="103"/>
      <c r="P3154" s="98"/>
      <c r="Q3154" s="99"/>
      <c r="R3154" s="104">
        <f t="shared" si="154"/>
        <v>0</v>
      </c>
      <c r="S3154" s="104">
        <f t="shared" si="155"/>
        <v>0</v>
      </c>
      <c r="T3154" s="104">
        <f t="shared" si="156"/>
        <v>0</v>
      </c>
    </row>
    <row r="3155" spans="1:20">
      <c r="A3155" s="101"/>
      <c r="B3155" s="101"/>
      <c r="C3155" s="101"/>
      <c r="D3155" s="101"/>
      <c r="E3155" s="101"/>
      <c r="F3155" s="102"/>
      <c r="G3155" s="101"/>
      <c r="H3155" s="102"/>
      <c r="I3155" s="101"/>
      <c r="J3155" s="101"/>
      <c r="K3155" s="103"/>
      <c r="L3155" s="103"/>
      <c r="M3155" s="103"/>
      <c r="N3155" s="103"/>
      <c r="O3155" s="103"/>
      <c r="P3155" s="98"/>
      <c r="Q3155" s="99"/>
      <c r="R3155" s="104">
        <f t="shared" si="154"/>
        <v>0</v>
      </c>
      <c r="S3155" s="104">
        <f t="shared" si="155"/>
        <v>0</v>
      </c>
      <c r="T3155" s="104">
        <f t="shared" si="156"/>
        <v>0</v>
      </c>
    </row>
    <row r="3156" spans="1:20">
      <c r="A3156" s="101"/>
      <c r="B3156" s="101"/>
      <c r="C3156" s="101"/>
      <c r="D3156" s="101"/>
      <c r="E3156" s="101"/>
      <c r="F3156" s="102"/>
      <c r="G3156" s="101"/>
      <c r="H3156" s="102"/>
      <c r="I3156" s="101"/>
      <c r="J3156" s="101"/>
      <c r="K3156" s="103"/>
      <c r="L3156" s="103"/>
      <c r="M3156" s="103"/>
      <c r="N3156" s="103"/>
      <c r="O3156" s="103"/>
      <c r="P3156" s="98"/>
      <c r="Q3156" s="99"/>
      <c r="R3156" s="104">
        <f t="shared" si="154"/>
        <v>0</v>
      </c>
      <c r="S3156" s="104">
        <f t="shared" si="155"/>
        <v>0</v>
      </c>
      <c r="T3156" s="104">
        <f t="shared" si="156"/>
        <v>0</v>
      </c>
    </row>
    <row r="3157" spans="1:20">
      <c r="A3157" s="101"/>
      <c r="B3157" s="101"/>
      <c r="C3157" s="101"/>
      <c r="D3157" s="101"/>
      <c r="E3157" s="101"/>
      <c r="F3157" s="102"/>
      <c r="G3157" s="101"/>
      <c r="H3157" s="102"/>
      <c r="I3157" s="101"/>
      <c r="J3157" s="101"/>
      <c r="K3157" s="103"/>
      <c r="L3157" s="103"/>
      <c r="M3157" s="103"/>
      <c r="N3157" s="103"/>
      <c r="O3157" s="103"/>
      <c r="P3157" s="98"/>
      <c r="Q3157" s="99"/>
      <c r="R3157" s="104">
        <f t="shared" si="154"/>
        <v>0</v>
      </c>
      <c r="S3157" s="104">
        <f t="shared" si="155"/>
        <v>0</v>
      </c>
      <c r="T3157" s="104">
        <f t="shared" si="156"/>
        <v>0</v>
      </c>
    </row>
    <row r="3158" spans="1:20">
      <c r="A3158" s="101"/>
      <c r="B3158" s="101"/>
      <c r="C3158" s="101"/>
      <c r="D3158" s="101"/>
      <c r="E3158" s="101"/>
      <c r="F3158" s="102"/>
      <c r="G3158" s="101"/>
      <c r="H3158" s="102"/>
      <c r="I3158" s="101"/>
      <c r="J3158" s="101"/>
      <c r="K3158" s="103"/>
      <c r="L3158" s="103"/>
      <c r="M3158" s="103"/>
      <c r="N3158" s="103"/>
      <c r="O3158" s="103"/>
      <c r="P3158" s="98"/>
      <c r="Q3158" s="99"/>
      <c r="R3158" s="104">
        <f t="shared" si="154"/>
        <v>0</v>
      </c>
      <c r="S3158" s="104">
        <f t="shared" si="155"/>
        <v>0</v>
      </c>
      <c r="T3158" s="104">
        <f t="shared" si="156"/>
        <v>0</v>
      </c>
    </row>
    <row r="3159" spans="1:20">
      <c r="A3159" s="101"/>
      <c r="B3159" s="101"/>
      <c r="C3159" s="101"/>
      <c r="D3159" s="101"/>
      <c r="E3159" s="101"/>
      <c r="F3159" s="102"/>
      <c r="G3159" s="101"/>
      <c r="H3159" s="102"/>
      <c r="I3159" s="101"/>
      <c r="J3159" s="101"/>
      <c r="K3159" s="103"/>
      <c r="L3159" s="103"/>
      <c r="M3159" s="103"/>
      <c r="N3159" s="103"/>
      <c r="O3159" s="103"/>
      <c r="P3159" s="98"/>
      <c r="Q3159" s="99"/>
      <c r="R3159" s="104">
        <f t="shared" si="154"/>
        <v>0</v>
      </c>
      <c r="S3159" s="104">
        <f t="shared" si="155"/>
        <v>0</v>
      </c>
      <c r="T3159" s="104">
        <f t="shared" si="156"/>
        <v>0</v>
      </c>
    </row>
    <row r="3160" spans="1:20">
      <c r="A3160" s="101"/>
      <c r="B3160" s="101"/>
      <c r="C3160" s="101"/>
      <c r="D3160" s="101"/>
      <c r="E3160" s="101"/>
      <c r="F3160" s="102"/>
      <c r="G3160" s="101"/>
      <c r="H3160" s="102"/>
      <c r="I3160" s="101"/>
      <c r="J3160" s="101"/>
      <c r="K3160" s="103"/>
      <c r="L3160" s="103"/>
      <c r="M3160" s="103"/>
      <c r="N3160" s="103"/>
      <c r="O3160" s="103"/>
      <c r="P3160" s="98"/>
      <c r="Q3160" s="99"/>
      <c r="R3160" s="104">
        <f t="shared" si="154"/>
        <v>0</v>
      </c>
      <c r="S3160" s="104">
        <f t="shared" si="155"/>
        <v>0</v>
      </c>
      <c r="T3160" s="104">
        <f t="shared" si="156"/>
        <v>0</v>
      </c>
    </row>
    <row r="3161" spans="1:20">
      <c r="A3161" s="101"/>
      <c r="B3161" s="101"/>
      <c r="C3161" s="101"/>
      <c r="D3161" s="101"/>
      <c r="E3161" s="101"/>
      <c r="F3161" s="102"/>
      <c r="G3161" s="101"/>
      <c r="H3161" s="102"/>
      <c r="I3161" s="101"/>
      <c r="J3161" s="101"/>
      <c r="K3161" s="103"/>
      <c r="L3161" s="103"/>
      <c r="M3161" s="103"/>
      <c r="N3161" s="103"/>
      <c r="O3161" s="103"/>
      <c r="P3161" s="98"/>
      <c r="Q3161" s="99"/>
      <c r="R3161" s="104">
        <f t="shared" si="154"/>
        <v>0</v>
      </c>
      <c r="S3161" s="104">
        <f t="shared" si="155"/>
        <v>0</v>
      </c>
      <c r="T3161" s="104">
        <f t="shared" si="156"/>
        <v>0</v>
      </c>
    </row>
    <row r="3162" spans="1:20">
      <c r="A3162" s="101"/>
      <c r="B3162" s="101"/>
      <c r="C3162" s="101"/>
      <c r="D3162" s="101"/>
      <c r="E3162" s="101"/>
      <c r="F3162" s="102"/>
      <c r="G3162" s="101"/>
      <c r="H3162" s="102"/>
      <c r="I3162" s="101"/>
      <c r="J3162" s="101"/>
      <c r="K3162" s="103"/>
      <c r="L3162" s="103"/>
      <c r="M3162" s="103"/>
      <c r="N3162" s="103"/>
      <c r="O3162" s="103"/>
      <c r="P3162" s="98"/>
      <c r="Q3162" s="99"/>
      <c r="R3162" s="104">
        <f t="shared" si="154"/>
        <v>0</v>
      </c>
      <c r="S3162" s="104">
        <f t="shared" si="155"/>
        <v>0</v>
      </c>
      <c r="T3162" s="104">
        <f t="shared" si="156"/>
        <v>0</v>
      </c>
    </row>
    <row r="3163" spans="1:20">
      <c r="A3163" s="101"/>
      <c r="B3163" s="101"/>
      <c r="C3163" s="101"/>
      <c r="D3163" s="101"/>
      <c r="E3163" s="101"/>
      <c r="F3163" s="102"/>
      <c r="G3163" s="101"/>
      <c r="H3163" s="102"/>
      <c r="I3163" s="101"/>
      <c r="J3163" s="101"/>
      <c r="K3163" s="103"/>
      <c r="L3163" s="103"/>
      <c r="M3163" s="103"/>
      <c r="N3163" s="103"/>
      <c r="O3163" s="103"/>
      <c r="P3163" s="98"/>
      <c r="Q3163" s="99"/>
      <c r="R3163" s="104">
        <f t="shared" si="154"/>
        <v>0</v>
      </c>
      <c r="S3163" s="104">
        <f t="shared" si="155"/>
        <v>0</v>
      </c>
      <c r="T3163" s="104">
        <f t="shared" si="156"/>
        <v>0</v>
      </c>
    </row>
    <row r="3164" spans="1:20">
      <c r="A3164" s="101"/>
      <c r="B3164" s="101"/>
      <c r="C3164" s="101"/>
      <c r="D3164" s="101"/>
      <c r="E3164" s="101"/>
      <c r="F3164" s="102"/>
      <c r="G3164" s="101"/>
      <c r="H3164" s="102"/>
      <c r="I3164" s="101"/>
      <c r="J3164" s="101"/>
      <c r="K3164" s="103"/>
      <c r="L3164" s="103"/>
      <c r="M3164" s="103"/>
      <c r="N3164" s="103"/>
      <c r="O3164" s="103"/>
      <c r="P3164" s="98"/>
      <c r="Q3164" s="99"/>
      <c r="R3164" s="104">
        <f t="shared" si="154"/>
        <v>0</v>
      </c>
      <c r="S3164" s="104">
        <f t="shared" si="155"/>
        <v>0</v>
      </c>
      <c r="T3164" s="104">
        <f t="shared" si="156"/>
        <v>0</v>
      </c>
    </row>
    <row r="3165" spans="1:20">
      <c r="A3165" s="101"/>
      <c r="B3165" s="101"/>
      <c r="C3165" s="101"/>
      <c r="D3165" s="101"/>
      <c r="E3165" s="101"/>
      <c r="F3165" s="102"/>
      <c r="G3165" s="101"/>
      <c r="H3165" s="102"/>
      <c r="I3165" s="101"/>
      <c r="J3165" s="101"/>
      <c r="K3165" s="103"/>
      <c r="L3165" s="103"/>
      <c r="M3165" s="103"/>
      <c r="N3165" s="103"/>
      <c r="O3165" s="103"/>
      <c r="P3165" s="98"/>
      <c r="Q3165" s="99"/>
      <c r="R3165" s="104">
        <f t="shared" si="154"/>
        <v>0</v>
      </c>
      <c r="S3165" s="104">
        <f t="shared" si="155"/>
        <v>0</v>
      </c>
      <c r="T3165" s="104">
        <f t="shared" si="156"/>
        <v>0</v>
      </c>
    </row>
    <row r="3166" spans="1:20">
      <c r="A3166" s="101"/>
      <c r="B3166" s="101"/>
      <c r="C3166" s="101"/>
      <c r="D3166" s="101"/>
      <c r="E3166" s="101"/>
      <c r="F3166" s="102"/>
      <c r="G3166" s="101"/>
      <c r="H3166" s="102"/>
      <c r="I3166" s="101"/>
      <c r="J3166" s="101"/>
      <c r="K3166" s="103"/>
      <c r="L3166" s="103"/>
      <c r="M3166" s="103"/>
      <c r="N3166" s="103"/>
      <c r="O3166" s="103"/>
      <c r="P3166" s="98"/>
      <c r="Q3166" s="99"/>
      <c r="R3166" s="104">
        <f t="shared" si="154"/>
        <v>0</v>
      </c>
      <c r="S3166" s="104">
        <f t="shared" si="155"/>
        <v>0</v>
      </c>
      <c r="T3166" s="104">
        <f t="shared" si="156"/>
        <v>0</v>
      </c>
    </row>
    <row r="3167" spans="1:20">
      <c r="A3167" s="101"/>
      <c r="B3167" s="101"/>
      <c r="C3167" s="101"/>
      <c r="D3167" s="101"/>
      <c r="E3167" s="101"/>
      <c r="F3167" s="102"/>
      <c r="G3167" s="101"/>
      <c r="H3167" s="102"/>
      <c r="I3167" s="101"/>
      <c r="J3167" s="101"/>
      <c r="K3167" s="103"/>
      <c r="L3167" s="103"/>
      <c r="M3167" s="103"/>
      <c r="N3167" s="103"/>
      <c r="O3167" s="103"/>
      <c r="P3167" s="98"/>
      <c r="Q3167" s="99"/>
      <c r="R3167" s="104">
        <f t="shared" si="154"/>
        <v>0</v>
      </c>
      <c r="S3167" s="104">
        <f t="shared" si="155"/>
        <v>0</v>
      </c>
      <c r="T3167" s="104">
        <f t="shared" si="156"/>
        <v>0</v>
      </c>
    </row>
    <row r="3168" spans="1:20">
      <c r="A3168" s="101"/>
      <c r="B3168" s="101"/>
      <c r="C3168" s="101"/>
      <c r="D3168" s="101"/>
      <c r="E3168" s="101"/>
      <c r="F3168" s="102"/>
      <c r="G3168" s="101"/>
      <c r="H3168" s="102"/>
      <c r="I3168" s="101"/>
      <c r="J3168" s="101"/>
      <c r="K3168" s="103"/>
      <c r="L3168" s="103"/>
      <c r="M3168" s="103"/>
      <c r="N3168" s="103"/>
      <c r="O3168" s="103"/>
      <c r="P3168" s="98"/>
      <c r="Q3168" s="99"/>
      <c r="R3168" s="104">
        <f t="shared" si="154"/>
        <v>0</v>
      </c>
      <c r="S3168" s="104">
        <f t="shared" si="155"/>
        <v>0</v>
      </c>
      <c r="T3168" s="104">
        <f t="shared" si="156"/>
        <v>0</v>
      </c>
    </row>
    <row r="3169" spans="1:20">
      <c r="A3169" s="101"/>
      <c r="B3169" s="101"/>
      <c r="C3169" s="101"/>
      <c r="D3169" s="101"/>
      <c r="E3169" s="101"/>
      <c r="F3169" s="102"/>
      <c r="G3169" s="101"/>
      <c r="H3169" s="102"/>
      <c r="I3169" s="101"/>
      <c r="J3169" s="101"/>
      <c r="K3169" s="103"/>
      <c r="L3169" s="103"/>
      <c r="M3169" s="103"/>
      <c r="N3169" s="103"/>
      <c r="O3169" s="103"/>
      <c r="P3169" s="98"/>
      <c r="Q3169" s="99"/>
      <c r="R3169" s="104">
        <f t="shared" si="154"/>
        <v>0</v>
      </c>
      <c r="S3169" s="104">
        <f t="shared" si="155"/>
        <v>0</v>
      </c>
      <c r="T3169" s="104">
        <f t="shared" si="156"/>
        <v>0</v>
      </c>
    </row>
    <row r="3170" spans="1:20">
      <c r="A3170" s="101"/>
      <c r="B3170" s="101"/>
      <c r="C3170" s="101"/>
      <c r="D3170" s="101"/>
      <c r="E3170" s="101"/>
      <c r="F3170" s="102"/>
      <c r="G3170" s="101"/>
      <c r="H3170" s="102"/>
      <c r="I3170" s="101"/>
      <c r="J3170" s="101"/>
      <c r="K3170" s="103"/>
      <c r="L3170" s="103"/>
      <c r="M3170" s="103"/>
      <c r="N3170" s="103"/>
      <c r="O3170" s="103"/>
      <c r="P3170" s="98"/>
      <c r="Q3170" s="99"/>
      <c r="R3170" s="104">
        <f t="shared" si="154"/>
        <v>0</v>
      </c>
      <c r="S3170" s="104">
        <f t="shared" si="155"/>
        <v>0</v>
      </c>
      <c r="T3170" s="104">
        <f t="shared" si="156"/>
        <v>0</v>
      </c>
    </row>
    <row r="3171" spans="1:20">
      <c r="A3171" s="101"/>
      <c r="B3171" s="101"/>
      <c r="C3171" s="101"/>
      <c r="D3171" s="101"/>
      <c r="E3171" s="101"/>
      <c r="F3171" s="102"/>
      <c r="G3171" s="101"/>
      <c r="H3171" s="102"/>
      <c r="I3171" s="101"/>
      <c r="J3171" s="101"/>
      <c r="K3171" s="103"/>
      <c r="L3171" s="103"/>
      <c r="M3171" s="103"/>
      <c r="N3171" s="103"/>
      <c r="O3171" s="103"/>
      <c r="P3171" s="98"/>
      <c r="Q3171" s="99"/>
      <c r="R3171" s="104">
        <f t="shared" si="154"/>
        <v>0</v>
      </c>
      <c r="S3171" s="104">
        <f t="shared" si="155"/>
        <v>0</v>
      </c>
      <c r="T3171" s="104">
        <f t="shared" si="156"/>
        <v>0</v>
      </c>
    </row>
    <row r="3172" spans="1:20">
      <c r="A3172" s="101"/>
      <c r="B3172" s="101"/>
      <c r="C3172" s="101"/>
      <c r="D3172" s="101"/>
      <c r="E3172" s="101"/>
      <c r="F3172" s="102"/>
      <c r="G3172" s="101"/>
      <c r="H3172" s="102"/>
      <c r="I3172" s="101"/>
      <c r="J3172" s="101"/>
      <c r="K3172" s="103"/>
      <c r="L3172" s="103"/>
      <c r="M3172" s="103"/>
      <c r="N3172" s="103"/>
      <c r="O3172" s="103"/>
      <c r="P3172" s="98"/>
      <c r="Q3172" s="99"/>
      <c r="R3172" s="104">
        <f t="shared" si="154"/>
        <v>0</v>
      </c>
      <c r="S3172" s="104">
        <f t="shared" si="155"/>
        <v>0</v>
      </c>
      <c r="T3172" s="104">
        <f t="shared" si="156"/>
        <v>0</v>
      </c>
    </row>
    <row r="3173" spans="1:20">
      <c r="A3173" s="101"/>
      <c r="B3173" s="101"/>
      <c r="C3173" s="101"/>
      <c r="D3173" s="101"/>
      <c r="E3173" s="101"/>
      <c r="F3173" s="102"/>
      <c r="G3173" s="101"/>
      <c r="H3173" s="102"/>
      <c r="I3173" s="101"/>
      <c r="J3173" s="101"/>
      <c r="K3173" s="103"/>
      <c r="L3173" s="103"/>
      <c r="M3173" s="103"/>
      <c r="N3173" s="103"/>
      <c r="O3173" s="103"/>
      <c r="P3173" s="98"/>
      <c r="Q3173" s="99"/>
      <c r="R3173" s="104">
        <f t="shared" si="154"/>
        <v>0</v>
      </c>
      <c r="S3173" s="104">
        <f t="shared" si="155"/>
        <v>0</v>
      </c>
      <c r="T3173" s="104">
        <f t="shared" si="156"/>
        <v>0</v>
      </c>
    </row>
    <row r="3174" spans="1:20">
      <c r="A3174" s="101"/>
      <c r="B3174" s="101"/>
      <c r="C3174" s="101"/>
      <c r="D3174" s="101"/>
      <c r="E3174" s="101"/>
      <c r="F3174" s="102"/>
      <c r="G3174" s="101"/>
      <c r="H3174" s="102"/>
      <c r="I3174" s="101"/>
      <c r="J3174" s="101"/>
      <c r="K3174" s="103"/>
      <c r="L3174" s="103"/>
      <c r="M3174" s="103"/>
      <c r="N3174" s="103"/>
      <c r="O3174" s="103"/>
      <c r="P3174" s="98"/>
      <c r="Q3174" s="99"/>
      <c r="R3174" s="104">
        <f t="shared" si="154"/>
        <v>0</v>
      </c>
      <c r="S3174" s="104">
        <f t="shared" si="155"/>
        <v>0</v>
      </c>
      <c r="T3174" s="104">
        <f t="shared" si="156"/>
        <v>0</v>
      </c>
    </row>
    <row r="3175" spans="1:20">
      <c r="A3175" s="101"/>
      <c r="B3175" s="101"/>
      <c r="C3175" s="101"/>
      <c r="D3175" s="101"/>
      <c r="E3175" s="101"/>
      <c r="F3175" s="102"/>
      <c r="G3175" s="101"/>
      <c r="H3175" s="102"/>
      <c r="I3175" s="101"/>
      <c r="J3175" s="101"/>
      <c r="K3175" s="103"/>
      <c r="L3175" s="103"/>
      <c r="M3175" s="103"/>
      <c r="N3175" s="103"/>
      <c r="O3175" s="103"/>
      <c r="P3175" s="98"/>
      <c r="Q3175" s="99"/>
      <c r="R3175" s="104">
        <f t="shared" si="154"/>
        <v>0</v>
      </c>
      <c r="S3175" s="104">
        <f t="shared" si="155"/>
        <v>0</v>
      </c>
      <c r="T3175" s="104">
        <f t="shared" si="156"/>
        <v>0</v>
      </c>
    </row>
    <row r="3176" spans="1:20">
      <c r="A3176" s="101"/>
      <c r="B3176" s="101"/>
      <c r="C3176" s="101"/>
      <c r="D3176" s="101"/>
      <c r="E3176" s="101"/>
      <c r="F3176" s="102"/>
      <c r="G3176" s="101"/>
      <c r="H3176" s="102"/>
      <c r="I3176" s="101"/>
      <c r="J3176" s="101"/>
      <c r="K3176" s="103"/>
      <c r="L3176" s="103"/>
      <c r="M3176" s="103"/>
      <c r="N3176" s="103"/>
      <c r="O3176" s="103"/>
      <c r="P3176" s="98"/>
      <c r="Q3176" s="99"/>
      <c r="R3176" s="104">
        <f t="shared" si="154"/>
        <v>0</v>
      </c>
      <c r="S3176" s="104">
        <f t="shared" si="155"/>
        <v>0</v>
      </c>
      <c r="T3176" s="104">
        <f t="shared" si="156"/>
        <v>0</v>
      </c>
    </row>
    <row r="3177" spans="1:20">
      <c r="A3177" s="101"/>
      <c r="B3177" s="101"/>
      <c r="C3177" s="101"/>
      <c r="D3177" s="101"/>
      <c r="E3177" s="101"/>
      <c r="F3177" s="102"/>
      <c r="G3177" s="101"/>
      <c r="H3177" s="102"/>
      <c r="I3177" s="101"/>
      <c r="J3177" s="101"/>
      <c r="K3177" s="103"/>
      <c r="L3177" s="103"/>
      <c r="M3177" s="103"/>
      <c r="N3177" s="103"/>
      <c r="O3177" s="103"/>
      <c r="P3177" s="98"/>
      <c r="Q3177" s="99"/>
      <c r="R3177" s="104">
        <f t="shared" si="154"/>
        <v>0</v>
      </c>
      <c r="S3177" s="104">
        <f t="shared" si="155"/>
        <v>0</v>
      </c>
      <c r="T3177" s="104">
        <f t="shared" si="156"/>
        <v>0</v>
      </c>
    </row>
    <row r="3178" spans="1:20">
      <c r="A3178" s="101"/>
      <c r="B3178" s="101"/>
      <c r="C3178" s="101"/>
      <c r="D3178" s="101"/>
      <c r="E3178" s="101"/>
      <c r="F3178" s="102"/>
      <c r="G3178" s="101"/>
      <c r="H3178" s="102"/>
      <c r="I3178" s="101"/>
      <c r="J3178" s="101"/>
      <c r="K3178" s="103"/>
      <c r="L3178" s="103"/>
      <c r="M3178" s="103"/>
      <c r="N3178" s="103"/>
      <c r="O3178" s="103"/>
      <c r="P3178" s="98"/>
      <c r="Q3178" s="99"/>
      <c r="R3178" s="104">
        <f t="shared" si="154"/>
        <v>0</v>
      </c>
      <c r="S3178" s="104">
        <f t="shared" si="155"/>
        <v>0</v>
      </c>
      <c r="T3178" s="104">
        <f t="shared" si="156"/>
        <v>0</v>
      </c>
    </row>
    <row r="3179" spans="1:20">
      <c r="A3179" s="101"/>
      <c r="B3179" s="101"/>
      <c r="C3179" s="101"/>
      <c r="D3179" s="101"/>
      <c r="E3179" s="101"/>
      <c r="F3179" s="102"/>
      <c r="G3179" s="101"/>
      <c r="H3179" s="102"/>
      <c r="I3179" s="101"/>
      <c r="J3179" s="101"/>
      <c r="K3179" s="103"/>
      <c r="L3179" s="103"/>
      <c r="M3179" s="103"/>
      <c r="N3179" s="103"/>
      <c r="O3179" s="103"/>
      <c r="P3179" s="98"/>
      <c r="Q3179" s="99"/>
      <c r="R3179" s="104">
        <f t="shared" si="154"/>
        <v>0</v>
      </c>
      <c r="S3179" s="104">
        <f t="shared" si="155"/>
        <v>0</v>
      </c>
      <c r="T3179" s="104">
        <f t="shared" si="156"/>
        <v>0</v>
      </c>
    </row>
    <row r="3180" spans="1:20">
      <c r="A3180" s="101"/>
      <c r="B3180" s="101"/>
      <c r="C3180" s="101"/>
      <c r="D3180" s="101"/>
      <c r="E3180" s="101"/>
      <c r="F3180" s="102"/>
      <c r="G3180" s="101"/>
      <c r="H3180" s="102"/>
      <c r="I3180" s="101"/>
      <c r="J3180" s="101"/>
      <c r="K3180" s="103"/>
      <c r="L3180" s="103"/>
      <c r="M3180" s="103"/>
      <c r="N3180" s="103"/>
      <c r="O3180" s="103"/>
      <c r="P3180" s="98"/>
      <c r="Q3180" s="99"/>
      <c r="R3180" s="104">
        <f t="shared" si="154"/>
        <v>0</v>
      </c>
      <c r="S3180" s="104">
        <f t="shared" si="155"/>
        <v>0</v>
      </c>
      <c r="T3180" s="104">
        <f t="shared" si="156"/>
        <v>0</v>
      </c>
    </row>
    <row r="3181" spans="1:20">
      <c r="A3181" s="101"/>
      <c r="B3181" s="101"/>
      <c r="C3181" s="101"/>
      <c r="D3181" s="101"/>
      <c r="E3181" s="101"/>
      <c r="F3181" s="102"/>
      <c r="G3181" s="101"/>
      <c r="H3181" s="102"/>
      <c r="I3181" s="101"/>
      <c r="J3181" s="101"/>
      <c r="K3181" s="103"/>
      <c r="L3181" s="103"/>
      <c r="M3181" s="103"/>
      <c r="N3181" s="103"/>
      <c r="O3181" s="103"/>
      <c r="P3181" s="98"/>
      <c r="Q3181" s="99"/>
      <c r="R3181" s="104">
        <f t="shared" si="154"/>
        <v>0</v>
      </c>
      <c r="S3181" s="104">
        <f t="shared" si="155"/>
        <v>0</v>
      </c>
      <c r="T3181" s="104">
        <f t="shared" si="156"/>
        <v>0</v>
      </c>
    </row>
    <row r="3182" spans="1:20">
      <c r="A3182" s="101"/>
      <c r="B3182" s="101"/>
      <c r="C3182" s="101"/>
      <c r="D3182" s="101"/>
      <c r="E3182" s="101"/>
      <c r="F3182" s="102"/>
      <c r="G3182" s="101"/>
      <c r="H3182" s="102"/>
      <c r="I3182" s="101"/>
      <c r="J3182" s="101"/>
      <c r="K3182" s="103"/>
      <c r="L3182" s="103"/>
      <c r="M3182" s="103"/>
      <c r="N3182" s="103"/>
      <c r="O3182" s="103"/>
      <c r="P3182" s="98"/>
      <c r="Q3182" s="99"/>
      <c r="R3182" s="104">
        <f t="shared" si="154"/>
        <v>0</v>
      </c>
      <c r="S3182" s="104">
        <f t="shared" si="155"/>
        <v>0</v>
      </c>
      <c r="T3182" s="104">
        <f t="shared" si="156"/>
        <v>0</v>
      </c>
    </row>
    <row r="3183" spans="1:20">
      <c r="A3183" s="101"/>
      <c r="B3183" s="101"/>
      <c r="C3183" s="101"/>
      <c r="D3183" s="101"/>
      <c r="E3183" s="101"/>
      <c r="F3183" s="102"/>
      <c r="G3183" s="101"/>
      <c r="H3183" s="102"/>
      <c r="I3183" s="101"/>
      <c r="J3183" s="101"/>
      <c r="K3183" s="103"/>
      <c r="L3183" s="103"/>
      <c r="M3183" s="103"/>
      <c r="N3183" s="103"/>
      <c r="O3183" s="103"/>
      <c r="P3183" s="98"/>
      <c r="Q3183" s="99"/>
      <c r="R3183" s="104">
        <f t="shared" si="154"/>
        <v>0</v>
      </c>
      <c r="S3183" s="104">
        <f t="shared" si="155"/>
        <v>0</v>
      </c>
      <c r="T3183" s="104">
        <f t="shared" si="156"/>
        <v>0</v>
      </c>
    </row>
    <row r="3184" spans="1:20">
      <c r="A3184" s="101"/>
      <c r="B3184" s="101"/>
      <c r="C3184" s="101"/>
      <c r="D3184" s="101"/>
      <c r="E3184" s="101"/>
      <c r="F3184" s="102"/>
      <c r="G3184" s="101"/>
      <c r="H3184" s="102"/>
      <c r="I3184" s="101"/>
      <c r="J3184" s="101"/>
      <c r="K3184" s="103"/>
      <c r="L3184" s="103"/>
      <c r="M3184" s="103"/>
      <c r="N3184" s="103"/>
      <c r="O3184" s="103"/>
      <c r="P3184" s="98"/>
      <c r="Q3184" s="99"/>
      <c r="R3184" s="104">
        <f t="shared" si="154"/>
        <v>0</v>
      </c>
      <c r="S3184" s="104">
        <f t="shared" si="155"/>
        <v>0</v>
      </c>
      <c r="T3184" s="104">
        <f t="shared" si="156"/>
        <v>0</v>
      </c>
    </row>
    <row r="3185" spans="1:20">
      <c r="A3185" s="101"/>
      <c r="B3185" s="101"/>
      <c r="C3185" s="101"/>
      <c r="D3185" s="101"/>
      <c r="E3185" s="101"/>
      <c r="F3185" s="102"/>
      <c r="G3185" s="101"/>
      <c r="H3185" s="102"/>
      <c r="I3185" s="101"/>
      <c r="J3185" s="101"/>
      <c r="K3185" s="103"/>
      <c r="L3185" s="103"/>
      <c r="M3185" s="103"/>
      <c r="N3185" s="103"/>
      <c r="O3185" s="103"/>
      <c r="P3185" s="98"/>
      <c r="Q3185" s="99"/>
      <c r="R3185" s="104">
        <f t="shared" si="154"/>
        <v>0</v>
      </c>
      <c r="S3185" s="104">
        <f t="shared" si="155"/>
        <v>0</v>
      </c>
      <c r="T3185" s="104">
        <f t="shared" si="156"/>
        <v>0</v>
      </c>
    </row>
    <row r="3186" spans="1:20">
      <c r="A3186" s="101"/>
      <c r="B3186" s="101"/>
      <c r="C3186" s="101"/>
      <c r="D3186" s="101"/>
      <c r="E3186" s="101"/>
      <c r="F3186" s="102"/>
      <c r="G3186" s="101"/>
      <c r="H3186" s="102"/>
      <c r="I3186" s="101"/>
      <c r="J3186" s="101"/>
      <c r="K3186" s="103"/>
      <c r="L3186" s="103"/>
      <c r="M3186" s="103"/>
      <c r="N3186" s="103"/>
      <c r="O3186" s="103"/>
      <c r="P3186" s="98"/>
      <c r="Q3186" s="99"/>
      <c r="R3186" s="104">
        <f t="shared" si="154"/>
        <v>0</v>
      </c>
      <c r="S3186" s="104">
        <f t="shared" si="155"/>
        <v>0</v>
      </c>
      <c r="T3186" s="104">
        <f t="shared" si="156"/>
        <v>0</v>
      </c>
    </row>
    <row r="3187" spans="1:20">
      <c r="A3187" s="101"/>
      <c r="B3187" s="101"/>
      <c r="C3187" s="101"/>
      <c r="D3187" s="101"/>
      <c r="E3187" s="101"/>
      <c r="F3187" s="102"/>
      <c r="G3187" s="101"/>
      <c r="H3187" s="102"/>
      <c r="I3187" s="101"/>
      <c r="J3187" s="101"/>
      <c r="K3187" s="103"/>
      <c r="L3187" s="103"/>
      <c r="M3187" s="103"/>
      <c r="N3187" s="103"/>
      <c r="O3187" s="103"/>
      <c r="P3187" s="98"/>
      <c r="Q3187" s="99"/>
      <c r="R3187" s="104">
        <f t="shared" si="154"/>
        <v>0</v>
      </c>
      <c r="S3187" s="104">
        <f t="shared" si="155"/>
        <v>0</v>
      </c>
      <c r="T3187" s="104">
        <f t="shared" si="156"/>
        <v>0</v>
      </c>
    </row>
    <row r="3188" spans="1:20">
      <c r="A3188" s="101"/>
      <c r="B3188" s="101"/>
      <c r="C3188" s="101"/>
      <c r="D3188" s="101"/>
      <c r="E3188" s="101"/>
      <c r="F3188" s="102"/>
      <c r="G3188" s="101"/>
      <c r="H3188" s="102"/>
      <c r="I3188" s="101"/>
      <c r="J3188" s="101"/>
      <c r="K3188" s="103"/>
      <c r="L3188" s="103"/>
      <c r="M3188" s="103"/>
      <c r="N3188" s="103"/>
      <c r="O3188" s="103"/>
      <c r="P3188" s="98"/>
      <c r="Q3188" s="99"/>
      <c r="R3188" s="104">
        <f t="shared" si="154"/>
        <v>0</v>
      </c>
      <c r="S3188" s="104">
        <f t="shared" si="155"/>
        <v>0</v>
      </c>
      <c r="T3188" s="104">
        <f t="shared" si="156"/>
        <v>0</v>
      </c>
    </row>
    <row r="3189" spans="1:20">
      <c r="A3189" s="101"/>
      <c r="B3189" s="101"/>
      <c r="C3189" s="101"/>
      <c r="D3189" s="101"/>
      <c r="E3189" s="101"/>
      <c r="F3189" s="102"/>
      <c r="G3189" s="101"/>
      <c r="H3189" s="102"/>
      <c r="I3189" s="101"/>
      <c r="J3189" s="101"/>
      <c r="K3189" s="103"/>
      <c r="L3189" s="103"/>
      <c r="M3189" s="103"/>
      <c r="N3189" s="103"/>
      <c r="O3189" s="103"/>
      <c r="P3189" s="98"/>
      <c r="Q3189" s="99"/>
      <c r="R3189" s="104">
        <f t="shared" si="154"/>
        <v>0</v>
      </c>
      <c r="S3189" s="104">
        <f t="shared" si="155"/>
        <v>0</v>
      </c>
      <c r="T3189" s="104">
        <f t="shared" si="156"/>
        <v>0</v>
      </c>
    </row>
    <row r="3190" spans="1:20">
      <c r="A3190" s="101"/>
      <c r="B3190" s="101"/>
      <c r="C3190" s="101"/>
      <c r="D3190" s="101"/>
      <c r="E3190" s="101"/>
      <c r="F3190" s="102"/>
      <c r="G3190" s="101"/>
      <c r="H3190" s="102"/>
      <c r="I3190" s="101"/>
      <c r="J3190" s="101"/>
      <c r="K3190" s="103"/>
      <c r="L3190" s="103"/>
      <c r="M3190" s="103"/>
      <c r="N3190" s="103"/>
      <c r="O3190" s="103"/>
      <c r="P3190" s="98"/>
      <c r="Q3190" s="99"/>
      <c r="R3190" s="104">
        <f t="shared" si="154"/>
        <v>0</v>
      </c>
      <c r="S3190" s="104">
        <f t="shared" si="155"/>
        <v>0</v>
      </c>
      <c r="T3190" s="104">
        <f t="shared" si="156"/>
        <v>0</v>
      </c>
    </row>
    <row r="3191" spans="1:20">
      <c r="A3191" s="101"/>
      <c r="B3191" s="101"/>
      <c r="C3191" s="101"/>
      <c r="D3191" s="101"/>
      <c r="E3191" s="101"/>
      <c r="F3191" s="102"/>
      <c r="G3191" s="101"/>
      <c r="H3191" s="102"/>
      <c r="I3191" s="101"/>
      <c r="J3191" s="101"/>
      <c r="K3191" s="103"/>
      <c r="L3191" s="103"/>
      <c r="M3191" s="103"/>
      <c r="N3191" s="103"/>
      <c r="O3191" s="103"/>
      <c r="P3191" s="98"/>
      <c r="Q3191" s="99"/>
      <c r="R3191" s="104">
        <f t="shared" si="154"/>
        <v>0</v>
      </c>
      <c r="S3191" s="104">
        <f t="shared" si="155"/>
        <v>0</v>
      </c>
      <c r="T3191" s="104">
        <f t="shared" si="156"/>
        <v>0</v>
      </c>
    </row>
    <row r="3192" spans="1:20">
      <c r="A3192" s="101"/>
      <c r="B3192" s="101"/>
      <c r="C3192" s="101"/>
      <c r="D3192" s="101"/>
      <c r="E3192" s="101"/>
      <c r="F3192" s="102"/>
      <c r="G3192" s="101"/>
      <c r="H3192" s="102"/>
      <c r="I3192" s="101"/>
      <c r="J3192" s="101"/>
      <c r="K3192" s="103"/>
      <c r="L3192" s="103"/>
      <c r="M3192" s="103"/>
      <c r="N3192" s="103"/>
      <c r="O3192" s="103"/>
      <c r="P3192" s="98"/>
      <c r="Q3192" s="99"/>
      <c r="R3192" s="104">
        <f t="shared" si="154"/>
        <v>0</v>
      </c>
      <c r="S3192" s="104">
        <f t="shared" si="155"/>
        <v>0</v>
      </c>
      <c r="T3192" s="104">
        <f t="shared" si="156"/>
        <v>0</v>
      </c>
    </row>
    <row r="3193" spans="1:20">
      <c r="A3193" s="101"/>
      <c r="B3193" s="101"/>
      <c r="C3193" s="101"/>
      <c r="D3193" s="101"/>
      <c r="E3193" s="101"/>
      <c r="F3193" s="102"/>
      <c r="G3193" s="101"/>
      <c r="H3193" s="102"/>
      <c r="I3193" s="101"/>
      <c r="J3193" s="101"/>
      <c r="K3193" s="103"/>
      <c r="L3193" s="103"/>
      <c r="M3193" s="103"/>
      <c r="N3193" s="103"/>
      <c r="O3193" s="103"/>
      <c r="P3193" s="98"/>
      <c r="Q3193" s="99"/>
      <c r="R3193" s="104">
        <f t="shared" si="154"/>
        <v>0</v>
      </c>
      <c r="S3193" s="104">
        <f t="shared" si="155"/>
        <v>0</v>
      </c>
      <c r="T3193" s="104">
        <f t="shared" si="156"/>
        <v>0</v>
      </c>
    </row>
    <row r="3194" spans="1:20">
      <c r="A3194" s="101"/>
      <c r="B3194" s="101"/>
      <c r="C3194" s="101"/>
      <c r="D3194" s="101"/>
      <c r="E3194" s="101"/>
      <c r="F3194" s="102"/>
      <c r="G3194" s="101"/>
      <c r="H3194" s="102"/>
      <c r="I3194" s="101"/>
      <c r="J3194" s="101"/>
      <c r="K3194" s="103"/>
      <c r="L3194" s="103"/>
      <c r="M3194" s="103"/>
      <c r="N3194" s="103"/>
      <c r="O3194" s="103"/>
      <c r="P3194" s="98"/>
      <c r="Q3194" s="99"/>
      <c r="R3194" s="104">
        <f t="shared" si="154"/>
        <v>0</v>
      </c>
      <c r="S3194" s="104">
        <f t="shared" si="155"/>
        <v>0</v>
      </c>
      <c r="T3194" s="104">
        <f t="shared" si="156"/>
        <v>0</v>
      </c>
    </row>
    <row r="3195" spans="1:20">
      <c r="A3195" s="101"/>
      <c r="B3195" s="101"/>
      <c r="C3195" s="101"/>
      <c r="D3195" s="101"/>
      <c r="E3195" s="101"/>
      <c r="F3195" s="102"/>
      <c r="G3195" s="101"/>
      <c r="H3195" s="102"/>
      <c r="I3195" s="101"/>
      <c r="J3195" s="101"/>
      <c r="K3195" s="103"/>
      <c r="L3195" s="103"/>
      <c r="M3195" s="103"/>
      <c r="N3195" s="103"/>
      <c r="O3195" s="103"/>
      <c r="P3195" s="98"/>
      <c r="Q3195" s="99"/>
      <c r="R3195" s="104">
        <f t="shared" si="154"/>
        <v>0</v>
      </c>
      <c r="S3195" s="104">
        <f t="shared" si="155"/>
        <v>0</v>
      </c>
      <c r="T3195" s="104">
        <f t="shared" si="156"/>
        <v>0</v>
      </c>
    </row>
    <row r="3196" spans="1:20">
      <c r="A3196" s="101"/>
      <c r="B3196" s="101"/>
      <c r="C3196" s="101"/>
      <c r="D3196" s="101"/>
      <c r="E3196" s="101"/>
      <c r="F3196" s="102"/>
      <c r="G3196" s="101"/>
      <c r="H3196" s="102"/>
      <c r="I3196" s="101"/>
      <c r="J3196" s="101"/>
      <c r="K3196" s="103"/>
      <c r="L3196" s="103"/>
      <c r="M3196" s="103"/>
      <c r="N3196" s="103"/>
      <c r="O3196" s="103"/>
      <c r="P3196" s="98"/>
      <c r="Q3196" s="99"/>
      <c r="R3196" s="104">
        <f t="shared" si="154"/>
        <v>0</v>
      </c>
      <c r="S3196" s="104">
        <f t="shared" si="155"/>
        <v>0</v>
      </c>
      <c r="T3196" s="104">
        <f t="shared" si="156"/>
        <v>0</v>
      </c>
    </row>
    <row r="3197" spans="1:20">
      <c r="A3197" s="101"/>
      <c r="B3197" s="101"/>
      <c r="C3197" s="101"/>
      <c r="D3197" s="101"/>
      <c r="E3197" s="101"/>
      <c r="F3197" s="102"/>
      <c r="G3197" s="101"/>
      <c r="H3197" s="102"/>
      <c r="I3197" s="101"/>
      <c r="J3197" s="101"/>
      <c r="K3197" s="103"/>
      <c r="L3197" s="103"/>
      <c r="M3197" s="103"/>
      <c r="N3197" s="103"/>
      <c r="O3197" s="103"/>
      <c r="P3197" s="98"/>
      <c r="Q3197" s="99"/>
      <c r="R3197" s="104">
        <f t="shared" si="154"/>
        <v>0</v>
      </c>
      <c r="S3197" s="104">
        <f t="shared" si="155"/>
        <v>0</v>
      </c>
      <c r="T3197" s="104">
        <f t="shared" si="156"/>
        <v>0</v>
      </c>
    </row>
    <row r="3198" spans="1:20">
      <c r="A3198" s="101"/>
      <c r="B3198" s="101"/>
      <c r="C3198" s="101"/>
      <c r="D3198" s="101"/>
      <c r="E3198" s="101"/>
      <c r="F3198" s="102"/>
      <c r="G3198" s="101"/>
      <c r="H3198" s="102"/>
      <c r="I3198" s="101"/>
      <c r="J3198" s="101"/>
      <c r="K3198" s="103"/>
      <c r="L3198" s="103"/>
      <c r="M3198" s="103"/>
      <c r="N3198" s="103"/>
      <c r="O3198" s="103"/>
      <c r="P3198" s="98"/>
      <c r="Q3198" s="99"/>
      <c r="R3198" s="104">
        <f t="shared" si="154"/>
        <v>0</v>
      </c>
      <c r="S3198" s="104">
        <f t="shared" si="155"/>
        <v>0</v>
      </c>
      <c r="T3198" s="104">
        <f t="shared" si="156"/>
        <v>0</v>
      </c>
    </row>
    <row r="3199" spans="1:20">
      <c r="A3199" s="101"/>
      <c r="B3199" s="101"/>
      <c r="C3199" s="101"/>
      <c r="D3199" s="101"/>
      <c r="E3199" s="101"/>
      <c r="F3199" s="102"/>
      <c r="G3199" s="101"/>
      <c r="H3199" s="102"/>
      <c r="I3199" s="101"/>
      <c r="J3199" s="101"/>
      <c r="K3199" s="103"/>
      <c r="L3199" s="103"/>
      <c r="M3199" s="103"/>
      <c r="N3199" s="103"/>
      <c r="O3199" s="103"/>
      <c r="P3199" s="98"/>
      <c r="Q3199" s="99"/>
      <c r="R3199" s="104">
        <f t="shared" si="154"/>
        <v>0</v>
      </c>
      <c r="S3199" s="104">
        <f t="shared" si="155"/>
        <v>0</v>
      </c>
      <c r="T3199" s="104">
        <f t="shared" si="156"/>
        <v>0</v>
      </c>
    </row>
    <row r="3200" spans="1:20">
      <c r="A3200" s="101"/>
      <c r="B3200" s="101"/>
      <c r="C3200" s="101"/>
      <c r="D3200" s="101"/>
      <c r="E3200" s="101"/>
      <c r="F3200" s="102"/>
      <c r="G3200" s="101"/>
      <c r="H3200" s="102"/>
      <c r="I3200" s="101"/>
      <c r="J3200" s="101"/>
      <c r="K3200" s="103"/>
      <c r="L3200" s="103"/>
      <c r="M3200" s="103"/>
      <c r="N3200" s="103"/>
      <c r="O3200" s="103"/>
      <c r="P3200" s="98"/>
      <c r="Q3200" s="99"/>
      <c r="R3200" s="104">
        <f t="shared" si="154"/>
        <v>0</v>
      </c>
      <c r="S3200" s="104">
        <f t="shared" si="155"/>
        <v>0</v>
      </c>
      <c r="T3200" s="104">
        <f t="shared" si="156"/>
        <v>0</v>
      </c>
    </row>
    <row r="3201" spans="1:20">
      <c r="A3201" s="101"/>
      <c r="B3201" s="101"/>
      <c r="C3201" s="101"/>
      <c r="D3201" s="101"/>
      <c r="E3201" s="101"/>
      <c r="F3201" s="102"/>
      <c r="G3201" s="101"/>
      <c r="H3201" s="102"/>
      <c r="I3201" s="101"/>
      <c r="J3201" s="101"/>
      <c r="K3201" s="103"/>
      <c r="L3201" s="103"/>
      <c r="M3201" s="103"/>
      <c r="N3201" s="103"/>
      <c r="O3201" s="103"/>
      <c r="P3201" s="98"/>
      <c r="Q3201" s="99"/>
      <c r="R3201" s="104">
        <f t="shared" si="154"/>
        <v>0</v>
      </c>
      <c r="S3201" s="104">
        <f t="shared" si="155"/>
        <v>0</v>
      </c>
      <c r="T3201" s="104">
        <f t="shared" si="156"/>
        <v>0</v>
      </c>
    </row>
    <row r="3202" spans="1:20">
      <c r="A3202" s="101"/>
      <c r="B3202" s="101"/>
      <c r="C3202" s="101"/>
      <c r="D3202" s="101"/>
      <c r="E3202" s="101"/>
      <c r="F3202" s="102"/>
      <c r="G3202" s="101"/>
      <c r="H3202" s="102"/>
      <c r="I3202" s="101"/>
      <c r="J3202" s="101"/>
      <c r="K3202" s="103"/>
      <c r="L3202" s="103"/>
      <c r="M3202" s="103"/>
      <c r="N3202" s="103"/>
      <c r="O3202" s="103"/>
      <c r="P3202" s="98"/>
      <c r="Q3202" s="99"/>
      <c r="R3202" s="104">
        <f t="shared" si="154"/>
        <v>0</v>
      </c>
      <c r="S3202" s="104">
        <f t="shared" si="155"/>
        <v>0</v>
      </c>
      <c r="T3202" s="104">
        <f t="shared" si="156"/>
        <v>0</v>
      </c>
    </row>
    <row r="3203" spans="1:20">
      <c r="A3203" s="101"/>
      <c r="B3203" s="101"/>
      <c r="C3203" s="101"/>
      <c r="D3203" s="101"/>
      <c r="E3203" s="101"/>
      <c r="F3203" s="102"/>
      <c r="G3203" s="101"/>
      <c r="H3203" s="102"/>
      <c r="I3203" s="101"/>
      <c r="J3203" s="101"/>
      <c r="K3203" s="103"/>
      <c r="L3203" s="103"/>
      <c r="M3203" s="103"/>
      <c r="N3203" s="103"/>
      <c r="O3203" s="103"/>
      <c r="P3203" s="98"/>
      <c r="Q3203" s="99"/>
      <c r="R3203" s="104">
        <f t="shared" si="154"/>
        <v>0</v>
      </c>
      <c r="S3203" s="104">
        <f t="shared" si="155"/>
        <v>0</v>
      </c>
      <c r="T3203" s="104">
        <f t="shared" si="156"/>
        <v>0</v>
      </c>
    </row>
    <row r="3204" spans="1:20">
      <c r="A3204" s="101"/>
      <c r="B3204" s="101"/>
      <c r="C3204" s="101"/>
      <c r="D3204" s="101"/>
      <c r="E3204" s="101"/>
      <c r="F3204" s="102"/>
      <c r="G3204" s="101"/>
      <c r="H3204" s="102"/>
      <c r="I3204" s="101"/>
      <c r="J3204" s="101"/>
      <c r="K3204" s="103"/>
      <c r="L3204" s="103"/>
      <c r="M3204" s="103"/>
      <c r="N3204" s="103"/>
      <c r="O3204" s="103"/>
      <c r="P3204" s="98"/>
      <c r="Q3204" s="99"/>
      <c r="R3204" s="104">
        <f t="shared" si="154"/>
        <v>0</v>
      </c>
      <c r="S3204" s="104">
        <f t="shared" si="155"/>
        <v>0</v>
      </c>
      <c r="T3204" s="104">
        <f t="shared" si="156"/>
        <v>0</v>
      </c>
    </row>
    <row r="3205" spans="1:20">
      <c r="A3205" s="101"/>
      <c r="B3205" s="101"/>
      <c r="C3205" s="101"/>
      <c r="D3205" s="101"/>
      <c r="E3205" s="101"/>
      <c r="F3205" s="102"/>
      <c r="G3205" s="101"/>
      <c r="H3205" s="102"/>
      <c r="I3205" s="101"/>
      <c r="J3205" s="101"/>
      <c r="K3205" s="103"/>
      <c r="L3205" s="103"/>
      <c r="M3205" s="103"/>
      <c r="N3205" s="103"/>
      <c r="O3205" s="103"/>
      <c r="P3205" s="98"/>
      <c r="Q3205" s="99"/>
      <c r="R3205" s="104">
        <f t="shared" si="154"/>
        <v>0</v>
      </c>
      <c r="S3205" s="104">
        <f t="shared" si="155"/>
        <v>0</v>
      </c>
      <c r="T3205" s="104">
        <f t="shared" si="156"/>
        <v>0</v>
      </c>
    </row>
    <row r="3206" spans="1:20">
      <c r="A3206" s="101"/>
      <c r="B3206" s="101"/>
      <c r="C3206" s="101"/>
      <c r="D3206" s="101"/>
      <c r="E3206" s="101"/>
      <c r="F3206" s="102"/>
      <c r="G3206" s="101"/>
      <c r="H3206" s="102"/>
      <c r="I3206" s="101"/>
      <c r="J3206" s="101"/>
      <c r="K3206" s="103"/>
      <c r="L3206" s="103"/>
      <c r="M3206" s="103"/>
      <c r="N3206" s="103"/>
      <c r="O3206" s="103"/>
      <c r="P3206" s="98"/>
      <c r="Q3206" s="99"/>
      <c r="R3206" s="104">
        <f t="shared" si="154"/>
        <v>0</v>
      </c>
      <c r="S3206" s="104">
        <f t="shared" si="155"/>
        <v>0</v>
      </c>
      <c r="T3206" s="104">
        <f t="shared" si="156"/>
        <v>0</v>
      </c>
    </row>
    <row r="3207" spans="1:20">
      <c r="A3207" s="101"/>
      <c r="B3207" s="101"/>
      <c r="C3207" s="101"/>
      <c r="D3207" s="101"/>
      <c r="E3207" s="101"/>
      <c r="F3207" s="102"/>
      <c r="G3207" s="101"/>
      <c r="H3207" s="102"/>
      <c r="I3207" s="101"/>
      <c r="J3207" s="101"/>
      <c r="K3207" s="103"/>
      <c r="L3207" s="103"/>
      <c r="M3207" s="103"/>
      <c r="N3207" s="103"/>
      <c r="O3207" s="103"/>
      <c r="P3207" s="98"/>
      <c r="Q3207" s="99"/>
      <c r="R3207" s="104">
        <f t="shared" si="154"/>
        <v>0</v>
      </c>
      <c r="S3207" s="104">
        <f t="shared" si="155"/>
        <v>0</v>
      </c>
      <c r="T3207" s="104">
        <f t="shared" si="156"/>
        <v>0</v>
      </c>
    </row>
    <row r="3208" spans="1:20">
      <c r="A3208" s="101"/>
      <c r="B3208" s="101"/>
      <c r="C3208" s="101"/>
      <c r="D3208" s="101"/>
      <c r="E3208" s="101"/>
      <c r="F3208" s="102"/>
      <c r="G3208" s="101"/>
      <c r="H3208" s="102"/>
      <c r="I3208" s="101"/>
      <c r="J3208" s="101"/>
      <c r="K3208" s="103"/>
      <c r="L3208" s="103"/>
      <c r="M3208" s="103"/>
      <c r="N3208" s="103"/>
      <c r="O3208" s="103"/>
      <c r="P3208" s="98"/>
      <c r="Q3208" s="99"/>
      <c r="R3208" s="104">
        <f t="shared" si="154"/>
        <v>0</v>
      </c>
      <c r="S3208" s="104">
        <f t="shared" si="155"/>
        <v>0</v>
      </c>
      <c r="T3208" s="104">
        <f t="shared" si="156"/>
        <v>0</v>
      </c>
    </row>
    <row r="3209" spans="1:20">
      <c r="A3209" s="101"/>
      <c r="B3209" s="101"/>
      <c r="C3209" s="101"/>
      <c r="D3209" s="101"/>
      <c r="E3209" s="101"/>
      <c r="F3209" s="102"/>
      <c r="G3209" s="101"/>
      <c r="H3209" s="102"/>
      <c r="I3209" s="101"/>
      <c r="J3209" s="101"/>
      <c r="K3209" s="103"/>
      <c r="L3209" s="103"/>
      <c r="M3209" s="103"/>
      <c r="N3209" s="103"/>
      <c r="O3209" s="103"/>
      <c r="P3209" s="98"/>
      <c r="Q3209" s="99"/>
      <c r="R3209" s="104">
        <f t="shared" si="154"/>
        <v>0</v>
      </c>
      <c r="S3209" s="104">
        <f t="shared" si="155"/>
        <v>0</v>
      </c>
      <c r="T3209" s="104">
        <f t="shared" si="156"/>
        <v>0</v>
      </c>
    </row>
    <row r="3210" spans="1:20">
      <c r="A3210" s="101"/>
      <c r="B3210" s="101"/>
      <c r="C3210" s="101"/>
      <c r="D3210" s="101"/>
      <c r="E3210" s="101"/>
      <c r="F3210" s="102"/>
      <c r="G3210" s="101"/>
      <c r="H3210" s="102"/>
      <c r="I3210" s="101"/>
      <c r="J3210" s="101"/>
      <c r="K3210" s="103"/>
      <c r="L3210" s="103"/>
      <c r="M3210" s="103"/>
      <c r="N3210" s="103"/>
      <c r="O3210" s="103"/>
      <c r="P3210" s="98"/>
      <c r="Q3210" s="99"/>
      <c r="R3210" s="104">
        <f t="shared" ref="R3210:R3273" si="157">IF(P3210="Cargo",K3210+L3210-M3210-N3210+O3210,0)</f>
        <v>0</v>
      </c>
      <c r="S3210" s="104">
        <f t="shared" ref="S3210:S3273" si="158">IF(P3210="Abono",K3210+L3210+M3210-N3210-O3210,0)</f>
        <v>0</v>
      </c>
      <c r="T3210" s="104">
        <f t="shared" ref="T3210:T3273" si="159">IF(Q3210="OK",+T3209+R3210-S3210,T3209)</f>
        <v>0</v>
      </c>
    </row>
    <row r="3211" spans="1:20">
      <c r="A3211" s="101"/>
      <c r="B3211" s="101"/>
      <c r="C3211" s="101"/>
      <c r="D3211" s="101"/>
      <c r="E3211" s="101"/>
      <c r="F3211" s="102"/>
      <c r="G3211" s="101"/>
      <c r="H3211" s="102"/>
      <c r="I3211" s="101"/>
      <c r="J3211" s="101"/>
      <c r="K3211" s="103"/>
      <c r="L3211" s="103"/>
      <c r="M3211" s="103"/>
      <c r="N3211" s="103"/>
      <c r="O3211" s="103"/>
      <c r="P3211" s="98"/>
      <c r="Q3211" s="99"/>
      <c r="R3211" s="104">
        <f t="shared" si="157"/>
        <v>0</v>
      </c>
      <c r="S3211" s="104">
        <f t="shared" si="158"/>
        <v>0</v>
      </c>
      <c r="T3211" s="104">
        <f t="shared" si="159"/>
        <v>0</v>
      </c>
    </row>
    <row r="3212" spans="1:20">
      <c r="A3212" s="101"/>
      <c r="B3212" s="101"/>
      <c r="C3212" s="101"/>
      <c r="D3212" s="101"/>
      <c r="E3212" s="101"/>
      <c r="F3212" s="102"/>
      <c r="G3212" s="101"/>
      <c r="H3212" s="102"/>
      <c r="I3212" s="101"/>
      <c r="J3212" s="101"/>
      <c r="K3212" s="103"/>
      <c r="L3212" s="103"/>
      <c r="M3212" s="103"/>
      <c r="N3212" s="103"/>
      <c r="O3212" s="103"/>
      <c r="P3212" s="98"/>
      <c r="Q3212" s="99"/>
      <c r="R3212" s="104">
        <f t="shared" si="157"/>
        <v>0</v>
      </c>
      <c r="S3212" s="104">
        <f t="shared" si="158"/>
        <v>0</v>
      </c>
      <c r="T3212" s="104">
        <f t="shared" si="159"/>
        <v>0</v>
      </c>
    </row>
    <row r="3213" spans="1:20">
      <c r="A3213" s="101"/>
      <c r="B3213" s="101"/>
      <c r="C3213" s="101"/>
      <c r="D3213" s="101"/>
      <c r="E3213" s="101"/>
      <c r="F3213" s="102"/>
      <c r="G3213" s="101"/>
      <c r="H3213" s="102"/>
      <c r="I3213" s="101"/>
      <c r="J3213" s="101"/>
      <c r="K3213" s="103"/>
      <c r="L3213" s="103"/>
      <c r="M3213" s="103"/>
      <c r="N3213" s="103"/>
      <c r="O3213" s="103"/>
      <c r="P3213" s="98"/>
      <c r="Q3213" s="99"/>
      <c r="R3213" s="104">
        <f t="shared" si="157"/>
        <v>0</v>
      </c>
      <c r="S3213" s="104">
        <f t="shared" si="158"/>
        <v>0</v>
      </c>
      <c r="T3213" s="104">
        <f t="shared" si="159"/>
        <v>0</v>
      </c>
    </row>
    <row r="3214" spans="1:20">
      <c r="A3214" s="101"/>
      <c r="B3214" s="101"/>
      <c r="C3214" s="101"/>
      <c r="D3214" s="101"/>
      <c r="E3214" s="101"/>
      <c r="F3214" s="102"/>
      <c r="G3214" s="101"/>
      <c r="H3214" s="102"/>
      <c r="I3214" s="101"/>
      <c r="J3214" s="101"/>
      <c r="K3214" s="103"/>
      <c r="L3214" s="103"/>
      <c r="M3214" s="103"/>
      <c r="N3214" s="103"/>
      <c r="O3214" s="103"/>
      <c r="P3214" s="98"/>
      <c r="Q3214" s="99"/>
      <c r="R3214" s="104">
        <f t="shared" si="157"/>
        <v>0</v>
      </c>
      <c r="S3214" s="104">
        <f t="shared" si="158"/>
        <v>0</v>
      </c>
      <c r="T3214" s="104">
        <f t="shared" si="159"/>
        <v>0</v>
      </c>
    </row>
    <row r="3215" spans="1:20">
      <c r="A3215" s="101"/>
      <c r="B3215" s="101"/>
      <c r="C3215" s="101"/>
      <c r="D3215" s="101"/>
      <c r="E3215" s="101"/>
      <c r="F3215" s="102"/>
      <c r="G3215" s="101"/>
      <c r="H3215" s="102"/>
      <c r="I3215" s="101"/>
      <c r="J3215" s="101"/>
      <c r="K3215" s="103"/>
      <c r="L3215" s="103"/>
      <c r="M3215" s="103"/>
      <c r="N3215" s="103"/>
      <c r="O3215" s="103"/>
      <c r="P3215" s="98"/>
      <c r="Q3215" s="99"/>
      <c r="R3215" s="104">
        <f t="shared" si="157"/>
        <v>0</v>
      </c>
      <c r="S3215" s="104">
        <f t="shared" si="158"/>
        <v>0</v>
      </c>
      <c r="T3215" s="104">
        <f t="shared" si="159"/>
        <v>0</v>
      </c>
    </row>
    <row r="3216" spans="1:20">
      <c r="A3216" s="101"/>
      <c r="B3216" s="101"/>
      <c r="C3216" s="101"/>
      <c r="D3216" s="101"/>
      <c r="E3216" s="101"/>
      <c r="F3216" s="102"/>
      <c r="G3216" s="101"/>
      <c r="H3216" s="102"/>
      <c r="I3216" s="101"/>
      <c r="J3216" s="101"/>
      <c r="K3216" s="103"/>
      <c r="L3216" s="103"/>
      <c r="M3216" s="103"/>
      <c r="N3216" s="103"/>
      <c r="O3216" s="103"/>
      <c r="P3216" s="98"/>
      <c r="Q3216" s="99"/>
      <c r="R3216" s="104">
        <f t="shared" si="157"/>
        <v>0</v>
      </c>
      <c r="S3216" s="104">
        <f t="shared" si="158"/>
        <v>0</v>
      </c>
      <c r="T3216" s="104">
        <f t="shared" si="159"/>
        <v>0</v>
      </c>
    </row>
    <row r="3217" spans="1:20">
      <c r="A3217" s="101"/>
      <c r="B3217" s="101"/>
      <c r="C3217" s="101"/>
      <c r="D3217" s="101"/>
      <c r="E3217" s="101"/>
      <c r="F3217" s="102"/>
      <c r="G3217" s="101"/>
      <c r="H3217" s="102"/>
      <c r="I3217" s="101"/>
      <c r="J3217" s="101"/>
      <c r="K3217" s="103"/>
      <c r="L3217" s="103"/>
      <c r="M3217" s="103"/>
      <c r="N3217" s="103"/>
      <c r="O3217" s="103"/>
      <c r="P3217" s="98"/>
      <c r="Q3217" s="99"/>
      <c r="R3217" s="104">
        <f t="shared" si="157"/>
        <v>0</v>
      </c>
      <c r="S3217" s="104">
        <f t="shared" si="158"/>
        <v>0</v>
      </c>
      <c r="T3217" s="104">
        <f t="shared" si="159"/>
        <v>0</v>
      </c>
    </row>
    <row r="3218" spans="1:20">
      <c r="A3218" s="101"/>
      <c r="B3218" s="101"/>
      <c r="C3218" s="101"/>
      <c r="D3218" s="101"/>
      <c r="E3218" s="101"/>
      <c r="F3218" s="102"/>
      <c r="G3218" s="101"/>
      <c r="H3218" s="102"/>
      <c r="I3218" s="101"/>
      <c r="J3218" s="101"/>
      <c r="K3218" s="103"/>
      <c r="L3218" s="103"/>
      <c r="M3218" s="103"/>
      <c r="N3218" s="103"/>
      <c r="O3218" s="103"/>
      <c r="P3218" s="98"/>
      <c r="Q3218" s="99"/>
      <c r="R3218" s="104">
        <f t="shared" si="157"/>
        <v>0</v>
      </c>
      <c r="S3218" s="104">
        <f t="shared" si="158"/>
        <v>0</v>
      </c>
      <c r="T3218" s="104">
        <f t="shared" si="159"/>
        <v>0</v>
      </c>
    </row>
    <row r="3219" spans="1:20">
      <c r="A3219" s="101"/>
      <c r="B3219" s="101"/>
      <c r="C3219" s="101"/>
      <c r="D3219" s="101"/>
      <c r="E3219" s="101"/>
      <c r="F3219" s="102"/>
      <c r="G3219" s="101"/>
      <c r="H3219" s="102"/>
      <c r="I3219" s="101"/>
      <c r="J3219" s="101"/>
      <c r="K3219" s="103"/>
      <c r="L3219" s="103"/>
      <c r="M3219" s="103"/>
      <c r="N3219" s="103"/>
      <c r="O3219" s="103"/>
      <c r="P3219" s="98"/>
      <c r="Q3219" s="99"/>
      <c r="R3219" s="104">
        <f t="shared" si="157"/>
        <v>0</v>
      </c>
      <c r="S3219" s="104">
        <f t="shared" si="158"/>
        <v>0</v>
      </c>
      <c r="T3219" s="104">
        <f t="shared" si="159"/>
        <v>0</v>
      </c>
    </row>
    <row r="3220" spans="1:20">
      <c r="A3220" s="101"/>
      <c r="B3220" s="101"/>
      <c r="C3220" s="101"/>
      <c r="D3220" s="101"/>
      <c r="E3220" s="101"/>
      <c r="F3220" s="102"/>
      <c r="G3220" s="101"/>
      <c r="H3220" s="102"/>
      <c r="I3220" s="101"/>
      <c r="J3220" s="101"/>
      <c r="K3220" s="103"/>
      <c r="L3220" s="103"/>
      <c r="M3220" s="103"/>
      <c r="N3220" s="103"/>
      <c r="O3220" s="103"/>
      <c r="P3220" s="98"/>
      <c r="Q3220" s="99"/>
      <c r="R3220" s="104">
        <f t="shared" si="157"/>
        <v>0</v>
      </c>
      <c r="S3220" s="104">
        <f t="shared" si="158"/>
        <v>0</v>
      </c>
      <c r="T3220" s="104">
        <f t="shared" si="159"/>
        <v>0</v>
      </c>
    </row>
    <row r="3221" spans="1:20">
      <c r="A3221" s="101"/>
      <c r="B3221" s="101"/>
      <c r="C3221" s="101"/>
      <c r="D3221" s="101"/>
      <c r="E3221" s="101"/>
      <c r="F3221" s="102"/>
      <c r="G3221" s="101"/>
      <c r="H3221" s="102"/>
      <c r="I3221" s="101"/>
      <c r="J3221" s="101"/>
      <c r="K3221" s="103"/>
      <c r="L3221" s="103"/>
      <c r="M3221" s="103"/>
      <c r="N3221" s="103"/>
      <c r="O3221" s="103"/>
      <c r="P3221" s="98"/>
      <c r="Q3221" s="99"/>
      <c r="R3221" s="104">
        <f t="shared" si="157"/>
        <v>0</v>
      </c>
      <c r="S3221" s="104">
        <f t="shared" si="158"/>
        <v>0</v>
      </c>
      <c r="T3221" s="104">
        <f t="shared" si="159"/>
        <v>0</v>
      </c>
    </row>
    <row r="3222" spans="1:20">
      <c r="A3222" s="101"/>
      <c r="B3222" s="101"/>
      <c r="C3222" s="101"/>
      <c r="D3222" s="101"/>
      <c r="E3222" s="101"/>
      <c r="F3222" s="102"/>
      <c r="G3222" s="101"/>
      <c r="H3222" s="102"/>
      <c r="I3222" s="101"/>
      <c r="J3222" s="101"/>
      <c r="K3222" s="103"/>
      <c r="L3222" s="103"/>
      <c r="M3222" s="103"/>
      <c r="N3222" s="103"/>
      <c r="O3222" s="103"/>
      <c r="P3222" s="98"/>
      <c r="Q3222" s="99"/>
      <c r="R3222" s="104">
        <f t="shared" si="157"/>
        <v>0</v>
      </c>
      <c r="S3222" s="104">
        <f t="shared" si="158"/>
        <v>0</v>
      </c>
      <c r="T3222" s="104">
        <f t="shared" si="159"/>
        <v>0</v>
      </c>
    </row>
    <row r="3223" spans="1:20">
      <c r="A3223" s="101"/>
      <c r="B3223" s="101"/>
      <c r="C3223" s="101"/>
      <c r="D3223" s="101"/>
      <c r="E3223" s="101"/>
      <c r="F3223" s="102"/>
      <c r="G3223" s="101"/>
      <c r="H3223" s="102"/>
      <c r="I3223" s="101"/>
      <c r="J3223" s="101"/>
      <c r="K3223" s="103"/>
      <c r="L3223" s="103"/>
      <c r="M3223" s="103"/>
      <c r="N3223" s="103"/>
      <c r="O3223" s="103"/>
      <c r="P3223" s="98"/>
      <c r="Q3223" s="99"/>
      <c r="R3223" s="104">
        <f t="shared" si="157"/>
        <v>0</v>
      </c>
      <c r="S3223" s="104">
        <f t="shared" si="158"/>
        <v>0</v>
      </c>
      <c r="T3223" s="104">
        <f t="shared" si="159"/>
        <v>0</v>
      </c>
    </row>
    <row r="3224" spans="1:20">
      <c r="A3224" s="101"/>
      <c r="B3224" s="101"/>
      <c r="C3224" s="101"/>
      <c r="D3224" s="101"/>
      <c r="E3224" s="101"/>
      <c r="F3224" s="102"/>
      <c r="G3224" s="101"/>
      <c r="H3224" s="102"/>
      <c r="I3224" s="101"/>
      <c r="J3224" s="101"/>
      <c r="K3224" s="103"/>
      <c r="L3224" s="103"/>
      <c r="M3224" s="103"/>
      <c r="N3224" s="103"/>
      <c r="O3224" s="103"/>
      <c r="P3224" s="98"/>
      <c r="Q3224" s="99"/>
      <c r="R3224" s="104">
        <f t="shared" si="157"/>
        <v>0</v>
      </c>
      <c r="S3224" s="104">
        <f t="shared" si="158"/>
        <v>0</v>
      </c>
      <c r="T3224" s="104">
        <f t="shared" si="159"/>
        <v>0</v>
      </c>
    </row>
    <row r="3225" spans="1:20">
      <c r="A3225" s="101"/>
      <c r="B3225" s="101"/>
      <c r="C3225" s="101"/>
      <c r="D3225" s="101"/>
      <c r="E3225" s="101"/>
      <c r="F3225" s="102"/>
      <c r="G3225" s="101"/>
      <c r="H3225" s="102"/>
      <c r="I3225" s="101"/>
      <c r="J3225" s="101"/>
      <c r="K3225" s="103"/>
      <c r="L3225" s="103"/>
      <c r="M3225" s="103"/>
      <c r="N3225" s="103"/>
      <c r="O3225" s="103"/>
      <c r="P3225" s="98"/>
      <c r="Q3225" s="99"/>
      <c r="R3225" s="104">
        <f t="shared" si="157"/>
        <v>0</v>
      </c>
      <c r="S3225" s="104">
        <f t="shared" si="158"/>
        <v>0</v>
      </c>
      <c r="T3225" s="104">
        <f t="shared" si="159"/>
        <v>0</v>
      </c>
    </row>
    <row r="3226" spans="1:20">
      <c r="A3226" s="101"/>
      <c r="B3226" s="101"/>
      <c r="C3226" s="101"/>
      <c r="D3226" s="101"/>
      <c r="E3226" s="101"/>
      <c r="F3226" s="102"/>
      <c r="G3226" s="101"/>
      <c r="H3226" s="102"/>
      <c r="I3226" s="101"/>
      <c r="J3226" s="101"/>
      <c r="K3226" s="103"/>
      <c r="L3226" s="103"/>
      <c r="M3226" s="103"/>
      <c r="N3226" s="103"/>
      <c r="O3226" s="103"/>
      <c r="P3226" s="98"/>
      <c r="Q3226" s="99"/>
      <c r="R3226" s="104">
        <f t="shared" si="157"/>
        <v>0</v>
      </c>
      <c r="S3226" s="104">
        <f t="shared" si="158"/>
        <v>0</v>
      </c>
      <c r="T3226" s="104">
        <f t="shared" si="159"/>
        <v>0</v>
      </c>
    </row>
    <row r="3227" spans="1:20">
      <c r="A3227" s="101"/>
      <c r="B3227" s="101"/>
      <c r="C3227" s="101"/>
      <c r="D3227" s="101"/>
      <c r="E3227" s="101"/>
      <c r="F3227" s="102"/>
      <c r="G3227" s="101"/>
      <c r="H3227" s="102"/>
      <c r="I3227" s="101"/>
      <c r="J3227" s="101"/>
      <c r="K3227" s="103"/>
      <c r="L3227" s="103"/>
      <c r="M3227" s="103"/>
      <c r="N3227" s="103"/>
      <c r="O3227" s="103"/>
      <c r="P3227" s="98"/>
      <c r="Q3227" s="99"/>
      <c r="R3227" s="104">
        <f t="shared" si="157"/>
        <v>0</v>
      </c>
      <c r="S3227" s="104">
        <f t="shared" si="158"/>
        <v>0</v>
      </c>
      <c r="T3227" s="104">
        <f t="shared" si="159"/>
        <v>0</v>
      </c>
    </row>
    <row r="3228" spans="1:20">
      <c r="A3228" s="101"/>
      <c r="B3228" s="101"/>
      <c r="C3228" s="101"/>
      <c r="D3228" s="101"/>
      <c r="E3228" s="101"/>
      <c r="F3228" s="102"/>
      <c r="G3228" s="101"/>
      <c r="H3228" s="102"/>
      <c r="I3228" s="101"/>
      <c r="J3228" s="101"/>
      <c r="K3228" s="103"/>
      <c r="L3228" s="103"/>
      <c r="M3228" s="103"/>
      <c r="N3228" s="103"/>
      <c r="O3228" s="103"/>
      <c r="P3228" s="98"/>
      <c r="Q3228" s="99"/>
      <c r="R3228" s="104">
        <f t="shared" si="157"/>
        <v>0</v>
      </c>
      <c r="S3228" s="104">
        <f t="shared" si="158"/>
        <v>0</v>
      </c>
      <c r="T3228" s="104">
        <f t="shared" si="159"/>
        <v>0</v>
      </c>
    </row>
    <row r="3229" spans="1:20">
      <c r="A3229" s="101"/>
      <c r="B3229" s="101"/>
      <c r="C3229" s="101"/>
      <c r="D3229" s="101"/>
      <c r="E3229" s="101"/>
      <c r="F3229" s="102"/>
      <c r="G3229" s="101"/>
      <c r="H3229" s="102"/>
      <c r="I3229" s="101"/>
      <c r="J3229" s="101"/>
      <c r="K3229" s="103"/>
      <c r="L3229" s="103"/>
      <c r="M3229" s="103"/>
      <c r="N3229" s="103"/>
      <c r="O3229" s="103"/>
      <c r="P3229" s="98"/>
      <c r="Q3229" s="99"/>
      <c r="R3229" s="104">
        <f t="shared" si="157"/>
        <v>0</v>
      </c>
      <c r="S3229" s="104">
        <f t="shared" si="158"/>
        <v>0</v>
      </c>
      <c r="T3229" s="104">
        <f t="shared" si="159"/>
        <v>0</v>
      </c>
    </row>
    <row r="3230" spans="1:20">
      <c r="A3230" s="101"/>
      <c r="B3230" s="101"/>
      <c r="C3230" s="101"/>
      <c r="D3230" s="101"/>
      <c r="E3230" s="101"/>
      <c r="F3230" s="102"/>
      <c r="G3230" s="101"/>
      <c r="H3230" s="102"/>
      <c r="I3230" s="101"/>
      <c r="J3230" s="101"/>
      <c r="K3230" s="103"/>
      <c r="L3230" s="103"/>
      <c r="M3230" s="103"/>
      <c r="N3230" s="103"/>
      <c r="O3230" s="103"/>
      <c r="P3230" s="98"/>
      <c r="Q3230" s="99"/>
      <c r="R3230" s="104">
        <f t="shared" si="157"/>
        <v>0</v>
      </c>
      <c r="S3230" s="104">
        <f t="shared" si="158"/>
        <v>0</v>
      </c>
      <c r="T3230" s="104">
        <f t="shared" si="159"/>
        <v>0</v>
      </c>
    </row>
    <row r="3231" spans="1:20">
      <c r="A3231" s="101"/>
      <c r="B3231" s="101"/>
      <c r="C3231" s="101"/>
      <c r="D3231" s="101"/>
      <c r="E3231" s="101"/>
      <c r="F3231" s="102"/>
      <c r="G3231" s="101"/>
      <c r="H3231" s="102"/>
      <c r="I3231" s="101"/>
      <c r="J3231" s="101"/>
      <c r="K3231" s="103"/>
      <c r="L3231" s="103"/>
      <c r="M3231" s="103"/>
      <c r="N3231" s="103"/>
      <c r="O3231" s="103"/>
      <c r="P3231" s="98"/>
      <c r="Q3231" s="99"/>
      <c r="R3231" s="104">
        <f t="shared" si="157"/>
        <v>0</v>
      </c>
      <c r="S3231" s="104">
        <f t="shared" si="158"/>
        <v>0</v>
      </c>
      <c r="T3231" s="104">
        <f t="shared" si="159"/>
        <v>0</v>
      </c>
    </row>
    <row r="3232" spans="1:20">
      <c r="A3232" s="101"/>
      <c r="B3232" s="101"/>
      <c r="C3232" s="101"/>
      <c r="D3232" s="101"/>
      <c r="E3232" s="101"/>
      <c r="F3232" s="102"/>
      <c r="G3232" s="101"/>
      <c r="H3232" s="102"/>
      <c r="I3232" s="101"/>
      <c r="J3232" s="101"/>
      <c r="K3232" s="103"/>
      <c r="L3232" s="103"/>
      <c r="M3232" s="103"/>
      <c r="N3232" s="103"/>
      <c r="O3232" s="103"/>
      <c r="P3232" s="98"/>
      <c r="Q3232" s="99"/>
      <c r="R3232" s="104">
        <f t="shared" si="157"/>
        <v>0</v>
      </c>
      <c r="S3232" s="104">
        <f t="shared" si="158"/>
        <v>0</v>
      </c>
      <c r="T3232" s="104">
        <f t="shared" si="159"/>
        <v>0</v>
      </c>
    </row>
    <row r="3233" spans="1:20">
      <c r="A3233" s="101"/>
      <c r="B3233" s="101"/>
      <c r="C3233" s="101"/>
      <c r="D3233" s="101"/>
      <c r="E3233" s="101"/>
      <c r="F3233" s="102"/>
      <c r="G3233" s="101"/>
      <c r="H3233" s="102"/>
      <c r="I3233" s="101"/>
      <c r="J3233" s="101"/>
      <c r="K3233" s="103"/>
      <c r="L3233" s="103"/>
      <c r="M3233" s="103"/>
      <c r="N3233" s="103"/>
      <c r="O3233" s="103"/>
      <c r="P3233" s="98"/>
      <c r="Q3233" s="99"/>
      <c r="R3233" s="104">
        <f t="shared" si="157"/>
        <v>0</v>
      </c>
      <c r="S3233" s="104">
        <f t="shared" si="158"/>
        <v>0</v>
      </c>
      <c r="T3233" s="104">
        <f t="shared" si="159"/>
        <v>0</v>
      </c>
    </row>
    <row r="3234" spans="1:20">
      <c r="A3234" s="101"/>
      <c r="B3234" s="101"/>
      <c r="C3234" s="101"/>
      <c r="D3234" s="101"/>
      <c r="E3234" s="101"/>
      <c r="F3234" s="102"/>
      <c r="G3234" s="101"/>
      <c r="H3234" s="102"/>
      <c r="I3234" s="101"/>
      <c r="J3234" s="101"/>
      <c r="K3234" s="103"/>
      <c r="L3234" s="103"/>
      <c r="M3234" s="103"/>
      <c r="N3234" s="103"/>
      <c r="O3234" s="103"/>
      <c r="P3234" s="98"/>
      <c r="Q3234" s="99"/>
      <c r="R3234" s="104">
        <f t="shared" si="157"/>
        <v>0</v>
      </c>
      <c r="S3234" s="104">
        <f t="shared" si="158"/>
        <v>0</v>
      </c>
      <c r="T3234" s="104">
        <f t="shared" si="159"/>
        <v>0</v>
      </c>
    </row>
    <row r="3235" spans="1:20">
      <c r="A3235" s="101"/>
      <c r="B3235" s="101"/>
      <c r="C3235" s="101"/>
      <c r="D3235" s="101"/>
      <c r="E3235" s="101"/>
      <c r="F3235" s="102"/>
      <c r="G3235" s="101"/>
      <c r="H3235" s="102"/>
      <c r="I3235" s="101"/>
      <c r="J3235" s="101"/>
      <c r="K3235" s="103"/>
      <c r="L3235" s="103"/>
      <c r="M3235" s="103"/>
      <c r="N3235" s="103"/>
      <c r="O3235" s="103"/>
      <c r="P3235" s="98"/>
      <c r="Q3235" s="99"/>
      <c r="R3235" s="104">
        <f t="shared" si="157"/>
        <v>0</v>
      </c>
      <c r="S3235" s="104">
        <f t="shared" si="158"/>
        <v>0</v>
      </c>
      <c r="T3235" s="104">
        <f t="shared" si="159"/>
        <v>0</v>
      </c>
    </row>
    <row r="3236" spans="1:20">
      <c r="A3236" s="101"/>
      <c r="B3236" s="101"/>
      <c r="C3236" s="101"/>
      <c r="D3236" s="101"/>
      <c r="E3236" s="101"/>
      <c r="F3236" s="102"/>
      <c r="G3236" s="101"/>
      <c r="H3236" s="102"/>
      <c r="I3236" s="101"/>
      <c r="J3236" s="101"/>
      <c r="K3236" s="103"/>
      <c r="L3236" s="103"/>
      <c r="M3236" s="103"/>
      <c r="N3236" s="103"/>
      <c r="O3236" s="103"/>
      <c r="P3236" s="98"/>
      <c r="Q3236" s="99"/>
      <c r="R3236" s="104">
        <f t="shared" si="157"/>
        <v>0</v>
      </c>
      <c r="S3236" s="104">
        <f t="shared" si="158"/>
        <v>0</v>
      </c>
      <c r="T3236" s="104">
        <f t="shared" si="159"/>
        <v>0</v>
      </c>
    </row>
    <row r="3237" spans="1:20">
      <c r="A3237" s="101"/>
      <c r="B3237" s="101"/>
      <c r="C3237" s="101"/>
      <c r="D3237" s="101"/>
      <c r="E3237" s="101"/>
      <c r="F3237" s="102"/>
      <c r="G3237" s="101"/>
      <c r="H3237" s="102"/>
      <c r="I3237" s="101"/>
      <c r="J3237" s="101"/>
      <c r="K3237" s="103"/>
      <c r="L3237" s="103"/>
      <c r="M3237" s="103"/>
      <c r="N3237" s="103"/>
      <c r="O3237" s="103"/>
      <c r="P3237" s="98"/>
      <c r="Q3237" s="99"/>
      <c r="R3237" s="104">
        <f t="shared" si="157"/>
        <v>0</v>
      </c>
      <c r="S3237" s="104">
        <f t="shared" si="158"/>
        <v>0</v>
      </c>
      <c r="T3237" s="104">
        <f t="shared" si="159"/>
        <v>0</v>
      </c>
    </row>
    <row r="3238" spans="1:20">
      <c r="A3238" s="101"/>
      <c r="B3238" s="101"/>
      <c r="C3238" s="101"/>
      <c r="D3238" s="101"/>
      <c r="E3238" s="101"/>
      <c r="F3238" s="102"/>
      <c r="G3238" s="101"/>
      <c r="H3238" s="102"/>
      <c r="I3238" s="101"/>
      <c r="J3238" s="101"/>
      <c r="K3238" s="103"/>
      <c r="L3238" s="103"/>
      <c r="M3238" s="103"/>
      <c r="N3238" s="103"/>
      <c r="O3238" s="103"/>
      <c r="P3238" s="98"/>
      <c r="Q3238" s="99"/>
      <c r="R3238" s="104">
        <f t="shared" si="157"/>
        <v>0</v>
      </c>
      <c r="S3238" s="104">
        <f t="shared" si="158"/>
        <v>0</v>
      </c>
      <c r="T3238" s="104">
        <f t="shared" si="159"/>
        <v>0</v>
      </c>
    </row>
    <row r="3239" spans="1:20">
      <c r="A3239" s="101"/>
      <c r="B3239" s="101"/>
      <c r="C3239" s="101"/>
      <c r="D3239" s="101"/>
      <c r="E3239" s="101"/>
      <c r="F3239" s="102"/>
      <c r="G3239" s="101"/>
      <c r="H3239" s="102"/>
      <c r="I3239" s="101"/>
      <c r="J3239" s="101"/>
      <c r="K3239" s="103"/>
      <c r="L3239" s="103"/>
      <c r="M3239" s="103"/>
      <c r="N3239" s="103"/>
      <c r="O3239" s="103"/>
      <c r="P3239" s="98"/>
      <c r="Q3239" s="99"/>
      <c r="R3239" s="104">
        <f t="shared" si="157"/>
        <v>0</v>
      </c>
      <c r="S3239" s="104">
        <f t="shared" si="158"/>
        <v>0</v>
      </c>
      <c r="T3239" s="104">
        <f t="shared" si="159"/>
        <v>0</v>
      </c>
    </row>
    <row r="3240" spans="1:20">
      <c r="A3240" s="101"/>
      <c r="B3240" s="101"/>
      <c r="C3240" s="101"/>
      <c r="D3240" s="101"/>
      <c r="E3240" s="101"/>
      <c r="F3240" s="102"/>
      <c r="G3240" s="101"/>
      <c r="H3240" s="102"/>
      <c r="I3240" s="101"/>
      <c r="J3240" s="101"/>
      <c r="K3240" s="103"/>
      <c r="L3240" s="103"/>
      <c r="M3240" s="103"/>
      <c r="N3240" s="103"/>
      <c r="O3240" s="103"/>
      <c r="P3240" s="98"/>
      <c r="Q3240" s="99"/>
      <c r="R3240" s="104">
        <f t="shared" si="157"/>
        <v>0</v>
      </c>
      <c r="S3240" s="104">
        <f t="shared" si="158"/>
        <v>0</v>
      </c>
      <c r="T3240" s="104">
        <f t="shared" si="159"/>
        <v>0</v>
      </c>
    </row>
    <row r="3241" spans="1:20">
      <c r="A3241" s="101"/>
      <c r="B3241" s="101"/>
      <c r="C3241" s="101"/>
      <c r="D3241" s="101"/>
      <c r="E3241" s="101"/>
      <c r="F3241" s="102"/>
      <c r="G3241" s="101"/>
      <c r="H3241" s="102"/>
      <c r="I3241" s="101"/>
      <c r="J3241" s="101"/>
      <c r="K3241" s="103"/>
      <c r="L3241" s="103"/>
      <c r="M3241" s="103"/>
      <c r="N3241" s="103"/>
      <c r="O3241" s="103"/>
      <c r="P3241" s="98"/>
      <c r="Q3241" s="99"/>
      <c r="R3241" s="104">
        <f t="shared" si="157"/>
        <v>0</v>
      </c>
      <c r="S3241" s="104">
        <f t="shared" si="158"/>
        <v>0</v>
      </c>
      <c r="T3241" s="104">
        <f t="shared" si="159"/>
        <v>0</v>
      </c>
    </row>
    <row r="3242" spans="1:20">
      <c r="A3242" s="101"/>
      <c r="B3242" s="101"/>
      <c r="C3242" s="101"/>
      <c r="D3242" s="101"/>
      <c r="E3242" s="101"/>
      <c r="F3242" s="102"/>
      <c r="G3242" s="101"/>
      <c r="H3242" s="102"/>
      <c r="I3242" s="101"/>
      <c r="J3242" s="101"/>
      <c r="K3242" s="103"/>
      <c r="L3242" s="103"/>
      <c r="M3242" s="103"/>
      <c r="N3242" s="103"/>
      <c r="O3242" s="103"/>
      <c r="P3242" s="98"/>
      <c r="Q3242" s="99"/>
      <c r="R3242" s="104">
        <f t="shared" si="157"/>
        <v>0</v>
      </c>
      <c r="S3242" s="104">
        <f t="shared" si="158"/>
        <v>0</v>
      </c>
      <c r="T3242" s="104">
        <f t="shared" si="159"/>
        <v>0</v>
      </c>
    </row>
    <row r="3243" spans="1:20">
      <c r="A3243" s="101"/>
      <c r="B3243" s="101"/>
      <c r="C3243" s="101"/>
      <c r="D3243" s="101"/>
      <c r="E3243" s="101"/>
      <c r="F3243" s="102"/>
      <c r="G3243" s="101"/>
      <c r="H3243" s="102"/>
      <c r="I3243" s="101"/>
      <c r="J3243" s="101"/>
      <c r="K3243" s="103"/>
      <c r="L3243" s="103"/>
      <c r="M3243" s="103"/>
      <c r="N3243" s="103"/>
      <c r="O3243" s="103"/>
      <c r="P3243" s="98"/>
      <c r="Q3243" s="99"/>
      <c r="R3243" s="104">
        <f t="shared" si="157"/>
        <v>0</v>
      </c>
      <c r="S3243" s="104">
        <f t="shared" si="158"/>
        <v>0</v>
      </c>
      <c r="T3243" s="104">
        <f t="shared" si="159"/>
        <v>0</v>
      </c>
    </row>
    <row r="3244" spans="1:20">
      <c r="A3244" s="101"/>
      <c r="B3244" s="101"/>
      <c r="C3244" s="101"/>
      <c r="D3244" s="101"/>
      <c r="E3244" s="101"/>
      <c r="F3244" s="102"/>
      <c r="G3244" s="101"/>
      <c r="H3244" s="102"/>
      <c r="I3244" s="101"/>
      <c r="J3244" s="101"/>
      <c r="K3244" s="103"/>
      <c r="L3244" s="103"/>
      <c r="M3244" s="103"/>
      <c r="N3244" s="103"/>
      <c r="O3244" s="103"/>
      <c r="P3244" s="98"/>
      <c r="Q3244" s="99"/>
      <c r="R3244" s="104">
        <f t="shared" si="157"/>
        <v>0</v>
      </c>
      <c r="S3244" s="104">
        <f t="shared" si="158"/>
        <v>0</v>
      </c>
      <c r="T3244" s="104">
        <f t="shared" si="159"/>
        <v>0</v>
      </c>
    </row>
    <row r="3245" spans="1:20">
      <c r="A3245" s="101"/>
      <c r="B3245" s="101"/>
      <c r="C3245" s="101"/>
      <c r="D3245" s="101"/>
      <c r="E3245" s="101"/>
      <c r="F3245" s="102"/>
      <c r="G3245" s="101"/>
      <c r="H3245" s="102"/>
      <c r="I3245" s="101"/>
      <c r="J3245" s="101"/>
      <c r="K3245" s="103"/>
      <c r="L3245" s="103"/>
      <c r="M3245" s="103"/>
      <c r="N3245" s="103"/>
      <c r="O3245" s="103"/>
      <c r="P3245" s="98"/>
      <c r="Q3245" s="99"/>
      <c r="R3245" s="104">
        <f t="shared" si="157"/>
        <v>0</v>
      </c>
      <c r="S3245" s="104">
        <f t="shared" si="158"/>
        <v>0</v>
      </c>
      <c r="T3245" s="104">
        <f t="shared" si="159"/>
        <v>0</v>
      </c>
    </row>
    <row r="3246" spans="1:20">
      <c r="A3246" s="101"/>
      <c r="B3246" s="101"/>
      <c r="C3246" s="101"/>
      <c r="D3246" s="101"/>
      <c r="E3246" s="101"/>
      <c r="F3246" s="102"/>
      <c r="G3246" s="101"/>
      <c r="H3246" s="102"/>
      <c r="I3246" s="101"/>
      <c r="J3246" s="101"/>
      <c r="K3246" s="103"/>
      <c r="L3246" s="103"/>
      <c r="M3246" s="103"/>
      <c r="N3246" s="103"/>
      <c r="O3246" s="103"/>
      <c r="P3246" s="98"/>
      <c r="Q3246" s="99"/>
      <c r="R3246" s="104">
        <f t="shared" si="157"/>
        <v>0</v>
      </c>
      <c r="S3246" s="104">
        <f t="shared" si="158"/>
        <v>0</v>
      </c>
      <c r="T3246" s="104">
        <f t="shared" si="159"/>
        <v>0</v>
      </c>
    </row>
    <row r="3247" spans="1:20">
      <c r="A3247" s="101"/>
      <c r="B3247" s="101"/>
      <c r="C3247" s="101"/>
      <c r="D3247" s="101"/>
      <c r="E3247" s="101"/>
      <c r="F3247" s="102"/>
      <c r="G3247" s="101"/>
      <c r="H3247" s="102"/>
      <c r="I3247" s="101"/>
      <c r="J3247" s="101"/>
      <c r="K3247" s="103"/>
      <c r="L3247" s="103"/>
      <c r="M3247" s="103"/>
      <c r="N3247" s="103"/>
      <c r="O3247" s="103"/>
      <c r="P3247" s="98"/>
      <c r="Q3247" s="99"/>
      <c r="R3247" s="104">
        <f t="shared" si="157"/>
        <v>0</v>
      </c>
      <c r="S3247" s="104">
        <f t="shared" si="158"/>
        <v>0</v>
      </c>
      <c r="T3247" s="104">
        <f t="shared" si="159"/>
        <v>0</v>
      </c>
    </row>
    <row r="3248" spans="1:20">
      <c r="A3248" s="101"/>
      <c r="B3248" s="101"/>
      <c r="C3248" s="101"/>
      <c r="D3248" s="101"/>
      <c r="E3248" s="101"/>
      <c r="F3248" s="102"/>
      <c r="G3248" s="101"/>
      <c r="H3248" s="102"/>
      <c r="I3248" s="101"/>
      <c r="J3248" s="101"/>
      <c r="K3248" s="103"/>
      <c r="L3248" s="103"/>
      <c r="M3248" s="103"/>
      <c r="N3248" s="103"/>
      <c r="O3248" s="103"/>
      <c r="P3248" s="98"/>
      <c r="Q3248" s="99"/>
      <c r="R3248" s="104">
        <f t="shared" si="157"/>
        <v>0</v>
      </c>
      <c r="S3248" s="104">
        <f t="shared" si="158"/>
        <v>0</v>
      </c>
      <c r="T3248" s="104">
        <f t="shared" si="159"/>
        <v>0</v>
      </c>
    </row>
    <row r="3249" spans="1:20">
      <c r="A3249" s="101"/>
      <c r="B3249" s="101"/>
      <c r="C3249" s="101"/>
      <c r="D3249" s="101"/>
      <c r="E3249" s="101"/>
      <c r="F3249" s="102"/>
      <c r="G3249" s="101"/>
      <c r="H3249" s="102"/>
      <c r="I3249" s="101"/>
      <c r="J3249" s="101"/>
      <c r="K3249" s="103"/>
      <c r="L3249" s="103"/>
      <c r="M3249" s="103"/>
      <c r="N3249" s="103"/>
      <c r="O3249" s="103"/>
      <c r="P3249" s="98"/>
      <c r="Q3249" s="99"/>
      <c r="R3249" s="104">
        <f t="shared" si="157"/>
        <v>0</v>
      </c>
      <c r="S3249" s="104">
        <f t="shared" si="158"/>
        <v>0</v>
      </c>
      <c r="T3249" s="104">
        <f t="shared" si="159"/>
        <v>0</v>
      </c>
    </row>
    <row r="3250" spans="1:20">
      <c r="A3250" s="101"/>
      <c r="B3250" s="101"/>
      <c r="C3250" s="101"/>
      <c r="D3250" s="101"/>
      <c r="E3250" s="101"/>
      <c r="F3250" s="102"/>
      <c r="G3250" s="101"/>
      <c r="H3250" s="102"/>
      <c r="I3250" s="101"/>
      <c r="J3250" s="101"/>
      <c r="K3250" s="103"/>
      <c r="L3250" s="103"/>
      <c r="M3250" s="103"/>
      <c r="N3250" s="103"/>
      <c r="O3250" s="103"/>
      <c r="P3250" s="98"/>
      <c r="Q3250" s="99"/>
      <c r="R3250" s="104">
        <f t="shared" si="157"/>
        <v>0</v>
      </c>
      <c r="S3250" s="104">
        <f t="shared" si="158"/>
        <v>0</v>
      </c>
      <c r="T3250" s="104">
        <f t="shared" si="159"/>
        <v>0</v>
      </c>
    </row>
    <row r="3251" spans="1:20">
      <c r="A3251" s="101"/>
      <c r="B3251" s="101"/>
      <c r="C3251" s="101"/>
      <c r="D3251" s="101"/>
      <c r="E3251" s="101"/>
      <c r="F3251" s="102"/>
      <c r="G3251" s="101"/>
      <c r="H3251" s="102"/>
      <c r="I3251" s="101"/>
      <c r="J3251" s="101"/>
      <c r="K3251" s="103"/>
      <c r="L3251" s="103"/>
      <c r="M3251" s="103"/>
      <c r="N3251" s="103"/>
      <c r="O3251" s="103"/>
      <c r="P3251" s="98"/>
      <c r="Q3251" s="99"/>
      <c r="R3251" s="104">
        <f t="shared" si="157"/>
        <v>0</v>
      </c>
      <c r="S3251" s="104">
        <f t="shared" si="158"/>
        <v>0</v>
      </c>
      <c r="T3251" s="104">
        <f t="shared" si="159"/>
        <v>0</v>
      </c>
    </row>
    <row r="3252" spans="1:20">
      <c r="A3252" s="101"/>
      <c r="B3252" s="101"/>
      <c r="C3252" s="101"/>
      <c r="D3252" s="101"/>
      <c r="E3252" s="101"/>
      <c r="F3252" s="102"/>
      <c r="G3252" s="101"/>
      <c r="H3252" s="102"/>
      <c r="I3252" s="101"/>
      <c r="J3252" s="101"/>
      <c r="K3252" s="103"/>
      <c r="L3252" s="103"/>
      <c r="M3252" s="103"/>
      <c r="N3252" s="103"/>
      <c r="O3252" s="103"/>
      <c r="P3252" s="98"/>
      <c r="Q3252" s="99"/>
      <c r="R3252" s="104">
        <f t="shared" si="157"/>
        <v>0</v>
      </c>
      <c r="S3252" s="104">
        <f t="shared" si="158"/>
        <v>0</v>
      </c>
      <c r="T3252" s="104">
        <f t="shared" si="159"/>
        <v>0</v>
      </c>
    </row>
    <row r="3253" spans="1:20">
      <c r="A3253" s="101"/>
      <c r="B3253" s="101"/>
      <c r="C3253" s="101"/>
      <c r="D3253" s="101"/>
      <c r="E3253" s="101"/>
      <c r="F3253" s="102"/>
      <c r="G3253" s="101"/>
      <c r="H3253" s="102"/>
      <c r="I3253" s="101"/>
      <c r="J3253" s="101"/>
      <c r="K3253" s="103"/>
      <c r="L3253" s="103"/>
      <c r="M3253" s="103"/>
      <c r="N3253" s="103"/>
      <c r="O3253" s="103"/>
      <c r="P3253" s="98"/>
      <c r="Q3253" s="99"/>
      <c r="R3253" s="104">
        <f t="shared" si="157"/>
        <v>0</v>
      </c>
      <c r="S3253" s="104">
        <f t="shared" si="158"/>
        <v>0</v>
      </c>
      <c r="T3253" s="104">
        <f t="shared" si="159"/>
        <v>0</v>
      </c>
    </row>
    <row r="3254" spans="1:20">
      <c r="A3254" s="101"/>
      <c r="B3254" s="101"/>
      <c r="C3254" s="101"/>
      <c r="D3254" s="101"/>
      <c r="E3254" s="101"/>
      <c r="F3254" s="102"/>
      <c r="G3254" s="101"/>
      <c r="H3254" s="102"/>
      <c r="I3254" s="101"/>
      <c r="J3254" s="101"/>
      <c r="K3254" s="103"/>
      <c r="L3254" s="103"/>
      <c r="M3254" s="103"/>
      <c r="N3254" s="103"/>
      <c r="O3254" s="103"/>
      <c r="P3254" s="98"/>
      <c r="Q3254" s="99"/>
      <c r="R3254" s="104">
        <f t="shared" si="157"/>
        <v>0</v>
      </c>
      <c r="S3254" s="104">
        <f t="shared" si="158"/>
        <v>0</v>
      </c>
      <c r="T3254" s="104">
        <f t="shared" si="159"/>
        <v>0</v>
      </c>
    </row>
    <row r="3255" spans="1:20">
      <c r="A3255" s="101"/>
      <c r="B3255" s="101"/>
      <c r="C3255" s="101"/>
      <c r="D3255" s="101"/>
      <c r="E3255" s="101"/>
      <c r="F3255" s="102"/>
      <c r="G3255" s="101"/>
      <c r="H3255" s="102"/>
      <c r="I3255" s="101"/>
      <c r="J3255" s="101"/>
      <c r="K3255" s="103"/>
      <c r="L3255" s="103"/>
      <c r="M3255" s="103"/>
      <c r="N3255" s="103"/>
      <c r="O3255" s="103"/>
      <c r="P3255" s="98"/>
      <c r="Q3255" s="99"/>
      <c r="R3255" s="104">
        <f t="shared" si="157"/>
        <v>0</v>
      </c>
      <c r="S3255" s="104">
        <f t="shared" si="158"/>
        <v>0</v>
      </c>
      <c r="T3255" s="104">
        <f t="shared" si="159"/>
        <v>0</v>
      </c>
    </row>
    <row r="3256" spans="1:20">
      <c r="A3256" s="101"/>
      <c r="B3256" s="101"/>
      <c r="C3256" s="101"/>
      <c r="D3256" s="101"/>
      <c r="E3256" s="101"/>
      <c r="F3256" s="102"/>
      <c r="G3256" s="101"/>
      <c r="H3256" s="102"/>
      <c r="I3256" s="101"/>
      <c r="J3256" s="101"/>
      <c r="K3256" s="103"/>
      <c r="L3256" s="103"/>
      <c r="M3256" s="103"/>
      <c r="N3256" s="103"/>
      <c r="O3256" s="103"/>
      <c r="P3256" s="98"/>
      <c r="Q3256" s="99"/>
      <c r="R3256" s="104">
        <f t="shared" si="157"/>
        <v>0</v>
      </c>
      <c r="S3256" s="104">
        <f t="shared" si="158"/>
        <v>0</v>
      </c>
      <c r="T3256" s="104">
        <f t="shared" si="159"/>
        <v>0</v>
      </c>
    </row>
    <row r="3257" spans="1:20">
      <c r="A3257" s="101"/>
      <c r="B3257" s="101"/>
      <c r="C3257" s="101"/>
      <c r="D3257" s="101"/>
      <c r="E3257" s="101"/>
      <c r="F3257" s="102"/>
      <c r="G3257" s="101"/>
      <c r="H3257" s="102"/>
      <c r="I3257" s="101"/>
      <c r="J3257" s="101"/>
      <c r="K3257" s="103"/>
      <c r="L3257" s="103"/>
      <c r="M3257" s="103"/>
      <c r="N3257" s="103"/>
      <c r="O3257" s="103"/>
      <c r="P3257" s="98"/>
      <c r="Q3257" s="99"/>
      <c r="R3257" s="104">
        <f t="shared" si="157"/>
        <v>0</v>
      </c>
      <c r="S3257" s="104">
        <f t="shared" si="158"/>
        <v>0</v>
      </c>
      <c r="T3257" s="104">
        <f t="shared" si="159"/>
        <v>0</v>
      </c>
    </row>
    <row r="3258" spans="1:20">
      <c r="A3258" s="101"/>
      <c r="B3258" s="101"/>
      <c r="C3258" s="101"/>
      <c r="D3258" s="101"/>
      <c r="E3258" s="101"/>
      <c r="F3258" s="102"/>
      <c r="G3258" s="101"/>
      <c r="H3258" s="102"/>
      <c r="I3258" s="101"/>
      <c r="J3258" s="101"/>
      <c r="K3258" s="103"/>
      <c r="L3258" s="103"/>
      <c r="M3258" s="103"/>
      <c r="N3258" s="103"/>
      <c r="O3258" s="103"/>
      <c r="P3258" s="98"/>
      <c r="Q3258" s="99"/>
      <c r="R3258" s="104">
        <f t="shared" si="157"/>
        <v>0</v>
      </c>
      <c r="S3258" s="104">
        <f t="shared" si="158"/>
        <v>0</v>
      </c>
      <c r="T3258" s="104">
        <f t="shared" si="159"/>
        <v>0</v>
      </c>
    </row>
    <row r="3259" spans="1:20">
      <c r="A3259" s="101"/>
      <c r="B3259" s="101"/>
      <c r="C3259" s="101"/>
      <c r="D3259" s="101"/>
      <c r="E3259" s="101"/>
      <c r="F3259" s="102"/>
      <c r="G3259" s="101"/>
      <c r="H3259" s="102"/>
      <c r="I3259" s="101"/>
      <c r="J3259" s="101"/>
      <c r="K3259" s="103"/>
      <c r="L3259" s="103"/>
      <c r="M3259" s="103"/>
      <c r="N3259" s="103"/>
      <c r="O3259" s="103"/>
      <c r="P3259" s="98"/>
      <c r="Q3259" s="99"/>
      <c r="R3259" s="104">
        <f t="shared" si="157"/>
        <v>0</v>
      </c>
      <c r="S3259" s="104">
        <f t="shared" si="158"/>
        <v>0</v>
      </c>
      <c r="T3259" s="104">
        <f t="shared" si="159"/>
        <v>0</v>
      </c>
    </row>
    <row r="3260" spans="1:20">
      <c r="A3260" s="101"/>
      <c r="B3260" s="101"/>
      <c r="C3260" s="101"/>
      <c r="D3260" s="101"/>
      <c r="E3260" s="101"/>
      <c r="F3260" s="102"/>
      <c r="G3260" s="101"/>
      <c r="H3260" s="102"/>
      <c r="I3260" s="101"/>
      <c r="J3260" s="101"/>
      <c r="K3260" s="103"/>
      <c r="L3260" s="103"/>
      <c r="M3260" s="103"/>
      <c r="N3260" s="103"/>
      <c r="O3260" s="103"/>
      <c r="P3260" s="98"/>
      <c r="Q3260" s="99"/>
      <c r="R3260" s="104">
        <f t="shared" si="157"/>
        <v>0</v>
      </c>
      <c r="S3260" s="104">
        <f t="shared" si="158"/>
        <v>0</v>
      </c>
      <c r="T3260" s="104">
        <f t="shared" si="159"/>
        <v>0</v>
      </c>
    </row>
    <row r="3261" spans="1:20">
      <c r="A3261" s="101"/>
      <c r="B3261" s="101"/>
      <c r="C3261" s="101"/>
      <c r="D3261" s="101"/>
      <c r="E3261" s="101"/>
      <c r="F3261" s="102"/>
      <c r="G3261" s="101"/>
      <c r="H3261" s="102"/>
      <c r="I3261" s="101"/>
      <c r="J3261" s="101"/>
      <c r="K3261" s="103"/>
      <c r="L3261" s="103"/>
      <c r="M3261" s="103"/>
      <c r="N3261" s="103"/>
      <c r="O3261" s="103"/>
      <c r="P3261" s="98"/>
      <c r="Q3261" s="99"/>
      <c r="R3261" s="104">
        <f t="shared" si="157"/>
        <v>0</v>
      </c>
      <c r="S3261" s="104">
        <f t="shared" si="158"/>
        <v>0</v>
      </c>
      <c r="T3261" s="104">
        <f t="shared" si="159"/>
        <v>0</v>
      </c>
    </row>
    <row r="3262" spans="1:20">
      <c r="A3262" s="101"/>
      <c r="B3262" s="101"/>
      <c r="C3262" s="101"/>
      <c r="D3262" s="101"/>
      <c r="E3262" s="101"/>
      <c r="F3262" s="102"/>
      <c r="G3262" s="101"/>
      <c r="H3262" s="102"/>
      <c r="I3262" s="101"/>
      <c r="J3262" s="101"/>
      <c r="K3262" s="103"/>
      <c r="L3262" s="103"/>
      <c r="M3262" s="103"/>
      <c r="N3262" s="103"/>
      <c r="O3262" s="103"/>
      <c r="P3262" s="98"/>
      <c r="Q3262" s="99"/>
      <c r="R3262" s="104">
        <f t="shared" si="157"/>
        <v>0</v>
      </c>
      <c r="S3262" s="104">
        <f t="shared" si="158"/>
        <v>0</v>
      </c>
      <c r="T3262" s="104">
        <f t="shared" si="159"/>
        <v>0</v>
      </c>
    </row>
    <row r="3263" spans="1:20">
      <c r="A3263" s="101"/>
      <c r="B3263" s="101"/>
      <c r="C3263" s="101"/>
      <c r="D3263" s="101"/>
      <c r="E3263" s="101"/>
      <c r="F3263" s="102"/>
      <c r="G3263" s="101"/>
      <c r="H3263" s="102"/>
      <c r="I3263" s="101"/>
      <c r="J3263" s="101"/>
      <c r="K3263" s="103"/>
      <c r="L3263" s="103"/>
      <c r="M3263" s="103"/>
      <c r="N3263" s="103"/>
      <c r="O3263" s="103"/>
      <c r="P3263" s="98"/>
      <c r="Q3263" s="99"/>
      <c r="R3263" s="104">
        <f t="shared" si="157"/>
        <v>0</v>
      </c>
      <c r="S3263" s="104">
        <f t="shared" si="158"/>
        <v>0</v>
      </c>
      <c r="T3263" s="104">
        <f t="shared" si="159"/>
        <v>0</v>
      </c>
    </row>
    <row r="3264" spans="1:20">
      <c r="A3264" s="101"/>
      <c r="B3264" s="101"/>
      <c r="C3264" s="101"/>
      <c r="D3264" s="101"/>
      <c r="E3264" s="101"/>
      <c r="F3264" s="102"/>
      <c r="G3264" s="101"/>
      <c r="H3264" s="102"/>
      <c r="I3264" s="101"/>
      <c r="J3264" s="101"/>
      <c r="K3264" s="103"/>
      <c r="L3264" s="103"/>
      <c r="M3264" s="103"/>
      <c r="N3264" s="103"/>
      <c r="O3264" s="103"/>
      <c r="P3264" s="98"/>
      <c r="Q3264" s="99"/>
      <c r="R3264" s="104">
        <f t="shared" si="157"/>
        <v>0</v>
      </c>
      <c r="S3264" s="104">
        <f t="shared" si="158"/>
        <v>0</v>
      </c>
      <c r="T3264" s="104">
        <f t="shared" si="159"/>
        <v>0</v>
      </c>
    </row>
    <row r="3265" spans="1:20">
      <c r="A3265" s="101"/>
      <c r="B3265" s="101"/>
      <c r="C3265" s="101"/>
      <c r="D3265" s="101"/>
      <c r="E3265" s="101"/>
      <c r="F3265" s="102"/>
      <c r="G3265" s="101"/>
      <c r="H3265" s="102"/>
      <c r="I3265" s="101"/>
      <c r="J3265" s="101"/>
      <c r="K3265" s="103"/>
      <c r="L3265" s="103"/>
      <c r="M3265" s="103"/>
      <c r="N3265" s="103"/>
      <c r="O3265" s="103"/>
      <c r="P3265" s="98"/>
      <c r="Q3265" s="99"/>
      <c r="R3265" s="104">
        <f t="shared" si="157"/>
        <v>0</v>
      </c>
      <c r="S3265" s="104">
        <f t="shared" si="158"/>
        <v>0</v>
      </c>
      <c r="T3265" s="104">
        <f t="shared" si="159"/>
        <v>0</v>
      </c>
    </row>
    <row r="3266" spans="1:20">
      <c r="A3266" s="101"/>
      <c r="B3266" s="101"/>
      <c r="C3266" s="101"/>
      <c r="D3266" s="101"/>
      <c r="E3266" s="101"/>
      <c r="F3266" s="102"/>
      <c r="G3266" s="101"/>
      <c r="H3266" s="102"/>
      <c r="I3266" s="101"/>
      <c r="J3266" s="101"/>
      <c r="K3266" s="103"/>
      <c r="L3266" s="103"/>
      <c r="M3266" s="103"/>
      <c r="N3266" s="103"/>
      <c r="O3266" s="103"/>
      <c r="P3266" s="98"/>
      <c r="Q3266" s="99"/>
      <c r="R3266" s="104">
        <f t="shared" si="157"/>
        <v>0</v>
      </c>
      <c r="S3266" s="104">
        <f t="shared" si="158"/>
        <v>0</v>
      </c>
      <c r="T3266" s="104">
        <f t="shared" si="159"/>
        <v>0</v>
      </c>
    </row>
    <row r="3267" spans="1:20">
      <c r="A3267" s="101"/>
      <c r="B3267" s="101"/>
      <c r="C3267" s="101"/>
      <c r="D3267" s="101"/>
      <c r="E3267" s="101"/>
      <c r="F3267" s="102"/>
      <c r="G3267" s="101"/>
      <c r="H3267" s="102"/>
      <c r="I3267" s="101"/>
      <c r="J3267" s="101"/>
      <c r="K3267" s="103"/>
      <c r="L3267" s="103"/>
      <c r="M3267" s="103"/>
      <c r="N3267" s="103"/>
      <c r="O3267" s="103"/>
      <c r="P3267" s="98"/>
      <c r="Q3267" s="99"/>
      <c r="R3267" s="104">
        <f t="shared" si="157"/>
        <v>0</v>
      </c>
      <c r="S3267" s="104">
        <f t="shared" si="158"/>
        <v>0</v>
      </c>
      <c r="T3267" s="104">
        <f t="shared" si="159"/>
        <v>0</v>
      </c>
    </row>
    <row r="3268" spans="1:20">
      <c r="A3268" s="101"/>
      <c r="B3268" s="101"/>
      <c r="C3268" s="101"/>
      <c r="D3268" s="101"/>
      <c r="E3268" s="101"/>
      <c r="F3268" s="102"/>
      <c r="G3268" s="101"/>
      <c r="H3268" s="102"/>
      <c r="I3268" s="101"/>
      <c r="J3268" s="101"/>
      <c r="K3268" s="103"/>
      <c r="L3268" s="103"/>
      <c r="M3268" s="103"/>
      <c r="N3268" s="103"/>
      <c r="O3268" s="103"/>
      <c r="P3268" s="98"/>
      <c r="Q3268" s="99"/>
      <c r="R3268" s="104">
        <f t="shared" si="157"/>
        <v>0</v>
      </c>
      <c r="S3268" s="104">
        <f t="shared" si="158"/>
        <v>0</v>
      </c>
      <c r="T3268" s="104">
        <f t="shared" si="159"/>
        <v>0</v>
      </c>
    </row>
    <row r="3269" spans="1:20">
      <c r="A3269" s="101"/>
      <c r="B3269" s="101"/>
      <c r="C3269" s="101"/>
      <c r="D3269" s="101"/>
      <c r="E3269" s="101"/>
      <c r="F3269" s="102"/>
      <c r="G3269" s="101"/>
      <c r="H3269" s="102"/>
      <c r="I3269" s="101"/>
      <c r="J3269" s="101"/>
      <c r="K3269" s="103"/>
      <c r="L3269" s="103"/>
      <c r="M3269" s="103"/>
      <c r="N3269" s="103"/>
      <c r="O3269" s="103"/>
      <c r="P3269" s="98"/>
      <c r="Q3269" s="99"/>
      <c r="R3269" s="104">
        <f t="shared" si="157"/>
        <v>0</v>
      </c>
      <c r="S3269" s="104">
        <f t="shared" si="158"/>
        <v>0</v>
      </c>
      <c r="T3269" s="104">
        <f t="shared" si="159"/>
        <v>0</v>
      </c>
    </row>
    <row r="3270" spans="1:20">
      <c r="A3270" s="101"/>
      <c r="B3270" s="101"/>
      <c r="C3270" s="101"/>
      <c r="D3270" s="101"/>
      <c r="E3270" s="101"/>
      <c r="F3270" s="102"/>
      <c r="G3270" s="101"/>
      <c r="H3270" s="102"/>
      <c r="I3270" s="101"/>
      <c r="J3270" s="101"/>
      <c r="K3270" s="103"/>
      <c r="L3270" s="103"/>
      <c r="M3270" s="103"/>
      <c r="N3270" s="103"/>
      <c r="O3270" s="103"/>
      <c r="P3270" s="98"/>
      <c r="Q3270" s="99"/>
      <c r="R3270" s="104">
        <f t="shared" si="157"/>
        <v>0</v>
      </c>
      <c r="S3270" s="104">
        <f t="shared" si="158"/>
        <v>0</v>
      </c>
      <c r="T3270" s="104">
        <f t="shared" si="159"/>
        <v>0</v>
      </c>
    </row>
    <row r="3271" spans="1:20">
      <c r="A3271" s="101"/>
      <c r="B3271" s="101"/>
      <c r="C3271" s="101"/>
      <c r="D3271" s="101"/>
      <c r="E3271" s="101"/>
      <c r="F3271" s="102"/>
      <c r="G3271" s="101"/>
      <c r="H3271" s="102"/>
      <c r="I3271" s="101"/>
      <c r="J3271" s="101"/>
      <c r="K3271" s="103"/>
      <c r="L3271" s="103"/>
      <c r="M3271" s="103"/>
      <c r="N3271" s="103"/>
      <c r="O3271" s="103"/>
      <c r="P3271" s="98"/>
      <c r="Q3271" s="99"/>
      <c r="R3271" s="104">
        <f t="shared" si="157"/>
        <v>0</v>
      </c>
      <c r="S3271" s="104">
        <f t="shared" si="158"/>
        <v>0</v>
      </c>
      <c r="T3271" s="104">
        <f t="shared" si="159"/>
        <v>0</v>
      </c>
    </row>
    <row r="3272" spans="1:20">
      <c r="A3272" s="101"/>
      <c r="B3272" s="101"/>
      <c r="C3272" s="101"/>
      <c r="D3272" s="101"/>
      <c r="E3272" s="101"/>
      <c r="F3272" s="102"/>
      <c r="G3272" s="101"/>
      <c r="H3272" s="102"/>
      <c r="I3272" s="101"/>
      <c r="J3272" s="101"/>
      <c r="K3272" s="103"/>
      <c r="L3272" s="103"/>
      <c r="M3272" s="103"/>
      <c r="N3272" s="103"/>
      <c r="O3272" s="103"/>
      <c r="P3272" s="98"/>
      <c r="Q3272" s="99"/>
      <c r="R3272" s="104">
        <f t="shared" si="157"/>
        <v>0</v>
      </c>
      <c r="S3272" s="104">
        <f t="shared" si="158"/>
        <v>0</v>
      </c>
      <c r="T3272" s="104">
        <f t="shared" si="159"/>
        <v>0</v>
      </c>
    </row>
    <row r="3273" spans="1:20">
      <c r="A3273" s="101"/>
      <c r="B3273" s="101"/>
      <c r="C3273" s="101"/>
      <c r="D3273" s="101"/>
      <c r="E3273" s="101"/>
      <c r="F3273" s="102"/>
      <c r="G3273" s="101"/>
      <c r="H3273" s="102"/>
      <c r="I3273" s="101"/>
      <c r="J3273" s="101"/>
      <c r="K3273" s="103"/>
      <c r="L3273" s="103"/>
      <c r="M3273" s="103"/>
      <c r="N3273" s="103"/>
      <c r="O3273" s="103"/>
      <c r="P3273" s="98"/>
      <c r="Q3273" s="99"/>
      <c r="R3273" s="104">
        <f t="shared" si="157"/>
        <v>0</v>
      </c>
      <c r="S3273" s="104">
        <f t="shared" si="158"/>
        <v>0</v>
      </c>
      <c r="T3273" s="104">
        <f t="shared" si="159"/>
        <v>0</v>
      </c>
    </row>
    <row r="3274" spans="1:20">
      <c r="A3274" s="101"/>
      <c r="B3274" s="101"/>
      <c r="C3274" s="101"/>
      <c r="D3274" s="101"/>
      <c r="E3274" s="101"/>
      <c r="F3274" s="102"/>
      <c r="G3274" s="101"/>
      <c r="H3274" s="102"/>
      <c r="I3274" s="101"/>
      <c r="J3274" s="101"/>
      <c r="K3274" s="103"/>
      <c r="L3274" s="103"/>
      <c r="M3274" s="103"/>
      <c r="N3274" s="103"/>
      <c r="O3274" s="103"/>
      <c r="P3274" s="98"/>
      <c r="Q3274" s="99"/>
      <c r="R3274" s="104">
        <f t="shared" ref="R3274:R3301" si="160">IF(P3274="Cargo",K3274+L3274-M3274-N3274+O3274,0)</f>
        <v>0</v>
      </c>
      <c r="S3274" s="104">
        <f t="shared" ref="S3274:S3301" si="161">IF(P3274="Abono",K3274+L3274+M3274-N3274-O3274,0)</f>
        <v>0</v>
      </c>
      <c r="T3274" s="104">
        <f t="shared" ref="T3274:T3301" si="162">IF(Q3274="OK",+T3273+R3274-S3274,T3273)</f>
        <v>0</v>
      </c>
    </row>
    <row r="3275" spans="1:20">
      <c r="A3275" s="101"/>
      <c r="B3275" s="101"/>
      <c r="C3275" s="101"/>
      <c r="D3275" s="101"/>
      <c r="E3275" s="101"/>
      <c r="F3275" s="102"/>
      <c r="G3275" s="101"/>
      <c r="H3275" s="102"/>
      <c r="I3275" s="101"/>
      <c r="J3275" s="101"/>
      <c r="K3275" s="103"/>
      <c r="L3275" s="103"/>
      <c r="M3275" s="103"/>
      <c r="N3275" s="103"/>
      <c r="O3275" s="103"/>
      <c r="P3275" s="98"/>
      <c r="Q3275" s="99"/>
      <c r="R3275" s="104">
        <f t="shared" si="160"/>
        <v>0</v>
      </c>
      <c r="S3275" s="104">
        <f t="shared" si="161"/>
        <v>0</v>
      </c>
      <c r="T3275" s="104">
        <f t="shared" si="162"/>
        <v>0</v>
      </c>
    </row>
    <row r="3276" spans="1:20">
      <c r="A3276" s="101"/>
      <c r="B3276" s="101"/>
      <c r="C3276" s="101"/>
      <c r="D3276" s="101"/>
      <c r="E3276" s="101"/>
      <c r="F3276" s="102"/>
      <c r="G3276" s="101"/>
      <c r="H3276" s="102"/>
      <c r="I3276" s="101"/>
      <c r="J3276" s="101"/>
      <c r="K3276" s="103"/>
      <c r="L3276" s="103"/>
      <c r="M3276" s="103"/>
      <c r="N3276" s="103"/>
      <c r="O3276" s="103"/>
      <c r="P3276" s="98"/>
      <c r="Q3276" s="99"/>
      <c r="R3276" s="104">
        <f t="shared" si="160"/>
        <v>0</v>
      </c>
      <c r="S3276" s="104">
        <f t="shared" si="161"/>
        <v>0</v>
      </c>
      <c r="T3276" s="104">
        <f t="shared" si="162"/>
        <v>0</v>
      </c>
    </row>
    <row r="3277" spans="1:20">
      <c r="A3277" s="101"/>
      <c r="B3277" s="101"/>
      <c r="C3277" s="101"/>
      <c r="D3277" s="101"/>
      <c r="E3277" s="101"/>
      <c r="F3277" s="102"/>
      <c r="G3277" s="101"/>
      <c r="H3277" s="102"/>
      <c r="I3277" s="101"/>
      <c r="J3277" s="101"/>
      <c r="K3277" s="103"/>
      <c r="L3277" s="103"/>
      <c r="M3277" s="103"/>
      <c r="N3277" s="103"/>
      <c r="O3277" s="103"/>
      <c r="P3277" s="98"/>
      <c r="Q3277" s="99"/>
      <c r="R3277" s="104">
        <f t="shared" si="160"/>
        <v>0</v>
      </c>
      <c r="S3277" s="104">
        <f t="shared" si="161"/>
        <v>0</v>
      </c>
      <c r="T3277" s="104">
        <f t="shared" si="162"/>
        <v>0</v>
      </c>
    </row>
    <row r="3278" spans="1:20">
      <c r="A3278" s="101"/>
      <c r="B3278" s="101"/>
      <c r="C3278" s="101"/>
      <c r="D3278" s="101"/>
      <c r="E3278" s="101"/>
      <c r="F3278" s="102"/>
      <c r="G3278" s="101"/>
      <c r="H3278" s="102"/>
      <c r="I3278" s="101"/>
      <c r="J3278" s="101"/>
      <c r="K3278" s="103"/>
      <c r="L3278" s="103"/>
      <c r="M3278" s="103"/>
      <c r="N3278" s="103"/>
      <c r="O3278" s="103"/>
      <c r="P3278" s="98"/>
      <c r="Q3278" s="99"/>
      <c r="R3278" s="104">
        <f t="shared" si="160"/>
        <v>0</v>
      </c>
      <c r="S3278" s="104">
        <f t="shared" si="161"/>
        <v>0</v>
      </c>
      <c r="T3278" s="104">
        <f t="shared" si="162"/>
        <v>0</v>
      </c>
    </row>
    <row r="3279" spans="1:20">
      <c r="A3279" s="101"/>
      <c r="B3279" s="101"/>
      <c r="C3279" s="101"/>
      <c r="D3279" s="101"/>
      <c r="E3279" s="101"/>
      <c r="F3279" s="102"/>
      <c r="G3279" s="101"/>
      <c r="H3279" s="102"/>
      <c r="I3279" s="101"/>
      <c r="J3279" s="101"/>
      <c r="K3279" s="103"/>
      <c r="L3279" s="103"/>
      <c r="M3279" s="103"/>
      <c r="N3279" s="103"/>
      <c r="O3279" s="103"/>
      <c r="P3279" s="98"/>
      <c r="Q3279" s="99"/>
      <c r="R3279" s="104">
        <f t="shared" si="160"/>
        <v>0</v>
      </c>
      <c r="S3279" s="104">
        <f t="shared" si="161"/>
        <v>0</v>
      </c>
      <c r="T3279" s="104">
        <f t="shared" si="162"/>
        <v>0</v>
      </c>
    </row>
    <row r="3280" spans="1:20">
      <c r="A3280" s="101"/>
      <c r="B3280" s="101"/>
      <c r="C3280" s="101"/>
      <c r="D3280" s="101"/>
      <c r="E3280" s="101"/>
      <c r="F3280" s="102"/>
      <c r="G3280" s="101"/>
      <c r="H3280" s="102"/>
      <c r="I3280" s="101"/>
      <c r="J3280" s="101"/>
      <c r="K3280" s="103"/>
      <c r="L3280" s="103"/>
      <c r="M3280" s="103"/>
      <c r="N3280" s="103"/>
      <c r="O3280" s="103"/>
      <c r="P3280" s="98"/>
      <c r="Q3280" s="99"/>
      <c r="R3280" s="104">
        <f t="shared" si="160"/>
        <v>0</v>
      </c>
      <c r="S3280" s="104">
        <f t="shared" si="161"/>
        <v>0</v>
      </c>
      <c r="T3280" s="104">
        <f t="shared" si="162"/>
        <v>0</v>
      </c>
    </row>
    <row r="3281" spans="1:20">
      <c r="A3281" s="101"/>
      <c r="B3281" s="101"/>
      <c r="C3281" s="101"/>
      <c r="D3281" s="101"/>
      <c r="E3281" s="101"/>
      <c r="F3281" s="102"/>
      <c r="G3281" s="101"/>
      <c r="H3281" s="102"/>
      <c r="I3281" s="101"/>
      <c r="J3281" s="101"/>
      <c r="K3281" s="103"/>
      <c r="L3281" s="103"/>
      <c r="M3281" s="103"/>
      <c r="N3281" s="103"/>
      <c r="O3281" s="103"/>
      <c r="P3281" s="98"/>
      <c r="Q3281" s="99"/>
      <c r="R3281" s="104">
        <f t="shared" si="160"/>
        <v>0</v>
      </c>
      <c r="S3281" s="104">
        <f t="shared" si="161"/>
        <v>0</v>
      </c>
      <c r="T3281" s="104">
        <f t="shared" si="162"/>
        <v>0</v>
      </c>
    </row>
    <row r="3282" spans="1:20">
      <c r="A3282" s="101"/>
      <c r="B3282" s="101"/>
      <c r="C3282" s="101"/>
      <c r="D3282" s="101"/>
      <c r="E3282" s="101"/>
      <c r="F3282" s="102"/>
      <c r="G3282" s="101"/>
      <c r="H3282" s="102"/>
      <c r="I3282" s="101"/>
      <c r="J3282" s="101"/>
      <c r="K3282" s="103"/>
      <c r="L3282" s="103"/>
      <c r="M3282" s="103"/>
      <c r="N3282" s="103"/>
      <c r="O3282" s="103"/>
      <c r="P3282" s="98"/>
      <c r="Q3282" s="99"/>
      <c r="R3282" s="104">
        <f t="shared" si="160"/>
        <v>0</v>
      </c>
      <c r="S3282" s="104">
        <f t="shared" si="161"/>
        <v>0</v>
      </c>
      <c r="T3282" s="104">
        <f t="shared" si="162"/>
        <v>0</v>
      </c>
    </row>
    <row r="3283" spans="1:20">
      <c r="A3283" s="101"/>
      <c r="B3283" s="101"/>
      <c r="C3283" s="101"/>
      <c r="D3283" s="101"/>
      <c r="E3283" s="101"/>
      <c r="F3283" s="102"/>
      <c r="G3283" s="101"/>
      <c r="H3283" s="102"/>
      <c r="I3283" s="101"/>
      <c r="J3283" s="101"/>
      <c r="K3283" s="103"/>
      <c r="L3283" s="103"/>
      <c r="M3283" s="103"/>
      <c r="N3283" s="103"/>
      <c r="O3283" s="103"/>
      <c r="P3283" s="98"/>
      <c r="Q3283" s="99"/>
      <c r="R3283" s="104">
        <f t="shared" si="160"/>
        <v>0</v>
      </c>
      <c r="S3283" s="104">
        <f t="shared" si="161"/>
        <v>0</v>
      </c>
      <c r="T3283" s="104">
        <f t="shared" si="162"/>
        <v>0</v>
      </c>
    </row>
    <row r="3284" spans="1:20">
      <c r="A3284" s="101"/>
      <c r="B3284" s="101"/>
      <c r="C3284" s="101"/>
      <c r="D3284" s="101"/>
      <c r="E3284" s="101"/>
      <c r="F3284" s="102"/>
      <c r="G3284" s="101"/>
      <c r="H3284" s="102"/>
      <c r="I3284" s="101"/>
      <c r="J3284" s="101"/>
      <c r="K3284" s="103"/>
      <c r="L3284" s="103"/>
      <c r="M3284" s="103"/>
      <c r="N3284" s="103"/>
      <c r="O3284" s="103"/>
      <c r="P3284" s="98"/>
      <c r="Q3284" s="99"/>
      <c r="R3284" s="104">
        <f t="shared" si="160"/>
        <v>0</v>
      </c>
      <c r="S3284" s="104">
        <f t="shared" si="161"/>
        <v>0</v>
      </c>
      <c r="T3284" s="104">
        <f t="shared" si="162"/>
        <v>0</v>
      </c>
    </row>
    <row r="3285" spans="1:20">
      <c r="A3285" s="101"/>
      <c r="B3285" s="101"/>
      <c r="C3285" s="101"/>
      <c r="D3285" s="101"/>
      <c r="E3285" s="101"/>
      <c r="F3285" s="102"/>
      <c r="G3285" s="101"/>
      <c r="H3285" s="102"/>
      <c r="I3285" s="101"/>
      <c r="J3285" s="101"/>
      <c r="K3285" s="103"/>
      <c r="L3285" s="103"/>
      <c r="M3285" s="103"/>
      <c r="N3285" s="103"/>
      <c r="O3285" s="103"/>
      <c r="P3285" s="98"/>
      <c r="Q3285" s="99"/>
      <c r="R3285" s="104">
        <f t="shared" si="160"/>
        <v>0</v>
      </c>
      <c r="S3285" s="104">
        <f t="shared" si="161"/>
        <v>0</v>
      </c>
      <c r="T3285" s="104">
        <f t="shared" si="162"/>
        <v>0</v>
      </c>
    </row>
    <row r="3286" spans="1:20">
      <c r="A3286" s="101"/>
      <c r="B3286" s="101"/>
      <c r="C3286" s="101"/>
      <c r="D3286" s="101"/>
      <c r="E3286" s="101"/>
      <c r="F3286" s="102"/>
      <c r="G3286" s="101"/>
      <c r="H3286" s="102"/>
      <c r="I3286" s="101"/>
      <c r="J3286" s="101"/>
      <c r="K3286" s="103"/>
      <c r="L3286" s="103"/>
      <c r="M3286" s="103"/>
      <c r="N3286" s="103"/>
      <c r="O3286" s="103"/>
      <c r="P3286" s="98"/>
      <c r="Q3286" s="99"/>
      <c r="R3286" s="104">
        <f t="shared" si="160"/>
        <v>0</v>
      </c>
      <c r="S3286" s="104">
        <f t="shared" si="161"/>
        <v>0</v>
      </c>
      <c r="T3286" s="104">
        <f t="shared" si="162"/>
        <v>0</v>
      </c>
    </row>
    <row r="3287" spans="1:20">
      <c r="A3287" s="101"/>
      <c r="B3287" s="101"/>
      <c r="C3287" s="101"/>
      <c r="D3287" s="101"/>
      <c r="E3287" s="101"/>
      <c r="F3287" s="102"/>
      <c r="G3287" s="101"/>
      <c r="H3287" s="102"/>
      <c r="I3287" s="101"/>
      <c r="J3287" s="101"/>
      <c r="K3287" s="103"/>
      <c r="L3287" s="103"/>
      <c r="M3287" s="103"/>
      <c r="N3287" s="103"/>
      <c r="O3287" s="103"/>
      <c r="P3287" s="98"/>
      <c r="Q3287" s="99"/>
      <c r="R3287" s="104">
        <f t="shared" si="160"/>
        <v>0</v>
      </c>
      <c r="S3287" s="104">
        <f t="shared" si="161"/>
        <v>0</v>
      </c>
      <c r="T3287" s="104">
        <f t="shared" si="162"/>
        <v>0</v>
      </c>
    </row>
    <row r="3288" spans="1:20">
      <c r="A3288" s="101"/>
      <c r="B3288" s="101"/>
      <c r="C3288" s="101"/>
      <c r="D3288" s="101"/>
      <c r="E3288" s="101"/>
      <c r="F3288" s="102"/>
      <c r="G3288" s="101"/>
      <c r="H3288" s="102"/>
      <c r="I3288" s="101"/>
      <c r="J3288" s="101"/>
      <c r="K3288" s="103"/>
      <c r="L3288" s="103"/>
      <c r="M3288" s="103"/>
      <c r="N3288" s="103"/>
      <c r="O3288" s="103"/>
      <c r="P3288" s="98"/>
      <c r="Q3288" s="99"/>
      <c r="R3288" s="104">
        <f t="shared" si="160"/>
        <v>0</v>
      </c>
      <c r="S3288" s="104">
        <f t="shared" si="161"/>
        <v>0</v>
      </c>
      <c r="T3288" s="104">
        <f t="shared" si="162"/>
        <v>0</v>
      </c>
    </row>
    <row r="3289" spans="1:20">
      <c r="A3289" s="101"/>
      <c r="B3289" s="101"/>
      <c r="C3289" s="101"/>
      <c r="D3289" s="101"/>
      <c r="E3289" s="101"/>
      <c r="F3289" s="102"/>
      <c r="G3289" s="101"/>
      <c r="H3289" s="102"/>
      <c r="I3289" s="101"/>
      <c r="J3289" s="101"/>
      <c r="K3289" s="103"/>
      <c r="L3289" s="103"/>
      <c r="M3289" s="103"/>
      <c r="N3289" s="103"/>
      <c r="O3289" s="103"/>
      <c r="P3289" s="98"/>
      <c r="Q3289" s="99"/>
      <c r="R3289" s="104">
        <f t="shared" si="160"/>
        <v>0</v>
      </c>
      <c r="S3289" s="104">
        <f t="shared" si="161"/>
        <v>0</v>
      </c>
      <c r="T3289" s="104">
        <f t="shared" si="162"/>
        <v>0</v>
      </c>
    </row>
    <row r="3290" spans="1:20">
      <c r="A3290" s="101"/>
      <c r="B3290" s="101"/>
      <c r="C3290" s="101"/>
      <c r="D3290" s="101"/>
      <c r="E3290" s="101"/>
      <c r="F3290" s="102"/>
      <c r="G3290" s="101"/>
      <c r="H3290" s="102"/>
      <c r="I3290" s="101"/>
      <c r="J3290" s="101"/>
      <c r="K3290" s="103"/>
      <c r="L3290" s="103"/>
      <c r="M3290" s="103"/>
      <c r="N3290" s="103"/>
      <c r="O3290" s="103"/>
      <c r="P3290" s="98"/>
      <c r="Q3290" s="99"/>
      <c r="R3290" s="104">
        <f t="shared" si="160"/>
        <v>0</v>
      </c>
      <c r="S3290" s="104">
        <f t="shared" si="161"/>
        <v>0</v>
      </c>
      <c r="T3290" s="104">
        <f t="shared" si="162"/>
        <v>0</v>
      </c>
    </row>
    <row r="3291" spans="1:20">
      <c r="A3291" s="101"/>
      <c r="B3291" s="101"/>
      <c r="C3291" s="101"/>
      <c r="D3291" s="101"/>
      <c r="E3291" s="101"/>
      <c r="F3291" s="102"/>
      <c r="G3291" s="101"/>
      <c r="H3291" s="102"/>
      <c r="I3291" s="101"/>
      <c r="J3291" s="101"/>
      <c r="K3291" s="103"/>
      <c r="L3291" s="103"/>
      <c r="M3291" s="103"/>
      <c r="N3291" s="103"/>
      <c r="O3291" s="103"/>
      <c r="P3291" s="98"/>
      <c r="Q3291" s="99"/>
      <c r="R3291" s="104">
        <f t="shared" si="160"/>
        <v>0</v>
      </c>
      <c r="S3291" s="104">
        <f t="shared" si="161"/>
        <v>0</v>
      </c>
      <c r="T3291" s="104">
        <f t="shared" si="162"/>
        <v>0</v>
      </c>
    </row>
    <row r="3292" spans="1:20">
      <c r="A3292" s="101"/>
      <c r="B3292" s="101"/>
      <c r="C3292" s="101"/>
      <c r="D3292" s="101"/>
      <c r="E3292" s="101"/>
      <c r="F3292" s="102"/>
      <c r="G3292" s="101"/>
      <c r="H3292" s="102"/>
      <c r="I3292" s="101"/>
      <c r="J3292" s="101"/>
      <c r="K3292" s="103"/>
      <c r="L3292" s="103"/>
      <c r="M3292" s="103"/>
      <c r="N3292" s="103"/>
      <c r="O3292" s="103"/>
      <c r="P3292" s="98"/>
      <c r="Q3292" s="99"/>
      <c r="R3292" s="104">
        <f t="shared" si="160"/>
        <v>0</v>
      </c>
      <c r="S3292" s="104">
        <f t="shared" si="161"/>
        <v>0</v>
      </c>
      <c r="T3292" s="104">
        <f t="shared" si="162"/>
        <v>0</v>
      </c>
    </row>
    <row r="3293" spans="1:20">
      <c r="A3293" s="101"/>
      <c r="B3293" s="101"/>
      <c r="C3293" s="101"/>
      <c r="D3293" s="101"/>
      <c r="E3293" s="101"/>
      <c r="F3293" s="102"/>
      <c r="G3293" s="101"/>
      <c r="H3293" s="102"/>
      <c r="I3293" s="101"/>
      <c r="J3293" s="101"/>
      <c r="K3293" s="103"/>
      <c r="L3293" s="103"/>
      <c r="M3293" s="103"/>
      <c r="N3293" s="103"/>
      <c r="O3293" s="103"/>
      <c r="P3293" s="98"/>
      <c r="Q3293" s="99"/>
      <c r="R3293" s="104">
        <f t="shared" si="160"/>
        <v>0</v>
      </c>
      <c r="S3293" s="104">
        <f t="shared" si="161"/>
        <v>0</v>
      </c>
      <c r="T3293" s="104">
        <f t="shared" si="162"/>
        <v>0</v>
      </c>
    </row>
    <row r="3294" spans="1:20">
      <c r="A3294" s="101"/>
      <c r="B3294" s="101"/>
      <c r="C3294" s="101"/>
      <c r="D3294" s="101"/>
      <c r="E3294" s="101"/>
      <c r="F3294" s="102"/>
      <c r="G3294" s="101"/>
      <c r="H3294" s="102"/>
      <c r="I3294" s="101"/>
      <c r="J3294" s="101"/>
      <c r="K3294" s="103"/>
      <c r="L3294" s="103"/>
      <c r="M3294" s="103"/>
      <c r="N3294" s="103"/>
      <c r="O3294" s="103"/>
      <c r="P3294" s="98"/>
      <c r="Q3294" s="99"/>
      <c r="R3294" s="104">
        <f t="shared" si="160"/>
        <v>0</v>
      </c>
      <c r="S3294" s="104">
        <f t="shared" si="161"/>
        <v>0</v>
      </c>
      <c r="T3294" s="104">
        <f t="shared" si="162"/>
        <v>0</v>
      </c>
    </row>
    <row r="3295" spans="1:20">
      <c r="A3295" s="101"/>
      <c r="B3295" s="101"/>
      <c r="C3295" s="101"/>
      <c r="D3295" s="101"/>
      <c r="E3295" s="101"/>
      <c r="F3295" s="102"/>
      <c r="G3295" s="101"/>
      <c r="H3295" s="102"/>
      <c r="I3295" s="101"/>
      <c r="J3295" s="101"/>
      <c r="K3295" s="103"/>
      <c r="L3295" s="103"/>
      <c r="M3295" s="103"/>
      <c r="N3295" s="103"/>
      <c r="O3295" s="103"/>
      <c r="P3295" s="98"/>
      <c r="Q3295" s="99"/>
      <c r="R3295" s="104">
        <f t="shared" si="160"/>
        <v>0</v>
      </c>
      <c r="S3295" s="104">
        <f t="shared" si="161"/>
        <v>0</v>
      </c>
      <c r="T3295" s="104">
        <f t="shared" si="162"/>
        <v>0</v>
      </c>
    </row>
    <row r="3296" spans="1:20">
      <c r="A3296" s="101"/>
      <c r="B3296" s="101"/>
      <c r="C3296" s="101"/>
      <c r="D3296" s="101"/>
      <c r="E3296" s="101"/>
      <c r="F3296" s="102"/>
      <c r="G3296" s="101"/>
      <c r="H3296" s="102"/>
      <c r="I3296" s="101"/>
      <c r="J3296" s="101"/>
      <c r="K3296" s="103"/>
      <c r="L3296" s="103"/>
      <c r="M3296" s="103"/>
      <c r="N3296" s="103"/>
      <c r="O3296" s="103"/>
      <c r="P3296" s="98"/>
      <c r="Q3296" s="99"/>
      <c r="R3296" s="104">
        <f t="shared" si="160"/>
        <v>0</v>
      </c>
      <c r="S3296" s="104">
        <f t="shared" si="161"/>
        <v>0</v>
      </c>
      <c r="T3296" s="104">
        <f t="shared" si="162"/>
        <v>0</v>
      </c>
    </row>
    <row r="3297" spans="1:20">
      <c r="A3297" s="101"/>
      <c r="B3297" s="101"/>
      <c r="C3297" s="101"/>
      <c r="D3297" s="101"/>
      <c r="E3297" s="101"/>
      <c r="F3297" s="102"/>
      <c r="G3297" s="101"/>
      <c r="H3297" s="102"/>
      <c r="I3297" s="101"/>
      <c r="J3297" s="101"/>
      <c r="K3297" s="103"/>
      <c r="L3297" s="103"/>
      <c r="M3297" s="103"/>
      <c r="N3297" s="103"/>
      <c r="O3297" s="103"/>
      <c r="P3297" s="98"/>
      <c r="Q3297" s="99"/>
      <c r="R3297" s="104">
        <f t="shared" si="160"/>
        <v>0</v>
      </c>
      <c r="S3297" s="104">
        <f t="shared" si="161"/>
        <v>0</v>
      </c>
      <c r="T3297" s="104">
        <f t="shared" si="162"/>
        <v>0</v>
      </c>
    </row>
    <row r="3298" spans="1:20">
      <c r="A3298" s="101"/>
      <c r="B3298" s="101"/>
      <c r="C3298" s="101"/>
      <c r="D3298" s="101"/>
      <c r="E3298" s="101"/>
      <c r="F3298" s="102"/>
      <c r="G3298" s="101"/>
      <c r="H3298" s="102"/>
      <c r="I3298" s="101"/>
      <c r="J3298" s="101"/>
      <c r="K3298" s="103"/>
      <c r="L3298" s="103"/>
      <c r="M3298" s="103"/>
      <c r="N3298" s="103"/>
      <c r="O3298" s="103"/>
      <c r="P3298" s="98"/>
      <c r="Q3298" s="99"/>
      <c r="R3298" s="104">
        <f t="shared" si="160"/>
        <v>0</v>
      </c>
      <c r="S3298" s="104">
        <f t="shared" si="161"/>
        <v>0</v>
      </c>
      <c r="T3298" s="104">
        <f t="shared" si="162"/>
        <v>0</v>
      </c>
    </row>
    <row r="3299" spans="1:20">
      <c r="A3299" s="101"/>
      <c r="B3299" s="101"/>
      <c r="C3299" s="101"/>
      <c r="D3299" s="101"/>
      <c r="E3299" s="101"/>
      <c r="F3299" s="102"/>
      <c r="G3299" s="101"/>
      <c r="H3299" s="102"/>
      <c r="I3299" s="101"/>
      <c r="J3299" s="101"/>
      <c r="K3299" s="103"/>
      <c r="L3299" s="103"/>
      <c r="M3299" s="103"/>
      <c r="N3299" s="103"/>
      <c r="O3299" s="103"/>
      <c r="P3299" s="98"/>
      <c r="Q3299" s="99"/>
      <c r="R3299" s="104">
        <f t="shared" si="160"/>
        <v>0</v>
      </c>
      <c r="S3299" s="104">
        <f t="shared" si="161"/>
        <v>0</v>
      </c>
      <c r="T3299" s="104">
        <f t="shared" si="162"/>
        <v>0</v>
      </c>
    </row>
    <row r="3300" spans="1:20">
      <c r="A3300" s="101"/>
      <c r="B3300" s="101"/>
      <c r="C3300" s="101"/>
      <c r="D3300" s="101"/>
      <c r="E3300" s="101"/>
      <c r="F3300" s="102"/>
      <c r="G3300" s="101"/>
      <c r="H3300" s="102"/>
      <c r="I3300" s="101"/>
      <c r="J3300" s="101"/>
      <c r="K3300" s="103"/>
      <c r="L3300" s="103"/>
      <c r="M3300" s="103"/>
      <c r="N3300" s="103"/>
      <c r="O3300" s="103"/>
      <c r="P3300" s="98"/>
      <c r="Q3300" s="99"/>
      <c r="R3300" s="104">
        <f t="shared" si="160"/>
        <v>0</v>
      </c>
      <c r="S3300" s="104">
        <f t="shared" si="161"/>
        <v>0</v>
      </c>
      <c r="T3300" s="104">
        <f t="shared" si="162"/>
        <v>0</v>
      </c>
    </row>
    <row r="3301" spans="1:20">
      <c r="A3301" s="101"/>
      <c r="B3301" s="101"/>
      <c r="C3301" s="101"/>
      <c r="D3301" s="101"/>
      <c r="E3301" s="101"/>
      <c r="F3301" s="102"/>
      <c r="G3301" s="101"/>
      <c r="H3301" s="102"/>
      <c r="I3301" s="101"/>
      <c r="J3301" s="101"/>
      <c r="K3301" s="103"/>
      <c r="L3301" s="103"/>
      <c r="M3301" s="103"/>
      <c r="N3301" s="103"/>
      <c r="O3301" s="103"/>
      <c r="P3301" s="98"/>
      <c r="Q3301" s="99"/>
      <c r="R3301" s="104">
        <f t="shared" si="160"/>
        <v>0</v>
      </c>
      <c r="S3301" s="104">
        <f t="shared" si="161"/>
        <v>0</v>
      </c>
      <c r="T3301" s="104">
        <f t="shared" si="162"/>
        <v>0</v>
      </c>
    </row>
    <row r="3302" spans="1:20">
      <c r="A3302" s="101"/>
      <c r="B3302" s="101"/>
      <c r="C3302" s="101"/>
      <c r="D3302" s="101"/>
      <c r="E3302" s="101"/>
      <c r="F3302" s="102"/>
      <c r="G3302" s="101"/>
      <c r="H3302" s="102"/>
      <c r="I3302" s="101"/>
      <c r="J3302" s="101"/>
      <c r="K3302" s="103"/>
      <c r="L3302" s="103"/>
      <c r="M3302" s="103"/>
      <c r="N3302" s="103"/>
      <c r="O3302" s="103"/>
    </row>
    <row r="3303" spans="1:20">
      <c r="A3303" s="101"/>
      <c r="B3303" s="101"/>
      <c r="C3303" s="101"/>
      <c r="D3303" s="101"/>
      <c r="E3303" s="101"/>
      <c r="F3303" s="102"/>
      <c r="G3303" s="101"/>
      <c r="H3303" s="102"/>
      <c r="I3303" s="101"/>
      <c r="J3303" s="101"/>
      <c r="K3303" s="103"/>
      <c r="L3303" s="103"/>
      <c r="M3303" s="103"/>
      <c r="N3303" s="103"/>
      <c r="O3303" s="103"/>
    </row>
    <row r="3304" spans="1:20">
      <c r="A3304" s="101"/>
      <c r="B3304" s="101"/>
      <c r="C3304" s="101"/>
      <c r="D3304" s="101"/>
      <c r="E3304" s="101"/>
      <c r="F3304" s="102"/>
      <c r="G3304" s="101"/>
      <c r="H3304" s="102"/>
      <c r="I3304" s="101"/>
      <c r="J3304" s="101"/>
      <c r="K3304" s="103"/>
      <c r="L3304" s="103"/>
      <c r="M3304" s="103"/>
      <c r="N3304" s="103"/>
      <c r="O3304" s="103"/>
    </row>
    <row r="3305" spans="1:20">
      <c r="A3305" s="101"/>
      <c r="B3305" s="101"/>
      <c r="C3305" s="101"/>
      <c r="D3305" s="101"/>
      <c r="E3305" s="101"/>
      <c r="F3305" s="102"/>
      <c r="G3305" s="101"/>
      <c r="H3305" s="102"/>
      <c r="I3305" s="101"/>
      <c r="J3305" s="101"/>
      <c r="K3305" s="103"/>
      <c r="L3305" s="103"/>
      <c r="M3305" s="103"/>
      <c r="N3305" s="103"/>
      <c r="O3305" s="103"/>
    </row>
    <row r="3306" spans="1:20">
      <c r="A3306" s="101"/>
      <c r="B3306" s="101"/>
      <c r="C3306" s="101"/>
      <c r="D3306" s="101"/>
      <c r="E3306" s="101"/>
      <c r="F3306" s="102"/>
      <c r="G3306" s="101"/>
      <c r="H3306" s="102"/>
      <c r="I3306" s="101"/>
      <c r="J3306" s="101"/>
      <c r="K3306" s="103"/>
      <c r="L3306" s="103"/>
      <c r="M3306" s="103"/>
      <c r="N3306" s="103"/>
      <c r="O3306" s="103"/>
    </row>
    <row r="3307" spans="1:20">
      <c r="A3307" s="101"/>
      <c r="B3307" s="101"/>
      <c r="C3307" s="101"/>
      <c r="D3307" s="101"/>
      <c r="E3307" s="101"/>
      <c r="F3307" s="102"/>
      <c r="G3307" s="101"/>
      <c r="H3307" s="102"/>
      <c r="I3307" s="101"/>
      <c r="J3307" s="101"/>
      <c r="K3307" s="103"/>
      <c r="L3307" s="103"/>
      <c r="M3307" s="103"/>
      <c r="N3307" s="103"/>
      <c r="O3307" s="103"/>
    </row>
    <row r="3308" spans="1:20">
      <c r="A3308" s="101"/>
      <c r="B3308" s="101"/>
      <c r="C3308" s="101"/>
      <c r="D3308" s="101"/>
      <c r="E3308" s="101"/>
      <c r="F3308" s="102"/>
      <c r="G3308" s="101"/>
      <c r="H3308" s="102"/>
      <c r="I3308" s="101"/>
      <c r="J3308" s="101"/>
      <c r="K3308" s="103"/>
      <c r="L3308" s="103"/>
      <c r="M3308" s="103"/>
      <c r="N3308" s="103"/>
      <c r="O3308" s="103"/>
    </row>
    <row r="3309" spans="1:20">
      <c r="A3309" s="101"/>
      <c r="B3309" s="101"/>
      <c r="C3309" s="101"/>
      <c r="D3309" s="101"/>
      <c r="E3309" s="101"/>
      <c r="F3309" s="102"/>
      <c r="G3309" s="101"/>
      <c r="H3309" s="102"/>
      <c r="I3309" s="101"/>
      <c r="J3309" s="101"/>
      <c r="K3309" s="103"/>
      <c r="L3309" s="103"/>
      <c r="M3309" s="103"/>
      <c r="N3309" s="103"/>
      <c r="O3309" s="103"/>
    </row>
    <row r="3310" spans="1:20">
      <c r="A3310" s="101"/>
      <c r="B3310" s="101"/>
      <c r="C3310" s="101"/>
      <c r="D3310" s="101"/>
      <c r="E3310" s="101"/>
      <c r="F3310" s="102"/>
      <c r="G3310" s="101"/>
      <c r="H3310" s="102"/>
      <c r="I3310" s="101"/>
      <c r="J3310" s="101"/>
      <c r="K3310" s="103"/>
      <c r="L3310" s="103"/>
      <c r="M3310" s="103"/>
      <c r="N3310" s="103"/>
      <c r="O3310" s="103"/>
    </row>
    <row r="3311" spans="1:20">
      <c r="A3311" s="101"/>
      <c r="B3311" s="101"/>
      <c r="C3311" s="101"/>
      <c r="D3311" s="101"/>
      <c r="E3311" s="101"/>
      <c r="F3311" s="102"/>
      <c r="G3311" s="101"/>
      <c r="H3311" s="102"/>
      <c r="I3311" s="101"/>
      <c r="J3311" s="101"/>
      <c r="K3311" s="103"/>
      <c r="L3311" s="103"/>
      <c r="M3311" s="103"/>
      <c r="N3311" s="103"/>
      <c r="O3311" s="103"/>
    </row>
    <row r="3312" spans="1:20">
      <c r="A3312" s="101"/>
      <c r="B3312" s="101"/>
      <c r="C3312" s="101"/>
      <c r="D3312" s="101"/>
      <c r="E3312" s="101"/>
      <c r="F3312" s="102"/>
      <c r="G3312" s="101"/>
      <c r="H3312" s="102"/>
      <c r="I3312" s="101"/>
      <c r="J3312" s="101"/>
      <c r="K3312" s="103"/>
      <c r="L3312" s="103"/>
      <c r="M3312" s="103"/>
      <c r="N3312" s="103"/>
      <c r="O3312" s="103"/>
    </row>
    <row r="3313" spans="1:15">
      <c r="A3313" s="101"/>
      <c r="B3313" s="101"/>
      <c r="C3313" s="101"/>
      <c r="D3313" s="101"/>
      <c r="E3313" s="101"/>
      <c r="F3313" s="102"/>
      <c r="G3313" s="101"/>
      <c r="H3313" s="102"/>
      <c r="I3313" s="101"/>
      <c r="J3313" s="101"/>
      <c r="K3313" s="103"/>
      <c r="L3313" s="103"/>
      <c r="M3313" s="103"/>
      <c r="N3313" s="103"/>
      <c r="O3313" s="103"/>
    </row>
    <row r="3314" spans="1:15">
      <c r="A3314" s="101"/>
      <c r="B3314" s="101"/>
      <c r="C3314" s="101"/>
      <c r="D3314" s="101"/>
      <c r="E3314" s="101"/>
      <c r="F3314" s="102"/>
      <c r="G3314" s="101"/>
      <c r="H3314" s="102"/>
      <c r="I3314" s="101"/>
      <c r="J3314" s="101"/>
      <c r="K3314" s="103"/>
      <c r="L3314" s="103"/>
      <c r="M3314" s="103"/>
      <c r="N3314" s="103"/>
      <c r="O3314" s="103"/>
    </row>
    <row r="3315" spans="1:15">
      <c r="A3315" s="101"/>
      <c r="B3315" s="101"/>
      <c r="C3315" s="101"/>
      <c r="D3315" s="101"/>
      <c r="E3315" s="101"/>
      <c r="F3315" s="102"/>
      <c r="G3315" s="101"/>
      <c r="H3315" s="102"/>
      <c r="I3315" s="101"/>
      <c r="J3315" s="101"/>
      <c r="K3315" s="103"/>
      <c r="L3315" s="103"/>
      <c r="M3315" s="103"/>
      <c r="N3315" s="103"/>
      <c r="O3315" s="103"/>
    </row>
    <row r="3316" spans="1:15">
      <c r="A3316" s="101"/>
      <c r="B3316" s="101"/>
      <c r="C3316" s="101"/>
      <c r="D3316" s="101"/>
      <c r="E3316" s="101"/>
      <c r="F3316" s="102"/>
      <c r="G3316" s="101"/>
      <c r="H3316" s="102"/>
      <c r="I3316" s="101"/>
      <c r="J3316" s="101"/>
      <c r="K3316" s="103"/>
      <c r="L3316" s="103"/>
      <c r="M3316" s="103"/>
      <c r="N3316" s="103"/>
      <c r="O3316" s="103"/>
    </row>
    <row r="3317" spans="1:15">
      <c r="A3317" s="101"/>
      <c r="B3317" s="101"/>
      <c r="C3317" s="101"/>
      <c r="D3317" s="101"/>
      <c r="E3317" s="101"/>
      <c r="F3317" s="102"/>
      <c r="G3317" s="101"/>
      <c r="H3317" s="102"/>
      <c r="I3317" s="101"/>
      <c r="J3317" s="101"/>
      <c r="K3317" s="103"/>
      <c r="L3317" s="103"/>
      <c r="M3317" s="103"/>
      <c r="N3317" s="103"/>
      <c r="O3317" s="103"/>
    </row>
    <row r="3318" spans="1:15">
      <c r="A3318" s="101"/>
      <c r="B3318" s="101"/>
      <c r="C3318" s="101"/>
      <c r="D3318" s="101"/>
      <c r="E3318" s="101"/>
      <c r="F3318" s="102"/>
      <c r="G3318" s="101"/>
      <c r="H3318" s="102"/>
      <c r="I3318" s="101"/>
      <c r="J3318" s="101"/>
      <c r="K3318" s="103"/>
      <c r="L3318" s="103"/>
      <c r="M3318" s="103"/>
      <c r="N3318" s="103"/>
      <c r="O3318" s="103"/>
    </row>
    <row r="3319" spans="1:15">
      <c r="A3319" s="101"/>
      <c r="B3319" s="101"/>
      <c r="C3319" s="101"/>
      <c r="D3319" s="101"/>
      <c r="E3319" s="101"/>
      <c r="F3319" s="102"/>
      <c r="G3319" s="101"/>
      <c r="H3319" s="102"/>
      <c r="I3319" s="101"/>
      <c r="J3319" s="101"/>
      <c r="K3319" s="103"/>
      <c r="L3319" s="103"/>
      <c r="M3319" s="103"/>
      <c r="N3319" s="103"/>
      <c r="O3319" s="103"/>
    </row>
    <row r="3320" spans="1:15">
      <c r="A3320" s="101"/>
      <c r="B3320" s="101"/>
      <c r="C3320" s="101"/>
      <c r="D3320" s="101"/>
      <c r="E3320" s="101"/>
      <c r="F3320" s="102"/>
      <c r="G3320" s="101"/>
      <c r="H3320" s="102"/>
      <c r="I3320" s="101"/>
      <c r="J3320" s="101"/>
      <c r="K3320" s="103"/>
      <c r="L3320" s="103"/>
      <c r="M3320" s="103"/>
      <c r="N3320" s="103"/>
      <c r="O3320" s="103"/>
    </row>
    <row r="3321" spans="1:15">
      <c r="A3321" s="101"/>
      <c r="B3321" s="101"/>
      <c r="C3321" s="101"/>
      <c r="D3321" s="101"/>
      <c r="E3321" s="101"/>
      <c r="F3321" s="102"/>
      <c r="G3321" s="101"/>
      <c r="H3321" s="102"/>
      <c r="I3321" s="101"/>
      <c r="J3321" s="101"/>
      <c r="K3321" s="103"/>
      <c r="L3321" s="103"/>
      <c r="M3321" s="103"/>
      <c r="N3321" s="103"/>
      <c r="O3321" s="103"/>
    </row>
    <row r="3322" spans="1:15">
      <c r="A3322" s="101"/>
      <c r="B3322" s="101"/>
      <c r="C3322" s="101"/>
      <c r="D3322" s="101"/>
      <c r="E3322" s="101"/>
      <c r="F3322" s="102"/>
      <c r="G3322" s="101"/>
      <c r="H3322" s="102"/>
      <c r="I3322" s="101"/>
      <c r="J3322" s="101"/>
      <c r="K3322" s="103"/>
      <c r="L3322" s="103"/>
      <c r="M3322" s="103"/>
      <c r="N3322" s="103"/>
      <c r="O3322" s="103"/>
    </row>
    <row r="3323" spans="1:15">
      <c r="A3323" s="101"/>
      <c r="B3323" s="101"/>
      <c r="C3323" s="101"/>
      <c r="D3323" s="101"/>
      <c r="E3323" s="101"/>
      <c r="F3323" s="102"/>
      <c r="G3323" s="101"/>
      <c r="H3323" s="102"/>
      <c r="I3323" s="101"/>
      <c r="J3323" s="101"/>
      <c r="K3323" s="103"/>
      <c r="L3323" s="103"/>
      <c r="M3323" s="103"/>
      <c r="N3323" s="103"/>
      <c r="O3323" s="103"/>
    </row>
    <row r="3324" spans="1:15">
      <c r="A3324" s="101"/>
      <c r="B3324" s="101"/>
      <c r="C3324" s="101"/>
      <c r="D3324" s="101"/>
      <c r="E3324" s="101"/>
      <c r="F3324" s="102"/>
      <c r="G3324" s="101"/>
      <c r="H3324" s="102"/>
      <c r="I3324" s="101"/>
      <c r="J3324" s="101"/>
      <c r="K3324" s="103"/>
      <c r="L3324" s="103"/>
      <c r="M3324" s="103"/>
      <c r="N3324" s="103"/>
      <c r="O3324" s="103"/>
    </row>
    <row r="3325" spans="1:15">
      <c r="A3325" s="101"/>
      <c r="B3325" s="101"/>
      <c r="C3325" s="101"/>
      <c r="D3325" s="101"/>
      <c r="E3325" s="101"/>
      <c r="F3325" s="102"/>
      <c r="G3325" s="101"/>
      <c r="H3325" s="102"/>
      <c r="I3325" s="101"/>
      <c r="J3325" s="101"/>
      <c r="K3325" s="103"/>
      <c r="L3325" s="103"/>
      <c r="M3325" s="103"/>
      <c r="N3325" s="103"/>
      <c r="O3325" s="103"/>
    </row>
    <row r="3326" spans="1:15">
      <c r="A3326" s="101"/>
      <c r="B3326" s="101"/>
      <c r="C3326" s="101"/>
      <c r="D3326" s="101"/>
      <c r="E3326" s="101"/>
      <c r="F3326" s="102"/>
      <c r="G3326" s="101"/>
      <c r="H3326" s="102"/>
      <c r="I3326" s="101"/>
      <c r="J3326" s="101"/>
      <c r="K3326" s="103"/>
      <c r="L3326" s="103"/>
      <c r="M3326" s="103"/>
      <c r="N3326" s="103"/>
      <c r="O3326" s="103"/>
    </row>
    <row r="3327" spans="1:15">
      <c r="A3327" s="101"/>
      <c r="B3327" s="101"/>
      <c r="C3327" s="101"/>
      <c r="D3327" s="101"/>
      <c r="E3327" s="101"/>
      <c r="F3327" s="102"/>
      <c r="G3327" s="101"/>
      <c r="H3327" s="102"/>
      <c r="I3327" s="101"/>
      <c r="J3327" s="101"/>
      <c r="K3327" s="103"/>
      <c r="L3327" s="103"/>
      <c r="M3327" s="103"/>
      <c r="N3327" s="103"/>
      <c r="O3327" s="103"/>
    </row>
    <row r="3328" spans="1:15">
      <c r="A3328" s="101"/>
      <c r="B3328" s="101"/>
      <c r="C3328" s="101"/>
      <c r="D3328" s="101"/>
      <c r="E3328" s="101"/>
      <c r="F3328" s="102"/>
      <c r="G3328" s="101"/>
      <c r="H3328" s="102"/>
      <c r="I3328" s="101"/>
      <c r="J3328" s="101"/>
      <c r="K3328" s="103"/>
      <c r="L3328" s="103"/>
      <c r="M3328" s="103"/>
      <c r="N3328" s="103"/>
      <c r="O3328" s="103"/>
    </row>
    <row r="3329" spans="1:15">
      <c r="A3329" s="101"/>
      <c r="B3329" s="101"/>
      <c r="C3329" s="101"/>
      <c r="D3329" s="101"/>
      <c r="E3329" s="101"/>
      <c r="F3329" s="102"/>
      <c r="G3329" s="101"/>
      <c r="H3329" s="102"/>
      <c r="I3329" s="101"/>
      <c r="J3329" s="101"/>
      <c r="K3329" s="103"/>
      <c r="L3329" s="103"/>
      <c r="M3329" s="103"/>
      <c r="N3329" s="103"/>
      <c r="O3329" s="103"/>
    </row>
    <row r="3330" spans="1:15">
      <c r="A3330" s="101"/>
      <c r="B3330" s="101"/>
      <c r="C3330" s="101"/>
      <c r="D3330" s="101"/>
      <c r="E3330" s="101"/>
      <c r="F3330" s="102"/>
      <c r="G3330" s="101"/>
      <c r="H3330" s="102"/>
      <c r="I3330" s="101"/>
      <c r="J3330" s="101"/>
      <c r="K3330" s="103"/>
      <c r="L3330" s="103"/>
      <c r="M3330" s="103"/>
      <c r="N3330" s="103"/>
      <c r="O3330" s="103"/>
    </row>
    <row r="3331" spans="1:15">
      <c r="A3331" s="101"/>
      <c r="B3331" s="101"/>
      <c r="C3331" s="101"/>
      <c r="D3331" s="101"/>
      <c r="E3331" s="101"/>
      <c r="F3331" s="102"/>
      <c r="G3331" s="101"/>
      <c r="H3331" s="102"/>
      <c r="I3331" s="101"/>
      <c r="J3331" s="101"/>
      <c r="K3331" s="103"/>
      <c r="L3331" s="103"/>
      <c r="M3331" s="103"/>
      <c r="N3331" s="103"/>
      <c r="O3331" s="103"/>
    </row>
    <row r="3332" spans="1:15">
      <c r="A3332" s="101"/>
      <c r="B3332" s="101"/>
      <c r="C3332" s="101"/>
      <c r="D3332" s="101"/>
      <c r="E3332" s="101"/>
      <c r="F3332" s="102"/>
      <c r="G3332" s="101"/>
      <c r="H3332" s="102"/>
      <c r="I3332" s="101"/>
      <c r="J3332" s="101"/>
      <c r="K3332" s="103"/>
      <c r="L3332" s="103"/>
      <c r="M3332" s="103"/>
      <c r="N3332" s="103"/>
      <c r="O3332" s="103"/>
    </row>
    <row r="3333" spans="1:15">
      <c r="A3333" s="101"/>
      <c r="B3333" s="101"/>
      <c r="C3333" s="101"/>
      <c r="D3333" s="101"/>
      <c r="E3333" s="101"/>
      <c r="F3333" s="102"/>
      <c r="G3333" s="101"/>
      <c r="H3333" s="102"/>
      <c r="I3333" s="101"/>
      <c r="J3333" s="101"/>
      <c r="K3333" s="103"/>
      <c r="L3333" s="103"/>
      <c r="M3333" s="103"/>
      <c r="N3333" s="103"/>
      <c r="O3333" s="103"/>
    </row>
    <row r="3334" spans="1:15">
      <c r="A3334" s="101"/>
      <c r="B3334" s="101"/>
      <c r="C3334" s="101"/>
      <c r="D3334" s="101"/>
      <c r="E3334" s="101"/>
      <c r="F3334" s="102"/>
      <c r="G3334" s="101"/>
      <c r="H3334" s="102"/>
      <c r="I3334" s="101"/>
      <c r="J3334" s="101"/>
      <c r="K3334" s="103"/>
      <c r="L3334" s="103"/>
      <c r="M3334" s="103"/>
      <c r="N3334" s="103"/>
      <c r="O3334" s="103"/>
    </row>
    <row r="3335" spans="1:15">
      <c r="A3335" s="101"/>
      <c r="B3335" s="101"/>
      <c r="C3335" s="101"/>
      <c r="D3335" s="101"/>
      <c r="E3335" s="101"/>
      <c r="F3335" s="102"/>
      <c r="G3335" s="101"/>
      <c r="H3335" s="102"/>
      <c r="I3335" s="101"/>
      <c r="J3335" s="101"/>
      <c r="K3335" s="103"/>
      <c r="L3335" s="103"/>
      <c r="M3335" s="103"/>
      <c r="N3335" s="103"/>
      <c r="O3335" s="103"/>
    </row>
    <row r="3336" spans="1:15">
      <c r="A3336" s="101"/>
      <c r="B3336" s="101"/>
      <c r="C3336" s="101"/>
      <c r="D3336" s="101"/>
      <c r="E3336" s="101"/>
      <c r="F3336" s="102"/>
      <c r="G3336" s="101"/>
      <c r="H3336" s="102"/>
      <c r="I3336" s="101"/>
      <c r="J3336" s="101"/>
      <c r="K3336" s="103"/>
      <c r="L3336" s="103"/>
      <c r="M3336" s="103"/>
      <c r="N3336" s="103"/>
      <c r="O3336" s="103"/>
    </row>
    <row r="3337" spans="1:15">
      <c r="A3337" s="101"/>
      <c r="B3337" s="101"/>
      <c r="C3337" s="101"/>
      <c r="D3337" s="101"/>
      <c r="E3337" s="101"/>
      <c r="F3337" s="102"/>
      <c r="G3337" s="101"/>
      <c r="H3337" s="102"/>
      <c r="I3337" s="101"/>
      <c r="J3337" s="101"/>
      <c r="K3337" s="103"/>
      <c r="L3337" s="103"/>
      <c r="M3337" s="103"/>
      <c r="N3337" s="103"/>
      <c r="O3337" s="103"/>
    </row>
    <row r="3338" spans="1:15">
      <c r="A3338" s="101"/>
      <c r="B3338" s="101"/>
      <c r="C3338" s="101"/>
      <c r="D3338" s="101"/>
      <c r="E3338" s="101"/>
      <c r="F3338" s="102"/>
      <c r="G3338" s="101"/>
      <c r="H3338" s="102"/>
      <c r="I3338" s="101"/>
      <c r="J3338" s="101"/>
      <c r="K3338" s="103"/>
      <c r="L3338" s="103"/>
      <c r="M3338" s="103"/>
      <c r="N3338" s="103"/>
      <c r="O3338" s="103"/>
    </row>
    <row r="3339" spans="1:15">
      <c r="A3339" s="101"/>
      <c r="B3339" s="101"/>
      <c r="C3339" s="101"/>
      <c r="D3339" s="101"/>
      <c r="E3339" s="101"/>
      <c r="F3339" s="102"/>
      <c r="G3339" s="101"/>
      <c r="H3339" s="102"/>
      <c r="I3339" s="101"/>
      <c r="J3339" s="101"/>
      <c r="K3339" s="103"/>
      <c r="L3339" s="103"/>
      <c r="M3339" s="103"/>
      <c r="N3339" s="103"/>
      <c r="O3339" s="103"/>
    </row>
  </sheetData>
  <autoFilter ref="A2:T2002" xr:uid="{B6FB6F0E-4D01-F84F-B6BF-D6D2370C58B6}"/>
  <conditionalFormatting sqref="A2">
    <cfRule type="duplicateValues" dxfId="8" priority="11"/>
  </conditionalFormatting>
  <conditionalFormatting sqref="P3:P3301">
    <cfRule type="containsText" dxfId="7" priority="7" operator="containsText" text="ABONO">
      <formula>NOT(ISERROR(SEARCH("ABONO",P3)))</formula>
    </cfRule>
    <cfRule type="containsText" dxfId="6" priority="8" operator="containsText" text="CARGO">
      <formula>NOT(ISERROR(SEARCH("CARGO",P3)))</formula>
    </cfRule>
  </conditionalFormatting>
  <conditionalFormatting sqref="Q3:Q246 Q315:Q321 Q323:Q3301">
    <cfRule type="containsText" dxfId="5" priority="9" operator="containsText" text="PENDIENTE">
      <formula>NOT(ISERROR(SEARCH("PENDIENTE",Q3)))</formula>
    </cfRule>
    <cfRule type="containsText" dxfId="4" priority="10" operator="containsText" text="OK">
      <formula>NOT(ISERROR(SEARCH("OK",Q3)))</formula>
    </cfRule>
  </conditionalFormatting>
  <conditionalFormatting sqref="Q247:Q314">
    <cfRule type="containsText" dxfId="3" priority="1" operator="containsText" text="ABONO">
      <formula>NOT(ISERROR(SEARCH("ABONO",Q247)))</formula>
    </cfRule>
    <cfRule type="containsText" dxfId="2" priority="2" operator="containsText" text="CARGO">
      <formula>NOT(ISERROR(SEARCH("CARGO",Q247)))</formula>
    </cfRule>
  </conditionalFormatting>
  <conditionalFormatting sqref="Q322">
    <cfRule type="containsText" dxfId="1" priority="3" operator="containsText" text="ABONO">
      <formula>NOT(ISERROR(SEARCH("ABONO",Q322)))</formula>
    </cfRule>
    <cfRule type="containsText" dxfId="0" priority="4" operator="containsText" text="CARGO">
      <formula>NOT(ISERROR(SEARCH("CARGO",Q322)))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Summary</vt:lpstr>
      <vt:lpstr>Comprometidos</vt:lpstr>
      <vt:lpstr>Cost Report</vt:lpstr>
      <vt:lpstr>Balance Sheet</vt:lpstr>
      <vt:lpstr>Budget</vt:lpstr>
      <vt:lpstr>Data Commitments</vt:lpstr>
      <vt:lpstr>Data</vt:lpstr>
      <vt:lpstr>Commitments</vt:lpstr>
      <vt:lpstr>Tablas</vt:lpstr>
      <vt:lpstr>Conciliación Bancaria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Erick Ramirez Palomino</dc:creator>
  <cp:lastModifiedBy>Axel Palacios Granados</cp:lastModifiedBy>
  <dcterms:created xsi:type="dcterms:W3CDTF">2022-10-04T16:19:00Z</dcterms:created>
  <dcterms:modified xsi:type="dcterms:W3CDTF">2025-06-05T01:19:58Z</dcterms:modified>
</cp:coreProperties>
</file>